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DeTrabalho"/>
  <mc:AlternateContent xmlns:mc="http://schemas.openxmlformats.org/markup-compatibility/2006">
    <mc:Choice Requires="x15">
      <x15ac:absPath xmlns:x15ac="http://schemas.microsoft.com/office/spreadsheetml/2010/11/ac" url="U:\COORC\PESQUISAS DE PREÇOS\2023\00200.013035-2023-57 - Manutenção do sistema de ar-condicionado\"/>
    </mc:Choice>
  </mc:AlternateContent>
  <bookViews>
    <workbookView xWindow="-28920" yWindow="-105" windowWidth="29040" windowHeight="9240" tabRatio="936" activeTab="1"/>
  </bookViews>
  <sheets>
    <sheet name="Composições" sheetId="5" r:id="rId1"/>
    <sheet name="Orçamentária-TR" sheetId="21" r:id="rId2"/>
    <sheet name="BDI" sheetId="9" r:id="rId3"/>
    <sheet name="Serviços SINAPI" sheetId="15" state="hidden" r:id="rId4"/>
    <sheet name="Insumos SINAPI" sheetId="16" state="hidden" r:id="rId5"/>
    <sheet name="planilha auxiliar" sheetId="17" state="hidden" r:id="rId6"/>
  </sheets>
  <externalReferences>
    <externalReference r:id="rId7"/>
  </externalReferences>
  <definedNames>
    <definedName name="_xlnm._FilterDatabase" localSheetId="0" hidden="1">Composições!$A$5:$J$9471</definedName>
    <definedName name="_xlnm._FilterDatabase" localSheetId="1" hidden="1">'Orçamentária-TR'!$B$5:$P$682</definedName>
    <definedName name="_xlnm._FilterDatabase" localSheetId="3" hidden="1">'Serviços SINAPI'!$A$5:$L$8000</definedName>
    <definedName name="_xlnm.Print_Area" localSheetId="0">Composições!$A$1:$H$9136</definedName>
    <definedName name="_xlnm.Print_Area" localSheetId="1">'Orçamentária-TR'!$A$1:$P$688</definedName>
    <definedName name="ÁREA_DE_IMPRESSÃO" localSheetId="1">#REF!</definedName>
    <definedName name="ÁREA_DE_IMPRESSÃO">#REF!</definedName>
    <definedName name="Arial">#REF!</definedName>
    <definedName name="BDI_Material" localSheetId="1">#REF!</definedName>
    <definedName name="BDI_Material">#REF!</definedName>
    <definedName name="BDI_Material_TCU" localSheetId="1">#REF!</definedName>
    <definedName name="BDI_Material_TCU">#REF!</definedName>
    <definedName name="BDI_Servico" localSheetId="1">#REF!</definedName>
    <definedName name="BDI_Servico">#REF!</definedName>
    <definedName name="BDI_Servico_TCU" localSheetId="1">#REF!</definedName>
    <definedName name="BDI_Servico_TCU">#REF!</definedName>
    <definedName name="Consumos" localSheetId="1">#REF!</definedName>
    <definedName name="Consumos">#REF!</definedName>
    <definedName name="Consumos_Coluna" localSheetId="1">#REF!</definedName>
    <definedName name="Consumos_Coluna">#REF!</definedName>
    <definedName name="Consumos_Item" localSheetId="1">#REF!</definedName>
    <definedName name="Consumos_Item">#REF!</definedName>
    <definedName name="Descontos_por_grupo" localSheetId="1">#REF!</definedName>
    <definedName name="Descontos_por_grupo">#REF!</definedName>
    <definedName name="GRUPO_Equipe" localSheetId="1">#REF!</definedName>
    <definedName name="GRUPO_Equipe">#REF!</definedName>
    <definedName name="GRUPO_Ferramentas" localSheetId="1">#REF!</definedName>
    <definedName name="GRUPO_Ferramentas">#REF!</definedName>
    <definedName name="GRUPO_Material" localSheetId="1">#REF!</definedName>
    <definedName name="GRUPO_Material">#REF!</definedName>
    <definedName name="GRUPO_Material_Fora" localSheetId="1">#REF!</definedName>
    <definedName name="GRUPO_Material_Fora">#REF!</definedName>
    <definedName name="GRUPO_Ponto" localSheetId="1">#REF!</definedName>
    <definedName name="GRUPO_Ponto">#REF!</definedName>
    <definedName name="GRUPO_Servico" localSheetId="1">#REF!</definedName>
    <definedName name="GRUPO_Servico">#REF!</definedName>
    <definedName name="GRUPO_Servicos_Fora" localSheetId="1">#REF!</definedName>
    <definedName name="GRUPO_Servicos_Fora">#REF!</definedName>
    <definedName name="GRUPO_Veiculos" localSheetId="1">#REF!</definedName>
    <definedName name="GRUPO_Veiculos">#REF!</definedName>
    <definedName name="IMPRESSÃO" localSheetId="1">#REF!</definedName>
    <definedName name="IMPRESSÃO">#REF!</definedName>
    <definedName name="IMPRESSÃO_00" localSheetId="1">#REF!</definedName>
    <definedName name="IMPRESSÃO_00">#REF!</definedName>
    <definedName name="k" localSheetId="1">'[1]Orçamentária-base'!#REF!</definedName>
    <definedName name="k">#REF!</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Precos" localSheetId="1">#REF!</definedName>
    <definedName name="Precos">#REF!</definedName>
    <definedName name="Precos_Descontos" localSheetId="1">#REF!</definedName>
    <definedName name="Precos_Descontos">#REF!</definedName>
    <definedName name="Precos_Grupos" localSheetId="1">#REF!</definedName>
    <definedName name="Precos_Grupos">#REF!</definedName>
    <definedName name="_xlnm.Print_Titles" localSheetId="0">Composições!$1:$5</definedName>
    <definedName name="_xlnm.Print_Titles" localSheetId="1">'Orçamentária-TR'!$1:$5</definedName>
    <definedName name="Versao_Contrato" localSheetId="1">#REF!</definedName>
    <definedName name="Versao_Contrato">#REF!</definedName>
    <definedName name="Z_02E7A709_3F6B_48BE_8023_3D509F99F7FF_.wvu.FilterData" localSheetId="1" hidden="1">'Orçamentária-TR'!$B$5:$P$680</definedName>
    <definedName name="Z_03D74646_1150_480F_8BE1_213AA4C289CB_.wvu.FilterData" localSheetId="1" hidden="1">'Orçamentária-TR'!$B$5:$P$680</definedName>
    <definedName name="Z_0C4D640E_B9E1_4EAB_B3AB_89C41AF98082_.wvu.FilterData" localSheetId="1" hidden="1">'Orçamentária-TR'!$B$5:$P$680</definedName>
    <definedName name="Z_103B4532_830F_4D40_B519_2B5D82E8D0DF_.wvu.FilterData" localSheetId="1" hidden="1">'Orçamentária-TR'!$B$5:$P$680</definedName>
    <definedName name="Z_1233DEA2_5E57_472E_9026_2D59B49EDE23_.wvu.FilterData" localSheetId="1" hidden="1">'Orçamentária-TR'!$B$5:$P$680</definedName>
    <definedName name="Z_1400149A_252B_4AD1_9AE2_5793AA4A27D2_.wvu.Cols" localSheetId="1" hidden="1">'Orçamentária-TR'!$L:$P</definedName>
    <definedName name="Z_1400149A_252B_4AD1_9AE2_5793AA4A27D2_.wvu.FilterData" localSheetId="1" hidden="1">'Orçamentária-TR'!$B$5:$P$680</definedName>
    <definedName name="Z_1400149A_252B_4AD1_9AE2_5793AA4A27D2_.wvu.PrintArea" localSheetId="1" hidden="1">'Orçamentária-TR'!$B$1:$P$680</definedName>
    <definedName name="Z_1400149A_252B_4AD1_9AE2_5793AA4A27D2_.wvu.PrintTitles" localSheetId="1" hidden="1">'Orçamentária-TR'!$1:$5</definedName>
    <definedName name="Z_14F9A249_D491_44EF_A492_73D0B2E0EC1C_.wvu.FilterData" localSheetId="1" hidden="1">'Orçamentária-TR'!$B$5:$P$680</definedName>
    <definedName name="Z_1508C91F_7BBA_4B6E_9412_AC0099CC7C64_.wvu.FilterData" localSheetId="1" hidden="1">'Orçamentária-TR'!$B$5:$P$680</definedName>
    <definedName name="Z_184E0B6D_FF37_4CBD_88A9_6BFB3CA3186B_.wvu.FilterData" localSheetId="1" hidden="1">'Orçamentária-TR'!$B$5:$P$680</definedName>
    <definedName name="Z_184E0B6D_FF37_4CBD_88A9_6BFB3CA3186B_.wvu.PrintArea" localSheetId="1" hidden="1">'Orçamentária-TR'!$B$1:$P$680</definedName>
    <definedName name="Z_184E0B6D_FF37_4CBD_88A9_6BFB3CA3186B_.wvu.PrintTitles" localSheetId="1" hidden="1">'Orçamentária-TR'!$1:$5</definedName>
    <definedName name="Z_1F5F3FF6_134E_4BE3_931A_86A140230F01_.wvu.FilterData" localSheetId="1" hidden="1">'Orçamentária-TR'!$B$5:$P$680</definedName>
    <definedName name="Z_2108BB79_D2A4_494D_963C_F8471D86F0B2_.wvu.FilterData" localSheetId="1" hidden="1">'Orçamentária-TR'!$B$5:$P$680</definedName>
    <definedName name="Z_256828BB_3827_445A_A407_FFF15876225E_.wvu.FilterData" localSheetId="1" hidden="1">'Orçamentária-TR'!$B$5:$P$680</definedName>
    <definedName name="Z_260D23EF_A247_4C84_BDC8_F18F22091ADE_.wvu.FilterData" localSheetId="1" hidden="1">'Orçamentária-TR'!$B$5:$P$680</definedName>
    <definedName name="Z_2C8BFB8C_30B5_4612_979A_9A4837B7A4BD_.wvu.FilterData" localSheetId="1" hidden="1">'Orçamentária-TR'!$B$5:$P$680</definedName>
    <definedName name="Z_388EA09C_8141_4800_8A1E_E051726ADA8F_.wvu.FilterData" localSheetId="1" hidden="1">'Orçamentária-TR'!$B$5:$P$680</definedName>
    <definedName name="Z_388EA09C_8141_4800_8A1E_E051726ADA8F_.wvu.PrintArea" localSheetId="1" hidden="1">'Orçamentária-TR'!$B$1:$P$680</definedName>
    <definedName name="Z_388EA09C_8141_4800_8A1E_E051726ADA8F_.wvu.PrintTitles" localSheetId="1" hidden="1">'Orçamentária-TR'!$1:$5</definedName>
    <definedName name="Z_388EA09C_8141_4800_8A1E_E051726ADA8F_.wvu.Rows" localSheetId="1" hidden="1">'Orçamentária-TR'!#REF!</definedName>
    <definedName name="Z_3EE29867_432A_4BA3_89E1_F341CEBBAC88_.wvu.FilterData" localSheetId="1" hidden="1">'Orçamentária-TR'!$B$5:$P$680</definedName>
    <definedName name="Z_3EE29867_432A_4BA3_89E1_F341CEBBAC88_.wvu.PrintArea" localSheetId="1" hidden="1">'Orçamentária-TR'!$B$1:$P$680</definedName>
    <definedName name="Z_3EE29867_432A_4BA3_89E1_F341CEBBAC88_.wvu.PrintTitles" localSheetId="1" hidden="1">'Orçamentária-TR'!$1:$5</definedName>
    <definedName name="Z_3EE29867_432A_4BA3_89E1_F341CEBBAC88_.wvu.Rows" localSheetId="1" hidden="1">'Orçamentária-TR'!#REF!</definedName>
    <definedName name="Z_40337AE9_1607_448E_8742_24D71D4DB741_.wvu.FilterData" localSheetId="1" hidden="1">'Orçamentária-TR'!$B$5:$P$680</definedName>
    <definedName name="Z_4061C7FA_8486_49E5_B176_FAB0D844CA38_.wvu.FilterData" localSheetId="1" hidden="1">'Orçamentária-TR'!$B$5:$P$680</definedName>
    <definedName name="Z_4084C220_ED62_4400_8E87_B7B0B92D4EE3_.wvu.FilterData" localSheetId="1" hidden="1">'Orçamentária-TR'!$B$5:$P$680</definedName>
    <definedName name="Z_4BAF66BB_2070_4530_A84F_5AB8CB3CEDE8_.wvu.FilterData" localSheetId="1" hidden="1">'Orçamentária-TR'!$B$5:$P$680</definedName>
    <definedName name="Z_52D8B9C2_62A7_4109_9BE6_713DAADD942D_.wvu.FilterData" localSheetId="1" hidden="1">'Orçamentária-TR'!$B$5:$P$680</definedName>
    <definedName name="Z_52D8B9C2_62A7_4109_9BE6_713DAADD942D_.wvu.PrintArea" localSheetId="1" hidden="1">'Orçamentária-TR'!$B$1:$P$680</definedName>
    <definedName name="Z_52D8B9C2_62A7_4109_9BE6_713DAADD942D_.wvu.PrintTitles" localSheetId="1" hidden="1">'Orçamentária-TR'!$1:$5</definedName>
    <definedName name="Z_5487A251_C3E7_4145_9020_3D739357716C_.wvu.FilterData" localSheetId="1" hidden="1">'Orçamentária-TR'!$B$5:$P$680</definedName>
    <definedName name="Z_5C3F6C56_B73A_43E0_8278_7B62637D5522_.wvu.FilterData" localSheetId="1" hidden="1">'Orçamentária-TR'!$B$5:$P$680</definedName>
    <definedName name="Z_5DE6B415_5844_48EC_B314_C77EFAB69571_.wvu.FilterData" localSheetId="1" hidden="1">'Orçamentária-TR'!$B$5:$P$680</definedName>
    <definedName name="Z_621F33E6_5212_4A57_AD9D_BA86A737D9AF_.wvu.FilterData" localSheetId="1" hidden="1">'Orçamentária-TR'!$B$5:$P$680</definedName>
    <definedName name="Z_68AFDCF1_6306_4C31_A6DA_54D6FBA0C05D_.wvu.FilterData" localSheetId="1" hidden="1">'Orçamentária-TR'!$B$5:$P$680</definedName>
    <definedName name="Z_72DD8278_BC38_4AE5_B76C_EBE79FD72AF0_.wvu.FilterData" localSheetId="1" hidden="1">'Orçamentária-TR'!$B$5:$P$680</definedName>
    <definedName name="Z_761D86DB_5332_4CB4_A4C9_10A4F0C968CD_.wvu.FilterData" localSheetId="1" hidden="1">'Orçamentária-TR'!$B$5:$P$680</definedName>
    <definedName name="Z_84004490_2C0A_437D_83F9_83F396B1FCD6_.wvu.FilterData" localSheetId="1" hidden="1">'Orçamentária-TR'!$B$5:$P$680</definedName>
    <definedName name="Z_8404D714_1416_441F_BC2A_86C3BA0ED4A7_.wvu.FilterData" localSheetId="1" hidden="1">'Orçamentária-TR'!$B$5:$P$680</definedName>
    <definedName name="Z_8490C688_227D_4807_B48A_E99B98AA4ABA_.wvu.FilterData" localSheetId="1" hidden="1">'Orçamentária-TR'!$B$5:$P$680</definedName>
    <definedName name="Z_9226CEA5_2DEB_4F09_8A9E_201671FE3996_.wvu.FilterData" localSheetId="1" hidden="1">'Orçamentária-TR'!$B$5:$P$680</definedName>
    <definedName name="Z_9872962C_537A_42AF_9FC2_C758CA32B49A_.wvu.FilterData" localSheetId="1" hidden="1">'Orçamentária-TR'!$B$5:$P$680</definedName>
    <definedName name="Z_9D9D890B_7CAD_43FA_8B37_40B7CE51D7BB_.wvu.FilterData" localSheetId="1" hidden="1">'Orçamentária-TR'!$B$5:$P$680</definedName>
    <definedName name="Z_B236A6BF_71D4_4CD9_BBD0_698BCEA023CF_.wvu.FilterData" localSheetId="1" hidden="1">'Orçamentária-TR'!$B$5:$P$680</definedName>
    <definedName name="Z_BC95D367_E5F9_4D7F_9E29_86A33F32AAFF_.wvu.FilterData" localSheetId="1" hidden="1">'Orçamentária-TR'!$B$5:$P$680</definedName>
    <definedName name="Z_C3F45743_DBDA_4241_B0B6_5E88345390B5_.wvu.FilterData" localSheetId="1" hidden="1">'Orçamentária-TR'!$B$5:$P$680</definedName>
    <definedName name="Z_CA8CD684_5813_4814_9596_BC74CCC6F648_.wvu.FilterData" localSheetId="1" hidden="1">'Orçamentária-TR'!$B$5:$P$680</definedName>
    <definedName name="Z_D7B7D9EE_4074_4FED_9A68_56C7886D5723_.wvu.FilterData" localSheetId="1" hidden="1">'Orçamentária-TR'!$B$5:$P$680</definedName>
    <definedName name="Z_D80CD39D_2818_4F11_B510_562775715C69_.wvu.FilterData" localSheetId="1" hidden="1">'Orçamentária-TR'!$B$5:$P$680</definedName>
    <definedName name="Z_D80CD39D_2818_4F11_B510_562775715C69_.wvu.PrintArea" localSheetId="1" hidden="1">'Orçamentária-TR'!$B$1:$P$680</definedName>
    <definedName name="Z_D80CD39D_2818_4F11_B510_562775715C69_.wvu.PrintTitles" localSheetId="1" hidden="1">'Orçamentária-TR'!$1:$5</definedName>
    <definedName name="Z_D8BDBFFF_4E63_42E8_AF66_3A4A5922F3A9_.wvu.Cols" localSheetId="1" hidden="1">'Orçamentária-TR'!$L:$P</definedName>
    <definedName name="Z_D8BDBFFF_4E63_42E8_AF66_3A4A5922F3A9_.wvu.FilterData" localSheetId="1" hidden="1">'Orçamentária-TR'!$B$5:$P$680</definedName>
    <definedName name="Z_D8BDBFFF_4E63_42E8_AF66_3A4A5922F3A9_.wvu.PrintArea" localSheetId="1" hidden="1">'Orçamentária-TR'!$B$1:$P$680</definedName>
    <definedName name="Z_D8BDBFFF_4E63_42E8_AF66_3A4A5922F3A9_.wvu.PrintTitles" localSheetId="1" hidden="1">'Orçamentária-TR'!$1:$5</definedName>
    <definedName name="Z_DE3D750A_1352_4B72_B5EF_6B3CF0400C00_.wvu.FilterData" localSheetId="1" hidden="1">'Orçamentária-TR'!$B$5:$P$680</definedName>
    <definedName name="Z_E3F441FA_50DE_409F_B5A8_8880F3E748EB_.wvu.FilterData" localSheetId="1" hidden="1">'Orçamentária-TR'!$B$5:$P$680</definedName>
    <definedName name="Z_FBE20D2A_04F9_4378_A6DA_2D4796F29D79_.wvu.FilterData" localSheetId="1" hidden="1">'Orçamentária-TR'!$B$5:$P$680</definedName>
    <definedName name="Z_FD1CBB54_9774_4703_A628_1ECC0683BA70_.wvu.FilterData" localSheetId="1" hidden="1">'Orçamentária-TR'!$B$5:$P$680</definedName>
    <definedName name="Z_FDEEEDF6_B9AE_4B52_86A1_B09EE771BE76_.wvu.FilterData" localSheetId="1" hidden="1">'Orçamentária-TR'!$B$5:$P$680</definedName>
    <definedName name="Z_FEBB4EFB_B059_486C_9FE0_A3F428AFE568_.wvu.FilterData" localSheetId="1" hidden="1">'Orçamentária-TR'!$B$5:$P$680</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9" l="1"/>
  <c r="A1" i="5" l="1"/>
  <c r="A3" i="5"/>
  <c r="A7879" i="5"/>
  <c r="A7883" i="5"/>
  <c r="H7" i="15"/>
  <c r="I7" i="15"/>
  <c r="J7" i="15"/>
  <c r="H8" i="15"/>
  <c r="I8" i="15"/>
  <c r="J8" i="15"/>
  <c r="H9" i="15"/>
  <c r="I9" i="15"/>
  <c r="J9" i="15"/>
  <c r="H10" i="15"/>
  <c r="I10" i="15"/>
  <c r="J10" i="15"/>
  <c r="H11" i="15"/>
  <c r="I11" i="15"/>
  <c r="J11" i="15"/>
  <c r="H12" i="15"/>
  <c r="I12" i="15"/>
  <c r="J12" i="15"/>
  <c r="H13" i="15"/>
  <c r="I13" i="15"/>
  <c r="J13" i="15"/>
  <c r="H14" i="15"/>
  <c r="I14" i="15"/>
  <c r="J14" i="15"/>
  <c r="H15" i="15"/>
  <c r="I15" i="15"/>
  <c r="J15" i="15"/>
  <c r="H16" i="15"/>
  <c r="I16" i="15"/>
  <c r="J16" i="15"/>
  <c r="H17" i="15"/>
  <c r="I17" i="15"/>
  <c r="J17" i="15"/>
  <c r="H18" i="15"/>
  <c r="I18" i="15"/>
  <c r="J18" i="15"/>
  <c r="H19" i="15"/>
  <c r="I19" i="15"/>
  <c r="J19" i="15"/>
  <c r="H20" i="15"/>
  <c r="I20" i="15"/>
  <c r="J20" i="15"/>
  <c r="H21" i="15"/>
  <c r="I21" i="15"/>
  <c r="J21" i="15"/>
  <c r="H22" i="15"/>
  <c r="I22" i="15"/>
  <c r="J22" i="15"/>
  <c r="H23" i="15"/>
  <c r="I23" i="15"/>
  <c r="J23" i="15"/>
  <c r="H24" i="15"/>
  <c r="I24" i="15"/>
  <c r="J24" i="15"/>
  <c r="H25" i="15"/>
  <c r="I25" i="15"/>
  <c r="J25" i="15"/>
  <c r="H26" i="15"/>
  <c r="I26" i="15"/>
  <c r="J26" i="15"/>
  <c r="H27" i="15"/>
  <c r="I27" i="15"/>
  <c r="J27" i="15"/>
  <c r="H28" i="15"/>
  <c r="I28" i="15"/>
  <c r="J28" i="15"/>
  <c r="H29" i="15"/>
  <c r="I29" i="15"/>
  <c r="J29" i="15"/>
  <c r="H30" i="15"/>
  <c r="I30" i="15"/>
  <c r="J30" i="15"/>
  <c r="H31" i="15"/>
  <c r="I31" i="15"/>
  <c r="J31" i="15"/>
  <c r="H32" i="15"/>
  <c r="I32" i="15"/>
  <c r="J32" i="15"/>
  <c r="H33" i="15"/>
  <c r="I33" i="15"/>
  <c r="J33" i="15"/>
  <c r="H34" i="15"/>
  <c r="I34" i="15"/>
  <c r="J34" i="15"/>
  <c r="H35" i="15"/>
  <c r="I35" i="15"/>
  <c r="J35" i="15"/>
  <c r="H36" i="15"/>
  <c r="I36" i="15"/>
  <c r="J36" i="15"/>
  <c r="H37" i="15"/>
  <c r="I37" i="15"/>
  <c r="J37" i="15"/>
  <c r="H38" i="15"/>
  <c r="I38" i="15"/>
  <c r="J38" i="15"/>
  <c r="H39" i="15"/>
  <c r="I39" i="15"/>
  <c r="J39" i="15"/>
  <c r="H40" i="15"/>
  <c r="I40" i="15"/>
  <c r="J40" i="15"/>
  <c r="H41" i="15"/>
  <c r="I41" i="15"/>
  <c r="J41" i="15"/>
  <c r="H42" i="15"/>
  <c r="I42" i="15"/>
  <c r="J42" i="15"/>
  <c r="H43" i="15"/>
  <c r="I43" i="15"/>
  <c r="J43" i="15"/>
  <c r="H44" i="15"/>
  <c r="I44" i="15"/>
  <c r="J44" i="15"/>
  <c r="H45" i="15"/>
  <c r="I45" i="15"/>
  <c r="J45" i="15"/>
  <c r="H46" i="15"/>
  <c r="I46" i="15"/>
  <c r="J46" i="15"/>
  <c r="H47" i="15"/>
  <c r="I47" i="15"/>
  <c r="J47" i="15"/>
  <c r="H48" i="15"/>
  <c r="I48" i="15"/>
  <c r="J48" i="15"/>
  <c r="H49" i="15"/>
  <c r="I49" i="15"/>
  <c r="J49" i="15"/>
  <c r="H50" i="15"/>
  <c r="I50" i="15"/>
  <c r="J50" i="15"/>
  <c r="H51" i="15"/>
  <c r="I51" i="15"/>
  <c r="J51" i="15"/>
  <c r="H52" i="15"/>
  <c r="I52" i="15"/>
  <c r="J52" i="15"/>
  <c r="H53" i="15"/>
  <c r="I53" i="15"/>
  <c r="J53" i="15"/>
  <c r="H54" i="15"/>
  <c r="I54" i="15"/>
  <c r="J54" i="15"/>
  <c r="H55" i="15"/>
  <c r="I55" i="15"/>
  <c r="J55" i="15"/>
  <c r="H56" i="15"/>
  <c r="I56" i="15"/>
  <c r="J56" i="15"/>
  <c r="H57" i="15"/>
  <c r="I57" i="15"/>
  <c r="J57" i="15"/>
  <c r="H58" i="15"/>
  <c r="I58" i="15"/>
  <c r="J58" i="15"/>
  <c r="H59" i="15"/>
  <c r="I59" i="15"/>
  <c r="J59" i="15"/>
  <c r="H60" i="15"/>
  <c r="I60" i="15"/>
  <c r="J60" i="15"/>
  <c r="H61" i="15"/>
  <c r="I61" i="15"/>
  <c r="J61" i="15"/>
  <c r="H62" i="15"/>
  <c r="I62" i="15"/>
  <c r="J62" i="15"/>
  <c r="H63" i="15"/>
  <c r="I63" i="15"/>
  <c r="J63" i="15"/>
  <c r="H64" i="15"/>
  <c r="I64" i="15"/>
  <c r="J64" i="15"/>
  <c r="H65" i="15"/>
  <c r="I65" i="15"/>
  <c r="J65" i="15"/>
  <c r="H66" i="15"/>
  <c r="I66" i="15"/>
  <c r="J66" i="15"/>
  <c r="H67" i="15"/>
  <c r="I67" i="15"/>
  <c r="J67" i="15"/>
  <c r="H68" i="15"/>
  <c r="I68" i="15"/>
  <c r="J68" i="15"/>
  <c r="H69" i="15"/>
  <c r="I69" i="15"/>
  <c r="J69" i="15"/>
  <c r="H70" i="15"/>
  <c r="I70" i="15"/>
  <c r="J70" i="15"/>
  <c r="H71" i="15"/>
  <c r="I71" i="15"/>
  <c r="J71" i="15"/>
  <c r="H72" i="15"/>
  <c r="I72" i="15"/>
  <c r="J72" i="15"/>
  <c r="H73" i="15"/>
  <c r="I73" i="15"/>
  <c r="J73" i="15"/>
  <c r="H74" i="15"/>
  <c r="I74" i="15"/>
  <c r="J74" i="15"/>
  <c r="H75" i="15"/>
  <c r="I75" i="15"/>
  <c r="J75" i="15"/>
  <c r="H76" i="15"/>
  <c r="I76" i="15"/>
  <c r="J76" i="15"/>
  <c r="H77" i="15"/>
  <c r="I77" i="15"/>
  <c r="J77" i="15"/>
  <c r="H78" i="15"/>
  <c r="I78" i="15"/>
  <c r="J78" i="15"/>
  <c r="H79" i="15"/>
  <c r="I79" i="15"/>
  <c r="J79" i="15"/>
  <c r="H80" i="15"/>
  <c r="I80" i="15"/>
  <c r="J80" i="15"/>
  <c r="H81" i="15"/>
  <c r="I81" i="15"/>
  <c r="J81" i="15"/>
  <c r="H82" i="15"/>
  <c r="I82" i="15"/>
  <c r="J82" i="15"/>
  <c r="H83" i="15"/>
  <c r="I83" i="15"/>
  <c r="J83" i="15"/>
  <c r="H84" i="15"/>
  <c r="I84" i="15"/>
  <c r="J84" i="15"/>
  <c r="H85" i="15"/>
  <c r="I85" i="15"/>
  <c r="J85" i="15"/>
  <c r="H86" i="15"/>
  <c r="I86" i="15"/>
  <c r="J86" i="15"/>
  <c r="H87" i="15"/>
  <c r="I87" i="15"/>
  <c r="J87" i="15"/>
  <c r="H88" i="15"/>
  <c r="I88" i="15"/>
  <c r="J88" i="15"/>
  <c r="H89" i="15"/>
  <c r="I89" i="15"/>
  <c r="J89" i="15"/>
  <c r="H90" i="15"/>
  <c r="I90" i="15"/>
  <c r="J90" i="15"/>
  <c r="H91" i="15"/>
  <c r="I91" i="15"/>
  <c r="J91" i="15"/>
  <c r="H92" i="15"/>
  <c r="I92" i="15"/>
  <c r="J92" i="15"/>
  <c r="H93" i="15"/>
  <c r="I93" i="15"/>
  <c r="J93" i="15"/>
  <c r="H94" i="15"/>
  <c r="I94" i="15"/>
  <c r="J94" i="15"/>
  <c r="H95" i="15"/>
  <c r="I95" i="15"/>
  <c r="J95" i="15"/>
  <c r="H96" i="15"/>
  <c r="I96" i="15"/>
  <c r="J96" i="15"/>
  <c r="H97" i="15"/>
  <c r="I97" i="15"/>
  <c r="J97" i="15"/>
  <c r="H98" i="15"/>
  <c r="I98" i="15"/>
  <c r="J98" i="15"/>
  <c r="H99" i="15"/>
  <c r="I99" i="15"/>
  <c r="J99" i="15"/>
  <c r="H100" i="15"/>
  <c r="I100" i="15"/>
  <c r="J100" i="15"/>
  <c r="H101" i="15"/>
  <c r="I101" i="15"/>
  <c r="J101" i="15"/>
  <c r="H102" i="15"/>
  <c r="I102" i="15"/>
  <c r="J102" i="15"/>
  <c r="H103" i="15"/>
  <c r="I103" i="15"/>
  <c r="J103" i="15"/>
  <c r="H104" i="15"/>
  <c r="I104" i="15"/>
  <c r="J104" i="15"/>
  <c r="H105" i="15"/>
  <c r="I105" i="15"/>
  <c r="J105" i="15"/>
  <c r="H106" i="15"/>
  <c r="I106" i="15"/>
  <c r="J106" i="15"/>
  <c r="H107" i="15"/>
  <c r="I107" i="15"/>
  <c r="J107" i="15"/>
  <c r="H108" i="15"/>
  <c r="I108" i="15"/>
  <c r="J108" i="15"/>
  <c r="H109" i="15"/>
  <c r="I109" i="15"/>
  <c r="J109" i="15"/>
  <c r="H110" i="15"/>
  <c r="I110" i="15"/>
  <c r="J110" i="15"/>
  <c r="H111" i="15"/>
  <c r="I111" i="15"/>
  <c r="J111" i="15"/>
  <c r="H112" i="15"/>
  <c r="I112" i="15"/>
  <c r="J112" i="15"/>
  <c r="H113" i="15"/>
  <c r="I113" i="15"/>
  <c r="J113" i="15"/>
  <c r="H114" i="15"/>
  <c r="I114" i="15"/>
  <c r="J114" i="15"/>
  <c r="H115" i="15"/>
  <c r="I115" i="15"/>
  <c r="J115" i="15"/>
  <c r="H116" i="15"/>
  <c r="I116" i="15"/>
  <c r="J116" i="15"/>
  <c r="H117" i="15"/>
  <c r="I117" i="15"/>
  <c r="J117" i="15"/>
  <c r="H118" i="15"/>
  <c r="I118" i="15"/>
  <c r="J118" i="15"/>
  <c r="H119" i="15"/>
  <c r="I119" i="15"/>
  <c r="J119" i="15"/>
  <c r="H120" i="15"/>
  <c r="I120" i="15"/>
  <c r="J120" i="15"/>
  <c r="H121" i="15"/>
  <c r="I121" i="15"/>
  <c r="J121" i="15"/>
  <c r="H122" i="15"/>
  <c r="I122" i="15"/>
  <c r="J122" i="15"/>
  <c r="H123" i="15"/>
  <c r="I123" i="15"/>
  <c r="J123" i="15"/>
  <c r="H124" i="15"/>
  <c r="I124" i="15"/>
  <c r="J124" i="15"/>
  <c r="H125" i="15"/>
  <c r="I125" i="15"/>
  <c r="J125" i="15"/>
  <c r="H126" i="15"/>
  <c r="I126" i="15"/>
  <c r="J126" i="15"/>
  <c r="H127" i="15"/>
  <c r="I127" i="15"/>
  <c r="J127" i="15"/>
  <c r="H128" i="15"/>
  <c r="I128" i="15"/>
  <c r="J128" i="15"/>
  <c r="H129" i="15"/>
  <c r="I129" i="15"/>
  <c r="J129" i="15"/>
  <c r="H130" i="15"/>
  <c r="I130" i="15"/>
  <c r="J130" i="15"/>
  <c r="H131" i="15"/>
  <c r="I131" i="15"/>
  <c r="J131" i="15"/>
  <c r="H132" i="15"/>
  <c r="I132" i="15"/>
  <c r="J132" i="15"/>
  <c r="H133" i="15"/>
  <c r="I133" i="15"/>
  <c r="J133" i="15"/>
  <c r="H134" i="15"/>
  <c r="I134" i="15"/>
  <c r="J134" i="15"/>
  <c r="H135" i="15"/>
  <c r="I135" i="15"/>
  <c r="J135" i="15"/>
  <c r="H136" i="15"/>
  <c r="I136" i="15"/>
  <c r="J136" i="15"/>
  <c r="H137" i="15"/>
  <c r="I137" i="15"/>
  <c r="J137" i="15"/>
  <c r="H138" i="15"/>
  <c r="I138" i="15"/>
  <c r="J138" i="15"/>
  <c r="H139" i="15"/>
  <c r="I139" i="15"/>
  <c r="J139" i="15"/>
  <c r="H140" i="15"/>
  <c r="I140" i="15"/>
  <c r="J140" i="15"/>
  <c r="H141" i="15"/>
  <c r="I141" i="15"/>
  <c r="J141" i="15"/>
  <c r="H142" i="15"/>
  <c r="I142" i="15"/>
  <c r="J142" i="15"/>
  <c r="H143" i="15"/>
  <c r="I143" i="15"/>
  <c r="J143" i="15"/>
  <c r="H144" i="15"/>
  <c r="I144" i="15"/>
  <c r="J144" i="15"/>
  <c r="H145" i="15"/>
  <c r="I145" i="15"/>
  <c r="J145" i="15"/>
  <c r="H146" i="15"/>
  <c r="I146" i="15"/>
  <c r="J146" i="15"/>
  <c r="H147" i="15"/>
  <c r="I147" i="15"/>
  <c r="J147" i="15"/>
  <c r="H148" i="15"/>
  <c r="I148" i="15"/>
  <c r="J148" i="15"/>
  <c r="H149" i="15"/>
  <c r="I149" i="15"/>
  <c r="J149" i="15"/>
  <c r="H150" i="15"/>
  <c r="I150" i="15"/>
  <c r="J150" i="15"/>
  <c r="H151" i="15"/>
  <c r="I151" i="15"/>
  <c r="J151" i="15"/>
  <c r="H152" i="15"/>
  <c r="I152" i="15"/>
  <c r="J152" i="15"/>
  <c r="H153" i="15"/>
  <c r="I153" i="15"/>
  <c r="J153" i="15"/>
  <c r="H154" i="15"/>
  <c r="I154" i="15"/>
  <c r="J154" i="15"/>
  <c r="H155" i="15"/>
  <c r="I155" i="15"/>
  <c r="J155" i="15"/>
  <c r="H156" i="15"/>
  <c r="I156" i="15"/>
  <c r="J156" i="15"/>
  <c r="H157" i="15"/>
  <c r="I157" i="15"/>
  <c r="J157" i="15"/>
  <c r="H158" i="15"/>
  <c r="I158" i="15"/>
  <c r="J158" i="15"/>
  <c r="H159" i="15"/>
  <c r="I159" i="15"/>
  <c r="J159" i="15"/>
  <c r="H160" i="15"/>
  <c r="I160" i="15"/>
  <c r="J160" i="15"/>
  <c r="H161" i="15"/>
  <c r="I161" i="15"/>
  <c r="J161" i="15"/>
  <c r="H162" i="15"/>
  <c r="I162" i="15"/>
  <c r="J162" i="15"/>
  <c r="H163" i="15"/>
  <c r="I163" i="15"/>
  <c r="J163" i="15"/>
  <c r="H164" i="15"/>
  <c r="I164" i="15"/>
  <c r="J164" i="15"/>
  <c r="H165" i="15"/>
  <c r="I165" i="15"/>
  <c r="J165" i="15"/>
  <c r="H166" i="15"/>
  <c r="I166" i="15"/>
  <c r="J166" i="15"/>
  <c r="H167" i="15"/>
  <c r="I167" i="15"/>
  <c r="J167" i="15"/>
  <c r="H168" i="15"/>
  <c r="I168" i="15"/>
  <c r="J168" i="15"/>
  <c r="H169" i="15"/>
  <c r="I169" i="15"/>
  <c r="J169" i="15"/>
  <c r="H170" i="15"/>
  <c r="I170" i="15"/>
  <c r="J170" i="15"/>
  <c r="H171" i="15"/>
  <c r="I171" i="15"/>
  <c r="J171" i="15"/>
  <c r="H172" i="15"/>
  <c r="I172" i="15"/>
  <c r="J172" i="15"/>
  <c r="H173" i="15"/>
  <c r="I173" i="15"/>
  <c r="J173" i="15"/>
  <c r="H174" i="15"/>
  <c r="I174" i="15"/>
  <c r="J174" i="15"/>
  <c r="H175" i="15"/>
  <c r="I175" i="15"/>
  <c r="J175" i="15"/>
  <c r="H176" i="15"/>
  <c r="I176" i="15"/>
  <c r="J176" i="15"/>
  <c r="H177" i="15"/>
  <c r="I177" i="15"/>
  <c r="J177" i="15"/>
  <c r="H178" i="15"/>
  <c r="I178" i="15"/>
  <c r="J178" i="15"/>
  <c r="H179" i="15"/>
  <c r="I179" i="15"/>
  <c r="J179" i="15"/>
  <c r="H180" i="15"/>
  <c r="I180" i="15"/>
  <c r="J180" i="15"/>
  <c r="H181" i="15"/>
  <c r="I181" i="15"/>
  <c r="J181" i="15"/>
  <c r="H182" i="15"/>
  <c r="I182" i="15"/>
  <c r="J182" i="15"/>
  <c r="H183" i="15"/>
  <c r="I183" i="15"/>
  <c r="J183" i="15"/>
  <c r="H184" i="15"/>
  <c r="I184" i="15"/>
  <c r="J184" i="15"/>
  <c r="H185" i="15"/>
  <c r="I185" i="15"/>
  <c r="J185" i="15"/>
  <c r="H186" i="15"/>
  <c r="I186" i="15"/>
  <c r="J186" i="15"/>
  <c r="H187" i="15"/>
  <c r="I187" i="15"/>
  <c r="J187" i="15"/>
  <c r="H188" i="15"/>
  <c r="I188" i="15"/>
  <c r="J188" i="15"/>
  <c r="H189" i="15"/>
  <c r="I189" i="15"/>
  <c r="J189" i="15"/>
  <c r="H190" i="15"/>
  <c r="I190" i="15"/>
  <c r="J190" i="15"/>
  <c r="H191" i="15"/>
  <c r="I191" i="15"/>
  <c r="J191" i="15"/>
  <c r="H192" i="15"/>
  <c r="I192" i="15"/>
  <c r="J192" i="15"/>
  <c r="H193" i="15"/>
  <c r="I193" i="15"/>
  <c r="J193" i="15"/>
  <c r="H194" i="15"/>
  <c r="I194" i="15"/>
  <c r="J194" i="15"/>
  <c r="H195" i="15"/>
  <c r="I195" i="15"/>
  <c r="J195" i="15"/>
  <c r="H196" i="15"/>
  <c r="I196" i="15"/>
  <c r="J196" i="15"/>
  <c r="H197" i="15"/>
  <c r="I197" i="15"/>
  <c r="J197" i="15"/>
  <c r="H198" i="15"/>
  <c r="I198" i="15"/>
  <c r="J198" i="15"/>
  <c r="H199" i="15"/>
  <c r="I199" i="15"/>
  <c r="J199" i="15"/>
  <c r="H200" i="15"/>
  <c r="I200" i="15"/>
  <c r="J200" i="15"/>
  <c r="H201" i="15"/>
  <c r="I201" i="15"/>
  <c r="J201" i="15"/>
  <c r="H202" i="15"/>
  <c r="I202" i="15"/>
  <c r="J202" i="15"/>
  <c r="H203" i="15"/>
  <c r="I203" i="15"/>
  <c r="J203" i="15"/>
  <c r="H204" i="15"/>
  <c r="I204" i="15"/>
  <c r="J204" i="15"/>
  <c r="H205" i="15"/>
  <c r="I205" i="15"/>
  <c r="J205" i="15"/>
  <c r="H206" i="15"/>
  <c r="I206" i="15"/>
  <c r="J206" i="15"/>
  <c r="H207" i="15"/>
  <c r="I207" i="15"/>
  <c r="J207" i="15"/>
  <c r="H208" i="15"/>
  <c r="I208" i="15"/>
  <c r="J208" i="15"/>
  <c r="H209" i="15"/>
  <c r="I209" i="15"/>
  <c r="J209" i="15"/>
  <c r="H210" i="15"/>
  <c r="I210" i="15"/>
  <c r="J210" i="15"/>
  <c r="H211" i="15"/>
  <c r="I211" i="15"/>
  <c r="J211" i="15"/>
  <c r="H212" i="15"/>
  <c r="I212" i="15"/>
  <c r="J212" i="15"/>
  <c r="H213" i="15"/>
  <c r="I213" i="15"/>
  <c r="J213" i="15"/>
  <c r="H214" i="15"/>
  <c r="I214" i="15"/>
  <c r="J214" i="15"/>
  <c r="H215" i="15"/>
  <c r="I215" i="15"/>
  <c r="J215" i="15"/>
  <c r="H216" i="15"/>
  <c r="I216" i="15"/>
  <c r="J216" i="15"/>
  <c r="H217" i="15"/>
  <c r="I217" i="15"/>
  <c r="J217" i="15"/>
  <c r="H218" i="15"/>
  <c r="I218" i="15"/>
  <c r="J218" i="15"/>
  <c r="H219" i="15"/>
  <c r="I219" i="15"/>
  <c r="J219" i="15"/>
  <c r="H220" i="15"/>
  <c r="I220" i="15"/>
  <c r="J220" i="15"/>
  <c r="H221" i="15"/>
  <c r="I221" i="15"/>
  <c r="J221" i="15"/>
  <c r="H222" i="15"/>
  <c r="I222" i="15"/>
  <c r="J222" i="15"/>
  <c r="H223" i="15"/>
  <c r="I223" i="15"/>
  <c r="J223" i="15"/>
  <c r="H224" i="15"/>
  <c r="I224" i="15"/>
  <c r="J224" i="15"/>
  <c r="H225" i="15"/>
  <c r="I225" i="15"/>
  <c r="J225" i="15"/>
  <c r="H226" i="15"/>
  <c r="I226" i="15"/>
  <c r="J226" i="15"/>
  <c r="H227" i="15"/>
  <c r="I227" i="15"/>
  <c r="J227" i="15"/>
  <c r="H228" i="15"/>
  <c r="I228" i="15"/>
  <c r="J228" i="15"/>
  <c r="H229" i="15"/>
  <c r="I229" i="15"/>
  <c r="J229" i="15"/>
  <c r="H230" i="15"/>
  <c r="I230" i="15"/>
  <c r="J230" i="15"/>
  <c r="H231" i="15"/>
  <c r="I231" i="15"/>
  <c r="J231" i="15"/>
  <c r="H232" i="15"/>
  <c r="I232" i="15"/>
  <c r="J232" i="15"/>
  <c r="H233" i="15"/>
  <c r="I233" i="15"/>
  <c r="J233" i="15"/>
  <c r="H234" i="15"/>
  <c r="I234" i="15"/>
  <c r="J234" i="15"/>
  <c r="H235" i="15"/>
  <c r="I235" i="15"/>
  <c r="J235" i="15"/>
  <c r="H236" i="15"/>
  <c r="I236" i="15"/>
  <c r="J236" i="15"/>
  <c r="H237" i="15"/>
  <c r="I237" i="15"/>
  <c r="J237" i="15"/>
  <c r="H238" i="15"/>
  <c r="I238" i="15"/>
  <c r="J238" i="15"/>
  <c r="H239" i="15"/>
  <c r="I239" i="15"/>
  <c r="J239" i="15"/>
  <c r="H240" i="15"/>
  <c r="I240" i="15"/>
  <c r="J240" i="15"/>
  <c r="H241" i="15"/>
  <c r="I241" i="15"/>
  <c r="J241" i="15"/>
  <c r="H242" i="15"/>
  <c r="I242" i="15"/>
  <c r="J242" i="15"/>
  <c r="H243" i="15"/>
  <c r="I243" i="15"/>
  <c r="J243" i="15"/>
  <c r="H244" i="15"/>
  <c r="I244" i="15"/>
  <c r="J244" i="15"/>
  <c r="H245" i="15"/>
  <c r="I245" i="15"/>
  <c r="J245" i="15"/>
  <c r="H246" i="15"/>
  <c r="I246" i="15"/>
  <c r="J246" i="15"/>
  <c r="H247" i="15"/>
  <c r="I247" i="15"/>
  <c r="J247" i="15"/>
  <c r="H248" i="15"/>
  <c r="I248" i="15"/>
  <c r="J248" i="15"/>
  <c r="H249" i="15"/>
  <c r="I249" i="15"/>
  <c r="J249" i="15"/>
  <c r="H250" i="15"/>
  <c r="I250" i="15"/>
  <c r="J250" i="15"/>
  <c r="H251" i="15"/>
  <c r="I251" i="15"/>
  <c r="J251" i="15"/>
  <c r="H252" i="15"/>
  <c r="I252" i="15"/>
  <c r="J252" i="15"/>
  <c r="H253" i="15"/>
  <c r="I253" i="15"/>
  <c r="J253" i="15"/>
  <c r="H254" i="15"/>
  <c r="I254" i="15"/>
  <c r="J254" i="15"/>
  <c r="H255" i="15"/>
  <c r="I255" i="15"/>
  <c r="J255" i="15"/>
  <c r="H256" i="15"/>
  <c r="I256" i="15"/>
  <c r="J256" i="15"/>
  <c r="H257" i="15"/>
  <c r="I257" i="15"/>
  <c r="J257" i="15"/>
  <c r="H258" i="15"/>
  <c r="I258" i="15"/>
  <c r="J258" i="15"/>
  <c r="H259" i="15"/>
  <c r="I259" i="15"/>
  <c r="J259" i="15"/>
  <c r="H260" i="15"/>
  <c r="I260" i="15"/>
  <c r="J260" i="15"/>
  <c r="H261" i="15"/>
  <c r="I261" i="15"/>
  <c r="J261" i="15"/>
  <c r="H262" i="15"/>
  <c r="I262" i="15"/>
  <c r="J262" i="15"/>
  <c r="H263" i="15"/>
  <c r="I263" i="15"/>
  <c r="J263" i="15"/>
  <c r="H264" i="15"/>
  <c r="I264" i="15"/>
  <c r="J264" i="15"/>
  <c r="H265" i="15"/>
  <c r="I265" i="15"/>
  <c r="J265" i="15"/>
  <c r="H266" i="15"/>
  <c r="I266" i="15"/>
  <c r="J266" i="15"/>
  <c r="H267" i="15"/>
  <c r="I267" i="15"/>
  <c r="J267" i="15"/>
  <c r="H268" i="15"/>
  <c r="I268" i="15"/>
  <c r="J268" i="15"/>
  <c r="H269" i="15"/>
  <c r="I269" i="15"/>
  <c r="J269" i="15"/>
  <c r="H270" i="15"/>
  <c r="I270" i="15"/>
  <c r="J270" i="15"/>
  <c r="H271" i="15"/>
  <c r="I271" i="15"/>
  <c r="J271" i="15"/>
  <c r="H272" i="15"/>
  <c r="I272" i="15"/>
  <c r="J272" i="15"/>
  <c r="H273" i="15"/>
  <c r="I273" i="15"/>
  <c r="J273" i="15"/>
  <c r="H274" i="15"/>
  <c r="I274" i="15"/>
  <c r="J274" i="15"/>
  <c r="H275" i="15"/>
  <c r="I275" i="15"/>
  <c r="J275" i="15"/>
  <c r="H276" i="15"/>
  <c r="I276" i="15"/>
  <c r="J276" i="15"/>
  <c r="H277" i="15"/>
  <c r="I277" i="15"/>
  <c r="J277" i="15"/>
  <c r="H278" i="15"/>
  <c r="I278" i="15"/>
  <c r="J278" i="15"/>
  <c r="H279" i="15"/>
  <c r="I279" i="15"/>
  <c r="J279" i="15"/>
  <c r="H280" i="15"/>
  <c r="I280" i="15"/>
  <c r="J280" i="15"/>
  <c r="H281" i="15"/>
  <c r="I281" i="15"/>
  <c r="J281" i="15"/>
  <c r="H282" i="15"/>
  <c r="I282" i="15"/>
  <c r="J282" i="15"/>
  <c r="H283" i="15"/>
  <c r="I283" i="15"/>
  <c r="J283" i="15"/>
  <c r="H284" i="15"/>
  <c r="I284" i="15"/>
  <c r="J284" i="15"/>
  <c r="H285" i="15"/>
  <c r="I285" i="15"/>
  <c r="J285" i="15"/>
  <c r="H286" i="15"/>
  <c r="I286" i="15"/>
  <c r="J286" i="15"/>
  <c r="H287" i="15"/>
  <c r="I287" i="15"/>
  <c r="J287" i="15"/>
  <c r="H288" i="15"/>
  <c r="I288" i="15"/>
  <c r="J288" i="15"/>
  <c r="H289" i="15"/>
  <c r="I289" i="15"/>
  <c r="J289" i="15"/>
  <c r="H290" i="15"/>
  <c r="I290" i="15"/>
  <c r="J290" i="15"/>
  <c r="H291" i="15"/>
  <c r="I291" i="15"/>
  <c r="J291" i="15"/>
  <c r="H292" i="15"/>
  <c r="I292" i="15"/>
  <c r="J292" i="15"/>
  <c r="H293" i="15"/>
  <c r="I293" i="15"/>
  <c r="J293" i="15"/>
  <c r="H294" i="15"/>
  <c r="I294" i="15"/>
  <c r="J294" i="15"/>
  <c r="H295" i="15"/>
  <c r="I295" i="15"/>
  <c r="J295" i="15"/>
  <c r="H296" i="15"/>
  <c r="I296" i="15"/>
  <c r="J296" i="15"/>
  <c r="H297" i="15"/>
  <c r="I297" i="15"/>
  <c r="J297" i="15"/>
  <c r="H298" i="15"/>
  <c r="I298" i="15"/>
  <c r="J298" i="15"/>
  <c r="H299" i="15"/>
  <c r="I299" i="15"/>
  <c r="J299" i="15"/>
  <c r="H300" i="15"/>
  <c r="I300" i="15"/>
  <c r="J300" i="15"/>
  <c r="H301" i="15"/>
  <c r="I301" i="15"/>
  <c r="J301" i="15"/>
  <c r="H302" i="15"/>
  <c r="I302" i="15"/>
  <c r="J302" i="15"/>
  <c r="H303" i="15"/>
  <c r="I303" i="15"/>
  <c r="J303" i="15"/>
  <c r="H304" i="15"/>
  <c r="I304" i="15"/>
  <c r="J304" i="15"/>
  <c r="H305" i="15"/>
  <c r="I305" i="15"/>
  <c r="J305" i="15"/>
  <c r="H306" i="15"/>
  <c r="I306" i="15"/>
  <c r="J306" i="15"/>
  <c r="H307" i="15"/>
  <c r="I307" i="15"/>
  <c r="J307" i="15"/>
  <c r="H308" i="15"/>
  <c r="I308" i="15"/>
  <c r="J308" i="15"/>
  <c r="H309" i="15"/>
  <c r="I309" i="15"/>
  <c r="J309" i="15"/>
  <c r="H310" i="15"/>
  <c r="I310" i="15"/>
  <c r="J310" i="15"/>
  <c r="H311" i="15"/>
  <c r="I311" i="15"/>
  <c r="J311" i="15"/>
  <c r="H312" i="15"/>
  <c r="I312" i="15"/>
  <c r="J312" i="15"/>
  <c r="H313" i="15"/>
  <c r="I313" i="15"/>
  <c r="J313" i="15"/>
  <c r="H314" i="15"/>
  <c r="I314" i="15"/>
  <c r="J314" i="15"/>
  <c r="H315" i="15"/>
  <c r="I315" i="15"/>
  <c r="J315" i="15"/>
  <c r="H316" i="15"/>
  <c r="I316" i="15"/>
  <c r="J316" i="15"/>
  <c r="H317" i="15"/>
  <c r="I317" i="15"/>
  <c r="J317" i="15"/>
  <c r="H318" i="15"/>
  <c r="I318" i="15"/>
  <c r="J318" i="15"/>
  <c r="H319" i="15"/>
  <c r="I319" i="15"/>
  <c r="J319" i="15"/>
  <c r="H320" i="15"/>
  <c r="I320" i="15"/>
  <c r="J320" i="15"/>
  <c r="H321" i="15"/>
  <c r="I321" i="15"/>
  <c r="J321" i="15"/>
  <c r="H322" i="15"/>
  <c r="I322" i="15"/>
  <c r="J322" i="15"/>
  <c r="H323" i="15"/>
  <c r="I323" i="15"/>
  <c r="J323" i="15"/>
  <c r="H324" i="15"/>
  <c r="I324" i="15"/>
  <c r="J324" i="15"/>
  <c r="H325" i="15"/>
  <c r="I325" i="15"/>
  <c r="J325" i="15"/>
  <c r="H326" i="15"/>
  <c r="I326" i="15"/>
  <c r="J326" i="15"/>
  <c r="H327" i="15"/>
  <c r="I327" i="15"/>
  <c r="J327" i="15"/>
  <c r="H328" i="15"/>
  <c r="I328" i="15"/>
  <c r="J328" i="15"/>
  <c r="H329" i="15"/>
  <c r="I329" i="15"/>
  <c r="J329" i="15"/>
  <c r="H330" i="15"/>
  <c r="I330" i="15"/>
  <c r="J330" i="15"/>
  <c r="H331" i="15"/>
  <c r="I331" i="15"/>
  <c r="J331" i="15"/>
  <c r="H332" i="15"/>
  <c r="I332" i="15"/>
  <c r="J332" i="15"/>
  <c r="H333" i="15"/>
  <c r="I333" i="15"/>
  <c r="J333" i="15"/>
  <c r="H334" i="15"/>
  <c r="I334" i="15"/>
  <c r="J334" i="15"/>
  <c r="H335" i="15"/>
  <c r="I335" i="15"/>
  <c r="J335" i="15"/>
  <c r="H336" i="15"/>
  <c r="I336" i="15"/>
  <c r="J336" i="15"/>
  <c r="H337" i="15"/>
  <c r="I337" i="15"/>
  <c r="J337" i="15"/>
  <c r="H338" i="15"/>
  <c r="I338" i="15"/>
  <c r="J338" i="15"/>
  <c r="H339" i="15"/>
  <c r="I339" i="15"/>
  <c r="J339" i="15"/>
  <c r="H340" i="15"/>
  <c r="I340" i="15"/>
  <c r="J340" i="15"/>
  <c r="H341" i="15"/>
  <c r="I341" i="15"/>
  <c r="J341" i="15"/>
  <c r="H342" i="15"/>
  <c r="I342" i="15"/>
  <c r="J342" i="15"/>
  <c r="H343" i="15"/>
  <c r="I343" i="15"/>
  <c r="J343" i="15"/>
  <c r="H344" i="15"/>
  <c r="I344" i="15"/>
  <c r="J344" i="15"/>
  <c r="H345" i="15"/>
  <c r="I345" i="15"/>
  <c r="J345" i="15"/>
  <c r="H346" i="15"/>
  <c r="I346" i="15"/>
  <c r="J346" i="15"/>
  <c r="H347" i="15"/>
  <c r="I347" i="15"/>
  <c r="J347" i="15"/>
  <c r="H348" i="15"/>
  <c r="I348" i="15"/>
  <c r="J348" i="15"/>
  <c r="H349" i="15"/>
  <c r="I349" i="15"/>
  <c r="J349" i="15"/>
  <c r="H350" i="15"/>
  <c r="I350" i="15"/>
  <c r="J350" i="15"/>
  <c r="H351" i="15"/>
  <c r="I351" i="15"/>
  <c r="J351" i="15"/>
  <c r="H352" i="15"/>
  <c r="I352" i="15"/>
  <c r="J352" i="15"/>
  <c r="H353" i="15"/>
  <c r="I353" i="15"/>
  <c r="J353" i="15"/>
  <c r="H354" i="15"/>
  <c r="I354" i="15"/>
  <c r="J354" i="15"/>
  <c r="H355" i="15"/>
  <c r="I355" i="15"/>
  <c r="J355" i="15"/>
  <c r="H356" i="15"/>
  <c r="I356" i="15"/>
  <c r="J356" i="15"/>
  <c r="H357" i="15"/>
  <c r="I357" i="15"/>
  <c r="J357" i="15"/>
  <c r="H358" i="15"/>
  <c r="I358" i="15"/>
  <c r="J358" i="15"/>
  <c r="H359" i="15"/>
  <c r="I359" i="15"/>
  <c r="J359" i="15"/>
  <c r="H360" i="15"/>
  <c r="I360" i="15"/>
  <c r="J360" i="15"/>
  <c r="H361" i="15"/>
  <c r="I361" i="15"/>
  <c r="J361" i="15"/>
  <c r="H362" i="15"/>
  <c r="I362" i="15"/>
  <c r="J362" i="15"/>
  <c r="H363" i="15"/>
  <c r="I363" i="15"/>
  <c r="J363" i="15"/>
  <c r="H364" i="15"/>
  <c r="I364" i="15"/>
  <c r="J364" i="15"/>
  <c r="H365" i="15"/>
  <c r="I365" i="15"/>
  <c r="J365" i="15"/>
  <c r="H366" i="15"/>
  <c r="I366" i="15"/>
  <c r="J366" i="15"/>
  <c r="H367" i="15"/>
  <c r="I367" i="15"/>
  <c r="J367" i="15"/>
  <c r="H368" i="15"/>
  <c r="I368" i="15"/>
  <c r="J368" i="15"/>
  <c r="H369" i="15"/>
  <c r="I369" i="15"/>
  <c r="J369" i="15"/>
  <c r="H370" i="15"/>
  <c r="I370" i="15"/>
  <c r="J370" i="15"/>
  <c r="H371" i="15"/>
  <c r="I371" i="15"/>
  <c r="J371" i="15"/>
  <c r="H372" i="15"/>
  <c r="I372" i="15"/>
  <c r="J372" i="15"/>
  <c r="H373" i="15"/>
  <c r="I373" i="15"/>
  <c r="J373" i="15"/>
  <c r="H374" i="15"/>
  <c r="I374" i="15"/>
  <c r="J374" i="15"/>
  <c r="H375" i="15"/>
  <c r="I375" i="15"/>
  <c r="J375" i="15"/>
  <c r="H376" i="15"/>
  <c r="I376" i="15"/>
  <c r="J376" i="15"/>
  <c r="H377" i="15"/>
  <c r="I377" i="15"/>
  <c r="J377" i="15"/>
  <c r="H378" i="15"/>
  <c r="I378" i="15"/>
  <c r="J378" i="15"/>
  <c r="H379" i="15"/>
  <c r="I379" i="15"/>
  <c r="J379" i="15"/>
  <c r="H380" i="15"/>
  <c r="I380" i="15"/>
  <c r="J380" i="15"/>
  <c r="H381" i="15"/>
  <c r="I381" i="15"/>
  <c r="J381" i="15"/>
  <c r="H382" i="15"/>
  <c r="I382" i="15"/>
  <c r="J382" i="15"/>
  <c r="H383" i="15"/>
  <c r="I383" i="15"/>
  <c r="J383" i="15"/>
  <c r="H384" i="15"/>
  <c r="I384" i="15"/>
  <c r="J384" i="15"/>
  <c r="H385" i="15"/>
  <c r="I385" i="15"/>
  <c r="J385" i="15"/>
  <c r="H386" i="15"/>
  <c r="I386" i="15"/>
  <c r="J386" i="15"/>
  <c r="H387" i="15"/>
  <c r="I387" i="15"/>
  <c r="J387" i="15"/>
  <c r="H388" i="15"/>
  <c r="I388" i="15"/>
  <c r="J388" i="15"/>
  <c r="H389" i="15"/>
  <c r="I389" i="15"/>
  <c r="J389" i="15"/>
  <c r="H390" i="15"/>
  <c r="I390" i="15"/>
  <c r="J390" i="15"/>
  <c r="H391" i="15"/>
  <c r="I391" i="15"/>
  <c r="J391" i="15"/>
  <c r="H392" i="15"/>
  <c r="I392" i="15"/>
  <c r="J392" i="15"/>
  <c r="H393" i="15"/>
  <c r="I393" i="15"/>
  <c r="J393" i="15"/>
  <c r="H394" i="15"/>
  <c r="I394" i="15"/>
  <c r="J394" i="15"/>
  <c r="H395" i="15"/>
  <c r="I395" i="15"/>
  <c r="J395" i="15"/>
  <c r="H396" i="15"/>
  <c r="I396" i="15"/>
  <c r="J396" i="15"/>
  <c r="H397" i="15"/>
  <c r="I397" i="15"/>
  <c r="J397" i="15"/>
  <c r="H398" i="15"/>
  <c r="I398" i="15"/>
  <c r="J398" i="15"/>
  <c r="H399" i="15"/>
  <c r="I399" i="15"/>
  <c r="J399" i="15"/>
  <c r="H400" i="15"/>
  <c r="I400" i="15"/>
  <c r="J400" i="15"/>
  <c r="H401" i="15"/>
  <c r="I401" i="15"/>
  <c r="J401" i="15"/>
  <c r="H402" i="15"/>
  <c r="I402" i="15"/>
  <c r="J402" i="15"/>
  <c r="H403" i="15"/>
  <c r="I403" i="15"/>
  <c r="J403" i="15"/>
  <c r="H404" i="15"/>
  <c r="I404" i="15"/>
  <c r="J404" i="15"/>
  <c r="H405" i="15"/>
  <c r="I405" i="15"/>
  <c r="J405" i="15"/>
  <c r="H406" i="15"/>
  <c r="I406" i="15"/>
  <c r="J406" i="15"/>
  <c r="H407" i="15"/>
  <c r="I407" i="15"/>
  <c r="J407" i="15"/>
  <c r="H408" i="15"/>
  <c r="I408" i="15"/>
  <c r="J408" i="15"/>
  <c r="H409" i="15"/>
  <c r="I409" i="15"/>
  <c r="J409" i="15"/>
  <c r="H410" i="15"/>
  <c r="I410" i="15"/>
  <c r="J410" i="15"/>
  <c r="H411" i="15"/>
  <c r="I411" i="15"/>
  <c r="J411" i="15"/>
  <c r="H412" i="15"/>
  <c r="I412" i="15"/>
  <c r="J412" i="15"/>
  <c r="H413" i="15"/>
  <c r="I413" i="15"/>
  <c r="J413" i="15"/>
  <c r="H414" i="15"/>
  <c r="I414" i="15"/>
  <c r="J414" i="15"/>
  <c r="H415" i="15"/>
  <c r="I415" i="15"/>
  <c r="J415" i="15"/>
  <c r="H416" i="15"/>
  <c r="I416" i="15"/>
  <c r="J416" i="15"/>
  <c r="H417" i="15"/>
  <c r="I417" i="15"/>
  <c r="J417" i="15"/>
  <c r="H418" i="15"/>
  <c r="I418" i="15"/>
  <c r="J418" i="15"/>
  <c r="H419" i="15"/>
  <c r="I419" i="15"/>
  <c r="J419" i="15"/>
  <c r="H420" i="15"/>
  <c r="I420" i="15"/>
  <c r="J420" i="15"/>
  <c r="H421" i="15"/>
  <c r="I421" i="15"/>
  <c r="J421" i="15"/>
  <c r="H422" i="15"/>
  <c r="I422" i="15"/>
  <c r="J422" i="15"/>
  <c r="H423" i="15"/>
  <c r="I423" i="15"/>
  <c r="J423" i="15"/>
  <c r="H424" i="15"/>
  <c r="I424" i="15"/>
  <c r="J424" i="15"/>
  <c r="H425" i="15"/>
  <c r="I425" i="15"/>
  <c r="J425" i="15"/>
  <c r="H426" i="15"/>
  <c r="I426" i="15"/>
  <c r="J426" i="15"/>
  <c r="H427" i="15"/>
  <c r="I427" i="15"/>
  <c r="J427" i="15"/>
  <c r="H428" i="15"/>
  <c r="I428" i="15"/>
  <c r="J428" i="15"/>
  <c r="H429" i="15"/>
  <c r="I429" i="15"/>
  <c r="J429" i="15"/>
  <c r="H430" i="15"/>
  <c r="I430" i="15"/>
  <c r="J430" i="15"/>
  <c r="H431" i="15"/>
  <c r="I431" i="15"/>
  <c r="J431" i="15"/>
  <c r="H432" i="15"/>
  <c r="I432" i="15"/>
  <c r="J432" i="15"/>
  <c r="H433" i="15"/>
  <c r="I433" i="15"/>
  <c r="J433" i="15"/>
  <c r="H434" i="15"/>
  <c r="I434" i="15"/>
  <c r="J434" i="15"/>
  <c r="H435" i="15"/>
  <c r="I435" i="15"/>
  <c r="J435" i="15"/>
  <c r="H436" i="15"/>
  <c r="I436" i="15"/>
  <c r="J436" i="15"/>
  <c r="H437" i="15"/>
  <c r="I437" i="15"/>
  <c r="J437" i="15"/>
  <c r="H438" i="15"/>
  <c r="I438" i="15"/>
  <c r="J438" i="15"/>
  <c r="H439" i="15"/>
  <c r="I439" i="15"/>
  <c r="J439" i="15"/>
  <c r="H440" i="15"/>
  <c r="I440" i="15"/>
  <c r="J440" i="15"/>
  <c r="H441" i="15"/>
  <c r="I441" i="15"/>
  <c r="J441" i="15"/>
  <c r="H442" i="15"/>
  <c r="I442" i="15"/>
  <c r="J442" i="15"/>
  <c r="H443" i="15"/>
  <c r="I443" i="15"/>
  <c r="J443" i="15"/>
  <c r="H444" i="15"/>
  <c r="I444" i="15"/>
  <c r="J444" i="15"/>
  <c r="H445" i="15"/>
  <c r="I445" i="15"/>
  <c r="J445" i="15"/>
  <c r="H446" i="15"/>
  <c r="I446" i="15"/>
  <c r="J446" i="15"/>
  <c r="H447" i="15"/>
  <c r="I447" i="15"/>
  <c r="J447" i="15"/>
  <c r="H448" i="15"/>
  <c r="I448" i="15"/>
  <c r="J448" i="15"/>
  <c r="H449" i="15"/>
  <c r="I449" i="15"/>
  <c r="J449" i="15"/>
  <c r="H450" i="15"/>
  <c r="I450" i="15"/>
  <c r="J450" i="15"/>
  <c r="H451" i="15"/>
  <c r="I451" i="15"/>
  <c r="J451" i="15"/>
  <c r="H452" i="15"/>
  <c r="I452" i="15"/>
  <c r="J452" i="15"/>
  <c r="H453" i="15"/>
  <c r="I453" i="15"/>
  <c r="J453" i="15"/>
  <c r="H454" i="15"/>
  <c r="I454" i="15"/>
  <c r="J454" i="15"/>
  <c r="H455" i="15"/>
  <c r="I455" i="15"/>
  <c r="J455" i="15"/>
  <c r="H456" i="15"/>
  <c r="I456" i="15"/>
  <c r="J456" i="15"/>
  <c r="H457" i="15"/>
  <c r="I457" i="15"/>
  <c r="J457" i="15"/>
  <c r="H458" i="15"/>
  <c r="I458" i="15"/>
  <c r="J458" i="15"/>
  <c r="H459" i="15"/>
  <c r="I459" i="15"/>
  <c r="J459" i="15"/>
  <c r="H460" i="15"/>
  <c r="I460" i="15"/>
  <c r="J460" i="15"/>
  <c r="H461" i="15"/>
  <c r="I461" i="15"/>
  <c r="J461" i="15"/>
  <c r="H462" i="15"/>
  <c r="I462" i="15"/>
  <c r="J462" i="15"/>
  <c r="H463" i="15"/>
  <c r="I463" i="15"/>
  <c r="J463" i="15"/>
  <c r="H464" i="15"/>
  <c r="I464" i="15"/>
  <c r="J464" i="15"/>
  <c r="H465" i="15"/>
  <c r="I465" i="15"/>
  <c r="J465" i="15"/>
  <c r="H466" i="15"/>
  <c r="I466" i="15"/>
  <c r="J466" i="15"/>
  <c r="H467" i="15"/>
  <c r="I467" i="15"/>
  <c r="J467" i="15"/>
  <c r="H468" i="15"/>
  <c r="I468" i="15"/>
  <c r="J468" i="15"/>
  <c r="H469" i="15"/>
  <c r="I469" i="15"/>
  <c r="J469" i="15"/>
  <c r="H470" i="15"/>
  <c r="I470" i="15"/>
  <c r="J470" i="15"/>
  <c r="H471" i="15"/>
  <c r="I471" i="15"/>
  <c r="J471" i="15"/>
  <c r="H472" i="15"/>
  <c r="I472" i="15"/>
  <c r="J472" i="15"/>
  <c r="H473" i="15"/>
  <c r="I473" i="15"/>
  <c r="J473" i="15"/>
  <c r="H474" i="15"/>
  <c r="I474" i="15"/>
  <c r="J474" i="15"/>
  <c r="H475" i="15"/>
  <c r="I475" i="15"/>
  <c r="J475" i="15"/>
  <c r="H476" i="15"/>
  <c r="I476" i="15"/>
  <c r="J476" i="15"/>
  <c r="H477" i="15"/>
  <c r="I477" i="15"/>
  <c r="J477" i="15"/>
  <c r="H478" i="15"/>
  <c r="I478" i="15"/>
  <c r="J478" i="15"/>
  <c r="H479" i="15"/>
  <c r="I479" i="15"/>
  <c r="J479" i="15"/>
  <c r="H480" i="15"/>
  <c r="I480" i="15"/>
  <c r="J480" i="15"/>
  <c r="H481" i="15"/>
  <c r="I481" i="15"/>
  <c r="J481" i="15"/>
  <c r="H482" i="15"/>
  <c r="I482" i="15"/>
  <c r="J482" i="15"/>
  <c r="H483" i="15"/>
  <c r="I483" i="15"/>
  <c r="J483" i="15"/>
  <c r="H484" i="15"/>
  <c r="I484" i="15"/>
  <c r="J484" i="15"/>
  <c r="H485" i="15"/>
  <c r="I485" i="15"/>
  <c r="J485" i="15"/>
  <c r="H486" i="15"/>
  <c r="I486" i="15"/>
  <c r="J486" i="15"/>
  <c r="H487" i="15"/>
  <c r="I487" i="15"/>
  <c r="J487" i="15"/>
  <c r="H488" i="15"/>
  <c r="I488" i="15"/>
  <c r="J488" i="15"/>
  <c r="H489" i="15"/>
  <c r="I489" i="15"/>
  <c r="J489" i="15"/>
  <c r="H490" i="15"/>
  <c r="I490" i="15"/>
  <c r="J490" i="15"/>
  <c r="H491" i="15"/>
  <c r="I491" i="15"/>
  <c r="J491" i="15"/>
  <c r="H492" i="15"/>
  <c r="I492" i="15"/>
  <c r="J492" i="15"/>
  <c r="H493" i="15"/>
  <c r="I493" i="15"/>
  <c r="J493" i="15"/>
  <c r="H494" i="15"/>
  <c r="I494" i="15"/>
  <c r="J494" i="15"/>
  <c r="H495" i="15"/>
  <c r="I495" i="15"/>
  <c r="J495" i="15"/>
  <c r="H496" i="15"/>
  <c r="I496" i="15"/>
  <c r="J496" i="15"/>
  <c r="H497" i="15"/>
  <c r="I497" i="15"/>
  <c r="J497" i="15"/>
  <c r="H498" i="15"/>
  <c r="I498" i="15"/>
  <c r="J498" i="15"/>
  <c r="H499" i="15"/>
  <c r="I499" i="15"/>
  <c r="J499" i="15"/>
  <c r="H500" i="15"/>
  <c r="I500" i="15"/>
  <c r="J500" i="15"/>
  <c r="H501" i="15"/>
  <c r="I501" i="15"/>
  <c r="J501" i="15"/>
  <c r="H502" i="15"/>
  <c r="I502" i="15"/>
  <c r="J502" i="15"/>
  <c r="H503" i="15"/>
  <c r="I503" i="15"/>
  <c r="J503" i="15"/>
  <c r="H504" i="15"/>
  <c r="I504" i="15"/>
  <c r="J504" i="15"/>
  <c r="H505" i="15"/>
  <c r="I505" i="15"/>
  <c r="J505" i="15"/>
  <c r="H506" i="15"/>
  <c r="I506" i="15"/>
  <c r="J506" i="15"/>
  <c r="H507" i="15"/>
  <c r="I507" i="15"/>
  <c r="J507" i="15"/>
  <c r="H508" i="15"/>
  <c r="I508" i="15"/>
  <c r="J508" i="15"/>
  <c r="H509" i="15"/>
  <c r="I509" i="15"/>
  <c r="J509" i="15"/>
  <c r="H510" i="15"/>
  <c r="I510" i="15"/>
  <c r="J510" i="15"/>
  <c r="H511" i="15"/>
  <c r="I511" i="15"/>
  <c r="J511" i="15"/>
  <c r="H512" i="15"/>
  <c r="I512" i="15"/>
  <c r="J512" i="15"/>
  <c r="H513" i="15"/>
  <c r="I513" i="15"/>
  <c r="J513" i="15"/>
  <c r="H514" i="15"/>
  <c r="I514" i="15"/>
  <c r="J514" i="15"/>
  <c r="H515" i="15"/>
  <c r="I515" i="15"/>
  <c r="J515" i="15"/>
  <c r="H516" i="15"/>
  <c r="I516" i="15"/>
  <c r="J516" i="15"/>
  <c r="H517" i="15"/>
  <c r="I517" i="15"/>
  <c r="J517" i="15"/>
  <c r="H518" i="15"/>
  <c r="I518" i="15"/>
  <c r="J518" i="15"/>
  <c r="H519" i="15"/>
  <c r="I519" i="15"/>
  <c r="J519" i="15"/>
  <c r="H520" i="15"/>
  <c r="I520" i="15"/>
  <c r="J520" i="15"/>
  <c r="H521" i="15"/>
  <c r="I521" i="15"/>
  <c r="J521" i="15"/>
  <c r="H522" i="15"/>
  <c r="I522" i="15"/>
  <c r="J522" i="15"/>
  <c r="H523" i="15"/>
  <c r="I523" i="15"/>
  <c r="J523" i="15"/>
  <c r="H524" i="15"/>
  <c r="I524" i="15"/>
  <c r="J524" i="15"/>
  <c r="H525" i="15"/>
  <c r="I525" i="15"/>
  <c r="J525" i="15"/>
  <c r="H526" i="15"/>
  <c r="I526" i="15"/>
  <c r="J526" i="15"/>
  <c r="H527" i="15"/>
  <c r="I527" i="15"/>
  <c r="J527" i="15"/>
  <c r="H528" i="15"/>
  <c r="I528" i="15"/>
  <c r="J528" i="15"/>
  <c r="H529" i="15"/>
  <c r="I529" i="15"/>
  <c r="J529" i="15"/>
  <c r="H530" i="15"/>
  <c r="I530" i="15"/>
  <c r="J530" i="15"/>
  <c r="H531" i="15"/>
  <c r="I531" i="15"/>
  <c r="J531" i="15"/>
  <c r="H532" i="15"/>
  <c r="I532" i="15"/>
  <c r="J532" i="15"/>
  <c r="H533" i="15"/>
  <c r="I533" i="15"/>
  <c r="J533" i="15"/>
  <c r="H534" i="15"/>
  <c r="I534" i="15"/>
  <c r="J534" i="15"/>
  <c r="H535" i="15"/>
  <c r="I535" i="15"/>
  <c r="J535" i="15"/>
  <c r="H536" i="15"/>
  <c r="I536" i="15"/>
  <c r="J536" i="15"/>
  <c r="H537" i="15"/>
  <c r="I537" i="15"/>
  <c r="J537" i="15"/>
  <c r="H538" i="15"/>
  <c r="I538" i="15"/>
  <c r="J538" i="15"/>
  <c r="H539" i="15"/>
  <c r="I539" i="15"/>
  <c r="J539" i="15"/>
  <c r="H540" i="15"/>
  <c r="I540" i="15"/>
  <c r="J540" i="15"/>
  <c r="H541" i="15"/>
  <c r="I541" i="15"/>
  <c r="J541" i="15"/>
  <c r="H542" i="15"/>
  <c r="I542" i="15"/>
  <c r="J542" i="15"/>
  <c r="H543" i="15"/>
  <c r="I543" i="15"/>
  <c r="J543" i="15"/>
  <c r="H544" i="15"/>
  <c r="I544" i="15"/>
  <c r="J544" i="15"/>
  <c r="H545" i="15"/>
  <c r="I545" i="15"/>
  <c r="J545" i="15"/>
  <c r="H546" i="15"/>
  <c r="I546" i="15"/>
  <c r="J546" i="15"/>
  <c r="H547" i="15"/>
  <c r="I547" i="15"/>
  <c r="J547" i="15"/>
  <c r="H548" i="15"/>
  <c r="I548" i="15"/>
  <c r="J548" i="15"/>
  <c r="H549" i="15"/>
  <c r="I549" i="15"/>
  <c r="J549" i="15"/>
  <c r="H550" i="15"/>
  <c r="I550" i="15"/>
  <c r="J550" i="15"/>
  <c r="H551" i="15"/>
  <c r="I551" i="15"/>
  <c r="J551" i="15"/>
  <c r="H552" i="15"/>
  <c r="I552" i="15"/>
  <c r="J552" i="15"/>
  <c r="H553" i="15"/>
  <c r="I553" i="15"/>
  <c r="J553" i="15"/>
  <c r="H554" i="15"/>
  <c r="I554" i="15"/>
  <c r="J554" i="15"/>
  <c r="H555" i="15"/>
  <c r="I555" i="15"/>
  <c r="J555" i="15"/>
  <c r="H556" i="15"/>
  <c r="I556" i="15"/>
  <c r="J556" i="15"/>
  <c r="H557" i="15"/>
  <c r="I557" i="15"/>
  <c r="J557" i="15"/>
  <c r="H558" i="15"/>
  <c r="I558" i="15"/>
  <c r="J558" i="15"/>
  <c r="H559" i="15"/>
  <c r="I559" i="15"/>
  <c r="J559" i="15"/>
  <c r="H560" i="15"/>
  <c r="I560" i="15"/>
  <c r="J560" i="15"/>
  <c r="H561" i="15"/>
  <c r="I561" i="15"/>
  <c r="J561" i="15"/>
  <c r="H562" i="15"/>
  <c r="I562" i="15"/>
  <c r="J562" i="15"/>
  <c r="H563" i="15"/>
  <c r="I563" i="15"/>
  <c r="J563" i="15"/>
  <c r="H564" i="15"/>
  <c r="I564" i="15"/>
  <c r="J564" i="15"/>
  <c r="H565" i="15"/>
  <c r="I565" i="15"/>
  <c r="J565" i="15"/>
  <c r="H566" i="15"/>
  <c r="I566" i="15"/>
  <c r="J566" i="15"/>
  <c r="H567" i="15"/>
  <c r="I567" i="15"/>
  <c r="J567" i="15"/>
  <c r="H568" i="15"/>
  <c r="I568" i="15"/>
  <c r="J568" i="15"/>
  <c r="H569" i="15"/>
  <c r="I569" i="15"/>
  <c r="J569" i="15"/>
  <c r="H570" i="15"/>
  <c r="I570" i="15"/>
  <c r="J570" i="15"/>
  <c r="H571" i="15"/>
  <c r="I571" i="15"/>
  <c r="J571" i="15"/>
  <c r="H572" i="15"/>
  <c r="I572" i="15"/>
  <c r="J572" i="15"/>
  <c r="H573" i="15"/>
  <c r="I573" i="15"/>
  <c r="J573" i="15"/>
  <c r="H574" i="15"/>
  <c r="I574" i="15"/>
  <c r="J574" i="15"/>
  <c r="H575" i="15"/>
  <c r="I575" i="15"/>
  <c r="J575" i="15"/>
  <c r="H576" i="15"/>
  <c r="I576" i="15"/>
  <c r="J576" i="15"/>
  <c r="H577" i="15"/>
  <c r="I577" i="15"/>
  <c r="J577" i="15"/>
  <c r="H578" i="15"/>
  <c r="I578" i="15"/>
  <c r="J578" i="15"/>
  <c r="H579" i="15"/>
  <c r="I579" i="15"/>
  <c r="J579" i="15"/>
  <c r="H580" i="15"/>
  <c r="I580" i="15"/>
  <c r="J580" i="15"/>
  <c r="H581" i="15"/>
  <c r="I581" i="15"/>
  <c r="J581" i="15"/>
  <c r="H582" i="15"/>
  <c r="I582" i="15"/>
  <c r="J582" i="15"/>
  <c r="H583" i="15"/>
  <c r="I583" i="15"/>
  <c r="J583" i="15"/>
  <c r="H584" i="15"/>
  <c r="I584" i="15"/>
  <c r="J584" i="15"/>
  <c r="H585" i="15"/>
  <c r="I585" i="15"/>
  <c r="J585" i="15"/>
  <c r="H586" i="15"/>
  <c r="I586" i="15"/>
  <c r="J586" i="15"/>
  <c r="H587" i="15"/>
  <c r="I587" i="15"/>
  <c r="J587" i="15"/>
  <c r="H588" i="15"/>
  <c r="I588" i="15"/>
  <c r="J588" i="15"/>
  <c r="H589" i="15"/>
  <c r="I589" i="15"/>
  <c r="J589" i="15"/>
  <c r="H590" i="15"/>
  <c r="I590" i="15"/>
  <c r="J590" i="15"/>
  <c r="H591" i="15"/>
  <c r="I591" i="15"/>
  <c r="J591" i="15"/>
  <c r="H592" i="15"/>
  <c r="I592" i="15"/>
  <c r="J592" i="15"/>
  <c r="H593" i="15"/>
  <c r="I593" i="15"/>
  <c r="J593" i="15"/>
  <c r="H594" i="15"/>
  <c r="I594" i="15"/>
  <c r="J594" i="15"/>
  <c r="H595" i="15"/>
  <c r="I595" i="15"/>
  <c r="J595" i="15"/>
  <c r="H596" i="15"/>
  <c r="I596" i="15"/>
  <c r="J596" i="15"/>
  <c r="H597" i="15"/>
  <c r="I597" i="15"/>
  <c r="J597" i="15"/>
  <c r="H598" i="15"/>
  <c r="I598" i="15"/>
  <c r="J598" i="15"/>
  <c r="H599" i="15"/>
  <c r="I599" i="15"/>
  <c r="J599" i="15"/>
  <c r="H600" i="15"/>
  <c r="I600" i="15"/>
  <c r="J600" i="15"/>
  <c r="H601" i="15"/>
  <c r="I601" i="15"/>
  <c r="J601" i="15"/>
  <c r="H602" i="15"/>
  <c r="I602" i="15"/>
  <c r="J602" i="15"/>
  <c r="H603" i="15"/>
  <c r="I603" i="15"/>
  <c r="J603" i="15"/>
  <c r="H604" i="15"/>
  <c r="I604" i="15"/>
  <c r="J604" i="15"/>
  <c r="H605" i="15"/>
  <c r="I605" i="15"/>
  <c r="J605" i="15"/>
  <c r="H606" i="15"/>
  <c r="I606" i="15"/>
  <c r="J606" i="15"/>
  <c r="H607" i="15"/>
  <c r="I607" i="15"/>
  <c r="J607" i="15"/>
  <c r="H608" i="15"/>
  <c r="I608" i="15"/>
  <c r="J608" i="15"/>
  <c r="H609" i="15"/>
  <c r="I609" i="15"/>
  <c r="J609" i="15"/>
  <c r="H610" i="15"/>
  <c r="I610" i="15"/>
  <c r="J610" i="15"/>
  <c r="H611" i="15"/>
  <c r="I611" i="15"/>
  <c r="J611" i="15"/>
  <c r="H612" i="15"/>
  <c r="I612" i="15"/>
  <c r="J612" i="15"/>
  <c r="H613" i="15"/>
  <c r="I613" i="15"/>
  <c r="J613" i="15"/>
  <c r="H614" i="15"/>
  <c r="I614" i="15"/>
  <c r="J614" i="15"/>
  <c r="H615" i="15"/>
  <c r="I615" i="15"/>
  <c r="J615" i="15"/>
  <c r="H616" i="15"/>
  <c r="I616" i="15"/>
  <c r="J616" i="15"/>
  <c r="H617" i="15"/>
  <c r="I617" i="15"/>
  <c r="J617" i="15"/>
  <c r="H618" i="15"/>
  <c r="I618" i="15"/>
  <c r="J618" i="15"/>
  <c r="H619" i="15"/>
  <c r="I619" i="15"/>
  <c r="J619" i="15"/>
  <c r="H620" i="15"/>
  <c r="I620" i="15"/>
  <c r="J620" i="15"/>
  <c r="H621" i="15"/>
  <c r="I621" i="15"/>
  <c r="J621" i="15"/>
  <c r="H622" i="15"/>
  <c r="I622" i="15"/>
  <c r="J622" i="15"/>
  <c r="H623" i="15"/>
  <c r="I623" i="15"/>
  <c r="J623" i="15"/>
  <c r="H624" i="15"/>
  <c r="I624" i="15"/>
  <c r="J624" i="15"/>
  <c r="H625" i="15"/>
  <c r="I625" i="15"/>
  <c r="J625" i="15"/>
  <c r="H626" i="15"/>
  <c r="I626" i="15"/>
  <c r="J626" i="15"/>
  <c r="H627" i="15"/>
  <c r="I627" i="15"/>
  <c r="J627" i="15"/>
  <c r="H628" i="15"/>
  <c r="I628" i="15"/>
  <c r="J628" i="15"/>
  <c r="H629" i="15"/>
  <c r="I629" i="15"/>
  <c r="J629" i="15"/>
  <c r="H630" i="15"/>
  <c r="I630" i="15"/>
  <c r="J630" i="15"/>
  <c r="H631" i="15"/>
  <c r="I631" i="15"/>
  <c r="J631" i="15"/>
  <c r="H632" i="15"/>
  <c r="I632" i="15"/>
  <c r="J632" i="15"/>
  <c r="H633" i="15"/>
  <c r="I633" i="15"/>
  <c r="J633" i="15"/>
  <c r="H634" i="15"/>
  <c r="I634" i="15"/>
  <c r="J634" i="15"/>
  <c r="H635" i="15"/>
  <c r="I635" i="15"/>
  <c r="J635" i="15"/>
  <c r="H636" i="15"/>
  <c r="I636" i="15"/>
  <c r="J636" i="15"/>
  <c r="H637" i="15"/>
  <c r="I637" i="15"/>
  <c r="J637" i="15"/>
  <c r="H638" i="15"/>
  <c r="I638" i="15"/>
  <c r="J638" i="15"/>
  <c r="H639" i="15"/>
  <c r="I639" i="15"/>
  <c r="J639" i="15"/>
  <c r="H640" i="15"/>
  <c r="I640" i="15"/>
  <c r="J640" i="15"/>
  <c r="H641" i="15"/>
  <c r="I641" i="15"/>
  <c r="J641" i="15"/>
  <c r="H642" i="15"/>
  <c r="I642" i="15"/>
  <c r="J642" i="15"/>
  <c r="H643" i="15"/>
  <c r="I643" i="15"/>
  <c r="J643" i="15"/>
  <c r="H644" i="15"/>
  <c r="I644" i="15"/>
  <c r="J644" i="15"/>
  <c r="H645" i="15"/>
  <c r="I645" i="15"/>
  <c r="J645" i="15"/>
  <c r="H646" i="15"/>
  <c r="I646" i="15"/>
  <c r="J646" i="15"/>
  <c r="H647" i="15"/>
  <c r="I647" i="15"/>
  <c r="J647" i="15"/>
  <c r="H648" i="15"/>
  <c r="I648" i="15"/>
  <c r="J648" i="15"/>
  <c r="H649" i="15"/>
  <c r="I649" i="15"/>
  <c r="J649" i="15"/>
  <c r="H650" i="15"/>
  <c r="I650" i="15"/>
  <c r="J650" i="15"/>
  <c r="H651" i="15"/>
  <c r="I651" i="15"/>
  <c r="J651" i="15"/>
  <c r="H652" i="15"/>
  <c r="I652" i="15"/>
  <c r="J652" i="15"/>
  <c r="H653" i="15"/>
  <c r="I653" i="15"/>
  <c r="J653" i="15"/>
  <c r="H654" i="15"/>
  <c r="I654" i="15"/>
  <c r="J654" i="15"/>
  <c r="H655" i="15"/>
  <c r="I655" i="15"/>
  <c r="J655" i="15"/>
  <c r="H656" i="15"/>
  <c r="I656" i="15"/>
  <c r="J656" i="15"/>
  <c r="H657" i="15"/>
  <c r="I657" i="15"/>
  <c r="J657" i="15"/>
  <c r="H658" i="15"/>
  <c r="I658" i="15"/>
  <c r="J658" i="15"/>
  <c r="H659" i="15"/>
  <c r="I659" i="15"/>
  <c r="J659" i="15"/>
  <c r="H660" i="15"/>
  <c r="I660" i="15"/>
  <c r="J660" i="15"/>
  <c r="H661" i="15"/>
  <c r="I661" i="15"/>
  <c r="J661" i="15"/>
  <c r="H662" i="15"/>
  <c r="I662" i="15"/>
  <c r="J662" i="15"/>
  <c r="H663" i="15"/>
  <c r="I663" i="15"/>
  <c r="J663" i="15"/>
  <c r="H664" i="15"/>
  <c r="I664" i="15"/>
  <c r="J664" i="15"/>
  <c r="H665" i="15"/>
  <c r="I665" i="15"/>
  <c r="J665" i="15"/>
  <c r="H666" i="15"/>
  <c r="I666" i="15"/>
  <c r="J666" i="15"/>
  <c r="H667" i="15"/>
  <c r="I667" i="15"/>
  <c r="J667" i="15"/>
  <c r="H668" i="15"/>
  <c r="I668" i="15"/>
  <c r="J668" i="15"/>
  <c r="H669" i="15"/>
  <c r="I669" i="15"/>
  <c r="J669" i="15"/>
  <c r="H670" i="15"/>
  <c r="I670" i="15"/>
  <c r="J670" i="15"/>
  <c r="H671" i="15"/>
  <c r="I671" i="15"/>
  <c r="J671" i="15"/>
  <c r="H672" i="15"/>
  <c r="I672" i="15"/>
  <c r="J672" i="15"/>
  <c r="H673" i="15"/>
  <c r="I673" i="15"/>
  <c r="J673" i="15"/>
  <c r="H674" i="15"/>
  <c r="I674" i="15"/>
  <c r="J674" i="15"/>
  <c r="H675" i="15"/>
  <c r="I675" i="15"/>
  <c r="J675" i="15"/>
  <c r="H676" i="15"/>
  <c r="I676" i="15"/>
  <c r="J676" i="15"/>
  <c r="H677" i="15"/>
  <c r="I677" i="15"/>
  <c r="J677" i="15"/>
  <c r="H678" i="15"/>
  <c r="I678" i="15"/>
  <c r="J678" i="15"/>
  <c r="H679" i="15"/>
  <c r="I679" i="15"/>
  <c r="J679" i="15"/>
  <c r="H680" i="15"/>
  <c r="I680" i="15"/>
  <c r="J680" i="15"/>
  <c r="H681" i="15"/>
  <c r="I681" i="15"/>
  <c r="J681" i="15"/>
  <c r="H682" i="15"/>
  <c r="I682" i="15"/>
  <c r="J682" i="15"/>
  <c r="H683" i="15"/>
  <c r="I683" i="15"/>
  <c r="J683" i="15"/>
  <c r="H684" i="15"/>
  <c r="I684" i="15"/>
  <c r="J684" i="15"/>
  <c r="H685" i="15"/>
  <c r="I685" i="15"/>
  <c r="J685" i="15"/>
  <c r="H686" i="15"/>
  <c r="I686" i="15"/>
  <c r="J686" i="15"/>
  <c r="H687" i="15"/>
  <c r="I687" i="15"/>
  <c r="J687" i="15"/>
  <c r="H688" i="15"/>
  <c r="I688" i="15"/>
  <c r="J688" i="15"/>
  <c r="H689" i="15"/>
  <c r="I689" i="15"/>
  <c r="J689" i="15"/>
  <c r="H690" i="15"/>
  <c r="I690" i="15"/>
  <c r="J690" i="15"/>
  <c r="H691" i="15"/>
  <c r="I691" i="15"/>
  <c r="J691" i="15"/>
  <c r="H692" i="15"/>
  <c r="I692" i="15"/>
  <c r="J692" i="15"/>
  <c r="H693" i="15"/>
  <c r="I693" i="15"/>
  <c r="J693" i="15"/>
  <c r="H694" i="15"/>
  <c r="I694" i="15"/>
  <c r="J694" i="15"/>
  <c r="H695" i="15"/>
  <c r="I695" i="15"/>
  <c r="J695" i="15"/>
  <c r="H696" i="15"/>
  <c r="I696" i="15"/>
  <c r="J696" i="15"/>
  <c r="H697" i="15"/>
  <c r="I697" i="15"/>
  <c r="J697" i="15"/>
  <c r="H698" i="15"/>
  <c r="I698" i="15"/>
  <c r="J698" i="15"/>
  <c r="H699" i="15"/>
  <c r="I699" i="15"/>
  <c r="J699" i="15"/>
  <c r="H700" i="15"/>
  <c r="I700" i="15"/>
  <c r="J700" i="15"/>
  <c r="H701" i="15"/>
  <c r="I701" i="15"/>
  <c r="J701" i="15"/>
  <c r="H702" i="15"/>
  <c r="I702" i="15"/>
  <c r="J702" i="15"/>
  <c r="H703" i="15"/>
  <c r="I703" i="15"/>
  <c r="J703" i="15"/>
  <c r="H704" i="15"/>
  <c r="I704" i="15"/>
  <c r="J704" i="15"/>
  <c r="H705" i="15"/>
  <c r="I705" i="15"/>
  <c r="J705" i="15"/>
  <c r="H706" i="15"/>
  <c r="I706" i="15"/>
  <c r="J706" i="15"/>
  <c r="H707" i="15"/>
  <c r="I707" i="15"/>
  <c r="J707" i="15"/>
  <c r="H708" i="15"/>
  <c r="I708" i="15"/>
  <c r="J708" i="15"/>
  <c r="H709" i="15"/>
  <c r="I709" i="15"/>
  <c r="J709" i="15"/>
  <c r="H710" i="15"/>
  <c r="I710" i="15"/>
  <c r="J710" i="15"/>
  <c r="H711" i="15"/>
  <c r="I711" i="15"/>
  <c r="J711" i="15"/>
  <c r="H712" i="15"/>
  <c r="I712" i="15"/>
  <c r="J712" i="15"/>
  <c r="H713" i="15"/>
  <c r="I713" i="15"/>
  <c r="J713" i="15"/>
  <c r="H714" i="15"/>
  <c r="I714" i="15"/>
  <c r="J714" i="15"/>
  <c r="H715" i="15"/>
  <c r="I715" i="15"/>
  <c r="J715" i="15"/>
  <c r="H716" i="15"/>
  <c r="I716" i="15"/>
  <c r="J716" i="15"/>
  <c r="H717" i="15"/>
  <c r="I717" i="15"/>
  <c r="J717" i="15"/>
  <c r="H718" i="15"/>
  <c r="I718" i="15"/>
  <c r="J718" i="15"/>
  <c r="H719" i="15"/>
  <c r="I719" i="15"/>
  <c r="J719" i="15"/>
  <c r="H720" i="15"/>
  <c r="I720" i="15"/>
  <c r="J720" i="15"/>
  <c r="H721" i="15"/>
  <c r="I721" i="15"/>
  <c r="J721" i="15"/>
  <c r="H722" i="15"/>
  <c r="I722" i="15"/>
  <c r="J722" i="15"/>
  <c r="H723" i="15"/>
  <c r="I723" i="15"/>
  <c r="J723" i="15"/>
  <c r="H724" i="15"/>
  <c r="I724" i="15"/>
  <c r="J724" i="15"/>
  <c r="H725" i="15"/>
  <c r="I725" i="15"/>
  <c r="J725" i="15"/>
  <c r="H726" i="15"/>
  <c r="I726" i="15"/>
  <c r="J726" i="15"/>
  <c r="H727" i="15"/>
  <c r="I727" i="15"/>
  <c r="J727" i="15"/>
  <c r="H728" i="15"/>
  <c r="I728" i="15"/>
  <c r="J728" i="15"/>
  <c r="H729" i="15"/>
  <c r="I729" i="15"/>
  <c r="J729" i="15"/>
  <c r="H730" i="15"/>
  <c r="I730" i="15"/>
  <c r="J730" i="15"/>
  <c r="H731" i="15"/>
  <c r="I731" i="15"/>
  <c r="J731" i="15"/>
  <c r="H732" i="15"/>
  <c r="I732" i="15"/>
  <c r="J732" i="15"/>
  <c r="H733" i="15"/>
  <c r="I733" i="15"/>
  <c r="J733" i="15"/>
  <c r="H734" i="15"/>
  <c r="I734" i="15"/>
  <c r="J734" i="15"/>
  <c r="H735" i="15"/>
  <c r="I735" i="15"/>
  <c r="J735" i="15"/>
  <c r="H736" i="15"/>
  <c r="I736" i="15"/>
  <c r="J736" i="15"/>
  <c r="H737" i="15"/>
  <c r="I737" i="15"/>
  <c r="J737" i="15"/>
  <c r="H738" i="15"/>
  <c r="I738" i="15"/>
  <c r="J738" i="15"/>
  <c r="H739" i="15"/>
  <c r="I739" i="15"/>
  <c r="J739" i="15"/>
  <c r="H740" i="15"/>
  <c r="I740" i="15"/>
  <c r="J740" i="15"/>
  <c r="H741" i="15"/>
  <c r="I741" i="15"/>
  <c r="J741" i="15"/>
  <c r="H742" i="15"/>
  <c r="I742" i="15"/>
  <c r="J742" i="15"/>
  <c r="H743" i="15"/>
  <c r="I743" i="15"/>
  <c r="J743" i="15"/>
  <c r="H744" i="15"/>
  <c r="I744" i="15"/>
  <c r="J744" i="15"/>
  <c r="H745" i="15"/>
  <c r="I745" i="15"/>
  <c r="J745" i="15"/>
  <c r="H746" i="15"/>
  <c r="I746" i="15"/>
  <c r="J746" i="15"/>
  <c r="H747" i="15"/>
  <c r="I747" i="15"/>
  <c r="J747" i="15"/>
  <c r="H748" i="15"/>
  <c r="I748" i="15"/>
  <c r="J748" i="15"/>
  <c r="H749" i="15"/>
  <c r="I749" i="15"/>
  <c r="J749" i="15"/>
  <c r="H750" i="15"/>
  <c r="I750" i="15"/>
  <c r="J750" i="15"/>
  <c r="H751" i="15"/>
  <c r="I751" i="15"/>
  <c r="J751" i="15"/>
  <c r="H752" i="15"/>
  <c r="I752" i="15"/>
  <c r="J752" i="15"/>
  <c r="H753" i="15"/>
  <c r="I753" i="15"/>
  <c r="J753" i="15"/>
  <c r="H754" i="15"/>
  <c r="I754" i="15"/>
  <c r="J754" i="15"/>
  <c r="H755" i="15"/>
  <c r="I755" i="15"/>
  <c r="J755" i="15"/>
  <c r="H756" i="15"/>
  <c r="I756" i="15"/>
  <c r="J756" i="15"/>
  <c r="H757" i="15"/>
  <c r="I757" i="15"/>
  <c r="J757" i="15"/>
  <c r="H758" i="15"/>
  <c r="I758" i="15"/>
  <c r="J758" i="15"/>
  <c r="H759" i="15"/>
  <c r="I759" i="15"/>
  <c r="J759" i="15"/>
  <c r="H760" i="15"/>
  <c r="I760" i="15"/>
  <c r="J760" i="15"/>
  <c r="H761" i="15"/>
  <c r="I761" i="15"/>
  <c r="J761" i="15"/>
  <c r="H762" i="15"/>
  <c r="I762" i="15"/>
  <c r="J762" i="15"/>
  <c r="H763" i="15"/>
  <c r="I763" i="15"/>
  <c r="J763" i="15"/>
  <c r="H764" i="15"/>
  <c r="I764" i="15"/>
  <c r="J764" i="15"/>
  <c r="H765" i="15"/>
  <c r="I765" i="15"/>
  <c r="J765" i="15"/>
  <c r="H766" i="15"/>
  <c r="I766" i="15"/>
  <c r="J766" i="15"/>
  <c r="H767" i="15"/>
  <c r="I767" i="15"/>
  <c r="J767" i="15"/>
  <c r="H768" i="15"/>
  <c r="I768" i="15"/>
  <c r="J768" i="15"/>
  <c r="H769" i="15"/>
  <c r="I769" i="15"/>
  <c r="J769" i="15"/>
  <c r="H770" i="15"/>
  <c r="I770" i="15"/>
  <c r="J770" i="15"/>
  <c r="H771" i="15"/>
  <c r="I771" i="15"/>
  <c r="J771" i="15"/>
  <c r="H772" i="15"/>
  <c r="I772" i="15"/>
  <c r="J772" i="15"/>
  <c r="H773" i="15"/>
  <c r="I773" i="15"/>
  <c r="J773" i="15"/>
  <c r="H774" i="15"/>
  <c r="I774" i="15"/>
  <c r="J774" i="15"/>
  <c r="H775" i="15"/>
  <c r="I775" i="15"/>
  <c r="J775" i="15"/>
  <c r="H776" i="15"/>
  <c r="I776" i="15"/>
  <c r="J776" i="15"/>
  <c r="H777" i="15"/>
  <c r="I777" i="15"/>
  <c r="J777" i="15"/>
  <c r="H778" i="15"/>
  <c r="I778" i="15"/>
  <c r="J778" i="15"/>
  <c r="H779" i="15"/>
  <c r="I779" i="15"/>
  <c r="J779" i="15"/>
  <c r="H780" i="15"/>
  <c r="I780" i="15"/>
  <c r="J780" i="15"/>
  <c r="H781" i="15"/>
  <c r="I781" i="15"/>
  <c r="J781" i="15"/>
  <c r="H782" i="15"/>
  <c r="I782" i="15"/>
  <c r="J782" i="15"/>
  <c r="H783" i="15"/>
  <c r="I783" i="15"/>
  <c r="J783" i="15"/>
  <c r="H784" i="15"/>
  <c r="I784" i="15"/>
  <c r="J784" i="15"/>
  <c r="H785" i="15"/>
  <c r="I785" i="15"/>
  <c r="J785" i="15"/>
  <c r="H786" i="15"/>
  <c r="I786" i="15"/>
  <c r="J786" i="15"/>
  <c r="H787" i="15"/>
  <c r="I787" i="15"/>
  <c r="J787" i="15"/>
  <c r="H788" i="15"/>
  <c r="I788" i="15"/>
  <c r="J788" i="15"/>
  <c r="H789" i="15"/>
  <c r="I789" i="15"/>
  <c r="J789" i="15"/>
  <c r="H790" i="15"/>
  <c r="I790" i="15"/>
  <c r="J790" i="15"/>
  <c r="H791" i="15"/>
  <c r="I791" i="15"/>
  <c r="J791" i="15"/>
  <c r="H792" i="15"/>
  <c r="I792" i="15"/>
  <c r="J792" i="15"/>
  <c r="H793" i="15"/>
  <c r="I793" i="15"/>
  <c r="J793" i="15"/>
  <c r="H794" i="15"/>
  <c r="I794" i="15"/>
  <c r="J794" i="15"/>
  <c r="H795" i="15"/>
  <c r="I795" i="15"/>
  <c r="J795" i="15"/>
  <c r="H796" i="15"/>
  <c r="I796" i="15"/>
  <c r="J796" i="15"/>
  <c r="H797" i="15"/>
  <c r="I797" i="15"/>
  <c r="J797" i="15"/>
  <c r="H798" i="15"/>
  <c r="I798" i="15"/>
  <c r="J798" i="15"/>
  <c r="H799" i="15"/>
  <c r="I799" i="15"/>
  <c r="J799" i="15"/>
  <c r="H800" i="15"/>
  <c r="I800" i="15"/>
  <c r="J800" i="15"/>
  <c r="H801" i="15"/>
  <c r="I801" i="15"/>
  <c r="J801" i="15"/>
  <c r="H802" i="15"/>
  <c r="I802" i="15"/>
  <c r="J802" i="15"/>
  <c r="H803" i="15"/>
  <c r="I803" i="15"/>
  <c r="J803" i="15"/>
  <c r="H804" i="15"/>
  <c r="I804" i="15"/>
  <c r="J804" i="15"/>
  <c r="H805" i="15"/>
  <c r="I805" i="15"/>
  <c r="J805" i="15"/>
  <c r="H806" i="15"/>
  <c r="I806" i="15"/>
  <c r="J806" i="15"/>
  <c r="H807" i="15"/>
  <c r="I807" i="15"/>
  <c r="J807" i="15"/>
  <c r="H808" i="15"/>
  <c r="I808" i="15"/>
  <c r="J808" i="15"/>
  <c r="H809" i="15"/>
  <c r="I809" i="15"/>
  <c r="J809" i="15"/>
  <c r="H810" i="15"/>
  <c r="I810" i="15"/>
  <c r="J810" i="15"/>
  <c r="H811" i="15"/>
  <c r="I811" i="15"/>
  <c r="J811" i="15"/>
  <c r="H812" i="15"/>
  <c r="I812" i="15"/>
  <c r="J812" i="15"/>
  <c r="H813" i="15"/>
  <c r="I813" i="15"/>
  <c r="J813" i="15"/>
  <c r="H814" i="15"/>
  <c r="I814" i="15"/>
  <c r="J814" i="15"/>
  <c r="H815" i="15"/>
  <c r="I815" i="15"/>
  <c r="J815" i="15"/>
  <c r="H816" i="15"/>
  <c r="I816" i="15"/>
  <c r="J816" i="15"/>
  <c r="H817" i="15"/>
  <c r="I817" i="15"/>
  <c r="J817" i="15"/>
  <c r="H818" i="15"/>
  <c r="I818" i="15"/>
  <c r="J818" i="15"/>
  <c r="H819" i="15"/>
  <c r="I819" i="15"/>
  <c r="J819" i="15"/>
  <c r="H820" i="15"/>
  <c r="I820" i="15"/>
  <c r="J820" i="15"/>
  <c r="H821" i="15"/>
  <c r="I821" i="15"/>
  <c r="J821" i="15"/>
  <c r="H822" i="15"/>
  <c r="I822" i="15"/>
  <c r="J822" i="15"/>
  <c r="H823" i="15"/>
  <c r="I823" i="15"/>
  <c r="J823" i="15"/>
  <c r="H824" i="15"/>
  <c r="I824" i="15"/>
  <c r="J824" i="15"/>
  <c r="H825" i="15"/>
  <c r="I825" i="15"/>
  <c r="J825" i="15"/>
  <c r="H826" i="15"/>
  <c r="I826" i="15"/>
  <c r="J826" i="15"/>
  <c r="H827" i="15"/>
  <c r="I827" i="15"/>
  <c r="J827" i="15"/>
  <c r="H828" i="15"/>
  <c r="I828" i="15"/>
  <c r="J828" i="15"/>
  <c r="H829" i="15"/>
  <c r="I829" i="15"/>
  <c r="J829" i="15"/>
  <c r="H830" i="15"/>
  <c r="I830" i="15"/>
  <c r="J830" i="15"/>
  <c r="H831" i="15"/>
  <c r="I831" i="15"/>
  <c r="J831" i="15"/>
  <c r="H832" i="15"/>
  <c r="I832" i="15"/>
  <c r="J832" i="15"/>
  <c r="H833" i="15"/>
  <c r="I833" i="15"/>
  <c r="J833" i="15"/>
  <c r="H834" i="15"/>
  <c r="I834" i="15"/>
  <c r="J834" i="15"/>
  <c r="H835" i="15"/>
  <c r="I835" i="15"/>
  <c r="J835" i="15"/>
  <c r="H836" i="15"/>
  <c r="I836" i="15"/>
  <c r="J836" i="15"/>
  <c r="H837" i="15"/>
  <c r="I837" i="15"/>
  <c r="J837" i="15"/>
  <c r="H838" i="15"/>
  <c r="I838" i="15"/>
  <c r="J838" i="15"/>
  <c r="H839" i="15"/>
  <c r="I839" i="15"/>
  <c r="J839" i="15"/>
  <c r="H840" i="15"/>
  <c r="I840" i="15"/>
  <c r="J840" i="15"/>
  <c r="H841" i="15"/>
  <c r="I841" i="15"/>
  <c r="J841" i="15"/>
  <c r="H842" i="15"/>
  <c r="I842" i="15"/>
  <c r="J842" i="15"/>
  <c r="H843" i="15"/>
  <c r="I843" i="15"/>
  <c r="J843" i="15"/>
  <c r="H844" i="15"/>
  <c r="I844" i="15"/>
  <c r="J844" i="15"/>
  <c r="H845" i="15"/>
  <c r="I845" i="15"/>
  <c r="J845" i="15"/>
  <c r="H846" i="15"/>
  <c r="I846" i="15"/>
  <c r="J846" i="15"/>
  <c r="H847" i="15"/>
  <c r="I847" i="15"/>
  <c r="J847" i="15"/>
  <c r="H848" i="15"/>
  <c r="I848" i="15"/>
  <c r="J848" i="15"/>
  <c r="H849" i="15"/>
  <c r="I849" i="15"/>
  <c r="J849" i="15"/>
  <c r="H850" i="15"/>
  <c r="I850" i="15"/>
  <c r="J850" i="15"/>
  <c r="H851" i="15"/>
  <c r="I851" i="15"/>
  <c r="J851" i="15"/>
  <c r="H852" i="15"/>
  <c r="I852" i="15"/>
  <c r="J852" i="15"/>
  <c r="H853" i="15"/>
  <c r="I853" i="15"/>
  <c r="J853" i="15"/>
  <c r="H854" i="15"/>
  <c r="I854" i="15"/>
  <c r="J854" i="15"/>
  <c r="H855" i="15"/>
  <c r="I855" i="15"/>
  <c r="J855" i="15"/>
  <c r="H856" i="15"/>
  <c r="I856" i="15"/>
  <c r="J856" i="15"/>
  <c r="H857" i="15"/>
  <c r="I857" i="15"/>
  <c r="J857" i="15"/>
  <c r="H858" i="15"/>
  <c r="I858" i="15"/>
  <c r="J858" i="15"/>
  <c r="H859" i="15"/>
  <c r="I859" i="15"/>
  <c r="J859" i="15"/>
  <c r="H860" i="15"/>
  <c r="I860" i="15"/>
  <c r="J860" i="15"/>
  <c r="H861" i="15"/>
  <c r="I861" i="15"/>
  <c r="J861" i="15"/>
  <c r="H862" i="15"/>
  <c r="I862" i="15"/>
  <c r="J862" i="15"/>
  <c r="H863" i="15"/>
  <c r="I863" i="15"/>
  <c r="J863" i="15"/>
  <c r="H864" i="15"/>
  <c r="I864" i="15"/>
  <c r="J864" i="15"/>
  <c r="H865" i="15"/>
  <c r="I865" i="15"/>
  <c r="J865" i="15"/>
  <c r="H866" i="15"/>
  <c r="I866" i="15"/>
  <c r="J866" i="15"/>
  <c r="H867" i="15"/>
  <c r="I867" i="15"/>
  <c r="J867" i="15"/>
  <c r="H868" i="15"/>
  <c r="I868" i="15"/>
  <c r="J868" i="15"/>
  <c r="H869" i="15"/>
  <c r="I869" i="15"/>
  <c r="J869" i="15"/>
  <c r="H870" i="15"/>
  <c r="I870" i="15"/>
  <c r="J870" i="15"/>
  <c r="H871" i="15"/>
  <c r="I871" i="15"/>
  <c r="J871" i="15"/>
  <c r="H872" i="15"/>
  <c r="I872" i="15"/>
  <c r="J872" i="15"/>
  <c r="H873" i="15"/>
  <c r="I873" i="15"/>
  <c r="J873" i="15"/>
  <c r="H874" i="15"/>
  <c r="I874" i="15"/>
  <c r="J874" i="15"/>
  <c r="H875" i="15"/>
  <c r="I875" i="15"/>
  <c r="J875" i="15"/>
  <c r="H876" i="15"/>
  <c r="I876" i="15"/>
  <c r="J876" i="15"/>
  <c r="H877" i="15"/>
  <c r="I877" i="15"/>
  <c r="J877" i="15"/>
  <c r="H878" i="15"/>
  <c r="I878" i="15"/>
  <c r="J878" i="15"/>
  <c r="H879" i="15"/>
  <c r="I879" i="15"/>
  <c r="J879" i="15"/>
  <c r="H880" i="15"/>
  <c r="I880" i="15"/>
  <c r="J880" i="15"/>
  <c r="H881" i="15"/>
  <c r="I881" i="15"/>
  <c r="J881" i="15"/>
  <c r="H882" i="15"/>
  <c r="I882" i="15"/>
  <c r="J882" i="15"/>
  <c r="H883" i="15"/>
  <c r="I883" i="15"/>
  <c r="J883" i="15"/>
  <c r="H884" i="15"/>
  <c r="I884" i="15"/>
  <c r="J884" i="15"/>
  <c r="H885" i="15"/>
  <c r="I885" i="15"/>
  <c r="J885" i="15"/>
  <c r="H886" i="15"/>
  <c r="I886" i="15"/>
  <c r="J886" i="15"/>
  <c r="H887" i="15"/>
  <c r="I887" i="15"/>
  <c r="J887" i="15"/>
  <c r="H888" i="15"/>
  <c r="I888" i="15"/>
  <c r="J888" i="15"/>
  <c r="H889" i="15"/>
  <c r="I889" i="15"/>
  <c r="J889" i="15"/>
  <c r="H890" i="15"/>
  <c r="I890" i="15"/>
  <c r="J890" i="15"/>
  <c r="H891" i="15"/>
  <c r="I891" i="15"/>
  <c r="J891" i="15"/>
  <c r="H892" i="15"/>
  <c r="I892" i="15"/>
  <c r="J892" i="15"/>
  <c r="H893" i="15"/>
  <c r="I893" i="15"/>
  <c r="J893" i="15"/>
  <c r="H894" i="15"/>
  <c r="I894" i="15"/>
  <c r="J894" i="15"/>
  <c r="H895" i="15"/>
  <c r="I895" i="15"/>
  <c r="J895" i="15"/>
  <c r="H896" i="15"/>
  <c r="I896" i="15"/>
  <c r="J896" i="15"/>
  <c r="H897" i="15"/>
  <c r="I897" i="15"/>
  <c r="J897" i="15"/>
  <c r="H898" i="15"/>
  <c r="I898" i="15"/>
  <c r="J898" i="15"/>
  <c r="H899" i="15"/>
  <c r="I899" i="15"/>
  <c r="J899" i="15"/>
  <c r="H900" i="15"/>
  <c r="I900" i="15"/>
  <c r="J900" i="15"/>
  <c r="H901" i="15"/>
  <c r="I901" i="15"/>
  <c r="J901" i="15"/>
  <c r="H902" i="15"/>
  <c r="I902" i="15"/>
  <c r="J902" i="15"/>
  <c r="H903" i="15"/>
  <c r="I903" i="15"/>
  <c r="J903" i="15"/>
  <c r="H904" i="15"/>
  <c r="I904" i="15"/>
  <c r="J904" i="15"/>
  <c r="H905" i="15"/>
  <c r="I905" i="15"/>
  <c r="J905" i="15"/>
  <c r="H906" i="15"/>
  <c r="I906" i="15"/>
  <c r="J906" i="15"/>
  <c r="H907" i="15"/>
  <c r="I907" i="15"/>
  <c r="J907" i="15"/>
  <c r="H908" i="15"/>
  <c r="I908" i="15"/>
  <c r="J908" i="15"/>
  <c r="H909" i="15"/>
  <c r="I909" i="15"/>
  <c r="J909" i="15"/>
  <c r="H910" i="15"/>
  <c r="I910" i="15"/>
  <c r="J910" i="15"/>
  <c r="H911" i="15"/>
  <c r="I911" i="15"/>
  <c r="J911" i="15"/>
  <c r="H912" i="15"/>
  <c r="I912" i="15"/>
  <c r="J912" i="15"/>
  <c r="H913" i="15"/>
  <c r="I913" i="15"/>
  <c r="J913" i="15"/>
  <c r="H914" i="15"/>
  <c r="I914" i="15"/>
  <c r="J914" i="15"/>
  <c r="H915" i="15"/>
  <c r="I915" i="15"/>
  <c r="J915" i="15"/>
  <c r="H916" i="15"/>
  <c r="I916" i="15"/>
  <c r="J916" i="15"/>
  <c r="H917" i="15"/>
  <c r="I917" i="15"/>
  <c r="J917" i="15"/>
  <c r="H918" i="15"/>
  <c r="I918" i="15"/>
  <c r="J918" i="15"/>
  <c r="H919" i="15"/>
  <c r="I919" i="15"/>
  <c r="J919" i="15"/>
  <c r="H920" i="15"/>
  <c r="I920" i="15"/>
  <c r="J920" i="15"/>
  <c r="H921" i="15"/>
  <c r="I921" i="15"/>
  <c r="J921" i="15"/>
  <c r="H922" i="15"/>
  <c r="I922" i="15"/>
  <c r="J922" i="15"/>
  <c r="H923" i="15"/>
  <c r="I923" i="15"/>
  <c r="J923" i="15"/>
  <c r="H924" i="15"/>
  <c r="I924" i="15"/>
  <c r="J924" i="15"/>
  <c r="H925" i="15"/>
  <c r="I925" i="15"/>
  <c r="J925" i="15"/>
  <c r="H926" i="15"/>
  <c r="I926" i="15"/>
  <c r="J926" i="15"/>
  <c r="H927" i="15"/>
  <c r="I927" i="15"/>
  <c r="J927" i="15"/>
  <c r="H928" i="15"/>
  <c r="I928" i="15"/>
  <c r="J928" i="15"/>
  <c r="H929" i="15"/>
  <c r="I929" i="15"/>
  <c r="J929" i="15"/>
  <c r="H930" i="15"/>
  <c r="I930" i="15"/>
  <c r="J930" i="15"/>
  <c r="H931" i="15"/>
  <c r="I931" i="15"/>
  <c r="J931" i="15"/>
  <c r="H932" i="15"/>
  <c r="I932" i="15"/>
  <c r="J932" i="15"/>
  <c r="H933" i="15"/>
  <c r="I933" i="15"/>
  <c r="J933" i="15"/>
  <c r="H934" i="15"/>
  <c r="I934" i="15"/>
  <c r="J934" i="15"/>
  <c r="H935" i="15"/>
  <c r="I935" i="15"/>
  <c r="J935" i="15"/>
  <c r="H936" i="15"/>
  <c r="I936" i="15"/>
  <c r="J936" i="15"/>
  <c r="H937" i="15"/>
  <c r="I937" i="15"/>
  <c r="J937" i="15"/>
  <c r="H938" i="15"/>
  <c r="I938" i="15"/>
  <c r="J938" i="15"/>
  <c r="H939" i="15"/>
  <c r="I939" i="15"/>
  <c r="J939" i="15"/>
  <c r="H940" i="15"/>
  <c r="I940" i="15"/>
  <c r="J940" i="15"/>
  <c r="H941" i="15"/>
  <c r="I941" i="15"/>
  <c r="J941" i="15"/>
  <c r="H942" i="15"/>
  <c r="I942" i="15"/>
  <c r="J942" i="15"/>
  <c r="H943" i="15"/>
  <c r="I943" i="15"/>
  <c r="J943" i="15"/>
  <c r="H944" i="15"/>
  <c r="I944" i="15"/>
  <c r="J944" i="15"/>
  <c r="H945" i="15"/>
  <c r="I945" i="15"/>
  <c r="J945" i="15"/>
  <c r="H946" i="15"/>
  <c r="I946" i="15"/>
  <c r="J946" i="15"/>
  <c r="H947" i="15"/>
  <c r="I947" i="15"/>
  <c r="J947" i="15"/>
  <c r="H948" i="15"/>
  <c r="I948" i="15"/>
  <c r="J948" i="15"/>
  <c r="H949" i="15"/>
  <c r="I949" i="15"/>
  <c r="J949" i="15"/>
  <c r="H950" i="15"/>
  <c r="I950" i="15"/>
  <c r="J950" i="15"/>
  <c r="H951" i="15"/>
  <c r="I951" i="15"/>
  <c r="J951" i="15"/>
  <c r="H952" i="15"/>
  <c r="I952" i="15"/>
  <c r="J952" i="15"/>
  <c r="H953" i="15"/>
  <c r="I953" i="15"/>
  <c r="J953" i="15"/>
  <c r="H954" i="15"/>
  <c r="I954" i="15"/>
  <c r="J954" i="15"/>
  <c r="H955" i="15"/>
  <c r="I955" i="15"/>
  <c r="J955" i="15"/>
  <c r="H956" i="15"/>
  <c r="I956" i="15"/>
  <c r="J956" i="15"/>
  <c r="H957" i="15"/>
  <c r="I957" i="15"/>
  <c r="J957" i="15"/>
  <c r="H958" i="15"/>
  <c r="I958" i="15"/>
  <c r="J958" i="15"/>
  <c r="H959" i="15"/>
  <c r="I959" i="15"/>
  <c r="J959" i="15"/>
  <c r="H960" i="15"/>
  <c r="I960" i="15"/>
  <c r="J960" i="15"/>
  <c r="H961" i="15"/>
  <c r="I961" i="15"/>
  <c r="J961" i="15"/>
  <c r="H962" i="15"/>
  <c r="I962" i="15"/>
  <c r="J962" i="15"/>
  <c r="H963" i="15"/>
  <c r="I963" i="15"/>
  <c r="J963" i="15"/>
  <c r="H964" i="15"/>
  <c r="I964" i="15"/>
  <c r="J964" i="15"/>
  <c r="H965" i="15"/>
  <c r="I965" i="15"/>
  <c r="J965" i="15"/>
  <c r="H966" i="15"/>
  <c r="I966" i="15"/>
  <c r="J966" i="15"/>
  <c r="H967" i="15"/>
  <c r="I967" i="15"/>
  <c r="J967" i="15"/>
  <c r="H968" i="15"/>
  <c r="I968" i="15"/>
  <c r="J968" i="15"/>
  <c r="H969" i="15"/>
  <c r="I969" i="15"/>
  <c r="J969" i="15"/>
  <c r="H970" i="15"/>
  <c r="I970" i="15"/>
  <c r="J970" i="15"/>
  <c r="H971" i="15"/>
  <c r="I971" i="15"/>
  <c r="J971" i="15"/>
  <c r="H972" i="15"/>
  <c r="I972" i="15"/>
  <c r="J972" i="15"/>
  <c r="H973" i="15"/>
  <c r="I973" i="15"/>
  <c r="J973" i="15"/>
  <c r="H974" i="15"/>
  <c r="I974" i="15"/>
  <c r="J974" i="15"/>
  <c r="H975" i="15"/>
  <c r="I975" i="15"/>
  <c r="J975" i="15"/>
  <c r="H976" i="15"/>
  <c r="I976" i="15"/>
  <c r="J976" i="15"/>
  <c r="H977" i="15"/>
  <c r="I977" i="15"/>
  <c r="J977" i="15"/>
  <c r="H978" i="15"/>
  <c r="I978" i="15"/>
  <c r="J978" i="15"/>
  <c r="H979" i="15"/>
  <c r="I979" i="15"/>
  <c r="J979" i="15"/>
  <c r="H980" i="15"/>
  <c r="I980" i="15"/>
  <c r="J980" i="15"/>
  <c r="H981" i="15"/>
  <c r="I981" i="15"/>
  <c r="J981" i="15"/>
  <c r="H982" i="15"/>
  <c r="I982" i="15"/>
  <c r="J982" i="15"/>
  <c r="H983" i="15"/>
  <c r="I983" i="15"/>
  <c r="J983" i="15"/>
  <c r="H984" i="15"/>
  <c r="I984" i="15"/>
  <c r="J984" i="15"/>
  <c r="H985" i="15"/>
  <c r="I985" i="15"/>
  <c r="J985" i="15"/>
  <c r="H986" i="15"/>
  <c r="I986" i="15"/>
  <c r="J986" i="15"/>
  <c r="H987" i="15"/>
  <c r="I987" i="15"/>
  <c r="J987" i="15"/>
  <c r="H988" i="15"/>
  <c r="I988" i="15"/>
  <c r="J988" i="15"/>
  <c r="H989" i="15"/>
  <c r="I989" i="15"/>
  <c r="J989" i="15"/>
  <c r="H990" i="15"/>
  <c r="I990" i="15"/>
  <c r="J990" i="15"/>
  <c r="H991" i="15"/>
  <c r="I991" i="15"/>
  <c r="J991" i="15"/>
  <c r="H992" i="15"/>
  <c r="I992" i="15"/>
  <c r="J992" i="15"/>
  <c r="H993" i="15"/>
  <c r="I993" i="15"/>
  <c r="J993" i="15"/>
  <c r="H994" i="15"/>
  <c r="I994" i="15"/>
  <c r="J994" i="15"/>
  <c r="H995" i="15"/>
  <c r="I995" i="15"/>
  <c r="J995" i="15"/>
  <c r="H996" i="15"/>
  <c r="I996" i="15"/>
  <c r="J996" i="15"/>
  <c r="H997" i="15"/>
  <c r="I997" i="15"/>
  <c r="J997" i="15"/>
  <c r="H998" i="15"/>
  <c r="I998" i="15"/>
  <c r="J998" i="15"/>
  <c r="H999" i="15"/>
  <c r="I999" i="15"/>
  <c r="J999" i="15"/>
  <c r="H1000" i="15"/>
  <c r="I1000" i="15"/>
  <c r="J1000" i="15"/>
  <c r="H1001" i="15"/>
  <c r="I1001" i="15"/>
  <c r="J1001" i="15"/>
  <c r="H1002" i="15"/>
  <c r="I1002" i="15"/>
  <c r="J1002" i="15"/>
  <c r="H1003" i="15"/>
  <c r="I1003" i="15"/>
  <c r="J1003" i="15"/>
  <c r="H1004" i="15"/>
  <c r="I1004" i="15"/>
  <c r="J1004" i="15"/>
  <c r="H1005" i="15"/>
  <c r="I1005" i="15"/>
  <c r="J1005" i="15"/>
  <c r="H1006" i="15"/>
  <c r="I1006" i="15"/>
  <c r="J1006" i="15"/>
  <c r="H1007" i="15"/>
  <c r="I1007" i="15"/>
  <c r="J1007" i="15"/>
  <c r="H1008" i="15"/>
  <c r="I1008" i="15"/>
  <c r="J1008" i="15"/>
  <c r="H1009" i="15"/>
  <c r="I1009" i="15"/>
  <c r="J1009" i="15"/>
  <c r="H1010" i="15"/>
  <c r="I1010" i="15"/>
  <c r="J1010" i="15"/>
  <c r="H1011" i="15"/>
  <c r="I1011" i="15"/>
  <c r="J1011" i="15"/>
  <c r="H1012" i="15"/>
  <c r="I1012" i="15"/>
  <c r="J1012" i="15"/>
  <c r="H1013" i="15"/>
  <c r="I1013" i="15"/>
  <c r="J1013" i="15"/>
  <c r="H1014" i="15"/>
  <c r="I1014" i="15"/>
  <c r="J1014" i="15"/>
  <c r="H1015" i="15"/>
  <c r="I1015" i="15"/>
  <c r="J1015" i="15"/>
  <c r="H1016" i="15"/>
  <c r="I1016" i="15"/>
  <c r="J1016" i="15"/>
  <c r="H1017" i="15"/>
  <c r="I1017" i="15"/>
  <c r="J1017" i="15"/>
  <c r="H1018" i="15"/>
  <c r="I1018" i="15"/>
  <c r="J1018" i="15"/>
  <c r="H1019" i="15"/>
  <c r="I1019" i="15"/>
  <c r="J1019" i="15"/>
  <c r="H1020" i="15"/>
  <c r="I1020" i="15"/>
  <c r="J1020" i="15"/>
  <c r="H1021" i="15"/>
  <c r="I1021" i="15"/>
  <c r="J1021" i="15"/>
  <c r="H1022" i="15"/>
  <c r="I1022" i="15"/>
  <c r="J1022" i="15"/>
  <c r="H1023" i="15"/>
  <c r="I1023" i="15"/>
  <c r="J1023" i="15"/>
  <c r="H1024" i="15"/>
  <c r="I1024" i="15"/>
  <c r="J1024" i="15"/>
  <c r="H1025" i="15"/>
  <c r="I1025" i="15"/>
  <c r="J1025" i="15"/>
  <c r="H1026" i="15"/>
  <c r="I1026" i="15"/>
  <c r="J1026" i="15"/>
  <c r="H1027" i="15"/>
  <c r="I1027" i="15"/>
  <c r="J1027" i="15"/>
  <c r="H1028" i="15"/>
  <c r="I1028" i="15"/>
  <c r="J1028" i="15"/>
  <c r="H1029" i="15"/>
  <c r="I1029" i="15"/>
  <c r="J1029" i="15"/>
  <c r="H1030" i="15"/>
  <c r="I1030" i="15"/>
  <c r="J1030" i="15"/>
  <c r="H1031" i="15"/>
  <c r="I1031" i="15"/>
  <c r="J1031" i="15"/>
  <c r="H1032" i="15"/>
  <c r="I1032" i="15"/>
  <c r="J1032" i="15"/>
  <c r="H1033" i="15"/>
  <c r="I1033" i="15"/>
  <c r="J1033" i="15"/>
  <c r="H1034" i="15"/>
  <c r="I1034" i="15"/>
  <c r="J1034" i="15"/>
  <c r="H1035" i="15"/>
  <c r="I1035" i="15"/>
  <c r="J1035" i="15"/>
  <c r="H1036" i="15"/>
  <c r="I1036" i="15"/>
  <c r="J1036" i="15"/>
  <c r="H1037" i="15"/>
  <c r="I1037" i="15"/>
  <c r="J1037" i="15"/>
  <c r="H1038" i="15"/>
  <c r="I1038" i="15"/>
  <c r="J1038" i="15"/>
  <c r="H1039" i="15"/>
  <c r="I1039" i="15"/>
  <c r="J1039" i="15"/>
  <c r="H1040" i="15"/>
  <c r="I1040" i="15"/>
  <c r="J1040" i="15"/>
  <c r="H1041" i="15"/>
  <c r="I1041" i="15"/>
  <c r="J1041" i="15"/>
  <c r="H1042" i="15"/>
  <c r="I1042" i="15"/>
  <c r="J1042" i="15"/>
  <c r="H1043" i="15"/>
  <c r="I1043" i="15"/>
  <c r="J1043" i="15"/>
  <c r="H1044" i="15"/>
  <c r="I1044" i="15"/>
  <c r="J1044" i="15"/>
  <c r="H1045" i="15"/>
  <c r="I1045" i="15"/>
  <c r="J1045" i="15"/>
  <c r="H1046" i="15"/>
  <c r="I1046" i="15"/>
  <c r="J1046" i="15"/>
  <c r="H1047" i="15"/>
  <c r="I1047" i="15"/>
  <c r="J1047" i="15"/>
  <c r="H1048" i="15"/>
  <c r="I1048" i="15"/>
  <c r="J1048" i="15"/>
  <c r="H1049" i="15"/>
  <c r="I1049" i="15"/>
  <c r="J1049" i="15"/>
  <c r="H1050" i="15"/>
  <c r="I1050" i="15"/>
  <c r="J1050" i="15"/>
  <c r="H1051" i="15"/>
  <c r="I1051" i="15"/>
  <c r="J1051" i="15"/>
  <c r="H1052" i="15"/>
  <c r="I1052" i="15"/>
  <c r="J1052" i="15"/>
  <c r="H1053" i="15"/>
  <c r="I1053" i="15"/>
  <c r="J1053" i="15"/>
  <c r="H1054" i="15"/>
  <c r="I1054" i="15"/>
  <c r="J1054" i="15"/>
  <c r="H1055" i="15"/>
  <c r="I1055" i="15"/>
  <c r="J1055" i="15"/>
  <c r="H1056" i="15"/>
  <c r="I1056" i="15"/>
  <c r="J1056" i="15"/>
  <c r="H1057" i="15"/>
  <c r="I1057" i="15"/>
  <c r="J1057" i="15"/>
  <c r="H1058" i="15"/>
  <c r="I1058" i="15"/>
  <c r="J1058" i="15"/>
  <c r="H1059" i="15"/>
  <c r="I1059" i="15"/>
  <c r="J1059" i="15"/>
  <c r="H1060" i="15"/>
  <c r="I1060" i="15"/>
  <c r="J1060" i="15"/>
  <c r="H1061" i="15"/>
  <c r="I1061" i="15"/>
  <c r="J1061" i="15"/>
  <c r="H1062" i="15"/>
  <c r="I1062" i="15"/>
  <c r="J1062" i="15"/>
  <c r="H1063" i="15"/>
  <c r="I1063" i="15"/>
  <c r="J1063" i="15"/>
  <c r="H1064" i="15"/>
  <c r="I1064" i="15"/>
  <c r="J1064" i="15"/>
  <c r="H1065" i="15"/>
  <c r="I1065" i="15"/>
  <c r="J1065" i="15"/>
  <c r="H1066" i="15"/>
  <c r="I1066" i="15"/>
  <c r="J1066" i="15"/>
  <c r="H1067" i="15"/>
  <c r="I1067" i="15"/>
  <c r="J1067" i="15"/>
  <c r="H1068" i="15"/>
  <c r="I1068" i="15"/>
  <c r="J1068" i="15"/>
  <c r="H1069" i="15"/>
  <c r="I1069" i="15"/>
  <c r="J1069" i="15"/>
  <c r="H1070" i="15"/>
  <c r="I1070" i="15"/>
  <c r="J1070" i="15"/>
  <c r="H1071" i="15"/>
  <c r="I1071" i="15"/>
  <c r="J1071" i="15"/>
  <c r="H1072" i="15"/>
  <c r="I1072" i="15"/>
  <c r="J1072" i="15"/>
  <c r="H1073" i="15"/>
  <c r="I1073" i="15"/>
  <c r="J1073" i="15"/>
  <c r="H1074" i="15"/>
  <c r="I1074" i="15"/>
  <c r="J1074" i="15"/>
  <c r="H1075" i="15"/>
  <c r="I1075" i="15"/>
  <c r="J1075" i="15"/>
  <c r="H1076" i="15"/>
  <c r="I1076" i="15"/>
  <c r="J1076" i="15"/>
  <c r="H1077" i="15"/>
  <c r="I1077" i="15"/>
  <c r="J1077" i="15"/>
  <c r="H1078" i="15"/>
  <c r="I1078" i="15"/>
  <c r="J1078" i="15"/>
  <c r="H1079" i="15"/>
  <c r="I1079" i="15"/>
  <c r="J1079" i="15"/>
  <c r="H1080" i="15"/>
  <c r="I1080" i="15"/>
  <c r="J1080" i="15"/>
  <c r="H1081" i="15"/>
  <c r="I1081" i="15"/>
  <c r="J1081" i="15"/>
  <c r="H1082" i="15"/>
  <c r="I1082" i="15"/>
  <c r="J1082" i="15"/>
  <c r="H1083" i="15"/>
  <c r="I1083" i="15"/>
  <c r="J1083" i="15"/>
  <c r="H1084" i="15"/>
  <c r="I1084" i="15"/>
  <c r="J1084" i="15"/>
  <c r="H1085" i="15"/>
  <c r="I1085" i="15"/>
  <c r="J1085" i="15"/>
  <c r="H1086" i="15"/>
  <c r="I1086" i="15"/>
  <c r="J1086" i="15"/>
  <c r="H1087" i="15"/>
  <c r="I1087" i="15"/>
  <c r="J1087" i="15"/>
  <c r="H1088" i="15"/>
  <c r="I1088" i="15"/>
  <c r="J1088" i="15"/>
  <c r="H1089" i="15"/>
  <c r="I1089" i="15"/>
  <c r="J1089" i="15"/>
  <c r="H1090" i="15"/>
  <c r="I1090" i="15"/>
  <c r="J1090" i="15"/>
  <c r="H1091" i="15"/>
  <c r="I1091" i="15"/>
  <c r="J1091" i="15"/>
  <c r="H1092" i="15"/>
  <c r="I1092" i="15"/>
  <c r="J1092" i="15"/>
  <c r="H1093" i="15"/>
  <c r="I1093" i="15"/>
  <c r="J1093" i="15"/>
  <c r="H1094" i="15"/>
  <c r="I1094" i="15"/>
  <c r="J1094" i="15"/>
  <c r="H1095" i="15"/>
  <c r="I1095" i="15"/>
  <c r="J1095" i="15"/>
  <c r="H1096" i="15"/>
  <c r="I1096" i="15"/>
  <c r="J1096" i="15"/>
  <c r="H1097" i="15"/>
  <c r="I1097" i="15"/>
  <c r="J1097" i="15"/>
  <c r="H1098" i="15"/>
  <c r="I1098" i="15"/>
  <c r="J1098" i="15"/>
  <c r="H1099" i="15"/>
  <c r="I1099" i="15"/>
  <c r="J1099" i="15"/>
  <c r="H1100" i="15"/>
  <c r="I1100" i="15"/>
  <c r="J1100" i="15"/>
  <c r="H1101" i="15"/>
  <c r="I1101" i="15"/>
  <c r="J1101" i="15"/>
  <c r="H1102" i="15"/>
  <c r="I1102" i="15"/>
  <c r="J1102" i="15"/>
  <c r="H1103" i="15"/>
  <c r="I1103" i="15"/>
  <c r="J1103" i="15"/>
  <c r="H1104" i="15"/>
  <c r="I1104" i="15"/>
  <c r="J1104" i="15"/>
  <c r="H1105" i="15"/>
  <c r="I1105" i="15"/>
  <c r="J1105" i="15"/>
  <c r="H1106" i="15"/>
  <c r="I1106" i="15"/>
  <c r="J1106" i="15"/>
  <c r="H1107" i="15"/>
  <c r="I1107" i="15"/>
  <c r="J1107" i="15"/>
  <c r="H1108" i="15"/>
  <c r="I1108" i="15"/>
  <c r="J1108" i="15"/>
  <c r="H1109" i="15"/>
  <c r="I1109" i="15"/>
  <c r="J1109" i="15"/>
  <c r="H1110" i="15"/>
  <c r="I1110" i="15"/>
  <c r="J1110" i="15"/>
  <c r="H1111" i="15"/>
  <c r="I1111" i="15"/>
  <c r="J1111" i="15"/>
  <c r="H1112" i="15"/>
  <c r="I1112" i="15"/>
  <c r="J1112" i="15"/>
  <c r="H1113" i="15"/>
  <c r="I1113" i="15"/>
  <c r="J1113" i="15"/>
  <c r="H1114" i="15"/>
  <c r="I1114" i="15"/>
  <c r="J1114" i="15"/>
  <c r="H1115" i="15"/>
  <c r="I1115" i="15"/>
  <c r="J1115" i="15"/>
  <c r="H1116" i="15"/>
  <c r="I1116" i="15"/>
  <c r="J1116" i="15"/>
  <c r="H1117" i="15"/>
  <c r="I1117" i="15"/>
  <c r="J1117" i="15"/>
  <c r="H1118" i="15"/>
  <c r="I1118" i="15"/>
  <c r="J1118" i="15"/>
  <c r="H1119" i="15"/>
  <c r="I1119" i="15"/>
  <c r="J1119" i="15"/>
  <c r="H1120" i="15"/>
  <c r="I1120" i="15"/>
  <c r="J1120" i="15"/>
  <c r="H1121" i="15"/>
  <c r="I1121" i="15"/>
  <c r="J1121" i="15"/>
  <c r="H1122" i="15"/>
  <c r="I1122" i="15"/>
  <c r="J1122" i="15"/>
  <c r="H1123" i="15"/>
  <c r="I1123" i="15"/>
  <c r="J1123" i="15"/>
  <c r="H1124" i="15"/>
  <c r="I1124" i="15"/>
  <c r="J1124" i="15"/>
  <c r="H1125" i="15"/>
  <c r="I1125" i="15"/>
  <c r="J1125" i="15"/>
  <c r="H1126" i="15"/>
  <c r="I1126" i="15"/>
  <c r="J1126" i="15"/>
  <c r="H1127" i="15"/>
  <c r="I1127" i="15"/>
  <c r="J1127" i="15"/>
  <c r="H1128" i="15"/>
  <c r="I1128" i="15"/>
  <c r="J1128" i="15"/>
  <c r="H1129" i="15"/>
  <c r="I1129" i="15"/>
  <c r="J1129" i="15"/>
  <c r="H1130" i="15"/>
  <c r="I1130" i="15"/>
  <c r="J1130" i="15"/>
  <c r="H1131" i="15"/>
  <c r="I1131" i="15"/>
  <c r="J1131" i="15"/>
  <c r="H1132" i="15"/>
  <c r="I1132" i="15"/>
  <c r="J1132" i="15"/>
  <c r="H1133" i="15"/>
  <c r="I1133" i="15"/>
  <c r="J1133" i="15"/>
  <c r="H1134" i="15"/>
  <c r="I1134" i="15"/>
  <c r="J1134" i="15"/>
  <c r="H1135" i="15"/>
  <c r="I1135" i="15"/>
  <c r="J1135" i="15"/>
  <c r="H1136" i="15"/>
  <c r="I1136" i="15"/>
  <c r="J1136" i="15"/>
  <c r="H1137" i="15"/>
  <c r="I1137" i="15"/>
  <c r="J1137" i="15"/>
  <c r="H1138" i="15"/>
  <c r="I1138" i="15"/>
  <c r="J1138" i="15"/>
  <c r="H1139" i="15"/>
  <c r="I1139" i="15"/>
  <c r="J1139" i="15"/>
  <c r="H1140" i="15"/>
  <c r="I1140" i="15"/>
  <c r="J1140" i="15"/>
  <c r="H1141" i="15"/>
  <c r="I1141" i="15"/>
  <c r="J1141" i="15"/>
  <c r="H1142" i="15"/>
  <c r="I1142" i="15"/>
  <c r="J1142" i="15"/>
  <c r="H1143" i="15"/>
  <c r="I1143" i="15"/>
  <c r="J1143" i="15"/>
  <c r="H1144" i="15"/>
  <c r="I1144" i="15"/>
  <c r="J1144" i="15"/>
  <c r="H1145" i="15"/>
  <c r="I1145" i="15"/>
  <c r="J1145" i="15"/>
  <c r="H1146" i="15"/>
  <c r="I1146" i="15"/>
  <c r="J1146" i="15"/>
  <c r="H1147" i="15"/>
  <c r="I1147" i="15"/>
  <c r="J1147" i="15"/>
  <c r="H1148" i="15"/>
  <c r="I1148" i="15"/>
  <c r="J1148" i="15"/>
  <c r="H1149" i="15"/>
  <c r="I1149" i="15"/>
  <c r="J1149" i="15"/>
  <c r="H1150" i="15"/>
  <c r="I1150" i="15"/>
  <c r="J1150" i="15"/>
  <c r="H1151" i="15"/>
  <c r="I1151" i="15"/>
  <c r="J1151" i="15"/>
  <c r="H1152" i="15"/>
  <c r="I1152" i="15"/>
  <c r="J1152" i="15"/>
  <c r="H1153" i="15"/>
  <c r="I1153" i="15"/>
  <c r="J1153" i="15"/>
  <c r="H1154" i="15"/>
  <c r="I1154" i="15"/>
  <c r="J1154" i="15"/>
  <c r="H1155" i="15"/>
  <c r="I1155" i="15"/>
  <c r="J1155" i="15"/>
  <c r="H1156" i="15"/>
  <c r="I1156" i="15"/>
  <c r="J1156" i="15"/>
  <c r="H1157" i="15"/>
  <c r="I1157" i="15"/>
  <c r="J1157" i="15"/>
  <c r="H1158" i="15"/>
  <c r="I1158" i="15"/>
  <c r="J1158" i="15"/>
  <c r="H1159" i="15"/>
  <c r="I1159" i="15"/>
  <c r="J1159" i="15"/>
  <c r="H1160" i="15"/>
  <c r="I1160" i="15"/>
  <c r="J1160" i="15"/>
  <c r="H1161" i="15"/>
  <c r="I1161" i="15"/>
  <c r="J1161" i="15"/>
  <c r="H1162" i="15"/>
  <c r="I1162" i="15"/>
  <c r="J1162" i="15"/>
  <c r="H1163" i="15"/>
  <c r="I1163" i="15"/>
  <c r="J1163" i="15"/>
  <c r="H1164" i="15"/>
  <c r="I1164" i="15"/>
  <c r="J1164" i="15"/>
  <c r="H1165" i="15"/>
  <c r="I1165" i="15"/>
  <c r="J1165" i="15"/>
  <c r="H1166" i="15"/>
  <c r="I1166" i="15"/>
  <c r="J1166" i="15"/>
  <c r="H1167" i="15"/>
  <c r="I1167" i="15"/>
  <c r="J1167" i="15"/>
  <c r="H1168" i="15"/>
  <c r="I1168" i="15"/>
  <c r="J1168" i="15"/>
  <c r="H1169" i="15"/>
  <c r="I1169" i="15"/>
  <c r="J1169" i="15"/>
  <c r="H1170" i="15"/>
  <c r="I1170" i="15"/>
  <c r="J1170" i="15"/>
  <c r="H1171" i="15"/>
  <c r="I1171" i="15"/>
  <c r="J1171" i="15"/>
  <c r="H1172" i="15"/>
  <c r="I1172" i="15"/>
  <c r="J1172" i="15"/>
  <c r="H1173" i="15"/>
  <c r="I1173" i="15"/>
  <c r="J1173" i="15"/>
  <c r="H1174" i="15"/>
  <c r="I1174" i="15"/>
  <c r="J1174" i="15"/>
  <c r="H1175" i="15"/>
  <c r="I1175" i="15"/>
  <c r="J1175" i="15"/>
  <c r="H1176" i="15"/>
  <c r="I1176" i="15"/>
  <c r="J1176" i="15"/>
  <c r="H1177" i="15"/>
  <c r="I1177" i="15"/>
  <c r="J1177" i="15"/>
  <c r="H1178" i="15"/>
  <c r="I1178" i="15"/>
  <c r="J1178" i="15"/>
  <c r="H1179" i="15"/>
  <c r="I1179" i="15"/>
  <c r="J1179" i="15"/>
  <c r="H1180" i="15"/>
  <c r="I1180" i="15"/>
  <c r="J1180" i="15"/>
  <c r="H1181" i="15"/>
  <c r="I1181" i="15"/>
  <c r="J1181" i="15"/>
  <c r="H1182" i="15"/>
  <c r="I1182" i="15"/>
  <c r="J1182" i="15"/>
  <c r="H1183" i="15"/>
  <c r="I1183" i="15"/>
  <c r="J1183" i="15"/>
  <c r="H1184" i="15"/>
  <c r="I1184" i="15"/>
  <c r="J1184" i="15"/>
  <c r="H1185" i="15"/>
  <c r="I1185" i="15"/>
  <c r="J1185" i="15"/>
  <c r="H1186" i="15"/>
  <c r="I1186" i="15"/>
  <c r="J1186" i="15"/>
  <c r="H1187" i="15"/>
  <c r="I1187" i="15"/>
  <c r="J1187" i="15"/>
  <c r="H1188" i="15"/>
  <c r="I1188" i="15"/>
  <c r="J1188" i="15"/>
  <c r="H1189" i="15"/>
  <c r="I1189" i="15"/>
  <c r="J1189" i="15"/>
  <c r="H1190" i="15"/>
  <c r="I1190" i="15"/>
  <c r="J1190" i="15"/>
  <c r="H1191" i="15"/>
  <c r="I1191" i="15"/>
  <c r="J1191" i="15"/>
  <c r="H1192" i="15"/>
  <c r="I1192" i="15"/>
  <c r="J1192" i="15"/>
  <c r="H1193" i="15"/>
  <c r="I1193" i="15"/>
  <c r="J1193" i="15"/>
  <c r="H1194" i="15"/>
  <c r="I1194" i="15"/>
  <c r="J1194" i="15"/>
  <c r="H1195" i="15"/>
  <c r="I1195" i="15"/>
  <c r="J1195" i="15"/>
  <c r="H1196" i="15"/>
  <c r="I1196" i="15"/>
  <c r="J1196" i="15"/>
  <c r="H1197" i="15"/>
  <c r="I1197" i="15"/>
  <c r="J1197" i="15"/>
  <c r="H1198" i="15"/>
  <c r="I1198" i="15"/>
  <c r="J1198" i="15"/>
  <c r="H1199" i="15"/>
  <c r="I1199" i="15"/>
  <c r="J1199" i="15"/>
  <c r="H1200" i="15"/>
  <c r="I1200" i="15"/>
  <c r="J1200" i="15"/>
  <c r="H1201" i="15"/>
  <c r="I1201" i="15"/>
  <c r="J1201" i="15"/>
  <c r="H1202" i="15"/>
  <c r="I1202" i="15"/>
  <c r="J1202" i="15"/>
  <c r="H1203" i="15"/>
  <c r="I1203" i="15"/>
  <c r="J1203" i="15"/>
  <c r="H1204" i="15"/>
  <c r="I1204" i="15"/>
  <c r="J1204" i="15"/>
  <c r="H1205" i="15"/>
  <c r="I1205" i="15"/>
  <c r="J1205" i="15"/>
  <c r="H1206" i="15"/>
  <c r="I1206" i="15"/>
  <c r="J1206" i="15"/>
  <c r="H1207" i="15"/>
  <c r="I1207" i="15"/>
  <c r="J1207" i="15"/>
  <c r="H1208" i="15"/>
  <c r="I1208" i="15"/>
  <c r="J1208" i="15"/>
  <c r="H1209" i="15"/>
  <c r="I1209" i="15"/>
  <c r="J1209" i="15"/>
  <c r="H1210" i="15"/>
  <c r="I1210" i="15"/>
  <c r="J1210" i="15"/>
  <c r="H1211" i="15"/>
  <c r="I1211" i="15"/>
  <c r="J1211" i="15"/>
  <c r="H1212" i="15"/>
  <c r="I1212" i="15"/>
  <c r="J1212" i="15"/>
  <c r="H1213" i="15"/>
  <c r="I1213" i="15"/>
  <c r="J1213" i="15"/>
  <c r="H1214" i="15"/>
  <c r="I1214" i="15"/>
  <c r="J1214" i="15"/>
  <c r="H1215" i="15"/>
  <c r="I1215" i="15"/>
  <c r="J1215" i="15"/>
  <c r="H1216" i="15"/>
  <c r="I1216" i="15"/>
  <c r="J1216" i="15"/>
  <c r="H1217" i="15"/>
  <c r="I1217" i="15"/>
  <c r="J1217" i="15"/>
  <c r="H1218" i="15"/>
  <c r="I1218" i="15"/>
  <c r="J1218" i="15"/>
  <c r="H1219" i="15"/>
  <c r="I1219" i="15"/>
  <c r="J1219" i="15"/>
  <c r="H1220" i="15"/>
  <c r="I1220" i="15"/>
  <c r="J1220" i="15"/>
  <c r="H1221" i="15"/>
  <c r="I1221" i="15"/>
  <c r="J1221" i="15"/>
  <c r="H1222" i="15"/>
  <c r="I1222" i="15"/>
  <c r="J1222" i="15"/>
  <c r="H1223" i="15"/>
  <c r="I1223" i="15"/>
  <c r="J1223" i="15"/>
  <c r="H1224" i="15"/>
  <c r="I1224" i="15"/>
  <c r="J1224" i="15"/>
  <c r="H1225" i="15"/>
  <c r="I1225" i="15"/>
  <c r="J1225" i="15"/>
  <c r="H1226" i="15"/>
  <c r="I1226" i="15"/>
  <c r="J1226" i="15"/>
  <c r="H1227" i="15"/>
  <c r="I1227" i="15"/>
  <c r="J1227" i="15"/>
  <c r="H1228" i="15"/>
  <c r="I1228" i="15"/>
  <c r="J1228" i="15"/>
  <c r="H1229" i="15"/>
  <c r="I1229" i="15"/>
  <c r="J1229" i="15"/>
  <c r="H1230" i="15"/>
  <c r="I1230" i="15"/>
  <c r="J1230" i="15"/>
  <c r="H1231" i="15"/>
  <c r="I1231" i="15"/>
  <c r="J1231" i="15"/>
  <c r="H1232" i="15"/>
  <c r="I1232" i="15"/>
  <c r="J1232" i="15"/>
  <c r="H1233" i="15"/>
  <c r="I1233" i="15"/>
  <c r="J1233" i="15"/>
  <c r="H1234" i="15"/>
  <c r="I1234" i="15"/>
  <c r="J1234" i="15"/>
  <c r="H1235" i="15"/>
  <c r="I1235" i="15"/>
  <c r="J1235" i="15"/>
  <c r="H1236" i="15"/>
  <c r="I1236" i="15"/>
  <c r="J1236" i="15"/>
  <c r="H1237" i="15"/>
  <c r="I1237" i="15"/>
  <c r="J1237" i="15"/>
  <c r="H1238" i="15"/>
  <c r="I1238" i="15"/>
  <c r="J1238" i="15"/>
  <c r="H1239" i="15"/>
  <c r="I1239" i="15"/>
  <c r="J1239" i="15"/>
  <c r="H1240" i="15"/>
  <c r="I1240" i="15"/>
  <c r="J1240" i="15"/>
  <c r="H1241" i="15"/>
  <c r="I1241" i="15"/>
  <c r="J1241" i="15"/>
  <c r="H1242" i="15"/>
  <c r="I1242" i="15"/>
  <c r="J1242" i="15"/>
  <c r="H1243" i="15"/>
  <c r="I1243" i="15"/>
  <c r="J1243" i="15"/>
  <c r="H1244" i="15"/>
  <c r="I1244" i="15"/>
  <c r="J1244" i="15"/>
  <c r="H1245" i="15"/>
  <c r="I1245" i="15"/>
  <c r="J1245" i="15"/>
  <c r="H1246" i="15"/>
  <c r="I1246" i="15"/>
  <c r="J1246" i="15"/>
  <c r="H1247" i="15"/>
  <c r="I1247" i="15"/>
  <c r="J1247" i="15"/>
  <c r="H1248" i="15"/>
  <c r="I1248" i="15"/>
  <c r="J1248" i="15"/>
  <c r="H1249" i="15"/>
  <c r="I1249" i="15"/>
  <c r="J1249" i="15"/>
  <c r="H1250" i="15"/>
  <c r="I1250" i="15"/>
  <c r="J1250" i="15"/>
  <c r="H1251" i="15"/>
  <c r="I1251" i="15"/>
  <c r="J1251" i="15"/>
  <c r="H1252" i="15"/>
  <c r="I1252" i="15"/>
  <c r="J1252" i="15"/>
  <c r="H1253" i="15"/>
  <c r="I1253" i="15"/>
  <c r="J1253" i="15"/>
  <c r="H1254" i="15"/>
  <c r="I1254" i="15"/>
  <c r="J1254" i="15"/>
  <c r="H1255" i="15"/>
  <c r="I1255" i="15"/>
  <c r="J1255" i="15"/>
  <c r="H1256" i="15"/>
  <c r="I1256" i="15"/>
  <c r="J1256" i="15"/>
  <c r="H1257" i="15"/>
  <c r="I1257" i="15"/>
  <c r="J1257" i="15"/>
  <c r="H1258" i="15"/>
  <c r="I1258" i="15"/>
  <c r="J1258" i="15"/>
  <c r="H1259" i="15"/>
  <c r="I1259" i="15"/>
  <c r="J1259" i="15"/>
  <c r="H1260" i="15"/>
  <c r="I1260" i="15"/>
  <c r="J1260" i="15"/>
  <c r="H1261" i="15"/>
  <c r="I1261" i="15"/>
  <c r="J1261" i="15"/>
  <c r="H1262" i="15"/>
  <c r="I1262" i="15"/>
  <c r="J1262" i="15"/>
  <c r="H1263" i="15"/>
  <c r="I1263" i="15"/>
  <c r="J1263" i="15"/>
  <c r="H1264" i="15"/>
  <c r="I1264" i="15"/>
  <c r="J1264" i="15"/>
  <c r="H1265" i="15"/>
  <c r="I1265" i="15"/>
  <c r="J1265" i="15"/>
  <c r="H1266" i="15"/>
  <c r="I1266" i="15"/>
  <c r="J1266" i="15"/>
  <c r="H1267" i="15"/>
  <c r="I1267" i="15"/>
  <c r="J1267" i="15"/>
  <c r="H1268" i="15"/>
  <c r="I1268" i="15"/>
  <c r="J1268" i="15"/>
  <c r="H1269" i="15"/>
  <c r="I1269" i="15"/>
  <c r="J1269" i="15"/>
  <c r="H1270" i="15"/>
  <c r="I1270" i="15"/>
  <c r="J1270" i="15"/>
  <c r="H1271" i="15"/>
  <c r="I1271" i="15"/>
  <c r="J1271" i="15"/>
  <c r="H1272" i="15"/>
  <c r="I1272" i="15"/>
  <c r="J1272" i="15"/>
  <c r="H1273" i="15"/>
  <c r="I1273" i="15"/>
  <c r="J1273" i="15"/>
  <c r="H1274" i="15"/>
  <c r="I1274" i="15"/>
  <c r="J1274" i="15"/>
  <c r="H1275" i="15"/>
  <c r="I1275" i="15"/>
  <c r="J1275" i="15"/>
  <c r="H1276" i="15"/>
  <c r="I1276" i="15"/>
  <c r="J1276" i="15"/>
  <c r="H1277" i="15"/>
  <c r="I1277" i="15"/>
  <c r="J1277" i="15"/>
  <c r="H1278" i="15"/>
  <c r="I1278" i="15"/>
  <c r="J1278" i="15"/>
  <c r="H1279" i="15"/>
  <c r="I1279" i="15"/>
  <c r="J1279" i="15"/>
  <c r="H1280" i="15"/>
  <c r="I1280" i="15"/>
  <c r="J1280" i="15"/>
  <c r="H1281" i="15"/>
  <c r="I1281" i="15"/>
  <c r="J1281" i="15"/>
  <c r="H1282" i="15"/>
  <c r="I1282" i="15"/>
  <c r="J1282" i="15"/>
  <c r="H1283" i="15"/>
  <c r="I1283" i="15"/>
  <c r="J1283" i="15"/>
  <c r="H1284" i="15"/>
  <c r="I1284" i="15"/>
  <c r="J1284" i="15"/>
  <c r="H1285" i="15"/>
  <c r="I1285" i="15"/>
  <c r="J1285" i="15"/>
  <c r="H1286" i="15"/>
  <c r="I1286" i="15"/>
  <c r="J1286" i="15"/>
  <c r="H1287" i="15"/>
  <c r="I1287" i="15"/>
  <c r="J1287" i="15"/>
  <c r="H1288" i="15"/>
  <c r="I1288" i="15"/>
  <c r="J1288" i="15"/>
  <c r="H1289" i="15"/>
  <c r="I1289" i="15"/>
  <c r="J1289" i="15"/>
  <c r="H1290" i="15"/>
  <c r="I1290" i="15"/>
  <c r="J1290" i="15"/>
  <c r="H1291" i="15"/>
  <c r="I1291" i="15"/>
  <c r="J1291" i="15"/>
  <c r="H1292" i="15"/>
  <c r="I1292" i="15"/>
  <c r="J1292" i="15"/>
  <c r="H1293" i="15"/>
  <c r="I1293" i="15"/>
  <c r="J1293" i="15"/>
  <c r="H1294" i="15"/>
  <c r="I1294" i="15"/>
  <c r="J1294" i="15"/>
  <c r="H1295" i="15"/>
  <c r="I1295" i="15"/>
  <c r="J1295" i="15"/>
  <c r="H1296" i="15"/>
  <c r="I1296" i="15"/>
  <c r="J1296" i="15"/>
  <c r="H1297" i="15"/>
  <c r="I1297" i="15"/>
  <c r="J1297" i="15"/>
  <c r="H1298" i="15"/>
  <c r="I1298" i="15"/>
  <c r="J1298" i="15"/>
  <c r="H1299" i="15"/>
  <c r="I1299" i="15"/>
  <c r="J1299" i="15"/>
  <c r="H1300" i="15"/>
  <c r="I1300" i="15"/>
  <c r="J1300" i="15"/>
  <c r="H1301" i="15"/>
  <c r="I1301" i="15"/>
  <c r="J1301" i="15"/>
  <c r="H1302" i="15"/>
  <c r="I1302" i="15"/>
  <c r="J1302" i="15"/>
  <c r="H1303" i="15"/>
  <c r="I1303" i="15"/>
  <c r="J1303" i="15"/>
  <c r="H1304" i="15"/>
  <c r="I1304" i="15"/>
  <c r="J1304" i="15"/>
  <c r="H1305" i="15"/>
  <c r="I1305" i="15"/>
  <c r="J1305" i="15"/>
  <c r="H1306" i="15"/>
  <c r="I1306" i="15"/>
  <c r="J1306" i="15"/>
  <c r="H1307" i="15"/>
  <c r="I1307" i="15"/>
  <c r="J1307" i="15"/>
  <c r="H1308" i="15"/>
  <c r="I1308" i="15"/>
  <c r="J1308" i="15"/>
  <c r="H1309" i="15"/>
  <c r="I1309" i="15"/>
  <c r="J1309" i="15"/>
  <c r="H1310" i="15"/>
  <c r="I1310" i="15"/>
  <c r="J1310" i="15"/>
  <c r="H1311" i="15"/>
  <c r="I1311" i="15"/>
  <c r="J1311" i="15"/>
  <c r="H1312" i="15"/>
  <c r="I1312" i="15"/>
  <c r="J1312" i="15"/>
  <c r="H1313" i="15"/>
  <c r="I1313" i="15"/>
  <c r="J1313" i="15"/>
  <c r="H1314" i="15"/>
  <c r="I1314" i="15"/>
  <c r="J1314" i="15"/>
  <c r="H1315" i="15"/>
  <c r="I1315" i="15"/>
  <c r="J1315" i="15"/>
  <c r="H1316" i="15"/>
  <c r="I1316" i="15"/>
  <c r="J1316" i="15"/>
  <c r="H1317" i="15"/>
  <c r="I1317" i="15"/>
  <c r="J1317" i="15"/>
  <c r="H1318" i="15"/>
  <c r="I1318" i="15"/>
  <c r="J1318" i="15"/>
  <c r="H1319" i="15"/>
  <c r="I1319" i="15"/>
  <c r="J1319" i="15"/>
  <c r="H1320" i="15"/>
  <c r="I1320" i="15"/>
  <c r="J1320" i="15"/>
  <c r="H1321" i="15"/>
  <c r="I1321" i="15"/>
  <c r="J1321" i="15"/>
  <c r="H1322" i="15"/>
  <c r="I1322" i="15"/>
  <c r="J1322" i="15"/>
  <c r="H1323" i="15"/>
  <c r="I1323" i="15"/>
  <c r="J1323" i="15"/>
  <c r="H1324" i="15"/>
  <c r="I1324" i="15"/>
  <c r="J1324" i="15"/>
  <c r="H1325" i="15"/>
  <c r="I1325" i="15"/>
  <c r="J1325" i="15"/>
  <c r="H1326" i="15"/>
  <c r="I1326" i="15"/>
  <c r="J1326" i="15"/>
  <c r="H1327" i="15"/>
  <c r="I1327" i="15"/>
  <c r="J1327" i="15"/>
  <c r="H1328" i="15"/>
  <c r="I1328" i="15"/>
  <c r="J1328" i="15"/>
  <c r="H1329" i="15"/>
  <c r="I1329" i="15"/>
  <c r="J1329" i="15"/>
  <c r="H1330" i="15"/>
  <c r="I1330" i="15"/>
  <c r="J1330" i="15"/>
  <c r="H1331" i="15"/>
  <c r="I1331" i="15"/>
  <c r="J1331" i="15"/>
  <c r="H1332" i="15"/>
  <c r="I1332" i="15"/>
  <c r="J1332" i="15"/>
  <c r="H1333" i="15"/>
  <c r="I1333" i="15"/>
  <c r="J1333" i="15"/>
  <c r="H1334" i="15"/>
  <c r="I1334" i="15"/>
  <c r="J1334" i="15"/>
  <c r="H1335" i="15"/>
  <c r="I1335" i="15"/>
  <c r="J1335" i="15"/>
  <c r="H1336" i="15"/>
  <c r="I1336" i="15"/>
  <c r="J1336" i="15"/>
  <c r="H1337" i="15"/>
  <c r="I1337" i="15"/>
  <c r="J1337" i="15"/>
  <c r="H1338" i="15"/>
  <c r="I1338" i="15"/>
  <c r="J1338" i="15"/>
  <c r="H1339" i="15"/>
  <c r="I1339" i="15"/>
  <c r="J1339" i="15"/>
  <c r="H1340" i="15"/>
  <c r="I1340" i="15"/>
  <c r="J1340" i="15"/>
  <c r="H1341" i="15"/>
  <c r="I1341" i="15"/>
  <c r="J1341" i="15"/>
  <c r="H1342" i="15"/>
  <c r="I1342" i="15"/>
  <c r="J1342" i="15"/>
  <c r="H1343" i="15"/>
  <c r="I1343" i="15"/>
  <c r="J1343" i="15"/>
  <c r="H1344" i="15"/>
  <c r="I1344" i="15"/>
  <c r="J1344" i="15"/>
  <c r="H1345" i="15"/>
  <c r="I1345" i="15"/>
  <c r="J1345" i="15"/>
  <c r="H1346" i="15"/>
  <c r="I1346" i="15"/>
  <c r="J1346" i="15"/>
  <c r="H1347" i="15"/>
  <c r="I1347" i="15"/>
  <c r="J1347" i="15"/>
  <c r="H1348" i="15"/>
  <c r="I1348" i="15"/>
  <c r="J1348" i="15"/>
  <c r="H1349" i="15"/>
  <c r="I1349" i="15"/>
  <c r="J1349" i="15"/>
  <c r="H1350" i="15"/>
  <c r="I1350" i="15"/>
  <c r="J1350" i="15"/>
  <c r="H1351" i="15"/>
  <c r="I1351" i="15"/>
  <c r="J1351" i="15"/>
  <c r="H1352" i="15"/>
  <c r="I1352" i="15"/>
  <c r="J1352" i="15"/>
  <c r="H1353" i="15"/>
  <c r="I1353" i="15"/>
  <c r="J1353" i="15"/>
  <c r="H1354" i="15"/>
  <c r="I1354" i="15"/>
  <c r="J1354" i="15"/>
  <c r="H1355" i="15"/>
  <c r="I1355" i="15"/>
  <c r="J1355" i="15"/>
  <c r="H1356" i="15"/>
  <c r="I1356" i="15"/>
  <c r="J1356" i="15"/>
  <c r="H1357" i="15"/>
  <c r="I1357" i="15"/>
  <c r="J1357" i="15"/>
  <c r="H1358" i="15"/>
  <c r="I1358" i="15"/>
  <c r="J1358" i="15"/>
  <c r="H1359" i="15"/>
  <c r="I1359" i="15"/>
  <c r="J1359" i="15"/>
  <c r="H1360" i="15"/>
  <c r="I1360" i="15"/>
  <c r="J1360" i="15"/>
  <c r="H1361" i="15"/>
  <c r="I1361" i="15"/>
  <c r="J1361" i="15"/>
  <c r="H1362" i="15"/>
  <c r="I1362" i="15"/>
  <c r="J1362" i="15"/>
  <c r="H1363" i="15"/>
  <c r="I1363" i="15"/>
  <c r="J1363" i="15"/>
  <c r="H1364" i="15"/>
  <c r="I1364" i="15"/>
  <c r="J1364" i="15"/>
  <c r="H1365" i="15"/>
  <c r="I1365" i="15"/>
  <c r="J1365" i="15"/>
  <c r="H1366" i="15"/>
  <c r="I1366" i="15"/>
  <c r="J1366" i="15"/>
  <c r="H1367" i="15"/>
  <c r="I1367" i="15"/>
  <c r="J1367" i="15"/>
  <c r="H1368" i="15"/>
  <c r="I1368" i="15"/>
  <c r="J1368" i="15"/>
  <c r="H1369" i="15"/>
  <c r="I1369" i="15"/>
  <c r="J1369" i="15"/>
  <c r="H1370" i="15"/>
  <c r="I1370" i="15"/>
  <c r="J1370" i="15"/>
  <c r="H1371" i="15"/>
  <c r="I1371" i="15"/>
  <c r="J1371" i="15"/>
  <c r="H1372" i="15"/>
  <c r="I1372" i="15"/>
  <c r="J1372" i="15"/>
  <c r="H1373" i="15"/>
  <c r="I1373" i="15"/>
  <c r="J1373" i="15"/>
  <c r="H1374" i="15"/>
  <c r="I1374" i="15"/>
  <c r="J1374" i="15"/>
  <c r="H1375" i="15"/>
  <c r="I1375" i="15"/>
  <c r="J1375" i="15"/>
  <c r="H1376" i="15"/>
  <c r="I1376" i="15"/>
  <c r="J1376" i="15"/>
  <c r="H1377" i="15"/>
  <c r="I1377" i="15"/>
  <c r="J1377" i="15"/>
  <c r="H1378" i="15"/>
  <c r="I1378" i="15"/>
  <c r="J1378" i="15"/>
  <c r="H1379" i="15"/>
  <c r="I1379" i="15"/>
  <c r="J1379" i="15"/>
  <c r="H1380" i="15"/>
  <c r="I1380" i="15"/>
  <c r="J1380" i="15"/>
  <c r="H1381" i="15"/>
  <c r="I1381" i="15"/>
  <c r="J1381" i="15"/>
  <c r="H1382" i="15"/>
  <c r="I1382" i="15"/>
  <c r="J1382" i="15"/>
  <c r="H1383" i="15"/>
  <c r="I1383" i="15"/>
  <c r="J1383" i="15"/>
  <c r="H1384" i="15"/>
  <c r="I1384" i="15"/>
  <c r="J1384" i="15"/>
  <c r="H1385" i="15"/>
  <c r="I1385" i="15"/>
  <c r="J1385" i="15"/>
  <c r="H1386" i="15"/>
  <c r="I1386" i="15"/>
  <c r="J1386" i="15"/>
  <c r="H1387" i="15"/>
  <c r="I1387" i="15"/>
  <c r="J1387" i="15"/>
  <c r="H1388" i="15"/>
  <c r="I1388" i="15"/>
  <c r="J1388" i="15"/>
  <c r="H1389" i="15"/>
  <c r="I1389" i="15"/>
  <c r="J1389" i="15"/>
  <c r="H1390" i="15"/>
  <c r="I1390" i="15"/>
  <c r="J1390" i="15"/>
  <c r="H1391" i="15"/>
  <c r="I1391" i="15"/>
  <c r="J1391" i="15"/>
  <c r="H1392" i="15"/>
  <c r="I1392" i="15"/>
  <c r="J1392" i="15"/>
  <c r="H1393" i="15"/>
  <c r="I1393" i="15"/>
  <c r="J1393" i="15"/>
  <c r="H1394" i="15"/>
  <c r="I1394" i="15"/>
  <c r="J1394" i="15"/>
  <c r="H1395" i="15"/>
  <c r="I1395" i="15"/>
  <c r="J1395" i="15"/>
  <c r="H1396" i="15"/>
  <c r="I1396" i="15"/>
  <c r="J1396" i="15"/>
  <c r="H1397" i="15"/>
  <c r="I1397" i="15"/>
  <c r="J1397" i="15"/>
  <c r="H1398" i="15"/>
  <c r="I1398" i="15"/>
  <c r="J1398" i="15"/>
  <c r="H1399" i="15"/>
  <c r="I1399" i="15"/>
  <c r="J1399" i="15"/>
  <c r="H1400" i="15"/>
  <c r="I1400" i="15"/>
  <c r="J1400" i="15"/>
  <c r="H1401" i="15"/>
  <c r="I1401" i="15"/>
  <c r="J1401" i="15"/>
  <c r="H1402" i="15"/>
  <c r="I1402" i="15"/>
  <c r="J1402" i="15"/>
  <c r="H1403" i="15"/>
  <c r="I1403" i="15"/>
  <c r="J1403" i="15"/>
  <c r="H1404" i="15"/>
  <c r="I1404" i="15"/>
  <c r="J1404" i="15"/>
  <c r="H1405" i="15"/>
  <c r="I1405" i="15"/>
  <c r="J1405" i="15"/>
  <c r="H1406" i="15"/>
  <c r="I1406" i="15"/>
  <c r="J1406" i="15"/>
  <c r="H1407" i="15"/>
  <c r="I1407" i="15"/>
  <c r="J1407" i="15"/>
  <c r="H1408" i="15"/>
  <c r="I1408" i="15"/>
  <c r="J1408" i="15"/>
  <c r="H1409" i="15"/>
  <c r="I1409" i="15"/>
  <c r="J1409" i="15"/>
  <c r="H1410" i="15"/>
  <c r="I1410" i="15"/>
  <c r="J1410" i="15"/>
  <c r="H1411" i="15"/>
  <c r="I1411" i="15"/>
  <c r="J1411" i="15"/>
  <c r="H1412" i="15"/>
  <c r="I1412" i="15"/>
  <c r="J1412" i="15"/>
  <c r="H1413" i="15"/>
  <c r="I1413" i="15"/>
  <c r="J1413" i="15"/>
  <c r="H1414" i="15"/>
  <c r="I1414" i="15"/>
  <c r="J1414" i="15"/>
  <c r="H1415" i="15"/>
  <c r="I1415" i="15"/>
  <c r="J1415" i="15"/>
  <c r="H1416" i="15"/>
  <c r="I1416" i="15"/>
  <c r="J1416" i="15"/>
  <c r="H1417" i="15"/>
  <c r="I1417" i="15"/>
  <c r="J1417" i="15"/>
  <c r="H1418" i="15"/>
  <c r="I1418" i="15"/>
  <c r="J1418" i="15"/>
  <c r="H1419" i="15"/>
  <c r="I1419" i="15"/>
  <c r="J1419" i="15"/>
  <c r="H1420" i="15"/>
  <c r="I1420" i="15"/>
  <c r="J1420" i="15"/>
  <c r="H1421" i="15"/>
  <c r="I1421" i="15"/>
  <c r="J1421" i="15"/>
  <c r="H1422" i="15"/>
  <c r="I1422" i="15"/>
  <c r="J1422" i="15"/>
  <c r="H1423" i="15"/>
  <c r="I1423" i="15"/>
  <c r="J1423" i="15"/>
  <c r="H1424" i="15"/>
  <c r="I1424" i="15"/>
  <c r="J1424" i="15"/>
  <c r="H1425" i="15"/>
  <c r="I1425" i="15"/>
  <c r="J1425" i="15"/>
  <c r="H1426" i="15"/>
  <c r="I1426" i="15"/>
  <c r="J1426" i="15"/>
  <c r="H1427" i="15"/>
  <c r="I1427" i="15"/>
  <c r="J1427" i="15"/>
  <c r="H1428" i="15"/>
  <c r="I1428" i="15"/>
  <c r="J1428" i="15"/>
  <c r="H1429" i="15"/>
  <c r="I1429" i="15"/>
  <c r="J1429" i="15"/>
  <c r="H1430" i="15"/>
  <c r="I1430" i="15"/>
  <c r="J1430" i="15"/>
  <c r="H1431" i="15"/>
  <c r="I1431" i="15"/>
  <c r="J1431" i="15"/>
  <c r="H1432" i="15"/>
  <c r="I1432" i="15"/>
  <c r="J1432" i="15"/>
  <c r="H1433" i="15"/>
  <c r="I1433" i="15"/>
  <c r="J1433" i="15"/>
  <c r="H1434" i="15"/>
  <c r="I1434" i="15"/>
  <c r="J1434" i="15"/>
  <c r="H1435" i="15"/>
  <c r="I1435" i="15"/>
  <c r="J1435" i="15"/>
  <c r="H1436" i="15"/>
  <c r="I1436" i="15"/>
  <c r="J1436" i="15"/>
  <c r="H1437" i="15"/>
  <c r="I1437" i="15"/>
  <c r="J1437" i="15"/>
  <c r="H1438" i="15"/>
  <c r="I1438" i="15"/>
  <c r="J1438" i="15"/>
  <c r="H1439" i="15"/>
  <c r="I1439" i="15"/>
  <c r="J1439" i="15"/>
  <c r="H1440" i="15"/>
  <c r="I1440" i="15"/>
  <c r="J1440" i="15"/>
  <c r="H1441" i="15"/>
  <c r="I1441" i="15"/>
  <c r="J1441" i="15"/>
  <c r="H1442" i="15"/>
  <c r="I1442" i="15"/>
  <c r="J1442" i="15"/>
  <c r="H1443" i="15"/>
  <c r="I1443" i="15"/>
  <c r="J1443" i="15"/>
  <c r="H1444" i="15"/>
  <c r="I1444" i="15"/>
  <c r="J1444" i="15"/>
  <c r="H1445" i="15"/>
  <c r="I1445" i="15"/>
  <c r="J1445" i="15"/>
  <c r="H1446" i="15"/>
  <c r="I1446" i="15"/>
  <c r="J1446" i="15"/>
  <c r="H1447" i="15"/>
  <c r="I1447" i="15"/>
  <c r="J1447" i="15"/>
  <c r="H1448" i="15"/>
  <c r="I1448" i="15"/>
  <c r="J1448" i="15"/>
  <c r="H1449" i="15"/>
  <c r="I1449" i="15"/>
  <c r="J1449" i="15"/>
  <c r="H1450" i="15"/>
  <c r="I1450" i="15"/>
  <c r="J1450" i="15"/>
  <c r="H1451" i="15"/>
  <c r="I1451" i="15"/>
  <c r="J1451" i="15"/>
  <c r="H1452" i="15"/>
  <c r="I1452" i="15"/>
  <c r="J1452" i="15"/>
  <c r="H1453" i="15"/>
  <c r="I1453" i="15"/>
  <c r="J1453" i="15"/>
  <c r="H1454" i="15"/>
  <c r="I1454" i="15"/>
  <c r="J1454" i="15"/>
  <c r="H1455" i="15"/>
  <c r="I1455" i="15"/>
  <c r="J1455" i="15"/>
  <c r="H1456" i="15"/>
  <c r="I1456" i="15"/>
  <c r="J1456" i="15"/>
  <c r="H1457" i="15"/>
  <c r="I1457" i="15"/>
  <c r="J1457" i="15"/>
  <c r="H1458" i="15"/>
  <c r="I1458" i="15"/>
  <c r="J1458" i="15"/>
  <c r="H1459" i="15"/>
  <c r="I1459" i="15"/>
  <c r="J1459" i="15"/>
  <c r="H1460" i="15"/>
  <c r="I1460" i="15"/>
  <c r="J1460" i="15"/>
  <c r="H1461" i="15"/>
  <c r="I1461" i="15"/>
  <c r="J1461" i="15"/>
  <c r="H1462" i="15"/>
  <c r="I1462" i="15"/>
  <c r="J1462" i="15"/>
  <c r="H1463" i="15"/>
  <c r="I1463" i="15"/>
  <c r="J1463" i="15"/>
  <c r="H1464" i="15"/>
  <c r="I1464" i="15"/>
  <c r="J1464" i="15"/>
  <c r="H1465" i="15"/>
  <c r="I1465" i="15"/>
  <c r="J1465" i="15"/>
  <c r="H1466" i="15"/>
  <c r="I1466" i="15"/>
  <c r="J1466" i="15"/>
  <c r="H1467" i="15"/>
  <c r="I1467" i="15"/>
  <c r="J1467" i="15"/>
  <c r="H1468" i="15"/>
  <c r="I1468" i="15"/>
  <c r="J1468" i="15"/>
  <c r="H1469" i="15"/>
  <c r="I1469" i="15"/>
  <c r="J1469" i="15"/>
  <c r="H1470" i="15"/>
  <c r="I1470" i="15"/>
  <c r="J1470" i="15"/>
  <c r="H1471" i="15"/>
  <c r="I1471" i="15"/>
  <c r="J1471" i="15"/>
  <c r="H1472" i="15"/>
  <c r="I1472" i="15"/>
  <c r="J1472" i="15"/>
  <c r="H1473" i="15"/>
  <c r="I1473" i="15"/>
  <c r="J1473" i="15"/>
  <c r="H1474" i="15"/>
  <c r="I1474" i="15"/>
  <c r="J1474" i="15"/>
  <c r="H1475" i="15"/>
  <c r="I1475" i="15"/>
  <c r="J1475" i="15"/>
  <c r="H1476" i="15"/>
  <c r="I1476" i="15"/>
  <c r="J1476" i="15"/>
  <c r="H1477" i="15"/>
  <c r="I1477" i="15"/>
  <c r="J1477" i="15"/>
  <c r="H1478" i="15"/>
  <c r="I1478" i="15"/>
  <c r="J1478" i="15"/>
  <c r="H1479" i="15"/>
  <c r="I1479" i="15"/>
  <c r="J1479" i="15"/>
  <c r="H1480" i="15"/>
  <c r="I1480" i="15"/>
  <c r="J1480" i="15"/>
  <c r="H1481" i="15"/>
  <c r="I1481" i="15"/>
  <c r="J1481" i="15"/>
  <c r="H1482" i="15"/>
  <c r="I1482" i="15"/>
  <c r="J1482" i="15"/>
  <c r="H1483" i="15"/>
  <c r="I1483" i="15"/>
  <c r="J1483" i="15"/>
  <c r="H1484" i="15"/>
  <c r="I1484" i="15"/>
  <c r="J1484" i="15"/>
  <c r="H1485" i="15"/>
  <c r="I1485" i="15"/>
  <c r="J1485" i="15"/>
  <c r="H1486" i="15"/>
  <c r="I1486" i="15"/>
  <c r="J1486" i="15"/>
  <c r="H1487" i="15"/>
  <c r="I1487" i="15"/>
  <c r="J1487" i="15"/>
  <c r="H1488" i="15"/>
  <c r="I1488" i="15"/>
  <c r="J1488" i="15"/>
  <c r="H1489" i="15"/>
  <c r="I1489" i="15"/>
  <c r="J1489" i="15"/>
  <c r="H1490" i="15"/>
  <c r="I1490" i="15"/>
  <c r="J1490" i="15"/>
  <c r="H1491" i="15"/>
  <c r="I1491" i="15"/>
  <c r="J1491" i="15"/>
  <c r="H1492" i="15"/>
  <c r="I1492" i="15"/>
  <c r="J1492" i="15"/>
  <c r="H1493" i="15"/>
  <c r="I1493" i="15"/>
  <c r="J1493" i="15"/>
  <c r="H1494" i="15"/>
  <c r="I1494" i="15"/>
  <c r="J1494" i="15"/>
  <c r="H1495" i="15"/>
  <c r="I1495" i="15"/>
  <c r="J1495" i="15"/>
  <c r="H1496" i="15"/>
  <c r="I1496" i="15"/>
  <c r="J1496" i="15"/>
  <c r="H1497" i="15"/>
  <c r="I1497" i="15"/>
  <c r="J1497" i="15"/>
  <c r="H1498" i="15"/>
  <c r="I1498" i="15"/>
  <c r="J1498" i="15"/>
  <c r="H1499" i="15"/>
  <c r="I1499" i="15"/>
  <c r="J1499" i="15"/>
  <c r="H1500" i="15"/>
  <c r="I1500" i="15"/>
  <c r="J1500" i="15"/>
  <c r="H1501" i="15"/>
  <c r="I1501" i="15"/>
  <c r="J1501" i="15"/>
  <c r="H1502" i="15"/>
  <c r="I1502" i="15"/>
  <c r="J1502" i="15"/>
  <c r="H1503" i="15"/>
  <c r="I1503" i="15"/>
  <c r="J1503" i="15"/>
  <c r="H1504" i="15"/>
  <c r="I1504" i="15"/>
  <c r="J1504" i="15"/>
  <c r="H1505" i="15"/>
  <c r="I1505" i="15"/>
  <c r="J1505" i="15"/>
  <c r="H1506" i="15"/>
  <c r="I1506" i="15"/>
  <c r="J1506" i="15"/>
  <c r="H1507" i="15"/>
  <c r="I1507" i="15"/>
  <c r="J1507" i="15"/>
  <c r="H1508" i="15"/>
  <c r="I1508" i="15"/>
  <c r="J1508" i="15"/>
  <c r="H1509" i="15"/>
  <c r="I1509" i="15"/>
  <c r="J1509" i="15"/>
  <c r="H1510" i="15"/>
  <c r="I1510" i="15"/>
  <c r="J1510" i="15"/>
  <c r="H1511" i="15"/>
  <c r="I1511" i="15"/>
  <c r="J1511" i="15"/>
  <c r="H1512" i="15"/>
  <c r="I1512" i="15"/>
  <c r="J1512" i="15"/>
  <c r="H1513" i="15"/>
  <c r="I1513" i="15"/>
  <c r="J1513" i="15"/>
  <c r="H1514" i="15"/>
  <c r="I1514" i="15"/>
  <c r="J1514" i="15"/>
  <c r="H1515" i="15"/>
  <c r="I1515" i="15"/>
  <c r="J1515" i="15"/>
  <c r="H1516" i="15"/>
  <c r="I1516" i="15"/>
  <c r="J1516" i="15"/>
  <c r="H1517" i="15"/>
  <c r="I1517" i="15"/>
  <c r="J1517" i="15"/>
  <c r="H1518" i="15"/>
  <c r="I1518" i="15"/>
  <c r="J1518" i="15"/>
  <c r="H1519" i="15"/>
  <c r="I1519" i="15"/>
  <c r="J1519" i="15"/>
  <c r="H1520" i="15"/>
  <c r="I1520" i="15"/>
  <c r="J1520" i="15"/>
  <c r="H1521" i="15"/>
  <c r="I1521" i="15"/>
  <c r="J1521" i="15"/>
  <c r="H1522" i="15"/>
  <c r="I1522" i="15"/>
  <c r="J1522" i="15"/>
  <c r="H1523" i="15"/>
  <c r="I1523" i="15"/>
  <c r="J1523" i="15"/>
  <c r="H1524" i="15"/>
  <c r="I1524" i="15"/>
  <c r="J1524" i="15"/>
  <c r="H1525" i="15"/>
  <c r="I1525" i="15"/>
  <c r="J1525" i="15"/>
  <c r="H1526" i="15"/>
  <c r="I1526" i="15"/>
  <c r="J1526" i="15"/>
  <c r="H1527" i="15"/>
  <c r="I1527" i="15"/>
  <c r="J1527" i="15"/>
  <c r="H1528" i="15"/>
  <c r="I1528" i="15"/>
  <c r="J1528" i="15"/>
  <c r="H1529" i="15"/>
  <c r="I1529" i="15"/>
  <c r="J1529" i="15"/>
  <c r="H1530" i="15"/>
  <c r="I1530" i="15"/>
  <c r="J1530" i="15"/>
  <c r="H1531" i="15"/>
  <c r="I1531" i="15"/>
  <c r="J1531" i="15"/>
  <c r="H1532" i="15"/>
  <c r="I1532" i="15"/>
  <c r="J1532" i="15"/>
  <c r="H1533" i="15"/>
  <c r="I1533" i="15"/>
  <c r="J1533" i="15"/>
  <c r="H1534" i="15"/>
  <c r="I1534" i="15"/>
  <c r="J1534" i="15"/>
  <c r="H1535" i="15"/>
  <c r="I1535" i="15"/>
  <c r="J1535" i="15"/>
  <c r="H1536" i="15"/>
  <c r="I1536" i="15"/>
  <c r="J1536" i="15"/>
  <c r="H1537" i="15"/>
  <c r="I1537" i="15"/>
  <c r="J1537" i="15"/>
  <c r="H1538" i="15"/>
  <c r="I1538" i="15"/>
  <c r="J1538" i="15"/>
  <c r="H1539" i="15"/>
  <c r="I1539" i="15"/>
  <c r="J1539" i="15"/>
  <c r="H1540" i="15"/>
  <c r="I1540" i="15"/>
  <c r="J1540" i="15"/>
  <c r="H1541" i="15"/>
  <c r="I1541" i="15"/>
  <c r="J1541" i="15"/>
  <c r="H1542" i="15"/>
  <c r="I1542" i="15"/>
  <c r="J1542" i="15"/>
  <c r="H1543" i="15"/>
  <c r="I1543" i="15"/>
  <c r="J1543" i="15"/>
  <c r="H1544" i="15"/>
  <c r="I1544" i="15"/>
  <c r="J1544" i="15"/>
  <c r="H1545" i="15"/>
  <c r="I1545" i="15"/>
  <c r="J1545" i="15"/>
  <c r="H1546" i="15"/>
  <c r="I1546" i="15"/>
  <c r="J1546" i="15"/>
  <c r="H1547" i="15"/>
  <c r="I1547" i="15"/>
  <c r="J1547" i="15"/>
  <c r="H1548" i="15"/>
  <c r="I1548" i="15"/>
  <c r="J1548" i="15"/>
  <c r="H1549" i="15"/>
  <c r="I1549" i="15"/>
  <c r="J1549" i="15"/>
  <c r="H1550" i="15"/>
  <c r="I1550" i="15"/>
  <c r="J1550" i="15"/>
  <c r="H1551" i="15"/>
  <c r="I1551" i="15"/>
  <c r="J1551" i="15"/>
  <c r="H1552" i="15"/>
  <c r="I1552" i="15"/>
  <c r="J1552" i="15"/>
  <c r="H1553" i="15"/>
  <c r="I1553" i="15"/>
  <c r="J1553" i="15"/>
  <c r="H1554" i="15"/>
  <c r="I1554" i="15"/>
  <c r="J1554" i="15"/>
  <c r="H1555" i="15"/>
  <c r="I1555" i="15"/>
  <c r="J1555" i="15"/>
  <c r="H1556" i="15"/>
  <c r="I1556" i="15"/>
  <c r="J1556" i="15"/>
  <c r="H1557" i="15"/>
  <c r="I1557" i="15"/>
  <c r="J1557" i="15"/>
  <c r="H1558" i="15"/>
  <c r="I1558" i="15"/>
  <c r="J1558" i="15"/>
  <c r="H1559" i="15"/>
  <c r="I1559" i="15"/>
  <c r="J1559" i="15"/>
  <c r="H1560" i="15"/>
  <c r="I1560" i="15"/>
  <c r="J1560" i="15"/>
  <c r="H1561" i="15"/>
  <c r="I1561" i="15"/>
  <c r="J1561" i="15"/>
  <c r="H1562" i="15"/>
  <c r="I1562" i="15"/>
  <c r="J1562" i="15"/>
  <c r="H1563" i="15"/>
  <c r="I1563" i="15"/>
  <c r="J1563" i="15"/>
  <c r="H1564" i="15"/>
  <c r="I1564" i="15"/>
  <c r="J1564" i="15"/>
  <c r="H1565" i="15"/>
  <c r="I1565" i="15"/>
  <c r="J1565" i="15"/>
  <c r="H1566" i="15"/>
  <c r="I1566" i="15"/>
  <c r="J1566" i="15"/>
  <c r="H1567" i="15"/>
  <c r="I1567" i="15"/>
  <c r="J1567" i="15"/>
  <c r="H1568" i="15"/>
  <c r="I1568" i="15"/>
  <c r="J1568" i="15"/>
  <c r="H1569" i="15"/>
  <c r="I1569" i="15"/>
  <c r="J1569" i="15"/>
  <c r="H1570" i="15"/>
  <c r="I1570" i="15"/>
  <c r="J1570" i="15"/>
  <c r="H1571" i="15"/>
  <c r="I1571" i="15"/>
  <c r="J1571" i="15"/>
  <c r="H1572" i="15"/>
  <c r="I1572" i="15"/>
  <c r="J1572" i="15"/>
  <c r="H1573" i="15"/>
  <c r="I1573" i="15"/>
  <c r="J1573" i="15"/>
  <c r="H1574" i="15"/>
  <c r="I1574" i="15"/>
  <c r="J1574" i="15"/>
  <c r="H1575" i="15"/>
  <c r="I1575" i="15"/>
  <c r="J1575" i="15"/>
  <c r="H1576" i="15"/>
  <c r="I1576" i="15"/>
  <c r="J1576" i="15"/>
  <c r="H1577" i="15"/>
  <c r="I1577" i="15"/>
  <c r="J1577" i="15"/>
  <c r="H1578" i="15"/>
  <c r="I1578" i="15"/>
  <c r="J1578" i="15"/>
  <c r="H1579" i="15"/>
  <c r="I1579" i="15"/>
  <c r="J1579" i="15"/>
  <c r="H1580" i="15"/>
  <c r="I1580" i="15"/>
  <c r="J1580" i="15"/>
  <c r="H1581" i="15"/>
  <c r="I1581" i="15"/>
  <c r="J1581" i="15"/>
  <c r="H1582" i="15"/>
  <c r="I1582" i="15"/>
  <c r="J1582" i="15"/>
  <c r="H1583" i="15"/>
  <c r="I1583" i="15"/>
  <c r="J1583" i="15"/>
  <c r="H1584" i="15"/>
  <c r="I1584" i="15"/>
  <c r="J1584" i="15"/>
  <c r="H1585" i="15"/>
  <c r="I1585" i="15"/>
  <c r="J1585" i="15"/>
  <c r="H1586" i="15"/>
  <c r="I1586" i="15"/>
  <c r="J1586" i="15"/>
  <c r="H1587" i="15"/>
  <c r="I1587" i="15"/>
  <c r="J1587" i="15"/>
  <c r="H1588" i="15"/>
  <c r="I1588" i="15"/>
  <c r="J1588" i="15"/>
  <c r="H1589" i="15"/>
  <c r="I1589" i="15"/>
  <c r="J1589" i="15"/>
  <c r="H1590" i="15"/>
  <c r="I1590" i="15"/>
  <c r="J1590" i="15"/>
  <c r="H1591" i="15"/>
  <c r="I1591" i="15"/>
  <c r="J1591" i="15"/>
  <c r="H1592" i="15"/>
  <c r="I1592" i="15"/>
  <c r="J1592" i="15"/>
  <c r="H1593" i="15"/>
  <c r="I1593" i="15"/>
  <c r="J1593" i="15"/>
  <c r="H1594" i="15"/>
  <c r="I1594" i="15"/>
  <c r="J1594" i="15"/>
  <c r="H1595" i="15"/>
  <c r="I1595" i="15"/>
  <c r="J1595" i="15"/>
  <c r="H1596" i="15"/>
  <c r="I1596" i="15"/>
  <c r="J1596" i="15"/>
  <c r="H1597" i="15"/>
  <c r="I1597" i="15"/>
  <c r="J1597" i="15"/>
  <c r="H1598" i="15"/>
  <c r="I1598" i="15"/>
  <c r="J1598" i="15"/>
  <c r="H1599" i="15"/>
  <c r="I1599" i="15"/>
  <c r="J1599" i="15"/>
  <c r="H1600" i="15"/>
  <c r="I1600" i="15"/>
  <c r="J1600" i="15"/>
  <c r="H1601" i="15"/>
  <c r="I1601" i="15"/>
  <c r="J1601" i="15"/>
  <c r="H1602" i="15"/>
  <c r="I1602" i="15"/>
  <c r="J1602" i="15"/>
  <c r="H1603" i="15"/>
  <c r="I1603" i="15"/>
  <c r="J1603" i="15"/>
  <c r="H1604" i="15"/>
  <c r="I1604" i="15"/>
  <c r="J1604" i="15"/>
  <c r="H1605" i="15"/>
  <c r="I1605" i="15"/>
  <c r="J1605" i="15"/>
  <c r="H1606" i="15"/>
  <c r="I1606" i="15"/>
  <c r="J1606" i="15"/>
  <c r="H1607" i="15"/>
  <c r="I1607" i="15"/>
  <c r="J1607" i="15"/>
  <c r="H1608" i="15"/>
  <c r="I1608" i="15"/>
  <c r="J1608" i="15"/>
  <c r="H1609" i="15"/>
  <c r="I1609" i="15"/>
  <c r="J1609" i="15"/>
  <c r="H1610" i="15"/>
  <c r="I1610" i="15"/>
  <c r="J1610" i="15"/>
  <c r="H1611" i="15"/>
  <c r="I1611" i="15"/>
  <c r="J1611" i="15"/>
  <c r="H1612" i="15"/>
  <c r="I1612" i="15"/>
  <c r="J1612" i="15"/>
  <c r="H1613" i="15"/>
  <c r="I1613" i="15"/>
  <c r="J1613" i="15"/>
  <c r="H1614" i="15"/>
  <c r="I1614" i="15"/>
  <c r="J1614" i="15"/>
  <c r="H1615" i="15"/>
  <c r="I1615" i="15"/>
  <c r="J1615" i="15"/>
  <c r="H1616" i="15"/>
  <c r="I1616" i="15"/>
  <c r="J1616" i="15"/>
  <c r="H1617" i="15"/>
  <c r="I1617" i="15"/>
  <c r="J1617" i="15"/>
  <c r="H1618" i="15"/>
  <c r="I1618" i="15"/>
  <c r="J1618" i="15"/>
  <c r="H1619" i="15"/>
  <c r="I1619" i="15"/>
  <c r="J1619" i="15"/>
  <c r="H1620" i="15"/>
  <c r="I1620" i="15"/>
  <c r="J1620" i="15"/>
  <c r="H1621" i="15"/>
  <c r="I1621" i="15"/>
  <c r="J1621" i="15"/>
  <c r="H1622" i="15"/>
  <c r="I1622" i="15"/>
  <c r="J1622" i="15"/>
  <c r="H1623" i="15"/>
  <c r="I1623" i="15"/>
  <c r="J1623" i="15"/>
  <c r="H1624" i="15"/>
  <c r="I1624" i="15"/>
  <c r="J1624" i="15"/>
  <c r="H1625" i="15"/>
  <c r="I1625" i="15"/>
  <c r="J1625" i="15"/>
  <c r="H1626" i="15"/>
  <c r="I1626" i="15"/>
  <c r="J1626" i="15"/>
  <c r="H1627" i="15"/>
  <c r="I1627" i="15"/>
  <c r="J1627" i="15"/>
  <c r="H1628" i="15"/>
  <c r="I1628" i="15"/>
  <c r="J1628" i="15"/>
  <c r="H1629" i="15"/>
  <c r="I1629" i="15"/>
  <c r="J1629" i="15"/>
  <c r="H1630" i="15"/>
  <c r="I1630" i="15"/>
  <c r="J1630" i="15"/>
  <c r="H1631" i="15"/>
  <c r="I1631" i="15"/>
  <c r="J1631" i="15"/>
  <c r="H1632" i="15"/>
  <c r="I1632" i="15"/>
  <c r="J1632" i="15"/>
  <c r="H1633" i="15"/>
  <c r="I1633" i="15"/>
  <c r="J1633" i="15"/>
  <c r="H1634" i="15"/>
  <c r="I1634" i="15"/>
  <c r="J1634" i="15"/>
  <c r="H1635" i="15"/>
  <c r="I1635" i="15"/>
  <c r="J1635" i="15"/>
  <c r="H1636" i="15"/>
  <c r="I1636" i="15"/>
  <c r="J1636" i="15"/>
  <c r="H1637" i="15"/>
  <c r="I1637" i="15"/>
  <c r="J1637" i="15"/>
  <c r="H1638" i="15"/>
  <c r="I1638" i="15"/>
  <c r="J1638" i="15"/>
  <c r="H1639" i="15"/>
  <c r="I1639" i="15"/>
  <c r="J1639" i="15"/>
  <c r="H1640" i="15"/>
  <c r="I1640" i="15"/>
  <c r="J1640" i="15"/>
  <c r="H1641" i="15"/>
  <c r="I1641" i="15"/>
  <c r="J1641" i="15"/>
  <c r="H1642" i="15"/>
  <c r="I1642" i="15"/>
  <c r="J1642" i="15"/>
  <c r="H1643" i="15"/>
  <c r="I1643" i="15"/>
  <c r="J1643" i="15"/>
  <c r="H1644" i="15"/>
  <c r="I1644" i="15"/>
  <c r="J1644" i="15"/>
  <c r="H1645" i="15"/>
  <c r="I1645" i="15"/>
  <c r="J1645" i="15"/>
  <c r="H1646" i="15"/>
  <c r="I1646" i="15"/>
  <c r="J1646" i="15"/>
  <c r="H1647" i="15"/>
  <c r="I1647" i="15"/>
  <c r="J1647" i="15"/>
  <c r="H1648" i="15"/>
  <c r="I1648" i="15"/>
  <c r="J1648" i="15"/>
  <c r="H1649" i="15"/>
  <c r="I1649" i="15"/>
  <c r="J1649" i="15"/>
  <c r="H1650" i="15"/>
  <c r="I1650" i="15"/>
  <c r="J1650" i="15"/>
  <c r="H1651" i="15"/>
  <c r="I1651" i="15"/>
  <c r="J1651" i="15"/>
  <c r="H1652" i="15"/>
  <c r="I1652" i="15"/>
  <c r="J1652" i="15"/>
  <c r="H1653" i="15"/>
  <c r="I1653" i="15"/>
  <c r="J1653" i="15"/>
  <c r="H1654" i="15"/>
  <c r="I1654" i="15"/>
  <c r="J1654" i="15"/>
  <c r="H1655" i="15"/>
  <c r="I1655" i="15"/>
  <c r="J1655" i="15"/>
  <c r="H1656" i="15"/>
  <c r="I1656" i="15"/>
  <c r="J1656" i="15"/>
  <c r="H1657" i="15"/>
  <c r="I1657" i="15"/>
  <c r="J1657" i="15"/>
  <c r="H1658" i="15"/>
  <c r="I1658" i="15"/>
  <c r="J1658" i="15"/>
  <c r="H1659" i="15"/>
  <c r="I1659" i="15"/>
  <c r="J1659" i="15"/>
  <c r="H1660" i="15"/>
  <c r="I1660" i="15"/>
  <c r="J1660" i="15"/>
  <c r="H1661" i="15"/>
  <c r="I1661" i="15"/>
  <c r="J1661" i="15"/>
  <c r="H1662" i="15"/>
  <c r="I1662" i="15"/>
  <c r="J1662" i="15"/>
  <c r="H1663" i="15"/>
  <c r="I1663" i="15"/>
  <c r="J1663" i="15"/>
  <c r="H1664" i="15"/>
  <c r="I1664" i="15"/>
  <c r="J1664" i="15"/>
  <c r="H1665" i="15"/>
  <c r="I1665" i="15"/>
  <c r="J1665" i="15"/>
  <c r="H1666" i="15"/>
  <c r="I1666" i="15"/>
  <c r="J1666" i="15"/>
  <c r="H1667" i="15"/>
  <c r="I1667" i="15"/>
  <c r="J1667" i="15"/>
  <c r="H1668" i="15"/>
  <c r="I1668" i="15"/>
  <c r="J1668" i="15"/>
  <c r="H1669" i="15"/>
  <c r="I1669" i="15"/>
  <c r="J1669" i="15"/>
  <c r="H1670" i="15"/>
  <c r="I1670" i="15"/>
  <c r="J1670" i="15"/>
  <c r="H1671" i="15"/>
  <c r="I1671" i="15"/>
  <c r="J1671" i="15"/>
  <c r="H1672" i="15"/>
  <c r="I1672" i="15"/>
  <c r="J1672" i="15"/>
  <c r="H1673" i="15"/>
  <c r="I1673" i="15"/>
  <c r="J1673" i="15"/>
  <c r="H1674" i="15"/>
  <c r="I1674" i="15"/>
  <c r="J1674" i="15"/>
  <c r="H1675" i="15"/>
  <c r="I1675" i="15"/>
  <c r="J1675" i="15"/>
  <c r="H1676" i="15"/>
  <c r="I1676" i="15"/>
  <c r="J1676" i="15"/>
  <c r="H1677" i="15"/>
  <c r="I1677" i="15"/>
  <c r="J1677" i="15"/>
  <c r="H1678" i="15"/>
  <c r="I1678" i="15"/>
  <c r="J1678" i="15"/>
  <c r="H1679" i="15"/>
  <c r="I1679" i="15"/>
  <c r="J1679" i="15"/>
  <c r="H1680" i="15"/>
  <c r="I1680" i="15"/>
  <c r="J1680" i="15"/>
  <c r="H1681" i="15"/>
  <c r="I1681" i="15"/>
  <c r="J1681" i="15"/>
  <c r="H1682" i="15"/>
  <c r="I1682" i="15"/>
  <c r="J1682" i="15"/>
  <c r="H1683" i="15"/>
  <c r="I1683" i="15"/>
  <c r="J1683" i="15"/>
  <c r="H1684" i="15"/>
  <c r="I1684" i="15"/>
  <c r="J1684" i="15"/>
  <c r="H1685" i="15"/>
  <c r="I1685" i="15"/>
  <c r="J1685" i="15"/>
  <c r="H1686" i="15"/>
  <c r="I1686" i="15"/>
  <c r="J1686" i="15"/>
  <c r="H1687" i="15"/>
  <c r="I1687" i="15"/>
  <c r="J1687" i="15"/>
  <c r="H1688" i="15"/>
  <c r="I1688" i="15"/>
  <c r="J1688" i="15"/>
  <c r="H1689" i="15"/>
  <c r="I1689" i="15"/>
  <c r="J1689" i="15"/>
  <c r="H1690" i="15"/>
  <c r="I1690" i="15"/>
  <c r="J1690" i="15"/>
  <c r="H1691" i="15"/>
  <c r="I1691" i="15"/>
  <c r="J1691" i="15"/>
  <c r="H1692" i="15"/>
  <c r="I1692" i="15"/>
  <c r="J1692" i="15"/>
  <c r="H1693" i="15"/>
  <c r="I1693" i="15"/>
  <c r="J1693" i="15"/>
  <c r="H1694" i="15"/>
  <c r="I1694" i="15"/>
  <c r="J1694" i="15"/>
  <c r="H1695" i="15"/>
  <c r="I1695" i="15"/>
  <c r="J1695" i="15"/>
  <c r="H1696" i="15"/>
  <c r="I1696" i="15"/>
  <c r="J1696" i="15"/>
  <c r="H1697" i="15"/>
  <c r="I1697" i="15"/>
  <c r="J1697" i="15"/>
  <c r="H1698" i="15"/>
  <c r="I1698" i="15"/>
  <c r="J1698" i="15"/>
  <c r="H1699" i="15"/>
  <c r="I1699" i="15"/>
  <c r="J1699" i="15"/>
  <c r="H1700" i="15"/>
  <c r="I1700" i="15"/>
  <c r="J1700" i="15"/>
  <c r="H1701" i="15"/>
  <c r="I1701" i="15"/>
  <c r="J1701" i="15"/>
  <c r="H1702" i="15"/>
  <c r="I1702" i="15"/>
  <c r="J1702" i="15"/>
  <c r="H1703" i="15"/>
  <c r="I1703" i="15"/>
  <c r="J1703" i="15"/>
  <c r="H1704" i="15"/>
  <c r="I1704" i="15"/>
  <c r="J1704" i="15"/>
  <c r="H1705" i="15"/>
  <c r="I1705" i="15"/>
  <c r="J1705" i="15"/>
  <c r="H1706" i="15"/>
  <c r="I1706" i="15"/>
  <c r="J1706" i="15"/>
  <c r="H1707" i="15"/>
  <c r="I1707" i="15"/>
  <c r="J1707" i="15"/>
  <c r="H1708" i="15"/>
  <c r="I1708" i="15"/>
  <c r="J1708" i="15"/>
  <c r="H1709" i="15"/>
  <c r="I1709" i="15"/>
  <c r="J1709" i="15"/>
  <c r="H1710" i="15"/>
  <c r="I1710" i="15"/>
  <c r="J1710" i="15"/>
  <c r="H1711" i="15"/>
  <c r="I1711" i="15"/>
  <c r="J1711" i="15"/>
  <c r="H1712" i="15"/>
  <c r="I1712" i="15"/>
  <c r="J1712" i="15"/>
  <c r="H1713" i="15"/>
  <c r="I1713" i="15"/>
  <c r="J1713" i="15"/>
  <c r="H1714" i="15"/>
  <c r="I1714" i="15"/>
  <c r="J1714" i="15"/>
  <c r="H1715" i="15"/>
  <c r="I1715" i="15"/>
  <c r="J1715" i="15"/>
  <c r="H1716" i="15"/>
  <c r="I1716" i="15"/>
  <c r="J1716" i="15"/>
  <c r="H1717" i="15"/>
  <c r="I1717" i="15"/>
  <c r="J1717" i="15"/>
  <c r="H1718" i="15"/>
  <c r="I1718" i="15"/>
  <c r="J1718" i="15"/>
  <c r="H1719" i="15"/>
  <c r="I1719" i="15"/>
  <c r="J1719" i="15"/>
  <c r="H1720" i="15"/>
  <c r="I1720" i="15"/>
  <c r="J1720" i="15"/>
  <c r="H1721" i="15"/>
  <c r="I1721" i="15"/>
  <c r="J1721" i="15"/>
  <c r="H1722" i="15"/>
  <c r="I1722" i="15"/>
  <c r="J1722" i="15"/>
  <c r="H1723" i="15"/>
  <c r="I1723" i="15"/>
  <c r="J1723" i="15"/>
  <c r="H1724" i="15"/>
  <c r="I1724" i="15"/>
  <c r="J1724" i="15"/>
  <c r="H1725" i="15"/>
  <c r="I1725" i="15"/>
  <c r="J1725" i="15"/>
  <c r="H1726" i="15"/>
  <c r="I1726" i="15"/>
  <c r="J1726" i="15"/>
  <c r="H1727" i="15"/>
  <c r="I1727" i="15"/>
  <c r="J1727" i="15"/>
  <c r="H1728" i="15"/>
  <c r="I1728" i="15"/>
  <c r="J1728" i="15"/>
  <c r="H1729" i="15"/>
  <c r="I1729" i="15"/>
  <c r="J1729" i="15"/>
  <c r="H1730" i="15"/>
  <c r="I1730" i="15"/>
  <c r="J1730" i="15"/>
  <c r="H1731" i="15"/>
  <c r="I1731" i="15"/>
  <c r="J1731" i="15"/>
  <c r="H1732" i="15"/>
  <c r="I1732" i="15"/>
  <c r="J1732" i="15"/>
  <c r="H1733" i="15"/>
  <c r="I1733" i="15"/>
  <c r="J1733" i="15"/>
  <c r="H1734" i="15"/>
  <c r="I1734" i="15"/>
  <c r="J1734" i="15"/>
  <c r="H1735" i="15"/>
  <c r="I1735" i="15"/>
  <c r="J1735" i="15"/>
  <c r="H1736" i="15"/>
  <c r="I1736" i="15"/>
  <c r="J1736" i="15"/>
  <c r="H1737" i="15"/>
  <c r="I1737" i="15"/>
  <c r="J1737" i="15"/>
  <c r="H1738" i="15"/>
  <c r="I1738" i="15"/>
  <c r="J1738" i="15"/>
  <c r="H1739" i="15"/>
  <c r="I1739" i="15"/>
  <c r="J1739" i="15"/>
  <c r="H1740" i="15"/>
  <c r="I1740" i="15"/>
  <c r="J1740" i="15"/>
  <c r="H1741" i="15"/>
  <c r="I1741" i="15"/>
  <c r="J1741" i="15"/>
  <c r="H1742" i="15"/>
  <c r="I1742" i="15"/>
  <c r="J1742" i="15"/>
  <c r="H1743" i="15"/>
  <c r="I1743" i="15"/>
  <c r="J1743" i="15"/>
  <c r="H1744" i="15"/>
  <c r="I1744" i="15"/>
  <c r="J1744" i="15"/>
  <c r="H1745" i="15"/>
  <c r="I1745" i="15"/>
  <c r="J1745" i="15"/>
  <c r="H1746" i="15"/>
  <c r="I1746" i="15"/>
  <c r="J1746" i="15"/>
  <c r="H1747" i="15"/>
  <c r="I1747" i="15"/>
  <c r="J1747" i="15"/>
  <c r="H1748" i="15"/>
  <c r="I1748" i="15"/>
  <c r="J1748" i="15"/>
  <c r="H1749" i="15"/>
  <c r="I1749" i="15"/>
  <c r="J1749" i="15"/>
  <c r="H1750" i="15"/>
  <c r="I1750" i="15"/>
  <c r="J1750" i="15"/>
  <c r="H1751" i="15"/>
  <c r="I1751" i="15"/>
  <c r="J1751" i="15"/>
  <c r="H1752" i="15"/>
  <c r="I1752" i="15"/>
  <c r="J1752" i="15"/>
  <c r="H1753" i="15"/>
  <c r="I1753" i="15"/>
  <c r="J1753" i="15"/>
  <c r="H1754" i="15"/>
  <c r="I1754" i="15"/>
  <c r="J1754" i="15"/>
  <c r="H1755" i="15"/>
  <c r="I1755" i="15"/>
  <c r="J1755" i="15"/>
  <c r="H1756" i="15"/>
  <c r="I1756" i="15"/>
  <c r="J1756" i="15"/>
  <c r="H1757" i="15"/>
  <c r="I1757" i="15"/>
  <c r="J1757" i="15"/>
  <c r="H1758" i="15"/>
  <c r="I1758" i="15"/>
  <c r="J1758" i="15"/>
  <c r="H1759" i="15"/>
  <c r="I1759" i="15"/>
  <c r="J1759" i="15"/>
  <c r="H1760" i="15"/>
  <c r="I1760" i="15"/>
  <c r="J1760" i="15"/>
  <c r="H1761" i="15"/>
  <c r="I1761" i="15"/>
  <c r="J1761" i="15"/>
  <c r="H1762" i="15"/>
  <c r="I1762" i="15"/>
  <c r="J1762" i="15"/>
  <c r="H1763" i="15"/>
  <c r="I1763" i="15"/>
  <c r="J1763" i="15"/>
  <c r="H1764" i="15"/>
  <c r="I1764" i="15"/>
  <c r="J1764" i="15"/>
  <c r="H1765" i="15"/>
  <c r="I1765" i="15"/>
  <c r="J1765" i="15"/>
  <c r="H1766" i="15"/>
  <c r="I1766" i="15"/>
  <c r="J1766" i="15"/>
  <c r="H1767" i="15"/>
  <c r="I1767" i="15"/>
  <c r="J1767" i="15"/>
  <c r="H1768" i="15"/>
  <c r="I1768" i="15"/>
  <c r="J1768" i="15"/>
  <c r="H1769" i="15"/>
  <c r="I1769" i="15"/>
  <c r="J1769" i="15"/>
  <c r="H1770" i="15"/>
  <c r="I1770" i="15"/>
  <c r="J1770" i="15"/>
  <c r="H1771" i="15"/>
  <c r="I1771" i="15"/>
  <c r="J1771" i="15"/>
  <c r="H1772" i="15"/>
  <c r="I1772" i="15"/>
  <c r="J1772" i="15"/>
  <c r="H1773" i="15"/>
  <c r="I1773" i="15"/>
  <c r="J1773" i="15"/>
  <c r="H1774" i="15"/>
  <c r="I1774" i="15"/>
  <c r="J1774" i="15"/>
  <c r="H1775" i="15"/>
  <c r="I1775" i="15"/>
  <c r="J1775" i="15"/>
  <c r="H1776" i="15"/>
  <c r="I1776" i="15"/>
  <c r="J1776" i="15"/>
  <c r="H1777" i="15"/>
  <c r="I1777" i="15"/>
  <c r="J1777" i="15"/>
  <c r="H1778" i="15"/>
  <c r="I1778" i="15"/>
  <c r="J1778" i="15"/>
  <c r="H1779" i="15"/>
  <c r="I1779" i="15"/>
  <c r="J1779" i="15"/>
  <c r="H1780" i="15"/>
  <c r="I1780" i="15"/>
  <c r="J1780" i="15"/>
  <c r="H1781" i="15"/>
  <c r="I1781" i="15"/>
  <c r="J1781" i="15"/>
  <c r="H1782" i="15"/>
  <c r="I1782" i="15"/>
  <c r="J1782" i="15"/>
  <c r="H1783" i="15"/>
  <c r="I1783" i="15"/>
  <c r="J1783" i="15"/>
  <c r="H1784" i="15"/>
  <c r="I1784" i="15"/>
  <c r="J1784" i="15"/>
  <c r="H1785" i="15"/>
  <c r="I1785" i="15"/>
  <c r="J1785" i="15"/>
  <c r="H1786" i="15"/>
  <c r="I1786" i="15"/>
  <c r="J1786" i="15"/>
  <c r="H1787" i="15"/>
  <c r="I1787" i="15"/>
  <c r="J1787" i="15"/>
  <c r="H1788" i="15"/>
  <c r="I1788" i="15"/>
  <c r="J1788" i="15"/>
  <c r="H1789" i="15"/>
  <c r="I1789" i="15"/>
  <c r="J1789" i="15"/>
  <c r="H1790" i="15"/>
  <c r="I1790" i="15"/>
  <c r="J1790" i="15"/>
  <c r="H1791" i="15"/>
  <c r="I1791" i="15"/>
  <c r="J1791" i="15"/>
  <c r="H1792" i="15"/>
  <c r="I1792" i="15"/>
  <c r="J1792" i="15"/>
  <c r="H1793" i="15"/>
  <c r="I1793" i="15"/>
  <c r="J1793" i="15"/>
  <c r="H1794" i="15"/>
  <c r="I1794" i="15"/>
  <c r="J1794" i="15"/>
  <c r="H1795" i="15"/>
  <c r="I1795" i="15"/>
  <c r="J1795" i="15"/>
  <c r="H1796" i="15"/>
  <c r="I1796" i="15"/>
  <c r="J1796" i="15"/>
  <c r="H1797" i="15"/>
  <c r="I1797" i="15"/>
  <c r="J1797" i="15"/>
  <c r="H1798" i="15"/>
  <c r="I1798" i="15"/>
  <c r="J1798" i="15"/>
  <c r="H1799" i="15"/>
  <c r="I1799" i="15"/>
  <c r="J1799" i="15"/>
  <c r="H1800" i="15"/>
  <c r="I1800" i="15"/>
  <c r="J1800" i="15"/>
  <c r="H1801" i="15"/>
  <c r="I1801" i="15"/>
  <c r="J1801" i="15"/>
  <c r="H1802" i="15"/>
  <c r="I1802" i="15"/>
  <c r="J1802" i="15"/>
  <c r="H1803" i="15"/>
  <c r="I1803" i="15"/>
  <c r="J1803" i="15"/>
  <c r="H1804" i="15"/>
  <c r="I1804" i="15"/>
  <c r="J1804" i="15"/>
  <c r="H1805" i="15"/>
  <c r="I1805" i="15"/>
  <c r="J1805" i="15"/>
  <c r="H1806" i="15"/>
  <c r="I1806" i="15"/>
  <c r="J1806" i="15"/>
  <c r="H1807" i="15"/>
  <c r="I1807" i="15"/>
  <c r="J1807" i="15"/>
  <c r="H1808" i="15"/>
  <c r="I1808" i="15"/>
  <c r="J1808" i="15"/>
  <c r="H1809" i="15"/>
  <c r="I1809" i="15"/>
  <c r="J1809" i="15"/>
  <c r="H1810" i="15"/>
  <c r="I1810" i="15"/>
  <c r="J1810" i="15"/>
  <c r="H1811" i="15"/>
  <c r="I1811" i="15"/>
  <c r="J1811" i="15"/>
  <c r="H1812" i="15"/>
  <c r="I1812" i="15"/>
  <c r="J1812" i="15"/>
  <c r="H1813" i="15"/>
  <c r="I1813" i="15"/>
  <c r="J1813" i="15"/>
  <c r="H1814" i="15"/>
  <c r="I1814" i="15"/>
  <c r="J1814" i="15"/>
  <c r="H1815" i="15"/>
  <c r="I1815" i="15"/>
  <c r="J1815" i="15"/>
  <c r="H1816" i="15"/>
  <c r="I1816" i="15"/>
  <c r="J1816" i="15"/>
  <c r="H1817" i="15"/>
  <c r="I1817" i="15"/>
  <c r="J1817" i="15"/>
  <c r="H1818" i="15"/>
  <c r="I1818" i="15"/>
  <c r="J1818" i="15"/>
  <c r="H1819" i="15"/>
  <c r="I1819" i="15"/>
  <c r="J1819" i="15"/>
  <c r="H1820" i="15"/>
  <c r="I1820" i="15"/>
  <c r="J1820" i="15"/>
  <c r="H1821" i="15"/>
  <c r="I1821" i="15"/>
  <c r="J1821" i="15"/>
  <c r="H1822" i="15"/>
  <c r="I1822" i="15"/>
  <c r="J1822" i="15"/>
  <c r="H1823" i="15"/>
  <c r="I1823" i="15"/>
  <c r="J1823" i="15"/>
  <c r="H1824" i="15"/>
  <c r="I1824" i="15"/>
  <c r="J1824" i="15"/>
  <c r="H1825" i="15"/>
  <c r="I1825" i="15"/>
  <c r="J1825" i="15"/>
  <c r="H1826" i="15"/>
  <c r="I1826" i="15"/>
  <c r="J1826" i="15"/>
  <c r="H1827" i="15"/>
  <c r="I1827" i="15"/>
  <c r="J1827" i="15"/>
  <c r="H1828" i="15"/>
  <c r="I1828" i="15"/>
  <c r="J1828" i="15"/>
  <c r="H1829" i="15"/>
  <c r="I1829" i="15"/>
  <c r="J1829" i="15"/>
  <c r="H1830" i="15"/>
  <c r="I1830" i="15"/>
  <c r="J1830" i="15"/>
  <c r="H1831" i="15"/>
  <c r="I1831" i="15"/>
  <c r="J1831" i="15"/>
  <c r="H1832" i="15"/>
  <c r="I1832" i="15"/>
  <c r="J1832" i="15"/>
  <c r="H1833" i="15"/>
  <c r="I1833" i="15"/>
  <c r="J1833" i="15"/>
  <c r="H1834" i="15"/>
  <c r="I1834" i="15"/>
  <c r="J1834" i="15"/>
  <c r="H1835" i="15"/>
  <c r="I1835" i="15"/>
  <c r="J1835" i="15"/>
  <c r="H1836" i="15"/>
  <c r="I1836" i="15"/>
  <c r="J1836" i="15"/>
  <c r="H1837" i="15"/>
  <c r="I1837" i="15"/>
  <c r="J1837" i="15"/>
  <c r="H1838" i="15"/>
  <c r="I1838" i="15"/>
  <c r="J1838" i="15"/>
  <c r="H1839" i="15"/>
  <c r="I1839" i="15"/>
  <c r="J1839" i="15"/>
  <c r="H1840" i="15"/>
  <c r="I1840" i="15"/>
  <c r="J1840" i="15"/>
  <c r="H1841" i="15"/>
  <c r="I1841" i="15"/>
  <c r="J1841" i="15"/>
  <c r="H1842" i="15"/>
  <c r="I1842" i="15"/>
  <c r="J1842" i="15"/>
  <c r="H1843" i="15"/>
  <c r="I1843" i="15"/>
  <c r="J1843" i="15"/>
  <c r="H1844" i="15"/>
  <c r="I1844" i="15"/>
  <c r="J1844" i="15"/>
  <c r="H1845" i="15"/>
  <c r="I1845" i="15"/>
  <c r="J1845" i="15"/>
  <c r="H1846" i="15"/>
  <c r="I1846" i="15"/>
  <c r="J1846" i="15"/>
  <c r="H1847" i="15"/>
  <c r="I1847" i="15"/>
  <c r="J1847" i="15"/>
  <c r="H1848" i="15"/>
  <c r="I1848" i="15"/>
  <c r="J1848" i="15"/>
  <c r="H1849" i="15"/>
  <c r="I1849" i="15"/>
  <c r="J1849" i="15"/>
  <c r="H1850" i="15"/>
  <c r="I1850" i="15"/>
  <c r="J1850" i="15"/>
  <c r="H1851" i="15"/>
  <c r="I1851" i="15"/>
  <c r="J1851" i="15"/>
  <c r="H1852" i="15"/>
  <c r="I1852" i="15"/>
  <c r="J1852" i="15"/>
  <c r="H1853" i="15"/>
  <c r="I1853" i="15"/>
  <c r="J1853" i="15"/>
  <c r="H1854" i="15"/>
  <c r="I1854" i="15"/>
  <c r="J1854" i="15"/>
  <c r="H1855" i="15"/>
  <c r="I1855" i="15"/>
  <c r="J1855" i="15"/>
  <c r="H1856" i="15"/>
  <c r="I1856" i="15"/>
  <c r="J1856" i="15"/>
  <c r="H1857" i="15"/>
  <c r="I1857" i="15"/>
  <c r="J1857" i="15"/>
  <c r="H1858" i="15"/>
  <c r="I1858" i="15"/>
  <c r="J1858" i="15"/>
  <c r="H1859" i="15"/>
  <c r="I1859" i="15"/>
  <c r="J1859" i="15"/>
  <c r="H1860" i="15"/>
  <c r="I1860" i="15"/>
  <c r="J1860" i="15"/>
  <c r="H1861" i="15"/>
  <c r="I1861" i="15"/>
  <c r="J1861" i="15"/>
  <c r="H1862" i="15"/>
  <c r="I1862" i="15"/>
  <c r="J1862" i="15"/>
  <c r="H1863" i="15"/>
  <c r="I1863" i="15"/>
  <c r="J1863" i="15"/>
  <c r="H1864" i="15"/>
  <c r="I1864" i="15"/>
  <c r="J1864" i="15"/>
  <c r="H1865" i="15"/>
  <c r="I1865" i="15"/>
  <c r="J1865" i="15"/>
  <c r="H1866" i="15"/>
  <c r="I1866" i="15"/>
  <c r="J1866" i="15"/>
  <c r="H1867" i="15"/>
  <c r="I1867" i="15"/>
  <c r="J1867" i="15"/>
  <c r="H1868" i="15"/>
  <c r="I1868" i="15"/>
  <c r="J1868" i="15"/>
  <c r="H1869" i="15"/>
  <c r="I1869" i="15"/>
  <c r="J1869" i="15"/>
  <c r="H1870" i="15"/>
  <c r="I1870" i="15"/>
  <c r="J1870" i="15"/>
  <c r="H1871" i="15"/>
  <c r="I1871" i="15"/>
  <c r="J1871" i="15"/>
  <c r="H1872" i="15"/>
  <c r="I1872" i="15"/>
  <c r="J1872" i="15"/>
  <c r="H1873" i="15"/>
  <c r="I1873" i="15"/>
  <c r="J1873" i="15"/>
  <c r="H1874" i="15"/>
  <c r="I1874" i="15"/>
  <c r="J1874" i="15"/>
  <c r="H1875" i="15"/>
  <c r="I1875" i="15"/>
  <c r="J1875" i="15"/>
  <c r="H1876" i="15"/>
  <c r="I1876" i="15"/>
  <c r="J1876" i="15"/>
  <c r="H1877" i="15"/>
  <c r="I1877" i="15"/>
  <c r="J1877" i="15"/>
  <c r="H1878" i="15"/>
  <c r="I1878" i="15"/>
  <c r="J1878" i="15"/>
  <c r="H1879" i="15"/>
  <c r="I1879" i="15"/>
  <c r="J1879" i="15"/>
  <c r="H1880" i="15"/>
  <c r="I1880" i="15"/>
  <c r="J1880" i="15"/>
  <c r="H1881" i="15"/>
  <c r="I1881" i="15"/>
  <c r="J1881" i="15"/>
  <c r="H1882" i="15"/>
  <c r="I1882" i="15"/>
  <c r="J1882" i="15"/>
  <c r="H1883" i="15"/>
  <c r="I1883" i="15"/>
  <c r="J1883" i="15"/>
  <c r="H1884" i="15"/>
  <c r="I1884" i="15"/>
  <c r="J1884" i="15"/>
  <c r="H1885" i="15"/>
  <c r="I1885" i="15"/>
  <c r="J1885" i="15"/>
  <c r="H1886" i="15"/>
  <c r="I1886" i="15"/>
  <c r="J1886" i="15"/>
  <c r="H1887" i="15"/>
  <c r="I1887" i="15"/>
  <c r="J1887" i="15"/>
  <c r="H1888" i="15"/>
  <c r="I1888" i="15"/>
  <c r="J1888" i="15"/>
  <c r="H1889" i="15"/>
  <c r="I1889" i="15"/>
  <c r="J1889" i="15"/>
  <c r="H1890" i="15"/>
  <c r="I1890" i="15"/>
  <c r="J1890" i="15"/>
  <c r="H1891" i="15"/>
  <c r="I1891" i="15"/>
  <c r="J1891" i="15"/>
  <c r="H1892" i="15"/>
  <c r="I1892" i="15"/>
  <c r="J1892" i="15"/>
  <c r="H1893" i="15"/>
  <c r="I1893" i="15"/>
  <c r="J1893" i="15"/>
  <c r="H1894" i="15"/>
  <c r="I1894" i="15"/>
  <c r="J1894" i="15"/>
  <c r="H1895" i="15"/>
  <c r="I1895" i="15"/>
  <c r="J1895" i="15"/>
  <c r="H1896" i="15"/>
  <c r="I1896" i="15"/>
  <c r="J1896" i="15"/>
  <c r="H1897" i="15"/>
  <c r="I1897" i="15"/>
  <c r="J1897" i="15"/>
  <c r="H1898" i="15"/>
  <c r="I1898" i="15"/>
  <c r="J1898" i="15"/>
  <c r="H1899" i="15"/>
  <c r="I1899" i="15"/>
  <c r="J1899" i="15"/>
  <c r="H1900" i="15"/>
  <c r="I1900" i="15"/>
  <c r="J1900" i="15"/>
  <c r="H1901" i="15"/>
  <c r="I1901" i="15"/>
  <c r="J1901" i="15"/>
  <c r="H1902" i="15"/>
  <c r="I1902" i="15"/>
  <c r="J1902" i="15"/>
  <c r="H1903" i="15"/>
  <c r="I1903" i="15"/>
  <c r="J1903" i="15"/>
  <c r="H1904" i="15"/>
  <c r="I1904" i="15"/>
  <c r="J1904" i="15"/>
  <c r="H1905" i="15"/>
  <c r="I1905" i="15"/>
  <c r="J1905" i="15"/>
  <c r="H1906" i="15"/>
  <c r="I1906" i="15"/>
  <c r="J1906" i="15"/>
  <c r="H1907" i="15"/>
  <c r="I1907" i="15"/>
  <c r="J1907" i="15"/>
  <c r="H1908" i="15"/>
  <c r="I1908" i="15"/>
  <c r="J1908" i="15"/>
  <c r="H1909" i="15"/>
  <c r="I1909" i="15"/>
  <c r="J1909" i="15"/>
  <c r="H1910" i="15"/>
  <c r="I1910" i="15"/>
  <c r="J1910" i="15"/>
  <c r="H1911" i="15"/>
  <c r="I1911" i="15"/>
  <c r="J1911" i="15"/>
  <c r="H1912" i="15"/>
  <c r="I1912" i="15"/>
  <c r="J1912" i="15"/>
  <c r="H1913" i="15"/>
  <c r="I1913" i="15"/>
  <c r="J1913" i="15"/>
  <c r="H1914" i="15"/>
  <c r="I1914" i="15"/>
  <c r="J1914" i="15"/>
  <c r="H1915" i="15"/>
  <c r="I1915" i="15"/>
  <c r="J1915" i="15"/>
  <c r="H1916" i="15"/>
  <c r="I1916" i="15"/>
  <c r="J1916" i="15"/>
  <c r="H1917" i="15"/>
  <c r="I1917" i="15"/>
  <c r="J1917" i="15"/>
  <c r="H1918" i="15"/>
  <c r="I1918" i="15"/>
  <c r="J1918" i="15"/>
  <c r="H1919" i="15"/>
  <c r="I1919" i="15"/>
  <c r="J1919" i="15"/>
  <c r="H1920" i="15"/>
  <c r="I1920" i="15"/>
  <c r="J1920" i="15"/>
  <c r="H1921" i="15"/>
  <c r="I1921" i="15"/>
  <c r="J1921" i="15"/>
  <c r="H1922" i="15"/>
  <c r="I1922" i="15"/>
  <c r="J1922" i="15"/>
  <c r="H1923" i="15"/>
  <c r="I1923" i="15"/>
  <c r="J1923" i="15"/>
  <c r="H1924" i="15"/>
  <c r="I1924" i="15"/>
  <c r="J1924" i="15"/>
  <c r="H1925" i="15"/>
  <c r="I1925" i="15"/>
  <c r="J1925" i="15"/>
  <c r="H1926" i="15"/>
  <c r="I1926" i="15"/>
  <c r="J1926" i="15"/>
  <c r="H1927" i="15"/>
  <c r="I1927" i="15"/>
  <c r="J1927" i="15"/>
  <c r="H1928" i="15"/>
  <c r="I1928" i="15"/>
  <c r="J1928" i="15"/>
  <c r="H1929" i="15"/>
  <c r="I1929" i="15"/>
  <c r="J1929" i="15"/>
  <c r="H1930" i="15"/>
  <c r="I1930" i="15"/>
  <c r="J1930" i="15"/>
  <c r="H1931" i="15"/>
  <c r="I1931" i="15"/>
  <c r="J1931" i="15"/>
  <c r="H1932" i="15"/>
  <c r="I1932" i="15"/>
  <c r="J1932" i="15"/>
  <c r="H1933" i="15"/>
  <c r="I1933" i="15"/>
  <c r="J1933" i="15"/>
  <c r="H1934" i="15"/>
  <c r="I1934" i="15"/>
  <c r="J1934" i="15"/>
  <c r="H1935" i="15"/>
  <c r="I1935" i="15"/>
  <c r="J1935" i="15"/>
  <c r="H1936" i="15"/>
  <c r="I1936" i="15"/>
  <c r="J1936" i="15"/>
  <c r="H1937" i="15"/>
  <c r="I1937" i="15"/>
  <c r="J1937" i="15"/>
  <c r="H1938" i="15"/>
  <c r="I1938" i="15"/>
  <c r="J1938" i="15"/>
  <c r="H1939" i="15"/>
  <c r="I1939" i="15"/>
  <c r="J1939" i="15"/>
  <c r="H1940" i="15"/>
  <c r="I1940" i="15"/>
  <c r="J1940" i="15"/>
  <c r="H1941" i="15"/>
  <c r="I1941" i="15"/>
  <c r="J1941" i="15"/>
  <c r="H1942" i="15"/>
  <c r="I1942" i="15"/>
  <c r="J1942" i="15"/>
  <c r="H1943" i="15"/>
  <c r="I1943" i="15"/>
  <c r="J1943" i="15"/>
  <c r="H1944" i="15"/>
  <c r="I1944" i="15"/>
  <c r="J1944" i="15"/>
  <c r="H1945" i="15"/>
  <c r="I1945" i="15"/>
  <c r="J1945" i="15"/>
  <c r="H1946" i="15"/>
  <c r="I1946" i="15"/>
  <c r="J1946" i="15"/>
  <c r="H1947" i="15"/>
  <c r="I1947" i="15"/>
  <c r="J1947" i="15"/>
  <c r="H1948" i="15"/>
  <c r="I1948" i="15"/>
  <c r="J1948" i="15"/>
  <c r="H1949" i="15"/>
  <c r="I1949" i="15"/>
  <c r="J1949" i="15"/>
  <c r="H1950" i="15"/>
  <c r="I1950" i="15"/>
  <c r="J1950" i="15"/>
  <c r="H1951" i="15"/>
  <c r="I1951" i="15"/>
  <c r="J1951" i="15"/>
  <c r="H1952" i="15"/>
  <c r="I1952" i="15"/>
  <c r="J1952" i="15"/>
  <c r="H1953" i="15"/>
  <c r="I1953" i="15"/>
  <c r="J1953" i="15"/>
  <c r="H1954" i="15"/>
  <c r="I1954" i="15"/>
  <c r="J1954" i="15"/>
  <c r="H1955" i="15"/>
  <c r="I1955" i="15"/>
  <c r="J1955" i="15"/>
  <c r="H1956" i="15"/>
  <c r="I1956" i="15"/>
  <c r="J1956" i="15"/>
  <c r="H1957" i="15"/>
  <c r="I1957" i="15"/>
  <c r="J1957" i="15"/>
  <c r="H1958" i="15"/>
  <c r="I1958" i="15"/>
  <c r="J1958" i="15"/>
  <c r="H1959" i="15"/>
  <c r="I1959" i="15"/>
  <c r="J1959" i="15"/>
  <c r="H1960" i="15"/>
  <c r="I1960" i="15"/>
  <c r="J1960" i="15"/>
  <c r="H1961" i="15"/>
  <c r="I1961" i="15"/>
  <c r="J1961" i="15"/>
  <c r="H1962" i="15"/>
  <c r="I1962" i="15"/>
  <c r="J1962" i="15"/>
  <c r="H1963" i="15"/>
  <c r="I1963" i="15"/>
  <c r="J1963" i="15"/>
  <c r="H1964" i="15"/>
  <c r="I1964" i="15"/>
  <c r="J1964" i="15"/>
  <c r="H1965" i="15"/>
  <c r="I1965" i="15"/>
  <c r="J1965" i="15"/>
  <c r="H1966" i="15"/>
  <c r="I1966" i="15"/>
  <c r="J1966" i="15"/>
  <c r="H1967" i="15"/>
  <c r="I1967" i="15"/>
  <c r="J1967" i="15"/>
  <c r="H1968" i="15"/>
  <c r="I1968" i="15"/>
  <c r="J1968" i="15"/>
  <c r="H1969" i="15"/>
  <c r="I1969" i="15"/>
  <c r="J1969" i="15"/>
  <c r="H1970" i="15"/>
  <c r="I1970" i="15"/>
  <c r="J1970" i="15"/>
  <c r="H1971" i="15"/>
  <c r="I1971" i="15"/>
  <c r="J1971" i="15"/>
  <c r="H1972" i="15"/>
  <c r="I1972" i="15"/>
  <c r="J1972" i="15"/>
  <c r="H1973" i="15"/>
  <c r="I1973" i="15"/>
  <c r="J1973" i="15"/>
  <c r="H1974" i="15"/>
  <c r="I1974" i="15"/>
  <c r="J1974" i="15"/>
  <c r="H1975" i="15"/>
  <c r="I1975" i="15"/>
  <c r="J1975" i="15"/>
  <c r="H1976" i="15"/>
  <c r="I1976" i="15"/>
  <c r="J1976" i="15"/>
  <c r="H1977" i="15"/>
  <c r="I1977" i="15"/>
  <c r="J1977" i="15"/>
  <c r="H1978" i="15"/>
  <c r="I1978" i="15"/>
  <c r="J1978" i="15"/>
  <c r="H1979" i="15"/>
  <c r="I1979" i="15"/>
  <c r="J1979" i="15"/>
  <c r="H1980" i="15"/>
  <c r="I1980" i="15"/>
  <c r="J1980" i="15"/>
  <c r="H1981" i="15"/>
  <c r="I1981" i="15"/>
  <c r="J1981" i="15"/>
  <c r="H1982" i="15"/>
  <c r="I1982" i="15"/>
  <c r="J1982" i="15"/>
  <c r="H1983" i="15"/>
  <c r="I1983" i="15"/>
  <c r="J1983" i="15"/>
  <c r="H1984" i="15"/>
  <c r="I1984" i="15"/>
  <c r="J1984" i="15"/>
  <c r="H1985" i="15"/>
  <c r="I1985" i="15"/>
  <c r="J1985" i="15"/>
  <c r="H1986" i="15"/>
  <c r="I1986" i="15"/>
  <c r="J1986" i="15"/>
  <c r="H1987" i="15"/>
  <c r="I1987" i="15"/>
  <c r="J1987" i="15"/>
  <c r="H1988" i="15"/>
  <c r="I1988" i="15"/>
  <c r="J1988" i="15"/>
  <c r="H1989" i="15"/>
  <c r="I1989" i="15"/>
  <c r="J1989" i="15"/>
  <c r="H1990" i="15"/>
  <c r="I1990" i="15"/>
  <c r="J1990" i="15"/>
  <c r="H1991" i="15"/>
  <c r="I1991" i="15"/>
  <c r="J1991" i="15"/>
  <c r="H1992" i="15"/>
  <c r="I1992" i="15"/>
  <c r="J1992" i="15"/>
  <c r="H1993" i="15"/>
  <c r="I1993" i="15"/>
  <c r="J1993" i="15"/>
  <c r="H1994" i="15"/>
  <c r="I1994" i="15"/>
  <c r="J1994" i="15"/>
  <c r="H1995" i="15"/>
  <c r="I1995" i="15"/>
  <c r="J1995" i="15"/>
  <c r="H1996" i="15"/>
  <c r="I1996" i="15"/>
  <c r="J1996" i="15"/>
  <c r="H1997" i="15"/>
  <c r="I1997" i="15"/>
  <c r="J1997" i="15"/>
  <c r="H1998" i="15"/>
  <c r="I1998" i="15"/>
  <c r="J1998" i="15"/>
  <c r="H1999" i="15"/>
  <c r="I1999" i="15"/>
  <c r="J1999" i="15"/>
  <c r="H2000" i="15"/>
  <c r="I2000" i="15"/>
  <c r="J2000" i="15"/>
  <c r="H2001" i="15"/>
  <c r="I2001" i="15"/>
  <c r="J2001" i="15"/>
  <c r="H2002" i="15"/>
  <c r="I2002" i="15"/>
  <c r="J2002" i="15"/>
  <c r="H2003" i="15"/>
  <c r="I2003" i="15"/>
  <c r="J2003" i="15"/>
  <c r="H2004" i="15"/>
  <c r="I2004" i="15"/>
  <c r="J2004" i="15"/>
  <c r="H2005" i="15"/>
  <c r="I2005" i="15"/>
  <c r="J2005" i="15"/>
  <c r="H2006" i="15"/>
  <c r="I2006" i="15"/>
  <c r="J2006" i="15"/>
  <c r="H2007" i="15"/>
  <c r="I2007" i="15"/>
  <c r="J2007" i="15"/>
  <c r="H2008" i="15"/>
  <c r="I2008" i="15"/>
  <c r="J2008" i="15"/>
  <c r="H2009" i="15"/>
  <c r="I2009" i="15"/>
  <c r="J2009" i="15"/>
  <c r="H2010" i="15"/>
  <c r="I2010" i="15"/>
  <c r="J2010" i="15"/>
  <c r="H2011" i="15"/>
  <c r="I2011" i="15"/>
  <c r="J2011" i="15"/>
  <c r="H2012" i="15"/>
  <c r="I2012" i="15"/>
  <c r="J2012" i="15"/>
  <c r="H2013" i="15"/>
  <c r="I2013" i="15"/>
  <c r="J2013" i="15"/>
  <c r="H2014" i="15"/>
  <c r="I2014" i="15"/>
  <c r="J2014" i="15"/>
  <c r="H2015" i="15"/>
  <c r="I2015" i="15"/>
  <c r="J2015" i="15"/>
  <c r="H2016" i="15"/>
  <c r="I2016" i="15"/>
  <c r="J2016" i="15"/>
  <c r="H2017" i="15"/>
  <c r="I2017" i="15"/>
  <c r="J2017" i="15"/>
  <c r="H2018" i="15"/>
  <c r="I2018" i="15"/>
  <c r="J2018" i="15"/>
  <c r="H2019" i="15"/>
  <c r="I2019" i="15"/>
  <c r="J2019" i="15"/>
  <c r="H2020" i="15"/>
  <c r="I2020" i="15"/>
  <c r="J2020" i="15"/>
  <c r="H2021" i="15"/>
  <c r="I2021" i="15"/>
  <c r="J2021" i="15"/>
  <c r="H2022" i="15"/>
  <c r="I2022" i="15"/>
  <c r="J2022" i="15"/>
  <c r="H2023" i="15"/>
  <c r="I2023" i="15"/>
  <c r="J2023" i="15"/>
  <c r="H2024" i="15"/>
  <c r="I2024" i="15"/>
  <c r="J2024" i="15"/>
  <c r="H2025" i="15"/>
  <c r="I2025" i="15"/>
  <c r="J2025" i="15"/>
  <c r="H2026" i="15"/>
  <c r="I2026" i="15"/>
  <c r="J2026" i="15"/>
  <c r="H2027" i="15"/>
  <c r="I2027" i="15"/>
  <c r="J2027" i="15"/>
  <c r="H2028" i="15"/>
  <c r="I2028" i="15"/>
  <c r="J2028" i="15"/>
  <c r="H2029" i="15"/>
  <c r="I2029" i="15"/>
  <c r="J2029" i="15"/>
  <c r="H2030" i="15"/>
  <c r="I2030" i="15"/>
  <c r="J2030" i="15"/>
  <c r="H2031" i="15"/>
  <c r="I2031" i="15"/>
  <c r="J2031" i="15"/>
  <c r="H2032" i="15"/>
  <c r="I2032" i="15"/>
  <c r="J2032" i="15"/>
  <c r="H2033" i="15"/>
  <c r="I2033" i="15"/>
  <c r="J2033" i="15"/>
  <c r="H2034" i="15"/>
  <c r="I2034" i="15"/>
  <c r="J2034" i="15"/>
  <c r="H2035" i="15"/>
  <c r="I2035" i="15"/>
  <c r="J2035" i="15"/>
  <c r="H2036" i="15"/>
  <c r="I2036" i="15"/>
  <c r="J2036" i="15"/>
  <c r="H2037" i="15"/>
  <c r="I2037" i="15"/>
  <c r="J2037" i="15"/>
  <c r="H2038" i="15"/>
  <c r="I2038" i="15"/>
  <c r="J2038" i="15"/>
  <c r="H2039" i="15"/>
  <c r="I2039" i="15"/>
  <c r="J2039" i="15"/>
  <c r="H2040" i="15"/>
  <c r="I2040" i="15"/>
  <c r="J2040" i="15"/>
  <c r="H2041" i="15"/>
  <c r="I2041" i="15"/>
  <c r="J2041" i="15"/>
  <c r="H2042" i="15"/>
  <c r="I2042" i="15"/>
  <c r="J2042" i="15"/>
  <c r="H2043" i="15"/>
  <c r="I2043" i="15"/>
  <c r="J2043" i="15"/>
  <c r="H2044" i="15"/>
  <c r="I2044" i="15"/>
  <c r="J2044" i="15"/>
  <c r="H2045" i="15"/>
  <c r="I2045" i="15"/>
  <c r="J2045" i="15"/>
  <c r="H2046" i="15"/>
  <c r="I2046" i="15"/>
  <c r="J2046" i="15"/>
  <c r="H2047" i="15"/>
  <c r="I2047" i="15"/>
  <c r="J2047" i="15"/>
  <c r="H2048" i="15"/>
  <c r="I2048" i="15"/>
  <c r="J2048" i="15"/>
  <c r="H2049" i="15"/>
  <c r="I2049" i="15"/>
  <c r="J2049" i="15"/>
  <c r="H2050" i="15"/>
  <c r="I2050" i="15"/>
  <c r="J2050" i="15"/>
  <c r="H2051" i="15"/>
  <c r="I2051" i="15"/>
  <c r="J2051" i="15"/>
  <c r="H2052" i="15"/>
  <c r="I2052" i="15"/>
  <c r="J2052" i="15"/>
  <c r="H2053" i="15"/>
  <c r="I2053" i="15"/>
  <c r="J2053" i="15"/>
  <c r="H2054" i="15"/>
  <c r="I2054" i="15"/>
  <c r="J2054" i="15"/>
  <c r="H2055" i="15"/>
  <c r="I2055" i="15"/>
  <c r="J2055" i="15"/>
  <c r="H2056" i="15"/>
  <c r="I2056" i="15"/>
  <c r="J2056" i="15"/>
  <c r="H2057" i="15"/>
  <c r="I2057" i="15"/>
  <c r="J2057" i="15"/>
  <c r="H2058" i="15"/>
  <c r="I2058" i="15"/>
  <c r="J2058" i="15"/>
  <c r="H2059" i="15"/>
  <c r="I2059" i="15"/>
  <c r="J2059" i="15"/>
  <c r="H2060" i="15"/>
  <c r="I2060" i="15"/>
  <c r="J2060" i="15"/>
  <c r="H2061" i="15"/>
  <c r="I2061" i="15"/>
  <c r="J2061" i="15"/>
  <c r="H2062" i="15"/>
  <c r="I2062" i="15"/>
  <c r="J2062" i="15"/>
  <c r="H2063" i="15"/>
  <c r="I2063" i="15"/>
  <c r="J2063" i="15"/>
  <c r="H2064" i="15"/>
  <c r="I2064" i="15"/>
  <c r="J2064" i="15"/>
  <c r="H2065" i="15"/>
  <c r="I2065" i="15"/>
  <c r="J2065" i="15"/>
  <c r="H2066" i="15"/>
  <c r="I2066" i="15"/>
  <c r="J2066" i="15"/>
  <c r="H2067" i="15"/>
  <c r="I2067" i="15"/>
  <c r="J2067" i="15"/>
  <c r="H2068" i="15"/>
  <c r="I2068" i="15"/>
  <c r="J2068" i="15"/>
  <c r="H2069" i="15"/>
  <c r="I2069" i="15"/>
  <c r="J2069" i="15"/>
  <c r="H2070" i="15"/>
  <c r="I2070" i="15"/>
  <c r="J2070" i="15"/>
  <c r="H2071" i="15"/>
  <c r="I2071" i="15"/>
  <c r="J2071" i="15"/>
  <c r="H2072" i="15"/>
  <c r="I2072" i="15"/>
  <c r="J2072" i="15"/>
  <c r="H2073" i="15"/>
  <c r="I2073" i="15"/>
  <c r="J2073" i="15"/>
  <c r="H2074" i="15"/>
  <c r="I2074" i="15"/>
  <c r="J2074" i="15"/>
  <c r="H2075" i="15"/>
  <c r="I2075" i="15"/>
  <c r="J2075" i="15"/>
  <c r="H2076" i="15"/>
  <c r="I2076" i="15"/>
  <c r="J2076" i="15"/>
  <c r="H2077" i="15"/>
  <c r="I2077" i="15"/>
  <c r="J2077" i="15"/>
  <c r="H2078" i="15"/>
  <c r="I2078" i="15"/>
  <c r="J2078" i="15"/>
  <c r="H2079" i="15"/>
  <c r="I2079" i="15"/>
  <c r="J2079" i="15"/>
  <c r="H2080" i="15"/>
  <c r="I2080" i="15"/>
  <c r="J2080" i="15"/>
  <c r="H2081" i="15"/>
  <c r="I2081" i="15"/>
  <c r="J2081" i="15"/>
  <c r="H2082" i="15"/>
  <c r="I2082" i="15"/>
  <c r="J2082" i="15"/>
  <c r="H2083" i="15"/>
  <c r="I2083" i="15"/>
  <c r="J2083" i="15"/>
  <c r="H2084" i="15"/>
  <c r="I2084" i="15"/>
  <c r="J2084" i="15"/>
  <c r="H2085" i="15"/>
  <c r="I2085" i="15"/>
  <c r="J2085" i="15"/>
  <c r="H2086" i="15"/>
  <c r="I2086" i="15"/>
  <c r="J2086" i="15"/>
  <c r="H2087" i="15"/>
  <c r="I2087" i="15"/>
  <c r="J2087" i="15"/>
  <c r="H2088" i="15"/>
  <c r="I2088" i="15"/>
  <c r="J2088" i="15"/>
  <c r="H2089" i="15"/>
  <c r="I2089" i="15"/>
  <c r="J2089" i="15"/>
  <c r="H2090" i="15"/>
  <c r="I2090" i="15"/>
  <c r="J2090" i="15"/>
  <c r="H2091" i="15"/>
  <c r="I2091" i="15"/>
  <c r="J2091" i="15"/>
  <c r="H2092" i="15"/>
  <c r="I2092" i="15"/>
  <c r="J2092" i="15"/>
  <c r="H2093" i="15"/>
  <c r="I2093" i="15"/>
  <c r="J2093" i="15"/>
  <c r="H2094" i="15"/>
  <c r="I2094" i="15"/>
  <c r="J2094" i="15"/>
  <c r="H2095" i="15"/>
  <c r="I2095" i="15"/>
  <c r="J2095" i="15"/>
  <c r="H2096" i="15"/>
  <c r="I2096" i="15"/>
  <c r="J2096" i="15"/>
  <c r="H2097" i="15"/>
  <c r="I2097" i="15"/>
  <c r="J2097" i="15"/>
  <c r="H2098" i="15"/>
  <c r="I2098" i="15"/>
  <c r="J2098" i="15"/>
  <c r="H2099" i="15"/>
  <c r="I2099" i="15"/>
  <c r="J2099" i="15"/>
  <c r="H2100" i="15"/>
  <c r="I2100" i="15"/>
  <c r="J2100" i="15"/>
  <c r="H2101" i="15"/>
  <c r="I2101" i="15"/>
  <c r="J2101" i="15"/>
  <c r="H2102" i="15"/>
  <c r="I2102" i="15"/>
  <c r="J2102" i="15"/>
  <c r="H2103" i="15"/>
  <c r="I2103" i="15"/>
  <c r="J2103" i="15"/>
  <c r="H2104" i="15"/>
  <c r="I2104" i="15"/>
  <c r="J2104" i="15"/>
  <c r="H2105" i="15"/>
  <c r="I2105" i="15"/>
  <c r="J2105" i="15"/>
  <c r="H2106" i="15"/>
  <c r="I2106" i="15"/>
  <c r="J2106" i="15"/>
  <c r="H2107" i="15"/>
  <c r="I2107" i="15"/>
  <c r="J2107" i="15"/>
  <c r="H2108" i="15"/>
  <c r="I2108" i="15"/>
  <c r="J2108" i="15"/>
  <c r="H2109" i="15"/>
  <c r="I2109" i="15"/>
  <c r="J2109" i="15"/>
  <c r="H2110" i="15"/>
  <c r="I2110" i="15"/>
  <c r="J2110" i="15"/>
  <c r="H2111" i="15"/>
  <c r="I2111" i="15"/>
  <c r="J2111" i="15"/>
  <c r="H2112" i="15"/>
  <c r="I2112" i="15"/>
  <c r="J2112" i="15"/>
  <c r="H2113" i="15"/>
  <c r="I2113" i="15"/>
  <c r="J2113" i="15"/>
  <c r="H2114" i="15"/>
  <c r="I2114" i="15"/>
  <c r="J2114" i="15"/>
  <c r="H2115" i="15"/>
  <c r="I2115" i="15"/>
  <c r="J2115" i="15"/>
  <c r="H2116" i="15"/>
  <c r="I2116" i="15"/>
  <c r="J2116" i="15"/>
  <c r="H2117" i="15"/>
  <c r="I2117" i="15"/>
  <c r="J2117" i="15"/>
  <c r="H2118" i="15"/>
  <c r="I2118" i="15"/>
  <c r="J2118" i="15"/>
  <c r="H2119" i="15"/>
  <c r="I2119" i="15"/>
  <c r="J2119" i="15"/>
  <c r="H2120" i="15"/>
  <c r="I2120" i="15"/>
  <c r="J2120" i="15"/>
  <c r="H2121" i="15"/>
  <c r="I2121" i="15"/>
  <c r="J2121" i="15"/>
  <c r="H2122" i="15"/>
  <c r="I2122" i="15"/>
  <c r="J2122" i="15"/>
  <c r="H2123" i="15"/>
  <c r="I2123" i="15"/>
  <c r="J2123" i="15"/>
  <c r="H2124" i="15"/>
  <c r="I2124" i="15"/>
  <c r="J2124" i="15"/>
  <c r="H2125" i="15"/>
  <c r="I2125" i="15"/>
  <c r="J2125" i="15"/>
  <c r="H2126" i="15"/>
  <c r="I2126" i="15"/>
  <c r="J2126" i="15"/>
  <c r="H2127" i="15"/>
  <c r="I2127" i="15"/>
  <c r="J2127" i="15"/>
  <c r="H2128" i="15"/>
  <c r="I2128" i="15"/>
  <c r="J2128" i="15"/>
  <c r="H2129" i="15"/>
  <c r="I2129" i="15"/>
  <c r="J2129" i="15"/>
  <c r="H2130" i="15"/>
  <c r="I2130" i="15"/>
  <c r="J2130" i="15"/>
  <c r="H2131" i="15"/>
  <c r="I2131" i="15"/>
  <c r="J2131" i="15"/>
  <c r="H2132" i="15"/>
  <c r="I2132" i="15"/>
  <c r="J2132" i="15"/>
  <c r="H2133" i="15"/>
  <c r="I2133" i="15"/>
  <c r="J2133" i="15"/>
  <c r="H2134" i="15"/>
  <c r="I2134" i="15"/>
  <c r="J2134" i="15"/>
  <c r="H2135" i="15"/>
  <c r="I2135" i="15"/>
  <c r="J2135" i="15"/>
  <c r="H2136" i="15"/>
  <c r="I2136" i="15"/>
  <c r="J2136" i="15"/>
  <c r="H2137" i="15"/>
  <c r="I2137" i="15"/>
  <c r="J2137" i="15"/>
  <c r="H2138" i="15"/>
  <c r="I2138" i="15"/>
  <c r="J2138" i="15"/>
  <c r="H2139" i="15"/>
  <c r="I2139" i="15"/>
  <c r="J2139" i="15"/>
  <c r="H2140" i="15"/>
  <c r="I2140" i="15"/>
  <c r="J2140" i="15"/>
  <c r="H2141" i="15"/>
  <c r="I2141" i="15"/>
  <c r="J2141" i="15"/>
  <c r="H2142" i="15"/>
  <c r="I2142" i="15"/>
  <c r="J2142" i="15"/>
  <c r="H2143" i="15"/>
  <c r="I2143" i="15"/>
  <c r="J2143" i="15"/>
  <c r="H2144" i="15"/>
  <c r="I2144" i="15"/>
  <c r="J2144" i="15"/>
  <c r="H2145" i="15"/>
  <c r="I2145" i="15"/>
  <c r="J2145" i="15"/>
  <c r="H2146" i="15"/>
  <c r="I2146" i="15"/>
  <c r="J2146" i="15"/>
  <c r="H2147" i="15"/>
  <c r="I2147" i="15"/>
  <c r="J2147" i="15"/>
  <c r="H2148" i="15"/>
  <c r="I2148" i="15"/>
  <c r="J2148" i="15"/>
  <c r="H2149" i="15"/>
  <c r="I2149" i="15"/>
  <c r="J2149" i="15"/>
  <c r="H2150" i="15"/>
  <c r="I2150" i="15"/>
  <c r="J2150" i="15"/>
  <c r="H2151" i="15"/>
  <c r="I2151" i="15"/>
  <c r="J2151" i="15"/>
  <c r="H2152" i="15"/>
  <c r="I2152" i="15"/>
  <c r="J2152" i="15"/>
  <c r="H2153" i="15"/>
  <c r="I2153" i="15"/>
  <c r="J2153" i="15"/>
  <c r="H2154" i="15"/>
  <c r="I2154" i="15"/>
  <c r="J2154" i="15"/>
  <c r="H2155" i="15"/>
  <c r="I2155" i="15"/>
  <c r="J2155" i="15"/>
  <c r="H2156" i="15"/>
  <c r="I2156" i="15"/>
  <c r="J2156" i="15"/>
  <c r="H2157" i="15"/>
  <c r="I2157" i="15"/>
  <c r="J2157" i="15"/>
  <c r="H2158" i="15"/>
  <c r="I2158" i="15"/>
  <c r="J2158" i="15"/>
  <c r="H2159" i="15"/>
  <c r="I2159" i="15"/>
  <c r="J2159" i="15"/>
  <c r="H2160" i="15"/>
  <c r="I2160" i="15"/>
  <c r="J2160" i="15"/>
  <c r="H2161" i="15"/>
  <c r="I2161" i="15"/>
  <c r="J2161" i="15"/>
  <c r="H2162" i="15"/>
  <c r="I2162" i="15"/>
  <c r="J2162" i="15"/>
  <c r="H2163" i="15"/>
  <c r="I2163" i="15"/>
  <c r="J2163" i="15"/>
  <c r="H2164" i="15"/>
  <c r="I2164" i="15"/>
  <c r="J2164" i="15"/>
  <c r="H2165" i="15"/>
  <c r="I2165" i="15"/>
  <c r="J2165" i="15"/>
  <c r="H2166" i="15"/>
  <c r="I2166" i="15"/>
  <c r="J2166" i="15"/>
  <c r="H2167" i="15"/>
  <c r="I2167" i="15"/>
  <c r="J2167" i="15"/>
  <c r="H2168" i="15"/>
  <c r="I2168" i="15"/>
  <c r="J2168" i="15"/>
  <c r="H2169" i="15"/>
  <c r="I2169" i="15"/>
  <c r="J2169" i="15"/>
  <c r="H2170" i="15"/>
  <c r="I2170" i="15"/>
  <c r="J2170" i="15"/>
  <c r="H2171" i="15"/>
  <c r="I2171" i="15"/>
  <c r="J2171" i="15"/>
  <c r="H2172" i="15"/>
  <c r="I2172" i="15"/>
  <c r="J2172" i="15"/>
  <c r="H2173" i="15"/>
  <c r="I2173" i="15"/>
  <c r="J2173" i="15"/>
  <c r="H2174" i="15"/>
  <c r="I2174" i="15"/>
  <c r="J2174" i="15"/>
  <c r="H2175" i="15"/>
  <c r="I2175" i="15"/>
  <c r="J2175" i="15"/>
  <c r="H2176" i="15"/>
  <c r="I2176" i="15"/>
  <c r="J2176" i="15"/>
  <c r="H2177" i="15"/>
  <c r="I2177" i="15"/>
  <c r="J2177" i="15"/>
  <c r="H2178" i="15"/>
  <c r="I2178" i="15"/>
  <c r="J2178" i="15"/>
  <c r="H2179" i="15"/>
  <c r="I2179" i="15"/>
  <c r="J2179" i="15"/>
  <c r="H2180" i="15"/>
  <c r="I2180" i="15"/>
  <c r="J2180" i="15"/>
  <c r="H2181" i="15"/>
  <c r="I2181" i="15"/>
  <c r="J2181" i="15"/>
  <c r="H2182" i="15"/>
  <c r="I2182" i="15"/>
  <c r="J2182" i="15"/>
  <c r="H2183" i="15"/>
  <c r="I2183" i="15"/>
  <c r="J2183" i="15"/>
  <c r="H2184" i="15"/>
  <c r="I2184" i="15"/>
  <c r="J2184" i="15"/>
  <c r="H2185" i="15"/>
  <c r="I2185" i="15"/>
  <c r="J2185" i="15"/>
  <c r="H2186" i="15"/>
  <c r="I2186" i="15"/>
  <c r="J2186" i="15"/>
  <c r="H2187" i="15"/>
  <c r="I2187" i="15"/>
  <c r="J2187" i="15"/>
  <c r="H2188" i="15"/>
  <c r="I2188" i="15"/>
  <c r="J2188" i="15"/>
  <c r="H2189" i="15"/>
  <c r="I2189" i="15"/>
  <c r="J2189" i="15"/>
  <c r="H2190" i="15"/>
  <c r="I2190" i="15"/>
  <c r="J2190" i="15"/>
  <c r="H2191" i="15"/>
  <c r="I2191" i="15"/>
  <c r="J2191" i="15"/>
  <c r="H2192" i="15"/>
  <c r="I2192" i="15"/>
  <c r="J2192" i="15"/>
  <c r="H2193" i="15"/>
  <c r="I2193" i="15"/>
  <c r="J2193" i="15"/>
  <c r="H2194" i="15"/>
  <c r="I2194" i="15"/>
  <c r="J2194" i="15"/>
  <c r="H2195" i="15"/>
  <c r="I2195" i="15"/>
  <c r="J2195" i="15"/>
  <c r="H2196" i="15"/>
  <c r="I2196" i="15"/>
  <c r="J2196" i="15"/>
  <c r="H2197" i="15"/>
  <c r="I2197" i="15"/>
  <c r="J2197" i="15"/>
  <c r="H2198" i="15"/>
  <c r="I2198" i="15"/>
  <c r="J2198" i="15"/>
  <c r="H2199" i="15"/>
  <c r="I2199" i="15"/>
  <c r="J2199" i="15"/>
  <c r="H2200" i="15"/>
  <c r="I2200" i="15"/>
  <c r="J2200" i="15"/>
  <c r="H2201" i="15"/>
  <c r="I2201" i="15"/>
  <c r="J2201" i="15"/>
  <c r="H2202" i="15"/>
  <c r="I2202" i="15"/>
  <c r="J2202" i="15"/>
  <c r="H2203" i="15"/>
  <c r="I2203" i="15"/>
  <c r="J2203" i="15"/>
  <c r="H2204" i="15"/>
  <c r="I2204" i="15"/>
  <c r="J2204" i="15"/>
  <c r="H2205" i="15"/>
  <c r="I2205" i="15"/>
  <c r="J2205" i="15"/>
  <c r="H2206" i="15"/>
  <c r="I2206" i="15"/>
  <c r="J2206" i="15"/>
  <c r="H2207" i="15"/>
  <c r="I2207" i="15"/>
  <c r="J2207" i="15"/>
  <c r="H2208" i="15"/>
  <c r="I2208" i="15"/>
  <c r="J2208" i="15"/>
  <c r="H2209" i="15"/>
  <c r="I2209" i="15"/>
  <c r="J2209" i="15"/>
  <c r="H2210" i="15"/>
  <c r="I2210" i="15"/>
  <c r="J2210" i="15"/>
  <c r="H2211" i="15"/>
  <c r="I2211" i="15"/>
  <c r="J2211" i="15"/>
  <c r="H2212" i="15"/>
  <c r="I2212" i="15"/>
  <c r="J2212" i="15"/>
  <c r="H2213" i="15"/>
  <c r="I2213" i="15"/>
  <c r="J2213" i="15"/>
  <c r="H2214" i="15"/>
  <c r="I2214" i="15"/>
  <c r="J2214" i="15"/>
  <c r="H2215" i="15"/>
  <c r="I2215" i="15"/>
  <c r="J2215" i="15"/>
  <c r="H2216" i="15"/>
  <c r="I2216" i="15"/>
  <c r="J2216" i="15"/>
  <c r="H2217" i="15"/>
  <c r="I2217" i="15"/>
  <c r="J2217" i="15"/>
  <c r="H2218" i="15"/>
  <c r="I2218" i="15"/>
  <c r="J2218" i="15"/>
  <c r="H2219" i="15"/>
  <c r="I2219" i="15"/>
  <c r="J2219" i="15"/>
  <c r="H2220" i="15"/>
  <c r="I2220" i="15"/>
  <c r="J2220" i="15"/>
  <c r="H2221" i="15"/>
  <c r="I2221" i="15"/>
  <c r="J2221" i="15"/>
  <c r="H2222" i="15"/>
  <c r="I2222" i="15"/>
  <c r="J2222" i="15"/>
  <c r="H2223" i="15"/>
  <c r="I2223" i="15"/>
  <c r="J2223" i="15"/>
  <c r="H2224" i="15"/>
  <c r="I2224" i="15"/>
  <c r="J2224" i="15"/>
  <c r="H2225" i="15"/>
  <c r="I2225" i="15"/>
  <c r="J2225" i="15"/>
  <c r="H2226" i="15"/>
  <c r="I2226" i="15"/>
  <c r="J2226" i="15"/>
  <c r="H2227" i="15"/>
  <c r="I2227" i="15"/>
  <c r="J2227" i="15"/>
  <c r="H2228" i="15"/>
  <c r="I2228" i="15"/>
  <c r="J2228" i="15"/>
  <c r="H2229" i="15"/>
  <c r="I2229" i="15"/>
  <c r="J2229" i="15"/>
  <c r="H2230" i="15"/>
  <c r="I2230" i="15"/>
  <c r="J2230" i="15"/>
  <c r="H2231" i="15"/>
  <c r="I2231" i="15"/>
  <c r="J2231" i="15"/>
  <c r="H2232" i="15"/>
  <c r="I2232" i="15"/>
  <c r="J2232" i="15"/>
  <c r="H2233" i="15"/>
  <c r="I2233" i="15"/>
  <c r="J2233" i="15"/>
  <c r="H2234" i="15"/>
  <c r="I2234" i="15"/>
  <c r="J2234" i="15"/>
  <c r="H2235" i="15"/>
  <c r="I2235" i="15"/>
  <c r="J2235" i="15"/>
  <c r="H2236" i="15"/>
  <c r="I2236" i="15"/>
  <c r="J2236" i="15"/>
  <c r="H2237" i="15"/>
  <c r="I2237" i="15"/>
  <c r="J2237" i="15"/>
  <c r="H2238" i="15"/>
  <c r="I2238" i="15"/>
  <c r="J2238" i="15"/>
  <c r="H2239" i="15"/>
  <c r="I2239" i="15"/>
  <c r="J2239" i="15"/>
  <c r="H2240" i="15"/>
  <c r="I2240" i="15"/>
  <c r="J2240" i="15"/>
  <c r="H2241" i="15"/>
  <c r="I2241" i="15"/>
  <c r="J2241" i="15"/>
  <c r="H2242" i="15"/>
  <c r="I2242" i="15"/>
  <c r="J2242" i="15"/>
  <c r="H2243" i="15"/>
  <c r="I2243" i="15"/>
  <c r="J2243" i="15"/>
  <c r="H2244" i="15"/>
  <c r="I2244" i="15"/>
  <c r="J2244" i="15"/>
  <c r="H2245" i="15"/>
  <c r="I2245" i="15"/>
  <c r="J2245" i="15"/>
  <c r="H2246" i="15"/>
  <c r="I2246" i="15"/>
  <c r="J2246" i="15"/>
  <c r="H2247" i="15"/>
  <c r="I2247" i="15"/>
  <c r="J2247" i="15"/>
  <c r="H2248" i="15"/>
  <c r="I2248" i="15"/>
  <c r="J2248" i="15"/>
  <c r="H2249" i="15"/>
  <c r="I2249" i="15"/>
  <c r="J2249" i="15"/>
  <c r="H2250" i="15"/>
  <c r="I2250" i="15"/>
  <c r="J2250" i="15"/>
  <c r="H2251" i="15"/>
  <c r="I2251" i="15"/>
  <c r="J2251" i="15"/>
  <c r="H2252" i="15"/>
  <c r="I2252" i="15"/>
  <c r="J2252" i="15"/>
  <c r="H2253" i="15"/>
  <c r="I2253" i="15"/>
  <c r="J2253" i="15"/>
  <c r="H2254" i="15"/>
  <c r="I2254" i="15"/>
  <c r="J2254" i="15"/>
  <c r="H2255" i="15"/>
  <c r="I2255" i="15"/>
  <c r="J2255" i="15"/>
  <c r="H2256" i="15"/>
  <c r="I2256" i="15"/>
  <c r="J2256" i="15"/>
  <c r="H2257" i="15"/>
  <c r="I2257" i="15"/>
  <c r="J2257" i="15"/>
  <c r="H2258" i="15"/>
  <c r="I2258" i="15"/>
  <c r="J2258" i="15"/>
  <c r="H2259" i="15"/>
  <c r="I2259" i="15"/>
  <c r="J2259" i="15"/>
  <c r="H2260" i="15"/>
  <c r="I2260" i="15"/>
  <c r="J2260" i="15"/>
  <c r="H2261" i="15"/>
  <c r="I2261" i="15"/>
  <c r="J2261" i="15"/>
  <c r="H2262" i="15"/>
  <c r="I2262" i="15"/>
  <c r="J2262" i="15"/>
  <c r="H2263" i="15"/>
  <c r="I2263" i="15"/>
  <c r="J2263" i="15"/>
  <c r="H2264" i="15"/>
  <c r="I2264" i="15"/>
  <c r="J2264" i="15"/>
  <c r="H2265" i="15"/>
  <c r="I2265" i="15"/>
  <c r="J2265" i="15"/>
  <c r="H2266" i="15"/>
  <c r="I2266" i="15"/>
  <c r="J2266" i="15"/>
  <c r="H2267" i="15"/>
  <c r="I2267" i="15"/>
  <c r="J2267" i="15"/>
  <c r="H2268" i="15"/>
  <c r="I2268" i="15"/>
  <c r="J2268" i="15"/>
  <c r="H2269" i="15"/>
  <c r="I2269" i="15"/>
  <c r="J2269" i="15"/>
  <c r="H2270" i="15"/>
  <c r="I2270" i="15"/>
  <c r="J2270" i="15"/>
  <c r="H2271" i="15"/>
  <c r="I2271" i="15"/>
  <c r="J2271" i="15"/>
  <c r="H2272" i="15"/>
  <c r="I2272" i="15"/>
  <c r="J2272" i="15"/>
  <c r="H2273" i="15"/>
  <c r="I2273" i="15"/>
  <c r="J2273" i="15"/>
  <c r="H2274" i="15"/>
  <c r="I2274" i="15"/>
  <c r="J2274" i="15"/>
  <c r="H2275" i="15"/>
  <c r="I2275" i="15"/>
  <c r="J2275" i="15"/>
  <c r="H2276" i="15"/>
  <c r="I2276" i="15"/>
  <c r="J2276" i="15"/>
  <c r="H2277" i="15"/>
  <c r="I2277" i="15"/>
  <c r="J2277" i="15"/>
  <c r="H2278" i="15"/>
  <c r="I2278" i="15"/>
  <c r="J2278" i="15"/>
  <c r="H2279" i="15"/>
  <c r="I2279" i="15"/>
  <c r="J2279" i="15"/>
  <c r="H2280" i="15"/>
  <c r="I2280" i="15"/>
  <c r="J2280" i="15"/>
  <c r="H2281" i="15"/>
  <c r="I2281" i="15"/>
  <c r="J2281" i="15"/>
  <c r="H2282" i="15"/>
  <c r="I2282" i="15"/>
  <c r="J2282" i="15"/>
  <c r="H2283" i="15"/>
  <c r="I2283" i="15"/>
  <c r="J2283" i="15"/>
  <c r="H2284" i="15"/>
  <c r="I2284" i="15"/>
  <c r="J2284" i="15"/>
  <c r="H2285" i="15"/>
  <c r="I2285" i="15"/>
  <c r="J2285" i="15"/>
  <c r="H2286" i="15"/>
  <c r="I2286" i="15"/>
  <c r="J2286" i="15"/>
  <c r="H2287" i="15"/>
  <c r="I2287" i="15"/>
  <c r="J2287" i="15"/>
  <c r="H2288" i="15"/>
  <c r="I2288" i="15"/>
  <c r="J2288" i="15"/>
  <c r="H2289" i="15"/>
  <c r="I2289" i="15"/>
  <c r="J2289" i="15"/>
  <c r="H2290" i="15"/>
  <c r="I2290" i="15"/>
  <c r="J2290" i="15"/>
  <c r="H2291" i="15"/>
  <c r="I2291" i="15"/>
  <c r="J2291" i="15"/>
  <c r="H2292" i="15"/>
  <c r="I2292" i="15"/>
  <c r="J2292" i="15"/>
  <c r="H2293" i="15"/>
  <c r="I2293" i="15"/>
  <c r="J2293" i="15"/>
  <c r="H2294" i="15"/>
  <c r="I2294" i="15"/>
  <c r="J2294" i="15"/>
  <c r="H2295" i="15"/>
  <c r="I2295" i="15"/>
  <c r="J2295" i="15"/>
  <c r="H2296" i="15"/>
  <c r="I2296" i="15"/>
  <c r="J2296" i="15"/>
  <c r="H2297" i="15"/>
  <c r="I2297" i="15"/>
  <c r="J2297" i="15"/>
  <c r="H2298" i="15"/>
  <c r="I2298" i="15"/>
  <c r="J2298" i="15"/>
  <c r="H2299" i="15"/>
  <c r="I2299" i="15"/>
  <c r="J2299" i="15"/>
  <c r="H2300" i="15"/>
  <c r="I2300" i="15"/>
  <c r="J2300" i="15"/>
  <c r="H2301" i="15"/>
  <c r="I2301" i="15"/>
  <c r="J2301" i="15"/>
  <c r="H2302" i="15"/>
  <c r="I2302" i="15"/>
  <c r="J2302" i="15"/>
  <c r="H2303" i="15"/>
  <c r="I2303" i="15"/>
  <c r="J2303" i="15"/>
  <c r="H2304" i="15"/>
  <c r="I2304" i="15"/>
  <c r="J2304" i="15"/>
  <c r="H2305" i="15"/>
  <c r="I2305" i="15"/>
  <c r="J2305" i="15"/>
  <c r="H2306" i="15"/>
  <c r="I2306" i="15"/>
  <c r="J2306" i="15"/>
  <c r="H2307" i="15"/>
  <c r="I2307" i="15"/>
  <c r="J2307" i="15"/>
  <c r="H2308" i="15"/>
  <c r="I2308" i="15"/>
  <c r="J2308" i="15"/>
  <c r="H2309" i="15"/>
  <c r="I2309" i="15"/>
  <c r="J2309" i="15"/>
  <c r="H2310" i="15"/>
  <c r="I2310" i="15"/>
  <c r="J2310" i="15"/>
  <c r="H2311" i="15"/>
  <c r="I2311" i="15"/>
  <c r="J2311" i="15"/>
  <c r="H2312" i="15"/>
  <c r="I2312" i="15"/>
  <c r="J2312" i="15"/>
  <c r="H2313" i="15"/>
  <c r="I2313" i="15"/>
  <c r="J2313" i="15"/>
  <c r="H2314" i="15"/>
  <c r="I2314" i="15"/>
  <c r="J2314" i="15"/>
  <c r="H2315" i="15"/>
  <c r="I2315" i="15"/>
  <c r="J2315" i="15"/>
  <c r="H2316" i="15"/>
  <c r="I2316" i="15"/>
  <c r="J2316" i="15"/>
  <c r="H2317" i="15"/>
  <c r="I2317" i="15"/>
  <c r="J2317" i="15"/>
  <c r="H2318" i="15"/>
  <c r="I2318" i="15"/>
  <c r="J2318" i="15"/>
  <c r="H2319" i="15"/>
  <c r="I2319" i="15"/>
  <c r="J2319" i="15"/>
  <c r="H2320" i="15"/>
  <c r="I2320" i="15"/>
  <c r="J2320" i="15"/>
  <c r="H2321" i="15"/>
  <c r="I2321" i="15"/>
  <c r="J2321" i="15"/>
  <c r="H2322" i="15"/>
  <c r="I2322" i="15"/>
  <c r="J2322" i="15"/>
  <c r="H2323" i="15"/>
  <c r="I2323" i="15"/>
  <c r="J2323" i="15"/>
  <c r="H2324" i="15"/>
  <c r="I2324" i="15"/>
  <c r="J2324" i="15"/>
  <c r="H2325" i="15"/>
  <c r="I2325" i="15"/>
  <c r="J2325" i="15"/>
  <c r="H2326" i="15"/>
  <c r="I2326" i="15"/>
  <c r="J2326" i="15"/>
  <c r="H2327" i="15"/>
  <c r="I2327" i="15"/>
  <c r="J2327" i="15"/>
  <c r="H2328" i="15"/>
  <c r="I2328" i="15"/>
  <c r="J2328" i="15"/>
  <c r="H2329" i="15"/>
  <c r="I2329" i="15"/>
  <c r="J2329" i="15"/>
  <c r="H2330" i="15"/>
  <c r="I2330" i="15"/>
  <c r="J2330" i="15"/>
  <c r="H2331" i="15"/>
  <c r="I2331" i="15"/>
  <c r="J2331" i="15"/>
  <c r="H2332" i="15"/>
  <c r="I2332" i="15"/>
  <c r="J2332" i="15"/>
  <c r="H2333" i="15"/>
  <c r="I2333" i="15"/>
  <c r="J2333" i="15"/>
  <c r="H2334" i="15"/>
  <c r="I2334" i="15"/>
  <c r="J2334" i="15"/>
  <c r="H2335" i="15"/>
  <c r="I2335" i="15"/>
  <c r="J2335" i="15"/>
  <c r="H2336" i="15"/>
  <c r="I2336" i="15"/>
  <c r="J2336" i="15"/>
  <c r="H2337" i="15"/>
  <c r="I2337" i="15"/>
  <c r="J2337" i="15"/>
  <c r="H2338" i="15"/>
  <c r="I2338" i="15"/>
  <c r="J2338" i="15"/>
  <c r="H2339" i="15"/>
  <c r="I2339" i="15"/>
  <c r="J2339" i="15"/>
  <c r="H2340" i="15"/>
  <c r="I2340" i="15"/>
  <c r="J2340" i="15"/>
  <c r="H2341" i="15"/>
  <c r="I2341" i="15"/>
  <c r="J2341" i="15"/>
  <c r="H2342" i="15"/>
  <c r="I2342" i="15"/>
  <c r="J2342" i="15"/>
  <c r="H2343" i="15"/>
  <c r="I2343" i="15"/>
  <c r="J2343" i="15"/>
  <c r="H2344" i="15"/>
  <c r="I2344" i="15"/>
  <c r="J2344" i="15"/>
  <c r="H2345" i="15"/>
  <c r="I2345" i="15"/>
  <c r="J2345" i="15"/>
  <c r="H2346" i="15"/>
  <c r="I2346" i="15"/>
  <c r="J2346" i="15"/>
  <c r="H2347" i="15"/>
  <c r="I2347" i="15"/>
  <c r="J2347" i="15"/>
  <c r="H2348" i="15"/>
  <c r="I2348" i="15"/>
  <c r="J2348" i="15"/>
  <c r="H2349" i="15"/>
  <c r="I2349" i="15"/>
  <c r="J2349" i="15"/>
  <c r="H2350" i="15"/>
  <c r="I2350" i="15"/>
  <c r="J2350" i="15"/>
  <c r="H2351" i="15"/>
  <c r="I2351" i="15"/>
  <c r="J2351" i="15"/>
  <c r="H2352" i="15"/>
  <c r="I2352" i="15"/>
  <c r="J2352" i="15"/>
  <c r="H2353" i="15"/>
  <c r="I2353" i="15"/>
  <c r="J2353" i="15"/>
  <c r="H2354" i="15"/>
  <c r="I2354" i="15"/>
  <c r="J2354" i="15"/>
  <c r="H2355" i="15"/>
  <c r="I2355" i="15"/>
  <c r="J2355" i="15"/>
  <c r="H2356" i="15"/>
  <c r="I2356" i="15"/>
  <c r="J2356" i="15"/>
  <c r="H2357" i="15"/>
  <c r="I2357" i="15"/>
  <c r="J2357" i="15"/>
  <c r="H2358" i="15"/>
  <c r="I2358" i="15"/>
  <c r="J2358" i="15"/>
  <c r="H2359" i="15"/>
  <c r="I2359" i="15"/>
  <c r="J2359" i="15"/>
  <c r="H2360" i="15"/>
  <c r="I2360" i="15"/>
  <c r="J2360" i="15"/>
  <c r="H2361" i="15"/>
  <c r="I2361" i="15"/>
  <c r="J2361" i="15"/>
  <c r="H2362" i="15"/>
  <c r="I2362" i="15"/>
  <c r="J2362" i="15"/>
  <c r="H2363" i="15"/>
  <c r="I2363" i="15"/>
  <c r="J2363" i="15"/>
  <c r="H2364" i="15"/>
  <c r="I2364" i="15"/>
  <c r="J2364" i="15"/>
  <c r="H2365" i="15"/>
  <c r="I2365" i="15"/>
  <c r="J2365" i="15"/>
  <c r="H2366" i="15"/>
  <c r="I2366" i="15"/>
  <c r="J2366" i="15"/>
  <c r="H2367" i="15"/>
  <c r="I2367" i="15"/>
  <c r="J2367" i="15"/>
  <c r="H2368" i="15"/>
  <c r="I2368" i="15"/>
  <c r="J2368" i="15"/>
  <c r="H2369" i="15"/>
  <c r="I2369" i="15"/>
  <c r="J2369" i="15"/>
  <c r="H2370" i="15"/>
  <c r="I2370" i="15"/>
  <c r="J2370" i="15"/>
  <c r="H2371" i="15"/>
  <c r="I2371" i="15"/>
  <c r="J2371" i="15"/>
  <c r="H2372" i="15"/>
  <c r="I2372" i="15"/>
  <c r="J2372" i="15"/>
  <c r="H2373" i="15"/>
  <c r="I2373" i="15"/>
  <c r="J2373" i="15"/>
  <c r="H2374" i="15"/>
  <c r="I2374" i="15"/>
  <c r="J2374" i="15"/>
  <c r="H2375" i="15"/>
  <c r="I2375" i="15"/>
  <c r="J2375" i="15"/>
  <c r="H2376" i="15"/>
  <c r="I2376" i="15"/>
  <c r="J2376" i="15"/>
  <c r="H2377" i="15"/>
  <c r="I2377" i="15"/>
  <c r="J2377" i="15"/>
  <c r="H2378" i="15"/>
  <c r="I2378" i="15"/>
  <c r="J2378" i="15"/>
  <c r="H2379" i="15"/>
  <c r="I2379" i="15"/>
  <c r="J2379" i="15"/>
  <c r="H2380" i="15"/>
  <c r="I2380" i="15"/>
  <c r="J2380" i="15"/>
  <c r="H2381" i="15"/>
  <c r="I2381" i="15"/>
  <c r="J2381" i="15"/>
  <c r="H2382" i="15"/>
  <c r="I2382" i="15"/>
  <c r="J2382" i="15"/>
  <c r="H2383" i="15"/>
  <c r="I2383" i="15"/>
  <c r="J2383" i="15"/>
  <c r="H2384" i="15"/>
  <c r="I2384" i="15"/>
  <c r="J2384" i="15"/>
  <c r="H2385" i="15"/>
  <c r="I2385" i="15"/>
  <c r="J2385" i="15"/>
  <c r="H2386" i="15"/>
  <c r="I2386" i="15"/>
  <c r="J2386" i="15"/>
  <c r="H2387" i="15"/>
  <c r="I2387" i="15"/>
  <c r="J2387" i="15"/>
  <c r="H2388" i="15"/>
  <c r="I2388" i="15"/>
  <c r="J2388" i="15"/>
  <c r="H2389" i="15"/>
  <c r="I2389" i="15"/>
  <c r="J2389" i="15"/>
  <c r="H2390" i="15"/>
  <c r="I2390" i="15"/>
  <c r="J2390" i="15"/>
  <c r="H2391" i="15"/>
  <c r="I2391" i="15"/>
  <c r="J2391" i="15"/>
  <c r="H2392" i="15"/>
  <c r="I2392" i="15"/>
  <c r="J2392" i="15"/>
  <c r="H2393" i="15"/>
  <c r="I2393" i="15"/>
  <c r="J2393" i="15"/>
  <c r="H2394" i="15"/>
  <c r="I2394" i="15"/>
  <c r="J2394" i="15"/>
  <c r="H2395" i="15"/>
  <c r="I2395" i="15"/>
  <c r="J2395" i="15"/>
  <c r="H2396" i="15"/>
  <c r="I2396" i="15"/>
  <c r="J2396" i="15"/>
  <c r="H2397" i="15"/>
  <c r="I2397" i="15"/>
  <c r="J2397" i="15"/>
  <c r="H2398" i="15"/>
  <c r="I2398" i="15"/>
  <c r="J2398" i="15"/>
  <c r="H2399" i="15"/>
  <c r="I2399" i="15"/>
  <c r="J2399" i="15"/>
  <c r="H2400" i="15"/>
  <c r="I2400" i="15"/>
  <c r="J2400" i="15"/>
  <c r="H2401" i="15"/>
  <c r="I2401" i="15"/>
  <c r="J2401" i="15"/>
  <c r="H2402" i="15"/>
  <c r="I2402" i="15"/>
  <c r="J2402" i="15"/>
  <c r="H2403" i="15"/>
  <c r="I2403" i="15"/>
  <c r="J2403" i="15"/>
  <c r="H2404" i="15"/>
  <c r="I2404" i="15"/>
  <c r="J2404" i="15"/>
  <c r="H2405" i="15"/>
  <c r="I2405" i="15"/>
  <c r="J2405" i="15"/>
  <c r="H2406" i="15"/>
  <c r="I2406" i="15"/>
  <c r="J2406" i="15"/>
  <c r="H2407" i="15"/>
  <c r="I2407" i="15"/>
  <c r="J2407" i="15"/>
  <c r="H2408" i="15"/>
  <c r="I2408" i="15"/>
  <c r="J2408" i="15"/>
  <c r="H2409" i="15"/>
  <c r="I2409" i="15"/>
  <c r="J2409" i="15"/>
  <c r="H2410" i="15"/>
  <c r="I2410" i="15"/>
  <c r="J2410" i="15"/>
  <c r="H2411" i="15"/>
  <c r="I2411" i="15"/>
  <c r="J2411" i="15"/>
  <c r="H2412" i="15"/>
  <c r="I2412" i="15"/>
  <c r="J2412" i="15"/>
  <c r="H2413" i="15"/>
  <c r="I2413" i="15"/>
  <c r="J2413" i="15"/>
  <c r="H2414" i="15"/>
  <c r="I2414" i="15"/>
  <c r="J2414" i="15"/>
  <c r="H2415" i="15"/>
  <c r="I2415" i="15"/>
  <c r="J2415" i="15"/>
  <c r="H2416" i="15"/>
  <c r="I2416" i="15"/>
  <c r="J2416" i="15"/>
  <c r="H2417" i="15"/>
  <c r="I2417" i="15"/>
  <c r="J2417" i="15"/>
  <c r="H2418" i="15"/>
  <c r="I2418" i="15"/>
  <c r="J2418" i="15"/>
  <c r="H2419" i="15"/>
  <c r="I2419" i="15"/>
  <c r="J2419" i="15"/>
  <c r="H2420" i="15"/>
  <c r="I2420" i="15"/>
  <c r="J2420" i="15"/>
  <c r="H2421" i="15"/>
  <c r="I2421" i="15"/>
  <c r="J2421" i="15"/>
  <c r="H2422" i="15"/>
  <c r="I2422" i="15"/>
  <c r="J2422" i="15"/>
  <c r="H2423" i="15"/>
  <c r="I2423" i="15"/>
  <c r="J2423" i="15"/>
  <c r="H2424" i="15"/>
  <c r="I2424" i="15"/>
  <c r="J2424" i="15"/>
  <c r="H2425" i="15"/>
  <c r="I2425" i="15"/>
  <c r="J2425" i="15"/>
  <c r="H2426" i="15"/>
  <c r="I2426" i="15"/>
  <c r="J2426" i="15"/>
  <c r="H2427" i="15"/>
  <c r="I2427" i="15"/>
  <c r="J2427" i="15"/>
  <c r="H2428" i="15"/>
  <c r="I2428" i="15"/>
  <c r="J2428" i="15"/>
  <c r="H2429" i="15"/>
  <c r="I2429" i="15"/>
  <c r="J2429" i="15"/>
  <c r="H2430" i="15"/>
  <c r="I2430" i="15"/>
  <c r="J2430" i="15"/>
  <c r="H2431" i="15"/>
  <c r="I2431" i="15"/>
  <c r="J2431" i="15"/>
  <c r="H2432" i="15"/>
  <c r="I2432" i="15"/>
  <c r="J2432" i="15"/>
  <c r="H2433" i="15"/>
  <c r="I2433" i="15"/>
  <c r="J2433" i="15"/>
  <c r="H2434" i="15"/>
  <c r="I2434" i="15"/>
  <c r="J2434" i="15"/>
  <c r="H2435" i="15"/>
  <c r="I2435" i="15"/>
  <c r="J2435" i="15"/>
  <c r="H2436" i="15"/>
  <c r="I2436" i="15"/>
  <c r="J2436" i="15"/>
  <c r="H2437" i="15"/>
  <c r="I2437" i="15"/>
  <c r="J2437" i="15"/>
  <c r="H2438" i="15"/>
  <c r="I2438" i="15"/>
  <c r="J2438" i="15"/>
  <c r="H2439" i="15"/>
  <c r="I2439" i="15"/>
  <c r="J2439" i="15"/>
  <c r="H2440" i="15"/>
  <c r="I2440" i="15"/>
  <c r="J2440" i="15"/>
  <c r="H2441" i="15"/>
  <c r="I2441" i="15"/>
  <c r="J2441" i="15"/>
  <c r="H2442" i="15"/>
  <c r="I2442" i="15"/>
  <c r="J2442" i="15"/>
  <c r="H2443" i="15"/>
  <c r="I2443" i="15"/>
  <c r="J2443" i="15"/>
  <c r="H2444" i="15"/>
  <c r="I2444" i="15"/>
  <c r="J2444" i="15"/>
  <c r="H2445" i="15"/>
  <c r="I2445" i="15"/>
  <c r="J2445" i="15"/>
  <c r="H2446" i="15"/>
  <c r="I2446" i="15"/>
  <c r="J2446" i="15"/>
  <c r="H2447" i="15"/>
  <c r="I2447" i="15"/>
  <c r="J2447" i="15"/>
  <c r="H2448" i="15"/>
  <c r="I2448" i="15"/>
  <c r="J2448" i="15"/>
  <c r="H2449" i="15"/>
  <c r="I2449" i="15"/>
  <c r="J2449" i="15"/>
  <c r="H2450" i="15"/>
  <c r="I2450" i="15"/>
  <c r="J2450" i="15"/>
  <c r="H2451" i="15"/>
  <c r="I2451" i="15"/>
  <c r="J2451" i="15"/>
  <c r="H2452" i="15"/>
  <c r="I2452" i="15"/>
  <c r="J2452" i="15"/>
  <c r="H2453" i="15"/>
  <c r="I2453" i="15"/>
  <c r="J2453" i="15"/>
  <c r="H2454" i="15"/>
  <c r="I2454" i="15"/>
  <c r="J2454" i="15"/>
  <c r="H2455" i="15"/>
  <c r="I2455" i="15"/>
  <c r="J2455" i="15"/>
  <c r="H2456" i="15"/>
  <c r="I2456" i="15"/>
  <c r="J2456" i="15"/>
  <c r="H2457" i="15"/>
  <c r="I2457" i="15"/>
  <c r="J2457" i="15"/>
  <c r="H2458" i="15"/>
  <c r="I2458" i="15"/>
  <c r="J2458" i="15"/>
  <c r="H2459" i="15"/>
  <c r="I2459" i="15"/>
  <c r="J2459" i="15"/>
  <c r="H2460" i="15"/>
  <c r="I2460" i="15"/>
  <c r="J2460" i="15"/>
  <c r="H2461" i="15"/>
  <c r="I2461" i="15"/>
  <c r="J2461" i="15"/>
  <c r="H2462" i="15"/>
  <c r="I2462" i="15"/>
  <c r="J2462" i="15"/>
  <c r="H2463" i="15"/>
  <c r="I2463" i="15"/>
  <c r="J2463" i="15"/>
  <c r="H2464" i="15"/>
  <c r="I2464" i="15"/>
  <c r="J2464" i="15"/>
  <c r="H2465" i="15"/>
  <c r="I2465" i="15"/>
  <c r="J2465" i="15"/>
  <c r="H2466" i="15"/>
  <c r="I2466" i="15"/>
  <c r="J2466" i="15"/>
  <c r="H2467" i="15"/>
  <c r="I2467" i="15"/>
  <c r="J2467" i="15"/>
  <c r="H2468" i="15"/>
  <c r="I2468" i="15"/>
  <c r="J2468" i="15"/>
  <c r="H2469" i="15"/>
  <c r="I2469" i="15"/>
  <c r="J2469" i="15"/>
  <c r="H2470" i="15"/>
  <c r="I2470" i="15"/>
  <c r="J2470" i="15"/>
  <c r="H2471" i="15"/>
  <c r="I2471" i="15"/>
  <c r="J2471" i="15"/>
  <c r="H2472" i="15"/>
  <c r="I2472" i="15"/>
  <c r="J2472" i="15"/>
  <c r="H2473" i="15"/>
  <c r="I2473" i="15"/>
  <c r="J2473" i="15"/>
  <c r="H2474" i="15"/>
  <c r="I2474" i="15"/>
  <c r="J2474" i="15"/>
  <c r="H2475" i="15"/>
  <c r="I2475" i="15"/>
  <c r="J2475" i="15"/>
  <c r="H2476" i="15"/>
  <c r="I2476" i="15"/>
  <c r="J2476" i="15"/>
  <c r="H2477" i="15"/>
  <c r="I2477" i="15"/>
  <c r="J2477" i="15"/>
  <c r="H2478" i="15"/>
  <c r="I2478" i="15"/>
  <c r="J2478" i="15"/>
  <c r="H2479" i="15"/>
  <c r="I2479" i="15"/>
  <c r="J2479" i="15"/>
  <c r="H2480" i="15"/>
  <c r="I2480" i="15"/>
  <c r="J2480" i="15"/>
  <c r="H2481" i="15"/>
  <c r="I2481" i="15"/>
  <c r="J2481" i="15"/>
  <c r="H2482" i="15"/>
  <c r="I2482" i="15"/>
  <c r="J2482" i="15"/>
  <c r="H2483" i="15"/>
  <c r="I2483" i="15"/>
  <c r="J2483" i="15"/>
  <c r="H2484" i="15"/>
  <c r="I2484" i="15"/>
  <c r="J2484" i="15"/>
  <c r="H2485" i="15"/>
  <c r="I2485" i="15"/>
  <c r="J2485" i="15"/>
  <c r="H2486" i="15"/>
  <c r="I2486" i="15"/>
  <c r="J2486" i="15"/>
  <c r="H2487" i="15"/>
  <c r="I2487" i="15"/>
  <c r="J2487" i="15"/>
  <c r="H2488" i="15"/>
  <c r="I2488" i="15"/>
  <c r="J2488" i="15"/>
  <c r="H2489" i="15"/>
  <c r="I2489" i="15"/>
  <c r="J2489" i="15"/>
  <c r="H2490" i="15"/>
  <c r="I2490" i="15"/>
  <c r="J2490" i="15"/>
  <c r="H2491" i="15"/>
  <c r="I2491" i="15"/>
  <c r="J2491" i="15"/>
  <c r="H2492" i="15"/>
  <c r="I2492" i="15"/>
  <c r="J2492" i="15"/>
  <c r="H2493" i="15"/>
  <c r="I2493" i="15"/>
  <c r="J2493" i="15"/>
  <c r="H2494" i="15"/>
  <c r="I2494" i="15"/>
  <c r="J2494" i="15"/>
  <c r="H2495" i="15"/>
  <c r="I2495" i="15"/>
  <c r="J2495" i="15"/>
  <c r="H2496" i="15"/>
  <c r="I2496" i="15"/>
  <c r="J2496" i="15"/>
  <c r="H2497" i="15"/>
  <c r="I2497" i="15"/>
  <c r="J2497" i="15"/>
  <c r="H2498" i="15"/>
  <c r="I2498" i="15"/>
  <c r="J2498" i="15"/>
  <c r="H2499" i="15"/>
  <c r="I2499" i="15"/>
  <c r="J2499" i="15"/>
  <c r="H2500" i="15"/>
  <c r="I2500" i="15"/>
  <c r="J2500" i="15"/>
  <c r="H2501" i="15"/>
  <c r="I2501" i="15"/>
  <c r="J2501" i="15"/>
  <c r="H2502" i="15"/>
  <c r="I2502" i="15"/>
  <c r="J2502" i="15"/>
  <c r="H2503" i="15"/>
  <c r="I2503" i="15"/>
  <c r="J2503" i="15"/>
  <c r="H2504" i="15"/>
  <c r="I2504" i="15"/>
  <c r="J2504" i="15"/>
  <c r="H2505" i="15"/>
  <c r="I2505" i="15"/>
  <c r="J2505" i="15"/>
  <c r="H2506" i="15"/>
  <c r="I2506" i="15"/>
  <c r="J2506" i="15"/>
  <c r="H2507" i="15"/>
  <c r="I2507" i="15"/>
  <c r="J2507" i="15"/>
  <c r="H2508" i="15"/>
  <c r="I2508" i="15"/>
  <c r="J2508" i="15"/>
  <c r="H2509" i="15"/>
  <c r="I2509" i="15"/>
  <c r="J2509" i="15"/>
  <c r="H2510" i="15"/>
  <c r="I2510" i="15"/>
  <c r="J2510" i="15"/>
  <c r="H2511" i="15"/>
  <c r="I2511" i="15"/>
  <c r="J2511" i="15"/>
  <c r="H2512" i="15"/>
  <c r="I2512" i="15"/>
  <c r="J2512" i="15"/>
  <c r="H2513" i="15"/>
  <c r="I2513" i="15"/>
  <c r="J2513" i="15"/>
  <c r="H2514" i="15"/>
  <c r="I2514" i="15"/>
  <c r="J2514" i="15"/>
  <c r="H2515" i="15"/>
  <c r="I2515" i="15"/>
  <c r="J2515" i="15"/>
  <c r="H2516" i="15"/>
  <c r="I2516" i="15"/>
  <c r="J2516" i="15"/>
  <c r="H2517" i="15"/>
  <c r="I2517" i="15"/>
  <c r="J2517" i="15"/>
  <c r="H2518" i="15"/>
  <c r="I2518" i="15"/>
  <c r="J2518" i="15"/>
  <c r="H2519" i="15"/>
  <c r="I2519" i="15"/>
  <c r="J2519" i="15"/>
  <c r="H2520" i="15"/>
  <c r="I2520" i="15"/>
  <c r="J2520" i="15"/>
  <c r="H2521" i="15"/>
  <c r="I2521" i="15"/>
  <c r="J2521" i="15"/>
  <c r="H2522" i="15"/>
  <c r="I2522" i="15"/>
  <c r="J2522" i="15"/>
  <c r="H2523" i="15"/>
  <c r="I2523" i="15"/>
  <c r="J2523" i="15"/>
  <c r="H2524" i="15"/>
  <c r="I2524" i="15"/>
  <c r="J2524" i="15"/>
  <c r="H2525" i="15"/>
  <c r="I2525" i="15"/>
  <c r="J2525" i="15"/>
  <c r="H2526" i="15"/>
  <c r="I2526" i="15"/>
  <c r="J2526" i="15"/>
  <c r="H2527" i="15"/>
  <c r="I2527" i="15"/>
  <c r="J2527" i="15"/>
  <c r="H2528" i="15"/>
  <c r="I2528" i="15"/>
  <c r="J2528" i="15"/>
  <c r="H2529" i="15"/>
  <c r="I2529" i="15"/>
  <c r="J2529" i="15"/>
  <c r="H2530" i="15"/>
  <c r="I2530" i="15"/>
  <c r="J2530" i="15"/>
  <c r="H2531" i="15"/>
  <c r="I2531" i="15"/>
  <c r="J2531" i="15"/>
  <c r="H2532" i="15"/>
  <c r="I2532" i="15"/>
  <c r="J2532" i="15"/>
  <c r="H2533" i="15"/>
  <c r="I2533" i="15"/>
  <c r="J2533" i="15"/>
  <c r="H2534" i="15"/>
  <c r="I2534" i="15"/>
  <c r="J2534" i="15"/>
  <c r="H2535" i="15"/>
  <c r="I2535" i="15"/>
  <c r="J2535" i="15"/>
  <c r="H2536" i="15"/>
  <c r="I2536" i="15"/>
  <c r="J2536" i="15"/>
  <c r="H2537" i="15"/>
  <c r="I2537" i="15"/>
  <c r="J2537" i="15"/>
  <c r="H2538" i="15"/>
  <c r="I2538" i="15"/>
  <c r="J2538" i="15"/>
  <c r="H2539" i="15"/>
  <c r="I2539" i="15"/>
  <c r="J2539" i="15"/>
  <c r="H2540" i="15"/>
  <c r="I2540" i="15"/>
  <c r="J2540" i="15"/>
  <c r="H2541" i="15"/>
  <c r="I2541" i="15"/>
  <c r="J2541" i="15"/>
  <c r="H2542" i="15"/>
  <c r="I2542" i="15"/>
  <c r="J2542" i="15"/>
  <c r="H2543" i="15"/>
  <c r="I2543" i="15"/>
  <c r="J2543" i="15"/>
  <c r="H2544" i="15"/>
  <c r="I2544" i="15"/>
  <c r="J2544" i="15"/>
  <c r="H2545" i="15"/>
  <c r="I2545" i="15"/>
  <c r="J2545" i="15"/>
  <c r="H2546" i="15"/>
  <c r="I2546" i="15"/>
  <c r="J2546" i="15"/>
  <c r="H2547" i="15"/>
  <c r="I2547" i="15"/>
  <c r="J2547" i="15"/>
  <c r="H2548" i="15"/>
  <c r="I2548" i="15"/>
  <c r="J2548" i="15"/>
  <c r="H2549" i="15"/>
  <c r="I2549" i="15"/>
  <c r="J2549" i="15"/>
  <c r="H2550" i="15"/>
  <c r="I2550" i="15"/>
  <c r="J2550" i="15"/>
  <c r="H2551" i="15"/>
  <c r="I2551" i="15"/>
  <c r="J2551" i="15"/>
  <c r="H2552" i="15"/>
  <c r="I2552" i="15"/>
  <c r="J2552" i="15"/>
  <c r="H2553" i="15"/>
  <c r="I2553" i="15"/>
  <c r="J2553" i="15"/>
  <c r="H2554" i="15"/>
  <c r="I2554" i="15"/>
  <c r="J2554" i="15"/>
  <c r="H2555" i="15"/>
  <c r="I2555" i="15"/>
  <c r="J2555" i="15"/>
  <c r="H2556" i="15"/>
  <c r="I2556" i="15"/>
  <c r="J2556" i="15"/>
  <c r="H2557" i="15"/>
  <c r="I2557" i="15"/>
  <c r="J2557" i="15"/>
  <c r="H2558" i="15"/>
  <c r="I2558" i="15"/>
  <c r="J2558" i="15"/>
  <c r="H2559" i="15"/>
  <c r="I2559" i="15"/>
  <c r="J2559" i="15"/>
  <c r="H2560" i="15"/>
  <c r="I2560" i="15"/>
  <c r="J2560" i="15"/>
  <c r="H2561" i="15"/>
  <c r="I2561" i="15"/>
  <c r="J2561" i="15"/>
  <c r="H2562" i="15"/>
  <c r="I2562" i="15"/>
  <c r="J2562" i="15"/>
  <c r="H2563" i="15"/>
  <c r="I2563" i="15"/>
  <c r="J2563" i="15"/>
  <c r="H2564" i="15"/>
  <c r="I2564" i="15"/>
  <c r="J2564" i="15"/>
  <c r="H2565" i="15"/>
  <c r="I2565" i="15"/>
  <c r="J2565" i="15"/>
  <c r="H2566" i="15"/>
  <c r="I2566" i="15"/>
  <c r="J2566" i="15"/>
  <c r="H2567" i="15"/>
  <c r="I2567" i="15"/>
  <c r="J2567" i="15"/>
  <c r="H2568" i="15"/>
  <c r="I2568" i="15"/>
  <c r="J2568" i="15"/>
  <c r="H2569" i="15"/>
  <c r="I2569" i="15"/>
  <c r="J2569" i="15"/>
  <c r="H2570" i="15"/>
  <c r="I2570" i="15"/>
  <c r="J2570" i="15"/>
  <c r="H2571" i="15"/>
  <c r="I2571" i="15"/>
  <c r="J2571" i="15"/>
  <c r="H2572" i="15"/>
  <c r="I2572" i="15"/>
  <c r="J2572" i="15"/>
  <c r="H2573" i="15"/>
  <c r="I2573" i="15"/>
  <c r="J2573" i="15"/>
  <c r="H2574" i="15"/>
  <c r="I2574" i="15"/>
  <c r="J2574" i="15"/>
  <c r="H2575" i="15"/>
  <c r="I2575" i="15"/>
  <c r="J2575" i="15"/>
  <c r="H2576" i="15"/>
  <c r="I2576" i="15"/>
  <c r="J2576" i="15"/>
  <c r="H2577" i="15"/>
  <c r="I2577" i="15"/>
  <c r="J2577" i="15"/>
  <c r="H2578" i="15"/>
  <c r="I2578" i="15"/>
  <c r="J2578" i="15"/>
  <c r="H2579" i="15"/>
  <c r="I2579" i="15"/>
  <c r="J2579" i="15"/>
  <c r="H2580" i="15"/>
  <c r="I2580" i="15"/>
  <c r="J2580" i="15"/>
  <c r="H2581" i="15"/>
  <c r="I2581" i="15"/>
  <c r="J2581" i="15"/>
  <c r="H2582" i="15"/>
  <c r="I2582" i="15"/>
  <c r="J2582" i="15"/>
  <c r="H2583" i="15"/>
  <c r="I2583" i="15"/>
  <c r="J2583" i="15"/>
  <c r="H2584" i="15"/>
  <c r="I2584" i="15"/>
  <c r="J2584" i="15"/>
  <c r="H2585" i="15"/>
  <c r="I2585" i="15"/>
  <c r="J2585" i="15"/>
  <c r="H2586" i="15"/>
  <c r="I2586" i="15"/>
  <c r="J2586" i="15"/>
  <c r="H2587" i="15"/>
  <c r="I2587" i="15"/>
  <c r="J2587" i="15"/>
  <c r="H2588" i="15"/>
  <c r="I2588" i="15"/>
  <c r="J2588" i="15"/>
  <c r="H2589" i="15"/>
  <c r="I2589" i="15"/>
  <c r="J2589" i="15"/>
  <c r="H2590" i="15"/>
  <c r="I2590" i="15"/>
  <c r="J2590" i="15"/>
  <c r="H2591" i="15"/>
  <c r="I2591" i="15"/>
  <c r="J2591" i="15"/>
  <c r="H2592" i="15"/>
  <c r="I2592" i="15"/>
  <c r="J2592" i="15"/>
  <c r="H2593" i="15"/>
  <c r="I2593" i="15"/>
  <c r="J2593" i="15"/>
  <c r="H2594" i="15"/>
  <c r="I2594" i="15"/>
  <c r="J2594" i="15"/>
  <c r="H2595" i="15"/>
  <c r="I2595" i="15"/>
  <c r="J2595" i="15"/>
  <c r="H2596" i="15"/>
  <c r="I2596" i="15"/>
  <c r="J2596" i="15"/>
  <c r="H2597" i="15"/>
  <c r="I2597" i="15"/>
  <c r="J2597" i="15"/>
  <c r="H2598" i="15"/>
  <c r="I2598" i="15"/>
  <c r="J2598" i="15"/>
  <c r="H2599" i="15"/>
  <c r="I2599" i="15"/>
  <c r="J2599" i="15"/>
  <c r="H2600" i="15"/>
  <c r="I2600" i="15"/>
  <c r="J2600" i="15"/>
  <c r="H2601" i="15"/>
  <c r="I2601" i="15"/>
  <c r="J2601" i="15"/>
  <c r="H2602" i="15"/>
  <c r="I2602" i="15"/>
  <c r="J2602" i="15"/>
  <c r="H2603" i="15"/>
  <c r="I2603" i="15"/>
  <c r="J2603" i="15"/>
  <c r="H2604" i="15"/>
  <c r="I2604" i="15"/>
  <c r="J2604" i="15"/>
  <c r="H2605" i="15"/>
  <c r="I2605" i="15"/>
  <c r="J2605" i="15"/>
  <c r="H2606" i="15"/>
  <c r="I2606" i="15"/>
  <c r="J2606" i="15"/>
  <c r="H2607" i="15"/>
  <c r="I2607" i="15"/>
  <c r="J2607" i="15"/>
  <c r="H2608" i="15"/>
  <c r="I2608" i="15"/>
  <c r="J2608" i="15"/>
  <c r="H2609" i="15"/>
  <c r="I2609" i="15"/>
  <c r="J2609" i="15"/>
  <c r="H2610" i="15"/>
  <c r="I2610" i="15"/>
  <c r="J2610" i="15"/>
  <c r="H2611" i="15"/>
  <c r="I2611" i="15"/>
  <c r="J2611" i="15"/>
  <c r="H2612" i="15"/>
  <c r="I2612" i="15"/>
  <c r="J2612" i="15"/>
  <c r="H2613" i="15"/>
  <c r="I2613" i="15"/>
  <c r="J2613" i="15"/>
  <c r="H2614" i="15"/>
  <c r="I2614" i="15"/>
  <c r="J2614" i="15"/>
  <c r="H2615" i="15"/>
  <c r="I2615" i="15"/>
  <c r="J2615" i="15"/>
  <c r="H2616" i="15"/>
  <c r="I2616" i="15"/>
  <c r="J2616" i="15"/>
  <c r="H2617" i="15"/>
  <c r="I2617" i="15"/>
  <c r="J2617" i="15"/>
  <c r="H2618" i="15"/>
  <c r="I2618" i="15"/>
  <c r="J2618" i="15"/>
  <c r="H2619" i="15"/>
  <c r="I2619" i="15"/>
  <c r="J2619" i="15"/>
  <c r="H2620" i="15"/>
  <c r="I2620" i="15"/>
  <c r="J2620" i="15"/>
  <c r="H2621" i="15"/>
  <c r="I2621" i="15"/>
  <c r="J2621" i="15"/>
  <c r="H2622" i="15"/>
  <c r="I2622" i="15"/>
  <c r="J2622" i="15"/>
  <c r="H2623" i="15"/>
  <c r="I2623" i="15"/>
  <c r="J2623" i="15"/>
  <c r="H2624" i="15"/>
  <c r="I2624" i="15"/>
  <c r="J2624" i="15"/>
  <c r="H2625" i="15"/>
  <c r="I2625" i="15"/>
  <c r="J2625" i="15"/>
  <c r="H2626" i="15"/>
  <c r="I2626" i="15"/>
  <c r="J2626" i="15"/>
  <c r="H2627" i="15"/>
  <c r="I2627" i="15"/>
  <c r="J2627" i="15"/>
  <c r="H2628" i="15"/>
  <c r="I2628" i="15"/>
  <c r="J2628" i="15"/>
  <c r="H2629" i="15"/>
  <c r="I2629" i="15"/>
  <c r="J2629" i="15"/>
  <c r="H2630" i="15"/>
  <c r="I2630" i="15"/>
  <c r="J2630" i="15"/>
  <c r="H2631" i="15"/>
  <c r="I2631" i="15"/>
  <c r="J2631" i="15"/>
  <c r="H2632" i="15"/>
  <c r="I2632" i="15"/>
  <c r="J2632" i="15"/>
  <c r="H2633" i="15"/>
  <c r="I2633" i="15"/>
  <c r="J2633" i="15"/>
  <c r="H2634" i="15"/>
  <c r="I2634" i="15"/>
  <c r="J2634" i="15"/>
  <c r="H2635" i="15"/>
  <c r="I2635" i="15"/>
  <c r="J2635" i="15"/>
  <c r="H2636" i="15"/>
  <c r="I2636" i="15"/>
  <c r="J2636" i="15"/>
  <c r="H2637" i="15"/>
  <c r="I2637" i="15"/>
  <c r="J2637" i="15"/>
  <c r="H2638" i="15"/>
  <c r="I2638" i="15"/>
  <c r="J2638" i="15"/>
  <c r="H2639" i="15"/>
  <c r="I2639" i="15"/>
  <c r="J2639" i="15"/>
  <c r="H2640" i="15"/>
  <c r="I2640" i="15"/>
  <c r="J2640" i="15"/>
  <c r="H2641" i="15"/>
  <c r="I2641" i="15"/>
  <c r="J2641" i="15"/>
  <c r="H2642" i="15"/>
  <c r="I2642" i="15"/>
  <c r="J2642" i="15"/>
  <c r="H2643" i="15"/>
  <c r="I2643" i="15"/>
  <c r="J2643" i="15"/>
  <c r="H2644" i="15"/>
  <c r="I2644" i="15"/>
  <c r="J2644" i="15"/>
  <c r="H2645" i="15"/>
  <c r="I2645" i="15"/>
  <c r="J2645" i="15"/>
  <c r="H2646" i="15"/>
  <c r="I2646" i="15"/>
  <c r="J2646" i="15"/>
  <c r="H2647" i="15"/>
  <c r="I2647" i="15"/>
  <c r="J2647" i="15"/>
  <c r="H2648" i="15"/>
  <c r="I2648" i="15"/>
  <c r="J2648" i="15"/>
  <c r="H2649" i="15"/>
  <c r="I2649" i="15"/>
  <c r="J2649" i="15"/>
  <c r="H2650" i="15"/>
  <c r="I2650" i="15"/>
  <c r="J2650" i="15"/>
  <c r="H2651" i="15"/>
  <c r="I2651" i="15"/>
  <c r="J2651" i="15"/>
  <c r="H2652" i="15"/>
  <c r="I2652" i="15"/>
  <c r="J2652" i="15"/>
  <c r="H2653" i="15"/>
  <c r="I2653" i="15"/>
  <c r="J2653" i="15"/>
  <c r="H2654" i="15"/>
  <c r="I2654" i="15"/>
  <c r="J2654" i="15"/>
  <c r="H2655" i="15"/>
  <c r="I2655" i="15"/>
  <c r="J2655" i="15"/>
  <c r="H2656" i="15"/>
  <c r="I2656" i="15"/>
  <c r="J2656" i="15"/>
  <c r="H2657" i="15"/>
  <c r="I2657" i="15"/>
  <c r="J2657" i="15"/>
  <c r="H2658" i="15"/>
  <c r="I2658" i="15"/>
  <c r="J2658" i="15"/>
  <c r="H2659" i="15"/>
  <c r="I2659" i="15"/>
  <c r="J2659" i="15"/>
  <c r="H2660" i="15"/>
  <c r="I2660" i="15"/>
  <c r="J2660" i="15"/>
  <c r="H2661" i="15"/>
  <c r="I2661" i="15"/>
  <c r="J2661" i="15"/>
  <c r="H2662" i="15"/>
  <c r="I2662" i="15"/>
  <c r="J2662" i="15"/>
  <c r="H2663" i="15"/>
  <c r="I2663" i="15"/>
  <c r="J2663" i="15"/>
  <c r="H2664" i="15"/>
  <c r="I2664" i="15"/>
  <c r="J2664" i="15"/>
  <c r="H2665" i="15"/>
  <c r="I2665" i="15"/>
  <c r="J2665" i="15"/>
  <c r="H2666" i="15"/>
  <c r="I2666" i="15"/>
  <c r="J2666" i="15"/>
  <c r="H2667" i="15"/>
  <c r="I2667" i="15"/>
  <c r="J2667" i="15"/>
  <c r="H2668" i="15"/>
  <c r="I2668" i="15"/>
  <c r="J2668" i="15"/>
  <c r="H2669" i="15"/>
  <c r="I2669" i="15"/>
  <c r="J2669" i="15"/>
  <c r="H2670" i="15"/>
  <c r="I2670" i="15"/>
  <c r="J2670" i="15"/>
  <c r="H2671" i="15"/>
  <c r="I2671" i="15"/>
  <c r="J2671" i="15"/>
  <c r="H2672" i="15"/>
  <c r="I2672" i="15"/>
  <c r="J2672" i="15"/>
  <c r="H2673" i="15"/>
  <c r="I2673" i="15"/>
  <c r="J2673" i="15"/>
  <c r="H2674" i="15"/>
  <c r="I2674" i="15"/>
  <c r="J2674" i="15"/>
  <c r="H2675" i="15"/>
  <c r="I2675" i="15"/>
  <c r="J2675" i="15"/>
  <c r="H2676" i="15"/>
  <c r="I2676" i="15"/>
  <c r="J2676" i="15"/>
  <c r="H2677" i="15"/>
  <c r="I2677" i="15"/>
  <c r="J2677" i="15"/>
  <c r="H2678" i="15"/>
  <c r="I2678" i="15"/>
  <c r="J2678" i="15"/>
  <c r="H2679" i="15"/>
  <c r="I2679" i="15"/>
  <c r="J2679" i="15"/>
  <c r="H2680" i="15"/>
  <c r="I2680" i="15"/>
  <c r="J2680" i="15"/>
  <c r="H2681" i="15"/>
  <c r="I2681" i="15"/>
  <c r="J2681" i="15"/>
  <c r="H2682" i="15"/>
  <c r="I2682" i="15"/>
  <c r="J2682" i="15"/>
  <c r="H2683" i="15"/>
  <c r="I2683" i="15"/>
  <c r="J2683" i="15"/>
  <c r="H2684" i="15"/>
  <c r="I2684" i="15"/>
  <c r="J2684" i="15"/>
  <c r="H2685" i="15"/>
  <c r="I2685" i="15"/>
  <c r="J2685" i="15"/>
  <c r="H2686" i="15"/>
  <c r="I2686" i="15"/>
  <c r="J2686" i="15"/>
  <c r="H2687" i="15"/>
  <c r="I2687" i="15"/>
  <c r="J2687" i="15"/>
  <c r="H2688" i="15"/>
  <c r="I2688" i="15"/>
  <c r="J2688" i="15"/>
  <c r="H2689" i="15"/>
  <c r="I2689" i="15"/>
  <c r="J2689" i="15"/>
  <c r="H2690" i="15"/>
  <c r="I2690" i="15"/>
  <c r="J2690" i="15"/>
  <c r="H2691" i="15"/>
  <c r="I2691" i="15"/>
  <c r="J2691" i="15"/>
  <c r="H2692" i="15"/>
  <c r="I2692" i="15"/>
  <c r="J2692" i="15"/>
  <c r="H2693" i="15"/>
  <c r="I2693" i="15"/>
  <c r="J2693" i="15"/>
  <c r="H2694" i="15"/>
  <c r="I2694" i="15"/>
  <c r="J2694" i="15"/>
  <c r="H2695" i="15"/>
  <c r="I2695" i="15"/>
  <c r="J2695" i="15"/>
  <c r="H2696" i="15"/>
  <c r="I2696" i="15"/>
  <c r="J2696" i="15"/>
  <c r="H2697" i="15"/>
  <c r="I2697" i="15"/>
  <c r="J2697" i="15"/>
  <c r="H2698" i="15"/>
  <c r="I2698" i="15"/>
  <c r="J2698" i="15"/>
  <c r="H2699" i="15"/>
  <c r="I2699" i="15"/>
  <c r="J2699" i="15"/>
  <c r="H2700" i="15"/>
  <c r="I2700" i="15"/>
  <c r="J2700" i="15"/>
  <c r="H2701" i="15"/>
  <c r="I2701" i="15"/>
  <c r="J2701" i="15"/>
  <c r="H2702" i="15"/>
  <c r="I2702" i="15"/>
  <c r="J2702" i="15"/>
  <c r="H2703" i="15"/>
  <c r="I2703" i="15"/>
  <c r="J2703" i="15"/>
  <c r="H2704" i="15"/>
  <c r="I2704" i="15"/>
  <c r="J2704" i="15"/>
  <c r="H2705" i="15"/>
  <c r="I2705" i="15"/>
  <c r="J2705" i="15"/>
  <c r="H2706" i="15"/>
  <c r="I2706" i="15"/>
  <c r="J2706" i="15"/>
  <c r="H2707" i="15"/>
  <c r="I2707" i="15"/>
  <c r="J2707" i="15"/>
  <c r="H2708" i="15"/>
  <c r="I2708" i="15"/>
  <c r="J2708" i="15"/>
  <c r="H2709" i="15"/>
  <c r="I2709" i="15"/>
  <c r="J2709" i="15"/>
  <c r="H2710" i="15"/>
  <c r="I2710" i="15"/>
  <c r="J2710" i="15"/>
  <c r="H2711" i="15"/>
  <c r="I2711" i="15"/>
  <c r="J2711" i="15"/>
  <c r="H2712" i="15"/>
  <c r="I2712" i="15"/>
  <c r="J2712" i="15"/>
  <c r="H2713" i="15"/>
  <c r="I2713" i="15"/>
  <c r="J2713" i="15"/>
  <c r="H2714" i="15"/>
  <c r="I2714" i="15"/>
  <c r="J2714" i="15"/>
  <c r="H2715" i="15"/>
  <c r="I2715" i="15"/>
  <c r="J2715" i="15"/>
  <c r="H2716" i="15"/>
  <c r="I2716" i="15"/>
  <c r="J2716" i="15"/>
  <c r="H2717" i="15"/>
  <c r="I2717" i="15"/>
  <c r="J2717" i="15"/>
  <c r="H2718" i="15"/>
  <c r="I2718" i="15"/>
  <c r="J2718" i="15"/>
  <c r="H2719" i="15"/>
  <c r="I2719" i="15"/>
  <c r="J2719" i="15"/>
  <c r="H2720" i="15"/>
  <c r="I2720" i="15"/>
  <c r="J2720" i="15"/>
  <c r="H2721" i="15"/>
  <c r="I2721" i="15"/>
  <c r="J2721" i="15"/>
  <c r="H2722" i="15"/>
  <c r="I2722" i="15"/>
  <c r="J2722" i="15"/>
  <c r="H2723" i="15"/>
  <c r="I2723" i="15"/>
  <c r="J2723" i="15"/>
  <c r="H2724" i="15"/>
  <c r="I2724" i="15"/>
  <c r="J2724" i="15"/>
  <c r="H2725" i="15"/>
  <c r="I2725" i="15"/>
  <c r="J2725" i="15"/>
  <c r="H2726" i="15"/>
  <c r="I2726" i="15"/>
  <c r="J2726" i="15"/>
  <c r="H2727" i="15"/>
  <c r="I2727" i="15"/>
  <c r="J2727" i="15"/>
  <c r="H2728" i="15"/>
  <c r="I2728" i="15"/>
  <c r="J2728" i="15"/>
  <c r="H2729" i="15"/>
  <c r="I2729" i="15"/>
  <c r="J2729" i="15"/>
  <c r="H2730" i="15"/>
  <c r="I2730" i="15"/>
  <c r="J2730" i="15"/>
  <c r="H2731" i="15"/>
  <c r="I2731" i="15"/>
  <c r="J2731" i="15"/>
  <c r="H2732" i="15"/>
  <c r="I2732" i="15"/>
  <c r="J2732" i="15"/>
  <c r="H2733" i="15"/>
  <c r="I2733" i="15"/>
  <c r="J2733" i="15"/>
  <c r="H2734" i="15"/>
  <c r="I2734" i="15"/>
  <c r="J2734" i="15"/>
  <c r="H2735" i="15"/>
  <c r="I2735" i="15"/>
  <c r="J2735" i="15"/>
  <c r="H2736" i="15"/>
  <c r="I2736" i="15"/>
  <c r="J2736" i="15"/>
  <c r="H2737" i="15"/>
  <c r="I2737" i="15"/>
  <c r="J2737" i="15"/>
  <c r="H2738" i="15"/>
  <c r="I2738" i="15"/>
  <c r="J2738" i="15"/>
  <c r="H2739" i="15"/>
  <c r="I2739" i="15"/>
  <c r="J2739" i="15"/>
  <c r="H2740" i="15"/>
  <c r="I2740" i="15"/>
  <c r="J2740" i="15"/>
  <c r="H2741" i="15"/>
  <c r="I2741" i="15"/>
  <c r="J2741" i="15"/>
  <c r="H2742" i="15"/>
  <c r="I2742" i="15"/>
  <c r="J2742" i="15"/>
  <c r="H2743" i="15"/>
  <c r="I2743" i="15"/>
  <c r="J2743" i="15"/>
  <c r="H2744" i="15"/>
  <c r="I2744" i="15"/>
  <c r="J2744" i="15"/>
  <c r="H2745" i="15"/>
  <c r="I2745" i="15"/>
  <c r="J2745" i="15"/>
  <c r="H2746" i="15"/>
  <c r="I2746" i="15"/>
  <c r="J2746" i="15"/>
  <c r="H2747" i="15"/>
  <c r="I2747" i="15"/>
  <c r="J2747" i="15"/>
  <c r="H2748" i="15"/>
  <c r="I2748" i="15"/>
  <c r="J2748" i="15"/>
  <c r="H2749" i="15"/>
  <c r="I2749" i="15"/>
  <c r="J2749" i="15"/>
  <c r="H2750" i="15"/>
  <c r="I2750" i="15"/>
  <c r="J2750" i="15"/>
  <c r="H2751" i="15"/>
  <c r="I2751" i="15"/>
  <c r="J2751" i="15"/>
  <c r="H2752" i="15"/>
  <c r="I2752" i="15"/>
  <c r="J2752" i="15"/>
  <c r="H2753" i="15"/>
  <c r="I2753" i="15"/>
  <c r="J2753" i="15"/>
  <c r="H2754" i="15"/>
  <c r="I2754" i="15"/>
  <c r="J2754" i="15"/>
  <c r="H2755" i="15"/>
  <c r="I2755" i="15"/>
  <c r="J2755" i="15"/>
  <c r="H2756" i="15"/>
  <c r="I2756" i="15"/>
  <c r="J2756" i="15"/>
  <c r="H2757" i="15"/>
  <c r="I2757" i="15"/>
  <c r="J2757" i="15"/>
  <c r="H2758" i="15"/>
  <c r="I2758" i="15"/>
  <c r="J2758" i="15"/>
  <c r="H2759" i="15"/>
  <c r="I2759" i="15"/>
  <c r="J2759" i="15"/>
  <c r="H2760" i="15"/>
  <c r="I2760" i="15"/>
  <c r="J2760" i="15"/>
  <c r="H2761" i="15"/>
  <c r="I2761" i="15"/>
  <c r="J2761" i="15"/>
  <c r="H2762" i="15"/>
  <c r="I2762" i="15"/>
  <c r="J2762" i="15"/>
  <c r="H2763" i="15"/>
  <c r="I2763" i="15"/>
  <c r="J2763" i="15"/>
  <c r="H2764" i="15"/>
  <c r="I2764" i="15"/>
  <c r="J2764" i="15"/>
  <c r="H2765" i="15"/>
  <c r="I2765" i="15"/>
  <c r="J2765" i="15"/>
  <c r="H2766" i="15"/>
  <c r="I2766" i="15"/>
  <c r="J2766" i="15"/>
  <c r="H2767" i="15"/>
  <c r="I2767" i="15"/>
  <c r="J2767" i="15"/>
  <c r="H2768" i="15"/>
  <c r="I2768" i="15"/>
  <c r="J2768" i="15"/>
  <c r="H2769" i="15"/>
  <c r="I2769" i="15"/>
  <c r="J2769" i="15"/>
  <c r="H2770" i="15"/>
  <c r="I2770" i="15"/>
  <c r="J2770" i="15"/>
  <c r="H2771" i="15"/>
  <c r="I2771" i="15"/>
  <c r="J2771" i="15"/>
  <c r="H2772" i="15"/>
  <c r="I2772" i="15"/>
  <c r="J2772" i="15"/>
  <c r="H2773" i="15"/>
  <c r="I2773" i="15"/>
  <c r="J2773" i="15"/>
  <c r="H2774" i="15"/>
  <c r="I2774" i="15"/>
  <c r="J2774" i="15"/>
  <c r="H2775" i="15"/>
  <c r="I2775" i="15"/>
  <c r="J2775" i="15"/>
  <c r="H2776" i="15"/>
  <c r="I2776" i="15"/>
  <c r="J2776" i="15"/>
  <c r="H2777" i="15"/>
  <c r="I2777" i="15"/>
  <c r="J2777" i="15"/>
  <c r="H2778" i="15"/>
  <c r="I2778" i="15"/>
  <c r="J2778" i="15"/>
  <c r="H2779" i="15"/>
  <c r="I2779" i="15"/>
  <c r="J2779" i="15"/>
  <c r="H2780" i="15"/>
  <c r="I2780" i="15"/>
  <c r="J2780" i="15"/>
  <c r="H2781" i="15"/>
  <c r="I2781" i="15"/>
  <c r="J2781" i="15"/>
  <c r="H2782" i="15"/>
  <c r="I2782" i="15"/>
  <c r="J2782" i="15"/>
  <c r="H2783" i="15"/>
  <c r="I2783" i="15"/>
  <c r="J2783" i="15"/>
  <c r="H2784" i="15"/>
  <c r="I2784" i="15"/>
  <c r="J2784" i="15"/>
  <c r="H2785" i="15"/>
  <c r="I2785" i="15"/>
  <c r="J2785" i="15"/>
  <c r="H2786" i="15"/>
  <c r="I2786" i="15"/>
  <c r="J2786" i="15"/>
  <c r="H2787" i="15"/>
  <c r="I2787" i="15"/>
  <c r="J2787" i="15"/>
  <c r="H2788" i="15"/>
  <c r="I2788" i="15"/>
  <c r="J2788" i="15"/>
  <c r="H2789" i="15"/>
  <c r="I2789" i="15"/>
  <c r="J2789" i="15"/>
  <c r="H2790" i="15"/>
  <c r="I2790" i="15"/>
  <c r="J2790" i="15"/>
  <c r="H2791" i="15"/>
  <c r="I2791" i="15"/>
  <c r="J2791" i="15"/>
  <c r="H2792" i="15"/>
  <c r="I2792" i="15"/>
  <c r="J2792" i="15"/>
  <c r="H2793" i="15"/>
  <c r="I2793" i="15"/>
  <c r="J2793" i="15"/>
  <c r="H2794" i="15"/>
  <c r="I2794" i="15"/>
  <c r="J2794" i="15"/>
  <c r="H2795" i="15"/>
  <c r="I2795" i="15"/>
  <c r="J2795" i="15"/>
  <c r="H2796" i="15"/>
  <c r="I2796" i="15"/>
  <c r="J2796" i="15"/>
  <c r="H2797" i="15"/>
  <c r="I2797" i="15"/>
  <c r="J2797" i="15"/>
  <c r="H2798" i="15"/>
  <c r="I2798" i="15"/>
  <c r="J2798" i="15"/>
  <c r="H2799" i="15"/>
  <c r="I2799" i="15"/>
  <c r="J2799" i="15"/>
  <c r="H2800" i="15"/>
  <c r="I2800" i="15"/>
  <c r="J2800" i="15"/>
  <c r="H2801" i="15"/>
  <c r="I2801" i="15"/>
  <c r="J2801" i="15"/>
  <c r="H2802" i="15"/>
  <c r="I2802" i="15"/>
  <c r="J2802" i="15"/>
  <c r="H2803" i="15"/>
  <c r="I2803" i="15"/>
  <c r="J2803" i="15"/>
  <c r="H2804" i="15"/>
  <c r="I2804" i="15"/>
  <c r="J2804" i="15"/>
  <c r="H2805" i="15"/>
  <c r="I2805" i="15"/>
  <c r="J2805" i="15"/>
  <c r="H2806" i="15"/>
  <c r="I2806" i="15"/>
  <c r="J2806" i="15"/>
  <c r="H2807" i="15"/>
  <c r="I2807" i="15"/>
  <c r="J2807" i="15"/>
  <c r="H2808" i="15"/>
  <c r="I2808" i="15"/>
  <c r="J2808" i="15"/>
  <c r="H2809" i="15"/>
  <c r="I2809" i="15"/>
  <c r="J2809" i="15"/>
  <c r="H2810" i="15"/>
  <c r="I2810" i="15"/>
  <c r="J2810" i="15"/>
  <c r="H2811" i="15"/>
  <c r="I2811" i="15"/>
  <c r="J2811" i="15"/>
  <c r="H2812" i="15"/>
  <c r="I2812" i="15"/>
  <c r="J2812" i="15"/>
  <c r="H2813" i="15"/>
  <c r="I2813" i="15"/>
  <c r="J2813" i="15"/>
  <c r="H2814" i="15"/>
  <c r="I2814" i="15"/>
  <c r="J2814" i="15"/>
  <c r="H2815" i="15"/>
  <c r="I2815" i="15"/>
  <c r="J2815" i="15"/>
  <c r="H2816" i="15"/>
  <c r="I2816" i="15"/>
  <c r="J2816" i="15"/>
  <c r="H2817" i="15"/>
  <c r="I2817" i="15"/>
  <c r="J2817" i="15"/>
  <c r="H2818" i="15"/>
  <c r="I2818" i="15"/>
  <c r="J2818" i="15"/>
  <c r="H2819" i="15"/>
  <c r="I2819" i="15"/>
  <c r="J2819" i="15"/>
  <c r="H2820" i="15"/>
  <c r="I2820" i="15"/>
  <c r="J2820" i="15"/>
  <c r="H2821" i="15"/>
  <c r="I2821" i="15"/>
  <c r="J2821" i="15"/>
  <c r="H2822" i="15"/>
  <c r="I2822" i="15"/>
  <c r="J2822" i="15"/>
  <c r="H2823" i="15"/>
  <c r="I2823" i="15"/>
  <c r="J2823" i="15"/>
  <c r="H2824" i="15"/>
  <c r="I2824" i="15"/>
  <c r="J2824" i="15"/>
  <c r="H2825" i="15"/>
  <c r="I2825" i="15"/>
  <c r="J2825" i="15"/>
  <c r="H2826" i="15"/>
  <c r="I2826" i="15"/>
  <c r="J2826" i="15"/>
  <c r="H2827" i="15"/>
  <c r="I2827" i="15"/>
  <c r="J2827" i="15"/>
  <c r="H2828" i="15"/>
  <c r="I2828" i="15"/>
  <c r="J2828" i="15"/>
  <c r="H2829" i="15"/>
  <c r="I2829" i="15"/>
  <c r="J2829" i="15"/>
  <c r="H2830" i="15"/>
  <c r="I2830" i="15"/>
  <c r="J2830" i="15"/>
  <c r="H2831" i="15"/>
  <c r="I2831" i="15"/>
  <c r="J2831" i="15"/>
  <c r="H2832" i="15"/>
  <c r="I2832" i="15"/>
  <c r="J2832" i="15"/>
  <c r="H2833" i="15"/>
  <c r="I2833" i="15"/>
  <c r="J2833" i="15"/>
  <c r="H2834" i="15"/>
  <c r="I2834" i="15"/>
  <c r="J2834" i="15"/>
  <c r="H2835" i="15"/>
  <c r="I2835" i="15"/>
  <c r="J2835" i="15"/>
  <c r="H2836" i="15"/>
  <c r="I2836" i="15"/>
  <c r="J2836" i="15"/>
  <c r="H2837" i="15"/>
  <c r="I2837" i="15"/>
  <c r="J2837" i="15"/>
  <c r="H2838" i="15"/>
  <c r="I2838" i="15"/>
  <c r="J2838" i="15"/>
  <c r="H2839" i="15"/>
  <c r="I2839" i="15"/>
  <c r="J2839" i="15"/>
  <c r="H2840" i="15"/>
  <c r="I2840" i="15"/>
  <c r="J2840" i="15"/>
  <c r="H2841" i="15"/>
  <c r="I2841" i="15"/>
  <c r="J2841" i="15"/>
  <c r="H2842" i="15"/>
  <c r="I2842" i="15"/>
  <c r="J2842" i="15"/>
  <c r="H2843" i="15"/>
  <c r="I2843" i="15"/>
  <c r="J2843" i="15"/>
  <c r="H2844" i="15"/>
  <c r="I2844" i="15"/>
  <c r="J2844" i="15"/>
  <c r="H2845" i="15"/>
  <c r="I2845" i="15"/>
  <c r="J2845" i="15"/>
  <c r="H2846" i="15"/>
  <c r="I2846" i="15"/>
  <c r="J2846" i="15"/>
  <c r="H2847" i="15"/>
  <c r="I2847" i="15"/>
  <c r="J2847" i="15"/>
  <c r="H2848" i="15"/>
  <c r="I2848" i="15"/>
  <c r="J2848" i="15"/>
  <c r="H2849" i="15"/>
  <c r="I2849" i="15"/>
  <c r="J2849" i="15"/>
  <c r="H2850" i="15"/>
  <c r="I2850" i="15"/>
  <c r="J2850" i="15"/>
  <c r="H2851" i="15"/>
  <c r="I2851" i="15"/>
  <c r="J2851" i="15"/>
  <c r="H2852" i="15"/>
  <c r="I2852" i="15"/>
  <c r="J2852" i="15"/>
  <c r="H2853" i="15"/>
  <c r="I2853" i="15"/>
  <c r="J2853" i="15"/>
  <c r="H2854" i="15"/>
  <c r="I2854" i="15"/>
  <c r="J2854" i="15"/>
  <c r="H2855" i="15"/>
  <c r="I2855" i="15"/>
  <c r="J2855" i="15"/>
  <c r="H2856" i="15"/>
  <c r="I2856" i="15"/>
  <c r="J2856" i="15"/>
  <c r="H2857" i="15"/>
  <c r="I2857" i="15"/>
  <c r="J2857" i="15"/>
  <c r="H2858" i="15"/>
  <c r="I2858" i="15"/>
  <c r="J2858" i="15"/>
  <c r="H2859" i="15"/>
  <c r="I2859" i="15"/>
  <c r="J2859" i="15"/>
  <c r="H2860" i="15"/>
  <c r="I2860" i="15"/>
  <c r="J2860" i="15"/>
  <c r="H2861" i="15"/>
  <c r="I2861" i="15"/>
  <c r="J2861" i="15"/>
  <c r="H2862" i="15"/>
  <c r="I2862" i="15"/>
  <c r="J2862" i="15"/>
  <c r="H2863" i="15"/>
  <c r="I2863" i="15"/>
  <c r="J2863" i="15"/>
  <c r="H2864" i="15"/>
  <c r="I2864" i="15"/>
  <c r="J2864" i="15"/>
  <c r="H2865" i="15"/>
  <c r="I2865" i="15"/>
  <c r="J2865" i="15"/>
  <c r="H2866" i="15"/>
  <c r="I2866" i="15"/>
  <c r="J2866" i="15"/>
  <c r="H2867" i="15"/>
  <c r="I2867" i="15"/>
  <c r="J2867" i="15"/>
  <c r="H2868" i="15"/>
  <c r="I2868" i="15"/>
  <c r="J2868" i="15"/>
  <c r="H2869" i="15"/>
  <c r="I2869" i="15"/>
  <c r="J2869" i="15"/>
  <c r="H2870" i="15"/>
  <c r="I2870" i="15"/>
  <c r="J2870" i="15"/>
  <c r="H2871" i="15"/>
  <c r="I2871" i="15"/>
  <c r="J2871" i="15"/>
  <c r="H2872" i="15"/>
  <c r="I2872" i="15"/>
  <c r="J2872" i="15"/>
  <c r="H2873" i="15"/>
  <c r="I2873" i="15"/>
  <c r="J2873" i="15"/>
  <c r="H2874" i="15"/>
  <c r="I2874" i="15"/>
  <c r="J2874" i="15"/>
  <c r="H2875" i="15"/>
  <c r="I2875" i="15"/>
  <c r="J2875" i="15"/>
  <c r="H2876" i="15"/>
  <c r="I2876" i="15"/>
  <c r="J2876" i="15"/>
  <c r="H2877" i="15"/>
  <c r="I2877" i="15"/>
  <c r="J2877" i="15"/>
  <c r="H2878" i="15"/>
  <c r="I2878" i="15"/>
  <c r="J2878" i="15"/>
  <c r="H2879" i="15"/>
  <c r="I2879" i="15"/>
  <c r="J2879" i="15"/>
  <c r="H2880" i="15"/>
  <c r="I2880" i="15"/>
  <c r="J2880" i="15"/>
  <c r="H2881" i="15"/>
  <c r="I2881" i="15"/>
  <c r="J2881" i="15"/>
  <c r="H2882" i="15"/>
  <c r="I2882" i="15"/>
  <c r="J2882" i="15"/>
  <c r="H2883" i="15"/>
  <c r="I2883" i="15"/>
  <c r="J2883" i="15"/>
  <c r="H2884" i="15"/>
  <c r="I2884" i="15"/>
  <c r="J2884" i="15"/>
  <c r="H2885" i="15"/>
  <c r="I2885" i="15"/>
  <c r="J2885" i="15"/>
  <c r="H2886" i="15"/>
  <c r="I2886" i="15"/>
  <c r="J2886" i="15"/>
  <c r="H2887" i="15"/>
  <c r="I2887" i="15"/>
  <c r="J2887" i="15"/>
  <c r="H2888" i="15"/>
  <c r="I2888" i="15"/>
  <c r="J2888" i="15"/>
  <c r="H2889" i="15"/>
  <c r="I2889" i="15"/>
  <c r="J2889" i="15"/>
  <c r="H2890" i="15"/>
  <c r="I2890" i="15"/>
  <c r="J2890" i="15"/>
  <c r="H2891" i="15"/>
  <c r="I2891" i="15"/>
  <c r="J2891" i="15"/>
  <c r="H2892" i="15"/>
  <c r="I2892" i="15"/>
  <c r="J2892" i="15"/>
  <c r="H2893" i="15"/>
  <c r="I2893" i="15"/>
  <c r="J2893" i="15"/>
  <c r="H2894" i="15"/>
  <c r="I2894" i="15"/>
  <c r="J2894" i="15"/>
  <c r="H2895" i="15"/>
  <c r="I2895" i="15"/>
  <c r="J2895" i="15"/>
  <c r="H2896" i="15"/>
  <c r="I2896" i="15"/>
  <c r="J2896" i="15"/>
  <c r="H2897" i="15"/>
  <c r="I2897" i="15"/>
  <c r="J2897" i="15"/>
  <c r="H2898" i="15"/>
  <c r="I2898" i="15"/>
  <c r="J2898" i="15"/>
  <c r="H2899" i="15"/>
  <c r="I2899" i="15"/>
  <c r="J2899" i="15"/>
  <c r="H2900" i="15"/>
  <c r="I2900" i="15"/>
  <c r="J2900" i="15"/>
  <c r="H2901" i="15"/>
  <c r="I2901" i="15"/>
  <c r="J2901" i="15"/>
  <c r="H2902" i="15"/>
  <c r="I2902" i="15"/>
  <c r="J2902" i="15"/>
  <c r="H2903" i="15"/>
  <c r="I2903" i="15"/>
  <c r="J2903" i="15"/>
  <c r="H2904" i="15"/>
  <c r="I2904" i="15"/>
  <c r="J2904" i="15"/>
  <c r="H2905" i="15"/>
  <c r="I2905" i="15"/>
  <c r="J2905" i="15"/>
  <c r="H2906" i="15"/>
  <c r="I2906" i="15"/>
  <c r="J2906" i="15"/>
  <c r="H2907" i="15"/>
  <c r="I2907" i="15"/>
  <c r="J2907" i="15"/>
  <c r="H2908" i="15"/>
  <c r="I2908" i="15"/>
  <c r="J2908" i="15"/>
  <c r="H2909" i="15"/>
  <c r="I2909" i="15"/>
  <c r="J2909" i="15"/>
  <c r="H2910" i="15"/>
  <c r="I2910" i="15"/>
  <c r="J2910" i="15"/>
  <c r="H2911" i="15"/>
  <c r="I2911" i="15"/>
  <c r="J2911" i="15"/>
  <c r="H2912" i="15"/>
  <c r="I2912" i="15"/>
  <c r="J2912" i="15"/>
  <c r="H2913" i="15"/>
  <c r="I2913" i="15"/>
  <c r="J2913" i="15"/>
  <c r="H2914" i="15"/>
  <c r="I2914" i="15"/>
  <c r="J2914" i="15"/>
  <c r="H2915" i="15"/>
  <c r="I2915" i="15"/>
  <c r="J2915" i="15"/>
  <c r="H2916" i="15"/>
  <c r="I2916" i="15"/>
  <c r="J2916" i="15"/>
  <c r="H2917" i="15"/>
  <c r="I2917" i="15"/>
  <c r="J2917" i="15"/>
  <c r="H2918" i="15"/>
  <c r="I2918" i="15"/>
  <c r="J2918" i="15"/>
  <c r="H2919" i="15"/>
  <c r="I2919" i="15"/>
  <c r="J2919" i="15"/>
  <c r="H2920" i="15"/>
  <c r="I2920" i="15"/>
  <c r="J2920" i="15"/>
  <c r="H2921" i="15"/>
  <c r="I2921" i="15"/>
  <c r="J2921" i="15"/>
  <c r="H2922" i="15"/>
  <c r="I2922" i="15"/>
  <c r="J2922" i="15"/>
  <c r="H2923" i="15"/>
  <c r="I2923" i="15"/>
  <c r="J2923" i="15"/>
  <c r="H2924" i="15"/>
  <c r="I2924" i="15"/>
  <c r="J2924" i="15"/>
  <c r="H2925" i="15"/>
  <c r="I2925" i="15"/>
  <c r="J2925" i="15"/>
  <c r="H2926" i="15"/>
  <c r="I2926" i="15"/>
  <c r="J2926" i="15"/>
  <c r="H2927" i="15"/>
  <c r="I2927" i="15"/>
  <c r="J2927" i="15"/>
  <c r="H2928" i="15"/>
  <c r="I2928" i="15"/>
  <c r="J2928" i="15"/>
  <c r="H2929" i="15"/>
  <c r="I2929" i="15"/>
  <c r="J2929" i="15"/>
  <c r="H2930" i="15"/>
  <c r="I2930" i="15"/>
  <c r="J2930" i="15"/>
  <c r="H2931" i="15"/>
  <c r="I2931" i="15"/>
  <c r="J2931" i="15"/>
  <c r="H2932" i="15"/>
  <c r="I2932" i="15"/>
  <c r="J2932" i="15"/>
  <c r="H2933" i="15"/>
  <c r="I2933" i="15"/>
  <c r="J2933" i="15"/>
  <c r="H2934" i="15"/>
  <c r="I2934" i="15"/>
  <c r="J2934" i="15"/>
  <c r="H2935" i="15"/>
  <c r="I2935" i="15"/>
  <c r="J2935" i="15"/>
  <c r="H2936" i="15"/>
  <c r="I2936" i="15"/>
  <c r="J2936" i="15"/>
  <c r="H2937" i="15"/>
  <c r="I2937" i="15"/>
  <c r="J2937" i="15"/>
  <c r="H2938" i="15"/>
  <c r="I2938" i="15"/>
  <c r="J2938" i="15"/>
  <c r="H2939" i="15"/>
  <c r="I2939" i="15"/>
  <c r="J2939" i="15"/>
  <c r="H2940" i="15"/>
  <c r="I2940" i="15"/>
  <c r="J2940" i="15"/>
  <c r="H2941" i="15"/>
  <c r="I2941" i="15"/>
  <c r="J2941" i="15"/>
  <c r="H2942" i="15"/>
  <c r="I2942" i="15"/>
  <c r="J2942" i="15"/>
  <c r="H2943" i="15"/>
  <c r="I2943" i="15"/>
  <c r="J2943" i="15"/>
  <c r="H2944" i="15"/>
  <c r="I2944" i="15"/>
  <c r="J2944" i="15"/>
  <c r="H2945" i="15"/>
  <c r="I2945" i="15"/>
  <c r="J2945" i="15"/>
  <c r="H2946" i="15"/>
  <c r="I2946" i="15"/>
  <c r="J2946" i="15"/>
  <c r="H2947" i="15"/>
  <c r="I2947" i="15"/>
  <c r="J2947" i="15"/>
  <c r="H2948" i="15"/>
  <c r="I2948" i="15"/>
  <c r="J2948" i="15"/>
  <c r="H2949" i="15"/>
  <c r="I2949" i="15"/>
  <c r="J2949" i="15"/>
  <c r="H2950" i="15"/>
  <c r="I2950" i="15"/>
  <c r="J2950" i="15"/>
  <c r="H2951" i="15"/>
  <c r="I2951" i="15"/>
  <c r="J2951" i="15"/>
  <c r="H2952" i="15"/>
  <c r="I2952" i="15"/>
  <c r="J2952" i="15"/>
  <c r="H2953" i="15"/>
  <c r="I2953" i="15"/>
  <c r="J2953" i="15"/>
  <c r="H2954" i="15"/>
  <c r="I2954" i="15"/>
  <c r="J2954" i="15"/>
  <c r="H2955" i="15"/>
  <c r="I2955" i="15"/>
  <c r="J2955" i="15"/>
  <c r="H2956" i="15"/>
  <c r="I2956" i="15"/>
  <c r="J2956" i="15"/>
  <c r="H2957" i="15"/>
  <c r="I2957" i="15"/>
  <c r="J2957" i="15"/>
  <c r="H2958" i="15"/>
  <c r="I2958" i="15"/>
  <c r="J2958" i="15"/>
  <c r="H2959" i="15"/>
  <c r="I2959" i="15"/>
  <c r="J2959" i="15"/>
  <c r="H2960" i="15"/>
  <c r="I2960" i="15"/>
  <c r="J2960" i="15"/>
  <c r="H2961" i="15"/>
  <c r="I2961" i="15"/>
  <c r="J2961" i="15"/>
  <c r="H2962" i="15"/>
  <c r="I2962" i="15"/>
  <c r="J2962" i="15"/>
  <c r="H2963" i="15"/>
  <c r="I2963" i="15"/>
  <c r="J2963" i="15"/>
  <c r="H2964" i="15"/>
  <c r="I2964" i="15"/>
  <c r="J2964" i="15"/>
  <c r="H2965" i="15"/>
  <c r="I2965" i="15"/>
  <c r="J2965" i="15"/>
  <c r="H2966" i="15"/>
  <c r="I2966" i="15"/>
  <c r="J2966" i="15"/>
  <c r="H2967" i="15"/>
  <c r="I2967" i="15"/>
  <c r="J2967" i="15"/>
  <c r="H2968" i="15"/>
  <c r="I2968" i="15"/>
  <c r="J2968" i="15"/>
  <c r="H2969" i="15"/>
  <c r="I2969" i="15"/>
  <c r="J2969" i="15"/>
  <c r="H2970" i="15"/>
  <c r="I2970" i="15"/>
  <c r="J2970" i="15"/>
  <c r="H2971" i="15"/>
  <c r="I2971" i="15"/>
  <c r="J2971" i="15"/>
  <c r="H2972" i="15"/>
  <c r="I2972" i="15"/>
  <c r="J2972" i="15"/>
  <c r="H2973" i="15"/>
  <c r="I2973" i="15"/>
  <c r="J2973" i="15"/>
  <c r="H2974" i="15"/>
  <c r="I2974" i="15"/>
  <c r="J2974" i="15"/>
  <c r="H2975" i="15"/>
  <c r="I2975" i="15"/>
  <c r="J2975" i="15"/>
  <c r="H2976" i="15"/>
  <c r="I2976" i="15"/>
  <c r="J2976" i="15"/>
  <c r="H2977" i="15"/>
  <c r="I2977" i="15"/>
  <c r="J2977" i="15"/>
  <c r="H2978" i="15"/>
  <c r="I2978" i="15"/>
  <c r="J2978" i="15"/>
  <c r="H2979" i="15"/>
  <c r="I2979" i="15"/>
  <c r="J2979" i="15"/>
  <c r="H2980" i="15"/>
  <c r="I2980" i="15"/>
  <c r="J2980" i="15"/>
  <c r="H2981" i="15"/>
  <c r="I2981" i="15"/>
  <c r="J2981" i="15"/>
  <c r="H2982" i="15"/>
  <c r="I2982" i="15"/>
  <c r="J2982" i="15"/>
  <c r="H2983" i="15"/>
  <c r="I2983" i="15"/>
  <c r="J2983" i="15"/>
  <c r="H2984" i="15"/>
  <c r="I2984" i="15"/>
  <c r="J2984" i="15"/>
  <c r="H2985" i="15"/>
  <c r="I2985" i="15"/>
  <c r="J2985" i="15"/>
  <c r="H2986" i="15"/>
  <c r="I2986" i="15"/>
  <c r="J2986" i="15"/>
  <c r="H2987" i="15"/>
  <c r="I2987" i="15"/>
  <c r="J2987" i="15"/>
  <c r="H2988" i="15"/>
  <c r="I2988" i="15"/>
  <c r="J2988" i="15"/>
  <c r="H2989" i="15"/>
  <c r="I2989" i="15"/>
  <c r="J2989" i="15"/>
  <c r="H2990" i="15"/>
  <c r="I2990" i="15"/>
  <c r="J2990" i="15"/>
  <c r="H2991" i="15"/>
  <c r="I2991" i="15"/>
  <c r="J2991" i="15"/>
  <c r="H2992" i="15"/>
  <c r="I2992" i="15"/>
  <c r="J2992" i="15"/>
  <c r="H2993" i="15"/>
  <c r="I2993" i="15"/>
  <c r="J2993" i="15"/>
  <c r="H2994" i="15"/>
  <c r="I2994" i="15"/>
  <c r="J2994" i="15"/>
  <c r="H2995" i="15"/>
  <c r="I2995" i="15"/>
  <c r="J2995" i="15"/>
  <c r="H2996" i="15"/>
  <c r="I2996" i="15"/>
  <c r="J2996" i="15"/>
  <c r="H2997" i="15"/>
  <c r="I2997" i="15"/>
  <c r="J2997" i="15"/>
  <c r="H2998" i="15"/>
  <c r="I2998" i="15"/>
  <c r="J2998" i="15"/>
  <c r="H2999" i="15"/>
  <c r="I2999" i="15"/>
  <c r="J2999" i="15"/>
  <c r="H3000" i="15"/>
  <c r="I3000" i="15"/>
  <c r="J3000" i="15"/>
  <c r="H3001" i="15"/>
  <c r="I3001" i="15"/>
  <c r="J3001" i="15"/>
  <c r="H3002" i="15"/>
  <c r="I3002" i="15"/>
  <c r="J3002" i="15"/>
  <c r="H3003" i="15"/>
  <c r="I3003" i="15"/>
  <c r="J3003" i="15"/>
  <c r="H3004" i="15"/>
  <c r="I3004" i="15"/>
  <c r="J3004" i="15"/>
  <c r="H3005" i="15"/>
  <c r="I3005" i="15"/>
  <c r="J3005" i="15"/>
  <c r="H3006" i="15"/>
  <c r="I3006" i="15"/>
  <c r="J3006" i="15"/>
  <c r="H3007" i="15"/>
  <c r="I3007" i="15"/>
  <c r="J3007" i="15"/>
  <c r="H3008" i="15"/>
  <c r="I3008" i="15"/>
  <c r="J3008" i="15"/>
  <c r="H3009" i="15"/>
  <c r="I3009" i="15"/>
  <c r="J3009" i="15"/>
  <c r="H3010" i="15"/>
  <c r="I3010" i="15"/>
  <c r="J3010" i="15"/>
  <c r="H3011" i="15"/>
  <c r="I3011" i="15"/>
  <c r="J3011" i="15"/>
  <c r="H3012" i="15"/>
  <c r="I3012" i="15"/>
  <c r="J3012" i="15"/>
  <c r="H3013" i="15"/>
  <c r="I3013" i="15"/>
  <c r="J3013" i="15"/>
  <c r="H3014" i="15"/>
  <c r="I3014" i="15"/>
  <c r="J3014" i="15"/>
  <c r="H3015" i="15"/>
  <c r="I3015" i="15"/>
  <c r="J3015" i="15"/>
  <c r="H3016" i="15"/>
  <c r="I3016" i="15"/>
  <c r="J3016" i="15"/>
  <c r="H3017" i="15"/>
  <c r="I3017" i="15"/>
  <c r="J3017" i="15"/>
  <c r="H3018" i="15"/>
  <c r="I3018" i="15"/>
  <c r="J3018" i="15"/>
  <c r="H3019" i="15"/>
  <c r="I3019" i="15"/>
  <c r="J3019" i="15"/>
  <c r="H3020" i="15"/>
  <c r="I3020" i="15"/>
  <c r="J3020" i="15"/>
  <c r="H3021" i="15"/>
  <c r="I3021" i="15"/>
  <c r="J3021" i="15"/>
  <c r="H3022" i="15"/>
  <c r="I3022" i="15"/>
  <c r="J3022" i="15"/>
  <c r="H3023" i="15"/>
  <c r="I3023" i="15"/>
  <c r="J3023" i="15"/>
  <c r="H3024" i="15"/>
  <c r="I3024" i="15"/>
  <c r="J3024" i="15"/>
  <c r="H3025" i="15"/>
  <c r="I3025" i="15"/>
  <c r="J3025" i="15"/>
  <c r="H3026" i="15"/>
  <c r="I3026" i="15"/>
  <c r="J3026" i="15"/>
  <c r="H3027" i="15"/>
  <c r="I3027" i="15"/>
  <c r="J3027" i="15"/>
  <c r="H3028" i="15"/>
  <c r="I3028" i="15"/>
  <c r="J3028" i="15"/>
  <c r="H3029" i="15"/>
  <c r="I3029" i="15"/>
  <c r="J3029" i="15"/>
  <c r="H3030" i="15"/>
  <c r="I3030" i="15"/>
  <c r="J3030" i="15"/>
  <c r="H3031" i="15"/>
  <c r="I3031" i="15"/>
  <c r="J3031" i="15"/>
  <c r="H3032" i="15"/>
  <c r="I3032" i="15"/>
  <c r="J3032" i="15"/>
  <c r="H3033" i="15"/>
  <c r="I3033" i="15"/>
  <c r="J3033" i="15"/>
  <c r="H3034" i="15"/>
  <c r="I3034" i="15"/>
  <c r="J3034" i="15"/>
  <c r="H3035" i="15"/>
  <c r="I3035" i="15"/>
  <c r="J3035" i="15"/>
  <c r="H3036" i="15"/>
  <c r="I3036" i="15"/>
  <c r="J3036" i="15"/>
  <c r="H3037" i="15"/>
  <c r="I3037" i="15"/>
  <c r="J3037" i="15"/>
  <c r="H3038" i="15"/>
  <c r="I3038" i="15"/>
  <c r="J3038" i="15"/>
  <c r="H3039" i="15"/>
  <c r="I3039" i="15"/>
  <c r="J3039" i="15"/>
  <c r="H3040" i="15"/>
  <c r="I3040" i="15"/>
  <c r="J3040" i="15"/>
  <c r="H3041" i="15"/>
  <c r="I3041" i="15"/>
  <c r="J3041" i="15"/>
  <c r="H3042" i="15"/>
  <c r="I3042" i="15"/>
  <c r="J3042" i="15"/>
  <c r="H3043" i="15"/>
  <c r="I3043" i="15"/>
  <c r="J3043" i="15"/>
  <c r="H3044" i="15"/>
  <c r="I3044" i="15"/>
  <c r="J3044" i="15"/>
  <c r="H3045" i="15"/>
  <c r="I3045" i="15"/>
  <c r="J3045" i="15"/>
  <c r="H3046" i="15"/>
  <c r="I3046" i="15"/>
  <c r="J3046" i="15"/>
  <c r="H3047" i="15"/>
  <c r="I3047" i="15"/>
  <c r="J3047" i="15"/>
  <c r="H3048" i="15"/>
  <c r="I3048" i="15"/>
  <c r="J3048" i="15"/>
  <c r="H3049" i="15"/>
  <c r="I3049" i="15"/>
  <c r="J3049" i="15"/>
  <c r="H3050" i="15"/>
  <c r="I3050" i="15"/>
  <c r="J3050" i="15"/>
  <c r="H3051" i="15"/>
  <c r="I3051" i="15"/>
  <c r="J3051" i="15"/>
  <c r="H3052" i="15"/>
  <c r="I3052" i="15"/>
  <c r="J3052" i="15"/>
  <c r="H3053" i="15"/>
  <c r="I3053" i="15"/>
  <c r="J3053" i="15"/>
  <c r="H3054" i="15"/>
  <c r="I3054" i="15"/>
  <c r="J3054" i="15"/>
  <c r="H3055" i="15"/>
  <c r="I3055" i="15"/>
  <c r="J3055" i="15"/>
  <c r="H3056" i="15"/>
  <c r="I3056" i="15"/>
  <c r="J3056" i="15"/>
  <c r="H3057" i="15"/>
  <c r="I3057" i="15"/>
  <c r="J3057" i="15"/>
  <c r="H3058" i="15"/>
  <c r="I3058" i="15"/>
  <c r="J3058" i="15"/>
  <c r="H3059" i="15"/>
  <c r="I3059" i="15"/>
  <c r="J3059" i="15"/>
  <c r="H3060" i="15"/>
  <c r="I3060" i="15"/>
  <c r="J3060" i="15"/>
  <c r="H3061" i="15"/>
  <c r="I3061" i="15"/>
  <c r="J3061" i="15"/>
  <c r="H3062" i="15"/>
  <c r="I3062" i="15"/>
  <c r="J3062" i="15"/>
  <c r="H3063" i="15"/>
  <c r="I3063" i="15"/>
  <c r="J3063" i="15"/>
  <c r="H3064" i="15"/>
  <c r="I3064" i="15"/>
  <c r="J3064" i="15"/>
  <c r="H3065" i="15"/>
  <c r="I3065" i="15"/>
  <c r="J3065" i="15"/>
  <c r="H3066" i="15"/>
  <c r="I3066" i="15"/>
  <c r="J3066" i="15"/>
  <c r="H3067" i="15"/>
  <c r="I3067" i="15"/>
  <c r="J3067" i="15"/>
  <c r="H3068" i="15"/>
  <c r="I3068" i="15"/>
  <c r="J3068" i="15"/>
  <c r="H3069" i="15"/>
  <c r="I3069" i="15"/>
  <c r="J3069" i="15"/>
  <c r="H3070" i="15"/>
  <c r="I3070" i="15"/>
  <c r="J3070" i="15"/>
  <c r="H3071" i="15"/>
  <c r="I3071" i="15"/>
  <c r="J3071" i="15"/>
  <c r="H3072" i="15"/>
  <c r="I3072" i="15"/>
  <c r="J3072" i="15"/>
  <c r="H3073" i="15"/>
  <c r="I3073" i="15"/>
  <c r="J3073" i="15"/>
  <c r="H3074" i="15"/>
  <c r="I3074" i="15"/>
  <c r="J3074" i="15"/>
  <c r="H3075" i="15"/>
  <c r="I3075" i="15"/>
  <c r="J3075" i="15"/>
  <c r="H3076" i="15"/>
  <c r="I3076" i="15"/>
  <c r="J3076" i="15"/>
  <c r="H3077" i="15"/>
  <c r="I3077" i="15"/>
  <c r="J3077" i="15"/>
  <c r="H3078" i="15"/>
  <c r="I3078" i="15"/>
  <c r="J3078" i="15"/>
  <c r="H3079" i="15"/>
  <c r="I3079" i="15"/>
  <c r="J3079" i="15"/>
  <c r="H3080" i="15"/>
  <c r="I3080" i="15"/>
  <c r="J3080" i="15"/>
  <c r="H3081" i="15"/>
  <c r="I3081" i="15"/>
  <c r="J3081" i="15"/>
  <c r="H3082" i="15"/>
  <c r="I3082" i="15"/>
  <c r="J3082" i="15"/>
  <c r="H3083" i="15"/>
  <c r="I3083" i="15"/>
  <c r="J3083" i="15"/>
  <c r="H3084" i="15"/>
  <c r="I3084" i="15"/>
  <c r="J3084" i="15"/>
  <c r="H3085" i="15"/>
  <c r="I3085" i="15"/>
  <c r="J3085" i="15"/>
  <c r="H3086" i="15"/>
  <c r="I3086" i="15"/>
  <c r="J3086" i="15"/>
  <c r="H3087" i="15"/>
  <c r="I3087" i="15"/>
  <c r="J3087" i="15"/>
  <c r="H3088" i="15"/>
  <c r="I3088" i="15"/>
  <c r="J3088" i="15"/>
  <c r="H3089" i="15"/>
  <c r="I3089" i="15"/>
  <c r="J3089" i="15"/>
  <c r="H3090" i="15"/>
  <c r="I3090" i="15"/>
  <c r="J3090" i="15"/>
  <c r="H3091" i="15"/>
  <c r="I3091" i="15"/>
  <c r="J3091" i="15"/>
  <c r="H3092" i="15"/>
  <c r="I3092" i="15"/>
  <c r="J3092" i="15"/>
  <c r="H3093" i="15"/>
  <c r="I3093" i="15"/>
  <c r="J3093" i="15"/>
  <c r="H3094" i="15"/>
  <c r="I3094" i="15"/>
  <c r="J3094" i="15"/>
  <c r="H3095" i="15"/>
  <c r="I3095" i="15"/>
  <c r="J3095" i="15"/>
  <c r="H3096" i="15"/>
  <c r="I3096" i="15"/>
  <c r="J3096" i="15"/>
  <c r="H3097" i="15"/>
  <c r="I3097" i="15"/>
  <c r="J3097" i="15"/>
  <c r="H3098" i="15"/>
  <c r="I3098" i="15"/>
  <c r="J3098" i="15"/>
  <c r="H3099" i="15"/>
  <c r="I3099" i="15"/>
  <c r="J3099" i="15"/>
  <c r="H3100" i="15"/>
  <c r="I3100" i="15"/>
  <c r="J3100" i="15"/>
  <c r="H3101" i="15"/>
  <c r="I3101" i="15"/>
  <c r="J3101" i="15"/>
  <c r="H3102" i="15"/>
  <c r="I3102" i="15"/>
  <c r="J3102" i="15"/>
  <c r="H3103" i="15"/>
  <c r="I3103" i="15"/>
  <c r="J3103" i="15"/>
  <c r="H3104" i="15"/>
  <c r="I3104" i="15"/>
  <c r="J3104" i="15"/>
  <c r="H3105" i="15"/>
  <c r="I3105" i="15"/>
  <c r="J3105" i="15"/>
  <c r="H3106" i="15"/>
  <c r="I3106" i="15"/>
  <c r="J3106" i="15"/>
  <c r="H3107" i="15"/>
  <c r="I3107" i="15"/>
  <c r="J3107" i="15"/>
  <c r="H3108" i="15"/>
  <c r="I3108" i="15"/>
  <c r="J3108" i="15"/>
  <c r="H3109" i="15"/>
  <c r="I3109" i="15"/>
  <c r="J3109" i="15"/>
  <c r="H3110" i="15"/>
  <c r="I3110" i="15"/>
  <c r="J3110" i="15"/>
  <c r="H3111" i="15"/>
  <c r="I3111" i="15"/>
  <c r="J3111" i="15"/>
  <c r="H3112" i="15"/>
  <c r="I3112" i="15"/>
  <c r="J3112" i="15"/>
  <c r="H3113" i="15"/>
  <c r="I3113" i="15"/>
  <c r="J3113" i="15"/>
  <c r="H3114" i="15"/>
  <c r="I3114" i="15"/>
  <c r="J3114" i="15"/>
  <c r="H3115" i="15"/>
  <c r="I3115" i="15"/>
  <c r="J3115" i="15"/>
  <c r="H3116" i="15"/>
  <c r="I3116" i="15"/>
  <c r="J3116" i="15"/>
  <c r="H3117" i="15"/>
  <c r="I3117" i="15"/>
  <c r="J3117" i="15"/>
  <c r="H3118" i="15"/>
  <c r="I3118" i="15"/>
  <c r="J3118" i="15"/>
  <c r="H3119" i="15"/>
  <c r="I3119" i="15"/>
  <c r="J3119" i="15"/>
  <c r="H3120" i="15"/>
  <c r="I3120" i="15"/>
  <c r="J3120" i="15"/>
  <c r="H3121" i="15"/>
  <c r="I3121" i="15"/>
  <c r="J3121" i="15"/>
  <c r="H3122" i="15"/>
  <c r="I3122" i="15"/>
  <c r="J3122" i="15"/>
  <c r="H3123" i="15"/>
  <c r="I3123" i="15"/>
  <c r="J3123" i="15"/>
  <c r="H3124" i="15"/>
  <c r="I3124" i="15"/>
  <c r="J3124" i="15"/>
  <c r="H3125" i="15"/>
  <c r="I3125" i="15"/>
  <c r="J3125" i="15"/>
  <c r="H3126" i="15"/>
  <c r="I3126" i="15"/>
  <c r="J3126" i="15"/>
  <c r="H3127" i="15"/>
  <c r="I3127" i="15"/>
  <c r="J3127" i="15"/>
  <c r="H3128" i="15"/>
  <c r="I3128" i="15"/>
  <c r="J3128" i="15"/>
  <c r="H3129" i="15"/>
  <c r="I3129" i="15"/>
  <c r="J3129" i="15"/>
  <c r="H3130" i="15"/>
  <c r="I3130" i="15"/>
  <c r="J3130" i="15"/>
  <c r="H3131" i="15"/>
  <c r="I3131" i="15"/>
  <c r="J3131" i="15"/>
  <c r="H3132" i="15"/>
  <c r="I3132" i="15"/>
  <c r="J3132" i="15"/>
  <c r="H3133" i="15"/>
  <c r="I3133" i="15"/>
  <c r="J3133" i="15"/>
  <c r="H3134" i="15"/>
  <c r="I3134" i="15"/>
  <c r="J3134" i="15"/>
  <c r="H3135" i="15"/>
  <c r="I3135" i="15"/>
  <c r="J3135" i="15"/>
  <c r="H3136" i="15"/>
  <c r="I3136" i="15"/>
  <c r="J3136" i="15"/>
  <c r="H3137" i="15"/>
  <c r="I3137" i="15"/>
  <c r="J3137" i="15"/>
  <c r="H3138" i="15"/>
  <c r="I3138" i="15"/>
  <c r="J3138" i="15"/>
  <c r="H3139" i="15"/>
  <c r="I3139" i="15"/>
  <c r="J3139" i="15"/>
  <c r="H3140" i="15"/>
  <c r="I3140" i="15"/>
  <c r="J3140" i="15"/>
  <c r="H3141" i="15"/>
  <c r="I3141" i="15"/>
  <c r="J3141" i="15"/>
  <c r="H3142" i="15"/>
  <c r="I3142" i="15"/>
  <c r="J3142" i="15"/>
  <c r="H3143" i="15"/>
  <c r="I3143" i="15"/>
  <c r="J3143" i="15"/>
  <c r="H3144" i="15"/>
  <c r="I3144" i="15"/>
  <c r="J3144" i="15"/>
  <c r="H3145" i="15"/>
  <c r="I3145" i="15"/>
  <c r="J3145" i="15"/>
  <c r="H3146" i="15"/>
  <c r="I3146" i="15"/>
  <c r="J3146" i="15"/>
  <c r="H3147" i="15"/>
  <c r="I3147" i="15"/>
  <c r="J3147" i="15"/>
  <c r="H3148" i="15"/>
  <c r="I3148" i="15"/>
  <c r="J3148" i="15"/>
  <c r="H3149" i="15"/>
  <c r="I3149" i="15"/>
  <c r="J3149" i="15"/>
  <c r="H3150" i="15"/>
  <c r="I3150" i="15"/>
  <c r="J3150" i="15"/>
  <c r="H3151" i="15"/>
  <c r="I3151" i="15"/>
  <c r="J3151" i="15"/>
  <c r="H3152" i="15"/>
  <c r="I3152" i="15"/>
  <c r="J3152" i="15"/>
  <c r="H3153" i="15"/>
  <c r="I3153" i="15"/>
  <c r="J3153" i="15"/>
  <c r="H3154" i="15"/>
  <c r="I3154" i="15"/>
  <c r="J3154" i="15"/>
  <c r="H3155" i="15"/>
  <c r="I3155" i="15"/>
  <c r="J3155" i="15"/>
  <c r="H3156" i="15"/>
  <c r="I3156" i="15"/>
  <c r="J3156" i="15"/>
  <c r="H3157" i="15"/>
  <c r="I3157" i="15"/>
  <c r="J3157" i="15"/>
  <c r="H3158" i="15"/>
  <c r="I3158" i="15"/>
  <c r="J3158" i="15"/>
  <c r="H3159" i="15"/>
  <c r="I3159" i="15"/>
  <c r="J3159" i="15"/>
  <c r="H3160" i="15"/>
  <c r="I3160" i="15"/>
  <c r="J3160" i="15"/>
  <c r="H3161" i="15"/>
  <c r="I3161" i="15"/>
  <c r="J3161" i="15"/>
  <c r="H3162" i="15"/>
  <c r="I3162" i="15"/>
  <c r="J3162" i="15"/>
  <c r="H3163" i="15"/>
  <c r="I3163" i="15"/>
  <c r="J3163" i="15"/>
  <c r="H3164" i="15"/>
  <c r="I3164" i="15"/>
  <c r="J3164" i="15"/>
  <c r="H3165" i="15"/>
  <c r="I3165" i="15"/>
  <c r="J3165" i="15"/>
  <c r="H3166" i="15"/>
  <c r="I3166" i="15"/>
  <c r="J3166" i="15"/>
  <c r="H3167" i="15"/>
  <c r="I3167" i="15"/>
  <c r="J3167" i="15"/>
  <c r="H3168" i="15"/>
  <c r="I3168" i="15"/>
  <c r="J3168" i="15"/>
  <c r="H3169" i="15"/>
  <c r="I3169" i="15"/>
  <c r="J3169" i="15"/>
  <c r="H3170" i="15"/>
  <c r="I3170" i="15"/>
  <c r="J3170" i="15"/>
  <c r="H3171" i="15"/>
  <c r="I3171" i="15"/>
  <c r="J3171" i="15"/>
  <c r="H3172" i="15"/>
  <c r="I3172" i="15"/>
  <c r="J3172" i="15"/>
  <c r="H3173" i="15"/>
  <c r="I3173" i="15"/>
  <c r="J3173" i="15"/>
  <c r="H3174" i="15"/>
  <c r="I3174" i="15"/>
  <c r="J3174" i="15"/>
  <c r="H3175" i="15"/>
  <c r="I3175" i="15"/>
  <c r="J3175" i="15"/>
  <c r="H3176" i="15"/>
  <c r="I3176" i="15"/>
  <c r="J3176" i="15"/>
  <c r="H3177" i="15"/>
  <c r="I3177" i="15"/>
  <c r="J3177" i="15"/>
  <c r="H3178" i="15"/>
  <c r="I3178" i="15"/>
  <c r="J3178" i="15"/>
  <c r="H3179" i="15"/>
  <c r="I3179" i="15"/>
  <c r="J3179" i="15"/>
  <c r="H3180" i="15"/>
  <c r="I3180" i="15"/>
  <c r="J3180" i="15"/>
  <c r="H3181" i="15"/>
  <c r="I3181" i="15"/>
  <c r="J3181" i="15"/>
  <c r="H3182" i="15"/>
  <c r="I3182" i="15"/>
  <c r="J3182" i="15"/>
  <c r="H3183" i="15"/>
  <c r="I3183" i="15"/>
  <c r="J3183" i="15"/>
  <c r="H3184" i="15"/>
  <c r="I3184" i="15"/>
  <c r="J3184" i="15"/>
  <c r="H3185" i="15"/>
  <c r="I3185" i="15"/>
  <c r="J3185" i="15"/>
  <c r="H3186" i="15"/>
  <c r="I3186" i="15"/>
  <c r="J3186" i="15"/>
  <c r="H3187" i="15"/>
  <c r="I3187" i="15"/>
  <c r="J3187" i="15"/>
  <c r="H3188" i="15"/>
  <c r="I3188" i="15"/>
  <c r="J3188" i="15"/>
  <c r="H3189" i="15"/>
  <c r="I3189" i="15"/>
  <c r="J3189" i="15"/>
  <c r="H3190" i="15"/>
  <c r="I3190" i="15"/>
  <c r="J3190" i="15"/>
  <c r="H3191" i="15"/>
  <c r="I3191" i="15"/>
  <c r="J3191" i="15"/>
  <c r="H3192" i="15"/>
  <c r="I3192" i="15"/>
  <c r="J3192" i="15"/>
  <c r="H3193" i="15"/>
  <c r="I3193" i="15"/>
  <c r="J3193" i="15"/>
  <c r="H3194" i="15"/>
  <c r="I3194" i="15"/>
  <c r="J3194" i="15"/>
  <c r="H3195" i="15"/>
  <c r="I3195" i="15"/>
  <c r="J3195" i="15"/>
  <c r="H3196" i="15"/>
  <c r="I3196" i="15"/>
  <c r="J3196" i="15"/>
  <c r="H3197" i="15"/>
  <c r="I3197" i="15"/>
  <c r="J3197" i="15"/>
  <c r="H3198" i="15"/>
  <c r="I3198" i="15"/>
  <c r="J3198" i="15"/>
  <c r="H3199" i="15"/>
  <c r="I3199" i="15"/>
  <c r="J3199" i="15"/>
  <c r="H3200" i="15"/>
  <c r="I3200" i="15"/>
  <c r="J3200" i="15"/>
  <c r="H3201" i="15"/>
  <c r="I3201" i="15"/>
  <c r="J3201" i="15"/>
  <c r="H3202" i="15"/>
  <c r="I3202" i="15"/>
  <c r="J3202" i="15"/>
  <c r="H3203" i="15"/>
  <c r="I3203" i="15"/>
  <c r="J3203" i="15"/>
  <c r="H3204" i="15"/>
  <c r="I3204" i="15"/>
  <c r="J3204" i="15"/>
  <c r="H3205" i="15"/>
  <c r="I3205" i="15"/>
  <c r="J3205" i="15"/>
  <c r="H3206" i="15"/>
  <c r="I3206" i="15"/>
  <c r="J3206" i="15"/>
  <c r="H3207" i="15"/>
  <c r="I3207" i="15"/>
  <c r="J3207" i="15"/>
  <c r="H3208" i="15"/>
  <c r="I3208" i="15"/>
  <c r="J3208" i="15"/>
  <c r="H3209" i="15"/>
  <c r="I3209" i="15"/>
  <c r="J3209" i="15"/>
  <c r="H3210" i="15"/>
  <c r="I3210" i="15"/>
  <c r="J3210" i="15"/>
  <c r="H3211" i="15"/>
  <c r="I3211" i="15"/>
  <c r="J3211" i="15"/>
  <c r="H3212" i="15"/>
  <c r="I3212" i="15"/>
  <c r="J3212" i="15"/>
  <c r="H3213" i="15"/>
  <c r="I3213" i="15"/>
  <c r="J3213" i="15"/>
  <c r="H3214" i="15"/>
  <c r="I3214" i="15"/>
  <c r="J3214" i="15"/>
  <c r="H3215" i="15"/>
  <c r="I3215" i="15"/>
  <c r="J3215" i="15"/>
  <c r="H3216" i="15"/>
  <c r="I3216" i="15"/>
  <c r="J3216" i="15"/>
  <c r="H3217" i="15"/>
  <c r="I3217" i="15"/>
  <c r="J3217" i="15"/>
  <c r="H3218" i="15"/>
  <c r="I3218" i="15"/>
  <c r="J3218" i="15"/>
  <c r="H3219" i="15"/>
  <c r="I3219" i="15"/>
  <c r="J3219" i="15"/>
  <c r="H3220" i="15"/>
  <c r="I3220" i="15"/>
  <c r="J3220" i="15"/>
  <c r="H3221" i="15"/>
  <c r="I3221" i="15"/>
  <c r="J3221" i="15"/>
  <c r="H3222" i="15"/>
  <c r="I3222" i="15"/>
  <c r="J3222" i="15"/>
  <c r="H3223" i="15"/>
  <c r="I3223" i="15"/>
  <c r="J3223" i="15"/>
  <c r="H3224" i="15"/>
  <c r="I3224" i="15"/>
  <c r="J3224" i="15"/>
  <c r="H3225" i="15"/>
  <c r="I3225" i="15"/>
  <c r="J3225" i="15"/>
  <c r="H3226" i="15"/>
  <c r="I3226" i="15"/>
  <c r="J3226" i="15"/>
  <c r="H3227" i="15"/>
  <c r="I3227" i="15"/>
  <c r="J3227" i="15"/>
  <c r="H3228" i="15"/>
  <c r="I3228" i="15"/>
  <c r="J3228" i="15"/>
  <c r="H3229" i="15"/>
  <c r="I3229" i="15"/>
  <c r="J3229" i="15"/>
  <c r="H3230" i="15"/>
  <c r="I3230" i="15"/>
  <c r="J3230" i="15"/>
  <c r="H3231" i="15"/>
  <c r="I3231" i="15"/>
  <c r="J3231" i="15"/>
  <c r="H3232" i="15"/>
  <c r="I3232" i="15"/>
  <c r="J3232" i="15"/>
  <c r="H3233" i="15"/>
  <c r="I3233" i="15"/>
  <c r="J3233" i="15"/>
  <c r="H3234" i="15"/>
  <c r="I3234" i="15"/>
  <c r="J3234" i="15"/>
  <c r="H3235" i="15"/>
  <c r="I3235" i="15"/>
  <c r="J3235" i="15"/>
  <c r="H3236" i="15"/>
  <c r="I3236" i="15"/>
  <c r="J3236" i="15"/>
  <c r="H3237" i="15"/>
  <c r="I3237" i="15"/>
  <c r="J3237" i="15"/>
  <c r="H3238" i="15"/>
  <c r="I3238" i="15"/>
  <c r="J3238" i="15"/>
  <c r="H3239" i="15"/>
  <c r="I3239" i="15"/>
  <c r="J3239" i="15"/>
  <c r="H3240" i="15"/>
  <c r="I3240" i="15"/>
  <c r="J3240" i="15"/>
  <c r="H3241" i="15"/>
  <c r="I3241" i="15"/>
  <c r="J3241" i="15"/>
  <c r="H3242" i="15"/>
  <c r="I3242" i="15"/>
  <c r="J3242" i="15"/>
  <c r="H3243" i="15"/>
  <c r="I3243" i="15"/>
  <c r="J3243" i="15"/>
  <c r="H3244" i="15"/>
  <c r="I3244" i="15"/>
  <c r="J3244" i="15"/>
  <c r="H3245" i="15"/>
  <c r="I3245" i="15"/>
  <c r="J3245" i="15"/>
  <c r="H3246" i="15"/>
  <c r="I3246" i="15"/>
  <c r="J3246" i="15"/>
  <c r="H3247" i="15"/>
  <c r="I3247" i="15"/>
  <c r="J3247" i="15"/>
  <c r="H3248" i="15"/>
  <c r="I3248" i="15"/>
  <c r="J3248" i="15"/>
  <c r="H3249" i="15"/>
  <c r="I3249" i="15"/>
  <c r="J3249" i="15"/>
  <c r="H3250" i="15"/>
  <c r="I3250" i="15"/>
  <c r="J3250" i="15"/>
  <c r="H3251" i="15"/>
  <c r="I3251" i="15"/>
  <c r="J3251" i="15"/>
  <c r="H3252" i="15"/>
  <c r="I3252" i="15"/>
  <c r="J3252" i="15"/>
  <c r="H3253" i="15"/>
  <c r="I3253" i="15"/>
  <c r="J3253" i="15"/>
  <c r="H3254" i="15"/>
  <c r="I3254" i="15"/>
  <c r="J3254" i="15"/>
  <c r="H3255" i="15"/>
  <c r="I3255" i="15"/>
  <c r="J3255" i="15"/>
  <c r="H3256" i="15"/>
  <c r="I3256" i="15"/>
  <c r="J3256" i="15"/>
  <c r="H3257" i="15"/>
  <c r="I3257" i="15"/>
  <c r="J3257" i="15"/>
  <c r="H3258" i="15"/>
  <c r="I3258" i="15"/>
  <c r="J3258" i="15"/>
  <c r="H3259" i="15"/>
  <c r="I3259" i="15"/>
  <c r="J3259" i="15"/>
  <c r="H3260" i="15"/>
  <c r="I3260" i="15"/>
  <c r="J3260" i="15"/>
  <c r="H3261" i="15"/>
  <c r="I3261" i="15"/>
  <c r="J3261" i="15"/>
  <c r="H3262" i="15"/>
  <c r="I3262" i="15"/>
  <c r="J3262" i="15"/>
  <c r="H3263" i="15"/>
  <c r="I3263" i="15"/>
  <c r="J3263" i="15"/>
  <c r="H3264" i="15"/>
  <c r="I3264" i="15"/>
  <c r="J3264" i="15"/>
  <c r="H3265" i="15"/>
  <c r="I3265" i="15"/>
  <c r="J3265" i="15"/>
  <c r="H3266" i="15"/>
  <c r="I3266" i="15"/>
  <c r="J3266" i="15"/>
  <c r="H3267" i="15"/>
  <c r="I3267" i="15"/>
  <c r="J3267" i="15"/>
  <c r="H3268" i="15"/>
  <c r="I3268" i="15"/>
  <c r="J3268" i="15"/>
  <c r="H3269" i="15"/>
  <c r="I3269" i="15"/>
  <c r="J3269" i="15"/>
  <c r="H3270" i="15"/>
  <c r="I3270" i="15"/>
  <c r="J3270" i="15"/>
  <c r="H3271" i="15"/>
  <c r="I3271" i="15"/>
  <c r="J3271" i="15"/>
  <c r="H3272" i="15"/>
  <c r="I3272" i="15"/>
  <c r="J3272" i="15"/>
  <c r="H3273" i="15"/>
  <c r="I3273" i="15"/>
  <c r="J3273" i="15"/>
  <c r="H3274" i="15"/>
  <c r="I3274" i="15"/>
  <c r="J3274" i="15"/>
  <c r="H3275" i="15"/>
  <c r="I3275" i="15"/>
  <c r="J3275" i="15"/>
  <c r="H3276" i="15"/>
  <c r="I3276" i="15"/>
  <c r="J3276" i="15"/>
  <c r="H3277" i="15"/>
  <c r="I3277" i="15"/>
  <c r="J3277" i="15"/>
  <c r="H3278" i="15"/>
  <c r="I3278" i="15"/>
  <c r="J3278" i="15"/>
  <c r="H3279" i="15"/>
  <c r="I3279" i="15"/>
  <c r="J3279" i="15"/>
  <c r="H3280" i="15"/>
  <c r="I3280" i="15"/>
  <c r="J3280" i="15"/>
  <c r="H3281" i="15"/>
  <c r="I3281" i="15"/>
  <c r="J3281" i="15"/>
  <c r="H3282" i="15"/>
  <c r="I3282" i="15"/>
  <c r="J3282" i="15"/>
  <c r="H3283" i="15"/>
  <c r="I3283" i="15"/>
  <c r="J3283" i="15"/>
  <c r="H3284" i="15"/>
  <c r="I3284" i="15"/>
  <c r="J3284" i="15"/>
  <c r="H3285" i="15"/>
  <c r="I3285" i="15"/>
  <c r="J3285" i="15"/>
  <c r="H3286" i="15"/>
  <c r="I3286" i="15"/>
  <c r="J3286" i="15"/>
  <c r="H3287" i="15"/>
  <c r="I3287" i="15"/>
  <c r="J3287" i="15"/>
  <c r="H3288" i="15"/>
  <c r="I3288" i="15"/>
  <c r="J3288" i="15"/>
  <c r="H3289" i="15"/>
  <c r="I3289" i="15"/>
  <c r="J3289" i="15"/>
  <c r="H3290" i="15"/>
  <c r="I3290" i="15"/>
  <c r="J3290" i="15"/>
  <c r="H3291" i="15"/>
  <c r="I3291" i="15"/>
  <c r="J3291" i="15"/>
  <c r="H3292" i="15"/>
  <c r="I3292" i="15"/>
  <c r="J3292" i="15"/>
  <c r="H3293" i="15"/>
  <c r="I3293" i="15"/>
  <c r="J3293" i="15"/>
  <c r="H3294" i="15"/>
  <c r="I3294" i="15"/>
  <c r="J3294" i="15"/>
  <c r="H3295" i="15"/>
  <c r="I3295" i="15"/>
  <c r="J3295" i="15"/>
  <c r="H3296" i="15"/>
  <c r="I3296" i="15"/>
  <c r="J3296" i="15"/>
  <c r="H3297" i="15"/>
  <c r="I3297" i="15"/>
  <c r="J3297" i="15"/>
  <c r="H3298" i="15"/>
  <c r="I3298" i="15"/>
  <c r="J3298" i="15"/>
  <c r="H3299" i="15"/>
  <c r="I3299" i="15"/>
  <c r="J3299" i="15"/>
  <c r="H3300" i="15"/>
  <c r="I3300" i="15"/>
  <c r="J3300" i="15"/>
  <c r="H3301" i="15"/>
  <c r="I3301" i="15"/>
  <c r="J3301" i="15"/>
  <c r="H3302" i="15"/>
  <c r="I3302" i="15"/>
  <c r="J3302" i="15"/>
  <c r="H3303" i="15"/>
  <c r="I3303" i="15"/>
  <c r="J3303" i="15"/>
  <c r="H3304" i="15"/>
  <c r="I3304" i="15"/>
  <c r="J3304" i="15"/>
  <c r="H3305" i="15"/>
  <c r="I3305" i="15"/>
  <c r="J3305" i="15"/>
  <c r="H3306" i="15"/>
  <c r="I3306" i="15"/>
  <c r="J3306" i="15"/>
  <c r="H3307" i="15"/>
  <c r="I3307" i="15"/>
  <c r="J3307" i="15"/>
  <c r="H3308" i="15"/>
  <c r="I3308" i="15"/>
  <c r="J3308" i="15"/>
  <c r="H3309" i="15"/>
  <c r="I3309" i="15"/>
  <c r="J3309" i="15"/>
  <c r="H3310" i="15"/>
  <c r="I3310" i="15"/>
  <c r="J3310" i="15"/>
  <c r="H3311" i="15"/>
  <c r="I3311" i="15"/>
  <c r="J3311" i="15"/>
  <c r="H3312" i="15"/>
  <c r="I3312" i="15"/>
  <c r="J3312" i="15"/>
  <c r="H3313" i="15"/>
  <c r="I3313" i="15"/>
  <c r="J3313" i="15"/>
  <c r="H3314" i="15"/>
  <c r="I3314" i="15"/>
  <c r="J3314" i="15"/>
  <c r="H3315" i="15"/>
  <c r="I3315" i="15"/>
  <c r="J3315" i="15"/>
  <c r="H3316" i="15"/>
  <c r="I3316" i="15"/>
  <c r="J3316" i="15"/>
  <c r="H3317" i="15"/>
  <c r="I3317" i="15"/>
  <c r="J3317" i="15"/>
  <c r="H3318" i="15"/>
  <c r="I3318" i="15"/>
  <c r="J3318" i="15"/>
  <c r="H3319" i="15"/>
  <c r="I3319" i="15"/>
  <c r="J3319" i="15"/>
  <c r="H3320" i="15"/>
  <c r="I3320" i="15"/>
  <c r="J3320" i="15"/>
  <c r="H3321" i="15"/>
  <c r="I3321" i="15"/>
  <c r="J3321" i="15"/>
  <c r="H3322" i="15"/>
  <c r="I3322" i="15"/>
  <c r="J3322" i="15"/>
  <c r="H3323" i="15"/>
  <c r="I3323" i="15"/>
  <c r="J3323" i="15"/>
  <c r="H3324" i="15"/>
  <c r="I3324" i="15"/>
  <c r="J3324" i="15"/>
  <c r="H3325" i="15"/>
  <c r="I3325" i="15"/>
  <c r="J3325" i="15"/>
  <c r="H3326" i="15"/>
  <c r="I3326" i="15"/>
  <c r="J3326" i="15"/>
  <c r="H3327" i="15"/>
  <c r="I3327" i="15"/>
  <c r="J3327" i="15"/>
  <c r="H3328" i="15"/>
  <c r="I3328" i="15"/>
  <c r="J3328" i="15"/>
  <c r="H3329" i="15"/>
  <c r="I3329" i="15"/>
  <c r="J3329" i="15"/>
  <c r="H3330" i="15"/>
  <c r="I3330" i="15"/>
  <c r="J3330" i="15"/>
  <c r="H3331" i="15"/>
  <c r="I3331" i="15"/>
  <c r="J3331" i="15"/>
  <c r="H3332" i="15"/>
  <c r="I3332" i="15"/>
  <c r="J3332" i="15"/>
  <c r="H3333" i="15"/>
  <c r="I3333" i="15"/>
  <c r="J3333" i="15"/>
  <c r="H3334" i="15"/>
  <c r="I3334" i="15"/>
  <c r="J3334" i="15"/>
  <c r="H3335" i="15"/>
  <c r="I3335" i="15"/>
  <c r="J3335" i="15"/>
  <c r="H3336" i="15"/>
  <c r="I3336" i="15"/>
  <c r="J3336" i="15"/>
  <c r="H3337" i="15"/>
  <c r="I3337" i="15"/>
  <c r="J3337" i="15"/>
  <c r="H3338" i="15"/>
  <c r="I3338" i="15"/>
  <c r="J3338" i="15"/>
  <c r="H3339" i="15"/>
  <c r="I3339" i="15"/>
  <c r="J3339" i="15"/>
  <c r="H3340" i="15"/>
  <c r="I3340" i="15"/>
  <c r="J3340" i="15"/>
  <c r="H3341" i="15"/>
  <c r="I3341" i="15"/>
  <c r="J3341" i="15"/>
  <c r="H3342" i="15"/>
  <c r="I3342" i="15"/>
  <c r="J3342" i="15"/>
  <c r="H3343" i="15"/>
  <c r="I3343" i="15"/>
  <c r="J3343" i="15"/>
  <c r="H3344" i="15"/>
  <c r="I3344" i="15"/>
  <c r="J3344" i="15"/>
  <c r="H3345" i="15"/>
  <c r="I3345" i="15"/>
  <c r="J3345" i="15"/>
  <c r="H3346" i="15"/>
  <c r="I3346" i="15"/>
  <c r="J3346" i="15"/>
  <c r="H3347" i="15"/>
  <c r="I3347" i="15"/>
  <c r="J3347" i="15"/>
  <c r="H3348" i="15"/>
  <c r="I3348" i="15"/>
  <c r="J3348" i="15"/>
  <c r="H3349" i="15"/>
  <c r="I3349" i="15"/>
  <c r="J3349" i="15"/>
  <c r="H3350" i="15"/>
  <c r="I3350" i="15"/>
  <c r="J3350" i="15"/>
  <c r="H3351" i="15"/>
  <c r="I3351" i="15"/>
  <c r="J3351" i="15"/>
  <c r="H3352" i="15"/>
  <c r="I3352" i="15"/>
  <c r="J3352" i="15"/>
  <c r="H3353" i="15"/>
  <c r="I3353" i="15"/>
  <c r="J3353" i="15"/>
  <c r="H3354" i="15"/>
  <c r="I3354" i="15"/>
  <c r="J3354" i="15"/>
  <c r="H3355" i="15"/>
  <c r="I3355" i="15"/>
  <c r="J3355" i="15"/>
  <c r="H3356" i="15"/>
  <c r="I3356" i="15"/>
  <c r="J3356" i="15"/>
  <c r="H3357" i="15"/>
  <c r="I3357" i="15"/>
  <c r="J3357" i="15"/>
  <c r="H3358" i="15"/>
  <c r="I3358" i="15"/>
  <c r="J3358" i="15"/>
  <c r="H3359" i="15"/>
  <c r="I3359" i="15"/>
  <c r="J3359" i="15"/>
  <c r="H3360" i="15"/>
  <c r="I3360" i="15"/>
  <c r="J3360" i="15"/>
  <c r="H3361" i="15"/>
  <c r="I3361" i="15"/>
  <c r="J3361" i="15"/>
  <c r="H3362" i="15"/>
  <c r="I3362" i="15"/>
  <c r="J3362" i="15"/>
  <c r="H3363" i="15"/>
  <c r="I3363" i="15"/>
  <c r="J3363" i="15"/>
  <c r="H3364" i="15"/>
  <c r="I3364" i="15"/>
  <c r="J3364" i="15"/>
  <c r="H3365" i="15"/>
  <c r="I3365" i="15"/>
  <c r="J3365" i="15"/>
  <c r="H3366" i="15"/>
  <c r="I3366" i="15"/>
  <c r="J3366" i="15"/>
  <c r="H3367" i="15"/>
  <c r="I3367" i="15"/>
  <c r="J3367" i="15"/>
  <c r="H3368" i="15"/>
  <c r="I3368" i="15"/>
  <c r="J3368" i="15"/>
  <c r="H3369" i="15"/>
  <c r="I3369" i="15"/>
  <c r="J3369" i="15"/>
  <c r="H3370" i="15"/>
  <c r="I3370" i="15"/>
  <c r="J3370" i="15"/>
  <c r="H3371" i="15"/>
  <c r="I3371" i="15"/>
  <c r="J3371" i="15"/>
  <c r="H3372" i="15"/>
  <c r="I3372" i="15"/>
  <c r="J3372" i="15"/>
  <c r="H3373" i="15"/>
  <c r="I3373" i="15"/>
  <c r="J3373" i="15"/>
  <c r="H3374" i="15"/>
  <c r="I3374" i="15"/>
  <c r="J3374" i="15"/>
  <c r="H3375" i="15"/>
  <c r="I3375" i="15"/>
  <c r="J3375" i="15"/>
  <c r="H3376" i="15"/>
  <c r="I3376" i="15"/>
  <c r="J3376" i="15"/>
  <c r="H3377" i="15"/>
  <c r="I3377" i="15"/>
  <c r="J3377" i="15"/>
  <c r="H3378" i="15"/>
  <c r="I3378" i="15"/>
  <c r="J3378" i="15"/>
  <c r="H3379" i="15"/>
  <c r="I3379" i="15"/>
  <c r="J3379" i="15"/>
  <c r="H3380" i="15"/>
  <c r="I3380" i="15"/>
  <c r="J3380" i="15"/>
  <c r="H3381" i="15"/>
  <c r="I3381" i="15"/>
  <c r="J3381" i="15"/>
  <c r="H3382" i="15"/>
  <c r="I3382" i="15"/>
  <c r="J3382" i="15"/>
  <c r="H3383" i="15"/>
  <c r="I3383" i="15"/>
  <c r="J3383" i="15"/>
  <c r="H3384" i="15"/>
  <c r="I3384" i="15"/>
  <c r="J3384" i="15"/>
  <c r="H3385" i="15"/>
  <c r="I3385" i="15"/>
  <c r="J3385" i="15"/>
  <c r="H3386" i="15"/>
  <c r="I3386" i="15"/>
  <c r="J3386" i="15"/>
  <c r="H3387" i="15"/>
  <c r="I3387" i="15"/>
  <c r="J3387" i="15"/>
  <c r="H3388" i="15"/>
  <c r="I3388" i="15"/>
  <c r="J3388" i="15"/>
  <c r="H3389" i="15"/>
  <c r="I3389" i="15"/>
  <c r="J3389" i="15"/>
  <c r="H3390" i="15"/>
  <c r="I3390" i="15"/>
  <c r="J3390" i="15"/>
  <c r="H3391" i="15"/>
  <c r="I3391" i="15"/>
  <c r="J3391" i="15"/>
  <c r="H3392" i="15"/>
  <c r="I3392" i="15"/>
  <c r="J3392" i="15"/>
  <c r="H3393" i="15"/>
  <c r="I3393" i="15"/>
  <c r="J3393" i="15"/>
  <c r="H3394" i="15"/>
  <c r="I3394" i="15"/>
  <c r="J3394" i="15"/>
  <c r="H3395" i="15"/>
  <c r="I3395" i="15"/>
  <c r="J3395" i="15"/>
  <c r="H3396" i="15"/>
  <c r="I3396" i="15"/>
  <c r="J3396" i="15"/>
  <c r="H3397" i="15"/>
  <c r="I3397" i="15"/>
  <c r="J3397" i="15"/>
  <c r="H3398" i="15"/>
  <c r="I3398" i="15"/>
  <c r="J3398" i="15"/>
  <c r="H3399" i="15"/>
  <c r="I3399" i="15"/>
  <c r="J3399" i="15"/>
  <c r="H3400" i="15"/>
  <c r="I3400" i="15"/>
  <c r="J3400" i="15"/>
  <c r="H3401" i="15"/>
  <c r="I3401" i="15"/>
  <c r="J3401" i="15"/>
  <c r="H3402" i="15"/>
  <c r="I3402" i="15"/>
  <c r="J3402" i="15"/>
  <c r="H3403" i="15"/>
  <c r="I3403" i="15"/>
  <c r="J3403" i="15"/>
  <c r="H3404" i="15"/>
  <c r="I3404" i="15"/>
  <c r="J3404" i="15"/>
  <c r="H3405" i="15"/>
  <c r="I3405" i="15"/>
  <c r="J3405" i="15"/>
  <c r="H3406" i="15"/>
  <c r="I3406" i="15"/>
  <c r="J3406" i="15"/>
  <c r="H3407" i="15"/>
  <c r="I3407" i="15"/>
  <c r="J3407" i="15"/>
  <c r="H3408" i="15"/>
  <c r="I3408" i="15"/>
  <c r="J3408" i="15"/>
  <c r="H3409" i="15"/>
  <c r="I3409" i="15"/>
  <c r="J3409" i="15"/>
  <c r="H3410" i="15"/>
  <c r="I3410" i="15"/>
  <c r="J3410" i="15"/>
  <c r="H3411" i="15"/>
  <c r="I3411" i="15"/>
  <c r="J3411" i="15"/>
  <c r="H3412" i="15"/>
  <c r="I3412" i="15"/>
  <c r="J3412" i="15"/>
  <c r="H3413" i="15"/>
  <c r="I3413" i="15"/>
  <c r="J3413" i="15"/>
  <c r="H3414" i="15"/>
  <c r="I3414" i="15"/>
  <c r="J3414" i="15"/>
  <c r="H3415" i="15"/>
  <c r="I3415" i="15"/>
  <c r="J3415" i="15"/>
  <c r="H3416" i="15"/>
  <c r="I3416" i="15"/>
  <c r="J3416" i="15"/>
  <c r="H3417" i="15"/>
  <c r="I3417" i="15"/>
  <c r="J3417" i="15"/>
  <c r="H3418" i="15"/>
  <c r="I3418" i="15"/>
  <c r="J3418" i="15"/>
  <c r="H3419" i="15"/>
  <c r="I3419" i="15"/>
  <c r="J3419" i="15"/>
  <c r="H3420" i="15"/>
  <c r="I3420" i="15"/>
  <c r="J3420" i="15"/>
  <c r="H3421" i="15"/>
  <c r="I3421" i="15"/>
  <c r="J3421" i="15"/>
  <c r="H3422" i="15"/>
  <c r="I3422" i="15"/>
  <c r="J3422" i="15"/>
  <c r="H3423" i="15"/>
  <c r="I3423" i="15"/>
  <c r="J3423" i="15"/>
  <c r="H3424" i="15"/>
  <c r="I3424" i="15"/>
  <c r="J3424" i="15"/>
  <c r="H3425" i="15"/>
  <c r="I3425" i="15"/>
  <c r="J3425" i="15"/>
  <c r="H3426" i="15"/>
  <c r="I3426" i="15"/>
  <c r="J3426" i="15"/>
  <c r="H3427" i="15"/>
  <c r="I3427" i="15"/>
  <c r="J3427" i="15"/>
  <c r="H3428" i="15"/>
  <c r="I3428" i="15"/>
  <c r="J3428" i="15"/>
  <c r="H3429" i="15"/>
  <c r="I3429" i="15"/>
  <c r="J3429" i="15"/>
  <c r="H3430" i="15"/>
  <c r="I3430" i="15"/>
  <c r="J3430" i="15"/>
  <c r="H3431" i="15"/>
  <c r="I3431" i="15"/>
  <c r="J3431" i="15"/>
  <c r="H3432" i="15"/>
  <c r="I3432" i="15"/>
  <c r="J3432" i="15"/>
  <c r="H3433" i="15"/>
  <c r="I3433" i="15"/>
  <c r="J3433" i="15"/>
  <c r="H3434" i="15"/>
  <c r="I3434" i="15"/>
  <c r="J3434" i="15"/>
  <c r="H3435" i="15"/>
  <c r="I3435" i="15"/>
  <c r="J3435" i="15"/>
  <c r="H3436" i="15"/>
  <c r="I3436" i="15"/>
  <c r="J3436" i="15"/>
  <c r="H3437" i="15"/>
  <c r="I3437" i="15"/>
  <c r="J3437" i="15"/>
  <c r="H3438" i="15"/>
  <c r="I3438" i="15"/>
  <c r="J3438" i="15"/>
  <c r="H3439" i="15"/>
  <c r="I3439" i="15"/>
  <c r="J3439" i="15"/>
  <c r="H3440" i="15"/>
  <c r="I3440" i="15"/>
  <c r="J3440" i="15"/>
  <c r="H3441" i="15"/>
  <c r="I3441" i="15"/>
  <c r="J3441" i="15"/>
  <c r="H3442" i="15"/>
  <c r="I3442" i="15"/>
  <c r="J3442" i="15"/>
  <c r="H3443" i="15"/>
  <c r="I3443" i="15"/>
  <c r="J3443" i="15"/>
  <c r="H3444" i="15"/>
  <c r="I3444" i="15"/>
  <c r="J3444" i="15"/>
  <c r="H3445" i="15"/>
  <c r="I3445" i="15"/>
  <c r="J3445" i="15"/>
  <c r="H3446" i="15"/>
  <c r="I3446" i="15"/>
  <c r="J3446" i="15"/>
  <c r="H3447" i="15"/>
  <c r="I3447" i="15"/>
  <c r="J3447" i="15"/>
  <c r="H3448" i="15"/>
  <c r="I3448" i="15"/>
  <c r="J3448" i="15"/>
  <c r="H3449" i="15"/>
  <c r="I3449" i="15"/>
  <c r="J3449" i="15"/>
  <c r="H3450" i="15"/>
  <c r="I3450" i="15"/>
  <c r="J3450" i="15"/>
  <c r="H3451" i="15"/>
  <c r="I3451" i="15"/>
  <c r="J3451" i="15"/>
  <c r="H3452" i="15"/>
  <c r="I3452" i="15"/>
  <c r="J3452" i="15"/>
  <c r="H3453" i="15"/>
  <c r="I3453" i="15"/>
  <c r="J3453" i="15"/>
  <c r="H3454" i="15"/>
  <c r="I3454" i="15"/>
  <c r="J3454" i="15"/>
  <c r="H3455" i="15"/>
  <c r="I3455" i="15"/>
  <c r="J3455" i="15"/>
  <c r="H3456" i="15"/>
  <c r="I3456" i="15"/>
  <c r="J3456" i="15"/>
  <c r="H3457" i="15"/>
  <c r="I3457" i="15"/>
  <c r="J3457" i="15"/>
  <c r="H3458" i="15"/>
  <c r="I3458" i="15"/>
  <c r="J3458" i="15"/>
  <c r="H3459" i="15"/>
  <c r="I3459" i="15"/>
  <c r="J3459" i="15"/>
  <c r="H3460" i="15"/>
  <c r="I3460" i="15"/>
  <c r="J3460" i="15"/>
  <c r="H3461" i="15"/>
  <c r="I3461" i="15"/>
  <c r="J3461" i="15"/>
  <c r="H3462" i="15"/>
  <c r="I3462" i="15"/>
  <c r="J3462" i="15"/>
  <c r="H3463" i="15"/>
  <c r="I3463" i="15"/>
  <c r="J3463" i="15"/>
  <c r="H3464" i="15"/>
  <c r="I3464" i="15"/>
  <c r="J3464" i="15"/>
  <c r="H3465" i="15"/>
  <c r="I3465" i="15"/>
  <c r="J3465" i="15"/>
  <c r="H3466" i="15"/>
  <c r="I3466" i="15"/>
  <c r="J3466" i="15"/>
  <c r="H3467" i="15"/>
  <c r="I3467" i="15"/>
  <c r="J3467" i="15"/>
  <c r="H3468" i="15"/>
  <c r="I3468" i="15"/>
  <c r="J3468" i="15"/>
  <c r="H3469" i="15"/>
  <c r="I3469" i="15"/>
  <c r="J3469" i="15"/>
  <c r="H3470" i="15"/>
  <c r="I3470" i="15"/>
  <c r="J3470" i="15"/>
  <c r="H3471" i="15"/>
  <c r="I3471" i="15"/>
  <c r="J3471" i="15"/>
  <c r="H3472" i="15"/>
  <c r="I3472" i="15"/>
  <c r="J3472" i="15"/>
  <c r="H3473" i="15"/>
  <c r="I3473" i="15"/>
  <c r="J3473" i="15"/>
  <c r="H3474" i="15"/>
  <c r="I3474" i="15"/>
  <c r="J3474" i="15"/>
  <c r="H3475" i="15"/>
  <c r="I3475" i="15"/>
  <c r="J3475" i="15"/>
  <c r="H3476" i="15"/>
  <c r="I3476" i="15"/>
  <c r="J3476" i="15"/>
  <c r="H3477" i="15"/>
  <c r="I3477" i="15"/>
  <c r="J3477" i="15"/>
  <c r="H3478" i="15"/>
  <c r="I3478" i="15"/>
  <c r="J3478" i="15"/>
  <c r="H3479" i="15"/>
  <c r="I3479" i="15"/>
  <c r="J3479" i="15"/>
  <c r="H3480" i="15"/>
  <c r="I3480" i="15"/>
  <c r="J3480" i="15"/>
  <c r="H3481" i="15"/>
  <c r="I3481" i="15"/>
  <c r="J3481" i="15"/>
  <c r="H3482" i="15"/>
  <c r="I3482" i="15"/>
  <c r="J3482" i="15"/>
  <c r="H3483" i="15"/>
  <c r="I3483" i="15"/>
  <c r="J3483" i="15"/>
  <c r="H3484" i="15"/>
  <c r="I3484" i="15"/>
  <c r="J3484" i="15"/>
  <c r="H3485" i="15"/>
  <c r="I3485" i="15"/>
  <c r="J3485" i="15"/>
  <c r="H3486" i="15"/>
  <c r="I3486" i="15"/>
  <c r="J3486" i="15"/>
  <c r="H3487" i="15"/>
  <c r="I3487" i="15"/>
  <c r="J3487" i="15"/>
  <c r="H3488" i="15"/>
  <c r="I3488" i="15"/>
  <c r="J3488" i="15"/>
  <c r="H3489" i="15"/>
  <c r="I3489" i="15"/>
  <c r="J3489" i="15"/>
  <c r="H3490" i="15"/>
  <c r="I3490" i="15"/>
  <c r="J3490" i="15"/>
  <c r="H3491" i="15"/>
  <c r="I3491" i="15"/>
  <c r="J3491" i="15"/>
  <c r="H3492" i="15"/>
  <c r="I3492" i="15"/>
  <c r="J3492" i="15"/>
  <c r="H3493" i="15"/>
  <c r="I3493" i="15"/>
  <c r="J3493" i="15"/>
  <c r="H3494" i="15"/>
  <c r="I3494" i="15"/>
  <c r="J3494" i="15"/>
  <c r="H3495" i="15"/>
  <c r="I3495" i="15"/>
  <c r="J3495" i="15"/>
  <c r="H3496" i="15"/>
  <c r="I3496" i="15"/>
  <c r="J3496" i="15"/>
  <c r="H3497" i="15"/>
  <c r="I3497" i="15"/>
  <c r="J3497" i="15"/>
  <c r="H3498" i="15"/>
  <c r="I3498" i="15"/>
  <c r="J3498" i="15"/>
  <c r="H3499" i="15"/>
  <c r="I3499" i="15"/>
  <c r="J3499" i="15"/>
  <c r="H3500" i="15"/>
  <c r="I3500" i="15"/>
  <c r="J3500" i="15"/>
  <c r="H3501" i="15"/>
  <c r="I3501" i="15"/>
  <c r="J3501" i="15"/>
  <c r="H3502" i="15"/>
  <c r="I3502" i="15"/>
  <c r="J3502" i="15"/>
  <c r="H3503" i="15"/>
  <c r="I3503" i="15"/>
  <c r="J3503" i="15"/>
  <c r="H3504" i="15"/>
  <c r="I3504" i="15"/>
  <c r="J3504" i="15"/>
  <c r="H3505" i="15"/>
  <c r="I3505" i="15"/>
  <c r="J3505" i="15"/>
  <c r="H3506" i="15"/>
  <c r="I3506" i="15"/>
  <c r="J3506" i="15"/>
  <c r="H3507" i="15"/>
  <c r="I3507" i="15"/>
  <c r="J3507" i="15"/>
  <c r="H3508" i="15"/>
  <c r="I3508" i="15"/>
  <c r="J3508" i="15"/>
  <c r="H3509" i="15"/>
  <c r="I3509" i="15"/>
  <c r="J3509" i="15"/>
  <c r="H3510" i="15"/>
  <c r="I3510" i="15"/>
  <c r="J3510" i="15"/>
  <c r="H3511" i="15"/>
  <c r="I3511" i="15"/>
  <c r="J3511" i="15"/>
  <c r="H3512" i="15"/>
  <c r="I3512" i="15"/>
  <c r="J3512" i="15"/>
  <c r="H3513" i="15"/>
  <c r="I3513" i="15"/>
  <c r="J3513" i="15"/>
  <c r="H3514" i="15"/>
  <c r="I3514" i="15"/>
  <c r="J3514" i="15"/>
  <c r="H3515" i="15"/>
  <c r="I3515" i="15"/>
  <c r="J3515" i="15"/>
  <c r="H3516" i="15"/>
  <c r="I3516" i="15"/>
  <c r="J3516" i="15"/>
  <c r="H3517" i="15"/>
  <c r="I3517" i="15"/>
  <c r="J3517" i="15"/>
  <c r="H3518" i="15"/>
  <c r="I3518" i="15"/>
  <c r="J3518" i="15"/>
  <c r="H3519" i="15"/>
  <c r="I3519" i="15"/>
  <c r="J3519" i="15"/>
  <c r="H3520" i="15"/>
  <c r="I3520" i="15"/>
  <c r="J3520" i="15"/>
  <c r="H3521" i="15"/>
  <c r="I3521" i="15"/>
  <c r="J3521" i="15"/>
  <c r="H3522" i="15"/>
  <c r="I3522" i="15"/>
  <c r="J3522" i="15"/>
  <c r="H3523" i="15"/>
  <c r="I3523" i="15"/>
  <c r="J3523" i="15"/>
  <c r="H3524" i="15"/>
  <c r="I3524" i="15"/>
  <c r="J3524" i="15"/>
  <c r="H3525" i="15"/>
  <c r="I3525" i="15"/>
  <c r="J3525" i="15"/>
  <c r="H3526" i="15"/>
  <c r="I3526" i="15"/>
  <c r="J3526" i="15"/>
  <c r="H3527" i="15"/>
  <c r="I3527" i="15"/>
  <c r="J3527" i="15"/>
  <c r="H3528" i="15"/>
  <c r="I3528" i="15"/>
  <c r="J3528" i="15"/>
  <c r="H3529" i="15"/>
  <c r="I3529" i="15"/>
  <c r="J3529" i="15"/>
  <c r="H3530" i="15"/>
  <c r="I3530" i="15"/>
  <c r="J3530" i="15"/>
  <c r="H3531" i="15"/>
  <c r="I3531" i="15"/>
  <c r="J3531" i="15"/>
  <c r="H3532" i="15"/>
  <c r="I3532" i="15"/>
  <c r="J3532" i="15"/>
  <c r="H3533" i="15"/>
  <c r="I3533" i="15"/>
  <c r="J3533" i="15"/>
  <c r="H3534" i="15"/>
  <c r="I3534" i="15"/>
  <c r="J3534" i="15"/>
  <c r="H3535" i="15"/>
  <c r="I3535" i="15"/>
  <c r="J3535" i="15"/>
  <c r="H3536" i="15"/>
  <c r="I3536" i="15"/>
  <c r="J3536" i="15"/>
  <c r="H3537" i="15"/>
  <c r="I3537" i="15"/>
  <c r="J3537" i="15"/>
  <c r="H3538" i="15"/>
  <c r="I3538" i="15"/>
  <c r="J3538" i="15"/>
  <c r="H3539" i="15"/>
  <c r="I3539" i="15"/>
  <c r="J3539" i="15"/>
  <c r="H3540" i="15"/>
  <c r="I3540" i="15"/>
  <c r="J3540" i="15"/>
  <c r="H3541" i="15"/>
  <c r="I3541" i="15"/>
  <c r="J3541" i="15"/>
  <c r="H3542" i="15"/>
  <c r="I3542" i="15"/>
  <c r="J3542" i="15"/>
  <c r="H3543" i="15"/>
  <c r="I3543" i="15"/>
  <c r="J3543" i="15"/>
  <c r="H3544" i="15"/>
  <c r="I3544" i="15"/>
  <c r="J3544" i="15"/>
  <c r="H3545" i="15"/>
  <c r="I3545" i="15"/>
  <c r="J3545" i="15"/>
  <c r="H3546" i="15"/>
  <c r="I3546" i="15"/>
  <c r="J3546" i="15"/>
  <c r="H3547" i="15"/>
  <c r="I3547" i="15"/>
  <c r="J3547" i="15"/>
  <c r="H3548" i="15"/>
  <c r="I3548" i="15"/>
  <c r="J3548" i="15"/>
  <c r="H3549" i="15"/>
  <c r="I3549" i="15"/>
  <c r="J3549" i="15"/>
  <c r="H3550" i="15"/>
  <c r="I3550" i="15"/>
  <c r="J3550" i="15"/>
  <c r="H3551" i="15"/>
  <c r="I3551" i="15"/>
  <c r="J3551" i="15"/>
  <c r="H3552" i="15"/>
  <c r="I3552" i="15"/>
  <c r="J3552" i="15"/>
  <c r="H3553" i="15"/>
  <c r="I3553" i="15"/>
  <c r="J3553" i="15"/>
  <c r="H3554" i="15"/>
  <c r="I3554" i="15"/>
  <c r="J3554" i="15"/>
  <c r="H3555" i="15"/>
  <c r="I3555" i="15"/>
  <c r="J3555" i="15"/>
  <c r="H3556" i="15"/>
  <c r="I3556" i="15"/>
  <c r="J3556" i="15"/>
  <c r="H3557" i="15"/>
  <c r="I3557" i="15"/>
  <c r="J3557" i="15"/>
  <c r="H3558" i="15"/>
  <c r="I3558" i="15"/>
  <c r="J3558" i="15"/>
  <c r="H3559" i="15"/>
  <c r="I3559" i="15"/>
  <c r="J3559" i="15"/>
  <c r="H3560" i="15"/>
  <c r="I3560" i="15"/>
  <c r="J3560" i="15"/>
  <c r="H3561" i="15"/>
  <c r="I3561" i="15"/>
  <c r="J3561" i="15"/>
  <c r="H3562" i="15"/>
  <c r="I3562" i="15"/>
  <c r="J3562" i="15"/>
  <c r="H3563" i="15"/>
  <c r="I3563" i="15"/>
  <c r="J3563" i="15"/>
  <c r="H3564" i="15"/>
  <c r="I3564" i="15"/>
  <c r="J3564" i="15"/>
  <c r="H3565" i="15"/>
  <c r="I3565" i="15"/>
  <c r="J3565" i="15"/>
  <c r="H3566" i="15"/>
  <c r="I3566" i="15"/>
  <c r="J3566" i="15"/>
  <c r="H3567" i="15"/>
  <c r="I3567" i="15"/>
  <c r="J3567" i="15"/>
  <c r="H3568" i="15"/>
  <c r="I3568" i="15"/>
  <c r="J3568" i="15"/>
  <c r="H3569" i="15"/>
  <c r="I3569" i="15"/>
  <c r="J3569" i="15"/>
  <c r="H3570" i="15"/>
  <c r="I3570" i="15"/>
  <c r="J3570" i="15"/>
  <c r="H3571" i="15"/>
  <c r="I3571" i="15"/>
  <c r="J3571" i="15"/>
  <c r="H3572" i="15"/>
  <c r="I3572" i="15"/>
  <c r="J3572" i="15"/>
  <c r="H3573" i="15"/>
  <c r="I3573" i="15"/>
  <c r="J3573" i="15"/>
  <c r="H3574" i="15"/>
  <c r="I3574" i="15"/>
  <c r="J3574" i="15"/>
  <c r="H3575" i="15"/>
  <c r="I3575" i="15"/>
  <c r="J3575" i="15"/>
  <c r="H3576" i="15"/>
  <c r="I3576" i="15"/>
  <c r="J3576" i="15"/>
  <c r="H3577" i="15"/>
  <c r="I3577" i="15"/>
  <c r="J3577" i="15"/>
  <c r="H3578" i="15"/>
  <c r="I3578" i="15"/>
  <c r="J3578" i="15"/>
  <c r="H3579" i="15"/>
  <c r="I3579" i="15"/>
  <c r="J3579" i="15"/>
  <c r="H3580" i="15"/>
  <c r="I3580" i="15"/>
  <c r="J3580" i="15"/>
  <c r="H3581" i="15"/>
  <c r="I3581" i="15"/>
  <c r="J3581" i="15"/>
  <c r="H3582" i="15"/>
  <c r="I3582" i="15"/>
  <c r="J3582" i="15"/>
  <c r="H3583" i="15"/>
  <c r="I3583" i="15"/>
  <c r="J3583" i="15"/>
  <c r="H3584" i="15"/>
  <c r="I3584" i="15"/>
  <c r="J3584" i="15"/>
  <c r="H3585" i="15"/>
  <c r="I3585" i="15"/>
  <c r="J3585" i="15"/>
  <c r="H3586" i="15"/>
  <c r="I3586" i="15"/>
  <c r="J3586" i="15"/>
  <c r="H3587" i="15"/>
  <c r="I3587" i="15"/>
  <c r="J3587" i="15"/>
  <c r="H3588" i="15"/>
  <c r="I3588" i="15"/>
  <c r="J3588" i="15"/>
  <c r="H3589" i="15"/>
  <c r="I3589" i="15"/>
  <c r="J3589" i="15"/>
  <c r="H3590" i="15"/>
  <c r="I3590" i="15"/>
  <c r="J3590" i="15"/>
  <c r="H3591" i="15"/>
  <c r="I3591" i="15"/>
  <c r="J3591" i="15"/>
  <c r="H3592" i="15"/>
  <c r="I3592" i="15"/>
  <c r="J3592" i="15"/>
  <c r="H3593" i="15"/>
  <c r="I3593" i="15"/>
  <c r="J3593" i="15"/>
  <c r="H3594" i="15"/>
  <c r="I3594" i="15"/>
  <c r="J3594" i="15"/>
  <c r="H3595" i="15"/>
  <c r="I3595" i="15"/>
  <c r="J3595" i="15"/>
  <c r="H3596" i="15"/>
  <c r="I3596" i="15"/>
  <c r="J3596" i="15"/>
  <c r="H3597" i="15"/>
  <c r="I3597" i="15"/>
  <c r="J3597" i="15"/>
  <c r="H3598" i="15"/>
  <c r="I3598" i="15"/>
  <c r="J3598" i="15"/>
  <c r="H3599" i="15"/>
  <c r="I3599" i="15"/>
  <c r="J3599" i="15"/>
  <c r="H3600" i="15"/>
  <c r="I3600" i="15"/>
  <c r="J3600" i="15"/>
  <c r="H3601" i="15"/>
  <c r="I3601" i="15"/>
  <c r="J3601" i="15"/>
  <c r="H3602" i="15"/>
  <c r="I3602" i="15"/>
  <c r="J3602" i="15"/>
  <c r="H3603" i="15"/>
  <c r="I3603" i="15"/>
  <c r="J3603" i="15"/>
  <c r="H3604" i="15"/>
  <c r="I3604" i="15"/>
  <c r="J3604" i="15"/>
  <c r="H3605" i="15"/>
  <c r="I3605" i="15"/>
  <c r="J3605" i="15"/>
  <c r="H3606" i="15"/>
  <c r="I3606" i="15"/>
  <c r="J3606" i="15"/>
  <c r="H3607" i="15"/>
  <c r="I3607" i="15"/>
  <c r="J3607" i="15"/>
  <c r="H3608" i="15"/>
  <c r="I3608" i="15"/>
  <c r="J3608" i="15"/>
  <c r="H3609" i="15"/>
  <c r="I3609" i="15"/>
  <c r="J3609" i="15"/>
  <c r="H3610" i="15"/>
  <c r="I3610" i="15"/>
  <c r="J3610" i="15"/>
  <c r="H3611" i="15"/>
  <c r="I3611" i="15"/>
  <c r="J3611" i="15"/>
  <c r="H3612" i="15"/>
  <c r="I3612" i="15"/>
  <c r="J3612" i="15"/>
  <c r="H3613" i="15"/>
  <c r="I3613" i="15"/>
  <c r="J3613" i="15"/>
  <c r="H3614" i="15"/>
  <c r="I3614" i="15"/>
  <c r="J3614" i="15"/>
  <c r="H3615" i="15"/>
  <c r="I3615" i="15"/>
  <c r="J3615" i="15"/>
  <c r="H3616" i="15"/>
  <c r="I3616" i="15"/>
  <c r="J3616" i="15"/>
  <c r="H3617" i="15"/>
  <c r="I3617" i="15"/>
  <c r="J3617" i="15"/>
  <c r="H3618" i="15"/>
  <c r="I3618" i="15"/>
  <c r="J3618" i="15"/>
  <c r="H3619" i="15"/>
  <c r="I3619" i="15"/>
  <c r="J3619" i="15"/>
  <c r="H3620" i="15"/>
  <c r="I3620" i="15"/>
  <c r="J3620" i="15"/>
  <c r="H3621" i="15"/>
  <c r="I3621" i="15"/>
  <c r="J3621" i="15"/>
  <c r="H3622" i="15"/>
  <c r="I3622" i="15"/>
  <c r="J3622" i="15"/>
  <c r="H3623" i="15"/>
  <c r="I3623" i="15"/>
  <c r="J3623" i="15"/>
  <c r="H3624" i="15"/>
  <c r="I3624" i="15"/>
  <c r="J3624" i="15"/>
  <c r="H3625" i="15"/>
  <c r="I3625" i="15"/>
  <c r="J3625" i="15"/>
  <c r="H3626" i="15"/>
  <c r="I3626" i="15"/>
  <c r="J3626" i="15"/>
  <c r="H3627" i="15"/>
  <c r="I3627" i="15"/>
  <c r="J3627" i="15"/>
  <c r="H3628" i="15"/>
  <c r="I3628" i="15"/>
  <c r="J3628" i="15"/>
  <c r="H3629" i="15"/>
  <c r="I3629" i="15"/>
  <c r="J3629" i="15"/>
  <c r="H3630" i="15"/>
  <c r="I3630" i="15"/>
  <c r="J3630" i="15"/>
  <c r="H3631" i="15"/>
  <c r="I3631" i="15"/>
  <c r="J3631" i="15"/>
  <c r="H3632" i="15"/>
  <c r="I3632" i="15"/>
  <c r="J3632" i="15"/>
  <c r="H3633" i="15"/>
  <c r="I3633" i="15"/>
  <c r="J3633" i="15"/>
  <c r="H3634" i="15"/>
  <c r="I3634" i="15"/>
  <c r="J3634" i="15"/>
  <c r="H3635" i="15"/>
  <c r="I3635" i="15"/>
  <c r="J3635" i="15"/>
  <c r="H3636" i="15"/>
  <c r="I3636" i="15"/>
  <c r="J3636" i="15"/>
  <c r="H3637" i="15"/>
  <c r="I3637" i="15"/>
  <c r="J3637" i="15"/>
  <c r="H3638" i="15"/>
  <c r="I3638" i="15"/>
  <c r="J3638" i="15"/>
  <c r="H3639" i="15"/>
  <c r="I3639" i="15"/>
  <c r="J3639" i="15"/>
  <c r="H3640" i="15"/>
  <c r="I3640" i="15"/>
  <c r="J3640" i="15"/>
  <c r="H3641" i="15"/>
  <c r="I3641" i="15"/>
  <c r="J3641" i="15"/>
  <c r="H3642" i="15"/>
  <c r="I3642" i="15"/>
  <c r="J3642" i="15"/>
  <c r="H3643" i="15"/>
  <c r="I3643" i="15"/>
  <c r="J3643" i="15"/>
  <c r="H3644" i="15"/>
  <c r="I3644" i="15"/>
  <c r="J3644" i="15"/>
  <c r="H3645" i="15"/>
  <c r="I3645" i="15"/>
  <c r="J3645" i="15"/>
  <c r="H3646" i="15"/>
  <c r="I3646" i="15"/>
  <c r="J3646" i="15"/>
  <c r="H3647" i="15"/>
  <c r="I3647" i="15"/>
  <c r="J3647" i="15"/>
  <c r="H3648" i="15"/>
  <c r="I3648" i="15"/>
  <c r="J3648" i="15"/>
  <c r="H3649" i="15"/>
  <c r="I3649" i="15"/>
  <c r="J3649" i="15"/>
  <c r="H3650" i="15"/>
  <c r="I3650" i="15"/>
  <c r="J3650" i="15"/>
  <c r="H3651" i="15"/>
  <c r="I3651" i="15"/>
  <c r="J3651" i="15"/>
  <c r="H3652" i="15"/>
  <c r="I3652" i="15"/>
  <c r="J3652" i="15"/>
  <c r="H3653" i="15"/>
  <c r="I3653" i="15"/>
  <c r="J3653" i="15"/>
  <c r="H3654" i="15"/>
  <c r="I3654" i="15"/>
  <c r="J3654" i="15"/>
  <c r="H3655" i="15"/>
  <c r="I3655" i="15"/>
  <c r="J3655" i="15"/>
  <c r="H3656" i="15"/>
  <c r="I3656" i="15"/>
  <c r="J3656" i="15"/>
  <c r="H3657" i="15"/>
  <c r="I3657" i="15"/>
  <c r="J3657" i="15"/>
  <c r="H3658" i="15"/>
  <c r="I3658" i="15"/>
  <c r="J3658" i="15"/>
  <c r="H3659" i="15"/>
  <c r="I3659" i="15"/>
  <c r="J3659" i="15"/>
  <c r="H3660" i="15"/>
  <c r="I3660" i="15"/>
  <c r="J3660" i="15"/>
  <c r="H3661" i="15"/>
  <c r="I3661" i="15"/>
  <c r="J3661" i="15"/>
  <c r="H3662" i="15"/>
  <c r="I3662" i="15"/>
  <c r="J3662" i="15"/>
  <c r="H3663" i="15"/>
  <c r="I3663" i="15"/>
  <c r="J3663" i="15"/>
  <c r="H3664" i="15"/>
  <c r="I3664" i="15"/>
  <c r="J3664" i="15"/>
  <c r="H3665" i="15"/>
  <c r="I3665" i="15"/>
  <c r="J3665" i="15"/>
  <c r="H3666" i="15"/>
  <c r="I3666" i="15"/>
  <c r="J3666" i="15"/>
  <c r="H3667" i="15"/>
  <c r="I3667" i="15"/>
  <c r="J3667" i="15"/>
  <c r="H3668" i="15"/>
  <c r="I3668" i="15"/>
  <c r="J3668" i="15"/>
  <c r="H3669" i="15"/>
  <c r="I3669" i="15"/>
  <c r="J3669" i="15"/>
  <c r="H3670" i="15"/>
  <c r="I3670" i="15"/>
  <c r="J3670" i="15"/>
  <c r="H3671" i="15"/>
  <c r="I3671" i="15"/>
  <c r="J3671" i="15"/>
  <c r="H3672" i="15"/>
  <c r="I3672" i="15"/>
  <c r="J3672" i="15"/>
  <c r="H3673" i="15"/>
  <c r="I3673" i="15"/>
  <c r="J3673" i="15"/>
  <c r="H3674" i="15"/>
  <c r="I3674" i="15"/>
  <c r="J3674" i="15"/>
  <c r="H3675" i="15"/>
  <c r="I3675" i="15"/>
  <c r="J3675" i="15"/>
  <c r="H3676" i="15"/>
  <c r="I3676" i="15"/>
  <c r="J3676" i="15"/>
  <c r="H3677" i="15"/>
  <c r="I3677" i="15"/>
  <c r="J3677" i="15"/>
  <c r="H3678" i="15"/>
  <c r="I3678" i="15"/>
  <c r="J3678" i="15"/>
  <c r="H3679" i="15"/>
  <c r="I3679" i="15"/>
  <c r="J3679" i="15"/>
  <c r="H3680" i="15"/>
  <c r="I3680" i="15"/>
  <c r="J3680" i="15"/>
  <c r="H3681" i="15"/>
  <c r="I3681" i="15"/>
  <c r="J3681" i="15"/>
  <c r="H3682" i="15"/>
  <c r="I3682" i="15"/>
  <c r="J3682" i="15"/>
  <c r="H3683" i="15"/>
  <c r="I3683" i="15"/>
  <c r="J3683" i="15"/>
  <c r="H3684" i="15"/>
  <c r="I3684" i="15"/>
  <c r="J3684" i="15"/>
  <c r="H3685" i="15"/>
  <c r="I3685" i="15"/>
  <c r="J3685" i="15"/>
  <c r="H3686" i="15"/>
  <c r="I3686" i="15"/>
  <c r="J3686" i="15"/>
  <c r="H3687" i="15"/>
  <c r="I3687" i="15"/>
  <c r="J3687" i="15"/>
  <c r="H3688" i="15"/>
  <c r="I3688" i="15"/>
  <c r="J3688" i="15"/>
  <c r="H3689" i="15"/>
  <c r="I3689" i="15"/>
  <c r="J3689" i="15"/>
  <c r="H3690" i="15"/>
  <c r="I3690" i="15"/>
  <c r="J3690" i="15"/>
  <c r="H3691" i="15"/>
  <c r="I3691" i="15"/>
  <c r="J3691" i="15"/>
  <c r="H3692" i="15"/>
  <c r="I3692" i="15"/>
  <c r="J3692" i="15"/>
  <c r="H3693" i="15"/>
  <c r="I3693" i="15"/>
  <c r="J3693" i="15"/>
  <c r="H3694" i="15"/>
  <c r="I3694" i="15"/>
  <c r="J3694" i="15"/>
  <c r="H3695" i="15"/>
  <c r="I3695" i="15"/>
  <c r="J3695" i="15"/>
  <c r="H3696" i="15"/>
  <c r="I3696" i="15"/>
  <c r="J3696" i="15"/>
  <c r="H3697" i="15"/>
  <c r="I3697" i="15"/>
  <c r="J3697" i="15"/>
  <c r="H3698" i="15"/>
  <c r="I3698" i="15"/>
  <c r="J3698" i="15"/>
  <c r="H3699" i="15"/>
  <c r="I3699" i="15"/>
  <c r="J3699" i="15"/>
  <c r="H3700" i="15"/>
  <c r="I3700" i="15"/>
  <c r="J3700" i="15"/>
  <c r="H3701" i="15"/>
  <c r="I3701" i="15"/>
  <c r="J3701" i="15"/>
  <c r="H3702" i="15"/>
  <c r="I3702" i="15"/>
  <c r="J3702" i="15"/>
  <c r="H3703" i="15"/>
  <c r="I3703" i="15"/>
  <c r="J3703" i="15"/>
  <c r="H3704" i="15"/>
  <c r="I3704" i="15"/>
  <c r="J3704" i="15"/>
  <c r="H3705" i="15"/>
  <c r="I3705" i="15"/>
  <c r="J3705" i="15"/>
  <c r="H3706" i="15"/>
  <c r="I3706" i="15"/>
  <c r="J3706" i="15"/>
  <c r="H3707" i="15"/>
  <c r="I3707" i="15"/>
  <c r="J3707" i="15"/>
  <c r="H3708" i="15"/>
  <c r="I3708" i="15"/>
  <c r="J3708" i="15"/>
  <c r="H3709" i="15"/>
  <c r="I3709" i="15"/>
  <c r="J3709" i="15"/>
  <c r="H3710" i="15"/>
  <c r="I3710" i="15"/>
  <c r="J3710" i="15"/>
  <c r="H3711" i="15"/>
  <c r="I3711" i="15"/>
  <c r="J3711" i="15"/>
  <c r="H3712" i="15"/>
  <c r="I3712" i="15"/>
  <c r="J3712" i="15"/>
  <c r="H3713" i="15"/>
  <c r="I3713" i="15"/>
  <c r="J3713" i="15"/>
  <c r="H3714" i="15"/>
  <c r="I3714" i="15"/>
  <c r="J3714" i="15"/>
  <c r="H3715" i="15"/>
  <c r="I3715" i="15"/>
  <c r="J3715" i="15"/>
  <c r="H3716" i="15"/>
  <c r="I3716" i="15"/>
  <c r="J3716" i="15"/>
  <c r="H3717" i="15"/>
  <c r="I3717" i="15"/>
  <c r="J3717" i="15"/>
  <c r="H3718" i="15"/>
  <c r="I3718" i="15"/>
  <c r="J3718" i="15"/>
  <c r="H3719" i="15"/>
  <c r="I3719" i="15"/>
  <c r="J3719" i="15"/>
  <c r="H3720" i="15"/>
  <c r="I3720" i="15"/>
  <c r="J3720" i="15"/>
  <c r="H3721" i="15"/>
  <c r="I3721" i="15"/>
  <c r="J3721" i="15"/>
  <c r="H3722" i="15"/>
  <c r="I3722" i="15"/>
  <c r="J3722" i="15"/>
  <c r="H3723" i="15"/>
  <c r="I3723" i="15"/>
  <c r="J3723" i="15"/>
  <c r="H3724" i="15"/>
  <c r="I3724" i="15"/>
  <c r="J3724" i="15"/>
  <c r="H3725" i="15"/>
  <c r="I3725" i="15"/>
  <c r="J3725" i="15"/>
  <c r="H3726" i="15"/>
  <c r="I3726" i="15"/>
  <c r="J3726" i="15"/>
  <c r="H3727" i="15"/>
  <c r="I3727" i="15"/>
  <c r="J3727" i="15"/>
  <c r="H3728" i="15"/>
  <c r="I3728" i="15"/>
  <c r="J3728" i="15"/>
  <c r="H3729" i="15"/>
  <c r="I3729" i="15"/>
  <c r="J3729" i="15"/>
  <c r="H3730" i="15"/>
  <c r="I3730" i="15"/>
  <c r="J3730" i="15"/>
  <c r="H3731" i="15"/>
  <c r="I3731" i="15"/>
  <c r="J3731" i="15"/>
  <c r="H3732" i="15"/>
  <c r="I3732" i="15"/>
  <c r="J3732" i="15"/>
  <c r="H3733" i="15"/>
  <c r="I3733" i="15"/>
  <c r="J3733" i="15"/>
  <c r="H3734" i="15"/>
  <c r="I3734" i="15"/>
  <c r="J3734" i="15"/>
  <c r="H3735" i="15"/>
  <c r="I3735" i="15"/>
  <c r="J3735" i="15"/>
  <c r="H3736" i="15"/>
  <c r="I3736" i="15"/>
  <c r="J3736" i="15"/>
  <c r="H3737" i="15"/>
  <c r="I3737" i="15"/>
  <c r="J3737" i="15"/>
  <c r="H3738" i="15"/>
  <c r="I3738" i="15"/>
  <c r="J3738" i="15"/>
  <c r="H3739" i="15"/>
  <c r="I3739" i="15"/>
  <c r="J3739" i="15"/>
  <c r="H3740" i="15"/>
  <c r="I3740" i="15"/>
  <c r="J3740" i="15"/>
  <c r="H3741" i="15"/>
  <c r="I3741" i="15"/>
  <c r="J3741" i="15"/>
  <c r="H3742" i="15"/>
  <c r="I3742" i="15"/>
  <c r="J3742" i="15"/>
  <c r="H3743" i="15"/>
  <c r="I3743" i="15"/>
  <c r="J3743" i="15"/>
  <c r="H3744" i="15"/>
  <c r="I3744" i="15"/>
  <c r="J3744" i="15"/>
  <c r="H3745" i="15"/>
  <c r="I3745" i="15"/>
  <c r="J3745" i="15"/>
  <c r="H3746" i="15"/>
  <c r="I3746" i="15"/>
  <c r="J3746" i="15"/>
  <c r="H3747" i="15"/>
  <c r="I3747" i="15"/>
  <c r="J3747" i="15"/>
  <c r="H3748" i="15"/>
  <c r="I3748" i="15"/>
  <c r="J3748" i="15"/>
  <c r="H3749" i="15"/>
  <c r="I3749" i="15"/>
  <c r="J3749" i="15"/>
  <c r="H3750" i="15"/>
  <c r="I3750" i="15"/>
  <c r="J3750" i="15"/>
  <c r="H3751" i="15"/>
  <c r="I3751" i="15"/>
  <c r="J3751" i="15"/>
  <c r="H3752" i="15"/>
  <c r="I3752" i="15"/>
  <c r="J3752" i="15"/>
  <c r="H3753" i="15"/>
  <c r="I3753" i="15"/>
  <c r="J3753" i="15"/>
  <c r="H3754" i="15"/>
  <c r="I3754" i="15"/>
  <c r="J3754" i="15"/>
  <c r="H3755" i="15"/>
  <c r="I3755" i="15"/>
  <c r="J3755" i="15"/>
  <c r="H3756" i="15"/>
  <c r="I3756" i="15"/>
  <c r="J3756" i="15"/>
  <c r="H3757" i="15"/>
  <c r="I3757" i="15"/>
  <c r="J3757" i="15"/>
  <c r="H3758" i="15"/>
  <c r="I3758" i="15"/>
  <c r="J3758" i="15"/>
  <c r="H3759" i="15"/>
  <c r="I3759" i="15"/>
  <c r="J3759" i="15"/>
  <c r="H3760" i="15"/>
  <c r="I3760" i="15"/>
  <c r="J3760" i="15"/>
  <c r="H3761" i="15"/>
  <c r="I3761" i="15"/>
  <c r="J3761" i="15"/>
  <c r="H3762" i="15"/>
  <c r="I3762" i="15"/>
  <c r="J3762" i="15"/>
  <c r="H3763" i="15"/>
  <c r="I3763" i="15"/>
  <c r="J3763" i="15"/>
  <c r="H3764" i="15"/>
  <c r="I3764" i="15"/>
  <c r="J3764" i="15"/>
  <c r="H3765" i="15"/>
  <c r="I3765" i="15"/>
  <c r="J3765" i="15"/>
  <c r="H3766" i="15"/>
  <c r="I3766" i="15"/>
  <c r="J3766" i="15"/>
  <c r="H3767" i="15"/>
  <c r="I3767" i="15"/>
  <c r="J3767" i="15"/>
  <c r="H3768" i="15"/>
  <c r="I3768" i="15"/>
  <c r="J3768" i="15"/>
  <c r="H3769" i="15"/>
  <c r="I3769" i="15"/>
  <c r="J3769" i="15"/>
  <c r="H3770" i="15"/>
  <c r="I3770" i="15"/>
  <c r="J3770" i="15"/>
  <c r="H3771" i="15"/>
  <c r="I3771" i="15"/>
  <c r="J3771" i="15"/>
  <c r="H3772" i="15"/>
  <c r="I3772" i="15"/>
  <c r="J3772" i="15"/>
  <c r="H3773" i="15"/>
  <c r="I3773" i="15"/>
  <c r="J3773" i="15"/>
  <c r="H3774" i="15"/>
  <c r="I3774" i="15"/>
  <c r="J3774" i="15"/>
  <c r="H3775" i="15"/>
  <c r="I3775" i="15"/>
  <c r="J3775" i="15"/>
  <c r="H3776" i="15"/>
  <c r="I3776" i="15"/>
  <c r="J3776" i="15"/>
  <c r="H3777" i="15"/>
  <c r="I3777" i="15"/>
  <c r="J3777" i="15"/>
  <c r="H3778" i="15"/>
  <c r="I3778" i="15"/>
  <c r="J3778" i="15"/>
  <c r="H3779" i="15"/>
  <c r="I3779" i="15"/>
  <c r="J3779" i="15"/>
  <c r="H3780" i="15"/>
  <c r="I3780" i="15"/>
  <c r="J3780" i="15"/>
  <c r="H3781" i="15"/>
  <c r="I3781" i="15"/>
  <c r="J3781" i="15"/>
  <c r="H3782" i="15"/>
  <c r="I3782" i="15"/>
  <c r="J3782" i="15"/>
  <c r="H3783" i="15"/>
  <c r="I3783" i="15"/>
  <c r="J3783" i="15"/>
  <c r="H3784" i="15"/>
  <c r="I3784" i="15"/>
  <c r="J3784" i="15"/>
  <c r="H3785" i="15"/>
  <c r="I3785" i="15"/>
  <c r="J3785" i="15"/>
  <c r="H3786" i="15"/>
  <c r="I3786" i="15"/>
  <c r="J3786" i="15"/>
  <c r="H3787" i="15"/>
  <c r="I3787" i="15"/>
  <c r="J3787" i="15"/>
  <c r="H3788" i="15"/>
  <c r="I3788" i="15"/>
  <c r="J3788" i="15"/>
  <c r="H3789" i="15"/>
  <c r="I3789" i="15"/>
  <c r="J3789" i="15"/>
  <c r="H3790" i="15"/>
  <c r="I3790" i="15"/>
  <c r="J3790" i="15"/>
  <c r="H3791" i="15"/>
  <c r="I3791" i="15"/>
  <c r="J3791" i="15"/>
  <c r="H3792" i="15"/>
  <c r="I3792" i="15"/>
  <c r="J3792" i="15"/>
  <c r="H3793" i="15"/>
  <c r="I3793" i="15"/>
  <c r="J3793" i="15"/>
  <c r="H3794" i="15"/>
  <c r="I3794" i="15"/>
  <c r="J3794" i="15"/>
  <c r="H3795" i="15"/>
  <c r="I3795" i="15"/>
  <c r="J3795" i="15"/>
  <c r="H3796" i="15"/>
  <c r="I3796" i="15"/>
  <c r="J3796" i="15"/>
  <c r="H3797" i="15"/>
  <c r="I3797" i="15"/>
  <c r="J3797" i="15"/>
  <c r="H3798" i="15"/>
  <c r="I3798" i="15"/>
  <c r="J3798" i="15"/>
  <c r="H3799" i="15"/>
  <c r="I3799" i="15"/>
  <c r="J3799" i="15"/>
  <c r="H3800" i="15"/>
  <c r="I3800" i="15"/>
  <c r="J3800" i="15"/>
  <c r="H3801" i="15"/>
  <c r="I3801" i="15"/>
  <c r="J3801" i="15"/>
  <c r="H3802" i="15"/>
  <c r="I3802" i="15"/>
  <c r="J3802" i="15"/>
  <c r="H3803" i="15"/>
  <c r="I3803" i="15"/>
  <c r="J3803" i="15"/>
  <c r="H3804" i="15"/>
  <c r="I3804" i="15"/>
  <c r="J3804" i="15"/>
  <c r="H3805" i="15"/>
  <c r="I3805" i="15"/>
  <c r="J3805" i="15"/>
  <c r="H3806" i="15"/>
  <c r="I3806" i="15"/>
  <c r="J3806" i="15"/>
  <c r="H3807" i="15"/>
  <c r="I3807" i="15"/>
  <c r="J3807" i="15"/>
  <c r="H3808" i="15"/>
  <c r="I3808" i="15"/>
  <c r="J3808" i="15"/>
  <c r="H3809" i="15"/>
  <c r="I3809" i="15"/>
  <c r="J3809" i="15"/>
  <c r="H3810" i="15"/>
  <c r="I3810" i="15"/>
  <c r="J3810" i="15"/>
  <c r="H3811" i="15"/>
  <c r="I3811" i="15"/>
  <c r="J3811" i="15"/>
  <c r="H3812" i="15"/>
  <c r="I3812" i="15"/>
  <c r="J3812" i="15"/>
  <c r="H3813" i="15"/>
  <c r="I3813" i="15"/>
  <c r="J3813" i="15"/>
  <c r="H3814" i="15"/>
  <c r="I3814" i="15"/>
  <c r="J3814" i="15"/>
  <c r="H3815" i="15"/>
  <c r="I3815" i="15"/>
  <c r="J3815" i="15"/>
  <c r="H3816" i="15"/>
  <c r="I3816" i="15"/>
  <c r="J3816" i="15"/>
  <c r="H3817" i="15"/>
  <c r="I3817" i="15"/>
  <c r="J3817" i="15"/>
  <c r="H3818" i="15"/>
  <c r="I3818" i="15"/>
  <c r="J3818" i="15"/>
  <c r="H3819" i="15"/>
  <c r="I3819" i="15"/>
  <c r="J3819" i="15"/>
  <c r="H3820" i="15"/>
  <c r="I3820" i="15"/>
  <c r="J3820" i="15"/>
  <c r="H3821" i="15"/>
  <c r="I3821" i="15"/>
  <c r="J3821" i="15"/>
  <c r="H3822" i="15"/>
  <c r="I3822" i="15"/>
  <c r="J3822" i="15"/>
  <c r="H3823" i="15"/>
  <c r="I3823" i="15"/>
  <c r="J3823" i="15"/>
  <c r="H3824" i="15"/>
  <c r="I3824" i="15"/>
  <c r="J3824" i="15"/>
  <c r="H3825" i="15"/>
  <c r="I3825" i="15"/>
  <c r="J3825" i="15"/>
  <c r="H3826" i="15"/>
  <c r="I3826" i="15"/>
  <c r="J3826" i="15"/>
  <c r="H3827" i="15"/>
  <c r="I3827" i="15"/>
  <c r="J3827" i="15"/>
  <c r="H3828" i="15"/>
  <c r="I3828" i="15"/>
  <c r="J3828" i="15"/>
  <c r="H3829" i="15"/>
  <c r="I3829" i="15"/>
  <c r="J3829" i="15"/>
  <c r="H3830" i="15"/>
  <c r="I3830" i="15"/>
  <c r="J3830" i="15"/>
  <c r="H3831" i="15"/>
  <c r="I3831" i="15"/>
  <c r="J3831" i="15"/>
  <c r="H3832" i="15"/>
  <c r="I3832" i="15"/>
  <c r="J3832" i="15"/>
  <c r="H3833" i="15"/>
  <c r="I3833" i="15"/>
  <c r="J3833" i="15"/>
  <c r="H3834" i="15"/>
  <c r="I3834" i="15"/>
  <c r="J3834" i="15"/>
  <c r="H3835" i="15"/>
  <c r="I3835" i="15"/>
  <c r="J3835" i="15"/>
  <c r="H3836" i="15"/>
  <c r="I3836" i="15"/>
  <c r="J3836" i="15"/>
  <c r="H3837" i="15"/>
  <c r="I3837" i="15"/>
  <c r="J3837" i="15"/>
  <c r="H3838" i="15"/>
  <c r="I3838" i="15"/>
  <c r="J3838" i="15"/>
  <c r="H3839" i="15"/>
  <c r="I3839" i="15"/>
  <c r="J3839" i="15"/>
  <c r="H3840" i="15"/>
  <c r="I3840" i="15"/>
  <c r="J3840" i="15"/>
  <c r="H3841" i="15"/>
  <c r="I3841" i="15"/>
  <c r="J3841" i="15"/>
  <c r="H3842" i="15"/>
  <c r="I3842" i="15"/>
  <c r="J3842" i="15"/>
  <c r="H3843" i="15"/>
  <c r="I3843" i="15"/>
  <c r="J3843" i="15"/>
  <c r="H3844" i="15"/>
  <c r="I3844" i="15"/>
  <c r="J3844" i="15"/>
  <c r="H3845" i="15"/>
  <c r="I3845" i="15"/>
  <c r="J3845" i="15"/>
  <c r="H3846" i="15"/>
  <c r="I3846" i="15"/>
  <c r="J3846" i="15"/>
  <c r="H3847" i="15"/>
  <c r="I3847" i="15"/>
  <c r="J3847" i="15"/>
  <c r="H3848" i="15"/>
  <c r="I3848" i="15"/>
  <c r="J3848" i="15"/>
  <c r="H3849" i="15"/>
  <c r="I3849" i="15"/>
  <c r="J3849" i="15"/>
  <c r="H3850" i="15"/>
  <c r="I3850" i="15"/>
  <c r="J3850" i="15"/>
  <c r="H3851" i="15"/>
  <c r="I3851" i="15"/>
  <c r="J3851" i="15"/>
  <c r="H3852" i="15"/>
  <c r="I3852" i="15"/>
  <c r="J3852" i="15"/>
  <c r="H3853" i="15"/>
  <c r="I3853" i="15"/>
  <c r="J3853" i="15"/>
  <c r="H3854" i="15"/>
  <c r="I3854" i="15"/>
  <c r="J3854" i="15"/>
  <c r="H3855" i="15"/>
  <c r="I3855" i="15"/>
  <c r="J3855" i="15"/>
  <c r="H3856" i="15"/>
  <c r="I3856" i="15"/>
  <c r="J3856" i="15"/>
  <c r="H3857" i="15"/>
  <c r="I3857" i="15"/>
  <c r="J3857" i="15"/>
  <c r="H3858" i="15"/>
  <c r="I3858" i="15"/>
  <c r="J3858" i="15"/>
  <c r="H3859" i="15"/>
  <c r="I3859" i="15"/>
  <c r="J3859" i="15"/>
  <c r="H3860" i="15"/>
  <c r="I3860" i="15"/>
  <c r="J3860" i="15"/>
  <c r="H3861" i="15"/>
  <c r="I3861" i="15"/>
  <c r="J3861" i="15"/>
  <c r="H3862" i="15"/>
  <c r="I3862" i="15"/>
  <c r="J3862" i="15"/>
  <c r="H3863" i="15"/>
  <c r="I3863" i="15"/>
  <c r="J3863" i="15"/>
  <c r="H3864" i="15"/>
  <c r="I3864" i="15"/>
  <c r="J3864" i="15"/>
  <c r="H3865" i="15"/>
  <c r="I3865" i="15"/>
  <c r="J3865" i="15"/>
  <c r="H3866" i="15"/>
  <c r="I3866" i="15"/>
  <c r="J3866" i="15"/>
  <c r="H3867" i="15"/>
  <c r="I3867" i="15"/>
  <c r="J3867" i="15"/>
  <c r="H3868" i="15"/>
  <c r="I3868" i="15"/>
  <c r="J3868" i="15"/>
  <c r="H3869" i="15"/>
  <c r="I3869" i="15"/>
  <c r="J3869" i="15"/>
  <c r="H3870" i="15"/>
  <c r="I3870" i="15"/>
  <c r="J3870" i="15"/>
  <c r="H3871" i="15"/>
  <c r="I3871" i="15"/>
  <c r="J3871" i="15"/>
  <c r="H3872" i="15"/>
  <c r="I3872" i="15"/>
  <c r="J3872" i="15"/>
  <c r="H3873" i="15"/>
  <c r="I3873" i="15"/>
  <c r="J3873" i="15"/>
  <c r="H3874" i="15"/>
  <c r="I3874" i="15"/>
  <c r="J3874" i="15"/>
  <c r="H3875" i="15"/>
  <c r="I3875" i="15"/>
  <c r="J3875" i="15"/>
  <c r="H3876" i="15"/>
  <c r="I3876" i="15"/>
  <c r="J3876" i="15"/>
  <c r="H3877" i="15"/>
  <c r="I3877" i="15"/>
  <c r="J3877" i="15"/>
  <c r="H3878" i="15"/>
  <c r="I3878" i="15"/>
  <c r="J3878" i="15"/>
  <c r="H3879" i="15"/>
  <c r="I3879" i="15"/>
  <c r="J3879" i="15"/>
  <c r="H3880" i="15"/>
  <c r="I3880" i="15"/>
  <c r="J3880" i="15"/>
  <c r="H3881" i="15"/>
  <c r="I3881" i="15"/>
  <c r="J3881" i="15"/>
  <c r="H3882" i="15"/>
  <c r="I3882" i="15"/>
  <c r="J3882" i="15"/>
  <c r="H3883" i="15"/>
  <c r="I3883" i="15"/>
  <c r="J3883" i="15"/>
  <c r="H3884" i="15"/>
  <c r="I3884" i="15"/>
  <c r="J3884" i="15"/>
  <c r="H3885" i="15"/>
  <c r="I3885" i="15"/>
  <c r="J3885" i="15"/>
  <c r="H3886" i="15"/>
  <c r="I3886" i="15"/>
  <c r="J3886" i="15"/>
  <c r="H3887" i="15"/>
  <c r="I3887" i="15"/>
  <c r="J3887" i="15"/>
  <c r="H3888" i="15"/>
  <c r="I3888" i="15"/>
  <c r="J3888" i="15"/>
  <c r="H3889" i="15"/>
  <c r="I3889" i="15"/>
  <c r="J3889" i="15"/>
  <c r="H3890" i="15"/>
  <c r="I3890" i="15"/>
  <c r="J3890" i="15"/>
  <c r="H3891" i="15"/>
  <c r="I3891" i="15"/>
  <c r="J3891" i="15"/>
  <c r="H3892" i="15"/>
  <c r="I3892" i="15"/>
  <c r="J3892" i="15"/>
  <c r="H3893" i="15"/>
  <c r="I3893" i="15"/>
  <c r="J3893" i="15"/>
  <c r="H3894" i="15"/>
  <c r="I3894" i="15"/>
  <c r="J3894" i="15"/>
  <c r="H3895" i="15"/>
  <c r="I3895" i="15"/>
  <c r="J3895" i="15"/>
  <c r="H3896" i="15"/>
  <c r="I3896" i="15"/>
  <c r="J3896" i="15"/>
  <c r="H3897" i="15"/>
  <c r="I3897" i="15"/>
  <c r="J3897" i="15"/>
  <c r="H3898" i="15"/>
  <c r="I3898" i="15"/>
  <c r="J3898" i="15"/>
  <c r="H3899" i="15"/>
  <c r="I3899" i="15"/>
  <c r="J3899" i="15"/>
  <c r="H3900" i="15"/>
  <c r="I3900" i="15"/>
  <c r="J3900" i="15"/>
  <c r="H3901" i="15"/>
  <c r="I3901" i="15"/>
  <c r="J3901" i="15"/>
  <c r="H3902" i="15"/>
  <c r="I3902" i="15"/>
  <c r="J3902" i="15"/>
  <c r="H3903" i="15"/>
  <c r="I3903" i="15"/>
  <c r="J3903" i="15"/>
  <c r="H3904" i="15"/>
  <c r="I3904" i="15"/>
  <c r="J3904" i="15"/>
  <c r="H3905" i="15"/>
  <c r="I3905" i="15"/>
  <c r="J3905" i="15"/>
  <c r="H3906" i="15"/>
  <c r="I3906" i="15"/>
  <c r="J3906" i="15"/>
  <c r="H3907" i="15"/>
  <c r="I3907" i="15"/>
  <c r="J3907" i="15"/>
  <c r="H3908" i="15"/>
  <c r="I3908" i="15"/>
  <c r="J3908" i="15"/>
  <c r="H3909" i="15"/>
  <c r="I3909" i="15"/>
  <c r="J3909" i="15"/>
  <c r="H3910" i="15"/>
  <c r="I3910" i="15"/>
  <c r="J3910" i="15"/>
  <c r="H3911" i="15"/>
  <c r="I3911" i="15"/>
  <c r="J3911" i="15"/>
  <c r="H3912" i="15"/>
  <c r="I3912" i="15"/>
  <c r="J3912" i="15"/>
  <c r="H3913" i="15"/>
  <c r="I3913" i="15"/>
  <c r="J3913" i="15"/>
  <c r="H3914" i="15"/>
  <c r="I3914" i="15"/>
  <c r="J3914" i="15"/>
  <c r="H3915" i="15"/>
  <c r="I3915" i="15"/>
  <c r="J3915" i="15"/>
  <c r="H3916" i="15"/>
  <c r="I3916" i="15"/>
  <c r="J3916" i="15"/>
  <c r="H3917" i="15"/>
  <c r="I3917" i="15"/>
  <c r="J3917" i="15"/>
  <c r="H3918" i="15"/>
  <c r="I3918" i="15"/>
  <c r="J3918" i="15"/>
  <c r="H3919" i="15"/>
  <c r="I3919" i="15"/>
  <c r="J3919" i="15"/>
  <c r="H3920" i="15"/>
  <c r="I3920" i="15"/>
  <c r="J3920" i="15"/>
  <c r="H3921" i="15"/>
  <c r="I3921" i="15"/>
  <c r="J3921" i="15"/>
  <c r="H3922" i="15"/>
  <c r="I3922" i="15"/>
  <c r="J3922" i="15"/>
  <c r="H3923" i="15"/>
  <c r="I3923" i="15"/>
  <c r="J3923" i="15"/>
  <c r="H3924" i="15"/>
  <c r="I3924" i="15"/>
  <c r="J3924" i="15"/>
  <c r="H3925" i="15"/>
  <c r="I3925" i="15"/>
  <c r="J3925" i="15"/>
  <c r="H3926" i="15"/>
  <c r="I3926" i="15"/>
  <c r="J3926" i="15"/>
  <c r="H3927" i="15"/>
  <c r="I3927" i="15"/>
  <c r="J3927" i="15"/>
  <c r="H3928" i="15"/>
  <c r="I3928" i="15"/>
  <c r="J3928" i="15"/>
  <c r="H3929" i="15"/>
  <c r="I3929" i="15"/>
  <c r="J3929" i="15"/>
  <c r="H3930" i="15"/>
  <c r="I3930" i="15"/>
  <c r="J3930" i="15"/>
  <c r="H3931" i="15"/>
  <c r="I3931" i="15"/>
  <c r="J3931" i="15"/>
  <c r="H3932" i="15"/>
  <c r="I3932" i="15"/>
  <c r="J3932" i="15"/>
  <c r="H3933" i="15"/>
  <c r="I3933" i="15"/>
  <c r="J3933" i="15"/>
  <c r="H3934" i="15"/>
  <c r="I3934" i="15"/>
  <c r="J3934" i="15"/>
  <c r="H3935" i="15"/>
  <c r="I3935" i="15"/>
  <c r="J3935" i="15"/>
  <c r="H3936" i="15"/>
  <c r="I3936" i="15"/>
  <c r="J3936" i="15"/>
  <c r="H3937" i="15"/>
  <c r="I3937" i="15"/>
  <c r="J3937" i="15"/>
  <c r="H3938" i="15"/>
  <c r="I3938" i="15"/>
  <c r="J3938" i="15"/>
  <c r="H3939" i="15"/>
  <c r="I3939" i="15"/>
  <c r="J3939" i="15"/>
  <c r="H3940" i="15"/>
  <c r="I3940" i="15"/>
  <c r="J3940" i="15"/>
  <c r="H3941" i="15"/>
  <c r="I3941" i="15"/>
  <c r="J3941" i="15"/>
  <c r="H3942" i="15"/>
  <c r="I3942" i="15"/>
  <c r="J3942" i="15"/>
  <c r="H3943" i="15"/>
  <c r="I3943" i="15"/>
  <c r="J3943" i="15"/>
  <c r="H3944" i="15"/>
  <c r="I3944" i="15"/>
  <c r="J3944" i="15"/>
  <c r="H3945" i="15"/>
  <c r="I3945" i="15"/>
  <c r="J3945" i="15"/>
  <c r="H3946" i="15"/>
  <c r="I3946" i="15"/>
  <c r="J3946" i="15"/>
  <c r="H3947" i="15"/>
  <c r="I3947" i="15"/>
  <c r="J3947" i="15"/>
  <c r="H3948" i="15"/>
  <c r="I3948" i="15"/>
  <c r="J3948" i="15"/>
  <c r="H3949" i="15"/>
  <c r="I3949" i="15"/>
  <c r="J3949" i="15"/>
  <c r="H3950" i="15"/>
  <c r="I3950" i="15"/>
  <c r="J3950" i="15"/>
  <c r="H3951" i="15"/>
  <c r="I3951" i="15"/>
  <c r="J3951" i="15"/>
  <c r="H3952" i="15"/>
  <c r="I3952" i="15"/>
  <c r="J3952" i="15"/>
  <c r="H3953" i="15"/>
  <c r="I3953" i="15"/>
  <c r="J3953" i="15"/>
  <c r="H3954" i="15"/>
  <c r="I3954" i="15"/>
  <c r="J3954" i="15"/>
  <c r="H3955" i="15"/>
  <c r="I3955" i="15"/>
  <c r="J3955" i="15"/>
  <c r="H3956" i="15"/>
  <c r="I3956" i="15"/>
  <c r="J3956" i="15"/>
  <c r="H3957" i="15"/>
  <c r="I3957" i="15"/>
  <c r="J3957" i="15"/>
  <c r="H3958" i="15"/>
  <c r="I3958" i="15"/>
  <c r="J3958" i="15"/>
  <c r="H3959" i="15"/>
  <c r="I3959" i="15"/>
  <c r="J3959" i="15"/>
  <c r="H3960" i="15"/>
  <c r="I3960" i="15"/>
  <c r="J3960" i="15"/>
  <c r="H3961" i="15"/>
  <c r="I3961" i="15"/>
  <c r="J3961" i="15"/>
  <c r="H3962" i="15"/>
  <c r="I3962" i="15"/>
  <c r="J3962" i="15"/>
  <c r="H3963" i="15"/>
  <c r="I3963" i="15"/>
  <c r="J3963" i="15"/>
  <c r="H3964" i="15"/>
  <c r="I3964" i="15"/>
  <c r="J3964" i="15"/>
  <c r="H3965" i="15"/>
  <c r="I3965" i="15"/>
  <c r="J3965" i="15"/>
  <c r="H3966" i="15"/>
  <c r="I3966" i="15"/>
  <c r="J3966" i="15"/>
  <c r="H3967" i="15"/>
  <c r="I3967" i="15"/>
  <c r="J3967" i="15"/>
  <c r="H3968" i="15"/>
  <c r="I3968" i="15"/>
  <c r="J3968" i="15"/>
  <c r="H3969" i="15"/>
  <c r="I3969" i="15"/>
  <c r="J3969" i="15"/>
  <c r="H3970" i="15"/>
  <c r="I3970" i="15"/>
  <c r="J3970" i="15"/>
  <c r="H3971" i="15"/>
  <c r="I3971" i="15"/>
  <c r="J3971" i="15"/>
  <c r="H3972" i="15"/>
  <c r="I3972" i="15"/>
  <c r="J3972" i="15"/>
  <c r="H3973" i="15"/>
  <c r="I3973" i="15"/>
  <c r="J3973" i="15"/>
  <c r="H3974" i="15"/>
  <c r="I3974" i="15"/>
  <c r="J3974" i="15"/>
  <c r="H3975" i="15"/>
  <c r="I3975" i="15"/>
  <c r="J3975" i="15"/>
  <c r="H3976" i="15"/>
  <c r="I3976" i="15"/>
  <c r="J3976" i="15"/>
  <c r="H3977" i="15"/>
  <c r="I3977" i="15"/>
  <c r="J3977" i="15"/>
  <c r="H3978" i="15"/>
  <c r="I3978" i="15"/>
  <c r="J3978" i="15"/>
  <c r="H3979" i="15"/>
  <c r="I3979" i="15"/>
  <c r="J3979" i="15"/>
  <c r="H3980" i="15"/>
  <c r="I3980" i="15"/>
  <c r="J3980" i="15"/>
  <c r="H3981" i="15"/>
  <c r="I3981" i="15"/>
  <c r="J3981" i="15"/>
  <c r="H3982" i="15"/>
  <c r="I3982" i="15"/>
  <c r="J3982" i="15"/>
  <c r="H3983" i="15"/>
  <c r="I3983" i="15"/>
  <c r="J3983" i="15"/>
  <c r="H3984" i="15"/>
  <c r="I3984" i="15"/>
  <c r="J3984" i="15"/>
  <c r="H3985" i="15"/>
  <c r="I3985" i="15"/>
  <c r="J3985" i="15"/>
  <c r="H3986" i="15"/>
  <c r="I3986" i="15"/>
  <c r="J3986" i="15"/>
  <c r="H3987" i="15"/>
  <c r="I3987" i="15"/>
  <c r="J3987" i="15"/>
  <c r="H3988" i="15"/>
  <c r="I3988" i="15"/>
  <c r="J3988" i="15"/>
  <c r="H3989" i="15"/>
  <c r="I3989" i="15"/>
  <c r="J3989" i="15"/>
  <c r="H3990" i="15"/>
  <c r="I3990" i="15"/>
  <c r="J3990" i="15"/>
  <c r="H3991" i="15"/>
  <c r="I3991" i="15"/>
  <c r="J3991" i="15"/>
  <c r="H3992" i="15"/>
  <c r="I3992" i="15"/>
  <c r="J3992" i="15"/>
  <c r="H3993" i="15"/>
  <c r="I3993" i="15"/>
  <c r="J3993" i="15"/>
  <c r="H3994" i="15"/>
  <c r="I3994" i="15"/>
  <c r="J3994" i="15"/>
  <c r="H3995" i="15"/>
  <c r="I3995" i="15"/>
  <c r="J3995" i="15"/>
  <c r="H3996" i="15"/>
  <c r="I3996" i="15"/>
  <c r="J3996" i="15"/>
  <c r="H3997" i="15"/>
  <c r="I3997" i="15"/>
  <c r="J3997" i="15"/>
  <c r="H3998" i="15"/>
  <c r="I3998" i="15"/>
  <c r="J3998" i="15"/>
  <c r="H3999" i="15"/>
  <c r="I3999" i="15"/>
  <c r="J3999" i="15"/>
  <c r="H4000" i="15"/>
  <c r="I4000" i="15"/>
  <c r="J4000" i="15"/>
  <c r="H4001" i="15"/>
  <c r="I4001" i="15"/>
  <c r="J4001" i="15"/>
  <c r="H4002" i="15"/>
  <c r="I4002" i="15"/>
  <c r="J4002" i="15"/>
  <c r="H4003" i="15"/>
  <c r="I4003" i="15"/>
  <c r="J4003" i="15"/>
  <c r="H4004" i="15"/>
  <c r="I4004" i="15"/>
  <c r="J4004" i="15"/>
  <c r="H4005" i="15"/>
  <c r="I4005" i="15"/>
  <c r="J4005" i="15"/>
  <c r="H4006" i="15"/>
  <c r="I4006" i="15"/>
  <c r="J4006" i="15"/>
  <c r="H4007" i="15"/>
  <c r="I4007" i="15"/>
  <c r="J4007" i="15"/>
  <c r="H4008" i="15"/>
  <c r="I4008" i="15"/>
  <c r="J4008" i="15"/>
  <c r="H4009" i="15"/>
  <c r="I4009" i="15"/>
  <c r="J4009" i="15"/>
  <c r="H4010" i="15"/>
  <c r="I4010" i="15"/>
  <c r="J4010" i="15"/>
  <c r="H4011" i="15"/>
  <c r="I4011" i="15"/>
  <c r="J4011" i="15"/>
  <c r="H4012" i="15"/>
  <c r="I4012" i="15"/>
  <c r="J4012" i="15"/>
  <c r="H4013" i="15"/>
  <c r="I4013" i="15"/>
  <c r="J4013" i="15"/>
  <c r="H4014" i="15"/>
  <c r="I4014" i="15"/>
  <c r="J4014" i="15"/>
  <c r="H4015" i="15"/>
  <c r="I4015" i="15"/>
  <c r="J4015" i="15"/>
  <c r="H4016" i="15"/>
  <c r="I4016" i="15"/>
  <c r="J4016" i="15"/>
  <c r="H4017" i="15"/>
  <c r="I4017" i="15"/>
  <c r="J4017" i="15"/>
  <c r="H4018" i="15"/>
  <c r="I4018" i="15"/>
  <c r="J4018" i="15"/>
  <c r="H4019" i="15"/>
  <c r="I4019" i="15"/>
  <c r="J4019" i="15"/>
  <c r="H4020" i="15"/>
  <c r="I4020" i="15"/>
  <c r="J4020" i="15"/>
  <c r="H4021" i="15"/>
  <c r="I4021" i="15"/>
  <c r="J4021" i="15"/>
  <c r="H4022" i="15"/>
  <c r="I4022" i="15"/>
  <c r="J4022" i="15"/>
  <c r="H4023" i="15"/>
  <c r="I4023" i="15"/>
  <c r="J4023" i="15"/>
  <c r="H4024" i="15"/>
  <c r="I4024" i="15"/>
  <c r="J4024" i="15"/>
  <c r="H4025" i="15"/>
  <c r="I4025" i="15"/>
  <c r="J4025" i="15"/>
  <c r="H4026" i="15"/>
  <c r="I4026" i="15"/>
  <c r="J4026" i="15"/>
  <c r="H4027" i="15"/>
  <c r="I4027" i="15"/>
  <c r="J4027" i="15"/>
  <c r="H4028" i="15"/>
  <c r="I4028" i="15"/>
  <c r="J4028" i="15"/>
  <c r="H4029" i="15"/>
  <c r="I4029" i="15"/>
  <c r="J4029" i="15"/>
  <c r="H4030" i="15"/>
  <c r="I4030" i="15"/>
  <c r="J4030" i="15"/>
  <c r="H4031" i="15"/>
  <c r="I4031" i="15"/>
  <c r="J4031" i="15"/>
  <c r="H4032" i="15"/>
  <c r="I4032" i="15"/>
  <c r="J4032" i="15"/>
  <c r="H4033" i="15"/>
  <c r="I4033" i="15"/>
  <c r="J4033" i="15"/>
  <c r="H4034" i="15"/>
  <c r="I4034" i="15"/>
  <c r="J4034" i="15"/>
  <c r="H4035" i="15"/>
  <c r="I4035" i="15"/>
  <c r="J4035" i="15"/>
  <c r="H4036" i="15"/>
  <c r="I4036" i="15"/>
  <c r="J4036" i="15"/>
  <c r="H4037" i="15"/>
  <c r="I4037" i="15"/>
  <c r="J4037" i="15"/>
  <c r="H4038" i="15"/>
  <c r="I4038" i="15"/>
  <c r="J4038" i="15"/>
  <c r="H4039" i="15"/>
  <c r="I4039" i="15"/>
  <c r="J4039" i="15"/>
  <c r="H4040" i="15"/>
  <c r="I4040" i="15"/>
  <c r="J4040" i="15"/>
  <c r="H4041" i="15"/>
  <c r="I4041" i="15"/>
  <c r="J4041" i="15"/>
  <c r="H4042" i="15"/>
  <c r="I4042" i="15"/>
  <c r="J4042" i="15"/>
  <c r="H4043" i="15"/>
  <c r="I4043" i="15"/>
  <c r="J4043" i="15"/>
  <c r="H4044" i="15"/>
  <c r="I4044" i="15"/>
  <c r="J4044" i="15"/>
  <c r="H4045" i="15"/>
  <c r="I4045" i="15"/>
  <c r="J4045" i="15"/>
  <c r="H4046" i="15"/>
  <c r="I4046" i="15"/>
  <c r="J4046" i="15"/>
  <c r="H4047" i="15"/>
  <c r="I4047" i="15"/>
  <c r="J4047" i="15"/>
  <c r="H4048" i="15"/>
  <c r="I4048" i="15"/>
  <c r="J4048" i="15"/>
  <c r="H4049" i="15"/>
  <c r="I4049" i="15"/>
  <c r="J4049" i="15"/>
  <c r="H4050" i="15"/>
  <c r="I4050" i="15"/>
  <c r="J4050" i="15"/>
  <c r="H4051" i="15"/>
  <c r="I4051" i="15"/>
  <c r="J4051" i="15"/>
  <c r="H4052" i="15"/>
  <c r="I4052" i="15"/>
  <c r="J4052" i="15"/>
  <c r="H4053" i="15"/>
  <c r="I4053" i="15"/>
  <c r="J4053" i="15"/>
  <c r="H4054" i="15"/>
  <c r="I4054" i="15"/>
  <c r="J4054" i="15"/>
  <c r="H4055" i="15"/>
  <c r="I4055" i="15"/>
  <c r="J4055" i="15"/>
  <c r="H4056" i="15"/>
  <c r="I4056" i="15"/>
  <c r="J4056" i="15"/>
  <c r="H4057" i="15"/>
  <c r="I4057" i="15"/>
  <c r="J4057" i="15"/>
  <c r="H4058" i="15"/>
  <c r="I4058" i="15"/>
  <c r="J4058" i="15"/>
  <c r="H4059" i="15"/>
  <c r="I4059" i="15"/>
  <c r="J4059" i="15"/>
  <c r="H4060" i="15"/>
  <c r="I4060" i="15"/>
  <c r="J4060" i="15"/>
  <c r="H4061" i="15"/>
  <c r="I4061" i="15"/>
  <c r="J4061" i="15"/>
  <c r="H4062" i="15"/>
  <c r="I4062" i="15"/>
  <c r="J4062" i="15"/>
  <c r="H4063" i="15"/>
  <c r="I4063" i="15"/>
  <c r="J4063" i="15"/>
  <c r="H4064" i="15"/>
  <c r="I4064" i="15"/>
  <c r="J4064" i="15"/>
  <c r="H4065" i="15"/>
  <c r="I4065" i="15"/>
  <c r="J4065" i="15"/>
  <c r="H4066" i="15"/>
  <c r="I4066" i="15"/>
  <c r="J4066" i="15"/>
  <c r="H4067" i="15"/>
  <c r="I4067" i="15"/>
  <c r="J4067" i="15"/>
  <c r="H4068" i="15"/>
  <c r="I4068" i="15"/>
  <c r="J4068" i="15"/>
  <c r="H4069" i="15"/>
  <c r="I4069" i="15"/>
  <c r="J4069" i="15"/>
  <c r="H4070" i="15"/>
  <c r="I4070" i="15"/>
  <c r="J4070" i="15"/>
  <c r="H4071" i="15"/>
  <c r="I4071" i="15"/>
  <c r="J4071" i="15"/>
  <c r="H4072" i="15"/>
  <c r="I4072" i="15"/>
  <c r="J4072" i="15"/>
  <c r="H4073" i="15"/>
  <c r="I4073" i="15"/>
  <c r="J4073" i="15"/>
  <c r="H4074" i="15"/>
  <c r="I4074" i="15"/>
  <c r="J4074" i="15"/>
  <c r="H4075" i="15"/>
  <c r="I4075" i="15"/>
  <c r="J4075" i="15"/>
  <c r="H4076" i="15"/>
  <c r="I4076" i="15"/>
  <c r="J4076" i="15"/>
  <c r="H4077" i="15"/>
  <c r="I4077" i="15"/>
  <c r="J4077" i="15"/>
  <c r="H4078" i="15"/>
  <c r="I4078" i="15"/>
  <c r="J4078" i="15"/>
  <c r="H4079" i="15"/>
  <c r="I4079" i="15"/>
  <c r="J4079" i="15"/>
  <c r="H4080" i="15"/>
  <c r="I4080" i="15"/>
  <c r="J4080" i="15"/>
  <c r="H4081" i="15"/>
  <c r="I4081" i="15"/>
  <c r="J4081" i="15"/>
  <c r="H4082" i="15"/>
  <c r="I4082" i="15"/>
  <c r="J4082" i="15"/>
  <c r="H4083" i="15"/>
  <c r="I4083" i="15"/>
  <c r="J4083" i="15"/>
  <c r="H4084" i="15"/>
  <c r="I4084" i="15"/>
  <c r="J4084" i="15"/>
  <c r="H4085" i="15"/>
  <c r="I4085" i="15"/>
  <c r="J4085" i="15"/>
  <c r="H4086" i="15"/>
  <c r="I4086" i="15"/>
  <c r="J4086" i="15"/>
  <c r="H4087" i="15"/>
  <c r="I4087" i="15"/>
  <c r="J4087" i="15"/>
  <c r="H4088" i="15"/>
  <c r="I4088" i="15"/>
  <c r="J4088" i="15"/>
  <c r="H4089" i="15"/>
  <c r="I4089" i="15"/>
  <c r="J4089" i="15"/>
  <c r="H4090" i="15"/>
  <c r="I4090" i="15"/>
  <c r="J4090" i="15"/>
  <c r="H4091" i="15"/>
  <c r="I4091" i="15"/>
  <c r="J4091" i="15"/>
  <c r="H4092" i="15"/>
  <c r="I4092" i="15"/>
  <c r="J4092" i="15"/>
  <c r="H4093" i="15"/>
  <c r="I4093" i="15"/>
  <c r="J4093" i="15"/>
  <c r="H4094" i="15"/>
  <c r="I4094" i="15"/>
  <c r="J4094" i="15"/>
  <c r="H4095" i="15"/>
  <c r="I4095" i="15"/>
  <c r="J4095" i="15"/>
  <c r="H4096" i="15"/>
  <c r="I4096" i="15"/>
  <c r="J4096" i="15"/>
  <c r="H4097" i="15"/>
  <c r="I4097" i="15"/>
  <c r="J4097" i="15"/>
  <c r="H4098" i="15"/>
  <c r="I4098" i="15"/>
  <c r="J4098" i="15"/>
  <c r="H4099" i="15"/>
  <c r="I4099" i="15"/>
  <c r="J4099" i="15"/>
  <c r="H4100" i="15"/>
  <c r="I4100" i="15"/>
  <c r="J4100" i="15"/>
  <c r="H4101" i="15"/>
  <c r="I4101" i="15"/>
  <c r="J4101" i="15"/>
  <c r="H4102" i="15"/>
  <c r="I4102" i="15"/>
  <c r="J4102" i="15"/>
  <c r="H4103" i="15"/>
  <c r="I4103" i="15"/>
  <c r="J4103" i="15"/>
  <c r="H4104" i="15"/>
  <c r="I4104" i="15"/>
  <c r="J4104" i="15"/>
  <c r="H4105" i="15"/>
  <c r="I4105" i="15"/>
  <c r="J4105" i="15"/>
  <c r="H4106" i="15"/>
  <c r="I4106" i="15"/>
  <c r="J4106" i="15"/>
  <c r="H4107" i="15"/>
  <c r="I4107" i="15"/>
  <c r="J4107" i="15"/>
  <c r="H4108" i="15"/>
  <c r="I4108" i="15"/>
  <c r="J4108" i="15"/>
  <c r="H4109" i="15"/>
  <c r="I4109" i="15"/>
  <c r="J4109" i="15"/>
  <c r="H4110" i="15"/>
  <c r="I4110" i="15"/>
  <c r="J4110" i="15"/>
  <c r="H4111" i="15"/>
  <c r="I4111" i="15"/>
  <c r="J4111" i="15"/>
  <c r="H4112" i="15"/>
  <c r="I4112" i="15"/>
  <c r="J4112" i="15"/>
  <c r="H4113" i="15"/>
  <c r="I4113" i="15"/>
  <c r="J4113" i="15"/>
  <c r="H4114" i="15"/>
  <c r="I4114" i="15"/>
  <c r="J4114" i="15"/>
  <c r="H4115" i="15"/>
  <c r="I4115" i="15"/>
  <c r="J4115" i="15"/>
  <c r="H4116" i="15"/>
  <c r="I4116" i="15"/>
  <c r="J4116" i="15"/>
  <c r="H4117" i="15"/>
  <c r="I4117" i="15"/>
  <c r="J4117" i="15"/>
  <c r="H4118" i="15"/>
  <c r="I4118" i="15"/>
  <c r="J4118" i="15"/>
  <c r="H4119" i="15"/>
  <c r="I4119" i="15"/>
  <c r="J4119" i="15"/>
  <c r="H4120" i="15"/>
  <c r="I4120" i="15"/>
  <c r="J4120" i="15"/>
  <c r="H4121" i="15"/>
  <c r="I4121" i="15"/>
  <c r="J4121" i="15"/>
  <c r="H4122" i="15"/>
  <c r="I4122" i="15"/>
  <c r="J4122" i="15"/>
  <c r="H4123" i="15"/>
  <c r="I4123" i="15"/>
  <c r="J4123" i="15"/>
  <c r="H4124" i="15"/>
  <c r="I4124" i="15"/>
  <c r="J4124" i="15"/>
  <c r="H4125" i="15"/>
  <c r="I4125" i="15"/>
  <c r="J4125" i="15"/>
  <c r="H4126" i="15"/>
  <c r="I4126" i="15"/>
  <c r="J4126" i="15"/>
  <c r="H4127" i="15"/>
  <c r="I4127" i="15"/>
  <c r="J4127" i="15"/>
  <c r="H4128" i="15"/>
  <c r="I4128" i="15"/>
  <c r="J4128" i="15"/>
  <c r="H4129" i="15"/>
  <c r="I4129" i="15"/>
  <c r="J4129" i="15"/>
  <c r="H4130" i="15"/>
  <c r="I4130" i="15"/>
  <c r="J4130" i="15"/>
  <c r="H4131" i="15"/>
  <c r="I4131" i="15"/>
  <c r="J4131" i="15"/>
  <c r="H4132" i="15"/>
  <c r="I4132" i="15"/>
  <c r="J4132" i="15"/>
  <c r="H4133" i="15"/>
  <c r="I4133" i="15"/>
  <c r="J4133" i="15"/>
  <c r="H4134" i="15"/>
  <c r="I4134" i="15"/>
  <c r="J4134" i="15"/>
  <c r="H4135" i="15"/>
  <c r="I4135" i="15"/>
  <c r="J4135" i="15"/>
  <c r="H4136" i="15"/>
  <c r="I4136" i="15"/>
  <c r="J4136" i="15"/>
  <c r="H4137" i="15"/>
  <c r="I4137" i="15"/>
  <c r="J4137" i="15"/>
  <c r="H4138" i="15"/>
  <c r="I4138" i="15"/>
  <c r="J4138" i="15"/>
  <c r="H4139" i="15"/>
  <c r="I4139" i="15"/>
  <c r="J4139" i="15"/>
  <c r="H4140" i="15"/>
  <c r="I4140" i="15"/>
  <c r="J4140" i="15"/>
  <c r="H4141" i="15"/>
  <c r="I4141" i="15"/>
  <c r="J4141" i="15"/>
  <c r="H4142" i="15"/>
  <c r="I4142" i="15"/>
  <c r="J4142" i="15"/>
  <c r="H4143" i="15"/>
  <c r="I4143" i="15"/>
  <c r="J4143" i="15"/>
  <c r="H4144" i="15"/>
  <c r="I4144" i="15"/>
  <c r="J4144" i="15"/>
  <c r="H4145" i="15"/>
  <c r="I4145" i="15"/>
  <c r="J4145" i="15"/>
  <c r="H4146" i="15"/>
  <c r="I4146" i="15"/>
  <c r="J4146" i="15"/>
  <c r="H4147" i="15"/>
  <c r="I4147" i="15"/>
  <c r="J4147" i="15"/>
  <c r="H4148" i="15"/>
  <c r="I4148" i="15"/>
  <c r="J4148" i="15"/>
  <c r="H4149" i="15"/>
  <c r="I4149" i="15"/>
  <c r="J4149" i="15"/>
  <c r="H4150" i="15"/>
  <c r="I4150" i="15"/>
  <c r="J4150" i="15"/>
  <c r="H4151" i="15"/>
  <c r="I4151" i="15"/>
  <c r="J4151" i="15"/>
  <c r="H4152" i="15"/>
  <c r="I4152" i="15"/>
  <c r="J4152" i="15"/>
  <c r="H4153" i="15"/>
  <c r="I4153" i="15"/>
  <c r="J4153" i="15"/>
  <c r="H4154" i="15"/>
  <c r="I4154" i="15"/>
  <c r="J4154" i="15"/>
  <c r="H4155" i="15"/>
  <c r="I4155" i="15"/>
  <c r="J4155" i="15"/>
  <c r="H4156" i="15"/>
  <c r="I4156" i="15"/>
  <c r="J4156" i="15"/>
  <c r="H4157" i="15"/>
  <c r="I4157" i="15"/>
  <c r="J4157" i="15"/>
  <c r="H4158" i="15"/>
  <c r="I4158" i="15"/>
  <c r="J4158" i="15"/>
  <c r="H4159" i="15"/>
  <c r="I4159" i="15"/>
  <c r="J4159" i="15"/>
  <c r="H4160" i="15"/>
  <c r="I4160" i="15"/>
  <c r="J4160" i="15"/>
  <c r="H4161" i="15"/>
  <c r="I4161" i="15"/>
  <c r="J4161" i="15"/>
  <c r="H4162" i="15"/>
  <c r="I4162" i="15"/>
  <c r="J4162" i="15"/>
  <c r="H4163" i="15"/>
  <c r="I4163" i="15"/>
  <c r="J4163" i="15"/>
  <c r="H4164" i="15"/>
  <c r="I4164" i="15"/>
  <c r="J4164" i="15"/>
  <c r="H4165" i="15"/>
  <c r="I4165" i="15"/>
  <c r="J4165" i="15"/>
  <c r="H4166" i="15"/>
  <c r="I4166" i="15"/>
  <c r="J4166" i="15"/>
  <c r="H4167" i="15"/>
  <c r="I4167" i="15"/>
  <c r="J4167" i="15"/>
  <c r="H4168" i="15"/>
  <c r="I4168" i="15"/>
  <c r="J4168" i="15"/>
  <c r="H4169" i="15"/>
  <c r="I4169" i="15"/>
  <c r="J4169" i="15"/>
  <c r="H4170" i="15"/>
  <c r="I4170" i="15"/>
  <c r="J4170" i="15"/>
  <c r="H4171" i="15"/>
  <c r="I4171" i="15"/>
  <c r="J4171" i="15"/>
  <c r="H4172" i="15"/>
  <c r="I4172" i="15"/>
  <c r="J4172" i="15"/>
  <c r="H4173" i="15"/>
  <c r="I4173" i="15"/>
  <c r="J4173" i="15"/>
  <c r="H4174" i="15"/>
  <c r="I4174" i="15"/>
  <c r="J4174" i="15"/>
  <c r="H4175" i="15"/>
  <c r="I4175" i="15"/>
  <c r="J4175" i="15"/>
  <c r="H4176" i="15"/>
  <c r="I4176" i="15"/>
  <c r="J4176" i="15"/>
  <c r="H4177" i="15"/>
  <c r="I4177" i="15"/>
  <c r="J4177" i="15"/>
  <c r="H4178" i="15"/>
  <c r="I4178" i="15"/>
  <c r="J4178" i="15"/>
  <c r="H4179" i="15"/>
  <c r="I4179" i="15"/>
  <c r="J4179" i="15"/>
  <c r="H4180" i="15"/>
  <c r="I4180" i="15"/>
  <c r="J4180" i="15"/>
  <c r="H4181" i="15"/>
  <c r="I4181" i="15"/>
  <c r="J4181" i="15"/>
  <c r="H4182" i="15"/>
  <c r="I4182" i="15"/>
  <c r="J4182" i="15"/>
  <c r="H4183" i="15"/>
  <c r="I4183" i="15"/>
  <c r="J4183" i="15"/>
  <c r="H4184" i="15"/>
  <c r="I4184" i="15"/>
  <c r="J4184" i="15"/>
  <c r="H4185" i="15"/>
  <c r="I4185" i="15"/>
  <c r="J4185" i="15"/>
  <c r="H4186" i="15"/>
  <c r="I4186" i="15"/>
  <c r="J4186" i="15"/>
  <c r="H4187" i="15"/>
  <c r="I4187" i="15"/>
  <c r="J4187" i="15"/>
  <c r="H4188" i="15"/>
  <c r="I4188" i="15"/>
  <c r="J4188" i="15"/>
  <c r="H4189" i="15"/>
  <c r="I4189" i="15"/>
  <c r="J4189" i="15"/>
  <c r="H4190" i="15"/>
  <c r="I4190" i="15"/>
  <c r="J4190" i="15"/>
  <c r="H4191" i="15"/>
  <c r="I4191" i="15"/>
  <c r="J4191" i="15"/>
  <c r="H4192" i="15"/>
  <c r="I4192" i="15"/>
  <c r="J4192" i="15"/>
  <c r="H4193" i="15"/>
  <c r="I4193" i="15"/>
  <c r="J4193" i="15"/>
  <c r="H4194" i="15"/>
  <c r="I4194" i="15"/>
  <c r="J4194" i="15"/>
  <c r="H4195" i="15"/>
  <c r="I4195" i="15"/>
  <c r="J4195" i="15"/>
  <c r="H4196" i="15"/>
  <c r="I4196" i="15"/>
  <c r="J4196" i="15"/>
  <c r="H4197" i="15"/>
  <c r="I4197" i="15"/>
  <c r="J4197" i="15"/>
  <c r="H4198" i="15"/>
  <c r="I4198" i="15"/>
  <c r="J4198" i="15"/>
  <c r="H4199" i="15"/>
  <c r="I4199" i="15"/>
  <c r="J4199" i="15"/>
  <c r="H4200" i="15"/>
  <c r="I4200" i="15"/>
  <c r="J4200" i="15"/>
  <c r="H4201" i="15"/>
  <c r="I4201" i="15"/>
  <c r="J4201" i="15"/>
  <c r="H4202" i="15"/>
  <c r="I4202" i="15"/>
  <c r="J4202" i="15"/>
  <c r="H4203" i="15"/>
  <c r="I4203" i="15"/>
  <c r="J4203" i="15"/>
  <c r="H4204" i="15"/>
  <c r="I4204" i="15"/>
  <c r="J4204" i="15"/>
  <c r="H4205" i="15"/>
  <c r="I4205" i="15"/>
  <c r="J4205" i="15"/>
  <c r="H4206" i="15"/>
  <c r="I4206" i="15"/>
  <c r="J4206" i="15"/>
  <c r="H4207" i="15"/>
  <c r="I4207" i="15"/>
  <c r="J4207" i="15"/>
  <c r="H4208" i="15"/>
  <c r="I4208" i="15"/>
  <c r="J4208" i="15"/>
  <c r="H4209" i="15"/>
  <c r="I4209" i="15"/>
  <c r="J4209" i="15"/>
  <c r="H4210" i="15"/>
  <c r="I4210" i="15"/>
  <c r="J4210" i="15"/>
  <c r="H4211" i="15"/>
  <c r="I4211" i="15"/>
  <c r="J4211" i="15"/>
  <c r="H4212" i="15"/>
  <c r="I4212" i="15"/>
  <c r="J4212" i="15"/>
  <c r="H4213" i="15"/>
  <c r="I4213" i="15"/>
  <c r="J4213" i="15"/>
  <c r="H4214" i="15"/>
  <c r="I4214" i="15"/>
  <c r="J4214" i="15"/>
  <c r="H4215" i="15"/>
  <c r="I4215" i="15"/>
  <c r="J4215" i="15"/>
  <c r="H4216" i="15"/>
  <c r="I4216" i="15"/>
  <c r="J4216" i="15"/>
  <c r="H4217" i="15"/>
  <c r="I4217" i="15"/>
  <c r="J4217" i="15"/>
  <c r="H4218" i="15"/>
  <c r="I4218" i="15"/>
  <c r="J4218" i="15"/>
  <c r="H4219" i="15"/>
  <c r="I4219" i="15"/>
  <c r="J4219" i="15"/>
  <c r="H4220" i="15"/>
  <c r="I4220" i="15"/>
  <c r="J4220" i="15"/>
  <c r="H4221" i="15"/>
  <c r="I4221" i="15"/>
  <c r="J4221" i="15"/>
  <c r="H4222" i="15"/>
  <c r="I4222" i="15"/>
  <c r="J4222" i="15"/>
  <c r="H4223" i="15"/>
  <c r="I4223" i="15"/>
  <c r="J4223" i="15"/>
  <c r="H4224" i="15"/>
  <c r="I4224" i="15"/>
  <c r="J4224" i="15"/>
  <c r="H4225" i="15"/>
  <c r="I4225" i="15"/>
  <c r="J4225" i="15"/>
  <c r="H4226" i="15"/>
  <c r="I4226" i="15"/>
  <c r="J4226" i="15"/>
  <c r="H4227" i="15"/>
  <c r="I4227" i="15"/>
  <c r="J4227" i="15"/>
  <c r="H4228" i="15"/>
  <c r="I4228" i="15"/>
  <c r="J4228" i="15"/>
  <c r="H4229" i="15"/>
  <c r="I4229" i="15"/>
  <c r="J4229" i="15"/>
  <c r="H4230" i="15"/>
  <c r="I4230" i="15"/>
  <c r="J4230" i="15"/>
  <c r="H4231" i="15"/>
  <c r="I4231" i="15"/>
  <c r="J4231" i="15"/>
  <c r="H4232" i="15"/>
  <c r="I4232" i="15"/>
  <c r="J4232" i="15"/>
  <c r="H4233" i="15"/>
  <c r="I4233" i="15"/>
  <c r="J4233" i="15"/>
  <c r="H4234" i="15"/>
  <c r="I4234" i="15"/>
  <c r="J4234" i="15"/>
  <c r="H4235" i="15"/>
  <c r="I4235" i="15"/>
  <c r="J4235" i="15"/>
  <c r="H4236" i="15"/>
  <c r="I4236" i="15"/>
  <c r="J4236" i="15"/>
  <c r="H4237" i="15"/>
  <c r="I4237" i="15"/>
  <c r="J4237" i="15"/>
  <c r="H4238" i="15"/>
  <c r="I4238" i="15"/>
  <c r="J4238" i="15"/>
  <c r="H4239" i="15"/>
  <c r="I4239" i="15"/>
  <c r="J4239" i="15"/>
  <c r="H4240" i="15"/>
  <c r="I4240" i="15"/>
  <c r="J4240" i="15"/>
  <c r="H4241" i="15"/>
  <c r="I4241" i="15"/>
  <c r="J4241" i="15"/>
  <c r="H4242" i="15"/>
  <c r="I4242" i="15"/>
  <c r="J4242" i="15"/>
  <c r="H4243" i="15"/>
  <c r="I4243" i="15"/>
  <c r="J4243" i="15"/>
  <c r="H4244" i="15"/>
  <c r="I4244" i="15"/>
  <c r="J4244" i="15"/>
  <c r="H4245" i="15"/>
  <c r="I4245" i="15"/>
  <c r="J4245" i="15"/>
  <c r="H4246" i="15"/>
  <c r="I4246" i="15"/>
  <c r="J4246" i="15"/>
  <c r="H4247" i="15"/>
  <c r="I4247" i="15"/>
  <c r="J4247" i="15"/>
  <c r="H4248" i="15"/>
  <c r="I4248" i="15"/>
  <c r="J4248" i="15"/>
  <c r="H4249" i="15"/>
  <c r="I4249" i="15"/>
  <c r="J4249" i="15"/>
  <c r="H4250" i="15"/>
  <c r="I4250" i="15"/>
  <c r="J4250" i="15"/>
  <c r="H4251" i="15"/>
  <c r="I4251" i="15"/>
  <c r="J4251" i="15"/>
  <c r="H4252" i="15"/>
  <c r="I4252" i="15"/>
  <c r="J4252" i="15"/>
  <c r="H4253" i="15"/>
  <c r="I4253" i="15"/>
  <c r="J4253" i="15"/>
  <c r="H4254" i="15"/>
  <c r="I4254" i="15"/>
  <c r="J4254" i="15"/>
  <c r="H4255" i="15"/>
  <c r="I4255" i="15"/>
  <c r="J4255" i="15"/>
  <c r="H4256" i="15"/>
  <c r="I4256" i="15"/>
  <c r="J4256" i="15"/>
  <c r="H4257" i="15"/>
  <c r="I4257" i="15"/>
  <c r="J4257" i="15"/>
  <c r="H4258" i="15"/>
  <c r="I4258" i="15"/>
  <c r="J4258" i="15"/>
  <c r="H4259" i="15"/>
  <c r="I4259" i="15"/>
  <c r="J4259" i="15"/>
  <c r="H4260" i="15"/>
  <c r="I4260" i="15"/>
  <c r="J4260" i="15"/>
  <c r="H4261" i="15"/>
  <c r="I4261" i="15"/>
  <c r="J4261" i="15"/>
  <c r="H4262" i="15"/>
  <c r="I4262" i="15"/>
  <c r="J4262" i="15"/>
  <c r="H4263" i="15"/>
  <c r="I4263" i="15"/>
  <c r="J4263" i="15"/>
  <c r="H4264" i="15"/>
  <c r="I4264" i="15"/>
  <c r="J4264" i="15"/>
  <c r="H4265" i="15"/>
  <c r="I4265" i="15"/>
  <c r="J4265" i="15"/>
  <c r="H4266" i="15"/>
  <c r="I4266" i="15"/>
  <c r="J4266" i="15"/>
  <c r="H4267" i="15"/>
  <c r="I4267" i="15"/>
  <c r="J4267" i="15"/>
  <c r="H4268" i="15"/>
  <c r="I4268" i="15"/>
  <c r="J4268" i="15"/>
  <c r="H4269" i="15"/>
  <c r="I4269" i="15"/>
  <c r="J4269" i="15"/>
  <c r="H4270" i="15"/>
  <c r="I4270" i="15"/>
  <c r="J4270" i="15"/>
  <c r="H4271" i="15"/>
  <c r="I4271" i="15"/>
  <c r="J4271" i="15"/>
  <c r="H4272" i="15"/>
  <c r="I4272" i="15"/>
  <c r="J4272" i="15"/>
  <c r="H4273" i="15"/>
  <c r="I4273" i="15"/>
  <c r="J4273" i="15"/>
  <c r="H4274" i="15"/>
  <c r="I4274" i="15"/>
  <c r="J4274" i="15"/>
  <c r="H4275" i="15"/>
  <c r="I4275" i="15"/>
  <c r="J4275" i="15"/>
  <c r="H4276" i="15"/>
  <c r="I4276" i="15"/>
  <c r="J4276" i="15"/>
  <c r="H4277" i="15"/>
  <c r="I4277" i="15"/>
  <c r="J4277" i="15"/>
  <c r="H4278" i="15"/>
  <c r="I4278" i="15"/>
  <c r="J4278" i="15"/>
  <c r="H4279" i="15"/>
  <c r="I4279" i="15"/>
  <c r="J4279" i="15"/>
  <c r="H4280" i="15"/>
  <c r="I4280" i="15"/>
  <c r="J4280" i="15"/>
  <c r="H4281" i="15"/>
  <c r="I4281" i="15"/>
  <c r="J4281" i="15"/>
  <c r="H4282" i="15"/>
  <c r="I4282" i="15"/>
  <c r="J4282" i="15"/>
  <c r="H4283" i="15"/>
  <c r="I4283" i="15"/>
  <c r="J4283" i="15"/>
  <c r="H4284" i="15"/>
  <c r="I4284" i="15"/>
  <c r="J4284" i="15"/>
  <c r="H4285" i="15"/>
  <c r="I4285" i="15"/>
  <c r="J4285" i="15"/>
  <c r="H4286" i="15"/>
  <c r="I4286" i="15"/>
  <c r="J4286" i="15"/>
  <c r="H4287" i="15"/>
  <c r="I4287" i="15"/>
  <c r="J4287" i="15"/>
  <c r="H4288" i="15"/>
  <c r="I4288" i="15"/>
  <c r="J4288" i="15"/>
  <c r="H4289" i="15"/>
  <c r="I4289" i="15"/>
  <c r="J4289" i="15"/>
  <c r="H4290" i="15"/>
  <c r="I4290" i="15"/>
  <c r="J4290" i="15"/>
  <c r="H4291" i="15"/>
  <c r="I4291" i="15"/>
  <c r="J4291" i="15"/>
  <c r="H4292" i="15"/>
  <c r="I4292" i="15"/>
  <c r="J4292" i="15"/>
  <c r="H4293" i="15"/>
  <c r="I4293" i="15"/>
  <c r="J4293" i="15"/>
  <c r="H4294" i="15"/>
  <c r="I4294" i="15"/>
  <c r="J4294" i="15"/>
  <c r="H4295" i="15"/>
  <c r="I4295" i="15"/>
  <c r="J4295" i="15"/>
  <c r="H4296" i="15"/>
  <c r="I4296" i="15"/>
  <c r="J4296" i="15"/>
  <c r="H4297" i="15"/>
  <c r="I4297" i="15"/>
  <c r="J4297" i="15"/>
  <c r="H4298" i="15"/>
  <c r="I4298" i="15"/>
  <c r="J4298" i="15"/>
  <c r="H4299" i="15"/>
  <c r="I4299" i="15"/>
  <c r="J4299" i="15"/>
  <c r="H4300" i="15"/>
  <c r="I4300" i="15"/>
  <c r="J4300" i="15"/>
  <c r="H4301" i="15"/>
  <c r="I4301" i="15"/>
  <c r="J4301" i="15"/>
  <c r="H4302" i="15"/>
  <c r="I4302" i="15"/>
  <c r="J4302" i="15"/>
  <c r="H4303" i="15"/>
  <c r="I4303" i="15"/>
  <c r="J4303" i="15"/>
  <c r="H4304" i="15"/>
  <c r="I4304" i="15"/>
  <c r="J4304" i="15"/>
  <c r="H4305" i="15"/>
  <c r="I4305" i="15"/>
  <c r="J4305" i="15"/>
  <c r="H4306" i="15"/>
  <c r="I4306" i="15"/>
  <c r="J4306" i="15"/>
  <c r="H4307" i="15"/>
  <c r="I4307" i="15"/>
  <c r="J4307" i="15"/>
  <c r="H4308" i="15"/>
  <c r="I4308" i="15"/>
  <c r="J4308" i="15"/>
  <c r="H4309" i="15"/>
  <c r="I4309" i="15"/>
  <c r="J4309" i="15"/>
  <c r="H4310" i="15"/>
  <c r="I4310" i="15"/>
  <c r="J4310" i="15"/>
  <c r="H4311" i="15"/>
  <c r="I4311" i="15"/>
  <c r="J4311" i="15"/>
  <c r="H4312" i="15"/>
  <c r="I4312" i="15"/>
  <c r="J4312" i="15"/>
  <c r="H4313" i="15"/>
  <c r="I4313" i="15"/>
  <c r="J4313" i="15"/>
  <c r="H4314" i="15"/>
  <c r="I4314" i="15"/>
  <c r="J4314" i="15"/>
  <c r="H4315" i="15"/>
  <c r="I4315" i="15"/>
  <c r="J4315" i="15"/>
  <c r="H4316" i="15"/>
  <c r="I4316" i="15"/>
  <c r="J4316" i="15"/>
  <c r="H4317" i="15"/>
  <c r="I4317" i="15"/>
  <c r="J4317" i="15"/>
  <c r="H4318" i="15"/>
  <c r="I4318" i="15"/>
  <c r="J4318" i="15"/>
  <c r="H4319" i="15"/>
  <c r="I4319" i="15"/>
  <c r="J4319" i="15"/>
  <c r="H4320" i="15"/>
  <c r="I4320" i="15"/>
  <c r="J4320" i="15"/>
  <c r="H4321" i="15"/>
  <c r="I4321" i="15"/>
  <c r="J4321" i="15"/>
  <c r="H4322" i="15"/>
  <c r="I4322" i="15"/>
  <c r="J4322" i="15"/>
  <c r="H4323" i="15"/>
  <c r="I4323" i="15"/>
  <c r="J4323" i="15"/>
  <c r="H4324" i="15"/>
  <c r="I4324" i="15"/>
  <c r="J4324" i="15"/>
  <c r="H4325" i="15"/>
  <c r="I4325" i="15"/>
  <c r="J4325" i="15"/>
  <c r="H4326" i="15"/>
  <c r="I4326" i="15"/>
  <c r="J4326" i="15"/>
  <c r="H4327" i="15"/>
  <c r="I4327" i="15"/>
  <c r="J4327" i="15"/>
  <c r="H4328" i="15"/>
  <c r="I4328" i="15"/>
  <c r="J4328" i="15"/>
  <c r="H4329" i="15"/>
  <c r="I4329" i="15"/>
  <c r="J4329" i="15"/>
  <c r="H4330" i="15"/>
  <c r="I4330" i="15"/>
  <c r="J4330" i="15"/>
  <c r="H4331" i="15"/>
  <c r="I4331" i="15"/>
  <c r="J4331" i="15"/>
  <c r="H4332" i="15"/>
  <c r="I4332" i="15"/>
  <c r="J4332" i="15"/>
  <c r="H4333" i="15"/>
  <c r="I4333" i="15"/>
  <c r="J4333" i="15"/>
  <c r="H4334" i="15"/>
  <c r="I4334" i="15"/>
  <c r="J4334" i="15"/>
  <c r="H4335" i="15"/>
  <c r="I4335" i="15"/>
  <c r="J4335" i="15"/>
  <c r="H4336" i="15"/>
  <c r="I4336" i="15"/>
  <c r="J4336" i="15"/>
  <c r="H4337" i="15"/>
  <c r="I4337" i="15"/>
  <c r="J4337" i="15"/>
  <c r="H4338" i="15"/>
  <c r="I4338" i="15"/>
  <c r="J4338" i="15"/>
  <c r="H4339" i="15"/>
  <c r="I4339" i="15"/>
  <c r="J4339" i="15"/>
  <c r="H4340" i="15"/>
  <c r="I4340" i="15"/>
  <c r="J4340" i="15"/>
  <c r="H4341" i="15"/>
  <c r="I4341" i="15"/>
  <c r="J4341" i="15"/>
  <c r="H4342" i="15"/>
  <c r="I4342" i="15"/>
  <c r="J4342" i="15"/>
  <c r="H4343" i="15"/>
  <c r="I4343" i="15"/>
  <c r="J4343" i="15"/>
  <c r="H4344" i="15"/>
  <c r="I4344" i="15"/>
  <c r="J4344" i="15"/>
  <c r="H4345" i="15"/>
  <c r="I4345" i="15"/>
  <c r="J4345" i="15"/>
  <c r="H4346" i="15"/>
  <c r="I4346" i="15"/>
  <c r="J4346" i="15"/>
  <c r="H4347" i="15"/>
  <c r="I4347" i="15"/>
  <c r="J4347" i="15"/>
  <c r="H4348" i="15"/>
  <c r="I4348" i="15"/>
  <c r="J4348" i="15"/>
  <c r="H4349" i="15"/>
  <c r="I4349" i="15"/>
  <c r="J4349" i="15"/>
  <c r="H4350" i="15"/>
  <c r="I4350" i="15"/>
  <c r="J4350" i="15"/>
  <c r="H4351" i="15"/>
  <c r="I4351" i="15"/>
  <c r="J4351" i="15"/>
  <c r="H4352" i="15"/>
  <c r="I4352" i="15"/>
  <c r="J4352" i="15"/>
  <c r="H4353" i="15"/>
  <c r="I4353" i="15"/>
  <c r="J4353" i="15"/>
  <c r="H4354" i="15"/>
  <c r="I4354" i="15"/>
  <c r="J4354" i="15"/>
  <c r="H4355" i="15"/>
  <c r="I4355" i="15"/>
  <c r="J4355" i="15"/>
  <c r="H4356" i="15"/>
  <c r="I4356" i="15"/>
  <c r="J4356" i="15"/>
  <c r="H4357" i="15"/>
  <c r="I4357" i="15"/>
  <c r="J4357" i="15"/>
  <c r="H4358" i="15"/>
  <c r="I4358" i="15"/>
  <c r="J4358" i="15"/>
  <c r="H4359" i="15"/>
  <c r="I4359" i="15"/>
  <c r="J4359" i="15"/>
  <c r="H4360" i="15"/>
  <c r="I4360" i="15"/>
  <c r="J4360" i="15"/>
  <c r="H4361" i="15"/>
  <c r="I4361" i="15"/>
  <c r="J4361" i="15"/>
  <c r="H4362" i="15"/>
  <c r="I4362" i="15"/>
  <c r="J4362" i="15"/>
  <c r="H4363" i="15"/>
  <c r="I4363" i="15"/>
  <c r="J4363" i="15"/>
  <c r="H4364" i="15"/>
  <c r="I4364" i="15"/>
  <c r="J4364" i="15"/>
  <c r="H4365" i="15"/>
  <c r="I4365" i="15"/>
  <c r="J4365" i="15"/>
  <c r="H4366" i="15"/>
  <c r="I4366" i="15"/>
  <c r="J4366" i="15"/>
  <c r="H4367" i="15"/>
  <c r="I4367" i="15"/>
  <c r="J4367" i="15"/>
  <c r="H4368" i="15"/>
  <c r="I4368" i="15"/>
  <c r="J4368" i="15"/>
  <c r="H4369" i="15"/>
  <c r="I4369" i="15"/>
  <c r="J4369" i="15"/>
  <c r="H4370" i="15"/>
  <c r="I4370" i="15"/>
  <c r="J4370" i="15"/>
  <c r="H4371" i="15"/>
  <c r="I4371" i="15"/>
  <c r="J4371" i="15"/>
  <c r="H4372" i="15"/>
  <c r="I4372" i="15"/>
  <c r="J4372" i="15"/>
  <c r="H4373" i="15"/>
  <c r="I4373" i="15"/>
  <c r="J4373" i="15"/>
  <c r="H4374" i="15"/>
  <c r="I4374" i="15"/>
  <c r="J4374" i="15"/>
  <c r="H4375" i="15"/>
  <c r="I4375" i="15"/>
  <c r="J4375" i="15"/>
  <c r="H4376" i="15"/>
  <c r="I4376" i="15"/>
  <c r="J4376" i="15"/>
  <c r="H4377" i="15"/>
  <c r="I4377" i="15"/>
  <c r="J4377" i="15"/>
  <c r="H4378" i="15"/>
  <c r="I4378" i="15"/>
  <c r="J4378" i="15"/>
  <c r="H4379" i="15"/>
  <c r="I4379" i="15"/>
  <c r="J4379" i="15"/>
  <c r="H4380" i="15"/>
  <c r="I4380" i="15"/>
  <c r="J4380" i="15"/>
  <c r="H4381" i="15"/>
  <c r="I4381" i="15"/>
  <c r="J4381" i="15"/>
  <c r="H4382" i="15"/>
  <c r="I4382" i="15"/>
  <c r="J4382" i="15"/>
  <c r="H4383" i="15"/>
  <c r="I4383" i="15"/>
  <c r="J4383" i="15"/>
  <c r="H4384" i="15"/>
  <c r="I4384" i="15"/>
  <c r="J4384" i="15"/>
  <c r="H4385" i="15"/>
  <c r="I4385" i="15"/>
  <c r="J4385" i="15"/>
  <c r="H4386" i="15"/>
  <c r="I4386" i="15"/>
  <c r="J4386" i="15"/>
  <c r="H4387" i="15"/>
  <c r="I4387" i="15"/>
  <c r="J4387" i="15"/>
  <c r="H4388" i="15"/>
  <c r="I4388" i="15"/>
  <c r="J4388" i="15"/>
  <c r="H4389" i="15"/>
  <c r="I4389" i="15"/>
  <c r="J4389" i="15"/>
  <c r="H4390" i="15"/>
  <c r="I4390" i="15"/>
  <c r="J4390" i="15"/>
  <c r="H4391" i="15"/>
  <c r="I4391" i="15"/>
  <c r="J4391" i="15"/>
  <c r="H4392" i="15"/>
  <c r="I4392" i="15"/>
  <c r="J4392" i="15"/>
  <c r="H4393" i="15"/>
  <c r="I4393" i="15"/>
  <c r="J4393" i="15"/>
  <c r="H4394" i="15"/>
  <c r="I4394" i="15"/>
  <c r="J4394" i="15"/>
  <c r="H4395" i="15"/>
  <c r="I4395" i="15"/>
  <c r="J4395" i="15"/>
  <c r="H4396" i="15"/>
  <c r="I4396" i="15"/>
  <c r="J4396" i="15"/>
  <c r="H4397" i="15"/>
  <c r="I4397" i="15"/>
  <c r="J4397" i="15"/>
  <c r="H4398" i="15"/>
  <c r="I4398" i="15"/>
  <c r="J4398" i="15"/>
  <c r="H4399" i="15"/>
  <c r="I4399" i="15"/>
  <c r="J4399" i="15"/>
  <c r="H4400" i="15"/>
  <c r="I4400" i="15"/>
  <c r="J4400" i="15"/>
  <c r="H4401" i="15"/>
  <c r="I4401" i="15"/>
  <c r="J4401" i="15"/>
  <c r="H4402" i="15"/>
  <c r="I4402" i="15"/>
  <c r="J4402" i="15"/>
  <c r="H4403" i="15"/>
  <c r="I4403" i="15"/>
  <c r="J4403" i="15"/>
  <c r="H4404" i="15"/>
  <c r="I4404" i="15"/>
  <c r="J4404" i="15"/>
  <c r="H4405" i="15"/>
  <c r="I4405" i="15"/>
  <c r="J4405" i="15"/>
  <c r="H4406" i="15"/>
  <c r="I4406" i="15"/>
  <c r="J4406" i="15"/>
  <c r="H4407" i="15"/>
  <c r="I4407" i="15"/>
  <c r="J4407" i="15"/>
  <c r="H4408" i="15"/>
  <c r="I4408" i="15"/>
  <c r="J4408" i="15"/>
  <c r="H4409" i="15"/>
  <c r="I4409" i="15"/>
  <c r="J4409" i="15"/>
  <c r="H4410" i="15"/>
  <c r="I4410" i="15"/>
  <c r="J4410" i="15"/>
  <c r="H4411" i="15"/>
  <c r="I4411" i="15"/>
  <c r="J4411" i="15"/>
  <c r="H4412" i="15"/>
  <c r="I4412" i="15"/>
  <c r="J4412" i="15"/>
  <c r="H4413" i="15"/>
  <c r="I4413" i="15"/>
  <c r="J4413" i="15"/>
  <c r="H4414" i="15"/>
  <c r="I4414" i="15"/>
  <c r="J4414" i="15"/>
  <c r="H4415" i="15"/>
  <c r="I4415" i="15"/>
  <c r="J4415" i="15"/>
  <c r="H4416" i="15"/>
  <c r="I4416" i="15"/>
  <c r="J4416" i="15"/>
  <c r="H4417" i="15"/>
  <c r="I4417" i="15"/>
  <c r="J4417" i="15"/>
  <c r="H4418" i="15"/>
  <c r="I4418" i="15"/>
  <c r="J4418" i="15"/>
  <c r="H4419" i="15"/>
  <c r="I4419" i="15"/>
  <c r="J4419" i="15"/>
  <c r="H4420" i="15"/>
  <c r="I4420" i="15"/>
  <c r="J4420" i="15"/>
  <c r="H4421" i="15"/>
  <c r="I4421" i="15"/>
  <c r="J4421" i="15"/>
  <c r="H4422" i="15"/>
  <c r="I4422" i="15"/>
  <c r="J4422" i="15"/>
  <c r="H4423" i="15"/>
  <c r="I4423" i="15"/>
  <c r="J4423" i="15"/>
  <c r="H4424" i="15"/>
  <c r="I4424" i="15"/>
  <c r="J4424" i="15"/>
  <c r="H4425" i="15"/>
  <c r="I4425" i="15"/>
  <c r="J4425" i="15"/>
  <c r="H4426" i="15"/>
  <c r="I4426" i="15"/>
  <c r="J4426" i="15"/>
  <c r="H4427" i="15"/>
  <c r="I4427" i="15"/>
  <c r="J4427" i="15"/>
  <c r="H4428" i="15"/>
  <c r="I4428" i="15"/>
  <c r="J4428" i="15"/>
  <c r="H4429" i="15"/>
  <c r="I4429" i="15"/>
  <c r="J4429" i="15"/>
  <c r="H4430" i="15"/>
  <c r="I4430" i="15"/>
  <c r="J4430" i="15"/>
  <c r="H4431" i="15"/>
  <c r="I4431" i="15"/>
  <c r="J4431" i="15"/>
  <c r="H4432" i="15"/>
  <c r="I4432" i="15"/>
  <c r="J4432" i="15"/>
  <c r="H4433" i="15"/>
  <c r="I4433" i="15"/>
  <c r="J4433" i="15"/>
  <c r="H4434" i="15"/>
  <c r="I4434" i="15"/>
  <c r="J4434" i="15"/>
  <c r="H4435" i="15"/>
  <c r="I4435" i="15"/>
  <c r="J4435" i="15"/>
  <c r="H4436" i="15"/>
  <c r="I4436" i="15"/>
  <c r="J4436" i="15"/>
  <c r="H4437" i="15"/>
  <c r="I4437" i="15"/>
  <c r="J4437" i="15"/>
  <c r="H4438" i="15"/>
  <c r="I4438" i="15"/>
  <c r="J4438" i="15"/>
  <c r="H4439" i="15"/>
  <c r="I4439" i="15"/>
  <c r="J4439" i="15"/>
  <c r="H4440" i="15"/>
  <c r="I4440" i="15"/>
  <c r="J4440" i="15"/>
  <c r="H4441" i="15"/>
  <c r="I4441" i="15"/>
  <c r="J4441" i="15"/>
  <c r="H4442" i="15"/>
  <c r="I4442" i="15"/>
  <c r="J4442" i="15"/>
  <c r="H4443" i="15"/>
  <c r="I4443" i="15"/>
  <c r="J4443" i="15"/>
  <c r="H4444" i="15"/>
  <c r="I4444" i="15"/>
  <c r="J4444" i="15"/>
  <c r="H4445" i="15"/>
  <c r="I4445" i="15"/>
  <c r="J4445" i="15"/>
  <c r="H4446" i="15"/>
  <c r="I4446" i="15"/>
  <c r="J4446" i="15"/>
  <c r="H4447" i="15"/>
  <c r="I4447" i="15"/>
  <c r="J4447" i="15"/>
  <c r="H4448" i="15"/>
  <c r="I4448" i="15"/>
  <c r="J4448" i="15"/>
  <c r="H4449" i="15"/>
  <c r="I4449" i="15"/>
  <c r="J4449" i="15"/>
  <c r="H4450" i="15"/>
  <c r="I4450" i="15"/>
  <c r="J4450" i="15"/>
  <c r="H4451" i="15"/>
  <c r="I4451" i="15"/>
  <c r="J4451" i="15"/>
  <c r="H4452" i="15"/>
  <c r="I4452" i="15"/>
  <c r="J4452" i="15"/>
  <c r="H4453" i="15"/>
  <c r="I4453" i="15"/>
  <c r="J4453" i="15"/>
  <c r="H4454" i="15"/>
  <c r="I4454" i="15"/>
  <c r="J4454" i="15"/>
  <c r="H4455" i="15"/>
  <c r="I4455" i="15"/>
  <c r="J4455" i="15"/>
  <c r="H4456" i="15"/>
  <c r="I4456" i="15"/>
  <c r="J4456" i="15"/>
  <c r="H4457" i="15"/>
  <c r="I4457" i="15"/>
  <c r="J4457" i="15"/>
  <c r="H4458" i="15"/>
  <c r="I4458" i="15"/>
  <c r="J4458" i="15"/>
  <c r="H4459" i="15"/>
  <c r="I4459" i="15"/>
  <c r="J4459" i="15"/>
  <c r="H4460" i="15"/>
  <c r="I4460" i="15"/>
  <c r="J4460" i="15"/>
  <c r="H4461" i="15"/>
  <c r="I4461" i="15"/>
  <c r="J4461" i="15"/>
  <c r="H4462" i="15"/>
  <c r="I4462" i="15"/>
  <c r="J4462" i="15"/>
  <c r="H4463" i="15"/>
  <c r="I4463" i="15"/>
  <c r="J4463" i="15"/>
  <c r="H4464" i="15"/>
  <c r="I4464" i="15"/>
  <c r="J4464" i="15"/>
  <c r="H4465" i="15"/>
  <c r="I4465" i="15"/>
  <c r="J4465" i="15"/>
  <c r="H4466" i="15"/>
  <c r="I4466" i="15"/>
  <c r="J4466" i="15"/>
  <c r="H4467" i="15"/>
  <c r="I4467" i="15"/>
  <c r="J4467" i="15"/>
  <c r="H4468" i="15"/>
  <c r="I4468" i="15"/>
  <c r="J4468" i="15"/>
  <c r="H4469" i="15"/>
  <c r="I4469" i="15"/>
  <c r="J4469" i="15"/>
  <c r="H4470" i="15"/>
  <c r="I4470" i="15"/>
  <c r="J4470" i="15"/>
  <c r="H4471" i="15"/>
  <c r="I4471" i="15"/>
  <c r="J4471" i="15"/>
  <c r="H4472" i="15"/>
  <c r="I4472" i="15"/>
  <c r="J4472" i="15"/>
  <c r="H4473" i="15"/>
  <c r="I4473" i="15"/>
  <c r="J4473" i="15"/>
  <c r="H4474" i="15"/>
  <c r="I4474" i="15"/>
  <c r="J4474" i="15"/>
  <c r="H4475" i="15"/>
  <c r="I4475" i="15"/>
  <c r="J4475" i="15"/>
  <c r="H4476" i="15"/>
  <c r="I4476" i="15"/>
  <c r="J4476" i="15"/>
  <c r="H4477" i="15"/>
  <c r="I4477" i="15"/>
  <c r="J4477" i="15"/>
  <c r="H4478" i="15"/>
  <c r="I4478" i="15"/>
  <c r="J4478" i="15"/>
  <c r="H4479" i="15"/>
  <c r="I4479" i="15"/>
  <c r="J4479" i="15"/>
  <c r="H4480" i="15"/>
  <c r="I4480" i="15"/>
  <c r="J4480" i="15"/>
  <c r="H4481" i="15"/>
  <c r="I4481" i="15"/>
  <c r="J4481" i="15"/>
  <c r="H4482" i="15"/>
  <c r="I4482" i="15"/>
  <c r="J4482" i="15"/>
  <c r="H4483" i="15"/>
  <c r="I4483" i="15"/>
  <c r="J4483" i="15"/>
  <c r="H4484" i="15"/>
  <c r="I4484" i="15"/>
  <c r="J4484" i="15"/>
  <c r="H4485" i="15"/>
  <c r="I4485" i="15"/>
  <c r="J4485" i="15"/>
  <c r="H4486" i="15"/>
  <c r="I4486" i="15"/>
  <c r="J4486" i="15"/>
  <c r="H4487" i="15"/>
  <c r="I4487" i="15"/>
  <c r="J4487" i="15"/>
  <c r="H4488" i="15"/>
  <c r="I4488" i="15"/>
  <c r="J4488" i="15"/>
  <c r="H4489" i="15"/>
  <c r="I4489" i="15"/>
  <c r="J4489" i="15"/>
  <c r="H4490" i="15"/>
  <c r="I4490" i="15"/>
  <c r="J4490" i="15"/>
  <c r="H4491" i="15"/>
  <c r="I4491" i="15"/>
  <c r="J4491" i="15"/>
  <c r="H4492" i="15"/>
  <c r="I4492" i="15"/>
  <c r="J4492" i="15"/>
  <c r="H4493" i="15"/>
  <c r="I4493" i="15"/>
  <c r="J4493" i="15"/>
  <c r="H4494" i="15"/>
  <c r="I4494" i="15"/>
  <c r="J4494" i="15"/>
  <c r="H4495" i="15"/>
  <c r="I4495" i="15"/>
  <c r="J4495" i="15"/>
  <c r="H4496" i="15"/>
  <c r="I4496" i="15"/>
  <c r="J4496" i="15"/>
  <c r="H4497" i="15"/>
  <c r="I4497" i="15"/>
  <c r="J4497" i="15"/>
  <c r="H4498" i="15"/>
  <c r="I4498" i="15"/>
  <c r="J4498" i="15"/>
  <c r="H4499" i="15"/>
  <c r="I4499" i="15"/>
  <c r="J4499" i="15"/>
  <c r="H4500" i="15"/>
  <c r="I4500" i="15"/>
  <c r="J4500" i="15"/>
  <c r="H4501" i="15"/>
  <c r="I4501" i="15"/>
  <c r="J4501" i="15"/>
  <c r="H4502" i="15"/>
  <c r="I4502" i="15"/>
  <c r="J4502" i="15"/>
  <c r="H4503" i="15"/>
  <c r="I4503" i="15"/>
  <c r="J4503" i="15"/>
  <c r="H4504" i="15"/>
  <c r="I4504" i="15"/>
  <c r="J4504" i="15"/>
  <c r="H4505" i="15"/>
  <c r="I4505" i="15"/>
  <c r="J4505" i="15"/>
  <c r="H4506" i="15"/>
  <c r="I4506" i="15"/>
  <c r="J4506" i="15"/>
  <c r="H4507" i="15"/>
  <c r="I4507" i="15"/>
  <c r="J4507" i="15"/>
  <c r="H4508" i="15"/>
  <c r="I4508" i="15"/>
  <c r="J4508" i="15"/>
  <c r="H4509" i="15"/>
  <c r="I4509" i="15"/>
  <c r="J4509" i="15"/>
  <c r="H4510" i="15"/>
  <c r="I4510" i="15"/>
  <c r="J4510" i="15"/>
  <c r="H4511" i="15"/>
  <c r="I4511" i="15"/>
  <c r="J4511" i="15"/>
  <c r="H4512" i="15"/>
  <c r="I4512" i="15"/>
  <c r="J4512" i="15"/>
  <c r="H4513" i="15"/>
  <c r="I4513" i="15"/>
  <c r="J4513" i="15"/>
  <c r="H4514" i="15"/>
  <c r="I4514" i="15"/>
  <c r="J4514" i="15"/>
  <c r="H4515" i="15"/>
  <c r="I4515" i="15"/>
  <c r="J4515" i="15"/>
  <c r="H4516" i="15"/>
  <c r="I4516" i="15"/>
  <c r="J4516" i="15"/>
  <c r="H4517" i="15"/>
  <c r="I4517" i="15"/>
  <c r="J4517" i="15"/>
  <c r="H4518" i="15"/>
  <c r="I4518" i="15"/>
  <c r="J4518" i="15"/>
  <c r="H4519" i="15"/>
  <c r="I4519" i="15"/>
  <c r="J4519" i="15"/>
  <c r="H4520" i="15"/>
  <c r="I4520" i="15"/>
  <c r="J4520" i="15"/>
  <c r="H4521" i="15"/>
  <c r="I4521" i="15"/>
  <c r="J4521" i="15"/>
  <c r="H4522" i="15"/>
  <c r="I4522" i="15"/>
  <c r="J4522" i="15"/>
  <c r="H4523" i="15"/>
  <c r="I4523" i="15"/>
  <c r="J4523" i="15"/>
  <c r="H4524" i="15"/>
  <c r="I4524" i="15"/>
  <c r="J4524" i="15"/>
  <c r="H4525" i="15"/>
  <c r="I4525" i="15"/>
  <c r="J4525" i="15"/>
  <c r="H4526" i="15"/>
  <c r="I4526" i="15"/>
  <c r="J4526" i="15"/>
  <c r="H4527" i="15"/>
  <c r="I4527" i="15"/>
  <c r="J4527" i="15"/>
  <c r="H4528" i="15"/>
  <c r="I4528" i="15"/>
  <c r="J4528" i="15"/>
  <c r="H4529" i="15"/>
  <c r="I4529" i="15"/>
  <c r="J4529" i="15"/>
  <c r="H4530" i="15"/>
  <c r="I4530" i="15"/>
  <c r="J4530" i="15"/>
  <c r="H4531" i="15"/>
  <c r="I4531" i="15"/>
  <c r="J4531" i="15"/>
  <c r="H4532" i="15"/>
  <c r="I4532" i="15"/>
  <c r="J4532" i="15"/>
  <c r="H4533" i="15"/>
  <c r="I4533" i="15"/>
  <c r="J4533" i="15"/>
  <c r="H4534" i="15"/>
  <c r="I4534" i="15"/>
  <c r="J4534" i="15"/>
  <c r="H4535" i="15"/>
  <c r="I4535" i="15"/>
  <c r="J4535" i="15"/>
  <c r="H4536" i="15"/>
  <c r="I4536" i="15"/>
  <c r="J4536" i="15"/>
  <c r="H4537" i="15"/>
  <c r="I4537" i="15"/>
  <c r="J4537" i="15"/>
  <c r="H4538" i="15"/>
  <c r="I4538" i="15"/>
  <c r="J4538" i="15"/>
  <c r="H4539" i="15"/>
  <c r="I4539" i="15"/>
  <c r="J4539" i="15"/>
  <c r="H4540" i="15"/>
  <c r="I4540" i="15"/>
  <c r="J4540" i="15"/>
  <c r="H4541" i="15"/>
  <c r="I4541" i="15"/>
  <c r="J4541" i="15"/>
  <c r="H4542" i="15"/>
  <c r="I4542" i="15"/>
  <c r="J4542" i="15"/>
  <c r="H4543" i="15"/>
  <c r="I4543" i="15"/>
  <c r="J4543" i="15"/>
  <c r="H4544" i="15"/>
  <c r="I4544" i="15"/>
  <c r="J4544" i="15"/>
  <c r="H4545" i="15"/>
  <c r="I4545" i="15"/>
  <c r="J4545" i="15"/>
  <c r="H4546" i="15"/>
  <c r="I4546" i="15"/>
  <c r="J4546" i="15"/>
  <c r="H4547" i="15"/>
  <c r="I4547" i="15"/>
  <c r="J4547" i="15"/>
  <c r="H4548" i="15"/>
  <c r="I4548" i="15"/>
  <c r="J4548" i="15"/>
  <c r="H4549" i="15"/>
  <c r="I4549" i="15"/>
  <c r="J4549" i="15"/>
  <c r="H4550" i="15"/>
  <c r="I4550" i="15"/>
  <c r="J4550" i="15"/>
  <c r="H4551" i="15"/>
  <c r="I4551" i="15"/>
  <c r="J4551" i="15"/>
  <c r="H4552" i="15"/>
  <c r="I4552" i="15"/>
  <c r="J4552" i="15"/>
  <c r="H4553" i="15"/>
  <c r="I4553" i="15"/>
  <c r="J4553" i="15"/>
  <c r="H4554" i="15"/>
  <c r="I4554" i="15"/>
  <c r="J4554" i="15"/>
  <c r="H4555" i="15"/>
  <c r="I4555" i="15"/>
  <c r="J4555" i="15"/>
  <c r="H4556" i="15"/>
  <c r="I4556" i="15"/>
  <c r="J4556" i="15"/>
  <c r="H4557" i="15"/>
  <c r="I4557" i="15"/>
  <c r="J4557" i="15"/>
  <c r="H4558" i="15"/>
  <c r="I4558" i="15"/>
  <c r="J4558" i="15"/>
  <c r="H4559" i="15"/>
  <c r="I4559" i="15"/>
  <c r="J4559" i="15"/>
  <c r="H4560" i="15"/>
  <c r="I4560" i="15"/>
  <c r="J4560" i="15"/>
  <c r="H4561" i="15"/>
  <c r="I4561" i="15"/>
  <c r="J4561" i="15"/>
  <c r="H4562" i="15"/>
  <c r="I4562" i="15"/>
  <c r="J4562" i="15"/>
  <c r="H4563" i="15"/>
  <c r="I4563" i="15"/>
  <c r="J4563" i="15"/>
  <c r="H4564" i="15"/>
  <c r="I4564" i="15"/>
  <c r="J4564" i="15"/>
  <c r="H4565" i="15"/>
  <c r="I4565" i="15"/>
  <c r="J4565" i="15"/>
  <c r="H4566" i="15"/>
  <c r="I4566" i="15"/>
  <c r="J4566" i="15"/>
  <c r="H4567" i="15"/>
  <c r="I4567" i="15"/>
  <c r="J4567" i="15"/>
  <c r="H4568" i="15"/>
  <c r="I4568" i="15"/>
  <c r="J4568" i="15"/>
  <c r="H4569" i="15"/>
  <c r="I4569" i="15"/>
  <c r="J4569" i="15"/>
  <c r="H4570" i="15"/>
  <c r="I4570" i="15"/>
  <c r="J4570" i="15"/>
  <c r="H4571" i="15"/>
  <c r="I4571" i="15"/>
  <c r="J4571" i="15"/>
  <c r="H4572" i="15"/>
  <c r="I4572" i="15"/>
  <c r="J4572" i="15"/>
  <c r="H4573" i="15"/>
  <c r="I4573" i="15"/>
  <c r="J4573" i="15"/>
  <c r="H4574" i="15"/>
  <c r="I4574" i="15"/>
  <c r="J4574" i="15"/>
  <c r="H4575" i="15"/>
  <c r="I4575" i="15"/>
  <c r="J4575" i="15"/>
  <c r="H4576" i="15"/>
  <c r="I4576" i="15"/>
  <c r="J4576" i="15"/>
  <c r="H4577" i="15"/>
  <c r="I4577" i="15"/>
  <c r="J4577" i="15"/>
  <c r="H4578" i="15"/>
  <c r="I4578" i="15"/>
  <c r="J4578" i="15"/>
  <c r="H4579" i="15"/>
  <c r="I4579" i="15"/>
  <c r="J4579" i="15"/>
  <c r="H4580" i="15"/>
  <c r="I4580" i="15"/>
  <c r="J4580" i="15"/>
  <c r="H4581" i="15"/>
  <c r="I4581" i="15"/>
  <c r="J4581" i="15"/>
  <c r="H4582" i="15"/>
  <c r="I4582" i="15"/>
  <c r="J4582" i="15"/>
  <c r="H4583" i="15"/>
  <c r="I4583" i="15"/>
  <c r="J4583" i="15"/>
  <c r="H4584" i="15"/>
  <c r="I4584" i="15"/>
  <c r="J4584" i="15"/>
  <c r="H4585" i="15"/>
  <c r="I4585" i="15"/>
  <c r="J4585" i="15"/>
  <c r="H4586" i="15"/>
  <c r="I4586" i="15"/>
  <c r="J4586" i="15"/>
  <c r="H4587" i="15"/>
  <c r="I4587" i="15"/>
  <c r="J4587" i="15"/>
  <c r="H4588" i="15"/>
  <c r="I4588" i="15"/>
  <c r="J4588" i="15"/>
  <c r="H4589" i="15"/>
  <c r="I4589" i="15"/>
  <c r="J4589" i="15"/>
  <c r="H4590" i="15"/>
  <c r="I4590" i="15"/>
  <c r="J4590" i="15"/>
  <c r="H4591" i="15"/>
  <c r="I4591" i="15"/>
  <c r="J4591" i="15"/>
  <c r="H4592" i="15"/>
  <c r="I4592" i="15"/>
  <c r="J4592" i="15"/>
  <c r="H4593" i="15"/>
  <c r="I4593" i="15"/>
  <c r="J4593" i="15"/>
  <c r="H4594" i="15"/>
  <c r="I4594" i="15"/>
  <c r="J4594" i="15"/>
  <c r="H4595" i="15"/>
  <c r="I4595" i="15"/>
  <c r="J4595" i="15"/>
  <c r="H4596" i="15"/>
  <c r="I4596" i="15"/>
  <c r="J4596" i="15"/>
  <c r="H4597" i="15"/>
  <c r="I4597" i="15"/>
  <c r="J4597" i="15"/>
  <c r="H4598" i="15"/>
  <c r="I4598" i="15"/>
  <c r="J4598" i="15"/>
  <c r="H4599" i="15"/>
  <c r="I4599" i="15"/>
  <c r="J4599" i="15"/>
  <c r="H4600" i="15"/>
  <c r="I4600" i="15"/>
  <c r="J4600" i="15"/>
  <c r="H4601" i="15"/>
  <c r="I4601" i="15"/>
  <c r="J4601" i="15"/>
  <c r="H4602" i="15"/>
  <c r="I4602" i="15"/>
  <c r="J4602" i="15"/>
  <c r="H4603" i="15"/>
  <c r="I4603" i="15"/>
  <c r="J4603" i="15"/>
  <c r="H4604" i="15"/>
  <c r="I4604" i="15"/>
  <c r="J4604" i="15"/>
  <c r="H4605" i="15"/>
  <c r="I4605" i="15"/>
  <c r="J4605" i="15"/>
  <c r="H4606" i="15"/>
  <c r="I4606" i="15"/>
  <c r="J4606" i="15"/>
  <c r="H4607" i="15"/>
  <c r="I4607" i="15"/>
  <c r="J4607" i="15"/>
  <c r="H4608" i="15"/>
  <c r="I4608" i="15"/>
  <c r="J4608" i="15"/>
  <c r="H4609" i="15"/>
  <c r="I4609" i="15"/>
  <c r="J4609" i="15"/>
  <c r="H4610" i="15"/>
  <c r="I4610" i="15"/>
  <c r="J4610" i="15"/>
  <c r="H4611" i="15"/>
  <c r="I4611" i="15"/>
  <c r="J4611" i="15"/>
  <c r="H4612" i="15"/>
  <c r="I4612" i="15"/>
  <c r="J4612" i="15"/>
  <c r="H4613" i="15"/>
  <c r="I4613" i="15"/>
  <c r="J4613" i="15"/>
  <c r="H4614" i="15"/>
  <c r="I4614" i="15"/>
  <c r="J4614" i="15"/>
  <c r="H4615" i="15"/>
  <c r="I4615" i="15"/>
  <c r="J4615" i="15"/>
  <c r="H4616" i="15"/>
  <c r="I4616" i="15"/>
  <c r="J4616" i="15"/>
  <c r="H4617" i="15"/>
  <c r="I4617" i="15"/>
  <c r="J4617" i="15"/>
  <c r="H4618" i="15"/>
  <c r="I4618" i="15"/>
  <c r="J4618" i="15"/>
  <c r="H4619" i="15"/>
  <c r="I4619" i="15"/>
  <c r="J4619" i="15"/>
  <c r="H4620" i="15"/>
  <c r="I4620" i="15"/>
  <c r="J4620" i="15"/>
  <c r="H4621" i="15"/>
  <c r="I4621" i="15"/>
  <c r="J4621" i="15"/>
  <c r="H4622" i="15"/>
  <c r="I4622" i="15"/>
  <c r="J4622" i="15"/>
  <c r="H4623" i="15"/>
  <c r="I4623" i="15"/>
  <c r="J4623" i="15"/>
  <c r="H4624" i="15"/>
  <c r="I4624" i="15"/>
  <c r="J4624" i="15"/>
  <c r="H4625" i="15"/>
  <c r="I4625" i="15"/>
  <c r="J4625" i="15"/>
  <c r="H4626" i="15"/>
  <c r="I4626" i="15"/>
  <c r="J4626" i="15"/>
  <c r="H4627" i="15"/>
  <c r="I4627" i="15"/>
  <c r="J4627" i="15"/>
  <c r="H4628" i="15"/>
  <c r="I4628" i="15"/>
  <c r="J4628" i="15"/>
  <c r="H4629" i="15"/>
  <c r="I4629" i="15"/>
  <c r="J4629" i="15"/>
  <c r="H4630" i="15"/>
  <c r="I4630" i="15"/>
  <c r="J4630" i="15"/>
  <c r="H4631" i="15"/>
  <c r="I4631" i="15"/>
  <c r="J4631" i="15"/>
  <c r="H4632" i="15"/>
  <c r="I4632" i="15"/>
  <c r="J4632" i="15"/>
  <c r="H4633" i="15"/>
  <c r="I4633" i="15"/>
  <c r="J4633" i="15"/>
  <c r="H4634" i="15"/>
  <c r="I4634" i="15"/>
  <c r="J4634" i="15"/>
  <c r="H4635" i="15"/>
  <c r="I4635" i="15"/>
  <c r="J4635" i="15"/>
  <c r="H4636" i="15"/>
  <c r="I4636" i="15"/>
  <c r="J4636" i="15"/>
  <c r="H4637" i="15"/>
  <c r="I4637" i="15"/>
  <c r="J4637" i="15"/>
  <c r="H4638" i="15"/>
  <c r="I4638" i="15"/>
  <c r="J4638" i="15"/>
  <c r="H4639" i="15"/>
  <c r="I4639" i="15"/>
  <c r="J4639" i="15"/>
  <c r="H4640" i="15"/>
  <c r="I4640" i="15"/>
  <c r="J4640" i="15"/>
  <c r="H4641" i="15"/>
  <c r="I4641" i="15"/>
  <c r="J4641" i="15"/>
  <c r="H4642" i="15"/>
  <c r="I4642" i="15"/>
  <c r="J4642" i="15"/>
  <c r="H4643" i="15"/>
  <c r="I4643" i="15"/>
  <c r="J4643" i="15"/>
  <c r="H4644" i="15"/>
  <c r="I4644" i="15"/>
  <c r="J4644" i="15"/>
  <c r="H4645" i="15"/>
  <c r="I4645" i="15"/>
  <c r="J4645" i="15"/>
  <c r="H4646" i="15"/>
  <c r="I4646" i="15"/>
  <c r="J4646" i="15"/>
  <c r="H4647" i="15"/>
  <c r="I4647" i="15"/>
  <c r="J4647" i="15"/>
  <c r="H4648" i="15"/>
  <c r="I4648" i="15"/>
  <c r="J4648" i="15"/>
  <c r="H4649" i="15"/>
  <c r="I4649" i="15"/>
  <c r="J4649" i="15"/>
  <c r="H4650" i="15"/>
  <c r="I4650" i="15"/>
  <c r="J4650" i="15"/>
  <c r="H4651" i="15"/>
  <c r="I4651" i="15"/>
  <c r="J4651" i="15"/>
  <c r="H4652" i="15"/>
  <c r="I4652" i="15"/>
  <c r="J4652" i="15"/>
  <c r="H4653" i="15"/>
  <c r="I4653" i="15"/>
  <c r="J4653" i="15"/>
  <c r="H4654" i="15"/>
  <c r="I4654" i="15"/>
  <c r="J4654" i="15"/>
  <c r="H4655" i="15"/>
  <c r="I4655" i="15"/>
  <c r="J4655" i="15"/>
  <c r="H4656" i="15"/>
  <c r="I4656" i="15"/>
  <c r="J4656" i="15"/>
  <c r="H4657" i="15"/>
  <c r="I4657" i="15"/>
  <c r="J4657" i="15"/>
  <c r="H4658" i="15"/>
  <c r="I4658" i="15"/>
  <c r="J4658" i="15"/>
  <c r="H4659" i="15"/>
  <c r="I4659" i="15"/>
  <c r="J4659" i="15"/>
  <c r="H4660" i="15"/>
  <c r="I4660" i="15"/>
  <c r="J4660" i="15"/>
  <c r="H4661" i="15"/>
  <c r="I4661" i="15"/>
  <c r="J4661" i="15"/>
  <c r="H4662" i="15"/>
  <c r="I4662" i="15"/>
  <c r="J4662" i="15"/>
  <c r="H4663" i="15"/>
  <c r="I4663" i="15"/>
  <c r="J4663" i="15"/>
  <c r="H4664" i="15"/>
  <c r="I4664" i="15"/>
  <c r="J4664" i="15"/>
  <c r="H4665" i="15"/>
  <c r="I4665" i="15"/>
  <c r="J4665" i="15"/>
  <c r="H4666" i="15"/>
  <c r="I4666" i="15"/>
  <c r="J4666" i="15"/>
  <c r="H4667" i="15"/>
  <c r="I4667" i="15"/>
  <c r="J4667" i="15"/>
  <c r="H4668" i="15"/>
  <c r="I4668" i="15"/>
  <c r="J4668" i="15"/>
  <c r="H4669" i="15"/>
  <c r="I4669" i="15"/>
  <c r="J4669" i="15"/>
  <c r="H4670" i="15"/>
  <c r="I4670" i="15"/>
  <c r="J4670" i="15"/>
  <c r="H4671" i="15"/>
  <c r="I4671" i="15"/>
  <c r="J4671" i="15"/>
  <c r="H4672" i="15"/>
  <c r="I4672" i="15"/>
  <c r="J4672" i="15"/>
  <c r="H4673" i="15"/>
  <c r="I4673" i="15"/>
  <c r="J4673" i="15"/>
  <c r="H4674" i="15"/>
  <c r="I4674" i="15"/>
  <c r="J4674" i="15"/>
  <c r="H4675" i="15"/>
  <c r="I4675" i="15"/>
  <c r="J4675" i="15"/>
  <c r="H4676" i="15"/>
  <c r="I4676" i="15"/>
  <c r="J4676" i="15"/>
  <c r="H4677" i="15"/>
  <c r="I4677" i="15"/>
  <c r="J4677" i="15"/>
  <c r="H4678" i="15"/>
  <c r="I4678" i="15"/>
  <c r="J4678" i="15"/>
  <c r="H4679" i="15"/>
  <c r="I4679" i="15"/>
  <c r="J4679" i="15"/>
  <c r="H4680" i="15"/>
  <c r="I4680" i="15"/>
  <c r="J4680" i="15"/>
  <c r="H4681" i="15"/>
  <c r="I4681" i="15"/>
  <c r="J4681" i="15"/>
  <c r="H4682" i="15"/>
  <c r="I4682" i="15"/>
  <c r="J4682" i="15"/>
  <c r="H4683" i="15"/>
  <c r="I4683" i="15"/>
  <c r="J4683" i="15"/>
  <c r="H4684" i="15"/>
  <c r="I4684" i="15"/>
  <c r="J4684" i="15"/>
  <c r="H4685" i="15"/>
  <c r="I4685" i="15"/>
  <c r="J4685" i="15"/>
  <c r="H4686" i="15"/>
  <c r="I4686" i="15"/>
  <c r="J4686" i="15"/>
  <c r="H4687" i="15"/>
  <c r="I4687" i="15"/>
  <c r="J4687" i="15"/>
  <c r="H4688" i="15"/>
  <c r="I4688" i="15"/>
  <c r="J4688" i="15"/>
  <c r="H4689" i="15"/>
  <c r="I4689" i="15"/>
  <c r="J4689" i="15"/>
  <c r="H4690" i="15"/>
  <c r="I4690" i="15"/>
  <c r="J4690" i="15"/>
  <c r="H4691" i="15"/>
  <c r="I4691" i="15"/>
  <c r="J4691" i="15"/>
  <c r="H4692" i="15"/>
  <c r="I4692" i="15"/>
  <c r="J4692" i="15"/>
  <c r="H4693" i="15"/>
  <c r="I4693" i="15"/>
  <c r="J4693" i="15"/>
  <c r="H4694" i="15"/>
  <c r="I4694" i="15"/>
  <c r="J4694" i="15"/>
  <c r="H4695" i="15"/>
  <c r="I4695" i="15"/>
  <c r="J4695" i="15"/>
  <c r="H4696" i="15"/>
  <c r="I4696" i="15"/>
  <c r="J4696" i="15"/>
  <c r="H4697" i="15"/>
  <c r="I4697" i="15"/>
  <c r="J4697" i="15"/>
  <c r="H4698" i="15"/>
  <c r="I4698" i="15"/>
  <c r="J4698" i="15"/>
  <c r="H4699" i="15"/>
  <c r="I4699" i="15"/>
  <c r="J4699" i="15"/>
  <c r="H4700" i="15"/>
  <c r="I4700" i="15"/>
  <c r="J4700" i="15"/>
  <c r="H4701" i="15"/>
  <c r="I4701" i="15"/>
  <c r="J4701" i="15"/>
  <c r="H4702" i="15"/>
  <c r="I4702" i="15"/>
  <c r="J4702" i="15"/>
  <c r="H4703" i="15"/>
  <c r="I4703" i="15"/>
  <c r="J4703" i="15"/>
  <c r="H4704" i="15"/>
  <c r="I4704" i="15"/>
  <c r="J4704" i="15"/>
  <c r="H4705" i="15"/>
  <c r="I4705" i="15"/>
  <c r="J4705" i="15"/>
  <c r="H4706" i="15"/>
  <c r="I4706" i="15"/>
  <c r="J4706" i="15"/>
  <c r="H4707" i="15"/>
  <c r="I4707" i="15"/>
  <c r="J4707" i="15"/>
  <c r="H4708" i="15"/>
  <c r="I4708" i="15"/>
  <c r="J4708" i="15"/>
  <c r="H4709" i="15"/>
  <c r="I4709" i="15"/>
  <c r="J4709" i="15"/>
  <c r="H4710" i="15"/>
  <c r="I4710" i="15"/>
  <c r="J4710" i="15"/>
  <c r="H4711" i="15"/>
  <c r="I4711" i="15"/>
  <c r="J4711" i="15"/>
  <c r="H4712" i="15"/>
  <c r="I4712" i="15"/>
  <c r="J4712" i="15"/>
  <c r="H4713" i="15"/>
  <c r="I4713" i="15"/>
  <c r="J4713" i="15"/>
  <c r="H4714" i="15"/>
  <c r="I4714" i="15"/>
  <c r="J4714" i="15"/>
  <c r="H4715" i="15"/>
  <c r="I4715" i="15"/>
  <c r="J4715" i="15"/>
  <c r="H4716" i="15"/>
  <c r="I4716" i="15"/>
  <c r="J4716" i="15"/>
  <c r="H4717" i="15"/>
  <c r="I4717" i="15"/>
  <c r="J4717" i="15"/>
  <c r="H4718" i="15"/>
  <c r="I4718" i="15"/>
  <c r="J4718" i="15"/>
  <c r="H4719" i="15"/>
  <c r="I4719" i="15"/>
  <c r="J4719" i="15"/>
  <c r="H4720" i="15"/>
  <c r="I4720" i="15"/>
  <c r="J4720" i="15"/>
  <c r="H4721" i="15"/>
  <c r="I4721" i="15"/>
  <c r="J4721" i="15"/>
  <c r="H4722" i="15"/>
  <c r="I4722" i="15"/>
  <c r="J4722" i="15"/>
  <c r="H4723" i="15"/>
  <c r="I4723" i="15"/>
  <c r="J4723" i="15"/>
  <c r="H4724" i="15"/>
  <c r="I4724" i="15"/>
  <c r="J4724" i="15"/>
  <c r="H4725" i="15"/>
  <c r="I4725" i="15"/>
  <c r="J4725" i="15"/>
  <c r="H4726" i="15"/>
  <c r="I4726" i="15"/>
  <c r="J4726" i="15"/>
  <c r="H4727" i="15"/>
  <c r="I4727" i="15"/>
  <c r="J4727" i="15"/>
  <c r="H4728" i="15"/>
  <c r="I4728" i="15"/>
  <c r="J4728" i="15"/>
  <c r="H4729" i="15"/>
  <c r="I4729" i="15"/>
  <c r="J4729" i="15"/>
  <c r="H4730" i="15"/>
  <c r="I4730" i="15"/>
  <c r="J4730" i="15"/>
  <c r="H4731" i="15"/>
  <c r="I4731" i="15"/>
  <c r="J4731" i="15"/>
  <c r="H4732" i="15"/>
  <c r="I4732" i="15"/>
  <c r="J4732" i="15"/>
  <c r="H4733" i="15"/>
  <c r="I4733" i="15"/>
  <c r="J4733" i="15"/>
  <c r="H4734" i="15"/>
  <c r="I4734" i="15"/>
  <c r="J4734" i="15"/>
  <c r="H4735" i="15"/>
  <c r="I4735" i="15"/>
  <c r="J4735" i="15"/>
  <c r="H4736" i="15"/>
  <c r="I4736" i="15"/>
  <c r="J4736" i="15"/>
  <c r="H4737" i="15"/>
  <c r="I4737" i="15"/>
  <c r="J4737" i="15"/>
  <c r="H4738" i="15"/>
  <c r="I4738" i="15"/>
  <c r="J4738" i="15"/>
  <c r="H4739" i="15"/>
  <c r="I4739" i="15"/>
  <c r="J4739" i="15"/>
  <c r="H4740" i="15"/>
  <c r="I4740" i="15"/>
  <c r="J4740" i="15"/>
  <c r="H4741" i="15"/>
  <c r="I4741" i="15"/>
  <c r="J4741" i="15"/>
  <c r="H4742" i="15"/>
  <c r="I4742" i="15"/>
  <c r="J4742" i="15"/>
  <c r="H4743" i="15"/>
  <c r="I4743" i="15"/>
  <c r="J4743" i="15"/>
  <c r="H4744" i="15"/>
  <c r="I4744" i="15"/>
  <c r="J4744" i="15"/>
  <c r="H4745" i="15"/>
  <c r="I4745" i="15"/>
  <c r="J4745" i="15"/>
  <c r="H4746" i="15"/>
  <c r="I4746" i="15"/>
  <c r="J4746" i="15"/>
  <c r="H4747" i="15"/>
  <c r="I4747" i="15"/>
  <c r="J4747" i="15"/>
  <c r="H4748" i="15"/>
  <c r="I4748" i="15"/>
  <c r="J4748" i="15"/>
  <c r="H4749" i="15"/>
  <c r="I4749" i="15"/>
  <c r="J4749" i="15"/>
  <c r="H4750" i="15"/>
  <c r="I4750" i="15"/>
  <c r="J4750" i="15"/>
  <c r="H4751" i="15"/>
  <c r="I4751" i="15"/>
  <c r="J4751" i="15"/>
  <c r="H4752" i="15"/>
  <c r="I4752" i="15"/>
  <c r="J4752" i="15"/>
  <c r="H4753" i="15"/>
  <c r="I4753" i="15"/>
  <c r="J4753" i="15"/>
  <c r="H4754" i="15"/>
  <c r="I4754" i="15"/>
  <c r="J4754" i="15"/>
  <c r="H4755" i="15"/>
  <c r="I4755" i="15"/>
  <c r="J4755" i="15"/>
  <c r="H4756" i="15"/>
  <c r="I4756" i="15"/>
  <c r="J4756" i="15"/>
  <c r="H4757" i="15"/>
  <c r="I4757" i="15"/>
  <c r="J4757" i="15"/>
  <c r="H4758" i="15"/>
  <c r="I4758" i="15"/>
  <c r="J4758" i="15"/>
  <c r="H4759" i="15"/>
  <c r="I4759" i="15"/>
  <c r="J4759" i="15"/>
  <c r="H4760" i="15"/>
  <c r="I4760" i="15"/>
  <c r="J4760" i="15"/>
  <c r="H4761" i="15"/>
  <c r="I4761" i="15"/>
  <c r="J4761" i="15"/>
  <c r="H4762" i="15"/>
  <c r="I4762" i="15"/>
  <c r="J4762" i="15"/>
  <c r="H4763" i="15"/>
  <c r="I4763" i="15"/>
  <c r="J4763" i="15"/>
  <c r="H4764" i="15"/>
  <c r="I4764" i="15"/>
  <c r="J4764" i="15"/>
  <c r="H4765" i="15"/>
  <c r="I4765" i="15"/>
  <c r="J4765" i="15"/>
  <c r="H4766" i="15"/>
  <c r="I4766" i="15"/>
  <c r="J4766" i="15"/>
  <c r="H4767" i="15"/>
  <c r="I4767" i="15"/>
  <c r="J4767" i="15"/>
  <c r="H4768" i="15"/>
  <c r="I4768" i="15"/>
  <c r="J4768" i="15"/>
  <c r="H4769" i="15"/>
  <c r="I4769" i="15"/>
  <c r="J4769" i="15"/>
  <c r="H4770" i="15"/>
  <c r="I4770" i="15"/>
  <c r="J4770" i="15"/>
  <c r="H4771" i="15"/>
  <c r="I4771" i="15"/>
  <c r="J4771" i="15"/>
  <c r="H4772" i="15"/>
  <c r="I4772" i="15"/>
  <c r="J4772" i="15"/>
  <c r="H4773" i="15"/>
  <c r="I4773" i="15"/>
  <c r="J4773" i="15"/>
  <c r="H4774" i="15"/>
  <c r="I4774" i="15"/>
  <c r="J4774" i="15"/>
  <c r="H4775" i="15"/>
  <c r="I4775" i="15"/>
  <c r="J4775" i="15"/>
  <c r="H4776" i="15"/>
  <c r="I4776" i="15"/>
  <c r="J4776" i="15"/>
  <c r="H4777" i="15"/>
  <c r="I4777" i="15"/>
  <c r="J4777" i="15"/>
  <c r="H4778" i="15"/>
  <c r="I4778" i="15"/>
  <c r="J4778" i="15"/>
  <c r="H4779" i="15"/>
  <c r="I4779" i="15"/>
  <c r="J4779" i="15"/>
  <c r="H4780" i="15"/>
  <c r="I4780" i="15"/>
  <c r="J4780" i="15"/>
  <c r="H4781" i="15"/>
  <c r="I4781" i="15"/>
  <c r="J4781" i="15"/>
  <c r="H4782" i="15"/>
  <c r="I4782" i="15"/>
  <c r="J4782" i="15"/>
  <c r="H4783" i="15"/>
  <c r="I4783" i="15"/>
  <c r="J4783" i="15"/>
  <c r="H4784" i="15"/>
  <c r="I4784" i="15"/>
  <c r="J4784" i="15"/>
  <c r="H4785" i="15"/>
  <c r="I4785" i="15"/>
  <c r="J4785" i="15"/>
  <c r="H4786" i="15"/>
  <c r="I4786" i="15"/>
  <c r="J4786" i="15"/>
  <c r="H4787" i="15"/>
  <c r="I4787" i="15"/>
  <c r="J4787" i="15"/>
  <c r="H4788" i="15"/>
  <c r="I4788" i="15"/>
  <c r="J4788" i="15"/>
  <c r="H4789" i="15"/>
  <c r="I4789" i="15"/>
  <c r="J4789" i="15"/>
  <c r="H4790" i="15"/>
  <c r="I4790" i="15"/>
  <c r="J4790" i="15"/>
  <c r="H4791" i="15"/>
  <c r="I4791" i="15"/>
  <c r="J4791" i="15"/>
  <c r="H4792" i="15"/>
  <c r="I4792" i="15"/>
  <c r="J4792" i="15"/>
  <c r="H4793" i="15"/>
  <c r="I4793" i="15"/>
  <c r="J4793" i="15"/>
  <c r="H4794" i="15"/>
  <c r="I4794" i="15"/>
  <c r="J4794" i="15"/>
  <c r="H4795" i="15"/>
  <c r="I4795" i="15"/>
  <c r="J4795" i="15"/>
  <c r="H4796" i="15"/>
  <c r="I4796" i="15"/>
  <c r="J4796" i="15"/>
  <c r="H4797" i="15"/>
  <c r="I4797" i="15"/>
  <c r="J4797" i="15"/>
  <c r="H4798" i="15"/>
  <c r="I4798" i="15"/>
  <c r="J4798" i="15"/>
  <c r="H4799" i="15"/>
  <c r="I4799" i="15"/>
  <c r="J4799" i="15"/>
  <c r="H4800" i="15"/>
  <c r="I4800" i="15"/>
  <c r="J4800" i="15"/>
  <c r="H4801" i="15"/>
  <c r="I4801" i="15"/>
  <c r="J4801" i="15"/>
  <c r="H4802" i="15"/>
  <c r="I4802" i="15"/>
  <c r="J4802" i="15"/>
  <c r="H4803" i="15"/>
  <c r="I4803" i="15"/>
  <c r="J4803" i="15"/>
  <c r="H4804" i="15"/>
  <c r="I4804" i="15"/>
  <c r="J4804" i="15"/>
  <c r="H4805" i="15"/>
  <c r="I4805" i="15"/>
  <c r="J4805" i="15"/>
  <c r="H4806" i="15"/>
  <c r="I4806" i="15"/>
  <c r="J4806" i="15"/>
  <c r="H4807" i="15"/>
  <c r="I4807" i="15"/>
  <c r="J4807" i="15"/>
  <c r="H4808" i="15"/>
  <c r="I4808" i="15"/>
  <c r="J4808" i="15"/>
  <c r="H4809" i="15"/>
  <c r="I4809" i="15"/>
  <c r="J4809" i="15"/>
  <c r="H4810" i="15"/>
  <c r="I4810" i="15"/>
  <c r="J4810" i="15"/>
  <c r="H4811" i="15"/>
  <c r="I4811" i="15"/>
  <c r="J4811" i="15"/>
  <c r="H4812" i="15"/>
  <c r="I4812" i="15"/>
  <c r="J4812" i="15"/>
  <c r="H4813" i="15"/>
  <c r="I4813" i="15"/>
  <c r="J4813" i="15"/>
  <c r="H4814" i="15"/>
  <c r="I4814" i="15"/>
  <c r="J4814" i="15"/>
  <c r="H4815" i="15"/>
  <c r="I4815" i="15"/>
  <c r="J4815" i="15"/>
  <c r="H4816" i="15"/>
  <c r="I4816" i="15"/>
  <c r="J4816" i="15"/>
  <c r="H4817" i="15"/>
  <c r="I4817" i="15"/>
  <c r="J4817" i="15"/>
  <c r="H4818" i="15"/>
  <c r="I4818" i="15"/>
  <c r="J4818" i="15"/>
  <c r="H4819" i="15"/>
  <c r="I4819" i="15"/>
  <c r="J4819" i="15"/>
  <c r="H4820" i="15"/>
  <c r="I4820" i="15"/>
  <c r="J4820" i="15"/>
  <c r="H4821" i="15"/>
  <c r="I4821" i="15"/>
  <c r="J4821" i="15"/>
  <c r="H4822" i="15"/>
  <c r="I4822" i="15"/>
  <c r="J4822" i="15"/>
  <c r="H4823" i="15"/>
  <c r="I4823" i="15"/>
  <c r="J4823" i="15"/>
  <c r="H4824" i="15"/>
  <c r="I4824" i="15"/>
  <c r="J4824" i="15"/>
  <c r="H4825" i="15"/>
  <c r="I4825" i="15"/>
  <c r="J4825" i="15"/>
  <c r="H4826" i="15"/>
  <c r="I4826" i="15"/>
  <c r="J4826" i="15"/>
  <c r="H4827" i="15"/>
  <c r="I4827" i="15"/>
  <c r="J4827" i="15"/>
  <c r="H4828" i="15"/>
  <c r="I4828" i="15"/>
  <c r="J4828" i="15"/>
  <c r="H4829" i="15"/>
  <c r="I4829" i="15"/>
  <c r="J4829" i="15"/>
  <c r="H4830" i="15"/>
  <c r="I4830" i="15"/>
  <c r="J4830" i="15"/>
  <c r="H4831" i="15"/>
  <c r="I4831" i="15"/>
  <c r="J4831" i="15"/>
  <c r="H4832" i="15"/>
  <c r="I4832" i="15"/>
  <c r="J4832" i="15"/>
  <c r="H4833" i="15"/>
  <c r="I4833" i="15"/>
  <c r="J4833" i="15"/>
  <c r="H4834" i="15"/>
  <c r="I4834" i="15"/>
  <c r="J4834" i="15"/>
  <c r="H4835" i="15"/>
  <c r="I4835" i="15"/>
  <c r="J4835" i="15"/>
  <c r="H4836" i="15"/>
  <c r="I4836" i="15"/>
  <c r="J4836" i="15"/>
  <c r="H4837" i="15"/>
  <c r="I4837" i="15"/>
  <c r="J4837" i="15"/>
  <c r="H4838" i="15"/>
  <c r="I4838" i="15"/>
  <c r="J4838" i="15"/>
  <c r="H4839" i="15"/>
  <c r="I4839" i="15"/>
  <c r="J4839" i="15"/>
  <c r="H4840" i="15"/>
  <c r="I4840" i="15"/>
  <c r="J4840" i="15"/>
  <c r="H4841" i="15"/>
  <c r="I4841" i="15"/>
  <c r="J4841" i="15"/>
  <c r="H4842" i="15"/>
  <c r="I4842" i="15"/>
  <c r="J4842" i="15"/>
  <c r="H4843" i="15"/>
  <c r="I4843" i="15"/>
  <c r="J4843" i="15"/>
  <c r="H4844" i="15"/>
  <c r="I4844" i="15"/>
  <c r="J4844" i="15"/>
  <c r="H4845" i="15"/>
  <c r="I4845" i="15"/>
  <c r="J4845" i="15"/>
  <c r="H4846" i="15"/>
  <c r="I4846" i="15"/>
  <c r="J4846" i="15"/>
  <c r="H4847" i="15"/>
  <c r="I4847" i="15"/>
  <c r="J4847" i="15"/>
  <c r="H4848" i="15"/>
  <c r="I4848" i="15"/>
  <c r="J4848" i="15"/>
  <c r="H4849" i="15"/>
  <c r="I4849" i="15"/>
  <c r="J4849" i="15"/>
  <c r="H4850" i="15"/>
  <c r="I4850" i="15"/>
  <c r="J4850" i="15"/>
  <c r="H4851" i="15"/>
  <c r="I4851" i="15"/>
  <c r="J4851" i="15"/>
  <c r="H4852" i="15"/>
  <c r="I4852" i="15"/>
  <c r="J4852" i="15"/>
  <c r="H4853" i="15"/>
  <c r="I4853" i="15"/>
  <c r="J4853" i="15"/>
  <c r="H4854" i="15"/>
  <c r="I4854" i="15"/>
  <c r="J4854" i="15"/>
  <c r="H4855" i="15"/>
  <c r="I4855" i="15"/>
  <c r="J4855" i="15"/>
  <c r="H4856" i="15"/>
  <c r="I4856" i="15"/>
  <c r="J4856" i="15"/>
  <c r="H4857" i="15"/>
  <c r="I4857" i="15"/>
  <c r="J4857" i="15"/>
  <c r="H4858" i="15"/>
  <c r="I4858" i="15"/>
  <c r="J4858" i="15"/>
  <c r="H4859" i="15"/>
  <c r="I4859" i="15"/>
  <c r="J4859" i="15"/>
  <c r="H4860" i="15"/>
  <c r="I4860" i="15"/>
  <c r="J4860" i="15"/>
  <c r="H4861" i="15"/>
  <c r="I4861" i="15"/>
  <c r="J4861" i="15"/>
  <c r="H4862" i="15"/>
  <c r="I4862" i="15"/>
  <c r="J4862" i="15"/>
  <c r="H4863" i="15"/>
  <c r="I4863" i="15"/>
  <c r="J4863" i="15"/>
  <c r="H4864" i="15"/>
  <c r="I4864" i="15"/>
  <c r="J4864" i="15"/>
  <c r="H4865" i="15"/>
  <c r="I4865" i="15"/>
  <c r="J4865" i="15"/>
  <c r="H4866" i="15"/>
  <c r="I4866" i="15"/>
  <c r="J4866" i="15"/>
  <c r="H4867" i="15"/>
  <c r="I4867" i="15"/>
  <c r="J4867" i="15"/>
  <c r="H4868" i="15"/>
  <c r="I4868" i="15"/>
  <c r="J4868" i="15"/>
  <c r="H4869" i="15"/>
  <c r="I4869" i="15"/>
  <c r="J4869" i="15"/>
  <c r="H4870" i="15"/>
  <c r="I4870" i="15"/>
  <c r="J4870" i="15"/>
  <c r="H4871" i="15"/>
  <c r="I4871" i="15"/>
  <c r="J4871" i="15"/>
  <c r="H4872" i="15"/>
  <c r="I4872" i="15"/>
  <c r="J4872" i="15"/>
  <c r="H4873" i="15"/>
  <c r="I4873" i="15"/>
  <c r="J4873" i="15"/>
  <c r="H4874" i="15"/>
  <c r="I4874" i="15"/>
  <c r="J4874" i="15"/>
  <c r="H4875" i="15"/>
  <c r="I4875" i="15"/>
  <c r="J4875" i="15"/>
  <c r="H4876" i="15"/>
  <c r="I4876" i="15"/>
  <c r="J4876" i="15"/>
  <c r="H4877" i="15"/>
  <c r="I4877" i="15"/>
  <c r="J4877" i="15"/>
  <c r="H4878" i="15"/>
  <c r="I4878" i="15"/>
  <c r="J4878" i="15"/>
  <c r="H4879" i="15"/>
  <c r="I4879" i="15"/>
  <c r="J4879" i="15"/>
  <c r="H4880" i="15"/>
  <c r="I4880" i="15"/>
  <c r="J4880" i="15"/>
  <c r="H4881" i="15"/>
  <c r="I4881" i="15"/>
  <c r="J4881" i="15"/>
  <c r="H4882" i="15"/>
  <c r="I4882" i="15"/>
  <c r="J4882" i="15"/>
  <c r="H4883" i="15"/>
  <c r="I4883" i="15"/>
  <c r="J4883" i="15"/>
  <c r="H4884" i="15"/>
  <c r="I4884" i="15"/>
  <c r="J4884" i="15"/>
  <c r="H4885" i="15"/>
  <c r="I4885" i="15"/>
  <c r="J4885" i="15"/>
  <c r="H4886" i="15"/>
  <c r="I4886" i="15"/>
  <c r="J4886" i="15"/>
  <c r="H4887" i="15"/>
  <c r="I4887" i="15"/>
  <c r="J4887" i="15"/>
  <c r="H4888" i="15"/>
  <c r="I4888" i="15"/>
  <c r="J4888" i="15"/>
  <c r="H4889" i="15"/>
  <c r="I4889" i="15"/>
  <c r="J4889" i="15"/>
  <c r="H4890" i="15"/>
  <c r="I4890" i="15"/>
  <c r="J4890" i="15"/>
  <c r="H4891" i="15"/>
  <c r="I4891" i="15"/>
  <c r="J4891" i="15"/>
  <c r="H4892" i="15"/>
  <c r="I4892" i="15"/>
  <c r="J4892" i="15"/>
  <c r="H4893" i="15"/>
  <c r="I4893" i="15"/>
  <c r="J4893" i="15"/>
  <c r="H4894" i="15"/>
  <c r="I4894" i="15"/>
  <c r="J4894" i="15"/>
  <c r="H4895" i="15"/>
  <c r="I4895" i="15"/>
  <c r="J4895" i="15"/>
  <c r="H4896" i="15"/>
  <c r="I4896" i="15"/>
  <c r="J4896" i="15"/>
  <c r="H4897" i="15"/>
  <c r="I4897" i="15"/>
  <c r="J4897" i="15"/>
  <c r="H4898" i="15"/>
  <c r="I4898" i="15"/>
  <c r="J4898" i="15"/>
  <c r="H4899" i="15"/>
  <c r="I4899" i="15"/>
  <c r="J4899" i="15"/>
  <c r="H4900" i="15"/>
  <c r="I4900" i="15"/>
  <c r="J4900" i="15"/>
  <c r="H4901" i="15"/>
  <c r="I4901" i="15"/>
  <c r="J4901" i="15"/>
  <c r="H4902" i="15"/>
  <c r="I4902" i="15"/>
  <c r="J4902" i="15"/>
  <c r="H4903" i="15"/>
  <c r="I4903" i="15"/>
  <c r="J4903" i="15"/>
  <c r="H4904" i="15"/>
  <c r="I4904" i="15"/>
  <c r="J4904" i="15"/>
  <c r="H4905" i="15"/>
  <c r="I4905" i="15"/>
  <c r="J4905" i="15"/>
  <c r="H4906" i="15"/>
  <c r="I4906" i="15"/>
  <c r="J4906" i="15"/>
  <c r="H4907" i="15"/>
  <c r="I4907" i="15"/>
  <c r="J4907" i="15"/>
  <c r="H4908" i="15"/>
  <c r="I4908" i="15"/>
  <c r="J4908" i="15"/>
  <c r="H4909" i="15"/>
  <c r="I4909" i="15"/>
  <c r="J4909" i="15"/>
  <c r="H4910" i="15"/>
  <c r="I4910" i="15"/>
  <c r="J4910" i="15"/>
  <c r="H4911" i="15"/>
  <c r="I4911" i="15"/>
  <c r="J4911" i="15"/>
  <c r="H4912" i="15"/>
  <c r="I4912" i="15"/>
  <c r="J4912" i="15"/>
  <c r="H4913" i="15"/>
  <c r="I4913" i="15"/>
  <c r="J4913" i="15"/>
  <c r="H4914" i="15"/>
  <c r="I4914" i="15"/>
  <c r="J4914" i="15"/>
  <c r="H4915" i="15"/>
  <c r="I4915" i="15"/>
  <c r="J4915" i="15"/>
  <c r="H4916" i="15"/>
  <c r="I4916" i="15"/>
  <c r="J4916" i="15"/>
  <c r="H4917" i="15"/>
  <c r="I4917" i="15"/>
  <c r="J4917" i="15"/>
  <c r="H4918" i="15"/>
  <c r="I4918" i="15"/>
  <c r="J4918" i="15"/>
  <c r="H4919" i="15"/>
  <c r="I4919" i="15"/>
  <c r="J4919" i="15"/>
  <c r="H4920" i="15"/>
  <c r="I4920" i="15"/>
  <c r="J4920" i="15"/>
  <c r="H4921" i="15"/>
  <c r="I4921" i="15"/>
  <c r="J4921" i="15"/>
  <c r="H4922" i="15"/>
  <c r="I4922" i="15"/>
  <c r="J4922" i="15"/>
  <c r="H4923" i="15"/>
  <c r="I4923" i="15"/>
  <c r="J4923" i="15"/>
  <c r="H4924" i="15"/>
  <c r="I4924" i="15"/>
  <c r="J4924" i="15"/>
  <c r="H4925" i="15"/>
  <c r="I4925" i="15"/>
  <c r="J4925" i="15"/>
  <c r="H4926" i="15"/>
  <c r="I4926" i="15"/>
  <c r="J4926" i="15"/>
  <c r="H4927" i="15"/>
  <c r="I4927" i="15"/>
  <c r="J4927" i="15"/>
  <c r="H4928" i="15"/>
  <c r="I4928" i="15"/>
  <c r="J4928" i="15"/>
  <c r="H4929" i="15"/>
  <c r="I4929" i="15"/>
  <c r="J4929" i="15"/>
  <c r="H4930" i="15"/>
  <c r="I4930" i="15"/>
  <c r="J4930" i="15"/>
  <c r="H4931" i="15"/>
  <c r="I4931" i="15"/>
  <c r="J4931" i="15"/>
  <c r="H4932" i="15"/>
  <c r="I4932" i="15"/>
  <c r="J4932" i="15"/>
  <c r="H4933" i="15"/>
  <c r="I4933" i="15"/>
  <c r="J4933" i="15"/>
  <c r="H4934" i="15"/>
  <c r="I4934" i="15"/>
  <c r="J4934" i="15"/>
  <c r="H4935" i="15"/>
  <c r="I4935" i="15"/>
  <c r="J4935" i="15"/>
  <c r="H4936" i="15"/>
  <c r="I4936" i="15"/>
  <c r="J4936" i="15"/>
  <c r="H4937" i="15"/>
  <c r="I4937" i="15"/>
  <c r="J4937" i="15"/>
  <c r="H4938" i="15"/>
  <c r="I4938" i="15"/>
  <c r="J4938" i="15"/>
  <c r="H4939" i="15"/>
  <c r="I4939" i="15"/>
  <c r="J4939" i="15"/>
  <c r="H4940" i="15"/>
  <c r="I4940" i="15"/>
  <c r="J4940" i="15"/>
  <c r="H4941" i="15"/>
  <c r="I4941" i="15"/>
  <c r="J4941" i="15"/>
  <c r="H4942" i="15"/>
  <c r="I4942" i="15"/>
  <c r="J4942" i="15"/>
  <c r="H4943" i="15"/>
  <c r="I4943" i="15"/>
  <c r="J4943" i="15"/>
  <c r="H4944" i="15"/>
  <c r="I4944" i="15"/>
  <c r="J4944" i="15"/>
  <c r="H4945" i="15"/>
  <c r="I4945" i="15"/>
  <c r="J4945" i="15"/>
  <c r="H4946" i="15"/>
  <c r="I4946" i="15"/>
  <c r="J4946" i="15"/>
  <c r="H4947" i="15"/>
  <c r="I4947" i="15"/>
  <c r="J4947" i="15"/>
  <c r="H4948" i="15"/>
  <c r="I4948" i="15"/>
  <c r="J4948" i="15"/>
  <c r="H4949" i="15"/>
  <c r="I4949" i="15"/>
  <c r="J4949" i="15"/>
  <c r="H4950" i="15"/>
  <c r="I4950" i="15"/>
  <c r="J4950" i="15"/>
  <c r="H4951" i="15"/>
  <c r="I4951" i="15"/>
  <c r="J4951" i="15"/>
  <c r="H4952" i="15"/>
  <c r="I4952" i="15"/>
  <c r="J4952" i="15"/>
  <c r="H4953" i="15"/>
  <c r="I4953" i="15"/>
  <c r="J4953" i="15"/>
  <c r="H4954" i="15"/>
  <c r="I4954" i="15"/>
  <c r="J4954" i="15"/>
  <c r="H4955" i="15"/>
  <c r="I4955" i="15"/>
  <c r="J4955" i="15"/>
  <c r="H4956" i="15"/>
  <c r="I4956" i="15"/>
  <c r="J4956" i="15"/>
  <c r="H4957" i="15"/>
  <c r="I4957" i="15"/>
  <c r="J4957" i="15"/>
  <c r="H4958" i="15"/>
  <c r="I4958" i="15"/>
  <c r="J4958" i="15"/>
  <c r="H4959" i="15"/>
  <c r="I4959" i="15"/>
  <c r="J4959" i="15"/>
  <c r="H4960" i="15"/>
  <c r="I4960" i="15"/>
  <c r="J4960" i="15"/>
  <c r="H4961" i="15"/>
  <c r="I4961" i="15"/>
  <c r="J4961" i="15"/>
  <c r="H4962" i="15"/>
  <c r="I4962" i="15"/>
  <c r="J4962" i="15"/>
  <c r="H4963" i="15"/>
  <c r="I4963" i="15"/>
  <c r="J4963" i="15"/>
  <c r="H4964" i="15"/>
  <c r="I4964" i="15"/>
  <c r="J4964" i="15"/>
  <c r="H4965" i="15"/>
  <c r="I4965" i="15"/>
  <c r="J4965" i="15"/>
  <c r="H4966" i="15"/>
  <c r="I4966" i="15"/>
  <c r="J4966" i="15"/>
  <c r="H4967" i="15"/>
  <c r="I4967" i="15"/>
  <c r="J4967" i="15"/>
  <c r="H4968" i="15"/>
  <c r="I4968" i="15"/>
  <c r="J4968" i="15"/>
  <c r="H4969" i="15"/>
  <c r="I4969" i="15"/>
  <c r="J4969" i="15"/>
  <c r="H4970" i="15"/>
  <c r="I4970" i="15"/>
  <c r="J4970" i="15"/>
  <c r="H4971" i="15"/>
  <c r="I4971" i="15"/>
  <c r="J4971" i="15"/>
  <c r="H4972" i="15"/>
  <c r="I4972" i="15"/>
  <c r="J4972" i="15"/>
  <c r="H4973" i="15"/>
  <c r="I4973" i="15"/>
  <c r="J4973" i="15"/>
  <c r="H4974" i="15"/>
  <c r="I4974" i="15"/>
  <c r="J4974" i="15"/>
  <c r="H4975" i="15"/>
  <c r="I4975" i="15"/>
  <c r="J4975" i="15"/>
  <c r="H4976" i="15"/>
  <c r="I4976" i="15"/>
  <c r="J4976" i="15"/>
  <c r="H4977" i="15"/>
  <c r="I4977" i="15"/>
  <c r="J4977" i="15"/>
  <c r="H4978" i="15"/>
  <c r="I4978" i="15"/>
  <c r="J4978" i="15"/>
  <c r="H4979" i="15"/>
  <c r="I4979" i="15"/>
  <c r="J4979" i="15"/>
  <c r="H4980" i="15"/>
  <c r="I4980" i="15"/>
  <c r="J4980" i="15"/>
  <c r="H4981" i="15"/>
  <c r="I4981" i="15"/>
  <c r="J4981" i="15"/>
  <c r="H4982" i="15"/>
  <c r="I4982" i="15"/>
  <c r="J4982" i="15"/>
  <c r="H4983" i="15"/>
  <c r="I4983" i="15"/>
  <c r="J4983" i="15"/>
  <c r="H4984" i="15"/>
  <c r="I4984" i="15"/>
  <c r="J4984" i="15"/>
  <c r="H4985" i="15"/>
  <c r="I4985" i="15"/>
  <c r="J4985" i="15"/>
  <c r="H4986" i="15"/>
  <c r="I4986" i="15"/>
  <c r="J4986" i="15"/>
  <c r="H4987" i="15"/>
  <c r="I4987" i="15"/>
  <c r="J4987" i="15"/>
  <c r="H4988" i="15"/>
  <c r="I4988" i="15"/>
  <c r="J4988" i="15"/>
  <c r="H4989" i="15"/>
  <c r="I4989" i="15"/>
  <c r="J4989" i="15"/>
  <c r="H4990" i="15"/>
  <c r="I4990" i="15"/>
  <c r="J4990" i="15"/>
  <c r="H4991" i="15"/>
  <c r="I4991" i="15"/>
  <c r="J4991" i="15"/>
  <c r="H4992" i="15"/>
  <c r="I4992" i="15"/>
  <c r="J4992" i="15"/>
  <c r="H4993" i="15"/>
  <c r="I4993" i="15"/>
  <c r="J4993" i="15"/>
  <c r="H4994" i="15"/>
  <c r="I4994" i="15"/>
  <c r="J4994" i="15"/>
  <c r="H4995" i="15"/>
  <c r="I4995" i="15"/>
  <c r="J4995" i="15"/>
  <c r="H4996" i="15"/>
  <c r="I4996" i="15"/>
  <c r="J4996" i="15"/>
  <c r="H4997" i="15"/>
  <c r="I4997" i="15"/>
  <c r="J4997" i="15"/>
  <c r="H4998" i="15"/>
  <c r="I4998" i="15"/>
  <c r="J4998" i="15"/>
  <c r="H4999" i="15"/>
  <c r="I4999" i="15"/>
  <c r="J4999" i="15"/>
  <c r="H5000" i="15"/>
  <c r="I5000" i="15"/>
  <c r="J5000" i="15"/>
  <c r="H5001" i="15"/>
  <c r="I5001" i="15"/>
  <c r="J5001" i="15"/>
  <c r="H5002" i="15"/>
  <c r="I5002" i="15"/>
  <c r="J5002" i="15"/>
  <c r="H5003" i="15"/>
  <c r="I5003" i="15"/>
  <c r="J5003" i="15"/>
  <c r="H5004" i="15"/>
  <c r="I5004" i="15"/>
  <c r="J5004" i="15"/>
  <c r="H5005" i="15"/>
  <c r="I5005" i="15"/>
  <c r="J5005" i="15"/>
  <c r="H5006" i="15"/>
  <c r="I5006" i="15"/>
  <c r="J5006" i="15"/>
  <c r="H5007" i="15"/>
  <c r="I5007" i="15"/>
  <c r="J5007" i="15"/>
  <c r="H5008" i="15"/>
  <c r="I5008" i="15"/>
  <c r="J5008" i="15"/>
  <c r="H5009" i="15"/>
  <c r="I5009" i="15"/>
  <c r="J5009" i="15"/>
  <c r="H5010" i="15"/>
  <c r="I5010" i="15"/>
  <c r="J5010" i="15"/>
  <c r="H5011" i="15"/>
  <c r="I5011" i="15"/>
  <c r="J5011" i="15"/>
  <c r="H5012" i="15"/>
  <c r="I5012" i="15"/>
  <c r="J5012" i="15"/>
  <c r="H5013" i="15"/>
  <c r="I5013" i="15"/>
  <c r="J5013" i="15"/>
  <c r="H5014" i="15"/>
  <c r="I5014" i="15"/>
  <c r="J5014" i="15"/>
  <c r="H5015" i="15"/>
  <c r="I5015" i="15"/>
  <c r="J5015" i="15"/>
  <c r="H5016" i="15"/>
  <c r="I5016" i="15"/>
  <c r="J5016" i="15"/>
  <c r="H5017" i="15"/>
  <c r="I5017" i="15"/>
  <c r="J5017" i="15"/>
  <c r="H5018" i="15"/>
  <c r="I5018" i="15"/>
  <c r="J5018" i="15"/>
  <c r="H5019" i="15"/>
  <c r="I5019" i="15"/>
  <c r="J5019" i="15"/>
  <c r="H5020" i="15"/>
  <c r="I5020" i="15"/>
  <c r="J5020" i="15"/>
  <c r="H5021" i="15"/>
  <c r="I5021" i="15"/>
  <c r="J5021" i="15"/>
  <c r="H5022" i="15"/>
  <c r="I5022" i="15"/>
  <c r="J5022" i="15"/>
  <c r="H5023" i="15"/>
  <c r="I5023" i="15"/>
  <c r="J5023" i="15"/>
  <c r="H5024" i="15"/>
  <c r="I5024" i="15"/>
  <c r="J5024" i="15"/>
  <c r="H5025" i="15"/>
  <c r="I5025" i="15"/>
  <c r="J5025" i="15"/>
  <c r="H5026" i="15"/>
  <c r="I5026" i="15"/>
  <c r="J5026" i="15"/>
  <c r="H5027" i="15"/>
  <c r="I5027" i="15"/>
  <c r="J5027" i="15"/>
  <c r="H5028" i="15"/>
  <c r="I5028" i="15"/>
  <c r="J5028" i="15"/>
  <c r="H5029" i="15"/>
  <c r="I5029" i="15"/>
  <c r="J5029" i="15"/>
  <c r="H5030" i="15"/>
  <c r="I5030" i="15"/>
  <c r="J5030" i="15"/>
  <c r="H5031" i="15"/>
  <c r="I5031" i="15"/>
  <c r="J5031" i="15"/>
  <c r="H5032" i="15"/>
  <c r="I5032" i="15"/>
  <c r="J5032" i="15"/>
  <c r="H5033" i="15"/>
  <c r="I5033" i="15"/>
  <c r="J5033" i="15"/>
  <c r="H5034" i="15"/>
  <c r="I5034" i="15"/>
  <c r="J5034" i="15"/>
  <c r="H5035" i="15"/>
  <c r="I5035" i="15"/>
  <c r="J5035" i="15"/>
  <c r="H5036" i="15"/>
  <c r="I5036" i="15"/>
  <c r="J5036" i="15"/>
  <c r="H5037" i="15"/>
  <c r="I5037" i="15"/>
  <c r="J5037" i="15"/>
  <c r="H5038" i="15"/>
  <c r="I5038" i="15"/>
  <c r="J5038" i="15"/>
  <c r="H5039" i="15"/>
  <c r="I5039" i="15"/>
  <c r="J5039" i="15"/>
  <c r="H5040" i="15"/>
  <c r="I5040" i="15"/>
  <c r="J5040" i="15"/>
  <c r="H5041" i="15"/>
  <c r="I5041" i="15"/>
  <c r="J5041" i="15"/>
  <c r="H5042" i="15"/>
  <c r="I5042" i="15"/>
  <c r="J5042" i="15"/>
  <c r="H5043" i="15"/>
  <c r="I5043" i="15"/>
  <c r="J5043" i="15"/>
  <c r="H5044" i="15"/>
  <c r="I5044" i="15"/>
  <c r="J5044" i="15"/>
  <c r="H5045" i="15"/>
  <c r="I5045" i="15"/>
  <c r="J5045" i="15"/>
  <c r="H5046" i="15"/>
  <c r="I5046" i="15"/>
  <c r="J5046" i="15"/>
  <c r="H5047" i="15"/>
  <c r="I5047" i="15"/>
  <c r="J5047" i="15"/>
  <c r="H5048" i="15"/>
  <c r="I5048" i="15"/>
  <c r="J5048" i="15"/>
  <c r="H5049" i="15"/>
  <c r="I5049" i="15"/>
  <c r="J5049" i="15"/>
  <c r="H5050" i="15"/>
  <c r="I5050" i="15"/>
  <c r="J5050" i="15"/>
  <c r="H5051" i="15"/>
  <c r="I5051" i="15"/>
  <c r="J5051" i="15"/>
  <c r="H5052" i="15"/>
  <c r="I5052" i="15"/>
  <c r="J5052" i="15"/>
  <c r="H5053" i="15"/>
  <c r="I5053" i="15"/>
  <c r="J5053" i="15"/>
  <c r="H5054" i="15"/>
  <c r="I5054" i="15"/>
  <c r="J5054" i="15"/>
  <c r="H5055" i="15"/>
  <c r="I5055" i="15"/>
  <c r="J5055" i="15"/>
  <c r="H5056" i="15"/>
  <c r="I5056" i="15"/>
  <c r="J5056" i="15"/>
  <c r="H5057" i="15"/>
  <c r="I5057" i="15"/>
  <c r="J5057" i="15"/>
  <c r="H5058" i="15"/>
  <c r="I5058" i="15"/>
  <c r="J5058" i="15"/>
  <c r="H5059" i="15"/>
  <c r="I5059" i="15"/>
  <c r="J5059" i="15"/>
  <c r="H5060" i="15"/>
  <c r="I5060" i="15"/>
  <c r="J5060" i="15"/>
  <c r="H5061" i="15"/>
  <c r="I5061" i="15"/>
  <c r="J5061" i="15"/>
  <c r="H5062" i="15"/>
  <c r="I5062" i="15"/>
  <c r="J5062" i="15"/>
  <c r="H5063" i="15"/>
  <c r="I5063" i="15"/>
  <c r="J5063" i="15"/>
  <c r="H5064" i="15"/>
  <c r="I5064" i="15"/>
  <c r="J5064" i="15"/>
  <c r="H5065" i="15"/>
  <c r="I5065" i="15"/>
  <c r="J5065" i="15"/>
  <c r="H5066" i="15"/>
  <c r="I5066" i="15"/>
  <c r="J5066" i="15"/>
  <c r="H5067" i="15"/>
  <c r="I5067" i="15"/>
  <c r="J5067" i="15"/>
  <c r="H5068" i="15"/>
  <c r="I5068" i="15"/>
  <c r="J5068" i="15"/>
  <c r="H5069" i="15"/>
  <c r="I5069" i="15"/>
  <c r="J5069" i="15"/>
  <c r="H5070" i="15"/>
  <c r="I5070" i="15"/>
  <c r="J5070" i="15"/>
  <c r="H5071" i="15"/>
  <c r="I5071" i="15"/>
  <c r="J5071" i="15"/>
  <c r="H5072" i="15"/>
  <c r="I5072" i="15"/>
  <c r="J5072" i="15"/>
  <c r="H5073" i="15"/>
  <c r="I5073" i="15"/>
  <c r="J5073" i="15"/>
  <c r="H5074" i="15"/>
  <c r="I5074" i="15"/>
  <c r="J5074" i="15"/>
  <c r="H5075" i="15"/>
  <c r="I5075" i="15"/>
  <c r="J5075" i="15"/>
  <c r="H5076" i="15"/>
  <c r="I5076" i="15"/>
  <c r="J5076" i="15"/>
  <c r="H5077" i="15"/>
  <c r="I5077" i="15"/>
  <c r="J5077" i="15"/>
  <c r="H5078" i="15"/>
  <c r="I5078" i="15"/>
  <c r="J5078" i="15"/>
  <c r="H5079" i="15"/>
  <c r="I5079" i="15"/>
  <c r="J5079" i="15"/>
  <c r="H5080" i="15"/>
  <c r="I5080" i="15"/>
  <c r="J5080" i="15"/>
  <c r="H5081" i="15"/>
  <c r="I5081" i="15"/>
  <c r="J5081" i="15"/>
  <c r="H5082" i="15"/>
  <c r="I5082" i="15"/>
  <c r="J5082" i="15"/>
  <c r="H5083" i="15"/>
  <c r="I5083" i="15"/>
  <c r="J5083" i="15"/>
  <c r="H5084" i="15"/>
  <c r="I5084" i="15"/>
  <c r="J5084" i="15"/>
  <c r="H5085" i="15"/>
  <c r="I5085" i="15"/>
  <c r="J5085" i="15"/>
  <c r="H5086" i="15"/>
  <c r="I5086" i="15"/>
  <c r="J5086" i="15"/>
  <c r="H5087" i="15"/>
  <c r="I5087" i="15"/>
  <c r="J5087" i="15"/>
  <c r="H5088" i="15"/>
  <c r="I5088" i="15"/>
  <c r="J5088" i="15"/>
  <c r="H5089" i="15"/>
  <c r="I5089" i="15"/>
  <c r="J5089" i="15"/>
  <c r="H5090" i="15"/>
  <c r="I5090" i="15"/>
  <c r="J5090" i="15"/>
  <c r="H5091" i="15"/>
  <c r="I5091" i="15"/>
  <c r="J5091" i="15"/>
  <c r="H5092" i="15"/>
  <c r="I5092" i="15"/>
  <c r="J5092" i="15"/>
  <c r="H5093" i="15"/>
  <c r="I5093" i="15"/>
  <c r="J5093" i="15"/>
  <c r="H5094" i="15"/>
  <c r="I5094" i="15"/>
  <c r="J5094" i="15"/>
  <c r="H5095" i="15"/>
  <c r="I5095" i="15"/>
  <c r="J5095" i="15"/>
  <c r="H5096" i="15"/>
  <c r="I5096" i="15"/>
  <c r="J5096" i="15"/>
  <c r="H5097" i="15"/>
  <c r="I5097" i="15"/>
  <c r="J5097" i="15"/>
  <c r="H5098" i="15"/>
  <c r="I5098" i="15"/>
  <c r="J5098" i="15"/>
  <c r="H5099" i="15"/>
  <c r="I5099" i="15"/>
  <c r="J5099" i="15"/>
  <c r="H5100" i="15"/>
  <c r="I5100" i="15"/>
  <c r="J5100" i="15"/>
  <c r="H5101" i="15"/>
  <c r="I5101" i="15"/>
  <c r="J5101" i="15"/>
  <c r="H5102" i="15"/>
  <c r="I5102" i="15"/>
  <c r="J5102" i="15"/>
  <c r="H5103" i="15"/>
  <c r="I5103" i="15"/>
  <c r="J5103" i="15"/>
  <c r="H5104" i="15"/>
  <c r="I5104" i="15"/>
  <c r="J5104" i="15"/>
  <c r="H5105" i="15"/>
  <c r="I5105" i="15"/>
  <c r="J5105" i="15"/>
  <c r="H5106" i="15"/>
  <c r="I5106" i="15"/>
  <c r="J5106" i="15"/>
  <c r="H5107" i="15"/>
  <c r="I5107" i="15"/>
  <c r="J5107" i="15"/>
  <c r="H5108" i="15"/>
  <c r="I5108" i="15"/>
  <c r="J5108" i="15"/>
  <c r="H5109" i="15"/>
  <c r="I5109" i="15"/>
  <c r="J5109" i="15"/>
  <c r="H5110" i="15"/>
  <c r="I5110" i="15"/>
  <c r="J5110" i="15"/>
  <c r="H5111" i="15"/>
  <c r="I5111" i="15"/>
  <c r="J5111" i="15"/>
  <c r="H5112" i="15"/>
  <c r="I5112" i="15"/>
  <c r="J5112" i="15"/>
  <c r="H5113" i="15"/>
  <c r="I5113" i="15"/>
  <c r="J5113" i="15"/>
  <c r="H5114" i="15"/>
  <c r="I5114" i="15"/>
  <c r="J5114" i="15"/>
  <c r="H5115" i="15"/>
  <c r="I5115" i="15"/>
  <c r="J5115" i="15"/>
  <c r="H5116" i="15"/>
  <c r="I5116" i="15"/>
  <c r="J5116" i="15"/>
  <c r="H5117" i="15"/>
  <c r="I5117" i="15"/>
  <c r="J5117" i="15"/>
  <c r="H5118" i="15"/>
  <c r="I5118" i="15"/>
  <c r="J5118" i="15"/>
  <c r="H5119" i="15"/>
  <c r="I5119" i="15"/>
  <c r="J5119" i="15"/>
  <c r="H5120" i="15"/>
  <c r="I5120" i="15"/>
  <c r="J5120" i="15"/>
  <c r="H5121" i="15"/>
  <c r="I5121" i="15"/>
  <c r="J5121" i="15"/>
  <c r="H5122" i="15"/>
  <c r="I5122" i="15"/>
  <c r="J5122" i="15"/>
  <c r="H5123" i="15"/>
  <c r="I5123" i="15"/>
  <c r="J5123" i="15"/>
  <c r="H5124" i="15"/>
  <c r="I5124" i="15"/>
  <c r="J5124" i="15"/>
  <c r="H5125" i="15"/>
  <c r="I5125" i="15"/>
  <c r="J5125" i="15"/>
  <c r="H5126" i="15"/>
  <c r="I5126" i="15"/>
  <c r="J5126" i="15"/>
  <c r="H5127" i="15"/>
  <c r="I5127" i="15"/>
  <c r="J5127" i="15"/>
  <c r="H5128" i="15"/>
  <c r="I5128" i="15"/>
  <c r="J5128" i="15"/>
  <c r="H5129" i="15"/>
  <c r="I5129" i="15"/>
  <c r="J5129" i="15"/>
  <c r="H5130" i="15"/>
  <c r="I5130" i="15"/>
  <c r="J5130" i="15"/>
  <c r="H5131" i="15"/>
  <c r="I5131" i="15"/>
  <c r="J5131" i="15"/>
  <c r="H5132" i="15"/>
  <c r="I5132" i="15"/>
  <c r="J5132" i="15"/>
  <c r="H5133" i="15"/>
  <c r="I5133" i="15"/>
  <c r="J5133" i="15"/>
  <c r="H5134" i="15"/>
  <c r="I5134" i="15"/>
  <c r="J5134" i="15"/>
  <c r="H5135" i="15"/>
  <c r="I5135" i="15"/>
  <c r="J5135" i="15"/>
  <c r="H5136" i="15"/>
  <c r="I5136" i="15"/>
  <c r="J5136" i="15"/>
  <c r="H5137" i="15"/>
  <c r="I5137" i="15"/>
  <c r="J5137" i="15"/>
  <c r="H5138" i="15"/>
  <c r="I5138" i="15"/>
  <c r="J5138" i="15"/>
  <c r="H5139" i="15"/>
  <c r="I5139" i="15"/>
  <c r="J5139" i="15"/>
  <c r="H5140" i="15"/>
  <c r="I5140" i="15"/>
  <c r="J5140" i="15"/>
  <c r="H5141" i="15"/>
  <c r="I5141" i="15"/>
  <c r="J5141" i="15"/>
  <c r="H5142" i="15"/>
  <c r="I5142" i="15"/>
  <c r="J5142" i="15"/>
  <c r="H5143" i="15"/>
  <c r="I5143" i="15"/>
  <c r="J5143" i="15"/>
  <c r="H5144" i="15"/>
  <c r="I5144" i="15"/>
  <c r="J5144" i="15"/>
  <c r="H5145" i="15"/>
  <c r="I5145" i="15"/>
  <c r="J5145" i="15"/>
  <c r="H5146" i="15"/>
  <c r="I5146" i="15"/>
  <c r="J5146" i="15"/>
  <c r="H5147" i="15"/>
  <c r="I5147" i="15"/>
  <c r="J5147" i="15"/>
  <c r="H5148" i="15"/>
  <c r="I5148" i="15"/>
  <c r="J5148" i="15"/>
  <c r="H5149" i="15"/>
  <c r="I5149" i="15"/>
  <c r="J5149" i="15"/>
  <c r="H5150" i="15"/>
  <c r="I5150" i="15"/>
  <c r="J5150" i="15"/>
  <c r="H5151" i="15"/>
  <c r="I5151" i="15"/>
  <c r="J5151" i="15"/>
  <c r="H5152" i="15"/>
  <c r="I5152" i="15"/>
  <c r="J5152" i="15"/>
  <c r="H5153" i="15"/>
  <c r="I5153" i="15"/>
  <c r="J5153" i="15"/>
  <c r="H5154" i="15"/>
  <c r="I5154" i="15"/>
  <c r="J5154" i="15"/>
  <c r="H5155" i="15"/>
  <c r="I5155" i="15"/>
  <c r="J5155" i="15"/>
  <c r="H5156" i="15"/>
  <c r="I5156" i="15"/>
  <c r="J5156" i="15"/>
  <c r="H5157" i="15"/>
  <c r="I5157" i="15"/>
  <c r="J5157" i="15"/>
  <c r="H5158" i="15"/>
  <c r="I5158" i="15"/>
  <c r="J5158" i="15"/>
  <c r="H5159" i="15"/>
  <c r="I5159" i="15"/>
  <c r="J5159" i="15"/>
  <c r="H5160" i="15"/>
  <c r="I5160" i="15"/>
  <c r="J5160" i="15"/>
  <c r="H5161" i="15"/>
  <c r="I5161" i="15"/>
  <c r="J5161" i="15"/>
  <c r="H5162" i="15"/>
  <c r="I5162" i="15"/>
  <c r="J5162" i="15"/>
  <c r="H5163" i="15"/>
  <c r="I5163" i="15"/>
  <c r="J5163" i="15"/>
  <c r="H5164" i="15"/>
  <c r="I5164" i="15"/>
  <c r="J5164" i="15"/>
  <c r="H5165" i="15"/>
  <c r="I5165" i="15"/>
  <c r="J5165" i="15"/>
  <c r="H5166" i="15"/>
  <c r="I5166" i="15"/>
  <c r="J5166" i="15"/>
  <c r="H5167" i="15"/>
  <c r="I5167" i="15"/>
  <c r="J5167" i="15"/>
  <c r="H5168" i="15"/>
  <c r="I5168" i="15"/>
  <c r="J5168" i="15"/>
  <c r="H5169" i="15"/>
  <c r="I5169" i="15"/>
  <c r="J5169" i="15"/>
  <c r="H5170" i="15"/>
  <c r="I5170" i="15"/>
  <c r="J5170" i="15"/>
  <c r="H5171" i="15"/>
  <c r="I5171" i="15"/>
  <c r="J5171" i="15"/>
  <c r="H5172" i="15"/>
  <c r="I5172" i="15"/>
  <c r="J5172" i="15"/>
  <c r="H5173" i="15"/>
  <c r="I5173" i="15"/>
  <c r="J5173" i="15"/>
  <c r="H5174" i="15"/>
  <c r="I5174" i="15"/>
  <c r="J5174" i="15"/>
  <c r="H5175" i="15"/>
  <c r="I5175" i="15"/>
  <c r="J5175" i="15"/>
  <c r="H5176" i="15"/>
  <c r="I5176" i="15"/>
  <c r="J5176" i="15"/>
  <c r="H5177" i="15"/>
  <c r="I5177" i="15"/>
  <c r="J5177" i="15"/>
  <c r="H5178" i="15"/>
  <c r="I5178" i="15"/>
  <c r="J5178" i="15"/>
  <c r="H5179" i="15"/>
  <c r="I5179" i="15"/>
  <c r="J5179" i="15"/>
  <c r="H5180" i="15"/>
  <c r="I5180" i="15"/>
  <c r="J5180" i="15"/>
  <c r="H5181" i="15"/>
  <c r="I5181" i="15"/>
  <c r="J5181" i="15"/>
  <c r="H5182" i="15"/>
  <c r="I5182" i="15"/>
  <c r="J5182" i="15"/>
  <c r="H5183" i="15"/>
  <c r="I5183" i="15"/>
  <c r="J5183" i="15"/>
  <c r="H5184" i="15"/>
  <c r="I5184" i="15"/>
  <c r="J5184" i="15"/>
  <c r="H5185" i="15"/>
  <c r="I5185" i="15"/>
  <c r="J5185" i="15"/>
  <c r="H5186" i="15"/>
  <c r="I5186" i="15"/>
  <c r="J5186" i="15"/>
  <c r="H5187" i="15"/>
  <c r="I5187" i="15"/>
  <c r="J5187" i="15"/>
  <c r="H5188" i="15"/>
  <c r="I5188" i="15"/>
  <c r="J5188" i="15"/>
  <c r="H5189" i="15"/>
  <c r="I5189" i="15"/>
  <c r="J5189" i="15"/>
  <c r="H5190" i="15"/>
  <c r="I5190" i="15"/>
  <c r="J5190" i="15"/>
  <c r="H5191" i="15"/>
  <c r="I5191" i="15"/>
  <c r="J5191" i="15"/>
  <c r="H5192" i="15"/>
  <c r="I5192" i="15"/>
  <c r="J5192" i="15"/>
  <c r="H5193" i="15"/>
  <c r="I5193" i="15"/>
  <c r="J5193" i="15"/>
  <c r="H5194" i="15"/>
  <c r="I5194" i="15"/>
  <c r="J5194" i="15"/>
  <c r="H5195" i="15"/>
  <c r="I5195" i="15"/>
  <c r="J5195" i="15"/>
  <c r="H5196" i="15"/>
  <c r="I5196" i="15"/>
  <c r="J5196" i="15"/>
  <c r="H5197" i="15"/>
  <c r="I5197" i="15"/>
  <c r="J5197" i="15"/>
  <c r="H5198" i="15"/>
  <c r="I5198" i="15"/>
  <c r="J5198" i="15"/>
  <c r="H5199" i="15"/>
  <c r="I5199" i="15"/>
  <c r="J5199" i="15"/>
  <c r="H5200" i="15"/>
  <c r="I5200" i="15"/>
  <c r="J5200" i="15"/>
  <c r="H5201" i="15"/>
  <c r="I5201" i="15"/>
  <c r="J5201" i="15"/>
  <c r="H5202" i="15"/>
  <c r="I5202" i="15"/>
  <c r="J5202" i="15"/>
  <c r="H5203" i="15"/>
  <c r="I5203" i="15"/>
  <c r="J5203" i="15"/>
  <c r="H5204" i="15"/>
  <c r="I5204" i="15"/>
  <c r="J5204" i="15"/>
  <c r="H5205" i="15"/>
  <c r="I5205" i="15"/>
  <c r="J5205" i="15"/>
  <c r="H5206" i="15"/>
  <c r="I5206" i="15"/>
  <c r="J5206" i="15"/>
  <c r="H5207" i="15"/>
  <c r="I5207" i="15"/>
  <c r="J5207" i="15"/>
  <c r="H5208" i="15"/>
  <c r="I5208" i="15"/>
  <c r="J5208" i="15"/>
  <c r="H5209" i="15"/>
  <c r="I5209" i="15"/>
  <c r="J5209" i="15"/>
  <c r="H5210" i="15"/>
  <c r="I5210" i="15"/>
  <c r="J5210" i="15"/>
  <c r="H5211" i="15"/>
  <c r="I5211" i="15"/>
  <c r="J5211" i="15"/>
  <c r="H5212" i="15"/>
  <c r="I5212" i="15"/>
  <c r="J5212" i="15"/>
  <c r="H5213" i="15"/>
  <c r="I5213" i="15"/>
  <c r="J5213" i="15"/>
  <c r="H5214" i="15"/>
  <c r="I5214" i="15"/>
  <c r="J5214" i="15"/>
  <c r="H5215" i="15"/>
  <c r="I5215" i="15"/>
  <c r="J5215" i="15"/>
  <c r="H5216" i="15"/>
  <c r="I5216" i="15"/>
  <c r="J5216" i="15"/>
  <c r="H5217" i="15"/>
  <c r="I5217" i="15"/>
  <c r="J5217" i="15"/>
  <c r="H5218" i="15"/>
  <c r="I5218" i="15"/>
  <c r="J5218" i="15"/>
  <c r="H5219" i="15"/>
  <c r="I5219" i="15"/>
  <c r="J5219" i="15"/>
  <c r="H5220" i="15"/>
  <c r="I5220" i="15"/>
  <c r="J5220" i="15"/>
  <c r="H5221" i="15"/>
  <c r="I5221" i="15"/>
  <c r="J5221" i="15"/>
  <c r="H5222" i="15"/>
  <c r="I5222" i="15"/>
  <c r="J5222" i="15"/>
  <c r="H5223" i="15"/>
  <c r="I5223" i="15"/>
  <c r="J5223" i="15"/>
  <c r="H5224" i="15"/>
  <c r="I5224" i="15"/>
  <c r="J5224" i="15"/>
  <c r="H5225" i="15"/>
  <c r="I5225" i="15"/>
  <c r="J5225" i="15"/>
  <c r="H5226" i="15"/>
  <c r="I5226" i="15"/>
  <c r="J5226" i="15"/>
  <c r="H5227" i="15"/>
  <c r="I5227" i="15"/>
  <c r="J5227" i="15"/>
  <c r="H5228" i="15"/>
  <c r="I5228" i="15"/>
  <c r="J5228" i="15"/>
  <c r="H5229" i="15"/>
  <c r="I5229" i="15"/>
  <c r="J5229" i="15"/>
  <c r="H5230" i="15"/>
  <c r="I5230" i="15"/>
  <c r="J5230" i="15"/>
  <c r="H5231" i="15"/>
  <c r="I5231" i="15"/>
  <c r="J5231" i="15"/>
  <c r="H5232" i="15"/>
  <c r="I5232" i="15"/>
  <c r="J5232" i="15"/>
  <c r="H5233" i="15"/>
  <c r="I5233" i="15"/>
  <c r="J5233" i="15"/>
  <c r="H5234" i="15"/>
  <c r="I5234" i="15"/>
  <c r="J5234" i="15"/>
  <c r="H5235" i="15"/>
  <c r="I5235" i="15"/>
  <c r="J5235" i="15"/>
  <c r="H5236" i="15"/>
  <c r="I5236" i="15"/>
  <c r="J5236" i="15"/>
  <c r="H5237" i="15"/>
  <c r="I5237" i="15"/>
  <c r="J5237" i="15"/>
  <c r="H5238" i="15"/>
  <c r="I5238" i="15"/>
  <c r="J5238" i="15"/>
  <c r="H5239" i="15"/>
  <c r="I5239" i="15"/>
  <c r="J5239" i="15"/>
  <c r="H5240" i="15"/>
  <c r="I5240" i="15"/>
  <c r="J5240" i="15"/>
  <c r="H5241" i="15"/>
  <c r="I5241" i="15"/>
  <c r="J5241" i="15"/>
  <c r="H5242" i="15"/>
  <c r="I5242" i="15"/>
  <c r="J5242" i="15"/>
  <c r="H5243" i="15"/>
  <c r="I5243" i="15"/>
  <c r="J5243" i="15"/>
  <c r="H5244" i="15"/>
  <c r="I5244" i="15"/>
  <c r="J5244" i="15"/>
  <c r="H5245" i="15"/>
  <c r="I5245" i="15"/>
  <c r="J5245" i="15"/>
  <c r="H5246" i="15"/>
  <c r="I5246" i="15"/>
  <c r="J5246" i="15"/>
  <c r="H5247" i="15"/>
  <c r="I5247" i="15"/>
  <c r="J5247" i="15"/>
  <c r="H5248" i="15"/>
  <c r="I5248" i="15"/>
  <c r="J5248" i="15"/>
  <c r="H5249" i="15"/>
  <c r="I5249" i="15"/>
  <c r="J5249" i="15"/>
  <c r="H5250" i="15"/>
  <c r="I5250" i="15"/>
  <c r="J5250" i="15"/>
  <c r="H5251" i="15"/>
  <c r="I5251" i="15"/>
  <c r="J5251" i="15"/>
  <c r="H5252" i="15"/>
  <c r="I5252" i="15"/>
  <c r="J5252" i="15"/>
  <c r="H5253" i="15"/>
  <c r="I5253" i="15"/>
  <c r="J5253" i="15"/>
  <c r="H5254" i="15"/>
  <c r="I5254" i="15"/>
  <c r="J5254" i="15"/>
  <c r="H5255" i="15"/>
  <c r="I5255" i="15"/>
  <c r="J5255" i="15"/>
  <c r="H5256" i="15"/>
  <c r="I5256" i="15"/>
  <c r="J5256" i="15"/>
  <c r="H5257" i="15"/>
  <c r="I5257" i="15"/>
  <c r="J5257" i="15"/>
  <c r="H5258" i="15"/>
  <c r="I5258" i="15"/>
  <c r="J5258" i="15"/>
  <c r="H5259" i="15"/>
  <c r="I5259" i="15"/>
  <c r="J5259" i="15"/>
  <c r="H5260" i="15"/>
  <c r="I5260" i="15"/>
  <c r="J5260" i="15"/>
  <c r="H5261" i="15"/>
  <c r="I5261" i="15"/>
  <c r="J5261" i="15"/>
  <c r="H5262" i="15"/>
  <c r="I5262" i="15"/>
  <c r="J5262" i="15"/>
  <c r="H5263" i="15"/>
  <c r="I5263" i="15"/>
  <c r="J5263" i="15"/>
  <c r="H5264" i="15"/>
  <c r="I5264" i="15"/>
  <c r="J5264" i="15"/>
  <c r="H5265" i="15"/>
  <c r="I5265" i="15"/>
  <c r="J5265" i="15"/>
  <c r="H5266" i="15"/>
  <c r="I5266" i="15"/>
  <c r="J5266" i="15"/>
  <c r="H5267" i="15"/>
  <c r="I5267" i="15"/>
  <c r="J5267" i="15"/>
  <c r="H5268" i="15"/>
  <c r="I5268" i="15"/>
  <c r="J5268" i="15"/>
  <c r="H5269" i="15"/>
  <c r="I5269" i="15"/>
  <c r="J5269" i="15"/>
  <c r="H5270" i="15"/>
  <c r="I5270" i="15"/>
  <c r="J5270" i="15"/>
  <c r="H5271" i="15"/>
  <c r="I5271" i="15"/>
  <c r="J5271" i="15"/>
  <c r="H5272" i="15"/>
  <c r="I5272" i="15"/>
  <c r="J5272" i="15"/>
  <c r="H5273" i="15"/>
  <c r="I5273" i="15"/>
  <c r="J5273" i="15"/>
  <c r="H5274" i="15"/>
  <c r="I5274" i="15"/>
  <c r="J5274" i="15"/>
  <c r="H5275" i="15"/>
  <c r="I5275" i="15"/>
  <c r="J5275" i="15"/>
  <c r="H5276" i="15"/>
  <c r="I5276" i="15"/>
  <c r="J5276" i="15"/>
  <c r="H5277" i="15"/>
  <c r="I5277" i="15"/>
  <c r="J5277" i="15"/>
  <c r="H5278" i="15"/>
  <c r="I5278" i="15"/>
  <c r="J5278" i="15"/>
  <c r="H5279" i="15"/>
  <c r="I5279" i="15"/>
  <c r="J5279" i="15"/>
  <c r="H5280" i="15"/>
  <c r="I5280" i="15"/>
  <c r="J5280" i="15"/>
  <c r="H5281" i="15"/>
  <c r="I5281" i="15"/>
  <c r="J5281" i="15"/>
  <c r="H5282" i="15"/>
  <c r="I5282" i="15"/>
  <c r="J5282" i="15"/>
  <c r="H5283" i="15"/>
  <c r="I5283" i="15"/>
  <c r="J5283" i="15"/>
  <c r="H5284" i="15"/>
  <c r="I5284" i="15"/>
  <c r="J5284" i="15"/>
  <c r="H5285" i="15"/>
  <c r="I5285" i="15"/>
  <c r="J5285" i="15"/>
  <c r="H5286" i="15"/>
  <c r="I5286" i="15"/>
  <c r="J5286" i="15"/>
  <c r="H5287" i="15"/>
  <c r="I5287" i="15"/>
  <c r="J5287" i="15"/>
  <c r="H5288" i="15"/>
  <c r="I5288" i="15"/>
  <c r="J5288" i="15"/>
  <c r="H5289" i="15"/>
  <c r="I5289" i="15"/>
  <c r="J5289" i="15"/>
  <c r="H5290" i="15"/>
  <c r="I5290" i="15"/>
  <c r="J5290" i="15"/>
  <c r="H5291" i="15"/>
  <c r="I5291" i="15"/>
  <c r="J5291" i="15"/>
  <c r="H5292" i="15"/>
  <c r="I5292" i="15"/>
  <c r="J5292" i="15"/>
  <c r="H5293" i="15"/>
  <c r="I5293" i="15"/>
  <c r="J5293" i="15"/>
  <c r="H5294" i="15"/>
  <c r="I5294" i="15"/>
  <c r="J5294" i="15"/>
  <c r="H5295" i="15"/>
  <c r="I5295" i="15"/>
  <c r="J5295" i="15"/>
  <c r="H5296" i="15"/>
  <c r="I5296" i="15"/>
  <c r="J5296" i="15"/>
  <c r="H5297" i="15"/>
  <c r="I5297" i="15"/>
  <c r="J5297" i="15"/>
  <c r="H5298" i="15"/>
  <c r="I5298" i="15"/>
  <c r="J5298" i="15"/>
  <c r="H5299" i="15"/>
  <c r="I5299" i="15"/>
  <c r="J5299" i="15"/>
  <c r="H5300" i="15"/>
  <c r="I5300" i="15"/>
  <c r="J5300" i="15"/>
  <c r="H5301" i="15"/>
  <c r="I5301" i="15"/>
  <c r="J5301" i="15"/>
  <c r="H5302" i="15"/>
  <c r="I5302" i="15"/>
  <c r="J5302" i="15"/>
  <c r="H5303" i="15"/>
  <c r="I5303" i="15"/>
  <c r="J5303" i="15"/>
  <c r="H5304" i="15"/>
  <c r="I5304" i="15"/>
  <c r="J5304" i="15"/>
  <c r="H5305" i="15"/>
  <c r="I5305" i="15"/>
  <c r="J5305" i="15"/>
  <c r="H5306" i="15"/>
  <c r="I5306" i="15"/>
  <c r="J5306" i="15"/>
  <c r="H5307" i="15"/>
  <c r="I5307" i="15"/>
  <c r="J5307" i="15"/>
  <c r="H5308" i="15"/>
  <c r="I5308" i="15"/>
  <c r="J5308" i="15"/>
  <c r="H5309" i="15"/>
  <c r="I5309" i="15"/>
  <c r="J5309" i="15"/>
  <c r="H5310" i="15"/>
  <c r="I5310" i="15"/>
  <c r="J5310" i="15"/>
  <c r="H5311" i="15"/>
  <c r="I5311" i="15"/>
  <c r="J5311" i="15"/>
  <c r="H5312" i="15"/>
  <c r="I5312" i="15"/>
  <c r="J5312" i="15"/>
  <c r="H5313" i="15"/>
  <c r="I5313" i="15"/>
  <c r="J5313" i="15"/>
  <c r="H5314" i="15"/>
  <c r="I5314" i="15"/>
  <c r="J5314" i="15"/>
  <c r="H5315" i="15"/>
  <c r="I5315" i="15"/>
  <c r="J5315" i="15"/>
  <c r="H5316" i="15"/>
  <c r="I5316" i="15"/>
  <c r="J5316" i="15"/>
  <c r="H5317" i="15"/>
  <c r="I5317" i="15"/>
  <c r="J5317" i="15"/>
  <c r="H5318" i="15"/>
  <c r="I5318" i="15"/>
  <c r="J5318" i="15"/>
  <c r="H5319" i="15"/>
  <c r="I5319" i="15"/>
  <c r="J5319" i="15"/>
  <c r="H5320" i="15"/>
  <c r="I5320" i="15"/>
  <c r="J5320" i="15"/>
  <c r="H5321" i="15"/>
  <c r="I5321" i="15"/>
  <c r="J5321" i="15"/>
  <c r="H5322" i="15"/>
  <c r="I5322" i="15"/>
  <c r="J5322" i="15"/>
  <c r="H5323" i="15"/>
  <c r="I5323" i="15"/>
  <c r="J5323" i="15"/>
  <c r="H5324" i="15"/>
  <c r="I5324" i="15"/>
  <c r="J5324" i="15"/>
  <c r="H5325" i="15"/>
  <c r="I5325" i="15"/>
  <c r="J5325" i="15"/>
  <c r="H5326" i="15"/>
  <c r="I5326" i="15"/>
  <c r="J5326" i="15"/>
  <c r="H5327" i="15"/>
  <c r="I5327" i="15"/>
  <c r="J5327" i="15"/>
  <c r="H5328" i="15"/>
  <c r="I5328" i="15"/>
  <c r="J5328" i="15"/>
  <c r="H5329" i="15"/>
  <c r="I5329" i="15"/>
  <c r="J5329" i="15"/>
  <c r="H5330" i="15"/>
  <c r="I5330" i="15"/>
  <c r="J5330" i="15"/>
  <c r="H5331" i="15"/>
  <c r="I5331" i="15"/>
  <c r="J5331" i="15"/>
  <c r="H5332" i="15"/>
  <c r="I5332" i="15"/>
  <c r="J5332" i="15"/>
  <c r="H5333" i="15"/>
  <c r="I5333" i="15"/>
  <c r="J5333" i="15"/>
  <c r="H5334" i="15"/>
  <c r="I5334" i="15"/>
  <c r="J5334" i="15"/>
  <c r="H5335" i="15"/>
  <c r="I5335" i="15"/>
  <c r="J5335" i="15"/>
  <c r="H5336" i="15"/>
  <c r="I5336" i="15"/>
  <c r="J5336" i="15"/>
  <c r="H5337" i="15"/>
  <c r="I5337" i="15"/>
  <c r="J5337" i="15"/>
  <c r="H5338" i="15"/>
  <c r="I5338" i="15"/>
  <c r="J5338" i="15"/>
  <c r="H5339" i="15"/>
  <c r="I5339" i="15"/>
  <c r="J5339" i="15"/>
  <c r="H5340" i="15"/>
  <c r="I5340" i="15"/>
  <c r="J5340" i="15"/>
  <c r="H5341" i="15"/>
  <c r="I5341" i="15"/>
  <c r="J5341" i="15"/>
  <c r="H5342" i="15"/>
  <c r="I5342" i="15"/>
  <c r="J5342" i="15"/>
  <c r="H5343" i="15"/>
  <c r="I5343" i="15"/>
  <c r="J5343" i="15"/>
  <c r="H5344" i="15"/>
  <c r="I5344" i="15"/>
  <c r="J5344" i="15"/>
  <c r="H5345" i="15"/>
  <c r="I5345" i="15"/>
  <c r="J5345" i="15"/>
  <c r="H5346" i="15"/>
  <c r="I5346" i="15"/>
  <c r="J5346" i="15"/>
  <c r="H5347" i="15"/>
  <c r="I5347" i="15"/>
  <c r="J5347" i="15"/>
  <c r="H5348" i="15"/>
  <c r="I5348" i="15"/>
  <c r="J5348" i="15"/>
  <c r="H5349" i="15"/>
  <c r="I5349" i="15"/>
  <c r="J5349" i="15"/>
  <c r="H5350" i="15"/>
  <c r="I5350" i="15"/>
  <c r="J5350" i="15"/>
  <c r="H5351" i="15"/>
  <c r="I5351" i="15"/>
  <c r="J5351" i="15"/>
  <c r="H5352" i="15"/>
  <c r="I5352" i="15"/>
  <c r="J5352" i="15"/>
  <c r="H5353" i="15"/>
  <c r="I5353" i="15"/>
  <c r="J5353" i="15"/>
  <c r="H5354" i="15"/>
  <c r="I5354" i="15"/>
  <c r="J5354" i="15"/>
  <c r="H5355" i="15"/>
  <c r="I5355" i="15"/>
  <c r="J5355" i="15"/>
  <c r="H5356" i="15"/>
  <c r="I5356" i="15"/>
  <c r="J5356" i="15"/>
  <c r="H5357" i="15"/>
  <c r="I5357" i="15"/>
  <c r="J5357" i="15"/>
  <c r="H5358" i="15"/>
  <c r="I5358" i="15"/>
  <c r="J5358" i="15"/>
  <c r="H5359" i="15"/>
  <c r="I5359" i="15"/>
  <c r="J5359" i="15"/>
  <c r="H5360" i="15"/>
  <c r="I5360" i="15"/>
  <c r="J5360" i="15"/>
  <c r="H5361" i="15"/>
  <c r="I5361" i="15"/>
  <c r="J5361" i="15"/>
  <c r="H5362" i="15"/>
  <c r="I5362" i="15"/>
  <c r="J5362" i="15"/>
  <c r="H5363" i="15"/>
  <c r="I5363" i="15"/>
  <c r="J5363" i="15"/>
  <c r="H5364" i="15"/>
  <c r="I5364" i="15"/>
  <c r="J5364" i="15"/>
  <c r="H5365" i="15"/>
  <c r="I5365" i="15"/>
  <c r="J5365" i="15"/>
  <c r="H5366" i="15"/>
  <c r="I5366" i="15"/>
  <c r="J5366" i="15"/>
  <c r="H5367" i="15"/>
  <c r="I5367" i="15"/>
  <c r="J5367" i="15"/>
  <c r="H5368" i="15"/>
  <c r="I5368" i="15"/>
  <c r="J5368" i="15"/>
  <c r="H5369" i="15"/>
  <c r="I5369" i="15"/>
  <c r="J5369" i="15"/>
  <c r="H5370" i="15"/>
  <c r="I5370" i="15"/>
  <c r="J5370" i="15"/>
  <c r="H5371" i="15"/>
  <c r="I5371" i="15"/>
  <c r="J5371" i="15"/>
  <c r="H5372" i="15"/>
  <c r="I5372" i="15"/>
  <c r="J5372" i="15"/>
  <c r="H5373" i="15"/>
  <c r="I5373" i="15"/>
  <c r="J5373" i="15"/>
  <c r="H5374" i="15"/>
  <c r="I5374" i="15"/>
  <c r="J5374" i="15"/>
  <c r="H5375" i="15"/>
  <c r="I5375" i="15"/>
  <c r="J5375" i="15"/>
  <c r="H5376" i="15"/>
  <c r="I5376" i="15"/>
  <c r="J5376" i="15"/>
  <c r="H5377" i="15"/>
  <c r="I5377" i="15"/>
  <c r="J5377" i="15"/>
  <c r="H5378" i="15"/>
  <c r="I5378" i="15"/>
  <c r="J5378" i="15"/>
  <c r="H5379" i="15"/>
  <c r="I5379" i="15"/>
  <c r="J5379" i="15"/>
  <c r="H5380" i="15"/>
  <c r="I5380" i="15"/>
  <c r="J5380" i="15"/>
  <c r="H5381" i="15"/>
  <c r="I5381" i="15"/>
  <c r="J5381" i="15"/>
  <c r="H5382" i="15"/>
  <c r="I5382" i="15"/>
  <c r="J5382" i="15"/>
  <c r="H5383" i="15"/>
  <c r="I5383" i="15"/>
  <c r="J5383" i="15"/>
  <c r="H5384" i="15"/>
  <c r="I5384" i="15"/>
  <c r="J5384" i="15"/>
  <c r="H5385" i="15"/>
  <c r="I5385" i="15"/>
  <c r="J5385" i="15"/>
  <c r="H5386" i="15"/>
  <c r="I5386" i="15"/>
  <c r="J5386" i="15"/>
  <c r="H5387" i="15"/>
  <c r="I5387" i="15"/>
  <c r="J5387" i="15"/>
  <c r="H5388" i="15"/>
  <c r="I5388" i="15"/>
  <c r="J5388" i="15"/>
  <c r="H5389" i="15"/>
  <c r="I5389" i="15"/>
  <c r="J5389" i="15"/>
  <c r="H5390" i="15"/>
  <c r="I5390" i="15"/>
  <c r="J5390" i="15"/>
  <c r="H5391" i="15"/>
  <c r="I5391" i="15"/>
  <c r="J5391" i="15"/>
  <c r="H5392" i="15"/>
  <c r="I5392" i="15"/>
  <c r="J5392" i="15"/>
  <c r="H5393" i="15"/>
  <c r="I5393" i="15"/>
  <c r="J5393" i="15"/>
  <c r="H5394" i="15"/>
  <c r="I5394" i="15"/>
  <c r="J5394" i="15"/>
  <c r="H5395" i="15"/>
  <c r="I5395" i="15"/>
  <c r="J5395" i="15"/>
  <c r="H5396" i="15"/>
  <c r="I5396" i="15"/>
  <c r="J5396" i="15"/>
  <c r="H5397" i="15"/>
  <c r="I5397" i="15"/>
  <c r="J5397" i="15"/>
  <c r="H5398" i="15"/>
  <c r="I5398" i="15"/>
  <c r="J5398" i="15"/>
  <c r="H5399" i="15"/>
  <c r="I5399" i="15"/>
  <c r="J5399" i="15"/>
  <c r="H5400" i="15"/>
  <c r="I5400" i="15"/>
  <c r="J5400" i="15"/>
  <c r="H5401" i="15"/>
  <c r="I5401" i="15"/>
  <c r="J5401" i="15"/>
  <c r="H5402" i="15"/>
  <c r="I5402" i="15"/>
  <c r="J5402" i="15"/>
  <c r="H5403" i="15"/>
  <c r="I5403" i="15"/>
  <c r="J5403" i="15"/>
  <c r="H5404" i="15"/>
  <c r="I5404" i="15"/>
  <c r="J5404" i="15"/>
  <c r="H5405" i="15"/>
  <c r="I5405" i="15"/>
  <c r="J5405" i="15"/>
  <c r="H5406" i="15"/>
  <c r="I5406" i="15"/>
  <c r="J5406" i="15"/>
  <c r="H5407" i="15"/>
  <c r="I5407" i="15"/>
  <c r="J5407" i="15"/>
  <c r="H5408" i="15"/>
  <c r="I5408" i="15"/>
  <c r="J5408" i="15"/>
  <c r="H5409" i="15"/>
  <c r="I5409" i="15"/>
  <c r="J5409" i="15"/>
  <c r="H5410" i="15"/>
  <c r="I5410" i="15"/>
  <c r="J5410" i="15"/>
  <c r="H5411" i="15"/>
  <c r="I5411" i="15"/>
  <c r="J5411" i="15"/>
  <c r="H5412" i="15"/>
  <c r="I5412" i="15"/>
  <c r="J5412" i="15"/>
  <c r="H5413" i="15"/>
  <c r="I5413" i="15"/>
  <c r="J5413" i="15"/>
  <c r="H5414" i="15"/>
  <c r="I5414" i="15"/>
  <c r="J5414" i="15"/>
  <c r="H5415" i="15"/>
  <c r="I5415" i="15"/>
  <c r="J5415" i="15"/>
  <c r="H5416" i="15"/>
  <c r="I5416" i="15"/>
  <c r="J5416" i="15"/>
  <c r="H5417" i="15"/>
  <c r="I5417" i="15"/>
  <c r="J5417" i="15"/>
  <c r="H5418" i="15"/>
  <c r="I5418" i="15"/>
  <c r="J5418" i="15"/>
  <c r="H5419" i="15"/>
  <c r="I5419" i="15"/>
  <c r="J5419" i="15"/>
  <c r="H5420" i="15"/>
  <c r="I5420" i="15"/>
  <c r="J5420" i="15"/>
  <c r="H5421" i="15"/>
  <c r="I5421" i="15"/>
  <c r="J5421" i="15"/>
  <c r="H5422" i="15"/>
  <c r="I5422" i="15"/>
  <c r="J5422" i="15"/>
  <c r="H5423" i="15"/>
  <c r="I5423" i="15"/>
  <c r="J5423" i="15"/>
  <c r="H5424" i="15"/>
  <c r="I5424" i="15"/>
  <c r="J5424" i="15"/>
  <c r="H5425" i="15"/>
  <c r="I5425" i="15"/>
  <c r="J5425" i="15"/>
  <c r="H5426" i="15"/>
  <c r="I5426" i="15"/>
  <c r="J5426" i="15"/>
  <c r="H5427" i="15"/>
  <c r="I5427" i="15"/>
  <c r="J5427" i="15"/>
  <c r="H5428" i="15"/>
  <c r="I5428" i="15"/>
  <c r="J5428" i="15"/>
  <c r="H5429" i="15"/>
  <c r="I5429" i="15"/>
  <c r="J5429" i="15"/>
  <c r="H5430" i="15"/>
  <c r="I5430" i="15"/>
  <c r="J5430" i="15"/>
  <c r="H5431" i="15"/>
  <c r="I5431" i="15"/>
  <c r="J5431" i="15"/>
  <c r="H5432" i="15"/>
  <c r="I5432" i="15"/>
  <c r="J5432" i="15"/>
  <c r="H5433" i="15"/>
  <c r="I5433" i="15"/>
  <c r="J5433" i="15"/>
  <c r="H5434" i="15"/>
  <c r="I5434" i="15"/>
  <c r="J5434" i="15"/>
  <c r="H5435" i="15"/>
  <c r="I5435" i="15"/>
  <c r="J5435" i="15"/>
  <c r="H5436" i="15"/>
  <c r="I5436" i="15"/>
  <c r="J5436" i="15"/>
  <c r="H5437" i="15"/>
  <c r="I5437" i="15"/>
  <c r="J5437" i="15"/>
  <c r="H5438" i="15"/>
  <c r="I5438" i="15"/>
  <c r="J5438" i="15"/>
  <c r="H5439" i="15"/>
  <c r="I5439" i="15"/>
  <c r="J5439" i="15"/>
  <c r="H5440" i="15"/>
  <c r="I5440" i="15"/>
  <c r="J5440" i="15"/>
  <c r="H5441" i="15"/>
  <c r="I5441" i="15"/>
  <c r="J5441" i="15"/>
  <c r="H5442" i="15"/>
  <c r="I5442" i="15"/>
  <c r="J5442" i="15"/>
  <c r="H5443" i="15"/>
  <c r="I5443" i="15"/>
  <c r="J5443" i="15"/>
  <c r="H5444" i="15"/>
  <c r="I5444" i="15"/>
  <c r="J5444" i="15"/>
  <c r="H5445" i="15"/>
  <c r="I5445" i="15"/>
  <c r="J5445" i="15"/>
  <c r="H5446" i="15"/>
  <c r="I5446" i="15"/>
  <c r="J5446" i="15"/>
  <c r="H5447" i="15"/>
  <c r="I5447" i="15"/>
  <c r="J5447" i="15"/>
  <c r="H5448" i="15"/>
  <c r="I5448" i="15"/>
  <c r="J5448" i="15"/>
  <c r="H5449" i="15"/>
  <c r="I5449" i="15"/>
  <c r="J5449" i="15"/>
  <c r="H5450" i="15"/>
  <c r="I5450" i="15"/>
  <c r="J5450" i="15"/>
  <c r="H5451" i="15"/>
  <c r="I5451" i="15"/>
  <c r="J5451" i="15"/>
  <c r="H5452" i="15"/>
  <c r="I5452" i="15"/>
  <c r="J5452" i="15"/>
  <c r="H5453" i="15"/>
  <c r="I5453" i="15"/>
  <c r="J5453" i="15"/>
  <c r="H5454" i="15"/>
  <c r="I5454" i="15"/>
  <c r="J5454" i="15"/>
  <c r="H5455" i="15"/>
  <c r="I5455" i="15"/>
  <c r="J5455" i="15"/>
  <c r="H5456" i="15"/>
  <c r="I5456" i="15"/>
  <c r="J5456" i="15"/>
  <c r="H5457" i="15"/>
  <c r="I5457" i="15"/>
  <c r="J5457" i="15"/>
  <c r="H5458" i="15"/>
  <c r="I5458" i="15"/>
  <c r="J5458" i="15"/>
  <c r="H5459" i="15"/>
  <c r="I5459" i="15"/>
  <c r="J5459" i="15"/>
  <c r="H5460" i="15"/>
  <c r="I5460" i="15"/>
  <c r="J5460" i="15"/>
  <c r="H5461" i="15"/>
  <c r="I5461" i="15"/>
  <c r="J5461" i="15"/>
  <c r="H5462" i="15"/>
  <c r="I5462" i="15"/>
  <c r="J5462" i="15"/>
  <c r="H5463" i="15"/>
  <c r="I5463" i="15"/>
  <c r="J5463" i="15"/>
  <c r="H5464" i="15"/>
  <c r="I5464" i="15"/>
  <c r="J5464" i="15"/>
  <c r="H5465" i="15"/>
  <c r="I5465" i="15"/>
  <c r="J5465" i="15"/>
  <c r="H5466" i="15"/>
  <c r="I5466" i="15"/>
  <c r="J5466" i="15"/>
  <c r="H5467" i="15"/>
  <c r="I5467" i="15"/>
  <c r="J5467" i="15"/>
  <c r="H5468" i="15"/>
  <c r="I5468" i="15"/>
  <c r="J5468" i="15"/>
  <c r="H5469" i="15"/>
  <c r="I5469" i="15"/>
  <c r="J5469" i="15"/>
  <c r="H5470" i="15"/>
  <c r="I5470" i="15"/>
  <c r="J5470" i="15"/>
  <c r="H5471" i="15"/>
  <c r="I5471" i="15"/>
  <c r="J5471" i="15"/>
  <c r="H5472" i="15"/>
  <c r="I5472" i="15"/>
  <c r="J5472" i="15"/>
  <c r="H5473" i="15"/>
  <c r="I5473" i="15"/>
  <c r="J5473" i="15"/>
  <c r="H5474" i="15"/>
  <c r="I5474" i="15"/>
  <c r="J5474" i="15"/>
  <c r="H5475" i="15"/>
  <c r="I5475" i="15"/>
  <c r="J5475" i="15"/>
  <c r="H5476" i="15"/>
  <c r="I5476" i="15"/>
  <c r="J5476" i="15"/>
  <c r="H5477" i="15"/>
  <c r="I5477" i="15"/>
  <c r="J5477" i="15"/>
  <c r="H5478" i="15"/>
  <c r="I5478" i="15"/>
  <c r="J5478" i="15"/>
  <c r="H5479" i="15"/>
  <c r="I5479" i="15"/>
  <c r="J5479" i="15"/>
  <c r="H5480" i="15"/>
  <c r="I5480" i="15"/>
  <c r="J5480" i="15"/>
  <c r="H5481" i="15"/>
  <c r="I5481" i="15"/>
  <c r="J5481" i="15"/>
  <c r="H5482" i="15"/>
  <c r="I5482" i="15"/>
  <c r="J5482" i="15"/>
  <c r="H5483" i="15"/>
  <c r="I5483" i="15"/>
  <c r="J5483" i="15"/>
  <c r="H5484" i="15"/>
  <c r="I5484" i="15"/>
  <c r="J5484" i="15"/>
  <c r="H5485" i="15"/>
  <c r="I5485" i="15"/>
  <c r="J5485" i="15"/>
  <c r="H5486" i="15"/>
  <c r="I5486" i="15"/>
  <c r="J5486" i="15"/>
  <c r="H5487" i="15"/>
  <c r="I5487" i="15"/>
  <c r="J5487" i="15"/>
  <c r="H5488" i="15"/>
  <c r="I5488" i="15"/>
  <c r="J5488" i="15"/>
  <c r="H5489" i="15"/>
  <c r="I5489" i="15"/>
  <c r="J5489" i="15"/>
  <c r="H5490" i="15"/>
  <c r="I5490" i="15"/>
  <c r="J5490" i="15"/>
  <c r="H5491" i="15"/>
  <c r="I5491" i="15"/>
  <c r="J5491" i="15"/>
  <c r="H5492" i="15"/>
  <c r="I5492" i="15"/>
  <c r="J5492" i="15"/>
  <c r="H5493" i="15"/>
  <c r="I5493" i="15"/>
  <c r="J5493" i="15"/>
  <c r="H5494" i="15"/>
  <c r="I5494" i="15"/>
  <c r="J5494" i="15"/>
  <c r="H5495" i="15"/>
  <c r="I5495" i="15"/>
  <c r="J5495" i="15"/>
  <c r="H5496" i="15"/>
  <c r="I5496" i="15"/>
  <c r="J5496" i="15"/>
  <c r="H5497" i="15"/>
  <c r="I5497" i="15"/>
  <c r="J5497" i="15"/>
  <c r="H5498" i="15"/>
  <c r="I5498" i="15"/>
  <c r="J5498" i="15"/>
  <c r="H5499" i="15"/>
  <c r="I5499" i="15"/>
  <c r="J5499" i="15"/>
  <c r="H5500" i="15"/>
  <c r="I5500" i="15"/>
  <c r="J5500" i="15"/>
  <c r="H5501" i="15"/>
  <c r="I5501" i="15"/>
  <c r="J5501" i="15"/>
  <c r="H5502" i="15"/>
  <c r="I5502" i="15"/>
  <c r="J5502" i="15"/>
  <c r="H5503" i="15"/>
  <c r="I5503" i="15"/>
  <c r="J5503" i="15"/>
  <c r="H5504" i="15"/>
  <c r="I5504" i="15"/>
  <c r="J5504" i="15"/>
  <c r="H5505" i="15"/>
  <c r="I5505" i="15"/>
  <c r="J5505" i="15"/>
  <c r="H5506" i="15"/>
  <c r="I5506" i="15"/>
  <c r="J5506" i="15"/>
  <c r="H5507" i="15"/>
  <c r="I5507" i="15"/>
  <c r="J5507" i="15"/>
  <c r="H5508" i="15"/>
  <c r="I5508" i="15"/>
  <c r="J5508" i="15"/>
  <c r="H5509" i="15"/>
  <c r="I5509" i="15"/>
  <c r="J5509" i="15"/>
  <c r="H5510" i="15"/>
  <c r="I5510" i="15"/>
  <c r="J5510" i="15"/>
  <c r="H5511" i="15"/>
  <c r="I5511" i="15"/>
  <c r="J5511" i="15"/>
  <c r="H5512" i="15"/>
  <c r="I5512" i="15"/>
  <c r="J5512" i="15"/>
  <c r="H5513" i="15"/>
  <c r="I5513" i="15"/>
  <c r="J5513" i="15"/>
  <c r="H5514" i="15"/>
  <c r="I5514" i="15"/>
  <c r="J5514" i="15"/>
  <c r="H5515" i="15"/>
  <c r="I5515" i="15"/>
  <c r="J5515" i="15"/>
  <c r="H5516" i="15"/>
  <c r="I5516" i="15"/>
  <c r="J5516" i="15"/>
  <c r="H5517" i="15"/>
  <c r="I5517" i="15"/>
  <c r="J5517" i="15"/>
  <c r="H5518" i="15"/>
  <c r="I5518" i="15"/>
  <c r="J5518" i="15"/>
  <c r="H5519" i="15"/>
  <c r="I5519" i="15"/>
  <c r="J5519" i="15"/>
  <c r="H5520" i="15"/>
  <c r="I5520" i="15"/>
  <c r="J5520" i="15"/>
  <c r="H5521" i="15"/>
  <c r="I5521" i="15"/>
  <c r="J5521" i="15"/>
  <c r="H5522" i="15"/>
  <c r="I5522" i="15"/>
  <c r="J5522" i="15"/>
  <c r="H5523" i="15"/>
  <c r="I5523" i="15"/>
  <c r="J5523" i="15"/>
  <c r="H5524" i="15"/>
  <c r="I5524" i="15"/>
  <c r="J5524" i="15"/>
  <c r="H5525" i="15"/>
  <c r="I5525" i="15"/>
  <c r="J5525" i="15"/>
  <c r="H5526" i="15"/>
  <c r="I5526" i="15"/>
  <c r="J5526" i="15"/>
  <c r="H5527" i="15"/>
  <c r="I5527" i="15"/>
  <c r="J5527" i="15"/>
  <c r="H5528" i="15"/>
  <c r="I5528" i="15"/>
  <c r="J5528" i="15"/>
  <c r="H5529" i="15"/>
  <c r="I5529" i="15"/>
  <c r="J5529" i="15"/>
  <c r="H5530" i="15"/>
  <c r="I5530" i="15"/>
  <c r="J5530" i="15"/>
  <c r="H5531" i="15"/>
  <c r="I5531" i="15"/>
  <c r="J5531" i="15"/>
  <c r="H5532" i="15"/>
  <c r="I5532" i="15"/>
  <c r="J5532" i="15"/>
  <c r="H5533" i="15"/>
  <c r="I5533" i="15"/>
  <c r="J5533" i="15"/>
  <c r="H5534" i="15"/>
  <c r="I5534" i="15"/>
  <c r="J5534" i="15"/>
  <c r="H5535" i="15"/>
  <c r="I5535" i="15"/>
  <c r="J5535" i="15"/>
  <c r="H5536" i="15"/>
  <c r="I5536" i="15"/>
  <c r="J5536" i="15"/>
  <c r="H5537" i="15"/>
  <c r="I5537" i="15"/>
  <c r="J5537" i="15"/>
  <c r="H5538" i="15"/>
  <c r="I5538" i="15"/>
  <c r="J5538" i="15"/>
  <c r="H5539" i="15"/>
  <c r="I5539" i="15"/>
  <c r="J5539" i="15"/>
  <c r="H5540" i="15"/>
  <c r="I5540" i="15"/>
  <c r="J5540" i="15"/>
  <c r="H5541" i="15"/>
  <c r="I5541" i="15"/>
  <c r="J5541" i="15"/>
  <c r="H5542" i="15"/>
  <c r="I5542" i="15"/>
  <c r="J5542" i="15"/>
  <c r="H5543" i="15"/>
  <c r="I5543" i="15"/>
  <c r="J5543" i="15"/>
  <c r="H5544" i="15"/>
  <c r="I5544" i="15"/>
  <c r="J5544" i="15"/>
  <c r="H5545" i="15"/>
  <c r="I5545" i="15"/>
  <c r="J5545" i="15"/>
  <c r="H5546" i="15"/>
  <c r="I5546" i="15"/>
  <c r="J5546" i="15"/>
  <c r="H5547" i="15"/>
  <c r="I5547" i="15"/>
  <c r="J5547" i="15"/>
  <c r="H5548" i="15"/>
  <c r="I5548" i="15"/>
  <c r="J5548" i="15"/>
  <c r="H5549" i="15"/>
  <c r="I5549" i="15"/>
  <c r="J5549" i="15"/>
  <c r="H5550" i="15"/>
  <c r="I5550" i="15"/>
  <c r="J5550" i="15"/>
  <c r="H5551" i="15"/>
  <c r="I5551" i="15"/>
  <c r="J5551" i="15"/>
  <c r="H5552" i="15"/>
  <c r="I5552" i="15"/>
  <c r="J5552" i="15"/>
  <c r="H5553" i="15"/>
  <c r="I5553" i="15"/>
  <c r="J5553" i="15"/>
  <c r="H5554" i="15"/>
  <c r="I5554" i="15"/>
  <c r="J5554" i="15"/>
  <c r="H5555" i="15"/>
  <c r="I5555" i="15"/>
  <c r="J5555" i="15"/>
  <c r="H5556" i="15"/>
  <c r="I5556" i="15"/>
  <c r="J5556" i="15"/>
  <c r="H5557" i="15"/>
  <c r="I5557" i="15"/>
  <c r="J5557" i="15"/>
  <c r="H5558" i="15"/>
  <c r="I5558" i="15"/>
  <c r="J5558" i="15"/>
  <c r="H5559" i="15"/>
  <c r="I5559" i="15"/>
  <c r="J5559" i="15"/>
  <c r="H5560" i="15"/>
  <c r="I5560" i="15"/>
  <c r="J5560" i="15"/>
  <c r="H5561" i="15"/>
  <c r="I5561" i="15"/>
  <c r="J5561" i="15"/>
  <c r="H5562" i="15"/>
  <c r="I5562" i="15"/>
  <c r="J5562" i="15"/>
  <c r="H5563" i="15"/>
  <c r="I5563" i="15"/>
  <c r="J5563" i="15"/>
  <c r="H5564" i="15"/>
  <c r="I5564" i="15"/>
  <c r="J5564" i="15"/>
  <c r="H5565" i="15"/>
  <c r="I5565" i="15"/>
  <c r="J5565" i="15"/>
  <c r="H5566" i="15"/>
  <c r="I5566" i="15"/>
  <c r="J5566" i="15"/>
  <c r="H5567" i="15"/>
  <c r="I5567" i="15"/>
  <c r="J5567" i="15"/>
  <c r="H5568" i="15"/>
  <c r="I5568" i="15"/>
  <c r="J5568" i="15"/>
  <c r="H5569" i="15"/>
  <c r="I5569" i="15"/>
  <c r="J5569" i="15"/>
  <c r="H5570" i="15"/>
  <c r="I5570" i="15"/>
  <c r="J5570" i="15"/>
  <c r="H5571" i="15"/>
  <c r="I5571" i="15"/>
  <c r="J5571" i="15"/>
  <c r="H5572" i="15"/>
  <c r="I5572" i="15"/>
  <c r="J5572" i="15"/>
  <c r="H5573" i="15"/>
  <c r="I5573" i="15"/>
  <c r="J5573" i="15"/>
  <c r="H5574" i="15"/>
  <c r="I5574" i="15"/>
  <c r="J5574" i="15"/>
  <c r="H5575" i="15"/>
  <c r="I5575" i="15"/>
  <c r="J5575" i="15"/>
  <c r="H5576" i="15"/>
  <c r="I5576" i="15"/>
  <c r="J5576" i="15"/>
  <c r="H5577" i="15"/>
  <c r="I5577" i="15"/>
  <c r="J5577" i="15"/>
  <c r="H5578" i="15"/>
  <c r="I5578" i="15"/>
  <c r="J5578" i="15"/>
  <c r="H5579" i="15"/>
  <c r="I5579" i="15"/>
  <c r="J5579" i="15"/>
  <c r="H5580" i="15"/>
  <c r="I5580" i="15"/>
  <c r="J5580" i="15"/>
  <c r="H5581" i="15"/>
  <c r="I5581" i="15"/>
  <c r="J5581" i="15"/>
  <c r="H5582" i="15"/>
  <c r="I5582" i="15"/>
  <c r="J5582" i="15"/>
  <c r="H5583" i="15"/>
  <c r="I5583" i="15"/>
  <c r="J5583" i="15"/>
  <c r="H5584" i="15"/>
  <c r="I5584" i="15"/>
  <c r="J5584" i="15"/>
  <c r="H5585" i="15"/>
  <c r="I5585" i="15"/>
  <c r="J5585" i="15"/>
  <c r="H5586" i="15"/>
  <c r="I5586" i="15"/>
  <c r="J5586" i="15"/>
  <c r="H5587" i="15"/>
  <c r="I5587" i="15"/>
  <c r="J5587" i="15"/>
  <c r="H5588" i="15"/>
  <c r="I5588" i="15"/>
  <c r="J5588" i="15"/>
  <c r="H5589" i="15"/>
  <c r="I5589" i="15"/>
  <c r="J5589" i="15"/>
  <c r="H5590" i="15"/>
  <c r="I5590" i="15"/>
  <c r="J5590" i="15"/>
  <c r="H5591" i="15"/>
  <c r="I5591" i="15"/>
  <c r="J5591" i="15"/>
  <c r="H5592" i="15"/>
  <c r="I5592" i="15"/>
  <c r="J5592" i="15"/>
  <c r="H5593" i="15"/>
  <c r="I5593" i="15"/>
  <c r="J5593" i="15"/>
  <c r="H5594" i="15"/>
  <c r="I5594" i="15"/>
  <c r="J5594" i="15"/>
  <c r="H5595" i="15"/>
  <c r="I5595" i="15"/>
  <c r="J5595" i="15"/>
  <c r="H5596" i="15"/>
  <c r="I5596" i="15"/>
  <c r="J5596" i="15"/>
  <c r="H5597" i="15"/>
  <c r="I5597" i="15"/>
  <c r="J5597" i="15"/>
  <c r="H5598" i="15"/>
  <c r="I5598" i="15"/>
  <c r="J5598" i="15"/>
  <c r="H5599" i="15"/>
  <c r="I5599" i="15"/>
  <c r="J5599" i="15"/>
  <c r="H5600" i="15"/>
  <c r="I5600" i="15"/>
  <c r="J5600" i="15"/>
  <c r="H5601" i="15"/>
  <c r="I5601" i="15"/>
  <c r="J5601" i="15"/>
  <c r="H5602" i="15"/>
  <c r="I5602" i="15"/>
  <c r="J5602" i="15"/>
  <c r="H5603" i="15"/>
  <c r="I5603" i="15"/>
  <c r="J5603" i="15"/>
  <c r="H5604" i="15"/>
  <c r="I5604" i="15"/>
  <c r="J5604" i="15"/>
  <c r="H5605" i="15"/>
  <c r="I5605" i="15"/>
  <c r="J5605" i="15"/>
  <c r="H5606" i="15"/>
  <c r="I5606" i="15"/>
  <c r="J5606" i="15"/>
  <c r="H5607" i="15"/>
  <c r="I5607" i="15"/>
  <c r="J5607" i="15"/>
  <c r="H5608" i="15"/>
  <c r="I5608" i="15"/>
  <c r="J5608" i="15"/>
  <c r="H5609" i="15"/>
  <c r="I5609" i="15"/>
  <c r="J5609" i="15"/>
  <c r="H5610" i="15"/>
  <c r="I5610" i="15"/>
  <c r="J5610" i="15"/>
  <c r="H5611" i="15"/>
  <c r="I5611" i="15"/>
  <c r="J5611" i="15"/>
  <c r="H5612" i="15"/>
  <c r="I5612" i="15"/>
  <c r="J5612" i="15"/>
  <c r="H5613" i="15"/>
  <c r="I5613" i="15"/>
  <c r="J5613" i="15"/>
  <c r="H5614" i="15"/>
  <c r="I5614" i="15"/>
  <c r="J5614" i="15"/>
  <c r="H5615" i="15"/>
  <c r="I5615" i="15"/>
  <c r="J5615" i="15"/>
  <c r="H5616" i="15"/>
  <c r="I5616" i="15"/>
  <c r="J5616" i="15"/>
  <c r="H5617" i="15"/>
  <c r="I5617" i="15"/>
  <c r="J5617" i="15"/>
  <c r="H5618" i="15"/>
  <c r="I5618" i="15"/>
  <c r="J5618" i="15"/>
  <c r="H5619" i="15"/>
  <c r="I5619" i="15"/>
  <c r="J5619" i="15"/>
  <c r="H5620" i="15"/>
  <c r="I5620" i="15"/>
  <c r="J5620" i="15"/>
  <c r="H5621" i="15"/>
  <c r="I5621" i="15"/>
  <c r="J5621" i="15"/>
  <c r="H5622" i="15"/>
  <c r="I5622" i="15"/>
  <c r="J5622" i="15"/>
  <c r="H5623" i="15"/>
  <c r="I5623" i="15"/>
  <c r="J5623" i="15"/>
  <c r="H5624" i="15"/>
  <c r="I5624" i="15"/>
  <c r="J5624" i="15"/>
  <c r="H5625" i="15"/>
  <c r="I5625" i="15"/>
  <c r="J5625" i="15"/>
  <c r="H5626" i="15"/>
  <c r="I5626" i="15"/>
  <c r="J5626" i="15"/>
  <c r="H5627" i="15"/>
  <c r="I5627" i="15"/>
  <c r="J5627" i="15"/>
  <c r="H5628" i="15"/>
  <c r="I5628" i="15"/>
  <c r="J5628" i="15"/>
  <c r="H5629" i="15"/>
  <c r="I5629" i="15"/>
  <c r="J5629" i="15"/>
  <c r="H5630" i="15"/>
  <c r="I5630" i="15"/>
  <c r="J5630" i="15"/>
  <c r="H5631" i="15"/>
  <c r="I5631" i="15"/>
  <c r="J5631" i="15"/>
  <c r="H5632" i="15"/>
  <c r="I5632" i="15"/>
  <c r="J5632" i="15"/>
  <c r="H5633" i="15"/>
  <c r="I5633" i="15"/>
  <c r="J5633" i="15"/>
  <c r="H5634" i="15"/>
  <c r="I5634" i="15"/>
  <c r="J5634" i="15"/>
  <c r="H5635" i="15"/>
  <c r="I5635" i="15"/>
  <c r="J5635" i="15"/>
  <c r="H5636" i="15"/>
  <c r="I5636" i="15"/>
  <c r="J5636" i="15"/>
  <c r="H5637" i="15"/>
  <c r="I5637" i="15"/>
  <c r="J5637" i="15"/>
  <c r="H5638" i="15"/>
  <c r="I5638" i="15"/>
  <c r="J5638" i="15"/>
  <c r="H5639" i="15"/>
  <c r="I5639" i="15"/>
  <c r="J5639" i="15"/>
  <c r="H5640" i="15"/>
  <c r="I5640" i="15"/>
  <c r="J5640" i="15"/>
  <c r="H5641" i="15"/>
  <c r="I5641" i="15"/>
  <c r="J5641" i="15"/>
  <c r="H5642" i="15"/>
  <c r="I5642" i="15"/>
  <c r="J5642" i="15"/>
  <c r="H5643" i="15"/>
  <c r="I5643" i="15"/>
  <c r="J5643" i="15"/>
  <c r="H5644" i="15"/>
  <c r="I5644" i="15"/>
  <c r="J5644" i="15"/>
  <c r="H5645" i="15"/>
  <c r="I5645" i="15"/>
  <c r="J5645" i="15"/>
  <c r="H5646" i="15"/>
  <c r="I5646" i="15"/>
  <c r="J5646" i="15"/>
  <c r="H5647" i="15"/>
  <c r="I5647" i="15"/>
  <c r="J5647" i="15"/>
  <c r="H5648" i="15"/>
  <c r="I5648" i="15"/>
  <c r="J5648" i="15"/>
  <c r="H5649" i="15"/>
  <c r="I5649" i="15"/>
  <c r="J5649" i="15"/>
  <c r="H5650" i="15"/>
  <c r="I5650" i="15"/>
  <c r="J5650" i="15"/>
  <c r="H5651" i="15"/>
  <c r="I5651" i="15"/>
  <c r="J5651" i="15"/>
  <c r="H5652" i="15"/>
  <c r="I5652" i="15"/>
  <c r="J5652" i="15"/>
  <c r="H5653" i="15"/>
  <c r="I5653" i="15"/>
  <c r="J5653" i="15"/>
  <c r="H5654" i="15"/>
  <c r="I5654" i="15"/>
  <c r="J5654" i="15"/>
  <c r="H5655" i="15"/>
  <c r="I5655" i="15"/>
  <c r="J5655" i="15"/>
  <c r="H5656" i="15"/>
  <c r="I5656" i="15"/>
  <c r="J5656" i="15"/>
  <c r="H5657" i="15"/>
  <c r="I5657" i="15"/>
  <c r="J5657" i="15"/>
  <c r="H5658" i="15"/>
  <c r="I5658" i="15"/>
  <c r="J5658" i="15"/>
  <c r="H5659" i="15"/>
  <c r="I5659" i="15"/>
  <c r="J5659" i="15"/>
  <c r="H5660" i="15"/>
  <c r="I5660" i="15"/>
  <c r="J5660" i="15"/>
  <c r="H5661" i="15"/>
  <c r="I5661" i="15"/>
  <c r="J5661" i="15"/>
  <c r="H5662" i="15"/>
  <c r="I5662" i="15"/>
  <c r="J5662" i="15"/>
  <c r="H5663" i="15"/>
  <c r="I5663" i="15"/>
  <c r="J5663" i="15"/>
  <c r="H5664" i="15"/>
  <c r="I5664" i="15"/>
  <c r="J5664" i="15"/>
  <c r="H5665" i="15"/>
  <c r="I5665" i="15"/>
  <c r="J5665" i="15"/>
  <c r="H5666" i="15"/>
  <c r="I5666" i="15"/>
  <c r="J5666" i="15"/>
  <c r="H5667" i="15"/>
  <c r="I5667" i="15"/>
  <c r="J5667" i="15"/>
  <c r="H5668" i="15"/>
  <c r="I5668" i="15"/>
  <c r="J5668" i="15"/>
  <c r="H5669" i="15"/>
  <c r="I5669" i="15"/>
  <c r="J5669" i="15"/>
  <c r="H5670" i="15"/>
  <c r="I5670" i="15"/>
  <c r="J5670" i="15"/>
  <c r="H5671" i="15"/>
  <c r="I5671" i="15"/>
  <c r="J5671" i="15"/>
  <c r="H5672" i="15"/>
  <c r="I5672" i="15"/>
  <c r="J5672" i="15"/>
  <c r="H5673" i="15"/>
  <c r="I5673" i="15"/>
  <c r="J5673" i="15"/>
  <c r="H5674" i="15"/>
  <c r="I5674" i="15"/>
  <c r="J5674" i="15"/>
  <c r="H5675" i="15"/>
  <c r="I5675" i="15"/>
  <c r="J5675" i="15"/>
  <c r="H5676" i="15"/>
  <c r="I5676" i="15"/>
  <c r="J5676" i="15"/>
  <c r="H5677" i="15"/>
  <c r="I5677" i="15"/>
  <c r="J5677" i="15"/>
  <c r="H5678" i="15"/>
  <c r="I5678" i="15"/>
  <c r="J5678" i="15"/>
  <c r="H5679" i="15"/>
  <c r="I5679" i="15"/>
  <c r="J5679" i="15"/>
  <c r="H5680" i="15"/>
  <c r="I5680" i="15"/>
  <c r="J5680" i="15"/>
  <c r="H5681" i="15"/>
  <c r="I5681" i="15"/>
  <c r="J5681" i="15"/>
  <c r="H5682" i="15"/>
  <c r="I5682" i="15"/>
  <c r="J5682" i="15"/>
  <c r="H5683" i="15"/>
  <c r="I5683" i="15"/>
  <c r="J5683" i="15"/>
  <c r="H5684" i="15"/>
  <c r="I5684" i="15"/>
  <c r="J5684" i="15"/>
  <c r="H5685" i="15"/>
  <c r="I5685" i="15"/>
  <c r="J5685" i="15"/>
  <c r="H5686" i="15"/>
  <c r="I5686" i="15"/>
  <c r="J5686" i="15"/>
  <c r="H5687" i="15"/>
  <c r="I5687" i="15"/>
  <c r="J5687" i="15"/>
  <c r="H5688" i="15"/>
  <c r="I5688" i="15"/>
  <c r="J5688" i="15"/>
  <c r="H5689" i="15"/>
  <c r="I5689" i="15"/>
  <c r="J5689" i="15"/>
  <c r="H5690" i="15"/>
  <c r="I5690" i="15"/>
  <c r="J5690" i="15"/>
  <c r="H5691" i="15"/>
  <c r="I5691" i="15"/>
  <c r="J5691" i="15"/>
  <c r="H5692" i="15"/>
  <c r="I5692" i="15"/>
  <c r="J5692" i="15"/>
  <c r="H5693" i="15"/>
  <c r="I5693" i="15"/>
  <c r="J5693" i="15"/>
  <c r="H5694" i="15"/>
  <c r="I5694" i="15"/>
  <c r="J5694" i="15"/>
  <c r="H5695" i="15"/>
  <c r="I5695" i="15"/>
  <c r="J5695" i="15"/>
  <c r="H5696" i="15"/>
  <c r="I5696" i="15"/>
  <c r="J5696" i="15"/>
  <c r="H5697" i="15"/>
  <c r="I5697" i="15"/>
  <c r="J5697" i="15"/>
  <c r="H5698" i="15"/>
  <c r="I5698" i="15"/>
  <c r="J5698" i="15"/>
  <c r="H5699" i="15"/>
  <c r="I5699" i="15"/>
  <c r="J5699" i="15"/>
  <c r="H5700" i="15"/>
  <c r="I5700" i="15"/>
  <c r="J5700" i="15"/>
  <c r="H5701" i="15"/>
  <c r="I5701" i="15"/>
  <c r="J5701" i="15"/>
  <c r="H5702" i="15"/>
  <c r="I5702" i="15"/>
  <c r="J5702" i="15"/>
  <c r="H5703" i="15"/>
  <c r="I5703" i="15"/>
  <c r="J5703" i="15"/>
  <c r="H5704" i="15"/>
  <c r="I5704" i="15"/>
  <c r="J5704" i="15"/>
  <c r="H5705" i="15"/>
  <c r="I5705" i="15"/>
  <c r="J5705" i="15"/>
  <c r="H5706" i="15"/>
  <c r="I5706" i="15"/>
  <c r="J5706" i="15"/>
  <c r="H5707" i="15"/>
  <c r="I5707" i="15"/>
  <c r="J5707" i="15"/>
  <c r="H5708" i="15"/>
  <c r="I5708" i="15"/>
  <c r="J5708" i="15"/>
  <c r="H5709" i="15"/>
  <c r="I5709" i="15"/>
  <c r="J5709" i="15"/>
  <c r="H5710" i="15"/>
  <c r="I5710" i="15"/>
  <c r="J5710" i="15"/>
  <c r="H5711" i="15"/>
  <c r="I5711" i="15"/>
  <c r="J5711" i="15"/>
  <c r="H5712" i="15"/>
  <c r="I5712" i="15"/>
  <c r="J5712" i="15"/>
  <c r="H5713" i="15"/>
  <c r="I5713" i="15"/>
  <c r="J5713" i="15"/>
  <c r="H5714" i="15"/>
  <c r="I5714" i="15"/>
  <c r="J5714" i="15"/>
  <c r="H5715" i="15"/>
  <c r="I5715" i="15"/>
  <c r="J5715" i="15"/>
  <c r="H5716" i="15"/>
  <c r="I5716" i="15"/>
  <c r="J5716" i="15"/>
  <c r="H5717" i="15"/>
  <c r="I5717" i="15"/>
  <c r="J5717" i="15"/>
  <c r="H5718" i="15"/>
  <c r="I5718" i="15"/>
  <c r="J5718" i="15"/>
  <c r="H5719" i="15"/>
  <c r="I5719" i="15"/>
  <c r="J5719" i="15"/>
  <c r="H5720" i="15"/>
  <c r="I5720" i="15"/>
  <c r="J5720" i="15"/>
  <c r="H5721" i="15"/>
  <c r="I5721" i="15"/>
  <c r="J5721" i="15"/>
  <c r="H5722" i="15"/>
  <c r="I5722" i="15"/>
  <c r="J5722" i="15"/>
  <c r="H5723" i="15"/>
  <c r="I5723" i="15"/>
  <c r="J5723" i="15"/>
  <c r="H5724" i="15"/>
  <c r="I5724" i="15"/>
  <c r="J5724" i="15"/>
  <c r="H5725" i="15"/>
  <c r="I5725" i="15"/>
  <c r="J5725" i="15"/>
  <c r="H5726" i="15"/>
  <c r="I5726" i="15"/>
  <c r="J5726" i="15"/>
  <c r="H5727" i="15"/>
  <c r="I5727" i="15"/>
  <c r="J5727" i="15"/>
  <c r="H5728" i="15"/>
  <c r="I5728" i="15"/>
  <c r="J5728" i="15"/>
  <c r="H5729" i="15"/>
  <c r="I5729" i="15"/>
  <c r="J5729" i="15"/>
  <c r="H5730" i="15"/>
  <c r="I5730" i="15"/>
  <c r="J5730" i="15"/>
  <c r="H5731" i="15"/>
  <c r="I5731" i="15"/>
  <c r="J5731" i="15"/>
  <c r="H5732" i="15"/>
  <c r="I5732" i="15"/>
  <c r="J5732" i="15"/>
  <c r="H5733" i="15"/>
  <c r="I5733" i="15"/>
  <c r="J5733" i="15"/>
  <c r="H5734" i="15"/>
  <c r="I5734" i="15"/>
  <c r="J5734" i="15"/>
  <c r="H5735" i="15"/>
  <c r="I5735" i="15"/>
  <c r="J5735" i="15"/>
  <c r="H5736" i="15"/>
  <c r="I5736" i="15"/>
  <c r="J5736" i="15"/>
  <c r="H5737" i="15"/>
  <c r="I5737" i="15"/>
  <c r="J5737" i="15"/>
  <c r="H5738" i="15"/>
  <c r="I5738" i="15"/>
  <c r="J5738" i="15"/>
  <c r="H5739" i="15"/>
  <c r="I5739" i="15"/>
  <c r="J5739" i="15"/>
  <c r="H5740" i="15"/>
  <c r="I5740" i="15"/>
  <c r="J5740" i="15"/>
  <c r="H5741" i="15"/>
  <c r="I5741" i="15"/>
  <c r="J5741" i="15"/>
  <c r="H5742" i="15"/>
  <c r="I5742" i="15"/>
  <c r="J5742" i="15"/>
  <c r="H5743" i="15"/>
  <c r="I5743" i="15"/>
  <c r="J5743" i="15"/>
  <c r="H5744" i="15"/>
  <c r="I5744" i="15"/>
  <c r="J5744" i="15"/>
  <c r="H5745" i="15"/>
  <c r="I5745" i="15"/>
  <c r="J5745" i="15"/>
  <c r="H5746" i="15"/>
  <c r="I5746" i="15"/>
  <c r="J5746" i="15"/>
  <c r="H5747" i="15"/>
  <c r="I5747" i="15"/>
  <c r="J5747" i="15"/>
  <c r="H5748" i="15"/>
  <c r="I5748" i="15"/>
  <c r="J5748" i="15"/>
  <c r="H5749" i="15"/>
  <c r="I5749" i="15"/>
  <c r="J5749" i="15"/>
  <c r="H5750" i="15"/>
  <c r="I5750" i="15"/>
  <c r="J5750" i="15"/>
  <c r="H5751" i="15"/>
  <c r="I5751" i="15"/>
  <c r="J5751" i="15"/>
  <c r="H5752" i="15"/>
  <c r="I5752" i="15"/>
  <c r="J5752" i="15"/>
  <c r="H5753" i="15"/>
  <c r="I5753" i="15"/>
  <c r="J5753" i="15"/>
  <c r="H5754" i="15"/>
  <c r="I5754" i="15"/>
  <c r="J5754" i="15"/>
  <c r="H5755" i="15"/>
  <c r="I5755" i="15"/>
  <c r="J5755" i="15"/>
  <c r="H5756" i="15"/>
  <c r="I5756" i="15"/>
  <c r="J5756" i="15"/>
  <c r="H5757" i="15"/>
  <c r="I5757" i="15"/>
  <c r="J5757" i="15"/>
  <c r="H5758" i="15"/>
  <c r="I5758" i="15"/>
  <c r="J5758" i="15"/>
  <c r="H5759" i="15"/>
  <c r="I5759" i="15"/>
  <c r="J5759" i="15"/>
  <c r="H5760" i="15"/>
  <c r="I5760" i="15"/>
  <c r="J5760" i="15"/>
  <c r="H5761" i="15"/>
  <c r="I5761" i="15"/>
  <c r="J5761" i="15"/>
  <c r="H5762" i="15"/>
  <c r="I5762" i="15"/>
  <c r="J5762" i="15"/>
  <c r="H5763" i="15"/>
  <c r="I5763" i="15"/>
  <c r="J5763" i="15"/>
  <c r="H5764" i="15"/>
  <c r="I5764" i="15"/>
  <c r="J5764" i="15"/>
  <c r="H5765" i="15"/>
  <c r="I5765" i="15"/>
  <c r="J5765" i="15"/>
  <c r="H5766" i="15"/>
  <c r="I5766" i="15"/>
  <c r="J5766" i="15"/>
  <c r="H5767" i="15"/>
  <c r="I5767" i="15"/>
  <c r="J5767" i="15"/>
  <c r="H5768" i="15"/>
  <c r="I5768" i="15"/>
  <c r="J5768" i="15"/>
  <c r="H5769" i="15"/>
  <c r="I5769" i="15"/>
  <c r="J5769" i="15"/>
  <c r="H5770" i="15"/>
  <c r="I5770" i="15"/>
  <c r="J5770" i="15"/>
  <c r="H5771" i="15"/>
  <c r="I5771" i="15"/>
  <c r="J5771" i="15"/>
  <c r="H5772" i="15"/>
  <c r="I5772" i="15"/>
  <c r="J5772" i="15"/>
  <c r="H5773" i="15"/>
  <c r="I5773" i="15"/>
  <c r="J5773" i="15"/>
  <c r="H5774" i="15"/>
  <c r="I5774" i="15"/>
  <c r="J5774" i="15"/>
  <c r="H5775" i="15"/>
  <c r="I5775" i="15"/>
  <c r="J5775" i="15"/>
  <c r="H5776" i="15"/>
  <c r="I5776" i="15"/>
  <c r="J5776" i="15"/>
  <c r="H5777" i="15"/>
  <c r="I5777" i="15"/>
  <c r="J5777" i="15"/>
  <c r="H5778" i="15"/>
  <c r="I5778" i="15"/>
  <c r="J5778" i="15"/>
  <c r="H5779" i="15"/>
  <c r="I5779" i="15"/>
  <c r="J5779" i="15"/>
  <c r="H5780" i="15"/>
  <c r="I5780" i="15"/>
  <c r="J5780" i="15"/>
  <c r="H5781" i="15"/>
  <c r="I5781" i="15"/>
  <c r="J5781" i="15"/>
  <c r="H5782" i="15"/>
  <c r="I5782" i="15"/>
  <c r="J5782" i="15"/>
  <c r="H5783" i="15"/>
  <c r="I5783" i="15"/>
  <c r="J5783" i="15"/>
  <c r="H5784" i="15"/>
  <c r="I5784" i="15"/>
  <c r="J5784" i="15"/>
  <c r="H5785" i="15"/>
  <c r="I5785" i="15"/>
  <c r="J5785" i="15"/>
  <c r="H5786" i="15"/>
  <c r="I5786" i="15"/>
  <c r="J5786" i="15"/>
  <c r="H5787" i="15"/>
  <c r="I5787" i="15"/>
  <c r="J5787" i="15"/>
  <c r="H5788" i="15"/>
  <c r="I5788" i="15"/>
  <c r="J5788" i="15"/>
  <c r="H5789" i="15"/>
  <c r="I5789" i="15"/>
  <c r="J5789" i="15"/>
  <c r="H5790" i="15"/>
  <c r="I5790" i="15"/>
  <c r="J5790" i="15"/>
  <c r="H5791" i="15"/>
  <c r="I5791" i="15"/>
  <c r="J5791" i="15"/>
  <c r="H5792" i="15"/>
  <c r="I5792" i="15"/>
  <c r="J5792" i="15"/>
  <c r="H5793" i="15"/>
  <c r="I5793" i="15"/>
  <c r="J5793" i="15"/>
  <c r="H5794" i="15"/>
  <c r="I5794" i="15"/>
  <c r="J5794" i="15"/>
  <c r="H5795" i="15"/>
  <c r="I5795" i="15"/>
  <c r="J5795" i="15"/>
  <c r="H5796" i="15"/>
  <c r="I5796" i="15"/>
  <c r="J5796" i="15"/>
  <c r="H5797" i="15"/>
  <c r="I5797" i="15"/>
  <c r="J5797" i="15"/>
  <c r="H5798" i="15"/>
  <c r="I5798" i="15"/>
  <c r="J5798" i="15"/>
  <c r="H5799" i="15"/>
  <c r="I5799" i="15"/>
  <c r="J5799" i="15"/>
  <c r="H5800" i="15"/>
  <c r="I5800" i="15"/>
  <c r="J5800" i="15"/>
  <c r="H5801" i="15"/>
  <c r="I5801" i="15"/>
  <c r="J5801" i="15"/>
  <c r="H5802" i="15"/>
  <c r="I5802" i="15"/>
  <c r="J5802" i="15"/>
  <c r="H5803" i="15"/>
  <c r="I5803" i="15"/>
  <c r="J5803" i="15"/>
  <c r="H5804" i="15"/>
  <c r="I5804" i="15"/>
  <c r="J5804" i="15"/>
  <c r="H5805" i="15"/>
  <c r="I5805" i="15"/>
  <c r="J5805" i="15"/>
  <c r="H5806" i="15"/>
  <c r="I5806" i="15"/>
  <c r="J5806" i="15"/>
  <c r="H5807" i="15"/>
  <c r="I5807" i="15"/>
  <c r="J5807" i="15"/>
  <c r="H5808" i="15"/>
  <c r="I5808" i="15"/>
  <c r="J5808" i="15"/>
  <c r="H5809" i="15"/>
  <c r="I5809" i="15"/>
  <c r="J5809" i="15"/>
  <c r="H5810" i="15"/>
  <c r="I5810" i="15"/>
  <c r="J5810" i="15"/>
  <c r="H5811" i="15"/>
  <c r="I5811" i="15"/>
  <c r="J5811" i="15"/>
  <c r="H5812" i="15"/>
  <c r="I5812" i="15"/>
  <c r="J5812" i="15"/>
  <c r="H5813" i="15"/>
  <c r="I5813" i="15"/>
  <c r="J5813" i="15"/>
  <c r="H5814" i="15"/>
  <c r="I5814" i="15"/>
  <c r="J5814" i="15"/>
  <c r="H5815" i="15"/>
  <c r="I5815" i="15"/>
  <c r="J5815" i="15"/>
  <c r="H5816" i="15"/>
  <c r="I5816" i="15"/>
  <c r="J5816" i="15"/>
  <c r="H5817" i="15"/>
  <c r="I5817" i="15"/>
  <c r="J5817" i="15"/>
  <c r="H5818" i="15"/>
  <c r="I5818" i="15"/>
  <c r="J5818" i="15"/>
  <c r="H5819" i="15"/>
  <c r="I5819" i="15"/>
  <c r="J5819" i="15"/>
  <c r="H5820" i="15"/>
  <c r="I5820" i="15"/>
  <c r="J5820" i="15"/>
  <c r="H5821" i="15"/>
  <c r="I5821" i="15"/>
  <c r="J5821" i="15"/>
  <c r="H5822" i="15"/>
  <c r="I5822" i="15"/>
  <c r="J5822" i="15"/>
  <c r="H5823" i="15"/>
  <c r="I5823" i="15"/>
  <c r="J5823" i="15"/>
  <c r="H5824" i="15"/>
  <c r="I5824" i="15"/>
  <c r="J5824" i="15"/>
  <c r="H5825" i="15"/>
  <c r="I5825" i="15"/>
  <c r="J5825" i="15"/>
  <c r="H5826" i="15"/>
  <c r="I5826" i="15"/>
  <c r="J5826" i="15"/>
  <c r="H5827" i="15"/>
  <c r="I5827" i="15"/>
  <c r="J5827" i="15"/>
  <c r="H5828" i="15"/>
  <c r="I5828" i="15"/>
  <c r="J5828" i="15"/>
  <c r="H5829" i="15"/>
  <c r="I5829" i="15"/>
  <c r="J5829" i="15"/>
  <c r="H5830" i="15"/>
  <c r="I5830" i="15"/>
  <c r="J5830" i="15"/>
  <c r="H5831" i="15"/>
  <c r="I5831" i="15"/>
  <c r="J5831" i="15"/>
  <c r="H5832" i="15"/>
  <c r="I5832" i="15"/>
  <c r="J5832" i="15"/>
  <c r="H5833" i="15"/>
  <c r="I5833" i="15"/>
  <c r="J5833" i="15"/>
  <c r="H5834" i="15"/>
  <c r="I5834" i="15"/>
  <c r="J5834" i="15"/>
  <c r="H5835" i="15"/>
  <c r="I5835" i="15"/>
  <c r="J5835" i="15"/>
  <c r="H5836" i="15"/>
  <c r="I5836" i="15"/>
  <c r="J5836" i="15"/>
  <c r="H5837" i="15"/>
  <c r="I5837" i="15"/>
  <c r="J5837" i="15"/>
  <c r="H5838" i="15"/>
  <c r="I5838" i="15"/>
  <c r="J5838" i="15"/>
  <c r="H5839" i="15"/>
  <c r="I5839" i="15"/>
  <c r="J5839" i="15"/>
  <c r="H5840" i="15"/>
  <c r="I5840" i="15"/>
  <c r="J5840" i="15"/>
  <c r="H5841" i="15"/>
  <c r="I5841" i="15"/>
  <c r="J5841" i="15"/>
  <c r="H5842" i="15"/>
  <c r="I5842" i="15"/>
  <c r="J5842" i="15"/>
  <c r="H5843" i="15"/>
  <c r="I5843" i="15"/>
  <c r="J5843" i="15"/>
  <c r="H5844" i="15"/>
  <c r="I5844" i="15"/>
  <c r="J5844" i="15"/>
  <c r="H5845" i="15"/>
  <c r="I5845" i="15"/>
  <c r="J5845" i="15"/>
  <c r="H5846" i="15"/>
  <c r="I5846" i="15"/>
  <c r="J5846" i="15"/>
  <c r="H5847" i="15"/>
  <c r="I5847" i="15"/>
  <c r="J5847" i="15"/>
  <c r="H5848" i="15"/>
  <c r="I5848" i="15"/>
  <c r="J5848" i="15"/>
  <c r="H5849" i="15"/>
  <c r="I5849" i="15"/>
  <c r="J5849" i="15"/>
  <c r="H5850" i="15"/>
  <c r="I5850" i="15"/>
  <c r="J5850" i="15"/>
  <c r="H5851" i="15"/>
  <c r="I5851" i="15"/>
  <c r="J5851" i="15"/>
  <c r="H5852" i="15"/>
  <c r="I5852" i="15"/>
  <c r="J5852" i="15"/>
  <c r="H5853" i="15"/>
  <c r="I5853" i="15"/>
  <c r="J5853" i="15"/>
  <c r="H5854" i="15"/>
  <c r="I5854" i="15"/>
  <c r="J5854" i="15"/>
  <c r="H5855" i="15"/>
  <c r="I5855" i="15"/>
  <c r="J5855" i="15"/>
  <c r="H5856" i="15"/>
  <c r="I5856" i="15"/>
  <c r="J5856" i="15"/>
  <c r="H5857" i="15"/>
  <c r="I5857" i="15"/>
  <c r="J5857" i="15"/>
  <c r="H5858" i="15"/>
  <c r="I5858" i="15"/>
  <c r="J5858" i="15"/>
  <c r="H5859" i="15"/>
  <c r="I5859" i="15"/>
  <c r="J5859" i="15"/>
  <c r="H5860" i="15"/>
  <c r="I5860" i="15"/>
  <c r="J5860" i="15"/>
  <c r="H5861" i="15"/>
  <c r="I5861" i="15"/>
  <c r="J5861" i="15"/>
  <c r="H5862" i="15"/>
  <c r="I5862" i="15"/>
  <c r="J5862" i="15"/>
  <c r="H5863" i="15"/>
  <c r="I5863" i="15"/>
  <c r="J5863" i="15"/>
  <c r="H5864" i="15"/>
  <c r="I5864" i="15"/>
  <c r="J5864" i="15"/>
  <c r="H5865" i="15"/>
  <c r="I5865" i="15"/>
  <c r="J5865" i="15"/>
  <c r="H5866" i="15"/>
  <c r="I5866" i="15"/>
  <c r="J5866" i="15"/>
  <c r="H5867" i="15"/>
  <c r="I5867" i="15"/>
  <c r="J5867" i="15"/>
  <c r="H5868" i="15"/>
  <c r="I5868" i="15"/>
  <c r="J5868" i="15"/>
  <c r="H5869" i="15"/>
  <c r="I5869" i="15"/>
  <c r="J5869" i="15"/>
  <c r="H5870" i="15"/>
  <c r="I5870" i="15"/>
  <c r="J5870" i="15"/>
  <c r="H5871" i="15"/>
  <c r="I5871" i="15"/>
  <c r="J5871" i="15"/>
  <c r="H5872" i="15"/>
  <c r="I5872" i="15"/>
  <c r="J5872" i="15"/>
  <c r="H5873" i="15"/>
  <c r="I5873" i="15"/>
  <c r="J5873" i="15"/>
  <c r="H5874" i="15"/>
  <c r="I5874" i="15"/>
  <c r="J5874" i="15"/>
  <c r="H5875" i="15"/>
  <c r="I5875" i="15"/>
  <c r="J5875" i="15"/>
  <c r="H5876" i="15"/>
  <c r="I5876" i="15"/>
  <c r="J5876" i="15"/>
  <c r="H5877" i="15"/>
  <c r="I5877" i="15"/>
  <c r="J5877" i="15"/>
  <c r="H5878" i="15"/>
  <c r="I5878" i="15"/>
  <c r="J5878" i="15"/>
  <c r="H5879" i="15"/>
  <c r="I5879" i="15"/>
  <c r="J5879" i="15"/>
  <c r="H5880" i="15"/>
  <c r="I5880" i="15"/>
  <c r="J5880" i="15"/>
  <c r="H5881" i="15"/>
  <c r="I5881" i="15"/>
  <c r="J5881" i="15"/>
  <c r="H5882" i="15"/>
  <c r="I5882" i="15"/>
  <c r="J5882" i="15"/>
  <c r="H5883" i="15"/>
  <c r="I5883" i="15"/>
  <c r="J5883" i="15"/>
  <c r="H5884" i="15"/>
  <c r="I5884" i="15"/>
  <c r="J5884" i="15"/>
  <c r="H5885" i="15"/>
  <c r="I5885" i="15"/>
  <c r="J5885" i="15"/>
  <c r="H5886" i="15"/>
  <c r="I5886" i="15"/>
  <c r="J5886" i="15"/>
  <c r="H5887" i="15"/>
  <c r="I5887" i="15"/>
  <c r="J5887" i="15"/>
  <c r="H5888" i="15"/>
  <c r="I5888" i="15"/>
  <c r="J5888" i="15"/>
  <c r="H5889" i="15"/>
  <c r="I5889" i="15"/>
  <c r="J5889" i="15"/>
  <c r="H5890" i="15"/>
  <c r="I5890" i="15"/>
  <c r="J5890" i="15"/>
  <c r="H5891" i="15"/>
  <c r="I5891" i="15"/>
  <c r="J5891" i="15"/>
  <c r="H5892" i="15"/>
  <c r="I5892" i="15"/>
  <c r="J5892" i="15"/>
  <c r="H5893" i="15"/>
  <c r="I5893" i="15"/>
  <c r="J5893" i="15"/>
  <c r="H5894" i="15"/>
  <c r="I5894" i="15"/>
  <c r="J5894" i="15"/>
  <c r="H5895" i="15"/>
  <c r="I5895" i="15"/>
  <c r="J5895" i="15"/>
  <c r="H5896" i="15"/>
  <c r="I5896" i="15"/>
  <c r="J5896" i="15"/>
  <c r="H5897" i="15"/>
  <c r="I5897" i="15"/>
  <c r="J5897" i="15"/>
  <c r="H5898" i="15"/>
  <c r="I5898" i="15"/>
  <c r="J5898" i="15"/>
  <c r="H5899" i="15"/>
  <c r="I5899" i="15"/>
  <c r="J5899" i="15"/>
  <c r="H5900" i="15"/>
  <c r="I5900" i="15"/>
  <c r="J5900" i="15"/>
  <c r="H5901" i="15"/>
  <c r="I5901" i="15"/>
  <c r="J5901" i="15"/>
  <c r="H5902" i="15"/>
  <c r="I5902" i="15"/>
  <c r="J5902" i="15"/>
  <c r="H5903" i="15"/>
  <c r="I5903" i="15"/>
  <c r="J5903" i="15"/>
  <c r="H5904" i="15"/>
  <c r="I5904" i="15"/>
  <c r="J5904" i="15"/>
  <c r="H5905" i="15"/>
  <c r="I5905" i="15"/>
  <c r="J5905" i="15"/>
  <c r="H5906" i="15"/>
  <c r="I5906" i="15"/>
  <c r="J5906" i="15"/>
  <c r="H5907" i="15"/>
  <c r="I5907" i="15"/>
  <c r="J5907" i="15"/>
  <c r="H5908" i="15"/>
  <c r="I5908" i="15"/>
  <c r="J5908" i="15"/>
  <c r="H5909" i="15"/>
  <c r="I5909" i="15"/>
  <c r="J5909" i="15"/>
  <c r="H5910" i="15"/>
  <c r="I5910" i="15"/>
  <c r="J5910" i="15"/>
  <c r="H5911" i="15"/>
  <c r="I5911" i="15"/>
  <c r="J5911" i="15"/>
  <c r="H5912" i="15"/>
  <c r="I5912" i="15"/>
  <c r="J5912" i="15"/>
  <c r="H5913" i="15"/>
  <c r="I5913" i="15"/>
  <c r="J5913" i="15"/>
  <c r="H5914" i="15"/>
  <c r="I5914" i="15"/>
  <c r="J5914" i="15"/>
  <c r="H5915" i="15"/>
  <c r="I5915" i="15"/>
  <c r="J5915" i="15"/>
  <c r="H5916" i="15"/>
  <c r="I5916" i="15"/>
  <c r="J5916" i="15"/>
  <c r="H5917" i="15"/>
  <c r="I5917" i="15"/>
  <c r="J5917" i="15"/>
  <c r="H5918" i="15"/>
  <c r="I5918" i="15"/>
  <c r="J5918" i="15"/>
  <c r="H5919" i="15"/>
  <c r="I5919" i="15"/>
  <c r="J5919" i="15"/>
  <c r="H5920" i="15"/>
  <c r="I5920" i="15"/>
  <c r="J5920" i="15"/>
  <c r="H5921" i="15"/>
  <c r="I5921" i="15"/>
  <c r="J5921" i="15"/>
  <c r="H5922" i="15"/>
  <c r="I5922" i="15"/>
  <c r="J5922" i="15"/>
  <c r="H5923" i="15"/>
  <c r="I5923" i="15"/>
  <c r="J5923" i="15"/>
  <c r="H5924" i="15"/>
  <c r="I5924" i="15"/>
  <c r="J5924" i="15"/>
  <c r="H5925" i="15"/>
  <c r="I5925" i="15"/>
  <c r="J5925" i="15"/>
  <c r="H5926" i="15"/>
  <c r="I5926" i="15"/>
  <c r="J5926" i="15"/>
  <c r="H5927" i="15"/>
  <c r="I5927" i="15"/>
  <c r="J5927" i="15"/>
  <c r="H5928" i="15"/>
  <c r="I5928" i="15"/>
  <c r="J5928" i="15"/>
  <c r="H5929" i="15"/>
  <c r="I5929" i="15"/>
  <c r="J5929" i="15"/>
  <c r="H5930" i="15"/>
  <c r="I5930" i="15"/>
  <c r="J5930" i="15"/>
  <c r="H5931" i="15"/>
  <c r="I5931" i="15"/>
  <c r="J5931" i="15"/>
  <c r="H5932" i="15"/>
  <c r="I5932" i="15"/>
  <c r="J5932" i="15"/>
  <c r="H5933" i="15"/>
  <c r="I5933" i="15"/>
  <c r="J5933" i="15"/>
  <c r="H5934" i="15"/>
  <c r="I5934" i="15"/>
  <c r="J5934" i="15"/>
  <c r="H5935" i="15"/>
  <c r="I5935" i="15"/>
  <c r="J5935" i="15"/>
  <c r="H5936" i="15"/>
  <c r="I5936" i="15"/>
  <c r="J5936" i="15"/>
  <c r="H5937" i="15"/>
  <c r="I5937" i="15"/>
  <c r="J5937" i="15"/>
  <c r="H5938" i="15"/>
  <c r="I5938" i="15"/>
  <c r="J5938" i="15"/>
  <c r="H5939" i="15"/>
  <c r="I5939" i="15"/>
  <c r="J5939" i="15"/>
  <c r="H5940" i="15"/>
  <c r="I5940" i="15"/>
  <c r="J5940" i="15"/>
  <c r="H5941" i="15"/>
  <c r="I5941" i="15"/>
  <c r="J5941" i="15"/>
  <c r="H5942" i="15"/>
  <c r="I5942" i="15"/>
  <c r="J5942" i="15"/>
  <c r="H5943" i="15"/>
  <c r="I5943" i="15"/>
  <c r="J5943" i="15"/>
  <c r="H5944" i="15"/>
  <c r="I5944" i="15"/>
  <c r="J5944" i="15"/>
  <c r="H5945" i="15"/>
  <c r="I5945" i="15"/>
  <c r="J5945" i="15"/>
  <c r="H5946" i="15"/>
  <c r="I5946" i="15"/>
  <c r="J5946" i="15"/>
  <c r="H5947" i="15"/>
  <c r="I5947" i="15"/>
  <c r="J5947" i="15"/>
  <c r="H5948" i="15"/>
  <c r="I5948" i="15"/>
  <c r="J5948" i="15"/>
  <c r="H5949" i="15"/>
  <c r="I5949" i="15"/>
  <c r="J5949" i="15"/>
  <c r="H5950" i="15"/>
  <c r="I5950" i="15"/>
  <c r="J5950" i="15"/>
  <c r="H5951" i="15"/>
  <c r="I5951" i="15"/>
  <c r="J5951" i="15"/>
  <c r="H5952" i="15"/>
  <c r="I5952" i="15"/>
  <c r="J5952" i="15"/>
  <c r="H5953" i="15"/>
  <c r="I5953" i="15"/>
  <c r="J5953" i="15"/>
  <c r="H5954" i="15"/>
  <c r="I5954" i="15"/>
  <c r="J5954" i="15"/>
  <c r="H5955" i="15"/>
  <c r="I5955" i="15"/>
  <c r="J5955" i="15"/>
  <c r="H5956" i="15"/>
  <c r="I5956" i="15"/>
  <c r="J5956" i="15"/>
  <c r="H5957" i="15"/>
  <c r="I5957" i="15"/>
  <c r="J5957" i="15"/>
  <c r="H5958" i="15"/>
  <c r="I5958" i="15"/>
  <c r="J5958" i="15"/>
  <c r="H5959" i="15"/>
  <c r="I5959" i="15"/>
  <c r="J5959" i="15"/>
  <c r="H5960" i="15"/>
  <c r="I5960" i="15"/>
  <c r="J5960" i="15"/>
  <c r="H5961" i="15"/>
  <c r="I5961" i="15"/>
  <c r="J5961" i="15"/>
  <c r="H5962" i="15"/>
  <c r="I5962" i="15"/>
  <c r="J5962" i="15"/>
  <c r="H5963" i="15"/>
  <c r="I5963" i="15"/>
  <c r="J5963" i="15"/>
  <c r="H5964" i="15"/>
  <c r="I5964" i="15"/>
  <c r="J5964" i="15"/>
  <c r="H5965" i="15"/>
  <c r="I5965" i="15"/>
  <c r="J5965" i="15"/>
  <c r="H5966" i="15"/>
  <c r="I5966" i="15"/>
  <c r="J5966" i="15"/>
  <c r="H5967" i="15"/>
  <c r="I5967" i="15"/>
  <c r="J5967" i="15"/>
  <c r="H5968" i="15"/>
  <c r="I5968" i="15"/>
  <c r="J5968" i="15"/>
  <c r="H5969" i="15"/>
  <c r="I5969" i="15"/>
  <c r="J5969" i="15"/>
  <c r="H5970" i="15"/>
  <c r="I5970" i="15"/>
  <c r="J5970" i="15"/>
  <c r="H5971" i="15"/>
  <c r="I5971" i="15"/>
  <c r="J5971" i="15"/>
  <c r="H5972" i="15"/>
  <c r="I5972" i="15"/>
  <c r="J5972" i="15"/>
  <c r="H5973" i="15"/>
  <c r="I5973" i="15"/>
  <c r="J5973" i="15"/>
  <c r="H5974" i="15"/>
  <c r="I5974" i="15"/>
  <c r="J5974" i="15"/>
  <c r="H5975" i="15"/>
  <c r="I5975" i="15"/>
  <c r="J5975" i="15"/>
  <c r="H5976" i="15"/>
  <c r="I5976" i="15"/>
  <c r="J5976" i="15"/>
  <c r="H5977" i="15"/>
  <c r="I5977" i="15"/>
  <c r="J5977" i="15"/>
  <c r="H5978" i="15"/>
  <c r="I5978" i="15"/>
  <c r="J5978" i="15"/>
  <c r="H5979" i="15"/>
  <c r="I5979" i="15"/>
  <c r="J5979" i="15"/>
  <c r="H5980" i="15"/>
  <c r="I5980" i="15"/>
  <c r="J5980" i="15"/>
  <c r="H5981" i="15"/>
  <c r="I5981" i="15"/>
  <c r="J5981" i="15"/>
  <c r="H5982" i="15"/>
  <c r="I5982" i="15"/>
  <c r="J5982" i="15"/>
  <c r="H5983" i="15"/>
  <c r="I5983" i="15"/>
  <c r="J5983" i="15"/>
  <c r="H5984" i="15"/>
  <c r="I5984" i="15"/>
  <c r="J5984" i="15"/>
  <c r="H5985" i="15"/>
  <c r="I5985" i="15"/>
  <c r="J5985" i="15"/>
  <c r="H5986" i="15"/>
  <c r="I5986" i="15"/>
  <c r="J5986" i="15"/>
  <c r="H5987" i="15"/>
  <c r="I5987" i="15"/>
  <c r="J5987" i="15"/>
  <c r="H5988" i="15"/>
  <c r="I5988" i="15"/>
  <c r="J5988" i="15"/>
  <c r="H5989" i="15"/>
  <c r="I5989" i="15"/>
  <c r="J5989" i="15"/>
  <c r="H5990" i="15"/>
  <c r="I5990" i="15"/>
  <c r="J5990" i="15"/>
  <c r="H5991" i="15"/>
  <c r="I5991" i="15"/>
  <c r="J5991" i="15"/>
  <c r="H5992" i="15"/>
  <c r="I5992" i="15"/>
  <c r="J5992" i="15"/>
  <c r="H5993" i="15"/>
  <c r="I5993" i="15"/>
  <c r="J5993" i="15"/>
  <c r="H5994" i="15"/>
  <c r="I5994" i="15"/>
  <c r="J5994" i="15"/>
  <c r="H5995" i="15"/>
  <c r="I5995" i="15"/>
  <c r="J5995" i="15"/>
  <c r="H5996" i="15"/>
  <c r="I5996" i="15"/>
  <c r="J5996" i="15"/>
  <c r="H5997" i="15"/>
  <c r="I5997" i="15"/>
  <c r="J5997" i="15"/>
  <c r="H5998" i="15"/>
  <c r="I5998" i="15"/>
  <c r="J5998" i="15"/>
  <c r="H5999" i="15"/>
  <c r="I5999" i="15"/>
  <c r="J5999" i="15"/>
  <c r="H6000" i="15"/>
  <c r="I6000" i="15"/>
  <c r="J6000" i="15"/>
  <c r="H6001" i="15"/>
  <c r="I6001" i="15"/>
  <c r="J6001" i="15"/>
  <c r="H6002" i="15"/>
  <c r="I6002" i="15"/>
  <c r="J6002" i="15"/>
  <c r="H6003" i="15"/>
  <c r="I6003" i="15"/>
  <c r="J6003" i="15"/>
  <c r="H6004" i="15"/>
  <c r="I6004" i="15"/>
  <c r="J6004" i="15"/>
  <c r="H6005" i="15"/>
  <c r="I6005" i="15"/>
  <c r="J6005" i="15"/>
  <c r="H6006" i="15"/>
  <c r="I6006" i="15"/>
  <c r="J6006" i="15"/>
  <c r="H6007" i="15"/>
  <c r="I6007" i="15"/>
  <c r="J6007" i="15"/>
  <c r="H6008" i="15"/>
  <c r="I6008" i="15"/>
  <c r="J6008" i="15"/>
  <c r="H6009" i="15"/>
  <c r="I6009" i="15"/>
  <c r="J6009" i="15"/>
  <c r="H6010" i="15"/>
  <c r="I6010" i="15"/>
  <c r="J6010" i="15"/>
  <c r="H6011" i="15"/>
  <c r="I6011" i="15"/>
  <c r="J6011" i="15"/>
  <c r="H6012" i="15"/>
  <c r="I6012" i="15"/>
  <c r="J6012" i="15"/>
  <c r="H6013" i="15"/>
  <c r="I6013" i="15"/>
  <c r="J6013" i="15"/>
  <c r="H6014" i="15"/>
  <c r="I6014" i="15"/>
  <c r="J6014" i="15"/>
  <c r="H6015" i="15"/>
  <c r="I6015" i="15"/>
  <c r="J6015" i="15"/>
  <c r="H6016" i="15"/>
  <c r="I6016" i="15"/>
  <c r="J6016" i="15"/>
  <c r="H6017" i="15"/>
  <c r="I6017" i="15"/>
  <c r="J6017" i="15"/>
  <c r="H6018" i="15"/>
  <c r="I6018" i="15"/>
  <c r="J6018" i="15"/>
  <c r="H6019" i="15"/>
  <c r="I6019" i="15"/>
  <c r="J6019" i="15"/>
  <c r="H6020" i="15"/>
  <c r="I6020" i="15"/>
  <c r="J6020" i="15"/>
  <c r="H6021" i="15"/>
  <c r="I6021" i="15"/>
  <c r="J6021" i="15"/>
  <c r="H6022" i="15"/>
  <c r="I6022" i="15"/>
  <c r="J6022" i="15"/>
  <c r="H6023" i="15"/>
  <c r="I6023" i="15"/>
  <c r="J6023" i="15"/>
  <c r="H6024" i="15"/>
  <c r="I6024" i="15"/>
  <c r="J6024" i="15"/>
  <c r="H6025" i="15"/>
  <c r="I6025" i="15"/>
  <c r="J6025" i="15"/>
  <c r="H6026" i="15"/>
  <c r="I6026" i="15"/>
  <c r="J6026" i="15"/>
  <c r="H6027" i="15"/>
  <c r="I6027" i="15"/>
  <c r="J6027" i="15"/>
  <c r="H6028" i="15"/>
  <c r="I6028" i="15"/>
  <c r="J6028" i="15"/>
  <c r="H6029" i="15"/>
  <c r="I6029" i="15"/>
  <c r="J6029" i="15"/>
  <c r="H6030" i="15"/>
  <c r="I6030" i="15"/>
  <c r="J6030" i="15"/>
  <c r="H6031" i="15"/>
  <c r="I6031" i="15"/>
  <c r="J6031" i="15"/>
  <c r="H6032" i="15"/>
  <c r="I6032" i="15"/>
  <c r="J6032" i="15"/>
  <c r="H6033" i="15"/>
  <c r="I6033" i="15"/>
  <c r="J6033" i="15"/>
  <c r="H6034" i="15"/>
  <c r="I6034" i="15"/>
  <c r="J6034" i="15"/>
  <c r="H6035" i="15"/>
  <c r="I6035" i="15"/>
  <c r="J6035" i="15"/>
  <c r="H6036" i="15"/>
  <c r="I6036" i="15"/>
  <c r="J6036" i="15"/>
  <c r="H6037" i="15"/>
  <c r="I6037" i="15"/>
  <c r="J6037" i="15"/>
  <c r="H6038" i="15"/>
  <c r="I6038" i="15"/>
  <c r="J6038" i="15"/>
  <c r="H6039" i="15"/>
  <c r="I6039" i="15"/>
  <c r="J6039" i="15"/>
  <c r="H6040" i="15"/>
  <c r="I6040" i="15"/>
  <c r="J6040" i="15"/>
  <c r="H6041" i="15"/>
  <c r="I6041" i="15"/>
  <c r="J6041" i="15"/>
  <c r="H6042" i="15"/>
  <c r="I6042" i="15"/>
  <c r="J6042" i="15"/>
  <c r="H6043" i="15"/>
  <c r="I6043" i="15"/>
  <c r="J6043" i="15"/>
  <c r="H6044" i="15"/>
  <c r="I6044" i="15"/>
  <c r="J6044" i="15"/>
  <c r="H6045" i="15"/>
  <c r="I6045" i="15"/>
  <c r="J6045" i="15"/>
  <c r="H6046" i="15"/>
  <c r="I6046" i="15"/>
  <c r="J6046" i="15"/>
  <c r="H6047" i="15"/>
  <c r="I6047" i="15"/>
  <c r="J6047" i="15"/>
  <c r="H6048" i="15"/>
  <c r="I6048" i="15"/>
  <c r="J6048" i="15"/>
  <c r="H6049" i="15"/>
  <c r="I6049" i="15"/>
  <c r="J6049" i="15"/>
  <c r="H6050" i="15"/>
  <c r="I6050" i="15"/>
  <c r="J6050" i="15"/>
  <c r="H6051" i="15"/>
  <c r="I6051" i="15"/>
  <c r="J6051" i="15"/>
  <c r="H6052" i="15"/>
  <c r="I6052" i="15"/>
  <c r="J6052" i="15"/>
  <c r="H6053" i="15"/>
  <c r="I6053" i="15"/>
  <c r="J6053" i="15"/>
  <c r="H6054" i="15"/>
  <c r="I6054" i="15"/>
  <c r="J6054" i="15"/>
  <c r="H6055" i="15"/>
  <c r="I6055" i="15"/>
  <c r="J6055" i="15"/>
  <c r="H6056" i="15"/>
  <c r="I6056" i="15"/>
  <c r="J6056" i="15"/>
  <c r="H6057" i="15"/>
  <c r="I6057" i="15"/>
  <c r="J6057" i="15"/>
  <c r="H6058" i="15"/>
  <c r="I6058" i="15"/>
  <c r="J6058" i="15"/>
  <c r="H6059" i="15"/>
  <c r="I6059" i="15"/>
  <c r="J6059" i="15"/>
  <c r="H6060" i="15"/>
  <c r="I6060" i="15"/>
  <c r="J6060" i="15"/>
  <c r="H6061" i="15"/>
  <c r="I6061" i="15"/>
  <c r="J6061" i="15"/>
  <c r="H6062" i="15"/>
  <c r="I6062" i="15"/>
  <c r="J6062" i="15"/>
  <c r="H6063" i="15"/>
  <c r="I6063" i="15"/>
  <c r="J6063" i="15"/>
  <c r="H6064" i="15"/>
  <c r="I6064" i="15"/>
  <c r="J6064" i="15"/>
  <c r="H6065" i="15"/>
  <c r="I6065" i="15"/>
  <c r="J6065" i="15"/>
  <c r="H6066" i="15"/>
  <c r="I6066" i="15"/>
  <c r="J6066" i="15"/>
  <c r="H6067" i="15"/>
  <c r="I6067" i="15"/>
  <c r="J6067" i="15"/>
  <c r="H6068" i="15"/>
  <c r="I6068" i="15"/>
  <c r="J6068" i="15"/>
  <c r="H6069" i="15"/>
  <c r="I6069" i="15"/>
  <c r="J6069" i="15"/>
  <c r="H6070" i="15"/>
  <c r="I6070" i="15"/>
  <c r="J6070" i="15"/>
  <c r="H6071" i="15"/>
  <c r="I6071" i="15"/>
  <c r="J6071" i="15"/>
  <c r="H6072" i="15"/>
  <c r="I6072" i="15"/>
  <c r="J6072" i="15"/>
  <c r="H6073" i="15"/>
  <c r="I6073" i="15"/>
  <c r="J6073" i="15"/>
  <c r="H6074" i="15"/>
  <c r="I6074" i="15"/>
  <c r="J6074" i="15"/>
  <c r="H6075" i="15"/>
  <c r="I6075" i="15"/>
  <c r="J6075" i="15"/>
  <c r="H6076" i="15"/>
  <c r="I6076" i="15"/>
  <c r="J6076" i="15"/>
  <c r="H6077" i="15"/>
  <c r="I6077" i="15"/>
  <c r="J6077" i="15"/>
  <c r="H6078" i="15"/>
  <c r="I6078" i="15"/>
  <c r="J6078" i="15"/>
  <c r="H6079" i="15"/>
  <c r="I6079" i="15"/>
  <c r="J6079" i="15"/>
  <c r="H6080" i="15"/>
  <c r="I6080" i="15"/>
  <c r="J6080" i="15"/>
  <c r="H6081" i="15"/>
  <c r="I6081" i="15"/>
  <c r="J6081" i="15"/>
  <c r="H6082" i="15"/>
  <c r="I6082" i="15"/>
  <c r="J6082" i="15"/>
  <c r="H6083" i="15"/>
  <c r="I6083" i="15"/>
  <c r="J6083" i="15"/>
  <c r="H6084" i="15"/>
  <c r="I6084" i="15"/>
  <c r="J6084" i="15"/>
  <c r="H6085" i="15"/>
  <c r="I6085" i="15"/>
  <c r="J6085" i="15"/>
  <c r="H6086" i="15"/>
  <c r="I6086" i="15"/>
  <c r="J6086" i="15"/>
  <c r="H6087" i="15"/>
  <c r="I6087" i="15"/>
  <c r="J6087" i="15"/>
  <c r="H6088" i="15"/>
  <c r="I6088" i="15"/>
  <c r="J6088" i="15"/>
  <c r="H6089" i="15"/>
  <c r="I6089" i="15"/>
  <c r="J6089" i="15"/>
  <c r="H6090" i="15"/>
  <c r="I6090" i="15"/>
  <c r="J6090" i="15"/>
  <c r="H6091" i="15"/>
  <c r="I6091" i="15"/>
  <c r="J6091" i="15"/>
  <c r="H6092" i="15"/>
  <c r="I6092" i="15"/>
  <c r="J6092" i="15"/>
  <c r="H6093" i="15"/>
  <c r="I6093" i="15"/>
  <c r="J6093" i="15"/>
  <c r="H6094" i="15"/>
  <c r="I6094" i="15"/>
  <c r="J6094" i="15"/>
  <c r="H6095" i="15"/>
  <c r="I6095" i="15"/>
  <c r="J6095" i="15"/>
  <c r="H6096" i="15"/>
  <c r="I6096" i="15"/>
  <c r="J6096" i="15"/>
  <c r="H6097" i="15"/>
  <c r="I6097" i="15"/>
  <c r="J6097" i="15"/>
  <c r="H6098" i="15"/>
  <c r="I6098" i="15"/>
  <c r="J6098" i="15"/>
  <c r="H6099" i="15"/>
  <c r="I6099" i="15"/>
  <c r="J6099" i="15"/>
  <c r="H6100" i="15"/>
  <c r="I6100" i="15"/>
  <c r="J6100" i="15"/>
  <c r="H6101" i="15"/>
  <c r="I6101" i="15"/>
  <c r="J6101" i="15"/>
  <c r="H6102" i="15"/>
  <c r="I6102" i="15"/>
  <c r="J6102" i="15"/>
  <c r="H6103" i="15"/>
  <c r="I6103" i="15"/>
  <c r="J6103" i="15"/>
  <c r="H6104" i="15"/>
  <c r="I6104" i="15"/>
  <c r="J6104" i="15"/>
  <c r="H6105" i="15"/>
  <c r="I6105" i="15"/>
  <c r="J6105" i="15"/>
  <c r="H6106" i="15"/>
  <c r="I6106" i="15"/>
  <c r="J6106" i="15"/>
  <c r="H6107" i="15"/>
  <c r="I6107" i="15"/>
  <c r="J6107" i="15"/>
  <c r="H6108" i="15"/>
  <c r="I6108" i="15"/>
  <c r="J6108" i="15"/>
  <c r="H6109" i="15"/>
  <c r="I6109" i="15"/>
  <c r="J6109" i="15"/>
  <c r="H6110" i="15"/>
  <c r="I6110" i="15"/>
  <c r="J6110" i="15"/>
  <c r="H6111" i="15"/>
  <c r="I6111" i="15"/>
  <c r="J6111" i="15"/>
  <c r="H6112" i="15"/>
  <c r="I6112" i="15"/>
  <c r="J6112" i="15"/>
  <c r="H6113" i="15"/>
  <c r="I6113" i="15"/>
  <c r="J6113" i="15"/>
  <c r="H6114" i="15"/>
  <c r="I6114" i="15"/>
  <c r="J6114" i="15"/>
  <c r="H6115" i="15"/>
  <c r="I6115" i="15"/>
  <c r="J6115" i="15"/>
  <c r="H6116" i="15"/>
  <c r="I6116" i="15"/>
  <c r="J6116" i="15"/>
  <c r="H6117" i="15"/>
  <c r="I6117" i="15"/>
  <c r="J6117" i="15"/>
  <c r="H6118" i="15"/>
  <c r="I6118" i="15"/>
  <c r="J6118" i="15"/>
  <c r="H6119" i="15"/>
  <c r="I6119" i="15"/>
  <c r="J6119" i="15"/>
  <c r="H6120" i="15"/>
  <c r="I6120" i="15"/>
  <c r="J6120" i="15"/>
  <c r="H6121" i="15"/>
  <c r="I6121" i="15"/>
  <c r="J6121" i="15"/>
  <c r="H6122" i="15"/>
  <c r="I6122" i="15"/>
  <c r="J6122" i="15"/>
  <c r="H6123" i="15"/>
  <c r="I6123" i="15"/>
  <c r="J6123" i="15"/>
  <c r="H6124" i="15"/>
  <c r="I6124" i="15"/>
  <c r="J6124" i="15"/>
  <c r="H6125" i="15"/>
  <c r="I6125" i="15"/>
  <c r="J6125" i="15"/>
  <c r="H6126" i="15"/>
  <c r="I6126" i="15"/>
  <c r="J6126" i="15"/>
  <c r="H6127" i="15"/>
  <c r="I6127" i="15"/>
  <c r="J6127" i="15"/>
  <c r="H6128" i="15"/>
  <c r="I6128" i="15"/>
  <c r="J6128" i="15"/>
  <c r="H6129" i="15"/>
  <c r="I6129" i="15"/>
  <c r="J6129" i="15"/>
  <c r="H6130" i="15"/>
  <c r="I6130" i="15"/>
  <c r="J6130" i="15"/>
  <c r="H6131" i="15"/>
  <c r="I6131" i="15"/>
  <c r="J6131" i="15"/>
  <c r="H6132" i="15"/>
  <c r="I6132" i="15"/>
  <c r="J6132" i="15"/>
  <c r="H6133" i="15"/>
  <c r="I6133" i="15"/>
  <c r="J6133" i="15"/>
  <c r="H6134" i="15"/>
  <c r="I6134" i="15"/>
  <c r="J6134" i="15"/>
  <c r="H6135" i="15"/>
  <c r="I6135" i="15"/>
  <c r="J6135" i="15"/>
  <c r="H6136" i="15"/>
  <c r="I6136" i="15"/>
  <c r="J6136" i="15"/>
  <c r="H6137" i="15"/>
  <c r="I6137" i="15"/>
  <c r="J6137" i="15"/>
  <c r="H6138" i="15"/>
  <c r="I6138" i="15"/>
  <c r="J6138" i="15"/>
  <c r="H6139" i="15"/>
  <c r="I6139" i="15"/>
  <c r="J6139" i="15"/>
  <c r="H6140" i="15"/>
  <c r="I6140" i="15"/>
  <c r="J6140" i="15"/>
  <c r="H6141" i="15"/>
  <c r="I6141" i="15"/>
  <c r="J6141" i="15"/>
  <c r="H6142" i="15"/>
  <c r="I6142" i="15"/>
  <c r="J6142" i="15"/>
  <c r="H6143" i="15"/>
  <c r="I6143" i="15"/>
  <c r="J6143" i="15"/>
  <c r="H6144" i="15"/>
  <c r="I6144" i="15"/>
  <c r="J6144" i="15"/>
  <c r="H6145" i="15"/>
  <c r="I6145" i="15"/>
  <c r="J6145" i="15"/>
  <c r="H6146" i="15"/>
  <c r="I6146" i="15"/>
  <c r="J6146" i="15"/>
  <c r="H6147" i="15"/>
  <c r="I6147" i="15"/>
  <c r="J6147" i="15"/>
  <c r="H6148" i="15"/>
  <c r="I6148" i="15"/>
  <c r="J6148" i="15"/>
  <c r="H6149" i="15"/>
  <c r="I6149" i="15"/>
  <c r="J6149" i="15"/>
  <c r="H6150" i="15"/>
  <c r="I6150" i="15"/>
  <c r="J6150" i="15"/>
  <c r="H6151" i="15"/>
  <c r="I6151" i="15"/>
  <c r="J6151" i="15"/>
  <c r="H6152" i="15"/>
  <c r="I6152" i="15"/>
  <c r="J6152" i="15"/>
  <c r="H6153" i="15"/>
  <c r="I6153" i="15"/>
  <c r="J6153" i="15"/>
  <c r="H6154" i="15"/>
  <c r="I6154" i="15"/>
  <c r="J6154" i="15"/>
  <c r="H6155" i="15"/>
  <c r="I6155" i="15"/>
  <c r="J6155" i="15"/>
  <c r="H6156" i="15"/>
  <c r="I6156" i="15"/>
  <c r="J6156" i="15"/>
  <c r="H6157" i="15"/>
  <c r="I6157" i="15"/>
  <c r="J6157" i="15"/>
  <c r="H6158" i="15"/>
  <c r="I6158" i="15"/>
  <c r="J6158" i="15"/>
  <c r="H6159" i="15"/>
  <c r="I6159" i="15"/>
  <c r="J6159" i="15"/>
  <c r="H6160" i="15"/>
  <c r="I6160" i="15"/>
  <c r="J6160" i="15"/>
  <c r="H6161" i="15"/>
  <c r="I6161" i="15"/>
  <c r="J6161" i="15"/>
  <c r="H6162" i="15"/>
  <c r="I6162" i="15"/>
  <c r="J6162" i="15"/>
  <c r="H6163" i="15"/>
  <c r="I6163" i="15"/>
  <c r="J6163" i="15"/>
  <c r="H6164" i="15"/>
  <c r="I6164" i="15"/>
  <c r="J6164" i="15"/>
  <c r="H6165" i="15"/>
  <c r="I6165" i="15"/>
  <c r="J6165" i="15"/>
  <c r="H6166" i="15"/>
  <c r="I6166" i="15"/>
  <c r="J6166" i="15"/>
  <c r="H6167" i="15"/>
  <c r="I6167" i="15"/>
  <c r="J6167" i="15"/>
  <c r="H6168" i="15"/>
  <c r="I6168" i="15"/>
  <c r="J6168" i="15"/>
  <c r="H6169" i="15"/>
  <c r="I6169" i="15"/>
  <c r="J6169" i="15"/>
  <c r="H6170" i="15"/>
  <c r="I6170" i="15"/>
  <c r="J6170" i="15"/>
  <c r="H6171" i="15"/>
  <c r="I6171" i="15"/>
  <c r="J6171" i="15"/>
  <c r="H6172" i="15"/>
  <c r="I6172" i="15"/>
  <c r="J6172" i="15"/>
  <c r="H6173" i="15"/>
  <c r="I6173" i="15"/>
  <c r="J6173" i="15"/>
  <c r="H6174" i="15"/>
  <c r="I6174" i="15"/>
  <c r="J6174" i="15"/>
  <c r="H6175" i="15"/>
  <c r="I6175" i="15"/>
  <c r="J6175" i="15"/>
  <c r="H6176" i="15"/>
  <c r="I6176" i="15"/>
  <c r="J6176" i="15"/>
  <c r="H6177" i="15"/>
  <c r="I6177" i="15"/>
  <c r="J6177" i="15"/>
  <c r="H6178" i="15"/>
  <c r="I6178" i="15"/>
  <c r="J6178" i="15"/>
  <c r="H6179" i="15"/>
  <c r="I6179" i="15"/>
  <c r="J6179" i="15"/>
  <c r="H6180" i="15"/>
  <c r="I6180" i="15"/>
  <c r="J6180" i="15"/>
  <c r="H6181" i="15"/>
  <c r="I6181" i="15"/>
  <c r="J6181" i="15"/>
  <c r="H6182" i="15"/>
  <c r="I6182" i="15"/>
  <c r="J6182" i="15"/>
  <c r="H6183" i="15"/>
  <c r="I6183" i="15"/>
  <c r="J6183" i="15"/>
  <c r="H6184" i="15"/>
  <c r="I6184" i="15"/>
  <c r="J6184" i="15"/>
  <c r="H6185" i="15"/>
  <c r="I6185" i="15"/>
  <c r="J6185" i="15"/>
  <c r="H6186" i="15"/>
  <c r="I6186" i="15"/>
  <c r="J6186" i="15"/>
  <c r="H6187" i="15"/>
  <c r="I6187" i="15"/>
  <c r="J6187" i="15"/>
  <c r="H6188" i="15"/>
  <c r="I6188" i="15"/>
  <c r="J6188" i="15"/>
  <c r="H6189" i="15"/>
  <c r="I6189" i="15"/>
  <c r="J6189" i="15"/>
  <c r="H6190" i="15"/>
  <c r="I6190" i="15"/>
  <c r="J6190" i="15"/>
  <c r="H6191" i="15"/>
  <c r="I6191" i="15"/>
  <c r="J6191" i="15"/>
  <c r="H6192" i="15"/>
  <c r="I6192" i="15"/>
  <c r="J6192" i="15"/>
  <c r="H6193" i="15"/>
  <c r="I6193" i="15"/>
  <c r="J6193" i="15"/>
  <c r="H6194" i="15"/>
  <c r="I6194" i="15"/>
  <c r="J6194" i="15"/>
  <c r="H6195" i="15"/>
  <c r="I6195" i="15"/>
  <c r="J6195" i="15"/>
  <c r="H6196" i="15"/>
  <c r="I6196" i="15"/>
  <c r="J6196" i="15"/>
  <c r="H6197" i="15"/>
  <c r="I6197" i="15"/>
  <c r="J6197" i="15"/>
  <c r="H6198" i="15"/>
  <c r="I6198" i="15"/>
  <c r="J6198" i="15"/>
  <c r="H6199" i="15"/>
  <c r="I6199" i="15"/>
  <c r="J6199" i="15"/>
  <c r="H6200" i="15"/>
  <c r="I6200" i="15"/>
  <c r="J6200" i="15"/>
  <c r="H6201" i="15"/>
  <c r="I6201" i="15"/>
  <c r="J6201" i="15"/>
  <c r="H6202" i="15"/>
  <c r="I6202" i="15"/>
  <c r="J6202" i="15"/>
  <c r="H6203" i="15"/>
  <c r="I6203" i="15"/>
  <c r="J6203" i="15"/>
  <c r="H6204" i="15"/>
  <c r="I6204" i="15"/>
  <c r="J6204" i="15"/>
  <c r="H6205" i="15"/>
  <c r="I6205" i="15"/>
  <c r="J6205" i="15"/>
  <c r="H6206" i="15"/>
  <c r="I6206" i="15"/>
  <c r="J6206" i="15"/>
  <c r="H6207" i="15"/>
  <c r="I6207" i="15"/>
  <c r="J6207" i="15"/>
  <c r="H6208" i="15"/>
  <c r="I6208" i="15"/>
  <c r="J6208" i="15"/>
  <c r="H6209" i="15"/>
  <c r="I6209" i="15"/>
  <c r="J6209" i="15"/>
  <c r="H6210" i="15"/>
  <c r="I6210" i="15"/>
  <c r="J6210" i="15"/>
  <c r="H6211" i="15"/>
  <c r="I6211" i="15"/>
  <c r="J6211" i="15"/>
  <c r="H6212" i="15"/>
  <c r="I6212" i="15"/>
  <c r="J6212" i="15"/>
  <c r="H6213" i="15"/>
  <c r="I6213" i="15"/>
  <c r="J6213" i="15"/>
  <c r="H6214" i="15"/>
  <c r="I6214" i="15"/>
  <c r="J6214" i="15"/>
  <c r="H6215" i="15"/>
  <c r="I6215" i="15"/>
  <c r="J6215" i="15"/>
  <c r="H6216" i="15"/>
  <c r="I6216" i="15"/>
  <c r="J6216" i="15"/>
  <c r="H6217" i="15"/>
  <c r="I6217" i="15"/>
  <c r="J6217" i="15"/>
  <c r="H6218" i="15"/>
  <c r="I6218" i="15"/>
  <c r="J6218" i="15"/>
  <c r="H6219" i="15"/>
  <c r="I6219" i="15"/>
  <c r="J6219" i="15"/>
  <c r="H6220" i="15"/>
  <c r="I6220" i="15"/>
  <c r="J6220" i="15"/>
  <c r="H6221" i="15"/>
  <c r="I6221" i="15"/>
  <c r="J6221" i="15"/>
  <c r="H6222" i="15"/>
  <c r="I6222" i="15"/>
  <c r="J6222" i="15"/>
  <c r="H6223" i="15"/>
  <c r="I6223" i="15"/>
  <c r="J6223" i="15"/>
  <c r="H6224" i="15"/>
  <c r="I6224" i="15"/>
  <c r="J6224" i="15"/>
  <c r="H6225" i="15"/>
  <c r="I6225" i="15"/>
  <c r="J6225" i="15"/>
  <c r="H6226" i="15"/>
  <c r="I6226" i="15"/>
  <c r="J6226" i="15"/>
  <c r="H6227" i="15"/>
  <c r="I6227" i="15"/>
  <c r="J6227" i="15"/>
  <c r="H6228" i="15"/>
  <c r="I6228" i="15"/>
  <c r="J6228" i="15"/>
  <c r="H6229" i="15"/>
  <c r="I6229" i="15"/>
  <c r="J6229" i="15"/>
  <c r="H6230" i="15"/>
  <c r="I6230" i="15"/>
  <c r="J6230" i="15"/>
  <c r="H6231" i="15"/>
  <c r="I6231" i="15"/>
  <c r="J6231" i="15"/>
  <c r="H6232" i="15"/>
  <c r="I6232" i="15"/>
  <c r="J6232" i="15"/>
  <c r="H6233" i="15"/>
  <c r="I6233" i="15"/>
  <c r="J6233" i="15"/>
  <c r="H6234" i="15"/>
  <c r="I6234" i="15"/>
  <c r="J6234" i="15"/>
  <c r="H6235" i="15"/>
  <c r="I6235" i="15"/>
  <c r="J6235" i="15"/>
  <c r="H6236" i="15"/>
  <c r="I6236" i="15"/>
  <c r="J6236" i="15"/>
  <c r="H6237" i="15"/>
  <c r="I6237" i="15"/>
  <c r="J6237" i="15"/>
  <c r="H6238" i="15"/>
  <c r="I6238" i="15"/>
  <c r="J6238" i="15"/>
  <c r="H6239" i="15"/>
  <c r="I6239" i="15"/>
  <c r="J6239" i="15"/>
  <c r="H6240" i="15"/>
  <c r="I6240" i="15"/>
  <c r="J6240" i="15"/>
  <c r="H6241" i="15"/>
  <c r="I6241" i="15"/>
  <c r="J6241" i="15"/>
  <c r="H6242" i="15"/>
  <c r="I6242" i="15"/>
  <c r="J6242" i="15"/>
  <c r="H6243" i="15"/>
  <c r="I6243" i="15"/>
  <c r="J6243" i="15"/>
  <c r="H6244" i="15"/>
  <c r="I6244" i="15"/>
  <c r="J6244" i="15"/>
  <c r="H6245" i="15"/>
  <c r="I6245" i="15"/>
  <c r="J6245" i="15"/>
  <c r="H6246" i="15"/>
  <c r="I6246" i="15"/>
  <c r="J6246" i="15"/>
  <c r="H6247" i="15"/>
  <c r="I6247" i="15"/>
  <c r="J6247" i="15"/>
  <c r="H6248" i="15"/>
  <c r="I6248" i="15"/>
  <c r="J6248" i="15"/>
  <c r="H6249" i="15"/>
  <c r="I6249" i="15"/>
  <c r="J6249" i="15"/>
  <c r="H6250" i="15"/>
  <c r="I6250" i="15"/>
  <c r="J6250" i="15"/>
  <c r="H6251" i="15"/>
  <c r="I6251" i="15"/>
  <c r="J6251" i="15"/>
  <c r="H6252" i="15"/>
  <c r="I6252" i="15"/>
  <c r="J6252" i="15"/>
  <c r="H6253" i="15"/>
  <c r="I6253" i="15"/>
  <c r="J6253" i="15"/>
  <c r="H6254" i="15"/>
  <c r="I6254" i="15"/>
  <c r="J6254" i="15"/>
  <c r="H6255" i="15"/>
  <c r="I6255" i="15"/>
  <c r="J6255" i="15"/>
  <c r="H6256" i="15"/>
  <c r="I6256" i="15"/>
  <c r="J6256" i="15"/>
  <c r="H6257" i="15"/>
  <c r="I6257" i="15"/>
  <c r="J6257" i="15"/>
  <c r="H6258" i="15"/>
  <c r="I6258" i="15"/>
  <c r="J6258" i="15"/>
  <c r="H6259" i="15"/>
  <c r="I6259" i="15"/>
  <c r="J6259" i="15"/>
  <c r="H6260" i="15"/>
  <c r="I6260" i="15"/>
  <c r="J6260" i="15"/>
  <c r="H6261" i="15"/>
  <c r="I6261" i="15"/>
  <c r="J6261" i="15"/>
  <c r="H6262" i="15"/>
  <c r="I6262" i="15"/>
  <c r="J6262" i="15"/>
  <c r="H6263" i="15"/>
  <c r="I6263" i="15"/>
  <c r="J6263" i="15"/>
  <c r="H6264" i="15"/>
  <c r="I6264" i="15"/>
  <c r="J6264" i="15"/>
  <c r="H6265" i="15"/>
  <c r="I6265" i="15"/>
  <c r="J6265" i="15"/>
  <c r="H6266" i="15"/>
  <c r="I6266" i="15"/>
  <c r="J6266" i="15"/>
  <c r="H6267" i="15"/>
  <c r="I6267" i="15"/>
  <c r="J6267" i="15"/>
  <c r="H6268" i="15"/>
  <c r="I6268" i="15"/>
  <c r="J6268" i="15"/>
  <c r="H6269" i="15"/>
  <c r="I6269" i="15"/>
  <c r="J6269" i="15"/>
  <c r="H6270" i="15"/>
  <c r="I6270" i="15"/>
  <c r="J6270" i="15"/>
  <c r="H6271" i="15"/>
  <c r="I6271" i="15"/>
  <c r="J6271" i="15"/>
  <c r="H6272" i="15"/>
  <c r="I6272" i="15"/>
  <c r="J6272" i="15"/>
  <c r="H6273" i="15"/>
  <c r="I6273" i="15"/>
  <c r="J6273" i="15"/>
  <c r="H6274" i="15"/>
  <c r="I6274" i="15"/>
  <c r="J6274" i="15"/>
  <c r="H6275" i="15"/>
  <c r="I6275" i="15"/>
  <c r="J6275" i="15"/>
  <c r="H6276" i="15"/>
  <c r="I6276" i="15"/>
  <c r="J6276" i="15"/>
  <c r="H6277" i="15"/>
  <c r="I6277" i="15"/>
  <c r="J6277" i="15"/>
  <c r="H6278" i="15"/>
  <c r="I6278" i="15"/>
  <c r="J6278" i="15"/>
  <c r="H6279" i="15"/>
  <c r="I6279" i="15"/>
  <c r="J6279" i="15"/>
  <c r="H6280" i="15"/>
  <c r="I6280" i="15"/>
  <c r="J6280" i="15"/>
  <c r="H6281" i="15"/>
  <c r="I6281" i="15"/>
  <c r="J6281" i="15"/>
  <c r="H6282" i="15"/>
  <c r="I6282" i="15"/>
  <c r="J6282" i="15"/>
  <c r="H6283" i="15"/>
  <c r="I6283" i="15"/>
  <c r="J6283" i="15"/>
  <c r="H6284" i="15"/>
  <c r="I6284" i="15"/>
  <c r="J6284" i="15"/>
  <c r="H6285" i="15"/>
  <c r="I6285" i="15"/>
  <c r="J6285" i="15"/>
  <c r="H6286" i="15"/>
  <c r="I6286" i="15"/>
  <c r="J6286" i="15"/>
  <c r="H6287" i="15"/>
  <c r="I6287" i="15"/>
  <c r="J6287" i="15"/>
  <c r="H6288" i="15"/>
  <c r="I6288" i="15"/>
  <c r="J6288" i="15"/>
  <c r="H6289" i="15"/>
  <c r="I6289" i="15"/>
  <c r="J6289" i="15"/>
  <c r="H6290" i="15"/>
  <c r="I6290" i="15"/>
  <c r="J6290" i="15"/>
  <c r="H6291" i="15"/>
  <c r="I6291" i="15"/>
  <c r="J6291" i="15"/>
  <c r="H6292" i="15"/>
  <c r="I6292" i="15"/>
  <c r="J6292" i="15"/>
  <c r="H6293" i="15"/>
  <c r="I6293" i="15"/>
  <c r="J6293" i="15"/>
  <c r="H6294" i="15"/>
  <c r="I6294" i="15"/>
  <c r="J6294" i="15"/>
  <c r="H6295" i="15"/>
  <c r="I6295" i="15"/>
  <c r="J6295" i="15"/>
  <c r="H6296" i="15"/>
  <c r="I6296" i="15"/>
  <c r="J6296" i="15"/>
  <c r="H6297" i="15"/>
  <c r="I6297" i="15"/>
  <c r="J6297" i="15"/>
  <c r="H6298" i="15"/>
  <c r="I6298" i="15"/>
  <c r="J6298" i="15"/>
  <c r="H6299" i="15"/>
  <c r="I6299" i="15"/>
  <c r="J6299" i="15"/>
  <c r="H6300" i="15"/>
  <c r="I6300" i="15"/>
  <c r="J6300" i="15"/>
  <c r="H6301" i="15"/>
  <c r="I6301" i="15"/>
  <c r="J6301" i="15"/>
  <c r="H6302" i="15"/>
  <c r="I6302" i="15"/>
  <c r="J6302" i="15"/>
  <c r="H6303" i="15"/>
  <c r="I6303" i="15"/>
  <c r="J6303" i="15"/>
  <c r="H6304" i="15"/>
  <c r="I6304" i="15"/>
  <c r="J6304" i="15"/>
  <c r="H6305" i="15"/>
  <c r="I6305" i="15"/>
  <c r="J6305" i="15"/>
  <c r="H6306" i="15"/>
  <c r="I6306" i="15"/>
  <c r="J6306" i="15"/>
  <c r="H6307" i="15"/>
  <c r="I6307" i="15"/>
  <c r="J6307" i="15"/>
  <c r="H6308" i="15"/>
  <c r="I6308" i="15"/>
  <c r="J6308" i="15"/>
  <c r="H6309" i="15"/>
  <c r="I6309" i="15"/>
  <c r="J6309" i="15"/>
  <c r="H6310" i="15"/>
  <c r="I6310" i="15"/>
  <c r="J6310" i="15"/>
  <c r="H6311" i="15"/>
  <c r="I6311" i="15"/>
  <c r="J6311" i="15"/>
  <c r="H6312" i="15"/>
  <c r="I6312" i="15"/>
  <c r="J6312" i="15"/>
  <c r="H6313" i="15"/>
  <c r="I6313" i="15"/>
  <c r="J6313" i="15"/>
  <c r="H6314" i="15"/>
  <c r="I6314" i="15"/>
  <c r="J6314" i="15"/>
  <c r="H6315" i="15"/>
  <c r="I6315" i="15"/>
  <c r="J6315" i="15"/>
  <c r="H6316" i="15"/>
  <c r="I6316" i="15"/>
  <c r="J6316" i="15"/>
  <c r="H6317" i="15"/>
  <c r="I6317" i="15"/>
  <c r="J6317" i="15"/>
  <c r="H6318" i="15"/>
  <c r="I6318" i="15"/>
  <c r="J6318" i="15"/>
  <c r="H6319" i="15"/>
  <c r="I6319" i="15"/>
  <c r="J6319" i="15"/>
  <c r="H6320" i="15"/>
  <c r="I6320" i="15"/>
  <c r="J6320" i="15"/>
  <c r="H6321" i="15"/>
  <c r="I6321" i="15"/>
  <c r="J6321" i="15"/>
  <c r="H6322" i="15"/>
  <c r="I6322" i="15"/>
  <c r="J6322" i="15"/>
  <c r="H6323" i="15"/>
  <c r="I6323" i="15"/>
  <c r="J6323" i="15"/>
  <c r="H6324" i="15"/>
  <c r="I6324" i="15"/>
  <c r="J6324" i="15"/>
  <c r="H6325" i="15"/>
  <c r="I6325" i="15"/>
  <c r="J6325" i="15"/>
  <c r="H6326" i="15"/>
  <c r="I6326" i="15"/>
  <c r="J6326" i="15"/>
  <c r="H6327" i="15"/>
  <c r="I6327" i="15"/>
  <c r="J6327" i="15"/>
  <c r="H6328" i="15"/>
  <c r="I6328" i="15"/>
  <c r="J6328" i="15"/>
  <c r="H6329" i="15"/>
  <c r="I6329" i="15"/>
  <c r="J6329" i="15"/>
  <c r="H6330" i="15"/>
  <c r="I6330" i="15"/>
  <c r="J6330" i="15"/>
  <c r="H6331" i="15"/>
  <c r="I6331" i="15"/>
  <c r="J6331" i="15"/>
  <c r="H6332" i="15"/>
  <c r="I6332" i="15"/>
  <c r="J6332" i="15"/>
  <c r="H6333" i="15"/>
  <c r="I6333" i="15"/>
  <c r="J6333" i="15"/>
  <c r="H6334" i="15"/>
  <c r="I6334" i="15"/>
  <c r="J6334" i="15"/>
  <c r="H6335" i="15"/>
  <c r="I6335" i="15"/>
  <c r="J6335" i="15"/>
  <c r="H6336" i="15"/>
  <c r="I6336" i="15"/>
  <c r="J6336" i="15"/>
  <c r="H6337" i="15"/>
  <c r="I6337" i="15"/>
  <c r="J6337" i="15"/>
  <c r="H6338" i="15"/>
  <c r="I6338" i="15"/>
  <c r="J6338" i="15"/>
  <c r="H6339" i="15"/>
  <c r="I6339" i="15"/>
  <c r="J6339" i="15"/>
  <c r="H6340" i="15"/>
  <c r="I6340" i="15"/>
  <c r="J6340" i="15"/>
  <c r="H6341" i="15"/>
  <c r="I6341" i="15"/>
  <c r="J6341" i="15"/>
  <c r="H6342" i="15"/>
  <c r="I6342" i="15"/>
  <c r="J6342" i="15"/>
  <c r="H6343" i="15"/>
  <c r="I6343" i="15"/>
  <c r="J6343" i="15"/>
  <c r="H6344" i="15"/>
  <c r="I6344" i="15"/>
  <c r="J6344" i="15"/>
  <c r="H6345" i="15"/>
  <c r="I6345" i="15"/>
  <c r="J6345" i="15"/>
  <c r="H6346" i="15"/>
  <c r="I6346" i="15"/>
  <c r="J6346" i="15"/>
  <c r="H6347" i="15"/>
  <c r="I6347" i="15"/>
  <c r="J6347" i="15"/>
  <c r="H6348" i="15"/>
  <c r="I6348" i="15"/>
  <c r="J6348" i="15"/>
  <c r="H6349" i="15"/>
  <c r="I6349" i="15"/>
  <c r="J6349" i="15"/>
  <c r="H6350" i="15"/>
  <c r="I6350" i="15"/>
  <c r="J6350" i="15"/>
  <c r="H6351" i="15"/>
  <c r="I6351" i="15"/>
  <c r="J6351" i="15"/>
  <c r="H6352" i="15"/>
  <c r="I6352" i="15"/>
  <c r="J6352" i="15"/>
  <c r="H6353" i="15"/>
  <c r="I6353" i="15"/>
  <c r="J6353" i="15"/>
  <c r="H6354" i="15"/>
  <c r="I6354" i="15"/>
  <c r="J6354" i="15"/>
  <c r="H6355" i="15"/>
  <c r="I6355" i="15"/>
  <c r="J6355" i="15"/>
  <c r="H6356" i="15"/>
  <c r="I6356" i="15"/>
  <c r="J6356" i="15"/>
  <c r="H6357" i="15"/>
  <c r="I6357" i="15"/>
  <c r="J6357" i="15"/>
  <c r="H6358" i="15"/>
  <c r="I6358" i="15"/>
  <c r="J6358" i="15"/>
  <c r="H6359" i="15"/>
  <c r="I6359" i="15"/>
  <c r="J6359" i="15"/>
  <c r="H6360" i="15"/>
  <c r="I6360" i="15"/>
  <c r="J6360" i="15"/>
  <c r="H6361" i="15"/>
  <c r="I6361" i="15"/>
  <c r="J6361" i="15"/>
  <c r="H6362" i="15"/>
  <c r="I6362" i="15"/>
  <c r="J6362" i="15"/>
  <c r="H6363" i="15"/>
  <c r="I6363" i="15"/>
  <c r="J6363" i="15"/>
  <c r="H6364" i="15"/>
  <c r="I6364" i="15"/>
  <c r="J6364" i="15"/>
  <c r="H6365" i="15"/>
  <c r="I6365" i="15"/>
  <c r="J6365" i="15"/>
  <c r="H6366" i="15"/>
  <c r="I6366" i="15"/>
  <c r="J6366" i="15"/>
  <c r="H6367" i="15"/>
  <c r="I6367" i="15"/>
  <c r="J6367" i="15"/>
  <c r="H6368" i="15"/>
  <c r="I6368" i="15"/>
  <c r="J6368" i="15"/>
  <c r="H6369" i="15"/>
  <c r="I6369" i="15"/>
  <c r="J6369" i="15"/>
  <c r="H6370" i="15"/>
  <c r="I6370" i="15"/>
  <c r="J6370" i="15"/>
  <c r="H6371" i="15"/>
  <c r="I6371" i="15"/>
  <c r="J6371" i="15"/>
  <c r="H6372" i="15"/>
  <c r="I6372" i="15"/>
  <c r="J6372" i="15"/>
  <c r="H6373" i="15"/>
  <c r="I6373" i="15"/>
  <c r="J6373" i="15"/>
  <c r="H6374" i="15"/>
  <c r="I6374" i="15"/>
  <c r="J6374" i="15"/>
  <c r="H6375" i="15"/>
  <c r="I6375" i="15"/>
  <c r="J6375" i="15"/>
  <c r="H6376" i="15"/>
  <c r="I6376" i="15"/>
  <c r="J6376" i="15"/>
  <c r="H6377" i="15"/>
  <c r="I6377" i="15"/>
  <c r="J6377" i="15"/>
  <c r="H6378" i="15"/>
  <c r="I6378" i="15"/>
  <c r="J6378" i="15"/>
  <c r="H6379" i="15"/>
  <c r="I6379" i="15"/>
  <c r="J6379" i="15"/>
  <c r="H6380" i="15"/>
  <c r="I6380" i="15"/>
  <c r="J6380" i="15"/>
  <c r="H6381" i="15"/>
  <c r="I6381" i="15"/>
  <c r="J6381" i="15"/>
  <c r="H6382" i="15"/>
  <c r="I6382" i="15"/>
  <c r="J6382" i="15"/>
  <c r="H6383" i="15"/>
  <c r="I6383" i="15"/>
  <c r="J6383" i="15"/>
  <c r="H6384" i="15"/>
  <c r="I6384" i="15"/>
  <c r="J6384" i="15"/>
  <c r="H6385" i="15"/>
  <c r="I6385" i="15"/>
  <c r="J6385" i="15"/>
  <c r="H6386" i="15"/>
  <c r="I6386" i="15"/>
  <c r="J6386" i="15"/>
  <c r="H6387" i="15"/>
  <c r="I6387" i="15"/>
  <c r="J6387" i="15"/>
  <c r="H6388" i="15"/>
  <c r="I6388" i="15"/>
  <c r="J6388" i="15"/>
  <c r="H6389" i="15"/>
  <c r="I6389" i="15"/>
  <c r="J6389" i="15"/>
  <c r="H6390" i="15"/>
  <c r="I6390" i="15"/>
  <c r="J6390" i="15"/>
  <c r="H6391" i="15"/>
  <c r="I6391" i="15"/>
  <c r="J6391" i="15"/>
  <c r="H6392" i="15"/>
  <c r="I6392" i="15"/>
  <c r="J6392" i="15"/>
  <c r="H6393" i="15"/>
  <c r="I6393" i="15"/>
  <c r="J6393" i="15"/>
  <c r="H6394" i="15"/>
  <c r="I6394" i="15"/>
  <c r="J6394" i="15"/>
  <c r="H6395" i="15"/>
  <c r="I6395" i="15"/>
  <c r="J6395" i="15"/>
  <c r="H6396" i="15"/>
  <c r="I6396" i="15"/>
  <c r="J6396" i="15"/>
  <c r="H6397" i="15"/>
  <c r="I6397" i="15"/>
  <c r="J6397" i="15"/>
  <c r="H6398" i="15"/>
  <c r="I6398" i="15"/>
  <c r="J6398" i="15"/>
  <c r="H6399" i="15"/>
  <c r="I6399" i="15"/>
  <c r="J6399" i="15"/>
  <c r="H6400" i="15"/>
  <c r="I6400" i="15"/>
  <c r="J6400" i="15"/>
  <c r="H6401" i="15"/>
  <c r="I6401" i="15"/>
  <c r="J6401" i="15"/>
  <c r="H6402" i="15"/>
  <c r="I6402" i="15"/>
  <c r="J6402" i="15"/>
  <c r="H6403" i="15"/>
  <c r="I6403" i="15"/>
  <c r="J6403" i="15"/>
  <c r="H6404" i="15"/>
  <c r="I6404" i="15"/>
  <c r="J6404" i="15"/>
  <c r="H6405" i="15"/>
  <c r="I6405" i="15"/>
  <c r="J6405" i="15"/>
  <c r="H6406" i="15"/>
  <c r="I6406" i="15"/>
  <c r="J6406" i="15"/>
  <c r="H6407" i="15"/>
  <c r="I6407" i="15"/>
  <c r="J6407" i="15"/>
  <c r="H6408" i="15"/>
  <c r="I6408" i="15"/>
  <c r="J6408" i="15"/>
  <c r="H6409" i="15"/>
  <c r="I6409" i="15"/>
  <c r="J6409" i="15"/>
  <c r="H6410" i="15"/>
  <c r="I6410" i="15"/>
  <c r="J6410" i="15"/>
  <c r="H6411" i="15"/>
  <c r="I6411" i="15"/>
  <c r="J6411" i="15"/>
  <c r="H6412" i="15"/>
  <c r="I6412" i="15"/>
  <c r="J6412" i="15"/>
  <c r="H6413" i="15"/>
  <c r="I6413" i="15"/>
  <c r="J6413" i="15"/>
  <c r="H6414" i="15"/>
  <c r="I6414" i="15"/>
  <c r="J6414" i="15"/>
  <c r="H6415" i="15"/>
  <c r="I6415" i="15"/>
  <c r="J6415" i="15"/>
  <c r="H6416" i="15"/>
  <c r="I6416" i="15"/>
  <c r="J6416" i="15"/>
  <c r="H6417" i="15"/>
  <c r="I6417" i="15"/>
  <c r="J6417" i="15"/>
  <c r="H6418" i="15"/>
  <c r="I6418" i="15"/>
  <c r="J6418" i="15"/>
  <c r="H6419" i="15"/>
  <c r="I6419" i="15"/>
  <c r="J6419" i="15"/>
  <c r="H6420" i="15"/>
  <c r="I6420" i="15"/>
  <c r="J6420" i="15"/>
  <c r="H6421" i="15"/>
  <c r="I6421" i="15"/>
  <c r="J6421" i="15"/>
  <c r="H6422" i="15"/>
  <c r="I6422" i="15"/>
  <c r="J6422" i="15"/>
  <c r="H6423" i="15"/>
  <c r="I6423" i="15"/>
  <c r="J6423" i="15"/>
  <c r="H6424" i="15"/>
  <c r="I6424" i="15"/>
  <c r="J6424" i="15"/>
  <c r="H6425" i="15"/>
  <c r="I6425" i="15"/>
  <c r="J6425" i="15"/>
  <c r="H6426" i="15"/>
  <c r="I6426" i="15"/>
  <c r="J6426" i="15"/>
  <c r="H6427" i="15"/>
  <c r="I6427" i="15"/>
  <c r="J6427" i="15"/>
  <c r="H6428" i="15"/>
  <c r="I6428" i="15"/>
  <c r="J6428" i="15"/>
  <c r="H6429" i="15"/>
  <c r="I6429" i="15"/>
  <c r="J6429" i="15"/>
  <c r="H6430" i="15"/>
  <c r="I6430" i="15"/>
  <c r="J6430" i="15"/>
  <c r="H6431" i="15"/>
  <c r="I6431" i="15"/>
  <c r="J6431" i="15"/>
  <c r="H6432" i="15"/>
  <c r="I6432" i="15"/>
  <c r="J6432" i="15"/>
  <c r="H6433" i="15"/>
  <c r="I6433" i="15"/>
  <c r="J6433" i="15"/>
  <c r="H6434" i="15"/>
  <c r="I6434" i="15"/>
  <c r="J6434" i="15"/>
  <c r="H6435" i="15"/>
  <c r="I6435" i="15"/>
  <c r="J6435" i="15"/>
  <c r="H6436" i="15"/>
  <c r="I6436" i="15"/>
  <c r="J6436" i="15"/>
  <c r="H6437" i="15"/>
  <c r="I6437" i="15"/>
  <c r="J6437" i="15"/>
  <c r="H6438" i="15"/>
  <c r="I6438" i="15"/>
  <c r="J6438" i="15"/>
  <c r="H6439" i="15"/>
  <c r="I6439" i="15"/>
  <c r="J6439" i="15"/>
  <c r="H6440" i="15"/>
  <c r="I6440" i="15"/>
  <c r="J6440" i="15"/>
  <c r="H6441" i="15"/>
  <c r="I6441" i="15"/>
  <c r="J6441" i="15"/>
  <c r="H6442" i="15"/>
  <c r="I6442" i="15"/>
  <c r="J6442" i="15"/>
  <c r="H6443" i="15"/>
  <c r="I6443" i="15"/>
  <c r="J6443" i="15"/>
  <c r="H6444" i="15"/>
  <c r="I6444" i="15"/>
  <c r="J6444" i="15"/>
  <c r="H6445" i="15"/>
  <c r="I6445" i="15"/>
  <c r="J6445" i="15"/>
  <c r="H6446" i="15"/>
  <c r="I6446" i="15"/>
  <c r="J6446" i="15"/>
  <c r="H6447" i="15"/>
  <c r="I6447" i="15"/>
  <c r="J6447" i="15"/>
  <c r="H6448" i="15"/>
  <c r="I6448" i="15"/>
  <c r="J6448" i="15"/>
  <c r="H6449" i="15"/>
  <c r="I6449" i="15"/>
  <c r="J6449" i="15"/>
  <c r="H6450" i="15"/>
  <c r="I6450" i="15"/>
  <c r="J6450" i="15"/>
  <c r="H6451" i="15"/>
  <c r="I6451" i="15"/>
  <c r="J6451" i="15"/>
  <c r="H6452" i="15"/>
  <c r="I6452" i="15"/>
  <c r="J6452" i="15"/>
  <c r="H6453" i="15"/>
  <c r="I6453" i="15"/>
  <c r="J6453" i="15"/>
  <c r="H6454" i="15"/>
  <c r="I6454" i="15"/>
  <c r="J6454" i="15"/>
  <c r="H6455" i="15"/>
  <c r="I6455" i="15"/>
  <c r="J6455" i="15"/>
  <c r="H6456" i="15"/>
  <c r="I6456" i="15"/>
  <c r="J6456" i="15"/>
  <c r="H6457" i="15"/>
  <c r="I6457" i="15"/>
  <c r="J6457" i="15"/>
  <c r="H6458" i="15"/>
  <c r="I6458" i="15"/>
  <c r="J6458" i="15"/>
  <c r="H6459" i="15"/>
  <c r="I6459" i="15"/>
  <c r="J6459" i="15"/>
  <c r="H6460" i="15"/>
  <c r="I6460" i="15"/>
  <c r="J6460" i="15"/>
  <c r="H6461" i="15"/>
  <c r="I6461" i="15"/>
  <c r="J6461" i="15"/>
  <c r="H6462" i="15"/>
  <c r="I6462" i="15"/>
  <c r="J6462" i="15"/>
  <c r="H6463" i="15"/>
  <c r="I6463" i="15"/>
  <c r="J6463" i="15"/>
  <c r="H6464" i="15"/>
  <c r="I6464" i="15"/>
  <c r="J6464" i="15"/>
  <c r="H6465" i="15"/>
  <c r="I6465" i="15"/>
  <c r="J6465" i="15"/>
  <c r="H6466" i="15"/>
  <c r="I6466" i="15"/>
  <c r="J6466" i="15"/>
  <c r="H6467" i="15"/>
  <c r="I6467" i="15"/>
  <c r="J6467" i="15"/>
  <c r="H6468" i="15"/>
  <c r="I6468" i="15"/>
  <c r="J6468" i="15"/>
  <c r="H6469" i="15"/>
  <c r="I6469" i="15"/>
  <c r="J6469" i="15"/>
  <c r="H6470" i="15"/>
  <c r="I6470" i="15"/>
  <c r="J6470" i="15"/>
  <c r="H6471" i="15"/>
  <c r="I6471" i="15"/>
  <c r="J6471" i="15"/>
  <c r="H6472" i="15"/>
  <c r="I6472" i="15"/>
  <c r="J6472" i="15"/>
  <c r="H6473" i="15"/>
  <c r="I6473" i="15"/>
  <c r="J6473" i="15"/>
  <c r="H6474" i="15"/>
  <c r="I6474" i="15"/>
  <c r="J6474" i="15"/>
  <c r="H6475" i="15"/>
  <c r="I6475" i="15"/>
  <c r="J6475" i="15"/>
  <c r="H6476" i="15"/>
  <c r="I6476" i="15"/>
  <c r="J6476" i="15"/>
  <c r="H6477" i="15"/>
  <c r="I6477" i="15"/>
  <c r="J6477" i="15"/>
  <c r="H6478" i="15"/>
  <c r="I6478" i="15"/>
  <c r="J6478" i="15"/>
  <c r="H6479" i="15"/>
  <c r="I6479" i="15"/>
  <c r="J6479" i="15"/>
  <c r="H6480" i="15"/>
  <c r="I6480" i="15"/>
  <c r="J6480" i="15"/>
  <c r="H6481" i="15"/>
  <c r="I6481" i="15"/>
  <c r="J6481" i="15"/>
  <c r="H6482" i="15"/>
  <c r="I6482" i="15"/>
  <c r="J6482" i="15"/>
  <c r="H6483" i="15"/>
  <c r="I6483" i="15"/>
  <c r="J6483" i="15"/>
  <c r="H6484" i="15"/>
  <c r="I6484" i="15"/>
  <c r="J6484" i="15"/>
  <c r="H6485" i="15"/>
  <c r="I6485" i="15"/>
  <c r="J6485" i="15"/>
  <c r="H6486" i="15"/>
  <c r="I6486" i="15"/>
  <c r="J6486" i="15"/>
  <c r="H6487" i="15"/>
  <c r="I6487" i="15"/>
  <c r="J6487" i="15"/>
  <c r="H6488" i="15"/>
  <c r="I6488" i="15"/>
  <c r="J6488" i="15"/>
  <c r="H6489" i="15"/>
  <c r="I6489" i="15"/>
  <c r="J6489" i="15"/>
  <c r="H6490" i="15"/>
  <c r="I6490" i="15"/>
  <c r="J6490" i="15"/>
  <c r="H6491" i="15"/>
  <c r="I6491" i="15"/>
  <c r="J6491" i="15"/>
  <c r="H6492" i="15"/>
  <c r="I6492" i="15"/>
  <c r="J6492" i="15"/>
  <c r="H6493" i="15"/>
  <c r="I6493" i="15"/>
  <c r="J6493" i="15"/>
  <c r="H6494" i="15"/>
  <c r="I6494" i="15"/>
  <c r="J6494" i="15"/>
  <c r="H6495" i="15"/>
  <c r="I6495" i="15"/>
  <c r="J6495" i="15"/>
  <c r="H6496" i="15"/>
  <c r="I6496" i="15"/>
  <c r="J6496" i="15"/>
  <c r="H6497" i="15"/>
  <c r="I6497" i="15"/>
  <c r="J6497" i="15"/>
  <c r="H6498" i="15"/>
  <c r="I6498" i="15"/>
  <c r="J6498" i="15"/>
  <c r="H6499" i="15"/>
  <c r="I6499" i="15"/>
  <c r="J6499" i="15"/>
  <c r="H6500" i="15"/>
  <c r="I6500" i="15"/>
  <c r="J6500" i="15"/>
  <c r="H6501" i="15"/>
  <c r="I6501" i="15"/>
  <c r="J6501" i="15"/>
  <c r="H6502" i="15"/>
  <c r="I6502" i="15"/>
  <c r="J6502" i="15"/>
  <c r="H6503" i="15"/>
  <c r="I6503" i="15"/>
  <c r="J6503" i="15"/>
  <c r="H6504" i="15"/>
  <c r="I6504" i="15"/>
  <c r="J6504" i="15"/>
  <c r="H6505" i="15"/>
  <c r="I6505" i="15"/>
  <c r="J6505" i="15"/>
  <c r="H6506" i="15"/>
  <c r="I6506" i="15"/>
  <c r="J6506" i="15"/>
  <c r="H6507" i="15"/>
  <c r="I6507" i="15"/>
  <c r="J6507" i="15"/>
  <c r="H6508" i="15"/>
  <c r="I6508" i="15"/>
  <c r="J6508" i="15"/>
  <c r="H6509" i="15"/>
  <c r="I6509" i="15"/>
  <c r="J6509" i="15"/>
  <c r="H6510" i="15"/>
  <c r="I6510" i="15"/>
  <c r="J6510" i="15"/>
  <c r="H6511" i="15"/>
  <c r="I6511" i="15"/>
  <c r="J6511" i="15"/>
  <c r="H6512" i="15"/>
  <c r="I6512" i="15"/>
  <c r="J6512" i="15"/>
  <c r="H6513" i="15"/>
  <c r="I6513" i="15"/>
  <c r="J6513" i="15"/>
  <c r="H6514" i="15"/>
  <c r="I6514" i="15"/>
  <c r="J6514" i="15"/>
  <c r="H6515" i="15"/>
  <c r="I6515" i="15"/>
  <c r="J6515" i="15"/>
  <c r="H6516" i="15"/>
  <c r="I6516" i="15"/>
  <c r="J6516" i="15"/>
  <c r="H6517" i="15"/>
  <c r="I6517" i="15"/>
  <c r="J6517" i="15"/>
  <c r="H6518" i="15"/>
  <c r="I6518" i="15"/>
  <c r="J6518" i="15"/>
  <c r="H6519" i="15"/>
  <c r="I6519" i="15"/>
  <c r="J6519" i="15"/>
  <c r="H6520" i="15"/>
  <c r="I6520" i="15"/>
  <c r="J6520" i="15"/>
  <c r="H6521" i="15"/>
  <c r="I6521" i="15"/>
  <c r="J6521" i="15"/>
  <c r="H6522" i="15"/>
  <c r="I6522" i="15"/>
  <c r="J6522" i="15"/>
  <c r="H6523" i="15"/>
  <c r="I6523" i="15"/>
  <c r="J6523" i="15"/>
  <c r="H6524" i="15"/>
  <c r="I6524" i="15"/>
  <c r="J6524" i="15"/>
  <c r="H6525" i="15"/>
  <c r="I6525" i="15"/>
  <c r="J6525" i="15"/>
  <c r="H6526" i="15"/>
  <c r="I6526" i="15"/>
  <c r="J6526" i="15"/>
  <c r="H6527" i="15"/>
  <c r="I6527" i="15"/>
  <c r="J6527" i="15"/>
  <c r="H6528" i="15"/>
  <c r="I6528" i="15"/>
  <c r="J6528" i="15"/>
  <c r="H6529" i="15"/>
  <c r="I6529" i="15"/>
  <c r="J6529" i="15"/>
  <c r="H6530" i="15"/>
  <c r="I6530" i="15"/>
  <c r="J6530" i="15"/>
  <c r="H6531" i="15"/>
  <c r="I6531" i="15"/>
  <c r="J6531" i="15"/>
  <c r="H6532" i="15"/>
  <c r="I6532" i="15"/>
  <c r="J6532" i="15"/>
  <c r="H6533" i="15"/>
  <c r="I6533" i="15"/>
  <c r="J6533" i="15"/>
  <c r="H6534" i="15"/>
  <c r="I6534" i="15"/>
  <c r="J6534" i="15"/>
  <c r="H6535" i="15"/>
  <c r="I6535" i="15"/>
  <c r="J6535" i="15"/>
  <c r="H6536" i="15"/>
  <c r="I6536" i="15"/>
  <c r="J6536" i="15"/>
  <c r="H6537" i="15"/>
  <c r="I6537" i="15"/>
  <c r="J6537" i="15"/>
  <c r="H6538" i="15"/>
  <c r="I6538" i="15"/>
  <c r="J6538" i="15"/>
  <c r="H6539" i="15"/>
  <c r="I6539" i="15"/>
  <c r="J6539" i="15"/>
  <c r="H6540" i="15"/>
  <c r="I6540" i="15"/>
  <c r="J6540" i="15"/>
  <c r="H6541" i="15"/>
  <c r="I6541" i="15"/>
  <c r="J6541" i="15"/>
  <c r="H6542" i="15"/>
  <c r="I6542" i="15"/>
  <c r="J6542" i="15"/>
  <c r="H6543" i="15"/>
  <c r="I6543" i="15"/>
  <c r="J6543" i="15"/>
  <c r="H6544" i="15"/>
  <c r="I6544" i="15"/>
  <c r="J6544" i="15"/>
  <c r="H6545" i="15"/>
  <c r="I6545" i="15"/>
  <c r="J6545" i="15"/>
  <c r="H6546" i="15"/>
  <c r="I6546" i="15"/>
  <c r="J6546" i="15"/>
  <c r="H6547" i="15"/>
  <c r="I6547" i="15"/>
  <c r="J6547" i="15"/>
  <c r="H6548" i="15"/>
  <c r="I6548" i="15"/>
  <c r="J6548" i="15"/>
  <c r="H6549" i="15"/>
  <c r="I6549" i="15"/>
  <c r="J6549" i="15"/>
  <c r="H6550" i="15"/>
  <c r="I6550" i="15"/>
  <c r="J6550" i="15"/>
  <c r="H6551" i="15"/>
  <c r="I6551" i="15"/>
  <c r="J6551" i="15"/>
  <c r="H6552" i="15"/>
  <c r="I6552" i="15"/>
  <c r="J6552" i="15"/>
  <c r="H6553" i="15"/>
  <c r="I6553" i="15"/>
  <c r="J6553" i="15"/>
  <c r="H6554" i="15"/>
  <c r="I6554" i="15"/>
  <c r="J6554" i="15"/>
  <c r="H6555" i="15"/>
  <c r="I6555" i="15"/>
  <c r="J6555" i="15"/>
  <c r="H6556" i="15"/>
  <c r="I6556" i="15"/>
  <c r="J6556" i="15"/>
  <c r="H6557" i="15"/>
  <c r="I6557" i="15"/>
  <c r="J6557" i="15"/>
  <c r="H6558" i="15"/>
  <c r="I6558" i="15"/>
  <c r="J6558" i="15"/>
  <c r="H6559" i="15"/>
  <c r="I6559" i="15"/>
  <c r="J6559" i="15"/>
  <c r="H6560" i="15"/>
  <c r="I6560" i="15"/>
  <c r="J6560" i="15"/>
  <c r="H6561" i="15"/>
  <c r="I6561" i="15"/>
  <c r="J6561" i="15"/>
  <c r="H6562" i="15"/>
  <c r="I6562" i="15"/>
  <c r="J6562" i="15"/>
  <c r="H6563" i="15"/>
  <c r="I6563" i="15"/>
  <c r="J6563" i="15"/>
  <c r="H6564" i="15"/>
  <c r="I6564" i="15"/>
  <c r="J6564" i="15"/>
  <c r="H6565" i="15"/>
  <c r="I6565" i="15"/>
  <c r="J6565" i="15"/>
  <c r="H6566" i="15"/>
  <c r="I6566" i="15"/>
  <c r="J6566" i="15"/>
  <c r="H6567" i="15"/>
  <c r="I6567" i="15"/>
  <c r="J6567" i="15"/>
  <c r="H6568" i="15"/>
  <c r="I6568" i="15"/>
  <c r="J6568" i="15"/>
  <c r="H6569" i="15"/>
  <c r="I6569" i="15"/>
  <c r="J6569" i="15"/>
  <c r="H6570" i="15"/>
  <c r="I6570" i="15"/>
  <c r="J6570" i="15"/>
  <c r="H6571" i="15"/>
  <c r="I6571" i="15"/>
  <c r="J6571" i="15"/>
  <c r="H6572" i="15"/>
  <c r="I6572" i="15"/>
  <c r="J6572" i="15"/>
  <c r="H6573" i="15"/>
  <c r="I6573" i="15"/>
  <c r="J6573" i="15"/>
  <c r="H6574" i="15"/>
  <c r="I6574" i="15"/>
  <c r="J6574" i="15"/>
  <c r="H6575" i="15"/>
  <c r="I6575" i="15"/>
  <c r="J6575" i="15"/>
  <c r="H6576" i="15"/>
  <c r="I6576" i="15"/>
  <c r="J6576" i="15"/>
  <c r="H6577" i="15"/>
  <c r="I6577" i="15"/>
  <c r="J6577" i="15"/>
  <c r="H6578" i="15"/>
  <c r="I6578" i="15"/>
  <c r="J6578" i="15"/>
  <c r="H6579" i="15"/>
  <c r="I6579" i="15"/>
  <c r="J6579" i="15"/>
  <c r="H6580" i="15"/>
  <c r="I6580" i="15"/>
  <c r="J6580" i="15"/>
  <c r="H6581" i="15"/>
  <c r="I6581" i="15"/>
  <c r="J6581" i="15"/>
  <c r="H6582" i="15"/>
  <c r="I6582" i="15"/>
  <c r="J6582" i="15"/>
  <c r="H6583" i="15"/>
  <c r="I6583" i="15"/>
  <c r="J6583" i="15"/>
  <c r="H6584" i="15"/>
  <c r="I6584" i="15"/>
  <c r="J6584" i="15"/>
  <c r="H6585" i="15"/>
  <c r="I6585" i="15"/>
  <c r="J6585" i="15"/>
  <c r="H6586" i="15"/>
  <c r="I6586" i="15"/>
  <c r="J6586" i="15"/>
  <c r="H6587" i="15"/>
  <c r="I6587" i="15"/>
  <c r="J6587" i="15"/>
  <c r="H6588" i="15"/>
  <c r="I6588" i="15"/>
  <c r="J6588" i="15"/>
  <c r="H6589" i="15"/>
  <c r="I6589" i="15"/>
  <c r="J6589" i="15"/>
  <c r="H6590" i="15"/>
  <c r="I6590" i="15"/>
  <c r="J6590" i="15"/>
  <c r="H6591" i="15"/>
  <c r="I6591" i="15"/>
  <c r="J6591" i="15"/>
  <c r="H6592" i="15"/>
  <c r="I6592" i="15"/>
  <c r="J6592" i="15"/>
  <c r="H6593" i="15"/>
  <c r="I6593" i="15"/>
  <c r="J6593" i="15"/>
  <c r="H6594" i="15"/>
  <c r="I6594" i="15"/>
  <c r="J6594" i="15"/>
  <c r="H6595" i="15"/>
  <c r="I6595" i="15"/>
  <c r="J6595" i="15"/>
  <c r="H6596" i="15"/>
  <c r="I6596" i="15"/>
  <c r="J6596" i="15"/>
  <c r="H6597" i="15"/>
  <c r="I6597" i="15"/>
  <c r="J6597" i="15"/>
  <c r="H6598" i="15"/>
  <c r="I6598" i="15"/>
  <c r="J6598" i="15"/>
  <c r="H6599" i="15"/>
  <c r="I6599" i="15"/>
  <c r="J6599" i="15"/>
  <c r="H6600" i="15"/>
  <c r="I6600" i="15"/>
  <c r="J6600" i="15"/>
  <c r="H6601" i="15"/>
  <c r="I6601" i="15"/>
  <c r="J6601" i="15"/>
  <c r="H6602" i="15"/>
  <c r="I6602" i="15"/>
  <c r="J6602" i="15"/>
  <c r="H6603" i="15"/>
  <c r="I6603" i="15"/>
  <c r="J6603" i="15"/>
  <c r="H6604" i="15"/>
  <c r="I6604" i="15"/>
  <c r="J6604" i="15"/>
  <c r="H6605" i="15"/>
  <c r="I6605" i="15"/>
  <c r="J6605" i="15"/>
  <c r="H6606" i="15"/>
  <c r="I6606" i="15"/>
  <c r="J6606" i="15"/>
  <c r="H6607" i="15"/>
  <c r="I6607" i="15"/>
  <c r="J6607" i="15"/>
  <c r="H6608" i="15"/>
  <c r="I6608" i="15"/>
  <c r="J6608" i="15"/>
  <c r="H6609" i="15"/>
  <c r="I6609" i="15"/>
  <c r="J6609" i="15"/>
  <c r="H6610" i="15"/>
  <c r="I6610" i="15"/>
  <c r="J6610" i="15"/>
  <c r="H6611" i="15"/>
  <c r="I6611" i="15"/>
  <c r="J6611" i="15"/>
  <c r="H6612" i="15"/>
  <c r="I6612" i="15"/>
  <c r="J6612" i="15"/>
  <c r="H6613" i="15"/>
  <c r="I6613" i="15"/>
  <c r="J6613" i="15"/>
  <c r="H6614" i="15"/>
  <c r="I6614" i="15"/>
  <c r="J6614" i="15"/>
  <c r="H6615" i="15"/>
  <c r="I6615" i="15"/>
  <c r="J6615" i="15"/>
  <c r="H6616" i="15"/>
  <c r="I6616" i="15"/>
  <c r="J6616" i="15"/>
  <c r="H6617" i="15"/>
  <c r="I6617" i="15"/>
  <c r="J6617" i="15"/>
  <c r="H6618" i="15"/>
  <c r="I6618" i="15"/>
  <c r="J6618" i="15"/>
  <c r="H6619" i="15"/>
  <c r="I6619" i="15"/>
  <c r="J6619" i="15"/>
  <c r="H6620" i="15"/>
  <c r="I6620" i="15"/>
  <c r="J6620" i="15"/>
  <c r="H6621" i="15"/>
  <c r="I6621" i="15"/>
  <c r="J6621" i="15"/>
  <c r="H6622" i="15"/>
  <c r="I6622" i="15"/>
  <c r="J6622" i="15"/>
  <c r="H6623" i="15"/>
  <c r="I6623" i="15"/>
  <c r="J6623" i="15"/>
  <c r="H6624" i="15"/>
  <c r="I6624" i="15"/>
  <c r="J6624" i="15"/>
  <c r="H6625" i="15"/>
  <c r="I6625" i="15"/>
  <c r="J6625" i="15"/>
  <c r="H6626" i="15"/>
  <c r="I6626" i="15"/>
  <c r="J6626" i="15"/>
  <c r="H6627" i="15"/>
  <c r="I6627" i="15"/>
  <c r="J6627" i="15"/>
  <c r="H6628" i="15"/>
  <c r="I6628" i="15"/>
  <c r="J6628" i="15"/>
  <c r="H6629" i="15"/>
  <c r="I6629" i="15"/>
  <c r="J6629" i="15"/>
  <c r="H6630" i="15"/>
  <c r="I6630" i="15"/>
  <c r="J6630" i="15"/>
  <c r="H6631" i="15"/>
  <c r="I6631" i="15"/>
  <c r="J6631" i="15"/>
  <c r="H6632" i="15"/>
  <c r="I6632" i="15"/>
  <c r="J6632" i="15"/>
  <c r="H6633" i="15"/>
  <c r="I6633" i="15"/>
  <c r="J6633" i="15"/>
  <c r="H6634" i="15"/>
  <c r="I6634" i="15"/>
  <c r="J6634" i="15"/>
  <c r="H6635" i="15"/>
  <c r="I6635" i="15"/>
  <c r="J6635" i="15"/>
  <c r="H6636" i="15"/>
  <c r="I6636" i="15"/>
  <c r="J6636" i="15"/>
  <c r="H6637" i="15"/>
  <c r="I6637" i="15"/>
  <c r="J6637" i="15"/>
  <c r="H6638" i="15"/>
  <c r="I6638" i="15"/>
  <c r="J6638" i="15"/>
  <c r="H6639" i="15"/>
  <c r="I6639" i="15"/>
  <c r="J6639" i="15"/>
  <c r="H6640" i="15"/>
  <c r="I6640" i="15"/>
  <c r="J6640" i="15"/>
  <c r="H6641" i="15"/>
  <c r="I6641" i="15"/>
  <c r="J6641" i="15"/>
  <c r="H6642" i="15"/>
  <c r="I6642" i="15"/>
  <c r="J6642" i="15"/>
  <c r="H6643" i="15"/>
  <c r="I6643" i="15"/>
  <c r="J6643" i="15"/>
  <c r="H6644" i="15"/>
  <c r="I6644" i="15"/>
  <c r="J6644" i="15"/>
  <c r="H6645" i="15"/>
  <c r="I6645" i="15"/>
  <c r="J6645" i="15"/>
  <c r="H6646" i="15"/>
  <c r="I6646" i="15"/>
  <c r="J6646" i="15"/>
  <c r="H6647" i="15"/>
  <c r="I6647" i="15"/>
  <c r="J6647" i="15"/>
  <c r="H6648" i="15"/>
  <c r="I6648" i="15"/>
  <c r="J6648" i="15"/>
  <c r="H6649" i="15"/>
  <c r="I6649" i="15"/>
  <c r="J6649" i="15"/>
  <c r="H6650" i="15"/>
  <c r="I6650" i="15"/>
  <c r="J6650" i="15"/>
  <c r="H6651" i="15"/>
  <c r="I6651" i="15"/>
  <c r="J6651" i="15"/>
  <c r="H6652" i="15"/>
  <c r="I6652" i="15"/>
  <c r="J6652" i="15"/>
  <c r="H6653" i="15"/>
  <c r="I6653" i="15"/>
  <c r="J6653" i="15"/>
  <c r="H6654" i="15"/>
  <c r="I6654" i="15"/>
  <c r="J6654" i="15"/>
  <c r="H6655" i="15"/>
  <c r="I6655" i="15"/>
  <c r="J6655" i="15"/>
  <c r="H6656" i="15"/>
  <c r="I6656" i="15"/>
  <c r="J6656" i="15"/>
  <c r="H6657" i="15"/>
  <c r="I6657" i="15"/>
  <c r="J6657" i="15"/>
  <c r="H6658" i="15"/>
  <c r="I6658" i="15"/>
  <c r="J6658" i="15"/>
  <c r="H6659" i="15"/>
  <c r="I6659" i="15"/>
  <c r="J6659" i="15"/>
  <c r="H6660" i="15"/>
  <c r="I6660" i="15"/>
  <c r="J6660" i="15"/>
  <c r="H6661" i="15"/>
  <c r="I6661" i="15"/>
  <c r="J6661" i="15"/>
  <c r="H6662" i="15"/>
  <c r="I6662" i="15"/>
  <c r="J6662" i="15"/>
  <c r="H6663" i="15"/>
  <c r="I6663" i="15"/>
  <c r="J6663" i="15"/>
  <c r="H6664" i="15"/>
  <c r="I6664" i="15"/>
  <c r="J6664" i="15"/>
  <c r="H6665" i="15"/>
  <c r="I6665" i="15"/>
  <c r="J6665" i="15"/>
  <c r="H6666" i="15"/>
  <c r="I6666" i="15"/>
  <c r="J6666" i="15"/>
  <c r="H6667" i="15"/>
  <c r="I6667" i="15"/>
  <c r="J6667" i="15"/>
  <c r="H6668" i="15"/>
  <c r="I6668" i="15"/>
  <c r="J6668" i="15"/>
  <c r="H6669" i="15"/>
  <c r="I6669" i="15"/>
  <c r="J6669" i="15"/>
  <c r="H6670" i="15"/>
  <c r="I6670" i="15"/>
  <c r="J6670" i="15"/>
  <c r="H6671" i="15"/>
  <c r="I6671" i="15"/>
  <c r="J6671" i="15"/>
  <c r="H6672" i="15"/>
  <c r="I6672" i="15"/>
  <c r="J6672" i="15"/>
  <c r="H6673" i="15"/>
  <c r="I6673" i="15"/>
  <c r="J6673" i="15"/>
  <c r="H6674" i="15"/>
  <c r="I6674" i="15"/>
  <c r="J6674" i="15"/>
  <c r="H6675" i="15"/>
  <c r="I6675" i="15"/>
  <c r="J6675" i="15"/>
  <c r="H6676" i="15"/>
  <c r="I6676" i="15"/>
  <c r="J6676" i="15"/>
  <c r="H6677" i="15"/>
  <c r="I6677" i="15"/>
  <c r="J6677" i="15"/>
  <c r="H6678" i="15"/>
  <c r="I6678" i="15"/>
  <c r="J6678" i="15"/>
  <c r="H6679" i="15"/>
  <c r="I6679" i="15"/>
  <c r="J6679" i="15"/>
  <c r="H6680" i="15"/>
  <c r="I6680" i="15"/>
  <c r="J6680" i="15"/>
  <c r="H6681" i="15"/>
  <c r="I6681" i="15"/>
  <c r="J6681" i="15"/>
  <c r="H6682" i="15"/>
  <c r="I6682" i="15"/>
  <c r="J6682" i="15"/>
  <c r="H6683" i="15"/>
  <c r="I6683" i="15"/>
  <c r="J6683" i="15"/>
  <c r="H6684" i="15"/>
  <c r="I6684" i="15"/>
  <c r="J6684" i="15"/>
  <c r="H6685" i="15"/>
  <c r="I6685" i="15"/>
  <c r="J6685" i="15"/>
  <c r="H6686" i="15"/>
  <c r="I6686" i="15"/>
  <c r="J6686" i="15"/>
  <c r="H6687" i="15"/>
  <c r="I6687" i="15"/>
  <c r="J6687" i="15"/>
  <c r="H6688" i="15"/>
  <c r="I6688" i="15"/>
  <c r="J6688" i="15"/>
  <c r="H6689" i="15"/>
  <c r="I6689" i="15"/>
  <c r="J6689" i="15"/>
  <c r="H6690" i="15"/>
  <c r="I6690" i="15"/>
  <c r="J6690" i="15"/>
  <c r="H6691" i="15"/>
  <c r="I6691" i="15"/>
  <c r="J6691" i="15"/>
  <c r="H6692" i="15"/>
  <c r="I6692" i="15"/>
  <c r="J6692" i="15"/>
  <c r="H6693" i="15"/>
  <c r="I6693" i="15"/>
  <c r="J6693" i="15"/>
  <c r="H6694" i="15"/>
  <c r="I6694" i="15"/>
  <c r="J6694" i="15"/>
  <c r="H6695" i="15"/>
  <c r="I6695" i="15"/>
  <c r="J6695" i="15"/>
  <c r="H6696" i="15"/>
  <c r="I6696" i="15"/>
  <c r="J6696" i="15"/>
  <c r="H6697" i="15"/>
  <c r="I6697" i="15"/>
  <c r="J6697" i="15"/>
  <c r="H6698" i="15"/>
  <c r="I6698" i="15"/>
  <c r="J6698" i="15"/>
  <c r="H6699" i="15"/>
  <c r="I6699" i="15"/>
  <c r="J6699" i="15"/>
  <c r="H6700" i="15"/>
  <c r="I6700" i="15"/>
  <c r="J6700" i="15"/>
  <c r="H6701" i="15"/>
  <c r="I6701" i="15"/>
  <c r="J6701" i="15"/>
  <c r="H6702" i="15"/>
  <c r="I6702" i="15"/>
  <c r="J6702" i="15"/>
  <c r="H6703" i="15"/>
  <c r="I6703" i="15"/>
  <c r="J6703" i="15"/>
  <c r="H6704" i="15"/>
  <c r="I6704" i="15"/>
  <c r="J6704" i="15"/>
  <c r="H6705" i="15"/>
  <c r="I6705" i="15"/>
  <c r="J6705" i="15"/>
  <c r="H6706" i="15"/>
  <c r="I6706" i="15"/>
  <c r="J6706" i="15"/>
  <c r="H6707" i="15"/>
  <c r="I6707" i="15"/>
  <c r="J6707" i="15"/>
  <c r="H6708" i="15"/>
  <c r="I6708" i="15"/>
  <c r="J6708" i="15"/>
  <c r="H6709" i="15"/>
  <c r="I6709" i="15"/>
  <c r="J6709" i="15"/>
  <c r="H6710" i="15"/>
  <c r="I6710" i="15"/>
  <c r="J6710" i="15"/>
  <c r="H6711" i="15"/>
  <c r="I6711" i="15"/>
  <c r="J6711" i="15"/>
  <c r="H6712" i="15"/>
  <c r="I6712" i="15"/>
  <c r="J6712" i="15"/>
  <c r="H6713" i="15"/>
  <c r="I6713" i="15"/>
  <c r="J6713" i="15"/>
  <c r="H6714" i="15"/>
  <c r="I6714" i="15"/>
  <c r="J6714" i="15"/>
  <c r="H6715" i="15"/>
  <c r="I6715" i="15"/>
  <c r="J6715" i="15"/>
  <c r="H6716" i="15"/>
  <c r="I6716" i="15"/>
  <c r="J6716" i="15"/>
  <c r="H6717" i="15"/>
  <c r="I6717" i="15"/>
  <c r="J6717" i="15"/>
  <c r="H6718" i="15"/>
  <c r="I6718" i="15"/>
  <c r="J6718" i="15"/>
  <c r="H6719" i="15"/>
  <c r="I6719" i="15"/>
  <c r="J6719" i="15"/>
  <c r="H6720" i="15"/>
  <c r="I6720" i="15"/>
  <c r="J6720" i="15"/>
  <c r="H6721" i="15"/>
  <c r="I6721" i="15"/>
  <c r="J6721" i="15"/>
  <c r="H6722" i="15"/>
  <c r="I6722" i="15"/>
  <c r="J6722" i="15"/>
  <c r="H6723" i="15"/>
  <c r="I6723" i="15"/>
  <c r="J6723" i="15"/>
  <c r="H6724" i="15"/>
  <c r="I6724" i="15"/>
  <c r="J6724" i="15"/>
  <c r="H6725" i="15"/>
  <c r="I6725" i="15"/>
  <c r="J6725" i="15"/>
  <c r="H6726" i="15"/>
  <c r="I6726" i="15"/>
  <c r="J6726" i="15"/>
  <c r="H6727" i="15"/>
  <c r="I6727" i="15"/>
  <c r="J6727" i="15"/>
  <c r="H6728" i="15"/>
  <c r="I6728" i="15"/>
  <c r="J6728" i="15"/>
  <c r="H6729" i="15"/>
  <c r="I6729" i="15"/>
  <c r="J6729" i="15"/>
  <c r="H6730" i="15"/>
  <c r="I6730" i="15"/>
  <c r="J6730" i="15"/>
  <c r="H6731" i="15"/>
  <c r="I6731" i="15"/>
  <c r="J6731" i="15"/>
  <c r="H6732" i="15"/>
  <c r="I6732" i="15"/>
  <c r="J6732" i="15"/>
  <c r="H6733" i="15"/>
  <c r="I6733" i="15"/>
  <c r="J6733" i="15"/>
  <c r="H6734" i="15"/>
  <c r="I6734" i="15"/>
  <c r="J6734" i="15"/>
  <c r="H6735" i="15"/>
  <c r="I6735" i="15"/>
  <c r="J6735" i="15"/>
  <c r="H6736" i="15"/>
  <c r="I6736" i="15"/>
  <c r="J6736" i="15"/>
  <c r="H6737" i="15"/>
  <c r="I6737" i="15"/>
  <c r="J6737" i="15"/>
  <c r="H6738" i="15"/>
  <c r="I6738" i="15"/>
  <c r="J6738" i="15"/>
  <c r="H6739" i="15"/>
  <c r="I6739" i="15"/>
  <c r="J6739" i="15"/>
  <c r="H6740" i="15"/>
  <c r="I6740" i="15"/>
  <c r="J6740" i="15"/>
  <c r="H6741" i="15"/>
  <c r="I6741" i="15"/>
  <c r="J6741" i="15"/>
  <c r="H6742" i="15"/>
  <c r="I6742" i="15"/>
  <c r="J6742" i="15"/>
  <c r="H6743" i="15"/>
  <c r="I6743" i="15"/>
  <c r="J6743" i="15"/>
  <c r="H6744" i="15"/>
  <c r="I6744" i="15"/>
  <c r="J6744" i="15"/>
  <c r="H6745" i="15"/>
  <c r="I6745" i="15"/>
  <c r="J6745" i="15"/>
  <c r="H6746" i="15"/>
  <c r="I6746" i="15"/>
  <c r="J6746" i="15"/>
  <c r="H6747" i="15"/>
  <c r="I6747" i="15"/>
  <c r="J6747" i="15"/>
  <c r="H6748" i="15"/>
  <c r="I6748" i="15"/>
  <c r="J6748" i="15"/>
  <c r="H6749" i="15"/>
  <c r="I6749" i="15"/>
  <c r="J6749" i="15"/>
  <c r="H6750" i="15"/>
  <c r="I6750" i="15"/>
  <c r="J6750" i="15"/>
  <c r="H6751" i="15"/>
  <c r="I6751" i="15"/>
  <c r="J6751" i="15"/>
  <c r="H6752" i="15"/>
  <c r="I6752" i="15"/>
  <c r="J6752" i="15"/>
  <c r="H6753" i="15"/>
  <c r="I6753" i="15"/>
  <c r="J6753" i="15"/>
  <c r="H6754" i="15"/>
  <c r="I6754" i="15"/>
  <c r="J6754" i="15"/>
  <c r="H6755" i="15"/>
  <c r="I6755" i="15"/>
  <c r="J6755" i="15"/>
  <c r="H6756" i="15"/>
  <c r="I6756" i="15"/>
  <c r="J6756" i="15"/>
  <c r="H6757" i="15"/>
  <c r="I6757" i="15"/>
  <c r="J6757" i="15"/>
  <c r="H6758" i="15"/>
  <c r="I6758" i="15"/>
  <c r="J6758" i="15"/>
  <c r="H6759" i="15"/>
  <c r="I6759" i="15"/>
  <c r="J6759" i="15"/>
  <c r="H6760" i="15"/>
  <c r="I6760" i="15"/>
  <c r="J6760" i="15"/>
  <c r="H6761" i="15"/>
  <c r="I6761" i="15"/>
  <c r="J6761" i="15"/>
  <c r="H6762" i="15"/>
  <c r="I6762" i="15"/>
  <c r="J6762" i="15"/>
  <c r="H6763" i="15"/>
  <c r="I6763" i="15"/>
  <c r="J6763" i="15"/>
  <c r="H6764" i="15"/>
  <c r="I6764" i="15"/>
  <c r="J6764" i="15"/>
  <c r="H6765" i="15"/>
  <c r="I6765" i="15"/>
  <c r="J6765" i="15"/>
  <c r="H6766" i="15"/>
  <c r="I6766" i="15"/>
  <c r="J6766" i="15"/>
  <c r="H6767" i="15"/>
  <c r="I6767" i="15"/>
  <c r="J6767" i="15"/>
  <c r="H6768" i="15"/>
  <c r="I6768" i="15"/>
  <c r="J6768" i="15"/>
  <c r="H6769" i="15"/>
  <c r="I6769" i="15"/>
  <c r="J6769" i="15"/>
  <c r="H6770" i="15"/>
  <c r="I6770" i="15"/>
  <c r="J6770" i="15"/>
  <c r="H6771" i="15"/>
  <c r="I6771" i="15"/>
  <c r="J6771" i="15"/>
  <c r="H6772" i="15"/>
  <c r="I6772" i="15"/>
  <c r="J6772" i="15"/>
  <c r="H6773" i="15"/>
  <c r="I6773" i="15"/>
  <c r="J6773" i="15"/>
  <c r="H6774" i="15"/>
  <c r="I6774" i="15"/>
  <c r="J6774" i="15"/>
  <c r="H6775" i="15"/>
  <c r="I6775" i="15"/>
  <c r="J6775" i="15"/>
  <c r="H6776" i="15"/>
  <c r="I6776" i="15"/>
  <c r="J6776" i="15"/>
  <c r="H6777" i="15"/>
  <c r="I6777" i="15"/>
  <c r="J6777" i="15"/>
  <c r="H6778" i="15"/>
  <c r="I6778" i="15"/>
  <c r="J6778" i="15"/>
  <c r="H6779" i="15"/>
  <c r="I6779" i="15"/>
  <c r="J6779" i="15"/>
  <c r="H6780" i="15"/>
  <c r="I6780" i="15"/>
  <c r="J6780" i="15"/>
  <c r="H6781" i="15"/>
  <c r="I6781" i="15"/>
  <c r="J6781" i="15"/>
  <c r="H6782" i="15"/>
  <c r="I6782" i="15"/>
  <c r="J6782" i="15"/>
  <c r="H6783" i="15"/>
  <c r="I6783" i="15"/>
  <c r="J6783" i="15"/>
  <c r="H6784" i="15"/>
  <c r="I6784" i="15"/>
  <c r="J6784" i="15"/>
  <c r="H6785" i="15"/>
  <c r="I6785" i="15"/>
  <c r="J6785" i="15"/>
  <c r="H6786" i="15"/>
  <c r="I6786" i="15"/>
  <c r="J6786" i="15"/>
  <c r="H6787" i="15"/>
  <c r="I6787" i="15"/>
  <c r="J6787" i="15"/>
  <c r="H6788" i="15"/>
  <c r="I6788" i="15"/>
  <c r="J6788" i="15"/>
  <c r="H6789" i="15"/>
  <c r="I6789" i="15"/>
  <c r="J6789" i="15"/>
  <c r="H6790" i="15"/>
  <c r="I6790" i="15"/>
  <c r="J6790" i="15"/>
  <c r="H6791" i="15"/>
  <c r="I6791" i="15"/>
  <c r="J6791" i="15"/>
  <c r="H6792" i="15"/>
  <c r="I6792" i="15"/>
  <c r="J6792" i="15"/>
  <c r="H6793" i="15"/>
  <c r="I6793" i="15"/>
  <c r="J6793" i="15"/>
  <c r="H6794" i="15"/>
  <c r="I6794" i="15"/>
  <c r="J6794" i="15"/>
  <c r="H6795" i="15"/>
  <c r="I6795" i="15"/>
  <c r="J6795" i="15"/>
  <c r="H6796" i="15"/>
  <c r="I6796" i="15"/>
  <c r="J6796" i="15"/>
  <c r="H6797" i="15"/>
  <c r="I6797" i="15"/>
  <c r="J6797" i="15"/>
  <c r="H6798" i="15"/>
  <c r="I6798" i="15"/>
  <c r="J6798" i="15"/>
  <c r="H6799" i="15"/>
  <c r="I6799" i="15"/>
  <c r="J6799" i="15"/>
  <c r="H6800" i="15"/>
  <c r="I6800" i="15"/>
  <c r="J6800" i="15"/>
  <c r="H6801" i="15"/>
  <c r="I6801" i="15"/>
  <c r="J6801" i="15"/>
  <c r="H6802" i="15"/>
  <c r="I6802" i="15"/>
  <c r="J6802" i="15"/>
  <c r="H6803" i="15"/>
  <c r="I6803" i="15"/>
  <c r="J6803" i="15"/>
  <c r="H6804" i="15"/>
  <c r="I6804" i="15"/>
  <c r="J6804" i="15"/>
  <c r="H6805" i="15"/>
  <c r="I6805" i="15"/>
  <c r="J6805" i="15"/>
  <c r="H6806" i="15"/>
  <c r="I6806" i="15"/>
  <c r="J6806" i="15"/>
  <c r="H6807" i="15"/>
  <c r="I6807" i="15"/>
  <c r="J6807" i="15"/>
  <c r="H6808" i="15"/>
  <c r="I6808" i="15"/>
  <c r="J6808" i="15"/>
  <c r="H6809" i="15"/>
  <c r="I6809" i="15"/>
  <c r="J6809" i="15"/>
  <c r="H6810" i="15"/>
  <c r="I6810" i="15"/>
  <c r="J6810" i="15"/>
  <c r="H6811" i="15"/>
  <c r="I6811" i="15"/>
  <c r="J6811" i="15"/>
  <c r="H6812" i="15"/>
  <c r="I6812" i="15"/>
  <c r="J6812" i="15"/>
  <c r="H6813" i="15"/>
  <c r="I6813" i="15"/>
  <c r="J6813" i="15"/>
  <c r="H6814" i="15"/>
  <c r="I6814" i="15"/>
  <c r="J6814" i="15"/>
  <c r="H6815" i="15"/>
  <c r="I6815" i="15"/>
  <c r="J6815" i="15"/>
  <c r="H6816" i="15"/>
  <c r="I6816" i="15"/>
  <c r="J6816" i="15"/>
  <c r="H6817" i="15"/>
  <c r="I6817" i="15"/>
  <c r="J6817" i="15"/>
  <c r="H6818" i="15"/>
  <c r="I6818" i="15"/>
  <c r="J6818" i="15"/>
  <c r="H6819" i="15"/>
  <c r="I6819" i="15"/>
  <c r="J6819" i="15"/>
  <c r="H6820" i="15"/>
  <c r="I6820" i="15"/>
  <c r="J6820" i="15"/>
  <c r="H6821" i="15"/>
  <c r="I6821" i="15"/>
  <c r="J6821" i="15"/>
  <c r="H6822" i="15"/>
  <c r="I6822" i="15"/>
  <c r="J6822" i="15"/>
  <c r="H6823" i="15"/>
  <c r="I6823" i="15"/>
  <c r="J6823" i="15"/>
  <c r="H6824" i="15"/>
  <c r="I6824" i="15"/>
  <c r="J6824" i="15"/>
  <c r="H6825" i="15"/>
  <c r="I6825" i="15"/>
  <c r="J6825" i="15"/>
  <c r="H6826" i="15"/>
  <c r="I6826" i="15"/>
  <c r="J6826" i="15"/>
  <c r="H6827" i="15"/>
  <c r="I6827" i="15"/>
  <c r="J6827" i="15"/>
  <c r="H6828" i="15"/>
  <c r="I6828" i="15"/>
  <c r="J6828" i="15"/>
  <c r="H6829" i="15"/>
  <c r="I6829" i="15"/>
  <c r="J6829" i="15"/>
  <c r="H6830" i="15"/>
  <c r="I6830" i="15"/>
  <c r="J6830" i="15"/>
  <c r="H6831" i="15"/>
  <c r="I6831" i="15"/>
  <c r="J6831" i="15"/>
  <c r="H6832" i="15"/>
  <c r="I6832" i="15"/>
  <c r="J6832" i="15"/>
  <c r="H6833" i="15"/>
  <c r="I6833" i="15"/>
  <c r="J6833" i="15"/>
  <c r="H6834" i="15"/>
  <c r="I6834" i="15"/>
  <c r="J6834" i="15"/>
  <c r="H6835" i="15"/>
  <c r="I6835" i="15"/>
  <c r="J6835" i="15"/>
  <c r="H6836" i="15"/>
  <c r="I6836" i="15"/>
  <c r="J6836" i="15"/>
  <c r="H6837" i="15"/>
  <c r="I6837" i="15"/>
  <c r="J6837" i="15"/>
  <c r="H6838" i="15"/>
  <c r="I6838" i="15"/>
  <c r="J6838" i="15"/>
  <c r="H6839" i="15"/>
  <c r="I6839" i="15"/>
  <c r="J6839" i="15"/>
  <c r="H6840" i="15"/>
  <c r="I6840" i="15"/>
  <c r="J6840" i="15"/>
  <c r="H6841" i="15"/>
  <c r="I6841" i="15"/>
  <c r="J6841" i="15"/>
  <c r="H6842" i="15"/>
  <c r="I6842" i="15"/>
  <c r="J6842" i="15"/>
  <c r="H6843" i="15"/>
  <c r="I6843" i="15"/>
  <c r="J6843" i="15"/>
  <c r="H6844" i="15"/>
  <c r="I6844" i="15"/>
  <c r="J6844" i="15"/>
  <c r="H6845" i="15"/>
  <c r="I6845" i="15"/>
  <c r="J6845" i="15"/>
  <c r="H6846" i="15"/>
  <c r="I6846" i="15"/>
  <c r="J6846" i="15"/>
  <c r="H6847" i="15"/>
  <c r="I6847" i="15"/>
  <c r="J6847" i="15"/>
  <c r="H6848" i="15"/>
  <c r="I6848" i="15"/>
  <c r="J6848" i="15"/>
  <c r="H6849" i="15"/>
  <c r="I6849" i="15"/>
  <c r="J6849" i="15"/>
  <c r="H6850" i="15"/>
  <c r="I6850" i="15"/>
  <c r="J6850" i="15"/>
  <c r="H6851" i="15"/>
  <c r="I6851" i="15"/>
  <c r="J6851" i="15"/>
  <c r="H6852" i="15"/>
  <c r="I6852" i="15"/>
  <c r="J6852" i="15"/>
  <c r="H6853" i="15"/>
  <c r="I6853" i="15"/>
  <c r="J6853" i="15"/>
  <c r="H6854" i="15"/>
  <c r="I6854" i="15"/>
  <c r="J6854" i="15"/>
  <c r="H6855" i="15"/>
  <c r="I6855" i="15"/>
  <c r="J6855" i="15"/>
  <c r="H6856" i="15"/>
  <c r="I6856" i="15"/>
  <c r="J6856" i="15"/>
  <c r="H6857" i="15"/>
  <c r="I6857" i="15"/>
  <c r="J6857" i="15"/>
  <c r="H6858" i="15"/>
  <c r="I6858" i="15"/>
  <c r="J6858" i="15"/>
  <c r="H6859" i="15"/>
  <c r="I6859" i="15"/>
  <c r="J6859" i="15"/>
  <c r="H6860" i="15"/>
  <c r="I6860" i="15"/>
  <c r="J6860" i="15"/>
  <c r="H6861" i="15"/>
  <c r="I6861" i="15"/>
  <c r="J6861" i="15"/>
  <c r="H6862" i="15"/>
  <c r="I6862" i="15"/>
  <c r="J6862" i="15"/>
  <c r="H6863" i="15"/>
  <c r="I6863" i="15"/>
  <c r="J6863" i="15"/>
  <c r="H6864" i="15"/>
  <c r="I6864" i="15"/>
  <c r="J6864" i="15"/>
  <c r="H6865" i="15"/>
  <c r="I6865" i="15"/>
  <c r="J6865" i="15"/>
  <c r="H6866" i="15"/>
  <c r="I6866" i="15"/>
  <c r="J6866" i="15"/>
  <c r="H6867" i="15"/>
  <c r="I6867" i="15"/>
  <c r="J6867" i="15"/>
  <c r="H6868" i="15"/>
  <c r="I6868" i="15"/>
  <c r="J6868" i="15"/>
  <c r="H6869" i="15"/>
  <c r="I6869" i="15"/>
  <c r="J6869" i="15"/>
  <c r="H6870" i="15"/>
  <c r="I6870" i="15"/>
  <c r="J6870" i="15"/>
  <c r="H6871" i="15"/>
  <c r="I6871" i="15"/>
  <c r="J6871" i="15"/>
  <c r="H6872" i="15"/>
  <c r="I6872" i="15"/>
  <c r="J6872" i="15"/>
  <c r="H6873" i="15"/>
  <c r="I6873" i="15"/>
  <c r="J6873" i="15"/>
  <c r="H6874" i="15"/>
  <c r="I6874" i="15"/>
  <c r="J6874" i="15"/>
  <c r="H6875" i="15"/>
  <c r="I6875" i="15"/>
  <c r="J6875" i="15"/>
  <c r="H6876" i="15"/>
  <c r="I6876" i="15"/>
  <c r="J6876" i="15"/>
  <c r="H6877" i="15"/>
  <c r="I6877" i="15"/>
  <c r="J6877" i="15"/>
  <c r="H6878" i="15"/>
  <c r="I6878" i="15"/>
  <c r="J6878" i="15"/>
  <c r="H6879" i="15"/>
  <c r="I6879" i="15"/>
  <c r="J6879" i="15"/>
  <c r="H6880" i="15"/>
  <c r="I6880" i="15"/>
  <c r="J6880" i="15"/>
  <c r="H6881" i="15"/>
  <c r="I6881" i="15"/>
  <c r="J6881" i="15"/>
  <c r="H6882" i="15"/>
  <c r="I6882" i="15"/>
  <c r="J6882" i="15"/>
  <c r="H6883" i="15"/>
  <c r="I6883" i="15"/>
  <c r="J6883" i="15"/>
  <c r="H6884" i="15"/>
  <c r="I6884" i="15"/>
  <c r="J6884" i="15"/>
  <c r="H6885" i="15"/>
  <c r="I6885" i="15"/>
  <c r="J6885" i="15"/>
  <c r="H6886" i="15"/>
  <c r="I6886" i="15"/>
  <c r="J6886" i="15"/>
  <c r="H6887" i="15"/>
  <c r="I6887" i="15"/>
  <c r="J6887" i="15"/>
  <c r="H6888" i="15"/>
  <c r="I6888" i="15"/>
  <c r="J6888" i="15"/>
  <c r="H6889" i="15"/>
  <c r="I6889" i="15"/>
  <c r="J6889" i="15"/>
  <c r="H6890" i="15"/>
  <c r="I6890" i="15"/>
  <c r="J6890" i="15"/>
  <c r="H6891" i="15"/>
  <c r="I6891" i="15"/>
  <c r="J6891" i="15"/>
  <c r="H6892" i="15"/>
  <c r="I6892" i="15"/>
  <c r="J6892" i="15"/>
  <c r="H6893" i="15"/>
  <c r="I6893" i="15"/>
  <c r="J6893" i="15"/>
  <c r="H6894" i="15"/>
  <c r="I6894" i="15"/>
  <c r="J6894" i="15"/>
  <c r="H6895" i="15"/>
  <c r="I6895" i="15"/>
  <c r="J6895" i="15"/>
  <c r="H6896" i="15"/>
  <c r="I6896" i="15"/>
  <c r="J6896" i="15"/>
  <c r="H6897" i="15"/>
  <c r="I6897" i="15"/>
  <c r="J6897" i="15"/>
  <c r="H6898" i="15"/>
  <c r="I6898" i="15"/>
  <c r="J6898" i="15"/>
  <c r="H6899" i="15"/>
  <c r="I6899" i="15"/>
  <c r="J6899" i="15"/>
  <c r="H6900" i="15"/>
  <c r="I6900" i="15"/>
  <c r="J6900" i="15"/>
  <c r="H6901" i="15"/>
  <c r="I6901" i="15"/>
  <c r="J6901" i="15"/>
  <c r="H6902" i="15"/>
  <c r="I6902" i="15"/>
  <c r="J6902" i="15"/>
  <c r="H6903" i="15"/>
  <c r="I6903" i="15"/>
  <c r="J6903" i="15"/>
  <c r="H6904" i="15"/>
  <c r="I6904" i="15"/>
  <c r="J6904" i="15"/>
  <c r="H6905" i="15"/>
  <c r="I6905" i="15"/>
  <c r="J6905" i="15"/>
  <c r="H6906" i="15"/>
  <c r="I6906" i="15"/>
  <c r="J6906" i="15"/>
  <c r="H6907" i="15"/>
  <c r="I6907" i="15"/>
  <c r="J6907" i="15"/>
  <c r="H6908" i="15"/>
  <c r="I6908" i="15"/>
  <c r="J6908" i="15"/>
  <c r="H6909" i="15"/>
  <c r="I6909" i="15"/>
  <c r="J6909" i="15"/>
  <c r="H6910" i="15"/>
  <c r="I6910" i="15"/>
  <c r="J6910" i="15"/>
  <c r="H6911" i="15"/>
  <c r="I6911" i="15"/>
  <c r="J6911" i="15"/>
  <c r="H6912" i="15"/>
  <c r="I6912" i="15"/>
  <c r="J6912" i="15"/>
  <c r="H6913" i="15"/>
  <c r="I6913" i="15"/>
  <c r="J6913" i="15"/>
  <c r="H6914" i="15"/>
  <c r="I6914" i="15"/>
  <c r="J6914" i="15"/>
  <c r="H6915" i="15"/>
  <c r="I6915" i="15"/>
  <c r="J6915" i="15"/>
  <c r="H6916" i="15"/>
  <c r="I6916" i="15"/>
  <c r="J6916" i="15"/>
  <c r="H6917" i="15"/>
  <c r="I6917" i="15"/>
  <c r="J6917" i="15"/>
  <c r="H6918" i="15"/>
  <c r="I6918" i="15"/>
  <c r="J6918" i="15"/>
  <c r="H6919" i="15"/>
  <c r="I6919" i="15"/>
  <c r="J6919" i="15"/>
  <c r="H6920" i="15"/>
  <c r="I6920" i="15"/>
  <c r="J6920" i="15"/>
  <c r="H6921" i="15"/>
  <c r="I6921" i="15"/>
  <c r="J6921" i="15"/>
  <c r="H6922" i="15"/>
  <c r="I6922" i="15"/>
  <c r="J6922" i="15"/>
  <c r="H6923" i="15"/>
  <c r="I6923" i="15"/>
  <c r="J6923" i="15"/>
  <c r="H6924" i="15"/>
  <c r="I6924" i="15"/>
  <c r="J6924" i="15"/>
  <c r="H6925" i="15"/>
  <c r="I6925" i="15"/>
  <c r="J6925" i="15"/>
  <c r="H6926" i="15"/>
  <c r="I6926" i="15"/>
  <c r="J6926" i="15"/>
  <c r="H6927" i="15"/>
  <c r="I6927" i="15"/>
  <c r="J6927" i="15"/>
  <c r="H6928" i="15"/>
  <c r="I6928" i="15"/>
  <c r="J6928" i="15"/>
  <c r="H6929" i="15"/>
  <c r="I6929" i="15"/>
  <c r="J6929" i="15"/>
  <c r="H6930" i="15"/>
  <c r="I6930" i="15"/>
  <c r="J6930" i="15"/>
  <c r="H6931" i="15"/>
  <c r="I6931" i="15"/>
  <c r="J6931" i="15"/>
  <c r="H6932" i="15"/>
  <c r="I6932" i="15"/>
  <c r="J6932" i="15"/>
  <c r="H6933" i="15"/>
  <c r="I6933" i="15"/>
  <c r="J6933" i="15"/>
  <c r="H6934" i="15"/>
  <c r="I6934" i="15"/>
  <c r="J6934" i="15"/>
  <c r="H6935" i="15"/>
  <c r="I6935" i="15"/>
  <c r="J6935" i="15"/>
  <c r="H6936" i="15"/>
  <c r="I6936" i="15"/>
  <c r="J6936" i="15"/>
  <c r="H6937" i="15"/>
  <c r="I6937" i="15"/>
  <c r="J6937" i="15"/>
  <c r="H6938" i="15"/>
  <c r="I6938" i="15"/>
  <c r="J6938" i="15"/>
  <c r="H6939" i="15"/>
  <c r="I6939" i="15"/>
  <c r="J6939" i="15"/>
  <c r="H6940" i="15"/>
  <c r="I6940" i="15"/>
  <c r="J6940" i="15"/>
  <c r="H6941" i="15"/>
  <c r="I6941" i="15"/>
  <c r="J6941" i="15"/>
  <c r="H6942" i="15"/>
  <c r="I6942" i="15"/>
  <c r="J6942" i="15"/>
  <c r="H6943" i="15"/>
  <c r="I6943" i="15"/>
  <c r="J6943" i="15"/>
  <c r="H6944" i="15"/>
  <c r="I6944" i="15"/>
  <c r="J6944" i="15"/>
  <c r="H6945" i="15"/>
  <c r="I6945" i="15"/>
  <c r="J6945" i="15"/>
  <c r="H6946" i="15"/>
  <c r="I6946" i="15"/>
  <c r="J6946" i="15"/>
  <c r="H6947" i="15"/>
  <c r="I6947" i="15"/>
  <c r="J6947" i="15"/>
  <c r="H6948" i="15"/>
  <c r="I6948" i="15"/>
  <c r="J6948" i="15"/>
  <c r="H6949" i="15"/>
  <c r="I6949" i="15"/>
  <c r="J6949" i="15"/>
  <c r="H6950" i="15"/>
  <c r="I6950" i="15"/>
  <c r="J6950" i="15"/>
  <c r="H6951" i="15"/>
  <c r="I6951" i="15"/>
  <c r="J6951" i="15"/>
  <c r="H6952" i="15"/>
  <c r="I6952" i="15"/>
  <c r="J6952" i="15"/>
  <c r="H6953" i="15"/>
  <c r="I6953" i="15"/>
  <c r="J6953" i="15"/>
  <c r="H6954" i="15"/>
  <c r="I6954" i="15"/>
  <c r="J6954" i="15"/>
  <c r="H6955" i="15"/>
  <c r="I6955" i="15"/>
  <c r="J6955" i="15"/>
  <c r="H6956" i="15"/>
  <c r="I6956" i="15"/>
  <c r="J6956" i="15"/>
  <c r="H6957" i="15"/>
  <c r="I6957" i="15"/>
  <c r="J6957" i="15"/>
  <c r="H6958" i="15"/>
  <c r="I6958" i="15"/>
  <c r="J6958" i="15"/>
  <c r="H6959" i="15"/>
  <c r="I6959" i="15"/>
  <c r="J6959" i="15"/>
  <c r="H6960" i="15"/>
  <c r="I6960" i="15"/>
  <c r="J6960" i="15"/>
  <c r="H6961" i="15"/>
  <c r="I6961" i="15"/>
  <c r="J6961" i="15"/>
  <c r="H6962" i="15"/>
  <c r="I6962" i="15"/>
  <c r="J6962" i="15"/>
  <c r="H6963" i="15"/>
  <c r="I6963" i="15"/>
  <c r="J6963" i="15"/>
  <c r="H6964" i="15"/>
  <c r="I6964" i="15"/>
  <c r="J6964" i="15"/>
  <c r="H6965" i="15"/>
  <c r="I6965" i="15"/>
  <c r="J6965" i="15"/>
  <c r="H6966" i="15"/>
  <c r="I6966" i="15"/>
  <c r="J6966" i="15"/>
  <c r="H6967" i="15"/>
  <c r="I6967" i="15"/>
  <c r="J6967" i="15"/>
  <c r="H6968" i="15"/>
  <c r="I6968" i="15"/>
  <c r="J6968" i="15"/>
  <c r="H6969" i="15"/>
  <c r="I6969" i="15"/>
  <c r="J6969" i="15"/>
  <c r="H6970" i="15"/>
  <c r="I6970" i="15"/>
  <c r="J6970" i="15"/>
  <c r="H6971" i="15"/>
  <c r="I6971" i="15"/>
  <c r="J6971" i="15"/>
  <c r="H6972" i="15"/>
  <c r="I6972" i="15"/>
  <c r="J6972" i="15"/>
  <c r="H6973" i="15"/>
  <c r="I6973" i="15"/>
  <c r="J6973" i="15"/>
  <c r="H6974" i="15"/>
  <c r="I6974" i="15"/>
  <c r="J6974" i="15"/>
  <c r="H6975" i="15"/>
  <c r="I6975" i="15"/>
  <c r="J6975" i="15"/>
  <c r="H6976" i="15"/>
  <c r="I6976" i="15"/>
  <c r="J6976" i="15"/>
  <c r="H6977" i="15"/>
  <c r="I6977" i="15"/>
  <c r="J6977" i="15"/>
  <c r="H6978" i="15"/>
  <c r="I6978" i="15"/>
  <c r="J6978" i="15"/>
  <c r="H6979" i="15"/>
  <c r="I6979" i="15"/>
  <c r="J6979" i="15"/>
  <c r="H6980" i="15"/>
  <c r="I6980" i="15"/>
  <c r="J6980" i="15"/>
  <c r="H6981" i="15"/>
  <c r="I6981" i="15"/>
  <c r="J6981" i="15"/>
  <c r="H6982" i="15"/>
  <c r="I6982" i="15"/>
  <c r="J6982" i="15"/>
  <c r="H6983" i="15"/>
  <c r="I6983" i="15"/>
  <c r="J6983" i="15"/>
  <c r="H6984" i="15"/>
  <c r="I6984" i="15"/>
  <c r="J6984" i="15"/>
  <c r="H6985" i="15"/>
  <c r="I6985" i="15"/>
  <c r="J6985" i="15"/>
  <c r="H6986" i="15"/>
  <c r="I6986" i="15"/>
  <c r="J6986" i="15"/>
  <c r="H6987" i="15"/>
  <c r="I6987" i="15"/>
  <c r="J6987" i="15"/>
  <c r="H6988" i="15"/>
  <c r="I6988" i="15"/>
  <c r="J6988" i="15"/>
  <c r="H6989" i="15"/>
  <c r="I6989" i="15"/>
  <c r="J6989" i="15"/>
  <c r="H6990" i="15"/>
  <c r="I6990" i="15"/>
  <c r="J6990" i="15"/>
  <c r="H6991" i="15"/>
  <c r="I6991" i="15"/>
  <c r="J6991" i="15"/>
  <c r="H6992" i="15"/>
  <c r="I6992" i="15"/>
  <c r="J6992" i="15"/>
  <c r="H6993" i="15"/>
  <c r="I6993" i="15"/>
  <c r="J6993" i="15"/>
  <c r="H6994" i="15"/>
  <c r="I6994" i="15"/>
  <c r="J6994" i="15"/>
  <c r="H6995" i="15"/>
  <c r="I6995" i="15"/>
  <c r="J6995" i="15"/>
  <c r="H6996" i="15"/>
  <c r="I6996" i="15"/>
  <c r="J6996" i="15"/>
  <c r="H6997" i="15"/>
  <c r="I6997" i="15"/>
  <c r="J6997" i="15"/>
  <c r="H6998" i="15"/>
  <c r="I6998" i="15"/>
  <c r="J6998" i="15"/>
  <c r="H6999" i="15"/>
  <c r="I6999" i="15"/>
  <c r="J6999" i="15"/>
  <c r="H7000" i="15"/>
  <c r="I7000" i="15"/>
  <c r="J7000" i="15"/>
  <c r="H7001" i="15"/>
  <c r="I7001" i="15"/>
  <c r="J7001" i="15"/>
  <c r="H7002" i="15"/>
  <c r="I7002" i="15"/>
  <c r="J7002" i="15"/>
  <c r="H7003" i="15"/>
  <c r="I7003" i="15"/>
  <c r="J7003" i="15"/>
  <c r="H7004" i="15"/>
  <c r="I7004" i="15"/>
  <c r="J7004" i="15"/>
  <c r="H7005" i="15"/>
  <c r="I7005" i="15"/>
  <c r="J7005" i="15"/>
  <c r="H7006" i="15"/>
  <c r="I7006" i="15"/>
  <c r="J7006" i="15"/>
  <c r="H7007" i="15"/>
  <c r="I7007" i="15"/>
  <c r="J7007" i="15"/>
  <c r="H7008" i="15"/>
  <c r="I7008" i="15"/>
  <c r="J7008" i="15"/>
  <c r="H7009" i="15"/>
  <c r="I7009" i="15"/>
  <c r="J7009" i="15"/>
  <c r="H7010" i="15"/>
  <c r="I7010" i="15"/>
  <c r="J7010" i="15"/>
  <c r="H7011" i="15"/>
  <c r="I7011" i="15"/>
  <c r="J7011" i="15"/>
  <c r="H7012" i="15"/>
  <c r="I7012" i="15"/>
  <c r="J7012" i="15"/>
  <c r="H7013" i="15"/>
  <c r="I7013" i="15"/>
  <c r="J7013" i="15"/>
  <c r="H7014" i="15"/>
  <c r="I7014" i="15"/>
  <c r="J7014" i="15"/>
  <c r="H7015" i="15"/>
  <c r="I7015" i="15"/>
  <c r="J7015" i="15"/>
  <c r="H7016" i="15"/>
  <c r="I7016" i="15"/>
  <c r="J7016" i="15"/>
  <c r="H7017" i="15"/>
  <c r="I7017" i="15"/>
  <c r="J7017" i="15"/>
  <c r="H7018" i="15"/>
  <c r="I7018" i="15"/>
  <c r="J7018" i="15"/>
  <c r="H7019" i="15"/>
  <c r="I7019" i="15"/>
  <c r="J7019" i="15"/>
  <c r="H7020" i="15"/>
  <c r="I7020" i="15"/>
  <c r="J7020" i="15"/>
  <c r="H7021" i="15"/>
  <c r="I7021" i="15"/>
  <c r="J7021" i="15"/>
  <c r="H7022" i="15"/>
  <c r="I7022" i="15"/>
  <c r="J7022" i="15"/>
  <c r="H7023" i="15"/>
  <c r="I7023" i="15"/>
  <c r="J7023" i="15"/>
  <c r="H7024" i="15"/>
  <c r="I7024" i="15"/>
  <c r="J7024" i="15"/>
  <c r="H7025" i="15"/>
  <c r="I7025" i="15"/>
  <c r="J7025" i="15"/>
  <c r="H7026" i="15"/>
  <c r="I7026" i="15"/>
  <c r="J7026" i="15"/>
  <c r="H7027" i="15"/>
  <c r="I7027" i="15"/>
  <c r="J7027" i="15"/>
  <c r="H7028" i="15"/>
  <c r="I7028" i="15"/>
  <c r="J7028" i="15"/>
  <c r="H7029" i="15"/>
  <c r="I7029" i="15"/>
  <c r="J7029" i="15"/>
  <c r="H7030" i="15"/>
  <c r="I7030" i="15"/>
  <c r="J7030" i="15"/>
  <c r="H7031" i="15"/>
  <c r="I7031" i="15"/>
  <c r="J7031" i="15"/>
  <c r="H7032" i="15"/>
  <c r="I7032" i="15"/>
  <c r="J7032" i="15"/>
  <c r="H7033" i="15"/>
  <c r="I7033" i="15"/>
  <c r="J7033" i="15"/>
  <c r="H7034" i="15"/>
  <c r="I7034" i="15"/>
  <c r="J7034" i="15"/>
  <c r="H7035" i="15"/>
  <c r="I7035" i="15"/>
  <c r="J7035" i="15"/>
  <c r="H7036" i="15"/>
  <c r="I7036" i="15"/>
  <c r="J7036" i="15"/>
  <c r="H7037" i="15"/>
  <c r="I7037" i="15"/>
  <c r="J7037" i="15"/>
  <c r="H7038" i="15"/>
  <c r="I7038" i="15"/>
  <c r="J7038" i="15"/>
  <c r="H7039" i="15"/>
  <c r="I7039" i="15"/>
  <c r="J7039" i="15"/>
  <c r="H7040" i="15"/>
  <c r="I7040" i="15"/>
  <c r="J7040" i="15"/>
  <c r="H7041" i="15"/>
  <c r="I7041" i="15"/>
  <c r="J7041" i="15"/>
  <c r="H7042" i="15"/>
  <c r="I7042" i="15"/>
  <c r="J7042" i="15"/>
  <c r="H7043" i="15"/>
  <c r="I7043" i="15"/>
  <c r="J7043" i="15"/>
  <c r="H7044" i="15"/>
  <c r="I7044" i="15"/>
  <c r="J7044" i="15"/>
  <c r="H7045" i="15"/>
  <c r="I7045" i="15"/>
  <c r="J7045" i="15"/>
  <c r="H7046" i="15"/>
  <c r="I7046" i="15"/>
  <c r="J7046" i="15"/>
  <c r="H7047" i="15"/>
  <c r="I7047" i="15"/>
  <c r="J7047" i="15"/>
  <c r="H7048" i="15"/>
  <c r="I7048" i="15"/>
  <c r="J7048" i="15"/>
  <c r="H7049" i="15"/>
  <c r="I7049" i="15"/>
  <c r="J7049" i="15"/>
  <c r="H7050" i="15"/>
  <c r="I7050" i="15"/>
  <c r="J7050" i="15"/>
  <c r="H7051" i="15"/>
  <c r="I7051" i="15"/>
  <c r="J7051" i="15"/>
  <c r="H7052" i="15"/>
  <c r="I7052" i="15"/>
  <c r="J7052" i="15"/>
  <c r="H7053" i="15"/>
  <c r="I7053" i="15"/>
  <c r="J7053" i="15"/>
  <c r="H7054" i="15"/>
  <c r="I7054" i="15"/>
  <c r="J7054" i="15"/>
  <c r="H7055" i="15"/>
  <c r="I7055" i="15"/>
  <c r="J7055" i="15"/>
  <c r="H7056" i="15"/>
  <c r="I7056" i="15"/>
  <c r="J7056" i="15"/>
  <c r="H7057" i="15"/>
  <c r="I7057" i="15"/>
  <c r="J7057" i="15"/>
  <c r="H7058" i="15"/>
  <c r="I7058" i="15"/>
  <c r="J7058" i="15"/>
  <c r="H7059" i="15"/>
  <c r="I7059" i="15"/>
  <c r="J7059" i="15"/>
  <c r="H7060" i="15"/>
  <c r="I7060" i="15"/>
  <c r="J7060" i="15"/>
  <c r="H7061" i="15"/>
  <c r="I7061" i="15"/>
  <c r="J7061" i="15"/>
  <c r="H7062" i="15"/>
  <c r="I7062" i="15"/>
  <c r="J7062" i="15"/>
  <c r="H7063" i="15"/>
  <c r="I7063" i="15"/>
  <c r="J7063" i="15"/>
  <c r="H7064" i="15"/>
  <c r="I7064" i="15"/>
  <c r="J7064" i="15"/>
  <c r="H7065" i="15"/>
  <c r="I7065" i="15"/>
  <c r="J7065" i="15"/>
  <c r="H7066" i="15"/>
  <c r="I7066" i="15"/>
  <c r="J7066" i="15"/>
  <c r="H7067" i="15"/>
  <c r="I7067" i="15"/>
  <c r="J7067" i="15"/>
  <c r="H7068" i="15"/>
  <c r="I7068" i="15"/>
  <c r="J7068" i="15"/>
  <c r="H7069" i="15"/>
  <c r="I7069" i="15"/>
  <c r="J7069" i="15"/>
  <c r="H7070" i="15"/>
  <c r="I7070" i="15"/>
  <c r="J7070" i="15"/>
  <c r="H7071" i="15"/>
  <c r="I7071" i="15"/>
  <c r="J7071" i="15"/>
  <c r="H7072" i="15"/>
  <c r="I7072" i="15"/>
  <c r="J7072" i="15"/>
  <c r="H7073" i="15"/>
  <c r="I7073" i="15"/>
  <c r="J7073" i="15"/>
  <c r="H7074" i="15"/>
  <c r="I7074" i="15"/>
  <c r="J7074" i="15"/>
  <c r="H7075" i="15"/>
  <c r="I7075" i="15"/>
  <c r="J7075" i="15"/>
  <c r="H7076" i="15"/>
  <c r="I7076" i="15"/>
  <c r="J7076" i="15"/>
  <c r="H7077" i="15"/>
  <c r="I7077" i="15"/>
  <c r="J7077" i="15"/>
  <c r="H7078" i="15"/>
  <c r="I7078" i="15"/>
  <c r="J7078" i="15"/>
  <c r="H7079" i="15"/>
  <c r="I7079" i="15"/>
  <c r="J7079" i="15"/>
  <c r="H7080" i="15"/>
  <c r="I7080" i="15"/>
  <c r="J7080" i="15"/>
  <c r="H7081" i="15"/>
  <c r="I7081" i="15"/>
  <c r="J7081" i="15"/>
  <c r="H7082" i="15"/>
  <c r="I7082" i="15"/>
  <c r="J7082" i="15"/>
  <c r="H7083" i="15"/>
  <c r="I7083" i="15"/>
  <c r="J7083" i="15"/>
  <c r="H7084" i="15"/>
  <c r="I7084" i="15"/>
  <c r="J7084" i="15"/>
  <c r="H7085" i="15"/>
  <c r="I7085" i="15"/>
  <c r="J7085" i="15"/>
  <c r="H7086" i="15"/>
  <c r="I7086" i="15"/>
  <c r="J7086" i="15"/>
  <c r="H7087" i="15"/>
  <c r="I7087" i="15"/>
  <c r="J7087" i="15"/>
  <c r="H7088" i="15"/>
  <c r="I7088" i="15"/>
  <c r="J7088" i="15"/>
  <c r="H7089" i="15"/>
  <c r="I7089" i="15"/>
  <c r="J7089" i="15"/>
  <c r="H7090" i="15"/>
  <c r="I7090" i="15"/>
  <c r="J7090" i="15"/>
  <c r="H7091" i="15"/>
  <c r="I7091" i="15"/>
  <c r="J7091" i="15"/>
  <c r="H7092" i="15"/>
  <c r="I7092" i="15"/>
  <c r="J7092" i="15"/>
  <c r="H7093" i="15"/>
  <c r="I7093" i="15"/>
  <c r="J7093" i="15"/>
  <c r="H7094" i="15"/>
  <c r="I7094" i="15"/>
  <c r="J7094" i="15"/>
  <c r="H7095" i="15"/>
  <c r="I7095" i="15"/>
  <c r="J7095" i="15"/>
  <c r="H7096" i="15"/>
  <c r="I7096" i="15"/>
  <c r="J7096" i="15"/>
  <c r="H7097" i="15"/>
  <c r="I7097" i="15"/>
  <c r="J7097" i="15"/>
  <c r="H7098" i="15"/>
  <c r="I7098" i="15"/>
  <c r="J7098" i="15"/>
  <c r="H7099" i="15"/>
  <c r="I7099" i="15"/>
  <c r="J7099" i="15"/>
  <c r="H7100" i="15"/>
  <c r="I7100" i="15"/>
  <c r="J7100" i="15"/>
  <c r="H7101" i="15"/>
  <c r="I7101" i="15"/>
  <c r="J7101" i="15"/>
  <c r="H7102" i="15"/>
  <c r="I7102" i="15"/>
  <c r="J7102" i="15"/>
  <c r="H7103" i="15"/>
  <c r="I7103" i="15"/>
  <c r="J7103" i="15"/>
  <c r="H7104" i="15"/>
  <c r="I7104" i="15"/>
  <c r="J7104" i="15"/>
  <c r="H7105" i="15"/>
  <c r="I7105" i="15"/>
  <c r="J7105" i="15"/>
  <c r="H7106" i="15"/>
  <c r="I7106" i="15"/>
  <c r="J7106" i="15"/>
  <c r="H7107" i="15"/>
  <c r="I7107" i="15"/>
  <c r="J7107" i="15"/>
  <c r="H7108" i="15"/>
  <c r="I7108" i="15"/>
  <c r="J7108" i="15"/>
  <c r="H7109" i="15"/>
  <c r="I7109" i="15"/>
  <c r="J7109" i="15"/>
  <c r="H7110" i="15"/>
  <c r="I7110" i="15"/>
  <c r="J7110" i="15"/>
  <c r="H7111" i="15"/>
  <c r="I7111" i="15"/>
  <c r="J7111" i="15"/>
  <c r="H7112" i="15"/>
  <c r="I7112" i="15"/>
  <c r="J7112" i="15"/>
  <c r="H7113" i="15"/>
  <c r="I7113" i="15"/>
  <c r="J7113" i="15"/>
  <c r="H7114" i="15"/>
  <c r="I7114" i="15"/>
  <c r="J7114" i="15"/>
  <c r="H7115" i="15"/>
  <c r="I7115" i="15"/>
  <c r="J7115" i="15"/>
  <c r="H7116" i="15"/>
  <c r="I7116" i="15"/>
  <c r="J7116" i="15"/>
  <c r="H7117" i="15"/>
  <c r="I7117" i="15"/>
  <c r="J7117" i="15"/>
  <c r="H7118" i="15"/>
  <c r="I7118" i="15"/>
  <c r="J7118" i="15"/>
  <c r="H7119" i="15"/>
  <c r="I7119" i="15"/>
  <c r="J7119" i="15"/>
  <c r="H7120" i="15"/>
  <c r="I7120" i="15"/>
  <c r="J7120" i="15"/>
  <c r="H7121" i="15"/>
  <c r="I7121" i="15"/>
  <c r="J7121" i="15"/>
  <c r="H7122" i="15"/>
  <c r="I7122" i="15"/>
  <c r="J7122" i="15"/>
  <c r="H7123" i="15"/>
  <c r="I7123" i="15"/>
  <c r="J7123" i="15"/>
  <c r="H7124" i="15"/>
  <c r="I7124" i="15"/>
  <c r="J7124" i="15"/>
  <c r="H7125" i="15"/>
  <c r="I7125" i="15"/>
  <c r="J7125" i="15"/>
  <c r="H7126" i="15"/>
  <c r="I7126" i="15"/>
  <c r="J7126" i="15"/>
  <c r="H7127" i="15"/>
  <c r="I7127" i="15"/>
  <c r="J7127" i="15"/>
  <c r="H7128" i="15"/>
  <c r="I7128" i="15"/>
  <c r="J7128" i="15"/>
  <c r="H7129" i="15"/>
  <c r="I7129" i="15"/>
  <c r="J7129" i="15"/>
  <c r="H7130" i="15"/>
  <c r="I7130" i="15"/>
  <c r="J7130" i="15"/>
  <c r="H7131" i="15"/>
  <c r="I7131" i="15"/>
  <c r="J7131" i="15"/>
  <c r="H7132" i="15"/>
  <c r="I7132" i="15"/>
  <c r="J7132" i="15"/>
  <c r="H7133" i="15"/>
  <c r="I7133" i="15"/>
  <c r="J7133" i="15"/>
  <c r="H7134" i="15"/>
  <c r="I7134" i="15"/>
  <c r="J7134" i="15"/>
  <c r="H7135" i="15"/>
  <c r="I7135" i="15"/>
  <c r="J7135" i="15"/>
  <c r="H7136" i="15"/>
  <c r="I7136" i="15"/>
  <c r="J7136" i="15"/>
  <c r="H7137" i="15"/>
  <c r="I7137" i="15"/>
  <c r="J7137" i="15"/>
  <c r="H7138" i="15"/>
  <c r="I7138" i="15"/>
  <c r="J7138" i="15"/>
  <c r="H7139" i="15"/>
  <c r="I7139" i="15"/>
  <c r="J7139" i="15"/>
  <c r="H7140" i="15"/>
  <c r="I7140" i="15"/>
  <c r="J7140" i="15"/>
  <c r="H7141" i="15"/>
  <c r="I7141" i="15"/>
  <c r="J7141" i="15"/>
  <c r="H7142" i="15"/>
  <c r="I7142" i="15"/>
  <c r="J7142" i="15"/>
  <c r="H7143" i="15"/>
  <c r="I7143" i="15"/>
  <c r="J7143" i="15"/>
  <c r="H7144" i="15"/>
  <c r="I7144" i="15"/>
  <c r="J7144" i="15"/>
  <c r="H7145" i="15"/>
  <c r="I7145" i="15"/>
  <c r="J7145" i="15"/>
  <c r="H7146" i="15"/>
  <c r="I7146" i="15"/>
  <c r="J7146" i="15"/>
  <c r="H7147" i="15"/>
  <c r="I7147" i="15"/>
  <c r="J7147" i="15"/>
  <c r="H7148" i="15"/>
  <c r="I7148" i="15"/>
  <c r="J7148" i="15"/>
  <c r="H7149" i="15"/>
  <c r="I7149" i="15"/>
  <c r="J7149" i="15"/>
  <c r="H7150" i="15"/>
  <c r="I7150" i="15"/>
  <c r="J7150" i="15"/>
  <c r="H7151" i="15"/>
  <c r="I7151" i="15"/>
  <c r="J7151" i="15"/>
  <c r="H7152" i="15"/>
  <c r="I7152" i="15"/>
  <c r="J7152" i="15"/>
  <c r="H7153" i="15"/>
  <c r="I7153" i="15"/>
  <c r="J7153" i="15"/>
  <c r="H7154" i="15"/>
  <c r="I7154" i="15"/>
  <c r="J7154" i="15"/>
  <c r="H7155" i="15"/>
  <c r="I7155" i="15"/>
  <c r="J7155" i="15"/>
  <c r="H7156" i="15"/>
  <c r="I7156" i="15"/>
  <c r="J7156" i="15"/>
  <c r="H7157" i="15"/>
  <c r="I7157" i="15"/>
  <c r="J7157" i="15"/>
  <c r="H7158" i="15"/>
  <c r="I7158" i="15"/>
  <c r="J7158" i="15"/>
  <c r="H7159" i="15"/>
  <c r="I7159" i="15"/>
  <c r="J7159" i="15"/>
  <c r="H7160" i="15"/>
  <c r="I7160" i="15"/>
  <c r="J7160" i="15"/>
  <c r="H7161" i="15"/>
  <c r="I7161" i="15"/>
  <c r="J7161" i="15"/>
  <c r="H7162" i="15"/>
  <c r="I7162" i="15"/>
  <c r="J7162" i="15"/>
  <c r="H7163" i="15"/>
  <c r="I7163" i="15"/>
  <c r="J7163" i="15"/>
  <c r="H7164" i="15"/>
  <c r="I7164" i="15"/>
  <c r="J7164" i="15"/>
  <c r="H7165" i="15"/>
  <c r="I7165" i="15"/>
  <c r="J7165" i="15"/>
  <c r="H7166" i="15"/>
  <c r="I7166" i="15"/>
  <c r="J7166" i="15"/>
  <c r="H7167" i="15"/>
  <c r="I7167" i="15"/>
  <c r="J7167" i="15"/>
  <c r="H7168" i="15"/>
  <c r="I7168" i="15"/>
  <c r="J7168" i="15"/>
  <c r="H7169" i="15"/>
  <c r="I7169" i="15"/>
  <c r="J7169" i="15"/>
  <c r="H7170" i="15"/>
  <c r="I7170" i="15"/>
  <c r="J7170" i="15"/>
  <c r="H7171" i="15"/>
  <c r="I7171" i="15"/>
  <c r="J7171" i="15"/>
  <c r="H7172" i="15"/>
  <c r="I7172" i="15"/>
  <c r="J7172" i="15"/>
  <c r="H7173" i="15"/>
  <c r="I7173" i="15"/>
  <c r="J7173" i="15"/>
  <c r="H7174" i="15"/>
  <c r="I7174" i="15"/>
  <c r="J7174" i="15"/>
  <c r="H7175" i="15"/>
  <c r="I7175" i="15"/>
  <c r="J7175" i="15"/>
  <c r="H7176" i="15"/>
  <c r="I7176" i="15"/>
  <c r="J7176" i="15"/>
  <c r="H7177" i="15"/>
  <c r="I7177" i="15"/>
  <c r="J7177" i="15"/>
  <c r="H7178" i="15"/>
  <c r="I7178" i="15"/>
  <c r="J7178" i="15"/>
  <c r="H7179" i="15"/>
  <c r="I7179" i="15"/>
  <c r="J7179" i="15"/>
  <c r="H7180" i="15"/>
  <c r="I7180" i="15"/>
  <c r="J7180" i="15"/>
  <c r="H7181" i="15"/>
  <c r="I7181" i="15"/>
  <c r="J7181" i="15"/>
  <c r="H7182" i="15"/>
  <c r="I7182" i="15"/>
  <c r="J7182" i="15"/>
  <c r="H7183" i="15"/>
  <c r="I7183" i="15"/>
  <c r="J7183" i="15"/>
  <c r="H7184" i="15"/>
  <c r="I7184" i="15"/>
  <c r="J7184" i="15"/>
  <c r="H7185" i="15"/>
  <c r="I7185" i="15"/>
  <c r="J7185" i="15"/>
  <c r="H7186" i="15"/>
  <c r="I7186" i="15"/>
  <c r="J7186" i="15"/>
  <c r="H7187" i="15"/>
  <c r="I7187" i="15"/>
  <c r="J7187" i="15"/>
  <c r="H7188" i="15"/>
  <c r="I7188" i="15"/>
  <c r="J7188" i="15"/>
  <c r="H7189" i="15"/>
  <c r="I7189" i="15"/>
  <c r="J7189" i="15"/>
  <c r="H7190" i="15"/>
  <c r="I7190" i="15"/>
  <c r="J7190" i="15"/>
  <c r="H7191" i="15"/>
  <c r="I7191" i="15"/>
  <c r="J7191" i="15"/>
  <c r="H7192" i="15"/>
  <c r="I7192" i="15"/>
  <c r="J7192" i="15"/>
  <c r="H7193" i="15"/>
  <c r="I7193" i="15"/>
  <c r="J7193" i="15"/>
  <c r="H7194" i="15"/>
  <c r="I7194" i="15"/>
  <c r="J7194" i="15"/>
  <c r="H7195" i="15"/>
  <c r="I7195" i="15"/>
  <c r="J7195" i="15"/>
  <c r="H7196" i="15"/>
  <c r="I7196" i="15"/>
  <c r="J7196" i="15"/>
  <c r="H7197" i="15"/>
  <c r="I7197" i="15"/>
  <c r="J7197" i="15"/>
  <c r="H7198" i="15"/>
  <c r="I7198" i="15"/>
  <c r="J7198" i="15"/>
  <c r="H7199" i="15"/>
  <c r="I7199" i="15"/>
  <c r="J7199" i="15"/>
  <c r="H7200" i="15"/>
  <c r="I7200" i="15"/>
  <c r="J7200" i="15"/>
  <c r="H7201" i="15"/>
  <c r="I7201" i="15"/>
  <c r="J7201" i="15"/>
  <c r="H7202" i="15"/>
  <c r="I7202" i="15"/>
  <c r="J7202" i="15"/>
  <c r="H7203" i="15"/>
  <c r="I7203" i="15"/>
  <c r="J7203" i="15"/>
  <c r="H7204" i="15"/>
  <c r="I7204" i="15"/>
  <c r="J7204" i="15"/>
  <c r="H7205" i="15"/>
  <c r="I7205" i="15"/>
  <c r="J7205" i="15"/>
  <c r="H7206" i="15"/>
  <c r="I7206" i="15"/>
  <c r="J7206" i="15"/>
  <c r="H7207" i="15"/>
  <c r="I7207" i="15"/>
  <c r="J7207" i="15"/>
  <c r="H7208" i="15"/>
  <c r="I7208" i="15"/>
  <c r="J7208" i="15"/>
  <c r="H7209" i="15"/>
  <c r="I7209" i="15"/>
  <c r="J7209" i="15"/>
  <c r="H7210" i="15"/>
  <c r="I7210" i="15"/>
  <c r="J7210" i="15"/>
  <c r="H7211" i="15"/>
  <c r="I7211" i="15"/>
  <c r="J7211" i="15"/>
  <c r="H7212" i="15"/>
  <c r="I7212" i="15"/>
  <c r="J7212" i="15"/>
  <c r="H7213" i="15"/>
  <c r="I7213" i="15"/>
  <c r="J7213" i="15"/>
  <c r="H7214" i="15"/>
  <c r="I7214" i="15"/>
  <c r="J7214" i="15"/>
  <c r="H7215" i="15"/>
  <c r="I7215" i="15"/>
  <c r="J7215" i="15"/>
  <c r="H7216" i="15"/>
  <c r="I7216" i="15"/>
  <c r="J7216" i="15"/>
  <c r="H7217" i="15"/>
  <c r="I7217" i="15"/>
  <c r="J7217" i="15"/>
  <c r="H7218" i="15"/>
  <c r="I7218" i="15"/>
  <c r="J7218" i="15"/>
  <c r="H7219" i="15"/>
  <c r="I7219" i="15"/>
  <c r="J7219" i="15"/>
  <c r="H7220" i="15"/>
  <c r="I7220" i="15"/>
  <c r="J7220" i="15"/>
  <c r="H7221" i="15"/>
  <c r="I7221" i="15"/>
  <c r="J7221" i="15"/>
  <c r="H7222" i="15"/>
  <c r="I7222" i="15"/>
  <c r="J7222" i="15"/>
  <c r="H7223" i="15"/>
  <c r="I7223" i="15"/>
  <c r="J7223" i="15"/>
  <c r="H7224" i="15"/>
  <c r="I7224" i="15"/>
  <c r="J7224" i="15"/>
  <c r="H7225" i="15"/>
  <c r="I7225" i="15"/>
  <c r="J7225" i="15"/>
  <c r="H7226" i="15"/>
  <c r="I7226" i="15"/>
  <c r="J7226" i="15"/>
  <c r="H7227" i="15"/>
  <c r="I7227" i="15"/>
  <c r="J7227" i="15"/>
  <c r="H7228" i="15"/>
  <c r="I7228" i="15"/>
  <c r="J7228" i="15"/>
  <c r="H7229" i="15"/>
  <c r="I7229" i="15"/>
  <c r="J7229" i="15"/>
  <c r="H7230" i="15"/>
  <c r="I7230" i="15"/>
  <c r="J7230" i="15"/>
  <c r="H7231" i="15"/>
  <c r="I7231" i="15"/>
  <c r="J7231" i="15"/>
  <c r="H7232" i="15"/>
  <c r="I7232" i="15"/>
  <c r="J7232" i="15"/>
  <c r="H7233" i="15"/>
  <c r="I7233" i="15"/>
  <c r="J7233" i="15"/>
  <c r="H7234" i="15"/>
  <c r="I7234" i="15"/>
  <c r="J7234" i="15"/>
  <c r="H7235" i="15"/>
  <c r="I7235" i="15"/>
  <c r="J7235" i="15"/>
  <c r="H7236" i="15"/>
  <c r="I7236" i="15"/>
  <c r="J7236" i="15"/>
  <c r="H7237" i="15"/>
  <c r="I7237" i="15"/>
  <c r="J7237" i="15"/>
  <c r="H7238" i="15"/>
  <c r="I7238" i="15"/>
  <c r="J7238" i="15"/>
  <c r="H7239" i="15"/>
  <c r="I7239" i="15"/>
  <c r="J7239" i="15"/>
  <c r="H7240" i="15"/>
  <c r="I7240" i="15"/>
  <c r="J7240" i="15"/>
  <c r="H7241" i="15"/>
  <c r="I7241" i="15"/>
  <c r="J7241" i="15"/>
  <c r="H7242" i="15"/>
  <c r="I7242" i="15"/>
  <c r="J7242" i="15"/>
  <c r="H7243" i="15"/>
  <c r="I7243" i="15"/>
  <c r="J7243" i="15"/>
  <c r="H7244" i="15"/>
  <c r="I7244" i="15"/>
  <c r="J7244" i="15"/>
  <c r="H7245" i="15"/>
  <c r="I7245" i="15"/>
  <c r="J7245" i="15"/>
  <c r="H7246" i="15"/>
  <c r="I7246" i="15"/>
  <c r="J7246" i="15"/>
  <c r="H7247" i="15"/>
  <c r="I7247" i="15"/>
  <c r="J7247" i="15"/>
  <c r="H7248" i="15"/>
  <c r="I7248" i="15"/>
  <c r="J7248" i="15"/>
  <c r="H7249" i="15"/>
  <c r="I7249" i="15"/>
  <c r="J7249" i="15"/>
  <c r="H7250" i="15"/>
  <c r="I7250" i="15"/>
  <c r="J7250" i="15"/>
  <c r="H7251" i="15"/>
  <c r="I7251" i="15"/>
  <c r="J7251" i="15"/>
  <c r="H7252" i="15"/>
  <c r="I7252" i="15"/>
  <c r="J7252" i="15"/>
  <c r="H7253" i="15"/>
  <c r="I7253" i="15"/>
  <c r="J7253" i="15"/>
  <c r="H7254" i="15"/>
  <c r="I7254" i="15"/>
  <c r="J7254" i="15"/>
  <c r="H7255" i="15"/>
  <c r="I7255" i="15"/>
  <c r="J7255" i="15"/>
  <c r="H7256" i="15"/>
  <c r="I7256" i="15"/>
  <c r="J7256" i="15"/>
  <c r="H7257" i="15"/>
  <c r="I7257" i="15"/>
  <c r="J7257" i="15"/>
  <c r="H7258" i="15"/>
  <c r="I7258" i="15"/>
  <c r="J7258" i="15"/>
  <c r="H7259" i="15"/>
  <c r="I7259" i="15"/>
  <c r="J7259" i="15"/>
  <c r="H7260" i="15"/>
  <c r="I7260" i="15"/>
  <c r="J7260" i="15"/>
  <c r="H7261" i="15"/>
  <c r="I7261" i="15"/>
  <c r="J7261" i="15"/>
  <c r="H7262" i="15"/>
  <c r="I7262" i="15"/>
  <c r="J7262" i="15"/>
  <c r="H7263" i="15"/>
  <c r="I7263" i="15"/>
  <c r="J7263" i="15"/>
  <c r="H7264" i="15"/>
  <c r="I7264" i="15"/>
  <c r="J7264" i="15"/>
  <c r="H7265" i="15"/>
  <c r="I7265" i="15"/>
  <c r="J7265" i="15"/>
  <c r="H7266" i="15"/>
  <c r="I7266" i="15"/>
  <c r="J7266" i="15"/>
  <c r="H7267" i="15"/>
  <c r="I7267" i="15"/>
  <c r="J7267" i="15"/>
  <c r="H7268" i="15"/>
  <c r="I7268" i="15"/>
  <c r="J7268" i="15"/>
  <c r="H7269" i="15"/>
  <c r="I7269" i="15"/>
  <c r="J7269" i="15"/>
  <c r="H7270" i="15"/>
  <c r="I7270" i="15"/>
  <c r="J7270" i="15"/>
  <c r="H7271" i="15"/>
  <c r="I7271" i="15"/>
  <c r="J7271" i="15"/>
  <c r="H7272" i="15"/>
  <c r="I7272" i="15"/>
  <c r="J7272" i="15"/>
  <c r="H7273" i="15"/>
  <c r="I7273" i="15"/>
  <c r="J7273" i="15"/>
  <c r="H7274" i="15"/>
  <c r="I7274" i="15"/>
  <c r="J7274" i="15"/>
  <c r="H7275" i="15"/>
  <c r="I7275" i="15"/>
  <c r="J7275" i="15"/>
  <c r="H7276" i="15"/>
  <c r="I7276" i="15"/>
  <c r="J7276" i="15"/>
  <c r="H7277" i="15"/>
  <c r="I7277" i="15"/>
  <c r="J7277" i="15"/>
  <c r="H7278" i="15"/>
  <c r="I7278" i="15"/>
  <c r="J7278" i="15"/>
  <c r="H7279" i="15"/>
  <c r="I7279" i="15"/>
  <c r="J7279" i="15"/>
  <c r="H7280" i="15"/>
  <c r="I7280" i="15"/>
  <c r="J7280" i="15"/>
  <c r="H7281" i="15"/>
  <c r="I7281" i="15"/>
  <c r="J7281" i="15"/>
  <c r="H7282" i="15"/>
  <c r="I7282" i="15"/>
  <c r="J7282" i="15"/>
  <c r="H7283" i="15"/>
  <c r="I7283" i="15"/>
  <c r="J7283" i="15"/>
  <c r="H7284" i="15"/>
  <c r="I7284" i="15"/>
  <c r="J7284" i="15"/>
  <c r="H7285" i="15"/>
  <c r="I7285" i="15"/>
  <c r="J7285" i="15"/>
  <c r="H7286" i="15"/>
  <c r="I7286" i="15"/>
  <c r="J7286" i="15"/>
  <c r="H7287" i="15"/>
  <c r="I7287" i="15"/>
  <c r="J7287" i="15"/>
  <c r="H7288" i="15"/>
  <c r="I7288" i="15"/>
  <c r="J7288" i="15"/>
  <c r="H7289" i="15"/>
  <c r="I7289" i="15"/>
  <c r="J7289" i="15"/>
  <c r="H7290" i="15"/>
  <c r="I7290" i="15"/>
  <c r="J7290" i="15"/>
  <c r="H7291" i="15"/>
  <c r="I7291" i="15"/>
  <c r="J7291" i="15"/>
  <c r="H7292" i="15"/>
  <c r="I7292" i="15"/>
  <c r="J7292" i="15"/>
  <c r="H7293" i="15"/>
  <c r="I7293" i="15"/>
  <c r="J7293" i="15"/>
  <c r="H7294" i="15"/>
  <c r="I7294" i="15"/>
  <c r="J7294" i="15"/>
  <c r="H7295" i="15"/>
  <c r="I7295" i="15"/>
  <c r="J7295" i="15"/>
  <c r="H7296" i="15"/>
  <c r="I7296" i="15"/>
  <c r="J7296" i="15"/>
  <c r="H7297" i="15"/>
  <c r="I7297" i="15"/>
  <c r="J7297" i="15"/>
  <c r="H7298" i="15"/>
  <c r="I7298" i="15"/>
  <c r="J7298" i="15"/>
  <c r="H7299" i="15"/>
  <c r="I7299" i="15"/>
  <c r="J7299" i="15"/>
  <c r="H7300" i="15"/>
  <c r="I7300" i="15"/>
  <c r="J7300" i="15"/>
  <c r="H7301" i="15"/>
  <c r="I7301" i="15"/>
  <c r="J7301" i="15"/>
  <c r="H7302" i="15"/>
  <c r="I7302" i="15"/>
  <c r="J7302" i="15"/>
  <c r="H7303" i="15"/>
  <c r="I7303" i="15"/>
  <c r="J7303" i="15"/>
  <c r="H7304" i="15"/>
  <c r="I7304" i="15"/>
  <c r="J7304" i="15"/>
  <c r="H7305" i="15"/>
  <c r="I7305" i="15"/>
  <c r="J7305" i="15"/>
  <c r="H7306" i="15"/>
  <c r="I7306" i="15"/>
  <c r="J7306" i="15"/>
  <c r="H7307" i="15"/>
  <c r="I7307" i="15"/>
  <c r="J7307" i="15"/>
  <c r="H7308" i="15"/>
  <c r="I7308" i="15"/>
  <c r="J7308" i="15"/>
  <c r="H7309" i="15"/>
  <c r="I7309" i="15"/>
  <c r="J7309" i="15"/>
  <c r="H7310" i="15"/>
  <c r="I7310" i="15"/>
  <c r="J7310" i="15"/>
  <c r="H7311" i="15"/>
  <c r="I7311" i="15"/>
  <c r="J7311" i="15"/>
  <c r="H7312" i="15"/>
  <c r="I7312" i="15"/>
  <c r="J7312" i="15"/>
  <c r="H7313" i="15"/>
  <c r="I7313" i="15"/>
  <c r="J7313" i="15"/>
  <c r="H7314" i="15"/>
  <c r="I7314" i="15"/>
  <c r="J7314" i="15"/>
  <c r="H7315" i="15"/>
  <c r="I7315" i="15"/>
  <c r="J7315" i="15"/>
  <c r="H7316" i="15"/>
  <c r="I7316" i="15"/>
  <c r="J7316" i="15"/>
  <c r="H7317" i="15"/>
  <c r="I7317" i="15"/>
  <c r="J7317" i="15"/>
  <c r="H7318" i="15"/>
  <c r="I7318" i="15"/>
  <c r="J7318" i="15"/>
  <c r="H7319" i="15"/>
  <c r="I7319" i="15"/>
  <c r="J7319" i="15"/>
  <c r="H7320" i="15"/>
  <c r="I7320" i="15"/>
  <c r="J7320" i="15"/>
  <c r="H7321" i="15"/>
  <c r="I7321" i="15"/>
  <c r="J7321" i="15"/>
  <c r="H7322" i="15"/>
  <c r="I7322" i="15"/>
  <c r="J7322" i="15"/>
  <c r="H7323" i="15"/>
  <c r="I7323" i="15"/>
  <c r="J7323" i="15"/>
  <c r="H7324" i="15"/>
  <c r="I7324" i="15"/>
  <c r="J7324" i="15"/>
  <c r="H7325" i="15"/>
  <c r="I7325" i="15"/>
  <c r="J7325" i="15"/>
  <c r="H7326" i="15"/>
  <c r="I7326" i="15"/>
  <c r="J7326" i="15"/>
  <c r="H7327" i="15"/>
  <c r="I7327" i="15"/>
  <c r="J7327" i="15"/>
  <c r="H7328" i="15"/>
  <c r="I7328" i="15"/>
  <c r="J7328" i="15"/>
  <c r="H7329" i="15"/>
  <c r="I7329" i="15"/>
  <c r="J7329" i="15"/>
  <c r="H7330" i="15"/>
  <c r="I7330" i="15"/>
  <c r="J7330" i="15"/>
  <c r="H7331" i="15"/>
  <c r="I7331" i="15"/>
  <c r="J7331" i="15"/>
  <c r="H7332" i="15"/>
  <c r="I7332" i="15"/>
  <c r="J7332" i="15"/>
  <c r="H7333" i="15"/>
  <c r="I7333" i="15"/>
  <c r="J7333" i="15"/>
  <c r="H7334" i="15"/>
  <c r="I7334" i="15"/>
  <c r="J7334" i="15"/>
  <c r="H7335" i="15"/>
  <c r="I7335" i="15"/>
  <c r="J7335" i="15"/>
  <c r="H7336" i="15"/>
  <c r="I7336" i="15"/>
  <c r="J7336" i="15"/>
  <c r="H7337" i="15"/>
  <c r="I7337" i="15"/>
  <c r="J7337" i="15"/>
  <c r="H7338" i="15"/>
  <c r="I7338" i="15"/>
  <c r="J7338" i="15"/>
  <c r="H7339" i="15"/>
  <c r="I7339" i="15"/>
  <c r="J7339" i="15"/>
  <c r="H7340" i="15"/>
  <c r="I7340" i="15"/>
  <c r="J7340" i="15"/>
  <c r="H7341" i="15"/>
  <c r="I7341" i="15"/>
  <c r="J7341" i="15"/>
  <c r="H7342" i="15"/>
  <c r="I7342" i="15"/>
  <c r="J7342" i="15"/>
  <c r="H7343" i="15"/>
  <c r="I7343" i="15"/>
  <c r="J7343" i="15"/>
  <c r="H7344" i="15"/>
  <c r="I7344" i="15"/>
  <c r="J7344" i="15"/>
  <c r="H7345" i="15"/>
  <c r="I7345" i="15"/>
  <c r="J7345" i="15"/>
  <c r="H7346" i="15"/>
  <c r="I7346" i="15"/>
  <c r="J7346" i="15"/>
  <c r="H7347" i="15"/>
  <c r="I7347" i="15"/>
  <c r="J7347" i="15"/>
  <c r="H7348" i="15"/>
  <c r="I7348" i="15"/>
  <c r="J7348" i="15"/>
  <c r="H7349" i="15"/>
  <c r="I7349" i="15"/>
  <c r="J7349" i="15"/>
  <c r="H7350" i="15"/>
  <c r="I7350" i="15"/>
  <c r="J7350" i="15"/>
  <c r="H7351" i="15"/>
  <c r="I7351" i="15"/>
  <c r="J7351" i="15"/>
  <c r="H7352" i="15"/>
  <c r="I7352" i="15"/>
  <c r="J7352" i="15"/>
  <c r="H7353" i="15"/>
  <c r="I7353" i="15"/>
  <c r="J7353" i="15"/>
  <c r="H7354" i="15"/>
  <c r="I7354" i="15"/>
  <c r="J7354" i="15"/>
  <c r="H7355" i="15"/>
  <c r="I7355" i="15"/>
  <c r="J7355" i="15"/>
  <c r="H7356" i="15"/>
  <c r="I7356" i="15"/>
  <c r="J7356" i="15"/>
  <c r="H7357" i="15"/>
  <c r="I7357" i="15"/>
  <c r="J7357" i="15"/>
  <c r="H7358" i="15"/>
  <c r="I7358" i="15"/>
  <c r="J7358" i="15"/>
  <c r="H7359" i="15"/>
  <c r="I7359" i="15"/>
  <c r="J7359" i="15"/>
  <c r="H7360" i="15"/>
  <c r="I7360" i="15"/>
  <c r="J7360" i="15"/>
  <c r="H7361" i="15"/>
  <c r="I7361" i="15"/>
  <c r="J7361" i="15"/>
  <c r="H7362" i="15"/>
  <c r="I7362" i="15"/>
  <c r="J7362" i="15"/>
  <c r="H7363" i="15"/>
  <c r="I7363" i="15"/>
  <c r="J7363" i="15"/>
  <c r="H7364" i="15"/>
  <c r="I7364" i="15"/>
  <c r="J7364" i="15"/>
  <c r="H7365" i="15"/>
  <c r="I7365" i="15"/>
  <c r="J7365" i="15"/>
  <c r="H7366" i="15"/>
  <c r="I7366" i="15"/>
  <c r="J7366" i="15"/>
  <c r="H7367" i="15"/>
  <c r="I7367" i="15"/>
  <c r="J7367" i="15"/>
  <c r="H7368" i="15"/>
  <c r="I7368" i="15"/>
  <c r="J7368" i="15"/>
  <c r="H7369" i="15"/>
  <c r="I7369" i="15"/>
  <c r="J7369" i="15"/>
  <c r="H7370" i="15"/>
  <c r="I7370" i="15"/>
  <c r="J7370" i="15"/>
  <c r="H7371" i="15"/>
  <c r="I7371" i="15"/>
  <c r="J7371" i="15"/>
  <c r="H7372" i="15"/>
  <c r="I7372" i="15"/>
  <c r="J7372" i="15"/>
  <c r="H7373" i="15"/>
  <c r="I7373" i="15"/>
  <c r="J7373" i="15"/>
  <c r="H7374" i="15"/>
  <c r="I7374" i="15"/>
  <c r="J7374" i="15"/>
  <c r="H7375" i="15"/>
  <c r="I7375" i="15"/>
  <c r="J7375" i="15"/>
  <c r="H7376" i="15"/>
  <c r="I7376" i="15"/>
  <c r="J7376" i="15"/>
  <c r="H7377" i="15"/>
  <c r="I7377" i="15"/>
  <c r="J7377" i="15"/>
  <c r="H7378" i="15"/>
  <c r="I7378" i="15"/>
  <c r="J7378" i="15"/>
  <c r="H7379" i="15"/>
  <c r="I7379" i="15"/>
  <c r="J7379" i="15"/>
  <c r="H7380" i="15"/>
  <c r="I7380" i="15"/>
  <c r="J7380" i="15"/>
  <c r="H7381" i="15"/>
  <c r="I7381" i="15"/>
  <c r="J7381" i="15"/>
  <c r="H7382" i="15"/>
  <c r="I7382" i="15"/>
  <c r="J7382" i="15"/>
  <c r="H7383" i="15"/>
  <c r="I7383" i="15"/>
  <c r="J7383" i="15"/>
  <c r="H7384" i="15"/>
  <c r="I7384" i="15"/>
  <c r="J7384" i="15"/>
  <c r="H7385" i="15"/>
  <c r="I7385" i="15"/>
  <c r="J7385" i="15"/>
  <c r="H7386" i="15"/>
  <c r="I7386" i="15"/>
  <c r="J7386" i="15"/>
  <c r="H7387" i="15"/>
  <c r="I7387" i="15"/>
  <c r="J7387" i="15"/>
  <c r="H7388" i="15"/>
  <c r="I7388" i="15"/>
  <c r="J7388" i="15"/>
  <c r="H7389" i="15"/>
  <c r="I7389" i="15"/>
  <c r="J7389" i="15"/>
  <c r="H7390" i="15"/>
  <c r="I7390" i="15"/>
  <c r="J7390" i="15"/>
  <c r="H7391" i="15"/>
  <c r="I7391" i="15"/>
  <c r="J7391" i="15"/>
  <c r="H7392" i="15"/>
  <c r="I7392" i="15"/>
  <c r="J7392" i="15"/>
  <c r="H7393" i="15"/>
  <c r="I7393" i="15"/>
  <c r="J7393" i="15"/>
  <c r="H7394" i="15"/>
  <c r="I7394" i="15"/>
  <c r="J7394" i="15"/>
  <c r="H7395" i="15"/>
  <c r="I7395" i="15"/>
  <c r="J7395" i="15"/>
  <c r="H7396" i="15"/>
  <c r="I7396" i="15"/>
  <c r="J7396" i="15"/>
  <c r="H7397" i="15"/>
  <c r="I7397" i="15"/>
  <c r="J7397" i="15"/>
  <c r="H7398" i="15"/>
  <c r="I7398" i="15"/>
  <c r="J7398" i="15"/>
  <c r="H7399" i="15"/>
  <c r="I7399" i="15"/>
  <c r="J7399" i="15"/>
  <c r="H7400" i="15"/>
  <c r="I7400" i="15"/>
  <c r="J7400" i="15"/>
  <c r="H7401" i="15"/>
  <c r="I7401" i="15"/>
  <c r="J7401" i="15"/>
  <c r="H7402" i="15"/>
  <c r="I7402" i="15"/>
  <c r="J7402" i="15"/>
  <c r="H7403" i="15"/>
  <c r="I7403" i="15"/>
  <c r="J7403" i="15"/>
  <c r="H7404" i="15"/>
  <c r="I7404" i="15"/>
  <c r="J7404" i="15"/>
  <c r="H7405" i="15"/>
  <c r="I7405" i="15"/>
  <c r="J7405" i="15"/>
  <c r="H7406" i="15"/>
  <c r="I7406" i="15"/>
  <c r="J7406" i="15"/>
  <c r="H7407" i="15"/>
  <c r="I7407" i="15"/>
  <c r="J7407" i="15"/>
  <c r="H7408" i="15"/>
  <c r="I7408" i="15"/>
  <c r="J7408" i="15"/>
  <c r="H7409" i="15"/>
  <c r="I7409" i="15"/>
  <c r="J7409" i="15"/>
  <c r="H7410" i="15"/>
  <c r="I7410" i="15"/>
  <c r="J7410" i="15"/>
  <c r="H7411" i="15"/>
  <c r="I7411" i="15"/>
  <c r="J7411" i="15"/>
  <c r="H7412" i="15"/>
  <c r="I7412" i="15"/>
  <c r="J7412" i="15"/>
  <c r="H7413" i="15"/>
  <c r="I7413" i="15"/>
  <c r="J7413" i="15"/>
  <c r="H7414" i="15"/>
  <c r="I7414" i="15"/>
  <c r="J7414" i="15"/>
  <c r="H7415" i="15"/>
  <c r="I7415" i="15"/>
  <c r="J7415" i="15"/>
  <c r="H7416" i="15"/>
  <c r="I7416" i="15"/>
  <c r="J7416" i="15"/>
  <c r="H7417" i="15"/>
  <c r="I7417" i="15"/>
  <c r="J7417" i="15"/>
  <c r="H7418" i="15"/>
  <c r="I7418" i="15"/>
  <c r="J7418" i="15"/>
  <c r="H7419" i="15"/>
  <c r="I7419" i="15"/>
  <c r="J7419" i="15"/>
  <c r="H7420" i="15"/>
  <c r="I7420" i="15"/>
  <c r="J7420" i="15"/>
  <c r="H7421" i="15"/>
  <c r="I7421" i="15"/>
  <c r="J7421" i="15"/>
  <c r="H7422" i="15"/>
  <c r="I7422" i="15"/>
  <c r="J7422" i="15"/>
  <c r="H7423" i="15"/>
  <c r="I7423" i="15"/>
  <c r="J7423" i="15"/>
  <c r="H7424" i="15"/>
  <c r="I7424" i="15"/>
  <c r="J7424" i="15"/>
  <c r="H7425" i="15"/>
  <c r="I7425" i="15"/>
  <c r="J7425" i="15"/>
  <c r="H7426" i="15"/>
  <c r="I7426" i="15"/>
  <c r="J7426" i="15"/>
  <c r="H7427" i="15"/>
  <c r="I7427" i="15"/>
  <c r="J7427" i="15"/>
  <c r="H7428" i="15"/>
  <c r="I7428" i="15"/>
  <c r="J7428" i="15"/>
  <c r="H7429" i="15"/>
  <c r="I7429" i="15"/>
  <c r="J7429" i="15"/>
  <c r="H7430" i="15"/>
  <c r="I7430" i="15"/>
  <c r="J7430" i="15"/>
  <c r="H7431" i="15"/>
  <c r="I7431" i="15"/>
  <c r="J7431" i="15"/>
  <c r="H7432" i="15"/>
  <c r="I7432" i="15"/>
  <c r="J7432" i="15"/>
  <c r="H7433" i="15"/>
  <c r="I7433" i="15"/>
  <c r="J7433" i="15"/>
  <c r="H7434" i="15"/>
  <c r="I7434" i="15"/>
  <c r="J7434" i="15"/>
  <c r="H7435" i="15"/>
  <c r="I7435" i="15"/>
  <c r="J7435" i="15"/>
  <c r="H7436" i="15"/>
  <c r="I7436" i="15"/>
  <c r="J7436" i="15"/>
  <c r="H7437" i="15"/>
  <c r="I7437" i="15"/>
  <c r="J7437" i="15"/>
  <c r="H7438" i="15"/>
  <c r="I7438" i="15"/>
  <c r="J7438" i="15"/>
  <c r="H7439" i="15"/>
  <c r="I7439" i="15"/>
  <c r="J7439" i="15"/>
  <c r="H7440" i="15"/>
  <c r="I7440" i="15"/>
  <c r="J7440" i="15"/>
  <c r="H7441" i="15"/>
  <c r="I7441" i="15"/>
  <c r="J7441" i="15"/>
  <c r="H7442" i="15"/>
  <c r="I7442" i="15"/>
  <c r="J7442" i="15"/>
  <c r="H7443" i="15"/>
  <c r="I7443" i="15"/>
  <c r="J7443" i="15"/>
  <c r="H7444" i="15"/>
  <c r="I7444" i="15"/>
  <c r="J7444" i="15"/>
  <c r="H7445" i="15"/>
  <c r="I7445" i="15"/>
  <c r="J7445" i="15"/>
  <c r="H7446" i="15"/>
  <c r="I7446" i="15"/>
  <c r="J7446" i="15"/>
  <c r="H7447" i="15"/>
  <c r="I7447" i="15"/>
  <c r="J7447" i="15"/>
  <c r="H7448" i="15"/>
  <c r="I7448" i="15"/>
  <c r="J7448" i="15"/>
  <c r="H7449" i="15"/>
  <c r="I7449" i="15"/>
  <c r="J7449" i="15"/>
  <c r="H7450" i="15"/>
  <c r="I7450" i="15"/>
  <c r="J7450" i="15"/>
  <c r="H7451" i="15"/>
  <c r="I7451" i="15"/>
  <c r="J7451" i="15"/>
  <c r="H7452" i="15"/>
  <c r="I7452" i="15"/>
  <c r="J7452" i="15"/>
  <c r="H7453" i="15"/>
  <c r="I7453" i="15"/>
  <c r="J7453" i="15"/>
  <c r="H7454" i="15"/>
  <c r="I7454" i="15"/>
  <c r="J7454" i="15"/>
  <c r="H7455" i="15"/>
  <c r="I7455" i="15"/>
  <c r="J7455" i="15"/>
  <c r="H7456" i="15"/>
  <c r="I7456" i="15"/>
  <c r="J7456" i="15"/>
  <c r="H7457" i="15"/>
  <c r="I7457" i="15"/>
  <c r="J7457" i="15"/>
  <c r="H7458" i="15"/>
  <c r="I7458" i="15"/>
  <c r="J7458" i="15"/>
  <c r="H7459" i="15"/>
  <c r="I7459" i="15"/>
  <c r="J7459" i="15"/>
  <c r="H7460" i="15"/>
  <c r="I7460" i="15"/>
  <c r="J7460" i="15"/>
  <c r="H7461" i="15"/>
  <c r="I7461" i="15"/>
  <c r="J7461" i="15"/>
  <c r="H7462" i="15"/>
  <c r="I7462" i="15"/>
  <c r="J7462" i="15"/>
  <c r="H7463" i="15"/>
  <c r="I7463" i="15"/>
  <c r="J7463" i="15"/>
  <c r="H7464" i="15"/>
  <c r="I7464" i="15"/>
  <c r="J7464" i="15"/>
  <c r="H7465" i="15"/>
  <c r="I7465" i="15"/>
  <c r="J7465" i="15"/>
  <c r="H7466" i="15"/>
  <c r="I7466" i="15"/>
  <c r="J7466" i="15"/>
  <c r="H7467" i="15"/>
  <c r="I7467" i="15"/>
  <c r="J7467" i="15"/>
  <c r="H7468" i="15"/>
  <c r="I7468" i="15"/>
  <c r="J7468" i="15"/>
  <c r="H7469" i="15"/>
  <c r="I7469" i="15"/>
  <c r="J7469" i="15"/>
  <c r="H7470" i="15"/>
  <c r="I7470" i="15"/>
  <c r="J7470" i="15"/>
  <c r="H7471" i="15"/>
  <c r="I7471" i="15"/>
  <c r="J7471" i="15"/>
  <c r="H7472" i="15"/>
  <c r="I7472" i="15"/>
  <c r="J7472" i="15"/>
  <c r="H7473" i="15"/>
  <c r="I7473" i="15"/>
  <c r="J7473" i="15"/>
  <c r="H7474" i="15"/>
  <c r="I7474" i="15"/>
  <c r="J7474" i="15"/>
  <c r="H7475" i="15"/>
  <c r="I7475" i="15"/>
  <c r="J7475" i="15"/>
  <c r="H7476" i="15"/>
  <c r="I7476" i="15"/>
  <c r="J7476" i="15"/>
  <c r="H7477" i="15"/>
  <c r="I7477" i="15"/>
  <c r="J7477" i="15"/>
  <c r="H7478" i="15"/>
  <c r="I7478" i="15"/>
  <c r="J7478" i="15"/>
  <c r="H7479" i="15"/>
  <c r="I7479" i="15"/>
  <c r="J7479" i="15"/>
  <c r="H7480" i="15"/>
  <c r="I7480" i="15"/>
  <c r="J7480" i="15"/>
  <c r="H7481" i="15"/>
  <c r="I7481" i="15"/>
  <c r="J7481" i="15"/>
  <c r="H7482" i="15"/>
  <c r="I7482" i="15"/>
  <c r="J7482" i="15"/>
  <c r="H7483" i="15"/>
  <c r="I7483" i="15"/>
  <c r="J7483" i="15"/>
  <c r="H7484" i="15"/>
  <c r="I7484" i="15"/>
  <c r="J7484" i="15"/>
  <c r="H7485" i="15"/>
  <c r="I7485" i="15"/>
  <c r="J7485" i="15"/>
  <c r="H7486" i="15"/>
  <c r="I7486" i="15"/>
  <c r="J7486" i="15"/>
  <c r="H7487" i="15"/>
  <c r="I7487" i="15"/>
  <c r="J7487" i="15"/>
  <c r="H7488" i="15"/>
  <c r="I7488" i="15"/>
  <c r="J7488" i="15"/>
  <c r="H7489" i="15"/>
  <c r="I7489" i="15"/>
  <c r="J7489" i="15"/>
  <c r="H7490" i="15"/>
  <c r="I7490" i="15"/>
  <c r="J7490" i="15"/>
  <c r="H7491" i="15"/>
  <c r="I7491" i="15"/>
  <c r="J7491" i="15"/>
  <c r="H7492" i="15"/>
  <c r="I7492" i="15"/>
  <c r="J7492" i="15"/>
  <c r="H7493" i="15"/>
  <c r="I7493" i="15"/>
  <c r="J7493" i="15"/>
  <c r="H7494" i="15"/>
  <c r="I7494" i="15"/>
  <c r="J7494" i="15"/>
  <c r="H7495" i="15"/>
  <c r="I7495" i="15"/>
  <c r="J7495" i="15"/>
  <c r="H7496" i="15"/>
  <c r="I7496" i="15"/>
  <c r="J7496" i="15"/>
  <c r="H7497" i="15"/>
  <c r="I7497" i="15"/>
  <c r="J7497" i="15"/>
  <c r="H7498" i="15"/>
  <c r="I7498" i="15"/>
  <c r="J7498" i="15"/>
  <c r="H7499" i="15"/>
  <c r="I7499" i="15"/>
  <c r="J7499" i="15"/>
  <c r="H7500" i="15"/>
  <c r="I7500" i="15"/>
  <c r="J7500" i="15"/>
  <c r="H7501" i="15"/>
  <c r="I7501" i="15"/>
  <c r="J7501" i="15"/>
  <c r="H7502" i="15"/>
  <c r="I7502" i="15"/>
  <c r="J7502" i="15"/>
  <c r="H7503" i="15"/>
  <c r="I7503" i="15"/>
  <c r="J7503" i="15"/>
  <c r="H7504" i="15"/>
  <c r="I7504" i="15"/>
  <c r="J7504" i="15"/>
  <c r="H7505" i="15"/>
  <c r="I7505" i="15"/>
  <c r="J7505" i="15"/>
  <c r="H7506" i="15"/>
  <c r="I7506" i="15"/>
  <c r="J7506" i="15"/>
  <c r="H7507" i="15"/>
  <c r="I7507" i="15"/>
  <c r="J7507" i="15"/>
  <c r="H7508" i="15"/>
  <c r="I7508" i="15"/>
  <c r="J7508" i="15"/>
  <c r="H7509" i="15"/>
  <c r="I7509" i="15"/>
  <c r="J7509" i="15"/>
  <c r="H7510" i="15"/>
  <c r="I7510" i="15"/>
  <c r="J7510" i="15"/>
  <c r="H7511" i="15"/>
  <c r="I7511" i="15"/>
  <c r="J7511" i="15"/>
  <c r="H7512" i="15"/>
  <c r="I7512" i="15"/>
  <c r="J7512" i="15"/>
  <c r="H7513" i="15"/>
  <c r="I7513" i="15"/>
  <c r="J7513" i="15"/>
  <c r="H7514" i="15"/>
  <c r="I7514" i="15"/>
  <c r="J7514" i="15"/>
  <c r="H7515" i="15"/>
  <c r="I7515" i="15"/>
  <c r="J7515" i="15"/>
  <c r="H7516" i="15"/>
  <c r="I7516" i="15"/>
  <c r="J7516" i="15"/>
  <c r="H7517" i="15"/>
  <c r="I7517" i="15"/>
  <c r="J7517" i="15"/>
  <c r="H7518" i="15"/>
  <c r="I7518" i="15"/>
  <c r="J7518" i="15"/>
  <c r="H7519" i="15"/>
  <c r="I7519" i="15"/>
  <c r="J7519" i="15"/>
  <c r="H7520" i="15"/>
  <c r="I7520" i="15"/>
  <c r="J7520" i="15"/>
  <c r="H7521" i="15"/>
  <c r="I7521" i="15"/>
  <c r="J7521" i="15"/>
  <c r="H7522" i="15"/>
  <c r="I7522" i="15"/>
  <c r="J7522" i="15"/>
  <c r="H7523" i="15"/>
  <c r="I7523" i="15"/>
  <c r="J7523" i="15"/>
  <c r="H7524" i="15"/>
  <c r="I7524" i="15"/>
  <c r="J7524" i="15"/>
  <c r="H7525" i="15"/>
  <c r="I7525" i="15"/>
  <c r="J7525" i="15"/>
  <c r="H7526" i="15"/>
  <c r="I7526" i="15"/>
  <c r="J7526" i="15"/>
  <c r="H7527" i="15"/>
  <c r="I7527" i="15"/>
  <c r="J7527" i="15"/>
  <c r="H7528" i="15"/>
  <c r="I7528" i="15"/>
  <c r="J7528" i="15"/>
  <c r="H7529" i="15"/>
  <c r="I7529" i="15"/>
  <c r="J7529" i="15"/>
  <c r="H7530" i="15"/>
  <c r="I7530" i="15"/>
  <c r="J7530" i="15"/>
  <c r="H7531" i="15"/>
  <c r="I7531" i="15"/>
  <c r="J7531" i="15"/>
  <c r="H7532" i="15"/>
  <c r="I7532" i="15"/>
  <c r="J7532" i="15"/>
  <c r="H7533" i="15"/>
  <c r="I7533" i="15"/>
  <c r="J7533" i="15"/>
  <c r="H7534" i="15"/>
  <c r="I7534" i="15"/>
  <c r="J7534" i="15"/>
  <c r="H7535" i="15"/>
  <c r="I7535" i="15"/>
  <c r="J7535" i="15"/>
  <c r="H7536" i="15"/>
  <c r="I7536" i="15"/>
  <c r="J7536" i="15"/>
  <c r="H7537" i="15"/>
  <c r="I7537" i="15"/>
  <c r="J7537" i="15"/>
  <c r="H7538" i="15"/>
  <c r="I7538" i="15"/>
  <c r="J7538" i="15"/>
  <c r="H7539" i="15"/>
  <c r="I7539" i="15"/>
  <c r="J7539" i="15"/>
  <c r="H7540" i="15"/>
  <c r="I7540" i="15"/>
  <c r="J7540" i="15"/>
  <c r="H7541" i="15"/>
  <c r="I7541" i="15"/>
  <c r="J7541" i="15"/>
  <c r="H7542" i="15"/>
  <c r="I7542" i="15"/>
  <c r="J7542" i="15"/>
  <c r="H7543" i="15"/>
  <c r="I7543" i="15"/>
  <c r="J7543" i="15"/>
  <c r="H7544" i="15"/>
  <c r="I7544" i="15"/>
  <c r="J7544" i="15"/>
  <c r="H7545" i="15"/>
  <c r="I7545" i="15"/>
  <c r="J7545" i="15"/>
  <c r="H7546" i="15"/>
  <c r="I7546" i="15"/>
  <c r="J7546" i="15"/>
  <c r="H7547" i="15"/>
  <c r="I7547" i="15"/>
  <c r="J7547" i="15"/>
  <c r="H7548" i="15"/>
  <c r="I7548" i="15"/>
  <c r="J7548" i="15"/>
  <c r="H7549" i="15"/>
  <c r="I7549" i="15"/>
  <c r="J7549" i="15"/>
  <c r="H7550" i="15"/>
  <c r="I7550" i="15"/>
  <c r="J7550" i="15"/>
  <c r="H7551" i="15"/>
  <c r="I7551" i="15"/>
  <c r="J7551" i="15"/>
  <c r="H7552" i="15"/>
  <c r="I7552" i="15"/>
  <c r="J7552" i="15"/>
  <c r="H7553" i="15"/>
  <c r="I7553" i="15"/>
  <c r="J7553" i="15"/>
  <c r="H7554" i="15"/>
  <c r="I7554" i="15"/>
  <c r="J7554" i="15"/>
  <c r="H7555" i="15"/>
  <c r="I7555" i="15"/>
  <c r="J7555" i="15"/>
  <c r="H7556" i="15"/>
  <c r="I7556" i="15"/>
  <c r="J7556" i="15"/>
  <c r="H7557" i="15"/>
  <c r="I7557" i="15"/>
  <c r="J7557" i="15"/>
  <c r="H7558" i="15"/>
  <c r="I7558" i="15"/>
  <c r="J7558" i="15"/>
  <c r="H7559" i="15"/>
  <c r="I7559" i="15"/>
  <c r="J7559" i="15"/>
  <c r="H7560" i="15"/>
  <c r="I7560" i="15"/>
  <c r="J7560" i="15"/>
  <c r="H7561" i="15"/>
  <c r="I7561" i="15"/>
  <c r="J7561" i="15"/>
  <c r="H7562" i="15"/>
  <c r="I7562" i="15"/>
  <c r="J7562" i="15"/>
  <c r="H7563" i="15"/>
  <c r="I7563" i="15"/>
  <c r="J7563" i="15"/>
  <c r="H7564" i="15"/>
  <c r="I7564" i="15"/>
  <c r="J7564" i="15"/>
  <c r="H7565" i="15"/>
  <c r="I7565" i="15"/>
  <c r="J7565" i="15"/>
  <c r="H7566" i="15"/>
  <c r="I7566" i="15"/>
  <c r="J7566" i="15"/>
  <c r="H7567" i="15"/>
  <c r="I7567" i="15"/>
  <c r="J7567" i="15"/>
  <c r="H7568" i="15"/>
  <c r="I7568" i="15"/>
  <c r="J7568" i="15"/>
  <c r="H7569" i="15"/>
  <c r="I7569" i="15"/>
  <c r="J7569" i="15"/>
  <c r="H7570" i="15"/>
  <c r="I7570" i="15"/>
  <c r="J7570" i="15"/>
  <c r="H7571" i="15"/>
  <c r="I7571" i="15"/>
  <c r="J7571" i="15"/>
  <c r="H7572" i="15"/>
  <c r="I7572" i="15"/>
  <c r="J7572" i="15"/>
  <c r="H7573" i="15"/>
  <c r="I7573" i="15"/>
  <c r="J7573" i="15"/>
  <c r="H7574" i="15"/>
  <c r="I7574" i="15"/>
  <c r="J7574" i="15"/>
  <c r="H7575" i="15"/>
  <c r="I7575" i="15"/>
  <c r="J7575" i="15"/>
  <c r="H7576" i="15"/>
  <c r="I7576" i="15"/>
  <c r="J7576" i="15"/>
  <c r="H7577" i="15"/>
  <c r="I7577" i="15"/>
  <c r="J7577" i="15"/>
  <c r="H7578" i="15"/>
  <c r="I7578" i="15"/>
  <c r="J7578" i="15"/>
  <c r="H7579" i="15"/>
  <c r="I7579" i="15"/>
  <c r="J7579" i="15"/>
  <c r="H7580" i="15"/>
  <c r="I7580" i="15"/>
  <c r="J7580" i="15"/>
  <c r="H7581" i="15"/>
  <c r="I7581" i="15"/>
  <c r="J7581" i="15"/>
  <c r="H7582" i="15"/>
  <c r="I7582" i="15"/>
  <c r="J7582" i="15"/>
  <c r="H7583" i="15"/>
  <c r="I7583" i="15"/>
  <c r="J7583" i="15"/>
  <c r="H7584" i="15"/>
  <c r="I7584" i="15"/>
  <c r="J7584" i="15"/>
  <c r="H7585" i="15"/>
  <c r="I7585" i="15"/>
  <c r="J7585" i="15"/>
  <c r="H7586" i="15"/>
  <c r="I7586" i="15"/>
  <c r="J7586" i="15"/>
  <c r="H7587" i="15"/>
  <c r="I7587" i="15"/>
  <c r="J7587" i="15"/>
  <c r="H7588" i="15"/>
  <c r="I7588" i="15"/>
  <c r="J7588" i="15"/>
  <c r="H7589" i="15"/>
  <c r="I7589" i="15"/>
  <c r="J7589" i="15"/>
  <c r="H7590" i="15"/>
  <c r="I7590" i="15"/>
  <c r="J7590" i="15"/>
  <c r="H7591" i="15"/>
  <c r="I7591" i="15"/>
  <c r="J7591" i="15"/>
  <c r="H7592" i="15"/>
  <c r="I7592" i="15"/>
  <c r="J7592" i="15"/>
  <c r="H7593" i="15"/>
  <c r="I7593" i="15"/>
  <c r="J7593" i="15"/>
  <c r="H7594" i="15"/>
  <c r="I7594" i="15"/>
  <c r="J7594" i="15"/>
  <c r="H7595" i="15"/>
  <c r="I7595" i="15"/>
  <c r="J7595" i="15"/>
  <c r="H7596" i="15"/>
  <c r="I7596" i="15"/>
  <c r="J7596" i="15"/>
  <c r="H7597" i="15"/>
  <c r="I7597" i="15"/>
  <c r="J7597" i="15"/>
  <c r="H7598" i="15"/>
  <c r="I7598" i="15"/>
  <c r="J7598" i="15"/>
  <c r="H7599" i="15"/>
  <c r="I7599" i="15"/>
  <c r="J7599" i="15"/>
  <c r="H7600" i="15"/>
  <c r="I7600" i="15"/>
  <c r="J7600" i="15"/>
  <c r="H7601" i="15"/>
  <c r="I7601" i="15"/>
  <c r="J7601" i="15"/>
  <c r="H7602" i="15"/>
  <c r="I7602" i="15"/>
  <c r="J7602" i="15"/>
  <c r="H7603" i="15"/>
  <c r="I7603" i="15"/>
  <c r="J7603" i="15"/>
  <c r="H7604" i="15"/>
  <c r="I7604" i="15"/>
  <c r="J7604" i="15"/>
  <c r="H7605" i="15"/>
  <c r="I7605" i="15"/>
  <c r="J7605" i="15"/>
  <c r="H7606" i="15"/>
  <c r="I7606" i="15"/>
  <c r="J7606" i="15"/>
  <c r="H7607" i="15"/>
  <c r="I7607" i="15"/>
  <c r="J7607" i="15"/>
  <c r="H7608" i="15"/>
  <c r="I7608" i="15"/>
  <c r="J7608" i="15"/>
  <c r="H7609" i="15"/>
  <c r="I7609" i="15"/>
  <c r="J7609" i="15"/>
  <c r="H7610" i="15"/>
  <c r="I7610" i="15"/>
  <c r="J7610" i="15"/>
  <c r="H7611" i="15"/>
  <c r="I7611" i="15"/>
  <c r="J7611" i="15"/>
  <c r="H7612" i="15"/>
  <c r="I7612" i="15"/>
  <c r="J7612" i="15"/>
  <c r="H7613" i="15"/>
  <c r="I7613" i="15"/>
  <c r="J7613" i="15"/>
  <c r="H7614" i="15"/>
  <c r="I7614" i="15"/>
  <c r="J7614" i="15"/>
  <c r="H7615" i="15"/>
  <c r="I7615" i="15"/>
  <c r="J7615" i="15"/>
  <c r="H7616" i="15"/>
  <c r="I7616" i="15"/>
  <c r="J7616" i="15"/>
  <c r="H7617" i="15"/>
  <c r="I7617" i="15"/>
  <c r="J7617" i="15"/>
  <c r="H7618" i="15"/>
  <c r="I7618" i="15"/>
  <c r="J7618" i="15"/>
  <c r="H7619" i="15"/>
  <c r="I7619" i="15"/>
  <c r="J7619" i="15"/>
  <c r="H7620" i="15"/>
  <c r="I7620" i="15"/>
  <c r="J7620" i="15"/>
  <c r="H7621" i="15"/>
  <c r="I7621" i="15"/>
  <c r="J7621" i="15"/>
  <c r="H7622" i="15"/>
  <c r="I7622" i="15"/>
  <c r="J7622" i="15"/>
  <c r="H7623" i="15"/>
  <c r="I7623" i="15"/>
  <c r="J7623" i="15"/>
  <c r="H7624" i="15"/>
  <c r="I7624" i="15"/>
  <c r="J7624" i="15"/>
  <c r="H7625" i="15"/>
  <c r="I7625" i="15"/>
  <c r="J7625" i="15"/>
  <c r="H7626" i="15"/>
  <c r="I7626" i="15"/>
  <c r="J7626" i="15"/>
  <c r="H7627" i="15"/>
  <c r="I7627" i="15"/>
  <c r="J7627" i="15"/>
  <c r="H7628" i="15"/>
  <c r="I7628" i="15"/>
  <c r="J7628" i="15"/>
  <c r="H7629" i="15"/>
  <c r="I7629" i="15"/>
  <c r="J7629" i="15"/>
  <c r="H7630" i="15"/>
  <c r="I7630" i="15"/>
  <c r="J7630" i="15"/>
  <c r="H7631" i="15"/>
  <c r="I7631" i="15"/>
  <c r="J7631" i="15"/>
  <c r="H7632" i="15"/>
  <c r="I7632" i="15"/>
  <c r="J7632" i="15"/>
  <c r="H7633" i="15"/>
  <c r="I7633" i="15"/>
  <c r="J7633" i="15"/>
  <c r="H7634" i="15"/>
  <c r="I7634" i="15"/>
  <c r="J7634" i="15"/>
  <c r="H7635" i="15"/>
  <c r="I7635" i="15"/>
  <c r="J7635" i="15"/>
  <c r="H7636" i="15"/>
  <c r="I7636" i="15"/>
  <c r="J7636" i="15"/>
  <c r="H7637" i="15"/>
  <c r="I7637" i="15"/>
  <c r="J7637" i="15"/>
  <c r="H7638" i="15"/>
  <c r="I7638" i="15"/>
  <c r="J7638" i="15"/>
  <c r="H7639" i="15"/>
  <c r="I7639" i="15"/>
  <c r="J7639" i="15"/>
  <c r="H7640" i="15"/>
  <c r="I7640" i="15"/>
  <c r="J7640" i="15"/>
  <c r="H7641" i="15"/>
  <c r="I7641" i="15"/>
  <c r="J7641" i="15"/>
  <c r="H7642" i="15"/>
  <c r="I7642" i="15"/>
  <c r="J7642" i="15"/>
  <c r="H7643" i="15"/>
  <c r="I7643" i="15"/>
  <c r="J7643" i="15"/>
  <c r="H7644" i="15"/>
  <c r="I7644" i="15"/>
  <c r="J7644" i="15"/>
  <c r="H7645" i="15"/>
  <c r="I7645" i="15"/>
  <c r="J7645" i="15"/>
  <c r="H7646" i="15"/>
  <c r="I7646" i="15"/>
  <c r="J7646" i="15"/>
  <c r="H7647" i="15"/>
  <c r="I7647" i="15"/>
  <c r="J7647" i="15"/>
  <c r="H7648" i="15"/>
  <c r="I7648" i="15"/>
  <c r="J7648" i="15"/>
  <c r="H7649" i="15"/>
  <c r="I7649" i="15"/>
  <c r="J7649" i="15"/>
  <c r="H7650" i="15"/>
  <c r="I7650" i="15"/>
  <c r="J7650" i="15"/>
  <c r="H7651" i="15"/>
  <c r="I7651" i="15"/>
  <c r="J7651" i="15"/>
  <c r="H7652" i="15"/>
  <c r="I7652" i="15"/>
  <c r="J7652" i="15"/>
  <c r="H7653" i="15"/>
  <c r="I7653" i="15"/>
  <c r="J7653" i="15"/>
  <c r="H7654" i="15"/>
  <c r="I7654" i="15"/>
  <c r="J7654" i="15"/>
  <c r="H7655" i="15"/>
  <c r="I7655" i="15"/>
  <c r="J7655" i="15"/>
  <c r="H7656" i="15"/>
  <c r="I7656" i="15"/>
  <c r="J7656" i="15"/>
  <c r="H7657" i="15"/>
  <c r="I7657" i="15"/>
  <c r="J7657" i="15"/>
  <c r="H7658" i="15"/>
  <c r="I7658" i="15"/>
  <c r="J7658" i="15"/>
  <c r="H7659" i="15"/>
  <c r="I7659" i="15"/>
  <c r="J7659" i="15"/>
  <c r="H7660" i="15"/>
  <c r="I7660" i="15"/>
  <c r="J7660" i="15"/>
  <c r="H7661" i="15"/>
  <c r="I7661" i="15"/>
  <c r="J7661" i="15"/>
  <c r="H7662" i="15"/>
  <c r="I7662" i="15"/>
  <c r="J7662" i="15"/>
  <c r="H7663" i="15"/>
  <c r="I7663" i="15"/>
  <c r="J7663" i="15"/>
  <c r="H7664" i="15"/>
  <c r="I7664" i="15"/>
  <c r="J7664" i="15"/>
  <c r="H7665" i="15"/>
  <c r="I7665" i="15"/>
  <c r="J7665" i="15"/>
  <c r="H7666" i="15"/>
  <c r="I7666" i="15"/>
  <c r="J7666" i="15"/>
  <c r="H7667" i="15"/>
  <c r="I7667" i="15"/>
  <c r="J7667" i="15"/>
  <c r="H7668" i="15"/>
  <c r="I7668" i="15"/>
  <c r="J7668" i="15"/>
  <c r="H7669" i="15"/>
  <c r="I7669" i="15"/>
  <c r="J7669" i="15"/>
  <c r="H7670" i="15"/>
  <c r="I7670" i="15"/>
  <c r="J7670" i="15"/>
  <c r="H7671" i="15"/>
  <c r="I7671" i="15"/>
  <c r="J7671" i="15"/>
  <c r="H7672" i="15"/>
  <c r="I7672" i="15"/>
  <c r="J7672" i="15"/>
  <c r="H7673" i="15"/>
  <c r="I7673" i="15"/>
  <c r="J7673" i="15"/>
  <c r="H7674" i="15"/>
  <c r="I7674" i="15"/>
  <c r="J7674" i="15"/>
  <c r="H7675" i="15"/>
  <c r="I7675" i="15"/>
  <c r="J7675" i="15"/>
  <c r="H7676" i="15"/>
  <c r="I7676" i="15"/>
  <c r="J7676" i="15"/>
  <c r="H7677" i="15"/>
  <c r="I7677" i="15"/>
  <c r="J7677" i="15"/>
  <c r="H7678" i="15"/>
  <c r="I7678" i="15"/>
  <c r="J7678" i="15"/>
  <c r="H7679" i="15"/>
  <c r="I7679" i="15"/>
  <c r="J7679" i="15"/>
  <c r="H7680" i="15"/>
  <c r="I7680" i="15"/>
  <c r="J7680" i="15"/>
  <c r="H7681" i="15"/>
  <c r="I7681" i="15"/>
  <c r="J7681" i="15"/>
  <c r="H7682" i="15"/>
  <c r="I7682" i="15"/>
  <c r="J7682" i="15"/>
  <c r="H7683" i="15"/>
  <c r="I7683" i="15"/>
  <c r="J7683" i="15"/>
  <c r="H7684" i="15"/>
  <c r="I7684" i="15"/>
  <c r="J7684" i="15"/>
  <c r="H7685" i="15"/>
  <c r="I7685" i="15"/>
  <c r="J7685" i="15"/>
  <c r="H7686" i="15"/>
  <c r="I7686" i="15"/>
  <c r="J7686" i="15"/>
  <c r="H7687" i="15"/>
  <c r="I7687" i="15"/>
  <c r="J7687" i="15"/>
  <c r="H7688" i="15"/>
  <c r="I7688" i="15"/>
  <c r="J7688" i="15"/>
  <c r="H7689" i="15"/>
  <c r="I7689" i="15"/>
  <c r="J7689" i="15"/>
  <c r="H7690" i="15"/>
  <c r="I7690" i="15"/>
  <c r="J7690" i="15"/>
  <c r="H7691" i="15"/>
  <c r="I7691" i="15"/>
  <c r="J7691" i="15"/>
  <c r="H7692" i="15"/>
  <c r="I7692" i="15"/>
  <c r="J7692" i="15"/>
  <c r="H7693" i="15"/>
  <c r="I7693" i="15"/>
  <c r="J7693" i="15"/>
  <c r="H7694" i="15"/>
  <c r="I7694" i="15"/>
  <c r="J7694" i="15"/>
  <c r="H7695" i="15"/>
  <c r="I7695" i="15"/>
  <c r="J7695" i="15"/>
  <c r="H7696" i="15"/>
  <c r="I7696" i="15"/>
  <c r="J7696" i="15"/>
  <c r="H7697" i="15"/>
  <c r="I7697" i="15"/>
  <c r="J7697" i="15"/>
  <c r="H7698" i="15"/>
  <c r="I7698" i="15"/>
  <c r="J7698" i="15"/>
  <c r="H7699" i="15"/>
  <c r="I7699" i="15"/>
  <c r="J7699" i="15"/>
  <c r="H7700" i="15"/>
  <c r="I7700" i="15"/>
  <c r="J7700" i="15"/>
  <c r="H7701" i="15"/>
  <c r="I7701" i="15"/>
  <c r="J7701" i="15"/>
  <c r="H7702" i="15"/>
  <c r="I7702" i="15"/>
  <c r="J7702" i="15"/>
  <c r="H7703" i="15"/>
  <c r="I7703" i="15"/>
  <c r="J7703" i="15"/>
  <c r="H7704" i="15"/>
  <c r="I7704" i="15"/>
  <c r="J7704" i="15"/>
  <c r="H7705" i="15"/>
  <c r="I7705" i="15"/>
  <c r="J7705" i="15"/>
  <c r="H7706" i="15"/>
  <c r="I7706" i="15"/>
  <c r="J7706" i="15"/>
  <c r="H7707" i="15"/>
  <c r="I7707" i="15"/>
  <c r="J7707" i="15"/>
  <c r="H7708" i="15"/>
  <c r="I7708" i="15"/>
  <c r="J7708" i="15"/>
  <c r="H7709" i="15"/>
  <c r="I7709" i="15"/>
  <c r="J7709" i="15"/>
  <c r="H7710" i="15"/>
  <c r="I7710" i="15"/>
  <c r="J7710" i="15"/>
  <c r="H7711" i="15"/>
  <c r="I7711" i="15"/>
  <c r="J7711" i="15"/>
  <c r="H7712" i="15"/>
  <c r="I7712" i="15"/>
  <c r="J7712" i="15"/>
  <c r="H7713" i="15"/>
  <c r="I7713" i="15"/>
  <c r="J7713" i="15"/>
  <c r="H7714" i="15"/>
  <c r="I7714" i="15"/>
  <c r="J7714" i="15"/>
  <c r="H7715" i="15"/>
  <c r="I7715" i="15"/>
  <c r="J7715" i="15"/>
  <c r="H7716" i="15"/>
  <c r="I7716" i="15"/>
  <c r="J7716" i="15"/>
  <c r="H7717" i="15"/>
  <c r="I7717" i="15"/>
  <c r="J7717" i="15"/>
  <c r="H7718" i="15"/>
  <c r="I7718" i="15"/>
  <c r="J7718" i="15"/>
  <c r="H7719" i="15"/>
  <c r="I7719" i="15"/>
  <c r="J7719" i="15"/>
  <c r="H7720" i="15"/>
  <c r="I7720" i="15"/>
  <c r="J7720" i="15"/>
  <c r="H7721" i="15"/>
  <c r="I7721" i="15"/>
  <c r="J7721" i="15"/>
  <c r="H7722" i="15"/>
  <c r="I7722" i="15"/>
  <c r="J7722" i="15"/>
  <c r="H7723" i="15"/>
  <c r="I7723" i="15"/>
  <c r="J7723" i="15"/>
  <c r="H7724" i="15"/>
  <c r="I7724" i="15"/>
  <c r="J7724" i="15"/>
  <c r="H7725" i="15"/>
  <c r="I7725" i="15"/>
  <c r="J7725" i="15"/>
  <c r="H7726" i="15"/>
  <c r="I7726" i="15"/>
  <c r="J7726" i="15"/>
  <c r="H7727" i="15"/>
  <c r="I7727" i="15"/>
  <c r="J7727" i="15"/>
  <c r="H7728" i="15"/>
  <c r="I7728" i="15"/>
  <c r="J7728" i="15"/>
  <c r="H7729" i="15"/>
  <c r="I7729" i="15"/>
  <c r="J7729" i="15"/>
  <c r="H7730" i="15"/>
  <c r="I7730" i="15"/>
  <c r="J7730" i="15"/>
  <c r="H7731" i="15"/>
  <c r="I7731" i="15"/>
  <c r="J7731" i="15"/>
  <c r="H7732" i="15"/>
  <c r="I7732" i="15"/>
  <c r="J7732" i="15"/>
  <c r="H7733" i="15"/>
  <c r="I7733" i="15"/>
  <c r="J7733" i="15"/>
  <c r="H7734" i="15"/>
  <c r="I7734" i="15"/>
  <c r="J7734" i="15"/>
  <c r="H7735" i="15"/>
  <c r="I7735" i="15"/>
  <c r="J7735" i="15"/>
  <c r="H7736" i="15"/>
  <c r="I7736" i="15"/>
  <c r="J7736" i="15"/>
  <c r="H7737" i="15"/>
  <c r="I7737" i="15"/>
  <c r="J7737" i="15"/>
  <c r="H7738" i="15"/>
  <c r="I7738" i="15"/>
  <c r="J7738" i="15"/>
  <c r="H7739" i="15"/>
  <c r="I7739" i="15"/>
  <c r="J7739" i="15"/>
  <c r="H7740" i="15"/>
  <c r="I7740" i="15"/>
  <c r="J7740" i="15"/>
  <c r="H7741" i="15"/>
  <c r="I7741" i="15"/>
  <c r="J7741" i="15"/>
  <c r="H7742" i="15"/>
  <c r="I7742" i="15"/>
  <c r="J7742" i="15"/>
  <c r="H7743" i="15"/>
  <c r="I7743" i="15"/>
  <c r="J7743" i="15"/>
  <c r="H7744" i="15"/>
  <c r="I7744" i="15"/>
  <c r="J7744" i="15"/>
  <c r="H7745" i="15"/>
  <c r="I7745" i="15"/>
  <c r="J7745" i="15"/>
  <c r="H7746" i="15"/>
  <c r="I7746" i="15"/>
  <c r="J7746" i="15"/>
  <c r="H7747" i="15"/>
  <c r="I7747" i="15"/>
  <c r="J7747" i="15"/>
  <c r="H7748" i="15"/>
  <c r="I7748" i="15"/>
  <c r="J7748" i="15"/>
  <c r="H7749" i="15"/>
  <c r="I7749" i="15"/>
  <c r="J7749" i="15"/>
  <c r="H7750" i="15"/>
  <c r="I7750" i="15"/>
  <c r="J7750" i="15"/>
  <c r="H7751" i="15"/>
  <c r="I7751" i="15"/>
  <c r="J7751" i="15"/>
  <c r="H7752" i="15"/>
  <c r="I7752" i="15"/>
  <c r="J7752" i="15"/>
  <c r="H7753" i="15"/>
  <c r="I7753" i="15"/>
  <c r="J7753" i="15"/>
  <c r="H7754" i="15"/>
  <c r="I7754" i="15"/>
  <c r="J7754" i="15"/>
  <c r="H7755" i="15"/>
  <c r="I7755" i="15"/>
  <c r="J7755" i="15"/>
  <c r="H7756" i="15"/>
  <c r="I7756" i="15"/>
  <c r="J7756" i="15"/>
  <c r="H7757" i="15"/>
  <c r="I7757" i="15"/>
  <c r="J7757" i="15"/>
  <c r="H7758" i="15"/>
  <c r="I7758" i="15"/>
  <c r="J7758" i="15"/>
  <c r="H7759" i="15"/>
  <c r="I7759" i="15"/>
  <c r="J7759" i="15"/>
  <c r="H7760" i="15"/>
  <c r="I7760" i="15"/>
  <c r="J7760" i="15"/>
  <c r="H7761" i="15"/>
  <c r="I7761" i="15"/>
  <c r="J7761" i="15"/>
  <c r="H7762" i="15"/>
  <c r="I7762" i="15"/>
  <c r="J7762" i="15"/>
  <c r="H7763" i="15"/>
  <c r="I7763" i="15"/>
  <c r="J7763" i="15"/>
  <c r="H7764" i="15"/>
  <c r="I7764" i="15"/>
  <c r="J7764" i="15"/>
  <c r="H7765" i="15"/>
  <c r="I7765" i="15"/>
  <c r="J7765" i="15"/>
  <c r="H7766" i="15"/>
  <c r="I7766" i="15"/>
  <c r="J7766" i="15"/>
  <c r="H7767" i="15"/>
  <c r="I7767" i="15"/>
  <c r="J7767" i="15"/>
  <c r="H7768" i="15"/>
  <c r="I7768" i="15"/>
  <c r="J7768" i="15"/>
  <c r="H7769" i="15"/>
  <c r="I7769" i="15"/>
  <c r="J7769" i="15"/>
  <c r="H7770" i="15"/>
  <c r="I7770" i="15"/>
  <c r="J7770" i="15"/>
  <c r="H7771" i="15"/>
  <c r="I7771" i="15"/>
  <c r="J7771" i="15"/>
  <c r="H7772" i="15"/>
  <c r="I7772" i="15"/>
  <c r="J7772" i="15"/>
  <c r="H7773" i="15"/>
  <c r="I7773" i="15"/>
  <c r="J7773" i="15"/>
  <c r="H7774" i="15"/>
  <c r="I7774" i="15"/>
  <c r="J7774" i="15"/>
  <c r="H7775" i="15"/>
  <c r="I7775" i="15"/>
  <c r="J7775" i="15"/>
  <c r="H7776" i="15"/>
  <c r="I7776" i="15"/>
  <c r="J7776" i="15"/>
  <c r="H7777" i="15"/>
  <c r="I7777" i="15"/>
  <c r="J7777" i="15"/>
  <c r="H7778" i="15"/>
  <c r="I7778" i="15"/>
  <c r="J7778" i="15"/>
  <c r="H7779" i="15"/>
  <c r="I7779" i="15"/>
  <c r="J7779" i="15"/>
  <c r="H7780" i="15"/>
  <c r="I7780" i="15"/>
  <c r="J7780" i="15"/>
  <c r="H7781" i="15"/>
  <c r="I7781" i="15"/>
  <c r="J7781" i="15"/>
  <c r="H7782" i="15"/>
  <c r="I7782" i="15"/>
  <c r="J7782" i="15"/>
  <c r="H7783" i="15"/>
  <c r="I7783" i="15"/>
  <c r="J7783" i="15"/>
  <c r="H7784" i="15"/>
  <c r="I7784" i="15"/>
  <c r="J7784" i="15"/>
  <c r="H7785" i="15"/>
  <c r="I7785" i="15"/>
  <c r="J7785" i="15"/>
  <c r="H7786" i="15"/>
  <c r="I7786" i="15"/>
  <c r="J7786" i="15"/>
  <c r="H7787" i="15"/>
  <c r="I7787" i="15"/>
  <c r="J7787" i="15"/>
  <c r="H7788" i="15"/>
  <c r="I7788" i="15"/>
  <c r="J7788" i="15"/>
  <c r="H7789" i="15"/>
  <c r="I7789" i="15"/>
  <c r="J7789" i="15"/>
  <c r="H7790" i="15"/>
  <c r="I7790" i="15"/>
  <c r="J7790" i="15"/>
  <c r="H7791" i="15"/>
  <c r="I7791" i="15"/>
  <c r="J7791" i="15"/>
  <c r="H7792" i="15"/>
  <c r="I7792" i="15"/>
  <c r="J7792" i="15"/>
  <c r="H7793" i="15"/>
  <c r="I7793" i="15"/>
  <c r="J7793" i="15"/>
  <c r="H7794" i="15"/>
  <c r="I7794" i="15"/>
  <c r="J7794" i="15"/>
  <c r="H7795" i="15"/>
  <c r="I7795" i="15"/>
  <c r="J7795" i="15"/>
  <c r="H7796" i="15"/>
  <c r="I7796" i="15"/>
  <c r="J7796" i="15"/>
  <c r="H7797" i="15"/>
  <c r="I7797" i="15"/>
  <c r="J7797" i="15"/>
  <c r="H7798" i="15"/>
  <c r="I7798" i="15"/>
  <c r="J7798" i="15"/>
  <c r="H7799" i="15"/>
  <c r="I7799" i="15"/>
  <c r="J7799" i="15"/>
  <c r="H7800" i="15"/>
  <c r="I7800" i="15"/>
  <c r="J7800" i="15"/>
  <c r="H7801" i="15"/>
  <c r="I7801" i="15"/>
  <c r="J7801" i="15"/>
  <c r="H7802" i="15"/>
  <c r="I7802" i="15"/>
  <c r="J7802" i="15"/>
  <c r="H7803" i="15"/>
  <c r="I7803" i="15"/>
  <c r="J7803" i="15"/>
  <c r="H7804" i="15"/>
  <c r="I7804" i="15"/>
  <c r="J7804" i="15"/>
  <c r="H7805" i="15"/>
  <c r="I7805" i="15"/>
  <c r="J7805" i="15"/>
  <c r="H7806" i="15"/>
  <c r="I7806" i="15"/>
  <c r="J7806" i="15"/>
  <c r="H7807" i="15"/>
  <c r="I7807" i="15"/>
  <c r="J7807" i="15"/>
  <c r="H7808" i="15"/>
  <c r="I7808" i="15"/>
  <c r="J7808" i="15"/>
  <c r="H7809" i="15"/>
  <c r="I7809" i="15"/>
  <c r="J7809" i="15"/>
  <c r="H7810" i="15"/>
  <c r="I7810" i="15"/>
  <c r="J7810" i="15"/>
  <c r="H7811" i="15"/>
  <c r="I7811" i="15"/>
  <c r="J7811" i="15"/>
  <c r="H7812" i="15"/>
  <c r="I7812" i="15"/>
  <c r="J7812" i="15"/>
  <c r="H7813" i="15"/>
  <c r="I7813" i="15"/>
  <c r="J7813" i="15"/>
  <c r="H7814" i="15"/>
  <c r="I7814" i="15"/>
  <c r="J7814" i="15"/>
  <c r="H7815" i="15"/>
  <c r="I7815" i="15"/>
  <c r="J7815" i="15"/>
  <c r="H7816" i="15"/>
  <c r="I7816" i="15"/>
  <c r="J7816" i="15"/>
  <c r="H7817" i="15"/>
  <c r="I7817" i="15"/>
  <c r="J7817" i="15"/>
  <c r="H7818" i="15"/>
  <c r="I7818" i="15"/>
  <c r="J7818" i="15"/>
  <c r="H7819" i="15"/>
  <c r="I7819" i="15"/>
  <c r="J7819" i="15"/>
  <c r="H7820" i="15"/>
  <c r="I7820" i="15"/>
  <c r="J7820" i="15"/>
  <c r="H7821" i="15"/>
  <c r="I7821" i="15"/>
  <c r="J7821" i="15"/>
  <c r="H7822" i="15"/>
  <c r="I7822" i="15"/>
  <c r="J7822" i="15"/>
  <c r="H7823" i="15"/>
  <c r="I7823" i="15"/>
  <c r="J7823" i="15"/>
  <c r="H7824" i="15"/>
  <c r="I7824" i="15"/>
  <c r="J7824" i="15"/>
  <c r="H7825" i="15"/>
  <c r="I7825" i="15"/>
  <c r="J7825" i="15"/>
  <c r="H7826" i="15"/>
  <c r="I7826" i="15"/>
  <c r="J7826" i="15"/>
  <c r="H7827" i="15"/>
  <c r="I7827" i="15"/>
  <c r="J7827" i="15"/>
  <c r="H7828" i="15"/>
  <c r="I7828" i="15"/>
  <c r="J7828" i="15"/>
  <c r="H7829" i="15"/>
  <c r="I7829" i="15"/>
  <c r="J7829" i="15"/>
  <c r="H7830" i="15"/>
  <c r="I7830" i="15"/>
  <c r="J7830" i="15"/>
  <c r="H7831" i="15"/>
  <c r="I7831" i="15"/>
  <c r="J7831" i="15"/>
  <c r="H7832" i="15"/>
  <c r="I7832" i="15"/>
  <c r="J7832" i="15"/>
  <c r="H7833" i="15"/>
  <c r="I7833" i="15"/>
  <c r="J7833" i="15"/>
  <c r="H7834" i="15"/>
  <c r="I7834" i="15"/>
  <c r="J7834" i="15"/>
  <c r="H7835" i="15"/>
  <c r="I7835" i="15"/>
  <c r="J7835" i="15"/>
  <c r="H7836" i="15"/>
  <c r="I7836" i="15"/>
  <c r="J7836" i="15"/>
  <c r="H7837" i="15"/>
  <c r="I7837" i="15"/>
  <c r="J7837" i="15"/>
  <c r="H7838" i="15"/>
  <c r="I7838" i="15"/>
  <c r="J7838" i="15"/>
  <c r="H7839" i="15"/>
  <c r="I7839" i="15"/>
  <c r="J7839" i="15"/>
  <c r="H7840" i="15"/>
  <c r="I7840" i="15"/>
  <c r="J7840" i="15"/>
  <c r="H7841" i="15"/>
  <c r="I7841" i="15"/>
  <c r="J7841" i="15"/>
  <c r="H7842" i="15"/>
  <c r="I7842" i="15"/>
  <c r="J7842" i="15"/>
  <c r="H7843" i="15"/>
  <c r="I7843" i="15"/>
  <c r="J7843" i="15"/>
  <c r="H7844" i="15"/>
  <c r="I7844" i="15"/>
  <c r="J7844" i="15"/>
  <c r="H7845" i="15"/>
  <c r="I7845" i="15"/>
  <c r="J7845" i="15"/>
  <c r="H7846" i="15"/>
  <c r="I7846" i="15"/>
  <c r="J7846" i="15"/>
  <c r="H7847" i="15"/>
  <c r="I7847" i="15"/>
  <c r="J7847" i="15"/>
  <c r="H7848" i="15"/>
  <c r="I7848" i="15"/>
  <c r="J7848" i="15"/>
  <c r="H7849" i="15"/>
  <c r="I7849" i="15"/>
  <c r="J7849" i="15"/>
  <c r="H7850" i="15"/>
  <c r="I7850" i="15"/>
  <c r="J7850" i="15"/>
  <c r="H7851" i="15"/>
  <c r="I7851" i="15"/>
  <c r="J7851" i="15"/>
  <c r="H7852" i="15"/>
  <c r="I7852" i="15"/>
  <c r="J7852" i="15"/>
  <c r="H7853" i="15"/>
  <c r="I7853" i="15"/>
  <c r="J7853" i="15"/>
  <c r="H7854" i="15"/>
  <c r="I7854" i="15"/>
  <c r="J7854" i="15"/>
  <c r="H7855" i="15"/>
  <c r="I7855" i="15"/>
  <c r="J7855" i="15"/>
  <c r="H7856" i="15"/>
  <c r="I7856" i="15"/>
  <c r="J7856" i="15"/>
  <c r="H7857" i="15"/>
  <c r="I7857" i="15"/>
  <c r="J7857" i="15"/>
  <c r="H7858" i="15"/>
  <c r="I7858" i="15"/>
  <c r="J7858" i="15"/>
  <c r="H7859" i="15"/>
  <c r="I7859" i="15"/>
  <c r="J7859" i="15"/>
  <c r="H7860" i="15"/>
  <c r="I7860" i="15"/>
  <c r="J7860" i="15"/>
  <c r="H7861" i="15"/>
  <c r="I7861" i="15"/>
  <c r="J7861" i="15"/>
  <c r="H7862" i="15"/>
  <c r="I7862" i="15"/>
  <c r="J7862" i="15"/>
  <c r="H7863" i="15"/>
  <c r="I7863" i="15"/>
  <c r="J7863" i="15"/>
  <c r="H7864" i="15"/>
  <c r="I7864" i="15"/>
  <c r="J7864" i="15"/>
  <c r="H7865" i="15"/>
  <c r="I7865" i="15"/>
  <c r="J7865" i="15"/>
  <c r="H7866" i="15"/>
  <c r="I7866" i="15"/>
  <c r="J7866" i="15"/>
  <c r="H7867" i="15"/>
  <c r="I7867" i="15"/>
  <c r="J7867" i="15"/>
  <c r="H7868" i="15"/>
  <c r="I7868" i="15"/>
  <c r="J7868" i="15"/>
  <c r="H7869" i="15"/>
  <c r="I7869" i="15"/>
  <c r="J7869" i="15"/>
  <c r="H7870" i="15"/>
  <c r="I7870" i="15"/>
  <c r="J7870" i="15"/>
  <c r="H7871" i="15"/>
  <c r="I7871" i="15"/>
  <c r="J7871" i="15"/>
  <c r="H7872" i="15"/>
  <c r="I7872" i="15"/>
  <c r="J7872" i="15"/>
  <c r="H7873" i="15"/>
  <c r="I7873" i="15"/>
  <c r="J7873" i="15"/>
  <c r="H7874" i="15"/>
  <c r="I7874" i="15"/>
  <c r="J7874" i="15"/>
  <c r="H7875" i="15"/>
  <c r="I7875" i="15"/>
  <c r="J7875" i="15"/>
  <c r="H7876" i="15"/>
  <c r="I7876" i="15"/>
  <c r="J7876" i="15"/>
  <c r="H7877" i="15"/>
  <c r="I7877" i="15"/>
  <c r="J7877" i="15"/>
  <c r="H7878" i="15"/>
  <c r="I7878" i="15"/>
  <c r="J7878" i="15"/>
  <c r="H7879" i="15"/>
  <c r="I7879" i="15"/>
  <c r="J7879" i="15"/>
  <c r="H7880" i="15"/>
  <c r="I7880" i="15"/>
  <c r="J7880" i="15"/>
  <c r="H7881" i="15"/>
  <c r="I7881" i="15"/>
  <c r="J7881" i="15"/>
  <c r="H7882" i="15"/>
  <c r="I7882" i="15"/>
  <c r="J7882" i="15"/>
  <c r="H7883" i="15"/>
  <c r="I7883" i="15"/>
  <c r="J7883" i="15"/>
  <c r="H7884" i="15"/>
  <c r="I7884" i="15"/>
  <c r="J7884" i="15"/>
  <c r="H7885" i="15"/>
  <c r="I7885" i="15"/>
  <c r="J7885" i="15"/>
  <c r="H7886" i="15"/>
  <c r="I7886" i="15"/>
  <c r="J7886" i="15"/>
  <c r="H7887" i="15"/>
  <c r="I7887" i="15"/>
  <c r="J7887" i="15"/>
  <c r="H7888" i="15"/>
  <c r="I7888" i="15"/>
  <c r="J7888" i="15"/>
  <c r="H7889" i="15"/>
  <c r="I7889" i="15"/>
  <c r="J7889" i="15"/>
  <c r="H7890" i="15"/>
  <c r="I7890" i="15"/>
  <c r="J7890" i="15"/>
  <c r="H7891" i="15"/>
  <c r="I7891" i="15"/>
  <c r="J7891" i="15"/>
  <c r="H7892" i="15"/>
  <c r="I7892" i="15"/>
  <c r="J7892" i="15"/>
  <c r="H7893" i="15"/>
  <c r="I7893" i="15"/>
  <c r="J7893" i="15"/>
  <c r="H7894" i="15"/>
  <c r="I7894" i="15"/>
  <c r="J7894" i="15"/>
  <c r="H7895" i="15"/>
  <c r="I7895" i="15"/>
  <c r="J7895" i="15"/>
  <c r="H7896" i="15"/>
  <c r="I7896" i="15"/>
  <c r="J7896" i="15"/>
  <c r="H7897" i="15"/>
  <c r="I7897" i="15"/>
  <c r="J7897" i="15"/>
  <c r="H7898" i="15"/>
  <c r="I7898" i="15"/>
  <c r="J7898" i="15"/>
  <c r="H7899" i="15"/>
  <c r="I7899" i="15"/>
  <c r="J7899" i="15"/>
  <c r="H7900" i="15"/>
  <c r="I7900" i="15"/>
  <c r="J7900" i="15"/>
  <c r="H7901" i="15"/>
  <c r="I7901" i="15"/>
  <c r="J7901" i="15"/>
  <c r="H7902" i="15"/>
  <c r="I7902" i="15"/>
  <c r="J7902" i="15"/>
  <c r="H7903" i="15"/>
  <c r="I7903" i="15"/>
  <c r="J7903" i="15"/>
  <c r="H7904" i="15"/>
  <c r="I7904" i="15"/>
  <c r="J7904" i="15"/>
  <c r="H7905" i="15"/>
  <c r="I7905" i="15"/>
  <c r="J7905" i="15"/>
  <c r="H7906" i="15"/>
  <c r="I7906" i="15"/>
  <c r="J7906" i="15"/>
  <c r="H7907" i="15"/>
  <c r="I7907" i="15"/>
  <c r="J7907" i="15"/>
  <c r="H7908" i="15"/>
  <c r="I7908" i="15"/>
  <c r="J7908" i="15"/>
  <c r="H7909" i="15"/>
  <c r="I7909" i="15"/>
  <c r="J7909" i="15"/>
  <c r="H7910" i="15"/>
  <c r="I7910" i="15"/>
  <c r="J7910" i="15"/>
  <c r="H7911" i="15"/>
  <c r="I7911" i="15"/>
  <c r="J7911" i="15"/>
  <c r="H7912" i="15"/>
  <c r="I7912" i="15"/>
  <c r="J7912" i="15"/>
  <c r="H7913" i="15"/>
  <c r="I7913" i="15"/>
  <c r="J7913" i="15"/>
  <c r="H7914" i="15"/>
  <c r="I7914" i="15"/>
  <c r="J7914" i="15"/>
  <c r="H7915" i="15"/>
  <c r="I7915" i="15"/>
  <c r="J7915" i="15"/>
  <c r="H7916" i="15"/>
  <c r="I7916" i="15"/>
  <c r="J7916" i="15"/>
  <c r="H7917" i="15"/>
  <c r="I7917" i="15"/>
  <c r="J7917" i="15"/>
  <c r="H7918" i="15"/>
  <c r="I7918" i="15"/>
  <c r="J7918" i="15"/>
  <c r="H7919" i="15"/>
  <c r="I7919" i="15"/>
  <c r="J7919" i="15"/>
  <c r="H7920" i="15"/>
  <c r="I7920" i="15"/>
  <c r="J7920" i="15"/>
  <c r="H7921" i="15"/>
  <c r="I7921" i="15"/>
  <c r="J7921" i="15"/>
  <c r="H7922" i="15"/>
  <c r="I7922" i="15"/>
  <c r="J7922" i="15"/>
  <c r="H7923" i="15"/>
  <c r="I7923" i="15"/>
  <c r="J7923" i="15"/>
  <c r="H7924" i="15"/>
  <c r="I7924" i="15"/>
  <c r="J7924" i="15"/>
  <c r="H7925" i="15"/>
  <c r="I7925" i="15"/>
  <c r="J7925" i="15"/>
  <c r="H7926" i="15"/>
  <c r="I7926" i="15"/>
  <c r="J7926" i="15"/>
  <c r="H7927" i="15"/>
  <c r="I7927" i="15"/>
  <c r="J7927" i="15"/>
  <c r="H7928" i="15"/>
  <c r="I7928" i="15"/>
  <c r="J7928" i="15"/>
  <c r="H7929" i="15"/>
  <c r="I7929" i="15"/>
  <c r="J7929" i="15"/>
  <c r="H7930" i="15"/>
  <c r="I7930" i="15"/>
  <c r="J7930" i="15"/>
  <c r="H7931" i="15"/>
  <c r="I7931" i="15"/>
  <c r="J7931" i="15"/>
  <c r="H7932" i="15"/>
  <c r="I7932" i="15"/>
  <c r="J7932" i="15"/>
  <c r="H7933" i="15"/>
  <c r="I7933" i="15"/>
  <c r="J7933" i="15"/>
  <c r="H7934" i="15"/>
  <c r="I7934" i="15"/>
  <c r="J7934" i="15"/>
  <c r="H7935" i="15"/>
  <c r="I7935" i="15"/>
  <c r="J7935" i="15"/>
  <c r="H7936" i="15"/>
  <c r="I7936" i="15"/>
  <c r="J7936" i="15"/>
  <c r="H7937" i="15"/>
  <c r="I7937" i="15"/>
  <c r="J7937" i="15"/>
  <c r="H7938" i="15"/>
  <c r="I7938" i="15"/>
  <c r="J7938" i="15"/>
  <c r="H7939" i="15"/>
  <c r="I7939" i="15"/>
  <c r="J7939" i="15"/>
  <c r="H7940" i="15"/>
  <c r="I7940" i="15"/>
  <c r="J7940" i="15"/>
  <c r="H7941" i="15"/>
  <c r="I7941" i="15"/>
  <c r="J7941" i="15"/>
  <c r="H7942" i="15"/>
  <c r="I7942" i="15"/>
  <c r="J7942" i="15"/>
  <c r="H7943" i="15"/>
  <c r="I7943" i="15"/>
  <c r="J7943" i="15"/>
  <c r="H7944" i="15"/>
  <c r="I7944" i="15"/>
  <c r="J7944" i="15"/>
  <c r="H7945" i="15"/>
  <c r="I7945" i="15"/>
  <c r="J7945" i="15"/>
  <c r="H7946" i="15"/>
  <c r="I7946" i="15"/>
  <c r="J7946" i="15"/>
  <c r="H7947" i="15"/>
  <c r="I7947" i="15"/>
  <c r="J7947" i="15"/>
  <c r="H7948" i="15"/>
  <c r="I7948" i="15"/>
  <c r="J7948" i="15"/>
  <c r="H7949" i="15"/>
  <c r="I7949" i="15"/>
  <c r="J7949" i="15"/>
  <c r="H7950" i="15"/>
  <c r="I7950" i="15"/>
  <c r="J7950" i="15"/>
  <c r="H7951" i="15"/>
  <c r="I7951" i="15"/>
  <c r="J7951" i="15"/>
  <c r="H7952" i="15"/>
  <c r="I7952" i="15"/>
  <c r="J7952" i="15"/>
  <c r="H7953" i="15"/>
  <c r="I7953" i="15"/>
  <c r="J7953" i="15"/>
  <c r="H7954" i="15"/>
  <c r="I7954" i="15"/>
  <c r="J7954" i="15"/>
  <c r="H7955" i="15"/>
  <c r="I7955" i="15"/>
  <c r="J7955" i="15"/>
  <c r="H7956" i="15"/>
  <c r="I7956" i="15"/>
  <c r="J7956" i="15"/>
  <c r="H7957" i="15"/>
  <c r="I7957" i="15"/>
  <c r="J7957" i="15"/>
  <c r="H7958" i="15"/>
  <c r="I7958" i="15"/>
  <c r="J7958" i="15"/>
  <c r="H7959" i="15"/>
  <c r="I7959" i="15"/>
  <c r="J7959" i="15"/>
  <c r="H7960" i="15"/>
  <c r="I7960" i="15"/>
  <c r="J7960" i="15"/>
  <c r="H7961" i="15"/>
  <c r="I7961" i="15"/>
  <c r="J7961" i="15"/>
  <c r="H7962" i="15"/>
  <c r="I7962" i="15"/>
  <c r="J7962" i="15"/>
  <c r="H7963" i="15"/>
  <c r="I7963" i="15"/>
  <c r="J7963" i="15"/>
  <c r="H7964" i="15"/>
  <c r="I7964" i="15"/>
  <c r="J7964" i="15"/>
  <c r="H7965" i="15"/>
  <c r="I7965" i="15"/>
  <c r="J7965" i="15"/>
  <c r="H7966" i="15"/>
  <c r="I7966" i="15"/>
  <c r="J7966" i="15"/>
  <c r="H7967" i="15"/>
  <c r="I7967" i="15"/>
  <c r="J7967" i="15"/>
  <c r="H7968" i="15"/>
  <c r="I7968" i="15"/>
  <c r="J7968" i="15"/>
  <c r="H7969" i="15"/>
  <c r="I7969" i="15"/>
  <c r="J7969" i="15"/>
  <c r="H7970" i="15"/>
  <c r="I7970" i="15"/>
  <c r="J7970" i="15"/>
  <c r="H7971" i="15"/>
  <c r="I7971" i="15"/>
  <c r="J7971" i="15"/>
  <c r="H7972" i="15"/>
  <c r="I7972" i="15"/>
  <c r="J7972" i="15"/>
  <c r="H7973" i="15"/>
  <c r="I7973" i="15"/>
  <c r="J7973" i="15"/>
  <c r="H7974" i="15"/>
  <c r="I7974" i="15"/>
  <c r="J7974" i="15"/>
  <c r="H7975" i="15"/>
  <c r="I7975" i="15"/>
  <c r="J7975" i="15"/>
  <c r="H7976" i="15"/>
  <c r="I7976" i="15"/>
  <c r="J7976" i="15"/>
  <c r="H7977" i="15"/>
  <c r="I7977" i="15"/>
  <c r="J7977" i="15"/>
  <c r="H7978" i="15"/>
  <c r="I7978" i="15"/>
  <c r="J7978" i="15"/>
  <c r="H7979" i="15"/>
  <c r="I7979" i="15"/>
  <c r="J7979" i="15"/>
  <c r="H7980" i="15"/>
  <c r="I7980" i="15"/>
  <c r="J7980" i="15"/>
  <c r="H7981" i="15"/>
  <c r="I7981" i="15"/>
  <c r="J7981" i="15"/>
  <c r="H7982" i="15"/>
  <c r="I7982" i="15"/>
  <c r="J7982" i="15"/>
  <c r="H7983" i="15"/>
  <c r="I7983" i="15"/>
  <c r="J7983" i="15"/>
  <c r="H7984" i="15"/>
  <c r="I7984" i="15"/>
  <c r="J7984" i="15"/>
  <c r="H7985" i="15"/>
  <c r="I7985" i="15"/>
  <c r="J7985" i="15"/>
  <c r="H7986" i="15"/>
  <c r="I7986" i="15"/>
  <c r="J7986" i="15"/>
  <c r="H7987" i="15"/>
  <c r="I7987" i="15"/>
  <c r="J7987" i="15"/>
  <c r="H7988" i="15"/>
  <c r="I7988" i="15"/>
  <c r="J7988" i="15"/>
  <c r="H7989" i="15"/>
  <c r="I7989" i="15"/>
  <c r="J7989" i="15"/>
  <c r="H7990" i="15"/>
  <c r="I7990" i="15"/>
  <c r="J7990" i="15"/>
  <c r="H7991" i="15"/>
  <c r="I7991" i="15"/>
  <c r="J7991" i="15"/>
  <c r="H7992" i="15"/>
  <c r="I7992" i="15"/>
  <c r="J7992" i="15"/>
  <c r="H7993" i="15"/>
  <c r="I7993" i="15"/>
  <c r="J7993" i="15"/>
  <c r="H7994" i="15"/>
  <c r="I7994" i="15"/>
  <c r="J7994" i="15"/>
  <c r="H7995" i="15"/>
  <c r="I7995" i="15"/>
  <c r="J7995" i="15"/>
  <c r="H7996" i="15"/>
  <c r="I7996" i="15"/>
  <c r="J7996" i="15"/>
  <c r="H7997" i="15"/>
  <c r="I7997" i="15"/>
  <c r="J7997" i="15"/>
  <c r="H7998" i="15"/>
  <c r="I7998" i="15"/>
  <c r="J7998" i="15"/>
  <c r="H7999" i="15"/>
  <c r="I7999" i="15"/>
  <c r="J7999" i="15"/>
  <c r="H8000" i="15"/>
  <c r="I8000" i="15"/>
  <c r="J8000" i="15"/>
  <c r="G8695" i="5"/>
  <c r="G6" i="5"/>
  <c r="G7" i="5"/>
  <c r="G9" i="5"/>
  <c r="G10" i="5"/>
  <c r="G11" i="5"/>
  <c r="G13" i="5"/>
  <c r="G14" i="5"/>
  <c r="G15" i="5"/>
  <c r="G17" i="5"/>
  <c r="G18" i="5"/>
  <c r="G19" i="5"/>
  <c r="G22" i="5"/>
  <c r="G23" i="5"/>
  <c r="G24" i="5"/>
  <c r="G25" i="5"/>
  <c r="G27" i="5"/>
  <c r="G28" i="5"/>
  <c r="G29" i="5"/>
  <c r="G30" i="5"/>
  <c r="G32" i="5"/>
  <c r="G33" i="5"/>
  <c r="G34" i="5"/>
  <c r="G36" i="5"/>
  <c r="G37" i="5"/>
  <c r="G38" i="5"/>
  <c r="G39" i="5"/>
  <c r="G41" i="5"/>
  <c r="G42" i="5"/>
  <c r="G43" i="5"/>
  <c r="G44" i="5"/>
  <c r="G45" i="5"/>
  <c r="G46" i="5"/>
  <c r="G47" i="5"/>
  <c r="G48" i="5"/>
  <c r="E49" i="5"/>
  <c r="E50" i="5"/>
  <c r="G50" i="5" s="1"/>
  <c r="G51" i="5"/>
  <c r="G52" i="5"/>
  <c r="G53" i="5"/>
  <c r="G8" i="16"/>
  <c r="H8" i="16"/>
  <c r="G9" i="16"/>
  <c r="H9" i="16"/>
  <c r="G10" i="16"/>
  <c r="H10" i="16"/>
  <c r="G11" i="16"/>
  <c r="H11" i="16"/>
  <c r="G12" i="16"/>
  <c r="H12" i="16"/>
  <c r="G13" i="16"/>
  <c r="H13" i="16"/>
  <c r="G14" i="16"/>
  <c r="H14" i="16"/>
  <c r="G15" i="16"/>
  <c r="H15" i="16"/>
  <c r="G16" i="16"/>
  <c r="H16" i="16"/>
  <c r="G17" i="16"/>
  <c r="H17" i="16"/>
  <c r="G18" i="16"/>
  <c r="H18" i="16"/>
  <c r="G19" i="16"/>
  <c r="H19" i="16"/>
  <c r="G20" i="16"/>
  <c r="H20" i="16"/>
  <c r="G21" i="16"/>
  <c r="H21" i="16"/>
  <c r="G22" i="16"/>
  <c r="H22" i="16"/>
  <c r="G23" i="16"/>
  <c r="H23" i="16"/>
  <c r="G24" i="16"/>
  <c r="H24" i="16"/>
  <c r="G25" i="16"/>
  <c r="H25" i="16"/>
  <c r="G26" i="16"/>
  <c r="H26" i="16"/>
  <c r="G27" i="16"/>
  <c r="H27" i="16"/>
  <c r="G28" i="16"/>
  <c r="H28" i="16"/>
  <c r="G29" i="16"/>
  <c r="H29" i="16"/>
  <c r="G30" i="16"/>
  <c r="H30" i="16"/>
  <c r="G31" i="16"/>
  <c r="H31" i="16"/>
  <c r="G32" i="16"/>
  <c r="H32" i="16"/>
  <c r="G33" i="16"/>
  <c r="H33" i="16"/>
  <c r="G34" i="16"/>
  <c r="H34" i="16"/>
  <c r="G35" i="16"/>
  <c r="H35" i="16"/>
  <c r="G36" i="16"/>
  <c r="H36" i="16"/>
  <c r="G37" i="16"/>
  <c r="H37" i="16"/>
  <c r="G38" i="16"/>
  <c r="H38" i="16"/>
  <c r="G39" i="16"/>
  <c r="H39" i="16"/>
  <c r="G40" i="16"/>
  <c r="H40" i="16"/>
  <c r="G41" i="16"/>
  <c r="H41" i="16"/>
  <c r="G42" i="16"/>
  <c r="H42" i="16"/>
  <c r="G43" i="16"/>
  <c r="H43" i="16"/>
  <c r="G44" i="16"/>
  <c r="H44" i="16"/>
  <c r="G45" i="16"/>
  <c r="H45" i="16"/>
  <c r="G46" i="16"/>
  <c r="H46" i="16"/>
  <c r="G47" i="16"/>
  <c r="H47" i="16"/>
  <c r="G48" i="16"/>
  <c r="H48" i="16"/>
  <c r="G49" i="16"/>
  <c r="H49" i="16"/>
  <c r="G50" i="16"/>
  <c r="H50" i="16"/>
  <c r="G51" i="16"/>
  <c r="H51" i="16"/>
  <c r="G52" i="16"/>
  <c r="H52" i="16"/>
  <c r="G53" i="16"/>
  <c r="H53" i="16"/>
  <c r="G54" i="16"/>
  <c r="H54" i="16"/>
  <c r="G55" i="16"/>
  <c r="H55" i="16"/>
  <c r="G56" i="16"/>
  <c r="H56" i="16"/>
  <c r="G57" i="16"/>
  <c r="H57" i="16"/>
  <c r="G58" i="16"/>
  <c r="H58" i="16"/>
  <c r="G59" i="16"/>
  <c r="H59" i="16"/>
  <c r="G60" i="16"/>
  <c r="H60" i="16"/>
  <c r="G61" i="16"/>
  <c r="H61" i="16"/>
  <c r="G62" i="16"/>
  <c r="H62" i="16"/>
  <c r="G63" i="16"/>
  <c r="H63" i="16"/>
  <c r="G64" i="16"/>
  <c r="H64" i="16"/>
  <c r="G65" i="16"/>
  <c r="H65" i="16"/>
  <c r="G66" i="16"/>
  <c r="H66" i="16"/>
  <c r="G67" i="16"/>
  <c r="H67" i="16"/>
  <c r="G68" i="16"/>
  <c r="H68" i="16"/>
  <c r="G69" i="16"/>
  <c r="H69" i="16"/>
  <c r="G70" i="16"/>
  <c r="H70" i="16"/>
  <c r="G71" i="16"/>
  <c r="H71" i="16"/>
  <c r="G72" i="16"/>
  <c r="H72" i="16"/>
  <c r="G73" i="16"/>
  <c r="H73" i="16"/>
  <c r="G74" i="16"/>
  <c r="H74" i="16"/>
  <c r="G75" i="16"/>
  <c r="H75" i="16"/>
  <c r="G76" i="16"/>
  <c r="H76" i="16"/>
  <c r="G77" i="16"/>
  <c r="H77" i="16"/>
  <c r="G78" i="16"/>
  <c r="H78" i="16"/>
  <c r="G79" i="16"/>
  <c r="H79" i="16"/>
  <c r="G80" i="16"/>
  <c r="H80" i="16"/>
  <c r="G81" i="16"/>
  <c r="H81" i="16"/>
  <c r="G82" i="16"/>
  <c r="H82" i="16"/>
  <c r="G83" i="16"/>
  <c r="H83" i="16"/>
  <c r="G84" i="16"/>
  <c r="H84" i="16"/>
  <c r="G85" i="16"/>
  <c r="H85" i="16"/>
  <c r="G86" i="16"/>
  <c r="H86" i="16"/>
  <c r="G87" i="16"/>
  <c r="H87" i="16"/>
  <c r="G88" i="16"/>
  <c r="H88" i="16"/>
  <c r="G89" i="16"/>
  <c r="H89" i="16"/>
  <c r="G90" i="16"/>
  <c r="H90" i="16"/>
  <c r="G91" i="16"/>
  <c r="H91" i="16"/>
  <c r="G92" i="16"/>
  <c r="H92" i="16"/>
  <c r="G93" i="16"/>
  <c r="H93" i="16"/>
  <c r="G94" i="16"/>
  <c r="H94" i="16"/>
  <c r="G95" i="16"/>
  <c r="H95" i="16"/>
  <c r="G96" i="16"/>
  <c r="H96" i="16"/>
  <c r="G97" i="16"/>
  <c r="H97" i="16"/>
  <c r="G98" i="16"/>
  <c r="H98" i="16"/>
  <c r="G99" i="16"/>
  <c r="H99" i="16"/>
  <c r="G100" i="16"/>
  <c r="H100" i="16"/>
  <c r="G101" i="16"/>
  <c r="H101" i="16"/>
  <c r="G102" i="16"/>
  <c r="H102" i="16"/>
  <c r="G103" i="16"/>
  <c r="H103" i="16"/>
  <c r="G104" i="16"/>
  <c r="H104" i="16"/>
  <c r="G105" i="16"/>
  <c r="H105" i="16"/>
  <c r="G106" i="16"/>
  <c r="H106" i="16"/>
  <c r="G107" i="16"/>
  <c r="H107" i="16"/>
  <c r="G108" i="16"/>
  <c r="H108" i="16"/>
  <c r="G109" i="16"/>
  <c r="H109" i="16"/>
  <c r="G110" i="16"/>
  <c r="H110" i="16"/>
  <c r="G111" i="16"/>
  <c r="H111" i="16"/>
  <c r="G112" i="16"/>
  <c r="H112" i="16"/>
  <c r="G113" i="16"/>
  <c r="H113" i="16"/>
  <c r="G114" i="16"/>
  <c r="H114" i="16"/>
  <c r="G115" i="16"/>
  <c r="H115" i="16"/>
  <c r="G116" i="16"/>
  <c r="H116" i="16"/>
  <c r="G117" i="16"/>
  <c r="H117" i="16"/>
  <c r="G118" i="16"/>
  <c r="H118" i="16"/>
  <c r="G119" i="16"/>
  <c r="H119" i="16"/>
  <c r="G120" i="16"/>
  <c r="H120" i="16"/>
  <c r="G121" i="16"/>
  <c r="H121" i="16"/>
  <c r="G122" i="16"/>
  <c r="H122" i="16"/>
  <c r="G123" i="16"/>
  <c r="H123" i="16"/>
  <c r="G124" i="16"/>
  <c r="H124" i="16"/>
  <c r="G125" i="16"/>
  <c r="H125" i="16"/>
  <c r="G126" i="16"/>
  <c r="H126" i="16"/>
  <c r="G127" i="16"/>
  <c r="H127" i="16"/>
  <c r="G128" i="16"/>
  <c r="H128" i="16"/>
  <c r="G129" i="16"/>
  <c r="H129" i="16"/>
  <c r="G130" i="16"/>
  <c r="H130" i="16"/>
  <c r="G131" i="16"/>
  <c r="H131" i="16"/>
  <c r="G132" i="16"/>
  <c r="H132" i="16"/>
  <c r="G133" i="16"/>
  <c r="H133" i="16"/>
  <c r="G134" i="16"/>
  <c r="H134" i="16"/>
  <c r="G135" i="16"/>
  <c r="H135" i="16"/>
  <c r="G136" i="16"/>
  <c r="H136" i="16"/>
  <c r="G137" i="16"/>
  <c r="H137" i="16"/>
  <c r="G138" i="16"/>
  <c r="H138" i="16"/>
  <c r="G139" i="16"/>
  <c r="H139" i="16"/>
  <c r="G140" i="16"/>
  <c r="H140" i="16"/>
  <c r="G141" i="16"/>
  <c r="H141" i="16"/>
  <c r="G142" i="16"/>
  <c r="H142" i="16"/>
  <c r="G143" i="16"/>
  <c r="H143" i="16"/>
  <c r="G144" i="16"/>
  <c r="H144" i="16"/>
  <c r="G145" i="16"/>
  <c r="H145" i="16"/>
  <c r="G146" i="16"/>
  <c r="H146" i="16"/>
  <c r="G147" i="16"/>
  <c r="H147" i="16"/>
  <c r="G148" i="16"/>
  <c r="H148" i="16"/>
  <c r="G149" i="16"/>
  <c r="H149" i="16"/>
  <c r="G150" i="16"/>
  <c r="H150" i="16"/>
  <c r="G151" i="16"/>
  <c r="H151" i="16"/>
  <c r="G152" i="16"/>
  <c r="H152" i="16"/>
  <c r="G153" i="16"/>
  <c r="H153" i="16"/>
  <c r="G154" i="16"/>
  <c r="H154" i="16"/>
  <c r="G155" i="16"/>
  <c r="H155" i="16"/>
  <c r="G156" i="16"/>
  <c r="H156" i="16"/>
  <c r="G157" i="16"/>
  <c r="H157" i="16"/>
  <c r="G158" i="16"/>
  <c r="H158" i="16"/>
  <c r="G159" i="16"/>
  <c r="H159" i="16"/>
  <c r="G160" i="16"/>
  <c r="H160" i="16"/>
  <c r="G161" i="16"/>
  <c r="H161" i="16"/>
  <c r="G162" i="16"/>
  <c r="H162" i="16"/>
  <c r="G163" i="16"/>
  <c r="H163" i="16"/>
  <c r="G164" i="16"/>
  <c r="H164" i="16"/>
  <c r="G165" i="16"/>
  <c r="H165" i="16"/>
  <c r="G166" i="16"/>
  <c r="H166" i="16"/>
  <c r="G167" i="16"/>
  <c r="H167" i="16"/>
  <c r="G168" i="16"/>
  <c r="H168" i="16"/>
  <c r="G169" i="16"/>
  <c r="H169" i="16"/>
  <c r="G170" i="16"/>
  <c r="H170" i="16"/>
  <c r="G171" i="16"/>
  <c r="H171" i="16"/>
  <c r="G172" i="16"/>
  <c r="H172" i="16"/>
  <c r="G173" i="16"/>
  <c r="H173" i="16"/>
  <c r="G174" i="16"/>
  <c r="H174" i="16"/>
  <c r="G175" i="16"/>
  <c r="H175" i="16"/>
  <c r="G176" i="16"/>
  <c r="H176" i="16"/>
  <c r="G177" i="16"/>
  <c r="H177" i="16"/>
  <c r="G178" i="16"/>
  <c r="H178" i="16"/>
  <c r="G179" i="16"/>
  <c r="H179" i="16"/>
  <c r="G180" i="16"/>
  <c r="H180" i="16"/>
  <c r="G181" i="16"/>
  <c r="H181" i="16"/>
  <c r="G182" i="16"/>
  <c r="H182" i="16"/>
  <c r="G183" i="16"/>
  <c r="H183" i="16"/>
  <c r="G184" i="16"/>
  <c r="H184" i="16"/>
  <c r="G185" i="16"/>
  <c r="H185" i="16"/>
  <c r="G186" i="16"/>
  <c r="H186" i="16"/>
  <c r="G187" i="16"/>
  <c r="H187" i="16"/>
  <c r="G188" i="16"/>
  <c r="H188" i="16"/>
  <c r="G189" i="16"/>
  <c r="H189" i="16"/>
  <c r="G190" i="16"/>
  <c r="H190" i="16"/>
  <c r="G191" i="16"/>
  <c r="H191" i="16"/>
  <c r="G192" i="16"/>
  <c r="H192" i="16"/>
  <c r="G193" i="16"/>
  <c r="H193" i="16"/>
  <c r="G194" i="16"/>
  <c r="H194" i="16"/>
  <c r="G195" i="16"/>
  <c r="H195" i="16"/>
  <c r="G196" i="16"/>
  <c r="H196" i="16"/>
  <c r="G197" i="16"/>
  <c r="H197" i="16"/>
  <c r="G198" i="16"/>
  <c r="H198" i="16"/>
  <c r="G199" i="16"/>
  <c r="H199" i="16"/>
  <c r="G200" i="16"/>
  <c r="H200" i="16"/>
  <c r="G201" i="16"/>
  <c r="H201" i="16"/>
  <c r="G202" i="16"/>
  <c r="H202" i="16"/>
  <c r="G203" i="16"/>
  <c r="H203" i="16"/>
  <c r="G204" i="16"/>
  <c r="H204" i="16"/>
  <c r="G205" i="16"/>
  <c r="H205" i="16"/>
  <c r="G206" i="16"/>
  <c r="H206" i="16"/>
  <c r="G207" i="16"/>
  <c r="H207" i="16"/>
  <c r="G208" i="16"/>
  <c r="H208" i="16"/>
  <c r="G209" i="16"/>
  <c r="H209" i="16"/>
  <c r="G210" i="16"/>
  <c r="H210" i="16"/>
  <c r="G211" i="16"/>
  <c r="H211" i="16"/>
  <c r="G212" i="16"/>
  <c r="H212" i="16"/>
  <c r="G213" i="16"/>
  <c r="H213" i="16"/>
  <c r="G214" i="16"/>
  <c r="H214" i="16"/>
  <c r="G215" i="16"/>
  <c r="H215" i="16"/>
  <c r="G216" i="16"/>
  <c r="H216" i="16"/>
  <c r="G217" i="16"/>
  <c r="H217" i="16"/>
  <c r="G218" i="16"/>
  <c r="H218" i="16"/>
  <c r="G219" i="16"/>
  <c r="H219" i="16"/>
  <c r="G220" i="16"/>
  <c r="H220" i="16"/>
  <c r="G221" i="16"/>
  <c r="H221" i="16"/>
  <c r="G222" i="16"/>
  <c r="H222" i="16"/>
  <c r="G223" i="16"/>
  <c r="H223" i="16"/>
  <c r="G224" i="16"/>
  <c r="H224" i="16"/>
  <c r="G225" i="16"/>
  <c r="H225" i="16"/>
  <c r="G226" i="16"/>
  <c r="H226" i="16"/>
  <c r="G227" i="16"/>
  <c r="H227" i="16"/>
  <c r="G228" i="16"/>
  <c r="H228" i="16"/>
  <c r="G229" i="16"/>
  <c r="H229" i="16"/>
  <c r="G230" i="16"/>
  <c r="H230" i="16"/>
  <c r="G231" i="16"/>
  <c r="H231" i="16"/>
  <c r="G232" i="16"/>
  <c r="H232" i="16"/>
  <c r="G233" i="16"/>
  <c r="H233" i="16"/>
  <c r="G234" i="16"/>
  <c r="H234" i="16"/>
  <c r="G235" i="16"/>
  <c r="H235" i="16"/>
  <c r="G236" i="16"/>
  <c r="H236" i="16"/>
  <c r="G237" i="16"/>
  <c r="H237" i="16"/>
  <c r="G238" i="16"/>
  <c r="H238" i="16"/>
  <c r="G239" i="16"/>
  <c r="H239" i="16"/>
  <c r="G240" i="16"/>
  <c r="H240" i="16"/>
  <c r="G241" i="16"/>
  <c r="H241" i="16"/>
  <c r="G242" i="16"/>
  <c r="H242" i="16"/>
  <c r="G243" i="16"/>
  <c r="H243" i="16"/>
  <c r="G244" i="16"/>
  <c r="H244" i="16"/>
  <c r="G245" i="16"/>
  <c r="H245" i="16"/>
  <c r="G246" i="16"/>
  <c r="H246" i="16"/>
  <c r="G247" i="16"/>
  <c r="H247" i="16"/>
  <c r="G248" i="16"/>
  <c r="H248" i="16"/>
  <c r="G249" i="16"/>
  <c r="H249" i="16"/>
  <c r="G250" i="16"/>
  <c r="H250" i="16"/>
  <c r="G251" i="16"/>
  <c r="H251" i="16"/>
  <c r="G252" i="16"/>
  <c r="H252" i="16"/>
  <c r="G253" i="16"/>
  <c r="H253" i="16"/>
  <c r="G254" i="16"/>
  <c r="H254" i="16"/>
  <c r="G255" i="16"/>
  <c r="H255" i="16"/>
  <c r="G256" i="16"/>
  <c r="H256" i="16"/>
  <c r="G257" i="16"/>
  <c r="H257" i="16"/>
  <c r="G258" i="16"/>
  <c r="H258" i="16"/>
  <c r="G259" i="16"/>
  <c r="H259" i="16"/>
  <c r="G260" i="16"/>
  <c r="H260" i="16"/>
  <c r="G261" i="16"/>
  <c r="H261" i="16"/>
  <c r="G262" i="16"/>
  <c r="H262" i="16"/>
  <c r="G263" i="16"/>
  <c r="H263" i="16"/>
  <c r="G264" i="16"/>
  <c r="H264" i="16"/>
  <c r="G265" i="16"/>
  <c r="H265" i="16"/>
  <c r="G266" i="16"/>
  <c r="H266" i="16"/>
  <c r="G267" i="16"/>
  <c r="H267" i="16"/>
  <c r="G268" i="16"/>
  <c r="H268" i="16"/>
  <c r="G269" i="16"/>
  <c r="H269" i="16"/>
  <c r="G270" i="16"/>
  <c r="H270" i="16"/>
  <c r="G271" i="16"/>
  <c r="H271" i="16"/>
  <c r="G272" i="16"/>
  <c r="H272" i="16"/>
  <c r="G273" i="16"/>
  <c r="H273" i="16"/>
  <c r="G274" i="16"/>
  <c r="H274" i="16"/>
  <c r="G275" i="16"/>
  <c r="H275" i="16"/>
  <c r="G276" i="16"/>
  <c r="H276" i="16"/>
  <c r="G277" i="16"/>
  <c r="H277" i="16"/>
  <c r="G278" i="16"/>
  <c r="H278" i="16"/>
  <c r="G279" i="16"/>
  <c r="H279" i="16"/>
  <c r="G280" i="16"/>
  <c r="H280" i="16"/>
  <c r="G281" i="16"/>
  <c r="H281" i="16"/>
  <c r="G282" i="16"/>
  <c r="H282" i="16"/>
  <c r="G283" i="16"/>
  <c r="H283" i="16"/>
  <c r="G284" i="16"/>
  <c r="H284" i="16"/>
  <c r="G285" i="16"/>
  <c r="H285" i="16"/>
  <c r="G286" i="16"/>
  <c r="H286" i="16"/>
  <c r="G287" i="16"/>
  <c r="H287" i="16"/>
  <c r="G288" i="16"/>
  <c r="H288" i="16"/>
  <c r="G289" i="16"/>
  <c r="H289" i="16"/>
  <c r="G290" i="16"/>
  <c r="H290" i="16"/>
  <c r="G291" i="16"/>
  <c r="H291" i="16"/>
  <c r="G292" i="16"/>
  <c r="H292" i="16"/>
  <c r="G293" i="16"/>
  <c r="H293" i="16"/>
  <c r="G294" i="16"/>
  <c r="H294" i="16"/>
  <c r="G295" i="16"/>
  <c r="H295" i="16"/>
  <c r="G296" i="16"/>
  <c r="H296" i="16"/>
  <c r="G297" i="16"/>
  <c r="H297" i="16"/>
  <c r="G298" i="16"/>
  <c r="H298" i="16"/>
  <c r="G299" i="16"/>
  <c r="H299" i="16"/>
  <c r="G300" i="16"/>
  <c r="H300" i="16"/>
  <c r="G301" i="16"/>
  <c r="H301" i="16"/>
  <c r="G302" i="16"/>
  <c r="H302" i="16"/>
  <c r="G303" i="16"/>
  <c r="H303" i="16"/>
  <c r="G304" i="16"/>
  <c r="H304" i="16"/>
  <c r="G305" i="16"/>
  <c r="H305" i="16"/>
  <c r="G306" i="16"/>
  <c r="H306" i="16"/>
  <c r="G307" i="16"/>
  <c r="H307" i="16"/>
  <c r="G308" i="16"/>
  <c r="H308" i="16"/>
  <c r="G309" i="16"/>
  <c r="H309" i="16"/>
  <c r="G310" i="16"/>
  <c r="H310" i="16"/>
  <c r="G311" i="16"/>
  <c r="H311" i="16"/>
  <c r="G312" i="16"/>
  <c r="H312" i="16"/>
  <c r="G313" i="16"/>
  <c r="H313" i="16"/>
  <c r="G314" i="16"/>
  <c r="H314" i="16"/>
  <c r="G315" i="16"/>
  <c r="H315" i="16"/>
  <c r="G316" i="16"/>
  <c r="H316" i="16"/>
  <c r="G317" i="16"/>
  <c r="H317" i="16"/>
  <c r="G318" i="16"/>
  <c r="H318" i="16"/>
  <c r="G319" i="16"/>
  <c r="H319" i="16"/>
  <c r="G320" i="16"/>
  <c r="H320" i="16"/>
  <c r="G321" i="16"/>
  <c r="H321" i="16"/>
  <c r="G322" i="16"/>
  <c r="H322" i="16"/>
  <c r="G323" i="16"/>
  <c r="H323" i="16"/>
  <c r="G324" i="16"/>
  <c r="H324" i="16"/>
  <c r="G325" i="16"/>
  <c r="H325" i="16"/>
  <c r="G326" i="16"/>
  <c r="H326" i="16"/>
  <c r="G327" i="16"/>
  <c r="H327" i="16"/>
  <c r="G328" i="16"/>
  <c r="H328" i="16"/>
  <c r="G329" i="16"/>
  <c r="H329" i="16"/>
  <c r="G330" i="16"/>
  <c r="H330" i="16"/>
  <c r="G331" i="16"/>
  <c r="H331" i="16"/>
  <c r="G332" i="16"/>
  <c r="H332" i="16"/>
  <c r="G333" i="16"/>
  <c r="H333" i="16"/>
  <c r="G334" i="16"/>
  <c r="H334" i="16"/>
  <c r="G335" i="16"/>
  <c r="H335" i="16"/>
  <c r="G336" i="16"/>
  <c r="H336" i="16"/>
  <c r="G337" i="16"/>
  <c r="H337" i="16"/>
  <c r="G338" i="16"/>
  <c r="H338" i="16"/>
  <c r="G339" i="16"/>
  <c r="H339" i="16"/>
  <c r="G340" i="16"/>
  <c r="H340" i="16"/>
  <c r="G341" i="16"/>
  <c r="H341" i="16"/>
  <c r="G342" i="16"/>
  <c r="H342" i="16"/>
  <c r="G343" i="16"/>
  <c r="H343" i="16"/>
  <c r="G344" i="16"/>
  <c r="H344" i="16"/>
  <c r="G345" i="16"/>
  <c r="H345" i="16"/>
  <c r="G346" i="16"/>
  <c r="H346" i="16"/>
  <c r="G347" i="16"/>
  <c r="H347" i="16"/>
  <c r="G348" i="16"/>
  <c r="H348" i="16"/>
  <c r="G349" i="16"/>
  <c r="H349" i="16"/>
  <c r="G350" i="16"/>
  <c r="H350" i="16"/>
  <c r="G351" i="16"/>
  <c r="H351" i="16"/>
  <c r="G352" i="16"/>
  <c r="H352" i="16"/>
  <c r="G353" i="16"/>
  <c r="H353" i="16"/>
  <c r="G354" i="16"/>
  <c r="H354" i="16"/>
  <c r="G355" i="16"/>
  <c r="H355" i="16"/>
  <c r="G356" i="16"/>
  <c r="H356" i="16"/>
  <c r="G357" i="16"/>
  <c r="H357" i="16"/>
  <c r="G358" i="16"/>
  <c r="H358" i="16"/>
  <c r="G359" i="16"/>
  <c r="H359" i="16"/>
  <c r="G360" i="16"/>
  <c r="H360" i="16"/>
  <c r="G361" i="16"/>
  <c r="H361" i="16"/>
  <c r="G362" i="16"/>
  <c r="H362" i="16"/>
  <c r="G363" i="16"/>
  <c r="H363" i="16"/>
  <c r="G364" i="16"/>
  <c r="H364" i="16"/>
  <c r="G365" i="16"/>
  <c r="H365" i="16"/>
  <c r="G366" i="16"/>
  <c r="H366" i="16"/>
  <c r="G367" i="16"/>
  <c r="H367" i="16"/>
  <c r="G368" i="16"/>
  <c r="H368" i="16"/>
  <c r="G369" i="16"/>
  <c r="H369" i="16"/>
  <c r="G370" i="16"/>
  <c r="H370" i="16"/>
  <c r="G371" i="16"/>
  <c r="H371" i="16"/>
  <c r="G372" i="16"/>
  <c r="H372" i="16"/>
  <c r="G373" i="16"/>
  <c r="H373" i="16"/>
  <c r="G374" i="16"/>
  <c r="H374" i="16"/>
  <c r="G375" i="16"/>
  <c r="H375" i="16"/>
  <c r="G376" i="16"/>
  <c r="H376" i="16"/>
  <c r="G377" i="16"/>
  <c r="H377" i="16"/>
  <c r="G378" i="16"/>
  <c r="H378" i="16"/>
  <c r="G379" i="16"/>
  <c r="H379" i="16"/>
  <c r="G380" i="16"/>
  <c r="H380" i="16"/>
  <c r="G381" i="16"/>
  <c r="H381" i="16"/>
  <c r="G382" i="16"/>
  <c r="H382" i="16"/>
  <c r="G383" i="16"/>
  <c r="H383" i="16"/>
  <c r="G384" i="16"/>
  <c r="H384" i="16"/>
  <c r="G385" i="16"/>
  <c r="H385" i="16"/>
  <c r="G386" i="16"/>
  <c r="H386" i="16"/>
  <c r="G387" i="16"/>
  <c r="H387" i="16"/>
  <c r="G388" i="16"/>
  <c r="H388" i="16"/>
  <c r="G389" i="16"/>
  <c r="H389" i="16"/>
  <c r="G390" i="16"/>
  <c r="H390" i="16"/>
  <c r="G391" i="16"/>
  <c r="H391" i="16"/>
  <c r="G392" i="16"/>
  <c r="H392" i="16"/>
  <c r="G393" i="16"/>
  <c r="H393" i="16"/>
  <c r="G394" i="16"/>
  <c r="H394" i="16"/>
  <c r="G395" i="16"/>
  <c r="H395" i="16"/>
  <c r="G396" i="16"/>
  <c r="H396" i="16"/>
  <c r="G397" i="16"/>
  <c r="H397" i="16"/>
  <c r="G398" i="16"/>
  <c r="H398" i="16"/>
  <c r="G399" i="16"/>
  <c r="H399" i="16"/>
  <c r="G400" i="16"/>
  <c r="H400" i="16"/>
  <c r="G401" i="16"/>
  <c r="H401" i="16"/>
  <c r="G402" i="16"/>
  <c r="H402" i="16"/>
  <c r="G403" i="16"/>
  <c r="H403" i="16"/>
  <c r="G404" i="16"/>
  <c r="H404" i="16"/>
  <c r="G405" i="16"/>
  <c r="H405" i="16"/>
  <c r="G406" i="16"/>
  <c r="H406" i="16"/>
  <c r="G407" i="16"/>
  <c r="H407" i="16"/>
  <c r="G408" i="16"/>
  <c r="H408" i="16"/>
  <c r="G409" i="16"/>
  <c r="H409" i="16"/>
  <c r="G410" i="16"/>
  <c r="H410" i="16"/>
  <c r="G411" i="16"/>
  <c r="H411" i="16"/>
  <c r="G412" i="16"/>
  <c r="H412" i="16"/>
  <c r="G413" i="16"/>
  <c r="H413" i="16"/>
  <c r="G414" i="16"/>
  <c r="H414" i="16"/>
  <c r="G415" i="16"/>
  <c r="H415" i="16"/>
  <c r="G416" i="16"/>
  <c r="H416" i="16"/>
  <c r="G417" i="16"/>
  <c r="H417" i="16"/>
  <c r="G418" i="16"/>
  <c r="H418" i="16"/>
  <c r="G419" i="16"/>
  <c r="H419" i="16"/>
  <c r="G420" i="16"/>
  <c r="H420" i="16"/>
  <c r="G421" i="16"/>
  <c r="H421" i="16"/>
  <c r="G422" i="16"/>
  <c r="H422" i="16"/>
  <c r="G423" i="16"/>
  <c r="H423" i="16"/>
  <c r="G424" i="16"/>
  <c r="H424" i="16"/>
  <c r="G425" i="16"/>
  <c r="H425" i="16"/>
  <c r="G426" i="16"/>
  <c r="H426" i="16"/>
  <c r="G427" i="16"/>
  <c r="H427" i="16"/>
  <c r="G428" i="16"/>
  <c r="H428" i="16"/>
  <c r="G429" i="16"/>
  <c r="H429" i="16"/>
  <c r="G430" i="16"/>
  <c r="H430" i="16"/>
  <c r="G431" i="16"/>
  <c r="H431" i="16"/>
  <c r="G432" i="16"/>
  <c r="H432" i="16"/>
  <c r="G433" i="16"/>
  <c r="H433" i="16"/>
  <c r="G434" i="16"/>
  <c r="H434" i="16"/>
  <c r="G435" i="16"/>
  <c r="H435" i="16"/>
  <c r="G436" i="16"/>
  <c r="H436" i="16"/>
  <c r="G437" i="16"/>
  <c r="H437" i="16"/>
  <c r="G438" i="16"/>
  <c r="H438" i="16"/>
  <c r="G439" i="16"/>
  <c r="H439" i="16"/>
  <c r="G440" i="16"/>
  <c r="H440" i="16"/>
  <c r="G441" i="16"/>
  <c r="H441" i="16"/>
  <c r="G442" i="16"/>
  <c r="H442" i="16"/>
  <c r="G443" i="16"/>
  <c r="H443" i="16"/>
  <c r="G444" i="16"/>
  <c r="H444" i="16"/>
  <c r="G445" i="16"/>
  <c r="H445" i="16"/>
  <c r="G446" i="16"/>
  <c r="H446" i="16"/>
  <c r="G447" i="16"/>
  <c r="H447" i="16"/>
  <c r="G448" i="16"/>
  <c r="H448" i="16"/>
  <c r="G449" i="16"/>
  <c r="H449" i="16"/>
  <c r="G450" i="16"/>
  <c r="H450" i="16"/>
  <c r="G451" i="16"/>
  <c r="H451" i="16"/>
  <c r="G452" i="16"/>
  <c r="H452" i="16"/>
  <c r="G453" i="16"/>
  <c r="H453" i="16"/>
  <c r="G454" i="16"/>
  <c r="H454" i="16"/>
  <c r="G455" i="16"/>
  <c r="H455" i="16"/>
  <c r="G456" i="16"/>
  <c r="H456" i="16"/>
  <c r="G457" i="16"/>
  <c r="H457" i="16"/>
  <c r="G458" i="16"/>
  <c r="H458" i="16"/>
  <c r="G459" i="16"/>
  <c r="H459" i="16"/>
  <c r="G460" i="16"/>
  <c r="H460" i="16"/>
  <c r="G461" i="16"/>
  <c r="H461" i="16"/>
  <c r="G462" i="16"/>
  <c r="H462" i="16"/>
  <c r="G463" i="16"/>
  <c r="H463" i="16"/>
  <c r="G464" i="16"/>
  <c r="H464" i="16"/>
  <c r="G465" i="16"/>
  <c r="H465" i="16"/>
  <c r="G466" i="16"/>
  <c r="H466" i="16"/>
  <c r="G467" i="16"/>
  <c r="H467" i="16"/>
  <c r="G468" i="16"/>
  <c r="H468" i="16"/>
  <c r="G469" i="16"/>
  <c r="H469" i="16"/>
  <c r="G470" i="16"/>
  <c r="H470" i="16"/>
  <c r="G471" i="16"/>
  <c r="H471" i="16"/>
  <c r="G472" i="16"/>
  <c r="H472" i="16"/>
  <c r="G473" i="16"/>
  <c r="H473" i="16"/>
  <c r="G474" i="16"/>
  <c r="H474" i="16"/>
  <c r="G475" i="16"/>
  <c r="H475" i="16"/>
  <c r="G476" i="16"/>
  <c r="H476" i="16"/>
  <c r="G477" i="16"/>
  <c r="H477" i="16"/>
  <c r="G478" i="16"/>
  <c r="H478" i="16"/>
  <c r="G479" i="16"/>
  <c r="H479" i="16"/>
  <c r="G480" i="16"/>
  <c r="H480" i="16"/>
  <c r="G481" i="16"/>
  <c r="H481" i="16"/>
  <c r="G482" i="16"/>
  <c r="H482" i="16"/>
  <c r="G483" i="16"/>
  <c r="H483" i="16"/>
  <c r="G484" i="16"/>
  <c r="H484" i="16"/>
  <c r="G485" i="16"/>
  <c r="H485" i="16"/>
  <c r="G486" i="16"/>
  <c r="H486" i="16"/>
  <c r="G487" i="16"/>
  <c r="H487" i="16"/>
  <c r="G488" i="16"/>
  <c r="H488" i="16"/>
  <c r="G489" i="16"/>
  <c r="H489" i="16"/>
  <c r="G490" i="16"/>
  <c r="H490" i="16"/>
  <c r="G491" i="16"/>
  <c r="H491" i="16"/>
  <c r="G492" i="16"/>
  <c r="H492" i="16"/>
  <c r="G493" i="16"/>
  <c r="H493" i="16"/>
  <c r="G494" i="16"/>
  <c r="H494" i="16"/>
  <c r="G495" i="16"/>
  <c r="H495" i="16"/>
  <c r="G496" i="16"/>
  <c r="H496" i="16"/>
  <c r="G497" i="16"/>
  <c r="H497" i="16"/>
  <c r="G498" i="16"/>
  <c r="H498" i="16"/>
  <c r="G499" i="16"/>
  <c r="H499" i="16"/>
  <c r="G500" i="16"/>
  <c r="H500" i="16"/>
  <c r="G501" i="16"/>
  <c r="H501" i="16"/>
  <c r="G502" i="16"/>
  <c r="H502" i="16"/>
  <c r="G503" i="16"/>
  <c r="H503" i="16"/>
  <c r="G504" i="16"/>
  <c r="H504" i="16"/>
  <c r="G505" i="16"/>
  <c r="H505" i="16"/>
  <c r="G506" i="16"/>
  <c r="H506" i="16"/>
  <c r="G507" i="16"/>
  <c r="H507" i="16"/>
  <c r="G508" i="16"/>
  <c r="H508" i="16"/>
  <c r="G509" i="16"/>
  <c r="H509" i="16"/>
  <c r="G510" i="16"/>
  <c r="H510" i="16"/>
  <c r="G511" i="16"/>
  <c r="H511" i="16"/>
  <c r="G512" i="16"/>
  <c r="H512" i="16"/>
  <c r="G513" i="16"/>
  <c r="H513" i="16"/>
  <c r="G514" i="16"/>
  <c r="H514" i="16"/>
  <c r="G515" i="16"/>
  <c r="H515" i="16"/>
  <c r="G516" i="16"/>
  <c r="H516" i="16"/>
  <c r="G517" i="16"/>
  <c r="H517" i="16"/>
  <c r="G518" i="16"/>
  <c r="H518" i="16"/>
  <c r="G519" i="16"/>
  <c r="H519" i="16"/>
  <c r="G520" i="16"/>
  <c r="H520" i="16"/>
  <c r="G521" i="16"/>
  <c r="H521" i="16"/>
  <c r="G522" i="16"/>
  <c r="H522" i="16"/>
  <c r="G523" i="16"/>
  <c r="H523" i="16"/>
  <c r="G524" i="16"/>
  <c r="H524" i="16"/>
  <c r="G525" i="16"/>
  <c r="H525" i="16"/>
  <c r="G526" i="16"/>
  <c r="H526" i="16"/>
  <c r="G527" i="16"/>
  <c r="H527" i="16"/>
  <c r="G528" i="16"/>
  <c r="H528" i="16"/>
  <c r="G529" i="16"/>
  <c r="H529" i="16"/>
  <c r="G530" i="16"/>
  <c r="H530" i="16"/>
  <c r="G531" i="16"/>
  <c r="H531" i="16"/>
  <c r="G532" i="16"/>
  <c r="H532" i="16"/>
  <c r="G533" i="16"/>
  <c r="H533" i="16"/>
  <c r="G534" i="16"/>
  <c r="H534" i="16"/>
  <c r="G535" i="16"/>
  <c r="H535" i="16"/>
  <c r="G536" i="16"/>
  <c r="H536" i="16"/>
  <c r="G537" i="16"/>
  <c r="H537" i="16"/>
  <c r="G538" i="16"/>
  <c r="H538" i="16"/>
  <c r="G539" i="16"/>
  <c r="H539" i="16"/>
  <c r="G540" i="16"/>
  <c r="H540" i="16"/>
  <c r="G541" i="16"/>
  <c r="H541" i="16"/>
  <c r="G542" i="16"/>
  <c r="H542" i="16"/>
  <c r="G543" i="16"/>
  <c r="H543" i="16"/>
  <c r="G544" i="16"/>
  <c r="H544" i="16"/>
  <c r="G545" i="16"/>
  <c r="H545" i="16"/>
  <c r="G546" i="16"/>
  <c r="H546" i="16"/>
  <c r="G547" i="16"/>
  <c r="H547" i="16"/>
  <c r="G548" i="16"/>
  <c r="H548" i="16"/>
  <c r="G549" i="16"/>
  <c r="H549" i="16"/>
  <c r="G550" i="16"/>
  <c r="H550" i="16"/>
  <c r="G551" i="16"/>
  <c r="H551" i="16"/>
  <c r="G552" i="16"/>
  <c r="H552" i="16"/>
  <c r="G553" i="16"/>
  <c r="H553" i="16"/>
  <c r="G554" i="16"/>
  <c r="H554" i="16"/>
  <c r="G555" i="16"/>
  <c r="H555" i="16"/>
  <c r="G556" i="16"/>
  <c r="H556" i="16"/>
  <c r="G557" i="16"/>
  <c r="H557" i="16"/>
  <c r="G558" i="16"/>
  <c r="H558" i="16"/>
  <c r="G559" i="16"/>
  <c r="H559" i="16"/>
  <c r="G560" i="16"/>
  <c r="H560" i="16"/>
  <c r="G561" i="16"/>
  <c r="H561" i="16"/>
  <c r="G562" i="16"/>
  <c r="H562" i="16"/>
  <c r="G563" i="16"/>
  <c r="H563" i="16"/>
  <c r="G564" i="16"/>
  <c r="H564" i="16"/>
  <c r="G565" i="16"/>
  <c r="H565" i="16"/>
  <c r="G566" i="16"/>
  <c r="H566" i="16"/>
  <c r="G567" i="16"/>
  <c r="H567" i="16"/>
  <c r="G568" i="16"/>
  <c r="H568" i="16"/>
  <c r="G569" i="16"/>
  <c r="H569" i="16"/>
  <c r="G570" i="16"/>
  <c r="H570" i="16"/>
  <c r="G571" i="16"/>
  <c r="H571" i="16"/>
  <c r="G572" i="16"/>
  <c r="H572" i="16"/>
  <c r="G573" i="16"/>
  <c r="H573" i="16"/>
  <c r="G574" i="16"/>
  <c r="H574" i="16"/>
  <c r="G575" i="16"/>
  <c r="H575" i="16"/>
  <c r="G576" i="16"/>
  <c r="H576" i="16"/>
  <c r="G577" i="16"/>
  <c r="H577" i="16"/>
  <c r="G578" i="16"/>
  <c r="H578" i="16"/>
  <c r="G579" i="16"/>
  <c r="H579" i="16"/>
  <c r="G580" i="16"/>
  <c r="H580" i="16"/>
  <c r="G581" i="16"/>
  <c r="H581" i="16"/>
  <c r="G582" i="16"/>
  <c r="H582" i="16"/>
  <c r="G583" i="16"/>
  <c r="H583" i="16"/>
  <c r="G584" i="16"/>
  <c r="H584" i="16"/>
  <c r="G585" i="16"/>
  <c r="H585" i="16"/>
  <c r="G586" i="16"/>
  <c r="H586" i="16"/>
  <c r="G587" i="16"/>
  <c r="H587" i="16"/>
  <c r="G588" i="16"/>
  <c r="H588" i="16"/>
  <c r="G589" i="16"/>
  <c r="H589" i="16"/>
  <c r="G590" i="16"/>
  <c r="H590" i="16"/>
  <c r="G591" i="16"/>
  <c r="H591" i="16"/>
  <c r="G592" i="16"/>
  <c r="H592" i="16"/>
  <c r="G593" i="16"/>
  <c r="H593" i="16"/>
  <c r="G594" i="16"/>
  <c r="H594" i="16"/>
  <c r="G595" i="16"/>
  <c r="H595" i="16"/>
  <c r="G596" i="16"/>
  <c r="H596" i="16"/>
  <c r="G597" i="16"/>
  <c r="H597" i="16"/>
  <c r="G598" i="16"/>
  <c r="H598" i="16"/>
  <c r="G599" i="16"/>
  <c r="H599" i="16"/>
  <c r="G600" i="16"/>
  <c r="H600" i="16"/>
  <c r="G601" i="16"/>
  <c r="H601" i="16"/>
  <c r="G602" i="16"/>
  <c r="H602" i="16"/>
  <c r="G603" i="16"/>
  <c r="H603" i="16"/>
  <c r="G604" i="16"/>
  <c r="H604" i="16"/>
  <c r="G605" i="16"/>
  <c r="H605" i="16"/>
  <c r="G606" i="16"/>
  <c r="H606" i="16"/>
  <c r="G607" i="16"/>
  <c r="H607" i="16"/>
  <c r="G608" i="16"/>
  <c r="H608" i="16"/>
  <c r="G609" i="16"/>
  <c r="H609" i="16"/>
  <c r="G610" i="16"/>
  <c r="H610" i="16"/>
  <c r="G611" i="16"/>
  <c r="H611" i="16"/>
  <c r="G612" i="16"/>
  <c r="H612" i="16"/>
  <c r="G613" i="16"/>
  <c r="H613" i="16"/>
  <c r="G614" i="16"/>
  <c r="H614" i="16"/>
  <c r="G615" i="16"/>
  <c r="H615" i="16"/>
  <c r="G616" i="16"/>
  <c r="H616" i="16"/>
  <c r="G617" i="16"/>
  <c r="H617" i="16"/>
  <c r="G618" i="16"/>
  <c r="H618" i="16"/>
  <c r="G619" i="16"/>
  <c r="H619" i="16"/>
  <c r="G620" i="16"/>
  <c r="H620" i="16"/>
  <c r="G621" i="16"/>
  <c r="H621" i="16"/>
  <c r="G622" i="16"/>
  <c r="H622" i="16"/>
  <c r="G623" i="16"/>
  <c r="H623" i="16"/>
  <c r="G624" i="16"/>
  <c r="H624" i="16"/>
  <c r="G625" i="16"/>
  <c r="H625" i="16"/>
  <c r="G626" i="16"/>
  <c r="H626" i="16"/>
  <c r="G627" i="16"/>
  <c r="H627" i="16"/>
  <c r="G628" i="16"/>
  <c r="H628" i="16"/>
  <c r="G629" i="16"/>
  <c r="H629" i="16"/>
  <c r="G630" i="16"/>
  <c r="H630" i="16"/>
  <c r="G631" i="16"/>
  <c r="H631" i="16"/>
  <c r="G632" i="16"/>
  <c r="H632" i="16"/>
  <c r="G633" i="16"/>
  <c r="H633" i="16"/>
  <c r="G634" i="16"/>
  <c r="H634" i="16"/>
  <c r="G635" i="16"/>
  <c r="H635" i="16"/>
  <c r="G636" i="16"/>
  <c r="H636" i="16"/>
  <c r="G637" i="16"/>
  <c r="H637" i="16"/>
  <c r="G638" i="16"/>
  <c r="H638" i="16"/>
  <c r="G639" i="16"/>
  <c r="H639" i="16"/>
  <c r="G640" i="16"/>
  <c r="H640" i="16"/>
  <c r="G641" i="16"/>
  <c r="H641" i="16"/>
  <c r="G642" i="16"/>
  <c r="H642" i="16"/>
  <c r="G643" i="16"/>
  <c r="H643" i="16"/>
  <c r="G644" i="16"/>
  <c r="H644" i="16"/>
  <c r="G645" i="16"/>
  <c r="H645" i="16"/>
  <c r="G646" i="16"/>
  <c r="H646" i="16"/>
  <c r="G647" i="16"/>
  <c r="H647" i="16"/>
  <c r="G648" i="16"/>
  <c r="H648" i="16"/>
  <c r="G649" i="16"/>
  <c r="H649" i="16"/>
  <c r="G650" i="16"/>
  <c r="H650" i="16"/>
  <c r="G651" i="16"/>
  <c r="H651" i="16"/>
  <c r="G652" i="16"/>
  <c r="H652" i="16"/>
  <c r="G653" i="16"/>
  <c r="H653" i="16"/>
  <c r="G654" i="16"/>
  <c r="H654" i="16"/>
  <c r="G655" i="16"/>
  <c r="H655" i="16"/>
  <c r="G656" i="16"/>
  <c r="H656" i="16"/>
  <c r="G657" i="16"/>
  <c r="H657" i="16"/>
  <c r="G658" i="16"/>
  <c r="H658" i="16"/>
  <c r="G659" i="16"/>
  <c r="H659" i="16"/>
  <c r="G660" i="16"/>
  <c r="H660" i="16"/>
  <c r="G661" i="16"/>
  <c r="H661" i="16"/>
  <c r="G662" i="16"/>
  <c r="H662" i="16"/>
  <c r="G663" i="16"/>
  <c r="H663" i="16"/>
  <c r="G664" i="16"/>
  <c r="H664" i="16"/>
  <c r="G665" i="16"/>
  <c r="H665" i="16"/>
  <c r="G666" i="16"/>
  <c r="H666" i="16"/>
  <c r="G667" i="16"/>
  <c r="H667" i="16"/>
  <c r="G668" i="16"/>
  <c r="H668" i="16"/>
  <c r="G669" i="16"/>
  <c r="H669" i="16"/>
  <c r="G670" i="16"/>
  <c r="H670" i="16"/>
  <c r="G671" i="16"/>
  <c r="H671" i="16"/>
  <c r="G672" i="16"/>
  <c r="H672" i="16"/>
  <c r="G673" i="16"/>
  <c r="H673" i="16"/>
  <c r="G674" i="16"/>
  <c r="H674" i="16"/>
  <c r="G675" i="16"/>
  <c r="H675" i="16"/>
  <c r="G676" i="16"/>
  <c r="H676" i="16"/>
  <c r="G677" i="16"/>
  <c r="H677" i="16"/>
  <c r="G678" i="16"/>
  <c r="H678" i="16"/>
  <c r="G679" i="16"/>
  <c r="H679" i="16"/>
  <c r="G680" i="16"/>
  <c r="H680" i="16"/>
  <c r="G681" i="16"/>
  <c r="H681" i="16"/>
  <c r="G682" i="16"/>
  <c r="H682" i="16"/>
  <c r="G683" i="16"/>
  <c r="H683" i="16"/>
  <c r="G684" i="16"/>
  <c r="H684" i="16"/>
  <c r="G685" i="16"/>
  <c r="H685" i="16"/>
  <c r="G686" i="16"/>
  <c r="H686" i="16"/>
  <c r="G687" i="16"/>
  <c r="H687" i="16"/>
  <c r="G688" i="16"/>
  <c r="H688" i="16"/>
  <c r="G689" i="16"/>
  <c r="H689" i="16"/>
  <c r="G690" i="16"/>
  <c r="H690" i="16"/>
  <c r="G691" i="16"/>
  <c r="H691" i="16"/>
  <c r="G692" i="16"/>
  <c r="H692" i="16"/>
  <c r="G693" i="16"/>
  <c r="H693" i="16"/>
  <c r="G694" i="16"/>
  <c r="H694" i="16"/>
  <c r="G695" i="16"/>
  <c r="H695" i="16"/>
  <c r="G696" i="16"/>
  <c r="H696" i="16"/>
  <c r="G697" i="16"/>
  <c r="H697" i="16"/>
  <c r="G698" i="16"/>
  <c r="H698" i="16"/>
  <c r="G699" i="16"/>
  <c r="H699" i="16"/>
  <c r="G700" i="16"/>
  <c r="H700" i="16"/>
  <c r="G701" i="16"/>
  <c r="H701" i="16"/>
  <c r="G702" i="16"/>
  <c r="H702" i="16"/>
  <c r="G703" i="16"/>
  <c r="H703" i="16"/>
  <c r="G704" i="16"/>
  <c r="H704" i="16"/>
  <c r="G705" i="16"/>
  <c r="H705" i="16"/>
  <c r="G706" i="16"/>
  <c r="H706" i="16"/>
  <c r="G707" i="16"/>
  <c r="H707" i="16"/>
  <c r="G708" i="16"/>
  <c r="H708" i="16"/>
  <c r="G709" i="16"/>
  <c r="H709" i="16"/>
  <c r="G710" i="16"/>
  <c r="H710" i="16"/>
  <c r="G711" i="16"/>
  <c r="H711" i="16"/>
  <c r="G712" i="16"/>
  <c r="H712" i="16"/>
  <c r="G713" i="16"/>
  <c r="H713" i="16"/>
  <c r="G714" i="16"/>
  <c r="H714" i="16"/>
  <c r="G715" i="16"/>
  <c r="H715" i="16"/>
  <c r="G716" i="16"/>
  <c r="H716" i="16"/>
  <c r="G717" i="16"/>
  <c r="H717" i="16"/>
  <c r="G718" i="16"/>
  <c r="H718" i="16"/>
  <c r="G719" i="16"/>
  <c r="H719" i="16"/>
  <c r="G720" i="16"/>
  <c r="H720" i="16"/>
  <c r="G721" i="16"/>
  <c r="H721" i="16"/>
  <c r="G722" i="16"/>
  <c r="H722" i="16"/>
  <c r="G723" i="16"/>
  <c r="H723" i="16"/>
  <c r="G724" i="16"/>
  <c r="H724" i="16"/>
  <c r="G725" i="16"/>
  <c r="H725" i="16"/>
  <c r="G726" i="16"/>
  <c r="H726" i="16"/>
  <c r="G727" i="16"/>
  <c r="H727" i="16"/>
  <c r="G728" i="16"/>
  <c r="H728" i="16"/>
  <c r="G729" i="16"/>
  <c r="H729" i="16"/>
  <c r="G730" i="16"/>
  <c r="H730" i="16"/>
  <c r="G731" i="16"/>
  <c r="H731" i="16"/>
  <c r="G732" i="16"/>
  <c r="H732" i="16"/>
  <c r="G733" i="16"/>
  <c r="H733" i="16"/>
  <c r="G734" i="16"/>
  <c r="H734" i="16"/>
  <c r="G735" i="16"/>
  <c r="H735" i="16"/>
  <c r="G736" i="16"/>
  <c r="H736" i="16"/>
  <c r="G737" i="16"/>
  <c r="H737" i="16"/>
  <c r="G738" i="16"/>
  <c r="H738" i="16"/>
  <c r="G739" i="16"/>
  <c r="H739" i="16"/>
  <c r="G740" i="16"/>
  <c r="H740" i="16"/>
  <c r="G741" i="16"/>
  <c r="H741" i="16"/>
  <c r="G742" i="16"/>
  <c r="H742" i="16"/>
  <c r="G743" i="16"/>
  <c r="H743" i="16"/>
  <c r="G744" i="16"/>
  <c r="H744" i="16"/>
  <c r="G745" i="16"/>
  <c r="H745" i="16"/>
  <c r="G746" i="16"/>
  <c r="H746" i="16"/>
  <c r="G747" i="16"/>
  <c r="H747" i="16"/>
  <c r="G748" i="16"/>
  <c r="H748" i="16"/>
  <c r="G749" i="16"/>
  <c r="H749" i="16"/>
  <c r="G750" i="16"/>
  <c r="H750" i="16"/>
  <c r="G751" i="16"/>
  <c r="H751" i="16"/>
  <c r="G752" i="16"/>
  <c r="H752" i="16"/>
  <c r="G753" i="16"/>
  <c r="H753" i="16"/>
  <c r="G754" i="16"/>
  <c r="H754" i="16"/>
  <c r="G755" i="16"/>
  <c r="H755" i="16"/>
  <c r="G756" i="16"/>
  <c r="H756" i="16"/>
  <c r="G757" i="16"/>
  <c r="H757" i="16"/>
  <c r="G758" i="16"/>
  <c r="H758" i="16"/>
  <c r="G759" i="16"/>
  <c r="H759" i="16"/>
  <c r="G760" i="16"/>
  <c r="H760" i="16"/>
  <c r="G761" i="16"/>
  <c r="H761" i="16"/>
  <c r="G762" i="16"/>
  <c r="H762" i="16"/>
  <c r="G763" i="16"/>
  <c r="H763" i="16"/>
  <c r="G764" i="16"/>
  <c r="H764" i="16"/>
  <c r="G765" i="16"/>
  <c r="H765" i="16"/>
  <c r="G766" i="16"/>
  <c r="H766" i="16"/>
  <c r="G767" i="16"/>
  <c r="H767" i="16"/>
  <c r="G768" i="16"/>
  <c r="H768" i="16"/>
  <c r="G769" i="16"/>
  <c r="H769" i="16"/>
  <c r="G770" i="16"/>
  <c r="H770" i="16"/>
  <c r="G771" i="16"/>
  <c r="H771" i="16"/>
  <c r="G772" i="16"/>
  <c r="H772" i="16"/>
  <c r="G773" i="16"/>
  <c r="H773" i="16"/>
  <c r="G774" i="16"/>
  <c r="H774" i="16"/>
  <c r="G775" i="16"/>
  <c r="H775" i="16"/>
  <c r="G776" i="16"/>
  <c r="H776" i="16"/>
  <c r="G777" i="16"/>
  <c r="H777" i="16"/>
  <c r="G778" i="16"/>
  <c r="H778" i="16"/>
  <c r="G779" i="16"/>
  <c r="H779" i="16"/>
  <c r="G780" i="16"/>
  <c r="H780" i="16"/>
  <c r="G781" i="16"/>
  <c r="H781" i="16"/>
  <c r="G782" i="16"/>
  <c r="H782" i="16"/>
  <c r="G783" i="16"/>
  <c r="H783" i="16"/>
  <c r="G784" i="16"/>
  <c r="H784" i="16"/>
  <c r="G785" i="16"/>
  <c r="H785" i="16"/>
  <c r="G786" i="16"/>
  <c r="H786" i="16"/>
  <c r="G787" i="16"/>
  <c r="H787" i="16"/>
  <c r="G788" i="16"/>
  <c r="H788" i="16"/>
  <c r="G789" i="16"/>
  <c r="H789" i="16"/>
  <c r="G790" i="16"/>
  <c r="H790" i="16"/>
  <c r="G791" i="16"/>
  <c r="H791" i="16"/>
  <c r="G792" i="16"/>
  <c r="H792" i="16"/>
  <c r="G793" i="16"/>
  <c r="H793" i="16"/>
  <c r="G794" i="16"/>
  <c r="H794" i="16"/>
  <c r="G795" i="16"/>
  <c r="H795" i="16"/>
  <c r="G796" i="16"/>
  <c r="H796" i="16"/>
  <c r="G797" i="16"/>
  <c r="H797" i="16"/>
  <c r="G798" i="16"/>
  <c r="H798" i="16"/>
  <c r="G799" i="16"/>
  <c r="H799" i="16"/>
  <c r="G800" i="16"/>
  <c r="H800" i="16"/>
  <c r="G801" i="16"/>
  <c r="H801" i="16"/>
  <c r="G802" i="16"/>
  <c r="H802" i="16"/>
  <c r="G803" i="16"/>
  <c r="H803" i="16"/>
  <c r="G804" i="16"/>
  <c r="H804" i="16"/>
  <c r="G805" i="16"/>
  <c r="H805" i="16"/>
  <c r="G806" i="16"/>
  <c r="H806" i="16"/>
  <c r="G807" i="16"/>
  <c r="H807" i="16"/>
  <c r="G808" i="16"/>
  <c r="H808" i="16"/>
  <c r="G809" i="16"/>
  <c r="H809" i="16"/>
  <c r="G810" i="16"/>
  <c r="H810" i="16"/>
  <c r="G811" i="16"/>
  <c r="H811" i="16"/>
  <c r="G812" i="16"/>
  <c r="H812" i="16"/>
  <c r="G813" i="16"/>
  <c r="H813" i="16"/>
  <c r="G814" i="16"/>
  <c r="H814" i="16"/>
  <c r="G815" i="16"/>
  <c r="H815" i="16"/>
  <c r="G816" i="16"/>
  <c r="H816" i="16"/>
  <c r="G817" i="16"/>
  <c r="H817" i="16"/>
  <c r="G818" i="16"/>
  <c r="H818" i="16"/>
  <c r="G819" i="16"/>
  <c r="H819" i="16"/>
  <c r="G820" i="16"/>
  <c r="H820" i="16"/>
  <c r="G821" i="16"/>
  <c r="H821" i="16"/>
  <c r="G822" i="16"/>
  <c r="H822" i="16"/>
  <c r="G823" i="16"/>
  <c r="H823" i="16"/>
  <c r="G824" i="16"/>
  <c r="H824" i="16"/>
  <c r="G825" i="16"/>
  <c r="H825" i="16"/>
  <c r="G826" i="16"/>
  <c r="H826" i="16"/>
  <c r="G827" i="16"/>
  <c r="H827" i="16"/>
  <c r="G828" i="16"/>
  <c r="H828" i="16"/>
  <c r="G829" i="16"/>
  <c r="H829" i="16"/>
  <c r="G830" i="16"/>
  <c r="H830" i="16"/>
  <c r="G831" i="16"/>
  <c r="H831" i="16"/>
  <c r="G832" i="16"/>
  <c r="H832" i="16"/>
  <c r="G833" i="16"/>
  <c r="H833" i="16"/>
  <c r="G834" i="16"/>
  <c r="H834" i="16"/>
  <c r="G835" i="16"/>
  <c r="H835" i="16"/>
  <c r="G836" i="16"/>
  <c r="H836" i="16"/>
  <c r="G837" i="16"/>
  <c r="H837" i="16"/>
  <c r="G838" i="16"/>
  <c r="H838" i="16"/>
  <c r="G839" i="16"/>
  <c r="H839" i="16"/>
  <c r="G840" i="16"/>
  <c r="H840" i="16"/>
  <c r="G841" i="16"/>
  <c r="H841" i="16"/>
  <c r="G842" i="16"/>
  <c r="H842" i="16"/>
  <c r="G843" i="16"/>
  <c r="H843" i="16"/>
  <c r="G844" i="16"/>
  <c r="H844" i="16"/>
  <c r="G845" i="16"/>
  <c r="H845" i="16"/>
  <c r="G846" i="16"/>
  <c r="H846" i="16"/>
  <c r="G847" i="16"/>
  <c r="H847" i="16"/>
  <c r="G848" i="16"/>
  <c r="H848" i="16"/>
  <c r="G849" i="16"/>
  <c r="H849" i="16"/>
  <c r="G850" i="16"/>
  <c r="H850" i="16"/>
  <c r="G851" i="16"/>
  <c r="H851" i="16"/>
  <c r="G852" i="16"/>
  <c r="H852" i="16"/>
  <c r="G853" i="16"/>
  <c r="H853" i="16"/>
  <c r="G854" i="16"/>
  <c r="H854" i="16"/>
  <c r="G855" i="16"/>
  <c r="H855" i="16"/>
  <c r="G856" i="16"/>
  <c r="H856" i="16"/>
  <c r="G857" i="16"/>
  <c r="H857" i="16"/>
  <c r="G858" i="16"/>
  <c r="H858" i="16"/>
  <c r="G859" i="16"/>
  <c r="H859" i="16"/>
  <c r="G860" i="16"/>
  <c r="H860" i="16"/>
  <c r="G861" i="16"/>
  <c r="H861" i="16"/>
  <c r="G862" i="16"/>
  <c r="H862" i="16"/>
  <c r="G863" i="16"/>
  <c r="H863" i="16"/>
  <c r="G864" i="16"/>
  <c r="H864" i="16"/>
  <c r="G865" i="16"/>
  <c r="H865" i="16"/>
  <c r="G866" i="16"/>
  <c r="H866" i="16"/>
  <c r="G867" i="16"/>
  <c r="H867" i="16"/>
  <c r="G868" i="16"/>
  <c r="H868" i="16"/>
  <c r="G869" i="16"/>
  <c r="H869" i="16"/>
  <c r="G870" i="16"/>
  <c r="H870" i="16"/>
  <c r="G871" i="16"/>
  <c r="H871" i="16"/>
  <c r="G872" i="16"/>
  <c r="H872" i="16"/>
  <c r="G873" i="16"/>
  <c r="H873" i="16"/>
  <c r="G874" i="16"/>
  <c r="H874" i="16"/>
  <c r="G875" i="16"/>
  <c r="H875" i="16"/>
  <c r="G876" i="16"/>
  <c r="H876" i="16"/>
  <c r="G877" i="16"/>
  <c r="H877" i="16"/>
  <c r="G878" i="16"/>
  <c r="H878" i="16"/>
  <c r="G879" i="16"/>
  <c r="H879" i="16"/>
  <c r="G880" i="16"/>
  <c r="H880" i="16"/>
  <c r="G881" i="16"/>
  <c r="H881" i="16"/>
  <c r="G882" i="16"/>
  <c r="H882" i="16"/>
  <c r="G883" i="16"/>
  <c r="H883" i="16"/>
  <c r="G884" i="16"/>
  <c r="H884" i="16"/>
  <c r="G885" i="16"/>
  <c r="H885" i="16"/>
  <c r="G886" i="16"/>
  <c r="H886" i="16"/>
  <c r="G887" i="16"/>
  <c r="H887" i="16"/>
  <c r="G888" i="16"/>
  <c r="H888" i="16"/>
  <c r="G889" i="16"/>
  <c r="H889" i="16"/>
  <c r="G890" i="16"/>
  <c r="H890" i="16"/>
  <c r="G891" i="16"/>
  <c r="H891" i="16"/>
  <c r="G892" i="16"/>
  <c r="H892" i="16"/>
  <c r="G893" i="16"/>
  <c r="H893" i="16"/>
  <c r="G894" i="16"/>
  <c r="H894" i="16"/>
  <c r="G895" i="16"/>
  <c r="H895" i="16"/>
  <c r="G896" i="16"/>
  <c r="H896" i="16"/>
  <c r="G897" i="16"/>
  <c r="H897" i="16"/>
  <c r="G898" i="16"/>
  <c r="H898" i="16"/>
  <c r="G899" i="16"/>
  <c r="H899" i="16"/>
  <c r="G900" i="16"/>
  <c r="H900" i="16"/>
  <c r="G901" i="16"/>
  <c r="H901" i="16"/>
  <c r="G902" i="16"/>
  <c r="H902" i="16"/>
  <c r="G903" i="16"/>
  <c r="H903" i="16"/>
  <c r="G904" i="16"/>
  <c r="H904" i="16"/>
  <c r="G905" i="16"/>
  <c r="H905" i="16"/>
  <c r="G906" i="16"/>
  <c r="H906" i="16"/>
  <c r="G907" i="16"/>
  <c r="H907" i="16"/>
  <c r="G908" i="16"/>
  <c r="H908" i="16"/>
  <c r="G909" i="16"/>
  <c r="H909" i="16"/>
  <c r="G910" i="16"/>
  <c r="H910" i="16"/>
  <c r="G911" i="16"/>
  <c r="H911" i="16"/>
  <c r="G912" i="16"/>
  <c r="H912" i="16"/>
  <c r="G913" i="16"/>
  <c r="H913" i="16"/>
  <c r="G914" i="16"/>
  <c r="H914" i="16"/>
  <c r="G915" i="16"/>
  <c r="H915" i="16"/>
  <c r="G916" i="16"/>
  <c r="H916" i="16"/>
  <c r="G917" i="16"/>
  <c r="H917" i="16"/>
  <c r="G918" i="16"/>
  <c r="H918" i="16"/>
  <c r="G919" i="16"/>
  <c r="H919" i="16"/>
  <c r="G920" i="16"/>
  <c r="H920" i="16"/>
  <c r="G921" i="16"/>
  <c r="H921" i="16"/>
  <c r="G922" i="16"/>
  <c r="H922" i="16"/>
  <c r="G923" i="16"/>
  <c r="H923" i="16"/>
  <c r="G924" i="16"/>
  <c r="H924" i="16"/>
  <c r="G925" i="16"/>
  <c r="H925" i="16"/>
  <c r="G926" i="16"/>
  <c r="H926" i="16"/>
  <c r="G927" i="16"/>
  <c r="H927" i="16"/>
  <c r="G928" i="16"/>
  <c r="H928" i="16"/>
  <c r="G929" i="16"/>
  <c r="H929" i="16"/>
  <c r="G930" i="16"/>
  <c r="H930" i="16"/>
  <c r="G931" i="16"/>
  <c r="H931" i="16"/>
  <c r="G932" i="16"/>
  <c r="H932" i="16"/>
  <c r="G933" i="16"/>
  <c r="H933" i="16"/>
  <c r="G934" i="16"/>
  <c r="H934" i="16"/>
  <c r="G935" i="16"/>
  <c r="H935" i="16"/>
  <c r="G936" i="16"/>
  <c r="H936" i="16"/>
  <c r="G937" i="16"/>
  <c r="H937" i="16"/>
  <c r="G938" i="16"/>
  <c r="H938" i="16"/>
  <c r="G939" i="16"/>
  <c r="H939" i="16"/>
  <c r="G940" i="16"/>
  <c r="H940" i="16"/>
  <c r="G941" i="16"/>
  <c r="H941" i="16"/>
  <c r="G942" i="16"/>
  <c r="H942" i="16"/>
  <c r="G943" i="16"/>
  <c r="H943" i="16"/>
  <c r="G944" i="16"/>
  <c r="H944" i="16"/>
  <c r="G945" i="16"/>
  <c r="H945" i="16"/>
  <c r="G946" i="16"/>
  <c r="H946" i="16"/>
  <c r="G947" i="16"/>
  <c r="H947" i="16"/>
  <c r="G948" i="16"/>
  <c r="H948" i="16"/>
  <c r="G949" i="16"/>
  <c r="H949" i="16"/>
  <c r="G950" i="16"/>
  <c r="H950" i="16"/>
  <c r="G951" i="16"/>
  <c r="H951" i="16"/>
  <c r="G952" i="16"/>
  <c r="H952" i="16"/>
  <c r="G953" i="16"/>
  <c r="H953" i="16"/>
  <c r="G954" i="16"/>
  <c r="H954" i="16"/>
  <c r="G955" i="16"/>
  <c r="H955" i="16"/>
  <c r="G956" i="16"/>
  <c r="H956" i="16"/>
  <c r="G957" i="16"/>
  <c r="H957" i="16"/>
  <c r="G958" i="16"/>
  <c r="H958" i="16"/>
  <c r="G959" i="16"/>
  <c r="H959" i="16"/>
  <c r="G960" i="16"/>
  <c r="H960" i="16"/>
  <c r="G961" i="16"/>
  <c r="H961" i="16"/>
  <c r="G962" i="16"/>
  <c r="H962" i="16"/>
  <c r="G963" i="16"/>
  <c r="H963" i="16"/>
  <c r="G964" i="16"/>
  <c r="H964" i="16"/>
  <c r="G965" i="16"/>
  <c r="H965" i="16"/>
  <c r="G966" i="16"/>
  <c r="H966" i="16"/>
  <c r="G967" i="16"/>
  <c r="H967" i="16"/>
  <c r="G968" i="16"/>
  <c r="H968" i="16"/>
  <c r="G969" i="16"/>
  <c r="H969" i="16"/>
  <c r="G970" i="16"/>
  <c r="H970" i="16"/>
  <c r="G971" i="16"/>
  <c r="H971" i="16"/>
  <c r="G972" i="16"/>
  <c r="H972" i="16"/>
  <c r="G973" i="16"/>
  <c r="H973" i="16"/>
  <c r="G974" i="16"/>
  <c r="H974" i="16"/>
  <c r="G975" i="16"/>
  <c r="H975" i="16"/>
  <c r="G976" i="16"/>
  <c r="H976" i="16"/>
  <c r="G977" i="16"/>
  <c r="H977" i="16"/>
  <c r="G978" i="16"/>
  <c r="H978" i="16"/>
  <c r="G979" i="16"/>
  <c r="H979" i="16"/>
  <c r="G980" i="16"/>
  <c r="H980" i="16"/>
  <c r="G981" i="16"/>
  <c r="H981" i="16"/>
  <c r="G982" i="16"/>
  <c r="H982" i="16"/>
  <c r="G983" i="16"/>
  <c r="H983" i="16"/>
  <c r="G984" i="16"/>
  <c r="H984" i="16"/>
  <c r="G985" i="16"/>
  <c r="H985" i="16"/>
  <c r="G986" i="16"/>
  <c r="H986" i="16"/>
  <c r="G987" i="16"/>
  <c r="H987" i="16"/>
  <c r="G988" i="16"/>
  <c r="H988" i="16"/>
  <c r="G989" i="16"/>
  <c r="H989" i="16"/>
  <c r="G990" i="16"/>
  <c r="H990" i="16"/>
  <c r="G991" i="16"/>
  <c r="H991" i="16"/>
  <c r="G992" i="16"/>
  <c r="H992" i="16"/>
  <c r="G993" i="16"/>
  <c r="H993" i="16"/>
  <c r="G994" i="16"/>
  <c r="H994" i="16"/>
  <c r="G995" i="16"/>
  <c r="H995" i="16"/>
  <c r="G996" i="16"/>
  <c r="H996" i="16"/>
  <c r="G997" i="16"/>
  <c r="H997" i="16"/>
  <c r="G998" i="16"/>
  <c r="H998" i="16"/>
  <c r="G999" i="16"/>
  <c r="H999" i="16"/>
  <c r="G1000" i="16"/>
  <c r="H1000" i="16"/>
  <c r="G1001" i="16"/>
  <c r="H1001" i="16"/>
  <c r="G1002" i="16"/>
  <c r="H1002" i="16"/>
  <c r="G1003" i="16"/>
  <c r="H1003" i="16"/>
  <c r="G1004" i="16"/>
  <c r="H1004" i="16"/>
  <c r="G1005" i="16"/>
  <c r="H1005" i="16"/>
  <c r="G1006" i="16"/>
  <c r="H1006" i="16"/>
  <c r="G1007" i="16"/>
  <c r="H1007" i="16"/>
  <c r="G1008" i="16"/>
  <c r="H1008" i="16"/>
  <c r="G1009" i="16"/>
  <c r="H1009" i="16"/>
  <c r="G1010" i="16"/>
  <c r="H1010" i="16"/>
  <c r="G1011" i="16"/>
  <c r="H1011" i="16"/>
  <c r="G1012" i="16"/>
  <c r="H1012" i="16"/>
  <c r="G1013" i="16"/>
  <c r="H1013" i="16"/>
  <c r="G1014" i="16"/>
  <c r="H1014" i="16"/>
  <c r="G1015" i="16"/>
  <c r="H1015" i="16"/>
  <c r="G1016" i="16"/>
  <c r="H1016" i="16"/>
  <c r="G1017" i="16"/>
  <c r="H1017" i="16"/>
  <c r="G1018" i="16"/>
  <c r="H1018" i="16"/>
  <c r="G1019" i="16"/>
  <c r="H1019" i="16"/>
  <c r="G1020" i="16"/>
  <c r="H1020" i="16"/>
  <c r="G1021" i="16"/>
  <c r="H1021" i="16"/>
  <c r="G1022" i="16"/>
  <c r="H1022" i="16"/>
  <c r="G1023" i="16"/>
  <c r="H1023" i="16"/>
  <c r="G1024" i="16"/>
  <c r="H1024" i="16"/>
  <c r="G1025" i="16"/>
  <c r="H1025" i="16"/>
  <c r="G1026" i="16"/>
  <c r="H1026" i="16"/>
  <c r="G1027" i="16"/>
  <c r="H1027" i="16"/>
  <c r="G1028" i="16"/>
  <c r="H1028" i="16"/>
  <c r="G1029" i="16"/>
  <c r="H1029" i="16"/>
  <c r="G1030" i="16"/>
  <c r="H1030" i="16"/>
  <c r="G1031" i="16"/>
  <c r="H1031" i="16"/>
  <c r="G1032" i="16"/>
  <c r="H1032" i="16"/>
  <c r="G1033" i="16"/>
  <c r="H1033" i="16"/>
  <c r="G1034" i="16"/>
  <c r="H1034" i="16"/>
  <c r="G1035" i="16"/>
  <c r="H1035" i="16"/>
  <c r="G1036" i="16"/>
  <c r="H1036" i="16"/>
  <c r="G1037" i="16"/>
  <c r="H1037" i="16"/>
  <c r="G1038" i="16"/>
  <c r="H1038" i="16"/>
  <c r="G1039" i="16"/>
  <c r="H1039" i="16"/>
  <c r="G1040" i="16"/>
  <c r="H1040" i="16"/>
  <c r="G1041" i="16"/>
  <c r="H1041" i="16"/>
  <c r="G1042" i="16"/>
  <c r="H1042" i="16"/>
  <c r="G1043" i="16"/>
  <c r="H1043" i="16"/>
  <c r="G1044" i="16"/>
  <c r="H1044" i="16"/>
  <c r="G1045" i="16"/>
  <c r="H1045" i="16"/>
  <c r="G1046" i="16"/>
  <c r="H1046" i="16"/>
  <c r="G1047" i="16"/>
  <c r="H1047" i="16"/>
  <c r="G1048" i="16"/>
  <c r="H1048" i="16"/>
  <c r="G1049" i="16"/>
  <c r="H1049" i="16"/>
  <c r="G1050" i="16"/>
  <c r="H1050" i="16"/>
  <c r="G1051" i="16"/>
  <c r="H1051" i="16"/>
  <c r="G1052" i="16"/>
  <c r="H1052" i="16"/>
  <c r="G1053" i="16"/>
  <c r="H1053" i="16"/>
  <c r="G1054" i="16"/>
  <c r="H1054" i="16"/>
  <c r="G1055" i="16"/>
  <c r="H1055" i="16"/>
  <c r="G1056" i="16"/>
  <c r="H1056" i="16"/>
  <c r="G1057" i="16"/>
  <c r="H1057" i="16"/>
  <c r="G1058" i="16"/>
  <c r="H1058" i="16"/>
  <c r="G1059" i="16"/>
  <c r="H1059" i="16"/>
  <c r="G1060" i="16"/>
  <c r="H1060" i="16"/>
  <c r="G1061" i="16"/>
  <c r="H1061" i="16"/>
  <c r="G1062" i="16"/>
  <c r="H1062" i="16"/>
  <c r="G1063" i="16"/>
  <c r="H1063" i="16"/>
  <c r="G1064" i="16"/>
  <c r="H1064" i="16"/>
  <c r="G1065" i="16"/>
  <c r="H1065" i="16"/>
  <c r="G1066" i="16"/>
  <c r="H1066" i="16"/>
  <c r="G1067" i="16"/>
  <c r="H1067" i="16"/>
  <c r="G1068" i="16"/>
  <c r="H1068" i="16"/>
  <c r="G1069" i="16"/>
  <c r="H1069" i="16"/>
  <c r="G1070" i="16"/>
  <c r="H1070" i="16"/>
  <c r="G1071" i="16"/>
  <c r="H1071" i="16"/>
  <c r="G1072" i="16"/>
  <c r="H1072" i="16"/>
  <c r="G1073" i="16"/>
  <c r="H1073" i="16"/>
  <c r="G1074" i="16"/>
  <c r="H1074" i="16"/>
  <c r="G1075" i="16"/>
  <c r="H1075" i="16"/>
  <c r="G1076" i="16"/>
  <c r="H1076" i="16"/>
  <c r="G1077" i="16"/>
  <c r="H1077" i="16"/>
  <c r="G1078" i="16"/>
  <c r="H1078" i="16"/>
  <c r="G1079" i="16"/>
  <c r="H1079" i="16"/>
  <c r="G1080" i="16"/>
  <c r="H1080" i="16"/>
  <c r="G1081" i="16"/>
  <c r="H1081" i="16"/>
  <c r="G1082" i="16"/>
  <c r="H1082" i="16"/>
  <c r="G1083" i="16"/>
  <c r="H1083" i="16"/>
  <c r="G1084" i="16"/>
  <c r="H1084" i="16"/>
  <c r="G1085" i="16"/>
  <c r="H1085" i="16"/>
  <c r="G1086" i="16"/>
  <c r="H1086" i="16"/>
  <c r="G1087" i="16"/>
  <c r="H1087" i="16"/>
  <c r="G1088" i="16"/>
  <c r="H1088" i="16"/>
  <c r="G1089" i="16"/>
  <c r="H1089" i="16"/>
  <c r="G1090" i="16"/>
  <c r="H1090" i="16"/>
  <c r="G1091" i="16"/>
  <c r="H1091" i="16"/>
  <c r="G1092" i="16"/>
  <c r="H1092" i="16"/>
  <c r="G1093" i="16"/>
  <c r="H1093" i="16"/>
  <c r="G1094" i="16"/>
  <c r="H1094" i="16"/>
  <c r="G1095" i="16"/>
  <c r="H1095" i="16"/>
  <c r="G1096" i="16"/>
  <c r="H1096" i="16"/>
  <c r="G1097" i="16"/>
  <c r="H1097" i="16"/>
  <c r="G1098" i="16"/>
  <c r="H1098" i="16"/>
  <c r="G1099" i="16"/>
  <c r="H1099" i="16"/>
  <c r="G1100" i="16"/>
  <c r="H1100" i="16"/>
  <c r="G1101" i="16"/>
  <c r="H1101" i="16"/>
  <c r="G1102" i="16"/>
  <c r="H1102" i="16"/>
  <c r="G1103" i="16"/>
  <c r="H1103" i="16"/>
  <c r="G1104" i="16"/>
  <c r="H1104" i="16"/>
  <c r="G1105" i="16"/>
  <c r="H1105" i="16"/>
  <c r="G1106" i="16"/>
  <c r="H1106" i="16"/>
  <c r="G1107" i="16"/>
  <c r="H1107" i="16"/>
  <c r="G1108" i="16"/>
  <c r="H1108" i="16"/>
  <c r="G1109" i="16"/>
  <c r="H1109" i="16"/>
  <c r="G1110" i="16"/>
  <c r="H1110" i="16"/>
  <c r="G1111" i="16"/>
  <c r="H1111" i="16"/>
  <c r="G1112" i="16"/>
  <c r="H1112" i="16"/>
  <c r="G1113" i="16"/>
  <c r="H1113" i="16"/>
  <c r="G1114" i="16"/>
  <c r="H1114" i="16"/>
  <c r="G1115" i="16"/>
  <c r="H1115" i="16"/>
  <c r="G1116" i="16"/>
  <c r="H1116" i="16"/>
  <c r="G1117" i="16"/>
  <c r="H1117" i="16"/>
  <c r="G1118" i="16"/>
  <c r="H1118" i="16"/>
  <c r="G1119" i="16"/>
  <c r="H1119" i="16"/>
  <c r="G1120" i="16"/>
  <c r="H1120" i="16"/>
  <c r="G1121" i="16"/>
  <c r="H1121" i="16"/>
  <c r="G1122" i="16"/>
  <c r="H1122" i="16"/>
  <c r="G1123" i="16"/>
  <c r="H1123" i="16"/>
  <c r="G1124" i="16"/>
  <c r="H1124" i="16"/>
  <c r="G1125" i="16"/>
  <c r="H1125" i="16"/>
  <c r="G1126" i="16"/>
  <c r="H1126" i="16"/>
  <c r="G1127" i="16"/>
  <c r="H1127" i="16"/>
  <c r="G1128" i="16"/>
  <c r="H1128" i="16"/>
  <c r="G1129" i="16"/>
  <c r="H1129" i="16"/>
  <c r="G1130" i="16"/>
  <c r="H1130" i="16"/>
  <c r="G1131" i="16"/>
  <c r="H1131" i="16"/>
  <c r="G1132" i="16"/>
  <c r="H1132" i="16"/>
  <c r="G1133" i="16"/>
  <c r="H1133" i="16"/>
  <c r="G1134" i="16"/>
  <c r="H1134" i="16"/>
  <c r="G1135" i="16"/>
  <c r="H1135" i="16"/>
  <c r="G1136" i="16"/>
  <c r="H1136" i="16"/>
  <c r="G1137" i="16"/>
  <c r="H1137" i="16"/>
  <c r="G1138" i="16"/>
  <c r="H1138" i="16"/>
  <c r="G1139" i="16"/>
  <c r="H1139" i="16"/>
  <c r="G1140" i="16"/>
  <c r="H1140" i="16"/>
  <c r="G1141" i="16"/>
  <c r="H1141" i="16"/>
  <c r="G1142" i="16"/>
  <c r="H1142" i="16"/>
  <c r="G1143" i="16"/>
  <c r="H1143" i="16"/>
  <c r="G1144" i="16"/>
  <c r="H1144" i="16"/>
  <c r="G1145" i="16"/>
  <c r="H1145" i="16"/>
  <c r="G1146" i="16"/>
  <c r="H1146" i="16"/>
  <c r="G1147" i="16"/>
  <c r="H1147" i="16"/>
  <c r="G1148" i="16"/>
  <c r="H1148" i="16"/>
  <c r="G1149" i="16"/>
  <c r="H1149" i="16"/>
  <c r="G1150" i="16"/>
  <c r="H1150" i="16"/>
  <c r="G1151" i="16"/>
  <c r="H1151" i="16"/>
  <c r="G1152" i="16"/>
  <c r="H1152" i="16"/>
  <c r="G1153" i="16"/>
  <c r="H1153" i="16"/>
  <c r="G1154" i="16"/>
  <c r="H1154" i="16"/>
  <c r="G1155" i="16"/>
  <c r="H1155" i="16"/>
  <c r="G1156" i="16"/>
  <c r="H1156" i="16"/>
  <c r="G1157" i="16"/>
  <c r="H1157" i="16"/>
  <c r="G1158" i="16"/>
  <c r="H1158" i="16"/>
  <c r="G1159" i="16"/>
  <c r="H1159" i="16"/>
  <c r="G1160" i="16"/>
  <c r="H1160" i="16"/>
  <c r="G1161" i="16"/>
  <c r="H1161" i="16"/>
  <c r="G1162" i="16"/>
  <c r="H1162" i="16"/>
  <c r="G1163" i="16"/>
  <c r="H1163" i="16"/>
  <c r="G1164" i="16"/>
  <c r="H1164" i="16"/>
  <c r="G1165" i="16"/>
  <c r="H1165" i="16"/>
  <c r="G1166" i="16"/>
  <c r="H1166" i="16"/>
  <c r="G1167" i="16"/>
  <c r="H1167" i="16"/>
  <c r="G1168" i="16"/>
  <c r="H1168" i="16"/>
  <c r="G1169" i="16"/>
  <c r="H1169" i="16"/>
  <c r="G1170" i="16"/>
  <c r="H1170" i="16"/>
  <c r="G1171" i="16"/>
  <c r="H1171" i="16"/>
  <c r="G1172" i="16"/>
  <c r="H1172" i="16"/>
  <c r="G1173" i="16"/>
  <c r="H1173" i="16"/>
  <c r="G1174" i="16"/>
  <c r="H1174" i="16"/>
  <c r="G1175" i="16"/>
  <c r="H1175" i="16"/>
  <c r="G1176" i="16"/>
  <c r="H1176" i="16"/>
  <c r="G1177" i="16"/>
  <c r="H1177" i="16"/>
  <c r="G1178" i="16"/>
  <c r="H1178" i="16"/>
  <c r="G1179" i="16"/>
  <c r="H1179" i="16"/>
  <c r="G1180" i="16"/>
  <c r="H1180" i="16"/>
  <c r="G1181" i="16"/>
  <c r="H1181" i="16"/>
  <c r="G1182" i="16"/>
  <c r="H1182" i="16"/>
  <c r="G1183" i="16"/>
  <c r="H1183" i="16"/>
  <c r="G1184" i="16"/>
  <c r="H1184" i="16"/>
  <c r="G1185" i="16"/>
  <c r="H1185" i="16"/>
  <c r="G1186" i="16"/>
  <c r="H1186" i="16"/>
  <c r="G1187" i="16"/>
  <c r="H1187" i="16"/>
  <c r="G1188" i="16"/>
  <c r="H1188" i="16"/>
  <c r="G1189" i="16"/>
  <c r="H1189" i="16"/>
  <c r="G1190" i="16"/>
  <c r="H1190" i="16"/>
  <c r="G1191" i="16"/>
  <c r="H1191" i="16"/>
  <c r="G1192" i="16"/>
  <c r="H1192" i="16"/>
  <c r="G1193" i="16"/>
  <c r="H1193" i="16"/>
  <c r="G1194" i="16"/>
  <c r="H1194" i="16"/>
  <c r="G1195" i="16"/>
  <c r="H1195" i="16"/>
  <c r="G1196" i="16"/>
  <c r="H1196" i="16"/>
  <c r="G1197" i="16"/>
  <c r="H1197" i="16"/>
  <c r="G1198" i="16"/>
  <c r="H1198" i="16"/>
  <c r="G1199" i="16"/>
  <c r="H1199" i="16"/>
  <c r="G1200" i="16"/>
  <c r="H1200" i="16"/>
  <c r="G1201" i="16"/>
  <c r="H1201" i="16"/>
  <c r="G1202" i="16"/>
  <c r="H1202" i="16"/>
  <c r="G1203" i="16"/>
  <c r="H1203" i="16"/>
  <c r="G1204" i="16"/>
  <c r="H1204" i="16"/>
  <c r="G1205" i="16"/>
  <c r="H1205" i="16"/>
  <c r="G1206" i="16"/>
  <c r="H1206" i="16"/>
  <c r="G1207" i="16"/>
  <c r="H1207" i="16"/>
  <c r="G1208" i="16"/>
  <c r="H1208" i="16"/>
  <c r="G1209" i="16"/>
  <c r="H1209" i="16"/>
  <c r="G1210" i="16"/>
  <c r="H1210" i="16"/>
  <c r="G1211" i="16"/>
  <c r="H1211" i="16"/>
  <c r="G1212" i="16"/>
  <c r="H1212" i="16"/>
  <c r="G1213" i="16"/>
  <c r="H1213" i="16"/>
  <c r="G1214" i="16"/>
  <c r="H1214" i="16"/>
  <c r="G1215" i="16"/>
  <c r="H1215" i="16"/>
  <c r="G1216" i="16"/>
  <c r="H1216" i="16"/>
  <c r="G1217" i="16"/>
  <c r="H1217" i="16"/>
  <c r="G1218" i="16"/>
  <c r="H1218" i="16"/>
  <c r="G1219" i="16"/>
  <c r="H1219" i="16"/>
  <c r="G1220" i="16"/>
  <c r="H1220" i="16"/>
  <c r="G1221" i="16"/>
  <c r="H1221" i="16"/>
  <c r="G1222" i="16"/>
  <c r="H1222" i="16"/>
  <c r="G1223" i="16"/>
  <c r="H1223" i="16"/>
  <c r="G1224" i="16"/>
  <c r="H1224" i="16"/>
  <c r="G1225" i="16"/>
  <c r="H1225" i="16"/>
  <c r="G1226" i="16"/>
  <c r="H1226" i="16"/>
  <c r="G1227" i="16"/>
  <c r="H1227" i="16"/>
  <c r="G1228" i="16"/>
  <c r="H1228" i="16"/>
  <c r="G1229" i="16"/>
  <c r="H1229" i="16"/>
  <c r="G1230" i="16"/>
  <c r="H1230" i="16"/>
  <c r="G1231" i="16"/>
  <c r="H1231" i="16"/>
  <c r="G1232" i="16"/>
  <c r="H1232" i="16"/>
  <c r="G1233" i="16"/>
  <c r="H1233" i="16"/>
  <c r="G1234" i="16"/>
  <c r="H1234" i="16"/>
  <c r="G1235" i="16"/>
  <c r="H1235" i="16"/>
  <c r="G1236" i="16"/>
  <c r="H1236" i="16"/>
  <c r="G1237" i="16"/>
  <c r="H1237" i="16"/>
  <c r="G1238" i="16"/>
  <c r="H1238" i="16"/>
  <c r="G1239" i="16"/>
  <c r="H1239" i="16"/>
  <c r="G1240" i="16"/>
  <c r="H1240" i="16"/>
  <c r="G1241" i="16"/>
  <c r="H1241" i="16"/>
  <c r="G1242" i="16"/>
  <c r="H1242" i="16"/>
  <c r="G1243" i="16"/>
  <c r="H1243" i="16"/>
  <c r="G1244" i="16"/>
  <c r="H1244" i="16"/>
  <c r="G1245" i="16"/>
  <c r="H1245" i="16"/>
  <c r="G1246" i="16"/>
  <c r="H1246" i="16"/>
  <c r="G1247" i="16"/>
  <c r="H1247" i="16"/>
  <c r="G1248" i="16"/>
  <c r="H1248" i="16"/>
  <c r="G1249" i="16"/>
  <c r="H1249" i="16"/>
  <c r="G1250" i="16"/>
  <c r="H1250" i="16"/>
  <c r="G1251" i="16"/>
  <c r="H1251" i="16"/>
  <c r="G1252" i="16"/>
  <c r="H1252" i="16"/>
  <c r="G1253" i="16"/>
  <c r="H1253" i="16"/>
  <c r="G1254" i="16"/>
  <c r="H1254" i="16"/>
  <c r="G1255" i="16"/>
  <c r="H1255" i="16"/>
  <c r="G1256" i="16"/>
  <c r="H1256" i="16"/>
  <c r="G1257" i="16"/>
  <c r="H1257" i="16"/>
  <c r="G1258" i="16"/>
  <c r="H1258" i="16"/>
  <c r="G1259" i="16"/>
  <c r="H1259" i="16"/>
  <c r="G1260" i="16"/>
  <c r="H1260" i="16"/>
  <c r="G1261" i="16"/>
  <c r="H1261" i="16"/>
  <c r="G1262" i="16"/>
  <c r="H1262" i="16"/>
  <c r="G1263" i="16"/>
  <c r="H1263" i="16"/>
  <c r="G1264" i="16"/>
  <c r="H1264" i="16"/>
  <c r="G1265" i="16"/>
  <c r="H1265" i="16"/>
  <c r="G1266" i="16"/>
  <c r="H1266" i="16"/>
  <c r="G1267" i="16"/>
  <c r="H1267" i="16"/>
  <c r="G1268" i="16"/>
  <c r="H1268" i="16"/>
  <c r="G1269" i="16"/>
  <c r="H1269" i="16"/>
  <c r="G1270" i="16"/>
  <c r="H1270" i="16"/>
  <c r="G1271" i="16"/>
  <c r="H1271" i="16"/>
  <c r="G1272" i="16"/>
  <c r="H1272" i="16"/>
  <c r="G1273" i="16"/>
  <c r="H1273" i="16"/>
  <c r="G1274" i="16"/>
  <c r="H1274" i="16"/>
  <c r="G1275" i="16"/>
  <c r="H1275" i="16"/>
  <c r="G1276" i="16"/>
  <c r="H1276" i="16"/>
  <c r="G1277" i="16"/>
  <c r="H1277" i="16"/>
  <c r="G1278" i="16"/>
  <c r="H1278" i="16"/>
  <c r="G1279" i="16"/>
  <c r="H1279" i="16"/>
  <c r="G1280" i="16"/>
  <c r="H1280" i="16"/>
  <c r="G1281" i="16"/>
  <c r="H1281" i="16"/>
  <c r="G1282" i="16"/>
  <c r="H1282" i="16"/>
  <c r="G1283" i="16"/>
  <c r="H1283" i="16"/>
  <c r="G1284" i="16"/>
  <c r="H1284" i="16"/>
  <c r="G1285" i="16"/>
  <c r="H1285" i="16"/>
  <c r="G1286" i="16"/>
  <c r="H1286" i="16"/>
  <c r="G1287" i="16"/>
  <c r="H1287" i="16"/>
  <c r="G1288" i="16"/>
  <c r="H1288" i="16"/>
  <c r="G1289" i="16"/>
  <c r="H1289" i="16"/>
  <c r="G1290" i="16"/>
  <c r="H1290" i="16"/>
  <c r="G1291" i="16"/>
  <c r="H1291" i="16"/>
  <c r="G1292" i="16"/>
  <c r="H1292" i="16"/>
  <c r="G1293" i="16"/>
  <c r="H1293" i="16"/>
  <c r="G1294" i="16"/>
  <c r="H1294" i="16"/>
  <c r="G1295" i="16"/>
  <c r="H1295" i="16"/>
  <c r="G1296" i="16"/>
  <c r="H1296" i="16"/>
  <c r="G1297" i="16"/>
  <c r="H1297" i="16"/>
  <c r="G1298" i="16"/>
  <c r="H1298" i="16"/>
  <c r="G1299" i="16"/>
  <c r="H1299" i="16"/>
  <c r="G1300" i="16"/>
  <c r="H1300" i="16"/>
  <c r="G1301" i="16"/>
  <c r="H1301" i="16"/>
  <c r="G1302" i="16"/>
  <c r="H1302" i="16"/>
  <c r="G1303" i="16"/>
  <c r="H1303" i="16"/>
  <c r="G1304" i="16"/>
  <c r="H1304" i="16"/>
  <c r="G1305" i="16"/>
  <c r="H1305" i="16"/>
  <c r="G1306" i="16"/>
  <c r="H1306" i="16"/>
  <c r="G1307" i="16"/>
  <c r="H1307" i="16"/>
  <c r="G1308" i="16"/>
  <c r="H1308" i="16"/>
  <c r="G1309" i="16"/>
  <c r="H1309" i="16"/>
  <c r="G1310" i="16"/>
  <c r="H1310" i="16"/>
  <c r="G1311" i="16"/>
  <c r="H1311" i="16"/>
  <c r="G1312" i="16"/>
  <c r="H1312" i="16"/>
  <c r="G1313" i="16"/>
  <c r="H1313" i="16"/>
  <c r="G1314" i="16"/>
  <c r="H1314" i="16"/>
  <c r="G1315" i="16"/>
  <c r="H1315" i="16"/>
  <c r="G1316" i="16"/>
  <c r="H1316" i="16"/>
  <c r="G1317" i="16"/>
  <c r="H1317" i="16"/>
  <c r="G1318" i="16"/>
  <c r="H1318" i="16"/>
  <c r="G1319" i="16"/>
  <c r="H1319" i="16"/>
  <c r="G1320" i="16"/>
  <c r="H1320" i="16"/>
  <c r="G1321" i="16"/>
  <c r="H1321" i="16"/>
  <c r="G1322" i="16"/>
  <c r="H1322" i="16"/>
  <c r="G1323" i="16"/>
  <c r="H1323" i="16"/>
  <c r="G1324" i="16"/>
  <c r="H1324" i="16"/>
  <c r="G1325" i="16"/>
  <c r="H1325" i="16"/>
  <c r="G1326" i="16"/>
  <c r="H1326" i="16"/>
  <c r="G1327" i="16"/>
  <c r="H1327" i="16"/>
  <c r="G1328" i="16"/>
  <c r="H1328" i="16"/>
  <c r="G1329" i="16"/>
  <c r="H1329" i="16"/>
  <c r="G1330" i="16"/>
  <c r="H1330" i="16"/>
  <c r="G1331" i="16"/>
  <c r="H1331" i="16"/>
  <c r="G1332" i="16"/>
  <c r="H1332" i="16"/>
  <c r="G1333" i="16"/>
  <c r="H1333" i="16"/>
  <c r="G1334" i="16"/>
  <c r="H1334" i="16"/>
  <c r="G1335" i="16"/>
  <c r="H1335" i="16"/>
  <c r="G1336" i="16"/>
  <c r="H1336" i="16"/>
  <c r="G1337" i="16"/>
  <c r="H1337" i="16"/>
  <c r="G1338" i="16"/>
  <c r="H1338" i="16"/>
  <c r="G1339" i="16"/>
  <c r="H1339" i="16"/>
  <c r="G1340" i="16"/>
  <c r="H1340" i="16"/>
  <c r="G1341" i="16"/>
  <c r="H1341" i="16"/>
  <c r="G1342" i="16"/>
  <c r="H1342" i="16"/>
  <c r="G1343" i="16"/>
  <c r="H1343" i="16"/>
  <c r="G1344" i="16"/>
  <c r="H1344" i="16"/>
  <c r="G1345" i="16"/>
  <c r="H1345" i="16"/>
  <c r="G1346" i="16"/>
  <c r="H1346" i="16"/>
  <c r="G1347" i="16"/>
  <c r="H1347" i="16"/>
  <c r="G1348" i="16"/>
  <c r="H1348" i="16"/>
  <c r="G1349" i="16"/>
  <c r="H1349" i="16"/>
  <c r="G1350" i="16"/>
  <c r="H1350" i="16"/>
  <c r="G1351" i="16"/>
  <c r="H1351" i="16"/>
  <c r="G1352" i="16"/>
  <c r="H1352" i="16"/>
  <c r="G1353" i="16"/>
  <c r="H1353" i="16"/>
  <c r="G1354" i="16"/>
  <c r="H1354" i="16"/>
  <c r="G1355" i="16"/>
  <c r="H1355" i="16"/>
  <c r="G1356" i="16"/>
  <c r="H1356" i="16"/>
  <c r="G1357" i="16"/>
  <c r="H1357" i="16"/>
  <c r="G1358" i="16"/>
  <c r="H1358" i="16"/>
  <c r="G1359" i="16"/>
  <c r="H1359" i="16"/>
  <c r="G1360" i="16"/>
  <c r="H1360" i="16"/>
  <c r="G1361" i="16"/>
  <c r="H1361" i="16"/>
  <c r="G1362" i="16"/>
  <c r="H1362" i="16"/>
  <c r="G1363" i="16"/>
  <c r="H1363" i="16"/>
  <c r="G1364" i="16"/>
  <c r="H1364" i="16"/>
  <c r="G1365" i="16"/>
  <c r="H1365" i="16"/>
  <c r="G1366" i="16"/>
  <c r="H1366" i="16"/>
  <c r="G1367" i="16"/>
  <c r="H1367" i="16"/>
  <c r="G1368" i="16"/>
  <c r="H1368" i="16"/>
  <c r="G1369" i="16"/>
  <c r="H1369" i="16"/>
  <c r="G1370" i="16"/>
  <c r="H1370" i="16"/>
  <c r="G1371" i="16"/>
  <c r="H1371" i="16"/>
  <c r="G1372" i="16"/>
  <c r="H1372" i="16"/>
  <c r="G1373" i="16"/>
  <c r="H1373" i="16"/>
  <c r="G1374" i="16"/>
  <c r="H1374" i="16"/>
  <c r="G1375" i="16"/>
  <c r="H1375" i="16"/>
  <c r="G1376" i="16"/>
  <c r="H1376" i="16"/>
  <c r="G1377" i="16"/>
  <c r="H1377" i="16"/>
  <c r="G1378" i="16"/>
  <c r="H1378" i="16"/>
  <c r="G1379" i="16"/>
  <c r="H1379" i="16"/>
  <c r="G1380" i="16"/>
  <c r="H1380" i="16"/>
  <c r="G1381" i="16"/>
  <c r="H1381" i="16"/>
  <c r="G1382" i="16"/>
  <c r="H1382" i="16"/>
  <c r="G1383" i="16"/>
  <c r="H1383" i="16"/>
  <c r="G1384" i="16"/>
  <c r="H1384" i="16"/>
  <c r="G1385" i="16"/>
  <c r="H1385" i="16"/>
  <c r="G1386" i="16"/>
  <c r="H1386" i="16"/>
  <c r="G1387" i="16"/>
  <c r="H1387" i="16"/>
  <c r="G1388" i="16"/>
  <c r="H1388" i="16"/>
  <c r="G1389" i="16"/>
  <c r="H1389" i="16"/>
  <c r="G1390" i="16"/>
  <c r="H1390" i="16"/>
  <c r="G1391" i="16"/>
  <c r="H1391" i="16"/>
  <c r="G1392" i="16"/>
  <c r="H1392" i="16"/>
  <c r="G1393" i="16"/>
  <c r="H1393" i="16"/>
  <c r="G1394" i="16"/>
  <c r="H1394" i="16"/>
  <c r="G1395" i="16"/>
  <c r="H1395" i="16"/>
  <c r="G1396" i="16"/>
  <c r="H1396" i="16"/>
  <c r="G1397" i="16"/>
  <c r="H1397" i="16"/>
  <c r="G1398" i="16"/>
  <c r="H1398" i="16"/>
  <c r="G1399" i="16"/>
  <c r="H1399" i="16"/>
  <c r="G1400" i="16"/>
  <c r="H1400" i="16"/>
  <c r="G1401" i="16"/>
  <c r="H1401" i="16"/>
  <c r="G1402" i="16"/>
  <c r="H1402" i="16"/>
  <c r="G1403" i="16"/>
  <c r="H1403" i="16"/>
  <c r="G1404" i="16"/>
  <c r="H1404" i="16"/>
  <c r="G1405" i="16"/>
  <c r="H1405" i="16"/>
  <c r="G1406" i="16"/>
  <c r="H1406" i="16"/>
  <c r="G1407" i="16"/>
  <c r="H1407" i="16"/>
  <c r="G1408" i="16"/>
  <c r="H1408" i="16"/>
  <c r="G1409" i="16"/>
  <c r="H1409" i="16"/>
  <c r="G1410" i="16"/>
  <c r="H1410" i="16"/>
  <c r="G1411" i="16"/>
  <c r="H1411" i="16"/>
  <c r="G1412" i="16"/>
  <c r="H1412" i="16"/>
  <c r="G1413" i="16"/>
  <c r="H1413" i="16"/>
  <c r="G1414" i="16"/>
  <c r="H1414" i="16"/>
  <c r="G1415" i="16"/>
  <c r="H1415" i="16"/>
  <c r="G1416" i="16"/>
  <c r="H1416" i="16"/>
  <c r="G1417" i="16"/>
  <c r="H1417" i="16"/>
  <c r="G1418" i="16"/>
  <c r="H1418" i="16"/>
  <c r="G1419" i="16"/>
  <c r="H1419" i="16"/>
  <c r="G1420" i="16"/>
  <c r="H1420" i="16"/>
  <c r="G1421" i="16"/>
  <c r="H1421" i="16"/>
  <c r="G1422" i="16"/>
  <c r="H1422" i="16"/>
  <c r="G1423" i="16"/>
  <c r="H1423" i="16"/>
  <c r="G1424" i="16"/>
  <c r="H1424" i="16"/>
  <c r="G1425" i="16"/>
  <c r="H1425" i="16"/>
  <c r="G1426" i="16"/>
  <c r="H1426" i="16"/>
  <c r="G1427" i="16"/>
  <c r="H1427" i="16"/>
  <c r="G1428" i="16"/>
  <c r="H1428" i="16"/>
  <c r="G1429" i="16"/>
  <c r="H1429" i="16"/>
  <c r="G1430" i="16"/>
  <c r="H1430" i="16"/>
  <c r="G1431" i="16"/>
  <c r="H1431" i="16"/>
  <c r="G1432" i="16"/>
  <c r="H1432" i="16"/>
  <c r="G1433" i="16"/>
  <c r="H1433" i="16"/>
  <c r="G1434" i="16"/>
  <c r="H1434" i="16"/>
  <c r="G1435" i="16"/>
  <c r="H1435" i="16"/>
  <c r="G1436" i="16"/>
  <c r="H1436" i="16"/>
  <c r="G1437" i="16"/>
  <c r="H1437" i="16"/>
  <c r="G1438" i="16"/>
  <c r="H1438" i="16"/>
  <c r="G1439" i="16"/>
  <c r="H1439" i="16"/>
  <c r="G1440" i="16"/>
  <c r="H1440" i="16"/>
  <c r="G1441" i="16"/>
  <c r="H1441" i="16"/>
  <c r="G1442" i="16"/>
  <c r="H1442" i="16"/>
  <c r="G1443" i="16"/>
  <c r="H1443" i="16"/>
  <c r="G1444" i="16"/>
  <c r="H1444" i="16"/>
  <c r="G1445" i="16"/>
  <c r="H1445" i="16"/>
  <c r="G1446" i="16"/>
  <c r="H1446" i="16"/>
  <c r="G1447" i="16"/>
  <c r="H1447" i="16"/>
  <c r="G1448" i="16"/>
  <c r="H1448" i="16"/>
  <c r="G1449" i="16"/>
  <c r="H1449" i="16"/>
  <c r="G1450" i="16"/>
  <c r="H1450" i="16"/>
  <c r="G1451" i="16"/>
  <c r="H1451" i="16"/>
  <c r="G1452" i="16"/>
  <c r="H1452" i="16"/>
  <c r="G1453" i="16"/>
  <c r="H1453" i="16"/>
  <c r="G1454" i="16"/>
  <c r="H1454" i="16"/>
  <c r="G1455" i="16"/>
  <c r="H1455" i="16"/>
  <c r="G1456" i="16"/>
  <c r="H1456" i="16"/>
  <c r="G1457" i="16"/>
  <c r="H1457" i="16"/>
  <c r="G1458" i="16"/>
  <c r="H1458" i="16"/>
  <c r="G1459" i="16"/>
  <c r="H1459" i="16"/>
  <c r="G1460" i="16"/>
  <c r="H1460" i="16"/>
  <c r="G1461" i="16"/>
  <c r="H1461" i="16"/>
  <c r="G1462" i="16"/>
  <c r="H1462" i="16"/>
  <c r="G1463" i="16"/>
  <c r="H1463" i="16"/>
  <c r="G1464" i="16"/>
  <c r="H1464" i="16"/>
  <c r="G1465" i="16"/>
  <c r="H1465" i="16"/>
  <c r="G1466" i="16"/>
  <c r="H1466" i="16"/>
  <c r="G1467" i="16"/>
  <c r="H1467" i="16"/>
  <c r="G1468" i="16"/>
  <c r="H1468" i="16"/>
  <c r="G1469" i="16"/>
  <c r="H1469" i="16"/>
  <c r="G1470" i="16"/>
  <c r="H1470" i="16"/>
  <c r="G1471" i="16"/>
  <c r="H1471" i="16"/>
  <c r="G1472" i="16"/>
  <c r="H1472" i="16"/>
  <c r="G1473" i="16"/>
  <c r="H1473" i="16"/>
  <c r="G1474" i="16"/>
  <c r="H1474" i="16"/>
  <c r="G1475" i="16"/>
  <c r="H1475" i="16"/>
  <c r="G1476" i="16"/>
  <c r="H1476" i="16"/>
  <c r="G1477" i="16"/>
  <c r="H1477" i="16"/>
  <c r="G1478" i="16"/>
  <c r="H1478" i="16"/>
  <c r="G1479" i="16"/>
  <c r="H1479" i="16"/>
  <c r="G1480" i="16"/>
  <c r="H1480" i="16"/>
  <c r="G1481" i="16"/>
  <c r="H1481" i="16"/>
  <c r="G1482" i="16"/>
  <c r="H1482" i="16"/>
  <c r="G1483" i="16"/>
  <c r="H1483" i="16"/>
  <c r="G1484" i="16"/>
  <c r="H1484" i="16"/>
  <c r="G1485" i="16"/>
  <c r="H1485" i="16"/>
  <c r="G1486" i="16"/>
  <c r="H1486" i="16"/>
  <c r="G1487" i="16"/>
  <c r="H1487" i="16"/>
  <c r="G1488" i="16"/>
  <c r="H1488" i="16"/>
  <c r="G1489" i="16"/>
  <c r="H1489" i="16"/>
  <c r="G1490" i="16"/>
  <c r="H1490" i="16"/>
  <c r="G1491" i="16"/>
  <c r="H1491" i="16"/>
  <c r="G1492" i="16"/>
  <c r="H1492" i="16"/>
  <c r="G1493" i="16"/>
  <c r="H1493" i="16"/>
  <c r="G1494" i="16"/>
  <c r="H1494" i="16"/>
  <c r="G1495" i="16"/>
  <c r="H1495" i="16"/>
  <c r="G1496" i="16"/>
  <c r="H1496" i="16"/>
  <c r="G1497" i="16"/>
  <c r="H1497" i="16"/>
  <c r="G1498" i="16"/>
  <c r="H1498" i="16"/>
  <c r="G1499" i="16"/>
  <c r="H1499" i="16"/>
  <c r="G1500" i="16"/>
  <c r="H1500" i="16"/>
  <c r="G1501" i="16"/>
  <c r="H1501" i="16"/>
  <c r="G1502" i="16"/>
  <c r="H1502" i="16"/>
  <c r="G1503" i="16"/>
  <c r="H1503" i="16"/>
  <c r="G1504" i="16"/>
  <c r="H1504" i="16"/>
  <c r="G1505" i="16"/>
  <c r="H1505" i="16"/>
  <c r="G1506" i="16"/>
  <c r="H1506" i="16"/>
  <c r="G1507" i="16"/>
  <c r="H1507" i="16"/>
  <c r="G1508" i="16"/>
  <c r="H1508" i="16"/>
  <c r="G1509" i="16"/>
  <c r="H1509" i="16"/>
  <c r="G1510" i="16"/>
  <c r="H1510" i="16"/>
  <c r="G1511" i="16"/>
  <c r="H1511" i="16"/>
  <c r="G1512" i="16"/>
  <c r="H1512" i="16"/>
  <c r="G1513" i="16"/>
  <c r="H1513" i="16"/>
  <c r="G1514" i="16"/>
  <c r="H1514" i="16"/>
  <c r="G1515" i="16"/>
  <c r="H1515" i="16"/>
  <c r="G1516" i="16"/>
  <c r="H1516" i="16"/>
  <c r="G1517" i="16"/>
  <c r="H1517" i="16"/>
  <c r="G1518" i="16"/>
  <c r="H1518" i="16"/>
  <c r="G1519" i="16"/>
  <c r="H1519" i="16"/>
  <c r="G1520" i="16"/>
  <c r="H1520" i="16"/>
  <c r="G1521" i="16"/>
  <c r="H1521" i="16"/>
  <c r="G1522" i="16"/>
  <c r="H1522" i="16"/>
  <c r="G1523" i="16"/>
  <c r="H1523" i="16"/>
  <c r="G1524" i="16"/>
  <c r="H1524" i="16"/>
  <c r="G1525" i="16"/>
  <c r="H1525" i="16"/>
  <c r="G1526" i="16"/>
  <c r="H1526" i="16"/>
  <c r="G1527" i="16"/>
  <c r="H1527" i="16"/>
  <c r="G1528" i="16"/>
  <c r="H1528" i="16"/>
  <c r="G1529" i="16"/>
  <c r="H1529" i="16"/>
  <c r="G1530" i="16"/>
  <c r="H1530" i="16"/>
  <c r="G1531" i="16"/>
  <c r="H1531" i="16"/>
  <c r="G1532" i="16"/>
  <c r="H1532" i="16"/>
  <c r="G1533" i="16"/>
  <c r="H1533" i="16"/>
  <c r="G1534" i="16"/>
  <c r="H1534" i="16"/>
  <c r="G1535" i="16"/>
  <c r="H1535" i="16"/>
  <c r="G1536" i="16"/>
  <c r="H1536" i="16"/>
  <c r="G1537" i="16"/>
  <c r="H1537" i="16"/>
  <c r="G1538" i="16"/>
  <c r="H1538" i="16"/>
  <c r="G1539" i="16"/>
  <c r="H1539" i="16"/>
  <c r="G1540" i="16"/>
  <c r="H1540" i="16"/>
  <c r="G1541" i="16"/>
  <c r="H1541" i="16"/>
  <c r="G1542" i="16"/>
  <c r="H1542" i="16"/>
  <c r="G1543" i="16"/>
  <c r="H1543" i="16"/>
  <c r="G1544" i="16"/>
  <c r="H1544" i="16"/>
  <c r="G1545" i="16"/>
  <c r="H1545" i="16"/>
  <c r="G1546" i="16"/>
  <c r="H1546" i="16"/>
  <c r="G1547" i="16"/>
  <c r="H1547" i="16"/>
  <c r="G1548" i="16"/>
  <c r="H1548" i="16"/>
  <c r="G1549" i="16"/>
  <c r="H1549" i="16"/>
  <c r="G1550" i="16"/>
  <c r="H1550" i="16"/>
  <c r="G1551" i="16"/>
  <c r="H1551" i="16"/>
  <c r="G1552" i="16"/>
  <c r="H1552" i="16"/>
  <c r="G1553" i="16"/>
  <c r="H1553" i="16"/>
  <c r="G1554" i="16"/>
  <c r="H1554" i="16"/>
  <c r="G1555" i="16"/>
  <c r="H1555" i="16"/>
  <c r="G1556" i="16"/>
  <c r="H1556" i="16"/>
  <c r="G1557" i="16"/>
  <c r="H1557" i="16"/>
  <c r="G1558" i="16"/>
  <c r="H1558" i="16"/>
  <c r="G1559" i="16"/>
  <c r="H1559" i="16"/>
  <c r="G1560" i="16"/>
  <c r="H1560" i="16"/>
  <c r="G1561" i="16"/>
  <c r="H1561" i="16"/>
  <c r="G1562" i="16"/>
  <c r="H1562" i="16"/>
  <c r="G1563" i="16"/>
  <c r="H1563" i="16"/>
  <c r="G1564" i="16"/>
  <c r="H1564" i="16"/>
  <c r="G1565" i="16"/>
  <c r="H1565" i="16"/>
  <c r="G1566" i="16"/>
  <c r="H1566" i="16"/>
  <c r="G1567" i="16"/>
  <c r="H1567" i="16"/>
  <c r="G1568" i="16"/>
  <c r="H1568" i="16"/>
  <c r="G1569" i="16"/>
  <c r="H1569" i="16"/>
  <c r="G1570" i="16"/>
  <c r="H1570" i="16"/>
  <c r="G1571" i="16"/>
  <c r="H1571" i="16"/>
  <c r="G1572" i="16"/>
  <c r="H1572" i="16"/>
  <c r="G1573" i="16"/>
  <c r="H1573" i="16"/>
  <c r="G1574" i="16"/>
  <c r="H1574" i="16"/>
  <c r="G1575" i="16"/>
  <c r="H1575" i="16"/>
  <c r="G1576" i="16"/>
  <c r="H1576" i="16"/>
  <c r="G1577" i="16"/>
  <c r="H1577" i="16"/>
  <c r="G1578" i="16"/>
  <c r="H1578" i="16"/>
  <c r="G1579" i="16"/>
  <c r="H1579" i="16"/>
  <c r="G1580" i="16"/>
  <c r="H1580" i="16"/>
  <c r="G1581" i="16"/>
  <c r="H1581" i="16"/>
  <c r="G1582" i="16"/>
  <c r="H1582" i="16"/>
  <c r="G1583" i="16"/>
  <c r="H1583" i="16"/>
  <c r="G1584" i="16"/>
  <c r="H1584" i="16"/>
  <c r="G1585" i="16"/>
  <c r="H1585" i="16"/>
  <c r="G1586" i="16"/>
  <c r="H1586" i="16"/>
  <c r="G1587" i="16"/>
  <c r="H1587" i="16"/>
  <c r="G1588" i="16"/>
  <c r="H1588" i="16"/>
  <c r="G1589" i="16"/>
  <c r="H1589" i="16"/>
  <c r="G1590" i="16"/>
  <c r="H1590" i="16"/>
  <c r="G1591" i="16"/>
  <c r="H1591" i="16"/>
  <c r="G1592" i="16"/>
  <c r="H1592" i="16"/>
  <c r="G1593" i="16"/>
  <c r="H1593" i="16"/>
  <c r="G1594" i="16"/>
  <c r="H1594" i="16"/>
  <c r="G1595" i="16"/>
  <c r="H1595" i="16"/>
  <c r="G1596" i="16"/>
  <c r="H1596" i="16"/>
  <c r="G1597" i="16"/>
  <c r="H1597" i="16"/>
  <c r="G1598" i="16"/>
  <c r="H1598" i="16"/>
  <c r="G1599" i="16"/>
  <c r="H1599" i="16"/>
  <c r="G1600" i="16"/>
  <c r="H1600" i="16"/>
  <c r="G1601" i="16"/>
  <c r="H1601" i="16"/>
  <c r="G1602" i="16"/>
  <c r="H1602" i="16"/>
  <c r="G1603" i="16"/>
  <c r="H1603" i="16"/>
  <c r="G1604" i="16"/>
  <c r="H1604" i="16"/>
  <c r="G1605" i="16"/>
  <c r="H1605" i="16"/>
  <c r="G1606" i="16"/>
  <c r="H1606" i="16"/>
  <c r="G1607" i="16"/>
  <c r="H1607" i="16"/>
  <c r="G1608" i="16"/>
  <c r="H1608" i="16"/>
  <c r="G1609" i="16"/>
  <c r="H1609" i="16"/>
  <c r="G1610" i="16"/>
  <c r="H1610" i="16"/>
  <c r="G1611" i="16"/>
  <c r="H1611" i="16"/>
  <c r="G1612" i="16"/>
  <c r="H1612" i="16"/>
  <c r="G1613" i="16"/>
  <c r="H1613" i="16"/>
  <c r="G1614" i="16"/>
  <c r="H1614" i="16"/>
  <c r="G1615" i="16"/>
  <c r="H1615" i="16"/>
  <c r="G1616" i="16"/>
  <c r="H1616" i="16"/>
  <c r="G1617" i="16"/>
  <c r="H1617" i="16"/>
  <c r="G1618" i="16"/>
  <c r="H1618" i="16"/>
  <c r="G1619" i="16"/>
  <c r="H1619" i="16"/>
  <c r="G1620" i="16"/>
  <c r="H1620" i="16"/>
  <c r="G1621" i="16"/>
  <c r="H1621" i="16"/>
  <c r="G1622" i="16"/>
  <c r="H1622" i="16"/>
  <c r="G1623" i="16"/>
  <c r="H1623" i="16"/>
  <c r="G1624" i="16"/>
  <c r="H1624" i="16"/>
  <c r="G1625" i="16"/>
  <c r="H1625" i="16"/>
  <c r="G1626" i="16"/>
  <c r="H1626" i="16"/>
  <c r="G1627" i="16"/>
  <c r="H1627" i="16"/>
  <c r="G1628" i="16"/>
  <c r="H1628" i="16"/>
  <c r="G1629" i="16"/>
  <c r="H1629" i="16"/>
  <c r="G1630" i="16"/>
  <c r="H1630" i="16"/>
  <c r="G1631" i="16"/>
  <c r="H1631" i="16"/>
  <c r="G1632" i="16"/>
  <c r="H1632" i="16"/>
  <c r="G1633" i="16"/>
  <c r="H1633" i="16"/>
  <c r="G1634" i="16"/>
  <c r="H1634" i="16"/>
  <c r="G1635" i="16"/>
  <c r="H1635" i="16"/>
  <c r="G1636" i="16"/>
  <c r="H1636" i="16"/>
  <c r="G1637" i="16"/>
  <c r="H1637" i="16"/>
  <c r="G1638" i="16"/>
  <c r="H1638" i="16"/>
  <c r="G1639" i="16"/>
  <c r="H1639" i="16"/>
  <c r="G1640" i="16"/>
  <c r="H1640" i="16"/>
  <c r="G1641" i="16"/>
  <c r="H1641" i="16"/>
  <c r="G1642" i="16"/>
  <c r="H1642" i="16"/>
  <c r="G1643" i="16"/>
  <c r="H1643" i="16"/>
  <c r="G1644" i="16"/>
  <c r="H1644" i="16"/>
  <c r="G1645" i="16"/>
  <c r="H1645" i="16"/>
  <c r="G1646" i="16"/>
  <c r="H1646" i="16"/>
  <c r="G1647" i="16"/>
  <c r="H1647" i="16"/>
  <c r="G1648" i="16"/>
  <c r="H1648" i="16"/>
  <c r="G1649" i="16"/>
  <c r="H1649" i="16"/>
  <c r="G1650" i="16"/>
  <c r="H1650" i="16"/>
  <c r="G1651" i="16"/>
  <c r="H1651" i="16"/>
  <c r="G1652" i="16"/>
  <c r="H1652" i="16"/>
  <c r="G1653" i="16"/>
  <c r="H1653" i="16"/>
  <c r="G1654" i="16"/>
  <c r="H1654" i="16"/>
  <c r="G1655" i="16"/>
  <c r="H1655" i="16"/>
  <c r="G1656" i="16"/>
  <c r="H1656" i="16"/>
  <c r="G1657" i="16"/>
  <c r="H1657" i="16"/>
  <c r="G1658" i="16"/>
  <c r="H1658" i="16"/>
  <c r="G1659" i="16"/>
  <c r="H1659" i="16"/>
  <c r="G1660" i="16"/>
  <c r="H1660" i="16"/>
  <c r="G1661" i="16"/>
  <c r="H1661" i="16"/>
  <c r="G1662" i="16"/>
  <c r="H1662" i="16"/>
  <c r="G1663" i="16"/>
  <c r="H1663" i="16"/>
  <c r="G1664" i="16"/>
  <c r="H1664" i="16"/>
  <c r="G1665" i="16"/>
  <c r="H1665" i="16"/>
  <c r="G1666" i="16"/>
  <c r="H1666" i="16"/>
  <c r="G1667" i="16"/>
  <c r="H1667" i="16"/>
  <c r="G1668" i="16"/>
  <c r="H1668" i="16"/>
  <c r="G1669" i="16"/>
  <c r="H1669" i="16"/>
  <c r="G1670" i="16"/>
  <c r="H1670" i="16"/>
  <c r="G1671" i="16"/>
  <c r="H1671" i="16"/>
  <c r="G1672" i="16"/>
  <c r="H1672" i="16"/>
  <c r="G1673" i="16"/>
  <c r="H1673" i="16"/>
  <c r="G1674" i="16"/>
  <c r="H1674" i="16"/>
  <c r="G1675" i="16"/>
  <c r="H1675" i="16"/>
  <c r="G1676" i="16"/>
  <c r="H1676" i="16"/>
  <c r="G1677" i="16"/>
  <c r="H1677" i="16"/>
  <c r="G1678" i="16"/>
  <c r="H1678" i="16"/>
  <c r="G1679" i="16"/>
  <c r="H1679" i="16"/>
  <c r="G1680" i="16"/>
  <c r="H1680" i="16"/>
  <c r="G1681" i="16"/>
  <c r="H1681" i="16"/>
  <c r="G1682" i="16"/>
  <c r="H1682" i="16"/>
  <c r="G1683" i="16"/>
  <c r="H1683" i="16"/>
  <c r="G1684" i="16"/>
  <c r="H1684" i="16"/>
  <c r="G1685" i="16"/>
  <c r="H1685" i="16"/>
  <c r="G1686" i="16"/>
  <c r="H1686" i="16"/>
  <c r="G1687" i="16"/>
  <c r="H1687" i="16"/>
  <c r="G1688" i="16"/>
  <c r="H1688" i="16"/>
  <c r="G1689" i="16"/>
  <c r="H1689" i="16"/>
  <c r="G1690" i="16"/>
  <c r="H1690" i="16"/>
  <c r="G1691" i="16"/>
  <c r="H1691" i="16"/>
  <c r="G1692" i="16"/>
  <c r="H1692" i="16"/>
  <c r="G1693" i="16"/>
  <c r="H1693" i="16"/>
  <c r="G1694" i="16"/>
  <c r="H1694" i="16"/>
  <c r="G1695" i="16"/>
  <c r="H1695" i="16"/>
  <c r="G1696" i="16"/>
  <c r="H1696" i="16"/>
  <c r="G1697" i="16"/>
  <c r="H1697" i="16"/>
  <c r="G1698" i="16"/>
  <c r="H1698" i="16"/>
  <c r="G1699" i="16"/>
  <c r="H1699" i="16"/>
  <c r="G1700" i="16"/>
  <c r="H1700" i="16"/>
  <c r="G1701" i="16"/>
  <c r="H1701" i="16"/>
  <c r="G1702" i="16"/>
  <c r="H1702" i="16"/>
  <c r="G1703" i="16"/>
  <c r="H1703" i="16"/>
  <c r="G1704" i="16"/>
  <c r="H1704" i="16"/>
  <c r="G1705" i="16"/>
  <c r="H1705" i="16"/>
  <c r="G1706" i="16"/>
  <c r="H1706" i="16"/>
  <c r="G1707" i="16"/>
  <c r="H1707" i="16"/>
  <c r="G1708" i="16"/>
  <c r="H1708" i="16"/>
  <c r="G1709" i="16"/>
  <c r="H1709" i="16"/>
  <c r="G1710" i="16"/>
  <c r="H1710" i="16"/>
  <c r="G1711" i="16"/>
  <c r="H1711" i="16"/>
  <c r="G1712" i="16"/>
  <c r="H1712" i="16"/>
  <c r="G1713" i="16"/>
  <c r="H1713" i="16"/>
  <c r="G1714" i="16"/>
  <c r="H1714" i="16"/>
  <c r="G1715" i="16"/>
  <c r="H1715" i="16"/>
  <c r="G1716" i="16"/>
  <c r="H1716" i="16"/>
  <c r="G1717" i="16"/>
  <c r="H1717" i="16"/>
  <c r="G1718" i="16"/>
  <c r="H1718" i="16"/>
  <c r="G1719" i="16"/>
  <c r="H1719" i="16"/>
  <c r="G1720" i="16"/>
  <c r="H1720" i="16"/>
  <c r="G1721" i="16"/>
  <c r="H1721" i="16"/>
  <c r="G1722" i="16"/>
  <c r="H1722" i="16"/>
  <c r="G1723" i="16"/>
  <c r="H1723" i="16"/>
  <c r="G1724" i="16"/>
  <c r="H1724" i="16"/>
  <c r="G1725" i="16"/>
  <c r="H1725" i="16"/>
  <c r="G1726" i="16"/>
  <c r="H1726" i="16"/>
  <c r="G1727" i="16"/>
  <c r="H1727" i="16"/>
  <c r="G1728" i="16"/>
  <c r="H1728" i="16"/>
  <c r="G1729" i="16"/>
  <c r="H1729" i="16"/>
  <c r="G1730" i="16"/>
  <c r="H1730" i="16"/>
  <c r="G1731" i="16"/>
  <c r="H1731" i="16"/>
  <c r="G1732" i="16"/>
  <c r="H1732" i="16"/>
  <c r="G1733" i="16"/>
  <c r="H1733" i="16"/>
  <c r="G1734" i="16"/>
  <c r="H1734" i="16"/>
  <c r="G1735" i="16"/>
  <c r="H1735" i="16"/>
  <c r="G1736" i="16"/>
  <c r="H1736" i="16"/>
  <c r="G1737" i="16"/>
  <c r="H1737" i="16"/>
  <c r="G1738" i="16"/>
  <c r="H1738" i="16"/>
  <c r="G1739" i="16"/>
  <c r="H1739" i="16"/>
  <c r="G1740" i="16"/>
  <c r="H1740" i="16"/>
  <c r="G1741" i="16"/>
  <c r="H1741" i="16"/>
  <c r="G1742" i="16"/>
  <c r="H1742" i="16"/>
  <c r="G1743" i="16"/>
  <c r="H1743" i="16"/>
  <c r="G1744" i="16"/>
  <c r="H1744" i="16"/>
  <c r="G1745" i="16"/>
  <c r="H1745" i="16"/>
  <c r="G1746" i="16"/>
  <c r="H1746" i="16"/>
  <c r="G1747" i="16"/>
  <c r="H1747" i="16"/>
  <c r="G1748" i="16"/>
  <c r="H1748" i="16"/>
  <c r="G1749" i="16"/>
  <c r="H1749" i="16"/>
  <c r="G1750" i="16"/>
  <c r="H1750" i="16"/>
  <c r="G1751" i="16"/>
  <c r="H1751" i="16"/>
  <c r="G1752" i="16"/>
  <c r="H1752" i="16"/>
  <c r="G1753" i="16"/>
  <c r="H1753" i="16"/>
  <c r="G1754" i="16"/>
  <c r="H1754" i="16"/>
  <c r="G1755" i="16"/>
  <c r="H1755" i="16"/>
  <c r="G1756" i="16"/>
  <c r="H1756" i="16"/>
  <c r="G1757" i="16"/>
  <c r="H1757" i="16"/>
  <c r="G1758" i="16"/>
  <c r="H1758" i="16"/>
  <c r="G1759" i="16"/>
  <c r="H1759" i="16"/>
  <c r="G1760" i="16"/>
  <c r="H1760" i="16"/>
  <c r="G1761" i="16"/>
  <c r="H1761" i="16"/>
  <c r="G1762" i="16"/>
  <c r="H1762" i="16"/>
  <c r="G1763" i="16"/>
  <c r="H1763" i="16"/>
  <c r="G1764" i="16"/>
  <c r="H1764" i="16"/>
  <c r="G1765" i="16"/>
  <c r="H1765" i="16"/>
  <c r="G1766" i="16"/>
  <c r="H1766" i="16"/>
  <c r="G1767" i="16"/>
  <c r="H1767" i="16"/>
  <c r="G1768" i="16"/>
  <c r="H1768" i="16"/>
  <c r="G1769" i="16"/>
  <c r="H1769" i="16"/>
  <c r="G1770" i="16"/>
  <c r="H1770" i="16"/>
  <c r="G1771" i="16"/>
  <c r="H1771" i="16"/>
  <c r="G1772" i="16"/>
  <c r="H1772" i="16"/>
  <c r="G1773" i="16"/>
  <c r="H1773" i="16"/>
  <c r="G1774" i="16"/>
  <c r="H1774" i="16"/>
  <c r="G1775" i="16"/>
  <c r="H1775" i="16"/>
  <c r="G1776" i="16"/>
  <c r="H1776" i="16"/>
  <c r="G1777" i="16"/>
  <c r="H1777" i="16"/>
  <c r="G1778" i="16"/>
  <c r="H1778" i="16"/>
  <c r="G1779" i="16"/>
  <c r="H1779" i="16"/>
  <c r="G1780" i="16"/>
  <c r="H1780" i="16"/>
  <c r="G1781" i="16"/>
  <c r="H1781" i="16"/>
  <c r="G1782" i="16"/>
  <c r="H1782" i="16"/>
  <c r="G1783" i="16"/>
  <c r="H1783" i="16"/>
  <c r="G1784" i="16"/>
  <c r="H1784" i="16"/>
  <c r="G1785" i="16"/>
  <c r="H1785" i="16"/>
  <c r="G1786" i="16"/>
  <c r="H1786" i="16"/>
  <c r="G1787" i="16"/>
  <c r="H1787" i="16"/>
  <c r="G1788" i="16"/>
  <c r="H1788" i="16"/>
  <c r="G1789" i="16"/>
  <c r="H1789" i="16"/>
  <c r="G1790" i="16"/>
  <c r="H1790" i="16"/>
  <c r="G1791" i="16"/>
  <c r="H1791" i="16"/>
  <c r="G1792" i="16"/>
  <c r="H1792" i="16"/>
  <c r="G1793" i="16"/>
  <c r="H1793" i="16"/>
  <c r="G1794" i="16"/>
  <c r="H1794" i="16"/>
  <c r="G1795" i="16"/>
  <c r="H1795" i="16"/>
  <c r="G1796" i="16"/>
  <c r="H1796" i="16"/>
  <c r="G1797" i="16"/>
  <c r="H1797" i="16"/>
  <c r="G1798" i="16"/>
  <c r="H1798" i="16"/>
  <c r="G1799" i="16"/>
  <c r="H1799" i="16"/>
  <c r="G1800" i="16"/>
  <c r="H1800" i="16"/>
  <c r="G1801" i="16"/>
  <c r="H1801" i="16"/>
  <c r="G1802" i="16"/>
  <c r="H1802" i="16"/>
  <c r="G1803" i="16"/>
  <c r="H1803" i="16"/>
  <c r="G1804" i="16"/>
  <c r="H1804" i="16"/>
  <c r="G1805" i="16"/>
  <c r="H1805" i="16"/>
  <c r="G1806" i="16"/>
  <c r="H1806" i="16"/>
  <c r="G1807" i="16"/>
  <c r="H1807" i="16"/>
  <c r="G1808" i="16"/>
  <c r="H1808" i="16"/>
  <c r="G1809" i="16"/>
  <c r="H1809" i="16"/>
  <c r="G1810" i="16"/>
  <c r="H1810" i="16"/>
  <c r="G1811" i="16"/>
  <c r="H1811" i="16"/>
  <c r="G1812" i="16"/>
  <c r="H1812" i="16"/>
  <c r="G1813" i="16"/>
  <c r="H1813" i="16"/>
  <c r="G1814" i="16"/>
  <c r="H1814" i="16"/>
  <c r="G1815" i="16"/>
  <c r="H1815" i="16"/>
  <c r="G1816" i="16"/>
  <c r="H1816" i="16"/>
  <c r="G1817" i="16"/>
  <c r="H1817" i="16"/>
  <c r="G1818" i="16"/>
  <c r="H1818" i="16"/>
  <c r="G1819" i="16"/>
  <c r="H1819" i="16"/>
  <c r="G1820" i="16"/>
  <c r="H1820" i="16"/>
  <c r="G1821" i="16"/>
  <c r="H1821" i="16"/>
  <c r="G1822" i="16"/>
  <c r="H1822" i="16"/>
  <c r="G1823" i="16"/>
  <c r="H1823" i="16"/>
  <c r="G1824" i="16"/>
  <c r="H1824" i="16"/>
  <c r="G1825" i="16"/>
  <c r="H1825" i="16"/>
  <c r="G1826" i="16"/>
  <c r="H1826" i="16"/>
  <c r="G1827" i="16"/>
  <c r="H1827" i="16"/>
  <c r="G1828" i="16"/>
  <c r="H1828" i="16"/>
  <c r="G1829" i="16"/>
  <c r="H1829" i="16"/>
  <c r="G1830" i="16"/>
  <c r="H1830" i="16"/>
  <c r="G1831" i="16"/>
  <c r="H1831" i="16"/>
  <c r="G1832" i="16"/>
  <c r="H1832" i="16"/>
  <c r="G1833" i="16"/>
  <c r="H1833" i="16"/>
  <c r="G1834" i="16"/>
  <c r="H1834" i="16"/>
  <c r="G1835" i="16"/>
  <c r="H1835" i="16"/>
  <c r="G1836" i="16"/>
  <c r="H1836" i="16"/>
  <c r="G1837" i="16"/>
  <c r="H1837" i="16"/>
  <c r="G1838" i="16"/>
  <c r="H1838" i="16"/>
  <c r="G1839" i="16"/>
  <c r="H1839" i="16"/>
  <c r="G1840" i="16"/>
  <c r="H1840" i="16"/>
  <c r="G1841" i="16"/>
  <c r="H1841" i="16"/>
  <c r="G1842" i="16"/>
  <c r="H1842" i="16"/>
  <c r="G1843" i="16"/>
  <c r="H1843" i="16"/>
  <c r="G1844" i="16"/>
  <c r="H1844" i="16"/>
  <c r="G1845" i="16"/>
  <c r="H1845" i="16"/>
  <c r="G1846" i="16"/>
  <c r="H1846" i="16"/>
  <c r="G1847" i="16"/>
  <c r="H1847" i="16"/>
  <c r="G1848" i="16"/>
  <c r="H1848" i="16"/>
  <c r="G1849" i="16"/>
  <c r="H1849" i="16"/>
  <c r="G1850" i="16"/>
  <c r="H1850" i="16"/>
  <c r="G1851" i="16"/>
  <c r="H1851" i="16"/>
  <c r="G1852" i="16"/>
  <c r="H1852" i="16"/>
  <c r="G1853" i="16"/>
  <c r="H1853" i="16"/>
  <c r="G1854" i="16"/>
  <c r="H1854" i="16"/>
  <c r="G1855" i="16"/>
  <c r="H1855" i="16"/>
  <c r="G1856" i="16"/>
  <c r="H1856" i="16"/>
  <c r="G1857" i="16"/>
  <c r="H1857" i="16"/>
  <c r="G1858" i="16"/>
  <c r="H1858" i="16"/>
  <c r="G1859" i="16"/>
  <c r="H1859" i="16"/>
  <c r="G1860" i="16"/>
  <c r="H1860" i="16"/>
  <c r="G1861" i="16"/>
  <c r="H1861" i="16"/>
  <c r="G1862" i="16"/>
  <c r="H1862" i="16"/>
  <c r="G1863" i="16"/>
  <c r="H1863" i="16"/>
  <c r="G1864" i="16"/>
  <c r="H1864" i="16"/>
  <c r="G1865" i="16"/>
  <c r="H1865" i="16"/>
  <c r="G1866" i="16"/>
  <c r="H1866" i="16"/>
  <c r="G1867" i="16"/>
  <c r="H1867" i="16"/>
  <c r="G1868" i="16"/>
  <c r="H1868" i="16"/>
  <c r="G1869" i="16"/>
  <c r="H1869" i="16"/>
  <c r="G1870" i="16"/>
  <c r="H1870" i="16"/>
  <c r="G1871" i="16"/>
  <c r="H1871" i="16"/>
  <c r="G1872" i="16"/>
  <c r="H1872" i="16"/>
  <c r="G1873" i="16"/>
  <c r="H1873" i="16"/>
  <c r="G1874" i="16"/>
  <c r="H1874" i="16"/>
  <c r="G1875" i="16"/>
  <c r="H1875" i="16"/>
  <c r="G1876" i="16"/>
  <c r="H1876" i="16"/>
  <c r="G1877" i="16"/>
  <c r="H1877" i="16"/>
  <c r="G1878" i="16"/>
  <c r="H1878" i="16"/>
  <c r="G1879" i="16"/>
  <c r="H1879" i="16"/>
  <c r="G1880" i="16"/>
  <c r="H1880" i="16"/>
  <c r="G1881" i="16"/>
  <c r="H1881" i="16"/>
  <c r="G1882" i="16"/>
  <c r="H1882" i="16"/>
  <c r="G1883" i="16"/>
  <c r="H1883" i="16"/>
  <c r="G1884" i="16"/>
  <c r="H1884" i="16"/>
  <c r="G1885" i="16"/>
  <c r="H1885" i="16"/>
  <c r="G1886" i="16"/>
  <c r="H1886" i="16"/>
  <c r="G1887" i="16"/>
  <c r="H1887" i="16"/>
  <c r="G1888" i="16"/>
  <c r="H1888" i="16"/>
  <c r="G1889" i="16"/>
  <c r="H1889" i="16"/>
  <c r="G1890" i="16"/>
  <c r="H1890" i="16"/>
  <c r="G1891" i="16"/>
  <c r="H1891" i="16"/>
  <c r="G1892" i="16"/>
  <c r="H1892" i="16"/>
  <c r="G1893" i="16"/>
  <c r="H1893" i="16"/>
  <c r="G1894" i="16"/>
  <c r="H1894" i="16"/>
  <c r="G1895" i="16"/>
  <c r="H1895" i="16"/>
  <c r="G1896" i="16"/>
  <c r="H1896" i="16"/>
  <c r="G1897" i="16"/>
  <c r="H1897" i="16"/>
  <c r="G1898" i="16"/>
  <c r="H1898" i="16"/>
  <c r="G1899" i="16"/>
  <c r="H1899" i="16"/>
  <c r="G1900" i="16"/>
  <c r="H1900" i="16"/>
  <c r="G1901" i="16"/>
  <c r="H1901" i="16"/>
  <c r="G1902" i="16"/>
  <c r="H1902" i="16"/>
  <c r="G1903" i="16"/>
  <c r="H1903" i="16"/>
  <c r="G1904" i="16"/>
  <c r="H1904" i="16"/>
  <c r="G1905" i="16"/>
  <c r="H1905" i="16"/>
  <c r="G1906" i="16"/>
  <c r="H1906" i="16"/>
  <c r="G1907" i="16"/>
  <c r="H1907" i="16"/>
  <c r="G1908" i="16"/>
  <c r="H1908" i="16"/>
  <c r="G1909" i="16"/>
  <c r="H1909" i="16"/>
  <c r="G1910" i="16"/>
  <c r="H1910" i="16"/>
  <c r="G1911" i="16"/>
  <c r="H1911" i="16"/>
  <c r="G1912" i="16"/>
  <c r="H1912" i="16"/>
  <c r="G1913" i="16"/>
  <c r="H1913" i="16"/>
  <c r="G1914" i="16"/>
  <c r="H1914" i="16"/>
  <c r="G1915" i="16"/>
  <c r="H1915" i="16"/>
  <c r="G1916" i="16"/>
  <c r="H1916" i="16"/>
  <c r="G1917" i="16"/>
  <c r="H1917" i="16"/>
  <c r="G1918" i="16"/>
  <c r="H1918" i="16"/>
  <c r="G1919" i="16"/>
  <c r="H1919" i="16"/>
  <c r="G1920" i="16"/>
  <c r="H1920" i="16"/>
  <c r="G1921" i="16"/>
  <c r="H1921" i="16"/>
  <c r="G1922" i="16"/>
  <c r="H1922" i="16"/>
  <c r="G1923" i="16"/>
  <c r="H1923" i="16"/>
  <c r="G1924" i="16"/>
  <c r="H1924" i="16"/>
  <c r="G1925" i="16"/>
  <c r="H1925" i="16"/>
  <c r="G1926" i="16"/>
  <c r="H1926" i="16"/>
  <c r="G1927" i="16"/>
  <c r="H1927" i="16"/>
  <c r="G1928" i="16"/>
  <c r="H1928" i="16"/>
  <c r="G1929" i="16"/>
  <c r="H1929" i="16"/>
  <c r="G1930" i="16"/>
  <c r="H1930" i="16"/>
  <c r="G1931" i="16"/>
  <c r="H1931" i="16"/>
  <c r="G1932" i="16"/>
  <c r="H1932" i="16"/>
  <c r="G1933" i="16"/>
  <c r="H1933" i="16"/>
  <c r="G1934" i="16"/>
  <c r="H1934" i="16"/>
  <c r="G1935" i="16"/>
  <c r="H1935" i="16"/>
  <c r="G1936" i="16"/>
  <c r="H1936" i="16"/>
  <c r="G1937" i="16"/>
  <c r="H1937" i="16"/>
  <c r="G1938" i="16"/>
  <c r="H1938" i="16"/>
  <c r="G1939" i="16"/>
  <c r="H1939" i="16"/>
  <c r="G1940" i="16"/>
  <c r="H1940" i="16"/>
  <c r="G1941" i="16"/>
  <c r="H1941" i="16"/>
  <c r="G1942" i="16"/>
  <c r="H1942" i="16"/>
  <c r="G1943" i="16"/>
  <c r="H1943" i="16"/>
  <c r="G1944" i="16"/>
  <c r="H1944" i="16"/>
  <c r="G1945" i="16"/>
  <c r="H1945" i="16"/>
  <c r="G1946" i="16"/>
  <c r="H1946" i="16"/>
  <c r="G1947" i="16"/>
  <c r="H1947" i="16"/>
  <c r="G1948" i="16"/>
  <c r="H1948" i="16"/>
  <c r="G1949" i="16"/>
  <c r="H1949" i="16"/>
  <c r="G1950" i="16"/>
  <c r="H1950" i="16"/>
  <c r="G1951" i="16"/>
  <c r="H1951" i="16"/>
  <c r="G1952" i="16"/>
  <c r="H1952" i="16"/>
  <c r="G1953" i="16"/>
  <c r="H1953" i="16"/>
  <c r="G1954" i="16"/>
  <c r="H1954" i="16"/>
  <c r="G1955" i="16"/>
  <c r="H1955" i="16"/>
  <c r="G1956" i="16"/>
  <c r="H1956" i="16"/>
  <c r="G1957" i="16"/>
  <c r="H1957" i="16"/>
  <c r="G1958" i="16"/>
  <c r="H1958" i="16"/>
  <c r="G1959" i="16"/>
  <c r="H1959" i="16"/>
  <c r="G1960" i="16"/>
  <c r="H1960" i="16"/>
  <c r="G1961" i="16"/>
  <c r="H1961" i="16"/>
  <c r="G1962" i="16"/>
  <c r="H1962" i="16"/>
  <c r="G1963" i="16"/>
  <c r="H1963" i="16"/>
  <c r="G1964" i="16"/>
  <c r="H1964" i="16"/>
  <c r="G1965" i="16"/>
  <c r="H1965" i="16"/>
  <c r="G1966" i="16"/>
  <c r="H1966" i="16"/>
  <c r="G1967" i="16"/>
  <c r="H1967" i="16"/>
  <c r="G1968" i="16"/>
  <c r="H1968" i="16"/>
  <c r="G1969" i="16"/>
  <c r="H1969" i="16"/>
  <c r="G1970" i="16"/>
  <c r="H1970" i="16"/>
  <c r="G1971" i="16"/>
  <c r="H1971" i="16"/>
  <c r="G1972" i="16"/>
  <c r="H1972" i="16"/>
  <c r="G1973" i="16"/>
  <c r="H1973" i="16"/>
  <c r="G1974" i="16"/>
  <c r="H1974" i="16"/>
  <c r="G1975" i="16"/>
  <c r="H1975" i="16"/>
  <c r="G1976" i="16"/>
  <c r="H1976" i="16"/>
  <c r="G1977" i="16"/>
  <c r="H1977" i="16"/>
  <c r="G1978" i="16"/>
  <c r="H1978" i="16"/>
  <c r="G1979" i="16"/>
  <c r="H1979" i="16"/>
  <c r="G1980" i="16"/>
  <c r="H1980" i="16"/>
  <c r="G1981" i="16"/>
  <c r="H1981" i="16"/>
  <c r="G1982" i="16"/>
  <c r="H1982" i="16"/>
  <c r="G1983" i="16"/>
  <c r="H1983" i="16"/>
  <c r="G1984" i="16"/>
  <c r="H1984" i="16"/>
  <c r="G1985" i="16"/>
  <c r="H1985" i="16"/>
  <c r="G1986" i="16"/>
  <c r="H1986" i="16"/>
  <c r="G1987" i="16"/>
  <c r="H1987" i="16"/>
  <c r="G1988" i="16"/>
  <c r="H1988" i="16"/>
  <c r="G1989" i="16"/>
  <c r="H1989" i="16"/>
  <c r="G1990" i="16"/>
  <c r="H1990" i="16"/>
  <c r="G1991" i="16"/>
  <c r="H1991" i="16"/>
  <c r="G1992" i="16"/>
  <c r="H1992" i="16"/>
  <c r="G1993" i="16"/>
  <c r="H1993" i="16"/>
  <c r="G1994" i="16"/>
  <c r="H1994" i="16"/>
  <c r="G1995" i="16"/>
  <c r="H1995" i="16"/>
  <c r="G1996" i="16"/>
  <c r="H1996" i="16"/>
  <c r="G1997" i="16"/>
  <c r="H1997" i="16"/>
  <c r="G1998" i="16"/>
  <c r="H1998" i="16"/>
  <c r="G1999" i="16"/>
  <c r="H1999" i="16"/>
  <c r="G2000" i="16"/>
  <c r="H2000" i="16"/>
  <c r="G2001" i="16"/>
  <c r="H2001" i="16"/>
  <c r="G2002" i="16"/>
  <c r="H2002" i="16"/>
  <c r="G2003" i="16"/>
  <c r="H2003" i="16"/>
  <c r="G2004" i="16"/>
  <c r="H2004" i="16"/>
  <c r="G2005" i="16"/>
  <c r="H2005" i="16"/>
  <c r="G2006" i="16"/>
  <c r="H2006" i="16"/>
  <c r="G2007" i="16"/>
  <c r="H2007" i="16"/>
  <c r="G2008" i="16"/>
  <c r="H2008" i="16"/>
  <c r="G2009" i="16"/>
  <c r="H2009" i="16"/>
  <c r="G2010" i="16"/>
  <c r="H2010" i="16"/>
  <c r="G2011" i="16"/>
  <c r="H2011" i="16"/>
  <c r="G2012" i="16"/>
  <c r="H2012" i="16"/>
  <c r="G2013" i="16"/>
  <c r="H2013" i="16"/>
  <c r="G2014" i="16"/>
  <c r="H2014" i="16"/>
  <c r="G2015" i="16"/>
  <c r="H2015" i="16"/>
  <c r="G2016" i="16"/>
  <c r="H2016" i="16"/>
  <c r="G2017" i="16"/>
  <c r="H2017" i="16"/>
  <c r="G2018" i="16"/>
  <c r="H2018" i="16"/>
  <c r="G2019" i="16"/>
  <c r="H2019" i="16"/>
  <c r="G2020" i="16"/>
  <c r="H2020" i="16"/>
  <c r="G2021" i="16"/>
  <c r="H2021" i="16"/>
  <c r="G2022" i="16"/>
  <c r="H2022" i="16"/>
  <c r="G2023" i="16"/>
  <c r="H2023" i="16"/>
  <c r="G2024" i="16"/>
  <c r="H2024" i="16"/>
  <c r="G2025" i="16"/>
  <c r="H2025" i="16"/>
  <c r="G2026" i="16"/>
  <c r="H2026" i="16"/>
  <c r="G2027" i="16"/>
  <c r="H2027" i="16"/>
  <c r="G2028" i="16"/>
  <c r="H2028" i="16"/>
  <c r="G2029" i="16"/>
  <c r="H2029" i="16"/>
  <c r="G2030" i="16"/>
  <c r="H2030" i="16"/>
  <c r="G2031" i="16"/>
  <c r="H2031" i="16"/>
  <c r="G2032" i="16"/>
  <c r="H2032" i="16"/>
  <c r="G2033" i="16"/>
  <c r="H2033" i="16"/>
  <c r="G2034" i="16"/>
  <c r="H2034" i="16"/>
  <c r="G2035" i="16"/>
  <c r="H2035" i="16"/>
  <c r="G2036" i="16"/>
  <c r="H2036" i="16"/>
  <c r="G2037" i="16"/>
  <c r="H2037" i="16"/>
  <c r="G2038" i="16"/>
  <c r="H2038" i="16"/>
  <c r="G2039" i="16"/>
  <c r="H2039" i="16"/>
  <c r="G2040" i="16"/>
  <c r="H2040" i="16"/>
  <c r="G2041" i="16"/>
  <c r="H2041" i="16"/>
  <c r="G2042" i="16"/>
  <c r="H2042" i="16"/>
  <c r="G2043" i="16"/>
  <c r="H2043" i="16"/>
  <c r="G2044" i="16"/>
  <c r="H2044" i="16"/>
  <c r="G2045" i="16"/>
  <c r="H2045" i="16"/>
  <c r="G2046" i="16"/>
  <c r="H2046" i="16"/>
  <c r="G2047" i="16"/>
  <c r="H2047" i="16"/>
  <c r="G2048" i="16"/>
  <c r="H2048" i="16"/>
  <c r="G2049" i="16"/>
  <c r="H2049" i="16"/>
  <c r="G2050" i="16"/>
  <c r="H2050" i="16"/>
  <c r="G2051" i="16"/>
  <c r="H2051" i="16"/>
  <c r="G2052" i="16"/>
  <c r="H2052" i="16"/>
  <c r="G2053" i="16"/>
  <c r="H2053" i="16"/>
  <c r="G2054" i="16"/>
  <c r="H2054" i="16"/>
  <c r="G2055" i="16"/>
  <c r="H2055" i="16"/>
  <c r="G2056" i="16"/>
  <c r="H2056" i="16"/>
  <c r="G2057" i="16"/>
  <c r="H2057" i="16"/>
  <c r="G2058" i="16"/>
  <c r="H2058" i="16"/>
  <c r="G2059" i="16"/>
  <c r="H2059" i="16"/>
  <c r="G2060" i="16"/>
  <c r="H2060" i="16"/>
  <c r="G2061" i="16"/>
  <c r="H2061" i="16"/>
  <c r="G2062" i="16"/>
  <c r="H2062" i="16"/>
  <c r="G2063" i="16"/>
  <c r="H2063" i="16"/>
  <c r="G2064" i="16"/>
  <c r="H2064" i="16"/>
  <c r="G2065" i="16"/>
  <c r="H2065" i="16"/>
  <c r="G2066" i="16"/>
  <c r="H2066" i="16"/>
  <c r="G2067" i="16"/>
  <c r="H2067" i="16"/>
  <c r="G2068" i="16"/>
  <c r="H2068" i="16"/>
  <c r="G2069" i="16"/>
  <c r="H2069" i="16"/>
  <c r="G2070" i="16"/>
  <c r="H2070" i="16"/>
  <c r="G2071" i="16"/>
  <c r="H2071" i="16"/>
  <c r="G2072" i="16"/>
  <c r="H2072" i="16"/>
  <c r="G2073" i="16"/>
  <c r="H2073" i="16"/>
  <c r="G2074" i="16"/>
  <c r="H2074" i="16"/>
  <c r="G2075" i="16"/>
  <c r="H2075" i="16"/>
  <c r="G2076" i="16"/>
  <c r="H2076" i="16"/>
  <c r="G2077" i="16"/>
  <c r="H2077" i="16"/>
  <c r="G2078" i="16"/>
  <c r="H2078" i="16"/>
  <c r="G2079" i="16"/>
  <c r="H2079" i="16"/>
  <c r="G2080" i="16"/>
  <c r="H2080" i="16"/>
  <c r="G2081" i="16"/>
  <c r="H2081" i="16"/>
  <c r="G2082" i="16"/>
  <c r="H2082" i="16"/>
  <c r="G2083" i="16"/>
  <c r="H2083" i="16"/>
  <c r="G2084" i="16"/>
  <c r="H2084" i="16"/>
  <c r="G2085" i="16"/>
  <c r="H2085" i="16"/>
  <c r="G2086" i="16"/>
  <c r="H2086" i="16"/>
  <c r="G2087" i="16"/>
  <c r="H2087" i="16"/>
  <c r="G2088" i="16"/>
  <c r="H2088" i="16"/>
  <c r="G2089" i="16"/>
  <c r="H2089" i="16"/>
  <c r="G2090" i="16"/>
  <c r="H2090" i="16"/>
  <c r="G2091" i="16"/>
  <c r="H2091" i="16"/>
  <c r="G2092" i="16"/>
  <c r="H2092" i="16"/>
  <c r="G2093" i="16"/>
  <c r="H2093" i="16"/>
  <c r="G2094" i="16"/>
  <c r="H2094" i="16"/>
  <c r="G2095" i="16"/>
  <c r="H2095" i="16"/>
  <c r="G2096" i="16"/>
  <c r="H2096" i="16"/>
  <c r="G2097" i="16"/>
  <c r="H2097" i="16"/>
  <c r="G2098" i="16"/>
  <c r="H2098" i="16"/>
  <c r="G2099" i="16"/>
  <c r="H2099" i="16"/>
  <c r="G2100" i="16"/>
  <c r="H2100" i="16"/>
  <c r="G2101" i="16"/>
  <c r="H2101" i="16"/>
  <c r="G2102" i="16"/>
  <c r="H2102" i="16"/>
  <c r="G2103" i="16"/>
  <c r="H2103" i="16"/>
  <c r="G2104" i="16"/>
  <c r="H2104" i="16"/>
  <c r="G2105" i="16"/>
  <c r="H2105" i="16"/>
  <c r="G2106" i="16"/>
  <c r="H2106" i="16"/>
  <c r="G2107" i="16"/>
  <c r="H2107" i="16"/>
  <c r="G2108" i="16"/>
  <c r="H2108" i="16"/>
  <c r="G2109" i="16"/>
  <c r="H2109" i="16"/>
  <c r="G2110" i="16"/>
  <c r="H2110" i="16"/>
  <c r="G2111" i="16"/>
  <c r="H2111" i="16"/>
  <c r="G2112" i="16"/>
  <c r="H2112" i="16"/>
  <c r="G2113" i="16"/>
  <c r="H2113" i="16"/>
  <c r="G2114" i="16"/>
  <c r="H2114" i="16"/>
  <c r="G2115" i="16"/>
  <c r="H2115" i="16"/>
  <c r="G2116" i="16"/>
  <c r="H2116" i="16"/>
  <c r="G2117" i="16"/>
  <c r="H2117" i="16"/>
  <c r="G2118" i="16"/>
  <c r="H2118" i="16"/>
  <c r="G2119" i="16"/>
  <c r="H2119" i="16"/>
  <c r="G2120" i="16"/>
  <c r="H2120" i="16"/>
  <c r="G2121" i="16"/>
  <c r="H2121" i="16"/>
  <c r="G2122" i="16"/>
  <c r="H2122" i="16"/>
  <c r="G2123" i="16"/>
  <c r="H2123" i="16"/>
  <c r="G2124" i="16"/>
  <c r="H2124" i="16"/>
  <c r="G2125" i="16"/>
  <c r="H2125" i="16"/>
  <c r="G2126" i="16"/>
  <c r="H2126" i="16"/>
  <c r="G2127" i="16"/>
  <c r="H2127" i="16"/>
  <c r="G2128" i="16"/>
  <c r="H2128" i="16"/>
  <c r="G2129" i="16"/>
  <c r="H2129" i="16"/>
  <c r="G2130" i="16"/>
  <c r="H2130" i="16"/>
  <c r="G2131" i="16"/>
  <c r="H2131" i="16"/>
  <c r="G2132" i="16"/>
  <c r="H2132" i="16"/>
  <c r="G2133" i="16"/>
  <c r="H2133" i="16"/>
  <c r="G2134" i="16"/>
  <c r="H2134" i="16"/>
  <c r="G2135" i="16"/>
  <c r="H2135" i="16"/>
  <c r="G2136" i="16"/>
  <c r="H2136" i="16"/>
  <c r="G2137" i="16"/>
  <c r="H2137" i="16"/>
  <c r="G2138" i="16"/>
  <c r="H2138" i="16"/>
  <c r="G2139" i="16"/>
  <c r="H2139" i="16"/>
  <c r="G2140" i="16"/>
  <c r="H2140" i="16"/>
  <c r="G2141" i="16"/>
  <c r="H2141" i="16"/>
  <c r="G2142" i="16"/>
  <c r="H2142" i="16"/>
  <c r="G2143" i="16"/>
  <c r="H2143" i="16"/>
  <c r="G2144" i="16"/>
  <c r="H2144" i="16"/>
  <c r="G2145" i="16"/>
  <c r="H2145" i="16"/>
  <c r="G2146" i="16"/>
  <c r="H2146" i="16"/>
  <c r="G2147" i="16"/>
  <c r="H2147" i="16"/>
  <c r="G2148" i="16"/>
  <c r="H2148" i="16"/>
  <c r="G2149" i="16"/>
  <c r="H2149" i="16"/>
  <c r="G2150" i="16"/>
  <c r="H2150" i="16"/>
  <c r="G2151" i="16"/>
  <c r="H2151" i="16"/>
  <c r="G2152" i="16"/>
  <c r="H2152" i="16"/>
  <c r="G2153" i="16"/>
  <c r="H2153" i="16"/>
  <c r="G2154" i="16"/>
  <c r="H2154" i="16"/>
  <c r="G2155" i="16"/>
  <c r="H2155" i="16"/>
  <c r="G2156" i="16"/>
  <c r="H2156" i="16"/>
  <c r="G2157" i="16"/>
  <c r="H2157" i="16"/>
  <c r="G2158" i="16"/>
  <c r="H2158" i="16"/>
  <c r="G2159" i="16"/>
  <c r="H2159" i="16"/>
  <c r="G2160" i="16"/>
  <c r="H2160" i="16"/>
  <c r="G2161" i="16"/>
  <c r="H2161" i="16"/>
  <c r="G2162" i="16"/>
  <c r="H2162" i="16"/>
  <c r="G2163" i="16"/>
  <c r="H2163" i="16"/>
  <c r="G2164" i="16"/>
  <c r="H2164" i="16"/>
  <c r="G2165" i="16"/>
  <c r="H2165" i="16"/>
  <c r="G2166" i="16"/>
  <c r="H2166" i="16"/>
  <c r="G2167" i="16"/>
  <c r="H2167" i="16"/>
  <c r="G2168" i="16"/>
  <c r="H2168" i="16"/>
  <c r="G2169" i="16"/>
  <c r="H2169" i="16"/>
  <c r="G2170" i="16"/>
  <c r="H2170" i="16"/>
  <c r="G2171" i="16"/>
  <c r="H2171" i="16"/>
  <c r="G2172" i="16"/>
  <c r="H2172" i="16"/>
  <c r="G2173" i="16"/>
  <c r="H2173" i="16"/>
  <c r="G2174" i="16"/>
  <c r="H2174" i="16"/>
  <c r="G2175" i="16"/>
  <c r="H2175" i="16"/>
  <c r="G2176" i="16"/>
  <c r="H2176" i="16"/>
  <c r="G2177" i="16"/>
  <c r="H2177" i="16"/>
  <c r="G2178" i="16"/>
  <c r="H2178" i="16"/>
  <c r="G2179" i="16"/>
  <c r="H2179" i="16"/>
  <c r="G2180" i="16"/>
  <c r="H2180" i="16"/>
  <c r="G2181" i="16"/>
  <c r="H2181" i="16"/>
  <c r="G2182" i="16"/>
  <c r="H2182" i="16"/>
  <c r="G2183" i="16"/>
  <c r="H2183" i="16"/>
  <c r="G2184" i="16"/>
  <c r="H2184" i="16"/>
  <c r="G2185" i="16"/>
  <c r="H2185" i="16"/>
  <c r="G2186" i="16"/>
  <c r="H2186" i="16"/>
  <c r="G2187" i="16"/>
  <c r="H2187" i="16"/>
  <c r="G2188" i="16"/>
  <c r="H2188" i="16"/>
  <c r="G2189" i="16"/>
  <c r="H2189" i="16"/>
  <c r="G2190" i="16"/>
  <c r="H2190" i="16"/>
  <c r="G2191" i="16"/>
  <c r="H2191" i="16"/>
  <c r="G2192" i="16"/>
  <c r="H2192" i="16"/>
  <c r="G2193" i="16"/>
  <c r="H2193" i="16"/>
  <c r="G2194" i="16"/>
  <c r="H2194" i="16"/>
  <c r="G2195" i="16"/>
  <c r="H2195" i="16"/>
  <c r="G2196" i="16"/>
  <c r="H2196" i="16"/>
  <c r="G2197" i="16"/>
  <c r="H2197" i="16"/>
  <c r="G2198" i="16"/>
  <c r="H2198" i="16"/>
  <c r="G2199" i="16"/>
  <c r="H2199" i="16"/>
  <c r="G2200" i="16"/>
  <c r="H2200" i="16"/>
  <c r="G2201" i="16"/>
  <c r="H2201" i="16"/>
  <c r="G2202" i="16"/>
  <c r="H2202" i="16"/>
  <c r="G2203" i="16"/>
  <c r="H2203" i="16"/>
  <c r="G2204" i="16"/>
  <c r="H2204" i="16"/>
  <c r="G2205" i="16"/>
  <c r="H2205" i="16"/>
  <c r="G2206" i="16"/>
  <c r="H2206" i="16"/>
  <c r="G2207" i="16"/>
  <c r="H2207" i="16"/>
  <c r="G2208" i="16"/>
  <c r="H2208" i="16"/>
  <c r="G2209" i="16"/>
  <c r="H2209" i="16"/>
  <c r="G2210" i="16"/>
  <c r="H2210" i="16"/>
  <c r="G2211" i="16"/>
  <c r="H2211" i="16"/>
  <c r="G2212" i="16"/>
  <c r="H2212" i="16"/>
  <c r="G2213" i="16"/>
  <c r="H2213" i="16"/>
  <c r="G2214" i="16"/>
  <c r="H2214" i="16"/>
  <c r="G2215" i="16"/>
  <c r="H2215" i="16"/>
  <c r="G2216" i="16"/>
  <c r="H2216" i="16"/>
  <c r="G2217" i="16"/>
  <c r="H2217" i="16"/>
  <c r="G2218" i="16"/>
  <c r="H2218" i="16"/>
  <c r="G2219" i="16"/>
  <c r="H2219" i="16"/>
  <c r="G2220" i="16"/>
  <c r="H2220" i="16"/>
  <c r="G2221" i="16"/>
  <c r="H2221" i="16"/>
  <c r="G2222" i="16"/>
  <c r="H2222" i="16"/>
  <c r="G2223" i="16"/>
  <c r="H2223" i="16"/>
  <c r="G2224" i="16"/>
  <c r="H2224" i="16"/>
  <c r="G2225" i="16"/>
  <c r="H2225" i="16"/>
  <c r="G2226" i="16"/>
  <c r="H2226" i="16"/>
  <c r="G2227" i="16"/>
  <c r="H2227" i="16"/>
  <c r="G2228" i="16"/>
  <c r="H2228" i="16"/>
  <c r="G2229" i="16"/>
  <c r="H2229" i="16"/>
  <c r="G2230" i="16"/>
  <c r="H2230" i="16"/>
  <c r="G2231" i="16"/>
  <c r="H2231" i="16"/>
  <c r="G2232" i="16"/>
  <c r="H2232" i="16"/>
  <c r="G2233" i="16"/>
  <c r="H2233" i="16"/>
  <c r="G2234" i="16"/>
  <c r="H2234" i="16"/>
  <c r="G2235" i="16"/>
  <c r="H2235" i="16"/>
  <c r="G2236" i="16"/>
  <c r="H2236" i="16"/>
  <c r="G2237" i="16"/>
  <c r="H2237" i="16"/>
  <c r="G2238" i="16"/>
  <c r="H2238" i="16"/>
  <c r="G2239" i="16"/>
  <c r="H2239" i="16"/>
  <c r="G2240" i="16"/>
  <c r="H2240" i="16"/>
  <c r="G2241" i="16"/>
  <c r="H2241" i="16"/>
  <c r="G2242" i="16"/>
  <c r="H2242" i="16"/>
  <c r="G2243" i="16"/>
  <c r="H2243" i="16"/>
  <c r="G2244" i="16"/>
  <c r="H2244" i="16"/>
  <c r="G2245" i="16"/>
  <c r="H2245" i="16"/>
  <c r="G2246" i="16"/>
  <c r="H2246" i="16"/>
  <c r="G2247" i="16"/>
  <c r="H2247" i="16"/>
  <c r="G2248" i="16"/>
  <c r="H2248" i="16"/>
  <c r="G2249" i="16"/>
  <c r="H2249" i="16"/>
  <c r="G2250" i="16"/>
  <c r="H2250" i="16"/>
  <c r="G2251" i="16"/>
  <c r="H2251" i="16"/>
  <c r="G2252" i="16"/>
  <c r="H2252" i="16"/>
  <c r="G2253" i="16"/>
  <c r="H2253" i="16"/>
  <c r="G2254" i="16"/>
  <c r="H2254" i="16"/>
  <c r="G2255" i="16"/>
  <c r="H2255" i="16"/>
  <c r="G2256" i="16"/>
  <c r="H2256" i="16"/>
  <c r="G2257" i="16"/>
  <c r="H2257" i="16"/>
  <c r="G2258" i="16"/>
  <c r="H2258" i="16"/>
  <c r="G2259" i="16"/>
  <c r="H2259" i="16"/>
  <c r="G2260" i="16"/>
  <c r="H2260" i="16"/>
  <c r="G2261" i="16"/>
  <c r="H2261" i="16"/>
  <c r="G2262" i="16"/>
  <c r="H2262" i="16"/>
  <c r="G2263" i="16"/>
  <c r="H2263" i="16"/>
  <c r="G2264" i="16"/>
  <c r="H2264" i="16"/>
  <c r="G2265" i="16"/>
  <c r="H2265" i="16"/>
  <c r="G2266" i="16"/>
  <c r="H2266" i="16"/>
  <c r="G2267" i="16"/>
  <c r="H2267" i="16"/>
  <c r="G2268" i="16"/>
  <c r="H2268" i="16"/>
  <c r="G2269" i="16"/>
  <c r="H2269" i="16"/>
  <c r="G2270" i="16"/>
  <c r="H2270" i="16"/>
  <c r="G2271" i="16"/>
  <c r="H2271" i="16"/>
  <c r="G2272" i="16"/>
  <c r="H2272" i="16"/>
  <c r="G2273" i="16"/>
  <c r="H2273" i="16"/>
  <c r="G2274" i="16"/>
  <c r="H2274" i="16"/>
  <c r="G2275" i="16"/>
  <c r="H2275" i="16"/>
  <c r="G2276" i="16"/>
  <c r="H2276" i="16"/>
  <c r="G2277" i="16"/>
  <c r="H2277" i="16"/>
  <c r="G2278" i="16"/>
  <c r="H2278" i="16"/>
  <c r="G2279" i="16"/>
  <c r="H2279" i="16"/>
  <c r="G2280" i="16"/>
  <c r="H2280" i="16"/>
  <c r="G2281" i="16"/>
  <c r="H2281" i="16"/>
  <c r="G2282" i="16"/>
  <c r="H2282" i="16"/>
  <c r="G2283" i="16"/>
  <c r="H2283" i="16"/>
  <c r="G2284" i="16"/>
  <c r="H2284" i="16"/>
  <c r="G2285" i="16"/>
  <c r="H2285" i="16"/>
  <c r="G2286" i="16"/>
  <c r="H2286" i="16"/>
  <c r="G2287" i="16"/>
  <c r="H2287" i="16"/>
  <c r="G2288" i="16"/>
  <c r="H2288" i="16"/>
  <c r="G2289" i="16"/>
  <c r="H2289" i="16"/>
  <c r="G2290" i="16"/>
  <c r="H2290" i="16"/>
  <c r="G2291" i="16"/>
  <c r="H2291" i="16"/>
  <c r="G2292" i="16"/>
  <c r="H2292" i="16"/>
  <c r="G2293" i="16"/>
  <c r="H2293" i="16"/>
  <c r="G2294" i="16"/>
  <c r="H2294" i="16"/>
  <c r="G2295" i="16"/>
  <c r="H2295" i="16"/>
  <c r="G2296" i="16"/>
  <c r="H2296" i="16"/>
  <c r="G2297" i="16"/>
  <c r="H2297" i="16"/>
  <c r="G2298" i="16"/>
  <c r="H2298" i="16"/>
  <c r="G2299" i="16"/>
  <c r="H2299" i="16"/>
  <c r="G2300" i="16"/>
  <c r="H2300" i="16"/>
  <c r="G2301" i="16"/>
  <c r="H2301" i="16"/>
  <c r="G2302" i="16"/>
  <c r="H2302" i="16"/>
  <c r="G2303" i="16"/>
  <c r="H2303" i="16"/>
  <c r="G2304" i="16"/>
  <c r="H2304" i="16"/>
  <c r="G2305" i="16"/>
  <c r="H2305" i="16"/>
  <c r="G2306" i="16"/>
  <c r="H2306" i="16"/>
  <c r="G2307" i="16"/>
  <c r="H2307" i="16"/>
  <c r="G2308" i="16"/>
  <c r="H2308" i="16"/>
  <c r="G2309" i="16"/>
  <c r="H2309" i="16"/>
  <c r="G2310" i="16"/>
  <c r="H2310" i="16"/>
  <c r="G2311" i="16"/>
  <c r="H2311" i="16"/>
  <c r="G2312" i="16"/>
  <c r="H2312" i="16"/>
  <c r="G2313" i="16"/>
  <c r="H2313" i="16"/>
  <c r="G2314" i="16"/>
  <c r="H2314" i="16"/>
  <c r="G2315" i="16"/>
  <c r="H2315" i="16"/>
  <c r="G2316" i="16"/>
  <c r="H2316" i="16"/>
  <c r="G2317" i="16"/>
  <c r="H2317" i="16"/>
  <c r="G2318" i="16"/>
  <c r="H2318" i="16"/>
  <c r="G2319" i="16"/>
  <c r="H2319" i="16"/>
  <c r="G2320" i="16"/>
  <c r="H2320" i="16"/>
  <c r="G2321" i="16"/>
  <c r="H2321" i="16"/>
  <c r="G2322" i="16"/>
  <c r="H2322" i="16"/>
  <c r="G2323" i="16"/>
  <c r="H2323" i="16"/>
  <c r="G2324" i="16"/>
  <c r="H2324" i="16"/>
  <c r="G2325" i="16"/>
  <c r="H2325" i="16"/>
  <c r="G2326" i="16"/>
  <c r="H2326" i="16"/>
  <c r="G2327" i="16"/>
  <c r="H2327" i="16"/>
  <c r="G2328" i="16"/>
  <c r="H2328" i="16"/>
  <c r="G2329" i="16"/>
  <c r="H2329" i="16"/>
  <c r="G2330" i="16"/>
  <c r="H2330" i="16"/>
  <c r="G2331" i="16"/>
  <c r="H2331" i="16"/>
  <c r="G2332" i="16"/>
  <c r="H2332" i="16"/>
  <c r="G2333" i="16"/>
  <c r="H2333" i="16"/>
  <c r="G2334" i="16"/>
  <c r="H2334" i="16"/>
  <c r="G2335" i="16"/>
  <c r="H2335" i="16"/>
  <c r="G2336" i="16"/>
  <c r="H2336" i="16"/>
  <c r="G2337" i="16"/>
  <c r="H2337" i="16"/>
  <c r="G2338" i="16"/>
  <c r="H2338" i="16"/>
  <c r="G2339" i="16"/>
  <c r="H2339" i="16"/>
  <c r="G2340" i="16"/>
  <c r="H2340" i="16"/>
  <c r="G2341" i="16"/>
  <c r="H2341" i="16"/>
  <c r="G2342" i="16"/>
  <c r="H2342" i="16"/>
  <c r="G2343" i="16"/>
  <c r="H2343" i="16"/>
  <c r="G2344" i="16"/>
  <c r="H2344" i="16"/>
  <c r="G2345" i="16"/>
  <c r="H2345" i="16"/>
  <c r="G2346" i="16"/>
  <c r="H2346" i="16"/>
  <c r="G2347" i="16"/>
  <c r="H2347" i="16"/>
  <c r="G2348" i="16"/>
  <c r="H2348" i="16"/>
  <c r="G2349" i="16"/>
  <c r="H2349" i="16"/>
  <c r="G2350" i="16"/>
  <c r="H2350" i="16"/>
  <c r="G2351" i="16"/>
  <c r="H2351" i="16"/>
  <c r="G2352" i="16"/>
  <c r="H2352" i="16"/>
  <c r="G2353" i="16"/>
  <c r="H2353" i="16"/>
  <c r="G2354" i="16"/>
  <c r="H2354" i="16"/>
  <c r="G2355" i="16"/>
  <c r="H2355" i="16"/>
  <c r="G2356" i="16"/>
  <c r="H2356" i="16"/>
  <c r="G2357" i="16"/>
  <c r="H2357" i="16"/>
  <c r="G2358" i="16"/>
  <c r="H2358" i="16"/>
  <c r="G2359" i="16"/>
  <c r="H2359" i="16"/>
  <c r="G2360" i="16"/>
  <c r="H2360" i="16"/>
  <c r="G2361" i="16"/>
  <c r="H2361" i="16"/>
  <c r="G2362" i="16"/>
  <c r="H2362" i="16"/>
  <c r="G2363" i="16"/>
  <c r="H2363" i="16"/>
  <c r="G2364" i="16"/>
  <c r="H2364" i="16"/>
  <c r="G2365" i="16"/>
  <c r="H2365" i="16"/>
  <c r="G2366" i="16"/>
  <c r="H2366" i="16"/>
  <c r="G2367" i="16"/>
  <c r="H2367" i="16"/>
  <c r="G2368" i="16"/>
  <c r="H2368" i="16"/>
  <c r="G2369" i="16"/>
  <c r="H2369" i="16"/>
  <c r="G2370" i="16"/>
  <c r="H2370" i="16"/>
  <c r="G2371" i="16"/>
  <c r="H2371" i="16"/>
  <c r="G2372" i="16"/>
  <c r="H2372" i="16"/>
  <c r="G2373" i="16"/>
  <c r="H2373" i="16"/>
  <c r="G2374" i="16"/>
  <c r="H2374" i="16"/>
  <c r="G2375" i="16"/>
  <c r="H2375" i="16"/>
  <c r="G2376" i="16"/>
  <c r="H2376" i="16"/>
  <c r="G2377" i="16"/>
  <c r="H2377" i="16"/>
  <c r="G2378" i="16"/>
  <c r="H2378" i="16"/>
  <c r="G2379" i="16"/>
  <c r="H2379" i="16"/>
  <c r="G2380" i="16"/>
  <c r="H2380" i="16"/>
  <c r="G2381" i="16"/>
  <c r="H2381" i="16"/>
  <c r="G2382" i="16"/>
  <c r="H2382" i="16"/>
  <c r="G2383" i="16"/>
  <c r="H2383" i="16"/>
  <c r="G2384" i="16"/>
  <c r="H2384" i="16"/>
  <c r="G2385" i="16"/>
  <c r="H2385" i="16"/>
  <c r="G2386" i="16"/>
  <c r="H2386" i="16"/>
  <c r="G2387" i="16"/>
  <c r="H2387" i="16"/>
  <c r="G2388" i="16"/>
  <c r="H2388" i="16"/>
  <c r="G2389" i="16"/>
  <c r="H2389" i="16"/>
  <c r="G2390" i="16"/>
  <c r="H2390" i="16"/>
  <c r="G2391" i="16"/>
  <c r="H2391" i="16"/>
  <c r="G2392" i="16"/>
  <c r="H2392" i="16"/>
  <c r="G2393" i="16"/>
  <c r="H2393" i="16"/>
  <c r="G2394" i="16"/>
  <c r="H2394" i="16"/>
  <c r="G2395" i="16"/>
  <c r="H2395" i="16"/>
  <c r="G2396" i="16"/>
  <c r="H2396" i="16"/>
  <c r="G2397" i="16"/>
  <c r="H2397" i="16"/>
  <c r="G2398" i="16"/>
  <c r="H2398" i="16"/>
  <c r="G2399" i="16"/>
  <c r="H2399" i="16"/>
  <c r="G2400" i="16"/>
  <c r="H2400" i="16"/>
  <c r="G2401" i="16"/>
  <c r="H2401" i="16"/>
  <c r="G2402" i="16"/>
  <c r="H2402" i="16"/>
  <c r="G2403" i="16"/>
  <c r="H2403" i="16"/>
  <c r="G2404" i="16"/>
  <c r="H2404" i="16"/>
  <c r="G2405" i="16"/>
  <c r="H2405" i="16"/>
  <c r="G2406" i="16"/>
  <c r="H2406" i="16"/>
  <c r="G2407" i="16"/>
  <c r="H2407" i="16"/>
  <c r="G2408" i="16"/>
  <c r="H2408" i="16"/>
  <c r="G2409" i="16"/>
  <c r="H2409" i="16"/>
  <c r="G2410" i="16"/>
  <c r="H2410" i="16"/>
  <c r="G2411" i="16"/>
  <c r="H2411" i="16"/>
  <c r="G2412" i="16"/>
  <c r="H2412" i="16"/>
  <c r="G2413" i="16"/>
  <c r="H2413" i="16"/>
  <c r="G2414" i="16"/>
  <c r="H2414" i="16"/>
  <c r="G2415" i="16"/>
  <c r="H2415" i="16"/>
  <c r="G2416" i="16"/>
  <c r="H2416" i="16"/>
  <c r="G2417" i="16"/>
  <c r="H2417" i="16"/>
  <c r="G2418" i="16"/>
  <c r="H2418" i="16"/>
  <c r="G2419" i="16"/>
  <c r="H2419" i="16"/>
  <c r="G2420" i="16"/>
  <c r="H2420" i="16"/>
  <c r="G2421" i="16"/>
  <c r="H2421" i="16"/>
  <c r="G2422" i="16"/>
  <c r="H2422" i="16"/>
  <c r="G2423" i="16"/>
  <c r="H2423" i="16"/>
  <c r="G2424" i="16"/>
  <c r="H2424" i="16"/>
  <c r="G2425" i="16"/>
  <c r="H2425" i="16"/>
  <c r="G2426" i="16"/>
  <c r="H2426" i="16"/>
  <c r="G2427" i="16"/>
  <c r="H2427" i="16"/>
  <c r="G2428" i="16"/>
  <c r="H2428" i="16"/>
  <c r="G2429" i="16"/>
  <c r="H2429" i="16"/>
  <c r="G2430" i="16"/>
  <c r="H2430" i="16"/>
  <c r="G2431" i="16"/>
  <c r="H2431" i="16"/>
  <c r="G2432" i="16"/>
  <c r="H2432" i="16"/>
  <c r="G2433" i="16"/>
  <c r="H2433" i="16"/>
  <c r="G2434" i="16"/>
  <c r="H2434" i="16"/>
  <c r="G2435" i="16"/>
  <c r="H2435" i="16"/>
  <c r="G2436" i="16"/>
  <c r="H2436" i="16"/>
  <c r="G2437" i="16"/>
  <c r="H2437" i="16"/>
  <c r="G2438" i="16"/>
  <c r="H2438" i="16"/>
  <c r="G2439" i="16"/>
  <c r="H2439" i="16"/>
  <c r="G2440" i="16"/>
  <c r="H2440" i="16"/>
  <c r="G2441" i="16"/>
  <c r="H2441" i="16"/>
  <c r="G2442" i="16"/>
  <c r="H2442" i="16"/>
  <c r="G2443" i="16"/>
  <c r="H2443" i="16"/>
  <c r="G2444" i="16"/>
  <c r="H2444" i="16"/>
  <c r="G2445" i="16"/>
  <c r="H2445" i="16"/>
  <c r="G2446" i="16"/>
  <c r="H2446" i="16"/>
  <c r="G2447" i="16"/>
  <c r="H2447" i="16"/>
  <c r="G2448" i="16"/>
  <c r="H2448" i="16"/>
  <c r="G2449" i="16"/>
  <c r="H2449" i="16"/>
  <c r="G2450" i="16"/>
  <c r="H2450" i="16"/>
  <c r="G2451" i="16"/>
  <c r="H2451" i="16"/>
  <c r="G2452" i="16"/>
  <c r="H2452" i="16"/>
  <c r="G2453" i="16"/>
  <c r="H2453" i="16"/>
  <c r="G2454" i="16"/>
  <c r="H2454" i="16"/>
  <c r="G2455" i="16"/>
  <c r="H2455" i="16"/>
  <c r="G2456" i="16"/>
  <c r="H2456" i="16"/>
  <c r="G2457" i="16"/>
  <c r="H2457" i="16"/>
  <c r="G2458" i="16"/>
  <c r="H2458" i="16"/>
  <c r="G2459" i="16"/>
  <c r="H2459" i="16"/>
  <c r="G2460" i="16"/>
  <c r="H2460" i="16"/>
  <c r="G2461" i="16"/>
  <c r="H2461" i="16"/>
  <c r="G2462" i="16"/>
  <c r="H2462" i="16"/>
  <c r="G2463" i="16"/>
  <c r="H2463" i="16"/>
  <c r="G2464" i="16"/>
  <c r="H2464" i="16"/>
  <c r="G2465" i="16"/>
  <c r="H2465" i="16"/>
  <c r="G2466" i="16"/>
  <c r="H2466" i="16"/>
  <c r="G2467" i="16"/>
  <c r="H2467" i="16"/>
  <c r="G2468" i="16"/>
  <c r="H2468" i="16"/>
  <c r="G2469" i="16"/>
  <c r="H2469" i="16"/>
  <c r="G2470" i="16"/>
  <c r="H2470" i="16"/>
  <c r="G2471" i="16"/>
  <c r="H2471" i="16"/>
  <c r="G2472" i="16"/>
  <c r="H2472" i="16"/>
  <c r="G2473" i="16"/>
  <c r="H2473" i="16"/>
  <c r="G2474" i="16"/>
  <c r="H2474" i="16"/>
  <c r="G2475" i="16"/>
  <c r="H2475" i="16"/>
  <c r="G2476" i="16"/>
  <c r="H2476" i="16"/>
  <c r="G2477" i="16"/>
  <c r="H2477" i="16"/>
  <c r="G2478" i="16"/>
  <c r="H2478" i="16"/>
  <c r="G2479" i="16"/>
  <c r="H2479" i="16"/>
  <c r="G2480" i="16"/>
  <c r="H2480" i="16"/>
  <c r="G2481" i="16"/>
  <c r="H2481" i="16"/>
  <c r="G2482" i="16"/>
  <c r="H2482" i="16"/>
  <c r="G2483" i="16"/>
  <c r="H2483" i="16"/>
  <c r="G2484" i="16"/>
  <c r="H2484" i="16"/>
  <c r="G2485" i="16"/>
  <c r="H2485" i="16"/>
  <c r="G2486" i="16"/>
  <c r="H2486" i="16"/>
  <c r="G2487" i="16"/>
  <c r="H2487" i="16"/>
  <c r="G2488" i="16"/>
  <c r="H2488" i="16"/>
  <c r="G2489" i="16"/>
  <c r="H2489" i="16"/>
  <c r="G2490" i="16"/>
  <c r="H2490" i="16"/>
  <c r="G2491" i="16"/>
  <c r="H2491" i="16"/>
  <c r="G2492" i="16"/>
  <c r="H2492" i="16"/>
  <c r="G2493" i="16"/>
  <c r="H2493" i="16"/>
  <c r="G2494" i="16"/>
  <c r="H2494" i="16"/>
  <c r="G2495" i="16"/>
  <c r="H2495" i="16"/>
  <c r="G2496" i="16"/>
  <c r="H2496" i="16"/>
  <c r="G2497" i="16"/>
  <c r="H2497" i="16"/>
  <c r="G2498" i="16"/>
  <c r="H2498" i="16"/>
  <c r="G2499" i="16"/>
  <c r="H2499" i="16"/>
  <c r="G2500" i="16"/>
  <c r="H2500" i="16"/>
  <c r="G2501" i="16"/>
  <c r="H2501" i="16"/>
  <c r="G2502" i="16"/>
  <c r="H2502" i="16"/>
  <c r="G2503" i="16"/>
  <c r="H2503" i="16"/>
  <c r="G2504" i="16"/>
  <c r="H2504" i="16"/>
  <c r="G2505" i="16"/>
  <c r="H2505" i="16"/>
  <c r="G2506" i="16"/>
  <c r="H2506" i="16"/>
  <c r="G2507" i="16"/>
  <c r="H2507" i="16"/>
  <c r="G2508" i="16"/>
  <c r="H2508" i="16"/>
  <c r="G2509" i="16"/>
  <c r="H2509" i="16"/>
  <c r="G2510" i="16"/>
  <c r="H2510" i="16"/>
  <c r="G2511" i="16"/>
  <c r="H2511" i="16"/>
  <c r="G2512" i="16"/>
  <c r="H2512" i="16"/>
  <c r="G2513" i="16"/>
  <c r="H2513" i="16"/>
  <c r="G2514" i="16"/>
  <c r="H2514" i="16"/>
  <c r="G2515" i="16"/>
  <c r="H2515" i="16"/>
  <c r="G2516" i="16"/>
  <c r="H2516" i="16"/>
  <c r="G2517" i="16"/>
  <c r="H2517" i="16"/>
  <c r="G2518" i="16"/>
  <c r="H2518" i="16"/>
  <c r="G2519" i="16"/>
  <c r="H2519" i="16"/>
  <c r="G2520" i="16"/>
  <c r="H2520" i="16"/>
  <c r="G2521" i="16"/>
  <c r="H2521" i="16"/>
  <c r="G2522" i="16"/>
  <c r="H2522" i="16"/>
  <c r="G2523" i="16"/>
  <c r="H2523" i="16"/>
  <c r="G2524" i="16"/>
  <c r="H2524" i="16"/>
  <c r="G2525" i="16"/>
  <c r="H2525" i="16"/>
  <c r="G2526" i="16"/>
  <c r="H2526" i="16"/>
  <c r="G2527" i="16"/>
  <c r="H2527" i="16"/>
  <c r="G2528" i="16"/>
  <c r="H2528" i="16"/>
  <c r="G2529" i="16"/>
  <c r="H2529" i="16"/>
  <c r="G2530" i="16"/>
  <c r="H2530" i="16"/>
  <c r="G2531" i="16"/>
  <c r="H2531" i="16"/>
  <c r="G2532" i="16"/>
  <c r="H2532" i="16"/>
  <c r="G2533" i="16"/>
  <c r="H2533" i="16"/>
  <c r="G2534" i="16"/>
  <c r="H2534" i="16"/>
  <c r="G2535" i="16"/>
  <c r="H2535" i="16"/>
  <c r="G2536" i="16"/>
  <c r="H2536" i="16"/>
  <c r="G2537" i="16"/>
  <c r="H2537" i="16"/>
  <c r="G2538" i="16"/>
  <c r="H2538" i="16"/>
  <c r="G2539" i="16"/>
  <c r="H2539" i="16"/>
  <c r="G2540" i="16"/>
  <c r="H2540" i="16"/>
  <c r="G2541" i="16"/>
  <c r="H2541" i="16"/>
  <c r="G2542" i="16"/>
  <c r="H2542" i="16"/>
  <c r="G2543" i="16"/>
  <c r="H2543" i="16"/>
  <c r="G2544" i="16"/>
  <c r="H2544" i="16"/>
  <c r="G2545" i="16"/>
  <c r="H2545" i="16"/>
  <c r="G2546" i="16"/>
  <c r="H2546" i="16"/>
  <c r="G2547" i="16"/>
  <c r="H2547" i="16"/>
  <c r="G2548" i="16"/>
  <c r="H2548" i="16"/>
  <c r="G2549" i="16"/>
  <c r="H2549" i="16"/>
  <c r="G2550" i="16"/>
  <c r="H2550" i="16"/>
  <c r="G2551" i="16"/>
  <c r="H2551" i="16"/>
  <c r="G2552" i="16"/>
  <c r="H2552" i="16"/>
  <c r="G2553" i="16"/>
  <c r="H2553" i="16"/>
  <c r="G2554" i="16"/>
  <c r="H2554" i="16"/>
  <c r="G2555" i="16"/>
  <c r="H2555" i="16"/>
  <c r="G2556" i="16"/>
  <c r="H2556" i="16"/>
  <c r="G2557" i="16"/>
  <c r="H2557" i="16"/>
  <c r="G2558" i="16"/>
  <c r="H2558" i="16"/>
  <c r="G2559" i="16"/>
  <c r="H2559" i="16"/>
  <c r="G2560" i="16"/>
  <c r="H2560" i="16"/>
  <c r="G2561" i="16"/>
  <c r="H2561" i="16"/>
  <c r="G2562" i="16"/>
  <c r="H2562" i="16"/>
  <c r="G2563" i="16"/>
  <c r="H2563" i="16"/>
  <c r="G2564" i="16"/>
  <c r="H2564" i="16"/>
  <c r="G2565" i="16"/>
  <c r="H2565" i="16"/>
  <c r="G2566" i="16"/>
  <c r="H2566" i="16"/>
  <c r="G2567" i="16"/>
  <c r="H2567" i="16"/>
  <c r="G2568" i="16"/>
  <c r="H2568" i="16"/>
  <c r="G2569" i="16"/>
  <c r="H2569" i="16"/>
  <c r="G2570" i="16"/>
  <c r="H2570" i="16"/>
  <c r="G2571" i="16"/>
  <c r="H2571" i="16"/>
  <c r="G2572" i="16"/>
  <c r="H2572" i="16"/>
  <c r="G2573" i="16"/>
  <c r="H2573" i="16"/>
  <c r="G2574" i="16"/>
  <c r="H2574" i="16"/>
  <c r="G2575" i="16"/>
  <c r="H2575" i="16"/>
  <c r="G2576" i="16"/>
  <c r="H2576" i="16"/>
  <c r="G2577" i="16"/>
  <c r="H2577" i="16"/>
  <c r="G2578" i="16"/>
  <c r="H2578" i="16"/>
  <c r="G2579" i="16"/>
  <c r="H2579" i="16"/>
  <c r="G2580" i="16"/>
  <c r="H2580" i="16"/>
  <c r="G2581" i="16"/>
  <c r="H2581" i="16"/>
  <c r="G2582" i="16"/>
  <c r="H2582" i="16"/>
  <c r="G2583" i="16"/>
  <c r="H2583" i="16"/>
  <c r="G2584" i="16"/>
  <c r="H2584" i="16"/>
  <c r="G2585" i="16"/>
  <c r="H2585" i="16"/>
  <c r="G2586" i="16"/>
  <c r="H2586" i="16"/>
  <c r="G2587" i="16"/>
  <c r="H2587" i="16"/>
  <c r="G2588" i="16"/>
  <c r="H2588" i="16"/>
  <c r="G2589" i="16"/>
  <c r="H2589" i="16"/>
  <c r="G2590" i="16"/>
  <c r="H2590" i="16"/>
  <c r="G2591" i="16"/>
  <c r="H2591" i="16"/>
  <c r="G2592" i="16"/>
  <c r="H2592" i="16"/>
  <c r="G2593" i="16"/>
  <c r="H2593" i="16"/>
  <c r="G2594" i="16"/>
  <c r="H2594" i="16"/>
  <c r="G2595" i="16"/>
  <c r="H2595" i="16"/>
  <c r="G2596" i="16"/>
  <c r="H2596" i="16"/>
  <c r="G2597" i="16"/>
  <c r="H2597" i="16"/>
  <c r="G2598" i="16"/>
  <c r="H2598" i="16"/>
  <c r="G2599" i="16"/>
  <c r="H2599" i="16"/>
  <c r="G2600" i="16"/>
  <c r="H2600" i="16"/>
  <c r="G2601" i="16"/>
  <c r="H2601" i="16"/>
  <c r="G2602" i="16"/>
  <c r="H2602" i="16"/>
  <c r="G2603" i="16"/>
  <c r="H2603" i="16"/>
  <c r="G2604" i="16"/>
  <c r="H2604" i="16"/>
  <c r="G2605" i="16"/>
  <c r="H2605" i="16"/>
  <c r="G2606" i="16"/>
  <c r="H2606" i="16"/>
  <c r="G2607" i="16"/>
  <c r="H2607" i="16"/>
  <c r="G2608" i="16"/>
  <c r="H2608" i="16"/>
  <c r="G2609" i="16"/>
  <c r="H2609" i="16"/>
  <c r="G2610" i="16"/>
  <c r="H2610" i="16"/>
  <c r="G2611" i="16"/>
  <c r="H2611" i="16"/>
  <c r="G2612" i="16"/>
  <c r="H2612" i="16"/>
  <c r="G2613" i="16"/>
  <c r="H2613" i="16"/>
  <c r="G2614" i="16"/>
  <c r="H2614" i="16"/>
  <c r="G2615" i="16"/>
  <c r="H2615" i="16"/>
  <c r="G2616" i="16"/>
  <c r="H2616" i="16"/>
  <c r="G2617" i="16"/>
  <c r="H2617" i="16"/>
  <c r="G2618" i="16"/>
  <c r="H2618" i="16"/>
  <c r="G2619" i="16"/>
  <c r="H2619" i="16"/>
  <c r="G2620" i="16"/>
  <c r="H2620" i="16"/>
  <c r="G2621" i="16"/>
  <c r="H2621" i="16"/>
  <c r="G2622" i="16"/>
  <c r="H2622" i="16"/>
  <c r="G2623" i="16"/>
  <c r="H2623" i="16"/>
  <c r="G2624" i="16"/>
  <c r="H2624" i="16"/>
  <c r="G2625" i="16"/>
  <c r="H2625" i="16"/>
  <c r="G2626" i="16"/>
  <c r="H2626" i="16"/>
  <c r="G2627" i="16"/>
  <c r="H2627" i="16"/>
  <c r="G2628" i="16"/>
  <c r="H2628" i="16"/>
  <c r="G2629" i="16"/>
  <c r="H2629" i="16"/>
  <c r="G2630" i="16"/>
  <c r="H2630" i="16"/>
  <c r="G2631" i="16"/>
  <c r="H2631" i="16"/>
  <c r="G2632" i="16"/>
  <c r="H2632" i="16"/>
  <c r="G2633" i="16"/>
  <c r="H2633" i="16"/>
  <c r="G2634" i="16"/>
  <c r="H2634" i="16"/>
  <c r="G2635" i="16"/>
  <c r="H2635" i="16"/>
  <c r="G2636" i="16"/>
  <c r="H2636" i="16"/>
  <c r="G2637" i="16"/>
  <c r="H2637" i="16"/>
  <c r="G2638" i="16"/>
  <c r="H2638" i="16"/>
  <c r="G2639" i="16"/>
  <c r="H2639" i="16"/>
  <c r="G2640" i="16"/>
  <c r="H2640" i="16"/>
  <c r="G2641" i="16"/>
  <c r="H2641" i="16"/>
  <c r="G2642" i="16"/>
  <c r="H2642" i="16"/>
  <c r="G2643" i="16"/>
  <c r="H2643" i="16"/>
  <c r="G2644" i="16"/>
  <c r="H2644" i="16"/>
  <c r="G2645" i="16"/>
  <c r="H2645" i="16"/>
  <c r="G2646" i="16"/>
  <c r="H2646" i="16"/>
  <c r="G2647" i="16"/>
  <c r="H2647" i="16"/>
  <c r="G2648" i="16"/>
  <c r="H2648" i="16"/>
  <c r="G2649" i="16"/>
  <c r="H2649" i="16"/>
  <c r="G2650" i="16"/>
  <c r="H2650" i="16"/>
  <c r="G2651" i="16"/>
  <c r="H2651" i="16"/>
  <c r="G2652" i="16"/>
  <c r="H2652" i="16"/>
  <c r="G2653" i="16"/>
  <c r="H2653" i="16"/>
  <c r="G2654" i="16"/>
  <c r="H2654" i="16"/>
  <c r="G2655" i="16"/>
  <c r="H2655" i="16"/>
  <c r="G2656" i="16"/>
  <c r="H2656" i="16"/>
  <c r="G2657" i="16"/>
  <c r="H2657" i="16"/>
  <c r="G2658" i="16"/>
  <c r="H2658" i="16"/>
  <c r="G2659" i="16"/>
  <c r="H2659" i="16"/>
  <c r="G2660" i="16"/>
  <c r="H2660" i="16"/>
  <c r="G2661" i="16"/>
  <c r="H2661" i="16"/>
  <c r="G2662" i="16"/>
  <c r="H2662" i="16"/>
  <c r="G2663" i="16"/>
  <c r="H2663" i="16"/>
  <c r="G2664" i="16"/>
  <c r="H2664" i="16"/>
  <c r="G2665" i="16"/>
  <c r="H2665" i="16"/>
  <c r="G2666" i="16"/>
  <c r="H2666" i="16"/>
  <c r="G2667" i="16"/>
  <c r="H2667" i="16"/>
  <c r="G2668" i="16"/>
  <c r="H2668" i="16"/>
  <c r="G2669" i="16"/>
  <c r="H2669" i="16"/>
  <c r="G2670" i="16"/>
  <c r="H2670" i="16"/>
  <c r="G2671" i="16"/>
  <c r="H2671" i="16"/>
  <c r="G2672" i="16"/>
  <c r="H2672" i="16"/>
  <c r="G2673" i="16"/>
  <c r="H2673" i="16"/>
  <c r="G2674" i="16"/>
  <c r="H2674" i="16"/>
  <c r="G2675" i="16"/>
  <c r="H2675" i="16"/>
  <c r="G2676" i="16"/>
  <c r="H2676" i="16"/>
  <c r="G2677" i="16"/>
  <c r="H2677" i="16"/>
  <c r="G2678" i="16"/>
  <c r="H2678" i="16"/>
  <c r="G2679" i="16"/>
  <c r="H2679" i="16"/>
  <c r="G2680" i="16"/>
  <c r="H2680" i="16"/>
  <c r="G2681" i="16"/>
  <c r="H2681" i="16"/>
  <c r="G2682" i="16"/>
  <c r="H2682" i="16"/>
  <c r="G2683" i="16"/>
  <c r="H2683" i="16"/>
  <c r="G2684" i="16"/>
  <c r="H2684" i="16"/>
  <c r="G2685" i="16"/>
  <c r="H2685" i="16"/>
  <c r="G2686" i="16"/>
  <c r="H2686" i="16"/>
  <c r="G2687" i="16"/>
  <c r="H2687" i="16"/>
  <c r="G2688" i="16"/>
  <c r="H2688" i="16"/>
  <c r="G2689" i="16"/>
  <c r="H2689" i="16"/>
  <c r="G2690" i="16"/>
  <c r="H2690" i="16"/>
  <c r="G2691" i="16"/>
  <c r="H2691" i="16"/>
  <c r="G2692" i="16"/>
  <c r="H2692" i="16"/>
  <c r="G2693" i="16"/>
  <c r="H2693" i="16"/>
  <c r="G2694" i="16"/>
  <c r="H2694" i="16"/>
  <c r="G2695" i="16"/>
  <c r="H2695" i="16"/>
  <c r="G2696" i="16"/>
  <c r="H2696" i="16"/>
  <c r="G2697" i="16"/>
  <c r="H2697" i="16"/>
  <c r="G2698" i="16"/>
  <c r="H2698" i="16"/>
  <c r="G2699" i="16"/>
  <c r="H2699" i="16"/>
  <c r="G2700" i="16"/>
  <c r="H2700" i="16"/>
  <c r="G2701" i="16"/>
  <c r="H2701" i="16"/>
  <c r="G2702" i="16"/>
  <c r="H2702" i="16"/>
  <c r="G2703" i="16"/>
  <c r="H2703" i="16"/>
  <c r="G2704" i="16"/>
  <c r="H2704" i="16"/>
  <c r="G2705" i="16"/>
  <c r="H2705" i="16"/>
  <c r="G2706" i="16"/>
  <c r="H2706" i="16"/>
  <c r="G2707" i="16"/>
  <c r="H2707" i="16"/>
  <c r="G2708" i="16"/>
  <c r="H2708" i="16"/>
  <c r="G2709" i="16"/>
  <c r="H2709" i="16"/>
  <c r="G2710" i="16"/>
  <c r="H2710" i="16"/>
  <c r="G2711" i="16"/>
  <c r="H2711" i="16"/>
  <c r="G2712" i="16"/>
  <c r="H2712" i="16"/>
  <c r="G2713" i="16"/>
  <c r="H2713" i="16"/>
  <c r="G2714" i="16"/>
  <c r="H2714" i="16"/>
  <c r="G2715" i="16"/>
  <c r="H2715" i="16"/>
  <c r="G2716" i="16"/>
  <c r="H2716" i="16"/>
  <c r="G2717" i="16"/>
  <c r="H2717" i="16"/>
  <c r="G2718" i="16"/>
  <c r="H2718" i="16"/>
  <c r="G2719" i="16"/>
  <c r="H2719" i="16"/>
  <c r="G2720" i="16"/>
  <c r="H2720" i="16"/>
  <c r="G2721" i="16"/>
  <c r="H2721" i="16"/>
  <c r="G2722" i="16"/>
  <c r="H2722" i="16"/>
  <c r="G2723" i="16"/>
  <c r="H2723" i="16"/>
  <c r="G2724" i="16"/>
  <c r="H2724" i="16"/>
  <c r="G2725" i="16"/>
  <c r="H2725" i="16"/>
  <c r="G2726" i="16"/>
  <c r="H2726" i="16"/>
  <c r="G2727" i="16"/>
  <c r="H2727" i="16"/>
  <c r="G2728" i="16"/>
  <c r="H2728" i="16"/>
  <c r="G2729" i="16"/>
  <c r="H2729" i="16"/>
  <c r="G2730" i="16"/>
  <c r="H2730" i="16"/>
  <c r="G2731" i="16"/>
  <c r="H2731" i="16"/>
  <c r="G2732" i="16"/>
  <c r="H2732" i="16"/>
  <c r="G2733" i="16"/>
  <c r="H2733" i="16"/>
  <c r="G2734" i="16"/>
  <c r="H2734" i="16"/>
  <c r="G2735" i="16"/>
  <c r="H2735" i="16"/>
  <c r="G2736" i="16"/>
  <c r="H2736" i="16"/>
  <c r="G2737" i="16"/>
  <c r="H2737" i="16"/>
  <c r="G2738" i="16"/>
  <c r="H2738" i="16"/>
  <c r="G2739" i="16"/>
  <c r="H2739" i="16"/>
  <c r="G2740" i="16"/>
  <c r="H2740" i="16"/>
  <c r="G2741" i="16"/>
  <c r="H2741" i="16"/>
  <c r="G2742" i="16"/>
  <c r="H2742" i="16"/>
  <c r="G2743" i="16"/>
  <c r="H2743" i="16"/>
  <c r="G2744" i="16"/>
  <c r="H2744" i="16"/>
  <c r="G2745" i="16"/>
  <c r="H2745" i="16"/>
  <c r="G2746" i="16"/>
  <c r="H2746" i="16"/>
  <c r="G2747" i="16"/>
  <c r="H2747" i="16"/>
  <c r="G2748" i="16"/>
  <c r="H2748" i="16"/>
  <c r="G2749" i="16"/>
  <c r="H2749" i="16"/>
  <c r="G2750" i="16"/>
  <c r="H2750" i="16"/>
  <c r="G2751" i="16"/>
  <c r="H2751" i="16"/>
  <c r="G2752" i="16"/>
  <c r="H2752" i="16"/>
  <c r="G2753" i="16"/>
  <c r="H2753" i="16"/>
  <c r="G2754" i="16"/>
  <c r="H2754" i="16"/>
  <c r="G2755" i="16"/>
  <c r="H2755" i="16"/>
  <c r="G2756" i="16"/>
  <c r="H2756" i="16"/>
  <c r="G2757" i="16"/>
  <c r="H2757" i="16"/>
  <c r="G2758" i="16"/>
  <c r="H2758" i="16"/>
  <c r="G2759" i="16"/>
  <c r="H2759" i="16"/>
  <c r="G2760" i="16"/>
  <c r="H2760" i="16"/>
  <c r="G2761" i="16"/>
  <c r="H2761" i="16"/>
  <c r="G2762" i="16"/>
  <c r="H2762" i="16"/>
  <c r="G2763" i="16"/>
  <c r="H2763" i="16"/>
  <c r="G2764" i="16"/>
  <c r="H2764" i="16"/>
  <c r="G2765" i="16"/>
  <c r="H2765" i="16"/>
  <c r="G2766" i="16"/>
  <c r="H2766" i="16"/>
  <c r="G2767" i="16"/>
  <c r="H2767" i="16"/>
  <c r="G2768" i="16"/>
  <c r="H2768" i="16"/>
  <c r="G2769" i="16"/>
  <c r="H2769" i="16"/>
  <c r="G2770" i="16"/>
  <c r="H2770" i="16"/>
  <c r="G2771" i="16"/>
  <c r="H2771" i="16"/>
  <c r="G2772" i="16"/>
  <c r="H2772" i="16"/>
  <c r="G2773" i="16"/>
  <c r="H2773" i="16"/>
  <c r="G2774" i="16"/>
  <c r="H2774" i="16"/>
  <c r="G2775" i="16"/>
  <c r="H2775" i="16"/>
  <c r="G2776" i="16"/>
  <c r="H2776" i="16"/>
  <c r="G2777" i="16"/>
  <c r="H2777" i="16"/>
  <c r="G2778" i="16"/>
  <c r="H2778" i="16"/>
  <c r="G2779" i="16"/>
  <c r="H2779" i="16"/>
  <c r="G2780" i="16"/>
  <c r="H2780" i="16"/>
  <c r="G2781" i="16"/>
  <c r="H2781" i="16"/>
  <c r="G2782" i="16"/>
  <c r="H2782" i="16"/>
  <c r="G2783" i="16"/>
  <c r="H2783" i="16"/>
  <c r="G2784" i="16"/>
  <c r="H2784" i="16"/>
  <c r="G2785" i="16"/>
  <c r="H2785" i="16"/>
  <c r="G2786" i="16"/>
  <c r="H2786" i="16"/>
  <c r="G2787" i="16"/>
  <c r="H2787" i="16"/>
  <c r="G2788" i="16"/>
  <c r="H2788" i="16"/>
  <c r="G2789" i="16"/>
  <c r="H2789" i="16"/>
  <c r="G2790" i="16"/>
  <c r="H2790" i="16"/>
  <c r="G2791" i="16"/>
  <c r="H2791" i="16"/>
  <c r="G2792" i="16"/>
  <c r="H2792" i="16"/>
  <c r="G2793" i="16"/>
  <c r="H2793" i="16"/>
  <c r="G2794" i="16"/>
  <c r="H2794" i="16"/>
  <c r="G2795" i="16"/>
  <c r="H2795" i="16"/>
  <c r="G2796" i="16"/>
  <c r="H2796" i="16"/>
  <c r="G2797" i="16"/>
  <c r="H2797" i="16"/>
  <c r="G2798" i="16"/>
  <c r="H2798" i="16"/>
  <c r="G2799" i="16"/>
  <c r="H2799" i="16"/>
  <c r="G2800" i="16"/>
  <c r="H2800" i="16"/>
  <c r="G2801" i="16"/>
  <c r="H2801" i="16"/>
  <c r="G2802" i="16"/>
  <c r="H2802" i="16"/>
  <c r="G2803" i="16"/>
  <c r="H2803" i="16"/>
  <c r="G2804" i="16"/>
  <c r="H2804" i="16"/>
  <c r="G2805" i="16"/>
  <c r="H2805" i="16"/>
  <c r="G2806" i="16"/>
  <c r="H2806" i="16"/>
  <c r="G2807" i="16"/>
  <c r="H2807" i="16"/>
  <c r="G2808" i="16"/>
  <c r="H2808" i="16"/>
  <c r="G2809" i="16"/>
  <c r="H2809" i="16"/>
  <c r="G2810" i="16"/>
  <c r="H2810" i="16"/>
  <c r="G2811" i="16"/>
  <c r="H2811" i="16"/>
  <c r="G2812" i="16"/>
  <c r="H2812" i="16"/>
  <c r="G2813" i="16"/>
  <c r="H2813" i="16"/>
  <c r="G2814" i="16"/>
  <c r="H2814" i="16"/>
  <c r="G2815" i="16"/>
  <c r="H2815" i="16"/>
  <c r="G2816" i="16"/>
  <c r="H2816" i="16"/>
  <c r="G2817" i="16"/>
  <c r="H2817" i="16"/>
  <c r="G2818" i="16"/>
  <c r="H2818" i="16"/>
  <c r="G2819" i="16"/>
  <c r="H2819" i="16"/>
  <c r="G2820" i="16"/>
  <c r="H2820" i="16"/>
  <c r="G2821" i="16"/>
  <c r="H2821" i="16"/>
  <c r="G2822" i="16"/>
  <c r="H2822" i="16"/>
  <c r="G2823" i="16"/>
  <c r="H2823" i="16"/>
  <c r="G2824" i="16"/>
  <c r="H2824" i="16"/>
  <c r="G2825" i="16"/>
  <c r="H2825" i="16"/>
  <c r="G2826" i="16"/>
  <c r="H2826" i="16"/>
  <c r="G2827" i="16"/>
  <c r="H2827" i="16"/>
  <c r="G2828" i="16"/>
  <c r="H2828" i="16"/>
  <c r="G2829" i="16"/>
  <c r="H2829" i="16"/>
  <c r="G2830" i="16"/>
  <c r="H2830" i="16"/>
  <c r="G2831" i="16"/>
  <c r="H2831" i="16"/>
  <c r="G2832" i="16"/>
  <c r="H2832" i="16"/>
  <c r="G2833" i="16"/>
  <c r="H2833" i="16"/>
  <c r="G2834" i="16"/>
  <c r="H2834" i="16"/>
  <c r="G2835" i="16"/>
  <c r="H2835" i="16"/>
  <c r="G2836" i="16"/>
  <c r="H2836" i="16"/>
  <c r="G2837" i="16"/>
  <c r="H2837" i="16"/>
  <c r="G2838" i="16"/>
  <c r="H2838" i="16"/>
  <c r="G2839" i="16"/>
  <c r="H2839" i="16"/>
  <c r="G2840" i="16"/>
  <c r="H2840" i="16"/>
  <c r="G2841" i="16"/>
  <c r="H2841" i="16"/>
  <c r="G2842" i="16"/>
  <c r="H2842" i="16"/>
  <c r="G2843" i="16"/>
  <c r="H2843" i="16"/>
  <c r="G2844" i="16"/>
  <c r="H2844" i="16"/>
  <c r="G2845" i="16"/>
  <c r="H2845" i="16"/>
  <c r="G2846" i="16"/>
  <c r="H2846" i="16"/>
  <c r="G2847" i="16"/>
  <c r="H2847" i="16"/>
  <c r="G2848" i="16"/>
  <c r="H2848" i="16"/>
  <c r="G2849" i="16"/>
  <c r="H2849" i="16"/>
  <c r="G2850" i="16"/>
  <c r="H2850" i="16"/>
  <c r="G2851" i="16"/>
  <c r="H2851" i="16"/>
  <c r="G2852" i="16"/>
  <c r="H2852" i="16"/>
  <c r="G2853" i="16"/>
  <c r="H2853" i="16"/>
  <c r="G2854" i="16"/>
  <c r="H2854" i="16"/>
  <c r="G2855" i="16"/>
  <c r="H2855" i="16"/>
  <c r="G2856" i="16"/>
  <c r="H2856" i="16"/>
  <c r="G2857" i="16"/>
  <c r="H2857" i="16"/>
  <c r="G2858" i="16"/>
  <c r="H2858" i="16"/>
  <c r="G2859" i="16"/>
  <c r="H2859" i="16"/>
  <c r="G2860" i="16"/>
  <c r="H2860" i="16"/>
  <c r="G2861" i="16"/>
  <c r="H2861" i="16"/>
  <c r="G2862" i="16"/>
  <c r="H2862" i="16"/>
  <c r="G2863" i="16"/>
  <c r="H2863" i="16"/>
  <c r="G2864" i="16"/>
  <c r="H2864" i="16"/>
  <c r="G2865" i="16"/>
  <c r="H2865" i="16"/>
  <c r="G2866" i="16"/>
  <c r="H2866" i="16"/>
  <c r="G2867" i="16"/>
  <c r="H2867" i="16"/>
  <c r="G2868" i="16"/>
  <c r="H2868" i="16"/>
  <c r="G2869" i="16"/>
  <c r="H2869" i="16"/>
  <c r="G2870" i="16"/>
  <c r="H2870" i="16"/>
  <c r="G2871" i="16"/>
  <c r="H2871" i="16"/>
  <c r="G2872" i="16"/>
  <c r="H2872" i="16"/>
  <c r="G2873" i="16"/>
  <c r="H2873" i="16"/>
  <c r="G2874" i="16"/>
  <c r="H2874" i="16"/>
  <c r="G2875" i="16"/>
  <c r="H2875" i="16"/>
  <c r="G2876" i="16"/>
  <c r="H2876" i="16"/>
  <c r="G2877" i="16"/>
  <c r="H2877" i="16"/>
  <c r="G2878" i="16"/>
  <c r="H2878" i="16"/>
  <c r="G2879" i="16"/>
  <c r="H2879" i="16"/>
  <c r="G2880" i="16"/>
  <c r="H2880" i="16"/>
  <c r="G2881" i="16"/>
  <c r="H2881" i="16"/>
  <c r="G2882" i="16"/>
  <c r="H2882" i="16"/>
  <c r="G2883" i="16"/>
  <c r="H2883" i="16"/>
  <c r="G2884" i="16"/>
  <c r="H2884" i="16"/>
  <c r="G2885" i="16"/>
  <c r="H2885" i="16"/>
  <c r="G2886" i="16"/>
  <c r="H2886" i="16"/>
  <c r="G2887" i="16"/>
  <c r="H2887" i="16"/>
  <c r="G2888" i="16"/>
  <c r="H2888" i="16"/>
  <c r="G2889" i="16"/>
  <c r="H2889" i="16"/>
  <c r="G2890" i="16"/>
  <c r="H2890" i="16"/>
  <c r="G2891" i="16"/>
  <c r="H2891" i="16"/>
  <c r="G2892" i="16"/>
  <c r="H2892" i="16"/>
  <c r="G2893" i="16"/>
  <c r="H2893" i="16"/>
  <c r="G2894" i="16"/>
  <c r="H2894" i="16"/>
  <c r="G2895" i="16"/>
  <c r="H2895" i="16"/>
  <c r="G2896" i="16"/>
  <c r="H2896" i="16"/>
  <c r="G2897" i="16"/>
  <c r="H2897" i="16"/>
  <c r="G2898" i="16"/>
  <c r="H2898" i="16"/>
  <c r="G2899" i="16"/>
  <c r="H2899" i="16"/>
  <c r="G2900" i="16"/>
  <c r="H2900" i="16"/>
  <c r="G2901" i="16"/>
  <c r="H2901" i="16"/>
  <c r="G2902" i="16"/>
  <c r="H2902" i="16"/>
  <c r="G2903" i="16"/>
  <c r="H2903" i="16"/>
  <c r="G2904" i="16"/>
  <c r="H2904" i="16"/>
  <c r="G2905" i="16"/>
  <c r="H2905" i="16"/>
  <c r="G2906" i="16"/>
  <c r="H2906" i="16"/>
  <c r="G2907" i="16"/>
  <c r="H2907" i="16"/>
  <c r="G2908" i="16"/>
  <c r="H2908" i="16"/>
  <c r="G2909" i="16"/>
  <c r="H2909" i="16"/>
  <c r="G2910" i="16"/>
  <c r="H2910" i="16"/>
  <c r="G2911" i="16"/>
  <c r="H2911" i="16"/>
  <c r="G2912" i="16"/>
  <c r="H2912" i="16"/>
  <c r="G2913" i="16"/>
  <c r="H2913" i="16"/>
  <c r="G2914" i="16"/>
  <c r="H2914" i="16"/>
  <c r="G2915" i="16"/>
  <c r="H2915" i="16"/>
  <c r="G2916" i="16"/>
  <c r="H2916" i="16"/>
  <c r="G2917" i="16"/>
  <c r="H2917" i="16"/>
  <c r="G2918" i="16"/>
  <c r="H2918" i="16"/>
  <c r="G2919" i="16"/>
  <c r="H2919" i="16"/>
  <c r="G2920" i="16"/>
  <c r="H2920" i="16"/>
  <c r="G2921" i="16"/>
  <c r="H2921" i="16"/>
  <c r="G2922" i="16"/>
  <c r="H2922" i="16"/>
  <c r="G2923" i="16"/>
  <c r="H2923" i="16"/>
  <c r="G2924" i="16"/>
  <c r="H2924" i="16"/>
  <c r="G2925" i="16"/>
  <c r="H2925" i="16"/>
  <c r="G2926" i="16"/>
  <c r="H2926" i="16"/>
  <c r="G2927" i="16"/>
  <c r="H2927" i="16"/>
  <c r="G2928" i="16"/>
  <c r="H2928" i="16"/>
  <c r="G2929" i="16"/>
  <c r="H2929" i="16"/>
  <c r="G2930" i="16"/>
  <c r="H2930" i="16"/>
  <c r="G2931" i="16"/>
  <c r="H2931" i="16"/>
  <c r="G2932" i="16"/>
  <c r="H2932" i="16"/>
  <c r="G2933" i="16"/>
  <c r="H2933" i="16"/>
  <c r="G2934" i="16"/>
  <c r="H2934" i="16"/>
  <c r="G2935" i="16"/>
  <c r="H2935" i="16"/>
  <c r="G2936" i="16"/>
  <c r="H2936" i="16"/>
  <c r="G2937" i="16"/>
  <c r="H2937" i="16"/>
  <c r="G2938" i="16"/>
  <c r="H2938" i="16"/>
  <c r="G2939" i="16"/>
  <c r="H2939" i="16"/>
  <c r="G2940" i="16"/>
  <c r="H2940" i="16"/>
  <c r="G2941" i="16"/>
  <c r="H2941" i="16"/>
  <c r="G2942" i="16"/>
  <c r="H2942" i="16"/>
  <c r="G2943" i="16"/>
  <c r="H2943" i="16"/>
  <c r="G2944" i="16"/>
  <c r="H2944" i="16"/>
  <c r="G2945" i="16"/>
  <c r="H2945" i="16"/>
  <c r="G2946" i="16"/>
  <c r="H2946" i="16"/>
  <c r="G2947" i="16"/>
  <c r="H2947" i="16"/>
  <c r="G2948" i="16"/>
  <c r="H2948" i="16"/>
  <c r="G2949" i="16"/>
  <c r="H2949" i="16"/>
  <c r="G2950" i="16"/>
  <c r="H2950" i="16"/>
  <c r="G2951" i="16"/>
  <c r="H2951" i="16"/>
  <c r="G2952" i="16"/>
  <c r="H2952" i="16"/>
  <c r="G2953" i="16"/>
  <c r="H2953" i="16"/>
  <c r="G2954" i="16"/>
  <c r="H2954" i="16"/>
  <c r="G2955" i="16"/>
  <c r="H2955" i="16"/>
  <c r="G2956" i="16"/>
  <c r="H2956" i="16"/>
  <c r="G2957" i="16"/>
  <c r="H2957" i="16"/>
  <c r="G2958" i="16"/>
  <c r="H2958" i="16"/>
  <c r="G2959" i="16"/>
  <c r="H2959" i="16"/>
  <c r="G2960" i="16"/>
  <c r="H2960" i="16"/>
  <c r="G2961" i="16"/>
  <c r="H2961" i="16"/>
  <c r="G2962" i="16"/>
  <c r="H2962" i="16"/>
  <c r="G2963" i="16"/>
  <c r="H2963" i="16"/>
  <c r="G2964" i="16"/>
  <c r="H2964" i="16"/>
  <c r="G2965" i="16"/>
  <c r="H2965" i="16"/>
  <c r="G2966" i="16"/>
  <c r="H2966" i="16"/>
  <c r="G2967" i="16"/>
  <c r="H2967" i="16"/>
  <c r="G2968" i="16"/>
  <c r="H2968" i="16"/>
  <c r="G2969" i="16"/>
  <c r="H2969" i="16"/>
  <c r="G2970" i="16"/>
  <c r="H2970" i="16"/>
  <c r="G2971" i="16"/>
  <c r="H2971" i="16"/>
  <c r="G2972" i="16"/>
  <c r="H2972" i="16"/>
  <c r="G2973" i="16"/>
  <c r="H2973" i="16"/>
  <c r="G2974" i="16"/>
  <c r="H2974" i="16"/>
  <c r="G2975" i="16"/>
  <c r="H2975" i="16"/>
  <c r="G2976" i="16"/>
  <c r="H2976" i="16"/>
  <c r="G2977" i="16"/>
  <c r="H2977" i="16"/>
  <c r="G2978" i="16"/>
  <c r="H2978" i="16"/>
  <c r="G2979" i="16"/>
  <c r="H2979" i="16"/>
  <c r="G2980" i="16"/>
  <c r="H2980" i="16"/>
  <c r="G2981" i="16"/>
  <c r="H2981" i="16"/>
  <c r="G2982" i="16"/>
  <c r="H2982" i="16"/>
  <c r="G2983" i="16"/>
  <c r="H2983" i="16"/>
  <c r="G2984" i="16"/>
  <c r="H2984" i="16"/>
  <c r="G2985" i="16"/>
  <c r="H2985" i="16"/>
  <c r="G2986" i="16"/>
  <c r="H2986" i="16"/>
  <c r="G2987" i="16"/>
  <c r="H2987" i="16"/>
  <c r="G2988" i="16"/>
  <c r="H2988" i="16"/>
  <c r="G2989" i="16"/>
  <c r="H2989" i="16"/>
  <c r="G2990" i="16"/>
  <c r="H2990" i="16"/>
  <c r="G2991" i="16"/>
  <c r="H2991" i="16"/>
  <c r="G2992" i="16"/>
  <c r="H2992" i="16"/>
  <c r="G2993" i="16"/>
  <c r="H2993" i="16"/>
  <c r="G2994" i="16"/>
  <c r="H2994" i="16"/>
  <c r="G2995" i="16"/>
  <c r="H2995" i="16"/>
  <c r="G2996" i="16"/>
  <c r="H2996" i="16"/>
  <c r="G2997" i="16"/>
  <c r="H2997" i="16"/>
  <c r="G2998" i="16"/>
  <c r="H2998" i="16"/>
  <c r="G2999" i="16"/>
  <c r="H2999" i="16"/>
  <c r="G3000" i="16"/>
  <c r="H3000" i="16"/>
  <c r="G3001" i="16"/>
  <c r="H3001" i="16"/>
  <c r="G3002" i="16"/>
  <c r="H3002" i="16"/>
  <c r="G3003" i="16"/>
  <c r="H3003" i="16"/>
  <c r="G3004" i="16"/>
  <c r="H3004" i="16"/>
  <c r="G3005" i="16"/>
  <c r="H3005" i="16"/>
  <c r="G3006" i="16"/>
  <c r="H3006" i="16"/>
  <c r="G3007" i="16"/>
  <c r="H3007" i="16"/>
  <c r="G3008" i="16"/>
  <c r="H3008" i="16"/>
  <c r="G3009" i="16"/>
  <c r="H3009" i="16"/>
  <c r="G3010" i="16"/>
  <c r="H3010" i="16"/>
  <c r="G3011" i="16"/>
  <c r="H3011" i="16"/>
  <c r="G3012" i="16"/>
  <c r="H3012" i="16"/>
  <c r="G3013" i="16"/>
  <c r="H3013" i="16"/>
  <c r="G3014" i="16"/>
  <c r="H3014" i="16"/>
  <c r="G3015" i="16"/>
  <c r="H3015" i="16"/>
  <c r="G3016" i="16"/>
  <c r="H3016" i="16"/>
  <c r="G3017" i="16"/>
  <c r="H3017" i="16"/>
  <c r="G3018" i="16"/>
  <c r="H3018" i="16"/>
  <c r="G3019" i="16"/>
  <c r="H3019" i="16"/>
  <c r="G3020" i="16"/>
  <c r="H3020" i="16"/>
  <c r="G3021" i="16"/>
  <c r="H3021" i="16"/>
  <c r="G3022" i="16"/>
  <c r="H3022" i="16"/>
  <c r="G3023" i="16"/>
  <c r="H3023" i="16"/>
  <c r="G3024" i="16"/>
  <c r="H3024" i="16"/>
  <c r="G3025" i="16"/>
  <c r="H3025" i="16"/>
  <c r="G3026" i="16"/>
  <c r="H3026" i="16"/>
  <c r="G3027" i="16"/>
  <c r="H3027" i="16"/>
  <c r="G3028" i="16"/>
  <c r="H3028" i="16"/>
  <c r="G3029" i="16"/>
  <c r="H3029" i="16"/>
  <c r="G3030" i="16"/>
  <c r="H3030" i="16"/>
  <c r="G3031" i="16"/>
  <c r="H3031" i="16"/>
  <c r="G3032" i="16"/>
  <c r="H3032" i="16"/>
  <c r="G3033" i="16"/>
  <c r="H3033" i="16"/>
  <c r="G3034" i="16"/>
  <c r="H3034" i="16"/>
  <c r="G3035" i="16"/>
  <c r="H3035" i="16"/>
  <c r="G3036" i="16"/>
  <c r="H3036" i="16"/>
  <c r="G3037" i="16"/>
  <c r="H3037" i="16"/>
  <c r="G3038" i="16"/>
  <c r="H3038" i="16"/>
  <c r="G3039" i="16"/>
  <c r="H3039" i="16"/>
  <c r="G3040" i="16"/>
  <c r="H3040" i="16"/>
  <c r="G3041" i="16"/>
  <c r="H3041" i="16"/>
  <c r="G3042" i="16"/>
  <c r="H3042" i="16"/>
  <c r="G3043" i="16"/>
  <c r="H3043" i="16"/>
  <c r="G3044" i="16"/>
  <c r="H3044" i="16"/>
  <c r="G3045" i="16"/>
  <c r="H3045" i="16"/>
  <c r="G3046" i="16"/>
  <c r="H3046" i="16"/>
  <c r="G3047" i="16"/>
  <c r="H3047" i="16"/>
  <c r="G3048" i="16"/>
  <c r="H3048" i="16"/>
  <c r="G3049" i="16"/>
  <c r="H3049" i="16"/>
  <c r="G3050" i="16"/>
  <c r="H3050" i="16"/>
  <c r="G3051" i="16"/>
  <c r="H3051" i="16"/>
  <c r="G3052" i="16"/>
  <c r="H3052" i="16"/>
  <c r="G3053" i="16"/>
  <c r="H3053" i="16"/>
  <c r="G3054" i="16"/>
  <c r="H3054" i="16"/>
  <c r="G3055" i="16"/>
  <c r="H3055" i="16"/>
  <c r="G3056" i="16"/>
  <c r="H3056" i="16"/>
  <c r="G3057" i="16"/>
  <c r="H3057" i="16"/>
  <c r="G3058" i="16"/>
  <c r="H3058" i="16"/>
  <c r="G3059" i="16"/>
  <c r="H3059" i="16"/>
  <c r="G3060" i="16"/>
  <c r="H3060" i="16"/>
  <c r="G3061" i="16"/>
  <c r="H3061" i="16"/>
  <c r="G3062" i="16"/>
  <c r="H3062" i="16"/>
  <c r="G3063" i="16"/>
  <c r="H3063" i="16"/>
  <c r="G3064" i="16"/>
  <c r="H3064" i="16"/>
  <c r="G3065" i="16"/>
  <c r="H3065" i="16"/>
  <c r="G3066" i="16"/>
  <c r="H3066" i="16"/>
  <c r="G3067" i="16"/>
  <c r="H3067" i="16"/>
  <c r="G3068" i="16"/>
  <c r="H3068" i="16"/>
  <c r="G3069" i="16"/>
  <c r="H3069" i="16"/>
  <c r="G3070" i="16"/>
  <c r="H3070" i="16"/>
  <c r="G3071" i="16"/>
  <c r="H3071" i="16"/>
  <c r="G3072" i="16"/>
  <c r="H3072" i="16"/>
  <c r="G3073" i="16"/>
  <c r="H3073" i="16"/>
  <c r="G3074" i="16"/>
  <c r="H3074" i="16"/>
  <c r="G3075" i="16"/>
  <c r="H3075" i="16"/>
  <c r="G3076" i="16"/>
  <c r="H3076" i="16"/>
  <c r="G3077" i="16"/>
  <c r="H3077" i="16"/>
  <c r="G3078" i="16"/>
  <c r="H3078" i="16"/>
  <c r="G3079" i="16"/>
  <c r="H3079" i="16"/>
  <c r="G3080" i="16"/>
  <c r="H3080" i="16"/>
  <c r="G3081" i="16"/>
  <c r="H3081" i="16"/>
  <c r="G3082" i="16"/>
  <c r="H3082" i="16"/>
  <c r="G3083" i="16"/>
  <c r="H3083" i="16"/>
  <c r="G3084" i="16"/>
  <c r="H3084" i="16"/>
  <c r="G3085" i="16"/>
  <c r="H3085" i="16"/>
  <c r="G3086" i="16"/>
  <c r="H3086" i="16"/>
  <c r="G3087" i="16"/>
  <c r="H3087" i="16"/>
  <c r="G3088" i="16"/>
  <c r="H3088" i="16"/>
  <c r="G3089" i="16"/>
  <c r="H3089" i="16"/>
  <c r="G3090" i="16"/>
  <c r="H3090" i="16"/>
  <c r="G3091" i="16"/>
  <c r="H3091" i="16"/>
  <c r="G3092" i="16"/>
  <c r="H3092" i="16"/>
  <c r="G3093" i="16"/>
  <c r="H3093" i="16"/>
  <c r="G3094" i="16"/>
  <c r="H3094" i="16"/>
  <c r="G3095" i="16"/>
  <c r="H3095" i="16"/>
  <c r="G3096" i="16"/>
  <c r="H3096" i="16"/>
  <c r="G3097" i="16"/>
  <c r="H3097" i="16"/>
  <c r="G3098" i="16"/>
  <c r="H3098" i="16"/>
  <c r="G3099" i="16"/>
  <c r="H3099" i="16"/>
  <c r="G3100" i="16"/>
  <c r="H3100" i="16"/>
  <c r="G3101" i="16"/>
  <c r="H3101" i="16"/>
  <c r="G3102" i="16"/>
  <c r="H3102" i="16"/>
  <c r="G3103" i="16"/>
  <c r="H3103" i="16"/>
  <c r="G3104" i="16"/>
  <c r="H3104" i="16"/>
  <c r="G3105" i="16"/>
  <c r="H3105" i="16"/>
  <c r="G3106" i="16"/>
  <c r="H3106" i="16"/>
  <c r="G3107" i="16"/>
  <c r="H3107" i="16"/>
  <c r="G3108" i="16"/>
  <c r="H3108" i="16"/>
  <c r="G3109" i="16"/>
  <c r="H3109" i="16"/>
  <c r="G3110" i="16"/>
  <c r="H3110" i="16"/>
  <c r="G3111" i="16"/>
  <c r="H3111" i="16"/>
  <c r="G3112" i="16"/>
  <c r="H3112" i="16"/>
  <c r="G3113" i="16"/>
  <c r="H3113" i="16"/>
  <c r="G3114" i="16"/>
  <c r="H3114" i="16"/>
  <c r="G3115" i="16"/>
  <c r="H3115" i="16"/>
  <c r="G3116" i="16"/>
  <c r="H3116" i="16"/>
  <c r="G3117" i="16"/>
  <c r="H3117" i="16"/>
  <c r="G3118" i="16"/>
  <c r="H3118" i="16"/>
  <c r="G3119" i="16"/>
  <c r="H3119" i="16"/>
  <c r="G3120" i="16"/>
  <c r="H3120" i="16"/>
  <c r="G3121" i="16"/>
  <c r="H3121" i="16"/>
  <c r="G3122" i="16"/>
  <c r="H3122" i="16"/>
  <c r="G3123" i="16"/>
  <c r="H3123" i="16"/>
  <c r="G3124" i="16"/>
  <c r="H3124" i="16"/>
  <c r="G3125" i="16"/>
  <c r="H3125" i="16"/>
  <c r="G3126" i="16"/>
  <c r="H3126" i="16"/>
  <c r="G3127" i="16"/>
  <c r="H3127" i="16"/>
  <c r="G3128" i="16"/>
  <c r="H3128" i="16"/>
  <c r="G3129" i="16"/>
  <c r="H3129" i="16"/>
  <c r="G3130" i="16"/>
  <c r="H3130" i="16"/>
  <c r="G3131" i="16"/>
  <c r="H3131" i="16"/>
  <c r="G3132" i="16"/>
  <c r="H3132" i="16"/>
  <c r="G3133" i="16"/>
  <c r="H3133" i="16"/>
  <c r="G3134" i="16"/>
  <c r="H3134" i="16"/>
  <c r="G3135" i="16"/>
  <c r="H3135" i="16"/>
  <c r="G3136" i="16"/>
  <c r="H3136" i="16"/>
  <c r="G3137" i="16"/>
  <c r="H3137" i="16"/>
  <c r="G3138" i="16"/>
  <c r="H3138" i="16"/>
  <c r="G3139" i="16"/>
  <c r="H3139" i="16"/>
  <c r="G3140" i="16"/>
  <c r="H3140" i="16"/>
  <c r="G3141" i="16"/>
  <c r="H3141" i="16"/>
  <c r="G3142" i="16"/>
  <c r="H3142" i="16"/>
  <c r="G3143" i="16"/>
  <c r="H3143" i="16"/>
  <c r="G3144" i="16"/>
  <c r="H3144" i="16"/>
  <c r="G3145" i="16"/>
  <c r="H3145" i="16"/>
  <c r="G3146" i="16"/>
  <c r="H3146" i="16"/>
  <c r="G3147" i="16"/>
  <c r="H3147" i="16"/>
  <c r="G3148" i="16"/>
  <c r="H3148" i="16"/>
  <c r="G3149" i="16"/>
  <c r="H3149" i="16"/>
  <c r="G3150" i="16"/>
  <c r="H3150" i="16"/>
  <c r="G3151" i="16"/>
  <c r="H3151" i="16"/>
  <c r="G3152" i="16"/>
  <c r="H3152" i="16"/>
  <c r="G3153" i="16"/>
  <c r="H3153" i="16"/>
  <c r="G3154" i="16"/>
  <c r="H3154" i="16"/>
  <c r="G3155" i="16"/>
  <c r="H3155" i="16"/>
  <c r="G3156" i="16"/>
  <c r="H3156" i="16"/>
  <c r="G3157" i="16"/>
  <c r="H3157" i="16"/>
  <c r="G3158" i="16"/>
  <c r="H3158" i="16"/>
  <c r="G3159" i="16"/>
  <c r="H3159" i="16"/>
  <c r="G3160" i="16"/>
  <c r="H3160" i="16"/>
  <c r="G3161" i="16"/>
  <c r="H3161" i="16"/>
  <c r="G3162" i="16"/>
  <c r="H3162" i="16"/>
  <c r="G3163" i="16"/>
  <c r="H3163" i="16"/>
  <c r="G3164" i="16"/>
  <c r="H3164" i="16"/>
  <c r="G3165" i="16"/>
  <c r="H3165" i="16"/>
  <c r="G3166" i="16"/>
  <c r="H3166" i="16"/>
  <c r="G3167" i="16"/>
  <c r="H3167" i="16"/>
  <c r="G3168" i="16"/>
  <c r="H3168" i="16"/>
  <c r="G3169" i="16"/>
  <c r="H3169" i="16"/>
  <c r="G3170" i="16"/>
  <c r="H3170" i="16"/>
  <c r="G3171" i="16"/>
  <c r="H3171" i="16"/>
  <c r="G3172" i="16"/>
  <c r="H3172" i="16"/>
  <c r="G3173" i="16"/>
  <c r="H3173" i="16"/>
  <c r="G3174" i="16"/>
  <c r="H3174" i="16"/>
  <c r="G3175" i="16"/>
  <c r="H3175" i="16"/>
  <c r="G3176" i="16"/>
  <c r="H3176" i="16"/>
  <c r="G3177" i="16"/>
  <c r="H3177" i="16"/>
  <c r="G3178" i="16"/>
  <c r="H3178" i="16"/>
  <c r="G3179" i="16"/>
  <c r="H3179" i="16"/>
  <c r="G3180" i="16"/>
  <c r="H3180" i="16"/>
  <c r="G3181" i="16"/>
  <c r="H3181" i="16"/>
  <c r="G3182" i="16"/>
  <c r="H3182" i="16"/>
  <c r="G3183" i="16"/>
  <c r="H3183" i="16"/>
  <c r="G3184" i="16"/>
  <c r="H3184" i="16"/>
  <c r="G3185" i="16"/>
  <c r="H3185" i="16"/>
  <c r="G3186" i="16"/>
  <c r="H3186" i="16"/>
  <c r="G3187" i="16"/>
  <c r="H3187" i="16"/>
  <c r="G3188" i="16"/>
  <c r="H3188" i="16"/>
  <c r="G3189" i="16"/>
  <c r="H3189" i="16"/>
  <c r="G3190" i="16"/>
  <c r="H3190" i="16"/>
  <c r="G3191" i="16"/>
  <c r="H3191" i="16"/>
  <c r="G3192" i="16"/>
  <c r="H3192" i="16"/>
  <c r="G3193" i="16"/>
  <c r="H3193" i="16"/>
  <c r="G3194" i="16"/>
  <c r="H3194" i="16"/>
  <c r="G3195" i="16"/>
  <c r="H3195" i="16"/>
  <c r="G3196" i="16"/>
  <c r="H3196" i="16"/>
  <c r="G3197" i="16"/>
  <c r="H3197" i="16"/>
  <c r="G3198" i="16"/>
  <c r="H3198" i="16"/>
  <c r="G3199" i="16"/>
  <c r="H3199" i="16"/>
  <c r="G3200" i="16"/>
  <c r="H3200" i="16"/>
  <c r="G3201" i="16"/>
  <c r="H3201" i="16"/>
  <c r="G3202" i="16"/>
  <c r="H3202" i="16"/>
  <c r="G3203" i="16"/>
  <c r="H3203" i="16"/>
  <c r="G3204" i="16"/>
  <c r="H3204" i="16"/>
  <c r="G3205" i="16"/>
  <c r="H3205" i="16"/>
  <c r="G3206" i="16"/>
  <c r="H3206" i="16"/>
  <c r="G3207" i="16"/>
  <c r="H3207" i="16"/>
  <c r="G3208" i="16"/>
  <c r="H3208" i="16"/>
  <c r="G3209" i="16"/>
  <c r="H3209" i="16"/>
  <c r="G3210" i="16"/>
  <c r="H3210" i="16"/>
  <c r="G3211" i="16"/>
  <c r="H3211" i="16"/>
  <c r="G3212" i="16"/>
  <c r="H3212" i="16"/>
  <c r="G3213" i="16"/>
  <c r="H3213" i="16"/>
  <c r="G3214" i="16"/>
  <c r="H3214" i="16"/>
  <c r="G3215" i="16"/>
  <c r="H3215" i="16"/>
  <c r="G3216" i="16"/>
  <c r="H3216" i="16"/>
  <c r="G3217" i="16"/>
  <c r="H3217" i="16"/>
  <c r="G3218" i="16"/>
  <c r="H3218" i="16"/>
  <c r="G3219" i="16"/>
  <c r="H3219" i="16"/>
  <c r="G3220" i="16"/>
  <c r="H3220" i="16"/>
  <c r="G3221" i="16"/>
  <c r="H3221" i="16"/>
  <c r="G3222" i="16"/>
  <c r="H3222" i="16"/>
  <c r="G3223" i="16"/>
  <c r="H3223" i="16"/>
  <c r="G3224" i="16"/>
  <c r="H3224" i="16"/>
  <c r="G3225" i="16"/>
  <c r="H3225" i="16"/>
  <c r="G3226" i="16"/>
  <c r="H3226" i="16"/>
  <c r="G3227" i="16"/>
  <c r="H3227" i="16"/>
  <c r="G3228" i="16"/>
  <c r="H3228" i="16"/>
  <c r="G3229" i="16"/>
  <c r="H3229" i="16"/>
  <c r="G3230" i="16"/>
  <c r="H3230" i="16"/>
  <c r="G3231" i="16"/>
  <c r="H3231" i="16"/>
  <c r="G3232" i="16"/>
  <c r="H3232" i="16"/>
  <c r="G3233" i="16"/>
  <c r="H3233" i="16"/>
  <c r="G3234" i="16"/>
  <c r="H3234" i="16"/>
  <c r="G3235" i="16"/>
  <c r="H3235" i="16"/>
  <c r="G3236" i="16"/>
  <c r="H3236" i="16"/>
  <c r="G3237" i="16"/>
  <c r="H3237" i="16"/>
  <c r="G3238" i="16"/>
  <c r="H3238" i="16"/>
  <c r="G3239" i="16"/>
  <c r="H3239" i="16"/>
  <c r="G3240" i="16"/>
  <c r="H3240" i="16"/>
  <c r="G3241" i="16"/>
  <c r="H3241" i="16"/>
  <c r="G3242" i="16"/>
  <c r="H3242" i="16"/>
  <c r="G3243" i="16"/>
  <c r="H3243" i="16"/>
  <c r="G3244" i="16"/>
  <c r="H3244" i="16"/>
  <c r="G3245" i="16"/>
  <c r="H3245" i="16"/>
  <c r="G3246" i="16"/>
  <c r="H3246" i="16"/>
  <c r="G3247" i="16"/>
  <c r="H3247" i="16"/>
  <c r="G3248" i="16"/>
  <c r="H3248" i="16"/>
  <c r="G3249" i="16"/>
  <c r="H3249" i="16"/>
  <c r="G3250" i="16"/>
  <c r="H3250" i="16"/>
  <c r="G3251" i="16"/>
  <c r="H3251" i="16"/>
  <c r="G3252" i="16"/>
  <c r="H3252" i="16"/>
  <c r="G3253" i="16"/>
  <c r="H3253" i="16"/>
  <c r="G3254" i="16"/>
  <c r="H3254" i="16"/>
  <c r="G3255" i="16"/>
  <c r="H3255" i="16"/>
  <c r="G3256" i="16"/>
  <c r="H3256" i="16"/>
  <c r="G3257" i="16"/>
  <c r="H3257" i="16"/>
  <c r="G3258" i="16"/>
  <c r="H3258" i="16"/>
  <c r="G3259" i="16"/>
  <c r="H3259" i="16"/>
  <c r="G3260" i="16"/>
  <c r="H3260" i="16"/>
  <c r="G3261" i="16"/>
  <c r="H3261" i="16"/>
  <c r="G3262" i="16"/>
  <c r="H3262" i="16"/>
  <c r="G3263" i="16"/>
  <c r="H3263" i="16"/>
  <c r="G3264" i="16"/>
  <c r="H3264" i="16"/>
  <c r="G3265" i="16"/>
  <c r="H3265" i="16"/>
  <c r="G3266" i="16"/>
  <c r="H3266" i="16"/>
  <c r="G3267" i="16"/>
  <c r="H3267" i="16"/>
  <c r="G3268" i="16"/>
  <c r="H3268" i="16"/>
  <c r="G3269" i="16"/>
  <c r="H3269" i="16"/>
  <c r="G3270" i="16"/>
  <c r="H3270" i="16"/>
  <c r="G3271" i="16"/>
  <c r="H3271" i="16"/>
  <c r="G3272" i="16"/>
  <c r="H3272" i="16"/>
  <c r="G3273" i="16"/>
  <c r="H3273" i="16"/>
  <c r="G3274" i="16"/>
  <c r="H3274" i="16"/>
  <c r="G3275" i="16"/>
  <c r="H3275" i="16"/>
  <c r="G3276" i="16"/>
  <c r="H3276" i="16"/>
  <c r="G3277" i="16"/>
  <c r="H3277" i="16"/>
  <c r="G3278" i="16"/>
  <c r="H3278" i="16"/>
  <c r="G3279" i="16"/>
  <c r="H3279" i="16"/>
  <c r="G3280" i="16"/>
  <c r="H3280" i="16"/>
  <c r="G3281" i="16"/>
  <c r="H3281" i="16"/>
  <c r="G3282" i="16"/>
  <c r="H3282" i="16"/>
  <c r="G3283" i="16"/>
  <c r="H3283" i="16"/>
  <c r="G3284" i="16"/>
  <c r="H3284" i="16"/>
  <c r="G3285" i="16"/>
  <c r="H3285" i="16"/>
  <c r="G3286" i="16"/>
  <c r="H3286" i="16"/>
  <c r="G3287" i="16"/>
  <c r="H3287" i="16"/>
  <c r="G3288" i="16"/>
  <c r="H3288" i="16"/>
  <c r="G3289" i="16"/>
  <c r="H3289" i="16"/>
  <c r="G3290" i="16"/>
  <c r="H3290" i="16"/>
  <c r="G3291" i="16"/>
  <c r="H3291" i="16"/>
  <c r="G3292" i="16"/>
  <c r="H3292" i="16"/>
  <c r="G3293" i="16"/>
  <c r="H3293" i="16"/>
  <c r="G3294" i="16"/>
  <c r="H3294" i="16"/>
  <c r="G3295" i="16"/>
  <c r="H3295" i="16"/>
  <c r="G3296" i="16"/>
  <c r="H3296" i="16"/>
  <c r="G3297" i="16"/>
  <c r="H3297" i="16"/>
  <c r="G3298" i="16"/>
  <c r="H3298" i="16"/>
  <c r="G3299" i="16"/>
  <c r="H3299" i="16"/>
  <c r="G3300" i="16"/>
  <c r="H3300" i="16"/>
  <c r="G3301" i="16"/>
  <c r="H3301" i="16"/>
  <c r="G3302" i="16"/>
  <c r="H3302" i="16"/>
  <c r="G3303" i="16"/>
  <c r="H3303" i="16"/>
  <c r="G3304" i="16"/>
  <c r="H3304" i="16"/>
  <c r="G3305" i="16"/>
  <c r="H3305" i="16"/>
  <c r="G3306" i="16"/>
  <c r="H3306" i="16"/>
  <c r="G3307" i="16"/>
  <c r="H3307" i="16"/>
  <c r="G3308" i="16"/>
  <c r="H3308" i="16"/>
  <c r="G3309" i="16"/>
  <c r="H3309" i="16"/>
  <c r="G3310" i="16"/>
  <c r="H3310" i="16"/>
  <c r="G3311" i="16"/>
  <c r="H3311" i="16"/>
  <c r="G3312" i="16"/>
  <c r="H3312" i="16"/>
  <c r="G3313" i="16"/>
  <c r="H3313" i="16"/>
  <c r="G3314" i="16"/>
  <c r="H3314" i="16"/>
  <c r="G3315" i="16"/>
  <c r="H3315" i="16"/>
  <c r="G3316" i="16"/>
  <c r="H3316" i="16"/>
  <c r="G3317" i="16"/>
  <c r="H3317" i="16"/>
  <c r="G3318" i="16"/>
  <c r="H3318" i="16"/>
  <c r="G3319" i="16"/>
  <c r="H3319" i="16"/>
  <c r="G3320" i="16"/>
  <c r="H3320" i="16"/>
  <c r="G3321" i="16"/>
  <c r="H3321" i="16"/>
  <c r="G3322" i="16"/>
  <c r="H3322" i="16"/>
  <c r="G3323" i="16"/>
  <c r="H3323" i="16"/>
  <c r="G3324" i="16"/>
  <c r="H3324" i="16"/>
  <c r="G3325" i="16"/>
  <c r="H3325" i="16"/>
  <c r="G3326" i="16"/>
  <c r="H3326" i="16"/>
  <c r="G3327" i="16"/>
  <c r="H3327" i="16"/>
  <c r="G3328" i="16"/>
  <c r="H3328" i="16"/>
  <c r="G3329" i="16"/>
  <c r="H3329" i="16"/>
  <c r="G3330" i="16"/>
  <c r="H3330" i="16"/>
  <c r="G3331" i="16"/>
  <c r="H3331" i="16"/>
  <c r="G3332" i="16"/>
  <c r="H3332" i="16"/>
  <c r="G3333" i="16"/>
  <c r="H3333" i="16"/>
  <c r="G3334" i="16"/>
  <c r="H3334" i="16"/>
  <c r="G3335" i="16"/>
  <c r="H3335" i="16"/>
  <c r="G3336" i="16"/>
  <c r="H3336" i="16"/>
  <c r="G3337" i="16"/>
  <c r="H3337" i="16"/>
  <c r="G3338" i="16"/>
  <c r="H3338" i="16"/>
  <c r="G3339" i="16"/>
  <c r="H3339" i="16"/>
  <c r="G3340" i="16"/>
  <c r="H3340" i="16"/>
  <c r="G3341" i="16"/>
  <c r="H3341" i="16"/>
  <c r="G3342" i="16"/>
  <c r="H3342" i="16"/>
  <c r="G3343" i="16"/>
  <c r="H3343" i="16"/>
  <c r="G3344" i="16"/>
  <c r="H3344" i="16"/>
  <c r="G3345" i="16"/>
  <c r="H3345" i="16"/>
  <c r="G3346" i="16"/>
  <c r="H3346" i="16"/>
  <c r="G3347" i="16"/>
  <c r="H3347" i="16"/>
  <c r="G3348" i="16"/>
  <c r="H3348" i="16"/>
  <c r="G3349" i="16"/>
  <c r="H3349" i="16"/>
  <c r="G3350" i="16"/>
  <c r="H3350" i="16"/>
  <c r="G3351" i="16"/>
  <c r="H3351" i="16"/>
  <c r="G3352" i="16"/>
  <c r="H3352" i="16"/>
  <c r="G3353" i="16"/>
  <c r="H3353" i="16"/>
  <c r="G3354" i="16"/>
  <c r="H3354" i="16"/>
  <c r="G3355" i="16"/>
  <c r="H3355" i="16"/>
  <c r="G3356" i="16"/>
  <c r="H3356" i="16"/>
  <c r="G3357" i="16"/>
  <c r="H3357" i="16"/>
  <c r="G3358" i="16"/>
  <c r="H3358" i="16"/>
  <c r="G3359" i="16"/>
  <c r="H3359" i="16"/>
  <c r="G3360" i="16"/>
  <c r="H3360" i="16"/>
  <c r="G3361" i="16"/>
  <c r="H3361" i="16"/>
  <c r="G3362" i="16"/>
  <c r="H3362" i="16"/>
  <c r="G3363" i="16"/>
  <c r="H3363" i="16"/>
  <c r="G3364" i="16"/>
  <c r="H3364" i="16"/>
  <c r="G3365" i="16"/>
  <c r="H3365" i="16"/>
  <c r="G3366" i="16"/>
  <c r="H3366" i="16"/>
  <c r="G3367" i="16"/>
  <c r="H3367" i="16"/>
  <c r="G3368" i="16"/>
  <c r="H3368" i="16"/>
  <c r="G3369" i="16"/>
  <c r="H3369" i="16"/>
  <c r="G3370" i="16"/>
  <c r="H3370" i="16"/>
  <c r="G3371" i="16"/>
  <c r="H3371" i="16"/>
  <c r="G3372" i="16"/>
  <c r="H3372" i="16"/>
  <c r="G3373" i="16"/>
  <c r="H3373" i="16"/>
  <c r="G3374" i="16"/>
  <c r="H3374" i="16"/>
  <c r="G3375" i="16"/>
  <c r="H3375" i="16"/>
  <c r="G3376" i="16"/>
  <c r="H3376" i="16"/>
  <c r="G3377" i="16"/>
  <c r="H3377" i="16"/>
  <c r="G3378" i="16"/>
  <c r="H3378" i="16"/>
  <c r="G3379" i="16"/>
  <c r="H3379" i="16"/>
  <c r="G3380" i="16"/>
  <c r="H3380" i="16"/>
  <c r="G3381" i="16"/>
  <c r="H3381" i="16"/>
  <c r="G3382" i="16"/>
  <c r="H3382" i="16"/>
  <c r="G3383" i="16"/>
  <c r="H3383" i="16"/>
  <c r="G3384" i="16"/>
  <c r="H3384" i="16"/>
  <c r="G3385" i="16"/>
  <c r="H3385" i="16"/>
  <c r="G3386" i="16"/>
  <c r="H3386" i="16"/>
  <c r="G3387" i="16"/>
  <c r="H3387" i="16"/>
  <c r="G3388" i="16"/>
  <c r="H3388" i="16"/>
  <c r="G3389" i="16"/>
  <c r="H3389" i="16"/>
  <c r="G3390" i="16"/>
  <c r="H3390" i="16"/>
  <c r="G3391" i="16"/>
  <c r="H3391" i="16"/>
  <c r="G3392" i="16"/>
  <c r="H3392" i="16"/>
  <c r="G3393" i="16"/>
  <c r="H3393" i="16"/>
  <c r="G3394" i="16"/>
  <c r="H3394" i="16"/>
  <c r="G3395" i="16"/>
  <c r="H3395" i="16"/>
  <c r="G3396" i="16"/>
  <c r="H3396" i="16"/>
  <c r="G3397" i="16"/>
  <c r="H3397" i="16"/>
  <c r="G3398" i="16"/>
  <c r="H3398" i="16"/>
  <c r="G3399" i="16"/>
  <c r="H3399" i="16"/>
  <c r="G3400" i="16"/>
  <c r="H3400" i="16"/>
  <c r="G3401" i="16"/>
  <c r="H3401" i="16"/>
  <c r="G3402" i="16"/>
  <c r="H3402" i="16"/>
  <c r="G3403" i="16"/>
  <c r="H3403" i="16"/>
  <c r="G3404" i="16"/>
  <c r="H3404" i="16"/>
  <c r="G3405" i="16"/>
  <c r="H3405" i="16"/>
  <c r="G3406" i="16"/>
  <c r="H3406" i="16"/>
  <c r="G3407" i="16"/>
  <c r="H3407" i="16"/>
  <c r="G3408" i="16"/>
  <c r="H3408" i="16"/>
  <c r="G3409" i="16"/>
  <c r="H3409" i="16"/>
  <c r="G3410" i="16"/>
  <c r="H3410" i="16"/>
  <c r="G3411" i="16"/>
  <c r="H3411" i="16"/>
  <c r="G3412" i="16"/>
  <c r="H3412" i="16"/>
  <c r="G3413" i="16"/>
  <c r="H3413" i="16"/>
  <c r="G3414" i="16"/>
  <c r="H3414" i="16"/>
  <c r="G3415" i="16"/>
  <c r="H3415" i="16"/>
  <c r="G3416" i="16"/>
  <c r="H3416" i="16"/>
  <c r="G3417" i="16"/>
  <c r="H3417" i="16"/>
  <c r="G3418" i="16"/>
  <c r="H3418" i="16"/>
  <c r="G3419" i="16"/>
  <c r="H3419" i="16"/>
  <c r="G3420" i="16"/>
  <c r="H3420" i="16"/>
  <c r="G3421" i="16"/>
  <c r="H3421" i="16"/>
  <c r="G3422" i="16"/>
  <c r="H3422" i="16"/>
  <c r="G3423" i="16"/>
  <c r="H3423" i="16"/>
  <c r="G3424" i="16"/>
  <c r="H3424" i="16"/>
  <c r="G3425" i="16"/>
  <c r="H3425" i="16"/>
  <c r="G3426" i="16"/>
  <c r="H3426" i="16"/>
  <c r="G3427" i="16"/>
  <c r="H3427" i="16"/>
  <c r="G3428" i="16"/>
  <c r="H3428" i="16"/>
  <c r="G3429" i="16"/>
  <c r="H3429" i="16"/>
  <c r="G3430" i="16"/>
  <c r="H3430" i="16"/>
  <c r="G3431" i="16"/>
  <c r="H3431" i="16"/>
  <c r="G3432" i="16"/>
  <c r="H3432" i="16"/>
  <c r="G3433" i="16"/>
  <c r="H3433" i="16"/>
  <c r="G3434" i="16"/>
  <c r="H3434" i="16"/>
  <c r="G3435" i="16"/>
  <c r="H3435" i="16"/>
  <c r="G3436" i="16"/>
  <c r="H3436" i="16"/>
  <c r="G3437" i="16"/>
  <c r="H3437" i="16"/>
  <c r="G3438" i="16"/>
  <c r="H3438" i="16"/>
  <c r="G3439" i="16"/>
  <c r="H3439" i="16"/>
  <c r="G3440" i="16"/>
  <c r="H3440" i="16"/>
  <c r="G3441" i="16"/>
  <c r="H3441" i="16"/>
  <c r="G3442" i="16"/>
  <c r="H3442" i="16"/>
  <c r="G3443" i="16"/>
  <c r="H3443" i="16"/>
  <c r="G3444" i="16"/>
  <c r="H3444" i="16"/>
  <c r="G3445" i="16"/>
  <c r="H3445" i="16"/>
  <c r="G3446" i="16"/>
  <c r="H3446" i="16"/>
  <c r="G3447" i="16"/>
  <c r="H3447" i="16"/>
  <c r="G3448" i="16"/>
  <c r="H3448" i="16"/>
  <c r="G3449" i="16"/>
  <c r="H3449" i="16"/>
  <c r="G3450" i="16"/>
  <c r="H3450" i="16"/>
  <c r="G3451" i="16"/>
  <c r="H3451" i="16"/>
  <c r="G3452" i="16"/>
  <c r="H3452" i="16"/>
  <c r="G3453" i="16"/>
  <c r="H3453" i="16"/>
  <c r="G3454" i="16"/>
  <c r="H3454" i="16"/>
  <c r="G3455" i="16"/>
  <c r="H3455" i="16"/>
  <c r="G3456" i="16"/>
  <c r="H3456" i="16"/>
  <c r="G3457" i="16"/>
  <c r="H3457" i="16"/>
  <c r="G3458" i="16"/>
  <c r="H3458" i="16"/>
  <c r="G3459" i="16"/>
  <c r="H3459" i="16"/>
  <c r="G3460" i="16"/>
  <c r="H3460" i="16"/>
  <c r="G3461" i="16"/>
  <c r="H3461" i="16"/>
  <c r="G3462" i="16"/>
  <c r="H3462" i="16"/>
  <c r="G3463" i="16"/>
  <c r="H3463" i="16"/>
  <c r="G3464" i="16"/>
  <c r="H3464" i="16"/>
  <c r="G3465" i="16"/>
  <c r="H3465" i="16"/>
  <c r="G3466" i="16"/>
  <c r="H3466" i="16"/>
  <c r="G3467" i="16"/>
  <c r="H3467" i="16"/>
  <c r="G3468" i="16"/>
  <c r="H3468" i="16"/>
  <c r="G3469" i="16"/>
  <c r="H3469" i="16"/>
  <c r="G3470" i="16"/>
  <c r="H3470" i="16"/>
  <c r="G3471" i="16"/>
  <c r="H3471" i="16"/>
  <c r="G3472" i="16"/>
  <c r="H3472" i="16"/>
  <c r="G3473" i="16"/>
  <c r="H3473" i="16"/>
  <c r="G3474" i="16"/>
  <c r="H3474" i="16"/>
  <c r="G3475" i="16"/>
  <c r="H3475" i="16"/>
  <c r="G3476" i="16"/>
  <c r="H3476" i="16"/>
  <c r="G3477" i="16"/>
  <c r="H3477" i="16"/>
  <c r="G3478" i="16"/>
  <c r="H3478" i="16"/>
  <c r="G3479" i="16"/>
  <c r="H3479" i="16"/>
  <c r="G3480" i="16"/>
  <c r="H3480" i="16"/>
  <c r="G3481" i="16"/>
  <c r="H3481" i="16"/>
  <c r="G3482" i="16"/>
  <c r="H3482" i="16"/>
  <c r="G3483" i="16"/>
  <c r="H3483" i="16"/>
  <c r="G3484" i="16"/>
  <c r="H3484" i="16"/>
  <c r="G3485" i="16"/>
  <c r="H3485" i="16"/>
  <c r="G3486" i="16"/>
  <c r="H3486" i="16"/>
  <c r="G3487" i="16"/>
  <c r="H3487" i="16"/>
  <c r="G3488" i="16"/>
  <c r="H3488" i="16"/>
  <c r="G3489" i="16"/>
  <c r="H3489" i="16"/>
  <c r="G3490" i="16"/>
  <c r="H3490" i="16"/>
  <c r="G3491" i="16"/>
  <c r="H3491" i="16"/>
  <c r="G3492" i="16"/>
  <c r="H3492" i="16"/>
  <c r="G3493" i="16"/>
  <c r="H3493" i="16"/>
  <c r="G3494" i="16"/>
  <c r="H3494" i="16"/>
  <c r="G3495" i="16"/>
  <c r="H3495" i="16"/>
  <c r="G3496" i="16"/>
  <c r="H3496" i="16"/>
  <c r="G3497" i="16"/>
  <c r="H3497" i="16"/>
  <c r="G3498" i="16"/>
  <c r="H3498" i="16"/>
  <c r="G3499" i="16"/>
  <c r="H3499" i="16"/>
  <c r="G3500" i="16"/>
  <c r="H3500" i="16"/>
  <c r="G3501" i="16"/>
  <c r="H3501" i="16"/>
  <c r="G3502" i="16"/>
  <c r="H3502" i="16"/>
  <c r="G3503" i="16"/>
  <c r="H3503" i="16"/>
  <c r="G3504" i="16"/>
  <c r="H3504" i="16"/>
  <c r="G3505" i="16"/>
  <c r="H3505" i="16"/>
  <c r="G3506" i="16"/>
  <c r="H3506" i="16"/>
  <c r="G3507" i="16"/>
  <c r="H3507" i="16"/>
  <c r="G3508" i="16"/>
  <c r="H3508" i="16"/>
  <c r="G3509" i="16"/>
  <c r="H3509" i="16"/>
  <c r="G3510" i="16"/>
  <c r="H3510" i="16"/>
  <c r="G3511" i="16"/>
  <c r="H3511" i="16"/>
  <c r="G3512" i="16"/>
  <c r="H3512" i="16"/>
  <c r="G3513" i="16"/>
  <c r="H3513" i="16"/>
  <c r="G3514" i="16"/>
  <c r="H3514" i="16"/>
  <c r="G3515" i="16"/>
  <c r="H3515" i="16"/>
  <c r="G3516" i="16"/>
  <c r="H3516" i="16"/>
  <c r="G3517" i="16"/>
  <c r="H3517" i="16"/>
  <c r="G3518" i="16"/>
  <c r="H3518" i="16"/>
  <c r="G3519" i="16"/>
  <c r="H3519" i="16"/>
  <c r="G3520" i="16"/>
  <c r="H3520" i="16"/>
  <c r="G3521" i="16"/>
  <c r="H3521" i="16"/>
  <c r="G3522" i="16"/>
  <c r="H3522" i="16"/>
  <c r="G3523" i="16"/>
  <c r="H3523" i="16"/>
  <c r="G3524" i="16"/>
  <c r="H3524" i="16"/>
  <c r="G3525" i="16"/>
  <c r="H3525" i="16"/>
  <c r="G3526" i="16"/>
  <c r="H3526" i="16"/>
  <c r="G3527" i="16"/>
  <c r="H3527" i="16"/>
  <c r="G3528" i="16"/>
  <c r="H3528" i="16"/>
  <c r="G3529" i="16"/>
  <c r="H3529" i="16"/>
  <c r="G3530" i="16"/>
  <c r="H3530" i="16"/>
  <c r="G3531" i="16"/>
  <c r="H3531" i="16"/>
  <c r="G3532" i="16"/>
  <c r="H3532" i="16"/>
  <c r="G3533" i="16"/>
  <c r="H3533" i="16"/>
  <c r="G3534" i="16"/>
  <c r="H3534" i="16"/>
  <c r="G3535" i="16"/>
  <c r="H3535" i="16"/>
  <c r="G3536" i="16"/>
  <c r="H3536" i="16"/>
  <c r="G3537" i="16"/>
  <c r="H3537" i="16"/>
  <c r="G3538" i="16"/>
  <c r="H3538" i="16"/>
  <c r="G3539" i="16"/>
  <c r="H3539" i="16"/>
  <c r="G3540" i="16"/>
  <c r="H3540" i="16"/>
  <c r="G3541" i="16"/>
  <c r="H3541" i="16"/>
  <c r="G3542" i="16"/>
  <c r="H3542" i="16"/>
  <c r="G3543" i="16"/>
  <c r="H3543" i="16"/>
  <c r="G3544" i="16"/>
  <c r="H3544" i="16"/>
  <c r="G3545" i="16"/>
  <c r="H3545" i="16"/>
  <c r="G3546" i="16"/>
  <c r="H3546" i="16"/>
  <c r="G3547" i="16"/>
  <c r="H3547" i="16"/>
  <c r="G3548" i="16"/>
  <c r="H3548" i="16"/>
  <c r="G3549" i="16"/>
  <c r="H3549" i="16"/>
  <c r="G3550" i="16"/>
  <c r="H3550" i="16"/>
  <c r="G3551" i="16"/>
  <c r="H3551" i="16"/>
  <c r="G3552" i="16"/>
  <c r="H3552" i="16"/>
  <c r="G3553" i="16"/>
  <c r="H3553" i="16"/>
  <c r="G3554" i="16"/>
  <c r="H3554" i="16"/>
  <c r="G3555" i="16"/>
  <c r="H3555" i="16"/>
  <c r="G3556" i="16"/>
  <c r="H3556" i="16"/>
  <c r="G3557" i="16"/>
  <c r="H3557" i="16"/>
  <c r="G3558" i="16"/>
  <c r="H3558" i="16"/>
  <c r="G3559" i="16"/>
  <c r="H3559" i="16"/>
  <c r="G3560" i="16"/>
  <c r="H3560" i="16"/>
  <c r="G3561" i="16"/>
  <c r="H3561" i="16"/>
  <c r="G3562" i="16"/>
  <c r="H3562" i="16"/>
  <c r="G3563" i="16"/>
  <c r="H3563" i="16"/>
  <c r="G3564" i="16"/>
  <c r="H3564" i="16"/>
  <c r="G3565" i="16"/>
  <c r="H3565" i="16"/>
  <c r="G3566" i="16"/>
  <c r="H3566" i="16"/>
  <c r="G3567" i="16"/>
  <c r="H3567" i="16"/>
  <c r="G3568" i="16"/>
  <c r="H3568" i="16"/>
  <c r="G3569" i="16"/>
  <c r="H3569" i="16"/>
  <c r="G3570" i="16"/>
  <c r="H3570" i="16"/>
  <c r="G3571" i="16"/>
  <c r="H3571" i="16"/>
  <c r="G3572" i="16"/>
  <c r="H3572" i="16"/>
  <c r="G3573" i="16"/>
  <c r="H3573" i="16"/>
  <c r="G3574" i="16"/>
  <c r="H3574" i="16"/>
  <c r="G3575" i="16"/>
  <c r="H3575" i="16"/>
  <c r="G3576" i="16"/>
  <c r="H3576" i="16"/>
  <c r="G3577" i="16"/>
  <c r="H3577" i="16"/>
  <c r="G3578" i="16"/>
  <c r="H3578" i="16"/>
  <c r="G3579" i="16"/>
  <c r="H3579" i="16"/>
  <c r="G3580" i="16"/>
  <c r="H3580" i="16"/>
  <c r="G3581" i="16"/>
  <c r="H3581" i="16"/>
  <c r="G3582" i="16"/>
  <c r="H3582" i="16"/>
  <c r="G3583" i="16"/>
  <c r="H3583" i="16"/>
  <c r="G3584" i="16"/>
  <c r="H3584" i="16"/>
  <c r="G3585" i="16"/>
  <c r="H3585" i="16"/>
  <c r="G3586" i="16"/>
  <c r="H3586" i="16"/>
  <c r="G3587" i="16"/>
  <c r="H3587" i="16"/>
  <c r="G3588" i="16"/>
  <c r="H3588" i="16"/>
  <c r="G3589" i="16"/>
  <c r="H3589" i="16"/>
  <c r="G3590" i="16"/>
  <c r="H3590" i="16"/>
  <c r="G3591" i="16"/>
  <c r="H3591" i="16"/>
  <c r="G3592" i="16"/>
  <c r="H3592" i="16"/>
  <c r="G3593" i="16"/>
  <c r="H3593" i="16"/>
  <c r="G3594" i="16"/>
  <c r="H3594" i="16"/>
  <c r="G3595" i="16"/>
  <c r="H3595" i="16"/>
  <c r="G3596" i="16"/>
  <c r="H3596" i="16"/>
  <c r="G3597" i="16"/>
  <c r="H3597" i="16"/>
  <c r="G3598" i="16"/>
  <c r="H3598" i="16"/>
  <c r="G3599" i="16"/>
  <c r="H3599" i="16"/>
  <c r="G3600" i="16"/>
  <c r="H3600" i="16"/>
  <c r="G3601" i="16"/>
  <c r="H3601" i="16"/>
  <c r="G3602" i="16"/>
  <c r="H3602" i="16"/>
  <c r="G3603" i="16"/>
  <c r="H3603" i="16"/>
  <c r="G3604" i="16"/>
  <c r="H3604" i="16"/>
  <c r="G3605" i="16"/>
  <c r="H3605" i="16"/>
  <c r="G3606" i="16"/>
  <c r="H3606" i="16"/>
  <c r="G3607" i="16"/>
  <c r="H3607" i="16"/>
  <c r="G3608" i="16"/>
  <c r="H3608" i="16"/>
  <c r="G3609" i="16"/>
  <c r="H3609" i="16"/>
  <c r="G3610" i="16"/>
  <c r="H3610" i="16"/>
  <c r="G3611" i="16"/>
  <c r="H3611" i="16"/>
  <c r="G3612" i="16"/>
  <c r="H3612" i="16"/>
  <c r="G3613" i="16"/>
  <c r="H3613" i="16"/>
  <c r="G3614" i="16"/>
  <c r="H3614" i="16"/>
  <c r="G3615" i="16"/>
  <c r="H3615" i="16"/>
  <c r="G3616" i="16"/>
  <c r="H3616" i="16"/>
  <c r="G3617" i="16"/>
  <c r="H3617" i="16"/>
  <c r="G3618" i="16"/>
  <c r="H3618" i="16"/>
  <c r="G3619" i="16"/>
  <c r="H3619" i="16"/>
  <c r="G3620" i="16"/>
  <c r="H3620" i="16"/>
  <c r="G3621" i="16"/>
  <c r="H3621" i="16"/>
  <c r="G3622" i="16"/>
  <c r="H3622" i="16"/>
  <c r="G3623" i="16"/>
  <c r="H3623" i="16"/>
  <c r="G3624" i="16"/>
  <c r="H3624" i="16"/>
  <c r="G3625" i="16"/>
  <c r="H3625" i="16"/>
  <c r="G3626" i="16"/>
  <c r="H3626" i="16"/>
  <c r="G3627" i="16"/>
  <c r="H3627" i="16"/>
  <c r="G3628" i="16"/>
  <c r="H3628" i="16"/>
  <c r="G3629" i="16"/>
  <c r="H3629" i="16"/>
  <c r="G3630" i="16"/>
  <c r="H3630" i="16"/>
  <c r="G3631" i="16"/>
  <c r="H3631" i="16"/>
  <c r="G3632" i="16"/>
  <c r="H3632" i="16"/>
  <c r="G3633" i="16"/>
  <c r="H3633" i="16"/>
  <c r="G3634" i="16"/>
  <c r="H3634" i="16"/>
  <c r="G3635" i="16"/>
  <c r="H3635" i="16"/>
  <c r="G3636" i="16"/>
  <c r="H3636" i="16"/>
  <c r="G3637" i="16"/>
  <c r="H3637" i="16"/>
  <c r="G3638" i="16"/>
  <c r="H3638" i="16"/>
  <c r="G3639" i="16"/>
  <c r="H3639" i="16"/>
  <c r="G3640" i="16"/>
  <c r="H3640" i="16"/>
  <c r="G3641" i="16"/>
  <c r="H3641" i="16"/>
  <c r="G3642" i="16"/>
  <c r="H3642" i="16"/>
  <c r="G3643" i="16"/>
  <c r="H3643" i="16"/>
  <c r="G3644" i="16"/>
  <c r="H3644" i="16"/>
  <c r="G3645" i="16"/>
  <c r="H3645" i="16"/>
  <c r="G3646" i="16"/>
  <c r="H3646" i="16"/>
  <c r="G3647" i="16"/>
  <c r="H3647" i="16"/>
  <c r="G3648" i="16"/>
  <c r="H3648" i="16"/>
  <c r="G3649" i="16"/>
  <c r="H3649" i="16"/>
  <c r="G3650" i="16"/>
  <c r="H3650" i="16"/>
  <c r="G3651" i="16"/>
  <c r="H3651" i="16"/>
  <c r="G3652" i="16"/>
  <c r="H3652" i="16"/>
  <c r="G3653" i="16"/>
  <c r="H3653" i="16"/>
  <c r="G3654" i="16"/>
  <c r="H3654" i="16"/>
  <c r="G3655" i="16"/>
  <c r="H3655" i="16"/>
  <c r="G3656" i="16"/>
  <c r="H3656" i="16"/>
  <c r="G3657" i="16"/>
  <c r="H3657" i="16"/>
  <c r="G3658" i="16"/>
  <c r="H3658" i="16"/>
  <c r="G3659" i="16"/>
  <c r="H3659" i="16"/>
  <c r="G3660" i="16"/>
  <c r="H3660" i="16"/>
  <c r="G3661" i="16"/>
  <c r="H3661" i="16"/>
  <c r="G3662" i="16"/>
  <c r="H3662" i="16"/>
  <c r="G3663" i="16"/>
  <c r="H3663" i="16"/>
  <c r="G3664" i="16"/>
  <c r="H3664" i="16"/>
  <c r="G3665" i="16"/>
  <c r="H3665" i="16"/>
  <c r="G3666" i="16"/>
  <c r="H3666" i="16"/>
  <c r="G3667" i="16"/>
  <c r="H3667" i="16"/>
  <c r="G3668" i="16"/>
  <c r="H3668" i="16"/>
  <c r="G3669" i="16"/>
  <c r="H3669" i="16"/>
  <c r="G3670" i="16"/>
  <c r="H3670" i="16"/>
  <c r="G3671" i="16"/>
  <c r="H3671" i="16"/>
  <c r="G3672" i="16"/>
  <c r="H3672" i="16"/>
  <c r="G3673" i="16"/>
  <c r="H3673" i="16"/>
  <c r="G3674" i="16"/>
  <c r="H3674" i="16"/>
  <c r="G3675" i="16"/>
  <c r="H3675" i="16"/>
  <c r="G3676" i="16"/>
  <c r="H3676" i="16"/>
  <c r="G3677" i="16"/>
  <c r="H3677" i="16"/>
  <c r="G3678" i="16"/>
  <c r="H3678" i="16"/>
  <c r="G3679" i="16"/>
  <c r="H3679" i="16"/>
  <c r="G3680" i="16"/>
  <c r="H3680" i="16"/>
  <c r="G3681" i="16"/>
  <c r="H3681" i="16"/>
  <c r="G3682" i="16"/>
  <c r="H3682" i="16"/>
  <c r="G3683" i="16"/>
  <c r="H3683" i="16"/>
  <c r="G3684" i="16"/>
  <c r="H3684" i="16"/>
  <c r="G3685" i="16"/>
  <c r="H3685" i="16"/>
  <c r="G3686" i="16"/>
  <c r="H3686" i="16"/>
  <c r="G3687" i="16"/>
  <c r="H3687" i="16"/>
  <c r="G3688" i="16"/>
  <c r="H3688" i="16"/>
  <c r="G3689" i="16"/>
  <c r="H3689" i="16"/>
  <c r="G3690" i="16"/>
  <c r="H3690" i="16"/>
  <c r="G3691" i="16"/>
  <c r="H3691" i="16"/>
  <c r="G3692" i="16"/>
  <c r="H3692" i="16"/>
  <c r="G3693" i="16"/>
  <c r="H3693" i="16"/>
  <c r="G3694" i="16"/>
  <c r="H3694" i="16"/>
  <c r="G3695" i="16"/>
  <c r="H3695" i="16"/>
  <c r="G3696" i="16"/>
  <c r="H3696" i="16"/>
  <c r="G3697" i="16"/>
  <c r="H3697" i="16"/>
  <c r="G3698" i="16"/>
  <c r="H3698" i="16"/>
  <c r="G3699" i="16"/>
  <c r="H3699" i="16"/>
  <c r="G3700" i="16"/>
  <c r="H3700" i="16"/>
  <c r="G3701" i="16"/>
  <c r="H3701" i="16"/>
  <c r="G3702" i="16"/>
  <c r="H3702" i="16"/>
  <c r="G3703" i="16"/>
  <c r="H3703" i="16"/>
  <c r="G3704" i="16"/>
  <c r="H3704" i="16"/>
  <c r="G3705" i="16"/>
  <c r="H3705" i="16"/>
  <c r="G3706" i="16"/>
  <c r="H3706" i="16"/>
  <c r="G3707" i="16"/>
  <c r="H3707" i="16"/>
  <c r="G3708" i="16"/>
  <c r="H3708" i="16"/>
  <c r="G3709" i="16"/>
  <c r="H3709" i="16"/>
  <c r="G3710" i="16"/>
  <c r="H3710" i="16"/>
  <c r="G3711" i="16"/>
  <c r="H3711" i="16"/>
  <c r="G3712" i="16"/>
  <c r="H3712" i="16"/>
  <c r="G3713" i="16"/>
  <c r="H3713" i="16"/>
  <c r="G3714" i="16"/>
  <c r="H3714" i="16"/>
  <c r="G3715" i="16"/>
  <c r="H3715" i="16"/>
  <c r="G3716" i="16"/>
  <c r="H3716" i="16"/>
  <c r="G3717" i="16"/>
  <c r="H3717" i="16"/>
  <c r="G3718" i="16"/>
  <c r="H3718" i="16"/>
  <c r="G3719" i="16"/>
  <c r="H3719" i="16"/>
  <c r="G3720" i="16"/>
  <c r="H3720" i="16"/>
  <c r="G3721" i="16"/>
  <c r="H3721" i="16"/>
  <c r="G3722" i="16"/>
  <c r="H3722" i="16"/>
  <c r="G3723" i="16"/>
  <c r="H3723" i="16"/>
  <c r="G3724" i="16"/>
  <c r="H3724" i="16"/>
  <c r="G3725" i="16"/>
  <c r="H3725" i="16"/>
  <c r="G3726" i="16"/>
  <c r="H3726" i="16"/>
  <c r="G3727" i="16"/>
  <c r="H3727" i="16"/>
  <c r="G3728" i="16"/>
  <c r="H3728" i="16"/>
  <c r="G3729" i="16"/>
  <c r="H3729" i="16"/>
  <c r="G3730" i="16"/>
  <c r="H3730" i="16"/>
  <c r="G3731" i="16"/>
  <c r="H3731" i="16"/>
  <c r="G3732" i="16"/>
  <c r="H3732" i="16"/>
  <c r="G3733" i="16"/>
  <c r="H3733" i="16"/>
  <c r="G3734" i="16"/>
  <c r="H3734" i="16"/>
  <c r="G3735" i="16"/>
  <c r="H3735" i="16"/>
  <c r="G3736" i="16"/>
  <c r="H3736" i="16"/>
  <c r="G3737" i="16"/>
  <c r="H3737" i="16"/>
  <c r="G3738" i="16"/>
  <c r="H3738" i="16"/>
  <c r="G3739" i="16"/>
  <c r="H3739" i="16"/>
  <c r="G3740" i="16"/>
  <c r="H3740" i="16"/>
  <c r="G3741" i="16"/>
  <c r="H3741" i="16"/>
  <c r="G3742" i="16"/>
  <c r="H3742" i="16"/>
  <c r="G3743" i="16"/>
  <c r="H3743" i="16"/>
  <c r="G3744" i="16"/>
  <c r="H3744" i="16"/>
  <c r="G3745" i="16"/>
  <c r="H3745" i="16"/>
  <c r="G3746" i="16"/>
  <c r="H3746" i="16"/>
  <c r="G3747" i="16"/>
  <c r="H3747" i="16"/>
  <c r="G3748" i="16"/>
  <c r="H3748" i="16"/>
  <c r="G3749" i="16"/>
  <c r="H3749" i="16"/>
  <c r="G3750" i="16"/>
  <c r="H3750" i="16"/>
  <c r="G3751" i="16"/>
  <c r="H3751" i="16"/>
  <c r="G3752" i="16"/>
  <c r="H3752" i="16"/>
  <c r="G3753" i="16"/>
  <c r="H3753" i="16"/>
  <c r="G3754" i="16"/>
  <c r="H3754" i="16"/>
  <c r="G3755" i="16"/>
  <c r="H3755" i="16"/>
  <c r="G3756" i="16"/>
  <c r="H3756" i="16"/>
  <c r="G3757" i="16"/>
  <c r="H3757" i="16"/>
  <c r="G3758" i="16"/>
  <c r="H3758" i="16"/>
  <c r="G3759" i="16"/>
  <c r="H3759" i="16"/>
  <c r="G3760" i="16"/>
  <c r="H3760" i="16"/>
  <c r="G3761" i="16"/>
  <c r="H3761" i="16"/>
  <c r="G3762" i="16"/>
  <c r="H3762" i="16"/>
  <c r="G3763" i="16"/>
  <c r="H3763" i="16"/>
  <c r="G3764" i="16"/>
  <c r="H3764" i="16"/>
  <c r="G3765" i="16"/>
  <c r="H3765" i="16"/>
  <c r="G3766" i="16"/>
  <c r="H3766" i="16"/>
  <c r="G3767" i="16"/>
  <c r="H3767" i="16"/>
  <c r="G3768" i="16"/>
  <c r="H3768" i="16"/>
  <c r="G3769" i="16"/>
  <c r="H3769" i="16"/>
  <c r="G3770" i="16"/>
  <c r="H3770" i="16"/>
  <c r="G3771" i="16"/>
  <c r="H3771" i="16"/>
  <c r="G3772" i="16"/>
  <c r="H3772" i="16"/>
  <c r="G3773" i="16"/>
  <c r="H3773" i="16"/>
  <c r="G3774" i="16"/>
  <c r="H3774" i="16"/>
  <c r="G3775" i="16"/>
  <c r="H3775" i="16"/>
  <c r="G3776" i="16"/>
  <c r="H3776" i="16"/>
  <c r="G3777" i="16"/>
  <c r="H3777" i="16"/>
  <c r="G3778" i="16"/>
  <c r="H3778" i="16"/>
  <c r="G3779" i="16"/>
  <c r="H3779" i="16"/>
  <c r="G3780" i="16"/>
  <c r="H3780" i="16"/>
  <c r="G3781" i="16"/>
  <c r="H3781" i="16"/>
  <c r="G3782" i="16"/>
  <c r="H3782" i="16"/>
  <c r="G3783" i="16"/>
  <c r="H3783" i="16"/>
  <c r="G3784" i="16"/>
  <c r="H3784" i="16"/>
  <c r="G3785" i="16"/>
  <c r="H3785" i="16"/>
  <c r="G3786" i="16"/>
  <c r="H3786" i="16"/>
  <c r="G3787" i="16"/>
  <c r="H3787" i="16"/>
  <c r="G3788" i="16"/>
  <c r="H3788" i="16"/>
  <c r="G3789" i="16"/>
  <c r="H3789" i="16"/>
  <c r="G3790" i="16"/>
  <c r="H3790" i="16"/>
  <c r="G3791" i="16"/>
  <c r="H3791" i="16"/>
  <c r="G3792" i="16"/>
  <c r="H3792" i="16"/>
  <c r="G3793" i="16"/>
  <c r="H3793" i="16"/>
  <c r="G3794" i="16"/>
  <c r="H3794" i="16"/>
  <c r="G3795" i="16"/>
  <c r="H3795" i="16"/>
  <c r="G3796" i="16"/>
  <c r="H3796" i="16"/>
  <c r="G3797" i="16"/>
  <c r="H3797" i="16"/>
  <c r="G3798" i="16"/>
  <c r="H3798" i="16"/>
  <c r="G3799" i="16"/>
  <c r="H3799" i="16"/>
  <c r="G3800" i="16"/>
  <c r="H3800" i="16"/>
  <c r="G3801" i="16"/>
  <c r="H3801" i="16"/>
  <c r="G3802" i="16"/>
  <c r="H3802" i="16"/>
  <c r="G3803" i="16"/>
  <c r="H3803" i="16"/>
  <c r="G3804" i="16"/>
  <c r="H3804" i="16"/>
  <c r="G3805" i="16"/>
  <c r="H3805" i="16"/>
  <c r="G3806" i="16"/>
  <c r="H3806" i="16"/>
  <c r="G3807" i="16"/>
  <c r="H3807" i="16"/>
  <c r="G3808" i="16"/>
  <c r="H3808" i="16"/>
  <c r="G3809" i="16"/>
  <c r="H3809" i="16"/>
  <c r="G3810" i="16"/>
  <c r="H3810" i="16"/>
  <c r="G3811" i="16"/>
  <c r="H3811" i="16"/>
  <c r="G3812" i="16"/>
  <c r="H3812" i="16"/>
  <c r="G3813" i="16"/>
  <c r="H3813" i="16"/>
  <c r="G3814" i="16"/>
  <c r="H3814" i="16"/>
  <c r="G3815" i="16"/>
  <c r="H3815" i="16"/>
  <c r="G3816" i="16"/>
  <c r="H3816" i="16"/>
  <c r="G3817" i="16"/>
  <c r="H3817" i="16"/>
  <c r="G3818" i="16"/>
  <c r="H3818" i="16"/>
  <c r="G3819" i="16"/>
  <c r="H3819" i="16"/>
  <c r="G3820" i="16"/>
  <c r="H3820" i="16"/>
  <c r="G3821" i="16"/>
  <c r="H3821" i="16"/>
  <c r="G3822" i="16"/>
  <c r="H3822" i="16"/>
  <c r="G3823" i="16"/>
  <c r="H3823" i="16"/>
  <c r="G3824" i="16"/>
  <c r="H3824" i="16"/>
  <c r="G3825" i="16"/>
  <c r="H3825" i="16"/>
  <c r="G3826" i="16"/>
  <c r="H3826" i="16"/>
  <c r="G3827" i="16"/>
  <c r="H3827" i="16"/>
  <c r="G3828" i="16"/>
  <c r="H3828" i="16"/>
  <c r="G3829" i="16"/>
  <c r="H3829" i="16"/>
  <c r="G3830" i="16"/>
  <c r="H3830" i="16"/>
  <c r="G3831" i="16"/>
  <c r="H3831" i="16"/>
  <c r="G3832" i="16"/>
  <c r="H3832" i="16"/>
  <c r="G3833" i="16"/>
  <c r="H3833" i="16"/>
  <c r="G3834" i="16"/>
  <c r="H3834" i="16"/>
  <c r="G3835" i="16"/>
  <c r="H3835" i="16"/>
  <c r="G3836" i="16"/>
  <c r="H3836" i="16"/>
  <c r="G3837" i="16"/>
  <c r="H3837" i="16"/>
  <c r="G3838" i="16"/>
  <c r="H3838" i="16"/>
  <c r="G3839" i="16"/>
  <c r="H3839" i="16"/>
  <c r="G3840" i="16"/>
  <c r="H3840" i="16"/>
  <c r="G3841" i="16"/>
  <c r="H3841" i="16"/>
  <c r="G3842" i="16"/>
  <c r="H3842" i="16"/>
  <c r="G3843" i="16"/>
  <c r="H3843" i="16"/>
  <c r="G3844" i="16"/>
  <c r="H3844" i="16"/>
  <c r="G3845" i="16"/>
  <c r="H3845" i="16"/>
  <c r="G3846" i="16"/>
  <c r="H3846" i="16"/>
  <c r="G3847" i="16"/>
  <c r="H3847" i="16"/>
  <c r="G3848" i="16"/>
  <c r="H3848" i="16"/>
  <c r="G3849" i="16"/>
  <c r="H3849" i="16"/>
  <c r="G3850" i="16"/>
  <c r="H3850" i="16"/>
  <c r="G3851" i="16"/>
  <c r="H3851" i="16"/>
  <c r="G3852" i="16"/>
  <c r="H3852" i="16"/>
  <c r="G3853" i="16"/>
  <c r="H3853" i="16"/>
  <c r="G3854" i="16"/>
  <c r="H3854" i="16"/>
  <c r="G3855" i="16"/>
  <c r="H3855" i="16"/>
  <c r="G3856" i="16"/>
  <c r="H3856" i="16"/>
  <c r="G3857" i="16"/>
  <c r="H3857" i="16"/>
  <c r="G3858" i="16"/>
  <c r="H3858" i="16"/>
  <c r="G3859" i="16"/>
  <c r="H3859" i="16"/>
  <c r="G3860" i="16"/>
  <c r="H3860" i="16"/>
  <c r="G3861" i="16"/>
  <c r="H3861" i="16"/>
  <c r="G3862" i="16"/>
  <c r="H3862" i="16"/>
  <c r="G3863" i="16"/>
  <c r="H3863" i="16"/>
  <c r="G3864" i="16"/>
  <c r="H3864" i="16"/>
  <c r="G3865" i="16"/>
  <c r="H3865" i="16"/>
  <c r="G3866" i="16"/>
  <c r="H3866" i="16"/>
  <c r="G3867" i="16"/>
  <c r="H3867" i="16"/>
  <c r="G3868" i="16"/>
  <c r="H3868" i="16"/>
  <c r="G3869" i="16"/>
  <c r="H3869" i="16"/>
  <c r="G3870" i="16"/>
  <c r="H3870" i="16"/>
  <c r="G3871" i="16"/>
  <c r="H3871" i="16"/>
  <c r="G3872" i="16"/>
  <c r="H3872" i="16"/>
  <c r="G3873" i="16"/>
  <c r="H3873" i="16"/>
  <c r="G3874" i="16"/>
  <c r="H3874" i="16"/>
  <c r="G3875" i="16"/>
  <c r="H3875" i="16"/>
  <c r="G3876" i="16"/>
  <c r="H3876" i="16"/>
  <c r="G3877" i="16"/>
  <c r="H3877" i="16"/>
  <c r="G3878" i="16"/>
  <c r="H3878" i="16"/>
  <c r="G3879" i="16"/>
  <c r="H3879" i="16"/>
  <c r="G3880" i="16"/>
  <c r="H3880" i="16"/>
  <c r="G3881" i="16"/>
  <c r="H3881" i="16"/>
  <c r="G3882" i="16"/>
  <c r="H3882" i="16"/>
  <c r="G3883" i="16"/>
  <c r="H3883" i="16"/>
  <c r="G3884" i="16"/>
  <c r="H3884" i="16"/>
  <c r="G3885" i="16"/>
  <c r="H3885" i="16"/>
  <c r="G3886" i="16"/>
  <c r="H3886" i="16"/>
  <c r="G3887" i="16"/>
  <c r="H3887" i="16"/>
  <c r="G3888" i="16"/>
  <c r="H3888" i="16"/>
  <c r="G3889" i="16"/>
  <c r="H3889" i="16"/>
  <c r="G3890" i="16"/>
  <c r="H3890" i="16"/>
  <c r="G3891" i="16"/>
  <c r="H3891" i="16"/>
  <c r="G3892" i="16"/>
  <c r="H3892" i="16"/>
  <c r="G3893" i="16"/>
  <c r="H3893" i="16"/>
  <c r="G3894" i="16"/>
  <c r="H3894" i="16"/>
  <c r="G3895" i="16"/>
  <c r="H3895" i="16"/>
  <c r="G3896" i="16"/>
  <c r="H3896" i="16"/>
  <c r="G3897" i="16"/>
  <c r="H3897" i="16"/>
  <c r="G3898" i="16"/>
  <c r="H3898" i="16"/>
  <c r="G3899" i="16"/>
  <c r="H3899" i="16"/>
  <c r="G3900" i="16"/>
  <c r="H3900" i="16"/>
  <c r="G3901" i="16"/>
  <c r="H3901" i="16"/>
  <c r="G3902" i="16"/>
  <c r="H3902" i="16"/>
  <c r="G3903" i="16"/>
  <c r="H3903" i="16"/>
  <c r="G3904" i="16"/>
  <c r="H3904" i="16"/>
  <c r="G3905" i="16"/>
  <c r="H3905" i="16"/>
  <c r="G3906" i="16"/>
  <c r="H3906" i="16"/>
  <c r="G3907" i="16"/>
  <c r="H3907" i="16"/>
  <c r="G3908" i="16"/>
  <c r="H3908" i="16"/>
  <c r="G3909" i="16"/>
  <c r="H3909" i="16"/>
  <c r="G3910" i="16"/>
  <c r="H3910" i="16"/>
  <c r="G3911" i="16"/>
  <c r="H3911" i="16"/>
  <c r="G3912" i="16"/>
  <c r="H3912" i="16"/>
  <c r="G3913" i="16"/>
  <c r="H3913" i="16"/>
  <c r="G3914" i="16"/>
  <c r="H3914" i="16"/>
  <c r="G3915" i="16"/>
  <c r="H3915" i="16"/>
  <c r="G3916" i="16"/>
  <c r="H3916" i="16"/>
  <c r="G3917" i="16"/>
  <c r="H3917" i="16"/>
  <c r="G3918" i="16"/>
  <c r="H3918" i="16"/>
  <c r="G3919" i="16"/>
  <c r="H3919" i="16"/>
  <c r="G3920" i="16"/>
  <c r="H3920" i="16"/>
  <c r="G3921" i="16"/>
  <c r="H3921" i="16"/>
  <c r="G3922" i="16"/>
  <c r="H3922" i="16"/>
  <c r="G3923" i="16"/>
  <c r="H3923" i="16"/>
  <c r="G3924" i="16"/>
  <c r="H3924" i="16"/>
  <c r="G3925" i="16"/>
  <c r="H3925" i="16"/>
  <c r="G3926" i="16"/>
  <c r="H3926" i="16"/>
  <c r="G3927" i="16"/>
  <c r="H3927" i="16"/>
  <c r="G3928" i="16"/>
  <c r="H3928" i="16"/>
  <c r="G3929" i="16"/>
  <c r="H3929" i="16"/>
  <c r="G3930" i="16"/>
  <c r="H3930" i="16"/>
  <c r="G3931" i="16"/>
  <c r="H3931" i="16"/>
  <c r="G3932" i="16"/>
  <c r="H3932" i="16"/>
  <c r="G3933" i="16"/>
  <c r="H3933" i="16"/>
  <c r="G3934" i="16"/>
  <c r="H3934" i="16"/>
  <c r="G3935" i="16"/>
  <c r="H3935" i="16"/>
  <c r="G3936" i="16"/>
  <c r="H3936" i="16"/>
  <c r="G3937" i="16"/>
  <c r="H3937" i="16"/>
  <c r="G3938" i="16"/>
  <c r="H3938" i="16"/>
  <c r="G3939" i="16"/>
  <c r="H3939" i="16"/>
  <c r="G3940" i="16"/>
  <c r="H3940" i="16"/>
  <c r="G3941" i="16"/>
  <c r="H3941" i="16"/>
  <c r="G3942" i="16"/>
  <c r="H3942" i="16"/>
  <c r="G3943" i="16"/>
  <c r="H3943" i="16"/>
  <c r="G3944" i="16"/>
  <c r="H3944" i="16"/>
  <c r="G3945" i="16"/>
  <c r="H3945" i="16"/>
  <c r="G3946" i="16"/>
  <c r="H3946" i="16"/>
  <c r="G3947" i="16"/>
  <c r="H3947" i="16"/>
  <c r="G3948" i="16"/>
  <c r="H3948" i="16"/>
  <c r="G3949" i="16"/>
  <c r="H3949" i="16"/>
  <c r="G3950" i="16"/>
  <c r="H3950" i="16"/>
  <c r="G3951" i="16"/>
  <c r="H3951" i="16"/>
  <c r="G3952" i="16"/>
  <c r="H3952" i="16"/>
  <c r="G3953" i="16"/>
  <c r="H3953" i="16"/>
  <c r="G3954" i="16"/>
  <c r="H3954" i="16"/>
  <c r="G3955" i="16"/>
  <c r="H3955" i="16"/>
  <c r="G3956" i="16"/>
  <c r="H3956" i="16"/>
  <c r="G3957" i="16"/>
  <c r="H3957" i="16"/>
  <c r="G3958" i="16"/>
  <c r="H3958" i="16"/>
  <c r="G3959" i="16"/>
  <c r="H3959" i="16"/>
  <c r="G3960" i="16"/>
  <c r="H3960" i="16"/>
  <c r="G3961" i="16"/>
  <c r="H3961" i="16"/>
  <c r="G3962" i="16"/>
  <c r="H3962" i="16"/>
  <c r="G3963" i="16"/>
  <c r="H3963" i="16"/>
  <c r="G3964" i="16"/>
  <c r="H3964" i="16"/>
  <c r="G3965" i="16"/>
  <c r="H3965" i="16"/>
  <c r="G3966" i="16"/>
  <c r="H3966" i="16"/>
  <c r="G3967" i="16"/>
  <c r="H3967" i="16"/>
  <c r="G3968" i="16"/>
  <c r="H3968" i="16"/>
  <c r="G3969" i="16"/>
  <c r="H3969" i="16"/>
  <c r="G3970" i="16"/>
  <c r="H3970" i="16"/>
  <c r="G3971" i="16"/>
  <c r="H3971" i="16"/>
  <c r="G3972" i="16"/>
  <c r="H3972" i="16"/>
  <c r="G3973" i="16"/>
  <c r="H3973" i="16"/>
  <c r="G3974" i="16"/>
  <c r="H3974" i="16"/>
  <c r="G3975" i="16"/>
  <c r="H3975" i="16"/>
  <c r="G3976" i="16"/>
  <c r="H3976" i="16"/>
  <c r="G3977" i="16"/>
  <c r="H3977" i="16"/>
  <c r="G3978" i="16"/>
  <c r="H3978" i="16"/>
  <c r="G3979" i="16"/>
  <c r="H3979" i="16"/>
  <c r="G3980" i="16"/>
  <c r="H3980" i="16"/>
  <c r="G3981" i="16"/>
  <c r="H3981" i="16"/>
  <c r="G3982" i="16"/>
  <c r="H3982" i="16"/>
  <c r="G3983" i="16"/>
  <c r="H3983" i="16"/>
  <c r="G3984" i="16"/>
  <c r="H3984" i="16"/>
  <c r="G3985" i="16"/>
  <c r="H3985" i="16"/>
  <c r="G3986" i="16"/>
  <c r="H3986" i="16"/>
  <c r="G3987" i="16"/>
  <c r="H3987" i="16"/>
  <c r="G3988" i="16"/>
  <c r="H3988" i="16"/>
  <c r="G3989" i="16"/>
  <c r="H3989" i="16"/>
  <c r="G3990" i="16"/>
  <c r="H3990" i="16"/>
  <c r="G3991" i="16"/>
  <c r="H3991" i="16"/>
  <c r="G3992" i="16"/>
  <c r="H3992" i="16"/>
  <c r="G3993" i="16"/>
  <c r="H3993" i="16"/>
  <c r="G3994" i="16"/>
  <c r="H3994" i="16"/>
  <c r="G3995" i="16"/>
  <c r="H3995" i="16"/>
  <c r="G3996" i="16"/>
  <c r="H3996" i="16"/>
  <c r="G3997" i="16"/>
  <c r="H3997" i="16"/>
  <c r="G3998" i="16"/>
  <c r="H3998" i="16"/>
  <c r="G3999" i="16"/>
  <c r="H3999" i="16"/>
  <c r="G4000" i="16"/>
  <c r="H4000" i="16"/>
  <c r="G4001" i="16"/>
  <c r="H4001" i="16"/>
  <c r="G4002" i="16"/>
  <c r="H4002" i="16"/>
  <c r="G4003" i="16"/>
  <c r="H4003" i="16"/>
  <c r="G4004" i="16"/>
  <c r="H4004" i="16"/>
  <c r="G4005" i="16"/>
  <c r="H4005" i="16"/>
  <c r="G4006" i="16"/>
  <c r="H4006" i="16"/>
  <c r="G4007" i="16"/>
  <c r="H4007" i="16"/>
  <c r="G4008" i="16"/>
  <c r="H4008" i="16"/>
  <c r="G4009" i="16"/>
  <c r="H4009" i="16"/>
  <c r="G4010" i="16"/>
  <c r="H4010" i="16"/>
  <c r="G4011" i="16"/>
  <c r="H4011" i="16"/>
  <c r="G4012" i="16"/>
  <c r="H4012" i="16"/>
  <c r="G4013" i="16"/>
  <c r="H4013" i="16"/>
  <c r="G4014" i="16"/>
  <c r="H4014" i="16"/>
  <c r="G4015" i="16"/>
  <c r="H4015" i="16"/>
  <c r="G4016" i="16"/>
  <c r="H4016" i="16"/>
  <c r="G4017" i="16"/>
  <c r="H4017" i="16"/>
  <c r="G4018" i="16"/>
  <c r="H4018" i="16"/>
  <c r="G4019" i="16"/>
  <c r="H4019" i="16"/>
  <c r="G4020" i="16"/>
  <c r="H4020" i="16"/>
  <c r="G4021" i="16"/>
  <c r="H4021" i="16"/>
  <c r="G4022" i="16"/>
  <c r="H4022" i="16"/>
  <c r="G4023" i="16"/>
  <c r="H4023" i="16"/>
  <c r="G4024" i="16"/>
  <c r="H4024" i="16"/>
  <c r="G4025" i="16"/>
  <c r="H4025" i="16"/>
  <c r="G4026" i="16"/>
  <c r="H4026" i="16"/>
  <c r="G4027" i="16"/>
  <c r="H4027" i="16"/>
  <c r="G4028" i="16"/>
  <c r="H4028" i="16"/>
  <c r="G4029" i="16"/>
  <c r="H4029" i="16"/>
  <c r="G4030" i="16"/>
  <c r="H4030" i="16"/>
  <c r="G4031" i="16"/>
  <c r="H4031" i="16"/>
  <c r="G4032" i="16"/>
  <c r="H4032" i="16"/>
  <c r="G4033" i="16"/>
  <c r="H4033" i="16"/>
  <c r="G4034" i="16"/>
  <c r="H4034" i="16"/>
  <c r="G4035" i="16"/>
  <c r="H4035" i="16"/>
  <c r="G4036" i="16"/>
  <c r="H4036" i="16"/>
  <c r="G4037" i="16"/>
  <c r="H4037" i="16"/>
  <c r="G4038" i="16"/>
  <c r="H4038" i="16"/>
  <c r="G4039" i="16"/>
  <c r="H4039" i="16"/>
  <c r="G4040" i="16"/>
  <c r="H4040" i="16"/>
  <c r="G4041" i="16"/>
  <c r="H4041" i="16"/>
  <c r="G4042" i="16"/>
  <c r="H4042" i="16"/>
  <c r="G4043" i="16"/>
  <c r="H4043" i="16"/>
  <c r="G4044" i="16"/>
  <c r="H4044" i="16"/>
  <c r="G4045" i="16"/>
  <c r="H4045" i="16"/>
  <c r="G4046" i="16"/>
  <c r="H4046" i="16"/>
  <c r="G4047" i="16"/>
  <c r="H4047" i="16"/>
  <c r="G4048" i="16"/>
  <c r="H4048" i="16"/>
  <c r="G4049" i="16"/>
  <c r="H4049" i="16"/>
  <c r="G4050" i="16"/>
  <c r="H4050" i="16"/>
  <c r="G4051" i="16"/>
  <c r="H4051" i="16"/>
  <c r="G4052" i="16"/>
  <c r="H4052" i="16"/>
  <c r="G4053" i="16"/>
  <c r="H4053" i="16"/>
  <c r="G4054" i="16"/>
  <c r="H4054" i="16"/>
  <c r="G4055" i="16"/>
  <c r="H4055" i="16"/>
  <c r="G4056" i="16"/>
  <c r="H4056" i="16"/>
  <c r="G4057" i="16"/>
  <c r="H4057" i="16"/>
  <c r="G4058" i="16"/>
  <c r="H4058" i="16"/>
  <c r="G4059" i="16"/>
  <c r="H4059" i="16"/>
  <c r="G4060" i="16"/>
  <c r="H4060" i="16"/>
  <c r="G4061" i="16"/>
  <c r="H4061" i="16"/>
  <c r="G4062" i="16"/>
  <c r="H4062" i="16"/>
  <c r="G4063" i="16"/>
  <c r="H4063" i="16"/>
  <c r="G4064" i="16"/>
  <c r="H4064" i="16"/>
  <c r="G4065" i="16"/>
  <c r="H4065" i="16"/>
  <c r="G4066" i="16"/>
  <c r="H4066" i="16"/>
  <c r="G4067" i="16"/>
  <c r="H4067" i="16"/>
  <c r="G4068" i="16"/>
  <c r="H4068" i="16"/>
  <c r="G4069" i="16"/>
  <c r="H4069" i="16"/>
  <c r="G4070" i="16"/>
  <c r="H4070" i="16"/>
  <c r="G4071" i="16"/>
  <c r="H4071" i="16"/>
  <c r="G4072" i="16"/>
  <c r="H4072" i="16"/>
  <c r="G4073" i="16"/>
  <c r="H4073" i="16"/>
  <c r="G4074" i="16"/>
  <c r="H4074" i="16"/>
  <c r="G4075" i="16"/>
  <c r="H4075" i="16"/>
  <c r="G4076" i="16"/>
  <c r="H4076" i="16"/>
  <c r="G4077" i="16"/>
  <c r="H4077" i="16"/>
  <c r="G4078" i="16"/>
  <c r="H4078" i="16"/>
  <c r="G4079" i="16"/>
  <c r="H4079" i="16"/>
  <c r="G4080" i="16"/>
  <c r="H4080" i="16"/>
  <c r="G4081" i="16"/>
  <c r="H4081" i="16"/>
  <c r="G4082" i="16"/>
  <c r="H4082" i="16"/>
  <c r="G4083" i="16"/>
  <c r="H4083" i="16"/>
  <c r="G4084" i="16"/>
  <c r="H4084" i="16"/>
  <c r="G4085" i="16"/>
  <c r="H4085" i="16"/>
  <c r="G4086" i="16"/>
  <c r="H4086" i="16"/>
  <c r="G4087" i="16"/>
  <c r="H4087" i="16"/>
  <c r="G4088" i="16"/>
  <c r="H4088" i="16"/>
  <c r="G4089" i="16"/>
  <c r="H4089" i="16"/>
  <c r="G4090" i="16"/>
  <c r="H4090" i="16"/>
  <c r="G4091" i="16"/>
  <c r="H4091" i="16"/>
  <c r="G4092" i="16"/>
  <c r="H4092" i="16"/>
  <c r="G4093" i="16"/>
  <c r="H4093" i="16"/>
  <c r="G4094" i="16"/>
  <c r="H4094" i="16"/>
  <c r="G4095" i="16"/>
  <c r="H4095" i="16"/>
  <c r="G4096" i="16"/>
  <c r="H4096" i="16"/>
  <c r="G4097" i="16"/>
  <c r="H4097" i="16"/>
  <c r="G4098" i="16"/>
  <c r="H4098" i="16"/>
  <c r="G4099" i="16"/>
  <c r="H4099" i="16"/>
  <c r="G4100" i="16"/>
  <c r="H4100" i="16"/>
  <c r="G4101" i="16"/>
  <c r="H4101" i="16"/>
  <c r="G4102" i="16"/>
  <c r="H4102" i="16"/>
  <c r="G4103" i="16"/>
  <c r="H4103" i="16"/>
  <c r="G4104" i="16"/>
  <c r="H4104" i="16"/>
  <c r="G4105" i="16"/>
  <c r="H4105" i="16"/>
  <c r="G4106" i="16"/>
  <c r="H4106" i="16"/>
  <c r="G4107" i="16"/>
  <c r="H4107" i="16"/>
  <c r="G4108" i="16"/>
  <c r="H4108" i="16"/>
  <c r="G4109" i="16"/>
  <c r="H4109" i="16"/>
  <c r="G4110" i="16"/>
  <c r="H4110" i="16"/>
  <c r="G4111" i="16"/>
  <c r="H4111" i="16"/>
  <c r="G4112" i="16"/>
  <c r="H4112" i="16"/>
  <c r="G4113" i="16"/>
  <c r="H4113" i="16"/>
  <c r="G4114" i="16"/>
  <c r="H4114" i="16"/>
  <c r="G4115" i="16"/>
  <c r="H4115" i="16"/>
  <c r="G4116" i="16"/>
  <c r="H4116" i="16"/>
  <c r="G4117" i="16"/>
  <c r="H4117" i="16"/>
  <c r="G4118" i="16"/>
  <c r="H4118" i="16"/>
  <c r="G4119" i="16"/>
  <c r="H4119" i="16"/>
  <c r="G4120" i="16"/>
  <c r="H4120" i="16"/>
  <c r="G4121" i="16"/>
  <c r="H4121" i="16"/>
  <c r="G4122" i="16"/>
  <c r="H4122" i="16"/>
  <c r="G4123" i="16"/>
  <c r="H4123" i="16"/>
  <c r="G4124" i="16"/>
  <c r="H4124" i="16"/>
  <c r="G4125" i="16"/>
  <c r="H4125" i="16"/>
  <c r="G4126" i="16"/>
  <c r="H4126" i="16"/>
  <c r="G4127" i="16"/>
  <c r="H4127" i="16"/>
  <c r="G4128" i="16"/>
  <c r="H4128" i="16"/>
  <c r="G4129" i="16"/>
  <c r="H4129" i="16"/>
  <c r="G4130" i="16"/>
  <c r="H4130" i="16"/>
  <c r="G4131" i="16"/>
  <c r="H4131" i="16"/>
  <c r="G4132" i="16"/>
  <c r="H4132" i="16"/>
  <c r="G4133" i="16"/>
  <c r="H4133" i="16"/>
  <c r="G4134" i="16"/>
  <c r="H4134" i="16"/>
  <c r="G4135" i="16"/>
  <c r="H4135" i="16"/>
  <c r="G4136" i="16"/>
  <c r="H4136" i="16"/>
  <c r="G4137" i="16"/>
  <c r="H4137" i="16"/>
  <c r="G4138" i="16"/>
  <c r="H4138" i="16"/>
  <c r="G4139" i="16"/>
  <c r="H4139" i="16"/>
  <c r="G4140" i="16"/>
  <c r="H4140" i="16"/>
  <c r="G4141" i="16"/>
  <c r="H4141" i="16"/>
  <c r="G4142" i="16"/>
  <c r="H4142" i="16"/>
  <c r="G4143" i="16"/>
  <c r="H4143" i="16"/>
  <c r="G4144" i="16"/>
  <c r="H4144" i="16"/>
  <c r="G4145" i="16"/>
  <c r="H4145" i="16"/>
  <c r="G4146" i="16"/>
  <c r="H4146" i="16"/>
  <c r="G4147" i="16"/>
  <c r="H4147" i="16"/>
  <c r="G4148" i="16"/>
  <c r="H4148" i="16"/>
  <c r="G4149" i="16"/>
  <c r="H4149" i="16"/>
  <c r="G4150" i="16"/>
  <c r="H4150" i="16"/>
  <c r="G4151" i="16"/>
  <c r="H4151" i="16"/>
  <c r="G4152" i="16"/>
  <c r="H4152" i="16"/>
  <c r="G4153" i="16"/>
  <c r="H4153" i="16"/>
  <c r="G4154" i="16"/>
  <c r="H4154" i="16"/>
  <c r="G4155" i="16"/>
  <c r="H4155" i="16"/>
  <c r="G4156" i="16"/>
  <c r="H4156" i="16"/>
  <c r="G4157" i="16"/>
  <c r="H4157" i="16"/>
  <c r="G4158" i="16"/>
  <c r="H4158" i="16"/>
  <c r="G4159" i="16"/>
  <c r="H4159" i="16"/>
  <c r="G4160" i="16"/>
  <c r="H4160" i="16"/>
  <c r="G4161" i="16"/>
  <c r="H4161" i="16"/>
  <c r="G4162" i="16"/>
  <c r="H4162" i="16"/>
  <c r="G4163" i="16"/>
  <c r="H4163" i="16"/>
  <c r="G4164" i="16"/>
  <c r="H4164" i="16"/>
  <c r="G4165" i="16"/>
  <c r="H4165" i="16"/>
  <c r="G4166" i="16"/>
  <c r="H4166" i="16"/>
  <c r="G4167" i="16"/>
  <c r="H4167" i="16"/>
  <c r="G4168" i="16"/>
  <c r="H4168" i="16"/>
  <c r="G4169" i="16"/>
  <c r="H4169" i="16"/>
  <c r="G4170" i="16"/>
  <c r="H4170" i="16"/>
  <c r="G4171" i="16"/>
  <c r="H4171" i="16"/>
  <c r="G4172" i="16"/>
  <c r="H4172" i="16"/>
  <c r="G4173" i="16"/>
  <c r="H4173" i="16"/>
  <c r="G4174" i="16"/>
  <c r="H4174" i="16"/>
  <c r="G4175" i="16"/>
  <c r="H4175" i="16"/>
  <c r="G4176" i="16"/>
  <c r="H4176" i="16"/>
  <c r="G4177" i="16"/>
  <c r="H4177" i="16"/>
  <c r="G4178" i="16"/>
  <c r="H4178" i="16"/>
  <c r="G4179" i="16"/>
  <c r="H4179" i="16"/>
  <c r="G4180" i="16"/>
  <c r="H4180" i="16"/>
  <c r="G4181" i="16"/>
  <c r="H4181" i="16"/>
  <c r="G4182" i="16"/>
  <c r="H4182" i="16"/>
  <c r="G4183" i="16"/>
  <c r="H4183" i="16"/>
  <c r="G4184" i="16"/>
  <c r="H4184" i="16"/>
  <c r="G4185" i="16"/>
  <c r="H4185" i="16"/>
  <c r="G4186" i="16"/>
  <c r="H4186" i="16"/>
  <c r="G4187" i="16"/>
  <c r="H4187" i="16"/>
  <c r="G4188" i="16"/>
  <c r="H4188" i="16"/>
  <c r="G4189" i="16"/>
  <c r="H4189" i="16"/>
  <c r="G4190" i="16"/>
  <c r="H4190" i="16"/>
  <c r="G4191" i="16"/>
  <c r="H4191" i="16"/>
  <c r="G4192" i="16"/>
  <c r="H4192" i="16"/>
  <c r="G4193" i="16"/>
  <c r="H4193" i="16"/>
  <c r="G4194" i="16"/>
  <c r="H4194" i="16"/>
  <c r="G4195" i="16"/>
  <c r="H4195" i="16"/>
  <c r="G4196" i="16"/>
  <c r="H4196" i="16"/>
  <c r="G4197" i="16"/>
  <c r="H4197" i="16"/>
  <c r="G4198" i="16"/>
  <c r="H4198" i="16"/>
  <c r="G4199" i="16"/>
  <c r="H4199" i="16"/>
  <c r="G4200" i="16"/>
  <c r="H4200" i="16"/>
  <c r="G4201" i="16"/>
  <c r="H4201" i="16"/>
  <c r="G4202" i="16"/>
  <c r="H4202" i="16"/>
  <c r="G4203" i="16"/>
  <c r="H4203" i="16"/>
  <c r="G4204" i="16"/>
  <c r="H4204" i="16"/>
  <c r="G4205" i="16"/>
  <c r="H4205" i="16"/>
  <c r="G4206" i="16"/>
  <c r="H4206" i="16"/>
  <c r="G4207" i="16"/>
  <c r="H4207" i="16"/>
  <c r="G4208" i="16"/>
  <c r="H4208" i="16"/>
  <c r="G4209" i="16"/>
  <c r="H4209" i="16"/>
  <c r="G4210" i="16"/>
  <c r="H4210" i="16"/>
  <c r="G4211" i="16"/>
  <c r="H4211" i="16"/>
  <c r="G4212" i="16"/>
  <c r="H4212" i="16"/>
  <c r="G4213" i="16"/>
  <c r="H4213" i="16"/>
  <c r="G4214" i="16"/>
  <c r="H4214" i="16"/>
  <c r="G4215" i="16"/>
  <c r="H4215" i="16"/>
  <c r="G4216" i="16"/>
  <c r="H4216" i="16"/>
  <c r="G4217" i="16"/>
  <c r="H4217" i="16"/>
  <c r="G4218" i="16"/>
  <c r="H4218" i="16"/>
  <c r="G4219" i="16"/>
  <c r="H4219" i="16"/>
  <c r="G4220" i="16"/>
  <c r="H4220" i="16"/>
  <c r="G4221" i="16"/>
  <c r="H4221" i="16"/>
  <c r="G4222" i="16"/>
  <c r="H4222" i="16"/>
  <c r="G4223" i="16"/>
  <c r="H4223" i="16"/>
  <c r="G4224" i="16"/>
  <c r="H4224" i="16"/>
  <c r="G4225" i="16"/>
  <c r="H4225" i="16"/>
  <c r="G4226" i="16"/>
  <c r="H4226" i="16"/>
  <c r="G4227" i="16"/>
  <c r="H4227" i="16"/>
  <c r="G4228" i="16"/>
  <c r="H4228" i="16"/>
  <c r="G4229" i="16"/>
  <c r="H4229" i="16"/>
  <c r="G4230" i="16"/>
  <c r="H4230" i="16"/>
  <c r="G4231" i="16"/>
  <c r="H4231" i="16"/>
  <c r="G4232" i="16"/>
  <c r="H4232" i="16"/>
  <c r="G4233" i="16"/>
  <c r="H4233" i="16"/>
  <c r="G4234" i="16"/>
  <c r="H4234" i="16"/>
  <c r="G4235" i="16"/>
  <c r="H4235" i="16"/>
  <c r="G4236" i="16"/>
  <c r="H4236" i="16"/>
  <c r="G4237" i="16"/>
  <c r="H4237" i="16"/>
  <c r="G4238" i="16"/>
  <c r="H4238" i="16"/>
  <c r="G4239" i="16"/>
  <c r="H4239" i="16"/>
  <c r="G4240" i="16"/>
  <c r="H4240" i="16"/>
  <c r="G4241" i="16"/>
  <c r="H4241" i="16"/>
  <c r="G4242" i="16"/>
  <c r="H4242" i="16"/>
  <c r="G4243" i="16"/>
  <c r="H4243" i="16"/>
  <c r="G4244" i="16"/>
  <c r="H4244" i="16"/>
  <c r="G4245" i="16"/>
  <c r="H4245" i="16"/>
  <c r="G4246" i="16"/>
  <c r="H4246" i="16"/>
  <c r="G4247" i="16"/>
  <c r="H4247" i="16"/>
  <c r="G4248" i="16"/>
  <c r="H4248" i="16"/>
  <c r="G4249" i="16"/>
  <c r="H4249" i="16"/>
  <c r="G4250" i="16"/>
  <c r="H4250" i="16"/>
  <c r="G4251" i="16"/>
  <c r="H4251" i="16"/>
  <c r="G4252" i="16"/>
  <c r="H4252" i="16"/>
  <c r="G4253" i="16"/>
  <c r="H4253" i="16"/>
  <c r="G4254" i="16"/>
  <c r="H4254" i="16"/>
  <c r="G4255" i="16"/>
  <c r="H4255" i="16"/>
  <c r="G4256" i="16"/>
  <c r="H4256" i="16"/>
  <c r="G4257" i="16"/>
  <c r="H4257" i="16"/>
  <c r="G4258" i="16"/>
  <c r="H4258" i="16"/>
  <c r="G4259" i="16"/>
  <c r="H4259" i="16"/>
  <c r="G4260" i="16"/>
  <c r="H4260" i="16"/>
  <c r="G4261" i="16"/>
  <c r="H4261" i="16"/>
  <c r="G4262" i="16"/>
  <c r="H4262" i="16"/>
  <c r="G4263" i="16"/>
  <c r="H4263" i="16"/>
  <c r="G4264" i="16"/>
  <c r="H4264" i="16"/>
  <c r="G4265" i="16"/>
  <c r="H4265" i="16"/>
  <c r="G4266" i="16"/>
  <c r="H4266" i="16"/>
  <c r="G4267" i="16"/>
  <c r="H4267" i="16"/>
  <c r="G4268" i="16"/>
  <c r="H4268" i="16"/>
  <c r="G4269" i="16"/>
  <c r="H4269" i="16"/>
  <c r="G4270" i="16"/>
  <c r="H4270" i="16"/>
  <c r="G4271" i="16"/>
  <c r="H4271" i="16"/>
  <c r="G4272" i="16"/>
  <c r="H4272" i="16"/>
  <c r="G4273" i="16"/>
  <c r="H4273" i="16"/>
  <c r="G4274" i="16"/>
  <c r="H4274" i="16"/>
  <c r="G4275" i="16"/>
  <c r="H4275" i="16"/>
  <c r="G4276" i="16"/>
  <c r="H4276" i="16"/>
  <c r="G4277" i="16"/>
  <c r="H4277" i="16"/>
  <c r="G4278" i="16"/>
  <c r="H4278" i="16"/>
  <c r="G4279" i="16"/>
  <c r="H4279" i="16"/>
  <c r="G4280" i="16"/>
  <c r="H4280" i="16"/>
  <c r="G4281" i="16"/>
  <c r="H4281" i="16"/>
  <c r="G4282" i="16"/>
  <c r="H4282" i="16"/>
  <c r="G4283" i="16"/>
  <c r="H4283" i="16"/>
  <c r="G4284" i="16"/>
  <c r="H4284" i="16"/>
  <c r="G4285" i="16"/>
  <c r="H4285" i="16"/>
  <c r="G4286" i="16"/>
  <c r="H4286" i="16"/>
  <c r="G4287" i="16"/>
  <c r="H4287" i="16"/>
  <c r="G4288" i="16"/>
  <c r="H4288" i="16"/>
  <c r="G4289" i="16"/>
  <c r="H4289" i="16"/>
  <c r="G4290" i="16"/>
  <c r="H4290" i="16"/>
  <c r="G4291" i="16"/>
  <c r="H4291" i="16"/>
  <c r="G4292" i="16"/>
  <c r="H4292" i="16"/>
  <c r="G4293" i="16"/>
  <c r="H4293" i="16"/>
  <c r="G4294" i="16"/>
  <c r="H4294" i="16"/>
  <c r="G4295" i="16"/>
  <c r="H4295" i="16"/>
  <c r="G4296" i="16"/>
  <c r="H4296" i="16"/>
  <c r="G4297" i="16"/>
  <c r="H4297" i="16"/>
  <c r="G4298" i="16"/>
  <c r="H4298" i="16"/>
  <c r="G4299" i="16"/>
  <c r="H4299" i="16"/>
  <c r="G4300" i="16"/>
  <c r="H4300" i="16"/>
  <c r="G4301" i="16"/>
  <c r="H4301" i="16"/>
  <c r="G4302" i="16"/>
  <c r="H4302" i="16"/>
  <c r="G4303" i="16"/>
  <c r="H4303" i="16"/>
  <c r="G4304" i="16"/>
  <c r="H4304" i="16"/>
  <c r="G4305" i="16"/>
  <c r="H4305" i="16"/>
  <c r="G4306" i="16"/>
  <c r="H4306" i="16"/>
  <c r="G4307" i="16"/>
  <c r="H4307" i="16"/>
  <c r="G4308" i="16"/>
  <c r="H4308" i="16"/>
  <c r="G4309" i="16"/>
  <c r="H4309" i="16"/>
  <c r="G4310" i="16"/>
  <c r="H4310" i="16"/>
  <c r="G4311" i="16"/>
  <c r="H4311" i="16"/>
  <c r="G4312" i="16"/>
  <c r="H4312" i="16"/>
  <c r="G4313" i="16"/>
  <c r="H4313" i="16"/>
  <c r="G4314" i="16"/>
  <c r="H4314" i="16"/>
  <c r="G4315" i="16"/>
  <c r="H4315" i="16"/>
  <c r="G4316" i="16"/>
  <c r="H4316" i="16"/>
  <c r="G4317" i="16"/>
  <c r="H4317" i="16"/>
  <c r="G4318" i="16"/>
  <c r="H4318" i="16"/>
  <c r="G4319" i="16"/>
  <c r="H4319" i="16"/>
  <c r="G4320" i="16"/>
  <c r="H4320" i="16"/>
  <c r="G4321" i="16"/>
  <c r="H4321" i="16"/>
  <c r="G4322" i="16"/>
  <c r="H4322" i="16"/>
  <c r="G4323" i="16"/>
  <c r="H4323" i="16"/>
  <c r="G4324" i="16"/>
  <c r="H4324" i="16"/>
  <c r="G4325" i="16"/>
  <c r="H4325" i="16"/>
  <c r="G4326" i="16"/>
  <c r="H4326" i="16"/>
  <c r="G4327" i="16"/>
  <c r="H4327" i="16"/>
  <c r="G4328" i="16"/>
  <c r="H4328" i="16"/>
  <c r="G4329" i="16"/>
  <c r="H4329" i="16"/>
  <c r="G4330" i="16"/>
  <c r="H4330" i="16"/>
  <c r="G4331" i="16"/>
  <c r="H4331" i="16"/>
  <c r="G4332" i="16"/>
  <c r="H4332" i="16"/>
  <c r="G4333" i="16"/>
  <c r="H4333" i="16"/>
  <c r="G4334" i="16"/>
  <c r="H4334" i="16"/>
  <c r="G4335" i="16"/>
  <c r="H4335" i="16"/>
  <c r="G4336" i="16"/>
  <c r="H4336" i="16"/>
  <c r="G4337" i="16"/>
  <c r="H4337" i="16"/>
  <c r="G4338" i="16"/>
  <c r="H4338" i="16"/>
  <c r="G4339" i="16"/>
  <c r="H4339" i="16"/>
  <c r="G4340" i="16"/>
  <c r="H4340" i="16"/>
  <c r="G4341" i="16"/>
  <c r="H4341" i="16"/>
  <c r="G4342" i="16"/>
  <c r="H4342" i="16"/>
  <c r="G4343" i="16"/>
  <c r="H4343" i="16"/>
  <c r="G4344" i="16"/>
  <c r="H4344" i="16"/>
  <c r="G4345" i="16"/>
  <c r="H4345" i="16"/>
  <c r="G4346" i="16"/>
  <c r="H4346" i="16"/>
  <c r="G4347" i="16"/>
  <c r="H4347" i="16"/>
  <c r="G4348" i="16"/>
  <c r="H4348" i="16"/>
  <c r="G4349" i="16"/>
  <c r="H4349" i="16"/>
  <c r="G4350" i="16"/>
  <c r="H4350" i="16"/>
  <c r="G4351" i="16"/>
  <c r="H4351" i="16"/>
  <c r="G4352" i="16"/>
  <c r="H4352" i="16"/>
  <c r="G4353" i="16"/>
  <c r="H4353" i="16"/>
  <c r="G4354" i="16"/>
  <c r="H4354" i="16"/>
  <c r="G4355" i="16"/>
  <c r="H4355" i="16"/>
  <c r="G4356" i="16"/>
  <c r="H4356" i="16"/>
  <c r="G4357" i="16"/>
  <c r="H4357" i="16"/>
  <c r="G4358" i="16"/>
  <c r="H4358" i="16"/>
  <c r="G4359" i="16"/>
  <c r="H4359" i="16"/>
  <c r="G4360" i="16"/>
  <c r="H4360" i="16"/>
  <c r="G4361" i="16"/>
  <c r="H4361" i="16"/>
  <c r="G4362" i="16"/>
  <c r="H4362" i="16"/>
  <c r="G4363" i="16"/>
  <c r="H4363" i="16"/>
  <c r="G4364" i="16"/>
  <c r="H4364" i="16"/>
  <c r="G4365" i="16"/>
  <c r="H4365" i="16"/>
  <c r="G4366" i="16"/>
  <c r="H4366" i="16"/>
  <c r="G4367" i="16"/>
  <c r="H4367" i="16"/>
  <c r="G4368" i="16"/>
  <c r="H4368" i="16"/>
  <c r="G4369" i="16"/>
  <c r="H4369" i="16"/>
  <c r="G4370" i="16"/>
  <c r="H4370" i="16"/>
  <c r="G4371" i="16"/>
  <c r="H4371" i="16"/>
  <c r="G4372" i="16"/>
  <c r="H4372" i="16"/>
  <c r="G4373" i="16"/>
  <c r="H4373" i="16"/>
  <c r="G4374" i="16"/>
  <c r="H4374" i="16"/>
  <c r="G4375" i="16"/>
  <c r="H4375" i="16"/>
  <c r="G4376" i="16"/>
  <c r="H4376" i="16"/>
  <c r="G4377" i="16"/>
  <c r="H4377" i="16"/>
  <c r="G4378" i="16"/>
  <c r="H4378" i="16"/>
  <c r="G4379" i="16"/>
  <c r="H4379" i="16"/>
  <c r="G4380" i="16"/>
  <c r="H4380" i="16"/>
  <c r="G4381" i="16"/>
  <c r="H4381" i="16"/>
  <c r="G4382" i="16"/>
  <c r="H4382" i="16"/>
  <c r="G4383" i="16"/>
  <c r="H4383" i="16"/>
  <c r="G4384" i="16"/>
  <c r="H4384" i="16"/>
  <c r="G4385" i="16"/>
  <c r="H4385" i="16"/>
  <c r="G4386" i="16"/>
  <c r="H4386" i="16"/>
  <c r="G4387" i="16"/>
  <c r="H4387" i="16"/>
  <c r="G4388" i="16"/>
  <c r="H4388" i="16"/>
  <c r="G4389" i="16"/>
  <c r="H4389" i="16"/>
  <c r="G4390" i="16"/>
  <c r="H4390" i="16"/>
  <c r="G4391" i="16"/>
  <c r="H4391" i="16"/>
  <c r="G4392" i="16"/>
  <c r="H4392" i="16"/>
  <c r="G4393" i="16"/>
  <c r="H4393" i="16"/>
  <c r="G4394" i="16"/>
  <c r="H4394" i="16"/>
  <c r="G4395" i="16"/>
  <c r="H4395" i="16"/>
  <c r="G4396" i="16"/>
  <c r="H4396" i="16"/>
  <c r="G4397" i="16"/>
  <c r="H4397" i="16"/>
  <c r="G4398" i="16"/>
  <c r="H4398" i="16"/>
  <c r="G4399" i="16"/>
  <c r="H4399" i="16"/>
  <c r="G4400" i="16"/>
  <c r="H4400" i="16"/>
  <c r="G4401" i="16"/>
  <c r="H4401" i="16"/>
  <c r="G4402" i="16"/>
  <c r="H4402" i="16"/>
  <c r="G4403" i="16"/>
  <c r="H4403" i="16"/>
  <c r="G4404" i="16"/>
  <c r="H4404" i="16"/>
  <c r="G4405" i="16"/>
  <c r="H4405" i="16"/>
  <c r="G4406" i="16"/>
  <c r="H4406" i="16"/>
  <c r="G4407" i="16"/>
  <c r="H4407" i="16"/>
  <c r="G4408" i="16"/>
  <c r="H4408" i="16"/>
  <c r="G4409" i="16"/>
  <c r="H4409" i="16"/>
  <c r="G4410" i="16"/>
  <c r="H4410" i="16"/>
  <c r="G4411" i="16"/>
  <c r="H4411" i="16"/>
  <c r="G4412" i="16"/>
  <c r="H4412" i="16"/>
  <c r="G4413" i="16"/>
  <c r="H4413" i="16"/>
  <c r="G4414" i="16"/>
  <c r="H4414" i="16"/>
  <c r="G4415" i="16"/>
  <c r="H4415" i="16"/>
  <c r="G4416" i="16"/>
  <c r="H4416" i="16"/>
  <c r="G4417" i="16"/>
  <c r="H4417" i="16"/>
  <c r="G4418" i="16"/>
  <c r="H4418" i="16"/>
  <c r="G4419" i="16"/>
  <c r="H4419" i="16"/>
  <c r="G4420" i="16"/>
  <c r="H4420" i="16"/>
  <c r="G4421" i="16"/>
  <c r="H4421" i="16"/>
  <c r="G4422" i="16"/>
  <c r="H4422" i="16"/>
  <c r="G4423" i="16"/>
  <c r="H4423" i="16"/>
  <c r="G4424" i="16"/>
  <c r="H4424" i="16"/>
  <c r="G4425" i="16"/>
  <c r="H4425" i="16"/>
  <c r="G4426" i="16"/>
  <c r="H4426" i="16"/>
  <c r="G4427" i="16"/>
  <c r="H4427" i="16"/>
  <c r="G4428" i="16"/>
  <c r="H4428" i="16"/>
  <c r="G4429" i="16"/>
  <c r="H4429" i="16"/>
  <c r="G4430" i="16"/>
  <c r="H4430" i="16"/>
  <c r="G4431" i="16"/>
  <c r="H4431" i="16"/>
  <c r="G4432" i="16"/>
  <c r="H4432" i="16"/>
  <c r="G4433" i="16"/>
  <c r="H4433" i="16"/>
  <c r="G4434" i="16"/>
  <c r="H4434" i="16"/>
  <c r="G4435" i="16"/>
  <c r="H4435" i="16"/>
  <c r="G4436" i="16"/>
  <c r="H4436" i="16"/>
  <c r="G4437" i="16"/>
  <c r="H4437" i="16"/>
  <c r="G4438" i="16"/>
  <c r="H4438" i="16"/>
  <c r="G4439" i="16"/>
  <c r="H4439" i="16"/>
  <c r="G4440" i="16"/>
  <c r="H4440" i="16"/>
  <c r="G4441" i="16"/>
  <c r="H4441" i="16"/>
  <c r="G4442" i="16"/>
  <c r="H4442" i="16"/>
  <c r="G4443" i="16"/>
  <c r="H4443" i="16"/>
  <c r="G4444" i="16"/>
  <c r="H4444" i="16"/>
  <c r="G4445" i="16"/>
  <c r="H4445" i="16"/>
  <c r="G4446" i="16"/>
  <c r="H4446" i="16"/>
  <c r="G4447" i="16"/>
  <c r="H4447" i="16"/>
  <c r="G4448" i="16"/>
  <c r="H4448" i="16"/>
  <c r="G4449" i="16"/>
  <c r="H4449" i="16"/>
  <c r="G4450" i="16"/>
  <c r="H4450" i="16"/>
  <c r="G4451" i="16"/>
  <c r="H4451" i="16"/>
  <c r="G4452" i="16"/>
  <c r="H4452" i="16"/>
  <c r="G4453" i="16"/>
  <c r="H4453" i="16"/>
  <c r="G4454" i="16"/>
  <c r="H4454" i="16"/>
  <c r="G4455" i="16"/>
  <c r="H4455" i="16"/>
  <c r="G4456" i="16"/>
  <c r="H4456" i="16"/>
  <c r="G4457" i="16"/>
  <c r="H4457" i="16"/>
  <c r="G4458" i="16"/>
  <c r="H4458" i="16"/>
  <c r="G4459" i="16"/>
  <c r="H4459" i="16"/>
  <c r="G4460" i="16"/>
  <c r="H4460" i="16"/>
  <c r="G4461" i="16"/>
  <c r="H4461" i="16"/>
  <c r="G4462" i="16"/>
  <c r="H4462" i="16"/>
  <c r="G4463" i="16"/>
  <c r="H4463" i="16"/>
  <c r="G4464" i="16"/>
  <c r="H4464" i="16"/>
  <c r="G4465" i="16"/>
  <c r="H4465" i="16"/>
  <c r="G4466" i="16"/>
  <c r="H4466" i="16"/>
  <c r="G4467" i="16"/>
  <c r="H4467" i="16"/>
  <c r="G4468" i="16"/>
  <c r="H4468" i="16"/>
  <c r="G4469" i="16"/>
  <c r="H4469" i="16"/>
  <c r="G4470" i="16"/>
  <c r="H4470" i="16"/>
  <c r="G4471" i="16"/>
  <c r="H4471" i="16"/>
  <c r="G4472" i="16"/>
  <c r="H4472" i="16"/>
  <c r="G4473" i="16"/>
  <c r="H4473" i="16"/>
  <c r="G4474" i="16"/>
  <c r="H4474" i="16"/>
  <c r="G4475" i="16"/>
  <c r="H4475" i="16"/>
  <c r="G4476" i="16"/>
  <c r="H4476" i="16"/>
  <c r="G4477" i="16"/>
  <c r="H4477" i="16"/>
  <c r="G4478" i="16"/>
  <c r="H4478" i="16"/>
  <c r="G4479" i="16"/>
  <c r="H4479" i="16"/>
  <c r="G4480" i="16"/>
  <c r="H4480" i="16"/>
  <c r="G4481" i="16"/>
  <c r="H4481" i="16"/>
  <c r="G4482" i="16"/>
  <c r="H4482" i="16"/>
  <c r="G4483" i="16"/>
  <c r="H4483" i="16"/>
  <c r="G4484" i="16"/>
  <c r="H4484" i="16"/>
  <c r="G4485" i="16"/>
  <c r="H4485" i="16"/>
  <c r="G4486" i="16"/>
  <c r="H4486" i="16"/>
  <c r="G4487" i="16"/>
  <c r="H4487" i="16"/>
  <c r="G4488" i="16"/>
  <c r="H4488" i="16"/>
  <c r="G4489" i="16"/>
  <c r="H4489" i="16"/>
  <c r="G4490" i="16"/>
  <c r="H4490" i="16"/>
  <c r="G4491" i="16"/>
  <c r="H4491" i="16"/>
  <c r="G4492" i="16"/>
  <c r="H4492" i="16"/>
  <c r="G4493" i="16"/>
  <c r="H4493" i="16"/>
  <c r="G4494" i="16"/>
  <c r="H4494" i="16"/>
  <c r="G4495" i="16"/>
  <c r="H4495" i="16"/>
  <c r="G4496" i="16"/>
  <c r="H4496" i="16"/>
  <c r="G4497" i="16"/>
  <c r="H4497" i="16"/>
  <c r="G4498" i="16"/>
  <c r="H4498" i="16"/>
  <c r="G4499" i="16"/>
  <c r="H4499" i="16"/>
  <c r="G4500" i="16"/>
  <c r="H4500" i="16"/>
  <c r="G4501" i="16"/>
  <c r="H4501" i="16"/>
  <c r="G4502" i="16"/>
  <c r="H4502" i="16"/>
  <c r="G4503" i="16"/>
  <c r="H4503" i="16"/>
  <c r="G4504" i="16"/>
  <c r="H4504" i="16"/>
  <c r="G4505" i="16"/>
  <c r="H4505" i="16"/>
  <c r="G4506" i="16"/>
  <c r="H4506" i="16"/>
  <c r="G4507" i="16"/>
  <c r="H4507" i="16"/>
  <c r="G4508" i="16"/>
  <c r="H4508" i="16"/>
  <c r="G4509" i="16"/>
  <c r="H4509" i="16"/>
  <c r="G4510" i="16"/>
  <c r="H4510" i="16"/>
  <c r="G4511" i="16"/>
  <c r="H4511" i="16"/>
  <c r="G4512" i="16"/>
  <c r="H4512" i="16"/>
  <c r="G4513" i="16"/>
  <c r="H4513" i="16"/>
  <c r="G4514" i="16"/>
  <c r="H4514" i="16"/>
  <c r="G4515" i="16"/>
  <c r="H4515" i="16"/>
  <c r="G4516" i="16"/>
  <c r="H4516" i="16"/>
  <c r="G4517" i="16"/>
  <c r="H4517" i="16"/>
  <c r="G4518" i="16"/>
  <c r="H4518" i="16"/>
  <c r="G4519" i="16"/>
  <c r="H4519" i="16"/>
  <c r="G4520" i="16"/>
  <c r="H4520" i="16"/>
  <c r="G4521" i="16"/>
  <c r="H4521" i="16"/>
  <c r="G4522" i="16"/>
  <c r="H4522" i="16"/>
  <c r="G4523" i="16"/>
  <c r="H4523" i="16"/>
  <c r="G4524" i="16"/>
  <c r="H4524" i="16"/>
  <c r="G4525" i="16"/>
  <c r="H4525" i="16"/>
  <c r="G4526" i="16"/>
  <c r="H4526" i="16"/>
  <c r="G4527" i="16"/>
  <c r="H4527" i="16"/>
  <c r="G4528" i="16"/>
  <c r="H4528" i="16"/>
  <c r="G4529" i="16"/>
  <c r="H4529" i="16"/>
  <c r="G4530" i="16"/>
  <c r="H4530" i="16"/>
  <c r="G4531" i="16"/>
  <c r="H4531" i="16"/>
  <c r="G4532" i="16"/>
  <c r="H4532" i="16"/>
  <c r="G4533" i="16"/>
  <c r="H4533" i="16"/>
  <c r="G4534" i="16"/>
  <c r="H4534" i="16"/>
  <c r="G4535" i="16"/>
  <c r="H4535" i="16"/>
  <c r="G4536" i="16"/>
  <c r="H4536" i="16"/>
  <c r="G4537" i="16"/>
  <c r="H4537" i="16"/>
  <c r="G4538" i="16"/>
  <c r="H4538" i="16"/>
  <c r="G4539" i="16"/>
  <c r="H4539" i="16"/>
  <c r="G4540" i="16"/>
  <c r="H4540" i="16"/>
  <c r="G4541" i="16"/>
  <c r="H4541" i="16"/>
  <c r="G4542" i="16"/>
  <c r="H4542" i="16"/>
  <c r="G4543" i="16"/>
  <c r="H4543" i="16"/>
  <c r="G4544" i="16"/>
  <c r="H4544" i="16"/>
  <c r="G4545" i="16"/>
  <c r="H4545" i="16"/>
  <c r="G4546" i="16"/>
  <c r="H4546" i="16"/>
  <c r="G4547" i="16"/>
  <c r="H4547" i="16"/>
  <c r="G4548" i="16"/>
  <c r="H4548" i="16"/>
  <c r="G4549" i="16"/>
  <c r="H4549" i="16"/>
  <c r="G4550" i="16"/>
  <c r="H4550" i="16"/>
  <c r="G4551" i="16"/>
  <c r="H4551" i="16"/>
  <c r="G4552" i="16"/>
  <c r="H4552" i="16"/>
  <c r="G4553" i="16"/>
  <c r="H4553" i="16"/>
  <c r="G4554" i="16"/>
  <c r="H4554" i="16"/>
  <c r="G4555" i="16"/>
  <c r="H4555" i="16"/>
  <c r="G4556" i="16"/>
  <c r="H4556" i="16"/>
  <c r="G4557" i="16"/>
  <c r="H4557" i="16"/>
  <c r="G4558" i="16"/>
  <c r="H4558" i="16"/>
  <c r="G4559" i="16"/>
  <c r="H4559" i="16"/>
  <c r="G4560" i="16"/>
  <c r="H4560" i="16"/>
  <c r="G4561" i="16"/>
  <c r="H4561" i="16"/>
  <c r="G4562" i="16"/>
  <c r="H4562" i="16"/>
  <c r="G4563" i="16"/>
  <c r="H4563" i="16"/>
  <c r="G4564" i="16"/>
  <c r="H4564" i="16"/>
  <c r="G4565" i="16"/>
  <c r="H4565" i="16"/>
  <c r="G4566" i="16"/>
  <c r="H4566" i="16"/>
  <c r="G4567" i="16"/>
  <c r="H4567" i="16"/>
  <c r="G4568" i="16"/>
  <c r="H4568" i="16"/>
  <c r="G4569" i="16"/>
  <c r="H4569" i="16"/>
  <c r="G4570" i="16"/>
  <c r="H4570" i="16"/>
  <c r="G4571" i="16"/>
  <c r="H4571" i="16"/>
  <c r="G4572" i="16"/>
  <c r="H4572" i="16"/>
  <c r="G4573" i="16"/>
  <c r="H4573" i="16"/>
  <c r="G4574" i="16"/>
  <c r="H4574" i="16"/>
  <c r="G4575" i="16"/>
  <c r="H4575" i="16"/>
  <c r="G4576" i="16"/>
  <c r="H4576" i="16"/>
  <c r="G4577" i="16"/>
  <c r="H4577" i="16"/>
  <c r="G4578" i="16"/>
  <c r="H4578" i="16"/>
  <c r="G4579" i="16"/>
  <c r="H4579" i="16"/>
  <c r="G4580" i="16"/>
  <c r="H4580" i="16"/>
  <c r="G4581" i="16"/>
  <c r="H4581" i="16"/>
  <c r="G4582" i="16"/>
  <c r="H4582" i="16"/>
  <c r="G4583" i="16"/>
  <c r="H4583" i="16"/>
  <c r="G4584" i="16"/>
  <c r="H4584" i="16"/>
  <c r="G4585" i="16"/>
  <c r="H4585" i="16"/>
  <c r="G4586" i="16"/>
  <c r="H4586" i="16"/>
  <c r="G4587" i="16"/>
  <c r="H4587" i="16"/>
  <c r="G4588" i="16"/>
  <c r="H4588" i="16"/>
  <c r="G4589" i="16"/>
  <c r="H4589" i="16"/>
  <c r="G4590" i="16"/>
  <c r="H4590" i="16"/>
  <c r="G4591" i="16"/>
  <c r="H4591" i="16"/>
  <c r="G4592" i="16"/>
  <c r="H4592" i="16"/>
  <c r="G4593" i="16"/>
  <c r="H4593" i="16"/>
  <c r="G4594" i="16"/>
  <c r="H4594" i="16"/>
  <c r="G4595" i="16"/>
  <c r="H4595" i="16"/>
  <c r="G4596" i="16"/>
  <c r="H4596" i="16"/>
  <c r="G4597" i="16"/>
  <c r="H4597" i="16"/>
  <c r="G4598" i="16"/>
  <c r="H4598" i="16"/>
  <c r="G4599" i="16"/>
  <c r="H4599" i="16"/>
  <c r="G4600" i="16"/>
  <c r="H4600" i="16"/>
  <c r="G4601" i="16"/>
  <c r="H4601" i="16"/>
  <c r="G4602" i="16"/>
  <c r="H4602" i="16"/>
  <c r="G4603" i="16"/>
  <c r="H4603" i="16"/>
  <c r="G4604" i="16"/>
  <c r="H4604" i="16"/>
  <c r="G4605" i="16"/>
  <c r="H4605" i="16"/>
  <c r="G4606" i="16"/>
  <c r="H4606" i="16"/>
  <c r="G4607" i="16"/>
  <c r="H4607" i="16"/>
  <c r="G4608" i="16"/>
  <c r="H4608" i="16"/>
  <c r="G4609" i="16"/>
  <c r="H4609" i="16"/>
  <c r="G4610" i="16"/>
  <c r="H4610" i="16"/>
  <c r="G4611" i="16"/>
  <c r="H4611" i="16"/>
  <c r="G4612" i="16"/>
  <c r="H4612" i="16"/>
  <c r="G4613" i="16"/>
  <c r="H4613" i="16"/>
  <c r="G4614" i="16"/>
  <c r="H4614" i="16"/>
  <c r="G4615" i="16"/>
  <c r="H4615" i="16"/>
  <c r="G4616" i="16"/>
  <c r="H4616" i="16"/>
  <c r="G4617" i="16"/>
  <c r="H4617" i="16"/>
  <c r="G4618" i="16"/>
  <c r="H4618" i="16"/>
  <c r="G4619" i="16"/>
  <c r="H4619" i="16"/>
  <c r="G4620" i="16"/>
  <c r="H4620" i="16"/>
  <c r="G4621" i="16"/>
  <c r="H4621" i="16"/>
  <c r="G4622" i="16"/>
  <c r="H4622" i="16"/>
  <c r="G4623" i="16"/>
  <c r="H4623" i="16"/>
  <c r="G4624" i="16"/>
  <c r="H4624" i="16"/>
  <c r="G4625" i="16"/>
  <c r="H4625" i="16"/>
  <c r="G4626" i="16"/>
  <c r="H4626" i="16"/>
  <c r="G4627" i="16"/>
  <c r="H4627" i="16"/>
  <c r="G4628" i="16"/>
  <c r="H4628" i="16"/>
  <c r="G4629" i="16"/>
  <c r="H4629" i="16"/>
  <c r="G4630" i="16"/>
  <c r="H4630" i="16"/>
  <c r="G4631" i="16"/>
  <c r="H4631" i="16"/>
  <c r="G4632" i="16"/>
  <c r="H4632" i="16"/>
  <c r="G4633" i="16"/>
  <c r="H4633" i="16"/>
  <c r="G4634" i="16"/>
  <c r="H4634" i="16"/>
  <c r="G4635" i="16"/>
  <c r="H4635" i="16"/>
  <c r="G4636" i="16"/>
  <c r="H4636" i="16"/>
  <c r="G4637" i="16"/>
  <c r="H4637" i="16"/>
  <c r="G4638" i="16"/>
  <c r="H4638" i="16"/>
  <c r="G4639" i="16"/>
  <c r="H4639" i="16"/>
  <c r="G4640" i="16"/>
  <c r="H4640" i="16"/>
  <c r="G4641" i="16"/>
  <c r="H4641" i="16"/>
  <c r="G4642" i="16"/>
  <c r="H4642" i="16"/>
  <c r="G4643" i="16"/>
  <c r="H4643" i="16"/>
  <c r="G4644" i="16"/>
  <c r="H4644" i="16"/>
  <c r="G4645" i="16"/>
  <c r="H4645" i="16"/>
  <c r="G4646" i="16"/>
  <c r="H4646" i="16"/>
  <c r="G4647" i="16"/>
  <c r="H4647" i="16"/>
  <c r="G4648" i="16"/>
  <c r="H4648" i="16"/>
  <c r="G4649" i="16"/>
  <c r="H4649" i="16"/>
  <c r="G4650" i="16"/>
  <c r="H4650" i="16"/>
  <c r="G4651" i="16"/>
  <c r="H4651" i="16"/>
  <c r="G4652" i="16"/>
  <c r="H4652" i="16"/>
  <c r="G4653" i="16"/>
  <c r="H4653" i="16"/>
  <c r="G4654" i="16"/>
  <c r="H4654" i="16"/>
  <c r="G4655" i="16"/>
  <c r="H4655" i="16"/>
  <c r="G4656" i="16"/>
  <c r="H4656" i="16"/>
  <c r="G4657" i="16"/>
  <c r="H4657" i="16"/>
  <c r="G4658" i="16"/>
  <c r="H4658" i="16"/>
  <c r="G4659" i="16"/>
  <c r="H4659" i="16"/>
  <c r="G4660" i="16"/>
  <c r="H4660" i="16"/>
  <c r="G4661" i="16"/>
  <c r="H4661" i="16"/>
  <c r="G4662" i="16"/>
  <c r="H4662" i="16"/>
  <c r="G4663" i="16"/>
  <c r="H4663" i="16"/>
  <c r="G4664" i="16"/>
  <c r="H4664" i="16"/>
  <c r="G4665" i="16"/>
  <c r="H4665" i="16"/>
  <c r="G4666" i="16"/>
  <c r="H4666" i="16"/>
  <c r="G4667" i="16"/>
  <c r="H4667" i="16"/>
  <c r="G4668" i="16"/>
  <c r="H4668" i="16"/>
  <c r="G4669" i="16"/>
  <c r="H4669" i="16"/>
  <c r="G4670" i="16"/>
  <c r="H4670" i="16"/>
  <c r="G4671" i="16"/>
  <c r="H4671" i="16"/>
  <c r="G4672" i="16"/>
  <c r="H4672" i="16"/>
  <c r="G4673" i="16"/>
  <c r="H4673" i="16"/>
  <c r="G4674" i="16"/>
  <c r="H4674" i="16"/>
  <c r="G4675" i="16"/>
  <c r="H4675" i="16"/>
  <c r="G4676" i="16"/>
  <c r="H4676" i="16"/>
  <c r="G4677" i="16"/>
  <c r="H4677" i="16"/>
  <c r="G4678" i="16"/>
  <c r="H4678" i="16"/>
  <c r="G4679" i="16"/>
  <c r="H4679" i="16"/>
  <c r="G4680" i="16"/>
  <c r="H4680" i="16"/>
  <c r="G4681" i="16"/>
  <c r="H4681" i="16"/>
  <c r="G4682" i="16"/>
  <c r="H4682" i="16"/>
  <c r="G4683" i="16"/>
  <c r="H4683" i="16"/>
  <c r="G4684" i="16"/>
  <c r="H4684" i="16"/>
  <c r="G4685" i="16"/>
  <c r="H4685" i="16"/>
  <c r="G4686" i="16"/>
  <c r="H4686" i="16"/>
  <c r="G4687" i="16"/>
  <c r="H4687" i="16"/>
  <c r="G4688" i="16"/>
  <c r="H4688" i="16"/>
  <c r="G4689" i="16"/>
  <c r="H4689" i="16"/>
  <c r="G4690" i="16"/>
  <c r="H4690" i="16"/>
  <c r="G4691" i="16"/>
  <c r="H4691" i="16"/>
  <c r="G4692" i="16"/>
  <c r="H4692" i="16"/>
  <c r="G4693" i="16"/>
  <c r="H4693" i="16"/>
  <c r="G4694" i="16"/>
  <c r="H4694" i="16"/>
  <c r="G4695" i="16"/>
  <c r="H4695" i="16"/>
  <c r="G4696" i="16"/>
  <c r="H4696" i="16"/>
  <c r="G4697" i="16"/>
  <c r="H4697" i="16"/>
  <c r="G4698" i="16"/>
  <c r="H4698" i="16"/>
  <c r="G4699" i="16"/>
  <c r="H4699" i="16"/>
  <c r="G4700" i="16"/>
  <c r="H4700" i="16"/>
  <c r="G4701" i="16"/>
  <c r="H4701" i="16"/>
  <c r="G4702" i="16"/>
  <c r="H4702" i="16"/>
  <c r="G4703" i="16"/>
  <c r="H4703" i="16"/>
  <c r="G4704" i="16"/>
  <c r="H4704" i="16"/>
  <c r="G4705" i="16"/>
  <c r="H4705" i="16"/>
  <c r="G4706" i="16"/>
  <c r="H4706" i="16"/>
  <c r="G4707" i="16"/>
  <c r="H4707" i="16"/>
  <c r="G4708" i="16"/>
  <c r="H4708" i="16"/>
  <c r="G4709" i="16"/>
  <c r="H4709" i="16"/>
  <c r="G4710" i="16"/>
  <c r="H4710" i="16"/>
  <c r="G4711" i="16"/>
  <c r="H4711" i="16"/>
  <c r="G4712" i="16"/>
  <c r="H4712" i="16"/>
  <c r="G4713" i="16"/>
  <c r="H4713" i="16"/>
  <c r="G4714" i="16"/>
  <c r="H4714" i="16"/>
  <c r="G4715" i="16"/>
  <c r="H4715" i="16"/>
  <c r="G4716" i="16"/>
  <c r="H4716" i="16"/>
  <c r="G4717" i="16"/>
  <c r="H4717" i="16"/>
  <c r="G4718" i="16"/>
  <c r="H4718" i="16"/>
  <c r="G4719" i="16"/>
  <c r="H4719" i="16"/>
  <c r="G4720" i="16"/>
  <c r="H4720" i="16"/>
  <c r="G4721" i="16"/>
  <c r="H4721" i="16"/>
  <c r="G4722" i="16"/>
  <c r="H4722" i="16"/>
  <c r="G4723" i="16"/>
  <c r="H4723" i="16"/>
  <c r="G4724" i="16"/>
  <c r="H4724" i="16"/>
  <c r="G4725" i="16"/>
  <c r="H4725" i="16"/>
  <c r="G4726" i="16"/>
  <c r="H4726" i="16"/>
  <c r="G4727" i="16"/>
  <c r="H4727" i="16"/>
  <c r="G4728" i="16"/>
  <c r="H4728" i="16"/>
  <c r="G4729" i="16"/>
  <c r="H4729" i="16"/>
  <c r="G4730" i="16"/>
  <c r="H4730" i="16"/>
  <c r="G4731" i="16"/>
  <c r="H4731" i="16"/>
  <c r="G4732" i="16"/>
  <c r="H4732" i="16"/>
  <c r="G4733" i="16"/>
  <c r="H4733" i="16"/>
  <c r="G4734" i="16"/>
  <c r="H4734" i="16"/>
  <c r="G4735" i="16"/>
  <c r="H4735" i="16"/>
  <c r="G4736" i="16"/>
  <c r="H4736" i="16"/>
  <c r="G4737" i="16"/>
  <c r="H4737" i="16"/>
  <c r="G4738" i="16"/>
  <c r="H4738" i="16"/>
  <c r="G4739" i="16"/>
  <c r="H4739" i="16"/>
  <c r="G4740" i="16"/>
  <c r="H4740" i="16"/>
  <c r="G4741" i="16"/>
  <c r="H4741" i="16"/>
  <c r="G4742" i="16"/>
  <c r="H4742" i="16"/>
  <c r="G4743" i="16"/>
  <c r="H4743" i="16"/>
  <c r="G4744" i="16"/>
  <c r="H4744" i="16"/>
  <c r="G4745" i="16"/>
  <c r="H4745" i="16"/>
  <c r="G4746" i="16"/>
  <c r="H4746" i="16"/>
  <c r="G4747" i="16"/>
  <c r="H4747" i="16"/>
  <c r="G4748" i="16"/>
  <c r="H4748" i="16"/>
  <c r="G4749" i="16"/>
  <c r="H4749" i="16"/>
  <c r="G4750" i="16"/>
  <c r="H4750" i="16"/>
  <c r="G4751" i="16"/>
  <c r="H4751" i="16"/>
  <c r="G4752" i="16"/>
  <c r="H4752" i="16"/>
  <c r="G4753" i="16"/>
  <c r="H4753" i="16"/>
  <c r="G4754" i="16"/>
  <c r="H4754" i="16"/>
  <c r="G4755" i="16"/>
  <c r="H4755" i="16"/>
  <c r="G4756" i="16"/>
  <c r="H4756" i="16"/>
  <c r="G4757" i="16"/>
  <c r="H4757" i="16"/>
  <c r="G4758" i="16"/>
  <c r="H4758" i="16"/>
  <c r="G4759" i="16"/>
  <c r="H4759" i="16"/>
  <c r="G4760" i="16"/>
  <c r="H4760" i="16"/>
  <c r="G4761" i="16"/>
  <c r="H4761" i="16"/>
  <c r="G4762" i="16"/>
  <c r="H4762" i="16"/>
  <c r="G4763" i="16"/>
  <c r="H4763" i="16"/>
  <c r="G4764" i="16"/>
  <c r="H4764" i="16"/>
  <c r="G4765" i="16"/>
  <c r="H4765" i="16"/>
  <c r="G4766" i="16"/>
  <c r="H4766" i="16"/>
  <c r="G4767" i="16"/>
  <c r="H4767" i="16"/>
  <c r="G4768" i="16"/>
  <c r="H4768" i="16"/>
  <c r="G4769" i="16"/>
  <c r="H4769" i="16"/>
  <c r="G4770" i="16"/>
  <c r="H4770" i="16"/>
  <c r="G4771" i="16"/>
  <c r="H4771" i="16"/>
  <c r="G4772" i="16"/>
  <c r="H4772" i="16"/>
  <c r="G4773" i="16"/>
  <c r="H4773" i="16"/>
  <c r="G4774" i="16"/>
  <c r="H4774" i="16"/>
  <c r="G4775" i="16"/>
  <c r="H4775" i="16"/>
  <c r="G4776" i="16"/>
  <c r="H4776" i="16"/>
  <c r="G4777" i="16"/>
  <c r="H4777" i="16"/>
  <c r="G4778" i="16"/>
  <c r="H4778" i="16"/>
  <c r="G4779" i="16"/>
  <c r="H4779" i="16"/>
  <c r="G4780" i="16"/>
  <c r="H4780" i="16"/>
  <c r="G4781" i="16"/>
  <c r="H4781" i="16"/>
  <c r="G4782" i="16"/>
  <c r="H4782" i="16"/>
  <c r="G4783" i="16"/>
  <c r="H4783" i="16"/>
  <c r="G4784" i="16"/>
  <c r="H4784" i="16"/>
  <c r="G4785" i="16"/>
  <c r="H4785" i="16"/>
  <c r="G4786" i="16"/>
  <c r="H4786" i="16"/>
  <c r="G4787" i="16"/>
  <c r="H4787" i="16"/>
  <c r="G4788" i="16"/>
  <c r="H4788" i="16"/>
  <c r="G4789" i="16"/>
  <c r="H4789" i="16"/>
  <c r="G4790" i="16"/>
  <c r="H4790" i="16"/>
  <c r="G4791" i="16"/>
  <c r="H4791" i="16"/>
  <c r="G4792" i="16"/>
  <c r="H4792" i="16"/>
  <c r="G4793" i="16"/>
  <c r="H4793" i="16"/>
  <c r="G4794" i="16"/>
  <c r="H4794" i="16"/>
  <c r="G4795" i="16"/>
  <c r="H4795" i="16"/>
  <c r="G4796" i="16"/>
  <c r="H4796" i="16"/>
  <c r="G4797" i="16"/>
  <c r="H4797" i="16"/>
  <c r="G4798" i="16"/>
  <c r="H4798" i="16"/>
  <c r="G4799" i="16"/>
  <c r="H4799" i="16"/>
  <c r="G4800" i="16"/>
  <c r="H4800" i="16"/>
  <c r="G4801" i="16"/>
  <c r="H4801" i="16"/>
  <c r="G4802" i="16"/>
  <c r="H4802" i="16"/>
  <c r="G4803" i="16"/>
  <c r="H4803" i="16"/>
  <c r="G4804" i="16"/>
  <c r="H4804" i="16"/>
  <c r="G4805" i="16"/>
  <c r="H4805" i="16"/>
  <c r="G4806" i="16"/>
  <c r="H4806" i="16"/>
  <c r="G4807" i="16"/>
  <c r="H4807" i="16"/>
  <c r="G4808" i="16"/>
  <c r="H4808" i="16"/>
  <c r="G4809" i="16"/>
  <c r="H4809" i="16"/>
  <c r="G4810" i="16"/>
  <c r="H4810" i="16"/>
  <c r="G4811" i="16"/>
  <c r="H4811" i="16"/>
  <c r="G4812" i="16"/>
  <c r="H4812" i="16"/>
  <c r="G4813" i="16"/>
  <c r="H4813" i="16"/>
  <c r="G4814" i="16"/>
  <c r="H4814" i="16"/>
  <c r="G4815" i="16"/>
  <c r="H4815" i="16"/>
  <c r="G4816" i="16"/>
  <c r="H4816" i="16"/>
  <c r="G4817" i="16"/>
  <c r="H4817" i="16"/>
  <c r="G4818" i="16"/>
  <c r="H4818" i="16"/>
  <c r="G4819" i="16"/>
  <c r="H4819" i="16"/>
  <c r="G4820" i="16"/>
  <c r="H4820" i="16"/>
  <c r="G4821" i="16"/>
  <c r="H4821" i="16"/>
  <c r="G4822" i="16"/>
  <c r="H4822" i="16"/>
  <c r="G4823" i="16"/>
  <c r="H4823" i="16"/>
  <c r="G4824" i="16"/>
  <c r="H4824" i="16"/>
  <c r="G4825" i="16"/>
  <c r="H4825" i="16"/>
  <c r="G4826" i="16"/>
  <c r="H4826" i="16"/>
  <c r="G4827" i="16"/>
  <c r="H4827" i="16"/>
  <c r="G4828" i="16"/>
  <c r="H4828" i="16"/>
  <c r="G4829" i="16"/>
  <c r="H4829" i="16"/>
  <c r="G4830" i="16"/>
  <c r="H4830" i="16"/>
  <c r="G4831" i="16"/>
  <c r="H4831" i="16"/>
  <c r="G4832" i="16"/>
  <c r="H4832" i="16"/>
  <c r="G4833" i="16"/>
  <c r="H4833" i="16"/>
  <c r="G4834" i="16"/>
  <c r="H4834" i="16"/>
  <c r="G4835" i="16"/>
  <c r="H4835" i="16"/>
  <c r="G4836" i="16"/>
  <c r="H4836" i="16"/>
  <c r="G4837" i="16"/>
  <c r="H4837" i="16"/>
  <c r="G4838" i="16"/>
  <c r="H4838" i="16"/>
  <c r="G4839" i="16"/>
  <c r="H4839" i="16"/>
  <c r="G4840" i="16"/>
  <c r="H4840" i="16"/>
  <c r="G4841" i="16"/>
  <c r="H4841" i="16"/>
  <c r="G4842" i="16"/>
  <c r="H4842" i="16"/>
  <c r="G4843" i="16"/>
  <c r="H4843" i="16"/>
  <c r="G4844" i="16"/>
  <c r="H4844" i="16"/>
  <c r="G4845" i="16"/>
  <c r="H4845" i="16"/>
  <c r="G4846" i="16"/>
  <c r="H4846" i="16"/>
  <c r="G4847" i="16"/>
  <c r="H4847" i="16"/>
  <c r="G4848" i="16"/>
  <c r="H4848" i="16"/>
  <c r="G4849" i="16"/>
  <c r="H4849" i="16"/>
  <c r="G4850" i="16"/>
  <c r="H4850" i="16"/>
  <c r="G4851" i="16"/>
  <c r="H4851" i="16"/>
  <c r="G4852" i="16"/>
  <c r="H4852" i="16"/>
  <c r="G4853" i="16"/>
  <c r="H4853" i="16"/>
  <c r="G4854" i="16"/>
  <c r="H4854" i="16"/>
  <c r="G4855" i="16"/>
  <c r="H4855" i="16"/>
  <c r="G4856" i="16"/>
  <c r="H4856" i="16"/>
  <c r="G4857" i="16"/>
  <c r="H4857" i="16"/>
  <c r="G4858" i="16"/>
  <c r="H4858" i="16"/>
  <c r="G4859" i="16"/>
  <c r="H4859" i="16"/>
  <c r="G4860" i="16"/>
  <c r="H4860" i="16"/>
  <c r="G4861" i="16"/>
  <c r="H4861" i="16"/>
  <c r="G4862" i="16"/>
  <c r="H4862" i="16"/>
  <c r="G4863" i="16"/>
  <c r="H4863" i="16"/>
  <c r="G4864" i="16"/>
  <c r="H4864" i="16"/>
  <c r="G4865" i="16"/>
  <c r="H4865" i="16"/>
  <c r="G4866" i="16"/>
  <c r="H4866" i="16"/>
  <c r="G4867" i="16"/>
  <c r="H4867" i="16"/>
  <c r="G4868" i="16"/>
  <c r="H4868" i="16"/>
  <c r="G4869" i="16"/>
  <c r="H4869" i="16"/>
  <c r="G4870" i="16"/>
  <c r="H4870" i="16"/>
  <c r="G4871" i="16"/>
  <c r="H4871" i="16"/>
  <c r="G4872" i="16"/>
  <c r="H4872" i="16"/>
  <c r="G4873" i="16"/>
  <c r="H4873" i="16"/>
  <c r="G4874" i="16"/>
  <c r="H4874" i="16"/>
  <c r="G4875" i="16"/>
  <c r="H4875" i="16"/>
  <c r="G4876" i="16"/>
  <c r="H4876" i="16"/>
  <c r="G4877" i="16"/>
  <c r="H4877" i="16"/>
  <c r="G4878" i="16"/>
  <c r="H4878" i="16"/>
  <c r="G4879" i="16"/>
  <c r="H4879" i="16"/>
  <c r="G4880" i="16"/>
  <c r="H4880" i="16"/>
  <c r="G4881" i="16"/>
  <c r="H4881" i="16"/>
  <c r="G4882" i="16"/>
  <c r="H4882" i="16"/>
  <c r="G4883" i="16"/>
  <c r="H4883" i="16"/>
  <c r="G4884" i="16"/>
  <c r="H4884" i="16"/>
  <c r="G4885" i="16"/>
  <c r="H4885" i="16"/>
  <c r="G4886" i="16"/>
  <c r="H4886" i="16"/>
  <c r="G4887" i="16"/>
  <c r="H4887" i="16"/>
  <c r="G4888" i="16"/>
  <c r="H4888" i="16"/>
  <c r="G4889" i="16"/>
  <c r="H4889" i="16"/>
  <c r="G4890" i="16"/>
  <c r="H4890" i="16"/>
  <c r="G4891" i="16"/>
  <c r="H4891" i="16"/>
  <c r="G4892" i="16"/>
  <c r="H4892" i="16"/>
  <c r="G4893" i="16"/>
  <c r="H4893" i="16"/>
  <c r="G4894" i="16"/>
  <c r="H4894" i="16"/>
  <c r="G4895" i="16"/>
  <c r="H4895" i="16"/>
  <c r="G4896" i="16"/>
  <c r="H4896" i="16"/>
  <c r="G4897" i="16"/>
  <c r="H4897" i="16"/>
  <c r="G4898" i="16"/>
  <c r="H4898" i="16"/>
  <c r="G4899" i="16"/>
  <c r="H4899" i="16"/>
  <c r="G4900" i="16"/>
  <c r="H4900" i="16"/>
  <c r="G4901" i="16"/>
  <c r="H4901" i="16"/>
  <c r="G4902" i="16"/>
  <c r="H4902" i="16"/>
  <c r="G4903" i="16"/>
  <c r="H4903" i="16"/>
  <c r="G4904" i="16"/>
  <c r="H4904" i="16"/>
  <c r="G4905" i="16"/>
  <c r="H4905" i="16"/>
  <c r="G4906" i="16"/>
  <c r="H4906" i="16"/>
  <c r="G4907" i="16"/>
  <c r="H4907" i="16"/>
  <c r="G4908" i="16"/>
  <c r="H4908" i="16"/>
  <c r="G4909" i="16"/>
  <c r="H4909" i="16"/>
  <c r="G4910" i="16"/>
  <c r="H4910" i="16"/>
  <c r="G4911" i="16"/>
  <c r="H4911" i="16"/>
  <c r="G4912" i="16"/>
  <c r="H4912" i="16"/>
  <c r="G4913" i="16"/>
  <c r="H4913" i="16"/>
  <c r="G4914" i="16"/>
  <c r="H4914" i="16"/>
  <c r="G4915" i="16"/>
  <c r="H4915" i="16"/>
  <c r="G4916" i="16"/>
  <c r="H4916" i="16"/>
  <c r="G4917" i="16"/>
  <c r="H4917" i="16"/>
  <c r="G4918" i="16"/>
  <c r="H4918" i="16"/>
  <c r="G4919" i="16"/>
  <c r="H4919" i="16"/>
  <c r="G4920" i="16"/>
  <c r="H4920" i="16"/>
  <c r="G4921" i="16"/>
  <c r="H4921" i="16"/>
  <c r="G4922" i="16"/>
  <c r="H4922" i="16"/>
  <c r="G4923" i="16"/>
  <c r="H4923" i="16"/>
  <c r="G4924" i="16"/>
  <c r="H4924" i="16"/>
  <c r="G4925" i="16"/>
  <c r="H4925" i="16"/>
  <c r="G4926" i="16"/>
  <c r="H4926" i="16"/>
  <c r="G4927" i="16"/>
  <c r="H4927" i="16"/>
  <c r="G4928" i="16"/>
  <c r="H4928" i="16"/>
  <c r="G4929" i="16"/>
  <c r="H4929" i="16"/>
  <c r="G4930" i="16"/>
  <c r="H4930" i="16"/>
  <c r="G4931" i="16"/>
  <c r="H4931" i="16"/>
  <c r="G4932" i="16"/>
  <c r="H4932" i="16"/>
  <c r="G4933" i="16"/>
  <c r="H4933" i="16"/>
  <c r="G4934" i="16"/>
  <c r="H4934" i="16"/>
  <c r="G4935" i="16"/>
  <c r="H4935" i="16"/>
  <c r="G4936" i="16"/>
  <c r="H4936" i="16"/>
  <c r="G4937" i="16"/>
  <c r="H4937" i="16"/>
  <c r="G4938" i="16"/>
  <c r="H4938" i="16"/>
  <c r="G4939" i="16"/>
  <c r="H4939" i="16"/>
  <c r="G4940" i="16"/>
  <c r="H4940" i="16"/>
  <c r="G4941" i="16"/>
  <c r="H4941" i="16"/>
  <c r="G4942" i="16"/>
  <c r="H4942" i="16"/>
  <c r="G4943" i="16"/>
  <c r="H4943" i="16"/>
  <c r="G4944" i="16"/>
  <c r="H4944" i="16"/>
  <c r="G4945" i="16"/>
  <c r="H4945" i="16"/>
  <c r="G4946" i="16"/>
  <c r="H4946" i="16"/>
  <c r="G4947" i="16"/>
  <c r="H4947" i="16"/>
  <c r="G4948" i="16"/>
  <c r="H4948" i="16"/>
  <c r="G4949" i="16"/>
  <c r="H4949" i="16"/>
  <c r="G4950" i="16"/>
  <c r="H4950" i="16"/>
  <c r="G4951" i="16"/>
  <c r="H4951" i="16"/>
  <c r="G4952" i="16"/>
  <c r="H4952" i="16"/>
  <c r="G4953" i="16"/>
  <c r="H4953" i="16"/>
  <c r="G4954" i="16"/>
  <c r="H4954" i="16"/>
  <c r="G4955" i="16"/>
  <c r="H4955" i="16"/>
  <c r="G4956" i="16"/>
  <c r="H4956" i="16"/>
  <c r="G4957" i="16"/>
  <c r="H4957" i="16"/>
  <c r="G4958" i="16"/>
  <c r="H4958" i="16"/>
  <c r="G4959" i="16"/>
  <c r="H4959" i="16"/>
  <c r="G4960" i="16"/>
  <c r="H4960" i="16"/>
  <c r="G4961" i="16"/>
  <c r="H4961" i="16"/>
  <c r="G4962" i="16"/>
  <c r="H4962" i="16"/>
  <c r="G4963" i="16"/>
  <c r="H4963" i="16"/>
  <c r="G4964" i="16"/>
  <c r="H4964" i="16"/>
  <c r="G4965" i="16"/>
  <c r="H4965" i="16"/>
  <c r="G4966" i="16"/>
  <c r="H4966" i="16"/>
  <c r="G4967" i="16"/>
  <c r="H4967" i="16"/>
  <c r="G4968" i="16"/>
  <c r="H4968" i="16"/>
  <c r="G4969" i="16"/>
  <c r="H4969" i="16"/>
  <c r="G4970" i="16"/>
  <c r="H4970" i="16"/>
  <c r="G4971" i="16"/>
  <c r="H4971" i="16"/>
  <c r="G4972" i="16"/>
  <c r="H4972" i="16"/>
  <c r="G4973" i="16"/>
  <c r="H4973" i="16"/>
  <c r="G4974" i="16"/>
  <c r="H4974" i="16"/>
  <c r="G4975" i="16"/>
  <c r="H4975" i="16"/>
  <c r="G4976" i="16"/>
  <c r="H4976" i="16"/>
  <c r="G4977" i="16"/>
  <c r="H4977" i="16"/>
  <c r="G4978" i="16"/>
  <c r="H4978" i="16"/>
  <c r="G4979" i="16"/>
  <c r="H4979" i="16"/>
  <c r="G4980" i="16"/>
  <c r="H4980" i="16"/>
  <c r="G4981" i="16"/>
  <c r="H4981" i="16"/>
  <c r="G4982" i="16"/>
  <c r="H4982" i="16"/>
  <c r="G4983" i="16"/>
  <c r="H4983" i="16"/>
  <c r="G4984" i="16"/>
  <c r="H4984" i="16"/>
  <c r="G4985" i="16"/>
  <c r="H4985" i="16"/>
  <c r="G4986" i="16"/>
  <c r="H4986" i="16"/>
  <c r="G4987" i="16"/>
  <c r="H4987" i="16"/>
  <c r="G4988" i="16"/>
  <c r="H4988" i="16"/>
  <c r="G4989" i="16"/>
  <c r="H4989" i="16"/>
  <c r="G4990" i="16"/>
  <c r="H4990" i="16"/>
  <c r="G4991" i="16"/>
  <c r="H4991" i="16"/>
  <c r="G4992" i="16"/>
  <c r="H4992" i="16"/>
  <c r="G4993" i="16"/>
  <c r="H4993" i="16"/>
  <c r="G4994" i="16"/>
  <c r="H4994" i="16"/>
  <c r="G4995" i="16"/>
  <c r="H4995" i="16"/>
  <c r="G4996" i="16"/>
  <c r="H4996" i="16"/>
  <c r="G4997" i="16"/>
  <c r="H4997" i="16"/>
  <c r="G4998" i="16"/>
  <c r="H4998" i="16"/>
  <c r="G4999" i="16"/>
  <c r="H4999" i="16"/>
  <c r="G5000" i="16"/>
  <c r="H5000" i="16"/>
  <c r="G5001" i="16"/>
  <c r="H5001" i="16"/>
  <c r="G5002" i="16"/>
  <c r="H5002" i="16"/>
  <c r="G5003" i="16"/>
  <c r="H5003" i="16"/>
  <c r="G5004" i="16"/>
  <c r="H5004" i="16"/>
  <c r="G5005" i="16"/>
  <c r="H5005" i="16"/>
  <c r="G5006" i="16"/>
  <c r="H5006" i="16"/>
  <c r="G5007" i="16"/>
  <c r="H5007" i="16"/>
  <c r="G5008" i="16"/>
  <c r="H5008" i="16"/>
  <c r="G5009" i="16"/>
  <c r="H5009" i="16"/>
  <c r="G5010" i="16"/>
  <c r="H5010" i="16"/>
  <c r="G5011" i="16"/>
  <c r="H5011" i="16"/>
  <c r="G5012" i="16"/>
  <c r="H5012" i="16"/>
  <c r="G5013" i="16"/>
  <c r="H5013" i="16"/>
  <c r="G5014" i="16"/>
  <c r="H5014" i="16"/>
  <c r="G5015" i="16"/>
  <c r="H5015" i="16"/>
  <c r="G5016" i="16"/>
  <c r="H5016" i="16"/>
  <c r="G5017" i="16"/>
  <c r="H5017" i="16"/>
  <c r="G5018" i="16"/>
  <c r="H5018" i="16"/>
  <c r="G5019" i="16"/>
  <c r="H5019" i="16"/>
  <c r="G5020" i="16"/>
  <c r="H5020" i="16"/>
  <c r="G5021" i="16"/>
  <c r="H5021" i="16"/>
  <c r="G5022" i="16"/>
  <c r="H5022" i="16"/>
  <c r="G5023" i="16"/>
  <c r="H5023" i="16"/>
  <c r="G5024" i="16"/>
  <c r="H5024" i="16"/>
  <c r="G5025" i="16"/>
  <c r="H5025" i="16"/>
  <c r="G5026" i="16"/>
  <c r="H5026" i="16"/>
  <c r="G5027" i="16"/>
  <c r="H5027" i="16"/>
  <c r="G5028" i="16"/>
  <c r="H5028" i="16"/>
  <c r="G5029" i="16"/>
  <c r="H5029" i="16"/>
  <c r="G5030" i="16"/>
  <c r="H5030" i="16"/>
  <c r="G5031" i="16"/>
  <c r="H5031" i="16"/>
  <c r="G5032" i="16"/>
  <c r="H5032" i="16"/>
  <c r="G5033" i="16"/>
  <c r="H5033" i="16"/>
  <c r="G5034" i="16"/>
  <c r="H5034" i="16"/>
  <c r="G5035" i="16"/>
  <c r="H5035" i="16"/>
  <c r="G5036" i="16"/>
  <c r="H5036" i="16"/>
  <c r="G5037" i="16"/>
  <c r="H5037" i="16"/>
  <c r="G5038" i="16"/>
  <c r="H5038" i="16"/>
  <c r="G5039" i="16"/>
  <c r="H5039" i="16"/>
  <c r="G5040" i="16"/>
  <c r="H5040" i="16"/>
  <c r="G5041" i="16"/>
  <c r="H5041" i="16"/>
  <c r="G5042" i="16"/>
  <c r="H5042" i="16"/>
  <c r="G5043" i="16"/>
  <c r="H5043" i="16"/>
  <c r="G5044" i="16"/>
  <c r="H5044" i="16"/>
  <c r="G5045" i="16"/>
  <c r="H5045" i="16"/>
  <c r="G5046" i="16"/>
  <c r="H5046" i="16"/>
  <c r="G5047" i="16"/>
  <c r="H5047" i="16"/>
  <c r="G5048" i="16"/>
  <c r="H5048" i="16"/>
  <c r="G5049" i="16"/>
  <c r="H5049" i="16"/>
  <c r="G5050" i="16"/>
  <c r="H5050" i="16"/>
  <c r="G5051" i="16"/>
  <c r="H5051" i="16"/>
  <c r="G5052" i="16"/>
  <c r="H5052" i="16"/>
  <c r="G5053" i="16"/>
  <c r="H5053" i="16"/>
  <c r="G5054" i="16"/>
  <c r="H5054" i="16"/>
  <c r="G5055" i="16"/>
  <c r="H5055" i="16"/>
  <c r="G5056" i="16"/>
  <c r="H5056" i="16"/>
  <c r="G5057" i="16"/>
  <c r="H5057" i="16"/>
  <c r="G5058" i="16"/>
  <c r="H5058" i="16"/>
  <c r="G5059" i="16"/>
  <c r="H5059" i="16"/>
  <c r="G5060" i="16"/>
  <c r="H5060" i="16"/>
  <c r="G5061" i="16"/>
  <c r="H5061" i="16"/>
  <c r="G5062" i="16"/>
  <c r="H5062" i="16"/>
  <c r="G5063" i="16"/>
  <c r="H5063" i="16"/>
  <c r="G5064" i="16"/>
  <c r="H5064" i="16"/>
  <c r="G5065" i="16"/>
  <c r="H5065" i="16"/>
  <c r="G5066" i="16"/>
  <c r="H5066" i="16"/>
  <c r="G5067" i="16"/>
  <c r="H5067" i="16"/>
  <c r="G5068" i="16"/>
  <c r="H5068" i="16"/>
  <c r="G5069" i="16"/>
  <c r="H5069" i="16"/>
  <c r="G5070" i="16"/>
  <c r="H5070" i="16"/>
  <c r="G5071" i="16"/>
  <c r="H5071" i="16"/>
  <c r="G5072" i="16"/>
  <c r="H5072" i="16"/>
  <c r="G5073" i="16"/>
  <c r="H5073" i="16"/>
  <c r="G5074" i="16"/>
  <c r="H5074" i="16"/>
  <c r="G5075" i="16"/>
  <c r="H5075" i="16"/>
  <c r="G5076" i="16"/>
  <c r="H5076" i="16"/>
  <c r="G5077" i="16"/>
  <c r="H5077" i="16"/>
  <c r="G5078" i="16"/>
  <c r="H5078" i="16"/>
  <c r="G5079" i="16"/>
  <c r="H5079" i="16"/>
  <c r="G5080" i="16"/>
  <c r="H5080" i="16"/>
  <c r="G5081" i="16"/>
  <c r="H5081" i="16"/>
  <c r="G5082" i="16"/>
  <c r="H5082" i="16"/>
  <c r="G5083" i="16"/>
  <c r="H5083" i="16"/>
  <c r="G5084" i="16"/>
  <c r="H5084" i="16"/>
  <c r="G5085" i="16"/>
  <c r="H5085" i="16"/>
  <c r="G5086" i="16"/>
  <c r="H5086" i="16"/>
  <c r="G5087" i="16"/>
  <c r="H5087" i="16"/>
  <c r="G5088" i="16"/>
  <c r="H5088" i="16"/>
  <c r="G5089" i="16"/>
  <c r="H5089" i="16"/>
  <c r="G5090" i="16"/>
  <c r="H5090" i="16"/>
  <c r="G5091" i="16"/>
  <c r="H5091" i="16"/>
  <c r="G5092" i="16"/>
  <c r="H5092" i="16"/>
  <c r="G5093" i="16"/>
  <c r="H5093" i="16"/>
  <c r="G5094" i="16"/>
  <c r="H5094" i="16"/>
  <c r="G5095" i="16"/>
  <c r="H5095" i="16"/>
  <c r="G5096" i="16"/>
  <c r="H5096" i="16"/>
  <c r="G5097" i="16"/>
  <c r="H5097" i="16"/>
  <c r="G5098" i="16"/>
  <c r="H5098" i="16"/>
  <c r="G5099" i="16"/>
  <c r="H5099" i="16"/>
  <c r="G5100" i="16"/>
  <c r="H5100" i="16"/>
  <c r="G5101" i="16"/>
  <c r="H5101" i="16"/>
  <c r="G5102" i="16"/>
  <c r="H5102" i="16"/>
  <c r="G5103" i="16"/>
  <c r="H5103" i="16"/>
  <c r="G5104" i="16"/>
  <c r="H5104" i="16"/>
  <c r="G5105" i="16"/>
  <c r="H5105" i="16"/>
  <c r="G5106" i="16"/>
  <c r="H5106" i="16"/>
  <c r="G5107" i="16"/>
  <c r="H5107" i="16"/>
  <c r="G5108" i="16"/>
  <c r="H5108" i="16"/>
  <c r="G5109" i="16"/>
  <c r="H5109" i="16"/>
  <c r="G5110" i="16"/>
  <c r="H5110" i="16"/>
  <c r="G5111" i="16"/>
  <c r="H5111" i="16"/>
  <c r="G5112" i="16"/>
  <c r="H5112" i="16"/>
  <c r="G5113" i="16"/>
  <c r="H5113" i="16"/>
  <c r="G5114" i="16"/>
  <c r="H5114" i="16"/>
  <c r="G5115" i="16"/>
  <c r="H5115" i="16"/>
  <c r="G5116" i="16"/>
  <c r="H5116" i="16"/>
  <c r="G5117" i="16"/>
  <c r="H5117" i="16"/>
  <c r="G5118" i="16"/>
  <c r="H5118" i="16"/>
  <c r="G5119" i="16"/>
  <c r="H5119" i="16"/>
  <c r="G5120" i="16"/>
  <c r="H5120" i="16"/>
  <c r="G5121" i="16"/>
  <c r="H5121" i="16"/>
  <c r="G5122" i="16"/>
  <c r="H5122" i="16"/>
  <c r="G5123" i="16"/>
  <c r="H5123" i="16"/>
  <c r="G5124" i="16"/>
  <c r="H5124" i="16"/>
  <c r="G5125" i="16"/>
  <c r="H5125" i="16"/>
  <c r="G5126" i="16"/>
  <c r="H5126" i="16"/>
  <c r="G5127" i="16"/>
  <c r="H5127" i="16"/>
  <c r="G5128" i="16"/>
  <c r="H5128" i="16"/>
  <c r="G5129" i="16"/>
  <c r="H5129" i="16"/>
  <c r="G5130" i="16"/>
  <c r="H5130" i="16"/>
  <c r="G5131" i="16"/>
  <c r="H5131" i="16"/>
  <c r="G5132" i="16"/>
  <c r="H5132" i="16"/>
  <c r="G5133" i="16"/>
  <c r="H5133" i="16"/>
  <c r="G5134" i="16"/>
  <c r="H5134" i="16"/>
  <c r="G5135" i="16"/>
  <c r="H5135" i="16"/>
  <c r="G5136" i="16"/>
  <c r="H5136" i="16"/>
  <c r="G5137" i="16"/>
  <c r="H5137" i="16"/>
  <c r="G5138" i="16"/>
  <c r="H5138" i="16"/>
  <c r="G5139" i="16"/>
  <c r="H5139" i="16"/>
  <c r="G5140" i="16"/>
  <c r="H5140" i="16"/>
  <c r="G5141" i="16"/>
  <c r="H5141" i="16"/>
  <c r="G5142" i="16"/>
  <c r="H5142" i="16"/>
  <c r="G5143" i="16"/>
  <c r="H5143" i="16"/>
  <c r="G5144" i="16"/>
  <c r="H5144" i="16"/>
  <c r="G5145" i="16"/>
  <c r="H5145" i="16"/>
  <c r="G5146" i="16"/>
  <c r="H5146" i="16"/>
  <c r="G5147" i="16"/>
  <c r="H5147" i="16"/>
  <c r="G5148" i="16"/>
  <c r="H5148" i="16"/>
  <c r="G5149" i="16"/>
  <c r="H5149" i="16"/>
  <c r="G5150" i="16"/>
  <c r="H5150" i="16"/>
  <c r="G5151" i="16"/>
  <c r="H5151" i="16"/>
  <c r="G5152" i="16"/>
  <c r="H5152" i="16"/>
  <c r="G5153" i="16"/>
  <c r="H5153" i="16"/>
  <c r="G5154" i="16"/>
  <c r="H5154" i="16"/>
  <c r="G5155" i="16"/>
  <c r="H5155" i="16"/>
  <c r="G5156" i="16"/>
  <c r="H5156" i="16"/>
  <c r="G5157" i="16"/>
  <c r="H5157" i="16"/>
  <c r="G5158" i="16"/>
  <c r="H5158" i="16"/>
  <c r="G5159" i="16"/>
  <c r="H5159" i="16"/>
  <c r="G5160" i="16"/>
  <c r="H5160" i="16"/>
  <c r="G5161" i="16"/>
  <c r="H5161" i="16"/>
  <c r="G5162" i="16"/>
  <c r="H5162" i="16"/>
  <c r="G5163" i="16"/>
  <c r="H5163" i="16"/>
  <c r="G5164" i="16"/>
  <c r="H5164" i="16"/>
  <c r="G5165" i="16"/>
  <c r="H5165" i="16"/>
  <c r="G5166" i="16"/>
  <c r="H5166" i="16"/>
  <c r="G5167" i="16"/>
  <c r="H5167" i="16"/>
  <c r="G5168" i="16"/>
  <c r="H5168" i="16"/>
  <c r="G5169" i="16"/>
  <c r="H5169" i="16"/>
  <c r="G5170" i="16"/>
  <c r="H5170" i="16"/>
  <c r="G5171" i="16"/>
  <c r="H5171" i="16"/>
  <c r="G5172" i="16"/>
  <c r="H5172" i="16"/>
  <c r="G5173" i="16"/>
  <c r="H5173" i="16"/>
  <c r="G5174" i="16"/>
  <c r="H5174" i="16"/>
  <c r="G5175" i="16"/>
  <c r="H5175" i="16"/>
  <c r="G5176" i="16"/>
  <c r="H5176" i="16"/>
  <c r="G5177" i="16"/>
  <c r="H5177" i="16"/>
  <c r="G5178" i="16"/>
  <c r="H5178" i="16"/>
  <c r="G5179" i="16"/>
  <c r="H5179" i="16"/>
  <c r="G5180" i="16"/>
  <c r="H5180" i="16"/>
  <c r="G5181" i="16"/>
  <c r="H5181" i="16"/>
  <c r="G5182" i="16"/>
  <c r="H5182" i="16"/>
  <c r="G5183" i="16"/>
  <c r="H5183" i="16"/>
  <c r="G5184" i="16"/>
  <c r="H5184" i="16"/>
  <c r="G5185" i="16"/>
  <c r="H5185" i="16"/>
  <c r="G5186" i="16"/>
  <c r="H5186" i="16"/>
  <c r="G5187" i="16"/>
  <c r="H5187" i="16"/>
  <c r="G5188" i="16"/>
  <c r="H5188" i="16"/>
  <c r="G5189" i="16"/>
  <c r="H5189" i="16"/>
  <c r="G5190" i="16"/>
  <c r="H5190" i="16"/>
  <c r="G5191" i="16"/>
  <c r="H5191" i="16"/>
  <c r="G5192" i="16"/>
  <c r="H5192" i="16"/>
  <c r="G5193" i="16"/>
  <c r="H5193" i="16"/>
  <c r="G5194" i="16"/>
  <c r="H5194" i="16"/>
  <c r="G5195" i="16"/>
  <c r="H5195" i="16"/>
  <c r="G5196" i="16"/>
  <c r="H5196" i="16"/>
  <c r="G5197" i="16"/>
  <c r="H5197" i="16"/>
  <c r="G5198" i="16"/>
  <c r="H5198" i="16"/>
  <c r="G5199" i="16"/>
  <c r="H5199" i="16"/>
  <c r="G5200" i="16"/>
  <c r="H5200" i="16"/>
  <c r="G5201" i="16"/>
  <c r="H5201" i="16"/>
  <c r="G5202" i="16"/>
  <c r="H5202" i="16"/>
  <c r="G5203" i="16"/>
  <c r="H5203" i="16"/>
  <c r="G5204" i="16"/>
  <c r="H5204" i="16"/>
  <c r="G5205" i="16"/>
  <c r="H5205" i="16"/>
  <c r="G5206" i="16"/>
  <c r="H5206" i="16"/>
  <c r="G5207" i="16"/>
  <c r="H5207" i="16"/>
  <c r="G5208" i="16"/>
  <c r="H5208" i="16"/>
  <c r="G5209" i="16"/>
  <c r="H5209" i="16"/>
  <c r="G5210" i="16"/>
  <c r="H5210" i="16"/>
  <c r="G5211" i="16"/>
  <c r="H5211" i="16"/>
  <c r="G5212" i="16"/>
  <c r="H5212" i="16"/>
  <c r="G5213" i="16"/>
  <c r="H5213" i="16"/>
  <c r="G5214" i="16"/>
  <c r="H5214" i="16"/>
  <c r="G5215" i="16"/>
  <c r="H5215" i="16"/>
  <c r="G5216" i="16"/>
  <c r="H5216" i="16"/>
  <c r="G5217" i="16"/>
  <c r="H5217" i="16"/>
  <c r="G5218" i="16"/>
  <c r="H5218" i="16"/>
  <c r="G5219" i="16"/>
  <c r="H5219" i="16"/>
  <c r="G5220" i="16"/>
  <c r="H5220" i="16"/>
  <c r="G5221" i="16"/>
  <c r="H5221" i="16"/>
  <c r="G5222" i="16"/>
  <c r="H5222" i="16"/>
  <c r="G5223" i="16"/>
  <c r="H5223" i="16"/>
  <c r="G5224" i="16"/>
  <c r="H5224" i="16"/>
  <c r="G5225" i="16"/>
  <c r="H5225" i="16"/>
  <c r="G5226" i="16"/>
  <c r="H5226" i="16"/>
  <c r="G5227" i="16"/>
  <c r="H5227" i="16"/>
  <c r="G5228" i="16"/>
  <c r="H5228" i="16"/>
  <c r="G5229" i="16"/>
  <c r="H5229" i="16"/>
  <c r="G5230" i="16"/>
  <c r="H5230" i="16"/>
  <c r="G5231" i="16"/>
  <c r="H5231" i="16"/>
  <c r="G5232" i="16"/>
  <c r="H5232" i="16"/>
  <c r="G5233" i="16"/>
  <c r="H5233" i="16"/>
  <c r="G5234" i="16"/>
  <c r="H5234" i="16"/>
  <c r="G5235" i="16"/>
  <c r="H5235" i="16"/>
  <c r="G5236" i="16"/>
  <c r="H5236" i="16"/>
  <c r="G5237" i="16"/>
  <c r="H5237" i="16"/>
  <c r="G5238" i="16"/>
  <c r="H5238" i="16"/>
  <c r="G5239" i="16"/>
  <c r="H5239" i="16"/>
  <c r="G5240" i="16"/>
  <c r="H5240" i="16"/>
  <c r="G5241" i="16"/>
  <c r="H5241" i="16"/>
  <c r="G5242" i="16"/>
  <c r="H5242" i="16"/>
  <c r="G5243" i="16"/>
  <c r="H5243" i="16"/>
  <c r="G5244" i="16"/>
  <c r="H5244" i="16"/>
  <c r="G5245" i="16"/>
  <c r="H5245" i="16"/>
  <c r="G5246" i="16"/>
  <c r="H5246" i="16"/>
  <c r="G5247" i="16"/>
  <c r="H5247" i="16"/>
  <c r="G5248" i="16"/>
  <c r="H5248" i="16"/>
  <c r="G5249" i="16"/>
  <c r="H5249" i="16"/>
  <c r="G5250" i="16"/>
  <c r="H5250" i="16"/>
  <c r="G5251" i="16"/>
  <c r="H5251" i="16"/>
  <c r="G5252" i="16"/>
  <c r="H5252" i="16"/>
  <c r="G5253" i="16"/>
  <c r="H5253" i="16"/>
  <c r="G5254" i="16"/>
  <c r="H5254" i="16"/>
  <c r="G5255" i="16"/>
  <c r="H5255" i="16"/>
  <c r="G5256" i="16"/>
  <c r="H5256" i="16"/>
  <c r="G5257" i="16"/>
  <c r="H5257" i="16"/>
  <c r="G5258" i="16"/>
  <c r="H5258" i="16"/>
  <c r="G5259" i="16"/>
  <c r="H5259" i="16"/>
  <c r="G5260" i="16"/>
  <c r="H5260" i="16"/>
  <c r="G5261" i="16"/>
  <c r="H5261" i="16"/>
  <c r="G5262" i="16"/>
  <c r="H5262" i="16"/>
  <c r="G5263" i="16"/>
  <c r="H5263" i="16"/>
  <c r="G5264" i="16"/>
  <c r="H5264" i="16"/>
  <c r="G5265" i="16"/>
  <c r="H5265" i="16"/>
  <c r="G5266" i="16"/>
  <c r="H5266" i="16"/>
  <c r="G5267" i="16"/>
  <c r="H5267" i="16"/>
  <c r="G5268" i="16"/>
  <c r="H5268" i="16"/>
  <c r="G5269" i="16"/>
  <c r="H5269" i="16"/>
  <c r="G5270" i="16"/>
  <c r="H5270" i="16"/>
  <c r="G5271" i="16"/>
  <c r="H5271" i="16"/>
  <c r="G5272" i="16"/>
  <c r="H5272" i="16"/>
  <c r="G5273" i="16"/>
  <c r="H5273" i="16"/>
  <c r="G5274" i="16"/>
  <c r="H5274" i="16"/>
  <c r="G5275" i="16"/>
  <c r="H5275" i="16"/>
  <c r="G5276" i="16"/>
  <c r="H5276" i="16"/>
  <c r="G5277" i="16"/>
  <c r="H5277" i="16"/>
  <c r="G5278" i="16"/>
  <c r="H5278" i="16"/>
  <c r="G5279" i="16"/>
  <c r="H5279" i="16"/>
  <c r="G5280" i="16"/>
  <c r="H5280" i="16"/>
  <c r="G5281" i="16"/>
  <c r="H5281" i="16"/>
  <c r="G5282" i="16"/>
  <c r="H5282" i="16"/>
  <c r="G5283" i="16"/>
  <c r="H5283" i="16"/>
  <c r="G5284" i="16"/>
  <c r="H5284" i="16"/>
  <c r="G5285" i="16"/>
  <c r="H5285" i="16"/>
  <c r="G5286" i="16"/>
  <c r="H5286" i="16"/>
  <c r="G5287" i="16"/>
  <c r="H5287" i="16"/>
  <c r="G5288" i="16"/>
  <c r="H5288" i="16"/>
  <c r="G5289" i="16"/>
  <c r="H5289" i="16"/>
  <c r="G5290" i="16"/>
  <c r="H5290" i="16"/>
  <c r="G5291" i="16"/>
  <c r="H5291" i="16"/>
  <c r="G5292" i="16"/>
  <c r="H5292" i="16"/>
  <c r="G5293" i="16"/>
  <c r="H5293" i="16"/>
  <c r="G5294" i="16"/>
  <c r="H5294" i="16"/>
  <c r="G5295" i="16"/>
  <c r="H5295" i="16"/>
  <c r="G5296" i="16"/>
  <c r="H5296" i="16"/>
  <c r="G5297" i="16"/>
  <c r="H5297" i="16"/>
  <c r="G5298" i="16"/>
  <c r="H5298" i="16"/>
  <c r="G5299" i="16"/>
  <c r="H5299" i="16"/>
  <c r="G5300" i="16"/>
  <c r="H5300" i="16"/>
  <c r="G5301" i="16"/>
  <c r="H5301" i="16"/>
  <c r="G5302" i="16"/>
  <c r="H5302" i="16"/>
  <c r="G5303" i="16"/>
  <c r="H5303" i="16"/>
  <c r="G5304" i="16"/>
  <c r="H5304" i="16"/>
  <c r="G5305" i="16"/>
  <c r="H5305" i="16"/>
  <c r="G5306" i="16"/>
  <c r="H5306" i="16"/>
  <c r="G5307" i="16"/>
  <c r="H5307" i="16"/>
  <c r="G5308" i="16"/>
  <c r="H5308" i="16"/>
  <c r="G5309" i="16"/>
  <c r="H5309" i="16"/>
  <c r="G5310" i="16"/>
  <c r="H5310" i="16"/>
  <c r="G5311" i="16"/>
  <c r="H5311" i="16"/>
  <c r="G5312" i="16"/>
  <c r="H5312" i="16"/>
  <c r="G5313" i="16"/>
  <c r="H5313" i="16"/>
  <c r="G5314" i="16"/>
  <c r="H5314" i="16"/>
  <c r="G5315" i="16"/>
  <c r="H5315" i="16"/>
  <c r="G5316" i="16"/>
  <c r="H5316" i="16"/>
  <c r="G5317" i="16"/>
  <c r="H5317" i="16"/>
  <c r="G5318" i="16"/>
  <c r="H5318" i="16"/>
  <c r="G5319" i="16"/>
  <c r="H5319" i="16"/>
  <c r="G5320" i="16"/>
  <c r="H5320" i="16"/>
  <c r="G5321" i="16"/>
  <c r="H5321" i="16"/>
  <c r="G5322" i="16"/>
  <c r="H5322" i="16"/>
  <c r="G5323" i="16"/>
  <c r="H5323" i="16"/>
  <c r="G5324" i="16"/>
  <c r="H5324" i="16"/>
  <c r="G5325" i="16"/>
  <c r="H5325" i="16"/>
  <c r="G5326" i="16"/>
  <c r="H5326" i="16"/>
  <c r="G5327" i="16"/>
  <c r="H5327" i="16"/>
  <c r="G5328" i="16"/>
  <c r="H5328" i="16"/>
  <c r="G5329" i="16"/>
  <c r="H5329" i="16"/>
  <c r="G5330" i="16"/>
  <c r="H5330" i="16"/>
  <c r="G5331" i="16"/>
  <c r="H5331" i="16"/>
  <c r="G5332" i="16"/>
  <c r="H5332" i="16"/>
  <c r="G5333" i="16"/>
  <c r="H5333" i="16"/>
  <c r="G5334" i="16"/>
  <c r="H5334" i="16"/>
  <c r="G5335" i="16"/>
  <c r="H5335" i="16"/>
  <c r="G5336" i="16"/>
  <c r="H5336" i="16"/>
  <c r="G5337" i="16"/>
  <c r="H5337" i="16"/>
  <c r="G5338" i="16"/>
  <c r="H5338" i="16"/>
  <c r="G5339" i="16"/>
  <c r="H5339" i="16"/>
  <c r="G5340" i="16"/>
  <c r="H5340" i="16"/>
  <c r="G5341" i="16"/>
  <c r="H5341" i="16"/>
  <c r="G5342" i="16"/>
  <c r="H5342" i="16"/>
  <c r="G5343" i="16"/>
  <c r="H5343" i="16"/>
  <c r="G5344" i="16"/>
  <c r="H5344" i="16"/>
  <c r="G5345" i="16"/>
  <c r="H5345" i="16"/>
  <c r="G5346" i="16"/>
  <c r="H5346" i="16"/>
  <c r="G5347" i="16"/>
  <c r="H5347" i="16"/>
  <c r="G5348" i="16"/>
  <c r="H5348" i="16"/>
  <c r="G5349" i="16"/>
  <c r="H5349" i="16"/>
  <c r="G5350" i="16"/>
  <c r="H5350" i="16"/>
  <c r="G5351" i="16"/>
  <c r="H5351" i="16"/>
  <c r="G5352" i="16"/>
  <c r="H5352" i="16"/>
  <c r="G5353" i="16"/>
  <c r="H5353" i="16"/>
  <c r="G5354" i="16"/>
  <c r="H5354" i="16"/>
  <c r="G5355" i="16"/>
  <c r="H5355" i="16"/>
  <c r="G5356" i="16"/>
  <c r="H5356" i="16"/>
  <c r="G5357" i="16"/>
  <c r="H5357" i="16"/>
  <c r="G5358" i="16"/>
  <c r="H5358" i="16"/>
  <c r="G5359" i="16"/>
  <c r="H5359" i="16"/>
  <c r="G5360" i="16"/>
  <c r="H5360" i="16"/>
  <c r="G5361" i="16"/>
  <c r="H5361" i="16"/>
  <c r="G5362" i="16"/>
  <c r="H5362" i="16"/>
  <c r="G5363" i="16"/>
  <c r="H5363" i="16"/>
  <c r="G5364" i="16"/>
  <c r="H5364" i="16"/>
  <c r="G5365" i="16"/>
  <c r="H5365" i="16"/>
  <c r="G5366" i="16"/>
  <c r="H5366" i="16"/>
  <c r="G5367" i="16"/>
  <c r="H5367" i="16"/>
  <c r="G5368" i="16"/>
  <c r="H5368" i="16"/>
  <c r="G5369" i="16"/>
  <c r="H5369" i="16"/>
  <c r="G5370" i="16"/>
  <c r="H5370" i="16"/>
  <c r="G5371" i="16"/>
  <c r="H5371" i="16"/>
  <c r="G5372" i="16"/>
  <c r="H5372" i="16"/>
  <c r="G5373" i="16"/>
  <c r="H5373" i="16"/>
  <c r="G5374" i="16"/>
  <c r="H5374" i="16"/>
  <c r="G5375" i="16"/>
  <c r="H5375" i="16"/>
  <c r="G5376" i="16"/>
  <c r="H5376" i="16"/>
  <c r="G5377" i="16"/>
  <c r="H5377" i="16"/>
  <c r="G5378" i="16"/>
  <c r="H5378" i="16"/>
  <c r="G5379" i="16"/>
  <c r="H5379" i="16"/>
  <c r="G5380" i="16"/>
  <c r="H5380" i="16"/>
  <c r="G5381" i="16"/>
  <c r="H5381" i="16"/>
  <c r="G5382" i="16"/>
  <c r="H5382" i="16"/>
  <c r="G5383" i="16"/>
  <c r="H5383" i="16"/>
  <c r="G5384" i="16"/>
  <c r="H5384" i="16"/>
  <c r="G5385" i="16"/>
  <c r="H5385" i="16"/>
  <c r="G5386" i="16"/>
  <c r="H5386" i="16"/>
  <c r="G5387" i="16"/>
  <c r="H5387" i="16"/>
  <c r="G5388" i="16"/>
  <c r="H5388" i="16"/>
  <c r="G5389" i="16"/>
  <c r="H5389" i="16"/>
  <c r="G5390" i="16"/>
  <c r="H5390" i="16"/>
  <c r="G5391" i="16"/>
  <c r="H5391" i="16"/>
  <c r="G5392" i="16"/>
  <c r="H5392" i="16"/>
  <c r="G5393" i="16"/>
  <c r="H5393" i="16"/>
  <c r="G5394" i="16"/>
  <c r="H5394" i="16"/>
  <c r="G5395" i="16"/>
  <c r="H5395" i="16"/>
  <c r="G5396" i="16"/>
  <c r="H5396" i="16"/>
  <c r="G5397" i="16"/>
  <c r="H5397" i="16"/>
  <c r="G5398" i="16"/>
  <c r="H5398" i="16"/>
  <c r="G5399" i="16"/>
  <c r="H5399" i="16"/>
  <c r="G5400" i="16"/>
  <c r="H5400" i="16"/>
  <c r="G5401" i="16"/>
  <c r="H5401" i="16"/>
  <c r="G5402" i="16"/>
  <c r="H5402" i="16"/>
  <c r="G5403" i="16"/>
  <c r="H5403" i="16"/>
  <c r="G5404" i="16"/>
  <c r="H5404" i="16"/>
  <c r="G5405" i="16"/>
  <c r="H5405" i="16"/>
  <c r="G5406" i="16"/>
  <c r="H5406" i="16"/>
  <c r="G5407" i="16"/>
  <c r="H5407" i="16"/>
  <c r="G5408" i="16"/>
  <c r="H5408" i="16"/>
  <c r="G5409" i="16"/>
  <c r="H5409" i="16"/>
  <c r="G5410" i="16"/>
  <c r="H5410" i="16"/>
  <c r="G5411" i="16"/>
  <c r="H5411" i="16"/>
  <c r="G5412" i="16"/>
  <c r="H5412" i="16"/>
  <c r="G5413" i="16"/>
  <c r="H5413" i="16"/>
  <c r="G5414" i="16"/>
  <c r="H5414" i="16"/>
  <c r="G5415" i="16"/>
  <c r="H5415" i="16"/>
  <c r="G5416" i="16"/>
  <c r="H5416" i="16"/>
  <c r="G5417" i="16"/>
  <c r="H5417" i="16"/>
  <c r="G5418" i="16"/>
  <c r="H5418" i="16"/>
  <c r="G5419" i="16"/>
  <c r="H5419" i="16"/>
  <c r="G5420" i="16"/>
  <c r="H5420" i="16"/>
  <c r="G5421" i="16"/>
  <c r="H5421" i="16"/>
  <c r="G5422" i="16"/>
  <c r="H5422" i="16"/>
  <c r="G5423" i="16"/>
  <c r="H5423" i="16"/>
  <c r="G5424" i="16"/>
  <c r="H5424" i="16"/>
  <c r="G5425" i="16"/>
  <c r="H5425" i="16"/>
  <c r="G5426" i="16"/>
  <c r="H5426" i="16"/>
  <c r="G5427" i="16"/>
  <c r="H5427" i="16"/>
  <c r="G5428" i="16"/>
  <c r="H5428" i="16"/>
  <c r="G5429" i="16"/>
  <c r="H5429" i="16"/>
  <c r="G5430" i="16"/>
  <c r="H5430" i="16"/>
  <c r="G5431" i="16"/>
  <c r="H5431" i="16"/>
  <c r="G5432" i="16"/>
  <c r="H5432" i="16"/>
  <c r="G5433" i="16"/>
  <c r="H5433" i="16"/>
  <c r="G5434" i="16"/>
  <c r="H5434" i="16"/>
  <c r="G5435" i="16"/>
  <c r="H5435" i="16"/>
  <c r="G5436" i="16"/>
  <c r="H5436" i="16"/>
  <c r="G5437" i="16"/>
  <c r="H5437" i="16"/>
  <c r="G5438" i="16"/>
  <c r="H5438" i="16"/>
  <c r="G5439" i="16"/>
  <c r="H5439" i="16"/>
  <c r="G5440" i="16"/>
  <c r="H5440" i="16"/>
  <c r="G5441" i="16"/>
  <c r="H5441" i="16"/>
  <c r="G5442" i="16"/>
  <c r="H5442" i="16"/>
  <c r="G5443" i="16"/>
  <c r="H5443" i="16"/>
  <c r="G5444" i="16"/>
  <c r="H5444" i="16"/>
  <c r="G5445" i="16"/>
  <c r="H5445" i="16"/>
  <c r="G5446" i="16"/>
  <c r="H5446" i="16"/>
  <c r="G5447" i="16"/>
  <c r="H5447" i="16"/>
  <c r="G5448" i="16"/>
  <c r="H5448" i="16"/>
  <c r="G5449" i="16"/>
  <c r="H5449" i="16"/>
  <c r="G5450" i="16"/>
  <c r="H5450" i="16"/>
  <c r="G5451" i="16"/>
  <c r="H5451" i="16"/>
  <c r="G5452" i="16"/>
  <c r="H5452" i="16"/>
  <c r="G5453" i="16"/>
  <c r="H5453" i="16"/>
  <c r="G5454" i="16"/>
  <c r="H5454" i="16"/>
  <c r="G5455" i="16"/>
  <c r="H5455" i="16"/>
  <c r="G5456" i="16"/>
  <c r="H5456" i="16"/>
  <c r="G5457" i="16"/>
  <c r="H5457" i="16"/>
  <c r="G5458" i="16"/>
  <c r="H5458" i="16"/>
  <c r="G5459" i="16"/>
  <c r="H5459" i="16"/>
  <c r="G5460" i="16"/>
  <c r="H5460" i="16"/>
  <c r="G5461" i="16"/>
  <c r="H5461" i="16"/>
  <c r="G5462" i="16"/>
  <c r="H5462" i="16"/>
  <c r="G5463" i="16"/>
  <c r="H5463" i="16"/>
  <c r="G5464" i="16"/>
  <c r="H5464" i="16"/>
  <c r="G5465" i="16"/>
  <c r="H5465" i="16"/>
  <c r="G5466" i="16"/>
  <c r="H5466" i="16"/>
  <c r="G5467" i="16"/>
  <c r="H5467" i="16"/>
  <c r="G5468" i="16"/>
  <c r="H5468" i="16"/>
  <c r="G5469" i="16"/>
  <c r="H5469" i="16"/>
  <c r="G5470" i="16"/>
  <c r="H5470" i="16"/>
  <c r="G5471" i="16"/>
  <c r="H5471" i="16"/>
  <c r="G5472" i="16"/>
  <c r="H5472" i="16"/>
  <c r="G5473" i="16"/>
  <c r="H5473" i="16"/>
  <c r="G5474" i="16"/>
  <c r="H5474" i="16"/>
  <c r="G5475" i="16"/>
  <c r="H5475" i="16"/>
  <c r="G5476" i="16"/>
  <c r="H5476" i="16"/>
  <c r="G5477" i="16"/>
  <c r="H5477" i="16"/>
  <c r="G5478" i="16"/>
  <c r="H5478" i="16"/>
  <c r="G5479" i="16"/>
  <c r="H5479" i="16"/>
  <c r="G5480" i="16"/>
  <c r="H5480" i="16"/>
  <c r="G5481" i="16"/>
  <c r="H5481" i="16"/>
  <c r="G5482" i="16"/>
  <c r="H5482" i="16"/>
  <c r="G5483" i="16"/>
  <c r="H5483" i="16"/>
  <c r="G5484" i="16"/>
  <c r="H5484" i="16"/>
  <c r="G5485" i="16"/>
  <c r="H5485" i="16"/>
  <c r="G5486" i="16"/>
  <c r="H5486" i="16"/>
  <c r="G5487" i="16"/>
  <c r="H5487" i="16"/>
  <c r="G5488" i="16"/>
  <c r="H5488" i="16"/>
  <c r="G5489" i="16"/>
  <c r="H5489" i="16"/>
  <c r="G5490" i="16"/>
  <c r="H5490" i="16"/>
  <c r="G5491" i="16"/>
  <c r="H5491" i="16"/>
  <c r="G5492" i="16"/>
  <c r="H5492" i="16"/>
  <c r="G5493" i="16"/>
  <c r="H5493" i="16"/>
  <c r="G5494" i="16"/>
  <c r="H5494" i="16"/>
  <c r="G5495" i="16"/>
  <c r="H5495" i="16"/>
  <c r="G5496" i="16"/>
  <c r="H5496" i="16"/>
  <c r="G5497" i="16"/>
  <c r="H5497" i="16"/>
  <c r="G5498" i="16"/>
  <c r="H5498" i="16"/>
  <c r="G5499" i="16"/>
  <c r="H5499" i="16"/>
  <c r="G5500" i="16"/>
  <c r="H5500" i="16"/>
  <c r="G5501" i="16"/>
  <c r="H5501" i="16"/>
  <c r="G5502" i="16"/>
  <c r="H5502" i="16"/>
  <c r="G5503" i="16"/>
  <c r="H5503" i="16"/>
  <c r="G5504" i="16"/>
  <c r="H5504" i="16"/>
  <c r="G5505" i="16"/>
  <c r="H5505" i="16"/>
  <c r="G5506" i="16"/>
  <c r="H5506" i="16"/>
  <c r="G5507" i="16"/>
  <c r="H5507" i="16"/>
  <c r="G5508" i="16"/>
  <c r="H5508" i="16"/>
  <c r="G5509" i="16"/>
  <c r="H5509" i="16"/>
  <c r="G5510" i="16"/>
  <c r="H5510" i="16"/>
  <c r="G5511" i="16"/>
  <c r="H5511" i="16"/>
  <c r="G5512" i="16"/>
  <c r="H5512" i="16"/>
  <c r="G5513" i="16"/>
  <c r="H5513" i="16"/>
  <c r="G5514" i="16"/>
  <c r="H5514" i="16"/>
  <c r="G5515" i="16"/>
  <c r="H5515" i="16"/>
  <c r="G5516" i="16"/>
  <c r="H5516" i="16"/>
  <c r="G5517" i="16"/>
  <c r="H5517" i="16"/>
  <c r="G5518" i="16"/>
  <c r="H5518" i="16"/>
  <c r="G5519" i="16"/>
  <c r="H5519" i="16"/>
  <c r="G5520" i="16"/>
  <c r="H5520" i="16"/>
  <c r="G5521" i="16"/>
  <c r="H5521" i="16"/>
  <c r="G5522" i="16"/>
  <c r="H5522" i="16"/>
  <c r="G5523" i="16"/>
  <c r="H5523" i="16"/>
  <c r="G5524" i="16"/>
  <c r="H5524" i="16"/>
  <c r="G5525" i="16"/>
  <c r="H5525" i="16"/>
  <c r="G5526" i="16"/>
  <c r="H5526" i="16"/>
  <c r="G5527" i="16"/>
  <c r="H5527" i="16"/>
  <c r="G5528" i="16"/>
  <c r="H5528" i="16"/>
  <c r="G5529" i="16"/>
  <c r="H5529" i="16"/>
  <c r="G5530" i="16"/>
  <c r="H5530" i="16"/>
  <c r="G5531" i="16"/>
  <c r="H5531" i="16"/>
  <c r="G5532" i="16"/>
  <c r="H5532" i="16"/>
  <c r="G5533" i="16"/>
  <c r="H5533" i="16"/>
  <c r="G5534" i="16"/>
  <c r="H5534" i="16"/>
  <c r="G5535" i="16"/>
  <c r="H5535" i="16"/>
  <c r="G5536" i="16"/>
  <c r="H5536" i="16"/>
  <c r="G5537" i="16"/>
  <c r="H5537" i="16"/>
  <c r="G5538" i="16"/>
  <c r="H5538" i="16"/>
  <c r="G5539" i="16"/>
  <c r="H5539" i="16"/>
  <c r="G5540" i="16"/>
  <c r="H5540" i="16"/>
  <c r="G5541" i="16"/>
  <c r="H5541" i="16"/>
  <c r="G5542" i="16"/>
  <c r="H5542" i="16"/>
  <c r="G5543" i="16"/>
  <c r="H5543" i="16"/>
  <c r="G5544" i="16"/>
  <c r="H5544" i="16"/>
  <c r="G5545" i="16"/>
  <c r="H5545" i="16"/>
  <c r="G5546" i="16"/>
  <c r="H5546" i="16"/>
  <c r="G5547" i="16"/>
  <c r="H5547" i="16"/>
  <c r="G5548" i="16"/>
  <c r="H5548" i="16"/>
  <c r="G5549" i="16"/>
  <c r="H5549" i="16"/>
  <c r="G5550" i="16"/>
  <c r="H5550" i="16"/>
  <c r="G5551" i="16"/>
  <c r="H5551" i="16"/>
  <c r="G5552" i="16"/>
  <c r="H5552" i="16"/>
  <c r="G5553" i="16"/>
  <c r="H5553" i="16"/>
  <c r="G5554" i="16"/>
  <c r="H5554" i="16"/>
  <c r="G5555" i="16"/>
  <c r="H5555" i="16"/>
  <c r="G5556" i="16"/>
  <c r="H5556" i="16"/>
  <c r="G5557" i="16"/>
  <c r="H5557" i="16"/>
  <c r="G5558" i="16"/>
  <c r="H5558" i="16"/>
  <c r="G5559" i="16"/>
  <c r="H5559" i="16"/>
  <c r="G5560" i="16"/>
  <c r="H5560" i="16"/>
  <c r="G5561" i="16"/>
  <c r="H5561" i="16"/>
  <c r="G5562" i="16"/>
  <c r="H5562" i="16"/>
  <c r="G5563" i="16"/>
  <c r="H5563" i="16"/>
  <c r="G5564" i="16"/>
  <c r="H5564" i="16"/>
  <c r="G5565" i="16"/>
  <c r="H5565" i="16"/>
  <c r="G5566" i="16"/>
  <c r="H5566" i="16"/>
  <c r="G5567" i="16"/>
  <c r="H5567" i="16"/>
  <c r="G5568" i="16"/>
  <c r="H5568" i="16"/>
  <c r="G5569" i="16"/>
  <c r="H5569" i="16"/>
  <c r="G5570" i="16"/>
  <c r="H5570" i="16"/>
  <c r="G5571" i="16"/>
  <c r="H5571" i="16"/>
  <c r="G5572" i="16"/>
  <c r="H5572" i="16"/>
  <c r="G5573" i="16"/>
  <c r="H5573" i="16"/>
  <c r="G5574" i="16"/>
  <c r="H5574" i="16"/>
  <c r="G5575" i="16"/>
  <c r="H5575" i="16"/>
  <c r="G5576" i="16"/>
  <c r="H5576" i="16"/>
  <c r="G5577" i="16"/>
  <c r="H5577" i="16"/>
  <c r="G5578" i="16"/>
  <c r="H5578" i="16"/>
  <c r="G5579" i="16"/>
  <c r="H5579" i="16"/>
  <c r="G5580" i="16"/>
  <c r="H5580" i="16"/>
  <c r="G5581" i="16"/>
  <c r="H5581" i="16"/>
  <c r="G5582" i="16"/>
  <c r="H5582" i="16"/>
  <c r="G5583" i="16"/>
  <c r="H5583" i="16"/>
  <c r="G5584" i="16"/>
  <c r="H5584" i="16"/>
  <c r="G5585" i="16"/>
  <c r="H5585" i="16"/>
  <c r="G5586" i="16"/>
  <c r="H5586" i="16"/>
  <c r="G5587" i="16"/>
  <c r="H5587" i="16"/>
  <c r="G5588" i="16"/>
  <c r="H5588" i="16"/>
  <c r="G5589" i="16"/>
  <c r="H5589" i="16"/>
  <c r="G5590" i="16"/>
  <c r="H5590" i="16"/>
  <c r="G5591" i="16"/>
  <c r="H5591" i="16"/>
  <c r="G5592" i="16"/>
  <c r="H5592" i="16"/>
  <c r="G5593" i="16"/>
  <c r="H5593" i="16"/>
  <c r="G5594" i="16"/>
  <c r="H5594" i="16"/>
  <c r="G5595" i="16"/>
  <c r="H5595" i="16"/>
  <c r="G5596" i="16"/>
  <c r="H5596" i="16"/>
  <c r="G5597" i="16"/>
  <c r="H5597" i="16"/>
  <c r="G5598" i="16"/>
  <c r="H5598" i="16"/>
  <c r="G5599" i="16"/>
  <c r="H5599" i="16"/>
  <c r="G5600" i="16"/>
  <c r="H5600" i="16"/>
  <c r="G5601" i="16"/>
  <c r="H5601" i="16"/>
  <c r="G5602" i="16"/>
  <c r="H5602" i="16"/>
  <c r="G5603" i="16"/>
  <c r="H5603" i="16"/>
  <c r="G5604" i="16"/>
  <c r="H5604" i="16"/>
  <c r="G5605" i="16"/>
  <c r="H5605" i="16"/>
  <c r="G5606" i="16"/>
  <c r="H5606" i="16"/>
  <c r="G5607" i="16"/>
  <c r="H5607" i="16"/>
  <c r="G5608" i="16"/>
  <c r="H5608" i="16"/>
  <c r="G5609" i="16"/>
  <c r="H5609" i="16"/>
  <c r="G5610" i="16"/>
  <c r="H5610" i="16"/>
  <c r="G5611" i="16"/>
  <c r="H5611" i="16"/>
  <c r="G5612" i="16"/>
  <c r="H5612" i="16"/>
  <c r="G5613" i="16"/>
  <c r="H5613" i="16"/>
  <c r="G5614" i="16"/>
  <c r="H5614" i="16"/>
  <c r="G5615" i="16"/>
  <c r="H5615" i="16"/>
  <c r="G5616" i="16"/>
  <c r="H5616" i="16"/>
  <c r="G5617" i="16"/>
  <c r="H5617" i="16"/>
  <c r="G5618" i="16"/>
  <c r="H5618" i="16"/>
  <c r="G5619" i="16"/>
  <c r="H5619" i="16"/>
  <c r="G5620" i="16"/>
  <c r="H5620" i="16"/>
  <c r="G5621" i="16"/>
  <c r="H5621" i="16"/>
  <c r="G5622" i="16"/>
  <c r="H5622" i="16"/>
  <c r="G5623" i="16"/>
  <c r="H5623" i="16"/>
  <c r="G5624" i="16"/>
  <c r="H5624" i="16"/>
  <c r="G5625" i="16"/>
  <c r="H5625" i="16"/>
  <c r="G5626" i="16"/>
  <c r="H5626" i="16"/>
  <c r="G5627" i="16"/>
  <c r="H5627" i="16"/>
  <c r="G5628" i="16"/>
  <c r="H5628" i="16"/>
  <c r="G5629" i="16"/>
  <c r="H5629" i="16"/>
  <c r="G5630" i="16"/>
  <c r="H5630" i="16"/>
  <c r="G5631" i="16"/>
  <c r="H5631" i="16"/>
  <c r="G5632" i="16"/>
  <c r="H5632" i="16"/>
  <c r="G5633" i="16"/>
  <c r="H5633" i="16"/>
  <c r="G5634" i="16"/>
  <c r="H5634" i="16"/>
  <c r="G5635" i="16"/>
  <c r="H5635" i="16"/>
  <c r="G5636" i="16"/>
  <c r="H5636" i="16"/>
  <c r="G5637" i="16"/>
  <c r="H5637" i="16"/>
  <c r="G5638" i="16"/>
  <c r="H5638" i="16"/>
  <c r="G5639" i="16"/>
  <c r="H5639" i="16"/>
  <c r="G5640" i="16"/>
  <c r="H5640" i="16"/>
  <c r="G5641" i="16"/>
  <c r="H5641" i="16"/>
  <c r="G5642" i="16"/>
  <c r="H5642" i="16"/>
  <c r="G5643" i="16"/>
  <c r="H5643" i="16"/>
  <c r="G5644" i="16"/>
  <c r="H5644" i="16"/>
  <c r="G5645" i="16"/>
  <c r="H5645" i="16"/>
  <c r="G5646" i="16"/>
  <c r="H5646" i="16"/>
  <c r="G5647" i="16"/>
  <c r="H5647" i="16"/>
  <c r="G5648" i="16"/>
  <c r="H5648" i="16"/>
  <c r="G5649" i="16"/>
  <c r="H5649" i="16"/>
  <c r="G5650" i="16"/>
  <c r="H5650" i="16"/>
  <c r="G5651" i="16"/>
  <c r="H5651" i="16"/>
  <c r="G5652" i="16"/>
  <c r="H5652" i="16"/>
  <c r="G5653" i="16"/>
  <c r="H5653" i="16"/>
  <c r="G5654" i="16"/>
  <c r="H5654" i="16"/>
  <c r="G5655" i="16"/>
  <c r="H5655" i="16"/>
  <c r="G5656" i="16"/>
  <c r="H5656" i="16"/>
  <c r="G5657" i="16"/>
  <c r="H5657" i="16"/>
  <c r="G5658" i="16"/>
  <c r="H5658" i="16"/>
  <c r="G5659" i="16"/>
  <c r="H5659" i="16"/>
  <c r="G5660" i="16"/>
  <c r="H5660" i="16"/>
  <c r="G5661" i="16"/>
  <c r="H5661" i="16"/>
  <c r="G5662" i="16"/>
  <c r="H5662" i="16"/>
  <c r="G5663" i="16"/>
  <c r="H5663" i="16"/>
  <c r="G5664" i="16"/>
  <c r="H5664" i="16"/>
  <c r="G5665" i="16"/>
  <c r="H5665" i="16"/>
  <c r="G5666" i="16"/>
  <c r="H5666" i="16"/>
  <c r="G5667" i="16"/>
  <c r="H5667" i="16"/>
  <c r="G5668" i="16"/>
  <c r="H5668" i="16"/>
  <c r="G5669" i="16"/>
  <c r="H5669" i="16"/>
  <c r="G5670" i="16"/>
  <c r="H5670" i="16"/>
  <c r="G5671" i="16"/>
  <c r="H5671" i="16"/>
  <c r="G5672" i="16"/>
  <c r="H5672" i="16"/>
  <c r="G5673" i="16"/>
  <c r="H5673" i="16"/>
  <c r="G5674" i="16"/>
  <c r="H5674" i="16"/>
  <c r="G5675" i="16"/>
  <c r="H5675" i="16"/>
  <c r="G5676" i="16"/>
  <c r="H5676" i="16"/>
  <c r="G5677" i="16"/>
  <c r="H5677" i="16"/>
  <c r="G5678" i="16"/>
  <c r="H5678" i="16"/>
  <c r="G5679" i="16"/>
  <c r="H5679" i="16"/>
  <c r="G5680" i="16"/>
  <c r="H5680" i="16"/>
  <c r="G5681" i="16"/>
  <c r="H5681" i="16"/>
  <c r="G5682" i="16"/>
  <c r="H5682" i="16"/>
  <c r="G5683" i="16"/>
  <c r="H5683" i="16"/>
  <c r="G5684" i="16"/>
  <c r="H5684" i="16"/>
  <c r="G5685" i="16"/>
  <c r="H5685" i="16"/>
  <c r="G5686" i="16"/>
  <c r="H5686" i="16"/>
  <c r="G5687" i="16"/>
  <c r="H5687" i="16"/>
  <c r="G5688" i="16"/>
  <c r="H5688" i="16"/>
  <c r="G5689" i="16"/>
  <c r="H5689" i="16"/>
  <c r="G5690" i="16"/>
  <c r="H5690" i="16"/>
  <c r="G5691" i="16"/>
  <c r="H5691" i="16"/>
  <c r="G5692" i="16"/>
  <c r="H5692" i="16"/>
  <c r="G5693" i="16"/>
  <c r="H5693" i="16"/>
  <c r="G5694" i="16"/>
  <c r="H5694" i="16"/>
  <c r="G5695" i="16"/>
  <c r="H5695" i="16"/>
  <c r="G5696" i="16"/>
  <c r="H5696" i="16"/>
  <c r="G5697" i="16"/>
  <c r="H5697" i="16"/>
  <c r="G5698" i="16"/>
  <c r="H5698" i="16"/>
  <c r="G5699" i="16"/>
  <c r="H5699" i="16"/>
  <c r="G5700" i="16"/>
  <c r="H5700" i="16"/>
  <c r="G5701" i="16"/>
  <c r="H5701" i="16"/>
  <c r="G5702" i="16"/>
  <c r="H5702" i="16"/>
  <c r="G5703" i="16"/>
  <c r="H5703" i="16"/>
  <c r="G5704" i="16"/>
  <c r="H5704" i="16"/>
  <c r="G5705" i="16"/>
  <c r="H5705" i="16"/>
  <c r="G5706" i="16"/>
  <c r="H5706" i="16"/>
  <c r="G5707" i="16"/>
  <c r="H5707" i="16"/>
  <c r="G5708" i="16"/>
  <c r="H5708" i="16"/>
  <c r="G5709" i="16"/>
  <c r="H5709" i="16"/>
  <c r="G5710" i="16"/>
  <c r="H5710" i="16"/>
  <c r="G5711" i="16"/>
  <c r="H5711" i="16"/>
  <c r="G5712" i="16"/>
  <c r="H5712" i="16"/>
  <c r="G5713" i="16"/>
  <c r="H5713" i="16"/>
  <c r="G5714" i="16"/>
  <c r="H5714" i="16"/>
  <c r="G5715" i="16"/>
  <c r="H5715" i="16"/>
  <c r="G5716" i="16"/>
  <c r="H5716" i="16"/>
  <c r="G5717" i="16"/>
  <c r="H5717" i="16"/>
  <c r="G5718" i="16"/>
  <c r="H5718" i="16"/>
  <c r="G5719" i="16"/>
  <c r="H5719" i="16"/>
  <c r="G5720" i="16"/>
  <c r="H5720" i="16"/>
  <c r="G5721" i="16"/>
  <c r="H5721" i="16"/>
  <c r="G5722" i="16"/>
  <c r="H5722" i="16"/>
  <c r="G5723" i="16"/>
  <c r="H5723" i="16"/>
  <c r="G5724" i="16"/>
  <c r="H5724" i="16"/>
  <c r="G5725" i="16"/>
  <c r="H5725" i="16"/>
  <c r="G5726" i="16"/>
  <c r="H5726" i="16"/>
  <c r="G5727" i="16"/>
  <c r="H5727" i="16"/>
  <c r="G5728" i="16"/>
  <c r="H5728" i="16"/>
  <c r="G5729" i="16"/>
  <c r="H5729" i="16"/>
  <c r="G5730" i="16"/>
  <c r="H5730" i="16"/>
  <c r="G5731" i="16"/>
  <c r="H5731" i="16"/>
  <c r="G5732" i="16"/>
  <c r="H5732" i="16"/>
  <c r="G5733" i="16"/>
  <c r="H5733" i="16"/>
  <c r="G5734" i="16"/>
  <c r="H5734" i="16"/>
  <c r="G5735" i="16"/>
  <c r="H5735" i="16"/>
  <c r="G5736" i="16"/>
  <c r="H5736" i="16"/>
  <c r="G5737" i="16"/>
  <c r="H5737" i="16"/>
  <c r="G5738" i="16"/>
  <c r="H5738" i="16"/>
  <c r="G5739" i="16"/>
  <c r="H5739" i="16"/>
  <c r="G5740" i="16"/>
  <c r="H5740" i="16"/>
  <c r="G5741" i="16"/>
  <c r="H5741" i="16"/>
  <c r="G5742" i="16"/>
  <c r="H5742" i="16"/>
  <c r="G5743" i="16"/>
  <c r="H5743" i="16"/>
  <c r="G5744" i="16"/>
  <c r="H5744" i="16"/>
  <c r="G5745" i="16"/>
  <c r="H5745" i="16"/>
  <c r="G5746" i="16"/>
  <c r="H5746" i="16"/>
  <c r="G5747" i="16"/>
  <c r="H5747" i="16"/>
  <c r="G5748" i="16"/>
  <c r="H5748" i="16"/>
  <c r="G5749" i="16"/>
  <c r="H5749" i="16"/>
  <c r="G5750" i="16"/>
  <c r="H5750" i="16"/>
  <c r="G5751" i="16"/>
  <c r="H5751" i="16"/>
  <c r="G5752" i="16"/>
  <c r="H5752" i="16"/>
  <c r="G5753" i="16"/>
  <c r="H5753" i="16"/>
  <c r="G5754" i="16"/>
  <c r="H5754" i="16"/>
  <c r="G5755" i="16"/>
  <c r="H5755" i="16"/>
  <c r="G5756" i="16"/>
  <c r="H5756" i="16"/>
  <c r="G5757" i="16"/>
  <c r="H5757" i="16"/>
  <c r="G5758" i="16"/>
  <c r="H5758" i="16"/>
  <c r="G5759" i="16"/>
  <c r="H5759" i="16"/>
  <c r="G5760" i="16"/>
  <c r="H5760" i="16"/>
  <c r="G5761" i="16"/>
  <c r="H5761" i="16"/>
  <c r="G5762" i="16"/>
  <c r="H5762" i="16"/>
  <c r="G5763" i="16"/>
  <c r="H5763" i="16"/>
  <c r="G5764" i="16"/>
  <c r="H5764" i="16"/>
  <c r="G5765" i="16"/>
  <c r="H5765" i="16"/>
  <c r="G5766" i="16"/>
  <c r="H5766" i="16"/>
  <c r="G5767" i="16"/>
  <c r="H5767" i="16"/>
  <c r="G5768" i="16"/>
  <c r="H5768" i="16"/>
  <c r="G5769" i="16"/>
  <c r="H5769" i="16"/>
  <c r="G5770" i="16"/>
  <c r="H5770" i="16"/>
  <c r="G5771" i="16"/>
  <c r="H5771" i="16"/>
  <c r="G5772" i="16"/>
  <c r="H5772" i="16"/>
  <c r="G5773" i="16"/>
  <c r="H5773" i="16"/>
  <c r="G5774" i="16"/>
  <c r="H5774" i="16"/>
  <c r="G5775" i="16"/>
  <c r="H5775" i="16"/>
  <c r="G5776" i="16"/>
  <c r="H5776" i="16"/>
  <c r="G5777" i="16"/>
  <c r="H5777" i="16"/>
  <c r="G5778" i="16"/>
  <c r="H5778" i="16"/>
  <c r="G5779" i="16"/>
  <c r="H5779" i="16"/>
  <c r="G5780" i="16"/>
  <c r="H5780" i="16"/>
  <c r="G5781" i="16"/>
  <c r="H5781" i="16"/>
  <c r="G5782" i="16"/>
  <c r="H5782" i="16"/>
  <c r="G5783" i="16"/>
  <c r="H5783" i="16"/>
  <c r="G5784" i="16"/>
  <c r="H5784" i="16"/>
  <c r="G5785" i="16"/>
  <c r="H5785" i="16"/>
  <c r="G5786" i="16"/>
  <c r="H5786" i="16"/>
  <c r="G5787" i="16"/>
  <c r="H5787" i="16"/>
  <c r="G5788" i="16"/>
  <c r="H5788" i="16"/>
  <c r="G5789" i="16"/>
  <c r="H5789" i="16"/>
  <c r="G5790" i="16"/>
  <c r="H5790" i="16"/>
  <c r="G5791" i="16"/>
  <c r="H5791" i="16"/>
  <c r="G5792" i="16"/>
  <c r="H5792" i="16"/>
  <c r="G5793" i="16"/>
  <c r="H5793" i="16"/>
  <c r="G5794" i="16"/>
  <c r="H5794" i="16"/>
  <c r="G5795" i="16"/>
  <c r="H5795" i="16"/>
  <c r="G5796" i="16"/>
  <c r="H5796" i="16"/>
  <c r="G5797" i="16"/>
  <c r="H5797" i="16"/>
  <c r="G5798" i="16"/>
  <c r="H5798" i="16"/>
  <c r="G5799" i="16"/>
  <c r="H5799" i="16"/>
  <c r="G5800" i="16"/>
  <c r="H5800" i="16"/>
  <c r="G5801" i="16"/>
  <c r="H5801" i="16"/>
  <c r="G5802" i="16"/>
  <c r="H5802" i="16"/>
  <c r="G5803" i="16"/>
  <c r="H5803" i="16"/>
  <c r="G5804" i="16"/>
  <c r="H5804" i="16"/>
  <c r="G5805" i="16"/>
  <c r="H5805" i="16"/>
  <c r="G5806" i="16"/>
  <c r="H5806" i="16"/>
  <c r="G5807" i="16"/>
  <c r="H5807" i="16"/>
  <c r="G5808" i="16"/>
  <c r="H5808" i="16"/>
  <c r="G5809" i="16"/>
  <c r="H5809" i="16"/>
  <c r="G5810" i="16"/>
  <c r="H5810" i="16"/>
  <c r="G5811" i="16"/>
  <c r="H5811" i="16"/>
  <c r="G5812" i="16"/>
  <c r="H5812" i="16"/>
  <c r="G5813" i="16"/>
  <c r="H5813" i="16"/>
  <c r="G5814" i="16"/>
  <c r="H5814" i="16"/>
  <c r="G5815" i="16"/>
  <c r="H5815" i="16"/>
  <c r="G5816" i="16"/>
  <c r="H5816" i="16"/>
  <c r="G5817" i="16"/>
  <c r="H5817" i="16"/>
  <c r="G5818" i="16"/>
  <c r="H5818" i="16"/>
  <c r="G5819" i="16"/>
  <c r="H5819" i="16"/>
  <c r="G5820" i="16"/>
  <c r="H5820" i="16"/>
  <c r="G5821" i="16"/>
  <c r="H5821" i="16"/>
  <c r="G5822" i="16"/>
  <c r="H5822" i="16"/>
  <c r="G5823" i="16"/>
  <c r="H5823" i="16"/>
  <c r="G5824" i="16"/>
  <c r="H5824" i="16"/>
  <c r="G5825" i="16"/>
  <c r="H5825" i="16"/>
  <c r="G5826" i="16"/>
  <c r="H5826" i="16"/>
  <c r="G5827" i="16"/>
  <c r="H5827" i="16"/>
  <c r="G5828" i="16"/>
  <c r="H5828" i="16"/>
  <c r="G5829" i="16"/>
  <c r="H5829" i="16"/>
  <c r="G5830" i="16"/>
  <c r="H5830" i="16"/>
  <c r="G5831" i="16"/>
  <c r="H5831" i="16"/>
  <c r="G5832" i="16"/>
  <c r="H5832" i="16"/>
  <c r="G5833" i="16"/>
  <c r="H5833" i="16"/>
  <c r="G5834" i="16"/>
  <c r="H5834" i="16"/>
  <c r="G5835" i="16"/>
  <c r="H5835" i="16"/>
  <c r="G5836" i="16"/>
  <c r="H5836" i="16"/>
  <c r="G5837" i="16"/>
  <c r="H5837" i="16"/>
  <c r="G5838" i="16"/>
  <c r="H5838" i="16"/>
  <c r="G5839" i="16"/>
  <c r="H5839" i="16"/>
  <c r="G5840" i="16"/>
  <c r="H5840" i="16"/>
  <c r="G5841" i="16"/>
  <c r="H5841" i="16"/>
  <c r="G5842" i="16"/>
  <c r="H5842" i="16"/>
  <c r="G5843" i="16"/>
  <c r="H5843" i="16"/>
  <c r="G5844" i="16"/>
  <c r="H5844" i="16"/>
  <c r="G5845" i="16"/>
  <c r="H5845" i="16"/>
  <c r="G5846" i="16"/>
  <c r="H5846" i="16"/>
  <c r="G5847" i="16"/>
  <c r="H5847" i="16"/>
  <c r="G5848" i="16"/>
  <c r="H5848" i="16"/>
  <c r="G5849" i="16"/>
  <c r="H5849" i="16"/>
  <c r="G5850" i="16"/>
  <c r="H5850" i="16"/>
  <c r="G5851" i="16"/>
  <c r="H5851" i="16"/>
  <c r="G5852" i="16"/>
  <c r="H5852" i="16"/>
  <c r="G5853" i="16"/>
  <c r="H5853" i="16"/>
  <c r="G5854" i="16"/>
  <c r="H5854" i="16"/>
  <c r="G5855" i="16"/>
  <c r="H5855" i="16"/>
  <c r="G5856" i="16"/>
  <c r="H5856" i="16"/>
  <c r="G5857" i="16"/>
  <c r="H5857" i="16"/>
  <c r="G5858" i="16"/>
  <c r="H5858" i="16"/>
  <c r="G5859" i="16"/>
  <c r="H5859" i="16"/>
  <c r="G5860" i="16"/>
  <c r="H5860" i="16"/>
  <c r="G5861" i="16"/>
  <c r="H5861" i="16"/>
  <c r="G5862" i="16"/>
  <c r="H5862" i="16"/>
  <c r="G5863" i="16"/>
  <c r="H5863" i="16"/>
  <c r="G5864" i="16"/>
  <c r="H5864" i="16"/>
  <c r="G5865" i="16"/>
  <c r="H5865" i="16"/>
  <c r="G5866" i="16"/>
  <c r="H5866" i="16"/>
  <c r="G5867" i="16"/>
  <c r="H5867" i="16"/>
  <c r="G5868" i="16"/>
  <c r="H5868" i="16"/>
  <c r="G5869" i="16"/>
  <c r="H5869" i="16"/>
  <c r="G5870" i="16"/>
  <c r="H5870" i="16"/>
  <c r="G5871" i="16"/>
  <c r="H5871" i="16"/>
  <c r="G5872" i="16"/>
  <c r="H5872" i="16"/>
  <c r="G5873" i="16"/>
  <c r="H5873" i="16"/>
  <c r="G5874" i="16"/>
  <c r="H5874" i="16"/>
  <c r="G5875" i="16"/>
  <c r="H5875" i="16"/>
  <c r="G5876" i="16"/>
  <c r="H5876" i="16"/>
  <c r="G5877" i="16"/>
  <c r="H5877" i="16"/>
  <c r="G5878" i="16"/>
  <c r="H5878" i="16"/>
  <c r="G5879" i="16"/>
  <c r="H5879" i="16"/>
  <c r="G5880" i="16"/>
  <c r="H5880" i="16"/>
  <c r="G5881" i="16"/>
  <c r="H5881" i="16"/>
  <c r="G5882" i="16"/>
  <c r="H5882" i="16"/>
  <c r="G5883" i="16"/>
  <c r="H5883" i="16"/>
  <c r="G5884" i="16"/>
  <c r="H5884" i="16"/>
  <c r="G5885" i="16"/>
  <c r="H5885" i="16"/>
  <c r="G5886" i="16"/>
  <c r="H5886" i="16"/>
  <c r="G5887" i="16"/>
  <c r="H5887" i="16"/>
  <c r="G5888" i="16"/>
  <c r="H5888" i="16"/>
  <c r="G5889" i="16"/>
  <c r="H5889" i="16"/>
  <c r="G5890" i="16"/>
  <c r="H5890" i="16"/>
  <c r="G5891" i="16"/>
  <c r="H5891" i="16"/>
  <c r="G5892" i="16"/>
  <c r="H5892" i="16"/>
  <c r="G5893" i="16"/>
  <c r="H5893" i="16"/>
  <c r="G5894" i="16"/>
  <c r="H5894" i="16"/>
  <c r="G5895" i="16"/>
  <c r="H5895" i="16"/>
  <c r="G5896" i="16"/>
  <c r="H5896" i="16"/>
  <c r="G5897" i="16"/>
  <c r="H5897" i="16"/>
  <c r="G5898" i="16"/>
  <c r="H5898" i="16"/>
  <c r="G5899" i="16"/>
  <c r="H5899" i="16"/>
  <c r="G5900" i="16"/>
  <c r="H5900" i="16"/>
  <c r="G5901" i="16"/>
  <c r="H5901" i="16"/>
  <c r="G5902" i="16"/>
  <c r="H5902" i="16"/>
  <c r="G5903" i="16"/>
  <c r="H5903" i="16"/>
  <c r="G5904" i="16"/>
  <c r="H5904" i="16"/>
  <c r="G5905" i="16"/>
  <c r="H5905" i="16"/>
  <c r="G5906" i="16"/>
  <c r="H5906" i="16"/>
  <c r="G5907" i="16"/>
  <c r="H5907" i="16"/>
  <c r="G5908" i="16"/>
  <c r="H5908" i="16"/>
  <c r="G5909" i="16"/>
  <c r="H5909" i="16"/>
  <c r="G5910" i="16"/>
  <c r="H5910" i="16"/>
  <c r="G5911" i="16"/>
  <c r="H5911" i="16"/>
  <c r="G5912" i="16"/>
  <c r="H5912" i="16"/>
  <c r="G5913" i="16"/>
  <c r="H5913" i="16"/>
  <c r="G5914" i="16"/>
  <c r="H5914" i="16"/>
  <c r="G5915" i="16"/>
  <c r="H5915" i="16"/>
  <c r="G5916" i="16"/>
  <c r="H5916" i="16"/>
  <c r="G5917" i="16"/>
  <c r="H5917" i="16"/>
  <c r="G5918" i="16"/>
  <c r="H5918" i="16"/>
  <c r="G5919" i="16"/>
  <c r="H5919" i="16"/>
  <c r="G5920" i="16"/>
  <c r="H5920" i="16"/>
  <c r="G5921" i="16"/>
  <c r="H5921" i="16"/>
  <c r="G5922" i="16"/>
  <c r="H5922" i="16"/>
  <c r="G5923" i="16"/>
  <c r="H5923" i="16"/>
  <c r="G5924" i="16"/>
  <c r="H5924" i="16"/>
  <c r="G5925" i="16"/>
  <c r="H5925" i="16"/>
  <c r="G5926" i="16"/>
  <c r="H5926" i="16"/>
  <c r="G5927" i="16"/>
  <c r="H5927" i="16"/>
  <c r="G5928" i="16"/>
  <c r="H5928" i="16"/>
  <c r="G5929" i="16"/>
  <c r="H5929" i="16"/>
  <c r="G5930" i="16"/>
  <c r="H5930" i="16"/>
  <c r="G5931" i="16"/>
  <c r="H5931" i="16"/>
  <c r="G5932" i="16"/>
  <c r="H5932" i="16"/>
  <c r="G5933" i="16"/>
  <c r="H5933" i="16"/>
  <c r="G5934" i="16"/>
  <c r="H5934" i="16"/>
  <c r="G5935" i="16"/>
  <c r="H5935" i="16"/>
  <c r="G5936" i="16"/>
  <c r="H5936" i="16"/>
  <c r="G5937" i="16"/>
  <c r="H5937" i="16"/>
  <c r="G5938" i="16"/>
  <c r="H5938" i="16"/>
  <c r="G5939" i="16"/>
  <c r="H5939" i="16"/>
  <c r="G5940" i="16"/>
  <c r="H5940" i="16"/>
  <c r="G5941" i="16"/>
  <c r="H5941" i="16"/>
  <c r="G5942" i="16"/>
  <c r="H5942" i="16"/>
  <c r="G5943" i="16"/>
  <c r="H5943" i="16"/>
  <c r="G5944" i="16"/>
  <c r="H5944" i="16"/>
  <c r="G5945" i="16"/>
  <c r="H5945" i="16"/>
  <c r="G5946" i="16"/>
  <c r="H5946" i="16"/>
  <c r="G5947" i="16"/>
  <c r="H5947" i="16"/>
  <c r="G5948" i="16"/>
  <c r="H5948" i="16"/>
  <c r="G5949" i="16"/>
  <c r="H5949" i="16"/>
  <c r="G5950" i="16"/>
  <c r="H5950" i="16"/>
  <c r="G5951" i="16"/>
  <c r="H5951" i="16"/>
  <c r="G5952" i="16"/>
  <c r="H5952" i="16"/>
  <c r="G5953" i="16"/>
  <c r="H5953" i="16"/>
  <c r="G5954" i="16"/>
  <c r="H5954" i="16"/>
  <c r="G5955" i="16"/>
  <c r="H5955" i="16"/>
  <c r="G5956" i="16"/>
  <c r="H5956" i="16"/>
  <c r="G5957" i="16"/>
  <c r="H5957" i="16"/>
  <c r="G5958" i="16"/>
  <c r="H5958" i="16"/>
  <c r="G5959" i="16"/>
  <c r="H5959" i="16"/>
  <c r="G5960" i="16"/>
  <c r="H5960" i="16"/>
  <c r="G5961" i="16"/>
  <c r="H5961" i="16"/>
  <c r="G5962" i="16"/>
  <c r="H5962" i="16"/>
  <c r="G5963" i="16"/>
  <c r="H5963" i="16"/>
  <c r="G5964" i="16"/>
  <c r="H5964" i="16"/>
  <c r="G5965" i="16"/>
  <c r="H5965" i="16"/>
  <c r="G5966" i="16"/>
  <c r="H5966" i="16"/>
  <c r="G5967" i="16"/>
  <c r="H5967" i="16"/>
  <c r="G5968" i="16"/>
  <c r="H5968" i="16"/>
  <c r="G5969" i="16"/>
  <c r="H5969" i="16"/>
  <c r="G5970" i="16"/>
  <c r="H5970" i="16"/>
  <c r="G5971" i="16"/>
  <c r="H5971" i="16"/>
  <c r="G5972" i="16"/>
  <c r="H5972" i="16"/>
  <c r="G5973" i="16"/>
  <c r="H5973" i="16"/>
  <c r="G5974" i="16"/>
  <c r="H5974" i="16"/>
  <c r="G5975" i="16"/>
  <c r="H5975" i="16"/>
  <c r="G5976" i="16"/>
  <c r="H5976" i="16"/>
  <c r="G5977" i="16"/>
  <c r="H5977" i="16"/>
  <c r="G5978" i="16"/>
  <c r="H5978" i="16"/>
  <c r="G5979" i="16"/>
  <c r="H5979" i="16"/>
  <c r="G5980" i="16"/>
  <c r="H5980" i="16"/>
  <c r="G5981" i="16"/>
  <c r="H5981" i="16"/>
  <c r="G5982" i="16"/>
  <c r="H5982" i="16"/>
  <c r="G5983" i="16"/>
  <c r="H5983" i="16"/>
  <c r="G5984" i="16"/>
  <c r="H5984" i="16"/>
  <c r="G5985" i="16"/>
  <c r="H5985" i="16"/>
  <c r="G5986" i="16"/>
  <c r="H5986" i="16"/>
  <c r="G5987" i="16"/>
  <c r="H5987" i="16"/>
  <c r="G5988" i="16"/>
  <c r="H5988" i="16"/>
  <c r="G5989" i="16"/>
  <c r="H5989" i="16"/>
  <c r="G5990" i="16"/>
  <c r="H5990" i="16"/>
  <c r="G5991" i="16"/>
  <c r="H5991" i="16"/>
  <c r="G5992" i="16"/>
  <c r="H5992" i="16"/>
  <c r="G5993" i="16"/>
  <c r="H5993" i="16"/>
  <c r="G5994" i="16"/>
  <c r="H5994" i="16"/>
  <c r="G5995" i="16"/>
  <c r="H5995" i="16"/>
  <c r="G5996" i="16"/>
  <c r="H5996" i="16"/>
  <c r="G5997" i="16"/>
  <c r="H5997" i="16"/>
  <c r="G5998" i="16"/>
  <c r="H5998" i="16"/>
  <c r="G5999" i="16"/>
  <c r="H5999" i="16"/>
  <c r="G6000" i="16"/>
  <c r="H6000" i="16"/>
  <c r="G55" i="5"/>
  <c r="G56" i="5"/>
  <c r="G57" i="5"/>
  <c r="G58" i="5"/>
  <c r="G59" i="5"/>
  <c r="G60" i="5"/>
  <c r="G61" i="5"/>
  <c r="G63" i="5"/>
  <c r="G64" i="5"/>
  <c r="G65" i="5"/>
  <c r="G66" i="5"/>
  <c r="G68" i="5"/>
  <c r="G69" i="5"/>
  <c r="G70" i="5"/>
  <c r="G71" i="5"/>
  <c r="J706" i="16"/>
  <c r="G73" i="5"/>
  <c r="G74" i="5"/>
  <c r="G75" i="5"/>
  <c r="I706" i="16"/>
  <c r="G76" i="5"/>
  <c r="G77" i="5"/>
  <c r="G78" i="5"/>
  <c r="G79" i="5"/>
  <c r="G81" i="5"/>
  <c r="G82" i="5"/>
  <c r="G83" i="5"/>
  <c r="G84" i="5"/>
  <c r="G85" i="5"/>
  <c r="G86" i="5"/>
  <c r="G87" i="5"/>
  <c r="G88" i="5"/>
  <c r="E89" i="5"/>
  <c r="G89" i="5" s="1"/>
  <c r="G90" i="5"/>
  <c r="E90" i="5"/>
  <c r="G91" i="5"/>
  <c r="G92" i="5"/>
  <c r="G93" i="5"/>
  <c r="E94" i="5"/>
  <c r="G95" i="5"/>
  <c r="E95" i="5"/>
  <c r="G96" i="5"/>
  <c r="G97" i="5"/>
  <c r="G98" i="5"/>
  <c r="G101" i="5"/>
  <c r="G102" i="5"/>
  <c r="G103" i="5"/>
  <c r="E104" i="5"/>
  <c r="G104" i="5" s="1"/>
  <c r="H104" i="5" s="1"/>
  <c r="G105" i="5"/>
  <c r="G106" i="5"/>
  <c r="G107" i="5"/>
  <c r="G108" i="5"/>
  <c r="G110" i="5"/>
  <c r="G111" i="5"/>
  <c r="G112" i="5"/>
  <c r="G113" i="5"/>
  <c r="G115" i="5"/>
  <c r="G116" i="5"/>
  <c r="G117" i="5"/>
  <c r="G118" i="5"/>
  <c r="G119" i="5"/>
  <c r="G120" i="5"/>
  <c r="G121" i="5"/>
  <c r="G122" i="5"/>
  <c r="G123" i="5"/>
  <c r="G124" i="5"/>
  <c r="G125" i="5"/>
  <c r="G126" i="5"/>
  <c r="G127" i="5"/>
  <c r="G128" i="5"/>
  <c r="G129" i="5"/>
  <c r="G130" i="5"/>
  <c r="G131" i="5"/>
  <c r="G132" i="5"/>
  <c r="G133" i="5"/>
  <c r="H133" i="5" s="1"/>
  <c r="G134" i="5"/>
  <c r="G135" i="5"/>
  <c r="G136" i="5"/>
  <c r="E137" i="5"/>
  <c r="G137" i="5" s="1"/>
  <c r="H137" i="5" s="1"/>
  <c r="G138" i="5"/>
  <c r="G139" i="5"/>
  <c r="G140" i="5"/>
  <c r="G142" i="5"/>
  <c r="G143" i="5"/>
  <c r="G144" i="5"/>
  <c r="G145" i="5"/>
  <c r="G146" i="5"/>
  <c r="G147" i="5"/>
  <c r="G148" i="5"/>
  <c r="G149" i="5"/>
  <c r="G150" i="5"/>
  <c r="G151" i="5"/>
  <c r="G152" i="5"/>
  <c r="G153" i="5"/>
  <c r="G154" i="5"/>
  <c r="G155" i="5"/>
  <c r="E156" i="5"/>
  <c r="G157" i="5"/>
  <c r="E157" i="5"/>
  <c r="G158" i="5"/>
  <c r="G159" i="5"/>
  <c r="G160" i="5"/>
  <c r="G161" i="5"/>
  <c r="G162" i="5"/>
  <c r="G164" i="5"/>
  <c r="G165" i="5"/>
  <c r="G166" i="5"/>
  <c r="G167" i="5"/>
  <c r="G168" i="5"/>
  <c r="G169" i="5"/>
  <c r="G170" i="5"/>
  <c r="G171" i="5"/>
  <c r="G172" i="5"/>
  <c r="G173" i="5"/>
  <c r="H173" i="5" s="1"/>
  <c r="G174" i="5"/>
  <c r="G175" i="5"/>
  <c r="G176" i="5"/>
  <c r="G177" i="5"/>
  <c r="H177" i="5" s="1"/>
  <c r="E177" i="5"/>
  <c r="G178" i="5"/>
  <c r="G179" i="5"/>
  <c r="G180" i="5"/>
  <c r="G181" i="5"/>
  <c r="H181" i="5" s="1"/>
  <c r="G182" i="5"/>
  <c r="G183" i="5"/>
  <c r="G184" i="5"/>
  <c r="E185" i="5"/>
  <c r="G186" i="5"/>
  <c r="E186" i="5"/>
  <c r="G187" i="5"/>
  <c r="G188" i="5"/>
  <c r="G189" i="5"/>
  <c r="G190" i="5"/>
  <c r="G191" i="5"/>
  <c r="G192" i="5"/>
  <c r="G194" i="5"/>
  <c r="G196" i="5"/>
  <c r="G197" i="5"/>
  <c r="G198" i="5"/>
  <c r="G200" i="5"/>
  <c r="G201" i="5"/>
  <c r="G202" i="5"/>
  <c r="E203" i="5"/>
  <c r="G203" i="5" s="1"/>
  <c r="H203" i="5" s="1"/>
  <c r="G204" i="5"/>
  <c r="G205" i="5"/>
  <c r="G206" i="5"/>
  <c r="G207" i="5"/>
  <c r="G208" i="5"/>
  <c r="G209" i="5"/>
  <c r="G210" i="5"/>
  <c r="G211" i="5"/>
  <c r="G212" i="5"/>
  <c r="H212" i="5" s="1"/>
  <c r="G213" i="5"/>
  <c r="G214" i="5"/>
  <c r="G215" i="5"/>
  <c r="G216" i="5"/>
  <c r="G217" i="5"/>
  <c r="G218" i="5"/>
  <c r="G219" i="5"/>
  <c r="G220" i="5"/>
  <c r="G221" i="5"/>
  <c r="G223" i="5"/>
  <c r="G224" i="5"/>
  <c r="G225" i="5"/>
  <c r="G226" i="5"/>
  <c r="H226" i="5" s="1"/>
  <c r="G227" i="5"/>
  <c r="G228" i="5"/>
  <c r="G229" i="5"/>
  <c r="J2603" i="16"/>
  <c r="I2603" i="16"/>
  <c r="G230" i="5"/>
  <c r="H230" i="5" s="1"/>
  <c r="G231" i="5"/>
  <c r="G232" i="5"/>
  <c r="G233" i="5"/>
  <c r="J2604" i="16"/>
  <c r="I2604" i="16"/>
  <c r="G234" i="5"/>
  <c r="H234" i="5" s="1"/>
  <c r="G235" i="5"/>
  <c r="G236" i="5"/>
  <c r="G237" i="5"/>
  <c r="J1400" i="16"/>
  <c r="I1400" i="16"/>
  <c r="G239" i="5"/>
  <c r="G240" i="5"/>
  <c r="G241" i="5"/>
  <c r="G242" i="5"/>
  <c r="G243" i="5"/>
  <c r="J3494" i="16"/>
  <c r="G244" i="5"/>
  <c r="J3645" i="16"/>
  <c r="G245" i="5"/>
  <c r="J4241" i="16"/>
  <c r="G246" i="5"/>
  <c r="I3494" i="16"/>
  <c r="I3645" i="16"/>
  <c r="I4241" i="16"/>
  <c r="G247" i="5"/>
  <c r="G248" i="5"/>
  <c r="G249" i="5"/>
  <c r="G250" i="5"/>
  <c r="G251" i="5"/>
  <c r="G252" i="5"/>
  <c r="G253" i="5"/>
  <c r="J3866" i="16"/>
  <c r="G254" i="5"/>
  <c r="J3962" i="16"/>
  <c r="G255" i="5"/>
  <c r="J3646" i="16"/>
  <c r="G256" i="5"/>
  <c r="G257" i="5"/>
  <c r="G259" i="5"/>
  <c r="J933" i="16"/>
  <c r="G260" i="5"/>
  <c r="G261" i="5"/>
  <c r="I3866" i="16"/>
  <c r="I3962" i="16"/>
  <c r="I3646" i="16"/>
  <c r="I933" i="16"/>
  <c r="G262" i="5"/>
  <c r="G263" i="5"/>
  <c r="G264" i="5"/>
  <c r="G265" i="5"/>
  <c r="G266" i="5"/>
  <c r="G267" i="5"/>
  <c r="G268" i="5"/>
  <c r="G269" i="5"/>
  <c r="G272" i="5"/>
  <c r="G273" i="5"/>
  <c r="J314" i="16"/>
  <c r="J1153" i="16"/>
  <c r="G275" i="5"/>
  <c r="G276" i="5"/>
  <c r="G277" i="5"/>
  <c r="G278" i="5"/>
  <c r="G280" i="5"/>
  <c r="G281" i="5"/>
  <c r="G282" i="5"/>
  <c r="G283" i="5"/>
  <c r="G284" i="5"/>
  <c r="G285" i="5"/>
  <c r="G287" i="5"/>
  <c r="G288" i="5"/>
  <c r="G289" i="5"/>
  <c r="G290" i="5"/>
  <c r="G291" i="5"/>
  <c r="G293" i="5"/>
  <c r="G294" i="5"/>
  <c r="J3309" i="16"/>
  <c r="G295" i="5"/>
  <c r="G296" i="5"/>
  <c r="G297" i="5"/>
  <c r="G298" i="5"/>
  <c r="G299" i="5"/>
  <c r="E300" i="5"/>
  <c r="E301" i="5"/>
  <c r="I314" i="16"/>
  <c r="I1153" i="16"/>
  <c r="I3309" i="16"/>
  <c r="G302" i="5"/>
  <c r="G303" i="5"/>
  <c r="G304" i="5"/>
  <c r="G305" i="5"/>
  <c r="G306" i="5"/>
  <c r="G308" i="5"/>
  <c r="G309" i="5"/>
  <c r="G310" i="5"/>
  <c r="G311" i="5"/>
  <c r="G312" i="5"/>
  <c r="E315" i="5"/>
  <c r="E316" i="5"/>
  <c r="G317" i="5"/>
  <c r="G318" i="5"/>
  <c r="G319" i="5"/>
  <c r="G320" i="5"/>
  <c r="G321" i="5"/>
  <c r="J2619" i="16"/>
  <c r="G322" i="5"/>
  <c r="I2619" i="16"/>
  <c r="G323" i="5"/>
  <c r="G324" i="5"/>
  <c r="G325" i="5"/>
  <c r="G326" i="5"/>
  <c r="G327" i="5"/>
  <c r="J1689" i="16"/>
  <c r="J2134" i="16"/>
  <c r="J4349" i="16"/>
  <c r="J985" i="16"/>
  <c r="J1809" i="16"/>
  <c r="J3339" i="16"/>
  <c r="J2206" i="16"/>
  <c r="J1097" i="16"/>
  <c r="J3334" i="16"/>
  <c r="J1098" i="16"/>
  <c r="G333" i="5"/>
  <c r="G334" i="5"/>
  <c r="G335" i="5"/>
  <c r="J1687" i="16"/>
  <c r="G336" i="5"/>
  <c r="I1687" i="16"/>
  <c r="J3961" i="16"/>
  <c r="G337" i="5"/>
  <c r="J3631" i="16"/>
  <c r="G338" i="5"/>
  <c r="G339" i="5"/>
  <c r="G340" i="5"/>
  <c r="J1139" i="16"/>
  <c r="J3864" i="16"/>
  <c r="J3640" i="16"/>
  <c r="J1132" i="16"/>
  <c r="I3961" i="16"/>
  <c r="I3631" i="16"/>
  <c r="G343" i="5"/>
  <c r="G344" i="5"/>
  <c r="G345" i="5"/>
  <c r="G346" i="5"/>
  <c r="G347" i="5"/>
  <c r="G348" i="5"/>
  <c r="J3310" i="16"/>
  <c r="G349" i="5"/>
  <c r="G350" i="5"/>
  <c r="G351" i="5"/>
  <c r="J64" i="16"/>
  <c r="G352" i="5"/>
  <c r="E353" i="5"/>
  <c r="E354" i="5"/>
  <c r="I3310" i="16"/>
  <c r="I64" i="16"/>
  <c r="G355" i="5"/>
  <c r="G356" i="5"/>
  <c r="G357" i="5"/>
  <c r="G358" i="5"/>
  <c r="G359" i="5"/>
  <c r="J327" i="16"/>
  <c r="I327" i="16"/>
  <c r="G363" i="5"/>
  <c r="G364" i="5"/>
  <c r="G365" i="5"/>
  <c r="J479" i="16"/>
  <c r="G366" i="5"/>
  <c r="I479" i="16"/>
  <c r="J4214" i="16"/>
  <c r="G367" i="5"/>
  <c r="J3388" i="16"/>
  <c r="G368" i="5"/>
  <c r="J932" i="16"/>
  <c r="G370" i="5"/>
  <c r="I4214" i="16"/>
  <c r="I3388" i="16"/>
  <c r="G372" i="5"/>
  <c r="G373" i="5"/>
  <c r="G374" i="5"/>
  <c r="J3387" i="16"/>
  <c r="I3387" i="16"/>
  <c r="J3443" i="16"/>
  <c r="G376" i="5"/>
  <c r="J3355" i="16"/>
  <c r="G377" i="5"/>
  <c r="J3359" i="16"/>
  <c r="G378" i="5"/>
  <c r="J2091" i="16"/>
  <c r="G379" i="5"/>
  <c r="J2092" i="16"/>
  <c r="G380" i="5"/>
  <c r="J2971" i="16"/>
  <c r="G381" i="5"/>
  <c r="J3228" i="16"/>
  <c r="G382" i="5"/>
  <c r="J3235" i="16"/>
  <c r="G383" i="5"/>
  <c r="I3443" i="16"/>
  <c r="I3355" i="16"/>
  <c r="I3359" i="16"/>
  <c r="I2091" i="16"/>
  <c r="I2092" i="16"/>
  <c r="I2971" i="16"/>
  <c r="I3228" i="16"/>
  <c r="I3235" i="16"/>
  <c r="G386" i="5"/>
  <c r="G387" i="5"/>
  <c r="G388" i="5"/>
  <c r="J4332" i="16"/>
  <c r="G389" i="5"/>
  <c r="I4332" i="16"/>
  <c r="G393" i="5"/>
  <c r="G394" i="5"/>
  <c r="G395" i="5"/>
  <c r="G396" i="5"/>
  <c r="G397" i="5"/>
  <c r="G398" i="5"/>
  <c r="G399" i="5"/>
  <c r="G400" i="5"/>
  <c r="G401" i="5"/>
  <c r="G402" i="5"/>
  <c r="G403" i="5"/>
  <c r="G404" i="5"/>
  <c r="G405" i="5"/>
  <c r="G406" i="5"/>
  <c r="G407" i="5"/>
  <c r="G408" i="5"/>
  <c r="G409" i="5"/>
  <c r="G410" i="5"/>
  <c r="G411" i="5"/>
  <c r="E412" i="5"/>
  <c r="E413" i="5"/>
  <c r="G414" i="5"/>
  <c r="G415" i="5"/>
  <c r="G416" i="5"/>
  <c r="G417" i="5"/>
  <c r="G418" i="5"/>
  <c r="J476" i="16"/>
  <c r="G419" i="5"/>
  <c r="G421" i="5"/>
  <c r="G422" i="5"/>
  <c r="G424" i="5"/>
  <c r="G425" i="5"/>
  <c r="I476" i="16"/>
  <c r="G426" i="5"/>
  <c r="G427" i="5"/>
  <c r="G428" i="5"/>
  <c r="J322" i="16"/>
  <c r="G431" i="5"/>
  <c r="G432" i="5"/>
  <c r="G433" i="5"/>
  <c r="G434" i="5"/>
  <c r="J313" i="16"/>
  <c r="G436" i="5"/>
  <c r="G437" i="5"/>
  <c r="G438" i="5"/>
  <c r="G439" i="5"/>
  <c r="G440" i="5"/>
  <c r="E443" i="5"/>
  <c r="G444" i="5"/>
  <c r="G445" i="5"/>
  <c r="G446" i="5"/>
  <c r="G447" i="5"/>
  <c r="G448" i="5"/>
  <c r="J321" i="16"/>
  <c r="I321" i="16"/>
  <c r="E449" i="5"/>
  <c r="G449" i="5" s="1"/>
  <c r="G450" i="5"/>
  <c r="E450" i="5"/>
  <c r="G452" i="5"/>
  <c r="E452" i="5"/>
  <c r="G453" i="5"/>
  <c r="G454" i="5"/>
  <c r="G455" i="5"/>
  <c r="G456" i="5"/>
  <c r="G457" i="5"/>
  <c r="G458" i="5"/>
  <c r="G459" i="5"/>
  <c r="E459" i="5"/>
  <c r="E460" i="5"/>
  <c r="E461" i="5"/>
  <c r="G461" i="5" s="1"/>
  <c r="G462" i="5"/>
  <c r="E462" i="5"/>
  <c r="G463" i="5"/>
  <c r="G464" i="5"/>
  <c r="G465" i="5"/>
  <c r="G466" i="5"/>
  <c r="G467" i="5"/>
  <c r="G468" i="5"/>
  <c r="J3801" i="16"/>
  <c r="E469" i="5"/>
  <c r="G469" i="5" s="1"/>
  <c r="I3801" i="16"/>
  <c r="G471" i="5"/>
  <c r="G472" i="5"/>
  <c r="G473" i="5"/>
  <c r="G474" i="5"/>
  <c r="G475" i="5"/>
  <c r="G476" i="5"/>
  <c r="G477" i="5"/>
  <c r="G481" i="5"/>
  <c r="G482" i="5"/>
  <c r="G483" i="5"/>
  <c r="E484" i="5"/>
  <c r="G484" i="5" s="1"/>
  <c r="E485" i="5"/>
  <c r="G486" i="5"/>
  <c r="G487" i="5"/>
  <c r="G488" i="5"/>
  <c r="G489" i="5"/>
  <c r="G490" i="5"/>
  <c r="G491" i="5"/>
  <c r="J2599" i="16"/>
  <c r="I2599" i="16"/>
  <c r="G492" i="5"/>
  <c r="J2969" i="16"/>
  <c r="G493" i="5"/>
  <c r="G494" i="5"/>
  <c r="G495" i="5"/>
  <c r="I2969" i="16"/>
  <c r="G496" i="5"/>
  <c r="G497" i="5"/>
  <c r="G498" i="5"/>
  <c r="G499" i="5"/>
  <c r="J2970" i="16"/>
  <c r="G500" i="5"/>
  <c r="G501" i="5"/>
  <c r="G502" i="5"/>
  <c r="I2970" i="16"/>
  <c r="G503" i="5"/>
  <c r="G504" i="5"/>
  <c r="G505" i="5"/>
  <c r="J4358" i="16"/>
  <c r="G508" i="5"/>
  <c r="I4358" i="16"/>
  <c r="G509" i="5"/>
  <c r="G510" i="5"/>
  <c r="G511" i="5"/>
  <c r="E512" i="5"/>
  <c r="G513" i="5"/>
  <c r="G516" i="5"/>
  <c r="G517" i="5"/>
  <c r="G518" i="5"/>
  <c r="G519" i="5"/>
  <c r="E520" i="5"/>
  <c r="G523" i="5"/>
  <c r="G524" i="5"/>
  <c r="G525" i="5"/>
  <c r="G526" i="5"/>
  <c r="G527" i="5"/>
  <c r="G528" i="5"/>
  <c r="G529" i="5"/>
  <c r="G530" i="5"/>
  <c r="G531" i="5"/>
  <c r="J3810" i="16"/>
  <c r="I3810" i="16"/>
  <c r="G532" i="5"/>
  <c r="J318" i="16"/>
  <c r="G533" i="5"/>
  <c r="J3797" i="16"/>
  <c r="G534" i="5"/>
  <c r="G535" i="5"/>
  <c r="G536" i="5"/>
  <c r="I318" i="16"/>
  <c r="I3797" i="16"/>
  <c r="G537" i="5"/>
  <c r="G538" i="5"/>
  <c r="G539" i="5"/>
  <c r="G542" i="5"/>
  <c r="J136" i="16"/>
  <c r="G544" i="5"/>
  <c r="I136" i="16"/>
  <c r="G545" i="5"/>
  <c r="G546" i="5"/>
  <c r="G547" i="5"/>
  <c r="G548" i="5"/>
  <c r="G551" i="5"/>
  <c r="G552" i="5"/>
  <c r="G553" i="5"/>
  <c r="G554" i="5"/>
  <c r="G555" i="5"/>
  <c r="J319" i="16"/>
  <c r="I319" i="16"/>
  <c r="G556" i="5"/>
  <c r="G557" i="5"/>
  <c r="G558" i="5"/>
  <c r="G559" i="5"/>
  <c r="G561" i="5"/>
  <c r="G562" i="5"/>
  <c r="G563" i="5"/>
  <c r="E564" i="5"/>
  <c r="E565" i="5"/>
  <c r="G565" i="5" s="1"/>
  <c r="E566" i="5"/>
  <c r="G566" i="5" s="1"/>
  <c r="E567" i="5"/>
  <c r="G567" i="5" s="1"/>
  <c r="E568" i="5"/>
  <c r="G568" i="5" s="1"/>
  <c r="G569" i="5"/>
  <c r="G570" i="5"/>
  <c r="G571" i="5"/>
  <c r="G572" i="5"/>
  <c r="G573" i="5"/>
  <c r="E574" i="5"/>
  <c r="E575" i="5"/>
  <c r="G575" i="5" s="1"/>
  <c r="E576" i="5"/>
  <c r="G577" i="5"/>
  <c r="E577" i="5"/>
  <c r="G578" i="5"/>
  <c r="G579" i="5"/>
  <c r="G580" i="5"/>
  <c r="G581" i="5"/>
  <c r="G582" i="5"/>
  <c r="G583" i="5"/>
  <c r="G584" i="5"/>
  <c r="G585" i="5"/>
  <c r="G586" i="5"/>
  <c r="G588" i="5"/>
  <c r="G589" i="5"/>
  <c r="G590" i="5"/>
  <c r="E591" i="5"/>
  <c r="E592" i="5"/>
  <c r="G592" i="5" s="1"/>
  <c r="E593" i="5"/>
  <c r="E594" i="5"/>
  <c r="E595" i="5"/>
  <c r="G595" i="5" s="1"/>
  <c r="G596" i="5"/>
  <c r="G597" i="5"/>
  <c r="G598" i="5"/>
  <c r="G599" i="5"/>
  <c r="G600" i="5"/>
  <c r="E601" i="5"/>
  <c r="E602" i="5"/>
  <c r="G602" i="5" s="1"/>
  <c r="E603" i="5"/>
  <c r="G603" i="5" s="1"/>
  <c r="E604" i="5"/>
  <c r="G604" i="5" s="1"/>
  <c r="G605" i="5"/>
  <c r="G606" i="5"/>
  <c r="G607" i="5"/>
  <c r="G608" i="5"/>
  <c r="G609" i="5"/>
  <c r="J1162" i="16"/>
  <c r="I1162" i="16"/>
  <c r="G610" i="5"/>
  <c r="G611" i="5"/>
  <c r="G613" i="5"/>
  <c r="G614" i="5"/>
  <c r="G615" i="5"/>
  <c r="G616" i="5"/>
  <c r="G617" i="5"/>
  <c r="G618" i="5"/>
  <c r="G621" i="5"/>
  <c r="G622" i="5"/>
  <c r="G623" i="5"/>
  <c r="G624" i="5"/>
  <c r="G626" i="5"/>
  <c r="G629" i="5"/>
  <c r="G630" i="5"/>
  <c r="G631" i="5"/>
  <c r="J3820" i="16"/>
  <c r="I3820" i="16"/>
  <c r="G632" i="5"/>
  <c r="G633" i="5"/>
  <c r="G634" i="5"/>
  <c r="G636" i="5"/>
  <c r="G637" i="5"/>
  <c r="G638" i="5"/>
  <c r="G640" i="5"/>
  <c r="G641" i="5"/>
  <c r="G642" i="5"/>
  <c r="G644" i="5"/>
  <c r="G645" i="5"/>
  <c r="G646" i="5"/>
  <c r="G647" i="5"/>
  <c r="H647" i="5" s="1"/>
  <c r="G648" i="5"/>
  <c r="G649" i="5"/>
  <c r="G650" i="5"/>
  <c r="G651" i="5"/>
  <c r="H651" i="5" s="1"/>
  <c r="G652" i="5"/>
  <c r="G653" i="5"/>
  <c r="G654" i="5"/>
  <c r="J8" i="16"/>
  <c r="I8" i="16"/>
  <c r="G656" i="5"/>
  <c r="G657" i="5"/>
  <c r="G658" i="5"/>
  <c r="J2137" i="16"/>
  <c r="I2137" i="16"/>
  <c r="G659" i="5"/>
  <c r="H659" i="5" s="1"/>
  <c r="G660" i="5"/>
  <c r="G661" i="5"/>
  <c r="G662" i="5"/>
  <c r="E663" i="5"/>
  <c r="E664" i="5"/>
  <c r="E665" i="5"/>
  <c r="G665" i="5" s="1"/>
  <c r="E666" i="5"/>
  <c r="G666" i="5" s="1"/>
  <c r="E667" i="5"/>
  <c r="G667" i="5" s="1"/>
  <c r="G668" i="5"/>
  <c r="G669" i="5"/>
  <c r="G670" i="5"/>
  <c r="J2977" i="16"/>
  <c r="I2977" i="16"/>
  <c r="E671" i="5"/>
  <c r="G671" i="5" s="1"/>
  <c r="J580" i="16"/>
  <c r="E672" i="5"/>
  <c r="G672" i="5" s="1"/>
  <c r="E673" i="5"/>
  <c r="J3798" i="16"/>
  <c r="E674" i="5"/>
  <c r="G674" i="5" s="1"/>
  <c r="J3946" i="16"/>
  <c r="E675" i="5"/>
  <c r="E676" i="5"/>
  <c r="G676" i="5" s="1"/>
  <c r="E677" i="5"/>
  <c r="G677" i="5" s="1"/>
  <c r="I580" i="16"/>
  <c r="I3798" i="16"/>
  <c r="I3946" i="16"/>
  <c r="G678" i="5"/>
  <c r="G679" i="5"/>
  <c r="G680" i="5"/>
  <c r="J130" i="16"/>
  <c r="G681" i="5"/>
  <c r="I130" i="16"/>
  <c r="J320" i="16"/>
  <c r="G683" i="5"/>
  <c r="G686" i="5"/>
  <c r="G687" i="5"/>
  <c r="I320" i="16"/>
  <c r="G688" i="5"/>
  <c r="G689" i="5"/>
  <c r="G690" i="5"/>
  <c r="E691" i="5"/>
  <c r="E692" i="5"/>
  <c r="G692" i="5" s="1"/>
  <c r="E693" i="5"/>
  <c r="G693" i="5" s="1"/>
  <c r="E694" i="5"/>
  <c r="G695" i="5"/>
  <c r="E695" i="5"/>
  <c r="G696" i="5"/>
  <c r="G697" i="5"/>
  <c r="G698" i="5"/>
  <c r="E699" i="5"/>
  <c r="G699" i="5" s="1"/>
  <c r="E700" i="5"/>
  <c r="G700" i="5" s="1"/>
  <c r="E701" i="5"/>
  <c r="E702" i="5"/>
  <c r="E703" i="5"/>
  <c r="G703" i="5" s="1"/>
  <c r="E704" i="5"/>
  <c r="G704" i="5" s="1"/>
  <c r="E705" i="5"/>
  <c r="G706" i="5"/>
  <c r="G707" i="5"/>
  <c r="G708" i="5"/>
  <c r="E709" i="5"/>
  <c r="G709" i="5"/>
  <c r="E710" i="5"/>
  <c r="G710" i="5" s="1"/>
  <c r="E711" i="5"/>
  <c r="G711" i="5" s="1"/>
  <c r="E712" i="5"/>
  <c r="G712" i="5" s="1"/>
  <c r="E713" i="5"/>
  <c r="G713" i="5" s="1"/>
  <c r="E714" i="5"/>
  <c r="G714" i="5" s="1"/>
  <c r="G715" i="5"/>
  <c r="G716" i="5"/>
  <c r="G717" i="5"/>
  <c r="G718" i="5"/>
  <c r="E718" i="5"/>
  <c r="G719" i="5"/>
  <c r="E719" i="5"/>
  <c r="G720" i="5"/>
  <c r="E720" i="5"/>
  <c r="G721" i="5"/>
  <c r="E721" i="5"/>
  <c r="G722" i="5"/>
  <c r="G723" i="5"/>
  <c r="G724" i="5"/>
  <c r="G725" i="5"/>
  <c r="G727" i="5"/>
  <c r="G728" i="5"/>
  <c r="G729" i="5"/>
  <c r="G730" i="5"/>
  <c r="E731" i="5"/>
  <c r="E732" i="5"/>
  <c r="G732" i="5" s="1"/>
  <c r="E733" i="5"/>
  <c r="G734" i="5"/>
  <c r="E734" i="5"/>
  <c r="G735" i="5"/>
  <c r="E735" i="5"/>
  <c r="G736" i="5"/>
  <c r="G737" i="5"/>
  <c r="G738" i="5"/>
  <c r="G739" i="5"/>
  <c r="H739" i="5" s="1"/>
  <c r="G740" i="5"/>
  <c r="G741" i="5"/>
  <c r="G742" i="5"/>
  <c r="J3364" i="16"/>
  <c r="I3364" i="16"/>
  <c r="E743" i="5"/>
  <c r="G743" i="5" s="1"/>
  <c r="E744" i="5"/>
  <c r="G745" i="5"/>
  <c r="G746" i="5"/>
  <c r="G747" i="5"/>
  <c r="G748" i="5"/>
  <c r="G749" i="5"/>
  <c r="J2126" i="16"/>
  <c r="G750" i="5"/>
  <c r="I2126" i="16"/>
  <c r="J3345" i="16"/>
  <c r="G751" i="5"/>
  <c r="J3330" i="16"/>
  <c r="G752" i="5"/>
  <c r="G753" i="5"/>
  <c r="J3274" i="16"/>
  <c r="J3284" i="16"/>
  <c r="G755" i="5"/>
  <c r="J309" i="16"/>
  <c r="G757" i="5"/>
  <c r="I3345" i="16"/>
  <c r="I3330" i="16"/>
  <c r="I3274" i="16"/>
  <c r="I3284" i="16"/>
  <c r="I309" i="16"/>
  <c r="G758" i="5"/>
  <c r="G759" i="5"/>
  <c r="G760" i="5"/>
  <c r="G761" i="5"/>
  <c r="G762" i="5"/>
  <c r="G763" i="5"/>
  <c r="E763" i="5"/>
  <c r="G764" i="5"/>
  <c r="G765" i="5"/>
  <c r="G766" i="5"/>
  <c r="G769" i="5"/>
  <c r="G770" i="5"/>
  <c r="G771" i="5"/>
  <c r="G772" i="5"/>
  <c r="G773" i="5"/>
  <c r="G774" i="5"/>
  <c r="G775" i="5"/>
  <c r="G776" i="5"/>
  <c r="G777" i="5"/>
  <c r="G778" i="5"/>
  <c r="G782" i="5"/>
  <c r="G783" i="5"/>
  <c r="G784" i="5"/>
  <c r="G785" i="5"/>
  <c r="G786" i="5"/>
  <c r="G787" i="5"/>
  <c r="G788" i="5"/>
  <c r="G789" i="5"/>
  <c r="G790" i="5"/>
  <c r="G791" i="5"/>
  <c r="G792" i="5"/>
  <c r="G793" i="5"/>
  <c r="G795" i="5"/>
  <c r="G796" i="5"/>
  <c r="G797" i="5"/>
  <c r="G798" i="5"/>
  <c r="G799" i="5"/>
  <c r="G801" i="5"/>
  <c r="G803" i="5"/>
  <c r="G804" i="5"/>
  <c r="G805" i="5"/>
  <c r="G806" i="5"/>
  <c r="G807" i="5"/>
  <c r="G808" i="5"/>
  <c r="J2119" i="16"/>
  <c r="I2119" i="16"/>
  <c r="G809" i="5"/>
  <c r="H809" i="5" s="1"/>
  <c r="G810" i="5"/>
  <c r="G811" i="5"/>
  <c r="G812" i="5"/>
  <c r="E813" i="5"/>
  <c r="J3451" i="16"/>
  <c r="G814" i="5"/>
  <c r="I3451" i="16"/>
  <c r="G815" i="5"/>
  <c r="G816" i="5"/>
  <c r="G817" i="5"/>
  <c r="G818" i="5"/>
  <c r="H818" i="5" s="1"/>
  <c r="E818" i="5"/>
  <c r="G819" i="5"/>
  <c r="G820" i="5"/>
  <c r="G821" i="5"/>
  <c r="G822" i="5"/>
  <c r="G823" i="5"/>
  <c r="G824" i="5"/>
  <c r="G825" i="5"/>
  <c r="G826" i="5"/>
  <c r="J3363" i="16"/>
  <c r="I3363" i="16"/>
  <c r="G827" i="5"/>
  <c r="G828" i="5"/>
  <c r="G829" i="5"/>
  <c r="G830" i="5"/>
  <c r="G831" i="5"/>
  <c r="G832" i="5"/>
  <c r="G833" i="5"/>
  <c r="G834" i="5"/>
  <c r="J127" i="16"/>
  <c r="I127" i="16"/>
  <c r="G837" i="5"/>
  <c r="G838" i="5"/>
  <c r="G839" i="5"/>
  <c r="G840" i="5"/>
  <c r="G842" i="5"/>
  <c r="G843" i="5"/>
  <c r="G844" i="5"/>
  <c r="E846" i="5"/>
  <c r="J2976" i="16"/>
  <c r="G847" i="5"/>
  <c r="I2976" i="16"/>
  <c r="G848" i="5"/>
  <c r="G849" i="5"/>
  <c r="G850" i="5"/>
  <c r="G851" i="5"/>
  <c r="G852" i="5"/>
  <c r="G853" i="5"/>
  <c r="G854" i="5"/>
  <c r="G855" i="5"/>
  <c r="G856" i="5"/>
  <c r="G857" i="5"/>
  <c r="G858" i="5"/>
  <c r="G859" i="5"/>
  <c r="G860" i="5"/>
  <c r="G861" i="5"/>
  <c r="G862" i="5"/>
  <c r="J3906" i="16"/>
  <c r="E864" i="5"/>
  <c r="G864" i="5" s="1"/>
  <c r="I3906" i="16"/>
  <c r="G865" i="5"/>
  <c r="G866" i="5"/>
  <c r="G867" i="5"/>
  <c r="G868" i="5"/>
  <c r="G869" i="5"/>
  <c r="J4919" i="16"/>
  <c r="G870" i="5"/>
  <c r="I4919" i="16"/>
  <c r="J3650" i="16"/>
  <c r="G871" i="5"/>
  <c r="G872" i="5"/>
  <c r="G874" i="5"/>
  <c r="I3650" i="16"/>
  <c r="G875" i="5"/>
  <c r="G876" i="5"/>
  <c r="G877" i="5"/>
  <c r="J4921" i="16"/>
  <c r="G878" i="5"/>
  <c r="I4921" i="16"/>
  <c r="G879" i="5"/>
  <c r="G880" i="5"/>
  <c r="G881" i="5"/>
  <c r="G882" i="5"/>
  <c r="G883" i="5"/>
  <c r="G884" i="5"/>
  <c r="G885" i="5"/>
  <c r="E886" i="5"/>
  <c r="E887" i="5"/>
  <c r="G887" i="5" s="1"/>
  <c r="G888" i="5"/>
  <c r="G889" i="5"/>
  <c r="G890" i="5"/>
  <c r="G891" i="5"/>
  <c r="G895" i="5"/>
  <c r="G896" i="5"/>
  <c r="G897" i="5"/>
  <c r="E898" i="5"/>
  <c r="G898" i="5" s="1"/>
  <c r="H898" i="5" s="1"/>
  <c r="G899" i="5"/>
  <c r="G900" i="5"/>
  <c r="G901" i="5"/>
  <c r="G902" i="5"/>
  <c r="J226" i="16"/>
  <c r="G903" i="5"/>
  <c r="I226" i="16"/>
  <c r="G905" i="5"/>
  <c r="G906" i="5"/>
  <c r="G907" i="5"/>
  <c r="J4749" i="16"/>
  <c r="I4749" i="16"/>
  <c r="J2597" i="16"/>
  <c r="G909" i="5"/>
  <c r="G910" i="5"/>
  <c r="G911" i="5"/>
  <c r="I2597" i="16"/>
  <c r="G912" i="5"/>
  <c r="G913" i="5"/>
  <c r="G914" i="5"/>
  <c r="J4751" i="16"/>
  <c r="I4751" i="16"/>
  <c r="G915" i="5"/>
  <c r="G916" i="5"/>
  <c r="G918" i="5"/>
  <c r="G919" i="5"/>
  <c r="G920" i="5"/>
  <c r="G921" i="5"/>
  <c r="J4752" i="16"/>
  <c r="I4752" i="16"/>
  <c r="G922" i="5"/>
  <c r="G923" i="5"/>
  <c r="G924" i="5"/>
  <c r="G925" i="5"/>
  <c r="G926" i="5"/>
  <c r="G927" i="5"/>
  <c r="G928" i="5"/>
  <c r="J4753" i="16"/>
  <c r="I4753" i="16"/>
  <c r="G929" i="5"/>
  <c r="G930" i="5"/>
  <c r="G931" i="5"/>
  <c r="G932" i="5"/>
  <c r="G933" i="5"/>
  <c r="G934" i="5"/>
  <c r="G935" i="5"/>
  <c r="J4756" i="16"/>
  <c r="I4756" i="16"/>
  <c r="G936" i="5"/>
  <c r="G937" i="5"/>
  <c r="G938" i="5"/>
  <c r="G939" i="5"/>
  <c r="G940" i="5"/>
  <c r="G941" i="5"/>
  <c r="G942" i="5"/>
  <c r="J4757" i="16"/>
  <c r="I4757" i="16"/>
  <c r="G943" i="5"/>
  <c r="G944" i="5"/>
  <c r="G945" i="5"/>
  <c r="G946" i="5"/>
  <c r="G947" i="5"/>
  <c r="G948" i="5"/>
  <c r="J4758" i="16"/>
  <c r="I4758" i="16"/>
  <c r="G949" i="5"/>
  <c r="G950" i="5"/>
  <c r="G952" i="5"/>
  <c r="G953" i="5"/>
  <c r="G954" i="5"/>
  <c r="G955" i="5"/>
  <c r="J4759" i="16"/>
  <c r="G956" i="5"/>
  <c r="I4759" i="16"/>
  <c r="G957" i="5"/>
  <c r="G958" i="5"/>
  <c r="G959" i="5"/>
  <c r="G960" i="5"/>
  <c r="G961" i="5"/>
  <c r="G962" i="5"/>
  <c r="J2102" i="16"/>
  <c r="G964" i="5"/>
  <c r="G965" i="5"/>
  <c r="G966" i="5"/>
  <c r="I2102" i="16"/>
  <c r="G967" i="5"/>
  <c r="G968" i="5"/>
  <c r="G969" i="5"/>
  <c r="J133" i="16"/>
  <c r="I133" i="16"/>
  <c r="G970" i="5"/>
  <c r="J929" i="16"/>
  <c r="G971" i="5"/>
  <c r="J3924" i="16"/>
  <c r="G972" i="5"/>
  <c r="G974" i="5"/>
  <c r="G975" i="5"/>
  <c r="I929" i="16"/>
  <c r="I3924" i="16"/>
  <c r="G976" i="5"/>
  <c r="G977" i="5"/>
  <c r="G978" i="5"/>
  <c r="G979" i="5"/>
  <c r="J928" i="16"/>
  <c r="G980" i="5"/>
  <c r="G982" i="5"/>
  <c r="G983" i="5"/>
  <c r="G984" i="5"/>
  <c r="I928" i="16"/>
  <c r="G985" i="5"/>
  <c r="G986" i="5"/>
  <c r="G987" i="5"/>
  <c r="G990" i="5"/>
  <c r="G991" i="5"/>
  <c r="G992" i="5"/>
  <c r="G994" i="5"/>
  <c r="G995" i="5"/>
  <c r="G996" i="5"/>
  <c r="G997" i="5"/>
  <c r="G998" i="5"/>
  <c r="J3721" i="16"/>
  <c r="G999" i="5"/>
  <c r="G1000" i="5"/>
  <c r="G1001" i="5"/>
  <c r="G1002" i="5"/>
  <c r="G1003" i="5"/>
  <c r="I3721" i="16"/>
  <c r="G1004" i="5"/>
  <c r="G1005" i="5"/>
  <c r="G1006" i="5"/>
  <c r="G1008" i="5"/>
  <c r="G1009" i="5"/>
  <c r="G1010" i="5"/>
  <c r="G1011" i="5"/>
  <c r="J400" i="16"/>
  <c r="I400" i="16"/>
  <c r="G1012" i="5"/>
  <c r="J3255" i="16"/>
  <c r="G1014" i="5"/>
  <c r="G1015" i="5"/>
  <c r="G1016" i="5"/>
  <c r="G1017" i="5"/>
  <c r="G1018" i="5"/>
  <c r="I3255" i="16"/>
  <c r="G1019" i="5"/>
  <c r="G1020" i="5"/>
  <c r="G1021" i="5"/>
  <c r="G1023" i="5"/>
  <c r="G1024" i="5"/>
  <c r="G1025" i="5"/>
  <c r="G1026" i="5"/>
  <c r="G1028" i="5"/>
  <c r="G1029" i="5"/>
  <c r="G1030" i="5"/>
  <c r="G1032" i="5"/>
  <c r="G1033" i="5"/>
  <c r="G1034" i="5"/>
  <c r="G1035" i="5"/>
  <c r="G1036" i="5"/>
  <c r="G1037" i="5"/>
  <c r="G1040" i="5"/>
  <c r="G1041" i="5"/>
  <c r="G1042" i="5"/>
  <c r="G1043" i="5"/>
  <c r="G1044" i="5"/>
  <c r="G1046" i="5"/>
  <c r="G1047" i="5"/>
  <c r="G1048" i="5"/>
  <c r="G1049" i="5"/>
  <c r="G1050" i="5"/>
  <c r="G1051" i="5"/>
  <c r="J3256" i="16"/>
  <c r="G1052" i="5"/>
  <c r="I3256" i="16"/>
  <c r="G1053" i="5"/>
  <c r="G1054" i="5"/>
  <c r="G1055" i="5"/>
  <c r="G1056" i="5"/>
  <c r="G1057" i="5"/>
  <c r="G1058" i="5"/>
  <c r="G1059" i="5"/>
  <c r="J2100" i="16"/>
  <c r="G1060" i="5"/>
  <c r="E1061" i="5"/>
  <c r="G1061" i="5" s="1"/>
  <c r="E1062" i="5"/>
  <c r="G1062" i="5" s="1"/>
  <c r="I2100" i="16"/>
  <c r="G1063" i="5"/>
  <c r="G1064" i="5"/>
  <c r="G1065" i="5"/>
  <c r="G1066" i="5"/>
  <c r="G1067" i="5"/>
  <c r="G1068" i="5"/>
  <c r="G1069" i="5"/>
  <c r="G1070" i="5"/>
  <c r="G1071" i="5"/>
  <c r="G1073" i="5"/>
  <c r="G1074" i="5"/>
  <c r="G1075" i="5"/>
  <c r="J2584" i="16"/>
  <c r="I2584" i="16"/>
  <c r="G1076" i="5"/>
  <c r="G1078" i="5"/>
  <c r="G1079" i="5"/>
  <c r="G1080" i="5"/>
  <c r="G1081" i="5"/>
  <c r="G1082" i="5"/>
  <c r="G1083" i="5"/>
  <c r="J3033" i="16"/>
  <c r="I3033" i="16"/>
  <c r="G1084" i="5"/>
  <c r="G1085" i="5"/>
  <c r="G1086" i="5"/>
  <c r="E1087" i="5"/>
  <c r="G1087" i="5" s="1"/>
  <c r="E1088" i="5"/>
  <c r="G1089" i="5"/>
  <c r="G1090" i="5"/>
  <c r="G1091" i="5"/>
  <c r="G1092" i="5"/>
  <c r="G1093" i="5"/>
  <c r="G1095" i="5"/>
  <c r="G1096" i="5"/>
  <c r="G1097" i="5"/>
  <c r="G1098" i="5"/>
  <c r="G1099" i="5"/>
  <c r="G1100" i="5"/>
  <c r="G1101" i="5"/>
  <c r="G1104" i="5"/>
  <c r="G1105" i="5"/>
  <c r="G1106" i="5"/>
  <c r="G1108" i="5"/>
  <c r="G1109" i="5"/>
  <c r="G1110" i="5"/>
  <c r="G1111" i="5"/>
  <c r="G1113" i="5"/>
  <c r="G1114" i="5"/>
  <c r="G1115" i="5"/>
  <c r="G1116" i="5"/>
  <c r="G1117" i="5"/>
  <c r="G1118" i="5"/>
  <c r="G1119" i="5"/>
  <c r="G1120" i="5"/>
  <c r="G1121" i="5"/>
  <c r="G1122" i="5"/>
  <c r="J1881" i="16"/>
  <c r="I1881" i="16"/>
  <c r="G1123" i="5"/>
  <c r="G1127" i="5"/>
  <c r="G1128" i="5"/>
  <c r="G1129" i="5"/>
  <c r="G1131" i="5"/>
  <c r="G1132" i="5"/>
  <c r="G1134" i="5"/>
  <c r="G1135" i="5"/>
  <c r="G1136" i="5"/>
  <c r="J3899" i="16"/>
  <c r="I3899" i="16"/>
  <c r="G1137" i="5"/>
  <c r="G1138" i="5"/>
  <c r="G1139" i="5"/>
  <c r="G1141" i="5"/>
  <c r="G1142" i="5"/>
  <c r="G1143" i="5"/>
  <c r="G1144" i="5"/>
  <c r="G1145" i="5"/>
  <c r="J3900" i="16"/>
  <c r="G1147" i="5"/>
  <c r="I3900" i="16"/>
  <c r="G1148" i="5"/>
  <c r="G1149" i="5"/>
  <c r="G1150" i="5"/>
  <c r="G1152" i="5"/>
  <c r="G1153" i="5"/>
  <c r="G1155" i="5"/>
  <c r="G1156" i="5"/>
  <c r="G1157" i="5"/>
  <c r="G1159" i="5"/>
  <c r="G1160" i="5"/>
  <c r="G1162" i="5"/>
  <c r="G1163" i="5"/>
  <c r="G1164" i="5"/>
  <c r="G1166" i="5"/>
  <c r="G1167" i="5"/>
  <c r="G1168" i="5"/>
  <c r="G1169" i="5"/>
  <c r="G1170" i="5"/>
  <c r="G1171" i="5"/>
  <c r="G1172" i="5"/>
  <c r="G1173" i="5"/>
  <c r="G1175" i="5"/>
  <c r="G1176" i="5"/>
  <c r="G1177" i="5"/>
  <c r="G1178" i="5"/>
  <c r="G1181" i="5"/>
  <c r="G1182" i="5"/>
  <c r="G1183" i="5"/>
  <c r="G1184" i="5"/>
  <c r="G1185" i="5"/>
  <c r="J4402" i="16"/>
  <c r="G1186" i="5"/>
  <c r="I4402" i="16"/>
  <c r="G1187" i="5"/>
  <c r="G1188" i="5"/>
  <c r="G1189" i="5"/>
  <c r="G1190" i="5"/>
  <c r="G1191" i="5"/>
  <c r="G1192" i="5"/>
  <c r="G1194" i="5"/>
  <c r="G1196" i="5"/>
  <c r="G1197" i="5"/>
  <c r="G1198" i="5"/>
  <c r="G1199" i="5"/>
  <c r="G1200" i="5"/>
  <c r="G1201" i="5"/>
  <c r="G1202" i="5"/>
  <c r="J4405" i="16"/>
  <c r="G1203" i="5"/>
  <c r="I4405" i="16"/>
  <c r="G1204" i="5"/>
  <c r="G1205" i="5"/>
  <c r="G1206" i="5"/>
  <c r="G1209" i="5"/>
  <c r="G1210" i="5"/>
  <c r="G1211" i="5"/>
  <c r="G1212" i="5"/>
  <c r="G1215" i="5"/>
  <c r="G1216" i="5"/>
  <c r="G1217" i="5"/>
  <c r="G1218" i="5"/>
  <c r="G1220" i="5"/>
  <c r="G1221" i="5"/>
  <c r="G1222" i="5"/>
  <c r="G1223" i="5"/>
  <c r="G1224" i="5"/>
  <c r="G1226" i="5"/>
  <c r="G1227" i="5"/>
  <c r="G1228" i="5"/>
  <c r="G1229" i="5"/>
  <c r="G1230" i="5"/>
  <c r="J4867" i="16"/>
  <c r="G1231" i="5"/>
  <c r="I4867" i="16"/>
  <c r="G1232" i="5"/>
  <c r="G1234" i="5"/>
  <c r="G1235" i="5"/>
  <c r="G1236" i="5"/>
  <c r="G1237" i="5"/>
  <c r="G1238" i="5"/>
  <c r="J4834" i="16"/>
  <c r="G1239" i="5"/>
  <c r="G1240" i="5"/>
  <c r="I4834" i="16"/>
  <c r="G1242" i="5"/>
  <c r="G1243" i="5"/>
  <c r="G1244" i="5"/>
  <c r="J4831" i="16"/>
  <c r="G1245" i="5"/>
  <c r="I4831" i="16"/>
  <c r="G1246" i="5"/>
  <c r="G1247" i="5"/>
  <c r="G1248" i="5"/>
  <c r="G1249" i="5"/>
  <c r="G1250" i="5"/>
  <c r="G1251" i="5"/>
  <c r="G1253" i="5"/>
  <c r="G1255" i="5"/>
  <c r="G1256" i="5"/>
  <c r="G1257" i="5"/>
  <c r="J588" i="16"/>
  <c r="G1260" i="5"/>
  <c r="G1261" i="5"/>
  <c r="I588" i="16"/>
  <c r="G1262" i="5"/>
  <c r="G1263" i="5"/>
  <c r="G1264" i="5"/>
  <c r="G1267" i="5"/>
  <c r="G1268" i="5"/>
  <c r="G1269" i="5"/>
  <c r="G1270" i="5"/>
  <c r="G1271" i="5"/>
  <c r="G1273" i="5"/>
  <c r="G1274" i="5"/>
  <c r="G1275" i="5"/>
  <c r="G1276" i="5"/>
  <c r="G1277" i="5"/>
  <c r="G1278" i="5"/>
  <c r="G1279" i="5"/>
  <c r="G1280" i="5"/>
  <c r="G1283" i="5"/>
  <c r="G1284" i="5"/>
  <c r="G1285" i="5"/>
  <c r="G1287" i="5"/>
  <c r="G1289" i="5"/>
  <c r="G1290" i="5"/>
  <c r="G1291" i="5"/>
  <c r="G1292" i="5"/>
  <c r="G1293" i="5"/>
  <c r="G1295" i="5"/>
  <c r="G1297" i="5"/>
  <c r="G1298" i="5"/>
  <c r="G1300" i="5"/>
  <c r="G1301" i="5"/>
  <c r="G1302" i="5"/>
  <c r="G1304" i="5"/>
  <c r="G1305" i="5"/>
  <c r="G1306" i="5"/>
  <c r="G1307" i="5"/>
  <c r="G1308" i="5"/>
  <c r="G1311" i="5"/>
  <c r="G1312" i="5"/>
  <c r="G1313" i="5"/>
  <c r="G1314" i="5"/>
  <c r="G1317" i="5"/>
  <c r="G1318" i="5"/>
  <c r="G1319" i="5"/>
  <c r="G1320" i="5"/>
  <c r="G1322" i="5"/>
  <c r="G1323" i="5"/>
  <c r="G1324" i="5"/>
  <c r="G1325" i="5"/>
  <c r="G1326" i="5"/>
  <c r="G1328" i="5"/>
  <c r="J911" i="16"/>
  <c r="G1330" i="5"/>
  <c r="I911" i="16"/>
  <c r="G1331" i="5"/>
  <c r="G1332" i="5"/>
  <c r="G1333" i="5"/>
  <c r="G1334" i="5"/>
  <c r="G1337" i="5"/>
  <c r="G1338" i="5"/>
  <c r="G1339" i="5"/>
  <c r="G1340" i="5"/>
  <c r="J912" i="16"/>
  <c r="G1343" i="5"/>
  <c r="I912" i="16"/>
  <c r="G1344" i="5"/>
  <c r="G1345" i="5"/>
  <c r="G1346" i="5"/>
  <c r="G1347" i="5"/>
  <c r="G1350" i="5"/>
  <c r="G1351" i="5"/>
  <c r="G1352" i="5"/>
  <c r="G1353" i="5"/>
  <c r="G1356" i="5"/>
  <c r="G1357" i="5"/>
  <c r="G1358" i="5"/>
  <c r="G1359" i="5"/>
  <c r="G1363" i="5"/>
  <c r="G1364" i="5"/>
  <c r="G1365" i="5"/>
  <c r="G1366" i="5"/>
  <c r="J886" i="16"/>
  <c r="G1368" i="5"/>
  <c r="I886" i="16"/>
  <c r="G1369" i="5"/>
  <c r="G1370" i="5"/>
  <c r="G1371" i="5"/>
  <c r="G1372" i="5"/>
  <c r="G1375" i="5"/>
  <c r="G1376" i="5"/>
  <c r="G1377" i="5"/>
  <c r="G1379" i="5"/>
  <c r="G1380" i="5"/>
  <c r="G1381" i="5"/>
  <c r="G1382" i="5"/>
  <c r="G1383" i="5"/>
  <c r="G1384" i="5"/>
  <c r="J585" i="16"/>
  <c r="G1386" i="5"/>
  <c r="J1264" i="16"/>
  <c r="G1387" i="5"/>
  <c r="I585" i="16"/>
  <c r="I1264" i="16"/>
  <c r="G1388" i="5"/>
  <c r="G1389" i="5"/>
  <c r="G1390" i="5"/>
  <c r="G1393" i="5"/>
  <c r="G1395" i="5"/>
  <c r="J3504" i="16"/>
  <c r="G1396" i="5"/>
  <c r="G1397" i="5"/>
  <c r="G1398" i="5"/>
  <c r="G1399" i="5"/>
  <c r="G1400" i="5"/>
  <c r="G1401" i="5"/>
  <c r="I3504" i="16"/>
  <c r="G1403" i="5"/>
  <c r="G1404" i="5"/>
  <c r="G1405" i="5"/>
  <c r="G1408" i="5"/>
  <c r="G1410" i="5"/>
  <c r="G1411" i="5"/>
  <c r="G1412" i="5"/>
  <c r="G1413" i="5"/>
  <c r="G1414" i="5"/>
  <c r="G1415" i="5"/>
  <c r="G1416" i="5"/>
  <c r="G1418" i="5"/>
  <c r="G1419" i="5"/>
  <c r="G1420" i="5"/>
  <c r="G1422" i="5"/>
  <c r="G1423" i="5"/>
  <c r="G1425" i="5"/>
  <c r="G1426" i="5"/>
  <c r="G1427" i="5"/>
  <c r="G1428" i="5"/>
  <c r="G1429" i="5"/>
  <c r="G1430" i="5"/>
  <c r="G1431" i="5"/>
  <c r="G1433" i="5"/>
  <c r="G1434" i="5"/>
  <c r="G1435" i="5"/>
  <c r="G1437" i="5"/>
  <c r="G1438" i="5"/>
  <c r="G1440" i="5"/>
  <c r="G1441" i="5"/>
  <c r="G1442" i="5"/>
  <c r="G1443" i="5"/>
  <c r="G1444" i="5"/>
  <c r="G1445" i="5"/>
  <c r="G1446" i="5"/>
  <c r="G1448" i="5"/>
  <c r="G1449" i="5"/>
  <c r="G1450" i="5"/>
  <c r="G1451" i="5"/>
  <c r="G1452" i="5"/>
  <c r="G1453" i="5"/>
  <c r="G1455" i="5"/>
  <c r="G1457" i="5"/>
  <c r="G1458" i="5"/>
  <c r="G1459" i="5"/>
  <c r="G1460" i="5"/>
  <c r="G1461" i="5"/>
  <c r="G1463" i="5"/>
  <c r="G1464" i="5"/>
  <c r="G1465" i="5"/>
  <c r="G1467" i="5"/>
  <c r="G1468" i="5"/>
  <c r="G1470" i="5"/>
  <c r="G1472" i="5"/>
  <c r="G1473" i="5"/>
  <c r="G1474" i="5"/>
  <c r="G1475" i="5"/>
  <c r="G1476" i="5"/>
  <c r="G1478" i="5"/>
  <c r="G1479" i="5"/>
  <c r="G1480" i="5"/>
  <c r="G1481" i="5"/>
  <c r="G1483" i="5"/>
  <c r="G1485" i="5"/>
  <c r="G1486" i="5"/>
  <c r="G1487" i="5"/>
  <c r="G1488" i="5"/>
  <c r="G1489" i="5"/>
  <c r="G1490" i="5"/>
  <c r="G1491" i="5"/>
  <c r="G1493" i="5"/>
  <c r="G1494" i="5"/>
  <c r="G1495" i="5"/>
  <c r="G1496" i="5"/>
  <c r="G1499" i="5"/>
  <c r="G1500" i="5"/>
  <c r="G1501" i="5"/>
  <c r="G1502" i="5"/>
  <c r="G1503" i="5"/>
  <c r="G1504" i="5"/>
  <c r="G1505" i="5"/>
  <c r="G1506" i="5"/>
  <c r="G1507" i="5"/>
  <c r="G1508" i="5"/>
  <c r="G1509" i="5"/>
  <c r="G1510" i="5"/>
  <c r="G1511" i="5"/>
  <c r="G1512" i="5"/>
  <c r="G1513" i="5"/>
  <c r="G1514" i="5"/>
  <c r="G1516" i="5"/>
  <c r="G1517" i="5"/>
  <c r="G1518" i="5"/>
  <c r="G1519" i="5"/>
  <c r="G1520" i="5"/>
  <c r="G1523" i="5"/>
  <c r="G1524" i="5"/>
  <c r="G1525" i="5"/>
  <c r="J1852" i="16"/>
  <c r="I1852" i="16"/>
  <c r="G1527" i="5"/>
  <c r="G1528" i="5"/>
  <c r="J20" i="16"/>
  <c r="G1530" i="5"/>
  <c r="G1531" i="5"/>
  <c r="G1532" i="5"/>
  <c r="G1533" i="5"/>
  <c r="G1534" i="5"/>
  <c r="J1851" i="16"/>
  <c r="I1851" i="16"/>
  <c r="G1537" i="5"/>
  <c r="G1538" i="5"/>
  <c r="G1539" i="5"/>
  <c r="J1833" i="16"/>
  <c r="I1833" i="16"/>
  <c r="G1540" i="5"/>
  <c r="J311" i="16"/>
  <c r="G1541" i="5"/>
  <c r="G1543" i="5"/>
  <c r="I311" i="16"/>
  <c r="G1544" i="5"/>
  <c r="G1545" i="5"/>
  <c r="G1546" i="5"/>
  <c r="J1832" i="16"/>
  <c r="G1547" i="5"/>
  <c r="I1832" i="16"/>
  <c r="G1549" i="5"/>
  <c r="G1550" i="5"/>
  <c r="G1551" i="5"/>
  <c r="G1552" i="5"/>
  <c r="G1553" i="5"/>
  <c r="G1557" i="5"/>
  <c r="G1558" i="5"/>
  <c r="G1559" i="5"/>
  <c r="G1560" i="5"/>
  <c r="G1561" i="5"/>
  <c r="G1562" i="5"/>
  <c r="G1563" i="5"/>
  <c r="G1564" i="5"/>
  <c r="G1565" i="5"/>
  <c r="G1566" i="5"/>
  <c r="G1567" i="5"/>
  <c r="G1568" i="5"/>
  <c r="J1967" i="16"/>
  <c r="G1569" i="5"/>
  <c r="I1967" i="16"/>
  <c r="J3939" i="16"/>
  <c r="I3939" i="16"/>
  <c r="G1573" i="5"/>
  <c r="G1574" i="5"/>
  <c r="G1575" i="5"/>
  <c r="J1969" i="16"/>
  <c r="G1576" i="5"/>
  <c r="I1969" i="16"/>
  <c r="J3940" i="16"/>
  <c r="I3940" i="16"/>
  <c r="G1580" i="5"/>
  <c r="G1581" i="5"/>
  <c r="G1582" i="5"/>
  <c r="G1584" i="5"/>
  <c r="G1585" i="5"/>
  <c r="G1586" i="5"/>
  <c r="G1587" i="5"/>
  <c r="G1588" i="5"/>
  <c r="G1589" i="5"/>
  <c r="E1590" i="5"/>
  <c r="G1590" i="5"/>
  <c r="G1591" i="5"/>
  <c r="E1591" i="5"/>
  <c r="G1594" i="5"/>
  <c r="G1595" i="5"/>
  <c r="G1596" i="5"/>
  <c r="G1597" i="5"/>
  <c r="G1599" i="5"/>
  <c r="G1600" i="5"/>
  <c r="G1601" i="5"/>
  <c r="J2298" i="16"/>
  <c r="G1602" i="5"/>
  <c r="I2298" i="16"/>
  <c r="G1603" i="5"/>
  <c r="G1604" i="5"/>
  <c r="G1605" i="5"/>
  <c r="G1606" i="5"/>
  <c r="G1607" i="5"/>
  <c r="J2304" i="16"/>
  <c r="I2304" i="16"/>
  <c r="G1608" i="5"/>
  <c r="G1609" i="5"/>
  <c r="G1610" i="5"/>
  <c r="G1611" i="5"/>
  <c r="G1612" i="5"/>
  <c r="G1613" i="5"/>
  <c r="G1616" i="5"/>
  <c r="G1617" i="5"/>
  <c r="G1618" i="5"/>
  <c r="G1620" i="5"/>
  <c r="G1622" i="5"/>
  <c r="G1623" i="5"/>
  <c r="G1624" i="5"/>
  <c r="J4374" i="16"/>
  <c r="G1625" i="5"/>
  <c r="I4374" i="16"/>
  <c r="G1627" i="5"/>
  <c r="G1628" i="5"/>
  <c r="G1629" i="5"/>
  <c r="G1630" i="5"/>
  <c r="J4378" i="16"/>
  <c r="G1631" i="5"/>
  <c r="I4378" i="16"/>
  <c r="G1632" i="5"/>
  <c r="G1633" i="5"/>
  <c r="G1634" i="5"/>
  <c r="G1635" i="5"/>
  <c r="G1636" i="5"/>
  <c r="E1637" i="5"/>
  <c r="G1638" i="5"/>
  <c r="E1638" i="5"/>
  <c r="G1640" i="5"/>
  <c r="G1641" i="5"/>
  <c r="G1642" i="5"/>
  <c r="G1645" i="5"/>
  <c r="G1646" i="5"/>
  <c r="G1647" i="5"/>
  <c r="G1650" i="5"/>
  <c r="G1651" i="5"/>
  <c r="G1652" i="5"/>
  <c r="G1655" i="5"/>
  <c r="G1656" i="5"/>
  <c r="G1657" i="5"/>
  <c r="G1658" i="5"/>
  <c r="G1661" i="5"/>
  <c r="G1662" i="5"/>
  <c r="G1663" i="5"/>
  <c r="G1665" i="5"/>
  <c r="G1668" i="5"/>
  <c r="G1669" i="5"/>
  <c r="G1670" i="5"/>
  <c r="G1671" i="5"/>
  <c r="G1672" i="5"/>
  <c r="G1673" i="5"/>
  <c r="G1674" i="5"/>
  <c r="G1675" i="5"/>
  <c r="G1676" i="5"/>
  <c r="G1677" i="5"/>
  <c r="G1680" i="5"/>
  <c r="G1681" i="5"/>
  <c r="G1682" i="5"/>
  <c r="G1683" i="5"/>
  <c r="G1684" i="5"/>
  <c r="G1685" i="5"/>
  <c r="G1689" i="5"/>
  <c r="G1690" i="5"/>
  <c r="G1691" i="5"/>
  <c r="G1697" i="5"/>
  <c r="G1698" i="5"/>
  <c r="G1699" i="5"/>
  <c r="G1700" i="5"/>
  <c r="G1701" i="5"/>
  <c r="G1707" i="5"/>
  <c r="G1709" i="5"/>
  <c r="G1710" i="5"/>
  <c r="G1711" i="5"/>
  <c r="G1718" i="5"/>
  <c r="G1719" i="5"/>
  <c r="G1720" i="5"/>
  <c r="G1721" i="5"/>
  <c r="G1728" i="5"/>
  <c r="G1729" i="5"/>
  <c r="G1730" i="5"/>
  <c r="G1731" i="5"/>
  <c r="G1732" i="5"/>
  <c r="G1733" i="5"/>
  <c r="G1734" i="5"/>
  <c r="J2094" i="16"/>
  <c r="G1735" i="5"/>
  <c r="I2094" i="16"/>
  <c r="G1736" i="5"/>
  <c r="G1737" i="5"/>
  <c r="G1738" i="5"/>
  <c r="G1739" i="5"/>
  <c r="G1741" i="5"/>
  <c r="G1742" i="5"/>
  <c r="G1743" i="5"/>
  <c r="G1744" i="5"/>
  <c r="G1745" i="5"/>
  <c r="G1746" i="5"/>
  <c r="G1747" i="5"/>
  <c r="G1750" i="5"/>
  <c r="G1751" i="5"/>
  <c r="G1752" i="5"/>
  <c r="G1754" i="5"/>
  <c r="G1756" i="5"/>
  <c r="G1757" i="5"/>
  <c r="G1758" i="5"/>
  <c r="G1759" i="5"/>
  <c r="G1760" i="5"/>
  <c r="G1761" i="5"/>
  <c r="G1763" i="5"/>
  <c r="G1764" i="5"/>
  <c r="G1765" i="5"/>
  <c r="G1766" i="5"/>
  <c r="G1768" i="5"/>
  <c r="G1770" i="5"/>
  <c r="G1771" i="5"/>
  <c r="G1772" i="5"/>
  <c r="G1773" i="5"/>
  <c r="G1774" i="5"/>
  <c r="G1778" i="5"/>
  <c r="G1779" i="5"/>
  <c r="G1780" i="5"/>
  <c r="G1783" i="5"/>
  <c r="G1784" i="5"/>
  <c r="G1785" i="5"/>
  <c r="G1786" i="5"/>
  <c r="G1787" i="5"/>
  <c r="G1790" i="5"/>
  <c r="G1791" i="5"/>
  <c r="G1792" i="5"/>
  <c r="G1793" i="5"/>
  <c r="G1794" i="5"/>
  <c r="G1795" i="5"/>
  <c r="G1796" i="5"/>
  <c r="G1797" i="5"/>
  <c r="G1798" i="5"/>
  <c r="G1799" i="5"/>
  <c r="G1801" i="5"/>
  <c r="G1802" i="5"/>
  <c r="G1803" i="5"/>
  <c r="G1804" i="5"/>
  <c r="G1805" i="5"/>
  <c r="G1807" i="5"/>
  <c r="G1808" i="5"/>
  <c r="G1809" i="5"/>
  <c r="J1092" i="16"/>
  <c r="G1810" i="5"/>
  <c r="I1092" i="16"/>
  <c r="G1811" i="5"/>
  <c r="G1812" i="5"/>
  <c r="G1813" i="5"/>
  <c r="G1814" i="5"/>
  <c r="G1815" i="5"/>
  <c r="G1816" i="5"/>
  <c r="G1818" i="5"/>
  <c r="G1820" i="5"/>
  <c r="G1821" i="5"/>
  <c r="G1822" i="5"/>
  <c r="G1824" i="5"/>
  <c r="G1826" i="5"/>
  <c r="G1827" i="5"/>
  <c r="G1828" i="5"/>
  <c r="G1830" i="5"/>
  <c r="G1832" i="5"/>
  <c r="G1833" i="5"/>
  <c r="G1834" i="5"/>
  <c r="G1835" i="5"/>
  <c r="G1836" i="5"/>
  <c r="G1838" i="5"/>
  <c r="G1839" i="5"/>
  <c r="G1840" i="5"/>
  <c r="G1841" i="5"/>
  <c r="G1844" i="5"/>
  <c r="G1845" i="5"/>
  <c r="G1846" i="5"/>
  <c r="G1847" i="5"/>
  <c r="G1850" i="5"/>
  <c r="G1851" i="5"/>
  <c r="G1852" i="5"/>
  <c r="G1853" i="5"/>
  <c r="G1856" i="5"/>
  <c r="G1857" i="5"/>
  <c r="G1858" i="5"/>
  <c r="G1859" i="5"/>
  <c r="G1860" i="5"/>
  <c r="G1862" i="5"/>
  <c r="G1863" i="5"/>
  <c r="G1864" i="5"/>
  <c r="G1865" i="5"/>
  <c r="G1866" i="5"/>
  <c r="G1868" i="5"/>
  <c r="G1869" i="5"/>
  <c r="G1870" i="5"/>
  <c r="G1871" i="5"/>
  <c r="G1872" i="5"/>
  <c r="G1874" i="5"/>
  <c r="G1875" i="5"/>
  <c r="G1876" i="5"/>
  <c r="G1877" i="5"/>
  <c r="G1878" i="5"/>
  <c r="G1879" i="5"/>
  <c r="G1880" i="5"/>
  <c r="G1881" i="5"/>
  <c r="G1882" i="5"/>
  <c r="G1883" i="5"/>
  <c r="G1884" i="5"/>
  <c r="G1885" i="5"/>
  <c r="G1886" i="5"/>
  <c r="G1887" i="5"/>
  <c r="G1888" i="5"/>
  <c r="E1889" i="5"/>
  <c r="E1890" i="5"/>
  <c r="G1891" i="5"/>
  <c r="G1892" i="5"/>
  <c r="G1893" i="5"/>
  <c r="G1894" i="5"/>
  <c r="G1896" i="5"/>
  <c r="G1897" i="5"/>
  <c r="G1898" i="5"/>
  <c r="G1899" i="5"/>
  <c r="G1901" i="5"/>
  <c r="G1902" i="5"/>
  <c r="G1903" i="5"/>
  <c r="G1905" i="5"/>
  <c r="G1907" i="5"/>
  <c r="G1908" i="5"/>
  <c r="G1909" i="5"/>
  <c r="G1912" i="5"/>
  <c r="G1913" i="5"/>
  <c r="G1914" i="5"/>
  <c r="G1915" i="5"/>
  <c r="G1917" i="5"/>
  <c r="G1918" i="5"/>
  <c r="G1919" i="5"/>
  <c r="G1920" i="5"/>
  <c r="G1924" i="5"/>
  <c r="G1925" i="5"/>
  <c r="G1926" i="5"/>
  <c r="G1927" i="5"/>
  <c r="G1930" i="5"/>
  <c r="G1931" i="5"/>
  <c r="G1932" i="5"/>
  <c r="G1933" i="5"/>
  <c r="G1936" i="5"/>
  <c r="G1937" i="5"/>
  <c r="G1938" i="5"/>
  <c r="G1939" i="5"/>
  <c r="G1942" i="5"/>
  <c r="G1943" i="5"/>
  <c r="G1944" i="5"/>
  <c r="G1945" i="5"/>
  <c r="G1946" i="5"/>
  <c r="G1947" i="5"/>
  <c r="G1949" i="5"/>
  <c r="G1950" i="5"/>
  <c r="G1951" i="5"/>
  <c r="G1952" i="5"/>
  <c r="G1954" i="5"/>
  <c r="G1958" i="5"/>
  <c r="G1959" i="5"/>
  <c r="G1960" i="5"/>
  <c r="G1962" i="5"/>
  <c r="G1963" i="5"/>
  <c r="G1966" i="5"/>
  <c r="G1967" i="5"/>
  <c r="G1968" i="5"/>
  <c r="J4836" i="16"/>
  <c r="G1970" i="5"/>
  <c r="G1972" i="5"/>
  <c r="I4836" i="16"/>
  <c r="G1973" i="5"/>
  <c r="G1974" i="5"/>
  <c r="G1975" i="5"/>
  <c r="G1976" i="5"/>
  <c r="J4837" i="16"/>
  <c r="G1977" i="5"/>
  <c r="G1978" i="5"/>
  <c r="I4837" i="16"/>
  <c r="G1980" i="5"/>
  <c r="G1981" i="5"/>
  <c r="G1982" i="5"/>
  <c r="G1983" i="5"/>
  <c r="J4835" i="16"/>
  <c r="G1984" i="5"/>
  <c r="G1985" i="5"/>
  <c r="G1986" i="5"/>
  <c r="I4835" i="16"/>
  <c r="G1987" i="5"/>
  <c r="G1988" i="5"/>
  <c r="G1989" i="5"/>
  <c r="G1990" i="5"/>
  <c r="J4840" i="16"/>
  <c r="G1991" i="5"/>
  <c r="G1993" i="5"/>
  <c r="I4840" i="16"/>
  <c r="G1994" i="5"/>
  <c r="G1995" i="5"/>
  <c r="G1996" i="5"/>
  <c r="G1997" i="5"/>
  <c r="G2000" i="5"/>
  <c r="G2001" i="5"/>
  <c r="G2002" i="5"/>
  <c r="E2004" i="5"/>
  <c r="G2004" i="5" s="1"/>
  <c r="G2005" i="5"/>
  <c r="E2005" i="5"/>
  <c r="G2006" i="5"/>
  <c r="G2007" i="5"/>
  <c r="G2008" i="5"/>
  <c r="G2009" i="5"/>
  <c r="G2010" i="5"/>
  <c r="G2012" i="5"/>
  <c r="E2012" i="5"/>
  <c r="G2013" i="5"/>
  <c r="E2013" i="5"/>
  <c r="G2014" i="5"/>
  <c r="G2015" i="5"/>
  <c r="G2016" i="5"/>
  <c r="G2017" i="5"/>
  <c r="G2018" i="5"/>
  <c r="E2020" i="5"/>
  <c r="G2020" i="5" s="1"/>
  <c r="E2021" i="5"/>
  <c r="G2021" i="5" s="1"/>
  <c r="G2022" i="5"/>
  <c r="G2023" i="5"/>
  <c r="G2024" i="5"/>
  <c r="G2025" i="5"/>
  <c r="G2026" i="5"/>
  <c r="G2028" i="5"/>
  <c r="E2028" i="5"/>
  <c r="G2029" i="5"/>
  <c r="E2029" i="5"/>
  <c r="G2030" i="5"/>
  <c r="G2031" i="5"/>
  <c r="G2032" i="5"/>
  <c r="G2033" i="5"/>
  <c r="G2034" i="5"/>
  <c r="E2036" i="5"/>
  <c r="G2037" i="5"/>
  <c r="E2037" i="5"/>
  <c r="G2038" i="5"/>
  <c r="G2039" i="5"/>
  <c r="G2040" i="5"/>
  <c r="G2041" i="5"/>
  <c r="G2042" i="5"/>
  <c r="E2044" i="5"/>
  <c r="G2045" i="5"/>
  <c r="E2045" i="5"/>
  <c r="G2046" i="5"/>
  <c r="G2047" i="5"/>
  <c r="G2048" i="5"/>
  <c r="G2049" i="5"/>
  <c r="G2050" i="5"/>
  <c r="E2052" i="5"/>
  <c r="G2053" i="5"/>
  <c r="E2053" i="5"/>
  <c r="G2054" i="5"/>
  <c r="G2055" i="5"/>
  <c r="G2056" i="5"/>
  <c r="G2057" i="5"/>
  <c r="G2058" i="5"/>
  <c r="E2060" i="5"/>
  <c r="G2061" i="5"/>
  <c r="E2061" i="5"/>
  <c r="G2062" i="5"/>
  <c r="G2063" i="5"/>
  <c r="G2064" i="5"/>
  <c r="G2065" i="5"/>
  <c r="G2066" i="5"/>
  <c r="E2068" i="5"/>
  <c r="G2069" i="5"/>
  <c r="E2069" i="5"/>
  <c r="G2070" i="5"/>
  <c r="G2071" i="5"/>
  <c r="G2072" i="5"/>
  <c r="G2073" i="5"/>
  <c r="G2074" i="5"/>
  <c r="E2076" i="5"/>
  <c r="E2077" i="5"/>
  <c r="G2078" i="5"/>
  <c r="G2079" i="5"/>
  <c r="G2080" i="5"/>
  <c r="G2081" i="5"/>
  <c r="G2082" i="5"/>
  <c r="E2084" i="5"/>
  <c r="E2085" i="5"/>
  <c r="G2085" i="5" s="1"/>
  <c r="G2086" i="5"/>
  <c r="G2087" i="5"/>
  <c r="G2088" i="5"/>
  <c r="G2089" i="5"/>
  <c r="G2090" i="5"/>
  <c r="G2094" i="5"/>
  <c r="G2095" i="5"/>
  <c r="G2096" i="5"/>
  <c r="G2098" i="5"/>
  <c r="J4459" i="16"/>
  <c r="G2099" i="5"/>
  <c r="I4459" i="16"/>
  <c r="G2100" i="5"/>
  <c r="G2101" i="5"/>
  <c r="G2102" i="5"/>
  <c r="G2103" i="5"/>
  <c r="J4460" i="16"/>
  <c r="G2105" i="5"/>
  <c r="I4460" i="16"/>
  <c r="G2106" i="5"/>
  <c r="G2107" i="5"/>
  <c r="G2108" i="5"/>
  <c r="G2109" i="5"/>
  <c r="G2110" i="5"/>
  <c r="J4463" i="16"/>
  <c r="I4463" i="16"/>
  <c r="G2112" i="5"/>
  <c r="G2113" i="5"/>
  <c r="G2114" i="5"/>
  <c r="G2115" i="5"/>
  <c r="G2116" i="5"/>
  <c r="J4469" i="16"/>
  <c r="G2117" i="5"/>
  <c r="I4469" i="16"/>
  <c r="G2118" i="5"/>
  <c r="G2119" i="5"/>
  <c r="G2120" i="5"/>
  <c r="J4564" i="16"/>
  <c r="I4564" i="16"/>
  <c r="G2121" i="5"/>
  <c r="E2122" i="5"/>
  <c r="G2122" i="5" s="1"/>
  <c r="E2123" i="5"/>
  <c r="G2123" i="5" s="1"/>
  <c r="G2124" i="5"/>
  <c r="G2125" i="5"/>
  <c r="G2126" i="5"/>
  <c r="G2127" i="5"/>
  <c r="G2128" i="5"/>
  <c r="J4565" i="16"/>
  <c r="I4565" i="16"/>
  <c r="G2129" i="5"/>
  <c r="G2130" i="5"/>
  <c r="E2130" i="5"/>
  <c r="E2131" i="5"/>
  <c r="G2131" i="5" s="1"/>
  <c r="G2132" i="5"/>
  <c r="G2133" i="5"/>
  <c r="G2134" i="5"/>
  <c r="G2135" i="5"/>
  <c r="G2136" i="5"/>
  <c r="J4567" i="16"/>
  <c r="I4567" i="16"/>
  <c r="G2137" i="5"/>
  <c r="E2138" i="5"/>
  <c r="E2139" i="5"/>
  <c r="G2140" i="5"/>
  <c r="G2141" i="5"/>
  <c r="G2142" i="5"/>
  <c r="G2143" i="5"/>
  <c r="G2144" i="5"/>
  <c r="J4568" i="16"/>
  <c r="I4568" i="16"/>
  <c r="G2145" i="5"/>
  <c r="E2146" i="5"/>
  <c r="G2146" i="5" s="1"/>
  <c r="E2147" i="5"/>
  <c r="G2148" i="5"/>
  <c r="G2149" i="5"/>
  <c r="G2150" i="5"/>
  <c r="G2151" i="5"/>
  <c r="G2152" i="5"/>
  <c r="J4570" i="16"/>
  <c r="G2153" i="5"/>
  <c r="I4570" i="16"/>
  <c r="E2154" i="5"/>
  <c r="E2155" i="5"/>
  <c r="G2156" i="5"/>
  <c r="G2157" i="5"/>
  <c r="G2158" i="5"/>
  <c r="G2159" i="5"/>
  <c r="G2160" i="5"/>
  <c r="G2161" i="5"/>
  <c r="G2162" i="5"/>
  <c r="E2162" i="5"/>
  <c r="G2163" i="5"/>
  <c r="E2163" i="5"/>
  <c r="G2164" i="5"/>
  <c r="G2165" i="5"/>
  <c r="G2166" i="5"/>
  <c r="G2167" i="5"/>
  <c r="G2168" i="5"/>
  <c r="G2169" i="5"/>
  <c r="G2170" i="5"/>
  <c r="E2170" i="5"/>
  <c r="G2171" i="5"/>
  <c r="E2171" i="5"/>
  <c r="G2172" i="5"/>
  <c r="G2173" i="5"/>
  <c r="G2174" i="5"/>
  <c r="G2175" i="5"/>
  <c r="G2176" i="5"/>
  <c r="G2177" i="5"/>
  <c r="E2178" i="5"/>
  <c r="E2179" i="5"/>
  <c r="G2180" i="5"/>
  <c r="G2181" i="5"/>
  <c r="G2182" i="5"/>
  <c r="G2183" i="5"/>
  <c r="G2184" i="5"/>
  <c r="G2186" i="5"/>
  <c r="G2187" i="5"/>
  <c r="G2188" i="5"/>
  <c r="G2189" i="5"/>
  <c r="G2190" i="5"/>
  <c r="E2191" i="5"/>
  <c r="G2192" i="5"/>
  <c r="J1117" i="16"/>
  <c r="G2193" i="5"/>
  <c r="I1117" i="16"/>
  <c r="G2194" i="5"/>
  <c r="G2195" i="5"/>
  <c r="G2196" i="5"/>
  <c r="G2198" i="5"/>
  <c r="J1185" i="16"/>
  <c r="I1185" i="16"/>
  <c r="G2201" i="5"/>
  <c r="G2202" i="5"/>
  <c r="G2203" i="5"/>
  <c r="G2205" i="5"/>
  <c r="J1110" i="16"/>
  <c r="I1110" i="16"/>
  <c r="G2207" i="5"/>
  <c r="G2208" i="5"/>
  <c r="G2209" i="5"/>
  <c r="G2210" i="5"/>
  <c r="G2211" i="5"/>
  <c r="G2213" i="5"/>
  <c r="G2214" i="5"/>
  <c r="G2215" i="5"/>
  <c r="J457" i="16"/>
  <c r="I457" i="16"/>
  <c r="G2216" i="5"/>
  <c r="J3634" i="16"/>
  <c r="G2217" i="5"/>
  <c r="G2219" i="5"/>
  <c r="E2219" i="5"/>
  <c r="E2220" i="5"/>
  <c r="G2221" i="5"/>
  <c r="J2239" i="16"/>
  <c r="E2222" i="5"/>
  <c r="G2222" i="5" s="1"/>
  <c r="E2224" i="5"/>
  <c r="G2224" i="5" s="1"/>
  <c r="I3634" i="16"/>
  <c r="I2239" i="16"/>
  <c r="E2223" i="5"/>
  <c r="G2227" i="5"/>
  <c r="G2228" i="5"/>
  <c r="G2229" i="5"/>
  <c r="G2230" i="5"/>
  <c r="G2231" i="5"/>
  <c r="G2233" i="5"/>
  <c r="G2234" i="5"/>
  <c r="G2235" i="5"/>
  <c r="J3541" i="16"/>
  <c r="I3541" i="16"/>
  <c r="G2236" i="5"/>
  <c r="E2237" i="5"/>
  <c r="G2237" i="5" s="1"/>
  <c r="E2238" i="5"/>
  <c r="E2240" i="5"/>
  <c r="G2240" i="5" s="1"/>
  <c r="E2239" i="5"/>
  <c r="G2243" i="5"/>
  <c r="G2244" i="5"/>
  <c r="G2245" i="5"/>
  <c r="J3514" i="16"/>
  <c r="I3514" i="16"/>
  <c r="G2246" i="5"/>
  <c r="E2247" i="5"/>
  <c r="G2247" i="5" s="1"/>
  <c r="E2248" i="5"/>
  <c r="G2248" i="5" s="1"/>
  <c r="E2250" i="5"/>
  <c r="E2249" i="5"/>
  <c r="G2253" i="5"/>
  <c r="G2254" i="5"/>
  <c r="G2255" i="5"/>
  <c r="J3516" i="16"/>
  <c r="I3516" i="16"/>
  <c r="G2256" i="5"/>
  <c r="E2257" i="5"/>
  <c r="E2258" i="5"/>
  <c r="E2260" i="5"/>
  <c r="G2260" i="5" s="1"/>
  <c r="E2259" i="5"/>
  <c r="G2263" i="5"/>
  <c r="G2264" i="5"/>
  <c r="G2265" i="5"/>
  <c r="J3517" i="16"/>
  <c r="I3517" i="16"/>
  <c r="G2266" i="5"/>
  <c r="E2267" i="5"/>
  <c r="G2267" i="5" s="1"/>
  <c r="G2268" i="5"/>
  <c r="E2268" i="5"/>
  <c r="E2270" i="5"/>
  <c r="E2269" i="5"/>
  <c r="G2273" i="5"/>
  <c r="G2274" i="5"/>
  <c r="G2275" i="5"/>
  <c r="J3511" i="16"/>
  <c r="I3511" i="16"/>
  <c r="G2276" i="5"/>
  <c r="E2277" i="5"/>
  <c r="E2278" i="5"/>
  <c r="G2280" i="5"/>
  <c r="E2280" i="5"/>
  <c r="E2279" i="5"/>
  <c r="G2283" i="5"/>
  <c r="G2284" i="5"/>
  <c r="G2285" i="5"/>
  <c r="G2287" i="5"/>
  <c r="G2288" i="5"/>
  <c r="G2289" i="5"/>
  <c r="G2290" i="5"/>
  <c r="G2291" i="5"/>
  <c r="G2292" i="5"/>
  <c r="J3258" i="16"/>
  <c r="I3258" i="16"/>
  <c r="G2297" i="5"/>
  <c r="G2298" i="5"/>
  <c r="G2299" i="5"/>
  <c r="J1780" i="16"/>
  <c r="I1780" i="16"/>
  <c r="G2300" i="5"/>
  <c r="G2301" i="5"/>
  <c r="G2302" i="5"/>
  <c r="G2303" i="5"/>
  <c r="G2304" i="5"/>
  <c r="G2305" i="5"/>
  <c r="G2307" i="5"/>
  <c r="G2309" i="5"/>
  <c r="G2310" i="5"/>
  <c r="G2311" i="5"/>
  <c r="G2313" i="5"/>
  <c r="G2314" i="5"/>
  <c r="G2315" i="5"/>
  <c r="G2316" i="5"/>
  <c r="G2317" i="5"/>
  <c r="G2319" i="5"/>
  <c r="G2321" i="5"/>
  <c r="G2322" i="5"/>
  <c r="G2323" i="5"/>
  <c r="G2326" i="5"/>
  <c r="G2327" i="5"/>
  <c r="G2328" i="5"/>
  <c r="G2329" i="5"/>
  <c r="G2331" i="5"/>
  <c r="G2332" i="5"/>
  <c r="G2333" i="5"/>
  <c r="E2334" i="5"/>
  <c r="G2336" i="5"/>
  <c r="G2337" i="5"/>
  <c r="G2338" i="5"/>
  <c r="G2342" i="5"/>
  <c r="G2343" i="5"/>
  <c r="G2344" i="5"/>
  <c r="G2348" i="5"/>
  <c r="E2348" i="5"/>
  <c r="E2349" i="5"/>
  <c r="G2350" i="5"/>
  <c r="G2351" i="5"/>
  <c r="G2352" i="5"/>
  <c r="G2353" i="5"/>
  <c r="E2353" i="5"/>
  <c r="G2354" i="5"/>
  <c r="E2354" i="5"/>
  <c r="G2357" i="5"/>
  <c r="G2358" i="5"/>
  <c r="G2359" i="5"/>
  <c r="G2360" i="5"/>
  <c r="J805" i="16"/>
  <c r="G2362" i="5"/>
  <c r="I805" i="16"/>
  <c r="G2363" i="5"/>
  <c r="G2364" i="5"/>
  <c r="G2365" i="5"/>
  <c r="J4372" i="16"/>
  <c r="G2368" i="5"/>
  <c r="G2369" i="5"/>
  <c r="I4372" i="16"/>
  <c r="G2370" i="5"/>
  <c r="G2371" i="5"/>
  <c r="G2372" i="5"/>
  <c r="G2373" i="5"/>
  <c r="G2374" i="5"/>
  <c r="G2376" i="5"/>
  <c r="G2377" i="5"/>
  <c r="G2378" i="5"/>
  <c r="J1776" i="16"/>
  <c r="G2379" i="5"/>
  <c r="H2379" i="5" s="1"/>
  <c r="I1776" i="16"/>
  <c r="G2380" i="5"/>
  <c r="G2381" i="5"/>
  <c r="G2382" i="5"/>
  <c r="J2016" i="16"/>
  <c r="I2016" i="16"/>
  <c r="G2383" i="5"/>
  <c r="H2383" i="5" s="1"/>
  <c r="G2384" i="5"/>
  <c r="G2385" i="5"/>
  <c r="G2386" i="5"/>
  <c r="J2023" i="16"/>
  <c r="G2387" i="5"/>
  <c r="H2387" i="5" s="1"/>
  <c r="I2023" i="16"/>
  <c r="G2388" i="5"/>
  <c r="G2389" i="5"/>
  <c r="G2390" i="5"/>
  <c r="J2014" i="16"/>
  <c r="G2391" i="5"/>
  <c r="H2391" i="5" s="1"/>
  <c r="I2014" i="16"/>
  <c r="G2392" i="5"/>
  <c r="G2393" i="5"/>
  <c r="G2394" i="5"/>
  <c r="J4026" i="16"/>
  <c r="I4026" i="16"/>
  <c r="G2396" i="5"/>
  <c r="G2397" i="5"/>
  <c r="G2398" i="5"/>
  <c r="J2010" i="16"/>
  <c r="I2010" i="16"/>
  <c r="G2399" i="5"/>
  <c r="H2399" i="5" s="1"/>
  <c r="G2400" i="5"/>
  <c r="G2401" i="5"/>
  <c r="G2402" i="5"/>
  <c r="J2009" i="16"/>
  <c r="G2403" i="5"/>
  <c r="H2403" i="5" s="1"/>
  <c r="I2009" i="16"/>
  <c r="G2404" i="5"/>
  <c r="G2405" i="5"/>
  <c r="G2406" i="5"/>
  <c r="G2407" i="5"/>
  <c r="H2407" i="5" s="1"/>
  <c r="G2408" i="5"/>
  <c r="G2409" i="5"/>
  <c r="G2410" i="5"/>
  <c r="J3675" i="16"/>
  <c r="G2411" i="5"/>
  <c r="H2411" i="5" s="1"/>
  <c r="I3675" i="16"/>
  <c r="G2412" i="5"/>
  <c r="G2413" i="5"/>
  <c r="G2414" i="5"/>
  <c r="J1974" i="16"/>
  <c r="G2415" i="5"/>
  <c r="H2415" i="5" s="1"/>
  <c r="I1974" i="16"/>
  <c r="G2416" i="5"/>
  <c r="G2417" i="5"/>
  <c r="G2418" i="5"/>
  <c r="G2419" i="5"/>
  <c r="H2419" i="5" s="1"/>
  <c r="G2420" i="5"/>
  <c r="G2421" i="5"/>
  <c r="G2422" i="5"/>
  <c r="J1107" i="16"/>
  <c r="G2423" i="5"/>
  <c r="H2423" i="5" s="1"/>
  <c r="I1107" i="16"/>
  <c r="G2424" i="5"/>
  <c r="G2425" i="5"/>
  <c r="G2426" i="5"/>
  <c r="G2427" i="5"/>
  <c r="H2427" i="5" s="1"/>
  <c r="G2428" i="5"/>
  <c r="G2429" i="5"/>
  <c r="G2430" i="5"/>
  <c r="G2431" i="5"/>
  <c r="H2431" i="5" s="1"/>
  <c r="G2432" i="5"/>
  <c r="G2433" i="5"/>
  <c r="G2434" i="5"/>
  <c r="J3953" i="16"/>
  <c r="I3953" i="16"/>
  <c r="E2435" i="5"/>
  <c r="G2436" i="5"/>
  <c r="G2437" i="5"/>
  <c r="G2438" i="5"/>
  <c r="J3862" i="16"/>
  <c r="G2439" i="5"/>
  <c r="H2439" i="5" s="1"/>
  <c r="I3862" i="16"/>
  <c r="G2440" i="5"/>
  <c r="G2441" i="5"/>
  <c r="G2442" i="5"/>
  <c r="J834" i="16"/>
  <c r="I834" i="16"/>
  <c r="G2443" i="5"/>
  <c r="H2443" i="5" s="1"/>
  <c r="G2444" i="5"/>
  <c r="G2445" i="5"/>
  <c r="G2446" i="5"/>
  <c r="J1112" i="16"/>
  <c r="G2447" i="5"/>
  <c r="H2447" i="5" s="1"/>
  <c r="I1112" i="16"/>
  <c r="G2448" i="5"/>
  <c r="G2449" i="5"/>
  <c r="G2450" i="5"/>
  <c r="J1115" i="16"/>
  <c r="I1115" i="16"/>
  <c r="G2451" i="5"/>
  <c r="H2451" i="5" s="1"/>
  <c r="G2452" i="5"/>
  <c r="G2453" i="5"/>
  <c r="G2454" i="5"/>
  <c r="J1116" i="16"/>
  <c r="G2455" i="5"/>
  <c r="H2455" i="5" s="1"/>
  <c r="I1116" i="16"/>
  <c r="G2456" i="5"/>
  <c r="G2457" i="5"/>
  <c r="G2458" i="5"/>
  <c r="I985" i="16"/>
  <c r="G2460" i="5"/>
  <c r="G2461" i="5"/>
  <c r="G2462" i="5"/>
  <c r="G2463" i="5"/>
  <c r="H2463" i="5" s="1"/>
  <c r="G2464" i="5"/>
  <c r="G2465" i="5"/>
  <c r="G2466" i="5"/>
  <c r="G2467" i="5"/>
  <c r="H2467" i="5" s="1"/>
  <c r="G2468" i="5"/>
  <c r="G2469" i="5"/>
  <c r="G2470" i="5"/>
  <c r="G2471" i="5"/>
  <c r="H2471" i="5" s="1"/>
  <c r="G2472" i="5"/>
  <c r="G2473" i="5"/>
  <c r="G2474" i="5"/>
  <c r="G2475" i="5"/>
  <c r="H2475" i="5" s="1"/>
  <c r="G2476" i="5"/>
  <c r="G2477" i="5"/>
  <c r="G2478" i="5"/>
  <c r="J1088" i="16"/>
  <c r="G2479" i="5"/>
  <c r="H2479" i="5" s="1"/>
  <c r="I1088" i="16"/>
  <c r="G2480" i="5"/>
  <c r="G2481" i="5"/>
  <c r="G2482" i="5"/>
  <c r="J427" i="16"/>
  <c r="G2483" i="5"/>
  <c r="H2483" i="5" s="1"/>
  <c r="I427" i="16"/>
  <c r="G2484" i="5"/>
  <c r="G2485" i="5"/>
  <c r="G2486" i="5"/>
  <c r="G2487" i="5"/>
  <c r="H2487" i="5" s="1"/>
  <c r="G2488" i="5"/>
  <c r="G2489" i="5"/>
  <c r="G2490" i="5"/>
  <c r="G2491" i="5"/>
  <c r="H2491" i="5" s="1"/>
  <c r="G2492" i="5"/>
  <c r="G2493" i="5"/>
  <c r="G2494" i="5"/>
  <c r="G2495" i="5"/>
  <c r="H2495" i="5" s="1"/>
  <c r="G2496" i="5"/>
  <c r="G2497" i="5"/>
  <c r="G2498" i="5"/>
  <c r="G2500" i="5"/>
  <c r="G2501" i="5"/>
  <c r="G2502" i="5"/>
  <c r="G2503" i="5"/>
  <c r="H2503" i="5" s="1"/>
  <c r="G2504" i="5"/>
  <c r="G2505" i="5"/>
  <c r="G2506" i="5"/>
  <c r="G2507" i="5"/>
  <c r="H2507" i="5" s="1"/>
  <c r="G2508" i="5"/>
  <c r="G2509" i="5"/>
  <c r="G2510" i="5"/>
  <c r="G2511" i="5"/>
  <c r="H2511" i="5" s="1"/>
  <c r="G2512" i="5"/>
  <c r="G2513" i="5"/>
  <c r="G2514" i="5"/>
  <c r="G2515" i="5"/>
  <c r="H2515" i="5" s="1"/>
  <c r="G2516" i="5"/>
  <c r="G2517" i="5"/>
  <c r="G2518" i="5"/>
  <c r="J4239" i="16"/>
  <c r="I4239" i="16"/>
  <c r="G2519" i="5"/>
  <c r="H2519" i="5" s="1"/>
  <c r="G2520" i="5"/>
  <c r="G2521" i="5"/>
  <c r="G2522" i="5"/>
  <c r="J307" i="16"/>
  <c r="G2523" i="5"/>
  <c r="H2523" i="5" s="1"/>
  <c r="I307" i="16"/>
  <c r="G2524" i="5"/>
  <c r="G2525" i="5"/>
  <c r="G2526" i="5"/>
  <c r="J4229" i="16"/>
  <c r="I4229" i="16"/>
  <c r="G2527" i="5"/>
  <c r="H2527" i="5" s="1"/>
  <c r="G2528" i="5"/>
  <c r="G2529" i="5"/>
  <c r="G2530" i="5"/>
  <c r="G2531" i="5"/>
  <c r="H2531" i="5" s="1"/>
  <c r="G2532" i="5"/>
  <c r="G2533" i="5"/>
  <c r="G2534" i="5"/>
  <c r="J328" i="16"/>
  <c r="I328" i="16"/>
  <c r="G2536" i="5"/>
  <c r="G2537" i="5"/>
  <c r="G2538" i="5"/>
  <c r="G2539" i="5"/>
  <c r="H2539" i="5" s="1"/>
  <c r="G2540" i="5"/>
  <c r="G2541" i="5"/>
  <c r="G2542" i="5"/>
  <c r="G2543" i="5"/>
  <c r="H2543" i="5" s="1"/>
  <c r="G2544" i="5"/>
  <c r="G2545" i="5"/>
  <c r="G2546" i="5"/>
  <c r="G2547" i="5"/>
  <c r="H2547" i="5" s="1"/>
  <c r="G2548" i="5"/>
  <c r="G2549" i="5"/>
  <c r="G2550" i="5"/>
  <c r="J2186" i="16"/>
  <c r="I2186" i="16"/>
  <c r="G2552" i="5"/>
  <c r="G2553" i="5"/>
  <c r="G2554" i="5"/>
  <c r="G2555" i="5"/>
  <c r="E2556" i="5"/>
  <c r="E2557" i="5"/>
  <c r="G2558" i="5"/>
  <c r="G2559" i="5"/>
  <c r="G2560" i="5"/>
  <c r="G2561" i="5"/>
  <c r="G2562" i="5"/>
  <c r="J3308" i="16"/>
  <c r="I3308" i="16"/>
  <c r="G2563" i="5"/>
  <c r="E2564" i="5"/>
  <c r="E2565" i="5"/>
  <c r="G2566" i="5"/>
  <c r="G2567" i="5"/>
  <c r="G2568" i="5"/>
  <c r="G2569" i="5"/>
  <c r="G2570" i="5"/>
  <c r="G2571" i="5"/>
  <c r="E2572" i="5"/>
  <c r="E2573" i="5"/>
  <c r="G2574" i="5"/>
  <c r="G2575" i="5"/>
  <c r="G2576" i="5"/>
  <c r="G2577" i="5"/>
  <c r="G2578" i="5"/>
  <c r="G2579" i="5"/>
  <c r="H2579" i="5" s="1"/>
  <c r="G2580" i="5"/>
  <c r="G2581" i="5"/>
  <c r="G2582" i="5"/>
  <c r="G2583" i="5"/>
  <c r="H2583" i="5" s="1"/>
  <c r="G2584" i="5"/>
  <c r="G2585" i="5"/>
  <c r="G2586" i="5"/>
  <c r="J519" i="16"/>
  <c r="G2587" i="5"/>
  <c r="H2587" i="5" s="1"/>
  <c r="I519" i="16"/>
  <c r="G2588" i="5"/>
  <c r="G2589" i="5"/>
  <c r="G2590" i="5"/>
  <c r="G2591" i="5"/>
  <c r="H2591" i="5" s="1"/>
  <c r="G2592" i="5"/>
  <c r="G2593" i="5"/>
  <c r="G2594" i="5"/>
  <c r="J72" i="16"/>
  <c r="I72" i="16"/>
  <c r="G2596" i="5"/>
  <c r="G2597" i="5"/>
  <c r="G2598" i="5"/>
  <c r="J69" i="16"/>
  <c r="I69" i="16"/>
  <c r="G2599" i="5"/>
  <c r="H2599" i="5" s="1"/>
  <c r="G2600" i="5"/>
  <c r="G2601" i="5"/>
  <c r="G2602" i="5"/>
  <c r="J70" i="16"/>
  <c r="G2603" i="5"/>
  <c r="H2603" i="5" s="1"/>
  <c r="I70" i="16"/>
  <c r="G2604" i="5"/>
  <c r="G2605" i="5"/>
  <c r="G2606" i="5"/>
  <c r="G2607" i="5"/>
  <c r="H2607" i="5" s="1"/>
  <c r="G2608" i="5"/>
  <c r="G2609" i="5"/>
  <c r="G2610" i="5"/>
  <c r="J65" i="16"/>
  <c r="G2611" i="5"/>
  <c r="H2611" i="5" s="1"/>
  <c r="I65" i="16"/>
  <c r="G2612" i="5"/>
  <c r="G2613" i="5"/>
  <c r="G2614" i="5"/>
  <c r="G2615" i="5"/>
  <c r="H2615" i="5" s="1"/>
  <c r="G2616" i="5"/>
  <c r="G2617" i="5"/>
  <c r="G2618" i="5"/>
  <c r="J129" i="16"/>
  <c r="G2619" i="5"/>
  <c r="H2619" i="5" s="1"/>
  <c r="I129" i="16"/>
  <c r="G2620" i="5"/>
  <c r="G2621" i="5"/>
  <c r="G2622" i="5"/>
  <c r="J3877" i="16"/>
  <c r="G2623" i="5"/>
  <c r="H2623" i="5" s="1"/>
  <c r="I3877" i="16"/>
  <c r="G2624" i="5"/>
  <c r="G2625" i="5"/>
  <c r="G2626" i="5"/>
  <c r="G2627" i="5"/>
  <c r="H2627" i="5" s="1"/>
  <c r="G2628" i="5"/>
  <c r="G2629" i="5"/>
  <c r="G2630" i="5"/>
  <c r="J137" i="16"/>
  <c r="I137" i="16"/>
  <c r="G2631" i="5"/>
  <c r="H2631" i="5" s="1"/>
  <c r="G2632" i="5"/>
  <c r="G2633" i="5"/>
  <c r="G2634" i="5"/>
  <c r="J2628" i="16"/>
  <c r="G2635" i="5"/>
  <c r="H2635" i="5" s="1"/>
  <c r="I2628" i="16"/>
  <c r="G2636" i="5"/>
  <c r="G2637" i="5"/>
  <c r="G2638" i="5"/>
  <c r="J2629" i="16"/>
  <c r="I2629" i="16"/>
  <c r="G2639" i="5"/>
  <c r="H2639" i="5" s="1"/>
  <c r="G2640" i="5"/>
  <c r="G2641" i="5"/>
  <c r="G2642" i="5"/>
  <c r="E2643" i="5"/>
  <c r="G2644" i="5"/>
  <c r="G2645" i="5"/>
  <c r="G2646" i="5"/>
  <c r="G2647" i="5"/>
  <c r="G2648" i="5"/>
  <c r="E2649" i="5"/>
  <c r="G2649" i="5" s="1"/>
  <c r="H2649" i="5" s="1"/>
  <c r="G2650" i="5"/>
  <c r="G2651" i="5"/>
  <c r="G2652" i="5"/>
  <c r="G2653" i="5"/>
  <c r="G2654" i="5"/>
  <c r="G2655" i="5"/>
  <c r="H2655" i="5" s="1"/>
  <c r="E2655" i="5"/>
  <c r="G2656" i="5"/>
  <c r="G2657" i="5"/>
  <c r="G2658" i="5"/>
  <c r="G2659" i="5"/>
  <c r="G2660" i="5"/>
  <c r="E2661" i="5"/>
  <c r="G2661" i="5" s="1"/>
  <c r="H2661" i="5" s="1"/>
  <c r="G2662" i="5"/>
  <c r="G2663" i="5"/>
  <c r="G2664" i="5"/>
  <c r="G2665" i="5"/>
  <c r="G2666" i="5"/>
  <c r="G2667" i="5"/>
  <c r="H2667" i="5" s="1"/>
  <c r="E2667" i="5"/>
  <c r="G2668" i="5"/>
  <c r="G2669" i="5"/>
  <c r="G2670" i="5"/>
  <c r="G2671" i="5"/>
  <c r="G2672" i="5"/>
  <c r="E2673" i="5"/>
  <c r="G2673" i="5" s="1"/>
  <c r="H2673" i="5" s="1"/>
  <c r="G2674" i="5"/>
  <c r="G2675" i="5"/>
  <c r="G2676" i="5"/>
  <c r="G2677" i="5"/>
  <c r="G2678" i="5"/>
  <c r="G2679" i="5"/>
  <c r="H2679" i="5" s="1"/>
  <c r="E2679" i="5"/>
  <c r="G2680" i="5"/>
  <c r="G2681" i="5"/>
  <c r="G2682" i="5"/>
  <c r="G2683" i="5"/>
  <c r="G2684" i="5"/>
  <c r="E2685" i="5"/>
  <c r="G2685" i="5" s="1"/>
  <c r="H2685" i="5" s="1"/>
  <c r="G2686" i="5"/>
  <c r="G2687" i="5"/>
  <c r="G2688" i="5"/>
  <c r="G2689" i="5"/>
  <c r="G2690" i="5"/>
  <c r="E2691" i="5"/>
  <c r="G2691" i="5" s="1"/>
  <c r="H2691" i="5" s="1"/>
  <c r="G2692" i="5"/>
  <c r="G2693" i="5"/>
  <c r="G2694" i="5"/>
  <c r="G2695" i="5"/>
  <c r="G2696" i="5"/>
  <c r="E2697" i="5"/>
  <c r="G2697" i="5" s="1"/>
  <c r="H2697" i="5" s="1"/>
  <c r="G2698" i="5"/>
  <c r="G2699" i="5"/>
  <c r="G2700" i="5"/>
  <c r="G2701" i="5"/>
  <c r="G2702" i="5"/>
  <c r="J171" i="16"/>
  <c r="G2703" i="5"/>
  <c r="H2703" i="5" s="1"/>
  <c r="I171" i="16"/>
  <c r="G2704" i="5"/>
  <c r="G2705" i="5"/>
  <c r="G2706" i="5"/>
  <c r="J1050" i="16"/>
  <c r="G2707" i="5"/>
  <c r="H2707" i="5" s="1"/>
  <c r="I1050" i="16"/>
  <c r="G2708" i="5"/>
  <c r="G2709" i="5"/>
  <c r="G2710" i="5"/>
  <c r="J1900" i="16"/>
  <c r="I1900" i="16"/>
  <c r="G2711" i="5"/>
  <c r="H2711" i="5" s="1"/>
  <c r="G2712" i="5"/>
  <c r="G2713" i="5"/>
  <c r="G2714" i="5"/>
  <c r="J1960" i="16"/>
  <c r="I1960" i="16"/>
  <c r="G2716" i="5"/>
  <c r="G2717" i="5"/>
  <c r="G2718" i="5"/>
  <c r="J1975" i="16"/>
  <c r="I1975" i="16"/>
  <c r="G2719" i="5"/>
  <c r="H2719" i="5" s="1"/>
  <c r="G2720" i="5"/>
  <c r="G2721" i="5"/>
  <c r="G2722" i="5"/>
  <c r="J3667" i="16"/>
  <c r="I3667" i="16"/>
  <c r="G2723" i="5"/>
  <c r="H2723" i="5" s="1"/>
  <c r="G2724" i="5"/>
  <c r="G2725" i="5"/>
  <c r="G2726" i="5"/>
  <c r="J3668" i="16"/>
  <c r="I3668" i="16"/>
  <c r="G2728" i="5"/>
  <c r="G2729" i="5"/>
  <c r="G2730" i="5"/>
  <c r="J3794" i="16"/>
  <c r="I3794" i="16"/>
  <c r="G2731" i="5"/>
  <c r="H2731" i="5" s="1"/>
  <c r="G2732" i="5"/>
  <c r="G2733" i="5"/>
  <c r="G2734" i="5"/>
  <c r="J1674" i="16"/>
  <c r="I1674" i="16"/>
  <c r="G2736" i="5"/>
  <c r="G2737" i="5"/>
  <c r="G2738" i="5"/>
  <c r="J1675" i="16"/>
  <c r="I1675" i="16"/>
  <c r="G2739" i="5"/>
  <c r="H2739" i="5" s="1"/>
  <c r="G2740" i="5"/>
  <c r="G2741" i="5"/>
  <c r="G2742" i="5"/>
  <c r="J573" i="16"/>
  <c r="G2743" i="5"/>
  <c r="H2743" i="5" s="1"/>
  <c r="I573" i="16"/>
  <c r="G2744" i="5"/>
  <c r="G2745" i="5"/>
  <c r="G2746" i="5"/>
  <c r="J1026" i="16"/>
  <c r="I1026" i="16"/>
  <c r="G2747" i="5"/>
  <c r="H2747" i="5" s="1"/>
  <c r="G2748" i="5"/>
  <c r="G2749" i="5"/>
  <c r="G2750" i="5"/>
  <c r="J3964" i="16"/>
  <c r="I3964" i="16"/>
  <c r="G2752" i="5"/>
  <c r="G2753" i="5"/>
  <c r="G2754" i="5"/>
  <c r="J4445" i="16"/>
  <c r="I4445" i="16"/>
  <c r="G2755" i="5"/>
  <c r="H2755" i="5" s="1"/>
  <c r="G2756" i="5"/>
  <c r="G2757" i="5"/>
  <c r="G2758" i="5"/>
  <c r="G2760" i="5"/>
  <c r="G2761" i="5"/>
  <c r="G2762" i="5"/>
  <c r="G2763" i="5"/>
  <c r="J4928" i="16"/>
  <c r="G2764" i="5"/>
  <c r="I4928" i="16"/>
  <c r="G2765" i="5"/>
  <c r="J3349" i="16"/>
  <c r="G2766" i="5"/>
  <c r="G2767" i="5"/>
  <c r="G2768" i="5"/>
  <c r="G2769" i="5"/>
  <c r="I3349" i="16"/>
  <c r="G2771" i="5"/>
  <c r="G2772" i="5"/>
  <c r="G2773" i="5"/>
  <c r="G2774" i="5"/>
  <c r="J4920" i="16"/>
  <c r="G2776" i="5"/>
  <c r="I4920" i="16"/>
  <c r="G2777" i="5"/>
  <c r="G2778" i="5"/>
  <c r="G2779" i="5"/>
  <c r="G2780" i="5"/>
  <c r="G2781" i="5"/>
  <c r="G2782" i="5"/>
  <c r="G2783" i="5"/>
  <c r="G2784" i="5"/>
  <c r="G2785" i="5"/>
  <c r="G2786" i="5"/>
  <c r="G2787" i="5"/>
  <c r="G2788" i="5"/>
  <c r="G2789" i="5"/>
  <c r="J4926" i="16"/>
  <c r="I4926" i="16"/>
  <c r="G2791" i="5"/>
  <c r="G2792" i="5"/>
  <c r="G2793" i="5"/>
  <c r="G2794" i="5"/>
  <c r="G2795" i="5"/>
  <c r="G2796" i="5"/>
  <c r="G2797" i="5"/>
  <c r="G2798" i="5"/>
  <c r="G2799" i="5"/>
  <c r="G2801" i="5"/>
  <c r="G2802" i="5"/>
  <c r="G2803" i="5"/>
  <c r="G2804" i="5"/>
  <c r="G2806" i="5"/>
  <c r="G2807" i="5"/>
  <c r="G2808" i="5"/>
  <c r="G2809" i="5"/>
  <c r="G2810" i="5"/>
  <c r="G2811" i="5"/>
  <c r="G2812" i="5"/>
  <c r="G2813" i="5"/>
  <c r="G2814" i="5"/>
  <c r="G2815" i="5"/>
  <c r="G2816" i="5"/>
  <c r="G2817" i="5"/>
  <c r="G2818" i="5"/>
  <c r="G2819" i="5"/>
  <c r="G2820" i="5"/>
  <c r="G2821" i="5"/>
  <c r="G2823" i="5"/>
  <c r="G2824" i="5"/>
  <c r="G2825" i="5"/>
  <c r="G2826" i="5"/>
  <c r="G2827" i="5"/>
  <c r="G2829" i="5"/>
  <c r="G2830" i="5"/>
  <c r="G2831" i="5"/>
  <c r="G2834" i="5"/>
  <c r="G2835" i="5"/>
  <c r="G2836" i="5"/>
  <c r="G2837" i="5"/>
  <c r="G2839" i="5"/>
  <c r="G2840" i="5"/>
  <c r="G2841" i="5"/>
  <c r="G2844" i="5"/>
  <c r="G2845" i="5"/>
  <c r="G2846" i="5"/>
  <c r="G2847" i="5"/>
  <c r="G2849" i="5"/>
  <c r="G2850" i="5"/>
  <c r="G2851" i="5"/>
  <c r="G2854" i="5"/>
  <c r="G2855" i="5"/>
  <c r="G2856" i="5"/>
  <c r="G2858" i="5"/>
  <c r="G2859" i="5"/>
  <c r="G2860" i="5"/>
  <c r="G2861" i="5"/>
  <c r="G2862" i="5"/>
  <c r="G2863" i="5"/>
  <c r="G2866" i="5"/>
  <c r="G2867" i="5"/>
  <c r="G2868" i="5"/>
  <c r="G2871" i="5"/>
  <c r="G2872" i="5"/>
  <c r="G2873" i="5"/>
  <c r="G2874" i="5"/>
  <c r="G2876" i="5"/>
  <c r="G2877" i="5"/>
  <c r="G2878" i="5"/>
  <c r="G2880" i="5"/>
  <c r="G2881" i="5"/>
  <c r="G2882" i="5"/>
  <c r="G2883" i="5"/>
  <c r="G2884" i="5"/>
  <c r="G2886" i="5"/>
  <c r="G2887" i="5"/>
  <c r="G2888" i="5"/>
  <c r="G2889" i="5"/>
  <c r="G2890" i="5"/>
  <c r="G2891" i="5"/>
  <c r="G2893" i="5"/>
  <c r="G2894" i="5"/>
  <c r="G2895" i="5"/>
  <c r="G2896" i="5"/>
  <c r="G2897" i="5"/>
  <c r="G2898" i="5"/>
  <c r="G2899" i="5"/>
  <c r="G2900" i="5"/>
  <c r="G2901" i="5"/>
  <c r="G2902" i="5"/>
  <c r="G2903" i="5"/>
  <c r="G2904" i="5"/>
  <c r="G2905" i="5"/>
  <c r="G2906" i="5"/>
  <c r="G2907" i="5"/>
  <c r="G2908" i="5"/>
  <c r="G2909" i="5"/>
  <c r="G2910" i="5"/>
  <c r="G2911" i="5"/>
  <c r="G2912" i="5"/>
  <c r="G2913" i="5"/>
  <c r="G2914" i="5"/>
  <c r="G2915" i="5"/>
  <c r="G2917" i="5"/>
  <c r="G2918" i="5"/>
  <c r="G2919" i="5"/>
  <c r="G2920" i="5"/>
  <c r="G2921" i="5"/>
  <c r="G2922" i="5"/>
  <c r="G2923" i="5"/>
  <c r="G2925" i="5"/>
  <c r="G2926" i="5"/>
  <c r="G2927" i="5"/>
  <c r="G2928" i="5"/>
  <c r="G2931" i="5"/>
  <c r="G2932" i="5"/>
  <c r="G2933" i="5"/>
  <c r="G2936" i="5"/>
  <c r="G2937" i="5"/>
  <c r="G2938" i="5"/>
  <c r="G2939" i="5"/>
  <c r="G2941" i="5"/>
  <c r="G2942" i="5"/>
  <c r="G2943" i="5"/>
  <c r="G2945" i="5"/>
  <c r="G2946" i="5"/>
  <c r="G2947" i="5"/>
  <c r="G2948" i="5"/>
  <c r="G2949" i="5"/>
  <c r="G2950" i="5"/>
  <c r="G2951" i="5"/>
  <c r="G2952" i="5"/>
  <c r="G2953" i="5"/>
  <c r="G2956" i="5"/>
  <c r="G2957" i="5"/>
  <c r="G2958" i="5"/>
  <c r="G2959" i="5"/>
  <c r="G2960" i="5"/>
  <c r="G2961" i="5"/>
  <c r="G2962" i="5"/>
  <c r="G2963" i="5"/>
  <c r="G2965" i="5"/>
  <c r="G2966" i="5"/>
  <c r="G2967" i="5"/>
  <c r="G2968" i="5"/>
  <c r="G2969" i="5"/>
  <c r="G2970" i="5"/>
  <c r="G2971" i="5"/>
  <c r="G2972" i="5"/>
  <c r="G2973" i="5"/>
  <c r="G2974" i="5"/>
  <c r="J3350" i="16"/>
  <c r="G2976" i="5"/>
  <c r="J4906" i="16"/>
  <c r="G2977" i="5"/>
  <c r="G2978" i="5"/>
  <c r="G2980" i="5"/>
  <c r="I3350" i="16"/>
  <c r="I4906" i="16"/>
  <c r="G2981" i="5"/>
  <c r="G2982" i="5"/>
  <c r="G2983" i="5"/>
  <c r="G2984" i="5"/>
  <c r="G2986" i="5"/>
  <c r="G2987" i="5"/>
  <c r="G2988" i="5"/>
  <c r="G2991" i="5"/>
  <c r="G2992" i="5"/>
  <c r="G2993" i="5"/>
  <c r="G2996" i="5"/>
  <c r="G2997" i="5"/>
  <c r="G2998" i="5"/>
  <c r="G3001" i="5"/>
  <c r="G3002" i="5"/>
  <c r="G3003" i="5"/>
  <c r="G3006" i="5"/>
  <c r="G3007" i="5"/>
  <c r="G3008" i="5"/>
  <c r="G3009" i="5"/>
  <c r="G3011" i="5"/>
  <c r="G3012" i="5"/>
  <c r="G3013" i="5"/>
  <c r="G3016" i="5"/>
  <c r="G3017" i="5"/>
  <c r="G3018" i="5"/>
  <c r="G3021" i="5"/>
  <c r="G3022" i="5"/>
  <c r="G3023" i="5"/>
  <c r="G3026" i="5"/>
  <c r="G3027" i="5"/>
  <c r="G3028" i="5"/>
  <c r="G3029" i="5"/>
  <c r="G3030" i="5"/>
  <c r="G3031" i="5"/>
  <c r="G3032" i="5"/>
  <c r="G3033" i="5"/>
  <c r="G3034" i="5"/>
  <c r="G3035" i="5"/>
  <c r="G3036" i="5"/>
  <c r="G3039" i="5"/>
  <c r="G3040" i="5"/>
  <c r="G3041" i="5"/>
  <c r="G3042" i="5"/>
  <c r="G3043" i="5"/>
  <c r="G3044" i="5"/>
  <c r="G3045" i="5"/>
  <c r="G3046" i="5"/>
  <c r="G3047" i="5"/>
  <c r="G3048" i="5"/>
  <c r="G3049" i="5"/>
  <c r="G3050" i="5"/>
  <c r="H3050" i="5" s="1"/>
  <c r="G3051" i="5"/>
  <c r="G3052" i="5"/>
  <c r="G3053" i="5"/>
  <c r="G3055" i="5"/>
  <c r="G3056" i="5"/>
  <c r="G3057" i="5"/>
  <c r="G3059" i="5"/>
  <c r="G3060" i="5"/>
  <c r="G3061" i="5"/>
  <c r="G3062" i="5"/>
  <c r="G3064" i="5"/>
  <c r="G3065" i="5"/>
  <c r="G3066" i="5"/>
  <c r="J1951" i="16"/>
  <c r="I1951" i="16"/>
  <c r="G3067" i="5"/>
  <c r="G3069" i="5"/>
  <c r="G3070" i="5"/>
  <c r="G3072" i="5"/>
  <c r="G3073" i="5"/>
  <c r="G3074" i="5"/>
  <c r="G3077" i="5"/>
  <c r="G3078" i="5"/>
  <c r="G3079" i="5"/>
  <c r="G3080" i="5"/>
  <c r="G3082" i="5"/>
  <c r="G3083" i="5"/>
  <c r="G3084" i="5"/>
  <c r="G3087" i="5"/>
  <c r="G3088" i="5"/>
  <c r="G3089" i="5"/>
  <c r="G3092" i="5"/>
  <c r="G3093" i="5"/>
  <c r="G3094" i="5"/>
  <c r="G3095" i="5"/>
  <c r="G3097" i="5"/>
  <c r="G3098" i="5"/>
  <c r="G3099" i="5"/>
  <c r="G3102" i="5"/>
  <c r="G3103" i="5"/>
  <c r="G3104" i="5"/>
  <c r="G3107" i="5"/>
  <c r="G3108" i="5"/>
  <c r="G3109" i="5"/>
  <c r="G3110" i="5"/>
  <c r="G3112" i="5"/>
  <c r="G3113" i="5"/>
  <c r="G3114" i="5"/>
  <c r="G3117" i="5"/>
  <c r="G3118" i="5"/>
  <c r="G3119" i="5"/>
  <c r="G3120" i="5"/>
  <c r="H3120" i="5" s="1"/>
  <c r="G3121" i="5"/>
  <c r="G3122" i="5"/>
  <c r="G3123" i="5"/>
  <c r="G3124" i="5"/>
  <c r="G3125" i="5"/>
  <c r="G3127" i="5"/>
  <c r="J4923" i="16"/>
  <c r="I4923" i="16"/>
  <c r="G3129" i="5"/>
  <c r="G3130" i="5"/>
  <c r="G3131" i="5"/>
  <c r="G3132" i="5"/>
  <c r="G3133" i="5"/>
  <c r="J4916" i="16"/>
  <c r="G3134" i="5"/>
  <c r="I4916" i="16"/>
  <c r="G3135" i="5"/>
  <c r="G3136" i="5"/>
  <c r="G3137" i="5"/>
  <c r="G3138" i="5"/>
  <c r="G3139" i="5"/>
  <c r="G3140" i="5"/>
  <c r="G3141" i="5"/>
  <c r="G3142" i="5"/>
  <c r="G3143" i="5"/>
  <c r="G3144" i="5"/>
  <c r="G3145" i="5"/>
  <c r="G3146" i="5"/>
  <c r="G3147" i="5"/>
  <c r="G3148" i="5"/>
  <c r="G3150" i="5"/>
  <c r="G3152" i="5"/>
  <c r="G3153" i="5"/>
  <c r="G3154" i="5"/>
  <c r="G3155" i="5"/>
  <c r="J3240" i="16"/>
  <c r="G3156" i="5"/>
  <c r="I3240" i="16"/>
  <c r="G3157" i="5"/>
  <c r="G3158" i="5"/>
  <c r="G3159" i="5"/>
  <c r="G3160" i="5"/>
  <c r="G3161" i="5"/>
  <c r="J2211" i="16"/>
  <c r="I2211" i="16"/>
  <c r="G3166" i="5"/>
  <c r="G3167" i="5"/>
  <c r="G3168" i="5"/>
  <c r="G3169" i="5"/>
  <c r="G3171" i="5"/>
  <c r="G3174" i="5"/>
  <c r="G3175" i="5"/>
  <c r="G3176" i="5"/>
  <c r="G3178" i="5"/>
  <c r="G3179" i="5"/>
  <c r="G3182" i="5"/>
  <c r="G3183" i="5"/>
  <c r="G3184" i="5"/>
  <c r="E3186" i="5"/>
  <c r="G3187" i="5"/>
  <c r="G3188" i="5"/>
  <c r="G3189" i="5"/>
  <c r="G3190" i="5"/>
  <c r="H3190" i="5" s="1"/>
  <c r="G3191" i="5"/>
  <c r="G3192" i="5"/>
  <c r="G3193" i="5"/>
  <c r="G3194" i="5"/>
  <c r="G3195" i="5"/>
  <c r="G3196" i="5"/>
  <c r="G3197" i="5"/>
  <c r="G3198" i="5"/>
  <c r="G3199" i="5"/>
  <c r="G3200" i="5"/>
  <c r="G3201" i="5"/>
  <c r="G3202" i="5"/>
  <c r="J333" i="16"/>
  <c r="G3203" i="5"/>
  <c r="G3205" i="5"/>
  <c r="E3206" i="5"/>
  <c r="E3207" i="5"/>
  <c r="I333" i="16"/>
  <c r="G3208" i="5"/>
  <c r="G3209" i="5"/>
  <c r="G3210" i="5"/>
  <c r="G3211" i="5"/>
  <c r="G3212" i="5"/>
  <c r="J4548" i="16"/>
  <c r="I4548" i="16"/>
  <c r="G3213" i="5"/>
  <c r="G3214" i="5"/>
  <c r="G3215" i="5"/>
  <c r="G3216" i="5"/>
  <c r="G3217" i="5"/>
  <c r="G3218" i="5"/>
  <c r="J4549" i="16"/>
  <c r="I4549" i="16"/>
  <c r="G3220" i="5"/>
  <c r="G3221" i="5"/>
  <c r="G3222" i="5"/>
  <c r="G3223" i="5"/>
  <c r="G3224" i="5"/>
  <c r="J4551" i="16"/>
  <c r="I4551" i="16"/>
  <c r="G3226" i="5"/>
  <c r="G3227" i="5"/>
  <c r="G3228" i="5"/>
  <c r="G3229" i="5"/>
  <c r="G3230" i="5"/>
  <c r="G3231" i="5"/>
  <c r="G3232" i="5"/>
  <c r="J398" i="16"/>
  <c r="G3233" i="5"/>
  <c r="G3236" i="5"/>
  <c r="I398" i="16"/>
  <c r="G3238" i="5"/>
  <c r="G3239" i="5"/>
  <c r="G3240" i="5"/>
  <c r="G3243" i="5"/>
  <c r="G3244" i="5"/>
  <c r="G3245" i="5"/>
  <c r="G3247" i="5"/>
  <c r="G3248" i="5"/>
  <c r="G3250" i="5"/>
  <c r="G3251" i="5"/>
  <c r="G3252" i="5"/>
  <c r="G3253" i="5"/>
  <c r="G3254" i="5"/>
  <c r="G3255" i="5"/>
  <c r="G3257" i="5"/>
  <c r="G3258" i="5"/>
  <c r="G3259" i="5"/>
  <c r="G3260" i="5"/>
  <c r="G3261" i="5"/>
  <c r="G3264" i="5"/>
  <c r="G3265" i="5"/>
  <c r="G3266" i="5"/>
  <c r="G3267" i="5"/>
  <c r="G3268" i="5"/>
  <c r="G3270" i="5"/>
  <c r="G3271" i="5"/>
  <c r="G3272" i="5"/>
  <c r="G3273" i="5"/>
  <c r="G3274" i="5"/>
  <c r="G3275" i="5"/>
  <c r="G3276" i="5"/>
  <c r="G3277" i="5"/>
  <c r="G3278" i="5"/>
  <c r="G3279" i="5"/>
  <c r="G3280" i="5"/>
  <c r="G3281" i="5"/>
  <c r="G3282" i="5"/>
  <c r="G3284" i="5"/>
  <c r="G3285" i="5"/>
  <c r="G3286" i="5"/>
  <c r="G3287" i="5"/>
  <c r="G3288" i="5"/>
  <c r="G3289" i="5"/>
  <c r="G3290" i="5"/>
  <c r="G3292" i="5"/>
  <c r="G3293" i="5"/>
  <c r="G3294" i="5"/>
  <c r="G3295" i="5"/>
  <c r="G3296" i="5"/>
  <c r="G3298" i="5"/>
  <c r="G3299" i="5"/>
  <c r="G3300" i="5"/>
  <c r="G3301" i="5"/>
  <c r="G3302" i="5"/>
  <c r="G3303" i="5"/>
  <c r="G3304" i="5"/>
  <c r="G3305" i="5"/>
  <c r="G3306" i="5"/>
  <c r="G3307" i="5"/>
  <c r="G3308" i="5"/>
  <c r="G3309" i="5"/>
  <c r="G3310" i="5"/>
  <c r="G3313" i="5"/>
  <c r="G3314" i="5"/>
  <c r="G3315" i="5"/>
  <c r="G3316" i="5"/>
  <c r="G3319" i="5"/>
  <c r="G3320" i="5"/>
  <c r="G3321" i="5"/>
  <c r="G3322" i="5"/>
  <c r="G3323" i="5"/>
  <c r="G3325" i="5"/>
  <c r="G3326" i="5"/>
  <c r="G3327" i="5"/>
  <c r="J13" i="16"/>
  <c r="I13" i="16"/>
  <c r="G3328" i="5"/>
  <c r="J4240" i="16"/>
  <c r="G3329" i="5"/>
  <c r="E3329" i="5"/>
  <c r="G3330" i="5"/>
  <c r="I4240" i="16"/>
  <c r="G3332" i="5"/>
  <c r="G3333" i="5"/>
  <c r="G3334" i="5"/>
  <c r="G3335" i="5"/>
  <c r="G3336" i="5"/>
  <c r="G3337" i="5"/>
  <c r="G3338" i="5"/>
  <c r="G3339" i="5"/>
  <c r="G3340" i="5"/>
  <c r="G3341" i="5"/>
  <c r="G3343" i="5"/>
  <c r="G3344" i="5"/>
  <c r="G3346" i="5"/>
  <c r="G3347" i="5"/>
  <c r="G3348" i="5"/>
  <c r="G3349" i="5"/>
  <c r="G3351" i="5"/>
  <c r="G3353" i="5"/>
  <c r="G3354" i="5"/>
  <c r="G3355" i="5"/>
  <c r="J3997" i="16"/>
  <c r="I3997" i="16"/>
  <c r="G3356" i="5"/>
  <c r="G3358" i="5"/>
  <c r="G3359" i="5"/>
  <c r="G3360" i="5"/>
  <c r="G3361" i="5"/>
  <c r="G3362" i="5"/>
  <c r="G3363" i="5"/>
  <c r="H3363" i="5" s="1"/>
  <c r="G3364" i="5"/>
  <c r="G3365" i="5"/>
  <c r="G3366" i="5"/>
  <c r="J2605" i="16"/>
  <c r="I2605" i="16"/>
  <c r="G3368" i="5"/>
  <c r="G3369" i="5"/>
  <c r="G3370" i="5"/>
  <c r="G3371" i="5"/>
  <c r="G3372" i="5"/>
  <c r="G3373" i="5"/>
  <c r="G3374" i="5"/>
  <c r="G3375" i="5"/>
  <c r="G3377" i="5"/>
  <c r="G3378" i="5"/>
  <c r="G3379" i="5"/>
  <c r="G3380" i="5"/>
  <c r="H3380" i="5" s="1"/>
  <c r="G3381" i="5"/>
  <c r="G3382" i="5"/>
  <c r="G3383" i="5"/>
  <c r="J2927" i="16"/>
  <c r="I2927" i="16"/>
  <c r="G3384" i="5"/>
  <c r="J4891" i="16"/>
  <c r="G3386" i="5"/>
  <c r="G3387" i="5"/>
  <c r="I4891" i="16"/>
  <c r="G3388" i="5"/>
  <c r="G3389" i="5"/>
  <c r="G3390" i="5"/>
  <c r="J954" i="16"/>
  <c r="I954" i="16"/>
  <c r="G3391" i="5"/>
  <c r="G3394" i="5"/>
  <c r="G3395" i="5"/>
  <c r="G3396" i="5"/>
  <c r="G3397" i="5"/>
  <c r="J4235" i="16"/>
  <c r="G3398" i="5"/>
  <c r="I4235" i="16"/>
  <c r="G3400" i="5"/>
  <c r="G3401" i="5"/>
  <c r="G3402" i="5"/>
  <c r="G3403" i="5"/>
  <c r="G3404" i="5"/>
  <c r="G3405" i="5"/>
  <c r="G3406" i="5"/>
  <c r="G3407" i="5"/>
  <c r="G3408" i="5"/>
  <c r="G3409" i="5"/>
  <c r="G3410" i="5"/>
  <c r="G3411" i="5"/>
  <c r="G3412" i="5"/>
  <c r="G3413" i="5"/>
  <c r="G3414" i="5"/>
  <c r="J3209" i="16"/>
  <c r="I3209" i="16"/>
  <c r="G3415" i="5"/>
  <c r="G3416" i="5"/>
  <c r="G3417" i="5"/>
  <c r="G3418" i="5"/>
  <c r="G3419" i="5"/>
  <c r="G3420" i="5"/>
  <c r="H3420" i="5" s="1"/>
  <c r="G3421" i="5"/>
  <c r="G3422" i="5"/>
  <c r="G3423" i="5"/>
  <c r="G3424" i="5"/>
  <c r="H3424" i="5" s="1"/>
  <c r="G3425" i="5"/>
  <c r="G3426" i="5"/>
  <c r="G3427" i="5"/>
  <c r="E3428" i="5"/>
  <c r="G3428" i="5" s="1"/>
  <c r="E3429" i="5"/>
  <c r="G3429" i="5" s="1"/>
  <c r="E3430" i="5"/>
  <c r="G3430" i="5" s="1"/>
  <c r="E3431" i="5"/>
  <c r="G3431" i="5" s="1"/>
  <c r="E3432" i="5"/>
  <c r="G3433" i="5"/>
  <c r="G3434" i="5"/>
  <c r="G3435" i="5"/>
  <c r="G3436" i="5"/>
  <c r="G3437" i="5"/>
  <c r="E3438" i="5"/>
  <c r="G3438" i="5"/>
  <c r="E3439" i="5"/>
  <c r="G3439" i="5" s="1"/>
  <c r="E3440" i="5"/>
  <c r="G3440" i="5" s="1"/>
  <c r="E3441" i="5"/>
  <c r="G3441" i="5" s="1"/>
  <c r="E3443" i="5"/>
  <c r="G3444" i="5"/>
  <c r="G3445" i="5"/>
  <c r="G3446" i="5"/>
  <c r="G3447" i="5"/>
  <c r="G3448" i="5"/>
  <c r="E3449" i="5"/>
  <c r="G3450" i="5"/>
  <c r="E3450" i="5"/>
  <c r="G3451" i="5"/>
  <c r="E3451" i="5"/>
  <c r="G3452" i="5"/>
  <c r="E3452" i="5"/>
  <c r="E3454" i="5"/>
  <c r="G3455" i="5"/>
  <c r="G3456" i="5"/>
  <c r="G3457" i="5"/>
  <c r="G3458" i="5"/>
  <c r="G3459" i="5"/>
  <c r="G3461" i="5"/>
  <c r="G3462" i="5"/>
  <c r="G3463" i="5"/>
  <c r="G3464" i="5"/>
  <c r="G3465" i="5"/>
  <c r="G3466" i="5"/>
  <c r="G3467" i="5"/>
  <c r="E3469" i="5"/>
  <c r="G3469" i="5" s="1"/>
  <c r="E3471" i="5"/>
  <c r="G3471" i="5" s="1"/>
  <c r="G3472" i="5"/>
  <c r="G3473" i="5"/>
  <c r="J3218" i="16"/>
  <c r="G3474" i="5"/>
  <c r="E3474" i="5"/>
  <c r="G3475" i="5"/>
  <c r="E3475" i="5"/>
  <c r="G3476" i="5"/>
  <c r="E3476" i="5"/>
  <c r="E3477" i="5"/>
  <c r="I3218" i="16"/>
  <c r="G3479" i="5"/>
  <c r="G3480" i="5"/>
  <c r="G3481" i="5"/>
  <c r="G3482" i="5"/>
  <c r="G3483" i="5"/>
  <c r="G3484" i="5"/>
  <c r="G3488" i="5"/>
  <c r="G3489" i="5"/>
  <c r="G3490" i="5"/>
  <c r="G3491" i="5"/>
  <c r="G3492" i="5"/>
  <c r="E3494" i="5"/>
  <c r="G3495" i="5"/>
  <c r="E3496" i="5"/>
  <c r="G3497" i="5"/>
  <c r="G3498" i="5"/>
  <c r="G3499" i="5"/>
  <c r="E3499" i="5"/>
  <c r="G3500" i="5"/>
  <c r="E3500" i="5"/>
  <c r="G3501" i="5"/>
  <c r="E3501" i="5"/>
  <c r="E3502" i="5"/>
  <c r="G3504" i="5"/>
  <c r="G3505" i="5"/>
  <c r="G3506" i="5"/>
  <c r="G3507" i="5"/>
  <c r="G3508" i="5"/>
  <c r="G3509" i="5"/>
  <c r="G3511" i="5"/>
  <c r="G3512" i="5"/>
  <c r="E3513" i="5"/>
  <c r="G3513" i="5" s="1"/>
  <c r="E3514" i="5"/>
  <c r="G3514" i="5" s="1"/>
  <c r="G3515" i="5"/>
  <c r="G3516" i="5"/>
  <c r="G3517" i="5"/>
  <c r="G3518" i="5"/>
  <c r="G3519" i="5"/>
  <c r="G3521" i="5"/>
  <c r="E3522" i="5"/>
  <c r="G3522" i="5" s="1"/>
  <c r="E3523" i="5"/>
  <c r="G3523" i="5" s="1"/>
  <c r="G3524" i="5"/>
  <c r="G3525" i="5"/>
  <c r="G3526" i="5"/>
  <c r="G3527" i="5"/>
  <c r="G3528" i="5"/>
  <c r="G3529" i="5"/>
  <c r="G3530" i="5"/>
  <c r="G3531" i="5"/>
  <c r="G3532" i="5"/>
  <c r="G3533" i="5"/>
  <c r="G3534" i="5"/>
  <c r="G3535" i="5"/>
  <c r="E3536" i="5"/>
  <c r="G3536" i="5" s="1"/>
  <c r="G3537" i="5"/>
  <c r="G3538" i="5"/>
  <c r="E3538" i="5"/>
  <c r="G3539" i="5"/>
  <c r="G3540" i="5"/>
  <c r="G3541" i="5"/>
  <c r="E3541" i="5"/>
  <c r="G3542" i="5"/>
  <c r="E3542" i="5"/>
  <c r="G3543" i="5"/>
  <c r="E3543" i="5"/>
  <c r="E3544" i="5"/>
  <c r="G3546" i="5"/>
  <c r="G3547" i="5"/>
  <c r="G3548" i="5"/>
  <c r="G3549" i="5"/>
  <c r="G3550" i="5"/>
  <c r="G3551" i="5"/>
  <c r="G3552" i="5"/>
  <c r="G3554" i="5"/>
  <c r="G3555" i="5"/>
  <c r="G3556" i="5"/>
  <c r="G3557" i="5"/>
  <c r="G3558" i="5"/>
  <c r="G3559" i="5"/>
  <c r="G3561" i="5"/>
  <c r="G3562" i="5"/>
  <c r="G3563" i="5"/>
  <c r="E3565" i="5"/>
  <c r="G3566" i="5"/>
  <c r="E3566" i="5"/>
  <c r="E3567" i="5"/>
  <c r="E3568" i="5"/>
  <c r="G3568" i="5" s="1"/>
  <c r="G3569" i="5"/>
  <c r="G3570" i="5"/>
  <c r="G3571" i="5"/>
  <c r="G3573" i="5"/>
  <c r="E3573" i="5"/>
  <c r="G3575" i="5"/>
  <c r="G3576" i="5"/>
  <c r="G3577" i="5"/>
  <c r="G3578" i="5"/>
  <c r="G3581" i="5"/>
  <c r="G3582" i="5"/>
  <c r="G3583" i="5"/>
  <c r="G3585" i="5"/>
  <c r="J3652" i="16"/>
  <c r="G3586" i="5"/>
  <c r="J4027" i="16"/>
  <c r="G3587" i="5"/>
  <c r="G3588" i="5"/>
  <c r="I3652" i="16"/>
  <c r="I4027" i="16"/>
  <c r="G3589" i="5"/>
  <c r="G3592" i="5"/>
  <c r="G3593" i="5"/>
  <c r="G3596" i="5"/>
  <c r="G3597" i="5"/>
  <c r="G3598" i="5"/>
  <c r="J1149" i="16"/>
  <c r="G3599" i="5"/>
  <c r="I1149" i="16"/>
  <c r="G3600" i="5"/>
  <c r="G3601" i="5"/>
  <c r="G3603" i="5"/>
  <c r="G3604" i="5"/>
  <c r="G3605" i="5"/>
  <c r="G3606" i="5"/>
  <c r="G3607" i="5"/>
  <c r="G3609" i="5"/>
  <c r="G3610" i="5"/>
  <c r="G3611" i="5"/>
  <c r="J1207" i="16"/>
  <c r="I1207" i="16"/>
  <c r="J1877" i="16"/>
  <c r="G3613" i="5"/>
  <c r="G3616" i="5"/>
  <c r="J4220" i="16"/>
  <c r="G3617" i="5"/>
  <c r="G3618" i="5"/>
  <c r="I1877" i="16"/>
  <c r="I4220" i="16"/>
  <c r="G3619" i="5"/>
  <c r="G3620" i="5"/>
  <c r="G3621" i="5"/>
  <c r="G3622" i="5"/>
  <c r="G3623" i="5"/>
  <c r="G3624" i="5"/>
  <c r="G3625" i="5"/>
  <c r="G3626" i="5"/>
  <c r="G3627" i="5"/>
  <c r="G3628" i="5"/>
  <c r="G3629" i="5"/>
  <c r="G3630" i="5"/>
  <c r="G3631" i="5"/>
  <c r="J3193" i="16"/>
  <c r="I3193" i="16"/>
  <c r="G3632" i="5"/>
  <c r="J54" i="16"/>
  <c r="G3633" i="5"/>
  <c r="G3634" i="5"/>
  <c r="E3634" i="5"/>
  <c r="G3635" i="5"/>
  <c r="G3636" i="5"/>
  <c r="I54" i="16"/>
  <c r="G3637" i="5"/>
  <c r="G3638" i="5"/>
  <c r="G3639" i="5"/>
  <c r="G3640" i="5"/>
  <c r="H3640" i="5" s="1"/>
  <c r="G3641" i="5"/>
  <c r="G3642" i="5"/>
  <c r="G3643" i="5"/>
  <c r="G3644" i="5"/>
  <c r="G3645" i="5"/>
  <c r="G3646" i="5"/>
  <c r="G3647" i="5"/>
  <c r="G3648" i="5"/>
  <c r="G3649" i="5"/>
  <c r="J2192" i="16"/>
  <c r="I2192" i="16"/>
  <c r="G3652" i="5"/>
  <c r="E3653" i="5"/>
  <c r="G3653" i="5" s="1"/>
  <c r="J935" i="16"/>
  <c r="E3654" i="5"/>
  <c r="G3654" i="5" s="1"/>
  <c r="J4327" i="16"/>
  <c r="E3655" i="5"/>
  <c r="J2071" i="16"/>
  <c r="E3656" i="5"/>
  <c r="G3656" i="5" s="1"/>
  <c r="J2073" i="16"/>
  <c r="E3657" i="5"/>
  <c r="E3658" i="5"/>
  <c r="E3659" i="5"/>
  <c r="G3660" i="5"/>
  <c r="I935" i="16"/>
  <c r="I4327" i="16"/>
  <c r="I2071" i="16"/>
  <c r="I2073" i="16"/>
  <c r="G3661" i="5"/>
  <c r="G3662" i="5"/>
  <c r="G3663" i="5"/>
  <c r="G3664" i="5"/>
  <c r="J4342" i="16"/>
  <c r="I4342" i="16"/>
  <c r="E3665" i="5"/>
  <c r="G3665" i="5" s="1"/>
  <c r="E3666" i="5"/>
  <c r="G3666" i="5" s="1"/>
  <c r="G3667" i="5"/>
  <c r="E3667" i="5"/>
  <c r="G3668" i="5"/>
  <c r="G3669" i="5"/>
  <c r="G3670" i="5"/>
  <c r="G3671" i="5"/>
  <c r="G3672" i="5"/>
  <c r="J3017" i="16"/>
  <c r="G3674" i="5"/>
  <c r="G3675" i="5"/>
  <c r="E3678" i="5"/>
  <c r="E3679" i="5"/>
  <c r="G3680" i="5"/>
  <c r="G3681" i="5"/>
  <c r="I3017" i="16"/>
  <c r="G3682" i="5"/>
  <c r="G3683" i="5"/>
  <c r="G3684" i="5"/>
  <c r="G3685" i="5"/>
  <c r="J4683" i="16"/>
  <c r="G3687" i="5"/>
  <c r="J2181" i="16"/>
  <c r="G3689" i="5"/>
  <c r="E3691" i="5"/>
  <c r="E3692" i="5"/>
  <c r="G3693" i="5"/>
  <c r="G3694" i="5"/>
  <c r="G3695" i="5"/>
  <c r="I4683" i="16"/>
  <c r="I2181" i="16"/>
  <c r="G3696" i="5"/>
  <c r="G3697" i="5"/>
  <c r="E3698" i="5"/>
  <c r="E3699" i="5"/>
  <c r="G3700" i="5"/>
  <c r="E3700" i="5"/>
  <c r="G3701" i="5"/>
  <c r="E3701" i="5"/>
  <c r="E3703" i="5"/>
  <c r="G3704" i="5"/>
  <c r="G3705" i="5"/>
  <c r="G3706" i="5"/>
  <c r="G3707" i="5"/>
  <c r="G3708" i="5"/>
  <c r="J2615" i="16"/>
  <c r="G3709" i="5"/>
  <c r="H3709" i="5" s="1"/>
  <c r="I2615" i="16"/>
  <c r="G3710" i="5"/>
  <c r="G3711" i="5"/>
  <c r="G3712" i="5"/>
  <c r="G3714" i="5"/>
  <c r="G3717" i="5"/>
  <c r="G3720" i="5"/>
  <c r="G3721" i="5"/>
  <c r="G3722" i="5"/>
  <c r="G3723" i="5"/>
  <c r="G3724" i="5"/>
  <c r="E3724" i="5"/>
  <c r="G3725" i="5"/>
  <c r="G3726" i="5"/>
  <c r="G3727" i="5"/>
  <c r="E3728" i="5"/>
  <c r="E3729" i="5"/>
  <c r="G3729" i="5" s="1"/>
  <c r="E3730" i="5"/>
  <c r="G3731" i="5"/>
  <c r="G3732" i="5"/>
  <c r="G3733" i="5"/>
  <c r="G3734" i="5"/>
  <c r="G3735" i="5"/>
  <c r="G3736" i="5"/>
  <c r="G3737" i="5"/>
  <c r="J3469" i="16"/>
  <c r="G3738" i="5"/>
  <c r="G3739" i="5"/>
  <c r="G3740" i="5"/>
  <c r="I3469" i="16"/>
  <c r="G3741" i="5"/>
  <c r="G3742" i="5"/>
  <c r="G3743" i="5"/>
  <c r="J2617" i="16"/>
  <c r="I2617" i="16"/>
  <c r="G3744" i="5"/>
  <c r="H3744" i="5" s="1"/>
  <c r="G3745" i="5"/>
  <c r="G3746" i="5"/>
  <c r="G3747" i="5"/>
  <c r="J2616" i="16"/>
  <c r="I2616" i="16"/>
  <c r="G3748" i="5"/>
  <c r="H3748" i="5" s="1"/>
  <c r="G3749" i="5"/>
  <c r="G3750" i="5"/>
  <c r="G3751" i="5"/>
  <c r="J3455" i="16"/>
  <c r="I3455" i="16"/>
  <c r="G3752" i="5"/>
  <c r="G3753" i="5"/>
  <c r="G3754" i="5"/>
  <c r="G3755" i="5"/>
  <c r="G3756" i="5"/>
  <c r="E3756" i="5"/>
  <c r="G3757" i="5"/>
  <c r="G3758" i="5"/>
  <c r="G3759" i="5"/>
  <c r="G3760" i="5"/>
  <c r="G3761" i="5"/>
  <c r="E3762" i="5"/>
  <c r="G3763" i="5"/>
  <c r="G3764" i="5"/>
  <c r="G3765" i="5"/>
  <c r="G3766" i="5"/>
  <c r="G3767" i="5"/>
  <c r="E3768" i="5"/>
  <c r="G3768" i="5" s="1"/>
  <c r="G3769" i="5"/>
  <c r="G3770" i="5"/>
  <c r="G3771" i="5"/>
  <c r="G3772" i="5"/>
  <c r="G3773" i="5"/>
  <c r="E3774" i="5"/>
  <c r="G3774" i="5" s="1"/>
  <c r="G3775" i="5"/>
  <c r="G3776" i="5"/>
  <c r="G3777" i="5"/>
  <c r="G3778" i="5"/>
  <c r="G3779" i="5"/>
  <c r="E3780" i="5"/>
  <c r="G3781" i="5"/>
  <c r="G3782" i="5"/>
  <c r="G3783" i="5"/>
  <c r="G3784" i="5"/>
  <c r="G3785" i="5"/>
  <c r="E3786" i="5"/>
  <c r="G3786" i="5"/>
  <c r="G3787" i="5"/>
  <c r="G3788" i="5"/>
  <c r="G3789" i="5"/>
  <c r="G3790" i="5"/>
  <c r="G3791" i="5"/>
  <c r="E3792" i="5"/>
  <c r="G3792" i="5" s="1"/>
  <c r="G3793" i="5"/>
  <c r="G3794" i="5"/>
  <c r="G3795" i="5"/>
  <c r="G3796" i="5"/>
  <c r="G3797" i="5"/>
  <c r="E3798" i="5"/>
  <c r="G3799" i="5"/>
  <c r="G3800" i="5"/>
  <c r="G3801" i="5"/>
  <c r="G3802" i="5"/>
  <c r="G3803" i="5"/>
  <c r="E3804" i="5"/>
  <c r="G3804" i="5" s="1"/>
  <c r="G3805" i="5"/>
  <c r="G3806" i="5"/>
  <c r="G3807" i="5"/>
  <c r="G3808" i="5"/>
  <c r="G3809" i="5"/>
  <c r="E3810" i="5"/>
  <c r="G3810" i="5" s="1"/>
  <c r="G3811" i="5"/>
  <c r="G3812" i="5"/>
  <c r="G3813" i="5"/>
  <c r="G3814" i="5"/>
  <c r="G3815" i="5"/>
  <c r="E3816" i="5"/>
  <c r="E3817" i="5"/>
  <c r="G3818" i="5"/>
  <c r="G3819" i="5"/>
  <c r="G3820" i="5"/>
  <c r="G3822" i="5"/>
  <c r="G3825" i="5"/>
  <c r="G3826" i="5"/>
  <c r="G3827" i="5"/>
  <c r="G3828" i="5"/>
  <c r="G3829" i="5"/>
  <c r="G3830" i="5"/>
  <c r="G3831" i="5"/>
  <c r="G3832" i="5"/>
  <c r="E3833" i="5"/>
  <c r="G3834" i="5"/>
  <c r="E3834" i="5"/>
  <c r="E3835" i="5"/>
  <c r="E3836" i="5"/>
  <c r="G3836" i="5" s="1"/>
  <c r="E3837" i="5"/>
  <c r="G3837" i="5" s="1"/>
  <c r="E3838" i="5"/>
  <c r="E3839" i="5"/>
  <c r="G3840" i="5"/>
  <c r="G3841" i="5"/>
  <c r="G3842" i="5"/>
  <c r="J2242" i="16"/>
  <c r="G3845" i="5"/>
  <c r="J3524" i="16"/>
  <c r="G3846" i="5"/>
  <c r="G3847" i="5"/>
  <c r="G3848" i="5"/>
  <c r="I2242" i="16"/>
  <c r="I3524" i="16"/>
  <c r="G3849" i="5"/>
  <c r="G3850" i="5"/>
  <c r="G3851" i="5"/>
  <c r="J3220" i="16"/>
  <c r="G3852" i="5"/>
  <c r="I3220" i="16"/>
  <c r="J2341" i="16"/>
  <c r="G3853" i="5"/>
  <c r="G3854" i="5"/>
  <c r="G3855" i="5"/>
  <c r="G3856" i="5"/>
  <c r="I2341" i="16"/>
  <c r="G3857" i="5"/>
  <c r="G3858" i="5"/>
  <c r="G3859" i="5"/>
  <c r="J3526" i="16"/>
  <c r="I3526" i="16"/>
  <c r="G3860" i="5"/>
  <c r="G3862" i="5"/>
  <c r="G3863" i="5"/>
  <c r="G3864" i="5"/>
  <c r="E3865" i="5"/>
  <c r="E3866" i="5"/>
  <c r="G3867" i="5"/>
  <c r="G3868" i="5"/>
  <c r="G3869" i="5"/>
  <c r="G3870" i="5"/>
  <c r="G3871" i="5"/>
  <c r="G3872" i="5"/>
  <c r="J1457" i="16"/>
  <c r="G3873" i="5"/>
  <c r="J3112" i="16"/>
  <c r="G3874" i="5"/>
  <c r="J3474" i="16"/>
  <c r="G3875" i="5"/>
  <c r="J4067" i="16"/>
  <c r="G3876" i="5"/>
  <c r="J4787" i="16"/>
  <c r="G3877" i="5"/>
  <c r="J4838" i="16"/>
  <c r="G3879" i="5"/>
  <c r="J4493" i="16"/>
  <c r="G3880" i="5"/>
  <c r="G3882" i="5"/>
  <c r="I1457" i="16"/>
  <c r="I3112" i="16"/>
  <c r="I3474" i="16"/>
  <c r="I4067" i="16"/>
  <c r="I4787" i="16"/>
  <c r="I4838" i="16"/>
  <c r="I4493" i="16"/>
  <c r="G3884" i="5"/>
  <c r="G3885" i="5"/>
  <c r="G3886" i="5"/>
  <c r="G3887" i="5"/>
  <c r="G3889" i="5"/>
  <c r="G3890" i="5"/>
  <c r="G3891" i="5"/>
  <c r="G3892" i="5"/>
  <c r="G3893" i="5"/>
  <c r="I1139" i="16"/>
  <c r="G3894" i="5"/>
  <c r="G3895" i="5"/>
  <c r="G3896" i="5"/>
  <c r="J3636" i="16"/>
  <c r="G3897" i="5"/>
  <c r="J3489" i="16"/>
  <c r="G3898" i="5"/>
  <c r="G3899" i="5"/>
  <c r="G3901" i="5"/>
  <c r="G3902" i="5"/>
  <c r="G3903" i="5"/>
  <c r="G3904" i="5"/>
  <c r="G3905" i="5"/>
  <c r="G3906" i="5"/>
  <c r="I3864" i="16"/>
  <c r="I3636" i="16"/>
  <c r="I3489" i="16"/>
  <c r="G3909" i="5"/>
  <c r="G3910" i="5"/>
  <c r="G3911" i="5"/>
  <c r="J1859" i="16"/>
  <c r="I1859" i="16"/>
  <c r="G3912" i="5"/>
  <c r="G3913" i="5"/>
  <c r="G3914" i="5"/>
  <c r="G3915" i="5"/>
  <c r="G3916" i="5"/>
  <c r="G3917" i="5"/>
  <c r="G3918" i="5"/>
  <c r="G3919" i="5"/>
  <c r="G3920" i="5"/>
  <c r="G3921" i="5"/>
  <c r="G3922" i="5"/>
  <c r="G3923" i="5"/>
  <c r="G3924" i="5"/>
  <c r="G3925" i="5"/>
  <c r="G3926" i="5"/>
  <c r="G3927" i="5"/>
  <c r="G3928" i="5"/>
  <c r="G3929" i="5"/>
  <c r="E3930" i="5"/>
  <c r="E3931" i="5"/>
  <c r="E3932" i="5"/>
  <c r="G3932" i="5" s="1"/>
  <c r="E3933" i="5"/>
  <c r="G3933" i="5" s="1"/>
  <c r="G3934" i="5"/>
  <c r="G3935" i="5"/>
  <c r="G3936" i="5"/>
  <c r="G3941" i="5"/>
  <c r="G3942" i="5"/>
  <c r="G3943" i="5"/>
  <c r="G3944" i="5"/>
  <c r="G3945" i="5"/>
  <c r="G3946" i="5"/>
  <c r="G3947" i="5"/>
  <c r="J3428" i="16"/>
  <c r="G3948" i="5"/>
  <c r="G3949" i="5"/>
  <c r="I3428" i="16"/>
  <c r="G3951" i="5"/>
  <c r="G3952" i="5"/>
  <c r="G3953" i="5"/>
  <c r="G3954" i="5"/>
  <c r="G3956" i="5"/>
  <c r="G3957" i="5"/>
  <c r="G3958" i="5"/>
  <c r="G3959" i="5"/>
  <c r="G3960" i="5"/>
  <c r="G3961" i="5"/>
  <c r="G3962" i="5"/>
  <c r="G3963" i="5"/>
  <c r="J3996" i="16"/>
  <c r="G3964" i="5"/>
  <c r="I3996" i="16"/>
  <c r="G3966" i="5"/>
  <c r="G3967" i="5"/>
  <c r="G3968" i="5"/>
  <c r="G3969" i="5"/>
  <c r="G3970" i="5"/>
  <c r="G3972" i="5"/>
  <c r="G3973" i="5"/>
  <c r="G3975" i="5"/>
  <c r="G3976" i="5"/>
  <c r="G3977" i="5"/>
  <c r="G3978" i="5"/>
  <c r="J315" i="16"/>
  <c r="I315" i="16"/>
  <c r="G3979" i="5"/>
  <c r="G3980" i="5"/>
  <c r="G3981" i="5"/>
  <c r="G3982" i="5"/>
  <c r="G3983" i="5"/>
  <c r="E3984" i="5"/>
  <c r="E3985" i="5"/>
  <c r="G3986" i="5"/>
  <c r="G3987" i="5"/>
  <c r="G3988" i="5"/>
  <c r="G3989" i="5"/>
  <c r="G3990" i="5"/>
  <c r="J1100" i="16"/>
  <c r="G3991" i="5"/>
  <c r="I1100" i="16"/>
  <c r="J1807" i="16"/>
  <c r="G3992" i="5"/>
  <c r="G3993" i="5"/>
  <c r="J3222" i="16"/>
  <c r="G3994" i="5"/>
  <c r="G3995" i="5"/>
  <c r="G3996" i="5"/>
  <c r="G3997" i="5"/>
  <c r="G3998" i="5"/>
  <c r="G4000" i="5"/>
  <c r="I1807" i="16"/>
  <c r="I3222" i="16"/>
  <c r="G4001" i="5"/>
  <c r="G4002" i="5"/>
  <c r="G4003" i="5"/>
  <c r="E4004" i="5"/>
  <c r="G4004" i="5"/>
  <c r="G4006" i="5"/>
  <c r="G4007" i="5"/>
  <c r="G4008" i="5"/>
  <c r="J177" i="16"/>
  <c r="I177" i="16"/>
  <c r="G4009" i="5"/>
  <c r="H4009" i="5" s="1"/>
  <c r="G4010" i="5"/>
  <c r="G4011" i="5"/>
  <c r="G4012" i="5"/>
  <c r="J4427" i="16"/>
  <c r="I4427" i="16"/>
  <c r="G4014" i="5"/>
  <c r="G4015" i="5"/>
  <c r="G4016" i="5"/>
  <c r="J1419" i="16"/>
  <c r="G4017" i="5"/>
  <c r="I1419" i="16"/>
  <c r="J3914" i="16"/>
  <c r="G4018" i="5"/>
  <c r="G4019" i="5"/>
  <c r="J3288" i="16"/>
  <c r="G4021" i="5"/>
  <c r="I3914" i="16"/>
  <c r="I3288" i="16"/>
  <c r="G4023" i="5"/>
  <c r="G4024" i="5"/>
  <c r="G4025" i="5"/>
  <c r="J1420" i="16"/>
  <c r="I1420" i="16"/>
  <c r="G4027" i="5"/>
  <c r="G4028" i="5"/>
  <c r="G4029" i="5"/>
  <c r="G4030" i="5"/>
  <c r="G4032" i="5"/>
  <c r="G4033" i="5"/>
  <c r="G4034" i="5"/>
  <c r="J1417" i="16"/>
  <c r="I1417" i="16"/>
  <c r="G4035" i="5"/>
  <c r="G4036" i="5"/>
  <c r="G4037" i="5"/>
  <c r="G4038" i="5"/>
  <c r="G4040" i="5"/>
  <c r="G4041" i="5"/>
  <c r="G4042" i="5"/>
  <c r="G4043" i="5"/>
  <c r="J2683" i="16"/>
  <c r="G4044" i="5"/>
  <c r="I2683" i="16"/>
  <c r="G4045" i="5"/>
  <c r="G4047" i="5"/>
  <c r="G4048" i="5"/>
  <c r="G4049" i="5"/>
  <c r="G4050" i="5"/>
  <c r="G4051" i="5"/>
  <c r="G4052" i="5"/>
  <c r="J2684" i="16"/>
  <c r="G4053" i="5"/>
  <c r="I2684" i="16"/>
  <c r="G4055" i="5"/>
  <c r="G4056" i="5"/>
  <c r="G4057" i="5"/>
  <c r="G4059" i="5"/>
  <c r="G4060" i="5"/>
  <c r="G4061" i="5"/>
  <c r="J2681" i="16"/>
  <c r="I2681" i="16"/>
  <c r="G4062" i="5"/>
  <c r="G4063" i="5"/>
  <c r="G4064" i="5"/>
  <c r="G4065" i="5"/>
  <c r="G4066" i="5"/>
  <c r="G4067" i="5"/>
  <c r="G4068" i="5"/>
  <c r="G4069" i="5"/>
  <c r="G4070" i="5"/>
  <c r="J4540" i="16"/>
  <c r="I4540" i="16"/>
  <c r="G4072" i="5"/>
  <c r="G4073" i="5"/>
  <c r="G4074" i="5"/>
  <c r="G4075" i="5"/>
  <c r="G4076" i="5"/>
  <c r="J4539" i="16"/>
  <c r="I4539" i="16"/>
  <c r="G4077" i="5"/>
  <c r="G4078" i="5"/>
  <c r="G4079" i="5"/>
  <c r="G4080" i="5"/>
  <c r="G4081" i="5"/>
  <c r="G4082" i="5"/>
  <c r="J1835" i="16"/>
  <c r="I1835" i="16"/>
  <c r="G4083" i="5"/>
  <c r="G4084" i="5"/>
  <c r="G4086" i="5"/>
  <c r="G4087" i="5"/>
  <c r="G4088" i="5"/>
  <c r="G4089" i="5"/>
  <c r="G4090" i="5"/>
  <c r="H4090" i="5" s="1"/>
  <c r="E4090" i="5"/>
  <c r="G4091" i="5"/>
  <c r="G4092" i="5"/>
  <c r="G4093" i="5"/>
  <c r="G4094" i="5"/>
  <c r="G4095" i="5"/>
  <c r="E4096" i="5"/>
  <c r="G4097" i="5"/>
  <c r="G4098" i="5"/>
  <c r="G4099" i="5"/>
  <c r="G4100" i="5"/>
  <c r="G4101" i="5"/>
  <c r="J1161" i="16"/>
  <c r="G4102" i="5"/>
  <c r="G4103" i="5"/>
  <c r="I1161" i="16"/>
  <c r="G4104" i="5"/>
  <c r="G4105" i="5"/>
  <c r="G4106" i="5"/>
  <c r="G4107" i="5"/>
  <c r="G4109" i="5"/>
  <c r="G4110" i="5"/>
  <c r="G4112" i="5"/>
  <c r="G4113" i="5"/>
  <c r="G4114" i="5"/>
  <c r="G4116" i="5"/>
  <c r="G4120" i="5"/>
  <c r="G4121" i="5"/>
  <c r="G4122" i="5"/>
  <c r="J3415" i="16"/>
  <c r="I3415" i="16"/>
  <c r="G4123" i="5"/>
  <c r="G4124" i="5"/>
  <c r="G4125" i="5"/>
  <c r="G4126" i="5"/>
  <c r="G4128" i="5"/>
  <c r="G4129" i="5"/>
  <c r="G4130" i="5"/>
  <c r="J3410" i="16"/>
  <c r="I3410" i="16"/>
  <c r="G4132" i="5"/>
  <c r="G4133" i="5"/>
  <c r="G4134" i="5"/>
  <c r="G4138" i="5"/>
  <c r="E4138" i="5"/>
  <c r="G4139" i="5"/>
  <c r="G4140" i="5"/>
  <c r="G4141" i="5"/>
  <c r="G4142" i="5"/>
  <c r="G4143" i="5"/>
  <c r="G4144" i="5"/>
  <c r="J3878" i="16"/>
  <c r="G4145" i="5"/>
  <c r="G4146" i="5"/>
  <c r="E4147" i="5"/>
  <c r="I3878" i="16"/>
  <c r="G4151" i="5"/>
  <c r="G4152" i="5"/>
  <c r="G4153" i="5"/>
  <c r="G4155" i="5"/>
  <c r="E4155" i="5"/>
  <c r="G4159" i="5"/>
  <c r="G4160" i="5"/>
  <c r="G4161" i="5"/>
  <c r="G4162" i="5"/>
  <c r="G4163" i="5"/>
  <c r="G4164" i="5"/>
  <c r="G4165" i="5"/>
  <c r="H4165" i="5" s="1"/>
  <c r="G4166" i="5"/>
  <c r="G4167" i="5"/>
  <c r="G4168" i="5"/>
  <c r="J3963" i="16"/>
  <c r="I3963" i="16"/>
  <c r="G4169" i="5"/>
  <c r="G4170" i="5"/>
  <c r="G4171" i="5"/>
  <c r="G4173" i="5"/>
  <c r="G4174" i="5"/>
  <c r="G4175" i="5"/>
  <c r="G4176" i="5"/>
  <c r="J3404" i="16"/>
  <c r="G4178" i="5"/>
  <c r="G4179" i="5"/>
  <c r="I3404" i="16"/>
  <c r="G4180" i="5"/>
  <c r="G4181" i="5"/>
  <c r="G4182" i="5"/>
  <c r="E4185" i="5"/>
  <c r="G4186" i="5"/>
  <c r="G4187" i="5"/>
  <c r="G4188" i="5"/>
  <c r="G4191" i="5"/>
  <c r="G4192" i="5"/>
  <c r="G4193" i="5"/>
  <c r="G4194" i="5"/>
  <c r="G4197" i="5"/>
  <c r="G4198" i="5"/>
  <c r="G4199" i="5"/>
  <c r="G4200" i="5"/>
  <c r="J308" i="16"/>
  <c r="I308" i="16"/>
  <c r="G4201" i="5"/>
  <c r="G4202" i="5"/>
  <c r="J3452" i="16"/>
  <c r="J3911" i="16"/>
  <c r="G4204" i="5"/>
  <c r="G4205" i="5"/>
  <c r="I3452" i="16"/>
  <c r="I3911" i="16"/>
  <c r="G4208" i="5"/>
  <c r="G4209" i="5"/>
  <c r="G4210" i="5"/>
  <c r="J2978" i="16"/>
  <c r="I2978" i="16"/>
  <c r="G4211" i="5"/>
  <c r="G4214" i="5"/>
  <c r="G4215" i="5"/>
  <c r="G4216" i="5"/>
  <c r="E4217" i="5"/>
  <c r="G4217" i="5" s="1"/>
  <c r="G4218" i="5"/>
  <c r="G4219" i="5"/>
  <c r="G4220" i="5"/>
  <c r="G4221" i="5"/>
  <c r="G4222" i="5"/>
  <c r="G4223" i="5"/>
  <c r="G4224" i="5"/>
  <c r="J3872" i="16"/>
  <c r="I3872" i="16"/>
  <c r="G4225" i="5"/>
  <c r="J2090" i="16"/>
  <c r="G4227" i="5"/>
  <c r="G4228" i="5"/>
  <c r="I2090" i="16"/>
  <c r="G4230" i="5"/>
  <c r="G4231" i="5"/>
  <c r="G4232" i="5"/>
  <c r="J1690" i="16"/>
  <c r="I1690" i="16"/>
  <c r="G4233" i="5"/>
  <c r="J4346" i="16"/>
  <c r="G4234" i="5"/>
  <c r="G4235" i="5"/>
  <c r="J3653" i="16"/>
  <c r="G4236" i="5"/>
  <c r="G4237" i="5"/>
  <c r="G4238" i="5"/>
  <c r="I4346" i="16"/>
  <c r="I3653" i="16"/>
  <c r="G4239" i="5"/>
  <c r="G4240" i="5"/>
  <c r="G4241" i="5"/>
  <c r="G4242" i="5"/>
  <c r="G4243" i="5"/>
  <c r="G4244" i="5"/>
  <c r="G4246" i="5"/>
  <c r="G4247" i="5"/>
  <c r="G4248" i="5"/>
  <c r="G4251" i="5"/>
  <c r="G4252" i="5"/>
  <c r="G4253" i="5"/>
  <c r="I1689" i="16"/>
  <c r="G4255" i="5"/>
  <c r="G4256" i="5"/>
  <c r="J2598" i="16"/>
  <c r="G4257" i="5"/>
  <c r="I2134" i="16"/>
  <c r="I2598" i="16"/>
  <c r="G4259" i="5"/>
  <c r="G4260" i="5"/>
  <c r="G4261" i="5"/>
  <c r="E4262" i="5"/>
  <c r="G4262" i="5" s="1"/>
  <c r="G4263" i="5"/>
  <c r="E4263" i="5"/>
  <c r="G4264" i="5"/>
  <c r="E4264" i="5"/>
  <c r="G4265" i="5"/>
  <c r="G4266" i="5"/>
  <c r="J3874" i="16"/>
  <c r="G4267" i="5"/>
  <c r="I3874" i="16"/>
  <c r="G4268" i="5"/>
  <c r="G4269" i="5"/>
  <c r="G4270" i="5"/>
  <c r="G4271" i="5"/>
  <c r="J3484" i="16"/>
  <c r="G4272" i="5"/>
  <c r="J527" i="16"/>
  <c r="G4273" i="5"/>
  <c r="G4275" i="5"/>
  <c r="G4276" i="5"/>
  <c r="G4277" i="5"/>
  <c r="G4278" i="5"/>
  <c r="E4280" i="5"/>
  <c r="E4281" i="5"/>
  <c r="I3484" i="16"/>
  <c r="I527" i="16"/>
  <c r="G4282" i="5"/>
  <c r="G4283" i="5"/>
  <c r="G4284" i="5"/>
  <c r="G4285" i="5"/>
  <c r="G4286" i="5"/>
  <c r="G4287" i="5"/>
  <c r="G4288" i="5"/>
  <c r="G4289" i="5"/>
  <c r="G4290" i="5"/>
  <c r="G4291" i="5"/>
  <c r="G4292" i="5"/>
  <c r="G4293" i="5"/>
  <c r="G4294" i="5"/>
  <c r="G4295" i="5"/>
  <c r="G4296" i="5"/>
  <c r="G4297" i="5"/>
  <c r="G4299" i="5"/>
  <c r="G4300" i="5"/>
  <c r="G4301" i="5"/>
  <c r="G4302" i="5"/>
  <c r="G4303" i="5"/>
  <c r="G4304" i="5"/>
  <c r="G4306" i="5"/>
  <c r="E4307" i="5"/>
  <c r="E4308" i="5"/>
  <c r="I313" i="16"/>
  <c r="G4309" i="5"/>
  <c r="G4310" i="5"/>
  <c r="G4311" i="5"/>
  <c r="G4312" i="5"/>
  <c r="G4313" i="5"/>
  <c r="G4314" i="5"/>
  <c r="E4314" i="5"/>
  <c r="G4315" i="5"/>
  <c r="E4315" i="5"/>
  <c r="G4316" i="5"/>
  <c r="E4316" i="5"/>
  <c r="G4318" i="5"/>
  <c r="G4319" i="5"/>
  <c r="G4320" i="5"/>
  <c r="G4321" i="5"/>
  <c r="J4341" i="16"/>
  <c r="G4322" i="5"/>
  <c r="J3028" i="16"/>
  <c r="J3029" i="16"/>
  <c r="G4324" i="5"/>
  <c r="G4325" i="5"/>
  <c r="G4327" i="5"/>
  <c r="G4328" i="5"/>
  <c r="I4341" i="16"/>
  <c r="I3028" i="16"/>
  <c r="I3029" i="16"/>
  <c r="G4329" i="5"/>
  <c r="G4330" i="5"/>
  <c r="G4331" i="5"/>
  <c r="J4286" i="16"/>
  <c r="G4332" i="5"/>
  <c r="I4286" i="16"/>
  <c r="J2263" i="16"/>
  <c r="G4333" i="5"/>
  <c r="G4334" i="5"/>
  <c r="G4335" i="5"/>
  <c r="G4336" i="5"/>
  <c r="G4337" i="5"/>
  <c r="I2263" i="16"/>
  <c r="G4338" i="5"/>
  <c r="G4339" i="5"/>
  <c r="G4340" i="5"/>
  <c r="G4341" i="5"/>
  <c r="G4343" i="5"/>
  <c r="G4344" i="5"/>
  <c r="G4346" i="5"/>
  <c r="G4347" i="5"/>
  <c r="G4348" i="5"/>
  <c r="G4349" i="5"/>
  <c r="G4351" i="5"/>
  <c r="G4353" i="5"/>
  <c r="G4354" i="5"/>
  <c r="G4355" i="5"/>
  <c r="G4356" i="5"/>
  <c r="G4357" i="5"/>
  <c r="G4358" i="5"/>
  <c r="G4359" i="5"/>
  <c r="G4361" i="5"/>
  <c r="G4362" i="5"/>
  <c r="G4363" i="5"/>
  <c r="G4364" i="5"/>
  <c r="G4365" i="5"/>
  <c r="G4366" i="5"/>
  <c r="G4367" i="5"/>
  <c r="G4369" i="5"/>
  <c r="G4370" i="5"/>
  <c r="G4371" i="5"/>
  <c r="G4372" i="5"/>
  <c r="G4373" i="5"/>
  <c r="G4374" i="5"/>
  <c r="G4375" i="5"/>
  <c r="G4376" i="5"/>
  <c r="G4377" i="5"/>
  <c r="G4378" i="5"/>
  <c r="E4378" i="5"/>
  <c r="G4379" i="5"/>
  <c r="E4379" i="5"/>
  <c r="E4380" i="5"/>
  <c r="G4380" i="5" s="1"/>
  <c r="G4381" i="5"/>
  <c r="E4382" i="5"/>
  <c r="G4382" i="5" s="1"/>
  <c r="G4383" i="5"/>
  <c r="G4384" i="5"/>
  <c r="G4385" i="5"/>
  <c r="E4386" i="5"/>
  <c r="E4387" i="5"/>
  <c r="G4387" i="5" s="1"/>
  <c r="E4388" i="5"/>
  <c r="G4388" i="5" s="1"/>
  <c r="G4389" i="5"/>
  <c r="G4390" i="5"/>
  <c r="E4390" i="5"/>
  <c r="G4391" i="5"/>
  <c r="G4392" i="5"/>
  <c r="G4393" i="5"/>
  <c r="J1369" i="16"/>
  <c r="I1369" i="16"/>
  <c r="J3269" i="16"/>
  <c r="G4395" i="5"/>
  <c r="J4259" i="16"/>
  <c r="G4396" i="5"/>
  <c r="G4397" i="5"/>
  <c r="G4398" i="5"/>
  <c r="G4399" i="5"/>
  <c r="I3269" i="16"/>
  <c r="I4259" i="16"/>
  <c r="G4401" i="5"/>
  <c r="G4402" i="5"/>
  <c r="G4403" i="5"/>
  <c r="G4404" i="5"/>
  <c r="G4405" i="5"/>
  <c r="J1496" i="16"/>
  <c r="G4406" i="5"/>
  <c r="G4407" i="5"/>
  <c r="G4409" i="5"/>
  <c r="I1496" i="16"/>
  <c r="G4411" i="5"/>
  <c r="G4412" i="5"/>
  <c r="G4413" i="5"/>
  <c r="G4415" i="5"/>
  <c r="J1495" i="16"/>
  <c r="G4416" i="5"/>
  <c r="G4417" i="5"/>
  <c r="G4418" i="5"/>
  <c r="G4419" i="5"/>
  <c r="I1495" i="16"/>
  <c r="G4421" i="5"/>
  <c r="G4422" i="5"/>
  <c r="G4423" i="5"/>
  <c r="G4425" i="5"/>
  <c r="G4426" i="5"/>
  <c r="G4427" i="5"/>
  <c r="G4428" i="5"/>
  <c r="G4429" i="5"/>
  <c r="G4430" i="5"/>
  <c r="G4431" i="5"/>
  <c r="G4432" i="5"/>
  <c r="G4433" i="5"/>
  <c r="G4434" i="5"/>
  <c r="E4434" i="5"/>
  <c r="G4436" i="5"/>
  <c r="G4439" i="5"/>
  <c r="G4440" i="5"/>
  <c r="G4441" i="5"/>
  <c r="G4442" i="5"/>
  <c r="G4443" i="5"/>
  <c r="I1809" i="16"/>
  <c r="G4444" i="5"/>
  <c r="G4445" i="5"/>
  <c r="G4446" i="5"/>
  <c r="G4448" i="5"/>
  <c r="E4449" i="5"/>
  <c r="G4449" i="5" s="1"/>
  <c r="G4450" i="5"/>
  <c r="G4453" i="5"/>
  <c r="G4454" i="5"/>
  <c r="G4455" i="5"/>
  <c r="G4457" i="5"/>
  <c r="G4458" i="5"/>
  <c r="G4459" i="5"/>
  <c r="G4460" i="5"/>
  <c r="G4461" i="5"/>
  <c r="J186" i="16"/>
  <c r="G4462" i="5"/>
  <c r="I186" i="16"/>
  <c r="J187" i="16"/>
  <c r="G4463" i="5"/>
  <c r="J3746" i="16"/>
  <c r="G4464" i="5"/>
  <c r="J3287" i="16"/>
  <c r="G4465" i="5"/>
  <c r="G4466" i="5"/>
  <c r="G4467" i="5"/>
  <c r="J4750" i="16"/>
  <c r="G4469" i="5"/>
  <c r="E4469" i="5"/>
  <c r="G4471" i="5"/>
  <c r="G4472" i="5"/>
  <c r="G4473" i="5"/>
  <c r="E4474" i="5"/>
  <c r="G4474" i="5" s="1"/>
  <c r="G4475" i="5"/>
  <c r="J3717" i="16"/>
  <c r="G4476" i="5"/>
  <c r="I187" i="16"/>
  <c r="I3746" i="16"/>
  <c r="I3287" i="16"/>
  <c r="I4750" i="16"/>
  <c r="I3717" i="16"/>
  <c r="G4479" i="5"/>
  <c r="G4480" i="5"/>
  <c r="G4481" i="5"/>
  <c r="G4483" i="5"/>
  <c r="E4483" i="5"/>
  <c r="G4484" i="5"/>
  <c r="G4487" i="5"/>
  <c r="G4488" i="5"/>
  <c r="G4489" i="5"/>
  <c r="G4490" i="5"/>
  <c r="G4491" i="5"/>
  <c r="G4493" i="5"/>
  <c r="G4494" i="5"/>
  <c r="G4495" i="5"/>
  <c r="G4496" i="5"/>
  <c r="G4497" i="5"/>
  <c r="G4498" i="5"/>
  <c r="G4499" i="5"/>
  <c r="G4501" i="5"/>
  <c r="G4502" i="5"/>
  <c r="G4503" i="5"/>
  <c r="G4504" i="5"/>
  <c r="J2176" i="16"/>
  <c r="G4505" i="5"/>
  <c r="I2176" i="16"/>
  <c r="G4506" i="5"/>
  <c r="G4507" i="5"/>
  <c r="G4508" i="5"/>
  <c r="J3491" i="16"/>
  <c r="G4510" i="5"/>
  <c r="I3491" i="16"/>
  <c r="G4511" i="5"/>
  <c r="G4512" i="5"/>
  <c r="G4513" i="5"/>
  <c r="G4514" i="5"/>
  <c r="G4515" i="5"/>
  <c r="G4516" i="5"/>
  <c r="G4517" i="5"/>
  <c r="G4518" i="5"/>
  <c r="G4520" i="5"/>
  <c r="G4521" i="5"/>
  <c r="G4522" i="5"/>
  <c r="G4523" i="5"/>
  <c r="G4525" i="5"/>
  <c r="G4526" i="5"/>
  <c r="G4527" i="5"/>
  <c r="E4528" i="5"/>
  <c r="G4528" i="5" s="1"/>
  <c r="G4529" i="5"/>
  <c r="G4530" i="5"/>
  <c r="G4531" i="5"/>
  <c r="G4533" i="5"/>
  <c r="G4534" i="5"/>
  <c r="G4535" i="5"/>
  <c r="G4536" i="5"/>
  <c r="G4537" i="5"/>
  <c r="E4537" i="5"/>
  <c r="G4539" i="5"/>
  <c r="G4540" i="5"/>
  <c r="G4541" i="5"/>
  <c r="G4542" i="5"/>
  <c r="G4543" i="5"/>
  <c r="G4544" i="5"/>
  <c r="J3738" i="16"/>
  <c r="G4545" i="5"/>
  <c r="J3912" i="16"/>
  <c r="G4546" i="5"/>
  <c r="J943" i="16"/>
  <c r="G4547" i="5"/>
  <c r="G4548" i="5"/>
  <c r="G4549" i="5"/>
  <c r="G4551" i="5"/>
  <c r="I3738" i="16"/>
  <c r="I3912" i="16"/>
  <c r="I943" i="16"/>
  <c r="G4552" i="5"/>
  <c r="G4553" i="5"/>
  <c r="G4554" i="5"/>
  <c r="G4555" i="5"/>
  <c r="E4555" i="5"/>
  <c r="E4556" i="5"/>
  <c r="G4556" i="5" s="1"/>
  <c r="E4557" i="5"/>
  <c r="G4557" i="5" s="1"/>
  <c r="E4558" i="5"/>
  <c r="G4558" i="5" s="1"/>
  <c r="J3852" i="16"/>
  <c r="E4559" i="5"/>
  <c r="E4560" i="5"/>
  <c r="G4560" i="5" s="1"/>
  <c r="E4561" i="5"/>
  <c r="G4561" i="5" s="1"/>
  <c r="E4562" i="5"/>
  <c r="G4562" i="5" s="1"/>
  <c r="E4563" i="5"/>
  <c r="G4563" i="5" s="1"/>
  <c r="I3852" i="16"/>
  <c r="G4564" i="5"/>
  <c r="G4565" i="5"/>
  <c r="G4566" i="5"/>
  <c r="G4567" i="5"/>
  <c r="G4568" i="5"/>
  <c r="G4569" i="5"/>
  <c r="J63" i="16"/>
  <c r="G4570" i="5"/>
  <c r="G4571" i="5"/>
  <c r="G4572" i="5"/>
  <c r="G4573" i="5"/>
  <c r="G4574" i="5"/>
  <c r="G4575" i="5"/>
  <c r="G4576" i="5"/>
  <c r="G4577" i="5"/>
  <c r="G4578" i="5"/>
  <c r="E4579" i="5"/>
  <c r="E4580" i="5"/>
  <c r="I63" i="16"/>
  <c r="I3640" i="16"/>
  <c r="G4581" i="5"/>
  <c r="G4582" i="5"/>
  <c r="G4583" i="5"/>
  <c r="G4584" i="5"/>
  <c r="G4585" i="5"/>
  <c r="J4223" i="16"/>
  <c r="I4223" i="16"/>
  <c r="E4586" i="5"/>
  <c r="G4586" i="5"/>
  <c r="E4587" i="5"/>
  <c r="G4587" i="5" s="1"/>
  <c r="E4588" i="5"/>
  <c r="G4589" i="5"/>
  <c r="E4589" i="5"/>
  <c r="G4590" i="5"/>
  <c r="E4590" i="5"/>
  <c r="G4591" i="5"/>
  <c r="G4592" i="5"/>
  <c r="G4593" i="5"/>
  <c r="J3285" i="16"/>
  <c r="G4594" i="5"/>
  <c r="I3285" i="16"/>
  <c r="J3343" i="16"/>
  <c r="G4595" i="5"/>
  <c r="G4596" i="5"/>
  <c r="G4597" i="5"/>
  <c r="G4598" i="5"/>
  <c r="G4599" i="5"/>
  <c r="I3343" i="16"/>
  <c r="G4600" i="5"/>
  <c r="G4601" i="5"/>
  <c r="G4602" i="5"/>
  <c r="G4603" i="5"/>
  <c r="G4604" i="5"/>
  <c r="E4605" i="5"/>
  <c r="G4606" i="5"/>
  <c r="G4607" i="5"/>
  <c r="G4608" i="5"/>
  <c r="G4609" i="5"/>
  <c r="G4610" i="5"/>
  <c r="G4611" i="5"/>
  <c r="G4612" i="5"/>
  <c r="G4613" i="5"/>
  <c r="G4614" i="5"/>
  <c r="G4615" i="5"/>
  <c r="G4616" i="5"/>
  <c r="G4617" i="5"/>
  <c r="G4618" i="5"/>
  <c r="G4619" i="5"/>
  <c r="J3488" i="16"/>
  <c r="G4621" i="5"/>
  <c r="E4622" i="5"/>
  <c r="E4623" i="5"/>
  <c r="I3488" i="16"/>
  <c r="G4624" i="5"/>
  <c r="G4625" i="5"/>
  <c r="G4626" i="5"/>
  <c r="G4627" i="5"/>
  <c r="G4628" i="5"/>
  <c r="J3654" i="16"/>
  <c r="G4629" i="5"/>
  <c r="I3654" i="16"/>
  <c r="G4631" i="5"/>
  <c r="G4632" i="5"/>
  <c r="G4633" i="5"/>
  <c r="G4634" i="5"/>
  <c r="G4635" i="5"/>
  <c r="G4636" i="5"/>
  <c r="J3021" i="16"/>
  <c r="I3021" i="16"/>
  <c r="G4637" i="5"/>
  <c r="G4639" i="5"/>
  <c r="G4640" i="5"/>
  <c r="G4641" i="5"/>
  <c r="G4642" i="5"/>
  <c r="G4643" i="5"/>
  <c r="J2920" i="16"/>
  <c r="J2172" i="16"/>
  <c r="G4645" i="5"/>
  <c r="G4646" i="5"/>
  <c r="G4647" i="5"/>
  <c r="I2920" i="16"/>
  <c r="I2172" i="16"/>
  <c r="G4648" i="5"/>
  <c r="G4649" i="5"/>
  <c r="G4650" i="5"/>
  <c r="G4652" i="5"/>
  <c r="G4653" i="5"/>
  <c r="G4654" i="5"/>
  <c r="G4656" i="5"/>
  <c r="G4657" i="5"/>
  <c r="G4658" i="5"/>
  <c r="G4661" i="5"/>
  <c r="G4662" i="5"/>
  <c r="G4663" i="5"/>
  <c r="G4664" i="5"/>
  <c r="G4665" i="5"/>
  <c r="G4666" i="5"/>
  <c r="G4667" i="5"/>
  <c r="G4668" i="5"/>
  <c r="G4669" i="5"/>
  <c r="J3022" i="16"/>
  <c r="I3022" i="16"/>
  <c r="G4671" i="5"/>
  <c r="G4673" i="5"/>
  <c r="G4674" i="5"/>
  <c r="G4675" i="5"/>
  <c r="G4678" i="5"/>
  <c r="G4679" i="5"/>
  <c r="G4680" i="5"/>
  <c r="G4681" i="5"/>
  <c r="G4682" i="5"/>
  <c r="G4683" i="5"/>
  <c r="G4684" i="5"/>
  <c r="J2919" i="16"/>
  <c r="G4685" i="5"/>
  <c r="G4689" i="5"/>
  <c r="I2919" i="16"/>
  <c r="G4690" i="5"/>
  <c r="G4691" i="5"/>
  <c r="G4692" i="5"/>
  <c r="G4693" i="5"/>
  <c r="G4694" i="5"/>
  <c r="G4695" i="5"/>
  <c r="G4697" i="5"/>
  <c r="E4697" i="5"/>
  <c r="G4698" i="5"/>
  <c r="G4699" i="5"/>
  <c r="G4700" i="5"/>
  <c r="G4701" i="5"/>
  <c r="G4702" i="5"/>
  <c r="G4703" i="5"/>
  <c r="G4704" i="5"/>
  <c r="G4705" i="5"/>
  <c r="H4705" i="5" s="1"/>
  <c r="G4706" i="5"/>
  <c r="G4707" i="5"/>
  <c r="G4708" i="5"/>
  <c r="J140" i="16"/>
  <c r="I140" i="16"/>
  <c r="G4710" i="5"/>
  <c r="G4711" i="5"/>
  <c r="G4712" i="5"/>
  <c r="G4713" i="5"/>
  <c r="G4714" i="5"/>
  <c r="G4715" i="5"/>
  <c r="E4716" i="5"/>
  <c r="E4717" i="5"/>
  <c r="G4718" i="5"/>
  <c r="G4719" i="5"/>
  <c r="G4720" i="5"/>
  <c r="G4721" i="5"/>
  <c r="G4722" i="5"/>
  <c r="J945" i="16"/>
  <c r="I945" i="16"/>
  <c r="E4723" i="5"/>
  <c r="G4723" i="5" s="1"/>
  <c r="H4723" i="5" s="1"/>
  <c r="G4724" i="5"/>
  <c r="G4725" i="5"/>
  <c r="G4726" i="5"/>
  <c r="G4727" i="5"/>
  <c r="H4727" i="5" s="1"/>
  <c r="G4728" i="5"/>
  <c r="G4729" i="5"/>
  <c r="G4730" i="5"/>
  <c r="J3968" i="16"/>
  <c r="I3968" i="16"/>
  <c r="G4731" i="5"/>
  <c r="H4731" i="5" s="1"/>
  <c r="G4732" i="5"/>
  <c r="G4733" i="5"/>
  <c r="G4734" i="5"/>
  <c r="G4735" i="5"/>
  <c r="H4735" i="5" s="1"/>
  <c r="G4736" i="5"/>
  <c r="G4737" i="5"/>
  <c r="G4738" i="5"/>
  <c r="J1928" i="16"/>
  <c r="I1928" i="16"/>
  <c r="G4739" i="5"/>
  <c r="H4739" i="5" s="1"/>
  <c r="G4740" i="5"/>
  <c r="G4741" i="5"/>
  <c r="G4742" i="5"/>
  <c r="J2889" i="16"/>
  <c r="I2889" i="16"/>
  <c r="G4744" i="5"/>
  <c r="G4745" i="5"/>
  <c r="G4746" i="5"/>
  <c r="J3967" i="16"/>
  <c r="G4747" i="5"/>
  <c r="H4747" i="5" s="1"/>
  <c r="I3967" i="16"/>
  <c r="G4748" i="5"/>
  <c r="G4749" i="5"/>
  <c r="G4750" i="5"/>
  <c r="J2918" i="16"/>
  <c r="G4751" i="5"/>
  <c r="H4751" i="5" s="1"/>
  <c r="I2918" i="16"/>
  <c r="G4752" i="5"/>
  <c r="G4753" i="5"/>
  <c r="G4754" i="5"/>
  <c r="G4755" i="5"/>
  <c r="H4755" i="5" s="1"/>
  <c r="G4756" i="5"/>
  <c r="G4757" i="5"/>
  <c r="G4758" i="5"/>
  <c r="G4760" i="5"/>
  <c r="G4763" i="5"/>
  <c r="G4764" i="5"/>
  <c r="G4765" i="5"/>
  <c r="E4766" i="5"/>
  <c r="G4767" i="5"/>
  <c r="G4768" i="5"/>
  <c r="G4769" i="5"/>
  <c r="G4770" i="5"/>
  <c r="G4772" i="5"/>
  <c r="G4773" i="5"/>
  <c r="G4774" i="5"/>
  <c r="E4775" i="5"/>
  <c r="G4775" i="5" s="1"/>
  <c r="G4776" i="5"/>
  <c r="J2210" i="16"/>
  <c r="G4777" i="5"/>
  <c r="E4777" i="5"/>
  <c r="E4778" i="5"/>
  <c r="G4778" i="5" s="1"/>
  <c r="G4779" i="5"/>
  <c r="G4780" i="5"/>
  <c r="I2210" i="16"/>
  <c r="G4782" i="5"/>
  <c r="G4783" i="5"/>
  <c r="G4784" i="5"/>
  <c r="E4785" i="5"/>
  <c r="G4785" i="5"/>
  <c r="G4786" i="5"/>
  <c r="E4787" i="5"/>
  <c r="G4787" i="5" s="1"/>
  <c r="E4788" i="5"/>
  <c r="G4788" i="5" s="1"/>
  <c r="G4789" i="5"/>
  <c r="G4790" i="5"/>
  <c r="G4792" i="5"/>
  <c r="G4793" i="5"/>
  <c r="G4794" i="5"/>
  <c r="G4797" i="5"/>
  <c r="G4798" i="5"/>
  <c r="G4799" i="5"/>
  <c r="G4800" i="5"/>
  <c r="G4802" i="5"/>
  <c r="G4803" i="5"/>
  <c r="G4804" i="5"/>
  <c r="G4805" i="5"/>
  <c r="G4807" i="5"/>
  <c r="G4808" i="5"/>
  <c r="G4809" i="5"/>
  <c r="G4811" i="5"/>
  <c r="G4814" i="5"/>
  <c r="G4816" i="5"/>
  <c r="G4817" i="5"/>
  <c r="G4819" i="5"/>
  <c r="G4823" i="5"/>
  <c r="G4824" i="5"/>
  <c r="G4825" i="5"/>
  <c r="G4831" i="5"/>
  <c r="G4832" i="5"/>
  <c r="G4833" i="5"/>
  <c r="G4834" i="5"/>
  <c r="G4835" i="5"/>
  <c r="G4839" i="5"/>
  <c r="G4840" i="5"/>
  <c r="G4841" i="5"/>
  <c r="G4843" i="5"/>
  <c r="G4847" i="5"/>
  <c r="G4848" i="5"/>
  <c r="G4849" i="5"/>
  <c r="G4851" i="5"/>
  <c r="G4855" i="5"/>
  <c r="G4856" i="5"/>
  <c r="G4857" i="5"/>
  <c r="G4859" i="5"/>
  <c r="G4863" i="5"/>
  <c r="G4864" i="5"/>
  <c r="G4865" i="5"/>
  <c r="G4866" i="5"/>
  <c r="G4867" i="5"/>
  <c r="G4871" i="5"/>
  <c r="G4872" i="5"/>
  <c r="G4873" i="5"/>
  <c r="G4876" i="5"/>
  <c r="G4877" i="5"/>
  <c r="G4878" i="5"/>
  <c r="G4879" i="5"/>
  <c r="G4881" i="5"/>
  <c r="G4882" i="5"/>
  <c r="G4883" i="5"/>
  <c r="G4885" i="5"/>
  <c r="G4886" i="5"/>
  <c r="G4887" i="5"/>
  <c r="G4890" i="5"/>
  <c r="G4891" i="5"/>
  <c r="G4892" i="5"/>
  <c r="G4895" i="5"/>
  <c r="G4896" i="5"/>
  <c r="G4897" i="5"/>
  <c r="G4898" i="5"/>
  <c r="G4899" i="5"/>
  <c r="G4900" i="5"/>
  <c r="G4902" i="5"/>
  <c r="G4903" i="5"/>
  <c r="G4904" i="5"/>
  <c r="G4905" i="5"/>
  <c r="G4906" i="5"/>
  <c r="G4907" i="5"/>
  <c r="G4909" i="5"/>
  <c r="G4910" i="5"/>
  <c r="G4911" i="5"/>
  <c r="G4912" i="5"/>
  <c r="G4913" i="5"/>
  <c r="G4918" i="5"/>
  <c r="G4919" i="5"/>
  <c r="G4920" i="5"/>
  <c r="G4921" i="5"/>
  <c r="G4925" i="5"/>
  <c r="G4926" i="5"/>
  <c r="G4927" i="5"/>
  <c r="G4930" i="5"/>
  <c r="G4931" i="5"/>
  <c r="G4932" i="5"/>
  <c r="G4935" i="5"/>
  <c r="G4936" i="5"/>
  <c r="G4937" i="5"/>
  <c r="G4938" i="5"/>
  <c r="G4939" i="5"/>
  <c r="J131" i="16"/>
  <c r="I131" i="16"/>
  <c r="J4122" i="16"/>
  <c r="G4941" i="5"/>
  <c r="G4942" i="5"/>
  <c r="I4122" i="16"/>
  <c r="G4944" i="5"/>
  <c r="G4945" i="5"/>
  <c r="G4946" i="5"/>
  <c r="G4947" i="5"/>
  <c r="E4949" i="5"/>
  <c r="G4949" i="5" s="1"/>
  <c r="E4950" i="5"/>
  <c r="G4950" i="5" s="1"/>
  <c r="G4951" i="5"/>
  <c r="G4952" i="5"/>
  <c r="G4953" i="5"/>
  <c r="G4954" i="5"/>
  <c r="E4956" i="5"/>
  <c r="G4956" i="5" s="1"/>
  <c r="E4957" i="5"/>
  <c r="G4957" i="5" s="1"/>
  <c r="G4958" i="5"/>
  <c r="G4959" i="5"/>
  <c r="G4960" i="5"/>
  <c r="G4961" i="5"/>
  <c r="G4963" i="5"/>
  <c r="G4964" i="5"/>
  <c r="G4965" i="5"/>
  <c r="J3539" i="16"/>
  <c r="I3539" i="16"/>
  <c r="G4966" i="5"/>
  <c r="E4967" i="5"/>
  <c r="G4967" i="5" s="1"/>
  <c r="E4968" i="5"/>
  <c r="G4968" i="5" s="1"/>
  <c r="G4969" i="5"/>
  <c r="G4970" i="5"/>
  <c r="G4971" i="5"/>
  <c r="J3513" i="16"/>
  <c r="G4972" i="5"/>
  <c r="I3513" i="16"/>
  <c r="E4973" i="5"/>
  <c r="G4973" i="5" s="1"/>
  <c r="E4974" i="5"/>
  <c r="G4974" i="5" s="1"/>
  <c r="G4975" i="5"/>
  <c r="G4976" i="5"/>
  <c r="G4977" i="5"/>
  <c r="J3515" i="16"/>
  <c r="I3515" i="16"/>
  <c r="E4979" i="5"/>
  <c r="E4980" i="5"/>
  <c r="G4980" i="5" s="1"/>
  <c r="G4981" i="5"/>
  <c r="G4982" i="5"/>
  <c r="G4983" i="5"/>
  <c r="G4985" i="5"/>
  <c r="E4985" i="5"/>
  <c r="E4986" i="5"/>
  <c r="G4986" i="5" s="1"/>
  <c r="G4987" i="5"/>
  <c r="G4988" i="5"/>
  <c r="G4989" i="5"/>
  <c r="E4990" i="5"/>
  <c r="G4990" i="5" s="1"/>
  <c r="G4991" i="5"/>
  <c r="E4991" i="5"/>
  <c r="E4992" i="5"/>
  <c r="G4993" i="5"/>
  <c r="E4993" i="5"/>
  <c r="G4994" i="5"/>
  <c r="G4995" i="5"/>
  <c r="G4996" i="5"/>
  <c r="G4997" i="5"/>
  <c r="G4998" i="5"/>
  <c r="G4999" i="5"/>
  <c r="G5000" i="5"/>
  <c r="G5001" i="5"/>
  <c r="G5003" i="5"/>
  <c r="G5004" i="5"/>
  <c r="G5007" i="5"/>
  <c r="G5008" i="5"/>
  <c r="G5009" i="5"/>
  <c r="G5010" i="5"/>
  <c r="G5011" i="5"/>
  <c r="G5012" i="5"/>
  <c r="G5013" i="5"/>
  <c r="G5014" i="5"/>
  <c r="G5015" i="5"/>
  <c r="G5017" i="5"/>
  <c r="G5018" i="5"/>
  <c r="G5019" i="5"/>
  <c r="J4520" i="16"/>
  <c r="I4520" i="16"/>
  <c r="G5020" i="5"/>
  <c r="G5021" i="5"/>
  <c r="G5022" i="5"/>
  <c r="G5023" i="5"/>
  <c r="G5024" i="5"/>
  <c r="G5025" i="5"/>
  <c r="J4521" i="16"/>
  <c r="I4521" i="16"/>
  <c r="G5028" i="5"/>
  <c r="G5029" i="5"/>
  <c r="G5030" i="5"/>
  <c r="G5031" i="5"/>
  <c r="G5032" i="5"/>
  <c r="G5033" i="5"/>
  <c r="G5034" i="5"/>
  <c r="G5035" i="5"/>
  <c r="G5036" i="5"/>
  <c r="G5037" i="5"/>
  <c r="G5038" i="5"/>
  <c r="G5039" i="5"/>
  <c r="G5040" i="5"/>
  <c r="E5042" i="5"/>
  <c r="G5044" i="5"/>
  <c r="G5045" i="5"/>
  <c r="G5046" i="5"/>
  <c r="G5048" i="5"/>
  <c r="G5050" i="5"/>
  <c r="G5051" i="5"/>
  <c r="G5052" i="5"/>
  <c r="G5053" i="5"/>
  <c r="G5055" i="5"/>
  <c r="G5056" i="5"/>
  <c r="G5058" i="5"/>
  <c r="E5058" i="5"/>
  <c r="G5059" i="5"/>
  <c r="G5060" i="5"/>
  <c r="G5061" i="5"/>
  <c r="G5063" i="5"/>
  <c r="G5064" i="5"/>
  <c r="G5065" i="5"/>
  <c r="G5066" i="5"/>
  <c r="G5067" i="5"/>
  <c r="G5069" i="5"/>
  <c r="G5070" i="5"/>
  <c r="G5071" i="5"/>
  <c r="G5072" i="5"/>
  <c r="G5073" i="5"/>
  <c r="G5075" i="5"/>
  <c r="G5076" i="5"/>
  <c r="G5077" i="5"/>
  <c r="G5078" i="5"/>
  <c r="G5079" i="5"/>
  <c r="J3669" i="16"/>
  <c r="G5080" i="5"/>
  <c r="I3669" i="16"/>
  <c r="G5081" i="5"/>
  <c r="G5082" i="5"/>
  <c r="G5083" i="5"/>
  <c r="G5084" i="5"/>
  <c r="G5085" i="5"/>
  <c r="J2662" i="16"/>
  <c r="I2662" i="16"/>
  <c r="G5086" i="5"/>
  <c r="J2553" i="16"/>
  <c r="G5089" i="5"/>
  <c r="I2553" i="16"/>
  <c r="G5090" i="5"/>
  <c r="G5091" i="5"/>
  <c r="G5092" i="5"/>
  <c r="E5093" i="5"/>
  <c r="J987" i="16"/>
  <c r="E5094" i="5"/>
  <c r="G5094" i="5" s="1"/>
  <c r="E5095" i="5"/>
  <c r="G5095" i="5" s="1"/>
  <c r="E5096" i="5"/>
  <c r="G5096" i="5" s="1"/>
  <c r="I987" i="16"/>
  <c r="G5097" i="5"/>
  <c r="G5098" i="5"/>
  <c r="G5099" i="5"/>
  <c r="E5100" i="5"/>
  <c r="G5100" i="5" s="1"/>
  <c r="E5101" i="5"/>
  <c r="G5101" i="5" s="1"/>
  <c r="E5102" i="5"/>
  <c r="G5102" i="5" s="1"/>
  <c r="E5103" i="5"/>
  <c r="G5103" i="5" s="1"/>
  <c r="G5108" i="5"/>
  <c r="G5109" i="5"/>
  <c r="G5110" i="5"/>
  <c r="G5112" i="5"/>
  <c r="G5114" i="5"/>
  <c r="G5115" i="5"/>
  <c r="G5116" i="5"/>
  <c r="G5117" i="5"/>
  <c r="E5117" i="5"/>
  <c r="G5119" i="5"/>
  <c r="E5119" i="5"/>
  <c r="E5120" i="5"/>
  <c r="G5120" i="5" s="1"/>
  <c r="G5121" i="5"/>
  <c r="E5121" i="5"/>
  <c r="G5122" i="5"/>
  <c r="G5123" i="5"/>
  <c r="G5124" i="5"/>
  <c r="E5125" i="5"/>
  <c r="G5125" i="5" s="1"/>
  <c r="E5127" i="5"/>
  <c r="G5127" i="5" s="1"/>
  <c r="E5128" i="5"/>
  <c r="G5128" i="5" s="1"/>
  <c r="E5129" i="5"/>
  <c r="G5129" i="5" s="1"/>
  <c r="G5130" i="5"/>
  <c r="G5131" i="5"/>
  <c r="G5132" i="5"/>
  <c r="E5133" i="5"/>
  <c r="E5135" i="5"/>
  <c r="G5135" i="5" s="1"/>
  <c r="E5136" i="5"/>
  <c r="G5136" i="5" s="1"/>
  <c r="E5137" i="5"/>
  <c r="G5137" i="5" s="1"/>
  <c r="G5138" i="5"/>
  <c r="G5139" i="5"/>
  <c r="G5140" i="5"/>
  <c r="E5141" i="5"/>
  <c r="E5143" i="5"/>
  <c r="G5143" i="5" s="1"/>
  <c r="E5144" i="5"/>
  <c r="G5144" i="5" s="1"/>
  <c r="E5145" i="5"/>
  <c r="G5145" i="5" s="1"/>
  <c r="G5146" i="5"/>
  <c r="G5147" i="5"/>
  <c r="G5148" i="5"/>
  <c r="G5150" i="5"/>
  <c r="G5152" i="5"/>
  <c r="G5153" i="5"/>
  <c r="G5154" i="5"/>
  <c r="E5155" i="5"/>
  <c r="E5157" i="5"/>
  <c r="G5157" i="5" s="1"/>
  <c r="E5158" i="5"/>
  <c r="G5158" i="5" s="1"/>
  <c r="G5159" i="5"/>
  <c r="E5159" i="5"/>
  <c r="G5160" i="5"/>
  <c r="G5161" i="5"/>
  <c r="G5162" i="5"/>
  <c r="G5164" i="5"/>
  <c r="E5164" i="5"/>
  <c r="G5165" i="5"/>
  <c r="E5165" i="5"/>
  <c r="G5166" i="5"/>
  <c r="G5167" i="5"/>
  <c r="G5168" i="5"/>
  <c r="G5173" i="5"/>
  <c r="G5174" i="5"/>
  <c r="G5175" i="5"/>
  <c r="G5176" i="5"/>
  <c r="E5177" i="5"/>
  <c r="E5179" i="5"/>
  <c r="G5179" i="5" s="1"/>
  <c r="E5180" i="5"/>
  <c r="E5181" i="5"/>
  <c r="G5181" i="5" s="1"/>
  <c r="G5182" i="5"/>
  <c r="G5183" i="5"/>
  <c r="G5184" i="5"/>
  <c r="G5185" i="5"/>
  <c r="E5185" i="5"/>
  <c r="G5187" i="5"/>
  <c r="E5187" i="5"/>
  <c r="E5188" i="5"/>
  <c r="E5189" i="5"/>
  <c r="G5189" i="5" s="1"/>
  <c r="G5190" i="5"/>
  <c r="G5191" i="5"/>
  <c r="G5192" i="5"/>
  <c r="G5193" i="5"/>
  <c r="E5193" i="5"/>
  <c r="G5194" i="5"/>
  <c r="E5194" i="5"/>
  <c r="G5195" i="5"/>
  <c r="E5195" i="5"/>
  <c r="G5196" i="5"/>
  <c r="E5196" i="5"/>
  <c r="G5197" i="5"/>
  <c r="E5197" i="5"/>
  <c r="G5198" i="5"/>
  <c r="E5198" i="5"/>
  <c r="J4474" i="16"/>
  <c r="G5199" i="5"/>
  <c r="E5200" i="5"/>
  <c r="E5201" i="5"/>
  <c r="E5202" i="5"/>
  <c r="I4474" i="16"/>
  <c r="G5203" i="5"/>
  <c r="G5204" i="5"/>
  <c r="G5205" i="5"/>
  <c r="G5206" i="5"/>
  <c r="G5207" i="5"/>
  <c r="E5208" i="5"/>
  <c r="E5209" i="5"/>
  <c r="E5210" i="5"/>
  <c r="G5210" i="5" s="1"/>
  <c r="E5211" i="5"/>
  <c r="G5211" i="5" s="1"/>
  <c r="E5212" i="5"/>
  <c r="E5213" i="5"/>
  <c r="J4480" i="16"/>
  <c r="G5214" i="5"/>
  <c r="E5215" i="5"/>
  <c r="E5216" i="5"/>
  <c r="E5217" i="5"/>
  <c r="G5219" i="5"/>
  <c r="I4480" i="16"/>
  <c r="G5220" i="5"/>
  <c r="G5221" i="5"/>
  <c r="G5222" i="5"/>
  <c r="G5225" i="5"/>
  <c r="G5227" i="5"/>
  <c r="G5228" i="5"/>
  <c r="G5229" i="5"/>
  <c r="G5234" i="5"/>
  <c r="G5235" i="5"/>
  <c r="G5236" i="5"/>
  <c r="G5238" i="5"/>
  <c r="G5240" i="5"/>
  <c r="G5241" i="5"/>
  <c r="G5242" i="5"/>
  <c r="G5244" i="5"/>
  <c r="G5246" i="5"/>
  <c r="G5247" i="5"/>
  <c r="G5248" i="5"/>
  <c r="J1857" i="16"/>
  <c r="G5249" i="5"/>
  <c r="I1857" i="16"/>
  <c r="G5250" i="5"/>
  <c r="G5253" i="5"/>
  <c r="G5254" i="5"/>
  <c r="G5255" i="5"/>
  <c r="E5256" i="5"/>
  <c r="G5256" i="5"/>
  <c r="E5257" i="5"/>
  <c r="G5257" i="5" s="1"/>
  <c r="E5258" i="5"/>
  <c r="G5258" i="5" s="1"/>
  <c r="E5259" i="5"/>
  <c r="G5260" i="5"/>
  <c r="E5260" i="5"/>
  <c r="G5261" i="5"/>
  <c r="E5261" i="5"/>
  <c r="E5262" i="5"/>
  <c r="E5263" i="5"/>
  <c r="E5264" i="5"/>
  <c r="G5265" i="5"/>
  <c r="G5266" i="5"/>
  <c r="G5267" i="5"/>
  <c r="G5268" i="5"/>
  <c r="G5269" i="5"/>
  <c r="G5270" i="5"/>
  <c r="G5271" i="5"/>
  <c r="G5273" i="5"/>
  <c r="G5274" i="5"/>
  <c r="G5275" i="5"/>
  <c r="J1858" i="16"/>
  <c r="I1858" i="16"/>
  <c r="G5277" i="5"/>
  <c r="G5278" i="5"/>
  <c r="G5279" i="5"/>
  <c r="G5280" i="5"/>
  <c r="G5281" i="5"/>
  <c r="J3999" i="16"/>
  <c r="G5282" i="5"/>
  <c r="I3999" i="16"/>
  <c r="G5284" i="5"/>
  <c r="G5286" i="5"/>
  <c r="G5287" i="5"/>
  <c r="G5288" i="5"/>
  <c r="J4691" i="16"/>
  <c r="G5289" i="5"/>
  <c r="I4691" i="16"/>
  <c r="G5290" i="5"/>
  <c r="G5291" i="5"/>
  <c r="G5292" i="5"/>
  <c r="G5293" i="5"/>
  <c r="G5294" i="5"/>
  <c r="J4689" i="16"/>
  <c r="I4689" i="16"/>
  <c r="G5295" i="5"/>
  <c r="G5296" i="5"/>
  <c r="G5297" i="5"/>
  <c r="G5298" i="5"/>
  <c r="G5299" i="5"/>
  <c r="G5300" i="5"/>
  <c r="G5302" i="5"/>
  <c r="G5303" i="5"/>
  <c r="G5304" i="5"/>
  <c r="G5305" i="5"/>
  <c r="G5306" i="5"/>
  <c r="G5308" i="5"/>
  <c r="G5310" i="5"/>
  <c r="G5311" i="5"/>
  <c r="G5312" i="5"/>
  <c r="G5314" i="5"/>
  <c r="G5316" i="5"/>
  <c r="G5317" i="5"/>
  <c r="G5318" i="5"/>
  <c r="G5320" i="5"/>
  <c r="G5321" i="5"/>
  <c r="G5322" i="5"/>
  <c r="G5323" i="5"/>
  <c r="G5324" i="5"/>
  <c r="G5326" i="5"/>
  <c r="G5327" i="5"/>
  <c r="G5328" i="5"/>
  <c r="G5329" i="5"/>
  <c r="G5330" i="5"/>
  <c r="G5333" i="5"/>
  <c r="J1256" i="16"/>
  <c r="I1256" i="16"/>
  <c r="G5335" i="5"/>
  <c r="G5336" i="5"/>
  <c r="G5337" i="5"/>
  <c r="G5338" i="5"/>
  <c r="G5340" i="5"/>
  <c r="G5342" i="5"/>
  <c r="G5343" i="5"/>
  <c r="G5344" i="5"/>
  <c r="G5345" i="5"/>
  <c r="G5347" i="5"/>
  <c r="G5349" i="5"/>
  <c r="G5350" i="5"/>
  <c r="G5351" i="5"/>
  <c r="G5353" i="5"/>
  <c r="G5355" i="5"/>
  <c r="G5356" i="5"/>
  <c r="G5357" i="5"/>
  <c r="G5358" i="5"/>
  <c r="G5359" i="5"/>
  <c r="G5360" i="5"/>
  <c r="G5361" i="5"/>
  <c r="G5362" i="5"/>
  <c r="G5363" i="5"/>
  <c r="E5364" i="5"/>
  <c r="G5364" i="5"/>
  <c r="G5365" i="5"/>
  <c r="E5365" i="5"/>
  <c r="G5368" i="5"/>
  <c r="G5369" i="5"/>
  <c r="G5370" i="5"/>
  <c r="G5372" i="5"/>
  <c r="G5374" i="5"/>
  <c r="G5375" i="5"/>
  <c r="G5376" i="5"/>
  <c r="G5378" i="5"/>
  <c r="G5380" i="5"/>
  <c r="G5381" i="5"/>
  <c r="G5382" i="5"/>
  <c r="G5386" i="5"/>
  <c r="G5388" i="5"/>
  <c r="G5389" i="5"/>
  <c r="G5390" i="5"/>
  <c r="G5391" i="5"/>
  <c r="J2639" i="16"/>
  <c r="G5393" i="5"/>
  <c r="G5394" i="5"/>
  <c r="I2639" i="16"/>
  <c r="G5396" i="5"/>
  <c r="G5397" i="5"/>
  <c r="G5398" i="5"/>
  <c r="G5399" i="5"/>
  <c r="G5400" i="5"/>
  <c r="J2641" i="16"/>
  <c r="G5402" i="5"/>
  <c r="G5403" i="5"/>
  <c r="I2641" i="16"/>
  <c r="G5404" i="5"/>
  <c r="G5405" i="5"/>
  <c r="G5406" i="5"/>
  <c r="J3560" i="16"/>
  <c r="I3560" i="16"/>
  <c r="G5407" i="5"/>
  <c r="G5408" i="5"/>
  <c r="E5409" i="5"/>
  <c r="G5409" i="5" s="1"/>
  <c r="G5410" i="5"/>
  <c r="E5410" i="5"/>
  <c r="G5411" i="5"/>
  <c r="G5412" i="5"/>
  <c r="G5413" i="5"/>
  <c r="E5414" i="5"/>
  <c r="G5414" i="5"/>
  <c r="E5415" i="5"/>
  <c r="G5416" i="5"/>
  <c r="E5416" i="5"/>
  <c r="G5417" i="5"/>
  <c r="E5417" i="5"/>
  <c r="E5418" i="5"/>
  <c r="E5419" i="5"/>
  <c r="E5420" i="5"/>
  <c r="G5421" i="5"/>
  <c r="G5422" i="5"/>
  <c r="G5423" i="5"/>
  <c r="E5424" i="5"/>
  <c r="G5424" i="5" s="1"/>
  <c r="E5425" i="5"/>
  <c r="E5426" i="5"/>
  <c r="E5427" i="5"/>
  <c r="E5428" i="5"/>
  <c r="G5428" i="5" s="1"/>
  <c r="E5429" i="5"/>
  <c r="G5429" i="5" s="1"/>
  <c r="E5430" i="5"/>
  <c r="G5433" i="5"/>
  <c r="G5434" i="5"/>
  <c r="G5435" i="5"/>
  <c r="G5439" i="5"/>
  <c r="G5440" i="5"/>
  <c r="G5441" i="5"/>
  <c r="G5445" i="5"/>
  <c r="G5446" i="5"/>
  <c r="G5447" i="5"/>
  <c r="G5449" i="5"/>
  <c r="G5452" i="5"/>
  <c r="G5453" i="5"/>
  <c r="G5454" i="5"/>
  <c r="J727" i="16"/>
  <c r="G5455" i="5"/>
  <c r="I727" i="16"/>
  <c r="G5456" i="5"/>
  <c r="G5457" i="5"/>
  <c r="G5458" i="5"/>
  <c r="G5459" i="5"/>
  <c r="G5460" i="5"/>
  <c r="G5462" i="5"/>
  <c r="G5463" i="5"/>
  <c r="G5464" i="5"/>
  <c r="G5465" i="5"/>
  <c r="G5466" i="5"/>
  <c r="G5467" i="5"/>
  <c r="G5468" i="5"/>
  <c r="G5470" i="5"/>
  <c r="G5471" i="5"/>
  <c r="G5472" i="5"/>
  <c r="G5473" i="5"/>
  <c r="H5473" i="5" s="1"/>
  <c r="G5474" i="5"/>
  <c r="G5475" i="5"/>
  <c r="G5476" i="5"/>
  <c r="G5480" i="5"/>
  <c r="G5481" i="5"/>
  <c r="G5482" i="5"/>
  <c r="G5483" i="5"/>
  <c r="J3154" i="16"/>
  <c r="I3154" i="16"/>
  <c r="G5484" i="5"/>
  <c r="H5484" i="5" s="1"/>
  <c r="G5485" i="5"/>
  <c r="G5486" i="5"/>
  <c r="G5487" i="5"/>
  <c r="E5488" i="5"/>
  <c r="G5488" i="5" s="1"/>
  <c r="H5488" i="5" s="1"/>
  <c r="G5489" i="5"/>
  <c r="G5490" i="5"/>
  <c r="G5491" i="5"/>
  <c r="G5492" i="5"/>
  <c r="G5493" i="5"/>
  <c r="G5494" i="5"/>
  <c r="H5494" i="5" s="1"/>
  <c r="E5494" i="5"/>
  <c r="G5495" i="5"/>
  <c r="G5496" i="5"/>
  <c r="G5497" i="5"/>
  <c r="G5498" i="5"/>
  <c r="G5499" i="5"/>
  <c r="E5500" i="5"/>
  <c r="G5500" i="5" s="1"/>
  <c r="H5500" i="5" s="1"/>
  <c r="G5501" i="5"/>
  <c r="G5502" i="5"/>
  <c r="G5503" i="5"/>
  <c r="G5504" i="5"/>
  <c r="G5505" i="5"/>
  <c r="G5506" i="5"/>
  <c r="H5506" i="5" s="1"/>
  <c r="E5506" i="5"/>
  <c r="G5507" i="5"/>
  <c r="G5508" i="5"/>
  <c r="G5509" i="5"/>
  <c r="G5510" i="5"/>
  <c r="G5511" i="5"/>
  <c r="E5512" i="5"/>
  <c r="G5512" i="5" s="1"/>
  <c r="H5512" i="5" s="1"/>
  <c r="G5513" i="5"/>
  <c r="G5514" i="5"/>
  <c r="G5515" i="5"/>
  <c r="G5516" i="5"/>
  <c r="G5517" i="5"/>
  <c r="G5518" i="5"/>
  <c r="H5518" i="5" s="1"/>
  <c r="E5518" i="5"/>
  <c r="G5519" i="5"/>
  <c r="G5520" i="5"/>
  <c r="G5521" i="5"/>
  <c r="G5522" i="5"/>
  <c r="G5523" i="5"/>
  <c r="E5524" i="5"/>
  <c r="G5524" i="5" s="1"/>
  <c r="H5524" i="5" s="1"/>
  <c r="G5525" i="5"/>
  <c r="G5526" i="5"/>
  <c r="G5527" i="5"/>
  <c r="G5528" i="5"/>
  <c r="G5529" i="5"/>
  <c r="G5530" i="5"/>
  <c r="H5530" i="5" s="1"/>
  <c r="E5530" i="5"/>
  <c r="G5531" i="5"/>
  <c r="G5532" i="5"/>
  <c r="G5533" i="5"/>
  <c r="G5534" i="5"/>
  <c r="G5535" i="5"/>
  <c r="E5536" i="5"/>
  <c r="G5536" i="5" s="1"/>
  <c r="H5536" i="5" s="1"/>
  <c r="G5537" i="5"/>
  <c r="G5538" i="5"/>
  <c r="G5539" i="5"/>
  <c r="G5540" i="5"/>
  <c r="G5541" i="5"/>
  <c r="G5542" i="5"/>
  <c r="H5542" i="5" s="1"/>
  <c r="E5542" i="5"/>
  <c r="G5543" i="5"/>
  <c r="G5544" i="5"/>
  <c r="G5545" i="5"/>
  <c r="G5546" i="5"/>
  <c r="G5547" i="5"/>
  <c r="E5548" i="5"/>
  <c r="G5548" i="5" s="1"/>
  <c r="H5548" i="5" s="1"/>
  <c r="G5549" i="5"/>
  <c r="G5550" i="5"/>
  <c r="G5551" i="5"/>
  <c r="G5552" i="5"/>
  <c r="G5553" i="5"/>
  <c r="E5554" i="5"/>
  <c r="G5555" i="5"/>
  <c r="G5556" i="5"/>
  <c r="G5557" i="5"/>
  <c r="G5558" i="5"/>
  <c r="G5559" i="5"/>
  <c r="E5560" i="5"/>
  <c r="G5561" i="5"/>
  <c r="G5562" i="5"/>
  <c r="G5563" i="5"/>
  <c r="G5564" i="5"/>
  <c r="G5565" i="5"/>
  <c r="E5566" i="5"/>
  <c r="G5567" i="5"/>
  <c r="G5568" i="5"/>
  <c r="G5569" i="5"/>
  <c r="G5570" i="5"/>
  <c r="G5571" i="5"/>
  <c r="G5572" i="5"/>
  <c r="H5572" i="5" s="1"/>
  <c r="E5572" i="5"/>
  <c r="G5573" i="5"/>
  <c r="G5574" i="5"/>
  <c r="G5575" i="5"/>
  <c r="G5576" i="5"/>
  <c r="G5577" i="5"/>
  <c r="E5578" i="5"/>
  <c r="G5578" i="5" s="1"/>
  <c r="H5578" i="5" s="1"/>
  <c r="G5579" i="5"/>
  <c r="G5580" i="5"/>
  <c r="G5581" i="5"/>
  <c r="G5582" i="5"/>
  <c r="G5583" i="5"/>
  <c r="E5584" i="5"/>
  <c r="G5584" i="5" s="1"/>
  <c r="H5584" i="5" s="1"/>
  <c r="G5585" i="5"/>
  <c r="G5586" i="5"/>
  <c r="G5587" i="5"/>
  <c r="G5588" i="5"/>
  <c r="G5589" i="5"/>
  <c r="G5590" i="5"/>
  <c r="H5590" i="5" s="1"/>
  <c r="E5590" i="5"/>
  <c r="G5591" i="5"/>
  <c r="G5592" i="5"/>
  <c r="G5593" i="5"/>
  <c r="G5594" i="5"/>
  <c r="G5595" i="5"/>
  <c r="G5596" i="5"/>
  <c r="H5596" i="5" s="1"/>
  <c r="E5596" i="5"/>
  <c r="G5597" i="5"/>
  <c r="G5598" i="5"/>
  <c r="G5599" i="5"/>
  <c r="G5600" i="5"/>
  <c r="G5601" i="5"/>
  <c r="E5602" i="5"/>
  <c r="G5602" i="5" s="1"/>
  <c r="H5602" i="5" s="1"/>
  <c r="G5603" i="5"/>
  <c r="G5604" i="5"/>
  <c r="G5605" i="5"/>
  <c r="G5606" i="5"/>
  <c r="G5607" i="5"/>
  <c r="G5608" i="5"/>
  <c r="H5608" i="5" s="1"/>
  <c r="G5609" i="5"/>
  <c r="G5610" i="5"/>
  <c r="G5611" i="5"/>
  <c r="G5612" i="5"/>
  <c r="H5612" i="5" s="1"/>
  <c r="G5613" i="5"/>
  <c r="G5614" i="5"/>
  <c r="G5615" i="5"/>
  <c r="J1241" i="16"/>
  <c r="I1241" i="16"/>
  <c r="G5617" i="5"/>
  <c r="G5618" i="5"/>
  <c r="G5619" i="5"/>
  <c r="J1239" i="16"/>
  <c r="I1239" i="16"/>
  <c r="G5620" i="5"/>
  <c r="H5620" i="5" s="1"/>
  <c r="G5621" i="5"/>
  <c r="G5622" i="5"/>
  <c r="G5623" i="5"/>
  <c r="J1236" i="16"/>
  <c r="I1236" i="16"/>
  <c r="G5624" i="5"/>
  <c r="H5624" i="5" s="1"/>
  <c r="G5625" i="5"/>
  <c r="G5626" i="5"/>
  <c r="G5627" i="5"/>
  <c r="J1237" i="16"/>
  <c r="I1237" i="16"/>
  <c r="G5628" i="5"/>
  <c r="H5628" i="5" s="1"/>
  <c r="G5629" i="5"/>
  <c r="G5630" i="5"/>
  <c r="G5631" i="5"/>
  <c r="J1240" i="16"/>
  <c r="I1240" i="16"/>
  <c r="G5632" i="5"/>
  <c r="H5632" i="5" s="1"/>
  <c r="G5633" i="5"/>
  <c r="G5634" i="5"/>
  <c r="G5635" i="5"/>
  <c r="J1242" i="16"/>
  <c r="G5636" i="5"/>
  <c r="H5636" i="5" s="1"/>
  <c r="I1242" i="16"/>
  <c r="G5637" i="5"/>
  <c r="G5638" i="5"/>
  <c r="G5639" i="5"/>
  <c r="J1235" i="16"/>
  <c r="I1235" i="16"/>
  <c r="G5640" i="5"/>
  <c r="H5640" i="5" s="1"/>
  <c r="G5641" i="5"/>
  <c r="G5642" i="5"/>
  <c r="G5643" i="5"/>
  <c r="J3986" i="16"/>
  <c r="I3986" i="16"/>
  <c r="G5644" i="5"/>
  <c r="H5644" i="5" s="1"/>
  <c r="G5645" i="5"/>
  <c r="G5646" i="5"/>
  <c r="G5647" i="5"/>
  <c r="J4296" i="16"/>
  <c r="G5648" i="5"/>
  <c r="H5648" i="5" s="1"/>
  <c r="I4296" i="16"/>
  <c r="G5649" i="5"/>
  <c r="G5650" i="5"/>
  <c r="G5651" i="5"/>
  <c r="J4297" i="16"/>
  <c r="G5652" i="5"/>
  <c r="H5652" i="5" s="1"/>
  <c r="I4297" i="16"/>
  <c r="G5653" i="5"/>
  <c r="G5654" i="5"/>
  <c r="G5655" i="5"/>
  <c r="J4299" i="16"/>
  <c r="G5656" i="5"/>
  <c r="H5656" i="5" s="1"/>
  <c r="I4299" i="16"/>
  <c r="G5657" i="5"/>
  <c r="G5658" i="5"/>
  <c r="G5659" i="5"/>
  <c r="J4301" i="16"/>
  <c r="I4301" i="16"/>
  <c r="G5660" i="5"/>
  <c r="H5660" i="5" s="1"/>
  <c r="G5661" i="5"/>
  <c r="G5662" i="5"/>
  <c r="G5663" i="5"/>
  <c r="J4302" i="16"/>
  <c r="I4302" i="16"/>
  <c r="G5664" i="5"/>
  <c r="H5664" i="5" s="1"/>
  <c r="G5665" i="5"/>
  <c r="G5666" i="5"/>
  <c r="G5667" i="5"/>
  <c r="J4293" i="16"/>
  <c r="G5668" i="5"/>
  <c r="H5668" i="5" s="1"/>
  <c r="I4293" i="16"/>
  <c r="G5669" i="5"/>
  <c r="G5670" i="5"/>
  <c r="G5671" i="5"/>
  <c r="J4308" i="16"/>
  <c r="G5672" i="5"/>
  <c r="H5672" i="5" s="1"/>
  <c r="I4308" i="16"/>
  <c r="G5673" i="5"/>
  <c r="G5674" i="5"/>
  <c r="G5675" i="5"/>
  <c r="J4311" i="16"/>
  <c r="G5676" i="5"/>
  <c r="H5676" i="5" s="1"/>
  <c r="I4311" i="16"/>
  <c r="G5677" i="5"/>
  <c r="G5678" i="5"/>
  <c r="G5679" i="5"/>
  <c r="J4312" i="16"/>
  <c r="I4312" i="16"/>
  <c r="G5680" i="5"/>
  <c r="H5680" i="5" s="1"/>
  <c r="G5681" i="5"/>
  <c r="G5682" i="5"/>
  <c r="G5683" i="5"/>
  <c r="J4315" i="16"/>
  <c r="I4315" i="16"/>
  <c r="G5684" i="5"/>
  <c r="H5684" i="5" s="1"/>
  <c r="G5685" i="5"/>
  <c r="G5686" i="5"/>
  <c r="G5687" i="5"/>
  <c r="J723" i="16"/>
  <c r="G5688" i="5"/>
  <c r="H5688" i="5" s="1"/>
  <c r="I723" i="16"/>
  <c r="G5689" i="5"/>
  <c r="G5690" i="5"/>
  <c r="G5691" i="5"/>
  <c r="J725" i="16"/>
  <c r="G5692" i="5"/>
  <c r="H5692" i="5" s="1"/>
  <c r="I725" i="16"/>
  <c r="G5693" i="5"/>
  <c r="G5694" i="5"/>
  <c r="G5695" i="5"/>
  <c r="J726" i="16"/>
  <c r="G5696" i="5"/>
  <c r="H5696" i="5" s="1"/>
  <c r="I726" i="16"/>
  <c r="G5697" i="5"/>
  <c r="G5698" i="5"/>
  <c r="G5699" i="5"/>
  <c r="G5700" i="5"/>
  <c r="H5700" i="5" s="1"/>
  <c r="G5701" i="5"/>
  <c r="G5702" i="5"/>
  <c r="G5703" i="5"/>
  <c r="J728" i="16"/>
  <c r="I728" i="16"/>
  <c r="G5704" i="5"/>
  <c r="H5704" i="5" s="1"/>
  <c r="G5705" i="5"/>
  <c r="G5706" i="5"/>
  <c r="G5707" i="5"/>
  <c r="J1826" i="16"/>
  <c r="I1826" i="16"/>
  <c r="G5708" i="5"/>
  <c r="H5708" i="5" s="1"/>
  <c r="G5709" i="5"/>
  <c r="G5710" i="5"/>
  <c r="G5711" i="5"/>
  <c r="J1825" i="16"/>
  <c r="G5712" i="5"/>
  <c r="H5712" i="5" s="1"/>
  <c r="I1825" i="16"/>
  <c r="G5713" i="5"/>
  <c r="G5714" i="5"/>
  <c r="G5715" i="5"/>
  <c r="G5716" i="5"/>
  <c r="H5716" i="5" s="1"/>
  <c r="G5717" i="5"/>
  <c r="G5718" i="5"/>
  <c r="G5719" i="5"/>
  <c r="G5720" i="5"/>
  <c r="H5720" i="5" s="1"/>
  <c r="G5721" i="5"/>
  <c r="G5722" i="5"/>
  <c r="G5723" i="5"/>
  <c r="G5724" i="5"/>
  <c r="H5724" i="5" s="1"/>
  <c r="G5725" i="5"/>
  <c r="G5726" i="5"/>
  <c r="G5727" i="5"/>
  <c r="G5728" i="5"/>
  <c r="H5728" i="5" s="1"/>
  <c r="G5729" i="5"/>
  <c r="G5730" i="5"/>
  <c r="G5731" i="5"/>
  <c r="G5732" i="5"/>
  <c r="H5732" i="5" s="1"/>
  <c r="G5733" i="5"/>
  <c r="G5734" i="5"/>
  <c r="G5735" i="5"/>
  <c r="G5736" i="5"/>
  <c r="H5736" i="5" s="1"/>
  <c r="G5737" i="5"/>
  <c r="G5738" i="5"/>
  <c r="G5739" i="5"/>
  <c r="J2794" i="16"/>
  <c r="I2794" i="16"/>
  <c r="G5740" i="5"/>
  <c r="H5740" i="5" s="1"/>
  <c r="G5741" i="5"/>
  <c r="G5742" i="5"/>
  <c r="G5743" i="5"/>
  <c r="J1664" i="16"/>
  <c r="I1664" i="16"/>
  <c r="G5745" i="5"/>
  <c r="G5746" i="5"/>
  <c r="G5747" i="5"/>
  <c r="J1344" i="16"/>
  <c r="G5748" i="5"/>
  <c r="H5748" i="5" s="1"/>
  <c r="I1344" i="16"/>
  <c r="G5749" i="5"/>
  <c r="G5750" i="5"/>
  <c r="G5751" i="5"/>
  <c r="J1312" i="16"/>
  <c r="G5752" i="5"/>
  <c r="H5752" i="5" s="1"/>
  <c r="I1312" i="16"/>
  <c r="G5753" i="5"/>
  <c r="G5754" i="5"/>
  <c r="G5755" i="5"/>
  <c r="J2795" i="16"/>
  <c r="I2795" i="16"/>
  <c r="G5756" i="5"/>
  <c r="H5756" i="5" s="1"/>
  <c r="G5757" i="5"/>
  <c r="G5758" i="5"/>
  <c r="G5759" i="5"/>
  <c r="J1665" i="16"/>
  <c r="I1665" i="16"/>
  <c r="G5760" i="5"/>
  <c r="H5760" i="5" s="1"/>
  <c r="G5761" i="5"/>
  <c r="G5762" i="5"/>
  <c r="G5763" i="5"/>
  <c r="J1341" i="16"/>
  <c r="G5764" i="5"/>
  <c r="H5764" i="5" s="1"/>
  <c r="I1341" i="16"/>
  <c r="G5765" i="5"/>
  <c r="G5766" i="5"/>
  <c r="G5767" i="5"/>
  <c r="J1309" i="16"/>
  <c r="G5768" i="5"/>
  <c r="H5768" i="5" s="1"/>
  <c r="I1309" i="16"/>
  <c r="G5769" i="5"/>
  <c r="G5770" i="5"/>
  <c r="G5771" i="5"/>
  <c r="J2796" i="16"/>
  <c r="G5772" i="5"/>
  <c r="H5772" i="5" s="1"/>
  <c r="I2796" i="16"/>
  <c r="G5773" i="5"/>
  <c r="G5774" i="5"/>
  <c r="G5775" i="5"/>
  <c r="J1666" i="16"/>
  <c r="I1666" i="16"/>
  <c r="G5776" i="5"/>
  <c r="H5776" i="5" s="1"/>
  <c r="G5777" i="5"/>
  <c r="G5778" i="5"/>
  <c r="G5779" i="5"/>
  <c r="J1339" i="16"/>
  <c r="I1339" i="16"/>
  <c r="G5780" i="5"/>
  <c r="H5780" i="5" s="1"/>
  <c r="G5781" i="5"/>
  <c r="G5782" i="5"/>
  <c r="G5783" i="5"/>
  <c r="J1307" i="16"/>
  <c r="G5784" i="5"/>
  <c r="H5784" i="5" s="1"/>
  <c r="I1307" i="16"/>
  <c r="G5785" i="5"/>
  <c r="G5786" i="5"/>
  <c r="G5787" i="5"/>
  <c r="J2797" i="16"/>
  <c r="G5788" i="5"/>
  <c r="H5788" i="5" s="1"/>
  <c r="I2797" i="16"/>
  <c r="G5789" i="5"/>
  <c r="G5790" i="5"/>
  <c r="G5791" i="5"/>
  <c r="J1667" i="16"/>
  <c r="G5792" i="5"/>
  <c r="H5792" i="5" s="1"/>
  <c r="I1667" i="16"/>
  <c r="G5793" i="5"/>
  <c r="G5794" i="5"/>
  <c r="G5795" i="5"/>
  <c r="J1338" i="16"/>
  <c r="I1338" i="16"/>
  <c r="G5796" i="5"/>
  <c r="H5796" i="5" s="1"/>
  <c r="G5797" i="5"/>
  <c r="G5798" i="5"/>
  <c r="G5799" i="5"/>
  <c r="J1306" i="16"/>
  <c r="I1306" i="16"/>
  <c r="G5800" i="5"/>
  <c r="H5800" i="5" s="1"/>
  <c r="G5801" i="5"/>
  <c r="G5802" i="5"/>
  <c r="G5803" i="5"/>
  <c r="J2798" i="16"/>
  <c r="G5804" i="5"/>
  <c r="H5804" i="5" s="1"/>
  <c r="I2798" i="16"/>
  <c r="G5805" i="5"/>
  <c r="G5806" i="5"/>
  <c r="G5807" i="5"/>
  <c r="J1668" i="16"/>
  <c r="G5808" i="5"/>
  <c r="H5808" i="5" s="1"/>
  <c r="I1668" i="16"/>
  <c r="G5809" i="5"/>
  <c r="G5810" i="5"/>
  <c r="G5811" i="5"/>
  <c r="J1343" i="16"/>
  <c r="G5812" i="5"/>
  <c r="H5812" i="5" s="1"/>
  <c r="I1343" i="16"/>
  <c r="G5813" i="5"/>
  <c r="G5814" i="5"/>
  <c r="G5815" i="5"/>
  <c r="J1311" i="16"/>
  <c r="I1311" i="16"/>
  <c r="G5816" i="5"/>
  <c r="H5816" i="5" s="1"/>
  <c r="G5817" i="5"/>
  <c r="G5818" i="5"/>
  <c r="G5819" i="5"/>
  <c r="J2799" i="16"/>
  <c r="I2799" i="16"/>
  <c r="G5820" i="5"/>
  <c r="H5820" i="5" s="1"/>
  <c r="G5821" i="5"/>
  <c r="G5822" i="5"/>
  <c r="G5823" i="5"/>
  <c r="J1669" i="16"/>
  <c r="G5824" i="5"/>
  <c r="H5824" i="5" s="1"/>
  <c r="I1669" i="16"/>
  <c r="G5825" i="5"/>
  <c r="G5826" i="5"/>
  <c r="G5827" i="5"/>
  <c r="J1310" i="16"/>
  <c r="I1310" i="16"/>
  <c r="G5828" i="5"/>
  <c r="H5828" i="5" s="1"/>
  <c r="G5829" i="5"/>
  <c r="G5830" i="5"/>
  <c r="G5831" i="5"/>
  <c r="J2800" i="16"/>
  <c r="I2800" i="16"/>
  <c r="G5832" i="5"/>
  <c r="H5832" i="5" s="1"/>
  <c r="G5833" i="5"/>
  <c r="G5834" i="5"/>
  <c r="G5835" i="5"/>
  <c r="J1670" i="16"/>
  <c r="G5836" i="5"/>
  <c r="H5836" i="5" s="1"/>
  <c r="I1670" i="16"/>
  <c r="G5837" i="5"/>
  <c r="G5838" i="5"/>
  <c r="G5839" i="5"/>
  <c r="J1345" i="16"/>
  <c r="G5840" i="5"/>
  <c r="H5840" i="5" s="1"/>
  <c r="I1345" i="16"/>
  <c r="G5841" i="5"/>
  <c r="G5842" i="5"/>
  <c r="G5843" i="5"/>
  <c r="J1313" i="16"/>
  <c r="G5844" i="5"/>
  <c r="H5844" i="5" s="1"/>
  <c r="I1313" i="16"/>
  <c r="G5845" i="5"/>
  <c r="G5846" i="5"/>
  <c r="G5847" i="5"/>
  <c r="J2801" i="16"/>
  <c r="I2801" i="16"/>
  <c r="G5848" i="5"/>
  <c r="H5848" i="5" s="1"/>
  <c r="G5849" i="5"/>
  <c r="G5850" i="5"/>
  <c r="G5851" i="5"/>
  <c r="J1671" i="16"/>
  <c r="I1671" i="16"/>
  <c r="G5852" i="5"/>
  <c r="H5852" i="5" s="1"/>
  <c r="G5853" i="5"/>
  <c r="G5854" i="5"/>
  <c r="G5855" i="5"/>
  <c r="J1346" i="16"/>
  <c r="G5856" i="5"/>
  <c r="H5856" i="5" s="1"/>
  <c r="I1346" i="16"/>
  <c r="G5857" i="5"/>
  <c r="G5858" i="5"/>
  <c r="G5859" i="5"/>
  <c r="J1314" i="16"/>
  <c r="G5860" i="5"/>
  <c r="H5860" i="5" s="1"/>
  <c r="I1314" i="16"/>
  <c r="G5861" i="5"/>
  <c r="G5862" i="5"/>
  <c r="G5863" i="5"/>
  <c r="J2793" i="16"/>
  <c r="G5864" i="5"/>
  <c r="H5864" i="5" s="1"/>
  <c r="I2793" i="16"/>
  <c r="G5865" i="5"/>
  <c r="G5866" i="5"/>
  <c r="G5867" i="5"/>
  <c r="J1663" i="16"/>
  <c r="I1663" i="16"/>
  <c r="G5868" i="5"/>
  <c r="H5868" i="5" s="1"/>
  <c r="G5869" i="5"/>
  <c r="G5870" i="5"/>
  <c r="G5871" i="5"/>
  <c r="G5872" i="5"/>
  <c r="H5872" i="5" s="1"/>
  <c r="G5873" i="5"/>
  <c r="G5874" i="5"/>
  <c r="G5875" i="5"/>
  <c r="G5876" i="5"/>
  <c r="H5876" i="5" s="1"/>
  <c r="G5877" i="5"/>
  <c r="G5878" i="5"/>
  <c r="G5879" i="5"/>
  <c r="G5881" i="5"/>
  <c r="G5882" i="5"/>
  <c r="G5883" i="5"/>
  <c r="G5884" i="5"/>
  <c r="H5884" i="5" s="1"/>
  <c r="G5885" i="5"/>
  <c r="G5886" i="5"/>
  <c r="G5887" i="5"/>
  <c r="J1834" i="16"/>
  <c r="G5888" i="5"/>
  <c r="H5888" i="5" s="1"/>
  <c r="I1834" i="16"/>
  <c r="G5889" i="5"/>
  <c r="G5890" i="5"/>
  <c r="G5891" i="5"/>
  <c r="G5892" i="5"/>
  <c r="H5892" i="5" s="1"/>
  <c r="G5893" i="5"/>
  <c r="G5894" i="5"/>
  <c r="G5895" i="5"/>
  <c r="J1836" i="16"/>
  <c r="G5896" i="5"/>
  <c r="H5896" i="5" s="1"/>
  <c r="I1836" i="16"/>
  <c r="G5897" i="5"/>
  <c r="G5898" i="5"/>
  <c r="G5899" i="5"/>
  <c r="G5900" i="5"/>
  <c r="H5900" i="5" s="1"/>
  <c r="G5901" i="5"/>
  <c r="G5902" i="5"/>
  <c r="G5903" i="5"/>
  <c r="J3990" i="16"/>
  <c r="G5904" i="5"/>
  <c r="H5904" i="5" s="1"/>
  <c r="I3990" i="16"/>
  <c r="G5905" i="5"/>
  <c r="G5906" i="5"/>
  <c r="G5907" i="5"/>
  <c r="G5908" i="5"/>
  <c r="H5908" i="5" s="1"/>
  <c r="G5909" i="5"/>
  <c r="G5910" i="5"/>
  <c r="G5911" i="5"/>
  <c r="J3991" i="16"/>
  <c r="G5912" i="5"/>
  <c r="H5912" i="5" s="1"/>
  <c r="I3991" i="16"/>
  <c r="G5913" i="5"/>
  <c r="G5914" i="5"/>
  <c r="G5915" i="5"/>
  <c r="G5916" i="5"/>
  <c r="H5916" i="5" s="1"/>
  <c r="G5917" i="5"/>
  <c r="G5918" i="5"/>
  <c r="G5919" i="5"/>
  <c r="J3992" i="16"/>
  <c r="G5920" i="5"/>
  <c r="H5920" i="5" s="1"/>
  <c r="I3992" i="16"/>
  <c r="G5921" i="5"/>
  <c r="G5922" i="5"/>
  <c r="G5923" i="5"/>
  <c r="J1817" i="16"/>
  <c r="G5924" i="5"/>
  <c r="H5924" i="5" s="1"/>
  <c r="I1817" i="16"/>
  <c r="G5925" i="5"/>
  <c r="G5926" i="5"/>
  <c r="G5927" i="5"/>
  <c r="J2790" i="16"/>
  <c r="I2790" i="16"/>
  <c r="G5928" i="5"/>
  <c r="H5928" i="5" s="1"/>
  <c r="G5929" i="5"/>
  <c r="G5930" i="5"/>
  <c r="G5931" i="5"/>
  <c r="J1653" i="16"/>
  <c r="I1653" i="16"/>
  <c r="G5932" i="5"/>
  <c r="H5932" i="5" s="1"/>
  <c r="G5933" i="5"/>
  <c r="G5934" i="5"/>
  <c r="G5935" i="5"/>
  <c r="J1810" i="16"/>
  <c r="G5936" i="5"/>
  <c r="H5936" i="5" s="1"/>
  <c r="I1810" i="16"/>
  <c r="G5937" i="5"/>
  <c r="G5938" i="5"/>
  <c r="G5939" i="5"/>
  <c r="J2787" i="16"/>
  <c r="I2787" i="16"/>
  <c r="G5940" i="5"/>
  <c r="H5940" i="5" s="1"/>
  <c r="G5941" i="5"/>
  <c r="G5942" i="5"/>
  <c r="G5943" i="5"/>
  <c r="J1652" i="16"/>
  <c r="I1652" i="16"/>
  <c r="G5944" i="5"/>
  <c r="H5944" i="5" s="1"/>
  <c r="G5945" i="5"/>
  <c r="G5946" i="5"/>
  <c r="G5947" i="5"/>
  <c r="J1812" i="16"/>
  <c r="G5948" i="5"/>
  <c r="H5948" i="5" s="1"/>
  <c r="I1812" i="16"/>
  <c r="G5949" i="5"/>
  <c r="G5950" i="5"/>
  <c r="G5951" i="5"/>
  <c r="J2785" i="16"/>
  <c r="G5952" i="5"/>
  <c r="H5952" i="5" s="1"/>
  <c r="I2785" i="16"/>
  <c r="G5953" i="5"/>
  <c r="G5954" i="5"/>
  <c r="G5955" i="5"/>
  <c r="J1655" i="16"/>
  <c r="G5956" i="5"/>
  <c r="H5956" i="5" s="1"/>
  <c r="I1655" i="16"/>
  <c r="G5957" i="5"/>
  <c r="G5958" i="5"/>
  <c r="G5959" i="5"/>
  <c r="J1811" i="16"/>
  <c r="I1811" i="16"/>
  <c r="G5960" i="5"/>
  <c r="H5960" i="5" s="1"/>
  <c r="G5961" i="5"/>
  <c r="G5962" i="5"/>
  <c r="G5963" i="5"/>
  <c r="J2784" i="16"/>
  <c r="I2784" i="16"/>
  <c r="G5964" i="5"/>
  <c r="H5964" i="5" s="1"/>
  <c r="G5965" i="5"/>
  <c r="G5966" i="5"/>
  <c r="G5967" i="5"/>
  <c r="J1654" i="16"/>
  <c r="G5968" i="5"/>
  <c r="H5968" i="5" s="1"/>
  <c r="I1654" i="16"/>
  <c r="G5969" i="5"/>
  <c r="G5970" i="5"/>
  <c r="G5971" i="5"/>
  <c r="J1814" i="16"/>
  <c r="I1814" i="16"/>
  <c r="G5972" i="5"/>
  <c r="H5972" i="5" s="1"/>
  <c r="G5973" i="5"/>
  <c r="G5974" i="5"/>
  <c r="G5975" i="5"/>
  <c r="J2789" i="16"/>
  <c r="I2789" i="16"/>
  <c r="G5976" i="5"/>
  <c r="H5976" i="5" s="1"/>
  <c r="G5977" i="5"/>
  <c r="G5978" i="5"/>
  <c r="G5979" i="5"/>
  <c r="J1659" i="16"/>
  <c r="I1659" i="16"/>
  <c r="G5980" i="5"/>
  <c r="H5980" i="5" s="1"/>
  <c r="G5981" i="5"/>
  <c r="G5982" i="5"/>
  <c r="G5983" i="5"/>
  <c r="J1816" i="16"/>
  <c r="I1816" i="16"/>
  <c r="G5984" i="5"/>
  <c r="H5984" i="5" s="1"/>
  <c r="G5985" i="5"/>
  <c r="G5986" i="5"/>
  <c r="G5987" i="5"/>
  <c r="J2791" i="16"/>
  <c r="G5988" i="5"/>
  <c r="H5988" i="5" s="1"/>
  <c r="I2791" i="16"/>
  <c r="G5989" i="5"/>
  <c r="G5990" i="5"/>
  <c r="G5991" i="5"/>
  <c r="J1661" i="16"/>
  <c r="I1661" i="16"/>
  <c r="G5992" i="5"/>
  <c r="H5992" i="5" s="1"/>
  <c r="G5993" i="5"/>
  <c r="G5994" i="5"/>
  <c r="G5995" i="5"/>
  <c r="G5996" i="5"/>
  <c r="H5996" i="5" s="1"/>
  <c r="G5997" i="5"/>
  <c r="G5998" i="5"/>
  <c r="G5999" i="5"/>
  <c r="G6000" i="5"/>
  <c r="H6000" i="5" s="1"/>
  <c r="G6001" i="5"/>
  <c r="G6002" i="5"/>
  <c r="G6003" i="5"/>
  <c r="G6004" i="5"/>
  <c r="H6004" i="5" s="1"/>
  <c r="G6005" i="5"/>
  <c r="G6006" i="5"/>
  <c r="G6007" i="5"/>
  <c r="G6008" i="5"/>
  <c r="H6008" i="5" s="1"/>
  <c r="G6009" i="5"/>
  <c r="G6010" i="5"/>
  <c r="G6011" i="5"/>
  <c r="G6012" i="5"/>
  <c r="H6012" i="5" s="1"/>
  <c r="G6013" i="5"/>
  <c r="G6014" i="5"/>
  <c r="G6015" i="5"/>
  <c r="G6016" i="5"/>
  <c r="H6016" i="5" s="1"/>
  <c r="G6017" i="5"/>
  <c r="G6018" i="5"/>
  <c r="G6019" i="5"/>
  <c r="G6020" i="5"/>
  <c r="H6020" i="5" s="1"/>
  <c r="G6021" i="5"/>
  <c r="G6022" i="5"/>
  <c r="G6023" i="5"/>
  <c r="G6024" i="5"/>
  <c r="H6024" i="5" s="1"/>
  <c r="G6025" i="5"/>
  <c r="G6026" i="5"/>
  <c r="G6027" i="5"/>
  <c r="J2139" i="16"/>
  <c r="G6028" i="5"/>
  <c r="H6028" i="5" s="1"/>
  <c r="I2139" i="16"/>
  <c r="G6029" i="5"/>
  <c r="G6030" i="5"/>
  <c r="G6031" i="5"/>
  <c r="J3565" i="16"/>
  <c r="I3565" i="16"/>
  <c r="G6032" i="5"/>
  <c r="H6032" i="5" s="1"/>
  <c r="G6033" i="5"/>
  <c r="G6034" i="5"/>
  <c r="G6035" i="5"/>
  <c r="J3561" i="16"/>
  <c r="I3561" i="16"/>
  <c r="G6036" i="5"/>
  <c r="H6036" i="5" s="1"/>
  <c r="G6037" i="5"/>
  <c r="G6038" i="5"/>
  <c r="G6039" i="5"/>
  <c r="J3559" i="16"/>
  <c r="G6040" i="5"/>
  <c r="H6040" i="5" s="1"/>
  <c r="I3559" i="16"/>
  <c r="G6041" i="5"/>
  <c r="G6042" i="5"/>
  <c r="G6043" i="5"/>
  <c r="J578" i="16"/>
  <c r="I578" i="16"/>
  <c r="G6044" i="5"/>
  <c r="H6044" i="5" s="1"/>
  <c r="G6045" i="5"/>
  <c r="G6046" i="5"/>
  <c r="G6047" i="5"/>
  <c r="J1148" i="16"/>
  <c r="G6048" i="5"/>
  <c r="H6048" i="5" s="1"/>
  <c r="I1148" i="16"/>
  <c r="G6049" i="5"/>
  <c r="G6050" i="5"/>
  <c r="G6051" i="5"/>
  <c r="G6052" i="5"/>
  <c r="H6052" i="5" s="1"/>
  <c r="G6053" i="5"/>
  <c r="G6054" i="5"/>
  <c r="G6055" i="5"/>
  <c r="G6056" i="5"/>
  <c r="H6056" i="5" s="1"/>
  <c r="G6057" i="5"/>
  <c r="G6058" i="5"/>
  <c r="G6059" i="5"/>
  <c r="G6060" i="5"/>
  <c r="H6060" i="5" s="1"/>
  <c r="G6061" i="5"/>
  <c r="G6062" i="5"/>
  <c r="G6063" i="5"/>
  <c r="G6064" i="5"/>
  <c r="H6064" i="5" s="1"/>
  <c r="G6065" i="5"/>
  <c r="G6066" i="5"/>
  <c r="G6067" i="5"/>
  <c r="J32" i="16"/>
  <c r="I32" i="16"/>
  <c r="G6068" i="5"/>
  <c r="H6068" i="5" s="1"/>
  <c r="G6069" i="5"/>
  <c r="G6070" i="5"/>
  <c r="G6071" i="5"/>
  <c r="G6072" i="5"/>
  <c r="H6072" i="5" s="1"/>
  <c r="G6073" i="5"/>
  <c r="G6074" i="5"/>
  <c r="G6075" i="5"/>
  <c r="J3471" i="16"/>
  <c r="G6076" i="5"/>
  <c r="H6076" i="5" s="1"/>
  <c r="I3471" i="16"/>
  <c r="G6077" i="5"/>
  <c r="G6078" i="5"/>
  <c r="G6079" i="5"/>
  <c r="J3694" i="16"/>
  <c r="G6080" i="5"/>
  <c r="H6080" i="5" s="1"/>
  <c r="I3694" i="16"/>
  <c r="G6081" i="5"/>
  <c r="G6082" i="5"/>
  <c r="G6083" i="5"/>
  <c r="J3695" i="16"/>
  <c r="G6084" i="5"/>
  <c r="H6084" i="5" s="1"/>
  <c r="I3695" i="16"/>
  <c r="G6085" i="5"/>
  <c r="G6086" i="5"/>
  <c r="G6087" i="5"/>
  <c r="J3696" i="16"/>
  <c r="I3696" i="16"/>
  <c r="G6088" i="5"/>
  <c r="H6088" i="5" s="1"/>
  <c r="G6089" i="5"/>
  <c r="G6090" i="5"/>
  <c r="G6091" i="5"/>
  <c r="J3884" i="16"/>
  <c r="I3884" i="16"/>
  <c r="G6092" i="5"/>
  <c r="H6092" i="5" s="1"/>
  <c r="G6093" i="5"/>
  <c r="G6094" i="5"/>
  <c r="G6095" i="5"/>
  <c r="J876" i="16"/>
  <c r="G6096" i="5"/>
  <c r="H6096" i="5" s="1"/>
  <c r="I876" i="16"/>
  <c r="G6097" i="5"/>
  <c r="G6098" i="5"/>
  <c r="G6099" i="5"/>
  <c r="J3215" i="16"/>
  <c r="I3215" i="16"/>
  <c r="G6100" i="5"/>
  <c r="H6100" i="5" s="1"/>
  <c r="G6101" i="5"/>
  <c r="G6102" i="5"/>
  <c r="G6103" i="5"/>
  <c r="J3037" i="16"/>
  <c r="I3037" i="16"/>
  <c r="G6104" i="5"/>
  <c r="H6104" i="5" s="1"/>
  <c r="G6105" i="5"/>
  <c r="G6106" i="5"/>
  <c r="G6107" i="5"/>
  <c r="J3038" i="16"/>
  <c r="G6108" i="5"/>
  <c r="H6108" i="5" s="1"/>
  <c r="I3038" i="16"/>
  <c r="G6109" i="5"/>
  <c r="G6110" i="5"/>
  <c r="G6111" i="5"/>
  <c r="J2981" i="16"/>
  <c r="G6112" i="5"/>
  <c r="H6112" i="5" s="1"/>
  <c r="I2981" i="16"/>
  <c r="G6113" i="5"/>
  <c r="G6114" i="5"/>
  <c r="G6115" i="5"/>
  <c r="J3944" i="16"/>
  <c r="G6116" i="5"/>
  <c r="H6116" i="5" s="1"/>
  <c r="I3944" i="16"/>
  <c r="G6117" i="5"/>
  <c r="G6118" i="5"/>
  <c r="G6119" i="5"/>
  <c r="G6120" i="5"/>
  <c r="H6120" i="5" s="1"/>
  <c r="G6121" i="5"/>
  <c r="G6122" i="5"/>
  <c r="G6123" i="5"/>
  <c r="G6124" i="5"/>
  <c r="H6124" i="5" s="1"/>
  <c r="G6125" i="5"/>
  <c r="G6126" i="5"/>
  <c r="G6127" i="5"/>
  <c r="J3998" i="16"/>
  <c r="G6128" i="5"/>
  <c r="H6128" i="5" s="1"/>
  <c r="I3998" i="16"/>
  <c r="G6129" i="5"/>
  <c r="G6130" i="5"/>
  <c r="G6131" i="5"/>
  <c r="J4002" i="16"/>
  <c r="I4002" i="16"/>
  <c r="G6132" i="5"/>
  <c r="H6132" i="5" s="1"/>
  <c r="G6133" i="5"/>
  <c r="G6134" i="5"/>
  <c r="G6135" i="5"/>
  <c r="J3460" i="16"/>
  <c r="G6136" i="5"/>
  <c r="H6136" i="5" s="1"/>
  <c r="I3460" i="16"/>
  <c r="E6136" i="5"/>
  <c r="G6137" i="5"/>
  <c r="G6138" i="5"/>
  <c r="G6139" i="5"/>
  <c r="G6140" i="5"/>
  <c r="G6141" i="5"/>
  <c r="G6142" i="5"/>
  <c r="G6143" i="5"/>
  <c r="G6144" i="5"/>
  <c r="G6146" i="5"/>
  <c r="G6147" i="5"/>
  <c r="J1293" i="16"/>
  <c r="G6148" i="5"/>
  <c r="H6148" i="5" s="1"/>
  <c r="I1293" i="16"/>
  <c r="G6149" i="5"/>
  <c r="G6150" i="5"/>
  <c r="G6151" i="5"/>
  <c r="J172" i="16"/>
  <c r="I172" i="16"/>
  <c r="G6152" i="5"/>
  <c r="H6152" i="5" s="1"/>
  <c r="G6153" i="5"/>
  <c r="G6154" i="5"/>
  <c r="G6155" i="5"/>
  <c r="J3665" i="16"/>
  <c r="I3665" i="16"/>
  <c r="G6156" i="5"/>
  <c r="H6156" i="5" s="1"/>
  <c r="G6157" i="5"/>
  <c r="G6158" i="5"/>
  <c r="G6159" i="5"/>
  <c r="E6160" i="5"/>
  <c r="G6160" i="5" s="1"/>
  <c r="E6161" i="5"/>
  <c r="G6164" i="5"/>
  <c r="G6165" i="5"/>
  <c r="G6166" i="5"/>
  <c r="E6167" i="5"/>
  <c r="G6168" i="5"/>
  <c r="G6169" i="5"/>
  <c r="G6170" i="5"/>
  <c r="G6177" i="5"/>
  <c r="E6178" i="5"/>
  <c r="G6179" i="5"/>
  <c r="G6180" i="5"/>
  <c r="G6181" i="5"/>
  <c r="G6182" i="5"/>
  <c r="G6183" i="5"/>
  <c r="G6187" i="5"/>
  <c r="G6188" i="5"/>
  <c r="G6189" i="5"/>
  <c r="G6192" i="5"/>
  <c r="G6193" i="5"/>
  <c r="G6194" i="5"/>
  <c r="G6197" i="5"/>
  <c r="G6198" i="5"/>
  <c r="G6200" i="5"/>
  <c r="E6201" i="5"/>
  <c r="G6205" i="5"/>
  <c r="G6206" i="5"/>
  <c r="G6207" i="5"/>
  <c r="G6208" i="5"/>
  <c r="G6209" i="5"/>
  <c r="J56" i="16"/>
  <c r="G6213" i="5"/>
  <c r="G6214" i="5"/>
  <c r="G6219" i="5"/>
  <c r="G6220" i="5"/>
  <c r="G6222" i="5"/>
  <c r="G6223" i="5"/>
  <c r="G6224" i="5"/>
  <c r="G6229" i="5"/>
  <c r="G6230" i="5"/>
  <c r="E6231" i="5"/>
  <c r="E6232" i="5"/>
  <c r="G6233" i="5"/>
  <c r="G6235" i="5"/>
  <c r="G6236" i="5"/>
  <c r="G6237" i="5"/>
  <c r="G6242" i="5"/>
  <c r="G6243" i="5"/>
  <c r="G6245" i="5"/>
  <c r="G6246" i="5"/>
  <c r="G6248" i="5"/>
  <c r="G6249" i="5"/>
  <c r="G6251" i="5"/>
  <c r="G6254" i="5"/>
  <c r="G6255" i="5"/>
  <c r="J1211" i="16"/>
  <c r="I1211" i="16"/>
  <c r="G6257" i="5"/>
  <c r="G6260" i="5"/>
  <c r="G6261" i="5"/>
  <c r="G6263" i="5"/>
  <c r="G6264" i="5"/>
  <c r="J1213" i="16"/>
  <c r="I1213" i="16"/>
  <c r="G6265" i="5"/>
  <c r="G6266" i="5"/>
  <c r="G6267" i="5"/>
  <c r="G6269" i="5"/>
  <c r="G6274" i="5"/>
  <c r="G6275" i="5"/>
  <c r="G6277" i="5"/>
  <c r="G6279" i="5"/>
  <c r="G6282" i="5"/>
  <c r="G6283" i="5"/>
  <c r="G6284" i="5"/>
  <c r="G6285" i="5"/>
  <c r="G6288" i="5"/>
  <c r="G6290" i="5"/>
  <c r="G6291" i="5"/>
  <c r="G6295" i="5"/>
  <c r="G6297" i="5"/>
  <c r="G6298" i="5"/>
  <c r="J494" i="16"/>
  <c r="I494" i="16"/>
  <c r="J3001" i="16"/>
  <c r="G6300" i="5"/>
  <c r="J490" i="16"/>
  <c r="G6301" i="5"/>
  <c r="J974" i="16"/>
  <c r="G6302" i="5"/>
  <c r="I3001" i="16"/>
  <c r="I490" i="16"/>
  <c r="I974" i="16"/>
  <c r="G6307" i="5"/>
  <c r="G6308" i="5"/>
  <c r="J976" i="16"/>
  <c r="I976" i="16"/>
  <c r="G6309" i="5"/>
  <c r="G6310" i="5"/>
  <c r="G6311" i="5"/>
  <c r="G6312" i="5"/>
  <c r="J3642" i="16"/>
  <c r="G6313" i="5"/>
  <c r="G6314" i="5"/>
  <c r="G6315" i="5"/>
  <c r="G6316" i="5"/>
  <c r="J502" i="16"/>
  <c r="G6317" i="5"/>
  <c r="J3016" i="16"/>
  <c r="G6318" i="5"/>
  <c r="G6321" i="5"/>
  <c r="I3642" i="16"/>
  <c r="I502" i="16"/>
  <c r="I3016" i="16"/>
  <c r="G6331" i="5"/>
  <c r="G6332" i="5"/>
  <c r="E6333" i="5"/>
  <c r="J4446" i="16"/>
  <c r="J3641" i="16"/>
  <c r="G6337" i="5"/>
  <c r="G6338" i="5"/>
  <c r="G6339" i="5"/>
  <c r="G6341" i="5"/>
  <c r="G6342" i="5"/>
  <c r="G6343" i="5"/>
  <c r="G6345" i="5"/>
  <c r="G6346" i="5"/>
  <c r="G6347" i="5"/>
  <c r="G6350" i="5"/>
  <c r="G6351" i="5"/>
  <c r="G6352" i="5"/>
  <c r="G6355" i="5"/>
  <c r="G6356" i="5"/>
  <c r="J3868" i="16"/>
  <c r="I3868" i="16"/>
  <c r="J831" i="16"/>
  <c r="G6358" i="5"/>
  <c r="G6359" i="5"/>
  <c r="G6360" i="5"/>
  <c r="J3952" i="16"/>
  <c r="G6361" i="5"/>
  <c r="G6363" i="5"/>
  <c r="G6364" i="5"/>
  <c r="G6365" i="5"/>
  <c r="I831" i="16"/>
  <c r="I3952" i="16"/>
  <c r="G6369" i="5"/>
  <c r="G6370" i="5"/>
  <c r="G6371" i="5"/>
  <c r="G6372" i="5"/>
  <c r="G6373" i="5"/>
  <c r="G6374" i="5"/>
  <c r="E6375" i="5"/>
  <c r="J4466" i="16"/>
  <c r="G6376" i="5"/>
  <c r="G6377" i="5"/>
  <c r="G6378" i="5"/>
  <c r="G6379" i="5"/>
  <c r="E6379" i="5"/>
  <c r="I4466" i="16"/>
  <c r="E6380" i="5"/>
  <c r="G6384" i="5"/>
  <c r="G6385" i="5"/>
  <c r="G6387" i="5"/>
  <c r="G6388" i="5"/>
  <c r="E6388" i="5"/>
  <c r="E6389" i="5"/>
  <c r="G6389" i="5" s="1"/>
  <c r="G6390" i="5"/>
  <c r="G6391" i="5"/>
  <c r="G6392" i="5"/>
  <c r="G6393" i="5"/>
  <c r="G6394" i="5"/>
  <c r="G6396" i="5"/>
  <c r="G6397" i="5"/>
  <c r="G6398" i="5"/>
  <c r="J4465" i="16"/>
  <c r="I4465" i="16"/>
  <c r="G6403" i="5"/>
  <c r="G6404" i="5"/>
  <c r="G6405" i="5"/>
  <c r="G6406" i="5"/>
  <c r="H6406" i="5" s="1"/>
  <c r="G6407" i="5"/>
  <c r="G6408" i="5"/>
  <c r="G6409" i="5"/>
  <c r="G6410" i="5"/>
  <c r="G6412" i="5"/>
  <c r="G6413" i="5"/>
  <c r="G6414" i="5"/>
  <c r="G6415" i="5"/>
  <c r="H6415" i="5" s="1"/>
  <c r="G6416" i="5"/>
  <c r="G6417" i="5"/>
  <c r="G6418" i="5"/>
  <c r="E6419" i="5"/>
  <c r="G6420" i="5"/>
  <c r="G6421" i="5"/>
  <c r="G6422" i="5"/>
  <c r="G6425" i="5"/>
  <c r="G6426" i="5"/>
  <c r="G6427" i="5"/>
  <c r="G6428" i="5"/>
  <c r="G6429" i="5"/>
  <c r="G6430" i="5"/>
  <c r="G6431" i="5"/>
  <c r="G6432" i="5"/>
  <c r="G6433" i="5"/>
  <c r="G6435" i="5"/>
  <c r="G6436" i="5"/>
  <c r="G6437" i="5"/>
  <c r="J1244" i="16"/>
  <c r="G6438" i="5"/>
  <c r="I1244" i="16"/>
  <c r="G6439" i="5"/>
  <c r="G6440" i="5"/>
  <c r="G6442" i="5"/>
  <c r="G6443" i="5"/>
  <c r="G6444" i="5"/>
  <c r="G6445" i="5"/>
  <c r="G6446" i="5"/>
  <c r="G6447" i="5"/>
  <c r="G6448" i="5"/>
  <c r="G6449" i="5"/>
  <c r="G6450" i="5"/>
  <c r="G6451" i="5"/>
  <c r="G6452" i="5"/>
  <c r="G6454" i="5"/>
  <c r="G6455" i="5"/>
  <c r="G6456" i="5"/>
  <c r="G6457" i="5"/>
  <c r="G6458" i="5"/>
  <c r="J4292" i="16"/>
  <c r="I4292" i="16"/>
  <c r="J1718" i="16"/>
  <c r="G6462" i="5"/>
  <c r="I1718" i="16"/>
  <c r="G6463" i="5"/>
  <c r="G6464" i="5"/>
  <c r="G6465" i="5"/>
  <c r="J1147" i="16"/>
  <c r="I1147" i="16"/>
  <c r="G6466" i="5"/>
  <c r="G6468" i="5"/>
  <c r="G6470" i="5"/>
  <c r="G6471" i="5"/>
  <c r="G6472" i="5"/>
  <c r="G6475" i="5"/>
  <c r="G6476" i="5"/>
  <c r="G6477" i="5"/>
  <c r="G6478" i="5"/>
  <c r="G6479" i="5"/>
  <c r="G6482" i="5"/>
  <c r="G6484" i="5"/>
  <c r="G6485" i="5"/>
  <c r="G6486" i="5"/>
  <c r="G6489" i="5"/>
  <c r="G6490" i="5"/>
  <c r="G6491" i="5"/>
  <c r="G6492" i="5"/>
  <c r="G6493" i="5"/>
  <c r="G6494" i="5"/>
  <c r="H6494" i="5" s="1"/>
  <c r="G6495" i="5"/>
  <c r="G6496" i="5"/>
  <c r="G6497" i="5"/>
  <c r="J183" i="16"/>
  <c r="I183" i="16"/>
  <c r="G6498" i="5"/>
  <c r="H6498" i="5" s="1"/>
  <c r="G6499" i="5"/>
  <c r="G6500" i="5"/>
  <c r="G6501" i="5"/>
  <c r="G6502" i="5"/>
  <c r="H6502" i="5" s="1"/>
  <c r="G6503" i="5"/>
  <c r="G6504" i="5"/>
  <c r="G6505" i="5"/>
  <c r="J371" i="16"/>
  <c r="I371" i="16"/>
  <c r="G6506" i="5"/>
  <c r="H6506" i="5" s="1"/>
  <c r="G6507" i="5"/>
  <c r="G6508" i="5"/>
  <c r="G6509" i="5"/>
  <c r="J443" i="16"/>
  <c r="I443" i="16"/>
  <c r="G6510" i="5"/>
  <c r="H6510" i="5" s="1"/>
  <c r="G6511" i="5"/>
  <c r="G6512" i="5"/>
  <c r="G6513" i="5"/>
  <c r="J444" i="16"/>
  <c r="G6514" i="5"/>
  <c r="H6514" i="5" s="1"/>
  <c r="I444" i="16"/>
  <c r="G6515" i="5"/>
  <c r="G6516" i="5"/>
  <c r="G6517" i="5"/>
  <c r="J540" i="16"/>
  <c r="I540" i="16"/>
  <c r="G6519" i="5"/>
  <c r="G6520" i="5"/>
  <c r="G6521" i="5"/>
  <c r="G6522" i="5"/>
  <c r="H6522" i="5" s="1"/>
  <c r="G6523" i="5"/>
  <c r="G6524" i="5"/>
  <c r="G6525" i="5"/>
  <c r="J575" i="16"/>
  <c r="I575" i="16"/>
  <c r="G6527" i="5"/>
  <c r="G6528" i="5"/>
  <c r="G6529" i="5"/>
  <c r="J869" i="16"/>
  <c r="I869" i="16"/>
  <c r="G6530" i="5"/>
  <c r="H6530" i="5" s="1"/>
  <c r="G6531" i="5"/>
  <c r="G6532" i="5"/>
  <c r="G6533" i="5"/>
  <c r="J871" i="16"/>
  <c r="G6534" i="5"/>
  <c r="H6534" i="5" s="1"/>
  <c r="I871" i="16"/>
  <c r="G6535" i="5"/>
  <c r="G6536" i="5"/>
  <c r="G6537" i="5"/>
  <c r="J873" i="16"/>
  <c r="I873" i="16"/>
  <c r="G6538" i="5"/>
  <c r="H6538" i="5" s="1"/>
  <c r="G6539" i="5"/>
  <c r="G6540" i="5"/>
  <c r="G6541" i="5"/>
  <c r="J931" i="16"/>
  <c r="G6542" i="5"/>
  <c r="H6542" i="5" s="1"/>
  <c r="I931" i="16"/>
  <c r="G6543" i="5"/>
  <c r="G6544" i="5"/>
  <c r="G6545" i="5"/>
  <c r="G6546" i="5"/>
  <c r="H6546" i="5" s="1"/>
  <c r="G6547" i="5"/>
  <c r="G6548" i="5"/>
  <c r="G6549" i="5"/>
  <c r="G6550" i="5"/>
  <c r="H6550" i="5" s="1"/>
  <c r="G6551" i="5"/>
  <c r="G6552" i="5"/>
  <c r="G6553" i="5"/>
  <c r="J1488" i="16"/>
  <c r="I1488" i="16"/>
  <c r="G6554" i="5"/>
  <c r="H6554" i="5" s="1"/>
  <c r="G6555" i="5"/>
  <c r="G6556" i="5"/>
  <c r="G6557" i="5"/>
  <c r="J2912" i="16"/>
  <c r="G6558" i="5"/>
  <c r="H6558" i="5" s="1"/>
  <c r="I2912" i="16"/>
  <c r="G6559" i="5"/>
  <c r="G6560" i="5"/>
  <c r="G6561" i="5"/>
  <c r="J3057" i="16"/>
  <c r="I3057" i="16"/>
  <c r="G6562" i="5"/>
  <c r="H6562" i="5" s="1"/>
  <c r="G6563" i="5"/>
  <c r="G6564" i="5"/>
  <c r="G6565" i="5"/>
  <c r="J3716" i="16"/>
  <c r="I3716" i="16"/>
  <c r="G6566" i="5"/>
  <c r="H6566" i="5" s="1"/>
  <c r="G6567" i="5"/>
  <c r="G6568" i="5"/>
  <c r="G6569" i="5"/>
  <c r="G6571" i="5"/>
  <c r="G6572" i="5"/>
  <c r="G6573" i="5"/>
  <c r="G6574" i="5"/>
  <c r="H6574" i="5" s="1"/>
  <c r="G6575" i="5"/>
  <c r="G6576" i="5"/>
  <c r="G6577" i="5"/>
  <c r="G6579" i="5"/>
  <c r="G6580" i="5"/>
  <c r="G6581" i="5"/>
  <c r="J4839" i="16"/>
  <c r="I4839" i="16"/>
  <c r="G6582" i="5"/>
  <c r="H6582" i="5" s="1"/>
  <c r="G6583" i="5"/>
  <c r="G6584" i="5"/>
  <c r="G6585" i="5"/>
  <c r="G6587" i="5"/>
  <c r="G6588" i="5"/>
  <c r="G6589" i="5"/>
  <c r="J3775" i="16"/>
  <c r="I3775" i="16"/>
  <c r="G6590" i="5"/>
  <c r="H6590" i="5" s="1"/>
  <c r="G6591" i="5"/>
  <c r="G6592" i="5"/>
  <c r="G6593" i="5"/>
  <c r="J3776" i="16"/>
  <c r="G6594" i="5"/>
  <c r="H6594" i="5" s="1"/>
  <c r="I3776" i="16"/>
  <c r="G6595" i="5"/>
  <c r="G6596" i="5"/>
  <c r="G6597" i="5"/>
  <c r="J3774" i="16"/>
  <c r="I3774" i="16"/>
  <c r="G6598" i="5"/>
  <c r="H6598" i="5" s="1"/>
  <c r="G6599" i="5"/>
  <c r="G6600" i="5"/>
  <c r="G6601" i="5"/>
  <c r="J3777" i="16"/>
  <c r="G6602" i="5"/>
  <c r="H6602" i="5" s="1"/>
  <c r="I3777" i="16"/>
  <c r="G6603" i="5"/>
  <c r="G6604" i="5"/>
  <c r="G6605" i="5"/>
  <c r="J3779" i="16"/>
  <c r="I3779" i="16"/>
  <c r="G6606" i="5"/>
  <c r="H6606" i="5" s="1"/>
  <c r="G6607" i="5"/>
  <c r="G6608" i="5"/>
  <c r="G6609" i="5"/>
  <c r="J3778" i="16"/>
  <c r="I3778" i="16"/>
  <c r="G6610" i="5"/>
  <c r="H6610" i="5" s="1"/>
  <c r="G6611" i="5"/>
  <c r="G6612" i="5"/>
  <c r="G6613" i="5"/>
  <c r="J3780" i="16"/>
  <c r="G6614" i="5"/>
  <c r="H6614" i="5" s="1"/>
  <c r="I3780" i="16"/>
  <c r="G6615" i="5"/>
  <c r="G6616" i="5"/>
  <c r="G6617" i="5"/>
  <c r="J3781" i="16"/>
  <c r="I3781" i="16"/>
  <c r="G6618" i="5"/>
  <c r="H6618" i="5" s="1"/>
  <c r="G6619" i="5"/>
  <c r="G6620" i="5"/>
  <c r="G6621" i="5"/>
  <c r="J3782" i="16"/>
  <c r="I3782" i="16"/>
  <c r="G6622" i="5"/>
  <c r="H6622" i="5" s="1"/>
  <c r="G6623" i="5"/>
  <c r="G6624" i="5"/>
  <c r="G6625" i="5"/>
  <c r="J3790" i="16"/>
  <c r="G6626" i="5"/>
  <c r="H6626" i="5" s="1"/>
  <c r="I3790" i="16"/>
  <c r="G6627" i="5"/>
  <c r="G6628" i="5"/>
  <c r="G6629" i="5"/>
  <c r="J3791" i="16"/>
  <c r="I3791" i="16"/>
  <c r="G6630" i="5"/>
  <c r="H6630" i="5" s="1"/>
  <c r="G6631" i="5"/>
  <c r="G6632" i="5"/>
  <c r="G6633" i="5"/>
  <c r="J3760" i="16"/>
  <c r="I3760" i="16"/>
  <c r="G6634" i="5"/>
  <c r="H6634" i="5" s="1"/>
  <c r="G6635" i="5"/>
  <c r="G6636" i="5"/>
  <c r="G6637" i="5"/>
  <c r="J3758" i="16"/>
  <c r="I3758" i="16"/>
  <c r="G6638" i="5"/>
  <c r="H6638" i="5" s="1"/>
  <c r="G6639" i="5"/>
  <c r="G6640" i="5"/>
  <c r="G6641" i="5"/>
  <c r="J3769" i="16"/>
  <c r="I3769" i="16"/>
  <c r="G6643" i="5"/>
  <c r="G6644" i="5"/>
  <c r="G6645" i="5"/>
  <c r="J3789" i="16"/>
  <c r="I3789" i="16"/>
  <c r="G6646" i="5"/>
  <c r="H6646" i="5" s="1"/>
  <c r="G6647" i="5"/>
  <c r="G6648" i="5"/>
  <c r="G6649" i="5"/>
  <c r="J4303" i="16"/>
  <c r="I4303" i="16"/>
  <c r="G6650" i="5"/>
  <c r="H6650" i="5" s="1"/>
  <c r="G6651" i="5"/>
  <c r="G6652" i="5"/>
  <c r="G6653" i="5"/>
  <c r="J4304" i="16"/>
  <c r="I4304" i="16"/>
  <c r="G6655" i="5"/>
  <c r="G6656" i="5"/>
  <c r="G6657" i="5"/>
  <c r="J4305" i="16"/>
  <c r="I4305" i="16"/>
  <c r="G6658" i="5"/>
  <c r="H6658" i="5" s="1"/>
  <c r="G6659" i="5"/>
  <c r="G6660" i="5"/>
  <c r="G6661" i="5"/>
  <c r="J4384" i="16"/>
  <c r="G6662" i="5"/>
  <c r="H6662" i="5" s="1"/>
  <c r="I4384" i="16"/>
  <c r="G6663" i="5"/>
  <c r="G6664" i="5"/>
  <c r="G6665" i="5"/>
  <c r="J4385" i="16"/>
  <c r="I4385" i="16"/>
  <c r="G6666" i="5"/>
  <c r="H6666" i="5" s="1"/>
  <c r="G6667" i="5"/>
  <c r="G6668" i="5"/>
  <c r="G6669" i="5"/>
  <c r="J4388" i="16"/>
  <c r="I4388" i="16"/>
  <c r="G6670" i="5"/>
  <c r="H6670" i="5" s="1"/>
  <c r="G6671" i="5"/>
  <c r="G6672" i="5"/>
  <c r="G6673" i="5"/>
  <c r="J4389" i="16"/>
  <c r="G6674" i="5"/>
  <c r="H6674" i="5" s="1"/>
  <c r="I4389" i="16"/>
  <c r="G6675" i="5"/>
  <c r="G6676" i="5"/>
  <c r="G6677" i="5"/>
  <c r="J4387" i="16"/>
  <c r="I4387" i="16"/>
  <c r="G6678" i="5"/>
  <c r="H6678" i="5" s="1"/>
  <c r="G6679" i="5"/>
  <c r="G6680" i="5"/>
  <c r="G6681" i="5"/>
  <c r="G6682" i="5"/>
  <c r="H6682" i="5" s="1"/>
  <c r="G6683" i="5"/>
  <c r="G6684" i="5"/>
  <c r="G6685" i="5"/>
  <c r="G6686" i="5"/>
  <c r="H6686" i="5" s="1"/>
  <c r="G6687" i="5"/>
  <c r="G6688" i="5"/>
  <c r="G6689" i="5"/>
  <c r="G6691" i="5"/>
  <c r="G6692" i="5"/>
  <c r="G6693" i="5"/>
  <c r="J4550" i="16"/>
  <c r="I4550" i="16"/>
  <c r="G6694" i="5"/>
  <c r="H6694" i="5" s="1"/>
  <c r="G6695" i="5"/>
  <c r="G6696" i="5"/>
  <c r="G6697" i="5"/>
  <c r="J4552" i="16"/>
  <c r="I4552" i="16"/>
  <c r="G6698" i="5"/>
  <c r="H6698" i="5" s="1"/>
  <c r="G6699" i="5"/>
  <c r="G6700" i="5"/>
  <c r="G6701" i="5"/>
  <c r="J4553" i="16"/>
  <c r="I4553" i="16"/>
  <c r="G6703" i="5"/>
  <c r="G6704" i="5"/>
  <c r="G6705" i="5"/>
  <c r="J4554" i="16"/>
  <c r="I4554" i="16"/>
  <c r="G6706" i="5"/>
  <c r="H6706" i="5" s="1"/>
  <c r="G6707" i="5"/>
  <c r="G6708" i="5"/>
  <c r="G6709" i="5"/>
  <c r="J4546" i="16"/>
  <c r="I4546" i="16"/>
  <c r="G6710" i="5"/>
  <c r="H6710" i="5" s="1"/>
  <c r="G6711" i="5"/>
  <c r="G6712" i="5"/>
  <c r="G6713" i="5"/>
  <c r="G6714" i="5"/>
  <c r="H6714" i="5" s="1"/>
  <c r="G6715" i="5"/>
  <c r="G6716" i="5"/>
  <c r="G6717" i="5"/>
  <c r="G6718" i="5"/>
  <c r="H6718" i="5" s="1"/>
  <c r="G6719" i="5"/>
  <c r="G6720" i="5"/>
  <c r="G6721" i="5"/>
  <c r="J4485" i="16"/>
  <c r="I4485" i="16"/>
  <c r="G6722" i="5"/>
  <c r="H6722" i="5" s="1"/>
  <c r="G6723" i="5"/>
  <c r="G6724" i="5"/>
  <c r="G6725" i="5"/>
  <c r="J4482" i="16"/>
  <c r="G6726" i="5"/>
  <c r="H6726" i="5" s="1"/>
  <c r="I4482" i="16"/>
  <c r="G6727" i="5"/>
  <c r="G6728" i="5"/>
  <c r="G6729" i="5"/>
  <c r="J4483" i="16"/>
  <c r="I4483" i="16"/>
  <c r="G6730" i="5"/>
  <c r="H6730" i="5" s="1"/>
  <c r="G6731" i="5"/>
  <c r="G6732" i="5"/>
  <c r="G6733" i="5"/>
  <c r="J4484" i="16"/>
  <c r="I4484" i="16"/>
  <c r="G6734" i="5"/>
  <c r="H6734" i="5" s="1"/>
  <c r="G6735" i="5"/>
  <c r="G6736" i="5"/>
  <c r="G6737" i="5"/>
  <c r="J4487" i="16"/>
  <c r="G6738" i="5"/>
  <c r="H6738" i="5" s="1"/>
  <c r="I4487" i="16"/>
  <c r="G6739" i="5"/>
  <c r="G6740" i="5"/>
  <c r="G6741" i="5"/>
  <c r="J4488" i="16"/>
  <c r="I4488" i="16"/>
  <c r="G6742" i="5"/>
  <c r="H6742" i="5" s="1"/>
  <c r="G6743" i="5"/>
  <c r="G6744" i="5"/>
  <c r="G6745" i="5"/>
  <c r="J4489" i="16"/>
  <c r="I4489" i="16"/>
  <c r="G6746" i="5"/>
  <c r="H6746" i="5" s="1"/>
  <c r="G6747" i="5"/>
  <c r="G6748" i="5"/>
  <c r="G6749" i="5"/>
  <c r="J3114" i="16"/>
  <c r="I3114" i="16"/>
  <c r="G6750" i="5"/>
  <c r="H6750" i="5" s="1"/>
  <c r="G6751" i="5"/>
  <c r="G6752" i="5"/>
  <c r="G6753" i="5"/>
  <c r="J3113" i="16"/>
  <c r="I3113" i="16"/>
  <c r="G6755" i="5"/>
  <c r="G6756" i="5"/>
  <c r="G6757" i="5"/>
  <c r="J3116" i="16"/>
  <c r="I3116" i="16"/>
  <c r="G6758" i="5"/>
  <c r="H6758" i="5" s="1"/>
  <c r="G6759" i="5"/>
  <c r="G6760" i="5"/>
  <c r="G6761" i="5"/>
  <c r="J4505" i="16"/>
  <c r="G6762" i="5"/>
  <c r="H6762" i="5" s="1"/>
  <c r="I4505" i="16"/>
  <c r="G6763" i="5"/>
  <c r="G6764" i="5"/>
  <c r="G6765" i="5"/>
  <c r="J4712" i="16"/>
  <c r="I4712" i="16"/>
  <c r="G6767" i="5"/>
  <c r="G6768" i="5"/>
  <c r="G6769" i="5"/>
  <c r="J4713" i="16"/>
  <c r="I4713" i="16"/>
  <c r="G6770" i="5"/>
  <c r="H6770" i="5" s="1"/>
  <c r="G6771" i="5"/>
  <c r="G6772" i="5"/>
  <c r="G6773" i="5"/>
  <c r="J4714" i="16"/>
  <c r="G6774" i="5"/>
  <c r="H6774" i="5" s="1"/>
  <c r="I4714" i="16"/>
  <c r="G6775" i="5"/>
  <c r="G6776" i="5"/>
  <c r="G6777" i="5"/>
  <c r="J4740" i="16"/>
  <c r="I4740" i="16"/>
  <c r="G6778" i="5"/>
  <c r="H6778" i="5" s="1"/>
  <c r="G6779" i="5"/>
  <c r="G6780" i="5"/>
  <c r="G6781" i="5"/>
  <c r="J4741" i="16"/>
  <c r="G6782" i="5"/>
  <c r="H6782" i="5" s="1"/>
  <c r="I4741" i="16"/>
  <c r="G6783" i="5"/>
  <c r="G6784" i="5"/>
  <c r="G6785" i="5"/>
  <c r="J4745" i="16"/>
  <c r="I4745" i="16"/>
  <c r="G6786" i="5"/>
  <c r="H6786" i="5" s="1"/>
  <c r="G6787" i="5"/>
  <c r="G6788" i="5"/>
  <c r="G6789" i="5"/>
  <c r="J4748" i="16"/>
  <c r="I4748" i="16"/>
  <c r="G6790" i="5"/>
  <c r="H6790" i="5" s="1"/>
  <c r="G6791" i="5"/>
  <c r="G6792" i="5"/>
  <c r="G6793" i="5"/>
  <c r="J4743" i="16"/>
  <c r="I4743" i="16"/>
  <c r="G6794" i="5"/>
  <c r="H6794" i="5" s="1"/>
  <c r="G6795" i="5"/>
  <c r="G6796" i="5"/>
  <c r="G6797" i="5"/>
  <c r="J4744" i="16"/>
  <c r="I4744" i="16"/>
  <c r="G6799" i="5"/>
  <c r="G6800" i="5"/>
  <c r="G6801" i="5"/>
  <c r="G6802" i="5"/>
  <c r="H6802" i="5" s="1"/>
  <c r="G6803" i="5"/>
  <c r="G6804" i="5"/>
  <c r="G6805" i="5"/>
  <c r="J4739" i="16"/>
  <c r="I4739" i="16"/>
  <c r="G6806" i="5"/>
  <c r="H6806" i="5" s="1"/>
  <c r="G6807" i="5"/>
  <c r="G6808" i="5"/>
  <c r="G6809" i="5"/>
  <c r="G6810" i="5"/>
  <c r="H6810" i="5" s="1"/>
  <c r="G6811" i="5"/>
  <c r="G6812" i="5"/>
  <c r="G6813" i="5"/>
  <c r="J4755" i="16"/>
  <c r="G6814" i="5"/>
  <c r="H6814" i="5" s="1"/>
  <c r="I4755" i="16"/>
  <c r="G6815" i="5"/>
  <c r="G6816" i="5"/>
  <c r="G6817" i="5"/>
  <c r="G6818" i="5"/>
  <c r="H6818" i="5" s="1"/>
  <c r="G6819" i="5"/>
  <c r="G6820" i="5"/>
  <c r="G6821" i="5"/>
  <c r="G6822" i="5"/>
  <c r="H6822" i="5" s="1"/>
  <c r="G6823" i="5"/>
  <c r="G6824" i="5"/>
  <c r="G6825" i="5"/>
  <c r="G6826" i="5"/>
  <c r="H6826" i="5" s="1"/>
  <c r="G6827" i="5"/>
  <c r="G6828" i="5"/>
  <c r="G6829" i="5"/>
  <c r="G6831" i="5"/>
  <c r="G6832" i="5"/>
  <c r="G6833" i="5"/>
  <c r="J4760" i="16"/>
  <c r="I4760" i="16"/>
  <c r="G6834" i="5"/>
  <c r="H6834" i="5" s="1"/>
  <c r="G6835" i="5"/>
  <c r="G6836" i="5"/>
  <c r="G6837" i="5"/>
  <c r="J4761" i="16"/>
  <c r="G6838" i="5"/>
  <c r="H6838" i="5" s="1"/>
  <c r="I4761" i="16"/>
  <c r="G6839" i="5"/>
  <c r="G6840" i="5"/>
  <c r="G6841" i="5"/>
  <c r="J4762" i="16"/>
  <c r="I4762" i="16"/>
  <c r="G6843" i="5"/>
  <c r="G6844" i="5"/>
  <c r="G6845" i="5"/>
  <c r="J4754" i="16"/>
  <c r="I4754" i="16"/>
  <c r="G6846" i="5"/>
  <c r="H6846" i="5" s="1"/>
  <c r="G6847" i="5"/>
  <c r="G6848" i="5"/>
  <c r="G6849" i="5"/>
  <c r="G6851" i="5"/>
  <c r="G6852" i="5"/>
  <c r="G6853" i="5"/>
  <c r="J4868" i="16"/>
  <c r="I4868" i="16"/>
  <c r="G6854" i="5"/>
  <c r="H6854" i="5" s="1"/>
  <c r="G6855" i="5"/>
  <c r="G6856" i="5"/>
  <c r="G6857" i="5"/>
  <c r="J4843" i="16"/>
  <c r="G6858" i="5"/>
  <c r="H6858" i="5" s="1"/>
  <c r="I4843" i="16"/>
  <c r="G6859" i="5"/>
  <c r="G6860" i="5"/>
  <c r="G6861" i="5"/>
  <c r="J4845" i="16"/>
  <c r="I4845" i="16"/>
  <c r="G6862" i="5"/>
  <c r="H6862" i="5" s="1"/>
  <c r="G6863" i="5"/>
  <c r="G6864" i="5"/>
  <c r="G6865" i="5"/>
  <c r="J4855" i="16"/>
  <c r="G6866" i="5"/>
  <c r="H6866" i="5" s="1"/>
  <c r="I4855" i="16"/>
  <c r="G6867" i="5"/>
  <c r="G6868" i="5"/>
  <c r="G6869" i="5"/>
  <c r="J4854" i="16"/>
  <c r="I4854" i="16"/>
  <c r="G6870" i="5"/>
  <c r="H6870" i="5" s="1"/>
  <c r="G6871" i="5"/>
  <c r="G6872" i="5"/>
  <c r="G6873" i="5"/>
  <c r="J4865" i="16"/>
  <c r="I4865" i="16"/>
  <c r="G6874" i="5"/>
  <c r="H6874" i="5" s="1"/>
  <c r="G6875" i="5"/>
  <c r="G6876" i="5"/>
  <c r="G6877" i="5"/>
  <c r="J4866" i="16"/>
  <c r="I4866" i="16"/>
  <c r="G6878" i="5"/>
  <c r="H6878" i="5" s="1"/>
  <c r="G6879" i="5"/>
  <c r="G6880" i="5"/>
  <c r="G6881" i="5"/>
  <c r="J4863" i="16"/>
  <c r="I4863" i="16"/>
  <c r="G6882" i="5"/>
  <c r="H6882" i="5" s="1"/>
  <c r="G6883" i="5"/>
  <c r="G6884" i="5"/>
  <c r="G6885" i="5"/>
  <c r="J4862" i="16"/>
  <c r="I4862" i="16"/>
  <c r="G6886" i="5"/>
  <c r="H6886" i="5" s="1"/>
  <c r="G6887" i="5"/>
  <c r="G6888" i="5"/>
  <c r="G6889" i="5"/>
  <c r="G6891" i="5"/>
  <c r="G6892" i="5"/>
  <c r="G6893" i="5"/>
  <c r="G6894" i="5"/>
  <c r="H6894" i="5" s="1"/>
  <c r="G6895" i="5"/>
  <c r="G6896" i="5"/>
  <c r="G6897" i="5"/>
  <c r="G6898" i="5"/>
  <c r="H6898" i="5" s="1"/>
  <c r="G6899" i="5"/>
  <c r="G6900" i="5"/>
  <c r="G6901" i="5"/>
  <c r="J110" i="16"/>
  <c r="I110" i="16"/>
  <c r="G6902" i="5"/>
  <c r="H6902" i="5" s="1"/>
  <c r="G6903" i="5"/>
  <c r="G6904" i="5"/>
  <c r="G6905" i="5"/>
  <c r="J99" i="16"/>
  <c r="G6906" i="5"/>
  <c r="H6906" i="5" s="1"/>
  <c r="I99" i="16"/>
  <c r="G6907" i="5"/>
  <c r="G6908" i="5"/>
  <c r="G6909" i="5"/>
  <c r="J238" i="16"/>
  <c r="I238" i="16"/>
  <c r="G6910" i="5"/>
  <c r="H6910" i="5" s="1"/>
  <c r="G6911" i="5"/>
  <c r="G6912" i="5"/>
  <c r="G6913" i="5"/>
  <c r="J257" i="16"/>
  <c r="G6914" i="5"/>
  <c r="H6914" i="5" s="1"/>
  <c r="I257" i="16"/>
  <c r="G6915" i="5"/>
  <c r="G6916" i="5"/>
  <c r="G6917" i="5"/>
  <c r="J669" i="16"/>
  <c r="I669" i="16"/>
  <c r="G6918" i="5"/>
  <c r="H6918" i="5" s="1"/>
  <c r="G6919" i="5"/>
  <c r="G6920" i="5"/>
  <c r="G6921" i="5"/>
  <c r="J3480" i="16"/>
  <c r="I3480" i="16"/>
  <c r="G6922" i="5"/>
  <c r="H6922" i="5" s="1"/>
  <c r="G6923" i="5"/>
  <c r="G6924" i="5"/>
  <c r="G6925" i="5"/>
  <c r="J846" i="16"/>
  <c r="I846" i="16"/>
  <c r="G6926" i="5"/>
  <c r="H6926" i="5" s="1"/>
  <c r="G6927" i="5"/>
  <c r="G6928" i="5"/>
  <c r="G6929" i="5"/>
  <c r="J981" i="16"/>
  <c r="I981" i="16"/>
  <c r="G6931" i="5"/>
  <c r="G6932" i="5"/>
  <c r="G6933" i="5"/>
  <c r="J3934" i="16"/>
  <c r="I3934" i="16"/>
  <c r="G6934" i="5"/>
  <c r="H6934" i="5" s="1"/>
  <c r="G6935" i="5"/>
  <c r="G6936" i="5"/>
  <c r="G6937" i="5"/>
  <c r="J1019" i="16"/>
  <c r="G6938" i="5"/>
  <c r="H6938" i="5" s="1"/>
  <c r="I1019" i="16"/>
  <c r="G6939" i="5"/>
  <c r="G6940" i="5"/>
  <c r="G6941" i="5"/>
  <c r="J4039" i="16"/>
  <c r="I4039" i="16"/>
  <c r="G6942" i="5"/>
  <c r="H6942" i="5" s="1"/>
  <c r="G6943" i="5"/>
  <c r="G6944" i="5"/>
  <c r="G6945" i="5"/>
  <c r="J1304" i="16"/>
  <c r="G6946" i="5"/>
  <c r="H6946" i="5" s="1"/>
  <c r="I1304" i="16"/>
  <c r="G6947" i="5"/>
  <c r="G6948" i="5"/>
  <c r="G6949" i="5"/>
  <c r="J1617" i="16"/>
  <c r="I1617" i="16"/>
  <c r="G6950" i="5"/>
  <c r="H6950" i="5" s="1"/>
  <c r="G6951" i="5"/>
  <c r="G6952" i="5"/>
  <c r="G6953" i="5"/>
  <c r="G6954" i="5"/>
  <c r="H6954" i="5" s="1"/>
  <c r="G6955" i="5"/>
  <c r="G6956" i="5"/>
  <c r="G6957" i="5"/>
  <c r="J1619" i="16"/>
  <c r="I1619" i="16"/>
  <c r="G6958" i="5"/>
  <c r="H6958" i="5" s="1"/>
  <c r="G6959" i="5"/>
  <c r="G6960" i="5"/>
  <c r="G6961" i="5"/>
  <c r="J1517" i="16"/>
  <c r="G6962" i="5"/>
  <c r="H6962" i="5" s="1"/>
  <c r="I1517" i="16"/>
  <c r="G6963" i="5"/>
  <c r="G6964" i="5"/>
  <c r="G6965" i="5"/>
  <c r="J2098" i="16"/>
  <c r="I2098" i="16"/>
  <c r="G6966" i="5"/>
  <c r="H6966" i="5" s="1"/>
  <c r="G6967" i="5"/>
  <c r="G6968" i="5"/>
  <c r="G6969" i="5"/>
  <c r="J107" i="16"/>
  <c r="I107" i="16"/>
  <c r="G6970" i="5"/>
  <c r="H6970" i="5" s="1"/>
  <c r="G6971" i="5"/>
  <c r="G6972" i="5"/>
  <c r="G6973" i="5"/>
  <c r="J103" i="16"/>
  <c r="I103" i="16"/>
  <c r="G6974" i="5"/>
  <c r="H6974" i="5" s="1"/>
  <c r="G6975" i="5"/>
  <c r="G6976" i="5"/>
  <c r="G6977" i="5"/>
  <c r="J2349" i="16"/>
  <c r="I2349" i="16"/>
  <c r="G6979" i="5"/>
  <c r="G6980" i="5"/>
  <c r="G6981" i="5"/>
  <c r="J2459" i="16"/>
  <c r="I2459" i="16"/>
  <c r="G6982" i="5"/>
  <c r="H6982" i="5" s="1"/>
  <c r="G6983" i="5"/>
  <c r="G6984" i="5"/>
  <c r="G6985" i="5"/>
  <c r="J2348" i="16"/>
  <c r="G6986" i="5"/>
  <c r="H6986" i="5" s="1"/>
  <c r="I2348" i="16"/>
  <c r="G6987" i="5"/>
  <c r="G6988" i="5"/>
  <c r="G6989" i="5"/>
  <c r="J2409" i="16"/>
  <c r="I2409" i="16"/>
  <c r="G6990" i="5"/>
  <c r="H6990" i="5" s="1"/>
  <c r="G6991" i="5"/>
  <c r="G6992" i="5"/>
  <c r="G6993" i="5"/>
  <c r="J2357" i="16"/>
  <c r="G6994" i="5"/>
  <c r="H6994" i="5" s="1"/>
  <c r="I2357" i="16"/>
  <c r="G6995" i="5"/>
  <c r="G6996" i="5"/>
  <c r="G6997" i="5"/>
  <c r="J2358" i="16"/>
  <c r="G6998" i="5"/>
  <c r="H6998" i="5" s="1"/>
  <c r="I2358" i="16"/>
  <c r="G6999" i="5"/>
  <c r="G7000" i="5"/>
  <c r="G7001" i="5"/>
  <c r="J2422" i="16"/>
  <c r="I2422" i="16"/>
  <c r="G7002" i="5"/>
  <c r="H7002" i="5" s="1"/>
  <c r="G7003" i="5"/>
  <c r="G7004" i="5"/>
  <c r="G7005" i="5"/>
  <c r="J4167" i="16"/>
  <c r="G7006" i="5"/>
  <c r="H7006" i="5" s="1"/>
  <c r="I4167" i="16"/>
  <c r="G7007" i="5"/>
  <c r="G7008" i="5"/>
  <c r="G7009" i="5"/>
  <c r="G7010" i="5"/>
  <c r="H7010" i="5" s="1"/>
  <c r="G7011" i="5"/>
  <c r="G7012" i="5"/>
  <c r="G7013" i="5"/>
  <c r="J1291" i="16"/>
  <c r="G7014" i="5"/>
  <c r="H7014" i="5" s="1"/>
  <c r="I1291" i="16"/>
  <c r="G7015" i="5"/>
  <c r="G7016" i="5"/>
  <c r="G7017" i="5"/>
  <c r="J2711" i="16"/>
  <c r="I2711" i="16"/>
  <c r="G7018" i="5"/>
  <c r="H7018" i="5" s="1"/>
  <c r="G7019" i="5"/>
  <c r="G7020" i="5"/>
  <c r="G7021" i="5"/>
  <c r="J2775" i="16"/>
  <c r="I2775" i="16"/>
  <c r="G7022" i="5"/>
  <c r="H7022" i="5" s="1"/>
  <c r="G7023" i="5"/>
  <c r="G7024" i="5"/>
  <c r="G7025" i="5"/>
  <c r="G7027" i="5"/>
  <c r="G7028" i="5"/>
  <c r="G7029" i="5"/>
  <c r="G7030" i="5"/>
  <c r="H7030" i="5" s="1"/>
  <c r="G7031" i="5"/>
  <c r="G7032" i="5"/>
  <c r="G7033" i="5"/>
  <c r="G7034" i="5"/>
  <c r="H7034" i="5" s="1"/>
  <c r="G7035" i="5"/>
  <c r="G7036" i="5"/>
  <c r="G7037" i="5"/>
  <c r="J4175" i="16"/>
  <c r="G7038" i="5"/>
  <c r="H7038" i="5" s="1"/>
  <c r="I4175" i="16"/>
  <c r="G7039" i="5"/>
  <c r="G7040" i="5"/>
  <c r="G7041" i="5"/>
  <c r="J4176" i="16"/>
  <c r="I4176" i="16"/>
  <c r="G7042" i="5"/>
  <c r="H7042" i="5" s="1"/>
  <c r="G7043" i="5"/>
  <c r="G7044" i="5"/>
  <c r="G7045" i="5"/>
  <c r="J4178" i="16"/>
  <c r="I4178" i="16"/>
  <c r="G7046" i="5"/>
  <c r="H7046" i="5" s="1"/>
  <c r="G7047" i="5"/>
  <c r="G7048" i="5"/>
  <c r="G7049" i="5"/>
  <c r="J2479" i="16"/>
  <c r="I2479" i="16"/>
  <c r="G7050" i="5"/>
  <c r="H7050" i="5" s="1"/>
  <c r="G7051" i="5"/>
  <c r="G7052" i="5"/>
  <c r="G7053" i="5"/>
  <c r="J4813" i="16"/>
  <c r="G7054" i="5"/>
  <c r="H7054" i="5" s="1"/>
  <c r="I4813" i="16"/>
  <c r="G7055" i="5"/>
  <c r="G7056" i="5"/>
  <c r="G7057" i="5"/>
  <c r="J4814" i="16"/>
  <c r="I4814" i="16"/>
  <c r="G7058" i="5"/>
  <c r="H7058" i="5" s="1"/>
  <c r="G7059" i="5"/>
  <c r="G7060" i="5"/>
  <c r="G7061" i="5"/>
  <c r="J4784" i="16"/>
  <c r="G7062" i="5"/>
  <c r="H7062" i="5" s="1"/>
  <c r="I4784" i="16"/>
  <c r="G7063" i="5"/>
  <c r="G7064" i="5"/>
  <c r="G7065" i="5"/>
  <c r="J4783" i="16"/>
  <c r="I4783" i="16"/>
  <c r="G7066" i="5"/>
  <c r="H7066" i="5" s="1"/>
  <c r="G7067" i="5"/>
  <c r="G7068" i="5"/>
  <c r="G7069" i="5"/>
  <c r="J4789" i="16"/>
  <c r="I4789" i="16"/>
  <c r="G7070" i="5"/>
  <c r="H7070" i="5" s="1"/>
  <c r="G7071" i="5"/>
  <c r="G7072" i="5"/>
  <c r="G7073" i="5"/>
  <c r="J4791" i="16"/>
  <c r="I4791" i="16"/>
  <c r="G7074" i="5"/>
  <c r="H7074" i="5" s="1"/>
  <c r="G7075" i="5"/>
  <c r="G7076" i="5"/>
  <c r="G7077" i="5"/>
  <c r="J4792" i="16"/>
  <c r="I4792" i="16"/>
  <c r="G7079" i="5"/>
  <c r="G7080" i="5"/>
  <c r="G7081" i="5"/>
  <c r="G7082" i="5"/>
  <c r="H7082" i="5" s="1"/>
  <c r="G7083" i="5"/>
  <c r="G7084" i="5"/>
  <c r="G7085" i="5"/>
  <c r="J4788" i="16"/>
  <c r="I4788" i="16"/>
  <c r="G7087" i="5"/>
  <c r="G7088" i="5"/>
  <c r="G7089" i="5"/>
  <c r="J4046" i="16"/>
  <c r="I4046" i="16"/>
  <c r="G7090" i="5"/>
  <c r="H7090" i="5" s="1"/>
  <c r="G7091" i="5"/>
  <c r="G7092" i="5"/>
  <c r="G7093" i="5"/>
  <c r="J4048" i="16"/>
  <c r="G7094" i="5"/>
  <c r="H7094" i="5" s="1"/>
  <c r="I4048" i="16"/>
  <c r="G7095" i="5"/>
  <c r="G7096" i="5"/>
  <c r="G7097" i="5"/>
  <c r="J4050" i="16"/>
  <c r="I4050" i="16"/>
  <c r="G7098" i="5"/>
  <c r="H7098" i="5" s="1"/>
  <c r="G7099" i="5"/>
  <c r="G7100" i="5"/>
  <c r="G7101" i="5"/>
  <c r="J4051" i="16"/>
  <c r="G7102" i="5"/>
  <c r="H7102" i="5" s="1"/>
  <c r="I4051" i="16"/>
  <c r="G7103" i="5"/>
  <c r="G7104" i="5"/>
  <c r="G7105" i="5"/>
  <c r="J4073" i="16"/>
  <c r="I4073" i="16"/>
  <c r="G7106" i="5"/>
  <c r="H7106" i="5" s="1"/>
  <c r="G7107" i="5"/>
  <c r="G7108" i="5"/>
  <c r="G7109" i="5"/>
  <c r="J4030" i="16"/>
  <c r="I4030" i="16"/>
  <c r="G7110" i="5"/>
  <c r="H7110" i="5" s="1"/>
  <c r="G7111" i="5"/>
  <c r="G7112" i="5"/>
  <c r="G7113" i="5"/>
  <c r="J4031" i="16"/>
  <c r="G7114" i="5"/>
  <c r="H7114" i="5" s="1"/>
  <c r="I4031" i="16"/>
  <c r="G7115" i="5"/>
  <c r="G7116" i="5"/>
  <c r="G7117" i="5"/>
  <c r="J2671" i="16"/>
  <c r="I2671" i="16"/>
  <c r="G7118" i="5"/>
  <c r="H7118" i="5" s="1"/>
  <c r="G7119" i="5"/>
  <c r="G7120" i="5"/>
  <c r="G7121" i="5"/>
  <c r="J2672" i="16"/>
  <c r="I2672" i="16"/>
  <c r="G7122" i="5"/>
  <c r="H7122" i="5" s="1"/>
  <c r="G7123" i="5"/>
  <c r="G7124" i="5"/>
  <c r="G7125" i="5"/>
  <c r="J2818" i="16"/>
  <c r="I2818" i="16"/>
  <c r="G7126" i="5"/>
  <c r="H7126" i="5" s="1"/>
  <c r="G7127" i="5"/>
  <c r="G7128" i="5"/>
  <c r="G7129" i="5"/>
  <c r="G7131" i="5"/>
  <c r="G7132" i="5"/>
  <c r="G7133" i="5"/>
  <c r="J2815" i="16"/>
  <c r="G7134" i="5"/>
  <c r="H7134" i="5" s="1"/>
  <c r="I2815" i="16"/>
  <c r="G7135" i="5"/>
  <c r="G7136" i="5"/>
  <c r="G7137" i="5"/>
  <c r="J4807" i="16"/>
  <c r="I4807" i="16"/>
  <c r="G7138" i="5"/>
  <c r="H7138" i="5" s="1"/>
  <c r="G7139" i="5"/>
  <c r="G7140" i="5"/>
  <c r="G7141" i="5"/>
  <c r="J4809" i="16"/>
  <c r="G7142" i="5"/>
  <c r="H7142" i="5" s="1"/>
  <c r="I4809" i="16"/>
  <c r="G7143" i="5"/>
  <c r="G7144" i="5"/>
  <c r="G7145" i="5"/>
  <c r="E7146" i="5"/>
  <c r="G7146" i="5"/>
  <c r="H7146" i="5" s="1"/>
  <c r="G7147" i="5"/>
  <c r="G7148" i="5"/>
  <c r="G7149" i="5"/>
  <c r="G7150" i="5"/>
  <c r="G7151" i="5"/>
  <c r="E7152" i="5"/>
  <c r="G7152" i="5" s="1"/>
  <c r="H7152" i="5" s="1"/>
  <c r="G7153" i="5"/>
  <c r="G7154" i="5"/>
  <c r="G7155" i="5"/>
  <c r="G7156" i="5"/>
  <c r="G7157" i="5"/>
  <c r="E7158" i="5"/>
  <c r="G7158" i="5" s="1"/>
  <c r="H7158" i="5" s="1"/>
  <c r="G7159" i="5"/>
  <c r="G7160" i="5"/>
  <c r="G7161" i="5"/>
  <c r="G7162" i="5"/>
  <c r="G7163" i="5"/>
  <c r="E7164" i="5"/>
  <c r="G7164" i="5"/>
  <c r="H7164" i="5" s="1"/>
  <c r="G7165" i="5"/>
  <c r="G7166" i="5"/>
  <c r="G7167" i="5"/>
  <c r="G7168" i="5"/>
  <c r="G7169" i="5"/>
  <c r="J2291" i="16"/>
  <c r="I2291" i="16"/>
  <c r="E7170" i="5"/>
  <c r="G7170" i="5" s="1"/>
  <c r="H7170" i="5" s="1"/>
  <c r="G7171" i="5"/>
  <c r="G7172" i="5"/>
  <c r="G7173" i="5"/>
  <c r="G7174" i="5"/>
  <c r="G7175" i="5"/>
  <c r="E7176" i="5"/>
  <c r="G7177" i="5"/>
  <c r="G7178" i="5"/>
  <c r="G7179" i="5"/>
  <c r="G7180" i="5"/>
  <c r="G7181" i="5"/>
  <c r="E7182" i="5"/>
  <c r="G7183" i="5"/>
  <c r="G7184" i="5"/>
  <c r="G7185" i="5"/>
  <c r="G7186" i="5"/>
  <c r="G7187" i="5"/>
  <c r="E7188" i="5"/>
  <c r="G7188" i="5" s="1"/>
  <c r="H7188" i="5" s="1"/>
  <c r="G7189" i="5"/>
  <c r="G7190" i="5"/>
  <c r="G7191" i="5"/>
  <c r="G7192" i="5"/>
  <c r="G7193" i="5"/>
  <c r="E7194" i="5"/>
  <c r="G7194" i="5" s="1"/>
  <c r="H7194" i="5" s="1"/>
  <c r="G7195" i="5"/>
  <c r="G7196" i="5"/>
  <c r="G7197" i="5"/>
  <c r="G7198" i="5"/>
  <c r="G7199" i="5"/>
  <c r="E7200" i="5"/>
  <c r="G7200" i="5" s="1"/>
  <c r="H7200" i="5" s="1"/>
  <c r="G7201" i="5"/>
  <c r="G7202" i="5"/>
  <c r="G7203" i="5"/>
  <c r="G7204" i="5"/>
  <c r="G7205" i="5"/>
  <c r="J2904" i="16"/>
  <c r="I2904" i="16"/>
  <c r="G7206" i="5"/>
  <c r="H7206" i="5" s="1"/>
  <c r="G7207" i="5"/>
  <c r="G7208" i="5"/>
  <c r="G7209" i="5"/>
  <c r="J2913" i="16"/>
  <c r="G7210" i="5"/>
  <c r="H7210" i="5" s="1"/>
  <c r="I2913" i="16"/>
  <c r="G7211" i="5"/>
  <c r="G7212" i="5"/>
  <c r="G7213" i="5"/>
  <c r="J617" i="16"/>
  <c r="I617" i="16"/>
  <c r="G7214" i="5"/>
  <c r="H7214" i="5" s="1"/>
  <c r="G7215" i="5"/>
  <c r="G7216" i="5"/>
  <c r="G7217" i="5"/>
  <c r="J4486" i="16"/>
  <c r="G7218" i="5"/>
  <c r="H7218" i="5" s="1"/>
  <c r="I4486" i="16"/>
  <c r="G7219" i="5"/>
  <c r="G7220" i="5"/>
  <c r="G7221" i="5"/>
  <c r="G7222" i="5"/>
  <c r="G7225" i="5"/>
  <c r="G7226" i="5"/>
  <c r="G7227" i="5"/>
  <c r="G7229" i="5"/>
  <c r="G7232" i="5"/>
  <c r="G7233" i="5"/>
  <c r="G7235" i="5"/>
  <c r="G7236" i="5"/>
  <c r="G7238" i="5"/>
  <c r="G7239" i="5"/>
  <c r="G7240" i="5"/>
  <c r="G7243" i="5"/>
  <c r="G7244" i="5"/>
  <c r="G7245" i="5"/>
  <c r="G7248" i="5"/>
  <c r="G7249" i="5"/>
  <c r="G7250" i="5"/>
  <c r="G7253" i="5"/>
  <c r="G7254" i="5"/>
  <c r="G7255" i="5"/>
  <c r="J1446" i="16"/>
  <c r="G7256" i="5"/>
  <c r="H7256" i="5" s="1"/>
  <c r="I1446" i="16"/>
  <c r="G7257" i="5"/>
  <c r="G7258" i="5"/>
  <c r="G7259" i="5"/>
  <c r="G7260" i="5"/>
  <c r="H7260" i="5" s="1"/>
  <c r="G7261" i="5"/>
  <c r="G7262" i="5"/>
  <c r="G7263" i="5"/>
  <c r="G7265" i="5"/>
  <c r="G7266" i="5"/>
  <c r="G7267" i="5"/>
  <c r="J503" i="16"/>
  <c r="I503" i="16"/>
  <c r="G7268" i="5"/>
  <c r="H7268" i="5" s="1"/>
  <c r="G7269" i="5"/>
  <c r="G7270" i="5"/>
  <c r="G7271" i="5"/>
  <c r="G7272" i="5"/>
  <c r="H7272" i="5" s="1"/>
  <c r="G7273" i="5"/>
  <c r="G7274" i="5"/>
  <c r="G7275" i="5"/>
  <c r="J3008" i="16"/>
  <c r="I3008" i="16"/>
  <c r="G7276" i="5"/>
  <c r="H7276" i="5" s="1"/>
  <c r="G7277" i="5"/>
  <c r="G7278" i="5"/>
  <c r="G7279" i="5"/>
  <c r="G7280" i="5"/>
  <c r="H7280" i="5" s="1"/>
  <c r="G7281" i="5"/>
  <c r="G7282" i="5"/>
  <c r="G7283" i="5"/>
  <c r="J4215" i="16"/>
  <c r="I4215" i="16"/>
  <c r="G7284" i="5"/>
  <c r="H7284" i="5" s="1"/>
  <c r="G7285" i="5"/>
  <c r="G7286" i="5"/>
  <c r="G7287" i="5"/>
  <c r="G7289" i="5"/>
  <c r="G7290" i="5"/>
  <c r="G7291" i="5"/>
  <c r="G7292" i="5"/>
  <c r="H7292" i="5" s="1"/>
  <c r="G7293" i="5"/>
  <c r="G7294" i="5"/>
  <c r="G7295" i="5"/>
  <c r="G7296" i="5"/>
  <c r="H7296" i="5" s="1"/>
  <c r="G7297" i="5"/>
  <c r="G7298" i="5"/>
  <c r="G7299" i="5"/>
  <c r="G7300" i="5"/>
  <c r="H7300" i="5" s="1"/>
  <c r="G7301" i="5"/>
  <c r="G7302" i="5"/>
  <c r="G7303" i="5"/>
  <c r="G7304" i="5"/>
  <c r="H7304" i="5" s="1"/>
  <c r="G7305" i="5"/>
  <c r="G7306" i="5"/>
  <c r="G7307" i="5"/>
  <c r="G7308" i="5"/>
  <c r="H7308" i="5" s="1"/>
  <c r="G7309" i="5"/>
  <c r="G7310" i="5"/>
  <c r="G7311" i="5"/>
  <c r="G7312" i="5"/>
  <c r="H7312" i="5" s="1"/>
  <c r="G7313" i="5"/>
  <c r="G7314" i="5"/>
  <c r="G7315" i="5"/>
  <c r="J3290" i="16"/>
  <c r="I3290" i="16"/>
  <c r="G7316" i="5"/>
  <c r="G7318" i="5"/>
  <c r="G7320" i="5"/>
  <c r="G7321" i="5"/>
  <c r="G7322" i="5"/>
  <c r="J1860" i="16"/>
  <c r="I1860" i="16"/>
  <c r="G7323" i="5"/>
  <c r="G7324" i="5"/>
  <c r="G7325" i="5"/>
  <c r="G7326" i="5"/>
  <c r="G7327" i="5"/>
  <c r="G7328" i="5"/>
  <c r="G7330" i="5"/>
  <c r="G7331" i="5"/>
  <c r="J3567" i="16"/>
  <c r="I3567" i="16"/>
  <c r="G7334" i="5"/>
  <c r="G7335" i="5"/>
  <c r="G7336" i="5"/>
  <c r="G7337" i="5"/>
  <c r="G7338" i="5"/>
  <c r="G7339" i="5"/>
  <c r="G7340" i="5"/>
  <c r="J3585" i="16"/>
  <c r="G7341" i="5"/>
  <c r="I3585" i="16"/>
  <c r="G7342" i="5"/>
  <c r="G7343" i="5"/>
  <c r="G7344" i="5"/>
  <c r="G7345" i="5"/>
  <c r="G7347" i="5"/>
  <c r="G7348" i="5"/>
  <c r="G7349" i="5"/>
  <c r="G7350" i="5"/>
  <c r="G7353" i="5"/>
  <c r="G7354" i="5"/>
  <c r="G7355" i="5"/>
  <c r="G7356" i="5"/>
  <c r="G7357" i="5"/>
  <c r="G7358" i="5"/>
  <c r="G7359" i="5"/>
  <c r="G7360" i="5"/>
  <c r="G7361" i="5"/>
  <c r="G7364" i="5"/>
  <c r="G7365" i="5"/>
  <c r="G7366" i="5"/>
  <c r="G7367" i="5"/>
  <c r="G7370" i="5"/>
  <c r="G7371" i="5"/>
  <c r="G7372" i="5"/>
  <c r="G7373" i="5"/>
  <c r="G7374" i="5"/>
  <c r="G7375" i="5"/>
  <c r="J2636" i="16"/>
  <c r="G7377" i="5"/>
  <c r="G7378" i="5"/>
  <c r="I2636" i="16"/>
  <c r="G7380" i="5"/>
  <c r="G7381" i="5"/>
  <c r="G7382" i="5"/>
  <c r="J1856" i="16"/>
  <c r="I1856" i="16"/>
  <c r="G7385" i="5"/>
  <c r="G7386" i="5"/>
  <c r="G7387" i="5"/>
  <c r="G7388" i="5"/>
  <c r="G7390" i="5"/>
  <c r="G7392" i="5"/>
  <c r="G7393" i="5"/>
  <c r="G7394" i="5"/>
  <c r="G7395" i="5"/>
  <c r="G7396" i="5"/>
  <c r="G7397" i="5"/>
  <c r="G7399" i="5"/>
  <c r="G7400" i="5"/>
  <c r="G7401" i="5"/>
  <c r="G7402" i="5"/>
  <c r="G7404" i="5"/>
  <c r="G7405" i="5"/>
  <c r="G7406" i="5"/>
  <c r="G7407" i="5"/>
  <c r="G7408" i="5"/>
  <c r="G7409" i="5"/>
  <c r="G7410" i="5"/>
  <c r="G7411" i="5"/>
  <c r="G7412" i="5"/>
  <c r="G7413" i="5"/>
  <c r="G7414" i="5"/>
  <c r="G7415" i="5"/>
  <c r="G7417" i="5"/>
  <c r="G7418" i="5"/>
  <c r="G7419" i="5"/>
  <c r="G7420" i="5"/>
  <c r="G7421" i="5"/>
  <c r="G7423" i="5"/>
  <c r="G7424" i="5"/>
  <c r="G7425" i="5"/>
  <c r="G7426" i="5"/>
  <c r="J2635" i="16"/>
  <c r="G7428" i="5"/>
  <c r="G7429" i="5"/>
  <c r="I2635" i="16"/>
  <c r="G7431" i="5"/>
  <c r="G7432" i="5"/>
  <c r="G7433" i="5"/>
  <c r="G7434" i="5"/>
  <c r="G7435" i="5"/>
  <c r="G7436" i="5"/>
  <c r="G7437" i="5"/>
  <c r="G7438" i="5"/>
  <c r="G7439" i="5"/>
  <c r="G7440" i="5"/>
  <c r="G7441" i="5"/>
  <c r="G7442" i="5"/>
  <c r="G7444" i="5"/>
  <c r="G7445" i="5"/>
  <c r="G7446" i="5"/>
  <c r="G7449" i="5"/>
  <c r="G7450" i="5"/>
  <c r="G7451" i="5"/>
  <c r="G7452" i="5"/>
  <c r="G7453" i="5"/>
  <c r="J1266" i="16"/>
  <c r="I1266" i="16"/>
  <c r="G7454" i="5"/>
  <c r="G7457" i="5"/>
  <c r="G7458" i="5"/>
  <c r="G7459" i="5"/>
  <c r="G7460" i="5"/>
  <c r="J1510" i="16"/>
  <c r="I1510" i="16"/>
  <c r="G7462" i="5"/>
  <c r="G7463" i="5"/>
  <c r="G7464" i="5"/>
  <c r="G7466" i="5"/>
  <c r="G7467" i="5"/>
  <c r="G7468" i="5"/>
  <c r="G7469" i="5"/>
  <c r="G7470" i="5"/>
  <c r="G7471" i="5"/>
  <c r="G7472" i="5"/>
  <c r="G7474" i="5"/>
  <c r="G7475" i="5"/>
  <c r="G7476" i="5"/>
  <c r="G7478" i="5"/>
  <c r="G7479" i="5"/>
  <c r="G7480" i="5"/>
  <c r="G7484" i="5"/>
  <c r="G7485" i="5"/>
  <c r="G7486" i="5"/>
  <c r="G7487" i="5"/>
  <c r="G7488" i="5"/>
  <c r="G7489" i="5"/>
  <c r="J1697" i="16"/>
  <c r="I1697" i="16"/>
  <c r="G7492" i="5"/>
  <c r="G7493" i="5"/>
  <c r="G7494" i="5"/>
  <c r="G7495" i="5"/>
  <c r="G7496" i="5"/>
  <c r="G7498" i="5"/>
  <c r="G7499" i="5"/>
  <c r="G7500" i="5"/>
  <c r="G7507" i="5"/>
  <c r="G7508" i="5"/>
  <c r="G7509" i="5"/>
  <c r="G7510" i="5"/>
  <c r="G7511" i="5"/>
  <c r="G7513" i="5"/>
  <c r="G7514" i="5"/>
  <c r="G7515" i="5"/>
  <c r="G7516" i="5"/>
  <c r="G7517" i="5"/>
  <c r="G7518" i="5"/>
  <c r="G7519" i="5"/>
  <c r="G7520" i="5"/>
  <c r="G7521" i="5"/>
  <c r="J4295" i="16"/>
  <c r="I4295" i="16"/>
  <c r="G7524" i="5"/>
  <c r="G7525" i="5"/>
  <c r="G7526" i="5"/>
  <c r="G7533" i="5"/>
  <c r="G7534" i="5"/>
  <c r="G7535" i="5"/>
  <c r="G7538" i="5"/>
  <c r="G7539" i="5"/>
  <c r="G7540" i="5"/>
  <c r="G7547" i="5"/>
  <c r="G7548" i="5"/>
  <c r="G7549" i="5"/>
  <c r="G7553" i="5"/>
  <c r="G7554" i="5"/>
  <c r="G7555" i="5"/>
  <c r="G7556" i="5"/>
  <c r="J1524" i="16"/>
  <c r="I1524" i="16"/>
  <c r="G7557" i="5"/>
  <c r="H7557" i="5" s="1"/>
  <c r="G7558" i="5"/>
  <c r="G7559" i="5"/>
  <c r="G7560" i="5"/>
  <c r="J2418" i="16"/>
  <c r="I2418" i="16"/>
  <c r="G7561" i="5"/>
  <c r="H7561" i="5" s="1"/>
  <c r="G7562" i="5"/>
  <c r="G7563" i="5"/>
  <c r="G7564" i="5"/>
  <c r="J2455" i="16"/>
  <c r="I2455" i="16"/>
  <c r="G7565" i="5"/>
  <c r="H7565" i="5" s="1"/>
  <c r="G7566" i="5"/>
  <c r="G7567" i="5"/>
  <c r="G7568" i="5"/>
  <c r="J2398" i="16"/>
  <c r="I2398" i="16"/>
  <c r="G7569" i="5"/>
  <c r="H7569" i="5" s="1"/>
  <c r="G7570" i="5"/>
  <c r="G7571" i="5"/>
  <c r="G7572" i="5"/>
  <c r="J2403" i="16"/>
  <c r="G7573" i="5"/>
  <c r="H7573" i="5" s="1"/>
  <c r="I2403" i="16"/>
  <c r="G7574" i="5"/>
  <c r="G7575" i="5"/>
  <c r="G7576" i="5"/>
  <c r="J2404" i="16"/>
  <c r="G7577" i="5"/>
  <c r="H7577" i="5" s="1"/>
  <c r="I2404" i="16"/>
  <c r="G7578" i="5"/>
  <c r="G7579" i="5"/>
  <c r="G7580" i="5"/>
  <c r="J4164" i="16"/>
  <c r="G7581" i="5"/>
  <c r="H7581" i="5" s="1"/>
  <c r="I4164" i="16"/>
  <c r="G7582" i="5"/>
  <c r="G7583" i="5"/>
  <c r="G7584" i="5"/>
  <c r="J4148" i="16"/>
  <c r="G7585" i="5"/>
  <c r="H7585" i="5" s="1"/>
  <c r="I4148" i="16"/>
  <c r="G7586" i="5"/>
  <c r="G7587" i="5"/>
  <c r="G7588" i="5"/>
  <c r="J4147" i="16"/>
  <c r="G7589" i="5"/>
  <c r="H7589" i="5" s="1"/>
  <c r="I4147" i="16"/>
  <c r="G7590" i="5"/>
  <c r="G7591" i="5"/>
  <c r="G7592" i="5"/>
  <c r="J1015" i="16"/>
  <c r="G7593" i="5"/>
  <c r="H7593" i="5" s="1"/>
  <c r="I1015" i="16"/>
  <c r="G7594" i="5"/>
  <c r="G7595" i="5"/>
  <c r="G7596" i="5"/>
  <c r="J2850" i="16"/>
  <c r="G7597" i="5"/>
  <c r="H7597" i="5" s="1"/>
  <c r="I2850" i="16"/>
  <c r="G7598" i="5"/>
  <c r="G7599" i="5"/>
  <c r="G7600" i="5"/>
  <c r="J2846" i="16"/>
  <c r="G7601" i="5"/>
  <c r="H7601" i="5" s="1"/>
  <c r="I2846" i="16"/>
  <c r="G7602" i="5"/>
  <c r="G7603" i="5"/>
  <c r="G7604" i="5"/>
  <c r="J2847" i="16"/>
  <c r="G7605" i="5"/>
  <c r="H7605" i="5" s="1"/>
  <c r="I2847" i="16"/>
  <c r="G7606" i="5"/>
  <c r="G7607" i="5"/>
  <c r="G7608" i="5"/>
  <c r="J2697" i="16"/>
  <c r="G7609" i="5"/>
  <c r="H7609" i="5" s="1"/>
  <c r="I2697" i="16"/>
  <c r="G7610" i="5"/>
  <c r="G7611" i="5"/>
  <c r="G7612" i="5"/>
  <c r="J2811" i="16"/>
  <c r="G7613" i="5"/>
  <c r="H7613" i="5" s="1"/>
  <c r="I2811" i="16"/>
  <c r="G7614" i="5"/>
  <c r="G7615" i="5"/>
  <c r="G7616" i="5"/>
  <c r="J4803" i="16"/>
  <c r="I4803" i="16"/>
  <c r="G7618" i="5"/>
  <c r="G7619" i="5"/>
  <c r="G7620" i="5"/>
  <c r="J93" i="16"/>
  <c r="G7621" i="5"/>
  <c r="H7621" i="5" s="1"/>
  <c r="I93" i="16"/>
  <c r="G7622" i="5"/>
  <c r="G7623" i="5"/>
  <c r="G7624" i="5"/>
  <c r="G7625" i="5"/>
  <c r="H7625" i="5" s="1"/>
  <c r="G7626" i="5"/>
  <c r="G7627" i="5"/>
  <c r="G7628" i="5"/>
  <c r="J2419" i="16"/>
  <c r="I2419" i="16"/>
  <c r="G7629" i="5"/>
  <c r="H7629" i="5" s="1"/>
  <c r="G7630" i="5"/>
  <c r="G7631" i="5"/>
  <c r="G7632" i="5"/>
  <c r="J2456" i="16"/>
  <c r="I2456" i="16"/>
  <c r="G7633" i="5"/>
  <c r="H7633" i="5" s="1"/>
  <c r="G7634" i="5"/>
  <c r="G7635" i="5"/>
  <c r="G7636" i="5"/>
  <c r="J1016" i="16"/>
  <c r="I1016" i="16"/>
  <c r="G7637" i="5"/>
  <c r="H7637" i="5" s="1"/>
  <c r="G7638" i="5"/>
  <c r="G7639" i="5"/>
  <c r="G7640" i="5"/>
  <c r="J1511" i="16"/>
  <c r="G7641" i="5"/>
  <c r="H7641" i="5" s="1"/>
  <c r="I1511" i="16"/>
  <c r="G7642" i="5"/>
  <c r="G7643" i="5"/>
  <c r="G7644" i="5"/>
  <c r="J4165" i="16"/>
  <c r="G7645" i="5"/>
  <c r="H7645" i="5" s="1"/>
  <c r="I4165" i="16"/>
  <c r="G7646" i="5"/>
  <c r="G7647" i="5"/>
  <c r="G7648" i="5"/>
  <c r="J2812" i="16"/>
  <c r="G7649" i="5"/>
  <c r="H7649" i="5" s="1"/>
  <c r="I2812" i="16"/>
  <c r="G7650" i="5"/>
  <c r="G7651" i="5"/>
  <c r="G7652" i="5"/>
  <c r="J2698" i="16"/>
  <c r="G7653" i="5"/>
  <c r="H7653" i="5" s="1"/>
  <c r="I2698" i="16"/>
  <c r="G7654" i="5"/>
  <c r="G7655" i="5"/>
  <c r="G7656" i="5"/>
  <c r="J4804" i="16"/>
  <c r="G7657" i="5"/>
  <c r="H7657" i="5" s="1"/>
  <c r="I4804" i="16"/>
  <c r="G7658" i="5"/>
  <c r="G7659" i="5"/>
  <c r="G7660" i="5"/>
  <c r="J630" i="16"/>
  <c r="G7661" i="5"/>
  <c r="H7661" i="5" s="1"/>
  <c r="I630" i="16"/>
  <c r="G7662" i="5"/>
  <c r="G7663" i="5"/>
  <c r="G7664" i="5"/>
  <c r="J626" i="16"/>
  <c r="G7665" i="5"/>
  <c r="H7665" i="5" s="1"/>
  <c r="I626" i="16"/>
  <c r="G7666" i="5"/>
  <c r="G7667" i="5"/>
  <c r="G7668" i="5"/>
  <c r="J94" i="16"/>
  <c r="G7669" i="5"/>
  <c r="H7669" i="5" s="1"/>
  <c r="I94" i="16"/>
  <c r="G7670" i="5"/>
  <c r="G7671" i="5"/>
  <c r="G7672" i="5"/>
  <c r="J104" i="16"/>
  <c r="G7673" i="5"/>
  <c r="H7673" i="5" s="1"/>
  <c r="I104" i="16"/>
  <c r="G7674" i="5"/>
  <c r="G7675" i="5"/>
  <c r="G7676" i="5"/>
  <c r="J2420" i="16"/>
  <c r="G7677" i="5"/>
  <c r="H7677" i="5" s="1"/>
  <c r="I2420" i="16"/>
  <c r="G7678" i="5"/>
  <c r="G7679" i="5"/>
  <c r="G7680" i="5"/>
  <c r="J1017" i="16"/>
  <c r="G7681" i="5"/>
  <c r="H7681" i="5" s="1"/>
  <c r="I1017" i="16"/>
  <c r="G7682" i="5"/>
  <c r="G7683" i="5"/>
  <c r="G7684" i="5"/>
  <c r="J1512" i="16"/>
  <c r="G7685" i="5"/>
  <c r="H7685" i="5" s="1"/>
  <c r="I1512" i="16"/>
  <c r="G7686" i="5"/>
  <c r="G7687" i="5"/>
  <c r="G7688" i="5"/>
  <c r="J2457" i="16"/>
  <c r="G7689" i="5"/>
  <c r="H7689" i="5" s="1"/>
  <c r="I2457" i="16"/>
  <c r="G7690" i="5"/>
  <c r="G7691" i="5"/>
  <c r="G7692" i="5"/>
  <c r="J4166" i="16"/>
  <c r="G7693" i="5"/>
  <c r="H7693" i="5" s="1"/>
  <c r="I4166" i="16"/>
  <c r="G7694" i="5"/>
  <c r="G7695" i="5"/>
  <c r="G7696" i="5"/>
  <c r="J2813" i="16"/>
  <c r="G7697" i="5"/>
  <c r="H7697" i="5" s="1"/>
  <c r="I2813" i="16"/>
  <c r="G7698" i="5"/>
  <c r="G7699" i="5"/>
  <c r="G7700" i="5"/>
  <c r="J2699" i="16"/>
  <c r="G7701" i="5"/>
  <c r="H7701" i="5" s="1"/>
  <c r="I2699" i="16"/>
  <c r="G7702" i="5"/>
  <c r="G7703" i="5"/>
  <c r="G7704" i="5"/>
  <c r="J4805" i="16"/>
  <c r="G7705" i="5"/>
  <c r="H7705" i="5" s="1"/>
  <c r="I4805" i="16"/>
  <c r="G7706" i="5"/>
  <c r="G7707" i="5"/>
  <c r="G7708" i="5"/>
  <c r="J627" i="16"/>
  <c r="G7709" i="5"/>
  <c r="H7709" i="5" s="1"/>
  <c r="I627" i="16"/>
  <c r="G7710" i="5"/>
  <c r="G7711" i="5"/>
  <c r="G7712" i="5"/>
  <c r="J96" i="16"/>
  <c r="G7713" i="5"/>
  <c r="H7713" i="5" s="1"/>
  <c r="I96" i="16"/>
  <c r="G7714" i="5"/>
  <c r="G7715" i="5"/>
  <c r="G7716" i="5"/>
  <c r="J105" i="16"/>
  <c r="I105" i="16"/>
  <c r="G7717" i="5"/>
  <c r="H7717" i="5" s="1"/>
  <c r="G7718" i="5"/>
  <c r="G7719" i="5"/>
  <c r="G7720" i="5"/>
  <c r="J2421" i="16"/>
  <c r="I2421" i="16"/>
  <c r="G7721" i="5"/>
  <c r="H7721" i="5" s="1"/>
  <c r="G7722" i="5"/>
  <c r="G7723" i="5"/>
  <c r="G7724" i="5"/>
  <c r="J1018" i="16"/>
  <c r="I1018" i="16"/>
  <c r="G7725" i="5"/>
  <c r="H7725" i="5" s="1"/>
  <c r="G7726" i="5"/>
  <c r="G7727" i="5"/>
  <c r="G7728" i="5"/>
  <c r="J1513" i="16"/>
  <c r="I1513" i="16"/>
  <c r="G7729" i="5"/>
  <c r="H7729" i="5" s="1"/>
  <c r="G7730" i="5"/>
  <c r="G7731" i="5"/>
  <c r="G7732" i="5"/>
  <c r="J2458" i="16"/>
  <c r="I2458" i="16"/>
  <c r="G7733" i="5"/>
  <c r="H7733" i="5" s="1"/>
  <c r="G7734" i="5"/>
  <c r="G7735" i="5"/>
  <c r="G7736" i="5"/>
  <c r="J4170" i="16"/>
  <c r="I4170" i="16"/>
  <c r="G7737" i="5"/>
  <c r="H7737" i="5" s="1"/>
  <c r="G7738" i="5"/>
  <c r="G7739" i="5"/>
  <c r="G7740" i="5"/>
  <c r="J2814" i="16"/>
  <c r="I2814" i="16"/>
  <c r="G7741" i="5"/>
  <c r="H7741" i="5" s="1"/>
  <c r="G7742" i="5"/>
  <c r="G7743" i="5"/>
  <c r="G7744" i="5"/>
  <c r="J2700" i="16"/>
  <c r="I2700" i="16"/>
  <c r="G7745" i="5"/>
  <c r="H7745" i="5" s="1"/>
  <c r="G7746" i="5"/>
  <c r="G7747" i="5"/>
  <c r="G7748" i="5"/>
  <c r="J4806" i="16"/>
  <c r="I4806" i="16"/>
  <c r="G7749" i="5"/>
  <c r="H7749" i="5" s="1"/>
  <c r="G7750" i="5"/>
  <c r="G7751" i="5"/>
  <c r="G7752" i="5"/>
  <c r="J628" i="16"/>
  <c r="I628" i="16"/>
  <c r="G7753" i="5"/>
  <c r="H7753" i="5" s="1"/>
  <c r="G7754" i="5"/>
  <c r="G7755" i="5"/>
  <c r="G7756" i="5"/>
  <c r="J98" i="16"/>
  <c r="I98" i="16"/>
  <c r="G7757" i="5"/>
  <c r="H7757" i="5" s="1"/>
  <c r="G7758" i="5"/>
  <c r="G7759" i="5"/>
  <c r="G7760" i="5"/>
  <c r="J106" i="16"/>
  <c r="I106" i="16"/>
  <c r="G7761" i="5"/>
  <c r="H7761" i="5" s="1"/>
  <c r="G7762" i="5"/>
  <c r="G7763" i="5"/>
  <c r="G7764" i="5"/>
  <c r="J1514" i="16"/>
  <c r="I1514" i="16"/>
  <c r="G7765" i="5"/>
  <c r="H7765" i="5" s="1"/>
  <c r="G7766" i="5"/>
  <c r="G7767" i="5"/>
  <c r="G7768" i="5"/>
  <c r="J2701" i="16"/>
  <c r="I2701" i="16"/>
  <c r="G7769" i="5"/>
  <c r="H7769" i="5" s="1"/>
  <c r="G7770" i="5"/>
  <c r="G7771" i="5"/>
  <c r="G7772" i="5"/>
  <c r="J629" i="16"/>
  <c r="I629" i="16"/>
  <c r="G7773" i="5"/>
  <c r="H7773" i="5" s="1"/>
  <c r="G7774" i="5"/>
  <c r="G7775" i="5"/>
  <c r="G7776" i="5"/>
  <c r="G7777" i="5"/>
  <c r="H7777" i="5" s="1"/>
  <c r="G7778" i="5"/>
  <c r="G7779" i="5"/>
  <c r="G7780" i="5"/>
  <c r="J2462" i="16"/>
  <c r="I2462" i="16"/>
  <c r="G7781" i="5"/>
  <c r="H7781" i="5" s="1"/>
  <c r="G7782" i="5"/>
  <c r="G7783" i="5"/>
  <c r="G7784" i="5"/>
  <c r="J1020" i="16"/>
  <c r="I1020" i="16"/>
  <c r="G7785" i="5"/>
  <c r="H7785" i="5" s="1"/>
  <c r="G7786" i="5"/>
  <c r="G7787" i="5"/>
  <c r="G7788" i="5"/>
  <c r="J2460" i="16"/>
  <c r="I2460" i="16"/>
  <c r="G7789" i="5"/>
  <c r="H7789" i="5" s="1"/>
  <c r="G7790" i="5"/>
  <c r="G7791" i="5"/>
  <c r="G7792" i="5"/>
  <c r="J1515" i="16"/>
  <c r="I1515" i="16"/>
  <c r="G7793" i="5"/>
  <c r="H7793" i="5" s="1"/>
  <c r="G7794" i="5"/>
  <c r="G7795" i="5"/>
  <c r="G7796" i="5"/>
  <c r="J4168" i="16"/>
  <c r="G7797" i="5"/>
  <c r="H7797" i="5" s="1"/>
  <c r="I4168" i="16"/>
  <c r="G7798" i="5"/>
  <c r="G7799" i="5"/>
  <c r="G7800" i="5"/>
  <c r="J2816" i="16"/>
  <c r="I2816" i="16"/>
  <c r="G7801" i="5"/>
  <c r="H7801" i="5" s="1"/>
  <c r="G7802" i="5"/>
  <c r="G7803" i="5"/>
  <c r="G7804" i="5"/>
  <c r="J2710" i="16"/>
  <c r="G7805" i="5"/>
  <c r="H7805" i="5" s="1"/>
  <c r="I2710" i="16"/>
  <c r="G7806" i="5"/>
  <c r="G7807" i="5"/>
  <c r="G7808" i="5"/>
  <c r="J4808" i="16"/>
  <c r="I4808" i="16"/>
  <c r="G7809" i="5"/>
  <c r="H7809" i="5" s="1"/>
  <c r="G7810" i="5"/>
  <c r="G7811" i="5"/>
  <c r="G7812" i="5"/>
  <c r="G7813" i="5"/>
  <c r="H7813" i="5" s="1"/>
  <c r="G7814" i="5"/>
  <c r="G7815" i="5"/>
  <c r="G7816" i="5"/>
  <c r="J100" i="16"/>
  <c r="I100" i="16"/>
  <c r="G7817" i="5"/>
  <c r="H7817" i="5" s="1"/>
  <c r="G7818" i="5"/>
  <c r="G7819" i="5"/>
  <c r="G7820" i="5"/>
  <c r="J109" i="16"/>
  <c r="I109" i="16"/>
  <c r="G7821" i="5"/>
  <c r="H7821" i="5" s="1"/>
  <c r="G7822" i="5"/>
  <c r="G7823" i="5"/>
  <c r="G7824" i="5"/>
  <c r="J2423" i="16"/>
  <c r="I2423" i="16"/>
  <c r="G7825" i="5"/>
  <c r="H7825" i="5" s="1"/>
  <c r="G7826" i="5"/>
  <c r="G7827" i="5"/>
  <c r="G7828" i="5"/>
  <c r="J1023" i="16"/>
  <c r="I1023" i="16"/>
  <c r="G7830" i="5"/>
  <c r="G7831" i="5"/>
  <c r="G7832" i="5"/>
  <c r="J2461" i="16"/>
  <c r="I2461" i="16"/>
  <c r="G7834" i="5"/>
  <c r="G7835" i="5"/>
  <c r="G7836" i="5"/>
  <c r="J1516" i="16"/>
  <c r="I1516" i="16"/>
  <c r="G7838" i="5"/>
  <c r="G7839" i="5"/>
  <c r="G7840" i="5"/>
  <c r="J4169" i="16"/>
  <c r="I4169" i="16"/>
  <c r="G7841" i="5"/>
  <c r="H7841" i="5" s="1"/>
  <c r="G7842" i="5"/>
  <c r="G7843" i="5"/>
  <c r="G7844" i="5"/>
  <c r="J2817" i="16"/>
  <c r="I2817" i="16"/>
  <c r="G7845" i="5"/>
  <c r="H7845" i="5" s="1"/>
  <c r="G7846" i="5"/>
  <c r="G7847" i="5"/>
  <c r="G7848" i="5"/>
  <c r="G7849" i="5"/>
  <c r="H7849" i="5" s="1"/>
  <c r="G7850" i="5"/>
  <c r="G7851" i="5"/>
  <c r="G7852" i="5"/>
  <c r="G7853" i="5"/>
  <c r="H7853" i="5" s="1"/>
  <c r="G7854" i="5"/>
  <c r="G7855" i="5"/>
  <c r="G7856" i="5"/>
  <c r="J101" i="16"/>
  <c r="G7857" i="5"/>
  <c r="H7857" i="5" s="1"/>
  <c r="I101" i="16"/>
  <c r="G7858" i="5"/>
  <c r="G7859" i="5"/>
  <c r="G7860" i="5"/>
  <c r="J2416" i="16"/>
  <c r="I2416" i="16"/>
  <c r="G7861" i="5"/>
  <c r="H7861" i="5" s="1"/>
  <c r="G7862" i="5"/>
  <c r="G7863" i="5"/>
  <c r="G7864" i="5"/>
  <c r="G7865" i="5"/>
  <c r="H7865" i="5" s="1"/>
  <c r="G7866" i="5"/>
  <c r="G7867" i="5"/>
  <c r="G7868" i="5"/>
  <c r="J1021" i="16"/>
  <c r="I1021" i="16"/>
  <c r="G7869" i="5"/>
  <c r="H7869" i="5" s="1"/>
  <c r="G7870" i="5"/>
  <c r="G7871" i="5"/>
  <c r="G7872" i="5"/>
  <c r="J1543" i="16"/>
  <c r="I1543" i="16"/>
  <c r="G7874" i="5"/>
  <c r="G7875" i="5"/>
  <c r="G7876" i="5"/>
  <c r="J2809" i="16"/>
  <c r="I2809" i="16"/>
  <c r="G7877" i="5"/>
  <c r="H7877" i="5" s="1"/>
  <c r="G7878" i="5"/>
  <c r="G7879" i="5"/>
  <c r="G7880" i="5"/>
  <c r="J2708" i="16"/>
  <c r="I2708" i="16"/>
  <c r="G7882" i="5"/>
  <c r="G7883" i="5"/>
  <c r="G7884" i="5"/>
  <c r="J4801" i="16"/>
  <c r="I4801" i="16"/>
  <c r="G7885" i="5"/>
  <c r="H7885" i="5" s="1"/>
  <c r="G7886" i="5"/>
  <c r="G7887" i="5"/>
  <c r="G7888" i="5"/>
  <c r="J91" i="16"/>
  <c r="I91" i="16"/>
  <c r="G7890" i="5"/>
  <c r="G7891" i="5"/>
  <c r="G7892" i="5"/>
  <c r="J108" i="16"/>
  <c r="I108" i="16"/>
  <c r="G7893" i="5"/>
  <c r="H7893" i="5" s="1"/>
  <c r="G7894" i="5"/>
  <c r="G7895" i="5"/>
  <c r="G7896" i="5"/>
  <c r="G7897" i="5"/>
  <c r="H7897" i="5" s="1"/>
  <c r="G7898" i="5"/>
  <c r="G7899" i="5"/>
  <c r="G7900" i="5"/>
  <c r="G7901" i="5"/>
  <c r="H7901" i="5" s="1"/>
  <c r="G7902" i="5"/>
  <c r="G7903" i="5"/>
  <c r="G7904" i="5"/>
  <c r="J2481" i="16"/>
  <c r="I2481" i="16"/>
  <c r="G7905" i="5"/>
  <c r="H7905" i="5" s="1"/>
  <c r="G7906" i="5"/>
  <c r="G7907" i="5"/>
  <c r="G7908" i="5"/>
  <c r="J4137" i="16"/>
  <c r="I4137" i="16"/>
  <c r="G7909" i="5"/>
  <c r="H7909" i="5" s="1"/>
  <c r="G7910" i="5"/>
  <c r="G7911" i="5"/>
  <c r="G7912" i="5"/>
  <c r="G7913" i="5"/>
  <c r="H7913" i="5" s="1"/>
  <c r="G7914" i="5"/>
  <c r="G7915" i="5"/>
  <c r="G7916" i="5"/>
  <c r="J2389" i="16"/>
  <c r="I2389" i="16"/>
  <c r="G7917" i="5"/>
  <c r="H7917" i="5" s="1"/>
  <c r="G7918" i="5"/>
  <c r="G7919" i="5"/>
  <c r="G7920" i="5"/>
  <c r="J2413" i="16"/>
  <c r="I2413" i="16"/>
  <c r="G7921" i="5"/>
  <c r="H7921" i="5" s="1"/>
  <c r="G7922" i="5"/>
  <c r="G7923" i="5"/>
  <c r="G7924" i="5"/>
  <c r="J2408" i="16"/>
  <c r="I2408" i="16"/>
  <c r="G7925" i="5"/>
  <c r="H7925" i="5" s="1"/>
  <c r="G7926" i="5"/>
  <c r="G7927" i="5"/>
  <c r="G7928" i="5"/>
  <c r="J1537" i="16"/>
  <c r="I1537" i="16"/>
  <c r="G7930" i="5"/>
  <c r="G7931" i="5"/>
  <c r="G7932" i="5"/>
  <c r="J2843" i="16"/>
  <c r="I2843" i="16"/>
  <c r="G7934" i="5"/>
  <c r="G7935" i="5"/>
  <c r="G7936" i="5"/>
  <c r="J2715" i="16"/>
  <c r="I2715" i="16"/>
  <c r="G7938" i="5"/>
  <c r="G7939" i="5"/>
  <c r="G7940" i="5"/>
  <c r="J2482" i="16"/>
  <c r="I2482" i="16"/>
  <c r="G7941" i="5"/>
  <c r="H7941" i="5" s="1"/>
  <c r="G7942" i="5"/>
  <c r="G7943" i="5"/>
  <c r="G7944" i="5"/>
  <c r="J4160" i="16"/>
  <c r="I4160" i="16"/>
  <c r="G7946" i="5"/>
  <c r="G7947" i="5"/>
  <c r="G7948" i="5"/>
  <c r="G7949" i="5"/>
  <c r="H7949" i="5" s="1"/>
  <c r="G7950" i="5"/>
  <c r="G7951" i="5"/>
  <c r="G7952" i="5"/>
  <c r="J2414" i="16"/>
  <c r="I2414" i="16"/>
  <c r="G7953" i="5"/>
  <c r="H7953" i="5" s="1"/>
  <c r="G7954" i="5"/>
  <c r="G7955" i="5"/>
  <c r="G7956" i="5"/>
  <c r="J1012" i="16"/>
  <c r="I1012" i="16"/>
  <c r="G7957" i="5"/>
  <c r="H7957" i="5" s="1"/>
  <c r="G7958" i="5"/>
  <c r="G7959" i="5"/>
  <c r="G7960" i="5"/>
  <c r="J678" i="16"/>
  <c r="I678" i="16"/>
  <c r="G7961" i="5"/>
  <c r="H7961" i="5" s="1"/>
  <c r="G7962" i="5"/>
  <c r="G7963" i="5"/>
  <c r="G7964" i="5"/>
  <c r="J1538" i="16"/>
  <c r="I1538" i="16"/>
  <c r="G7965" i="5"/>
  <c r="H7965" i="5" s="1"/>
  <c r="G7966" i="5"/>
  <c r="G7967" i="5"/>
  <c r="G7968" i="5"/>
  <c r="J2844" i="16"/>
  <c r="I2844" i="16"/>
  <c r="G7969" i="5"/>
  <c r="H7969" i="5" s="1"/>
  <c r="G7970" i="5"/>
  <c r="G7971" i="5"/>
  <c r="G7972" i="5"/>
  <c r="J2415" i="16"/>
  <c r="I2415" i="16"/>
  <c r="G7973" i="5"/>
  <c r="H7973" i="5" s="1"/>
  <c r="G7974" i="5"/>
  <c r="G7975" i="5"/>
  <c r="G7976" i="5"/>
  <c r="J1539" i="16"/>
  <c r="I1539" i="16"/>
  <c r="G7977" i="5"/>
  <c r="H7977" i="5" s="1"/>
  <c r="G7978" i="5"/>
  <c r="G7979" i="5"/>
  <c r="G7980" i="5"/>
  <c r="J2410" i="16"/>
  <c r="I2410" i="16"/>
  <c r="G7981" i="5"/>
  <c r="H7981" i="5" s="1"/>
  <c r="G7982" i="5"/>
  <c r="G7983" i="5"/>
  <c r="G7984" i="5"/>
  <c r="J2716" i="16"/>
  <c r="I2716" i="16"/>
  <c r="G7985" i="5"/>
  <c r="H7985" i="5" s="1"/>
  <c r="G7986" i="5"/>
  <c r="G7987" i="5"/>
  <c r="G7988" i="5"/>
  <c r="J4199" i="16"/>
  <c r="I4199" i="16"/>
  <c r="G7989" i="5"/>
  <c r="H7989" i="5" s="1"/>
  <c r="G7990" i="5"/>
  <c r="G7991" i="5"/>
  <c r="G7992" i="5"/>
  <c r="J1010" i="16"/>
  <c r="I1010" i="16"/>
  <c r="G7993" i="5"/>
  <c r="H7993" i="5" s="1"/>
  <c r="G7994" i="5"/>
  <c r="G7995" i="5"/>
  <c r="G7996" i="5"/>
  <c r="J3744" i="16"/>
  <c r="I3744" i="16"/>
  <c r="G7997" i="5"/>
  <c r="H7997" i="5" s="1"/>
  <c r="G7998" i="5"/>
  <c r="G7999" i="5"/>
  <c r="G8000" i="5"/>
  <c r="J2840" i="16"/>
  <c r="I2840" i="16"/>
  <c r="G8001" i="5"/>
  <c r="H8001" i="5" s="1"/>
  <c r="G8002" i="5"/>
  <c r="G8003" i="5"/>
  <c r="G8004" i="5"/>
  <c r="J2411" i="16"/>
  <c r="I2411" i="16"/>
  <c r="G8005" i="5"/>
  <c r="H8005" i="5" s="1"/>
  <c r="G8006" i="5"/>
  <c r="G8007" i="5"/>
  <c r="G8008" i="5"/>
  <c r="J1536" i="16"/>
  <c r="I1536" i="16"/>
  <c r="G8009" i="5"/>
  <c r="H8009" i="5" s="1"/>
  <c r="G8010" i="5"/>
  <c r="G8011" i="5"/>
  <c r="G8012" i="5"/>
  <c r="J2406" i="16"/>
  <c r="I2406" i="16"/>
  <c r="G8013" i="5"/>
  <c r="H8013" i="5" s="1"/>
  <c r="G8014" i="5"/>
  <c r="G8015" i="5"/>
  <c r="G8016" i="5"/>
  <c r="J2469" i="16"/>
  <c r="I2469" i="16"/>
  <c r="G8017" i="5"/>
  <c r="H8017" i="5" s="1"/>
  <c r="G8018" i="5"/>
  <c r="G8019" i="5"/>
  <c r="G8020" i="5"/>
  <c r="J2480" i="16"/>
  <c r="I2480" i="16"/>
  <c r="G8021" i="5"/>
  <c r="H8021" i="5" s="1"/>
  <c r="G8022" i="5"/>
  <c r="G8023" i="5"/>
  <c r="G8024" i="5"/>
  <c r="J1008" i="16"/>
  <c r="I1008" i="16"/>
  <c r="G8025" i="5"/>
  <c r="H8025" i="5" s="1"/>
  <c r="G8026" i="5"/>
  <c r="G8027" i="5"/>
  <c r="G8028" i="5"/>
  <c r="J4195" i="16"/>
  <c r="I4195" i="16"/>
  <c r="G8029" i="5"/>
  <c r="H8029" i="5" s="1"/>
  <c r="G8030" i="5"/>
  <c r="G8031" i="5"/>
  <c r="G8032" i="5"/>
  <c r="J4057" i="16"/>
  <c r="I4057" i="16"/>
  <c r="G8033" i="5"/>
  <c r="H8033" i="5" s="1"/>
  <c r="G8034" i="5"/>
  <c r="G8035" i="5"/>
  <c r="G8036" i="5"/>
  <c r="J2388" i="16"/>
  <c r="I2388" i="16"/>
  <c r="G8037" i="5"/>
  <c r="H8037" i="5" s="1"/>
  <c r="G8038" i="5"/>
  <c r="G8039" i="5"/>
  <c r="G8040" i="5"/>
  <c r="J3743" i="16"/>
  <c r="I3743" i="16"/>
  <c r="G8041" i="5"/>
  <c r="H8041" i="5" s="1"/>
  <c r="G8042" i="5"/>
  <c r="G8043" i="5"/>
  <c r="G8044" i="5"/>
  <c r="J2841" i="16"/>
  <c r="I2841" i="16"/>
  <c r="G8045" i="5"/>
  <c r="H8045" i="5" s="1"/>
  <c r="G8046" i="5"/>
  <c r="G8047" i="5"/>
  <c r="G8048" i="5"/>
  <c r="J2712" i="16"/>
  <c r="G8049" i="5"/>
  <c r="H8049" i="5" s="1"/>
  <c r="I2712" i="16"/>
  <c r="G8050" i="5"/>
  <c r="G8051" i="5"/>
  <c r="G8052" i="5"/>
  <c r="J2476" i="16"/>
  <c r="I2476" i="16"/>
  <c r="G8053" i="5"/>
  <c r="H8053" i="5" s="1"/>
  <c r="G8054" i="5"/>
  <c r="G8055" i="5"/>
  <c r="G8056" i="5"/>
  <c r="J4198" i="16"/>
  <c r="G8057" i="5"/>
  <c r="H8057" i="5" s="1"/>
  <c r="I4198" i="16"/>
  <c r="G8058" i="5"/>
  <c r="G8059" i="5"/>
  <c r="G8060" i="5"/>
  <c r="J2412" i="16"/>
  <c r="G8061" i="5"/>
  <c r="H8061" i="5" s="1"/>
  <c r="I2412" i="16"/>
  <c r="G8062" i="5"/>
  <c r="G8063" i="5"/>
  <c r="G8064" i="5"/>
  <c r="J2407" i="16"/>
  <c r="G8065" i="5"/>
  <c r="H8065" i="5" s="1"/>
  <c r="I2407" i="16"/>
  <c r="G8066" i="5"/>
  <c r="G8067" i="5"/>
  <c r="G8068" i="5"/>
  <c r="J1529" i="16"/>
  <c r="I1529" i="16"/>
  <c r="G8070" i="5"/>
  <c r="G8071" i="5"/>
  <c r="G8072" i="5"/>
  <c r="J1009" i="16"/>
  <c r="I1009" i="16"/>
  <c r="G8073" i="5"/>
  <c r="H8073" i="5" s="1"/>
  <c r="G8074" i="5"/>
  <c r="G8075" i="5"/>
  <c r="G8076" i="5"/>
  <c r="G8077" i="5"/>
  <c r="H8077" i="5" s="1"/>
  <c r="G8078" i="5"/>
  <c r="G8079" i="5"/>
  <c r="G8080" i="5"/>
  <c r="G8081" i="5"/>
  <c r="H8081" i="5" s="1"/>
  <c r="G8082" i="5"/>
  <c r="G8083" i="5"/>
  <c r="G8084" i="5"/>
  <c r="G8085" i="5"/>
  <c r="H8085" i="5" s="1"/>
  <c r="G8086" i="5"/>
  <c r="G8087" i="5"/>
  <c r="G8088" i="5"/>
  <c r="J4041" i="16"/>
  <c r="I4041" i="16"/>
  <c r="G8089" i="5"/>
  <c r="H8089" i="5" s="1"/>
  <c r="G8090" i="5"/>
  <c r="G8091" i="5"/>
  <c r="G8092" i="5"/>
  <c r="G8093" i="5"/>
  <c r="H8093" i="5" s="1"/>
  <c r="G8094" i="5"/>
  <c r="G8095" i="5"/>
  <c r="G8096" i="5"/>
  <c r="G8097" i="5"/>
  <c r="H8097" i="5" s="1"/>
  <c r="G8098" i="5"/>
  <c r="G8099" i="5"/>
  <c r="G8100" i="5"/>
  <c r="J4042" i="16"/>
  <c r="I4042" i="16"/>
  <c r="G8101" i="5"/>
  <c r="H8101" i="5" s="1"/>
  <c r="G8102" i="5"/>
  <c r="G8103" i="5"/>
  <c r="G8104" i="5"/>
  <c r="J593" i="16"/>
  <c r="I593" i="16"/>
  <c r="G8105" i="5"/>
  <c r="H8105" i="5" s="1"/>
  <c r="G8106" i="5"/>
  <c r="G8107" i="5"/>
  <c r="G8108" i="5"/>
  <c r="J1421" i="16"/>
  <c r="I1421" i="16"/>
  <c r="G8109" i="5"/>
  <c r="H8109" i="5" s="1"/>
  <c r="G8110" i="5"/>
  <c r="G8111" i="5"/>
  <c r="G8112" i="5"/>
  <c r="J2685" i="16"/>
  <c r="I2685" i="16"/>
  <c r="G8113" i="5"/>
  <c r="H8113" i="5" s="1"/>
  <c r="G8114" i="5"/>
  <c r="G8115" i="5"/>
  <c r="G8116" i="5"/>
  <c r="J4043" i="16"/>
  <c r="I4043" i="16"/>
  <c r="G8117" i="5"/>
  <c r="H8117" i="5" s="1"/>
  <c r="G8118" i="5"/>
  <c r="G8119" i="5"/>
  <c r="G8120" i="5"/>
  <c r="J594" i="16"/>
  <c r="I594" i="16"/>
  <c r="G8121" i="5"/>
  <c r="H8121" i="5" s="1"/>
  <c r="G8122" i="5"/>
  <c r="G8123" i="5"/>
  <c r="G8124" i="5"/>
  <c r="J1422" i="16"/>
  <c r="I1422" i="16"/>
  <c r="G8125" i="5"/>
  <c r="H8125" i="5" s="1"/>
  <c r="G8126" i="5"/>
  <c r="G8127" i="5"/>
  <c r="G8128" i="5"/>
  <c r="J2686" i="16"/>
  <c r="G8129" i="5"/>
  <c r="H8129" i="5" s="1"/>
  <c r="I2686" i="16"/>
  <c r="G8130" i="5"/>
  <c r="G8131" i="5"/>
  <c r="G8132" i="5"/>
  <c r="J4044" i="16"/>
  <c r="G8133" i="5"/>
  <c r="H8133" i="5" s="1"/>
  <c r="I4044" i="16"/>
  <c r="G8134" i="5"/>
  <c r="G8135" i="5"/>
  <c r="G8136" i="5"/>
  <c r="J595" i="16"/>
  <c r="G8137" i="5"/>
  <c r="H8137" i="5" s="1"/>
  <c r="I595" i="16"/>
  <c r="G8138" i="5"/>
  <c r="G8139" i="5"/>
  <c r="G8140" i="5"/>
  <c r="J1423" i="16"/>
  <c r="G8141" i="5"/>
  <c r="H8141" i="5" s="1"/>
  <c r="I1423" i="16"/>
  <c r="G8142" i="5"/>
  <c r="G8143" i="5"/>
  <c r="G8144" i="5"/>
  <c r="J2687" i="16"/>
  <c r="G8145" i="5"/>
  <c r="H8145" i="5" s="1"/>
  <c r="I2687" i="16"/>
  <c r="G8146" i="5"/>
  <c r="G8147" i="5"/>
  <c r="G8148" i="5"/>
  <c r="J4045" i="16"/>
  <c r="G8149" i="5"/>
  <c r="H8149" i="5" s="1"/>
  <c r="I4045" i="16"/>
  <c r="G8150" i="5"/>
  <c r="G8151" i="5"/>
  <c r="G8152" i="5"/>
  <c r="G8153" i="5"/>
  <c r="H8153" i="5" s="1"/>
  <c r="G8154" i="5"/>
  <c r="G8155" i="5"/>
  <c r="G8156" i="5"/>
  <c r="J3138" i="16"/>
  <c r="G8157" i="5"/>
  <c r="H8157" i="5" s="1"/>
  <c r="I3138" i="16"/>
  <c r="G8158" i="5"/>
  <c r="G8159" i="5"/>
  <c r="G8160" i="5"/>
  <c r="J3142" i="16"/>
  <c r="G8161" i="5"/>
  <c r="H8161" i="5" s="1"/>
  <c r="I3142" i="16"/>
  <c r="G8162" i="5"/>
  <c r="G8163" i="5"/>
  <c r="G8164" i="5"/>
  <c r="J614" i="16"/>
  <c r="G8165" i="5"/>
  <c r="H8165" i="5" s="1"/>
  <c r="I614" i="16"/>
  <c r="G8166" i="5"/>
  <c r="G8167" i="5"/>
  <c r="G8168" i="5"/>
  <c r="J663" i="16"/>
  <c r="G8169" i="5"/>
  <c r="H8169" i="5" s="1"/>
  <c r="I663" i="16"/>
  <c r="G8170" i="5"/>
  <c r="G8171" i="5"/>
  <c r="G8172" i="5"/>
  <c r="J2695" i="16"/>
  <c r="G8173" i="5"/>
  <c r="H8173" i="5" s="1"/>
  <c r="I2695" i="16"/>
  <c r="G8174" i="5"/>
  <c r="G8175" i="5"/>
  <c r="G8176" i="5"/>
  <c r="J2693" i="16"/>
  <c r="G8177" i="5"/>
  <c r="H8177" i="5" s="1"/>
  <c r="I2693" i="16"/>
  <c r="G8178" i="5"/>
  <c r="G8179" i="5"/>
  <c r="G8180" i="5"/>
  <c r="J2704" i="16"/>
  <c r="G8181" i="5"/>
  <c r="H8181" i="5" s="1"/>
  <c r="I2704" i="16"/>
  <c r="G8182" i="5"/>
  <c r="G8183" i="5"/>
  <c r="G8184" i="5"/>
  <c r="J2705" i="16"/>
  <c r="G8185" i="5"/>
  <c r="H8185" i="5" s="1"/>
  <c r="I2705" i="16"/>
  <c r="G8186" i="5"/>
  <c r="G8187" i="5"/>
  <c r="G8188" i="5"/>
  <c r="E8190" i="5"/>
  <c r="G8190" i="5" s="1"/>
  <c r="G8191" i="5"/>
  <c r="G8192" i="5"/>
  <c r="G8193" i="5"/>
  <c r="E8194" i="5"/>
  <c r="G8194" i="5" s="1"/>
  <c r="H8194" i="5" s="1"/>
  <c r="G8195" i="5"/>
  <c r="G8196" i="5"/>
  <c r="G8197" i="5"/>
  <c r="J4927" i="16"/>
  <c r="I4927" i="16"/>
  <c r="G8199" i="5"/>
  <c r="G8201" i="5"/>
  <c r="G8203" i="5"/>
  <c r="G8204" i="5"/>
  <c r="G8205" i="5"/>
  <c r="G8206" i="5"/>
  <c r="G8207" i="5"/>
  <c r="G8208" i="5"/>
  <c r="G8209" i="5"/>
  <c r="G8211" i="5"/>
  <c r="G8212" i="5"/>
  <c r="G8215" i="5"/>
  <c r="G8216" i="5"/>
  <c r="G8217" i="5"/>
  <c r="E8218" i="5"/>
  <c r="G8218" i="5" s="1"/>
  <c r="G8219" i="5"/>
  <c r="E8219" i="5"/>
  <c r="G8220" i="5"/>
  <c r="G8221" i="5"/>
  <c r="G8222" i="5"/>
  <c r="J3956" i="16"/>
  <c r="I3956" i="16"/>
  <c r="G8224" i="5"/>
  <c r="G8226" i="5"/>
  <c r="G8227" i="5"/>
  <c r="G8228" i="5"/>
  <c r="G8229" i="5"/>
  <c r="G8230" i="5"/>
  <c r="G8232" i="5"/>
  <c r="G8233" i="5"/>
  <c r="G8234" i="5"/>
  <c r="J331" i="16"/>
  <c r="G8235" i="5"/>
  <c r="H8235" i="5" s="1"/>
  <c r="I331" i="16"/>
  <c r="G8236" i="5"/>
  <c r="G8237" i="5"/>
  <c r="G8238" i="5"/>
  <c r="G8240" i="5"/>
  <c r="E8240" i="5"/>
  <c r="G8241" i="5"/>
  <c r="G8242" i="5"/>
  <c r="G8243" i="5"/>
  <c r="G8244" i="5"/>
  <c r="G8246" i="5"/>
  <c r="G8247" i="5"/>
  <c r="G8248" i="5"/>
  <c r="G8249" i="5"/>
  <c r="G8250" i="5"/>
  <c r="G8251" i="5"/>
  <c r="G8252" i="5"/>
  <c r="G8253" i="5"/>
  <c r="G8254" i="5"/>
  <c r="G8255" i="5"/>
  <c r="G8256" i="5"/>
  <c r="G8258" i="5"/>
  <c r="G8259" i="5"/>
  <c r="G8260" i="5"/>
  <c r="G8263" i="5"/>
  <c r="G8264" i="5"/>
  <c r="G8265" i="5"/>
  <c r="G8266" i="5"/>
  <c r="G8267" i="5"/>
  <c r="E8268" i="5"/>
  <c r="G8268" i="5" s="1"/>
  <c r="H8268" i="5" s="1"/>
  <c r="G8271" i="5"/>
  <c r="G8272" i="5"/>
  <c r="G8273" i="5"/>
  <c r="G8274" i="5"/>
  <c r="G8275" i="5"/>
  <c r="G8278" i="5"/>
  <c r="G8279" i="5"/>
  <c r="G8280" i="5"/>
  <c r="G8281" i="5"/>
  <c r="G8282" i="5"/>
  <c r="G8283" i="5"/>
  <c r="H8283" i="5" s="1"/>
  <c r="G8284" i="5"/>
  <c r="G8285" i="5"/>
  <c r="G8286" i="5"/>
  <c r="G8287" i="5"/>
  <c r="G8288" i="5"/>
  <c r="J1782" i="16"/>
  <c r="G8289" i="5"/>
  <c r="I1782" i="16"/>
  <c r="G8290" i="5"/>
  <c r="G8291" i="5"/>
  <c r="G8292" i="5"/>
  <c r="J312" i="16"/>
  <c r="G8293" i="5"/>
  <c r="I312" i="16"/>
  <c r="G8295" i="5"/>
  <c r="J3319" i="16"/>
  <c r="G8296" i="5"/>
  <c r="G8297" i="5"/>
  <c r="G8298" i="5"/>
  <c r="I3319" i="16"/>
  <c r="G8299" i="5"/>
  <c r="G8300" i="5"/>
  <c r="G8301" i="5"/>
  <c r="G8302" i="5"/>
  <c r="G8303" i="5"/>
  <c r="G8304" i="5"/>
  <c r="G8305" i="5"/>
  <c r="G8306" i="5"/>
  <c r="G8307" i="5"/>
  <c r="G8308" i="5"/>
  <c r="G8309" i="5"/>
  <c r="G8310" i="5"/>
  <c r="G8311" i="5"/>
  <c r="G8312" i="5"/>
  <c r="G8313" i="5"/>
  <c r="G8314" i="5"/>
  <c r="G8315" i="5"/>
  <c r="G8316" i="5"/>
  <c r="G8317" i="5"/>
  <c r="G8318" i="5"/>
  <c r="G8319" i="5"/>
  <c r="G8320" i="5"/>
  <c r="G8321" i="5"/>
  <c r="G8322" i="5"/>
  <c r="G8323" i="5"/>
  <c r="G8324" i="5"/>
  <c r="G8325" i="5"/>
  <c r="G8326" i="5"/>
  <c r="G8327" i="5"/>
  <c r="G8328" i="5"/>
  <c r="J4939" i="16"/>
  <c r="I4939" i="16"/>
  <c r="G8330" i="5"/>
  <c r="G8331" i="5"/>
  <c r="J3099" i="16"/>
  <c r="G8332" i="5"/>
  <c r="I3099" i="16"/>
  <c r="G8335" i="5"/>
  <c r="G8336" i="5"/>
  <c r="G8337" i="5"/>
  <c r="G8345" i="5"/>
  <c r="G8346" i="5"/>
  <c r="G8347" i="5"/>
  <c r="G8353" i="5"/>
  <c r="G8354" i="5"/>
  <c r="G8355" i="5"/>
  <c r="G8356" i="5"/>
  <c r="G8357" i="5"/>
  <c r="E8358" i="5"/>
  <c r="G8358" i="5" s="1"/>
  <c r="H8358" i="5" s="1"/>
  <c r="G8361" i="5"/>
  <c r="G8362" i="5"/>
  <c r="G8363" i="5"/>
  <c r="J3445" i="16"/>
  <c r="G8366" i="5"/>
  <c r="I3445" i="16"/>
  <c r="G8367" i="5"/>
  <c r="G8368" i="5"/>
  <c r="G8369" i="5"/>
  <c r="E8370" i="5"/>
  <c r="G8370" i="5" s="1"/>
  <c r="H8370" i="5" s="1"/>
  <c r="G8373" i="5"/>
  <c r="G8374" i="5"/>
  <c r="G8375" i="5"/>
  <c r="G8377" i="5"/>
  <c r="G8378" i="5"/>
  <c r="G8379" i="5"/>
  <c r="G8380" i="5"/>
  <c r="G8381" i="5"/>
  <c r="G8382" i="5"/>
  <c r="G8383" i="5"/>
  <c r="H8383" i="5" s="1"/>
  <c r="G8385" i="5"/>
  <c r="G8386" i="5"/>
  <c r="G8387" i="5"/>
  <c r="G8388" i="5"/>
  <c r="G8389" i="5"/>
  <c r="G8390" i="5"/>
  <c r="G8391" i="5"/>
  <c r="G8392" i="5"/>
  <c r="G8393" i="5"/>
  <c r="G8397" i="5"/>
  <c r="G8398" i="5"/>
  <c r="G8399" i="5"/>
  <c r="G8400" i="5"/>
  <c r="G8401" i="5"/>
  <c r="G8403" i="5"/>
  <c r="G8405" i="5"/>
  <c r="G8406" i="5"/>
  <c r="G8407" i="5"/>
  <c r="G8408" i="5"/>
  <c r="G8409" i="5"/>
  <c r="G8411" i="5"/>
  <c r="G8412" i="5"/>
  <c r="G8413" i="5"/>
  <c r="G8414" i="5"/>
  <c r="G8415" i="5"/>
  <c r="G8417" i="5"/>
  <c r="G8418" i="5"/>
  <c r="G8419" i="5"/>
  <c r="G8420" i="5"/>
  <c r="G8421" i="5"/>
  <c r="G8424" i="5"/>
  <c r="G8425" i="5"/>
  <c r="G8426" i="5"/>
  <c r="G8427" i="5"/>
  <c r="G8430" i="5"/>
  <c r="G8431" i="5"/>
  <c r="G8432" i="5"/>
  <c r="G8433" i="5"/>
  <c r="G8434" i="5"/>
  <c r="G8435" i="5"/>
  <c r="G8437" i="5"/>
  <c r="G8438" i="5"/>
  <c r="G8439" i="5"/>
  <c r="G8440" i="5"/>
  <c r="G8443" i="5"/>
  <c r="G8444" i="5"/>
  <c r="G8445" i="5"/>
  <c r="G8446" i="5"/>
  <c r="G8447" i="5"/>
  <c r="G8448" i="5"/>
  <c r="G8450" i="5"/>
  <c r="G8451" i="5"/>
  <c r="G8452" i="5"/>
  <c r="G8453" i="5"/>
  <c r="G8454" i="5"/>
  <c r="G8455" i="5"/>
  <c r="G8457" i="5"/>
  <c r="G8458" i="5"/>
  <c r="G8459" i="5"/>
  <c r="G8460" i="5"/>
  <c r="G8461" i="5"/>
  <c r="J3948" i="16"/>
  <c r="G8462" i="5"/>
  <c r="G8464" i="5"/>
  <c r="G8465" i="5"/>
  <c r="I3948" i="16"/>
  <c r="G8467" i="5"/>
  <c r="G8468" i="5"/>
  <c r="G8469" i="5"/>
  <c r="G8470" i="5"/>
  <c r="G8473" i="5"/>
  <c r="G8474" i="5"/>
  <c r="J1362" i="16"/>
  <c r="G8475" i="5"/>
  <c r="H8475" i="5" s="1"/>
  <c r="I1362" i="16"/>
  <c r="G8477" i="5"/>
  <c r="G8478" i="5"/>
  <c r="G8479" i="5"/>
  <c r="H8479" i="5" s="1"/>
  <c r="G8481" i="5"/>
  <c r="G8482" i="5"/>
  <c r="G8489" i="5"/>
  <c r="G8490" i="5"/>
  <c r="G8491" i="5"/>
  <c r="G8496" i="5"/>
  <c r="G8497" i="5"/>
  <c r="G8498" i="5"/>
  <c r="G8499" i="5"/>
  <c r="G8500" i="5"/>
  <c r="G8501" i="5"/>
  <c r="G8503" i="5"/>
  <c r="G8504" i="5"/>
  <c r="G8505" i="5"/>
  <c r="G8508" i="5"/>
  <c r="G8509" i="5"/>
  <c r="G8510" i="5"/>
  <c r="G8511" i="5"/>
  <c r="G8513" i="5"/>
  <c r="G8514" i="5"/>
  <c r="G8515" i="5"/>
  <c r="G8516" i="5"/>
  <c r="G8519" i="5"/>
  <c r="G8520" i="5"/>
  <c r="G8521" i="5"/>
  <c r="G8522" i="5"/>
  <c r="G8525" i="5"/>
  <c r="G8526" i="5"/>
  <c r="G8527" i="5"/>
  <c r="G8528" i="5"/>
  <c r="G8531" i="5"/>
  <c r="G8532" i="5"/>
  <c r="G8533" i="5"/>
  <c r="G8534" i="5"/>
  <c r="E8534" i="5"/>
  <c r="G8535" i="5"/>
  <c r="E8535" i="5"/>
  <c r="G8537" i="5"/>
  <c r="G8538" i="5"/>
  <c r="G8539" i="5"/>
  <c r="J3709" i="16"/>
  <c r="I3709" i="16"/>
  <c r="G8540" i="5"/>
  <c r="G8541" i="5"/>
  <c r="G8542" i="5"/>
  <c r="G8543" i="5"/>
  <c r="G8544" i="5"/>
  <c r="G8545" i="5"/>
  <c r="G8547" i="5"/>
  <c r="G8549" i="5"/>
  <c r="G8550" i="5"/>
  <c r="G8551" i="5"/>
  <c r="E8553" i="5"/>
  <c r="E8554" i="5"/>
  <c r="G8554" i="5" s="1"/>
  <c r="G8555" i="5"/>
  <c r="G8556" i="5"/>
  <c r="G8557" i="5"/>
  <c r="G8559" i="5"/>
  <c r="G8560" i="5"/>
  <c r="G8561" i="5"/>
  <c r="G8562" i="5"/>
  <c r="G8563" i="5"/>
  <c r="E8565" i="5"/>
  <c r="G8565" i="5" s="1"/>
  <c r="E8566" i="5"/>
  <c r="G8567" i="5"/>
  <c r="G8568" i="5"/>
  <c r="G8569" i="5"/>
  <c r="G8578" i="5"/>
  <c r="G8579" i="5"/>
  <c r="G8580" i="5"/>
  <c r="G8581" i="5"/>
  <c r="G8583" i="5"/>
  <c r="G8584" i="5"/>
  <c r="G8585" i="5"/>
  <c r="G8586" i="5"/>
  <c r="G8587" i="5"/>
  <c r="G8588" i="5"/>
  <c r="G8589" i="5"/>
  <c r="G8590" i="5"/>
  <c r="G8591" i="5"/>
  <c r="J396" i="16"/>
  <c r="G8593" i="5"/>
  <c r="G8594" i="5"/>
  <c r="G8595" i="5"/>
  <c r="I396" i="16"/>
  <c r="G8597" i="5"/>
  <c r="G8598" i="5"/>
  <c r="G8599" i="5"/>
  <c r="G8601" i="5"/>
  <c r="G8602" i="5"/>
  <c r="G8603" i="5"/>
  <c r="G8604" i="5"/>
  <c r="G8605" i="5"/>
  <c r="G8606" i="5"/>
  <c r="G8609" i="5"/>
  <c r="G8610" i="5"/>
  <c r="G8611" i="5"/>
  <c r="J4481" i="16"/>
  <c r="G8612" i="5"/>
  <c r="I4481" i="16"/>
  <c r="G8613" i="5"/>
  <c r="G8614" i="5"/>
  <c r="G8615" i="5"/>
  <c r="G8616" i="5"/>
  <c r="G8617" i="5"/>
  <c r="G8618" i="5"/>
  <c r="G8620" i="5"/>
  <c r="G8621" i="5"/>
  <c r="G8622" i="5"/>
  <c r="G8623" i="5"/>
  <c r="G8624" i="5"/>
  <c r="G8625" i="5"/>
  <c r="J3935" i="16"/>
  <c r="G8626" i="5"/>
  <c r="G8627" i="5"/>
  <c r="G8628" i="5"/>
  <c r="I3935" i="16"/>
  <c r="G8630" i="5"/>
  <c r="G8631" i="5"/>
  <c r="G8632" i="5"/>
  <c r="G8633" i="5"/>
  <c r="G8634" i="5"/>
  <c r="G8635" i="5"/>
  <c r="G8636" i="5"/>
  <c r="G8637" i="5"/>
  <c r="G8638" i="5"/>
  <c r="E8639" i="5"/>
  <c r="G8641" i="5"/>
  <c r="G8642" i="5"/>
  <c r="G8643" i="5"/>
  <c r="H8643" i="5" s="1"/>
  <c r="E8643" i="5"/>
  <c r="G8645" i="5"/>
  <c r="G8646" i="5"/>
  <c r="E8647" i="5"/>
  <c r="G8649" i="5"/>
  <c r="G8650" i="5"/>
  <c r="E8651" i="5"/>
  <c r="G8651" i="5" s="1"/>
  <c r="H8651" i="5" s="1"/>
  <c r="G8653" i="5"/>
  <c r="G8654" i="5"/>
  <c r="G8655" i="5"/>
  <c r="H8655" i="5" s="1"/>
  <c r="E8655" i="5"/>
  <c r="G8657" i="5"/>
  <c r="G8658" i="5"/>
  <c r="G8659" i="5"/>
  <c r="H8659" i="5" s="1"/>
  <c r="E8659" i="5"/>
  <c r="G8661" i="5"/>
  <c r="G8662" i="5"/>
  <c r="E8663" i="5"/>
  <c r="G8663" i="5" s="1"/>
  <c r="H8663" i="5" s="1"/>
  <c r="G8665" i="5"/>
  <c r="G8666" i="5"/>
  <c r="G8667" i="5"/>
  <c r="H8667" i="5" s="1"/>
  <c r="E8667" i="5"/>
  <c r="G8669" i="5"/>
  <c r="G8670" i="5"/>
  <c r="E8671" i="5"/>
  <c r="G8673" i="5"/>
  <c r="G8674" i="5"/>
  <c r="G8675" i="5"/>
  <c r="H8675" i="5" s="1"/>
  <c r="E8675" i="5"/>
  <c r="G8677" i="5"/>
  <c r="G8678" i="5"/>
  <c r="E8679" i="5"/>
  <c r="G8679" i="5" s="1"/>
  <c r="H8679" i="5" s="1"/>
  <c r="G8681" i="5"/>
  <c r="G8682" i="5"/>
  <c r="G8683" i="5"/>
  <c r="H8683" i="5" s="1"/>
  <c r="E8683" i="5"/>
  <c r="G8685" i="5"/>
  <c r="G8686" i="5"/>
  <c r="E8687" i="5"/>
  <c r="G8687" i="5" s="1"/>
  <c r="H8687" i="5" s="1"/>
  <c r="G8689" i="5"/>
  <c r="G8690" i="5"/>
  <c r="E8691" i="5"/>
  <c r="G8691" i="5" s="1"/>
  <c r="H8691" i="5" s="1"/>
  <c r="G8693" i="5"/>
  <c r="G8694" i="5"/>
  <c r="G8697" i="5"/>
  <c r="G8698" i="5"/>
  <c r="G8699" i="5"/>
  <c r="G8700" i="5"/>
  <c r="H8700" i="5" s="1"/>
  <c r="G8702" i="5"/>
  <c r="G8703" i="5"/>
  <c r="G8704" i="5"/>
  <c r="H8704" i="5" s="1"/>
  <c r="G8706" i="5"/>
  <c r="G8707" i="5"/>
  <c r="G8708" i="5"/>
  <c r="H8708" i="5" s="1"/>
  <c r="G8710" i="5"/>
  <c r="G8711" i="5"/>
  <c r="G8712" i="5"/>
  <c r="H8712" i="5" s="1"/>
  <c r="G8714" i="5"/>
  <c r="G8715" i="5"/>
  <c r="G8716" i="5"/>
  <c r="H8716" i="5" s="1"/>
  <c r="G8718" i="5"/>
  <c r="G8719" i="5"/>
  <c r="J4461" i="16"/>
  <c r="G8720" i="5"/>
  <c r="H8720" i="5" s="1"/>
  <c r="I4461" i="16"/>
  <c r="G8722" i="5"/>
  <c r="G8723" i="5"/>
  <c r="J1448" i="16"/>
  <c r="G8724" i="5"/>
  <c r="H8724" i="5" s="1"/>
  <c r="I1448" i="16"/>
  <c r="G8726" i="5"/>
  <c r="G8727" i="5"/>
  <c r="J4786" i="16"/>
  <c r="G8728" i="5"/>
  <c r="H8728" i="5" s="1"/>
  <c r="I4786" i="16"/>
  <c r="G8730" i="5"/>
  <c r="G8731" i="5"/>
  <c r="J3111" i="16"/>
  <c r="G8732" i="5"/>
  <c r="H8732" i="5" s="1"/>
  <c r="I3111" i="16"/>
  <c r="G8734" i="5"/>
  <c r="G8735" i="5"/>
  <c r="J2720" i="16"/>
  <c r="G8736" i="5"/>
  <c r="H8736" i="5" s="1"/>
  <c r="I2720" i="16"/>
  <c r="G8738" i="5"/>
  <c r="G8739" i="5"/>
  <c r="J994" i="16"/>
  <c r="G8740" i="5"/>
  <c r="H8740" i="5" s="1"/>
  <c r="I994" i="16"/>
  <c r="G8742" i="5"/>
  <c r="G8743" i="5"/>
  <c r="G8744" i="5"/>
  <c r="H8744" i="5" s="1"/>
  <c r="G8746" i="5"/>
  <c r="G8747" i="5"/>
  <c r="G8748" i="5"/>
  <c r="H8748" i="5" s="1"/>
  <c r="G8750" i="5"/>
  <c r="G8751" i="5"/>
  <c r="G8754" i="5"/>
  <c r="G8755" i="5"/>
  <c r="J1452" i="16"/>
  <c r="G8756" i="5"/>
  <c r="H8756" i="5" s="1"/>
  <c r="I1452" i="16"/>
  <c r="G8758" i="5"/>
  <c r="G8759" i="5"/>
  <c r="J4790" i="16"/>
  <c r="G8760" i="5"/>
  <c r="H8760" i="5" s="1"/>
  <c r="I4790" i="16"/>
  <c r="G8762" i="5"/>
  <c r="G8763" i="5"/>
  <c r="J3115" i="16"/>
  <c r="I3115" i="16"/>
  <c r="G8766" i="5"/>
  <c r="G8767" i="5"/>
  <c r="J2724" i="16"/>
  <c r="G8768" i="5"/>
  <c r="H8768" i="5" s="1"/>
  <c r="I2724" i="16"/>
  <c r="G8770" i="5"/>
  <c r="G8771" i="5"/>
  <c r="J999" i="16"/>
  <c r="G8772" i="5"/>
  <c r="H8772" i="5" s="1"/>
  <c r="I999" i="16"/>
  <c r="G8774" i="5"/>
  <c r="G8775" i="5"/>
  <c r="J4052" i="16"/>
  <c r="G8776" i="5"/>
  <c r="H8776" i="5" s="1"/>
  <c r="I4052" i="16"/>
  <c r="G8778" i="5"/>
  <c r="G8779" i="5"/>
  <c r="J3478" i="16"/>
  <c r="G8780" i="5"/>
  <c r="H8780" i="5" s="1"/>
  <c r="I3478" i="16"/>
  <c r="G8782" i="5"/>
  <c r="G8783" i="5"/>
  <c r="G8784" i="5"/>
  <c r="H8784" i="5" s="1"/>
  <c r="G8786" i="5"/>
  <c r="G8787" i="5"/>
  <c r="J2750" i="16"/>
  <c r="I2750" i="16"/>
  <c r="G8790" i="5"/>
  <c r="G8791" i="5"/>
  <c r="J3133" i="16"/>
  <c r="G8792" i="5"/>
  <c r="H8792" i="5" s="1"/>
  <c r="I3133" i="16"/>
  <c r="G8794" i="5"/>
  <c r="G8795" i="5"/>
  <c r="G8796" i="5"/>
  <c r="H8796" i="5" s="1"/>
  <c r="G8798" i="5"/>
  <c r="G8799" i="5"/>
  <c r="J1449" i="16"/>
  <c r="I1449" i="16"/>
  <c r="G8802" i="5"/>
  <c r="G8803" i="5"/>
  <c r="G8804" i="5"/>
  <c r="H8804" i="5" s="1"/>
  <c r="G8806" i="5"/>
  <c r="G8807" i="5"/>
  <c r="G8808" i="5"/>
  <c r="H8808" i="5" s="1"/>
  <c r="G8810" i="5"/>
  <c r="G8811" i="5"/>
  <c r="J2721" i="16"/>
  <c r="G8812" i="5"/>
  <c r="H8812" i="5" s="1"/>
  <c r="I2721" i="16"/>
  <c r="G8814" i="5"/>
  <c r="G8815" i="5"/>
  <c r="J996" i="16"/>
  <c r="I996" i="16"/>
  <c r="G8818" i="5"/>
  <c r="G8819" i="5"/>
  <c r="J4049" i="16"/>
  <c r="G8820" i="5"/>
  <c r="H8820" i="5" s="1"/>
  <c r="I4049" i="16"/>
  <c r="G8822" i="5"/>
  <c r="G8823" i="5"/>
  <c r="J3475" i="16"/>
  <c r="G8824" i="5"/>
  <c r="H8824" i="5" s="1"/>
  <c r="I3475" i="16"/>
  <c r="G8826" i="5"/>
  <c r="G8827" i="5"/>
  <c r="J606" i="16"/>
  <c r="G8828" i="5"/>
  <c r="H8828" i="5" s="1"/>
  <c r="I606" i="16"/>
  <c r="G8830" i="5"/>
  <c r="G8831" i="5"/>
  <c r="J2744" i="16"/>
  <c r="G8832" i="5"/>
  <c r="H8832" i="5" s="1"/>
  <c r="I2744" i="16"/>
  <c r="G8834" i="5"/>
  <c r="G8835" i="5"/>
  <c r="J3128" i="16"/>
  <c r="G8836" i="5"/>
  <c r="H8836" i="5" s="1"/>
  <c r="I3128" i="16"/>
  <c r="G8838" i="5"/>
  <c r="G8839" i="5"/>
  <c r="G8840" i="5"/>
  <c r="H8840" i="5" s="1"/>
  <c r="G8842" i="5"/>
  <c r="G8843" i="5"/>
  <c r="J1447" i="16"/>
  <c r="I1447" i="16"/>
  <c r="G8846" i="5"/>
  <c r="G8847" i="5"/>
  <c r="J4785" i="16"/>
  <c r="G8848" i="5"/>
  <c r="H8848" i="5" s="1"/>
  <c r="I4785" i="16"/>
  <c r="G8850" i="5"/>
  <c r="G8851" i="5"/>
  <c r="J3110" i="16"/>
  <c r="G8852" i="5"/>
  <c r="H8852" i="5" s="1"/>
  <c r="I3110" i="16"/>
  <c r="G8854" i="5"/>
  <c r="G8855" i="5"/>
  <c r="J2719" i="16"/>
  <c r="G8856" i="5"/>
  <c r="H8856" i="5" s="1"/>
  <c r="I2719" i="16"/>
  <c r="G8858" i="5"/>
  <c r="G8859" i="5"/>
  <c r="J993" i="16"/>
  <c r="G8860" i="5"/>
  <c r="H8860" i="5" s="1"/>
  <c r="I993" i="16"/>
  <c r="G8862" i="5"/>
  <c r="G8863" i="5"/>
  <c r="J4047" i="16"/>
  <c r="G8864" i="5"/>
  <c r="H8864" i="5" s="1"/>
  <c r="I4047" i="16"/>
  <c r="G8866" i="5"/>
  <c r="G8867" i="5"/>
  <c r="J3473" i="16"/>
  <c r="G8868" i="5"/>
  <c r="H8868" i="5" s="1"/>
  <c r="I3473" i="16"/>
  <c r="G8870" i="5"/>
  <c r="G8871" i="5"/>
  <c r="J602" i="16"/>
  <c r="I602" i="16"/>
  <c r="G8874" i="5"/>
  <c r="G8875" i="5"/>
  <c r="J2742" i="16"/>
  <c r="I2742" i="16"/>
  <c r="G8878" i="5"/>
  <c r="G8879" i="5"/>
  <c r="J3125" i="16"/>
  <c r="G8880" i="5"/>
  <c r="H8880" i="5" s="1"/>
  <c r="I3125" i="16"/>
  <c r="G8882" i="5"/>
  <c r="G8883" i="5"/>
  <c r="J601" i="16"/>
  <c r="G8884" i="5"/>
  <c r="H8884" i="5" s="1"/>
  <c r="I601" i="16"/>
  <c r="G8886" i="5"/>
  <c r="G8887" i="5"/>
  <c r="J2741" i="16"/>
  <c r="G8888" i="5"/>
  <c r="H8888" i="5" s="1"/>
  <c r="I2741" i="16"/>
  <c r="G8890" i="5"/>
  <c r="G8891" i="5"/>
  <c r="J3124" i="16"/>
  <c r="G8892" i="5"/>
  <c r="H8892" i="5" s="1"/>
  <c r="I3124" i="16"/>
  <c r="G8894" i="5"/>
  <c r="G8895" i="5"/>
  <c r="G8896" i="5"/>
  <c r="H8896" i="5" s="1"/>
  <c r="G8898" i="5"/>
  <c r="G8899" i="5"/>
  <c r="G8902" i="5"/>
  <c r="G8903" i="5"/>
  <c r="G8904" i="5"/>
  <c r="H8904" i="5" s="1"/>
  <c r="G8906" i="5"/>
  <c r="G8907" i="5"/>
  <c r="J3109" i="16"/>
  <c r="G8908" i="5"/>
  <c r="H8908" i="5" s="1"/>
  <c r="I3109" i="16"/>
  <c r="G8910" i="5"/>
  <c r="G8911" i="5"/>
  <c r="J2718" i="16"/>
  <c r="G8912" i="5"/>
  <c r="H8912" i="5" s="1"/>
  <c r="I2718" i="16"/>
  <c r="G8914" i="5"/>
  <c r="G8915" i="5"/>
  <c r="J992" i="16"/>
  <c r="G8916" i="5"/>
  <c r="H8916" i="5" s="1"/>
  <c r="I992" i="16"/>
  <c r="G8918" i="5"/>
  <c r="G8919" i="5"/>
  <c r="G8920" i="5"/>
  <c r="H8920" i="5" s="1"/>
  <c r="G8922" i="5"/>
  <c r="G8923" i="5"/>
  <c r="J3472" i="16"/>
  <c r="I3472" i="16"/>
  <c r="G8926" i="5"/>
  <c r="G8927" i="5"/>
  <c r="J598" i="16"/>
  <c r="I598" i="16"/>
  <c r="G8930" i="5"/>
  <c r="G8931" i="5"/>
  <c r="J2738" i="16"/>
  <c r="G8932" i="5"/>
  <c r="H8932" i="5" s="1"/>
  <c r="I2738" i="16"/>
  <c r="G8934" i="5"/>
  <c r="G8935" i="5"/>
  <c r="J3121" i="16"/>
  <c r="G8936" i="5"/>
  <c r="H8936" i="5" s="1"/>
  <c r="I3121" i="16"/>
  <c r="G8938" i="5"/>
  <c r="G8939" i="5"/>
  <c r="G8942" i="5"/>
  <c r="G8943" i="5"/>
  <c r="J1459" i="16"/>
  <c r="G8944" i="5"/>
  <c r="H8944" i="5" s="1"/>
  <c r="I1459" i="16"/>
  <c r="G8946" i="5"/>
  <c r="G8947" i="5"/>
  <c r="G8948" i="5"/>
  <c r="H8948" i="5" s="1"/>
  <c r="G8950" i="5"/>
  <c r="G8951" i="5"/>
  <c r="G8952" i="5"/>
  <c r="H8952" i="5" s="1"/>
  <c r="G8954" i="5"/>
  <c r="G8955" i="5"/>
  <c r="J2723" i="16"/>
  <c r="G8956" i="5"/>
  <c r="H8956" i="5" s="1"/>
  <c r="I2723" i="16"/>
  <c r="G8958" i="5"/>
  <c r="G8959" i="5"/>
  <c r="J998" i="16"/>
  <c r="G8960" i="5"/>
  <c r="H8960" i="5" s="1"/>
  <c r="I998" i="16"/>
  <c r="G8962" i="5"/>
  <c r="G8963" i="5"/>
  <c r="G8964" i="5"/>
  <c r="H8964" i="5" s="1"/>
  <c r="G8966" i="5"/>
  <c r="G8967" i="5"/>
  <c r="J3477" i="16"/>
  <c r="G8968" i="5"/>
  <c r="H8968" i="5" s="1"/>
  <c r="I3477" i="16"/>
  <c r="G8970" i="5"/>
  <c r="G8971" i="5"/>
  <c r="G8974" i="5"/>
  <c r="G8975" i="5"/>
  <c r="J1450" i="16"/>
  <c r="G8976" i="5"/>
  <c r="H8976" i="5" s="1"/>
  <c r="I1450" i="16"/>
  <c r="G8978" i="5"/>
  <c r="G8979" i="5"/>
  <c r="G8980" i="5"/>
  <c r="H8980" i="5" s="1"/>
  <c r="G8982" i="5"/>
  <c r="G8983" i="5"/>
  <c r="G8984" i="5"/>
  <c r="H8984" i="5" s="1"/>
  <c r="G8986" i="5"/>
  <c r="G8987" i="5"/>
  <c r="J2722" i="16"/>
  <c r="G8988" i="5"/>
  <c r="H8988" i="5" s="1"/>
  <c r="I2722" i="16"/>
  <c r="G8990" i="5"/>
  <c r="G8991" i="5"/>
  <c r="J997" i="16"/>
  <c r="G8992" i="5"/>
  <c r="H8992" i="5" s="1"/>
  <c r="I997" i="16"/>
  <c r="G8994" i="5"/>
  <c r="G8995" i="5"/>
  <c r="G8996" i="5"/>
  <c r="H8996" i="5" s="1"/>
  <c r="G8998" i="5"/>
  <c r="G8999" i="5"/>
  <c r="J3476" i="16"/>
  <c r="G9000" i="5"/>
  <c r="H9000" i="5" s="1"/>
  <c r="I3476" i="16"/>
  <c r="G9002" i="5"/>
  <c r="G9003" i="5"/>
  <c r="J4471" i="16"/>
  <c r="G9004" i="5"/>
  <c r="H9004" i="5" s="1"/>
  <c r="I4471" i="16"/>
  <c r="G9006" i="5"/>
  <c r="G9007" i="5"/>
  <c r="J4472" i="16"/>
  <c r="G9008" i="5"/>
  <c r="H9008" i="5" s="1"/>
  <c r="I4472" i="16"/>
  <c r="G9010" i="5"/>
  <c r="G9011" i="5"/>
  <c r="G9012" i="5"/>
  <c r="H9012" i="5" s="1"/>
  <c r="G9014" i="5"/>
  <c r="G9015" i="5"/>
  <c r="J4476" i="16"/>
  <c r="I4476" i="16"/>
  <c r="G9018" i="5"/>
  <c r="G9019" i="5"/>
  <c r="G9020" i="5"/>
  <c r="H9020" i="5" s="1"/>
  <c r="G9022" i="5"/>
  <c r="G9023" i="5"/>
  <c r="G9026" i="5"/>
  <c r="G9027" i="5"/>
  <c r="G9028" i="5"/>
  <c r="H9028" i="5" s="1"/>
  <c r="G9030" i="5"/>
  <c r="G9031" i="5"/>
  <c r="G9032" i="5"/>
  <c r="H9032" i="5" s="1"/>
  <c r="G9034" i="5"/>
  <c r="G9035" i="5"/>
  <c r="J4144" i="16"/>
  <c r="G9036" i="5"/>
  <c r="H9036" i="5" s="1"/>
  <c r="I4144" i="16"/>
  <c r="G9038" i="5"/>
  <c r="G9039" i="5"/>
  <c r="G9042" i="5"/>
  <c r="G9043" i="5"/>
  <c r="J2399" i="16"/>
  <c r="I2399" i="16"/>
  <c r="G9046" i="5"/>
  <c r="G9047" i="5"/>
  <c r="J2852" i="16"/>
  <c r="G9048" i="5"/>
  <c r="H9048" i="5" s="1"/>
  <c r="I2852" i="16"/>
  <c r="G9050" i="5"/>
  <c r="G9051" i="5"/>
  <c r="J4145" i="16"/>
  <c r="G9052" i="5"/>
  <c r="H9052" i="5" s="1"/>
  <c r="I4145" i="16"/>
  <c r="G9054" i="5"/>
  <c r="G9055" i="5"/>
  <c r="G9058" i="5"/>
  <c r="G9059" i="5"/>
  <c r="G9060" i="5"/>
  <c r="H9060" i="5" s="1"/>
  <c r="G9062" i="5"/>
  <c r="G9063" i="5"/>
  <c r="G9064" i="5"/>
  <c r="H9064" i="5" s="1"/>
  <c r="G9066" i="5"/>
  <c r="G9067" i="5"/>
  <c r="G9068" i="5"/>
  <c r="H9068" i="5" s="1"/>
  <c r="G9070" i="5"/>
  <c r="G9071" i="5"/>
  <c r="J1416" i="16"/>
  <c r="G9072" i="5"/>
  <c r="H9072" i="5" s="1"/>
  <c r="I1416" i="16"/>
  <c r="G9074" i="5"/>
  <c r="G9075" i="5"/>
  <c r="J2680" i="16"/>
  <c r="G9076" i="5"/>
  <c r="H9076" i="5" s="1"/>
  <c r="I2680" i="16"/>
  <c r="G9078" i="5"/>
  <c r="G9079" i="5"/>
  <c r="G9080" i="5"/>
  <c r="H9080" i="5" s="1"/>
  <c r="G9082" i="5"/>
  <c r="G9083" i="5"/>
  <c r="G9084" i="5"/>
  <c r="H9084" i="5" s="1"/>
  <c r="G9086" i="5"/>
  <c r="G9087" i="5"/>
  <c r="G9088" i="5"/>
  <c r="H9088" i="5" s="1"/>
  <c r="G9090" i="5"/>
  <c r="G9091" i="5"/>
  <c r="G9094" i="5"/>
  <c r="G9095" i="5"/>
  <c r="J4538" i="16"/>
  <c r="G9096" i="5"/>
  <c r="H9096" i="5" s="1"/>
  <c r="I4538" i="16"/>
  <c r="G9098" i="5"/>
  <c r="G9099" i="5"/>
  <c r="J1418" i="16"/>
  <c r="G9100" i="5"/>
  <c r="H9100" i="5" s="1"/>
  <c r="I1418" i="16"/>
  <c r="G9102" i="5"/>
  <c r="G9103" i="5"/>
  <c r="J2682" i="16"/>
  <c r="G9104" i="5"/>
  <c r="H9104" i="5" s="1"/>
  <c r="I2682" i="16"/>
  <c r="G9106" i="5"/>
  <c r="G9107" i="5"/>
  <c r="G9108" i="5"/>
  <c r="H9108" i="5" s="1"/>
  <c r="G9110" i="5"/>
  <c r="G9111" i="5"/>
  <c r="G9112" i="5"/>
  <c r="H9112" i="5" s="1"/>
  <c r="G9114" i="5"/>
  <c r="G9115" i="5"/>
  <c r="G9116" i="5"/>
  <c r="H9116" i="5" s="1"/>
  <c r="G9118" i="5"/>
  <c r="G9119" i="5"/>
  <c r="G9120" i="5"/>
  <c r="H9120" i="5" s="1"/>
  <c r="G9122" i="5"/>
  <c r="G9123" i="5"/>
  <c r="J1089" i="16"/>
  <c r="G9124" i="5"/>
  <c r="H9124" i="5" s="1"/>
  <c r="I1089" i="16"/>
  <c r="G9126" i="5"/>
  <c r="G9127" i="5"/>
  <c r="J363" i="16"/>
  <c r="G9129" i="5"/>
  <c r="J4887" i="16"/>
  <c r="G9131" i="5"/>
  <c r="G9133" i="5"/>
  <c r="G9135" i="5"/>
  <c r="I363" i="16"/>
  <c r="I4887" i="16"/>
  <c r="G9136" i="5"/>
  <c r="G9137" i="5"/>
  <c r="G9138" i="5"/>
  <c r="G9140" i="5"/>
  <c r="G9142" i="5"/>
  <c r="G9143" i="5"/>
  <c r="G9145" i="5"/>
  <c r="G9147" i="5"/>
  <c r="G9148" i="5"/>
  <c r="G9149" i="5"/>
  <c r="G9151" i="5"/>
  <c r="G9152" i="5"/>
  <c r="G9153" i="5"/>
  <c r="G9154" i="5"/>
  <c r="G9156" i="5"/>
  <c r="G9158" i="5"/>
  <c r="G9159" i="5"/>
  <c r="G9160" i="5"/>
  <c r="J621" i="16"/>
  <c r="G9161" i="5"/>
  <c r="H9161" i="5" s="1"/>
  <c r="I621" i="16"/>
  <c r="G9163" i="5"/>
  <c r="G9164" i="5"/>
  <c r="G9166" i="5"/>
  <c r="G9168" i="5"/>
  <c r="G9169" i="5"/>
  <c r="G9170" i="5"/>
  <c r="G9172" i="5"/>
  <c r="G9173" i="5"/>
  <c r="G9174" i="5"/>
  <c r="G9175" i="5"/>
  <c r="G9176" i="5"/>
  <c r="G9177" i="5"/>
  <c r="G9179" i="5"/>
  <c r="G9181" i="5"/>
  <c r="G9182" i="5"/>
  <c r="G9183" i="5"/>
  <c r="G9184" i="5"/>
  <c r="G9185" i="5"/>
  <c r="G9187" i="5"/>
  <c r="G9188" i="5"/>
  <c r="G9189" i="5"/>
  <c r="G9190" i="5"/>
  <c r="G9191" i="5"/>
  <c r="G9192" i="5"/>
  <c r="G9193" i="5"/>
  <c r="G9194" i="5"/>
  <c r="G9195" i="5"/>
  <c r="G9196" i="5"/>
  <c r="G9197" i="5"/>
  <c r="G9198" i="5"/>
  <c r="G9200" i="5"/>
  <c r="E9200" i="5"/>
  <c r="E9201" i="5"/>
  <c r="G9202" i="5"/>
  <c r="G9203" i="5"/>
  <c r="G9204" i="5"/>
  <c r="G9205" i="5"/>
  <c r="G9206" i="5"/>
  <c r="E9208" i="5"/>
  <c r="G9208" i="5" s="1"/>
  <c r="E9209" i="5"/>
  <c r="G9210" i="5"/>
  <c r="G9211" i="5"/>
  <c r="G9212" i="5"/>
  <c r="G9213" i="5"/>
  <c r="G9214" i="5"/>
  <c r="G9216" i="5"/>
  <c r="G9217" i="5"/>
  <c r="G9220" i="5"/>
  <c r="G9221" i="5"/>
  <c r="G9222" i="5"/>
  <c r="G9223" i="5"/>
  <c r="G9224" i="5"/>
  <c r="G9225" i="5"/>
  <c r="G9228" i="5"/>
  <c r="G9229" i="5"/>
  <c r="G9230" i="5"/>
  <c r="G9233" i="5"/>
  <c r="G9236" i="5"/>
  <c r="G9237" i="5"/>
  <c r="G9238" i="5"/>
  <c r="G9239" i="5"/>
  <c r="G9242" i="5"/>
  <c r="G9243" i="5"/>
  <c r="G9244" i="5"/>
  <c r="G9245" i="5"/>
  <c r="G9246" i="5"/>
  <c r="G9247" i="5"/>
  <c r="G9249" i="5"/>
  <c r="G9250" i="5"/>
  <c r="G9251" i="5"/>
  <c r="G9252" i="5"/>
  <c r="G9257" i="5"/>
  <c r="G9258" i="5"/>
  <c r="G9259" i="5"/>
  <c r="G9264" i="5"/>
  <c r="G9265" i="5"/>
  <c r="G9266" i="5"/>
  <c r="G9267" i="5"/>
  <c r="G9268" i="5"/>
  <c r="G9271" i="5"/>
  <c r="G9272" i="5"/>
  <c r="G9273" i="5"/>
  <c r="G9274" i="5"/>
  <c r="G9276" i="5"/>
  <c r="G9277" i="5"/>
  <c r="G9278" i="5"/>
  <c r="G9279" i="5"/>
  <c r="G9280" i="5"/>
  <c r="G9281" i="5"/>
  <c r="G9283" i="5"/>
  <c r="G9285" i="5"/>
  <c r="G9286" i="5"/>
  <c r="G9287" i="5"/>
  <c r="J3130" i="16"/>
  <c r="I3130" i="16"/>
  <c r="G9288" i="5"/>
  <c r="H9288" i="5" s="1"/>
  <c r="G9290" i="5"/>
  <c r="G9291" i="5"/>
  <c r="J3129" i="16"/>
  <c r="I3129" i="16"/>
  <c r="G9292" i="5"/>
  <c r="H9292" i="5" s="1"/>
  <c r="G9294" i="5"/>
  <c r="G9295" i="5"/>
  <c r="G9302" i="5"/>
  <c r="G9303" i="5"/>
  <c r="G9304" i="5"/>
  <c r="G9305" i="5"/>
  <c r="G9306" i="5"/>
  <c r="G9314" i="5"/>
  <c r="G9315" i="5"/>
  <c r="G9316" i="5"/>
  <c r="G9317" i="5"/>
  <c r="G9318" i="5"/>
  <c r="G9319" i="5"/>
  <c r="G9320" i="5"/>
  <c r="G9322" i="5"/>
  <c r="G9323" i="5"/>
  <c r="G9324" i="5"/>
  <c r="G9330" i="5"/>
  <c r="G9331" i="5"/>
  <c r="G9332" i="5"/>
  <c r="G9333" i="5"/>
  <c r="J90" i="16"/>
  <c r="G9334" i="5"/>
  <c r="G9335" i="5"/>
  <c r="J875" i="16"/>
  <c r="G9336" i="5"/>
  <c r="J1143" i="16"/>
  <c r="G9337" i="5"/>
  <c r="J2899" i="16"/>
  <c r="G9338" i="5"/>
  <c r="J1942" i="16"/>
  <c r="G9339" i="5"/>
  <c r="G9340" i="5"/>
  <c r="G9341" i="5"/>
  <c r="I90" i="16"/>
  <c r="I875" i="16"/>
  <c r="I1143" i="16"/>
  <c r="I2899" i="16"/>
  <c r="I1942" i="16"/>
  <c r="G9342" i="5"/>
  <c r="G9343" i="5"/>
  <c r="G9344" i="5"/>
  <c r="G9345" i="5"/>
  <c r="G9346" i="5"/>
  <c r="G9347" i="5"/>
  <c r="G9348" i="5"/>
  <c r="G9349" i="5"/>
  <c r="G9350" i="5"/>
  <c r="G9351" i="5"/>
  <c r="G9352" i="5"/>
  <c r="G9353" i="5"/>
  <c r="G9354" i="5"/>
  <c r="G9355" i="5"/>
  <c r="G9356" i="5"/>
  <c r="J3995" i="16"/>
  <c r="G9357" i="5"/>
  <c r="G9358" i="5"/>
  <c r="I932" i="16"/>
  <c r="I3995" i="16"/>
  <c r="G9359" i="5"/>
  <c r="G9360" i="5"/>
  <c r="G9361" i="5"/>
  <c r="G9362" i="5"/>
  <c r="G9363" i="5"/>
  <c r="G9364" i="5"/>
  <c r="G9365" i="5"/>
  <c r="G9366" i="5"/>
  <c r="G9368" i="5"/>
  <c r="G9369" i="5"/>
  <c r="G9370" i="5"/>
  <c r="G9371" i="5"/>
  <c r="G9372" i="5"/>
  <c r="J3344" i="16"/>
  <c r="E9373" i="5"/>
  <c r="G9373" i="5" s="1"/>
  <c r="G9374" i="5"/>
  <c r="G9375" i="5"/>
  <c r="G9376" i="5"/>
  <c r="G9377" i="5"/>
  <c r="I3344" i="16"/>
  <c r="G9378" i="5"/>
  <c r="G9379" i="5"/>
  <c r="G9380" i="5"/>
  <c r="G9381" i="5"/>
  <c r="G9382" i="5"/>
  <c r="G9384" i="5"/>
  <c r="G9386" i="5"/>
  <c r="G9388" i="5"/>
  <c r="G9389" i="5"/>
  <c r="G9390" i="5"/>
  <c r="G9391" i="5"/>
  <c r="G9392" i="5"/>
  <c r="G9393" i="5"/>
  <c r="G9395" i="5"/>
  <c r="G9396" i="5"/>
  <c r="G9397" i="5"/>
  <c r="G9398" i="5"/>
  <c r="G9399" i="5"/>
  <c r="G9400" i="5"/>
  <c r="G9401" i="5"/>
  <c r="G9402" i="5"/>
  <c r="G9403" i="5"/>
  <c r="G9404" i="5"/>
  <c r="G9405" i="5"/>
  <c r="G9406" i="5"/>
  <c r="G9407" i="5"/>
  <c r="G9408" i="5"/>
  <c r="G9409" i="5"/>
  <c r="G9410" i="5"/>
  <c r="G9411" i="5"/>
  <c r="G9412" i="5"/>
  <c r="G9413" i="5"/>
  <c r="G9415" i="5"/>
  <c r="G9416" i="5"/>
  <c r="G9417" i="5"/>
  <c r="G9418" i="5"/>
  <c r="G9420" i="5"/>
  <c r="G9421" i="5"/>
  <c r="G9422" i="5"/>
  <c r="G9423" i="5"/>
  <c r="G9424" i="5"/>
  <c r="G9425" i="5"/>
  <c r="J2602" i="16"/>
  <c r="G9426" i="5"/>
  <c r="G9428" i="5"/>
  <c r="G9429" i="5"/>
  <c r="J3871" i="16"/>
  <c r="I2602" i="16"/>
  <c r="G9431" i="5"/>
  <c r="G9432" i="5"/>
  <c r="G9433" i="5"/>
  <c r="G9435" i="5"/>
  <c r="G9436" i="5"/>
  <c r="G9437" i="5"/>
  <c r="G9438" i="5"/>
  <c r="G9439" i="5"/>
  <c r="G9440" i="5"/>
  <c r="G9441" i="5"/>
  <c r="G9442" i="5"/>
  <c r="G9443" i="5"/>
  <c r="G9444" i="5"/>
  <c r="G9445" i="5"/>
  <c r="G9446" i="5"/>
  <c r="G9447" i="5"/>
  <c r="G9448" i="5"/>
  <c r="G9449" i="5"/>
  <c r="G9451" i="5"/>
  <c r="G9452" i="5"/>
  <c r="G9453" i="5"/>
  <c r="G9454" i="5"/>
  <c r="G9455" i="5"/>
  <c r="G9456" i="5"/>
  <c r="G9458" i="5"/>
  <c r="G9459" i="5"/>
  <c r="G9460" i="5"/>
  <c r="G9461" i="5"/>
  <c r="E9462" i="5"/>
  <c r="G9462" i="5" s="1"/>
  <c r="E9464" i="5"/>
  <c r="G9464" i="5" s="1"/>
  <c r="E9465" i="5"/>
  <c r="G9465" i="5" s="1"/>
  <c r="J1806" i="16"/>
  <c r="E9469" i="5"/>
  <c r="G9469" i="5" s="1"/>
  <c r="E9466" i="5"/>
  <c r="E9470" i="5"/>
  <c r="G9471" i="5"/>
  <c r="J16" i="16"/>
  <c r="J456" i="16"/>
  <c r="I20" i="16"/>
  <c r="I1132" i="16"/>
  <c r="I322" i="16"/>
  <c r="I16" i="16"/>
  <c r="I456" i="16"/>
  <c r="I56" i="16"/>
  <c r="I4446" i="16"/>
  <c r="I3641" i="16"/>
  <c r="I3871" i="16"/>
  <c r="I4349" i="16"/>
  <c r="I3339" i="16"/>
  <c r="I1097" i="16"/>
  <c r="I3334" i="16"/>
  <c r="I1098" i="16"/>
  <c r="I1806" i="16"/>
  <c r="I2206" i="16"/>
  <c r="I597" i="21"/>
  <c r="I596" i="21"/>
  <c r="M596" i="21" s="1"/>
  <c r="N596" i="21" s="1"/>
  <c r="E17" i="9"/>
  <c r="I38" i="21"/>
  <c r="M38" i="21" s="1"/>
  <c r="N38" i="21" s="1"/>
  <c r="N37" i="21" s="1"/>
  <c r="I518" i="21"/>
  <c r="I519" i="21"/>
  <c r="I520" i="21"/>
  <c r="I521" i="21"/>
  <c r="I522" i="21"/>
  <c r="I523" i="21"/>
  <c r="M523" i="21" s="1"/>
  <c r="I524" i="21"/>
  <c r="I525" i="21"/>
  <c r="I526" i="21"/>
  <c r="I527" i="21"/>
  <c r="I528" i="21"/>
  <c r="I529" i="21"/>
  <c r="I530" i="21"/>
  <c r="I531" i="21"/>
  <c r="I532" i="21"/>
  <c r="I533" i="21"/>
  <c r="M533" i="21" s="1"/>
  <c r="N533" i="21" s="1"/>
  <c r="I534" i="21"/>
  <c r="I535" i="21"/>
  <c r="I536" i="21"/>
  <c r="I537" i="21"/>
  <c r="M537" i="21" s="1"/>
  <c r="I538" i="21"/>
  <c r="I539" i="21"/>
  <c r="M539" i="21" s="1"/>
  <c r="I540" i="21"/>
  <c r="I541" i="21"/>
  <c r="I542" i="21"/>
  <c r="I543" i="21"/>
  <c r="I544" i="21"/>
  <c r="I545" i="21"/>
  <c r="M545" i="21" s="1"/>
  <c r="I546" i="21"/>
  <c r="I547" i="21"/>
  <c r="M547" i="21" s="1"/>
  <c r="I548" i="21"/>
  <c r="I549" i="21"/>
  <c r="M549" i="21" s="1"/>
  <c r="N549" i="21" s="1"/>
  <c r="I550" i="21"/>
  <c r="I551" i="21"/>
  <c r="I552" i="21"/>
  <c r="I553" i="21"/>
  <c r="M553" i="21" s="1"/>
  <c r="N553" i="21" s="1"/>
  <c r="I554" i="21"/>
  <c r="I555" i="21"/>
  <c r="M555" i="21" s="1"/>
  <c r="N555" i="21" s="1"/>
  <c r="I556" i="21"/>
  <c r="I557" i="21"/>
  <c r="M557" i="21" s="1"/>
  <c r="N557" i="21" s="1"/>
  <c r="I558" i="21"/>
  <c r="I559" i="21"/>
  <c r="I560" i="21"/>
  <c r="I561" i="21"/>
  <c r="M561" i="21" s="1"/>
  <c r="N561" i="21" s="1"/>
  <c r="I562" i="21"/>
  <c r="I563" i="21"/>
  <c r="I564" i="21"/>
  <c r="I565" i="21"/>
  <c r="M565" i="21" s="1"/>
  <c r="N565" i="21" s="1"/>
  <c r="I566" i="21"/>
  <c r="I567" i="21"/>
  <c r="I568" i="21"/>
  <c r="I569" i="21"/>
  <c r="M569" i="21" s="1"/>
  <c r="N569" i="21" s="1"/>
  <c r="I570" i="21"/>
  <c r="I571" i="21"/>
  <c r="M571" i="21" s="1"/>
  <c r="N571" i="21" s="1"/>
  <c r="I572" i="21"/>
  <c r="I573" i="21"/>
  <c r="M573" i="21" s="1"/>
  <c r="N573" i="21" s="1"/>
  <c r="I574" i="21"/>
  <c r="I575" i="21"/>
  <c r="I576" i="21"/>
  <c r="I577" i="21"/>
  <c r="M577" i="21" s="1"/>
  <c r="N577" i="21" s="1"/>
  <c r="I578" i="21"/>
  <c r="I579" i="21"/>
  <c r="M579" i="21" s="1"/>
  <c r="I580" i="21"/>
  <c r="I581" i="21"/>
  <c r="I582" i="21"/>
  <c r="I583" i="21"/>
  <c r="I584" i="21"/>
  <c r="I585" i="21"/>
  <c r="M585" i="21" s="1"/>
  <c r="I586" i="21"/>
  <c r="I587" i="21"/>
  <c r="M587" i="21" s="1"/>
  <c r="N587" i="21" s="1"/>
  <c r="I588" i="21"/>
  <c r="I589" i="21"/>
  <c r="M589" i="21" s="1"/>
  <c r="I590" i="21"/>
  <c r="I591" i="21"/>
  <c r="I592" i="21"/>
  <c r="I593" i="21"/>
  <c r="M593" i="21" s="1"/>
  <c r="N593" i="21" s="1"/>
  <c r="I594" i="21"/>
  <c r="I595" i="21"/>
  <c r="I598" i="21"/>
  <c r="I599" i="21"/>
  <c r="M599" i="21" s="1"/>
  <c r="I600" i="21"/>
  <c r="I601" i="21"/>
  <c r="I602" i="21"/>
  <c r="I603" i="21"/>
  <c r="M603" i="21" s="1"/>
  <c r="I604" i="21"/>
  <c r="I605" i="21"/>
  <c r="I606" i="21"/>
  <c r="I607" i="21"/>
  <c r="M607" i="21" s="1"/>
  <c r="N607" i="21" s="1"/>
  <c r="I608" i="21"/>
  <c r="I609" i="21"/>
  <c r="I610" i="21"/>
  <c r="I611" i="21"/>
  <c r="M611" i="21" s="1"/>
  <c r="I612" i="21"/>
  <c r="I613" i="21"/>
  <c r="M613" i="21" s="1"/>
  <c r="I614" i="21"/>
  <c r="I615" i="21"/>
  <c r="M615" i="21" s="1"/>
  <c r="I616" i="21"/>
  <c r="I617" i="21"/>
  <c r="I618" i="21"/>
  <c r="I619" i="21"/>
  <c r="I620" i="21"/>
  <c r="I621" i="21"/>
  <c r="M621" i="21" s="1"/>
  <c r="N621" i="21" s="1"/>
  <c r="I622" i="21"/>
  <c r="I623" i="21"/>
  <c r="M623" i="21" s="1"/>
  <c r="I624" i="21"/>
  <c r="I625" i="21"/>
  <c r="I626" i="21"/>
  <c r="I627" i="21"/>
  <c r="I628" i="21"/>
  <c r="I629" i="21"/>
  <c r="M629" i="21" s="1"/>
  <c r="I630" i="21"/>
  <c r="I631" i="21"/>
  <c r="I632" i="21"/>
  <c r="I633" i="21"/>
  <c r="I634" i="21"/>
  <c r="I635" i="21"/>
  <c r="M635" i="21" s="1"/>
  <c r="N635" i="21" s="1"/>
  <c r="I636" i="21"/>
  <c r="I637" i="21"/>
  <c r="M637" i="21" s="1"/>
  <c r="N637" i="21" s="1"/>
  <c r="I638" i="21"/>
  <c r="I639" i="21"/>
  <c r="I640" i="21"/>
  <c r="I641" i="21"/>
  <c r="I642" i="21"/>
  <c r="I643" i="21"/>
  <c r="I644" i="21"/>
  <c r="I645" i="21"/>
  <c r="M645" i="21" s="1"/>
  <c r="N645" i="21" s="1"/>
  <c r="I646" i="21"/>
  <c r="I647" i="21"/>
  <c r="M647" i="21" s="1"/>
  <c r="N647" i="21" s="1"/>
  <c r="I648" i="21"/>
  <c r="I649" i="21"/>
  <c r="I650" i="21"/>
  <c r="I651" i="21"/>
  <c r="M651" i="21" s="1"/>
  <c r="N651" i="21" s="1"/>
  <c r="I652" i="21"/>
  <c r="I653" i="21"/>
  <c r="M653" i="21" s="1"/>
  <c r="I654" i="21"/>
  <c r="I655" i="21"/>
  <c r="I656" i="21"/>
  <c r="I657" i="21"/>
  <c r="I658" i="21"/>
  <c r="I659" i="21"/>
  <c r="M659" i="21" s="1"/>
  <c r="N659" i="21" s="1"/>
  <c r="I660" i="21"/>
  <c r="I661" i="21"/>
  <c r="M661" i="21" s="1"/>
  <c r="I662" i="21"/>
  <c r="I663" i="21"/>
  <c r="M663" i="21" s="1"/>
  <c r="N663" i="21" s="1"/>
  <c r="I664" i="21"/>
  <c r="I665" i="21"/>
  <c r="I666" i="21"/>
  <c r="I667" i="21"/>
  <c r="I668" i="21"/>
  <c r="I669" i="21"/>
  <c r="M669" i="21" s="1"/>
  <c r="I670" i="21"/>
  <c r="I671" i="21"/>
  <c r="M671" i="21" s="1"/>
  <c r="N671" i="21" s="1"/>
  <c r="I672" i="21"/>
  <c r="I673" i="21"/>
  <c r="I674" i="21"/>
  <c r="I675" i="21"/>
  <c r="M675" i="21" s="1"/>
  <c r="N675" i="21" s="1"/>
  <c r="I676" i="21"/>
  <c r="I677" i="21"/>
  <c r="M677" i="21" s="1"/>
  <c r="N677" i="21" s="1"/>
  <c r="I678" i="21"/>
  <c r="I679" i="21"/>
  <c r="I680" i="21"/>
  <c r="I517" i="21"/>
  <c r="B17" i="9"/>
  <c r="O12" i="21"/>
  <c r="P12" i="21" s="1"/>
  <c r="O16" i="21"/>
  <c r="P16" i="21" s="1"/>
  <c r="O22" i="21"/>
  <c r="P22" i="21" s="1"/>
  <c r="O24" i="21"/>
  <c r="P24" i="21" s="1"/>
  <c r="O30" i="21"/>
  <c r="P30" i="21" s="1"/>
  <c r="O32" i="21"/>
  <c r="P32" i="21" s="1"/>
  <c r="J9" i="16"/>
  <c r="J10" i="16"/>
  <c r="J11" i="16"/>
  <c r="J12" i="16"/>
  <c r="J14" i="16"/>
  <c r="J15" i="16"/>
  <c r="J17" i="16"/>
  <c r="J18" i="16"/>
  <c r="J19" i="16"/>
  <c r="J21" i="16"/>
  <c r="J22" i="16"/>
  <c r="J23" i="16"/>
  <c r="J24" i="16"/>
  <c r="J25" i="16"/>
  <c r="J26" i="16"/>
  <c r="J27" i="16"/>
  <c r="J28" i="16"/>
  <c r="J29" i="16"/>
  <c r="J30" i="16"/>
  <c r="J31" i="16"/>
  <c r="J33" i="16"/>
  <c r="J34" i="16"/>
  <c r="J35" i="16"/>
  <c r="J36" i="16"/>
  <c r="J37" i="16"/>
  <c r="J38" i="16"/>
  <c r="J39" i="16"/>
  <c r="J40" i="16"/>
  <c r="J41" i="16"/>
  <c r="J42" i="16"/>
  <c r="J43" i="16"/>
  <c r="J44" i="16"/>
  <c r="J45" i="16"/>
  <c r="J46" i="16"/>
  <c r="J47" i="16"/>
  <c r="J48" i="16"/>
  <c r="J49" i="16"/>
  <c r="J50" i="16"/>
  <c r="J51" i="16"/>
  <c r="J52" i="16"/>
  <c r="J53" i="16"/>
  <c r="J55" i="16"/>
  <c r="J57" i="16"/>
  <c r="J58" i="16"/>
  <c r="J59" i="16"/>
  <c r="J60" i="16"/>
  <c r="J61" i="16"/>
  <c r="J62" i="16"/>
  <c r="J66" i="16"/>
  <c r="J67" i="16"/>
  <c r="J68" i="16"/>
  <c r="J71" i="16"/>
  <c r="J73" i="16"/>
  <c r="J74" i="16"/>
  <c r="J75" i="16"/>
  <c r="J76" i="16"/>
  <c r="J77" i="16"/>
  <c r="J78" i="16"/>
  <c r="J79" i="16"/>
  <c r="J80" i="16"/>
  <c r="J81" i="16"/>
  <c r="J82" i="16"/>
  <c r="J83" i="16"/>
  <c r="J84" i="16"/>
  <c r="J85" i="16"/>
  <c r="J86" i="16"/>
  <c r="J87" i="16"/>
  <c r="J88" i="16"/>
  <c r="J89" i="16"/>
  <c r="J92" i="16"/>
  <c r="J95" i="16"/>
  <c r="J97" i="16"/>
  <c r="J102" i="16"/>
  <c r="J111" i="16"/>
  <c r="J112" i="16"/>
  <c r="J113" i="16"/>
  <c r="J114" i="16"/>
  <c r="J115" i="16"/>
  <c r="J116" i="16"/>
  <c r="J117" i="16"/>
  <c r="J118" i="16"/>
  <c r="J119" i="16"/>
  <c r="J120" i="16"/>
  <c r="J121" i="16"/>
  <c r="J122" i="16"/>
  <c r="J123" i="16"/>
  <c r="J124" i="16"/>
  <c r="J125" i="16"/>
  <c r="J126" i="16"/>
  <c r="J128" i="16"/>
  <c r="J132" i="16"/>
  <c r="J134" i="16"/>
  <c r="J135" i="16"/>
  <c r="J138" i="16"/>
  <c r="J139" i="16"/>
  <c r="J141" i="16"/>
  <c r="J142" i="16"/>
  <c r="J143" i="16"/>
  <c r="J144" i="16"/>
  <c r="J145" i="16"/>
  <c r="J146" i="16"/>
  <c r="J147" i="16"/>
  <c r="J148" i="16"/>
  <c r="J149" i="16"/>
  <c r="J150" i="16"/>
  <c r="J151" i="16"/>
  <c r="J152" i="16"/>
  <c r="J153" i="16"/>
  <c r="J154" i="16"/>
  <c r="J155" i="16"/>
  <c r="J156" i="16"/>
  <c r="J157" i="16"/>
  <c r="J158" i="16"/>
  <c r="J159" i="16"/>
  <c r="J160" i="16"/>
  <c r="J161" i="16"/>
  <c r="J162" i="16"/>
  <c r="J163" i="16"/>
  <c r="J164" i="16"/>
  <c r="J165" i="16"/>
  <c r="J166" i="16"/>
  <c r="J167" i="16"/>
  <c r="J168" i="16"/>
  <c r="J169" i="16"/>
  <c r="J170" i="16"/>
  <c r="J173" i="16"/>
  <c r="J174" i="16"/>
  <c r="J175" i="16"/>
  <c r="J176" i="16"/>
  <c r="J178" i="16"/>
  <c r="J179" i="16"/>
  <c r="J180" i="16"/>
  <c r="J181" i="16"/>
  <c r="J182" i="16"/>
  <c r="J184" i="16"/>
  <c r="J185" i="16"/>
  <c r="J188" i="16"/>
  <c r="J189" i="16"/>
  <c r="J190" i="16"/>
  <c r="J191" i="16"/>
  <c r="J192" i="16"/>
  <c r="J193" i="16"/>
  <c r="J194" i="16"/>
  <c r="J195" i="16"/>
  <c r="J196" i="16"/>
  <c r="J197" i="16"/>
  <c r="J198" i="16"/>
  <c r="J199" i="16"/>
  <c r="J200" i="16"/>
  <c r="J201" i="16"/>
  <c r="J202" i="16"/>
  <c r="J203" i="16"/>
  <c r="J204" i="16"/>
  <c r="J205" i="16"/>
  <c r="J206" i="16"/>
  <c r="J207" i="16"/>
  <c r="J208" i="16"/>
  <c r="J209" i="16"/>
  <c r="J210" i="16"/>
  <c r="J211" i="16"/>
  <c r="J212" i="16"/>
  <c r="J213" i="16"/>
  <c r="J214" i="16"/>
  <c r="J215" i="16"/>
  <c r="J216" i="16"/>
  <c r="J217" i="16"/>
  <c r="J218" i="16"/>
  <c r="J219" i="16"/>
  <c r="J220" i="16"/>
  <c r="J221" i="16"/>
  <c r="J222" i="16"/>
  <c r="J223" i="16"/>
  <c r="J224" i="16"/>
  <c r="J225" i="16"/>
  <c r="J227" i="16"/>
  <c r="J228" i="16"/>
  <c r="J229" i="16"/>
  <c r="J230" i="16"/>
  <c r="J231" i="16"/>
  <c r="J232" i="16"/>
  <c r="J233" i="16"/>
  <c r="J234" i="16"/>
  <c r="J235" i="16"/>
  <c r="J236" i="16"/>
  <c r="J237" i="16"/>
  <c r="J239" i="16"/>
  <c r="J240" i="16"/>
  <c r="J241" i="16"/>
  <c r="J242" i="16"/>
  <c r="J243" i="16"/>
  <c r="J244" i="16"/>
  <c r="J245" i="16"/>
  <c r="J246" i="16"/>
  <c r="J247" i="16"/>
  <c r="J248" i="16"/>
  <c r="J249" i="16"/>
  <c r="J250" i="16"/>
  <c r="J251" i="16"/>
  <c r="J252" i="16"/>
  <c r="J253" i="16"/>
  <c r="J254" i="16"/>
  <c r="J255" i="16"/>
  <c r="J256" i="16"/>
  <c r="J258" i="16"/>
  <c r="J259" i="16"/>
  <c r="J260" i="16"/>
  <c r="J261" i="16"/>
  <c r="J262" i="16"/>
  <c r="J263" i="16"/>
  <c r="J264" i="16"/>
  <c r="J265" i="16"/>
  <c r="J266" i="16"/>
  <c r="J267" i="16"/>
  <c r="J268" i="16"/>
  <c r="J269" i="16"/>
  <c r="J270" i="16"/>
  <c r="J271" i="16"/>
  <c r="J272" i="16"/>
  <c r="J273" i="16"/>
  <c r="J274" i="16"/>
  <c r="J275" i="16"/>
  <c r="J276" i="16"/>
  <c r="J277" i="16"/>
  <c r="J278" i="16"/>
  <c r="J279" i="16"/>
  <c r="J280" i="16"/>
  <c r="J281" i="16"/>
  <c r="J282" i="16"/>
  <c r="J283" i="16"/>
  <c r="J284" i="16"/>
  <c r="J285" i="16"/>
  <c r="J286" i="16"/>
  <c r="J287" i="16"/>
  <c r="J288" i="16"/>
  <c r="J289" i="16"/>
  <c r="J290" i="16"/>
  <c r="J291" i="16"/>
  <c r="J292" i="16"/>
  <c r="J293" i="16"/>
  <c r="J294" i="16"/>
  <c r="J295" i="16"/>
  <c r="J296" i="16"/>
  <c r="J297" i="16"/>
  <c r="J298" i="16"/>
  <c r="J299" i="16"/>
  <c r="J300" i="16"/>
  <c r="J301" i="16"/>
  <c r="J302" i="16"/>
  <c r="J303" i="16"/>
  <c r="J304" i="16"/>
  <c r="J305" i="16"/>
  <c r="J306" i="16"/>
  <c r="J310" i="16"/>
  <c r="J316" i="16"/>
  <c r="J317" i="16"/>
  <c r="J323" i="16"/>
  <c r="J324" i="16"/>
  <c r="J325" i="16"/>
  <c r="J326" i="16"/>
  <c r="J329" i="16"/>
  <c r="J330" i="16"/>
  <c r="J332" i="16"/>
  <c r="J334" i="16"/>
  <c r="J335" i="16"/>
  <c r="J336" i="16"/>
  <c r="J337" i="16"/>
  <c r="J338" i="16"/>
  <c r="J339" i="16"/>
  <c r="J340" i="16"/>
  <c r="J341" i="16"/>
  <c r="J342" i="16"/>
  <c r="J343" i="16"/>
  <c r="J344" i="16"/>
  <c r="J345" i="16"/>
  <c r="J346" i="16"/>
  <c r="J347" i="16"/>
  <c r="J348" i="16"/>
  <c r="J349" i="16"/>
  <c r="J350" i="16"/>
  <c r="J351" i="16"/>
  <c r="J352" i="16"/>
  <c r="J353" i="16"/>
  <c r="J354" i="16"/>
  <c r="J355" i="16"/>
  <c r="J356" i="16"/>
  <c r="J357" i="16"/>
  <c r="J358" i="16"/>
  <c r="J359" i="16"/>
  <c r="J360" i="16"/>
  <c r="J361" i="16"/>
  <c r="J362" i="16"/>
  <c r="J364" i="16"/>
  <c r="J365" i="16"/>
  <c r="J366" i="16"/>
  <c r="J367" i="16"/>
  <c r="J368" i="16"/>
  <c r="J369" i="16"/>
  <c r="J370" i="16"/>
  <c r="J372" i="16"/>
  <c r="J373" i="16"/>
  <c r="J374" i="16"/>
  <c r="J375" i="16"/>
  <c r="J376" i="16"/>
  <c r="J377" i="16"/>
  <c r="J378" i="16"/>
  <c r="J379" i="16"/>
  <c r="J380" i="16"/>
  <c r="J381" i="16"/>
  <c r="J382" i="16"/>
  <c r="J383" i="16"/>
  <c r="J384" i="16"/>
  <c r="J385" i="16"/>
  <c r="J386" i="16"/>
  <c r="J387" i="16"/>
  <c r="J388" i="16"/>
  <c r="J389" i="16"/>
  <c r="J390" i="16"/>
  <c r="J391" i="16"/>
  <c r="J392" i="16"/>
  <c r="J393" i="16"/>
  <c r="J394" i="16"/>
  <c r="J395" i="16"/>
  <c r="J397" i="16"/>
  <c r="J399" i="16"/>
  <c r="J401" i="16"/>
  <c r="J402" i="16"/>
  <c r="J403" i="16"/>
  <c r="J404" i="16"/>
  <c r="J405" i="16"/>
  <c r="J406" i="16"/>
  <c r="J407" i="16"/>
  <c r="J408" i="16"/>
  <c r="J409" i="16"/>
  <c r="J410" i="16"/>
  <c r="J411" i="16"/>
  <c r="J412" i="16"/>
  <c r="J413" i="16"/>
  <c r="J414" i="16"/>
  <c r="J415" i="16"/>
  <c r="J416" i="16"/>
  <c r="J417" i="16"/>
  <c r="J418" i="16"/>
  <c r="J419" i="16"/>
  <c r="J420" i="16"/>
  <c r="J421" i="16"/>
  <c r="J422" i="16"/>
  <c r="J423" i="16"/>
  <c r="J424" i="16"/>
  <c r="J425" i="16"/>
  <c r="J426" i="16"/>
  <c r="J428" i="16"/>
  <c r="J429" i="16"/>
  <c r="J430" i="16"/>
  <c r="J431" i="16"/>
  <c r="J432" i="16"/>
  <c r="J433" i="16"/>
  <c r="J434" i="16"/>
  <c r="J435" i="16"/>
  <c r="J436" i="16"/>
  <c r="J437" i="16"/>
  <c r="J438" i="16"/>
  <c r="J439" i="16"/>
  <c r="J440" i="16"/>
  <c r="J441" i="16"/>
  <c r="J442" i="16"/>
  <c r="J445" i="16"/>
  <c r="J446" i="16"/>
  <c r="J447" i="16"/>
  <c r="J448" i="16"/>
  <c r="J449" i="16"/>
  <c r="J450" i="16"/>
  <c r="J451" i="16"/>
  <c r="J452" i="16"/>
  <c r="J453" i="16"/>
  <c r="J454" i="16"/>
  <c r="J455" i="16"/>
  <c r="J458" i="16"/>
  <c r="J459" i="16"/>
  <c r="J460" i="16"/>
  <c r="J461" i="16"/>
  <c r="J462" i="16"/>
  <c r="J463" i="16"/>
  <c r="J464" i="16"/>
  <c r="J465" i="16"/>
  <c r="J466" i="16"/>
  <c r="J467" i="16"/>
  <c r="J468" i="16"/>
  <c r="J469" i="16"/>
  <c r="J470" i="16"/>
  <c r="J471" i="16"/>
  <c r="J472" i="16"/>
  <c r="J473" i="16"/>
  <c r="J474" i="16"/>
  <c r="J475" i="16"/>
  <c r="J477" i="16"/>
  <c r="J478" i="16"/>
  <c r="J480" i="16"/>
  <c r="J481" i="16"/>
  <c r="J482" i="16"/>
  <c r="J483" i="16"/>
  <c r="J484" i="16"/>
  <c r="J485" i="16"/>
  <c r="J486" i="16"/>
  <c r="J487" i="16"/>
  <c r="J488" i="16"/>
  <c r="J489" i="16"/>
  <c r="J491" i="16"/>
  <c r="J492" i="16"/>
  <c r="J493" i="16"/>
  <c r="J495" i="16"/>
  <c r="J496" i="16"/>
  <c r="J497" i="16"/>
  <c r="J498" i="16"/>
  <c r="J499" i="16"/>
  <c r="J500" i="16"/>
  <c r="J501" i="16"/>
  <c r="J504" i="16"/>
  <c r="J505" i="16"/>
  <c r="J506" i="16"/>
  <c r="J507" i="16"/>
  <c r="J508" i="16"/>
  <c r="J509" i="16"/>
  <c r="J510" i="16"/>
  <c r="J511" i="16"/>
  <c r="J512" i="16"/>
  <c r="J513" i="16"/>
  <c r="J514" i="16"/>
  <c r="J515" i="16"/>
  <c r="J516" i="16"/>
  <c r="J517" i="16"/>
  <c r="J518" i="16"/>
  <c r="J520" i="16"/>
  <c r="J521" i="16"/>
  <c r="J522" i="16"/>
  <c r="J523" i="16"/>
  <c r="J524" i="16"/>
  <c r="J525" i="16"/>
  <c r="J526" i="16"/>
  <c r="J528" i="16"/>
  <c r="J529" i="16"/>
  <c r="J530" i="16"/>
  <c r="J531" i="16"/>
  <c r="J532" i="16"/>
  <c r="J533" i="16"/>
  <c r="J534" i="16"/>
  <c r="J535" i="16"/>
  <c r="J536" i="16"/>
  <c r="J537" i="16"/>
  <c r="J538" i="16"/>
  <c r="J539" i="16"/>
  <c r="J541" i="16"/>
  <c r="J542" i="16"/>
  <c r="J543" i="16"/>
  <c r="J544" i="16"/>
  <c r="J545" i="16"/>
  <c r="J546" i="16"/>
  <c r="J547" i="16"/>
  <c r="J548" i="16"/>
  <c r="J549" i="16"/>
  <c r="J550" i="16"/>
  <c r="J551" i="16"/>
  <c r="J552" i="16"/>
  <c r="J553" i="16"/>
  <c r="J554" i="16"/>
  <c r="J555" i="16"/>
  <c r="J556" i="16"/>
  <c r="J557" i="16"/>
  <c r="J558" i="16"/>
  <c r="J559" i="16"/>
  <c r="J560" i="16"/>
  <c r="J561" i="16"/>
  <c r="J562" i="16"/>
  <c r="J563" i="16"/>
  <c r="J564" i="16"/>
  <c r="J565" i="16"/>
  <c r="J566" i="16"/>
  <c r="J567" i="16"/>
  <c r="J568" i="16"/>
  <c r="J569" i="16"/>
  <c r="J570" i="16"/>
  <c r="J571" i="16"/>
  <c r="J572" i="16"/>
  <c r="J574" i="16"/>
  <c r="J576" i="16"/>
  <c r="J577" i="16"/>
  <c r="J579" i="16"/>
  <c r="J581" i="16"/>
  <c r="J582" i="16"/>
  <c r="J583" i="16"/>
  <c r="J584" i="16"/>
  <c r="J586" i="16"/>
  <c r="J587" i="16"/>
  <c r="J589" i="16"/>
  <c r="J590" i="16"/>
  <c r="J591" i="16"/>
  <c r="J592" i="16"/>
  <c r="J596" i="16"/>
  <c r="J597" i="16"/>
  <c r="J599" i="16"/>
  <c r="J600" i="16"/>
  <c r="J603" i="16"/>
  <c r="J604" i="16"/>
  <c r="J605" i="16"/>
  <c r="J607" i="16"/>
  <c r="J608" i="16"/>
  <c r="J609" i="16"/>
  <c r="J610" i="16"/>
  <c r="J611" i="16"/>
  <c r="J612" i="16"/>
  <c r="J613" i="16"/>
  <c r="J615" i="16"/>
  <c r="J616" i="16"/>
  <c r="J618" i="16"/>
  <c r="J619" i="16"/>
  <c r="J620" i="16"/>
  <c r="J622" i="16"/>
  <c r="J623" i="16"/>
  <c r="J624" i="16"/>
  <c r="J625" i="16"/>
  <c r="J631" i="16"/>
  <c r="J632" i="16"/>
  <c r="J633" i="16"/>
  <c r="J634" i="16"/>
  <c r="J635" i="16"/>
  <c r="J636" i="16"/>
  <c r="J637" i="16"/>
  <c r="J638" i="16"/>
  <c r="J639" i="16"/>
  <c r="J640" i="16"/>
  <c r="J641" i="16"/>
  <c r="J642" i="16"/>
  <c r="J643" i="16"/>
  <c r="J644" i="16"/>
  <c r="J645" i="16"/>
  <c r="J646" i="16"/>
  <c r="J647" i="16"/>
  <c r="J648" i="16"/>
  <c r="J649" i="16"/>
  <c r="J650" i="16"/>
  <c r="J651" i="16"/>
  <c r="J652" i="16"/>
  <c r="J653" i="16"/>
  <c r="J654" i="16"/>
  <c r="J655" i="16"/>
  <c r="J656" i="16"/>
  <c r="J657" i="16"/>
  <c r="J658" i="16"/>
  <c r="J659" i="16"/>
  <c r="J660" i="16"/>
  <c r="J661" i="16"/>
  <c r="J662" i="16"/>
  <c r="J664" i="16"/>
  <c r="J665" i="16"/>
  <c r="J666" i="16"/>
  <c r="J667" i="16"/>
  <c r="J668" i="16"/>
  <c r="J670" i="16"/>
  <c r="J671" i="16"/>
  <c r="J672" i="16"/>
  <c r="J673" i="16"/>
  <c r="J674" i="16"/>
  <c r="J675" i="16"/>
  <c r="J676" i="16"/>
  <c r="J677" i="16"/>
  <c r="J679" i="16"/>
  <c r="J680" i="16"/>
  <c r="J681" i="16"/>
  <c r="J682" i="16"/>
  <c r="J683" i="16"/>
  <c r="J684" i="16"/>
  <c r="J685" i="16"/>
  <c r="J686" i="16"/>
  <c r="J687" i="16"/>
  <c r="J688" i="16"/>
  <c r="J689" i="16"/>
  <c r="J690" i="16"/>
  <c r="J691" i="16"/>
  <c r="J692" i="16"/>
  <c r="J693" i="16"/>
  <c r="J694" i="16"/>
  <c r="J695" i="16"/>
  <c r="J696" i="16"/>
  <c r="J697" i="16"/>
  <c r="J698" i="16"/>
  <c r="J699" i="16"/>
  <c r="J700" i="16"/>
  <c r="J701" i="16"/>
  <c r="J702" i="16"/>
  <c r="J703" i="16"/>
  <c r="J704" i="16"/>
  <c r="J705" i="16"/>
  <c r="J707" i="16"/>
  <c r="J708" i="16"/>
  <c r="J709" i="16"/>
  <c r="J710" i="16"/>
  <c r="J711" i="16"/>
  <c r="J712" i="16"/>
  <c r="J713" i="16"/>
  <c r="J714" i="16"/>
  <c r="J715" i="16"/>
  <c r="J716" i="16"/>
  <c r="J717" i="16"/>
  <c r="J718" i="16"/>
  <c r="J719" i="16"/>
  <c r="J720" i="16"/>
  <c r="J721" i="16"/>
  <c r="J722" i="16"/>
  <c r="J724" i="16"/>
  <c r="J729" i="16"/>
  <c r="J730" i="16"/>
  <c r="J731" i="16"/>
  <c r="J732" i="16"/>
  <c r="J733" i="16"/>
  <c r="J734" i="16"/>
  <c r="J735" i="16"/>
  <c r="J736" i="16"/>
  <c r="J737" i="16"/>
  <c r="J738" i="16"/>
  <c r="J739" i="16"/>
  <c r="J740" i="16"/>
  <c r="J741" i="16"/>
  <c r="J742" i="16"/>
  <c r="J743" i="16"/>
  <c r="J744" i="16"/>
  <c r="J745" i="16"/>
  <c r="J746" i="16"/>
  <c r="J747" i="16"/>
  <c r="J748" i="16"/>
  <c r="J749" i="16"/>
  <c r="J750" i="16"/>
  <c r="J751" i="16"/>
  <c r="J752" i="16"/>
  <c r="J753" i="16"/>
  <c r="J754" i="16"/>
  <c r="J755" i="16"/>
  <c r="J756" i="16"/>
  <c r="J757" i="16"/>
  <c r="J758" i="16"/>
  <c r="J759" i="16"/>
  <c r="J760" i="16"/>
  <c r="J761" i="16"/>
  <c r="J762" i="16"/>
  <c r="J763" i="16"/>
  <c r="J764" i="16"/>
  <c r="J765" i="16"/>
  <c r="J766" i="16"/>
  <c r="J767" i="16"/>
  <c r="J768" i="16"/>
  <c r="J769" i="16"/>
  <c r="J770" i="16"/>
  <c r="J771" i="16"/>
  <c r="J772" i="16"/>
  <c r="J773" i="16"/>
  <c r="J774" i="16"/>
  <c r="J775" i="16"/>
  <c r="J776" i="16"/>
  <c r="J777" i="16"/>
  <c r="J778" i="16"/>
  <c r="J779" i="16"/>
  <c r="J780" i="16"/>
  <c r="J781" i="16"/>
  <c r="J782" i="16"/>
  <c r="J783" i="16"/>
  <c r="J784" i="16"/>
  <c r="J785" i="16"/>
  <c r="J786" i="16"/>
  <c r="J787" i="16"/>
  <c r="J788" i="16"/>
  <c r="J789" i="16"/>
  <c r="J790" i="16"/>
  <c r="J791" i="16"/>
  <c r="J792" i="16"/>
  <c r="J793" i="16"/>
  <c r="J794" i="16"/>
  <c r="J795" i="16"/>
  <c r="J796" i="16"/>
  <c r="J797" i="16"/>
  <c r="J798" i="16"/>
  <c r="J799" i="16"/>
  <c r="J800" i="16"/>
  <c r="J801" i="16"/>
  <c r="J802" i="16"/>
  <c r="J803" i="16"/>
  <c r="J804" i="16"/>
  <c r="J806" i="16"/>
  <c r="J807" i="16"/>
  <c r="J808" i="16"/>
  <c r="J809" i="16"/>
  <c r="J810" i="16"/>
  <c r="J811" i="16"/>
  <c r="J812" i="16"/>
  <c r="J813" i="16"/>
  <c r="J814" i="16"/>
  <c r="J815" i="16"/>
  <c r="J816" i="16"/>
  <c r="J817" i="16"/>
  <c r="J818" i="16"/>
  <c r="J819" i="16"/>
  <c r="J820" i="16"/>
  <c r="J821" i="16"/>
  <c r="J822" i="16"/>
  <c r="J823" i="16"/>
  <c r="J824" i="16"/>
  <c r="J825" i="16"/>
  <c r="J826" i="16"/>
  <c r="J827" i="16"/>
  <c r="J828" i="16"/>
  <c r="J829" i="16"/>
  <c r="J830" i="16"/>
  <c r="J832" i="16"/>
  <c r="J833" i="16"/>
  <c r="J835" i="16"/>
  <c r="J836" i="16"/>
  <c r="J837" i="16"/>
  <c r="J838" i="16"/>
  <c r="J839" i="16"/>
  <c r="J840" i="16"/>
  <c r="J841" i="16"/>
  <c r="J842" i="16"/>
  <c r="J843" i="16"/>
  <c r="J844" i="16"/>
  <c r="J845" i="16"/>
  <c r="J847" i="16"/>
  <c r="J848" i="16"/>
  <c r="J849" i="16"/>
  <c r="J850" i="16"/>
  <c r="J851" i="16"/>
  <c r="J852" i="16"/>
  <c r="J853" i="16"/>
  <c r="J854" i="16"/>
  <c r="J855" i="16"/>
  <c r="J856" i="16"/>
  <c r="J857" i="16"/>
  <c r="J858" i="16"/>
  <c r="J859" i="16"/>
  <c r="J860" i="16"/>
  <c r="J861" i="16"/>
  <c r="J862" i="16"/>
  <c r="J863" i="16"/>
  <c r="J864" i="16"/>
  <c r="J865" i="16"/>
  <c r="J866" i="16"/>
  <c r="J867" i="16"/>
  <c r="J868" i="16"/>
  <c r="J870" i="16"/>
  <c r="J872" i="16"/>
  <c r="J874" i="16"/>
  <c r="J877" i="16"/>
  <c r="J878" i="16"/>
  <c r="J879" i="16"/>
  <c r="J880" i="16"/>
  <c r="J881" i="16"/>
  <c r="J882" i="16"/>
  <c r="J883" i="16"/>
  <c r="J884" i="16"/>
  <c r="J885" i="16"/>
  <c r="J887" i="16"/>
  <c r="J888" i="16"/>
  <c r="J889" i="16"/>
  <c r="J890" i="16"/>
  <c r="J891" i="16"/>
  <c r="J892" i="16"/>
  <c r="J893" i="16"/>
  <c r="J894" i="16"/>
  <c r="J895" i="16"/>
  <c r="J896" i="16"/>
  <c r="J897" i="16"/>
  <c r="J898" i="16"/>
  <c r="J899" i="16"/>
  <c r="J900" i="16"/>
  <c r="J901" i="16"/>
  <c r="J902" i="16"/>
  <c r="J903" i="16"/>
  <c r="J904" i="16"/>
  <c r="J905" i="16"/>
  <c r="J906" i="16"/>
  <c r="J907" i="16"/>
  <c r="J908" i="16"/>
  <c r="J909" i="16"/>
  <c r="J910" i="16"/>
  <c r="J913" i="16"/>
  <c r="J914" i="16"/>
  <c r="J915" i="16"/>
  <c r="J916" i="16"/>
  <c r="J917" i="16"/>
  <c r="J918" i="16"/>
  <c r="J919" i="16"/>
  <c r="J920" i="16"/>
  <c r="J921" i="16"/>
  <c r="J922" i="16"/>
  <c r="J923" i="16"/>
  <c r="J924" i="16"/>
  <c r="J925" i="16"/>
  <c r="J926" i="16"/>
  <c r="J927" i="16"/>
  <c r="J930" i="16"/>
  <c r="J934" i="16"/>
  <c r="J936" i="16"/>
  <c r="J937" i="16"/>
  <c r="J938" i="16"/>
  <c r="J939" i="16"/>
  <c r="J940" i="16"/>
  <c r="J941" i="16"/>
  <c r="J942" i="16"/>
  <c r="J944" i="16"/>
  <c r="J946" i="16"/>
  <c r="J947" i="16"/>
  <c r="J948" i="16"/>
  <c r="J949" i="16"/>
  <c r="J950" i="16"/>
  <c r="J951" i="16"/>
  <c r="J952" i="16"/>
  <c r="J953" i="16"/>
  <c r="J955" i="16"/>
  <c r="J956" i="16"/>
  <c r="J957" i="16"/>
  <c r="J958" i="16"/>
  <c r="J959" i="16"/>
  <c r="J960" i="16"/>
  <c r="J961" i="16"/>
  <c r="J962" i="16"/>
  <c r="J963" i="16"/>
  <c r="J964" i="16"/>
  <c r="J965" i="16"/>
  <c r="J966" i="16"/>
  <c r="J967" i="16"/>
  <c r="J968" i="16"/>
  <c r="J969" i="16"/>
  <c r="J970" i="16"/>
  <c r="J971" i="16"/>
  <c r="J972" i="16"/>
  <c r="J973" i="16"/>
  <c r="J975" i="16"/>
  <c r="J977" i="16"/>
  <c r="J978" i="16"/>
  <c r="J979" i="16"/>
  <c r="J980" i="16"/>
  <c r="J982" i="16"/>
  <c r="J983" i="16"/>
  <c r="J984" i="16"/>
  <c r="J986" i="16"/>
  <c r="J988" i="16"/>
  <c r="J989" i="16"/>
  <c r="J990" i="16"/>
  <c r="J991" i="16"/>
  <c r="J995" i="16"/>
  <c r="J1000" i="16"/>
  <c r="J1001" i="16"/>
  <c r="J1002" i="16"/>
  <c r="J1003" i="16"/>
  <c r="J1004" i="16"/>
  <c r="J1005" i="16"/>
  <c r="J1006" i="16"/>
  <c r="J1007" i="16"/>
  <c r="J1011" i="16"/>
  <c r="J1013" i="16"/>
  <c r="J1014" i="16"/>
  <c r="J1022" i="16"/>
  <c r="J1024" i="16"/>
  <c r="J1025" i="16"/>
  <c r="J1027" i="16"/>
  <c r="J1028" i="16"/>
  <c r="J1029" i="16"/>
  <c r="J1030" i="16"/>
  <c r="J1031" i="16"/>
  <c r="J1032" i="16"/>
  <c r="J1033" i="16"/>
  <c r="J1034" i="16"/>
  <c r="J1035" i="16"/>
  <c r="J1036" i="16"/>
  <c r="J1037" i="16"/>
  <c r="J1038" i="16"/>
  <c r="J1039" i="16"/>
  <c r="J1040" i="16"/>
  <c r="J1041" i="16"/>
  <c r="J1042" i="16"/>
  <c r="J1043" i="16"/>
  <c r="J1044" i="16"/>
  <c r="J1045" i="16"/>
  <c r="J1046" i="16"/>
  <c r="J1047" i="16"/>
  <c r="J1048" i="16"/>
  <c r="J1049" i="16"/>
  <c r="J1051" i="16"/>
  <c r="J1052" i="16"/>
  <c r="J1053" i="16"/>
  <c r="J1054" i="16"/>
  <c r="J1055" i="16"/>
  <c r="J1056" i="16"/>
  <c r="J1057" i="16"/>
  <c r="J1058" i="16"/>
  <c r="J1059" i="16"/>
  <c r="J1060" i="16"/>
  <c r="J1061" i="16"/>
  <c r="J1062" i="16"/>
  <c r="J1063" i="16"/>
  <c r="J1064" i="16"/>
  <c r="J1065" i="16"/>
  <c r="J1066" i="16"/>
  <c r="J1067" i="16"/>
  <c r="J1068" i="16"/>
  <c r="J1069" i="16"/>
  <c r="J1070" i="16"/>
  <c r="J1071" i="16"/>
  <c r="J1072" i="16"/>
  <c r="J1073" i="16"/>
  <c r="J1074" i="16"/>
  <c r="J1075" i="16"/>
  <c r="J1076" i="16"/>
  <c r="J1077" i="16"/>
  <c r="J1078" i="16"/>
  <c r="J1079" i="16"/>
  <c r="J1080" i="16"/>
  <c r="J1081" i="16"/>
  <c r="J1082" i="16"/>
  <c r="J1083" i="16"/>
  <c r="J1084" i="16"/>
  <c r="J1085" i="16"/>
  <c r="J1086" i="16"/>
  <c r="J1087" i="16"/>
  <c r="J1090" i="16"/>
  <c r="J1091" i="16"/>
  <c r="J1093" i="16"/>
  <c r="J1094" i="16"/>
  <c r="J1095" i="16"/>
  <c r="J1096" i="16"/>
  <c r="J1099" i="16"/>
  <c r="J1101" i="16"/>
  <c r="J1102" i="16"/>
  <c r="J1103" i="16"/>
  <c r="J1104" i="16"/>
  <c r="J1105" i="16"/>
  <c r="J1106" i="16"/>
  <c r="J1108" i="16"/>
  <c r="J1109" i="16"/>
  <c r="J1111" i="16"/>
  <c r="J1113" i="16"/>
  <c r="J1114" i="16"/>
  <c r="J1118" i="16"/>
  <c r="J1119" i="16"/>
  <c r="J1120" i="16"/>
  <c r="J1121" i="16"/>
  <c r="J1122" i="16"/>
  <c r="J1123" i="16"/>
  <c r="J1124" i="16"/>
  <c r="J1125" i="16"/>
  <c r="J1126" i="16"/>
  <c r="J1127" i="16"/>
  <c r="J1128" i="16"/>
  <c r="J1129" i="16"/>
  <c r="J1130" i="16"/>
  <c r="J1131" i="16"/>
  <c r="J1133" i="16"/>
  <c r="J1134" i="16"/>
  <c r="J1135" i="16"/>
  <c r="J1136" i="16"/>
  <c r="J1137" i="16"/>
  <c r="J1138" i="16"/>
  <c r="J1140" i="16"/>
  <c r="J1141" i="16"/>
  <c r="J1142" i="16"/>
  <c r="J1144" i="16"/>
  <c r="J1145" i="16"/>
  <c r="J1146" i="16"/>
  <c r="J1150" i="16"/>
  <c r="J1151" i="16"/>
  <c r="J1152" i="16"/>
  <c r="J1154" i="16"/>
  <c r="J1155" i="16"/>
  <c r="J1156" i="16"/>
  <c r="J1157" i="16"/>
  <c r="J1158" i="16"/>
  <c r="J1159" i="16"/>
  <c r="J1160" i="16"/>
  <c r="J1163" i="16"/>
  <c r="J1164" i="16"/>
  <c r="J1165" i="16"/>
  <c r="J1166" i="16"/>
  <c r="J1167" i="16"/>
  <c r="J1168" i="16"/>
  <c r="J1169" i="16"/>
  <c r="J1170" i="16"/>
  <c r="J1171" i="16"/>
  <c r="J1172" i="16"/>
  <c r="J1173" i="16"/>
  <c r="J1174" i="16"/>
  <c r="J1175" i="16"/>
  <c r="J1176" i="16"/>
  <c r="J1177" i="16"/>
  <c r="J1178" i="16"/>
  <c r="J1179" i="16"/>
  <c r="J1180" i="16"/>
  <c r="J1181" i="16"/>
  <c r="J1182" i="16"/>
  <c r="J1183" i="16"/>
  <c r="J1184" i="16"/>
  <c r="J1186" i="16"/>
  <c r="J1187" i="16"/>
  <c r="J1188" i="16"/>
  <c r="J1189" i="16"/>
  <c r="J1190" i="16"/>
  <c r="J1191" i="16"/>
  <c r="J1192" i="16"/>
  <c r="J1193" i="16"/>
  <c r="J1194" i="16"/>
  <c r="J1195" i="16"/>
  <c r="J1196" i="16"/>
  <c r="J1197" i="16"/>
  <c r="J1198" i="16"/>
  <c r="J1199" i="16"/>
  <c r="J1200" i="16"/>
  <c r="J1201" i="16"/>
  <c r="J1202" i="16"/>
  <c r="J1203" i="16"/>
  <c r="J1204" i="16"/>
  <c r="J1205" i="16"/>
  <c r="J1206" i="16"/>
  <c r="J1208" i="16"/>
  <c r="J1209" i="16"/>
  <c r="J1210" i="16"/>
  <c r="J1212" i="16"/>
  <c r="J1214" i="16"/>
  <c r="J1215" i="16"/>
  <c r="J1216" i="16"/>
  <c r="J1217" i="16"/>
  <c r="J1218" i="16"/>
  <c r="J1219" i="16"/>
  <c r="J1220" i="16"/>
  <c r="J1221" i="16"/>
  <c r="J1222" i="16"/>
  <c r="J1223" i="16"/>
  <c r="J1224" i="16"/>
  <c r="J1225" i="16"/>
  <c r="J1226" i="16"/>
  <c r="J1227" i="16"/>
  <c r="J1228" i="16"/>
  <c r="J1229" i="16"/>
  <c r="J1230" i="16"/>
  <c r="J1231" i="16"/>
  <c r="J1232" i="16"/>
  <c r="J1233" i="16"/>
  <c r="J1234" i="16"/>
  <c r="J1238" i="16"/>
  <c r="J1243" i="16"/>
  <c r="J1245" i="16"/>
  <c r="J1246" i="16"/>
  <c r="J1247" i="16"/>
  <c r="J1248" i="16"/>
  <c r="J1249" i="16"/>
  <c r="J1250" i="16"/>
  <c r="J1251" i="16"/>
  <c r="J1252" i="16"/>
  <c r="J1253" i="16"/>
  <c r="J1254" i="16"/>
  <c r="J1255" i="16"/>
  <c r="J1257" i="16"/>
  <c r="J1258" i="16"/>
  <c r="J1259" i="16"/>
  <c r="J1260" i="16"/>
  <c r="J1261" i="16"/>
  <c r="J1262" i="16"/>
  <c r="J1263" i="16"/>
  <c r="J1265" i="16"/>
  <c r="J1267" i="16"/>
  <c r="J1268" i="16"/>
  <c r="J1269" i="16"/>
  <c r="J1270" i="16"/>
  <c r="J1271" i="16"/>
  <c r="J1272" i="16"/>
  <c r="J1273" i="16"/>
  <c r="J1274" i="16"/>
  <c r="J1275" i="16"/>
  <c r="J1276" i="16"/>
  <c r="J1277" i="16"/>
  <c r="J1278" i="16"/>
  <c r="J1279" i="16"/>
  <c r="J1280" i="16"/>
  <c r="J1281" i="16"/>
  <c r="J1282" i="16"/>
  <c r="J1283" i="16"/>
  <c r="J1284" i="16"/>
  <c r="J1285" i="16"/>
  <c r="J1286" i="16"/>
  <c r="J1287" i="16"/>
  <c r="J1288" i="16"/>
  <c r="J1289" i="16"/>
  <c r="J1290" i="16"/>
  <c r="J1292" i="16"/>
  <c r="J1294" i="16"/>
  <c r="J1295" i="16"/>
  <c r="J1296" i="16"/>
  <c r="J1297" i="16"/>
  <c r="J1298" i="16"/>
  <c r="J1299" i="16"/>
  <c r="J1300" i="16"/>
  <c r="J1301" i="16"/>
  <c r="J1302" i="16"/>
  <c r="J1303" i="16"/>
  <c r="J1305" i="16"/>
  <c r="J1308" i="16"/>
  <c r="J1315" i="16"/>
  <c r="J1316" i="16"/>
  <c r="J1317" i="16"/>
  <c r="J1318" i="16"/>
  <c r="J1319" i="16"/>
  <c r="J1320" i="16"/>
  <c r="J1321" i="16"/>
  <c r="J1322" i="16"/>
  <c r="J1323" i="16"/>
  <c r="J1324" i="16"/>
  <c r="J1325" i="16"/>
  <c r="J1326" i="16"/>
  <c r="J1327" i="16"/>
  <c r="J1328" i="16"/>
  <c r="J1329" i="16"/>
  <c r="J1330" i="16"/>
  <c r="J1331" i="16"/>
  <c r="J1332" i="16"/>
  <c r="J1333" i="16"/>
  <c r="J1334" i="16"/>
  <c r="J1335" i="16"/>
  <c r="J1336" i="16"/>
  <c r="J1337" i="16"/>
  <c r="J1340" i="16"/>
  <c r="J1342" i="16"/>
  <c r="J1347" i="16"/>
  <c r="J1348" i="16"/>
  <c r="J1349" i="16"/>
  <c r="J1350" i="16"/>
  <c r="J1351" i="16"/>
  <c r="J1352" i="16"/>
  <c r="J1353" i="16"/>
  <c r="J1354" i="16"/>
  <c r="J1355" i="16"/>
  <c r="J1356" i="16"/>
  <c r="J1357" i="16"/>
  <c r="J1358" i="16"/>
  <c r="J1359" i="16"/>
  <c r="J1360" i="16"/>
  <c r="J1361" i="16"/>
  <c r="J1363" i="16"/>
  <c r="J1364" i="16"/>
  <c r="J1365" i="16"/>
  <c r="J1366" i="16"/>
  <c r="J1367" i="16"/>
  <c r="J1368" i="16"/>
  <c r="J1370" i="16"/>
  <c r="J1371" i="16"/>
  <c r="J1372" i="16"/>
  <c r="J1373" i="16"/>
  <c r="J1374" i="16"/>
  <c r="J1375" i="16"/>
  <c r="J1376" i="16"/>
  <c r="J1377" i="16"/>
  <c r="J1378" i="16"/>
  <c r="J1379" i="16"/>
  <c r="J1380" i="16"/>
  <c r="J1381" i="16"/>
  <c r="J1382" i="16"/>
  <c r="J1383" i="16"/>
  <c r="J1384" i="16"/>
  <c r="J1385" i="16"/>
  <c r="J1386" i="16"/>
  <c r="J1387" i="16"/>
  <c r="J1388" i="16"/>
  <c r="J1389" i="16"/>
  <c r="J1390" i="16"/>
  <c r="J1391" i="16"/>
  <c r="J1392" i="16"/>
  <c r="J1393" i="16"/>
  <c r="J1394" i="16"/>
  <c r="J1395" i="16"/>
  <c r="J1396" i="16"/>
  <c r="J1397" i="16"/>
  <c r="J1398" i="16"/>
  <c r="J1399" i="16"/>
  <c r="J1401" i="16"/>
  <c r="J1402" i="16"/>
  <c r="J1403" i="16"/>
  <c r="J1404" i="16"/>
  <c r="J1405" i="16"/>
  <c r="J1406" i="16"/>
  <c r="J1407" i="16"/>
  <c r="J1408" i="16"/>
  <c r="J1409" i="16"/>
  <c r="J1410" i="16"/>
  <c r="J1411" i="16"/>
  <c r="J1412" i="16"/>
  <c r="J1413" i="16"/>
  <c r="J1414" i="16"/>
  <c r="J1415" i="16"/>
  <c r="J1424" i="16"/>
  <c r="J1425" i="16"/>
  <c r="J1426" i="16"/>
  <c r="J1427" i="16"/>
  <c r="J1428" i="16"/>
  <c r="J1429" i="16"/>
  <c r="J1430" i="16"/>
  <c r="J1431" i="16"/>
  <c r="J1432" i="16"/>
  <c r="J1433" i="16"/>
  <c r="J1434" i="16"/>
  <c r="J1435" i="16"/>
  <c r="J1436" i="16"/>
  <c r="J1437" i="16"/>
  <c r="J1438" i="16"/>
  <c r="J1439" i="16"/>
  <c r="J1440" i="16"/>
  <c r="J1441" i="16"/>
  <c r="J1442" i="16"/>
  <c r="J1443" i="16"/>
  <c r="J1444" i="16"/>
  <c r="J1445" i="16"/>
  <c r="J1451" i="16"/>
  <c r="J1453" i="16"/>
  <c r="J1454" i="16"/>
  <c r="J1455" i="16"/>
  <c r="J1456" i="16"/>
  <c r="J1458" i="16"/>
  <c r="J1460" i="16"/>
  <c r="J1461" i="16"/>
  <c r="J1462" i="16"/>
  <c r="J1463" i="16"/>
  <c r="J1464" i="16"/>
  <c r="J1465" i="16"/>
  <c r="J1466" i="16"/>
  <c r="J1467" i="16"/>
  <c r="J1468" i="16"/>
  <c r="J1469" i="16"/>
  <c r="J1470" i="16"/>
  <c r="J1471" i="16"/>
  <c r="J1472" i="16"/>
  <c r="J1473" i="16"/>
  <c r="J1474" i="16"/>
  <c r="J1475" i="16"/>
  <c r="J1476" i="16"/>
  <c r="J1477" i="16"/>
  <c r="J1478" i="16"/>
  <c r="J1479" i="16"/>
  <c r="J1480" i="16"/>
  <c r="J1481" i="16"/>
  <c r="J1482" i="16"/>
  <c r="J1483" i="16"/>
  <c r="J1484" i="16"/>
  <c r="J1485" i="16"/>
  <c r="J1486" i="16"/>
  <c r="J1487" i="16"/>
  <c r="J1489" i="16"/>
  <c r="J1490" i="16"/>
  <c r="J1491" i="16"/>
  <c r="J1492" i="16"/>
  <c r="J1493" i="16"/>
  <c r="J1494" i="16"/>
  <c r="J1497" i="16"/>
  <c r="J1498" i="16"/>
  <c r="J1499" i="16"/>
  <c r="J1500" i="16"/>
  <c r="J1501" i="16"/>
  <c r="J1502" i="16"/>
  <c r="J1503" i="16"/>
  <c r="J1504" i="16"/>
  <c r="J1505" i="16"/>
  <c r="J1506" i="16"/>
  <c r="J1507" i="16"/>
  <c r="J1508" i="16"/>
  <c r="J1509" i="16"/>
  <c r="J1518" i="16"/>
  <c r="J1519" i="16"/>
  <c r="J1520" i="16"/>
  <c r="J1521" i="16"/>
  <c r="J1522" i="16"/>
  <c r="J1523" i="16"/>
  <c r="J1525" i="16"/>
  <c r="J1526" i="16"/>
  <c r="J1527" i="16"/>
  <c r="J1528" i="16"/>
  <c r="J1530" i="16"/>
  <c r="J1531" i="16"/>
  <c r="J1532" i="16"/>
  <c r="J1533" i="16"/>
  <c r="J1534" i="16"/>
  <c r="J1535" i="16"/>
  <c r="J1540" i="16"/>
  <c r="J1541" i="16"/>
  <c r="J1542" i="16"/>
  <c r="J1544" i="16"/>
  <c r="J1545" i="16"/>
  <c r="J1546" i="16"/>
  <c r="J1547" i="16"/>
  <c r="J1548" i="16"/>
  <c r="J1549" i="16"/>
  <c r="J1550" i="16"/>
  <c r="J1551" i="16"/>
  <c r="J1552" i="16"/>
  <c r="J1553" i="16"/>
  <c r="J1554" i="16"/>
  <c r="J1555" i="16"/>
  <c r="J1556" i="16"/>
  <c r="J1557" i="16"/>
  <c r="J1558" i="16"/>
  <c r="J1559" i="16"/>
  <c r="J1560" i="16"/>
  <c r="J1561" i="16"/>
  <c r="J1562" i="16"/>
  <c r="J1563" i="16"/>
  <c r="J1564" i="16"/>
  <c r="J1565" i="16"/>
  <c r="J1566" i="16"/>
  <c r="J1567" i="16"/>
  <c r="J1568" i="16"/>
  <c r="J1569" i="16"/>
  <c r="J1570" i="16"/>
  <c r="J1571" i="16"/>
  <c r="J1572" i="16"/>
  <c r="J1573" i="16"/>
  <c r="J1574" i="16"/>
  <c r="J1575" i="16"/>
  <c r="J1576" i="16"/>
  <c r="J1577" i="16"/>
  <c r="J1578" i="16"/>
  <c r="J1579" i="16"/>
  <c r="J1580" i="16"/>
  <c r="J1581" i="16"/>
  <c r="J1582" i="16"/>
  <c r="J1583" i="16"/>
  <c r="J1584" i="16"/>
  <c r="J1585" i="16"/>
  <c r="J1586" i="16"/>
  <c r="J1587" i="16"/>
  <c r="J1588" i="16"/>
  <c r="J1589" i="16"/>
  <c r="J1590" i="16"/>
  <c r="J1591" i="16"/>
  <c r="J1592" i="16"/>
  <c r="J1593" i="16"/>
  <c r="J1594" i="16"/>
  <c r="J1595" i="16"/>
  <c r="J1596" i="16"/>
  <c r="J1597" i="16"/>
  <c r="J1598" i="16"/>
  <c r="J1599" i="16"/>
  <c r="J1600" i="16"/>
  <c r="J1601" i="16"/>
  <c r="J1602" i="16"/>
  <c r="J1603" i="16"/>
  <c r="J1604" i="16"/>
  <c r="J1605" i="16"/>
  <c r="J1606" i="16"/>
  <c r="J1607" i="16"/>
  <c r="J1608" i="16"/>
  <c r="J1609" i="16"/>
  <c r="J1610" i="16"/>
  <c r="J1611" i="16"/>
  <c r="J1612" i="16"/>
  <c r="J1613" i="16"/>
  <c r="J1614" i="16"/>
  <c r="J1615" i="16"/>
  <c r="J1616" i="16"/>
  <c r="J1618" i="16"/>
  <c r="J1620" i="16"/>
  <c r="J1621" i="16"/>
  <c r="J1622" i="16"/>
  <c r="J1623" i="16"/>
  <c r="J1624" i="16"/>
  <c r="J1625" i="16"/>
  <c r="J1626" i="16"/>
  <c r="J1627" i="16"/>
  <c r="J1628" i="16"/>
  <c r="J1629" i="16"/>
  <c r="J1630" i="16"/>
  <c r="J1631" i="16"/>
  <c r="J1632" i="16"/>
  <c r="J1633" i="16"/>
  <c r="J1634" i="16"/>
  <c r="J1635" i="16"/>
  <c r="J1636" i="16"/>
  <c r="J1637" i="16"/>
  <c r="J1638" i="16"/>
  <c r="J1639" i="16"/>
  <c r="J1640" i="16"/>
  <c r="J1641" i="16"/>
  <c r="J1642" i="16"/>
  <c r="J1643" i="16"/>
  <c r="J1644" i="16"/>
  <c r="J1645" i="16"/>
  <c r="J1646" i="16"/>
  <c r="J1647" i="16"/>
  <c r="J1648" i="16"/>
  <c r="J1649" i="16"/>
  <c r="J1650" i="16"/>
  <c r="J1651" i="16"/>
  <c r="J1656" i="16"/>
  <c r="J1657" i="16"/>
  <c r="J1658" i="16"/>
  <c r="J1660" i="16"/>
  <c r="J1662" i="16"/>
  <c r="J1672" i="16"/>
  <c r="J1673" i="16"/>
  <c r="J1676" i="16"/>
  <c r="J1677" i="16"/>
  <c r="J1678" i="16"/>
  <c r="J1679" i="16"/>
  <c r="J1680" i="16"/>
  <c r="J1681" i="16"/>
  <c r="J1682" i="16"/>
  <c r="J1683" i="16"/>
  <c r="J1684" i="16"/>
  <c r="J1685" i="16"/>
  <c r="J1686" i="16"/>
  <c r="J1688" i="16"/>
  <c r="J1691" i="16"/>
  <c r="J1692" i="16"/>
  <c r="J1693" i="16"/>
  <c r="J1694" i="16"/>
  <c r="J1695" i="16"/>
  <c r="J1696" i="16"/>
  <c r="J1698" i="16"/>
  <c r="J1699" i="16"/>
  <c r="J1700" i="16"/>
  <c r="J1701" i="16"/>
  <c r="J1702" i="16"/>
  <c r="J1703" i="16"/>
  <c r="J1704" i="16"/>
  <c r="J1705" i="16"/>
  <c r="J1706" i="16"/>
  <c r="J1707" i="16"/>
  <c r="J1708" i="16"/>
  <c r="J1709" i="16"/>
  <c r="J1710" i="16"/>
  <c r="J1711" i="16"/>
  <c r="J1712" i="16"/>
  <c r="J1713" i="16"/>
  <c r="J1714" i="16"/>
  <c r="J1715" i="16"/>
  <c r="J1716" i="16"/>
  <c r="J1717" i="16"/>
  <c r="J1719" i="16"/>
  <c r="J1720" i="16"/>
  <c r="J1721" i="16"/>
  <c r="J1722" i="16"/>
  <c r="J1723" i="16"/>
  <c r="J1724" i="16"/>
  <c r="J1725" i="16"/>
  <c r="J1726" i="16"/>
  <c r="J1727" i="16"/>
  <c r="J1728" i="16"/>
  <c r="J1729" i="16"/>
  <c r="J1730" i="16"/>
  <c r="J1731" i="16"/>
  <c r="J1732" i="16"/>
  <c r="J1733" i="16"/>
  <c r="J1734" i="16"/>
  <c r="J1735" i="16"/>
  <c r="J1736" i="16"/>
  <c r="J1737" i="16"/>
  <c r="J1738" i="16"/>
  <c r="J1739" i="16"/>
  <c r="J1740" i="16"/>
  <c r="J1741" i="16"/>
  <c r="J1742" i="16"/>
  <c r="J1743" i="16"/>
  <c r="J1744" i="16"/>
  <c r="J1745" i="16"/>
  <c r="J1746" i="16"/>
  <c r="J1747" i="16"/>
  <c r="J1748" i="16"/>
  <c r="J1749" i="16"/>
  <c r="J1750" i="16"/>
  <c r="J1751" i="16"/>
  <c r="J1752" i="16"/>
  <c r="J1753" i="16"/>
  <c r="J1754" i="16"/>
  <c r="J1755" i="16"/>
  <c r="J1756" i="16"/>
  <c r="J1757" i="16"/>
  <c r="J1758" i="16"/>
  <c r="J1759" i="16"/>
  <c r="J1760" i="16"/>
  <c r="J1761" i="16"/>
  <c r="J1762" i="16"/>
  <c r="J1763" i="16"/>
  <c r="J1764" i="16"/>
  <c r="J1765" i="16"/>
  <c r="J1766" i="16"/>
  <c r="J1767" i="16"/>
  <c r="J1768" i="16"/>
  <c r="J1769" i="16"/>
  <c r="J1770" i="16"/>
  <c r="J1771" i="16"/>
  <c r="J1772" i="16"/>
  <c r="J1773" i="16"/>
  <c r="J1774" i="16"/>
  <c r="J1775" i="16"/>
  <c r="J1777" i="16"/>
  <c r="J1778" i="16"/>
  <c r="J1779" i="16"/>
  <c r="J1781" i="16"/>
  <c r="J1783" i="16"/>
  <c r="J1784" i="16"/>
  <c r="J1785" i="16"/>
  <c r="J1786" i="16"/>
  <c r="J1787" i="16"/>
  <c r="J1788" i="16"/>
  <c r="J1789" i="16"/>
  <c r="J1790" i="16"/>
  <c r="J1791" i="16"/>
  <c r="J1792" i="16"/>
  <c r="J1793" i="16"/>
  <c r="J1794" i="16"/>
  <c r="J1795" i="16"/>
  <c r="J1796" i="16"/>
  <c r="J1797" i="16"/>
  <c r="J1798" i="16"/>
  <c r="J1799" i="16"/>
  <c r="J1800" i="16"/>
  <c r="J1801" i="16"/>
  <c r="J1802" i="16"/>
  <c r="J1803" i="16"/>
  <c r="J1804" i="16"/>
  <c r="J1805" i="16"/>
  <c r="J1808" i="16"/>
  <c r="J1813" i="16"/>
  <c r="J1815" i="16"/>
  <c r="J1818" i="16"/>
  <c r="J1819" i="16"/>
  <c r="J1820" i="16"/>
  <c r="J1821" i="16"/>
  <c r="J1822" i="16"/>
  <c r="J1823" i="16"/>
  <c r="J1824" i="16"/>
  <c r="J1827" i="16"/>
  <c r="J1828" i="16"/>
  <c r="J1829" i="16"/>
  <c r="J1830" i="16"/>
  <c r="J1831" i="16"/>
  <c r="J1837" i="16"/>
  <c r="J1838" i="16"/>
  <c r="J1839" i="16"/>
  <c r="J1840" i="16"/>
  <c r="J1841" i="16"/>
  <c r="J1842" i="16"/>
  <c r="J1843" i="16"/>
  <c r="J1844" i="16"/>
  <c r="J1845" i="16"/>
  <c r="J1846" i="16"/>
  <c r="J1847" i="16"/>
  <c r="J1848" i="16"/>
  <c r="J1849" i="16"/>
  <c r="J1850" i="16"/>
  <c r="J1853" i="16"/>
  <c r="J1854" i="16"/>
  <c r="J1855" i="16"/>
  <c r="J1861" i="16"/>
  <c r="J1862" i="16"/>
  <c r="J1863" i="16"/>
  <c r="J1864" i="16"/>
  <c r="J1865" i="16"/>
  <c r="J1866" i="16"/>
  <c r="J1867" i="16"/>
  <c r="J1868" i="16"/>
  <c r="J1869" i="16"/>
  <c r="J1870" i="16"/>
  <c r="J1871" i="16"/>
  <c r="J1872" i="16"/>
  <c r="J1873" i="16"/>
  <c r="J1874" i="16"/>
  <c r="J1875" i="16"/>
  <c r="J1876" i="16"/>
  <c r="J1878" i="16"/>
  <c r="J1879" i="16"/>
  <c r="J1880" i="16"/>
  <c r="J1882" i="16"/>
  <c r="J1883" i="16"/>
  <c r="J1884" i="16"/>
  <c r="J1885" i="16"/>
  <c r="J1886" i="16"/>
  <c r="J1887" i="16"/>
  <c r="J1888" i="16"/>
  <c r="J1889" i="16"/>
  <c r="J1890" i="16"/>
  <c r="J1891" i="16"/>
  <c r="J1892" i="16"/>
  <c r="J1893" i="16"/>
  <c r="J1894" i="16"/>
  <c r="J1895" i="16"/>
  <c r="J1896" i="16"/>
  <c r="J1897" i="16"/>
  <c r="J1898" i="16"/>
  <c r="J1899" i="16"/>
  <c r="J1901" i="16"/>
  <c r="J1902" i="16"/>
  <c r="J1903" i="16"/>
  <c r="J1904" i="16"/>
  <c r="J1905" i="16"/>
  <c r="J1906" i="16"/>
  <c r="J1907" i="16"/>
  <c r="J1908" i="16"/>
  <c r="J1909" i="16"/>
  <c r="J1910" i="16"/>
  <c r="J1911" i="16"/>
  <c r="J1912" i="16"/>
  <c r="J1913" i="16"/>
  <c r="J1914" i="16"/>
  <c r="J1915" i="16"/>
  <c r="J1916" i="16"/>
  <c r="J1917" i="16"/>
  <c r="J1918" i="16"/>
  <c r="J1919" i="16"/>
  <c r="J1920" i="16"/>
  <c r="J1921" i="16"/>
  <c r="J1922" i="16"/>
  <c r="J1923" i="16"/>
  <c r="J1924" i="16"/>
  <c r="J1925" i="16"/>
  <c r="J1926" i="16"/>
  <c r="J1927" i="16"/>
  <c r="J1929" i="16"/>
  <c r="J1930" i="16"/>
  <c r="J1931" i="16"/>
  <c r="J1932" i="16"/>
  <c r="J1933" i="16"/>
  <c r="J1934" i="16"/>
  <c r="J1935" i="16"/>
  <c r="J1936" i="16"/>
  <c r="J1937" i="16"/>
  <c r="J1938" i="16"/>
  <c r="J1939" i="16"/>
  <c r="J1940" i="16"/>
  <c r="J1941" i="16"/>
  <c r="J1943" i="16"/>
  <c r="J1944" i="16"/>
  <c r="J1945" i="16"/>
  <c r="J1946" i="16"/>
  <c r="J1947" i="16"/>
  <c r="J1948" i="16"/>
  <c r="J1949" i="16"/>
  <c r="J1950" i="16"/>
  <c r="J1952" i="16"/>
  <c r="J1953" i="16"/>
  <c r="J1954" i="16"/>
  <c r="J1955" i="16"/>
  <c r="J1956" i="16"/>
  <c r="J1957" i="16"/>
  <c r="J1958" i="16"/>
  <c r="J1959" i="16"/>
  <c r="J1961" i="16"/>
  <c r="J1962" i="16"/>
  <c r="J1963" i="16"/>
  <c r="J1964" i="16"/>
  <c r="J1965" i="16"/>
  <c r="J1966" i="16"/>
  <c r="J1968" i="16"/>
  <c r="J1970" i="16"/>
  <c r="J1971" i="16"/>
  <c r="J1972" i="16"/>
  <c r="J1973" i="16"/>
  <c r="J1976" i="16"/>
  <c r="J1977" i="16"/>
  <c r="J1978" i="16"/>
  <c r="J1979" i="16"/>
  <c r="J1980" i="16"/>
  <c r="J1981" i="16"/>
  <c r="J1982" i="16"/>
  <c r="J1983" i="16"/>
  <c r="J1984" i="16"/>
  <c r="J1985" i="16"/>
  <c r="J1986" i="16"/>
  <c r="J1987" i="16"/>
  <c r="J1988" i="16"/>
  <c r="J1989" i="16"/>
  <c r="J1990" i="16"/>
  <c r="J1991" i="16"/>
  <c r="J1992" i="16"/>
  <c r="J1993" i="16"/>
  <c r="J1994" i="16"/>
  <c r="J1995" i="16"/>
  <c r="J1996" i="16"/>
  <c r="J1997" i="16"/>
  <c r="J1998" i="16"/>
  <c r="J1999" i="16"/>
  <c r="J2000" i="16"/>
  <c r="J2001" i="16"/>
  <c r="J2002" i="16"/>
  <c r="J2003" i="16"/>
  <c r="J2004" i="16"/>
  <c r="J2005" i="16"/>
  <c r="J2006" i="16"/>
  <c r="J2007" i="16"/>
  <c r="J2008" i="16"/>
  <c r="J2011" i="16"/>
  <c r="J2012" i="16"/>
  <c r="J2013" i="16"/>
  <c r="J2015" i="16"/>
  <c r="J2017" i="16"/>
  <c r="J2018" i="16"/>
  <c r="J2019" i="16"/>
  <c r="J2020" i="16"/>
  <c r="J2021" i="16"/>
  <c r="J2022" i="16"/>
  <c r="J2024" i="16"/>
  <c r="J2025" i="16"/>
  <c r="J2026" i="16"/>
  <c r="J2027" i="16"/>
  <c r="J2028" i="16"/>
  <c r="J2029" i="16"/>
  <c r="J2030" i="16"/>
  <c r="J2031" i="16"/>
  <c r="J2032" i="16"/>
  <c r="J2033" i="16"/>
  <c r="J2034" i="16"/>
  <c r="J2035" i="16"/>
  <c r="J2036" i="16"/>
  <c r="J2037" i="16"/>
  <c r="J2038" i="16"/>
  <c r="J2039" i="16"/>
  <c r="J2040" i="16"/>
  <c r="J2041" i="16"/>
  <c r="J2042" i="16"/>
  <c r="J2043" i="16"/>
  <c r="J2044" i="16"/>
  <c r="J2045" i="16"/>
  <c r="J2046" i="16"/>
  <c r="J2047" i="16"/>
  <c r="J2048" i="16"/>
  <c r="J2049" i="16"/>
  <c r="J2050" i="16"/>
  <c r="J2051" i="16"/>
  <c r="J2052" i="16"/>
  <c r="J2053" i="16"/>
  <c r="J2054" i="16"/>
  <c r="J2055" i="16"/>
  <c r="J2056" i="16"/>
  <c r="J2057" i="16"/>
  <c r="J2058" i="16"/>
  <c r="J2059" i="16"/>
  <c r="J2060" i="16"/>
  <c r="J2061" i="16"/>
  <c r="J2062" i="16"/>
  <c r="J2063" i="16"/>
  <c r="J2064" i="16"/>
  <c r="J2065" i="16"/>
  <c r="J2066" i="16"/>
  <c r="J2067" i="16"/>
  <c r="J2068" i="16"/>
  <c r="J2069" i="16"/>
  <c r="J2070" i="16"/>
  <c r="J2072" i="16"/>
  <c r="J2074" i="16"/>
  <c r="J2075" i="16"/>
  <c r="J2076" i="16"/>
  <c r="J2077" i="16"/>
  <c r="J2078" i="16"/>
  <c r="J2079" i="16"/>
  <c r="J2080" i="16"/>
  <c r="J2081" i="16"/>
  <c r="J2082" i="16"/>
  <c r="J2083" i="16"/>
  <c r="J2084" i="16"/>
  <c r="J2085" i="16"/>
  <c r="J2086" i="16"/>
  <c r="J2087" i="16"/>
  <c r="J2088" i="16"/>
  <c r="J2089" i="16"/>
  <c r="J2093" i="16"/>
  <c r="J2095" i="16"/>
  <c r="J2096" i="16"/>
  <c r="J2097" i="16"/>
  <c r="J2099" i="16"/>
  <c r="J2101" i="16"/>
  <c r="J2103" i="16"/>
  <c r="J2104" i="16"/>
  <c r="J2105" i="16"/>
  <c r="J2106" i="16"/>
  <c r="J2107" i="16"/>
  <c r="J2108" i="16"/>
  <c r="J2109" i="16"/>
  <c r="J2110" i="16"/>
  <c r="J2111" i="16"/>
  <c r="J2112" i="16"/>
  <c r="J2113" i="16"/>
  <c r="J2114" i="16"/>
  <c r="J2115" i="16"/>
  <c r="J2116" i="16"/>
  <c r="J2117" i="16"/>
  <c r="J2118" i="16"/>
  <c r="J2120" i="16"/>
  <c r="J2121" i="16"/>
  <c r="J2122" i="16"/>
  <c r="J2123" i="16"/>
  <c r="J2124" i="16"/>
  <c r="J2125" i="16"/>
  <c r="J2127" i="16"/>
  <c r="J2128" i="16"/>
  <c r="J2129" i="16"/>
  <c r="J2130" i="16"/>
  <c r="J2131" i="16"/>
  <c r="J2132" i="16"/>
  <c r="J2133" i="16"/>
  <c r="J2135" i="16"/>
  <c r="J2136" i="16"/>
  <c r="J2138" i="16"/>
  <c r="J2140" i="16"/>
  <c r="J2141" i="16"/>
  <c r="J2142" i="16"/>
  <c r="J2143" i="16"/>
  <c r="J2144" i="16"/>
  <c r="J2145" i="16"/>
  <c r="J2146" i="16"/>
  <c r="J2147" i="16"/>
  <c r="J2148" i="16"/>
  <c r="J2149" i="16"/>
  <c r="J2150" i="16"/>
  <c r="J2151" i="16"/>
  <c r="J2152" i="16"/>
  <c r="J2153" i="16"/>
  <c r="J2154" i="16"/>
  <c r="J2155" i="16"/>
  <c r="J2156" i="16"/>
  <c r="J2157" i="16"/>
  <c r="J2158" i="16"/>
  <c r="J2159" i="16"/>
  <c r="J2160" i="16"/>
  <c r="J2161" i="16"/>
  <c r="J2162" i="16"/>
  <c r="J2163" i="16"/>
  <c r="J2164" i="16"/>
  <c r="J2165" i="16"/>
  <c r="J2166" i="16"/>
  <c r="J2167" i="16"/>
  <c r="J2168" i="16"/>
  <c r="J2169" i="16"/>
  <c r="J2170" i="16"/>
  <c r="J2171" i="16"/>
  <c r="J2173" i="16"/>
  <c r="J2174" i="16"/>
  <c r="J2175" i="16"/>
  <c r="J2177" i="16"/>
  <c r="J2178" i="16"/>
  <c r="J2179" i="16"/>
  <c r="J2180" i="16"/>
  <c r="J2182" i="16"/>
  <c r="J2183" i="16"/>
  <c r="J2184" i="16"/>
  <c r="J2185" i="16"/>
  <c r="J2187" i="16"/>
  <c r="J2188" i="16"/>
  <c r="J2189" i="16"/>
  <c r="J2190" i="16"/>
  <c r="J2191" i="16"/>
  <c r="J2193" i="16"/>
  <c r="J2194" i="16"/>
  <c r="J2195" i="16"/>
  <c r="J2196" i="16"/>
  <c r="J2197" i="16"/>
  <c r="J2198" i="16"/>
  <c r="J2199" i="16"/>
  <c r="J2200" i="16"/>
  <c r="J2201" i="16"/>
  <c r="J2202" i="16"/>
  <c r="J2203" i="16"/>
  <c r="J2204" i="16"/>
  <c r="J2205" i="16"/>
  <c r="J2207" i="16"/>
  <c r="J2208" i="16"/>
  <c r="J2209" i="16"/>
  <c r="J2212" i="16"/>
  <c r="J2213" i="16"/>
  <c r="J2214" i="16"/>
  <c r="J2215" i="16"/>
  <c r="J2216" i="16"/>
  <c r="J2217" i="16"/>
  <c r="J2218" i="16"/>
  <c r="J2219" i="16"/>
  <c r="J2220" i="16"/>
  <c r="J2221" i="16"/>
  <c r="J2222" i="16"/>
  <c r="J2223" i="16"/>
  <c r="J2224" i="16"/>
  <c r="J2225" i="16"/>
  <c r="J2226" i="16"/>
  <c r="J2227" i="16"/>
  <c r="J2228" i="16"/>
  <c r="J2229" i="16"/>
  <c r="J2230" i="16"/>
  <c r="J2231" i="16"/>
  <c r="J2232" i="16"/>
  <c r="J2233" i="16"/>
  <c r="J2234" i="16"/>
  <c r="J2235" i="16"/>
  <c r="J2236" i="16"/>
  <c r="J2237" i="16"/>
  <c r="J2238" i="16"/>
  <c r="J2240" i="16"/>
  <c r="J2241" i="16"/>
  <c r="J2243" i="16"/>
  <c r="J2244" i="16"/>
  <c r="J2245" i="16"/>
  <c r="J2246" i="16"/>
  <c r="J2247" i="16"/>
  <c r="J2248" i="16"/>
  <c r="J2249" i="16"/>
  <c r="J2250" i="16"/>
  <c r="J2251" i="16"/>
  <c r="J2252" i="16"/>
  <c r="J2253" i="16"/>
  <c r="J2254" i="16"/>
  <c r="J2255" i="16"/>
  <c r="J2256" i="16"/>
  <c r="J2257" i="16"/>
  <c r="J2258" i="16"/>
  <c r="J2259" i="16"/>
  <c r="J2260" i="16"/>
  <c r="J2261" i="16"/>
  <c r="J2262" i="16"/>
  <c r="J2264" i="16"/>
  <c r="J2265" i="16"/>
  <c r="J2266" i="16"/>
  <c r="J2267" i="16"/>
  <c r="J2268" i="16"/>
  <c r="J2269" i="16"/>
  <c r="J2270" i="16"/>
  <c r="J2271" i="16"/>
  <c r="J2272" i="16"/>
  <c r="J2273" i="16"/>
  <c r="J2274" i="16"/>
  <c r="J2275" i="16"/>
  <c r="J2276" i="16"/>
  <c r="J2277" i="16"/>
  <c r="J2278" i="16"/>
  <c r="J2279" i="16"/>
  <c r="J2280" i="16"/>
  <c r="J2281" i="16"/>
  <c r="J2282" i="16"/>
  <c r="J2283" i="16"/>
  <c r="J2284" i="16"/>
  <c r="J2285" i="16"/>
  <c r="J2286" i="16"/>
  <c r="J2287" i="16"/>
  <c r="J2288" i="16"/>
  <c r="J2289" i="16"/>
  <c r="J2290" i="16"/>
  <c r="J2292" i="16"/>
  <c r="J2293" i="16"/>
  <c r="J2294" i="16"/>
  <c r="J2295" i="16"/>
  <c r="J2296" i="16"/>
  <c r="J2297" i="16"/>
  <c r="J2299" i="16"/>
  <c r="J2300" i="16"/>
  <c r="J2301" i="16"/>
  <c r="J2302" i="16"/>
  <c r="J2303" i="16"/>
  <c r="J2305" i="16"/>
  <c r="J2306" i="16"/>
  <c r="J2307" i="16"/>
  <c r="J2308" i="16"/>
  <c r="J2309" i="16"/>
  <c r="J2310" i="16"/>
  <c r="J2311" i="16"/>
  <c r="J2312" i="16"/>
  <c r="J2313" i="16"/>
  <c r="J2314" i="16"/>
  <c r="J2315" i="16"/>
  <c r="J2316" i="16"/>
  <c r="J2317" i="16"/>
  <c r="J2318" i="16"/>
  <c r="J2319" i="16"/>
  <c r="J2320" i="16"/>
  <c r="J2321" i="16"/>
  <c r="J2322" i="16"/>
  <c r="J2323" i="16"/>
  <c r="J2324" i="16"/>
  <c r="J2325" i="16"/>
  <c r="J2326" i="16"/>
  <c r="J2327" i="16"/>
  <c r="J2328" i="16"/>
  <c r="J2329" i="16"/>
  <c r="J2330" i="16"/>
  <c r="J2331" i="16"/>
  <c r="J2332" i="16"/>
  <c r="J2333" i="16"/>
  <c r="J2334" i="16"/>
  <c r="J2335" i="16"/>
  <c r="J2336" i="16"/>
  <c r="J2337" i="16"/>
  <c r="J2338" i="16"/>
  <c r="J2339" i="16"/>
  <c r="J2340" i="16"/>
  <c r="J2342" i="16"/>
  <c r="J2343" i="16"/>
  <c r="J2344" i="16"/>
  <c r="J2345" i="16"/>
  <c r="J2346" i="16"/>
  <c r="J2347" i="16"/>
  <c r="J2350" i="16"/>
  <c r="J2351" i="16"/>
  <c r="J2352" i="16"/>
  <c r="J2353" i="16"/>
  <c r="J2354" i="16"/>
  <c r="J2355" i="16"/>
  <c r="J2356" i="16"/>
  <c r="J2359" i="16"/>
  <c r="J2360" i="16"/>
  <c r="J2361" i="16"/>
  <c r="J2362" i="16"/>
  <c r="J2363" i="16"/>
  <c r="J2364" i="16"/>
  <c r="J2365" i="16"/>
  <c r="J2366" i="16"/>
  <c r="J2367" i="16"/>
  <c r="J2368" i="16"/>
  <c r="J2369" i="16"/>
  <c r="J2370" i="16"/>
  <c r="J2371" i="16"/>
  <c r="J2372" i="16"/>
  <c r="J2373" i="16"/>
  <c r="J2374" i="16"/>
  <c r="J2375" i="16"/>
  <c r="J2376" i="16"/>
  <c r="J2377" i="16"/>
  <c r="J2378" i="16"/>
  <c r="J2379" i="16"/>
  <c r="J2380" i="16"/>
  <c r="J2381" i="16"/>
  <c r="J2382" i="16"/>
  <c r="J2383" i="16"/>
  <c r="J2384" i="16"/>
  <c r="J2385" i="16"/>
  <c r="J2386" i="16"/>
  <c r="J2387" i="16"/>
  <c r="J2390" i="16"/>
  <c r="J2391" i="16"/>
  <c r="J2392" i="16"/>
  <c r="J2393" i="16"/>
  <c r="J2394" i="16"/>
  <c r="J2395" i="16"/>
  <c r="J2396" i="16"/>
  <c r="J2397" i="16"/>
  <c r="J2400" i="16"/>
  <c r="J2401" i="16"/>
  <c r="J2402" i="16"/>
  <c r="J2405" i="16"/>
  <c r="J2417" i="16"/>
  <c r="J2424" i="16"/>
  <c r="J2425" i="16"/>
  <c r="J2426" i="16"/>
  <c r="J2427" i="16"/>
  <c r="J2428" i="16"/>
  <c r="J2429" i="16"/>
  <c r="J2430" i="16"/>
  <c r="J2431" i="16"/>
  <c r="J2432" i="16"/>
  <c r="J2433" i="16"/>
  <c r="J2434" i="16"/>
  <c r="J2435" i="16"/>
  <c r="J2436" i="16"/>
  <c r="J2437" i="16"/>
  <c r="J2438" i="16"/>
  <c r="J2439" i="16"/>
  <c r="J2440" i="16"/>
  <c r="J2441" i="16"/>
  <c r="J2442" i="16"/>
  <c r="J2443" i="16"/>
  <c r="J2444" i="16"/>
  <c r="J2445" i="16"/>
  <c r="J2446" i="16"/>
  <c r="J2447" i="16"/>
  <c r="J2448" i="16"/>
  <c r="J2449" i="16"/>
  <c r="J2450" i="16"/>
  <c r="J2451" i="16"/>
  <c r="J2452" i="16"/>
  <c r="J2453" i="16"/>
  <c r="J2454" i="16"/>
  <c r="J2463" i="16"/>
  <c r="J2464" i="16"/>
  <c r="J2465" i="16"/>
  <c r="J2466" i="16"/>
  <c r="J2467" i="16"/>
  <c r="J2468" i="16"/>
  <c r="J2470" i="16"/>
  <c r="J2471" i="16"/>
  <c r="J2472" i="16"/>
  <c r="J2473" i="16"/>
  <c r="J2474" i="16"/>
  <c r="J2475" i="16"/>
  <c r="J2477" i="16"/>
  <c r="J2478" i="16"/>
  <c r="J2483" i="16"/>
  <c r="J2484" i="16"/>
  <c r="J2485" i="16"/>
  <c r="J2486" i="16"/>
  <c r="J2487" i="16"/>
  <c r="J2488" i="16"/>
  <c r="J2489" i="16"/>
  <c r="J2490" i="16"/>
  <c r="J2491" i="16"/>
  <c r="J2492" i="16"/>
  <c r="J2493" i="16"/>
  <c r="J2494" i="16"/>
  <c r="J2495" i="16"/>
  <c r="J2496" i="16"/>
  <c r="J2497" i="16"/>
  <c r="J2498" i="16"/>
  <c r="J2499" i="16"/>
  <c r="J2500" i="16"/>
  <c r="J2501" i="16"/>
  <c r="J2502" i="16"/>
  <c r="J2503" i="16"/>
  <c r="J2504" i="16"/>
  <c r="J2505" i="16"/>
  <c r="J2506" i="16"/>
  <c r="J2507" i="16"/>
  <c r="J2508" i="16"/>
  <c r="J2509" i="16"/>
  <c r="J2510" i="16"/>
  <c r="J2511" i="16"/>
  <c r="J2512" i="16"/>
  <c r="J2513" i="16"/>
  <c r="J2514" i="16"/>
  <c r="J2515" i="16"/>
  <c r="J2516" i="16"/>
  <c r="J2517" i="16"/>
  <c r="J2518" i="16"/>
  <c r="J2519" i="16"/>
  <c r="J2520" i="16"/>
  <c r="J2521" i="16"/>
  <c r="J2522" i="16"/>
  <c r="J2523" i="16"/>
  <c r="J2524" i="16"/>
  <c r="J2525" i="16"/>
  <c r="J2526" i="16"/>
  <c r="J2527" i="16"/>
  <c r="J2528" i="16"/>
  <c r="J2529" i="16"/>
  <c r="J2530" i="16"/>
  <c r="J2531" i="16"/>
  <c r="J2532" i="16"/>
  <c r="J2533" i="16"/>
  <c r="J2534" i="16"/>
  <c r="J2535" i="16"/>
  <c r="J2536" i="16"/>
  <c r="J2537" i="16"/>
  <c r="J2538" i="16"/>
  <c r="J2539" i="16"/>
  <c r="J2540" i="16"/>
  <c r="J2541" i="16"/>
  <c r="J2542" i="16"/>
  <c r="J2543" i="16"/>
  <c r="J2544" i="16"/>
  <c r="J2545" i="16"/>
  <c r="J2546" i="16"/>
  <c r="J2547" i="16"/>
  <c r="J2548" i="16"/>
  <c r="J2549" i="16"/>
  <c r="J2550" i="16"/>
  <c r="J2551" i="16"/>
  <c r="J2552" i="16"/>
  <c r="J2554" i="16"/>
  <c r="J2555" i="16"/>
  <c r="J2556" i="16"/>
  <c r="J2557" i="16"/>
  <c r="J2558" i="16"/>
  <c r="J2559" i="16"/>
  <c r="J2560" i="16"/>
  <c r="J2561" i="16"/>
  <c r="J2562" i="16"/>
  <c r="J2563" i="16"/>
  <c r="J2564" i="16"/>
  <c r="J2565" i="16"/>
  <c r="J2566" i="16"/>
  <c r="J2567" i="16"/>
  <c r="J2568" i="16"/>
  <c r="J2569" i="16"/>
  <c r="J2570" i="16"/>
  <c r="J2571" i="16"/>
  <c r="J2572" i="16"/>
  <c r="J2573" i="16"/>
  <c r="J2574" i="16"/>
  <c r="J2575" i="16"/>
  <c r="J2576" i="16"/>
  <c r="J2577" i="16"/>
  <c r="J2578" i="16"/>
  <c r="J2579" i="16"/>
  <c r="J2580" i="16"/>
  <c r="J2581" i="16"/>
  <c r="J2582" i="16"/>
  <c r="J2583" i="16"/>
  <c r="J2585" i="16"/>
  <c r="J2586" i="16"/>
  <c r="J2587" i="16"/>
  <c r="J2588" i="16"/>
  <c r="J2589" i="16"/>
  <c r="J2590" i="16"/>
  <c r="J2591" i="16"/>
  <c r="J2592" i="16"/>
  <c r="J2593" i="16"/>
  <c r="J2594" i="16"/>
  <c r="J2595" i="16"/>
  <c r="J2596" i="16"/>
  <c r="J2600" i="16"/>
  <c r="J2601" i="16"/>
  <c r="J2606" i="16"/>
  <c r="J2607" i="16"/>
  <c r="J2608" i="16"/>
  <c r="J2609" i="16"/>
  <c r="J2610" i="16"/>
  <c r="J2611" i="16"/>
  <c r="J2612" i="16"/>
  <c r="J2613" i="16"/>
  <c r="J2614" i="16"/>
  <c r="J2618" i="16"/>
  <c r="J2620" i="16"/>
  <c r="J2621" i="16"/>
  <c r="J2622" i="16"/>
  <c r="J2623" i="16"/>
  <c r="J2624" i="16"/>
  <c r="J2625" i="16"/>
  <c r="J2626" i="16"/>
  <c r="J2627" i="16"/>
  <c r="J2630" i="16"/>
  <c r="J2631" i="16"/>
  <c r="J2632" i="16"/>
  <c r="J2633" i="16"/>
  <c r="J2634" i="16"/>
  <c r="J2637" i="16"/>
  <c r="J2638" i="16"/>
  <c r="J2640" i="16"/>
  <c r="J2642" i="16"/>
  <c r="J2643" i="16"/>
  <c r="J2644" i="16"/>
  <c r="J2645" i="16"/>
  <c r="J2646" i="16"/>
  <c r="J2647" i="16"/>
  <c r="J2648" i="16"/>
  <c r="J2649" i="16"/>
  <c r="J2650" i="16"/>
  <c r="J2651" i="16"/>
  <c r="J2652" i="16"/>
  <c r="J2653" i="16"/>
  <c r="J2654" i="16"/>
  <c r="J2655" i="16"/>
  <c r="J2656" i="16"/>
  <c r="J2657" i="16"/>
  <c r="J2658" i="16"/>
  <c r="J2659" i="16"/>
  <c r="J2660" i="16"/>
  <c r="J2661" i="16"/>
  <c r="J2663" i="16"/>
  <c r="J2664" i="16"/>
  <c r="J2665" i="16"/>
  <c r="J2666" i="16"/>
  <c r="J2667" i="16"/>
  <c r="J2668" i="16"/>
  <c r="J2669" i="16"/>
  <c r="J2670" i="16"/>
  <c r="J2673" i="16"/>
  <c r="J2674" i="16"/>
  <c r="J2675" i="16"/>
  <c r="J2676" i="16"/>
  <c r="J2677" i="16"/>
  <c r="J2678" i="16"/>
  <c r="J2679" i="16"/>
  <c r="J2688" i="16"/>
  <c r="J2689" i="16"/>
  <c r="J2690" i="16"/>
  <c r="J2691" i="16"/>
  <c r="J2692" i="16"/>
  <c r="J2694" i="16"/>
  <c r="J2696" i="16"/>
  <c r="J2702" i="16"/>
  <c r="J2703" i="16"/>
  <c r="J2706" i="16"/>
  <c r="J2707" i="16"/>
  <c r="J2709" i="16"/>
  <c r="J2713" i="16"/>
  <c r="J2714" i="16"/>
  <c r="J2717" i="16"/>
  <c r="J2725" i="16"/>
  <c r="J2726" i="16"/>
  <c r="J2727" i="16"/>
  <c r="J2728" i="16"/>
  <c r="J2729" i="16"/>
  <c r="J2730" i="16"/>
  <c r="J2731" i="16"/>
  <c r="J2732" i="16"/>
  <c r="J2733" i="16"/>
  <c r="J2734" i="16"/>
  <c r="J2735" i="16"/>
  <c r="J2736" i="16"/>
  <c r="J2737" i="16"/>
  <c r="J2739" i="16"/>
  <c r="J2740" i="16"/>
  <c r="J2743" i="16"/>
  <c r="J2745" i="16"/>
  <c r="J2746" i="16"/>
  <c r="J2747" i="16"/>
  <c r="J2748" i="16"/>
  <c r="J2749" i="16"/>
  <c r="J2751" i="16"/>
  <c r="J2752" i="16"/>
  <c r="J2753" i="16"/>
  <c r="J2754" i="16"/>
  <c r="J2755" i="16"/>
  <c r="J2756" i="16"/>
  <c r="J2757" i="16"/>
  <c r="J2758" i="16"/>
  <c r="J2759" i="16"/>
  <c r="J2760" i="16"/>
  <c r="J2761" i="16"/>
  <c r="J2762" i="16"/>
  <c r="J2763" i="16"/>
  <c r="J2764" i="16"/>
  <c r="J2765" i="16"/>
  <c r="J2766" i="16"/>
  <c r="J2767" i="16"/>
  <c r="J2768" i="16"/>
  <c r="J2769" i="16"/>
  <c r="J2770" i="16"/>
  <c r="J2771" i="16"/>
  <c r="J2772" i="16"/>
  <c r="J2773" i="16"/>
  <c r="J2774" i="16"/>
  <c r="J2776" i="16"/>
  <c r="J2777" i="16"/>
  <c r="J2778" i="16"/>
  <c r="J2779" i="16"/>
  <c r="J2780" i="16"/>
  <c r="J2781" i="16"/>
  <c r="J2782" i="16"/>
  <c r="J2783" i="16"/>
  <c r="J2786" i="16"/>
  <c r="J2788" i="16"/>
  <c r="J2792" i="16"/>
  <c r="J2802" i="16"/>
  <c r="J2803" i="16"/>
  <c r="J2804" i="16"/>
  <c r="J2805" i="16"/>
  <c r="J2806" i="16"/>
  <c r="J2807" i="16"/>
  <c r="J2808" i="16"/>
  <c r="J2810" i="16"/>
  <c r="J2819" i="16"/>
  <c r="J2820" i="16"/>
  <c r="J2821" i="16"/>
  <c r="J2822" i="16"/>
  <c r="J2823" i="16"/>
  <c r="J2824" i="16"/>
  <c r="J2825" i="16"/>
  <c r="J2826" i="16"/>
  <c r="J2827" i="16"/>
  <c r="J2828" i="16"/>
  <c r="J2829" i="16"/>
  <c r="J2830" i="16"/>
  <c r="J2831" i="16"/>
  <c r="J2832" i="16"/>
  <c r="J2833" i="16"/>
  <c r="J2834" i="16"/>
  <c r="J2835" i="16"/>
  <c r="J2836" i="16"/>
  <c r="J2837" i="16"/>
  <c r="J2838" i="16"/>
  <c r="J2839" i="16"/>
  <c r="J2842" i="16"/>
  <c r="J2845" i="16"/>
  <c r="J2848" i="16"/>
  <c r="J2849" i="16"/>
  <c r="J2851" i="16"/>
  <c r="J2853" i="16"/>
  <c r="J2854" i="16"/>
  <c r="J2855" i="16"/>
  <c r="J2856" i="16"/>
  <c r="J2857" i="16"/>
  <c r="J2858" i="16"/>
  <c r="J2859" i="16"/>
  <c r="J2860" i="16"/>
  <c r="J2861" i="16"/>
  <c r="J2862" i="16"/>
  <c r="J2863" i="16"/>
  <c r="J2864" i="16"/>
  <c r="J2865" i="16"/>
  <c r="J2866" i="16"/>
  <c r="J2867" i="16"/>
  <c r="J2868" i="16"/>
  <c r="J2869" i="16"/>
  <c r="J2870" i="16"/>
  <c r="J2871" i="16"/>
  <c r="J2872" i="16"/>
  <c r="J2873" i="16"/>
  <c r="J2874" i="16"/>
  <c r="J2875" i="16"/>
  <c r="J2876" i="16"/>
  <c r="J2877" i="16"/>
  <c r="J2878" i="16"/>
  <c r="J2879" i="16"/>
  <c r="J2880" i="16"/>
  <c r="J2881" i="16"/>
  <c r="J2882" i="16"/>
  <c r="J2883" i="16"/>
  <c r="J2884" i="16"/>
  <c r="J2885" i="16"/>
  <c r="J2886" i="16"/>
  <c r="J2887" i="16"/>
  <c r="J2888" i="16"/>
  <c r="J2890" i="16"/>
  <c r="J2891" i="16"/>
  <c r="J2892" i="16"/>
  <c r="J2893" i="16"/>
  <c r="J2894" i="16"/>
  <c r="J2895" i="16"/>
  <c r="J2896" i="16"/>
  <c r="J2897" i="16"/>
  <c r="J2898" i="16"/>
  <c r="J2900" i="16"/>
  <c r="J2901" i="16"/>
  <c r="J2902" i="16"/>
  <c r="J2903" i="16"/>
  <c r="J2905" i="16"/>
  <c r="J2906" i="16"/>
  <c r="J2907" i="16"/>
  <c r="J2908" i="16"/>
  <c r="J2909" i="16"/>
  <c r="J2910" i="16"/>
  <c r="J2911" i="16"/>
  <c r="J2914" i="16"/>
  <c r="J2915" i="16"/>
  <c r="J2916" i="16"/>
  <c r="J2917" i="16"/>
  <c r="J2921" i="16"/>
  <c r="J2922" i="16"/>
  <c r="J2923" i="16"/>
  <c r="J2924" i="16"/>
  <c r="J2925" i="16"/>
  <c r="J2926" i="16"/>
  <c r="J2928" i="16"/>
  <c r="J2929" i="16"/>
  <c r="J2930" i="16"/>
  <c r="J2931" i="16"/>
  <c r="J2932" i="16"/>
  <c r="J2933" i="16"/>
  <c r="J2934" i="16"/>
  <c r="J2935" i="16"/>
  <c r="J2936" i="16"/>
  <c r="J2937" i="16"/>
  <c r="J2938" i="16"/>
  <c r="J2939" i="16"/>
  <c r="J2940" i="16"/>
  <c r="J2941" i="16"/>
  <c r="J2942" i="16"/>
  <c r="J2943" i="16"/>
  <c r="J2944" i="16"/>
  <c r="J2945" i="16"/>
  <c r="J2946" i="16"/>
  <c r="J2947" i="16"/>
  <c r="J2948" i="16"/>
  <c r="J2949" i="16"/>
  <c r="J2950" i="16"/>
  <c r="J2951" i="16"/>
  <c r="J2952" i="16"/>
  <c r="J2953" i="16"/>
  <c r="J2954" i="16"/>
  <c r="J2955" i="16"/>
  <c r="J2956" i="16"/>
  <c r="J2957" i="16"/>
  <c r="J2958" i="16"/>
  <c r="J2959" i="16"/>
  <c r="J2960" i="16"/>
  <c r="J2961" i="16"/>
  <c r="J2962" i="16"/>
  <c r="J2963" i="16"/>
  <c r="J2964" i="16"/>
  <c r="J2965" i="16"/>
  <c r="J2966" i="16"/>
  <c r="J2967" i="16"/>
  <c r="J2968" i="16"/>
  <c r="J2972" i="16"/>
  <c r="J2973" i="16"/>
  <c r="J2974" i="16"/>
  <c r="J2975" i="16"/>
  <c r="J2979" i="16"/>
  <c r="J2980" i="16"/>
  <c r="J2982" i="16"/>
  <c r="J2983" i="16"/>
  <c r="J2984" i="16"/>
  <c r="J2985" i="16"/>
  <c r="J2986" i="16"/>
  <c r="J2987" i="16"/>
  <c r="J2988" i="16"/>
  <c r="J2989" i="16"/>
  <c r="J2990" i="16"/>
  <c r="J2991" i="16"/>
  <c r="J2992" i="16"/>
  <c r="J2993" i="16"/>
  <c r="J2994" i="16"/>
  <c r="J2995" i="16"/>
  <c r="J2996" i="16"/>
  <c r="J2997" i="16"/>
  <c r="J2998" i="16"/>
  <c r="J2999" i="16"/>
  <c r="J3000" i="16"/>
  <c r="J3002" i="16"/>
  <c r="J3003" i="16"/>
  <c r="J3004" i="16"/>
  <c r="J3005" i="16"/>
  <c r="J3006" i="16"/>
  <c r="J3007" i="16"/>
  <c r="J3009" i="16"/>
  <c r="J3010" i="16"/>
  <c r="J3011" i="16"/>
  <c r="J3012" i="16"/>
  <c r="J3013" i="16"/>
  <c r="J3014" i="16"/>
  <c r="J3015" i="16"/>
  <c r="J3018" i="16"/>
  <c r="J3019" i="16"/>
  <c r="J3020" i="16"/>
  <c r="J3023" i="16"/>
  <c r="J3024" i="16"/>
  <c r="J3025" i="16"/>
  <c r="J3026" i="16"/>
  <c r="J3027" i="16"/>
  <c r="J3030" i="16"/>
  <c r="J3031" i="16"/>
  <c r="J3032" i="16"/>
  <c r="J3034" i="16"/>
  <c r="J3035" i="16"/>
  <c r="J3036" i="16"/>
  <c r="J3039" i="16"/>
  <c r="J3040" i="16"/>
  <c r="J3041" i="16"/>
  <c r="J3042" i="16"/>
  <c r="J3043" i="16"/>
  <c r="J3044" i="16"/>
  <c r="J3045" i="16"/>
  <c r="J3046" i="16"/>
  <c r="J3047" i="16"/>
  <c r="J3048" i="16"/>
  <c r="J3049" i="16"/>
  <c r="J3050" i="16"/>
  <c r="J3051" i="16"/>
  <c r="J3052" i="16"/>
  <c r="J3053" i="16"/>
  <c r="J3054" i="16"/>
  <c r="J3055" i="16"/>
  <c r="J3056" i="16"/>
  <c r="J3058" i="16"/>
  <c r="J3059" i="16"/>
  <c r="J3060" i="16"/>
  <c r="J3061" i="16"/>
  <c r="J3062" i="16"/>
  <c r="J3063" i="16"/>
  <c r="J3064" i="16"/>
  <c r="J3065" i="16"/>
  <c r="J3066" i="16"/>
  <c r="J3067" i="16"/>
  <c r="J3068" i="16"/>
  <c r="J3069" i="16"/>
  <c r="J3070" i="16"/>
  <c r="J3071" i="16"/>
  <c r="J3072" i="16"/>
  <c r="J3073" i="16"/>
  <c r="J3074" i="16"/>
  <c r="J3075" i="16"/>
  <c r="J3076" i="16"/>
  <c r="J3077" i="16"/>
  <c r="J3078" i="16"/>
  <c r="J3079" i="16"/>
  <c r="J3080" i="16"/>
  <c r="J3081" i="16"/>
  <c r="J3082" i="16"/>
  <c r="J3083" i="16"/>
  <c r="J3084" i="16"/>
  <c r="J3085" i="16"/>
  <c r="J3086" i="16"/>
  <c r="J3087" i="16"/>
  <c r="J3088" i="16"/>
  <c r="J3089" i="16"/>
  <c r="J3090" i="16"/>
  <c r="J3091" i="16"/>
  <c r="J3092" i="16"/>
  <c r="J3093" i="16"/>
  <c r="J3094" i="16"/>
  <c r="J3095" i="16"/>
  <c r="J3096" i="16"/>
  <c r="J3097" i="16"/>
  <c r="J3098" i="16"/>
  <c r="J3100" i="16"/>
  <c r="J3101" i="16"/>
  <c r="J3102" i="16"/>
  <c r="J3103" i="16"/>
  <c r="J3104" i="16"/>
  <c r="J3105" i="16"/>
  <c r="J3106" i="16"/>
  <c r="J3107" i="16"/>
  <c r="J3108" i="16"/>
  <c r="J3117" i="16"/>
  <c r="J3118" i="16"/>
  <c r="J3119" i="16"/>
  <c r="J3120" i="16"/>
  <c r="J3122" i="16"/>
  <c r="J3123" i="16"/>
  <c r="J3126" i="16"/>
  <c r="J3127" i="16"/>
  <c r="J3131" i="16"/>
  <c r="J3132" i="16"/>
  <c r="J3134" i="16"/>
  <c r="J3135" i="16"/>
  <c r="J3136" i="16"/>
  <c r="J3137" i="16"/>
  <c r="J3139" i="16"/>
  <c r="J3140" i="16"/>
  <c r="J3141" i="16"/>
  <c r="J3143" i="16"/>
  <c r="J3144" i="16"/>
  <c r="J3145" i="16"/>
  <c r="J3146" i="16"/>
  <c r="J3147" i="16"/>
  <c r="J3148" i="16"/>
  <c r="J3149" i="16"/>
  <c r="J3150" i="16"/>
  <c r="J3151" i="16"/>
  <c r="J3152" i="16"/>
  <c r="J3153" i="16"/>
  <c r="J3155" i="16"/>
  <c r="J3156" i="16"/>
  <c r="J3157" i="16"/>
  <c r="J3158" i="16"/>
  <c r="J3159" i="16"/>
  <c r="J3160" i="16"/>
  <c r="J3161" i="16"/>
  <c r="J3162" i="16"/>
  <c r="J3163" i="16"/>
  <c r="J3164" i="16"/>
  <c r="J3165" i="16"/>
  <c r="J3166" i="16"/>
  <c r="J3167" i="16"/>
  <c r="J3168" i="16"/>
  <c r="J3169" i="16"/>
  <c r="J3170" i="16"/>
  <c r="J3171" i="16"/>
  <c r="J3172" i="16"/>
  <c r="J3173" i="16"/>
  <c r="J3174" i="16"/>
  <c r="J3175" i="16"/>
  <c r="J3176" i="16"/>
  <c r="J3177" i="16"/>
  <c r="J3178" i="16"/>
  <c r="J3179" i="16"/>
  <c r="J3180" i="16"/>
  <c r="J3181" i="16"/>
  <c r="J3182" i="16"/>
  <c r="J3183" i="16"/>
  <c r="J3184" i="16"/>
  <c r="J3185" i="16"/>
  <c r="J3186" i="16"/>
  <c r="J3187" i="16"/>
  <c r="J3188" i="16"/>
  <c r="J3189" i="16"/>
  <c r="J3190" i="16"/>
  <c r="J3191" i="16"/>
  <c r="J3192" i="16"/>
  <c r="J3194" i="16"/>
  <c r="J3195" i="16"/>
  <c r="J3196" i="16"/>
  <c r="J3197" i="16"/>
  <c r="J3198" i="16"/>
  <c r="J3199" i="16"/>
  <c r="J3200" i="16"/>
  <c r="J3201" i="16"/>
  <c r="J3202" i="16"/>
  <c r="J3203" i="16"/>
  <c r="J3204" i="16"/>
  <c r="J3205" i="16"/>
  <c r="J3206" i="16"/>
  <c r="J3207" i="16"/>
  <c r="J3208" i="16"/>
  <c r="J3210" i="16"/>
  <c r="J3211" i="16"/>
  <c r="J3212" i="16"/>
  <c r="J3213" i="16"/>
  <c r="J3214" i="16"/>
  <c r="J3216" i="16"/>
  <c r="J3217" i="16"/>
  <c r="J3219" i="16"/>
  <c r="J3221" i="16"/>
  <c r="J3223" i="16"/>
  <c r="J3224" i="16"/>
  <c r="J3225" i="16"/>
  <c r="J3226" i="16"/>
  <c r="J3227" i="16"/>
  <c r="J3229" i="16"/>
  <c r="J3230" i="16"/>
  <c r="J3231" i="16"/>
  <c r="J3232" i="16"/>
  <c r="J3233" i="16"/>
  <c r="J3234" i="16"/>
  <c r="J3236" i="16"/>
  <c r="J3237" i="16"/>
  <c r="J3238" i="16"/>
  <c r="J3239" i="16"/>
  <c r="J3241" i="16"/>
  <c r="J3242" i="16"/>
  <c r="J3243" i="16"/>
  <c r="J3244" i="16"/>
  <c r="J3245" i="16"/>
  <c r="J3246" i="16"/>
  <c r="J3247" i="16"/>
  <c r="J3248" i="16"/>
  <c r="J3249" i="16"/>
  <c r="J3250" i="16"/>
  <c r="J3251" i="16"/>
  <c r="J3252" i="16"/>
  <c r="J3253" i="16"/>
  <c r="J3254" i="16"/>
  <c r="J3257" i="16"/>
  <c r="J3259" i="16"/>
  <c r="J3260" i="16"/>
  <c r="J3261" i="16"/>
  <c r="J3262" i="16"/>
  <c r="J3263" i="16"/>
  <c r="J3264" i="16"/>
  <c r="J3265" i="16"/>
  <c r="J3266" i="16"/>
  <c r="J3267" i="16"/>
  <c r="J3268" i="16"/>
  <c r="J3270" i="16"/>
  <c r="J3271" i="16"/>
  <c r="J3272" i="16"/>
  <c r="J3273" i="16"/>
  <c r="J3275" i="16"/>
  <c r="J3276" i="16"/>
  <c r="J3277" i="16"/>
  <c r="J3278" i="16"/>
  <c r="J3279" i="16"/>
  <c r="J3280" i="16"/>
  <c r="J3281" i="16"/>
  <c r="J3282" i="16"/>
  <c r="J3283" i="16"/>
  <c r="J3286" i="16"/>
  <c r="J3289" i="16"/>
  <c r="J3291" i="16"/>
  <c r="J3292" i="16"/>
  <c r="J3293" i="16"/>
  <c r="J3294" i="16"/>
  <c r="J3295" i="16"/>
  <c r="J3296" i="16"/>
  <c r="J3297" i="16"/>
  <c r="J3298" i="16"/>
  <c r="J3299" i="16"/>
  <c r="J3300" i="16"/>
  <c r="J3301" i="16"/>
  <c r="J3302" i="16"/>
  <c r="J3303" i="16"/>
  <c r="J3304" i="16"/>
  <c r="J3305" i="16"/>
  <c r="J3306" i="16"/>
  <c r="J3307" i="16"/>
  <c r="J3311" i="16"/>
  <c r="J3312" i="16"/>
  <c r="J3313" i="16"/>
  <c r="J3314" i="16"/>
  <c r="J3315" i="16"/>
  <c r="J3316" i="16"/>
  <c r="J3317" i="16"/>
  <c r="J3318" i="16"/>
  <c r="J3320" i="16"/>
  <c r="J3321" i="16"/>
  <c r="J3322" i="16"/>
  <c r="J3323" i="16"/>
  <c r="J3324" i="16"/>
  <c r="J3325" i="16"/>
  <c r="J3326" i="16"/>
  <c r="J3327" i="16"/>
  <c r="J3328" i="16"/>
  <c r="J3329" i="16"/>
  <c r="J3331" i="16"/>
  <c r="J3332" i="16"/>
  <c r="J3333" i="16"/>
  <c r="J3335" i="16"/>
  <c r="J3336" i="16"/>
  <c r="J3337" i="16"/>
  <c r="J3338" i="16"/>
  <c r="J3340" i="16"/>
  <c r="J3341" i="16"/>
  <c r="J3342" i="16"/>
  <c r="J3346" i="16"/>
  <c r="J3347" i="16"/>
  <c r="J3348" i="16"/>
  <c r="J3351" i="16"/>
  <c r="J3352" i="16"/>
  <c r="J3353" i="16"/>
  <c r="J3354" i="16"/>
  <c r="J3356" i="16"/>
  <c r="J3357" i="16"/>
  <c r="J3358" i="16"/>
  <c r="J3360" i="16"/>
  <c r="J3361" i="16"/>
  <c r="J3362" i="16"/>
  <c r="J3365" i="16"/>
  <c r="J3366" i="16"/>
  <c r="J3367" i="16"/>
  <c r="J3368" i="16"/>
  <c r="J3369" i="16"/>
  <c r="J3370" i="16"/>
  <c r="J3371" i="16"/>
  <c r="J3372" i="16"/>
  <c r="J3373" i="16"/>
  <c r="J3374" i="16"/>
  <c r="J3375" i="16"/>
  <c r="J3376" i="16"/>
  <c r="J3377" i="16"/>
  <c r="J3378" i="16"/>
  <c r="J3379" i="16"/>
  <c r="J3380" i="16"/>
  <c r="J3381" i="16"/>
  <c r="J3382" i="16"/>
  <c r="J3383" i="16"/>
  <c r="J3384" i="16"/>
  <c r="J3385" i="16"/>
  <c r="J3386" i="16"/>
  <c r="J3389" i="16"/>
  <c r="J3390" i="16"/>
  <c r="J3391" i="16"/>
  <c r="J3392" i="16"/>
  <c r="J3393" i="16"/>
  <c r="J3394" i="16"/>
  <c r="J3395" i="16"/>
  <c r="J3396" i="16"/>
  <c r="J3397" i="16"/>
  <c r="J3398" i="16"/>
  <c r="J3399" i="16"/>
  <c r="J3400" i="16"/>
  <c r="J3401" i="16"/>
  <c r="J3402" i="16"/>
  <c r="J3403" i="16"/>
  <c r="J3405" i="16"/>
  <c r="J3406" i="16"/>
  <c r="J3407" i="16"/>
  <c r="J3408" i="16"/>
  <c r="J3409" i="16"/>
  <c r="J3411" i="16"/>
  <c r="J3412" i="16"/>
  <c r="J3413" i="16"/>
  <c r="J3414" i="16"/>
  <c r="J3416" i="16"/>
  <c r="J3417" i="16"/>
  <c r="J3418" i="16"/>
  <c r="J3419" i="16"/>
  <c r="J3420" i="16"/>
  <c r="J3421" i="16"/>
  <c r="J3422" i="16"/>
  <c r="J3423" i="16"/>
  <c r="J3424" i="16"/>
  <c r="J3425" i="16"/>
  <c r="J3426" i="16"/>
  <c r="J3427" i="16"/>
  <c r="J3429" i="16"/>
  <c r="J3430" i="16"/>
  <c r="J3431" i="16"/>
  <c r="J3432" i="16"/>
  <c r="J3433" i="16"/>
  <c r="J3434" i="16"/>
  <c r="J3435" i="16"/>
  <c r="J3436" i="16"/>
  <c r="J3437" i="16"/>
  <c r="J3438" i="16"/>
  <c r="J3439" i="16"/>
  <c r="J3440" i="16"/>
  <c r="J3441" i="16"/>
  <c r="J3442" i="16"/>
  <c r="J3444" i="16"/>
  <c r="J3446" i="16"/>
  <c r="J3447" i="16"/>
  <c r="J3448" i="16"/>
  <c r="J3449" i="16"/>
  <c r="J3450" i="16"/>
  <c r="J3453" i="16"/>
  <c r="J3454" i="16"/>
  <c r="J3456" i="16"/>
  <c r="J3457" i="16"/>
  <c r="J3458" i="16"/>
  <c r="J3459" i="16"/>
  <c r="J3461" i="16"/>
  <c r="J3462" i="16"/>
  <c r="J3463" i="16"/>
  <c r="J3464" i="16"/>
  <c r="J3465" i="16"/>
  <c r="J3466" i="16"/>
  <c r="J3467" i="16"/>
  <c r="J3468" i="16"/>
  <c r="J3470" i="16"/>
  <c r="J3479" i="16"/>
  <c r="J3481" i="16"/>
  <c r="J3482" i="16"/>
  <c r="J3483" i="16"/>
  <c r="J3485" i="16"/>
  <c r="J3486" i="16"/>
  <c r="J3487" i="16"/>
  <c r="J3490" i="16"/>
  <c r="J3492" i="16"/>
  <c r="J3493" i="16"/>
  <c r="J3495" i="16"/>
  <c r="J3496" i="16"/>
  <c r="J3497" i="16"/>
  <c r="J3498" i="16"/>
  <c r="J3499" i="16"/>
  <c r="J3500" i="16"/>
  <c r="J3501" i="16"/>
  <c r="J3502" i="16"/>
  <c r="J3503" i="16"/>
  <c r="J3505" i="16"/>
  <c r="J3506" i="16"/>
  <c r="J3507" i="16"/>
  <c r="J3508" i="16"/>
  <c r="J3509" i="16"/>
  <c r="J3510" i="16"/>
  <c r="J3512" i="16"/>
  <c r="J3518" i="16"/>
  <c r="J3519" i="16"/>
  <c r="J3520" i="16"/>
  <c r="J3521" i="16"/>
  <c r="J3522" i="16"/>
  <c r="J3523" i="16"/>
  <c r="J3525" i="16"/>
  <c r="J3527" i="16"/>
  <c r="J3528" i="16"/>
  <c r="J3529" i="16"/>
  <c r="J3530" i="16"/>
  <c r="J3531" i="16"/>
  <c r="J3532" i="16"/>
  <c r="J3533" i="16"/>
  <c r="J3534" i="16"/>
  <c r="J3535" i="16"/>
  <c r="J3536" i="16"/>
  <c r="J3537" i="16"/>
  <c r="J3538" i="16"/>
  <c r="J3540" i="16"/>
  <c r="J3542" i="16"/>
  <c r="J3543" i="16"/>
  <c r="J3544" i="16"/>
  <c r="J3545" i="16"/>
  <c r="J3546" i="16"/>
  <c r="J3547" i="16"/>
  <c r="J3548" i="16"/>
  <c r="J3549" i="16"/>
  <c r="J3550" i="16"/>
  <c r="J3551" i="16"/>
  <c r="J3552" i="16"/>
  <c r="J3553" i="16"/>
  <c r="J3554" i="16"/>
  <c r="J3555" i="16"/>
  <c r="J3556" i="16"/>
  <c r="J3557" i="16"/>
  <c r="J3558" i="16"/>
  <c r="J3562" i="16"/>
  <c r="J3563" i="16"/>
  <c r="J3564" i="16"/>
  <c r="J3566" i="16"/>
  <c r="J3568" i="16"/>
  <c r="J3569" i="16"/>
  <c r="J3570" i="16"/>
  <c r="J3571" i="16"/>
  <c r="J3572" i="16"/>
  <c r="J3573" i="16"/>
  <c r="J3574" i="16"/>
  <c r="J3575" i="16"/>
  <c r="J3576" i="16"/>
  <c r="J3577" i="16"/>
  <c r="J3578" i="16"/>
  <c r="J3579" i="16"/>
  <c r="J3580" i="16"/>
  <c r="J3581" i="16"/>
  <c r="J3582" i="16"/>
  <c r="J3583" i="16"/>
  <c r="J3584" i="16"/>
  <c r="J3586" i="16"/>
  <c r="J3587" i="16"/>
  <c r="J3588" i="16"/>
  <c r="J3589" i="16"/>
  <c r="J3590" i="16"/>
  <c r="J3591" i="16"/>
  <c r="J3592" i="16"/>
  <c r="J3593" i="16"/>
  <c r="J3594" i="16"/>
  <c r="J3595" i="16"/>
  <c r="J3596" i="16"/>
  <c r="J3597" i="16"/>
  <c r="J3598" i="16"/>
  <c r="J3599" i="16"/>
  <c r="J3600" i="16"/>
  <c r="J3601" i="16"/>
  <c r="J3602" i="16"/>
  <c r="J3603" i="16"/>
  <c r="J3604" i="16"/>
  <c r="J3605" i="16"/>
  <c r="J3606" i="16"/>
  <c r="J3607" i="16"/>
  <c r="J3608" i="16"/>
  <c r="J3609" i="16"/>
  <c r="J3610" i="16"/>
  <c r="J3611" i="16"/>
  <c r="J3612" i="16"/>
  <c r="J3613" i="16"/>
  <c r="J3614" i="16"/>
  <c r="J3615" i="16"/>
  <c r="J3616" i="16"/>
  <c r="J3617" i="16"/>
  <c r="J3618" i="16"/>
  <c r="J3619" i="16"/>
  <c r="J3620" i="16"/>
  <c r="J3621" i="16"/>
  <c r="J3622" i="16"/>
  <c r="J3623" i="16"/>
  <c r="J3624" i="16"/>
  <c r="J3625" i="16"/>
  <c r="J3626" i="16"/>
  <c r="J3627" i="16"/>
  <c r="J3628" i="16"/>
  <c r="J3629" i="16"/>
  <c r="J3630" i="16"/>
  <c r="J3632" i="16"/>
  <c r="J3633" i="16"/>
  <c r="J3635" i="16"/>
  <c r="J3637" i="16"/>
  <c r="J3638" i="16"/>
  <c r="J3639" i="16"/>
  <c r="J3643" i="16"/>
  <c r="J3644" i="16"/>
  <c r="J3647" i="16"/>
  <c r="J3648" i="16"/>
  <c r="J3649" i="16"/>
  <c r="J3651" i="16"/>
  <c r="J3655" i="16"/>
  <c r="J3656" i="16"/>
  <c r="J3657" i="16"/>
  <c r="J3658" i="16"/>
  <c r="J3659" i="16"/>
  <c r="J3660" i="16"/>
  <c r="J3661" i="16"/>
  <c r="J3662" i="16"/>
  <c r="J3663" i="16"/>
  <c r="J3664" i="16"/>
  <c r="J3666" i="16"/>
  <c r="J3670" i="16"/>
  <c r="J3671" i="16"/>
  <c r="J3672" i="16"/>
  <c r="J3673" i="16"/>
  <c r="J3674" i="16"/>
  <c r="J3676" i="16"/>
  <c r="J3677" i="16"/>
  <c r="J3678" i="16"/>
  <c r="J3679" i="16"/>
  <c r="J3680" i="16"/>
  <c r="J3681" i="16"/>
  <c r="J3682" i="16"/>
  <c r="J3683" i="16"/>
  <c r="J3684" i="16"/>
  <c r="J3685" i="16"/>
  <c r="J3686" i="16"/>
  <c r="J3687" i="16"/>
  <c r="J3688" i="16"/>
  <c r="J3689" i="16"/>
  <c r="J3690" i="16"/>
  <c r="J3691" i="16"/>
  <c r="J3692" i="16"/>
  <c r="J3693" i="16"/>
  <c r="J3697" i="16"/>
  <c r="J3698" i="16"/>
  <c r="J3699" i="16"/>
  <c r="J3700" i="16"/>
  <c r="J3701" i="16"/>
  <c r="J3702" i="16"/>
  <c r="J3703" i="16"/>
  <c r="J3704" i="16"/>
  <c r="J3705" i="16"/>
  <c r="J3706" i="16"/>
  <c r="J3707" i="16"/>
  <c r="J3708" i="16"/>
  <c r="J3710" i="16"/>
  <c r="J3711" i="16"/>
  <c r="J3712" i="16"/>
  <c r="J3713" i="16"/>
  <c r="J3714" i="16"/>
  <c r="J3715" i="16"/>
  <c r="J3718" i="16"/>
  <c r="J3719" i="16"/>
  <c r="J3720" i="16"/>
  <c r="J3722" i="16"/>
  <c r="J3723" i="16"/>
  <c r="J3724" i="16"/>
  <c r="J3725" i="16"/>
  <c r="J3726" i="16"/>
  <c r="J3727" i="16"/>
  <c r="J3728" i="16"/>
  <c r="J3729" i="16"/>
  <c r="J3730" i="16"/>
  <c r="J3731" i="16"/>
  <c r="J3732" i="16"/>
  <c r="J3733" i="16"/>
  <c r="J3734" i="16"/>
  <c r="J3735" i="16"/>
  <c r="J3736" i="16"/>
  <c r="J3737" i="16"/>
  <c r="J3739" i="16"/>
  <c r="J3740" i="16"/>
  <c r="J3741" i="16"/>
  <c r="J3742" i="16"/>
  <c r="J3745" i="16"/>
  <c r="J3747" i="16"/>
  <c r="J3748" i="16"/>
  <c r="J3749" i="16"/>
  <c r="J3750" i="16"/>
  <c r="J3751" i="16"/>
  <c r="J3752" i="16"/>
  <c r="J3753" i="16"/>
  <c r="J3754" i="16"/>
  <c r="J3755" i="16"/>
  <c r="J3756" i="16"/>
  <c r="J3757" i="16"/>
  <c r="J3759" i="16"/>
  <c r="J3761" i="16"/>
  <c r="J3762" i="16"/>
  <c r="J3763" i="16"/>
  <c r="J3764" i="16"/>
  <c r="J3765" i="16"/>
  <c r="J3766" i="16"/>
  <c r="J3767" i="16"/>
  <c r="J3768" i="16"/>
  <c r="J3770" i="16"/>
  <c r="J3771" i="16"/>
  <c r="J3772" i="16"/>
  <c r="J3773" i="16"/>
  <c r="J3783" i="16"/>
  <c r="J3784" i="16"/>
  <c r="J3785" i="16"/>
  <c r="J3786" i="16"/>
  <c r="J3787" i="16"/>
  <c r="J3788" i="16"/>
  <c r="J3792" i="16"/>
  <c r="J3793" i="16"/>
  <c r="J3795" i="16"/>
  <c r="J3796" i="16"/>
  <c r="J3799" i="16"/>
  <c r="J3800" i="16"/>
  <c r="J3802" i="16"/>
  <c r="J3803" i="16"/>
  <c r="J3804" i="16"/>
  <c r="J3805" i="16"/>
  <c r="J3806" i="16"/>
  <c r="J3807" i="16"/>
  <c r="J3808" i="16"/>
  <c r="J3809" i="16"/>
  <c r="J3811" i="16"/>
  <c r="J3812" i="16"/>
  <c r="J3813" i="16"/>
  <c r="J3814" i="16"/>
  <c r="J3815" i="16"/>
  <c r="J3816" i="16"/>
  <c r="J3817" i="16"/>
  <c r="J3818" i="16"/>
  <c r="J3819" i="16"/>
  <c r="J3821" i="16"/>
  <c r="J3822" i="16"/>
  <c r="J3823" i="16"/>
  <c r="J3824" i="16"/>
  <c r="J3825" i="16"/>
  <c r="J3826" i="16"/>
  <c r="J3827" i="16"/>
  <c r="J3828" i="16"/>
  <c r="J3829" i="16"/>
  <c r="J3830" i="16"/>
  <c r="J3831" i="16"/>
  <c r="J3832" i="16"/>
  <c r="J3833" i="16"/>
  <c r="J3834" i="16"/>
  <c r="J3835" i="16"/>
  <c r="J3836" i="16"/>
  <c r="J3837" i="16"/>
  <c r="J3838" i="16"/>
  <c r="J3839" i="16"/>
  <c r="J3840" i="16"/>
  <c r="J3841" i="16"/>
  <c r="J3842" i="16"/>
  <c r="J3843" i="16"/>
  <c r="J3844" i="16"/>
  <c r="J3845" i="16"/>
  <c r="J3846" i="16"/>
  <c r="J3847" i="16"/>
  <c r="J3848" i="16"/>
  <c r="J3849" i="16"/>
  <c r="J3850" i="16"/>
  <c r="J3851" i="16"/>
  <c r="J3853" i="16"/>
  <c r="J3854" i="16"/>
  <c r="J3855" i="16"/>
  <c r="J3856" i="16"/>
  <c r="J3857" i="16"/>
  <c r="J3858" i="16"/>
  <c r="J3859" i="16"/>
  <c r="J3860" i="16"/>
  <c r="J3861" i="16"/>
  <c r="J3863" i="16"/>
  <c r="J3865" i="16"/>
  <c r="J3867" i="16"/>
  <c r="J3869" i="16"/>
  <c r="J3870" i="16"/>
  <c r="J3873" i="16"/>
  <c r="J3875" i="16"/>
  <c r="J3876" i="16"/>
  <c r="J3879" i="16"/>
  <c r="J3880" i="16"/>
  <c r="J3881" i="16"/>
  <c r="J3882" i="16"/>
  <c r="J3883" i="16"/>
  <c r="J3885" i="16"/>
  <c r="J3886" i="16"/>
  <c r="J3887" i="16"/>
  <c r="J3888" i="16"/>
  <c r="J3889" i="16"/>
  <c r="J3890" i="16"/>
  <c r="J3891" i="16"/>
  <c r="J3892" i="16"/>
  <c r="J3893" i="16"/>
  <c r="J3894" i="16"/>
  <c r="J3895" i="16"/>
  <c r="J3896" i="16"/>
  <c r="J3897" i="16"/>
  <c r="J3898" i="16"/>
  <c r="J3901" i="16"/>
  <c r="J3902" i="16"/>
  <c r="J3903" i="16"/>
  <c r="J3904" i="16"/>
  <c r="J3905" i="16"/>
  <c r="J3907" i="16"/>
  <c r="J3908" i="16"/>
  <c r="J3909" i="16"/>
  <c r="J3910" i="16"/>
  <c r="J3913" i="16"/>
  <c r="J3915" i="16"/>
  <c r="J3916" i="16"/>
  <c r="J3917" i="16"/>
  <c r="J3918" i="16"/>
  <c r="J3919" i="16"/>
  <c r="J3920" i="16"/>
  <c r="J3921" i="16"/>
  <c r="J3922" i="16"/>
  <c r="J3923" i="16"/>
  <c r="J3925" i="16"/>
  <c r="J3926" i="16"/>
  <c r="J3927" i="16"/>
  <c r="J3928" i="16"/>
  <c r="J3929" i="16"/>
  <c r="J3930" i="16"/>
  <c r="J3931" i="16"/>
  <c r="J3932" i="16"/>
  <c r="J3933" i="16"/>
  <c r="J3936" i="16"/>
  <c r="J3937" i="16"/>
  <c r="J3938" i="16"/>
  <c r="J3941" i="16"/>
  <c r="J3942" i="16"/>
  <c r="J3943" i="16"/>
  <c r="J3945" i="16"/>
  <c r="J3947" i="16"/>
  <c r="J3949" i="16"/>
  <c r="J3950" i="16"/>
  <c r="J3951" i="16"/>
  <c r="J3954" i="16"/>
  <c r="J3955" i="16"/>
  <c r="J3957" i="16"/>
  <c r="J3958" i="16"/>
  <c r="J3959" i="16"/>
  <c r="J3960" i="16"/>
  <c r="J3965" i="16"/>
  <c r="J3966" i="16"/>
  <c r="J3969" i="16"/>
  <c r="J3970" i="16"/>
  <c r="J3971" i="16"/>
  <c r="J3972" i="16"/>
  <c r="J3973" i="16"/>
  <c r="J3974" i="16"/>
  <c r="J3975" i="16"/>
  <c r="J3976" i="16"/>
  <c r="J3977" i="16"/>
  <c r="J3978" i="16"/>
  <c r="J3979" i="16"/>
  <c r="J3980" i="16"/>
  <c r="J3981" i="16"/>
  <c r="J3982" i="16"/>
  <c r="J3983" i="16"/>
  <c r="J3984" i="16"/>
  <c r="J3985" i="16"/>
  <c r="J3987" i="16"/>
  <c r="J3988" i="16"/>
  <c r="J3989" i="16"/>
  <c r="J3993" i="16"/>
  <c r="J3994" i="16"/>
  <c r="J4000" i="16"/>
  <c r="J4001" i="16"/>
  <c r="J4003" i="16"/>
  <c r="J4004" i="16"/>
  <c r="J4005" i="16"/>
  <c r="J4006" i="16"/>
  <c r="J4007" i="16"/>
  <c r="J4008" i="16"/>
  <c r="J4009" i="16"/>
  <c r="J4010" i="16"/>
  <c r="J4011" i="16"/>
  <c r="J4012" i="16"/>
  <c r="J4013" i="16"/>
  <c r="J4014" i="16"/>
  <c r="J4015" i="16"/>
  <c r="J4016" i="16"/>
  <c r="J4017" i="16"/>
  <c r="J4018" i="16"/>
  <c r="J4019" i="16"/>
  <c r="J4020" i="16"/>
  <c r="J4021" i="16"/>
  <c r="J4022" i="16"/>
  <c r="J4023" i="16"/>
  <c r="J4024" i="16"/>
  <c r="J4025" i="16"/>
  <c r="J4028" i="16"/>
  <c r="J4029" i="16"/>
  <c r="J4032" i="16"/>
  <c r="J4033" i="16"/>
  <c r="J4034" i="16"/>
  <c r="J4035" i="16"/>
  <c r="J4036" i="16"/>
  <c r="J4037" i="16"/>
  <c r="J4038" i="16"/>
  <c r="J4040" i="16"/>
  <c r="J4053" i="16"/>
  <c r="J4054" i="16"/>
  <c r="J4055" i="16"/>
  <c r="J4056" i="16"/>
  <c r="J4058" i="16"/>
  <c r="J4059" i="16"/>
  <c r="J4060" i="16"/>
  <c r="J4061" i="16"/>
  <c r="J4062" i="16"/>
  <c r="J4063" i="16"/>
  <c r="J4064" i="16"/>
  <c r="J4065" i="16"/>
  <c r="J4066" i="16"/>
  <c r="J4068" i="16"/>
  <c r="J4069" i="16"/>
  <c r="J4070" i="16"/>
  <c r="J4071" i="16"/>
  <c r="J4072" i="16"/>
  <c r="J4074" i="16"/>
  <c r="J4075" i="16"/>
  <c r="J4076" i="16"/>
  <c r="J4077" i="16"/>
  <c r="J4078" i="16"/>
  <c r="J4079" i="16"/>
  <c r="J4080" i="16"/>
  <c r="J4081" i="16"/>
  <c r="J4082" i="16"/>
  <c r="J4083" i="16"/>
  <c r="J4084" i="16"/>
  <c r="J4085" i="16"/>
  <c r="J4086" i="16"/>
  <c r="J4087" i="16"/>
  <c r="J4088" i="16"/>
  <c r="J4089" i="16"/>
  <c r="J4090" i="16"/>
  <c r="J4091" i="16"/>
  <c r="J4092" i="16"/>
  <c r="J4093" i="16"/>
  <c r="J4094" i="16"/>
  <c r="J4095" i="16"/>
  <c r="J4096" i="16"/>
  <c r="J4097" i="16"/>
  <c r="J4098" i="16"/>
  <c r="J4099" i="16"/>
  <c r="J4100" i="16"/>
  <c r="J4101" i="16"/>
  <c r="J4102" i="16"/>
  <c r="J4103" i="16"/>
  <c r="J4104" i="16"/>
  <c r="J4105" i="16"/>
  <c r="J4106" i="16"/>
  <c r="J4107" i="16"/>
  <c r="J4108" i="16"/>
  <c r="J4109" i="16"/>
  <c r="J4110" i="16"/>
  <c r="J4111" i="16"/>
  <c r="J4112" i="16"/>
  <c r="J4113" i="16"/>
  <c r="J4114" i="16"/>
  <c r="J4115" i="16"/>
  <c r="J4116" i="16"/>
  <c r="J4117" i="16"/>
  <c r="J4118" i="16"/>
  <c r="J4119" i="16"/>
  <c r="J4120" i="16"/>
  <c r="J4121" i="16"/>
  <c r="J4123" i="16"/>
  <c r="J4124" i="16"/>
  <c r="J4125" i="16"/>
  <c r="J4126" i="16"/>
  <c r="J4127" i="16"/>
  <c r="J4128" i="16"/>
  <c r="J4129" i="16"/>
  <c r="J4130" i="16"/>
  <c r="J4131" i="16"/>
  <c r="J4132" i="16"/>
  <c r="J4133" i="16"/>
  <c r="J4134" i="16"/>
  <c r="J4135" i="16"/>
  <c r="J4136" i="16"/>
  <c r="J4138" i="16"/>
  <c r="J4139" i="16"/>
  <c r="J4140" i="16"/>
  <c r="J4141" i="16"/>
  <c r="J4142" i="16"/>
  <c r="J4143" i="16"/>
  <c r="J4146" i="16"/>
  <c r="J4149" i="16"/>
  <c r="J4150" i="16"/>
  <c r="J4151" i="16"/>
  <c r="J4152" i="16"/>
  <c r="J4153" i="16"/>
  <c r="J4154" i="16"/>
  <c r="J4155" i="16"/>
  <c r="J4156" i="16"/>
  <c r="J4157" i="16"/>
  <c r="J4158" i="16"/>
  <c r="J4159" i="16"/>
  <c r="J4161" i="16"/>
  <c r="J4162" i="16"/>
  <c r="J4163" i="16"/>
  <c r="J4171" i="16"/>
  <c r="J4172" i="16"/>
  <c r="J4173" i="16"/>
  <c r="J4174" i="16"/>
  <c r="J4177" i="16"/>
  <c r="J4179" i="16"/>
  <c r="J4180" i="16"/>
  <c r="J4181" i="16"/>
  <c r="J4182" i="16"/>
  <c r="J4183" i="16"/>
  <c r="J4184" i="16"/>
  <c r="J4185" i="16"/>
  <c r="J4186" i="16"/>
  <c r="J4187" i="16"/>
  <c r="J4188" i="16"/>
  <c r="J4189" i="16"/>
  <c r="J4190" i="16"/>
  <c r="J4191" i="16"/>
  <c r="J4192" i="16"/>
  <c r="J4193" i="16"/>
  <c r="J4194" i="16"/>
  <c r="J4196" i="16"/>
  <c r="J4197" i="16"/>
  <c r="J4200" i="16"/>
  <c r="J4201" i="16"/>
  <c r="J4202" i="16"/>
  <c r="J4203" i="16"/>
  <c r="J4204" i="16"/>
  <c r="J4205" i="16"/>
  <c r="J4206" i="16"/>
  <c r="J4207" i="16"/>
  <c r="J4208" i="16"/>
  <c r="J4209" i="16"/>
  <c r="J4210" i="16"/>
  <c r="J4211" i="16"/>
  <c r="J4212" i="16"/>
  <c r="J4213" i="16"/>
  <c r="J4216" i="16"/>
  <c r="J4217" i="16"/>
  <c r="J4218" i="16"/>
  <c r="J4219" i="16"/>
  <c r="J4221" i="16"/>
  <c r="J4222" i="16"/>
  <c r="J4224" i="16"/>
  <c r="J4225" i="16"/>
  <c r="J4226" i="16"/>
  <c r="J4227" i="16"/>
  <c r="J4228" i="16"/>
  <c r="J4230" i="16"/>
  <c r="J4231" i="16"/>
  <c r="J4232" i="16"/>
  <c r="J4233" i="16"/>
  <c r="J4234" i="16"/>
  <c r="J4236" i="16"/>
  <c r="J4237" i="16"/>
  <c r="J4238" i="16"/>
  <c r="J4242" i="16"/>
  <c r="J4243" i="16"/>
  <c r="J4244" i="16"/>
  <c r="J4245" i="16"/>
  <c r="J4246" i="16"/>
  <c r="J4247" i="16"/>
  <c r="J4248" i="16"/>
  <c r="J4249" i="16"/>
  <c r="J4250" i="16"/>
  <c r="J4251" i="16"/>
  <c r="J4252" i="16"/>
  <c r="J4253" i="16"/>
  <c r="J4254" i="16"/>
  <c r="J4255" i="16"/>
  <c r="J4256" i="16"/>
  <c r="J4257" i="16"/>
  <c r="J4258" i="16"/>
  <c r="J4260" i="16"/>
  <c r="J4261" i="16"/>
  <c r="J4262" i="16"/>
  <c r="J4263" i="16"/>
  <c r="J4264" i="16"/>
  <c r="J4265" i="16"/>
  <c r="J4266" i="16"/>
  <c r="J4267" i="16"/>
  <c r="J4268" i="16"/>
  <c r="J4269" i="16"/>
  <c r="J4270" i="16"/>
  <c r="J4271" i="16"/>
  <c r="J4272" i="16"/>
  <c r="J4273" i="16"/>
  <c r="J4274" i="16"/>
  <c r="J4275" i="16"/>
  <c r="J4276" i="16"/>
  <c r="J4277" i="16"/>
  <c r="J4278" i="16"/>
  <c r="J4279" i="16"/>
  <c r="J4280" i="16"/>
  <c r="J4281" i="16"/>
  <c r="J4282" i="16"/>
  <c r="J4283" i="16"/>
  <c r="J4284" i="16"/>
  <c r="J4285" i="16"/>
  <c r="J4287" i="16"/>
  <c r="J4288" i="16"/>
  <c r="J4289" i="16"/>
  <c r="J4290" i="16"/>
  <c r="J4291" i="16"/>
  <c r="J4294" i="16"/>
  <c r="J4298" i="16"/>
  <c r="J4300" i="16"/>
  <c r="J4306" i="16"/>
  <c r="J4307" i="16"/>
  <c r="J4309" i="16"/>
  <c r="J4310" i="16"/>
  <c r="J4313" i="16"/>
  <c r="J4314" i="16"/>
  <c r="J4316" i="16"/>
  <c r="J4317" i="16"/>
  <c r="J4318" i="16"/>
  <c r="J4319" i="16"/>
  <c r="J4320" i="16"/>
  <c r="J4321" i="16"/>
  <c r="J4322" i="16"/>
  <c r="J4323" i="16"/>
  <c r="J4324" i="16"/>
  <c r="J4325" i="16"/>
  <c r="J4326" i="16"/>
  <c r="J4328" i="16"/>
  <c r="J4329" i="16"/>
  <c r="J4330" i="16"/>
  <c r="J4331" i="16"/>
  <c r="J4333" i="16"/>
  <c r="J4334" i="16"/>
  <c r="J4335" i="16"/>
  <c r="J4336" i="16"/>
  <c r="J4337" i="16"/>
  <c r="J4338" i="16"/>
  <c r="J4339" i="16"/>
  <c r="J4340" i="16"/>
  <c r="J4343" i="16"/>
  <c r="J4344" i="16"/>
  <c r="J4345" i="16"/>
  <c r="J4347" i="16"/>
  <c r="J4348" i="16"/>
  <c r="J4350" i="16"/>
  <c r="J4351" i="16"/>
  <c r="J4352" i="16"/>
  <c r="J4353" i="16"/>
  <c r="J4354" i="16"/>
  <c r="J4355" i="16"/>
  <c r="J4356" i="16"/>
  <c r="J4357" i="16"/>
  <c r="J4359" i="16"/>
  <c r="J4360" i="16"/>
  <c r="J4361" i="16"/>
  <c r="J4362" i="16"/>
  <c r="J4363" i="16"/>
  <c r="J4364" i="16"/>
  <c r="J4365" i="16"/>
  <c r="J4366" i="16"/>
  <c r="J4367" i="16"/>
  <c r="J4368" i="16"/>
  <c r="J4369" i="16"/>
  <c r="J4370" i="16"/>
  <c r="J4371" i="16"/>
  <c r="J4373" i="16"/>
  <c r="J4375" i="16"/>
  <c r="J4376" i="16"/>
  <c r="J4377" i="16"/>
  <c r="J4379" i="16"/>
  <c r="J4380" i="16"/>
  <c r="J4381" i="16"/>
  <c r="J4382" i="16"/>
  <c r="J4383" i="16"/>
  <c r="J4386" i="16"/>
  <c r="J4390" i="16"/>
  <c r="J4391" i="16"/>
  <c r="J4392" i="16"/>
  <c r="J4393" i="16"/>
  <c r="J4394" i="16"/>
  <c r="J4395" i="16"/>
  <c r="J4396" i="16"/>
  <c r="J4397" i="16"/>
  <c r="J4398" i="16"/>
  <c r="J4399" i="16"/>
  <c r="J4400" i="16"/>
  <c r="J4401" i="16"/>
  <c r="J4403" i="16"/>
  <c r="J4404" i="16"/>
  <c r="J4406" i="16"/>
  <c r="J4407" i="16"/>
  <c r="J4408" i="16"/>
  <c r="J4409" i="16"/>
  <c r="J4410" i="16"/>
  <c r="J4411" i="16"/>
  <c r="J4412" i="16"/>
  <c r="J4413" i="16"/>
  <c r="J4414" i="16"/>
  <c r="J4415" i="16"/>
  <c r="J4416" i="16"/>
  <c r="J4417" i="16"/>
  <c r="J4418" i="16"/>
  <c r="J4419" i="16"/>
  <c r="J4420" i="16"/>
  <c r="J4421" i="16"/>
  <c r="J4422" i="16"/>
  <c r="J4423" i="16"/>
  <c r="J4424" i="16"/>
  <c r="J4425" i="16"/>
  <c r="J4426" i="16"/>
  <c r="J4428" i="16"/>
  <c r="J4429" i="16"/>
  <c r="J4430" i="16"/>
  <c r="J4431" i="16"/>
  <c r="J4432" i="16"/>
  <c r="J4433" i="16"/>
  <c r="J4434" i="16"/>
  <c r="J4435" i="16"/>
  <c r="J4436" i="16"/>
  <c r="J4437" i="16"/>
  <c r="J4438" i="16"/>
  <c r="J4439" i="16"/>
  <c r="J4440" i="16"/>
  <c r="J4441" i="16"/>
  <c r="J4442" i="16"/>
  <c r="J4443" i="16"/>
  <c r="J4444" i="16"/>
  <c r="J4447" i="16"/>
  <c r="J4448" i="16"/>
  <c r="J4449" i="16"/>
  <c r="J4450" i="16"/>
  <c r="J4451" i="16"/>
  <c r="J4452" i="16"/>
  <c r="J4453" i="16"/>
  <c r="J4454" i="16"/>
  <c r="J4455" i="16"/>
  <c r="J4456" i="16"/>
  <c r="J4457" i="16"/>
  <c r="J4458" i="16"/>
  <c r="J4462" i="16"/>
  <c r="J4464" i="16"/>
  <c r="J4467" i="16"/>
  <c r="J4468" i="16"/>
  <c r="J4470" i="16"/>
  <c r="J4473" i="16"/>
  <c r="J4475" i="16"/>
  <c r="J4477" i="16"/>
  <c r="J4478" i="16"/>
  <c r="J4479" i="16"/>
  <c r="J4490" i="16"/>
  <c r="J4491" i="16"/>
  <c r="J4492" i="16"/>
  <c r="J4494" i="16"/>
  <c r="J4495" i="16"/>
  <c r="J4496" i="16"/>
  <c r="J4497" i="16"/>
  <c r="J4498" i="16"/>
  <c r="J4499" i="16"/>
  <c r="J4500" i="16"/>
  <c r="J4501" i="16"/>
  <c r="J4502" i="16"/>
  <c r="J4503" i="16"/>
  <c r="J4504" i="16"/>
  <c r="J4506" i="16"/>
  <c r="J4507" i="16"/>
  <c r="J4508" i="16"/>
  <c r="J4509" i="16"/>
  <c r="J4510" i="16"/>
  <c r="J4511" i="16"/>
  <c r="J4512" i="16"/>
  <c r="J4513" i="16"/>
  <c r="J4514" i="16"/>
  <c r="J4515" i="16"/>
  <c r="J4516" i="16"/>
  <c r="J4517" i="16"/>
  <c r="J4518" i="16"/>
  <c r="J4519" i="16"/>
  <c r="J4522" i="16"/>
  <c r="J4523" i="16"/>
  <c r="J4524" i="16"/>
  <c r="J4525" i="16"/>
  <c r="J4526" i="16"/>
  <c r="J4527" i="16"/>
  <c r="J4528" i="16"/>
  <c r="J4529" i="16"/>
  <c r="J4530" i="16"/>
  <c r="J4531" i="16"/>
  <c r="J4532" i="16"/>
  <c r="J4533" i="16"/>
  <c r="J4534" i="16"/>
  <c r="J4535" i="16"/>
  <c r="J4536" i="16"/>
  <c r="J4537" i="16"/>
  <c r="J4541" i="16"/>
  <c r="J4542" i="16"/>
  <c r="J4543" i="16"/>
  <c r="J4544" i="16"/>
  <c r="J4545" i="16"/>
  <c r="J4547" i="16"/>
  <c r="J4555" i="16"/>
  <c r="J4556" i="16"/>
  <c r="J4557" i="16"/>
  <c r="J4558" i="16"/>
  <c r="J4559" i="16"/>
  <c r="J4560" i="16"/>
  <c r="J4561" i="16"/>
  <c r="J4562" i="16"/>
  <c r="J4563" i="16"/>
  <c r="J4566" i="16"/>
  <c r="J4569" i="16"/>
  <c r="J4571" i="16"/>
  <c r="J4572" i="16"/>
  <c r="J4573" i="16"/>
  <c r="J4574" i="16"/>
  <c r="J4575" i="16"/>
  <c r="J4576" i="16"/>
  <c r="J4577" i="16"/>
  <c r="J4578" i="16"/>
  <c r="J4579" i="16"/>
  <c r="J4580" i="16"/>
  <c r="J4581" i="16"/>
  <c r="J4582" i="16"/>
  <c r="J4583" i="16"/>
  <c r="J4584" i="16"/>
  <c r="J4585" i="16"/>
  <c r="J4586" i="16"/>
  <c r="J4587" i="16"/>
  <c r="J4588" i="16"/>
  <c r="J4589" i="16"/>
  <c r="J4590" i="16"/>
  <c r="J4591" i="16"/>
  <c r="J4592" i="16"/>
  <c r="J4593" i="16"/>
  <c r="J4594" i="16"/>
  <c r="J4595" i="16"/>
  <c r="J4596" i="16"/>
  <c r="J4597" i="16"/>
  <c r="J4598" i="16"/>
  <c r="J4599" i="16"/>
  <c r="J4600" i="16"/>
  <c r="J4601" i="16"/>
  <c r="J4602" i="16"/>
  <c r="J4603" i="16"/>
  <c r="J4604" i="16"/>
  <c r="J4605" i="16"/>
  <c r="J4606" i="16"/>
  <c r="J4607" i="16"/>
  <c r="J4608" i="16"/>
  <c r="J4609" i="16"/>
  <c r="J4610" i="16"/>
  <c r="J4611" i="16"/>
  <c r="J4612" i="16"/>
  <c r="J4613" i="16"/>
  <c r="J4614" i="16"/>
  <c r="J4615" i="16"/>
  <c r="J4616" i="16"/>
  <c r="J4617" i="16"/>
  <c r="J4618" i="16"/>
  <c r="J4619" i="16"/>
  <c r="J4620" i="16"/>
  <c r="J4621" i="16"/>
  <c r="J4622" i="16"/>
  <c r="J4623" i="16"/>
  <c r="J4624" i="16"/>
  <c r="J4625" i="16"/>
  <c r="J4626" i="16"/>
  <c r="J4627" i="16"/>
  <c r="J4628" i="16"/>
  <c r="J4629" i="16"/>
  <c r="J4630" i="16"/>
  <c r="J4631" i="16"/>
  <c r="J4632" i="16"/>
  <c r="J4633" i="16"/>
  <c r="J4634" i="16"/>
  <c r="J4635" i="16"/>
  <c r="J4636" i="16"/>
  <c r="J4637" i="16"/>
  <c r="J4638" i="16"/>
  <c r="J4639" i="16"/>
  <c r="J4640" i="16"/>
  <c r="J4641" i="16"/>
  <c r="J4642" i="16"/>
  <c r="J4643" i="16"/>
  <c r="J4644" i="16"/>
  <c r="J4645" i="16"/>
  <c r="J4646" i="16"/>
  <c r="J4647" i="16"/>
  <c r="J4648" i="16"/>
  <c r="J4649" i="16"/>
  <c r="J4650" i="16"/>
  <c r="J4651" i="16"/>
  <c r="J4652" i="16"/>
  <c r="J4653" i="16"/>
  <c r="J4654" i="16"/>
  <c r="J4655" i="16"/>
  <c r="J4656" i="16"/>
  <c r="J4657" i="16"/>
  <c r="J4658" i="16"/>
  <c r="J4659" i="16"/>
  <c r="J4660" i="16"/>
  <c r="J4661" i="16"/>
  <c r="J4662" i="16"/>
  <c r="J4663" i="16"/>
  <c r="J4664" i="16"/>
  <c r="J4665" i="16"/>
  <c r="J4666" i="16"/>
  <c r="J4667" i="16"/>
  <c r="J4668" i="16"/>
  <c r="J4669" i="16"/>
  <c r="J4670" i="16"/>
  <c r="J4671" i="16"/>
  <c r="J4672" i="16"/>
  <c r="J4673" i="16"/>
  <c r="J4674" i="16"/>
  <c r="J4675" i="16"/>
  <c r="J4676" i="16"/>
  <c r="J4677" i="16"/>
  <c r="J4678" i="16"/>
  <c r="J4679" i="16"/>
  <c r="J4680" i="16"/>
  <c r="J4681" i="16"/>
  <c r="J4682" i="16"/>
  <c r="J4684" i="16"/>
  <c r="J4685" i="16"/>
  <c r="J4686" i="16"/>
  <c r="J4687" i="16"/>
  <c r="J4688" i="16"/>
  <c r="J4690" i="16"/>
  <c r="J4692" i="16"/>
  <c r="J4693" i="16"/>
  <c r="J4694" i="16"/>
  <c r="J4695" i="16"/>
  <c r="J4696" i="16"/>
  <c r="J4697" i="16"/>
  <c r="J4698" i="16"/>
  <c r="J4699" i="16"/>
  <c r="J4700" i="16"/>
  <c r="J4701" i="16"/>
  <c r="J4702" i="16"/>
  <c r="J4703" i="16"/>
  <c r="J4704" i="16"/>
  <c r="J4705" i="16"/>
  <c r="J4706" i="16"/>
  <c r="J4707" i="16"/>
  <c r="J4708" i="16"/>
  <c r="J4709" i="16"/>
  <c r="J4710" i="16"/>
  <c r="J4711" i="16"/>
  <c r="J4715" i="16"/>
  <c r="J4716" i="16"/>
  <c r="J4717" i="16"/>
  <c r="J4718" i="16"/>
  <c r="J4719" i="16"/>
  <c r="J4720" i="16"/>
  <c r="J4721" i="16"/>
  <c r="J4722" i="16"/>
  <c r="J4723" i="16"/>
  <c r="J4724" i="16"/>
  <c r="J4725" i="16"/>
  <c r="J4726" i="16"/>
  <c r="J4727" i="16"/>
  <c r="J4728" i="16"/>
  <c r="J4729" i="16"/>
  <c r="J4730" i="16"/>
  <c r="J4731" i="16"/>
  <c r="J4732" i="16"/>
  <c r="J4733" i="16"/>
  <c r="J4734" i="16"/>
  <c r="J4735" i="16"/>
  <c r="J4736" i="16"/>
  <c r="J4737" i="16"/>
  <c r="J4738" i="16"/>
  <c r="J4742" i="16"/>
  <c r="J4746" i="16"/>
  <c r="J4747" i="16"/>
  <c r="J4763" i="16"/>
  <c r="J4764" i="16"/>
  <c r="J4765" i="16"/>
  <c r="J4766" i="16"/>
  <c r="J4767" i="16"/>
  <c r="J4768" i="16"/>
  <c r="J4769" i="16"/>
  <c r="J4770" i="16"/>
  <c r="J4771" i="16"/>
  <c r="J4772" i="16"/>
  <c r="J4773" i="16"/>
  <c r="J4774" i="16"/>
  <c r="J4775" i="16"/>
  <c r="J4776" i="16"/>
  <c r="J4777" i="16"/>
  <c r="J4778" i="16"/>
  <c r="J4779" i="16"/>
  <c r="J4780" i="16"/>
  <c r="J4781" i="16"/>
  <c r="J4782" i="16"/>
  <c r="J4793" i="16"/>
  <c r="J4794" i="16"/>
  <c r="J4795" i="16"/>
  <c r="J4796" i="16"/>
  <c r="J4797" i="16"/>
  <c r="J4798" i="16"/>
  <c r="J4799" i="16"/>
  <c r="J4800" i="16"/>
  <c r="J4802" i="16"/>
  <c r="J4810" i="16"/>
  <c r="J4811" i="16"/>
  <c r="J4812" i="16"/>
  <c r="J4815" i="16"/>
  <c r="J4816" i="16"/>
  <c r="J4817" i="16"/>
  <c r="J4818" i="16"/>
  <c r="J4819" i="16"/>
  <c r="J4820" i="16"/>
  <c r="J4821" i="16"/>
  <c r="J4822" i="16"/>
  <c r="J4823" i="16"/>
  <c r="J4824" i="16"/>
  <c r="J4825" i="16"/>
  <c r="J4826" i="16"/>
  <c r="J4827" i="16"/>
  <c r="J4828" i="16"/>
  <c r="J4829" i="16"/>
  <c r="J4830" i="16"/>
  <c r="J4832" i="16"/>
  <c r="J4833" i="16"/>
  <c r="J4841" i="16"/>
  <c r="J4842" i="16"/>
  <c r="J4844" i="16"/>
  <c r="J4846" i="16"/>
  <c r="J4847" i="16"/>
  <c r="J4848" i="16"/>
  <c r="J4849" i="16"/>
  <c r="J4850" i="16"/>
  <c r="J4851" i="16"/>
  <c r="J4852" i="16"/>
  <c r="J4853" i="16"/>
  <c r="J4856" i="16"/>
  <c r="J4857" i="16"/>
  <c r="J4858" i="16"/>
  <c r="J4859" i="16"/>
  <c r="J4860" i="16"/>
  <c r="J4861" i="16"/>
  <c r="J4864" i="16"/>
  <c r="J4869" i="16"/>
  <c r="J4870" i="16"/>
  <c r="J4871" i="16"/>
  <c r="J4872" i="16"/>
  <c r="J4873" i="16"/>
  <c r="J4874" i="16"/>
  <c r="J4875" i="16"/>
  <c r="J4876" i="16"/>
  <c r="J4877" i="16"/>
  <c r="J4878" i="16"/>
  <c r="J4879" i="16"/>
  <c r="J4880" i="16"/>
  <c r="J4881" i="16"/>
  <c r="J4882" i="16"/>
  <c r="J4883" i="16"/>
  <c r="J4884" i="16"/>
  <c r="J4885" i="16"/>
  <c r="J4886" i="16"/>
  <c r="J4888" i="16"/>
  <c r="J4889" i="16"/>
  <c r="J4890" i="16"/>
  <c r="J4892" i="16"/>
  <c r="J4893" i="16"/>
  <c r="J4894" i="16"/>
  <c r="J4895" i="16"/>
  <c r="J4896" i="16"/>
  <c r="J4897" i="16"/>
  <c r="J4898" i="16"/>
  <c r="J4899" i="16"/>
  <c r="J4900" i="16"/>
  <c r="J4901" i="16"/>
  <c r="J4902" i="16"/>
  <c r="J4903" i="16"/>
  <c r="J4904" i="16"/>
  <c r="J4905" i="16"/>
  <c r="J4907" i="16"/>
  <c r="J4908" i="16"/>
  <c r="J4909" i="16"/>
  <c r="J4910" i="16"/>
  <c r="J4911" i="16"/>
  <c r="J4912" i="16"/>
  <c r="J4913" i="16"/>
  <c r="J4914" i="16"/>
  <c r="J4915" i="16"/>
  <c r="J4917" i="16"/>
  <c r="J4918" i="16"/>
  <c r="J4922" i="16"/>
  <c r="J4924" i="16"/>
  <c r="J4925" i="16"/>
  <c r="J4929" i="16"/>
  <c r="J4930" i="16"/>
  <c r="J4931" i="16"/>
  <c r="J4932" i="16"/>
  <c r="J4933" i="16"/>
  <c r="J4934" i="16"/>
  <c r="J4935" i="16"/>
  <c r="J4936" i="16"/>
  <c r="J4937" i="16"/>
  <c r="J4938" i="16"/>
  <c r="J4940" i="16"/>
  <c r="J4941" i="16"/>
  <c r="J4942" i="16"/>
  <c r="J4943" i="16"/>
  <c r="J4944" i="16"/>
  <c r="J4945" i="16"/>
  <c r="J4946" i="16"/>
  <c r="J4947" i="16"/>
  <c r="J4948" i="16"/>
  <c r="J4949" i="16"/>
  <c r="J4950" i="16"/>
  <c r="J4951" i="16"/>
  <c r="J4952" i="16"/>
  <c r="J4953" i="16"/>
  <c r="J4954" i="16"/>
  <c r="J4955" i="16"/>
  <c r="J4956" i="16"/>
  <c r="J4957" i="16"/>
  <c r="J4958" i="16"/>
  <c r="J4959" i="16"/>
  <c r="J4960" i="16"/>
  <c r="J4961" i="16"/>
  <c r="J4962" i="16"/>
  <c r="J4963" i="16"/>
  <c r="J4964" i="16"/>
  <c r="J4965" i="16"/>
  <c r="J4966" i="16"/>
  <c r="J4967" i="16"/>
  <c r="J4968" i="16"/>
  <c r="J4969" i="16"/>
  <c r="J4970" i="16"/>
  <c r="J4971" i="16"/>
  <c r="J4972" i="16"/>
  <c r="J4973" i="16"/>
  <c r="J4974" i="16"/>
  <c r="J4975" i="16"/>
  <c r="J4976" i="16"/>
  <c r="J4977" i="16"/>
  <c r="J4978" i="16"/>
  <c r="J4979" i="16"/>
  <c r="J4980" i="16"/>
  <c r="J4981" i="16"/>
  <c r="J4982" i="16"/>
  <c r="J4983" i="16"/>
  <c r="J4984" i="16"/>
  <c r="J4985" i="16"/>
  <c r="J4986" i="16"/>
  <c r="J4987" i="16"/>
  <c r="J4988" i="16"/>
  <c r="J4989" i="16"/>
  <c r="J4990" i="16"/>
  <c r="J4991" i="16"/>
  <c r="J4992" i="16"/>
  <c r="J4993" i="16"/>
  <c r="J4994" i="16"/>
  <c r="J4995" i="16"/>
  <c r="J4996" i="16"/>
  <c r="J4997" i="16"/>
  <c r="J4998" i="16"/>
  <c r="J4999" i="16"/>
  <c r="J5000" i="16"/>
  <c r="J5001" i="16"/>
  <c r="J5002" i="16"/>
  <c r="J5003" i="16"/>
  <c r="J5004" i="16"/>
  <c r="J5005" i="16"/>
  <c r="J5006" i="16"/>
  <c r="J5007" i="16"/>
  <c r="J5008" i="16"/>
  <c r="J5009" i="16"/>
  <c r="J5010" i="16"/>
  <c r="J5011" i="16"/>
  <c r="J5012" i="16"/>
  <c r="J5013" i="16"/>
  <c r="J5014" i="16"/>
  <c r="J5015" i="16"/>
  <c r="J5016" i="16"/>
  <c r="J5017" i="16"/>
  <c r="J5018" i="16"/>
  <c r="J5019" i="16"/>
  <c r="J5020" i="16"/>
  <c r="J5021" i="16"/>
  <c r="J5022" i="16"/>
  <c r="J5023" i="16"/>
  <c r="J5024" i="16"/>
  <c r="J5025" i="16"/>
  <c r="J5026" i="16"/>
  <c r="J5027" i="16"/>
  <c r="J5028" i="16"/>
  <c r="J5029" i="16"/>
  <c r="J5030" i="16"/>
  <c r="J5031" i="16"/>
  <c r="J5032" i="16"/>
  <c r="J5033" i="16"/>
  <c r="J5034" i="16"/>
  <c r="J5035" i="16"/>
  <c r="J5036" i="16"/>
  <c r="J5037" i="16"/>
  <c r="J5038" i="16"/>
  <c r="J5039" i="16"/>
  <c r="J5040" i="16"/>
  <c r="J5041" i="16"/>
  <c r="J5042" i="16"/>
  <c r="J5043" i="16"/>
  <c r="J5044" i="16"/>
  <c r="J5045" i="16"/>
  <c r="J5046" i="16"/>
  <c r="J5047" i="16"/>
  <c r="J5048" i="16"/>
  <c r="J5049" i="16"/>
  <c r="J5050" i="16"/>
  <c r="J5051" i="16"/>
  <c r="J5052" i="16"/>
  <c r="J5053" i="16"/>
  <c r="J5054" i="16"/>
  <c r="J5055" i="16"/>
  <c r="J5056" i="16"/>
  <c r="J5057" i="16"/>
  <c r="J5058" i="16"/>
  <c r="J5059" i="16"/>
  <c r="J5060" i="16"/>
  <c r="J5061" i="16"/>
  <c r="J5062" i="16"/>
  <c r="J5063" i="16"/>
  <c r="J5064" i="16"/>
  <c r="J5065" i="16"/>
  <c r="J5066" i="16"/>
  <c r="J5067" i="16"/>
  <c r="J5068" i="16"/>
  <c r="J5069" i="16"/>
  <c r="J5070" i="16"/>
  <c r="J5071" i="16"/>
  <c r="J5072" i="16"/>
  <c r="J5073" i="16"/>
  <c r="J5074" i="16"/>
  <c r="J5075" i="16"/>
  <c r="J5076" i="16"/>
  <c r="J5077" i="16"/>
  <c r="J5078" i="16"/>
  <c r="J5079" i="16"/>
  <c r="J5080" i="16"/>
  <c r="J5081" i="16"/>
  <c r="J5082" i="16"/>
  <c r="J5083" i="16"/>
  <c r="J5084" i="16"/>
  <c r="J5085" i="16"/>
  <c r="J5086" i="16"/>
  <c r="J5087" i="16"/>
  <c r="J5088" i="16"/>
  <c r="J5089" i="16"/>
  <c r="J5090" i="16"/>
  <c r="J5091" i="16"/>
  <c r="J5092" i="16"/>
  <c r="J5093" i="16"/>
  <c r="J5094" i="16"/>
  <c r="J5095" i="16"/>
  <c r="J5096" i="16"/>
  <c r="J5097" i="16"/>
  <c r="J5098" i="16"/>
  <c r="J5099" i="16"/>
  <c r="J5100" i="16"/>
  <c r="J5101" i="16"/>
  <c r="J5102" i="16"/>
  <c r="J5103" i="16"/>
  <c r="J5104" i="16"/>
  <c r="J5105" i="16"/>
  <c r="J5106" i="16"/>
  <c r="J5107" i="16"/>
  <c r="J5108" i="16"/>
  <c r="J5109" i="16"/>
  <c r="J5110" i="16"/>
  <c r="J5111" i="16"/>
  <c r="J5112" i="16"/>
  <c r="J5113" i="16"/>
  <c r="J5114" i="16"/>
  <c r="J5115" i="16"/>
  <c r="J5116" i="16"/>
  <c r="J5117" i="16"/>
  <c r="J5118" i="16"/>
  <c r="J5119" i="16"/>
  <c r="J5120" i="16"/>
  <c r="J5121" i="16"/>
  <c r="J5122" i="16"/>
  <c r="J5123" i="16"/>
  <c r="J5124" i="16"/>
  <c r="J5125" i="16"/>
  <c r="J5126" i="16"/>
  <c r="J5127" i="16"/>
  <c r="J5128" i="16"/>
  <c r="J5129" i="16"/>
  <c r="J5130" i="16"/>
  <c r="J5131" i="16"/>
  <c r="J5132" i="16"/>
  <c r="J5133" i="16"/>
  <c r="J5134" i="16"/>
  <c r="J5135" i="16"/>
  <c r="J5136" i="16"/>
  <c r="J5137" i="16"/>
  <c r="J5138" i="16"/>
  <c r="J5139" i="16"/>
  <c r="J5140" i="16"/>
  <c r="J5141" i="16"/>
  <c r="J5142" i="16"/>
  <c r="J5143" i="16"/>
  <c r="J5144" i="16"/>
  <c r="J5145" i="16"/>
  <c r="J5146" i="16"/>
  <c r="J5147" i="16"/>
  <c r="J5148" i="16"/>
  <c r="J5149" i="16"/>
  <c r="J5150" i="16"/>
  <c r="J5151" i="16"/>
  <c r="J5152" i="16"/>
  <c r="J5153" i="16"/>
  <c r="J5154" i="16"/>
  <c r="J5155" i="16"/>
  <c r="J5156" i="16"/>
  <c r="J5157" i="16"/>
  <c r="J5158" i="16"/>
  <c r="J5159" i="16"/>
  <c r="J5160" i="16"/>
  <c r="J5161" i="16"/>
  <c r="J5162" i="16"/>
  <c r="J5163" i="16"/>
  <c r="J5164" i="16"/>
  <c r="J5165" i="16"/>
  <c r="J5166" i="16"/>
  <c r="J5167" i="16"/>
  <c r="J5168" i="16"/>
  <c r="J5169" i="16"/>
  <c r="J5170" i="16"/>
  <c r="J5171" i="16"/>
  <c r="J5172" i="16"/>
  <c r="J5173" i="16"/>
  <c r="J5174" i="16"/>
  <c r="J5175" i="16"/>
  <c r="J5176" i="16"/>
  <c r="J5177" i="16"/>
  <c r="J5178" i="16"/>
  <c r="J5179" i="16"/>
  <c r="J5180" i="16"/>
  <c r="J5181" i="16"/>
  <c r="J5182" i="16"/>
  <c r="J5183" i="16"/>
  <c r="J5184" i="16"/>
  <c r="J5185" i="16"/>
  <c r="J5186" i="16"/>
  <c r="J5187" i="16"/>
  <c r="J5188" i="16"/>
  <c r="J5189" i="16"/>
  <c r="J5190" i="16"/>
  <c r="J5191" i="16"/>
  <c r="J5192" i="16"/>
  <c r="J5193" i="16"/>
  <c r="J5194" i="16"/>
  <c r="J5195" i="16"/>
  <c r="J5196" i="16"/>
  <c r="J5197" i="16"/>
  <c r="J5198" i="16"/>
  <c r="J5199" i="16"/>
  <c r="J5200" i="16"/>
  <c r="J5201" i="16"/>
  <c r="J5202" i="16"/>
  <c r="J5203" i="16"/>
  <c r="J5204" i="16"/>
  <c r="J5205" i="16"/>
  <c r="J5206" i="16"/>
  <c r="J5207" i="16"/>
  <c r="J5208" i="16"/>
  <c r="J5209" i="16"/>
  <c r="J5210" i="16"/>
  <c r="J5211" i="16"/>
  <c r="J5212" i="16"/>
  <c r="J5213" i="16"/>
  <c r="J5214" i="16"/>
  <c r="J5215" i="16"/>
  <c r="J5216" i="16"/>
  <c r="J5217" i="16"/>
  <c r="J5218" i="16"/>
  <c r="J5219" i="16"/>
  <c r="J5220" i="16"/>
  <c r="J5221" i="16"/>
  <c r="J5222" i="16"/>
  <c r="J5223" i="16"/>
  <c r="J5224" i="16"/>
  <c r="J5225" i="16"/>
  <c r="J5226" i="16"/>
  <c r="J5227" i="16"/>
  <c r="J5228" i="16"/>
  <c r="J5229" i="16"/>
  <c r="J5230" i="16"/>
  <c r="J5231" i="16"/>
  <c r="J5232" i="16"/>
  <c r="J5233" i="16"/>
  <c r="J5234" i="16"/>
  <c r="J5235" i="16"/>
  <c r="J5236" i="16"/>
  <c r="J5237" i="16"/>
  <c r="J5238" i="16"/>
  <c r="J5239" i="16"/>
  <c r="J5240" i="16"/>
  <c r="J5241" i="16"/>
  <c r="J5242" i="16"/>
  <c r="J5243" i="16"/>
  <c r="J5244" i="16"/>
  <c r="J5245" i="16"/>
  <c r="J5246" i="16"/>
  <c r="J5247" i="16"/>
  <c r="J5248" i="16"/>
  <c r="J5249" i="16"/>
  <c r="J5250" i="16"/>
  <c r="J5251" i="16"/>
  <c r="J5252" i="16"/>
  <c r="J5253" i="16"/>
  <c r="J5254" i="16"/>
  <c r="J5255" i="16"/>
  <c r="J5256" i="16"/>
  <c r="J5257" i="16"/>
  <c r="J5258" i="16"/>
  <c r="J5259" i="16"/>
  <c r="J5260" i="16"/>
  <c r="J5261" i="16"/>
  <c r="J5262" i="16"/>
  <c r="J5263" i="16"/>
  <c r="J5264" i="16"/>
  <c r="J5265" i="16"/>
  <c r="J5266" i="16"/>
  <c r="J5267" i="16"/>
  <c r="J5268" i="16"/>
  <c r="J5269" i="16"/>
  <c r="J5270" i="16"/>
  <c r="J5271" i="16"/>
  <c r="J5272" i="16"/>
  <c r="J5273" i="16"/>
  <c r="J5274" i="16"/>
  <c r="J5275" i="16"/>
  <c r="J5276" i="16"/>
  <c r="J5277" i="16"/>
  <c r="J5278" i="16"/>
  <c r="J5279" i="16"/>
  <c r="J5280" i="16"/>
  <c r="J5281" i="16"/>
  <c r="J5282" i="16"/>
  <c r="J5283" i="16"/>
  <c r="J5284" i="16"/>
  <c r="J5285" i="16"/>
  <c r="J5286" i="16"/>
  <c r="J5287" i="16"/>
  <c r="J5288" i="16"/>
  <c r="J5289" i="16"/>
  <c r="J5290" i="16"/>
  <c r="J5291" i="16"/>
  <c r="J5292" i="16"/>
  <c r="J5293" i="16"/>
  <c r="J5294" i="16"/>
  <c r="J5295" i="16"/>
  <c r="J5296" i="16"/>
  <c r="J5297" i="16"/>
  <c r="J5298" i="16"/>
  <c r="J5299" i="16"/>
  <c r="J5300" i="16"/>
  <c r="J5301" i="16"/>
  <c r="J5302" i="16"/>
  <c r="J5303" i="16"/>
  <c r="J5304" i="16"/>
  <c r="J5305" i="16"/>
  <c r="J5306" i="16"/>
  <c r="J5307" i="16"/>
  <c r="J5308" i="16"/>
  <c r="J5309" i="16"/>
  <c r="J5310" i="16"/>
  <c r="J5311" i="16"/>
  <c r="J5312" i="16"/>
  <c r="J5313" i="16"/>
  <c r="J5314" i="16"/>
  <c r="J5315" i="16"/>
  <c r="J5316" i="16"/>
  <c r="J5317" i="16"/>
  <c r="J5318" i="16"/>
  <c r="J5319" i="16"/>
  <c r="J5320" i="16"/>
  <c r="J5321" i="16"/>
  <c r="J5322" i="16"/>
  <c r="J5323" i="16"/>
  <c r="J5324" i="16"/>
  <c r="J5325" i="16"/>
  <c r="J5326" i="16"/>
  <c r="J5327" i="16"/>
  <c r="J5328" i="16"/>
  <c r="J5329" i="16"/>
  <c r="J5330" i="16"/>
  <c r="J5331" i="16"/>
  <c r="J5332" i="16"/>
  <c r="J5333" i="16"/>
  <c r="J5334" i="16"/>
  <c r="J5335" i="16"/>
  <c r="J5336" i="16"/>
  <c r="J5337" i="16"/>
  <c r="J5338" i="16"/>
  <c r="J5339" i="16"/>
  <c r="J5340" i="16"/>
  <c r="J5341" i="16"/>
  <c r="J5342" i="16"/>
  <c r="J5343" i="16"/>
  <c r="J5344" i="16"/>
  <c r="J5345" i="16"/>
  <c r="J5346" i="16"/>
  <c r="J5347" i="16"/>
  <c r="J5348" i="16"/>
  <c r="J5349" i="16"/>
  <c r="J5350" i="16"/>
  <c r="J5351" i="16"/>
  <c r="J5352" i="16"/>
  <c r="J5353" i="16"/>
  <c r="J5354" i="16"/>
  <c r="J5355" i="16"/>
  <c r="J5356" i="16"/>
  <c r="J5357" i="16"/>
  <c r="J5358" i="16"/>
  <c r="J5359" i="16"/>
  <c r="J5360" i="16"/>
  <c r="J5361" i="16"/>
  <c r="J5362" i="16"/>
  <c r="J5363" i="16"/>
  <c r="J5364" i="16"/>
  <c r="J5365" i="16"/>
  <c r="J5366" i="16"/>
  <c r="J5367" i="16"/>
  <c r="J5368" i="16"/>
  <c r="J5369" i="16"/>
  <c r="J5370" i="16"/>
  <c r="J5371" i="16"/>
  <c r="J5372" i="16"/>
  <c r="J5373" i="16"/>
  <c r="J5374" i="16"/>
  <c r="J5375" i="16"/>
  <c r="J5376" i="16"/>
  <c r="J5377" i="16"/>
  <c r="J5378" i="16"/>
  <c r="J5379" i="16"/>
  <c r="J5380" i="16"/>
  <c r="J5381" i="16"/>
  <c r="J5382" i="16"/>
  <c r="J5383" i="16"/>
  <c r="J5384" i="16"/>
  <c r="J5385" i="16"/>
  <c r="J5386" i="16"/>
  <c r="J5387" i="16"/>
  <c r="J5388" i="16"/>
  <c r="J5389" i="16"/>
  <c r="J5390" i="16"/>
  <c r="J5391" i="16"/>
  <c r="J5392" i="16"/>
  <c r="J5393" i="16"/>
  <c r="J5394" i="16"/>
  <c r="J5395" i="16"/>
  <c r="J5396" i="16"/>
  <c r="J5397" i="16"/>
  <c r="J5398" i="16"/>
  <c r="J5399" i="16"/>
  <c r="J5400" i="16"/>
  <c r="J5401" i="16"/>
  <c r="J5402" i="16"/>
  <c r="J5403" i="16"/>
  <c r="J5404" i="16"/>
  <c r="J5405" i="16"/>
  <c r="J5406" i="16"/>
  <c r="J5407" i="16"/>
  <c r="J5408" i="16"/>
  <c r="J5409" i="16"/>
  <c r="J5410" i="16"/>
  <c r="J5411" i="16"/>
  <c r="J5412" i="16"/>
  <c r="J5413" i="16"/>
  <c r="J5414" i="16"/>
  <c r="J5415" i="16"/>
  <c r="J5416" i="16"/>
  <c r="J5417" i="16"/>
  <c r="J5418" i="16"/>
  <c r="J5419" i="16"/>
  <c r="J5420" i="16"/>
  <c r="J5421" i="16"/>
  <c r="J5422" i="16"/>
  <c r="J5423" i="16"/>
  <c r="J5424" i="16"/>
  <c r="J5425" i="16"/>
  <c r="J5426" i="16"/>
  <c r="J5427" i="16"/>
  <c r="J5428" i="16"/>
  <c r="J5429" i="16"/>
  <c r="J5430" i="16"/>
  <c r="J5431" i="16"/>
  <c r="J5432" i="16"/>
  <c r="J5433" i="16"/>
  <c r="J5434" i="16"/>
  <c r="J5435" i="16"/>
  <c r="J5436" i="16"/>
  <c r="J5437" i="16"/>
  <c r="J5438" i="16"/>
  <c r="J5439" i="16"/>
  <c r="J5440" i="16"/>
  <c r="J5441" i="16"/>
  <c r="J5442" i="16"/>
  <c r="J5443" i="16"/>
  <c r="J5444" i="16"/>
  <c r="J5445" i="16"/>
  <c r="J5446" i="16"/>
  <c r="J5447" i="16"/>
  <c r="J5448" i="16"/>
  <c r="J5449" i="16"/>
  <c r="J5450" i="16"/>
  <c r="J5451" i="16"/>
  <c r="J5452" i="16"/>
  <c r="J5453" i="16"/>
  <c r="J5454" i="16"/>
  <c r="J5455" i="16"/>
  <c r="J5456" i="16"/>
  <c r="J5457" i="16"/>
  <c r="J5458" i="16"/>
  <c r="J5459" i="16"/>
  <c r="J5460" i="16"/>
  <c r="J5461" i="16"/>
  <c r="J5462" i="16"/>
  <c r="J5463" i="16"/>
  <c r="J5464" i="16"/>
  <c r="J5465" i="16"/>
  <c r="J5466" i="16"/>
  <c r="J5467" i="16"/>
  <c r="J5468" i="16"/>
  <c r="J5469" i="16"/>
  <c r="J5470" i="16"/>
  <c r="J5471" i="16"/>
  <c r="J5472" i="16"/>
  <c r="J5473" i="16"/>
  <c r="J5474" i="16"/>
  <c r="J5475" i="16"/>
  <c r="J5476" i="16"/>
  <c r="J5477" i="16"/>
  <c r="J5478" i="16"/>
  <c r="J5479" i="16"/>
  <c r="J5480" i="16"/>
  <c r="J5481" i="16"/>
  <c r="J5482" i="16"/>
  <c r="J5483" i="16"/>
  <c r="J5484" i="16"/>
  <c r="J5485" i="16"/>
  <c r="J5486" i="16"/>
  <c r="J5487" i="16"/>
  <c r="J5488" i="16"/>
  <c r="J5489" i="16"/>
  <c r="J5490" i="16"/>
  <c r="J5491" i="16"/>
  <c r="J5492" i="16"/>
  <c r="J5493" i="16"/>
  <c r="J5494" i="16"/>
  <c r="J5495" i="16"/>
  <c r="J5496" i="16"/>
  <c r="J5497" i="16"/>
  <c r="J5498" i="16"/>
  <c r="J5499" i="16"/>
  <c r="J5500" i="16"/>
  <c r="J5501" i="16"/>
  <c r="J5502" i="16"/>
  <c r="J5503" i="16"/>
  <c r="J5504" i="16"/>
  <c r="J5505" i="16"/>
  <c r="J5506" i="16"/>
  <c r="J5507" i="16"/>
  <c r="J5508" i="16"/>
  <c r="J5509" i="16"/>
  <c r="J5510" i="16"/>
  <c r="J5511" i="16"/>
  <c r="J5512" i="16"/>
  <c r="J5513" i="16"/>
  <c r="J5514" i="16"/>
  <c r="J5515" i="16"/>
  <c r="J5516" i="16"/>
  <c r="J5517" i="16"/>
  <c r="J5518" i="16"/>
  <c r="J5519" i="16"/>
  <c r="J5520" i="16"/>
  <c r="J5521" i="16"/>
  <c r="J5522" i="16"/>
  <c r="J5523" i="16"/>
  <c r="J5524" i="16"/>
  <c r="J5525" i="16"/>
  <c r="J5526" i="16"/>
  <c r="J5527" i="16"/>
  <c r="J5528" i="16"/>
  <c r="J5529" i="16"/>
  <c r="J5530" i="16"/>
  <c r="J5531" i="16"/>
  <c r="J5532" i="16"/>
  <c r="J5533" i="16"/>
  <c r="J5534" i="16"/>
  <c r="J5535" i="16"/>
  <c r="J5536" i="16"/>
  <c r="J5537" i="16"/>
  <c r="J5538" i="16"/>
  <c r="J5539" i="16"/>
  <c r="J5540" i="16"/>
  <c r="J5541" i="16"/>
  <c r="J5542" i="16"/>
  <c r="J5543" i="16"/>
  <c r="J5544" i="16"/>
  <c r="J5545" i="16"/>
  <c r="J5546" i="16"/>
  <c r="J5547" i="16"/>
  <c r="J5548" i="16"/>
  <c r="J5549" i="16"/>
  <c r="J5550" i="16"/>
  <c r="J5551" i="16"/>
  <c r="J5552" i="16"/>
  <c r="J5553" i="16"/>
  <c r="J5554" i="16"/>
  <c r="J5555" i="16"/>
  <c r="J5556" i="16"/>
  <c r="J5557" i="16"/>
  <c r="J5558" i="16"/>
  <c r="J5559" i="16"/>
  <c r="J5560" i="16"/>
  <c r="J5561" i="16"/>
  <c r="J5562" i="16"/>
  <c r="J5563" i="16"/>
  <c r="J5564" i="16"/>
  <c r="J5565" i="16"/>
  <c r="J5566" i="16"/>
  <c r="J5567" i="16"/>
  <c r="J5568" i="16"/>
  <c r="J5569" i="16"/>
  <c r="J5570" i="16"/>
  <c r="J5571" i="16"/>
  <c r="J5572" i="16"/>
  <c r="J5573" i="16"/>
  <c r="J5574" i="16"/>
  <c r="J5575" i="16"/>
  <c r="J5576" i="16"/>
  <c r="J5577" i="16"/>
  <c r="J5578" i="16"/>
  <c r="J5579" i="16"/>
  <c r="J5580" i="16"/>
  <c r="J5581" i="16"/>
  <c r="J5582" i="16"/>
  <c r="J5583" i="16"/>
  <c r="J5584" i="16"/>
  <c r="J5585" i="16"/>
  <c r="J5586" i="16"/>
  <c r="J5587" i="16"/>
  <c r="J5588" i="16"/>
  <c r="J5589" i="16"/>
  <c r="J5590" i="16"/>
  <c r="J5591" i="16"/>
  <c r="J5592" i="16"/>
  <c r="J5593" i="16"/>
  <c r="J5594" i="16"/>
  <c r="J5595" i="16"/>
  <c r="J5596" i="16"/>
  <c r="J5597" i="16"/>
  <c r="J5598" i="16"/>
  <c r="J5599" i="16"/>
  <c r="J5600" i="16"/>
  <c r="J5601" i="16"/>
  <c r="J5602" i="16"/>
  <c r="J5603" i="16"/>
  <c r="J5604" i="16"/>
  <c r="J5605" i="16"/>
  <c r="J5606" i="16"/>
  <c r="J5607" i="16"/>
  <c r="J5608" i="16"/>
  <c r="J5609" i="16"/>
  <c r="J5610" i="16"/>
  <c r="J5611" i="16"/>
  <c r="J5612" i="16"/>
  <c r="J5613" i="16"/>
  <c r="J5614" i="16"/>
  <c r="J5615" i="16"/>
  <c r="J5616" i="16"/>
  <c r="J5617" i="16"/>
  <c r="J5618" i="16"/>
  <c r="J5619" i="16"/>
  <c r="J5620" i="16"/>
  <c r="J5621" i="16"/>
  <c r="J5622" i="16"/>
  <c r="J5623" i="16"/>
  <c r="J5624" i="16"/>
  <c r="J5625" i="16"/>
  <c r="J5626" i="16"/>
  <c r="J5627" i="16"/>
  <c r="J5628" i="16"/>
  <c r="J5629" i="16"/>
  <c r="J5630" i="16"/>
  <c r="J5631" i="16"/>
  <c r="J5632" i="16"/>
  <c r="J5633" i="16"/>
  <c r="J5634" i="16"/>
  <c r="J5635" i="16"/>
  <c r="J5636" i="16"/>
  <c r="J5637" i="16"/>
  <c r="J5638" i="16"/>
  <c r="J5639" i="16"/>
  <c r="J5640" i="16"/>
  <c r="J5641" i="16"/>
  <c r="J5642" i="16"/>
  <c r="J5643" i="16"/>
  <c r="J5644" i="16"/>
  <c r="J5645" i="16"/>
  <c r="J5646" i="16"/>
  <c r="J5647" i="16"/>
  <c r="J5648" i="16"/>
  <c r="J5649" i="16"/>
  <c r="J5650" i="16"/>
  <c r="J5651" i="16"/>
  <c r="J5652" i="16"/>
  <c r="J5653" i="16"/>
  <c r="J5654" i="16"/>
  <c r="J5655" i="16"/>
  <c r="J5656" i="16"/>
  <c r="J5657" i="16"/>
  <c r="J5658" i="16"/>
  <c r="J5659" i="16"/>
  <c r="J5660" i="16"/>
  <c r="J5661" i="16"/>
  <c r="J5662" i="16"/>
  <c r="J5663" i="16"/>
  <c r="J5664" i="16"/>
  <c r="J5665" i="16"/>
  <c r="J5666" i="16"/>
  <c r="J5667" i="16"/>
  <c r="J5668" i="16"/>
  <c r="J5669" i="16"/>
  <c r="J5670" i="16"/>
  <c r="J5671" i="16"/>
  <c r="J5672" i="16"/>
  <c r="J5673" i="16"/>
  <c r="J5674" i="16"/>
  <c r="J5675" i="16"/>
  <c r="J5676" i="16"/>
  <c r="J5677" i="16"/>
  <c r="J5678" i="16"/>
  <c r="J5679" i="16"/>
  <c r="J5680" i="16"/>
  <c r="J5681" i="16"/>
  <c r="J5682" i="16"/>
  <c r="J5683" i="16"/>
  <c r="J5684" i="16"/>
  <c r="J5685" i="16"/>
  <c r="J5686" i="16"/>
  <c r="J5687" i="16"/>
  <c r="J5688" i="16"/>
  <c r="J5689" i="16"/>
  <c r="J5690" i="16"/>
  <c r="J5691" i="16"/>
  <c r="J5692" i="16"/>
  <c r="J5693" i="16"/>
  <c r="J5694" i="16"/>
  <c r="J5695" i="16"/>
  <c r="J5696" i="16"/>
  <c r="J5697" i="16"/>
  <c r="J5698" i="16"/>
  <c r="J5699" i="16"/>
  <c r="J5700" i="16"/>
  <c r="J5701" i="16"/>
  <c r="J5702" i="16"/>
  <c r="J5703" i="16"/>
  <c r="J5704" i="16"/>
  <c r="J5705" i="16"/>
  <c r="J5706" i="16"/>
  <c r="J5707" i="16"/>
  <c r="J5708" i="16"/>
  <c r="J5709" i="16"/>
  <c r="J5710" i="16"/>
  <c r="J5711" i="16"/>
  <c r="J5712" i="16"/>
  <c r="J5713" i="16"/>
  <c r="J5714" i="16"/>
  <c r="J5715" i="16"/>
  <c r="J5716" i="16"/>
  <c r="J5717" i="16"/>
  <c r="J5718" i="16"/>
  <c r="J5719" i="16"/>
  <c r="J5720" i="16"/>
  <c r="J5721" i="16"/>
  <c r="J5722" i="16"/>
  <c r="J5723" i="16"/>
  <c r="J5724" i="16"/>
  <c r="J5725" i="16"/>
  <c r="J5726" i="16"/>
  <c r="J5727" i="16"/>
  <c r="J5728" i="16"/>
  <c r="J5729" i="16"/>
  <c r="J5730" i="16"/>
  <c r="J5731" i="16"/>
  <c r="J5732" i="16"/>
  <c r="J5733" i="16"/>
  <c r="J5734" i="16"/>
  <c r="J5735" i="16"/>
  <c r="J5736" i="16"/>
  <c r="J5737" i="16"/>
  <c r="J5738" i="16"/>
  <c r="J5739" i="16"/>
  <c r="J5740" i="16"/>
  <c r="J5741" i="16"/>
  <c r="J5742" i="16"/>
  <c r="J5743" i="16"/>
  <c r="J5744" i="16"/>
  <c r="J5745" i="16"/>
  <c r="J5746" i="16"/>
  <c r="J5747" i="16"/>
  <c r="J5748" i="16"/>
  <c r="J5749" i="16"/>
  <c r="J5750" i="16"/>
  <c r="J5751" i="16"/>
  <c r="J5752" i="16"/>
  <c r="J5753" i="16"/>
  <c r="J5754" i="16"/>
  <c r="J5755" i="16"/>
  <c r="J5756" i="16"/>
  <c r="J5757" i="16"/>
  <c r="J5758" i="16"/>
  <c r="J5759" i="16"/>
  <c r="J5760" i="16"/>
  <c r="J5761" i="16"/>
  <c r="J5762" i="16"/>
  <c r="J5763" i="16"/>
  <c r="J5764" i="16"/>
  <c r="J5765" i="16"/>
  <c r="J5766" i="16"/>
  <c r="J5767" i="16"/>
  <c r="J5768" i="16"/>
  <c r="J5769" i="16"/>
  <c r="J5770" i="16"/>
  <c r="J5771" i="16"/>
  <c r="J5772" i="16"/>
  <c r="J5773" i="16"/>
  <c r="J5774" i="16"/>
  <c r="J5775" i="16"/>
  <c r="J5776" i="16"/>
  <c r="J5777" i="16"/>
  <c r="J5778" i="16"/>
  <c r="J5779" i="16"/>
  <c r="J5780" i="16"/>
  <c r="J5781" i="16"/>
  <c r="J5782" i="16"/>
  <c r="J5783" i="16"/>
  <c r="J5784" i="16"/>
  <c r="J5785" i="16"/>
  <c r="J5786" i="16"/>
  <c r="J5787" i="16"/>
  <c r="J5788" i="16"/>
  <c r="J5789" i="16"/>
  <c r="J5790" i="16"/>
  <c r="J5791" i="16"/>
  <c r="J5792" i="16"/>
  <c r="J5793" i="16"/>
  <c r="J5794" i="16"/>
  <c r="J5795" i="16"/>
  <c r="J5796" i="16"/>
  <c r="J5797" i="16"/>
  <c r="J5798" i="16"/>
  <c r="J5799" i="16"/>
  <c r="J5800" i="16"/>
  <c r="J5801" i="16"/>
  <c r="J5802" i="16"/>
  <c r="J5803" i="16"/>
  <c r="J5804" i="16"/>
  <c r="J5805" i="16"/>
  <c r="J5806" i="16"/>
  <c r="J5807" i="16"/>
  <c r="J5808" i="16"/>
  <c r="J5809" i="16"/>
  <c r="J5810" i="16"/>
  <c r="J5811" i="16"/>
  <c r="J5812" i="16"/>
  <c r="J5813" i="16"/>
  <c r="J5814" i="16"/>
  <c r="J5815" i="16"/>
  <c r="J5816" i="16"/>
  <c r="J5817" i="16"/>
  <c r="J5818" i="16"/>
  <c r="J5819" i="16"/>
  <c r="J5820" i="16"/>
  <c r="J5821" i="16"/>
  <c r="J5822" i="16"/>
  <c r="J5823" i="16"/>
  <c r="J5824" i="16"/>
  <c r="J5825" i="16"/>
  <c r="J5826" i="16"/>
  <c r="J5827" i="16"/>
  <c r="J5828" i="16"/>
  <c r="J5829" i="16"/>
  <c r="J5830" i="16"/>
  <c r="J5831" i="16"/>
  <c r="J5832" i="16"/>
  <c r="J5833" i="16"/>
  <c r="J5834" i="16"/>
  <c r="J5835" i="16"/>
  <c r="J5836" i="16"/>
  <c r="J5837" i="16"/>
  <c r="J5838" i="16"/>
  <c r="J5839" i="16"/>
  <c r="J5840" i="16"/>
  <c r="J5841" i="16"/>
  <c r="J5842" i="16"/>
  <c r="J5843" i="16"/>
  <c r="J5844" i="16"/>
  <c r="J5845" i="16"/>
  <c r="J5846" i="16"/>
  <c r="J5847" i="16"/>
  <c r="J5848" i="16"/>
  <c r="J5849" i="16"/>
  <c r="J5850" i="16"/>
  <c r="J5851" i="16"/>
  <c r="J5852" i="16"/>
  <c r="J5853" i="16"/>
  <c r="J5854" i="16"/>
  <c r="J5855" i="16"/>
  <c r="J5856" i="16"/>
  <c r="J5857" i="16"/>
  <c r="J5858" i="16"/>
  <c r="J5859" i="16"/>
  <c r="J5860" i="16"/>
  <c r="J5861" i="16"/>
  <c r="J5862" i="16"/>
  <c r="J5863" i="16"/>
  <c r="J5864" i="16"/>
  <c r="J5865" i="16"/>
  <c r="J5866" i="16"/>
  <c r="J5867" i="16"/>
  <c r="J5868" i="16"/>
  <c r="J5869" i="16"/>
  <c r="J5870" i="16"/>
  <c r="J5871" i="16"/>
  <c r="J5872" i="16"/>
  <c r="J5873" i="16"/>
  <c r="J5874" i="16"/>
  <c r="J5875" i="16"/>
  <c r="J5876" i="16"/>
  <c r="J5877" i="16"/>
  <c r="J5878" i="16"/>
  <c r="J5879" i="16"/>
  <c r="J5880" i="16"/>
  <c r="J5881" i="16"/>
  <c r="J5882" i="16"/>
  <c r="J5883" i="16"/>
  <c r="J5884" i="16"/>
  <c r="J5885" i="16"/>
  <c r="J5886" i="16"/>
  <c r="J5887" i="16"/>
  <c r="J5888" i="16"/>
  <c r="J5889" i="16"/>
  <c r="J5890" i="16"/>
  <c r="J5891" i="16"/>
  <c r="J5892" i="16"/>
  <c r="J5893" i="16"/>
  <c r="J5894" i="16"/>
  <c r="J5895" i="16"/>
  <c r="J5896" i="16"/>
  <c r="J5897" i="16"/>
  <c r="J5898" i="16"/>
  <c r="J5899" i="16"/>
  <c r="J5900" i="16"/>
  <c r="J5901" i="16"/>
  <c r="J5902" i="16"/>
  <c r="J5903" i="16"/>
  <c r="J5904" i="16"/>
  <c r="J5905" i="16"/>
  <c r="J5906" i="16"/>
  <c r="J5907" i="16"/>
  <c r="J5908" i="16"/>
  <c r="J5909" i="16"/>
  <c r="J5910" i="16"/>
  <c r="J5911" i="16"/>
  <c r="J5912" i="16"/>
  <c r="J5913" i="16"/>
  <c r="J5914" i="16"/>
  <c r="J5915" i="16"/>
  <c r="J5916" i="16"/>
  <c r="J5917" i="16"/>
  <c r="J5918" i="16"/>
  <c r="J5919" i="16"/>
  <c r="J5920" i="16"/>
  <c r="J5921" i="16"/>
  <c r="J5922" i="16"/>
  <c r="J5923" i="16"/>
  <c r="J5924" i="16"/>
  <c r="J5925" i="16"/>
  <c r="J5926" i="16"/>
  <c r="J5927" i="16"/>
  <c r="J5928" i="16"/>
  <c r="J5929" i="16"/>
  <c r="J5930" i="16"/>
  <c r="J5931" i="16"/>
  <c r="J5932" i="16"/>
  <c r="J5933" i="16"/>
  <c r="J5934" i="16"/>
  <c r="J5935" i="16"/>
  <c r="J5936" i="16"/>
  <c r="J5937" i="16"/>
  <c r="J5938" i="16"/>
  <c r="J5939" i="16"/>
  <c r="J5940" i="16"/>
  <c r="J5941" i="16"/>
  <c r="J5942" i="16"/>
  <c r="J5943" i="16"/>
  <c r="J5944" i="16"/>
  <c r="J5945" i="16"/>
  <c r="J5946" i="16"/>
  <c r="J5947" i="16"/>
  <c r="J5948" i="16"/>
  <c r="J5949" i="16"/>
  <c r="J5950" i="16"/>
  <c r="J5951" i="16"/>
  <c r="J5952" i="16"/>
  <c r="J5953" i="16"/>
  <c r="J5954" i="16"/>
  <c r="J5955" i="16"/>
  <c r="J5956" i="16"/>
  <c r="J5957" i="16"/>
  <c r="J5958" i="16"/>
  <c r="J5959" i="16"/>
  <c r="J5960" i="16"/>
  <c r="J5961" i="16"/>
  <c r="J5962" i="16"/>
  <c r="J5963" i="16"/>
  <c r="J5964" i="16"/>
  <c r="J5965" i="16"/>
  <c r="J5966" i="16"/>
  <c r="J5967" i="16"/>
  <c r="J5968" i="16"/>
  <c r="J5969" i="16"/>
  <c r="J5970" i="16"/>
  <c r="J5971" i="16"/>
  <c r="J5972" i="16"/>
  <c r="J5973" i="16"/>
  <c r="J5974" i="16"/>
  <c r="J5975" i="16"/>
  <c r="J5976" i="16"/>
  <c r="J5977" i="16"/>
  <c r="J5978" i="16"/>
  <c r="J5979" i="16"/>
  <c r="J5980" i="16"/>
  <c r="J5981" i="16"/>
  <c r="J5982" i="16"/>
  <c r="J5983" i="16"/>
  <c r="J5984" i="16"/>
  <c r="J5985" i="16"/>
  <c r="J5986" i="16"/>
  <c r="J5987" i="16"/>
  <c r="J5988" i="16"/>
  <c r="J5989" i="16"/>
  <c r="J5990" i="16"/>
  <c r="J5991" i="16"/>
  <c r="J5992" i="16"/>
  <c r="J5993" i="16"/>
  <c r="J5994" i="16"/>
  <c r="J5995" i="16"/>
  <c r="J5996" i="16"/>
  <c r="J5997" i="16"/>
  <c r="J5998" i="16"/>
  <c r="J5999" i="16"/>
  <c r="J6000" i="16"/>
  <c r="K7193" i="15"/>
  <c r="K7196" i="15"/>
  <c r="L7196" i="15"/>
  <c r="K7194" i="15"/>
  <c r="K7348" i="15"/>
  <c r="K6850" i="15"/>
  <c r="L6850" i="15"/>
  <c r="K7163" i="15"/>
  <c r="K7170" i="15"/>
  <c r="K6865" i="15"/>
  <c r="L6865" i="15"/>
  <c r="K7137" i="15"/>
  <c r="K6867" i="15"/>
  <c r="L6867" i="15"/>
  <c r="K6887" i="15"/>
  <c r="L6887" i="15"/>
  <c r="K7126" i="15"/>
  <c r="K6861" i="15"/>
  <c r="L6861" i="15"/>
  <c r="K378" i="15"/>
  <c r="K546" i="15"/>
  <c r="K7119" i="15"/>
  <c r="K6858" i="15"/>
  <c r="L6858" i="15"/>
  <c r="K6888" i="15"/>
  <c r="L6888" i="15"/>
  <c r="K7129" i="15"/>
  <c r="K6855" i="15"/>
  <c r="L6855" i="15"/>
  <c r="K7123" i="15"/>
  <c r="K7108" i="15"/>
  <c r="K7106" i="15"/>
  <c r="K7134" i="15"/>
  <c r="K6871" i="15"/>
  <c r="L6871" i="15"/>
  <c r="K6889" i="15"/>
  <c r="L6889" i="15"/>
  <c r="K6891" i="15"/>
  <c r="L6891" i="15"/>
  <c r="K6892" i="15"/>
  <c r="L6892" i="15"/>
  <c r="K2108" i="15"/>
  <c r="L2108" i="15"/>
  <c r="K7178" i="15"/>
  <c r="K7111" i="15"/>
  <c r="K7124" i="15"/>
  <c r="K7138" i="15"/>
  <c r="K2106" i="15"/>
  <c r="L2106" i="15"/>
  <c r="K7343" i="15"/>
  <c r="K7164" i="15"/>
  <c r="K6798" i="15"/>
  <c r="L6798" i="15"/>
  <c r="K6799" i="15"/>
  <c r="L6799" i="15"/>
  <c r="K5353" i="15"/>
  <c r="L5353" i="15"/>
  <c r="K5367" i="15"/>
  <c r="L5367" i="15"/>
  <c r="K7112" i="15"/>
  <c r="K5347" i="15"/>
  <c r="L5347" i="15"/>
  <c r="K5348" i="15"/>
  <c r="L5348" i="15"/>
  <c r="K2577" i="15"/>
  <c r="L2577" i="15"/>
  <c r="K2532" i="15"/>
  <c r="L2532" i="15"/>
  <c r="K7180" i="15"/>
  <c r="K421" i="15"/>
  <c r="K564" i="15"/>
  <c r="K2534" i="15"/>
  <c r="L2534" i="15"/>
  <c r="K7104" i="15"/>
  <c r="K2689" i="15"/>
  <c r="L2689" i="15"/>
  <c r="K2241" i="15"/>
  <c r="L2241" i="15"/>
  <c r="K2707" i="15"/>
  <c r="L2707" i="15"/>
  <c r="K7131" i="15"/>
  <c r="K5766" i="15"/>
  <c r="L5766" i="15"/>
  <c r="K5828" i="15"/>
  <c r="L5828" i="15"/>
  <c r="K2623" i="15"/>
  <c r="L2623" i="15"/>
  <c r="K5816" i="15"/>
  <c r="L5816" i="15"/>
  <c r="K5760" i="15"/>
  <c r="L5760" i="15"/>
  <c r="K6336" i="15"/>
  <c r="L6336" i="15"/>
  <c r="K6288" i="15"/>
  <c r="L6288" i="15"/>
  <c r="K6281" i="15"/>
  <c r="L6281" i="15"/>
  <c r="K6315" i="15"/>
  <c r="L6315" i="15"/>
  <c r="K7130" i="15"/>
  <c r="K6660" i="15"/>
  <c r="L6660" i="15"/>
  <c r="K6327" i="15"/>
  <c r="L6327" i="15"/>
  <c r="K6340" i="15"/>
  <c r="L6340" i="15"/>
  <c r="K5995" i="15"/>
  <c r="L5995" i="15"/>
  <c r="K6070" i="15"/>
  <c r="L6070" i="15"/>
  <c r="K6029" i="15"/>
  <c r="L6029" i="15"/>
  <c r="K6015" i="15"/>
  <c r="L6015" i="15"/>
  <c r="K6011" i="15"/>
  <c r="L6011" i="15"/>
  <c r="K6057" i="15"/>
  <c r="L6057" i="15"/>
  <c r="K6062" i="15"/>
  <c r="L6062" i="15"/>
  <c r="K6010" i="15"/>
  <c r="L6010" i="15"/>
  <c r="K6502" i="15"/>
  <c r="L6502" i="15"/>
  <c r="K6226" i="15"/>
  <c r="L6226" i="15"/>
  <c r="K6218" i="15"/>
  <c r="L6218" i="15"/>
  <c r="K6170" i="15"/>
  <c r="L6170" i="15"/>
  <c r="K6177" i="15"/>
  <c r="L6177" i="15"/>
  <c r="K6180" i="15"/>
  <c r="L6180" i="15"/>
  <c r="K6200" i="15"/>
  <c r="L6200" i="15"/>
  <c r="K7173" i="15"/>
  <c r="K6171" i="15"/>
  <c r="L6171" i="15"/>
  <c r="K5071" i="15"/>
  <c r="L5071" i="15"/>
  <c r="K5833" i="15"/>
  <c r="L5833" i="15"/>
  <c r="K463" i="15"/>
  <c r="K607" i="15"/>
  <c r="K6535" i="15"/>
  <c r="L6535" i="15"/>
  <c r="K6538" i="15"/>
  <c r="L6538" i="15"/>
  <c r="K6530" i="15"/>
  <c r="L6530" i="15"/>
  <c r="K6536" i="15"/>
  <c r="L6536" i="15"/>
  <c r="K2075" i="15"/>
  <c r="L2075" i="15"/>
  <c r="K2079" i="15"/>
  <c r="L2079" i="15"/>
  <c r="K2064" i="15"/>
  <c r="L2064" i="15"/>
  <c r="K3452" i="15"/>
  <c r="L3452" i="15"/>
  <c r="K3449" i="15"/>
  <c r="L3449" i="15"/>
  <c r="K3450" i="15"/>
  <c r="L3450" i="15"/>
  <c r="K3451" i="15"/>
  <c r="L3451" i="15"/>
  <c r="K3442" i="15"/>
  <c r="L3442" i="15"/>
  <c r="K3443" i="15"/>
  <c r="L3443" i="15"/>
  <c r="K3444" i="15"/>
  <c r="L3444" i="15"/>
  <c r="K3445" i="15"/>
  <c r="L3445" i="15"/>
  <c r="K5225" i="15"/>
  <c r="L5225" i="15"/>
  <c r="K5048" i="15"/>
  <c r="L5048" i="15"/>
  <c r="K5050" i="15"/>
  <c r="L5050" i="15"/>
  <c r="K5121" i="15"/>
  <c r="L5121" i="15"/>
  <c r="K5077" i="15"/>
  <c r="L5077" i="15"/>
  <c r="K5076" i="15"/>
  <c r="L5076" i="15"/>
  <c r="K5080" i="15"/>
  <c r="L5080" i="15"/>
  <c r="K5138" i="15"/>
  <c r="L5138" i="15"/>
  <c r="K5120" i="15"/>
  <c r="L5120" i="15"/>
  <c r="K5056" i="15"/>
  <c r="L5056" i="15"/>
  <c r="K5404" i="15"/>
  <c r="L5404" i="15"/>
  <c r="K5069" i="15"/>
  <c r="L5069" i="15"/>
  <c r="K5063" i="15"/>
  <c r="L5063" i="15"/>
  <c r="K5084" i="15"/>
  <c r="L5084" i="15"/>
  <c r="K5089" i="15"/>
  <c r="L5089" i="15"/>
  <c r="K5085" i="15"/>
  <c r="L5085" i="15"/>
  <c r="K5088" i="15"/>
  <c r="L5088" i="15"/>
  <c r="K5059" i="15"/>
  <c r="L5059" i="15"/>
  <c r="K5061" i="15"/>
  <c r="L5061" i="15"/>
  <c r="K5270" i="15"/>
  <c r="L5270" i="15"/>
  <c r="K5079" i="15"/>
  <c r="L5079" i="15"/>
  <c r="K5126" i="15"/>
  <c r="L5126" i="15"/>
  <c r="K5124" i="15"/>
  <c r="L5124" i="15"/>
  <c r="K5125" i="15"/>
  <c r="L5125" i="15"/>
  <c r="K2864" i="15"/>
  <c r="L2864" i="15"/>
  <c r="K2867" i="15"/>
  <c r="L2867" i="15"/>
  <c r="K3366" i="15"/>
  <c r="L3366" i="15"/>
  <c r="K2890" i="15"/>
  <c r="L2890" i="15"/>
  <c r="K2731" i="15"/>
  <c r="L2731" i="15"/>
  <c r="K2729" i="15"/>
  <c r="L2729" i="15"/>
  <c r="K2740" i="15"/>
  <c r="L2740" i="15"/>
  <c r="K2738" i="15"/>
  <c r="L2738" i="15"/>
  <c r="K2984" i="15"/>
  <c r="L2984" i="15"/>
  <c r="K2987" i="15"/>
  <c r="L2987" i="15"/>
  <c r="K2990" i="15"/>
  <c r="L2990" i="15"/>
  <c r="K2988" i="15"/>
  <c r="L2988" i="15"/>
  <c r="K3034" i="15"/>
  <c r="L3034" i="15"/>
  <c r="K3035" i="15"/>
  <c r="L3035" i="15"/>
  <c r="K3030" i="15"/>
  <c r="L3030" i="15"/>
  <c r="K3086" i="15"/>
  <c r="L3086" i="15"/>
  <c r="K3076" i="15"/>
  <c r="L3076" i="15"/>
  <c r="K3074" i="15"/>
  <c r="L3074" i="15"/>
  <c r="K2841" i="15"/>
  <c r="L2841" i="15"/>
  <c r="K2843" i="15"/>
  <c r="L2843" i="15"/>
  <c r="K2830" i="15"/>
  <c r="L2830" i="15"/>
  <c r="K2834" i="15"/>
  <c r="L2834" i="15"/>
  <c r="K2832" i="15"/>
  <c r="L2832" i="15"/>
  <c r="K2961" i="15"/>
  <c r="L2961" i="15"/>
  <c r="K7133" i="15"/>
  <c r="L7133" i="15"/>
  <c r="K5250" i="15"/>
  <c r="L5250" i="15"/>
  <c r="K5249" i="15"/>
  <c r="L5249" i="15"/>
  <c r="K5252" i="15"/>
  <c r="L5252" i="15"/>
  <c r="K5251" i="15"/>
  <c r="L5251" i="15"/>
  <c r="K3618" i="15"/>
  <c r="L3618" i="15"/>
  <c r="K3617" i="15"/>
  <c r="L3617" i="15"/>
  <c r="K3615" i="15"/>
  <c r="L3615" i="15"/>
  <c r="K3616" i="15"/>
  <c r="L3616" i="15"/>
  <c r="K3536" i="15"/>
  <c r="L3536" i="15"/>
  <c r="K3535" i="15"/>
  <c r="L3535" i="15"/>
  <c r="K3541" i="15"/>
  <c r="L3541" i="15"/>
  <c r="K1972" i="15"/>
  <c r="L1972" i="15"/>
  <c r="K2009" i="15"/>
  <c r="L2009" i="15"/>
  <c r="K1964" i="15"/>
  <c r="L1964" i="15"/>
  <c r="K1965" i="15"/>
  <c r="L1965" i="15"/>
  <c r="K1966" i="15"/>
  <c r="L1966" i="15"/>
  <c r="K1967" i="15"/>
  <c r="L1967" i="15"/>
  <c r="K1942" i="15"/>
  <c r="L1942" i="15"/>
  <c r="K2032" i="15"/>
  <c r="L2032" i="15"/>
  <c r="K2072" i="15"/>
  <c r="L2072" i="15"/>
  <c r="K1951" i="15"/>
  <c r="L1951" i="15"/>
  <c r="K1950" i="15"/>
  <c r="L1950" i="15"/>
  <c r="K3419" i="15"/>
  <c r="L3419" i="15"/>
  <c r="K3430" i="15"/>
  <c r="L3430" i="15"/>
  <c r="K3426" i="15"/>
  <c r="L3426" i="15"/>
  <c r="K3331" i="15"/>
  <c r="L3331" i="15"/>
  <c r="L7194" i="15"/>
  <c r="K7183" i="15"/>
  <c r="L7183" i="15"/>
  <c r="L7170" i="15"/>
  <c r="L7104" i="15"/>
  <c r="K7115" i="15"/>
  <c r="L7115" i="15"/>
  <c r="K7169" i="15"/>
  <c r="L7169" i="15"/>
  <c r="L7163" i="15"/>
  <c r="K2100" i="15"/>
  <c r="L2100" i="15"/>
  <c r="K2101" i="15"/>
  <c r="L2101" i="15"/>
  <c r="K2096" i="15"/>
  <c r="L2096" i="15"/>
  <c r="K2090" i="15"/>
  <c r="L2090" i="15"/>
  <c r="K2433" i="15"/>
  <c r="L2433" i="15"/>
  <c r="K7103" i="15"/>
  <c r="K7109" i="15"/>
  <c r="K6781" i="15"/>
  <c r="L6781" i="15"/>
  <c r="K2521" i="15"/>
  <c r="L2521" i="15"/>
  <c r="K2435" i="15"/>
  <c r="L2435" i="15"/>
  <c r="K2436" i="15"/>
  <c r="L2436" i="15"/>
  <c r="K5651" i="15"/>
  <c r="L5651" i="15"/>
  <c r="K5729" i="15"/>
  <c r="L5729" i="15"/>
  <c r="K395" i="15"/>
  <c r="K539" i="15"/>
  <c r="K460" i="15"/>
  <c r="K5711" i="15"/>
  <c r="L5711" i="15"/>
  <c r="K3502" i="15"/>
  <c r="L3502" i="15"/>
  <c r="K3503" i="15"/>
  <c r="L3503" i="15"/>
  <c r="K3492" i="15"/>
  <c r="L3492" i="15"/>
  <c r="K5123" i="15"/>
  <c r="L5123" i="15"/>
  <c r="K5234" i="15"/>
  <c r="L5234" i="15"/>
  <c r="K2844" i="15"/>
  <c r="L2844" i="15"/>
  <c r="K2845" i="15"/>
  <c r="L2845" i="15"/>
  <c r="K2846" i="15"/>
  <c r="L2846" i="15"/>
  <c r="K2847" i="15"/>
  <c r="L2847" i="15"/>
  <c r="K2848" i="15"/>
  <c r="L2848" i="15"/>
  <c r="K2849" i="15"/>
  <c r="L2849" i="15"/>
  <c r="K2850" i="15"/>
  <c r="L2850" i="15"/>
  <c r="K2851" i="15"/>
  <c r="L2851" i="15"/>
  <c r="K2852" i="15"/>
  <c r="L2852" i="15"/>
  <c r="K6844" i="15"/>
  <c r="L6844" i="15"/>
  <c r="K6845" i="15"/>
  <c r="L6845" i="15"/>
  <c r="K6843" i="15"/>
  <c r="L6843" i="15"/>
  <c r="K5232" i="15"/>
  <c r="L5232" i="15"/>
  <c r="K5212" i="15"/>
  <c r="L5212" i="15"/>
  <c r="K3373" i="15"/>
  <c r="L3373" i="15"/>
  <c r="K7186" i="15"/>
  <c r="L7186" i="15"/>
  <c r="K6810" i="15"/>
  <c r="L6810" i="15"/>
  <c r="K512" i="15"/>
  <c r="K2715" i="15"/>
  <c r="L2715" i="15"/>
  <c r="K2718" i="15"/>
  <c r="L2718" i="15"/>
  <c r="K2719" i="15"/>
  <c r="L2719" i="15"/>
  <c r="K5140" i="15"/>
  <c r="L5140" i="15"/>
  <c r="K2173" i="15"/>
  <c r="L2173" i="15"/>
  <c r="K6214" i="15"/>
  <c r="L6214" i="15"/>
  <c r="K495" i="15"/>
  <c r="K6927" i="15"/>
  <c r="L6927" i="15"/>
  <c r="K408" i="15"/>
  <c r="K554" i="15"/>
  <c r="K471" i="15"/>
  <c r="K7171" i="15"/>
  <c r="K5650" i="15"/>
  <c r="L5650" i="15"/>
  <c r="K374" i="15"/>
  <c r="K519" i="15"/>
  <c r="K7066" i="15"/>
  <c r="L7066" i="15"/>
  <c r="K7181" i="15"/>
  <c r="K6109" i="15"/>
  <c r="L6109" i="15"/>
  <c r="K1798" i="15"/>
  <c r="L1798" i="15"/>
  <c r="K5352" i="15"/>
  <c r="L5352" i="15"/>
  <c r="K5371" i="15"/>
  <c r="L5371" i="15"/>
  <c r="K6188" i="15"/>
  <c r="L6188" i="15"/>
  <c r="K7365" i="15"/>
  <c r="L7365" i="15"/>
  <c r="K7364" i="15"/>
  <c r="K7363" i="15"/>
  <c r="L7363" i="15"/>
  <c r="K7351" i="15"/>
  <c r="L7351" i="15"/>
  <c r="K5075" i="15"/>
  <c r="L5075" i="15"/>
  <c r="K2059" i="15"/>
  <c r="L2059" i="15"/>
  <c r="K2109" i="15"/>
  <c r="L2109" i="15"/>
  <c r="K3644" i="15"/>
  <c r="L3644" i="15"/>
  <c r="K5226" i="15"/>
  <c r="L5226" i="15"/>
  <c r="K2630" i="15"/>
  <c r="L2630" i="15"/>
  <c r="K438" i="15"/>
  <c r="K581" i="15"/>
  <c r="K2776" i="15"/>
  <c r="L2776" i="15"/>
  <c r="K6187" i="15"/>
  <c r="L6187" i="15"/>
  <c r="K5717" i="15"/>
  <c r="L5717" i="15"/>
  <c r="K2052" i="15"/>
  <c r="L2052" i="15"/>
  <c r="K4103" i="15"/>
  <c r="L4103" i="15"/>
  <c r="K4104" i="15"/>
  <c r="L4104" i="15"/>
  <c r="K4101" i="15"/>
  <c r="L4101" i="15"/>
  <c r="K4109" i="15"/>
  <c r="L4109" i="15"/>
  <c r="K4110" i="15"/>
  <c r="L4110" i="15"/>
  <c r="K4107" i="15"/>
  <c r="L4107" i="15"/>
  <c r="K3625" i="15"/>
  <c r="L3625" i="15"/>
  <c r="K3626" i="15"/>
  <c r="L3626" i="15"/>
  <c r="K2743" i="15"/>
  <c r="L2743" i="15"/>
  <c r="K6142" i="15"/>
  <c r="L6142" i="15"/>
  <c r="K6131" i="15"/>
  <c r="L6131" i="15"/>
  <c r="K6192" i="15"/>
  <c r="L6192" i="15"/>
  <c r="K6527" i="15"/>
  <c r="L6527" i="15"/>
  <c r="K6016" i="15"/>
  <c r="L6016" i="15"/>
  <c r="K6111" i="15"/>
  <c r="L6111" i="15"/>
  <c r="K6071" i="15"/>
  <c r="L6071" i="15"/>
  <c r="K6067" i="15"/>
  <c r="L6067" i="15"/>
  <c r="K5929" i="15"/>
  <c r="L5929" i="15"/>
  <c r="K7122" i="15"/>
  <c r="K457" i="15"/>
  <c r="K599" i="15"/>
  <c r="K458" i="15"/>
  <c r="K600" i="15"/>
  <c r="K655" i="15"/>
  <c r="K510" i="15"/>
  <c r="K497" i="15"/>
  <c r="K641" i="15"/>
  <c r="K570" i="15"/>
  <c r="K427" i="15"/>
  <c r="K527" i="15"/>
  <c r="K383" i="15"/>
  <c r="K382" i="15"/>
  <c r="K506" i="15"/>
  <c r="K483" i="15"/>
  <c r="K401" i="15"/>
  <c r="K545" i="15"/>
  <c r="K485" i="15"/>
  <c r="K405" i="15"/>
  <c r="K6124" i="15"/>
  <c r="L6124" i="15"/>
  <c r="K488" i="15"/>
  <c r="K653" i="15"/>
  <c r="K1372" i="15"/>
  <c r="L1372" i="15"/>
  <c r="K7176" i="15"/>
  <c r="K477" i="15"/>
  <c r="K622" i="15"/>
  <c r="K1378" i="15"/>
  <c r="L1378" i="15"/>
  <c r="K1369" i="15"/>
  <c r="L1369" i="15"/>
  <c r="K1380" i="15"/>
  <c r="L1380" i="15"/>
  <c r="K3941" i="15"/>
  <c r="L3941" i="15"/>
  <c r="K3455" i="15"/>
  <c r="L3455" i="15"/>
  <c r="K6221" i="15"/>
  <c r="L6221" i="15"/>
  <c r="K6237" i="15"/>
  <c r="L6237" i="15"/>
  <c r="K6217" i="15"/>
  <c r="L6217" i="15"/>
  <c r="K2720" i="15"/>
  <c r="L2720" i="15"/>
  <c r="K6065" i="15"/>
  <c r="L6065" i="15"/>
  <c r="K1390" i="15"/>
  <c r="L1390" i="15"/>
  <c r="K1391" i="15"/>
  <c r="L1391" i="15"/>
  <c r="K428" i="15"/>
  <c r="K2421" i="15"/>
  <c r="L2421" i="15"/>
  <c r="K1409" i="15"/>
  <c r="L1409" i="15"/>
  <c r="K2713" i="15"/>
  <c r="L2713" i="15"/>
  <c r="K2711" i="15"/>
  <c r="L2711" i="15"/>
  <c r="K2714" i="15"/>
  <c r="L2714" i="15"/>
  <c r="K2712" i="15"/>
  <c r="L2712" i="15"/>
  <c r="K5081" i="15"/>
  <c r="L5081" i="15"/>
  <c r="K5083" i="15"/>
  <c r="L5083" i="15"/>
  <c r="K3268" i="15"/>
  <c r="L3268" i="15"/>
  <c r="K3962" i="15"/>
  <c r="L3962" i="15"/>
  <c r="K3457" i="15"/>
  <c r="L3457" i="15"/>
  <c r="K3458" i="15"/>
  <c r="L3458" i="15"/>
  <c r="K5127" i="15"/>
  <c r="L5127" i="15"/>
  <c r="K3022" i="15"/>
  <c r="L3022" i="15"/>
  <c r="K3020" i="15"/>
  <c r="L3020" i="15"/>
  <c r="K3079" i="15"/>
  <c r="L3079" i="15"/>
  <c r="K4683" i="15"/>
  <c r="L4683" i="15"/>
  <c r="K4759" i="15"/>
  <c r="L4759" i="15"/>
  <c r="K4747" i="15"/>
  <c r="L4747" i="15"/>
  <c r="K4677" i="15"/>
  <c r="L4677" i="15"/>
  <c r="K4716" i="15"/>
  <c r="L4716" i="15"/>
  <c r="K39" i="15"/>
  <c r="L39" i="15"/>
  <c r="K373" i="15"/>
  <c r="K518" i="15"/>
  <c r="K7110" i="15"/>
  <c r="K5248" i="15"/>
  <c r="L5248" i="15"/>
  <c r="K5238" i="15"/>
  <c r="L5238" i="15"/>
  <c r="K3335" i="15"/>
  <c r="L3335" i="15"/>
  <c r="K3340" i="15"/>
  <c r="L3340" i="15"/>
  <c r="K2734" i="15"/>
  <c r="L2734" i="15"/>
  <c r="K2914" i="15"/>
  <c r="L2914" i="15"/>
  <c r="K7191" i="15"/>
  <c r="K7197" i="15"/>
  <c r="K7117" i="15"/>
  <c r="K2775" i="15"/>
  <c r="L2775" i="15"/>
  <c r="K3646" i="15"/>
  <c r="L3646" i="15"/>
  <c r="K3647" i="15"/>
  <c r="L3647" i="15"/>
  <c r="K2888" i="15"/>
  <c r="L2888" i="15"/>
  <c r="K2777" i="15"/>
  <c r="L2777" i="15"/>
  <c r="K3206" i="15"/>
  <c r="L3206" i="15"/>
  <c r="K398" i="15"/>
  <c r="K3208" i="15"/>
  <c r="L3208" i="15"/>
  <c r="K3264" i="15"/>
  <c r="L3264" i="15"/>
  <c r="K2912" i="15"/>
  <c r="L2912" i="15"/>
  <c r="K3296" i="15"/>
  <c r="L3296" i="15"/>
  <c r="K3301" i="15"/>
  <c r="L3301" i="15"/>
  <c r="K7198" i="15"/>
  <c r="L7198" i="15"/>
  <c r="K5142" i="15"/>
  <c r="L5142" i="15"/>
  <c r="K7342" i="15"/>
  <c r="L7342" i="15"/>
  <c r="K7189" i="15"/>
  <c r="L7189" i="15"/>
  <c r="L7191" i="15"/>
  <c r="K7128" i="15"/>
  <c r="L7128" i="15"/>
  <c r="L7126" i="15"/>
  <c r="L7111" i="15"/>
  <c r="K2522" i="15"/>
  <c r="L2522" i="15"/>
  <c r="K2467" i="15"/>
  <c r="L2467" i="15"/>
  <c r="K2589" i="15"/>
  <c r="L2589" i="15"/>
  <c r="K5346" i="15"/>
  <c r="L5346" i="15"/>
  <c r="K2163" i="15"/>
  <c r="L2163" i="15"/>
  <c r="K2135" i="15"/>
  <c r="L2135" i="15"/>
  <c r="K660" i="15"/>
  <c r="K515" i="15"/>
  <c r="K2959" i="15"/>
  <c r="L2959" i="15"/>
  <c r="K2582" i="15"/>
  <c r="L2582" i="15"/>
  <c r="K2157" i="15"/>
  <c r="L2157" i="15"/>
  <c r="K448" i="15"/>
  <c r="K591" i="15"/>
  <c r="K2431" i="15"/>
  <c r="L2431" i="15"/>
  <c r="K5803" i="15"/>
  <c r="L5803" i="15"/>
  <c r="K1622" i="15"/>
  <c r="L1622" i="15"/>
  <c r="K7096" i="15"/>
  <c r="L7096" i="15"/>
  <c r="K7093" i="15"/>
  <c r="L7093" i="15"/>
  <c r="K6873" i="15"/>
  <c r="L6873" i="15"/>
  <c r="K6895" i="15"/>
  <c r="L6895" i="15"/>
  <c r="K3263" i="15"/>
  <c r="L3263" i="15"/>
  <c r="K3524" i="15"/>
  <c r="L3524" i="15"/>
  <c r="K2885" i="15"/>
  <c r="L2885" i="15"/>
  <c r="K6862" i="15"/>
  <c r="L6862" i="15"/>
  <c r="K5894" i="15"/>
  <c r="L5894" i="15"/>
  <c r="K2950" i="15"/>
  <c r="L2950" i="15"/>
  <c r="K3260" i="15"/>
  <c r="L3260" i="15"/>
  <c r="K7192" i="15"/>
  <c r="L7192" i="15"/>
  <c r="L7129" i="15"/>
  <c r="L7112" i="15"/>
  <c r="K6504" i="15"/>
  <c r="L6504" i="15"/>
  <c r="K3219" i="15"/>
  <c r="L3219" i="15"/>
  <c r="K3227" i="15"/>
  <c r="L3227" i="15"/>
  <c r="K3210" i="15"/>
  <c r="L3210" i="15"/>
  <c r="K2774" i="15"/>
  <c r="L2774" i="15"/>
  <c r="K3209" i="15"/>
  <c r="L3209" i="15"/>
  <c r="K3189" i="15"/>
  <c r="L3189" i="15"/>
  <c r="K2889" i="15"/>
  <c r="L2889" i="15"/>
  <c r="K3409" i="15"/>
  <c r="L3409" i="15"/>
  <c r="K478" i="15"/>
  <c r="K623" i="15"/>
  <c r="K7350" i="15"/>
  <c r="K7362" i="15"/>
  <c r="L7362" i="15"/>
  <c r="K2099" i="15"/>
  <c r="L2099" i="15"/>
  <c r="K369" i="15"/>
  <c r="L369" i="15"/>
  <c r="K7135" i="15"/>
  <c r="K6181" i="15"/>
  <c r="L6181" i="15"/>
  <c r="K2710" i="15"/>
  <c r="L2710" i="15"/>
  <c r="K7136" i="15"/>
  <c r="K1910" i="15"/>
  <c r="L1910" i="15"/>
  <c r="L7364" i="15"/>
  <c r="K2981" i="15"/>
  <c r="L2981" i="15"/>
  <c r="K3080" i="15"/>
  <c r="L3080" i="15"/>
  <c r="K5205" i="15"/>
  <c r="L5205" i="15"/>
  <c r="K3304" i="15"/>
  <c r="L3304" i="15"/>
  <c r="K2051" i="15"/>
  <c r="L2051" i="15"/>
  <c r="K2053" i="15"/>
  <c r="L2053" i="15"/>
  <c r="K3107" i="15"/>
  <c r="L3107" i="15"/>
  <c r="K3421" i="15"/>
  <c r="L3421" i="15"/>
  <c r="K3435" i="15"/>
  <c r="L3435" i="15"/>
  <c r="K3337" i="15"/>
  <c r="L3337" i="15"/>
  <c r="K1373" i="15"/>
  <c r="L1373" i="15"/>
  <c r="K5070" i="15"/>
  <c r="L5070" i="15"/>
  <c r="K3538" i="15"/>
  <c r="L3538" i="15"/>
  <c r="K3539" i="15"/>
  <c r="L3539" i="15"/>
  <c r="K3322" i="15"/>
  <c r="L3322" i="15"/>
  <c r="K4496" i="15"/>
  <c r="L4496" i="15"/>
  <c r="K5425" i="15"/>
  <c r="L5425" i="15"/>
  <c r="K3521" i="15"/>
  <c r="L3521" i="15"/>
  <c r="K3542" i="15"/>
  <c r="L3542" i="15"/>
  <c r="K3523" i="15"/>
  <c r="L3523" i="15"/>
  <c r="K3500" i="15"/>
  <c r="L3500" i="15"/>
  <c r="K5253" i="15"/>
  <c r="L5253" i="15"/>
  <c r="K3316" i="15"/>
  <c r="L3316" i="15"/>
  <c r="K5832" i="15"/>
  <c r="L5832" i="15"/>
  <c r="K7087" i="15"/>
  <c r="L7087" i="15"/>
  <c r="K3447" i="15"/>
  <c r="L3447" i="15"/>
  <c r="K3448" i="15"/>
  <c r="L3448" i="15"/>
  <c r="K5236" i="15"/>
  <c r="L5236" i="15"/>
  <c r="I4931" i="16"/>
  <c r="I586" i="16"/>
  <c r="I3354" i="16"/>
  <c r="I2097" i="16"/>
  <c r="I3910" i="16"/>
  <c r="I3557" i="16"/>
  <c r="I4933" i="16"/>
  <c r="I3314" i="16"/>
  <c r="I2607" i="16"/>
  <c r="I4766" i="16"/>
  <c r="I2107" i="16"/>
  <c r="I3786" i="16"/>
  <c r="I3783" i="16"/>
  <c r="I2982" i="16"/>
  <c r="I707" i="16"/>
  <c r="I2608" i="16"/>
  <c r="I2609" i="16"/>
  <c r="I1404" i="16"/>
  <c r="I3498" i="16"/>
  <c r="I3649" i="16"/>
  <c r="I4245" i="16"/>
  <c r="I3870" i="16"/>
  <c r="I3966" i="16"/>
  <c r="I934" i="16"/>
  <c r="I1157" i="16"/>
  <c r="I2624" i="16"/>
  <c r="I1691" i="16"/>
  <c r="I3955" i="16"/>
  <c r="I3635" i="16"/>
  <c r="I3315" i="16"/>
  <c r="I480" i="16"/>
  <c r="I4218" i="16"/>
  <c r="I3392" i="16"/>
  <c r="I3391" i="16"/>
  <c r="I3447" i="16"/>
  <c r="I2096" i="16"/>
  <c r="I3233" i="16"/>
  <c r="I4336" i="16"/>
  <c r="I477" i="16"/>
  <c r="I3805" i="16"/>
  <c r="I2974" i="16"/>
  <c r="I2975" i="16"/>
  <c r="I4362" i="16"/>
  <c r="I3814" i="16"/>
  <c r="I1166" i="16"/>
  <c r="I3824" i="16"/>
  <c r="I2142" i="16"/>
  <c r="I581" i="16"/>
  <c r="I3802" i="16"/>
  <c r="I3950" i="16"/>
  <c r="I3368" i="16"/>
  <c r="I310" i="16"/>
  <c r="I2131" i="16"/>
  <c r="I3335" i="16"/>
  <c r="I3279" i="16"/>
  <c r="I3289" i="16"/>
  <c r="I2124" i="16"/>
  <c r="I3367" i="16"/>
  <c r="I4924" i="16"/>
  <c r="I227" i="16"/>
  <c r="I4763" i="16"/>
  <c r="I4764" i="16"/>
  <c r="I930" i="16"/>
  <c r="I3928" i="16"/>
  <c r="I3725" i="16"/>
  <c r="I401" i="16"/>
  <c r="I3260" i="16"/>
  <c r="I3261" i="16"/>
  <c r="I2105" i="16"/>
  <c r="I2589" i="16"/>
  <c r="I1885" i="16"/>
  <c r="I3903" i="16"/>
  <c r="I3904" i="16"/>
  <c r="I4406" i="16"/>
  <c r="I4409" i="16"/>
  <c r="I4872" i="16"/>
  <c r="I589" i="16"/>
  <c r="I913" i="16"/>
  <c r="I887" i="16"/>
  <c r="I1268" i="16"/>
  <c r="I3508" i="16"/>
  <c r="I1855" i="16"/>
  <c r="I1837" i="16"/>
  <c r="I1971" i="16"/>
  <c r="I3943" i="16"/>
  <c r="I1973" i="16"/>
  <c r="I2303" i="16"/>
  <c r="I2309" i="16"/>
  <c r="I4382" i="16"/>
  <c r="I2099" i="16"/>
  <c r="I1096" i="16"/>
  <c r="I4841" i="16"/>
  <c r="I4842" i="16"/>
  <c r="I4464" i="16"/>
  <c r="I4467" i="16"/>
  <c r="I4473" i="16"/>
  <c r="I4569" i="16"/>
  <c r="I4571" i="16"/>
  <c r="I4572" i="16"/>
  <c r="I4574" i="16"/>
  <c r="I1121" i="16"/>
  <c r="I1189" i="16"/>
  <c r="I1114" i="16"/>
  <c r="I458" i="16"/>
  <c r="I3638" i="16"/>
  <c r="I2244" i="16"/>
  <c r="I3545" i="16"/>
  <c r="I3518" i="16"/>
  <c r="I3520" i="16"/>
  <c r="I3521" i="16"/>
  <c r="I3263" i="16"/>
  <c r="I1784" i="16"/>
  <c r="I806" i="16"/>
  <c r="I4376" i="16"/>
  <c r="I2020" i="16"/>
  <c r="I2027" i="16"/>
  <c r="I2018" i="16"/>
  <c r="I2013" i="16"/>
  <c r="I3679" i="16"/>
  <c r="I1978" i="16"/>
  <c r="I1111" i="16"/>
  <c r="I3958" i="16"/>
  <c r="I835" i="16"/>
  <c r="I1119" i="16"/>
  <c r="I1120" i="16"/>
  <c r="I428" i="16"/>
  <c r="I4243" i="16"/>
  <c r="I4233" i="16"/>
  <c r="I329" i="16"/>
  <c r="I2191" i="16"/>
  <c r="I3313" i="16"/>
  <c r="I520" i="16"/>
  <c r="I3881" i="16"/>
  <c r="I2633" i="16"/>
  <c r="I2634" i="16"/>
  <c r="I1054" i="16"/>
  <c r="I1904" i="16"/>
  <c r="I1964" i="16"/>
  <c r="I1979" i="16"/>
  <c r="I3671" i="16"/>
  <c r="I3672" i="16"/>
  <c r="I1678" i="16"/>
  <c r="I1679" i="16"/>
  <c r="I574" i="16"/>
  <c r="I1030" i="16"/>
  <c r="I4449" i="16"/>
  <c r="I4925" i="16"/>
  <c r="I4911" i="16"/>
  <c r="I1955" i="16"/>
  <c r="I3245" i="16"/>
  <c r="I2216" i="16"/>
  <c r="I334" i="16"/>
  <c r="I4555" i="16"/>
  <c r="I399" i="16"/>
  <c r="I4244" i="16"/>
  <c r="I4001" i="16"/>
  <c r="I2610" i="16"/>
  <c r="I2932" i="16"/>
  <c r="I4896" i="16"/>
  <c r="I955" i="16"/>
  <c r="I3214" i="16"/>
  <c r="I3223" i="16"/>
  <c r="I3656" i="16"/>
  <c r="I4224" i="16"/>
  <c r="I3198" i="16"/>
  <c r="I2197" i="16"/>
  <c r="I936" i="16"/>
  <c r="I4331" i="16"/>
  <c r="I2075" i="16"/>
  <c r="I2077" i="16"/>
  <c r="I4687" i="16"/>
  <c r="I2620" i="16"/>
  <c r="I2622" i="16"/>
  <c r="I2621" i="16"/>
  <c r="I3459" i="16"/>
  <c r="I2247" i="16"/>
  <c r="I3528" i="16"/>
  <c r="I3225" i="16"/>
  <c r="I2346" i="16"/>
  <c r="I3530" i="16"/>
  <c r="I1461" i="16"/>
  <c r="I3117" i="16"/>
  <c r="I4071" i="16"/>
  <c r="I4497" i="16"/>
  <c r="I3493" i="16"/>
  <c r="I1863" i="16"/>
  <c r="I3432" i="16"/>
  <c r="I4000" i="16"/>
  <c r="I316" i="16"/>
  <c r="I1104" i="16"/>
  <c r="I3227" i="16"/>
  <c r="I4431" i="16"/>
  <c r="I3918" i="16"/>
  <c r="I3293" i="16"/>
  <c r="I1424" i="16"/>
  <c r="I2688" i="16"/>
  <c r="I2689" i="16"/>
  <c r="I4544" i="16"/>
  <c r="I4543" i="16"/>
  <c r="I1839" i="16"/>
  <c r="I1165" i="16"/>
  <c r="I3419" i="16"/>
  <c r="I3414" i="16"/>
  <c r="I3882" i="16"/>
  <c r="I3408" i="16"/>
  <c r="I3456" i="16"/>
  <c r="I3915" i="16"/>
  <c r="I2983" i="16"/>
  <c r="I3876" i="16"/>
  <c r="I1694" i="16"/>
  <c r="I4350" i="16"/>
  <c r="I3657" i="16"/>
  <c r="I1693" i="16"/>
  <c r="I528" i="16"/>
  <c r="I4345" i="16"/>
  <c r="I3034" i="16"/>
  <c r="I4290" i="16"/>
  <c r="I2268" i="16"/>
  <c r="I1373" i="16"/>
  <c r="I4263" i="16"/>
  <c r="I1500" i="16"/>
  <c r="I1499" i="16"/>
  <c r="I1813" i="16"/>
  <c r="I188" i="16"/>
  <c r="I3750" i="16"/>
  <c r="I3292" i="16"/>
  <c r="I3495" i="16"/>
  <c r="I3742" i="16"/>
  <c r="I3916" i="16"/>
  <c r="I944" i="16"/>
  <c r="I3856" i="16"/>
  <c r="I3644" i="16"/>
  <c r="I4227" i="16"/>
  <c r="I3348" i="16"/>
  <c r="I3492" i="16"/>
  <c r="I3658" i="16"/>
  <c r="I3026" i="16"/>
  <c r="I2925" i="16"/>
  <c r="I2177" i="16"/>
  <c r="I3027" i="16"/>
  <c r="I2924" i="16"/>
  <c r="I946" i="16"/>
  <c r="I3972" i="16"/>
  <c r="I1932" i="16"/>
  <c r="I2894" i="16"/>
  <c r="I3971" i="16"/>
  <c r="I2923" i="16"/>
  <c r="I2215" i="16"/>
  <c r="I4126" i="16"/>
  <c r="I3543" i="16"/>
  <c r="I3519" i="16"/>
  <c r="I4524" i="16"/>
  <c r="I4525" i="16"/>
  <c r="I3673" i="16"/>
  <c r="I2667" i="16"/>
  <c r="I2558" i="16"/>
  <c r="I991" i="16"/>
  <c r="I4478" i="16"/>
  <c r="I1861" i="16"/>
  <c r="I1862" i="16"/>
  <c r="I4003" i="16"/>
  <c r="I4695" i="16"/>
  <c r="I4693" i="16"/>
  <c r="I1260" i="16"/>
  <c r="I2644" i="16"/>
  <c r="I2646" i="16"/>
  <c r="I3564" i="16"/>
  <c r="I3159" i="16"/>
  <c r="I1245" i="16"/>
  <c r="I1243" i="16"/>
  <c r="I1246" i="16"/>
  <c r="I4300" i="16"/>
  <c r="I4306" i="16"/>
  <c r="I4316" i="16"/>
  <c r="I4319" i="16"/>
  <c r="I724" i="16"/>
  <c r="I729" i="16"/>
  <c r="I1830" i="16"/>
  <c r="I1829" i="16"/>
  <c r="I1348" i="16"/>
  <c r="I1316" i="16"/>
  <c r="I2802" i="16"/>
  <c r="I1342" i="16"/>
  <c r="I2803" i="16"/>
  <c r="I1672" i="16"/>
  <c r="I1347" i="16"/>
  <c r="I1315" i="16"/>
  <c r="I2804" i="16"/>
  <c r="I1673" i="16"/>
  <c r="I2805" i="16"/>
  <c r="I1349" i="16"/>
  <c r="I1317" i="16"/>
  <c r="I2806" i="16"/>
  <c r="I1350" i="16"/>
  <c r="I1318" i="16"/>
  <c r="I1838" i="16"/>
  <c r="I1840" i="16"/>
  <c r="I3994" i="16"/>
  <c r="I1821" i="16"/>
  <c r="I1657" i="16"/>
  <c r="I2792" i="16"/>
  <c r="I1656" i="16"/>
  <c r="I1815" i="16"/>
  <c r="I1658" i="16"/>
  <c r="I1818" i="16"/>
  <c r="I1820" i="16"/>
  <c r="I2144" i="16"/>
  <c r="I3569" i="16"/>
  <c r="I3563" i="16"/>
  <c r="I579" i="16"/>
  <c r="I1152" i="16"/>
  <c r="I3698" i="16"/>
  <c r="I3699" i="16"/>
  <c r="I3700" i="16"/>
  <c r="I3888" i="16"/>
  <c r="I877" i="16"/>
  <c r="I3042" i="16"/>
  <c r="I3043" i="16"/>
  <c r="I2986" i="16"/>
  <c r="I4006" i="16"/>
  <c r="I3464" i="16"/>
  <c r="I1297" i="16"/>
  <c r="I1215" i="16"/>
  <c r="I1217" i="16"/>
  <c r="I495" i="16"/>
  <c r="I3006" i="16"/>
  <c r="I491" i="16"/>
  <c r="I975" i="16"/>
  <c r="I977" i="16"/>
  <c r="I832" i="16"/>
  <c r="I3957" i="16"/>
  <c r="I4470" i="16"/>
  <c r="I1248" i="16"/>
  <c r="I1722" i="16"/>
  <c r="I1150" i="16"/>
  <c r="I184" i="16"/>
  <c r="I372" i="16"/>
  <c r="I445" i="16"/>
  <c r="I541" i="16"/>
  <c r="I576" i="16"/>
  <c r="I872" i="16"/>
  <c r="I874" i="16"/>
  <c r="I1492" i="16"/>
  <c r="I2917" i="16"/>
  <c r="I3062" i="16"/>
  <c r="I3720" i="16"/>
  <c r="I4844" i="16"/>
  <c r="I3784" i="16"/>
  <c r="I3785" i="16"/>
  <c r="I3795" i="16"/>
  <c r="I3764" i="16"/>
  <c r="I3762" i="16"/>
  <c r="I3773" i="16"/>
  <c r="I3793" i="16"/>
  <c r="I4307" i="16"/>
  <c r="I4309" i="16"/>
  <c r="I4392" i="16"/>
  <c r="I4393" i="16"/>
  <c r="I4391" i="16"/>
  <c r="I4556" i="16"/>
  <c r="I4557" i="16"/>
  <c r="I4558" i="16"/>
  <c r="I4491" i="16"/>
  <c r="I4492" i="16"/>
  <c r="I3119" i="16"/>
  <c r="I3118" i="16"/>
  <c r="I4509" i="16"/>
  <c r="I4716" i="16"/>
  <c r="I4717" i="16"/>
  <c r="I4718" i="16"/>
  <c r="I4746" i="16"/>
  <c r="I4765" i="16"/>
  <c r="I4767" i="16"/>
  <c r="I4873" i="16"/>
  <c r="I4848" i="16"/>
  <c r="I4850" i="16"/>
  <c r="I4860" i="16"/>
  <c r="I4859" i="16"/>
  <c r="I4870" i="16"/>
  <c r="I4871" i="16"/>
  <c r="I239" i="16"/>
  <c r="I258" i="16"/>
  <c r="I670" i="16"/>
  <c r="I847" i="16"/>
  <c r="I982" i="16"/>
  <c r="I3938" i="16"/>
  <c r="I1308" i="16"/>
  <c r="I1621" i="16"/>
  <c r="I1623" i="16"/>
  <c r="I1521" i="16"/>
  <c r="I2103" i="16"/>
  <c r="I2354" i="16"/>
  <c r="I2464" i="16"/>
  <c r="I2353" i="16"/>
  <c r="I2362" i="16"/>
  <c r="I2363" i="16"/>
  <c r="I2427" i="16"/>
  <c r="I4171" i="16"/>
  <c r="I1295" i="16"/>
  <c r="I2780" i="16"/>
  <c r="I4179" i="16"/>
  <c r="I4180" i="16"/>
  <c r="I4182" i="16"/>
  <c r="I2484" i="16"/>
  <c r="I4818" i="16"/>
  <c r="I4819" i="16"/>
  <c r="I4794" i="16"/>
  <c r="I4796" i="16"/>
  <c r="I4797" i="16"/>
  <c r="I4793" i="16"/>
  <c r="I4054" i="16"/>
  <c r="I4055" i="16"/>
  <c r="I4077" i="16"/>
  <c r="I4034" i="16"/>
  <c r="I4035" i="16"/>
  <c r="I2676" i="16"/>
  <c r="I2677" i="16"/>
  <c r="I2823" i="16"/>
  <c r="I2820" i="16"/>
  <c r="I4812" i="16"/>
  <c r="I2296" i="16"/>
  <c r="I2909" i="16"/>
  <c r="I618" i="16"/>
  <c r="I4490" i="16"/>
  <c r="I504" i="16"/>
  <c r="I3013" i="16"/>
  <c r="I4219" i="16"/>
  <c r="I3295" i="16"/>
  <c r="I1864" i="16"/>
  <c r="I3571" i="16"/>
  <c r="I3589" i="16"/>
  <c r="I2640" i="16"/>
  <c r="I1270" i="16"/>
  <c r="I1701" i="16"/>
  <c r="I1528" i="16"/>
  <c r="I4152" i="16"/>
  <c r="I4151" i="16"/>
  <c r="I2855" i="16"/>
  <c r="I2851" i="16"/>
  <c r="I2702" i="16"/>
  <c r="I2424" i="16"/>
  <c r="I2703" i="16"/>
  <c r="I631" i="16"/>
  <c r="I2425" i="16"/>
  <c r="I4810" i="16"/>
  <c r="I2426" i="16"/>
  <c r="I1022" i="16"/>
  <c r="I2463" i="16"/>
  <c r="I4174" i="16"/>
  <c r="I2819" i="16"/>
  <c r="I4811" i="16"/>
  <c r="I1518" i="16"/>
  <c r="I2706" i="16"/>
  <c r="I2467" i="16"/>
  <c r="I1024" i="16"/>
  <c r="I2465" i="16"/>
  <c r="I1519" i="16"/>
  <c r="I4172" i="16"/>
  <c r="I2821" i="16"/>
  <c r="I2428" i="16"/>
  <c r="I1027" i="16"/>
  <c r="I2466" i="16"/>
  <c r="I1520" i="16"/>
  <c r="I4173" i="16"/>
  <c r="I2822" i="16"/>
  <c r="I1025" i="16"/>
  <c r="I1547" i="16"/>
  <c r="I2713" i="16"/>
  <c r="I2486" i="16"/>
  <c r="I4141" i="16"/>
  <c r="I2394" i="16"/>
  <c r="I1541" i="16"/>
  <c r="I2848" i="16"/>
  <c r="I2487" i="16"/>
  <c r="I679" i="16"/>
  <c r="I1542" i="16"/>
  <c r="I2849" i="16"/>
  <c r="I4203" i="16"/>
  <c r="I1014" i="16"/>
  <c r="I3748" i="16"/>
  <c r="I2845" i="16"/>
  <c r="I1540" i="16"/>
  <c r="I2474" i="16"/>
  <c r="I2485" i="16"/>
  <c r="I4061" i="16"/>
  <c r="I2393" i="16"/>
  <c r="I3747" i="16"/>
  <c r="I2717" i="16"/>
  <c r="I4202" i="16"/>
  <c r="I2417" i="16"/>
  <c r="I1533" i="16"/>
  <c r="I1013" i="16"/>
  <c r="I1425" i="16"/>
  <c r="I2690" i="16"/>
  <c r="I1426" i="16"/>
  <c r="I2691" i="16"/>
  <c r="I596" i="16"/>
  <c r="I1427" i="16"/>
  <c r="I2692" i="16"/>
  <c r="I3143" i="16"/>
  <c r="I3147" i="16"/>
  <c r="I615" i="16"/>
  <c r="I664" i="16"/>
  <c r="I2709" i="16"/>
  <c r="I4932" i="16"/>
  <c r="I332" i="16"/>
  <c r="I1786" i="16"/>
  <c r="I3324" i="16"/>
  <c r="I4944" i="16"/>
  <c r="I3104" i="16"/>
  <c r="I3449" i="16"/>
  <c r="I1366" i="16"/>
  <c r="I3713" i="16"/>
  <c r="I397" i="16"/>
  <c r="I2725" i="16"/>
  <c r="I1456" i="16"/>
  <c r="I4795" i="16"/>
  <c r="I3120" i="16"/>
  <c r="I2729" i="16"/>
  <c r="I1003" i="16"/>
  <c r="I4056" i="16"/>
  <c r="I3482" i="16"/>
  <c r="I2755" i="16"/>
  <c r="I1453" i="16"/>
  <c r="I2726" i="16"/>
  <c r="I1000" i="16"/>
  <c r="I4053" i="16"/>
  <c r="I3479" i="16"/>
  <c r="I607" i="16"/>
  <c r="I2749" i="16"/>
  <c r="I1451" i="16"/>
  <c r="I603" i="16"/>
  <c r="I2747" i="16"/>
  <c r="I2746" i="16"/>
  <c r="I599" i="16"/>
  <c r="I2743" i="16"/>
  <c r="I3126" i="16"/>
  <c r="I1463" i="16"/>
  <c r="I2728" i="16"/>
  <c r="I1002" i="16"/>
  <c r="I3481" i="16"/>
  <c r="I1454" i="16"/>
  <c r="I2727" i="16"/>
  <c r="I1001" i="16"/>
  <c r="I4475" i="16"/>
  <c r="I2857" i="16"/>
  <c r="I4149" i="16"/>
  <c r="I1093" i="16"/>
  <c r="I364" i="16"/>
  <c r="I4892" i="16"/>
  <c r="I622" i="16"/>
  <c r="I3135" i="16"/>
  <c r="I3134" i="16"/>
  <c r="I1946" i="16"/>
  <c r="I2" i="15"/>
  <c r="K7" i="15"/>
  <c r="K8" i="15"/>
  <c r="K9" i="15"/>
  <c r="K10" i="15"/>
  <c r="K11" i="15"/>
  <c r="K12" i="15"/>
  <c r="K13" i="15"/>
  <c r="K14" i="15"/>
  <c r="K15" i="15"/>
  <c r="K16" i="15"/>
  <c r="K17" i="15"/>
  <c r="K18" i="15"/>
  <c r="K19" i="15"/>
  <c r="K20" i="15"/>
  <c r="K21" i="15"/>
  <c r="K22" i="15"/>
  <c r="K23" i="15"/>
  <c r="K24" i="15"/>
  <c r="K25" i="15"/>
  <c r="K26" i="15"/>
  <c r="K27" i="15"/>
  <c r="K28" i="15"/>
  <c r="K29" i="15"/>
  <c r="K30" i="15"/>
  <c r="K31" i="15"/>
  <c r="K32" i="15"/>
  <c r="K33" i="15"/>
  <c r="K34" i="15"/>
  <c r="K35" i="15"/>
  <c r="K36" i="15"/>
  <c r="K37" i="15"/>
  <c r="K38" i="15"/>
  <c r="K40" i="15"/>
  <c r="K41" i="15"/>
  <c r="K42" i="15"/>
  <c r="K43" i="15"/>
  <c r="K44" i="15"/>
  <c r="K45" i="15"/>
  <c r="K46" i="15"/>
  <c r="K47" i="15"/>
  <c r="K48" i="15"/>
  <c r="K49" i="15"/>
  <c r="K50" i="15"/>
  <c r="K51" i="15"/>
  <c r="K52" i="15"/>
  <c r="K53" i="15"/>
  <c r="K54" i="15"/>
  <c r="K55" i="15"/>
  <c r="K56" i="15"/>
  <c r="K57" i="15"/>
  <c r="K58" i="15"/>
  <c r="K59" i="15"/>
  <c r="K60" i="15"/>
  <c r="K61" i="15"/>
  <c r="K62" i="15"/>
  <c r="K63" i="15"/>
  <c r="K64" i="15"/>
  <c r="K65" i="15"/>
  <c r="K66" i="15"/>
  <c r="K67" i="15"/>
  <c r="K68" i="15"/>
  <c r="K69" i="15"/>
  <c r="K70" i="15"/>
  <c r="K71" i="15"/>
  <c r="K72" i="15"/>
  <c r="K73" i="15"/>
  <c r="K74" i="15"/>
  <c r="K75" i="15"/>
  <c r="K76" i="15"/>
  <c r="K77" i="15"/>
  <c r="K78" i="15"/>
  <c r="K79" i="15"/>
  <c r="K80" i="15"/>
  <c r="K81" i="15"/>
  <c r="K82" i="15"/>
  <c r="K83" i="15"/>
  <c r="K84" i="15"/>
  <c r="K85" i="15"/>
  <c r="K86" i="15"/>
  <c r="K87" i="15"/>
  <c r="K88" i="15"/>
  <c r="K89" i="15"/>
  <c r="K90" i="15"/>
  <c r="K91" i="15"/>
  <c r="K92" i="15"/>
  <c r="K93" i="15"/>
  <c r="K94" i="15"/>
  <c r="K95" i="15"/>
  <c r="K96" i="15"/>
  <c r="K97" i="15"/>
  <c r="K98" i="15"/>
  <c r="K99" i="15"/>
  <c r="K100" i="15"/>
  <c r="K101" i="15"/>
  <c r="K102" i="15"/>
  <c r="K103" i="15"/>
  <c r="K104" i="15"/>
  <c r="K105" i="15"/>
  <c r="K106" i="15"/>
  <c r="K107" i="15"/>
  <c r="K108" i="15"/>
  <c r="K109" i="15"/>
  <c r="K110" i="15"/>
  <c r="K111" i="15"/>
  <c r="K112" i="15"/>
  <c r="K113" i="15"/>
  <c r="K114" i="15"/>
  <c r="K115" i="15"/>
  <c r="K116" i="15"/>
  <c r="K117" i="15"/>
  <c r="K118" i="15"/>
  <c r="K119" i="15"/>
  <c r="K120" i="15"/>
  <c r="K121" i="15"/>
  <c r="K122" i="15"/>
  <c r="K123" i="15"/>
  <c r="K124" i="15"/>
  <c r="K125" i="15"/>
  <c r="K126" i="15"/>
  <c r="K127" i="15"/>
  <c r="K128" i="15"/>
  <c r="K129" i="15"/>
  <c r="K130" i="15"/>
  <c r="K131" i="15"/>
  <c r="K132" i="15"/>
  <c r="K133" i="15"/>
  <c r="K134" i="15"/>
  <c r="K135" i="15"/>
  <c r="K136" i="15"/>
  <c r="K137" i="15"/>
  <c r="K138" i="15"/>
  <c r="K139" i="15"/>
  <c r="K140" i="15"/>
  <c r="K141" i="15"/>
  <c r="K142" i="15"/>
  <c r="K143" i="15"/>
  <c r="K144" i="15"/>
  <c r="K145" i="15"/>
  <c r="K146" i="15"/>
  <c r="K147" i="15"/>
  <c r="K148" i="15"/>
  <c r="K149" i="15"/>
  <c r="K150" i="15"/>
  <c r="K151" i="15"/>
  <c r="K152" i="15"/>
  <c r="K153" i="15"/>
  <c r="K154" i="15"/>
  <c r="K155" i="15"/>
  <c r="K156" i="15"/>
  <c r="K157" i="15"/>
  <c r="K158" i="15"/>
  <c r="K159" i="15"/>
  <c r="K160" i="15"/>
  <c r="K161" i="15"/>
  <c r="K162" i="15"/>
  <c r="K163" i="15"/>
  <c r="K164" i="15"/>
  <c r="K165" i="15"/>
  <c r="K166" i="15"/>
  <c r="K167" i="15"/>
  <c r="K168" i="15"/>
  <c r="K169" i="15"/>
  <c r="K170" i="15"/>
  <c r="K171" i="15"/>
  <c r="K172" i="15"/>
  <c r="K173" i="15"/>
  <c r="K174" i="15"/>
  <c r="K175" i="15"/>
  <c r="K176" i="15"/>
  <c r="K177" i="15"/>
  <c r="K178" i="15"/>
  <c r="K179" i="15"/>
  <c r="K180" i="15"/>
  <c r="K181" i="15"/>
  <c r="K182" i="15"/>
  <c r="K183" i="15"/>
  <c r="K184" i="15"/>
  <c r="K185" i="15"/>
  <c r="K186" i="15"/>
  <c r="K187" i="15"/>
  <c r="K188" i="15"/>
  <c r="K189" i="15"/>
  <c r="K190" i="15"/>
  <c r="K191" i="15"/>
  <c r="K192" i="15"/>
  <c r="K193" i="15"/>
  <c r="K194" i="15"/>
  <c r="K195" i="15"/>
  <c r="K196" i="15"/>
  <c r="K197" i="15"/>
  <c r="K198" i="15"/>
  <c r="K199" i="15"/>
  <c r="K200" i="15"/>
  <c r="K201" i="15"/>
  <c r="K202" i="15"/>
  <c r="K203" i="15"/>
  <c r="K204" i="15"/>
  <c r="K205" i="15"/>
  <c r="K206" i="15"/>
  <c r="K207" i="15"/>
  <c r="K208" i="15"/>
  <c r="K209" i="15"/>
  <c r="K210" i="15"/>
  <c r="K211" i="15"/>
  <c r="K212" i="15"/>
  <c r="K213" i="15"/>
  <c r="K214" i="15"/>
  <c r="K215" i="15"/>
  <c r="K216" i="15"/>
  <c r="K217" i="15"/>
  <c r="K218" i="15"/>
  <c r="K219" i="15"/>
  <c r="K220" i="15"/>
  <c r="K221" i="15"/>
  <c r="K222" i="15"/>
  <c r="K223" i="15"/>
  <c r="K224" i="15"/>
  <c r="K225" i="15"/>
  <c r="K226" i="15"/>
  <c r="K227" i="15"/>
  <c r="K228" i="15"/>
  <c r="K229" i="15"/>
  <c r="K230" i="15"/>
  <c r="K231" i="15"/>
  <c r="K232" i="15"/>
  <c r="K233" i="15"/>
  <c r="K234" i="15"/>
  <c r="K235" i="15"/>
  <c r="K236" i="15"/>
  <c r="K237" i="15"/>
  <c r="K238" i="15"/>
  <c r="K239" i="15"/>
  <c r="K240" i="15"/>
  <c r="K241" i="15"/>
  <c r="K242" i="15"/>
  <c r="K243" i="15"/>
  <c r="K244" i="15"/>
  <c r="K245" i="15"/>
  <c r="K246" i="15"/>
  <c r="K247" i="15"/>
  <c r="K248" i="15"/>
  <c r="K249" i="15"/>
  <c r="K250" i="15"/>
  <c r="K251" i="15"/>
  <c r="K252" i="15"/>
  <c r="K253" i="15"/>
  <c r="K254" i="15"/>
  <c r="K255" i="15"/>
  <c r="K256" i="15"/>
  <c r="K257" i="15"/>
  <c r="K258" i="15"/>
  <c r="K259" i="15"/>
  <c r="K260" i="15"/>
  <c r="K261" i="15"/>
  <c r="K262" i="15"/>
  <c r="K263" i="15"/>
  <c r="K264" i="15"/>
  <c r="K265" i="15"/>
  <c r="K266" i="15"/>
  <c r="K267" i="15"/>
  <c r="K268" i="15"/>
  <c r="K269" i="15"/>
  <c r="K270" i="15"/>
  <c r="K271" i="15"/>
  <c r="K272" i="15"/>
  <c r="K273" i="15"/>
  <c r="K274" i="15"/>
  <c r="K275" i="15"/>
  <c r="K276" i="15"/>
  <c r="K277" i="15"/>
  <c r="K278" i="15"/>
  <c r="K279" i="15"/>
  <c r="K280" i="15"/>
  <c r="K281" i="15"/>
  <c r="K282" i="15"/>
  <c r="K283" i="15"/>
  <c r="K284" i="15"/>
  <c r="K285" i="15"/>
  <c r="K286" i="15"/>
  <c r="K287" i="15"/>
  <c r="K288" i="15"/>
  <c r="K289" i="15"/>
  <c r="K290" i="15"/>
  <c r="K291" i="15"/>
  <c r="K292" i="15"/>
  <c r="K293" i="15"/>
  <c r="K294" i="15"/>
  <c r="K295" i="15"/>
  <c r="K296" i="15"/>
  <c r="K297" i="15"/>
  <c r="K298" i="15"/>
  <c r="K299" i="15"/>
  <c r="K300" i="15"/>
  <c r="K301" i="15"/>
  <c r="K302" i="15"/>
  <c r="K303" i="15"/>
  <c r="K304" i="15"/>
  <c r="K305" i="15"/>
  <c r="K306" i="15"/>
  <c r="K307" i="15"/>
  <c r="K308" i="15"/>
  <c r="K309" i="15"/>
  <c r="K310" i="15"/>
  <c r="K311" i="15"/>
  <c r="K312" i="15"/>
  <c r="K313" i="15"/>
  <c r="K314" i="15"/>
  <c r="K315" i="15"/>
  <c r="K316" i="15"/>
  <c r="K317" i="15"/>
  <c r="K318" i="15"/>
  <c r="K319" i="15"/>
  <c r="K320" i="15"/>
  <c r="K321" i="15"/>
  <c r="K322" i="15"/>
  <c r="K323" i="15"/>
  <c r="K324" i="15"/>
  <c r="K325" i="15"/>
  <c r="K326" i="15"/>
  <c r="K327" i="15"/>
  <c r="K328" i="15"/>
  <c r="K329" i="15"/>
  <c r="K330" i="15"/>
  <c r="K331" i="15"/>
  <c r="K332" i="15"/>
  <c r="K333" i="15"/>
  <c r="K334" i="15"/>
  <c r="K335" i="15"/>
  <c r="K336" i="15"/>
  <c r="K337" i="15"/>
  <c r="K338" i="15"/>
  <c r="K339" i="15"/>
  <c r="K340" i="15"/>
  <c r="K341" i="15"/>
  <c r="K342" i="15"/>
  <c r="K343" i="15"/>
  <c r="K344" i="15"/>
  <c r="K345" i="15"/>
  <c r="K346" i="15"/>
  <c r="K347" i="15"/>
  <c r="K348" i="15"/>
  <c r="K349" i="15"/>
  <c r="K350" i="15"/>
  <c r="K351" i="15"/>
  <c r="K352" i="15"/>
  <c r="K353" i="15"/>
  <c r="K354" i="15"/>
  <c r="K355" i="15"/>
  <c r="K356" i="15"/>
  <c r="K357" i="15"/>
  <c r="K358" i="15"/>
  <c r="K359" i="15"/>
  <c r="K360" i="15"/>
  <c r="K361" i="15"/>
  <c r="K362" i="15"/>
  <c r="K363" i="15"/>
  <c r="K364" i="15"/>
  <c r="K365" i="15"/>
  <c r="K366" i="15"/>
  <c r="K367" i="15"/>
  <c r="K368" i="15"/>
  <c r="K370" i="15"/>
  <c r="K371" i="15"/>
  <c r="K372" i="15"/>
  <c r="K375" i="15"/>
  <c r="K376" i="15"/>
  <c r="K377" i="15"/>
  <c r="K379" i="15"/>
  <c r="K380" i="15"/>
  <c r="K381" i="15"/>
  <c r="K384" i="15"/>
  <c r="K385" i="15"/>
  <c r="K386" i="15"/>
  <c r="K387" i="15"/>
  <c r="K388" i="15"/>
  <c r="K389" i="15"/>
  <c r="K390" i="15"/>
  <c r="K391" i="15"/>
  <c r="K392" i="15"/>
  <c r="K393" i="15"/>
  <c r="K394" i="15"/>
  <c r="K396" i="15"/>
  <c r="K397" i="15"/>
  <c r="K399" i="15"/>
  <c r="K400" i="15"/>
  <c r="K402" i="15"/>
  <c r="K403" i="15"/>
  <c r="K404" i="15"/>
  <c r="K406" i="15"/>
  <c r="K407" i="15"/>
  <c r="K409" i="15"/>
  <c r="K410" i="15"/>
  <c r="K411" i="15"/>
  <c r="K412" i="15"/>
  <c r="K413" i="15"/>
  <c r="K414" i="15"/>
  <c r="K415" i="15"/>
  <c r="K416" i="15"/>
  <c r="K417" i="15"/>
  <c r="K418" i="15"/>
  <c r="K419" i="15"/>
  <c r="K420" i="15"/>
  <c r="K422" i="15"/>
  <c r="K423" i="15"/>
  <c r="K424" i="15"/>
  <c r="K425" i="15"/>
  <c r="K426" i="15"/>
  <c r="K429" i="15"/>
  <c r="K430" i="15"/>
  <c r="K431" i="15"/>
  <c r="K432" i="15"/>
  <c r="K433" i="15"/>
  <c r="K434" i="15"/>
  <c r="K435" i="15"/>
  <c r="K436" i="15"/>
  <c r="K437" i="15"/>
  <c r="K439" i="15"/>
  <c r="K440" i="15"/>
  <c r="K441" i="15"/>
  <c r="K442" i="15"/>
  <c r="K443" i="15"/>
  <c r="K444" i="15"/>
  <c r="K445" i="15"/>
  <c r="K446" i="15"/>
  <c r="K447" i="15"/>
  <c r="K449" i="15"/>
  <c r="K450" i="15"/>
  <c r="K451" i="15"/>
  <c r="K452" i="15"/>
  <c r="K453" i="15"/>
  <c r="K454" i="15"/>
  <c r="K455" i="15"/>
  <c r="K456" i="15"/>
  <c r="K459" i="15"/>
  <c r="K461" i="15"/>
  <c r="K462" i="15"/>
  <c r="K464" i="15"/>
  <c r="K465" i="15"/>
  <c r="K466" i="15"/>
  <c r="K467" i="15"/>
  <c r="K468" i="15"/>
  <c r="K469" i="15"/>
  <c r="K470" i="15"/>
  <c r="K472" i="15"/>
  <c r="K473" i="15"/>
  <c r="K474" i="15"/>
  <c r="K475" i="15"/>
  <c r="K476" i="15"/>
  <c r="K479" i="15"/>
  <c r="K480" i="15"/>
  <c r="K481" i="15"/>
  <c r="K482" i="15"/>
  <c r="K484" i="15"/>
  <c r="K486" i="15"/>
  <c r="K487" i="15"/>
  <c r="K489" i="15"/>
  <c r="K490" i="15"/>
  <c r="K491" i="15"/>
  <c r="K492" i="15"/>
  <c r="K493" i="15"/>
  <c r="K494" i="15"/>
  <c r="K496" i="15"/>
  <c r="K498" i="15"/>
  <c r="K499" i="15"/>
  <c r="K500" i="15"/>
  <c r="K501" i="15"/>
  <c r="K502" i="15"/>
  <c r="K503" i="15"/>
  <c r="K504" i="15"/>
  <c r="K505" i="15"/>
  <c r="K507" i="15"/>
  <c r="K508" i="15"/>
  <c r="K509" i="15"/>
  <c r="K511" i="15"/>
  <c r="K513" i="15"/>
  <c r="K514" i="15"/>
  <c r="K516" i="15"/>
  <c r="K517" i="15"/>
  <c r="K520" i="15"/>
  <c r="K521" i="15"/>
  <c r="K522" i="15"/>
  <c r="K523" i="15"/>
  <c r="K524" i="15"/>
  <c r="K525" i="15"/>
  <c r="K526" i="15"/>
  <c r="K528" i="15"/>
  <c r="K529" i="15"/>
  <c r="K530" i="15"/>
  <c r="K531" i="15"/>
  <c r="K532" i="15"/>
  <c r="K533" i="15"/>
  <c r="K534" i="15"/>
  <c r="K535" i="15"/>
  <c r="K536" i="15"/>
  <c r="K537" i="15"/>
  <c r="K538" i="15"/>
  <c r="K540" i="15"/>
  <c r="K541" i="15"/>
  <c r="K542" i="15"/>
  <c r="K543" i="15"/>
  <c r="K544" i="15"/>
  <c r="K547" i="15"/>
  <c r="K548" i="15"/>
  <c r="K549" i="15"/>
  <c r="K550" i="15"/>
  <c r="K551" i="15"/>
  <c r="K552" i="15"/>
  <c r="K553" i="15"/>
  <c r="K555" i="15"/>
  <c r="K556" i="15"/>
  <c r="K557" i="15"/>
  <c r="K558" i="15"/>
  <c r="K559" i="15"/>
  <c r="K560" i="15"/>
  <c r="K561" i="15"/>
  <c r="K562" i="15"/>
  <c r="K563" i="15"/>
  <c r="K565" i="15"/>
  <c r="K566" i="15"/>
  <c r="K567" i="15"/>
  <c r="K568" i="15"/>
  <c r="K569" i="15"/>
  <c r="K571" i="15"/>
  <c r="K572" i="15"/>
  <c r="K573" i="15"/>
  <c r="K574" i="15"/>
  <c r="K575" i="15"/>
  <c r="K576" i="15"/>
  <c r="K577" i="15"/>
  <c r="K578" i="15"/>
  <c r="K579" i="15"/>
  <c r="K580" i="15"/>
  <c r="K582" i="15"/>
  <c r="K583" i="15"/>
  <c r="K584" i="15"/>
  <c r="K585" i="15"/>
  <c r="K586" i="15"/>
  <c r="K587" i="15"/>
  <c r="K588" i="15"/>
  <c r="K589" i="15"/>
  <c r="K590" i="15"/>
  <c r="K592" i="15"/>
  <c r="K593" i="15"/>
  <c r="K594" i="15"/>
  <c r="K595" i="15"/>
  <c r="K596" i="15"/>
  <c r="K597" i="15"/>
  <c r="K598" i="15"/>
  <c r="K601" i="15"/>
  <c r="K602" i="15"/>
  <c r="K603" i="15"/>
  <c r="K604" i="15"/>
  <c r="K605" i="15"/>
  <c r="K606" i="15"/>
  <c r="K608" i="15"/>
  <c r="K609" i="15"/>
  <c r="K610" i="15"/>
  <c r="K611" i="15"/>
  <c r="K612" i="15"/>
  <c r="K613" i="15"/>
  <c r="K614" i="15"/>
  <c r="K615" i="15"/>
  <c r="K616" i="15"/>
  <c r="K617" i="15"/>
  <c r="K618" i="15"/>
  <c r="K619" i="15"/>
  <c r="K620" i="15"/>
  <c r="K621" i="15"/>
  <c r="K624" i="15"/>
  <c r="K625" i="15"/>
  <c r="K626" i="15"/>
  <c r="K627" i="15"/>
  <c r="K628" i="15"/>
  <c r="K629" i="15"/>
  <c r="K630" i="15"/>
  <c r="K631" i="15"/>
  <c r="K632" i="15"/>
  <c r="K633" i="15"/>
  <c r="K634" i="15"/>
  <c r="K635" i="15"/>
  <c r="K636" i="15"/>
  <c r="K637" i="15"/>
  <c r="K638" i="15"/>
  <c r="K639" i="15"/>
  <c r="K640" i="15"/>
  <c r="K642" i="15"/>
  <c r="K643" i="15"/>
  <c r="K644" i="15"/>
  <c r="K645" i="15"/>
  <c r="K646" i="15"/>
  <c r="K647" i="15"/>
  <c r="K648" i="15"/>
  <c r="K649" i="15"/>
  <c r="K650" i="15"/>
  <c r="K651" i="15"/>
  <c r="K652" i="15"/>
  <c r="K654" i="15"/>
  <c r="K656" i="15"/>
  <c r="K657" i="15"/>
  <c r="K658" i="15"/>
  <c r="K659" i="15"/>
  <c r="K661" i="15"/>
  <c r="K662" i="15"/>
  <c r="K663" i="15"/>
  <c r="K664" i="15"/>
  <c r="K665" i="15"/>
  <c r="K666" i="15"/>
  <c r="K667" i="15"/>
  <c r="K668" i="15"/>
  <c r="K669" i="15"/>
  <c r="K670" i="15"/>
  <c r="K671" i="15"/>
  <c r="K672" i="15"/>
  <c r="K673" i="15"/>
  <c r="K674" i="15"/>
  <c r="K675" i="15"/>
  <c r="K676" i="15"/>
  <c r="K677" i="15"/>
  <c r="K678" i="15"/>
  <c r="K679" i="15"/>
  <c r="K680" i="15"/>
  <c r="K681" i="15"/>
  <c r="K682" i="15"/>
  <c r="K683" i="15"/>
  <c r="K684" i="15"/>
  <c r="K685" i="15"/>
  <c r="K686" i="15"/>
  <c r="K687" i="15"/>
  <c r="K688" i="15"/>
  <c r="K689" i="15"/>
  <c r="K690" i="15"/>
  <c r="K691" i="15"/>
  <c r="K692" i="15"/>
  <c r="K693" i="15"/>
  <c r="K694" i="15"/>
  <c r="K695" i="15"/>
  <c r="K696" i="15"/>
  <c r="K697" i="15"/>
  <c r="K698" i="15"/>
  <c r="K699" i="15"/>
  <c r="K700" i="15"/>
  <c r="K701" i="15"/>
  <c r="K702" i="15"/>
  <c r="K703" i="15"/>
  <c r="K704" i="15"/>
  <c r="K705" i="15"/>
  <c r="K706" i="15"/>
  <c r="K707" i="15"/>
  <c r="K708" i="15"/>
  <c r="K709" i="15"/>
  <c r="K710" i="15"/>
  <c r="K711" i="15"/>
  <c r="K712" i="15"/>
  <c r="K713" i="15"/>
  <c r="K714" i="15"/>
  <c r="K715" i="15"/>
  <c r="K716" i="15"/>
  <c r="K717" i="15"/>
  <c r="K718" i="15"/>
  <c r="K719" i="15"/>
  <c r="K720" i="15"/>
  <c r="K721" i="15"/>
  <c r="K722" i="15"/>
  <c r="K723" i="15"/>
  <c r="K724" i="15"/>
  <c r="K725" i="15"/>
  <c r="K726" i="15"/>
  <c r="K727" i="15"/>
  <c r="K728" i="15"/>
  <c r="K729" i="15"/>
  <c r="K730" i="15"/>
  <c r="K731" i="15"/>
  <c r="K732" i="15"/>
  <c r="K733" i="15"/>
  <c r="K734" i="15"/>
  <c r="K735" i="15"/>
  <c r="K736" i="15"/>
  <c r="K737" i="15"/>
  <c r="K738" i="15"/>
  <c r="K739" i="15"/>
  <c r="K740" i="15"/>
  <c r="K741" i="15"/>
  <c r="K742" i="15"/>
  <c r="K743" i="15"/>
  <c r="K744" i="15"/>
  <c r="K745" i="15"/>
  <c r="K746" i="15"/>
  <c r="K747" i="15"/>
  <c r="K748" i="15"/>
  <c r="K749" i="15"/>
  <c r="K750" i="15"/>
  <c r="K751" i="15"/>
  <c r="K752" i="15"/>
  <c r="K753" i="15"/>
  <c r="K754" i="15"/>
  <c r="K755" i="15"/>
  <c r="K756" i="15"/>
  <c r="K757" i="15"/>
  <c r="K758" i="15"/>
  <c r="K759" i="15"/>
  <c r="K760" i="15"/>
  <c r="K761" i="15"/>
  <c r="K762" i="15"/>
  <c r="K763" i="15"/>
  <c r="K764" i="15"/>
  <c r="K765" i="15"/>
  <c r="K766" i="15"/>
  <c r="K767" i="15"/>
  <c r="K768" i="15"/>
  <c r="K769" i="15"/>
  <c r="K770" i="15"/>
  <c r="K771" i="15"/>
  <c r="K772" i="15"/>
  <c r="K773" i="15"/>
  <c r="K774" i="15"/>
  <c r="K775" i="15"/>
  <c r="K776" i="15"/>
  <c r="K777" i="15"/>
  <c r="K778" i="15"/>
  <c r="K779" i="15"/>
  <c r="K780" i="15"/>
  <c r="K781" i="15"/>
  <c r="K782" i="15"/>
  <c r="K783" i="15"/>
  <c r="K784" i="15"/>
  <c r="K785" i="15"/>
  <c r="K786" i="15"/>
  <c r="K787" i="15"/>
  <c r="K788" i="15"/>
  <c r="K789" i="15"/>
  <c r="K790" i="15"/>
  <c r="K791" i="15"/>
  <c r="K792" i="15"/>
  <c r="K793" i="15"/>
  <c r="K794" i="15"/>
  <c r="K795" i="15"/>
  <c r="K796" i="15"/>
  <c r="K797" i="15"/>
  <c r="K798" i="15"/>
  <c r="K799" i="15"/>
  <c r="K800" i="15"/>
  <c r="K801" i="15"/>
  <c r="K802" i="15"/>
  <c r="K803" i="15"/>
  <c r="K804" i="15"/>
  <c r="K805" i="15"/>
  <c r="K806" i="15"/>
  <c r="K807" i="15"/>
  <c r="K808" i="15"/>
  <c r="K809" i="15"/>
  <c r="K810" i="15"/>
  <c r="K811" i="15"/>
  <c r="K812" i="15"/>
  <c r="K813" i="15"/>
  <c r="K814" i="15"/>
  <c r="K815" i="15"/>
  <c r="K816" i="15"/>
  <c r="K817" i="15"/>
  <c r="K818" i="15"/>
  <c r="K819" i="15"/>
  <c r="K820" i="15"/>
  <c r="K821" i="15"/>
  <c r="K822" i="15"/>
  <c r="K823" i="15"/>
  <c r="K824" i="15"/>
  <c r="K825" i="15"/>
  <c r="K826" i="15"/>
  <c r="K827" i="15"/>
  <c r="K828" i="15"/>
  <c r="K829" i="15"/>
  <c r="K830" i="15"/>
  <c r="K831" i="15"/>
  <c r="K832" i="15"/>
  <c r="K833" i="15"/>
  <c r="K834" i="15"/>
  <c r="K835" i="15"/>
  <c r="K836" i="15"/>
  <c r="K837" i="15"/>
  <c r="K838" i="15"/>
  <c r="K839" i="15"/>
  <c r="K840" i="15"/>
  <c r="K841" i="15"/>
  <c r="K842" i="15"/>
  <c r="K843" i="15"/>
  <c r="K844" i="15"/>
  <c r="K845" i="15"/>
  <c r="K846" i="15"/>
  <c r="K847" i="15"/>
  <c r="K848" i="15"/>
  <c r="K849" i="15"/>
  <c r="K850" i="15"/>
  <c r="K851" i="15"/>
  <c r="K852" i="15"/>
  <c r="K853" i="15"/>
  <c r="K854" i="15"/>
  <c r="K855" i="15"/>
  <c r="K856" i="15"/>
  <c r="K857" i="15"/>
  <c r="K858" i="15"/>
  <c r="K859" i="15"/>
  <c r="K860" i="15"/>
  <c r="K861" i="15"/>
  <c r="K862" i="15"/>
  <c r="K863" i="15"/>
  <c r="K864" i="15"/>
  <c r="K865" i="15"/>
  <c r="K866" i="15"/>
  <c r="K867" i="15"/>
  <c r="K868" i="15"/>
  <c r="K869" i="15"/>
  <c r="K870" i="15"/>
  <c r="K871" i="15"/>
  <c r="K872" i="15"/>
  <c r="K873" i="15"/>
  <c r="K874" i="15"/>
  <c r="K875" i="15"/>
  <c r="K876" i="15"/>
  <c r="K877" i="15"/>
  <c r="K878" i="15"/>
  <c r="K879" i="15"/>
  <c r="K880" i="15"/>
  <c r="K881" i="15"/>
  <c r="K882" i="15"/>
  <c r="K883" i="15"/>
  <c r="K884" i="15"/>
  <c r="K885" i="15"/>
  <c r="K886" i="15"/>
  <c r="K887" i="15"/>
  <c r="K888" i="15"/>
  <c r="K889" i="15"/>
  <c r="K890" i="15"/>
  <c r="K891" i="15"/>
  <c r="K892" i="15"/>
  <c r="K893" i="15"/>
  <c r="K894" i="15"/>
  <c r="K895" i="15"/>
  <c r="K896" i="15"/>
  <c r="K897" i="15"/>
  <c r="K898" i="15"/>
  <c r="K899" i="15"/>
  <c r="K900" i="15"/>
  <c r="K901" i="15"/>
  <c r="K902" i="15"/>
  <c r="K903" i="15"/>
  <c r="K904" i="15"/>
  <c r="K905" i="15"/>
  <c r="K906" i="15"/>
  <c r="K907" i="15"/>
  <c r="K908" i="15"/>
  <c r="K909" i="15"/>
  <c r="K910" i="15"/>
  <c r="K911" i="15"/>
  <c r="K912" i="15"/>
  <c r="K913" i="15"/>
  <c r="K914" i="15"/>
  <c r="K915" i="15"/>
  <c r="K916" i="15"/>
  <c r="K917" i="15"/>
  <c r="K918" i="15"/>
  <c r="K919" i="15"/>
  <c r="K920" i="15"/>
  <c r="K921" i="15"/>
  <c r="K922" i="15"/>
  <c r="K923" i="15"/>
  <c r="K924" i="15"/>
  <c r="K925" i="15"/>
  <c r="K926" i="15"/>
  <c r="K927" i="15"/>
  <c r="K928" i="15"/>
  <c r="K929" i="15"/>
  <c r="K930" i="15"/>
  <c r="K931" i="15"/>
  <c r="K932" i="15"/>
  <c r="K933" i="15"/>
  <c r="K934" i="15"/>
  <c r="K935" i="15"/>
  <c r="K936" i="15"/>
  <c r="K937" i="15"/>
  <c r="K938" i="15"/>
  <c r="K939" i="15"/>
  <c r="K940" i="15"/>
  <c r="K941" i="15"/>
  <c r="K942" i="15"/>
  <c r="K943" i="15"/>
  <c r="K944" i="15"/>
  <c r="K945" i="15"/>
  <c r="K946" i="15"/>
  <c r="K947" i="15"/>
  <c r="K948" i="15"/>
  <c r="K949" i="15"/>
  <c r="K950" i="15"/>
  <c r="K951" i="15"/>
  <c r="K952" i="15"/>
  <c r="K953" i="15"/>
  <c r="K954" i="15"/>
  <c r="K955" i="15"/>
  <c r="K956" i="15"/>
  <c r="K957" i="15"/>
  <c r="K958" i="15"/>
  <c r="K959" i="15"/>
  <c r="K960" i="15"/>
  <c r="K961" i="15"/>
  <c r="K962" i="15"/>
  <c r="K963" i="15"/>
  <c r="K964" i="15"/>
  <c r="K965" i="15"/>
  <c r="K966" i="15"/>
  <c r="K967" i="15"/>
  <c r="K968" i="15"/>
  <c r="K969" i="15"/>
  <c r="K970" i="15"/>
  <c r="K971" i="15"/>
  <c r="K972" i="15"/>
  <c r="K973" i="15"/>
  <c r="K974" i="15"/>
  <c r="K975" i="15"/>
  <c r="K976" i="15"/>
  <c r="K977" i="15"/>
  <c r="K978" i="15"/>
  <c r="K979" i="15"/>
  <c r="K980" i="15"/>
  <c r="K981" i="15"/>
  <c r="K982" i="15"/>
  <c r="K983" i="15"/>
  <c r="K984" i="15"/>
  <c r="K985" i="15"/>
  <c r="K986" i="15"/>
  <c r="K987" i="15"/>
  <c r="K988" i="15"/>
  <c r="K989" i="15"/>
  <c r="K990" i="15"/>
  <c r="K991" i="15"/>
  <c r="K992" i="15"/>
  <c r="K993" i="15"/>
  <c r="K994" i="15"/>
  <c r="K995" i="15"/>
  <c r="K996" i="15"/>
  <c r="K997" i="15"/>
  <c r="K998" i="15"/>
  <c r="K999" i="15"/>
  <c r="K1000" i="15"/>
  <c r="K1001" i="15"/>
  <c r="K1002" i="15"/>
  <c r="K1003" i="15"/>
  <c r="K1004" i="15"/>
  <c r="K1005" i="15"/>
  <c r="K1006" i="15"/>
  <c r="K1007" i="15"/>
  <c r="K1008" i="15"/>
  <c r="K1009" i="15"/>
  <c r="K1010" i="15"/>
  <c r="K1011" i="15"/>
  <c r="K1012" i="15"/>
  <c r="K1013" i="15"/>
  <c r="K1014" i="15"/>
  <c r="K1015" i="15"/>
  <c r="K1016" i="15"/>
  <c r="K1017" i="15"/>
  <c r="K1018" i="15"/>
  <c r="K1019" i="15"/>
  <c r="K1020" i="15"/>
  <c r="K1021" i="15"/>
  <c r="K1022" i="15"/>
  <c r="K1023" i="15"/>
  <c r="K1024" i="15"/>
  <c r="K1025" i="15"/>
  <c r="K1026" i="15"/>
  <c r="K1027" i="15"/>
  <c r="K1028" i="15"/>
  <c r="K1029" i="15"/>
  <c r="K1030" i="15"/>
  <c r="K1031" i="15"/>
  <c r="K1032" i="15"/>
  <c r="K1033" i="15"/>
  <c r="K1034" i="15"/>
  <c r="K1035" i="15"/>
  <c r="K1036" i="15"/>
  <c r="K1037" i="15"/>
  <c r="K1038" i="15"/>
  <c r="K1039" i="15"/>
  <c r="K1040" i="15"/>
  <c r="K1041" i="15"/>
  <c r="K1042" i="15"/>
  <c r="K1043" i="15"/>
  <c r="K1044" i="15"/>
  <c r="K1045" i="15"/>
  <c r="K1046" i="15"/>
  <c r="K1047" i="15"/>
  <c r="K1048" i="15"/>
  <c r="K1049" i="15"/>
  <c r="K1050" i="15"/>
  <c r="K1051" i="15"/>
  <c r="K1052" i="15"/>
  <c r="K1053" i="15"/>
  <c r="K1054" i="15"/>
  <c r="K1055" i="15"/>
  <c r="K1056" i="15"/>
  <c r="K1057" i="15"/>
  <c r="K1058" i="15"/>
  <c r="K1059" i="15"/>
  <c r="K1060" i="15"/>
  <c r="K1061" i="15"/>
  <c r="K1062" i="15"/>
  <c r="K1063" i="15"/>
  <c r="K1064" i="15"/>
  <c r="K1065" i="15"/>
  <c r="K1066" i="15"/>
  <c r="K1067" i="15"/>
  <c r="K1068" i="15"/>
  <c r="K1069" i="15"/>
  <c r="K1070" i="15"/>
  <c r="K1071" i="15"/>
  <c r="K1072" i="15"/>
  <c r="K1073" i="15"/>
  <c r="K1074" i="15"/>
  <c r="K1075" i="15"/>
  <c r="K1076" i="15"/>
  <c r="K1077" i="15"/>
  <c r="K1078" i="15"/>
  <c r="K1079" i="15"/>
  <c r="K1080" i="15"/>
  <c r="K1081" i="15"/>
  <c r="K1082" i="15"/>
  <c r="K1083" i="15"/>
  <c r="K1084" i="15"/>
  <c r="K1085" i="15"/>
  <c r="K1086" i="15"/>
  <c r="K1087" i="15"/>
  <c r="K1088" i="15"/>
  <c r="K1089" i="15"/>
  <c r="K1090" i="15"/>
  <c r="K1091" i="15"/>
  <c r="K1092" i="15"/>
  <c r="K1093" i="15"/>
  <c r="K1094" i="15"/>
  <c r="K1095" i="15"/>
  <c r="K1096" i="15"/>
  <c r="K1097" i="15"/>
  <c r="K1098" i="15"/>
  <c r="K1099" i="15"/>
  <c r="K1100" i="15"/>
  <c r="K1101" i="15"/>
  <c r="K1102" i="15"/>
  <c r="K1103" i="15"/>
  <c r="K1104" i="15"/>
  <c r="K1105" i="15"/>
  <c r="K1106" i="15"/>
  <c r="K1107" i="15"/>
  <c r="K1108" i="15"/>
  <c r="K1109" i="15"/>
  <c r="K1110" i="15"/>
  <c r="K1111" i="15"/>
  <c r="K1112" i="15"/>
  <c r="K1113" i="15"/>
  <c r="K1114" i="15"/>
  <c r="K1115" i="15"/>
  <c r="K1116" i="15"/>
  <c r="K1117" i="15"/>
  <c r="K1118" i="15"/>
  <c r="K1119" i="15"/>
  <c r="K1120" i="15"/>
  <c r="K1121" i="15"/>
  <c r="K1122" i="15"/>
  <c r="K1123" i="15"/>
  <c r="K1124" i="15"/>
  <c r="K1125" i="15"/>
  <c r="K1126" i="15"/>
  <c r="K1127" i="15"/>
  <c r="K1128" i="15"/>
  <c r="K1129" i="15"/>
  <c r="K1130" i="15"/>
  <c r="K1131" i="15"/>
  <c r="K1132" i="15"/>
  <c r="K1133" i="15"/>
  <c r="K1134" i="15"/>
  <c r="K1135" i="15"/>
  <c r="K1136" i="15"/>
  <c r="K1137" i="15"/>
  <c r="K1138" i="15"/>
  <c r="K1139" i="15"/>
  <c r="K1140" i="15"/>
  <c r="K1141" i="15"/>
  <c r="K1142" i="15"/>
  <c r="K1143" i="15"/>
  <c r="K1144" i="15"/>
  <c r="K1145" i="15"/>
  <c r="K1146" i="15"/>
  <c r="K1147" i="15"/>
  <c r="K1148" i="15"/>
  <c r="K1149" i="15"/>
  <c r="K1150" i="15"/>
  <c r="K1151" i="15"/>
  <c r="K1152" i="15"/>
  <c r="K1153" i="15"/>
  <c r="K1154" i="15"/>
  <c r="K1155" i="15"/>
  <c r="K1156" i="15"/>
  <c r="K1157" i="15"/>
  <c r="K1158" i="15"/>
  <c r="K1159" i="15"/>
  <c r="K1160" i="15"/>
  <c r="K1161" i="15"/>
  <c r="K1162" i="15"/>
  <c r="K1163" i="15"/>
  <c r="K1164" i="15"/>
  <c r="K1165" i="15"/>
  <c r="K1166" i="15"/>
  <c r="K1167" i="15"/>
  <c r="K1168" i="15"/>
  <c r="K1169" i="15"/>
  <c r="K1170" i="15"/>
  <c r="K1171" i="15"/>
  <c r="K1172" i="15"/>
  <c r="K1173" i="15"/>
  <c r="K1174" i="15"/>
  <c r="K1175" i="15"/>
  <c r="K1176" i="15"/>
  <c r="K1177" i="15"/>
  <c r="K1178" i="15"/>
  <c r="K1179" i="15"/>
  <c r="K1180" i="15"/>
  <c r="K1181" i="15"/>
  <c r="K1182" i="15"/>
  <c r="K1183" i="15"/>
  <c r="K1184" i="15"/>
  <c r="K1185" i="15"/>
  <c r="K1186" i="15"/>
  <c r="K1187" i="15"/>
  <c r="K1188" i="15"/>
  <c r="K1189" i="15"/>
  <c r="K1190" i="15"/>
  <c r="K1191" i="15"/>
  <c r="K1192" i="15"/>
  <c r="K1193" i="15"/>
  <c r="K1194" i="15"/>
  <c r="K1195" i="15"/>
  <c r="K1196" i="15"/>
  <c r="K1197" i="15"/>
  <c r="K1198" i="15"/>
  <c r="K1199" i="15"/>
  <c r="K1200" i="15"/>
  <c r="K1201" i="15"/>
  <c r="K1202" i="15"/>
  <c r="K1203" i="15"/>
  <c r="K1204" i="15"/>
  <c r="K1205" i="15"/>
  <c r="K1206" i="15"/>
  <c r="K1207" i="15"/>
  <c r="K1208" i="15"/>
  <c r="K1209" i="15"/>
  <c r="K1210" i="15"/>
  <c r="K1211" i="15"/>
  <c r="K1212" i="15"/>
  <c r="K1213" i="15"/>
  <c r="K1214" i="15"/>
  <c r="K1215" i="15"/>
  <c r="K1216" i="15"/>
  <c r="K1217" i="15"/>
  <c r="K1218" i="15"/>
  <c r="K1219" i="15"/>
  <c r="K1220" i="15"/>
  <c r="K1221" i="15"/>
  <c r="K1222" i="15"/>
  <c r="K1223" i="15"/>
  <c r="K1224" i="15"/>
  <c r="K1225" i="15"/>
  <c r="K1226" i="15"/>
  <c r="K1227" i="15"/>
  <c r="K1228" i="15"/>
  <c r="K1229" i="15"/>
  <c r="K1230" i="15"/>
  <c r="K1231" i="15"/>
  <c r="K1232" i="15"/>
  <c r="K1233" i="15"/>
  <c r="K1234" i="15"/>
  <c r="K1235" i="15"/>
  <c r="K1236" i="15"/>
  <c r="K1237" i="15"/>
  <c r="K1238" i="15"/>
  <c r="K1239" i="15"/>
  <c r="K1240" i="15"/>
  <c r="K1241" i="15"/>
  <c r="K1242" i="15"/>
  <c r="K1243" i="15"/>
  <c r="K1244" i="15"/>
  <c r="K1245" i="15"/>
  <c r="K1246" i="15"/>
  <c r="K1247" i="15"/>
  <c r="K1248" i="15"/>
  <c r="K1249" i="15"/>
  <c r="K1250" i="15"/>
  <c r="K1251" i="15"/>
  <c r="K1252" i="15"/>
  <c r="K1253" i="15"/>
  <c r="K1254" i="15"/>
  <c r="K1255" i="15"/>
  <c r="K1256" i="15"/>
  <c r="K1257" i="15"/>
  <c r="K1258" i="15"/>
  <c r="K1259" i="15"/>
  <c r="K1260" i="15"/>
  <c r="K1261" i="15"/>
  <c r="K1262" i="15"/>
  <c r="K1263" i="15"/>
  <c r="K1264" i="15"/>
  <c r="K1265" i="15"/>
  <c r="K1266" i="15"/>
  <c r="K1267" i="15"/>
  <c r="K1268" i="15"/>
  <c r="K1269" i="15"/>
  <c r="K1270" i="15"/>
  <c r="K1271" i="15"/>
  <c r="K1272" i="15"/>
  <c r="K1273" i="15"/>
  <c r="K1274" i="15"/>
  <c r="K1275" i="15"/>
  <c r="K1276" i="15"/>
  <c r="K1277" i="15"/>
  <c r="K1278" i="15"/>
  <c r="K1279" i="15"/>
  <c r="K1280" i="15"/>
  <c r="K1281" i="15"/>
  <c r="K1282" i="15"/>
  <c r="K1283" i="15"/>
  <c r="K1284" i="15"/>
  <c r="K1285" i="15"/>
  <c r="K1286" i="15"/>
  <c r="K1287" i="15"/>
  <c r="K1288" i="15"/>
  <c r="K1289" i="15"/>
  <c r="K1290" i="15"/>
  <c r="K1291" i="15"/>
  <c r="K1292" i="15"/>
  <c r="K1293" i="15"/>
  <c r="K1294" i="15"/>
  <c r="K1295" i="15"/>
  <c r="K1296" i="15"/>
  <c r="K1297" i="15"/>
  <c r="K1298" i="15"/>
  <c r="K1299" i="15"/>
  <c r="K1300" i="15"/>
  <c r="K1301" i="15"/>
  <c r="K1302" i="15"/>
  <c r="K1303" i="15"/>
  <c r="K1304" i="15"/>
  <c r="K1305" i="15"/>
  <c r="K1306" i="15"/>
  <c r="K1307" i="15"/>
  <c r="K1308" i="15"/>
  <c r="K1309" i="15"/>
  <c r="K1310" i="15"/>
  <c r="K1311" i="15"/>
  <c r="K1312" i="15"/>
  <c r="K1313" i="15"/>
  <c r="K1314" i="15"/>
  <c r="K1315" i="15"/>
  <c r="K1316" i="15"/>
  <c r="K1317" i="15"/>
  <c r="K1318" i="15"/>
  <c r="K1319" i="15"/>
  <c r="K1320" i="15"/>
  <c r="K1321" i="15"/>
  <c r="K1322" i="15"/>
  <c r="K1323" i="15"/>
  <c r="K1324" i="15"/>
  <c r="K1325" i="15"/>
  <c r="K1326" i="15"/>
  <c r="K1327" i="15"/>
  <c r="K1328" i="15"/>
  <c r="K1329" i="15"/>
  <c r="K1330" i="15"/>
  <c r="K1331" i="15"/>
  <c r="K1332" i="15"/>
  <c r="K1333" i="15"/>
  <c r="K1334" i="15"/>
  <c r="K1335" i="15"/>
  <c r="K1336" i="15"/>
  <c r="K1337" i="15"/>
  <c r="K1338" i="15"/>
  <c r="K1339" i="15"/>
  <c r="K1340" i="15"/>
  <c r="K1341" i="15"/>
  <c r="K1342" i="15"/>
  <c r="K1343" i="15"/>
  <c r="K1344" i="15"/>
  <c r="K1345" i="15"/>
  <c r="K1346" i="15"/>
  <c r="K1347" i="15"/>
  <c r="K1348" i="15"/>
  <c r="K1349" i="15"/>
  <c r="K1350" i="15"/>
  <c r="K1351" i="15"/>
  <c r="K1352" i="15"/>
  <c r="K1353" i="15"/>
  <c r="K1354" i="15"/>
  <c r="K1355" i="15"/>
  <c r="K1356" i="15"/>
  <c r="K1357" i="15"/>
  <c r="K1358" i="15"/>
  <c r="K1359" i="15"/>
  <c r="K1360" i="15"/>
  <c r="K1361" i="15"/>
  <c r="K1362" i="15"/>
  <c r="K1363" i="15"/>
  <c r="K1364" i="15"/>
  <c r="K1365" i="15"/>
  <c r="K1366" i="15"/>
  <c r="K1367" i="15"/>
  <c r="K1368" i="15"/>
  <c r="K1370" i="15"/>
  <c r="K1371" i="15"/>
  <c r="K1374" i="15"/>
  <c r="K1375" i="15"/>
  <c r="K1376" i="15"/>
  <c r="K1377" i="15"/>
  <c r="K1379" i="15"/>
  <c r="K1381" i="15"/>
  <c r="K1382" i="15"/>
  <c r="K1383" i="15"/>
  <c r="K1384" i="15"/>
  <c r="K1385" i="15"/>
  <c r="K1386" i="15"/>
  <c r="K1387" i="15"/>
  <c r="K1388" i="15"/>
  <c r="K1389" i="15"/>
  <c r="K1392" i="15"/>
  <c r="K1393" i="15"/>
  <c r="K1394" i="15"/>
  <c r="K1395" i="15"/>
  <c r="K1396" i="15"/>
  <c r="K1397" i="15"/>
  <c r="K1398" i="15"/>
  <c r="K1399" i="15"/>
  <c r="K1400" i="15"/>
  <c r="K1401" i="15"/>
  <c r="K1402" i="15"/>
  <c r="K1403" i="15"/>
  <c r="K1404" i="15"/>
  <c r="K1405" i="15"/>
  <c r="K1406" i="15"/>
  <c r="K1407" i="15"/>
  <c r="K1408" i="15"/>
  <c r="K1410" i="15"/>
  <c r="K1411" i="15"/>
  <c r="K1412" i="15"/>
  <c r="K1413" i="15"/>
  <c r="K1414" i="15"/>
  <c r="K1415" i="15"/>
  <c r="K1416" i="15"/>
  <c r="K1417" i="15"/>
  <c r="K1418" i="15"/>
  <c r="K1419" i="15"/>
  <c r="K1420" i="15"/>
  <c r="K1421" i="15"/>
  <c r="K1422" i="15"/>
  <c r="K1423" i="15"/>
  <c r="K1424" i="15"/>
  <c r="K1425" i="15"/>
  <c r="K1426" i="15"/>
  <c r="K1427" i="15"/>
  <c r="K1428" i="15"/>
  <c r="K1429" i="15"/>
  <c r="K1430" i="15"/>
  <c r="K1431" i="15"/>
  <c r="K1432" i="15"/>
  <c r="K1433" i="15"/>
  <c r="K1434" i="15"/>
  <c r="K1435" i="15"/>
  <c r="K1436" i="15"/>
  <c r="K1437" i="15"/>
  <c r="K1438" i="15"/>
  <c r="K1439" i="15"/>
  <c r="K1440" i="15"/>
  <c r="K1441" i="15"/>
  <c r="K1442" i="15"/>
  <c r="K1443" i="15"/>
  <c r="K1444" i="15"/>
  <c r="K1445" i="15"/>
  <c r="K1446" i="15"/>
  <c r="K1447" i="15"/>
  <c r="K1448" i="15"/>
  <c r="K1449" i="15"/>
  <c r="K1450" i="15"/>
  <c r="K1451" i="15"/>
  <c r="K1452" i="15"/>
  <c r="K1453" i="15"/>
  <c r="K1454" i="15"/>
  <c r="K1455" i="15"/>
  <c r="K1456" i="15"/>
  <c r="K1457" i="15"/>
  <c r="K1458" i="15"/>
  <c r="K1459" i="15"/>
  <c r="K1460" i="15"/>
  <c r="K1461" i="15"/>
  <c r="K1462" i="15"/>
  <c r="K1463" i="15"/>
  <c r="K1464" i="15"/>
  <c r="K1465" i="15"/>
  <c r="K1466" i="15"/>
  <c r="K1467" i="15"/>
  <c r="K1468" i="15"/>
  <c r="K1469" i="15"/>
  <c r="K1470" i="15"/>
  <c r="K1471" i="15"/>
  <c r="K1472" i="15"/>
  <c r="K1473" i="15"/>
  <c r="K1474" i="15"/>
  <c r="K1475" i="15"/>
  <c r="K1476" i="15"/>
  <c r="K1477" i="15"/>
  <c r="K1478" i="15"/>
  <c r="K1479" i="15"/>
  <c r="K1480" i="15"/>
  <c r="K1481" i="15"/>
  <c r="K1482" i="15"/>
  <c r="K1483" i="15"/>
  <c r="K1484" i="15"/>
  <c r="K1485" i="15"/>
  <c r="K1486" i="15"/>
  <c r="K1487" i="15"/>
  <c r="K1488" i="15"/>
  <c r="K1489" i="15"/>
  <c r="K1490" i="15"/>
  <c r="K1491" i="15"/>
  <c r="K1492" i="15"/>
  <c r="K1493" i="15"/>
  <c r="K1494" i="15"/>
  <c r="K1495" i="15"/>
  <c r="K1496" i="15"/>
  <c r="K1497" i="15"/>
  <c r="K1498" i="15"/>
  <c r="K1499" i="15"/>
  <c r="K1500" i="15"/>
  <c r="K1501" i="15"/>
  <c r="K1502" i="15"/>
  <c r="K1503" i="15"/>
  <c r="K1504" i="15"/>
  <c r="K1505" i="15"/>
  <c r="K1506" i="15"/>
  <c r="K1507" i="15"/>
  <c r="K1508" i="15"/>
  <c r="K1509" i="15"/>
  <c r="K1510" i="15"/>
  <c r="K1511" i="15"/>
  <c r="K1512" i="15"/>
  <c r="K1513" i="15"/>
  <c r="K1514" i="15"/>
  <c r="K1515" i="15"/>
  <c r="K1516" i="15"/>
  <c r="K1517" i="15"/>
  <c r="K1518" i="15"/>
  <c r="K1519" i="15"/>
  <c r="K1520" i="15"/>
  <c r="K1521" i="15"/>
  <c r="K1522" i="15"/>
  <c r="K1523" i="15"/>
  <c r="K1524" i="15"/>
  <c r="K1525" i="15"/>
  <c r="K1526" i="15"/>
  <c r="K1527" i="15"/>
  <c r="K1528" i="15"/>
  <c r="K1529" i="15"/>
  <c r="K1530" i="15"/>
  <c r="K1531" i="15"/>
  <c r="K1532" i="15"/>
  <c r="K1533" i="15"/>
  <c r="K1534" i="15"/>
  <c r="K1535" i="15"/>
  <c r="K1536" i="15"/>
  <c r="K1537" i="15"/>
  <c r="K1538" i="15"/>
  <c r="K1539" i="15"/>
  <c r="K1540" i="15"/>
  <c r="K1541" i="15"/>
  <c r="K1542" i="15"/>
  <c r="K1543" i="15"/>
  <c r="K1544" i="15"/>
  <c r="K1545" i="15"/>
  <c r="K1546" i="15"/>
  <c r="K1547" i="15"/>
  <c r="K1548" i="15"/>
  <c r="K1549" i="15"/>
  <c r="K1550" i="15"/>
  <c r="K1551" i="15"/>
  <c r="K1552" i="15"/>
  <c r="K1553" i="15"/>
  <c r="K1554" i="15"/>
  <c r="K1555" i="15"/>
  <c r="K1556" i="15"/>
  <c r="K1557" i="15"/>
  <c r="K1558" i="15"/>
  <c r="K1559" i="15"/>
  <c r="K1560" i="15"/>
  <c r="K1561" i="15"/>
  <c r="K1562" i="15"/>
  <c r="K1563" i="15"/>
  <c r="K1564" i="15"/>
  <c r="K1565" i="15"/>
  <c r="K1566" i="15"/>
  <c r="K1567" i="15"/>
  <c r="K1568" i="15"/>
  <c r="K1569" i="15"/>
  <c r="K1570" i="15"/>
  <c r="K1571" i="15"/>
  <c r="K1572" i="15"/>
  <c r="K1573" i="15"/>
  <c r="K1574" i="15"/>
  <c r="K1575" i="15"/>
  <c r="K1576" i="15"/>
  <c r="K1577" i="15"/>
  <c r="K1578" i="15"/>
  <c r="K1579" i="15"/>
  <c r="K1580" i="15"/>
  <c r="K1581" i="15"/>
  <c r="K1582" i="15"/>
  <c r="K1583" i="15"/>
  <c r="K1584" i="15"/>
  <c r="K1585" i="15"/>
  <c r="K1586" i="15"/>
  <c r="K1587" i="15"/>
  <c r="K1588" i="15"/>
  <c r="K1589" i="15"/>
  <c r="K1590" i="15"/>
  <c r="K1591" i="15"/>
  <c r="K1592" i="15"/>
  <c r="K1593" i="15"/>
  <c r="K1594" i="15"/>
  <c r="K1595" i="15"/>
  <c r="K1596" i="15"/>
  <c r="K1597" i="15"/>
  <c r="K1598" i="15"/>
  <c r="K1599" i="15"/>
  <c r="K1600" i="15"/>
  <c r="K1601" i="15"/>
  <c r="K1602" i="15"/>
  <c r="K1603" i="15"/>
  <c r="K1604" i="15"/>
  <c r="K1605" i="15"/>
  <c r="K1606" i="15"/>
  <c r="K1607" i="15"/>
  <c r="K1608" i="15"/>
  <c r="K1609" i="15"/>
  <c r="K1610" i="15"/>
  <c r="K1611" i="15"/>
  <c r="K1612" i="15"/>
  <c r="K1613" i="15"/>
  <c r="K1614" i="15"/>
  <c r="K1615" i="15"/>
  <c r="K1616" i="15"/>
  <c r="K1617" i="15"/>
  <c r="K1618" i="15"/>
  <c r="K1619" i="15"/>
  <c r="K1620" i="15"/>
  <c r="K1621" i="15"/>
  <c r="K1623" i="15"/>
  <c r="K1624" i="15"/>
  <c r="K1625" i="15"/>
  <c r="K1626" i="15"/>
  <c r="K1627" i="15"/>
  <c r="K1628" i="15"/>
  <c r="K1629" i="15"/>
  <c r="K1630" i="15"/>
  <c r="K1631" i="15"/>
  <c r="K1632" i="15"/>
  <c r="K1633" i="15"/>
  <c r="K1634" i="15"/>
  <c r="K1635" i="15"/>
  <c r="K1636" i="15"/>
  <c r="K1637" i="15"/>
  <c r="K1638" i="15"/>
  <c r="K1639" i="15"/>
  <c r="K1640" i="15"/>
  <c r="K1641" i="15"/>
  <c r="K1642" i="15"/>
  <c r="K1643" i="15"/>
  <c r="K1644" i="15"/>
  <c r="K1645" i="15"/>
  <c r="K1646" i="15"/>
  <c r="K1647" i="15"/>
  <c r="K1648" i="15"/>
  <c r="K1649" i="15"/>
  <c r="K1650" i="15"/>
  <c r="K1651" i="15"/>
  <c r="K1652" i="15"/>
  <c r="K1653" i="15"/>
  <c r="K1654" i="15"/>
  <c r="K1655" i="15"/>
  <c r="K1656" i="15"/>
  <c r="K1657" i="15"/>
  <c r="K1658" i="15"/>
  <c r="K1659" i="15"/>
  <c r="K1660" i="15"/>
  <c r="K1661" i="15"/>
  <c r="K1662" i="15"/>
  <c r="K1663" i="15"/>
  <c r="K1664" i="15"/>
  <c r="K1665" i="15"/>
  <c r="K1666" i="15"/>
  <c r="K1667" i="15"/>
  <c r="K1668" i="15"/>
  <c r="K1669" i="15"/>
  <c r="K1670" i="15"/>
  <c r="K1671" i="15"/>
  <c r="K1672" i="15"/>
  <c r="K1673" i="15"/>
  <c r="K1674" i="15"/>
  <c r="K1675" i="15"/>
  <c r="K1676" i="15"/>
  <c r="K1677" i="15"/>
  <c r="K1678" i="15"/>
  <c r="K1679" i="15"/>
  <c r="K1680" i="15"/>
  <c r="K1681" i="15"/>
  <c r="K1682" i="15"/>
  <c r="K1683" i="15"/>
  <c r="K1684" i="15"/>
  <c r="K1685" i="15"/>
  <c r="K1686" i="15"/>
  <c r="K1687" i="15"/>
  <c r="K1688" i="15"/>
  <c r="K1689" i="15"/>
  <c r="K1690" i="15"/>
  <c r="K1691" i="15"/>
  <c r="K1692" i="15"/>
  <c r="K1693" i="15"/>
  <c r="K1694" i="15"/>
  <c r="K1695" i="15"/>
  <c r="K1696" i="15"/>
  <c r="K1697" i="15"/>
  <c r="K1698" i="15"/>
  <c r="K1699" i="15"/>
  <c r="K1700" i="15"/>
  <c r="K1701" i="15"/>
  <c r="K1702" i="15"/>
  <c r="K1703" i="15"/>
  <c r="K1704" i="15"/>
  <c r="K1705" i="15"/>
  <c r="K1706" i="15"/>
  <c r="K1707" i="15"/>
  <c r="K1708" i="15"/>
  <c r="K1709" i="15"/>
  <c r="K1710" i="15"/>
  <c r="K1711" i="15"/>
  <c r="K1712" i="15"/>
  <c r="K1713" i="15"/>
  <c r="K1714" i="15"/>
  <c r="K1715" i="15"/>
  <c r="K1716" i="15"/>
  <c r="K1717" i="15"/>
  <c r="K1718" i="15"/>
  <c r="K1719" i="15"/>
  <c r="K1720" i="15"/>
  <c r="K1721" i="15"/>
  <c r="K1722" i="15"/>
  <c r="K1723" i="15"/>
  <c r="K1724" i="15"/>
  <c r="K1725" i="15"/>
  <c r="K1726" i="15"/>
  <c r="K1727" i="15"/>
  <c r="K1728" i="15"/>
  <c r="K1729" i="15"/>
  <c r="K1730" i="15"/>
  <c r="K1731" i="15"/>
  <c r="K1732" i="15"/>
  <c r="K1733" i="15"/>
  <c r="K1734" i="15"/>
  <c r="K1735" i="15"/>
  <c r="K1736" i="15"/>
  <c r="K1737" i="15"/>
  <c r="K1738" i="15"/>
  <c r="K1739" i="15"/>
  <c r="K1740" i="15"/>
  <c r="K1741" i="15"/>
  <c r="K1742" i="15"/>
  <c r="K1743" i="15"/>
  <c r="K1744" i="15"/>
  <c r="K1745" i="15"/>
  <c r="K1746" i="15"/>
  <c r="K1747" i="15"/>
  <c r="K1748" i="15"/>
  <c r="K1749" i="15"/>
  <c r="K1750" i="15"/>
  <c r="K1751" i="15"/>
  <c r="K1752" i="15"/>
  <c r="K1753" i="15"/>
  <c r="K1754" i="15"/>
  <c r="K1755" i="15"/>
  <c r="K1756" i="15"/>
  <c r="K1757" i="15"/>
  <c r="K1758" i="15"/>
  <c r="K1759" i="15"/>
  <c r="K1760" i="15"/>
  <c r="K1761" i="15"/>
  <c r="K1762" i="15"/>
  <c r="K1763" i="15"/>
  <c r="K1764" i="15"/>
  <c r="K1765" i="15"/>
  <c r="K1766" i="15"/>
  <c r="K1767" i="15"/>
  <c r="K1768" i="15"/>
  <c r="K1769" i="15"/>
  <c r="K1770" i="15"/>
  <c r="K1771" i="15"/>
  <c r="K1772" i="15"/>
  <c r="K1773" i="15"/>
  <c r="K1774" i="15"/>
  <c r="K1775" i="15"/>
  <c r="K1776" i="15"/>
  <c r="K1777" i="15"/>
  <c r="K1778" i="15"/>
  <c r="K1779" i="15"/>
  <c r="K1780" i="15"/>
  <c r="K1781" i="15"/>
  <c r="K1782" i="15"/>
  <c r="K1783" i="15"/>
  <c r="K1784" i="15"/>
  <c r="K1785" i="15"/>
  <c r="K1786" i="15"/>
  <c r="K1787" i="15"/>
  <c r="K1788" i="15"/>
  <c r="K1789" i="15"/>
  <c r="K1790" i="15"/>
  <c r="K1791" i="15"/>
  <c r="K1792" i="15"/>
  <c r="K1793" i="15"/>
  <c r="K1794" i="15"/>
  <c r="K1795" i="15"/>
  <c r="K1796" i="15"/>
  <c r="K1797" i="15"/>
  <c r="K1799" i="15"/>
  <c r="K1800" i="15"/>
  <c r="K1801" i="15"/>
  <c r="K1802" i="15"/>
  <c r="K1803" i="15"/>
  <c r="K1804" i="15"/>
  <c r="K1805" i="15"/>
  <c r="K1806" i="15"/>
  <c r="K1807" i="15"/>
  <c r="K1808" i="15"/>
  <c r="K1809" i="15"/>
  <c r="K1810" i="15"/>
  <c r="K1811" i="15"/>
  <c r="K1812" i="15"/>
  <c r="K1813" i="15"/>
  <c r="K1814" i="15"/>
  <c r="K1815" i="15"/>
  <c r="K1816" i="15"/>
  <c r="K1817" i="15"/>
  <c r="K1818" i="15"/>
  <c r="K1819" i="15"/>
  <c r="K1820" i="15"/>
  <c r="K1821" i="15"/>
  <c r="K1822" i="15"/>
  <c r="K1823" i="15"/>
  <c r="K1824" i="15"/>
  <c r="K1825" i="15"/>
  <c r="K1826" i="15"/>
  <c r="K1827" i="15"/>
  <c r="K1828" i="15"/>
  <c r="K1829" i="15"/>
  <c r="K1830" i="15"/>
  <c r="K1831" i="15"/>
  <c r="K1832" i="15"/>
  <c r="K1833" i="15"/>
  <c r="K1834" i="15"/>
  <c r="K1835" i="15"/>
  <c r="K1836" i="15"/>
  <c r="K1837" i="15"/>
  <c r="K1838" i="15"/>
  <c r="K1839" i="15"/>
  <c r="K1840" i="15"/>
  <c r="K1841" i="15"/>
  <c r="K1842" i="15"/>
  <c r="K1843" i="15"/>
  <c r="K1844" i="15"/>
  <c r="K1845" i="15"/>
  <c r="K1846" i="15"/>
  <c r="K1847" i="15"/>
  <c r="K1848" i="15"/>
  <c r="K1849" i="15"/>
  <c r="K1850" i="15"/>
  <c r="K1851" i="15"/>
  <c r="K1852" i="15"/>
  <c r="K1853" i="15"/>
  <c r="K1854" i="15"/>
  <c r="K1855" i="15"/>
  <c r="K1856" i="15"/>
  <c r="K1857" i="15"/>
  <c r="K1858" i="15"/>
  <c r="K1859" i="15"/>
  <c r="K1860" i="15"/>
  <c r="K1861" i="15"/>
  <c r="K1862" i="15"/>
  <c r="K1863" i="15"/>
  <c r="K1864" i="15"/>
  <c r="K1865" i="15"/>
  <c r="K1866" i="15"/>
  <c r="K1867" i="15"/>
  <c r="K1868" i="15"/>
  <c r="K1869" i="15"/>
  <c r="K1870" i="15"/>
  <c r="K1871" i="15"/>
  <c r="K1872" i="15"/>
  <c r="K1873" i="15"/>
  <c r="K1874" i="15"/>
  <c r="K1875" i="15"/>
  <c r="K1876" i="15"/>
  <c r="K1877" i="15"/>
  <c r="K1878" i="15"/>
  <c r="K1879" i="15"/>
  <c r="K1880" i="15"/>
  <c r="K1881" i="15"/>
  <c r="K1882" i="15"/>
  <c r="K1883" i="15"/>
  <c r="K1884" i="15"/>
  <c r="K1885" i="15"/>
  <c r="K1886" i="15"/>
  <c r="K1887" i="15"/>
  <c r="K1888" i="15"/>
  <c r="K1889" i="15"/>
  <c r="K1890" i="15"/>
  <c r="K1891" i="15"/>
  <c r="K1892" i="15"/>
  <c r="K1893" i="15"/>
  <c r="K1894" i="15"/>
  <c r="K1895" i="15"/>
  <c r="K1896" i="15"/>
  <c r="K1897" i="15"/>
  <c r="K1898" i="15"/>
  <c r="K1899" i="15"/>
  <c r="K1900" i="15"/>
  <c r="K1901" i="15"/>
  <c r="K1902" i="15"/>
  <c r="K1903" i="15"/>
  <c r="K1904" i="15"/>
  <c r="K1905" i="15"/>
  <c r="K1906" i="15"/>
  <c r="K1907" i="15"/>
  <c r="K1908" i="15"/>
  <c r="K1909" i="15"/>
  <c r="K1911" i="15"/>
  <c r="K1912" i="15"/>
  <c r="K1913" i="15"/>
  <c r="K1914" i="15"/>
  <c r="K1915" i="15"/>
  <c r="K1916" i="15"/>
  <c r="K1917" i="15"/>
  <c r="K1918" i="15"/>
  <c r="K1919" i="15"/>
  <c r="K1920" i="15"/>
  <c r="K1921" i="15"/>
  <c r="K1922" i="15"/>
  <c r="K1923" i="15"/>
  <c r="K1924" i="15"/>
  <c r="K1925" i="15"/>
  <c r="K1926" i="15"/>
  <c r="K1927" i="15"/>
  <c r="K1928" i="15"/>
  <c r="K1929" i="15"/>
  <c r="K1930" i="15"/>
  <c r="K1931" i="15"/>
  <c r="K1932" i="15"/>
  <c r="K1933" i="15"/>
  <c r="K1934" i="15"/>
  <c r="K1935" i="15"/>
  <c r="K1936" i="15"/>
  <c r="K1937" i="15"/>
  <c r="K1938" i="15"/>
  <c r="K1939" i="15"/>
  <c r="K1940" i="15"/>
  <c r="K1941" i="15"/>
  <c r="K1943" i="15"/>
  <c r="K1944" i="15"/>
  <c r="K1945" i="15"/>
  <c r="K1946" i="15"/>
  <c r="K1947" i="15"/>
  <c r="K1948" i="15"/>
  <c r="K1949" i="15"/>
  <c r="K1952" i="15"/>
  <c r="K1953" i="15"/>
  <c r="K1954" i="15"/>
  <c r="K1955" i="15"/>
  <c r="K1956" i="15"/>
  <c r="K1957" i="15"/>
  <c r="K1958" i="15"/>
  <c r="K1959" i="15"/>
  <c r="K1960" i="15"/>
  <c r="K1961" i="15"/>
  <c r="K1962" i="15"/>
  <c r="K1963" i="15"/>
  <c r="K1968" i="15"/>
  <c r="K1969" i="15"/>
  <c r="K1970" i="15"/>
  <c r="K1971" i="15"/>
  <c r="K1973" i="15"/>
  <c r="K1974" i="15"/>
  <c r="K1975" i="15"/>
  <c r="K1976" i="15"/>
  <c r="K1977" i="15"/>
  <c r="K1978" i="15"/>
  <c r="K1979" i="15"/>
  <c r="K1980" i="15"/>
  <c r="K1981" i="15"/>
  <c r="K1982" i="15"/>
  <c r="K1983" i="15"/>
  <c r="K1984" i="15"/>
  <c r="K1985" i="15"/>
  <c r="K1986" i="15"/>
  <c r="K1987" i="15"/>
  <c r="K1988" i="15"/>
  <c r="K1989" i="15"/>
  <c r="K1990" i="15"/>
  <c r="K1991" i="15"/>
  <c r="K1992" i="15"/>
  <c r="K1993" i="15"/>
  <c r="K1994" i="15"/>
  <c r="K1995" i="15"/>
  <c r="K1996" i="15"/>
  <c r="K1997" i="15"/>
  <c r="K1998" i="15"/>
  <c r="K1999" i="15"/>
  <c r="K2000" i="15"/>
  <c r="K2001" i="15"/>
  <c r="K2002" i="15"/>
  <c r="K2003" i="15"/>
  <c r="K2004" i="15"/>
  <c r="K2005" i="15"/>
  <c r="K2006" i="15"/>
  <c r="K2007" i="15"/>
  <c r="K2008" i="15"/>
  <c r="K2010" i="15"/>
  <c r="K2011" i="15"/>
  <c r="K2012" i="15"/>
  <c r="K2013" i="15"/>
  <c r="K2014" i="15"/>
  <c r="K2015" i="15"/>
  <c r="K2016" i="15"/>
  <c r="K2017" i="15"/>
  <c r="K2018" i="15"/>
  <c r="K2019" i="15"/>
  <c r="K2020" i="15"/>
  <c r="K2021" i="15"/>
  <c r="K2022" i="15"/>
  <c r="K2023" i="15"/>
  <c r="K2024" i="15"/>
  <c r="K2025" i="15"/>
  <c r="K2026" i="15"/>
  <c r="K2027" i="15"/>
  <c r="K2028" i="15"/>
  <c r="K2029" i="15"/>
  <c r="K2030" i="15"/>
  <c r="K2031" i="15"/>
  <c r="K2033" i="15"/>
  <c r="K2034" i="15"/>
  <c r="K2035" i="15"/>
  <c r="K2036" i="15"/>
  <c r="K2037" i="15"/>
  <c r="K2038" i="15"/>
  <c r="K2039" i="15"/>
  <c r="K2040" i="15"/>
  <c r="K2041" i="15"/>
  <c r="K2042" i="15"/>
  <c r="K2043" i="15"/>
  <c r="K2044" i="15"/>
  <c r="K2045" i="15"/>
  <c r="K2046" i="15"/>
  <c r="K2047" i="15"/>
  <c r="K2048" i="15"/>
  <c r="K2049" i="15"/>
  <c r="K2050" i="15"/>
  <c r="K2054" i="15"/>
  <c r="K2055" i="15"/>
  <c r="K2056" i="15"/>
  <c r="K2057" i="15"/>
  <c r="K2058" i="15"/>
  <c r="K2060" i="15"/>
  <c r="K2061" i="15"/>
  <c r="K2062" i="15"/>
  <c r="K2063" i="15"/>
  <c r="K2065" i="15"/>
  <c r="K2066" i="15"/>
  <c r="K2067" i="15"/>
  <c r="K2068" i="15"/>
  <c r="K2069" i="15"/>
  <c r="K2070" i="15"/>
  <c r="K2071" i="15"/>
  <c r="K2073" i="15"/>
  <c r="K2074" i="15"/>
  <c r="K2076" i="15"/>
  <c r="K2077" i="15"/>
  <c r="K2078" i="15"/>
  <c r="K2080" i="15"/>
  <c r="K2081" i="15"/>
  <c r="K2082" i="15"/>
  <c r="K2083" i="15"/>
  <c r="K2084" i="15"/>
  <c r="K2085" i="15"/>
  <c r="K2086" i="15"/>
  <c r="K2087" i="15"/>
  <c r="K2088" i="15"/>
  <c r="K2089" i="15"/>
  <c r="K2091" i="15"/>
  <c r="K2092" i="15"/>
  <c r="K2093" i="15"/>
  <c r="K2094" i="15"/>
  <c r="K2095" i="15"/>
  <c r="K2097" i="15"/>
  <c r="K2098" i="15"/>
  <c r="K2102" i="15"/>
  <c r="K2103" i="15"/>
  <c r="K2104" i="15"/>
  <c r="K2105" i="15"/>
  <c r="K2107" i="15"/>
  <c r="K2110" i="15"/>
  <c r="K2111" i="15"/>
  <c r="K2112" i="15"/>
  <c r="K2113" i="15"/>
  <c r="K2114" i="15"/>
  <c r="K2115" i="15"/>
  <c r="K2116" i="15"/>
  <c r="K2117" i="15"/>
  <c r="K2118" i="15"/>
  <c r="K2119" i="15"/>
  <c r="K2120" i="15"/>
  <c r="K2121" i="15"/>
  <c r="K2122" i="15"/>
  <c r="K2123" i="15"/>
  <c r="K2124" i="15"/>
  <c r="K2125" i="15"/>
  <c r="K2126" i="15"/>
  <c r="K2127" i="15"/>
  <c r="K2128" i="15"/>
  <c r="K2129" i="15"/>
  <c r="K2130" i="15"/>
  <c r="K2131" i="15"/>
  <c r="K2132" i="15"/>
  <c r="K2133" i="15"/>
  <c r="K2134" i="15"/>
  <c r="K2136" i="15"/>
  <c r="K2137" i="15"/>
  <c r="K2138" i="15"/>
  <c r="K2139" i="15"/>
  <c r="K2140" i="15"/>
  <c r="K2141" i="15"/>
  <c r="K2142" i="15"/>
  <c r="K2143" i="15"/>
  <c r="K2144" i="15"/>
  <c r="K2145" i="15"/>
  <c r="K2146" i="15"/>
  <c r="K2147" i="15"/>
  <c r="K2148" i="15"/>
  <c r="K2149" i="15"/>
  <c r="K2150" i="15"/>
  <c r="K2151" i="15"/>
  <c r="K2152" i="15"/>
  <c r="K2153" i="15"/>
  <c r="K2154" i="15"/>
  <c r="K2155" i="15"/>
  <c r="K2156" i="15"/>
  <c r="K2158" i="15"/>
  <c r="K2159" i="15"/>
  <c r="K2160" i="15"/>
  <c r="K2161" i="15"/>
  <c r="K2162" i="15"/>
  <c r="K2164" i="15"/>
  <c r="K2165" i="15"/>
  <c r="K2166" i="15"/>
  <c r="K2167" i="15"/>
  <c r="K2168" i="15"/>
  <c r="K2169" i="15"/>
  <c r="K2170" i="15"/>
  <c r="K2171" i="15"/>
  <c r="K2172" i="15"/>
  <c r="K2174" i="15"/>
  <c r="K2175" i="15"/>
  <c r="K2176" i="15"/>
  <c r="K2177" i="15"/>
  <c r="K2178" i="15"/>
  <c r="K2179" i="15"/>
  <c r="K2180" i="15"/>
  <c r="K2181" i="15"/>
  <c r="K2182" i="15"/>
  <c r="K2183" i="15"/>
  <c r="L2183" i="15"/>
  <c r="K2184" i="15"/>
  <c r="K2185" i="15"/>
  <c r="K2186" i="15"/>
  <c r="K2187" i="15"/>
  <c r="K2188" i="15"/>
  <c r="K2189" i="15"/>
  <c r="K2190" i="15"/>
  <c r="K2191" i="15"/>
  <c r="K2192" i="15"/>
  <c r="K2193" i="15"/>
  <c r="K2194" i="15"/>
  <c r="K2195" i="15"/>
  <c r="K2196" i="15"/>
  <c r="L2196" i="15"/>
  <c r="K2197" i="15"/>
  <c r="K2198" i="15"/>
  <c r="K2199" i="15"/>
  <c r="K2200" i="15"/>
  <c r="K2201" i="15"/>
  <c r="K2202" i="15"/>
  <c r="K2203" i="15"/>
  <c r="K2204" i="15"/>
  <c r="K2205" i="15"/>
  <c r="K2206" i="15"/>
  <c r="K2207" i="15"/>
  <c r="K2208" i="15"/>
  <c r="L2208" i="15"/>
  <c r="K2209" i="15"/>
  <c r="K2210" i="15"/>
  <c r="K2211" i="15"/>
  <c r="K2212" i="15"/>
  <c r="L2212" i="15"/>
  <c r="K2213" i="15"/>
  <c r="K2214" i="15"/>
  <c r="K2215" i="15"/>
  <c r="L2215" i="15"/>
  <c r="K2216" i="15"/>
  <c r="K2217" i="15"/>
  <c r="K2218" i="15"/>
  <c r="L2218" i="15"/>
  <c r="K2219" i="15"/>
  <c r="K2220" i="15"/>
  <c r="K2221" i="15"/>
  <c r="K2222" i="15"/>
  <c r="K2223" i="15"/>
  <c r="K2224" i="15"/>
  <c r="K2225" i="15"/>
  <c r="K2226" i="15"/>
  <c r="K2227" i="15"/>
  <c r="K2228" i="15"/>
  <c r="K2229" i="15"/>
  <c r="K2230" i="15"/>
  <c r="K2231" i="15"/>
  <c r="K2232" i="15"/>
  <c r="K2233" i="15"/>
  <c r="K2234" i="15"/>
  <c r="K2235" i="15"/>
  <c r="K2236" i="15"/>
  <c r="K2237" i="15"/>
  <c r="K2238" i="15"/>
  <c r="K2239" i="15"/>
  <c r="K2240" i="15"/>
  <c r="K2242" i="15"/>
  <c r="K2243" i="15"/>
  <c r="K2244" i="15"/>
  <c r="K2245" i="15"/>
  <c r="K2246" i="15"/>
  <c r="K2247" i="15"/>
  <c r="K2248" i="15"/>
  <c r="K2249" i="15"/>
  <c r="K2250" i="15"/>
  <c r="K2251" i="15"/>
  <c r="K2252" i="15"/>
  <c r="K2253" i="15"/>
  <c r="K2254" i="15"/>
  <c r="K2255" i="15"/>
  <c r="K2256" i="15"/>
  <c r="K2257" i="15"/>
  <c r="K2258" i="15"/>
  <c r="K2259" i="15"/>
  <c r="K2260" i="15"/>
  <c r="K2261" i="15"/>
  <c r="K2262" i="15"/>
  <c r="K2263" i="15"/>
  <c r="K2264" i="15"/>
  <c r="K2265" i="15"/>
  <c r="K2266" i="15"/>
  <c r="K2267" i="15"/>
  <c r="K2268" i="15"/>
  <c r="K2269" i="15"/>
  <c r="K2270" i="15"/>
  <c r="K2271" i="15"/>
  <c r="K2272" i="15"/>
  <c r="K2273" i="15"/>
  <c r="K2274" i="15"/>
  <c r="K2275" i="15"/>
  <c r="K2276" i="15"/>
  <c r="K2277" i="15"/>
  <c r="K2278" i="15"/>
  <c r="K2279" i="15"/>
  <c r="K2280" i="15"/>
  <c r="K2281" i="15"/>
  <c r="K2282" i="15"/>
  <c r="K2283" i="15"/>
  <c r="K2284" i="15"/>
  <c r="K2285" i="15"/>
  <c r="K2286" i="15"/>
  <c r="K2287" i="15"/>
  <c r="K2288" i="15"/>
  <c r="K2289" i="15"/>
  <c r="K2290" i="15"/>
  <c r="K2291" i="15"/>
  <c r="K2292" i="15"/>
  <c r="K2293" i="15"/>
  <c r="K2294" i="15"/>
  <c r="K2295" i="15"/>
  <c r="K2296" i="15"/>
  <c r="K2297" i="15"/>
  <c r="K2298" i="15"/>
  <c r="K2299" i="15"/>
  <c r="K2300" i="15"/>
  <c r="K2301" i="15"/>
  <c r="K2302" i="15"/>
  <c r="K2303" i="15"/>
  <c r="K2304" i="15"/>
  <c r="K2305" i="15"/>
  <c r="K2306" i="15"/>
  <c r="K2307" i="15"/>
  <c r="K2308" i="15"/>
  <c r="L2308" i="15"/>
  <c r="K2309" i="15"/>
  <c r="K2310" i="15"/>
  <c r="K2311" i="15"/>
  <c r="K2312" i="15"/>
  <c r="K2313" i="15"/>
  <c r="K2314" i="15"/>
  <c r="K2315" i="15"/>
  <c r="K2316" i="15"/>
  <c r="K2317" i="15"/>
  <c r="K2318" i="15"/>
  <c r="K2319" i="15"/>
  <c r="K2320" i="15"/>
  <c r="K2321" i="15"/>
  <c r="K2322" i="15"/>
  <c r="K2323" i="15"/>
  <c r="K2324" i="15"/>
  <c r="K2325" i="15"/>
  <c r="K2326" i="15"/>
  <c r="K2327" i="15"/>
  <c r="K2328" i="15"/>
  <c r="K2329" i="15"/>
  <c r="K2330" i="15"/>
  <c r="K2331" i="15"/>
  <c r="K2332" i="15"/>
  <c r="K2333" i="15"/>
  <c r="K2334" i="15"/>
  <c r="K2335" i="15"/>
  <c r="K2336" i="15"/>
  <c r="K2337" i="15"/>
  <c r="K2338" i="15"/>
  <c r="K2339" i="15"/>
  <c r="K2340" i="15"/>
  <c r="K2341" i="15"/>
  <c r="K2342" i="15"/>
  <c r="K2343" i="15"/>
  <c r="K2344" i="15"/>
  <c r="K2345" i="15"/>
  <c r="K2346" i="15"/>
  <c r="K2347" i="15"/>
  <c r="K2348" i="15"/>
  <c r="K2349" i="15"/>
  <c r="K2350" i="15"/>
  <c r="K2351" i="15"/>
  <c r="K2352" i="15"/>
  <c r="K2353" i="15"/>
  <c r="K2354" i="15"/>
  <c r="K2355" i="15"/>
  <c r="K2356" i="15"/>
  <c r="K2357" i="15"/>
  <c r="K2358" i="15"/>
  <c r="K2359" i="15"/>
  <c r="K2360" i="15"/>
  <c r="K2361" i="15"/>
  <c r="K2362" i="15"/>
  <c r="K2363" i="15"/>
  <c r="K2364" i="15"/>
  <c r="K2365" i="15"/>
  <c r="K2366" i="15"/>
  <c r="K2367" i="15"/>
  <c r="K2368" i="15"/>
  <c r="K2369" i="15"/>
  <c r="K2370" i="15"/>
  <c r="K2371" i="15"/>
  <c r="K2372" i="15"/>
  <c r="K2373" i="15"/>
  <c r="K2374" i="15"/>
  <c r="K2375" i="15"/>
  <c r="K2376" i="15"/>
  <c r="K2377" i="15"/>
  <c r="K2378" i="15"/>
  <c r="K2379" i="15"/>
  <c r="K2380" i="15"/>
  <c r="K2381" i="15"/>
  <c r="K2382" i="15"/>
  <c r="K2383" i="15"/>
  <c r="K2384" i="15"/>
  <c r="K2385" i="15"/>
  <c r="K2386" i="15"/>
  <c r="K2387" i="15"/>
  <c r="K2388" i="15"/>
  <c r="K2389" i="15"/>
  <c r="K2390" i="15"/>
  <c r="K2391" i="15"/>
  <c r="K2392" i="15"/>
  <c r="K2393" i="15"/>
  <c r="K2394" i="15"/>
  <c r="K2395" i="15"/>
  <c r="K2396" i="15"/>
  <c r="K2397" i="15"/>
  <c r="K2398" i="15"/>
  <c r="K2399" i="15"/>
  <c r="K2400" i="15"/>
  <c r="K2401" i="15"/>
  <c r="K2402" i="15"/>
  <c r="K2403" i="15"/>
  <c r="K2404" i="15"/>
  <c r="K2405" i="15"/>
  <c r="K2406" i="15"/>
  <c r="K2407" i="15"/>
  <c r="K2408" i="15"/>
  <c r="K2409" i="15"/>
  <c r="K2410" i="15"/>
  <c r="K2411" i="15"/>
  <c r="K2412" i="15"/>
  <c r="K2413" i="15"/>
  <c r="K2414" i="15"/>
  <c r="K2415" i="15"/>
  <c r="L2415" i="15"/>
  <c r="K2416" i="15"/>
  <c r="K2417" i="15"/>
  <c r="L2417" i="15"/>
  <c r="K2418" i="15"/>
  <c r="K2419" i="15"/>
  <c r="K2420" i="15"/>
  <c r="K2422" i="15"/>
  <c r="K2423" i="15"/>
  <c r="K2424" i="15"/>
  <c r="K2425" i="15"/>
  <c r="K2426" i="15"/>
  <c r="K2427" i="15"/>
  <c r="K2428" i="15"/>
  <c r="K2429" i="15"/>
  <c r="K2430" i="15"/>
  <c r="K2432" i="15"/>
  <c r="K2434" i="15"/>
  <c r="K2437" i="15"/>
  <c r="K2438" i="15"/>
  <c r="K2439" i="15"/>
  <c r="L2439" i="15"/>
  <c r="K2440" i="15"/>
  <c r="L2440" i="15"/>
  <c r="K2441" i="15"/>
  <c r="K2442" i="15"/>
  <c r="K2443" i="15"/>
  <c r="K2444" i="15"/>
  <c r="K2445" i="15"/>
  <c r="K2446" i="15"/>
  <c r="K2447" i="15"/>
  <c r="K2448" i="15"/>
  <c r="L2448" i="15"/>
  <c r="K2449" i="15"/>
  <c r="L2449" i="15"/>
  <c r="K2450" i="15"/>
  <c r="K2451" i="15"/>
  <c r="L2451" i="15"/>
  <c r="K2452" i="15"/>
  <c r="K2453" i="15"/>
  <c r="L2453" i="15"/>
  <c r="K2454" i="15"/>
  <c r="L2454" i="15"/>
  <c r="K2455" i="15"/>
  <c r="K2456" i="15"/>
  <c r="K2457" i="15"/>
  <c r="K2458" i="15"/>
  <c r="K2459" i="15"/>
  <c r="K2460" i="15"/>
  <c r="L2460" i="15"/>
  <c r="K2461" i="15"/>
  <c r="K2462" i="15"/>
  <c r="K2463" i="15"/>
  <c r="K2464" i="15"/>
  <c r="K2465" i="15"/>
  <c r="K2466" i="15"/>
  <c r="K2468" i="15"/>
  <c r="K2469" i="15"/>
  <c r="K2470" i="15"/>
  <c r="K2471" i="15"/>
  <c r="K2472" i="15"/>
  <c r="K2473" i="15"/>
  <c r="K2474" i="15"/>
  <c r="K2475" i="15"/>
  <c r="K2476" i="15"/>
  <c r="K2477" i="15"/>
  <c r="K2478" i="15"/>
  <c r="K2479" i="15"/>
  <c r="K2480" i="15"/>
  <c r="K2481" i="15"/>
  <c r="K2482" i="15"/>
  <c r="L2482" i="15"/>
  <c r="K2483" i="15"/>
  <c r="K2484" i="15"/>
  <c r="K2485" i="15"/>
  <c r="K2486" i="15"/>
  <c r="K2487" i="15"/>
  <c r="K2488" i="15"/>
  <c r="K2489" i="15"/>
  <c r="K2490" i="15"/>
  <c r="K2491" i="15"/>
  <c r="K2492" i="15"/>
  <c r="K2493" i="15"/>
  <c r="K2494" i="15"/>
  <c r="K2495" i="15"/>
  <c r="K2496" i="15"/>
  <c r="K2497" i="15"/>
  <c r="K2498" i="15"/>
  <c r="K2499" i="15"/>
  <c r="K2500" i="15"/>
  <c r="K2501" i="15"/>
  <c r="K2502" i="15"/>
  <c r="K2503" i="15"/>
  <c r="K2504" i="15"/>
  <c r="K2505" i="15"/>
  <c r="K2506" i="15"/>
  <c r="K2507" i="15"/>
  <c r="K2508" i="15"/>
  <c r="K2509" i="15"/>
  <c r="K2510" i="15"/>
  <c r="K2511" i="15"/>
  <c r="K2512" i="15"/>
  <c r="K2513" i="15"/>
  <c r="K2514" i="15"/>
  <c r="K2515" i="15"/>
  <c r="K2516" i="15"/>
  <c r="K2517" i="15"/>
  <c r="K2518" i="15"/>
  <c r="K2519" i="15"/>
  <c r="K2520" i="15"/>
  <c r="L2520" i="15"/>
  <c r="K2523" i="15"/>
  <c r="K2524" i="15"/>
  <c r="K2525" i="15"/>
  <c r="L2525" i="15"/>
  <c r="K2526" i="15"/>
  <c r="K2527" i="15"/>
  <c r="K2528" i="15"/>
  <c r="K2529" i="15"/>
  <c r="K2530" i="15"/>
  <c r="K2531" i="15"/>
  <c r="L2531" i="15"/>
  <c r="K2533" i="15"/>
  <c r="L2533" i="15"/>
  <c r="K2535" i="15"/>
  <c r="K2536" i="15"/>
  <c r="K2537" i="15"/>
  <c r="L2537" i="15"/>
  <c r="K2538" i="15"/>
  <c r="L2538" i="15"/>
  <c r="K2539" i="15"/>
  <c r="L2539" i="15"/>
  <c r="K2540" i="15"/>
  <c r="K2541" i="15"/>
  <c r="L2541" i="15"/>
  <c r="K2542" i="15"/>
  <c r="K2543" i="15"/>
  <c r="L2543" i="15"/>
  <c r="K2544" i="15"/>
  <c r="K2545" i="15"/>
  <c r="K2546" i="15"/>
  <c r="K2547" i="15"/>
  <c r="K2548" i="15"/>
  <c r="K2549" i="15"/>
  <c r="K2550" i="15"/>
  <c r="K2551" i="15"/>
  <c r="K2552" i="15"/>
  <c r="K2553" i="15"/>
  <c r="K2554" i="15"/>
  <c r="K2555" i="15"/>
  <c r="K2556" i="15"/>
  <c r="K2557" i="15"/>
  <c r="K2558" i="15"/>
  <c r="K2559" i="15"/>
  <c r="K2560" i="15"/>
  <c r="K2561" i="15"/>
  <c r="K2562" i="15"/>
  <c r="K2563" i="15"/>
  <c r="K2564" i="15"/>
  <c r="K2565" i="15"/>
  <c r="K2566" i="15"/>
  <c r="K2567" i="15"/>
  <c r="K2568" i="15"/>
  <c r="K2569" i="15"/>
  <c r="K2570" i="15"/>
  <c r="K2571" i="15"/>
  <c r="K2572" i="15"/>
  <c r="L2572" i="15"/>
  <c r="K2573" i="15"/>
  <c r="K2574" i="15"/>
  <c r="K2575" i="15"/>
  <c r="K2576" i="15"/>
  <c r="K2578" i="15"/>
  <c r="K2579" i="15"/>
  <c r="K2580" i="15"/>
  <c r="K2581" i="15"/>
  <c r="K2583" i="15"/>
  <c r="K2584" i="15"/>
  <c r="K2585" i="15"/>
  <c r="K2586" i="15"/>
  <c r="K2587" i="15"/>
  <c r="K2588" i="15"/>
  <c r="K2590" i="15"/>
  <c r="K2591" i="15"/>
  <c r="K2592" i="15"/>
  <c r="K2593" i="15"/>
  <c r="K2594" i="15"/>
  <c r="K2595" i="15"/>
  <c r="K2596" i="15"/>
  <c r="K2597" i="15"/>
  <c r="K2598" i="15"/>
  <c r="K2599" i="15"/>
  <c r="K2600" i="15"/>
  <c r="K2601" i="15"/>
  <c r="K2602" i="15"/>
  <c r="K2603" i="15"/>
  <c r="K2604" i="15"/>
  <c r="K2605" i="15"/>
  <c r="K2606" i="15"/>
  <c r="K2607" i="15"/>
  <c r="K2608" i="15"/>
  <c r="K2609" i="15"/>
  <c r="K2610" i="15"/>
  <c r="K2611" i="15"/>
  <c r="K2612" i="15"/>
  <c r="K2613" i="15"/>
  <c r="K2614" i="15"/>
  <c r="K2615" i="15"/>
  <c r="K2616" i="15"/>
  <c r="K2617" i="15"/>
  <c r="K2618" i="15"/>
  <c r="K2619" i="15"/>
  <c r="K2620" i="15"/>
  <c r="K2621" i="15"/>
  <c r="K2622" i="15"/>
  <c r="K2624" i="15"/>
  <c r="K2625" i="15"/>
  <c r="K2626" i="15"/>
  <c r="K2627" i="15"/>
  <c r="K2628" i="15"/>
  <c r="L2628" i="15"/>
  <c r="K2629" i="15"/>
  <c r="L2629" i="15"/>
  <c r="K2631" i="15"/>
  <c r="K2632" i="15"/>
  <c r="K2633" i="15"/>
  <c r="K2634" i="15"/>
  <c r="K2635" i="15"/>
  <c r="K2636" i="15"/>
  <c r="K2637" i="15"/>
  <c r="K2638" i="15"/>
  <c r="K2639" i="15"/>
  <c r="K2640" i="15"/>
  <c r="K2641" i="15"/>
  <c r="K2642" i="15"/>
  <c r="K2643" i="15"/>
  <c r="K2644" i="15"/>
  <c r="K2645" i="15"/>
  <c r="K2646" i="15"/>
  <c r="K2647" i="15"/>
  <c r="K2648" i="15"/>
  <c r="K2649" i="15"/>
  <c r="K2650" i="15"/>
  <c r="K2651" i="15"/>
  <c r="K2652" i="15"/>
  <c r="L2652" i="15"/>
  <c r="K2653" i="15"/>
  <c r="K2654" i="15"/>
  <c r="K2655" i="15"/>
  <c r="K2656" i="15"/>
  <c r="K2657" i="15"/>
  <c r="K2658" i="15"/>
  <c r="K2659" i="15"/>
  <c r="L2659" i="15"/>
  <c r="K2660" i="15"/>
  <c r="K2661" i="15"/>
  <c r="L2661" i="15"/>
  <c r="K2662" i="15"/>
  <c r="K2663" i="15"/>
  <c r="K2664" i="15"/>
  <c r="K2665" i="15"/>
  <c r="L2665" i="15"/>
  <c r="K2666" i="15"/>
  <c r="K2667" i="15"/>
  <c r="K2668" i="15"/>
  <c r="K2669" i="15"/>
  <c r="K2670" i="15"/>
  <c r="K2671" i="15"/>
  <c r="K2672" i="15"/>
  <c r="K2673" i="15"/>
  <c r="K2674" i="15"/>
  <c r="K2675" i="15"/>
  <c r="K2676" i="15"/>
  <c r="K2677" i="15"/>
  <c r="K2678" i="15"/>
  <c r="K2679" i="15"/>
  <c r="K2680" i="15"/>
  <c r="K2681" i="15"/>
  <c r="K2682" i="15"/>
  <c r="K2683" i="15"/>
  <c r="K2684" i="15"/>
  <c r="K2685" i="15"/>
  <c r="K2686" i="15"/>
  <c r="K2687" i="15"/>
  <c r="K2688" i="15"/>
  <c r="K2690" i="15"/>
  <c r="K2691" i="15"/>
  <c r="K2692" i="15"/>
  <c r="K2693" i="15"/>
  <c r="K2694" i="15"/>
  <c r="K2695" i="15"/>
  <c r="K2696" i="15"/>
  <c r="K2697" i="15"/>
  <c r="K2698" i="15"/>
  <c r="K2699" i="15"/>
  <c r="K2700" i="15"/>
  <c r="K2701" i="15"/>
  <c r="K2702" i="15"/>
  <c r="K2703" i="15"/>
  <c r="K2704" i="15"/>
  <c r="K2705" i="15"/>
  <c r="K2706" i="15"/>
  <c r="K2708" i="15"/>
  <c r="K2709" i="15"/>
  <c r="K2716" i="15"/>
  <c r="K2717" i="15"/>
  <c r="K2721" i="15"/>
  <c r="K2722" i="15"/>
  <c r="K2723" i="15"/>
  <c r="K2724" i="15"/>
  <c r="K2725" i="15"/>
  <c r="K2726" i="15"/>
  <c r="K2727" i="15"/>
  <c r="K2728" i="15"/>
  <c r="K2730" i="15"/>
  <c r="K2732" i="15"/>
  <c r="K2733" i="15"/>
  <c r="K2735" i="15"/>
  <c r="K2736" i="15"/>
  <c r="K2737" i="15"/>
  <c r="K2739" i="15"/>
  <c r="K2741" i="15"/>
  <c r="K2742" i="15"/>
  <c r="K2744" i="15"/>
  <c r="K2745" i="15"/>
  <c r="K2746" i="15"/>
  <c r="K2747" i="15"/>
  <c r="K2748" i="15"/>
  <c r="K2749" i="15"/>
  <c r="K2750" i="15"/>
  <c r="K2751" i="15"/>
  <c r="K2752" i="15"/>
  <c r="K2753" i="15"/>
  <c r="K2754" i="15"/>
  <c r="K2755" i="15"/>
  <c r="K2756" i="15"/>
  <c r="K2757" i="15"/>
  <c r="K2758" i="15"/>
  <c r="K2759" i="15"/>
  <c r="K2760" i="15"/>
  <c r="K2761" i="15"/>
  <c r="K2762" i="15"/>
  <c r="K2763" i="15"/>
  <c r="K2764" i="15"/>
  <c r="K2765" i="15"/>
  <c r="K2766" i="15"/>
  <c r="K2767" i="15"/>
  <c r="K2768" i="15"/>
  <c r="K2769" i="15"/>
  <c r="K2770" i="15"/>
  <c r="K2771" i="15"/>
  <c r="K2772" i="15"/>
  <c r="K2773" i="15"/>
  <c r="K2778" i="15"/>
  <c r="K2779" i="15"/>
  <c r="K2780" i="15"/>
  <c r="K2781" i="15"/>
  <c r="K2782" i="15"/>
  <c r="K2783" i="15"/>
  <c r="K2784" i="15"/>
  <c r="K2785" i="15"/>
  <c r="K2786" i="15"/>
  <c r="K2787" i="15"/>
  <c r="K2788" i="15"/>
  <c r="K2789" i="15"/>
  <c r="K2790" i="15"/>
  <c r="K2791" i="15"/>
  <c r="K2792" i="15"/>
  <c r="K2793" i="15"/>
  <c r="K2794" i="15"/>
  <c r="K2795" i="15"/>
  <c r="K2796" i="15"/>
  <c r="K2797" i="15"/>
  <c r="K2798" i="15"/>
  <c r="K2799" i="15"/>
  <c r="K2800" i="15"/>
  <c r="K2801" i="15"/>
  <c r="K2802" i="15"/>
  <c r="K2803" i="15"/>
  <c r="K2804" i="15"/>
  <c r="K2805" i="15"/>
  <c r="K2806" i="15"/>
  <c r="K2807" i="15"/>
  <c r="K2808" i="15"/>
  <c r="K2809" i="15"/>
  <c r="K2810" i="15"/>
  <c r="K2811" i="15"/>
  <c r="K2812" i="15"/>
  <c r="K2813" i="15"/>
  <c r="K2814" i="15"/>
  <c r="K2815" i="15"/>
  <c r="K2816" i="15"/>
  <c r="K2817" i="15"/>
  <c r="K2818" i="15"/>
  <c r="K2819" i="15"/>
  <c r="K2820" i="15"/>
  <c r="K2821" i="15"/>
  <c r="K2822" i="15"/>
  <c r="K2823" i="15"/>
  <c r="K2824" i="15"/>
  <c r="K2825" i="15"/>
  <c r="K2826" i="15"/>
  <c r="K2827" i="15"/>
  <c r="K2828" i="15"/>
  <c r="K2829" i="15"/>
  <c r="K2831" i="15"/>
  <c r="K2833" i="15"/>
  <c r="K2835" i="15"/>
  <c r="K2836" i="15"/>
  <c r="K2837" i="15"/>
  <c r="K2838" i="15"/>
  <c r="K2839" i="15"/>
  <c r="K2840" i="15"/>
  <c r="K2842" i="15"/>
  <c r="K2853" i="15"/>
  <c r="K2854" i="15"/>
  <c r="K2855" i="15"/>
  <c r="K2856" i="15"/>
  <c r="K2857" i="15"/>
  <c r="K2858" i="15"/>
  <c r="K2859" i="15"/>
  <c r="K2860" i="15"/>
  <c r="K2861" i="15"/>
  <c r="K2862" i="15"/>
  <c r="K2863" i="15"/>
  <c r="K2865" i="15"/>
  <c r="K2866" i="15"/>
  <c r="K2868" i="15"/>
  <c r="K2869" i="15"/>
  <c r="K2870" i="15"/>
  <c r="K2871" i="15"/>
  <c r="K2872" i="15"/>
  <c r="K2873" i="15"/>
  <c r="K2874" i="15"/>
  <c r="K2875" i="15"/>
  <c r="K2876" i="15"/>
  <c r="K2877" i="15"/>
  <c r="K2878" i="15"/>
  <c r="K2879" i="15"/>
  <c r="K2880" i="15"/>
  <c r="K2881" i="15"/>
  <c r="K2882" i="15"/>
  <c r="K2883" i="15"/>
  <c r="K2884" i="15"/>
  <c r="K2886" i="15"/>
  <c r="K2887" i="15"/>
  <c r="K2891" i="15"/>
  <c r="K2892" i="15"/>
  <c r="K2893" i="15"/>
  <c r="K2894" i="15"/>
  <c r="K2895" i="15"/>
  <c r="K2896" i="15"/>
  <c r="K2897" i="15"/>
  <c r="K2898" i="15"/>
  <c r="K2899" i="15"/>
  <c r="K2900" i="15"/>
  <c r="K2901" i="15"/>
  <c r="K2902" i="15"/>
  <c r="K2903" i="15"/>
  <c r="K2904" i="15"/>
  <c r="K2905" i="15"/>
  <c r="K2906" i="15"/>
  <c r="K2907" i="15"/>
  <c r="K2908" i="15"/>
  <c r="K2909" i="15"/>
  <c r="K2910" i="15"/>
  <c r="K2911" i="15"/>
  <c r="K2913" i="15"/>
  <c r="K2915" i="15"/>
  <c r="K2916" i="15"/>
  <c r="K2917" i="15"/>
  <c r="K2918" i="15"/>
  <c r="K2919" i="15"/>
  <c r="K2920" i="15"/>
  <c r="K2921" i="15"/>
  <c r="K2922" i="15"/>
  <c r="K2923" i="15"/>
  <c r="K2924" i="15"/>
  <c r="K2925" i="15"/>
  <c r="K2926" i="15"/>
  <c r="K2927" i="15"/>
  <c r="K2928" i="15"/>
  <c r="K2929" i="15"/>
  <c r="K2930" i="15"/>
  <c r="K2931" i="15"/>
  <c r="K2932" i="15"/>
  <c r="K2933" i="15"/>
  <c r="K2934" i="15"/>
  <c r="K2935" i="15"/>
  <c r="K2936" i="15"/>
  <c r="K2937" i="15"/>
  <c r="K2938" i="15"/>
  <c r="K2939" i="15"/>
  <c r="K2940" i="15"/>
  <c r="K2941" i="15"/>
  <c r="K2942" i="15"/>
  <c r="K2943" i="15"/>
  <c r="K2944" i="15"/>
  <c r="K2945" i="15"/>
  <c r="K2946" i="15"/>
  <c r="K2947" i="15"/>
  <c r="K2948" i="15"/>
  <c r="K2949" i="15"/>
  <c r="K2951" i="15"/>
  <c r="K2952" i="15"/>
  <c r="K2953" i="15"/>
  <c r="K2954" i="15"/>
  <c r="K2955" i="15"/>
  <c r="K2956" i="15"/>
  <c r="K2957" i="15"/>
  <c r="K2958" i="15"/>
  <c r="K2960" i="15"/>
  <c r="K2962" i="15"/>
  <c r="K2963" i="15"/>
  <c r="K2964" i="15"/>
  <c r="K2965" i="15"/>
  <c r="K2966" i="15"/>
  <c r="K2967" i="15"/>
  <c r="K2968" i="15"/>
  <c r="K2969" i="15"/>
  <c r="K2970" i="15"/>
  <c r="K2971" i="15"/>
  <c r="K2972" i="15"/>
  <c r="K2973" i="15"/>
  <c r="K2974" i="15"/>
  <c r="K2975" i="15"/>
  <c r="K2976" i="15"/>
  <c r="K2977" i="15"/>
  <c r="K2978" i="15"/>
  <c r="K2979" i="15"/>
  <c r="K2980" i="15"/>
  <c r="K2982" i="15"/>
  <c r="K2983" i="15"/>
  <c r="K2985" i="15"/>
  <c r="K2986" i="15"/>
  <c r="K2989" i="15"/>
  <c r="K2991" i="15"/>
  <c r="K2992" i="15"/>
  <c r="K2993" i="15"/>
  <c r="K2994" i="15"/>
  <c r="K2995" i="15"/>
  <c r="K2996" i="15"/>
  <c r="K2997" i="15"/>
  <c r="K2998" i="15"/>
  <c r="K2999" i="15"/>
  <c r="K3000" i="15"/>
  <c r="K3001" i="15"/>
  <c r="K3002" i="15"/>
  <c r="K3003" i="15"/>
  <c r="K3004" i="15"/>
  <c r="K3005" i="15"/>
  <c r="K3006" i="15"/>
  <c r="K3007" i="15"/>
  <c r="K3008" i="15"/>
  <c r="K3009" i="15"/>
  <c r="K3010" i="15"/>
  <c r="K3011" i="15"/>
  <c r="K3012" i="15"/>
  <c r="K3013" i="15"/>
  <c r="K3014" i="15"/>
  <c r="K3015" i="15"/>
  <c r="K3016" i="15"/>
  <c r="K3017" i="15"/>
  <c r="K3018" i="15"/>
  <c r="K3019" i="15"/>
  <c r="K3021" i="15"/>
  <c r="K3023" i="15"/>
  <c r="K3024" i="15"/>
  <c r="K3025" i="15"/>
  <c r="K3026" i="15"/>
  <c r="K3027" i="15"/>
  <c r="K3028" i="15"/>
  <c r="K3029" i="15"/>
  <c r="K3031" i="15"/>
  <c r="K3032" i="15"/>
  <c r="K3033" i="15"/>
  <c r="K3036" i="15"/>
  <c r="K3037" i="15"/>
  <c r="K3038" i="15"/>
  <c r="K3039" i="15"/>
  <c r="K3040" i="15"/>
  <c r="K3041" i="15"/>
  <c r="K3042" i="15"/>
  <c r="K3043" i="15"/>
  <c r="K3044" i="15"/>
  <c r="K3045" i="15"/>
  <c r="K3046" i="15"/>
  <c r="K3047" i="15"/>
  <c r="K3048" i="15"/>
  <c r="K3049" i="15"/>
  <c r="K3050" i="15"/>
  <c r="K3051" i="15"/>
  <c r="K3052" i="15"/>
  <c r="K3053" i="15"/>
  <c r="K3054" i="15"/>
  <c r="K3055" i="15"/>
  <c r="K3056" i="15"/>
  <c r="K3057" i="15"/>
  <c r="K3058" i="15"/>
  <c r="K3059" i="15"/>
  <c r="K3060" i="15"/>
  <c r="K3061" i="15"/>
  <c r="K3062" i="15"/>
  <c r="K3063" i="15"/>
  <c r="K3064" i="15"/>
  <c r="K3065" i="15"/>
  <c r="K3066" i="15"/>
  <c r="K3067" i="15"/>
  <c r="K3068" i="15"/>
  <c r="K3069" i="15"/>
  <c r="K3070" i="15"/>
  <c r="K3071" i="15"/>
  <c r="K3072" i="15"/>
  <c r="K3073" i="15"/>
  <c r="K3075" i="15"/>
  <c r="K3077" i="15"/>
  <c r="K3078" i="15"/>
  <c r="K3081" i="15"/>
  <c r="K3082" i="15"/>
  <c r="K3083" i="15"/>
  <c r="K3084" i="15"/>
  <c r="K3085" i="15"/>
  <c r="K3087" i="15"/>
  <c r="K3088" i="15"/>
  <c r="K3089" i="15"/>
  <c r="K3090" i="15"/>
  <c r="K3091" i="15"/>
  <c r="K3092" i="15"/>
  <c r="K3093" i="15"/>
  <c r="K3094" i="15"/>
  <c r="K3095" i="15"/>
  <c r="K3096" i="15"/>
  <c r="K3097" i="15"/>
  <c r="K3098" i="15"/>
  <c r="K3099" i="15"/>
  <c r="K3100" i="15"/>
  <c r="K3101" i="15"/>
  <c r="K3102" i="15"/>
  <c r="K3103" i="15"/>
  <c r="K3104" i="15"/>
  <c r="K3105" i="15"/>
  <c r="K3106" i="15"/>
  <c r="K3108" i="15"/>
  <c r="K3109" i="15"/>
  <c r="K3110" i="15"/>
  <c r="K3111" i="15"/>
  <c r="K3112" i="15"/>
  <c r="K3113" i="15"/>
  <c r="K3114" i="15"/>
  <c r="K3115" i="15"/>
  <c r="K3116" i="15"/>
  <c r="K3117" i="15"/>
  <c r="K3118" i="15"/>
  <c r="K3119" i="15"/>
  <c r="K3120" i="15"/>
  <c r="K3121" i="15"/>
  <c r="K3122" i="15"/>
  <c r="K3123" i="15"/>
  <c r="K3124" i="15"/>
  <c r="K3125" i="15"/>
  <c r="K3126" i="15"/>
  <c r="K3127" i="15"/>
  <c r="K3128" i="15"/>
  <c r="K3129" i="15"/>
  <c r="K3130" i="15"/>
  <c r="K3131" i="15"/>
  <c r="K3132" i="15"/>
  <c r="K3133" i="15"/>
  <c r="K3134" i="15"/>
  <c r="K3135" i="15"/>
  <c r="K3136" i="15"/>
  <c r="K3137" i="15"/>
  <c r="K3138" i="15"/>
  <c r="K3139" i="15"/>
  <c r="K3140" i="15"/>
  <c r="K3141" i="15"/>
  <c r="K3142" i="15"/>
  <c r="K3143" i="15"/>
  <c r="K3144" i="15"/>
  <c r="K3145" i="15"/>
  <c r="K3146" i="15"/>
  <c r="K3147" i="15"/>
  <c r="K3148" i="15"/>
  <c r="K3149" i="15"/>
  <c r="K3150" i="15"/>
  <c r="K3151" i="15"/>
  <c r="K3152" i="15"/>
  <c r="K3153" i="15"/>
  <c r="K3154" i="15"/>
  <c r="K3155" i="15"/>
  <c r="K3156" i="15"/>
  <c r="K3157" i="15"/>
  <c r="K3158" i="15"/>
  <c r="K3159" i="15"/>
  <c r="K3160" i="15"/>
  <c r="K3161" i="15"/>
  <c r="K3162" i="15"/>
  <c r="K3163" i="15"/>
  <c r="K3164" i="15"/>
  <c r="K3165" i="15"/>
  <c r="K3166" i="15"/>
  <c r="K3167" i="15"/>
  <c r="K3168" i="15"/>
  <c r="K3169" i="15"/>
  <c r="K3170" i="15"/>
  <c r="K3171" i="15"/>
  <c r="K3172" i="15"/>
  <c r="K3173" i="15"/>
  <c r="K3174" i="15"/>
  <c r="K3175" i="15"/>
  <c r="K3176" i="15"/>
  <c r="K3177" i="15"/>
  <c r="K3178" i="15"/>
  <c r="K3179" i="15"/>
  <c r="K3180" i="15"/>
  <c r="K3181" i="15"/>
  <c r="K3182" i="15"/>
  <c r="K3183" i="15"/>
  <c r="K3184" i="15"/>
  <c r="K3185" i="15"/>
  <c r="K3186" i="15"/>
  <c r="K3187" i="15"/>
  <c r="K3188" i="15"/>
  <c r="K3190" i="15"/>
  <c r="K3191" i="15"/>
  <c r="K3192" i="15"/>
  <c r="K3193" i="15"/>
  <c r="K3194" i="15"/>
  <c r="K3195" i="15"/>
  <c r="K3196" i="15"/>
  <c r="K3197" i="15"/>
  <c r="K3198" i="15"/>
  <c r="K3199" i="15"/>
  <c r="K3200" i="15"/>
  <c r="K3201" i="15"/>
  <c r="K3202" i="15"/>
  <c r="K3203" i="15"/>
  <c r="K3204" i="15"/>
  <c r="K3205" i="15"/>
  <c r="K3207" i="15"/>
  <c r="K3211" i="15"/>
  <c r="K3212" i="15"/>
  <c r="K3213" i="15"/>
  <c r="K3214" i="15"/>
  <c r="K3215" i="15"/>
  <c r="K3216" i="15"/>
  <c r="K3217" i="15"/>
  <c r="K3218" i="15"/>
  <c r="K3220" i="15"/>
  <c r="K3221" i="15"/>
  <c r="K3222" i="15"/>
  <c r="K3223" i="15"/>
  <c r="K3224" i="15"/>
  <c r="K3225" i="15"/>
  <c r="K3226" i="15"/>
  <c r="K3228" i="15"/>
  <c r="K3229" i="15"/>
  <c r="K3230" i="15"/>
  <c r="K3231" i="15"/>
  <c r="K3232" i="15"/>
  <c r="K3233" i="15"/>
  <c r="K3234" i="15"/>
  <c r="K3235" i="15"/>
  <c r="K3236" i="15"/>
  <c r="K3237" i="15"/>
  <c r="K3238" i="15"/>
  <c r="K3239" i="15"/>
  <c r="K3240" i="15"/>
  <c r="K3241" i="15"/>
  <c r="K3242" i="15"/>
  <c r="K3243" i="15"/>
  <c r="K3244" i="15"/>
  <c r="K3245" i="15"/>
  <c r="K3246" i="15"/>
  <c r="K3247" i="15"/>
  <c r="K3248" i="15"/>
  <c r="K3249" i="15"/>
  <c r="K3250" i="15"/>
  <c r="K3251" i="15"/>
  <c r="K3252" i="15"/>
  <c r="K3253" i="15"/>
  <c r="K3254" i="15"/>
  <c r="K3255" i="15"/>
  <c r="K3256" i="15"/>
  <c r="K3257" i="15"/>
  <c r="K3258" i="15"/>
  <c r="K3259" i="15"/>
  <c r="K3261" i="15"/>
  <c r="K3262" i="15"/>
  <c r="K3265" i="15"/>
  <c r="K3266" i="15"/>
  <c r="K3267" i="15"/>
  <c r="K3269" i="15"/>
  <c r="K3270" i="15"/>
  <c r="K3271" i="15"/>
  <c r="K3272" i="15"/>
  <c r="K3273" i="15"/>
  <c r="K3274" i="15"/>
  <c r="K3275" i="15"/>
  <c r="K3276" i="15"/>
  <c r="K3277" i="15"/>
  <c r="K3278" i="15"/>
  <c r="K3279" i="15"/>
  <c r="K3280" i="15"/>
  <c r="K3281" i="15"/>
  <c r="K3282" i="15"/>
  <c r="K3283" i="15"/>
  <c r="K3284" i="15"/>
  <c r="K3285" i="15"/>
  <c r="K3286" i="15"/>
  <c r="K3287" i="15"/>
  <c r="K3288" i="15"/>
  <c r="K3289" i="15"/>
  <c r="K3290" i="15"/>
  <c r="K3291" i="15"/>
  <c r="K3292" i="15"/>
  <c r="K3293" i="15"/>
  <c r="K3294" i="15"/>
  <c r="K3295" i="15"/>
  <c r="K3297" i="15"/>
  <c r="K3298" i="15"/>
  <c r="L3298" i="15"/>
  <c r="K3299" i="15"/>
  <c r="K3300" i="15"/>
  <c r="K3302" i="15"/>
  <c r="K3303" i="15"/>
  <c r="L3303" i="15"/>
  <c r="K3305" i="15"/>
  <c r="K3306" i="15"/>
  <c r="L3306" i="15"/>
  <c r="K3307" i="15"/>
  <c r="K3308" i="15"/>
  <c r="K3309" i="15"/>
  <c r="K3310" i="15"/>
  <c r="L3310" i="15"/>
  <c r="K3311" i="15"/>
  <c r="K3312" i="15"/>
  <c r="K3313" i="15"/>
  <c r="K3314" i="15"/>
  <c r="K3315" i="15"/>
  <c r="K3317" i="15"/>
  <c r="K3318" i="15"/>
  <c r="K3319" i="15"/>
  <c r="K3320" i="15"/>
  <c r="K3321" i="15"/>
  <c r="K3323" i="15"/>
  <c r="K3324" i="15"/>
  <c r="K3325" i="15"/>
  <c r="L3325" i="15"/>
  <c r="K3326" i="15"/>
  <c r="K3327" i="15"/>
  <c r="K3328" i="15"/>
  <c r="K3329" i="15"/>
  <c r="L3329" i="15"/>
  <c r="K3330" i="15"/>
  <c r="K3332" i="15"/>
  <c r="K3333" i="15"/>
  <c r="K3334" i="15"/>
  <c r="L3334" i="15"/>
  <c r="K3336" i="15"/>
  <c r="K3338" i="15"/>
  <c r="K3339" i="15"/>
  <c r="K3341" i="15"/>
  <c r="K3342" i="15"/>
  <c r="K3343" i="15"/>
  <c r="K3344" i="15"/>
  <c r="K3345" i="15"/>
  <c r="K3346" i="15"/>
  <c r="K3347" i="15"/>
  <c r="K3348" i="15"/>
  <c r="K3349" i="15"/>
  <c r="K3350" i="15"/>
  <c r="K3351" i="15"/>
  <c r="K3352" i="15"/>
  <c r="K3353" i="15"/>
  <c r="K3354" i="15"/>
  <c r="K3355" i="15"/>
  <c r="K3356" i="15"/>
  <c r="K3357" i="15"/>
  <c r="K3358" i="15"/>
  <c r="K3359" i="15"/>
  <c r="K3360" i="15"/>
  <c r="L3360" i="15"/>
  <c r="K3361" i="15"/>
  <c r="K3362" i="15"/>
  <c r="K3363" i="15"/>
  <c r="K3364" i="15"/>
  <c r="K3365" i="15"/>
  <c r="K3367" i="15"/>
  <c r="L3367" i="15"/>
  <c r="K3368" i="15"/>
  <c r="K3369" i="15"/>
  <c r="K3370" i="15"/>
  <c r="K3371" i="15"/>
  <c r="K3372" i="15"/>
  <c r="K3374" i="15"/>
  <c r="K3375" i="15"/>
  <c r="K3376" i="15"/>
  <c r="K3377" i="15"/>
  <c r="K3378" i="15"/>
  <c r="K3379" i="15"/>
  <c r="K3380" i="15"/>
  <c r="K3381" i="15"/>
  <c r="K3382" i="15"/>
  <c r="K3383" i="15"/>
  <c r="K3384" i="15"/>
  <c r="K3385" i="15"/>
  <c r="K3386" i="15"/>
  <c r="K3387" i="15"/>
  <c r="K3388" i="15"/>
  <c r="K3389" i="15"/>
  <c r="K3390" i="15"/>
  <c r="K3391" i="15"/>
  <c r="K3392" i="15"/>
  <c r="K3393" i="15"/>
  <c r="K3394" i="15"/>
  <c r="K3395" i="15"/>
  <c r="K3396" i="15"/>
  <c r="K3397" i="15"/>
  <c r="K3398" i="15"/>
  <c r="K3399" i="15"/>
  <c r="K3400" i="15"/>
  <c r="K3401" i="15"/>
  <c r="K3402" i="15"/>
  <c r="K3403" i="15"/>
  <c r="L3403" i="15"/>
  <c r="K3404" i="15"/>
  <c r="K3405" i="15"/>
  <c r="K3406" i="15"/>
  <c r="K3407" i="15"/>
  <c r="K3408" i="15"/>
  <c r="K3410" i="15"/>
  <c r="K3411" i="15"/>
  <c r="K3412" i="15"/>
  <c r="K3413" i="15"/>
  <c r="L3413" i="15"/>
  <c r="K3414" i="15"/>
  <c r="K3415" i="15"/>
  <c r="L3415" i="15"/>
  <c r="K3416" i="15"/>
  <c r="K3417" i="15"/>
  <c r="K3418" i="15"/>
  <c r="K3420" i="15"/>
  <c r="L3420" i="15"/>
  <c r="K3422" i="15"/>
  <c r="K3423" i="15"/>
  <c r="K3424" i="15"/>
  <c r="L3424" i="15"/>
  <c r="K3425" i="15"/>
  <c r="K3427" i="15"/>
  <c r="K3428" i="15"/>
  <c r="K3429" i="15"/>
  <c r="L3429" i="15"/>
  <c r="K3431" i="15"/>
  <c r="K3432" i="15"/>
  <c r="K3433" i="15"/>
  <c r="K3434" i="15"/>
  <c r="K3436" i="15"/>
  <c r="L3436" i="15"/>
  <c r="K3437" i="15"/>
  <c r="L3437" i="15"/>
  <c r="K3438" i="15"/>
  <c r="L3438" i="15"/>
  <c r="K3439" i="15"/>
  <c r="L3439" i="15"/>
  <c r="K3440" i="15"/>
  <c r="K3441" i="15"/>
  <c r="L3441" i="15"/>
  <c r="K3446" i="15"/>
  <c r="L3446" i="15"/>
  <c r="K3453" i="15"/>
  <c r="K3454" i="15"/>
  <c r="K3456" i="15"/>
  <c r="K3459" i="15"/>
  <c r="K3460" i="15"/>
  <c r="K3461" i="15"/>
  <c r="K3462" i="15"/>
  <c r="K3463" i="15"/>
  <c r="K3464" i="15"/>
  <c r="K3465" i="15"/>
  <c r="K3466" i="15"/>
  <c r="K3467" i="15"/>
  <c r="K3468" i="15"/>
  <c r="K3469" i="15"/>
  <c r="K3470" i="15"/>
  <c r="K3471" i="15"/>
  <c r="K3472" i="15"/>
  <c r="K3473" i="15"/>
  <c r="K3474" i="15"/>
  <c r="K3475" i="15"/>
  <c r="K3476" i="15"/>
  <c r="K3477" i="15"/>
  <c r="K3478" i="15"/>
  <c r="K3479" i="15"/>
  <c r="K3480" i="15"/>
  <c r="K3481" i="15"/>
  <c r="K3482" i="15"/>
  <c r="K3483" i="15"/>
  <c r="K3484" i="15"/>
  <c r="K3485" i="15"/>
  <c r="K3486" i="15"/>
  <c r="L3486" i="15"/>
  <c r="K3487" i="15"/>
  <c r="K3488" i="15"/>
  <c r="K3489" i="15"/>
  <c r="K3490" i="15"/>
  <c r="K3491" i="15"/>
  <c r="K3493" i="15"/>
  <c r="K3494" i="15"/>
  <c r="L3494" i="15"/>
  <c r="K3495" i="15"/>
  <c r="K3496" i="15"/>
  <c r="L3496" i="15"/>
  <c r="K3497" i="15"/>
  <c r="L3497" i="15"/>
  <c r="K3498" i="15"/>
  <c r="K3499" i="15"/>
  <c r="K3501" i="15"/>
  <c r="K3504" i="15"/>
  <c r="K3505" i="15"/>
  <c r="K3506" i="15"/>
  <c r="K3507" i="15"/>
  <c r="K3508" i="15"/>
  <c r="K3509" i="15"/>
  <c r="K3510" i="15"/>
  <c r="K3511" i="15"/>
  <c r="K3512" i="15"/>
  <c r="K3513" i="15"/>
  <c r="K3514" i="15"/>
  <c r="K3515" i="15"/>
  <c r="L3515" i="15"/>
  <c r="K3516" i="15"/>
  <c r="K3517" i="15"/>
  <c r="L3517" i="15"/>
  <c r="K3518" i="15"/>
  <c r="L3518" i="15"/>
  <c r="K3519" i="15"/>
  <c r="K3520" i="15"/>
  <c r="K3522" i="15"/>
  <c r="K3525" i="15"/>
  <c r="K3526" i="15"/>
  <c r="K3527" i="15"/>
  <c r="K3528" i="15"/>
  <c r="K3529" i="15"/>
  <c r="L3529" i="15"/>
  <c r="K3530" i="15"/>
  <c r="L3530" i="15"/>
  <c r="K3531" i="15"/>
  <c r="K3532" i="15"/>
  <c r="L3532" i="15"/>
  <c r="K3533" i="15"/>
  <c r="L3533" i="15"/>
  <c r="K3534" i="15"/>
  <c r="K3537" i="15"/>
  <c r="K3540" i="15"/>
  <c r="K3543" i="15"/>
  <c r="K3544" i="15"/>
  <c r="K3545" i="15"/>
  <c r="K3546" i="15"/>
  <c r="K3547" i="15"/>
  <c r="K3548" i="15"/>
  <c r="K3549" i="15"/>
  <c r="K3550" i="15"/>
  <c r="K3551" i="15"/>
  <c r="K3552" i="15"/>
  <c r="K3553" i="15"/>
  <c r="K3554" i="15"/>
  <c r="K3555" i="15"/>
  <c r="K3556" i="15"/>
  <c r="K3557" i="15"/>
  <c r="K3558" i="15"/>
  <c r="K3559" i="15"/>
  <c r="K3560" i="15"/>
  <c r="K3561" i="15"/>
  <c r="K3562" i="15"/>
  <c r="K3563" i="15"/>
  <c r="K3564" i="15"/>
  <c r="K3565" i="15"/>
  <c r="K3566" i="15"/>
  <c r="K3567" i="15"/>
  <c r="K3568" i="15"/>
  <c r="K3569" i="15"/>
  <c r="K3570" i="15"/>
  <c r="K3571" i="15"/>
  <c r="K3572" i="15"/>
  <c r="K3573" i="15"/>
  <c r="K3574" i="15"/>
  <c r="K3575" i="15"/>
  <c r="K3576" i="15"/>
  <c r="K3577" i="15"/>
  <c r="K3578" i="15"/>
  <c r="K3579" i="15"/>
  <c r="K3580" i="15"/>
  <c r="K3581" i="15"/>
  <c r="K3582" i="15"/>
  <c r="K3583" i="15"/>
  <c r="K3584" i="15"/>
  <c r="K3585" i="15"/>
  <c r="K3586" i="15"/>
  <c r="K3587" i="15"/>
  <c r="K3588" i="15"/>
  <c r="K3589" i="15"/>
  <c r="K3590" i="15"/>
  <c r="K3591" i="15"/>
  <c r="K3592" i="15"/>
  <c r="K3593" i="15"/>
  <c r="K3594" i="15"/>
  <c r="K3595" i="15"/>
  <c r="K3596" i="15"/>
  <c r="K3597" i="15"/>
  <c r="K3598" i="15"/>
  <c r="K3599" i="15"/>
  <c r="K3600" i="15"/>
  <c r="K3601" i="15"/>
  <c r="K3602" i="15"/>
  <c r="K3603" i="15"/>
  <c r="K3604" i="15"/>
  <c r="K3605" i="15"/>
  <c r="K3606" i="15"/>
  <c r="K3607" i="15"/>
  <c r="K3608" i="15"/>
  <c r="K3609" i="15"/>
  <c r="L3609" i="15"/>
  <c r="K3610" i="15"/>
  <c r="L3610" i="15"/>
  <c r="K3611" i="15"/>
  <c r="L3611" i="15"/>
  <c r="K3612" i="15"/>
  <c r="L3612" i="15"/>
  <c r="K3613" i="15"/>
  <c r="K3614" i="15"/>
  <c r="K3619" i="15"/>
  <c r="L3619" i="15"/>
  <c r="K3620" i="15"/>
  <c r="L3620" i="15"/>
  <c r="K3621" i="15"/>
  <c r="K3622" i="15"/>
  <c r="K3623" i="15"/>
  <c r="K3624" i="15"/>
  <c r="K3627" i="15"/>
  <c r="K3628" i="15"/>
  <c r="K3629" i="15"/>
  <c r="K3630" i="15"/>
  <c r="K3631" i="15"/>
  <c r="K3632" i="15"/>
  <c r="K3633" i="15"/>
  <c r="K3634" i="15"/>
  <c r="K3635" i="15"/>
  <c r="K3636" i="15"/>
  <c r="K3637" i="15"/>
  <c r="K3638" i="15"/>
  <c r="L3638" i="15"/>
  <c r="K3639" i="15"/>
  <c r="K3640" i="15"/>
  <c r="L3640" i="15"/>
  <c r="K3641" i="15"/>
  <c r="L3641" i="15"/>
  <c r="K3642" i="15"/>
  <c r="K3643" i="15"/>
  <c r="K3645" i="15"/>
  <c r="K3648" i="15"/>
  <c r="K3649" i="15"/>
  <c r="K3650" i="15"/>
  <c r="K3651" i="15"/>
  <c r="K3652" i="15"/>
  <c r="K3653" i="15"/>
  <c r="K3654" i="15"/>
  <c r="K3655" i="15"/>
  <c r="K3656" i="15"/>
  <c r="K3657" i="15"/>
  <c r="K3658" i="15"/>
  <c r="K3659" i="15"/>
  <c r="K3660" i="15"/>
  <c r="K3661" i="15"/>
  <c r="K3662" i="15"/>
  <c r="K3663" i="15"/>
  <c r="K3664" i="15"/>
  <c r="K3665" i="15"/>
  <c r="K3666" i="15"/>
  <c r="K3667" i="15"/>
  <c r="K3668" i="15"/>
  <c r="K3669" i="15"/>
  <c r="K3670" i="15"/>
  <c r="K3671" i="15"/>
  <c r="K3672" i="15"/>
  <c r="K3673" i="15"/>
  <c r="K3674" i="15"/>
  <c r="K3675" i="15"/>
  <c r="K3676" i="15"/>
  <c r="K3677" i="15"/>
  <c r="K3678" i="15"/>
  <c r="K3679" i="15"/>
  <c r="K3680" i="15"/>
  <c r="K3681" i="15"/>
  <c r="K3682" i="15"/>
  <c r="K3683" i="15"/>
  <c r="K3684" i="15"/>
  <c r="K3685" i="15"/>
  <c r="K3686" i="15"/>
  <c r="K3687" i="15"/>
  <c r="K3688" i="15"/>
  <c r="K3689" i="15"/>
  <c r="K3690" i="15"/>
  <c r="K3691" i="15"/>
  <c r="K3692" i="15"/>
  <c r="K3693" i="15"/>
  <c r="K3694" i="15"/>
  <c r="K3695" i="15"/>
  <c r="K3696" i="15"/>
  <c r="K3697" i="15"/>
  <c r="K3698" i="15"/>
  <c r="K3699" i="15"/>
  <c r="K3700" i="15"/>
  <c r="K3701" i="15"/>
  <c r="K3702" i="15"/>
  <c r="K3703" i="15"/>
  <c r="K3704" i="15"/>
  <c r="K3705" i="15"/>
  <c r="K3706" i="15"/>
  <c r="K3707" i="15"/>
  <c r="K3708" i="15"/>
  <c r="K3709" i="15"/>
  <c r="K3710" i="15"/>
  <c r="K3711" i="15"/>
  <c r="K3712" i="15"/>
  <c r="K3713" i="15"/>
  <c r="K3714" i="15"/>
  <c r="K3715" i="15"/>
  <c r="K3716" i="15"/>
  <c r="K3717" i="15"/>
  <c r="K3718" i="15"/>
  <c r="K3719" i="15"/>
  <c r="K3720" i="15"/>
  <c r="K3721" i="15"/>
  <c r="K3722" i="15"/>
  <c r="K3723" i="15"/>
  <c r="K3724" i="15"/>
  <c r="K3725" i="15"/>
  <c r="K3726" i="15"/>
  <c r="K3727" i="15"/>
  <c r="K3728" i="15"/>
  <c r="K3729" i="15"/>
  <c r="K3730" i="15"/>
  <c r="K3731" i="15"/>
  <c r="K3732" i="15"/>
  <c r="K3733" i="15"/>
  <c r="K3734" i="15"/>
  <c r="K3735" i="15"/>
  <c r="K3736" i="15"/>
  <c r="K3737" i="15"/>
  <c r="K3738" i="15"/>
  <c r="K3739" i="15"/>
  <c r="K3740" i="15"/>
  <c r="K3741" i="15"/>
  <c r="K3742" i="15"/>
  <c r="K3743" i="15"/>
  <c r="K3744" i="15"/>
  <c r="K3745" i="15"/>
  <c r="K3746" i="15"/>
  <c r="K3747" i="15"/>
  <c r="K3748" i="15"/>
  <c r="K3749" i="15"/>
  <c r="K3750" i="15"/>
  <c r="K3751" i="15"/>
  <c r="K3752" i="15"/>
  <c r="K3753" i="15"/>
  <c r="K3754" i="15"/>
  <c r="K3755" i="15"/>
  <c r="K3756" i="15"/>
  <c r="K3757" i="15"/>
  <c r="K3758" i="15"/>
  <c r="K3759" i="15"/>
  <c r="K3760" i="15"/>
  <c r="K3761" i="15"/>
  <c r="K3762" i="15"/>
  <c r="K3763" i="15"/>
  <c r="K3764" i="15"/>
  <c r="K3765" i="15"/>
  <c r="K3766" i="15"/>
  <c r="K3767" i="15"/>
  <c r="K3768" i="15"/>
  <c r="K3769" i="15"/>
  <c r="K3770" i="15"/>
  <c r="K3771" i="15"/>
  <c r="K3772" i="15"/>
  <c r="K3773" i="15"/>
  <c r="K3774" i="15"/>
  <c r="K3775" i="15"/>
  <c r="K3776" i="15"/>
  <c r="K3777" i="15"/>
  <c r="K3778" i="15"/>
  <c r="K3779" i="15"/>
  <c r="K3780" i="15"/>
  <c r="K3781" i="15"/>
  <c r="K3782" i="15"/>
  <c r="K3783" i="15"/>
  <c r="K3784" i="15"/>
  <c r="K3785" i="15"/>
  <c r="K3786" i="15"/>
  <c r="K3787" i="15"/>
  <c r="K3788" i="15"/>
  <c r="K3789" i="15"/>
  <c r="K3790" i="15"/>
  <c r="K3791" i="15"/>
  <c r="K3792" i="15"/>
  <c r="K3793" i="15"/>
  <c r="K3794" i="15"/>
  <c r="K3795" i="15"/>
  <c r="K3796" i="15"/>
  <c r="K3797" i="15"/>
  <c r="K3798" i="15"/>
  <c r="K3799" i="15"/>
  <c r="K3800" i="15"/>
  <c r="K3801" i="15"/>
  <c r="K3802" i="15"/>
  <c r="K3803" i="15"/>
  <c r="K3804" i="15"/>
  <c r="K3805" i="15"/>
  <c r="K3806" i="15"/>
  <c r="K3807" i="15"/>
  <c r="K3808" i="15"/>
  <c r="K3809" i="15"/>
  <c r="K3810" i="15"/>
  <c r="K3811" i="15"/>
  <c r="K3812" i="15"/>
  <c r="K3813" i="15"/>
  <c r="K3814" i="15"/>
  <c r="K3815" i="15"/>
  <c r="K3816" i="15"/>
  <c r="K3817" i="15"/>
  <c r="K3818" i="15"/>
  <c r="K3819" i="15"/>
  <c r="K3820" i="15"/>
  <c r="K3821" i="15"/>
  <c r="K3822" i="15"/>
  <c r="K3823" i="15"/>
  <c r="K3824" i="15"/>
  <c r="K3825" i="15"/>
  <c r="K3826" i="15"/>
  <c r="K3827" i="15"/>
  <c r="K3828" i="15"/>
  <c r="K3829" i="15"/>
  <c r="K3830" i="15"/>
  <c r="K3831" i="15"/>
  <c r="K3832" i="15"/>
  <c r="K3833" i="15"/>
  <c r="K3834" i="15"/>
  <c r="K3835" i="15"/>
  <c r="K3836" i="15"/>
  <c r="K3837" i="15"/>
  <c r="K3838" i="15"/>
  <c r="K3839" i="15"/>
  <c r="K3840" i="15"/>
  <c r="K3841" i="15"/>
  <c r="K3842" i="15"/>
  <c r="K3843" i="15"/>
  <c r="K3844" i="15"/>
  <c r="K3845" i="15"/>
  <c r="K3846" i="15"/>
  <c r="K3847" i="15"/>
  <c r="K3848" i="15"/>
  <c r="K3849" i="15"/>
  <c r="K3850" i="15"/>
  <c r="K3851" i="15"/>
  <c r="K3852" i="15"/>
  <c r="K3853" i="15"/>
  <c r="K3854" i="15"/>
  <c r="K3855" i="15"/>
  <c r="K3856" i="15"/>
  <c r="K3857" i="15"/>
  <c r="K3858" i="15"/>
  <c r="K3859" i="15"/>
  <c r="K3860" i="15"/>
  <c r="K3861" i="15"/>
  <c r="K3862" i="15"/>
  <c r="K3863" i="15"/>
  <c r="K3864" i="15"/>
  <c r="K3865" i="15"/>
  <c r="K3866" i="15"/>
  <c r="K3867" i="15"/>
  <c r="K3868" i="15"/>
  <c r="K3869" i="15"/>
  <c r="K3870" i="15"/>
  <c r="K3871" i="15"/>
  <c r="K3872" i="15"/>
  <c r="K3873" i="15"/>
  <c r="K3874" i="15"/>
  <c r="K3875" i="15"/>
  <c r="K3876" i="15"/>
  <c r="K3877" i="15"/>
  <c r="K3878" i="15"/>
  <c r="K3879" i="15"/>
  <c r="K3880" i="15"/>
  <c r="K3881" i="15"/>
  <c r="K3882" i="15"/>
  <c r="K3883" i="15"/>
  <c r="K3884" i="15"/>
  <c r="K3885" i="15"/>
  <c r="K3886" i="15"/>
  <c r="K3887" i="15"/>
  <c r="K3888" i="15"/>
  <c r="K3889" i="15"/>
  <c r="K3890" i="15"/>
  <c r="K3891" i="15"/>
  <c r="K3892" i="15"/>
  <c r="K3893" i="15"/>
  <c r="K3894" i="15"/>
  <c r="K3895" i="15"/>
  <c r="K3896" i="15"/>
  <c r="K3897" i="15"/>
  <c r="K3898" i="15"/>
  <c r="K3899" i="15"/>
  <c r="K3900" i="15"/>
  <c r="K3901" i="15"/>
  <c r="K3902" i="15"/>
  <c r="K3903" i="15"/>
  <c r="K3904" i="15"/>
  <c r="K3905" i="15"/>
  <c r="K3906" i="15"/>
  <c r="K3907" i="15"/>
  <c r="K3908" i="15"/>
  <c r="K3909" i="15"/>
  <c r="K3910" i="15"/>
  <c r="K3911" i="15"/>
  <c r="K3912" i="15"/>
  <c r="K3913" i="15"/>
  <c r="K3914" i="15"/>
  <c r="K3915" i="15"/>
  <c r="K3916" i="15"/>
  <c r="K3917" i="15"/>
  <c r="K3918" i="15"/>
  <c r="K3919" i="15"/>
  <c r="K3920" i="15"/>
  <c r="K3921" i="15"/>
  <c r="K3922" i="15"/>
  <c r="K3923" i="15"/>
  <c r="K3924" i="15"/>
  <c r="K3925" i="15"/>
  <c r="K3926" i="15"/>
  <c r="K3927" i="15"/>
  <c r="K3928" i="15"/>
  <c r="K3929" i="15"/>
  <c r="K3930" i="15"/>
  <c r="K3931" i="15"/>
  <c r="K3932" i="15"/>
  <c r="K3933" i="15"/>
  <c r="K3934" i="15"/>
  <c r="K3935" i="15"/>
  <c r="L3935" i="15"/>
  <c r="K3936" i="15"/>
  <c r="K3937" i="15"/>
  <c r="K3938" i="15"/>
  <c r="K3939" i="15"/>
  <c r="K3940" i="15"/>
  <c r="K3942" i="15"/>
  <c r="K3943" i="15"/>
  <c r="K3944" i="15"/>
  <c r="K3945" i="15"/>
  <c r="K3946" i="15"/>
  <c r="K3947" i="15"/>
  <c r="K3948" i="15"/>
  <c r="K3949" i="15"/>
  <c r="K3950" i="15"/>
  <c r="K3951" i="15"/>
  <c r="K3952" i="15"/>
  <c r="K3953" i="15"/>
  <c r="K3954" i="15"/>
  <c r="K3955" i="15"/>
  <c r="K3956" i="15"/>
  <c r="L3956" i="15"/>
  <c r="K3957" i="15"/>
  <c r="K3958" i="15"/>
  <c r="K3959" i="15"/>
  <c r="K3960" i="15"/>
  <c r="K3961" i="15"/>
  <c r="K3963" i="15"/>
  <c r="K3964" i="15"/>
  <c r="K3965" i="15"/>
  <c r="K3966" i="15"/>
  <c r="K3967" i="15"/>
  <c r="K3968" i="15"/>
  <c r="K3969" i="15"/>
  <c r="K3970" i="15"/>
  <c r="K3971" i="15"/>
  <c r="K3972" i="15"/>
  <c r="K3973" i="15"/>
  <c r="K3974" i="15"/>
  <c r="K3975" i="15"/>
  <c r="K3976" i="15"/>
  <c r="K3977" i="15"/>
  <c r="K3978" i="15"/>
  <c r="K3979" i="15"/>
  <c r="K3980" i="15"/>
  <c r="K3981" i="15"/>
  <c r="K3982" i="15"/>
  <c r="K3983" i="15"/>
  <c r="K3984" i="15"/>
  <c r="K3985" i="15"/>
  <c r="K3986" i="15"/>
  <c r="K3987" i="15"/>
  <c r="K3988" i="15"/>
  <c r="K3989" i="15"/>
  <c r="K3990" i="15"/>
  <c r="K3991" i="15"/>
  <c r="K3992" i="15"/>
  <c r="K3993" i="15"/>
  <c r="K3994" i="15"/>
  <c r="K3995" i="15"/>
  <c r="K3996" i="15"/>
  <c r="K3997" i="15"/>
  <c r="K3998" i="15"/>
  <c r="K3999" i="15"/>
  <c r="K4000" i="15"/>
  <c r="K4001" i="15"/>
  <c r="K4002" i="15"/>
  <c r="K4003" i="15"/>
  <c r="K4004" i="15"/>
  <c r="K4005" i="15"/>
  <c r="K4006" i="15"/>
  <c r="K4007" i="15"/>
  <c r="K4008" i="15"/>
  <c r="K4009" i="15"/>
  <c r="K4010" i="15"/>
  <c r="K4011" i="15"/>
  <c r="K4012" i="15"/>
  <c r="K4013" i="15"/>
  <c r="K4014" i="15"/>
  <c r="K4015" i="15"/>
  <c r="K4016" i="15"/>
  <c r="K4017" i="15"/>
  <c r="K4018" i="15"/>
  <c r="K4019" i="15"/>
  <c r="K4020" i="15"/>
  <c r="K4021" i="15"/>
  <c r="K4022" i="15"/>
  <c r="K4023" i="15"/>
  <c r="K4024" i="15"/>
  <c r="K4025" i="15"/>
  <c r="K4026" i="15"/>
  <c r="K4027" i="15"/>
  <c r="K4028" i="15"/>
  <c r="K4029" i="15"/>
  <c r="K4030" i="15"/>
  <c r="K4031" i="15"/>
  <c r="K4032" i="15"/>
  <c r="K4033" i="15"/>
  <c r="K4034" i="15"/>
  <c r="K4035" i="15"/>
  <c r="K4036" i="15"/>
  <c r="K4037" i="15"/>
  <c r="K4038" i="15"/>
  <c r="K4039" i="15"/>
  <c r="K4040" i="15"/>
  <c r="K4041" i="15"/>
  <c r="K4042" i="15"/>
  <c r="K4043" i="15"/>
  <c r="K4044" i="15"/>
  <c r="K4045" i="15"/>
  <c r="K4046" i="15"/>
  <c r="K4047" i="15"/>
  <c r="K4048" i="15"/>
  <c r="K4049" i="15"/>
  <c r="K4050" i="15"/>
  <c r="K4051" i="15"/>
  <c r="K4052" i="15"/>
  <c r="K4053" i="15"/>
  <c r="K4054" i="15"/>
  <c r="K4055" i="15"/>
  <c r="K4056" i="15"/>
  <c r="K4057" i="15"/>
  <c r="K4058" i="15"/>
  <c r="K4059" i="15"/>
  <c r="K4060" i="15"/>
  <c r="K4061" i="15"/>
  <c r="K4062" i="15"/>
  <c r="K4063" i="15"/>
  <c r="K4064" i="15"/>
  <c r="K4065" i="15"/>
  <c r="K4066" i="15"/>
  <c r="K4067" i="15"/>
  <c r="K4068" i="15"/>
  <c r="K4069" i="15"/>
  <c r="K4070" i="15"/>
  <c r="K4071" i="15"/>
  <c r="K4072" i="15"/>
  <c r="K4073" i="15"/>
  <c r="K4074" i="15"/>
  <c r="K4075" i="15"/>
  <c r="K4076" i="15"/>
  <c r="K4077" i="15"/>
  <c r="K4078" i="15"/>
  <c r="K4079" i="15"/>
  <c r="K4080" i="15"/>
  <c r="K4081" i="15"/>
  <c r="K4082" i="15"/>
  <c r="K4083" i="15"/>
  <c r="K4084" i="15"/>
  <c r="K4085" i="15"/>
  <c r="K4086" i="15"/>
  <c r="K4087" i="15"/>
  <c r="K4088" i="15"/>
  <c r="K4089" i="15"/>
  <c r="K4090" i="15"/>
  <c r="K4091" i="15"/>
  <c r="K4092" i="15"/>
  <c r="K4093" i="15"/>
  <c r="K4094" i="15"/>
  <c r="K4095" i="15"/>
  <c r="L4095" i="15"/>
  <c r="K4096" i="15"/>
  <c r="K4097" i="15"/>
  <c r="L4097" i="15"/>
  <c r="K4098" i="15"/>
  <c r="L4098" i="15"/>
  <c r="K4099" i="15"/>
  <c r="K4100" i="15"/>
  <c r="K4102" i="15"/>
  <c r="K4105" i="15"/>
  <c r="K4106" i="15"/>
  <c r="K4108" i="15"/>
  <c r="K4111" i="15"/>
  <c r="K4112" i="15"/>
  <c r="K4113" i="15"/>
  <c r="K4114" i="15"/>
  <c r="K4115" i="15"/>
  <c r="K4116" i="15"/>
  <c r="K4117" i="15"/>
  <c r="K4118" i="15"/>
  <c r="K4119" i="15"/>
  <c r="K4120" i="15"/>
  <c r="K4121" i="15"/>
  <c r="K4122" i="15"/>
  <c r="K4123" i="15"/>
  <c r="K4124" i="15"/>
  <c r="K4125" i="15"/>
  <c r="K4126" i="15"/>
  <c r="K4127" i="15"/>
  <c r="K4128" i="15"/>
  <c r="K4129" i="15"/>
  <c r="K4130" i="15"/>
  <c r="K4131" i="15"/>
  <c r="K4132" i="15"/>
  <c r="K4133" i="15"/>
  <c r="K4134" i="15"/>
  <c r="K4135" i="15"/>
  <c r="K4136" i="15"/>
  <c r="K4137" i="15"/>
  <c r="K4138" i="15"/>
  <c r="K4139" i="15"/>
  <c r="K4140" i="15"/>
  <c r="K4141" i="15"/>
  <c r="K4142" i="15"/>
  <c r="K4143" i="15"/>
  <c r="K4144" i="15"/>
  <c r="K4145" i="15"/>
  <c r="K4146" i="15"/>
  <c r="K4147" i="15"/>
  <c r="K4148" i="15"/>
  <c r="K4149" i="15"/>
  <c r="K4150" i="15"/>
  <c r="K4151" i="15"/>
  <c r="K4152" i="15"/>
  <c r="K4153" i="15"/>
  <c r="K4154" i="15"/>
  <c r="K4155" i="15"/>
  <c r="K4156" i="15"/>
  <c r="K4157" i="15"/>
  <c r="K4158" i="15"/>
  <c r="K4159" i="15"/>
  <c r="K4160" i="15"/>
  <c r="K4161" i="15"/>
  <c r="K4162" i="15"/>
  <c r="K4163" i="15"/>
  <c r="K4164" i="15"/>
  <c r="K4165" i="15"/>
  <c r="K4166" i="15"/>
  <c r="K4167" i="15"/>
  <c r="K4168" i="15"/>
  <c r="K4169" i="15"/>
  <c r="K4170" i="15"/>
  <c r="K4171" i="15"/>
  <c r="K4172" i="15"/>
  <c r="K4173" i="15"/>
  <c r="K4174" i="15"/>
  <c r="K4175" i="15"/>
  <c r="K4176" i="15"/>
  <c r="K4177" i="15"/>
  <c r="K4178" i="15"/>
  <c r="K4179" i="15"/>
  <c r="K4180" i="15"/>
  <c r="K4181" i="15"/>
  <c r="K4182" i="15"/>
  <c r="K4183" i="15"/>
  <c r="K4184" i="15"/>
  <c r="K4185" i="15"/>
  <c r="K4186" i="15"/>
  <c r="K4187" i="15"/>
  <c r="K4188" i="15"/>
  <c r="K4189" i="15"/>
  <c r="K4190" i="15"/>
  <c r="K4191" i="15"/>
  <c r="K4192" i="15"/>
  <c r="K4193" i="15"/>
  <c r="K4194" i="15"/>
  <c r="K4195" i="15"/>
  <c r="K4196" i="15"/>
  <c r="K4197" i="15"/>
  <c r="K4198" i="15"/>
  <c r="K4199" i="15"/>
  <c r="K4200" i="15"/>
  <c r="K4201" i="15"/>
  <c r="K4202" i="15"/>
  <c r="K4203" i="15"/>
  <c r="K4204" i="15"/>
  <c r="K4205" i="15"/>
  <c r="K4206" i="15"/>
  <c r="K4207" i="15"/>
  <c r="K4208" i="15"/>
  <c r="K4209" i="15"/>
  <c r="K4210" i="15"/>
  <c r="K4211" i="15"/>
  <c r="K4212" i="15"/>
  <c r="K4213" i="15"/>
  <c r="K4214" i="15"/>
  <c r="K4215" i="15"/>
  <c r="K4216" i="15"/>
  <c r="K4217" i="15"/>
  <c r="K4218" i="15"/>
  <c r="K4219" i="15"/>
  <c r="K4220" i="15"/>
  <c r="K4221" i="15"/>
  <c r="K4222" i="15"/>
  <c r="K4223" i="15"/>
  <c r="K4224" i="15"/>
  <c r="K4225" i="15"/>
  <c r="K4226" i="15"/>
  <c r="K4227" i="15"/>
  <c r="K4228" i="15"/>
  <c r="K4229" i="15"/>
  <c r="K4230" i="15"/>
  <c r="K4231" i="15"/>
  <c r="K4232" i="15"/>
  <c r="K4233" i="15"/>
  <c r="K4234" i="15"/>
  <c r="K4235" i="15"/>
  <c r="K4236" i="15"/>
  <c r="K4237" i="15"/>
  <c r="K4238" i="15"/>
  <c r="K4239" i="15"/>
  <c r="K4240" i="15"/>
  <c r="K4241" i="15"/>
  <c r="K4242" i="15"/>
  <c r="K4243" i="15"/>
  <c r="K4244" i="15"/>
  <c r="K4245" i="15"/>
  <c r="K4246" i="15"/>
  <c r="K4247" i="15"/>
  <c r="K4248" i="15"/>
  <c r="K4249" i="15"/>
  <c r="K4250" i="15"/>
  <c r="K4251" i="15"/>
  <c r="K4252" i="15"/>
  <c r="K4253" i="15"/>
  <c r="K4254" i="15"/>
  <c r="K4255" i="15"/>
  <c r="K4256" i="15"/>
  <c r="K4257" i="15"/>
  <c r="K4258" i="15"/>
  <c r="K4259" i="15"/>
  <c r="K4260" i="15"/>
  <c r="K4261" i="15"/>
  <c r="K4262" i="15"/>
  <c r="K4263" i="15"/>
  <c r="K4264" i="15"/>
  <c r="K4265" i="15"/>
  <c r="K4266" i="15"/>
  <c r="K4267" i="15"/>
  <c r="K4268" i="15"/>
  <c r="K4269" i="15"/>
  <c r="K4270" i="15"/>
  <c r="K4271" i="15"/>
  <c r="K4272" i="15"/>
  <c r="K4273" i="15"/>
  <c r="K4274" i="15"/>
  <c r="K4275" i="15"/>
  <c r="K4276" i="15"/>
  <c r="K4277" i="15"/>
  <c r="K4278" i="15"/>
  <c r="K4279" i="15"/>
  <c r="K4280" i="15"/>
  <c r="K4281" i="15"/>
  <c r="K4282" i="15"/>
  <c r="K4283" i="15"/>
  <c r="K4284" i="15"/>
  <c r="K4285" i="15"/>
  <c r="K4286" i="15"/>
  <c r="K4287" i="15"/>
  <c r="K4288" i="15"/>
  <c r="K4289" i="15"/>
  <c r="K4290" i="15"/>
  <c r="K4291" i="15"/>
  <c r="K4292" i="15"/>
  <c r="K4293" i="15"/>
  <c r="K4294" i="15"/>
  <c r="K4295" i="15"/>
  <c r="K4296" i="15"/>
  <c r="K4297" i="15"/>
  <c r="K4298" i="15"/>
  <c r="K4299" i="15"/>
  <c r="K4300" i="15"/>
  <c r="K4301" i="15"/>
  <c r="K4302" i="15"/>
  <c r="K4303" i="15"/>
  <c r="K4304" i="15"/>
  <c r="K4305" i="15"/>
  <c r="K4306" i="15"/>
  <c r="K4307" i="15"/>
  <c r="K4308" i="15"/>
  <c r="K4309" i="15"/>
  <c r="K4310" i="15"/>
  <c r="K4311" i="15"/>
  <c r="K4312" i="15"/>
  <c r="K4313" i="15"/>
  <c r="K4314" i="15"/>
  <c r="K4315" i="15"/>
  <c r="K4316" i="15"/>
  <c r="K4317" i="15"/>
  <c r="K4318" i="15"/>
  <c r="K4319" i="15"/>
  <c r="K4320" i="15"/>
  <c r="K4321" i="15"/>
  <c r="K4322" i="15"/>
  <c r="K4323" i="15"/>
  <c r="K4324" i="15"/>
  <c r="K4325" i="15"/>
  <c r="K4326" i="15"/>
  <c r="K4327" i="15"/>
  <c r="K4328" i="15"/>
  <c r="K4329" i="15"/>
  <c r="K4330" i="15"/>
  <c r="K4331" i="15"/>
  <c r="K4332" i="15"/>
  <c r="K4333" i="15"/>
  <c r="K4334" i="15"/>
  <c r="K4335" i="15"/>
  <c r="K4336" i="15"/>
  <c r="K4337" i="15"/>
  <c r="K4338" i="15"/>
  <c r="K4339" i="15"/>
  <c r="K4340" i="15"/>
  <c r="K4341" i="15"/>
  <c r="K4342" i="15"/>
  <c r="K4343" i="15"/>
  <c r="K4344" i="15"/>
  <c r="K4345" i="15"/>
  <c r="K4346" i="15"/>
  <c r="K4347" i="15"/>
  <c r="K4348" i="15"/>
  <c r="K4349" i="15"/>
  <c r="K4350" i="15"/>
  <c r="K4351" i="15"/>
  <c r="K4352" i="15"/>
  <c r="K4353" i="15"/>
  <c r="K4354" i="15"/>
  <c r="K4355" i="15"/>
  <c r="K4356" i="15"/>
  <c r="K4357" i="15"/>
  <c r="K4358" i="15"/>
  <c r="K4359" i="15"/>
  <c r="K4360" i="15"/>
  <c r="K4361" i="15"/>
  <c r="K4362" i="15"/>
  <c r="K4363" i="15"/>
  <c r="K4364" i="15"/>
  <c r="K4365" i="15"/>
  <c r="K4366" i="15"/>
  <c r="K4367" i="15"/>
  <c r="K4368" i="15"/>
  <c r="K4369" i="15"/>
  <c r="K4370" i="15"/>
  <c r="K4371" i="15"/>
  <c r="K4372" i="15"/>
  <c r="K4373" i="15"/>
  <c r="K4374" i="15"/>
  <c r="K4375" i="15"/>
  <c r="K4376" i="15"/>
  <c r="K4377" i="15"/>
  <c r="K4378" i="15"/>
  <c r="K4379" i="15"/>
  <c r="K4380" i="15"/>
  <c r="K4381" i="15"/>
  <c r="K4382" i="15"/>
  <c r="K4383" i="15"/>
  <c r="K4384" i="15"/>
  <c r="K4385" i="15"/>
  <c r="K4386" i="15"/>
  <c r="K4387" i="15"/>
  <c r="K4388" i="15"/>
  <c r="K4389" i="15"/>
  <c r="K4390" i="15"/>
  <c r="K4391" i="15"/>
  <c r="K4392" i="15"/>
  <c r="K4393" i="15"/>
  <c r="K4394" i="15"/>
  <c r="K4395" i="15"/>
  <c r="K4396" i="15"/>
  <c r="K4397" i="15"/>
  <c r="K4398" i="15"/>
  <c r="K4399" i="15"/>
  <c r="K4400" i="15"/>
  <c r="K4401" i="15"/>
  <c r="K4402" i="15"/>
  <c r="K4403" i="15"/>
  <c r="K4404" i="15"/>
  <c r="K4405" i="15"/>
  <c r="K4406" i="15"/>
  <c r="K4407" i="15"/>
  <c r="K4408" i="15"/>
  <c r="K4409" i="15"/>
  <c r="K4410" i="15"/>
  <c r="K4411" i="15"/>
  <c r="K4412" i="15"/>
  <c r="K4413" i="15"/>
  <c r="K4414" i="15"/>
  <c r="K4415" i="15"/>
  <c r="K4416" i="15"/>
  <c r="K4417" i="15"/>
  <c r="K4418" i="15"/>
  <c r="K4419" i="15"/>
  <c r="K4420" i="15"/>
  <c r="K4421" i="15"/>
  <c r="K4422" i="15"/>
  <c r="K4423" i="15"/>
  <c r="K4424" i="15"/>
  <c r="K4425" i="15"/>
  <c r="K4426" i="15"/>
  <c r="K4427" i="15"/>
  <c r="K4428" i="15"/>
  <c r="K4429" i="15"/>
  <c r="K4430" i="15"/>
  <c r="K4431" i="15"/>
  <c r="K4432" i="15"/>
  <c r="K4433" i="15"/>
  <c r="K4434" i="15"/>
  <c r="K4435" i="15"/>
  <c r="K4436" i="15"/>
  <c r="K4437" i="15"/>
  <c r="K4438" i="15"/>
  <c r="K4439" i="15"/>
  <c r="K4440" i="15"/>
  <c r="K4441" i="15"/>
  <c r="K4442" i="15"/>
  <c r="K4443" i="15"/>
  <c r="K4444" i="15"/>
  <c r="K4445" i="15"/>
  <c r="K4446" i="15"/>
  <c r="K4447" i="15"/>
  <c r="K4448" i="15"/>
  <c r="K4449" i="15"/>
  <c r="K4450" i="15"/>
  <c r="K4451" i="15"/>
  <c r="K4452" i="15"/>
  <c r="K4453" i="15"/>
  <c r="K4454" i="15"/>
  <c r="K4455" i="15"/>
  <c r="K4456" i="15"/>
  <c r="K4457" i="15"/>
  <c r="K4458" i="15"/>
  <c r="K4459" i="15"/>
  <c r="K4460" i="15"/>
  <c r="K4461" i="15"/>
  <c r="K4462" i="15"/>
  <c r="K4463" i="15"/>
  <c r="K4464" i="15"/>
  <c r="K4465" i="15"/>
  <c r="K4466" i="15"/>
  <c r="K4467" i="15"/>
  <c r="K4468" i="15"/>
  <c r="K4469" i="15"/>
  <c r="K4470" i="15"/>
  <c r="K4471" i="15"/>
  <c r="K4472" i="15"/>
  <c r="K4473" i="15"/>
  <c r="K4474" i="15"/>
  <c r="K4475" i="15"/>
  <c r="K4476" i="15"/>
  <c r="K4477" i="15"/>
  <c r="K4478" i="15"/>
  <c r="K4479" i="15"/>
  <c r="K4480" i="15"/>
  <c r="K4481" i="15"/>
  <c r="K4482" i="15"/>
  <c r="K4483" i="15"/>
  <c r="K4484" i="15"/>
  <c r="K4485" i="15"/>
  <c r="K4486" i="15"/>
  <c r="K4487" i="15"/>
  <c r="K4488" i="15"/>
  <c r="K4489" i="15"/>
  <c r="K4490" i="15"/>
  <c r="L4490" i="15"/>
  <c r="K4491" i="15"/>
  <c r="K4492" i="15"/>
  <c r="K4493" i="15"/>
  <c r="K4494" i="15"/>
  <c r="K4495" i="15"/>
  <c r="K4497" i="15"/>
  <c r="K4498" i="15"/>
  <c r="K4499" i="15"/>
  <c r="K4500" i="15"/>
  <c r="K4501" i="15"/>
  <c r="K4502" i="15"/>
  <c r="K4503" i="15"/>
  <c r="K4504" i="15"/>
  <c r="K4505" i="15"/>
  <c r="K4506" i="15"/>
  <c r="K4507" i="15"/>
  <c r="K4508" i="15"/>
  <c r="K4509" i="15"/>
  <c r="K4510" i="15"/>
  <c r="K4511" i="15"/>
  <c r="K4512" i="15"/>
  <c r="K4513" i="15"/>
  <c r="K4514" i="15"/>
  <c r="K4515" i="15"/>
  <c r="K4516" i="15"/>
  <c r="K4517" i="15"/>
  <c r="K4518" i="15"/>
  <c r="K4519" i="15"/>
  <c r="K4520" i="15"/>
  <c r="K4521" i="15"/>
  <c r="K4522" i="15"/>
  <c r="K4523" i="15"/>
  <c r="K4524" i="15"/>
  <c r="K4525" i="15"/>
  <c r="K4526" i="15"/>
  <c r="K4527" i="15"/>
  <c r="K4528" i="15"/>
  <c r="K4529" i="15"/>
  <c r="K4530" i="15"/>
  <c r="K4531" i="15"/>
  <c r="K4532" i="15"/>
  <c r="K4533" i="15"/>
  <c r="K4534" i="15"/>
  <c r="K4535" i="15"/>
  <c r="K4536" i="15"/>
  <c r="K4537" i="15"/>
  <c r="K4538" i="15"/>
  <c r="K4539" i="15"/>
  <c r="K4540" i="15"/>
  <c r="K4541" i="15"/>
  <c r="K4542" i="15"/>
  <c r="K4543" i="15"/>
  <c r="K4544" i="15"/>
  <c r="K4545" i="15"/>
  <c r="K4546" i="15"/>
  <c r="K4547" i="15"/>
  <c r="K4548" i="15"/>
  <c r="K4549" i="15"/>
  <c r="K4550" i="15"/>
  <c r="K4551" i="15"/>
  <c r="K4552" i="15"/>
  <c r="K4553" i="15"/>
  <c r="K4554" i="15"/>
  <c r="K4555" i="15"/>
  <c r="K4556" i="15"/>
  <c r="K4557" i="15"/>
  <c r="K4558" i="15"/>
  <c r="K4559" i="15"/>
  <c r="K4560" i="15"/>
  <c r="K4561" i="15"/>
  <c r="K4562" i="15"/>
  <c r="K4563" i="15"/>
  <c r="K4564" i="15"/>
  <c r="K4565" i="15"/>
  <c r="K4566" i="15"/>
  <c r="K4567" i="15"/>
  <c r="K4568" i="15"/>
  <c r="K4569" i="15"/>
  <c r="K4570" i="15"/>
  <c r="K4571" i="15"/>
  <c r="K4572" i="15"/>
  <c r="K4573" i="15"/>
  <c r="K4574" i="15"/>
  <c r="K4575" i="15"/>
  <c r="K4576" i="15"/>
  <c r="K4577" i="15"/>
  <c r="K4578" i="15"/>
  <c r="K4579" i="15"/>
  <c r="K4580" i="15"/>
  <c r="K4581" i="15"/>
  <c r="K4582" i="15"/>
  <c r="K4583" i="15"/>
  <c r="K4584" i="15"/>
  <c r="K4585" i="15"/>
  <c r="K4586" i="15"/>
  <c r="K4587" i="15"/>
  <c r="K4588" i="15"/>
  <c r="K4589" i="15"/>
  <c r="K4590" i="15"/>
  <c r="K4591" i="15"/>
  <c r="K4592" i="15"/>
  <c r="K4593" i="15"/>
  <c r="K4594" i="15"/>
  <c r="K4595" i="15"/>
  <c r="K4596" i="15"/>
  <c r="K4597" i="15"/>
  <c r="K4598" i="15"/>
  <c r="K4599" i="15"/>
  <c r="K4600" i="15"/>
  <c r="K4601" i="15"/>
  <c r="K4602" i="15"/>
  <c r="K4603" i="15"/>
  <c r="K4604" i="15"/>
  <c r="K4605" i="15"/>
  <c r="K4606" i="15"/>
  <c r="K4607" i="15"/>
  <c r="K4608" i="15"/>
  <c r="K4609" i="15"/>
  <c r="K4610" i="15"/>
  <c r="K4611" i="15"/>
  <c r="K4612" i="15"/>
  <c r="K4613" i="15"/>
  <c r="K4614" i="15"/>
  <c r="K4615" i="15"/>
  <c r="K4616" i="15"/>
  <c r="K4617" i="15"/>
  <c r="K4618" i="15"/>
  <c r="K4619" i="15"/>
  <c r="K4620" i="15"/>
  <c r="K4621" i="15"/>
  <c r="K4622" i="15"/>
  <c r="K4623" i="15"/>
  <c r="K4624" i="15"/>
  <c r="K4625" i="15"/>
  <c r="K4626" i="15"/>
  <c r="K4627" i="15"/>
  <c r="K4628" i="15"/>
  <c r="K4629" i="15"/>
  <c r="K4630" i="15"/>
  <c r="K4631" i="15"/>
  <c r="K4632" i="15"/>
  <c r="K4633" i="15"/>
  <c r="K4634" i="15"/>
  <c r="K4635" i="15"/>
  <c r="K4636" i="15"/>
  <c r="K4637" i="15"/>
  <c r="K4638" i="15"/>
  <c r="K4639" i="15"/>
  <c r="K4640" i="15"/>
  <c r="K4641" i="15"/>
  <c r="K4642" i="15"/>
  <c r="K4643" i="15"/>
  <c r="K4644" i="15"/>
  <c r="K4645" i="15"/>
  <c r="K4646" i="15"/>
  <c r="K4647" i="15"/>
  <c r="K4648" i="15"/>
  <c r="K4649" i="15"/>
  <c r="K4650" i="15"/>
  <c r="K4651" i="15"/>
  <c r="K4652" i="15"/>
  <c r="K4653" i="15"/>
  <c r="K4654" i="15"/>
  <c r="K4655" i="15"/>
  <c r="K4656" i="15"/>
  <c r="K4657" i="15"/>
  <c r="K4658" i="15"/>
  <c r="K4659" i="15"/>
  <c r="K4660" i="15"/>
  <c r="K4661" i="15"/>
  <c r="K4662" i="15"/>
  <c r="K4663" i="15"/>
  <c r="K4664" i="15"/>
  <c r="K4665" i="15"/>
  <c r="K4666" i="15"/>
  <c r="K4667" i="15"/>
  <c r="K4668" i="15"/>
  <c r="K4669" i="15"/>
  <c r="K4670" i="15"/>
  <c r="K4671" i="15"/>
  <c r="L4671" i="15"/>
  <c r="K4672" i="15"/>
  <c r="K4673" i="15"/>
  <c r="K4674" i="15"/>
  <c r="K4675" i="15"/>
  <c r="K4676" i="15"/>
  <c r="K4678" i="15"/>
  <c r="K4679" i="15"/>
  <c r="K4680" i="15"/>
  <c r="K4681" i="15"/>
  <c r="K4682" i="15"/>
  <c r="K4684" i="15"/>
  <c r="K4685" i="15"/>
  <c r="K4686" i="15"/>
  <c r="K4687" i="15"/>
  <c r="K4688" i="15"/>
  <c r="K4689" i="15"/>
  <c r="K4690" i="15"/>
  <c r="K4691" i="15"/>
  <c r="K4692" i="15"/>
  <c r="K4693" i="15"/>
  <c r="K4694" i="15"/>
  <c r="K4695" i="15"/>
  <c r="K4696" i="15"/>
  <c r="K4697" i="15"/>
  <c r="K4698" i="15"/>
  <c r="K4699" i="15"/>
  <c r="K4700" i="15"/>
  <c r="K4701" i="15"/>
  <c r="K4702" i="15"/>
  <c r="K4703" i="15"/>
  <c r="K4704" i="15"/>
  <c r="K4705" i="15"/>
  <c r="K4706" i="15"/>
  <c r="K4707" i="15"/>
  <c r="K4708" i="15"/>
  <c r="K4709" i="15"/>
  <c r="K4710" i="15"/>
  <c r="L4710" i="15"/>
  <c r="K4711" i="15"/>
  <c r="K4712" i="15"/>
  <c r="K4713" i="15"/>
  <c r="K4714" i="15"/>
  <c r="K4715" i="15"/>
  <c r="K4717" i="15"/>
  <c r="K4718" i="15"/>
  <c r="K4719" i="15"/>
  <c r="K4720" i="15"/>
  <c r="K4721" i="15"/>
  <c r="K4722" i="15"/>
  <c r="K4723" i="15"/>
  <c r="K4724" i="15"/>
  <c r="K4725" i="15"/>
  <c r="K4726" i="15"/>
  <c r="K4727" i="15"/>
  <c r="K4728" i="15"/>
  <c r="K4729" i="15"/>
  <c r="K4730" i="15"/>
  <c r="K4731" i="15"/>
  <c r="K4732" i="15"/>
  <c r="K4733" i="15"/>
  <c r="K4734" i="15"/>
  <c r="K4735" i="15"/>
  <c r="K4736" i="15"/>
  <c r="K4737" i="15"/>
  <c r="K4738" i="15"/>
  <c r="K4739" i="15"/>
  <c r="K4740" i="15"/>
  <c r="K4741" i="15"/>
  <c r="L4741" i="15"/>
  <c r="K4742" i="15"/>
  <c r="K4743" i="15"/>
  <c r="K4744" i="15"/>
  <c r="K4745" i="15"/>
  <c r="K4746" i="15"/>
  <c r="K4748" i="15"/>
  <c r="K4749" i="15"/>
  <c r="K4750" i="15"/>
  <c r="K4751" i="15"/>
  <c r="K4752" i="15"/>
  <c r="K4753" i="15"/>
  <c r="L4753" i="15"/>
  <c r="K4754" i="15"/>
  <c r="K4755" i="15"/>
  <c r="K4756" i="15"/>
  <c r="K4757" i="15"/>
  <c r="K4758" i="15"/>
  <c r="K4760" i="15"/>
  <c r="K4761" i="15"/>
  <c r="K4762" i="15"/>
  <c r="K4763" i="15"/>
  <c r="K4764" i="15"/>
  <c r="K4765" i="15"/>
  <c r="K4766" i="15"/>
  <c r="K4767" i="15"/>
  <c r="K4768" i="15"/>
  <c r="K4769" i="15"/>
  <c r="K4770" i="15"/>
  <c r="K4771" i="15"/>
  <c r="K4772" i="15"/>
  <c r="K4773" i="15"/>
  <c r="K4774" i="15"/>
  <c r="K4775" i="15"/>
  <c r="K4776" i="15"/>
  <c r="K4777" i="15"/>
  <c r="K4778" i="15"/>
  <c r="K4779" i="15"/>
  <c r="K4780" i="15"/>
  <c r="K4781" i="15"/>
  <c r="K4782" i="15"/>
  <c r="K4783" i="15"/>
  <c r="K4784" i="15"/>
  <c r="K4785" i="15"/>
  <c r="K4786" i="15"/>
  <c r="K4787" i="15"/>
  <c r="K4788" i="15"/>
  <c r="K4789" i="15"/>
  <c r="K4790" i="15"/>
  <c r="K4791" i="15"/>
  <c r="K4792" i="15"/>
  <c r="K4793" i="15"/>
  <c r="K4794" i="15"/>
  <c r="K4795" i="15"/>
  <c r="K4796" i="15"/>
  <c r="K4797" i="15"/>
  <c r="K4798" i="15"/>
  <c r="K4799" i="15"/>
  <c r="K4800" i="15"/>
  <c r="K4801" i="15"/>
  <c r="K4802" i="15"/>
  <c r="K4803" i="15"/>
  <c r="K4804" i="15"/>
  <c r="K4805" i="15"/>
  <c r="K4806" i="15"/>
  <c r="K4807" i="15"/>
  <c r="K4808" i="15"/>
  <c r="K4809" i="15"/>
  <c r="K4810" i="15"/>
  <c r="K4811" i="15"/>
  <c r="K4812" i="15"/>
  <c r="K4813" i="15"/>
  <c r="K4814" i="15"/>
  <c r="K4815" i="15"/>
  <c r="K4816" i="15"/>
  <c r="K4817" i="15"/>
  <c r="K4818" i="15"/>
  <c r="K4819" i="15"/>
  <c r="K4820" i="15"/>
  <c r="K4821" i="15"/>
  <c r="K4822" i="15"/>
  <c r="K4823" i="15"/>
  <c r="K4824" i="15"/>
  <c r="K4825" i="15"/>
  <c r="K4826" i="15"/>
  <c r="K4827" i="15"/>
  <c r="K4828" i="15"/>
  <c r="K4829" i="15"/>
  <c r="K4830" i="15"/>
  <c r="K4831" i="15"/>
  <c r="K4832" i="15"/>
  <c r="K4833" i="15"/>
  <c r="K4834" i="15"/>
  <c r="K4835" i="15"/>
  <c r="K4836" i="15"/>
  <c r="K4837" i="15"/>
  <c r="K4838" i="15"/>
  <c r="K4839" i="15"/>
  <c r="K4840" i="15"/>
  <c r="K4841" i="15"/>
  <c r="K4842" i="15"/>
  <c r="K4843" i="15"/>
  <c r="K4844" i="15"/>
  <c r="K4845" i="15"/>
  <c r="K4846" i="15"/>
  <c r="K4847" i="15"/>
  <c r="K4848" i="15"/>
  <c r="K4849" i="15"/>
  <c r="K4850" i="15"/>
  <c r="K4851" i="15"/>
  <c r="K4852" i="15"/>
  <c r="K4853" i="15"/>
  <c r="K4854" i="15"/>
  <c r="K4855" i="15"/>
  <c r="K4856" i="15"/>
  <c r="K4857" i="15"/>
  <c r="K4858" i="15"/>
  <c r="K4859" i="15"/>
  <c r="K4860" i="15"/>
  <c r="K4861" i="15"/>
  <c r="K4862" i="15"/>
  <c r="K4863" i="15"/>
  <c r="K4864" i="15"/>
  <c r="K4865" i="15"/>
  <c r="K4866" i="15"/>
  <c r="K4867" i="15"/>
  <c r="K4868" i="15"/>
  <c r="K4869" i="15"/>
  <c r="K4870" i="15"/>
  <c r="K4871" i="15"/>
  <c r="K4872" i="15"/>
  <c r="K4873" i="15"/>
  <c r="K4874" i="15"/>
  <c r="K4875" i="15"/>
  <c r="K4876" i="15"/>
  <c r="K4877" i="15"/>
  <c r="K4878" i="15"/>
  <c r="K4879" i="15"/>
  <c r="K4880" i="15"/>
  <c r="K4881" i="15"/>
  <c r="K4882" i="15"/>
  <c r="K4883" i="15"/>
  <c r="K4884" i="15"/>
  <c r="K4885" i="15"/>
  <c r="K4886" i="15"/>
  <c r="K4887" i="15"/>
  <c r="K4888" i="15"/>
  <c r="K4889" i="15"/>
  <c r="K4890" i="15"/>
  <c r="K4891" i="15"/>
  <c r="K4892" i="15"/>
  <c r="K4893" i="15"/>
  <c r="K4894" i="15"/>
  <c r="K4895" i="15"/>
  <c r="K4896" i="15"/>
  <c r="K4897" i="15"/>
  <c r="K4898" i="15"/>
  <c r="K4899" i="15"/>
  <c r="K4900" i="15"/>
  <c r="K4901" i="15"/>
  <c r="K4902" i="15"/>
  <c r="K4903" i="15"/>
  <c r="K4904" i="15"/>
  <c r="K4905" i="15"/>
  <c r="K4906" i="15"/>
  <c r="K4907" i="15"/>
  <c r="K4908" i="15"/>
  <c r="K4909" i="15"/>
  <c r="K4910" i="15"/>
  <c r="K4911" i="15"/>
  <c r="K4912" i="15"/>
  <c r="K4913" i="15"/>
  <c r="K4914" i="15"/>
  <c r="K4915" i="15"/>
  <c r="K4916" i="15"/>
  <c r="K4917" i="15"/>
  <c r="K4918" i="15"/>
  <c r="K4919" i="15"/>
  <c r="K4920" i="15"/>
  <c r="K4921" i="15"/>
  <c r="K4922" i="15"/>
  <c r="K4923" i="15"/>
  <c r="K4924" i="15"/>
  <c r="K4925" i="15"/>
  <c r="K4926" i="15"/>
  <c r="K4927" i="15"/>
  <c r="K4928" i="15"/>
  <c r="K4929" i="15"/>
  <c r="K4930" i="15"/>
  <c r="K4931" i="15"/>
  <c r="K4932" i="15"/>
  <c r="K4933" i="15"/>
  <c r="K4934" i="15"/>
  <c r="K4935" i="15"/>
  <c r="K4936" i="15"/>
  <c r="K4937" i="15"/>
  <c r="K4938" i="15"/>
  <c r="K4939" i="15"/>
  <c r="K4940" i="15"/>
  <c r="K4941" i="15"/>
  <c r="K4942" i="15"/>
  <c r="K4943" i="15"/>
  <c r="K4944" i="15"/>
  <c r="K4945" i="15"/>
  <c r="K4946" i="15"/>
  <c r="K4947" i="15"/>
  <c r="K4948" i="15"/>
  <c r="K4949" i="15"/>
  <c r="K4950" i="15"/>
  <c r="K4951" i="15"/>
  <c r="K4952" i="15"/>
  <c r="K4953" i="15"/>
  <c r="K4954" i="15"/>
  <c r="K4955" i="15"/>
  <c r="K4956" i="15"/>
  <c r="K4957" i="15"/>
  <c r="K4958" i="15"/>
  <c r="K4959" i="15"/>
  <c r="K4960" i="15"/>
  <c r="K4961" i="15"/>
  <c r="K4962" i="15"/>
  <c r="K4963" i="15"/>
  <c r="K4964" i="15"/>
  <c r="K4965" i="15"/>
  <c r="K4966" i="15"/>
  <c r="K4967" i="15"/>
  <c r="K4968" i="15"/>
  <c r="K4969" i="15"/>
  <c r="K4970" i="15"/>
  <c r="K4971" i="15"/>
  <c r="K4972" i="15"/>
  <c r="K4973" i="15"/>
  <c r="K4974" i="15"/>
  <c r="K4975" i="15"/>
  <c r="K4976" i="15"/>
  <c r="K4977" i="15"/>
  <c r="K4978" i="15"/>
  <c r="K4979" i="15"/>
  <c r="K4980" i="15"/>
  <c r="K4981" i="15"/>
  <c r="K4982" i="15"/>
  <c r="K4983" i="15"/>
  <c r="K4984" i="15"/>
  <c r="K4985" i="15"/>
  <c r="K4986" i="15"/>
  <c r="K4987" i="15"/>
  <c r="K4988" i="15"/>
  <c r="K4989" i="15"/>
  <c r="K4990" i="15"/>
  <c r="K4991" i="15"/>
  <c r="K4992" i="15"/>
  <c r="K4993" i="15"/>
  <c r="K4994" i="15"/>
  <c r="K4995" i="15"/>
  <c r="K4996" i="15"/>
  <c r="K4997" i="15"/>
  <c r="K4998" i="15"/>
  <c r="K4999" i="15"/>
  <c r="K5000" i="15"/>
  <c r="K5001" i="15"/>
  <c r="K5002" i="15"/>
  <c r="K5003" i="15"/>
  <c r="K5004" i="15"/>
  <c r="K5005" i="15"/>
  <c r="K5006" i="15"/>
  <c r="K5007" i="15"/>
  <c r="K5008" i="15"/>
  <c r="K5009" i="15"/>
  <c r="K5010" i="15"/>
  <c r="K5011" i="15"/>
  <c r="K5012" i="15"/>
  <c r="K5013" i="15"/>
  <c r="K5014" i="15"/>
  <c r="K5015" i="15"/>
  <c r="K5016" i="15"/>
  <c r="K5017" i="15"/>
  <c r="K5018" i="15"/>
  <c r="K5019" i="15"/>
  <c r="K5020" i="15"/>
  <c r="K5021" i="15"/>
  <c r="K5022" i="15"/>
  <c r="K5023" i="15"/>
  <c r="K5024" i="15"/>
  <c r="K5025" i="15"/>
  <c r="K5026" i="15"/>
  <c r="K5027" i="15"/>
  <c r="K5028" i="15"/>
  <c r="K5029" i="15"/>
  <c r="K5030" i="15"/>
  <c r="K5031" i="15"/>
  <c r="K5032" i="15"/>
  <c r="K5033" i="15"/>
  <c r="K5034" i="15"/>
  <c r="K5035" i="15"/>
  <c r="K5036" i="15"/>
  <c r="K5037" i="15"/>
  <c r="K5038" i="15"/>
  <c r="K5039" i="15"/>
  <c r="K5040" i="15"/>
  <c r="K5041" i="15"/>
  <c r="K5042" i="15"/>
  <c r="L5042" i="15"/>
  <c r="K5043" i="15"/>
  <c r="K5044" i="15"/>
  <c r="L5044" i="15"/>
  <c r="K5045" i="15"/>
  <c r="K5046" i="15"/>
  <c r="K5047" i="15"/>
  <c r="K5049" i="15"/>
  <c r="K5051" i="15"/>
  <c r="K5052" i="15"/>
  <c r="K5053" i="15"/>
  <c r="L5053" i="15"/>
  <c r="K5054" i="15"/>
  <c r="K5055" i="15"/>
  <c r="L5055" i="15"/>
  <c r="K5057" i="15"/>
  <c r="L5057" i="15"/>
  <c r="K5058" i="15"/>
  <c r="K5060" i="15"/>
  <c r="K5062" i="15"/>
  <c r="K5064" i="15"/>
  <c r="L5064" i="15"/>
  <c r="K5065" i="15"/>
  <c r="L5065" i="15"/>
  <c r="K5066" i="15"/>
  <c r="K5067" i="15"/>
  <c r="K5068" i="15"/>
  <c r="K5072" i="15"/>
  <c r="K5073" i="15"/>
  <c r="L5073" i="15"/>
  <c r="K5074" i="15"/>
  <c r="L5074" i="15"/>
  <c r="K5078" i="15"/>
  <c r="L5078" i="15"/>
  <c r="K5082" i="15"/>
  <c r="L5082" i="15"/>
  <c r="K5086" i="15"/>
  <c r="K5087" i="15"/>
  <c r="K5090" i="15"/>
  <c r="K5091" i="15"/>
  <c r="K5092" i="15"/>
  <c r="K5093" i="15"/>
  <c r="K5094" i="15"/>
  <c r="K5095" i="15"/>
  <c r="K5096" i="15"/>
  <c r="K5097" i="15"/>
  <c r="K5098" i="15"/>
  <c r="K5099" i="15"/>
  <c r="K5100" i="15"/>
  <c r="K5101" i="15"/>
  <c r="K5102" i="15"/>
  <c r="K5103" i="15"/>
  <c r="K5104" i="15"/>
  <c r="K5105" i="15"/>
  <c r="K5106" i="15"/>
  <c r="K5107" i="15"/>
  <c r="K5108" i="15"/>
  <c r="K5109" i="15"/>
  <c r="K5110" i="15"/>
  <c r="K5111" i="15"/>
  <c r="K5112" i="15"/>
  <c r="K5113" i="15"/>
  <c r="K5114" i="15"/>
  <c r="L5114" i="15"/>
  <c r="K5115" i="15"/>
  <c r="L5115" i="15"/>
  <c r="K5116" i="15"/>
  <c r="K5117" i="15"/>
  <c r="L5117" i="15"/>
  <c r="K5118" i="15"/>
  <c r="L5118" i="15"/>
  <c r="K5119" i="15"/>
  <c r="L5119" i="15"/>
  <c r="K5122" i="15"/>
  <c r="K5128" i="15"/>
  <c r="K5129" i="15"/>
  <c r="K5130" i="15"/>
  <c r="K5131" i="15"/>
  <c r="K5132" i="15"/>
  <c r="L5132" i="15"/>
  <c r="K5133" i="15"/>
  <c r="K5134" i="15"/>
  <c r="L5134" i="15"/>
  <c r="K5135" i="15"/>
  <c r="K5136" i="15"/>
  <c r="L5136" i="15"/>
  <c r="K5137" i="15"/>
  <c r="K5139" i="15"/>
  <c r="K5141" i="15"/>
  <c r="K5143" i="15"/>
  <c r="K5144" i="15"/>
  <c r="K5145" i="15"/>
  <c r="K5146" i="15"/>
  <c r="K5147" i="15"/>
  <c r="K5148" i="15"/>
  <c r="K5149" i="15"/>
  <c r="K5150" i="15"/>
  <c r="K5151" i="15"/>
  <c r="K5152" i="15"/>
  <c r="K5153" i="15"/>
  <c r="K5154" i="15"/>
  <c r="K5155" i="15"/>
  <c r="K5156" i="15"/>
  <c r="K5157" i="15"/>
  <c r="K5158" i="15"/>
  <c r="K5159" i="15"/>
  <c r="K5160" i="15"/>
  <c r="K5161" i="15"/>
  <c r="K5162" i="15"/>
  <c r="K5163" i="15"/>
  <c r="K5164" i="15"/>
  <c r="K5165" i="15"/>
  <c r="K5166" i="15"/>
  <c r="K5167" i="15"/>
  <c r="K5168" i="15"/>
  <c r="K5169" i="15"/>
  <c r="K5170" i="15"/>
  <c r="K5171" i="15"/>
  <c r="K5172" i="15"/>
  <c r="K5173" i="15"/>
  <c r="K5174" i="15"/>
  <c r="K5175" i="15"/>
  <c r="K5176" i="15"/>
  <c r="K5177" i="15"/>
  <c r="K5178" i="15"/>
  <c r="K5179" i="15"/>
  <c r="K5180" i="15"/>
  <c r="K5181" i="15"/>
  <c r="K5182" i="15"/>
  <c r="K5183" i="15"/>
  <c r="K5184" i="15"/>
  <c r="K5185" i="15"/>
  <c r="K5186" i="15"/>
  <c r="K5187" i="15"/>
  <c r="K5188" i="15"/>
  <c r="K5189" i="15"/>
  <c r="K5190" i="15"/>
  <c r="K5191" i="15"/>
  <c r="K5192" i="15"/>
  <c r="K5193" i="15"/>
  <c r="K5194" i="15"/>
  <c r="K5195" i="15"/>
  <c r="K5196" i="15"/>
  <c r="K5197" i="15"/>
  <c r="K5198" i="15"/>
  <c r="K5199" i="15"/>
  <c r="L5199" i="15"/>
  <c r="K5200" i="15"/>
  <c r="K5201" i="15"/>
  <c r="K5202" i="15"/>
  <c r="K5203" i="15"/>
  <c r="K5204" i="15"/>
  <c r="K5206" i="15"/>
  <c r="L5206" i="15"/>
  <c r="K5207" i="15"/>
  <c r="K5208" i="15"/>
  <c r="K5209" i="15"/>
  <c r="K5210" i="15"/>
  <c r="K5211" i="15"/>
  <c r="K5213" i="15"/>
  <c r="K5214" i="15"/>
  <c r="K5215" i="15"/>
  <c r="K5216" i="15"/>
  <c r="K5217" i="15"/>
  <c r="K5218" i="15"/>
  <c r="K5219" i="15"/>
  <c r="L5219" i="15"/>
  <c r="K5220" i="15"/>
  <c r="L5220" i="15"/>
  <c r="K5221" i="15"/>
  <c r="K5222" i="15"/>
  <c r="K5223" i="15"/>
  <c r="K5224" i="15"/>
  <c r="K5227" i="15"/>
  <c r="K5228" i="15"/>
  <c r="L5228" i="15"/>
  <c r="K5229" i="15"/>
  <c r="K5230" i="15"/>
  <c r="L5230" i="15"/>
  <c r="K5231" i="15"/>
  <c r="K5233" i="15"/>
  <c r="K5235" i="15"/>
  <c r="K5237" i="15"/>
  <c r="K5239" i="15"/>
  <c r="K5240" i="15"/>
  <c r="K5241" i="15"/>
  <c r="K5242" i="15"/>
  <c r="L5242" i="15"/>
  <c r="K5243" i="15"/>
  <c r="L5243" i="15"/>
  <c r="K5244" i="15"/>
  <c r="L5244" i="15"/>
  <c r="K5245" i="15"/>
  <c r="L5245" i="15"/>
  <c r="K5246" i="15"/>
  <c r="L5246" i="15"/>
  <c r="K5247" i="15"/>
  <c r="L5247" i="15"/>
  <c r="K5254" i="15"/>
  <c r="K5255" i="15"/>
  <c r="K5256" i="15"/>
  <c r="K5257" i="15"/>
  <c r="K5258" i="15"/>
  <c r="K5259" i="15"/>
  <c r="K5260" i="15"/>
  <c r="K5261" i="15"/>
  <c r="K5262" i="15"/>
  <c r="K5263" i="15"/>
  <c r="K5264" i="15"/>
  <c r="L5264" i="15"/>
  <c r="K5265" i="15"/>
  <c r="K5266" i="15"/>
  <c r="K5267" i="15"/>
  <c r="K5268" i="15"/>
  <c r="K5269" i="15"/>
  <c r="K5271" i="15"/>
  <c r="K5272" i="15"/>
  <c r="K5273" i="15"/>
  <c r="K5274" i="15"/>
  <c r="K5275" i="15"/>
  <c r="K5276" i="15"/>
  <c r="K5277" i="15"/>
  <c r="K5278" i="15"/>
  <c r="K5279" i="15"/>
  <c r="K5280" i="15"/>
  <c r="K5281" i="15"/>
  <c r="K5282" i="15"/>
  <c r="K5283" i="15"/>
  <c r="K5284" i="15"/>
  <c r="K5285" i="15"/>
  <c r="K5286" i="15"/>
  <c r="K5287" i="15"/>
  <c r="K5288" i="15"/>
  <c r="K5289" i="15"/>
  <c r="K5290" i="15"/>
  <c r="K5291" i="15"/>
  <c r="K5292" i="15"/>
  <c r="K5293" i="15"/>
  <c r="K5294" i="15"/>
  <c r="K5295" i="15"/>
  <c r="K5296" i="15"/>
  <c r="K5297" i="15"/>
  <c r="K5298" i="15"/>
  <c r="K5299" i="15"/>
  <c r="K5300" i="15"/>
  <c r="K5301" i="15"/>
  <c r="K5302" i="15"/>
  <c r="K5303" i="15"/>
  <c r="K5304" i="15"/>
  <c r="K5305" i="15"/>
  <c r="K5306" i="15"/>
  <c r="K5307" i="15"/>
  <c r="K5308" i="15"/>
  <c r="K5309" i="15"/>
  <c r="K5310" i="15"/>
  <c r="K5311" i="15"/>
  <c r="K5312" i="15"/>
  <c r="K5313" i="15"/>
  <c r="K5314" i="15"/>
  <c r="K5315" i="15"/>
  <c r="K5316" i="15"/>
  <c r="K5317" i="15"/>
  <c r="K5318" i="15"/>
  <c r="K5319" i="15"/>
  <c r="K5320" i="15"/>
  <c r="K5321" i="15"/>
  <c r="K5322" i="15"/>
  <c r="K5323" i="15"/>
  <c r="K5324" i="15"/>
  <c r="K5325" i="15"/>
  <c r="K5326" i="15"/>
  <c r="K5327" i="15"/>
  <c r="K5328" i="15"/>
  <c r="K5329" i="15"/>
  <c r="K5330" i="15"/>
  <c r="K5331" i="15"/>
  <c r="K5332" i="15"/>
  <c r="K5333" i="15"/>
  <c r="K5334" i="15"/>
  <c r="K5335" i="15"/>
  <c r="K5336" i="15"/>
  <c r="K5337" i="15"/>
  <c r="K5338" i="15"/>
  <c r="K5339" i="15"/>
  <c r="K5340" i="15"/>
  <c r="L5340" i="15"/>
  <c r="K5341" i="15"/>
  <c r="L5341" i="15"/>
  <c r="K5342" i="15"/>
  <c r="L5342" i="15"/>
  <c r="K5343" i="15"/>
  <c r="K5344" i="15"/>
  <c r="K5345" i="15"/>
  <c r="K5349" i="15"/>
  <c r="K5350" i="15"/>
  <c r="K5351" i="15"/>
  <c r="K5354" i="15"/>
  <c r="K5355" i="15"/>
  <c r="K5356" i="15"/>
  <c r="K5357" i="15"/>
  <c r="K5358" i="15"/>
  <c r="K5359" i="15"/>
  <c r="K5360" i="15"/>
  <c r="K5361" i="15"/>
  <c r="L5361" i="15"/>
  <c r="K5362" i="15"/>
  <c r="K5363" i="15"/>
  <c r="K5364" i="15"/>
  <c r="K5365" i="15"/>
  <c r="L5365" i="15"/>
  <c r="K5366" i="15"/>
  <c r="K5368" i="15"/>
  <c r="K5369" i="15"/>
  <c r="K5370" i="15"/>
  <c r="L5370" i="15"/>
  <c r="K5372" i="15"/>
  <c r="K5373" i="15"/>
  <c r="L5373" i="15"/>
  <c r="K5374" i="15"/>
  <c r="L5374" i="15"/>
  <c r="K5375" i="15"/>
  <c r="K5376" i="15"/>
  <c r="K5377" i="15"/>
  <c r="K5378" i="15"/>
  <c r="K5379" i="15"/>
  <c r="K5380" i="15"/>
  <c r="K5381" i="15"/>
  <c r="K5382" i="15"/>
  <c r="K5383" i="15"/>
  <c r="K5384" i="15"/>
  <c r="K5385" i="15"/>
  <c r="K5386" i="15"/>
  <c r="K5387" i="15"/>
  <c r="K5388" i="15"/>
  <c r="K5389" i="15"/>
  <c r="K5390" i="15"/>
  <c r="K5391" i="15"/>
  <c r="K5392" i="15"/>
  <c r="K5393" i="15"/>
  <c r="K5394" i="15"/>
  <c r="K5395" i="15"/>
  <c r="K5396" i="15"/>
  <c r="K5397" i="15"/>
  <c r="K5398" i="15"/>
  <c r="L5398" i="15"/>
  <c r="K5399" i="15"/>
  <c r="K5400" i="15"/>
  <c r="K5401" i="15"/>
  <c r="K5402" i="15"/>
  <c r="K5403" i="15"/>
  <c r="K5405" i="15"/>
  <c r="K5406" i="15"/>
  <c r="K5407" i="15"/>
  <c r="K5408" i="15"/>
  <c r="K5409" i="15"/>
  <c r="K5410" i="15"/>
  <c r="K5411" i="15"/>
  <c r="L5411" i="15"/>
  <c r="K5412" i="15"/>
  <c r="K5413" i="15"/>
  <c r="K5414" i="15"/>
  <c r="K5415" i="15"/>
  <c r="K5416" i="15"/>
  <c r="K5417" i="15"/>
  <c r="K5418" i="15"/>
  <c r="K5419" i="15"/>
  <c r="L5419" i="15"/>
  <c r="K5420" i="15"/>
  <c r="K5421" i="15"/>
  <c r="K5422" i="15"/>
  <c r="K5423" i="15"/>
  <c r="K5424" i="15"/>
  <c r="K5426" i="15"/>
  <c r="K5427" i="15"/>
  <c r="K5428" i="15"/>
  <c r="K5429" i="15"/>
  <c r="K5430" i="15"/>
  <c r="K5431" i="15"/>
  <c r="K5432" i="15"/>
  <c r="K5433" i="15"/>
  <c r="K5434" i="15"/>
  <c r="K5435" i="15"/>
  <c r="K5436" i="15"/>
  <c r="K5437" i="15"/>
  <c r="K5438" i="15"/>
  <c r="K5439" i="15"/>
  <c r="K5440" i="15"/>
  <c r="K5441" i="15"/>
  <c r="K5442" i="15"/>
  <c r="K5443" i="15"/>
  <c r="K5444" i="15"/>
  <c r="K5445" i="15"/>
  <c r="K5446" i="15"/>
  <c r="K5447" i="15"/>
  <c r="K5448" i="15"/>
  <c r="K5449" i="15"/>
  <c r="K5450" i="15"/>
  <c r="K5451" i="15"/>
  <c r="K5452" i="15"/>
  <c r="K5453" i="15"/>
  <c r="K5454" i="15"/>
  <c r="K5455" i="15"/>
  <c r="K5456" i="15"/>
  <c r="K5457" i="15"/>
  <c r="K5458" i="15"/>
  <c r="K5459" i="15"/>
  <c r="K5460" i="15"/>
  <c r="K5461" i="15"/>
  <c r="K5462" i="15"/>
  <c r="K5463" i="15"/>
  <c r="K5464" i="15"/>
  <c r="K5465" i="15"/>
  <c r="K5466" i="15"/>
  <c r="K5467" i="15"/>
  <c r="K5468" i="15"/>
  <c r="K5469" i="15"/>
  <c r="K5470" i="15"/>
  <c r="K5471" i="15"/>
  <c r="K5472" i="15"/>
  <c r="K5473" i="15"/>
  <c r="K5474" i="15"/>
  <c r="K5475" i="15"/>
  <c r="K5476" i="15"/>
  <c r="K5477" i="15"/>
  <c r="K5478" i="15"/>
  <c r="K5479" i="15"/>
  <c r="K5480" i="15"/>
  <c r="K5481" i="15"/>
  <c r="K5482" i="15"/>
  <c r="K5483" i="15"/>
  <c r="K5484" i="15"/>
  <c r="K5485" i="15"/>
  <c r="K5486" i="15"/>
  <c r="K5487" i="15"/>
  <c r="K5488" i="15"/>
  <c r="K5489" i="15"/>
  <c r="K5490" i="15"/>
  <c r="K5491" i="15"/>
  <c r="K5492" i="15"/>
  <c r="K5493" i="15"/>
  <c r="K5494" i="15"/>
  <c r="K5495" i="15"/>
  <c r="K5496" i="15"/>
  <c r="K5497" i="15"/>
  <c r="K5498" i="15"/>
  <c r="K5499" i="15"/>
  <c r="K5500" i="15"/>
  <c r="K5501" i="15"/>
  <c r="K5502" i="15"/>
  <c r="K5503" i="15"/>
  <c r="K5504" i="15"/>
  <c r="K5505" i="15"/>
  <c r="K5506" i="15"/>
  <c r="K5507" i="15"/>
  <c r="K5508" i="15"/>
  <c r="K5509" i="15"/>
  <c r="K5510" i="15"/>
  <c r="K5511" i="15"/>
  <c r="K5512" i="15"/>
  <c r="K5513" i="15"/>
  <c r="K5514" i="15"/>
  <c r="K5515" i="15"/>
  <c r="K5516" i="15"/>
  <c r="K5517" i="15"/>
  <c r="K5518" i="15"/>
  <c r="K5519" i="15"/>
  <c r="K5520" i="15"/>
  <c r="K5521" i="15"/>
  <c r="K5522" i="15"/>
  <c r="K5523" i="15"/>
  <c r="K5524" i="15"/>
  <c r="K5525" i="15"/>
  <c r="K5526" i="15"/>
  <c r="K5527" i="15"/>
  <c r="K5528" i="15"/>
  <c r="K5529" i="15"/>
  <c r="K5530" i="15"/>
  <c r="K5531" i="15"/>
  <c r="K5532" i="15"/>
  <c r="K5533" i="15"/>
  <c r="K5534" i="15"/>
  <c r="K5535" i="15"/>
  <c r="K5536" i="15"/>
  <c r="K5537" i="15"/>
  <c r="K5538" i="15"/>
  <c r="K5539" i="15"/>
  <c r="K5540" i="15"/>
  <c r="K5541" i="15"/>
  <c r="K5542" i="15"/>
  <c r="K5543" i="15"/>
  <c r="K5544" i="15"/>
  <c r="K5545" i="15"/>
  <c r="K5546" i="15"/>
  <c r="K5547" i="15"/>
  <c r="K5548" i="15"/>
  <c r="K5549" i="15"/>
  <c r="K5550" i="15"/>
  <c r="K5551" i="15"/>
  <c r="K5552" i="15"/>
  <c r="K5553" i="15"/>
  <c r="K5554" i="15"/>
  <c r="K5555" i="15"/>
  <c r="K5556" i="15"/>
  <c r="K5557" i="15"/>
  <c r="K5558" i="15"/>
  <c r="K5559" i="15"/>
  <c r="K5560" i="15"/>
  <c r="K5561" i="15"/>
  <c r="K5562" i="15"/>
  <c r="K5563" i="15"/>
  <c r="K5564" i="15"/>
  <c r="K5565" i="15"/>
  <c r="K5566" i="15"/>
  <c r="K5567" i="15"/>
  <c r="K5568" i="15"/>
  <c r="K5569" i="15"/>
  <c r="K5570" i="15"/>
  <c r="K5571" i="15"/>
  <c r="K5572" i="15"/>
  <c r="K5573" i="15"/>
  <c r="K5574" i="15"/>
  <c r="K5575" i="15"/>
  <c r="K5576" i="15"/>
  <c r="K5577" i="15"/>
  <c r="K5578" i="15"/>
  <c r="K5579" i="15"/>
  <c r="K5580" i="15"/>
  <c r="K5581" i="15"/>
  <c r="K5582" i="15"/>
  <c r="K5583" i="15"/>
  <c r="K5584" i="15"/>
  <c r="K5585" i="15"/>
  <c r="K5586" i="15"/>
  <c r="K5587" i="15"/>
  <c r="K5588" i="15"/>
  <c r="K5589" i="15"/>
  <c r="K5590" i="15"/>
  <c r="K5591" i="15"/>
  <c r="K5592" i="15"/>
  <c r="K5593" i="15"/>
  <c r="K5594" i="15"/>
  <c r="K5595" i="15"/>
  <c r="K5596" i="15"/>
  <c r="K5597" i="15"/>
  <c r="K5598" i="15"/>
  <c r="K5599" i="15"/>
  <c r="K5600" i="15"/>
  <c r="K5601" i="15"/>
  <c r="K5602" i="15"/>
  <c r="K5603" i="15"/>
  <c r="K5604" i="15"/>
  <c r="K5605" i="15"/>
  <c r="K5606" i="15"/>
  <c r="K5607" i="15"/>
  <c r="K5608" i="15"/>
  <c r="K5609" i="15"/>
  <c r="K5610" i="15"/>
  <c r="K5611" i="15"/>
  <c r="K5612" i="15"/>
  <c r="K5613" i="15"/>
  <c r="K5614" i="15"/>
  <c r="K5615" i="15"/>
  <c r="K5616" i="15"/>
  <c r="K5617" i="15"/>
  <c r="K5618" i="15"/>
  <c r="K5619" i="15"/>
  <c r="K5620" i="15"/>
  <c r="K5621" i="15"/>
  <c r="K5622" i="15"/>
  <c r="K5623" i="15"/>
  <c r="K5624" i="15"/>
  <c r="K5625" i="15"/>
  <c r="K5626" i="15"/>
  <c r="K5627" i="15"/>
  <c r="K5628" i="15"/>
  <c r="K5629" i="15"/>
  <c r="K5630" i="15"/>
  <c r="K5631" i="15"/>
  <c r="K5632" i="15"/>
  <c r="K5633" i="15"/>
  <c r="K5634" i="15"/>
  <c r="K5635" i="15"/>
  <c r="K5636" i="15"/>
  <c r="K5637" i="15"/>
  <c r="K5638" i="15"/>
  <c r="K5639" i="15"/>
  <c r="K5640" i="15"/>
  <c r="K5641" i="15"/>
  <c r="K5642" i="15"/>
  <c r="K5643" i="15"/>
  <c r="K5644" i="15"/>
  <c r="L5644" i="15"/>
  <c r="K5645" i="15"/>
  <c r="L5645" i="15"/>
  <c r="K5646" i="15"/>
  <c r="K5647" i="15"/>
  <c r="K5648" i="15"/>
  <c r="K5649" i="15"/>
  <c r="K5652" i="15"/>
  <c r="K5653" i="15"/>
  <c r="K5654" i="15"/>
  <c r="K5655" i="15"/>
  <c r="K5656" i="15"/>
  <c r="K5657" i="15"/>
  <c r="K5658" i="15"/>
  <c r="K5659" i="15"/>
  <c r="K5660" i="15"/>
  <c r="K5661" i="15"/>
  <c r="K5662" i="15"/>
  <c r="K5663" i="15"/>
  <c r="K5664" i="15"/>
  <c r="K5665" i="15"/>
  <c r="K5666" i="15"/>
  <c r="K5667" i="15"/>
  <c r="K5668" i="15"/>
  <c r="K5669" i="15"/>
  <c r="K5670" i="15"/>
  <c r="K5671" i="15"/>
  <c r="K5672" i="15"/>
  <c r="K5673" i="15"/>
  <c r="K5674" i="15"/>
  <c r="K5675" i="15"/>
  <c r="K5676" i="15"/>
  <c r="K5677" i="15"/>
  <c r="K5678" i="15"/>
  <c r="K5679" i="15"/>
  <c r="K5680" i="15"/>
  <c r="K5681" i="15"/>
  <c r="K5682" i="15"/>
  <c r="K5683" i="15"/>
  <c r="K5684" i="15"/>
  <c r="K5685" i="15"/>
  <c r="K5686" i="15"/>
  <c r="K5687" i="15"/>
  <c r="K5688" i="15"/>
  <c r="K5689" i="15"/>
  <c r="K5690" i="15"/>
  <c r="K5691" i="15"/>
  <c r="K5692" i="15"/>
  <c r="K5693" i="15"/>
  <c r="K5694" i="15"/>
  <c r="K5695" i="15"/>
  <c r="K5696" i="15"/>
  <c r="K5697" i="15"/>
  <c r="K5698" i="15"/>
  <c r="K5699" i="15"/>
  <c r="K5700" i="15"/>
  <c r="K5701" i="15"/>
  <c r="K5702" i="15"/>
  <c r="K5703" i="15"/>
  <c r="K5704" i="15"/>
  <c r="K5705" i="15"/>
  <c r="K5706" i="15"/>
  <c r="K5707" i="15"/>
  <c r="K5708" i="15"/>
  <c r="K5709" i="15"/>
  <c r="K5710" i="15"/>
  <c r="K5712" i="15"/>
  <c r="K5713" i="15"/>
  <c r="K5714" i="15"/>
  <c r="K5715" i="15"/>
  <c r="K5716" i="15"/>
  <c r="K5718" i="15"/>
  <c r="K5719" i="15"/>
  <c r="K5720" i="15"/>
  <c r="K5721" i="15"/>
  <c r="K5722" i="15"/>
  <c r="K5723" i="15"/>
  <c r="L5723" i="15"/>
  <c r="K5724" i="15"/>
  <c r="K5725" i="15"/>
  <c r="K5726" i="15"/>
  <c r="K5727" i="15"/>
  <c r="K5728" i="15"/>
  <c r="K5730" i="15"/>
  <c r="K5731" i="15"/>
  <c r="K5732" i="15"/>
  <c r="K5733" i="15"/>
  <c r="K5734" i="15"/>
  <c r="K5735" i="15"/>
  <c r="K5736" i="15"/>
  <c r="K5737" i="15"/>
  <c r="K5738" i="15"/>
  <c r="K5739" i="15"/>
  <c r="K5740" i="15"/>
  <c r="K5741" i="15"/>
  <c r="K5742" i="15"/>
  <c r="K5743" i="15"/>
  <c r="K5744" i="15"/>
  <c r="K5745" i="15"/>
  <c r="K5746" i="15"/>
  <c r="K5747" i="15"/>
  <c r="K5748" i="15"/>
  <c r="L5748" i="15"/>
  <c r="K5749" i="15"/>
  <c r="K5750" i="15"/>
  <c r="K5751" i="15"/>
  <c r="K5752" i="15"/>
  <c r="L5752" i="15"/>
  <c r="K5753" i="15"/>
  <c r="K5754" i="15"/>
  <c r="L5754" i="15"/>
  <c r="K5755" i="15"/>
  <c r="L5755" i="15"/>
  <c r="K5756" i="15"/>
  <c r="L5756" i="15"/>
  <c r="K5757" i="15"/>
  <c r="L5757" i="15"/>
  <c r="K5758" i="15"/>
  <c r="K5759" i="15"/>
  <c r="K5761" i="15"/>
  <c r="L5761" i="15"/>
  <c r="K5762" i="15"/>
  <c r="K5763" i="15"/>
  <c r="K5764" i="15"/>
  <c r="L5764" i="15"/>
  <c r="K5765" i="15"/>
  <c r="K5767" i="15"/>
  <c r="K5768" i="15"/>
  <c r="K5769" i="15"/>
  <c r="K5770" i="15"/>
  <c r="K5771" i="15"/>
  <c r="K5772" i="15"/>
  <c r="L5772" i="15"/>
  <c r="K5773" i="15"/>
  <c r="K5774" i="15"/>
  <c r="K5775" i="15"/>
  <c r="K5776" i="15"/>
  <c r="K5777" i="15"/>
  <c r="K5778" i="15"/>
  <c r="K5779" i="15"/>
  <c r="K5780" i="15"/>
  <c r="K5781" i="15"/>
  <c r="K5782" i="15"/>
  <c r="K5783" i="15"/>
  <c r="K5784" i="15"/>
  <c r="K5785" i="15"/>
  <c r="K5786" i="15"/>
  <c r="K5787" i="15"/>
  <c r="K5788" i="15"/>
  <c r="K5789" i="15"/>
  <c r="K5790" i="15"/>
  <c r="K5791" i="15"/>
  <c r="K5792" i="15"/>
  <c r="K5793" i="15"/>
  <c r="K5794" i="15"/>
  <c r="K5795" i="15"/>
  <c r="K5796" i="15"/>
  <c r="K5797" i="15"/>
  <c r="K5798" i="15"/>
  <c r="K5799" i="15"/>
  <c r="K5800" i="15"/>
  <c r="K5801" i="15"/>
  <c r="K5802" i="15"/>
  <c r="K5804" i="15"/>
  <c r="K5805" i="15"/>
  <c r="K5806" i="15"/>
  <c r="K5807" i="15"/>
  <c r="K5808" i="15"/>
  <c r="K5809" i="15"/>
  <c r="L5809" i="15"/>
  <c r="K5810" i="15"/>
  <c r="K5811" i="15"/>
  <c r="K5812" i="15"/>
  <c r="K5813" i="15"/>
  <c r="K5814" i="15"/>
  <c r="K5815" i="15"/>
  <c r="K5817" i="15"/>
  <c r="K5818" i="15"/>
  <c r="K5819" i="15"/>
  <c r="K5820" i="15"/>
  <c r="K5821" i="15"/>
  <c r="K5822" i="15"/>
  <c r="L5822" i="15"/>
  <c r="K5823" i="15"/>
  <c r="K5824" i="15"/>
  <c r="K5825" i="15"/>
  <c r="K5826" i="15"/>
  <c r="K5827" i="15"/>
  <c r="K5829" i="15"/>
  <c r="K5830" i="15"/>
  <c r="K5831" i="15"/>
  <c r="K5834" i="15"/>
  <c r="L5834" i="15"/>
  <c r="K5835" i="15"/>
  <c r="K5836" i="15"/>
  <c r="K5837" i="15"/>
  <c r="K5838" i="15"/>
  <c r="L5838" i="15"/>
  <c r="K5839" i="15"/>
  <c r="L5839" i="15"/>
  <c r="K5840" i="15"/>
  <c r="K5841" i="15"/>
  <c r="K5842" i="15"/>
  <c r="K5843" i="15"/>
  <c r="K5844" i="15"/>
  <c r="K5845" i="15"/>
  <c r="K5846" i="15"/>
  <c r="K5847" i="15"/>
  <c r="K5848" i="15"/>
  <c r="K5849" i="15"/>
  <c r="K5850" i="15"/>
  <c r="K5851" i="15"/>
  <c r="K5852" i="15"/>
  <c r="K5853" i="15"/>
  <c r="K5854" i="15"/>
  <c r="K5855" i="15"/>
  <c r="K5856" i="15"/>
  <c r="K5857" i="15"/>
  <c r="K5858" i="15"/>
  <c r="K5859" i="15"/>
  <c r="K5860" i="15"/>
  <c r="K5861" i="15"/>
  <c r="K5862" i="15"/>
  <c r="K5863" i="15"/>
  <c r="K5864" i="15"/>
  <c r="K5865" i="15"/>
  <c r="K5866" i="15"/>
  <c r="K5867" i="15"/>
  <c r="K5868" i="15"/>
  <c r="K5869" i="15"/>
  <c r="K5870" i="15"/>
  <c r="K5871" i="15"/>
  <c r="K5872" i="15"/>
  <c r="K5873" i="15"/>
  <c r="K5874" i="15"/>
  <c r="K5875" i="15"/>
  <c r="K5876" i="15"/>
  <c r="K5877" i="15"/>
  <c r="K5878" i="15"/>
  <c r="K5879" i="15"/>
  <c r="K5880" i="15"/>
  <c r="K5881" i="15"/>
  <c r="K5882" i="15"/>
  <c r="K5883" i="15"/>
  <c r="K5884" i="15"/>
  <c r="K5885" i="15"/>
  <c r="K5886" i="15"/>
  <c r="K5887" i="15"/>
  <c r="K5888" i="15"/>
  <c r="K5889" i="15"/>
  <c r="K5890" i="15"/>
  <c r="K5891" i="15"/>
  <c r="K5892" i="15"/>
  <c r="K5893" i="15"/>
  <c r="K5895" i="15"/>
  <c r="K5896" i="15"/>
  <c r="K5897" i="15"/>
  <c r="K5898" i="15"/>
  <c r="K5899" i="15"/>
  <c r="K5900" i="15"/>
  <c r="L5900" i="15"/>
  <c r="K5901" i="15"/>
  <c r="K5902" i="15"/>
  <c r="K5903" i="15"/>
  <c r="K5904" i="15"/>
  <c r="K5905" i="15"/>
  <c r="K5906" i="15"/>
  <c r="K5907" i="15"/>
  <c r="K5908" i="15"/>
  <c r="K5909" i="15"/>
  <c r="K5910" i="15"/>
  <c r="K5911" i="15"/>
  <c r="K5912" i="15"/>
  <c r="K5913" i="15"/>
  <c r="K5914" i="15"/>
  <c r="K5915" i="15"/>
  <c r="K5916" i="15"/>
  <c r="K5917" i="15"/>
  <c r="K5918" i="15"/>
  <c r="K5919" i="15"/>
  <c r="K5920" i="15"/>
  <c r="K5921" i="15"/>
  <c r="K5922" i="15"/>
  <c r="K5923" i="15"/>
  <c r="K5924" i="15"/>
  <c r="K5925" i="15"/>
  <c r="K5926" i="15"/>
  <c r="K5927" i="15"/>
  <c r="K5928" i="15"/>
  <c r="K5930" i="15"/>
  <c r="K5931" i="15"/>
  <c r="K5932" i="15"/>
  <c r="K5933" i="15"/>
  <c r="K5934" i="15"/>
  <c r="K5935" i="15"/>
  <c r="L5935" i="15"/>
  <c r="K5936" i="15"/>
  <c r="K5937" i="15"/>
  <c r="K5938" i="15"/>
  <c r="K5939" i="15"/>
  <c r="K5940" i="15"/>
  <c r="K5941" i="15"/>
  <c r="K5942" i="15"/>
  <c r="K5943" i="15"/>
  <c r="K5944" i="15"/>
  <c r="K5945" i="15"/>
  <c r="K5946" i="15"/>
  <c r="K5947" i="15"/>
  <c r="K5948" i="15"/>
  <c r="K5949" i="15"/>
  <c r="K5950" i="15"/>
  <c r="K5951" i="15"/>
  <c r="K5952" i="15"/>
  <c r="K5953" i="15"/>
  <c r="K5954" i="15"/>
  <c r="K5955" i="15"/>
  <c r="K5956" i="15"/>
  <c r="K5957" i="15"/>
  <c r="K5958" i="15"/>
  <c r="K5959" i="15"/>
  <c r="K5960" i="15"/>
  <c r="K5961" i="15"/>
  <c r="K5962" i="15"/>
  <c r="K5963" i="15"/>
  <c r="K5964" i="15"/>
  <c r="K5965" i="15"/>
  <c r="K5966" i="15"/>
  <c r="K5967" i="15"/>
  <c r="K5968" i="15"/>
  <c r="K5969" i="15"/>
  <c r="K5970" i="15"/>
  <c r="K5971" i="15"/>
  <c r="K5972" i="15"/>
  <c r="K5973" i="15"/>
  <c r="K5974" i="15"/>
  <c r="K5975" i="15"/>
  <c r="K5976" i="15"/>
  <c r="K5977" i="15"/>
  <c r="K5978" i="15"/>
  <c r="K5979" i="15"/>
  <c r="K5980" i="15"/>
  <c r="K5981" i="15"/>
  <c r="K5982" i="15"/>
  <c r="K5983" i="15"/>
  <c r="K5984" i="15"/>
  <c r="K5985" i="15"/>
  <c r="K5986" i="15"/>
  <c r="K5987" i="15"/>
  <c r="K5988" i="15"/>
  <c r="K5989" i="15"/>
  <c r="K5990" i="15"/>
  <c r="K5991" i="15"/>
  <c r="K5992" i="15"/>
  <c r="K5993" i="15"/>
  <c r="K5994" i="15"/>
  <c r="K5996" i="15"/>
  <c r="K5997" i="15"/>
  <c r="K5998" i="15"/>
  <c r="K5999" i="15"/>
  <c r="K6000" i="15"/>
  <c r="K6001" i="15"/>
  <c r="L6001" i="15"/>
  <c r="K6002" i="15"/>
  <c r="K6003" i="15"/>
  <c r="K6004" i="15"/>
  <c r="K6005" i="15"/>
  <c r="K6006" i="15"/>
  <c r="K6007" i="15"/>
  <c r="K6008" i="15"/>
  <c r="K6009" i="15"/>
  <c r="K6012" i="15"/>
  <c r="K6013" i="15"/>
  <c r="K6014" i="15"/>
  <c r="K6017" i="15"/>
  <c r="L6017" i="15"/>
  <c r="K6018" i="15"/>
  <c r="K6019" i="15"/>
  <c r="K6020" i="15"/>
  <c r="K6021" i="15"/>
  <c r="L6021" i="15"/>
  <c r="K6022" i="15"/>
  <c r="L6022" i="15"/>
  <c r="K6023" i="15"/>
  <c r="K6024" i="15"/>
  <c r="K6025" i="15"/>
  <c r="K6026" i="15"/>
  <c r="K6027" i="15"/>
  <c r="K6028" i="15"/>
  <c r="K6030" i="15"/>
  <c r="K6031" i="15"/>
  <c r="K6032" i="15"/>
  <c r="K6033" i="15"/>
  <c r="K6034" i="15"/>
  <c r="K6035" i="15"/>
  <c r="L6035" i="15"/>
  <c r="K6036" i="15"/>
  <c r="K6037" i="15"/>
  <c r="K6038" i="15"/>
  <c r="K6039" i="15"/>
  <c r="K6040" i="15"/>
  <c r="K6041" i="15"/>
  <c r="K6042" i="15"/>
  <c r="K6043" i="15"/>
  <c r="K6044" i="15"/>
  <c r="K6045" i="15"/>
  <c r="K6046" i="15"/>
  <c r="K6047" i="15"/>
  <c r="K6048" i="15"/>
  <c r="K6049" i="15"/>
  <c r="K6050" i="15"/>
  <c r="K6051" i="15"/>
  <c r="K6052" i="15"/>
  <c r="K6053" i="15"/>
  <c r="K6054" i="15"/>
  <c r="K6055" i="15"/>
  <c r="K6056" i="15"/>
  <c r="K6058" i="15"/>
  <c r="K6059" i="15"/>
  <c r="K6060" i="15"/>
  <c r="K6061" i="15"/>
  <c r="K6063" i="15"/>
  <c r="L6063" i="15"/>
  <c r="K6064" i="15"/>
  <c r="K6066" i="15"/>
  <c r="K6068" i="15"/>
  <c r="L6068" i="15"/>
  <c r="K6069" i="15"/>
  <c r="K6072" i="15"/>
  <c r="L6072" i="15"/>
  <c r="K6073" i="15"/>
  <c r="L6073" i="15"/>
  <c r="K6074" i="15"/>
  <c r="K6075" i="15"/>
  <c r="L6075" i="15"/>
  <c r="K6076" i="15"/>
  <c r="L6076" i="15"/>
  <c r="K6077" i="15"/>
  <c r="L6077" i="15"/>
  <c r="K6078" i="15"/>
  <c r="K6079" i="15"/>
  <c r="K6080" i="15"/>
  <c r="K6081" i="15"/>
  <c r="K6082" i="15"/>
  <c r="K6083" i="15"/>
  <c r="K6084" i="15"/>
  <c r="K6085" i="15"/>
  <c r="K6086" i="15"/>
  <c r="K6087" i="15"/>
  <c r="K6088" i="15"/>
  <c r="K6089" i="15"/>
  <c r="K6090" i="15"/>
  <c r="K6091" i="15"/>
  <c r="L6091" i="15"/>
  <c r="K6092" i="15"/>
  <c r="K6093" i="15"/>
  <c r="K6094" i="15"/>
  <c r="K6095" i="15"/>
  <c r="K6096" i="15"/>
  <c r="K6097" i="15"/>
  <c r="K6098" i="15"/>
  <c r="K6099" i="15"/>
  <c r="K6100" i="15"/>
  <c r="K6101" i="15"/>
  <c r="K6102" i="15"/>
  <c r="K6103" i="15"/>
  <c r="K6104" i="15"/>
  <c r="K6105" i="15"/>
  <c r="K6106" i="15"/>
  <c r="K6107" i="15"/>
  <c r="K6108" i="15"/>
  <c r="K6110" i="15"/>
  <c r="K6112" i="15"/>
  <c r="K6113" i="15"/>
  <c r="K6114" i="15"/>
  <c r="K6115" i="15"/>
  <c r="L6115" i="15"/>
  <c r="K6116" i="15"/>
  <c r="K6117" i="15"/>
  <c r="L6117" i="15"/>
  <c r="K6118" i="15"/>
  <c r="K6119" i="15"/>
  <c r="K6120" i="15"/>
  <c r="K6121" i="15"/>
  <c r="K6122" i="15"/>
  <c r="K6123" i="15"/>
  <c r="K6125" i="15"/>
  <c r="K6126" i="15"/>
  <c r="K6127" i="15"/>
  <c r="K6128" i="15"/>
  <c r="K6129" i="15"/>
  <c r="K6130" i="15"/>
  <c r="L6130" i="15"/>
  <c r="K6132" i="15"/>
  <c r="K6133" i="15"/>
  <c r="K6134" i="15"/>
  <c r="K6135" i="15"/>
  <c r="K6136" i="15"/>
  <c r="K6137" i="15"/>
  <c r="L6137" i="15"/>
  <c r="K6138" i="15"/>
  <c r="K6139" i="15"/>
  <c r="K6140" i="15"/>
  <c r="K6141" i="15"/>
  <c r="K6143" i="15"/>
  <c r="K6144" i="15"/>
  <c r="K6145" i="15"/>
  <c r="K6146" i="15"/>
  <c r="K6147" i="15"/>
  <c r="K6148" i="15"/>
  <c r="L6148" i="15"/>
  <c r="K6149" i="15"/>
  <c r="K6150" i="15"/>
  <c r="K6151" i="15"/>
  <c r="K6152" i="15"/>
  <c r="K6153" i="15"/>
  <c r="K6154" i="15"/>
  <c r="K6155" i="15"/>
  <c r="K6156" i="15"/>
  <c r="K6157" i="15"/>
  <c r="K6158" i="15"/>
  <c r="K6159" i="15"/>
  <c r="K6160" i="15"/>
  <c r="K6161" i="15"/>
  <c r="K6162" i="15"/>
  <c r="K6163" i="15"/>
  <c r="K6164" i="15"/>
  <c r="K6165" i="15"/>
  <c r="K6166" i="15"/>
  <c r="K6167" i="15"/>
  <c r="K6168" i="15"/>
  <c r="K6169" i="15"/>
  <c r="K6172" i="15"/>
  <c r="K6173" i="15"/>
  <c r="K6174" i="15"/>
  <c r="K6175" i="15"/>
  <c r="K6176" i="15"/>
  <c r="L6176" i="15"/>
  <c r="K6178" i="15"/>
  <c r="K6179" i="15"/>
  <c r="K6182" i="15"/>
  <c r="K6183" i="15"/>
  <c r="L6183" i="15"/>
  <c r="K6184" i="15"/>
  <c r="K6185" i="15"/>
  <c r="K6186" i="15"/>
  <c r="L6186" i="15"/>
  <c r="K6189" i="15"/>
  <c r="K6190" i="15"/>
  <c r="K6191" i="15"/>
  <c r="K6193" i="15"/>
  <c r="L6193" i="15"/>
  <c r="K6194" i="15"/>
  <c r="L6194" i="15"/>
  <c r="K6195" i="15"/>
  <c r="K6196" i="15"/>
  <c r="K6197" i="15"/>
  <c r="K6198" i="15"/>
  <c r="L6198" i="15"/>
  <c r="K6199" i="15"/>
  <c r="K6201" i="15"/>
  <c r="K6202" i="15"/>
  <c r="K6203" i="15"/>
  <c r="K6204" i="15"/>
  <c r="K6205" i="15"/>
  <c r="K6206" i="15"/>
  <c r="L6206" i="15"/>
  <c r="K6207" i="15"/>
  <c r="K6208" i="15"/>
  <c r="K6209" i="15"/>
  <c r="K6210" i="15"/>
  <c r="K6211" i="15"/>
  <c r="K6212" i="15"/>
  <c r="K6213" i="15"/>
  <c r="K6215" i="15"/>
  <c r="K6216" i="15"/>
  <c r="K6219" i="15"/>
  <c r="K6220" i="15"/>
  <c r="L6220" i="15"/>
  <c r="K6222" i="15"/>
  <c r="K6223" i="15"/>
  <c r="L6223" i="15"/>
  <c r="K6224" i="15"/>
  <c r="L6224" i="15"/>
  <c r="K6225" i="15"/>
  <c r="K6227" i="15"/>
  <c r="L6227" i="15"/>
  <c r="K6228" i="15"/>
  <c r="K6229" i="15"/>
  <c r="K6230" i="15"/>
  <c r="K6231" i="15"/>
  <c r="K6232" i="15"/>
  <c r="L6232" i="15"/>
  <c r="K6233" i="15"/>
  <c r="K6234" i="15"/>
  <c r="K6235" i="15"/>
  <c r="K6236" i="15"/>
  <c r="K6238" i="15"/>
  <c r="K6239" i="15"/>
  <c r="K6240" i="15"/>
  <c r="K6241" i="15"/>
  <c r="K6242" i="15"/>
  <c r="K6243" i="15"/>
  <c r="L6243" i="15"/>
  <c r="K6244" i="15"/>
  <c r="K6245" i="15"/>
  <c r="K6246" i="15"/>
  <c r="K6247" i="15"/>
  <c r="K6248" i="15"/>
  <c r="K6249" i="15"/>
  <c r="K6250" i="15"/>
  <c r="K6251" i="15"/>
  <c r="K6252" i="15"/>
  <c r="K6253" i="15"/>
  <c r="K6254" i="15"/>
  <c r="K6255" i="15"/>
  <c r="K6256" i="15"/>
  <c r="K6257" i="15"/>
  <c r="K6258" i="15"/>
  <c r="K6259" i="15"/>
  <c r="K6260" i="15"/>
  <c r="K6261" i="15"/>
  <c r="K6262" i="15"/>
  <c r="K6263" i="15"/>
  <c r="K6264" i="15"/>
  <c r="K6265" i="15"/>
  <c r="K6266" i="15"/>
  <c r="K6267" i="15"/>
  <c r="K6268" i="15"/>
  <c r="K6269" i="15"/>
  <c r="K6270" i="15"/>
  <c r="K6271" i="15"/>
  <c r="K6272" i="15"/>
  <c r="K6273" i="15"/>
  <c r="K6274" i="15"/>
  <c r="K6275" i="15"/>
  <c r="K6276" i="15"/>
  <c r="K6277" i="15"/>
  <c r="K6278" i="15"/>
  <c r="K6279" i="15"/>
  <c r="K6280" i="15"/>
  <c r="K6282" i="15"/>
  <c r="K6283" i="15"/>
  <c r="K6284" i="15"/>
  <c r="K6285" i="15"/>
  <c r="K6286" i="15"/>
  <c r="K6287" i="15"/>
  <c r="L6287" i="15"/>
  <c r="K6289" i="15"/>
  <c r="K6290" i="15"/>
  <c r="K6291" i="15"/>
  <c r="K6292" i="15"/>
  <c r="K6293" i="15"/>
  <c r="K6294" i="15"/>
  <c r="L6294" i="15"/>
  <c r="K6295" i="15"/>
  <c r="K6296" i="15"/>
  <c r="K6297" i="15"/>
  <c r="K6298" i="15"/>
  <c r="K6299" i="15"/>
  <c r="K6300" i="15"/>
  <c r="K6301" i="15"/>
  <c r="K6302" i="15"/>
  <c r="K6303" i="15"/>
  <c r="K6304" i="15"/>
  <c r="K6305" i="15"/>
  <c r="K6306" i="15"/>
  <c r="K6307" i="15"/>
  <c r="K6308" i="15"/>
  <c r="K6309" i="15"/>
  <c r="K6310" i="15"/>
  <c r="K6311" i="15"/>
  <c r="K6312" i="15"/>
  <c r="K6313" i="15"/>
  <c r="K6314" i="15"/>
  <c r="K6316" i="15"/>
  <c r="K6317" i="15"/>
  <c r="K6318" i="15"/>
  <c r="K6319" i="15"/>
  <c r="K6320" i="15"/>
  <c r="K6321" i="15"/>
  <c r="L6321" i="15"/>
  <c r="K6322" i="15"/>
  <c r="K6323" i="15"/>
  <c r="K6324" i="15"/>
  <c r="K6325" i="15"/>
  <c r="K6326" i="15"/>
  <c r="K6328" i="15"/>
  <c r="K6329" i="15"/>
  <c r="K6330" i="15"/>
  <c r="K6331" i="15"/>
  <c r="K6332" i="15"/>
  <c r="K6333" i="15"/>
  <c r="L6333" i="15"/>
  <c r="K6334" i="15"/>
  <c r="K6335" i="15"/>
  <c r="K6337" i="15"/>
  <c r="K6338" i="15"/>
  <c r="K6339" i="15"/>
  <c r="K6341" i="15"/>
  <c r="K6342" i="15"/>
  <c r="L6342" i="15"/>
  <c r="K6343" i="15"/>
  <c r="K6344" i="15"/>
  <c r="K6345" i="15"/>
  <c r="K6346" i="15"/>
  <c r="L6346" i="15"/>
  <c r="K6347" i="15"/>
  <c r="K6348" i="15"/>
  <c r="K6349" i="15"/>
  <c r="K6350" i="15"/>
  <c r="K6351" i="15"/>
  <c r="K6352" i="15"/>
  <c r="K6353" i="15"/>
  <c r="K6354" i="15"/>
  <c r="K6355" i="15"/>
  <c r="K6356" i="15"/>
  <c r="K6357" i="15"/>
  <c r="K6358" i="15"/>
  <c r="K6359" i="15"/>
  <c r="K6360" i="15"/>
  <c r="K6361" i="15"/>
  <c r="K6362" i="15"/>
  <c r="K6363" i="15"/>
  <c r="K6364" i="15"/>
  <c r="K6365" i="15"/>
  <c r="K6366" i="15"/>
  <c r="K6367" i="15"/>
  <c r="K6368" i="15"/>
  <c r="K6369" i="15"/>
  <c r="K6370" i="15"/>
  <c r="K6371" i="15"/>
  <c r="K6372" i="15"/>
  <c r="K6373" i="15"/>
  <c r="K6374" i="15"/>
  <c r="K6375" i="15"/>
  <c r="K6376" i="15"/>
  <c r="K6377" i="15"/>
  <c r="K6378" i="15"/>
  <c r="K6379" i="15"/>
  <c r="K6380" i="15"/>
  <c r="K6381" i="15"/>
  <c r="K6382" i="15"/>
  <c r="K6383" i="15"/>
  <c r="K6384" i="15"/>
  <c r="K6385" i="15"/>
  <c r="K6386" i="15"/>
  <c r="K6387" i="15"/>
  <c r="K6388" i="15"/>
  <c r="K6389" i="15"/>
  <c r="K6390" i="15"/>
  <c r="K6391" i="15"/>
  <c r="K6392" i="15"/>
  <c r="K6393" i="15"/>
  <c r="K6394" i="15"/>
  <c r="K6395" i="15"/>
  <c r="K6396" i="15"/>
  <c r="K6397" i="15"/>
  <c r="K6398" i="15"/>
  <c r="K6399" i="15"/>
  <c r="K6400" i="15"/>
  <c r="K6401" i="15"/>
  <c r="K6402" i="15"/>
  <c r="K6403" i="15"/>
  <c r="K6404" i="15"/>
  <c r="K6405" i="15"/>
  <c r="K6406" i="15"/>
  <c r="K6407" i="15"/>
  <c r="K6408" i="15"/>
  <c r="K6409" i="15"/>
  <c r="K6410" i="15"/>
  <c r="K6411" i="15"/>
  <c r="K6412" i="15"/>
  <c r="K6413" i="15"/>
  <c r="K6414" i="15"/>
  <c r="K6415" i="15"/>
  <c r="K6416" i="15"/>
  <c r="K6417" i="15"/>
  <c r="K6418" i="15"/>
  <c r="K6419" i="15"/>
  <c r="K6420" i="15"/>
  <c r="K6421" i="15"/>
  <c r="K6422" i="15"/>
  <c r="K6423" i="15"/>
  <c r="K6424" i="15"/>
  <c r="K6425" i="15"/>
  <c r="K6426" i="15"/>
  <c r="K6427" i="15"/>
  <c r="K6428" i="15"/>
  <c r="K6429" i="15"/>
  <c r="K6430" i="15"/>
  <c r="K6431" i="15"/>
  <c r="K6432" i="15"/>
  <c r="K6433" i="15"/>
  <c r="K6434" i="15"/>
  <c r="K6435" i="15"/>
  <c r="K6436" i="15"/>
  <c r="K6437" i="15"/>
  <c r="K6438" i="15"/>
  <c r="K6439" i="15"/>
  <c r="K6440" i="15"/>
  <c r="K6441" i="15"/>
  <c r="K6442" i="15"/>
  <c r="K6443" i="15"/>
  <c r="K6444" i="15"/>
  <c r="K6445" i="15"/>
  <c r="K6446" i="15"/>
  <c r="K6447" i="15"/>
  <c r="K6448" i="15"/>
  <c r="K6449" i="15"/>
  <c r="K6450" i="15"/>
  <c r="K6451" i="15"/>
  <c r="K6452" i="15"/>
  <c r="K6453" i="15"/>
  <c r="K6454" i="15"/>
  <c r="K6455" i="15"/>
  <c r="K6456" i="15"/>
  <c r="K6457" i="15"/>
  <c r="K6458" i="15"/>
  <c r="K6459" i="15"/>
  <c r="K6460" i="15"/>
  <c r="K6461" i="15"/>
  <c r="K6462" i="15"/>
  <c r="K6463" i="15"/>
  <c r="K6464" i="15"/>
  <c r="K6465" i="15"/>
  <c r="K6466" i="15"/>
  <c r="K6467" i="15"/>
  <c r="K6468" i="15"/>
  <c r="K6469" i="15"/>
  <c r="K6470" i="15"/>
  <c r="K6471" i="15"/>
  <c r="K6472" i="15"/>
  <c r="K6473" i="15"/>
  <c r="K6474" i="15"/>
  <c r="K6475" i="15"/>
  <c r="K6476" i="15"/>
  <c r="K6477" i="15"/>
  <c r="K6478" i="15"/>
  <c r="K6479" i="15"/>
  <c r="K6480" i="15"/>
  <c r="K6481" i="15"/>
  <c r="K6482" i="15"/>
  <c r="K6483" i="15"/>
  <c r="K6484" i="15"/>
  <c r="K6485" i="15"/>
  <c r="K6486" i="15"/>
  <c r="K6487" i="15"/>
  <c r="K6488" i="15"/>
  <c r="K6489" i="15"/>
  <c r="K6490" i="15"/>
  <c r="K6491" i="15"/>
  <c r="K6492" i="15"/>
  <c r="K6493" i="15"/>
  <c r="K6494" i="15"/>
  <c r="K6495" i="15"/>
  <c r="K6496" i="15"/>
  <c r="K6497" i="15"/>
  <c r="K6498" i="15"/>
  <c r="K6499" i="15"/>
  <c r="K6500" i="15"/>
  <c r="K6501" i="15"/>
  <c r="K6503" i="15"/>
  <c r="K6505" i="15"/>
  <c r="K6506" i="15"/>
  <c r="K6507" i="15"/>
  <c r="K6508" i="15"/>
  <c r="L6508" i="15"/>
  <c r="K6509" i="15"/>
  <c r="K6510" i="15"/>
  <c r="L6510" i="15"/>
  <c r="K6511" i="15"/>
  <c r="K6512" i="15"/>
  <c r="K6513" i="15"/>
  <c r="K6514" i="15"/>
  <c r="K6515" i="15"/>
  <c r="K6516" i="15"/>
  <c r="K6517" i="15"/>
  <c r="K6518" i="15"/>
  <c r="K6519" i="15"/>
  <c r="K6520" i="15"/>
  <c r="K6521" i="15"/>
  <c r="K6522" i="15"/>
  <c r="K6523" i="15"/>
  <c r="K6524" i="15"/>
  <c r="K6525" i="15"/>
  <c r="K6526" i="15"/>
  <c r="K6528" i="15"/>
  <c r="K6529" i="15"/>
  <c r="K6531" i="15"/>
  <c r="K6532" i="15"/>
  <c r="K6533" i="15"/>
  <c r="L6533" i="15"/>
  <c r="K6534" i="15"/>
  <c r="K6537" i="15"/>
  <c r="K6539" i="15"/>
  <c r="K6540" i="15"/>
  <c r="K6541" i="15"/>
  <c r="L6541" i="15"/>
  <c r="K6542" i="15"/>
  <c r="L6542" i="15"/>
  <c r="K6543" i="15"/>
  <c r="K6544" i="15"/>
  <c r="L6544" i="15"/>
  <c r="K6545" i="15"/>
  <c r="K6546" i="15"/>
  <c r="K6547" i="15"/>
  <c r="K6548" i="15"/>
  <c r="K6549" i="15"/>
  <c r="K6550" i="15"/>
  <c r="K6551" i="15"/>
  <c r="K6552" i="15"/>
  <c r="K6553" i="15"/>
  <c r="K6554" i="15"/>
  <c r="K6555" i="15"/>
  <c r="K6556" i="15"/>
  <c r="K6557" i="15"/>
  <c r="K6558" i="15"/>
  <c r="K6559" i="15"/>
  <c r="K6560" i="15"/>
  <c r="K6561" i="15"/>
  <c r="K6562" i="15"/>
  <c r="K6563" i="15"/>
  <c r="K6564" i="15"/>
  <c r="K6565" i="15"/>
  <c r="K6566" i="15"/>
  <c r="K6567" i="15"/>
  <c r="K6568" i="15"/>
  <c r="L6568" i="15"/>
  <c r="K6569" i="15"/>
  <c r="K6570" i="15"/>
  <c r="K6571" i="15"/>
  <c r="K6572" i="15"/>
  <c r="L6572" i="15"/>
  <c r="K6573" i="15"/>
  <c r="L6573" i="15"/>
  <c r="K6574" i="15"/>
  <c r="K6575" i="15"/>
  <c r="K6576" i="15"/>
  <c r="L6576" i="15"/>
  <c r="K6577" i="15"/>
  <c r="K6578" i="15"/>
  <c r="L6578" i="15"/>
  <c r="K6579" i="15"/>
  <c r="K6580" i="15"/>
  <c r="K6581" i="15"/>
  <c r="K6582" i="15"/>
  <c r="K6583" i="15"/>
  <c r="K6584" i="15"/>
  <c r="K6585" i="15"/>
  <c r="K6586" i="15"/>
  <c r="L6586" i="15"/>
  <c r="K6587" i="15"/>
  <c r="K6588" i="15"/>
  <c r="L6588" i="15"/>
  <c r="K6589" i="15"/>
  <c r="K6590" i="15"/>
  <c r="K6591" i="15"/>
  <c r="K6592" i="15"/>
  <c r="K6593" i="15"/>
  <c r="K6594" i="15"/>
  <c r="K6595" i="15"/>
  <c r="K6596" i="15"/>
  <c r="K6597" i="15"/>
  <c r="K6598" i="15"/>
  <c r="K6599" i="15"/>
  <c r="K6600" i="15"/>
  <c r="K6601" i="15"/>
  <c r="K6602" i="15"/>
  <c r="K6603" i="15"/>
  <c r="K6604" i="15"/>
  <c r="K6605" i="15"/>
  <c r="K6606" i="15"/>
  <c r="K6607" i="15"/>
  <c r="K6608" i="15"/>
  <c r="K6609" i="15"/>
  <c r="K6610" i="15"/>
  <c r="K6611" i="15"/>
  <c r="K6612" i="15"/>
  <c r="K6613" i="15"/>
  <c r="K6614" i="15"/>
  <c r="K6615" i="15"/>
  <c r="K6616" i="15"/>
  <c r="K6617" i="15"/>
  <c r="K6618" i="15"/>
  <c r="K6619" i="15"/>
  <c r="K6620" i="15"/>
  <c r="K6621" i="15"/>
  <c r="K6622" i="15"/>
  <c r="K6623" i="15"/>
  <c r="K6624" i="15"/>
  <c r="K6625" i="15"/>
  <c r="K6626" i="15"/>
  <c r="K6627" i="15"/>
  <c r="K6628" i="15"/>
  <c r="K6629" i="15"/>
  <c r="K6630" i="15"/>
  <c r="K6631" i="15"/>
  <c r="K6632" i="15"/>
  <c r="K6633" i="15"/>
  <c r="K6634" i="15"/>
  <c r="K6635" i="15"/>
  <c r="K6636" i="15"/>
  <c r="L6636" i="15"/>
  <c r="K6637" i="15"/>
  <c r="K6638" i="15"/>
  <c r="K6639" i="15"/>
  <c r="K6640" i="15"/>
  <c r="K6641" i="15"/>
  <c r="L6641" i="15"/>
  <c r="K6642" i="15"/>
  <c r="L6642" i="15"/>
  <c r="K6643" i="15"/>
  <c r="K6644" i="15"/>
  <c r="K6645" i="15"/>
  <c r="K6646" i="15"/>
  <c r="L6646" i="15"/>
  <c r="K6647" i="15"/>
  <c r="K6648" i="15"/>
  <c r="K6649" i="15"/>
  <c r="K6650" i="15"/>
  <c r="K6651" i="15"/>
  <c r="K6652" i="15"/>
  <c r="K6653" i="15"/>
  <c r="K6654" i="15"/>
  <c r="K6655" i="15"/>
  <c r="K6656" i="15"/>
  <c r="K6657" i="15"/>
  <c r="K6658" i="15"/>
  <c r="K6659" i="15"/>
  <c r="K6661" i="15"/>
  <c r="K6662" i="15"/>
  <c r="K6663" i="15"/>
  <c r="K6664" i="15"/>
  <c r="L6664" i="15"/>
  <c r="K6665" i="15"/>
  <c r="K6666" i="15"/>
  <c r="L6666" i="15"/>
  <c r="K6667" i="15"/>
  <c r="K6668" i="15"/>
  <c r="K6669" i="15"/>
  <c r="K6670" i="15"/>
  <c r="K6671" i="15"/>
  <c r="K6672" i="15"/>
  <c r="K6673" i="15"/>
  <c r="K6674" i="15"/>
  <c r="K6675" i="15"/>
  <c r="K6676" i="15"/>
  <c r="L6676" i="15"/>
  <c r="K6677" i="15"/>
  <c r="L6677" i="15"/>
  <c r="K6678" i="15"/>
  <c r="K6679" i="15"/>
  <c r="K6680" i="15"/>
  <c r="L6680" i="15"/>
  <c r="K6681" i="15"/>
  <c r="L6681" i="15"/>
  <c r="K6682" i="15"/>
  <c r="K6683" i="15"/>
  <c r="K6684" i="15"/>
  <c r="K6685" i="15"/>
  <c r="K6686" i="15"/>
  <c r="K6687" i="15"/>
  <c r="K6688" i="15"/>
  <c r="K6689" i="15"/>
  <c r="K6690" i="15"/>
  <c r="K6691" i="15"/>
  <c r="K6692" i="15"/>
  <c r="L6692" i="15"/>
  <c r="K6693" i="15"/>
  <c r="K6694" i="15"/>
  <c r="K6695" i="15"/>
  <c r="K6696" i="15"/>
  <c r="K6697" i="15"/>
  <c r="K6698" i="15"/>
  <c r="K6699" i="15"/>
  <c r="K6700" i="15"/>
  <c r="K6701" i="15"/>
  <c r="K6702" i="15"/>
  <c r="K6703" i="15"/>
  <c r="K6704" i="15"/>
  <c r="K6705" i="15"/>
  <c r="K6706" i="15"/>
  <c r="K6707" i="15"/>
  <c r="K6708" i="15"/>
  <c r="K6709" i="15"/>
  <c r="K6710" i="15"/>
  <c r="K6711" i="15"/>
  <c r="K6712" i="15"/>
  <c r="K6713" i="15"/>
  <c r="K6714" i="15"/>
  <c r="K6715" i="15"/>
  <c r="K6716" i="15"/>
  <c r="K6717" i="15"/>
  <c r="K6718" i="15"/>
  <c r="K6719" i="15"/>
  <c r="K6720" i="15"/>
  <c r="K6721" i="15"/>
  <c r="K6722" i="15"/>
  <c r="K6723" i="15"/>
  <c r="K6724" i="15"/>
  <c r="K6725" i="15"/>
  <c r="K6726" i="15"/>
  <c r="K6727" i="15"/>
  <c r="K6728" i="15"/>
  <c r="K6729" i="15"/>
  <c r="K6730" i="15"/>
  <c r="K6731" i="15"/>
  <c r="K6732" i="15"/>
  <c r="K6733" i="15"/>
  <c r="K6734" i="15"/>
  <c r="K6735" i="15"/>
  <c r="K6736" i="15"/>
  <c r="K6737" i="15"/>
  <c r="K6738" i="15"/>
  <c r="K6739" i="15"/>
  <c r="K6740" i="15"/>
  <c r="K6741" i="15"/>
  <c r="K6742" i="15"/>
  <c r="K6743" i="15"/>
  <c r="K6744" i="15"/>
  <c r="K6745" i="15"/>
  <c r="K6746" i="15"/>
  <c r="K6747" i="15"/>
  <c r="K6748" i="15"/>
  <c r="K6749" i="15"/>
  <c r="K6750" i="15"/>
  <c r="K6751" i="15"/>
  <c r="K6752" i="15"/>
  <c r="K6753" i="15"/>
  <c r="K6754" i="15"/>
  <c r="K6755" i="15"/>
  <c r="K6756" i="15"/>
  <c r="K6757" i="15"/>
  <c r="K6758" i="15"/>
  <c r="K6759" i="15"/>
  <c r="K6760" i="15"/>
  <c r="K6761" i="15"/>
  <c r="K6762" i="15"/>
  <c r="K6763" i="15"/>
  <c r="K6764" i="15"/>
  <c r="K6765" i="15"/>
  <c r="K6766" i="15"/>
  <c r="K6767" i="15"/>
  <c r="L6767" i="15"/>
  <c r="K6768" i="15"/>
  <c r="K6769" i="15"/>
  <c r="K6770" i="15"/>
  <c r="K6771" i="15"/>
  <c r="K6772" i="15"/>
  <c r="K6773" i="15"/>
  <c r="K6774" i="15"/>
  <c r="K6775" i="15"/>
  <c r="K6776" i="15"/>
  <c r="K6777" i="15"/>
  <c r="K6778" i="15"/>
  <c r="K6779" i="15"/>
  <c r="K6780" i="15"/>
  <c r="K6782" i="15"/>
  <c r="K6783" i="15"/>
  <c r="K6784" i="15"/>
  <c r="K6785" i="15"/>
  <c r="K6786" i="15"/>
  <c r="K6787" i="15"/>
  <c r="L6787" i="15"/>
  <c r="K6788" i="15"/>
  <c r="K6789" i="15"/>
  <c r="K6790" i="15"/>
  <c r="K6791" i="15"/>
  <c r="K6792" i="15"/>
  <c r="K6793" i="15"/>
  <c r="K6794" i="15"/>
  <c r="K6795" i="15"/>
  <c r="K6796" i="15"/>
  <c r="K6797" i="15"/>
  <c r="K6800" i="15"/>
  <c r="K6801" i="15"/>
  <c r="K6802" i="15"/>
  <c r="K6803" i="15"/>
  <c r="K6804" i="15"/>
  <c r="L6804" i="15"/>
  <c r="K6805" i="15"/>
  <c r="L6805" i="15"/>
  <c r="K6806" i="15"/>
  <c r="K6807" i="15"/>
  <c r="K6808" i="15"/>
  <c r="K6809" i="15"/>
  <c r="K6811" i="15"/>
  <c r="K6812" i="15"/>
  <c r="K6813" i="15"/>
  <c r="K6814" i="15"/>
  <c r="K6815" i="15"/>
  <c r="K6816" i="15"/>
  <c r="L6816" i="15"/>
  <c r="K6817" i="15"/>
  <c r="K6818" i="15"/>
  <c r="K6819" i="15"/>
  <c r="K6820" i="15"/>
  <c r="K6821" i="15"/>
  <c r="K6822" i="15"/>
  <c r="K6823" i="15"/>
  <c r="K6824" i="15"/>
  <c r="K6825" i="15"/>
  <c r="K6826" i="15"/>
  <c r="K6827" i="15"/>
  <c r="K6828" i="15"/>
  <c r="K6829" i="15"/>
  <c r="K6830" i="15"/>
  <c r="K6831" i="15"/>
  <c r="K6832" i="15"/>
  <c r="K6833" i="15"/>
  <c r="K6834" i="15"/>
  <c r="K6835" i="15"/>
  <c r="K6836" i="15"/>
  <c r="K6837" i="15"/>
  <c r="K6838" i="15"/>
  <c r="K6839" i="15"/>
  <c r="K6840" i="15"/>
  <c r="K6841" i="15"/>
  <c r="K6842" i="15"/>
  <c r="K6846" i="15"/>
  <c r="K6847" i="15"/>
  <c r="K6848" i="15"/>
  <c r="K6849" i="15"/>
  <c r="L6849" i="15"/>
  <c r="K6851" i="15"/>
  <c r="L6851" i="15"/>
  <c r="K6852" i="15"/>
  <c r="K6853" i="15"/>
  <c r="K6854" i="15"/>
  <c r="K6856" i="15"/>
  <c r="L6856" i="15"/>
  <c r="K6857" i="15"/>
  <c r="K6859" i="15"/>
  <c r="K6860" i="15"/>
  <c r="K6863" i="15"/>
  <c r="K6864" i="15"/>
  <c r="L6864" i="15"/>
  <c r="K6866" i="15"/>
  <c r="K6868" i="15"/>
  <c r="L6868" i="15"/>
  <c r="K6869" i="15"/>
  <c r="K6870" i="15"/>
  <c r="K6872" i="15"/>
  <c r="K6874" i="15"/>
  <c r="K6875" i="15"/>
  <c r="K6876" i="15"/>
  <c r="K6877" i="15"/>
  <c r="L6877" i="15"/>
  <c r="K6878" i="15"/>
  <c r="K6879" i="15"/>
  <c r="L6879" i="15"/>
  <c r="K6880" i="15"/>
  <c r="K6881" i="15"/>
  <c r="K6882" i="15"/>
  <c r="K6883" i="15"/>
  <c r="K6884" i="15"/>
  <c r="K6885" i="15"/>
  <c r="K6886" i="15"/>
  <c r="K6890" i="15"/>
  <c r="K6893" i="15"/>
  <c r="L6893" i="15"/>
  <c r="K6894" i="15"/>
  <c r="L6894" i="15"/>
  <c r="K6896" i="15"/>
  <c r="K6897" i="15"/>
  <c r="L6897" i="15"/>
  <c r="K6898" i="15"/>
  <c r="L6898" i="15"/>
  <c r="K6899" i="15"/>
  <c r="K6900" i="15"/>
  <c r="K6901" i="15"/>
  <c r="L6901" i="15"/>
  <c r="K6902" i="15"/>
  <c r="K6903" i="15"/>
  <c r="K6904" i="15"/>
  <c r="L6904" i="15"/>
  <c r="K6905" i="15"/>
  <c r="K6906" i="15"/>
  <c r="K6907" i="15"/>
  <c r="K6908" i="15"/>
  <c r="K6909" i="15"/>
  <c r="K6910" i="15"/>
  <c r="K6911" i="15"/>
  <c r="K6912" i="15"/>
  <c r="K6913" i="15"/>
  <c r="K6914" i="15"/>
  <c r="K6915" i="15"/>
  <c r="K6916" i="15"/>
  <c r="K6917" i="15"/>
  <c r="K6918" i="15"/>
  <c r="K6919" i="15"/>
  <c r="K6920" i="15"/>
  <c r="K6921" i="15"/>
  <c r="K6922" i="15"/>
  <c r="K6923" i="15"/>
  <c r="K6924" i="15"/>
  <c r="K6925" i="15"/>
  <c r="K6926" i="15"/>
  <c r="K6928" i="15"/>
  <c r="K6929" i="15"/>
  <c r="K6930" i="15"/>
  <c r="K6931" i="15"/>
  <c r="K6932" i="15"/>
  <c r="L6932" i="15"/>
  <c r="K6933" i="15"/>
  <c r="L6933" i="15"/>
  <c r="K6934" i="15"/>
  <c r="K6935" i="15"/>
  <c r="K6936" i="15"/>
  <c r="K6937" i="15"/>
  <c r="K6938" i="15"/>
  <c r="K6939" i="15"/>
  <c r="K6940" i="15"/>
  <c r="K6941" i="15"/>
  <c r="K6942" i="15"/>
  <c r="K6943" i="15"/>
  <c r="K6944" i="15"/>
  <c r="K6945" i="15"/>
  <c r="K6946" i="15"/>
  <c r="K6947" i="15"/>
  <c r="K6948" i="15"/>
  <c r="K6949" i="15"/>
  <c r="K6950" i="15"/>
  <c r="L6950" i="15"/>
  <c r="K6951" i="15"/>
  <c r="L6951" i="15"/>
  <c r="K6952" i="15"/>
  <c r="K6953" i="15"/>
  <c r="K6954" i="15"/>
  <c r="K6955" i="15"/>
  <c r="K6956" i="15"/>
  <c r="K6957" i="15"/>
  <c r="K6958" i="15"/>
  <c r="K6959" i="15"/>
  <c r="K6960" i="15"/>
  <c r="K6961" i="15"/>
  <c r="K6962" i="15"/>
  <c r="K6963" i="15"/>
  <c r="L6963" i="15"/>
  <c r="K6964" i="15"/>
  <c r="K6965" i="15"/>
  <c r="K6966" i="15"/>
  <c r="K6967" i="15"/>
  <c r="K6968" i="15"/>
  <c r="K6969" i="15"/>
  <c r="K6970" i="15"/>
  <c r="K6971" i="15"/>
  <c r="K6972" i="15"/>
  <c r="K6973" i="15"/>
  <c r="K6974" i="15"/>
  <c r="K6975" i="15"/>
  <c r="K6976" i="15"/>
  <c r="K6977" i="15"/>
  <c r="K6978" i="15"/>
  <c r="K6979" i="15"/>
  <c r="K6980" i="15"/>
  <c r="K6981" i="15"/>
  <c r="K6982" i="15"/>
  <c r="K6983" i="15"/>
  <c r="K6984" i="15"/>
  <c r="K6985" i="15"/>
  <c r="K6986" i="15"/>
  <c r="K6987" i="15"/>
  <c r="K6988" i="15"/>
  <c r="K6989" i="15"/>
  <c r="K6990" i="15"/>
  <c r="L6990" i="15"/>
  <c r="K6991" i="15"/>
  <c r="K6992" i="15"/>
  <c r="K6993" i="15"/>
  <c r="K6994" i="15"/>
  <c r="K6995" i="15"/>
  <c r="K6996" i="15"/>
  <c r="K6997" i="15"/>
  <c r="K6998" i="15"/>
  <c r="K6999" i="15"/>
  <c r="K7000" i="15"/>
  <c r="K7001" i="15"/>
  <c r="K7002" i="15"/>
  <c r="K7003" i="15"/>
  <c r="K7004" i="15"/>
  <c r="K7005" i="15"/>
  <c r="K7006" i="15"/>
  <c r="K7007" i="15"/>
  <c r="K7008" i="15"/>
  <c r="K7009" i="15"/>
  <c r="K7010" i="15"/>
  <c r="K7011" i="15"/>
  <c r="K7012" i="15"/>
  <c r="K7013" i="15"/>
  <c r="K7014" i="15"/>
  <c r="K7015" i="15"/>
  <c r="L7015" i="15"/>
  <c r="K7016" i="15"/>
  <c r="L7016" i="15"/>
  <c r="K7017" i="15"/>
  <c r="K7018" i="15"/>
  <c r="K7019" i="15"/>
  <c r="K7020" i="15"/>
  <c r="K7021" i="15"/>
  <c r="K7022" i="15"/>
  <c r="K7023" i="15"/>
  <c r="K7024" i="15"/>
  <c r="K7025" i="15"/>
  <c r="K7026" i="15"/>
  <c r="K7027" i="15"/>
  <c r="K7028" i="15"/>
  <c r="K7029" i="15"/>
  <c r="K7030" i="15"/>
  <c r="K7031" i="15"/>
  <c r="K7032" i="15"/>
  <c r="K7033" i="15"/>
  <c r="K7034" i="15"/>
  <c r="K7035" i="15"/>
  <c r="K7036" i="15"/>
  <c r="K7037" i="15"/>
  <c r="K7038" i="15"/>
  <c r="K7039" i="15"/>
  <c r="K7040" i="15"/>
  <c r="K7041" i="15"/>
  <c r="K7042" i="15"/>
  <c r="K7043" i="15"/>
  <c r="K7044" i="15"/>
  <c r="K7045" i="15"/>
  <c r="K7046" i="15"/>
  <c r="K7047" i="15"/>
  <c r="K7048" i="15"/>
  <c r="K7049" i="15"/>
  <c r="K7050" i="15"/>
  <c r="K7051" i="15"/>
  <c r="K7052" i="15"/>
  <c r="K7053" i="15"/>
  <c r="K7054" i="15"/>
  <c r="K7055" i="15"/>
  <c r="K7056" i="15"/>
  <c r="K7057" i="15"/>
  <c r="K7058" i="15"/>
  <c r="K7059" i="15"/>
  <c r="K7060" i="15"/>
  <c r="K7061" i="15"/>
  <c r="K7062" i="15"/>
  <c r="K7063" i="15"/>
  <c r="K7064" i="15"/>
  <c r="K7065" i="15"/>
  <c r="K7067" i="15"/>
  <c r="K7068" i="15"/>
  <c r="K7069" i="15"/>
  <c r="K7070" i="15"/>
  <c r="K7071" i="15"/>
  <c r="K7072" i="15"/>
  <c r="L7072" i="15"/>
  <c r="K7073" i="15"/>
  <c r="K7074" i="15"/>
  <c r="K7075" i="15"/>
  <c r="K7076" i="15"/>
  <c r="K7077" i="15"/>
  <c r="K7078" i="15"/>
  <c r="K7079" i="15"/>
  <c r="K7080" i="15"/>
  <c r="K7081" i="15"/>
  <c r="K7082" i="15"/>
  <c r="K7083" i="15"/>
  <c r="K7084" i="15"/>
  <c r="K7085" i="15"/>
  <c r="K7086" i="15"/>
  <c r="K7088" i="15"/>
  <c r="K7089" i="15"/>
  <c r="K7090" i="15"/>
  <c r="K7091" i="15"/>
  <c r="K7092" i="15"/>
  <c r="K7094" i="15"/>
  <c r="K7095" i="15"/>
  <c r="K7097" i="15"/>
  <c r="K7098" i="15"/>
  <c r="K7099" i="15"/>
  <c r="L7099" i="15"/>
  <c r="K7100" i="15"/>
  <c r="K7101" i="15"/>
  <c r="K7102" i="15"/>
  <c r="L7102" i="15"/>
  <c r="K7105" i="15"/>
  <c r="K7107" i="15"/>
  <c r="K7113" i="15"/>
  <c r="K7114" i="15"/>
  <c r="K7116" i="15"/>
  <c r="L7117" i="15"/>
  <c r="K7118" i="15"/>
  <c r="K7120" i="15"/>
  <c r="K7121" i="15"/>
  <c r="K7125" i="15"/>
  <c r="K7127" i="15"/>
  <c r="K7132" i="15"/>
  <c r="L7132" i="15"/>
  <c r="L7134" i="15"/>
  <c r="K7139" i="15"/>
  <c r="K7140" i="15"/>
  <c r="K7141" i="15"/>
  <c r="K7142" i="15"/>
  <c r="K7143" i="15"/>
  <c r="K7144" i="15"/>
  <c r="K7145" i="15"/>
  <c r="K7146" i="15"/>
  <c r="K7147" i="15"/>
  <c r="K7148" i="15"/>
  <c r="K7149" i="15"/>
  <c r="K7150" i="15"/>
  <c r="K7151" i="15"/>
  <c r="K7152" i="15"/>
  <c r="K7153" i="15"/>
  <c r="K7154" i="15"/>
  <c r="K7155" i="15"/>
  <c r="K7156" i="15"/>
  <c r="K7157" i="15"/>
  <c r="K7158" i="15"/>
  <c r="K7159" i="15"/>
  <c r="K7160" i="15"/>
  <c r="K7161" i="15"/>
  <c r="K7162" i="15"/>
  <c r="K7165" i="15"/>
  <c r="K7166" i="15"/>
  <c r="K7167" i="15"/>
  <c r="K7168" i="15"/>
  <c r="K7172" i="15"/>
  <c r="K7174" i="15"/>
  <c r="K7175" i="15"/>
  <c r="K7177" i="15"/>
  <c r="K7179" i="15"/>
  <c r="K7182" i="15"/>
  <c r="K7184" i="15"/>
  <c r="K7185" i="15"/>
  <c r="K7187" i="15"/>
  <c r="K7188" i="15"/>
  <c r="K7190" i="15"/>
  <c r="K7195" i="15"/>
  <c r="L7195" i="15"/>
  <c r="L7197" i="15"/>
  <c r="K7199" i="15"/>
  <c r="K7200" i="15"/>
  <c r="K7201" i="15"/>
  <c r="K7202" i="15"/>
  <c r="L7202" i="15"/>
  <c r="K7203" i="15"/>
  <c r="K7204" i="15"/>
  <c r="L7204" i="15"/>
  <c r="K7205" i="15"/>
  <c r="K7206" i="15"/>
  <c r="K7207" i="15"/>
  <c r="K7208" i="15"/>
  <c r="K7209" i="15"/>
  <c r="K7210" i="15"/>
  <c r="K7211" i="15"/>
  <c r="K7212" i="15"/>
  <c r="K7213" i="15"/>
  <c r="K7214" i="15"/>
  <c r="K7215" i="15"/>
  <c r="K7216" i="15"/>
  <c r="K7217" i="15"/>
  <c r="K7218" i="15"/>
  <c r="K7219" i="15"/>
  <c r="K7220" i="15"/>
  <c r="K7221" i="15"/>
  <c r="K7222" i="15"/>
  <c r="K7223" i="15"/>
  <c r="K7224" i="15"/>
  <c r="K7225" i="15"/>
  <c r="K7226" i="15"/>
  <c r="K7227" i="15"/>
  <c r="K7228" i="15"/>
  <c r="K7229" i="15"/>
  <c r="K7230" i="15"/>
  <c r="K7231" i="15"/>
  <c r="K7232" i="15"/>
  <c r="K7233" i="15"/>
  <c r="K7234" i="15"/>
  <c r="K7235" i="15"/>
  <c r="K7236" i="15"/>
  <c r="K7237" i="15"/>
  <c r="K7238" i="15"/>
  <c r="K7239" i="15"/>
  <c r="K7240" i="15"/>
  <c r="K7241" i="15"/>
  <c r="K7242" i="15"/>
  <c r="K7243" i="15"/>
  <c r="K7244" i="15"/>
  <c r="K7245" i="15"/>
  <c r="K7246" i="15"/>
  <c r="K7247" i="15"/>
  <c r="K7248" i="15"/>
  <c r="K7249" i="15"/>
  <c r="K7250" i="15"/>
  <c r="K7251" i="15"/>
  <c r="K7252" i="15"/>
  <c r="K7253" i="15"/>
  <c r="K7254" i="15"/>
  <c r="K7255" i="15"/>
  <c r="K7256" i="15"/>
  <c r="K7257" i="15"/>
  <c r="K7258" i="15"/>
  <c r="K7259" i="15"/>
  <c r="K7260" i="15"/>
  <c r="K7261" i="15"/>
  <c r="K7262" i="15"/>
  <c r="K7263" i="15"/>
  <c r="K7264" i="15"/>
  <c r="K7265" i="15"/>
  <c r="K7266" i="15"/>
  <c r="K7267" i="15"/>
  <c r="K7268" i="15"/>
  <c r="K7269" i="15"/>
  <c r="K7270" i="15"/>
  <c r="K7271" i="15"/>
  <c r="K7272" i="15"/>
  <c r="K7273" i="15"/>
  <c r="K7274" i="15"/>
  <c r="K7275" i="15"/>
  <c r="K7276" i="15"/>
  <c r="K7277" i="15"/>
  <c r="K7278" i="15"/>
  <c r="K7279" i="15"/>
  <c r="K7280" i="15"/>
  <c r="K7281" i="15"/>
  <c r="K7282" i="15"/>
  <c r="K7283" i="15"/>
  <c r="K7284" i="15"/>
  <c r="K7285" i="15"/>
  <c r="K7286" i="15"/>
  <c r="K7287" i="15"/>
  <c r="K7288" i="15"/>
  <c r="K7289" i="15"/>
  <c r="K7290" i="15"/>
  <c r="K7291" i="15"/>
  <c r="K7292" i="15"/>
  <c r="K7293" i="15"/>
  <c r="K7294" i="15"/>
  <c r="K7295" i="15"/>
  <c r="K7296" i="15"/>
  <c r="K7297" i="15"/>
  <c r="K7298" i="15"/>
  <c r="K7299" i="15"/>
  <c r="K7300" i="15"/>
  <c r="K7301" i="15"/>
  <c r="K7302" i="15"/>
  <c r="K7303" i="15"/>
  <c r="K7304" i="15"/>
  <c r="K7305" i="15"/>
  <c r="K7306" i="15"/>
  <c r="K7307" i="15"/>
  <c r="K7308" i="15"/>
  <c r="K7309" i="15"/>
  <c r="K7310" i="15"/>
  <c r="K7311" i="15"/>
  <c r="K7312" i="15"/>
  <c r="K7313" i="15"/>
  <c r="K7314" i="15"/>
  <c r="K7315" i="15"/>
  <c r="K7316" i="15"/>
  <c r="K7317" i="15"/>
  <c r="K7318" i="15"/>
  <c r="K7319" i="15"/>
  <c r="K7320" i="15"/>
  <c r="K7321" i="15"/>
  <c r="K7322" i="15"/>
  <c r="K7323" i="15"/>
  <c r="K7324" i="15"/>
  <c r="K7325" i="15"/>
  <c r="K7326" i="15"/>
  <c r="K7327" i="15"/>
  <c r="K7328" i="15"/>
  <c r="K7329" i="15"/>
  <c r="K7330" i="15"/>
  <c r="K7331" i="15"/>
  <c r="K7332" i="15"/>
  <c r="K7333" i="15"/>
  <c r="K7334" i="15"/>
  <c r="K7335" i="15"/>
  <c r="K7336" i="15"/>
  <c r="K7337" i="15"/>
  <c r="K7338" i="15"/>
  <c r="K7339" i="15"/>
  <c r="K7340" i="15"/>
  <c r="K7341" i="15"/>
  <c r="K7344" i="15"/>
  <c r="K7345" i="15"/>
  <c r="K7346" i="15"/>
  <c r="K7347" i="15"/>
  <c r="L7348" i="15"/>
  <c r="K7349" i="15"/>
  <c r="K7352" i="15"/>
  <c r="K7353" i="15"/>
  <c r="K7354" i="15"/>
  <c r="K7355" i="15"/>
  <c r="K7356" i="15"/>
  <c r="K7357" i="15"/>
  <c r="L7357" i="15"/>
  <c r="K7358" i="15"/>
  <c r="K7359" i="15"/>
  <c r="K7360" i="15"/>
  <c r="K7361" i="15"/>
  <c r="K7366" i="15"/>
  <c r="K7367" i="15"/>
  <c r="K7368" i="15"/>
  <c r="L7368" i="15"/>
  <c r="K7369" i="15"/>
  <c r="K7370" i="15"/>
  <c r="L7370" i="15"/>
  <c r="K7371" i="15"/>
  <c r="K7372" i="15"/>
  <c r="K7373" i="15"/>
  <c r="K7374" i="15"/>
  <c r="K7375" i="15"/>
  <c r="K7376" i="15"/>
  <c r="K7377" i="15"/>
  <c r="K7378" i="15"/>
  <c r="K7379" i="15"/>
  <c r="K7380" i="15"/>
  <c r="K7381" i="15"/>
  <c r="K7382" i="15"/>
  <c r="K7383" i="15"/>
  <c r="K7384" i="15"/>
  <c r="K7385" i="15"/>
  <c r="K7386" i="15"/>
  <c r="K7387" i="15"/>
  <c r="K7388" i="15"/>
  <c r="K7389" i="15"/>
  <c r="K7390" i="15"/>
  <c r="K7391" i="15"/>
  <c r="K7392" i="15"/>
  <c r="K7393" i="15"/>
  <c r="K7394" i="15"/>
  <c r="K7395" i="15"/>
  <c r="K7396" i="15"/>
  <c r="K7397" i="15"/>
  <c r="K7398" i="15"/>
  <c r="K7399" i="15"/>
  <c r="K7400" i="15"/>
  <c r="K7401" i="15"/>
  <c r="K7402" i="15"/>
  <c r="K7403" i="15"/>
  <c r="K7404" i="15"/>
  <c r="K7405" i="15"/>
  <c r="K7406" i="15"/>
  <c r="K7407" i="15"/>
  <c r="K7408" i="15"/>
  <c r="K7409" i="15"/>
  <c r="K7410" i="15"/>
  <c r="K7411" i="15"/>
  <c r="K7412" i="15"/>
  <c r="K7413" i="15"/>
  <c r="K7414" i="15"/>
  <c r="K7415" i="15"/>
  <c r="K7416" i="15"/>
  <c r="K7417" i="15"/>
  <c r="K7418" i="15"/>
  <c r="K7419" i="15"/>
  <c r="K7420" i="15"/>
  <c r="K7421" i="15"/>
  <c r="K7422" i="15"/>
  <c r="K7423" i="15"/>
  <c r="K7424" i="15"/>
  <c r="K7425" i="15"/>
  <c r="K7426" i="15"/>
  <c r="K7427" i="15"/>
  <c r="K7428" i="15"/>
  <c r="K7429" i="15"/>
  <c r="K7430" i="15"/>
  <c r="K7431" i="15"/>
  <c r="K7432" i="15"/>
  <c r="K7433" i="15"/>
  <c r="K7434" i="15"/>
  <c r="K7435" i="15"/>
  <c r="K7436" i="15"/>
  <c r="K7437" i="15"/>
  <c r="K7438" i="15"/>
  <c r="K7439" i="15"/>
  <c r="K7440" i="15"/>
  <c r="K7441" i="15"/>
  <c r="K7442" i="15"/>
  <c r="K7443" i="15"/>
  <c r="K7444" i="15"/>
  <c r="K7445" i="15"/>
  <c r="K7446" i="15"/>
  <c r="K7447" i="15"/>
  <c r="K7448" i="15"/>
  <c r="K7449" i="15"/>
  <c r="K7450" i="15"/>
  <c r="K7451" i="15"/>
  <c r="K7452" i="15"/>
  <c r="K7453" i="15"/>
  <c r="K7454" i="15"/>
  <c r="K7455" i="15"/>
  <c r="K7456" i="15"/>
  <c r="K7457" i="15"/>
  <c r="K7458" i="15"/>
  <c r="K7459" i="15"/>
  <c r="K7460" i="15"/>
  <c r="K7461" i="15"/>
  <c r="K7462" i="15"/>
  <c r="K7463" i="15"/>
  <c r="K7464" i="15"/>
  <c r="K7465" i="15"/>
  <c r="K7466" i="15"/>
  <c r="K7467" i="15"/>
  <c r="K7468" i="15"/>
  <c r="K7469" i="15"/>
  <c r="K7470" i="15"/>
  <c r="K7471" i="15"/>
  <c r="K7472" i="15"/>
  <c r="K7473" i="15"/>
  <c r="K7474" i="15"/>
  <c r="K7475" i="15"/>
  <c r="K7476" i="15"/>
  <c r="K7477" i="15"/>
  <c r="K7478" i="15"/>
  <c r="K7479" i="15"/>
  <c r="K7480" i="15"/>
  <c r="K7481" i="15"/>
  <c r="K7482" i="15"/>
  <c r="K7483" i="15"/>
  <c r="K7484" i="15"/>
  <c r="K7485" i="15"/>
  <c r="K7486" i="15"/>
  <c r="K7487" i="15"/>
  <c r="K7488" i="15"/>
  <c r="K7489" i="15"/>
  <c r="K7490" i="15"/>
  <c r="K7491" i="15"/>
  <c r="K7492" i="15"/>
  <c r="K7493" i="15"/>
  <c r="K7494" i="15"/>
  <c r="K7495" i="15"/>
  <c r="K7496" i="15"/>
  <c r="K7497" i="15"/>
  <c r="K7498" i="15"/>
  <c r="K7499" i="15"/>
  <c r="K7500" i="15"/>
  <c r="K7501" i="15"/>
  <c r="K7502" i="15"/>
  <c r="K7503" i="15"/>
  <c r="K7504" i="15"/>
  <c r="K7505" i="15"/>
  <c r="K7506" i="15"/>
  <c r="K7507" i="15"/>
  <c r="K7508" i="15"/>
  <c r="K7509" i="15"/>
  <c r="K7510" i="15"/>
  <c r="K7511" i="15"/>
  <c r="K7512" i="15"/>
  <c r="K7513" i="15"/>
  <c r="K7514" i="15"/>
  <c r="K7515" i="15"/>
  <c r="K7516" i="15"/>
  <c r="K7517" i="15"/>
  <c r="K7518" i="15"/>
  <c r="K7519" i="15"/>
  <c r="K7520" i="15"/>
  <c r="K7521" i="15"/>
  <c r="K7522" i="15"/>
  <c r="K7523" i="15"/>
  <c r="K7524" i="15"/>
  <c r="K7525" i="15"/>
  <c r="K7526" i="15"/>
  <c r="K7527" i="15"/>
  <c r="K7528" i="15"/>
  <c r="K7529" i="15"/>
  <c r="K7530" i="15"/>
  <c r="K7531" i="15"/>
  <c r="K7532" i="15"/>
  <c r="K7533" i="15"/>
  <c r="K7534" i="15"/>
  <c r="K7535" i="15"/>
  <c r="K7536" i="15"/>
  <c r="K7537" i="15"/>
  <c r="K7538" i="15"/>
  <c r="K7539" i="15"/>
  <c r="K7540" i="15"/>
  <c r="K7541" i="15"/>
  <c r="K7542" i="15"/>
  <c r="K7543" i="15"/>
  <c r="K7544" i="15"/>
  <c r="K7545" i="15"/>
  <c r="K7546" i="15"/>
  <c r="K7547" i="15"/>
  <c r="K7548" i="15"/>
  <c r="K7549" i="15"/>
  <c r="K7550" i="15"/>
  <c r="K7551" i="15"/>
  <c r="K7552" i="15"/>
  <c r="K7553" i="15"/>
  <c r="K7554" i="15"/>
  <c r="K7555" i="15"/>
  <c r="K7556" i="15"/>
  <c r="K7557" i="15"/>
  <c r="K7558" i="15"/>
  <c r="K7559" i="15"/>
  <c r="K7560" i="15"/>
  <c r="K7561" i="15"/>
  <c r="K7562" i="15"/>
  <c r="K7563" i="15"/>
  <c r="K7564" i="15"/>
  <c r="K7565" i="15"/>
  <c r="K7566" i="15"/>
  <c r="K7567" i="15"/>
  <c r="K7568" i="15"/>
  <c r="K7569" i="15"/>
  <c r="K7570" i="15"/>
  <c r="K7571" i="15"/>
  <c r="K7572" i="15"/>
  <c r="K7573" i="15"/>
  <c r="K7574" i="15"/>
  <c r="K7575" i="15"/>
  <c r="K7576" i="15"/>
  <c r="K7577" i="15"/>
  <c r="K7578" i="15"/>
  <c r="K7579" i="15"/>
  <c r="K7580" i="15"/>
  <c r="K7581" i="15"/>
  <c r="K7582" i="15"/>
  <c r="K7583" i="15"/>
  <c r="K7584" i="15"/>
  <c r="K7585" i="15"/>
  <c r="K7586" i="15"/>
  <c r="K7587" i="15"/>
  <c r="K7588" i="15"/>
  <c r="K7589" i="15"/>
  <c r="K7590" i="15"/>
  <c r="K7591" i="15"/>
  <c r="K7592" i="15"/>
  <c r="K7593" i="15"/>
  <c r="K7594" i="15"/>
  <c r="K7595" i="15"/>
  <c r="K7596" i="15"/>
  <c r="K7597" i="15"/>
  <c r="K7598" i="15"/>
  <c r="K7599" i="15"/>
  <c r="K7600" i="15"/>
  <c r="K7601" i="15"/>
  <c r="K7602" i="15"/>
  <c r="K7603" i="15"/>
  <c r="K7604" i="15"/>
  <c r="K7605" i="15"/>
  <c r="K7606" i="15"/>
  <c r="K7607" i="15"/>
  <c r="K7608" i="15"/>
  <c r="K7609" i="15"/>
  <c r="K7610" i="15"/>
  <c r="K7611" i="15"/>
  <c r="K7612" i="15"/>
  <c r="K7613" i="15"/>
  <c r="K7614" i="15"/>
  <c r="K7615" i="15"/>
  <c r="K7616" i="15"/>
  <c r="K7617" i="15"/>
  <c r="K7618" i="15"/>
  <c r="K7619" i="15"/>
  <c r="K7620" i="15"/>
  <c r="K7621" i="15"/>
  <c r="K7622" i="15"/>
  <c r="K7623" i="15"/>
  <c r="K7624" i="15"/>
  <c r="K7625" i="15"/>
  <c r="K7626" i="15"/>
  <c r="K7627" i="15"/>
  <c r="K7628" i="15"/>
  <c r="K7629" i="15"/>
  <c r="K7630" i="15"/>
  <c r="K7631" i="15"/>
  <c r="K7632" i="15"/>
  <c r="K7633" i="15"/>
  <c r="K7634" i="15"/>
  <c r="K7635" i="15"/>
  <c r="K7636" i="15"/>
  <c r="K7637" i="15"/>
  <c r="K7638" i="15"/>
  <c r="K7639" i="15"/>
  <c r="K7640" i="15"/>
  <c r="K7641" i="15"/>
  <c r="K7642" i="15"/>
  <c r="K7643" i="15"/>
  <c r="K7644" i="15"/>
  <c r="K7645" i="15"/>
  <c r="K7646" i="15"/>
  <c r="K7647" i="15"/>
  <c r="K7648" i="15"/>
  <c r="K7649" i="15"/>
  <c r="K7650" i="15"/>
  <c r="K7651" i="15"/>
  <c r="K7652" i="15"/>
  <c r="K7653" i="15"/>
  <c r="K7654" i="15"/>
  <c r="K7655" i="15"/>
  <c r="K7656" i="15"/>
  <c r="K7657" i="15"/>
  <c r="K7658" i="15"/>
  <c r="K7659" i="15"/>
  <c r="K7660" i="15"/>
  <c r="K7661" i="15"/>
  <c r="K7662" i="15"/>
  <c r="K7663" i="15"/>
  <c r="K7664" i="15"/>
  <c r="K7665" i="15"/>
  <c r="K7666" i="15"/>
  <c r="K7667" i="15"/>
  <c r="K7668" i="15"/>
  <c r="K7669" i="15"/>
  <c r="K7670" i="15"/>
  <c r="K7671" i="15"/>
  <c r="K7672" i="15"/>
  <c r="K7673" i="15"/>
  <c r="K7674" i="15"/>
  <c r="K7675" i="15"/>
  <c r="K7676" i="15"/>
  <c r="K7677" i="15"/>
  <c r="K7678" i="15"/>
  <c r="K7679" i="15"/>
  <c r="K7680" i="15"/>
  <c r="K7681" i="15"/>
  <c r="K7682" i="15"/>
  <c r="K7683" i="15"/>
  <c r="K7684" i="15"/>
  <c r="K7685" i="15"/>
  <c r="K7686" i="15"/>
  <c r="K7687" i="15"/>
  <c r="K7688" i="15"/>
  <c r="K7689" i="15"/>
  <c r="K7690" i="15"/>
  <c r="K7691" i="15"/>
  <c r="K7692" i="15"/>
  <c r="K7693" i="15"/>
  <c r="K7694" i="15"/>
  <c r="K7695" i="15"/>
  <c r="K7696" i="15"/>
  <c r="K7697" i="15"/>
  <c r="K7698" i="15"/>
  <c r="K7699" i="15"/>
  <c r="K7700" i="15"/>
  <c r="K7701" i="15"/>
  <c r="K7702" i="15"/>
  <c r="K7703" i="15"/>
  <c r="K7704" i="15"/>
  <c r="K7705" i="15"/>
  <c r="K7706" i="15"/>
  <c r="K7707" i="15"/>
  <c r="K7708" i="15"/>
  <c r="K7709" i="15"/>
  <c r="K7710" i="15"/>
  <c r="K7711" i="15"/>
  <c r="K7712" i="15"/>
  <c r="K7713" i="15"/>
  <c r="K7714" i="15"/>
  <c r="K7715" i="15"/>
  <c r="K7716" i="15"/>
  <c r="K7717" i="15"/>
  <c r="K7718" i="15"/>
  <c r="K7719" i="15"/>
  <c r="K7720" i="15"/>
  <c r="K7721" i="15"/>
  <c r="K7722" i="15"/>
  <c r="K7723" i="15"/>
  <c r="K7724" i="15"/>
  <c r="K7725" i="15"/>
  <c r="K7726" i="15"/>
  <c r="K7727" i="15"/>
  <c r="K7728" i="15"/>
  <c r="K7729" i="15"/>
  <c r="K7730" i="15"/>
  <c r="K7731" i="15"/>
  <c r="K7732" i="15"/>
  <c r="K7733" i="15"/>
  <c r="K7734" i="15"/>
  <c r="K7735" i="15"/>
  <c r="K7736" i="15"/>
  <c r="K7737" i="15"/>
  <c r="K7738" i="15"/>
  <c r="K7739" i="15"/>
  <c r="K7740" i="15"/>
  <c r="K7741" i="15"/>
  <c r="K7742" i="15"/>
  <c r="K7743" i="15"/>
  <c r="K7744" i="15"/>
  <c r="K7745" i="15"/>
  <c r="K7746" i="15"/>
  <c r="K7747" i="15"/>
  <c r="K7748" i="15"/>
  <c r="K7749" i="15"/>
  <c r="K7750" i="15"/>
  <c r="K7751" i="15"/>
  <c r="K7752" i="15"/>
  <c r="K7753" i="15"/>
  <c r="K7754" i="15"/>
  <c r="K7755" i="15"/>
  <c r="K7756" i="15"/>
  <c r="K7757" i="15"/>
  <c r="K7758" i="15"/>
  <c r="K7759" i="15"/>
  <c r="K7760" i="15"/>
  <c r="K7761" i="15"/>
  <c r="K7762" i="15"/>
  <c r="K7763" i="15"/>
  <c r="K7764" i="15"/>
  <c r="K7765" i="15"/>
  <c r="K7766" i="15"/>
  <c r="K7767" i="15"/>
  <c r="K7768" i="15"/>
  <c r="K7769" i="15"/>
  <c r="K7770" i="15"/>
  <c r="K7771" i="15"/>
  <c r="K7772" i="15"/>
  <c r="K7773" i="15"/>
  <c r="K7774" i="15"/>
  <c r="K7775" i="15"/>
  <c r="K7776" i="15"/>
  <c r="K7777" i="15"/>
  <c r="K7778" i="15"/>
  <c r="K7779" i="15"/>
  <c r="K7780" i="15"/>
  <c r="K7781" i="15"/>
  <c r="K7782" i="15"/>
  <c r="K7783" i="15"/>
  <c r="K7784" i="15"/>
  <c r="K7785" i="15"/>
  <c r="K7786" i="15"/>
  <c r="K7787" i="15"/>
  <c r="K7788" i="15"/>
  <c r="K7789" i="15"/>
  <c r="K7790" i="15"/>
  <c r="K7791" i="15"/>
  <c r="K7792" i="15"/>
  <c r="K7793" i="15"/>
  <c r="K7794" i="15"/>
  <c r="K7795" i="15"/>
  <c r="K7796" i="15"/>
  <c r="K7797" i="15"/>
  <c r="K7798" i="15"/>
  <c r="K7799" i="15"/>
  <c r="K7800" i="15"/>
  <c r="K7801" i="15"/>
  <c r="K7802" i="15"/>
  <c r="K7803" i="15"/>
  <c r="K7804" i="15"/>
  <c r="K7805" i="15"/>
  <c r="K7806" i="15"/>
  <c r="K7807" i="15"/>
  <c r="K7808" i="15"/>
  <c r="K7809" i="15"/>
  <c r="K7810" i="15"/>
  <c r="K7811" i="15"/>
  <c r="K7812" i="15"/>
  <c r="K7813" i="15"/>
  <c r="K7814" i="15"/>
  <c r="K7815" i="15"/>
  <c r="K7816" i="15"/>
  <c r="K7817" i="15"/>
  <c r="K7818" i="15"/>
  <c r="K7819" i="15"/>
  <c r="K7820" i="15"/>
  <c r="K7821" i="15"/>
  <c r="K7822" i="15"/>
  <c r="K7823" i="15"/>
  <c r="K7824" i="15"/>
  <c r="K7825" i="15"/>
  <c r="K7826" i="15"/>
  <c r="K7827" i="15"/>
  <c r="K7828" i="15"/>
  <c r="K7829" i="15"/>
  <c r="K7830" i="15"/>
  <c r="K7831" i="15"/>
  <c r="K7832" i="15"/>
  <c r="K7833" i="15"/>
  <c r="K7834" i="15"/>
  <c r="K7835" i="15"/>
  <c r="K7836" i="15"/>
  <c r="K7837" i="15"/>
  <c r="K7838" i="15"/>
  <c r="K7839" i="15"/>
  <c r="K7840" i="15"/>
  <c r="K7841" i="15"/>
  <c r="K7842" i="15"/>
  <c r="K7843" i="15"/>
  <c r="K7844" i="15"/>
  <c r="K7845" i="15"/>
  <c r="K7846" i="15"/>
  <c r="K7847" i="15"/>
  <c r="K7848" i="15"/>
  <c r="K7849" i="15"/>
  <c r="K7850" i="15"/>
  <c r="K7851" i="15"/>
  <c r="K7852" i="15"/>
  <c r="K7853" i="15"/>
  <c r="K7854" i="15"/>
  <c r="K7855" i="15"/>
  <c r="K7856" i="15"/>
  <c r="K7857" i="15"/>
  <c r="K7858" i="15"/>
  <c r="K7859" i="15"/>
  <c r="K7860" i="15"/>
  <c r="K7861" i="15"/>
  <c r="K7862" i="15"/>
  <c r="K7863" i="15"/>
  <c r="K7864" i="15"/>
  <c r="K7865" i="15"/>
  <c r="K7866" i="15"/>
  <c r="K7867" i="15"/>
  <c r="K7868" i="15"/>
  <c r="K7869" i="15"/>
  <c r="K7870" i="15"/>
  <c r="K7871" i="15"/>
  <c r="K7872" i="15"/>
  <c r="K7873" i="15"/>
  <c r="K7874" i="15"/>
  <c r="K7875" i="15"/>
  <c r="K7876" i="15"/>
  <c r="K7877" i="15"/>
  <c r="K7878" i="15"/>
  <c r="K7879" i="15"/>
  <c r="K7880" i="15"/>
  <c r="K7881" i="15"/>
  <c r="K7882" i="15"/>
  <c r="K7883" i="15"/>
  <c r="K7884" i="15"/>
  <c r="K7885" i="15"/>
  <c r="K7886" i="15"/>
  <c r="K7887" i="15"/>
  <c r="K7888" i="15"/>
  <c r="K7889" i="15"/>
  <c r="K7890" i="15"/>
  <c r="K7891" i="15"/>
  <c r="K7892" i="15"/>
  <c r="K7893" i="15"/>
  <c r="K7894" i="15"/>
  <c r="K7895" i="15"/>
  <c r="K7896" i="15"/>
  <c r="K7897" i="15"/>
  <c r="K7898" i="15"/>
  <c r="K7899" i="15"/>
  <c r="K7900" i="15"/>
  <c r="K7901" i="15"/>
  <c r="K7902" i="15"/>
  <c r="K7903" i="15"/>
  <c r="K7904" i="15"/>
  <c r="K7905" i="15"/>
  <c r="K7906" i="15"/>
  <c r="K7907" i="15"/>
  <c r="K7908" i="15"/>
  <c r="K7909" i="15"/>
  <c r="K7910" i="15"/>
  <c r="K7911" i="15"/>
  <c r="K7912" i="15"/>
  <c r="K7913" i="15"/>
  <c r="K7914" i="15"/>
  <c r="K7915" i="15"/>
  <c r="K7916" i="15"/>
  <c r="K7917" i="15"/>
  <c r="K7918" i="15"/>
  <c r="K7919" i="15"/>
  <c r="K7920" i="15"/>
  <c r="K7921" i="15"/>
  <c r="K7922" i="15"/>
  <c r="K7923" i="15"/>
  <c r="K7924" i="15"/>
  <c r="K7925" i="15"/>
  <c r="K7926" i="15"/>
  <c r="K7927" i="15"/>
  <c r="K7928" i="15"/>
  <c r="K7929" i="15"/>
  <c r="K7930" i="15"/>
  <c r="K7931" i="15"/>
  <c r="K7932" i="15"/>
  <c r="K7933" i="15"/>
  <c r="K7934" i="15"/>
  <c r="K7935" i="15"/>
  <c r="K7936" i="15"/>
  <c r="K7937" i="15"/>
  <c r="K7938" i="15"/>
  <c r="K7939" i="15"/>
  <c r="K7940" i="15"/>
  <c r="K7941" i="15"/>
  <c r="K7942" i="15"/>
  <c r="K7943" i="15"/>
  <c r="K7944" i="15"/>
  <c r="K7945" i="15"/>
  <c r="K7946" i="15"/>
  <c r="K7947" i="15"/>
  <c r="K7948" i="15"/>
  <c r="K7949" i="15"/>
  <c r="K7950" i="15"/>
  <c r="K7951" i="15"/>
  <c r="K7952" i="15"/>
  <c r="K7953" i="15"/>
  <c r="K7954" i="15"/>
  <c r="K7955" i="15"/>
  <c r="K7956" i="15"/>
  <c r="K7957" i="15"/>
  <c r="K7958" i="15"/>
  <c r="K7959" i="15"/>
  <c r="K7960" i="15"/>
  <c r="K7961" i="15"/>
  <c r="K7962" i="15"/>
  <c r="K7963" i="15"/>
  <c r="K7964" i="15"/>
  <c r="K7965" i="15"/>
  <c r="K7966" i="15"/>
  <c r="K7967" i="15"/>
  <c r="K7968" i="15"/>
  <c r="K7969" i="15"/>
  <c r="K7970" i="15"/>
  <c r="K7971" i="15"/>
  <c r="K7972" i="15"/>
  <c r="K7973" i="15"/>
  <c r="K7974" i="15"/>
  <c r="K7975" i="15"/>
  <c r="K7976" i="15"/>
  <c r="K7977" i="15"/>
  <c r="K7978" i="15"/>
  <c r="K7979" i="15"/>
  <c r="K7980" i="15"/>
  <c r="K7981" i="15"/>
  <c r="K7982" i="15"/>
  <c r="K7983" i="15"/>
  <c r="K7984" i="15"/>
  <c r="K7985" i="15"/>
  <c r="K7986" i="15"/>
  <c r="K7987" i="15"/>
  <c r="K7988" i="15"/>
  <c r="K7989" i="15"/>
  <c r="K7990" i="15"/>
  <c r="K7991" i="15"/>
  <c r="K7992" i="15"/>
  <c r="K7993" i="15"/>
  <c r="K7994" i="15"/>
  <c r="K7995" i="15"/>
  <c r="K7996" i="15"/>
  <c r="K7997" i="15"/>
  <c r="K7998" i="15"/>
  <c r="K7999" i="15"/>
  <c r="K8000" i="15"/>
  <c r="I1136" i="16"/>
  <c r="I323" i="16"/>
  <c r="I4450" i="16"/>
  <c r="I3875" i="16"/>
  <c r="I4353" i="16"/>
  <c r="I1101" i="16"/>
  <c r="I1102" i="16"/>
  <c r="I3221" i="16"/>
  <c r="I3044" i="16"/>
  <c r="I2987" i="16"/>
  <c r="I3224" i="16"/>
  <c r="I3714" i="16"/>
  <c r="I3803" i="16"/>
  <c r="I4846" i="16"/>
  <c r="I2730" i="16"/>
  <c r="I3483" i="16"/>
  <c r="I2756" i="16"/>
  <c r="I3139" i="16"/>
  <c r="I4468" i="16"/>
  <c r="I2748" i="16"/>
  <c r="I3131" i="16"/>
  <c r="I3127" i="16"/>
  <c r="I4477" i="16"/>
  <c r="I4479" i="16"/>
  <c r="I2856" i="16"/>
  <c r="I2405" i="16"/>
  <c r="I2858" i="16"/>
  <c r="I4150" i="16"/>
  <c r="I4573" i="16"/>
  <c r="I4575" i="16"/>
  <c r="I4893" i="16"/>
  <c r="I3509" i="16"/>
  <c r="I3499" i="16"/>
  <c r="I4246" i="16"/>
  <c r="I3651" i="16"/>
  <c r="I2625" i="16"/>
  <c r="I3199" i="16"/>
  <c r="I3316" i="16"/>
  <c r="I3393" i="16"/>
  <c r="I3448" i="16"/>
  <c r="I3360" i="16"/>
  <c r="I3234" i="16"/>
  <c r="I3241" i="16"/>
  <c r="I4337" i="16"/>
  <c r="I3806" i="16"/>
  <c r="I4363" i="16"/>
  <c r="I3815" i="16"/>
  <c r="I3825" i="16"/>
  <c r="I3951" i="16"/>
  <c r="I3369" i="16"/>
  <c r="I3351" i="16"/>
  <c r="I3336" i="16"/>
  <c r="I3280" i="16"/>
  <c r="I3655" i="16"/>
  <c r="I3929" i="16"/>
  <c r="I3726" i="16"/>
  <c r="I3262" i="16"/>
  <c r="I2590" i="16"/>
  <c r="I3905" i="16"/>
  <c r="I4407" i="16"/>
  <c r="I4410" i="16"/>
  <c r="I3945" i="16"/>
  <c r="I2310" i="16"/>
  <c r="I4379" i="16"/>
  <c r="I4383" i="16"/>
  <c r="I3639" i="16"/>
  <c r="I3546" i="16"/>
  <c r="I3522" i="16"/>
  <c r="I3264" i="16"/>
  <c r="I4377" i="16"/>
  <c r="I3680" i="16"/>
  <c r="I3959" i="16"/>
  <c r="I3867" i="16"/>
  <c r="I4234" i="16"/>
  <c r="I3799" i="16"/>
  <c r="I3969" i="16"/>
  <c r="I4934" i="16"/>
  <c r="I3356" i="16"/>
  <c r="I4912" i="16"/>
  <c r="I4929" i="16"/>
  <c r="I4922" i="16"/>
  <c r="I3246" i="16"/>
  <c r="I2611" i="16"/>
  <c r="I2933" i="16"/>
  <c r="I4897" i="16"/>
  <c r="I4032" i="16"/>
  <c r="I4225" i="16"/>
  <c r="I4347" i="16"/>
  <c r="I3023" i="16"/>
  <c r="I4688" i="16"/>
  <c r="I2623" i="16"/>
  <c r="I3529" i="16"/>
  <c r="I3226" i="16"/>
  <c r="I2347" i="16"/>
  <c r="I3531" i="16"/>
  <c r="I4072" i="16"/>
  <c r="I4498" i="16"/>
  <c r="I3869" i="16"/>
  <c r="I3433" i="16"/>
  <c r="I4432" i="16"/>
  <c r="I3919" i="16"/>
  <c r="I3294" i="16"/>
  <c r="I4545" i="16"/>
  <c r="I3420" i="16"/>
  <c r="I3883" i="16"/>
  <c r="I3409" i="16"/>
  <c r="I3457" i="16"/>
  <c r="I2984" i="16"/>
  <c r="I4351" i="16"/>
  <c r="I3879" i="16"/>
  <c r="I3035" i="16"/>
  <c r="I4291" i="16"/>
  <c r="I3275" i="16"/>
  <c r="I4264" i="16"/>
  <c r="I3751" i="16"/>
  <c r="I3722" i="16"/>
  <c r="I3496" i="16"/>
  <c r="I3917" i="16"/>
  <c r="I3857" i="16"/>
  <c r="I4228" i="16"/>
  <c r="I3291" i="16"/>
  <c r="I3659" i="16"/>
  <c r="I2926" i="16"/>
  <c r="I3973" i="16"/>
  <c r="I2895" i="16"/>
  <c r="I4127" i="16"/>
  <c r="I3544" i="16"/>
  <c r="I4526" i="16"/>
  <c r="I3674" i="16"/>
  <c r="I2668" i="16"/>
  <c r="I2559" i="16"/>
  <c r="I4004" i="16"/>
  <c r="I4696" i="16"/>
  <c r="I4694" i="16"/>
  <c r="I2645" i="16"/>
  <c r="I2647" i="16"/>
  <c r="I3160" i="16"/>
  <c r="I4298" i="16"/>
  <c r="I4313" i="16"/>
  <c r="I4317" i="16"/>
  <c r="I4320" i="16"/>
  <c r="I2807" i="16"/>
  <c r="I3570" i="16"/>
  <c r="I3566" i="16"/>
  <c r="I3701" i="16"/>
  <c r="I3889" i="16"/>
  <c r="I3949" i="16"/>
  <c r="I4007" i="16"/>
  <c r="I3465" i="16"/>
  <c r="I3670" i="16"/>
  <c r="I3007" i="16"/>
  <c r="I3647" i="16"/>
  <c r="I3063" i="16"/>
  <c r="I3787" i="16"/>
  <c r="I3796" i="16"/>
  <c r="I3765" i="16"/>
  <c r="I3763" i="16"/>
  <c r="I4310" i="16"/>
  <c r="I4390" i="16"/>
  <c r="I4394" i="16"/>
  <c r="I4559" i="16"/>
  <c r="I4494" i="16"/>
  <c r="I3122" i="16"/>
  <c r="I4510" i="16"/>
  <c r="I4719" i="16"/>
  <c r="I4747" i="16"/>
  <c r="I4768" i="16"/>
  <c r="I4874" i="16"/>
  <c r="I4849" i="16"/>
  <c r="I4851" i="16"/>
  <c r="I4861" i="16"/>
  <c r="I4869" i="16"/>
  <c r="I3485" i="16"/>
  <c r="I2355" i="16"/>
  <c r="I2364" i="16"/>
  <c r="I2781" i="16"/>
  <c r="I4181" i="16"/>
  <c r="I4183" i="16"/>
  <c r="I4820" i="16"/>
  <c r="I4798" i="16"/>
  <c r="I4078" i="16"/>
  <c r="I4036" i="16"/>
  <c r="I2678" i="16"/>
  <c r="I2824" i="16"/>
  <c r="I4815" i="16"/>
  <c r="I2910" i="16"/>
  <c r="I3014" i="16"/>
  <c r="I3296" i="16"/>
  <c r="I3572" i="16"/>
  <c r="I3590" i="16"/>
  <c r="I2642" i="16"/>
  <c r="I4153" i="16"/>
  <c r="I2853" i="16"/>
  <c r="I2707" i="16"/>
  <c r="I2468" i="16"/>
  <c r="I2429" i="16"/>
  <c r="I2714" i="16"/>
  <c r="I4142" i="16"/>
  <c r="I2395" i="16"/>
  <c r="I2488" i="16"/>
  <c r="I4204" i="16"/>
  <c r="I3749" i="16"/>
  <c r="I2475" i="16"/>
  <c r="I4200" i="16"/>
  <c r="I4062" i="16"/>
  <c r="I3144" i="16"/>
  <c r="I3148" i="16"/>
  <c r="I3325" i="16"/>
  <c r="I4945" i="16"/>
  <c r="I3105" i="16"/>
  <c r="I3450" i="16"/>
  <c r="L7349" i="15"/>
  <c r="L6118" i="15"/>
  <c r="L7" i="15"/>
  <c r="L8" i="15"/>
  <c r="L9" i="15"/>
  <c r="L10" i="15"/>
  <c r="L11" i="15"/>
  <c r="L12" i="15"/>
  <c r="L13" i="15"/>
  <c r="L14" i="15"/>
  <c r="L15" i="15"/>
  <c r="L16" i="15"/>
  <c r="L17" i="15"/>
  <c r="L18" i="15"/>
  <c r="L19" i="15"/>
  <c r="L20" i="15"/>
  <c r="L21" i="15"/>
  <c r="L22" i="15"/>
  <c r="L23" i="15"/>
  <c r="L24" i="15"/>
  <c r="L25" i="15"/>
  <c r="L26" i="15"/>
  <c r="L27" i="15"/>
  <c r="L28" i="15"/>
  <c r="L29" i="15"/>
  <c r="L30" i="15"/>
  <c r="L31" i="15"/>
  <c r="L32" i="15"/>
  <c r="L33" i="15"/>
  <c r="L34" i="15"/>
  <c r="L35" i="15"/>
  <c r="L36" i="15"/>
  <c r="L37" i="15"/>
  <c r="L38" i="15"/>
  <c r="L40" i="15"/>
  <c r="L41" i="15"/>
  <c r="L42" i="15"/>
  <c r="L43" i="15"/>
  <c r="L44" i="15"/>
  <c r="L45" i="15"/>
  <c r="L46" i="15"/>
  <c r="L47" i="15"/>
  <c r="L48" i="15"/>
  <c r="L49" i="15"/>
  <c r="L50" i="15"/>
  <c r="L51" i="15"/>
  <c r="L52" i="15"/>
  <c r="L53" i="15"/>
  <c r="L54" i="15"/>
  <c r="L55" i="15"/>
  <c r="L56" i="15"/>
  <c r="L57" i="15"/>
  <c r="L58" i="15"/>
  <c r="L59" i="15"/>
  <c r="L60" i="15"/>
  <c r="L61" i="15"/>
  <c r="L62" i="15"/>
  <c r="L63" i="15"/>
  <c r="L64" i="15"/>
  <c r="L65" i="15"/>
  <c r="L66" i="15"/>
  <c r="L67" i="15"/>
  <c r="L68" i="15"/>
  <c r="L69" i="15"/>
  <c r="L70" i="15"/>
  <c r="L71" i="15"/>
  <c r="L72" i="15"/>
  <c r="L73" i="15"/>
  <c r="L74" i="15"/>
  <c r="L75" i="15"/>
  <c r="L76" i="15"/>
  <c r="L77" i="15"/>
  <c r="L78" i="15"/>
  <c r="L79" i="15"/>
  <c r="L80" i="15"/>
  <c r="L81" i="15"/>
  <c r="L82" i="15"/>
  <c r="L83" i="15"/>
  <c r="L84" i="15"/>
  <c r="L85" i="15"/>
  <c r="L86" i="15"/>
  <c r="L87" i="15"/>
  <c r="L88" i="15"/>
  <c r="L89" i="15"/>
  <c r="L90" i="15"/>
  <c r="L91" i="15"/>
  <c r="L92" i="15"/>
  <c r="L93" i="15"/>
  <c r="L94" i="15"/>
  <c r="L95" i="15"/>
  <c r="L96" i="15"/>
  <c r="L97" i="15"/>
  <c r="L98" i="15"/>
  <c r="L99" i="15"/>
  <c r="L100" i="15"/>
  <c r="L101" i="15"/>
  <c r="L102" i="15"/>
  <c r="L103" i="15"/>
  <c r="L104" i="15"/>
  <c r="L105" i="15"/>
  <c r="L106" i="15"/>
  <c r="L107" i="15"/>
  <c r="L108" i="15"/>
  <c r="L109" i="15"/>
  <c r="L110" i="15"/>
  <c r="L111" i="15"/>
  <c r="L112" i="15"/>
  <c r="L113" i="15"/>
  <c r="L114" i="15"/>
  <c r="L115" i="15"/>
  <c r="L116" i="15"/>
  <c r="L117" i="15"/>
  <c r="L118" i="15"/>
  <c r="L119" i="15"/>
  <c r="L120" i="15"/>
  <c r="L121" i="15"/>
  <c r="L122" i="15"/>
  <c r="L123" i="15"/>
  <c r="L124" i="15"/>
  <c r="L125" i="15"/>
  <c r="L126" i="15"/>
  <c r="L127" i="15"/>
  <c r="L128" i="15"/>
  <c r="L129" i="15"/>
  <c r="L130" i="15"/>
  <c r="L131" i="15"/>
  <c r="L132" i="15"/>
  <c r="L133" i="15"/>
  <c r="L134" i="15"/>
  <c r="L135" i="15"/>
  <c r="L136" i="15"/>
  <c r="L137" i="15"/>
  <c r="L138" i="15"/>
  <c r="L139" i="15"/>
  <c r="L140" i="15"/>
  <c r="L141" i="15"/>
  <c r="L142" i="15"/>
  <c r="L143" i="15"/>
  <c r="L144" i="15"/>
  <c r="L145" i="15"/>
  <c r="L146" i="15"/>
  <c r="L147" i="15"/>
  <c r="L148" i="15"/>
  <c r="L149" i="15"/>
  <c r="L150" i="15"/>
  <c r="L151" i="15"/>
  <c r="L152" i="15"/>
  <c r="L153" i="15"/>
  <c r="L154" i="15"/>
  <c r="L155" i="15"/>
  <c r="L156" i="15"/>
  <c r="L157" i="15"/>
  <c r="L158" i="15"/>
  <c r="L159" i="15"/>
  <c r="L160" i="15"/>
  <c r="L161" i="15"/>
  <c r="L162" i="15"/>
  <c r="L163" i="15"/>
  <c r="L164" i="15"/>
  <c r="L165" i="15"/>
  <c r="L166" i="15"/>
  <c r="L167" i="15"/>
  <c r="L168" i="15"/>
  <c r="L169" i="15"/>
  <c r="L170" i="15"/>
  <c r="L171" i="15"/>
  <c r="L172" i="15"/>
  <c r="L173" i="15"/>
  <c r="L174" i="15"/>
  <c r="L175" i="15"/>
  <c r="L176" i="15"/>
  <c r="L177" i="15"/>
  <c r="L178" i="15"/>
  <c r="L179" i="15"/>
  <c r="L180" i="15"/>
  <c r="L181" i="15"/>
  <c r="L182" i="15"/>
  <c r="L183" i="15"/>
  <c r="L184" i="15"/>
  <c r="L185" i="15"/>
  <c r="L186" i="15"/>
  <c r="L187" i="15"/>
  <c r="L188" i="15"/>
  <c r="L189" i="15"/>
  <c r="L190" i="15"/>
  <c r="L191" i="15"/>
  <c r="L192" i="15"/>
  <c r="L193" i="15"/>
  <c r="L194" i="15"/>
  <c r="L195" i="15"/>
  <c r="L196" i="15"/>
  <c r="L197" i="15"/>
  <c r="L198" i="15"/>
  <c r="L199" i="15"/>
  <c r="L200" i="15"/>
  <c r="L201" i="15"/>
  <c r="L202" i="15"/>
  <c r="L203" i="15"/>
  <c r="L204" i="15"/>
  <c r="L205" i="15"/>
  <c r="L206" i="15"/>
  <c r="L207" i="15"/>
  <c r="L208" i="15"/>
  <c r="L209" i="15"/>
  <c r="L210" i="15"/>
  <c r="L211" i="15"/>
  <c r="L212" i="15"/>
  <c r="L213" i="15"/>
  <c r="L214" i="15"/>
  <c r="L215" i="15"/>
  <c r="L216" i="15"/>
  <c r="L217" i="15"/>
  <c r="L218" i="15"/>
  <c r="L219" i="15"/>
  <c r="L220" i="15"/>
  <c r="L221" i="15"/>
  <c r="L222" i="15"/>
  <c r="L223" i="15"/>
  <c r="L224" i="15"/>
  <c r="L225" i="15"/>
  <c r="L226" i="15"/>
  <c r="L227" i="15"/>
  <c r="L228" i="15"/>
  <c r="L229" i="15"/>
  <c r="L230" i="15"/>
  <c r="L231" i="15"/>
  <c r="L232" i="15"/>
  <c r="L233" i="15"/>
  <c r="L234" i="15"/>
  <c r="L235" i="15"/>
  <c r="L236" i="15"/>
  <c r="L237" i="15"/>
  <c r="L238" i="15"/>
  <c r="L239" i="15"/>
  <c r="L240" i="15"/>
  <c r="L241" i="15"/>
  <c r="L242" i="15"/>
  <c r="L243" i="15"/>
  <c r="L244" i="15"/>
  <c r="L245" i="15"/>
  <c r="L246" i="15"/>
  <c r="L247" i="15"/>
  <c r="L248" i="15"/>
  <c r="L249" i="15"/>
  <c r="L250" i="15"/>
  <c r="L251" i="15"/>
  <c r="L252" i="15"/>
  <c r="L253" i="15"/>
  <c r="L254" i="15"/>
  <c r="L255" i="15"/>
  <c r="L256" i="15"/>
  <c r="L257" i="15"/>
  <c r="L258" i="15"/>
  <c r="L259" i="15"/>
  <c r="L260" i="15"/>
  <c r="L261" i="15"/>
  <c r="L262" i="15"/>
  <c r="L263" i="15"/>
  <c r="L264" i="15"/>
  <c r="L265" i="15"/>
  <c r="L266" i="15"/>
  <c r="L267" i="15"/>
  <c r="L268" i="15"/>
  <c r="L269" i="15"/>
  <c r="L270" i="15"/>
  <c r="L271" i="15"/>
  <c r="L272" i="15"/>
  <c r="L273" i="15"/>
  <c r="L274" i="15"/>
  <c r="L275" i="15"/>
  <c r="L276" i="15"/>
  <c r="L277" i="15"/>
  <c r="L278" i="15"/>
  <c r="L279" i="15"/>
  <c r="L280" i="15"/>
  <c r="L281" i="15"/>
  <c r="L282" i="15"/>
  <c r="L283" i="15"/>
  <c r="L284" i="15"/>
  <c r="L285" i="15"/>
  <c r="L286" i="15"/>
  <c r="L287" i="15"/>
  <c r="L288" i="15"/>
  <c r="L289" i="15"/>
  <c r="L290" i="15"/>
  <c r="L291" i="15"/>
  <c r="L292" i="15"/>
  <c r="L293" i="15"/>
  <c r="L294" i="15"/>
  <c r="L295" i="15"/>
  <c r="L296" i="15"/>
  <c r="L297" i="15"/>
  <c r="L298" i="15"/>
  <c r="L299" i="15"/>
  <c r="L300" i="15"/>
  <c r="L301" i="15"/>
  <c r="L302" i="15"/>
  <c r="L303" i="15"/>
  <c r="L304" i="15"/>
  <c r="L305" i="15"/>
  <c r="L306" i="15"/>
  <c r="L307" i="15"/>
  <c r="L308" i="15"/>
  <c r="L309" i="15"/>
  <c r="L310" i="15"/>
  <c r="L311" i="15"/>
  <c r="L312" i="15"/>
  <c r="L313" i="15"/>
  <c r="L314" i="15"/>
  <c r="L315" i="15"/>
  <c r="L316" i="15"/>
  <c r="L317" i="15"/>
  <c r="L318" i="15"/>
  <c r="L319" i="15"/>
  <c r="L320" i="15"/>
  <c r="L321" i="15"/>
  <c r="L322" i="15"/>
  <c r="L323" i="15"/>
  <c r="L324" i="15"/>
  <c r="L325" i="15"/>
  <c r="L326" i="15"/>
  <c r="L327" i="15"/>
  <c r="L328" i="15"/>
  <c r="L329" i="15"/>
  <c r="L330" i="15"/>
  <c r="L331" i="15"/>
  <c r="L332" i="15"/>
  <c r="L333" i="15"/>
  <c r="L334" i="15"/>
  <c r="L335" i="15"/>
  <c r="L336" i="15"/>
  <c r="L337" i="15"/>
  <c r="L338" i="15"/>
  <c r="L339" i="15"/>
  <c r="L340" i="15"/>
  <c r="L341" i="15"/>
  <c r="L342" i="15"/>
  <c r="L343" i="15"/>
  <c r="L344" i="15"/>
  <c r="L345" i="15"/>
  <c r="L346" i="15"/>
  <c r="L347" i="15"/>
  <c r="L348" i="15"/>
  <c r="L349" i="15"/>
  <c r="L350" i="15"/>
  <c r="L351" i="15"/>
  <c r="L352" i="15"/>
  <c r="L353" i="15"/>
  <c r="L354" i="15"/>
  <c r="L355" i="15"/>
  <c r="L356" i="15"/>
  <c r="L357" i="15"/>
  <c r="L358" i="15"/>
  <c r="L359" i="15"/>
  <c r="L360" i="15"/>
  <c r="L361" i="15"/>
  <c r="L362" i="15"/>
  <c r="L363" i="15"/>
  <c r="L364" i="15"/>
  <c r="L365" i="15"/>
  <c r="L366" i="15"/>
  <c r="L367" i="15"/>
  <c r="L368" i="15"/>
  <c r="L370" i="15"/>
  <c r="L371" i="15"/>
  <c r="L372" i="15"/>
  <c r="L373" i="15"/>
  <c r="L374" i="15"/>
  <c r="L375" i="15"/>
  <c r="L376" i="15"/>
  <c r="L377" i="15"/>
  <c r="L378" i="15"/>
  <c r="L379" i="15"/>
  <c r="L380" i="15"/>
  <c r="L381" i="15"/>
  <c r="L382" i="15"/>
  <c r="L383" i="15"/>
  <c r="L384" i="15"/>
  <c r="L385" i="15"/>
  <c r="L386" i="15"/>
  <c r="L387" i="15"/>
  <c r="L388" i="15"/>
  <c r="L389" i="15"/>
  <c r="L390" i="15"/>
  <c r="L391" i="15"/>
  <c r="L392" i="15"/>
  <c r="L393" i="15"/>
  <c r="L394" i="15"/>
  <c r="L395" i="15"/>
  <c r="L396" i="15"/>
  <c r="L397" i="15"/>
  <c r="L398" i="15"/>
  <c r="L399" i="15"/>
  <c r="L400" i="15"/>
  <c r="L401" i="15"/>
  <c r="L402" i="15"/>
  <c r="L403" i="15"/>
  <c r="L404" i="15"/>
  <c r="L405" i="15"/>
  <c r="L406" i="15"/>
  <c r="L407" i="15"/>
  <c r="L408" i="15"/>
  <c r="L409" i="15"/>
  <c r="L410" i="15"/>
  <c r="L411" i="15"/>
  <c r="L412" i="15"/>
  <c r="L413" i="15"/>
  <c r="L414" i="15"/>
  <c r="L415" i="15"/>
  <c r="L416" i="15"/>
  <c r="L417" i="15"/>
  <c r="L418" i="15"/>
  <c r="L419" i="15"/>
  <c r="L420" i="15"/>
  <c r="L421" i="15"/>
  <c r="L422" i="15"/>
  <c r="L423" i="15"/>
  <c r="L424" i="15"/>
  <c r="L425" i="15"/>
  <c r="L426" i="15"/>
  <c r="L427" i="15"/>
  <c r="L428" i="15"/>
  <c r="L429" i="15"/>
  <c r="L430" i="15"/>
  <c r="L431" i="15"/>
  <c r="L432" i="15"/>
  <c r="L433" i="15"/>
  <c r="L434" i="15"/>
  <c r="L435" i="15"/>
  <c r="L436" i="15"/>
  <c r="L437" i="15"/>
  <c r="L438" i="15"/>
  <c r="L439" i="15"/>
  <c r="L440" i="15"/>
  <c r="L441" i="15"/>
  <c r="L442" i="15"/>
  <c r="L443" i="15"/>
  <c r="L444" i="15"/>
  <c r="L445" i="15"/>
  <c r="L446" i="15"/>
  <c r="L447" i="15"/>
  <c r="L448" i="15"/>
  <c r="L449" i="15"/>
  <c r="L450" i="15"/>
  <c r="L451" i="15"/>
  <c r="L452" i="15"/>
  <c r="L453" i="15"/>
  <c r="L454" i="15"/>
  <c r="L455" i="15"/>
  <c r="L456" i="15"/>
  <c r="L457" i="15"/>
  <c r="L458" i="15"/>
  <c r="L459" i="15"/>
  <c r="L460" i="15"/>
  <c r="L461" i="15"/>
  <c r="L462" i="15"/>
  <c r="L463" i="15"/>
  <c r="L464" i="15"/>
  <c r="L465" i="15"/>
  <c r="L466" i="15"/>
  <c r="L467" i="15"/>
  <c r="L468" i="15"/>
  <c r="L469" i="15"/>
  <c r="L470" i="15"/>
  <c r="L471" i="15"/>
  <c r="L472" i="15"/>
  <c r="L473" i="15"/>
  <c r="L474" i="15"/>
  <c r="L475" i="15"/>
  <c r="L476" i="15"/>
  <c r="L477" i="15"/>
  <c r="L478" i="15"/>
  <c r="L479" i="15"/>
  <c r="L480" i="15"/>
  <c r="L481" i="15"/>
  <c r="L482" i="15"/>
  <c r="L483" i="15"/>
  <c r="L484" i="15"/>
  <c r="L485" i="15"/>
  <c r="L486" i="15"/>
  <c r="L487" i="15"/>
  <c r="L488" i="15"/>
  <c r="L489" i="15"/>
  <c r="L490" i="15"/>
  <c r="L491" i="15"/>
  <c r="L492" i="15"/>
  <c r="L493" i="15"/>
  <c r="L494" i="15"/>
  <c r="L495" i="15"/>
  <c r="L496" i="15"/>
  <c r="L497" i="15"/>
  <c r="L498" i="15"/>
  <c r="L499" i="15"/>
  <c r="L500" i="15"/>
  <c r="L501" i="15"/>
  <c r="L502" i="15"/>
  <c r="L503" i="15"/>
  <c r="L504" i="15"/>
  <c r="L505" i="15"/>
  <c r="L506" i="15"/>
  <c r="L507" i="15"/>
  <c r="L508" i="15"/>
  <c r="L509" i="15"/>
  <c r="L510" i="15"/>
  <c r="L511" i="15"/>
  <c r="L512" i="15"/>
  <c r="L513" i="15"/>
  <c r="L514" i="15"/>
  <c r="L515" i="15"/>
  <c r="L516" i="15"/>
  <c r="L517" i="15"/>
  <c r="L518" i="15"/>
  <c r="L519" i="15"/>
  <c r="L520" i="15"/>
  <c r="L521" i="15"/>
  <c r="L522" i="15"/>
  <c r="L523" i="15"/>
  <c r="L524" i="15"/>
  <c r="L525" i="15"/>
  <c r="L526" i="15"/>
  <c r="L527" i="15"/>
  <c r="L528" i="15"/>
  <c r="L529" i="15"/>
  <c r="L530" i="15"/>
  <c r="L531" i="15"/>
  <c r="L532" i="15"/>
  <c r="L533" i="15"/>
  <c r="L534" i="15"/>
  <c r="L535" i="15"/>
  <c r="L536" i="15"/>
  <c r="L537" i="15"/>
  <c r="L538" i="15"/>
  <c r="L539" i="15"/>
  <c r="L540" i="15"/>
  <c r="L541" i="15"/>
  <c r="L542" i="15"/>
  <c r="L543" i="15"/>
  <c r="L544" i="15"/>
  <c r="L545" i="15"/>
  <c r="L546" i="15"/>
  <c r="L547" i="15"/>
  <c r="L548" i="15"/>
  <c r="L549" i="15"/>
  <c r="L550" i="15"/>
  <c r="L551" i="15"/>
  <c r="L552" i="15"/>
  <c r="L553" i="15"/>
  <c r="L554" i="15"/>
  <c r="L555" i="15"/>
  <c r="L556" i="15"/>
  <c r="L557" i="15"/>
  <c r="L558" i="15"/>
  <c r="L559" i="15"/>
  <c r="L560" i="15"/>
  <c r="L561" i="15"/>
  <c r="L562" i="15"/>
  <c r="L563" i="15"/>
  <c r="L564" i="15"/>
  <c r="L565" i="15"/>
  <c r="L566" i="15"/>
  <c r="L567" i="15"/>
  <c r="L568" i="15"/>
  <c r="L569" i="15"/>
  <c r="L570" i="15"/>
  <c r="L571" i="15"/>
  <c r="L572" i="15"/>
  <c r="L573" i="15"/>
  <c r="L574" i="15"/>
  <c r="L575" i="15"/>
  <c r="L576" i="15"/>
  <c r="L577" i="15"/>
  <c r="L578" i="15"/>
  <c r="L579" i="15"/>
  <c r="L580" i="15"/>
  <c r="L581" i="15"/>
  <c r="L582" i="15"/>
  <c r="L583" i="15"/>
  <c r="L584" i="15"/>
  <c r="L585" i="15"/>
  <c r="L586" i="15"/>
  <c r="L587" i="15"/>
  <c r="L588" i="15"/>
  <c r="L589" i="15"/>
  <c r="L590" i="15"/>
  <c r="L591" i="15"/>
  <c r="L592" i="15"/>
  <c r="L593" i="15"/>
  <c r="L594" i="15"/>
  <c r="L595" i="15"/>
  <c r="L596" i="15"/>
  <c r="L597" i="15"/>
  <c r="L598" i="15"/>
  <c r="L599" i="15"/>
  <c r="L600" i="15"/>
  <c r="L601" i="15"/>
  <c r="L602" i="15"/>
  <c r="L603" i="15"/>
  <c r="L604" i="15"/>
  <c r="L605" i="15"/>
  <c r="L606" i="15"/>
  <c r="L607" i="15"/>
  <c r="L608" i="15"/>
  <c r="L609" i="15"/>
  <c r="L610" i="15"/>
  <c r="L611" i="15"/>
  <c r="L612" i="15"/>
  <c r="L613" i="15"/>
  <c r="L614" i="15"/>
  <c r="L615" i="15"/>
  <c r="L616" i="15"/>
  <c r="L617" i="15"/>
  <c r="L618" i="15"/>
  <c r="L619" i="15"/>
  <c r="L620" i="15"/>
  <c r="L621" i="15"/>
  <c r="L622" i="15"/>
  <c r="L623" i="15"/>
  <c r="L624" i="15"/>
  <c r="L625" i="15"/>
  <c r="L626" i="15"/>
  <c r="L627" i="15"/>
  <c r="L628" i="15"/>
  <c r="L629" i="15"/>
  <c r="L630" i="15"/>
  <c r="L631" i="15"/>
  <c r="L632" i="15"/>
  <c r="L633" i="15"/>
  <c r="L634" i="15"/>
  <c r="L635" i="15"/>
  <c r="L636" i="15"/>
  <c r="L637" i="15"/>
  <c r="L638" i="15"/>
  <c r="L639" i="15"/>
  <c r="L640" i="15"/>
  <c r="L641" i="15"/>
  <c r="L642" i="15"/>
  <c r="L643" i="15"/>
  <c r="L644" i="15"/>
  <c r="L645" i="15"/>
  <c r="L646" i="15"/>
  <c r="L647" i="15"/>
  <c r="L648" i="15"/>
  <c r="L649" i="15"/>
  <c r="L650" i="15"/>
  <c r="L651" i="15"/>
  <c r="L652" i="15"/>
  <c r="L653" i="15"/>
  <c r="L654" i="15"/>
  <c r="L655" i="15"/>
  <c r="L656" i="15"/>
  <c r="L657" i="15"/>
  <c r="L658" i="15"/>
  <c r="L659" i="15"/>
  <c r="L660" i="15"/>
  <c r="L661" i="15"/>
  <c r="L662" i="15"/>
  <c r="L663" i="15"/>
  <c r="L664" i="15"/>
  <c r="L665" i="15"/>
  <c r="L666" i="15"/>
  <c r="L667" i="15"/>
  <c r="L668" i="15"/>
  <c r="L669" i="15"/>
  <c r="L670" i="15"/>
  <c r="L671" i="15"/>
  <c r="L672" i="15"/>
  <c r="L673" i="15"/>
  <c r="L674" i="15"/>
  <c r="L675" i="15"/>
  <c r="L676" i="15"/>
  <c r="L677" i="15"/>
  <c r="L678" i="15"/>
  <c r="L679" i="15"/>
  <c r="L680" i="15"/>
  <c r="L681" i="15"/>
  <c r="L682" i="15"/>
  <c r="L683" i="15"/>
  <c r="L684" i="15"/>
  <c r="L685" i="15"/>
  <c r="L686" i="15"/>
  <c r="L687" i="15"/>
  <c r="L688" i="15"/>
  <c r="L689" i="15"/>
  <c r="L690" i="15"/>
  <c r="L691" i="15"/>
  <c r="L692" i="15"/>
  <c r="L693" i="15"/>
  <c r="L694" i="15"/>
  <c r="L695" i="15"/>
  <c r="L696" i="15"/>
  <c r="L697" i="15"/>
  <c r="L698" i="15"/>
  <c r="L699" i="15"/>
  <c r="L700" i="15"/>
  <c r="L701" i="15"/>
  <c r="L702" i="15"/>
  <c r="L703" i="15"/>
  <c r="L704" i="15"/>
  <c r="L705" i="15"/>
  <c r="L706" i="15"/>
  <c r="L707" i="15"/>
  <c r="L708" i="15"/>
  <c r="L709" i="15"/>
  <c r="L710" i="15"/>
  <c r="L711" i="15"/>
  <c r="L712" i="15"/>
  <c r="L713" i="15"/>
  <c r="L714" i="15"/>
  <c r="L715" i="15"/>
  <c r="L716" i="15"/>
  <c r="L717" i="15"/>
  <c r="L718" i="15"/>
  <c r="L719" i="15"/>
  <c r="L720" i="15"/>
  <c r="L721" i="15"/>
  <c r="L722" i="15"/>
  <c r="L723" i="15"/>
  <c r="L724" i="15"/>
  <c r="L725" i="15"/>
  <c r="L726" i="15"/>
  <c r="L727" i="15"/>
  <c r="L728" i="15"/>
  <c r="L729" i="15"/>
  <c r="L730" i="15"/>
  <c r="L731" i="15"/>
  <c r="L732" i="15"/>
  <c r="L733" i="15"/>
  <c r="L734" i="15"/>
  <c r="L735" i="15"/>
  <c r="L736" i="15"/>
  <c r="L737" i="15"/>
  <c r="L738" i="15"/>
  <c r="L739" i="15"/>
  <c r="L740" i="15"/>
  <c r="L741" i="15"/>
  <c r="L742" i="15"/>
  <c r="L743" i="15"/>
  <c r="L744" i="15"/>
  <c r="L745" i="15"/>
  <c r="L746" i="15"/>
  <c r="L747" i="15"/>
  <c r="L748" i="15"/>
  <c r="L749" i="15"/>
  <c r="L750" i="15"/>
  <c r="L751" i="15"/>
  <c r="L752" i="15"/>
  <c r="L753" i="15"/>
  <c r="L754" i="15"/>
  <c r="L755" i="15"/>
  <c r="L756" i="15"/>
  <c r="L757" i="15"/>
  <c r="L758" i="15"/>
  <c r="L759" i="15"/>
  <c r="L760" i="15"/>
  <c r="L761" i="15"/>
  <c r="L762" i="15"/>
  <c r="L763" i="15"/>
  <c r="L764" i="15"/>
  <c r="L765" i="15"/>
  <c r="L766" i="15"/>
  <c r="L767" i="15"/>
  <c r="L768" i="15"/>
  <c r="L769" i="15"/>
  <c r="L770" i="15"/>
  <c r="L771" i="15"/>
  <c r="L772" i="15"/>
  <c r="L773" i="15"/>
  <c r="L774" i="15"/>
  <c r="L775" i="15"/>
  <c r="L776" i="15"/>
  <c r="L777" i="15"/>
  <c r="L778" i="15"/>
  <c r="L779" i="15"/>
  <c r="L780" i="15"/>
  <c r="L781" i="15"/>
  <c r="L782" i="15"/>
  <c r="L783" i="15"/>
  <c r="L784" i="15"/>
  <c r="L785" i="15"/>
  <c r="L786" i="15"/>
  <c r="L787" i="15"/>
  <c r="L788" i="15"/>
  <c r="L789" i="15"/>
  <c r="L790" i="15"/>
  <c r="L791" i="15"/>
  <c r="L792" i="15"/>
  <c r="L793" i="15"/>
  <c r="L794" i="15"/>
  <c r="L795" i="15"/>
  <c r="L796" i="15"/>
  <c r="L797" i="15"/>
  <c r="L798" i="15"/>
  <c r="L799" i="15"/>
  <c r="L800" i="15"/>
  <c r="L801" i="15"/>
  <c r="L802" i="15"/>
  <c r="L803" i="15"/>
  <c r="L804" i="15"/>
  <c r="L805" i="15"/>
  <c r="L806" i="15"/>
  <c r="L807" i="15"/>
  <c r="L808" i="15"/>
  <c r="L809" i="15"/>
  <c r="L810" i="15"/>
  <c r="L811" i="15"/>
  <c r="L812" i="15"/>
  <c r="L813" i="15"/>
  <c r="L814" i="15"/>
  <c r="L815" i="15"/>
  <c r="L816" i="15"/>
  <c r="L817" i="15"/>
  <c r="L818" i="15"/>
  <c r="L819" i="15"/>
  <c r="L820" i="15"/>
  <c r="L821" i="15"/>
  <c r="L822" i="15"/>
  <c r="L823" i="15"/>
  <c r="L824" i="15"/>
  <c r="L825" i="15"/>
  <c r="L826" i="15"/>
  <c r="L827" i="15"/>
  <c r="L828" i="15"/>
  <c r="L829" i="15"/>
  <c r="L830" i="15"/>
  <c r="L831" i="15"/>
  <c r="L832" i="15"/>
  <c r="L833" i="15"/>
  <c r="L834" i="15"/>
  <c r="L835" i="15"/>
  <c r="L836" i="15"/>
  <c r="L837" i="15"/>
  <c r="L838" i="15"/>
  <c r="L839" i="15"/>
  <c r="L840" i="15"/>
  <c r="L841" i="15"/>
  <c r="L842" i="15"/>
  <c r="L843" i="15"/>
  <c r="L844" i="15"/>
  <c r="L845" i="15"/>
  <c r="L846" i="15"/>
  <c r="L847" i="15"/>
  <c r="L848" i="15"/>
  <c r="L849" i="15"/>
  <c r="L850" i="15"/>
  <c r="L851" i="15"/>
  <c r="L852" i="15"/>
  <c r="L853" i="15"/>
  <c r="L854" i="15"/>
  <c r="L855" i="15"/>
  <c r="L856" i="15"/>
  <c r="L857" i="15"/>
  <c r="L858" i="15"/>
  <c r="L859" i="15"/>
  <c r="L860" i="15"/>
  <c r="L861" i="15"/>
  <c r="L862" i="15"/>
  <c r="L863" i="15"/>
  <c r="L864" i="15"/>
  <c r="L865" i="15"/>
  <c r="L866" i="15"/>
  <c r="L867" i="15"/>
  <c r="L868" i="15"/>
  <c r="L869" i="15"/>
  <c r="L870" i="15"/>
  <c r="L871" i="15"/>
  <c r="L872" i="15"/>
  <c r="L873" i="15"/>
  <c r="L874" i="15"/>
  <c r="L875" i="15"/>
  <c r="L876" i="15"/>
  <c r="L877" i="15"/>
  <c r="L878" i="15"/>
  <c r="L879" i="15"/>
  <c r="L880" i="15"/>
  <c r="L881" i="15"/>
  <c r="L882" i="15"/>
  <c r="L883" i="15"/>
  <c r="L884" i="15"/>
  <c r="L885" i="15"/>
  <c r="L886" i="15"/>
  <c r="L887" i="15"/>
  <c r="L888" i="15"/>
  <c r="L889" i="15"/>
  <c r="L890" i="15"/>
  <c r="L891" i="15"/>
  <c r="L892" i="15"/>
  <c r="L893" i="15"/>
  <c r="L894" i="15"/>
  <c r="L895" i="15"/>
  <c r="L896" i="15"/>
  <c r="L897" i="15"/>
  <c r="L898" i="15"/>
  <c r="L899" i="15"/>
  <c r="L900" i="15"/>
  <c r="L901" i="15"/>
  <c r="L902" i="15"/>
  <c r="L903" i="15"/>
  <c r="L904" i="15"/>
  <c r="L905" i="15"/>
  <c r="L906" i="15"/>
  <c r="L907" i="15"/>
  <c r="L908" i="15"/>
  <c r="L909" i="15"/>
  <c r="L910" i="15"/>
  <c r="L911" i="15"/>
  <c r="L912" i="15"/>
  <c r="L913" i="15"/>
  <c r="L914" i="15"/>
  <c r="L915" i="15"/>
  <c r="L916" i="15"/>
  <c r="L917" i="15"/>
  <c r="L918" i="15"/>
  <c r="L919" i="15"/>
  <c r="L920" i="15"/>
  <c r="L921" i="15"/>
  <c r="L922" i="15"/>
  <c r="L923" i="15"/>
  <c r="L924" i="15"/>
  <c r="L925" i="15"/>
  <c r="L926" i="15"/>
  <c r="L927" i="15"/>
  <c r="L928" i="15"/>
  <c r="L929" i="15"/>
  <c r="L930" i="15"/>
  <c r="L931" i="15"/>
  <c r="L932" i="15"/>
  <c r="L933" i="15"/>
  <c r="L934" i="15"/>
  <c r="L935" i="15"/>
  <c r="L936" i="15"/>
  <c r="L937" i="15"/>
  <c r="L938" i="15"/>
  <c r="L939" i="15"/>
  <c r="L940" i="15"/>
  <c r="L941" i="15"/>
  <c r="L942" i="15"/>
  <c r="L943" i="15"/>
  <c r="L944" i="15"/>
  <c r="L945" i="15"/>
  <c r="L946" i="15"/>
  <c r="L947" i="15"/>
  <c r="L948" i="15"/>
  <c r="L949" i="15"/>
  <c r="L950" i="15"/>
  <c r="L951" i="15"/>
  <c r="L952" i="15"/>
  <c r="L953" i="15"/>
  <c r="L954" i="15"/>
  <c r="L955" i="15"/>
  <c r="L956" i="15"/>
  <c r="L957" i="15"/>
  <c r="L958" i="15"/>
  <c r="L959" i="15"/>
  <c r="L960" i="15"/>
  <c r="L961" i="15"/>
  <c r="L962" i="15"/>
  <c r="L963" i="15"/>
  <c r="L964" i="15"/>
  <c r="L965" i="15"/>
  <c r="L966" i="15"/>
  <c r="L967" i="15"/>
  <c r="L968" i="15"/>
  <c r="L969" i="15"/>
  <c r="L970" i="15"/>
  <c r="L971" i="15"/>
  <c r="L972" i="15"/>
  <c r="L973" i="15"/>
  <c r="L974" i="15"/>
  <c r="L975" i="15"/>
  <c r="L976" i="15"/>
  <c r="L977" i="15"/>
  <c r="L978" i="15"/>
  <c r="L979" i="15"/>
  <c r="L980" i="15"/>
  <c r="L981" i="15"/>
  <c r="L982" i="15"/>
  <c r="L983" i="15"/>
  <c r="L984" i="15"/>
  <c r="L985" i="15"/>
  <c r="L986" i="15"/>
  <c r="L987" i="15"/>
  <c r="L988" i="15"/>
  <c r="L989" i="15"/>
  <c r="L990" i="15"/>
  <c r="L991" i="15"/>
  <c r="L992" i="15"/>
  <c r="L993" i="15"/>
  <c r="L994" i="15"/>
  <c r="L995" i="15"/>
  <c r="L996" i="15"/>
  <c r="L997" i="15"/>
  <c r="L998" i="15"/>
  <c r="L999" i="15"/>
  <c r="L1000" i="15"/>
  <c r="L1001" i="15"/>
  <c r="L1002" i="15"/>
  <c r="L1003" i="15"/>
  <c r="L1004" i="15"/>
  <c r="L1005" i="15"/>
  <c r="L1006" i="15"/>
  <c r="L1007" i="15"/>
  <c r="L1008" i="15"/>
  <c r="L1009" i="15"/>
  <c r="L1010" i="15"/>
  <c r="L1011" i="15"/>
  <c r="L1012" i="15"/>
  <c r="L1013" i="15"/>
  <c r="L1014" i="15"/>
  <c r="L1015" i="15"/>
  <c r="L1016" i="15"/>
  <c r="L1017" i="15"/>
  <c r="L1018" i="15"/>
  <c r="L1019" i="15"/>
  <c r="L1020" i="15"/>
  <c r="L1021" i="15"/>
  <c r="L1022" i="15"/>
  <c r="L1023" i="15"/>
  <c r="L1024" i="15"/>
  <c r="L1025" i="15"/>
  <c r="L1026" i="15"/>
  <c r="L1027" i="15"/>
  <c r="L1028" i="15"/>
  <c r="L1029" i="15"/>
  <c r="L1030" i="15"/>
  <c r="L1031" i="15"/>
  <c r="L1032" i="15"/>
  <c r="L1033" i="15"/>
  <c r="L1034" i="15"/>
  <c r="L1035" i="15"/>
  <c r="L1036" i="15"/>
  <c r="L1037" i="15"/>
  <c r="L1038" i="15"/>
  <c r="L1039" i="15"/>
  <c r="L1040" i="15"/>
  <c r="L1041" i="15"/>
  <c r="L1042" i="15"/>
  <c r="L1043" i="15"/>
  <c r="L1044" i="15"/>
  <c r="L1045" i="15"/>
  <c r="L1046" i="15"/>
  <c r="L1047" i="15"/>
  <c r="L1048" i="15"/>
  <c r="L1049" i="15"/>
  <c r="L1050" i="15"/>
  <c r="L1051" i="15"/>
  <c r="L1052" i="15"/>
  <c r="L1053" i="15"/>
  <c r="L1054" i="15"/>
  <c r="L1055" i="15"/>
  <c r="L1056" i="15"/>
  <c r="L1057" i="15"/>
  <c r="L1058" i="15"/>
  <c r="L1059" i="15"/>
  <c r="L1060" i="15"/>
  <c r="L1061" i="15"/>
  <c r="L1062" i="15"/>
  <c r="L1063" i="15"/>
  <c r="L1064" i="15"/>
  <c r="L1065" i="15"/>
  <c r="L1066" i="15"/>
  <c r="L1067" i="15"/>
  <c r="L1068" i="15"/>
  <c r="L1069" i="15"/>
  <c r="L1070" i="15"/>
  <c r="L1071" i="15"/>
  <c r="L1072" i="15"/>
  <c r="L1073" i="15"/>
  <c r="L1074" i="15"/>
  <c r="L1075" i="15"/>
  <c r="L1076" i="15"/>
  <c r="L1077" i="15"/>
  <c r="L1078" i="15"/>
  <c r="L1079" i="15"/>
  <c r="L1080" i="15"/>
  <c r="L1081" i="15"/>
  <c r="L1082" i="15"/>
  <c r="L1083" i="15"/>
  <c r="L1084" i="15"/>
  <c r="L1085" i="15"/>
  <c r="L1086" i="15"/>
  <c r="L1087" i="15"/>
  <c r="L1088" i="15"/>
  <c r="L1089" i="15"/>
  <c r="L1090" i="15"/>
  <c r="L1091" i="15"/>
  <c r="L1092" i="15"/>
  <c r="L1093" i="15"/>
  <c r="L1094" i="15"/>
  <c r="L1095" i="15"/>
  <c r="L1096" i="15"/>
  <c r="L1097" i="15"/>
  <c r="L1098" i="15"/>
  <c r="L1099" i="15"/>
  <c r="L1100" i="15"/>
  <c r="L1101" i="15"/>
  <c r="L1102" i="15"/>
  <c r="L1103" i="15"/>
  <c r="L1104" i="15"/>
  <c r="L1105" i="15"/>
  <c r="L1106" i="15"/>
  <c r="L1107" i="15"/>
  <c r="L1108" i="15"/>
  <c r="L1109" i="15"/>
  <c r="L1110" i="15"/>
  <c r="L1111" i="15"/>
  <c r="L1112" i="15"/>
  <c r="L1113" i="15"/>
  <c r="L1114" i="15"/>
  <c r="L1115" i="15"/>
  <c r="L1116" i="15"/>
  <c r="L1117" i="15"/>
  <c r="L1118" i="15"/>
  <c r="L1119" i="15"/>
  <c r="L1120" i="15"/>
  <c r="L1121" i="15"/>
  <c r="L1122" i="15"/>
  <c r="L1123" i="15"/>
  <c r="L1124" i="15"/>
  <c r="L1125" i="15"/>
  <c r="L1126" i="15"/>
  <c r="L1127" i="15"/>
  <c r="L1128" i="15"/>
  <c r="L1129" i="15"/>
  <c r="L1130" i="15"/>
  <c r="L1131" i="15"/>
  <c r="L1132" i="15"/>
  <c r="L1133" i="15"/>
  <c r="L1134" i="15"/>
  <c r="L1135" i="15"/>
  <c r="L1136" i="15"/>
  <c r="L1137" i="15"/>
  <c r="L1138" i="15"/>
  <c r="L1139" i="15"/>
  <c r="L1140" i="15"/>
  <c r="L1141" i="15"/>
  <c r="L1142" i="15"/>
  <c r="L1143" i="15"/>
  <c r="L1144" i="15"/>
  <c r="L1145" i="15"/>
  <c r="L1146" i="15"/>
  <c r="L1147" i="15"/>
  <c r="L1148" i="15"/>
  <c r="L1149" i="15"/>
  <c r="L1150" i="15"/>
  <c r="L1151" i="15"/>
  <c r="L1152" i="15"/>
  <c r="L1153" i="15"/>
  <c r="L1154" i="15"/>
  <c r="L1155" i="15"/>
  <c r="L1156" i="15"/>
  <c r="L1157" i="15"/>
  <c r="L1158" i="15"/>
  <c r="L1159" i="15"/>
  <c r="L1160" i="15"/>
  <c r="L1161" i="15"/>
  <c r="L1162" i="15"/>
  <c r="L1163" i="15"/>
  <c r="L1164" i="15"/>
  <c r="L1165" i="15"/>
  <c r="L1166" i="15"/>
  <c r="L1167" i="15"/>
  <c r="L1168" i="15"/>
  <c r="L1169" i="15"/>
  <c r="L1170" i="15"/>
  <c r="L1171" i="15"/>
  <c r="L1172" i="15"/>
  <c r="L1173" i="15"/>
  <c r="L1174" i="15"/>
  <c r="L1175" i="15"/>
  <c r="L1176" i="15"/>
  <c r="L1177" i="15"/>
  <c r="L1178" i="15"/>
  <c r="L1179" i="15"/>
  <c r="L1180" i="15"/>
  <c r="L1181" i="15"/>
  <c r="L1182" i="15"/>
  <c r="L1183" i="15"/>
  <c r="L1184" i="15"/>
  <c r="L1185" i="15"/>
  <c r="L1186" i="15"/>
  <c r="L1187" i="15"/>
  <c r="L1188" i="15"/>
  <c r="L1189" i="15"/>
  <c r="L1190" i="15"/>
  <c r="L1191" i="15"/>
  <c r="L1192" i="15"/>
  <c r="L1193" i="15"/>
  <c r="L1194" i="15"/>
  <c r="L1195" i="15"/>
  <c r="L1196" i="15"/>
  <c r="L1197" i="15"/>
  <c r="L1198" i="15"/>
  <c r="L1199" i="15"/>
  <c r="L1200" i="15"/>
  <c r="L1201" i="15"/>
  <c r="L1202" i="15"/>
  <c r="L1203" i="15"/>
  <c r="L1204" i="15"/>
  <c r="L1205" i="15"/>
  <c r="L1206" i="15"/>
  <c r="L1207" i="15"/>
  <c r="L1208" i="15"/>
  <c r="L1209" i="15"/>
  <c r="L1210" i="15"/>
  <c r="L1211" i="15"/>
  <c r="L1212" i="15"/>
  <c r="L1213" i="15"/>
  <c r="L1214" i="15"/>
  <c r="L1215" i="15"/>
  <c r="L1216" i="15"/>
  <c r="L1217" i="15"/>
  <c r="L1218" i="15"/>
  <c r="L1219" i="15"/>
  <c r="L1220" i="15"/>
  <c r="L1221" i="15"/>
  <c r="L1222" i="15"/>
  <c r="L1223" i="15"/>
  <c r="L1224" i="15"/>
  <c r="L1225" i="15"/>
  <c r="L1226" i="15"/>
  <c r="L1227" i="15"/>
  <c r="L1228" i="15"/>
  <c r="L1229" i="15"/>
  <c r="L1230" i="15"/>
  <c r="L1231" i="15"/>
  <c r="L1232" i="15"/>
  <c r="L1233" i="15"/>
  <c r="L1234" i="15"/>
  <c r="L1235" i="15"/>
  <c r="L1236" i="15"/>
  <c r="L1237" i="15"/>
  <c r="L1238" i="15"/>
  <c r="L1239" i="15"/>
  <c r="L1240" i="15"/>
  <c r="L1241" i="15"/>
  <c r="L1242" i="15"/>
  <c r="L1243" i="15"/>
  <c r="L1244" i="15"/>
  <c r="L1245" i="15"/>
  <c r="L1246" i="15"/>
  <c r="L1247" i="15"/>
  <c r="L1248" i="15"/>
  <c r="L1249" i="15"/>
  <c r="L1250" i="15"/>
  <c r="L1251" i="15"/>
  <c r="L1252" i="15"/>
  <c r="L1253" i="15"/>
  <c r="L1254" i="15"/>
  <c r="L1255" i="15"/>
  <c r="L1256" i="15"/>
  <c r="L1257" i="15"/>
  <c r="L1258" i="15"/>
  <c r="L1259" i="15"/>
  <c r="L1260" i="15"/>
  <c r="L1261" i="15"/>
  <c r="L1262" i="15"/>
  <c r="L1263" i="15"/>
  <c r="L1264" i="15"/>
  <c r="L1265" i="15"/>
  <c r="L1266" i="15"/>
  <c r="L1267" i="15"/>
  <c r="L1268" i="15"/>
  <c r="L1269" i="15"/>
  <c r="L1270" i="15"/>
  <c r="L1271" i="15"/>
  <c r="L1272" i="15"/>
  <c r="L1273" i="15"/>
  <c r="L1274" i="15"/>
  <c r="L1275" i="15"/>
  <c r="L1276" i="15"/>
  <c r="L1277" i="15"/>
  <c r="L1278" i="15"/>
  <c r="L1279" i="15"/>
  <c r="L1280" i="15"/>
  <c r="L1281" i="15"/>
  <c r="L1282" i="15"/>
  <c r="L1283" i="15"/>
  <c r="L1284" i="15"/>
  <c r="L1285" i="15"/>
  <c r="L1286" i="15"/>
  <c r="L1287" i="15"/>
  <c r="L1288" i="15"/>
  <c r="L1289" i="15"/>
  <c r="L1290" i="15"/>
  <c r="L1291" i="15"/>
  <c r="L1292" i="15"/>
  <c r="L1293" i="15"/>
  <c r="L1294" i="15"/>
  <c r="L1295" i="15"/>
  <c r="L1296" i="15"/>
  <c r="L1297" i="15"/>
  <c r="L1298" i="15"/>
  <c r="L1299" i="15"/>
  <c r="L1300" i="15"/>
  <c r="L1301" i="15"/>
  <c r="L1302" i="15"/>
  <c r="L1303" i="15"/>
  <c r="L1304" i="15"/>
  <c r="L1305" i="15"/>
  <c r="L1306" i="15"/>
  <c r="L1307" i="15"/>
  <c r="L1308" i="15"/>
  <c r="L1309" i="15"/>
  <c r="L1310" i="15"/>
  <c r="L1311" i="15"/>
  <c r="L1312" i="15"/>
  <c r="L1313" i="15"/>
  <c r="L1314" i="15"/>
  <c r="L1315" i="15"/>
  <c r="L1316" i="15"/>
  <c r="L1317" i="15"/>
  <c r="L1318" i="15"/>
  <c r="L1319" i="15"/>
  <c r="L1320" i="15"/>
  <c r="L1321" i="15"/>
  <c r="L1322" i="15"/>
  <c r="L1323" i="15"/>
  <c r="L1324" i="15"/>
  <c r="L1325" i="15"/>
  <c r="L1326" i="15"/>
  <c r="L1327" i="15"/>
  <c r="L1328" i="15"/>
  <c r="L1329" i="15"/>
  <c r="L1330" i="15"/>
  <c r="L1331" i="15"/>
  <c r="L1332" i="15"/>
  <c r="L1333" i="15"/>
  <c r="L1334" i="15"/>
  <c r="L1335" i="15"/>
  <c r="L1336" i="15"/>
  <c r="L1337" i="15"/>
  <c r="L1338" i="15"/>
  <c r="L1339" i="15"/>
  <c r="L1340" i="15"/>
  <c r="L1341" i="15"/>
  <c r="L1342" i="15"/>
  <c r="L1343" i="15"/>
  <c r="L1344" i="15"/>
  <c r="L1345" i="15"/>
  <c r="L1346" i="15"/>
  <c r="L1347" i="15"/>
  <c r="L1348" i="15"/>
  <c r="L1349" i="15"/>
  <c r="L1350" i="15"/>
  <c r="L1351" i="15"/>
  <c r="L1352" i="15"/>
  <c r="L1353" i="15"/>
  <c r="L1354" i="15"/>
  <c r="L1355" i="15"/>
  <c r="L1356" i="15"/>
  <c r="L1357" i="15"/>
  <c r="L1358" i="15"/>
  <c r="L1359" i="15"/>
  <c r="L1360" i="15"/>
  <c r="L1361" i="15"/>
  <c r="L1362" i="15"/>
  <c r="L1363" i="15"/>
  <c r="L1364" i="15"/>
  <c r="L1365" i="15"/>
  <c r="L1366" i="15"/>
  <c r="L1367" i="15"/>
  <c r="L1368" i="15"/>
  <c r="L1370" i="15"/>
  <c r="L1371" i="15"/>
  <c r="L1374" i="15"/>
  <c r="L1375" i="15"/>
  <c r="L1376" i="15"/>
  <c r="L1377" i="15"/>
  <c r="L1379" i="15"/>
  <c r="L1381" i="15"/>
  <c r="L1382" i="15"/>
  <c r="L1383" i="15"/>
  <c r="L1384" i="15"/>
  <c r="L1385" i="15"/>
  <c r="L1386" i="15"/>
  <c r="L1387" i="15"/>
  <c r="L1388" i="15"/>
  <c r="L1389" i="15"/>
  <c r="L1392" i="15"/>
  <c r="L1393" i="15"/>
  <c r="L1394" i="15"/>
  <c r="L1395" i="15"/>
  <c r="L1396" i="15"/>
  <c r="L1397" i="15"/>
  <c r="L1398" i="15"/>
  <c r="L1399" i="15"/>
  <c r="L1400" i="15"/>
  <c r="L1401" i="15"/>
  <c r="L1402" i="15"/>
  <c r="L1403" i="15"/>
  <c r="L1404" i="15"/>
  <c r="L1405" i="15"/>
  <c r="L1406" i="15"/>
  <c r="L1407" i="15"/>
  <c r="L1408" i="15"/>
  <c r="L1410" i="15"/>
  <c r="L1411" i="15"/>
  <c r="L1412" i="15"/>
  <c r="L1413" i="15"/>
  <c r="L1414" i="15"/>
  <c r="L1415" i="15"/>
  <c r="L1416" i="15"/>
  <c r="L1417" i="15"/>
  <c r="L1418" i="15"/>
  <c r="L1419" i="15"/>
  <c r="L1420" i="15"/>
  <c r="L1421" i="15"/>
  <c r="L1422" i="15"/>
  <c r="L1423" i="15"/>
  <c r="L1424" i="15"/>
  <c r="L1425" i="15"/>
  <c r="L1426" i="15"/>
  <c r="L1427" i="15"/>
  <c r="L1428" i="15"/>
  <c r="L1429" i="15"/>
  <c r="L1430" i="15"/>
  <c r="L1431" i="15"/>
  <c r="L1432" i="15"/>
  <c r="L1433" i="15"/>
  <c r="L1434" i="15"/>
  <c r="L1435" i="15"/>
  <c r="L1436" i="15"/>
  <c r="L1437" i="15"/>
  <c r="L1438" i="15"/>
  <c r="L1439" i="15"/>
  <c r="L1440" i="15"/>
  <c r="L1441" i="15"/>
  <c r="L1442" i="15"/>
  <c r="L1443" i="15"/>
  <c r="L1444" i="15"/>
  <c r="L1445" i="15"/>
  <c r="L1446" i="15"/>
  <c r="L1447" i="15"/>
  <c r="L1448" i="15"/>
  <c r="L1449" i="15"/>
  <c r="L1450" i="15"/>
  <c r="L1451" i="15"/>
  <c r="L1452" i="15"/>
  <c r="L1453" i="15"/>
  <c r="L1454" i="15"/>
  <c r="L1455" i="15"/>
  <c r="L1456" i="15"/>
  <c r="L1457" i="15"/>
  <c r="L1458" i="15"/>
  <c r="L1459" i="15"/>
  <c r="L1460" i="15"/>
  <c r="L1461" i="15"/>
  <c r="L1462" i="15"/>
  <c r="L1463" i="15"/>
  <c r="L1464" i="15"/>
  <c r="L1465" i="15"/>
  <c r="L1466" i="15"/>
  <c r="L1467" i="15"/>
  <c r="L1468" i="15"/>
  <c r="L1469" i="15"/>
  <c r="L1470" i="15"/>
  <c r="L1471" i="15"/>
  <c r="L1472" i="15"/>
  <c r="L1473" i="15"/>
  <c r="L1474" i="15"/>
  <c r="L1475" i="15"/>
  <c r="L1476" i="15"/>
  <c r="L1477" i="15"/>
  <c r="L1478" i="15"/>
  <c r="L1479" i="15"/>
  <c r="L1480" i="15"/>
  <c r="L1481" i="15"/>
  <c r="L1482" i="15"/>
  <c r="L1483" i="15"/>
  <c r="L1484" i="15"/>
  <c r="L1485" i="15"/>
  <c r="L1486" i="15"/>
  <c r="L1487" i="15"/>
  <c r="L1488" i="15"/>
  <c r="L1489" i="15"/>
  <c r="L1490" i="15"/>
  <c r="L1491" i="15"/>
  <c r="L1492" i="15"/>
  <c r="L1493" i="15"/>
  <c r="L1494" i="15"/>
  <c r="L1495" i="15"/>
  <c r="L1496" i="15"/>
  <c r="L1497" i="15"/>
  <c r="L1498" i="15"/>
  <c r="L1499" i="15"/>
  <c r="L1500" i="15"/>
  <c r="L1501" i="15"/>
  <c r="L1502" i="15"/>
  <c r="L1503" i="15"/>
  <c r="L1504" i="15"/>
  <c r="L1505" i="15"/>
  <c r="L1506" i="15"/>
  <c r="L1507" i="15"/>
  <c r="L1508" i="15"/>
  <c r="L1509" i="15"/>
  <c r="L1510" i="15"/>
  <c r="L1511" i="15"/>
  <c r="L1512" i="15"/>
  <c r="L1513" i="15"/>
  <c r="L1514" i="15"/>
  <c r="L1515" i="15"/>
  <c r="L1516" i="15"/>
  <c r="L1517" i="15"/>
  <c r="L1518" i="15"/>
  <c r="L1519" i="15"/>
  <c r="L1520" i="15"/>
  <c r="L1521" i="15"/>
  <c r="L1522" i="15"/>
  <c r="L1523" i="15"/>
  <c r="L1524" i="15"/>
  <c r="L1525" i="15"/>
  <c r="L1526" i="15"/>
  <c r="L1527" i="15"/>
  <c r="L1528" i="15"/>
  <c r="L1529" i="15"/>
  <c r="L1530" i="15"/>
  <c r="L1531" i="15"/>
  <c r="L1532" i="15"/>
  <c r="L1533" i="15"/>
  <c r="L1534" i="15"/>
  <c r="L1535" i="15"/>
  <c r="L1536" i="15"/>
  <c r="L1537" i="15"/>
  <c r="L1538" i="15"/>
  <c r="L1539" i="15"/>
  <c r="L1540" i="15"/>
  <c r="L1541" i="15"/>
  <c r="L1542" i="15"/>
  <c r="L1543" i="15"/>
  <c r="L1544" i="15"/>
  <c r="L1545" i="15"/>
  <c r="L1546" i="15"/>
  <c r="L1547" i="15"/>
  <c r="L1548" i="15"/>
  <c r="L1549" i="15"/>
  <c r="L1550" i="15"/>
  <c r="L1551" i="15"/>
  <c r="L1552" i="15"/>
  <c r="L1553" i="15"/>
  <c r="L1554" i="15"/>
  <c r="L1555" i="15"/>
  <c r="L1556" i="15"/>
  <c r="L1557" i="15"/>
  <c r="L1558" i="15"/>
  <c r="L1559" i="15"/>
  <c r="L1560" i="15"/>
  <c r="L1561" i="15"/>
  <c r="L1562" i="15"/>
  <c r="L1563" i="15"/>
  <c r="L1564" i="15"/>
  <c r="L1565" i="15"/>
  <c r="L1566" i="15"/>
  <c r="L1567" i="15"/>
  <c r="L1568" i="15"/>
  <c r="L1569" i="15"/>
  <c r="L1570" i="15"/>
  <c r="L1571" i="15"/>
  <c r="L1572" i="15"/>
  <c r="L1573" i="15"/>
  <c r="L1574" i="15"/>
  <c r="L1575" i="15"/>
  <c r="L1576" i="15"/>
  <c r="L1577" i="15"/>
  <c r="L1578" i="15"/>
  <c r="L1579" i="15"/>
  <c r="L1580" i="15"/>
  <c r="L1581" i="15"/>
  <c r="L1582" i="15"/>
  <c r="L1583" i="15"/>
  <c r="L1584" i="15"/>
  <c r="L1585" i="15"/>
  <c r="L1586" i="15"/>
  <c r="L1587" i="15"/>
  <c r="L1588" i="15"/>
  <c r="L1589" i="15"/>
  <c r="L1590" i="15"/>
  <c r="L1591" i="15"/>
  <c r="L1592" i="15"/>
  <c r="L1593" i="15"/>
  <c r="L1594" i="15"/>
  <c r="L1595" i="15"/>
  <c r="L1596" i="15"/>
  <c r="L1597" i="15"/>
  <c r="L1598" i="15"/>
  <c r="L1599" i="15"/>
  <c r="L1600" i="15"/>
  <c r="L1601" i="15"/>
  <c r="L1602" i="15"/>
  <c r="L1603" i="15"/>
  <c r="L1604" i="15"/>
  <c r="L1605" i="15"/>
  <c r="L1606" i="15"/>
  <c r="L1607" i="15"/>
  <c r="L1608" i="15"/>
  <c r="L1609" i="15"/>
  <c r="L1610" i="15"/>
  <c r="L1611" i="15"/>
  <c r="L1612" i="15"/>
  <c r="L1613" i="15"/>
  <c r="L1614" i="15"/>
  <c r="L1615" i="15"/>
  <c r="L1616" i="15"/>
  <c r="L1617" i="15"/>
  <c r="L1618" i="15"/>
  <c r="L1619" i="15"/>
  <c r="L1620" i="15"/>
  <c r="L1621" i="15"/>
  <c r="L1623" i="15"/>
  <c r="L1624" i="15"/>
  <c r="L1625" i="15"/>
  <c r="L1626" i="15"/>
  <c r="L1627" i="15"/>
  <c r="L1628" i="15"/>
  <c r="L1629" i="15"/>
  <c r="L1630" i="15"/>
  <c r="L1631" i="15"/>
  <c r="L1632" i="15"/>
  <c r="L1633" i="15"/>
  <c r="L1634" i="15"/>
  <c r="L1635" i="15"/>
  <c r="L1636" i="15"/>
  <c r="L1637" i="15"/>
  <c r="L1638" i="15"/>
  <c r="L1639" i="15"/>
  <c r="L1640" i="15"/>
  <c r="L1641" i="15"/>
  <c r="L1642" i="15"/>
  <c r="L1643" i="15"/>
  <c r="L1644" i="15"/>
  <c r="L1645" i="15"/>
  <c r="L1646" i="15"/>
  <c r="L1647" i="15"/>
  <c r="L1648" i="15"/>
  <c r="L1649" i="15"/>
  <c r="L1650" i="15"/>
  <c r="L1651" i="15"/>
  <c r="L1652" i="15"/>
  <c r="L1653" i="15"/>
  <c r="L1654" i="15"/>
  <c r="L1655" i="15"/>
  <c r="L1656" i="15"/>
  <c r="L1657" i="15"/>
  <c r="L1658" i="15"/>
  <c r="L1659" i="15"/>
  <c r="L1660" i="15"/>
  <c r="L1661" i="15"/>
  <c r="L1662" i="15"/>
  <c r="L1663" i="15"/>
  <c r="L1664" i="15"/>
  <c r="L1665" i="15"/>
  <c r="L1666" i="15"/>
  <c r="L1667" i="15"/>
  <c r="L1668" i="15"/>
  <c r="L1669" i="15"/>
  <c r="L1670" i="15"/>
  <c r="L1671" i="15"/>
  <c r="L1672" i="15"/>
  <c r="L1673" i="15"/>
  <c r="L1674" i="15"/>
  <c r="L1675" i="15"/>
  <c r="L1676" i="15"/>
  <c r="L1677" i="15"/>
  <c r="L1678" i="15"/>
  <c r="L1679" i="15"/>
  <c r="L1680" i="15"/>
  <c r="L1681" i="15"/>
  <c r="L1682" i="15"/>
  <c r="L1683" i="15"/>
  <c r="L1684" i="15"/>
  <c r="L1685" i="15"/>
  <c r="L1686" i="15"/>
  <c r="L1687" i="15"/>
  <c r="L1688" i="15"/>
  <c r="L1689" i="15"/>
  <c r="L1690" i="15"/>
  <c r="L1691" i="15"/>
  <c r="L1692" i="15"/>
  <c r="L1693" i="15"/>
  <c r="L1694" i="15"/>
  <c r="L1695" i="15"/>
  <c r="L1696" i="15"/>
  <c r="L1697" i="15"/>
  <c r="L1698" i="15"/>
  <c r="L1699" i="15"/>
  <c r="L1700" i="15"/>
  <c r="L1701" i="15"/>
  <c r="L1702" i="15"/>
  <c r="L1703" i="15"/>
  <c r="L1704" i="15"/>
  <c r="L1705" i="15"/>
  <c r="L1706" i="15"/>
  <c r="L1707" i="15"/>
  <c r="L1708" i="15"/>
  <c r="L1709" i="15"/>
  <c r="L1710" i="15"/>
  <c r="L1711" i="15"/>
  <c r="L1712" i="15"/>
  <c r="L1713" i="15"/>
  <c r="L1714" i="15"/>
  <c r="L1715" i="15"/>
  <c r="L1716" i="15"/>
  <c r="L1717" i="15"/>
  <c r="L1718" i="15"/>
  <c r="L1719" i="15"/>
  <c r="L1720" i="15"/>
  <c r="L1721" i="15"/>
  <c r="L1722" i="15"/>
  <c r="L1723" i="15"/>
  <c r="L1724" i="15"/>
  <c r="L1725" i="15"/>
  <c r="L1726" i="15"/>
  <c r="L1727" i="15"/>
  <c r="L1728" i="15"/>
  <c r="L1729" i="15"/>
  <c r="L1730" i="15"/>
  <c r="L1731" i="15"/>
  <c r="L1732" i="15"/>
  <c r="L1733" i="15"/>
  <c r="L1734" i="15"/>
  <c r="L1735" i="15"/>
  <c r="L1736" i="15"/>
  <c r="L1737" i="15"/>
  <c r="L1738" i="15"/>
  <c r="L1739" i="15"/>
  <c r="L1740" i="15"/>
  <c r="L1741" i="15"/>
  <c r="L1742" i="15"/>
  <c r="L1743" i="15"/>
  <c r="L1744" i="15"/>
  <c r="L1745" i="15"/>
  <c r="L1746" i="15"/>
  <c r="L1747" i="15"/>
  <c r="L1748" i="15"/>
  <c r="L1749" i="15"/>
  <c r="L1750" i="15"/>
  <c r="L1751" i="15"/>
  <c r="L1752" i="15"/>
  <c r="L1753" i="15"/>
  <c r="L1754" i="15"/>
  <c r="L1755" i="15"/>
  <c r="L1756" i="15"/>
  <c r="L1757" i="15"/>
  <c r="L1758" i="15"/>
  <c r="L1759" i="15"/>
  <c r="L1760" i="15"/>
  <c r="L1761" i="15"/>
  <c r="L1762" i="15"/>
  <c r="L1763" i="15"/>
  <c r="L1764" i="15"/>
  <c r="L1765" i="15"/>
  <c r="L1766" i="15"/>
  <c r="L1767" i="15"/>
  <c r="L1768" i="15"/>
  <c r="L1769" i="15"/>
  <c r="L1770" i="15"/>
  <c r="L1771" i="15"/>
  <c r="L1772" i="15"/>
  <c r="L1773" i="15"/>
  <c r="L1774" i="15"/>
  <c r="L1775" i="15"/>
  <c r="L1776" i="15"/>
  <c r="L1777" i="15"/>
  <c r="L1778" i="15"/>
  <c r="L1779" i="15"/>
  <c r="L1780" i="15"/>
  <c r="L1781" i="15"/>
  <c r="L1782" i="15"/>
  <c r="L1783" i="15"/>
  <c r="L1784" i="15"/>
  <c r="L1785" i="15"/>
  <c r="L1786" i="15"/>
  <c r="L1787" i="15"/>
  <c r="L1788" i="15"/>
  <c r="L1789" i="15"/>
  <c r="L1790" i="15"/>
  <c r="L1791" i="15"/>
  <c r="L1792" i="15"/>
  <c r="L1793" i="15"/>
  <c r="L1794" i="15"/>
  <c r="L1795" i="15"/>
  <c r="L1796" i="15"/>
  <c r="L1797" i="15"/>
  <c r="L1799" i="15"/>
  <c r="L1800" i="15"/>
  <c r="L1801" i="15"/>
  <c r="L1802" i="15"/>
  <c r="L1803" i="15"/>
  <c r="L1804" i="15"/>
  <c r="L1805" i="15"/>
  <c r="L1806" i="15"/>
  <c r="L1807" i="15"/>
  <c r="L1808" i="15"/>
  <c r="L1809" i="15"/>
  <c r="L1810" i="15"/>
  <c r="L1811" i="15"/>
  <c r="L1812" i="15"/>
  <c r="L1813" i="15"/>
  <c r="L1814" i="15"/>
  <c r="L1815" i="15"/>
  <c r="L1816" i="15"/>
  <c r="L1817" i="15"/>
  <c r="L1818" i="15"/>
  <c r="L1819" i="15"/>
  <c r="L1820" i="15"/>
  <c r="L1821" i="15"/>
  <c r="L1822" i="15"/>
  <c r="L1823" i="15"/>
  <c r="L1824" i="15"/>
  <c r="L1825" i="15"/>
  <c r="L1826" i="15"/>
  <c r="L1827" i="15"/>
  <c r="L1828" i="15"/>
  <c r="L1829" i="15"/>
  <c r="L1830" i="15"/>
  <c r="L1831" i="15"/>
  <c r="L1832" i="15"/>
  <c r="L1833" i="15"/>
  <c r="L1834" i="15"/>
  <c r="L1835" i="15"/>
  <c r="L1836" i="15"/>
  <c r="L1837" i="15"/>
  <c r="L1838" i="15"/>
  <c r="L1839" i="15"/>
  <c r="L1840" i="15"/>
  <c r="L1841" i="15"/>
  <c r="L1842" i="15"/>
  <c r="L1843" i="15"/>
  <c r="L1844" i="15"/>
  <c r="L1845" i="15"/>
  <c r="L1846" i="15"/>
  <c r="L1847" i="15"/>
  <c r="L1848" i="15"/>
  <c r="L1849" i="15"/>
  <c r="L1850" i="15"/>
  <c r="L1851" i="15"/>
  <c r="L1852" i="15"/>
  <c r="L1853" i="15"/>
  <c r="L1854" i="15"/>
  <c r="L1855" i="15"/>
  <c r="L1856" i="15"/>
  <c r="L1857" i="15"/>
  <c r="L1858" i="15"/>
  <c r="L1859" i="15"/>
  <c r="L1860" i="15"/>
  <c r="L1861" i="15"/>
  <c r="L1862" i="15"/>
  <c r="L1863" i="15"/>
  <c r="L1864" i="15"/>
  <c r="L1865" i="15"/>
  <c r="L1866" i="15"/>
  <c r="L1867" i="15"/>
  <c r="L1868" i="15"/>
  <c r="L1869" i="15"/>
  <c r="L1870" i="15"/>
  <c r="L1871" i="15"/>
  <c r="L1872" i="15"/>
  <c r="L1873" i="15"/>
  <c r="L1874" i="15"/>
  <c r="L1875" i="15"/>
  <c r="L1876" i="15"/>
  <c r="L1877" i="15"/>
  <c r="L1878" i="15"/>
  <c r="L1879" i="15"/>
  <c r="L1880" i="15"/>
  <c r="L1881" i="15"/>
  <c r="L1882" i="15"/>
  <c r="L1883" i="15"/>
  <c r="L1884" i="15"/>
  <c r="L1885" i="15"/>
  <c r="L1886" i="15"/>
  <c r="L1887" i="15"/>
  <c r="L1888" i="15"/>
  <c r="L1889" i="15"/>
  <c r="L1890" i="15"/>
  <c r="L1891" i="15"/>
  <c r="L1892" i="15"/>
  <c r="L1893" i="15"/>
  <c r="L1894" i="15"/>
  <c r="L1895" i="15"/>
  <c r="L1896" i="15"/>
  <c r="L1897" i="15"/>
  <c r="L1898" i="15"/>
  <c r="L1899" i="15"/>
  <c r="L1900" i="15"/>
  <c r="L1901" i="15"/>
  <c r="L1902" i="15"/>
  <c r="L1903" i="15"/>
  <c r="L1904" i="15"/>
  <c r="L1905" i="15"/>
  <c r="L1906" i="15"/>
  <c r="L1907" i="15"/>
  <c r="L1908" i="15"/>
  <c r="L1909" i="15"/>
  <c r="L1911" i="15"/>
  <c r="L1912" i="15"/>
  <c r="L1913" i="15"/>
  <c r="L1914" i="15"/>
  <c r="L1915" i="15"/>
  <c r="L1916" i="15"/>
  <c r="L1917" i="15"/>
  <c r="L1918" i="15"/>
  <c r="L1919" i="15"/>
  <c r="L1920" i="15"/>
  <c r="L1921" i="15"/>
  <c r="L1922" i="15"/>
  <c r="L1923" i="15"/>
  <c r="L1924" i="15"/>
  <c r="L1925" i="15"/>
  <c r="L1926" i="15"/>
  <c r="L1927" i="15"/>
  <c r="L1928" i="15"/>
  <c r="L1929" i="15"/>
  <c r="L1930" i="15"/>
  <c r="L1931" i="15"/>
  <c r="L1932" i="15"/>
  <c r="L1933" i="15"/>
  <c r="L1934" i="15"/>
  <c r="L1935" i="15"/>
  <c r="L1936" i="15"/>
  <c r="L1937" i="15"/>
  <c r="L1938" i="15"/>
  <c r="L1939" i="15"/>
  <c r="L1940" i="15"/>
  <c r="L1941" i="15"/>
  <c r="L1943" i="15"/>
  <c r="L1944" i="15"/>
  <c r="L1945" i="15"/>
  <c r="L1946" i="15"/>
  <c r="L1947" i="15"/>
  <c r="L1948" i="15"/>
  <c r="L1949" i="15"/>
  <c r="L1952" i="15"/>
  <c r="L1953" i="15"/>
  <c r="L1954" i="15"/>
  <c r="L1955" i="15"/>
  <c r="L1956" i="15"/>
  <c r="L1957" i="15"/>
  <c r="L1958" i="15"/>
  <c r="L1959" i="15"/>
  <c r="L1960" i="15"/>
  <c r="L1961" i="15"/>
  <c r="L1962" i="15"/>
  <c r="L1963" i="15"/>
  <c r="L1968" i="15"/>
  <c r="L1969" i="15"/>
  <c r="L1970" i="15"/>
  <c r="L1971" i="15"/>
  <c r="L1973" i="15"/>
  <c r="L1974" i="15"/>
  <c r="L1975" i="15"/>
  <c r="L1976" i="15"/>
  <c r="L1977" i="15"/>
  <c r="L1978" i="15"/>
  <c r="L1979" i="15"/>
  <c r="L1980" i="15"/>
  <c r="L1981" i="15"/>
  <c r="L1982" i="15"/>
  <c r="L1983" i="15"/>
  <c r="L1984" i="15"/>
  <c r="L1985" i="15"/>
  <c r="L1986" i="15"/>
  <c r="L1987" i="15"/>
  <c r="L1988" i="15"/>
  <c r="L1989" i="15"/>
  <c r="L1990" i="15"/>
  <c r="L1991" i="15"/>
  <c r="L1992" i="15"/>
  <c r="L1993" i="15"/>
  <c r="L1994" i="15"/>
  <c r="L1995" i="15"/>
  <c r="L1996" i="15"/>
  <c r="L1997" i="15"/>
  <c r="L1998" i="15"/>
  <c r="L1999" i="15"/>
  <c r="L2000" i="15"/>
  <c r="L2001" i="15"/>
  <c r="L2002" i="15"/>
  <c r="L2003" i="15"/>
  <c r="L2004" i="15"/>
  <c r="L2005" i="15"/>
  <c r="L2006" i="15"/>
  <c r="L2007" i="15"/>
  <c r="L2008" i="15"/>
  <c r="L2010" i="15"/>
  <c r="L2011" i="15"/>
  <c r="L2012" i="15"/>
  <c r="L2013" i="15"/>
  <c r="L2014" i="15"/>
  <c r="L2015" i="15"/>
  <c r="L2016" i="15"/>
  <c r="L2017" i="15"/>
  <c r="L2018" i="15"/>
  <c r="L2019" i="15"/>
  <c r="L2020" i="15"/>
  <c r="L2021" i="15"/>
  <c r="L2022" i="15"/>
  <c r="L2023" i="15"/>
  <c r="L2024" i="15"/>
  <c r="L2025" i="15"/>
  <c r="L2026" i="15"/>
  <c r="L2027" i="15"/>
  <c r="L2028" i="15"/>
  <c r="L2029" i="15"/>
  <c r="L2030" i="15"/>
  <c r="L2031" i="15"/>
  <c r="L2033" i="15"/>
  <c r="L2034" i="15"/>
  <c r="L2035" i="15"/>
  <c r="L2036" i="15"/>
  <c r="L2037" i="15"/>
  <c r="L2038" i="15"/>
  <c r="L2039" i="15"/>
  <c r="L2040" i="15"/>
  <c r="L2041" i="15"/>
  <c r="L2042" i="15"/>
  <c r="L2043" i="15"/>
  <c r="L2044" i="15"/>
  <c r="L2045" i="15"/>
  <c r="L2046" i="15"/>
  <c r="L2047" i="15"/>
  <c r="L2048" i="15"/>
  <c r="L2049" i="15"/>
  <c r="L2050" i="15"/>
  <c r="L2054" i="15"/>
  <c r="L2055" i="15"/>
  <c r="L2056" i="15"/>
  <c r="L2057" i="15"/>
  <c r="L2058" i="15"/>
  <c r="L2060" i="15"/>
  <c r="L2061" i="15"/>
  <c r="L2062" i="15"/>
  <c r="L2063" i="15"/>
  <c r="L2065" i="15"/>
  <c r="L2066" i="15"/>
  <c r="L2067" i="15"/>
  <c r="L2068" i="15"/>
  <c r="L2069" i="15"/>
  <c r="L2070" i="15"/>
  <c r="L2071" i="15"/>
  <c r="L2073" i="15"/>
  <c r="L2074" i="15"/>
  <c r="L2076" i="15"/>
  <c r="L2077" i="15"/>
  <c r="L2078" i="15"/>
  <c r="L2080" i="15"/>
  <c r="L2081" i="15"/>
  <c r="L2082" i="15"/>
  <c r="L2083" i="15"/>
  <c r="L2084" i="15"/>
  <c r="L2085" i="15"/>
  <c r="L2086" i="15"/>
  <c r="L2087" i="15"/>
  <c r="L2088" i="15"/>
  <c r="L2089" i="15"/>
  <c r="L2091" i="15"/>
  <c r="L2092" i="15"/>
  <c r="L2093" i="15"/>
  <c r="L2094" i="15"/>
  <c r="L2095" i="15"/>
  <c r="L2097" i="15"/>
  <c r="L2098" i="15"/>
  <c r="L2102" i="15"/>
  <c r="L2103" i="15"/>
  <c r="L2104" i="15"/>
  <c r="L2105" i="15"/>
  <c r="L2107" i="15"/>
  <c r="L2110" i="15"/>
  <c r="L2111" i="15"/>
  <c r="L2112" i="15"/>
  <c r="L2113" i="15"/>
  <c r="L2114" i="15"/>
  <c r="L2115" i="15"/>
  <c r="L2116" i="15"/>
  <c r="L2117" i="15"/>
  <c r="L2118" i="15"/>
  <c r="L2119" i="15"/>
  <c r="L2120" i="15"/>
  <c r="L2121" i="15"/>
  <c r="L2122" i="15"/>
  <c r="L2123" i="15"/>
  <c r="L2124" i="15"/>
  <c r="L2125" i="15"/>
  <c r="L2126" i="15"/>
  <c r="L2127" i="15"/>
  <c r="L2128" i="15"/>
  <c r="L2129" i="15"/>
  <c r="L2130" i="15"/>
  <c r="L2131" i="15"/>
  <c r="L2132" i="15"/>
  <c r="L2133" i="15"/>
  <c r="L2134" i="15"/>
  <c r="L2136" i="15"/>
  <c r="L2137" i="15"/>
  <c r="L2138" i="15"/>
  <c r="L2139" i="15"/>
  <c r="L2140" i="15"/>
  <c r="L2141" i="15"/>
  <c r="L2142" i="15"/>
  <c r="L2143" i="15"/>
  <c r="L2144" i="15"/>
  <c r="L2145" i="15"/>
  <c r="L2146" i="15"/>
  <c r="L2147" i="15"/>
  <c r="L2148" i="15"/>
  <c r="L2149" i="15"/>
  <c r="L2150" i="15"/>
  <c r="L2151" i="15"/>
  <c r="L2152" i="15"/>
  <c r="L2153" i="15"/>
  <c r="L2154" i="15"/>
  <c r="L2155" i="15"/>
  <c r="L2156" i="15"/>
  <c r="L2158" i="15"/>
  <c r="L2159" i="15"/>
  <c r="L2160" i="15"/>
  <c r="L2161" i="15"/>
  <c r="L2162" i="15"/>
  <c r="L2164" i="15"/>
  <c r="L2165" i="15"/>
  <c r="L2166" i="15"/>
  <c r="L2167" i="15"/>
  <c r="L2168" i="15"/>
  <c r="L2169" i="15"/>
  <c r="L2170" i="15"/>
  <c r="L2171" i="15"/>
  <c r="L2172" i="15"/>
  <c r="L2174" i="15"/>
  <c r="L2175" i="15"/>
  <c r="L2176" i="15"/>
  <c r="L2177" i="15"/>
  <c r="L2178" i="15"/>
  <c r="L2179" i="15"/>
  <c r="L2180" i="15"/>
  <c r="L2181" i="15"/>
  <c r="L2182" i="15"/>
  <c r="L2184" i="15"/>
  <c r="L2185" i="15"/>
  <c r="L2186" i="15"/>
  <c r="L2187" i="15"/>
  <c r="L2188" i="15"/>
  <c r="L2189" i="15"/>
  <c r="L2190" i="15"/>
  <c r="L2191" i="15"/>
  <c r="L2192" i="15"/>
  <c r="L2193" i="15"/>
  <c r="L2194" i="15"/>
  <c r="L2195" i="15"/>
  <c r="L2197" i="15"/>
  <c r="L2198" i="15"/>
  <c r="L2199" i="15"/>
  <c r="L2200" i="15"/>
  <c r="L2201" i="15"/>
  <c r="L2202" i="15"/>
  <c r="L2203" i="15"/>
  <c r="L2204" i="15"/>
  <c r="L2205" i="15"/>
  <c r="L2206" i="15"/>
  <c r="L2207" i="15"/>
  <c r="L2209" i="15"/>
  <c r="L2210" i="15"/>
  <c r="L2211" i="15"/>
  <c r="L2213" i="15"/>
  <c r="L2214" i="15"/>
  <c r="L2216" i="15"/>
  <c r="L2217" i="15"/>
  <c r="L2219" i="15"/>
  <c r="L2220" i="15"/>
  <c r="L2221" i="15"/>
  <c r="L2222" i="15"/>
  <c r="L2223" i="15"/>
  <c r="L2224" i="15"/>
  <c r="L2225" i="15"/>
  <c r="L2226" i="15"/>
  <c r="L2227" i="15"/>
  <c r="L2228" i="15"/>
  <c r="L2229" i="15"/>
  <c r="L2230" i="15"/>
  <c r="L2231" i="15"/>
  <c r="L2232" i="15"/>
  <c r="L2233" i="15"/>
  <c r="L2234" i="15"/>
  <c r="L2235" i="15"/>
  <c r="L2236" i="15"/>
  <c r="L2237" i="15"/>
  <c r="L2238" i="15"/>
  <c r="L2239" i="15"/>
  <c r="L2240" i="15"/>
  <c r="L2242" i="15"/>
  <c r="L2243" i="15"/>
  <c r="L2244" i="15"/>
  <c r="L2245" i="15"/>
  <c r="L2246" i="15"/>
  <c r="L2247" i="15"/>
  <c r="L2248" i="15"/>
  <c r="L2249" i="15"/>
  <c r="L2250" i="15"/>
  <c r="L2251" i="15"/>
  <c r="L2252" i="15"/>
  <c r="L2253" i="15"/>
  <c r="L2254" i="15"/>
  <c r="L2255" i="15"/>
  <c r="L2256" i="15"/>
  <c r="L2257" i="15"/>
  <c r="L2258" i="15"/>
  <c r="L2259" i="15"/>
  <c r="L2260" i="15"/>
  <c r="L2261" i="15"/>
  <c r="L2262" i="15"/>
  <c r="L2263" i="15"/>
  <c r="L2264" i="15"/>
  <c r="L2265" i="15"/>
  <c r="L2266" i="15"/>
  <c r="L2267" i="15"/>
  <c r="L2268" i="15"/>
  <c r="L2269" i="15"/>
  <c r="L2270" i="15"/>
  <c r="L2271" i="15"/>
  <c r="L2272" i="15"/>
  <c r="L2273" i="15"/>
  <c r="L2274" i="15"/>
  <c r="L2275" i="15"/>
  <c r="L2276" i="15"/>
  <c r="L2277" i="15"/>
  <c r="L2278" i="15"/>
  <c r="L2279" i="15"/>
  <c r="L2280" i="15"/>
  <c r="L2281" i="15"/>
  <c r="L2282" i="15"/>
  <c r="L2283" i="15"/>
  <c r="L2284" i="15"/>
  <c r="L2285" i="15"/>
  <c r="L2286" i="15"/>
  <c r="L2287" i="15"/>
  <c r="L2288" i="15"/>
  <c r="L2289" i="15"/>
  <c r="L2290" i="15"/>
  <c r="L2291" i="15"/>
  <c r="L2292" i="15"/>
  <c r="L2293" i="15"/>
  <c r="L2294" i="15"/>
  <c r="L2295" i="15"/>
  <c r="L2296" i="15"/>
  <c r="L2297" i="15"/>
  <c r="L2298" i="15"/>
  <c r="L2299" i="15"/>
  <c r="L2300" i="15"/>
  <c r="L2301" i="15"/>
  <c r="L2302" i="15"/>
  <c r="L2303" i="15"/>
  <c r="L2304" i="15"/>
  <c r="L2305" i="15"/>
  <c r="L2306" i="15"/>
  <c r="L2307" i="15"/>
  <c r="L2309" i="15"/>
  <c r="L2310" i="15"/>
  <c r="L2311" i="15"/>
  <c r="L2312" i="15"/>
  <c r="L2313" i="15"/>
  <c r="L2314" i="15"/>
  <c r="L2315" i="15"/>
  <c r="L2316" i="15"/>
  <c r="L2317" i="15"/>
  <c r="L2318" i="15"/>
  <c r="L2319" i="15"/>
  <c r="L2320" i="15"/>
  <c r="L2321" i="15"/>
  <c r="L2322" i="15"/>
  <c r="L2323" i="15"/>
  <c r="L2324" i="15"/>
  <c r="L2325" i="15"/>
  <c r="L2326" i="15"/>
  <c r="L2327" i="15"/>
  <c r="L2328" i="15"/>
  <c r="L2329" i="15"/>
  <c r="L2330" i="15"/>
  <c r="L2331" i="15"/>
  <c r="L2332" i="15"/>
  <c r="L2333" i="15"/>
  <c r="L2334" i="15"/>
  <c r="L2335" i="15"/>
  <c r="L2336" i="15"/>
  <c r="L2337" i="15"/>
  <c r="L2338" i="15"/>
  <c r="L2339" i="15"/>
  <c r="L2340" i="15"/>
  <c r="L2341" i="15"/>
  <c r="L2342" i="15"/>
  <c r="L2343" i="15"/>
  <c r="L2344" i="15"/>
  <c r="L2345" i="15"/>
  <c r="L2346" i="15"/>
  <c r="L2347" i="15"/>
  <c r="L2348" i="15"/>
  <c r="L2349" i="15"/>
  <c r="L2350" i="15"/>
  <c r="L2351" i="15"/>
  <c r="L2352" i="15"/>
  <c r="L2353" i="15"/>
  <c r="L2354" i="15"/>
  <c r="L2355" i="15"/>
  <c r="L2356" i="15"/>
  <c r="L2357" i="15"/>
  <c r="L2358" i="15"/>
  <c r="L2359" i="15"/>
  <c r="L2360" i="15"/>
  <c r="L2361" i="15"/>
  <c r="L2362" i="15"/>
  <c r="L2363" i="15"/>
  <c r="L2364" i="15"/>
  <c r="L2365" i="15"/>
  <c r="L2366" i="15"/>
  <c r="L2367" i="15"/>
  <c r="L2368" i="15"/>
  <c r="L2369" i="15"/>
  <c r="L2370" i="15"/>
  <c r="L2371" i="15"/>
  <c r="L2372" i="15"/>
  <c r="L2373" i="15"/>
  <c r="L2374" i="15"/>
  <c r="L2375" i="15"/>
  <c r="L2376" i="15"/>
  <c r="L2377" i="15"/>
  <c r="L2378" i="15"/>
  <c r="L2379" i="15"/>
  <c r="L2380" i="15"/>
  <c r="L2381" i="15"/>
  <c r="L2382" i="15"/>
  <c r="L2383" i="15"/>
  <c r="L2384" i="15"/>
  <c r="L2385" i="15"/>
  <c r="L2386" i="15"/>
  <c r="L2387" i="15"/>
  <c r="L2388" i="15"/>
  <c r="L2389" i="15"/>
  <c r="L2390" i="15"/>
  <c r="L2391" i="15"/>
  <c r="L2392" i="15"/>
  <c r="L2393" i="15"/>
  <c r="L2394" i="15"/>
  <c r="L2395" i="15"/>
  <c r="L2396" i="15"/>
  <c r="L2397" i="15"/>
  <c r="L2398" i="15"/>
  <c r="L2399" i="15"/>
  <c r="L2400" i="15"/>
  <c r="L2401" i="15"/>
  <c r="L2402" i="15"/>
  <c r="L2403" i="15"/>
  <c r="L2404" i="15"/>
  <c r="L2405" i="15"/>
  <c r="L2406" i="15"/>
  <c r="L2407" i="15"/>
  <c r="L2408" i="15"/>
  <c r="L2409" i="15"/>
  <c r="L2410" i="15"/>
  <c r="L2411" i="15"/>
  <c r="L2412" i="15"/>
  <c r="L2413" i="15"/>
  <c r="L2414" i="15"/>
  <c r="L2416" i="15"/>
  <c r="L2418" i="15"/>
  <c r="L2419" i="15"/>
  <c r="L2420" i="15"/>
  <c r="L2422" i="15"/>
  <c r="L2423" i="15"/>
  <c r="L2424" i="15"/>
  <c r="L2425" i="15"/>
  <c r="L2426" i="15"/>
  <c r="L2427" i="15"/>
  <c r="L2428" i="15"/>
  <c r="L2429" i="15"/>
  <c r="L2430" i="15"/>
  <c r="L2432" i="15"/>
  <c r="L2434" i="15"/>
  <c r="L2437" i="15"/>
  <c r="L2438" i="15"/>
  <c r="L2441" i="15"/>
  <c r="L2442" i="15"/>
  <c r="L2443" i="15"/>
  <c r="L2444" i="15"/>
  <c r="L2445" i="15"/>
  <c r="L2446" i="15"/>
  <c r="L2447" i="15"/>
  <c r="L2450" i="15"/>
  <c r="L2452" i="15"/>
  <c r="L2455" i="15"/>
  <c r="L2456" i="15"/>
  <c r="L2457" i="15"/>
  <c r="L2458" i="15"/>
  <c r="L2459" i="15"/>
  <c r="L2461" i="15"/>
  <c r="L2462" i="15"/>
  <c r="L2463" i="15"/>
  <c r="L2464" i="15"/>
  <c r="L2465" i="15"/>
  <c r="L2466" i="15"/>
  <c r="L2468" i="15"/>
  <c r="L2469" i="15"/>
  <c r="L2470" i="15"/>
  <c r="L2471" i="15"/>
  <c r="L2472" i="15"/>
  <c r="L2473" i="15"/>
  <c r="L2474" i="15"/>
  <c r="L2475" i="15"/>
  <c r="L2476" i="15"/>
  <c r="L2477" i="15"/>
  <c r="L2478" i="15"/>
  <c r="L2479" i="15"/>
  <c r="L2480" i="15"/>
  <c r="L2481" i="15"/>
  <c r="L2483" i="15"/>
  <c r="L2484" i="15"/>
  <c r="L2485" i="15"/>
  <c r="L2486" i="15"/>
  <c r="L2487" i="15"/>
  <c r="L2488" i="15"/>
  <c r="L2489" i="15"/>
  <c r="L2490" i="15"/>
  <c r="L2491" i="15"/>
  <c r="L2492" i="15"/>
  <c r="L2493" i="15"/>
  <c r="L2494" i="15"/>
  <c r="L2495" i="15"/>
  <c r="L2496" i="15"/>
  <c r="L2497" i="15"/>
  <c r="L2498" i="15"/>
  <c r="L2499" i="15"/>
  <c r="L2500" i="15"/>
  <c r="L2501" i="15"/>
  <c r="L2502" i="15"/>
  <c r="L2503" i="15"/>
  <c r="L2504" i="15"/>
  <c r="L2505" i="15"/>
  <c r="L2506" i="15"/>
  <c r="L2507" i="15"/>
  <c r="L2508" i="15"/>
  <c r="L2509" i="15"/>
  <c r="L2510" i="15"/>
  <c r="L2511" i="15"/>
  <c r="L2512" i="15"/>
  <c r="L2513" i="15"/>
  <c r="L2514" i="15"/>
  <c r="L2515" i="15"/>
  <c r="L2516" i="15"/>
  <c r="L2517" i="15"/>
  <c r="L2518" i="15"/>
  <c r="L2519" i="15"/>
  <c r="L2523" i="15"/>
  <c r="L2524" i="15"/>
  <c r="L2526" i="15"/>
  <c r="L2527" i="15"/>
  <c r="L2528" i="15"/>
  <c r="L2529" i="15"/>
  <c r="L2530" i="15"/>
  <c r="L2535" i="15"/>
  <c r="L2536" i="15"/>
  <c r="L2540" i="15"/>
  <c r="L2542" i="15"/>
  <c r="L2544" i="15"/>
  <c r="L2545" i="15"/>
  <c r="L2546" i="15"/>
  <c r="L2547" i="15"/>
  <c r="L2548" i="15"/>
  <c r="L2549" i="15"/>
  <c r="L2550" i="15"/>
  <c r="L2551" i="15"/>
  <c r="L2552" i="15"/>
  <c r="L2553" i="15"/>
  <c r="L2554" i="15"/>
  <c r="L2555" i="15"/>
  <c r="L2556" i="15"/>
  <c r="L2557" i="15"/>
  <c r="L2558" i="15"/>
  <c r="L2559" i="15"/>
  <c r="L2560" i="15"/>
  <c r="L2561" i="15"/>
  <c r="L2562" i="15"/>
  <c r="L2563" i="15"/>
  <c r="L2564" i="15"/>
  <c r="L2565" i="15"/>
  <c r="L2566" i="15"/>
  <c r="L2567" i="15"/>
  <c r="L2568" i="15"/>
  <c r="L2569" i="15"/>
  <c r="L2570" i="15"/>
  <c r="L2571" i="15"/>
  <c r="L2573" i="15"/>
  <c r="L2574" i="15"/>
  <c r="L2575" i="15"/>
  <c r="L2576" i="15"/>
  <c r="L2578" i="15"/>
  <c r="L2579" i="15"/>
  <c r="L2580" i="15"/>
  <c r="L2581" i="15"/>
  <c r="L2583" i="15"/>
  <c r="L2584" i="15"/>
  <c r="L2585" i="15"/>
  <c r="L2586" i="15"/>
  <c r="L2587" i="15"/>
  <c r="L2588" i="15"/>
  <c r="L2590" i="15"/>
  <c r="L2591" i="15"/>
  <c r="L2592" i="15"/>
  <c r="L2593" i="15"/>
  <c r="L2594" i="15"/>
  <c r="L2595" i="15"/>
  <c r="L2596" i="15"/>
  <c r="L2597" i="15"/>
  <c r="L2598" i="15"/>
  <c r="L2599" i="15"/>
  <c r="L2600" i="15"/>
  <c r="L2601" i="15"/>
  <c r="L2602" i="15"/>
  <c r="L2603" i="15"/>
  <c r="L2604" i="15"/>
  <c r="L2605" i="15"/>
  <c r="L2606" i="15"/>
  <c r="L2607" i="15"/>
  <c r="L2608" i="15"/>
  <c r="L2609" i="15"/>
  <c r="L2610" i="15"/>
  <c r="L2611" i="15"/>
  <c r="L2612" i="15"/>
  <c r="L2613" i="15"/>
  <c r="L2614" i="15"/>
  <c r="L2615" i="15"/>
  <c r="L2616" i="15"/>
  <c r="L2617" i="15"/>
  <c r="L2618" i="15"/>
  <c r="L2619" i="15"/>
  <c r="L2620" i="15"/>
  <c r="L2621" i="15"/>
  <c r="L2622" i="15"/>
  <c r="L2624" i="15"/>
  <c r="L2625" i="15"/>
  <c r="L2626" i="15"/>
  <c r="L2627" i="15"/>
  <c r="L2631" i="15"/>
  <c r="L2632" i="15"/>
  <c r="L2633" i="15"/>
  <c r="L2634" i="15"/>
  <c r="L2635" i="15"/>
  <c r="L2636" i="15"/>
  <c r="L2637" i="15"/>
  <c r="L2638" i="15"/>
  <c r="L2639" i="15"/>
  <c r="L2640" i="15"/>
  <c r="L2641" i="15"/>
  <c r="L2642" i="15"/>
  <c r="L2643" i="15"/>
  <c r="L2644" i="15"/>
  <c r="L2645" i="15"/>
  <c r="L2646" i="15"/>
  <c r="L2647" i="15"/>
  <c r="L2648" i="15"/>
  <c r="L2649" i="15"/>
  <c r="L2650" i="15"/>
  <c r="L2651" i="15"/>
  <c r="L2653" i="15"/>
  <c r="L2654" i="15"/>
  <c r="L2655" i="15"/>
  <c r="L2656" i="15"/>
  <c r="L2657" i="15"/>
  <c r="L2658" i="15"/>
  <c r="L2660" i="15"/>
  <c r="L2662" i="15"/>
  <c r="L2663" i="15"/>
  <c r="L2664" i="15"/>
  <c r="L2666" i="15"/>
  <c r="L2667" i="15"/>
  <c r="L2668" i="15"/>
  <c r="L2669" i="15"/>
  <c r="L2670" i="15"/>
  <c r="L2671" i="15"/>
  <c r="L2672" i="15"/>
  <c r="L2673" i="15"/>
  <c r="L2674" i="15"/>
  <c r="L2675" i="15"/>
  <c r="L2676" i="15"/>
  <c r="L2677" i="15"/>
  <c r="L2678" i="15"/>
  <c r="L2679" i="15"/>
  <c r="L2680" i="15"/>
  <c r="L2681" i="15"/>
  <c r="L2682" i="15"/>
  <c r="L2683" i="15"/>
  <c r="L2684" i="15"/>
  <c r="L2685" i="15"/>
  <c r="L2686" i="15"/>
  <c r="L2687" i="15"/>
  <c r="L2688" i="15"/>
  <c r="L2690" i="15"/>
  <c r="L2691" i="15"/>
  <c r="L2692" i="15"/>
  <c r="L2693" i="15"/>
  <c r="L2694" i="15"/>
  <c r="L2695" i="15"/>
  <c r="L2696" i="15"/>
  <c r="L2697" i="15"/>
  <c r="L2698" i="15"/>
  <c r="L2699" i="15"/>
  <c r="L2700" i="15"/>
  <c r="L2701" i="15"/>
  <c r="L2702" i="15"/>
  <c r="L2703" i="15"/>
  <c r="L2704" i="15"/>
  <c r="L2705" i="15"/>
  <c r="L2706" i="15"/>
  <c r="L2708" i="15"/>
  <c r="L2709" i="15"/>
  <c r="L2716" i="15"/>
  <c r="L2717" i="15"/>
  <c r="L2721" i="15"/>
  <c r="L2722" i="15"/>
  <c r="L2723" i="15"/>
  <c r="L2724" i="15"/>
  <c r="L2725" i="15"/>
  <c r="L2726" i="15"/>
  <c r="L2727" i="15"/>
  <c r="L2728" i="15"/>
  <c r="L2730" i="15"/>
  <c r="L2732" i="15"/>
  <c r="L2733" i="15"/>
  <c r="L2735" i="15"/>
  <c r="L2736" i="15"/>
  <c r="L2737" i="15"/>
  <c r="L2739" i="15"/>
  <c r="L2741" i="15"/>
  <c r="L2742" i="15"/>
  <c r="L2744" i="15"/>
  <c r="L2745" i="15"/>
  <c r="L2746" i="15"/>
  <c r="L2747" i="15"/>
  <c r="L2748" i="15"/>
  <c r="L2749" i="15"/>
  <c r="L2750" i="15"/>
  <c r="L2751" i="15"/>
  <c r="L2752" i="15"/>
  <c r="L2753" i="15"/>
  <c r="L2754" i="15"/>
  <c r="L2755" i="15"/>
  <c r="L2756" i="15"/>
  <c r="L2757" i="15"/>
  <c r="L2758" i="15"/>
  <c r="L2759" i="15"/>
  <c r="L2760" i="15"/>
  <c r="L2761" i="15"/>
  <c r="L2762" i="15"/>
  <c r="L2763" i="15"/>
  <c r="L2764" i="15"/>
  <c r="L2765" i="15"/>
  <c r="L2766" i="15"/>
  <c r="L2767" i="15"/>
  <c r="L2768" i="15"/>
  <c r="L2769" i="15"/>
  <c r="L2770" i="15"/>
  <c r="L2771" i="15"/>
  <c r="L2772" i="15"/>
  <c r="L2773" i="15"/>
  <c r="L2778" i="15"/>
  <c r="L2779" i="15"/>
  <c r="L2780" i="15"/>
  <c r="L2781" i="15"/>
  <c r="L2782" i="15"/>
  <c r="L2783" i="15"/>
  <c r="L2784" i="15"/>
  <c r="L2785" i="15"/>
  <c r="L2786" i="15"/>
  <c r="L2787" i="15"/>
  <c r="L2788" i="15"/>
  <c r="L2789" i="15"/>
  <c r="L2790" i="15"/>
  <c r="L2791" i="15"/>
  <c r="L2792" i="15"/>
  <c r="L2793" i="15"/>
  <c r="L2794" i="15"/>
  <c r="L2795" i="15"/>
  <c r="L2796" i="15"/>
  <c r="L2797" i="15"/>
  <c r="L2798" i="15"/>
  <c r="L2799" i="15"/>
  <c r="L2800" i="15"/>
  <c r="L2801" i="15"/>
  <c r="L2802" i="15"/>
  <c r="L2803" i="15"/>
  <c r="L2804" i="15"/>
  <c r="L2805" i="15"/>
  <c r="L2806" i="15"/>
  <c r="L2807" i="15"/>
  <c r="L2808" i="15"/>
  <c r="L2809" i="15"/>
  <c r="L2810" i="15"/>
  <c r="L2811" i="15"/>
  <c r="L2812" i="15"/>
  <c r="L2813" i="15"/>
  <c r="L2814" i="15"/>
  <c r="L2815" i="15"/>
  <c r="L2816" i="15"/>
  <c r="L2817" i="15"/>
  <c r="L2818" i="15"/>
  <c r="L2819" i="15"/>
  <c r="L2820" i="15"/>
  <c r="L2821" i="15"/>
  <c r="L2822" i="15"/>
  <c r="L2823" i="15"/>
  <c r="L2824" i="15"/>
  <c r="L2825" i="15"/>
  <c r="L2826" i="15"/>
  <c r="L2827" i="15"/>
  <c r="L2828" i="15"/>
  <c r="L2829" i="15"/>
  <c r="L2831" i="15"/>
  <c r="L2833" i="15"/>
  <c r="L2835" i="15"/>
  <c r="L2836" i="15"/>
  <c r="L2837" i="15"/>
  <c r="L2838" i="15"/>
  <c r="L2839" i="15"/>
  <c r="L2840" i="15"/>
  <c r="L2842" i="15"/>
  <c r="L2853" i="15"/>
  <c r="L2854" i="15"/>
  <c r="L2855" i="15"/>
  <c r="L2856" i="15"/>
  <c r="L2857" i="15"/>
  <c r="L2858" i="15"/>
  <c r="L2859" i="15"/>
  <c r="L2860" i="15"/>
  <c r="L2861" i="15"/>
  <c r="L2862" i="15"/>
  <c r="L2863" i="15"/>
  <c r="L2865" i="15"/>
  <c r="L2866" i="15"/>
  <c r="L2868" i="15"/>
  <c r="L2869" i="15"/>
  <c r="L2870" i="15"/>
  <c r="L2871" i="15"/>
  <c r="L2872" i="15"/>
  <c r="L2873" i="15"/>
  <c r="L2874" i="15"/>
  <c r="L2875" i="15"/>
  <c r="L2876" i="15"/>
  <c r="L2877" i="15"/>
  <c r="L2878" i="15"/>
  <c r="L2879" i="15"/>
  <c r="L2880" i="15"/>
  <c r="L2881" i="15"/>
  <c r="L2882" i="15"/>
  <c r="L2883" i="15"/>
  <c r="L2884" i="15"/>
  <c r="L2886" i="15"/>
  <c r="L2887" i="15"/>
  <c r="L2891" i="15"/>
  <c r="L2892" i="15"/>
  <c r="L2893" i="15"/>
  <c r="L2894" i="15"/>
  <c r="L2895" i="15"/>
  <c r="L2896" i="15"/>
  <c r="L2897" i="15"/>
  <c r="L2898" i="15"/>
  <c r="L2899" i="15"/>
  <c r="L2900" i="15"/>
  <c r="L2901" i="15"/>
  <c r="L2902" i="15"/>
  <c r="L2903" i="15"/>
  <c r="L2904" i="15"/>
  <c r="L2905" i="15"/>
  <c r="L2906" i="15"/>
  <c r="L2907" i="15"/>
  <c r="L2908" i="15"/>
  <c r="L2909" i="15"/>
  <c r="L2910" i="15"/>
  <c r="L2911" i="15"/>
  <c r="L2913" i="15"/>
  <c r="L2915" i="15"/>
  <c r="L2916" i="15"/>
  <c r="L2917" i="15"/>
  <c r="L2918" i="15"/>
  <c r="L2919" i="15"/>
  <c r="L2920" i="15"/>
  <c r="L2921" i="15"/>
  <c r="L2922" i="15"/>
  <c r="L2923" i="15"/>
  <c r="L2924" i="15"/>
  <c r="L2925" i="15"/>
  <c r="L2926" i="15"/>
  <c r="L2927" i="15"/>
  <c r="L2928" i="15"/>
  <c r="L2929" i="15"/>
  <c r="L2930" i="15"/>
  <c r="L2931" i="15"/>
  <c r="L2932" i="15"/>
  <c r="L2933" i="15"/>
  <c r="L2934" i="15"/>
  <c r="L2935" i="15"/>
  <c r="L2936" i="15"/>
  <c r="L2937" i="15"/>
  <c r="L2938" i="15"/>
  <c r="L2939" i="15"/>
  <c r="L2940" i="15"/>
  <c r="L2941" i="15"/>
  <c r="L2942" i="15"/>
  <c r="L2943" i="15"/>
  <c r="L2944" i="15"/>
  <c r="L2945" i="15"/>
  <c r="L2946" i="15"/>
  <c r="L2947" i="15"/>
  <c r="L2948" i="15"/>
  <c r="L2949" i="15"/>
  <c r="L2951" i="15"/>
  <c r="L2952" i="15"/>
  <c r="L2953" i="15"/>
  <c r="L2954" i="15"/>
  <c r="L2955" i="15"/>
  <c r="L2956" i="15"/>
  <c r="L2957" i="15"/>
  <c r="L2958" i="15"/>
  <c r="L2960" i="15"/>
  <c r="L2962" i="15"/>
  <c r="L2963" i="15"/>
  <c r="L2964" i="15"/>
  <c r="L2965" i="15"/>
  <c r="L2966" i="15"/>
  <c r="L2967" i="15"/>
  <c r="L2968" i="15"/>
  <c r="L2969" i="15"/>
  <c r="L2970" i="15"/>
  <c r="L2971" i="15"/>
  <c r="L2972" i="15"/>
  <c r="L2973" i="15"/>
  <c r="L2974" i="15"/>
  <c r="L2975" i="15"/>
  <c r="L2976" i="15"/>
  <c r="L2977" i="15"/>
  <c r="L2978" i="15"/>
  <c r="L2979" i="15"/>
  <c r="L2980" i="15"/>
  <c r="L2982" i="15"/>
  <c r="L2983" i="15"/>
  <c r="L2985" i="15"/>
  <c r="L2986" i="15"/>
  <c r="L2989" i="15"/>
  <c r="L2991" i="15"/>
  <c r="L2992" i="15"/>
  <c r="L2993" i="15"/>
  <c r="L2994" i="15"/>
  <c r="L2995" i="15"/>
  <c r="L2996" i="15"/>
  <c r="L2997" i="15"/>
  <c r="L2998" i="15"/>
  <c r="L2999" i="15"/>
  <c r="L3000" i="15"/>
  <c r="L3001" i="15"/>
  <c r="L3002" i="15"/>
  <c r="L3003" i="15"/>
  <c r="L3004" i="15"/>
  <c r="L3005" i="15"/>
  <c r="L3006" i="15"/>
  <c r="L3007" i="15"/>
  <c r="L3008" i="15"/>
  <c r="L3009" i="15"/>
  <c r="L3010" i="15"/>
  <c r="L3011" i="15"/>
  <c r="L3012" i="15"/>
  <c r="L3013" i="15"/>
  <c r="L3014" i="15"/>
  <c r="L3015" i="15"/>
  <c r="L3016" i="15"/>
  <c r="L3017" i="15"/>
  <c r="L3018" i="15"/>
  <c r="L3019" i="15"/>
  <c r="L3021" i="15"/>
  <c r="L3023" i="15"/>
  <c r="L3024" i="15"/>
  <c r="L3025" i="15"/>
  <c r="L3026" i="15"/>
  <c r="L3027" i="15"/>
  <c r="L3028" i="15"/>
  <c r="L3029" i="15"/>
  <c r="L3031" i="15"/>
  <c r="L3032" i="15"/>
  <c r="L3033" i="15"/>
  <c r="L3036" i="15"/>
  <c r="L3037" i="15"/>
  <c r="L3038" i="15"/>
  <c r="L3039" i="15"/>
  <c r="L3040" i="15"/>
  <c r="L3041" i="15"/>
  <c r="L3042" i="15"/>
  <c r="L3043" i="15"/>
  <c r="L3044" i="15"/>
  <c r="L3045" i="15"/>
  <c r="L3046" i="15"/>
  <c r="L3047" i="15"/>
  <c r="L3048" i="15"/>
  <c r="L3049" i="15"/>
  <c r="L3050" i="15"/>
  <c r="L3051" i="15"/>
  <c r="L3052" i="15"/>
  <c r="L3053" i="15"/>
  <c r="L3054" i="15"/>
  <c r="L3055" i="15"/>
  <c r="L3056" i="15"/>
  <c r="L3057" i="15"/>
  <c r="L3058" i="15"/>
  <c r="L3059" i="15"/>
  <c r="L3060" i="15"/>
  <c r="L3061" i="15"/>
  <c r="L3062" i="15"/>
  <c r="L3063" i="15"/>
  <c r="L3064" i="15"/>
  <c r="L3065" i="15"/>
  <c r="L3066" i="15"/>
  <c r="L3067" i="15"/>
  <c r="L3068" i="15"/>
  <c r="L3069" i="15"/>
  <c r="L3070" i="15"/>
  <c r="L3071" i="15"/>
  <c r="L3072" i="15"/>
  <c r="L3073" i="15"/>
  <c r="L3075" i="15"/>
  <c r="L3077" i="15"/>
  <c r="L3078" i="15"/>
  <c r="L3081" i="15"/>
  <c r="L3082" i="15"/>
  <c r="L3083" i="15"/>
  <c r="L3084" i="15"/>
  <c r="L3085" i="15"/>
  <c r="L3087" i="15"/>
  <c r="L3088" i="15"/>
  <c r="L3089" i="15"/>
  <c r="L3090" i="15"/>
  <c r="L3091" i="15"/>
  <c r="L3092" i="15"/>
  <c r="L3093" i="15"/>
  <c r="L3094" i="15"/>
  <c r="L3095" i="15"/>
  <c r="L3096" i="15"/>
  <c r="L3097" i="15"/>
  <c r="L3098" i="15"/>
  <c r="L3099" i="15"/>
  <c r="L3100" i="15"/>
  <c r="L3101" i="15"/>
  <c r="L3102" i="15"/>
  <c r="L3103" i="15"/>
  <c r="L3104" i="15"/>
  <c r="L3105" i="15"/>
  <c r="L3106" i="15"/>
  <c r="L3108" i="15"/>
  <c r="L3109" i="15"/>
  <c r="L3110" i="15"/>
  <c r="L3111" i="15"/>
  <c r="L3112" i="15"/>
  <c r="L3113" i="15"/>
  <c r="L3114" i="15"/>
  <c r="L3115" i="15"/>
  <c r="L3116" i="15"/>
  <c r="L3117" i="15"/>
  <c r="L3118" i="15"/>
  <c r="L3119" i="15"/>
  <c r="L3120" i="15"/>
  <c r="L3121" i="15"/>
  <c r="L3122" i="15"/>
  <c r="L3123" i="15"/>
  <c r="L3124" i="15"/>
  <c r="L3125" i="15"/>
  <c r="L3126" i="15"/>
  <c r="L3127" i="15"/>
  <c r="L3128" i="15"/>
  <c r="L3129" i="15"/>
  <c r="L3130" i="15"/>
  <c r="L3131" i="15"/>
  <c r="L3132" i="15"/>
  <c r="L3133" i="15"/>
  <c r="L3134" i="15"/>
  <c r="L3135" i="15"/>
  <c r="L3136" i="15"/>
  <c r="L3137" i="15"/>
  <c r="L3138" i="15"/>
  <c r="L3139" i="15"/>
  <c r="L3140" i="15"/>
  <c r="L3141" i="15"/>
  <c r="L3142" i="15"/>
  <c r="L3143" i="15"/>
  <c r="L3144" i="15"/>
  <c r="L3145" i="15"/>
  <c r="L3146" i="15"/>
  <c r="L3147" i="15"/>
  <c r="L3148" i="15"/>
  <c r="L3149" i="15"/>
  <c r="L3150" i="15"/>
  <c r="L3151" i="15"/>
  <c r="L3152" i="15"/>
  <c r="L3153" i="15"/>
  <c r="L3154" i="15"/>
  <c r="L3155" i="15"/>
  <c r="L3156" i="15"/>
  <c r="L3157" i="15"/>
  <c r="L3158" i="15"/>
  <c r="L3159" i="15"/>
  <c r="L3160" i="15"/>
  <c r="L3161" i="15"/>
  <c r="L3162" i="15"/>
  <c r="L3163" i="15"/>
  <c r="L3164" i="15"/>
  <c r="L3165" i="15"/>
  <c r="L3166" i="15"/>
  <c r="L3167" i="15"/>
  <c r="L3168" i="15"/>
  <c r="L3169" i="15"/>
  <c r="L3170" i="15"/>
  <c r="L3171" i="15"/>
  <c r="L3172" i="15"/>
  <c r="L3173" i="15"/>
  <c r="L3174" i="15"/>
  <c r="L3175" i="15"/>
  <c r="L3176" i="15"/>
  <c r="L3177" i="15"/>
  <c r="L3178" i="15"/>
  <c r="L3179" i="15"/>
  <c r="L3180" i="15"/>
  <c r="L3181" i="15"/>
  <c r="L3182" i="15"/>
  <c r="L3183" i="15"/>
  <c r="L3184" i="15"/>
  <c r="L3185" i="15"/>
  <c r="L3186" i="15"/>
  <c r="L3187" i="15"/>
  <c r="L3188" i="15"/>
  <c r="L3190" i="15"/>
  <c r="L3191" i="15"/>
  <c r="L3192" i="15"/>
  <c r="L3193" i="15"/>
  <c r="L3194" i="15"/>
  <c r="L3195" i="15"/>
  <c r="L3196" i="15"/>
  <c r="L3197" i="15"/>
  <c r="L3198" i="15"/>
  <c r="L3199" i="15"/>
  <c r="L3200" i="15"/>
  <c r="L3201" i="15"/>
  <c r="L3202" i="15"/>
  <c r="L3203" i="15"/>
  <c r="L3204" i="15"/>
  <c r="L3205" i="15"/>
  <c r="L3207" i="15"/>
  <c r="L3211" i="15"/>
  <c r="L3212" i="15"/>
  <c r="L3213" i="15"/>
  <c r="L3214" i="15"/>
  <c r="L3215" i="15"/>
  <c r="L3216" i="15"/>
  <c r="L3217" i="15"/>
  <c r="L3218" i="15"/>
  <c r="L3220" i="15"/>
  <c r="L3221" i="15"/>
  <c r="L3222" i="15"/>
  <c r="L3223" i="15"/>
  <c r="L3224" i="15"/>
  <c r="L3225" i="15"/>
  <c r="L3226" i="15"/>
  <c r="L3228" i="15"/>
  <c r="L3229" i="15"/>
  <c r="L3230" i="15"/>
  <c r="L3231" i="15"/>
  <c r="L3232" i="15"/>
  <c r="L3233" i="15"/>
  <c r="L3234" i="15"/>
  <c r="L3235" i="15"/>
  <c r="L3236" i="15"/>
  <c r="L3237" i="15"/>
  <c r="L3238" i="15"/>
  <c r="L3239" i="15"/>
  <c r="L3240" i="15"/>
  <c r="L3241" i="15"/>
  <c r="L3242" i="15"/>
  <c r="L3243" i="15"/>
  <c r="L3244" i="15"/>
  <c r="L3245" i="15"/>
  <c r="L3246" i="15"/>
  <c r="L3247" i="15"/>
  <c r="L3248" i="15"/>
  <c r="L3249" i="15"/>
  <c r="L3250" i="15"/>
  <c r="L3251" i="15"/>
  <c r="L3252" i="15"/>
  <c r="L3253" i="15"/>
  <c r="L3254" i="15"/>
  <c r="L3255" i="15"/>
  <c r="L3256" i="15"/>
  <c r="L3257" i="15"/>
  <c r="L3258" i="15"/>
  <c r="L3259" i="15"/>
  <c r="L3261" i="15"/>
  <c r="L3262" i="15"/>
  <c r="L3265" i="15"/>
  <c r="L3266" i="15"/>
  <c r="L3267" i="15"/>
  <c r="L3269" i="15"/>
  <c r="L3270" i="15"/>
  <c r="L3271" i="15"/>
  <c r="L3272" i="15"/>
  <c r="L3273" i="15"/>
  <c r="L3274" i="15"/>
  <c r="L3275" i="15"/>
  <c r="L3276" i="15"/>
  <c r="L3277" i="15"/>
  <c r="L3278" i="15"/>
  <c r="L3279" i="15"/>
  <c r="L3280" i="15"/>
  <c r="L3281" i="15"/>
  <c r="L3282" i="15"/>
  <c r="L3283" i="15"/>
  <c r="L3284" i="15"/>
  <c r="L3285" i="15"/>
  <c r="L3286" i="15"/>
  <c r="L3287" i="15"/>
  <c r="L3288" i="15"/>
  <c r="L3289" i="15"/>
  <c r="L3290" i="15"/>
  <c r="L3291" i="15"/>
  <c r="L3292" i="15"/>
  <c r="L3293" i="15"/>
  <c r="L3294" i="15"/>
  <c r="L3295" i="15"/>
  <c r="L3297" i="15"/>
  <c r="L3299" i="15"/>
  <c r="L3300" i="15"/>
  <c r="L3302" i="15"/>
  <c r="L3305" i="15"/>
  <c r="L3307" i="15"/>
  <c r="L3308" i="15"/>
  <c r="L3309" i="15"/>
  <c r="L3311" i="15"/>
  <c r="L3312" i="15"/>
  <c r="L3313" i="15"/>
  <c r="L3314" i="15"/>
  <c r="L3315" i="15"/>
  <c r="L3317" i="15"/>
  <c r="L3318" i="15"/>
  <c r="L3319" i="15"/>
  <c r="L3320" i="15"/>
  <c r="L3321" i="15"/>
  <c r="L3323" i="15"/>
  <c r="L3324" i="15"/>
  <c r="L3326" i="15"/>
  <c r="L3327" i="15"/>
  <c r="L3328" i="15"/>
  <c r="L3330" i="15"/>
  <c r="L3332" i="15"/>
  <c r="L3333" i="15"/>
  <c r="L3336" i="15"/>
  <c r="L3338" i="15"/>
  <c r="L3339" i="15"/>
  <c r="L3341" i="15"/>
  <c r="L3342" i="15"/>
  <c r="L3343" i="15"/>
  <c r="L3344" i="15"/>
  <c r="L3345" i="15"/>
  <c r="L3346" i="15"/>
  <c r="L3347" i="15"/>
  <c r="L3348" i="15"/>
  <c r="L3349" i="15"/>
  <c r="L3350" i="15"/>
  <c r="L3351" i="15"/>
  <c r="L3352" i="15"/>
  <c r="L3353" i="15"/>
  <c r="L3354" i="15"/>
  <c r="L3355" i="15"/>
  <c r="L3356" i="15"/>
  <c r="L3357" i="15"/>
  <c r="L3358" i="15"/>
  <c r="L3359" i="15"/>
  <c r="L3361" i="15"/>
  <c r="L3362" i="15"/>
  <c r="L3363" i="15"/>
  <c r="L3364" i="15"/>
  <c r="L3365" i="15"/>
  <c r="L3368" i="15"/>
  <c r="L3369" i="15"/>
  <c r="L3370" i="15"/>
  <c r="L3371" i="15"/>
  <c r="L3372" i="15"/>
  <c r="L3374" i="15"/>
  <c r="L3375" i="15"/>
  <c r="L3376" i="15"/>
  <c r="L3377" i="15"/>
  <c r="L3378" i="15"/>
  <c r="L3379" i="15"/>
  <c r="L3380" i="15"/>
  <c r="L3381" i="15"/>
  <c r="L3382" i="15"/>
  <c r="L3383" i="15"/>
  <c r="L3384" i="15"/>
  <c r="L3385" i="15"/>
  <c r="L3386" i="15"/>
  <c r="L3387" i="15"/>
  <c r="L3388" i="15"/>
  <c r="L3389" i="15"/>
  <c r="L3390" i="15"/>
  <c r="L3391" i="15"/>
  <c r="L3392" i="15"/>
  <c r="L3393" i="15"/>
  <c r="L3394" i="15"/>
  <c r="L3395" i="15"/>
  <c r="L3396" i="15"/>
  <c r="L3397" i="15"/>
  <c r="L3398" i="15"/>
  <c r="L3399" i="15"/>
  <c r="L3400" i="15"/>
  <c r="L3401" i="15"/>
  <c r="L3402" i="15"/>
  <c r="L3404" i="15"/>
  <c r="L3405" i="15"/>
  <c r="L3406" i="15"/>
  <c r="L3407" i="15"/>
  <c r="L3408" i="15"/>
  <c r="L3410" i="15"/>
  <c r="L3411" i="15"/>
  <c r="L3412" i="15"/>
  <c r="L3414" i="15"/>
  <c r="L3416" i="15"/>
  <c r="L3417" i="15"/>
  <c r="L3418" i="15"/>
  <c r="L3422" i="15"/>
  <c r="L3423" i="15"/>
  <c r="L3425" i="15"/>
  <c r="L3427" i="15"/>
  <c r="L3428" i="15"/>
  <c r="L3431" i="15"/>
  <c r="L3432" i="15"/>
  <c r="L3433" i="15"/>
  <c r="L3434" i="15"/>
  <c r="L3440" i="15"/>
  <c r="L3453" i="15"/>
  <c r="L3454" i="15"/>
  <c r="L3456" i="15"/>
  <c r="L3459" i="15"/>
  <c r="L3460" i="15"/>
  <c r="L3461" i="15"/>
  <c r="L3462" i="15"/>
  <c r="L3463" i="15"/>
  <c r="L3464" i="15"/>
  <c r="L3465" i="15"/>
  <c r="L3466" i="15"/>
  <c r="L3467" i="15"/>
  <c r="L3468" i="15"/>
  <c r="L3469" i="15"/>
  <c r="L3470" i="15"/>
  <c r="L3471" i="15"/>
  <c r="L3472" i="15"/>
  <c r="L3473" i="15"/>
  <c r="L3474" i="15"/>
  <c r="L3475" i="15"/>
  <c r="L3476" i="15"/>
  <c r="L3477" i="15"/>
  <c r="L3478" i="15"/>
  <c r="L3479" i="15"/>
  <c r="L3480" i="15"/>
  <c r="L3481" i="15"/>
  <c r="L3482" i="15"/>
  <c r="L3483" i="15"/>
  <c r="L3484" i="15"/>
  <c r="L3485" i="15"/>
  <c r="L3487" i="15"/>
  <c r="L3488" i="15"/>
  <c r="L3489" i="15"/>
  <c r="L3490" i="15"/>
  <c r="L3491" i="15"/>
  <c r="L3493" i="15"/>
  <c r="L3495" i="15"/>
  <c r="L3498" i="15"/>
  <c r="L3499" i="15"/>
  <c r="L3501" i="15"/>
  <c r="L3504" i="15"/>
  <c r="L3505" i="15"/>
  <c r="L3506" i="15"/>
  <c r="L3507" i="15"/>
  <c r="L3508" i="15"/>
  <c r="L3509" i="15"/>
  <c r="L3510" i="15"/>
  <c r="L3511" i="15"/>
  <c r="L3512" i="15"/>
  <c r="L3513" i="15"/>
  <c r="L3514" i="15"/>
  <c r="L3516" i="15"/>
  <c r="L3519" i="15"/>
  <c r="L3520" i="15"/>
  <c r="L3522" i="15"/>
  <c r="L3525" i="15"/>
  <c r="L3526" i="15"/>
  <c r="L3527" i="15"/>
  <c r="L3528" i="15"/>
  <c r="L3531" i="15"/>
  <c r="L3534" i="15"/>
  <c r="L3537" i="15"/>
  <c r="L3540" i="15"/>
  <c r="L3543" i="15"/>
  <c r="L3544" i="15"/>
  <c r="L3545" i="15"/>
  <c r="L3546" i="15"/>
  <c r="L3547" i="15"/>
  <c r="L3548" i="15"/>
  <c r="L3549" i="15"/>
  <c r="L3550" i="15"/>
  <c r="L3551" i="15"/>
  <c r="L3552" i="15"/>
  <c r="L3553" i="15"/>
  <c r="L3554" i="15"/>
  <c r="L3555" i="15"/>
  <c r="L3556" i="15"/>
  <c r="L3557" i="15"/>
  <c r="L3558" i="15"/>
  <c r="L3559" i="15"/>
  <c r="L3560" i="15"/>
  <c r="L3561" i="15"/>
  <c r="L3562" i="15"/>
  <c r="L3563" i="15"/>
  <c r="L3564" i="15"/>
  <c r="L3565" i="15"/>
  <c r="L3566" i="15"/>
  <c r="L3567" i="15"/>
  <c r="L3568" i="15"/>
  <c r="L3569" i="15"/>
  <c r="L3570" i="15"/>
  <c r="L3571" i="15"/>
  <c r="L3572" i="15"/>
  <c r="L3573" i="15"/>
  <c r="L3574" i="15"/>
  <c r="L3575" i="15"/>
  <c r="L3576" i="15"/>
  <c r="L3577" i="15"/>
  <c r="L3578" i="15"/>
  <c r="L3579" i="15"/>
  <c r="L3580" i="15"/>
  <c r="L3581" i="15"/>
  <c r="L3582" i="15"/>
  <c r="L3583" i="15"/>
  <c r="L3584" i="15"/>
  <c r="L3585" i="15"/>
  <c r="L3586" i="15"/>
  <c r="L3587" i="15"/>
  <c r="L3588" i="15"/>
  <c r="L3589" i="15"/>
  <c r="L3590" i="15"/>
  <c r="L3591" i="15"/>
  <c r="L3592" i="15"/>
  <c r="L3593" i="15"/>
  <c r="L3594" i="15"/>
  <c r="L3595" i="15"/>
  <c r="L3596" i="15"/>
  <c r="L3597" i="15"/>
  <c r="L3598" i="15"/>
  <c r="L3599" i="15"/>
  <c r="L3600" i="15"/>
  <c r="L3601" i="15"/>
  <c r="L3602" i="15"/>
  <c r="L3603" i="15"/>
  <c r="L3604" i="15"/>
  <c r="L3605" i="15"/>
  <c r="L3606" i="15"/>
  <c r="L3607" i="15"/>
  <c r="L3608" i="15"/>
  <c r="L3613" i="15"/>
  <c r="L3614" i="15"/>
  <c r="L3621" i="15"/>
  <c r="L3622" i="15"/>
  <c r="L3623" i="15"/>
  <c r="L3624" i="15"/>
  <c r="L3627" i="15"/>
  <c r="L3628" i="15"/>
  <c r="L3629" i="15"/>
  <c r="L3630" i="15"/>
  <c r="L3631" i="15"/>
  <c r="L3632" i="15"/>
  <c r="L3633" i="15"/>
  <c r="L3634" i="15"/>
  <c r="L3635" i="15"/>
  <c r="L3636" i="15"/>
  <c r="L3637" i="15"/>
  <c r="L3639" i="15"/>
  <c r="L3642" i="15"/>
  <c r="L3643" i="15"/>
  <c r="L3645" i="15"/>
  <c r="L3648" i="15"/>
  <c r="L3649" i="15"/>
  <c r="L3650" i="15"/>
  <c r="L3651" i="15"/>
  <c r="L3652" i="15"/>
  <c r="L3653" i="15"/>
  <c r="L3654" i="15"/>
  <c r="L3655" i="15"/>
  <c r="L3656" i="15"/>
  <c r="L3657" i="15"/>
  <c r="L3658" i="15"/>
  <c r="L3659" i="15"/>
  <c r="L3660" i="15"/>
  <c r="L3661" i="15"/>
  <c r="L3662" i="15"/>
  <c r="L3663" i="15"/>
  <c r="L3664" i="15"/>
  <c r="L3665" i="15"/>
  <c r="L3666" i="15"/>
  <c r="L3667" i="15"/>
  <c r="L3668" i="15"/>
  <c r="L3669" i="15"/>
  <c r="L3670" i="15"/>
  <c r="L3671" i="15"/>
  <c r="L3672" i="15"/>
  <c r="L3673" i="15"/>
  <c r="L3674" i="15"/>
  <c r="L3675" i="15"/>
  <c r="L3676" i="15"/>
  <c r="L3677" i="15"/>
  <c r="L3678" i="15"/>
  <c r="L3679" i="15"/>
  <c r="L3680" i="15"/>
  <c r="L3681" i="15"/>
  <c r="L3682" i="15"/>
  <c r="L3683" i="15"/>
  <c r="L3684" i="15"/>
  <c r="L3685" i="15"/>
  <c r="L3686" i="15"/>
  <c r="L3687" i="15"/>
  <c r="L3688" i="15"/>
  <c r="L3689" i="15"/>
  <c r="L3690" i="15"/>
  <c r="L3691" i="15"/>
  <c r="L3692" i="15"/>
  <c r="L3693" i="15"/>
  <c r="L3694" i="15"/>
  <c r="L3695" i="15"/>
  <c r="L3696" i="15"/>
  <c r="L3697" i="15"/>
  <c r="L3698" i="15"/>
  <c r="L3699" i="15"/>
  <c r="L3700" i="15"/>
  <c r="L3701" i="15"/>
  <c r="L3702" i="15"/>
  <c r="L3703" i="15"/>
  <c r="L3704" i="15"/>
  <c r="L3705" i="15"/>
  <c r="L3706" i="15"/>
  <c r="L3707" i="15"/>
  <c r="L3708" i="15"/>
  <c r="L3709" i="15"/>
  <c r="L3710" i="15"/>
  <c r="L3711" i="15"/>
  <c r="L3712" i="15"/>
  <c r="L3713" i="15"/>
  <c r="L3714" i="15"/>
  <c r="L3715" i="15"/>
  <c r="L3716" i="15"/>
  <c r="L3717" i="15"/>
  <c r="L3718" i="15"/>
  <c r="L3719" i="15"/>
  <c r="L3720" i="15"/>
  <c r="L3721" i="15"/>
  <c r="L3722" i="15"/>
  <c r="L3723" i="15"/>
  <c r="L3724" i="15"/>
  <c r="L3725" i="15"/>
  <c r="L3726" i="15"/>
  <c r="L3727" i="15"/>
  <c r="L3728" i="15"/>
  <c r="L3729" i="15"/>
  <c r="L3730" i="15"/>
  <c r="L3731" i="15"/>
  <c r="L3732" i="15"/>
  <c r="L3733" i="15"/>
  <c r="L3734" i="15"/>
  <c r="L3735" i="15"/>
  <c r="L3736" i="15"/>
  <c r="L3737" i="15"/>
  <c r="L3738" i="15"/>
  <c r="L3739" i="15"/>
  <c r="L3740" i="15"/>
  <c r="L3741" i="15"/>
  <c r="L3742" i="15"/>
  <c r="L3743" i="15"/>
  <c r="L3744" i="15"/>
  <c r="L3745" i="15"/>
  <c r="L3746" i="15"/>
  <c r="L3747" i="15"/>
  <c r="L3748" i="15"/>
  <c r="L3749" i="15"/>
  <c r="L3750" i="15"/>
  <c r="L3751" i="15"/>
  <c r="L3752" i="15"/>
  <c r="L3753" i="15"/>
  <c r="L3754" i="15"/>
  <c r="L3755" i="15"/>
  <c r="L3756" i="15"/>
  <c r="L3757" i="15"/>
  <c r="L3758" i="15"/>
  <c r="L3759" i="15"/>
  <c r="L3760" i="15"/>
  <c r="L3761" i="15"/>
  <c r="L3762" i="15"/>
  <c r="L3763" i="15"/>
  <c r="L3764" i="15"/>
  <c r="L3765" i="15"/>
  <c r="L3766" i="15"/>
  <c r="L3767" i="15"/>
  <c r="L3768" i="15"/>
  <c r="L3769" i="15"/>
  <c r="L3770" i="15"/>
  <c r="L3771" i="15"/>
  <c r="L3772" i="15"/>
  <c r="L3773" i="15"/>
  <c r="L3774" i="15"/>
  <c r="L3775" i="15"/>
  <c r="L3776" i="15"/>
  <c r="L3777" i="15"/>
  <c r="L3778" i="15"/>
  <c r="L3779" i="15"/>
  <c r="L3780" i="15"/>
  <c r="L3781" i="15"/>
  <c r="L3782" i="15"/>
  <c r="L3783" i="15"/>
  <c r="L3784" i="15"/>
  <c r="L3785" i="15"/>
  <c r="L3786" i="15"/>
  <c r="L3787" i="15"/>
  <c r="L3788" i="15"/>
  <c r="L3789" i="15"/>
  <c r="L3790" i="15"/>
  <c r="L3791" i="15"/>
  <c r="L3792" i="15"/>
  <c r="L3793" i="15"/>
  <c r="L3794" i="15"/>
  <c r="L3795" i="15"/>
  <c r="L3796" i="15"/>
  <c r="L3797" i="15"/>
  <c r="L3798" i="15"/>
  <c r="L3799" i="15"/>
  <c r="L3800" i="15"/>
  <c r="L3801" i="15"/>
  <c r="L3802" i="15"/>
  <c r="L3803" i="15"/>
  <c r="L3804" i="15"/>
  <c r="L3805" i="15"/>
  <c r="L3806" i="15"/>
  <c r="L3807" i="15"/>
  <c r="L3808" i="15"/>
  <c r="L3809" i="15"/>
  <c r="L3810" i="15"/>
  <c r="L3811" i="15"/>
  <c r="L3812" i="15"/>
  <c r="L3813" i="15"/>
  <c r="L3814" i="15"/>
  <c r="L3815" i="15"/>
  <c r="L3816" i="15"/>
  <c r="L3817" i="15"/>
  <c r="L3818" i="15"/>
  <c r="L3819" i="15"/>
  <c r="L3820" i="15"/>
  <c r="L3821" i="15"/>
  <c r="L3822" i="15"/>
  <c r="L3823" i="15"/>
  <c r="L3824" i="15"/>
  <c r="L3825" i="15"/>
  <c r="L3826" i="15"/>
  <c r="L3827" i="15"/>
  <c r="L3828" i="15"/>
  <c r="L3829" i="15"/>
  <c r="L3830" i="15"/>
  <c r="L3831" i="15"/>
  <c r="L3832" i="15"/>
  <c r="L3833" i="15"/>
  <c r="L3834" i="15"/>
  <c r="L3835" i="15"/>
  <c r="L3836" i="15"/>
  <c r="L3837" i="15"/>
  <c r="L3838" i="15"/>
  <c r="L3839" i="15"/>
  <c r="L3840" i="15"/>
  <c r="L3841" i="15"/>
  <c r="L3842" i="15"/>
  <c r="L3843" i="15"/>
  <c r="L3844" i="15"/>
  <c r="L3845" i="15"/>
  <c r="L3846" i="15"/>
  <c r="L3847" i="15"/>
  <c r="L3848" i="15"/>
  <c r="L3849" i="15"/>
  <c r="L3850" i="15"/>
  <c r="L3851" i="15"/>
  <c r="L3852" i="15"/>
  <c r="L3853" i="15"/>
  <c r="L3854" i="15"/>
  <c r="L3855" i="15"/>
  <c r="L3856" i="15"/>
  <c r="L3857" i="15"/>
  <c r="L3858" i="15"/>
  <c r="L3859" i="15"/>
  <c r="L3860" i="15"/>
  <c r="L3861" i="15"/>
  <c r="L3862" i="15"/>
  <c r="L3863" i="15"/>
  <c r="L3864" i="15"/>
  <c r="L3865" i="15"/>
  <c r="L3866" i="15"/>
  <c r="L3867" i="15"/>
  <c r="L3868" i="15"/>
  <c r="L3869" i="15"/>
  <c r="L3870" i="15"/>
  <c r="L3871" i="15"/>
  <c r="L3872" i="15"/>
  <c r="L3873" i="15"/>
  <c r="L3874" i="15"/>
  <c r="L3875" i="15"/>
  <c r="L3876" i="15"/>
  <c r="L3877" i="15"/>
  <c r="L3878" i="15"/>
  <c r="L3879" i="15"/>
  <c r="L3880" i="15"/>
  <c r="L3881" i="15"/>
  <c r="L3882" i="15"/>
  <c r="L3883" i="15"/>
  <c r="L3884" i="15"/>
  <c r="L3885" i="15"/>
  <c r="L3886" i="15"/>
  <c r="L3887" i="15"/>
  <c r="L3888" i="15"/>
  <c r="L3889" i="15"/>
  <c r="L3890" i="15"/>
  <c r="L3891" i="15"/>
  <c r="L3892" i="15"/>
  <c r="L3893" i="15"/>
  <c r="L3894" i="15"/>
  <c r="L3895" i="15"/>
  <c r="L3896" i="15"/>
  <c r="L3897" i="15"/>
  <c r="L3898" i="15"/>
  <c r="L3899" i="15"/>
  <c r="L3900" i="15"/>
  <c r="L3901" i="15"/>
  <c r="L3902" i="15"/>
  <c r="L3903" i="15"/>
  <c r="L3904" i="15"/>
  <c r="L3905" i="15"/>
  <c r="L3906" i="15"/>
  <c r="L3907" i="15"/>
  <c r="L3908" i="15"/>
  <c r="L3909" i="15"/>
  <c r="L3910" i="15"/>
  <c r="L3911" i="15"/>
  <c r="L3912" i="15"/>
  <c r="L3913" i="15"/>
  <c r="L3914" i="15"/>
  <c r="L3915" i="15"/>
  <c r="L3916" i="15"/>
  <c r="L3917" i="15"/>
  <c r="L3918" i="15"/>
  <c r="L3919" i="15"/>
  <c r="L3920" i="15"/>
  <c r="L3921" i="15"/>
  <c r="L3922" i="15"/>
  <c r="L3923" i="15"/>
  <c r="L3924" i="15"/>
  <c r="L3925" i="15"/>
  <c r="L3926" i="15"/>
  <c r="L3927" i="15"/>
  <c r="L3928" i="15"/>
  <c r="L3929" i="15"/>
  <c r="L3930" i="15"/>
  <c r="L3931" i="15"/>
  <c r="L3932" i="15"/>
  <c r="L3933" i="15"/>
  <c r="L3934" i="15"/>
  <c r="L3936" i="15"/>
  <c r="L3937" i="15"/>
  <c r="L3938" i="15"/>
  <c r="L3939" i="15"/>
  <c r="L3940" i="15"/>
  <c r="L3942" i="15"/>
  <c r="L3943" i="15"/>
  <c r="L3944" i="15"/>
  <c r="L3945" i="15"/>
  <c r="L3946" i="15"/>
  <c r="L3947" i="15"/>
  <c r="L3948" i="15"/>
  <c r="L3949" i="15"/>
  <c r="L3950" i="15"/>
  <c r="L3951" i="15"/>
  <c r="L3952" i="15"/>
  <c r="L3953" i="15"/>
  <c r="L3954" i="15"/>
  <c r="L3955" i="15"/>
  <c r="L3957" i="15"/>
  <c r="L3958" i="15"/>
  <c r="L3959" i="15"/>
  <c r="L3960" i="15"/>
  <c r="L3961" i="15"/>
  <c r="L3963" i="15"/>
  <c r="L3964" i="15"/>
  <c r="L3965" i="15"/>
  <c r="L3966" i="15"/>
  <c r="L3967" i="15"/>
  <c r="L3968" i="15"/>
  <c r="L3969" i="15"/>
  <c r="L3970" i="15"/>
  <c r="L3971" i="15"/>
  <c r="L3972" i="15"/>
  <c r="L3973" i="15"/>
  <c r="L3974" i="15"/>
  <c r="L3975" i="15"/>
  <c r="L3976" i="15"/>
  <c r="L3977" i="15"/>
  <c r="L3978" i="15"/>
  <c r="L3979" i="15"/>
  <c r="L3980" i="15"/>
  <c r="L3981" i="15"/>
  <c r="L3982" i="15"/>
  <c r="L3983" i="15"/>
  <c r="L3984" i="15"/>
  <c r="L3985" i="15"/>
  <c r="L3986" i="15"/>
  <c r="L3987" i="15"/>
  <c r="L3988" i="15"/>
  <c r="L3989" i="15"/>
  <c r="L3990" i="15"/>
  <c r="L3991" i="15"/>
  <c r="L3992" i="15"/>
  <c r="L3993" i="15"/>
  <c r="L3994" i="15"/>
  <c r="L3995" i="15"/>
  <c r="L3996" i="15"/>
  <c r="L3997" i="15"/>
  <c r="L3998" i="15"/>
  <c r="L3999" i="15"/>
  <c r="L4000" i="15"/>
  <c r="L4001" i="15"/>
  <c r="L4002" i="15"/>
  <c r="L4003" i="15"/>
  <c r="L4004" i="15"/>
  <c r="L4005" i="15"/>
  <c r="L4006" i="15"/>
  <c r="L4007" i="15"/>
  <c r="L4008" i="15"/>
  <c r="L4009" i="15"/>
  <c r="L4010" i="15"/>
  <c r="L4011" i="15"/>
  <c r="L4012" i="15"/>
  <c r="L4013" i="15"/>
  <c r="L4014" i="15"/>
  <c r="L4015" i="15"/>
  <c r="L4016" i="15"/>
  <c r="L4017" i="15"/>
  <c r="L4018" i="15"/>
  <c r="L4019" i="15"/>
  <c r="L4020" i="15"/>
  <c r="L4021" i="15"/>
  <c r="L4022" i="15"/>
  <c r="L4023" i="15"/>
  <c r="L4024" i="15"/>
  <c r="L4025" i="15"/>
  <c r="L4026" i="15"/>
  <c r="L4027" i="15"/>
  <c r="L4028" i="15"/>
  <c r="L4029" i="15"/>
  <c r="L4030" i="15"/>
  <c r="L4031" i="15"/>
  <c r="L4032" i="15"/>
  <c r="L4033" i="15"/>
  <c r="L4034" i="15"/>
  <c r="L4035" i="15"/>
  <c r="L4036" i="15"/>
  <c r="L4037" i="15"/>
  <c r="L4038" i="15"/>
  <c r="L4039" i="15"/>
  <c r="L4040" i="15"/>
  <c r="L4041" i="15"/>
  <c r="L4042" i="15"/>
  <c r="L4043" i="15"/>
  <c r="L4044" i="15"/>
  <c r="L4045" i="15"/>
  <c r="L4046" i="15"/>
  <c r="L4047" i="15"/>
  <c r="L4048" i="15"/>
  <c r="L4049" i="15"/>
  <c r="L4050" i="15"/>
  <c r="L4051" i="15"/>
  <c r="L4052" i="15"/>
  <c r="L4053" i="15"/>
  <c r="L4054" i="15"/>
  <c r="L4055" i="15"/>
  <c r="L4056" i="15"/>
  <c r="L4057" i="15"/>
  <c r="L4058" i="15"/>
  <c r="L4059" i="15"/>
  <c r="L4060" i="15"/>
  <c r="L4061" i="15"/>
  <c r="L4062" i="15"/>
  <c r="L4063" i="15"/>
  <c r="L4064" i="15"/>
  <c r="L4065" i="15"/>
  <c r="L4066" i="15"/>
  <c r="L4067" i="15"/>
  <c r="L4068" i="15"/>
  <c r="L4069" i="15"/>
  <c r="L4070" i="15"/>
  <c r="L4071" i="15"/>
  <c r="L4072" i="15"/>
  <c r="L4073" i="15"/>
  <c r="L4074" i="15"/>
  <c r="L4075" i="15"/>
  <c r="L4076" i="15"/>
  <c r="L4077" i="15"/>
  <c r="L4078" i="15"/>
  <c r="L4079" i="15"/>
  <c r="L4080" i="15"/>
  <c r="L4081" i="15"/>
  <c r="L4082" i="15"/>
  <c r="L4083" i="15"/>
  <c r="L4084" i="15"/>
  <c r="L4085" i="15"/>
  <c r="L4086" i="15"/>
  <c r="L4087" i="15"/>
  <c r="L4088" i="15"/>
  <c r="L4089" i="15"/>
  <c r="L4090" i="15"/>
  <c r="L4091" i="15"/>
  <c r="L4092" i="15"/>
  <c r="L4093" i="15"/>
  <c r="L4094" i="15"/>
  <c r="L4096" i="15"/>
  <c r="L4099" i="15"/>
  <c r="L4100" i="15"/>
  <c r="L4102" i="15"/>
  <c r="L4105" i="15"/>
  <c r="L4106" i="15"/>
  <c r="L4108" i="15"/>
  <c r="L4111" i="15"/>
  <c r="L4112" i="15"/>
  <c r="L4113" i="15"/>
  <c r="L4114" i="15"/>
  <c r="L4115" i="15"/>
  <c r="L4116" i="15"/>
  <c r="L4117" i="15"/>
  <c r="L4118" i="15"/>
  <c r="L4119" i="15"/>
  <c r="L4120" i="15"/>
  <c r="L4121" i="15"/>
  <c r="L4122" i="15"/>
  <c r="L4123" i="15"/>
  <c r="L4124" i="15"/>
  <c r="L4125" i="15"/>
  <c r="L4126" i="15"/>
  <c r="L4127" i="15"/>
  <c r="L4128" i="15"/>
  <c r="L4129" i="15"/>
  <c r="L4130" i="15"/>
  <c r="L4131" i="15"/>
  <c r="L4132" i="15"/>
  <c r="L4133" i="15"/>
  <c r="L4134" i="15"/>
  <c r="L4135" i="15"/>
  <c r="L4136" i="15"/>
  <c r="L4137" i="15"/>
  <c r="L4138" i="15"/>
  <c r="L4139" i="15"/>
  <c r="L4140" i="15"/>
  <c r="L4141" i="15"/>
  <c r="L4142" i="15"/>
  <c r="L4143" i="15"/>
  <c r="L4144" i="15"/>
  <c r="L4145" i="15"/>
  <c r="L4146" i="15"/>
  <c r="L4147" i="15"/>
  <c r="L4148" i="15"/>
  <c r="L4149" i="15"/>
  <c r="L4150" i="15"/>
  <c r="L4151" i="15"/>
  <c r="L4152" i="15"/>
  <c r="L4153" i="15"/>
  <c r="L4154" i="15"/>
  <c r="L4155" i="15"/>
  <c r="L4156" i="15"/>
  <c r="L4157" i="15"/>
  <c r="L4158" i="15"/>
  <c r="L4159" i="15"/>
  <c r="L4160" i="15"/>
  <c r="L4161" i="15"/>
  <c r="L4162" i="15"/>
  <c r="L4163" i="15"/>
  <c r="L4164" i="15"/>
  <c r="L4165" i="15"/>
  <c r="L4166" i="15"/>
  <c r="L4167" i="15"/>
  <c r="L4168" i="15"/>
  <c r="L4169" i="15"/>
  <c r="L4170" i="15"/>
  <c r="L4171" i="15"/>
  <c r="L4172" i="15"/>
  <c r="L4173" i="15"/>
  <c r="L4174" i="15"/>
  <c r="L4175" i="15"/>
  <c r="L4176" i="15"/>
  <c r="L4177" i="15"/>
  <c r="L4178" i="15"/>
  <c r="L4179" i="15"/>
  <c r="L4180" i="15"/>
  <c r="L4181" i="15"/>
  <c r="L4182" i="15"/>
  <c r="L4183" i="15"/>
  <c r="L4184" i="15"/>
  <c r="L4185" i="15"/>
  <c r="L4186" i="15"/>
  <c r="L4187" i="15"/>
  <c r="L4188" i="15"/>
  <c r="L4189" i="15"/>
  <c r="L4190" i="15"/>
  <c r="L4191" i="15"/>
  <c r="L4192" i="15"/>
  <c r="L4193" i="15"/>
  <c r="L4194" i="15"/>
  <c r="L4195" i="15"/>
  <c r="L4196" i="15"/>
  <c r="L4197" i="15"/>
  <c r="L4198" i="15"/>
  <c r="L4199" i="15"/>
  <c r="L4200" i="15"/>
  <c r="L4201" i="15"/>
  <c r="L4202" i="15"/>
  <c r="L4203" i="15"/>
  <c r="L4204" i="15"/>
  <c r="L4205" i="15"/>
  <c r="L4206" i="15"/>
  <c r="L4207" i="15"/>
  <c r="L4208" i="15"/>
  <c r="L4209" i="15"/>
  <c r="L4210" i="15"/>
  <c r="L4211" i="15"/>
  <c r="L4212" i="15"/>
  <c r="L4213" i="15"/>
  <c r="L4214" i="15"/>
  <c r="L4215" i="15"/>
  <c r="L4216" i="15"/>
  <c r="L4217" i="15"/>
  <c r="L4218" i="15"/>
  <c r="L4219" i="15"/>
  <c r="L4220" i="15"/>
  <c r="L4221" i="15"/>
  <c r="L4222" i="15"/>
  <c r="L4223" i="15"/>
  <c r="L4224" i="15"/>
  <c r="L4225" i="15"/>
  <c r="L4226" i="15"/>
  <c r="L4227" i="15"/>
  <c r="L4228" i="15"/>
  <c r="L4229" i="15"/>
  <c r="L4230" i="15"/>
  <c r="L4231" i="15"/>
  <c r="L4232" i="15"/>
  <c r="L4233" i="15"/>
  <c r="L4234" i="15"/>
  <c r="L4235" i="15"/>
  <c r="L4236" i="15"/>
  <c r="L4237" i="15"/>
  <c r="L4238" i="15"/>
  <c r="L4239" i="15"/>
  <c r="L4240" i="15"/>
  <c r="L4241" i="15"/>
  <c r="L4242" i="15"/>
  <c r="L4243" i="15"/>
  <c r="L4244" i="15"/>
  <c r="L4245" i="15"/>
  <c r="L4246" i="15"/>
  <c r="L4247" i="15"/>
  <c r="L4248" i="15"/>
  <c r="L4249" i="15"/>
  <c r="L4250" i="15"/>
  <c r="L4251" i="15"/>
  <c r="L4252" i="15"/>
  <c r="L4253" i="15"/>
  <c r="L4254" i="15"/>
  <c r="L4255" i="15"/>
  <c r="L4256" i="15"/>
  <c r="L4257" i="15"/>
  <c r="L4258" i="15"/>
  <c r="L4259" i="15"/>
  <c r="L4260" i="15"/>
  <c r="L4261" i="15"/>
  <c r="L4262" i="15"/>
  <c r="L4263" i="15"/>
  <c r="L4264" i="15"/>
  <c r="L4265" i="15"/>
  <c r="L4266" i="15"/>
  <c r="L4267" i="15"/>
  <c r="L4268" i="15"/>
  <c r="L4269" i="15"/>
  <c r="L4270" i="15"/>
  <c r="L4271" i="15"/>
  <c r="L4272" i="15"/>
  <c r="L4273" i="15"/>
  <c r="L4274" i="15"/>
  <c r="L4275" i="15"/>
  <c r="L4276" i="15"/>
  <c r="L4277" i="15"/>
  <c r="L4278" i="15"/>
  <c r="L4279" i="15"/>
  <c r="L4280" i="15"/>
  <c r="L4281" i="15"/>
  <c r="L4282" i="15"/>
  <c r="L4283" i="15"/>
  <c r="L4284" i="15"/>
  <c r="L4285" i="15"/>
  <c r="L4286" i="15"/>
  <c r="L4287" i="15"/>
  <c r="L4288" i="15"/>
  <c r="L4289" i="15"/>
  <c r="L4290" i="15"/>
  <c r="L4291" i="15"/>
  <c r="L4292" i="15"/>
  <c r="L4293" i="15"/>
  <c r="L4294" i="15"/>
  <c r="L4295" i="15"/>
  <c r="L4296" i="15"/>
  <c r="L4297" i="15"/>
  <c r="L4298" i="15"/>
  <c r="L4299" i="15"/>
  <c r="L4300" i="15"/>
  <c r="L4301" i="15"/>
  <c r="L4302" i="15"/>
  <c r="L4303" i="15"/>
  <c r="L4304" i="15"/>
  <c r="L4305" i="15"/>
  <c r="L4306" i="15"/>
  <c r="L4307" i="15"/>
  <c r="L4308" i="15"/>
  <c r="L4309" i="15"/>
  <c r="L4310" i="15"/>
  <c r="L4311" i="15"/>
  <c r="L4312" i="15"/>
  <c r="L4313" i="15"/>
  <c r="L4314" i="15"/>
  <c r="L4315" i="15"/>
  <c r="L4316" i="15"/>
  <c r="L4317" i="15"/>
  <c r="L4318" i="15"/>
  <c r="L4319" i="15"/>
  <c r="L4320" i="15"/>
  <c r="L4321" i="15"/>
  <c r="L4322" i="15"/>
  <c r="L4323" i="15"/>
  <c r="L4324" i="15"/>
  <c r="L4325" i="15"/>
  <c r="L4326" i="15"/>
  <c r="L4327" i="15"/>
  <c r="L4328" i="15"/>
  <c r="L4329" i="15"/>
  <c r="L4330" i="15"/>
  <c r="L4331" i="15"/>
  <c r="L4332" i="15"/>
  <c r="L4333" i="15"/>
  <c r="L4334" i="15"/>
  <c r="L4335" i="15"/>
  <c r="L4336" i="15"/>
  <c r="L4337" i="15"/>
  <c r="L4338" i="15"/>
  <c r="L4339" i="15"/>
  <c r="L4340" i="15"/>
  <c r="L4341" i="15"/>
  <c r="L4342" i="15"/>
  <c r="L4343" i="15"/>
  <c r="L4344" i="15"/>
  <c r="L4345" i="15"/>
  <c r="L4346" i="15"/>
  <c r="L4347" i="15"/>
  <c r="L4348" i="15"/>
  <c r="L4349" i="15"/>
  <c r="L4350" i="15"/>
  <c r="L4351" i="15"/>
  <c r="L4352" i="15"/>
  <c r="L4353" i="15"/>
  <c r="L4354" i="15"/>
  <c r="L4355" i="15"/>
  <c r="L4356" i="15"/>
  <c r="L4357" i="15"/>
  <c r="L4358" i="15"/>
  <c r="L4359" i="15"/>
  <c r="L4360" i="15"/>
  <c r="L4361" i="15"/>
  <c r="L4362" i="15"/>
  <c r="L4363" i="15"/>
  <c r="L4364" i="15"/>
  <c r="L4365" i="15"/>
  <c r="L4366" i="15"/>
  <c r="L4367" i="15"/>
  <c r="L4368" i="15"/>
  <c r="L4369" i="15"/>
  <c r="L4370" i="15"/>
  <c r="L4371" i="15"/>
  <c r="L4372" i="15"/>
  <c r="L4373" i="15"/>
  <c r="L4374" i="15"/>
  <c r="L4375" i="15"/>
  <c r="L4376" i="15"/>
  <c r="L4377" i="15"/>
  <c r="L4378" i="15"/>
  <c r="L4379" i="15"/>
  <c r="L4380" i="15"/>
  <c r="L4381" i="15"/>
  <c r="L4382" i="15"/>
  <c r="L4383" i="15"/>
  <c r="L4384" i="15"/>
  <c r="L4385" i="15"/>
  <c r="L4386" i="15"/>
  <c r="L4387" i="15"/>
  <c r="L4388" i="15"/>
  <c r="L4389" i="15"/>
  <c r="L4390" i="15"/>
  <c r="L4391" i="15"/>
  <c r="L4392" i="15"/>
  <c r="L4393" i="15"/>
  <c r="L4394" i="15"/>
  <c r="L4395" i="15"/>
  <c r="L4396" i="15"/>
  <c r="L4397" i="15"/>
  <c r="L4398" i="15"/>
  <c r="L4399" i="15"/>
  <c r="L4400" i="15"/>
  <c r="L4401" i="15"/>
  <c r="L4402" i="15"/>
  <c r="L4403" i="15"/>
  <c r="L4404" i="15"/>
  <c r="L4405" i="15"/>
  <c r="L4406" i="15"/>
  <c r="L4407" i="15"/>
  <c r="L4408" i="15"/>
  <c r="L4409" i="15"/>
  <c r="L4410" i="15"/>
  <c r="L4411" i="15"/>
  <c r="L4412" i="15"/>
  <c r="L4413" i="15"/>
  <c r="L4414" i="15"/>
  <c r="L4415" i="15"/>
  <c r="L4416" i="15"/>
  <c r="L4417" i="15"/>
  <c r="L4418" i="15"/>
  <c r="L4419" i="15"/>
  <c r="L4420" i="15"/>
  <c r="L4421" i="15"/>
  <c r="L4422" i="15"/>
  <c r="L4423" i="15"/>
  <c r="L4424" i="15"/>
  <c r="L4425" i="15"/>
  <c r="L4426" i="15"/>
  <c r="L4427" i="15"/>
  <c r="L4428" i="15"/>
  <c r="L4429" i="15"/>
  <c r="L4430" i="15"/>
  <c r="L4431" i="15"/>
  <c r="L4432" i="15"/>
  <c r="L4433" i="15"/>
  <c r="L4434" i="15"/>
  <c r="L4435" i="15"/>
  <c r="L4436" i="15"/>
  <c r="L4437" i="15"/>
  <c r="L4438" i="15"/>
  <c r="L4439" i="15"/>
  <c r="L4440" i="15"/>
  <c r="L4441" i="15"/>
  <c r="L4442" i="15"/>
  <c r="L4443" i="15"/>
  <c r="L4444" i="15"/>
  <c r="L4445" i="15"/>
  <c r="L4446" i="15"/>
  <c r="L4447" i="15"/>
  <c r="L4448" i="15"/>
  <c r="L4449" i="15"/>
  <c r="L4450" i="15"/>
  <c r="L4451" i="15"/>
  <c r="L4452" i="15"/>
  <c r="L4453" i="15"/>
  <c r="L4454" i="15"/>
  <c r="L4455" i="15"/>
  <c r="L4456" i="15"/>
  <c r="L4457" i="15"/>
  <c r="L4458" i="15"/>
  <c r="L4459" i="15"/>
  <c r="L4460" i="15"/>
  <c r="L4461" i="15"/>
  <c r="L4462" i="15"/>
  <c r="L4463" i="15"/>
  <c r="L4464" i="15"/>
  <c r="L4465" i="15"/>
  <c r="L4466" i="15"/>
  <c r="L4467" i="15"/>
  <c r="L4468" i="15"/>
  <c r="L4469" i="15"/>
  <c r="L4470" i="15"/>
  <c r="L4471" i="15"/>
  <c r="L4472" i="15"/>
  <c r="L4473" i="15"/>
  <c r="L4474" i="15"/>
  <c r="L4475" i="15"/>
  <c r="L4476" i="15"/>
  <c r="L4477" i="15"/>
  <c r="L4478" i="15"/>
  <c r="L4479" i="15"/>
  <c r="L4480" i="15"/>
  <c r="L4481" i="15"/>
  <c r="L4482" i="15"/>
  <c r="L4483" i="15"/>
  <c r="L4484" i="15"/>
  <c r="L4485" i="15"/>
  <c r="L4486" i="15"/>
  <c r="L4487" i="15"/>
  <c r="L4488" i="15"/>
  <c r="L4489" i="15"/>
  <c r="L4491" i="15"/>
  <c r="L4492" i="15"/>
  <c r="L4493" i="15"/>
  <c r="L4494" i="15"/>
  <c r="L4495" i="15"/>
  <c r="L4497" i="15"/>
  <c r="L4498" i="15"/>
  <c r="L4499" i="15"/>
  <c r="L4500" i="15"/>
  <c r="L4501" i="15"/>
  <c r="L4502" i="15"/>
  <c r="L4503" i="15"/>
  <c r="L4504" i="15"/>
  <c r="L4505" i="15"/>
  <c r="L4506" i="15"/>
  <c r="L4507" i="15"/>
  <c r="L4508" i="15"/>
  <c r="L4509" i="15"/>
  <c r="L4510" i="15"/>
  <c r="L4511" i="15"/>
  <c r="L4512" i="15"/>
  <c r="L4513" i="15"/>
  <c r="L4514" i="15"/>
  <c r="L4515" i="15"/>
  <c r="L4516" i="15"/>
  <c r="L4517" i="15"/>
  <c r="L4518" i="15"/>
  <c r="L4519" i="15"/>
  <c r="L4520" i="15"/>
  <c r="L4521" i="15"/>
  <c r="L4522" i="15"/>
  <c r="L4523" i="15"/>
  <c r="L4524" i="15"/>
  <c r="L4525" i="15"/>
  <c r="L4526" i="15"/>
  <c r="L4527" i="15"/>
  <c r="L4528" i="15"/>
  <c r="L4529" i="15"/>
  <c r="L4530" i="15"/>
  <c r="L4531" i="15"/>
  <c r="L4532" i="15"/>
  <c r="L4533" i="15"/>
  <c r="L4534" i="15"/>
  <c r="L4535" i="15"/>
  <c r="L4536" i="15"/>
  <c r="L4537" i="15"/>
  <c r="L4538" i="15"/>
  <c r="L4539" i="15"/>
  <c r="L4540" i="15"/>
  <c r="L4541" i="15"/>
  <c r="L4542" i="15"/>
  <c r="L4543" i="15"/>
  <c r="L4544" i="15"/>
  <c r="L4545" i="15"/>
  <c r="L4546" i="15"/>
  <c r="L4547" i="15"/>
  <c r="L4548" i="15"/>
  <c r="L4549" i="15"/>
  <c r="L4550" i="15"/>
  <c r="L4551" i="15"/>
  <c r="L4552" i="15"/>
  <c r="L4553" i="15"/>
  <c r="L4554" i="15"/>
  <c r="L4555" i="15"/>
  <c r="L4556" i="15"/>
  <c r="L4557" i="15"/>
  <c r="L4558" i="15"/>
  <c r="L4559" i="15"/>
  <c r="L4560" i="15"/>
  <c r="L4561" i="15"/>
  <c r="L4562" i="15"/>
  <c r="L4563" i="15"/>
  <c r="L4564" i="15"/>
  <c r="L4565" i="15"/>
  <c r="L4566" i="15"/>
  <c r="L4567" i="15"/>
  <c r="L4568" i="15"/>
  <c r="L4569" i="15"/>
  <c r="L4570" i="15"/>
  <c r="L4571" i="15"/>
  <c r="L4572" i="15"/>
  <c r="L4573" i="15"/>
  <c r="L4574" i="15"/>
  <c r="L4575" i="15"/>
  <c r="L4576" i="15"/>
  <c r="L4577" i="15"/>
  <c r="L4578" i="15"/>
  <c r="L4579" i="15"/>
  <c r="L4580" i="15"/>
  <c r="L4581" i="15"/>
  <c r="L4582" i="15"/>
  <c r="L4583" i="15"/>
  <c r="L4584" i="15"/>
  <c r="L4585" i="15"/>
  <c r="L4586" i="15"/>
  <c r="L4587" i="15"/>
  <c r="L4588" i="15"/>
  <c r="L4589" i="15"/>
  <c r="L4590" i="15"/>
  <c r="L4591" i="15"/>
  <c r="L4592" i="15"/>
  <c r="L4593" i="15"/>
  <c r="L4594" i="15"/>
  <c r="L4595" i="15"/>
  <c r="L4596" i="15"/>
  <c r="L4597" i="15"/>
  <c r="L4598" i="15"/>
  <c r="L4599" i="15"/>
  <c r="L4600" i="15"/>
  <c r="L4601" i="15"/>
  <c r="L4602" i="15"/>
  <c r="L4603" i="15"/>
  <c r="L4604" i="15"/>
  <c r="L4605" i="15"/>
  <c r="L4606" i="15"/>
  <c r="L4607" i="15"/>
  <c r="L4608" i="15"/>
  <c r="L4609" i="15"/>
  <c r="L4610" i="15"/>
  <c r="L4611" i="15"/>
  <c r="L4612" i="15"/>
  <c r="L4613" i="15"/>
  <c r="L4614" i="15"/>
  <c r="L4615" i="15"/>
  <c r="L4616" i="15"/>
  <c r="L4617" i="15"/>
  <c r="L4618" i="15"/>
  <c r="L4619" i="15"/>
  <c r="L4620" i="15"/>
  <c r="L4621" i="15"/>
  <c r="L4622" i="15"/>
  <c r="L4623" i="15"/>
  <c r="L4624" i="15"/>
  <c r="L4625" i="15"/>
  <c r="L4626" i="15"/>
  <c r="L4627" i="15"/>
  <c r="L4628" i="15"/>
  <c r="L4629" i="15"/>
  <c r="L4630" i="15"/>
  <c r="L4631" i="15"/>
  <c r="L4632" i="15"/>
  <c r="L4633" i="15"/>
  <c r="L4634" i="15"/>
  <c r="L4635" i="15"/>
  <c r="L4636" i="15"/>
  <c r="L4637" i="15"/>
  <c r="L4638" i="15"/>
  <c r="L4639" i="15"/>
  <c r="L4640" i="15"/>
  <c r="L4641" i="15"/>
  <c r="L4642" i="15"/>
  <c r="L4643" i="15"/>
  <c r="L4644" i="15"/>
  <c r="L4645" i="15"/>
  <c r="L4646" i="15"/>
  <c r="L4647" i="15"/>
  <c r="L4648" i="15"/>
  <c r="L4649" i="15"/>
  <c r="L4650" i="15"/>
  <c r="L4651" i="15"/>
  <c r="L4652" i="15"/>
  <c r="L4653" i="15"/>
  <c r="L4654" i="15"/>
  <c r="L4655" i="15"/>
  <c r="L4656" i="15"/>
  <c r="L4657" i="15"/>
  <c r="L4658" i="15"/>
  <c r="L4659" i="15"/>
  <c r="L4660" i="15"/>
  <c r="L4661" i="15"/>
  <c r="L4662" i="15"/>
  <c r="L4663" i="15"/>
  <c r="L4664" i="15"/>
  <c r="L4665" i="15"/>
  <c r="L4666" i="15"/>
  <c r="L4667" i="15"/>
  <c r="L4668" i="15"/>
  <c r="L4669" i="15"/>
  <c r="L4670" i="15"/>
  <c r="L4672" i="15"/>
  <c r="L4673" i="15"/>
  <c r="L4674" i="15"/>
  <c r="L4675" i="15"/>
  <c r="L4676" i="15"/>
  <c r="L4678" i="15"/>
  <c r="L4679" i="15"/>
  <c r="L4680" i="15"/>
  <c r="L4681" i="15"/>
  <c r="L4682" i="15"/>
  <c r="L4684" i="15"/>
  <c r="L4685" i="15"/>
  <c r="L4686" i="15"/>
  <c r="L4687" i="15"/>
  <c r="L4688" i="15"/>
  <c r="L4689" i="15"/>
  <c r="L4690" i="15"/>
  <c r="L4691" i="15"/>
  <c r="L4692" i="15"/>
  <c r="L4693" i="15"/>
  <c r="L4694" i="15"/>
  <c r="L4695" i="15"/>
  <c r="L4696" i="15"/>
  <c r="L4697" i="15"/>
  <c r="L4698" i="15"/>
  <c r="L4699" i="15"/>
  <c r="L4700" i="15"/>
  <c r="L4701" i="15"/>
  <c r="L4702" i="15"/>
  <c r="L4703" i="15"/>
  <c r="L4704" i="15"/>
  <c r="L4705" i="15"/>
  <c r="L4706" i="15"/>
  <c r="L4707" i="15"/>
  <c r="L4708" i="15"/>
  <c r="L4709" i="15"/>
  <c r="L4711" i="15"/>
  <c r="L4712" i="15"/>
  <c r="L4713" i="15"/>
  <c r="L4714" i="15"/>
  <c r="L4715" i="15"/>
  <c r="L4717" i="15"/>
  <c r="L4718" i="15"/>
  <c r="L4719" i="15"/>
  <c r="L4720" i="15"/>
  <c r="L4721" i="15"/>
  <c r="L4722" i="15"/>
  <c r="L4723" i="15"/>
  <c r="L4724" i="15"/>
  <c r="L4725" i="15"/>
  <c r="L4726" i="15"/>
  <c r="L4727" i="15"/>
  <c r="L4728" i="15"/>
  <c r="L4729" i="15"/>
  <c r="L4730" i="15"/>
  <c r="L4731" i="15"/>
  <c r="L4732" i="15"/>
  <c r="L4733" i="15"/>
  <c r="L4734" i="15"/>
  <c r="L4735" i="15"/>
  <c r="L4736" i="15"/>
  <c r="L4737" i="15"/>
  <c r="L4738" i="15"/>
  <c r="L4739" i="15"/>
  <c r="L4740" i="15"/>
  <c r="L4742" i="15"/>
  <c r="L4743" i="15"/>
  <c r="L4744" i="15"/>
  <c r="L4745" i="15"/>
  <c r="L4746" i="15"/>
  <c r="L4748" i="15"/>
  <c r="L4749" i="15"/>
  <c r="L4750" i="15"/>
  <c r="L4751" i="15"/>
  <c r="L4752" i="15"/>
  <c r="L4754" i="15"/>
  <c r="L4755" i="15"/>
  <c r="L4756" i="15"/>
  <c r="L4757" i="15"/>
  <c r="L4758" i="15"/>
  <c r="L4760" i="15"/>
  <c r="L4761" i="15"/>
  <c r="L4762" i="15"/>
  <c r="L4763" i="15"/>
  <c r="L4764" i="15"/>
  <c r="L4765" i="15"/>
  <c r="L4766" i="15"/>
  <c r="L4767" i="15"/>
  <c r="L4768" i="15"/>
  <c r="L4769" i="15"/>
  <c r="L4770" i="15"/>
  <c r="L4771" i="15"/>
  <c r="L4772" i="15"/>
  <c r="L4773" i="15"/>
  <c r="L4774" i="15"/>
  <c r="L4775" i="15"/>
  <c r="L4776" i="15"/>
  <c r="L4777" i="15"/>
  <c r="L4778" i="15"/>
  <c r="L4779" i="15"/>
  <c r="L4780" i="15"/>
  <c r="L4781" i="15"/>
  <c r="L4782" i="15"/>
  <c r="L4783" i="15"/>
  <c r="L4784" i="15"/>
  <c r="L4785" i="15"/>
  <c r="L4786" i="15"/>
  <c r="L4787" i="15"/>
  <c r="L4788" i="15"/>
  <c r="L4789" i="15"/>
  <c r="L4790" i="15"/>
  <c r="L4791" i="15"/>
  <c r="L4792" i="15"/>
  <c r="L4793" i="15"/>
  <c r="L4794" i="15"/>
  <c r="L4795" i="15"/>
  <c r="L4796" i="15"/>
  <c r="L4797" i="15"/>
  <c r="L4798" i="15"/>
  <c r="L4799" i="15"/>
  <c r="L4800" i="15"/>
  <c r="L4801" i="15"/>
  <c r="L4802" i="15"/>
  <c r="L4803" i="15"/>
  <c r="L4804" i="15"/>
  <c r="L4805" i="15"/>
  <c r="L4806" i="15"/>
  <c r="L4807" i="15"/>
  <c r="L4808" i="15"/>
  <c r="L4809" i="15"/>
  <c r="L4810" i="15"/>
  <c r="L4811" i="15"/>
  <c r="L4812" i="15"/>
  <c r="L4813" i="15"/>
  <c r="L4814" i="15"/>
  <c r="L4815" i="15"/>
  <c r="L4816" i="15"/>
  <c r="L4817" i="15"/>
  <c r="L4818" i="15"/>
  <c r="L4819" i="15"/>
  <c r="L4820" i="15"/>
  <c r="L4821" i="15"/>
  <c r="L4822" i="15"/>
  <c r="L4823" i="15"/>
  <c r="L4824" i="15"/>
  <c r="L4825" i="15"/>
  <c r="L4826" i="15"/>
  <c r="L4827" i="15"/>
  <c r="L4828" i="15"/>
  <c r="L4829" i="15"/>
  <c r="L4830" i="15"/>
  <c r="L4831" i="15"/>
  <c r="L4832" i="15"/>
  <c r="L4833" i="15"/>
  <c r="L4834" i="15"/>
  <c r="L4835" i="15"/>
  <c r="L4836" i="15"/>
  <c r="L4837" i="15"/>
  <c r="L4838" i="15"/>
  <c r="L4839" i="15"/>
  <c r="L4840" i="15"/>
  <c r="L4841" i="15"/>
  <c r="L4842" i="15"/>
  <c r="L4843" i="15"/>
  <c r="L4844" i="15"/>
  <c r="L4845" i="15"/>
  <c r="L4846" i="15"/>
  <c r="L4847" i="15"/>
  <c r="L4848" i="15"/>
  <c r="L4849" i="15"/>
  <c r="L4850" i="15"/>
  <c r="L4851" i="15"/>
  <c r="L4852" i="15"/>
  <c r="L4853" i="15"/>
  <c r="L4854" i="15"/>
  <c r="L4855" i="15"/>
  <c r="L4856" i="15"/>
  <c r="L4857" i="15"/>
  <c r="L4858" i="15"/>
  <c r="L4859" i="15"/>
  <c r="L4860" i="15"/>
  <c r="L4861" i="15"/>
  <c r="L4862" i="15"/>
  <c r="L4863" i="15"/>
  <c r="L4864" i="15"/>
  <c r="L4865" i="15"/>
  <c r="L4866" i="15"/>
  <c r="L4867" i="15"/>
  <c r="L4868" i="15"/>
  <c r="L4869" i="15"/>
  <c r="L4870" i="15"/>
  <c r="L4871" i="15"/>
  <c r="L4872" i="15"/>
  <c r="L4873" i="15"/>
  <c r="L4874" i="15"/>
  <c r="L4875" i="15"/>
  <c r="L4876" i="15"/>
  <c r="L4877" i="15"/>
  <c r="L4878" i="15"/>
  <c r="L4879" i="15"/>
  <c r="L4880" i="15"/>
  <c r="L4881" i="15"/>
  <c r="L4882" i="15"/>
  <c r="L4883" i="15"/>
  <c r="L4884" i="15"/>
  <c r="L4885" i="15"/>
  <c r="L4886" i="15"/>
  <c r="L4887" i="15"/>
  <c r="L4888" i="15"/>
  <c r="L4889" i="15"/>
  <c r="L4890" i="15"/>
  <c r="L4891" i="15"/>
  <c r="L4892" i="15"/>
  <c r="L4893" i="15"/>
  <c r="L4894" i="15"/>
  <c r="L4895" i="15"/>
  <c r="L4896" i="15"/>
  <c r="L4897" i="15"/>
  <c r="L4898" i="15"/>
  <c r="L4899" i="15"/>
  <c r="L4900" i="15"/>
  <c r="L4901" i="15"/>
  <c r="L4902" i="15"/>
  <c r="L4903" i="15"/>
  <c r="L4904" i="15"/>
  <c r="L4905" i="15"/>
  <c r="L4906" i="15"/>
  <c r="L4907" i="15"/>
  <c r="L4908" i="15"/>
  <c r="L4909" i="15"/>
  <c r="L4910" i="15"/>
  <c r="L4911" i="15"/>
  <c r="L4912" i="15"/>
  <c r="L4913" i="15"/>
  <c r="L4914" i="15"/>
  <c r="L4915" i="15"/>
  <c r="L4916" i="15"/>
  <c r="L4917" i="15"/>
  <c r="L4918" i="15"/>
  <c r="L4919" i="15"/>
  <c r="L4920" i="15"/>
  <c r="L4921" i="15"/>
  <c r="L4922" i="15"/>
  <c r="L4923" i="15"/>
  <c r="L4924" i="15"/>
  <c r="L4925" i="15"/>
  <c r="L4926" i="15"/>
  <c r="L4927" i="15"/>
  <c r="L4928" i="15"/>
  <c r="L4929" i="15"/>
  <c r="L4930" i="15"/>
  <c r="L4931" i="15"/>
  <c r="L4932" i="15"/>
  <c r="L4933" i="15"/>
  <c r="L4934" i="15"/>
  <c r="L4935" i="15"/>
  <c r="L4936" i="15"/>
  <c r="L4937" i="15"/>
  <c r="L4938" i="15"/>
  <c r="L4939" i="15"/>
  <c r="L4940" i="15"/>
  <c r="L4941" i="15"/>
  <c r="L4942" i="15"/>
  <c r="L4943" i="15"/>
  <c r="L4944" i="15"/>
  <c r="L4945" i="15"/>
  <c r="L4946" i="15"/>
  <c r="L4947" i="15"/>
  <c r="L4948" i="15"/>
  <c r="L4949" i="15"/>
  <c r="L4950" i="15"/>
  <c r="L4951" i="15"/>
  <c r="L4952" i="15"/>
  <c r="L4953" i="15"/>
  <c r="L4954" i="15"/>
  <c r="L4955" i="15"/>
  <c r="L4956" i="15"/>
  <c r="L4957" i="15"/>
  <c r="L4958" i="15"/>
  <c r="L4959" i="15"/>
  <c r="L4960" i="15"/>
  <c r="L4961" i="15"/>
  <c r="L4962" i="15"/>
  <c r="L4963" i="15"/>
  <c r="L4964" i="15"/>
  <c r="L4965" i="15"/>
  <c r="L4966" i="15"/>
  <c r="L4967" i="15"/>
  <c r="L4968" i="15"/>
  <c r="L4969" i="15"/>
  <c r="L4970" i="15"/>
  <c r="L4971" i="15"/>
  <c r="L4972" i="15"/>
  <c r="L4973" i="15"/>
  <c r="L4974" i="15"/>
  <c r="L4975" i="15"/>
  <c r="L4976" i="15"/>
  <c r="L4977" i="15"/>
  <c r="L4978" i="15"/>
  <c r="L4979" i="15"/>
  <c r="L4980" i="15"/>
  <c r="L4981" i="15"/>
  <c r="L4982" i="15"/>
  <c r="L4983" i="15"/>
  <c r="L4984" i="15"/>
  <c r="L4985" i="15"/>
  <c r="L4986" i="15"/>
  <c r="L4987" i="15"/>
  <c r="L4988" i="15"/>
  <c r="L4989" i="15"/>
  <c r="L4990" i="15"/>
  <c r="L4991" i="15"/>
  <c r="L4992" i="15"/>
  <c r="L4993" i="15"/>
  <c r="L4994" i="15"/>
  <c r="L4995" i="15"/>
  <c r="L4996" i="15"/>
  <c r="L4997" i="15"/>
  <c r="L4998" i="15"/>
  <c r="L4999" i="15"/>
  <c r="L5000" i="15"/>
  <c r="L5001" i="15"/>
  <c r="L5002" i="15"/>
  <c r="L5003" i="15"/>
  <c r="L5004" i="15"/>
  <c r="L5005" i="15"/>
  <c r="L5006" i="15"/>
  <c r="L5007" i="15"/>
  <c r="L5008" i="15"/>
  <c r="L5009" i="15"/>
  <c r="L5010" i="15"/>
  <c r="L5011" i="15"/>
  <c r="L5012" i="15"/>
  <c r="L5013" i="15"/>
  <c r="L5014" i="15"/>
  <c r="L5015" i="15"/>
  <c r="L5016" i="15"/>
  <c r="L5017" i="15"/>
  <c r="L5018" i="15"/>
  <c r="L5019" i="15"/>
  <c r="L5020" i="15"/>
  <c r="L5021" i="15"/>
  <c r="L5022" i="15"/>
  <c r="L5023" i="15"/>
  <c r="L5024" i="15"/>
  <c r="L5025" i="15"/>
  <c r="L5026" i="15"/>
  <c r="L5027" i="15"/>
  <c r="L5028" i="15"/>
  <c r="L5029" i="15"/>
  <c r="L5030" i="15"/>
  <c r="L5031" i="15"/>
  <c r="L5032" i="15"/>
  <c r="L5033" i="15"/>
  <c r="L5034" i="15"/>
  <c r="L5035" i="15"/>
  <c r="L5036" i="15"/>
  <c r="L5037" i="15"/>
  <c r="L5038" i="15"/>
  <c r="L5039" i="15"/>
  <c r="L5040" i="15"/>
  <c r="L5041" i="15"/>
  <c r="L5043" i="15"/>
  <c r="L5045" i="15"/>
  <c r="L5046" i="15"/>
  <c r="L5047" i="15"/>
  <c r="L5049" i="15"/>
  <c r="L5051" i="15"/>
  <c r="L5052" i="15"/>
  <c r="L5054" i="15"/>
  <c r="L5058" i="15"/>
  <c r="L5060" i="15"/>
  <c r="L5062" i="15"/>
  <c r="L5066" i="15"/>
  <c r="L5067" i="15"/>
  <c r="L5068" i="15"/>
  <c r="L5072" i="15"/>
  <c r="L5086" i="15"/>
  <c r="L5087" i="15"/>
  <c r="L5090" i="15"/>
  <c r="L5091" i="15"/>
  <c r="L5092" i="15"/>
  <c r="L5093" i="15"/>
  <c r="L5094" i="15"/>
  <c r="L5095" i="15"/>
  <c r="L5096" i="15"/>
  <c r="L5097" i="15"/>
  <c r="L5098" i="15"/>
  <c r="L5099" i="15"/>
  <c r="L5100" i="15"/>
  <c r="L5101" i="15"/>
  <c r="L5102" i="15"/>
  <c r="L5103" i="15"/>
  <c r="L5104" i="15"/>
  <c r="L5105" i="15"/>
  <c r="L5106" i="15"/>
  <c r="L5107" i="15"/>
  <c r="L5108" i="15"/>
  <c r="L5109" i="15"/>
  <c r="L5110" i="15"/>
  <c r="L5111" i="15"/>
  <c r="L5112" i="15"/>
  <c r="L5113" i="15"/>
  <c r="L5116" i="15"/>
  <c r="L5122" i="15"/>
  <c r="L5128" i="15"/>
  <c r="L5129" i="15"/>
  <c r="L5130" i="15"/>
  <c r="L5131" i="15"/>
  <c r="L5133" i="15"/>
  <c r="L5135" i="15"/>
  <c r="L5137" i="15"/>
  <c r="L5139" i="15"/>
  <c r="L5141" i="15"/>
  <c r="L5143" i="15"/>
  <c r="L5144" i="15"/>
  <c r="L5145" i="15"/>
  <c r="L5146" i="15"/>
  <c r="L5147" i="15"/>
  <c r="L5148" i="15"/>
  <c r="L5149" i="15"/>
  <c r="L5150" i="15"/>
  <c r="L5151" i="15"/>
  <c r="L5152" i="15"/>
  <c r="L5153" i="15"/>
  <c r="L5154" i="15"/>
  <c r="L5155" i="15"/>
  <c r="L5156" i="15"/>
  <c r="L5157" i="15"/>
  <c r="L5158" i="15"/>
  <c r="L5159" i="15"/>
  <c r="L5160" i="15"/>
  <c r="L5161" i="15"/>
  <c r="L5162" i="15"/>
  <c r="L5163" i="15"/>
  <c r="L5164" i="15"/>
  <c r="L5165" i="15"/>
  <c r="L5166" i="15"/>
  <c r="L5167" i="15"/>
  <c r="L5168" i="15"/>
  <c r="L5169" i="15"/>
  <c r="L5170" i="15"/>
  <c r="L5171" i="15"/>
  <c r="L5172" i="15"/>
  <c r="L5173" i="15"/>
  <c r="L5174" i="15"/>
  <c r="L5175" i="15"/>
  <c r="L5176" i="15"/>
  <c r="L5177" i="15"/>
  <c r="L5178" i="15"/>
  <c r="L5179" i="15"/>
  <c r="L5180" i="15"/>
  <c r="L5181" i="15"/>
  <c r="L5182" i="15"/>
  <c r="L5183" i="15"/>
  <c r="L5184" i="15"/>
  <c r="L5185" i="15"/>
  <c r="L5186" i="15"/>
  <c r="L5187" i="15"/>
  <c r="L5188" i="15"/>
  <c r="L5189" i="15"/>
  <c r="L5190" i="15"/>
  <c r="L5191" i="15"/>
  <c r="L5192" i="15"/>
  <c r="L5193" i="15"/>
  <c r="L5194" i="15"/>
  <c r="L5195" i="15"/>
  <c r="L5196" i="15"/>
  <c r="L5197" i="15"/>
  <c r="L5198" i="15"/>
  <c r="L5200" i="15"/>
  <c r="L5201" i="15"/>
  <c r="L5202" i="15"/>
  <c r="L5203" i="15"/>
  <c r="L5204" i="15"/>
  <c r="L5207" i="15"/>
  <c r="L5208" i="15"/>
  <c r="L5209" i="15"/>
  <c r="L5210" i="15"/>
  <c r="L5211" i="15"/>
  <c r="L5213" i="15"/>
  <c r="L5214" i="15"/>
  <c r="L5215" i="15"/>
  <c r="L5216" i="15"/>
  <c r="L5217" i="15"/>
  <c r="L5218" i="15"/>
  <c r="L5221" i="15"/>
  <c r="L5222" i="15"/>
  <c r="L5223" i="15"/>
  <c r="L5224" i="15"/>
  <c r="L5227" i="15"/>
  <c r="L5229" i="15"/>
  <c r="L5231" i="15"/>
  <c r="L5233" i="15"/>
  <c r="L5235" i="15"/>
  <c r="L5237" i="15"/>
  <c r="L5239" i="15"/>
  <c r="L5240" i="15"/>
  <c r="L5241" i="15"/>
  <c r="L5254" i="15"/>
  <c r="L5255" i="15"/>
  <c r="L5256" i="15"/>
  <c r="L5257" i="15"/>
  <c r="L5258" i="15"/>
  <c r="L5259" i="15"/>
  <c r="L5260" i="15"/>
  <c r="L5261" i="15"/>
  <c r="L5262" i="15"/>
  <c r="L5263" i="15"/>
  <c r="L5265" i="15"/>
  <c r="L5266" i="15"/>
  <c r="L5267" i="15"/>
  <c r="L5268" i="15"/>
  <c r="L5269" i="15"/>
  <c r="L5271" i="15"/>
  <c r="L5272" i="15"/>
  <c r="L5273" i="15"/>
  <c r="L5274" i="15"/>
  <c r="L5275" i="15"/>
  <c r="L5276" i="15"/>
  <c r="L5277" i="15"/>
  <c r="L5278" i="15"/>
  <c r="L5279" i="15"/>
  <c r="L5280" i="15"/>
  <c r="L5281" i="15"/>
  <c r="L5282" i="15"/>
  <c r="L5283" i="15"/>
  <c r="L5284" i="15"/>
  <c r="L5285" i="15"/>
  <c r="L5286" i="15"/>
  <c r="L5287" i="15"/>
  <c r="L5288" i="15"/>
  <c r="L5289" i="15"/>
  <c r="L5290" i="15"/>
  <c r="L5291" i="15"/>
  <c r="L5292" i="15"/>
  <c r="L5293" i="15"/>
  <c r="L5294" i="15"/>
  <c r="L5295" i="15"/>
  <c r="L5296" i="15"/>
  <c r="L5297" i="15"/>
  <c r="L5298" i="15"/>
  <c r="L5299" i="15"/>
  <c r="L5300" i="15"/>
  <c r="L5301" i="15"/>
  <c r="L5302" i="15"/>
  <c r="L5303" i="15"/>
  <c r="L5304" i="15"/>
  <c r="L5305" i="15"/>
  <c r="L5306" i="15"/>
  <c r="L5307" i="15"/>
  <c r="L5308" i="15"/>
  <c r="L5309" i="15"/>
  <c r="L5310" i="15"/>
  <c r="L5311" i="15"/>
  <c r="L5312" i="15"/>
  <c r="L5313" i="15"/>
  <c r="L5314" i="15"/>
  <c r="L5315" i="15"/>
  <c r="L5316" i="15"/>
  <c r="L5317" i="15"/>
  <c r="L5318" i="15"/>
  <c r="L5319" i="15"/>
  <c r="L5320" i="15"/>
  <c r="L5321" i="15"/>
  <c r="L5322" i="15"/>
  <c r="L5323" i="15"/>
  <c r="L5324" i="15"/>
  <c r="L5325" i="15"/>
  <c r="L5326" i="15"/>
  <c r="L5327" i="15"/>
  <c r="L5328" i="15"/>
  <c r="L5329" i="15"/>
  <c r="L5330" i="15"/>
  <c r="L5331" i="15"/>
  <c r="L5332" i="15"/>
  <c r="L5333" i="15"/>
  <c r="L5334" i="15"/>
  <c r="L5335" i="15"/>
  <c r="L5336" i="15"/>
  <c r="L5337" i="15"/>
  <c r="L5338" i="15"/>
  <c r="L5339" i="15"/>
  <c r="L5343" i="15"/>
  <c r="L5344" i="15"/>
  <c r="L5345" i="15"/>
  <c r="L5349" i="15"/>
  <c r="L5350" i="15"/>
  <c r="L5351" i="15"/>
  <c r="L5354" i="15"/>
  <c r="L5355" i="15"/>
  <c r="L5356" i="15"/>
  <c r="L5357" i="15"/>
  <c r="L5358" i="15"/>
  <c r="L5359" i="15"/>
  <c r="L5360" i="15"/>
  <c r="L5362" i="15"/>
  <c r="L5363" i="15"/>
  <c r="L5364" i="15"/>
  <c r="L5366" i="15"/>
  <c r="L5368" i="15"/>
  <c r="L5369" i="15"/>
  <c r="L5372" i="15"/>
  <c r="L5375" i="15"/>
  <c r="L5376" i="15"/>
  <c r="L5377" i="15"/>
  <c r="L5378" i="15"/>
  <c r="L5379" i="15"/>
  <c r="L5380" i="15"/>
  <c r="L5381" i="15"/>
  <c r="L5382" i="15"/>
  <c r="L5383" i="15"/>
  <c r="L5384" i="15"/>
  <c r="L5385" i="15"/>
  <c r="L5386" i="15"/>
  <c r="L5387" i="15"/>
  <c r="L5388" i="15"/>
  <c r="L5389" i="15"/>
  <c r="L5390" i="15"/>
  <c r="L5391" i="15"/>
  <c r="L5392" i="15"/>
  <c r="L5393" i="15"/>
  <c r="L5394" i="15"/>
  <c r="L5395" i="15"/>
  <c r="L5396" i="15"/>
  <c r="L5397" i="15"/>
  <c r="L5399" i="15"/>
  <c r="L5400" i="15"/>
  <c r="L5401" i="15"/>
  <c r="L5402" i="15"/>
  <c r="L5403" i="15"/>
  <c r="L5405" i="15"/>
  <c r="L5406" i="15"/>
  <c r="L5407" i="15"/>
  <c r="L5408" i="15"/>
  <c r="L5409" i="15"/>
  <c r="L5410" i="15"/>
  <c r="L5412" i="15"/>
  <c r="L5413" i="15"/>
  <c r="L5414" i="15"/>
  <c r="L5415" i="15"/>
  <c r="L5416" i="15"/>
  <c r="L5417" i="15"/>
  <c r="L5418" i="15"/>
  <c r="L5420" i="15"/>
  <c r="L5421" i="15"/>
  <c r="L5422" i="15"/>
  <c r="L5423" i="15"/>
  <c r="L5424" i="15"/>
  <c r="L5426" i="15"/>
  <c r="L5427" i="15"/>
  <c r="L5428" i="15"/>
  <c r="L5429" i="15"/>
  <c r="L5430" i="15"/>
  <c r="L5431" i="15"/>
  <c r="L5432" i="15"/>
  <c r="L5433" i="15"/>
  <c r="L5434" i="15"/>
  <c r="L5435" i="15"/>
  <c r="L5436" i="15"/>
  <c r="L5437" i="15"/>
  <c r="L5438" i="15"/>
  <c r="L5439" i="15"/>
  <c r="L5440" i="15"/>
  <c r="L5441" i="15"/>
  <c r="L5442" i="15"/>
  <c r="L5443" i="15"/>
  <c r="L5444" i="15"/>
  <c r="L5445" i="15"/>
  <c r="L5446" i="15"/>
  <c r="L5447" i="15"/>
  <c r="L5448" i="15"/>
  <c r="L5449" i="15"/>
  <c r="L5450" i="15"/>
  <c r="L5451" i="15"/>
  <c r="L5452" i="15"/>
  <c r="L5453" i="15"/>
  <c r="L5454" i="15"/>
  <c r="L5455" i="15"/>
  <c r="L5456" i="15"/>
  <c r="L5457" i="15"/>
  <c r="L5458" i="15"/>
  <c r="L5459" i="15"/>
  <c r="L5460" i="15"/>
  <c r="L5461" i="15"/>
  <c r="L5462" i="15"/>
  <c r="L5463" i="15"/>
  <c r="L5464" i="15"/>
  <c r="L5465" i="15"/>
  <c r="L5466" i="15"/>
  <c r="L5467" i="15"/>
  <c r="L5468" i="15"/>
  <c r="L5469" i="15"/>
  <c r="L5470" i="15"/>
  <c r="L5471" i="15"/>
  <c r="L5472" i="15"/>
  <c r="L5473" i="15"/>
  <c r="L5474" i="15"/>
  <c r="L5475" i="15"/>
  <c r="L5476" i="15"/>
  <c r="L5477" i="15"/>
  <c r="L5478" i="15"/>
  <c r="L5479" i="15"/>
  <c r="L5480" i="15"/>
  <c r="L5481" i="15"/>
  <c r="L5482" i="15"/>
  <c r="L5483" i="15"/>
  <c r="L5484" i="15"/>
  <c r="L5485" i="15"/>
  <c r="L5486" i="15"/>
  <c r="L5487" i="15"/>
  <c r="L5488" i="15"/>
  <c r="L5489" i="15"/>
  <c r="L5490" i="15"/>
  <c r="L5491" i="15"/>
  <c r="L5492" i="15"/>
  <c r="L5493" i="15"/>
  <c r="L5494" i="15"/>
  <c r="L5495" i="15"/>
  <c r="L5496" i="15"/>
  <c r="L5497" i="15"/>
  <c r="L5498" i="15"/>
  <c r="L5499" i="15"/>
  <c r="L5500" i="15"/>
  <c r="L5501" i="15"/>
  <c r="L5502" i="15"/>
  <c r="L5503" i="15"/>
  <c r="L5504" i="15"/>
  <c r="L5505" i="15"/>
  <c r="L5506" i="15"/>
  <c r="L5507" i="15"/>
  <c r="L5508" i="15"/>
  <c r="L5509" i="15"/>
  <c r="L5510" i="15"/>
  <c r="L5511" i="15"/>
  <c r="L5512" i="15"/>
  <c r="L5513" i="15"/>
  <c r="L5514" i="15"/>
  <c r="L5515" i="15"/>
  <c r="L5516" i="15"/>
  <c r="L5517" i="15"/>
  <c r="L5518" i="15"/>
  <c r="L5519" i="15"/>
  <c r="L5520" i="15"/>
  <c r="L5521" i="15"/>
  <c r="L5522" i="15"/>
  <c r="L5523" i="15"/>
  <c r="L5524" i="15"/>
  <c r="L5525" i="15"/>
  <c r="L5526" i="15"/>
  <c r="L5527" i="15"/>
  <c r="L5528" i="15"/>
  <c r="L5529" i="15"/>
  <c r="L5530" i="15"/>
  <c r="L5531" i="15"/>
  <c r="L5532" i="15"/>
  <c r="L5533" i="15"/>
  <c r="L5534" i="15"/>
  <c r="L5535" i="15"/>
  <c r="L5536" i="15"/>
  <c r="L5537" i="15"/>
  <c r="L5538" i="15"/>
  <c r="L5539" i="15"/>
  <c r="L5540" i="15"/>
  <c r="L5541" i="15"/>
  <c r="L5542" i="15"/>
  <c r="L5543" i="15"/>
  <c r="L5544" i="15"/>
  <c r="L5545" i="15"/>
  <c r="L5546" i="15"/>
  <c r="L5547" i="15"/>
  <c r="L5548" i="15"/>
  <c r="L5549" i="15"/>
  <c r="L5550" i="15"/>
  <c r="L5551" i="15"/>
  <c r="L5552" i="15"/>
  <c r="L5553" i="15"/>
  <c r="L5554" i="15"/>
  <c r="L5555" i="15"/>
  <c r="L5556" i="15"/>
  <c r="L5557" i="15"/>
  <c r="L5558" i="15"/>
  <c r="L5559" i="15"/>
  <c r="L5560" i="15"/>
  <c r="L5561" i="15"/>
  <c r="L5562" i="15"/>
  <c r="L5563" i="15"/>
  <c r="L5564" i="15"/>
  <c r="L5565" i="15"/>
  <c r="L5566" i="15"/>
  <c r="L5567" i="15"/>
  <c r="L5568" i="15"/>
  <c r="L5569" i="15"/>
  <c r="L5570" i="15"/>
  <c r="L5571" i="15"/>
  <c r="L5572" i="15"/>
  <c r="L5573" i="15"/>
  <c r="L5574" i="15"/>
  <c r="L5575" i="15"/>
  <c r="L5576" i="15"/>
  <c r="L5577" i="15"/>
  <c r="L5578" i="15"/>
  <c r="L5579" i="15"/>
  <c r="L5580" i="15"/>
  <c r="L5581" i="15"/>
  <c r="L5582" i="15"/>
  <c r="L5583" i="15"/>
  <c r="L5584" i="15"/>
  <c r="L5585" i="15"/>
  <c r="L5586" i="15"/>
  <c r="L5587" i="15"/>
  <c r="L5588" i="15"/>
  <c r="L5589" i="15"/>
  <c r="L5590" i="15"/>
  <c r="L5591" i="15"/>
  <c r="L5592" i="15"/>
  <c r="L5593" i="15"/>
  <c r="L5594" i="15"/>
  <c r="L5595" i="15"/>
  <c r="L5596" i="15"/>
  <c r="L5597" i="15"/>
  <c r="L5598" i="15"/>
  <c r="L5599" i="15"/>
  <c r="L5600" i="15"/>
  <c r="L5601" i="15"/>
  <c r="L5602" i="15"/>
  <c r="L5603" i="15"/>
  <c r="L5604" i="15"/>
  <c r="L5605" i="15"/>
  <c r="L5606" i="15"/>
  <c r="L5607" i="15"/>
  <c r="L5608" i="15"/>
  <c r="L5609" i="15"/>
  <c r="L5610" i="15"/>
  <c r="L5611" i="15"/>
  <c r="L5612" i="15"/>
  <c r="L5613" i="15"/>
  <c r="L5614" i="15"/>
  <c r="L5615" i="15"/>
  <c r="L5616" i="15"/>
  <c r="L5617" i="15"/>
  <c r="L5618" i="15"/>
  <c r="L5619" i="15"/>
  <c r="L5620" i="15"/>
  <c r="L5621" i="15"/>
  <c r="L5622" i="15"/>
  <c r="L5623" i="15"/>
  <c r="L5624" i="15"/>
  <c r="L5625" i="15"/>
  <c r="L5626" i="15"/>
  <c r="L5627" i="15"/>
  <c r="L5628" i="15"/>
  <c r="L5629" i="15"/>
  <c r="L5630" i="15"/>
  <c r="L5631" i="15"/>
  <c r="L5632" i="15"/>
  <c r="L5633" i="15"/>
  <c r="L5634" i="15"/>
  <c r="L5635" i="15"/>
  <c r="L5636" i="15"/>
  <c r="L5637" i="15"/>
  <c r="L5638" i="15"/>
  <c r="L5639" i="15"/>
  <c r="L5640" i="15"/>
  <c r="L5641" i="15"/>
  <c r="L5642" i="15"/>
  <c r="L5643" i="15"/>
  <c r="L5646" i="15"/>
  <c r="L5647" i="15"/>
  <c r="L5648" i="15"/>
  <c r="L5649" i="15"/>
  <c r="L5652" i="15"/>
  <c r="L5653" i="15"/>
  <c r="L5654" i="15"/>
  <c r="L5655" i="15"/>
  <c r="L5656" i="15"/>
  <c r="L5657" i="15"/>
  <c r="L5658" i="15"/>
  <c r="L5659" i="15"/>
  <c r="L5660" i="15"/>
  <c r="L5661" i="15"/>
  <c r="L5662" i="15"/>
  <c r="L5663" i="15"/>
  <c r="L5664" i="15"/>
  <c r="L5665" i="15"/>
  <c r="L5666" i="15"/>
  <c r="L5667" i="15"/>
  <c r="L5668" i="15"/>
  <c r="L5669" i="15"/>
  <c r="L5670" i="15"/>
  <c r="L5671" i="15"/>
  <c r="L5672" i="15"/>
  <c r="L5673" i="15"/>
  <c r="L5674" i="15"/>
  <c r="L5675" i="15"/>
  <c r="L5676" i="15"/>
  <c r="L5677" i="15"/>
  <c r="L5678" i="15"/>
  <c r="L5679" i="15"/>
  <c r="L5680" i="15"/>
  <c r="L5681" i="15"/>
  <c r="L5682" i="15"/>
  <c r="L5683" i="15"/>
  <c r="L5684" i="15"/>
  <c r="L5685" i="15"/>
  <c r="L5686" i="15"/>
  <c r="L5687" i="15"/>
  <c r="L5688" i="15"/>
  <c r="L5689" i="15"/>
  <c r="L5690" i="15"/>
  <c r="L5691" i="15"/>
  <c r="L5692" i="15"/>
  <c r="L5693" i="15"/>
  <c r="L5694" i="15"/>
  <c r="L5695" i="15"/>
  <c r="L5696" i="15"/>
  <c r="L5697" i="15"/>
  <c r="L5698" i="15"/>
  <c r="L5699" i="15"/>
  <c r="L5700" i="15"/>
  <c r="L5701" i="15"/>
  <c r="L5702" i="15"/>
  <c r="L5703" i="15"/>
  <c r="L5704" i="15"/>
  <c r="L5705" i="15"/>
  <c r="L5706" i="15"/>
  <c r="L5707" i="15"/>
  <c r="L5708" i="15"/>
  <c r="L5709" i="15"/>
  <c r="L5710" i="15"/>
  <c r="L5712" i="15"/>
  <c r="L5713" i="15"/>
  <c r="L5714" i="15"/>
  <c r="L5715" i="15"/>
  <c r="L5716" i="15"/>
  <c r="L5718" i="15"/>
  <c r="L5719" i="15"/>
  <c r="L5720" i="15"/>
  <c r="L5721" i="15"/>
  <c r="L5722" i="15"/>
  <c r="L5724" i="15"/>
  <c r="L5725" i="15"/>
  <c r="L5726" i="15"/>
  <c r="L5727" i="15"/>
  <c r="L5728" i="15"/>
  <c r="L5730" i="15"/>
  <c r="L5731" i="15"/>
  <c r="L5732" i="15"/>
  <c r="L5733" i="15"/>
  <c r="L5734" i="15"/>
  <c r="L5735" i="15"/>
  <c r="L5736" i="15"/>
  <c r="L5737" i="15"/>
  <c r="L5738" i="15"/>
  <c r="L5739" i="15"/>
  <c r="L5740" i="15"/>
  <c r="L5741" i="15"/>
  <c r="L5742" i="15"/>
  <c r="L5743" i="15"/>
  <c r="L5744" i="15"/>
  <c r="L5745" i="15"/>
  <c r="L5746" i="15"/>
  <c r="L5747" i="15"/>
  <c r="L5749" i="15"/>
  <c r="L5750" i="15"/>
  <c r="L5751" i="15"/>
  <c r="L5753" i="15"/>
  <c r="L5758" i="15"/>
  <c r="L5759" i="15"/>
  <c r="L5762" i="15"/>
  <c r="L5763" i="15"/>
  <c r="L5765" i="15"/>
  <c r="L5767" i="15"/>
  <c r="L5768" i="15"/>
  <c r="L5769" i="15"/>
  <c r="L5770" i="15"/>
  <c r="L5771" i="15"/>
  <c r="L5773" i="15"/>
  <c r="L5774" i="15"/>
  <c r="L5775" i="15"/>
  <c r="L5776" i="15"/>
  <c r="L5777" i="15"/>
  <c r="L5778" i="15"/>
  <c r="L5779" i="15"/>
  <c r="L5780" i="15"/>
  <c r="L5781" i="15"/>
  <c r="L5782" i="15"/>
  <c r="L5783" i="15"/>
  <c r="L5784" i="15"/>
  <c r="L5785" i="15"/>
  <c r="L5786" i="15"/>
  <c r="L5787" i="15"/>
  <c r="L5788" i="15"/>
  <c r="L5789" i="15"/>
  <c r="L5790" i="15"/>
  <c r="L5791" i="15"/>
  <c r="L5792" i="15"/>
  <c r="L5793" i="15"/>
  <c r="L5794" i="15"/>
  <c r="L5795" i="15"/>
  <c r="L5796" i="15"/>
  <c r="L5797" i="15"/>
  <c r="L5798" i="15"/>
  <c r="L5799" i="15"/>
  <c r="L5800" i="15"/>
  <c r="L5801" i="15"/>
  <c r="L5802" i="15"/>
  <c r="L5804" i="15"/>
  <c r="L5805" i="15"/>
  <c r="L5806" i="15"/>
  <c r="L5807" i="15"/>
  <c r="L5808" i="15"/>
  <c r="L5810" i="15"/>
  <c r="L5811" i="15"/>
  <c r="L5812" i="15"/>
  <c r="L5813" i="15"/>
  <c r="L5814" i="15"/>
  <c r="L5815" i="15"/>
  <c r="L5817" i="15"/>
  <c r="L5818" i="15"/>
  <c r="L5819" i="15"/>
  <c r="L5820" i="15"/>
  <c r="L5821" i="15"/>
  <c r="L5823" i="15"/>
  <c r="L5824" i="15"/>
  <c r="L5825" i="15"/>
  <c r="L5826" i="15"/>
  <c r="L5827" i="15"/>
  <c r="L5829" i="15"/>
  <c r="L5830" i="15"/>
  <c r="L5831" i="15"/>
  <c r="L5835" i="15"/>
  <c r="L5836" i="15"/>
  <c r="L5837" i="15"/>
  <c r="L5840" i="15"/>
  <c r="L5841" i="15"/>
  <c r="L5842" i="15"/>
  <c r="L5843" i="15"/>
  <c r="L5844" i="15"/>
  <c r="L5845" i="15"/>
  <c r="L5846" i="15"/>
  <c r="L5847" i="15"/>
  <c r="L5848" i="15"/>
  <c r="L5849" i="15"/>
  <c r="L5850" i="15"/>
  <c r="L5851" i="15"/>
  <c r="L5852" i="15"/>
  <c r="L5853" i="15"/>
  <c r="L5854" i="15"/>
  <c r="L5855" i="15"/>
  <c r="L5856" i="15"/>
  <c r="L5857" i="15"/>
  <c r="L5858" i="15"/>
  <c r="L5859" i="15"/>
  <c r="L5860" i="15"/>
  <c r="L5861" i="15"/>
  <c r="L5862" i="15"/>
  <c r="L5863" i="15"/>
  <c r="L5864" i="15"/>
  <c r="L5865" i="15"/>
  <c r="L5866" i="15"/>
  <c r="L5867" i="15"/>
  <c r="L5868" i="15"/>
  <c r="L5869" i="15"/>
  <c r="L5870" i="15"/>
  <c r="L5871" i="15"/>
  <c r="L5872" i="15"/>
  <c r="L5873" i="15"/>
  <c r="L5874" i="15"/>
  <c r="L5875" i="15"/>
  <c r="L5876" i="15"/>
  <c r="L5877" i="15"/>
  <c r="L5878" i="15"/>
  <c r="L5879" i="15"/>
  <c r="L5880" i="15"/>
  <c r="L5881" i="15"/>
  <c r="L5882" i="15"/>
  <c r="L5883" i="15"/>
  <c r="L5884" i="15"/>
  <c r="L5885" i="15"/>
  <c r="L5886" i="15"/>
  <c r="L5887" i="15"/>
  <c r="L5888" i="15"/>
  <c r="L5889" i="15"/>
  <c r="L5890" i="15"/>
  <c r="L5891" i="15"/>
  <c r="L5892" i="15"/>
  <c r="L5893" i="15"/>
  <c r="L5895" i="15"/>
  <c r="L5896" i="15"/>
  <c r="L5897" i="15"/>
  <c r="L5898" i="15"/>
  <c r="L5899" i="15"/>
  <c r="L5901" i="15"/>
  <c r="L5902" i="15"/>
  <c r="L5903" i="15"/>
  <c r="L5904" i="15"/>
  <c r="L5905" i="15"/>
  <c r="L5906" i="15"/>
  <c r="L5907" i="15"/>
  <c r="L5908" i="15"/>
  <c r="L5909" i="15"/>
  <c r="L5910" i="15"/>
  <c r="L5911" i="15"/>
  <c r="L5912" i="15"/>
  <c r="L5913" i="15"/>
  <c r="L5914" i="15"/>
  <c r="L5915" i="15"/>
  <c r="L5916" i="15"/>
  <c r="L5917" i="15"/>
  <c r="L5918" i="15"/>
  <c r="L5919" i="15"/>
  <c r="L5920" i="15"/>
  <c r="L5921" i="15"/>
  <c r="L5922" i="15"/>
  <c r="L5923" i="15"/>
  <c r="L5924" i="15"/>
  <c r="L5925" i="15"/>
  <c r="L5926" i="15"/>
  <c r="L5927" i="15"/>
  <c r="L5928" i="15"/>
  <c r="L5930" i="15"/>
  <c r="L5931" i="15"/>
  <c r="L5932" i="15"/>
  <c r="L5933" i="15"/>
  <c r="L5934" i="15"/>
  <c r="L5936" i="15"/>
  <c r="L5937" i="15"/>
  <c r="L5938" i="15"/>
  <c r="L5939" i="15"/>
  <c r="L5940" i="15"/>
  <c r="L5941" i="15"/>
  <c r="L5942" i="15"/>
  <c r="L5943" i="15"/>
  <c r="L5944" i="15"/>
  <c r="L5945" i="15"/>
  <c r="L5946" i="15"/>
  <c r="L5947" i="15"/>
  <c r="L5948" i="15"/>
  <c r="L5949" i="15"/>
  <c r="L5950" i="15"/>
  <c r="L5951" i="15"/>
  <c r="L5952" i="15"/>
  <c r="L5953" i="15"/>
  <c r="L5954" i="15"/>
  <c r="L5955" i="15"/>
  <c r="L5956" i="15"/>
  <c r="L5957" i="15"/>
  <c r="L5958" i="15"/>
  <c r="L5959" i="15"/>
  <c r="L5960" i="15"/>
  <c r="L5961" i="15"/>
  <c r="L5962" i="15"/>
  <c r="L5963" i="15"/>
  <c r="L5964" i="15"/>
  <c r="L5965" i="15"/>
  <c r="L5966" i="15"/>
  <c r="L5967" i="15"/>
  <c r="L5968" i="15"/>
  <c r="L5969" i="15"/>
  <c r="L5970" i="15"/>
  <c r="L5971" i="15"/>
  <c r="L5972" i="15"/>
  <c r="L5973" i="15"/>
  <c r="L5974" i="15"/>
  <c r="L5975" i="15"/>
  <c r="L5976" i="15"/>
  <c r="L5977" i="15"/>
  <c r="L5978" i="15"/>
  <c r="L5979" i="15"/>
  <c r="L5980" i="15"/>
  <c r="L5981" i="15"/>
  <c r="L5982" i="15"/>
  <c r="L5983" i="15"/>
  <c r="L5984" i="15"/>
  <c r="L5985" i="15"/>
  <c r="L5986" i="15"/>
  <c r="L5987" i="15"/>
  <c r="L5988" i="15"/>
  <c r="L5989" i="15"/>
  <c r="L5990" i="15"/>
  <c r="L5991" i="15"/>
  <c r="L5992" i="15"/>
  <c r="L5993" i="15"/>
  <c r="L5994" i="15"/>
  <c r="L5996" i="15"/>
  <c r="L5997" i="15"/>
  <c r="L5998" i="15"/>
  <c r="L5999" i="15"/>
  <c r="L6000" i="15"/>
  <c r="L6002" i="15"/>
  <c r="L6003" i="15"/>
  <c r="L6004" i="15"/>
  <c r="L6005" i="15"/>
  <c r="L6006" i="15"/>
  <c r="L6007" i="15"/>
  <c r="L6008" i="15"/>
  <c r="L6009" i="15"/>
  <c r="L6012" i="15"/>
  <c r="L6013" i="15"/>
  <c r="L6014" i="15"/>
  <c r="L6018" i="15"/>
  <c r="L6019" i="15"/>
  <c r="L6020" i="15"/>
  <c r="L6023" i="15"/>
  <c r="L6024" i="15"/>
  <c r="L6025" i="15"/>
  <c r="L6026" i="15"/>
  <c r="L6027" i="15"/>
  <c r="L6028" i="15"/>
  <c r="L6030" i="15"/>
  <c r="L6031" i="15"/>
  <c r="L6032" i="15"/>
  <c r="L6033" i="15"/>
  <c r="L6034" i="15"/>
  <c r="L6036" i="15"/>
  <c r="L6037" i="15"/>
  <c r="L6038" i="15"/>
  <c r="L6039" i="15"/>
  <c r="L6040" i="15"/>
  <c r="L6041" i="15"/>
  <c r="L6042" i="15"/>
  <c r="L6043" i="15"/>
  <c r="L6044" i="15"/>
  <c r="L6045" i="15"/>
  <c r="L6046" i="15"/>
  <c r="L6047" i="15"/>
  <c r="L6048" i="15"/>
  <c r="L6049" i="15"/>
  <c r="L6050" i="15"/>
  <c r="L6051" i="15"/>
  <c r="L6052" i="15"/>
  <c r="L6053" i="15"/>
  <c r="L6054" i="15"/>
  <c r="L6055" i="15"/>
  <c r="L6056" i="15"/>
  <c r="L6058" i="15"/>
  <c r="L6059" i="15"/>
  <c r="L6060" i="15"/>
  <c r="L6061" i="15"/>
  <c r="L6064" i="15"/>
  <c r="L6066" i="15"/>
  <c r="L6069" i="15"/>
  <c r="L6074" i="15"/>
  <c r="L6078" i="15"/>
  <c r="L6079" i="15"/>
  <c r="L6080" i="15"/>
  <c r="L6081" i="15"/>
  <c r="L6082" i="15"/>
  <c r="L6083" i="15"/>
  <c r="L6084" i="15"/>
  <c r="L6085" i="15"/>
  <c r="L6086" i="15"/>
  <c r="L6087" i="15"/>
  <c r="L6088" i="15"/>
  <c r="L6089" i="15"/>
  <c r="L6090" i="15"/>
  <c r="L6092" i="15"/>
  <c r="L6093" i="15"/>
  <c r="L6094" i="15"/>
  <c r="L6095" i="15"/>
  <c r="L6096" i="15"/>
  <c r="L6097" i="15"/>
  <c r="L6098" i="15"/>
  <c r="L6099" i="15"/>
  <c r="L6100" i="15"/>
  <c r="L6101" i="15"/>
  <c r="L6102" i="15"/>
  <c r="L6103" i="15"/>
  <c r="L6104" i="15"/>
  <c r="L6105" i="15"/>
  <c r="L6106" i="15"/>
  <c r="L6107" i="15"/>
  <c r="L6108" i="15"/>
  <c r="L6110" i="15"/>
  <c r="L6112" i="15"/>
  <c r="L6113" i="15"/>
  <c r="L6114" i="15"/>
  <c r="L6116" i="15"/>
  <c r="L6119" i="15"/>
  <c r="L6120" i="15"/>
  <c r="L6121" i="15"/>
  <c r="L6122" i="15"/>
  <c r="L6123" i="15"/>
  <c r="L6125" i="15"/>
  <c r="L6126" i="15"/>
  <c r="L6127" i="15"/>
  <c r="L6128" i="15"/>
  <c r="L6129" i="15"/>
  <c r="L6132" i="15"/>
  <c r="L6133" i="15"/>
  <c r="L6134" i="15"/>
  <c r="L6135" i="15"/>
  <c r="L6136" i="15"/>
  <c r="L6138" i="15"/>
  <c r="L6139" i="15"/>
  <c r="L6140" i="15"/>
  <c r="L6141" i="15"/>
  <c r="L6143" i="15"/>
  <c r="L6144" i="15"/>
  <c r="L6145" i="15"/>
  <c r="L6146" i="15"/>
  <c r="L6147" i="15"/>
  <c r="L6149" i="15"/>
  <c r="L6150" i="15"/>
  <c r="L6151" i="15"/>
  <c r="L6152" i="15"/>
  <c r="L6153" i="15"/>
  <c r="L6154" i="15"/>
  <c r="L6155" i="15"/>
  <c r="L6156" i="15"/>
  <c r="L6157" i="15"/>
  <c r="L6158" i="15"/>
  <c r="L6159" i="15"/>
  <c r="L6160" i="15"/>
  <c r="L6161" i="15"/>
  <c r="L6162" i="15"/>
  <c r="L6163" i="15"/>
  <c r="L6164" i="15"/>
  <c r="L6165" i="15"/>
  <c r="L6166" i="15"/>
  <c r="L6167" i="15"/>
  <c r="L6168" i="15"/>
  <c r="L6169" i="15"/>
  <c r="L6172" i="15"/>
  <c r="L6173" i="15"/>
  <c r="L6174" i="15"/>
  <c r="L6175" i="15"/>
  <c r="L6178" i="15"/>
  <c r="L6179" i="15"/>
  <c r="L6182" i="15"/>
  <c r="L6184" i="15"/>
  <c r="L6185" i="15"/>
  <c r="L6189" i="15"/>
  <c r="L6190" i="15"/>
  <c r="L6191" i="15"/>
  <c r="L6195" i="15"/>
  <c r="L6196" i="15"/>
  <c r="L6197" i="15"/>
  <c r="L6199" i="15"/>
  <c r="L6201" i="15"/>
  <c r="L6202" i="15"/>
  <c r="L6203" i="15"/>
  <c r="L6204" i="15"/>
  <c r="L6205" i="15"/>
  <c r="L6207" i="15"/>
  <c r="L6208" i="15"/>
  <c r="L6209" i="15"/>
  <c r="L6210" i="15"/>
  <c r="L6211" i="15"/>
  <c r="L6212" i="15"/>
  <c r="L6213" i="15"/>
  <c r="L6215" i="15"/>
  <c r="L6216" i="15"/>
  <c r="L6219" i="15"/>
  <c r="L6222" i="15"/>
  <c r="L6225" i="15"/>
  <c r="L6228" i="15"/>
  <c r="L6229" i="15"/>
  <c r="L6230" i="15"/>
  <c r="L6231" i="15"/>
  <c r="L6233" i="15"/>
  <c r="L6234" i="15"/>
  <c r="L6235" i="15"/>
  <c r="L6236" i="15"/>
  <c r="L6238" i="15"/>
  <c r="L6239" i="15"/>
  <c r="L6240" i="15"/>
  <c r="L6241" i="15"/>
  <c r="L6242" i="15"/>
  <c r="L6244" i="15"/>
  <c r="L6245" i="15"/>
  <c r="L6246" i="15"/>
  <c r="L6247" i="15"/>
  <c r="L6248" i="15"/>
  <c r="L6249" i="15"/>
  <c r="L6250" i="15"/>
  <c r="L6251" i="15"/>
  <c r="L6252" i="15"/>
  <c r="L6253" i="15"/>
  <c r="L6254" i="15"/>
  <c r="L6255" i="15"/>
  <c r="L6256" i="15"/>
  <c r="L6257" i="15"/>
  <c r="L6258" i="15"/>
  <c r="L6259" i="15"/>
  <c r="L6260" i="15"/>
  <c r="L6261" i="15"/>
  <c r="L6262" i="15"/>
  <c r="L6263" i="15"/>
  <c r="L6264" i="15"/>
  <c r="L6265" i="15"/>
  <c r="L6266" i="15"/>
  <c r="L6267" i="15"/>
  <c r="L6268" i="15"/>
  <c r="L6269" i="15"/>
  <c r="L6270" i="15"/>
  <c r="L6271" i="15"/>
  <c r="L6272" i="15"/>
  <c r="L6273" i="15"/>
  <c r="L6274" i="15"/>
  <c r="L6275" i="15"/>
  <c r="L6276" i="15"/>
  <c r="L6277" i="15"/>
  <c r="L6278" i="15"/>
  <c r="L6279" i="15"/>
  <c r="L6280" i="15"/>
  <c r="L6282" i="15"/>
  <c r="L6283" i="15"/>
  <c r="L6284" i="15"/>
  <c r="L6285" i="15"/>
  <c r="L6286" i="15"/>
  <c r="L6289" i="15"/>
  <c r="L6290" i="15"/>
  <c r="L6291" i="15"/>
  <c r="L6292" i="15"/>
  <c r="L6293" i="15"/>
  <c r="L6295" i="15"/>
  <c r="L6296" i="15"/>
  <c r="L6297" i="15"/>
  <c r="L6298" i="15"/>
  <c r="L6299" i="15"/>
  <c r="L6300" i="15"/>
  <c r="L6301" i="15"/>
  <c r="L6302" i="15"/>
  <c r="L6303" i="15"/>
  <c r="L6304" i="15"/>
  <c r="L6305" i="15"/>
  <c r="L6306" i="15"/>
  <c r="L6307" i="15"/>
  <c r="L6308" i="15"/>
  <c r="L6309" i="15"/>
  <c r="L6310" i="15"/>
  <c r="L6311" i="15"/>
  <c r="L6312" i="15"/>
  <c r="L6313" i="15"/>
  <c r="L6314" i="15"/>
  <c r="L6316" i="15"/>
  <c r="L6317" i="15"/>
  <c r="L6318" i="15"/>
  <c r="L6319" i="15"/>
  <c r="L6320" i="15"/>
  <c r="L6322" i="15"/>
  <c r="L6323" i="15"/>
  <c r="L6324" i="15"/>
  <c r="L6325" i="15"/>
  <c r="L6326" i="15"/>
  <c r="L6328" i="15"/>
  <c r="L6329" i="15"/>
  <c r="L6330" i="15"/>
  <c r="L6331" i="15"/>
  <c r="L6332" i="15"/>
  <c r="L6334" i="15"/>
  <c r="L6335" i="15"/>
  <c r="L6337" i="15"/>
  <c r="L6338" i="15"/>
  <c r="L6339" i="15"/>
  <c r="L6341" i="15"/>
  <c r="L6343" i="15"/>
  <c r="L6344" i="15"/>
  <c r="L6345" i="15"/>
  <c r="L6347" i="15"/>
  <c r="L6348" i="15"/>
  <c r="L6349" i="15"/>
  <c r="L6350" i="15"/>
  <c r="L6351" i="15"/>
  <c r="L6352" i="15"/>
  <c r="L6353" i="15"/>
  <c r="L6354" i="15"/>
  <c r="L6355" i="15"/>
  <c r="L6356" i="15"/>
  <c r="L6357" i="15"/>
  <c r="L6358" i="15"/>
  <c r="L6359" i="15"/>
  <c r="L6360" i="15"/>
  <c r="L6361" i="15"/>
  <c r="L6362" i="15"/>
  <c r="L6363" i="15"/>
  <c r="L6364" i="15"/>
  <c r="L6365" i="15"/>
  <c r="L6366" i="15"/>
  <c r="L6367" i="15"/>
  <c r="L6368" i="15"/>
  <c r="L6369" i="15"/>
  <c r="L6370" i="15"/>
  <c r="L6371" i="15"/>
  <c r="L6372" i="15"/>
  <c r="L6373" i="15"/>
  <c r="L6374" i="15"/>
  <c r="L6375" i="15"/>
  <c r="L6376" i="15"/>
  <c r="L6377" i="15"/>
  <c r="L6378" i="15"/>
  <c r="L6379" i="15"/>
  <c r="L6380" i="15"/>
  <c r="L6381" i="15"/>
  <c r="L6382" i="15"/>
  <c r="L6383" i="15"/>
  <c r="L6384" i="15"/>
  <c r="L6385" i="15"/>
  <c r="L6386" i="15"/>
  <c r="L6387" i="15"/>
  <c r="L6388" i="15"/>
  <c r="L6389" i="15"/>
  <c r="L6390" i="15"/>
  <c r="L6391" i="15"/>
  <c r="L6392" i="15"/>
  <c r="L6393" i="15"/>
  <c r="L6394" i="15"/>
  <c r="L6395" i="15"/>
  <c r="L6396" i="15"/>
  <c r="L6397" i="15"/>
  <c r="L6398" i="15"/>
  <c r="L6399" i="15"/>
  <c r="L6400" i="15"/>
  <c r="L6401" i="15"/>
  <c r="L6402" i="15"/>
  <c r="L6403" i="15"/>
  <c r="L6404" i="15"/>
  <c r="L6405" i="15"/>
  <c r="L6406" i="15"/>
  <c r="L6407" i="15"/>
  <c r="L6408" i="15"/>
  <c r="L6409" i="15"/>
  <c r="L6410" i="15"/>
  <c r="L6411" i="15"/>
  <c r="L6412" i="15"/>
  <c r="L6413" i="15"/>
  <c r="L6414" i="15"/>
  <c r="L6415" i="15"/>
  <c r="L6416" i="15"/>
  <c r="L6417" i="15"/>
  <c r="L6418" i="15"/>
  <c r="L6419" i="15"/>
  <c r="L6420" i="15"/>
  <c r="L6421" i="15"/>
  <c r="L6422" i="15"/>
  <c r="L6423" i="15"/>
  <c r="L6424" i="15"/>
  <c r="L6425" i="15"/>
  <c r="L6426" i="15"/>
  <c r="L6427" i="15"/>
  <c r="L6428" i="15"/>
  <c r="L6429" i="15"/>
  <c r="L6430" i="15"/>
  <c r="L6431" i="15"/>
  <c r="L6432" i="15"/>
  <c r="L6433" i="15"/>
  <c r="L6434" i="15"/>
  <c r="L6435" i="15"/>
  <c r="L6436" i="15"/>
  <c r="L6437" i="15"/>
  <c r="L6438" i="15"/>
  <c r="L6439" i="15"/>
  <c r="L6440" i="15"/>
  <c r="L6441" i="15"/>
  <c r="L6442" i="15"/>
  <c r="L6443" i="15"/>
  <c r="L6444" i="15"/>
  <c r="L6445" i="15"/>
  <c r="L6446" i="15"/>
  <c r="L6447" i="15"/>
  <c r="L6448" i="15"/>
  <c r="L6449" i="15"/>
  <c r="L6450" i="15"/>
  <c r="L6451" i="15"/>
  <c r="L6452" i="15"/>
  <c r="L6453" i="15"/>
  <c r="L6454" i="15"/>
  <c r="L6455" i="15"/>
  <c r="L6456" i="15"/>
  <c r="L6457" i="15"/>
  <c r="L6458" i="15"/>
  <c r="L6459" i="15"/>
  <c r="L6460" i="15"/>
  <c r="L6461" i="15"/>
  <c r="L6462" i="15"/>
  <c r="L6463" i="15"/>
  <c r="L6464" i="15"/>
  <c r="L6465" i="15"/>
  <c r="L6466" i="15"/>
  <c r="L6467" i="15"/>
  <c r="L6468" i="15"/>
  <c r="L6469" i="15"/>
  <c r="L6470" i="15"/>
  <c r="L6471" i="15"/>
  <c r="L6472" i="15"/>
  <c r="L6473" i="15"/>
  <c r="L6474" i="15"/>
  <c r="L6475" i="15"/>
  <c r="L6476" i="15"/>
  <c r="L6477" i="15"/>
  <c r="L6478" i="15"/>
  <c r="L6479" i="15"/>
  <c r="L6480" i="15"/>
  <c r="L6481" i="15"/>
  <c r="L6482" i="15"/>
  <c r="L6483" i="15"/>
  <c r="L6484" i="15"/>
  <c r="L6485" i="15"/>
  <c r="L6486" i="15"/>
  <c r="L6487" i="15"/>
  <c r="L6488" i="15"/>
  <c r="L6489" i="15"/>
  <c r="L6490" i="15"/>
  <c r="L6491" i="15"/>
  <c r="L6492" i="15"/>
  <c r="L6493" i="15"/>
  <c r="L6494" i="15"/>
  <c r="L6495" i="15"/>
  <c r="L6496" i="15"/>
  <c r="L6497" i="15"/>
  <c r="L6498" i="15"/>
  <c r="L6499" i="15"/>
  <c r="L6500" i="15"/>
  <c r="L6501" i="15"/>
  <c r="L6503" i="15"/>
  <c r="L6505" i="15"/>
  <c r="L6506" i="15"/>
  <c r="L6507" i="15"/>
  <c r="L6509" i="15"/>
  <c r="L6511" i="15"/>
  <c r="L6512" i="15"/>
  <c r="L6513" i="15"/>
  <c r="L6514" i="15"/>
  <c r="L6515" i="15"/>
  <c r="L6516" i="15"/>
  <c r="L6517" i="15"/>
  <c r="L6518" i="15"/>
  <c r="L6519" i="15"/>
  <c r="L6520" i="15"/>
  <c r="L6521" i="15"/>
  <c r="L6522" i="15"/>
  <c r="L6523" i="15"/>
  <c r="L6524" i="15"/>
  <c r="L6525" i="15"/>
  <c r="L6526" i="15"/>
  <c r="L6528" i="15"/>
  <c r="L6529" i="15"/>
  <c r="L6531" i="15"/>
  <c r="L6532" i="15"/>
  <c r="L6534" i="15"/>
  <c r="L6537" i="15"/>
  <c r="L6539" i="15"/>
  <c r="L6540" i="15"/>
  <c r="L6543" i="15"/>
  <c r="L6545" i="15"/>
  <c r="L6546" i="15"/>
  <c r="L6547" i="15"/>
  <c r="L6548" i="15"/>
  <c r="L6549" i="15"/>
  <c r="L6550" i="15"/>
  <c r="L6551" i="15"/>
  <c r="L6552" i="15"/>
  <c r="L6553" i="15"/>
  <c r="L6554" i="15"/>
  <c r="L6555" i="15"/>
  <c r="L6556" i="15"/>
  <c r="L6557" i="15"/>
  <c r="L6558" i="15"/>
  <c r="L6559" i="15"/>
  <c r="L6560" i="15"/>
  <c r="L6561" i="15"/>
  <c r="L6562" i="15"/>
  <c r="L6563" i="15"/>
  <c r="L6564" i="15"/>
  <c r="L6565" i="15"/>
  <c r="L6566" i="15"/>
  <c r="L6567" i="15"/>
  <c r="L6569" i="15"/>
  <c r="L6570" i="15"/>
  <c r="L6571" i="15"/>
  <c r="L6574" i="15"/>
  <c r="L6575" i="15"/>
  <c r="L6577" i="15"/>
  <c r="L6579" i="15"/>
  <c r="L6580" i="15"/>
  <c r="L6581" i="15"/>
  <c r="L6582" i="15"/>
  <c r="L6583" i="15"/>
  <c r="L6584" i="15"/>
  <c r="L6585" i="15"/>
  <c r="L6587" i="15"/>
  <c r="L6589" i="15"/>
  <c r="L6590" i="15"/>
  <c r="L6591" i="15"/>
  <c r="L6592" i="15"/>
  <c r="L6593" i="15"/>
  <c r="L6594" i="15"/>
  <c r="L6595" i="15"/>
  <c r="L6596" i="15"/>
  <c r="L6597" i="15"/>
  <c r="L6598" i="15"/>
  <c r="L6599" i="15"/>
  <c r="L6600" i="15"/>
  <c r="L6601" i="15"/>
  <c r="L6602" i="15"/>
  <c r="L6603" i="15"/>
  <c r="L6604" i="15"/>
  <c r="L6605" i="15"/>
  <c r="L6606" i="15"/>
  <c r="L6607" i="15"/>
  <c r="L6608" i="15"/>
  <c r="L6609" i="15"/>
  <c r="L6610" i="15"/>
  <c r="L6611" i="15"/>
  <c r="L6612" i="15"/>
  <c r="L6613" i="15"/>
  <c r="L6614" i="15"/>
  <c r="L6615" i="15"/>
  <c r="L6616" i="15"/>
  <c r="L6617" i="15"/>
  <c r="L6618" i="15"/>
  <c r="L6619" i="15"/>
  <c r="L6620" i="15"/>
  <c r="L6621" i="15"/>
  <c r="L6622" i="15"/>
  <c r="L6623" i="15"/>
  <c r="L6624" i="15"/>
  <c r="L6625" i="15"/>
  <c r="L6626" i="15"/>
  <c r="L6627" i="15"/>
  <c r="L6628" i="15"/>
  <c r="L6629" i="15"/>
  <c r="L6630" i="15"/>
  <c r="L6631" i="15"/>
  <c r="L6632" i="15"/>
  <c r="L6633" i="15"/>
  <c r="L6634" i="15"/>
  <c r="L6635" i="15"/>
  <c r="L6637" i="15"/>
  <c r="L6638" i="15"/>
  <c r="L6639" i="15"/>
  <c r="L6640" i="15"/>
  <c r="L6643" i="15"/>
  <c r="L6644" i="15"/>
  <c r="L6645" i="15"/>
  <c r="L6647" i="15"/>
  <c r="L6648" i="15"/>
  <c r="L6649" i="15"/>
  <c r="L6650" i="15"/>
  <c r="L6651" i="15"/>
  <c r="L6652" i="15"/>
  <c r="L6653" i="15"/>
  <c r="L6654" i="15"/>
  <c r="L6655" i="15"/>
  <c r="L6656" i="15"/>
  <c r="L6657" i="15"/>
  <c r="L6658" i="15"/>
  <c r="L6659" i="15"/>
  <c r="L6661" i="15"/>
  <c r="L6662" i="15"/>
  <c r="L6663" i="15"/>
  <c r="L6665" i="15"/>
  <c r="L6667" i="15"/>
  <c r="L6668" i="15"/>
  <c r="L6669" i="15"/>
  <c r="L6670" i="15"/>
  <c r="L6671" i="15"/>
  <c r="L6672" i="15"/>
  <c r="L6673" i="15"/>
  <c r="L6674" i="15"/>
  <c r="L6675" i="15"/>
  <c r="L6678" i="15"/>
  <c r="L6679" i="15"/>
  <c r="L6682" i="15"/>
  <c r="L6683" i="15"/>
  <c r="L6684" i="15"/>
  <c r="L6685" i="15"/>
  <c r="L6686" i="15"/>
  <c r="L6687" i="15"/>
  <c r="L6688" i="15"/>
  <c r="L6689" i="15"/>
  <c r="L6690" i="15"/>
  <c r="L6691" i="15"/>
  <c r="L6693" i="15"/>
  <c r="L6694" i="15"/>
  <c r="L6695" i="15"/>
  <c r="L6696" i="15"/>
  <c r="L6697" i="15"/>
  <c r="L6698" i="15"/>
  <c r="L6699" i="15"/>
  <c r="L6700" i="15"/>
  <c r="L6701" i="15"/>
  <c r="L6702" i="15"/>
  <c r="L6703" i="15"/>
  <c r="L6704" i="15"/>
  <c r="L6705" i="15"/>
  <c r="L6706" i="15"/>
  <c r="L6707" i="15"/>
  <c r="L6708" i="15"/>
  <c r="L6709" i="15"/>
  <c r="L6710" i="15"/>
  <c r="L6711" i="15"/>
  <c r="L6712" i="15"/>
  <c r="L6713" i="15"/>
  <c r="L6714" i="15"/>
  <c r="L6715" i="15"/>
  <c r="L6716" i="15"/>
  <c r="L6717" i="15"/>
  <c r="L6718" i="15"/>
  <c r="L6719" i="15"/>
  <c r="L6720" i="15"/>
  <c r="L6721" i="15"/>
  <c r="L6722" i="15"/>
  <c r="L6723" i="15"/>
  <c r="L6724" i="15"/>
  <c r="L6725" i="15"/>
  <c r="L6726" i="15"/>
  <c r="L6727" i="15"/>
  <c r="L6728" i="15"/>
  <c r="L6729" i="15"/>
  <c r="L6730" i="15"/>
  <c r="L6731" i="15"/>
  <c r="L6732" i="15"/>
  <c r="L6733" i="15"/>
  <c r="L6734" i="15"/>
  <c r="L6735" i="15"/>
  <c r="L6736" i="15"/>
  <c r="L6737" i="15"/>
  <c r="L6738" i="15"/>
  <c r="L6739" i="15"/>
  <c r="L6740" i="15"/>
  <c r="L6741" i="15"/>
  <c r="L6742" i="15"/>
  <c r="L6743" i="15"/>
  <c r="L6744" i="15"/>
  <c r="L6745" i="15"/>
  <c r="L6746" i="15"/>
  <c r="L6747" i="15"/>
  <c r="L6748" i="15"/>
  <c r="L6749" i="15"/>
  <c r="L6750" i="15"/>
  <c r="L6751" i="15"/>
  <c r="L6752" i="15"/>
  <c r="L6753" i="15"/>
  <c r="L6754" i="15"/>
  <c r="L6755" i="15"/>
  <c r="L6756" i="15"/>
  <c r="L6757" i="15"/>
  <c r="L6758" i="15"/>
  <c r="L6759" i="15"/>
  <c r="L6760" i="15"/>
  <c r="L6761" i="15"/>
  <c r="L6762" i="15"/>
  <c r="L6763" i="15"/>
  <c r="L6764" i="15"/>
  <c r="L6765" i="15"/>
  <c r="L6766" i="15"/>
  <c r="L6768" i="15"/>
  <c r="L6769" i="15"/>
  <c r="L6770" i="15"/>
  <c r="L6771" i="15"/>
  <c r="L6772" i="15"/>
  <c r="L6773" i="15"/>
  <c r="L6774" i="15"/>
  <c r="L6775" i="15"/>
  <c r="L6776" i="15"/>
  <c r="L6777" i="15"/>
  <c r="L6778" i="15"/>
  <c r="L6779" i="15"/>
  <c r="L6780" i="15"/>
  <c r="L6782" i="15"/>
  <c r="L6783" i="15"/>
  <c r="L6784" i="15"/>
  <c r="L6785" i="15"/>
  <c r="L6786" i="15"/>
  <c r="L6788" i="15"/>
  <c r="L6789" i="15"/>
  <c r="L6790" i="15"/>
  <c r="L6791" i="15"/>
  <c r="L6792" i="15"/>
  <c r="L6793" i="15"/>
  <c r="L6794" i="15"/>
  <c r="L6795" i="15"/>
  <c r="L6796" i="15"/>
  <c r="L6797" i="15"/>
  <c r="L6800" i="15"/>
  <c r="L6801" i="15"/>
  <c r="L6802" i="15"/>
  <c r="L6803" i="15"/>
  <c r="L6806" i="15"/>
  <c r="L6807" i="15"/>
  <c r="L6808" i="15"/>
  <c r="L6809" i="15"/>
  <c r="L6811" i="15"/>
  <c r="L6812" i="15"/>
  <c r="L6813" i="15"/>
  <c r="L6814" i="15"/>
  <c r="L6815" i="15"/>
  <c r="L6817" i="15"/>
  <c r="L6818" i="15"/>
  <c r="L6819" i="15"/>
  <c r="L6820" i="15"/>
  <c r="L6821" i="15"/>
  <c r="L6822" i="15"/>
  <c r="L6823" i="15"/>
  <c r="L6824" i="15"/>
  <c r="L6825" i="15"/>
  <c r="L6826" i="15"/>
  <c r="L6827" i="15"/>
  <c r="L6828" i="15"/>
  <c r="L6829" i="15"/>
  <c r="L6830" i="15"/>
  <c r="L6831" i="15"/>
  <c r="L6832" i="15"/>
  <c r="L6833" i="15"/>
  <c r="L6834" i="15"/>
  <c r="L6835" i="15"/>
  <c r="L6836" i="15"/>
  <c r="L6837" i="15"/>
  <c r="L6838" i="15"/>
  <c r="L6839" i="15"/>
  <c r="L6840" i="15"/>
  <c r="L6841" i="15"/>
  <c r="L6842" i="15"/>
  <c r="L6846" i="15"/>
  <c r="L6847" i="15"/>
  <c r="L6848" i="15"/>
  <c r="L6852" i="15"/>
  <c r="L6853" i="15"/>
  <c r="L6854" i="15"/>
  <c r="L6857" i="15"/>
  <c r="L6859" i="15"/>
  <c r="L6860" i="15"/>
  <c r="L6863" i="15"/>
  <c r="L6866" i="15"/>
  <c r="L6869" i="15"/>
  <c r="L6870" i="15"/>
  <c r="L6872" i="15"/>
  <c r="L6874" i="15"/>
  <c r="L6875" i="15"/>
  <c r="L6876" i="15"/>
  <c r="L6878" i="15"/>
  <c r="L6880" i="15"/>
  <c r="L6881" i="15"/>
  <c r="L6882" i="15"/>
  <c r="L6883" i="15"/>
  <c r="L6884" i="15"/>
  <c r="L6885" i="15"/>
  <c r="L6886" i="15"/>
  <c r="L6890" i="15"/>
  <c r="L6896" i="15"/>
  <c r="L6899" i="15"/>
  <c r="L6900" i="15"/>
  <c r="L6902" i="15"/>
  <c r="L6903" i="15"/>
  <c r="L6905" i="15"/>
  <c r="L6906" i="15"/>
  <c r="L6907" i="15"/>
  <c r="L6908" i="15"/>
  <c r="L6909" i="15"/>
  <c r="L6910" i="15"/>
  <c r="L6911" i="15"/>
  <c r="L6912" i="15"/>
  <c r="L6913" i="15"/>
  <c r="L6914" i="15"/>
  <c r="L6915" i="15"/>
  <c r="L6916" i="15"/>
  <c r="L6917" i="15"/>
  <c r="L6918" i="15"/>
  <c r="L6919" i="15"/>
  <c r="L6920" i="15"/>
  <c r="L6921" i="15"/>
  <c r="L6922" i="15"/>
  <c r="L6923" i="15"/>
  <c r="L6924" i="15"/>
  <c r="L6925" i="15"/>
  <c r="L6926" i="15"/>
  <c r="L6928" i="15"/>
  <c r="L6929" i="15"/>
  <c r="L6930" i="15"/>
  <c r="L6931" i="15"/>
  <c r="L6934" i="15"/>
  <c r="L6935" i="15"/>
  <c r="L6936" i="15"/>
  <c r="L6937" i="15"/>
  <c r="L6938" i="15"/>
  <c r="L6939" i="15"/>
  <c r="L6940" i="15"/>
  <c r="L6941" i="15"/>
  <c r="L6942" i="15"/>
  <c r="L6943" i="15"/>
  <c r="L6944" i="15"/>
  <c r="L6945" i="15"/>
  <c r="L6946" i="15"/>
  <c r="L6947" i="15"/>
  <c r="L6948" i="15"/>
  <c r="L6949" i="15"/>
  <c r="L6952" i="15"/>
  <c r="L6953" i="15"/>
  <c r="L6954" i="15"/>
  <c r="L6955" i="15"/>
  <c r="L6956" i="15"/>
  <c r="L6957" i="15"/>
  <c r="L6958" i="15"/>
  <c r="L6959" i="15"/>
  <c r="L6960" i="15"/>
  <c r="L6961" i="15"/>
  <c r="L6962" i="15"/>
  <c r="L6964" i="15"/>
  <c r="L6965" i="15"/>
  <c r="L6966" i="15"/>
  <c r="L6967" i="15"/>
  <c r="L6968" i="15"/>
  <c r="L6969" i="15"/>
  <c r="L6970" i="15"/>
  <c r="L6971" i="15"/>
  <c r="L6972" i="15"/>
  <c r="L6973" i="15"/>
  <c r="L6974" i="15"/>
  <c r="L6975" i="15"/>
  <c r="L6976" i="15"/>
  <c r="L6977" i="15"/>
  <c r="L6978" i="15"/>
  <c r="L6979" i="15"/>
  <c r="L6980" i="15"/>
  <c r="L6981" i="15"/>
  <c r="L6982" i="15"/>
  <c r="L6983" i="15"/>
  <c r="L6984" i="15"/>
  <c r="L6985" i="15"/>
  <c r="L6986" i="15"/>
  <c r="L6987" i="15"/>
  <c r="L6988" i="15"/>
  <c r="L6989" i="15"/>
  <c r="L6991" i="15"/>
  <c r="L6992" i="15"/>
  <c r="L6993" i="15"/>
  <c r="L6994" i="15"/>
  <c r="L6995" i="15"/>
  <c r="L6996" i="15"/>
  <c r="L6997" i="15"/>
  <c r="L6998" i="15"/>
  <c r="L6999" i="15"/>
  <c r="L7000" i="15"/>
  <c r="L7001" i="15"/>
  <c r="L7002" i="15"/>
  <c r="L7003" i="15"/>
  <c r="L7004" i="15"/>
  <c r="L7005" i="15"/>
  <c r="L7006" i="15"/>
  <c r="L7007" i="15"/>
  <c r="L7008" i="15"/>
  <c r="L7009" i="15"/>
  <c r="L7010" i="15"/>
  <c r="L7011" i="15"/>
  <c r="L7012" i="15"/>
  <c r="L7013" i="15"/>
  <c r="L7014" i="15"/>
  <c r="L7017" i="15"/>
  <c r="L7018" i="15"/>
  <c r="L7019" i="15"/>
  <c r="L7020" i="15"/>
  <c r="L7021" i="15"/>
  <c r="L7022" i="15"/>
  <c r="L7023" i="15"/>
  <c r="L7024" i="15"/>
  <c r="L7025" i="15"/>
  <c r="L7026" i="15"/>
  <c r="L7027" i="15"/>
  <c r="L7028" i="15"/>
  <c r="L7029" i="15"/>
  <c r="L7030" i="15"/>
  <c r="L7031" i="15"/>
  <c r="L7032" i="15"/>
  <c r="L7033" i="15"/>
  <c r="L7034" i="15"/>
  <c r="L7035" i="15"/>
  <c r="L7036" i="15"/>
  <c r="L7037" i="15"/>
  <c r="L7038" i="15"/>
  <c r="L7039" i="15"/>
  <c r="L7040" i="15"/>
  <c r="L7041" i="15"/>
  <c r="L7042" i="15"/>
  <c r="L7043" i="15"/>
  <c r="L7044" i="15"/>
  <c r="L7045" i="15"/>
  <c r="L7046" i="15"/>
  <c r="L7047" i="15"/>
  <c r="L7048" i="15"/>
  <c r="L7049" i="15"/>
  <c r="L7050" i="15"/>
  <c r="L7051" i="15"/>
  <c r="L7052" i="15"/>
  <c r="L7053" i="15"/>
  <c r="L7054" i="15"/>
  <c r="L7055" i="15"/>
  <c r="L7056" i="15"/>
  <c r="L7057" i="15"/>
  <c r="L7058" i="15"/>
  <c r="L7059" i="15"/>
  <c r="L7060" i="15"/>
  <c r="L7061" i="15"/>
  <c r="L7062" i="15"/>
  <c r="L7063" i="15"/>
  <c r="L7064" i="15"/>
  <c r="L7065" i="15"/>
  <c r="L7067" i="15"/>
  <c r="L7068" i="15"/>
  <c r="L7069" i="15"/>
  <c r="L7070" i="15"/>
  <c r="L7071" i="15"/>
  <c r="L7073" i="15"/>
  <c r="L7074" i="15"/>
  <c r="L7075" i="15"/>
  <c r="L7076" i="15"/>
  <c r="L7077" i="15"/>
  <c r="L7078" i="15"/>
  <c r="L7079" i="15"/>
  <c r="L7080" i="15"/>
  <c r="L7081" i="15"/>
  <c r="L7082" i="15"/>
  <c r="L7083" i="15"/>
  <c r="L7084" i="15"/>
  <c r="L7085" i="15"/>
  <c r="L7086" i="15"/>
  <c r="L7088" i="15"/>
  <c r="L7089" i="15"/>
  <c r="L7090" i="15"/>
  <c r="L7091" i="15"/>
  <c r="L7092" i="15"/>
  <c r="L7094" i="15"/>
  <c r="L7095" i="15"/>
  <c r="L7097" i="15"/>
  <c r="L7098" i="15"/>
  <c r="L7100" i="15"/>
  <c r="L7101" i="15"/>
  <c r="L7103" i="15"/>
  <c r="L7105" i="15"/>
  <c r="L7106" i="15"/>
  <c r="L7107" i="15"/>
  <c r="L7108" i="15"/>
  <c r="L7109" i="15"/>
  <c r="L7110" i="15"/>
  <c r="L7113" i="15"/>
  <c r="L7114" i="15"/>
  <c r="L7116" i="15"/>
  <c r="L7118" i="15"/>
  <c r="L7119" i="15"/>
  <c r="L7120" i="15"/>
  <c r="L7121" i="15"/>
  <c r="L7122" i="15"/>
  <c r="L7123" i="15"/>
  <c r="L7124" i="15"/>
  <c r="L7125" i="15"/>
  <c r="L7127" i="15"/>
  <c r="L7130" i="15"/>
  <c r="L7131" i="15"/>
  <c r="L7135" i="15"/>
  <c r="L7136" i="15"/>
  <c r="L7137" i="15"/>
  <c r="L7138" i="15"/>
  <c r="L7139" i="15"/>
  <c r="L7140" i="15"/>
  <c r="L7141" i="15"/>
  <c r="L7142" i="15"/>
  <c r="L7143" i="15"/>
  <c r="L7144" i="15"/>
  <c r="L7145" i="15"/>
  <c r="L7146" i="15"/>
  <c r="L7147" i="15"/>
  <c r="L7148" i="15"/>
  <c r="L7149" i="15"/>
  <c r="L7150" i="15"/>
  <c r="L7151" i="15"/>
  <c r="L7152" i="15"/>
  <c r="L7153" i="15"/>
  <c r="L7154" i="15"/>
  <c r="L7155" i="15"/>
  <c r="L7156" i="15"/>
  <c r="L7157" i="15"/>
  <c r="L7158" i="15"/>
  <c r="L7159" i="15"/>
  <c r="L7160" i="15"/>
  <c r="L7161" i="15"/>
  <c r="L7162" i="15"/>
  <c r="L7164" i="15"/>
  <c r="L7165" i="15"/>
  <c r="L7166" i="15"/>
  <c r="L7167" i="15"/>
  <c r="L7168" i="15"/>
  <c r="L7171" i="15"/>
  <c r="L7172" i="15"/>
  <c r="L7173" i="15"/>
  <c r="L7174" i="15"/>
  <c r="L7175" i="15"/>
  <c r="L7176" i="15"/>
  <c r="L7177" i="15"/>
  <c r="L7178" i="15"/>
  <c r="L7179" i="15"/>
  <c r="L7180" i="15"/>
  <c r="L7181" i="15"/>
  <c r="L7182" i="15"/>
  <c r="L7184" i="15"/>
  <c r="L7185" i="15"/>
  <c r="L7187" i="15"/>
  <c r="L7188" i="15"/>
  <c r="L7190" i="15"/>
  <c r="L7193" i="15"/>
  <c r="L7199" i="15"/>
  <c r="L7200" i="15"/>
  <c r="L7201" i="15"/>
  <c r="L7203" i="15"/>
  <c r="L7205" i="15"/>
  <c r="L7206" i="15"/>
  <c r="L7207" i="15"/>
  <c r="L7208" i="15"/>
  <c r="L7209" i="15"/>
  <c r="L7210" i="15"/>
  <c r="L7211" i="15"/>
  <c r="L7212" i="15"/>
  <c r="L7213" i="15"/>
  <c r="L7214" i="15"/>
  <c r="L7215" i="15"/>
  <c r="L7216" i="15"/>
  <c r="L7217" i="15"/>
  <c r="L7218" i="15"/>
  <c r="L7219" i="15"/>
  <c r="L7220" i="15"/>
  <c r="L7221" i="15"/>
  <c r="L7222" i="15"/>
  <c r="L7223" i="15"/>
  <c r="L7224" i="15"/>
  <c r="L7225" i="15"/>
  <c r="L7226" i="15"/>
  <c r="L7227" i="15"/>
  <c r="L7228" i="15"/>
  <c r="L7229" i="15"/>
  <c r="L7230" i="15"/>
  <c r="L7231" i="15"/>
  <c r="L7232" i="15"/>
  <c r="L7233" i="15"/>
  <c r="L7234" i="15"/>
  <c r="L7235" i="15"/>
  <c r="L7236" i="15"/>
  <c r="L7237" i="15"/>
  <c r="L7238" i="15"/>
  <c r="L7239" i="15"/>
  <c r="L7240" i="15"/>
  <c r="L7241" i="15"/>
  <c r="L7242" i="15"/>
  <c r="L7243" i="15"/>
  <c r="L7244" i="15"/>
  <c r="L7245" i="15"/>
  <c r="L7246" i="15"/>
  <c r="L7247" i="15"/>
  <c r="L7248" i="15"/>
  <c r="L7249" i="15"/>
  <c r="L7250" i="15"/>
  <c r="L7251" i="15"/>
  <c r="L7252" i="15"/>
  <c r="L7253" i="15"/>
  <c r="L7254" i="15"/>
  <c r="L7255" i="15"/>
  <c r="L7256" i="15"/>
  <c r="L7257" i="15"/>
  <c r="L7258" i="15"/>
  <c r="L7259" i="15"/>
  <c r="L7260" i="15"/>
  <c r="L7261" i="15"/>
  <c r="L7262" i="15"/>
  <c r="L7263" i="15"/>
  <c r="L7264" i="15"/>
  <c r="L7265" i="15"/>
  <c r="L7266" i="15"/>
  <c r="L7267" i="15"/>
  <c r="L7268" i="15"/>
  <c r="L7269" i="15"/>
  <c r="L7270" i="15"/>
  <c r="L7271" i="15"/>
  <c r="L7272" i="15"/>
  <c r="L7273" i="15"/>
  <c r="L7274" i="15"/>
  <c r="L7275" i="15"/>
  <c r="L7276" i="15"/>
  <c r="L7277" i="15"/>
  <c r="L7278" i="15"/>
  <c r="L7279" i="15"/>
  <c r="L7280" i="15"/>
  <c r="L7281" i="15"/>
  <c r="L7282" i="15"/>
  <c r="L7283" i="15"/>
  <c r="L7284" i="15"/>
  <c r="L7285" i="15"/>
  <c r="L7286" i="15"/>
  <c r="L7287" i="15"/>
  <c r="L7288" i="15"/>
  <c r="L7289" i="15"/>
  <c r="L7290" i="15"/>
  <c r="L7291" i="15"/>
  <c r="L7292" i="15"/>
  <c r="L7293" i="15"/>
  <c r="L7294" i="15"/>
  <c r="L7295" i="15"/>
  <c r="L7296" i="15"/>
  <c r="L7297" i="15"/>
  <c r="L7298" i="15"/>
  <c r="L7299" i="15"/>
  <c r="L7300" i="15"/>
  <c r="L7301" i="15"/>
  <c r="L7302" i="15"/>
  <c r="L7303" i="15"/>
  <c r="L7304" i="15"/>
  <c r="L7305" i="15"/>
  <c r="L7306" i="15"/>
  <c r="L7307" i="15"/>
  <c r="L7308" i="15"/>
  <c r="L7309" i="15"/>
  <c r="L7310" i="15"/>
  <c r="L7311" i="15"/>
  <c r="L7312" i="15"/>
  <c r="L7313" i="15"/>
  <c r="L7314" i="15"/>
  <c r="L7315" i="15"/>
  <c r="L7316" i="15"/>
  <c r="L7317" i="15"/>
  <c r="L7318" i="15"/>
  <c r="L7319" i="15"/>
  <c r="L7320" i="15"/>
  <c r="L7321" i="15"/>
  <c r="L7322" i="15"/>
  <c r="L7323" i="15"/>
  <c r="L7324" i="15"/>
  <c r="L7325" i="15"/>
  <c r="L7326" i="15"/>
  <c r="L7327" i="15"/>
  <c r="L7328" i="15"/>
  <c r="L7329" i="15"/>
  <c r="L7330" i="15"/>
  <c r="L7331" i="15"/>
  <c r="L7332" i="15"/>
  <c r="L7333" i="15"/>
  <c r="L7334" i="15"/>
  <c r="L7335" i="15"/>
  <c r="L7336" i="15"/>
  <c r="L7337" i="15"/>
  <c r="L7338" i="15"/>
  <c r="L7339" i="15"/>
  <c r="L7340" i="15"/>
  <c r="L7341" i="15"/>
  <c r="L7343" i="15"/>
  <c r="L7344" i="15"/>
  <c r="L7345" i="15"/>
  <c r="L7346" i="15"/>
  <c r="L7347" i="15"/>
  <c r="L7350" i="15"/>
  <c r="L7352" i="15"/>
  <c r="L7353" i="15"/>
  <c r="L7354" i="15"/>
  <c r="L7355" i="15"/>
  <c r="L7356" i="15"/>
  <c r="L7358" i="15"/>
  <c r="L7359" i="15"/>
  <c r="L7360" i="15"/>
  <c r="L7361" i="15"/>
  <c r="L7366" i="15"/>
  <c r="L7367" i="15"/>
  <c r="L7369" i="15"/>
  <c r="L7371" i="15"/>
  <c r="L7372" i="15"/>
  <c r="L7373" i="15"/>
  <c r="L7374" i="15"/>
  <c r="L7375" i="15"/>
  <c r="L7376" i="15"/>
  <c r="L7377" i="15"/>
  <c r="L7378" i="15"/>
  <c r="L7379" i="15"/>
  <c r="L7380" i="15"/>
  <c r="L7381" i="15"/>
  <c r="L7382" i="15"/>
  <c r="L7383" i="15"/>
  <c r="L7384" i="15"/>
  <c r="L7385" i="15"/>
  <c r="L7386" i="15"/>
  <c r="L7387" i="15"/>
  <c r="L7388" i="15"/>
  <c r="L7389" i="15"/>
  <c r="L7390" i="15"/>
  <c r="L7391" i="15"/>
  <c r="L7392" i="15"/>
  <c r="L7393" i="15"/>
  <c r="L7394" i="15"/>
  <c r="L7395" i="15"/>
  <c r="L7396" i="15"/>
  <c r="L7397" i="15"/>
  <c r="L7398" i="15"/>
  <c r="L7399" i="15"/>
  <c r="L7400" i="15"/>
  <c r="L7401" i="15"/>
  <c r="L7402" i="15"/>
  <c r="L7403" i="15"/>
  <c r="L7404" i="15"/>
  <c r="L7405" i="15"/>
  <c r="L7406" i="15"/>
  <c r="L7407" i="15"/>
  <c r="L7408" i="15"/>
  <c r="L7409" i="15"/>
  <c r="L7410" i="15"/>
  <c r="L7411" i="15"/>
  <c r="L7412" i="15"/>
  <c r="L7413" i="15"/>
  <c r="L7414" i="15"/>
  <c r="L7415" i="15"/>
  <c r="L7416" i="15"/>
  <c r="L7417" i="15"/>
  <c r="L7418" i="15"/>
  <c r="L7419" i="15"/>
  <c r="L7420" i="15"/>
  <c r="L7421" i="15"/>
  <c r="L7422" i="15"/>
  <c r="L7423" i="15"/>
  <c r="L7424" i="15"/>
  <c r="L7425" i="15"/>
  <c r="L7426" i="15"/>
  <c r="L7427" i="15"/>
  <c r="L7428" i="15"/>
  <c r="L7429" i="15"/>
  <c r="L7430" i="15"/>
  <c r="L7431" i="15"/>
  <c r="L7432" i="15"/>
  <c r="L7433" i="15"/>
  <c r="L7434" i="15"/>
  <c r="L7435" i="15"/>
  <c r="L7436" i="15"/>
  <c r="L7437" i="15"/>
  <c r="L7438" i="15"/>
  <c r="L7439" i="15"/>
  <c r="L7440" i="15"/>
  <c r="L7441" i="15"/>
  <c r="L7442" i="15"/>
  <c r="L7443" i="15"/>
  <c r="L7444" i="15"/>
  <c r="L7445" i="15"/>
  <c r="L7446" i="15"/>
  <c r="L7447" i="15"/>
  <c r="L7448" i="15"/>
  <c r="L7449" i="15"/>
  <c r="L7450" i="15"/>
  <c r="L7451" i="15"/>
  <c r="L7452" i="15"/>
  <c r="L7453" i="15"/>
  <c r="L7454" i="15"/>
  <c r="L7455" i="15"/>
  <c r="L7456" i="15"/>
  <c r="L7457" i="15"/>
  <c r="L7458" i="15"/>
  <c r="L7459" i="15"/>
  <c r="L7460" i="15"/>
  <c r="L7461" i="15"/>
  <c r="L7462" i="15"/>
  <c r="L7463" i="15"/>
  <c r="L7464" i="15"/>
  <c r="L7465" i="15"/>
  <c r="L7466" i="15"/>
  <c r="L7467" i="15"/>
  <c r="L7468" i="15"/>
  <c r="L7469" i="15"/>
  <c r="L7470" i="15"/>
  <c r="L7471" i="15"/>
  <c r="L7472" i="15"/>
  <c r="L7473" i="15"/>
  <c r="L7474" i="15"/>
  <c r="L7475" i="15"/>
  <c r="L7476" i="15"/>
  <c r="L7477" i="15"/>
  <c r="L7478" i="15"/>
  <c r="L7479" i="15"/>
  <c r="L7480" i="15"/>
  <c r="L7481" i="15"/>
  <c r="L7482" i="15"/>
  <c r="L7483" i="15"/>
  <c r="L7484" i="15"/>
  <c r="L7485" i="15"/>
  <c r="L7486" i="15"/>
  <c r="L7487" i="15"/>
  <c r="L7488" i="15"/>
  <c r="L7489" i="15"/>
  <c r="L7490" i="15"/>
  <c r="L7491" i="15"/>
  <c r="L7492" i="15"/>
  <c r="L7493" i="15"/>
  <c r="L7494" i="15"/>
  <c r="L7495" i="15"/>
  <c r="L7496" i="15"/>
  <c r="L7497" i="15"/>
  <c r="L7498" i="15"/>
  <c r="L7499" i="15"/>
  <c r="L7500" i="15"/>
  <c r="L7501" i="15"/>
  <c r="L7502" i="15"/>
  <c r="L7503" i="15"/>
  <c r="L7504" i="15"/>
  <c r="L7505" i="15"/>
  <c r="L7506" i="15"/>
  <c r="L7507" i="15"/>
  <c r="L7508" i="15"/>
  <c r="L7509" i="15"/>
  <c r="L7510" i="15"/>
  <c r="L7511" i="15"/>
  <c r="L7512" i="15"/>
  <c r="L7513" i="15"/>
  <c r="L7514" i="15"/>
  <c r="L7515" i="15"/>
  <c r="L7516" i="15"/>
  <c r="L7517" i="15"/>
  <c r="L7518" i="15"/>
  <c r="L7519" i="15"/>
  <c r="L7520" i="15"/>
  <c r="L7521" i="15"/>
  <c r="L7522" i="15"/>
  <c r="L7523" i="15"/>
  <c r="L7524" i="15"/>
  <c r="L7525" i="15"/>
  <c r="L7526" i="15"/>
  <c r="L7527" i="15"/>
  <c r="L7528" i="15"/>
  <c r="L7529" i="15"/>
  <c r="L7530" i="15"/>
  <c r="L7531" i="15"/>
  <c r="L7532" i="15"/>
  <c r="L7533" i="15"/>
  <c r="L7534" i="15"/>
  <c r="L7535" i="15"/>
  <c r="L7536" i="15"/>
  <c r="L7537" i="15"/>
  <c r="L7538" i="15"/>
  <c r="L7539" i="15"/>
  <c r="L7540" i="15"/>
  <c r="L7541" i="15"/>
  <c r="L7542" i="15"/>
  <c r="L7543" i="15"/>
  <c r="L7544" i="15"/>
  <c r="L7545" i="15"/>
  <c r="L7546" i="15"/>
  <c r="L7547" i="15"/>
  <c r="L7548" i="15"/>
  <c r="L7549" i="15"/>
  <c r="L7550" i="15"/>
  <c r="L7551" i="15"/>
  <c r="L7552" i="15"/>
  <c r="L7553" i="15"/>
  <c r="L7554" i="15"/>
  <c r="L7555" i="15"/>
  <c r="L7556" i="15"/>
  <c r="L7557" i="15"/>
  <c r="L7558" i="15"/>
  <c r="L7559" i="15"/>
  <c r="L7560" i="15"/>
  <c r="L7561" i="15"/>
  <c r="L7562" i="15"/>
  <c r="L7563" i="15"/>
  <c r="L7564" i="15"/>
  <c r="L7565" i="15"/>
  <c r="L7566" i="15"/>
  <c r="L7567" i="15"/>
  <c r="L7568" i="15"/>
  <c r="L7569" i="15"/>
  <c r="L7570" i="15"/>
  <c r="L7571" i="15"/>
  <c r="L7572" i="15"/>
  <c r="L7573" i="15"/>
  <c r="L7574" i="15"/>
  <c r="L7575" i="15"/>
  <c r="L7576" i="15"/>
  <c r="L7577" i="15"/>
  <c r="L7578" i="15"/>
  <c r="L7579" i="15"/>
  <c r="L7580" i="15"/>
  <c r="L7581" i="15"/>
  <c r="L7582" i="15"/>
  <c r="L7583" i="15"/>
  <c r="L7584" i="15"/>
  <c r="L7585" i="15"/>
  <c r="L7586" i="15"/>
  <c r="L7587" i="15"/>
  <c r="L7588" i="15"/>
  <c r="L7589" i="15"/>
  <c r="L7590" i="15"/>
  <c r="L7591" i="15"/>
  <c r="L7592" i="15"/>
  <c r="L7593" i="15"/>
  <c r="L7594" i="15"/>
  <c r="L7595" i="15"/>
  <c r="L7596" i="15"/>
  <c r="L7597" i="15"/>
  <c r="L7598" i="15"/>
  <c r="L7599" i="15"/>
  <c r="L7600" i="15"/>
  <c r="L7601" i="15"/>
  <c r="L7602" i="15"/>
  <c r="L7603" i="15"/>
  <c r="L7604" i="15"/>
  <c r="L7605" i="15"/>
  <c r="L7606" i="15"/>
  <c r="L7607" i="15"/>
  <c r="L7608" i="15"/>
  <c r="L7609" i="15"/>
  <c r="L7610" i="15"/>
  <c r="L7611" i="15"/>
  <c r="L7612" i="15"/>
  <c r="L7613" i="15"/>
  <c r="L7614" i="15"/>
  <c r="L7615" i="15"/>
  <c r="L7616" i="15"/>
  <c r="L7617" i="15"/>
  <c r="L7618" i="15"/>
  <c r="L7619" i="15"/>
  <c r="L7620" i="15"/>
  <c r="L7621" i="15"/>
  <c r="L7622" i="15"/>
  <c r="L7623" i="15"/>
  <c r="L7624" i="15"/>
  <c r="L7625" i="15"/>
  <c r="L7626" i="15"/>
  <c r="L7627" i="15"/>
  <c r="L7628" i="15"/>
  <c r="L7629" i="15"/>
  <c r="L7630" i="15"/>
  <c r="L7631" i="15"/>
  <c r="L7632" i="15"/>
  <c r="L7633" i="15"/>
  <c r="L7634" i="15"/>
  <c r="L7635" i="15"/>
  <c r="L7636" i="15"/>
  <c r="L7637" i="15"/>
  <c r="L7638" i="15"/>
  <c r="L7639" i="15"/>
  <c r="L7640" i="15"/>
  <c r="L7641" i="15"/>
  <c r="L7642" i="15"/>
  <c r="L7643" i="15"/>
  <c r="L7644" i="15"/>
  <c r="L7645" i="15"/>
  <c r="L7646" i="15"/>
  <c r="L7647" i="15"/>
  <c r="L7648" i="15"/>
  <c r="L7649" i="15"/>
  <c r="L7650" i="15"/>
  <c r="L7651" i="15"/>
  <c r="L7652" i="15"/>
  <c r="L7653" i="15"/>
  <c r="L7654" i="15"/>
  <c r="L7655" i="15"/>
  <c r="L7656" i="15"/>
  <c r="L7657" i="15"/>
  <c r="L7658" i="15"/>
  <c r="L7659" i="15"/>
  <c r="L7660" i="15"/>
  <c r="L7661" i="15"/>
  <c r="L7662" i="15"/>
  <c r="L7663" i="15"/>
  <c r="L7664" i="15"/>
  <c r="L7665" i="15"/>
  <c r="L7666" i="15"/>
  <c r="L7667" i="15"/>
  <c r="L7668" i="15"/>
  <c r="L7669" i="15"/>
  <c r="L7670" i="15"/>
  <c r="L7671" i="15"/>
  <c r="L7672" i="15"/>
  <c r="L7673" i="15"/>
  <c r="L7674" i="15"/>
  <c r="L7675" i="15"/>
  <c r="L7676" i="15"/>
  <c r="L7677" i="15"/>
  <c r="L7678" i="15"/>
  <c r="L7679" i="15"/>
  <c r="L7680" i="15"/>
  <c r="L7681" i="15"/>
  <c r="L7682" i="15"/>
  <c r="L7683" i="15"/>
  <c r="L7684" i="15"/>
  <c r="L7685" i="15"/>
  <c r="L7686" i="15"/>
  <c r="L7687" i="15"/>
  <c r="L7688" i="15"/>
  <c r="L7689" i="15"/>
  <c r="L7690" i="15"/>
  <c r="L7691" i="15"/>
  <c r="L7692" i="15"/>
  <c r="L7693" i="15"/>
  <c r="L7694" i="15"/>
  <c r="L7695" i="15"/>
  <c r="L7696" i="15"/>
  <c r="L7697" i="15"/>
  <c r="L7698" i="15"/>
  <c r="L7699" i="15"/>
  <c r="L7700" i="15"/>
  <c r="L7701" i="15"/>
  <c r="L7702" i="15"/>
  <c r="L7703" i="15"/>
  <c r="L7704" i="15"/>
  <c r="L7705" i="15"/>
  <c r="L7706" i="15"/>
  <c r="L7707" i="15"/>
  <c r="L7708" i="15"/>
  <c r="L7709" i="15"/>
  <c r="L7710" i="15"/>
  <c r="L7711" i="15"/>
  <c r="L7712" i="15"/>
  <c r="L7713" i="15"/>
  <c r="L7714" i="15"/>
  <c r="L7715" i="15"/>
  <c r="L7716" i="15"/>
  <c r="L7717" i="15"/>
  <c r="L7718" i="15"/>
  <c r="L7719" i="15"/>
  <c r="L7720" i="15"/>
  <c r="L7721" i="15"/>
  <c r="L7722" i="15"/>
  <c r="L7723" i="15"/>
  <c r="L7724" i="15"/>
  <c r="L7725" i="15"/>
  <c r="L7726" i="15"/>
  <c r="L7727" i="15"/>
  <c r="L7728" i="15"/>
  <c r="L7729" i="15"/>
  <c r="L7730" i="15"/>
  <c r="L7731" i="15"/>
  <c r="L7732" i="15"/>
  <c r="L7733" i="15"/>
  <c r="L7734" i="15"/>
  <c r="L7735" i="15"/>
  <c r="L7736" i="15"/>
  <c r="L7737" i="15"/>
  <c r="L7738" i="15"/>
  <c r="L7739" i="15"/>
  <c r="L7740" i="15"/>
  <c r="L7741" i="15"/>
  <c r="L7742" i="15"/>
  <c r="L7743" i="15"/>
  <c r="L7744" i="15"/>
  <c r="L7745" i="15"/>
  <c r="L7746" i="15"/>
  <c r="L7747" i="15"/>
  <c r="L7748" i="15"/>
  <c r="L7749" i="15"/>
  <c r="L7750" i="15"/>
  <c r="L7751" i="15"/>
  <c r="L7752" i="15"/>
  <c r="L7753" i="15"/>
  <c r="L7754" i="15"/>
  <c r="L7755" i="15"/>
  <c r="L7756" i="15"/>
  <c r="L7757" i="15"/>
  <c r="L7758" i="15"/>
  <c r="L7759" i="15"/>
  <c r="L7760" i="15"/>
  <c r="L7761" i="15"/>
  <c r="L7762" i="15"/>
  <c r="L7763" i="15"/>
  <c r="L7764" i="15"/>
  <c r="L7765" i="15"/>
  <c r="L7766" i="15"/>
  <c r="L7767" i="15"/>
  <c r="L7768" i="15"/>
  <c r="L7769" i="15"/>
  <c r="L7770" i="15"/>
  <c r="L7771" i="15"/>
  <c r="L7772" i="15"/>
  <c r="L7773" i="15"/>
  <c r="L7774" i="15"/>
  <c r="L7775" i="15"/>
  <c r="L7776" i="15"/>
  <c r="L7777" i="15"/>
  <c r="L7778" i="15"/>
  <c r="L7779" i="15"/>
  <c r="L7780" i="15"/>
  <c r="L7781" i="15"/>
  <c r="L7782" i="15"/>
  <c r="L7783" i="15"/>
  <c r="L7784" i="15"/>
  <c r="L7785" i="15"/>
  <c r="L7786" i="15"/>
  <c r="L7787" i="15"/>
  <c r="L7788" i="15"/>
  <c r="L7789" i="15"/>
  <c r="L7790" i="15"/>
  <c r="L7791" i="15"/>
  <c r="L7792" i="15"/>
  <c r="L7793" i="15"/>
  <c r="L7794" i="15"/>
  <c r="L7795" i="15"/>
  <c r="L7796" i="15"/>
  <c r="L7797" i="15"/>
  <c r="L7798" i="15"/>
  <c r="L7799" i="15"/>
  <c r="L7800" i="15"/>
  <c r="L7801" i="15"/>
  <c r="L7802" i="15"/>
  <c r="L7803" i="15"/>
  <c r="L7804" i="15"/>
  <c r="L7805" i="15"/>
  <c r="L7806" i="15"/>
  <c r="L7807" i="15"/>
  <c r="L7808" i="15"/>
  <c r="L7809" i="15"/>
  <c r="L7810" i="15"/>
  <c r="L7811" i="15"/>
  <c r="L7812" i="15"/>
  <c r="L7813" i="15"/>
  <c r="L7814" i="15"/>
  <c r="L7815" i="15"/>
  <c r="L7816" i="15"/>
  <c r="L7817" i="15"/>
  <c r="L7818" i="15"/>
  <c r="L7819" i="15"/>
  <c r="L7820" i="15"/>
  <c r="L7821" i="15"/>
  <c r="L7822" i="15"/>
  <c r="L7823" i="15"/>
  <c r="L7824" i="15"/>
  <c r="L7825" i="15"/>
  <c r="L7826" i="15"/>
  <c r="L7827" i="15"/>
  <c r="L7828" i="15"/>
  <c r="L7829" i="15"/>
  <c r="L7830" i="15"/>
  <c r="L7831" i="15"/>
  <c r="L7832" i="15"/>
  <c r="L7833" i="15"/>
  <c r="L7834" i="15"/>
  <c r="L7835" i="15"/>
  <c r="L7836" i="15"/>
  <c r="L7837" i="15"/>
  <c r="L7838" i="15"/>
  <c r="L7839" i="15"/>
  <c r="L7840" i="15"/>
  <c r="L7841" i="15"/>
  <c r="L7842" i="15"/>
  <c r="L7843" i="15"/>
  <c r="L7844" i="15"/>
  <c r="L7845" i="15"/>
  <c r="L7846" i="15"/>
  <c r="L7847" i="15"/>
  <c r="L7848" i="15"/>
  <c r="L7849" i="15"/>
  <c r="L7850" i="15"/>
  <c r="L7851" i="15"/>
  <c r="L7852" i="15"/>
  <c r="L7853" i="15"/>
  <c r="L7854" i="15"/>
  <c r="L7855" i="15"/>
  <c r="L7856" i="15"/>
  <c r="L7857" i="15"/>
  <c r="L7858" i="15"/>
  <c r="L7859" i="15"/>
  <c r="L7860" i="15"/>
  <c r="L7861" i="15"/>
  <c r="L7862" i="15"/>
  <c r="L7863" i="15"/>
  <c r="L7864" i="15"/>
  <c r="L7865" i="15"/>
  <c r="L7866" i="15"/>
  <c r="L7867" i="15"/>
  <c r="L7868" i="15"/>
  <c r="L7869" i="15"/>
  <c r="L7870" i="15"/>
  <c r="L7871" i="15"/>
  <c r="L7872" i="15"/>
  <c r="L7873" i="15"/>
  <c r="L7874" i="15"/>
  <c r="L7875" i="15"/>
  <c r="L7876" i="15"/>
  <c r="L7877" i="15"/>
  <c r="L7878" i="15"/>
  <c r="L7879" i="15"/>
  <c r="L7880" i="15"/>
  <c r="L7881" i="15"/>
  <c r="L7882" i="15"/>
  <c r="L7883" i="15"/>
  <c r="L7884" i="15"/>
  <c r="L7885" i="15"/>
  <c r="L7886" i="15"/>
  <c r="L7887" i="15"/>
  <c r="L7888" i="15"/>
  <c r="L7889" i="15"/>
  <c r="L7890" i="15"/>
  <c r="L7891" i="15"/>
  <c r="L7892" i="15"/>
  <c r="L7893" i="15"/>
  <c r="L7894" i="15"/>
  <c r="L7895" i="15"/>
  <c r="L7896" i="15"/>
  <c r="L7897" i="15"/>
  <c r="L7898" i="15"/>
  <c r="L7899" i="15"/>
  <c r="L7900" i="15"/>
  <c r="L7901" i="15"/>
  <c r="L7902" i="15"/>
  <c r="L7903" i="15"/>
  <c r="L7904" i="15"/>
  <c r="L7905" i="15"/>
  <c r="L7906" i="15"/>
  <c r="L7907" i="15"/>
  <c r="L7908" i="15"/>
  <c r="L7909" i="15"/>
  <c r="L7910" i="15"/>
  <c r="L7911" i="15"/>
  <c r="L7912" i="15"/>
  <c r="L7913" i="15"/>
  <c r="L7914" i="15"/>
  <c r="L7915" i="15"/>
  <c r="L7916" i="15"/>
  <c r="L7917" i="15"/>
  <c r="L7918" i="15"/>
  <c r="L7919" i="15"/>
  <c r="L7920" i="15"/>
  <c r="L7921" i="15"/>
  <c r="L7922" i="15"/>
  <c r="L7923" i="15"/>
  <c r="L7924" i="15"/>
  <c r="L7925" i="15"/>
  <c r="L7926" i="15"/>
  <c r="L7927" i="15"/>
  <c r="L7928" i="15"/>
  <c r="L7929" i="15"/>
  <c r="L7930" i="15"/>
  <c r="L7931" i="15"/>
  <c r="L7932" i="15"/>
  <c r="L7933" i="15"/>
  <c r="L7934" i="15"/>
  <c r="L7935" i="15"/>
  <c r="L7936" i="15"/>
  <c r="L7937" i="15"/>
  <c r="L7938" i="15"/>
  <c r="L7939" i="15"/>
  <c r="L7940" i="15"/>
  <c r="L7941" i="15"/>
  <c r="L7942" i="15"/>
  <c r="L7943" i="15"/>
  <c r="L7944" i="15"/>
  <c r="L7945" i="15"/>
  <c r="L7946" i="15"/>
  <c r="L7947" i="15"/>
  <c r="L7948" i="15"/>
  <c r="L7949" i="15"/>
  <c r="L7950" i="15"/>
  <c r="L7951" i="15"/>
  <c r="L7952" i="15"/>
  <c r="L7953" i="15"/>
  <c r="L7954" i="15"/>
  <c r="L7955" i="15"/>
  <c r="L7956" i="15"/>
  <c r="L7957" i="15"/>
  <c r="L7958" i="15"/>
  <c r="L7959" i="15"/>
  <c r="L7960" i="15"/>
  <c r="L7961" i="15"/>
  <c r="L7962" i="15"/>
  <c r="L7963" i="15"/>
  <c r="L7964" i="15"/>
  <c r="L7965" i="15"/>
  <c r="L7966" i="15"/>
  <c r="L7967" i="15"/>
  <c r="L7968" i="15"/>
  <c r="L7969" i="15"/>
  <c r="L7970" i="15"/>
  <c r="L7971" i="15"/>
  <c r="L7972" i="15"/>
  <c r="L7973" i="15"/>
  <c r="L7974" i="15"/>
  <c r="L7975" i="15"/>
  <c r="L7976" i="15"/>
  <c r="L7977" i="15"/>
  <c r="L7978" i="15"/>
  <c r="L7979" i="15"/>
  <c r="L7980" i="15"/>
  <c r="L7981" i="15"/>
  <c r="L7982" i="15"/>
  <c r="L7983" i="15"/>
  <c r="L7984" i="15"/>
  <c r="L7985" i="15"/>
  <c r="L7986" i="15"/>
  <c r="L7987" i="15"/>
  <c r="L7988" i="15"/>
  <c r="L7989" i="15"/>
  <c r="L7990" i="15"/>
  <c r="L7991" i="15"/>
  <c r="L7992" i="15"/>
  <c r="L7993" i="15"/>
  <c r="L7994" i="15"/>
  <c r="L7995" i="15"/>
  <c r="L7996" i="15"/>
  <c r="L7997" i="15"/>
  <c r="L7998" i="15"/>
  <c r="L7999" i="15"/>
  <c r="L8000" i="15"/>
  <c r="I597" i="16"/>
  <c r="I2207" i="16"/>
  <c r="I1956" i="16"/>
  <c r="I3468" i="16"/>
  <c r="I339" i="16"/>
  <c r="I749" i="16"/>
  <c r="I1218" i="16"/>
  <c r="I3829" i="16"/>
  <c r="I2053" i="16"/>
  <c r="I330" i="16"/>
  <c r="I3487" i="16"/>
  <c r="I3486" i="16"/>
  <c r="I1203" i="16"/>
  <c r="I3683" i="16"/>
  <c r="I1196" i="16"/>
  <c r="I150" i="16"/>
  <c r="I341" i="16"/>
  <c r="I2972" i="16"/>
  <c r="I2973" i="16"/>
  <c r="I475" i="16"/>
  <c r="I3823" i="16"/>
  <c r="I3835" i="16"/>
  <c r="I1785" i="16"/>
  <c r="I4457" i="16"/>
  <c r="I733" i="16"/>
  <c r="I2767" i="16"/>
  <c r="I2768" i="16"/>
  <c r="I1479" i="16"/>
  <c r="I3834" i="16"/>
  <c r="I4059" i="16"/>
  <c r="I986" i="16"/>
  <c r="I2783" i="16"/>
  <c r="I1039" i="16"/>
  <c r="I1909" i="16"/>
  <c r="I3371" i="16"/>
  <c r="I346" i="16"/>
  <c r="I498" i="16"/>
  <c r="I3620" i="16"/>
  <c r="I3532" i="16"/>
  <c r="I3536" i="16"/>
  <c r="I2204" i="16"/>
  <c r="I2205" i="16"/>
  <c r="I3406" i="16"/>
  <c r="I3413" i="16"/>
  <c r="I340" i="16"/>
  <c r="I2763" i="16"/>
  <c r="I3141" i="16"/>
  <c r="I4600" i="16"/>
  <c r="I337" i="16"/>
  <c r="I338" i="16"/>
  <c r="I1227" i="16"/>
  <c r="I4013" i="16"/>
  <c r="I2258" i="16"/>
  <c r="I3149" i="16"/>
  <c r="I144" i="16"/>
  <c r="I3523" i="16"/>
  <c r="I3462" i="16"/>
  <c r="I2240" i="16"/>
  <c r="I3628" i="16"/>
  <c r="I3540" i="16"/>
  <c r="I141" i="16"/>
  <c r="I4103" i="16"/>
  <c r="I5181" i="16"/>
  <c r="I3839" i="16"/>
  <c r="I5183" i="16"/>
  <c r="I241" i="16"/>
  <c r="I147" i="16"/>
  <c r="I4998" i="16"/>
  <c r="I4121" i="16"/>
  <c r="I2761" i="16"/>
  <c r="I5000" i="16"/>
  <c r="I5001" i="16"/>
  <c r="I5002" i="16"/>
  <c r="I5005" i="16"/>
  <c r="I5006" i="16"/>
  <c r="I5007" i="16"/>
  <c r="I5008" i="16"/>
  <c r="I200" i="16"/>
  <c r="I419" i="16"/>
  <c r="I3434" i="16"/>
  <c r="I2213" i="16"/>
  <c r="I3204" i="16"/>
  <c r="I1983" i="16"/>
  <c r="I4095" i="16"/>
  <c r="I4096" i="16"/>
  <c r="I4644" i="16"/>
  <c r="I4647" i="16"/>
  <c r="I5128" i="16"/>
  <c r="I5095" i="16"/>
  <c r="I5092" i="16"/>
  <c r="I964" i="16"/>
  <c r="I965" i="16"/>
  <c r="I939" i="16"/>
  <c r="I604" i="16"/>
  <c r="I1332" i="16"/>
  <c r="I3693" i="16"/>
  <c r="I1952" i="16"/>
  <c r="I1933" i="16"/>
  <c r="I2068" i="16"/>
  <c r="I4136" i="16"/>
  <c r="I2070" i="16"/>
  <c r="I4616" i="16"/>
  <c r="I4620" i="16"/>
  <c r="I1156" i="16"/>
  <c r="I5097" i="16"/>
  <c r="I5098" i="16"/>
  <c r="I5096" i="16"/>
  <c r="I5101" i="16"/>
  <c r="I4701" i="16"/>
  <c r="I4702" i="16"/>
  <c r="I4705" i="16"/>
  <c r="I4711" i="16"/>
  <c r="I1181" i="16"/>
  <c r="I1253" i="16"/>
  <c r="I1174" i="16"/>
  <c r="I2360" i="16"/>
  <c r="I3730" i="16"/>
  <c r="I3703" i="16"/>
  <c r="I3705" i="16"/>
  <c r="I3706" i="16"/>
  <c r="I3436" i="16"/>
  <c r="I1880" i="16"/>
  <c r="I864" i="16"/>
  <c r="I4614" i="16"/>
  <c r="I1876" i="16"/>
  <c r="I2125" i="16"/>
  <c r="I2132" i="16"/>
  <c r="I2123" i="16"/>
  <c r="I4231" i="16"/>
  <c r="I2118" i="16"/>
  <c r="I1171" i="16"/>
  <c r="I893" i="16"/>
  <c r="I1176" i="16"/>
  <c r="I1179" i="16"/>
  <c r="I1180" i="16"/>
  <c r="I326" i="16"/>
  <c r="I347" i="16"/>
  <c r="I2307" i="16"/>
  <c r="I535" i="16"/>
  <c r="I143" i="16"/>
  <c r="I4070" i="16"/>
  <c r="I151" i="16"/>
  <c r="I185" i="16"/>
  <c r="I1113" i="16"/>
  <c r="I2002" i="16"/>
  <c r="I2061" i="16"/>
  <c r="I2076" i="16"/>
  <c r="I3987" i="16"/>
  <c r="I1772" i="16"/>
  <c r="I1773" i="16"/>
  <c r="I592" i="16"/>
  <c r="I4162" i="16"/>
  <c r="I5190" i="16"/>
  <c r="I3527" i="16"/>
  <c r="I5182" i="16"/>
  <c r="I5188" i="16"/>
  <c r="I5168" i="16"/>
  <c r="I5185" i="16"/>
  <c r="I5178" i="16"/>
  <c r="I3418" i="16"/>
  <c r="I2332" i="16"/>
  <c r="I352" i="16"/>
  <c r="I417" i="16"/>
  <c r="I2769" i="16"/>
  <c r="I5154" i="16"/>
  <c r="I1007" i="16"/>
  <c r="I3396" i="16"/>
  <c r="I1274" i="16"/>
  <c r="I2313" i="16"/>
  <c r="I988" i="16"/>
  <c r="I2180" i="16"/>
  <c r="I2182" i="16"/>
  <c r="I4584" i="16"/>
  <c r="I3189" i="16"/>
  <c r="I2302" i="16"/>
  <c r="I2779" i="16"/>
  <c r="I3632" i="16"/>
  <c r="I3398" i="16"/>
  <c r="I3715" i="16"/>
  <c r="I4270" i="16"/>
  <c r="I5036" i="16"/>
  <c r="I5099" i="16"/>
  <c r="I4735" i="16"/>
  <c r="I3678" i="16"/>
  <c r="I1959" i="16"/>
  <c r="I3605" i="16"/>
  <c r="I4201" i="16"/>
  <c r="I1164" i="16"/>
  <c r="I1907" i="16"/>
  <c r="I3400" i="16"/>
  <c r="I191" i="16"/>
  <c r="I4669" i="16"/>
  <c r="I1498" i="16"/>
  <c r="I4111" i="16"/>
  <c r="I3466" i="16"/>
  <c r="I4781" i="16"/>
  <c r="I4780" i="16"/>
  <c r="I1935" i="16"/>
  <c r="I1226" i="16"/>
  <c r="I3592" i="16"/>
  <c r="I3587" i="16"/>
  <c r="I4161" i="16"/>
  <c r="I3581" i="16"/>
  <c r="I3629" i="16"/>
  <c r="I4108" i="16"/>
  <c r="I3150" i="16"/>
  <c r="I4065" i="16"/>
  <c r="I2202" i="16"/>
  <c r="I1788" i="16"/>
  <c r="I4588" i="16"/>
  <c r="I3842" i="16"/>
  <c r="I1787" i="16"/>
  <c r="I2255" i="16"/>
  <c r="I2762" i="16"/>
  <c r="I546" i="16"/>
  <c r="I4583" i="16"/>
  <c r="I3200" i="16"/>
  <c r="I3201" i="16"/>
  <c r="I4529" i="16"/>
  <c r="I2385" i="16"/>
  <c r="I4502" i="16"/>
  <c r="I1575" i="16"/>
  <c r="I1574" i="16"/>
  <c r="I202" i="16"/>
  <c r="I4999" i="16"/>
  <c r="I2297" i="16"/>
  <c r="I3927" i="16"/>
  <c r="I4109" i="16"/>
  <c r="I3463" i="16"/>
  <c r="I3677" i="16"/>
  <c r="I3843" i="16"/>
  <c r="I3091" i="16"/>
  <c r="I2293" i="16"/>
  <c r="I3194" i="16"/>
  <c r="I3090" i="16"/>
  <c r="I154" i="16"/>
  <c r="I2030" i="16"/>
  <c r="I3061" i="16"/>
  <c r="I3089" i="16"/>
  <c r="I2331" i="16"/>
  <c r="I145" i="16"/>
  <c r="I4343" i="16"/>
  <c r="I3728" i="16"/>
  <c r="I3702" i="16"/>
  <c r="I3704" i="16"/>
  <c r="I3858" i="16"/>
  <c r="I2826" i="16"/>
  <c r="I1043" i="16"/>
  <c r="I4722" i="16"/>
  <c r="I1957" i="16"/>
  <c r="I1958" i="16"/>
  <c r="I1324" i="16"/>
  <c r="I750" i="16"/>
  <c r="I3332" i="16"/>
  <c r="I1305" i="16"/>
  <c r="I1303" i="16"/>
  <c r="I4184" i="16"/>
  <c r="I4542" i="16"/>
  <c r="I4536" i="16"/>
  <c r="I745" i="16"/>
  <c r="I747" i="16"/>
  <c r="I752" i="16"/>
  <c r="I1762" i="16"/>
  <c r="I1410" i="16"/>
  <c r="I1378" i="16"/>
  <c r="I1763" i="16"/>
  <c r="I1407" i="16"/>
  <c r="I1375" i="16"/>
  <c r="I1764" i="16"/>
  <c r="I1405" i="16"/>
  <c r="I1765" i="16"/>
  <c r="I1372" i="16"/>
  <c r="I1766" i="16"/>
  <c r="I1409" i="16"/>
  <c r="I1377" i="16"/>
  <c r="I1767" i="16"/>
  <c r="I1376" i="16"/>
  <c r="I1768" i="16"/>
  <c r="I1411" i="16"/>
  <c r="I1379" i="16"/>
  <c r="I1769" i="16"/>
  <c r="I1412" i="16"/>
  <c r="I1380" i="16"/>
  <c r="I2968" i="16"/>
  <c r="I1761" i="16"/>
  <c r="I1934" i="16"/>
  <c r="I1936" i="16"/>
  <c r="I4191" i="16"/>
  <c r="I4192" i="16"/>
  <c r="I4193" i="16"/>
  <c r="I1917" i="16"/>
  <c r="I2965" i="16"/>
  <c r="I1751" i="16"/>
  <c r="I1910" i="16"/>
  <c r="I2962" i="16"/>
  <c r="I1750" i="16"/>
  <c r="I1912" i="16"/>
  <c r="I2960" i="16"/>
  <c r="I1753" i="16"/>
  <c r="I1911" i="16"/>
  <c r="I2959" i="16"/>
  <c r="I1752" i="16"/>
  <c r="I1914" i="16"/>
  <c r="I2964" i="16"/>
  <c r="I1757" i="16"/>
  <c r="I1916" i="16"/>
  <c r="I2966" i="16"/>
  <c r="I1759" i="16"/>
  <c r="I2260" i="16"/>
  <c r="I3754" i="16"/>
  <c r="I1212" i="16"/>
  <c r="I3648" i="16"/>
  <c r="I3885" i="16"/>
  <c r="I4081" i="16"/>
  <c r="I3153" i="16"/>
  <c r="I4207" i="16"/>
  <c r="I3637" i="16"/>
  <c r="I1361" i="16"/>
  <c r="I3854" i="16"/>
  <c r="I1280" i="16"/>
  <c r="I1281" i="16"/>
  <c r="I511" i="16"/>
  <c r="I4453" i="16"/>
  <c r="I3173" i="16"/>
  <c r="I507" i="16"/>
  <c r="I1029" i="16"/>
  <c r="I3831" i="16"/>
  <c r="I3188" i="16"/>
  <c r="I4060" i="16"/>
  <c r="I889" i="16"/>
  <c r="I4708" i="16"/>
  <c r="I4707" i="16"/>
  <c r="I4535" i="16"/>
  <c r="I1210" i="16"/>
  <c r="I198" i="16"/>
  <c r="I390" i="16"/>
  <c r="I450" i="16"/>
  <c r="I451" i="16"/>
  <c r="I559" i="16"/>
  <c r="I921" i="16"/>
  <c r="I924" i="16"/>
  <c r="I926" i="16"/>
  <c r="I984" i="16"/>
  <c r="I1567" i="16"/>
  <c r="I3084" i="16"/>
  <c r="I3229" i="16"/>
  <c r="I5100" i="16"/>
  <c r="I3970" i="16"/>
  <c r="I3974" i="16"/>
  <c r="I3975" i="16"/>
  <c r="I3983" i="16"/>
  <c r="I3984" i="16"/>
  <c r="I3982" i="16"/>
  <c r="I4547" i="16"/>
  <c r="I4626" i="16"/>
  <c r="I4627" i="16"/>
  <c r="I4630" i="16"/>
  <c r="I4631" i="16"/>
  <c r="I4629" i="16"/>
  <c r="I4727" i="16"/>
  <c r="I4724" i="16"/>
  <c r="I4725" i="16"/>
  <c r="I4726" i="16"/>
  <c r="I4729" i="16"/>
  <c r="I4730" i="16"/>
  <c r="I4731" i="16"/>
  <c r="I4954" i="16"/>
  <c r="I4955" i="16"/>
  <c r="I4956" i="16"/>
  <c r="I4983" i="16"/>
  <c r="I4984" i="16"/>
  <c r="I4990" i="16"/>
  <c r="I4993" i="16"/>
  <c r="I4988" i="16"/>
  <c r="I4989" i="16"/>
  <c r="I4994" i="16"/>
  <c r="I4982" i="16"/>
  <c r="I4995" i="16"/>
  <c r="I4997" i="16"/>
  <c r="I5004" i="16"/>
  <c r="I5009" i="16"/>
  <c r="I5010" i="16"/>
  <c r="I5011" i="16"/>
  <c r="I5003" i="16"/>
  <c r="I5129" i="16"/>
  <c r="I5104" i="16"/>
  <c r="I5106" i="16"/>
  <c r="I5116" i="16"/>
  <c r="I5115" i="16"/>
  <c r="I5126" i="16"/>
  <c r="I5127" i="16"/>
  <c r="I5124" i="16"/>
  <c r="I5123" i="16"/>
  <c r="I75" i="16"/>
  <c r="I113" i="16"/>
  <c r="I97" i="16"/>
  <c r="I276" i="16"/>
  <c r="I702" i="16"/>
  <c r="I895" i="16"/>
  <c r="I1034" i="16"/>
  <c r="I4128" i="16"/>
  <c r="I1081" i="16"/>
  <c r="I1370" i="16"/>
  <c r="I1715" i="16"/>
  <c r="I1624" i="16"/>
  <c r="I1717" i="16"/>
  <c r="I1600" i="16"/>
  <c r="I2472" i="16"/>
  <c r="I2471" i="16"/>
  <c r="I2529" i="16"/>
  <c r="I2542" i="16"/>
  <c r="I4401" i="16"/>
  <c r="I1359" i="16"/>
  <c r="I2877" i="16"/>
  <c r="I2949" i="16"/>
  <c r="I4412" i="16"/>
  <c r="I5074" i="16"/>
  <c r="I5075" i="16"/>
  <c r="I5033" i="16"/>
  <c r="I5032" i="16"/>
  <c r="I5038" i="16"/>
  <c r="I5040" i="16"/>
  <c r="I5041" i="16"/>
  <c r="I5037" i="16"/>
  <c r="I4250" i="16"/>
  <c r="I4252" i="16"/>
  <c r="I4254" i="16"/>
  <c r="I4255" i="16"/>
  <c r="I4276" i="16"/>
  <c r="I2834" i="16"/>
  <c r="I2835" i="16"/>
  <c r="I3011" i="16"/>
  <c r="I5068" i="16"/>
  <c r="I5070" i="16"/>
  <c r="I3076" i="16"/>
  <c r="I3085" i="16"/>
  <c r="I635" i="16"/>
  <c r="I4728" i="16"/>
  <c r="I1525" i="16"/>
  <c r="I3180" i="16"/>
  <c r="I4458" i="16"/>
  <c r="I743" i="16"/>
  <c r="I2770" i="16"/>
  <c r="I3836" i="16"/>
  <c r="I3685" i="16"/>
  <c r="I3837" i="16"/>
  <c r="I345" i="16"/>
  <c r="I1230" i="16"/>
  <c r="I1047" i="16"/>
  <c r="I1051" i="16"/>
  <c r="I1920" i="16"/>
  <c r="I1793" i="16"/>
  <c r="I1797" i="16"/>
  <c r="I3822" i="16"/>
  <c r="I76" i="16"/>
  <c r="I358" i="16"/>
  <c r="I4455" i="16"/>
  <c r="I3538" i="16"/>
  <c r="I2209" i="16"/>
  <c r="I2212" i="16"/>
  <c r="I3534" i="16"/>
  <c r="I3145" i="16"/>
  <c r="I2764" i="16"/>
  <c r="I2766" i="16"/>
  <c r="I4598" i="16"/>
  <c r="I4602" i="16"/>
  <c r="I162" i="16"/>
  <c r="I350" i="16"/>
  <c r="I3988" i="16"/>
  <c r="I2265" i="16"/>
  <c r="I3151" i="16"/>
  <c r="I609" i="16"/>
  <c r="I611" i="16"/>
  <c r="I4146" i="16"/>
  <c r="I156" i="16"/>
  <c r="I351" i="16"/>
  <c r="I2252" i="16"/>
  <c r="I2254" i="16"/>
  <c r="I3525" i="16"/>
  <c r="I3454" i="16"/>
  <c r="I2245" i="16"/>
  <c r="I3542" i="16"/>
  <c r="I153" i="16"/>
  <c r="I3841" i="16"/>
  <c r="I4101" i="16"/>
  <c r="I4105" i="16"/>
  <c r="I253" i="16"/>
  <c r="I159" i="16"/>
  <c r="I4996" i="16"/>
  <c r="I2220" i="16"/>
  <c r="I2222" i="16"/>
  <c r="I990" i="16"/>
  <c r="I3467" i="16"/>
  <c r="I212" i="16"/>
  <c r="I989" i="16"/>
  <c r="I4119" i="16"/>
  <c r="I4123" i="16"/>
  <c r="I3908" i="16"/>
  <c r="I431" i="16"/>
  <c r="I3435" i="16"/>
  <c r="I3989" i="16"/>
  <c r="I3993" i="16"/>
  <c r="I2218" i="16"/>
  <c r="I2751" i="16"/>
  <c r="I3206" i="16"/>
  <c r="I1986" i="16"/>
  <c r="I1990" i="16"/>
  <c r="I4093" i="16"/>
  <c r="I4097" i="16"/>
  <c r="I4094" i="16"/>
  <c r="I4098" i="16"/>
  <c r="I4642" i="16"/>
  <c r="I4646" i="16"/>
  <c r="I4645" i="16"/>
  <c r="I4649" i="16"/>
  <c r="I5130" i="16"/>
  <c r="I5090" i="16"/>
  <c r="I5094" i="16"/>
  <c r="I619" i="16"/>
  <c r="I972" i="16"/>
  <c r="I973" i="16"/>
  <c r="I947" i="16"/>
  <c r="I951" i="16"/>
  <c r="I616" i="16"/>
  <c r="I1340" i="16"/>
  <c r="I1954" i="16"/>
  <c r="I1940" i="16"/>
  <c r="I1939" i="16"/>
  <c r="I342" i="16"/>
  <c r="I2430" i="16"/>
  <c r="I4618" i="16"/>
  <c r="I4622" i="16"/>
  <c r="I2214" i="16"/>
  <c r="I5103" i="16"/>
  <c r="I4699" i="16"/>
  <c r="I4703" i="16"/>
  <c r="I1193" i="16"/>
  <c r="I1261" i="16"/>
  <c r="I1265" i="16"/>
  <c r="I487" i="16"/>
  <c r="I488" i="16"/>
  <c r="I2365" i="16"/>
  <c r="I2367" i="16"/>
  <c r="I3732" i="16"/>
  <c r="I3708" i="16"/>
  <c r="I1887" i="16"/>
  <c r="I1891" i="16"/>
  <c r="I1187" i="16"/>
  <c r="I1191" i="16"/>
  <c r="I469" i="16"/>
  <c r="I359" i="16"/>
  <c r="I2312" i="16"/>
  <c r="I2314" i="16"/>
  <c r="I509" i="16"/>
  <c r="I510" i="16"/>
  <c r="I4577" i="16"/>
  <c r="I545" i="16"/>
  <c r="I547" i="16"/>
  <c r="I81" i="16"/>
  <c r="I82" i="16"/>
  <c r="I77" i="16"/>
  <c r="I155" i="16"/>
  <c r="I4068" i="16"/>
  <c r="I163" i="16"/>
  <c r="I197" i="16"/>
  <c r="I1125" i="16"/>
  <c r="I2005" i="16"/>
  <c r="I2079" i="16"/>
  <c r="I2083" i="16"/>
  <c r="I1781" i="16"/>
  <c r="I4685" i="16"/>
  <c r="I5192" i="16"/>
  <c r="I5180" i="16"/>
  <c r="I5184" i="16"/>
  <c r="I5186" i="16"/>
  <c r="I5166" i="16"/>
  <c r="I5170" i="16"/>
  <c r="I2056" i="16"/>
  <c r="I2060" i="16"/>
  <c r="I5187" i="16"/>
  <c r="I5176" i="16"/>
  <c r="I2337" i="16"/>
  <c r="I2339" i="16"/>
  <c r="I429" i="16"/>
  <c r="I25" i="16"/>
  <c r="I2772" i="16"/>
  <c r="I3101" i="16"/>
  <c r="I1221" i="16"/>
  <c r="I1225" i="16"/>
  <c r="I1282" i="16"/>
  <c r="I1286" i="16"/>
  <c r="I1982" i="16"/>
  <c r="I3373" i="16"/>
  <c r="I66" i="16"/>
  <c r="I2318" i="16"/>
  <c r="I2320" i="16"/>
  <c r="I2185" i="16"/>
  <c r="I2189" i="16"/>
  <c r="I4582" i="16"/>
  <c r="I4586" i="16"/>
  <c r="I3191" i="16"/>
  <c r="I2782" i="16"/>
  <c r="I1962" i="16"/>
  <c r="I1966" i="16"/>
  <c r="I349" i="16"/>
  <c r="I3402" i="16"/>
  <c r="I203" i="16"/>
  <c r="I4667" i="16"/>
  <c r="I4671" i="16"/>
  <c r="I1506" i="16"/>
  <c r="I1507" i="16"/>
  <c r="I4113" i="16"/>
  <c r="I1504" i="16"/>
  <c r="I1508" i="16"/>
  <c r="I4779" i="16"/>
  <c r="I1938" i="16"/>
  <c r="I1234" i="16"/>
  <c r="I1238" i="16"/>
  <c r="I3594" i="16"/>
  <c r="I4106" i="16"/>
  <c r="I4110" i="16"/>
  <c r="I3152" i="16"/>
  <c r="I4590" i="16"/>
  <c r="I3844" i="16"/>
  <c r="I2765" i="16"/>
  <c r="I556" i="16"/>
  <c r="I558" i="16"/>
  <c r="I344" i="16"/>
  <c r="I1970" i="16"/>
  <c r="I1795" i="16"/>
  <c r="I1799" i="16"/>
  <c r="I3202" i="16"/>
  <c r="I2387" i="16"/>
  <c r="I1460" i="16"/>
  <c r="I1583" i="16"/>
  <c r="I1587" i="16"/>
  <c r="I1582" i="16"/>
  <c r="I1586" i="16"/>
  <c r="I2262" i="16"/>
  <c r="I214" i="16"/>
  <c r="I3936" i="16"/>
  <c r="I3682" i="16"/>
  <c r="I3845" i="16"/>
  <c r="I3195" i="16"/>
  <c r="I2300" i="16"/>
  <c r="I3093" i="16"/>
  <c r="I166" i="16"/>
  <c r="I1004" i="16"/>
  <c r="I4163" i="16"/>
  <c r="I2336" i="16"/>
  <c r="I2338" i="16"/>
  <c r="I157" i="16"/>
  <c r="I2828" i="16"/>
  <c r="I1055" i="16"/>
  <c r="I1918" i="16"/>
  <c r="I4720" i="16"/>
  <c r="I1961" i="16"/>
  <c r="I1965" i="16"/>
  <c r="I4206" i="16"/>
  <c r="I1336" i="16"/>
  <c r="I2808" i="16"/>
  <c r="I760" i="16"/>
  <c r="I762" i="16"/>
  <c r="I1160" i="16"/>
  <c r="I1319" i="16"/>
  <c r="I1322" i="16"/>
  <c r="I4186" i="16"/>
  <c r="I4560" i="16"/>
  <c r="I757" i="16"/>
  <c r="I759" i="16"/>
  <c r="I761" i="16"/>
  <c r="I1770" i="16"/>
  <c r="I1774" i="16"/>
  <c r="I1771" i="16"/>
  <c r="I1775" i="16"/>
  <c r="I1415" i="16"/>
  <c r="I1413" i="16"/>
  <c r="I1778" i="16"/>
  <c r="I1779" i="16"/>
  <c r="I1382" i="16"/>
  <c r="I1388" i="16"/>
  <c r="I1777" i="16"/>
  <c r="I1386" i="16"/>
  <c r="I1392" i="16"/>
  <c r="I1937" i="16"/>
  <c r="I1941" i="16"/>
  <c r="I1943" i="16"/>
  <c r="I4189" i="16"/>
  <c r="I4190" i="16"/>
  <c r="I4194" i="16"/>
  <c r="I1924" i="16"/>
  <c r="I2967" i="16"/>
  <c r="I1758" i="16"/>
  <c r="I1919" i="16"/>
  <c r="I1923" i="16"/>
  <c r="I1760" i="16"/>
  <c r="I1927" i="16"/>
  <c r="I2267" i="16"/>
  <c r="I3756" i="16"/>
  <c r="I44" i="16"/>
  <c r="I3886" i="16"/>
  <c r="I4079" i="16"/>
  <c r="I4083" i="16"/>
  <c r="I937" i="16"/>
  <c r="I941" i="16"/>
  <c r="I3395" i="16"/>
  <c r="I4205" i="16"/>
  <c r="I4209" i="16"/>
  <c r="I1288" i="16"/>
  <c r="I1292" i="16"/>
  <c r="I1289" i="16"/>
  <c r="I522" i="16"/>
  <c r="I523" i="16"/>
  <c r="I3175" i="16"/>
  <c r="I518" i="16"/>
  <c r="I1035" i="16"/>
  <c r="I1037" i="16"/>
  <c r="I1041" i="16"/>
  <c r="I3833" i="16"/>
  <c r="I530" i="16"/>
  <c r="I531" i="16"/>
  <c r="I3190" i="16"/>
  <c r="I4058" i="16"/>
  <c r="I897" i="16"/>
  <c r="I901" i="16"/>
  <c r="I1172" i="16"/>
  <c r="I4706" i="16"/>
  <c r="I4710" i="16"/>
  <c r="I4107" i="16"/>
  <c r="I4709" i="16"/>
  <c r="I1320" i="16"/>
  <c r="I4533" i="16"/>
  <c r="I4537" i="16"/>
  <c r="I1824" i="16"/>
  <c r="I1828" i="16"/>
  <c r="I210" i="16"/>
  <c r="I402" i="16"/>
  <c r="I462" i="16"/>
  <c r="I463" i="16"/>
  <c r="I569" i="16"/>
  <c r="I571" i="16"/>
  <c r="I938" i="16"/>
  <c r="I1579" i="16"/>
  <c r="I3086" i="16"/>
  <c r="I3231" i="16"/>
  <c r="I3907" i="16"/>
  <c r="I5102" i="16"/>
  <c r="I3965" i="16"/>
  <c r="I3976" i="16"/>
  <c r="I3977" i="16"/>
  <c r="I3981" i="16"/>
  <c r="I3985" i="16"/>
  <c r="I3960" i="16"/>
  <c r="I3980" i="16"/>
  <c r="I4624" i="16"/>
  <c r="I4628" i="16"/>
  <c r="I4625" i="16"/>
  <c r="I4632" i="16"/>
  <c r="I4633" i="16"/>
  <c r="I4723" i="16"/>
  <c r="I4732" i="16"/>
  <c r="I4733" i="16"/>
  <c r="I4952" i="16"/>
  <c r="I4953" i="16"/>
  <c r="I4957" i="16"/>
  <c r="I4958" i="16"/>
  <c r="I4981" i="16"/>
  <c r="I4985" i="16"/>
  <c r="I4986" i="16"/>
  <c r="I4992" i="16"/>
  <c r="I4991" i="16"/>
  <c r="I4987" i="16"/>
  <c r="I4980" i="16"/>
  <c r="I5012" i="16"/>
  <c r="I5013" i="16"/>
  <c r="I5131" i="16"/>
  <c r="I5108" i="16"/>
  <c r="I5114" i="16"/>
  <c r="I5118" i="16"/>
  <c r="I5113" i="16"/>
  <c r="I5117" i="16"/>
  <c r="I5125" i="16"/>
  <c r="I5122" i="16"/>
  <c r="I5121" i="16"/>
  <c r="I5093" i="16"/>
  <c r="I87" i="16"/>
  <c r="I125" i="16"/>
  <c r="I269" i="16"/>
  <c r="I288" i="16"/>
  <c r="I712" i="16"/>
  <c r="I714" i="16"/>
  <c r="I903" i="16"/>
  <c r="I907" i="16"/>
  <c r="I1042" i="16"/>
  <c r="I1046" i="16"/>
  <c r="I4130" i="16"/>
  <c r="I1632" i="16"/>
  <c r="I1636" i="16"/>
  <c r="I1725" i="16"/>
  <c r="I1729" i="16"/>
  <c r="I1608" i="16"/>
  <c r="I1612" i="16"/>
  <c r="I117" i="16"/>
  <c r="I2473" i="16"/>
  <c r="I2606" i="16"/>
  <c r="I2530" i="16"/>
  <c r="I2532" i="16"/>
  <c r="I2543" i="16"/>
  <c r="I2545" i="16"/>
  <c r="I1367" i="16"/>
  <c r="I1371" i="16"/>
  <c r="I2879" i="16"/>
  <c r="I2951" i="16"/>
  <c r="I4408" i="16"/>
  <c r="I4414" i="16"/>
  <c r="I2637" i="16"/>
  <c r="I5072" i="16"/>
  <c r="I5076" i="16"/>
  <c r="I5030" i="16"/>
  <c r="I5034" i="16"/>
  <c r="I5042" i="16"/>
  <c r="I5039" i="16"/>
  <c r="I5043" i="16"/>
  <c r="I5035" i="16"/>
  <c r="I4256" i="16"/>
  <c r="I4253" i="16"/>
  <c r="I4257" i="16"/>
  <c r="I4274" i="16"/>
  <c r="I4278" i="16"/>
  <c r="I4237" i="16"/>
  <c r="I2836" i="16"/>
  <c r="I2837" i="16"/>
  <c r="I3015" i="16"/>
  <c r="I3009" i="16"/>
  <c r="I5066" i="16"/>
  <c r="I3078" i="16"/>
  <c r="I3087" i="16"/>
  <c r="I645" i="16"/>
  <c r="I647" i="16"/>
  <c r="I5031" i="16"/>
  <c r="I532" i="16"/>
  <c r="I3182" i="16"/>
  <c r="I4456" i="16"/>
  <c r="I84" i="16"/>
  <c r="I4936" i="16"/>
  <c r="I4930" i="16"/>
  <c r="I4232" i="16"/>
  <c r="I4236" i="16"/>
  <c r="I4399" i="16"/>
  <c r="I4403" i="16"/>
  <c r="I1723" i="16"/>
  <c r="I1727" i="16"/>
  <c r="I4411" i="16"/>
  <c r="I2483" i="16"/>
  <c r="I4248" i="16"/>
  <c r="I5073" i="16"/>
  <c r="I5077" i="16"/>
  <c r="I1222" i="16"/>
  <c r="I4451" i="16"/>
  <c r="I1921" i="16"/>
  <c r="I1925" i="16"/>
  <c r="I1922" i="16"/>
  <c r="I2961" i="16"/>
  <c r="I3752" i="16"/>
  <c r="I3155" i="16"/>
  <c r="I3887" i="16"/>
  <c r="I1385" i="16"/>
  <c r="I1391" i="16"/>
  <c r="I764" i="16"/>
  <c r="I1384" i="16"/>
  <c r="I1220" i="16"/>
  <c r="I1224" i="16"/>
  <c r="I1381" i="16"/>
  <c r="I1387" i="16"/>
  <c r="I4534" i="16"/>
  <c r="I1383" i="16"/>
  <c r="I1389" i="16"/>
  <c r="I1390" i="16"/>
  <c r="I755" i="16"/>
  <c r="I1321" i="16"/>
  <c r="I4541" i="16"/>
  <c r="I3860" i="16"/>
  <c r="I3707" i="16"/>
  <c r="I3490" i="16"/>
  <c r="I2033" i="16"/>
  <c r="I2037" i="16"/>
  <c r="I1006" i="16"/>
  <c r="I3196" i="16"/>
  <c r="I3092" i="16"/>
  <c r="I3925" i="16"/>
  <c r="I4500" i="16"/>
  <c r="I4504" i="16"/>
  <c r="I4527" i="16"/>
  <c r="I4531" i="16"/>
  <c r="I3203" i="16"/>
  <c r="I4581" i="16"/>
  <c r="I4585" i="16"/>
  <c r="I4069" i="16"/>
  <c r="I4063" i="16"/>
  <c r="I3583" i="16"/>
  <c r="I4159" i="16"/>
  <c r="I4778" i="16"/>
  <c r="I4782" i="16"/>
  <c r="I3607" i="16"/>
  <c r="I1796" i="16"/>
  <c r="I1800" i="16"/>
  <c r="I3827" i="16"/>
  <c r="I1544" i="16"/>
  <c r="I1548" i="16"/>
  <c r="I4737" i="16"/>
  <c r="I4268" i="16"/>
  <c r="I4272" i="16"/>
  <c r="I2368" i="16"/>
  <c r="I2370" i="16"/>
  <c r="I2183" i="16"/>
  <c r="I2187" i="16"/>
  <c r="I3389" i="16"/>
  <c r="I5152" i="16"/>
  <c r="I5156" i="16"/>
  <c r="I3859" i="16"/>
  <c r="I2064" i="16"/>
  <c r="I1183" i="16"/>
  <c r="I2121" i="16"/>
  <c r="I1184" i="16"/>
  <c r="I1188" i="16"/>
  <c r="I1192" i="16"/>
  <c r="I2122" i="16"/>
  <c r="I2135" i="16"/>
  <c r="I1884" i="16"/>
  <c r="I1888" i="16"/>
  <c r="I905" i="16"/>
  <c r="I2078" i="16"/>
  <c r="I2082" i="16"/>
  <c r="I2128" i="16"/>
  <c r="I4154" i="16"/>
  <c r="I4612" i="16"/>
  <c r="I2130" i="16"/>
  <c r="I3438" i="16"/>
  <c r="I1182" i="16"/>
  <c r="I1186" i="16"/>
  <c r="I4700" i="16"/>
  <c r="I4704" i="16"/>
  <c r="I1168" i="16"/>
  <c r="I4135" i="16"/>
  <c r="I4139" i="16"/>
  <c r="I4134" i="16"/>
  <c r="I4138" i="16"/>
  <c r="I5179" i="16"/>
  <c r="I3510" i="16"/>
  <c r="I3630" i="16"/>
  <c r="I3622" i="16"/>
  <c r="I4011" i="16"/>
  <c r="I4015" i="16"/>
  <c r="I4005" i="16"/>
  <c r="I506" i="16"/>
  <c r="I2786" i="16"/>
  <c r="I2771" i="16"/>
  <c r="I1487" i="16"/>
  <c r="I1491" i="16"/>
  <c r="I4158" i="16"/>
  <c r="I5401" i="16"/>
  <c r="I5402" i="16"/>
  <c r="I5403" i="16"/>
  <c r="I5404" i="16"/>
  <c r="I5405" i="16"/>
  <c r="I5406" i="16"/>
  <c r="I5407" i="16"/>
  <c r="I5408" i="16"/>
  <c r="I5409" i="16"/>
  <c r="I5410" i="16"/>
  <c r="I5411" i="16"/>
  <c r="I5412" i="16"/>
  <c r="I5413" i="16"/>
  <c r="I5414" i="16"/>
  <c r="I5415" i="16"/>
  <c r="I5416" i="16"/>
  <c r="I5417" i="16"/>
  <c r="I5418" i="16"/>
  <c r="I5419" i="16"/>
  <c r="I5420" i="16"/>
  <c r="I5421" i="16"/>
  <c r="I5422" i="16"/>
  <c r="I5423" i="16"/>
  <c r="I5424" i="16"/>
  <c r="I5425" i="16"/>
  <c r="I5426" i="16"/>
  <c r="I5427" i="16"/>
  <c r="I5428" i="16"/>
  <c r="I5429" i="16"/>
  <c r="I5430" i="16"/>
  <c r="I5431" i="16"/>
  <c r="I5432" i="16"/>
  <c r="I5433" i="16"/>
  <c r="I5434" i="16"/>
  <c r="I5435" i="16"/>
  <c r="I5436" i="16"/>
  <c r="I5437" i="16"/>
  <c r="I5438" i="16"/>
  <c r="I5439" i="16"/>
  <c r="I5440" i="16"/>
  <c r="I5441" i="16"/>
  <c r="I5442" i="16"/>
  <c r="I5443" i="16"/>
  <c r="I5444" i="16"/>
  <c r="I5445" i="16"/>
  <c r="I5446" i="16"/>
  <c r="I5447" i="16"/>
  <c r="I5448" i="16"/>
  <c r="I5449" i="16"/>
  <c r="I5450" i="16"/>
  <c r="I5451" i="16"/>
  <c r="I5452" i="16"/>
  <c r="I5453" i="16"/>
  <c r="I5454" i="16"/>
  <c r="I5455" i="16"/>
  <c r="I5456" i="16"/>
  <c r="I5457" i="16"/>
  <c r="I5458" i="16"/>
  <c r="I5459" i="16"/>
  <c r="I5460" i="16"/>
  <c r="I5461" i="16"/>
  <c r="I5462" i="16"/>
  <c r="I5463" i="16"/>
  <c r="I5464" i="16"/>
  <c r="I5465" i="16"/>
  <c r="I5466" i="16"/>
  <c r="I5467" i="16"/>
  <c r="I5468" i="16"/>
  <c r="I5469" i="16"/>
  <c r="I5470" i="16"/>
  <c r="I5471" i="16"/>
  <c r="I5472" i="16"/>
  <c r="I5473" i="16"/>
  <c r="I5474" i="16"/>
  <c r="I5475" i="16"/>
  <c r="I5476" i="16"/>
  <c r="I5477" i="16"/>
  <c r="I5478" i="16"/>
  <c r="I5479" i="16"/>
  <c r="I5480" i="16"/>
  <c r="I5481" i="16"/>
  <c r="I5482" i="16"/>
  <c r="I5483" i="16"/>
  <c r="I5484" i="16"/>
  <c r="I5485" i="16"/>
  <c r="I5486" i="16"/>
  <c r="I5487" i="16"/>
  <c r="I5488" i="16"/>
  <c r="I5489" i="16"/>
  <c r="I5490" i="16"/>
  <c r="I5491" i="16"/>
  <c r="I5492" i="16"/>
  <c r="I5493" i="16"/>
  <c r="I5494" i="16"/>
  <c r="I5495" i="16"/>
  <c r="I5496" i="16"/>
  <c r="I5497" i="16"/>
  <c r="I5498" i="16"/>
  <c r="I5499" i="16"/>
  <c r="I5500" i="16"/>
  <c r="I5501" i="16"/>
  <c r="I5502" i="16"/>
  <c r="I5503" i="16"/>
  <c r="I5504" i="16"/>
  <c r="I5505" i="16"/>
  <c r="I5506" i="16"/>
  <c r="I5507" i="16"/>
  <c r="I5508" i="16"/>
  <c r="I5509" i="16"/>
  <c r="I5510" i="16"/>
  <c r="I5511" i="16"/>
  <c r="I5512" i="16"/>
  <c r="I5513" i="16"/>
  <c r="I5514" i="16"/>
  <c r="I5515" i="16"/>
  <c r="I5516" i="16"/>
  <c r="I5517" i="16"/>
  <c r="I5518" i="16"/>
  <c r="I5519" i="16"/>
  <c r="I5520" i="16"/>
  <c r="I5521" i="16"/>
  <c r="I5522" i="16"/>
  <c r="I5523" i="16"/>
  <c r="I5524" i="16"/>
  <c r="I5525" i="16"/>
  <c r="I5526" i="16"/>
  <c r="I5527" i="16"/>
  <c r="I5528" i="16"/>
  <c r="I5529" i="16"/>
  <c r="I5530" i="16"/>
  <c r="I5531" i="16"/>
  <c r="I5532" i="16"/>
  <c r="I5533" i="16"/>
  <c r="I5534" i="16"/>
  <c r="I5535" i="16"/>
  <c r="I5536" i="16"/>
  <c r="I5537" i="16"/>
  <c r="I5538" i="16"/>
  <c r="I5539" i="16"/>
  <c r="I5540" i="16"/>
  <c r="I5541" i="16"/>
  <c r="I5542" i="16"/>
  <c r="I5543" i="16"/>
  <c r="I5544" i="16"/>
  <c r="I5545" i="16"/>
  <c r="I5546" i="16"/>
  <c r="I5547" i="16"/>
  <c r="I5548" i="16"/>
  <c r="I5549" i="16"/>
  <c r="I5550" i="16"/>
  <c r="I5551" i="16"/>
  <c r="I5552" i="16"/>
  <c r="I5553" i="16"/>
  <c r="I5554" i="16"/>
  <c r="I5555" i="16"/>
  <c r="I5556" i="16"/>
  <c r="I5557" i="16"/>
  <c r="I5558" i="16"/>
  <c r="I5559" i="16"/>
  <c r="I5560" i="16"/>
  <c r="I5561" i="16"/>
  <c r="I5562" i="16"/>
  <c r="I5563" i="16"/>
  <c r="I5564" i="16"/>
  <c r="I5565" i="16"/>
  <c r="I5566" i="16"/>
  <c r="I5567" i="16"/>
  <c r="I5568" i="16"/>
  <c r="I5569" i="16"/>
  <c r="I5570" i="16"/>
  <c r="I5571" i="16"/>
  <c r="I5572" i="16"/>
  <c r="I5573" i="16"/>
  <c r="I5574" i="16"/>
  <c r="I5575" i="16"/>
  <c r="I5576" i="16"/>
  <c r="I5577" i="16"/>
  <c r="I5578" i="16"/>
  <c r="I5579" i="16"/>
  <c r="I5580" i="16"/>
  <c r="I5581" i="16"/>
  <c r="I5582" i="16"/>
  <c r="I5583" i="16"/>
  <c r="I5584" i="16"/>
  <c r="I5585" i="16"/>
  <c r="I5586" i="16"/>
  <c r="I5587" i="16"/>
  <c r="I5588" i="16"/>
  <c r="I5589" i="16"/>
  <c r="I5590" i="16"/>
  <c r="I5591" i="16"/>
  <c r="I5592" i="16"/>
  <c r="I5593" i="16"/>
  <c r="I5594" i="16"/>
  <c r="I5595" i="16"/>
  <c r="I5596" i="16"/>
  <c r="I5597" i="16"/>
  <c r="I5598" i="16"/>
  <c r="I5599" i="16"/>
  <c r="I5600" i="16"/>
  <c r="I5601" i="16"/>
  <c r="I5602" i="16"/>
  <c r="I5603" i="16"/>
  <c r="I5604" i="16"/>
  <c r="I5605" i="16"/>
  <c r="I5606" i="16"/>
  <c r="I5607" i="16"/>
  <c r="I5608" i="16"/>
  <c r="I5609" i="16"/>
  <c r="I5610" i="16"/>
  <c r="I5611" i="16"/>
  <c r="I5612" i="16"/>
  <c r="I5613" i="16"/>
  <c r="I5614" i="16"/>
  <c r="I5615" i="16"/>
  <c r="I5616" i="16"/>
  <c r="I5617" i="16"/>
  <c r="I5618" i="16"/>
  <c r="I5619" i="16"/>
  <c r="I5620" i="16"/>
  <c r="I5621" i="16"/>
  <c r="I5622" i="16"/>
  <c r="I5623" i="16"/>
  <c r="I5624" i="16"/>
  <c r="I5625" i="16"/>
  <c r="I5626" i="16"/>
  <c r="I5627" i="16"/>
  <c r="I5628" i="16"/>
  <c r="I5629" i="16"/>
  <c r="I5630" i="16"/>
  <c r="I5631" i="16"/>
  <c r="I5632" i="16"/>
  <c r="I5633" i="16"/>
  <c r="I5634" i="16"/>
  <c r="I5635" i="16"/>
  <c r="I5636" i="16"/>
  <c r="I5637" i="16"/>
  <c r="I5638" i="16"/>
  <c r="I5639" i="16"/>
  <c r="I5640" i="16"/>
  <c r="I5641" i="16"/>
  <c r="I5642" i="16"/>
  <c r="I5643" i="16"/>
  <c r="I5644" i="16"/>
  <c r="I5645" i="16"/>
  <c r="I5646" i="16"/>
  <c r="I5647" i="16"/>
  <c r="I5648" i="16"/>
  <c r="I5649" i="16"/>
  <c r="I5650" i="16"/>
  <c r="I5651" i="16"/>
  <c r="I5652" i="16"/>
  <c r="I5653" i="16"/>
  <c r="I5654" i="16"/>
  <c r="I5655" i="16"/>
  <c r="I5656" i="16"/>
  <c r="I5657" i="16"/>
  <c r="I5658" i="16"/>
  <c r="I5659" i="16"/>
  <c r="I5660" i="16"/>
  <c r="I5661" i="16"/>
  <c r="I5662" i="16"/>
  <c r="I5663" i="16"/>
  <c r="I5664" i="16"/>
  <c r="I5665" i="16"/>
  <c r="I5666" i="16"/>
  <c r="I5667" i="16"/>
  <c r="I5668" i="16"/>
  <c r="I5669" i="16"/>
  <c r="I5670" i="16"/>
  <c r="I5671" i="16"/>
  <c r="I5672" i="16"/>
  <c r="I5673" i="16"/>
  <c r="I5674" i="16"/>
  <c r="I5675" i="16"/>
  <c r="I5676" i="16"/>
  <c r="I5677" i="16"/>
  <c r="I5678" i="16"/>
  <c r="I5679" i="16"/>
  <c r="I5680" i="16"/>
  <c r="I5681" i="16"/>
  <c r="I5682" i="16"/>
  <c r="I5683" i="16"/>
  <c r="I5684" i="16"/>
  <c r="I5685" i="16"/>
  <c r="I5686" i="16"/>
  <c r="I5687" i="16"/>
  <c r="I5688" i="16"/>
  <c r="I5689" i="16"/>
  <c r="I5690" i="16"/>
  <c r="I5691" i="16"/>
  <c r="I5692" i="16"/>
  <c r="I5693" i="16"/>
  <c r="I5694" i="16"/>
  <c r="I5695" i="16"/>
  <c r="I5696" i="16"/>
  <c r="I5697" i="16"/>
  <c r="I5698" i="16"/>
  <c r="I5699" i="16"/>
  <c r="I5700" i="16"/>
  <c r="I5701" i="16"/>
  <c r="I5702" i="16"/>
  <c r="I5703" i="16"/>
  <c r="I5704" i="16"/>
  <c r="I5705" i="16"/>
  <c r="I5706" i="16"/>
  <c r="I5707" i="16"/>
  <c r="I5708" i="16"/>
  <c r="I5709" i="16"/>
  <c r="I5710" i="16"/>
  <c r="I5711" i="16"/>
  <c r="I5712" i="16"/>
  <c r="I5713" i="16"/>
  <c r="I5714" i="16"/>
  <c r="I5715" i="16"/>
  <c r="I5716" i="16"/>
  <c r="I5717" i="16"/>
  <c r="I5718" i="16"/>
  <c r="I5719" i="16"/>
  <c r="I5720" i="16"/>
  <c r="I5721" i="16"/>
  <c r="I5722" i="16"/>
  <c r="I5723" i="16"/>
  <c r="I5724" i="16"/>
  <c r="I5725" i="16"/>
  <c r="I5726" i="16"/>
  <c r="I5727" i="16"/>
  <c r="I5728" i="16"/>
  <c r="I5729" i="16"/>
  <c r="I5730" i="16"/>
  <c r="I5731" i="16"/>
  <c r="I5732" i="16"/>
  <c r="I5733" i="16"/>
  <c r="I5734" i="16"/>
  <c r="I5735" i="16"/>
  <c r="I5736" i="16"/>
  <c r="I5737" i="16"/>
  <c r="I5738" i="16"/>
  <c r="I5739" i="16"/>
  <c r="I5740" i="16"/>
  <c r="I5741" i="16"/>
  <c r="I5742" i="16"/>
  <c r="I5743" i="16"/>
  <c r="I5744" i="16"/>
  <c r="I5745" i="16"/>
  <c r="I5746" i="16"/>
  <c r="I5747" i="16"/>
  <c r="I5748" i="16"/>
  <c r="I5749" i="16"/>
  <c r="I5750" i="16"/>
  <c r="I5751" i="16"/>
  <c r="I5752" i="16"/>
  <c r="I5753" i="16"/>
  <c r="I5754" i="16"/>
  <c r="I5755" i="16"/>
  <c r="I5756" i="16"/>
  <c r="I5757" i="16"/>
  <c r="I5758" i="16"/>
  <c r="I5759" i="16"/>
  <c r="I5760" i="16"/>
  <c r="I5761" i="16"/>
  <c r="I5762" i="16"/>
  <c r="I5763" i="16"/>
  <c r="I5764" i="16"/>
  <c r="I5765" i="16"/>
  <c r="I5766" i="16"/>
  <c r="I5767" i="16"/>
  <c r="I5768" i="16"/>
  <c r="I5769" i="16"/>
  <c r="I5770" i="16"/>
  <c r="I5771" i="16"/>
  <c r="I5772" i="16"/>
  <c r="I5773" i="16"/>
  <c r="I5774" i="16"/>
  <c r="I5775" i="16"/>
  <c r="I5776" i="16"/>
  <c r="I5777" i="16"/>
  <c r="I5778" i="16"/>
  <c r="I5779" i="16"/>
  <c r="I5780" i="16"/>
  <c r="I5781" i="16"/>
  <c r="I5782" i="16"/>
  <c r="I5783" i="16"/>
  <c r="I5784" i="16"/>
  <c r="I5785" i="16"/>
  <c r="I5786" i="16"/>
  <c r="I5787" i="16"/>
  <c r="I5788" i="16"/>
  <c r="I5789" i="16"/>
  <c r="I5790" i="16"/>
  <c r="I5791" i="16"/>
  <c r="I5792" i="16"/>
  <c r="I5793" i="16"/>
  <c r="I5794" i="16"/>
  <c r="I5795" i="16"/>
  <c r="I5796" i="16"/>
  <c r="I5797" i="16"/>
  <c r="I5798" i="16"/>
  <c r="I5799" i="16"/>
  <c r="I5800" i="16"/>
  <c r="I5801" i="16"/>
  <c r="I5802" i="16"/>
  <c r="I5803" i="16"/>
  <c r="I5804" i="16"/>
  <c r="I5805" i="16"/>
  <c r="I5806" i="16"/>
  <c r="I5807" i="16"/>
  <c r="I5808" i="16"/>
  <c r="I5809" i="16"/>
  <c r="I5810" i="16"/>
  <c r="I5811" i="16"/>
  <c r="I5812" i="16"/>
  <c r="I5813" i="16"/>
  <c r="I5814" i="16"/>
  <c r="I5815" i="16"/>
  <c r="I5816" i="16"/>
  <c r="I5817" i="16"/>
  <c r="I5818" i="16"/>
  <c r="I5819" i="16"/>
  <c r="I5820" i="16"/>
  <c r="I5821" i="16"/>
  <c r="I5822" i="16"/>
  <c r="I5823" i="16"/>
  <c r="I5824" i="16"/>
  <c r="I5825" i="16"/>
  <c r="I5826" i="16"/>
  <c r="I5827" i="16"/>
  <c r="I5828" i="16"/>
  <c r="I5829" i="16"/>
  <c r="I5830" i="16"/>
  <c r="I5831" i="16"/>
  <c r="I5832" i="16"/>
  <c r="I5833" i="16"/>
  <c r="I5834" i="16"/>
  <c r="I5835" i="16"/>
  <c r="I5836" i="16"/>
  <c r="I5837" i="16"/>
  <c r="I5838" i="16"/>
  <c r="I5839" i="16"/>
  <c r="I5840" i="16"/>
  <c r="I5841" i="16"/>
  <c r="I5842" i="16"/>
  <c r="I5843" i="16"/>
  <c r="I5844" i="16"/>
  <c r="I5845" i="16"/>
  <c r="I5846" i="16"/>
  <c r="I5847" i="16"/>
  <c r="I5848" i="16"/>
  <c r="I5849" i="16"/>
  <c r="I5850" i="16"/>
  <c r="I5851" i="16"/>
  <c r="I5852" i="16"/>
  <c r="I5853" i="16"/>
  <c r="I5854" i="16"/>
  <c r="I5855" i="16"/>
  <c r="I5856" i="16"/>
  <c r="I5857" i="16"/>
  <c r="I5858" i="16"/>
  <c r="I5859" i="16"/>
  <c r="I5860" i="16"/>
  <c r="I5861" i="16"/>
  <c r="I5862" i="16"/>
  <c r="I5863" i="16"/>
  <c r="I5864" i="16"/>
  <c r="I5865" i="16"/>
  <c r="I5866" i="16"/>
  <c r="I5867" i="16"/>
  <c r="I5868" i="16"/>
  <c r="I5869" i="16"/>
  <c r="I5870" i="16"/>
  <c r="I5871" i="16"/>
  <c r="I5872" i="16"/>
  <c r="I5873" i="16"/>
  <c r="I5874" i="16"/>
  <c r="I5875" i="16"/>
  <c r="I5876" i="16"/>
  <c r="I5877" i="16"/>
  <c r="I5878" i="16"/>
  <c r="I5879" i="16"/>
  <c r="I5880" i="16"/>
  <c r="I5881" i="16"/>
  <c r="I5882" i="16"/>
  <c r="I5883" i="16"/>
  <c r="I5884" i="16"/>
  <c r="I5885" i="16"/>
  <c r="I5886" i="16"/>
  <c r="I5887" i="16"/>
  <c r="I5888" i="16"/>
  <c r="I5889" i="16"/>
  <c r="I5890" i="16"/>
  <c r="I5891" i="16"/>
  <c r="I5892" i="16"/>
  <c r="I5893" i="16"/>
  <c r="I5894" i="16"/>
  <c r="I5895" i="16"/>
  <c r="I5896" i="16"/>
  <c r="I5897" i="16"/>
  <c r="I5898" i="16"/>
  <c r="I5899" i="16"/>
  <c r="I5900" i="16"/>
  <c r="I5901" i="16"/>
  <c r="I5902" i="16"/>
  <c r="I5903" i="16"/>
  <c r="I5904" i="16"/>
  <c r="I5905" i="16"/>
  <c r="I5906" i="16"/>
  <c r="I5907" i="16"/>
  <c r="I5908" i="16"/>
  <c r="I5909" i="16"/>
  <c r="I5910" i="16"/>
  <c r="I5911" i="16"/>
  <c r="I5912" i="16"/>
  <c r="I5913" i="16"/>
  <c r="I5914" i="16"/>
  <c r="I5915" i="16"/>
  <c r="I5916" i="16"/>
  <c r="I5917" i="16"/>
  <c r="I5918" i="16"/>
  <c r="I5919" i="16"/>
  <c r="I5920" i="16"/>
  <c r="I5921" i="16"/>
  <c r="I5922" i="16"/>
  <c r="I5923" i="16"/>
  <c r="I5924" i="16"/>
  <c r="I5925" i="16"/>
  <c r="I5926" i="16"/>
  <c r="I5927" i="16"/>
  <c r="I5928" i="16"/>
  <c r="I5929" i="16"/>
  <c r="I5930" i="16"/>
  <c r="I5931" i="16"/>
  <c r="I5932" i="16"/>
  <c r="I5933" i="16"/>
  <c r="I5934" i="16"/>
  <c r="I5935" i="16"/>
  <c r="I5936" i="16"/>
  <c r="I5937" i="16"/>
  <c r="I5938" i="16"/>
  <c r="I5939" i="16"/>
  <c r="I5940" i="16"/>
  <c r="I5941" i="16"/>
  <c r="I5942" i="16"/>
  <c r="I5943" i="16"/>
  <c r="I5944" i="16"/>
  <c r="I5945" i="16"/>
  <c r="I5946" i="16"/>
  <c r="I5947" i="16"/>
  <c r="I5948" i="16"/>
  <c r="I5949" i="16"/>
  <c r="I5950" i="16"/>
  <c r="I5951" i="16"/>
  <c r="I5952" i="16"/>
  <c r="I5953" i="16"/>
  <c r="I5954" i="16"/>
  <c r="I5955" i="16"/>
  <c r="I5956" i="16"/>
  <c r="I5957" i="16"/>
  <c r="I5958" i="16"/>
  <c r="I5959" i="16"/>
  <c r="I5960" i="16"/>
  <c r="I5961" i="16"/>
  <c r="I5962" i="16"/>
  <c r="I5963" i="16"/>
  <c r="I5964" i="16"/>
  <c r="I5965" i="16"/>
  <c r="I5966" i="16"/>
  <c r="I5967" i="16"/>
  <c r="I5968" i="16"/>
  <c r="I5969" i="16"/>
  <c r="I5970" i="16"/>
  <c r="I5971" i="16"/>
  <c r="I5972" i="16"/>
  <c r="I5973" i="16"/>
  <c r="I5974" i="16"/>
  <c r="I5975" i="16"/>
  <c r="I5976" i="16"/>
  <c r="I5977" i="16"/>
  <c r="I5978" i="16"/>
  <c r="I5979" i="16"/>
  <c r="I5980" i="16"/>
  <c r="I5981" i="16"/>
  <c r="I5982" i="16"/>
  <c r="I5983" i="16"/>
  <c r="I5984" i="16"/>
  <c r="I5985" i="16"/>
  <c r="I5986" i="16"/>
  <c r="I5987" i="16"/>
  <c r="I5988" i="16"/>
  <c r="I5989" i="16"/>
  <c r="I5990" i="16"/>
  <c r="I5991" i="16"/>
  <c r="I5992" i="16"/>
  <c r="I5993" i="16"/>
  <c r="I5994" i="16"/>
  <c r="I5995" i="16"/>
  <c r="I5996" i="16"/>
  <c r="I5997" i="16"/>
  <c r="I5998" i="16"/>
  <c r="I5999" i="16"/>
  <c r="I6000" i="16"/>
  <c r="I5400" i="16"/>
  <c r="I5399" i="16"/>
  <c r="I5398" i="16"/>
  <c r="I5397" i="16"/>
  <c r="I5396" i="16"/>
  <c r="I5395" i="16"/>
  <c r="I5394" i="16"/>
  <c r="I5393" i="16"/>
  <c r="I5392" i="16"/>
  <c r="I5391" i="16"/>
  <c r="I5390" i="16"/>
  <c r="I5389" i="16"/>
  <c r="I5388" i="16"/>
  <c r="I5387" i="16"/>
  <c r="I5386" i="16"/>
  <c r="I5385" i="16"/>
  <c r="I5384" i="16"/>
  <c r="I5383" i="16"/>
  <c r="I5382" i="16"/>
  <c r="I5381" i="16"/>
  <c r="I5380" i="16"/>
  <c r="I5379" i="16"/>
  <c r="I5378" i="16"/>
  <c r="I5377" i="16"/>
  <c r="I5376" i="16"/>
  <c r="I5375" i="16"/>
  <c r="I5374" i="16"/>
  <c r="I5373" i="16"/>
  <c r="I5372" i="16"/>
  <c r="I5371" i="16"/>
  <c r="I5370" i="16"/>
  <c r="I5369" i="16"/>
  <c r="I5368" i="16"/>
  <c r="I5367" i="16"/>
  <c r="I5366" i="16"/>
  <c r="I5365" i="16"/>
  <c r="I5364" i="16"/>
  <c r="I5363" i="16"/>
  <c r="I5362" i="16"/>
  <c r="I5361" i="16"/>
  <c r="I5360" i="16"/>
  <c r="I5359" i="16"/>
  <c r="I5358" i="16"/>
  <c r="I5357" i="16"/>
  <c r="I5356" i="16"/>
  <c r="I5355" i="16"/>
  <c r="I5354" i="16"/>
  <c r="I5353" i="16"/>
  <c r="I5352" i="16"/>
  <c r="I5351" i="16"/>
  <c r="I5350" i="16"/>
  <c r="I5349" i="16"/>
  <c r="I5348" i="16"/>
  <c r="I5347" i="16"/>
  <c r="I5346" i="16"/>
  <c r="I5345" i="16"/>
  <c r="I5344" i="16"/>
  <c r="I5343" i="16"/>
  <c r="I5342" i="16"/>
  <c r="I5341" i="16"/>
  <c r="I5340" i="16"/>
  <c r="I5339" i="16"/>
  <c r="I5338" i="16"/>
  <c r="I5337" i="16"/>
  <c r="I5336" i="16"/>
  <c r="I5335" i="16"/>
  <c r="I5334" i="16"/>
  <c r="I5333" i="16"/>
  <c r="I5332" i="16"/>
  <c r="I5331" i="16"/>
  <c r="I5330" i="16"/>
  <c r="I5329" i="16"/>
  <c r="I5328" i="16"/>
  <c r="I5327" i="16"/>
  <c r="I5326" i="16"/>
  <c r="I5325" i="16"/>
  <c r="I5324" i="16"/>
  <c r="I5323" i="16"/>
  <c r="I5322" i="16"/>
  <c r="I5321" i="16"/>
  <c r="I5320" i="16"/>
  <c r="I5319" i="16"/>
  <c r="I5318" i="16"/>
  <c r="I5317" i="16"/>
  <c r="I5316" i="16"/>
  <c r="I5315" i="16"/>
  <c r="I5314" i="16"/>
  <c r="I5313" i="16"/>
  <c r="I5312" i="16"/>
  <c r="I5311" i="16"/>
  <c r="I5310" i="16"/>
  <c r="I5309" i="16"/>
  <c r="I5308" i="16"/>
  <c r="I5307" i="16"/>
  <c r="I5306" i="16"/>
  <c r="I5305" i="16"/>
  <c r="I5304" i="16"/>
  <c r="I5303" i="16"/>
  <c r="I5302" i="16"/>
  <c r="I5301" i="16"/>
  <c r="I5300" i="16"/>
  <c r="I5299" i="16"/>
  <c r="I5298" i="16"/>
  <c r="I5297" i="16"/>
  <c r="I5296" i="16"/>
  <c r="I5295" i="16"/>
  <c r="I5294" i="16"/>
  <c r="I5293" i="16"/>
  <c r="I5292" i="16"/>
  <c r="I5291" i="16"/>
  <c r="I5290" i="16"/>
  <c r="I5289" i="16"/>
  <c r="I5288" i="16"/>
  <c r="I5287" i="16"/>
  <c r="I5286" i="16"/>
  <c r="I5285" i="16"/>
  <c r="I5284" i="16"/>
  <c r="I5283" i="16"/>
  <c r="I5282" i="16"/>
  <c r="I5281" i="16"/>
  <c r="I5280" i="16"/>
  <c r="I5279" i="16"/>
  <c r="I5278" i="16"/>
  <c r="I5277" i="16"/>
  <c r="I5276" i="16"/>
  <c r="I5275" i="16"/>
  <c r="I5274" i="16"/>
  <c r="I5273" i="16"/>
  <c r="I5272" i="16"/>
  <c r="I5271" i="16"/>
  <c r="I5270" i="16"/>
  <c r="I5269" i="16"/>
  <c r="I5268" i="16"/>
  <c r="I5267" i="16"/>
  <c r="I5266" i="16"/>
  <c r="I5265" i="16"/>
  <c r="I5264" i="16"/>
  <c r="I5263" i="16"/>
  <c r="I5262" i="16"/>
  <c r="I5261" i="16"/>
  <c r="I5260" i="16"/>
  <c r="I5259" i="16"/>
  <c r="I5258" i="16"/>
  <c r="I5257" i="16"/>
  <c r="I5256" i="16"/>
  <c r="I5255" i="16"/>
  <c r="I5254" i="16"/>
  <c r="I5253" i="16"/>
  <c r="I5252" i="16"/>
  <c r="I5251" i="16"/>
  <c r="I5250" i="16"/>
  <c r="I5249" i="16"/>
  <c r="I5248" i="16"/>
  <c r="I5247" i="16"/>
  <c r="I5246" i="16"/>
  <c r="I5245" i="16"/>
  <c r="I5244" i="16"/>
  <c r="I5243" i="16"/>
  <c r="I5242" i="16"/>
  <c r="I5241" i="16"/>
  <c r="I5240" i="16"/>
  <c r="I5239" i="16"/>
  <c r="I5238" i="16"/>
  <c r="I5237" i="16"/>
  <c r="I5236" i="16"/>
  <c r="I5235" i="16"/>
  <c r="I5234" i="16"/>
  <c r="I5233" i="16"/>
  <c r="I5232" i="16"/>
  <c r="I5231" i="16"/>
  <c r="I5230" i="16"/>
  <c r="I5229" i="16"/>
  <c r="I5228" i="16"/>
  <c r="I5227" i="16"/>
  <c r="I5226" i="16"/>
  <c r="I5225" i="16"/>
  <c r="I5224" i="16"/>
  <c r="I5223" i="16"/>
  <c r="I5222" i="16"/>
  <c r="I5221" i="16"/>
  <c r="I5220" i="16"/>
  <c r="I5219" i="16"/>
  <c r="I5218" i="16"/>
  <c r="I5217" i="16"/>
  <c r="I5216" i="16"/>
  <c r="I5215" i="16"/>
  <c r="I5214" i="16"/>
  <c r="I5213" i="16"/>
  <c r="I5212" i="16"/>
  <c r="I5211" i="16"/>
  <c r="I5210" i="16"/>
  <c r="I5209" i="16"/>
  <c r="I5208" i="16"/>
  <c r="I5207" i="16"/>
  <c r="I5206" i="16"/>
  <c r="I5205" i="16"/>
  <c r="I5204" i="16"/>
  <c r="I5203" i="16"/>
  <c r="I5202" i="16"/>
  <c r="I5201" i="16"/>
  <c r="I5200" i="16"/>
  <c r="I5199" i="16"/>
  <c r="I5198" i="16"/>
  <c r="I5197" i="16"/>
  <c r="I5196" i="16"/>
  <c r="I5195" i="16"/>
  <c r="I5194" i="16"/>
  <c r="I5193" i="16"/>
  <c r="I5191" i="16"/>
  <c r="I5189" i="16"/>
  <c r="I5177" i="16"/>
  <c r="I5175" i="16"/>
  <c r="I5174" i="16"/>
  <c r="I5173" i="16"/>
  <c r="I5172" i="16"/>
  <c r="I5171" i="16"/>
  <c r="I5169" i="16"/>
  <c r="I5167" i="16"/>
  <c r="I5165" i="16"/>
  <c r="I5164" i="16"/>
  <c r="I5163" i="16"/>
  <c r="I5162" i="16"/>
  <c r="I5161" i="16"/>
  <c r="I5160" i="16"/>
  <c r="I5159" i="16"/>
  <c r="I5158" i="16"/>
  <c r="I5157" i="16"/>
  <c r="I5155" i="16"/>
  <c r="I5153" i="16"/>
  <c r="I5151" i="16"/>
  <c r="I5150" i="16"/>
  <c r="I5149" i="16"/>
  <c r="I5148" i="16"/>
  <c r="I5147" i="16"/>
  <c r="I5146" i="16"/>
  <c r="I5145" i="16"/>
  <c r="I5144" i="16"/>
  <c r="I5143" i="16"/>
  <c r="I5142" i="16"/>
  <c r="I5141" i="16"/>
  <c r="I5140" i="16"/>
  <c r="I5139" i="16"/>
  <c r="I5138" i="16"/>
  <c r="I5137" i="16"/>
  <c r="I5136" i="16"/>
  <c r="I5135" i="16"/>
  <c r="I5134" i="16"/>
  <c r="I5133" i="16"/>
  <c r="I5132" i="16"/>
  <c r="I5120" i="16"/>
  <c r="I5119" i="16"/>
  <c r="I5112" i="16"/>
  <c r="I5111" i="16"/>
  <c r="I5110" i="16"/>
  <c r="I5109" i="16"/>
  <c r="I5107" i="16"/>
  <c r="I5105" i="16"/>
  <c r="I5091" i="16"/>
  <c r="I5089" i="16"/>
  <c r="I5088" i="16"/>
  <c r="I5087" i="16"/>
  <c r="I5086" i="16"/>
  <c r="I5085" i="16"/>
  <c r="I5084" i="16"/>
  <c r="I5083" i="16"/>
  <c r="I5082" i="16"/>
  <c r="I5081" i="16"/>
  <c r="I5080" i="16"/>
  <c r="I5079" i="16"/>
  <c r="I5078" i="16"/>
  <c r="I5071" i="16"/>
  <c r="I5069" i="16"/>
  <c r="I5067" i="16"/>
  <c r="I5065" i="16"/>
  <c r="I5064" i="16"/>
  <c r="I5063" i="16"/>
  <c r="I5062" i="16"/>
  <c r="I5061" i="16"/>
  <c r="I5060" i="16"/>
  <c r="I5059" i="16"/>
  <c r="I5058" i="16"/>
  <c r="I5057" i="16"/>
  <c r="I5056" i="16"/>
  <c r="I5055" i="16"/>
  <c r="I5054" i="16"/>
  <c r="I5053" i="16"/>
  <c r="I5052" i="16"/>
  <c r="I5051" i="16"/>
  <c r="I5050" i="16"/>
  <c r="I5049" i="16"/>
  <c r="I5048" i="16"/>
  <c r="I5047" i="16"/>
  <c r="I5046" i="16"/>
  <c r="I5045" i="16"/>
  <c r="I5044" i="16"/>
  <c r="I5029" i="16"/>
  <c r="I5028" i="16"/>
  <c r="I5027" i="16"/>
  <c r="I5026" i="16"/>
  <c r="I5025" i="16"/>
  <c r="I5024" i="16"/>
  <c r="I5023" i="16"/>
  <c r="I5022" i="16"/>
  <c r="I5021" i="16"/>
  <c r="I5020" i="16"/>
  <c r="I5019" i="16"/>
  <c r="I5018" i="16"/>
  <c r="I5017" i="16"/>
  <c r="I5016" i="16"/>
  <c r="I5015" i="16"/>
  <c r="I5014" i="16"/>
  <c r="I4979" i="16"/>
  <c r="I4978" i="16"/>
  <c r="I4977" i="16"/>
  <c r="I4976" i="16"/>
  <c r="I4975" i="16"/>
  <c r="I4974" i="16"/>
  <c r="I4973" i="16"/>
  <c r="I4972" i="16"/>
  <c r="I4971" i="16"/>
  <c r="I4970" i="16"/>
  <c r="I4969" i="16"/>
  <c r="I4968" i="16"/>
  <c r="I4967" i="16"/>
  <c r="I4966" i="16"/>
  <c r="I4965" i="16"/>
  <c r="I4964" i="16"/>
  <c r="I4963" i="16"/>
  <c r="I4962" i="16"/>
  <c r="I4961" i="16"/>
  <c r="I4960" i="16"/>
  <c r="I4959" i="16"/>
  <c r="I4951" i="16"/>
  <c r="I4950" i="16"/>
  <c r="I4949" i="16"/>
  <c r="I4948" i="16"/>
  <c r="I4947" i="16"/>
  <c r="I4946" i="16"/>
  <c r="I4943" i="16"/>
  <c r="I4942" i="16"/>
  <c r="I4941" i="16"/>
  <c r="I4940" i="16"/>
  <c r="I4938" i="16"/>
  <c r="I4937" i="16"/>
  <c r="I4935" i="16"/>
  <c r="I4918" i="16"/>
  <c r="I4917" i="16"/>
  <c r="I4915" i="16"/>
  <c r="I4914" i="16"/>
  <c r="I4913" i="16"/>
  <c r="I4910" i="16"/>
  <c r="I4909" i="16"/>
  <c r="I4908" i="16"/>
  <c r="I4907" i="16"/>
  <c r="I4905" i="16"/>
  <c r="I4904" i="16"/>
  <c r="I4903" i="16"/>
  <c r="I4902" i="16"/>
  <c r="I4901" i="16"/>
  <c r="I4900" i="16"/>
  <c r="I4899" i="16"/>
  <c r="I4898" i="16"/>
  <c r="I4895" i="16"/>
  <c r="I4894" i="16"/>
  <c r="I4890" i="16"/>
  <c r="I4889" i="16"/>
  <c r="I4888" i="16"/>
  <c r="I4886" i="16"/>
  <c r="I4885" i="16"/>
  <c r="I4884" i="16"/>
  <c r="I4883" i="16"/>
  <c r="I4882" i="16"/>
  <c r="I4881" i="16"/>
  <c r="I4880" i="16"/>
  <c r="I4879" i="16"/>
  <c r="I4878" i="16"/>
  <c r="I4877" i="16"/>
  <c r="I4876" i="16"/>
  <c r="I4875" i="16"/>
  <c r="I4864" i="16"/>
  <c r="I4858" i="16"/>
  <c r="I4857" i="16"/>
  <c r="I4856" i="16"/>
  <c r="I4853" i="16"/>
  <c r="I4852" i="16"/>
  <c r="I4847" i="16"/>
  <c r="I4833" i="16"/>
  <c r="I4832" i="16"/>
  <c r="I4830" i="16"/>
  <c r="I4829" i="16"/>
  <c r="I4828" i="16"/>
  <c r="I4827" i="16"/>
  <c r="I4826" i="16"/>
  <c r="I4825" i="16"/>
  <c r="I4824" i="16"/>
  <c r="I4823" i="16"/>
  <c r="I4822" i="16"/>
  <c r="I4821" i="16"/>
  <c r="I4817" i="16"/>
  <c r="I4816" i="16"/>
  <c r="I4802" i="16"/>
  <c r="I4800" i="16"/>
  <c r="I4799" i="16"/>
  <c r="I4777" i="16"/>
  <c r="I4776" i="16"/>
  <c r="I4775" i="16"/>
  <c r="I4774" i="16"/>
  <c r="I4773" i="16"/>
  <c r="I4772" i="16"/>
  <c r="I4771" i="16"/>
  <c r="I4770" i="16"/>
  <c r="I4769" i="16"/>
  <c r="I4742" i="16"/>
  <c r="I4738" i="16"/>
  <c r="I4736" i="16"/>
  <c r="I4734" i="16"/>
  <c r="I4721" i="16"/>
  <c r="I4715" i="16"/>
  <c r="I4698" i="16"/>
  <c r="I4697" i="16"/>
  <c r="I4692" i="16"/>
  <c r="I4690" i="16"/>
  <c r="I4686" i="16"/>
  <c r="I4684" i="16"/>
  <c r="I4682" i="16"/>
  <c r="I4681" i="16"/>
  <c r="I4680" i="16"/>
  <c r="I4679" i="16"/>
  <c r="I4678" i="16"/>
  <c r="I4677" i="16"/>
  <c r="I4676" i="16"/>
  <c r="I4675" i="16"/>
  <c r="I4674" i="16"/>
  <c r="I4673" i="16"/>
  <c r="I4672" i="16"/>
  <c r="I4670" i="16"/>
  <c r="I4668" i="16"/>
  <c r="I4666" i="16"/>
  <c r="I4665" i="16"/>
  <c r="I4664" i="16"/>
  <c r="I4663" i="16"/>
  <c r="I4662" i="16"/>
  <c r="I4661" i="16"/>
  <c r="I4660" i="16"/>
  <c r="I4659" i="16"/>
  <c r="I4658" i="16"/>
  <c r="I4657" i="16"/>
  <c r="I4656" i="16"/>
  <c r="I4655" i="16"/>
  <c r="I4654" i="16"/>
  <c r="I4653" i="16"/>
  <c r="I4652" i="16"/>
  <c r="I4651" i="16"/>
  <c r="I4650" i="16"/>
  <c r="I4648" i="16"/>
  <c r="I4643" i="16"/>
  <c r="I4641" i="16"/>
  <c r="I4640" i="16"/>
  <c r="I4639" i="16"/>
  <c r="I4638" i="16"/>
  <c r="I4637" i="16"/>
  <c r="I4636" i="16"/>
  <c r="I4635" i="16"/>
  <c r="I4634" i="16"/>
  <c r="I4623" i="16"/>
  <c r="I4621" i="16"/>
  <c r="I4619" i="16"/>
  <c r="I4617" i="16"/>
  <c r="I4615" i="16"/>
  <c r="I4613" i="16"/>
  <c r="I4611" i="16"/>
  <c r="I4610" i="16"/>
  <c r="I4609" i="16"/>
  <c r="I4608" i="16"/>
  <c r="I4607" i="16"/>
  <c r="I4606" i="16"/>
  <c r="I4605" i="16"/>
  <c r="I4604" i="16"/>
  <c r="I4603" i="16"/>
  <c r="I4601" i="16"/>
  <c r="I4599" i="16"/>
  <c r="I4597" i="16"/>
  <c r="I4596" i="16"/>
  <c r="I4595" i="16"/>
  <c r="I4594" i="16"/>
  <c r="I4593" i="16"/>
  <c r="I4592" i="16"/>
  <c r="I4591" i="16"/>
  <c r="I4589" i="16"/>
  <c r="I4587" i="16"/>
  <c r="I4580" i="16"/>
  <c r="I4579" i="16"/>
  <c r="I4578" i="16"/>
  <c r="I4576" i="16"/>
  <c r="I4566" i="16"/>
  <c r="I4563" i="16"/>
  <c r="I4562" i="16"/>
  <c r="I4561" i="16"/>
  <c r="I4532" i="16"/>
  <c r="I4530" i="16"/>
  <c r="I4528" i="16"/>
  <c r="I4523" i="16"/>
  <c r="I4522" i="16"/>
  <c r="I4519" i="16"/>
  <c r="I4518" i="16"/>
  <c r="I4517" i="16"/>
  <c r="I4516" i="16"/>
  <c r="I4515" i="16"/>
  <c r="I4514" i="16"/>
  <c r="I4513" i="16"/>
  <c r="I4512" i="16"/>
  <c r="I4511" i="16"/>
  <c r="I4508" i="16"/>
  <c r="I4507" i="16"/>
  <c r="I4506" i="16"/>
  <c r="I4503" i="16"/>
  <c r="I4501" i="16"/>
  <c r="I4499" i="16"/>
  <c r="I4496" i="16"/>
  <c r="I4495" i="16"/>
  <c r="I4462" i="16"/>
  <c r="I4454" i="16"/>
  <c r="I4452" i="16"/>
  <c r="I4448" i="16"/>
  <c r="I4447" i="16"/>
  <c r="I4444" i="16"/>
  <c r="I4443" i="16"/>
  <c r="I4442" i="16"/>
  <c r="I4441" i="16"/>
  <c r="I4440" i="16"/>
  <c r="I4439" i="16"/>
  <c r="I4438" i="16"/>
  <c r="I4437" i="16"/>
  <c r="I4436" i="16"/>
  <c r="I4435" i="16"/>
  <c r="I4434" i="16"/>
  <c r="I4433" i="16"/>
  <c r="I4430" i="16"/>
  <c r="I4429" i="16"/>
  <c r="I4428" i="16"/>
  <c r="I4426" i="16"/>
  <c r="I4425" i="16"/>
  <c r="I4424" i="16"/>
  <c r="I4423" i="16"/>
  <c r="I4422" i="16"/>
  <c r="I4421" i="16"/>
  <c r="I4420" i="16"/>
  <c r="I4419" i="16"/>
  <c r="I4418" i="16"/>
  <c r="I4417" i="16"/>
  <c r="I4416" i="16"/>
  <c r="I4415" i="16"/>
  <c r="I4413" i="16"/>
  <c r="I4404" i="16"/>
  <c r="I4400" i="16"/>
  <c r="I4398" i="16"/>
  <c r="I4397" i="16"/>
  <c r="I4396" i="16"/>
  <c r="I4395" i="16"/>
  <c r="I4386" i="16"/>
  <c r="I4381" i="16"/>
  <c r="I4380" i="16"/>
  <c r="I4375" i="16"/>
  <c r="I4373" i="16"/>
  <c r="I4371" i="16"/>
  <c r="I4370" i="16"/>
  <c r="I4369" i="16"/>
  <c r="I4368" i="16"/>
  <c r="I4367" i="16"/>
  <c r="I4366" i="16"/>
  <c r="I4365" i="16"/>
  <c r="I4364" i="16"/>
  <c r="I4361" i="16"/>
  <c r="I4360" i="16"/>
  <c r="I4359" i="16"/>
  <c r="I4357" i="16"/>
  <c r="I4356" i="16"/>
  <c r="I4355" i="16"/>
  <c r="I4354" i="16"/>
  <c r="I4352" i="16"/>
  <c r="I4348" i="16"/>
  <c r="I4344" i="16"/>
  <c r="I4340" i="16"/>
  <c r="I4339" i="16"/>
  <c r="I4338" i="16"/>
  <c r="I4335" i="16"/>
  <c r="I4334" i="16"/>
  <c r="I4333" i="16"/>
  <c r="I4330" i="16"/>
  <c r="I4329" i="16"/>
  <c r="I4328" i="16"/>
  <c r="I4326" i="16"/>
  <c r="I4325" i="16"/>
  <c r="I4324" i="16"/>
  <c r="I4323" i="16"/>
  <c r="I4322" i="16"/>
  <c r="I4321" i="16"/>
  <c r="I4318" i="16"/>
  <c r="I4314" i="16"/>
  <c r="I4294" i="16"/>
  <c r="I4289" i="16"/>
  <c r="I4288" i="16"/>
  <c r="I4287" i="16"/>
  <c r="I4285" i="16"/>
  <c r="I4284" i="16"/>
  <c r="I4283" i="16"/>
  <c r="I4282" i="16"/>
  <c r="I4281" i="16"/>
  <c r="I4280" i="16"/>
  <c r="I4279" i="16"/>
  <c r="I4277" i="16"/>
  <c r="I4275" i="16"/>
  <c r="I4273" i="16"/>
  <c r="I4271" i="16"/>
  <c r="I4269" i="16"/>
  <c r="I4267" i="16"/>
  <c r="I4266" i="16"/>
  <c r="I4265" i="16"/>
  <c r="I4262" i="16"/>
  <c r="I4261" i="16"/>
  <c r="I4260" i="16"/>
  <c r="I4258" i="16"/>
  <c r="I4251" i="16"/>
  <c r="I4249" i="16"/>
  <c r="I4247" i="16"/>
  <c r="I4242" i="16"/>
  <c r="I4238" i="16"/>
  <c r="I4230" i="16"/>
  <c r="I4226" i="16"/>
  <c r="I4222" i="16"/>
  <c r="I4221" i="16"/>
  <c r="I4217" i="16"/>
  <c r="I4216" i="16"/>
  <c r="I4213" i="16"/>
  <c r="I4212" i="16"/>
  <c r="I4211" i="16"/>
  <c r="I4210" i="16"/>
  <c r="I4208" i="16"/>
  <c r="I4197" i="16"/>
  <c r="I4196" i="16"/>
  <c r="I4188" i="16"/>
  <c r="I4187" i="16"/>
  <c r="I4185" i="16"/>
  <c r="I4177" i="16"/>
  <c r="I4157" i="16"/>
  <c r="I4156" i="16"/>
  <c r="I4155" i="16"/>
  <c r="I4143" i="16"/>
  <c r="I4140" i="16"/>
  <c r="I4133" i="16"/>
  <c r="I4132" i="16"/>
  <c r="I4131" i="16"/>
  <c r="I4129" i="16"/>
  <c r="I4125" i="16"/>
  <c r="I4124" i="16"/>
  <c r="I4120" i="16"/>
  <c r="I4118" i="16"/>
  <c r="I4117" i="16"/>
  <c r="I4116" i="16"/>
  <c r="I4115" i="16"/>
  <c r="I4114" i="16"/>
  <c r="I4112" i="16"/>
  <c r="I4104" i="16"/>
  <c r="I4102" i="16"/>
  <c r="I4100" i="16"/>
  <c r="I4099" i="16"/>
  <c r="I4092" i="16"/>
  <c r="I4091" i="16"/>
  <c r="I4090" i="16"/>
  <c r="I4089" i="16"/>
  <c r="I4088" i="16"/>
  <c r="I4087" i="16"/>
  <c r="I4086" i="16"/>
  <c r="I4085" i="16"/>
  <c r="I4084" i="16"/>
  <c r="I4082" i="16"/>
  <c r="I4080" i="16"/>
  <c r="I4076" i="16"/>
  <c r="I4075" i="16"/>
  <c r="I4074" i="16"/>
  <c r="I4066" i="16"/>
  <c r="I4064" i="16"/>
  <c r="I4040" i="16"/>
  <c r="I4038" i="16"/>
  <c r="I4037" i="16"/>
  <c r="I4033" i="16"/>
  <c r="I4029" i="16"/>
  <c r="I4028" i="16"/>
  <c r="I4025" i="16"/>
  <c r="I4024" i="16"/>
  <c r="I4023" i="16"/>
  <c r="I4022" i="16"/>
  <c r="I4021" i="16"/>
  <c r="I4020" i="16"/>
  <c r="I4019" i="16"/>
  <c r="I4018" i="16"/>
  <c r="I4017" i="16"/>
  <c r="I4016" i="16"/>
  <c r="I4014" i="16"/>
  <c r="I4012" i="16"/>
  <c r="I4010" i="16"/>
  <c r="I4009" i="16"/>
  <c r="I4008" i="16"/>
  <c r="I3979" i="16"/>
  <c r="I3978" i="16"/>
  <c r="I3954" i="16"/>
  <c r="I3947" i="16"/>
  <c r="I3942" i="16"/>
  <c r="I3941" i="16"/>
  <c r="I3937" i="16"/>
  <c r="I3933" i="16"/>
  <c r="I3932" i="16"/>
  <c r="I3931" i="16"/>
  <c r="I3930" i="16"/>
  <c r="I3926" i="16"/>
  <c r="I3923" i="16"/>
  <c r="I3922" i="16"/>
  <c r="I3921" i="16"/>
  <c r="I3920" i="16"/>
  <c r="I3913" i="16"/>
  <c r="I3909" i="16"/>
  <c r="I3902" i="16"/>
  <c r="I3901" i="16"/>
  <c r="I3898" i="16"/>
  <c r="I3897" i="16"/>
  <c r="I3896" i="16"/>
  <c r="I3895" i="16"/>
  <c r="I3894" i="16"/>
  <c r="I3893" i="16"/>
  <c r="I3892" i="16"/>
  <c r="I3891" i="16"/>
  <c r="I3890" i="16"/>
  <c r="I3880" i="16"/>
  <c r="I3873" i="16"/>
  <c r="I3865" i="16"/>
  <c r="I3863" i="16"/>
  <c r="I3861" i="16"/>
  <c r="I3855" i="16"/>
  <c r="I3853" i="16"/>
  <c r="I3851" i="16"/>
  <c r="I3850" i="16"/>
  <c r="I3849" i="16"/>
  <c r="I3848" i="16"/>
  <c r="I3847" i="16"/>
  <c r="I3846" i="16"/>
  <c r="I3840" i="16"/>
  <c r="I3838" i="16"/>
  <c r="I3832" i="16"/>
  <c r="I3830" i="16"/>
  <c r="I3828" i="16"/>
  <c r="I3826" i="16"/>
  <c r="I3821" i="16"/>
  <c r="I3819" i="16"/>
  <c r="I3818" i="16"/>
  <c r="I3817" i="16"/>
  <c r="I3816" i="16"/>
  <c r="I3813" i="16"/>
  <c r="I3812" i="16"/>
  <c r="I3811" i="16"/>
  <c r="I3809" i="16"/>
  <c r="I3808" i="16"/>
  <c r="I3807" i="16"/>
  <c r="I3804" i="16"/>
  <c r="I3800" i="16"/>
  <c r="I3792" i="16"/>
  <c r="I3788" i="16"/>
  <c r="I3772" i="16"/>
  <c r="I3771" i="16"/>
  <c r="I3770" i="16"/>
  <c r="I3768" i="16"/>
  <c r="I3767" i="16"/>
  <c r="I3766" i="16"/>
  <c r="I3761" i="16"/>
  <c r="I3759" i="16"/>
  <c r="I3757" i="16"/>
  <c r="I3755" i="16"/>
  <c r="I3753" i="16"/>
  <c r="I3745" i="16"/>
  <c r="I3741" i="16"/>
  <c r="I3740" i="16"/>
  <c r="I3739" i="16"/>
  <c r="I3737" i="16"/>
  <c r="I3736" i="16"/>
  <c r="I3735" i="16"/>
  <c r="I3734" i="16"/>
  <c r="I3733" i="16"/>
  <c r="I3731" i="16"/>
  <c r="I3729" i="16"/>
  <c r="I3727" i="16"/>
  <c r="I3724" i="16"/>
  <c r="I3723" i="16"/>
  <c r="I3719" i="16"/>
  <c r="I3718" i="16"/>
  <c r="I3712" i="16"/>
  <c r="I3711" i="16"/>
  <c r="I3710" i="16"/>
  <c r="I3697" i="16"/>
  <c r="I3692" i="16"/>
  <c r="I3691" i="16"/>
  <c r="I3690" i="16"/>
  <c r="I3689" i="16"/>
  <c r="I3688" i="16"/>
  <c r="I3687" i="16"/>
  <c r="I3686" i="16"/>
  <c r="I3684" i="16"/>
  <c r="I3681" i="16"/>
  <c r="I3676" i="16"/>
  <c r="I3666" i="16"/>
  <c r="I3664" i="16"/>
  <c r="I3663" i="16"/>
  <c r="I3662" i="16"/>
  <c r="I3661" i="16"/>
  <c r="I3660" i="16"/>
  <c r="I3643" i="16"/>
  <c r="I3633" i="16"/>
  <c r="I3627" i="16"/>
  <c r="I3626" i="16"/>
  <c r="I3625" i="16"/>
  <c r="I3624" i="16"/>
  <c r="I3623" i="16"/>
  <c r="I3621" i="16"/>
  <c r="I3619" i="16"/>
  <c r="I3618" i="16"/>
  <c r="I3617" i="16"/>
  <c r="I3616" i="16"/>
  <c r="I3615" i="16"/>
  <c r="I3614" i="16"/>
  <c r="I3613" i="16"/>
  <c r="I3612" i="16"/>
  <c r="I3611" i="16"/>
  <c r="I3610" i="16"/>
  <c r="I3609" i="16"/>
  <c r="I3608" i="16"/>
  <c r="I3606" i="16"/>
  <c r="I3604" i="16"/>
  <c r="I3603" i="16"/>
  <c r="I3602" i="16"/>
  <c r="I3601" i="16"/>
  <c r="I3600" i="16"/>
  <c r="I3599" i="16"/>
  <c r="I3598" i="16"/>
  <c r="I3597" i="16"/>
  <c r="I3596" i="16"/>
  <c r="I3595" i="16"/>
  <c r="I3593" i="16"/>
  <c r="I3591" i="16"/>
  <c r="I3588" i="16"/>
  <c r="I3586" i="16"/>
  <c r="I3584" i="16"/>
  <c r="I3582" i="16"/>
  <c r="I3580" i="16"/>
  <c r="I3579" i="16"/>
  <c r="I3578" i="16"/>
  <c r="I3577" i="16"/>
  <c r="I3576" i="16"/>
  <c r="I3575" i="16"/>
  <c r="I3574" i="16"/>
  <c r="I3573" i="16"/>
  <c r="I3568" i="16"/>
  <c r="I3562" i="16"/>
  <c r="I3558" i="16"/>
  <c r="I3556" i="16"/>
  <c r="I3555" i="16"/>
  <c r="I3554" i="16"/>
  <c r="I3553" i="16"/>
  <c r="I3552" i="16"/>
  <c r="I3551" i="16"/>
  <c r="I3550" i="16"/>
  <c r="I3549" i="16"/>
  <c r="I3548" i="16"/>
  <c r="I3547" i="16"/>
  <c r="I3537" i="16"/>
  <c r="I3535" i="16"/>
  <c r="I3533" i="16"/>
  <c r="I3512" i="16"/>
  <c r="I3507" i="16"/>
  <c r="I3506" i="16"/>
  <c r="I3505" i="16"/>
  <c r="I3503" i="16"/>
  <c r="I3502" i="16"/>
  <c r="I3501" i="16"/>
  <c r="I3500" i="16"/>
  <c r="I3497" i="16"/>
  <c r="I3470" i="16"/>
  <c r="I3461" i="16"/>
  <c r="I3458" i="16"/>
  <c r="I3453" i="16"/>
  <c r="I3446" i="16"/>
  <c r="I3444" i="16"/>
  <c r="I3442" i="16"/>
  <c r="I3441" i="16"/>
  <c r="I3440" i="16"/>
  <c r="I3439" i="16"/>
  <c r="I3437" i="16"/>
  <c r="I3431" i="16"/>
  <c r="I3430" i="16"/>
  <c r="I3429" i="16"/>
  <c r="I3427" i="16"/>
  <c r="I3426" i="16"/>
  <c r="I3425" i="16"/>
  <c r="I3424" i="16"/>
  <c r="I3423" i="16"/>
  <c r="I3422" i="16"/>
  <c r="I3421" i="16"/>
  <c r="I3417" i="16"/>
  <c r="I3416" i="16"/>
  <c r="I3412" i="16"/>
  <c r="I3411" i="16"/>
  <c r="I3407" i="16"/>
  <c r="I3405" i="16"/>
  <c r="I3403" i="16"/>
  <c r="I3401" i="16"/>
  <c r="I3399" i="16"/>
  <c r="I3397" i="16"/>
  <c r="I3394" i="16"/>
  <c r="I3390" i="16"/>
  <c r="I3386" i="16"/>
  <c r="I3385" i="16"/>
  <c r="I3384" i="16"/>
  <c r="I3383" i="16"/>
  <c r="I3382" i="16"/>
  <c r="I3381" i="16"/>
  <c r="I3380" i="16"/>
  <c r="I3379" i="16"/>
  <c r="I3378" i="16"/>
  <c r="I3377" i="16"/>
  <c r="I3376" i="16"/>
  <c r="I3375" i="16"/>
  <c r="I3374" i="16"/>
  <c r="I3372" i="16"/>
  <c r="I3370" i="16"/>
  <c r="I3366" i="16"/>
  <c r="I3365" i="16"/>
  <c r="I3362" i="16"/>
  <c r="I3361" i="16"/>
  <c r="I3358" i="16"/>
  <c r="I3357" i="16"/>
  <c r="I3353" i="16"/>
  <c r="I3352" i="16"/>
  <c r="I3347" i="16"/>
  <c r="I3346" i="16"/>
  <c r="I3342" i="16"/>
  <c r="I3341" i="16"/>
  <c r="I3340" i="16"/>
  <c r="I3338" i="16"/>
  <c r="I3337" i="16"/>
  <c r="I3333" i="16"/>
  <c r="I3331" i="16"/>
  <c r="I3329" i="16"/>
  <c r="I3328" i="16"/>
  <c r="I3327" i="16"/>
  <c r="I3326" i="16"/>
  <c r="I3323" i="16"/>
  <c r="I3322" i="16"/>
  <c r="I3321" i="16"/>
  <c r="I3320" i="16"/>
  <c r="I3318" i="16"/>
  <c r="I3317" i="16"/>
  <c r="I3312" i="16"/>
  <c r="I3311" i="16"/>
  <c r="I3307" i="16"/>
  <c r="I3306" i="16"/>
  <c r="I3305" i="16"/>
  <c r="I3304" i="16"/>
  <c r="I3303" i="16"/>
  <c r="I3302" i="16"/>
  <c r="I3301" i="16"/>
  <c r="I3300" i="16"/>
  <c r="I3299" i="16"/>
  <c r="I3298" i="16"/>
  <c r="I3297" i="16"/>
  <c r="I3286" i="16"/>
  <c r="I3283" i="16"/>
  <c r="I3282" i="16"/>
  <c r="I3281" i="16"/>
  <c r="I3278" i="16"/>
  <c r="I3277" i="16"/>
  <c r="I3276" i="16"/>
  <c r="I3273" i="16"/>
  <c r="I3272" i="16"/>
  <c r="I3271" i="16"/>
  <c r="I3270" i="16"/>
  <c r="I3268" i="16"/>
  <c r="I3267" i="16"/>
  <c r="I3266" i="16"/>
  <c r="I3265" i="16"/>
  <c r="I3259" i="16"/>
  <c r="I3257" i="16"/>
  <c r="I3254" i="16"/>
  <c r="I3253" i="16"/>
  <c r="I3252" i="16"/>
  <c r="I3251" i="16"/>
  <c r="I3250" i="16"/>
  <c r="I3249" i="16"/>
  <c r="I3248" i="16"/>
  <c r="I3247" i="16"/>
  <c r="I3244" i="16"/>
  <c r="I3243" i="16"/>
  <c r="I3242" i="16"/>
  <c r="I3239" i="16"/>
  <c r="I3238" i="16"/>
  <c r="I3237" i="16"/>
  <c r="I3236" i="16"/>
  <c r="I3232" i="16"/>
  <c r="I3230" i="16"/>
  <c r="I3219" i="16"/>
  <c r="I3217" i="16"/>
  <c r="I3216" i="16"/>
  <c r="I3213" i="16"/>
  <c r="I3212" i="16"/>
  <c r="I3211" i="16"/>
  <c r="I3210" i="16"/>
  <c r="I3208" i="16"/>
  <c r="I3207" i="16"/>
  <c r="I3205" i="16"/>
  <c r="I3197" i="16"/>
  <c r="I3192" i="16"/>
  <c r="I3187" i="16"/>
  <c r="I3186" i="16"/>
  <c r="I3185" i="16"/>
  <c r="I3184" i="16"/>
  <c r="I3183" i="16"/>
  <c r="I3181" i="16"/>
  <c r="I3179" i="16"/>
  <c r="I3178" i="16"/>
  <c r="I3177" i="16"/>
  <c r="I3176" i="16"/>
  <c r="I3174" i="16"/>
  <c r="I3172" i="16"/>
  <c r="I3171" i="16"/>
  <c r="I3170" i="16"/>
  <c r="I3169" i="16"/>
  <c r="I3168" i="16"/>
  <c r="I3167" i="16"/>
  <c r="I3166" i="16"/>
  <c r="I3165" i="16"/>
  <c r="I3164" i="16"/>
  <c r="I3163" i="16"/>
  <c r="I3162" i="16"/>
  <c r="I3161" i="16"/>
  <c r="I3158" i="16"/>
  <c r="I3157" i="16"/>
  <c r="I3156" i="16"/>
  <c r="I3146" i="16"/>
  <c r="I3140" i="16"/>
  <c r="I3137" i="16"/>
  <c r="I3136" i="16"/>
  <c r="I3132" i="16"/>
  <c r="I3123" i="16"/>
  <c r="I3108" i="16"/>
  <c r="I3107" i="16"/>
  <c r="I3106" i="16"/>
  <c r="I3103" i="16"/>
  <c r="I3102" i="16"/>
  <c r="I3100" i="16"/>
  <c r="I3098" i="16"/>
  <c r="I3097" i="16"/>
  <c r="I3096" i="16"/>
  <c r="I3095" i="16"/>
  <c r="I3094" i="16"/>
  <c r="I3088" i="16"/>
  <c r="I3083" i="16"/>
  <c r="I3082" i="16"/>
  <c r="I3081" i="16"/>
  <c r="I3080" i="16"/>
  <c r="I3079" i="16"/>
  <c r="I3077" i="16"/>
  <c r="I3075" i="16"/>
  <c r="I3074" i="16"/>
  <c r="I3073" i="16"/>
  <c r="I3072" i="16"/>
  <c r="I3071" i="16"/>
  <c r="I3070" i="16"/>
  <c r="I3069" i="16"/>
  <c r="I3068" i="16"/>
  <c r="I3067" i="16"/>
  <c r="I3066" i="16"/>
  <c r="I3065" i="16"/>
  <c r="I3064" i="16"/>
  <c r="I3060" i="16"/>
  <c r="I3059" i="16"/>
  <c r="I3058" i="16"/>
  <c r="I3056" i="16"/>
  <c r="I3055" i="16"/>
  <c r="I3054" i="16"/>
  <c r="I3053" i="16"/>
  <c r="I3052" i="16"/>
  <c r="I3051" i="16"/>
  <c r="I3050" i="16"/>
  <c r="I3049" i="16"/>
  <c r="I3048" i="16"/>
  <c r="I3047" i="16"/>
  <c r="I3046" i="16"/>
  <c r="I3045" i="16"/>
  <c r="I3041" i="16"/>
  <c r="I3040" i="16"/>
  <c r="I3039" i="16"/>
  <c r="I3036" i="16"/>
  <c r="I3032" i="16"/>
  <c r="I3031" i="16"/>
  <c r="I3030" i="16"/>
  <c r="I3025" i="16"/>
  <c r="I3024" i="16"/>
  <c r="I3020" i="16"/>
  <c r="I3019" i="16"/>
  <c r="I3018" i="16"/>
  <c r="I3012" i="16"/>
  <c r="I3010" i="16"/>
  <c r="I3005" i="16"/>
  <c r="I3004" i="16"/>
  <c r="I3003" i="16"/>
  <c r="I3002" i="16"/>
  <c r="I3000" i="16"/>
  <c r="I2999" i="16"/>
  <c r="I2998" i="16"/>
  <c r="I2997" i="16"/>
  <c r="I2996" i="16"/>
  <c r="I2995" i="16"/>
  <c r="I2994" i="16"/>
  <c r="I2993" i="16"/>
  <c r="I2992" i="16"/>
  <c r="I2991" i="16"/>
  <c r="I2990" i="16"/>
  <c r="I2989" i="16"/>
  <c r="I2988" i="16"/>
  <c r="I2985" i="16"/>
  <c r="I2980" i="16"/>
  <c r="I2979" i="16"/>
  <c r="I2963" i="16"/>
  <c r="I2958" i="16"/>
  <c r="I2957" i="16"/>
  <c r="I2956" i="16"/>
  <c r="I2955" i="16"/>
  <c r="I2954" i="16"/>
  <c r="I2953" i="16"/>
  <c r="I2952" i="16"/>
  <c r="I2950" i="16"/>
  <c r="I2948" i="16"/>
  <c r="I2947" i="16"/>
  <c r="I2946" i="16"/>
  <c r="I2945" i="16"/>
  <c r="I2944" i="16"/>
  <c r="I2943" i="16"/>
  <c r="I2942" i="16"/>
  <c r="I2941" i="16"/>
  <c r="I2940" i="16"/>
  <c r="I2939" i="16"/>
  <c r="I2938" i="16"/>
  <c r="I2937" i="16"/>
  <c r="I2936" i="16"/>
  <c r="I2935" i="16"/>
  <c r="I2934" i="16"/>
  <c r="I2931" i="16"/>
  <c r="I2930" i="16"/>
  <c r="I2929" i="16"/>
  <c r="I2928" i="16"/>
  <c r="I2922" i="16"/>
  <c r="I2921" i="16"/>
  <c r="I2916" i="16"/>
  <c r="I2915" i="16"/>
  <c r="I2914" i="16"/>
  <c r="I2911" i="16"/>
  <c r="I2908" i="16"/>
  <c r="I2907" i="16"/>
  <c r="I2906" i="16"/>
  <c r="I2905" i="16"/>
  <c r="I2903" i="16"/>
  <c r="I2902" i="16"/>
  <c r="I2901" i="16"/>
  <c r="I2900" i="16"/>
  <c r="I2898" i="16"/>
  <c r="I2897" i="16"/>
  <c r="I2896" i="16"/>
  <c r="I2893" i="16"/>
  <c r="I2892" i="16"/>
  <c r="I2891" i="16"/>
  <c r="I2890" i="16"/>
  <c r="I2888" i="16"/>
  <c r="I2887" i="16"/>
  <c r="I2886" i="16"/>
  <c r="I2885" i="16"/>
  <c r="I2884" i="16"/>
  <c r="I2883" i="16"/>
  <c r="I2882" i="16"/>
  <c r="I2881" i="16"/>
  <c r="I2880" i="16"/>
  <c r="I2878" i="16"/>
  <c r="I2876" i="16"/>
  <c r="I2875" i="16"/>
  <c r="I2874" i="16"/>
  <c r="I2873" i="16"/>
  <c r="I2872" i="16"/>
  <c r="I2871" i="16"/>
  <c r="I2870" i="16"/>
  <c r="I2869" i="16"/>
  <c r="I2868" i="16"/>
  <c r="I2867" i="16"/>
  <c r="I2866" i="16"/>
  <c r="I2865" i="16"/>
  <c r="I2864" i="16"/>
  <c r="I2863" i="16"/>
  <c r="I2862" i="16"/>
  <c r="I2861" i="16"/>
  <c r="I2860" i="16"/>
  <c r="I2859" i="16"/>
  <c r="I2854" i="16"/>
  <c r="I2842" i="16"/>
  <c r="I2839" i="16"/>
  <c r="I2838" i="16"/>
  <c r="I2833" i="16"/>
  <c r="I2832" i="16"/>
  <c r="I2831" i="16"/>
  <c r="I2830" i="16"/>
  <c r="I2829" i="16"/>
  <c r="I2827" i="16"/>
  <c r="I2825" i="16"/>
  <c r="I2810" i="16"/>
  <c r="I2788" i="16"/>
  <c r="I2778" i="16"/>
  <c r="I2777" i="16"/>
  <c r="I2776" i="16"/>
  <c r="I2774" i="16"/>
  <c r="I2773" i="16"/>
  <c r="I2760" i="16"/>
  <c r="I2759" i="16"/>
  <c r="I2758" i="16"/>
  <c r="I2757" i="16"/>
  <c r="I2754" i="16"/>
  <c r="I2753" i="16"/>
  <c r="I2752" i="16"/>
  <c r="I2745" i="16"/>
  <c r="I2740" i="16"/>
  <c r="I2739" i="16"/>
  <c r="I2737" i="16"/>
  <c r="I2736" i="16"/>
  <c r="I2735" i="16"/>
  <c r="I2734" i="16"/>
  <c r="I2733" i="16"/>
  <c r="I2732" i="16"/>
  <c r="I2731" i="16"/>
  <c r="I2696" i="16"/>
  <c r="I2694" i="16"/>
  <c r="I2679" i="16"/>
  <c r="I2675" i="16"/>
  <c r="I2674" i="16"/>
  <c r="I2673" i="16"/>
  <c r="I2670" i="16"/>
  <c r="I2669" i="16"/>
  <c r="I2666" i="16"/>
  <c r="I2665" i="16"/>
  <c r="I2664" i="16"/>
  <c r="I2663" i="16"/>
  <c r="I2661" i="16"/>
  <c r="I2660" i="16"/>
  <c r="I2659" i="16"/>
  <c r="I2658" i="16"/>
  <c r="I2657" i="16"/>
  <c r="I2656" i="16"/>
  <c r="I2655" i="16"/>
  <c r="I2654" i="16"/>
  <c r="I2653" i="16"/>
  <c r="I2652" i="16"/>
  <c r="I2651" i="16"/>
  <c r="I2650" i="16"/>
  <c r="I2649" i="16"/>
  <c r="I2648" i="16"/>
  <c r="I2643" i="16"/>
  <c r="I2638" i="16"/>
  <c r="I2632" i="16"/>
  <c r="I2631" i="16"/>
  <c r="I2630" i="16"/>
  <c r="I2627" i="16"/>
  <c r="I2626" i="16"/>
  <c r="I2618" i="16"/>
  <c r="I2614" i="16"/>
  <c r="I2613" i="16"/>
  <c r="I2612" i="16"/>
  <c r="I2601" i="16"/>
  <c r="I2600" i="16"/>
  <c r="I2596" i="16"/>
  <c r="I2595" i="16"/>
  <c r="I2594" i="16"/>
  <c r="I2593" i="16"/>
  <c r="I2592" i="16"/>
  <c r="I2591" i="16"/>
  <c r="I2588" i="16"/>
  <c r="I2587" i="16"/>
  <c r="I2586" i="16"/>
  <c r="I2585" i="16"/>
  <c r="I2583" i="16"/>
  <c r="I2582" i="16"/>
  <c r="I2581" i="16"/>
  <c r="I2580" i="16"/>
  <c r="I2579" i="16"/>
  <c r="I2578" i="16"/>
  <c r="I2577" i="16"/>
  <c r="I2576" i="16"/>
  <c r="I2575" i="16"/>
  <c r="I2574" i="16"/>
  <c r="I2573" i="16"/>
  <c r="I2572" i="16"/>
  <c r="I2571" i="16"/>
  <c r="I2570" i="16"/>
  <c r="I2569" i="16"/>
  <c r="I2568" i="16"/>
  <c r="I2567" i="16"/>
  <c r="I2566" i="16"/>
  <c r="I2565" i="16"/>
  <c r="I2564" i="16"/>
  <c r="I2563" i="16"/>
  <c r="I2562" i="16"/>
  <c r="I2561" i="16"/>
  <c r="I2560" i="16"/>
  <c r="I2557" i="16"/>
  <c r="I2556" i="16"/>
  <c r="I2555" i="16"/>
  <c r="I2554" i="16"/>
  <c r="I2552" i="16"/>
  <c r="I2551" i="16"/>
  <c r="I2550" i="16"/>
  <c r="I2549" i="16"/>
  <c r="I2548" i="16"/>
  <c r="I2547" i="16"/>
  <c r="I2546" i="16"/>
  <c r="I2544" i="16"/>
  <c r="I2541" i="16"/>
  <c r="I2540" i="16"/>
  <c r="I2539" i="16"/>
  <c r="I2538" i="16"/>
  <c r="I2537" i="16"/>
  <c r="I2536" i="16"/>
  <c r="I2535" i="16"/>
  <c r="I2534" i="16"/>
  <c r="I2533" i="16"/>
  <c r="I2531" i="16"/>
  <c r="I2528" i="16"/>
  <c r="I2527" i="16"/>
  <c r="I2526" i="16"/>
  <c r="I2525" i="16"/>
  <c r="I2524" i="16"/>
  <c r="I2523" i="16"/>
  <c r="I2522" i="16"/>
  <c r="I2521" i="16"/>
  <c r="I2520" i="16"/>
  <c r="I2519" i="16"/>
  <c r="I2518" i="16"/>
  <c r="I2517" i="16"/>
  <c r="I2516" i="16"/>
  <c r="I2515" i="16"/>
  <c r="I2514" i="16"/>
  <c r="I2513" i="16"/>
  <c r="I2512" i="16"/>
  <c r="I2511" i="16"/>
  <c r="I2510" i="16"/>
  <c r="I2509" i="16"/>
  <c r="I2508" i="16"/>
  <c r="I2507" i="16"/>
  <c r="I2506" i="16"/>
  <c r="I2505" i="16"/>
  <c r="I2504" i="16"/>
  <c r="I2503" i="16"/>
  <c r="I2502" i="16"/>
  <c r="I2501" i="16"/>
  <c r="I2500" i="16"/>
  <c r="I2499" i="16"/>
  <c r="I2498" i="16"/>
  <c r="I2497" i="16"/>
  <c r="I2496" i="16"/>
  <c r="I2495" i="16"/>
  <c r="I2494" i="16"/>
  <c r="I2493" i="16"/>
  <c r="I2492" i="16"/>
  <c r="I2491" i="16"/>
  <c r="I2490" i="16"/>
  <c r="I2489" i="16"/>
  <c r="I2478" i="16"/>
  <c r="I2477" i="16"/>
  <c r="I2470" i="16"/>
  <c r="I2454" i="16"/>
  <c r="I2453" i="16"/>
  <c r="I2452" i="16"/>
  <c r="I2451" i="16"/>
  <c r="I2450" i="16"/>
  <c r="I2449" i="16"/>
  <c r="I2448" i="16"/>
  <c r="I2447" i="16"/>
  <c r="I2446" i="16"/>
  <c r="I2445" i="16"/>
  <c r="I2444" i="16"/>
  <c r="I2443" i="16"/>
  <c r="I2442" i="16"/>
  <c r="I2441" i="16"/>
  <c r="I2440" i="16"/>
  <c r="I2439" i="16"/>
  <c r="I2438" i="16"/>
  <c r="I2437" i="16"/>
  <c r="I2436" i="16"/>
  <c r="I2435" i="16"/>
  <c r="I2434" i="16"/>
  <c r="I2433" i="16"/>
  <c r="I2432" i="16"/>
  <c r="I2431" i="16"/>
  <c r="I2402" i="16"/>
  <c r="I2401" i="16"/>
  <c r="I2400" i="16"/>
  <c r="I2397" i="16"/>
  <c r="I2396" i="16"/>
  <c r="I2392" i="16"/>
  <c r="I2391" i="16"/>
  <c r="I2390" i="16"/>
  <c r="I2386" i="16"/>
  <c r="I2384" i="16"/>
  <c r="I2383" i="16"/>
  <c r="I2382" i="16"/>
  <c r="I2381" i="16"/>
  <c r="I2380" i="16"/>
  <c r="I2379" i="16"/>
  <c r="I2378" i="16"/>
  <c r="I2377" i="16"/>
  <c r="I2376" i="16"/>
  <c r="I2375" i="16"/>
  <c r="I2374" i="16"/>
  <c r="I2373" i="16"/>
  <c r="I2372" i="16"/>
  <c r="I2371" i="16"/>
  <c r="I2369" i="16"/>
  <c r="I2366" i="16"/>
  <c r="I2361" i="16"/>
  <c r="I2359" i="16"/>
  <c r="I2356" i="16"/>
  <c r="I2352" i="16"/>
  <c r="I2351" i="16"/>
  <c r="I2350" i="16"/>
  <c r="I2345" i="16"/>
  <c r="I2344" i="16"/>
  <c r="I2343" i="16"/>
  <c r="I2342" i="16"/>
  <c r="I2340" i="16"/>
  <c r="I2335" i="16"/>
  <c r="I2334" i="16"/>
  <c r="I2333" i="16"/>
  <c r="I2330" i="16"/>
  <c r="I2329" i="16"/>
  <c r="I2328" i="16"/>
  <c r="I2327" i="16"/>
  <c r="I2326" i="16"/>
  <c r="I2325" i="16"/>
  <c r="I2324" i="16"/>
  <c r="I2323" i="16"/>
  <c r="I2322" i="16"/>
  <c r="I2321" i="16"/>
  <c r="I2319" i="16"/>
  <c r="I2317" i="16"/>
  <c r="I2316" i="16"/>
  <c r="I2315" i="16"/>
  <c r="I2311" i="16"/>
  <c r="I2308" i="16"/>
  <c r="I2306" i="16"/>
  <c r="I2305" i="16"/>
  <c r="I2301" i="16"/>
  <c r="I2299" i="16"/>
  <c r="I2295" i="16"/>
  <c r="I2294" i="16"/>
  <c r="I2292" i="16"/>
  <c r="I2290" i="16"/>
  <c r="I2289" i="16"/>
  <c r="I2288" i="16"/>
  <c r="I2287" i="16"/>
  <c r="I2286" i="16"/>
  <c r="I2285" i="16"/>
  <c r="I2284" i="16"/>
  <c r="I2283" i="16"/>
  <c r="I2282" i="16"/>
  <c r="I2281" i="16"/>
  <c r="I2280" i="16"/>
  <c r="I2279" i="16"/>
  <c r="I2278" i="16"/>
  <c r="I2277" i="16"/>
  <c r="I2276" i="16"/>
  <c r="I2275" i="16"/>
  <c r="I2274" i="16"/>
  <c r="I2273" i="16"/>
  <c r="I2272" i="16"/>
  <c r="I2271" i="16"/>
  <c r="I2270" i="16"/>
  <c r="I2269" i="16"/>
  <c r="I2266" i="16"/>
  <c r="I2264" i="16"/>
  <c r="I2261" i="16"/>
  <c r="I2259" i="16"/>
  <c r="I2257" i="16"/>
  <c r="I2256" i="16"/>
  <c r="I2253" i="16"/>
  <c r="I2251" i="16"/>
  <c r="I2250" i="16"/>
  <c r="I2249" i="16"/>
  <c r="I2248" i="16"/>
  <c r="I2246" i="16"/>
  <c r="I2243" i="16"/>
  <c r="I2241" i="16"/>
  <c r="I2238" i="16"/>
  <c r="I2237" i="16"/>
  <c r="I2236" i="16"/>
  <c r="I2235" i="16"/>
  <c r="I2234" i="16"/>
  <c r="I2233" i="16"/>
  <c r="I2232" i="16"/>
  <c r="I2231" i="16"/>
  <c r="I2230" i="16"/>
  <c r="I2229" i="16"/>
  <c r="I2228" i="16"/>
  <c r="I2227" i="16"/>
  <c r="I2226" i="16"/>
  <c r="I2225" i="16"/>
  <c r="I2224" i="16"/>
  <c r="I2223" i="16"/>
  <c r="I2221" i="16"/>
  <c r="I2219" i="16"/>
  <c r="I2217" i="16"/>
  <c r="I2208" i="16"/>
  <c r="I2203" i="16"/>
  <c r="I2201" i="16"/>
  <c r="I2200" i="16"/>
  <c r="I2199" i="16"/>
  <c r="I2198" i="16"/>
  <c r="I2196" i="16"/>
  <c r="I2195" i="16"/>
  <c r="I2194" i="16"/>
  <c r="I2193" i="16"/>
  <c r="I2190" i="16"/>
  <c r="I2188" i="16"/>
  <c r="I2184" i="16"/>
  <c r="I2179" i="16"/>
  <c r="I2178" i="16"/>
  <c r="I2175" i="16"/>
  <c r="I2174" i="16"/>
  <c r="I2173" i="16"/>
  <c r="I2171" i="16"/>
  <c r="I2170" i="16"/>
  <c r="I2169" i="16"/>
  <c r="I2168" i="16"/>
  <c r="I2167" i="16"/>
  <c r="I2166" i="16"/>
  <c r="I2165" i="16"/>
  <c r="I2164" i="16"/>
  <c r="I2163" i="16"/>
  <c r="I2162" i="16"/>
  <c r="I2161" i="16"/>
  <c r="I2160" i="16"/>
  <c r="I2159" i="16"/>
  <c r="I2158" i="16"/>
  <c r="I2157" i="16"/>
  <c r="I2156" i="16"/>
  <c r="I2155" i="16"/>
  <c r="I2154" i="16"/>
  <c r="I2153" i="16"/>
  <c r="I2152" i="16"/>
  <c r="I2151" i="16"/>
  <c r="I2150" i="16"/>
  <c r="I2149" i="16"/>
  <c r="I2148" i="16"/>
  <c r="I2147" i="16"/>
  <c r="I2146" i="16"/>
  <c r="I2145" i="16"/>
  <c r="I2143" i="16"/>
  <c r="I2141" i="16"/>
  <c r="I2140" i="16"/>
  <c r="I2138" i="16"/>
  <c r="I2136" i="16"/>
  <c r="I2133" i="16"/>
  <c r="I2129" i="16"/>
  <c r="I2127" i="16"/>
  <c r="I2120" i="16"/>
  <c r="I2117" i="16"/>
  <c r="I2116" i="16"/>
  <c r="I2115" i="16"/>
  <c r="I2114" i="16"/>
  <c r="I2113" i="16"/>
  <c r="I2112" i="16"/>
  <c r="I2111" i="16"/>
  <c r="I2110" i="16"/>
  <c r="I2109" i="16"/>
  <c r="I2108" i="16"/>
  <c r="I2106" i="16"/>
  <c r="I2104" i="16"/>
  <c r="I2101" i="16"/>
  <c r="I2095" i="16"/>
  <c r="I2093" i="16"/>
  <c r="I2089" i="16"/>
  <c r="I2088" i="16"/>
  <c r="I2087" i="16"/>
  <c r="I2086" i="16"/>
  <c r="I2085" i="16"/>
  <c r="I2084" i="16"/>
  <c r="I2081" i="16"/>
  <c r="I2080" i="16"/>
  <c r="I2074" i="16"/>
  <c r="I2072" i="16"/>
  <c r="I2069" i="16"/>
  <c r="I2067" i="16"/>
  <c r="I2066" i="16"/>
  <c r="I2065" i="16"/>
  <c r="I2063" i="16"/>
  <c r="I2062" i="16"/>
  <c r="I2059" i="16"/>
  <c r="I2058" i="16"/>
  <c r="I2057" i="16"/>
  <c r="I2055" i="16"/>
  <c r="I2054" i="16"/>
  <c r="I2052" i="16"/>
  <c r="I2051" i="16"/>
  <c r="I2050" i="16"/>
  <c r="I2049" i="16"/>
  <c r="I2048" i="16"/>
  <c r="I2047" i="16"/>
  <c r="I2046" i="16"/>
  <c r="I2045" i="16"/>
  <c r="I2044" i="16"/>
  <c r="I2043" i="16"/>
  <c r="I2042" i="16"/>
  <c r="I2041" i="16"/>
  <c r="I2040" i="16"/>
  <c r="I2039" i="16"/>
  <c r="I2038" i="16"/>
  <c r="I2036" i="16"/>
  <c r="I2035" i="16"/>
  <c r="I2034" i="16"/>
  <c r="I2032" i="16"/>
  <c r="I2031" i="16"/>
  <c r="I2029" i="16"/>
  <c r="I2028" i="16"/>
  <c r="I2026" i="16"/>
  <c r="I2025" i="16"/>
  <c r="I2024" i="16"/>
  <c r="I2022" i="16"/>
  <c r="I2021" i="16"/>
  <c r="I2019" i="16"/>
  <c r="I2017" i="16"/>
  <c r="I2015" i="16"/>
  <c r="I2012" i="16"/>
  <c r="I2011" i="16"/>
  <c r="I2008" i="16"/>
  <c r="I2007" i="16"/>
  <c r="I2006" i="16"/>
  <c r="I2004" i="16"/>
  <c r="I2003" i="16"/>
  <c r="I2001" i="16"/>
  <c r="I2000" i="16"/>
  <c r="I1999" i="16"/>
  <c r="I1998" i="16"/>
  <c r="I1997" i="16"/>
  <c r="I1996" i="16"/>
  <c r="I1995" i="16"/>
  <c r="I1994" i="16"/>
  <c r="I1993" i="16"/>
  <c r="I1992" i="16"/>
  <c r="I1991" i="16"/>
  <c r="I1989" i="16"/>
  <c r="I1988" i="16"/>
  <c r="I1987" i="16"/>
  <c r="I1985" i="16"/>
  <c r="I1984" i="16"/>
  <c r="I1981" i="16"/>
  <c r="I1980" i="16"/>
  <c r="I1977" i="16"/>
  <c r="I1976" i="16"/>
  <c r="I1972" i="16"/>
  <c r="I1968" i="16"/>
  <c r="I1963" i="16"/>
  <c r="I1953" i="16"/>
  <c r="I1950" i="16"/>
  <c r="I1949" i="16"/>
  <c r="I1948" i="16"/>
  <c r="I1947" i="16"/>
  <c r="I1945" i="16"/>
  <c r="I1944" i="16"/>
  <c r="I1931" i="16"/>
  <c r="I1930" i="16"/>
  <c r="I1929" i="16"/>
  <c r="I1926" i="16"/>
  <c r="I1915" i="16"/>
  <c r="I1913" i="16"/>
  <c r="I1908" i="16"/>
  <c r="I1906" i="16"/>
  <c r="I1905" i="16"/>
  <c r="I1903" i="16"/>
  <c r="I1902" i="16"/>
  <c r="I1901" i="16"/>
  <c r="I1899" i="16"/>
  <c r="I1898" i="16"/>
  <c r="I1897" i="16"/>
  <c r="I1896" i="16"/>
  <c r="I1895" i="16"/>
  <c r="I1894" i="16"/>
  <c r="I1893" i="16"/>
  <c r="I1892" i="16"/>
  <c r="I1890" i="16"/>
  <c r="I1889" i="16"/>
  <c r="I1886" i="16"/>
  <c r="I1883" i="16"/>
  <c r="I1882" i="16"/>
  <c r="I1879" i="16"/>
  <c r="I1878" i="16"/>
  <c r="I1875" i="16"/>
  <c r="I1874" i="16"/>
  <c r="I1873" i="16"/>
  <c r="I1872" i="16"/>
  <c r="I1871" i="16"/>
  <c r="I1870" i="16"/>
  <c r="I1869" i="16"/>
  <c r="I1868" i="16"/>
  <c r="I1867" i="16"/>
  <c r="I1866" i="16"/>
  <c r="I1865" i="16"/>
  <c r="I1854" i="16"/>
  <c r="I1853" i="16"/>
  <c r="I1850" i="16"/>
  <c r="I1849" i="16"/>
  <c r="I1848" i="16"/>
  <c r="I1847" i="16"/>
  <c r="I1846" i="16"/>
  <c r="I1845" i="16"/>
  <c r="I1844" i="16"/>
  <c r="I1843" i="16"/>
  <c r="I1842" i="16"/>
  <c r="I1841" i="16"/>
  <c r="I1831" i="16"/>
  <c r="I1827" i="16"/>
  <c r="I1823" i="16"/>
  <c r="I1822" i="16"/>
  <c r="I1819" i="16"/>
  <c r="I1808" i="16"/>
  <c r="I1805" i="16"/>
  <c r="I1804" i="16"/>
  <c r="I1803" i="16"/>
  <c r="I1802" i="16"/>
  <c r="I1801" i="16"/>
  <c r="I1798" i="16"/>
  <c r="I1794" i="16"/>
  <c r="I1792" i="16"/>
  <c r="I1791" i="16"/>
  <c r="I1790" i="16"/>
  <c r="I1789" i="16"/>
  <c r="I1783" i="16"/>
  <c r="I1756" i="16"/>
  <c r="I1755" i="16"/>
  <c r="I1754" i="16"/>
  <c r="I1749" i="16"/>
  <c r="I1748" i="16"/>
  <c r="I1747" i="16"/>
  <c r="I1746" i="16"/>
  <c r="I1745" i="16"/>
  <c r="I1744" i="16"/>
  <c r="I1743" i="16"/>
  <c r="I1742" i="16"/>
  <c r="I1741" i="16"/>
  <c r="I1740" i="16"/>
  <c r="I1739" i="16"/>
  <c r="I1738" i="16"/>
  <c r="I1737" i="16"/>
  <c r="I1736" i="16"/>
  <c r="I1735" i="16"/>
  <c r="I1734" i="16"/>
  <c r="I1733" i="16"/>
  <c r="I1732" i="16"/>
  <c r="I1731" i="16"/>
  <c r="I1730" i="16"/>
  <c r="I1728" i="16"/>
  <c r="I1726" i="16"/>
  <c r="I1724" i="16"/>
  <c r="I1721" i="16"/>
  <c r="I1720" i="16"/>
  <c r="I1719" i="16"/>
  <c r="I1716" i="16"/>
  <c r="I1714" i="16"/>
  <c r="I1713" i="16"/>
  <c r="I1712" i="16"/>
  <c r="I1711" i="16"/>
  <c r="I1710" i="16"/>
  <c r="I1709" i="16"/>
  <c r="I1708" i="16"/>
  <c r="I1707" i="16"/>
  <c r="I1706" i="16"/>
  <c r="I1705" i="16"/>
  <c r="I1704" i="16"/>
  <c r="I1703" i="16"/>
  <c r="I1702" i="16"/>
  <c r="I1700" i="16"/>
  <c r="I1699" i="16"/>
  <c r="I1698" i="16"/>
  <c r="I1696" i="16"/>
  <c r="I1695" i="16"/>
  <c r="I1692" i="16"/>
  <c r="I1688" i="16"/>
  <c r="I1686" i="16"/>
  <c r="I1685" i="16"/>
  <c r="I1684" i="16"/>
  <c r="I1683" i="16"/>
  <c r="I1682" i="16"/>
  <c r="I1681" i="16"/>
  <c r="I1680" i="16"/>
  <c r="I1677" i="16"/>
  <c r="I1676" i="16"/>
  <c r="I1662" i="16"/>
  <c r="I1660" i="16"/>
  <c r="I1651" i="16"/>
  <c r="I1650" i="16"/>
  <c r="I1649" i="16"/>
  <c r="I1648" i="16"/>
  <c r="I1647" i="16"/>
  <c r="I1646" i="16"/>
  <c r="I1645" i="16"/>
  <c r="I1644" i="16"/>
  <c r="I1643" i="16"/>
  <c r="I1642" i="16"/>
  <c r="I1641" i="16"/>
  <c r="I1640" i="16"/>
  <c r="I1639" i="16"/>
  <c r="I1638" i="16"/>
  <c r="I1637" i="16"/>
  <c r="I1635" i="16"/>
  <c r="I1634" i="16"/>
  <c r="I1633" i="16"/>
  <c r="I1631" i="16"/>
  <c r="I1630" i="16"/>
  <c r="I1629" i="16"/>
  <c r="I1628" i="16"/>
  <c r="I1627" i="16"/>
  <c r="I1626" i="16"/>
  <c r="I1625" i="16"/>
  <c r="I1622" i="16"/>
  <c r="I1620" i="16"/>
  <c r="I1618" i="16"/>
  <c r="I1616" i="16"/>
  <c r="I1615" i="16"/>
  <c r="I1614" i="16"/>
  <c r="I1613" i="16"/>
  <c r="I1611" i="16"/>
  <c r="I1610" i="16"/>
  <c r="I1609" i="16"/>
  <c r="I1607" i="16"/>
  <c r="I1606" i="16"/>
  <c r="I1605" i="16"/>
  <c r="I1604" i="16"/>
  <c r="I1603" i="16"/>
  <c r="I1602" i="16"/>
  <c r="I1601" i="16"/>
  <c r="I1599" i="16"/>
  <c r="I1598" i="16"/>
  <c r="I1597" i="16"/>
  <c r="I1596" i="16"/>
  <c r="I1595" i="16"/>
  <c r="I1594" i="16"/>
  <c r="I1593" i="16"/>
  <c r="I1592" i="16"/>
  <c r="I1591" i="16"/>
  <c r="I1590" i="16"/>
  <c r="I1589" i="16"/>
  <c r="I1588" i="16"/>
  <c r="I1585" i="16"/>
  <c r="I1584" i="16"/>
  <c r="I1581" i="16"/>
  <c r="I1580" i="16"/>
  <c r="I1578" i="16"/>
  <c r="I1577" i="16"/>
  <c r="I1576" i="16"/>
  <c r="I1573" i="16"/>
  <c r="I1572" i="16"/>
  <c r="I1571" i="16"/>
  <c r="I1570" i="16"/>
  <c r="I1569" i="16"/>
  <c r="I1568" i="16"/>
  <c r="I1566" i="16"/>
  <c r="I1565" i="16"/>
  <c r="I1564" i="16"/>
  <c r="I1563" i="16"/>
  <c r="I1562" i="16"/>
  <c r="I1561" i="16"/>
  <c r="I1560" i="16"/>
  <c r="I1559" i="16"/>
  <c r="I1558" i="16"/>
  <c r="I1557" i="16"/>
  <c r="I1556" i="16"/>
  <c r="I1555" i="16"/>
  <c r="I1554" i="16"/>
  <c r="I1553" i="16"/>
  <c r="I1552" i="16"/>
  <c r="I1551" i="16"/>
  <c r="I1550" i="16"/>
  <c r="I1549" i="16"/>
  <c r="I1546" i="16"/>
  <c r="I1545" i="16"/>
  <c r="I1535" i="16"/>
  <c r="I1534" i="16"/>
  <c r="I1532" i="16"/>
  <c r="I1531" i="16"/>
  <c r="I1530" i="16"/>
  <c r="I1527" i="16"/>
  <c r="I1526" i="16"/>
  <c r="I1523" i="16"/>
  <c r="I1522" i="16"/>
  <c r="I1509" i="16"/>
  <c r="I1505" i="16"/>
  <c r="I1503" i="16"/>
  <c r="I1502" i="16"/>
  <c r="I1501" i="16"/>
  <c r="I1497" i="16"/>
  <c r="I1494" i="16"/>
  <c r="I1493" i="16"/>
  <c r="I1490" i="16"/>
  <c r="I1489" i="16"/>
  <c r="I1486" i="16"/>
  <c r="I1485" i="16"/>
  <c r="I1484" i="16"/>
  <c r="I1483" i="16"/>
  <c r="I1482" i="16"/>
  <c r="I1481" i="16"/>
  <c r="I1480" i="16"/>
  <c r="I1478" i="16"/>
  <c r="I1477" i="16"/>
  <c r="I1476" i="16"/>
  <c r="I1475" i="16"/>
  <c r="I1474" i="16"/>
  <c r="I1473" i="16"/>
  <c r="I1472" i="16"/>
  <c r="I1471" i="16"/>
  <c r="I1470" i="16"/>
  <c r="I1469" i="16"/>
  <c r="I1468" i="16"/>
  <c r="I1467" i="16"/>
  <c r="I1466" i="16"/>
  <c r="I1465" i="16"/>
  <c r="I1464" i="16"/>
  <c r="I1462" i="16"/>
  <c r="I1458" i="16"/>
  <c r="I1455" i="16"/>
  <c r="I1445" i="16"/>
  <c r="I1444" i="16"/>
  <c r="I1443" i="16"/>
  <c r="I1442" i="16"/>
  <c r="I1441" i="16"/>
  <c r="I1440" i="16"/>
  <c r="I1439" i="16"/>
  <c r="I1438" i="16"/>
  <c r="I1437" i="16"/>
  <c r="I1436" i="16"/>
  <c r="I1435" i="16"/>
  <c r="I1434" i="16"/>
  <c r="I1433" i="16"/>
  <c r="I1432" i="16"/>
  <c r="I1431" i="16"/>
  <c r="I1430" i="16"/>
  <c r="I1429" i="16"/>
  <c r="I1428" i="16"/>
  <c r="I1414" i="16"/>
  <c r="I1408" i="16"/>
  <c r="I1406" i="16"/>
  <c r="I1403" i="16"/>
  <c r="I1402" i="16"/>
  <c r="I1401" i="16"/>
  <c r="I1399" i="16"/>
  <c r="I1398" i="16"/>
  <c r="I1397" i="16"/>
  <c r="I1396" i="16"/>
  <c r="I1395" i="16"/>
  <c r="I1394" i="16"/>
  <c r="I1393" i="16"/>
  <c r="I1374" i="16"/>
  <c r="I1368" i="16"/>
  <c r="I1365" i="16"/>
  <c r="I1364" i="16"/>
  <c r="I1363" i="16"/>
  <c r="I1360" i="16"/>
  <c r="I1358" i="16"/>
  <c r="I1357" i="16"/>
  <c r="I1356" i="16"/>
  <c r="I1355" i="16"/>
  <c r="I1354" i="16"/>
  <c r="I1353" i="16"/>
  <c r="I1352" i="16"/>
  <c r="I1351" i="16"/>
  <c r="I1337" i="16"/>
  <c r="I1335" i="16"/>
  <c r="I1334" i="16"/>
  <c r="I1333" i="16"/>
  <c r="I1331" i="16"/>
  <c r="I1330" i="16"/>
  <c r="I1329" i="16"/>
  <c r="I1328" i="16"/>
  <c r="I1327" i="16"/>
  <c r="I1326" i="16"/>
  <c r="I1325" i="16"/>
  <c r="I1323" i="16"/>
  <c r="I1302" i="16"/>
  <c r="I1301" i="16"/>
  <c r="I1300" i="16"/>
  <c r="I1299" i="16"/>
  <c r="I1298" i="16"/>
  <c r="I1296" i="16"/>
  <c r="I1294" i="16"/>
  <c r="I1290" i="16"/>
  <c r="I1287" i="16"/>
  <c r="I1285" i="16"/>
  <c r="I1284" i="16"/>
  <c r="I1283" i="16"/>
  <c r="I1279" i="16"/>
  <c r="I1278" i="16"/>
  <c r="I1277" i="16"/>
  <c r="I1276" i="16"/>
  <c r="I1275" i="16"/>
  <c r="I1273" i="16"/>
  <c r="I1272" i="16"/>
  <c r="I1271" i="16"/>
  <c r="I1269" i="16"/>
  <c r="I1267" i="16"/>
  <c r="I1263" i="16"/>
  <c r="I1262" i="16"/>
  <c r="I1259" i="16"/>
  <c r="I1258" i="16"/>
  <c r="I1257" i="16"/>
  <c r="I1255" i="16"/>
  <c r="I1254" i="16"/>
  <c r="I1252" i="16"/>
  <c r="I1251" i="16"/>
  <c r="I1250" i="16"/>
  <c r="I1249" i="16"/>
  <c r="I1247" i="16"/>
  <c r="I1233" i="16"/>
  <c r="I1232" i="16"/>
  <c r="I1231" i="16"/>
  <c r="I1229" i="16"/>
  <c r="I1228" i="16"/>
  <c r="I1223" i="16"/>
  <c r="I1219" i="16"/>
  <c r="I1216" i="16"/>
  <c r="I1214" i="16"/>
  <c r="I1209" i="16"/>
  <c r="I1208" i="16"/>
  <c r="I1206" i="16"/>
  <c r="I1205" i="16"/>
  <c r="I1204" i="16"/>
  <c r="I1202" i="16"/>
  <c r="I1201" i="16"/>
  <c r="I1200" i="16"/>
  <c r="I1199" i="16"/>
  <c r="I1198" i="16"/>
  <c r="I1197" i="16"/>
  <c r="I1195" i="16"/>
  <c r="I1194" i="16"/>
  <c r="I1190" i="16"/>
  <c r="I1178" i="16"/>
  <c r="I1177" i="16"/>
  <c r="I1175" i="16"/>
  <c r="I1173" i="16"/>
  <c r="I1170" i="16"/>
  <c r="I1169" i="16"/>
  <c r="I1167" i="16"/>
  <c r="I1163" i="16"/>
  <c r="I1159" i="16"/>
  <c r="I1158" i="16"/>
  <c r="I1155" i="16"/>
  <c r="I1154" i="16"/>
  <c r="I1151" i="16"/>
  <c r="I1146" i="16"/>
  <c r="I1145" i="16"/>
  <c r="I1144" i="16"/>
  <c r="I1142" i="16"/>
  <c r="I1141" i="16"/>
  <c r="I1140" i="16"/>
  <c r="I1138" i="16"/>
  <c r="I1137" i="16"/>
  <c r="I1135" i="16"/>
  <c r="I1134" i="16"/>
  <c r="I1133" i="16"/>
  <c r="I1131" i="16"/>
  <c r="I1130" i="16"/>
  <c r="I1129" i="16"/>
  <c r="I1128" i="16"/>
  <c r="I1127" i="16"/>
  <c r="I1126" i="16"/>
  <c r="I1124" i="16"/>
  <c r="I1123" i="16"/>
  <c r="I1122" i="16"/>
  <c r="I1118" i="16"/>
  <c r="I1109" i="16"/>
  <c r="I1108" i="16"/>
  <c r="I1106" i="16"/>
  <c r="I1105" i="16"/>
  <c r="I1103" i="16"/>
  <c r="I1099" i="16"/>
  <c r="I1095" i="16"/>
  <c r="I1094" i="16"/>
  <c r="I1091" i="16"/>
  <c r="I1090" i="16"/>
  <c r="I1087" i="16"/>
  <c r="I1086" i="16"/>
  <c r="I1085" i="16"/>
  <c r="I1084" i="16"/>
  <c r="I1083" i="16"/>
  <c r="I1082" i="16"/>
  <c r="I1080" i="16"/>
  <c r="I1079" i="16"/>
  <c r="I1078" i="16"/>
  <c r="I1077" i="16"/>
  <c r="I1076" i="16"/>
  <c r="I1075" i="16"/>
  <c r="I1074" i="16"/>
  <c r="I1073" i="16"/>
  <c r="I1072" i="16"/>
  <c r="I1071" i="16"/>
  <c r="I1070" i="16"/>
  <c r="I1069" i="16"/>
  <c r="I1068" i="16"/>
  <c r="I1067" i="16"/>
  <c r="I1066" i="16"/>
  <c r="I1065" i="16"/>
  <c r="I1064" i="16"/>
  <c r="I1063" i="16"/>
  <c r="I1062" i="16"/>
  <c r="I1061" i="16"/>
  <c r="I1060" i="16"/>
  <c r="I1059" i="16"/>
  <c r="I1058" i="16"/>
  <c r="I1057" i="16"/>
  <c r="I1056" i="16"/>
  <c r="I1053" i="16"/>
  <c r="I1052" i="16"/>
  <c r="I1049" i="16"/>
  <c r="I1048" i="16"/>
  <c r="I1045" i="16"/>
  <c r="I1044" i="16"/>
  <c r="I1040" i="16"/>
  <c r="I1038" i="16"/>
  <c r="I1036" i="16"/>
  <c r="I1033" i="16"/>
  <c r="I1032" i="16"/>
  <c r="I1031" i="16"/>
  <c r="I1028" i="16"/>
  <c r="I1011" i="16"/>
  <c r="I1005" i="16"/>
  <c r="I995" i="16"/>
  <c r="I983" i="16"/>
  <c r="I980" i="16"/>
  <c r="I979" i="16"/>
  <c r="I978" i="16"/>
  <c r="I971" i="16"/>
  <c r="I970" i="16"/>
  <c r="I969" i="16"/>
  <c r="I968" i="16"/>
  <c r="I967" i="16"/>
  <c r="I966" i="16"/>
  <c r="I963" i="16"/>
  <c r="I962" i="16"/>
  <c r="I961" i="16"/>
  <c r="I960" i="16"/>
  <c r="I959" i="16"/>
  <c r="I958" i="16"/>
  <c r="I957" i="16"/>
  <c r="I956" i="16"/>
  <c r="I953" i="16"/>
  <c r="I952" i="16"/>
  <c r="I950" i="16"/>
  <c r="I949" i="16"/>
  <c r="I948" i="16"/>
  <c r="I942" i="16"/>
  <c r="I940" i="16"/>
  <c r="I927" i="16"/>
  <c r="I925" i="16"/>
  <c r="I923" i="16"/>
  <c r="I922" i="16"/>
  <c r="I920" i="16"/>
  <c r="I919" i="16"/>
  <c r="I918" i="16"/>
  <c r="I917" i="16"/>
  <c r="I916" i="16"/>
  <c r="I915" i="16"/>
  <c r="I914" i="16"/>
  <c r="I910" i="16"/>
  <c r="I909" i="16"/>
  <c r="I908" i="16"/>
  <c r="I906" i="16"/>
  <c r="I904" i="16"/>
  <c r="I902" i="16"/>
  <c r="I900" i="16"/>
  <c r="I899" i="16"/>
  <c r="I898" i="16"/>
  <c r="I896" i="16"/>
  <c r="I894" i="16"/>
  <c r="I892" i="16"/>
  <c r="I891" i="16"/>
  <c r="I890" i="16"/>
  <c r="I888" i="16"/>
  <c r="I885" i="16"/>
  <c r="I884" i="16"/>
  <c r="I883" i="16"/>
  <c r="I882" i="16"/>
  <c r="I881" i="16"/>
  <c r="I880" i="16"/>
  <c r="I879" i="16"/>
  <c r="I878" i="16"/>
  <c r="I870" i="16"/>
  <c r="I868" i="16"/>
  <c r="I867" i="16"/>
  <c r="I866" i="16"/>
  <c r="I865" i="16"/>
  <c r="I863" i="16"/>
  <c r="I862" i="16"/>
  <c r="I861" i="16"/>
  <c r="I860" i="16"/>
  <c r="I859" i="16"/>
  <c r="I858" i="16"/>
  <c r="I857" i="16"/>
  <c r="I856" i="16"/>
  <c r="I855" i="16"/>
  <c r="I854" i="16"/>
  <c r="I853" i="16"/>
  <c r="I852" i="16"/>
  <c r="I851" i="16"/>
  <c r="I850" i="16"/>
  <c r="I849" i="16"/>
  <c r="I848" i="16"/>
  <c r="I845" i="16"/>
  <c r="I844" i="16"/>
  <c r="I843" i="16"/>
  <c r="I842" i="16"/>
  <c r="I841" i="16"/>
  <c r="I840" i="16"/>
  <c r="I839" i="16"/>
  <c r="I838" i="16"/>
  <c r="I837" i="16"/>
  <c r="I836" i="16"/>
  <c r="I833" i="16"/>
  <c r="I830" i="16"/>
  <c r="I829" i="16"/>
  <c r="I828" i="16"/>
  <c r="I827" i="16"/>
  <c r="I826" i="16"/>
  <c r="I825" i="16"/>
  <c r="I824" i="16"/>
  <c r="I823" i="16"/>
  <c r="I822" i="16"/>
  <c r="I821" i="16"/>
  <c r="I820" i="16"/>
  <c r="I819" i="16"/>
  <c r="I818" i="16"/>
  <c r="I817" i="16"/>
  <c r="I816" i="16"/>
  <c r="I815" i="16"/>
  <c r="I814" i="16"/>
  <c r="I813" i="16"/>
  <c r="I812" i="16"/>
  <c r="I811" i="16"/>
  <c r="I810" i="16"/>
  <c r="I809" i="16"/>
  <c r="I808" i="16"/>
  <c r="I807" i="16"/>
  <c r="I804" i="16"/>
  <c r="I803" i="16"/>
  <c r="I802" i="16"/>
  <c r="I801" i="16"/>
  <c r="I800" i="16"/>
  <c r="I799" i="16"/>
  <c r="I798" i="16"/>
  <c r="I797" i="16"/>
  <c r="I796" i="16"/>
  <c r="I795" i="16"/>
  <c r="I794" i="16"/>
  <c r="I793" i="16"/>
  <c r="I792" i="16"/>
  <c r="I791" i="16"/>
  <c r="I790" i="16"/>
  <c r="I789" i="16"/>
  <c r="I788" i="16"/>
  <c r="I787" i="16"/>
  <c r="I786" i="16"/>
  <c r="I785" i="16"/>
  <c r="I784" i="16"/>
  <c r="I783" i="16"/>
  <c r="I782" i="16"/>
  <c r="I781" i="16"/>
  <c r="I780" i="16"/>
  <c r="I779" i="16"/>
  <c r="I778" i="16"/>
  <c r="I777" i="16"/>
  <c r="I776" i="16"/>
  <c r="I775" i="16"/>
  <c r="I774" i="16"/>
  <c r="I773" i="16"/>
  <c r="I772" i="16"/>
  <c r="I771" i="16"/>
  <c r="I770" i="16"/>
  <c r="I769" i="16"/>
  <c r="I768" i="16"/>
  <c r="I767" i="16"/>
  <c r="I766" i="16"/>
  <c r="I765" i="16"/>
  <c r="I763" i="16"/>
  <c r="I758" i="16"/>
  <c r="I756" i="16"/>
  <c r="I754" i="16"/>
  <c r="I753" i="16"/>
  <c r="I751" i="16"/>
  <c r="I748" i="16"/>
  <c r="I746" i="16"/>
  <c r="I744" i="16"/>
  <c r="I742" i="16"/>
  <c r="I741" i="16"/>
  <c r="I740" i="16"/>
  <c r="I739" i="16"/>
  <c r="I738" i="16"/>
  <c r="I737" i="16"/>
  <c r="I736" i="16"/>
  <c r="I735" i="16"/>
  <c r="I734" i="16"/>
  <c r="I732" i="16"/>
  <c r="I731" i="16"/>
  <c r="I730" i="16"/>
  <c r="I722" i="16"/>
  <c r="I721" i="16"/>
  <c r="I720" i="16"/>
  <c r="I719" i="16"/>
  <c r="I718" i="16"/>
  <c r="I717" i="16"/>
  <c r="I716" i="16"/>
  <c r="I715" i="16"/>
  <c r="I713" i="16"/>
  <c r="I711" i="16"/>
  <c r="I710" i="16"/>
  <c r="I709" i="16"/>
  <c r="I708" i="16"/>
  <c r="I705" i="16"/>
  <c r="I704" i="16"/>
  <c r="I703" i="16"/>
  <c r="I701" i="16"/>
  <c r="I700" i="16"/>
  <c r="I699" i="16"/>
  <c r="I698" i="16"/>
  <c r="I697" i="16"/>
  <c r="I696" i="16"/>
  <c r="I695" i="16"/>
  <c r="I694" i="16"/>
  <c r="I693" i="16"/>
  <c r="I692" i="16"/>
  <c r="I691" i="16"/>
  <c r="I690" i="16"/>
  <c r="I689" i="16"/>
  <c r="I688" i="16"/>
  <c r="I687" i="16"/>
  <c r="I686" i="16"/>
  <c r="I685" i="16"/>
  <c r="I684" i="16"/>
  <c r="I683" i="16"/>
  <c r="I682" i="16"/>
  <c r="I681" i="16"/>
  <c r="I680" i="16"/>
  <c r="I677" i="16"/>
  <c r="I676" i="16"/>
  <c r="I675" i="16"/>
  <c r="I674" i="16"/>
  <c r="I673" i="16"/>
  <c r="I672" i="16"/>
  <c r="I671" i="16"/>
  <c r="I668" i="16"/>
  <c r="I667" i="16"/>
  <c r="I666" i="16"/>
  <c r="I665" i="16"/>
  <c r="I662" i="16"/>
  <c r="I661" i="16"/>
  <c r="I660" i="16"/>
  <c r="I659" i="16"/>
  <c r="I658" i="16"/>
  <c r="I657" i="16"/>
  <c r="I656" i="16"/>
  <c r="I655" i="16"/>
  <c r="I654" i="16"/>
  <c r="I653" i="16"/>
  <c r="I652" i="16"/>
  <c r="I651" i="16"/>
  <c r="I650" i="16"/>
  <c r="I649" i="16"/>
  <c r="I648" i="16"/>
  <c r="I646" i="16"/>
  <c r="I644" i="16"/>
  <c r="I643" i="16"/>
  <c r="I642" i="16"/>
  <c r="I641" i="16"/>
  <c r="I640" i="16"/>
  <c r="I639" i="16"/>
  <c r="I638" i="16"/>
  <c r="I637" i="16"/>
  <c r="I636" i="16"/>
  <c r="I634" i="16"/>
  <c r="I633" i="16"/>
  <c r="I632" i="16"/>
  <c r="I625" i="16"/>
  <c r="I624" i="16"/>
  <c r="I623" i="16"/>
  <c r="I620" i="16"/>
  <c r="I613" i="16"/>
  <c r="I612" i="16"/>
  <c r="I610" i="16"/>
  <c r="I608" i="16"/>
  <c r="I605" i="16"/>
  <c r="I600" i="16"/>
  <c r="I591" i="16"/>
  <c r="I590" i="16"/>
  <c r="I587" i="16"/>
  <c r="I584" i="16"/>
  <c r="I583" i="16"/>
  <c r="I582" i="16"/>
  <c r="I577" i="16"/>
  <c r="I572" i="16"/>
  <c r="I570" i="16"/>
  <c r="I568" i="16"/>
  <c r="I567" i="16"/>
  <c r="I566" i="16"/>
  <c r="I565" i="16"/>
  <c r="I564" i="16"/>
  <c r="I563" i="16"/>
  <c r="I562" i="16"/>
  <c r="I561" i="16"/>
  <c r="I560" i="16"/>
  <c r="I557" i="16"/>
  <c r="I555" i="16"/>
  <c r="I554" i="16"/>
  <c r="I553" i="16"/>
  <c r="I552" i="16"/>
  <c r="I551" i="16"/>
  <c r="I550" i="16"/>
  <c r="I549" i="16"/>
  <c r="I548" i="16"/>
  <c r="I544" i="16"/>
  <c r="I543" i="16"/>
  <c r="I542" i="16"/>
  <c r="I539" i="16"/>
  <c r="I538" i="16"/>
  <c r="I537" i="16"/>
  <c r="I536" i="16"/>
  <c r="I534" i="16"/>
  <c r="I533" i="16"/>
  <c r="I529" i="16"/>
  <c r="I526" i="16"/>
  <c r="I525" i="16"/>
  <c r="I524" i="16"/>
  <c r="I521" i="16"/>
  <c r="I517" i="16"/>
  <c r="I516" i="16"/>
  <c r="I515" i="16"/>
  <c r="I514" i="16"/>
  <c r="I513" i="16"/>
  <c r="I512" i="16"/>
  <c r="I508" i="16"/>
  <c r="I505" i="16"/>
  <c r="I501" i="16"/>
  <c r="I500" i="16"/>
  <c r="I499" i="16"/>
  <c r="I497" i="16"/>
  <c r="I496" i="16"/>
  <c r="I493" i="16"/>
  <c r="I492" i="16"/>
  <c r="I489" i="16"/>
  <c r="I486" i="16"/>
  <c r="I485" i="16"/>
  <c r="I484" i="16"/>
  <c r="I483" i="16"/>
  <c r="I482" i="16"/>
  <c r="I481" i="16"/>
  <c r="I478" i="16"/>
  <c r="I474" i="16"/>
  <c r="I473" i="16"/>
  <c r="I472" i="16"/>
  <c r="I471" i="16"/>
  <c r="I470" i="16"/>
  <c r="I468" i="16"/>
  <c r="I467" i="16"/>
  <c r="I466" i="16"/>
  <c r="I465" i="16"/>
  <c r="I464" i="16"/>
  <c r="I461" i="16"/>
  <c r="I460" i="16"/>
  <c r="I459" i="16"/>
  <c r="I455" i="16"/>
  <c r="I454" i="16"/>
  <c r="I453" i="16"/>
  <c r="I452" i="16"/>
  <c r="I449" i="16"/>
  <c r="I448" i="16"/>
  <c r="I447" i="16"/>
  <c r="I446" i="16"/>
  <c r="I442" i="16"/>
  <c r="I441" i="16"/>
  <c r="I440" i="16"/>
  <c r="I439" i="16"/>
  <c r="I438" i="16"/>
  <c r="I437" i="16"/>
  <c r="I436" i="16"/>
  <c r="I435" i="16"/>
  <c r="I434" i="16"/>
  <c r="I433" i="16"/>
  <c r="I432" i="16"/>
  <c r="I430" i="16"/>
  <c r="I426" i="16"/>
  <c r="I425" i="16"/>
  <c r="I424" i="16"/>
  <c r="I423" i="16"/>
  <c r="I422" i="16"/>
  <c r="I421" i="16"/>
  <c r="I420" i="16"/>
  <c r="I418" i="16"/>
  <c r="I416" i="16"/>
  <c r="I415" i="16"/>
  <c r="I414" i="16"/>
  <c r="I413" i="16"/>
  <c r="I412" i="16"/>
  <c r="I411" i="16"/>
  <c r="I410" i="16"/>
  <c r="I409" i="16"/>
  <c r="I408" i="16"/>
  <c r="I407" i="16"/>
  <c r="I406" i="16"/>
  <c r="I405" i="16"/>
  <c r="I404" i="16"/>
  <c r="I403" i="16"/>
  <c r="I395" i="16"/>
  <c r="I394" i="16"/>
  <c r="I393" i="16"/>
  <c r="I392" i="16"/>
  <c r="I391" i="16"/>
  <c r="I389" i="16"/>
  <c r="I388" i="16"/>
  <c r="I387" i="16"/>
  <c r="I386" i="16"/>
  <c r="I385" i="16"/>
  <c r="I384" i="16"/>
  <c r="I383" i="16"/>
  <c r="I382" i="16"/>
  <c r="I381" i="16"/>
  <c r="I380" i="16"/>
  <c r="I379" i="16"/>
  <c r="I378" i="16"/>
  <c r="I377" i="16"/>
  <c r="I376" i="16"/>
  <c r="I375" i="16"/>
  <c r="I374" i="16"/>
  <c r="I373" i="16"/>
  <c r="I370" i="16"/>
  <c r="I369" i="16"/>
  <c r="I368" i="16"/>
  <c r="I367" i="16"/>
  <c r="I366" i="16"/>
  <c r="I365" i="16"/>
  <c r="I362" i="16"/>
  <c r="I361" i="16"/>
  <c r="I360" i="16"/>
  <c r="I357" i="16"/>
  <c r="I356" i="16"/>
  <c r="I355" i="16"/>
  <c r="I354" i="16"/>
  <c r="I353" i="16"/>
  <c r="I348" i="16"/>
  <c r="I343" i="16"/>
  <c r="I336" i="16"/>
  <c r="I335" i="16"/>
  <c r="I325" i="16"/>
  <c r="I324" i="16"/>
  <c r="I317" i="16"/>
  <c r="I306" i="16"/>
  <c r="I305" i="16"/>
  <c r="I304" i="16"/>
  <c r="I303" i="16"/>
  <c r="I302" i="16"/>
  <c r="I301" i="16"/>
  <c r="I300" i="16"/>
  <c r="I299" i="16"/>
  <c r="I298" i="16"/>
  <c r="I297" i="16"/>
  <c r="I296" i="16"/>
  <c r="I295" i="16"/>
  <c r="I294" i="16"/>
  <c r="I293" i="16"/>
  <c r="I292" i="16"/>
  <c r="I291" i="16"/>
  <c r="I290" i="16"/>
  <c r="I289" i="16"/>
  <c r="I287" i="16"/>
  <c r="I286" i="16"/>
  <c r="I285" i="16"/>
  <c r="I284" i="16"/>
  <c r="I283" i="16"/>
  <c r="I282" i="16"/>
  <c r="I281" i="16"/>
  <c r="I280" i="16"/>
  <c r="I279" i="16"/>
  <c r="I278" i="16"/>
  <c r="I277" i="16"/>
  <c r="I275" i="16"/>
  <c r="I274" i="16"/>
  <c r="I273" i="16"/>
  <c r="I272" i="16"/>
  <c r="I271" i="16"/>
  <c r="I270" i="16"/>
  <c r="I268" i="16"/>
  <c r="I267" i="16"/>
  <c r="I266" i="16"/>
  <c r="I265" i="16"/>
  <c r="I264" i="16"/>
  <c r="I263" i="16"/>
  <c r="I262" i="16"/>
  <c r="I261" i="16"/>
  <c r="I260" i="16"/>
  <c r="I259" i="16"/>
  <c r="I256" i="16"/>
  <c r="I255" i="16"/>
  <c r="I254" i="16"/>
  <c r="I252" i="16"/>
  <c r="I251" i="16"/>
  <c r="I250" i="16"/>
  <c r="I249" i="16"/>
  <c r="I248" i="16"/>
  <c r="I247" i="16"/>
  <c r="I246" i="16"/>
  <c r="I245" i="16"/>
  <c r="I244" i="16"/>
  <c r="I243" i="16"/>
  <c r="I242" i="16"/>
  <c r="I240" i="16"/>
  <c r="I237" i="16"/>
  <c r="I236" i="16"/>
  <c r="I235" i="16"/>
  <c r="I234" i="16"/>
  <c r="I233" i="16"/>
  <c r="I232" i="16"/>
  <c r="I231" i="16"/>
  <c r="I230" i="16"/>
  <c r="I229" i="16"/>
  <c r="I228" i="16"/>
  <c r="I225" i="16"/>
  <c r="I224" i="16"/>
  <c r="I223" i="16"/>
  <c r="I222" i="16"/>
  <c r="I221" i="16"/>
  <c r="I220" i="16"/>
  <c r="I219" i="16"/>
  <c r="I218" i="16"/>
  <c r="I217" i="16"/>
  <c r="I216" i="16"/>
  <c r="I215" i="16"/>
  <c r="I213" i="16"/>
  <c r="I211" i="16"/>
  <c r="I209" i="16"/>
  <c r="I208" i="16"/>
  <c r="I207" i="16"/>
  <c r="I206" i="16"/>
  <c r="I205" i="16"/>
  <c r="I204" i="16"/>
  <c r="I201" i="16"/>
  <c r="I199" i="16"/>
  <c r="I196" i="16"/>
  <c r="I195" i="16"/>
  <c r="I194" i="16"/>
  <c r="I193" i="16"/>
  <c r="I192" i="16"/>
  <c r="I190" i="16"/>
  <c r="I189" i="16"/>
  <c r="I182" i="16"/>
  <c r="I181" i="16"/>
  <c r="I180" i="16"/>
  <c r="I179" i="16"/>
  <c r="I178" i="16"/>
  <c r="I176" i="16"/>
  <c r="I175" i="16"/>
  <c r="I174" i="16"/>
  <c r="I173" i="16"/>
  <c r="I170" i="16"/>
  <c r="I169" i="16"/>
  <c r="I168" i="16"/>
  <c r="I167" i="16"/>
  <c r="I165" i="16"/>
  <c r="I164" i="16"/>
  <c r="I161" i="16"/>
  <c r="I160" i="16"/>
  <c r="I158" i="16"/>
  <c r="I152" i="16"/>
  <c r="I149" i="16"/>
  <c r="I148" i="16"/>
  <c r="I146" i="16"/>
  <c r="I142" i="16"/>
  <c r="I139" i="16"/>
  <c r="I138" i="16"/>
  <c r="I135" i="16"/>
  <c r="I134" i="16"/>
  <c r="I132" i="16"/>
  <c r="I128" i="16"/>
  <c r="I126" i="16"/>
  <c r="I124" i="16"/>
  <c r="I123" i="16"/>
  <c r="I122" i="16"/>
  <c r="I121" i="16"/>
  <c r="I120" i="16"/>
  <c r="I119" i="16"/>
  <c r="I118" i="16"/>
  <c r="I116" i="16"/>
  <c r="I115" i="16"/>
  <c r="I114" i="16"/>
  <c r="I112" i="16"/>
  <c r="I111" i="16"/>
  <c r="I102" i="16"/>
  <c r="I95" i="16"/>
  <c r="I92" i="16"/>
  <c r="I89" i="16"/>
  <c r="I88" i="16"/>
  <c r="I86" i="16"/>
  <c r="I85" i="16"/>
  <c r="I83" i="16"/>
  <c r="I80" i="16"/>
  <c r="I79" i="16"/>
  <c r="I78" i="16"/>
  <c r="I74" i="16"/>
  <c r="I73" i="16"/>
  <c r="I71" i="16"/>
  <c r="I68" i="16"/>
  <c r="I67" i="16"/>
  <c r="I62" i="16"/>
  <c r="I61" i="16"/>
  <c r="I60" i="16"/>
  <c r="I59" i="16"/>
  <c r="I58" i="16"/>
  <c r="I57" i="16"/>
  <c r="I55" i="16"/>
  <c r="I53" i="16"/>
  <c r="I52" i="16"/>
  <c r="I51" i="16"/>
  <c r="I50" i="16"/>
  <c r="I49" i="16"/>
  <c r="I48" i="16"/>
  <c r="I47" i="16"/>
  <c r="I46" i="16"/>
  <c r="I45" i="16"/>
  <c r="I43" i="16"/>
  <c r="I42" i="16"/>
  <c r="I41" i="16"/>
  <c r="I40" i="16"/>
  <c r="I39" i="16"/>
  <c r="I38" i="16"/>
  <c r="I37" i="16"/>
  <c r="I36" i="16"/>
  <c r="I35" i="16"/>
  <c r="I34" i="16"/>
  <c r="I33" i="16"/>
  <c r="I31" i="16"/>
  <c r="I30" i="16"/>
  <c r="I29" i="16"/>
  <c r="I28" i="16"/>
  <c r="I27" i="16"/>
  <c r="I26" i="16"/>
  <c r="I24" i="16"/>
  <c r="I23" i="16"/>
  <c r="I22" i="16"/>
  <c r="I21" i="16"/>
  <c r="I19" i="16"/>
  <c r="I18" i="16"/>
  <c r="I17" i="16"/>
  <c r="I15" i="16"/>
  <c r="I14" i="16"/>
  <c r="I12" i="16"/>
  <c r="I11" i="16"/>
  <c r="I10" i="16"/>
  <c r="I9" i="16"/>
  <c r="M634" i="21"/>
  <c r="M559" i="21"/>
  <c r="M636" i="21"/>
  <c r="N636" i="21" s="1"/>
  <c r="M568" i="21"/>
  <c r="N568" i="21" s="1"/>
  <c r="K25" i="21"/>
  <c r="M655" i="21"/>
  <c r="N655" i="21" s="1"/>
  <c r="M598" i="21"/>
  <c r="M564" i="21"/>
  <c r="N564" i="21" s="1"/>
  <c r="M554" i="21"/>
  <c r="K19" i="21"/>
  <c r="M572" i="21"/>
  <c r="N572" i="21" s="1"/>
  <c r="M546" i="21"/>
  <c r="M608" i="21"/>
  <c r="M534" i="21"/>
  <c r="M575" i="21"/>
  <c r="N575" i="21" s="1"/>
  <c r="M583" i="21"/>
  <c r="N583" i="21" s="1"/>
  <c r="M656" i="21"/>
  <c r="K26" i="21"/>
  <c r="O26" i="21"/>
  <c r="P26" i="21" s="1"/>
  <c r="O25" i="21"/>
  <c r="P25" i="21" s="1"/>
  <c r="O33" i="21"/>
  <c r="M524" i="21"/>
  <c r="N524" i="21" s="1"/>
  <c r="M586" i="21"/>
  <c r="M628" i="21"/>
  <c r="M612" i="21"/>
  <c r="K12" i="21"/>
  <c r="K24" i="21"/>
  <c r="M631" i="21"/>
  <c r="M567" i="21"/>
  <c r="N567" i="21" s="1"/>
  <c r="M562" i="21"/>
  <c r="M644" i="21"/>
  <c r="N644" i="21" s="1"/>
  <c r="M551" i="21"/>
  <c r="N551" i="21" s="1"/>
  <c r="M640" i="21"/>
  <c r="N640" i="21" s="1"/>
  <c r="M580" i="21"/>
  <c r="M527" i="21"/>
  <c r="N527" i="21" s="1"/>
  <c r="M574" i="21"/>
  <c r="N574" i="21" s="1"/>
  <c r="M588" i="21"/>
  <c r="N588" i="21" s="1"/>
  <c r="M614" i="21"/>
  <c r="N614" i="21" s="1"/>
  <c r="M668" i="21"/>
  <c r="M590" i="21"/>
  <c r="N590" i="21" s="1"/>
  <c r="M610" i="21"/>
  <c r="M570" i="21"/>
  <c r="M519" i="21"/>
  <c r="M592" i="21"/>
  <c r="N592" i="21" s="1"/>
  <c r="M528" i="21"/>
  <c r="N528" i="21" s="1"/>
  <c r="M670" i="21"/>
  <c r="N670" i="21" s="1"/>
  <c r="M535" i="21"/>
  <c r="M542" i="21"/>
  <c r="M606" i="21"/>
  <c r="N606" i="21" s="1"/>
  <c r="M544" i="21"/>
  <c r="M666" i="21"/>
  <c r="N666" i="21" s="1"/>
  <c r="M584" i="21"/>
  <c r="M540" i="21"/>
  <c r="M552" i="21"/>
  <c r="M649" i="21"/>
  <c r="M538" i="21"/>
  <c r="M581" i="21"/>
  <c r="M602" i="21"/>
  <c r="M624" i="21"/>
  <c r="M536" i="21"/>
  <c r="N536" i="21" s="1"/>
  <c r="M676" i="21"/>
  <c r="N676" i="21" s="1"/>
  <c r="M646" i="21"/>
  <c r="N646" i="21" s="1"/>
  <c r="M652" i="21"/>
  <c r="N652" i="21" s="1"/>
  <c r="M591" i="21"/>
  <c r="N591" i="21" s="1"/>
  <c r="M638" i="21"/>
  <c r="N638" i="21" s="1"/>
  <c r="O19" i="21"/>
  <c r="P19" i="21" s="1"/>
  <c r="M560" i="21"/>
  <c r="N560" i="21" s="1"/>
  <c r="M601" i="21"/>
  <c r="N601" i="21" s="1"/>
  <c r="M582" i="21"/>
  <c r="N582" i="21" s="1"/>
  <c r="M600" i="21"/>
  <c r="M550" i="21"/>
  <c r="K16" i="21"/>
  <c r="M642" i="21"/>
  <c r="K11" i="21"/>
  <c r="O11" i="21"/>
  <c r="P11" i="21" s="1"/>
  <c r="M526" i="21"/>
  <c r="O18" i="21"/>
  <c r="P18" i="21" s="1"/>
  <c r="K18" i="21"/>
  <c r="K29" i="21"/>
  <c r="O29" i="21"/>
  <c r="P29" i="21" s="1"/>
  <c r="K15" i="21"/>
  <c r="O15" i="21"/>
  <c r="P15" i="21" s="1"/>
  <c r="K27" i="21"/>
  <c r="O27" i="21"/>
  <c r="P27" i="21" s="1"/>
  <c r="M597" i="21"/>
  <c r="N597" i="21" s="1"/>
  <c r="M576" i="21"/>
  <c r="N576" i="21" s="1"/>
  <c r="K22" i="21"/>
  <c r="K23" i="21"/>
  <c r="O23" i="21"/>
  <c r="P23" i="21" s="1"/>
  <c r="M548" i="21"/>
  <c r="N548" i="21" s="1"/>
  <c r="K34" i="21"/>
  <c r="O34" i="21"/>
  <c r="P34" i="21" s="1"/>
  <c r="M660" i="21"/>
  <c r="N660" i="21" s="1"/>
  <c r="M662" i="21"/>
  <c r="N662" i="21" s="1"/>
  <c r="M625" i="21"/>
  <c r="N625" i="21" s="1"/>
  <c r="M566" i="21"/>
  <c r="N566" i="21" s="1"/>
  <c r="M664" i="21"/>
  <c r="N664" i="21" s="1"/>
  <c r="M620" i="21"/>
  <c r="N620" i="21" s="1"/>
  <c r="M641" i="21"/>
  <c r="O21" i="21"/>
  <c r="P21" i="21" s="1"/>
  <c r="K21" i="21"/>
  <c r="O35" i="21"/>
  <c r="P35" i="21" s="1"/>
  <c r="K35" i="21"/>
  <c r="M522" i="21"/>
  <c r="M609" i="21"/>
  <c r="N609" i="21" s="1"/>
  <c r="K30" i="21"/>
  <c r="M680" i="21"/>
  <c r="N680" i="21" s="1"/>
  <c r="M622" i="21"/>
  <c r="N622" i="21" s="1"/>
  <c r="M517" i="21"/>
  <c r="N517" i="21" s="1"/>
  <c r="M556" i="21"/>
  <c r="N556" i="21" s="1"/>
  <c r="M530" i="21"/>
  <c r="N530" i="21" s="1"/>
  <c r="M617" i="21"/>
  <c r="N617" i="21" s="1"/>
  <c r="M679" i="21"/>
  <c r="N679" i="21" s="1"/>
  <c r="M558" i="21"/>
  <c r="N558" i="21" s="1"/>
  <c r="M648" i="21"/>
  <c r="N648" i="21" s="1"/>
  <c r="M665" i="21"/>
  <c r="N665" i="21" s="1"/>
  <c r="O7" i="21"/>
  <c r="P7" i="21" s="1"/>
  <c r="P6" i="21" s="1"/>
  <c r="K7" i="21"/>
  <c r="K6" i="21" s="1"/>
  <c r="M674" i="21"/>
  <c r="N674" i="21" s="1"/>
  <c r="M578" i="21"/>
  <c r="N578" i="21" s="1"/>
  <c r="K32" i="21"/>
  <c r="M518" i="21"/>
  <c r="N518" i="21" s="1"/>
  <c r="K20" i="21"/>
  <c r="O20" i="21"/>
  <c r="P20" i="21" s="1"/>
  <c r="K17" i="21"/>
  <c r="O17" i="21"/>
  <c r="P17" i="21" s="1"/>
  <c r="O28" i="21"/>
  <c r="P28" i="21" s="1"/>
  <c r="K28" i="21"/>
  <c r="M632" i="21"/>
  <c r="M650" i="21"/>
  <c r="N650" i="21" s="1"/>
  <c r="M658" i="21"/>
  <c r="N658" i="21" s="1"/>
  <c r="M543" i="21"/>
  <c r="M532" i="21"/>
  <c r="L36" i="21" l="1"/>
  <c r="L13" i="21"/>
  <c r="L10" i="21"/>
  <c r="O10" i="21" s="1"/>
  <c r="P10" i="21" s="1"/>
  <c r="L509" i="21"/>
  <c r="O509" i="21" s="1"/>
  <c r="P509" i="21" s="1"/>
  <c r="L501" i="21"/>
  <c r="O501" i="21" s="1"/>
  <c r="P501" i="21" s="1"/>
  <c r="L493" i="21"/>
  <c r="L485" i="21"/>
  <c r="O485" i="21" s="1"/>
  <c r="P485" i="21" s="1"/>
  <c r="L477" i="21"/>
  <c r="L469" i="21"/>
  <c r="O469" i="21" s="1"/>
  <c r="P469" i="21" s="1"/>
  <c r="L461" i="21"/>
  <c r="O461" i="21" s="1"/>
  <c r="P461" i="21" s="1"/>
  <c r="L453" i="21"/>
  <c r="O453" i="21" s="1"/>
  <c r="P453" i="21" s="1"/>
  <c r="L445" i="21"/>
  <c r="L437" i="21"/>
  <c r="O437" i="21" s="1"/>
  <c r="P437" i="21" s="1"/>
  <c r="L429" i="21"/>
  <c r="L421" i="21"/>
  <c r="O421" i="21" s="1"/>
  <c r="P421" i="21" s="1"/>
  <c r="L413" i="21"/>
  <c r="O413" i="21" s="1"/>
  <c r="P413" i="21" s="1"/>
  <c r="L405" i="21"/>
  <c r="O405" i="21" s="1"/>
  <c r="P405" i="21" s="1"/>
  <c r="L397" i="21"/>
  <c r="L389" i="21"/>
  <c r="L381" i="21"/>
  <c r="L373" i="21"/>
  <c r="L365" i="21"/>
  <c r="L357" i="21"/>
  <c r="O357" i="21" s="1"/>
  <c r="P357" i="21" s="1"/>
  <c r="L349" i="21"/>
  <c r="L341" i="21"/>
  <c r="L333" i="21"/>
  <c r="L325" i="21"/>
  <c r="O325" i="21" s="1"/>
  <c r="P325" i="21" s="1"/>
  <c r="L317" i="21"/>
  <c r="O317" i="21" s="1"/>
  <c r="P317" i="21" s="1"/>
  <c r="L309" i="21"/>
  <c r="O309" i="21" s="1"/>
  <c r="P309" i="21" s="1"/>
  <c r="L301" i="21"/>
  <c r="O301" i="21" s="1"/>
  <c r="P301" i="21" s="1"/>
  <c r="L293" i="21"/>
  <c r="O293" i="21" s="1"/>
  <c r="P293" i="21" s="1"/>
  <c r="L514" i="21"/>
  <c r="O514" i="21" s="1"/>
  <c r="P514" i="21" s="1"/>
  <c r="L506" i="21"/>
  <c r="O506" i="21" s="1"/>
  <c r="P506" i="21" s="1"/>
  <c r="L498" i="21"/>
  <c r="O498" i="21" s="1"/>
  <c r="P498" i="21" s="1"/>
  <c r="L490" i="21"/>
  <c r="O490" i="21" s="1"/>
  <c r="P490" i="21" s="1"/>
  <c r="L482" i="21"/>
  <c r="O482" i="21" s="1"/>
  <c r="P482" i="21" s="1"/>
  <c r="L474" i="21"/>
  <c r="L466" i="21"/>
  <c r="O466" i="21" s="1"/>
  <c r="P466" i="21" s="1"/>
  <c r="L458" i="21"/>
  <c r="L450" i="21"/>
  <c r="L442" i="21"/>
  <c r="L434" i="21"/>
  <c r="O434" i="21" s="1"/>
  <c r="P434" i="21" s="1"/>
  <c r="L426" i="21"/>
  <c r="O426" i="21" s="1"/>
  <c r="P426" i="21" s="1"/>
  <c r="L418" i="21"/>
  <c r="O418" i="21" s="1"/>
  <c r="P418" i="21" s="1"/>
  <c r="L410" i="21"/>
  <c r="L402" i="21"/>
  <c r="L394" i="21"/>
  <c r="L386" i="21"/>
  <c r="L378" i="21"/>
  <c r="L370" i="21"/>
  <c r="L362" i="21"/>
  <c r="L354" i="21"/>
  <c r="L346" i="21"/>
  <c r="L338" i="21"/>
  <c r="L330" i="21"/>
  <c r="L322" i="21"/>
  <c r="O322" i="21" s="1"/>
  <c r="P322" i="21" s="1"/>
  <c r="L314" i="21"/>
  <c r="O314" i="21" s="1"/>
  <c r="P314" i="21" s="1"/>
  <c r="L306" i="21"/>
  <c r="O306" i="21" s="1"/>
  <c r="P306" i="21" s="1"/>
  <c r="L298" i="21"/>
  <c r="O298" i="21" s="1"/>
  <c r="P298" i="21" s="1"/>
  <c r="L290" i="21"/>
  <c r="O290" i="21" s="1"/>
  <c r="P290" i="21" s="1"/>
  <c r="L282" i="21"/>
  <c r="O282" i="21" s="1"/>
  <c r="P282" i="21" s="1"/>
  <c r="L274" i="21"/>
  <c r="L266" i="21"/>
  <c r="O266" i="21" s="1"/>
  <c r="P266" i="21" s="1"/>
  <c r="L258" i="21"/>
  <c r="O258" i="21" s="1"/>
  <c r="P258" i="21" s="1"/>
  <c r="L250" i="21"/>
  <c r="O250" i="21" s="1"/>
  <c r="P250" i="21" s="1"/>
  <c r="L242" i="21"/>
  <c r="L234" i="21"/>
  <c r="O234" i="21" s="1"/>
  <c r="P234" i="21" s="1"/>
  <c r="L226" i="21"/>
  <c r="O226" i="21" s="1"/>
  <c r="P226" i="21" s="1"/>
  <c r="L218" i="21"/>
  <c r="L210" i="21"/>
  <c r="O210" i="21" s="1"/>
  <c r="P210" i="21" s="1"/>
  <c r="L202" i="21"/>
  <c r="O202" i="21" s="1"/>
  <c r="P202" i="21" s="1"/>
  <c r="L194" i="21"/>
  <c r="O194" i="21" s="1"/>
  <c r="P194" i="21" s="1"/>
  <c r="L186" i="21"/>
  <c r="O186" i="21" s="1"/>
  <c r="P186" i="21" s="1"/>
  <c r="L178" i="21"/>
  <c r="O178" i="21" s="1"/>
  <c r="P178" i="21" s="1"/>
  <c r="L170" i="21"/>
  <c r="O170" i="21" s="1"/>
  <c r="P170" i="21" s="1"/>
  <c r="L162" i="21"/>
  <c r="O162" i="21" s="1"/>
  <c r="P162" i="21" s="1"/>
  <c r="L154" i="21"/>
  <c r="O154" i="21" s="1"/>
  <c r="P154" i="21" s="1"/>
  <c r="L146" i="21"/>
  <c r="O146" i="21" s="1"/>
  <c r="P146" i="21" s="1"/>
  <c r="L138" i="21"/>
  <c r="O138" i="21" s="1"/>
  <c r="P138" i="21" s="1"/>
  <c r="L130" i="21"/>
  <c r="O130" i="21" s="1"/>
  <c r="P130" i="21" s="1"/>
  <c r="L122" i="21"/>
  <c r="O122" i="21" s="1"/>
  <c r="P122" i="21" s="1"/>
  <c r="L114" i="21"/>
  <c r="O114" i="21" s="1"/>
  <c r="P114" i="21" s="1"/>
  <c r="L106" i="21"/>
  <c r="O106" i="21" s="1"/>
  <c r="P106" i="21" s="1"/>
  <c r="L98" i="21"/>
  <c r="O98" i="21" s="1"/>
  <c r="P98" i="21" s="1"/>
  <c r="L90" i="21"/>
  <c r="O90" i="21" s="1"/>
  <c r="P90" i="21" s="1"/>
  <c r="L82" i="21"/>
  <c r="O82" i="21" s="1"/>
  <c r="P82" i="21" s="1"/>
  <c r="L74" i="21"/>
  <c r="O74" i="21" s="1"/>
  <c r="P74" i="21" s="1"/>
  <c r="L66" i="21"/>
  <c r="O66" i="21" s="1"/>
  <c r="P66" i="21" s="1"/>
  <c r="L58" i="21"/>
  <c r="O58" i="21" s="1"/>
  <c r="P58" i="21" s="1"/>
  <c r="L50" i="21"/>
  <c r="O50" i="21" s="1"/>
  <c r="P50" i="21" s="1"/>
  <c r="L42" i="21"/>
  <c r="O42" i="21" s="1"/>
  <c r="P42" i="21" s="1"/>
  <c r="L505" i="21"/>
  <c r="O505" i="21" s="1"/>
  <c r="P505" i="21" s="1"/>
  <c r="L473" i="21"/>
  <c r="O473" i="21" s="1"/>
  <c r="P473" i="21" s="1"/>
  <c r="L457" i="21"/>
  <c r="L441" i="21"/>
  <c r="O441" i="21" s="1"/>
  <c r="P441" i="21" s="1"/>
  <c r="L425" i="21"/>
  <c r="O425" i="21" s="1"/>
  <c r="P425" i="21" s="1"/>
  <c r="L409" i="21"/>
  <c r="O409" i="21" s="1"/>
  <c r="P409" i="21" s="1"/>
  <c r="L393" i="21"/>
  <c r="L377" i="21"/>
  <c r="L361" i="21"/>
  <c r="L345" i="21"/>
  <c r="L321" i="21"/>
  <c r="O321" i="21" s="1"/>
  <c r="P321" i="21" s="1"/>
  <c r="L305" i="21"/>
  <c r="O305" i="21" s="1"/>
  <c r="P305" i="21" s="1"/>
  <c r="L289" i="21"/>
  <c r="O289" i="21" s="1"/>
  <c r="P289" i="21" s="1"/>
  <c r="L273" i="21"/>
  <c r="L249" i="21"/>
  <c r="L225" i="21"/>
  <c r="O225" i="21" s="1"/>
  <c r="P225" i="21" s="1"/>
  <c r="L209" i="21"/>
  <c r="L513" i="21"/>
  <c r="O513" i="21" s="1"/>
  <c r="P513" i="21" s="1"/>
  <c r="L497" i="21"/>
  <c r="L489" i="21"/>
  <c r="O489" i="21" s="1"/>
  <c r="P489" i="21" s="1"/>
  <c r="L481" i="21"/>
  <c r="L465" i="21"/>
  <c r="L449" i="21"/>
  <c r="L433" i="21"/>
  <c r="O433" i="21" s="1"/>
  <c r="P433" i="21" s="1"/>
  <c r="L417" i="21"/>
  <c r="O417" i="21" s="1"/>
  <c r="P417" i="21" s="1"/>
  <c r="L401" i="21"/>
  <c r="L385" i="21"/>
  <c r="L369" i="21"/>
  <c r="O369" i="21" s="1"/>
  <c r="P369" i="21" s="1"/>
  <c r="L353" i="21"/>
  <c r="L337" i="21"/>
  <c r="L329" i="21"/>
  <c r="L313" i="21"/>
  <c r="O313" i="21" s="1"/>
  <c r="P313" i="21" s="1"/>
  <c r="L297" i="21"/>
  <c r="O297" i="21" s="1"/>
  <c r="P297" i="21" s="1"/>
  <c r="L281" i="21"/>
  <c r="O281" i="21" s="1"/>
  <c r="P281" i="21" s="1"/>
  <c r="L265" i="21"/>
  <c r="L257" i="21"/>
  <c r="O257" i="21" s="1"/>
  <c r="P257" i="21" s="1"/>
  <c r="L241" i="21"/>
  <c r="O241" i="21" s="1"/>
  <c r="P241" i="21" s="1"/>
  <c r="L233" i="21"/>
  <c r="O233" i="21" s="1"/>
  <c r="P233" i="21" s="1"/>
  <c r="L217" i="21"/>
  <c r="O217" i="21" s="1"/>
  <c r="P217" i="21" s="1"/>
  <c r="L201" i="21"/>
  <c r="O201" i="21" s="1"/>
  <c r="P201" i="21" s="1"/>
  <c r="L193" i="21"/>
  <c r="O193" i="21" s="1"/>
  <c r="P193" i="21" s="1"/>
  <c r="L512" i="21"/>
  <c r="O512" i="21" s="1"/>
  <c r="P512" i="21" s="1"/>
  <c r="L504" i="21"/>
  <c r="O504" i="21" s="1"/>
  <c r="P504" i="21" s="1"/>
  <c r="L496" i="21"/>
  <c r="O496" i="21" s="1"/>
  <c r="P496" i="21" s="1"/>
  <c r="L488" i="21"/>
  <c r="O488" i="21" s="1"/>
  <c r="P488" i="21" s="1"/>
  <c r="L480" i="21"/>
  <c r="L472" i="21"/>
  <c r="L464" i="21"/>
  <c r="L456" i="21"/>
  <c r="L448" i="21"/>
  <c r="L440" i="21"/>
  <c r="O440" i="21" s="1"/>
  <c r="P440" i="21" s="1"/>
  <c r="L432" i="21"/>
  <c r="O432" i="21" s="1"/>
  <c r="P432" i="21" s="1"/>
  <c r="L424" i="21"/>
  <c r="O424" i="21" s="1"/>
  <c r="P424" i="21" s="1"/>
  <c r="L416" i="21"/>
  <c r="L408" i="21"/>
  <c r="O408" i="21" s="1"/>
  <c r="P408" i="21" s="1"/>
  <c r="L400" i="21"/>
  <c r="L392" i="21"/>
  <c r="L384" i="21"/>
  <c r="O384" i="21" s="1"/>
  <c r="P384" i="21" s="1"/>
  <c r="L376" i="21"/>
  <c r="L368" i="21"/>
  <c r="L360" i="21"/>
  <c r="L352" i="21"/>
  <c r="L344" i="21"/>
  <c r="L336" i="21"/>
  <c r="O336" i="21" s="1"/>
  <c r="P336" i="21" s="1"/>
  <c r="L328" i="21"/>
  <c r="L320" i="21"/>
  <c r="O320" i="21" s="1"/>
  <c r="P320" i="21" s="1"/>
  <c r="L312" i="21"/>
  <c r="O312" i="21" s="1"/>
  <c r="P312" i="21" s="1"/>
  <c r="L304" i="21"/>
  <c r="O304" i="21" s="1"/>
  <c r="P304" i="21" s="1"/>
  <c r="L296" i="21"/>
  <c r="O296" i="21" s="1"/>
  <c r="P296" i="21" s="1"/>
  <c r="L288" i="21"/>
  <c r="L280" i="21"/>
  <c r="L272" i="21"/>
  <c r="L264" i="21"/>
  <c r="O264" i="21" s="1"/>
  <c r="P264" i="21" s="1"/>
  <c r="L256" i="21"/>
  <c r="O256" i="21" s="1"/>
  <c r="P256" i="21" s="1"/>
  <c r="L248" i="21"/>
  <c r="O248" i="21" s="1"/>
  <c r="P248" i="21" s="1"/>
  <c r="L240" i="21"/>
  <c r="O240" i="21" s="1"/>
  <c r="P240" i="21" s="1"/>
  <c r="L232" i="21"/>
  <c r="O232" i="21" s="1"/>
  <c r="P232" i="21" s="1"/>
  <c r="L224" i="21"/>
  <c r="O224" i="21" s="1"/>
  <c r="P224" i="21" s="1"/>
  <c r="L216" i="21"/>
  <c r="O216" i="21" s="1"/>
  <c r="P216" i="21" s="1"/>
  <c r="L208" i="21"/>
  <c r="L200" i="21"/>
  <c r="L192" i="21"/>
  <c r="O192" i="21" s="1"/>
  <c r="P192" i="21" s="1"/>
  <c r="L184" i="21"/>
  <c r="O184" i="21" s="1"/>
  <c r="P184" i="21" s="1"/>
  <c r="L176" i="21"/>
  <c r="O176" i="21" s="1"/>
  <c r="P176" i="21" s="1"/>
  <c r="L168" i="21"/>
  <c r="O168" i="21" s="1"/>
  <c r="P168" i="21" s="1"/>
  <c r="L160" i="21"/>
  <c r="O160" i="21" s="1"/>
  <c r="P160" i="21" s="1"/>
  <c r="L152" i="21"/>
  <c r="O152" i="21" s="1"/>
  <c r="P152" i="21" s="1"/>
  <c r="L144" i="21"/>
  <c r="L136" i="21"/>
  <c r="O136" i="21" s="1"/>
  <c r="P136" i="21" s="1"/>
  <c r="L128" i="21"/>
  <c r="O128" i="21" s="1"/>
  <c r="P128" i="21" s="1"/>
  <c r="L120" i="21"/>
  <c r="O120" i="21" s="1"/>
  <c r="P120" i="21" s="1"/>
  <c r="L112" i="21"/>
  <c r="L104" i="21"/>
  <c r="O104" i="21" s="1"/>
  <c r="P104" i="21" s="1"/>
  <c r="L96" i="21"/>
  <c r="O96" i="21" s="1"/>
  <c r="P96" i="21" s="1"/>
  <c r="L88" i="21"/>
  <c r="O88" i="21" s="1"/>
  <c r="P88" i="21" s="1"/>
  <c r="L80" i="21"/>
  <c r="L72" i="21"/>
  <c r="O72" i="21" s="1"/>
  <c r="P72" i="21" s="1"/>
  <c r="L64" i="21"/>
  <c r="O64" i="21" s="1"/>
  <c r="P64" i="21" s="1"/>
  <c r="L56" i="21"/>
  <c r="O56" i="21" s="1"/>
  <c r="P56" i="21" s="1"/>
  <c r="L48" i="21"/>
  <c r="O48" i="21" s="1"/>
  <c r="P48" i="21" s="1"/>
  <c r="L40" i="21"/>
  <c r="O40" i="21" s="1"/>
  <c r="P40" i="21" s="1"/>
  <c r="L502" i="21"/>
  <c r="O502" i="21" s="1"/>
  <c r="P502" i="21" s="1"/>
  <c r="L470" i="21"/>
  <c r="L446" i="21"/>
  <c r="L430" i="21"/>
  <c r="O430" i="21" s="1"/>
  <c r="P430" i="21" s="1"/>
  <c r="L414" i="21"/>
  <c r="L398" i="21"/>
  <c r="L382" i="21"/>
  <c r="L366" i="21"/>
  <c r="L350" i="21"/>
  <c r="L334" i="21"/>
  <c r="L318" i="21"/>
  <c r="O318" i="21" s="1"/>
  <c r="P318" i="21" s="1"/>
  <c r="L302" i="21"/>
  <c r="O302" i="21" s="1"/>
  <c r="P302" i="21" s="1"/>
  <c r="L286" i="21"/>
  <c r="O286" i="21" s="1"/>
  <c r="P286" i="21" s="1"/>
  <c r="L270" i="21"/>
  <c r="O270" i="21" s="1"/>
  <c r="P270" i="21" s="1"/>
  <c r="L254" i="21"/>
  <c r="O254" i="21" s="1"/>
  <c r="P254" i="21" s="1"/>
  <c r="L238" i="21"/>
  <c r="O238" i="21" s="1"/>
  <c r="P238" i="21" s="1"/>
  <c r="L222" i="21"/>
  <c r="L214" i="21"/>
  <c r="L198" i="21"/>
  <c r="O198" i="21" s="1"/>
  <c r="P198" i="21" s="1"/>
  <c r="L182" i="21"/>
  <c r="O182" i="21" s="1"/>
  <c r="P182" i="21" s="1"/>
  <c r="L166" i="21"/>
  <c r="O166" i="21" s="1"/>
  <c r="P166" i="21" s="1"/>
  <c r="L150" i="21"/>
  <c r="O150" i="21" s="1"/>
  <c r="P150" i="21" s="1"/>
  <c r="L134" i="21"/>
  <c r="O134" i="21" s="1"/>
  <c r="P134" i="21" s="1"/>
  <c r="L118" i="21"/>
  <c r="O118" i="21" s="1"/>
  <c r="P118" i="21" s="1"/>
  <c r="L102" i="21"/>
  <c r="O102" i="21" s="1"/>
  <c r="P102" i="21" s="1"/>
  <c r="L511" i="21"/>
  <c r="O511" i="21" s="1"/>
  <c r="P511" i="21" s="1"/>
  <c r="L503" i="21"/>
  <c r="L495" i="21"/>
  <c r="O495" i="21" s="1"/>
  <c r="P495" i="21" s="1"/>
  <c r="L487" i="21"/>
  <c r="O487" i="21" s="1"/>
  <c r="P487" i="21" s="1"/>
  <c r="L479" i="21"/>
  <c r="O479" i="21" s="1"/>
  <c r="P479" i="21" s="1"/>
  <c r="L471" i="21"/>
  <c r="L463" i="21"/>
  <c r="L455" i="21"/>
  <c r="O455" i="21" s="1"/>
  <c r="P455" i="21" s="1"/>
  <c r="L447" i="21"/>
  <c r="L439" i="21"/>
  <c r="O439" i="21" s="1"/>
  <c r="P439" i="21" s="1"/>
  <c r="L431" i="21"/>
  <c r="O431" i="21" s="1"/>
  <c r="P431" i="21" s="1"/>
  <c r="L423" i="21"/>
  <c r="O423" i="21" s="1"/>
  <c r="P423" i="21" s="1"/>
  <c r="L415" i="21"/>
  <c r="O415" i="21" s="1"/>
  <c r="P415" i="21" s="1"/>
  <c r="L407" i="21"/>
  <c r="O407" i="21" s="1"/>
  <c r="P407" i="21" s="1"/>
  <c r="L399" i="21"/>
  <c r="L391" i="21"/>
  <c r="L383" i="21"/>
  <c r="L375" i="21"/>
  <c r="L367" i="21"/>
  <c r="L359" i="21"/>
  <c r="L351" i="21"/>
  <c r="L343" i="21"/>
  <c r="L335" i="21"/>
  <c r="L327" i="21"/>
  <c r="O327" i="21" s="1"/>
  <c r="P327" i="21" s="1"/>
  <c r="L319" i="21"/>
  <c r="O319" i="21" s="1"/>
  <c r="P319" i="21" s="1"/>
  <c r="L311" i="21"/>
  <c r="O311" i="21" s="1"/>
  <c r="P311" i="21" s="1"/>
  <c r="L303" i="21"/>
  <c r="L295" i="21"/>
  <c r="O295" i="21" s="1"/>
  <c r="P295" i="21" s="1"/>
  <c r="L287" i="21"/>
  <c r="O287" i="21" s="1"/>
  <c r="P287" i="21" s="1"/>
  <c r="L279" i="21"/>
  <c r="O279" i="21" s="1"/>
  <c r="P279" i="21" s="1"/>
  <c r="L271" i="21"/>
  <c r="L263" i="21"/>
  <c r="O263" i="21" s="1"/>
  <c r="P263" i="21" s="1"/>
  <c r="L255" i="21"/>
  <c r="O255" i="21" s="1"/>
  <c r="P255" i="21" s="1"/>
  <c r="L247" i="21"/>
  <c r="O247" i="21" s="1"/>
  <c r="P247" i="21" s="1"/>
  <c r="L239" i="21"/>
  <c r="O239" i="21" s="1"/>
  <c r="P239" i="21" s="1"/>
  <c r="L231" i="21"/>
  <c r="O231" i="21" s="1"/>
  <c r="P231" i="21" s="1"/>
  <c r="L223" i="21"/>
  <c r="O223" i="21" s="1"/>
  <c r="P223" i="21" s="1"/>
  <c r="L215" i="21"/>
  <c r="O215" i="21" s="1"/>
  <c r="P215" i="21" s="1"/>
  <c r="L207" i="21"/>
  <c r="O207" i="21" s="1"/>
  <c r="P207" i="21" s="1"/>
  <c r="L199" i="21"/>
  <c r="L191" i="21"/>
  <c r="O191" i="21" s="1"/>
  <c r="P191" i="21" s="1"/>
  <c r="L183" i="21"/>
  <c r="O183" i="21" s="1"/>
  <c r="P183" i="21" s="1"/>
  <c r="L175" i="21"/>
  <c r="O175" i="21" s="1"/>
  <c r="P175" i="21" s="1"/>
  <c r="L167" i="21"/>
  <c r="O167" i="21" s="1"/>
  <c r="P167" i="21" s="1"/>
  <c r="L159" i="21"/>
  <c r="O159" i="21" s="1"/>
  <c r="P159" i="21" s="1"/>
  <c r="L151" i="21"/>
  <c r="O151" i="21" s="1"/>
  <c r="P151" i="21" s="1"/>
  <c r="L143" i="21"/>
  <c r="O143" i="21" s="1"/>
  <c r="P143" i="21" s="1"/>
  <c r="L135" i="21"/>
  <c r="O135" i="21" s="1"/>
  <c r="P135" i="21" s="1"/>
  <c r="L127" i="21"/>
  <c r="O127" i="21" s="1"/>
  <c r="P127" i="21" s="1"/>
  <c r="L119" i="21"/>
  <c r="O119" i="21" s="1"/>
  <c r="P119" i="21" s="1"/>
  <c r="L111" i="21"/>
  <c r="O111" i="21" s="1"/>
  <c r="P111" i="21" s="1"/>
  <c r="L103" i="21"/>
  <c r="O103" i="21" s="1"/>
  <c r="P103" i="21" s="1"/>
  <c r="L95" i="21"/>
  <c r="O95" i="21" s="1"/>
  <c r="P95" i="21" s="1"/>
  <c r="L87" i="21"/>
  <c r="O87" i="21" s="1"/>
  <c r="P87" i="21" s="1"/>
  <c r="L79" i="21"/>
  <c r="O79" i="21" s="1"/>
  <c r="P79" i="21" s="1"/>
  <c r="L71" i="21"/>
  <c r="O71" i="21" s="1"/>
  <c r="P71" i="21" s="1"/>
  <c r="L63" i="21"/>
  <c r="L55" i="21"/>
  <c r="O55" i="21" s="1"/>
  <c r="P55" i="21" s="1"/>
  <c r="L47" i="21"/>
  <c r="O47" i="21" s="1"/>
  <c r="P47" i="21" s="1"/>
  <c r="L510" i="21"/>
  <c r="O510" i="21" s="1"/>
  <c r="P510" i="21" s="1"/>
  <c r="L494" i="21"/>
  <c r="O494" i="21" s="1"/>
  <c r="P494" i="21" s="1"/>
  <c r="L486" i="21"/>
  <c r="O486" i="21" s="1"/>
  <c r="P486" i="21" s="1"/>
  <c r="L478" i="21"/>
  <c r="L462" i="21"/>
  <c r="L454" i="21"/>
  <c r="L438" i="21"/>
  <c r="O438" i="21" s="1"/>
  <c r="P438" i="21" s="1"/>
  <c r="L422" i="21"/>
  <c r="L406" i="21"/>
  <c r="O406" i="21" s="1"/>
  <c r="P406" i="21" s="1"/>
  <c r="L390" i="21"/>
  <c r="L374" i="21"/>
  <c r="L358" i="21"/>
  <c r="L342" i="21"/>
  <c r="L326" i="21"/>
  <c r="O326" i="21" s="1"/>
  <c r="P326" i="21" s="1"/>
  <c r="L310" i="21"/>
  <c r="L294" i="21"/>
  <c r="O294" i="21" s="1"/>
  <c r="P294" i="21" s="1"/>
  <c r="L278" i="21"/>
  <c r="O278" i="21" s="1"/>
  <c r="P278" i="21" s="1"/>
  <c r="L262" i="21"/>
  <c r="O262" i="21" s="1"/>
  <c r="P262" i="21" s="1"/>
  <c r="L246" i="21"/>
  <c r="O246" i="21" s="1"/>
  <c r="P246" i="21" s="1"/>
  <c r="L230" i="21"/>
  <c r="O230" i="21" s="1"/>
  <c r="P230" i="21" s="1"/>
  <c r="L206" i="21"/>
  <c r="L190" i="21"/>
  <c r="L174" i="21"/>
  <c r="O174" i="21" s="1"/>
  <c r="P174" i="21" s="1"/>
  <c r="L158" i="21"/>
  <c r="O158" i="21" s="1"/>
  <c r="P158" i="21" s="1"/>
  <c r="L142" i="21"/>
  <c r="O142" i="21" s="1"/>
  <c r="P142" i="21" s="1"/>
  <c r="L126" i="21"/>
  <c r="O126" i="21" s="1"/>
  <c r="P126" i="21" s="1"/>
  <c r="L110" i="21"/>
  <c r="O110" i="21" s="1"/>
  <c r="P110" i="21" s="1"/>
  <c r="L94" i="21"/>
  <c r="O94" i="21" s="1"/>
  <c r="P94" i="21" s="1"/>
  <c r="L78" i="21"/>
  <c r="O78" i="21" s="1"/>
  <c r="P78" i="21" s="1"/>
  <c r="L515" i="21"/>
  <c r="L483" i="21"/>
  <c r="O483" i="21" s="1"/>
  <c r="P483" i="21" s="1"/>
  <c r="L451" i="21"/>
  <c r="L419" i="21"/>
  <c r="O419" i="21" s="1"/>
  <c r="P419" i="21" s="1"/>
  <c r="L387" i="21"/>
  <c r="L355" i="21"/>
  <c r="L323" i="21"/>
  <c r="O323" i="21" s="1"/>
  <c r="P323" i="21" s="1"/>
  <c r="L291" i="21"/>
  <c r="O291" i="21" s="1"/>
  <c r="P291" i="21" s="1"/>
  <c r="L268" i="21"/>
  <c r="O268" i="21" s="1"/>
  <c r="P268" i="21" s="1"/>
  <c r="L245" i="21"/>
  <c r="O245" i="21" s="1"/>
  <c r="P245" i="21" s="1"/>
  <c r="L227" i="21"/>
  <c r="O227" i="21" s="1"/>
  <c r="P227" i="21" s="1"/>
  <c r="L204" i="21"/>
  <c r="L185" i="21"/>
  <c r="O185" i="21" s="1"/>
  <c r="P185" i="21" s="1"/>
  <c r="L169" i="21"/>
  <c r="O169" i="21" s="1"/>
  <c r="P169" i="21" s="1"/>
  <c r="L153" i="21"/>
  <c r="O153" i="21" s="1"/>
  <c r="P153" i="21" s="1"/>
  <c r="L137" i="21"/>
  <c r="L121" i="21"/>
  <c r="O121" i="21" s="1"/>
  <c r="P121" i="21" s="1"/>
  <c r="L105" i="21"/>
  <c r="O105" i="21" s="1"/>
  <c r="P105" i="21" s="1"/>
  <c r="L89" i="21"/>
  <c r="O89" i="21" s="1"/>
  <c r="P89" i="21" s="1"/>
  <c r="L75" i="21"/>
  <c r="O75" i="21" s="1"/>
  <c r="P75" i="21" s="1"/>
  <c r="L61" i="21"/>
  <c r="O61" i="21" s="1"/>
  <c r="P61" i="21" s="1"/>
  <c r="L49" i="21"/>
  <c r="O49" i="21" s="1"/>
  <c r="P49" i="21" s="1"/>
  <c r="L508" i="21"/>
  <c r="O508" i="21" s="1"/>
  <c r="P508" i="21" s="1"/>
  <c r="L476" i="21"/>
  <c r="O476" i="21" s="1"/>
  <c r="P476" i="21" s="1"/>
  <c r="L444" i="21"/>
  <c r="L412" i="21"/>
  <c r="O412" i="21" s="1"/>
  <c r="P412" i="21" s="1"/>
  <c r="L380" i="21"/>
  <c r="L348" i="21"/>
  <c r="L316" i="21"/>
  <c r="O316" i="21" s="1"/>
  <c r="P316" i="21" s="1"/>
  <c r="L285" i="21"/>
  <c r="O285" i="21" s="1"/>
  <c r="P285" i="21" s="1"/>
  <c r="L267" i="21"/>
  <c r="O267" i="21" s="1"/>
  <c r="P267" i="21" s="1"/>
  <c r="L244" i="21"/>
  <c r="O244" i="21" s="1"/>
  <c r="P244" i="21" s="1"/>
  <c r="L221" i="21"/>
  <c r="O221" i="21" s="1"/>
  <c r="P221" i="21" s="1"/>
  <c r="L203" i="21"/>
  <c r="O203" i="21" s="1"/>
  <c r="P203" i="21" s="1"/>
  <c r="L181" i="21"/>
  <c r="O181" i="21" s="1"/>
  <c r="P181" i="21" s="1"/>
  <c r="L165" i="21"/>
  <c r="L149" i="21"/>
  <c r="O149" i="21" s="1"/>
  <c r="P149" i="21" s="1"/>
  <c r="L133" i="21"/>
  <c r="O133" i="21" s="1"/>
  <c r="P133" i="21" s="1"/>
  <c r="L117" i="21"/>
  <c r="O117" i="21" s="1"/>
  <c r="P117" i="21" s="1"/>
  <c r="L101" i="21"/>
  <c r="O101" i="21" s="1"/>
  <c r="P101" i="21" s="1"/>
  <c r="L86" i="21"/>
  <c r="O86" i="21" s="1"/>
  <c r="P86" i="21" s="1"/>
  <c r="L73" i="21"/>
  <c r="O73" i="21" s="1"/>
  <c r="P73" i="21" s="1"/>
  <c r="L60" i="21"/>
  <c r="O60" i="21" s="1"/>
  <c r="P60" i="21" s="1"/>
  <c r="L46" i="21"/>
  <c r="O46" i="21" s="1"/>
  <c r="P46" i="21" s="1"/>
  <c r="L507" i="21"/>
  <c r="L475" i="21"/>
  <c r="O475" i="21" s="1"/>
  <c r="P475" i="21" s="1"/>
  <c r="L443" i="21"/>
  <c r="L411" i="21"/>
  <c r="O411" i="21" s="1"/>
  <c r="P411" i="21" s="1"/>
  <c r="L379" i="21"/>
  <c r="L347" i="21"/>
  <c r="L315" i="21"/>
  <c r="O315" i="21" s="1"/>
  <c r="P315" i="21" s="1"/>
  <c r="L284" i="21"/>
  <c r="O284" i="21" s="1"/>
  <c r="P284" i="21" s="1"/>
  <c r="L261" i="21"/>
  <c r="O261" i="21" s="1"/>
  <c r="P261" i="21" s="1"/>
  <c r="L243" i="21"/>
  <c r="O243" i="21" s="1"/>
  <c r="P243" i="21" s="1"/>
  <c r="L220" i="21"/>
  <c r="O220" i="21" s="1"/>
  <c r="P220" i="21" s="1"/>
  <c r="L197" i="21"/>
  <c r="O197" i="21" s="1"/>
  <c r="P197" i="21" s="1"/>
  <c r="L180" i="21"/>
  <c r="O180" i="21" s="1"/>
  <c r="P180" i="21" s="1"/>
  <c r="L164" i="21"/>
  <c r="O164" i="21" s="1"/>
  <c r="P164" i="21" s="1"/>
  <c r="L148" i="21"/>
  <c r="L132" i="21"/>
  <c r="O132" i="21" s="1"/>
  <c r="P132" i="21" s="1"/>
  <c r="L116" i="21"/>
  <c r="O116" i="21" s="1"/>
  <c r="P116" i="21" s="1"/>
  <c r="L100" i="21"/>
  <c r="O100" i="21" s="1"/>
  <c r="P100" i="21" s="1"/>
  <c r="L85" i="21"/>
  <c r="O85" i="21" s="1"/>
  <c r="P85" i="21" s="1"/>
  <c r="L70" i="21"/>
  <c r="O70" i="21" s="1"/>
  <c r="P70" i="21" s="1"/>
  <c r="L59" i="21"/>
  <c r="O59" i="21" s="1"/>
  <c r="P59" i="21" s="1"/>
  <c r="L45" i="21"/>
  <c r="O45" i="21" s="1"/>
  <c r="P45" i="21" s="1"/>
  <c r="L500" i="21"/>
  <c r="O500" i="21" s="1"/>
  <c r="P500" i="21" s="1"/>
  <c r="L468" i="21"/>
  <c r="O468" i="21" s="1"/>
  <c r="P468" i="21" s="1"/>
  <c r="L436" i="21"/>
  <c r="O436" i="21" s="1"/>
  <c r="P436" i="21" s="1"/>
  <c r="L404" i="21"/>
  <c r="L372" i="21"/>
  <c r="L340" i="21"/>
  <c r="L308" i="21"/>
  <c r="L283" i="21"/>
  <c r="O283" i="21" s="1"/>
  <c r="P283" i="21" s="1"/>
  <c r="L260" i="21"/>
  <c r="O260" i="21" s="1"/>
  <c r="P260" i="21" s="1"/>
  <c r="L237" i="21"/>
  <c r="O237" i="21" s="1"/>
  <c r="P237" i="21" s="1"/>
  <c r="L219" i="21"/>
  <c r="O219" i="21" s="1"/>
  <c r="P219" i="21" s="1"/>
  <c r="L196" i="21"/>
  <c r="O196" i="21" s="1"/>
  <c r="P196" i="21" s="1"/>
  <c r="L179" i="21"/>
  <c r="O179" i="21" s="1"/>
  <c r="P179" i="21" s="1"/>
  <c r="L163" i="21"/>
  <c r="O163" i="21" s="1"/>
  <c r="P163" i="21" s="1"/>
  <c r="L147" i="21"/>
  <c r="O147" i="21" s="1"/>
  <c r="P147" i="21" s="1"/>
  <c r="L131" i="21"/>
  <c r="O131" i="21" s="1"/>
  <c r="P131" i="21" s="1"/>
  <c r="L115" i="21"/>
  <c r="O115" i="21" s="1"/>
  <c r="P115" i="21" s="1"/>
  <c r="L99" i="21"/>
  <c r="O99" i="21" s="1"/>
  <c r="P99" i="21" s="1"/>
  <c r="L84" i="21"/>
  <c r="O84" i="21" s="1"/>
  <c r="P84" i="21" s="1"/>
  <c r="L69" i="21"/>
  <c r="O69" i="21" s="1"/>
  <c r="P69" i="21" s="1"/>
  <c r="L57" i="21"/>
  <c r="O57" i="21" s="1"/>
  <c r="P57" i="21" s="1"/>
  <c r="L44" i="21"/>
  <c r="O44" i="21" s="1"/>
  <c r="P44" i="21" s="1"/>
  <c r="L109" i="21"/>
  <c r="O109" i="21" s="1"/>
  <c r="P109" i="21" s="1"/>
  <c r="L81" i="21"/>
  <c r="L53" i="21"/>
  <c r="O53" i="21" s="1"/>
  <c r="P53" i="21" s="1"/>
  <c r="L459" i="21"/>
  <c r="L395" i="21"/>
  <c r="L331" i="21"/>
  <c r="L275" i="21"/>
  <c r="L229" i="21"/>
  <c r="O229" i="21" s="1"/>
  <c r="P229" i="21" s="1"/>
  <c r="L188" i="21"/>
  <c r="L156" i="21"/>
  <c r="O156" i="21" s="1"/>
  <c r="P156" i="21" s="1"/>
  <c r="L124" i="21"/>
  <c r="O124" i="21" s="1"/>
  <c r="P124" i="21" s="1"/>
  <c r="L92" i="21"/>
  <c r="O92" i="21" s="1"/>
  <c r="P92" i="21" s="1"/>
  <c r="L65" i="21"/>
  <c r="O65" i="21" s="1"/>
  <c r="P65" i="21" s="1"/>
  <c r="L452" i="21"/>
  <c r="O452" i="21" s="1"/>
  <c r="P452" i="21" s="1"/>
  <c r="L388" i="21"/>
  <c r="L324" i="21"/>
  <c r="O324" i="21" s="1"/>
  <c r="P324" i="21" s="1"/>
  <c r="L269" i="21"/>
  <c r="O269" i="21" s="1"/>
  <c r="P269" i="21" s="1"/>
  <c r="L205" i="21"/>
  <c r="O205" i="21" s="1"/>
  <c r="P205" i="21" s="1"/>
  <c r="L171" i="21"/>
  <c r="O171" i="21" s="1"/>
  <c r="P171" i="21" s="1"/>
  <c r="L123" i="21"/>
  <c r="O123" i="21" s="1"/>
  <c r="P123" i="21" s="1"/>
  <c r="L91" i="21"/>
  <c r="O91" i="21" s="1"/>
  <c r="P91" i="21" s="1"/>
  <c r="L62" i="21"/>
  <c r="O62" i="21" s="1"/>
  <c r="P62" i="21" s="1"/>
  <c r="L499" i="21"/>
  <c r="O499" i="21" s="1"/>
  <c r="P499" i="21" s="1"/>
  <c r="L467" i="21"/>
  <c r="O467" i="21" s="1"/>
  <c r="P467" i="21" s="1"/>
  <c r="L435" i="21"/>
  <c r="L403" i="21"/>
  <c r="L371" i="21"/>
  <c r="L339" i="21"/>
  <c r="L307" i="21"/>
  <c r="O307" i="21" s="1"/>
  <c r="P307" i="21" s="1"/>
  <c r="L277" i="21"/>
  <c r="O277" i="21" s="1"/>
  <c r="P277" i="21" s="1"/>
  <c r="L259" i="21"/>
  <c r="O259" i="21" s="1"/>
  <c r="P259" i="21" s="1"/>
  <c r="L236" i="21"/>
  <c r="O236" i="21" s="1"/>
  <c r="P236" i="21" s="1"/>
  <c r="L213" i="21"/>
  <c r="L195" i="21"/>
  <c r="O195" i="21" s="1"/>
  <c r="P195" i="21" s="1"/>
  <c r="L177" i="21"/>
  <c r="O177" i="21" s="1"/>
  <c r="P177" i="21" s="1"/>
  <c r="L161" i="21"/>
  <c r="L145" i="21"/>
  <c r="O145" i="21" s="1"/>
  <c r="P145" i="21" s="1"/>
  <c r="L129" i="21"/>
  <c r="O129" i="21" s="1"/>
  <c r="P129" i="21" s="1"/>
  <c r="L113" i="21"/>
  <c r="O113" i="21" s="1"/>
  <c r="P113" i="21" s="1"/>
  <c r="L97" i="21"/>
  <c r="O97" i="21" s="1"/>
  <c r="P97" i="21" s="1"/>
  <c r="L83" i="21"/>
  <c r="O83" i="21" s="1"/>
  <c r="P83" i="21" s="1"/>
  <c r="L68" i="21"/>
  <c r="O68" i="21" s="1"/>
  <c r="P68" i="21" s="1"/>
  <c r="L54" i="21"/>
  <c r="O54" i="21" s="1"/>
  <c r="P54" i="21" s="1"/>
  <c r="L43" i="21"/>
  <c r="O43" i="21" s="1"/>
  <c r="P43" i="21" s="1"/>
  <c r="L492" i="21"/>
  <c r="O492" i="21" s="1"/>
  <c r="P492" i="21" s="1"/>
  <c r="L460" i="21"/>
  <c r="L428" i="21"/>
  <c r="O428" i="21" s="1"/>
  <c r="P428" i="21" s="1"/>
  <c r="L396" i="21"/>
  <c r="L364" i="21"/>
  <c r="L332" i="21"/>
  <c r="L300" i="21"/>
  <c r="O300" i="21" s="1"/>
  <c r="P300" i="21" s="1"/>
  <c r="L276" i="21"/>
  <c r="O276" i="21" s="1"/>
  <c r="P276" i="21" s="1"/>
  <c r="L253" i="21"/>
  <c r="O253" i="21" s="1"/>
  <c r="P253" i="21" s="1"/>
  <c r="L235" i="21"/>
  <c r="O235" i="21" s="1"/>
  <c r="P235" i="21" s="1"/>
  <c r="L212" i="21"/>
  <c r="O212" i="21" s="1"/>
  <c r="P212" i="21" s="1"/>
  <c r="L189" i="21"/>
  <c r="L173" i="21"/>
  <c r="O173" i="21" s="1"/>
  <c r="P173" i="21" s="1"/>
  <c r="L157" i="21"/>
  <c r="O157" i="21" s="1"/>
  <c r="P157" i="21" s="1"/>
  <c r="L141" i="21"/>
  <c r="O141" i="21" s="1"/>
  <c r="P141" i="21" s="1"/>
  <c r="L125" i="21"/>
  <c r="O125" i="21" s="1"/>
  <c r="P125" i="21" s="1"/>
  <c r="L93" i="21"/>
  <c r="O93" i="21" s="1"/>
  <c r="P93" i="21" s="1"/>
  <c r="L67" i="21"/>
  <c r="O67" i="21" s="1"/>
  <c r="P67" i="21" s="1"/>
  <c r="L41" i="21"/>
  <c r="O41" i="21" s="1"/>
  <c r="P41" i="21" s="1"/>
  <c r="L491" i="21"/>
  <c r="O491" i="21" s="1"/>
  <c r="P491" i="21" s="1"/>
  <c r="L427" i="21"/>
  <c r="O427" i="21" s="1"/>
  <c r="P427" i="21" s="1"/>
  <c r="L363" i="21"/>
  <c r="L299" i="21"/>
  <c r="O299" i="21" s="1"/>
  <c r="P299" i="21" s="1"/>
  <c r="L252" i="21"/>
  <c r="L211" i="21"/>
  <c r="O211" i="21" s="1"/>
  <c r="P211" i="21" s="1"/>
  <c r="L172" i="21"/>
  <c r="O172" i="21" s="1"/>
  <c r="P172" i="21" s="1"/>
  <c r="L140" i="21"/>
  <c r="O140" i="21" s="1"/>
  <c r="P140" i="21" s="1"/>
  <c r="L108" i="21"/>
  <c r="L77" i="21"/>
  <c r="O77" i="21" s="1"/>
  <c r="P77" i="21" s="1"/>
  <c r="L52" i="21"/>
  <c r="O52" i="21" s="1"/>
  <c r="P52" i="21" s="1"/>
  <c r="L484" i="21"/>
  <c r="O484" i="21" s="1"/>
  <c r="P484" i="21" s="1"/>
  <c r="L420" i="21"/>
  <c r="O420" i="21" s="1"/>
  <c r="P420" i="21" s="1"/>
  <c r="L356" i="21"/>
  <c r="L292" i="21"/>
  <c r="O292" i="21" s="1"/>
  <c r="P292" i="21" s="1"/>
  <c r="L251" i="21"/>
  <c r="O251" i="21" s="1"/>
  <c r="P251" i="21" s="1"/>
  <c r="L228" i="21"/>
  <c r="O228" i="21" s="1"/>
  <c r="P228" i="21" s="1"/>
  <c r="L187" i="21"/>
  <c r="O187" i="21" s="1"/>
  <c r="P187" i="21" s="1"/>
  <c r="L155" i="21"/>
  <c r="O155" i="21" s="1"/>
  <c r="P155" i="21" s="1"/>
  <c r="L139" i="21"/>
  <c r="O139" i="21" s="1"/>
  <c r="P139" i="21" s="1"/>
  <c r="L107" i="21"/>
  <c r="O107" i="21" s="1"/>
  <c r="P107" i="21" s="1"/>
  <c r="L76" i="21"/>
  <c r="O76" i="21" s="1"/>
  <c r="P76" i="21" s="1"/>
  <c r="L51" i="21"/>
  <c r="O51" i="21" s="1"/>
  <c r="P51" i="21" s="1"/>
  <c r="G989" i="5"/>
  <c r="G6402" i="5"/>
  <c r="G7130" i="5"/>
  <c r="G2084" i="5"/>
  <c r="N546" i="21"/>
  <c r="O456" i="21"/>
  <c r="P456" i="21" s="1"/>
  <c r="O474" i="21"/>
  <c r="P474" i="21" s="1"/>
  <c r="O308" i="21"/>
  <c r="P308" i="21" s="1"/>
  <c r="O112" i="21"/>
  <c r="P112" i="21" s="1"/>
  <c r="O410" i="21"/>
  <c r="P410" i="21" s="1"/>
  <c r="O310" i="21"/>
  <c r="P310" i="21" s="1"/>
  <c r="O252" i="21"/>
  <c r="P252" i="21" s="1"/>
  <c r="O265" i="21"/>
  <c r="P265" i="21" s="1"/>
  <c r="O497" i="21"/>
  <c r="P497" i="21" s="1"/>
  <c r="O462" i="21"/>
  <c r="P462" i="21" s="1"/>
  <c r="O242" i="21"/>
  <c r="P242" i="21" s="1"/>
  <c r="O280" i="21"/>
  <c r="P280" i="21" s="1"/>
  <c r="O137" i="21"/>
  <c r="P137" i="21" s="1"/>
  <c r="O189" i="21"/>
  <c r="P189" i="21" s="1"/>
  <c r="O249" i="21"/>
  <c r="P249" i="21" s="1"/>
  <c r="O148" i="21"/>
  <c r="P148" i="21" s="1"/>
  <c r="O345" i="21"/>
  <c r="P345" i="21" s="1"/>
  <c r="O188" i="21"/>
  <c r="P188" i="21" s="1"/>
  <c r="O303" i="21"/>
  <c r="P303" i="21" s="1"/>
  <c r="O414" i="21"/>
  <c r="P414" i="21" s="1"/>
  <c r="O507" i="21"/>
  <c r="P507" i="21" s="1"/>
  <c r="G9262" i="5"/>
  <c r="G9387" i="5"/>
  <c r="G9263" i="5"/>
  <c r="G9165" i="5"/>
  <c r="G9157" i="5"/>
  <c r="G9155" i="5"/>
  <c r="G9146" i="5"/>
  <c r="G9134" i="5"/>
  <c r="G9132" i="5"/>
  <c r="G8607" i="5"/>
  <c r="G8573" i="5"/>
  <c r="G8442" i="5"/>
  <c r="G8429" i="5"/>
  <c r="G8344" i="5"/>
  <c r="G8334" i="5"/>
  <c r="G8214" i="5"/>
  <c r="H8310" i="5"/>
  <c r="G7552" i="5"/>
  <c r="G7537" i="5"/>
  <c r="G8608" i="5"/>
  <c r="G8572" i="5"/>
  <c r="G8428" i="5"/>
  <c r="G8343" i="5"/>
  <c r="G8333" i="5"/>
  <c r="G8213" i="5"/>
  <c r="G7523" i="5"/>
  <c r="G8647" i="5"/>
  <c r="G6320" i="5"/>
  <c r="G6259" i="5"/>
  <c r="G7384" i="5"/>
  <c r="G6483" i="5"/>
  <c r="G6453" i="5"/>
  <c r="G6304" i="5"/>
  <c r="G6217" i="5"/>
  <c r="G7456" i="5"/>
  <c r="G7398" i="5"/>
  <c r="G7379" i="5"/>
  <c r="G7332" i="5"/>
  <c r="G7237" i="5"/>
  <c r="G7230" i="5"/>
  <c r="G6461" i="5"/>
  <c r="G6441" i="5"/>
  <c r="G6395" i="5"/>
  <c r="G6348" i="5"/>
  <c r="G6252" i="5"/>
  <c r="G6232" i="5"/>
  <c r="G6226" i="5"/>
  <c r="G6195" i="5"/>
  <c r="G5479" i="5"/>
  <c r="G5443" i="5"/>
  <c r="G5437" i="5"/>
  <c r="G5339" i="5"/>
  <c r="G6258" i="5"/>
  <c r="G6218" i="5"/>
  <c r="G6175" i="5"/>
  <c r="G5387" i="5"/>
  <c r="G5233" i="5"/>
  <c r="G5188" i="5"/>
  <c r="G5180" i="5"/>
  <c r="G5151" i="5"/>
  <c r="G5105" i="5"/>
  <c r="G5049" i="5"/>
  <c r="G5041" i="5"/>
  <c r="G5027" i="5"/>
  <c r="G4979" i="5"/>
  <c r="G4923" i="5"/>
  <c r="G4889" i="5"/>
  <c r="G4880" i="5"/>
  <c r="G4781" i="5"/>
  <c r="G4638" i="5"/>
  <c r="G4888" i="5"/>
  <c r="G4791" i="5"/>
  <c r="G4672" i="5"/>
  <c r="G4916" i="5"/>
  <c r="G5245" i="5"/>
  <c r="G5239" i="5"/>
  <c r="G5212" i="5"/>
  <c r="G4326" i="5"/>
  <c r="G4229" i="5"/>
  <c r="G4206" i="5"/>
  <c r="G4298" i="5"/>
  <c r="G4196" i="5"/>
  <c r="G3900" i="5"/>
  <c r="G4058" i="5"/>
  <c r="G4039" i="5"/>
  <c r="G4022" i="5"/>
  <c r="G3999" i="5"/>
  <c r="G3974" i="5"/>
  <c r="G3950" i="5"/>
  <c r="G3881" i="5"/>
  <c r="G3730" i="5"/>
  <c r="G3690" i="5"/>
  <c r="G3688" i="5"/>
  <c r="G3838" i="5"/>
  <c r="G3615" i="5"/>
  <c r="G3718" i="5"/>
  <c r="G3651" i="5"/>
  <c r="G3331" i="5"/>
  <c r="G3312" i="5"/>
  <c r="G3204" i="5"/>
  <c r="G3105" i="5"/>
  <c r="G2979" i="5"/>
  <c r="G3614" i="5"/>
  <c r="G3567" i="5"/>
  <c r="G3496" i="5"/>
  <c r="G3263" i="5"/>
  <c r="G3249" i="5"/>
  <c r="G3235" i="5"/>
  <c r="G2325" i="5"/>
  <c r="G2308" i="5"/>
  <c r="G2296" i="5"/>
  <c r="G2294" i="5"/>
  <c r="G2324" i="5"/>
  <c r="G2320" i="5"/>
  <c r="G2295" i="5"/>
  <c r="G2770" i="5"/>
  <c r="G2270" i="5"/>
  <c r="G2258" i="5"/>
  <c r="G2191" i="5"/>
  <c r="G2139" i="5"/>
  <c r="G2278" i="5"/>
  <c r="G2250" i="5"/>
  <c r="G2238" i="5"/>
  <c r="G2179" i="5"/>
  <c r="G1727" i="5"/>
  <c r="G1626" i="5"/>
  <c r="G1579" i="5"/>
  <c r="G1572" i="5"/>
  <c r="G1900" i="5"/>
  <c r="G1895" i="5"/>
  <c r="G1890" i="5"/>
  <c r="G1373" i="5"/>
  <c r="G1348" i="5"/>
  <c r="G1360" i="5"/>
  <c r="G1354" i="5"/>
  <c r="G1556" i="5"/>
  <c r="G1522" i="5"/>
  <c r="G1392" i="5"/>
  <c r="G1174" i="5"/>
  <c r="G1214" i="5"/>
  <c r="G1208" i="5"/>
  <c r="G1140" i="5"/>
  <c r="G1103" i="5"/>
  <c r="G873" i="5"/>
  <c r="G951" i="5"/>
  <c r="G835" i="5"/>
  <c r="G1088" i="5"/>
  <c r="G1072" i="5"/>
  <c r="G846" i="5"/>
  <c r="G733" i="5"/>
  <c r="G726" i="5"/>
  <c r="G576" i="5"/>
  <c r="G541" i="5"/>
  <c r="G794" i="5"/>
  <c r="G430" i="5"/>
  <c r="G413" i="5"/>
  <c r="G384" i="5"/>
  <c r="G391" i="5"/>
  <c r="G460" i="5"/>
  <c r="G451" i="5"/>
  <c r="G442" i="5"/>
  <c r="G392" i="5"/>
  <c r="O144" i="21"/>
  <c r="P144" i="21" s="1"/>
  <c r="O206" i="21"/>
  <c r="P206" i="21" s="1"/>
  <c r="O165" i="21"/>
  <c r="P165" i="21" s="1"/>
  <c r="O190" i="21"/>
  <c r="P190" i="21" s="1"/>
  <c r="O214" i="21"/>
  <c r="P214" i="21" s="1"/>
  <c r="G114" i="5"/>
  <c r="O288" i="21"/>
  <c r="P288" i="21" s="1"/>
  <c r="O209" i="21"/>
  <c r="P209" i="21" s="1"/>
  <c r="O204" i="21"/>
  <c r="P204" i="21" s="1"/>
  <c r="O161" i="21"/>
  <c r="P161" i="21" s="1"/>
  <c r="G80" i="5"/>
  <c r="O81" i="21"/>
  <c r="P81" i="21" s="1"/>
  <c r="G385" i="5"/>
  <c r="G361" i="5"/>
  <c r="O199" i="21"/>
  <c r="P199" i="21" s="1"/>
  <c r="O222" i="21"/>
  <c r="P222" i="21" s="1"/>
  <c r="H7396" i="5"/>
  <c r="H3752" i="5"/>
  <c r="H1602" i="5"/>
  <c r="K495" i="21"/>
  <c r="H2780" i="5"/>
  <c r="K486" i="21"/>
  <c r="K425" i="21"/>
  <c r="K418" i="21"/>
  <c r="K289" i="21"/>
  <c r="K281" i="21"/>
  <c r="K153" i="21"/>
  <c r="K84" i="21"/>
  <c r="K249" i="21"/>
  <c r="K160" i="21"/>
  <c r="K128" i="21"/>
  <c r="K431" i="21"/>
  <c r="K369" i="21"/>
  <c r="K60" i="21"/>
  <c r="K475" i="21"/>
  <c r="K452" i="21"/>
  <c r="K345" i="21"/>
  <c r="K286" i="21"/>
  <c r="H1883" i="5"/>
  <c r="K512" i="21"/>
  <c r="K254" i="21"/>
  <c r="K269" i="21"/>
  <c r="K109" i="21"/>
  <c r="K283" i="21"/>
  <c r="K131" i="21"/>
  <c r="K506" i="21"/>
  <c r="K499" i="21"/>
  <c r="K492" i="21"/>
  <c r="K438" i="21"/>
  <c r="K411" i="21"/>
  <c r="K384" i="21"/>
  <c r="K336" i="21"/>
  <c r="K322" i="21"/>
  <c r="K314" i="21"/>
  <c r="K307" i="21"/>
  <c r="K299" i="21"/>
  <c r="K292" i="21"/>
  <c r="K280" i="21"/>
  <c r="K266" i="21"/>
  <c r="K258" i="21"/>
  <c r="K251" i="21"/>
  <c r="K244" i="21"/>
  <c r="K237" i="21"/>
  <c r="K229" i="21"/>
  <c r="K223" i="21"/>
  <c r="K217" i="21"/>
  <c r="K210" i="21"/>
  <c r="K202" i="21"/>
  <c r="K194" i="21"/>
  <c r="K186" i="21"/>
  <c r="K179" i="21"/>
  <c r="K171" i="21"/>
  <c r="K163" i="21"/>
  <c r="K156" i="21"/>
  <c r="K149" i="21"/>
  <c r="K141" i="21"/>
  <c r="K133" i="21"/>
  <c r="K127" i="21"/>
  <c r="K119" i="21"/>
  <c r="K112" i="21"/>
  <c r="K105" i="21"/>
  <c r="K98" i="21"/>
  <c r="K91" i="21"/>
  <c r="K76" i="21"/>
  <c r="K69" i="21"/>
  <c r="K62" i="21"/>
  <c r="K55" i="21"/>
  <c r="K47" i="21"/>
  <c r="K505" i="21"/>
  <c r="K498" i="21"/>
  <c r="K491" i="21"/>
  <c r="K485" i="21"/>
  <c r="K462" i="21"/>
  <c r="K437" i="21"/>
  <c r="K424" i="21"/>
  <c r="K410" i="21"/>
  <c r="K321" i="21"/>
  <c r="K313" i="21"/>
  <c r="K306" i="21"/>
  <c r="K291" i="21"/>
  <c r="K285" i="21"/>
  <c r="K279" i="21"/>
  <c r="K265" i="21"/>
  <c r="K257" i="21"/>
  <c r="K250" i="21"/>
  <c r="K236" i="21"/>
  <c r="K216" i="21"/>
  <c r="K201" i="21"/>
  <c r="K193" i="21"/>
  <c r="K178" i="21"/>
  <c r="K170" i="21"/>
  <c r="K162" i="21"/>
  <c r="K155" i="21"/>
  <c r="K148" i="21"/>
  <c r="K140" i="21"/>
  <c r="K132" i="21"/>
  <c r="K126" i="21"/>
  <c r="K118" i="21"/>
  <c r="K111" i="21"/>
  <c r="K104" i="21"/>
  <c r="K97" i="21"/>
  <c r="K90" i="21"/>
  <c r="K83" i="21"/>
  <c r="K61" i="21"/>
  <c r="K54" i="21"/>
  <c r="K46" i="21"/>
  <c r="K504" i="21"/>
  <c r="K497" i="21"/>
  <c r="K490" i="21"/>
  <c r="K484" i="21"/>
  <c r="K476" i="21"/>
  <c r="K469" i="21"/>
  <c r="K456" i="21"/>
  <c r="K436" i="21"/>
  <c r="K430" i="21"/>
  <c r="K423" i="21"/>
  <c r="K417" i="21"/>
  <c r="K409" i="21"/>
  <c r="K320" i="21"/>
  <c r="K312" i="21"/>
  <c r="K305" i="21"/>
  <c r="K298" i="21"/>
  <c r="K290" i="21"/>
  <c r="K284" i="21"/>
  <c r="K278" i="21"/>
  <c r="K264" i="21"/>
  <c r="K256" i="21"/>
  <c r="K243" i="21"/>
  <c r="K235" i="21"/>
  <c r="K228" i="21"/>
  <c r="K200" i="21"/>
  <c r="K192" i="21"/>
  <c r="K185" i="21"/>
  <c r="K177" i="21"/>
  <c r="K169" i="21"/>
  <c r="K161" i="21"/>
  <c r="K154" i="21"/>
  <c r="K147" i="21"/>
  <c r="K139" i="21"/>
  <c r="K125" i="21"/>
  <c r="K117" i="21"/>
  <c r="K110" i="21"/>
  <c r="K103" i="21"/>
  <c r="K96" i="21"/>
  <c r="K89" i="21"/>
  <c r="K82" i="21"/>
  <c r="K75" i="21"/>
  <c r="K53" i="21"/>
  <c r="K45" i="21"/>
  <c r="K511" i="21"/>
  <c r="K496" i="21"/>
  <c r="K489" i="21"/>
  <c r="K483" i="21"/>
  <c r="K468" i="21"/>
  <c r="K461" i="21"/>
  <c r="K455" i="21"/>
  <c r="K408" i="21"/>
  <c r="K327" i="21"/>
  <c r="K319" i="21"/>
  <c r="K304" i="21"/>
  <c r="K297" i="21"/>
  <c r="K277" i="21"/>
  <c r="K270" i="21"/>
  <c r="K263" i="21"/>
  <c r="K255" i="21"/>
  <c r="K242" i="21"/>
  <c r="K234" i="21"/>
  <c r="K227" i="21"/>
  <c r="K221" i="21"/>
  <c r="K215" i="21"/>
  <c r="K199" i="21"/>
  <c r="K191" i="21"/>
  <c r="K184" i="21"/>
  <c r="K176" i="21"/>
  <c r="K168" i="21"/>
  <c r="K146" i="21"/>
  <c r="K138" i="21"/>
  <c r="K124" i="21"/>
  <c r="K116" i="21"/>
  <c r="K102" i="21"/>
  <c r="K95" i="21"/>
  <c r="K88" i="21"/>
  <c r="K81" i="21"/>
  <c r="K74" i="21"/>
  <c r="K67" i="21"/>
  <c r="K52" i="21"/>
  <c r="K44" i="21"/>
  <c r="H822" i="5"/>
  <c r="K510" i="21"/>
  <c r="K502" i="21"/>
  <c r="K488" i="21"/>
  <c r="K482" i="21"/>
  <c r="K467" i="21"/>
  <c r="K434" i="21"/>
  <c r="K428" i="21"/>
  <c r="K415" i="21"/>
  <c r="K407" i="21"/>
  <c r="K326" i="21"/>
  <c r="K318" i="21"/>
  <c r="K311" i="21"/>
  <c r="K303" i="21"/>
  <c r="K296" i="21"/>
  <c r="K276" i="21"/>
  <c r="K262" i="21"/>
  <c r="K248" i="21"/>
  <c r="K241" i="21"/>
  <c r="K233" i="21"/>
  <c r="K226" i="21"/>
  <c r="K220" i="21"/>
  <c r="K214" i="21"/>
  <c r="K206" i="21"/>
  <c r="K198" i="21"/>
  <c r="K190" i="21"/>
  <c r="K183" i="21"/>
  <c r="K175" i="21"/>
  <c r="K167" i="21"/>
  <c r="K145" i="21"/>
  <c r="K137" i="21"/>
  <c r="K130" i="21"/>
  <c r="K123" i="21"/>
  <c r="K115" i="21"/>
  <c r="K101" i="21"/>
  <c r="K94" i="21"/>
  <c r="K87" i="21"/>
  <c r="K73" i="21"/>
  <c r="K66" i="21"/>
  <c r="K59" i="21"/>
  <c r="K51" i="21"/>
  <c r="K43" i="21"/>
  <c r="K509" i="21"/>
  <c r="K501" i="21"/>
  <c r="K487" i="21"/>
  <c r="K474" i="21"/>
  <c r="K466" i="21"/>
  <c r="K441" i="21"/>
  <c r="K433" i="21"/>
  <c r="K427" i="21"/>
  <c r="K421" i="21"/>
  <c r="K414" i="21"/>
  <c r="K406" i="21"/>
  <c r="K357" i="21"/>
  <c r="K325" i="21"/>
  <c r="K317" i="21"/>
  <c r="K310" i="21"/>
  <c r="K302" i="21"/>
  <c r="K295" i="21"/>
  <c r="K282" i="21"/>
  <c r="K261" i="21"/>
  <c r="K247" i="21"/>
  <c r="K240" i="21"/>
  <c r="K232" i="21"/>
  <c r="K225" i="21"/>
  <c r="K219" i="21"/>
  <c r="K205" i="21"/>
  <c r="K197" i="21"/>
  <c r="K189" i="21"/>
  <c r="K182" i="21"/>
  <c r="K174" i="21"/>
  <c r="K166" i="21"/>
  <c r="K159" i="21"/>
  <c r="K152" i="21"/>
  <c r="K144" i="21"/>
  <c r="K136" i="21"/>
  <c r="K129" i="21"/>
  <c r="K122" i="21"/>
  <c r="K114" i="21"/>
  <c r="K108" i="21"/>
  <c r="K100" i="21"/>
  <c r="K93" i="21"/>
  <c r="K86" i="21"/>
  <c r="K72" i="21"/>
  <c r="K65" i="21"/>
  <c r="K58" i="21"/>
  <c r="K50" i="21"/>
  <c r="K42" i="21"/>
  <c r="K514" i="21"/>
  <c r="K508" i="21"/>
  <c r="K494" i="21"/>
  <c r="K473" i="21"/>
  <c r="K453" i="21"/>
  <c r="K440" i="21"/>
  <c r="K426" i="21"/>
  <c r="K420" i="21"/>
  <c r="K413" i="21"/>
  <c r="K405" i="21"/>
  <c r="K324" i="21"/>
  <c r="K316" i="21"/>
  <c r="K309" i="21"/>
  <c r="K301" i="21"/>
  <c r="K294" i="21"/>
  <c r="K287" i="21"/>
  <c r="K268" i="21"/>
  <c r="K260" i="21"/>
  <c r="K253" i="21"/>
  <c r="K246" i="21"/>
  <c r="K239" i="21"/>
  <c r="K231" i="21"/>
  <c r="K212" i="21"/>
  <c r="K196" i="21"/>
  <c r="K188" i="21"/>
  <c r="K181" i="21"/>
  <c r="K173" i="21"/>
  <c r="K158" i="21"/>
  <c r="K151" i="21"/>
  <c r="K143" i="21"/>
  <c r="K135" i="21"/>
  <c r="K121" i="21"/>
  <c r="K107" i="21"/>
  <c r="K92" i="21"/>
  <c r="K85" i="21"/>
  <c r="K78" i="21"/>
  <c r="K71" i="21"/>
  <c r="K64" i="21"/>
  <c r="K57" i="21"/>
  <c r="K49" i="21"/>
  <c r="K41" i="21"/>
  <c r="K513" i="21"/>
  <c r="K507" i="21"/>
  <c r="K500" i="21"/>
  <c r="K493" i="21"/>
  <c r="K479" i="21"/>
  <c r="K439" i="21"/>
  <c r="K432" i="21"/>
  <c r="K419" i="21"/>
  <c r="K412" i="21"/>
  <c r="K323" i="21"/>
  <c r="K315" i="21"/>
  <c r="K308" i="21"/>
  <c r="K300" i="21"/>
  <c r="K293" i="21"/>
  <c r="K267" i="21"/>
  <c r="K259" i="21"/>
  <c r="K252" i="21"/>
  <c r="K245" i="21"/>
  <c r="K238" i="21"/>
  <c r="K230" i="21"/>
  <c r="K224" i="21"/>
  <c r="K218" i="21"/>
  <c r="K211" i="21"/>
  <c r="K203" i="21"/>
  <c r="K195" i="21"/>
  <c r="K187" i="21"/>
  <c r="K180" i="21"/>
  <c r="K172" i="21"/>
  <c r="K164" i="21"/>
  <c r="K157" i="21"/>
  <c r="K150" i="21"/>
  <c r="K142" i="21"/>
  <c r="K134" i="21"/>
  <c r="K120" i="21"/>
  <c r="K113" i="21"/>
  <c r="K106" i="21"/>
  <c r="K99" i="21"/>
  <c r="K77" i="21"/>
  <c r="K70" i="21"/>
  <c r="K63" i="21"/>
  <c r="K56" i="21"/>
  <c r="K48" i="21"/>
  <c r="K40" i="21"/>
  <c r="N543" i="21"/>
  <c r="K10" i="21"/>
  <c r="N632" i="21"/>
  <c r="M630" i="21"/>
  <c r="N630" i="21" s="1"/>
  <c r="H7323" i="5"/>
  <c r="H9441" i="5"/>
  <c r="H7356" i="5"/>
  <c r="H5032" i="5"/>
  <c r="H5020" i="5"/>
  <c r="H5289" i="5"/>
  <c r="H3410" i="5"/>
  <c r="H3029" i="5"/>
  <c r="H3786" i="5"/>
  <c r="H3144" i="5"/>
  <c r="H2908" i="5"/>
  <c r="H1793" i="5"/>
  <c r="H2810" i="5"/>
  <c r="H79" i="5"/>
  <c r="H168" i="5"/>
  <c r="H128" i="5"/>
  <c r="H44" i="5"/>
  <c r="N537" i="21"/>
  <c r="N522" i="21"/>
  <c r="N641" i="21"/>
  <c r="N613" i="21"/>
  <c r="M639" i="21"/>
  <c r="N639" i="21" s="1"/>
  <c r="M525" i="21"/>
  <c r="N525" i="21" s="1"/>
  <c r="M563" i="21"/>
  <c r="N563" i="21" s="1"/>
  <c r="M529" i="21"/>
  <c r="N529" i="21" s="1"/>
  <c r="M541" i="21"/>
  <c r="N541" i="21" s="1"/>
  <c r="N669" i="21"/>
  <c r="N611" i="21"/>
  <c r="N624" i="21"/>
  <c r="N545" i="21"/>
  <c r="N544" i="21"/>
  <c r="N542" i="21"/>
  <c r="N631" i="21"/>
  <c r="N550" i="21"/>
  <c r="N538" i="21"/>
  <c r="N623" i="21"/>
  <c r="N547" i="21"/>
  <c r="N526" i="21"/>
  <c r="M626" i="21"/>
  <c r="N626" i="21" s="1"/>
  <c r="M654" i="21"/>
  <c r="N654" i="21" s="1"/>
  <c r="M672" i="21"/>
  <c r="N672" i="21" s="1"/>
  <c r="N539" i="21"/>
  <c r="H8612" i="5"/>
  <c r="H8322" i="5"/>
  <c r="H8249" i="5"/>
  <c r="H8606" i="5"/>
  <c r="H7516" i="5"/>
  <c r="H8316" i="5"/>
  <c r="H7337" i="5"/>
  <c r="H6428" i="5"/>
  <c r="H6445" i="5"/>
  <c r="H6393" i="5"/>
  <c r="H4866" i="5"/>
  <c r="H5080" i="5"/>
  <c r="H4834" i="5"/>
  <c r="H3768" i="5"/>
  <c r="H3810" i="5"/>
  <c r="H4062" i="5"/>
  <c r="H3632" i="5"/>
  <c r="H3644" i="5"/>
  <c r="H4504" i="5"/>
  <c r="H4378" i="5"/>
  <c r="H3918" i="5"/>
  <c r="H3792" i="5"/>
  <c r="H3405" i="5"/>
  <c r="H3529" i="5"/>
  <c r="H3213" i="5"/>
  <c r="H3042" i="5"/>
  <c r="H3737" i="5"/>
  <c r="H3415" i="5"/>
  <c r="H3132" i="5"/>
  <c r="H2969" i="5"/>
  <c r="H2785" i="5"/>
  <c r="H1877" i="5"/>
  <c r="H1810" i="5"/>
  <c r="H1186" i="5"/>
  <c r="H1894" i="5"/>
  <c r="H949" i="5"/>
  <c r="H851" i="5"/>
  <c r="H1608" i="5"/>
  <c r="H929" i="5"/>
  <c r="H857" i="5"/>
  <c r="H532" i="5"/>
  <c r="H113" i="5"/>
  <c r="H322" i="5"/>
  <c r="H84" i="5"/>
  <c r="H265" i="5"/>
  <c r="H118" i="5"/>
  <c r="H146" i="5"/>
  <c r="N532" i="21"/>
  <c r="M521" i="21"/>
  <c r="N521" i="21" s="1"/>
  <c r="M595" i="21"/>
  <c r="N595" i="21" s="1"/>
  <c r="M616" i="21"/>
  <c r="N616" i="21" s="1"/>
  <c r="M619" i="21"/>
  <c r="N619" i="21" s="1"/>
  <c r="M678" i="21"/>
  <c r="N678" i="21" s="1"/>
  <c r="M633" i="21"/>
  <c r="N633" i="21" s="1"/>
  <c r="M667" i="21"/>
  <c r="N667" i="21" s="1"/>
  <c r="N586" i="21"/>
  <c r="M594" i="21"/>
  <c r="N594" i="21" s="1"/>
  <c r="N602" i="21"/>
  <c r="N519" i="21"/>
  <c r="N570" i="21"/>
  <c r="M657" i="21"/>
  <c r="N657" i="21" s="1"/>
  <c r="N562" i="21"/>
  <c r="M605" i="21"/>
  <c r="N605" i="21" s="1"/>
  <c r="M618" i="21"/>
  <c r="N618" i="21" s="1"/>
  <c r="N642" i="21"/>
  <c r="N589" i="21"/>
  <c r="M604" i="21"/>
  <c r="N604" i="21" s="1"/>
  <c r="N629" i="21"/>
  <c r="M627" i="21"/>
  <c r="N627" i="21" s="1"/>
  <c r="M643" i="21"/>
  <c r="N643" i="21" s="1"/>
  <c r="N628" i="21"/>
  <c r="N579" i="21"/>
  <c r="K33" i="21"/>
  <c r="N584" i="21"/>
  <c r="N535" i="21"/>
  <c r="N603" i="21"/>
  <c r="N653" i="21"/>
  <c r="N615" i="21"/>
  <c r="N610" i="21"/>
  <c r="N599" i="21"/>
  <c r="P33" i="21"/>
  <c r="N598" i="21"/>
  <c r="N600" i="21"/>
  <c r="N661" i="21"/>
  <c r="N581" i="21"/>
  <c r="N649" i="21"/>
  <c r="N552" i="21"/>
  <c r="N540" i="21"/>
  <c r="N668" i="21"/>
  <c r="N585" i="21"/>
  <c r="N580" i="21"/>
  <c r="N523" i="21"/>
  <c r="N612" i="21"/>
  <c r="N656" i="21"/>
  <c r="N534" i="21"/>
  <c r="N608" i="21"/>
  <c r="N559" i="21"/>
  <c r="N634" i="21"/>
  <c r="N554" i="21"/>
  <c r="H9403" i="5"/>
  <c r="H9333" i="5"/>
  <c r="H9371" i="5"/>
  <c r="H9192" i="5"/>
  <c r="H9345" i="5"/>
  <c r="H8427" i="5"/>
  <c r="H8446" i="5"/>
  <c r="H8387" i="5"/>
  <c r="H8302" i="5"/>
  <c r="H8218" i="5"/>
  <c r="H7434" i="5"/>
  <c r="H8287" i="5"/>
  <c r="H8540" i="5"/>
  <c r="H8633" i="5"/>
  <c r="H7408" i="5"/>
  <c r="H6450" i="5"/>
  <c r="H6140" i="5"/>
  <c r="H6438" i="5"/>
  <c r="H6194" i="5"/>
  <c r="H5295" i="5"/>
  <c r="H5407" i="5"/>
  <c r="H5358" i="5"/>
  <c r="H5455" i="5"/>
  <c r="H4997" i="5"/>
  <c r="H4785" i="5"/>
  <c r="H5010" i="5"/>
  <c r="H4966" i="5"/>
  <c r="H4972" i="5"/>
  <c r="H4775" i="5"/>
  <c r="H4594" i="5"/>
  <c r="H4637" i="5"/>
  <c r="H4611" i="5"/>
  <c r="H4233" i="5"/>
  <c r="H3991" i="5"/>
  <c r="H4332" i="5"/>
  <c r="H4262" i="5"/>
  <c r="H4217" i="5"/>
  <c r="H4100" i="5"/>
  <c r="H4035" i="5"/>
  <c r="H4077" i="5"/>
  <c r="H3946" i="5"/>
  <c r="H3627" i="5"/>
  <c r="H3852" i="5"/>
  <c r="H3912" i="5"/>
  <c r="H3302" i="5"/>
  <c r="H3723" i="5"/>
  <c r="H3924" i="5"/>
  <c r="H3622" i="5"/>
  <c r="H3774" i="5"/>
  <c r="H3804" i="5"/>
  <c r="H3756" i="5"/>
  <c r="H3665" i="5"/>
  <c r="H3328" i="5"/>
  <c r="H3194" i="5"/>
  <c r="H3138" i="5"/>
  <c r="H2949" i="5"/>
  <c r="H2900" i="5"/>
  <c r="H3274" i="5"/>
  <c r="H2959" i="5"/>
  <c r="H2815" i="5"/>
  <c r="H2764" i="5"/>
  <c r="H3371" i="5"/>
  <c r="H3155" i="5"/>
  <c r="H3337" i="5"/>
  <c r="H2300" i="5"/>
  <c r="H2190" i="5"/>
  <c r="H2161" i="5"/>
  <c r="H2115" i="5"/>
  <c r="H2324" i="5"/>
  <c r="H2129" i="5"/>
  <c r="H2169" i="5"/>
  <c r="H1983" i="5"/>
  <c r="H1899" i="5"/>
  <c r="H2121" i="5"/>
  <c r="H1671" i="5"/>
  <c r="H1631" i="5"/>
  <c r="H1625" i="5"/>
  <c r="H1508" i="5"/>
  <c r="H1502" i="5"/>
  <c r="H1732" i="5"/>
  <c r="H1052" i="5"/>
  <c r="H1172" i="5"/>
  <c r="H1059" i="5"/>
  <c r="H998" i="5"/>
  <c r="H936" i="5"/>
  <c r="H878" i="5"/>
  <c r="H1245" i="5"/>
  <c r="H1068" i="5"/>
  <c r="H1137" i="5"/>
  <c r="H922" i="5"/>
  <c r="H870" i="5"/>
  <c r="H1200" i="5"/>
  <c r="H1118" i="5"/>
  <c r="H1084" i="5"/>
  <c r="H956" i="5"/>
  <c r="H943" i="5"/>
  <c r="H827" i="5"/>
  <c r="H725" i="5"/>
  <c r="H785" i="5"/>
  <c r="H718" i="5"/>
  <c r="H709" i="5"/>
  <c r="H449" i="5"/>
  <c r="H761" i="5"/>
  <c r="H499" i="5"/>
  <c r="H526" i="5"/>
  <c r="H492" i="5"/>
  <c r="H396" i="5"/>
  <c r="H459" i="5"/>
  <c r="H216" i="5"/>
  <c r="H207" i="5"/>
  <c r="H89" i="5"/>
  <c r="H242" i="5"/>
  <c r="H151" i="5"/>
  <c r="H123" i="5"/>
  <c r="K209" i="21" l="1"/>
  <c r="H7130" i="5"/>
  <c r="K204" i="21"/>
  <c r="G40" i="5"/>
  <c r="G62" i="5"/>
  <c r="G163" i="5"/>
  <c r="G313" i="5"/>
  <c r="G195" i="5"/>
  <c r="G412" i="5"/>
  <c r="G506" i="5"/>
  <c r="G635" i="5"/>
  <c r="G702" i="5"/>
  <c r="G845" i="5"/>
  <c r="G1385" i="5"/>
  <c r="G1241" i="5"/>
  <c r="G1466" i="5"/>
  <c r="G1406" i="5"/>
  <c r="G1753" i="5"/>
  <c r="G1717" i="5"/>
  <c r="G1789" i="5"/>
  <c r="G1910" i="5"/>
  <c r="G1889" i="5"/>
  <c r="G1521" i="5"/>
  <c r="G2104" i="5"/>
  <c r="G2077" i="5"/>
  <c r="G2349" i="5"/>
  <c r="G2892" i="5"/>
  <c r="G2775" i="5"/>
  <c r="G3698" i="5"/>
  <c r="G3054" i="5"/>
  <c r="G3449" i="5"/>
  <c r="G3798" i="5"/>
  <c r="G3878" i="5"/>
  <c r="G4154" i="5"/>
  <c r="G4108" i="5"/>
  <c r="G4245" i="5"/>
  <c r="G4659" i="5"/>
  <c r="G4172" i="5"/>
  <c r="G4470" i="5"/>
  <c r="G4410" i="5"/>
  <c r="G4771" i="5"/>
  <c r="G5172" i="5"/>
  <c r="G5054" i="5"/>
  <c r="G4677" i="5"/>
  <c r="G4810" i="5"/>
  <c r="G6210" i="5"/>
  <c r="G5566" i="5"/>
  <c r="G5155" i="5"/>
  <c r="G5444" i="5"/>
  <c r="G7502" i="5"/>
  <c r="G7416" i="5"/>
  <c r="G7477" i="5"/>
  <c r="G8202" i="5"/>
  <c r="G8566" i="5"/>
  <c r="G8294" i="5"/>
  <c r="G7317" i="5"/>
  <c r="G8671" i="5"/>
  <c r="G9056" i="5"/>
  <c r="G9419" i="5"/>
  <c r="G8972" i="5"/>
  <c r="G9254" i="5"/>
  <c r="K79" i="21"/>
  <c r="G109" i="5"/>
  <c r="G100" i="5"/>
  <c r="G199" i="5"/>
  <c r="G549" i="5"/>
  <c r="G981" i="5"/>
  <c r="G1154" i="5"/>
  <c r="G1456" i="5"/>
  <c r="G1614" i="5"/>
  <c r="G1817" i="5"/>
  <c r="G2147" i="5"/>
  <c r="G2036" i="5"/>
  <c r="G2257" i="5"/>
  <c r="G2994" i="5"/>
  <c r="G3126" i="5"/>
  <c r="G3520" i="5"/>
  <c r="G3553" i="5"/>
  <c r="G4127" i="5"/>
  <c r="G4046" i="5"/>
  <c r="G3699" i="5"/>
  <c r="G4207" i="5"/>
  <c r="G4451" i="5"/>
  <c r="G4482" i="5"/>
  <c r="G4655" i="5"/>
  <c r="G5395" i="5"/>
  <c r="G5213" i="5"/>
  <c r="G6161" i="5"/>
  <c r="G5223" i="5"/>
  <c r="G6278" i="5"/>
  <c r="G7443" i="5"/>
  <c r="G6401" i="5"/>
  <c r="G6303" i="5"/>
  <c r="H8647" i="5"/>
  <c r="G8422" i="5"/>
  <c r="G7501" i="5"/>
  <c r="G8506" i="5"/>
  <c r="G7346" i="5"/>
  <c r="G8488" i="5"/>
  <c r="G8276" i="5"/>
  <c r="G9240" i="5"/>
  <c r="G9231" i="5"/>
  <c r="K222" i="21"/>
  <c r="G185" i="5"/>
  <c r="G478" i="5"/>
  <c r="G507" i="5"/>
  <c r="G1027" i="5"/>
  <c r="G1126" i="5"/>
  <c r="G1391" i="5"/>
  <c r="G1497" i="5"/>
  <c r="G1421" i="5"/>
  <c r="G1740" i="5"/>
  <c r="G1823" i="5"/>
  <c r="G1955" i="5"/>
  <c r="G1648" i="5"/>
  <c r="G1953" i="5"/>
  <c r="G1637" i="5"/>
  <c r="G1775" i="5"/>
  <c r="G2155" i="5"/>
  <c r="G2091" i="5"/>
  <c r="G2759" i="5"/>
  <c r="G2340" i="5"/>
  <c r="G2277" i="5"/>
  <c r="G3262" i="5"/>
  <c r="G3068" i="5"/>
  <c r="G3821" i="5"/>
  <c r="G4085" i="5"/>
  <c r="G3839" i="5"/>
  <c r="G4456" i="5"/>
  <c r="G4408" i="5"/>
  <c r="G4550" i="5"/>
  <c r="G4827" i="5"/>
  <c r="G4759" i="5"/>
  <c r="G5111" i="5"/>
  <c r="G4630" i="5"/>
  <c r="G4924" i="5"/>
  <c r="G4688" i="5"/>
  <c r="G5057" i="5"/>
  <c r="G5005" i="5"/>
  <c r="G5224" i="5"/>
  <c r="G4651" i="5"/>
  <c r="G6216" i="5"/>
  <c r="G5177" i="5"/>
  <c r="G6171" i="5"/>
  <c r="G5226" i="5"/>
  <c r="G7351" i="5"/>
  <c r="G6227" i="5"/>
  <c r="G6294" i="5"/>
  <c r="G6411" i="5"/>
  <c r="G7362" i="5"/>
  <c r="G6172" i="5"/>
  <c r="G6244" i="5"/>
  <c r="G7430" i="5"/>
  <c r="G8225" i="5"/>
  <c r="G8487" i="5"/>
  <c r="G8364" i="5"/>
  <c r="G7403" i="5"/>
  <c r="G8548" i="5"/>
  <c r="G9144" i="5"/>
  <c r="G9253" i="5"/>
  <c r="G9024" i="5"/>
  <c r="K165" i="21"/>
  <c r="K288" i="21"/>
  <c r="G258" i="5"/>
  <c r="O63" i="21"/>
  <c r="P63" i="21" s="1"/>
  <c r="G362" i="5"/>
  <c r="G593" i="5"/>
  <c r="G664" i="5"/>
  <c r="G594" i="5"/>
  <c r="G973" i="5"/>
  <c r="G1133" i="5"/>
  <c r="G1542" i="5"/>
  <c r="G1643" i="5"/>
  <c r="G1653" i="5"/>
  <c r="G2092" i="5"/>
  <c r="G2178" i="5"/>
  <c r="G2805" i="5"/>
  <c r="G3019" i="5"/>
  <c r="G2964" i="5"/>
  <c r="G3297" i="5"/>
  <c r="G3100" i="5"/>
  <c r="G3676" i="5"/>
  <c r="G4054" i="5"/>
  <c r="G4274" i="5"/>
  <c r="G4509" i="5"/>
  <c r="G4226" i="5"/>
  <c r="G4258" i="5"/>
  <c r="G4420" i="5"/>
  <c r="G4438" i="5"/>
  <c r="G4858" i="5"/>
  <c r="G5042" i="5"/>
  <c r="G6176" i="5"/>
  <c r="G5346" i="5"/>
  <c r="G6434" i="5"/>
  <c r="G6400" i="5"/>
  <c r="G7455" i="5"/>
  <c r="G8441" i="5"/>
  <c r="G8553" i="5"/>
  <c r="G8629" i="5"/>
  <c r="G9260" i="5"/>
  <c r="G9270" i="5"/>
  <c r="G9450" i="5"/>
  <c r="G8900" i="5"/>
  <c r="G8752" i="5"/>
  <c r="G9180" i="5"/>
  <c r="G9256" i="5"/>
  <c r="G9269" i="5"/>
  <c r="G371" i="5"/>
  <c r="G643" i="5"/>
  <c r="G543" i="5"/>
  <c r="G619" i="5"/>
  <c r="G1407" i="5"/>
  <c r="G1335" i="5"/>
  <c r="G1555" i="5"/>
  <c r="G1842" i="5"/>
  <c r="G1664" i="5"/>
  <c r="G1961" i="5"/>
  <c r="G1777" i="5"/>
  <c r="G1571" i="5"/>
  <c r="G1548" i="5"/>
  <c r="G2044" i="5"/>
  <c r="G2185" i="5"/>
  <c r="G2154" i="5"/>
  <c r="G2218" i="5"/>
  <c r="G2832" i="5"/>
  <c r="G2842" i="5"/>
  <c r="G3283" i="5"/>
  <c r="G3584" i="5"/>
  <c r="G2999" i="5"/>
  <c r="G3075" i="5"/>
  <c r="G3186" i="5"/>
  <c r="G3311" i="5"/>
  <c r="G2929" i="5"/>
  <c r="G3170" i="5"/>
  <c r="G3393" i="5"/>
  <c r="G3487" i="5"/>
  <c r="G4213" i="5"/>
  <c r="G4096" i="5"/>
  <c r="G4424" i="5"/>
  <c r="G4345" i="5"/>
  <c r="G4795" i="5"/>
  <c r="G5088" i="5"/>
  <c r="G6238" i="5"/>
  <c r="G5426" i="5"/>
  <c r="G5230" i="5"/>
  <c r="G6225" i="5"/>
  <c r="G6287" i="5"/>
  <c r="G6424" i="5"/>
  <c r="G8456" i="5"/>
  <c r="G9040" i="5"/>
  <c r="K207" i="21"/>
  <c r="G20" i="5"/>
  <c r="G141" i="5"/>
  <c r="G768" i="5"/>
  <c r="G863" i="5"/>
  <c r="G1077" i="5"/>
  <c r="G1125" i="5"/>
  <c r="G1124" i="5"/>
  <c r="G1161" i="5"/>
  <c r="G1498" i="5"/>
  <c r="G1848" i="5"/>
  <c r="G1749" i="5"/>
  <c r="G1679" i="5"/>
  <c r="G2076" i="5"/>
  <c r="G1992" i="5"/>
  <c r="G2220" i="5"/>
  <c r="G2852" i="5"/>
  <c r="G2869" i="5"/>
  <c r="G3090" i="5"/>
  <c r="G3151" i="5"/>
  <c r="G3345" i="5"/>
  <c r="G3234" i="5"/>
  <c r="G3317" i="5"/>
  <c r="G3172" i="5"/>
  <c r="G3291" i="5"/>
  <c r="G3580" i="5"/>
  <c r="G3715" i="5"/>
  <c r="G3861" i="5"/>
  <c r="G3762" i="5"/>
  <c r="G4184" i="5"/>
  <c r="G4212" i="5"/>
  <c r="G4185" i="5"/>
  <c r="G4588" i="5"/>
  <c r="G4818" i="5"/>
  <c r="G4984" i="5"/>
  <c r="G4826" i="5"/>
  <c r="G5133" i="5"/>
  <c r="G6286" i="5"/>
  <c r="G5371" i="5"/>
  <c r="G5425" i="5"/>
  <c r="G5208" i="5"/>
  <c r="G6231" i="5"/>
  <c r="G6469" i="5"/>
  <c r="G6199" i="5"/>
  <c r="G8517" i="5"/>
  <c r="G7376" i="5"/>
  <c r="G8463" i="5"/>
  <c r="G8940" i="5"/>
  <c r="G5272" i="5"/>
  <c r="G8257" i="5"/>
  <c r="G7497" i="5"/>
  <c r="H7495" i="5" s="1"/>
  <c r="G9284" i="5"/>
  <c r="G9092" i="5"/>
  <c r="O218" i="21"/>
  <c r="P218" i="21" s="1"/>
  <c r="O200" i="21"/>
  <c r="P200" i="21" s="1"/>
  <c r="G685" i="5"/>
  <c r="G612" i="5"/>
  <c r="G625" i="5"/>
  <c r="G684" i="5"/>
  <c r="G779" i="5"/>
  <c r="G1252" i="5"/>
  <c r="G1233" i="5"/>
  <c r="G1282" i="5"/>
  <c r="G1341" i="5"/>
  <c r="G1436" i="5"/>
  <c r="G1471" i="5"/>
  <c r="G1854" i="5"/>
  <c r="G1767" i="5"/>
  <c r="G1971" i="5"/>
  <c r="G2097" i="5"/>
  <c r="G2879" i="5"/>
  <c r="G2334" i="5"/>
  <c r="G2286" i="5"/>
  <c r="G2361" i="5"/>
  <c r="G2916" i="5"/>
  <c r="G3004" i="5"/>
  <c r="G3014" i="5"/>
  <c r="G3269" i="5"/>
  <c r="G3024" i="5"/>
  <c r="G3180" i="5"/>
  <c r="G3780" i="5"/>
  <c r="G4115" i="5"/>
  <c r="G4147" i="5"/>
  <c r="G4190" i="5"/>
  <c r="G5006" i="5"/>
  <c r="G4943" i="5"/>
  <c r="G4917" i="5"/>
  <c r="G5251" i="5"/>
  <c r="G5377" i="5"/>
  <c r="G5209" i="5"/>
  <c r="G5554" i="5"/>
  <c r="G7352" i="5"/>
  <c r="G6362" i="5"/>
  <c r="G6399" i="5"/>
  <c r="G7176" i="5"/>
  <c r="G7264" i="5"/>
  <c r="G8277" i="5"/>
  <c r="G8523" i="5"/>
  <c r="G7234" i="5"/>
  <c r="G7319" i="5"/>
  <c r="G7389" i="5"/>
  <c r="G8365" i="5"/>
  <c r="G9201" i="5"/>
  <c r="G9232" i="5"/>
  <c r="O493" i="21"/>
  <c r="P493" i="21" s="1"/>
  <c r="O108" i="21"/>
  <c r="P108" i="21" s="1"/>
  <c r="G31" i="5"/>
  <c r="G49" i="5"/>
  <c r="G94" i="5"/>
  <c r="G314" i="5"/>
  <c r="G479" i="5"/>
  <c r="G705" i="5"/>
  <c r="G627" i="5"/>
  <c r="G917" i="5"/>
  <c r="G767" i="5"/>
  <c r="G1146" i="5"/>
  <c r="G1195" i="5"/>
  <c r="G1367" i="5"/>
  <c r="G1294" i="5"/>
  <c r="G1482" i="5"/>
  <c r="G1515" i="5"/>
  <c r="G1708" i="5"/>
  <c r="G1578" i="5"/>
  <c r="G1969" i="5"/>
  <c r="G2643" i="5"/>
  <c r="G2924" i="5"/>
  <c r="G2944" i="5"/>
  <c r="G3115" i="5"/>
  <c r="G3037" i="5"/>
  <c r="G3602" i="5"/>
  <c r="G3716" i="5"/>
  <c r="G4118" i="5"/>
  <c r="G4031" i="5"/>
  <c r="G4368" i="5"/>
  <c r="G4117" i="5"/>
  <c r="G4435" i="5"/>
  <c r="G4447" i="5"/>
  <c r="G4468" i="5"/>
  <c r="G4686" i="5"/>
  <c r="G4400" i="5"/>
  <c r="G4894" i="5"/>
  <c r="G5016" i="5"/>
  <c r="G4687" i="5"/>
  <c r="G4992" i="5"/>
  <c r="G5093" i="5"/>
  <c r="G5141" i="5"/>
  <c r="G6185" i="5"/>
  <c r="G6344" i="5"/>
  <c r="G5331" i="5"/>
  <c r="G5560" i="5"/>
  <c r="G5232" i="5"/>
  <c r="G5309" i="5"/>
  <c r="G5438" i="5"/>
  <c r="G6423" i="5"/>
  <c r="G6276" i="5"/>
  <c r="G6375" i="5"/>
  <c r="G6353" i="5"/>
  <c r="G7182" i="5"/>
  <c r="G8529" i="5"/>
  <c r="G8200" i="5"/>
  <c r="G8639" i="5"/>
  <c r="G9215" i="5"/>
  <c r="G9385" i="5"/>
  <c r="G9209" i="5"/>
  <c r="K68" i="21"/>
  <c r="K213" i="21"/>
  <c r="O213" i="21"/>
  <c r="P213" i="21" s="1"/>
  <c r="K208" i="21"/>
  <c r="O208" i="21"/>
  <c r="P208" i="21" s="1"/>
  <c r="K80" i="21"/>
  <c r="O80" i="21"/>
  <c r="P80" i="21" s="1"/>
  <c r="H5268" i="5"/>
  <c r="K515" i="21"/>
  <c r="O515" i="21"/>
  <c r="P515" i="21" s="1"/>
  <c r="G1296" i="5" l="1"/>
  <c r="G4305" i="5"/>
  <c r="H4368" i="5"/>
  <c r="G3367" i="5"/>
  <c r="G3352" i="5"/>
  <c r="G2885" i="5"/>
  <c r="G1904" i="5"/>
  <c r="G67" i="5"/>
  <c r="G99" i="5"/>
  <c r="G8872" i="5"/>
  <c r="G3686" i="5"/>
  <c r="H3780" i="5"/>
  <c r="H2916" i="5"/>
  <c r="G2551" i="5"/>
  <c r="H8940" i="5"/>
  <c r="H6284" i="5"/>
  <c r="H4586" i="5"/>
  <c r="G3020" i="5"/>
  <c r="G3162" i="5"/>
  <c r="G8600" i="5"/>
  <c r="G7491" i="5"/>
  <c r="G7933" i="5"/>
  <c r="G6642" i="5"/>
  <c r="G6459" i="5"/>
  <c r="G3572" i="5"/>
  <c r="H2185" i="5"/>
  <c r="H9448" i="5"/>
  <c r="G9141" i="5"/>
  <c r="H7454" i="5"/>
  <c r="G6690" i="5"/>
  <c r="G5354" i="5"/>
  <c r="G2727" i="5"/>
  <c r="H1540" i="5"/>
  <c r="G8564" i="5"/>
  <c r="G9150" i="5"/>
  <c r="H7402" i="5"/>
  <c r="G7288" i="5"/>
  <c r="G4620" i="5"/>
  <c r="G4660" i="5"/>
  <c r="G3650" i="5"/>
  <c r="G2019" i="5"/>
  <c r="G6473" i="5"/>
  <c r="G6798" i="5"/>
  <c r="G4394" i="5"/>
  <c r="G3085" i="5"/>
  <c r="G2790" i="5"/>
  <c r="G1583" i="5"/>
  <c r="G1940" i="5"/>
  <c r="G800" i="5"/>
  <c r="G9394" i="5"/>
  <c r="G8788" i="5"/>
  <c r="G6766" i="5"/>
  <c r="G2051" i="5"/>
  <c r="H1889" i="5"/>
  <c r="G1039" i="5"/>
  <c r="G1179" i="5"/>
  <c r="G9414" i="5"/>
  <c r="G7461" i="5"/>
  <c r="G8546" i="5"/>
  <c r="G7078" i="5"/>
  <c r="H6423" i="5"/>
  <c r="G4928" i="5"/>
  <c r="G2197" i="5"/>
  <c r="G601" i="5"/>
  <c r="G375" i="5"/>
  <c r="G193" i="5"/>
  <c r="H30" i="5"/>
  <c r="G8928" i="5"/>
  <c r="H7176" i="5"/>
  <c r="G3595" i="5"/>
  <c r="G2870" i="5"/>
  <c r="H8255" i="5"/>
  <c r="G7026" i="5"/>
  <c r="G5392" i="5"/>
  <c r="G6190" i="5"/>
  <c r="H4984" i="5"/>
  <c r="G3843" i="5"/>
  <c r="G2828" i="5"/>
  <c r="H1990" i="5"/>
  <c r="G1819" i="5"/>
  <c r="G480" i="5"/>
  <c r="G8338" i="5"/>
  <c r="G5373" i="5"/>
  <c r="G5276" i="5"/>
  <c r="G5047" i="5"/>
  <c r="H4424" i="5"/>
  <c r="G2955" i="5"/>
  <c r="H2153" i="5"/>
  <c r="H1547" i="5"/>
  <c r="G1570" i="5"/>
  <c r="G756" i="5"/>
  <c r="G7483" i="5"/>
  <c r="H8625" i="5"/>
  <c r="H8440" i="5"/>
  <c r="H6433" i="5"/>
  <c r="G4962" i="5"/>
  <c r="H4858" i="5"/>
  <c r="H4225" i="5"/>
  <c r="G4005" i="5"/>
  <c r="H2964" i="5"/>
  <c r="G2822" i="5"/>
  <c r="G1315" i="5"/>
  <c r="G8239" i="5"/>
  <c r="H6244" i="5"/>
  <c r="G7481" i="5"/>
  <c r="G5442" i="5"/>
  <c r="G4842" i="5"/>
  <c r="G2990" i="5"/>
  <c r="G3000" i="5"/>
  <c r="G2375" i="5"/>
  <c r="G2206" i="5"/>
  <c r="G2059" i="5"/>
  <c r="H1739" i="5"/>
  <c r="G836" i="5"/>
  <c r="H7440" i="5"/>
  <c r="G4254" i="5"/>
  <c r="G3833" i="5"/>
  <c r="G3376" i="5"/>
  <c r="G1788" i="5"/>
  <c r="G591" i="5"/>
  <c r="H7316" i="5"/>
  <c r="G5315" i="5"/>
  <c r="G4893" i="5"/>
  <c r="G4386" i="5"/>
  <c r="H4659" i="5"/>
  <c r="G3486" i="5"/>
  <c r="H2892" i="5"/>
  <c r="G2367" i="5"/>
  <c r="G691" i="5"/>
  <c r="H163" i="5"/>
  <c r="G1712" i="5"/>
  <c r="G8348" i="5"/>
  <c r="H5560" i="5"/>
  <c r="G4743" i="5"/>
  <c r="G4177" i="5"/>
  <c r="H3599" i="5"/>
  <c r="G3225" i="5"/>
  <c r="H2944" i="5"/>
  <c r="H1366" i="5"/>
  <c r="H7234" i="5"/>
  <c r="G6702" i="5"/>
  <c r="H5554" i="5"/>
  <c r="G3657" i="5"/>
  <c r="H1231" i="5"/>
  <c r="H610" i="5"/>
  <c r="H7375" i="5"/>
  <c r="G7829" i="5"/>
  <c r="G4071" i="5"/>
  <c r="G1829" i="5"/>
  <c r="H1123" i="5"/>
  <c r="H1076" i="5"/>
  <c r="G7617" i="5"/>
  <c r="G7536" i="5"/>
  <c r="H6224" i="5"/>
  <c r="G4709" i="5"/>
  <c r="G3655" i="5"/>
  <c r="G2067" i="5"/>
  <c r="G1998" i="5"/>
  <c r="G7329" i="5"/>
  <c r="G2232" i="5"/>
  <c r="G754" i="5"/>
  <c r="G12" i="5"/>
  <c r="H9024" i="5"/>
  <c r="G7937" i="5"/>
  <c r="G6830" i="5"/>
  <c r="H6410" i="5"/>
  <c r="H7351" i="5"/>
  <c r="G5334" i="5"/>
  <c r="G4978" i="5"/>
  <c r="H4543" i="5"/>
  <c r="G4020" i="5"/>
  <c r="H4083" i="5"/>
  <c r="G3673" i="5"/>
  <c r="G3470" i="5"/>
  <c r="H1496" i="5"/>
  <c r="G360" i="5"/>
  <c r="G7881" i="5"/>
  <c r="G5169" i="5"/>
  <c r="G4195" i="5"/>
  <c r="G4131" i="5"/>
  <c r="H2145" i="5"/>
  <c r="H1817" i="5"/>
  <c r="G1180" i="5"/>
  <c r="G694" i="5"/>
  <c r="H108" i="5"/>
  <c r="H9056" i="5"/>
  <c r="G3816" i="5"/>
  <c r="G2459" i="5"/>
  <c r="G2199" i="5"/>
  <c r="G1781" i="5"/>
  <c r="G1644" i="5"/>
  <c r="H506" i="5"/>
  <c r="G4350" i="5"/>
  <c r="H8639" i="5"/>
  <c r="G7837" i="5"/>
  <c r="G4644" i="5"/>
  <c r="H4684" i="5"/>
  <c r="G2060" i="5"/>
  <c r="H1969" i="5"/>
  <c r="G2111" i="5"/>
  <c r="G1825" i="5"/>
  <c r="G1723" i="5"/>
  <c r="H915" i="5"/>
  <c r="G9130" i="5"/>
  <c r="G8261" i="5"/>
  <c r="H6399" i="5"/>
  <c r="G4884" i="5"/>
  <c r="G2715" i="5"/>
  <c r="G1855" i="5"/>
  <c r="G963" i="5"/>
  <c r="G35" i="5"/>
  <c r="G6299" i="5"/>
  <c r="G5283" i="5"/>
  <c r="G4914" i="5"/>
  <c r="H4826" i="5"/>
  <c r="G4850" i="5"/>
  <c r="G2975" i="5"/>
  <c r="G3091" i="5"/>
  <c r="G2027" i="5"/>
  <c r="G9186" i="5"/>
  <c r="G6460" i="5"/>
  <c r="G5074" i="5"/>
  <c r="G6184" i="5"/>
  <c r="G4908" i="5"/>
  <c r="H4096" i="5"/>
  <c r="G3713" i="5"/>
  <c r="H3281" i="5"/>
  <c r="G1577" i="5"/>
  <c r="G16" i="5"/>
  <c r="G5026" i="5"/>
  <c r="H4509" i="5"/>
  <c r="G8800" i="5"/>
  <c r="G7368" i="5"/>
  <c r="G5744" i="5"/>
  <c r="H4651" i="5"/>
  <c r="H4404" i="5"/>
  <c r="H3260" i="5"/>
  <c r="G2800" i="5"/>
  <c r="G1158" i="5"/>
  <c r="G8210" i="5"/>
  <c r="G6526" i="5"/>
  <c r="G6386" i="5"/>
  <c r="G4915" i="5"/>
  <c r="G4414" i="5"/>
  <c r="H4044" i="5"/>
  <c r="G3844" i="5"/>
  <c r="H8972" i="5"/>
  <c r="G6518" i="5"/>
  <c r="H7414" i="5"/>
  <c r="H4242" i="5"/>
  <c r="G3185" i="5"/>
  <c r="G2940" i="5"/>
  <c r="G1948" i="5"/>
  <c r="G1934" i="5"/>
  <c r="H1384" i="5"/>
  <c r="G1272" i="5"/>
  <c r="G988" i="5"/>
  <c r="G279" i="5"/>
  <c r="H61" i="5"/>
  <c r="G4360" i="5"/>
  <c r="G8492" i="5"/>
  <c r="G8558" i="5"/>
  <c r="G8592" i="5"/>
  <c r="G7945" i="5"/>
  <c r="H7182" i="5"/>
  <c r="G6754" i="5"/>
  <c r="G6256" i="5"/>
  <c r="H6343" i="5"/>
  <c r="H2924" i="5"/>
  <c r="G2395" i="5"/>
  <c r="G1928" i="5"/>
  <c r="G1193" i="5"/>
  <c r="H94" i="5"/>
  <c r="G9044" i="5"/>
  <c r="G3219" i="5"/>
  <c r="G2989" i="5"/>
  <c r="H2286" i="5"/>
  <c r="G72" i="5"/>
  <c r="G8844" i="5"/>
  <c r="G6930" i="5"/>
  <c r="H4211" i="5"/>
  <c r="G3494" i="5"/>
  <c r="G2499" i="5"/>
  <c r="G813" i="5"/>
  <c r="G8876" i="5"/>
  <c r="H8452" i="5"/>
  <c r="G6357" i="5"/>
  <c r="G4249" i="5"/>
  <c r="G4203" i="5"/>
  <c r="G1916" i="5"/>
  <c r="G1526" i="5"/>
  <c r="G675" i="5"/>
  <c r="G8404" i="5"/>
  <c r="G7833" i="5"/>
  <c r="G5616" i="5"/>
  <c r="G4670" i="5"/>
  <c r="G4137" i="5"/>
  <c r="G3256" i="5"/>
  <c r="H3295" i="5"/>
  <c r="H3019" i="5"/>
  <c r="H2177" i="5"/>
  <c r="G1266" i="5"/>
  <c r="G6578" i="5"/>
  <c r="H4456" i="5"/>
  <c r="G1130" i="5"/>
  <c r="H185" i="5"/>
  <c r="G5332" i="5"/>
  <c r="H8671" i="5"/>
  <c r="G3931" i="5"/>
  <c r="G2934" i="5"/>
  <c r="G2435" i="5"/>
  <c r="H410" i="5"/>
  <c r="G8619" i="5"/>
  <c r="G4342" i="5"/>
  <c r="G3971" i="5"/>
  <c r="G8507" i="5"/>
  <c r="G5313" i="5"/>
  <c r="G3955" i="5"/>
  <c r="G8471" i="5"/>
  <c r="H4462" i="5"/>
  <c r="G1598" i="5"/>
  <c r="G2083" i="5"/>
  <c r="G1867" i="5"/>
  <c r="G1165" i="5"/>
  <c r="G9207" i="5"/>
  <c r="H7264" i="5"/>
  <c r="G6292" i="5"/>
  <c r="G5477" i="5"/>
  <c r="G4279" i="5"/>
  <c r="H4143" i="5"/>
  <c r="H3267" i="5"/>
  <c r="H1853" i="5"/>
  <c r="G286" i="5"/>
  <c r="H9092" i="5"/>
  <c r="G7422" i="5"/>
  <c r="G7522" i="5"/>
  <c r="H6231" i="5"/>
  <c r="G5307" i="5"/>
  <c r="H5371" i="5"/>
  <c r="H4818" i="5"/>
  <c r="H3762" i="5"/>
  <c r="G4013" i="5"/>
  <c r="G2052" i="5"/>
  <c r="H862" i="5"/>
  <c r="G54" i="5"/>
  <c r="G8512" i="5"/>
  <c r="G6890" i="5"/>
  <c r="G6850" i="5"/>
  <c r="G5880" i="5"/>
  <c r="G4940" i="5"/>
  <c r="H3309" i="5"/>
  <c r="G3086" i="5"/>
  <c r="G2339" i="5"/>
  <c r="G1678" i="5"/>
  <c r="G1316" i="5"/>
  <c r="G574" i="5"/>
  <c r="G655" i="5"/>
  <c r="H9267" i="5"/>
  <c r="G9457" i="5"/>
  <c r="G8816" i="5"/>
  <c r="G6842" i="5"/>
  <c r="G5319" i="5"/>
  <c r="G5171" i="5"/>
  <c r="G2857" i="5"/>
  <c r="G1979" i="5"/>
  <c r="H250" i="5"/>
  <c r="G7333" i="5"/>
  <c r="H4629" i="5"/>
  <c r="G4250" i="5"/>
  <c r="G3385" i="5"/>
  <c r="G2853" i="5"/>
  <c r="G222" i="5"/>
  <c r="H7345" i="5"/>
  <c r="G7223" i="5"/>
  <c r="H4482" i="5"/>
  <c r="G4696" i="5"/>
  <c r="G2293" i="5"/>
  <c r="G2204" i="5"/>
  <c r="G26" i="5"/>
  <c r="H8293" i="5"/>
  <c r="G8223" i="5"/>
  <c r="G7086" i="5"/>
  <c r="G5384" i="5"/>
  <c r="H5054" i="5"/>
  <c r="H2774" i="5"/>
  <c r="H2103" i="5"/>
  <c r="G1045" i="5"/>
  <c r="H632" i="5"/>
  <c r="G1258" i="5"/>
  <c r="G4874" i="5"/>
  <c r="G8189" i="5"/>
  <c r="G6419" i="5"/>
  <c r="H6352" i="5"/>
  <c r="G5002" i="5"/>
  <c r="H5016" i="5"/>
  <c r="G3594" i="5"/>
  <c r="H2643" i="5"/>
  <c r="G1619" i="5"/>
  <c r="H1514" i="5"/>
  <c r="G1288" i="5"/>
  <c r="G1038" i="5"/>
  <c r="G441" i="5"/>
  <c r="G2259" i="5"/>
  <c r="G2223" i="5"/>
  <c r="G2239" i="5"/>
  <c r="G2279" i="5"/>
  <c r="G2249" i="5"/>
  <c r="G2269" i="5"/>
  <c r="G5104" i="5"/>
  <c r="G9383" i="5"/>
  <c r="G5401" i="5"/>
  <c r="G4559" i="5"/>
  <c r="H2879" i="5"/>
  <c r="G270" i="5"/>
  <c r="G8696" i="5"/>
  <c r="G8245" i="5"/>
  <c r="G4532" i="5"/>
  <c r="H3288" i="5"/>
  <c r="G3460" i="5"/>
  <c r="G639" i="5"/>
  <c r="H9040" i="5"/>
  <c r="G6268" i="5"/>
  <c r="G5352" i="5"/>
  <c r="G2735" i="5"/>
  <c r="G663" i="5"/>
  <c r="H8752" i="5"/>
  <c r="H8900" i="5"/>
  <c r="H2805" i="5"/>
  <c r="G2138" i="5"/>
  <c r="G1800" i="5"/>
  <c r="G271" i="5"/>
  <c r="G6570" i="5"/>
  <c r="G3612" i="5"/>
  <c r="G9434" i="5"/>
  <c r="H8506" i="5"/>
  <c r="G7929" i="5"/>
  <c r="H5223" i="5"/>
  <c r="G5087" i="5"/>
  <c r="H4123" i="5"/>
  <c r="G3241" i="5"/>
  <c r="H3520" i="5"/>
  <c r="G2954" i="5"/>
  <c r="G1849" i="5"/>
  <c r="H979" i="5"/>
  <c r="G9016" i="5"/>
  <c r="G8764" i="5"/>
  <c r="G8924" i="5"/>
  <c r="G7889" i="5"/>
  <c r="G4796" i="5"/>
  <c r="H4770" i="5"/>
  <c r="H3798" i="5"/>
  <c r="H1520" i="5"/>
  <c r="G1615" i="5"/>
  <c r="H1238" i="5"/>
  <c r="H845" i="5"/>
  <c r="G8376" i="5"/>
  <c r="G7465" i="5"/>
  <c r="G5383" i="5"/>
  <c r="H5093" i="5"/>
  <c r="H4990" i="5"/>
  <c r="G4352" i="5"/>
  <c r="G3937" i="5"/>
  <c r="G3246" i="5"/>
  <c r="G2751" i="5"/>
  <c r="G1535" i="5"/>
  <c r="G1554" i="5"/>
  <c r="H1144" i="5"/>
  <c r="H767" i="5"/>
  <c r="H49" i="5"/>
  <c r="G7873" i="5"/>
  <c r="G7383" i="5"/>
  <c r="G8530" i="5"/>
  <c r="G6978" i="5"/>
  <c r="G4026" i="5"/>
  <c r="H2360" i="5"/>
  <c r="G3010" i="5"/>
  <c r="H2097" i="5"/>
  <c r="G1254" i="5"/>
  <c r="G908" i="5"/>
  <c r="G892" i="5"/>
  <c r="G3237" i="5"/>
  <c r="G8596" i="5"/>
  <c r="G21" i="5"/>
  <c r="G6654" i="5"/>
  <c r="G6293" i="5"/>
  <c r="G3579" i="5"/>
  <c r="G3468" i="5"/>
  <c r="H2869" i="5"/>
  <c r="G1281" i="5"/>
  <c r="G1112" i="5"/>
  <c r="G1031" i="5"/>
  <c r="H141" i="5"/>
  <c r="G156" i="5"/>
  <c r="G8198" i="5"/>
  <c r="G8518" i="5"/>
  <c r="G5448" i="5"/>
  <c r="H2999" i="5"/>
  <c r="H3584" i="5"/>
  <c r="H2216" i="5"/>
  <c r="G1659" i="5"/>
  <c r="G1327" i="5"/>
  <c r="G1022" i="5"/>
  <c r="G802" i="5"/>
  <c r="H643" i="5"/>
  <c r="G238" i="5"/>
  <c r="G9178" i="5"/>
  <c r="G8069" i="5"/>
  <c r="G6586" i="5"/>
  <c r="G7482" i="5"/>
  <c r="H4053" i="5"/>
  <c r="G3565" i="5"/>
  <c r="G3177" i="5"/>
  <c r="G3128" i="5"/>
  <c r="G1219" i="5"/>
  <c r="H970" i="5"/>
  <c r="G886" i="5"/>
  <c r="G9241" i="5"/>
  <c r="H8364" i="5"/>
  <c r="G7447" i="5"/>
  <c r="G4323" i="5"/>
  <c r="G3350" i="5"/>
  <c r="G3564" i="5"/>
  <c r="G3242" i="5"/>
  <c r="G2535" i="5"/>
  <c r="H2759" i="5"/>
  <c r="H1823" i="5"/>
  <c r="G1310" i="5"/>
  <c r="G564" i="5"/>
  <c r="G8" i="5"/>
  <c r="G9128" i="5"/>
  <c r="H8274" i="5"/>
  <c r="G8329" i="5"/>
  <c r="G4933" i="5"/>
  <c r="H3552" i="5"/>
  <c r="G2068" i="5"/>
  <c r="G2043" i="5"/>
  <c r="G1259" i="5"/>
  <c r="H199" i="5"/>
  <c r="G7427" i="5"/>
  <c r="H5566" i="5"/>
  <c r="H4810" i="5"/>
  <c r="H4169" i="5"/>
  <c r="G3149" i="5"/>
  <c r="G2595" i="5"/>
  <c r="H39" i="5"/>
  <c r="G6487" i="5"/>
  <c r="G7550" i="5"/>
  <c r="M673" i="21"/>
  <c r="N673" i="21" s="1"/>
  <c r="K31" i="21"/>
  <c r="O31" i="21"/>
  <c r="P31" i="21" s="1"/>
  <c r="G5217" i="5"/>
  <c r="G3324" i="5"/>
  <c r="G3318" i="5"/>
  <c r="G316" i="5"/>
  <c r="G5202" i="5"/>
  <c r="G354" i="5"/>
  <c r="G301" i="5"/>
  <c r="G5216" i="5"/>
  <c r="G5201" i="5"/>
  <c r="H1614" i="5" l="1"/>
  <c r="H2256" i="5"/>
  <c r="H3090" i="5"/>
  <c r="G6211" i="5"/>
  <c r="H8329" i="5"/>
  <c r="H9178" i="5"/>
  <c r="H3149" i="5"/>
  <c r="H8069" i="5"/>
  <c r="H4026" i="5"/>
  <c r="H8528" i="5"/>
  <c r="G4875" i="5"/>
  <c r="H9239" i="5"/>
  <c r="H4321" i="5"/>
  <c r="H8198" i="5"/>
  <c r="H20" i="5"/>
  <c r="H7383" i="5"/>
  <c r="H3612" i="5"/>
  <c r="H2735" i="5"/>
  <c r="H8695" i="5"/>
  <c r="J36" i="21" s="1"/>
  <c r="H9381" i="5"/>
  <c r="H2266" i="5"/>
  <c r="H2293" i="5"/>
  <c r="H221" i="5"/>
  <c r="H4013" i="5"/>
  <c r="H7420" i="5"/>
  <c r="H3971" i="5"/>
  <c r="H4670" i="5"/>
  <c r="H8516" i="5"/>
  <c r="H2989" i="5"/>
  <c r="H9044" i="5"/>
  <c r="H1193" i="5"/>
  <c r="H2395" i="5"/>
  <c r="H1272" i="5"/>
  <c r="H2276" i="5"/>
  <c r="H8800" i="5"/>
  <c r="G682" i="5"/>
  <c r="H6182" i="5"/>
  <c r="H2027" i="5"/>
  <c r="H4850" i="5"/>
  <c r="G1225" i="5"/>
  <c r="H2373" i="5"/>
  <c r="H8239" i="5"/>
  <c r="H5391" i="5"/>
  <c r="H9413" i="5"/>
  <c r="H2790" i="5"/>
  <c r="H4394" i="5"/>
  <c r="G4955" i="5"/>
  <c r="G5170" i="5"/>
  <c r="H5169" i="5" s="1"/>
  <c r="G1321" i="5"/>
  <c r="G1843" i="5"/>
  <c r="G993" i="5"/>
  <c r="G5062" i="5"/>
  <c r="G2093" i="5"/>
  <c r="G1999" i="5"/>
  <c r="G1309" i="5"/>
  <c r="G2306" i="5"/>
  <c r="G3096" i="5"/>
  <c r="G8402" i="5"/>
  <c r="G1007" i="5"/>
  <c r="G1702" i="5"/>
  <c r="G1806" i="5"/>
  <c r="G5113" i="5"/>
  <c r="H7426" i="5"/>
  <c r="H9128" i="5"/>
  <c r="H886" i="5"/>
  <c r="H1219" i="5"/>
  <c r="H6654" i="5"/>
  <c r="H3246" i="5"/>
  <c r="H8924" i="5"/>
  <c r="H7929" i="5"/>
  <c r="H5352" i="5"/>
  <c r="H2246" i="5"/>
  <c r="H7086" i="5"/>
  <c r="H5307" i="5"/>
  <c r="H2083" i="5"/>
  <c r="H2435" i="5"/>
  <c r="H7833" i="5"/>
  <c r="H71" i="5"/>
  <c r="H1576" i="5"/>
  <c r="H963" i="5"/>
  <c r="G1213" i="5"/>
  <c r="H7481" i="5"/>
  <c r="G3510" i="5"/>
  <c r="H9393" i="5"/>
  <c r="H1583" i="5"/>
  <c r="H3126" i="5"/>
  <c r="H2019" i="5"/>
  <c r="H6690" i="5"/>
  <c r="H8600" i="5"/>
  <c r="H3160" i="5"/>
  <c r="H99" i="5"/>
  <c r="G3081" i="5"/>
  <c r="G7242" i="5"/>
  <c r="G3930" i="5"/>
  <c r="G1660" i="5"/>
  <c r="G7246" i="5"/>
  <c r="H2954" i="5"/>
  <c r="H6570" i="5"/>
  <c r="G2865" i="5"/>
  <c r="H4532" i="5"/>
  <c r="H4693" i="5"/>
  <c r="G5118" i="5"/>
  <c r="H9455" i="5"/>
  <c r="H655" i="5"/>
  <c r="H1847" i="5"/>
  <c r="H8618" i="5"/>
  <c r="H8876" i="5"/>
  <c r="H6256" i="5"/>
  <c r="H8558" i="5"/>
  <c r="H278" i="5"/>
  <c r="H1158" i="5"/>
  <c r="H16" i="5"/>
  <c r="G1755" i="5"/>
  <c r="G2075" i="5"/>
  <c r="H4350" i="5"/>
  <c r="H4195" i="5"/>
  <c r="H2230" i="5"/>
  <c r="H3225" i="5"/>
  <c r="H2059" i="5"/>
  <c r="H4961" i="5"/>
  <c r="H5047" i="5"/>
  <c r="H601" i="5"/>
  <c r="G3493" i="5"/>
  <c r="H6642" i="5"/>
  <c r="H2551" i="5"/>
  <c r="G8483" i="5"/>
  <c r="G8552" i="5"/>
  <c r="G1692" i="5"/>
  <c r="G2995" i="5"/>
  <c r="G4136" i="5"/>
  <c r="G2935" i="5"/>
  <c r="G1094" i="5"/>
  <c r="G2318" i="5"/>
  <c r="G4948" i="5"/>
  <c r="G3025" i="5"/>
  <c r="G4806" i="5"/>
  <c r="G8423" i="5"/>
  <c r="G3116" i="5"/>
  <c r="G2200" i="5"/>
  <c r="G6250" i="5"/>
  <c r="G9171" i="5"/>
  <c r="H3564" i="5"/>
  <c r="H3009" i="5"/>
  <c r="H7873" i="5"/>
  <c r="G7251" i="5"/>
  <c r="H8764" i="5"/>
  <c r="H3460" i="5"/>
  <c r="H2236" i="5"/>
  <c r="H1038" i="5"/>
  <c r="G4676" i="5"/>
  <c r="H54" i="5"/>
  <c r="H1165" i="5"/>
  <c r="H8469" i="5"/>
  <c r="H5616" i="5"/>
  <c r="H7945" i="5"/>
  <c r="H5074" i="5"/>
  <c r="H2109" i="5"/>
  <c r="H2459" i="5"/>
  <c r="H4131" i="5"/>
  <c r="H7881" i="5"/>
  <c r="H4017" i="5"/>
  <c r="H12" i="5"/>
  <c r="H750" i="5"/>
  <c r="H7329" i="5"/>
  <c r="H4709" i="5"/>
  <c r="H691" i="5"/>
  <c r="H4842" i="5"/>
  <c r="H1315" i="5"/>
  <c r="H3843" i="5"/>
  <c r="G3485" i="5"/>
  <c r="H9150" i="5"/>
  <c r="H8564" i="5"/>
  <c r="H66" i="5"/>
  <c r="G6480" i="5"/>
  <c r="G8410" i="5"/>
  <c r="G3058" i="5"/>
  <c r="G2843" i="5"/>
  <c r="H564" i="5"/>
  <c r="H2535" i="5"/>
  <c r="H238" i="5"/>
  <c r="H1031" i="5"/>
  <c r="H3231" i="5"/>
  <c r="H5399" i="5"/>
  <c r="H5002" i="5"/>
  <c r="H6419" i="5"/>
  <c r="H4874" i="5"/>
  <c r="H6842" i="5"/>
  <c r="H1865" i="5"/>
  <c r="G5478" i="5"/>
  <c r="H3954" i="5"/>
  <c r="G1378" i="5"/>
  <c r="H1915" i="5"/>
  <c r="H4249" i="5"/>
  <c r="H4359" i="5"/>
  <c r="H2939" i="5"/>
  <c r="H6518" i="5"/>
  <c r="H8208" i="5"/>
  <c r="H5744" i="5"/>
  <c r="H4907" i="5"/>
  <c r="H4914" i="5"/>
  <c r="H4884" i="5"/>
  <c r="H360" i="5"/>
  <c r="H4795" i="5"/>
  <c r="H4386" i="5"/>
  <c r="H591" i="5"/>
  <c r="H5442" i="5"/>
  <c r="H4004" i="5"/>
  <c r="H2852" i="5"/>
  <c r="H8546" i="5"/>
  <c r="H7461" i="5"/>
  <c r="H2051" i="5"/>
  <c r="H3085" i="5"/>
  <c r="H6798" i="5"/>
  <c r="G2985" i="5"/>
  <c r="G744" i="5"/>
  <c r="G6467" i="5"/>
  <c r="G5461" i="5"/>
  <c r="G5469" i="5"/>
  <c r="G3560" i="5"/>
  <c r="G5379" i="5"/>
  <c r="G1207" i="5"/>
  <c r="G9139" i="5"/>
  <c r="G7473" i="5"/>
  <c r="G731" i="5"/>
  <c r="G1265" i="5"/>
  <c r="G7224" i="5"/>
  <c r="G5068" i="5"/>
  <c r="G5163" i="5"/>
  <c r="G904" i="5"/>
  <c r="H8376" i="5"/>
  <c r="G7241" i="5"/>
  <c r="H156" i="5"/>
  <c r="G1013" i="5"/>
  <c r="H908" i="5"/>
  <c r="H6978" i="5"/>
  <c r="H7465" i="5"/>
  <c r="H9016" i="5"/>
  <c r="H9434" i="5"/>
  <c r="H2137" i="5"/>
  <c r="H8244" i="5"/>
  <c r="H1976" i="5"/>
  <c r="H5319" i="5"/>
  <c r="H574" i="5"/>
  <c r="H4940" i="5"/>
  <c r="H6850" i="5"/>
  <c r="H9207" i="5"/>
  <c r="H2934" i="5"/>
  <c r="H2499" i="5"/>
  <c r="H8844" i="5"/>
  <c r="H3219" i="5"/>
  <c r="H5331" i="5"/>
  <c r="H8590" i="5"/>
  <c r="H988" i="5"/>
  <c r="H4414" i="5"/>
  <c r="H6386" i="5"/>
  <c r="H7837" i="5"/>
  <c r="H4978" i="5"/>
  <c r="H1643" i="5"/>
  <c r="H7617" i="5"/>
  <c r="H6702" i="5"/>
  <c r="H4893" i="5"/>
  <c r="H1569" i="5"/>
  <c r="H5276" i="5"/>
  <c r="H8928" i="5"/>
  <c r="H192" i="5"/>
  <c r="H7078" i="5"/>
  <c r="H1179" i="5"/>
  <c r="H6766" i="5"/>
  <c r="H478" i="5"/>
  <c r="H7288" i="5"/>
  <c r="G1286" i="5"/>
  <c r="G841" i="5"/>
  <c r="G4135" i="5"/>
  <c r="G4189" i="5"/>
  <c r="G5436" i="5"/>
  <c r="H2595" i="5"/>
  <c r="H3349" i="5"/>
  <c r="H1279" i="5"/>
  <c r="H1554" i="5"/>
  <c r="H2751" i="5"/>
  <c r="G5237" i="5"/>
  <c r="H5086" i="5"/>
  <c r="H639" i="5"/>
  <c r="H1252" i="5"/>
  <c r="H4555" i="5"/>
  <c r="G512" i="5"/>
  <c r="H3594" i="5"/>
  <c r="H2204" i="5"/>
  <c r="H3384" i="5"/>
  <c r="H2857" i="5"/>
  <c r="H8816" i="5"/>
  <c r="H6292" i="5"/>
  <c r="H1597" i="5"/>
  <c r="H6578" i="5"/>
  <c r="H3253" i="5"/>
  <c r="H4201" i="5"/>
  <c r="H6930" i="5"/>
  <c r="H3185" i="5"/>
  <c r="H6526" i="5"/>
  <c r="H9185" i="5"/>
  <c r="H2974" i="5"/>
  <c r="H35" i="5"/>
  <c r="G1713" i="5"/>
  <c r="H4643" i="5"/>
  <c r="H7937" i="5"/>
  <c r="H4071" i="5"/>
  <c r="H7829" i="5"/>
  <c r="H4743" i="5"/>
  <c r="H1788" i="5"/>
  <c r="H3376" i="5"/>
  <c r="H2827" i="5"/>
  <c r="H6189" i="5"/>
  <c r="H2197" i="5"/>
  <c r="H8872" i="5"/>
  <c r="H2884" i="5"/>
  <c r="G3728" i="5"/>
  <c r="G5149" i="5"/>
  <c r="G3015" i="5"/>
  <c r="G9199" i="5"/>
  <c r="G7247" i="5"/>
  <c r="G4183" i="5"/>
  <c r="G2003" i="5"/>
  <c r="G8524" i="5"/>
  <c r="G1873" i="5"/>
  <c r="G2011" i="5"/>
  <c r="G2312" i="5"/>
  <c r="G1303" i="5"/>
  <c r="G2833" i="5"/>
  <c r="G8416" i="5"/>
  <c r="G1151" i="5"/>
  <c r="G5325" i="5"/>
  <c r="H2043" i="5"/>
  <c r="H8" i="5"/>
  <c r="H6586" i="5"/>
  <c r="H1022" i="5"/>
  <c r="H1658" i="5"/>
  <c r="H1112" i="5"/>
  <c r="H3579" i="5"/>
  <c r="H7889" i="5"/>
  <c r="H3241" i="5"/>
  <c r="H1798" i="5"/>
  <c r="G1921" i="5"/>
  <c r="H663" i="5"/>
  <c r="H5100" i="5"/>
  <c r="H8189" i="5"/>
  <c r="H1258" i="5"/>
  <c r="H1045" i="5"/>
  <c r="H25" i="5"/>
  <c r="H1678" i="5"/>
  <c r="H5880" i="5"/>
  <c r="H6890" i="5"/>
  <c r="H8511" i="5"/>
  <c r="H285" i="5"/>
  <c r="H5313" i="5"/>
  <c r="H4341" i="5"/>
  <c r="H1130" i="5"/>
  <c r="H813" i="5"/>
  <c r="H6754" i="5"/>
  <c r="H1946" i="5"/>
  <c r="H2800" i="5"/>
  <c r="H5026" i="5"/>
  <c r="H2715" i="5"/>
  <c r="H6830" i="5"/>
  <c r="H2067" i="5"/>
  <c r="H4176" i="5"/>
  <c r="H4254" i="5"/>
  <c r="H834" i="5"/>
  <c r="H2822" i="5"/>
  <c r="H7026" i="5"/>
  <c r="H375" i="5"/>
  <c r="H8788" i="5"/>
  <c r="H799" i="5"/>
  <c r="H2727" i="5"/>
  <c r="H6459" i="5"/>
  <c r="H7933" i="5"/>
  <c r="H3367" i="5"/>
  <c r="G2035" i="5"/>
  <c r="G1722" i="5"/>
  <c r="G2848" i="5"/>
  <c r="G5301" i="5"/>
  <c r="G2875" i="5"/>
  <c r="G5215" i="5"/>
  <c r="G3985" i="5"/>
  <c r="G4623" i="5"/>
  <c r="G3866" i="5"/>
  <c r="G4281" i="5"/>
  <c r="G4308" i="5"/>
  <c r="G3679" i="5"/>
  <c r="G3181" i="5"/>
  <c r="G3207" i="5"/>
  <c r="G4717" i="5"/>
  <c r="G3692" i="5"/>
  <c r="G4580" i="5"/>
  <c r="G6325" i="5"/>
  <c r="G342" i="5"/>
  <c r="G9467" i="5"/>
  <c r="G2573" i="5"/>
  <c r="G5252" i="5"/>
  <c r="G3678" i="5"/>
  <c r="G2564" i="5"/>
  <c r="G4280" i="5"/>
  <c r="G3206" i="5"/>
  <c r="G4307" i="5"/>
  <c r="G2565" i="5"/>
  <c r="G9325" i="5"/>
  <c r="G3659" i="5"/>
  <c r="G2572" i="5"/>
  <c r="G9296" i="5"/>
  <c r="G300" i="5"/>
  <c r="G9297" i="5"/>
  <c r="G4622" i="5"/>
  <c r="G3984" i="5"/>
  <c r="G292" i="5"/>
  <c r="G429" i="5"/>
  <c r="G1529" i="5"/>
  <c r="G4716" i="5"/>
  <c r="G307" i="5"/>
  <c r="G6367" i="5"/>
  <c r="G328" i="5"/>
  <c r="G9468" i="5"/>
  <c r="G4579" i="5"/>
  <c r="G3691" i="5"/>
  <c r="G6333" i="5"/>
  <c r="H3316" i="5"/>
  <c r="J13" i="21" s="1"/>
  <c r="G6335" i="5"/>
  <c r="G1536" i="5"/>
  <c r="G6271" i="5"/>
  <c r="G6272" i="5"/>
  <c r="G353" i="5"/>
  <c r="G9326" i="5"/>
  <c r="H3322" i="5"/>
  <c r="G2556" i="5"/>
  <c r="G9312" i="5"/>
  <c r="H5208" i="5"/>
  <c r="G2557" i="5"/>
  <c r="G3865" i="5"/>
  <c r="G9307" i="5"/>
  <c r="G5200" i="5"/>
  <c r="G329" i="5"/>
  <c r="G315" i="5"/>
  <c r="G9308" i="5"/>
  <c r="H6207" i="5" l="1"/>
  <c r="H1997" i="5"/>
  <c r="O391" i="21"/>
  <c r="P391" i="21" s="1"/>
  <c r="K391" i="21"/>
  <c r="O416" i="21"/>
  <c r="P416" i="21" s="1"/>
  <c r="K416" i="21"/>
  <c r="G3702" i="5"/>
  <c r="O378" i="21"/>
  <c r="P378" i="21" s="1"/>
  <c r="K378" i="21"/>
  <c r="H5467" i="5"/>
  <c r="O339" i="21"/>
  <c r="P339" i="21" s="1"/>
  <c r="K339" i="21"/>
  <c r="O399" i="21"/>
  <c r="P399" i="21" s="1"/>
  <c r="K399" i="21"/>
  <c r="H2842" i="5"/>
  <c r="O328" i="21"/>
  <c r="P328" i="21" s="1"/>
  <c r="K328" i="21"/>
  <c r="H3485" i="5"/>
  <c r="O445" i="21"/>
  <c r="P445" i="21" s="1"/>
  <c r="K445" i="21"/>
  <c r="O363" i="21"/>
  <c r="P363" i="21" s="1"/>
  <c r="K363" i="21"/>
  <c r="H4947" i="5"/>
  <c r="O349" i="21"/>
  <c r="P349" i="21" s="1"/>
  <c r="K349" i="21"/>
  <c r="O344" i="21"/>
  <c r="P344" i="21" s="1"/>
  <c r="K344" i="21"/>
  <c r="O458" i="21"/>
  <c r="P458" i="21" s="1"/>
  <c r="K458" i="21"/>
  <c r="G1935" i="5"/>
  <c r="O333" i="21"/>
  <c r="P333" i="21" s="1"/>
  <c r="K333" i="21"/>
  <c r="H7246" i="5"/>
  <c r="G3173" i="5"/>
  <c r="O332" i="21"/>
  <c r="P332" i="21" s="1"/>
  <c r="K332" i="21"/>
  <c r="O352" i="21"/>
  <c r="P352" i="21" s="1"/>
  <c r="K352" i="21"/>
  <c r="H5062" i="5"/>
  <c r="O457" i="21"/>
  <c r="P457" i="21" s="1"/>
  <c r="K457" i="21"/>
  <c r="G2355" i="5"/>
  <c r="H2832" i="5"/>
  <c r="O395" i="21"/>
  <c r="P395" i="21" s="1"/>
  <c r="K395" i="21"/>
  <c r="O480" i="21"/>
  <c r="P480" i="21" s="1"/>
  <c r="K480" i="21"/>
  <c r="H2011" i="5"/>
  <c r="H5149" i="5"/>
  <c r="O375" i="21"/>
  <c r="P375" i="21" s="1"/>
  <c r="K375" i="21"/>
  <c r="O355" i="21"/>
  <c r="P355" i="21" s="1"/>
  <c r="K355" i="21"/>
  <c r="O449" i="21"/>
  <c r="P449" i="21" s="1"/>
  <c r="K449" i="21"/>
  <c r="H4135" i="5"/>
  <c r="O397" i="21"/>
  <c r="P397" i="21" s="1"/>
  <c r="K397" i="21"/>
  <c r="H7473" i="5"/>
  <c r="H743" i="5"/>
  <c r="O390" i="21"/>
  <c r="P390" i="21" s="1"/>
  <c r="K390" i="21"/>
  <c r="O398" i="21"/>
  <c r="P398" i="21" s="1"/>
  <c r="K398" i="21"/>
  <c r="G8536" i="5"/>
  <c r="H3510" i="5"/>
  <c r="O343" i="21"/>
  <c r="P343" i="21" s="1"/>
  <c r="K343" i="21"/>
  <c r="H3095" i="5"/>
  <c r="H1321" i="5"/>
  <c r="H5477" i="5"/>
  <c r="O477" i="21"/>
  <c r="P477" i="21" s="1"/>
  <c r="K477" i="21"/>
  <c r="G1102" i="5"/>
  <c r="G3342" i="5"/>
  <c r="G5243" i="5"/>
  <c r="O380" i="21"/>
  <c r="P380" i="21" s="1"/>
  <c r="K380" i="21"/>
  <c r="G9275" i="5"/>
  <c r="O366" i="21"/>
  <c r="P366" i="21" s="1"/>
  <c r="K366" i="21"/>
  <c r="G7363" i="5"/>
  <c r="H1151" i="5"/>
  <c r="H2003" i="5"/>
  <c r="O481" i="21"/>
  <c r="P481" i="21" s="1"/>
  <c r="K481" i="21"/>
  <c r="O401" i="21"/>
  <c r="P401" i="21" s="1"/>
  <c r="K401" i="21"/>
  <c r="H512" i="5"/>
  <c r="O359" i="21"/>
  <c r="P359" i="21" s="1"/>
  <c r="K359" i="21"/>
  <c r="H5163" i="5"/>
  <c r="H5377" i="5"/>
  <c r="O272" i="21"/>
  <c r="P272" i="21" s="1"/>
  <c r="K272" i="21"/>
  <c r="O387" i="21"/>
  <c r="P387" i="21" s="1"/>
  <c r="K387" i="21"/>
  <c r="O503" i="21"/>
  <c r="P503" i="21" s="1"/>
  <c r="K503" i="21"/>
  <c r="O365" i="21"/>
  <c r="P365" i="21" s="1"/>
  <c r="K365" i="21"/>
  <c r="H4805" i="5"/>
  <c r="O273" i="21"/>
  <c r="P273" i="21" s="1"/>
  <c r="K273" i="21"/>
  <c r="O356" i="21"/>
  <c r="P356" i="21" s="1"/>
  <c r="K356" i="21"/>
  <c r="H1213" i="5"/>
  <c r="O275" i="21"/>
  <c r="P275" i="21" s="1"/>
  <c r="K275" i="21"/>
  <c r="H5111" i="5"/>
  <c r="O330" i="21"/>
  <c r="P330" i="21" s="1"/>
  <c r="K330" i="21"/>
  <c r="H7222" i="5"/>
  <c r="G1929" i="5"/>
  <c r="H2874" i="5"/>
  <c r="O374" i="21"/>
  <c r="P374" i="21" s="1"/>
  <c r="K374" i="21"/>
  <c r="H1303" i="5"/>
  <c r="H9199" i="5"/>
  <c r="O403" i="21"/>
  <c r="P403" i="21" s="1"/>
  <c r="K403" i="21"/>
  <c r="O271" i="21"/>
  <c r="P271" i="21" s="1"/>
  <c r="K271" i="21"/>
  <c r="O348" i="21"/>
  <c r="P348" i="21" s="1"/>
  <c r="K348" i="21"/>
  <c r="H5436" i="5"/>
  <c r="G5385" i="5"/>
  <c r="O435" i="21"/>
  <c r="P435" i="21" s="1"/>
  <c r="K435" i="21"/>
  <c r="H7241" i="5"/>
  <c r="H1265" i="5"/>
  <c r="H5461" i="5"/>
  <c r="G7252" i="5"/>
  <c r="O460" i="21"/>
  <c r="P460" i="21" s="1"/>
  <c r="K460" i="21"/>
  <c r="G4934" i="5"/>
  <c r="H3054" i="5"/>
  <c r="O389" i="21"/>
  <c r="P389" i="21" s="1"/>
  <c r="K389" i="21"/>
  <c r="G9313" i="5"/>
  <c r="G1769" i="5"/>
  <c r="G1776" i="5"/>
  <c r="H9171" i="5"/>
  <c r="H2318" i="5"/>
  <c r="G893" i="5"/>
  <c r="O463" i="21"/>
  <c r="P463" i="21" s="1"/>
  <c r="K463" i="21"/>
  <c r="O459" i="21"/>
  <c r="P459" i="21" s="1"/>
  <c r="K459" i="21"/>
  <c r="H1007" i="5"/>
  <c r="H993" i="5"/>
  <c r="G8582" i="5"/>
  <c r="H1225" i="5"/>
  <c r="O342" i="21"/>
  <c r="P342" i="21" s="1"/>
  <c r="K342" i="21"/>
  <c r="G6329" i="5"/>
  <c r="G9282" i="5"/>
  <c r="O392" i="21"/>
  <c r="P392" i="21" s="1"/>
  <c r="K392" i="21"/>
  <c r="H5301" i="5"/>
  <c r="O400" i="21"/>
  <c r="P400" i="21" s="1"/>
  <c r="K400" i="21"/>
  <c r="H2035" i="5"/>
  <c r="O471" i="21"/>
  <c r="P471" i="21" s="1"/>
  <c r="K471" i="21"/>
  <c r="H1871" i="5"/>
  <c r="H3728" i="5"/>
  <c r="H5237" i="5"/>
  <c r="H840" i="5"/>
  <c r="O274" i="21"/>
  <c r="P274" i="21" s="1"/>
  <c r="K274" i="21"/>
  <c r="G6326" i="5"/>
  <c r="G6380" i="5"/>
  <c r="G9470" i="5"/>
  <c r="H9139" i="5"/>
  <c r="H2984" i="5"/>
  <c r="O444" i="21"/>
  <c r="P444" i="21" s="1"/>
  <c r="K444" i="21"/>
  <c r="G4929" i="5"/>
  <c r="O393" i="21"/>
  <c r="P393" i="21" s="1"/>
  <c r="K393" i="21"/>
  <c r="O346" i="21"/>
  <c r="P346" i="21" s="1"/>
  <c r="K346" i="21"/>
  <c r="H4676" i="5"/>
  <c r="H3115" i="5"/>
  <c r="H2075" i="5"/>
  <c r="H3080" i="5"/>
  <c r="O364" i="21"/>
  <c r="P364" i="21" s="1"/>
  <c r="K364" i="21"/>
  <c r="H2306" i="5"/>
  <c r="G6280" i="5"/>
  <c r="O472" i="21"/>
  <c r="P472" i="21" s="1"/>
  <c r="K472" i="21"/>
  <c r="O358" i="21"/>
  <c r="P358" i="21" s="1"/>
  <c r="K358" i="21"/>
  <c r="G8571" i="5"/>
  <c r="H8414" i="5"/>
  <c r="H4183" i="5"/>
  <c r="O386" i="21"/>
  <c r="P386" i="21" s="1"/>
  <c r="K386" i="21"/>
  <c r="O422" i="21"/>
  <c r="P422" i="21" s="1"/>
  <c r="K422" i="21"/>
  <c r="O404" i="21"/>
  <c r="P404" i="21" s="1"/>
  <c r="K404" i="21"/>
  <c r="H5068" i="5"/>
  <c r="H3558" i="5"/>
  <c r="O372" i="21"/>
  <c r="P372" i="21" s="1"/>
  <c r="K372" i="21"/>
  <c r="H1378" i="5"/>
  <c r="O338" i="21"/>
  <c r="P338" i="21" s="1"/>
  <c r="K338" i="21"/>
  <c r="O335" i="21"/>
  <c r="P335" i="21" s="1"/>
  <c r="K335" i="21"/>
  <c r="H3024" i="5"/>
  <c r="H8552" i="5"/>
  <c r="O341" i="21"/>
  <c r="P341" i="21" s="1"/>
  <c r="K341" i="21"/>
  <c r="O394" i="21"/>
  <c r="P394" i="21" s="1"/>
  <c r="K394" i="21"/>
  <c r="O402" i="21"/>
  <c r="P402" i="21" s="1"/>
  <c r="K402" i="21"/>
  <c r="H1804" i="5"/>
  <c r="H2091" i="5"/>
  <c r="G1107" i="5"/>
  <c r="G2345" i="5"/>
  <c r="H2847" i="5"/>
  <c r="O443" i="21"/>
  <c r="P443" i="21" s="1"/>
  <c r="K443" i="21"/>
  <c r="H2312" i="5"/>
  <c r="H3014" i="5"/>
  <c r="H4189" i="5"/>
  <c r="O381" i="21"/>
  <c r="P381" i="21" s="1"/>
  <c r="K381" i="21"/>
  <c r="H902" i="5"/>
  <c r="H731" i="5"/>
  <c r="H6466" i="5"/>
  <c r="O454" i="21"/>
  <c r="P454" i="21" s="1"/>
  <c r="K454" i="21"/>
  <c r="O451" i="21"/>
  <c r="P451" i="21" s="1"/>
  <c r="K451" i="21"/>
  <c r="H8408" i="5"/>
  <c r="O334" i="21"/>
  <c r="P334" i="21" s="1"/>
  <c r="K334" i="21"/>
  <c r="H6250" i="5"/>
  <c r="H1094" i="5"/>
  <c r="O360" i="21"/>
  <c r="P360" i="21" s="1"/>
  <c r="K360" i="21"/>
  <c r="O478" i="21"/>
  <c r="P478" i="21" s="1"/>
  <c r="K478" i="21"/>
  <c r="H3930" i="5"/>
  <c r="O367" i="21"/>
  <c r="P367" i="21" s="1"/>
  <c r="K367" i="21"/>
  <c r="O351" i="21"/>
  <c r="P351" i="21" s="1"/>
  <c r="K351" i="21"/>
  <c r="H8402" i="5"/>
  <c r="H1841" i="5"/>
  <c r="H681" i="5"/>
  <c r="O368" i="21"/>
  <c r="P368" i="21" s="1"/>
  <c r="K368" i="21"/>
  <c r="O376" i="21"/>
  <c r="P376" i="21" s="1"/>
  <c r="K376" i="21"/>
  <c r="H5325" i="5"/>
  <c r="H8522" i="5"/>
  <c r="G2366" i="5"/>
  <c r="H1286" i="5"/>
  <c r="O361" i="21"/>
  <c r="P361" i="21" s="1"/>
  <c r="K361" i="21"/>
  <c r="H1012" i="5"/>
  <c r="H1207" i="5"/>
  <c r="O329" i="21"/>
  <c r="P329" i="21" s="1"/>
  <c r="K329" i="21"/>
  <c r="O331" i="21"/>
  <c r="P331" i="21" s="1"/>
  <c r="K331" i="21"/>
  <c r="O448" i="21"/>
  <c r="P448" i="21" s="1"/>
  <c r="K448" i="21"/>
  <c r="O353" i="21"/>
  <c r="P353" i="21" s="1"/>
  <c r="K353" i="21"/>
  <c r="H8421" i="5"/>
  <c r="H2994" i="5"/>
  <c r="H1753" i="5"/>
  <c r="O379" i="21"/>
  <c r="P379" i="21" s="1"/>
  <c r="K379" i="21"/>
  <c r="H5117" i="5"/>
  <c r="O373" i="21"/>
  <c r="P373" i="21" s="1"/>
  <c r="K373" i="21"/>
  <c r="O470" i="21"/>
  <c r="P470" i="21" s="1"/>
  <c r="K470" i="21"/>
  <c r="H1309" i="5"/>
  <c r="H4954" i="5"/>
  <c r="O464" i="21"/>
  <c r="P464" i="21" s="1"/>
  <c r="K464" i="21"/>
  <c r="G3071" i="5"/>
  <c r="H3067" i="5" s="1"/>
  <c r="O382" i="21"/>
  <c r="P382" i="21" s="1"/>
  <c r="K382" i="21"/>
  <c r="G780" i="5"/>
  <c r="H3177" i="5"/>
  <c r="H4617" i="5"/>
  <c r="H2571" i="5"/>
  <c r="H4287" i="5"/>
  <c r="H6276" i="5"/>
  <c r="H3201" i="5"/>
  <c r="H5193" i="5"/>
  <c r="H3860" i="5"/>
  <c r="H2555" i="5"/>
  <c r="H346" i="5"/>
  <c r="H429" i="5"/>
  <c r="H5249" i="5"/>
  <c r="H3979" i="5"/>
  <c r="H3685" i="5"/>
  <c r="H4567" i="5"/>
  <c r="H307" i="5"/>
  <c r="H4715" i="5"/>
  <c r="H1526" i="5"/>
  <c r="H1533" i="5"/>
  <c r="H292" i="5"/>
  <c r="H4271" i="5"/>
  <c r="H2563" i="5"/>
  <c r="G6239" i="5" l="1"/>
  <c r="G560" i="5"/>
  <c r="G3824" i="5"/>
  <c r="H8534" i="5"/>
  <c r="G2346" i="5"/>
  <c r="G4761" i="5"/>
  <c r="G1861" i="5"/>
  <c r="G5126" i="5"/>
  <c r="G3076" i="5"/>
  <c r="G3453" i="5"/>
  <c r="G2330" i="5"/>
  <c r="G1922" i="5"/>
  <c r="G9466" i="5"/>
  <c r="G1593" i="5"/>
  <c r="H4928" i="5"/>
  <c r="G1906" i="5"/>
  <c r="H5383" i="5"/>
  <c r="G2930" i="5"/>
  <c r="H1927" i="5"/>
  <c r="G1621" i="5"/>
  <c r="G8502" i="5"/>
  <c r="G1923" i="5"/>
  <c r="G894" i="5"/>
  <c r="H891" i="5" s="1"/>
  <c r="G5366" i="5"/>
  <c r="G4538" i="5"/>
  <c r="H7251" i="5"/>
  <c r="H7361" i="5"/>
  <c r="H3342" i="5"/>
  <c r="G1649" i="5"/>
  <c r="G2864" i="5"/>
  <c r="G781" i="5"/>
  <c r="H778" i="5" s="1"/>
  <c r="G8339" i="5"/>
  <c r="G5450" i="5"/>
  <c r="H2366" i="5"/>
  <c r="H6371" i="5"/>
  <c r="G6201" i="5"/>
  <c r="G628" i="5"/>
  <c r="G7512" i="5"/>
  <c r="H3169" i="5"/>
  <c r="G8349" i="5"/>
  <c r="G1666" i="5"/>
  <c r="G2212" i="5"/>
  <c r="G1361" i="5"/>
  <c r="G470" i="5"/>
  <c r="H1107" i="5"/>
  <c r="G341" i="5"/>
  <c r="G520" i="5"/>
  <c r="G9248" i="5"/>
  <c r="G673" i="5"/>
  <c r="G3658" i="5"/>
  <c r="G4801" i="5"/>
  <c r="G9261" i="5"/>
  <c r="G3574" i="5"/>
  <c r="G3817" i="5"/>
  <c r="G1748" i="5"/>
  <c r="G1592" i="5"/>
  <c r="G2335" i="5"/>
  <c r="G4156" i="5"/>
  <c r="G9219" i="5"/>
  <c r="G1454" i="5"/>
  <c r="G1911" i="5"/>
  <c r="H9281" i="5"/>
  <c r="H8581" i="5"/>
  <c r="H1767" i="5"/>
  <c r="H4933" i="5"/>
  <c r="G1349" i="5"/>
  <c r="G1703" i="5"/>
  <c r="H5243" i="5"/>
  <c r="H1102" i="5"/>
  <c r="G6173" i="5"/>
  <c r="G4762" i="5"/>
  <c r="H1774" i="5"/>
  <c r="G1693" i="5"/>
  <c r="H9274" i="5"/>
  <c r="H1933" i="5"/>
  <c r="G2356" i="5"/>
  <c r="G7503" i="5"/>
  <c r="G1941" i="5"/>
  <c r="G6162" i="5"/>
  <c r="G9255" i="5"/>
  <c r="H2353" i="5" l="1"/>
  <c r="G7391" i="5"/>
  <c r="G2341" i="5"/>
  <c r="G1355" i="5"/>
  <c r="G1336" i="5"/>
  <c r="G587" i="5"/>
  <c r="H1590" i="5"/>
  <c r="G5348" i="5"/>
  <c r="H1648" i="5"/>
  <c r="G1704" i="5"/>
  <c r="G9301" i="5"/>
  <c r="G6174" i="5"/>
  <c r="G3106" i="5"/>
  <c r="G1837" i="5"/>
  <c r="G2838" i="5"/>
  <c r="G1965" i="5"/>
  <c r="G5178" i="5"/>
  <c r="H1939" i="5"/>
  <c r="H7510" i="5"/>
  <c r="H3075" i="5"/>
  <c r="H1347" i="5"/>
  <c r="H1910" i="5"/>
  <c r="H3572" i="5"/>
  <c r="H2210" i="5"/>
  <c r="H2862" i="5"/>
  <c r="G4157" i="5"/>
  <c r="H1904" i="5"/>
  <c r="G485" i="5"/>
  <c r="G8340" i="5"/>
  <c r="G1724" i="5"/>
  <c r="H1859" i="5"/>
  <c r="G3835" i="5"/>
  <c r="G3038" i="5"/>
  <c r="G9367" i="5"/>
  <c r="G1686" i="5"/>
  <c r="H2329" i="5"/>
  <c r="H9253" i="5"/>
  <c r="H2334" i="5"/>
  <c r="H4800" i="5"/>
  <c r="H9246" i="5"/>
  <c r="H336" i="5"/>
  <c r="H624" i="5"/>
  <c r="G8484" i="5"/>
  <c r="G1694" i="5"/>
  <c r="G1667" i="5"/>
  <c r="G3063" i="5"/>
  <c r="G5142" i="5"/>
  <c r="G5156" i="5"/>
  <c r="G3005" i="5"/>
  <c r="G1374" i="5"/>
  <c r="H1746" i="5"/>
  <c r="G6163" i="5"/>
  <c r="G1639" i="5"/>
  <c r="G8350" i="5"/>
  <c r="G1714" i="5"/>
  <c r="G5186" i="5"/>
  <c r="G4111" i="5"/>
  <c r="G4605" i="5"/>
  <c r="H3650" i="5"/>
  <c r="H6199" i="5"/>
  <c r="G1484" i="5"/>
  <c r="G8493" i="5"/>
  <c r="H1920" i="5"/>
  <c r="H5125" i="5"/>
  <c r="G701" i="5"/>
  <c r="G9321" i="5"/>
  <c r="G1831" i="5"/>
  <c r="G4922" i="5"/>
  <c r="G3101" i="5"/>
  <c r="G7504" i="5"/>
  <c r="G3888" i="5"/>
  <c r="G3111" i="5"/>
  <c r="H9260" i="5"/>
  <c r="H671" i="5"/>
  <c r="H519" i="5"/>
  <c r="H4537" i="5"/>
  <c r="G8394" i="5"/>
  <c r="G4901" i="5"/>
  <c r="G1762" i="5"/>
  <c r="G5231" i="5"/>
  <c r="H3816" i="5"/>
  <c r="H466" i="5"/>
  <c r="H8501" i="5"/>
  <c r="H1619" i="5"/>
  <c r="H2929" i="5"/>
  <c r="G3938" i="5"/>
  <c r="H556" i="5"/>
  <c r="G5134" i="5"/>
  <c r="G9463" i="5"/>
  <c r="G1469" i="5"/>
  <c r="G1654" i="5"/>
  <c r="G5367" i="5"/>
  <c r="G2347" i="5"/>
  <c r="H5364" i="5" l="1"/>
  <c r="H4107" i="5"/>
  <c r="O465" i="21"/>
  <c r="P465" i="21" s="1"/>
  <c r="K465" i="21"/>
  <c r="G4317" i="5"/>
  <c r="H9362" i="5"/>
  <c r="H3037" i="5"/>
  <c r="O442" i="21"/>
  <c r="P442" i="21" s="1"/>
  <c r="K442" i="21"/>
  <c r="G1362" i="5"/>
  <c r="G9167" i="5"/>
  <c r="G3939" i="5"/>
  <c r="H484" i="5"/>
  <c r="H3105" i="5"/>
  <c r="H1760" i="5"/>
  <c r="H699" i="5"/>
  <c r="H1372" i="5"/>
  <c r="H2837" i="5"/>
  <c r="G9227" i="5"/>
  <c r="G1705" i="5"/>
  <c r="H1353" i="5"/>
  <c r="G8341" i="5"/>
  <c r="H1829" i="5"/>
  <c r="H1637" i="5"/>
  <c r="H5141" i="5"/>
  <c r="O36" i="21"/>
  <c r="P36" i="21" s="1"/>
  <c r="P14" i="21" s="1"/>
  <c r="K36" i="21"/>
  <c r="K14" i="21" s="1"/>
  <c r="G5341" i="5"/>
  <c r="H1334" i="5"/>
  <c r="H2339" i="5"/>
  <c r="G1409" i="5"/>
  <c r="G1725" i="5"/>
  <c r="O396" i="21"/>
  <c r="P396" i="21" s="1"/>
  <c r="K396" i="21"/>
  <c r="H3110" i="5"/>
  <c r="H5185" i="5"/>
  <c r="H3833" i="5"/>
  <c r="G8574" i="5"/>
  <c r="H5177" i="5"/>
  <c r="H583" i="5"/>
  <c r="G8485" i="5"/>
  <c r="G1695" i="5"/>
  <c r="H4921" i="5"/>
  <c r="H5155" i="5"/>
  <c r="H5345" i="5"/>
  <c r="H9462" i="5"/>
  <c r="H1653" i="5"/>
  <c r="H4900" i="5"/>
  <c r="H3100" i="5"/>
  <c r="H9317" i="5"/>
  <c r="H3004" i="5"/>
  <c r="H1835" i="5"/>
  <c r="G1424" i="5"/>
  <c r="G443" i="5"/>
  <c r="G8351" i="5"/>
  <c r="G1715" i="5"/>
  <c r="O450" i="21"/>
  <c r="P450" i="21" s="1"/>
  <c r="K450" i="21"/>
  <c r="O337" i="21"/>
  <c r="P337" i="21" s="1"/>
  <c r="K337" i="21"/>
  <c r="H5133" i="5"/>
  <c r="O446" i="21"/>
  <c r="P446" i="21" s="1"/>
  <c r="K446" i="21"/>
  <c r="H4603" i="5"/>
  <c r="H3062" i="5"/>
  <c r="O388" i="21"/>
  <c r="P388" i="21" s="1"/>
  <c r="K388" i="21"/>
  <c r="H1664" i="5"/>
  <c r="H7389" i="5"/>
  <c r="G8494" i="5"/>
  <c r="G1687" i="5"/>
  <c r="H2345" i="5"/>
  <c r="O377" i="21"/>
  <c r="P377" i="21" s="1"/>
  <c r="K377" i="21"/>
  <c r="H5230" i="5"/>
  <c r="H3887" i="5"/>
  <c r="G7505" i="5"/>
  <c r="G5451" i="5"/>
  <c r="G8395" i="5"/>
  <c r="G6270" i="5"/>
  <c r="G3907" i="5"/>
  <c r="G9327" i="5"/>
  <c r="G9310" i="5"/>
  <c r="G332" i="5"/>
  <c r="G9329" i="5"/>
  <c r="G9300" i="5"/>
  <c r="G330" i="5"/>
  <c r="G9309" i="5"/>
  <c r="G9311" i="5"/>
  <c r="G331" i="5"/>
  <c r="G9328" i="5"/>
  <c r="G9299" i="5"/>
  <c r="G9298" i="5"/>
  <c r="G1696" i="5" l="1"/>
  <c r="O447" i="21"/>
  <c r="P447" i="21" s="1"/>
  <c r="K447" i="21"/>
  <c r="H1359" i="5"/>
  <c r="G1964" i="5"/>
  <c r="G7541" i="5"/>
  <c r="G5264" i="5"/>
  <c r="O385" i="21"/>
  <c r="P385" i="21" s="1"/>
  <c r="K385" i="21"/>
  <c r="G8495" i="5"/>
  <c r="G1716" i="5"/>
  <c r="O370" i="21"/>
  <c r="P370" i="21" s="1"/>
  <c r="K370" i="21"/>
  <c r="G7506" i="5"/>
  <c r="G1956" i="5"/>
  <c r="G8352" i="5"/>
  <c r="O383" i="21"/>
  <c r="P383" i="21" s="1"/>
  <c r="K383" i="21"/>
  <c r="H8492" i="5"/>
  <c r="G8396" i="5"/>
  <c r="G1688" i="5"/>
  <c r="H8393" i="5"/>
  <c r="H5338" i="5"/>
  <c r="O350" i="21"/>
  <c r="P350" i="21" s="1"/>
  <c r="K350" i="21"/>
  <c r="H4314" i="5"/>
  <c r="O362" i="21"/>
  <c r="P362" i="21" s="1"/>
  <c r="K362" i="21"/>
  <c r="G3442" i="5"/>
  <c r="O347" i="21"/>
  <c r="P347" i="21" s="1"/>
  <c r="K347" i="21"/>
  <c r="O371" i="21"/>
  <c r="P371" i="21" s="1"/>
  <c r="K371" i="21"/>
  <c r="G8342" i="5"/>
  <c r="G7527" i="5"/>
  <c r="G1394" i="5"/>
  <c r="O340" i="21"/>
  <c r="P340" i="21" s="1"/>
  <c r="K340" i="21"/>
  <c r="G8486" i="5"/>
  <c r="H8338" i="5"/>
  <c r="O429" i="21"/>
  <c r="P429" i="21" s="1"/>
  <c r="K429" i="21"/>
  <c r="G1439" i="5"/>
  <c r="G3503" i="5"/>
  <c r="O354" i="21"/>
  <c r="P354" i="21" s="1"/>
  <c r="K354" i="21"/>
  <c r="G3940" i="5"/>
  <c r="G3908" i="5"/>
  <c r="G6322" i="5"/>
  <c r="H9165" i="5"/>
  <c r="G9234" i="5"/>
  <c r="G4158" i="5"/>
  <c r="H441" i="5"/>
  <c r="G3478" i="5"/>
  <c r="G1706" i="5"/>
  <c r="G620" i="5"/>
  <c r="G9226" i="5"/>
  <c r="H5448" i="5"/>
  <c r="G4119" i="5"/>
  <c r="G6327" i="5"/>
  <c r="H7501" i="5"/>
  <c r="G1726" i="5"/>
  <c r="M520" i="21"/>
  <c r="N520" i="21" s="1"/>
  <c r="G9218" i="5"/>
  <c r="G5043" i="5"/>
  <c r="H6265" i="5"/>
  <c r="H9296" i="5"/>
  <c r="H9307" i="5"/>
  <c r="H328" i="5"/>
  <c r="H3894" i="5"/>
  <c r="H9325" i="5"/>
  <c r="K39" i="21" l="1"/>
  <c r="P39" i="21"/>
  <c r="G550" i="5"/>
  <c r="G5285" i="5"/>
  <c r="G7551" i="5"/>
  <c r="G7528" i="5"/>
  <c r="H9215" i="5"/>
  <c r="G435" i="5"/>
  <c r="G6240" i="5"/>
  <c r="G3545" i="5"/>
  <c r="H1961" i="5"/>
  <c r="G7542" i="5"/>
  <c r="G4500" i="5"/>
  <c r="G5259" i="5"/>
  <c r="G4437" i="5"/>
  <c r="G5419" i="5"/>
  <c r="G4452" i="5"/>
  <c r="G7490" i="5"/>
  <c r="H1722" i="5"/>
  <c r="G3432" i="5"/>
  <c r="G6336" i="5"/>
  <c r="H9223" i="5"/>
  <c r="G540" i="5"/>
  <c r="G3719" i="5"/>
  <c r="G3703" i="5"/>
  <c r="G6481" i="5"/>
  <c r="G6488" i="5"/>
  <c r="G369" i="5"/>
  <c r="G3443" i="5"/>
  <c r="G3608" i="5"/>
  <c r="G7228" i="5"/>
  <c r="G4524" i="5"/>
  <c r="G8262" i="5"/>
  <c r="G3677" i="5"/>
  <c r="G6474" i="5"/>
  <c r="G6215" i="5"/>
  <c r="G8570" i="5"/>
  <c r="G5262" i="5"/>
  <c r="G6319" i="5"/>
  <c r="H1702" i="5"/>
  <c r="G3357" i="5"/>
  <c r="G3454" i="5"/>
  <c r="H8348" i="5"/>
  <c r="G8436" i="5"/>
  <c r="G3965" i="5"/>
  <c r="G1342" i="5"/>
  <c r="G6305" i="5"/>
  <c r="G1299" i="5"/>
  <c r="H8483" i="5"/>
  <c r="H1684" i="5"/>
  <c r="G9235" i="5"/>
  <c r="H4115" i="5"/>
  <c r="H616" i="5"/>
  <c r="G1782" i="5"/>
  <c r="G9430" i="5"/>
  <c r="G420" i="5"/>
  <c r="G3399" i="5"/>
  <c r="G3823" i="5"/>
  <c r="G4519" i="5"/>
  <c r="G5420" i="5"/>
  <c r="G3392" i="5"/>
  <c r="G7448" i="5"/>
  <c r="G274" i="5"/>
  <c r="G390" i="5"/>
  <c r="G1957" i="5"/>
  <c r="G5430" i="5"/>
  <c r="H3937" i="5"/>
  <c r="G423" i="5"/>
  <c r="G6334" i="5"/>
  <c r="H1692" i="5"/>
  <c r="G9427" i="5"/>
  <c r="H5040" i="5"/>
  <c r="G8231" i="5"/>
  <c r="M531" i="21"/>
  <c r="N531" i="21" s="1"/>
  <c r="N516" i="21" s="1"/>
  <c r="H4154" i="5"/>
  <c r="G4492" i="5"/>
  <c r="G5432" i="5"/>
  <c r="G5427" i="5"/>
  <c r="G6366" i="5"/>
  <c r="G1329" i="5"/>
  <c r="G7369" i="5"/>
  <c r="H1712" i="5"/>
  <c r="G5415" i="5"/>
  <c r="G8575" i="5"/>
  <c r="K13" i="21"/>
  <c r="K9" i="21" s="1"/>
  <c r="K8" i="21" s="1"/>
  <c r="O13" i="21"/>
  <c r="P13" i="21" s="1"/>
  <c r="P9" i="21" s="1"/>
  <c r="P8" i="21" s="1"/>
  <c r="P682" i="21" l="1"/>
  <c r="H417" i="5"/>
  <c r="H1781" i="5"/>
  <c r="H8433" i="5"/>
  <c r="H1953" i="5"/>
  <c r="H6473" i="5"/>
  <c r="H4523" i="5"/>
  <c r="H548" i="5"/>
  <c r="H270" i="5"/>
  <c r="H3606" i="5"/>
  <c r="H3438" i="5"/>
  <c r="H3698" i="5"/>
  <c r="H3713" i="5"/>
  <c r="H3449" i="5"/>
  <c r="H3356" i="5"/>
  <c r="H7489" i="5"/>
  <c r="H7368" i="5"/>
  <c r="H4490" i="5"/>
  <c r="H389" i="5"/>
  <c r="H7447" i="5"/>
  <c r="H6299" i="5"/>
  <c r="H6215" i="5"/>
  <c r="H8261" i="5"/>
  <c r="H6480" i="5"/>
  <c r="H540" i="5"/>
  <c r="H4447" i="5"/>
  <c r="H9231" i="5"/>
  <c r="H7228" i="5"/>
  <c r="H366" i="5"/>
  <c r="H6357" i="5"/>
  <c r="H8223" i="5"/>
  <c r="H3964" i="5"/>
  <c r="H6487" i="5"/>
  <c r="H3428" i="5"/>
  <c r="H435" i="5"/>
  <c r="G6178" i="5"/>
  <c r="H1327" i="5"/>
  <c r="H9423" i="5"/>
  <c r="H3391" i="5"/>
  <c r="H4514" i="5"/>
  <c r="H3821" i="5"/>
  <c r="H8570" i="5"/>
  <c r="H3673" i="5"/>
  <c r="G6167" i="5"/>
  <c r="H7550" i="5"/>
  <c r="G7543" i="5"/>
  <c r="H4432" i="5"/>
  <c r="H6237" i="5"/>
  <c r="G4766" i="5"/>
  <c r="G7529" i="5"/>
  <c r="H1340" i="5"/>
  <c r="H6333" i="5"/>
  <c r="H3398" i="5"/>
  <c r="H1294" i="5"/>
  <c r="H4498" i="5"/>
  <c r="H5282" i="5"/>
  <c r="P681" i="21"/>
  <c r="H6171" i="5" l="1"/>
  <c r="G3502" i="5"/>
  <c r="G3544" i="5"/>
  <c r="G3477" i="5"/>
  <c r="H4759" i="5"/>
  <c r="G6324" i="5"/>
  <c r="G7544" i="5"/>
  <c r="H6160" i="5"/>
  <c r="G7530" i="5"/>
  <c r="G6328" i="5"/>
  <c r="H3536" i="5" l="1"/>
  <c r="H3493" i="5"/>
  <c r="G5418" i="5"/>
  <c r="G7545" i="5"/>
  <c r="G7531" i="5"/>
  <c r="G6323" i="5"/>
  <c r="G5263" i="5"/>
  <c r="H3468" i="5"/>
  <c r="G5431" i="5"/>
  <c r="G7546" i="5" l="1"/>
  <c r="G7532" i="5"/>
  <c r="H5424" i="5"/>
  <c r="G1477" i="5"/>
  <c r="G3883" i="5"/>
  <c r="H5256" i="5"/>
  <c r="H5414" i="5"/>
  <c r="H6309" i="5"/>
  <c r="H1466" i="5" l="1"/>
  <c r="H7522" i="5"/>
  <c r="H3872" i="5"/>
  <c r="H7536" i="5"/>
  <c r="G1492" i="5" l="1"/>
  <c r="G1432" i="5"/>
  <c r="G1417" i="5"/>
  <c r="H1406" i="5" l="1"/>
  <c r="G1402" i="5"/>
  <c r="H1421" i="5"/>
  <c r="G1447" i="5"/>
  <c r="H1481" i="5"/>
  <c r="G1462" i="5"/>
  <c r="H1451" i="5" l="1"/>
  <c r="H1436" i="5"/>
  <c r="H1391" i="5"/>
</calcChain>
</file>

<file path=xl/sharedStrings.xml><?xml version="1.0" encoding="utf-8"?>
<sst xmlns="http://schemas.openxmlformats.org/spreadsheetml/2006/main" count="87288" uniqueCount="38895">
  <si>
    <t>COMPOSIÇÕES DE CUSTO UNITÁRIO</t>
  </si>
  <si>
    <t>ITEM</t>
  </si>
  <si>
    <t>DESCRIÇÃO</t>
  </si>
  <si>
    <t>DISCRIMINAÇÃO DA COMPOSIÇÃO</t>
  </si>
  <si>
    <t>UNIDADE</t>
  </si>
  <si>
    <t>COEFICIENTE</t>
  </si>
  <si>
    <t>CUSTO UNITÁRIO</t>
  </si>
  <si>
    <t>CUSTO TOTAL</t>
  </si>
  <si>
    <t>TOTAL DO SERVIÇO</t>
  </si>
  <si>
    <t>QTD</t>
  </si>
  <si>
    <t>SF-00001</t>
  </si>
  <si>
    <t>h</t>
  </si>
  <si>
    <t>SF-00002</t>
  </si>
  <si>
    <t>SF-00003</t>
  </si>
  <si>
    <t>SF-00004</t>
  </si>
  <si>
    <t>Anotação de Responsabilidade Técnica</t>
  </si>
  <si>
    <t>un</t>
  </si>
  <si>
    <t>SF-00005</t>
  </si>
  <si>
    <t>SF-00006</t>
  </si>
  <si>
    <t>SF-00007</t>
  </si>
  <si>
    <t>SF-00008</t>
  </si>
  <si>
    <t>SF-00009</t>
  </si>
  <si>
    <t>SF-00010</t>
  </si>
  <si>
    <t>SF-00011</t>
  </si>
  <si>
    <t>SF-00012</t>
  </si>
  <si>
    <t>SF-00013</t>
  </si>
  <si>
    <t>SF-00014</t>
  </si>
  <si>
    <t>CABO DE ACO GALVANIZADO, DIAMETRO 9,53 MM (3/8"), COM ALMA DE FIBRA 6 X 25 F</t>
  </si>
  <si>
    <t>kg</t>
  </si>
  <si>
    <t>SF-00016</t>
  </si>
  <si>
    <t>SF-00017</t>
  </si>
  <si>
    <t>SF-00018</t>
  </si>
  <si>
    <t>SF-00019</t>
  </si>
  <si>
    <t>SF-00020</t>
  </si>
  <si>
    <t>SF-00021</t>
  </si>
  <si>
    <t>SF-00022</t>
  </si>
  <si>
    <t>SF-00023</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</si>
  <si>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</si>
  <si>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</si>
  <si>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</si>
  <si>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</si>
  <si>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</si>
  <si>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</si>
  <si>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</si>
  <si>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</si>
  <si>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</si>
  <si>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</si>
  <si>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</si>
  <si>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</si>
  <si>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</si>
  <si>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SF-00036</t>
  </si>
  <si>
    <t>SF-00037</t>
  </si>
  <si>
    <t>SF-00038</t>
  </si>
  <si>
    <r>
      <t xml:space="preserve">Obs.: remoção </t>
    </r>
    <r>
      <rPr>
        <b/>
        <u/>
        <sz val="10"/>
        <rFont val="Arial"/>
        <family val="2"/>
      </rPr>
      <t>com</t>
    </r>
    <r>
      <rPr>
        <b/>
        <sz val="10"/>
        <rFont val="Arial"/>
        <family val="2"/>
      </rPr>
      <t xml:space="preserve"> reaproveitamento</t>
    </r>
  </si>
  <si>
    <t>SF-00039</t>
  </si>
  <si>
    <t>SF-00040</t>
  </si>
  <si>
    <t>SF-00041</t>
  </si>
  <si>
    <t>SF-00042</t>
  </si>
  <si>
    <t>SF-00043</t>
  </si>
  <si>
    <t>SF-00044</t>
  </si>
  <si>
    <t>SF-00045</t>
  </si>
  <si>
    <t>SF-00046</t>
  </si>
  <si>
    <t>SF-00048</t>
  </si>
  <si>
    <t>M2XMES</t>
  </si>
  <si>
    <t>SF-00049</t>
  </si>
  <si>
    <t>MXMES</t>
  </si>
  <si>
    <t>SF-00051</t>
  </si>
  <si>
    <t>CORDA DE POLIAMIDA 12 MM TIPO BOMBEIRO, PARA TRABALHO EM ALTURA</t>
  </si>
  <si>
    <t>SF-00057</t>
  </si>
  <si>
    <t>m</t>
  </si>
  <si>
    <t>m2</t>
  </si>
  <si>
    <t>SF-00070</t>
  </si>
  <si>
    <t>Chapa de madeira compensada resinada 1,10 x 2,20 m # 6 mm</t>
  </si>
  <si>
    <t>Pini 02.101.000005.MAT</t>
  </si>
  <si>
    <t>PREGO DE ACO POLIDO COM CABECA 18 X 30 (2 3/4 X 10)</t>
  </si>
  <si>
    <t>Oleo de linhaca</t>
  </si>
  <si>
    <t>L</t>
  </si>
  <si>
    <t>Pigmento em po para argamassas, cimentos e outros</t>
  </si>
  <si>
    <t>SF-00073</t>
  </si>
  <si>
    <t>SF-00074</t>
  </si>
  <si>
    <t>ARGAMASSA TRAÇO 1:3 (EM VOLUME DE CIMENTO E AREIA MÉDIA ÚMIDA), PREPARO MANUAL. AF_08/2019</t>
  </si>
  <si>
    <t>m3</t>
  </si>
  <si>
    <t>SF-00075</t>
  </si>
  <si>
    <t>SF-00076</t>
  </si>
  <si>
    <t>SF-00077</t>
  </si>
  <si>
    <t>M3</t>
  </si>
  <si>
    <t>Obs.: Considerando fornecedor de areia e brita a 20 km do Senado Federal.</t>
  </si>
  <si>
    <t>SF-00078</t>
  </si>
  <si>
    <t>SF-00079</t>
  </si>
  <si>
    <t>MES</t>
  </si>
  <si>
    <t>SF-00080</t>
  </si>
  <si>
    <t>CANTONEIRA ACO ABAS IGUAIS (QUALQUER BITOLA), ESPESSURA ENTRE 1/8" E 1/4"</t>
  </si>
  <si>
    <t>ELETRODO REVESTIDO AWS - E7018, DIAMETRO IGUAL A 4,00 MM</t>
  </si>
  <si>
    <t>OXIGENIO, RECARGA PARA CILINDRO DE CONJUNTO OXICORTE GRANDE</t>
  </si>
  <si>
    <t>SF-00081</t>
  </si>
  <si>
    <t>SF-00082</t>
  </si>
  <si>
    <t>Bloco de concreto tipo canaleta 11,5 x 19 x 39 cm</t>
  </si>
  <si>
    <t xml:space="preserve">un </t>
  </si>
  <si>
    <t>Pini 06.103.000505.MAT</t>
  </si>
  <si>
    <t>SF-00083</t>
  </si>
  <si>
    <t>SF-00084</t>
  </si>
  <si>
    <t>ARGAMASSA TRAÇO 1:2:8 (EM VOLUME DE CIMENTO, CAL E AREIA MÉDIA ÚMIDA) PARA EMBOÇO/MASSA ÚNICA/ASSENTAMENTO DE ALVENARIA DE VEDAÇÃO, PREPARO MECÂNICO COM BETONEIRA 400 L. AF_08/2019</t>
  </si>
  <si>
    <t>SF-00085</t>
  </si>
  <si>
    <t>SF-00086</t>
  </si>
  <si>
    <t>ARGAMASSA TRAÇO 1:2:9 (EM VOLUME DE CIMENTO, CAL E AREIA MÉDIA ÚMIDA) PARA EMBOÇO/MASSA ÚNICA/ASSENTAMENTO DE ALVENARIA DE VEDAÇÃO, PREPARO MECÂNICO COM BETONEIRA 600 L. AF_08/2019</t>
  </si>
  <si>
    <t>SF-00087</t>
  </si>
  <si>
    <t>SF-00088</t>
  </si>
  <si>
    <t>SF-00089</t>
  </si>
  <si>
    <t>SF-00090</t>
  </si>
  <si>
    <t>ARGAMASSA INDUSTRIALIZADA PARA CHAPISCO COLANTE, PREPARO COM MISTURADOR DE EIXO HORIZONTAL DE 300 KG. AF_08/2019</t>
  </si>
  <si>
    <t>SF-00091</t>
  </si>
  <si>
    <t>ARGAMASSA TRAÇO 1:3 (EM VOLUME DE CIMENTO E AREIA GROSSA ÚMIDA) PARA CHAPISCO CONVENCIONAL, PREPARO MANUAL. AF_08/2019</t>
  </si>
  <si>
    <t>SF-00092</t>
  </si>
  <si>
    <t>Gesso cola</t>
  </si>
  <si>
    <t>SF-00093</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</si>
  <si>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</si>
  <si>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</si>
  <si>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</si>
  <si>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</si>
  <si>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</si>
  <si>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Pini 06.103.000460.MAT</t>
  </si>
  <si>
    <t>SELANTE A BASE DE RESINAS ACRILICAS PARA TRINCAS</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</si>
  <si>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</si>
  <si>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</si>
  <si>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</si>
  <si>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</si>
  <si>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</si>
  <si>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</si>
  <si>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</si>
  <si>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</si>
  <si>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</si>
  <si>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</si>
  <si>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</si>
  <si>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</si>
  <si>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</si>
  <si>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SF-00102</t>
  </si>
  <si>
    <t>Tinta esmalte sintetico a base de água</t>
  </si>
  <si>
    <t>SF-00103</t>
  </si>
  <si>
    <t>SF-00104</t>
  </si>
  <si>
    <t>REVESTIMENTO EM CERAMICA ESMALTADA EXTRA, PEI MAIOR OU IGUAL 4, FORMATO MAIOR A 2025 CM2</t>
  </si>
  <si>
    <t>SF-00105</t>
  </si>
  <si>
    <t>ARGAMASSA TRAÇO 1:4 (EM VOLUME DE CIMENTO E AREIA MÉDIA ÚMIDA) PARA CONTRAPISO, PREPARO MANUAL. AF_08/2019</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</si>
  <si>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</si>
  <si>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</si>
  <si>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</si>
  <si>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</si>
  <si>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</si>
  <si>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</si>
  <si>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</si>
  <si>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</si>
  <si>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</si>
  <si>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</si>
  <si>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</si>
  <si>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</si>
  <si>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</si>
  <si>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</si>
  <si>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</si>
  <si>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</si>
  <si>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</si>
  <si>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</si>
  <si>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</si>
  <si>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</si>
  <si>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</si>
  <si>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SF-00117</t>
  </si>
  <si>
    <t>SF-00118</t>
  </si>
  <si>
    <t>SF-00119</t>
  </si>
  <si>
    <t>SF-00120</t>
  </si>
  <si>
    <t>SF-00121</t>
  </si>
  <si>
    <t>ABERTURA PARA ENCAIXE DE CUBA OU LAVATORIO EM BANCADA DE MARMORE/ GRANITO OU OUTRO TIPO DE PEDRA NATURAL</t>
  </si>
  <si>
    <t>SF-00122</t>
  </si>
  <si>
    <t>FURO PARA TORNEIRA OU OUTROS ACESSORIOS  EM BANCADA DE MARMORE/ GRANITO OU OUTRO TIPO DE PEDRA NATURAL</t>
  </si>
  <si>
    <t>SF-00123</t>
  </si>
  <si>
    <t>Granito Cinza Andorinha ou equivalente, com 20 mm de espessura e 150 mm de altura, polido, para rodabancada</t>
  </si>
  <si>
    <t>SF-00124</t>
  </si>
  <si>
    <t>Granito Cinza Andorinha, com 20 mm de espessura, polido, para bancadas, com testeira com acabamento em meia esquadria</t>
  </si>
  <si>
    <t>SF-00125</t>
  </si>
  <si>
    <t>ARGAMASSA TRAÇO 1:4 (EM VOLUME DE CIMENTO E AREIA MÉDIA ÚMIDA), PREPARO MANUAL. AF_08/2019</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</si>
  <si>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</si>
  <si>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</si>
  <si>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</si>
  <si>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</si>
  <si>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</si>
  <si>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</si>
  <si>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</si>
  <si>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</si>
  <si>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</si>
  <si>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</si>
  <si>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</si>
  <si>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Pini 06.102.000005.MOE</t>
  </si>
  <si>
    <t>SF-00139</t>
  </si>
  <si>
    <t>Placa de PVC com espessura mínima de 5 mm na cor branca</t>
  </si>
  <si>
    <t>SF-00140</t>
  </si>
  <si>
    <t>ARAME GALVANIZADO 6 BWG, D = 5,16 MM (0,157 KG/M), OU 8 BWG, D = 4,19 MM (0,101 KG/M), OU 10 BWG, D = 3,40 MM (0,0713 KG/M)</t>
  </si>
  <si>
    <t>PARAFUSO ZINCADO, AUTOBROCANTE, FLANGEADO, 4,2 MM X 19 MM</t>
  </si>
  <si>
    <t>SF-00141</t>
  </si>
  <si>
    <t>SF-00142</t>
  </si>
  <si>
    <t>Forro de PVC modular em placas de 625 mm x 1250 mm</t>
  </si>
  <si>
    <t>SF-00143</t>
  </si>
  <si>
    <t>Forro em chapa galvanizada</t>
  </si>
  <si>
    <t>Pintura eletrostática</t>
  </si>
  <si>
    <t>SF-00144</t>
  </si>
  <si>
    <t>SF-00145</t>
  </si>
  <si>
    <t>SF-00146</t>
  </si>
  <si>
    <t>FORRO DE FIBRA MINERAL EM PLACAS DE 625 X 625 MM, E = 15 MM, BORDA RETA, COM PINTURA ANTIMOFO, APOIADO EM PERFIL DE ACO GALVANIZADO COM 24 MM DE BASE - INSTALADO</t>
  </si>
  <si>
    <t>SF-00147</t>
  </si>
  <si>
    <t>UN</t>
  </si>
  <si>
    <t>SF-00148</t>
  </si>
  <si>
    <t>SF-00149</t>
  </si>
  <si>
    <t>SF-00150</t>
  </si>
  <si>
    <t>SF-00151</t>
  </si>
  <si>
    <t>SF-00152</t>
  </si>
  <si>
    <t>Baguetes metálicos</t>
  </si>
  <si>
    <t>SF-00153</t>
  </si>
  <si>
    <t>SF-00154</t>
  </si>
  <si>
    <t>Espelho cristal comum #5mm</t>
  </si>
  <si>
    <t>Pini 27.107.000100.MAT</t>
  </si>
  <si>
    <t>SF-00155</t>
  </si>
  <si>
    <t>SF-00156</t>
  </si>
  <si>
    <t>Obs.: considerando que cada bisnaga rende, no mínimo, 3 m de aplicação.</t>
  </si>
  <si>
    <t>SF-00157</t>
  </si>
  <si>
    <t>SF-00158</t>
  </si>
  <si>
    <t>VIDRO LISO INCOLOR 6 MM - SEM COLOCACAO</t>
  </si>
  <si>
    <t>SF-00159</t>
  </si>
  <si>
    <t>SF-00160</t>
  </si>
  <si>
    <t>SF-00161</t>
  </si>
  <si>
    <t>SF-00166</t>
  </si>
  <si>
    <t>Tubo de ligação para bacia sanitária em PVC, com acabamento cromado, ajustável ou não. Ref.: DECA 1968C ou equivalente</t>
  </si>
  <si>
    <t>SF-00167</t>
  </si>
  <si>
    <t>SF-00168</t>
  </si>
  <si>
    <t>SF-00169</t>
  </si>
  <si>
    <t>SF-00170</t>
  </si>
  <si>
    <t>SF-00171</t>
  </si>
  <si>
    <t>SF-00172</t>
  </si>
  <si>
    <t>SF-00173</t>
  </si>
  <si>
    <t>SF-00174</t>
  </si>
  <si>
    <t>SF-00175</t>
  </si>
  <si>
    <t>Base registro gaveta 3/4" em liga de cobre, mod 4509.202 ref: DECA ou equivalente</t>
  </si>
  <si>
    <t>FITA VEDA ROSCA EM ROLOS DE 18 MM X 50 M (L X C)</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</si>
  <si>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</si>
  <si>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</si>
  <si>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</si>
  <si>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</si>
  <si>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</si>
  <si>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</si>
  <si>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</si>
  <si>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</si>
  <si>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</si>
  <si>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</si>
  <si>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SF-00183</t>
  </si>
  <si>
    <t>Bacia convencional com saída horizontal (Modelo P.90.17 – Linha Ravena – Deca)</t>
  </si>
  <si>
    <t>SF-00184</t>
  </si>
  <si>
    <t>Cuba oval de embutir, mod.: L37, cor branca ref: DECA ou equivalente</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</si>
  <si>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</si>
  <si>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</si>
  <si>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</si>
  <si>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</si>
  <si>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</si>
  <si>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SF-00188</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</si>
  <si>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</si>
  <si>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</si>
  <si>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</si>
  <si>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</si>
  <si>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</si>
  <si>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</si>
  <si>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</si>
  <si>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</si>
  <si>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</si>
  <si>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</si>
  <si>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</si>
  <si>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</si>
  <si>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</si>
  <si>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</si>
  <si>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SF-00198</t>
  </si>
  <si>
    <t>Sifão regulável com tubo de saída corrugado para cozinha, cromado.  Ref.: Modelo VSM182 – Esteves</t>
  </si>
  <si>
    <t>SF-00199</t>
  </si>
  <si>
    <t>SF-00200</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</si>
  <si>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</si>
  <si>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</si>
  <si>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</si>
  <si>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</si>
  <si>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</si>
  <si>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</si>
  <si>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</si>
  <si>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</si>
  <si>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</si>
  <si>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</si>
  <si>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</si>
  <si>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</si>
  <si>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</si>
  <si>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</si>
  <si>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</si>
  <si>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SF-00210</t>
  </si>
  <si>
    <t>SF-00211</t>
  </si>
  <si>
    <t>SF-00212</t>
  </si>
  <si>
    <t>SF-00213</t>
  </si>
  <si>
    <t>SF-00214</t>
  </si>
  <si>
    <t>SF-00215</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</si>
  <si>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</si>
  <si>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</si>
  <si>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</si>
  <si>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</si>
  <si>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</si>
  <si>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</si>
  <si>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</si>
  <si>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</si>
  <si>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</si>
  <si>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</si>
  <si>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</si>
  <si>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</si>
  <si>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</si>
  <si>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</si>
  <si>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</si>
  <si>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</si>
  <si>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</si>
  <si>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</si>
  <si>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</si>
  <si>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</si>
  <si>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</si>
  <si>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</si>
  <si>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</si>
  <si>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SF-00228</t>
  </si>
  <si>
    <t>Caixa 4x2 para drywall</t>
  </si>
  <si>
    <t>SF-00229</t>
  </si>
  <si>
    <t>SF-00230</t>
  </si>
  <si>
    <t>Caixa 4x4 para drywall</t>
  </si>
  <si>
    <t>SF-00231</t>
  </si>
  <si>
    <t>Caixa de passagem em alumínio c/ tampa, 100x100x50mm</t>
  </si>
  <si>
    <t>SF-00232</t>
  </si>
  <si>
    <t>Caixa de passagem em alumínio c/ tampa, 200x200x100mm</t>
  </si>
  <si>
    <t>SF-00233</t>
  </si>
  <si>
    <t>CAIXA DE PASSAGEM ELETRICA DE PAREDE, DE EMBUTIR, EM PVC, COM TAMPA APARAFUSADA, DIMENSOES 150 X 150 X *75* MM</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</si>
  <si>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</si>
  <si>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</si>
  <si>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</si>
  <si>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</si>
  <si>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</si>
  <si>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SF-00237</t>
  </si>
  <si>
    <t>Tiro com pistola para fixação de pino Ø 1/4" em concreto, inclusive cartucho e pino</t>
  </si>
  <si>
    <t>Pini 16.113.000350.MAT</t>
  </si>
  <si>
    <t>Eletrocalha perfurada (cabos elétricos) ou lisa (dados), tipo "U", de aço galvanizado eletrolítico 100 x 50 mm, fabricado em chapa #20 (0,95 mm)</t>
  </si>
  <si>
    <t>Barra roscada em aço Ø 1/4", comprimento 1 m, bicromatizada ou zincada</t>
  </si>
  <si>
    <t>PORCA ZINCADA, SEXTAVADA, DIAMETRO 1/4"</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</si>
  <si>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</si>
  <si>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</si>
  <si>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</si>
  <si>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</si>
  <si>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</si>
  <si>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</si>
  <si>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</si>
  <si>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Pini 16.113.000377.MAT</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</si>
  <si>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</si>
  <si>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</si>
  <si>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</si>
  <si>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</si>
  <si>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</si>
  <si>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Pini 16.113.000356.MAT</t>
  </si>
  <si>
    <t>Eletrocalha perfurada (cabos elétricos) ou lisa (dados), tipo "U", de aço galvanizado eletrolítico 200 x 50 mm, fabricado em chapa #18 (1,25 mm)</t>
  </si>
  <si>
    <t>Suporte suspensão omega para eletrocalha 200 x 50 mm largura x aba</t>
  </si>
  <si>
    <t>SF-00240</t>
  </si>
  <si>
    <t>Pini 16.113.000380.MAT</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</si>
  <si>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</si>
  <si>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</si>
  <si>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</si>
  <si>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</si>
  <si>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Pini 16.113.000359.MAT</t>
  </si>
  <si>
    <t>Eletrocalha perfurada (cabos elétricos) ou lisa (dados), tipo "U", de aço galvanizado eletrolítico 300 x 050 mm, fabricado em chapa #18 (1,25 mm)</t>
  </si>
  <si>
    <t>Suporte suspensão omega para eletrocalha 300 x 50 mm largura x aba</t>
  </si>
  <si>
    <t>SF-00242</t>
  </si>
  <si>
    <t>Pini 16.113.000362.MAT</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</si>
  <si>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</si>
  <si>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</si>
  <si>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</si>
  <si>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</si>
  <si>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Pini 16.113.000344.MAT</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</si>
  <si>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</si>
  <si>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</si>
  <si>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</si>
  <si>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</si>
  <si>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</si>
  <si>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SF-00245</t>
  </si>
  <si>
    <t>Eletroduto de aço com costura galvanização eletrolítica Ø 1 1/4"</t>
  </si>
  <si>
    <t>SF-00246</t>
  </si>
  <si>
    <t>Eletroduto de aço com costura galvanização eletrolítica Ø 1"</t>
  </si>
  <si>
    <t>SF-00247</t>
  </si>
  <si>
    <t>Eletroduto de aço com costura galvanização eletrolítica Ø 2"</t>
  </si>
  <si>
    <t>M</t>
  </si>
  <si>
    <t>SF-00248</t>
  </si>
  <si>
    <t>Eletroduto de aço com costura galvanização eletrolítica Ø 3/4"</t>
  </si>
  <si>
    <t>SF-00249</t>
  </si>
  <si>
    <t>SF-00250</t>
  </si>
  <si>
    <t>SF-00251</t>
  </si>
  <si>
    <t>SF-00252</t>
  </si>
  <si>
    <t>SF-00253</t>
  </si>
  <si>
    <t>Perfilado perfurado em aço galvanizado # 18, 38 x 38 mm</t>
  </si>
  <si>
    <t>Pini 16.113.000972.MAT</t>
  </si>
  <si>
    <t>Suporte curto para perfilado em aço galvanizado # 22, 38 mm x 100 mm</t>
  </si>
  <si>
    <t>Tala 4 furos para emenda 38 mm</t>
  </si>
  <si>
    <t>Tampa de encaixe para perfilado em aço galvanizado 38 mm</t>
  </si>
  <si>
    <t>SF-00254</t>
  </si>
  <si>
    <t>SF-00255</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</si>
  <si>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</si>
  <si>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</si>
  <si>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</si>
  <si>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</si>
  <si>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</si>
  <si>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</si>
  <si>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</si>
  <si>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</si>
  <si>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SF-00260</t>
  </si>
  <si>
    <t>SF-00261</t>
  </si>
  <si>
    <t>Módulo para saída de fio</t>
  </si>
  <si>
    <t>SF-00262</t>
  </si>
  <si>
    <t>Módulo sensor de presença</t>
  </si>
  <si>
    <t>SF-00263</t>
  </si>
  <si>
    <t>TOMADA 2P+T 10A, 250V  (APENAS MODULO)</t>
  </si>
  <si>
    <t>SF-00264</t>
  </si>
  <si>
    <t>TOMADA 2P+T 20A, 250V  (APENAS MODULO)</t>
  </si>
  <si>
    <t>SF-00265</t>
  </si>
  <si>
    <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</si>
  <si>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</si>
  <si>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</si>
  <si>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</si>
  <si>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</si>
  <si>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</si>
  <si>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</si>
  <si>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</si>
  <si>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</si>
  <si>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</si>
  <si>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</si>
  <si>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SF-00271</t>
  </si>
  <si>
    <t>Caixa com tampa fixa em perfil para tomada em perfilado</t>
  </si>
  <si>
    <t>Pini 16.113.000020.MAT</t>
  </si>
  <si>
    <t>Tomada de embutir 2 polos + terra sem placa 250 V 10 A</t>
  </si>
  <si>
    <t>SF-00272</t>
  </si>
  <si>
    <t>Bloco autônomo (luminária de emergência). Ref.: Aureon BLOKITO BLK 500 (9901.0000.1079.05 – Aclaramento e 9901.0000.1128.05 – balizamento)</t>
  </si>
  <si>
    <t>SF-00273</t>
  </si>
  <si>
    <t>Plugue (macho) com 3 polos (2P+T), para 10A</t>
  </si>
  <si>
    <t>Plugue (fêmea) com 3 polos (2P+T), para 10A</t>
  </si>
  <si>
    <t>SF-00274</t>
  </si>
  <si>
    <t>SF-00275</t>
  </si>
  <si>
    <t>SF-00276</t>
  </si>
  <si>
    <t>SF-00277</t>
  </si>
  <si>
    <t>SF-00278</t>
  </si>
  <si>
    <t>Cabo flexível isolado em EPR não halogenado 10 mm² 0,6 a 1 kV</t>
  </si>
  <si>
    <t>Pini 16.119.000304.MAT</t>
  </si>
  <si>
    <t>SF-00279</t>
  </si>
  <si>
    <t>Cabo flexível isolado em EPR não halogenado 16 mm² 0,6 a 1 kV</t>
  </si>
  <si>
    <t>Pini 16.119.000305.MAT</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</si>
  <si>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</si>
  <si>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</si>
  <si>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</si>
  <si>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</si>
  <si>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</si>
  <si>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</si>
  <si>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</si>
  <si>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</si>
  <si>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</si>
  <si>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</si>
  <si>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</si>
  <si>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SF-00293</t>
  </si>
  <si>
    <t>MONTADOR ELETROMECÃNICO COM ENCARGOS COMPLEMENTARES</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</si>
  <si>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</si>
  <si>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</si>
  <si>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</si>
  <si>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</si>
  <si>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</si>
  <si>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</si>
  <si>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Suportes e acessórios de fixação de dutos em chapa de aço #22</t>
  </si>
  <si>
    <t>cj</t>
  </si>
  <si>
    <t>Pini 19.104.000012.MAT</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</si>
  <si>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</si>
  <si>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</si>
  <si>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</si>
  <si>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</si>
  <si>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</si>
  <si>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</si>
  <si>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</si>
  <si>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</si>
  <si>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</si>
  <si>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</si>
  <si>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</si>
  <si>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</si>
  <si>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</si>
  <si>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</si>
  <si>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</si>
  <si>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</si>
  <si>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</si>
  <si>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</si>
  <si>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</si>
  <si>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</si>
  <si>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</si>
  <si>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</si>
  <si>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Pini 19.104.000905.MAT</t>
  </si>
  <si>
    <t>SF-00309</t>
  </si>
  <si>
    <t>Grelha para retorno de ar com lâminas fixas e registro, 50 x 30 cm</t>
  </si>
  <si>
    <t>Pini 19.104.000907.MAT</t>
  </si>
  <si>
    <t>SF-00310</t>
  </si>
  <si>
    <t>SF-00311</t>
  </si>
  <si>
    <t>SF-00312</t>
  </si>
  <si>
    <t>SF-00313</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</si>
  <si>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</si>
  <si>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</si>
  <si>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</si>
  <si>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</si>
  <si>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</si>
  <si>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</si>
  <si>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</si>
  <si>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</si>
  <si>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</si>
  <si>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</si>
  <si>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</si>
  <si>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</si>
  <si>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</si>
  <si>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</si>
  <si>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</si>
  <si>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</si>
  <si>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</si>
  <si>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</si>
  <si>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</si>
  <si>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</si>
  <si>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</si>
  <si>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VALVULA DE ESFERA BRUTA EM BRONZE, BITOLA 1 1/2 " (REF 1552-B)</t>
  </si>
  <si>
    <t>SF-00324</t>
  </si>
  <si>
    <t>VALVULA DE ESFERA BRUTA EM BRONZE, BITOLA 1 1/4 " (REF 1552-B)</t>
  </si>
  <si>
    <t>SF-00325</t>
  </si>
  <si>
    <t>SF-00326</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</si>
  <si>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</si>
  <si>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</si>
  <si>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</si>
  <si>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</si>
  <si>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</si>
  <si>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</si>
  <si>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</si>
  <si>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</si>
  <si>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</si>
  <si>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</si>
  <si>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</si>
  <si>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</si>
  <si>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</si>
  <si>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</si>
  <si>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</si>
  <si>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</si>
  <si>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</si>
  <si>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</si>
  <si>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</si>
  <si>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</si>
  <si>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</si>
  <si>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</si>
  <si>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</si>
  <si>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</si>
  <si>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</si>
  <si>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</si>
  <si>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</si>
  <si>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</si>
  <si>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TUBO ACO CARBONO SEM COSTURA 1 1/2", E= *3,68 MM, SCHEDULE 40, 4,05 KG/M</t>
  </si>
  <si>
    <t>SF-00341</t>
  </si>
  <si>
    <t>SF-00342</t>
  </si>
  <si>
    <t>SF-00343</t>
  </si>
  <si>
    <t>TUBO ACO CARBONO SEM COSTURA 3/4", E= *2,87 MM, SCHEDULE 40, *1,69 KG/M</t>
  </si>
  <si>
    <t>SF-00344</t>
  </si>
  <si>
    <t>SF-00345</t>
  </si>
  <si>
    <t>SF-00346</t>
  </si>
  <si>
    <t>SF-00347</t>
  </si>
  <si>
    <t>SF-00348</t>
  </si>
  <si>
    <t>SF-00349</t>
  </si>
  <si>
    <t>Tubo de cobre flexivel, D = 7/8 ", E = 0,79 mm, para ar-condicionado/ instalacoes gas residenciais e comerciais</t>
  </si>
  <si>
    <t>Pini 19.105.001505.MAT</t>
  </si>
  <si>
    <t>SF-00350</t>
  </si>
  <si>
    <t>Tubo de cobre flexivel, D = 1 ", E = 0,79 mm, para ar-condicionado/ instalacoes gas residenciais e comerciais</t>
  </si>
  <si>
    <t>Pini 19.105.001505.MAT Adaptado</t>
  </si>
  <si>
    <t>SF-00351</t>
  </si>
  <si>
    <t>Tubo de cobre flexivel, D = 1 1/8 ", E = 0,79 mm, para ar-condicionado/ instalacoes gas residenciais e comerciais</t>
  </si>
  <si>
    <t>Pini 19.105.001506.MAT</t>
  </si>
  <si>
    <t>SF-00354</t>
  </si>
  <si>
    <t>SF-00355</t>
  </si>
  <si>
    <t>SF-00356</t>
  </si>
  <si>
    <t>SF-00357</t>
  </si>
  <si>
    <t>SF-00358</t>
  </si>
  <si>
    <t>Painel de TV de 90 x 120 cm, fabricado em MDP. Ref.: Germai Ipanema 90 x 120 x 26,5</t>
  </si>
  <si>
    <t>SF-00359</t>
  </si>
  <si>
    <t>BATENTE PARA PORTA DE MADEIRA, PADRÃO MÉDIO - FORNECIMENTO E MONTAGEM. AF_12/2019</t>
  </si>
  <si>
    <t>SF-00360</t>
  </si>
  <si>
    <t>Chapa de proteção em aço inox AISI 304, largura conforme projeto, 400 mm de altura, chapa com espessura de 1 mm, acabamento escovado fosco</t>
  </si>
  <si>
    <t>SF-00361</t>
  </si>
  <si>
    <t>DOBRADICA EM LATAO, 3 " X 2 1/2 ", E= 1,9 A 2 MM, COM ANEL, CROMADO, TAMPA BOLA, COM PARAFUSOS</t>
  </si>
  <si>
    <t>PARAFUSO ROSCA SOBERBA ZINCADO CABECA CHATA FENDA SIMPLES 3,5 X 25 MM (1 ")</t>
  </si>
  <si>
    <t>CARPINTEIRO DE ESQUADRIA COM ENCARGOS COMPLEMENTARES</t>
  </si>
  <si>
    <t>H</t>
  </si>
  <si>
    <t>SERVENTE COM ENCARGOS COMPLEMENTARES</t>
  </si>
  <si>
    <t>SF-00362</t>
  </si>
  <si>
    <t>SF-00363</t>
  </si>
  <si>
    <t>SF-00364</t>
  </si>
  <si>
    <t>SF-00365</t>
  </si>
  <si>
    <t>SF-00366</t>
  </si>
  <si>
    <t>SF-00367</t>
  </si>
  <si>
    <t>PEDREIRO COM ENCARGOS COMPLEMENTARES</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</si>
  <si>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</si>
  <si>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</si>
  <si>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</si>
  <si>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</si>
  <si>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</si>
  <si>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</si>
  <si>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</si>
  <si>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</si>
  <si>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</si>
  <si>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</si>
  <si>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</si>
  <si>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</si>
  <si>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</si>
  <si>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</si>
  <si>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</si>
  <si>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</si>
  <si>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</si>
  <si>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</si>
  <si>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</si>
  <si>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</si>
  <si>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</si>
  <si>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CABO TELEFONICO CCI 50, 2 PARES, USO INTERNO, SEM BLINDAGEM</t>
  </si>
  <si>
    <t>SF-00379</t>
  </si>
  <si>
    <t>Tampa p/ conector /RJ45. ref.: Schneider Electric PRM47761 (padrão Keystone), Schneider Electric PRM47771 (padrão AMP)</t>
  </si>
  <si>
    <t>SF-00380</t>
  </si>
  <si>
    <t>Grelha para retorno para portas, divisórias e paredes 525x325 mm, Ref. Trox AGS-T</t>
  </si>
  <si>
    <t>SF-00408</t>
  </si>
  <si>
    <t>CJ</t>
  </si>
  <si>
    <t>SF-00467</t>
  </si>
  <si>
    <t>ESPUMA EXPANSIVA DE POLIURETANO, APLICACAO MANUAL - 500 ML</t>
  </si>
  <si>
    <t>SF-00563</t>
  </si>
  <si>
    <t>ARGAMASSA PRONTA PARA CONTRAPISO</t>
  </si>
  <si>
    <t>SF-00564</t>
  </si>
  <si>
    <t>SF-00565</t>
  </si>
  <si>
    <t>SF-00566</t>
  </si>
  <si>
    <t>SF-00567</t>
  </si>
  <si>
    <t>SF-00568</t>
  </si>
  <si>
    <t>Obs.: Considerando fornecedor de areia a 20 km do Senado Federal.</t>
  </si>
  <si>
    <t>SF-00569</t>
  </si>
  <si>
    <t>PEDRA BRITADA N. 0, OU PEDRISCO (4,8 A 9,5 MM) POSTO PEDREIRA/FORNECEDOR, SEM FRETE</t>
  </si>
  <si>
    <t>Obs.: Considerando fornecedor de brita a 20 km do Senado Federal.</t>
  </si>
  <si>
    <t>SF-00570</t>
  </si>
  <si>
    <t>SF-00571</t>
  </si>
  <si>
    <t>SF-00572</t>
  </si>
  <si>
    <t>SF-00573</t>
  </si>
  <si>
    <t>SF-00574</t>
  </si>
  <si>
    <t>SF-00575</t>
  </si>
  <si>
    <t>SF-00576</t>
  </si>
  <si>
    <t>ACO CA-50, 6,3 MM, VERGALHAO</t>
  </si>
  <si>
    <t>SF-00577</t>
  </si>
  <si>
    <t>ACO CA-50, 8,0 MM, VERGALHAO</t>
  </si>
  <si>
    <t>SF-00578</t>
  </si>
  <si>
    <t>SF-00579</t>
  </si>
  <si>
    <t>ACO CA-50, 12,5 MM OU 16,0 MM, VERGALHAO</t>
  </si>
  <si>
    <t>SF-00580</t>
  </si>
  <si>
    <t>SF-00581</t>
  </si>
  <si>
    <t>ADESIVO ESTRUTURAL A BASE DE RESINA EPOXI, BICOMPONENTE, PASTOSO (TIXOTROPICO)</t>
  </si>
  <si>
    <t>SF-00588</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</si>
  <si>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</si>
  <si>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</si>
  <si>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</si>
  <si>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</si>
  <si>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</si>
  <si>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</si>
  <si>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SF-00710</t>
  </si>
  <si>
    <t>SF-00711</t>
  </si>
  <si>
    <t>AJUDANTE DE CARPINTEIRO COM ENCARGOS COMPLEMENTARES</t>
  </si>
  <si>
    <t>SF-00712</t>
  </si>
  <si>
    <t>AUXILIAR DE SERRALHEIRO COM ENCARGOS COMPLEMENTARES</t>
  </si>
  <si>
    <t>SF-00713</t>
  </si>
  <si>
    <t>SF-00714</t>
  </si>
  <si>
    <t>SF-00715</t>
  </si>
  <si>
    <t>SF-00716</t>
  </si>
  <si>
    <t>SF-00717</t>
  </si>
  <si>
    <t>SF-00844</t>
  </si>
  <si>
    <t>SF-00845</t>
  </si>
  <si>
    <t>VIDRO LISO INCOLOR 5MM - SEM COLOCACAO</t>
  </si>
  <si>
    <t>SF-00846</t>
  </si>
  <si>
    <t>VIDRO TEMPERADO INCOLOR E = 8 MM, SEM COLOCACAO</t>
  </si>
  <si>
    <t>SF-00849</t>
  </si>
  <si>
    <t>VIDRO TEMPERADO INCOLOR E = 10 MM, SEM COLOCACAO</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</si>
  <si>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</si>
  <si>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</si>
  <si>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</si>
  <si>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</si>
  <si>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</si>
  <si>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</si>
  <si>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</si>
  <si>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</si>
  <si>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</si>
  <si>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</si>
  <si>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</si>
  <si>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</si>
  <si>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</si>
  <si>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</si>
  <si>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</si>
  <si>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</si>
  <si>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</si>
  <si>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</si>
  <si>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</si>
  <si>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</si>
  <si>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</si>
  <si>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</si>
  <si>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</si>
  <si>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</si>
  <si>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</si>
  <si>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</si>
  <si>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</si>
  <si>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</si>
  <si>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</si>
  <si>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</si>
  <si>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</si>
  <si>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</si>
  <si>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</si>
  <si>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</si>
  <si>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</si>
  <si>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</si>
  <si>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</si>
  <si>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</si>
  <si>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</si>
  <si>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</si>
  <si>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</si>
  <si>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</si>
  <si>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</si>
  <si>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</si>
  <si>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</si>
  <si>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</si>
  <si>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</si>
  <si>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</si>
  <si>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</si>
  <si>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</si>
  <si>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</si>
  <si>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</si>
  <si>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</si>
  <si>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</si>
  <si>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</si>
  <si>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</si>
  <si>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</si>
  <si>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</si>
  <si>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</si>
  <si>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</si>
  <si>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</si>
  <si>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</si>
  <si>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</si>
  <si>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</si>
  <si>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</si>
  <si>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Vidro laminado incolor de 8mm de espessura</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</si>
  <si>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</si>
  <si>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</si>
  <si>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</si>
  <si>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</si>
  <si>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</si>
  <si>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</si>
  <si>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</si>
  <si>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</si>
  <si>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</si>
  <si>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</si>
  <si>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</si>
  <si>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</si>
  <si>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</si>
  <si>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</si>
  <si>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</si>
  <si>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</si>
  <si>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</si>
  <si>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</si>
  <si>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</si>
  <si>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</si>
  <si>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</si>
  <si>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</si>
  <si>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</si>
  <si>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</si>
  <si>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</si>
  <si>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</si>
  <si>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</si>
  <si>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</si>
  <si>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</si>
  <si>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</si>
  <si>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</si>
  <si>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KG</t>
  </si>
  <si>
    <t>ESPACADOR / DISTANCIADOR CIRCULAR COM ENTRADA LATERAL, EM PLASTICO, PARA VERGALHAO *4,2 A 12,5* MM, COBRIMENTO 20 MM</t>
  </si>
  <si>
    <t>AJUDANTE DE ARMADOR COM ENCARGOS COMPLEMENTARES</t>
  </si>
  <si>
    <t>ARMADOR COM ENCARGOS COMPLEMENTARES</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</si>
  <si>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</si>
  <si>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</si>
  <si>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</si>
  <si>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</si>
  <si>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</si>
  <si>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</si>
  <si>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</si>
  <si>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</si>
  <si>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</si>
  <si>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</si>
  <si>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</si>
  <si>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</si>
  <si>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</si>
  <si>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</si>
  <si>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</si>
  <si>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</si>
  <si>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</si>
  <si>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</si>
  <si>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</si>
  <si>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</si>
  <si>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VIDRO MARTELADO OU CANELADO, 4 MM - SEM COLOCACAO</t>
  </si>
  <si>
    <t>SF-00910</t>
  </si>
  <si>
    <t>VIDRO LISO FUME, E = 5 MM - SEM COLOCACAO</t>
  </si>
  <si>
    <t>SF-00911</t>
  </si>
  <si>
    <t>SF-00912</t>
  </si>
  <si>
    <t>SF-00913</t>
  </si>
  <si>
    <t>Espelho fumê/bronze 4mm lapidado</t>
  </si>
  <si>
    <t>SF-00914</t>
  </si>
  <si>
    <t>SF-00915</t>
  </si>
  <si>
    <t>GRAUTE CIMENTICIO PARA USO GERAL</t>
  </si>
  <si>
    <t>SF-00916</t>
  </si>
  <si>
    <t>SF-00917</t>
  </si>
  <si>
    <t>SF-00918</t>
  </si>
  <si>
    <t>SF-00919</t>
  </si>
  <si>
    <t>SF-00920</t>
  </si>
  <si>
    <t>COMPACTADOR DE SOLOS DE PERCUSSÃO (SOQUETE) COM MOTOR A GASOLINA 4 TEMPOS, POTÊNCIA 4 CV - CHP DIURNO. AF_08/2015</t>
  </si>
  <si>
    <t>CHP</t>
  </si>
  <si>
    <t>COMPACTADOR DE SOLOS DE PERCUSSÃO (SOQUETE) COM MOTOR A GASOLINA 4 TEMPOS, POTÊNCIA 4 CV - CHI DIURNO. AF_08/2015</t>
  </si>
  <si>
    <t>CHI</t>
  </si>
  <si>
    <t>SF-00921</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</si>
  <si>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</si>
  <si>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</si>
  <si>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</si>
  <si>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Obs.: Considerando fornecedor de argila a 20 km do Senado Federal.</t>
  </si>
  <si>
    <t>SF-00922</t>
  </si>
  <si>
    <t>TUBO DE COBRE CLASSE "E", DN = 22 MM, PARA INSTALACAO HIDRAULICA PREDIAL</t>
  </si>
  <si>
    <t>AUXILIAR DE ENCANADOR OU BOMBEIRO HIDRÁULICO COM ENCARGOS COMPLEMENTARES</t>
  </si>
  <si>
    <t>ENCANADOR OU BOMBEIRO HIDRÁULICO COM ENCARGOS COMPLEMENTARES</t>
  </si>
  <si>
    <t>SF-00923</t>
  </si>
  <si>
    <t>TUBO DE COBRE CLASSE "E", DN = 28 MM, PARA INSTALACAO HIDRAULICA PREDIAL</t>
  </si>
  <si>
    <t>SF-00924</t>
  </si>
  <si>
    <t>TUBO DE COBRE CLASSE "E", DN = 42 MM, PARA INSTALACAO HIDRAULICA PREDIAL</t>
  </si>
  <si>
    <t>SF-00925</t>
  </si>
  <si>
    <t>SF-00926</t>
  </si>
  <si>
    <t>Assento poliéster, mod.: Vogue plus, cor branca, com fixação cromada. AP.51 ref: DECA ou equivalente</t>
  </si>
  <si>
    <t>SF-00927</t>
  </si>
  <si>
    <t>Registro gaveta em liga de cobre, bitola 1 1/2" mod:1502.B.112 ref: DECA ou equivalente</t>
  </si>
  <si>
    <t>SF-00928</t>
  </si>
  <si>
    <t>Cabo flexível isolado em EPR não halogenado 25 mm² 0,6 a 1 kV</t>
  </si>
  <si>
    <t>Pini 16.119.000306.MAT</t>
  </si>
  <si>
    <t>SF-00929</t>
  </si>
  <si>
    <t>Cabo flexível isolado em EPR não halogenado 35 mm² 0,6 a 1 kV</t>
  </si>
  <si>
    <t>Pini 16.119.000307.MAT</t>
  </si>
  <si>
    <t>SF-00930</t>
  </si>
  <si>
    <t>Cabo flexível isolado em EPR não halogenado 50 mm² 0,6 a 1 kV</t>
  </si>
  <si>
    <t>Pini 16.119.000308.MAT</t>
  </si>
  <si>
    <t>SF-00931</t>
  </si>
  <si>
    <t>Cabo flexível isolado em EPR não halogenado 70 mm² 0,6 a 1 kV</t>
  </si>
  <si>
    <t>Pini 16.119.000309.MAT</t>
  </si>
  <si>
    <t>SF-00932</t>
  </si>
  <si>
    <t>Cabo flexível isolado em EPR não halogenado 95 mm² 0,6 a 1 kV</t>
  </si>
  <si>
    <t>Pini 16.119.000310.MAT</t>
  </si>
  <si>
    <t>SF-00933</t>
  </si>
  <si>
    <t>Cabo flexível isolado em EPR não halogenado 120 mm² 0,6 a 1 kV</t>
  </si>
  <si>
    <t>Pini 16.119.000311.MAT</t>
  </si>
  <si>
    <t>SF-00934</t>
  </si>
  <si>
    <t>Cabo flexível isolado em EPR não halogenado 150 mm² 0,6 a 1 kV</t>
  </si>
  <si>
    <t>Pini 16.119.000312.MAT</t>
  </si>
  <si>
    <t>SF-00935</t>
  </si>
  <si>
    <t>Cabo flexível isolado em EPR não halogenado 185 mm² 0,6 a 1 kV</t>
  </si>
  <si>
    <t>Pini 16.119.000313.MAT</t>
  </si>
  <si>
    <t>SF-00936</t>
  </si>
  <si>
    <t>Cabo flexível isolado em EPR não halogenado 240 mm² 0,6 a 1 kV</t>
  </si>
  <si>
    <t>Pini 16.119.000314.MAT</t>
  </si>
  <si>
    <t>SF-00937</t>
  </si>
  <si>
    <t>MONTADOR DE ESTRUTURA METÁLICA COM ENCARGOS COMPLEMENTARES</t>
  </si>
  <si>
    <t>TRANSPORTE HORIZONTAL MANUAL, DE TUBO DE AÇO CARBONO LEVE OU MÉDIO, PRETO OU GALVANIZADO, COM DIÂMETRO MAIOR QUE 32 MM E MENOR OU IGUAL A 65 MM (UNIDADE: MXKM). AF_07/2019</t>
  </si>
  <si>
    <t>MXKM</t>
  </si>
  <si>
    <t>SF-00938</t>
  </si>
  <si>
    <t>SF-00940</t>
  </si>
  <si>
    <t>ABRACADEIRA DE NYLON PARA AMARRACAO DE CABOS, COMPRIMENTO DE 200 X *4,6* MM</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</si>
  <si>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</si>
  <si>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</si>
  <si>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</si>
  <si>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</si>
  <si>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</si>
  <si>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</si>
  <si>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</si>
  <si>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</si>
  <si>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</si>
  <si>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</si>
  <si>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TAMPAO FOFO ARTICULADO P/ REGISTRO, CLASSE A15 CARGA MAXIMA 1,5 T, *400 X 400* MM</t>
  </si>
  <si>
    <t>ARGAMASSA TRAÇO 1:4 (EM VOLUME DE CIMENTO E AREIA GROSSA ÚMIDA) PARA CHAPISCO CONVENCIONAL, PREPARO MECÂNICO COM BETONEIRA 400 L. AF_08/2019</t>
  </si>
  <si>
    <t>SF-00947</t>
  </si>
  <si>
    <t>SF-00948</t>
  </si>
  <si>
    <t>LOCACAO DE ANDAIME SUSPENSO OU BALANCIM MANUAL, CAPACIDADE DE CARGA TOTAL DE APROXIMADAMENTE 250 KG/M2, PLATAFORMA DE 1,50 M X 0,80 M (C X L), CABO DE 45 M</t>
  </si>
  <si>
    <t>SF-00950</t>
  </si>
  <si>
    <t>SF-00951</t>
  </si>
  <si>
    <t>SF-00952</t>
  </si>
  <si>
    <t>SF-00953</t>
  </si>
  <si>
    <t>MANTA LIQUIDA DE BASE ASFALTICA MODIFICADA COM A ADICAO DE ELASTOMEROS DILUIDOS EM SOLVENTE ORGANICO, APLICACAO A FRIO (MEMBRANA IMPERMEABILIZANTE ASFASTICA)</t>
  </si>
  <si>
    <t>IMPERMEABILIZADOR COM ENCARGOS COMPLEMENTARES</t>
  </si>
  <si>
    <t>SF-00954</t>
  </si>
  <si>
    <t>CAMADA SEPARADORA DE FILME DE POLIETILENO 20 A 25 MICRA</t>
  </si>
  <si>
    <t>ARGAMASSA TRAÇO 1:3 (EM VOLUME DE CIMENTO E AREIA MÉDIA ÚMIDA) PARA CONTRAPISO, PREPARO MANUAL. AF_08/2019</t>
  </si>
  <si>
    <t>SF-00955</t>
  </si>
  <si>
    <t>TELA DE ARAME GALVANIZADA, HEXAGONAL, FIO 0,56 MM (24 BWG), MALHA 1/2", H = 1 M</t>
  </si>
  <si>
    <t>SF-00956</t>
  </si>
  <si>
    <t>SF-00957</t>
  </si>
  <si>
    <t>SF-00958</t>
  </si>
  <si>
    <t>SF-00959</t>
  </si>
  <si>
    <t>SF-00960</t>
  </si>
  <si>
    <t>SF-00961</t>
  </si>
  <si>
    <t>Broca com ponta de widia Ø 3/8" x 160 mm</t>
  </si>
  <si>
    <t>Furadeira de impacto elétrica - 0,65 kW, Ø mandril 5/8"</t>
  </si>
  <si>
    <t>h prod</t>
  </si>
  <si>
    <r>
      <rPr>
        <b/>
        <sz val="10"/>
        <rFont val="Arial"/>
        <family val="2"/>
      </rPr>
      <t>Fontes:</t>
    </r>
    <r>
      <rPr>
        <sz val="10"/>
        <rFont val="Arial"/>
        <family val="2"/>
      </rPr>
      <t xml:space="preserve"> PINI 05.102.000020.SER</t>
    </r>
  </si>
  <si>
    <t>SF-00962</t>
  </si>
  <si>
    <t>Insert metálico tipo 2, conforme projeto</t>
  </si>
  <si>
    <t>SF-00964</t>
  </si>
  <si>
    <t>Mármore branco especial 20mm</t>
  </si>
  <si>
    <t>SF-00965</t>
  </si>
  <si>
    <t>PARAFUSO DE ACO TIPO CHUMBADOR PARABOLT, DIAMETRO 3/8", COMPRIMENTO 75 MM</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</si>
  <si>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</si>
  <si>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</si>
  <si>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</si>
  <si>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</si>
  <si>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</si>
  <si>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</si>
  <si>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</si>
  <si>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</si>
  <si>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</si>
  <si>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</si>
  <si>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</si>
  <si>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Hidrofugante à base de silano e silicone</t>
  </si>
  <si>
    <t>Pini 10.104.000025.MAT</t>
  </si>
  <si>
    <t>SF-00973</t>
  </si>
  <si>
    <t>Cantoneira em alumínio abas iguais 1" x 1/8" com pintura eletrostática branca</t>
  </si>
  <si>
    <t>SF-00974</t>
  </si>
  <si>
    <t>Granito Amarelo Capri para rodapé</t>
  </si>
  <si>
    <t>SF-00975</t>
  </si>
  <si>
    <t>Lixadeira angular manual elétrica Ø 7" 2200 W 6600 rpm</t>
  </si>
  <si>
    <t>loc/un/dia</t>
  </si>
  <si>
    <t>Pini 05.108.000430.MAT</t>
  </si>
  <si>
    <t>Ponta montada A2 haste 1/4"</t>
  </si>
  <si>
    <t>SF-00976</t>
  </si>
  <si>
    <t>SF-00977</t>
  </si>
  <si>
    <t>Corpo de apoio em polietileno para aplicação de mástiques em juntas</t>
  </si>
  <si>
    <t>Pini 22.115.000010.MAT</t>
  </si>
  <si>
    <t>SELANTE ELASTICO MONOCOMPONENTE A BASE DE POLIURETANO (PU) PARA JUNTAS DIVERSAS</t>
  </si>
  <si>
    <t>SF-00978</t>
  </si>
  <si>
    <t>SF-00980</t>
  </si>
  <si>
    <t>CHUVEIRO COMUM EM PLASTICO BRANCO, COM CANO, 3 TEMPERATURAS, 5500 W (110/220 V)</t>
  </si>
  <si>
    <t>SF-00981</t>
  </si>
  <si>
    <t>SF-00982</t>
  </si>
  <si>
    <t>TELA DE ACO SOLDADA NERVURADA, CA-60, Q-196, (3,11 KG/M2), DIAMETRO DO FIO = 5,0 MM, LARGURA = 2,45 M, ESPACAMENTO DA MALHA = 10 X 10 CM</t>
  </si>
  <si>
    <t>SF-00983</t>
  </si>
  <si>
    <t>SF-00984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</si>
  <si>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</si>
  <si>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</si>
  <si>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SF-00986</t>
  </si>
  <si>
    <t>SF-00987</t>
  </si>
  <si>
    <t>SF-00988</t>
  </si>
  <si>
    <t>TRATOR DE ESTEIRAS, POTÊNCIA 100 HP, PESO OPERACIONAL 9,4 T, COM LÂMINA 2,19 M3 - CHP DIURNO. AF_06/2014</t>
  </si>
  <si>
    <t>SF-00989</t>
  </si>
  <si>
    <t>GRAMA BATATAIS EM PLACAS, SEM PLANTIO</t>
  </si>
  <si>
    <t>JARDINEIRO COM ENCARGOS COMPLEMENTARES</t>
  </si>
  <si>
    <t>CALCARIO DOLOMITICO A (POSTO PEDREIRA/FORNECEDOR, SEM FRETE)</t>
  </si>
  <si>
    <t>TERRA VEGETAL (GRANEL)</t>
  </si>
  <si>
    <t>FERTILIZANTE NPK - 10:10:10</t>
  </si>
  <si>
    <t>FERTILIZANTE ORGANICO COMPOSTO, CLASSE A</t>
  </si>
  <si>
    <t>Obs.: Considerando fornecedor de calcário a 20km do Senado Federal.</t>
  </si>
  <si>
    <t>SF-00990</t>
  </si>
  <si>
    <t>TINTA ACRILICA PREMIUM PARA PISO</t>
  </si>
  <si>
    <t>PINTOR COM ENCARGOS COMPLEMENTARES</t>
  </si>
  <si>
    <t>Obs: considerando uma demão, meio-fio de 30 cm x 15 cm x 13 cm (altura, base inferior, base superior), enterrado 5 cm.</t>
  </si>
  <si>
    <t>SF-00991</t>
  </si>
  <si>
    <t>Obs.: Considerando fornecedor de areia a 20km do Senado Federal.</t>
  </si>
  <si>
    <t>SF-00992</t>
  </si>
  <si>
    <t>CAMINHÃO BASCULANTE 6 M3, PESO BRUTO TOTAL 16.000 KG, CARGA ÚTIL MÁXIMA 13.071 KG, DISTÂNCIA ENTRE EIXOS 4,80 M, POTÊNCIA 230 CV INCLUSIVE CAÇAMBA METÁLICA - CHP DIURNO. AF_06/2014</t>
  </si>
  <si>
    <t>TUBO DRENO, CORRUGADO, ESPIRALADO, FLEXIVEL, PERFURADO, EM POLIETILENO DE ALTA DENSIDADE (PEAD), DN 100 MM, (4") PARA DRENAGEM - EM ROLO (NORMA DNIT 093/2006 - E.M)</t>
  </si>
  <si>
    <t>PLACA VIBRATÓRIA REVERSÍVEL COM MOTOR 4 TEMPOS A GASOLINA, FORÇA CENTRÍFUGA DE 25 KN (2500 KGF), POTÊNCIA 5,5 CV - CHP DIURNO. AF_08/2015</t>
  </si>
  <si>
    <t>Obs.: Considerando fornecedor de brita a 20km do Senado Federal.</t>
  </si>
  <si>
    <t>SF-00994</t>
  </si>
  <si>
    <t>Insert metálico tipo 3, conforme projeto</t>
  </si>
  <si>
    <t>SF-01001</t>
  </si>
  <si>
    <t>SF-01011</t>
  </si>
  <si>
    <t>MARTELETE OU ROMPEDOR PNEUMÁTICO MANUAL, 28 KG, COM SILENCIADOR - CHP DIURNO. AF_07/2016</t>
  </si>
  <si>
    <t>MARTELETE OU ROMPEDOR PNEUMÁTICO MANUAL, 28 KG, COM SILENCIADOR - CHI DIURNO. AF_07/2016</t>
  </si>
  <si>
    <t>SF-01012</t>
  </si>
  <si>
    <t>SF-01013</t>
  </si>
  <si>
    <t>Impermeabilizante Idea HP</t>
  </si>
  <si>
    <t>Obs: Rendimento informado na especificação do serviço (12 m2 para 1 L, considerando duas demãos).</t>
  </si>
  <si>
    <t>Fonte: SINAPI 73872/2</t>
  </si>
  <si>
    <t>SF-01014</t>
  </si>
  <si>
    <t>PLACA VINILICA SEMIFLEXIVEL PARA REVESTIMENTO DE PISOS E PAREDES, E = 2 MM (SEM COLOCACAO)</t>
  </si>
  <si>
    <t>SF-01029</t>
  </si>
  <si>
    <t>SF-01030</t>
  </si>
  <si>
    <t>SF-01031</t>
  </si>
  <si>
    <t>SF-01041</t>
  </si>
  <si>
    <t>TÉCNICO EM SEGURANÇA DO TRABALHO COM ENCARGOS COMPLEMENTARES</t>
  </si>
  <si>
    <t>SF-01053</t>
  </si>
  <si>
    <t>Adesivo epóxi estrutural - bisnaga de 50ml</t>
  </si>
  <si>
    <t>SF-01054</t>
  </si>
  <si>
    <t>Perfil metálico em chapa #14 dobrada</t>
  </si>
  <si>
    <t>SF-01059</t>
  </si>
  <si>
    <t>Granito Vermelho Brasília, com 20 mm de espessura, polido, com testeira para acabamento em meia esquadria, para bancadas</t>
  </si>
  <si>
    <t>SF-01060</t>
  </si>
  <si>
    <t>BUCHA DE NYLON SEM ABA S10, COM PARAFUSO DE 6,10 X 65 MM EM ACO ZINCADO COM ROSCA SOBERBA, CABECA CHATA E FENDA PHILLIPS</t>
  </si>
  <si>
    <t>PORTA DE ABRIR EM ALUMINIO TIPO VENEZIANA, ACABAMENTO ANODIZADO NATURAL, SEM GUARNICAO/ALIZAR/VISTA, 87 X 210 CM</t>
  </si>
  <si>
    <t>SF-01061</t>
  </si>
  <si>
    <t>PARAFUSO DE ACO ZINCADO COM ROSCA SOBERBA, CABECA CHATA E FENDA SIMPLES, DIAMETRO 4,2 MM, COMPRIMENTO * 32 * MM</t>
  </si>
  <si>
    <t>SF-01062</t>
  </si>
  <si>
    <t>PORTA DE ENROLAR MANUAL COMPLETA, ARTICULADA RAIADA LARGA, EM ACO GALVANIZADO NATURAL, CHAPA NUMERO 24 (SEM INSTALACAO)</t>
  </si>
  <si>
    <t>SF-01063</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</si>
  <si>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</si>
  <si>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</si>
  <si>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</si>
  <si>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</si>
  <si>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</si>
  <si>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1/2 " (REF 1552-B)</t>
  </si>
  <si>
    <t>TUBO ACO GALVANIZADO COM COSTURA, CLASSE MEDIA, DN 1", E = 3,38 MM, PESO 2,50 KG/M (NBR 5580)</t>
  </si>
  <si>
    <t xml:space="preserve">MEDIDOR DE GÁS EM ALUMÍNIO. Ref. LAO G6 </t>
  </si>
  <si>
    <t>SF-01064</t>
  </si>
  <si>
    <t>Válvula de esfera tripartida Classe 300</t>
  </si>
  <si>
    <t>SF-01065</t>
  </si>
  <si>
    <t>DESMOLDANTE PROTETOR PARA FORMAS DE MADEIRA, DE BASE OLEOSA EMULSIONADA EM AGUA</t>
  </si>
  <si>
    <t>PREGO DE ACO POLIDO COM CABECA 15 X 15 (1 1/4 X 13)</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</si>
  <si>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</si>
  <si>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</si>
  <si>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</si>
  <si>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</si>
  <si>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SF-01066</t>
  </si>
  <si>
    <t>ELETRODUTO/DUTO PEAD FLEXIVEL PAREDE SIMPLES, CORRUGACAO HELICOIDAL, COR PRETA, SEM ROSCA, DE 3",  PARA CABEAMENTO SUBTERRANEO (NBR 15715)</t>
  </si>
  <si>
    <t>AUXILIAR DE ELETRICISTA COM ENCARGOS COMPLEMENTARES</t>
  </si>
  <si>
    <t>ELETRICISTA COM ENCARGOS COMPLEMENTARES</t>
  </si>
  <si>
    <t>SF-01068</t>
  </si>
  <si>
    <t>Eletroduto de aço com costura galvanização eletrolítica Ø 3"</t>
  </si>
  <si>
    <t>SF-01069</t>
  </si>
  <si>
    <t>Grelha em ferro fundido com caixilho de apoio espessura 15 mm, largura 200 mm</t>
  </si>
  <si>
    <t>Pini 13.121.000520.MAT</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</si>
  <si>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</si>
  <si>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</si>
  <si>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</si>
  <si>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</si>
  <si>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</si>
  <si>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PISO TATIL ALERTA OU DIRECIONAL, DE BORRACHA, COLORIDO, 25 X 25 CM, E = 5 MM, PARA COLA</t>
  </si>
  <si>
    <t>SF-01073</t>
  </si>
  <si>
    <t>SF-01074</t>
  </si>
  <si>
    <t>TAMPAO FOFO ARTICULADO P/ REGISTRO, CLASSE A15 CARGA MAX 1,5 T, *200 X 200* MM</t>
  </si>
  <si>
    <t>SF-01076</t>
  </si>
  <si>
    <t>Cerâmica GAIL (Referência 1009 Placa Cerâmica Linha Gressit da Marca Gail, tamanho 240 mm x 116 mm, espessura 9 mm)</t>
  </si>
  <si>
    <t>SF-01077</t>
  </si>
  <si>
    <t>AREIA PARA ATERRO - POSTO JAZIDA/FORNECEDOR (RETIRADO NA JAZIDA, SEM TRANSPORTE)</t>
  </si>
  <si>
    <t>SF-01078</t>
  </si>
  <si>
    <t>CHAPA DE ACO GROSSA, ASTM A36, E = 3/8 " (9,53 MM) 74,69 KG/M2</t>
  </si>
  <si>
    <t>ELETRODO REVESTIDO AWS - E6013, DIAMETRO IGUAL A 2,50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</si>
  <si>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</si>
  <si>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</si>
  <si>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</si>
  <si>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SERRALHEIRO COM ENCARGOS COMPLEMENTARES</t>
  </si>
  <si>
    <t>SF-01080</t>
  </si>
  <si>
    <t>Perfil "U" em aço galvanizado 25mm x 25mm, espessura 1,5mm (#16)</t>
  </si>
  <si>
    <t>SF-01082</t>
  </si>
  <si>
    <t>SF-01083</t>
  </si>
  <si>
    <t>SF-01088</t>
  </si>
  <si>
    <t>COTOVELO DE COBRE 90 GRAUS (REF 607) SEM ANEL DE SOLDA, BOLSA X BOLSA, 35 MM</t>
  </si>
  <si>
    <t>SOLDA ESTANHO/COBRE PARA CONEXOES DE COBRE, FIO 2,5 MM, CARRETEL 500 GR (SEM CHUMBO)</t>
  </si>
  <si>
    <t>PASTA PARA SOLDA DE TUBOS E CONEXOES DE COBRE (EMBALAGEM COM 250 G)</t>
  </si>
  <si>
    <t>SF-01089</t>
  </si>
  <si>
    <t>COTOVELO DE COBRE 90 GRAUS (REF 607) SEM ANEL DE SOLDA, BOLSA X BOLSA, 42 MM</t>
  </si>
  <si>
    <t>SF-01090</t>
  </si>
  <si>
    <t>COTOVELO DE COBRE 90 GRAUS (REF 607) SEM ANEL DE SOLDA, BOLSA X BOLSA, 22 MM</t>
  </si>
  <si>
    <t>SF-01092</t>
  </si>
  <si>
    <t>LUVA DE COBRE (REF 600) SEM ANEL DE SOLDA, BOLSA X BOLSA, 35 MM</t>
  </si>
  <si>
    <t>SF-01093</t>
  </si>
  <si>
    <t>LUVA DE COBRE (REF 600) SEM ANEL DE SOLDA, BOLSA X BOLSA, 42 MM</t>
  </si>
  <si>
    <t>SF-01094</t>
  </si>
  <si>
    <t>LUVA DE COBRE (REF 600) SEM ANEL DE SOLDA, BOLSA X BOLSA, 22 MM</t>
  </si>
  <si>
    <t>SF-01097</t>
  </si>
  <si>
    <t>TUBO DE COBRE CLASSE "A", DN = 1 1/4 " (35 MM), PARA INSTALACOES DE MEDIA PRESSAO PARA GASES COMBUSTIVEIS E MEDICINAIS</t>
  </si>
  <si>
    <t>SF-01098</t>
  </si>
  <si>
    <t>TUBO DE COBRE CLASSE "A", DN = 1 1/2 " (42 MM), PARA INSTALACOES DE MEDIA PRESSAO PARA GASES COMBUSTIVEIS E MEDICINAIS</t>
  </si>
  <si>
    <t>SF-01101</t>
  </si>
  <si>
    <t>ELETRODUTO FLEXIVEL, EM ACO GALVANIZADO, REVESTIDO EXTERNAMENTE COM PVC PRETO, DIAMETRO EXTERNO DE 50 MM( 1 1/2"), TIPO SEALTUBO</t>
  </si>
  <si>
    <t>SF-01102</t>
  </si>
  <si>
    <t>TECNICO DE EDIFICACOES COM ENCARGOS COMPLEMENTARES</t>
  </si>
  <si>
    <t>SF-01104</t>
  </si>
  <si>
    <t>ENGENHEIRO CIVIL PLENO COM ENCARGOS COMPLEMENTARES</t>
  </si>
  <si>
    <t>SF-01105</t>
  </si>
  <si>
    <t>TAQUEADOR OU TAQUEIRO COM ENCARGOS COMPLEMENTARES</t>
  </si>
  <si>
    <t>Laminado melamínico texturizado esp. 1,3 mm</t>
  </si>
  <si>
    <t>Pini 23.104.000050.MAT</t>
  </si>
  <si>
    <t>SF-01106</t>
  </si>
  <si>
    <t>Granito Preto Absoluto, com 20 mm de espessura</t>
  </si>
  <si>
    <t>SF-01107</t>
  </si>
  <si>
    <t>Granito Arabesco, com 20 mm de espessura</t>
  </si>
  <si>
    <t>SF-01108</t>
  </si>
  <si>
    <t>PISO EM PORCELANATO RETIFICADO EXTRA, FORMATO MENOR OU IGUAL A 2025 CM2</t>
  </si>
  <si>
    <t>AZULEJISTA OU LADRILHISTA COM ENCARGOS COMPLEMENTARES</t>
  </si>
  <si>
    <t>SF-01109</t>
  </si>
  <si>
    <t>JUNTA PLASTICA DE DILATACAO PARA PISOS, COR CINZA, 17 X 3 MM (ALTURA X ESPESSURA)</t>
  </si>
  <si>
    <t>SF-01110</t>
  </si>
  <si>
    <t>Piso vinílico em manta esp. 2 mm</t>
  </si>
  <si>
    <t>SF-01111</t>
  </si>
  <si>
    <t>SELANTE MONOCOMPONENTE A BASE DE SILICONE DE BAIXO MODULO, PARA JUNTAS DE PAVIMENTACAO</t>
  </si>
  <si>
    <t>SF-01112</t>
  </si>
  <si>
    <t>Lixa grana 100 para superfície metálica</t>
  </si>
  <si>
    <t>Pini 20.105.000015.MAT</t>
  </si>
  <si>
    <t>Fonte: Pini 20.105.000010.SER e Pini 20.105.000015.SER</t>
  </si>
  <si>
    <t>SF-01113</t>
  </si>
  <si>
    <t>Raspagem, calafetagem, aplicação de synteko alto brilho em piso de madeira</t>
  </si>
  <si>
    <t>ORSE 13271</t>
  </si>
  <si>
    <t>SF-01114</t>
  </si>
  <si>
    <t>TACO DE MADEIRA PARA PISO, IPE (CERNE) OU EQUIVALENTE DA REGIAO, 7 X 42 CM, E = 2 CM</t>
  </si>
  <si>
    <t>COLA BRANCA BASE PVA</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</si>
  <si>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</si>
  <si>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</si>
  <si>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</si>
  <si>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</si>
  <si>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</si>
  <si>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</si>
  <si>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</si>
  <si>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</si>
  <si>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ARAME GALVANIZADO 18 BWG, D = 1,24MM (0,009 KG/M)</t>
  </si>
  <si>
    <t>CENTO</t>
  </si>
  <si>
    <t>GESSEIRO COM ENCARGOS COMPLEMENTARES</t>
  </si>
  <si>
    <t>SF-01120</t>
  </si>
  <si>
    <t>SF-01121</t>
  </si>
  <si>
    <t>Obs.: Acréscimo de 15% no coeficiente da tinta para suprir a diferença de preço da tinta branca para as tintas de cores especiais.</t>
  </si>
  <si>
    <t>SF-01123</t>
  </si>
  <si>
    <t>SF-01124</t>
  </si>
  <si>
    <t>SF-01125</t>
  </si>
  <si>
    <t>SF-01126</t>
  </si>
  <si>
    <t>Carga inerte para tratamento antiderrapante em piso (ref.: Sikadur 512 ou 515)</t>
  </si>
  <si>
    <t>SF-01127</t>
  </si>
  <si>
    <t>LIXA EM FOLHA PARA FERRO, NUMERO 150</t>
  </si>
  <si>
    <t>SF-01128</t>
  </si>
  <si>
    <t>Compressor de ar portátil de 71 PCM - 15 kW</t>
  </si>
  <si>
    <t>SICRO E9640</t>
  </si>
  <si>
    <t>Serra para corte de concreto e asfalto - 10 kW</t>
  </si>
  <si>
    <t>SICRO E9591</t>
  </si>
  <si>
    <t>Cordão de polietileno expandido</t>
  </si>
  <si>
    <t>SICRO M1131</t>
  </si>
  <si>
    <t>Disco diamantado - D = 350 mm</t>
  </si>
  <si>
    <t>SICRO M1385</t>
  </si>
  <si>
    <t>SELANTE A BASE DE ALCATRAO E POLIURETANO PARA JUNTAS HORIZONTAIS</t>
  </si>
  <si>
    <t>SF-01129</t>
  </si>
  <si>
    <t>PO DE PEDRA (POSTO PEDREIRA/FORNECEDOR, SEM FRETE)</t>
  </si>
  <si>
    <t>BLOQUETE/PISO DE CONCRETO - MODELO BLOCO PISOGRAMA/CONCREGRAMA 2 FUROS, DIMENSOES APROX. DE 35 CM X 15 CM E ESPESSURA DE 7 CM (+/- 1 CM), COR NATURAL</t>
  </si>
  <si>
    <t>CALCETEIRO COM ENCARGOS COMPLEMENTARES</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</si>
  <si>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</si>
  <si>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</si>
  <si>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</si>
  <si>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Obs: considerando fornecedor de areia e brita a 20 km do Senado Federal</t>
  </si>
  <si>
    <t>SF-01130</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</si>
  <si>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</si>
  <si>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</si>
  <si>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</si>
  <si>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</si>
  <si>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</si>
  <si>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</si>
  <si>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</si>
  <si>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</si>
  <si>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</si>
  <si>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</si>
  <si>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AREIA GROSSA - POSTO JAZIDA/FORNECEDOR (RETIRADO NA JAZIDA, SEM TRANSPORTE)</t>
  </si>
  <si>
    <t>T</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</si>
  <si>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</si>
  <si>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</si>
  <si>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</si>
  <si>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SF-01131</t>
  </si>
  <si>
    <t>Compactador manual de placa vibratória - 3 kW - CHP</t>
  </si>
  <si>
    <t>SICRO E9556</t>
  </si>
  <si>
    <t>Compactador manual de placa vibratória - 3 kW - CHI</t>
  </si>
  <si>
    <t>Asfalto a frio ensacado</t>
  </si>
  <si>
    <t>SF-01132</t>
  </si>
  <si>
    <t>CAMINHÃO TOCO, PBT 16.000 KG, CARGA ÚTIL MÁX. 10.685 KG, DIST. ENTRE EIXOS 4,8 M, POTÊNCIA 189 CV, INCLUSIVE CARROCERIA FIXA ABERTA DE MADEIRA P/ TRANSPORTE GERAL DE CARGA SECA, DIMEN. APROX. 2,5 X 7,00 X 0,50 M - CHP DIURNO. AF_06/2014</t>
  </si>
  <si>
    <t>MICROESFERAS DE VIDRO PARA SINALIZACAO HORIZONTAL VIARIA, TIPO I-B (PREMIX) - NBR 16184</t>
  </si>
  <si>
    <t>MÁQUINA DEMARCADORA DE FAIXA DE TRÁFEGO À FRIO, AUTOPROPELIDA, POTÊNCIA 38 HP - CHP DIURNO. AF_07/2016</t>
  </si>
  <si>
    <t>SF-01133</t>
  </si>
  <si>
    <t>HASTE RETA PARA GANCHO DE FERRO GALVANIZADO, COM ROSCA 1/4 " X 30 CM PARA FIXACAO DE TELHA METALICA, INCLUI PORCA E ARRUELAS DE VEDACAO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</si>
  <si>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</si>
  <si>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</si>
  <si>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</si>
  <si>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SF-01134</t>
  </si>
  <si>
    <t>SF-01135</t>
  </si>
  <si>
    <t>Telha metálica trapezoidal galvanizada GR 25 com espessura de 0,43 mm, com largura de 1020 mm e comprimento de 5 metros.</t>
  </si>
  <si>
    <t>SF-01136</t>
  </si>
  <si>
    <t>SF-01137</t>
  </si>
  <si>
    <t>Conjunto de vedação elástica para furo Ø 8 mm</t>
  </si>
  <si>
    <t>Pini 09.105.000280.MAT</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</si>
  <si>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</si>
  <si>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</si>
  <si>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</si>
  <si>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</si>
  <si>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</si>
  <si>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Pini 09.105.000200.MAT</t>
  </si>
  <si>
    <t>Cumeeira articulada superior para telha de fibrocimento modulada ou onda 50</t>
  </si>
  <si>
    <t>SF-01139</t>
  </si>
  <si>
    <t>Cumeeira articulada inferior para telha de fibrocimento tipo modulada ou onda 50</t>
  </si>
  <si>
    <t>SF-01140</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</si>
  <si>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</si>
  <si>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</si>
  <si>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</si>
  <si>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SF-01141</t>
  </si>
  <si>
    <t>CUMEEIRA UNIVERSAL PARA TELHA ONDULADA DE FIBROCIMENTO, E = 6 MM, ABA 210 MM, COMPRIMENTO 1100 MM (SEM AMIANTO)</t>
  </si>
  <si>
    <t>SF-01142</t>
  </si>
  <si>
    <t>CUMEEIRA SHED PARA TELHA ONDULADA DE FIBROCIMENTO, E = 6 MM, ABA 280 MM, COMPRIMENTO 1100 MM (SEM AMIANTO)</t>
  </si>
  <si>
    <t>SF-01143</t>
  </si>
  <si>
    <t>Parafuso rosca soberba galvanizado Ø 8 mm x 250 mm</t>
  </si>
  <si>
    <t>SF-01147</t>
  </si>
  <si>
    <t>FUNDO ANTICORROSIVO PARA METAIS FERROSOS (ZARCAO)</t>
  </si>
  <si>
    <t>SF-01148</t>
  </si>
  <si>
    <t>SF-01149</t>
  </si>
  <si>
    <t>Lava-jato água fria pressão 1700 psi</t>
  </si>
  <si>
    <t>loc/un/h</t>
  </si>
  <si>
    <t>Pini 05.108.000680.MAT</t>
  </si>
  <si>
    <t>Solução limpadora diluída em água</t>
  </si>
  <si>
    <t>SF-01150</t>
  </si>
  <si>
    <t>ANEL BORRACHA, DN 150 MM, PARA TUBO SERIE REFORCADA ESGOTO PREDIAL</t>
  </si>
  <si>
    <t>REDUCAO EXCENTRICA PVC, SERIE R, DN 150 X 100 MM, PARA ESGOTO PREDIAL</t>
  </si>
  <si>
    <t>TUBO PVC, SERIE R, DN 150 MM, PARA ESGOTO OU AGUAS PLUVIAIS PREDIAL (NBR 5688)</t>
  </si>
  <si>
    <t>RALO FOFO SEMIESFERICO, 150 MM, PARA LAJES/ CALHAS</t>
  </si>
  <si>
    <t>SF-01151</t>
  </si>
  <si>
    <t>SF-01152</t>
  </si>
  <si>
    <t>ARGAMASSA TRAÇO 1:4 (EM VOLUME DE CIMENTO E AREIA MÉDIA ÚMIDA) PARA CONTRAPISO, PREPARO MECÂNICO COM BETONEIRA 400 L. AF_08/2019</t>
  </si>
  <si>
    <t>SF-01153</t>
  </si>
  <si>
    <t>SF-01154</t>
  </si>
  <si>
    <t>GEOTEXTIL NAO TECIDO AGULHADO DE FILAMENTOS CONTINUOS 100% POLIESTER, RESITENCIA A TRACAO = 10 KN/M</t>
  </si>
  <si>
    <t>SF-01155</t>
  </si>
  <si>
    <t>POLIESTIRENO EXPANDIDO/EPS (ISOPOR), TIPO 2F, PLACA, ISOLAMENTO TERMOACUSTICO, E = 20 MM, 1000 X 500 MM</t>
  </si>
  <si>
    <t>SF-01156</t>
  </si>
  <si>
    <t>SF-01157</t>
  </si>
  <si>
    <t>SF-01158</t>
  </si>
  <si>
    <t>Pintura inibidora de raízes</t>
  </si>
  <si>
    <t>SF-01159</t>
  </si>
  <si>
    <t>Geocomposto Drenante industrializado formado por estrutura drenante de pelo menos 10 mm</t>
  </si>
  <si>
    <t>SF-01160</t>
  </si>
  <si>
    <t>SOLDA EM BARRA DE ESTANHO-CHUMBO 50/50</t>
  </si>
  <si>
    <t>CALHA QUADRADA DE CHAPA DE ACO GALVANIZADA NUM 24, CORTE 100 CM</t>
  </si>
  <si>
    <t>SF-01161</t>
  </si>
  <si>
    <t>RUFO INTERNO/EXTERNO DE CHAPA DE ACO GALVANIZADA NUM 24, CORTE 25 CM</t>
  </si>
  <si>
    <t>SF-01163</t>
  </si>
  <si>
    <t>ACO CA-50, 10,0 MM, OU 12,5 MM, OU 16,0 MM, OU 20,0 MM, DOBRADO E CORTADO</t>
  </si>
  <si>
    <t>Chapa de madeira compensada resinada 1,10 x 2,20 m # 10 mm</t>
  </si>
  <si>
    <t>Pini 02.101.000056.MAT</t>
  </si>
  <si>
    <t>PREGO DE ACO POLIDO COM CABECA 17 X 21 (2 X 11)</t>
  </si>
  <si>
    <t>SF-01164</t>
  </si>
  <si>
    <t>TELA DE ACO SOLDADA NERVURADA, CA-60, Q-92, (1,48 KG/M2), DIAMETRO DO FIO = 4,2 MM, LARGURA = 2,45 X 60 M DE COMPRIMENTO, ESPACAMENTO DA MALHA = 15  X 15 CM</t>
  </si>
  <si>
    <t>SF-01165</t>
  </si>
  <si>
    <t>PARAFUSO, COMUM, ASTM A307, SEXTAVADO, DIAMETRO 1/2" (12,7 MM), COMPRIMENTO 1" (25,4 MM)</t>
  </si>
  <si>
    <t>PERFIL "U" ENRIJECIDO DE ACO GALVANIZADO, DOBRADO, 150 X 60 X 20 MM, E = 3,00 MM OU 200 X 75 X 25 MM, E = 3,75 MM</t>
  </si>
  <si>
    <t>SF-01166</t>
  </si>
  <si>
    <t>Obs: considerando rendimento informado na especificação técnica do produto indicado como referência comercial (Lata de 3,6L rende até 3 demãos, com 25 m²/demão).</t>
  </si>
  <si>
    <t>SF-01167</t>
  </si>
  <si>
    <t>Tinta aluminizada de base asfáltica</t>
  </si>
  <si>
    <t>Pini 10.102.000025.MAT</t>
  </si>
  <si>
    <t>SF-01168</t>
  </si>
  <si>
    <t>POLIESTIRENO EXPANDIDO/EPS (ISOPOR), PEROLAS, PARA CONCRETO LEVE</t>
  </si>
  <si>
    <t>Obs: considerando fornecedor de areia a 20 km do Senado Federal</t>
  </si>
  <si>
    <t>SF-01169</t>
  </si>
  <si>
    <t>PRIMER PARA MANTA ASFALTICA A BASE DE ASFALTO MODIFICADO DILUIDO EM SOLVENTE, APLICACAO A FRIO</t>
  </si>
  <si>
    <t>AJUDANTE ESPECIALIZADO COM ENCARGOS COMPLEMENTARES</t>
  </si>
  <si>
    <t>Obs: Adotou-se o consumo de 350 mL/m², conforme recomendação do fabricante do produto para aplicação homogênea.</t>
  </si>
  <si>
    <t>http://vedacit.com.br/produtos/primer-eco-vedacit</t>
  </si>
  <si>
    <t>SF-01170</t>
  </si>
  <si>
    <t>MEMBRANA IMPERMEABILIZANTE A BASE DE POLIURETANO</t>
  </si>
  <si>
    <t>SF-01171</t>
  </si>
  <si>
    <t>MANTA ASFALTICA ELASTOMERICA EM POLIESTER 4 MM, TIPO III, CLASSE B, ACABAMENTO PP (NBR 9952)</t>
  </si>
  <si>
    <t>GAS DE COZINHA - GLP</t>
  </si>
  <si>
    <t>SF-01172</t>
  </si>
  <si>
    <t>Manta asfáltica aluminizada</t>
  </si>
  <si>
    <t>Pini 10.104.000005.MAT</t>
  </si>
  <si>
    <t>SF-01173</t>
  </si>
  <si>
    <t>Emulsão hidro-asfáltica</t>
  </si>
  <si>
    <t>Pini 10.102.000035.MAT</t>
  </si>
  <si>
    <t>Tinta betuminosa</t>
  </si>
  <si>
    <t>Manta butílica # 0,8 mm</t>
  </si>
  <si>
    <t>Fita de caldeação para manta butilíca largura 50 mm # 3 mm</t>
  </si>
  <si>
    <t>Adesivo auto vulcanizante para manta butilíca</t>
  </si>
  <si>
    <t>SF-01174</t>
  </si>
  <si>
    <t>MEMBRANA IMPERMEABILIZANTE ACRILICA MONOCOMPONENTE</t>
  </si>
  <si>
    <t>SF-01175</t>
  </si>
  <si>
    <t>Asfalto elastomérico</t>
  </si>
  <si>
    <t>*Adotou-se o consumo de 2 kg/m², valor intermediário da recomendação do fabricante do produto.</t>
  </si>
  <si>
    <t>http://www.denverimper.com.br/files/produtos/0000001-0000500/122/e5fe48d2b8810574e94921c5fb6cea0c.pdf</t>
  </si>
  <si>
    <t>SF-01176</t>
  </si>
  <si>
    <t>MANTA ASFALTICA ELASTOMERICA EM POLIESTER 3 MM, TIPO III, CLASSE B, ACABAMENTO PP (NBR 9952)</t>
  </si>
  <si>
    <t>SF-01177</t>
  </si>
  <si>
    <t>SF-01179</t>
  </si>
  <si>
    <t>ADITIVO LIQUIDO INCORPORADOR DE AR PARA CONCRETO E ARGAMASSA, LIQUIDO E ISENTO DE CLORETOS</t>
  </si>
  <si>
    <t>Obs: considerando 1,01 L/kg, conforme especificado na ficha técnica do produto indicado como referência comercial.</t>
  </si>
  <si>
    <t>SF-01180</t>
  </si>
  <si>
    <t>Obs: considerando fornecedor de brita a 20 km do Senado Federal</t>
  </si>
  <si>
    <t>SF-01232</t>
  </si>
  <si>
    <t>Adjuvante para argamassa base PVA</t>
  </si>
  <si>
    <t>Carpete aveludado azul royal, para uso comercial, adequado para tráfego pesado, conforme especificações técnicas.</t>
  </si>
  <si>
    <t>SF-01233</t>
  </si>
  <si>
    <t>Desonerado</t>
  </si>
  <si>
    <t xml:space="preserve">C </t>
  </si>
  <si>
    <t>CR</t>
  </si>
  <si>
    <t>AS</t>
  </si>
  <si>
    <t>ACO CA-50, 20,0 MM OU 25,0 MM, VERGALHAO</t>
  </si>
  <si>
    <t>M3XKM</t>
  </si>
  <si>
    <t>TXKM</t>
  </si>
  <si>
    <t>OPERADOR DE BETONEIRA ESTACIONÁRIA/MISTURADOR COM ENCARGOS COMPLEMENTARES</t>
  </si>
  <si>
    <t>JG</t>
  </si>
  <si>
    <t>PREGO DE ACO POLIDO COM CABECA 12 X 12</t>
  </si>
  <si>
    <t>ARGAMASSA TRAÇO 1:0,5:4,5 (EM VOLUME DE CIMENTO, CAL E AREIA MÉDIA ÚMIDA) PARA ASSENTAMENTO DE ALVENARIA, PREPARO MANUAL. AF_08/2019</t>
  </si>
  <si>
    <t>ACO CA-60, 4,2 MM, OU 5,0 MM, OU 6,0 MM, OU 7,0 MM, VERGALHAO</t>
  </si>
  <si>
    <t>PLANILHA ORÇAMENTÁRIA</t>
  </si>
  <si>
    <t>QUANTIDADE</t>
  </si>
  <si>
    <t>CUSTO DIRETO</t>
  </si>
  <si>
    <t>BDI (%)</t>
  </si>
  <si>
    <t>PREÇO UNITÁRIO COM BDI</t>
  </si>
  <si>
    <t>Engenheiro(a) /Arquiteto(a) júnior</t>
  </si>
  <si>
    <t>hh</t>
  </si>
  <si>
    <t>Mestre de obras</t>
  </si>
  <si>
    <t>Planejamento físico-financeiro</t>
  </si>
  <si>
    <t>Projetos de segurança do trabalho</t>
  </si>
  <si>
    <t>Demolição de alvenarias</t>
  </si>
  <si>
    <t>Demolição de concreto simples</t>
  </si>
  <si>
    <t>Demolição de contrapiso</t>
  </si>
  <si>
    <t>Demolição de fechamento ou parede em gesso acartonado</t>
  </si>
  <si>
    <t>Demolição de infraestrutura elétrica (eletrodutos, eletrocalhas, cabos)</t>
  </si>
  <si>
    <t>Demolição de revestimento em argamassa</t>
  </si>
  <si>
    <t>Demolição de tubulação hidrossanitária embutida com conexões e acessórios</t>
  </si>
  <si>
    <t>Demolição em concreto armado</t>
  </si>
  <si>
    <t>Remoção de armários</t>
  </si>
  <si>
    <t>Remoção de bancadas</t>
  </si>
  <si>
    <t>Remoção de batentes de madeira</t>
  </si>
  <si>
    <t>Remoção de canaleta em alumínio</t>
  </si>
  <si>
    <t>Remoção de carpete</t>
  </si>
  <si>
    <t>Remoção de cortinas</t>
  </si>
  <si>
    <t>Remoção de difusores, grelhas e acessórios de climatização</t>
  </si>
  <si>
    <t>Remoção de divisória de mármore ou granito</t>
  </si>
  <si>
    <t>Remoção de divisórias de MDF e gesso acartonado</t>
  </si>
  <si>
    <t>Remoção de dutos/tubulações</t>
  </si>
  <si>
    <t>Remoção de esquadrias metálicas</t>
  </si>
  <si>
    <t>Remoção de exaustor</t>
  </si>
  <si>
    <t>Remoção de fechadura/puxador de porta</t>
  </si>
  <si>
    <t>Remoção de louças</t>
  </si>
  <si>
    <t>Remoção de luminária</t>
  </si>
  <si>
    <t>Remoção de metais e acessórios</t>
  </si>
  <si>
    <t>Remoção de película</t>
  </si>
  <si>
    <t>Remoção de persianas</t>
  </si>
  <si>
    <t>Remoção de pintura ou textura</t>
  </si>
  <si>
    <t>Remoção de quadros de elétricos ou de telecomunicações</t>
  </si>
  <si>
    <t>Remoção de revestimento acústico</t>
  </si>
  <si>
    <t>Remoção de rodapé/rodabanca de mármore ou granito</t>
  </si>
  <si>
    <t>Remoção de rodapés de madeira</t>
  </si>
  <si>
    <t>Remoção de soleira de mármore ou granito</t>
  </si>
  <si>
    <t>Remoção de split/fancolete/ACJ (equipamento unitário)</t>
  </si>
  <si>
    <t>Remoção de vidro comum / espelho</t>
  </si>
  <si>
    <t>Retirada de entulhos</t>
  </si>
  <si>
    <t>Andaime fachadeiro</t>
  </si>
  <si>
    <t>m2 x mês</t>
  </si>
  <si>
    <t>Andaime tubular (aluguel/mês)</t>
  </si>
  <si>
    <t>m x mês</t>
  </si>
  <si>
    <t>Corda de poliamida 12 mm tipo bombeiro, para trabalho em altura</t>
  </si>
  <si>
    <t>SF-00052</t>
  </si>
  <si>
    <t>Ensaio de ponto de ancoragem existente</t>
  </si>
  <si>
    <t>Isolamento de obra com tela plástica com malha de 5mm e estrutura de madeira pontaleteada</t>
  </si>
  <si>
    <t>SF-00066</t>
  </si>
  <si>
    <t>Ponto de ancoragem</t>
  </si>
  <si>
    <t>Trole para linha de vida horizontal</t>
  </si>
  <si>
    <t>Trole para travaqueda retrátil</t>
  </si>
  <si>
    <t>Abertura/fechamento rasgo em alvenaria</t>
  </si>
  <si>
    <t>Concreto virado em betoneira, fck = 15 MPa</t>
  </si>
  <si>
    <t>Escoramento metálico</t>
  </si>
  <si>
    <t>Estrutura metálica em aço</t>
  </si>
  <si>
    <t>Forma para estruturas de concreto</t>
  </si>
  <si>
    <t>Verga/contraverga/cinta em bloco de concreto canaleta 11,5 x 19 x 39 cm</t>
  </si>
  <si>
    <t>Impermeabilização de superfície com revestimento bicomponente semi flexível</t>
  </si>
  <si>
    <t>Alvenaria de vedação</t>
  </si>
  <si>
    <t>Fechamento ou shaft em gesso acartonado tipo drywall</t>
  </si>
  <si>
    <t>Fixação (encunhamento) de Alvenaria de Vedação</t>
  </si>
  <si>
    <t>Parede em gesso acartonado (drywall)</t>
  </si>
  <si>
    <t>Reparos superficiais em painéis de gesso acartonado</t>
  </si>
  <si>
    <t>Sóculo h=10 cm</t>
  </si>
  <si>
    <t>Chapisco colante industrializado em vigas e pilares</t>
  </si>
  <si>
    <t>Chapisco com argamassa traço 1:3</t>
  </si>
  <si>
    <t>Aplicação de fundo selador base água</t>
  </si>
  <si>
    <t>Massa acrílica</t>
  </si>
  <si>
    <t>Massa corrida</t>
  </si>
  <si>
    <t>Pintura com tinta látex acrílica Premium (paredes)</t>
  </si>
  <si>
    <t>Pintura em verniz sintético</t>
  </si>
  <si>
    <t>Pintura esmalte acetinado (metais e madeiras)</t>
  </si>
  <si>
    <t>Pintura tinta látex acrílica standard (tetos)</t>
  </si>
  <si>
    <t>Cerâmica para revestimento de superfícies internas ou externas – Linha Administrativa</t>
  </si>
  <si>
    <t>Contrapiso em argamassa</t>
  </si>
  <si>
    <t>Granito cinza andorinha para piso</t>
  </si>
  <si>
    <t>Granito Cinza Andorinha para rodapé</t>
  </si>
  <si>
    <t>Granito Cinza Andorinha para soleira e peitoril</t>
  </si>
  <si>
    <t>Granito Preto São Gabriel para piso</t>
  </si>
  <si>
    <t>Granito Preto São Gabriel para rodapé</t>
  </si>
  <si>
    <t>Granito Preto São Gabriel para soleira e peitoril</t>
  </si>
  <si>
    <t>Instalação de rodapé de madeira reaproveitado</t>
  </si>
  <si>
    <t>Mármore Bege Bahia para piso e parede</t>
  </si>
  <si>
    <t>Mármore Branco Especial para piso e parede</t>
  </si>
  <si>
    <t>Rodapé de madeira</t>
  </si>
  <si>
    <t>Acabamento abaulado em placas de granito ou mármore reaproveitadas</t>
  </si>
  <si>
    <t>Acabamento em meia esquadria em placas de granito ou mármore reaproveitadas</t>
  </si>
  <si>
    <t>Acabamento reto em placas de granito ou mármore reaproveitadas</t>
  </si>
  <si>
    <t>Corte de peça de granito ou mármore reaproveitada</t>
  </si>
  <si>
    <t>Corte em placas de granito ou mármore reaproveitadas, para instalação de cubas</t>
  </si>
  <si>
    <t>Furo em placas de granito ou mármore reaproveitadas, para instalação de torneira ou misturador</t>
  </si>
  <si>
    <t>Instalação de bancada de granito ou mármore reaproveitada</t>
  </si>
  <si>
    <t>Instalação de soleira ou peitoril, de mármore ou granito, reaproveitados</t>
  </si>
  <si>
    <t>Instalação de divisória e porta de divisória com dobradiça reaproveitadas</t>
  </si>
  <si>
    <t>Alçapão em forro de gesso acartonado</t>
  </si>
  <si>
    <t>Forro de PVC modular em placas</t>
  </si>
  <si>
    <t>Forro em chapas metálicas</t>
  </si>
  <si>
    <t>Forro em gesso acartonado monolítico</t>
  </si>
  <si>
    <t>Forro em gesso acartonado monolítico, sem estrutura</t>
  </si>
  <si>
    <t>Forro mineral modulado</t>
  </si>
  <si>
    <t>Forro mineral modulado, sem estrutura</t>
  </si>
  <si>
    <t>Instalação de forro de PVC reaproveitado</t>
  </si>
  <si>
    <t>Instalação de forro mineral reaproveitado</t>
  </si>
  <si>
    <t>Tabica metálica em forro de gesso acartonado</t>
  </si>
  <si>
    <t>Instalação de revestimento de piso têxtil (carpete) reaproveitado</t>
  </si>
  <si>
    <t>Cordão de massa de vidraceiro</t>
  </si>
  <si>
    <t>Instalação de vidro reaproveitado</t>
  </si>
  <si>
    <t>Instalação de painéis de vidro temperado reaproveitados</t>
  </si>
  <si>
    <t>Mola hidráulica de piso</t>
  </si>
  <si>
    <t>Instalação de persianas reaproveitadas</t>
  </si>
  <si>
    <t>Tubo de ligação para bacia sanitária</t>
  </si>
  <si>
    <t>Base registro gaveta 3/4"</t>
  </si>
  <si>
    <t>Bacia convencional – Linha Administrativa</t>
  </si>
  <si>
    <t>Bacia convencional com saída horizontal</t>
  </si>
  <si>
    <t>Cuba oval de embutir</t>
  </si>
  <si>
    <t>Cuba semiencaixe quadrada com mesa</t>
  </si>
  <si>
    <t>Instalação de lavatório reaproveitado</t>
  </si>
  <si>
    <t>Instalação de mictório reaproveitado</t>
  </si>
  <si>
    <t>Instalação de vaso sanitário reaproveitado</t>
  </si>
  <si>
    <t>Lavatório suspenso</t>
  </si>
  <si>
    <t>Mictório – Linha Administrativa</t>
  </si>
  <si>
    <t>Instalação de metais e acessórios reaproveitados</t>
  </si>
  <si>
    <t>Sifão para lavatório 1 1/2"</t>
  </si>
  <si>
    <t>Torneira de mesa para cozinha bica móvel – Linha Administrativa</t>
  </si>
  <si>
    <t>Torneira de mesa para lavatório – Linha Acessibilidade</t>
  </si>
  <si>
    <t>Torneira de mesa para lavatório com fechamento automático – Linha Administrativa</t>
  </si>
  <si>
    <t>Válvula descarga para mictório – Linha Administrativa</t>
  </si>
  <si>
    <t>Alarme de emergência para sanitários PNE</t>
  </si>
  <si>
    <t>Lavatório suspenso – Linha Acessibilidade</t>
  </si>
  <si>
    <t>Lavatório suspenso com Coluna – Linha Acessibilidade</t>
  </si>
  <si>
    <t>Caixa para piso elevado</t>
  </si>
  <si>
    <t>Eletroduto de aço galvanizado de 1 1/2"</t>
  </si>
  <si>
    <t>Eletroduto de aço galvanizado de 1 1/4"</t>
  </si>
  <si>
    <t>Eletroduto de aço galvanizado de 1"</t>
  </si>
  <si>
    <t>Eletroduto de aço galvanizado de 2"</t>
  </si>
  <si>
    <t>Eletroduto de aço galvanizado de 3/4"</t>
  </si>
  <si>
    <t>Eletroduto flexível metálico com capa de PVC 1’’</t>
  </si>
  <si>
    <t>Eletroduto flexível metálico com capa de PVC 3/4"</t>
  </si>
  <si>
    <t>Interruptor para condulete</t>
  </si>
  <si>
    <t>Módulo interruptor paralelo</t>
  </si>
  <si>
    <t>Módulo interruptor simples</t>
  </si>
  <si>
    <t>Módulo tomada 10 A</t>
  </si>
  <si>
    <t>Módulo tomada 20 A</t>
  </si>
  <si>
    <t>Tampa cega para condulete</t>
  </si>
  <si>
    <t>Tampa RJ45 dupla para condulete</t>
  </si>
  <si>
    <t>Tomada para condulete</t>
  </si>
  <si>
    <t>Tomada para perfilado e eletrocalha</t>
  </si>
  <si>
    <t>Bloco autônomo de emergência</t>
  </si>
  <si>
    <t>Instalação de luminária reaproveitada</t>
  </si>
  <si>
    <t>Condutor 2,5 mm²</t>
  </si>
  <si>
    <t>Condutor 3x2,5 mm²</t>
  </si>
  <si>
    <t>Condutor 4 mm²</t>
  </si>
  <si>
    <t>Condutor 4x2,5 mm²</t>
  </si>
  <si>
    <t>Condutor 6 mm²</t>
  </si>
  <si>
    <t>Quadro elétrico TTA</t>
  </si>
  <si>
    <t>Instalação de fancolete reaproveitado</t>
  </si>
  <si>
    <t>Instalação de split reaproveitado</t>
  </si>
  <si>
    <t>Exaustor axial 340 m3/h</t>
  </si>
  <si>
    <t>Exaustor axial 865 m3/h</t>
  </si>
  <si>
    <t>Duto chapa galvanizada # 22</t>
  </si>
  <si>
    <t>Duto flexível 6”</t>
  </si>
  <si>
    <t>Duto flexível 8”</t>
  </si>
  <si>
    <t>Difusor de ar quadrado 360x360 mm</t>
  </si>
  <si>
    <t>Difusor de ar quadrado para insuflamento em duas direções perpendiculares 376x376 mm</t>
  </si>
  <si>
    <t>Difusor de ar retangular para insuflamento em duas direções 371x208 mm</t>
  </si>
  <si>
    <t>Difusor de ar retangular para insuflamento em três direções 264x432 mm</t>
  </si>
  <si>
    <t>Difusor de ar retangular para insuflamento em três direções 320x562 mm</t>
  </si>
  <si>
    <t>Difusor de ar retangular para insuflamento em três direções 371x208 mm</t>
  </si>
  <si>
    <t>Difusor de ar retangular para insuflamento em uma direção 371x208 mm</t>
  </si>
  <si>
    <t>Grelha para retorno retangular 425x225 mm</t>
  </si>
  <si>
    <t>Grelha para retorno retangular 525x325 mm</t>
  </si>
  <si>
    <t>Instalação de difusores, grelhas e acessórios de climatização reaproveitados</t>
  </si>
  <si>
    <t>Instalação de exaustor reaproveitado</t>
  </si>
  <si>
    <t>Preparação para instalação de difusores/grelhas de ar em portas</t>
  </si>
  <si>
    <t>Bomba para condensado de ar-condicionado para instalação oculta</t>
  </si>
  <si>
    <t>Fita aluminizada para refrigeração 48 mm</t>
  </si>
  <si>
    <t>Fita PVC 100 mm para acabamento em refrigeração</t>
  </si>
  <si>
    <t>Mangueira emborrachada 3/4" para água gelada</t>
  </si>
  <si>
    <t>Suporte para unidade condensadora de aparelho split</t>
  </si>
  <si>
    <t>Filtro em Y 1"</t>
  </si>
  <si>
    <t>Filtro em Y 3/4"</t>
  </si>
  <si>
    <t>Válvula de balanceamento e controle independente da pressão (PIBCV) 2 vias 1"</t>
  </si>
  <si>
    <t>Válvula de balanceamento e controle independente da pressão (PIBCV) 2 vias 3/4"</t>
  </si>
  <si>
    <t>Válvula de esfera em bronze 1 1/2"</t>
  </si>
  <si>
    <t>Válvula de esfera em bronze 1 1/4"</t>
  </si>
  <si>
    <t>Válvula de esfera em bronze 1"</t>
  </si>
  <si>
    <t>Válvula de esfera em bronze 3/4"</t>
  </si>
  <si>
    <t>Isolamento elastomérico em formato de prancha autoadesiva</t>
  </si>
  <si>
    <t>Isolamento elastomérico para tubulações de cobre de 1 1/8" / tubulações de ferro de 3/4"</t>
  </si>
  <si>
    <t>Isolamento elastomérico para tubulações de cobre de 1/2"</t>
  </si>
  <si>
    <t>Isolamento elastomérico para tubulações de cobre de 1/4"</t>
  </si>
  <si>
    <t>Isolamento elastomérico para tubulações de cobre de 3/4"</t>
  </si>
  <si>
    <t>Isolamento elastomérico para tubulações de cobre de 3/8"</t>
  </si>
  <si>
    <t>Isolamento elastomérico para tubulações de cobre de 5/8"</t>
  </si>
  <si>
    <t>Isolamento elastomérico para tubulações de cobre de 7/8" / tubulações de ferro de 1/2"</t>
  </si>
  <si>
    <t>Isolamento elastomérico para tubulações de cobre de 1"</t>
  </si>
  <si>
    <t>Isolamento elastomérico para tubulações de ferro de 1 1/2"</t>
  </si>
  <si>
    <t>Proteção mecânica em alumínio</t>
  </si>
  <si>
    <t>Tubo de aço-carbono galvanizado 1 1/2"</t>
  </si>
  <si>
    <t>Tubo de aço-carbono galvanizado 1 1/4"</t>
  </si>
  <si>
    <t>Tubo de aço-carbono galvanizado 1"</t>
  </si>
  <si>
    <t>Tubo de aço-carbono galvanizado 3/4"</t>
  </si>
  <si>
    <t>Tubo de cobre de 1/2"</t>
  </si>
  <si>
    <t>Tubo de cobre de 1/4"</t>
  </si>
  <si>
    <t>Tubo de cobre de 3/4"</t>
  </si>
  <si>
    <t>Tubo de cobre de 3/8"</t>
  </si>
  <si>
    <t>Tubo de cobre de 5/8"</t>
  </si>
  <si>
    <t>Tubo de cobre de 7/8"</t>
  </si>
  <si>
    <t>Tubo de cobre de 1"</t>
  </si>
  <si>
    <t>Tubo de cobre de 1 1/8"</t>
  </si>
  <si>
    <t>Instalação de armários reaproveitados</t>
  </si>
  <si>
    <t>Mesa/tampo de MDF, fixada em parede com mão-francesa</t>
  </si>
  <si>
    <t>Painel para TV de 90 x 120 cm</t>
  </si>
  <si>
    <t>Chapa de proteção para porta – Linha Acessibilidade</t>
  </si>
  <si>
    <t>Instalação de batentes de madeira reaproveitados</t>
  </si>
  <si>
    <t>Instalação de folhas de portas e dobradiças reaproveitadas</t>
  </si>
  <si>
    <t>Dobradiça para porta</t>
  </si>
  <si>
    <t>Fechadura para banheiro maçaneta em barra</t>
  </si>
  <si>
    <t>Fechadura para porta externa maçaneta em barra</t>
  </si>
  <si>
    <t>Fechadura para porta interna maçaneta tubular</t>
  </si>
  <si>
    <t>Instalação de fechadura/puxador de porta reaproveitados</t>
  </si>
  <si>
    <t>Mola hidráulica aérea</t>
  </si>
  <si>
    <t>Pivô em latão com acabamento cromado para portas pivotantes</t>
  </si>
  <si>
    <t>Cabo de dados tipo UTP, tipo LSZH, categoria 6</t>
  </si>
  <si>
    <t>Módulo (tomada) de rede RJ45, categoria 6, com conectorização e certificação</t>
  </si>
  <si>
    <t>Painel de distribuição (patch panel) de 24 portas, categoria 6</t>
  </si>
  <si>
    <t>Cabo de telefonia tipo CCI 50x2</t>
  </si>
  <si>
    <t>Módulo (tomada) de rede RJ45, para telefonia</t>
  </si>
  <si>
    <t>Grelha para retorno para portas, divisórias e paredes 525x325 mm</t>
  </si>
  <si>
    <t>SF-00405</t>
  </si>
  <si>
    <t>Dobradiça para porta com anel</t>
  </si>
  <si>
    <t>SF-00407</t>
  </si>
  <si>
    <t>Fechadura para porta externa maçaneta em barra (fornecimento)</t>
  </si>
  <si>
    <t>Fechadura para Porta Externa com Espelho - Millenio</t>
  </si>
  <si>
    <t>SF-00409</t>
  </si>
  <si>
    <t>Fechadura para Porta de Banheiro com Espelho - Millenio</t>
  </si>
  <si>
    <t>SF-00411</t>
  </si>
  <si>
    <t>Tarjeta Livre / Ocupado para portas de banheiro</t>
  </si>
  <si>
    <t>SF-00414</t>
  </si>
  <si>
    <t>Fechadura de embutir para armário e gaveta</t>
  </si>
  <si>
    <t>SF-00415</t>
  </si>
  <si>
    <t>Fechadura de embutir para móveis – Fechamento Superior - Referência 861</t>
  </si>
  <si>
    <t>SF-00416</t>
  </si>
  <si>
    <t>Fechadura de embutir para móveis – Fechamento lateral - Referência 871</t>
  </si>
  <si>
    <t>par</t>
  </si>
  <si>
    <t>SF-00443</t>
  </si>
  <si>
    <t>Espuma Expansiva à base de poliuretano</t>
  </si>
  <si>
    <t>500 ml</t>
  </si>
  <si>
    <t>SF-00468</t>
  </si>
  <si>
    <t>Adesivo de Contato à Base d’água</t>
  </si>
  <si>
    <t>SF-00470</t>
  </si>
  <si>
    <t>Laminado fenólico melamínico texturizado - Azul Noturno</t>
  </si>
  <si>
    <t>SF-00471</t>
  </si>
  <si>
    <t>Laminado fenólico melamínico texturizado - Branco</t>
  </si>
  <si>
    <t>SF-00472</t>
  </si>
  <si>
    <t>Laminado fenólico melamínico texturizado - Ovo</t>
  </si>
  <si>
    <t>SF-00489</t>
  </si>
  <si>
    <t>Tábua de Madeira bruta aparelhada - Pinus</t>
  </si>
  <si>
    <t>SF-00490</t>
  </si>
  <si>
    <t>Sarrafo De Madeira</t>
  </si>
  <si>
    <t>SF-00491</t>
  </si>
  <si>
    <t>Caibro De Madeira</t>
  </si>
  <si>
    <t>SF-00494</t>
  </si>
  <si>
    <t>SF-00496</t>
  </si>
  <si>
    <t>SF-00498</t>
  </si>
  <si>
    <t>SF-00500</t>
  </si>
  <si>
    <t>Cantoneira laminada em aço abas iguais 1" x 3/16"</t>
  </si>
  <si>
    <t>SF-00501</t>
  </si>
  <si>
    <t>Cantoneira laminada em aço abas iguais 1"1/4 x 3/16"</t>
  </si>
  <si>
    <t>SF-00502</t>
  </si>
  <si>
    <t>Cantoneira laminada em aço abas iguais 2” x 1/8”</t>
  </si>
  <si>
    <t>SF-00503</t>
  </si>
  <si>
    <t>Cantoneira laminada em aço abas Iguais 2” x 3/16”</t>
  </si>
  <si>
    <t>SF-00504</t>
  </si>
  <si>
    <t>Cantoneira laminada em aço abas Iguais 5/8” x 1/8”</t>
  </si>
  <si>
    <t>SF-00505</t>
  </si>
  <si>
    <t>Chapa aço galvanizado # 16 (kg)</t>
  </si>
  <si>
    <t>SF-00506</t>
  </si>
  <si>
    <t>Ferro chato 1"x1/8"</t>
  </si>
  <si>
    <t>SF-00507</t>
  </si>
  <si>
    <t>Ferro chato 1"x3/16"</t>
  </si>
  <si>
    <t>SF-00508</t>
  </si>
  <si>
    <t>Ferro chato  3/4"x1/4" ou 7/8"x1/4" ou 1” x 1/4”</t>
  </si>
  <si>
    <t>SF-00509</t>
  </si>
  <si>
    <t>Ferro chato 3/4"x1/8"</t>
  </si>
  <si>
    <t>SF-00510</t>
  </si>
  <si>
    <t>Ferro chato 3/4"x3/16"</t>
  </si>
  <si>
    <t>SF-00511</t>
  </si>
  <si>
    <t>Ferro chato 5/8"x1/8"</t>
  </si>
  <si>
    <t>SF-00512</t>
  </si>
  <si>
    <t>Ferro chato 5/8"x3/16"</t>
  </si>
  <si>
    <t>SF-00513</t>
  </si>
  <si>
    <t>Ferro chato 7/8"x1/8"</t>
  </si>
  <si>
    <t>SF-00514</t>
  </si>
  <si>
    <t>Ferro chato 7/8"x3/16"</t>
  </si>
  <si>
    <t>SF-00557</t>
  </si>
  <si>
    <t>SF-00559</t>
  </si>
  <si>
    <t>SF-00561</t>
  </si>
  <si>
    <t>Tela em aço galvanizado, tipo alambrado, malha 2, fio 12</t>
  </si>
  <si>
    <t>SF-00562</t>
  </si>
  <si>
    <t>Massa Adesiva Plástica</t>
  </si>
  <si>
    <t>Argamassa Para Contrapiso</t>
  </si>
  <si>
    <t>40 kg</t>
  </si>
  <si>
    <t>Argamassa Múltiplo Uso</t>
  </si>
  <si>
    <t>Cimento Portland CP II E 32</t>
  </si>
  <si>
    <t>50 kg</t>
  </si>
  <si>
    <t>20 kg</t>
  </si>
  <si>
    <t>Gesso Para Uso Geral</t>
  </si>
  <si>
    <t>Areia Média</t>
  </si>
  <si>
    <t>Brita Nº 0</t>
  </si>
  <si>
    <t>Brita Nº 1</t>
  </si>
  <si>
    <t>Bloco Cerâmico De 08 Furos</t>
  </si>
  <si>
    <t>Tijolo Maciço</t>
  </si>
  <si>
    <t>Arame Recozido Nº 18</t>
  </si>
  <si>
    <t>Adesivo Estrutural Epóxi Bicomponente</t>
  </si>
  <si>
    <t>SF-00582</t>
  </si>
  <si>
    <t>Adesivo Selante Poliuretano</t>
  </si>
  <si>
    <t>SF-00583</t>
  </si>
  <si>
    <t>Selante de Silicone</t>
  </si>
  <si>
    <t>Aditivo Impermeabilizante</t>
  </si>
  <si>
    <t>SF-00592</t>
  </si>
  <si>
    <t>SF-00681</t>
  </si>
  <si>
    <t>Supervisor(a)-Geral</t>
  </si>
  <si>
    <t>Profissional</t>
  </si>
  <si>
    <t>Apoio Técnico Administrativo – Controle de Almoxarifado</t>
  </si>
  <si>
    <t>Ajudante de Serviços Gerais</t>
  </si>
  <si>
    <t>Ajudante de Marceneiro(a)</t>
  </si>
  <si>
    <t>Ajudante de Serralheiro(a)</t>
  </si>
  <si>
    <t>Lustrador(a) de Móveis</t>
  </si>
  <si>
    <t>Marceneiro(a)</t>
  </si>
  <si>
    <t>Serralheiro(a)</t>
  </si>
  <si>
    <t>Mestre de Obras (Posto de Trabalho)</t>
  </si>
  <si>
    <t>Oficial de Serviços Gerais</t>
  </si>
  <si>
    <t>SF-00718</t>
  </si>
  <si>
    <t>SF-00728</t>
  </si>
  <si>
    <t>Carrinho de mão reforçado</t>
  </si>
  <si>
    <t>SF-00735</t>
  </si>
  <si>
    <t>SF-00737</t>
  </si>
  <si>
    <t>Enxadão estreito com cabo</t>
  </si>
  <si>
    <t>SF-00738</t>
  </si>
  <si>
    <t>SF-00743</t>
  </si>
  <si>
    <t>Espátula forjada de 12 cm</t>
  </si>
  <si>
    <t>SF-00745</t>
  </si>
  <si>
    <t>Espátula forjada de 8 cm</t>
  </si>
  <si>
    <t>SF-00746</t>
  </si>
  <si>
    <t>SF-00747</t>
  </si>
  <si>
    <t>Estilete emborrachado de 18 mm</t>
  </si>
  <si>
    <t>SF-00759</t>
  </si>
  <si>
    <t>SF-00760</t>
  </si>
  <si>
    <t>SF-00761</t>
  </si>
  <si>
    <t>Nível manual de alumínio com base magnética 350 mm</t>
  </si>
  <si>
    <t>SF-00769</t>
  </si>
  <si>
    <t>Prumo de centro</t>
  </si>
  <si>
    <t>SF-00770</t>
  </si>
  <si>
    <t>Prumo de parede</t>
  </si>
  <si>
    <t>SF-00771</t>
  </si>
  <si>
    <t>SF-00772</t>
  </si>
  <si>
    <t>SF-00798</t>
  </si>
  <si>
    <t>Serra tico-tico com controle de velocidade</t>
  </si>
  <si>
    <t>SF-00807</t>
  </si>
  <si>
    <t>SF-00814</t>
  </si>
  <si>
    <t>Desempenadeira de aço lisa</t>
  </si>
  <si>
    <t>SF-00815</t>
  </si>
  <si>
    <t>Desempenadeira estriada em PVC 14 x 27 cm</t>
  </si>
  <si>
    <t>SF-00822</t>
  </si>
  <si>
    <t>SF-00828</t>
  </si>
  <si>
    <t>SF-00829</t>
  </si>
  <si>
    <t>Capa de chuva</t>
  </si>
  <si>
    <t>SF-00831</t>
  </si>
  <si>
    <t>Cinto de segurança tipo paraquedista</t>
  </si>
  <si>
    <t>Lanterna para capacete</t>
  </si>
  <si>
    <t>SF-00839</t>
  </si>
  <si>
    <t>SF-00840</t>
  </si>
  <si>
    <t>Talabarte em Y</t>
  </si>
  <si>
    <t>SF-00841</t>
  </si>
  <si>
    <t>Instalação de vidro (comum, temperado, aramado ou laminado) reaproveitado</t>
  </si>
  <si>
    <t>Vidro temperado incolor com 8mm de espessura</t>
  </si>
  <si>
    <t>Vidro liso comum transparente 5mm</t>
  </si>
  <si>
    <t>SF-00847</t>
  </si>
  <si>
    <t>Corte em vidro ou espelho reaproveitado</t>
  </si>
  <si>
    <t>SF-00848</t>
  </si>
  <si>
    <t>Lapidação de vidro / espelho reaproveitado</t>
  </si>
  <si>
    <t>Vidro temperado incolor com 10 mm de espessura</t>
  </si>
  <si>
    <t>Bucha para pivô de dobradiça para vidro temperado</t>
  </si>
  <si>
    <t>Suporte para bandeira de vidro temperado, com ponto de giro para dobradiça</t>
  </si>
  <si>
    <t>Suporte de canto, simples, para vidro temperado</t>
  </si>
  <si>
    <t>Suporte de união, sem batedor, para dois ou três vidros temperados</t>
  </si>
  <si>
    <t>Botão de correção para vidro temperado</t>
  </si>
  <si>
    <t>Fechadura bico-de-papagaio, com furo, para vidro temperado</t>
  </si>
  <si>
    <t>Fechadura bico-de-papagaio, com furo, para janela de vidro temperado</t>
  </si>
  <si>
    <t>Fechadura para porta de abrir de vidro temperado</t>
  </si>
  <si>
    <t>Contra fechadura, para alvenaria, para porta com fechadura 1520/9520</t>
  </si>
  <si>
    <t>Contra fechadura de pressão para porta de vidro temperado</t>
  </si>
  <si>
    <t>Contra fechadura, com furo, para porta com furo</t>
  </si>
  <si>
    <t>Trinco inferior, com miolo, para porta de vidro temperado</t>
  </si>
  <si>
    <t>Mola hidráulica BTS 75R</t>
  </si>
  <si>
    <t>Puxador redondo, padrão em poliéster, para porta de vidro temperado</t>
  </si>
  <si>
    <t>Puxador em aço inox sob medida – Tipo A</t>
  </si>
  <si>
    <t>Dobradiça superior para porta de vidro temperado</t>
  </si>
  <si>
    <t>Perfil em alumínio para acabamento de trilho superior</t>
  </si>
  <si>
    <t>Capa do Perfil Guia Inferior “Click”</t>
  </si>
  <si>
    <t>Dobradiça inferior para porta de vidro temperado</t>
  </si>
  <si>
    <t>Escova de vedação para vidro temperado</t>
  </si>
  <si>
    <t>Roldana simples para porta de correr em vidro temperado</t>
  </si>
  <si>
    <t>Roldana dupla para porta de correr em vidro temperado</t>
  </si>
  <si>
    <t>Capuchinho para trinco para vidro temperado</t>
  </si>
  <si>
    <t>Facão simples para lateral e bandeira de vidro temperado</t>
  </si>
  <si>
    <t>Fechadura de pressão para porta de abrir em vidro temperado</t>
  </si>
  <si>
    <t>Suporte de união, com miolo, para vidro temperado</t>
  </si>
  <si>
    <t>Suporte para basculante e pivotante de vidro temperado</t>
  </si>
  <si>
    <t>Trinco central para basculante em vidro temperado</t>
  </si>
  <si>
    <t>Dobradiça horizontal para vidro basculante com trinco</t>
  </si>
  <si>
    <t>Dobradiça horizontal para vidro basculante</t>
  </si>
  <si>
    <t>Fechadura elétrica para porta de vidro temperado</t>
  </si>
  <si>
    <t>Porteiro eletrônico</t>
  </si>
  <si>
    <t>Acionador fixo</t>
  </si>
  <si>
    <t>Mini chapinha para trinco basculante</t>
  </si>
  <si>
    <t>Trinco sem miolo para vidro temperado</t>
  </si>
  <si>
    <t>Veda fresta adesivo “E” branco</t>
  </si>
  <si>
    <t>Regulagem de ferragens</t>
  </si>
  <si>
    <t>Puxador em aço inox sob medida – Tipo B</t>
  </si>
  <si>
    <t>Pivô para dobradiça inferior (Montagem com a 1103-TQ)</t>
  </si>
  <si>
    <t>Dobradiça direita inferior excêntrica</t>
  </si>
  <si>
    <t>Dobradiça esquerda inferior excêntrica</t>
  </si>
  <si>
    <t>Dobradiça pivotante inferior com trinco</t>
  </si>
  <si>
    <t>Carrinho para porta de correr 1 roldana e 2 furos</t>
  </si>
  <si>
    <t>Carrinho para porta de correr 2 roldanas e 2 furos</t>
  </si>
  <si>
    <t>Carrinho para porta de correr com roldana côncava</t>
  </si>
  <si>
    <t>Guia de nylon para porta de correr</t>
  </si>
  <si>
    <t>Puxador H tubular em aço inox, comprimento 45cm, para portas de vidro temperado</t>
  </si>
  <si>
    <t>Transporte de vidros</t>
  </si>
  <si>
    <t>m2 x km</t>
  </si>
  <si>
    <t>Recuperação de massa em esquadria metálica</t>
  </si>
  <si>
    <t>Instalação de espelho reaproveitado</t>
  </si>
  <si>
    <t>Finesson (parafuso de fixação francês)</t>
  </si>
  <si>
    <t>Remoção de mola hidráulica de piso</t>
  </si>
  <si>
    <t>Escavação manual de valas</t>
  </si>
  <si>
    <t>Reaterro de vala com compactação mecanizada</t>
  </si>
  <si>
    <t>Aterro de vala com compactação mecanizada</t>
  </si>
  <si>
    <t>Tubo de cobre classe "E" 28 mm</t>
  </si>
  <si>
    <t>Assento para bacia convencional - Linha Acessibilidade</t>
  </si>
  <si>
    <t>Base registro de gaveta 1 1/2”</t>
  </si>
  <si>
    <t>Montagem e desmontagem de andaime fachadeiro</t>
  </si>
  <si>
    <t>Montagem e desmontagem de andaime tubular</t>
  </si>
  <si>
    <t>Remoção de folha de porta de enrolar</t>
  </si>
  <si>
    <t>Base registro de gaveta 1"</t>
  </si>
  <si>
    <t>Base registro de pressão 3/4"</t>
  </si>
  <si>
    <t>Arquiteto(a) com experiência em intervenção no patrimônio cultural</t>
  </si>
  <si>
    <t>Locação de andaime suspenso tipo leve</t>
  </si>
  <si>
    <t>Limpeza de superfície por hidrojateamento de média pressão</t>
  </si>
  <si>
    <t>Inspeção da integridade e adesão de placas de rocha ornamental por percussão</t>
  </si>
  <si>
    <t>Demolição de proteção mecânica de impermeabilização</t>
  </si>
  <si>
    <t>Impermeabilização com emulsão asfáltica</t>
  </si>
  <si>
    <t>Camada de proteção mecânica simples de impermeabilização</t>
  </si>
  <si>
    <t>Camada de proteção mecânica estruturada de impermeabilização</t>
  </si>
  <si>
    <t>Remoção de placas  de mármore encaixadas por fixadores metálicos (modelo Ed. Principal)</t>
  </si>
  <si>
    <t>Remoção de placas de rocha ornamental argamassada, para reaproveitamento</t>
  </si>
  <si>
    <t>Identificação e acondicionamento de placas de rocha ornamental</t>
  </si>
  <si>
    <t>Limpeza de placas de rocha ornamental argamassada, para reaproveitamento</t>
  </si>
  <si>
    <t>Remoção e acondicionamento de fixadores metálicos para placas de mármore em fachada (modelo Ed. Principal)</t>
  </si>
  <si>
    <t>Instalação de fixadores metálicos para placas de mármore em fachada reaproveitados (modelo Ed. Principal)</t>
  </si>
  <si>
    <t>Fixadores metálicos para rochas ornamentais (tipo Ed. Principal, peça superior)</t>
  </si>
  <si>
    <t>SF-00963</t>
  </si>
  <si>
    <t>Fixadores metálicos para rochas ornamentais, sob medida</t>
  </si>
  <si>
    <t>SF-00969</t>
  </si>
  <si>
    <t>Instalação de placas de rocha ornamental reaproveitadas, por meio de argamassa</t>
  </si>
  <si>
    <t>Instalação de placas de rocha ornamental reaproveitadas, por meio de argamassa e fixadores metálicos</t>
  </si>
  <si>
    <t>Aplicação de hidrofugante à base de silano e silicone</t>
  </si>
  <si>
    <t>Cantoneira em alumínio abas iguais 1" x 1/8" – Pingadeira “L”</t>
  </si>
  <si>
    <t>Granito Amarelo Maracujá para rodapé</t>
  </si>
  <si>
    <t>Acabamento das extremidades aparentes dos parafusos de fixação (lixamento e revestimento)</t>
  </si>
  <si>
    <t>Rejuntamento de placas de rocha ornamental em fachada</t>
  </si>
  <si>
    <t>Adesivo Selante Poliuretano – fornecimento e aplicação</t>
  </si>
  <si>
    <t>Chuveiro elétrico</t>
  </si>
  <si>
    <t>Pavimentação em concreto armado simples</t>
  </si>
  <si>
    <t>Remoção de reservatório d’água</t>
  </si>
  <si>
    <t>Transporte e destinação final de entulho para distâncias até 30 km</t>
  </si>
  <si>
    <t>m3 x km</t>
  </si>
  <si>
    <t>Demolição de estrutura metálica</t>
  </si>
  <si>
    <t>Escavação manual com profundidade maior do que 1,30 m</t>
  </si>
  <si>
    <t>Escavação mecânica com profundidade maior do que 1,30 m</t>
  </si>
  <si>
    <t>Grama Batatais em placas de 40 x 40 cm</t>
  </si>
  <si>
    <t>Pintura de meios-fios com tinta acrílica</t>
  </si>
  <si>
    <t>Meios-fios em concreto pré-moldado</t>
  </si>
  <si>
    <t>Tubo PEAD corrugado para drenagem – Diâmetro 100 mm</t>
  </si>
  <si>
    <t>Fixadores metálicos para rochas ornamentais (Modelo Edifício Principal, peça inferior)</t>
  </si>
  <si>
    <t>Locação de Container - Escritório</t>
  </si>
  <si>
    <t>Abertura/fechamento de rasgo em concreto</t>
  </si>
  <si>
    <t>Recomposição de rejuntamento sobre revestimentos</t>
  </si>
  <si>
    <t>Impermeabilização de revestimentos em pedra</t>
  </si>
  <si>
    <t>Piso vinílico semiflexível</t>
  </si>
  <si>
    <t>Locação de Container - Sanitário</t>
  </si>
  <si>
    <t>Locação de Container - Almoxarifado</t>
  </si>
  <si>
    <t>Placa de Obra</t>
  </si>
  <si>
    <t>SF-01032</t>
  </si>
  <si>
    <t>Supervisor(a) de Obras e Manutenção – Apoio a Projetos de Obras – Arquitetura, civil e hidrossanitária</t>
  </si>
  <si>
    <t>SF-01033</t>
  </si>
  <si>
    <t>Supervisor de Obras e Manutenção - Apoio a Projetos e Obras - Eletromecânico</t>
  </si>
  <si>
    <t>SF-01034</t>
  </si>
  <si>
    <t>Supervisor de Obras e Manutenção – Apoio a projetos e obras - Orçamentos</t>
  </si>
  <si>
    <t>SF-01035</t>
  </si>
  <si>
    <t>Supervisor de Obras e Manutenção – Apoio de campo – Sistemas de climatização</t>
  </si>
  <si>
    <t>SF-01036</t>
  </si>
  <si>
    <t>Supervisor de Obras e Manutenção – Apoio de campo - Elevadores</t>
  </si>
  <si>
    <t>SF-01037</t>
  </si>
  <si>
    <t>Supervisor de Obras e Manutenção – Apoio de campo - Eletrotécnico</t>
  </si>
  <si>
    <t>SF-01038</t>
  </si>
  <si>
    <t>Supervisor de Obras e Manutenção – Apoio de Campo - Obras Civis</t>
  </si>
  <si>
    <t>SF-01039</t>
  </si>
  <si>
    <t>Supervisor de Obras e Manutenção – Apoio de Campo - Hidrossanitário</t>
  </si>
  <si>
    <t>SF-01040</t>
  </si>
  <si>
    <t>Supervisor de Obras e Manutenção – Apoio de campo – Planejamento</t>
  </si>
  <si>
    <t>Supervisor de Obras e Manutenção – Apoio de campo – Segurança do Trabalho</t>
  </si>
  <si>
    <t xml:space="preserve">Reparo de placas de mármore com adesivo estrutural epóxi branco/transparente </t>
  </si>
  <si>
    <t>Perfil de chapa de aço galvanizado para esquadria (Anexo 1)</t>
  </si>
  <si>
    <t>Granito Vermelho Brasília 20 mm para bancadas</t>
  </si>
  <si>
    <t>Porta em alumínio tipo veneziana</t>
  </si>
  <si>
    <t>Porta metálica de enrolar</t>
  </si>
  <si>
    <t>Medidor de Gás</t>
  </si>
  <si>
    <t>Registro Esfera para Gás 3/4”</t>
  </si>
  <si>
    <t>Eletroduto PEAD 3”</t>
  </si>
  <si>
    <t>Eletroduto de aço galvanizado de 3”</t>
  </si>
  <si>
    <t>Grelha reta para ralo</t>
  </si>
  <si>
    <t>Granito Vermelho Brasília para soleira e peitoril</t>
  </si>
  <si>
    <t>Luminária LED redonda de embutir</t>
  </si>
  <si>
    <t>Piso tátil de borracha</t>
  </si>
  <si>
    <t>Granito Vermelho Brasília 20 mm para divisória</t>
  </si>
  <si>
    <t>Tampa em ferro fundido 20x20 cm</t>
  </si>
  <si>
    <t>Cerâmica para revestimento de superfícies internas ou externas – Linha GAIL</t>
  </si>
  <si>
    <t>Aterro de vala com areia média e compactação mecanizada</t>
  </si>
  <si>
    <t>Guarda-corpo panorâmico</t>
  </si>
  <si>
    <t>Alimentação para mão-de-obra indireta</t>
  </si>
  <si>
    <t>Transporte para mão-de-obra indireta</t>
  </si>
  <si>
    <t>Eletroduto flexível metálico com capa de PVC 1 1/2"</t>
  </si>
  <si>
    <t>Técnico(a) em Edificações - Planejamento de Manutenção</t>
  </si>
  <si>
    <t>Projeto de Impermeabilização</t>
  </si>
  <si>
    <t>Laminado decorativo de alta pressão (LDAP)</t>
  </si>
  <si>
    <t>Granitina para revestimento de pisos</t>
  </si>
  <si>
    <t>Piso vinílico flexível em manta</t>
  </si>
  <si>
    <t>Recuperação superficial de preparação para pintura epóxi de alto desempenho</t>
  </si>
  <si>
    <t>Forro monolítico de gesso em placas</t>
  </si>
  <si>
    <t>Pintura com tinta epóxi de alto desempenho (pisos)</t>
  </si>
  <si>
    <t>Verniz de poliuretano sobre pintura epóxi de alto desempenho</t>
  </si>
  <si>
    <t>Tratamento antiderrapante em verniz de poliuretano sobre pintura epóxi</t>
  </si>
  <si>
    <t>Pintura para superfícies galvanizadas</t>
  </si>
  <si>
    <t>Selagem ou resselagem de juntas em pavimentação de concreto armado</t>
  </si>
  <si>
    <t>Pavimentação em elementos intertravados de concreto</t>
  </si>
  <si>
    <t>Pavimentação com Asfalto Pré-Misturado a Frio (PMF)</t>
  </si>
  <si>
    <t>Pavimentação asfáltica com CBUQ para aplicação a frio (remendo)</t>
  </si>
  <si>
    <t>Telha metálica trapezoidal galvanizada - GR-40</t>
  </si>
  <si>
    <t>Cumeeira para telha metálica trapezoidal galvanizada - GR-40</t>
  </si>
  <si>
    <t>Telha metálica trapezoidal galvanizada - GR-25</t>
  </si>
  <si>
    <t>Cumeeira para telha metálica trapezoidal galvanizada - GR-25</t>
  </si>
  <si>
    <t>Cumeeira articulada ABA SUPERIOR de fibrocimento para telha modulada - espessura 6 mm</t>
  </si>
  <si>
    <t>Cumeeira articulada ABA INFERIOR de fibrocimento para telha modulada - espessura 6 mm</t>
  </si>
  <si>
    <t>Cumeeira UNIVERSAL para telha de fibrocimento ondulada - espessura 6 mm</t>
  </si>
  <si>
    <t>Cumeeira TIPO SHED para telha de fibrocimento ondulada - espessura 6 mm</t>
  </si>
  <si>
    <t>Telha de fibrocimento - Canalete 49 Eternit</t>
  </si>
  <si>
    <t>Passarela móvel para telhado (sem degraus)</t>
  </si>
  <si>
    <t>Passarela móvel para telhado (com degraus)</t>
  </si>
  <si>
    <t>Escada tipo marinheiro COM proteção</t>
  </si>
  <si>
    <t>Escada tipo marinheiro SEM proteção</t>
  </si>
  <si>
    <t>Limpeza e Preparação do Substrato para Impermeabilização</t>
  </si>
  <si>
    <t>Substituição de Coletores de Águas Pluviais</t>
  </si>
  <si>
    <t>Tratamento de Tubulação Passante para Impermeabilização</t>
  </si>
  <si>
    <t>Camada Separadora para Impermeabilização</t>
  </si>
  <si>
    <t>Camada de Proteção Térmica para Impermeabilização</t>
  </si>
  <si>
    <t>Camada de Amortecimento para Impermeabilização</t>
  </si>
  <si>
    <t>Camada de Proteção Mecânica em Placas de Impermeabilização</t>
  </si>
  <si>
    <t>Pintura Inibidora de Raízes em Estrutura Impermeabilizada</t>
  </si>
  <si>
    <t>Camada Drenante para Impermeabilização</t>
  </si>
  <si>
    <t>Calha em Chapa de Aço Galvanizado nº 24</t>
  </si>
  <si>
    <t>Rufo em Chapa de Aço Galvanizado nº 24</t>
  </si>
  <si>
    <t>Chapim Pré-Moldado de Concreto Aparente</t>
  </si>
  <si>
    <t>Armação em tela de aço soldado nervurada</t>
  </si>
  <si>
    <t>Trama de aço composta por terças para telhados de até 2 águas</t>
  </si>
  <si>
    <t>Revestimento impermeabilizante bloqueador de umidade</t>
  </si>
  <si>
    <t>Pintura com tinta refletiva aluminizada para impermeabilização</t>
  </si>
  <si>
    <t>Colagem da camada de proteção térmica de impermeabilização</t>
  </si>
  <si>
    <t>Asfalto elastomérico para colagem de manta asfáltica</t>
  </si>
  <si>
    <t>SF-01178</t>
  </si>
  <si>
    <t>Fibra de Polipropileno</t>
  </si>
  <si>
    <t>Aditivo Incorporador de Ar</t>
  </si>
  <si>
    <t>Brita Nº 2</t>
  </si>
  <si>
    <t>SF-01184</t>
  </si>
  <si>
    <t>Calha em chapa de zinco # 24 - Modelo 1</t>
  </si>
  <si>
    <t>SF-01185</t>
  </si>
  <si>
    <t>Calha em chapa de zinco # 24 - Modelo 2</t>
  </si>
  <si>
    <t>SF-01193</t>
  </si>
  <si>
    <t>SF-01201</t>
  </si>
  <si>
    <t>SF-01205</t>
  </si>
  <si>
    <t>Enxada com cabo (2,5 libras)</t>
  </si>
  <si>
    <t>SF-01206</t>
  </si>
  <si>
    <t>Escada extensível de alumínio dupla 2x8</t>
  </si>
  <si>
    <t>SF-01209</t>
  </si>
  <si>
    <t>SF-01211</t>
  </si>
  <si>
    <t>Furadeira de impacto/parafusadeira à bateria</t>
  </si>
  <si>
    <t>SF-01214</t>
  </si>
  <si>
    <t>SF-01216</t>
  </si>
  <si>
    <t>Pistola aplicadora de silicone e PU</t>
  </si>
  <si>
    <t>SF-01219</t>
  </si>
  <si>
    <t>Talha Manual para Elevação de Cargas (2 ton)</t>
  </si>
  <si>
    <t>SF-01220</t>
  </si>
  <si>
    <t>SF-01224</t>
  </si>
  <si>
    <t>Lavadora de alta pressão</t>
  </si>
  <si>
    <t>SF-01225</t>
  </si>
  <si>
    <t>Manta autocolante aluminizada</t>
  </si>
  <si>
    <t>SF-01226</t>
  </si>
  <si>
    <t>Primer para aplicação de manta autocolante aluminizada</t>
  </si>
  <si>
    <t>Carpete aveludado azul royal - fornecimento e instalação</t>
  </si>
  <si>
    <t>Demolição de revestimento de piso têxtil (carpete)</t>
  </si>
  <si>
    <t>BENEFÍCIOS E DESPESAS INDIRETAS - BDI</t>
  </si>
  <si>
    <t>BDI Edificações</t>
  </si>
  <si>
    <t>BDI mero fornecimento</t>
  </si>
  <si>
    <t>Componentes do BDI</t>
  </si>
  <si>
    <t>Cálculo sem CPRB</t>
  </si>
  <si>
    <t>não-desonerado</t>
  </si>
  <si>
    <t>% considerado</t>
  </si>
  <si>
    <t>AC</t>
  </si>
  <si>
    <t>S+G</t>
  </si>
  <si>
    <t>R</t>
  </si>
  <si>
    <t>DF</t>
  </si>
  <si>
    <t>PIS</t>
  </si>
  <si>
    <t>COFINS</t>
  </si>
  <si>
    <t>CPRB</t>
  </si>
  <si>
    <t>ISS</t>
  </si>
  <si>
    <r>
      <t xml:space="preserve">Fontes: </t>
    </r>
    <r>
      <rPr>
        <sz val="12"/>
        <rFont val="Arial"/>
        <family val="2"/>
      </rPr>
      <t>Acórdãos 2.369/2011-TCU-Plenário e 2.622/2013-TCU-Plenário.</t>
    </r>
  </si>
  <si>
    <t>Insumos de outras tabelas de referência</t>
  </si>
  <si>
    <t>INSUMO</t>
  </si>
  <si>
    <t>FONTE DE PREÇO</t>
  </si>
  <si>
    <t>PREÇO UNITÁRIO</t>
  </si>
  <si>
    <t>data-base</t>
  </si>
  <si>
    <t>Coluna E</t>
  </si>
  <si>
    <t>CODIGO  DA COMPOSICAO</t>
  </si>
  <si>
    <t>DESCRICAO DA COMPOSICAO</t>
  </si>
  <si>
    <t>ORIGEM DE PREÇO</t>
  </si>
  <si>
    <t>DESONERADO</t>
  </si>
  <si>
    <t>NÃO DESONERADO</t>
  </si>
  <si>
    <t>CÓD SINAPI</t>
  </si>
  <si>
    <t>Coluna F</t>
  </si>
  <si>
    <t>97141</t>
  </si>
  <si>
    <t>ASSENTAMENTO DE TUBO DE FERRO FUNDIDO PARA REDE DE ÁGUA, DN 80 MM, JUNTA ELÁSTICA, INSTALADO EM LOCAL COM NÍVEL ALTO DE INTERFERÊNCIAS (NÃO INCLUI FORNECIMENTO). AF_11/2017</t>
  </si>
  <si>
    <t>ATRIBUÍDO SÃO PAULO</t>
  </si>
  <si>
    <t>97142</t>
  </si>
  <si>
    <t>ASSENTAMENTO DE TUBO DE FERRO FUNDIDO PARA REDE DE ÁGUA, DN 100 MM, JUNTA ELÁSTICA, INSTALADO EM LOCAL COM NÍVEL ALTO DE INTERFERÊNCIAS (NÃO INCLUI FORNECIMENTO). AF_11/2017</t>
  </si>
  <si>
    <t>97143</t>
  </si>
  <si>
    <t>ASSENTAMENTO DE TUBO DE FERRO FUNDIDO PARA REDE DE ÁGUA, DN 150 MM, JUNTA ELÁSTICA, INSTALADO EM LOCAL COM NÍVEL ALTO DE INTERFERÊNCIAS (NÃO INCLUI FORNECIMENTO). AF_11/2017</t>
  </si>
  <si>
    <t>97144</t>
  </si>
  <si>
    <t>ASSENTAMENTO DE TUBO DE FERRO FUNDIDO PARA REDE DE ÁGUA, DN 200 MM, JUNTA ELÁSTICA, INSTALADO EM LOCAL COM NÍVEL ALTO DE INTERFERÊNCIAS (NÃO INCLUI FORNECIMENTO). AF_11/2017</t>
  </si>
  <si>
    <t>97145</t>
  </si>
  <si>
    <t>ASSENTAMENTO DE TUBO DE FERRO FUNDIDO PARA REDE DE ÁGUA, DN 250 MM, JUNTA ELÁSTICA, INSTALADO EM LOCAL COM NÍVEL ALTO DE INTERFERÊNCIAS (NÃO INCLUI FORNECIMENTO). AF_11/2017</t>
  </si>
  <si>
    <t>97146</t>
  </si>
  <si>
    <t>ASSENTAMENTO DE TUBO DE FERRO FUNDIDO PARA REDE DE ÁGUA, DN 300 MM, JUNTA ELÁSTICA, INSTALADO EM LOCAL COM NÍVEL ALTO DE INTERFERÊNCIAS (NÃO INCLUI FORNECIMENTO). AF_11/2017</t>
  </si>
  <si>
    <t>97147</t>
  </si>
  <si>
    <t>ASSENTAMENTO DE TUBO DE FERRO FUNDIDO PARA REDE DE ÁGUA, DN 350 MM, JUNTA ELÁSTICA, INSTALADO EM LOCAL COM NÍVEL ALTO DE INTERFERÊNCIAS (NÃO INCLUI FORNECIMENTO). AF_11/2017</t>
  </si>
  <si>
    <t>97148</t>
  </si>
  <si>
    <t>ASSENTAMENTO DE TUBO DE FERRO FUNDIDO PARA REDE DE ÁGUA, DN 400 MM, JUNTA ELÁSTICA, INSTALADO EM LOCAL COM NÍVEL ALTO DE INTERFERÊNCIAS (NÃO INCLUI FORNECIMENTO). AF_11/2017</t>
  </si>
  <si>
    <t>97149</t>
  </si>
  <si>
    <t>ASSENTAMENTO DE TUBO DE FERRO FUNDIDO PARA REDE DE ÁGUA, DN 450 MM, JUNTA ELÁSTICA, INSTALADO EM LOCAL COM NÍVEL ALTO DE INTERFERÊNCIAS (NÃO INCLUI FORNECIMENTO). AF_11/2017</t>
  </si>
  <si>
    <t>97150</t>
  </si>
  <si>
    <t>ASSENTAMENTO DE TUBO DE FERRO FUNDIDO PARA REDE DE ÁGUA, DN 500 MM, JUNTA ELÁSTICA, INSTALADO EM LOCAL COM NÍVEL ALTO DE INTERFERÊNCIAS (NÃO INCLUI FORNECIMENTO). AF_11/2017</t>
  </si>
  <si>
    <t>97151</t>
  </si>
  <si>
    <t>ASSENTAMENTO DE TUBO DE FERRO FUNDIDO PARA REDE DE ÁGUA, DN 600 MM, JUNTA ELÁSTICA, INSTALADO EM LOCAL COM NÍVEL ALTO DE INTERFERÊNCIAS (NÃO INCLUI FORNECIMENTO). AF_11/2017</t>
  </si>
  <si>
    <t>97152</t>
  </si>
  <si>
    <t>ASSENTAMENTO DE TUBO DE FERRO FUNDIDO PARA REDE DE ÁGUA, DN 700 MM, JUNTA ELÁSTICA, INSTALADO EM LOCAL COM NÍVEL ALTO DE INTERFERÊNCIAS (NÃO INCLUI FORNECIMENTO). AF_11/2017</t>
  </si>
  <si>
    <t>97153</t>
  </si>
  <si>
    <t>ASSENTAMENTO DE TUBO DE FERRO FUNDIDO PARA REDE DE ÁGUA, DN 800 MM, JUNTA ELÁSTICA, INSTALADO EM LOCAL COM NÍVEL ALTO DE INTERFERÊNCIAS (NÃO INCLUI FORNECIMENTO). AF_11/2017</t>
  </si>
  <si>
    <t>97154</t>
  </si>
  <si>
    <t>ASSENTAMENTO DE TUBO DE FERRO FUNDIDO PARA REDE DE ÁGUA, DN 900 MM, JUNTA ELÁSTICA, INSTALADO EM LOCAL COM NÍVEL ALTO DE INTERFERÊNCIAS (NÃO INCLUI FORNECIMENTO). AF_11/2017</t>
  </si>
  <si>
    <t>97155</t>
  </si>
  <si>
    <t>ASSENTAMENTO DE TUBO DE FERRO FUNDIDO PARA REDE DE ÁGUA, DN 1000 MM, JUNTA ELÁSTICA, INSTALADO EM LOCAL COM NÍVEL ALTO DE INTERFERÊNCIAS (NÃO INCLUI FORNECIMENTO). AF_11/2017</t>
  </si>
  <si>
    <t>97156</t>
  </si>
  <si>
    <t>ASSENTAMENTO DE TUBO DE FERRO FUNDIDO PARA REDE DE ÁGUA, DN 1200 MM, JUNTA ELÁSTICA, INSTALADO EM LOCAL COM NÍVEL ALTO DE INTERFERÊNCIAS (NÃO INCLUI FORNECIMENTO). AF_11/2017</t>
  </si>
  <si>
    <t>97157</t>
  </si>
  <si>
    <t>ASSENTAMENTO DE TUBO DE FERRO FUNDIDO PARA REDE DE ÁGUA, DN 80 MM, JUNTA ELÁSTICA, INSTALADO EM LOCAL COM NÍVEL BAIXO DE INTERFERÊNCIAS (NÃO INCLUI FORNECIMENTO). AF_11/2017</t>
  </si>
  <si>
    <t>97158</t>
  </si>
  <si>
    <t>ASSENTAMENTO DE TUBO DE FERRO FUNDIDO PARA REDE DE ÁGUA, DN 100 MM, JUNTA ELÁSTICA, INSTALADO EM LOCAL COM NÍVEL BAIXO DE INTERFERÊNCIAS (NÃO INCLUI FORNECIMENTO). AF_11/2017</t>
  </si>
  <si>
    <t>97159</t>
  </si>
  <si>
    <t>ASSENTAMENTO DE TUBO DE FERRO FUNDIDO PARA REDE DE ÁGUA, DN 150 MM, JUNTA ELÁSTICA, INSTALADO EM LOCAL COM NÍVEL BAIXO DE INTERFERÊNCIAS (NÃO INCLUI FORNECIMENTO). AF_11/2017</t>
  </si>
  <si>
    <t>97160</t>
  </si>
  <si>
    <t>ASSENTAMENTO DE TUBO DE FERRO FUNDIDO PARA REDE DE ÁGUA, DN 200 MM, JUNTA ELÁSTICA, INSTALADO EM LOCAL COM NÍVEL BAIXO DE INTERFERÊNCIAS (NÃO INCLUI FORNECIMENTO). AF_11/2017</t>
  </si>
  <si>
    <t>97161</t>
  </si>
  <si>
    <t>ASSENTAMENTO DE TUBO DE FERRO FUNDIDO PARA REDE DE ÁGUA, DN 250 MM, JUNTA ELÁSTICA, INSTALADO EM LOCAL COM NÍVEL BAIXO DE INTERFERÊNCIAS (NÃO INCLUI FORNECIMENTO). AF_11/2017</t>
  </si>
  <si>
    <t>97162</t>
  </si>
  <si>
    <t>ASSENTAMENTO DE TUBO DE FERRO FUNDIDO PARA REDE DE ÁGUA, DN 300 MM, JUNTA ELÁSTICA, INSTALADO EM LOCAL COM NÍVEL BAIXO DE INTERFERÊNCIAS (NÃO INCLUI FORNECIMENTO). AF_11/2017</t>
  </si>
  <si>
    <t>97163</t>
  </si>
  <si>
    <t>ASSENTAMENTO DE TUBO DE FERRO FUNDIDO PARA REDE DE ÁGUA, DN 350 MM, JUNTA ELÁSTICA, INSTALADO EM LOCAL COM NÍVEL BAIXO DE INTERFERÊNCIAS (NÃO INCLUI FORNECIMENTO). AF_11/2017</t>
  </si>
  <si>
    <t>97164</t>
  </si>
  <si>
    <t>ASSENTAMENTO DE TUBO DE FERRO FUNDIDO PARA REDE DE ÁGUA, DN 400 MM, JUNTA ELÁSTICA, INSTALADO EM LOCAL COM NÍVEL BAIXO DE INTERFERÊNCIAS (NÃO INCLUI FORNECIMENTO). AF_11/2017</t>
  </si>
  <si>
    <t>97165</t>
  </si>
  <si>
    <t>ASSENTAMENTO DE TUBO DE FERRO FUNDIDO PARA REDE DE ÁGUA, DN 450 MM, JUNTA ELÁSTICA, INSTALADO EM LOCAL COM NÍVEL BAIXO DE INTERFERÊNCIAS (NÃO INCLUI FORNECIMENTO). AF_11/2017</t>
  </si>
  <si>
    <t>97166</t>
  </si>
  <si>
    <t>ASSENTAMENTO DE TUBO DE FERRO FUNDIDO PARA REDE DE ÁGUA, DN 500 MM, JUNTA ELÁSTICA, INSTALADO EM LOCAL COM NÍVEL BAIXO DE INTERFERÊNCIAS (NÃO INCLUI FORNECIMENTO). AF_11/2017</t>
  </si>
  <si>
    <t>13,49</t>
  </si>
  <si>
    <t>97167</t>
  </si>
  <si>
    <t>ASSENTAMENTO DE TUBO DE FERRO FUNDIDO PARA REDE DE ÁGUA, DN 600 MM, JUNTA ELÁSTICA, INSTALADO EM LOCAL COM NÍVEL BAIXO DE INTERFERÊNCIAS (NÃO INCLUI FORNECIMENTO). AF_11/2017</t>
  </si>
  <si>
    <t>97168</t>
  </si>
  <si>
    <t>ASSENTAMENTO DE TUBO DE FERRO FUNDIDO PARA REDE DE ÁGUA, DN 700 MM, JUNTA ELÁSTICA, INSTALADO EM LOCAL COM NÍVEL BAIXO DE INTERFERÊNCIAS (NÃO INCLUI FORNECIMENTO). AF_11/2017</t>
  </si>
  <si>
    <t>97169</t>
  </si>
  <si>
    <t>ASSENTAMENTO DE TUBO DE FERRO FUNDIDO PARA REDE DE ÁGUA, DN 800 MM, JUNTA ELÁSTICA, INSTALADO EM LOCAL COM NÍVEL BAIXO DE INTERFERÊNCIAS (NÃO INCLUI FORNECIMENTO). AF_11/2017</t>
  </si>
  <si>
    <t>18,73</t>
  </si>
  <si>
    <t>97170</t>
  </si>
  <si>
    <t>ASSENTAMENTO DE TUBO DE FERRO FUNDIDO PARA REDE DE ÁGUA, DN 900 MM, JUNTA ELÁSTICA, INSTALADO EM LOCAL COM NÍVEL BAIXO DE INTERFERÊNCIAS (NÃO INCLUI FORNECIMENTO). AF_11/2017</t>
  </si>
  <si>
    <t>97171</t>
  </si>
  <si>
    <t>ASSENTAMENTO DE TUBO DE FERRO FUNDIDO PARA REDE DE ÁGUA, DN 1000 MM, JUNTA ELÁSTICA, INSTALADO EM LOCAL COM NÍVEL BAIXO DE INTERFERÊNCIAS (NÃO INCLUI FORNECIMENTO). AF_11/2017</t>
  </si>
  <si>
    <t>97172</t>
  </si>
  <si>
    <t>ASSENTAMENTO DE TUBO DE FERRO FUNDIDO PARA REDE DE ÁGUA, DN 1200 MM, JUNTA ELÁSTICA, INSTALADO EM LOCAL COM NÍVEL BAIXO DE INTERFERÊNCIAS (NÃO INCLUI FORNECIMENTO). AF_11/2017</t>
  </si>
  <si>
    <t>97173</t>
  </si>
  <si>
    <t>ASSENTAMENTO DE TUBO DE AÇO CARBONO PARA REDE DE ÁGUA, DN 600 MM (24), JUNTA SOLDADA, INSTALADO EM LOCAL COM NÍVEL ALTO DE INTERFERÊNCIAS (NÃO INCLUI FORNECIMENTO). AF_11/2017</t>
  </si>
  <si>
    <t>97174</t>
  </si>
  <si>
    <t>ASSENTAMENTO DE TUBO DE AÇO CARBONO PARA REDE DE ÁGUA, DN 700 MM (28), JUNTA SOLDADA, INSTALADO EM LOCAL COM NÍVEL ALTO DE INTERFERÊNCIAS (NÃO INCLUI FORNECIMENTO). AF_11/2017</t>
  </si>
  <si>
    <t>97175</t>
  </si>
  <si>
    <t>ASSENTAMENTO DE TUBO DE AÇO CARBONO PARA REDE DE ÁGUA, DN 800 MM (32), JUNTA SOLDADA, INSTALADO EM LOCAL COM NÍVEL ALTO DE INTERFERÊNCIAS (NÃO INCLUI FORNECIMENTO). AF_11/2017</t>
  </si>
  <si>
    <t>97176</t>
  </si>
  <si>
    <t>ASSENTAMENTO DE TUBO DE AÇO CARBONO PARA REDE DE ÁGUA, DN 900 MM (36), JUNTA SOLDADA, INSTALADO EM LOCAL COM NÍVEL ALTO DE INTERFERÊNCIAS (NÃO INCLUI FORNECIMENTO). AF_11/2017</t>
  </si>
  <si>
    <t>97177</t>
  </si>
  <si>
    <t>ASSENTAMENTO DE TUBO DE AÇO CARBONO PARA REDE DE ÁGUA, DN 1000 MM (40) OU DN 1100 MM (44), JUNTA SOLDADA, INSTALADO EM LOCAL COM NÍVEL ALTO DE INTERFERÊNCIAS (NÃO INCLUI FORNECIMENTO). AF_11/2017</t>
  </si>
  <si>
    <t>97178</t>
  </si>
  <si>
    <t>ASSENTAMENTO DE TUBO DE AÇO CARBONO PARA REDE DE ÁGUA, DN 1200 MM (48) OU DN 1300 MM (52), JUNTA SOLDADA, INSTALADO EM LOCAL COM NÍVEL ALTO DE INTERFERÊNCIAS (NÃO INCLUI FORNECIMENTO). AF_11/2017</t>
  </si>
  <si>
    <t>97179</t>
  </si>
  <si>
    <t>ASSENTAMENTO DE TUBO DE AÇO CARBONO PARA REDE DE ÁGUA, DN 1400 MM (56'') OU DN 1500 MM (60), JUNTA SOLDADA, INSTALADO EM LOCAL COM NÍVEL ALTO DE INTERFERÊNCIAS (NÃO INCLUI FORNECIMENTO). AF_11/2017</t>
  </si>
  <si>
    <t>97180</t>
  </si>
  <si>
    <t>ASSENTAMENTO DE TUBO DE AÇO CARBONO PARA REDE DE ÁGUA, DN 1600 MM (64) OU DN 1700 MM (68), JUNTA SOLDADA, INSTALADO EM LOCAL COM NÍVEL ALTO DE INTERFERÊNCIAS (NÃO INCLUI FORNECIMENTO). AF_11/2017</t>
  </si>
  <si>
    <t>97181</t>
  </si>
  <si>
    <t>ASSENTAMENTO DE TUBO DE AÇO CARBONO PARA REDE DE ÁGUA, DN 1800 MM (72) OU DN 1900 MM (76), JUNTA SOLDADA, INSTALADO EM LOCAL COM NÍVEL ALTO DE INTERFERÊNCIAS (NÃO INCLUI FORNECIMENTO). AF_11/2017</t>
  </si>
  <si>
    <t>97182</t>
  </si>
  <si>
    <t>ASSENTAMENTO DE TUBO DE AÇO CARBONO PARA REDE DE ÁGUA, DN 2000 MM (80) OU DN 2100 MM (84), JUNTA SOLDADA, INSTALADO EM LOCAL COM NÍVEL ALTO DE INTERFERÊNCIAS (NÃO INCLUI FORNECIMENTO). AF_11/2017</t>
  </si>
  <si>
    <t>97183</t>
  </si>
  <si>
    <t>ASSENTAMENTO DE TUBO DE AÇO CARBONO PARA REDE DE ÁGUA, DN 600 MM (24), JUNTA SOLDADA, INSTALADO EM LOCAL COM NÍVEL BAIXO DE INTERFERÊNCIAS (NÃO INCLUI FORNECIMENTO). AF_11/2017</t>
  </si>
  <si>
    <t>97184</t>
  </si>
  <si>
    <t>ASSENTAMENTO DE TUBO DE AÇO CARBONO PARA REDE DE ÁGUA, DN 700 MM (28), JUNTA SOLDADA, INSTALADO EM LOCAL COM NÍVEL BAIXO DE INTERFERÊNCIAS (NÃO INCLUI FORNECIMENTO). AF_11/2017</t>
  </si>
  <si>
    <t>97185</t>
  </si>
  <si>
    <t>ASSENTAMENTO DE TUBO DE AÇO CARBONO PARA REDE DE ÁGUA, DN 800 MM (32), JUNTA SOLDADA, INSTALADO EM LOCAL COM NÍVEL BAIXO DE INTERFERÊNCIAS (NÃO INCLUI FORNECIMENTO). AF_11/2017</t>
  </si>
  <si>
    <t>97186</t>
  </si>
  <si>
    <t>ASSENTAMENTO DE TUBO DE AÇO CARBONO PARA REDE DE ÁGUA, DN 900 MM (36), JUNTA SOLDADA, INSTALADO EM LOCAL COM NÍVEL BAIXO DE INTERFERÊNCIAS (NÃO INCLUI FORNECIMENTO). AF_11/2017</t>
  </si>
  <si>
    <t>97187</t>
  </si>
  <si>
    <t>ASSENTAMENTO DE TUBO DE AÇO CARBONO PARA REDE DE ÁGUA, DN 1000 MM (40  ) OU DN 1100 MM (44  ), JUNTA SOLDADA, INSTALADO EM LOCAL COM NÍVEL BAIXO DE INTERFERÊNCIAS (NÃO INCLUI FORNECIMENTO). AF_11/2017</t>
  </si>
  <si>
    <t>97188</t>
  </si>
  <si>
    <t>ASSENTAMENTO DE TUBO DE AÇO CARBONO PARA REDE DE ÁGUA, DN 1200 MM (48) OU DN 1300 MM (52), JUNTA SOLDADA, INSTALADO EM LOCAL COM NÍVEL BAIXO DE INTERFERÊNCIAS (NÃO INCLUI FORNECIMENTO). AF_11/2017</t>
  </si>
  <si>
    <t>97189</t>
  </si>
  <si>
    <t>ASSENTAMENTO DE TUBO DE AÇO CARBONO PARA REDE DE ÁGUA, DN 1400 MM (56'') OU DN 1500 MM (60), JUNTA SOLDADA, INSTALADO EM LOCAL COM NÍVEL BAIXO DE INTERFERÊNCIAS (NÃO INCLUI FORNECIMENTO). AF_11/2017</t>
  </si>
  <si>
    <t>97190</t>
  </si>
  <si>
    <t>ASSENTAMENTO DE TUBO DE AÇO CARBONO PARA REDE DE ÁGUA, DN 1600 MM (64) OU DN 1700 MM (68), JUNTA SOLDADA, INSTALADO EM LOCAL COM NÍVEL BAIXO DE INTERFERÊNCIAS (NÃO INCLUI FORNECIMENTO). AF_11/2017</t>
  </si>
  <si>
    <t>97191</t>
  </si>
  <si>
    <t>ASSENTAMENTO DE TUBO DE AÇO CARBONO PARA REDE DE ÁGUA, DN 1800 MM (72) OU DN 1900 MM (76), JUNTA SOLDADA, INSTALADO EM LOCAL COM NÍVEL BAIXO DE INTERFERÊNCIAS (NÃO INCLUI FORNECIMENTO). AF_11/2017</t>
  </si>
  <si>
    <t>97192</t>
  </si>
  <si>
    <t>ASSENTAMENTO DE TUBO DE AÇO CARBONO PARA REDE DE ÁGUA, DN 2000 MM (80) OU DN 2100 MM (84), JUNTA SOLDADA, INSTALADO EM LOCAL COM NÍVEL BAIXO DE INTERFERÊNCIAS (NÃO INCLUI FORNECIMENTO). AF_11/2017</t>
  </si>
  <si>
    <t>90694</t>
  </si>
  <si>
    <t>90695</t>
  </si>
  <si>
    <t>90696</t>
  </si>
  <si>
    <t>90697</t>
  </si>
  <si>
    <t>90698</t>
  </si>
  <si>
    <t>90699</t>
  </si>
  <si>
    <t>90700</t>
  </si>
  <si>
    <t>90701</t>
  </si>
  <si>
    <t>90702</t>
  </si>
  <si>
    <t>90703</t>
  </si>
  <si>
    <t>90704</t>
  </si>
  <si>
    <t>90705</t>
  </si>
  <si>
    <t>90706</t>
  </si>
  <si>
    <t>90708</t>
  </si>
  <si>
    <t>90724</t>
  </si>
  <si>
    <t>COEFICIENTE DE REPRESENTATIVIDADE</t>
  </si>
  <si>
    <t>90725</t>
  </si>
  <si>
    <t>90726</t>
  </si>
  <si>
    <t>90727</t>
  </si>
  <si>
    <t>90728</t>
  </si>
  <si>
    <t>90729</t>
  </si>
  <si>
    <t>90730</t>
  </si>
  <si>
    <t>90731</t>
  </si>
  <si>
    <t>90732</t>
  </si>
  <si>
    <t>90733</t>
  </si>
  <si>
    <t>1,85</t>
  </si>
  <si>
    <t>90734</t>
  </si>
  <si>
    <t>2,25</t>
  </si>
  <si>
    <t>90735</t>
  </si>
  <si>
    <t>90736</t>
  </si>
  <si>
    <t>90737</t>
  </si>
  <si>
    <t>90738</t>
  </si>
  <si>
    <t>4,32</t>
  </si>
  <si>
    <t>90739</t>
  </si>
  <si>
    <t>90740</t>
  </si>
  <si>
    <t>90741</t>
  </si>
  <si>
    <t>5,01</t>
  </si>
  <si>
    <t>90742</t>
  </si>
  <si>
    <t>5,46</t>
  </si>
  <si>
    <t>90743</t>
  </si>
  <si>
    <t>5,92</t>
  </si>
  <si>
    <t>90744</t>
  </si>
  <si>
    <t>90745</t>
  </si>
  <si>
    <t>90746</t>
  </si>
  <si>
    <t>90747</t>
  </si>
  <si>
    <t>4,14</t>
  </si>
  <si>
    <t>5,94</t>
  </si>
  <si>
    <t>6,41</t>
  </si>
  <si>
    <t>7,09</t>
  </si>
  <si>
    <t>94869</t>
  </si>
  <si>
    <t>94870</t>
  </si>
  <si>
    <t>0,68</t>
  </si>
  <si>
    <t>94871</t>
  </si>
  <si>
    <t>94872</t>
  </si>
  <si>
    <t>94875</t>
  </si>
  <si>
    <t>94876</t>
  </si>
  <si>
    <t>94878</t>
  </si>
  <si>
    <t>94879</t>
  </si>
  <si>
    <t>94880</t>
  </si>
  <si>
    <t>94881</t>
  </si>
  <si>
    <t>94882</t>
  </si>
  <si>
    <t>94884</t>
  </si>
  <si>
    <t>0,78</t>
  </si>
  <si>
    <t>0,87</t>
  </si>
  <si>
    <t>1,50</t>
  </si>
  <si>
    <t>97121</t>
  </si>
  <si>
    <t>ASSENTAMENTO DE TUBO DE PVC PBA PARA REDE DE ÁGUA, DN 50 MM, JUNTA ELÁSTICA INTEGRADA, INSTALADO EM LOCAL COM NÍVEL ALTO DE INTERFERÊNCIAS (NÃO INCLUI FORNECIMENTO). AF_11/2017</t>
  </si>
  <si>
    <t>97122</t>
  </si>
  <si>
    <t>ASSENTAMENTO DE TUBO DE PVC PBA PARA REDE DE ÁGUA, DN 75 MM, JUNTA ELÁSTICA INTEGRADA, INSTALADO EM LOCAL COM NÍVEL ALTO DE INTERFERÊNCIAS (NÃO INCLUI FORNECIMENTO). AF_11/2017</t>
  </si>
  <si>
    <t>1,94</t>
  </si>
  <si>
    <t>97123</t>
  </si>
  <si>
    <t>ASSENTAMENTO DE TUBO DE PVC PBA PARA REDE DE ÁGUA, DN 100 MM, JUNTA ELÁSTICA INTEGRADA, INSTALADO EM LOCAL COM NÍVEL ALTO DE INTERFERÊNCIAS (NÃO INCLUI FORNECIMENTO). AF_11/2017</t>
  </si>
  <si>
    <t>97124</t>
  </si>
  <si>
    <t>ASSENTAMENTO DE TUBO DE PVC PBA PARA REDE DE ÁGUA, DN 50 MM, JUNTA ELÁSTICA INTEGRADA, INSTALADO EM LOCAL COM NÍVEL BAIXO DE INTERFERÊNCIAS (NÃO INCLUI FORNECIMENTO). AF_11/2017</t>
  </si>
  <si>
    <t>97125</t>
  </si>
  <si>
    <t>ASSENTAMENTO DE TUBO DE PVC PBA PARA REDE DE ÁGUA, DN 75 MM, JUNTA ELÁSTICA INTEGRADA, INSTALADO EM LOCAL COM NÍVEL BAIXO DE INTERFERÊNCIAS (NÃO INCLUI FORNECIMENTO). AF_11/2017</t>
  </si>
  <si>
    <t>97126</t>
  </si>
  <si>
    <t>ASSENTAMENTO DE TUBO DE PVC PBA PARA REDE DE ÁGUA, DN 100 MM, JUNTA ELÁSTICA INTEGRADA, INSTALADO EM LOCAL COM NÍVEL BAIXO DE INTERFERÊNCIAS (NÃO INCLUI FORNECIMENTO). AF_11/2017</t>
  </si>
  <si>
    <t>92833</t>
  </si>
  <si>
    <t>TUBO DE CONCRETO PARA REDES COLETORAS DE ESGOTO SANITÁRIO, DIÂMETRO DE 300 MM, JUNTA ELÁSTICA, INSTALADO EM LOCAL COM BAIXO NÍVEL DE INTERFERÊNCIAS - FORNECIMENTO E ASSENTAMENTO. AF_12/2015</t>
  </si>
  <si>
    <t>92834</t>
  </si>
  <si>
    <t>ASSENTAMENTO DE TUBO DE CONCRETO PARA REDES COLETORAS DE ESGOTO SANITÁRIO, DIÂMETRO DE 300 MM, JUNTA ELÁSTICA, INSTALADO EM LOCAL COM BAIXO NÍVEL DE INTERFERÊNCIAS (NÃO INCLUI FORNECIMENTO). AF_12/2015</t>
  </si>
  <si>
    <t>92835</t>
  </si>
  <si>
    <t>TUBO DE CONCRETO PARA REDES COLETORAS DE ESGOTO SANITÁRIO, DIÂMETRO DE 400 MM, JUNTA ELÁSTICA, INSTALADO EM LOCAL COM BAIXO NÍVEL DE INTERFERÊNCIAS - FORNECIMENTO E ASSENTAMENTO. AF_12/2015</t>
  </si>
  <si>
    <t>92836</t>
  </si>
  <si>
    <t>ASSENTAMENTO DE TUBO DE CONCRETO PARA REDES COLETORAS DE ESGOTO SANITÁRIO, DIÂMETRO DE 400 MM, JUNTA ELÁSTICA, INSTALADO EM LOCAL COM BAIXO NÍVEL DE INTERFERÊNCIAS (NÃO INCLUI FORNECIMENTO). AF_12/2015</t>
  </si>
  <si>
    <t>92837</t>
  </si>
  <si>
    <t>TUBO DE CONCRETO PARA REDES COLETORAS DE ESGOTO SANITÁRIO, DIÂMETRO DE 500 MM, JUNTA ELÁSTICA, INSTALADO EM LOCAL COM BAIXO NÍVEL DE INTERFERÊNCIAS - FORNECIMENTO E ASSENTAMENTO. AF_12/2015</t>
  </si>
  <si>
    <t>92838</t>
  </si>
  <si>
    <t>ASSENTAMENTO DE TUBO DE CONCRETO PARA REDES COLETORAS DE ESGOTO SANITÁRIO, DIÂMETRO DE 500 MM, JUNTA ELÁSTICA, INSTALADO EM LOCAL COM BAIXO NÍVEL DE INTERFERÊNCIAS (NÃO INCLUI FORNECIMENTO). AF_12/2015</t>
  </si>
  <si>
    <t>92839</t>
  </si>
  <si>
    <t>TUBO DE CONCRETO PARA REDES COLETORAS DE ESGOTO SANITÁRIO, DIÂMETRO DE 600 MM, JUNTA ELÁSTICA, INSTALADO EM LOCAL COM BAIXO NÍVEL DE INTERFERÊNCIAS - FORNECIMENTO E ASSENTAMENTO. AF_12/2015</t>
  </si>
  <si>
    <t>92840</t>
  </si>
  <si>
    <t>ASSENTAMENTO DE TUBO DE CONCRETO PARA REDES COLETORAS DE ESGOTO SANITÁRIO, DIÂMETRO DE 600 MM, JUNTA ELÁSTICA, INSTALADO EM LOCAL COM BAIXO NÍVEL DE INTERFERÊNCIAS (NÃO INCLUI FORNECIMENTO). AF_12/2015</t>
  </si>
  <si>
    <t>10,02</t>
  </si>
  <si>
    <t>10,72</t>
  </si>
  <si>
    <t>92841</t>
  </si>
  <si>
    <t>TUBO DE CONCRETO PARA REDES COLETORAS DE ESGOTO SANITÁRIO, DIÂMETRO DE 700 MM, JUNTA ELÁSTICA, INSTALADO EM LOCAL COM BAIXO NÍVEL DE INTERFERÊNCIAS - FORNECIMENTO E ASSENTAMENTO. AF_12/2015</t>
  </si>
  <si>
    <t>92842</t>
  </si>
  <si>
    <t>ASSENTAMENTO DE TUBO DE CONCRETO PARA REDES COLETORAS DE ESGOTO SANITÁRIO, DIÂMETRO DE 700 MM, JUNTA ELÁSTICA, INSTALADO EM LOCAL COM BAIXO NÍVEL DE INTERFERÊNCIAS (NÃO INCLUI FORNECIMENTO). AF_12/2015</t>
  </si>
  <si>
    <t>92844</t>
  </si>
  <si>
    <t>ASSENTAMENTO DE TUBO DE CONCRETO PARA REDES COLETORAS DE ESGOTO SANITÁRIO, DIÂMETRO DE 800 MM, JUNTA ELÁSTICA, INSTALADO EM LOCAL COM BAIXO NÍVEL DE INTERFERÊNCIAS (NÃO INCLUI FORNECIMENTO). AF_12/2015</t>
  </si>
  <si>
    <t>92846</t>
  </si>
  <si>
    <t>ASSENTAMENTO DE TUBO DE CONCRETO PARA REDES COLETORAS DE ESGOTO SANITÁRIO, DIÂMETRO DE 900 MM, JUNTA ELÁSTICA, INSTALADO EM LOCAL COM BAIXO NÍVEL DE INTERFERÊNCIAS (NÃO INCLUI FORNECIMENTO). AF_12/2015</t>
  </si>
  <si>
    <t>92847</t>
  </si>
  <si>
    <t>TUBO DE CONCRETO PARA REDES COLETORAS DE ESGOTO SANITÁRIO, DIÂMETRO DE 1000 MM, JUNTA ELÁSTICA, INSTALADO EM LOCAL COM BAIXO NÍVEL DE INTERFERÊNCIAS - FORNECIMENTO E ASSENTAMENTO. AF_12/2015</t>
  </si>
  <si>
    <t>92848</t>
  </si>
  <si>
    <t>ASSENTAMENTO DE TUBO DE CONCRETO PARA REDES COLETORAS DE ESGOTO SANITÁRIO, DIÂMETRO DE 1000 MM, JUNTA ELÁSTICA, INSTALADO EM LOCAL COM BAIXO NÍVEL DE INTERFERÊNCIAS (NÃO INCLUI FORNECIMENTO). AF_12/2015</t>
  </si>
  <si>
    <t>92849</t>
  </si>
  <si>
    <t>TUBO DE CONCRETO PARA REDES COLETORAS DE ESGOTO SANITÁRIO, DIÂMETRO DE 300 MM, JUNTA ELÁSTICA, INSTALADO EM LOCAL COM ALTO NÍVEL DE INTERFERÊNCIAS - FORNECIMENTO E ASSENTAMENTO. AF_12/2015</t>
  </si>
  <si>
    <t>92850</t>
  </si>
  <si>
    <t>ASSENTAMENTO DE TUBO DE CONCRETO PARA REDES COLETORAS DE ESGOTO SANITÁRIO, DIÂMETRO DE 300 MM, JUNTA ELÁSTICA, INSTALADO EM LOCAL COM ALTO NÍVEL DE INTERFERÊNCIAS (NÃO INCLUI FORNECIMENTO). AF_12/2015</t>
  </si>
  <si>
    <t>11,17</t>
  </si>
  <si>
    <t>92851</t>
  </si>
  <si>
    <t>TUBO DE CONCRETO PARA REDES COLETORAS DE ESGOTO SANITÁRIO, DIÂMETRO DE 400 MM, JUNTA ELÁSTICA, INSTALADO EM LOCAL COM ALTO NÍVEL DE INTERFERÊNCIAS - FORNECIMENTO E ASSENTAMENTO. AF_12/2015</t>
  </si>
  <si>
    <t>92852</t>
  </si>
  <si>
    <t>ASSENTAMENTO DE TUBO DE CONCRETO PARA REDES COLETORAS DE ESGOTO SANITÁRIO, DIÂMETRO DE 400 MM, JUNTA ELÁSTICA, INSTALADO EM LOCAL COM ALTO NÍVEL DE INTERFERÊNCIAS (NÃO INCLUI FORNECIMENTO). AF_12/2015</t>
  </si>
  <si>
    <t>92853</t>
  </si>
  <si>
    <t>TUBO DE CONCRETO PARA REDES COLETORAS DE ESGOTO SANITÁRIO, DIÂMETRO DE 500 MM, JUNTA ELÁSTICA, INSTALADO EM LOCAL COM ALTO NÍVEL DE INTERFERÊNCIAS - FORNECIMENTO E ASSENTAMENTO. AF_12/2015</t>
  </si>
  <si>
    <t>92854</t>
  </si>
  <si>
    <t>ASSENTAMENTO DE TUBO DE CONCRETO PARA REDES COLETORAS DE ESGOTO SANITÁRIO, DIÂMETRO DE 500 MM, JUNTA ELÁSTICA, INSTALADO EM LOCAL COM ALTO NÍVEL DE INTERFERÊNCIAS (NÃO INCLUI FORNECIMENTO). AF_12/2015</t>
  </si>
  <si>
    <t>92855</t>
  </si>
  <si>
    <t>TUBO DE CONCRETO PARA REDES COLETORAS DE ESGOTO SANITÁRIO, DIÂMETRO DE 600 MM, JUNTA ELÁSTICA, INSTALADO EM LOCAL COM ALTO NÍVEL DE INTERFERÊNCIAS - FORNECIMENTO E ASSENTAMENTO. AF_12/2015</t>
  </si>
  <si>
    <t>92856</t>
  </si>
  <si>
    <t>ASSENTAMENTO DE TUBO DE CONCRETO PARA REDES COLETORAS DE ESGOTO SANITÁRIO, DIÂMETRO DE 600 MM, JUNTA ELÁSTICA, INSTALADO EM LOCAL COM ALTO NÍVEL DE INTERFERÊNCIAS (NÃO INCLUI FORNECIMENTO). AF_12/2015</t>
  </si>
  <si>
    <t>92857</t>
  </si>
  <si>
    <t>TUBO DE CONCRETO PARA REDES COLETORAS DE ESGOTO SANITÁRIO, DIÂMETRO DE 700 MM, JUNTA ELÁSTICA, INSTALADO EM LOCAL COM ALTO NÍVEL DE INTERFERÊNCIAS - FORNECIMENTO E ASSENTAMENTO. AF_12/2015</t>
  </si>
  <si>
    <t>92858</t>
  </si>
  <si>
    <t>ASSENTAMENTO DE TUBO DE CONCRETO PARA REDES COLETORAS DE ESGOTO SANITÁRIO, DIÂMETRO DE 700 MM, JUNTA ELÁSTICA, INSTALADO EM LOCAL COM ALTO NÍVEL DE INTERFERÊNCIAS (NÃO INCLUI FORNECIMENTO). AF_12/2015</t>
  </si>
  <si>
    <t>92860</t>
  </si>
  <si>
    <t>ASSENTAMENTO DE TUBO DE CONCRETO PARA REDES COLETORAS DE ESGOTO SANITÁRIO, DIÂMETRO DE 800 MM, JUNTA ELÁSTICA, INSTALADO EM LOCAL COM ALTO NÍVEL DE INTERFERÊNCIAS (NÃO INCLUI FORNECIMENTO). AF_12/2015</t>
  </si>
  <si>
    <t>92862</t>
  </si>
  <si>
    <t>ASSENTAMENTO DE TUBO DE CONCRETO PARA REDES COLETORAS DE ESGOTO SANITÁRIO, DIÂMETRO DE 900 MM, JUNTA ELÁSTICA, INSTALADO EM LOCAL COM ALTO NÍVEL DE INTERFERÊNCIAS (NÃO INCLUI FORNECIMENTO). AF_12/2015</t>
  </si>
  <si>
    <t>92863</t>
  </si>
  <si>
    <t>TUBO DE CONCRETO PARA REDES COLETORAS DE ESGOTO SANITÁRIO, DIÂMETRO DE 1000 MM, JUNTA ELÁSTICA, INSTALADO EM LOCAL COM ALTO NÍVEL DE INTERFERÊNCIAS - FORNECIMENTO E ASSENTAMENTO. AF_12/2015</t>
  </si>
  <si>
    <t>92864</t>
  </si>
  <si>
    <t>ASSENTAMENTO DE TUBO DE CONCRETO PARA REDES COLETORAS DE ESGOTO SANITÁRIO, DIÂMETRO DE 1000 MM, JUNTA ELÁSTICA, INSTALADO EM LOCAL COM ALTO NÍVEL DE INTERFERÊNCIAS (NÃO INCLUI FORNECIMENTO). AF_12/2015</t>
  </si>
  <si>
    <t>92210</t>
  </si>
  <si>
    <t>TUBO DE CONCRETO PARA REDES COLETORAS DE ÁGUAS PLUVIAIS, DIÂMETRO DE 400 MM, JUNTA RÍGIDA, INSTALADO EM LOCAL COM BAIXO NÍVEL DE INTERFERÊNCIAS - FORNECIMENTO E ASSENTAMENTO. AF_12/2015</t>
  </si>
  <si>
    <t>92211</t>
  </si>
  <si>
    <t>TUBO DE CONCRETO PARA REDES COLETORAS DE ÁGUAS PLUVIAIS, DIÂMETRO DE 500 MM, JUNTA RÍGIDA, INSTALADO EM LOCAL COM BAIXO NÍVEL DE INTERFERÊNCIAS - FORNECIMENTO E ASSENTAMENTO. AF_12/2015</t>
  </si>
  <si>
    <t>92212</t>
  </si>
  <si>
    <t>TUBO DE CONCRETO PARA REDES COLETORAS DE ÁGUAS PLUVIAIS, DIÂMETRO DE 600 MM, JUNTA RÍGIDA, INSTALADO EM LOCAL COM BAIXO NÍVEL DE INTERFERÊNCIAS - FORNECIMENTO E ASSENTAMENTO. AF_12/2015</t>
  </si>
  <si>
    <t>92213</t>
  </si>
  <si>
    <t>TUBO DE CONCRETO PARA REDES COLETORAS DE ÁGUAS PLUVIAIS, DIÂMETRO DE 700 MM, JUNTA RÍGIDA, INSTALADO EM LOCAL COM BAIXO NÍVEL DE INTERFERÊNCIAS - FORNECIMENTO E ASSENTAMENTO. AF_12/2015</t>
  </si>
  <si>
    <t>92214</t>
  </si>
  <si>
    <t>TUBO DE CONCRETO PARA REDES COLETORAS DE ÁGUAS PLUVIAIS, DIÂMETRO DE 800 MM, JUNTA RÍGIDA, INSTALADO EM LOCAL COM BAIXO NÍVEL DE INTERFERÊNCIAS - FORNECIMENTO E ASSENTAMENTO. AF_12/2015</t>
  </si>
  <si>
    <t>92215</t>
  </si>
  <si>
    <t>TUBO DE CONCRETO PARA REDES COLETORAS DE ÁGUAS PLUVIAIS, DIÂMETRO DE 900 MM, JUNTA RÍGIDA, INSTALADO EM LOCAL COM BAIXO NÍVEL DE INTERFERÊNCIAS - FORNECIMENTO E ASSENTAMENTO. AF_12/2015</t>
  </si>
  <si>
    <t>92216</t>
  </si>
  <si>
    <t>TUBO DE CONCRETO PARA REDES COLETORAS DE ÁGUAS PLUVIAIS, DIÂMETRO DE 1000 MM, JUNTA RÍGIDA, INSTALADO EM LOCAL COM BAIXO NÍVEL DE INTERFERÊNCIAS - FORNECIMENTO E ASSENTAMENTO. AF_12/2015</t>
  </si>
  <si>
    <t>92219</t>
  </si>
  <si>
    <t>TUBO DE CONCRETO PARA REDES COLETORAS DE ÁGUAS PLUVIAIS, DIÂMETRO DE 400 MM, JUNTA RÍGIDA, INSTALADO EM LOCAL COM ALTO NÍVEL DE INTERFERÊNCIAS - FORNECIMENTO E ASSENTAMENTO. AF_12/2015</t>
  </si>
  <si>
    <t>92220</t>
  </si>
  <si>
    <t>TUBO DE CONCRETO PARA REDES COLETORAS DE ÁGUAS PLUVIAIS, DIÂMETRO DE 500 MM, JUNTA RÍGIDA, INSTALADO EM LOCAL COM ALTO NÍVEL DE INTERFERÊNCIAS - FORNECIMENTO E ASSENTAMENTO. AF_12/2015</t>
  </si>
  <si>
    <t>92221</t>
  </si>
  <si>
    <t>TUBO DE CONCRETO PARA REDES COLETORAS DE ÁGUAS PLUVIAIS, DIÂMETRO DE 600 MM, JUNTA RÍGIDA, INSTALADO EM LOCAL COM ALTO NÍVEL DE INTERFERÊNCIAS - FORNECIMENTO E ASSENTAMENTO. AF_12/2015</t>
  </si>
  <si>
    <t>92222</t>
  </si>
  <si>
    <t>TUBO DE CONCRETO PARA REDES COLETORAS DE ÁGUAS PLUVIAIS, DIÂMETRO DE 700 MM, JUNTA RÍGIDA, INSTALADO EM LOCAL COM ALTO NÍVEL DE INTERFERÊNCIAS - FORNECIMENTO E ASSENTAMENTO. AF_12/2015</t>
  </si>
  <si>
    <t>92223</t>
  </si>
  <si>
    <t>TUBO DE CONCRETO PARA REDES COLETORAS DE ÁGUAS PLUVIAIS, DIÂMETRO DE 800 MM, JUNTA RÍGIDA, INSTALADO EM LOCAL COM ALTO NÍVEL DE INTERFERÊNCIAS - FORNECIMENTO E ASSENTAMENTO. AF_12/2015</t>
  </si>
  <si>
    <t>92224</t>
  </si>
  <si>
    <t>TUBO DE CONCRETO PARA REDES COLETORAS DE ÁGUAS PLUVIAIS, DIÂMETRO DE 900 MM, JUNTA RÍGIDA, INSTALADO EM LOCAL COM ALTO NÍVEL DE INTERFERÊNCIAS - FORNECIMENTO E ASSENTAMENTO. AF_12/2015</t>
  </si>
  <si>
    <t>92226</t>
  </si>
  <si>
    <t>TUBO DE CONCRETO PARA REDES COLETORAS DE ÁGUAS PLUVIAIS, DIÂMETRO DE 1000 MM, JUNTA RÍGIDA, INSTALADO EM LOCAL COM ALTO NÍVEL DE INTERFERÊNCIAS - FORNECIMENTO E ASSENTAMENTO. AF_12/2015</t>
  </si>
  <si>
    <t>92808</t>
  </si>
  <si>
    <t>ASSENTAMENTO DE TUBO DE CONCRETO PARA REDES COLETORAS DE ÁGUAS PLUVIAIS, DIÂMETRO DE 300 MM, JUNTA RÍGIDA, INSTALADO EM LOCAL COM BAIXO NÍVEL DE INTERFERÊNCIAS (NÃO INCLUI FORNECIMENTO). AF_12/2015</t>
  </si>
  <si>
    <t>92809</t>
  </si>
  <si>
    <t>ASSENTAMENTO DE TUBO DE CONCRETO PARA REDES COLETORAS DE ÁGUAS PLUVIAIS, DIÂMETRO DE 400 MM, JUNTA RÍGIDA, INSTALADO EM LOCAL COM BAIXO NÍVEL DE INTERFERÊNCIAS (NÃO INCLUI FORNECIMENTO). AF_12/2015</t>
  </si>
  <si>
    <t>92810</t>
  </si>
  <si>
    <t>ASSENTAMENTO DE TUBO DE CONCRETO PARA REDES COLETORAS DE ÁGUAS PLUVIAIS, DIÂMETRO DE 500 MM, JUNTA RÍGIDA, INSTALADO EM LOCAL COM BAIXO NÍVEL DE INTERFERÊNCIAS (NÃO INCLUI FORNECIMENTO). AF_12/2015</t>
  </si>
  <si>
    <t>92811</t>
  </si>
  <si>
    <t>ASSENTAMENTO DE TUBO DE CONCRETO PARA REDES COLETORAS DE ÁGUAS PLUVIAIS, DIÂMETRO DE 600 MM, JUNTA RÍGIDA, INSTALADO EM LOCAL COM BAIXO NÍVEL DE INTERFERÊNCIAS (NÃO INCLUI FORNECIMENTO). AF_12/2015</t>
  </si>
  <si>
    <t>92812</t>
  </si>
  <si>
    <t>ASSENTAMENTO DE TUBO DE CONCRETO PARA REDES COLETORAS DE ÁGUAS PLUVIAIS, DIÂMETRO DE 700 MM, JUNTA RÍGIDA, INSTALADO EM LOCAL COM BAIXO NÍVEL DE INTERFERÊNCIAS (NÃO INCLUI FORNECIMENTO). AF_12/2015</t>
  </si>
  <si>
    <t>92813</t>
  </si>
  <si>
    <t>ASSENTAMENTO DE TUBO DE CONCRETO PARA REDES COLETORAS DE ÁGUAS PLUVIAIS, DIÂMETRO DE 800 MM, JUNTA RÍGIDA, INSTALADO EM LOCAL COM BAIXO NÍVEL DE INTERFERÊNCIAS (NÃO INCLUI FORNECIMENTO). AF_12/2015</t>
  </si>
  <si>
    <t>92814</t>
  </si>
  <si>
    <t>ASSENTAMENTO DE TUBO DE CONCRETO PARA REDES COLETORAS DE ÁGUAS PLUVIAIS, DIÂMETRO DE 900 MM, JUNTA RÍGIDA, INSTALADO EM LOCAL COM BAIXO NÍVEL DE INTERFERÊNCIAS (NÃO INCLUI FORNECIMENTO). AF_12/2015</t>
  </si>
  <si>
    <t>92815</t>
  </si>
  <si>
    <t>ASSENTAMENTO DE TUBO DE CONCRETO PARA REDES COLETORAS DE ÁGUAS PLUVIAIS, DIÂMETRO DE 1000 MM, JUNTA RÍGIDA, INSTALADO EM LOCAL COM BAIXO NÍVEL DE INTERFERÊNCIAS (NÃO INCLUI FORNECIMENTO). AF_12/2015</t>
  </si>
  <si>
    <t>92816</t>
  </si>
  <si>
    <t>TUBO DE CONCRETO PARA REDES COLETORAS DE ÁGUAS PLUVIAIS, DIÂMETRO DE 1200 MM, JUNTA RÍGIDA, INSTALADO EM LOCAL COM BAIXO NÍVEL DE INTERFERÊNCIAS - FORNECIMENTO E ASSENTAMENTO. AF_12/2015</t>
  </si>
  <si>
    <t>92817</t>
  </si>
  <si>
    <t>ASSENTAMENTO DE TUBO DE CONCRETO PARA REDES COLETORAS DE ÁGUAS PLUVIAIS, DIÂMETRO DE 1200 MM, JUNTA RÍGIDA, INSTALADO EM LOCAL COM BAIXO NÍVEL DE INTERFERÊNCIAS (NÃO INCLUI FORNECIMENTO). AF_12/2015</t>
  </si>
  <si>
    <t>92818</t>
  </si>
  <si>
    <t>TUBO DE CONCRETO PARA REDES COLETORAS DE ÁGUAS PLUVIAIS, DIÂMETRO DE 1500 MM, JUNTA RÍGIDA, INSTALADO EM LOCAL COM BAIXO NÍVEL DE INTERFERÊNCIAS - FORNECIMENTO E ASSENTAMENTO. AF_12/2015</t>
  </si>
  <si>
    <t>92819</t>
  </si>
  <si>
    <t>ASSENTAMENTO DE TUBO DE CONCRETO PARA REDES COLETORAS DE ÁGUAS PLUVIAIS, DIÂMETRO DE 1500 MM, JUNTA RÍGIDA, INSTALADO EM LOCAL COM BAIXO NÍVEL DE INTERFERÊNCIAS (NÃO INCLUI FORNECIMENTO). AF_12/2015</t>
  </si>
  <si>
    <t>92820</t>
  </si>
  <si>
    <t>ASSENTAMENTO DE TUBO DE CONCRETO PARA REDES COLETORAS DE ÁGUAS PLUVIAIS, DIÂMETRO DE 300 MM, JUNTA RÍGIDA, INSTALADO EM LOCAL COM ALTO NÍVEL DE INTERFERÊNCIAS (NÃO INCLUI FORNECIMENTO). AF_12/2015</t>
  </si>
  <si>
    <t>92821</t>
  </si>
  <si>
    <t>ASSENTAMENTO DE TUBO DE CONCRETO PARA REDES COLETORAS DE ÁGUAS PLUVIAIS, DIÂMETRO DE 400 MM, JUNTA RÍGIDA, INSTALADO EM LOCAL COM ALTO NÍVEL DE INTERFERÊNCIAS (NÃO INCLUI FORNECIMENTO). AF_12/2015</t>
  </si>
  <si>
    <t>92822</t>
  </si>
  <si>
    <t>ASSENTAMENTO DE TUBO DE CONCRETO PARA REDES COLETORAS DE ÁGUAS PLUVIAIS, DIÂMETRO DE 500 MM, JUNTA RÍGIDA, INSTALADO EM LOCAL COM ALTO NÍVEL DE INTERFERÊNCIAS (NÃO INCLUI FORNECIMENTO). AF_12/2015</t>
  </si>
  <si>
    <t>92824</t>
  </si>
  <si>
    <t>ASSENTAMENTO DE TUBO DE CONCRETO PARA REDES COLETORAS DE ÁGUAS PLUVIAIS, DIÂMETRO DE 600 MM, JUNTA RÍGIDA, INSTALADO EM LOCAL COM ALTO NÍVEL DE INTERFERÊNCIAS (NÃO INCLUI FORNECIMENTO). AF_12/2015</t>
  </si>
  <si>
    <t>92825</t>
  </si>
  <si>
    <t>ASSENTAMENTO DE TUBO DE CONCRETO PARA REDES COLETORAS DE ÁGUAS PLUVIAIS, DIÂMETRO DE 700 MM, JUNTA RÍGIDA, INSTALADO EM LOCAL COM ALTO NÍVEL DE INTERFERÊNCIAS (NÃO INCLUI FORNECIMENTO). AF_12/2015</t>
  </si>
  <si>
    <t>92826</t>
  </si>
  <si>
    <t>ASSENTAMENTO DE TUBO DE CONCRETO PARA REDES COLETORAS DE ÁGUAS PLUVIAIS, DIÂMETRO DE 800 MM, JUNTA RÍGIDA, INSTALADO EM LOCAL COM ALTO NÍVEL DE INTERFERÊNCIAS (NÃO INCLUI FORNECIMENTO). AF_12/2015</t>
  </si>
  <si>
    <t>92827</t>
  </si>
  <si>
    <t>ASSENTAMENTO DE TUBO DE CONCRETO PARA REDES COLETORAS DE ÁGUAS PLUVIAIS, DIÂMETRO DE 900 MM, JUNTA RÍGIDA, INSTALADO EM LOCAL COM ALTO NÍVEL DE INTERFERÊNCIAS (NÃO INCLUI FORNECIMENTO). AF_12/2015</t>
  </si>
  <si>
    <t>92828</t>
  </si>
  <si>
    <t>ASSENTAMENTO DE TUBO DE CONCRETO PARA REDES COLETORAS DE ÁGUAS PLUVIAIS, DIÂMETRO DE 1000 MM, JUNTA RÍGIDA, INSTALADO EM LOCAL COM ALTO NÍVEL DE INTERFERÊNCIAS (NÃO INCLUI FORNECIMENTO). AF_12/2015</t>
  </si>
  <si>
    <t>92829</t>
  </si>
  <si>
    <t>TUBO DE CONCRETO PARA REDES COLETORAS DE ÁGUAS PLUVIAIS, DIÂMETRO DE 1200 MM, JUNTA RÍGIDA, INSTALADO EM LOCAL COM ALTO NÍVEL DE INTERFERÊNCIAS - FORNECIMENTO E ASSENTAMENTO. AF_12/2015</t>
  </si>
  <si>
    <t>92830</t>
  </si>
  <si>
    <t>ASSENTAMENTO DE TUBO DE CONCRETO PARA REDES COLETORAS DE ÁGUAS PLUVIAIS, DIÂMETRO DE 1200 MM, JUNTA RÍGIDA, INSTALADO EM LOCAL COM ALTO NÍVEL DE INTERFERÊNCIAS (NÃO INCLUI FORNECIMENTO). AF_12/2015</t>
  </si>
  <si>
    <t>92831</t>
  </si>
  <si>
    <t>TUBO DE CONCRETO PARA REDES COLETORAS DE ÁGUAS PLUVIAIS, DIÂMETRO DE 1500 MM, JUNTA RÍGIDA, INSTALADO EM LOCAL COM ALTO NÍVEL DE INTERFERÊNCIAS - FORNECIMENTO E ASSENTAMENTO. AF_12/2015</t>
  </si>
  <si>
    <t>92832</t>
  </si>
  <si>
    <t>ASSENTAMENTO DE TUBO DE CONCRETO PARA REDES COLETORAS DE ÁGUAS PLUVIAIS, DIÂMETRO DE 1500 MM, JUNTA RÍGIDA, INSTALADO EM LOCAL COM ALTO NÍVEL DE INTERFERÊNCIAS (NÃO INCLUI FORNECIMENTO). AF_12/2015</t>
  </si>
  <si>
    <t>95565</t>
  </si>
  <si>
    <t>TUBO DE CONCRETO PARA REDES COLETORAS DE ÁGUAS PLUVIAIS, DIÂMETRO DE 300MM, JUNTA RÍGIDA, INSTALADO EM LOCAL COM BAIXO NÍVEL DE INTERFERÊNCIAS - FORNECIMENTO E ASSENTAMENTO. AF_12/2015</t>
  </si>
  <si>
    <t>95566</t>
  </si>
  <si>
    <t>TUBO DE CONCRETO PARA REDES COLETORAS DE ÁGUAS PLUVIAIS, DIÂMETRO DE 300MM, JUNTA RÍGIDA, INSTALADO EM LOCAL COM ALTO NÍVEL DE INTERFERÊNCIAS - FORNECIMENTO E ASSENTAMENTO. AF_12/2015</t>
  </si>
  <si>
    <t>95567</t>
  </si>
  <si>
    <t>TUBO DE CONCRETO (SIMPLES) PARA REDES COLETORAS DE ÁGUAS PLUVIAIS, DIÂMETRO DE 300 MM, JUNTA RÍGIDA, INSTALADO EM LOCAL COM BAIXO NÍVEL DE INTERFERÊNCIAS - FORNECIMENTO E ASSENTAMENTO. AF_12/2015</t>
  </si>
  <si>
    <t>95568</t>
  </si>
  <si>
    <t>TUBO DE CONCRETO (SIMPLES) PARA REDES COLETORAS DE ÁGUAS PLUVIAIS, DIÂMETRO DE 400 MM, JUNTA RÍGIDA, INSTALADO EM LOCAL COM BAIXO NÍVEL DE INTERFERÊNCIAS - FORNECIMENTO E ASSENTAMENTO. AF_12/2015</t>
  </si>
  <si>
    <t>95569</t>
  </si>
  <si>
    <t>TUBO DE CONCRETO (SIMPLES) PARA REDES COLETORAS DE ÁGUAS PLUVIAIS, DIÂMETRO DE 500 MM, JUNTA RÍGIDA, INSTALADO EM LOCAL COM BAIXO NÍVEL DE INTERFERÊNCIAS - FORNECIMENTO E ASSENTAMENTO. AF_12/2015</t>
  </si>
  <si>
    <t>95570</t>
  </si>
  <si>
    <t>TUBO DE CONCRETO (SIMPLES) PARA REDES COLETORAS DE ÁGUAS PLUVIAIS, DIÂMETRO DE 300 MM, JUNTA RÍGIDA, INSTALADO EM LOCAL COM ALTO NÍVEL DE INTERFERÊNCIAS - FORNECIMENTO E ASSENTAMENTO. AF_12/2015</t>
  </si>
  <si>
    <t>95571</t>
  </si>
  <si>
    <t>TUBO DE CONCRETO (SIMPLES) PARA REDES COLETORAS DE ÁGUAS PLUVIAIS, DIÂMETRO DE 400 MM, JUNTA RÍGIDA, INSTALADO EM LOCAL COM ALTO NÍVEL DE INTERFERÊNCIAS - FORNECIMENTO E ASSENTAMENTO. AF_12/2015</t>
  </si>
  <si>
    <t>95572</t>
  </si>
  <si>
    <t>TUBO DE CONCRETO (SIMPLES) PARA REDES COLETORAS DE ÁGUAS PLUVIAIS, DIÂMETRO DE 500 MM, JUNTA RÍGIDA, INSTALADO EM LOCAL COM ALTO NÍVEL DE INTERFERÊNCIAS - FORNECIMENTO E ASSENTAMENTO. AF_12/2015</t>
  </si>
  <si>
    <t>97127</t>
  </si>
  <si>
    <t>ASSENTAMENTO DE TUBO DE PVC DEFOFO OU PRFV OU RPVC PARA REDE DE ÁGUA, DN 150 MM, JUNTA ELÁSTICA INTEGRADA, INSTALADO EM LOCAL COM NÍVEL ALTO DE INTERFERÊNCIAS (NÃO INCLUI FORNECIMENTO). AF_11/2017</t>
  </si>
  <si>
    <t>97128</t>
  </si>
  <si>
    <t>ASSENTAMENTO DE TUBO DE PVC DEFOFO OU PRFV OU RPVC PARA REDE DE ÁGUA, DN 200 MM, JUNTA ELÁSTICA INTEGRADA, INSTALADO EM LOCAL COM NÍVEL ALTO DE INTERFERÊNCIAS (NÃO INCLUI FORNECIMENTO). AF_11/2017</t>
  </si>
  <si>
    <t>97129</t>
  </si>
  <si>
    <t>ASSENTAMENTO DE TUBO DE PVC DEFOFO OU PRFV OU RPVC PARA REDE DE ÁGUA, DN 250 MM, JUNTA ELÁSTICA INTEGRADA, INSTALADO EM LOCAL COM NÍVEL ALTO DE INTERFERÊNCIAS (NÃO INCLUI FORNECIMENTO). AF_11/2017</t>
  </si>
  <si>
    <t>97130</t>
  </si>
  <si>
    <t>ASSENTAMENTO DE TUBO DE PVC DEFOFO OU PRFV OU RPVC PARA REDE DE ÁGUA, DN 300 MM, JUNTA ELÁSTICA INTEGRADA, INSTALADO EM LOCAL COM NÍVEL ALTO DE INTERFERÊNCIAS (NÃO INCLUI FORNECIMENTO). AF_11/2017</t>
  </si>
  <si>
    <t>9,80</t>
  </si>
  <si>
    <t>97131</t>
  </si>
  <si>
    <t>ASSENTAMENTO DE TUBO DE PVC DEFOFO OU PRFV OU RPVC PARA REDE DE ÁGUA, DN 350 MM, JUNTA ELÁSTICA INTEGRADA, INSTALADO EM LOCAL COM NÍVEL ALTO DE INTERFERÊNCIAS (NÃO INCLUI FORNECIMENTO). AF_11/2017</t>
  </si>
  <si>
    <t>97132</t>
  </si>
  <si>
    <t>ASSENTAMENTO DE TUBO DE PVC DEFOFO OU PRFV OU RPVC PARA REDE DE ÁGUA, DN 400 MM, JUNTA ELÁSTICA INTEGRADA, INSTALADO EM LOCAL COM NÍVEL ALTO DE INTERFERÊNCIAS (NÃO INCLUI FORNECIMENTO). AF_11/2017</t>
  </si>
  <si>
    <t>97133</t>
  </si>
  <si>
    <t>ASSENTAMENTO DE TUBO DE PVC DEFOFO OU PRFV OU RPVC PARA REDE DE ÁGUA, DN 500 MM, JUNTA ELÁSTICA INTEGRADA, INSTALADO EM LOCAL COM NÍVEL ALTO DE INTERFERÊNCIAS (NÃO INCLUI FORNECIMENTO). AF_11/2017</t>
  </si>
  <si>
    <t>97134</t>
  </si>
  <si>
    <t>ASSENTAMENTO DE TUBO DE PVC DEFOFO OU PRFV OU RPVC PARA REDE DE ÁGUA, DN 150 MM, JUNTA ELÁSTICA INTEGRADA, INSTALADO EM LOCAL COM NÍVEL BAIXO DE INTERFERÊNCIAS (NÃO INCLUI FORNECIMENTO). AF_11/2017</t>
  </si>
  <si>
    <t>97135</t>
  </si>
  <si>
    <t>ASSENTAMENTO DE TUBO DE PVC DEFOFO OU PRFV OU RPVC PARA REDE DE ÁGUA, DN 200 MM, JUNTA ELÁSTICA INTEGRADA, INSTALADO EM LOCAL COM NÍVEL BAIXO DE INTERFERÊNCIAS (NÃO INCLUI FORNECIMENTO). AF_11/2017</t>
  </si>
  <si>
    <t>97136</t>
  </si>
  <si>
    <t>ASSENTAMENTO DE TUBO DE PVC DEFOFO OU PRFV OU RPVC PARA REDE DE ÁGUA, DN 250 MM, JUNTA ELÁSTICA INTEGRADA, INSTALADO EM LOCAL COM NÍVEL BAIXO DE INTERFERÊNCIAS (NÃO INCLUI FORNECIMENTO). AF_11/2017</t>
  </si>
  <si>
    <t>97137</t>
  </si>
  <si>
    <t>ASSENTAMENTO DE TUBO DE PVC DEFOFO OU PRFV OU RPVC PARA REDE DE ÁGUA, DN 300 MM, JUNTA ELÁSTICA INTEGRADA, INSTALADO EM LOCAL COM NÍVEL BAIXO DE INTERFERÊNCIAS (NÃO INCLUI FORNECIMENTO). AF_11/2017</t>
  </si>
  <si>
    <t>97138</t>
  </si>
  <si>
    <t>ASSENTAMENTO DE TUBO DE PVC DEFOFO OU PRFV OU RPVC PARA REDE DE ÁGUA, DN 350 MM, JUNTA ELÁSTICA INTEGRADA, INSTALADO EM LOCAL COM NÍVEL BAIXO DE INTERFERÊNCIAS (NÃO INCLUI FORNECIMENTO). AF_11/2017</t>
  </si>
  <si>
    <t>97139</t>
  </si>
  <si>
    <t>ASSENTAMENTO DE TUBO DE PVC DEFOFO OU PRFV OU RPVC PARA REDE DE ÁGUA, DN 400 MM, JUNTA ELÁSTICA INTEGRADA, INSTALADO EM LOCAL COM NÍVEL BAIXO DE INTERFERÊNCIAS (NÃO INCLUI FORNECIMENTO). AF_11/2017</t>
  </si>
  <si>
    <t>97140</t>
  </si>
  <si>
    <t>ASSENTAMENTO DE TUBO DE PVC DEFOFO OU PRFV OU RPVC PARA REDE DE ÁGUA, DN 500 MM, JUNTA ELÁSTICA INTEGRADA, INSTALADO EM LOCAL COM NÍVEL BAIXO DE INTERFERÊNCIAS (NÃO INCLUI FORNECIMENTO). AF_11/2017</t>
  </si>
  <si>
    <t>93206</t>
  </si>
  <si>
    <t>EXECUÇÃO DE ESCRITÓRIO EM CANTEIRO DE OBRA EM ALVENARIA, NÃO INCLUSO MOBILIÁRIO E EQUIPAMENTOS. AF_02/2016</t>
  </si>
  <si>
    <t>93207</t>
  </si>
  <si>
    <t>EXECUÇÃO DE ESCRITÓRIO EM CANTEIRO DE OBRA EM CHAPA DE MADEIRA COMPENSADA, NÃO INCLUSO MOBILIÁRIO E EQUIPAMENTOS. AF_02/2016</t>
  </si>
  <si>
    <t>93208</t>
  </si>
  <si>
    <t>EXECUÇÃO DE ALMOXARIFADO EM CANTEIRO DE OBRA EM CHAPA DE MADEIRA COMPENSADA, INCLUSO PRATELEIRAS. AF_02/2016</t>
  </si>
  <si>
    <t>93209</t>
  </si>
  <si>
    <t>EXECUÇÃO DE ALMOXARIFADO EM CANTEIRO DE OBRA EM ALVENARIA, INCLUSO PRATELEIRAS. AF_02/2016</t>
  </si>
  <si>
    <t>93210</t>
  </si>
  <si>
    <t>EXECUÇÃO DE REFEITÓRIO EM CANTEIRO DE OBRA EM CHAPA DE MADEIRA COMPENSADA, NÃO INCLUSO MOBILIÁRIO E EQUIPAMENTOS. AF_02/2016</t>
  </si>
  <si>
    <t>93211</t>
  </si>
  <si>
    <t>EXECUÇÃO DE REFEITÓRIO EM CANTEIRO DE OBRA EM ALVENARIA, NÃO INCLUSO MOBILIÁRIO E EQUIPAMENTOS. AF_02/2016</t>
  </si>
  <si>
    <t>93212</t>
  </si>
  <si>
    <t>EXECUÇÃO DE SANITÁRIO E VESTIÁRIO EM CANTEIRO DE OBRA EM CHAPA DE MADEIRA COMPENSADA, NÃO INCLUSO MOBILIÁRIO. AF_02/2016</t>
  </si>
  <si>
    <t>93213</t>
  </si>
  <si>
    <t>EXECUÇÃO DE SANITÁRIO E VESTIÁRIO EM CANTEIRO DE OBRA EM ALVENARIA, NÃO INCLUSO MOBILIÁRIO. AF_02/2016</t>
  </si>
  <si>
    <t>93214</t>
  </si>
  <si>
    <t>93243</t>
  </si>
  <si>
    <t>93582</t>
  </si>
  <si>
    <t>EXECUÇÃO DE CENTRAL DE ARMADURA EM CANTEIRO DE OBRA, NÃO INCLUSO MOBILIÁRIO E EQUIPAMENTOS. AF_04/2016</t>
  </si>
  <si>
    <t>93583</t>
  </si>
  <si>
    <t>EXECUÇÃO DE CENTRAL DE FÔRMAS, PRODUÇÃO DE ARGAMASSA OU CONCRETO EM CANTEIRO DE OBRA, NÃO INCLUSO MOBILIÁRIO E EQUIPAMENTOS. AF_04/2016</t>
  </si>
  <si>
    <t>93584</t>
  </si>
  <si>
    <t>EXECUÇÃO DE DEPÓSITO EM CANTEIRO DE OBRA EM CHAPA DE MADEIRA COMPENSADA, NÃO INCLUSO MOBILIÁRIO. AF_04/2016</t>
  </si>
  <si>
    <t>93585</t>
  </si>
  <si>
    <t>EXECUÇÃO DE GUARITA EM CANTEIRO DE OBRA EM CHAPA DE MADEIRA COMPENSADA, NÃO INCLUSO MOBILIÁRIO. AF_04/2016</t>
  </si>
  <si>
    <t>98441</t>
  </si>
  <si>
    <t>PAREDE DE MADEIRA COMPENSADA PARA CONSTRUÇÃO TEMPORÁRIA EM CHAPA SIMPLES, EXTERNA, COM ÁREA LÍQUIDA MAIOR OU IGUAL A 6 M², SEM VÃO. AF_05/2018</t>
  </si>
  <si>
    <t>98442</t>
  </si>
  <si>
    <t>PAREDE DE MADEIRA COMPENSADA PARA CONSTRUÇÃO TEMPORÁRIA EM CHAPA SIMPLES, EXTERNA, COM ÁREA LÍQUIDA MENOR QUE 6 M², SEM VÃO. AF_05/2018</t>
  </si>
  <si>
    <t>98443</t>
  </si>
  <si>
    <t>PAREDE DE MADEIRA COMPENSADA PARA CONSTRUÇÃO TEMPORÁRIA EM CHAPA SIMPLES, INTERNA, COM ÁREA LÍQUIDA MAIOR OU IGUAL A 6 M², SEM VÃO. AF_05/2018</t>
  </si>
  <si>
    <t>98444</t>
  </si>
  <si>
    <t>PAREDE DE MADEIRA COMPENSADA PARA CONSTRUÇÃO TEMPORÁRIA EM CHAPA SIMPLES, INTERNA, COM ÁREA LÍQUIDA MENOR QUE 6 M², SEM VÃO. AF_05/2018</t>
  </si>
  <si>
    <t>98445</t>
  </si>
  <si>
    <t>PAREDE DE MADEIRA COMPENSADA PARA CONSTRUÇÃO TEMPORÁRIA EM CHAPA SIMPLES, EXTERNA, COM ÁREA LÍQUIDA MAIOR OU IGUAL A 6 M², COM VÃO. AF_05/2018</t>
  </si>
  <si>
    <t>98446</t>
  </si>
  <si>
    <t>PAREDE DE MADEIRA COMPENSADA PARA CONSTRUÇÃO TEMPORÁRIA EM CHAPA SIMPLES, EXTERNA, COM ÁREA LÍQUIDA MENOR QUE 6 M², COM VÃO. AF_05/2018</t>
  </si>
  <si>
    <t>98447</t>
  </si>
  <si>
    <t>PAREDE DE MADEIRA COMPENSADA PARA CONSTRUÇÃO TEMPORÁRIA EM CHAPA SIMPLES, INTERNA, COM ÁREA LÍQUIDA MAIOR OU IGUAL A 6 M², COM VÃO. AF_05/2018</t>
  </si>
  <si>
    <t>98448</t>
  </si>
  <si>
    <t>PAREDE DE MADEIRA COMPENSADA PARA CONSTRUÇÃO TEMPORÁRIA EM CHAPA SIMPLES, INTERNA, COM ÁREA LÍQUIDA MENOR QUE 6 M², COM VÃO. AF_05/2018</t>
  </si>
  <si>
    <t>98449</t>
  </si>
  <si>
    <t>PAREDE DE MADEIRA COMPENSADA PARA CONSTRUÇÃO TEMPORÁRIA EM CHAPA DUPLA, EXTERNA, COM ÁREA LÍQUIDA MAIOR OU IGUAL A 6 M², SEM VÃO. AF_05/2018</t>
  </si>
  <si>
    <t>98450</t>
  </si>
  <si>
    <t>PAREDE DE MADEIRA COMPENSADA PARA CONSTRUÇÃO TEMPORÁRIA EM CHAPA DUPLA, EXTERNA, COM ÁREA LÍQUIDA MENOR QUE 6 M², SEM VÃO. AF_05/2018</t>
  </si>
  <si>
    <t>98451</t>
  </si>
  <si>
    <t>PAREDE DE MADEIRA COMPENSADA PARA CONSTRUÇÃO TEMPORÁRIA EM CHAPA DUPLA, INTERNA, COM ÁREA LÍQUIDA MAIOR OU IGUAL A 6 M², SEM VÃO. AF_05/2018</t>
  </si>
  <si>
    <t>98452</t>
  </si>
  <si>
    <t>PAREDE DE MADEIRA COMPENSADA PARA CONSTRUÇÃO TEMPORÁRIA EM CHAPA DUPLA, INTERNA, COM ÁREA LÍQUIDA MENOR QUE 6 M², SEM VÃO. AF_05/2018</t>
  </si>
  <si>
    <t>98453</t>
  </si>
  <si>
    <t>PAREDE DE MADEIRA COMPENSADA PARA CONSTRUÇÃO TEMPORÁRIA EM CHAPA DUPLA, EXTERNA, COM ÁREA LÍQUIDA MAIOR OU IGUAL A QUE 6 M², COM VÃO. AF_05/2018</t>
  </si>
  <si>
    <t>98454</t>
  </si>
  <si>
    <t>PAREDE DE MADEIRA COMPENSADA PARA CONSTRUÇÃO TEMPORÁRIA EM CHAPA DUPLA, EXTERNA, COM ÁREA LÍQUIDA MENOR QUE 6 M², COM VÃO. AF_05/2018</t>
  </si>
  <si>
    <t>98455</t>
  </si>
  <si>
    <t>PAREDE DE MADEIRA COMPENSADA PARA CONSTRUÇÃO TEMPORÁRIA EM CHAPA DUPLA, INTERNA, COM ÁREA LÍQUIDA MAIOR OU IGUAL A 6 M², COM VÃO. AF_05/2018</t>
  </si>
  <si>
    <t>98456</t>
  </si>
  <si>
    <t>PAREDE DE MADEIRA COMPENSADA PARA CONSTRUÇÃO TEMPORÁRIA EM CHAPA DUPLA, INTERNA, COM ÁREA LÍQUIDA MENOR QUE 6 M², COM VÃO. AF_05/2018</t>
  </si>
  <si>
    <t>98458</t>
  </si>
  <si>
    <t>TAPUME COM COMPENSADO DE MADEIRA. AF_05/2018</t>
  </si>
  <si>
    <t>98459</t>
  </si>
  <si>
    <t>TAPUME COM TELHA METÁLICA. AF_05/2018</t>
  </si>
  <si>
    <t>98460</t>
  </si>
  <si>
    <t>PISO PARA CONSTRUÇÃO TEMPORÁRIA EM MADEIRA, SEM REAPROVEITAMENTO. AF_05/2018</t>
  </si>
  <si>
    <t>98461</t>
  </si>
  <si>
    <t>98462</t>
  </si>
  <si>
    <t>5631</t>
  </si>
  <si>
    <t>ESCAVADEIRA HIDRÁULICA SOBRE ESTEIRAS, CAÇAMBA 0,80 M3, PESO OPERACIONAL 17 T, POTENCIA BRUTA 111 HP - CHP DIURNO. AF_06/2014</t>
  </si>
  <si>
    <t>5678</t>
  </si>
  <si>
    <t>RETROESCAVADEIRA SOBRE RODAS COM CARREGADEIRA, TRAÇÃO 4X4, POTÊNCIA LÍQ. 88 HP, CAÇAMBA CARREG. CAP. MÍN. 1 M3, CAÇAMBA RETRO CAP. 0,26 M3, PESO OPERACIONAL MÍN. 6.674 KG, PROFUNDIDADE ESCAVAÇÃO MÁX. 4,37 M - CHP DIURNO. AF_06/2014</t>
  </si>
  <si>
    <t>5680</t>
  </si>
  <si>
    <t>RETROESCAVADEIRA SOBRE RODAS COM CARREGADEIRA, TRAÇÃO 4X2, POTÊNCIA LÍQ. 79 HP, CAÇAMBA CARREG. CAP. MÍN. 1 M3, CAÇAMBA RETRO CAP. 0,20 M3, PESO OPERACIONAL MÍN. 6.570 KG, PROFUNDIDADE ESCAVAÇÃO MÁX. 4,37 M - CHP DIURNO. AF_06/2014</t>
  </si>
  <si>
    <t>5684</t>
  </si>
  <si>
    <t>ROLO COMPACTADOR VIBRATÓRIO DE UM CILINDRO AÇO LISO, POTÊNCIA 80 HP, PESO OPERACIONAL MÁXIMO 8,1 T, IMPACTO DINÂMICO 16,15 / 9,5 T, LARGURA DE TRABALHO 1,68 M - CHP DIURNO. AF_06/2014</t>
  </si>
  <si>
    <t>5689</t>
  </si>
  <si>
    <t>GRADE DE DISCO CONTROLE REMOTO REBOCÁVEL, COM 24 DISCOS 24 X 6 MM COM PNEUS PARA TRANSPORTE - CHP DIURNO. AF_06/2014</t>
  </si>
  <si>
    <t>5795</t>
  </si>
  <si>
    <t>5811</t>
  </si>
  <si>
    <t>5823</t>
  </si>
  <si>
    <t>USINA DE CONCRETO FIXA, CAPACIDADE NOMINAL DE 90 A 120 M3/H, SEM SILO - CHP DIURNO. AF_07/2016</t>
  </si>
  <si>
    <t>5824</t>
  </si>
  <si>
    <t>5835</t>
  </si>
  <si>
    <t>5839</t>
  </si>
  <si>
    <t>5843</t>
  </si>
  <si>
    <t>TRATOR DE PNEUS, POTÊNCIA 122 CV, TRAÇÃO 4X4, PESO COM LASTRO DE 4.510 KG - CHP DIURNO. AF_06/2014</t>
  </si>
  <si>
    <t>5847</t>
  </si>
  <si>
    <t>TRATOR DE ESTEIRAS, POTÊNCIA 170 HP, PESO OPERACIONAL 19 T, CAÇAMBA 5,2 M3 - CHP DIURNO. AF_06/2014</t>
  </si>
  <si>
    <t>5851</t>
  </si>
  <si>
    <t>TRATOR DE ESTEIRAS, POTÊNCIA 150 HP, PESO OPERACIONAL 16,7 T, COM RODA MOTRIZ ELEVADA E LÂMINA 3,18 M3 - CHP DIURNO. AF_06/2014</t>
  </si>
  <si>
    <t>5855</t>
  </si>
  <si>
    <t>TRATOR DE ESTEIRAS, POTÊNCIA 347 HP, PESO OPERACIONAL 38,5 T, COM LÂMINA 8,70 M3 - CHP DIURNO. AF_06/2014</t>
  </si>
  <si>
    <t>5863</t>
  </si>
  <si>
    <t>ROLO COMPACTADOR VIBRATÓRIO REBOCÁVEL, CILINDRO DE AÇO LISO, POTÊNCIA DE TRAÇÃO DE 65 CV, PESO 4,7 T, IMPACTO DINÂMICO 18,3 T, LARGURA DE TRABALHO 1,67 M - CHP DIURNO. AF_02/2016</t>
  </si>
  <si>
    <t>5867</t>
  </si>
  <si>
    <t>ROLO COMPACTADOR VIBRATÓRIO TANDEM AÇO LISO, POTÊNCIA 58 HP, PESO SEM/COM LASTRO 6,5 / 9,4 T, LARGURA DE TRABALHO 1,2 M - CHP DIURNO. AF_06/2014</t>
  </si>
  <si>
    <t>5875</t>
  </si>
  <si>
    <t>RETROESCAVADEIRA SOBRE RODAS COM CARREGADEIRA, TRAÇÃO 4X4, POTÊNCIA LÍQ. 72 HP, CAÇAMBA CARREG. CAP. MÍN. 0,79 M3, CAÇAMBA RETRO CAP. 0,18 M3, PESO OPERACIONAL MÍN. 7.140 KG, PROFUNDIDADE ESCAVAÇÃO MÁX. 4,50 M - CHP DIURNO. AF_06/2014</t>
  </si>
  <si>
    <t>5879</t>
  </si>
  <si>
    <t>ROLO COMPACTADOR VIBRATÓRIO PÉ DE CARNEIRO, OPERADO POR CONTROLE REMOTO, POTÊNCIA 12,5 KW, PESO OPERACIONAL 1,675 T, LARGURA DE TRABALHO 0,85 M - CHP DIURNO. AF_02/2016</t>
  </si>
  <si>
    <t>5882</t>
  </si>
  <si>
    <t>USINA DE LAMA ASFÁLTICA, PROD 30 A 50 T/H, SILO DE AGREGADO 7 M3, RESERVATÓRIOS PARA EMULSÃO E ÁGUA DE 2,3 M3 CADA, MISTURADOR TIPO PUG MILL A SER MONTADO SOBRE CAMINHÃO - CHP DIURNO. AF_10/2014</t>
  </si>
  <si>
    <t>5890</t>
  </si>
  <si>
    <t>CAMINHÃO TOCO, PESO BRUTO TOTAL 14.300 KG, CARGA ÚTIL MÁXIMA 9590 KG, DISTÂNCIA ENTRE EIXOS 4,76 M, POTÊNCIA 185 CV (NÃO INCLUI CARROCERIA) - CHP DIURNO. AF_06/2014</t>
  </si>
  <si>
    <t>5894</t>
  </si>
  <si>
    <t>CAMINHÃO TOCO, PESO BRUTO TOTAL 16.000 KG, CARGA ÚTIL MÁXIMA DE 10.685 KG, DISTÂNCIA ENTRE EIXOS 4,80 M, POTÊNCIA 189 CV EXCLUSIVE CARROCERIA - CHP DIURNO. AF_06/2014</t>
  </si>
  <si>
    <t>5901</t>
  </si>
  <si>
    <t>5909</t>
  </si>
  <si>
    <t>ESPARGIDOR DE ASFALTO PRESSURIZADO COM TANQUE DE 2500 L, REBOCÁVEL COM MOTOR A GASOLINA POTÊNCIA 3,4 HP - CHP DIURNO. AF_07/2014</t>
  </si>
  <si>
    <t>5921</t>
  </si>
  <si>
    <t>GRADE DE DISCO REBOCÁVEL COM 20 DISCOS 24" X 6 MM COM PNEUS PARA TRANSPORTE - CHP DIURNO. AF_06/2014</t>
  </si>
  <si>
    <t>5928</t>
  </si>
  <si>
    <t>GUINDAUTO HIDRÁULICO, CAPACIDADE MÁXIMA DE CARGA 6200 KG, MOMENTO MÁXIMO DE CARGA 11,7 TM, ALCANCE MÁXIMO HORIZONTAL 9,70 M, INCLUSIVE CAMINHÃO TOCO PBT 16.000 KG, POTÊNCIA DE 189 CV - CHP DIURNO. AF_06/2014</t>
  </si>
  <si>
    <t>5932</t>
  </si>
  <si>
    <t>MOTONIVELADORA POTÊNCIA BÁSICA LÍQUIDA (PRIMEIRA MARCHA) 125 HP, PESO BRUTO 13032 KG, LARGURA DA LÂMINA DE 3,7 M - CHP DIURNO. AF_06/2014</t>
  </si>
  <si>
    <t>5940</t>
  </si>
  <si>
    <t>PÁ CARREGADEIRA SOBRE RODAS, POTÊNCIA LÍQUIDA 128 HP, CAPACIDADE DA CAÇAMBA 1,7 A 2,8 M3, PESO OPERACIONAL 11632 KG - CHP DIURNO. AF_06/2014</t>
  </si>
  <si>
    <t>5944</t>
  </si>
  <si>
    <t>5953</t>
  </si>
  <si>
    <t>COMPRESSOR DE AR REBOCÁVEL, VAZÃO 189 PCM, PRESSÃO EFETIVA DE TRABALHO 102 PSI, MOTOR DIESEL, POTÊNCIA 63 CV - CHP DIURNO. AF_06/2015</t>
  </si>
  <si>
    <t>6259</t>
  </si>
  <si>
    <t>CAMINHÃO PIPA 6.000 L, PESO BRUTO TOTAL 13.000 KG, DISTÂNCIA ENTRE EIXOS 4,80 M, POTÊNCIA 189 CV INCLUSIVE TANQUE DE AÇO PARA TRANSPORTE DE ÁGUA, CAPACIDADE 6 M3 - CHP DIURNO. AF_06/2014</t>
  </si>
  <si>
    <t>6879</t>
  </si>
  <si>
    <t>ROLO COMPACTADOR DE PNEUS ESTÁTICO, PRESSÃO VARIÁVEL, POTÊNCIA 111 HP, PESO SEM/COM LASTRO 9,5 / 26 T, LARGURA DE TRABALHO 1,90 M - CHP DIURNO. AF_07/2014</t>
  </si>
  <si>
    <t>7030</t>
  </si>
  <si>
    <t>7042</t>
  </si>
  <si>
    <t>MOTOBOMBA TRASH (PARA ÁGUA SUJA) AUTO ESCORVANTE, MOTOR GASOLINA DE 6,41 HP, DIÂMETROS DE SUCÇÃO X RECALQUE: 3" X 3", HM/Q = 10 MCA / 60 M3/H A 23 MCA / 0 M3/H - CHP DIURNO. AF_10/2014</t>
  </si>
  <si>
    <t>7049</t>
  </si>
  <si>
    <t>ROLO COMPACTADOR PE DE CARNEIRO VIBRATORIO, POTENCIA 125 HP, PESO OPERACIONAL SEM/COM LASTRO 11,95 / 13,30 T, IMPACTO DINAMICO 38,5 / 22,5 T, LARGURA DE TRABALHO 2,15 M - CHP DIURNO. AF_06/2014</t>
  </si>
  <si>
    <t>67826</t>
  </si>
  <si>
    <t>73417</t>
  </si>
  <si>
    <t>GRUPO GERADOR ESTACIONÁRIO, MOTOR DIESEL POTÊNCIA 170 KVA - CHP DIURNO. AF_02/2016</t>
  </si>
  <si>
    <t>73436</t>
  </si>
  <si>
    <t>ROLO COMPACTADOR VIBRATÓRIO PÉ DE CARNEIRO PARA SOLOS, POTÊNCIA 80 HP, PESO OPERACIONAL SEM/COM LASTRO 7,4 / 8,8 T, LARGURA DE TRABALHO 1,68 M - CHP DIURNO. AF_02/2016</t>
  </si>
  <si>
    <t>73467</t>
  </si>
  <si>
    <t>CAMINHÃO TOCO, PBT 14.300 KG, CARGA ÚTIL MÁX. 9.710 KG, DIST. ENTRE EIXOS 3,56 M, POTÊNCIA 185 CV, INCLUSIVE CARROCERIA FIXA ABERTA DE MADEIRA P/ TRANSPORTE GERAL DE CARGA SECA, DIMEN. APROX. 2,50 X 6,50 X 0,50 M - CHP DIURNO. AF_06/2014</t>
  </si>
  <si>
    <t>73536</t>
  </si>
  <si>
    <t>MOTOBOMBA CENTRÍFUGA, MOTOR A GASOLINA, POTÊNCIA 5,42 HP, BOCAIS 1 1/2" X 1", DIÂMETRO ROTOR 143 MM HM/Q = 6 MCA / 16,8 M3/H A 38 MCA / 6,6 M3/H - CHP DIURNO. AF_06/2014</t>
  </si>
  <si>
    <t>83362</t>
  </si>
  <si>
    <t>83765</t>
  </si>
  <si>
    <t>GRUPO DE SOLDAGEM COM GERADOR A DIESEL 60 CV PARA SOLDA ELÉTRICA, SOBRE 04 RODAS, COM MOTOR 4 CILINDROS 600 A - CHP DIURNO. AF_02/2016</t>
  </si>
  <si>
    <t>87445</t>
  </si>
  <si>
    <t>88386</t>
  </si>
  <si>
    <t>88393</t>
  </si>
  <si>
    <t>88399</t>
  </si>
  <si>
    <t>88418</t>
  </si>
  <si>
    <t>PROJETOR DE ARGAMASSA, CAPACIDADE DE PROJEÇÃO 1,5 M3/H, ALCANCE DE 30 ATÉ 60 M, MOTOR ELÉTRICO POTÊNCIA 7,5 HP - CHP DIURNO. AF_06/2014</t>
  </si>
  <si>
    <t>88433</t>
  </si>
  <si>
    <t>PROJETOR DE ARGAMASSA, CAPACIDADE DE PROJEÇÃO 2 M3/H, ALCANCE ATÉ 50 M, MOTOR ELÉTRICO POTÊNCIA 7,5 HP - CHP DIURNO. AF_06/2014</t>
  </si>
  <si>
    <t>88830</t>
  </si>
  <si>
    <t>88843</t>
  </si>
  <si>
    <t>TRATOR DE ESTEIRAS, POTÊNCIA 125 HP, PESO OPERACIONAL 12,9 T, COM LÂMINA 2,7 M3 - CHP DIURNO. AF_10/2014</t>
  </si>
  <si>
    <t>88907</t>
  </si>
  <si>
    <t>ESCAVADEIRA HIDRÁULICA SOBRE ESTEIRAS, CAÇAMBA 1,20 M3, PESO OPERACIONAL 21 T, POTÊNCIA BRUTA 155 HP - CHP DIURNO. AF_06/2014</t>
  </si>
  <si>
    <t>89021</t>
  </si>
  <si>
    <t>BOMBA SUBMERSÍVEL ELÉTRICA TRIFÁSICA, POTÊNCIA 2,96 HP, Ø ROTOR 144 MM SEMI-ABERTO, BOCAL DE SAÍDA Ø 2, HM/Q = 2 MCA / 38,8 M3/H A 28 MCA / 5 M3/H - CHP DIURNO. AF_06/2014</t>
  </si>
  <si>
    <t>89028</t>
  </si>
  <si>
    <t>89032</t>
  </si>
  <si>
    <t>89035</t>
  </si>
  <si>
    <t>89225</t>
  </si>
  <si>
    <t>89234</t>
  </si>
  <si>
    <t>FRESADORA DE ASFALTO A FRIO SOBRE RODAS, LARGURA FRESAGEM DE 1,0 M, POTÊNCIA 208 HP - CHP DIURNO. AF_11/2014</t>
  </si>
  <si>
    <t>89242</t>
  </si>
  <si>
    <t>FRESADORA DE ASFALTO A FRIO SOBRE RODAS, LARGURA FRESAGEM DE 2,0 M, POTÊNCIA 550 HP - CHP DIURNO. AF_11/2014</t>
  </si>
  <si>
    <t>89250</t>
  </si>
  <si>
    <t>RECICLADORA DE ASFALTO A FRIO SOBRE RODAS, LARGURA FRESAGEM DE 2,0 M, POTÊNCIA 422 HP - CHP DIURNO. AF_11/2014</t>
  </si>
  <si>
    <t>89257</t>
  </si>
  <si>
    <t>VIBROACABADORA DE ASFALTO SOBRE ESTEIRAS, LARGURA DE PAVIMENTAÇÃO 2,13 M A 4,55 M, POTÊNCIA 100 HP CAPACIDADE 400 T/H - CHP DIURNO. AF_11/2014</t>
  </si>
  <si>
    <t>89272</t>
  </si>
  <si>
    <t>GUINDASTE HIDRÁULICO AUTOPROPELIDO, COM LANÇA TELESCÓPICA 28,80 M, CAPACIDADE MÁXIMA 30 T, POTÊNCIA 97 KW, TRAÇÃO 4 X 4 - CHP DIURNO. AF_11/2014</t>
  </si>
  <si>
    <t>89278</t>
  </si>
  <si>
    <t>6,84</t>
  </si>
  <si>
    <t>89843</t>
  </si>
  <si>
    <t>BATE-ESTACAS POR GRAVIDADE, POTÊNCIA DE 160 HP, PESO DO MARTELO ATÉ 3 TONELADAS - CHP DIURNO. AF_11/2014</t>
  </si>
  <si>
    <t>89876</t>
  </si>
  <si>
    <t>CAMINHÃO BASCULANTE 14 M3, COM CAVALO MECÂNICO DE CAPACIDADE MÁXIMA DE TRAÇÃO COMBINADO DE 36000 KG, POTÊNCIA 286 CV, INCLUSIVE SEMIREBOQUE COM CAÇAMBA METÁLICA - CHP DIURNO. AF_12/2014</t>
  </si>
  <si>
    <t>89883</t>
  </si>
  <si>
    <t>CAMINHÃO BASCULANTE 18 M3, COM CAVALO MECÂNICO DE CAPACIDADE MÁXIMA DE TRAÇÃO COMBINADO DE 45000 KG, POTÊNCIA 330 CV, INCLUSIVE SEMIREBOQUE COM CAÇAMBA METÁLICA - CHP DIURNO. AF_12/2014</t>
  </si>
  <si>
    <t>90586</t>
  </si>
  <si>
    <t>90625</t>
  </si>
  <si>
    <t>PERFURATRIZ MANUAL, TORQUE MÁXIMO 83 N.M, POTÊNCIA 5 CV, COM DIÂMETRO MÁXIMO 4" - CHP DIURNO. AF_06/2015</t>
  </si>
  <si>
    <t>90631</t>
  </si>
  <si>
    <t>PERFURATRIZ SOBRE ESTEIRA, TORQUE MÁXIMO 600 KGF, PESO MÉDIO 1000 KG, POTÊNCIA 20 HP, DIÂMETRO MÁXIMO 10" - CHP DIURNO. AF_06/2015</t>
  </si>
  <si>
    <t>90637</t>
  </si>
  <si>
    <t>MISTURADOR DUPLO HORIZONTAL DE ALTA TURBULÊNCIA, CAPACIDADE / VOLUME 2 X 500 LITROS, MOTORES ELÉTRICOS MÍNIMO 5 CV CADA, PARA NATA CIMENTO, ARGAMASSA E OUTROS - CHP DIURNO. AF_06/2015</t>
  </si>
  <si>
    <t>90643</t>
  </si>
  <si>
    <t>BOMBA TRIPLEX, PARA INJEÇÃO DE NATA DE CIMENTO, VAZÃO MÁXIMA DE 100 LITROS/MINUTO, PRESSÃO MÁXIMA DE 70 BAR - CHP DIURNO. AF_06/2015</t>
  </si>
  <si>
    <t>90650</t>
  </si>
  <si>
    <t>BOMBA CENTRÍFUGA MONOESTÁGIO COM MOTOR ELÉTRICO MONOFÁSICO, POTÊNCIA 15 HP, DIÂMETRO DO ROTOR 173 MM, HM/Q = 30 MCA / 90 M3/H A 45 MCA / 55 M3/H - CHP DIURNO. AF_06/2015</t>
  </si>
  <si>
    <t>90656</t>
  </si>
  <si>
    <t>BOMBA DE PROJEÇÃO DE CONCRETO SECO, POTÊNCIA 10 CV, VAZÃO 3 M3/H - CHP DIURNO. AF_06/2015</t>
  </si>
  <si>
    <t>90662</t>
  </si>
  <si>
    <t>BOMBA DE PROJEÇÃO DE CONCRETO SECO, POTÊNCIA 10 CV, VAZÃO 6 M3/H - CHP DIURNO. AF_06/2015</t>
  </si>
  <si>
    <t>90668</t>
  </si>
  <si>
    <t>90674</t>
  </si>
  <si>
    <t>PERFURATRIZ COM TORRE METÁLICA PARA EXECUÇÃO DE ESTACA HÉLICE CONTÍNUA, PROFUNDIDADE MÁXIMA DE 30 M, DIÂMETRO MÁXIMO DE 800 MM, POTÊNCIA INSTALADA DE 268 HP, MESA ROTATIVA COM TORQUE MÁXIMO DE 170 KNM - CHP DIURNO. AF_06/2015</t>
  </si>
  <si>
    <t>90680</t>
  </si>
  <si>
    <t>PERFURATRIZ HIDRÁULICA SOBRE CAMINHÃO COM TRADO CURTO ACOPLADO, PROFUNDIDADE MÁXIMA DE 20 M, DIÂMETRO MÁXIMO DE 1500 MM, POTÊNCIA INSTALADA DE 137 HP, MESA ROTATIVA COM TORQUE MÁXIMO DE 30 KNM - CHP DIURNO. AF_06/2015</t>
  </si>
  <si>
    <t>90686</t>
  </si>
  <si>
    <t>90692</t>
  </si>
  <si>
    <t>MINICARREGADEIRA SOBRE RODAS, POTÊNCIA LÍQUIDA DE 47 HP, CAPACIDADE NOMINAL DE OPERAÇÃO DE 646 KG - CHP DIURNO. AF_06/2015</t>
  </si>
  <si>
    <t>90964</t>
  </si>
  <si>
    <t>COMPRESSOR DE AR REBOCÁVEL, VAZÃO 89 PCM, PRESSÃO EFETIVA DE TRABALHO 102 PSI, MOTOR DIESEL, POTÊNCIA 20 CV - CHP DIURNO. AF_06/2015</t>
  </si>
  <si>
    <t>90972</t>
  </si>
  <si>
    <t>COMPRESSOR DE AR REBOCAVEL, VAZÃO 250 PCM, PRESSAO DE TRABALHO 102 PSI, MOTOR A DIESEL POTÊNCIA 81 CV - CHP DIURNO. AF_06/2015</t>
  </si>
  <si>
    <t>90979</t>
  </si>
  <si>
    <t>COMPRESSOR DE AR REBOCÁVEL, VAZÃO 748 PCM, PRESSÃO EFETIVA DE TRABALHO 102 PSI, MOTOR DIESEL, POTÊNCIA 210 CV - CHP DIURNO. AF_06/2015</t>
  </si>
  <si>
    <t>90991</t>
  </si>
  <si>
    <t>ESCAVADEIRA HIDRÁULICA SOBRE ESTEIRAS, CAÇAMBA 0,80 M3, PESO OPERACIONAL 17,8 T, POTÊNCIA LÍQUIDA 110 HP - CHP DIURNO. AF_10/2014</t>
  </si>
  <si>
    <t>90999</t>
  </si>
  <si>
    <t>COMPRESSOR DE AR REBOCAVEL, VAZÃO 400 PCM, PRESSAO DE TRABALHO 102 PSI, MOTOR A DIESEL POTÊNCIA 110 CV - CHP DIURNO. AF_06/2015</t>
  </si>
  <si>
    <t>91031</t>
  </si>
  <si>
    <t>CAMINHÃO TRUCADO (C/ TERCEIRO EIXO) ELETRÔNICO - POTÊNCIA 231CV - PBT = 22000KG - DIST. ENTRE EIXOS 5170 MM - INCLUI CARROCERIA FIXA ABERTA DE MADEIRA - CHP DIURNO. AF_06/2015</t>
  </si>
  <si>
    <t>91277</t>
  </si>
  <si>
    <t>91283</t>
  </si>
  <si>
    <t>91386</t>
  </si>
  <si>
    <t>CAMINHÃO BASCULANTE 10 M3, TRUCADO CABINE SIMPLES, PESO BRUTO TOTAL 23.000 KG, CARGA ÚTIL MÁXIMA 15.935 KG, DISTÂNCIA ENTRE EIXOS 4,80 M, POTÊNCIA 230 CV INCLUSIVE CAÇAMBA METÁLICA - CHP DIURNO. AF_06/2014</t>
  </si>
  <si>
    <t>91533</t>
  </si>
  <si>
    <t>91634</t>
  </si>
  <si>
    <t>GUINDAUTO HIDRÁULICO, CAPACIDADE MÁXIMA DE CARGA 6500 KG, MOMENTO MÁXIMO DE CARGA 5,8 TM, ALCANCE MÁXIMO HORIZONTAL 7,60 M, INCLUSIVE CAMINHÃO TOCO PBT 9.700 KG, POTÊNCIA DE 160 CV - CHP DIURNO. AF_08/2015</t>
  </si>
  <si>
    <t>91645</t>
  </si>
  <si>
    <t>CAMINHÃO DE TRANSPORTE DE MATERIAL ASFÁLTICO 30.000 L, COM CAVALO MECÂNICO DE CAPACIDADE MÁXIMA DE TRAÇÃO COMBINADO DE 66.000 KG, POTÊNCIA 360 CV, INCLUSIVE TANQUE DE ASFALTO COM SERPENTINA - CHP DIURNO. AF_08/2015</t>
  </si>
  <si>
    <t>91692</t>
  </si>
  <si>
    <t>92043</t>
  </si>
  <si>
    <t>DISTRIBUIDOR DE AGREGADOS REBOCAVEL, CAPACIDADE 1,9 M³, LARGURA DE TRABALHO 3,66 M - CHP DIURNO. AF_11/2015</t>
  </si>
  <si>
    <t>92106</t>
  </si>
  <si>
    <t>92112</t>
  </si>
  <si>
    <t>92118</t>
  </si>
  <si>
    <t>0,18</t>
  </si>
  <si>
    <t>92138</t>
  </si>
  <si>
    <t>CAMINHONETE COM MOTOR A DIESEL, POTÊNCIA 180 CV, CABINE DUPLA, 4X4 - CHP DIURNO. AF_11/2015</t>
  </si>
  <si>
    <t>92145</t>
  </si>
  <si>
    <t>CAMINHONETE CABINE SIMPLES COM MOTOR 1.6 FLEX, CÂMBIO MANUAL, POTÊNCIA 101/104 CV, 2 PORTAS - CHP DIURNO. AF_11/2015</t>
  </si>
  <si>
    <t>92242</t>
  </si>
  <si>
    <t>CAMINHÃO DE TRANSPORTE DE MATERIAL ASFÁLTICO 20.000 L, COM CAVALO MECÂNICO DE CAPACIDADE MÁXIMA DE TRAÇÃO COMBINADO DE 45.000 KG, POTÊNCIA 330 CV, INCLUSIVE TANQUE DE ASFALTO COM MAÇARICO - CHP DIURNO. AF_12/2015</t>
  </si>
  <si>
    <t>92716</t>
  </si>
  <si>
    <t>16,28</t>
  </si>
  <si>
    <t>92960</t>
  </si>
  <si>
    <t>MÁQUINA EXTRUSORA DE CONCRETO PARA GUIAS E SARJETAS, MOTOR A DIESEL, POTÊNCIA 14 CV - CHP DIURNO. AF_12/2015</t>
  </si>
  <si>
    <t>92966</t>
  </si>
  <si>
    <t>MARTELO PERFURADOR PNEUMÁTICO MANUAL, HASTE 25 X 75 MM, 21 KG - CHP DIURNO. AF_12/2015</t>
  </si>
  <si>
    <t>93224</t>
  </si>
  <si>
    <t>PERFURATRIZ COM TORRE METÁLICA PARA EXECUÇÃO DE ESTACA HÉLICE CONTÍNUA, PROFUNDIDADE MÁXIMA DE 32 M, DIÂMETRO MÁXIMO DE 1000 MM, POTÊNCIA INSTALADA DE 350 HP, MESA ROTATIVA COM TORQUE MÁXIMO DE 263 KNM - CHP DIURNO. AF_01/2016</t>
  </si>
  <si>
    <t>93233</t>
  </si>
  <si>
    <t>BETONEIRA CAPACIDADE NOMINAL 400 L, CAPACIDADE DE MISTURA 310 L, MOTOR A GASOLINA POTÊNCIA 5,5 HP, SEM CARREGADOR - CHP DIURNO. AF_02/2016</t>
  </si>
  <si>
    <t>93272</t>
  </si>
  <si>
    <t>93281</t>
  </si>
  <si>
    <t>93287</t>
  </si>
  <si>
    <t>GUINDASTE HIDRÁULICO AUTOPROPELIDO, COM LANÇA TELESCÓPICA 40 M, CAPACIDADE MÁXIMA 60 T, POTÊNCIA 260 KW - CHP DIURNO. AF_03/2016</t>
  </si>
  <si>
    <t>93402</t>
  </si>
  <si>
    <t>GUINDAUTO HIDRÁULICO, CAPACIDADE MÁXIMA DE CARGA 3300 KG, MOMENTO MÁXIMO DE CARGA 5,8 TM, ALCANCE MÁXIMO HORIZONTAL 7,60 M, INCLUSIVE CAMINHÃO TOCO PBT 16.000 KG, POTÊNCIA DE 189 CV - CHP DIURNO. AF_03/2016</t>
  </si>
  <si>
    <t>93408</t>
  </si>
  <si>
    <t>93415</t>
  </si>
  <si>
    <t>GERADOR PORTÁTIL MONOFÁSICO, POTÊNCIA 5500 VA, MOTOR A GASOLINA, POTÊNCIA DO MOTOR 13 CV - CHP DIURNO. AF_03/2016</t>
  </si>
  <si>
    <t>93421</t>
  </si>
  <si>
    <t>GRUPO GERADOR REBOCÁVEL, POTÊNCIA 66 KVA, MOTOR A DIESEL - CHP DIURNO. AF_03/2016</t>
  </si>
  <si>
    <t>93427</t>
  </si>
  <si>
    <t>93433</t>
  </si>
  <si>
    <t>93439</t>
  </si>
  <si>
    <t>95121</t>
  </si>
  <si>
    <t>USINA MISTURADORA DE SOLOS, CAPACIDADE DE 200 A 500 TON/H, POTENCIA 75KW - CHP DIURNO. AF_07/2016</t>
  </si>
  <si>
    <t>95127</t>
  </si>
  <si>
    <t>DISTRIBUIDOR DE AGREGADOS AUTOPROPELIDO, CAP 3 M3, A DIESEL, POTÊNCIA 176CV - CHP DIURNO. AF_07/2016</t>
  </si>
  <si>
    <t>95133</t>
  </si>
  <si>
    <t>95139</t>
  </si>
  <si>
    <t>TALHA MANUAL DE CORRENTE, CAPACIDADE DE 2 TON. COM ELEVAÇÃO DE 3 M - CHP DIURNO. AF_07/2016</t>
  </si>
  <si>
    <t>0,06</t>
  </si>
  <si>
    <t>95212</t>
  </si>
  <si>
    <t>95258</t>
  </si>
  <si>
    <t>MARTELO DEMOLIDOR PNEUMÁTICO MANUAL, 32 KG - CHP DIURNO. AF_09/2016</t>
  </si>
  <si>
    <t>95264</t>
  </si>
  <si>
    <t>COMPACTADOR DE SOLOS DE PERCUSÃO (SOQUETE) COM MOTOR A GASOLINA, POTÊNCIA 3 CV - CHP DIURNO. AF_09/2016</t>
  </si>
  <si>
    <t>95270</t>
  </si>
  <si>
    <t>RÉGUA VIBRATÓRIA DUPLA PARA CONCRETO, PESO DE 60KG, COMPRIMENTO 4 M, COM MOTOR A GASOLINA, POTÊNCIA 5,5 HP - CHP DIURNO. AF_09/2016</t>
  </si>
  <si>
    <t>95276</t>
  </si>
  <si>
    <t>95282</t>
  </si>
  <si>
    <t>95620</t>
  </si>
  <si>
    <t>PERFURATRIZ PNEUMATICA MANUAL DE PESO MEDIO, MARTELETE, 18KG, COMPRIMENTO MÁXIMO DE CURSO DE 6 M, DIAMETRO DO PISTAO DE 5,5 CM - CHP DIURNO. AF_11/2016</t>
  </si>
  <si>
    <t>95631</t>
  </si>
  <si>
    <t>95702</t>
  </si>
  <si>
    <t>PERFURATRIZ MANUAL, TORQUE MAXIMO 55 KGF.M, POTENCIA 5 CV, COM DIAMETRO MAXIMO 8 1/2" - CHP DIURNO. AF_11/2016</t>
  </si>
  <si>
    <t>95708</t>
  </si>
  <si>
    <t>PERFURATRIZ SOBRE ESTEIRA, TORQUE MÁXIMO 600 KGF, POTÊNCIA ENTRE 50 E 60 HP, DIÂMETRO MÁXIMO 10 - CHP DIURNO. AF_11/2016</t>
  </si>
  <si>
    <t>95714</t>
  </si>
  <si>
    <t>ESCAVADEIRA HIDRAULICA SOBRE ESTEIRA, COM GARRA GIRATORIA DE MANDIBULAS, PESO OPERACIONAL ENTRE 22,00 E 25,50 TON, POTENCIA LIQUIDA ENTRE 150 E 160 HP - CHP DIURNO. AF_11/2016</t>
  </si>
  <si>
    <t>95720</t>
  </si>
  <si>
    <t>ESCAVADEIRA HIDRAULICA SOBRE ESTEIRA, EQUIPADA COM CLAMSHELL, COM CAPACIDADE DA CAÇAMBA ENTRE 1,20 E 1,50 M3, PESO OPERACIONAL ENTRE 20,00 E 22,00 TON, POTENCIA LIQUIDA ENTRE 150 E 160 HP - CHP DIURNO. AF_11/2016</t>
  </si>
  <si>
    <t>95872</t>
  </si>
  <si>
    <t>GRUPO GERADOR COM CARENAGEM, MOTOR DIESEL POTÊNCIA STANDART ENTRE 250 E 260 KVA - CHP DIURNO. AF_12/2016</t>
  </si>
  <si>
    <t>96013</t>
  </si>
  <si>
    <t>TRATOR DE PNEUS COM POTÊNCIA DE 122 CV, TRAÇÃO 4X4, COM VASSOURA MECÂNICA ACOPLADA - CHP DIURNO. AF_02/2017</t>
  </si>
  <si>
    <t>96020</t>
  </si>
  <si>
    <t>TRATOR DE PNEUS COM POTÊNCIA DE 122 CV, TRAÇÃO 4X4, COM GRADE DE DISCOS ACOPLADA - CHP DIURNO. AF_02/2017</t>
  </si>
  <si>
    <t>96028</t>
  </si>
  <si>
    <t>TRATOR DE PNEUS COM POTÊNCIA DE 85 CV, TRAÇÃO 4X4, COM GRADE DE DISCOS ACOPLADA - CHP DIURNO. AF_02/2017</t>
  </si>
  <si>
    <t>96035</t>
  </si>
  <si>
    <t>96157</t>
  </si>
  <si>
    <t>TRATOR DE PNEUS COM POTÊNCIA DE 85 CV, TRAÇÃO 4X4, COM VASSOURA MECÂNICA ACOPLADA - CHP DIURNO. AF_03/2017</t>
  </si>
  <si>
    <t>96158</t>
  </si>
  <si>
    <t>MINICARREGADEIRA SOBRE RODAS POTENCIA 47HP CAPACIDADE OPERACAO 646 KG, COM VASSOURA MECÂNICA ACOPLADA - CHP DIURNO. AF_03/2017</t>
  </si>
  <si>
    <t>96245</t>
  </si>
  <si>
    <t>MINIESCAVADEIRA SOBRE ESTEIRAS, POTENCIA LIQUIDA DE *30* HP, PESO OPERACIONAL DE *3.500* KG - CHP DIURNO. AF_04/2017</t>
  </si>
  <si>
    <t>1,02</t>
  </si>
  <si>
    <t>96463</t>
  </si>
  <si>
    <t>98764</t>
  </si>
  <si>
    <t>INVERSOR DE SOLDA MONOFÁSICO DE 160 A, POTÊNCIA DE 5400 W, TENSÃO DE 220 V, PARA SOLDA COM ELETRODOS DE 2,0 A 4,0 MM E PROCESSO TIG - CHP DIURNO. AF_06/2018</t>
  </si>
  <si>
    <t>99833</t>
  </si>
  <si>
    <t>100641</t>
  </si>
  <si>
    <t>USINA DE MISTURA ASFÁLTICA À QUENTE, TIPO CONTRA FLUXO, PROD 100 A 140 TON/HORA - CHP DIURNO. AF_12/2019</t>
  </si>
  <si>
    <t>100647</t>
  </si>
  <si>
    <t>USINA DE ASFALTO, TIPO GRAVIMÉTRICA, PROD 150 TON/HORA - CHP DIURNO. AF_12/2019</t>
  </si>
  <si>
    <t>5632</t>
  </si>
  <si>
    <t>ESCAVADEIRA HIDRÁULICA SOBRE ESTEIRAS, CAÇAMBA 0,80 M3, PESO OPERACIONAL 17 T, POTENCIA BRUTA 111 HP - CHI DIURNO. AF_06/2014</t>
  </si>
  <si>
    <t>5679</t>
  </si>
  <si>
    <t>RETROESCAVADEIRA SOBRE RODAS COM CARREGADEIRA, TRAÇÃO 4X4, POTÊNCIA LÍQ. 88 HP, CAÇAMBA CARREG. CAP. MÍN. 1 M3, CAÇAMBA RETRO CAP. 0,26 M3, PESO OPERACIONAL MÍN. 6.674 KG, PROFUNDIDADE ESCAVAÇÃO MÁX. 4,37 M - CHI DIURNO. AF_06/2014</t>
  </si>
  <si>
    <t>5681</t>
  </si>
  <si>
    <t>RETROESCAVADEIRA SOBRE RODAS COM CARREGADEIRA, TRAÇÃO 4X2, POTÊNCIA LÍQ. 79 HP, CAÇAMBA CARREG. CAP. MÍN. 1 M3, CAÇAMBA RETRO CAP. 0,20 M3, PESO OPERACIONAL MÍN. 6.570 KG, PROFUNDIDADE ESCAVAÇÃO MÁX. 4,37 M - CHI DIURNO. AF_06/2014</t>
  </si>
  <si>
    <t>5685</t>
  </si>
  <si>
    <t>ROLO COMPACTADOR VIBRATÓRIO DE UM CILINDRO AÇO LISO, POTÊNCIA 80 HP, PESO OPERACIONAL MÁXIMO 8,1 T, IMPACTO DINÂMICO 16,15 / 9,5 T, LARGURA DE TRABALHO 1,68 M - CHI DIURNO. AF_06/2014</t>
  </si>
  <si>
    <t>5690</t>
  </si>
  <si>
    <t>GRADE DE DISCO CONTROLE REMOTO REBOCÁVEL, COM 24 DISCOS 24 X 6 MM COM PNEUS PARA TRANSPORTE - CHI DIURNO. AF_06/2014</t>
  </si>
  <si>
    <t>5806</t>
  </si>
  <si>
    <t>MOTOBOMBA CENTRÍFUGA, MOTOR A GASOLINA, POTÊNCIA 5,42 HP, BOCAIS 1 1/2" X 1", DIÂMETRO ROTOR 143 MM HM/Q = 6 MCA / 16,8 M3/H A 38 MCA / 6,6 M3/H - CHI DIURNO. AF_06/2014</t>
  </si>
  <si>
    <t>0,15</t>
  </si>
  <si>
    <t>5826</t>
  </si>
  <si>
    <t>CAMINHÃO TOCO, PBT 16.000 KG, CARGA ÚTIL MÁX. 10.685 KG, DIST. ENTRE EIXOS 4,8 M, POTÊNCIA 189 CV, INCLUSIVE CARROCERIA FIXA ABERTA DE MADEIRA P/ TRANSPORTE GERAL DE CARGA SECA, DIMEN. APROX. 2,5 X 7,00 X 0,50 M - CHI DIURNO. AF_06/2014</t>
  </si>
  <si>
    <t>5829</t>
  </si>
  <si>
    <t>USINA DE CONCRETO FIXA, CAPACIDADE NOMINAL DE 90 A 120 M3/H, SEM SILO - CHI DIURNO. AF_07/2016</t>
  </si>
  <si>
    <t>5837</t>
  </si>
  <si>
    <t>VIBROACABADORA DE ASFALTO SOBRE ESTEIRAS, LARGURA DE PAVIMENTAÇÃO 1,90 M A 5,30 M, POTÊNCIA 105 HP CAPACIDADE 450 T/H - CHI DIURNO. AF_11/2014</t>
  </si>
  <si>
    <t>5841</t>
  </si>
  <si>
    <t>5845</t>
  </si>
  <si>
    <t>TRATOR DE PNEUS, POTÊNCIA 122 CV, TRAÇÃO 4X4, PESO COM LASTRO DE 4.510 KG - CHI DIURNO. AF_06/2014</t>
  </si>
  <si>
    <t>5849</t>
  </si>
  <si>
    <t>TRATOR DE ESTEIRAS, POTÊNCIA 170 HP, PESO OPERACIONAL 19 T, CAÇAMBA 5,2 M3 - CHI DIURNO. AF_06/2014</t>
  </si>
  <si>
    <t>5853</t>
  </si>
  <si>
    <t>TRATOR DE ESTEIRAS, POTÊNCIA 150 HP, PESO OPERACIONAL 16,7 T, COM RODA MOTRIZ ELEVADA E LÂMINA 3,18 M3 - CHI DIURNO. AF_06/2014</t>
  </si>
  <si>
    <t>5857</t>
  </si>
  <si>
    <t>TRATOR DE ESTEIRAS, POTÊNCIA 347 HP, PESO OPERACIONAL 38,5 T, COM LÂMINA 8,70 M3 - CHI DIURNO. AF_06/2014</t>
  </si>
  <si>
    <t>5865</t>
  </si>
  <si>
    <t>ROLO COMPACTADOR VIBRATÓRIO REBOCÁVEL, CILINDRO DE AÇO LISO, POTÊNCIA DE TRAÇÃO DE 65 CV, PESO 4,7 T, IMPACTO DINÂMICO 18,3 T, LARGURA DE TRABALHO 1,67 M - CHI DIURNO. AF_02/2016</t>
  </si>
  <si>
    <t>5,43</t>
  </si>
  <si>
    <t>5869</t>
  </si>
  <si>
    <t>ROLO COMPACTADOR VIBRATÓRIO TANDEM AÇO LISO, POTÊNCIA 58 HP, PESO SEM/COM LASTRO 6,5 / 9,4 T, LARGURA DE TRABALHO 1,2 M - CHI DIURNO. AF_06/2014</t>
  </si>
  <si>
    <t>5877</t>
  </si>
  <si>
    <t>RETROESCAVADEIRA SOBRE RODAS COM CARREGADEIRA, TRAÇÃO 4X4, POTÊNCIA LÍQ. 72 HP, CAÇAMBA CARREG. CAP. MÍN. 0,79 M3, CAÇAMBA RETRO CAP. 0,18 M3, PESO OPERACIONAL MÍN. 7.140 KG, PROFUNDIDADE ESCAVAÇÃO MÁX. 4,50 M - CHI DIURNO. AF_06/2014</t>
  </si>
  <si>
    <t>5881</t>
  </si>
  <si>
    <t>ROLO COMPACTADOR VIBRATÓRIO PÉ DE CARNEIRO, OPERADO POR CONTROLE REMOTO, POTÊNCIA 12,5 KW, PESO OPERACIONAL 1,675 T, LARGURA DE TRABALHO 0,85 M - CHI DIURNO. AF_02/2016</t>
  </si>
  <si>
    <t>5884</t>
  </si>
  <si>
    <t>USINA DE LAMA ASFÁLTICA, PROD 30 A 50 T/H, SILO DE AGREGADO 7 M3, RESERVATÓRIOS PARA EMULSÃO E ÁGUA DE 2,3 M3 CADA, MISTURADOR TIPO PUG MILL A SER MONTADO SOBRE CAMINHÃO - CHI DIURNO. AF_10/2014</t>
  </si>
  <si>
    <t>5892</t>
  </si>
  <si>
    <t>CAMINHÃO TOCO, PESO BRUTO TOTAL 14.300 KG, CARGA ÚTIL MÁXIMA 9590 KG, DISTÂNCIA ENTRE EIXOS 4,76 M, POTÊNCIA 185 CV (NÃO INCLUI CARROCERIA) - CHI DIURNO. AF_06/2014</t>
  </si>
  <si>
    <t>5896</t>
  </si>
  <si>
    <t>CAMINHÃO TOCO, PESO BRUTO TOTAL 16.000 KG, CARGA ÚTIL MÁXIMA DE 10.685 KG, DISTÂNCIA ENTRE EIXOS 4,80 M, POTÊNCIA 189 CV EXCLUSIVE CARROCERIA - CHI DIURNO. AF_06/2014</t>
  </si>
  <si>
    <t>5903</t>
  </si>
  <si>
    <t>5911</t>
  </si>
  <si>
    <t>ESPARGIDOR DE ASFALTO PRESSURIZADO COM TANQUE DE 2500 L, REBOCÁVEL COM MOTOR A GASOLINA POTÊNCIA 3,4 HP - CHI DIURNO. AF_07/2014</t>
  </si>
  <si>
    <t>5923</t>
  </si>
  <si>
    <t>GRADE DE DISCO REBOCÁVEL COM 20 DISCOS 24" X 6 MM COM PNEUS PARA TRANSPORTE - CHI DIURNO. AF_06/2014</t>
  </si>
  <si>
    <t>1,55</t>
  </si>
  <si>
    <t>5930</t>
  </si>
  <si>
    <t>GUINDAUTO HIDRÁULICO, CAPACIDADE MÁXIMA DE CARGA 6200 KG, MOMENTO MÁXIMO DE CARGA 11,7 TM, ALCANCE MÁXIMO HORIZONTAL 9,70 M, INCLUSIVE CAMINHÃO TOCO PBT 16.000 KG, POTÊNCIA DE 189 CV - CHI DIURNO. AF_06/2014</t>
  </si>
  <si>
    <t>5934</t>
  </si>
  <si>
    <t>MOTONIVELADORA POTÊNCIA BÁSICA LÍQUIDA (PRIMEIRA MARCHA) 125 HP, PESO BRUTO 13032 KG, LARGURA DA LÂMINA DE 3,7 M - CHI DIURNO. AF_06/2014</t>
  </si>
  <si>
    <t>5942</t>
  </si>
  <si>
    <t>PÁ CARREGADEIRA SOBRE RODAS, POTÊNCIA LÍQUIDA 128 HP, CAPACIDADE DA CAÇAMBA 1,7 A 2,8 M3, PESO OPERACIONAL 11632 KG - CHI DIURNO. AF_06/2014</t>
  </si>
  <si>
    <t>5946</t>
  </si>
  <si>
    <t>5952</t>
  </si>
  <si>
    <t>5954</t>
  </si>
  <si>
    <t>COMPRESSOR DE AR REBOCÁVEL, VAZÃO 189 PCM, PRESSÃO EFETIVA DE TRABALHO 102 PSI, MOTOR DIESEL, POTÊNCIA 63 CV - CHI DIURNO. AF_06/2015</t>
  </si>
  <si>
    <t>5961</t>
  </si>
  <si>
    <t>CAMINHÃO BASCULANTE 6 M3, PESO BRUTO TOTAL 16.000 KG, CARGA ÚTIL MÁXIMA 13.071 KG, DISTÂNCIA ENTRE EIXOS 4,80 M, POTÊNCIA 230 CV INCLUSIVE CAÇAMBA METÁLICA - CHI DIURNO. AF_06/2014</t>
  </si>
  <si>
    <t>6260</t>
  </si>
  <si>
    <t>CAMINHÃO PIPA 6.000 L, PESO BRUTO TOTAL 13.000 KG, DISTÂNCIA ENTRE EIXOS 4,80 M, POTÊNCIA 189 CV INCLUSIVE TANQUE DE AÇO PARA TRANSPORTE DE ÁGUA, CAPACIDADE 6 M3 - CHI DIURNO. AF_06/2014</t>
  </si>
  <si>
    <t>6880</t>
  </si>
  <si>
    <t>ROLO COMPACTADOR DE PNEUS ESTÁTICO, PRESSÃO VARIÁVEL, POTÊNCIA 111 HP, PESO SEM/COM LASTRO 9,5 / 26 T, LARGURA DE TRABALHO 1,90 M - CHI DIURNO. AF_07/2014</t>
  </si>
  <si>
    <t>7031</t>
  </si>
  <si>
    <t>3,75</t>
  </si>
  <si>
    <t>7043</t>
  </si>
  <si>
    <t>MOTOBOMBA TRASH (PARA ÁGUA SUJA) AUTO ESCORVANTE, MOTOR GASOLINA DE 6,41 HP, DIÂMETROS DE SUCÇÃO X RECALQUE: 3" X 3", HM/Q = 10 MCA / 60 M3/H A 23 MCA / 0 M3/H - CHI DIURNO. AF_10/2014</t>
  </si>
  <si>
    <t>0,19</t>
  </si>
  <si>
    <t>7050</t>
  </si>
  <si>
    <t>ROLO COMPACTADOR PE DE CARNEIRO VIBRATORIO, POTENCIA 125 HP, PESO OPERACIONAL SEM/COM LASTRO 11,95 / 13,30 T, IMPACTO DINAMICO 38,5 / 22,5 T, LARGURA DE TRABALHO 2,15 M - CHI DIURNO. AF_06/2014</t>
  </si>
  <si>
    <t>67827</t>
  </si>
  <si>
    <t>73395</t>
  </si>
  <si>
    <t>GRUPO GERADOR ESTACIONÁRIO, MOTOR DIESEL POTÊNCIA 170 KVA - CHI DIURNO. AF_02/2016</t>
  </si>
  <si>
    <t>83766</t>
  </si>
  <si>
    <t>GRUPO DE SOLDAGEM COM GERADOR A DIESEL 60 CV PARA SOLDA ELÉTRICA, SOBRE 04 RODAS, COM MOTOR 4 CILINDROS 600 A - CHI DIURNO. AF_02/2016</t>
  </si>
  <si>
    <t>84013</t>
  </si>
  <si>
    <t>ESCAVADEIRA HIDRÁULICA SOBRE ESTEIRAS, CAÇAMBA 0,80 M3, PESO OPERACIONAL 17,8 T, POTÊNCIA LÍQUIDA 110 HP - CHI DIURNO. AF_10/2014</t>
  </si>
  <si>
    <t>87446</t>
  </si>
  <si>
    <t>0,36</t>
  </si>
  <si>
    <t>88392</t>
  </si>
  <si>
    <t>88398</t>
  </si>
  <si>
    <t>0,85</t>
  </si>
  <si>
    <t>88404</t>
  </si>
  <si>
    <t>88430</t>
  </si>
  <si>
    <t>PROJETOR DE ARGAMASSA, CAPACIDADE DE PROJEÇÃO 1,5 M3/H, ALCANCE DE 30 ATÉ 60 M, MOTOR ELÉTRICO POTÊNCIA 7,5 HP - CHI DIURNO. AF_06/2014</t>
  </si>
  <si>
    <t>88438</t>
  </si>
  <si>
    <t>PROJETOR DE ARGAMASSA, CAPACIDADE DE PROJEÇÃO 2 M3/H, ALCANCE ATÉ 50 M, MOTOR ELÉTRICO POTÊNCIA 7,5 HP - CHI DIURNO. AF_06/2014</t>
  </si>
  <si>
    <t>88831</t>
  </si>
  <si>
    <t>COLETADO</t>
  </si>
  <si>
    <t>0,26</t>
  </si>
  <si>
    <t>88844</t>
  </si>
  <si>
    <t>TRATOR DE ESTEIRAS, POTÊNCIA 125 HP, PESO OPERACIONAL 12,9 T, COM LÂMINA 2,7 M3 - CHI DIURNO. AF_10/2014</t>
  </si>
  <si>
    <t>88908</t>
  </si>
  <si>
    <t>ESCAVADEIRA HIDRÁULICA SOBRE ESTEIRAS, CAÇAMBA 1,20 M3, PESO OPERACIONAL 21 T, POTÊNCIA BRUTA 155 HP - CHI DIURNO. AF_06/2014</t>
  </si>
  <si>
    <t>89022</t>
  </si>
  <si>
    <t>BOMBA SUBMERSÍVEL ELÉTRICA TRIFÁSICA, POTÊNCIA 2,96 HP, Ø ROTOR 144 MM SEMI-ABERTO, BOCAL DE SAÍDA Ø 2, HM/Q = 2 MCA / 38,8 M3/H A 28 MCA / 5 M3/H - CHI DIURNO. AF_06/2014</t>
  </si>
  <si>
    <t>0,30</t>
  </si>
  <si>
    <t>89027</t>
  </si>
  <si>
    <t>89031</t>
  </si>
  <si>
    <t>TRATOR DE ESTEIRAS, POTÊNCIA 100 HP, PESO OPERACIONAL 9,4 T, COM LÂMINA 2,19 M3 - CHI DIURNO. AF_06/2014</t>
  </si>
  <si>
    <t>89036</t>
  </si>
  <si>
    <t>89218</t>
  </si>
  <si>
    <t>BATE-ESTACAS POR GRAVIDADE, POTÊNCIA DE 160 HP, PESO DO MARTELO ATÉ 3 TONELADAS - CHI DIURNO. AF_11/2014</t>
  </si>
  <si>
    <t>89226</t>
  </si>
  <si>
    <t>1,09</t>
  </si>
  <si>
    <t>89235</t>
  </si>
  <si>
    <t>FRESADORA DE ASFALTO A FRIO SOBRE RODAS, LARGURA FRESAGEM DE 1,0 M, POTÊNCIA 208 HP - CHI DIURNO. AF_11/2014</t>
  </si>
  <si>
    <t>89243</t>
  </si>
  <si>
    <t>FRESADORA DE ASFALTO A FRIO SOBRE RODAS, LARGURA FRESAGEM DE 2,0 M, POTÊNCIA 550 HP - CHI DIURNO. AF_11/2014</t>
  </si>
  <si>
    <t>89251</t>
  </si>
  <si>
    <t>RECICLADORA DE ASFALTO A FRIO SOBRE RODAS, LARGURA FRESAGEM DE 2,0 M, POTÊNCIA 422 HP - CHI DIURNO. AF_11/2014</t>
  </si>
  <si>
    <t>89258</t>
  </si>
  <si>
    <t>VIBROACABADORA DE ASFALTO SOBRE ESTEIRAS, LARGURA DE PAVIMENTAÇÃO 2,13 M A 4,55 M, POTÊNCIA 100 HP, CAPACIDADE 400 T/H - CHI DIURNO. AF_11/2014</t>
  </si>
  <si>
    <t>89273</t>
  </si>
  <si>
    <t>GUINDASTE HIDRÁULICO AUTOPROPELIDO, COM LANÇA TELESCÓPICA 28,80 M, CAPACIDADE MÁXIMA 30 T, POTÊNCIA 97 KW, TRAÇÃO 4 X 4 - CHI DIURNO. AF_11/2014</t>
  </si>
  <si>
    <t>89279</t>
  </si>
  <si>
    <t>1,34</t>
  </si>
  <si>
    <t>89877</t>
  </si>
  <si>
    <t>CAMINHÃO BASCULANTE 14 M3, COM CAVALO MECÂNICO DE CAPACIDADE MÁXIMA DE TRAÇÃO COMBINADO DE 36000 KG, POTÊNCIA 286 CV, INCLUSIVE SEMIREBOQUE COM CAÇAMBA METÁLICA - CHI DIURNO. AF_12/2014</t>
  </si>
  <si>
    <t>89884</t>
  </si>
  <si>
    <t>CAMINHÃO BASCULANTE 18 M3, COM CAVALO MECÂNICO DE CAPACIDADE MÁXIMA DE TRAÇÃO COMBINADO DE 45000 KG, POTÊNCIA 330 CV, INCLUSIVE SEMIREBOQUE COM CAÇAMBA METÁLICA - CHI DIURNO. AF_12/2014</t>
  </si>
  <si>
    <t>90587</t>
  </si>
  <si>
    <t>0,32</t>
  </si>
  <si>
    <t>90626</t>
  </si>
  <si>
    <t>PERFURATRIZ MANUAL, TORQUE MÁXIMO 83 N.M, POTÊNCIA 5 CV, COM DIÂMETRO MÁXIMO 4" - CHI DIURNO. AF_06/2015</t>
  </si>
  <si>
    <t>90632</t>
  </si>
  <si>
    <t>PERFURATRIZ SOBRE ESTEIRA, TORQUE MÁXIMO 600 KGF, PESO MÉDIO 1000 KG, POTÊNCIA 20 HP, DIÂMETRO MÁXIMO 10" - CHI DIURNO. AF_06/2015</t>
  </si>
  <si>
    <t>90638</t>
  </si>
  <si>
    <t>MISTURADOR DUPLO HORIZONTAL DE ALTA TURBULÊNCIA, CAPACIDADE / VOLUME 2 X 500 LITROS, MOTORES ELÉTRICOS MÍNIMO 5 CV CADA, PARA NATA CIMENTO, ARGAMASSA E OUTROS - CHI DIURNO. AF_06/2015</t>
  </si>
  <si>
    <t>90644</t>
  </si>
  <si>
    <t>BOMBA TRIPLEX, PARA INJEÇÃO DE NATA DE CIMENTO, VAZÃO MÁXIMA DE 100 LITROS/MINUTO, PRESSÃO MÁXIMA DE 70 BAR - CHI DIURNO. AF_06/2015</t>
  </si>
  <si>
    <t>90651</t>
  </si>
  <si>
    <t>BOMBA CENTRÍFUGA MONOESTÁGIO COM MOTOR ELÉTRICO MONOFÁSICO, POTÊNCIA 15 HP, DIÂMETRO DO ROTOR 173 MM, HM/Q = 30 MCA / 90 M3/H A 45 MCA / 55 M3/H - CHI DIURNO. AF_06/2015</t>
  </si>
  <si>
    <t>0,54</t>
  </si>
  <si>
    <t>90657</t>
  </si>
  <si>
    <t>BOMBA DE PROJEÇÃO DE CONCRETO SECO, POTÊNCIA 10 CV, VAZÃO 3 M3/H - CHI DIURNO. AF_06/2015</t>
  </si>
  <si>
    <t>90663</t>
  </si>
  <si>
    <t>BOMBA DE PROJEÇÃO DE CONCRETO SECO, POTÊNCIA 10 CV, VAZÃO 6 M3/H - CHI DIURNO. AF_06/2015</t>
  </si>
  <si>
    <t>90669</t>
  </si>
  <si>
    <t>90675</t>
  </si>
  <si>
    <t>PERFURATRIZ COM TORRE METÁLICA PARA EXECUÇÃO DE ESTACA HÉLICE CONTÍNUA, PROFUNDIDADE MÁXIMA DE 30 M, DIÂMETRO MÁXIMO DE 800 MM, POTÊNCIA INSTALADA DE 268 HP, MESA ROTATIVA COM TORQUE MÁXIMO DE 170 KNM - CHI DIURNO. AF_06/2015</t>
  </si>
  <si>
    <t>90681</t>
  </si>
  <si>
    <t>PERFURATRIZ HIDRÁULICA SOBRE CAMINHÃO COM TRADO CURTO ACOPLADO, PROFUNDIDADE MÁXIMA DE 20 M, DIÂMETRO MÁXIMO DE 1500 MM, POTÊNCIA INSTALADA DE 137 HP, MESA ROTATIVA COM TORQUE MÁXIMO DE 30 KNM - CHI DIURNO. AF_06/2015</t>
  </si>
  <si>
    <t>90687</t>
  </si>
  <si>
    <t>90693</t>
  </si>
  <si>
    <t>MINICARREGADEIRA SOBRE RODAS, POTÊNCIA LÍQUIDA DE 47 HP, CAPACIDADE NOMINAL DE OPERAÇÃO DE 646 KG - CHI DIURNO. AF_06/2015</t>
  </si>
  <si>
    <t>90965</t>
  </si>
  <si>
    <t>COMPRESSOR DE AR REBOCÁVEL, VAZÃO 89 PCM, PRESSÃO EFETIVA DE TRABALHO 102 PSI, MOTOR DIESEL, POTÊNCIA 20 CV - CHI DIURNO. AF_06/2015</t>
  </si>
  <si>
    <t>90973</t>
  </si>
  <si>
    <t>COMPRESSOR DE AR REBOCAVEL, VAZÃO 250 PCM, PRESSAO DE TRABALHO 102 PSI, MOTOR A DIESEL POTÊNCIA 81 CV - CHI DIURNO. AF_06/2015</t>
  </si>
  <si>
    <t>90982</t>
  </si>
  <si>
    <t>COMPRESSOR DE AR REBOCÁVEL, VAZÃO 748 PCM, PRESSÃO EFETIVA DE TRABALHO 102 PSI, MOTOR DIESEL, POTÊNCIA 210 CV - CHI DIURNO. AF_06/2015</t>
  </si>
  <si>
    <t>9,03</t>
  </si>
  <si>
    <t>91001</t>
  </si>
  <si>
    <t>COMPRESSOR DE AR REBOCAVEL, VAZÃO 400 PCM, PRESSAO DE TRABALHO 102 PSI, MOTOR A DIESEL POTÊNCIA 110 CV - CHI DIURNO. AF_06/2015</t>
  </si>
  <si>
    <t>91032</t>
  </si>
  <si>
    <t>CAMINHÃO TRUCADO (C/ TERCEIRO EIXO) ELETRÔNICO - POTÊNCIA 231CV - PBT = 22000KG - DIST. ENTRE EIXOS 5170 MM - INCLUI CARROCERIA FIXA ABERTA DE MADEIRA - CHI DIURNO. AF_06/2015</t>
  </si>
  <si>
    <t>91278</t>
  </si>
  <si>
    <t>0,73</t>
  </si>
  <si>
    <t>91285</t>
  </si>
  <si>
    <t>91387</t>
  </si>
  <si>
    <t>CAMINHÃO BASCULANTE 10 M3, TRUCADO CABINE SIMPLES, PESO BRUTO TOTAL 23.000 KG, CARGA ÚTIL MÁXIMA 15.935 KG, DISTÂNCIA ENTRE EIXOS 4,80 M, POTÊNCIA 230 CV INCLUSIVE CAÇAMBA METÁLICA - CHI DIURNO. AF_06/2014</t>
  </si>
  <si>
    <t>91395</t>
  </si>
  <si>
    <t>CAMINHÃO TOCO, PBT 14.300 KG, CARGA ÚTIL MÁX. 9.710 KG, DIST. ENTRE EIXOS 3,56 M, POTÊNCIA 185 CV, INCLUSIVE CARROCERIA FIXA ABERTA DE MADEIRA P/ TRANSPORTE GERAL DE CARGA SECA, DIMEN. APROX. 2,50 X 6,50 X 0,50 M - CHI DIURNO. AF_06/2014</t>
  </si>
  <si>
    <t>91486</t>
  </si>
  <si>
    <t>91534</t>
  </si>
  <si>
    <t>91635</t>
  </si>
  <si>
    <t>GUINDAUTO HIDRÁULICO, CAPACIDADE MÁXIMA DE CARGA 6500 KG, MOMENTO MÁXIMO DE CARGA 5,8 TM, ALCANCE MÁXIMO HORIZONTAL 7,60 M, INCLUSIVE CAMINHÃO TOCO PBT 9.700 KG, POTÊNCIA DE 160 CV - CHI DIURNO. AF_08/2015</t>
  </si>
  <si>
    <t>91646</t>
  </si>
  <si>
    <t>CAMINHÃO DE TRANSPORTE DE MATERIAL ASFÁLTICO 30.000 L, COM CAVALO MECÂNICO DE CAPACIDADE MÁXIMA DE TRAÇÃO COMBINADO DE 66.000 KG, POTÊNCIA 360 CV, INCLUSIVE TANQUE DE ASFALTO COM SERPENTINA - CHI DIURNO. AF_08/2015</t>
  </si>
  <si>
    <t>91693</t>
  </si>
  <si>
    <t>92044</t>
  </si>
  <si>
    <t>DISTRIBUIDOR DE AGREGADOS REBOCAVEL, CAPACIDADE 1,9 M³, LARGURA DE TRABALHO 3,66 M - CHI DIURNO. AF_11/2015</t>
  </si>
  <si>
    <t>4,56</t>
  </si>
  <si>
    <t>92107</t>
  </si>
  <si>
    <t>92113</t>
  </si>
  <si>
    <t>92119</t>
  </si>
  <si>
    <t>0,08</t>
  </si>
  <si>
    <t>92139</t>
  </si>
  <si>
    <t>CAMINHONETE COM MOTOR A DIESEL, POTÊNCIA 180 CV, CABINE DUPLA, 4X4 - CHI DIURNO. AF_11/2015</t>
  </si>
  <si>
    <t>92146</t>
  </si>
  <si>
    <t>CAMINHONETE CABINE SIMPLES COM MOTOR 1.6 FLEX, CÂMBIO MANUAL, POTÊNCIA 101/104 CV, 2 PORTAS - CHI DIURNO. AF_11/2015</t>
  </si>
  <si>
    <t>92243</t>
  </si>
  <si>
    <t>CAMINHÃO DE TRANSPORTE DE MATERIAL ASFÁLTICO 20.000 L, COM CAVALO MECÂNICO DE CAPACIDADE MÁXIMA DE TRAÇÃO COMBINADO DE 45.000 KG, POTÊNCIA 330 CV, INCLUSIVE TANQUE DE ASFALTO COM MAÇARICO - CHI DIURNO. AF_12/2015</t>
  </si>
  <si>
    <t>92717</t>
  </si>
  <si>
    <t>0,16</t>
  </si>
  <si>
    <t>92961</t>
  </si>
  <si>
    <t>MÁQUINA EXTRUSORA DE CONCRETO PARA GUIAS E SARJETAS, MOTOR A DIESEL, POTÊNCIA 14 CV - CHI DIURNO. AF_12/2015</t>
  </si>
  <si>
    <t>92967</t>
  </si>
  <si>
    <t>MARTELO PERFURADOR PNEUMÁTICO MANUAL, HASTE 25 X 75 MM, 21 KG - CHI DIURNO. AF_12/2015</t>
  </si>
  <si>
    <t>93225</t>
  </si>
  <si>
    <t>PERFURATRIZ COM TORRE METÁLICA PARA EXECUÇÃO DE ESTACA HÉLICE CONTÍNUA, PROFUNDIDADE MÁXIMA DE 32 M, DIÂMETRO MÁXIMO DE 1000 MM, POTÊNCIA INSTALADA DE 350 HP, MESA ROTATIVA COM TORQUE MÁXIMO DE 263 KNM - CHI DIURNO. AF_01/2016</t>
  </si>
  <si>
    <t>93234</t>
  </si>
  <si>
    <t>BETONEIRA CAPACIDADE NOMINAL 400 L, CAPACIDADE DE MISTURA 310 L, MOTOR A GASOLINA POTÊNCIA 5,5 HP, SEM CARREGADOR - CHI DIURNO. AF_02/2016</t>
  </si>
  <si>
    <t>0,33</t>
  </si>
  <si>
    <t>93244</t>
  </si>
  <si>
    <t>ROLO COMPACTADOR VIBRATÓRIO PÉ DE CARNEIRO PARA SOLOS, POTÊNCIA 80 HP, PESO OPERACIONAL SEM/COM LASTRO 7,4 / 8,8 T, LARGURA DE TRABALHO 1,68 M - CHI DIURNO. AF_02/2016</t>
  </si>
  <si>
    <t>93274</t>
  </si>
  <si>
    <t>93282</t>
  </si>
  <si>
    <t>93288</t>
  </si>
  <si>
    <t>GUINDASTE HIDRÁULICO AUTOPROPELIDO, COM LANÇA TELESCÓPICA 40 M, CAPACIDADE MÁXIMA 60 T, POTÊNCIA 260 KW - CHI DIURNO. AF_03/2016</t>
  </si>
  <si>
    <t>93403</t>
  </si>
  <si>
    <t>GUINDAUTO HIDRÁULICO, CAPACIDADE MÁXIMA DE CARGA 3300 KG, MOMENTO MÁXIMO DE CARGA 5,8 TM, ALCANCE MÁXIMO HORIZONTAL 7,60 M, INCLUSIVE CAMINHÃO TOCO PBT 16.000 KG, POTÊNCIA DE 189 CV - CHI DIURNO. AF_03/2016</t>
  </si>
  <si>
    <t>93409</t>
  </si>
  <si>
    <t>93416</t>
  </si>
  <si>
    <t>GERADOR PORTÁTIL MONOFÁSICO, POTÊNCIA 5500 VA, MOTOR A GASOLINA, POTÊNCIA DO MOTOR 13 CV - CHI DIURNO. AF_03/2016</t>
  </si>
  <si>
    <t>0,24</t>
  </si>
  <si>
    <t>93422</t>
  </si>
  <si>
    <t>GRUPO GERADOR REBOCÁVEL, POTÊNCIA 66 KVA, MOTOR A DIESEL - CHI DIURNO. AF_03/2016</t>
  </si>
  <si>
    <t>93428</t>
  </si>
  <si>
    <t>GRUPO GERADOR ESTACIONÁRIO, POTÊNCIA 150 KVA, MOTOR A DIESEL- CHI DIURNO. AF_03/2016</t>
  </si>
  <si>
    <t>93434</t>
  </si>
  <si>
    <t>93440</t>
  </si>
  <si>
    <t>95122</t>
  </si>
  <si>
    <t>USINA MISTURADORA DE SOLOS, CAPACIDADE DE 200 A 500 TON/H, POTENCIA 75KW - CHI DIURNO. AF_07/2016</t>
  </si>
  <si>
    <t>95128</t>
  </si>
  <si>
    <t>DISTRIBUIDOR DE AGREGADOS AUTOPROPELIDO, CAP 3 M3, A DIESEL, POTÊNCIA 176CV - CHI DIURNO. AF_07/2016</t>
  </si>
  <si>
    <t>95140</t>
  </si>
  <si>
    <t>TALHA MANUAL DE CORRENTE, CAPACIDADE DE 2 TON. COM ELEVAÇÃO DE 3 M - CHI DIURNO. AF_07/2016</t>
  </si>
  <si>
    <t>0,04</t>
  </si>
  <si>
    <t>95213</t>
  </si>
  <si>
    <t>95259</t>
  </si>
  <si>
    <t>MARTELO DEMOLIDOR PNEUMÁTICO MANUAL, 32 KG - CHI DIURNO. AF_09/2016</t>
  </si>
  <si>
    <t>95265</t>
  </si>
  <si>
    <t>COMPACTADOR DE SOLOS DE PERCUSÃO (SOQUETE) COM MOTOR A GASOLINA, POTÊNCIA 3 CV - CHI DIURNO. AF_09/2016</t>
  </si>
  <si>
    <t>95271</t>
  </si>
  <si>
    <t>RÉGUA VIBRATÓRIA DUPLA PARA CONCRETO, PESO DE 60KG, COMPRIMENTO 4 M, COM MOTOR A GASOLINA, POTÊNCIA 5,5 HP - CHI DIURNO. AF_09/2016</t>
  </si>
  <si>
    <t>0,46</t>
  </si>
  <si>
    <t>95277</t>
  </si>
  <si>
    <t>0,45</t>
  </si>
  <si>
    <t>95283</t>
  </si>
  <si>
    <t>95621</t>
  </si>
  <si>
    <t>PERFURATRIZ PNEUMATICA MANUAL DE PESO MEDIO, MARTELETE, 18KG, COMPRIMENTO MÁXIMO DE CURSO DE 6 M, DIAMETRO DO PISTAO DE 5,5 CM - CHI DIURNO. AF_11/2016</t>
  </si>
  <si>
    <t>95632</t>
  </si>
  <si>
    <t>95703</t>
  </si>
  <si>
    <t>PERFURATRIZ MANUAL, TORQUE MAXIMO 55 KGF.M, POTENCIA 5 CV, COM DIAMETRO MAXIMO 8 1/2" - CHI DIURNO. AF_11/2016</t>
  </si>
  <si>
    <t>19,49</t>
  </si>
  <si>
    <t>95709</t>
  </si>
  <si>
    <t>PERFURATRIZ SOBRE ESTEIRA, TORQUE MÁXIMO 600 KGF, POTÊNCIA ENTRE 50 E 60 HP, DIÂMETRO MÁXIMO 10 - CHI DIURNO. AF_11/2016</t>
  </si>
  <si>
    <t>95715</t>
  </si>
  <si>
    <t>ESCAVADEIRA HIDRAULICA SOBRE ESTEIRA, COM GARRA GIRATORIA DE MANDIBULAS, PESO OPERACIONAL ENTRE 22,00 E 25,50 TON, POTENCIA LIQUIDA ENTRE 150 E 160 HP - CHI DIURNO. AF_11/2016</t>
  </si>
  <si>
    <t>95721</t>
  </si>
  <si>
    <t>ESCAVADEIRA HIDRAULICA SOBRE ESTEIRA, EQUIPADA COM CLAMSHELL, COM CAPACIDADE DA CAÇAMBA ENTRE 1,20 E 1,50 M3, PESO OPERACIONAL ENTRE 20,00 E 22,00 TON, POTENCIA LIQUIDA ENTRE 150 E 160 HP - CHI DIURNO. AF_11/2016</t>
  </si>
  <si>
    <t>95873</t>
  </si>
  <si>
    <t>GRUPO GERADOR COM CARENAGEM, MOTOR DIESEL POTÊNCIA STANDART ENTRE 250 E 260 KVA - CHI DIURNO. AF_12/2016</t>
  </si>
  <si>
    <t>96014</t>
  </si>
  <si>
    <t>TRATOR DE PNEUS COM POTÊNCIA DE 122 CV, TRAÇÃO 4X4, COM VASSOURA MECÂNICA ACOPLADA - CHI DIURNO. AF_02/2017</t>
  </si>
  <si>
    <t>96021</t>
  </si>
  <si>
    <t>TRATOR DE PNEUS COM POTÊNCIA DE 122 CV, TRAÇÃO 4X4, COM GRADE DE DISCOS ACOPLADA - CHI DIURNO. AF_02/2017</t>
  </si>
  <si>
    <t>96029</t>
  </si>
  <si>
    <t>TRATOR DE PNEUS COM POTÊNCIA DE 85 CV, TRAÇÃO 4X4, COM GRADE DE DISCOS ACOPLADA - CHI DIURNO. AF_02/2017</t>
  </si>
  <si>
    <t>96036</t>
  </si>
  <si>
    <t>CAMINHÃO BASCULANTE 10 M3, TRUCADO, POTÊNCIA 230 CV, INCLUSIVE CAÇAMBA METÁLICA, COM DISTRIBUIDOR DE AGREGADOS ACOPLADO - CHI DIURNO. AF_02/2017</t>
  </si>
  <si>
    <t>96155</t>
  </si>
  <si>
    <t>TRATOR DE PNEUS COM POTÊNCIA DE 85 CV, TRAÇÃO 4X4, COM VASSOURA MECÂNICA ACOPLADA - CHI DIURNO. AF_02/2017</t>
  </si>
  <si>
    <t>96156</t>
  </si>
  <si>
    <t>MINICARREGADEIRA SOBRE RODAS POTENCIA 47HP CAPACIDADE OPERACAO 646 KG, COM VASSOURA MECÂNICA ACOPLADA - CHI DIURNO. AF_03/2017</t>
  </si>
  <si>
    <t>96159</t>
  </si>
  <si>
    <t>MÁQUINA DEMARCADORA DE FAIXA DE TRÁFEGO À FRIO, AUTOPROPELIDA, POTÊNCIA 38 HP - CHI DIURNO. AF_07/2016</t>
  </si>
  <si>
    <t>96246</t>
  </si>
  <si>
    <t>MINIESCAVADEIRA SOBRE ESTEIRAS, POTENCIA LIQUIDA DE *30* HP, PESO OPERACIONAL DE *3.500* KG - CHI DIURNO. AF_04/2017</t>
  </si>
  <si>
    <t>0,12</t>
  </si>
  <si>
    <t>96464</t>
  </si>
  <si>
    <t>98765</t>
  </si>
  <si>
    <t>INVERSOR DE SOLDA MONOFÁSICO DE 160 A, POTÊNCIA DE 5400 W, TENSÃO DE 220 V, PARA SOLDA COM ELETRODOS DE 2,0 A 4,0 MM E PROCESSO TIG - CHI DIURNO. AF_06/2018</t>
  </si>
  <si>
    <t>99834</t>
  </si>
  <si>
    <t>0,13</t>
  </si>
  <si>
    <t>100642</t>
  </si>
  <si>
    <t>USINA DE MISTURA ASFÁLTICA À QUENTE, TIPO CONTRA FLUXO, PROD 100 A 140 TON/HORA - CHI DIURNO. AF_12/2019</t>
  </si>
  <si>
    <t>100648</t>
  </si>
  <si>
    <t>USINA DE ASFALTO, TIPO GRAVIMÉTRICA, PROD 150 TON/HORA - CHI DIURNO. AF_12/2019</t>
  </si>
  <si>
    <t>5089</t>
  </si>
  <si>
    <t>ROLO COMPACTADOR VIBRATÓRIO PÉ DE CARNEIRO PARA SOLOS, POTÊNCIA 80 HP, PESO OPERACIONAL SEM/COM LASTRO 7,4 / 8,8 T, LARGURA DE TRABALHO 1,68 M - MANUTENÇÃO. AF_02/2016</t>
  </si>
  <si>
    <t>5627</t>
  </si>
  <si>
    <t>ESCAVADEIRA HIDRÁULICA SOBRE ESTEIRAS, CAÇAMBA 0,80 M3, PESO OPERACIONAL 17 T, POTENCIA BRUTA 111 HP - DEPRECIAÇÃO. AF_06/2014</t>
  </si>
  <si>
    <t>5628</t>
  </si>
  <si>
    <t>ESCAVADEIRA HIDRÁULICA SOBRE ESTEIRAS, CAÇAMBA 0,80 M3, PESO OPERACIONAL 17 T, POTENCIA BRUTA 111 HP - JUROS. AF_06/2014</t>
  </si>
  <si>
    <t>3,23</t>
  </si>
  <si>
    <t>5629</t>
  </si>
  <si>
    <t>ESCAVADEIRA HIDRÁULICA SOBRE ESTEIRAS, CAÇAMBA 0,80 M3, PESO OPERACIONAL 17 T, POTENCIA BRUTA 111 HP - MANUTENÇÃO. AF_06/2014</t>
  </si>
  <si>
    <t>5630</t>
  </si>
  <si>
    <t>ESCAVADEIRA HIDRÁULICA SOBRE ESTEIRAS, CAÇAMBA 0,80 M3, PESO OPERACIONAL 17 T, POTENCIA BRUTA 111 HP - MATERIAIS NA OPERAÇÃO. AF_06/2014</t>
  </si>
  <si>
    <t>5658</t>
  </si>
  <si>
    <t>GRADE DE DISCO CONTROLE REMOTO REBOCÁVEL, COM 24 DISCOS 24 X 6 MM COM PNEUS PARA TRANSPORTE - MANUTENÇÃO. AF_06/2014</t>
  </si>
  <si>
    <t>5664</t>
  </si>
  <si>
    <t>RETROESCAVADEIRA SOBRE RODAS COM CARREGADEIRA, TRAÇÃO 4X4, POTÊNCIA LÍQ. 88 HP, CAÇAMBA CARREG. CAP. MÍN. 1 M3, CAÇAMBA RETRO CAP. 0,26 M3, PESO OPERACIONAL MÍN. 6.674 KG, PROFUNDIDADE ESCAVAÇÃO MÁX. 4,37 M - MANUTENÇÃO. AF_06/2014</t>
  </si>
  <si>
    <t>5667</t>
  </si>
  <si>
    <t>RETROESCAVADEIRA SOBRE RODAS COM CARREGADEIRA, TRAÇÃO 4X2, POTÊNCIA LÍQ. 79 HP, CAÇAMBA CARREG. CAP. MÍN. 1 M3, CAÇAMBA RETRO CAP. 0,20 M3, PESO OPERACIONAL MÍN. 6.570 KG, PROFUNDIDADE ESCAVAÇÃO MÁX. 4,37 M - MANUTENÇÃO. AF_06/2014</t>
  </si>
  <si>
    <t>5668</t>
  </si>
  <si>
    <t>RETROESCAVADEIRA SOBRE RODAS COM CARREGADEIRA, TRAÇÃO 4X2, POTÊNCIA LÍQ. 79 HP, CAÇAMBA CARREG. CAP. MÍN. 1 M3, CAÇAMBA RETRO CAP. 0,20 M3, PESO OPERACIONAL MÍN. 6.570 KG, PROFUNDIDADE ESCAVAÇÃO MÁX. 4,37 M - MATERIAIS NA OPERAÇÃO. AF_06/2014</t>
  </si>
  <si>
    <t>5674</t>
  </si>
  <si>
    <t>ROLO COMPACTADOR VIBRATÓRIO DE UM CILINDRO AÇO LISO, POTÊNCIA 80 HP, PESO OPERACIONAL MÁXIMO 8,1 T, IMPACTO DINÂMICO 16,15 / 9,5 T, LARGURA DE TRABALHO 1,68 M - MANUTENÇÃO. AF_06/2014</t>
  </si>
  <si>
    <t>5692</t>
  </si>
  <si>
    <t>MOTOBOMBA CENTRÍFUGA, MOTOR A GASOLINA, POTÊNCIA 5,42 HP, BOCAIS 1 1/2" X 1", DIÂMETRO ROTOR 143 MM HM/Q = 6 MCA / 16,8 M3/H A 38 MCA / 6,6 M3/H - MANUTENÇÃO. AF_06/2014</t>
  </si>
  <si>
    <t>5693</t>
  </si>
  <si>
    <t>MOTOBOMBA CENTRÍFUGA, MOTOR A GASOLINA, POTÊNCIA 5,42 HP, BOCAIS 1 1/2" X 1", DIÂMETRO ROTOR 143 MM HM/Q = 6 MCA / 16,8 M3/H A 38 MCA / 6,6 M3/H - MATERIAIS NA OPERAÇÃO. AF_06/2014</t>
  </si>
  <si>
    <t>5695</t>
  </si>
  <si>
    <t>CAMINHÃO BASCULANTE 6 M3, PESO BRUTO TOTAL 16.000 KG, CARGA ÚTIL MÁXIMA 13.071 KG, DISTÂNCIA ENTRE EIXOS 4,80 M, POTÊNCIA 230 CV INCLUSIVE CAÇAMBA METÁLICA - MANUTENÇÃO. AF_06/2014</t>
  </si>
  <si>
    <t>5703</t>
  </si>
  <si>
    <t>USINA DE CONCRETO FIXA, CAPACIDADE NOMINAL DE 90 A 120 M3/H, SEM SILO - MATERIAIS NA OPERAÇÃO. AF_07/2016</t>
  </si>
  <si>
    <t>5705</t>
  </si>
  <si>
    <t>CAMINHÃO TOCO, PBT 16.000 KG, CARGA ÚTIL MÁX. 10.685 KG, DIST. ENTRE EIXOS 4,8 M, POTÊNCIA 189 CV, INCLUSIVE CARROCERIA FIXA ABERTA DE MADEIRA P/ TRANSPORTE GERAL DE CARGA SECA, DIMEN. APROX. 2,5 X 7,00 X 0,50 M - MANUTENÇÃO. AF_06/2014</t>
  </si>
  <si>
    <t>5707</t>
  </si>
  <si>
    <t>USINA MISTURADORA DE SOLOS, CAPACIDADE DE 200 A 500 TON/H, POTENCIA 75KW - MANUTENÇÃO. AF_07/2016</t>
  </si>
  <si>
    <t>5710</t>
  </si>
  <si>
    <t>VIBROACABADORA DE ASFALTO SOBRE ESTEIRAS, LARGURA DE PAVIMENTAÇÃO 1,90 M A 5,30 M, POTÊNCIA 105 HP CAPACIDADE 450 T/H - MANUTENÇÃO. AF_11/2014</t>
  </si>
  <si>
    <t>5711</t>
  </si>
  <si>
    <t>VIBROACABADORA DE ASFALTO SOBRE ESTEIRAS, LARGURA DE PAVIMENTAÇÃO 1,90 M A 5,30 M, POTÊNCIA 105 HP CAPACIDADE 450 T/H - MATERIAIS NA OPERAÇÃO. AF_11/2014</t>
  </si>
  <si>
    <t>5714</t>
  </si>
  <si>
    <t>TRATOR DE PNEUS, POTÊNCIA 85 CV, TRAÇÃO 4X4, PESO COM LASTRO DE 4.675 KG - MANUTENÇÃO. AF_06/2014</t>
  </si>
  <si>
    <t>5715</t>
  </si>
  <si>
    <t>TRATOR DE PNEUS, POTÊNCIA 85 CV, TRAÇÃO 4X4, PESO COM LASTRO DE 4.675 KG - MATERIAIS NA OPERAÇÃO. AF_06/2014</t>
  </si>
  <si>
    <t>5718</t>
  </si>
  <si>
    <t>TRATOR DE ESTEIRAS, POTÊNCIA 170 HP, PESO OPERACIONAL 19 T, CAÇAMBA 5,2 M3 - MATERIAIS NA OPERAÇÃO. AF_06/2014</t>
  </si>
  <si>
    <t>5721</t>
  </si>
  <si>
    <t>TRATOR DE ESTEIRAS, POTÊNCIA 150 HP, PESO OPERACIONAL 16,7 T, COM RODA MOTRIZ ELEVADA E LÂMINA 3,18 M3 - MATERIAIS NA OPERAÇÃO. AF_06/2014</t>
  </si>
  <si>
    <t>5722</t>
  </si>
  <si>
    <t>TRATOR DE ESTEIRAS, POTÊNCIA 347 HP, PESO OPERACIONAL 38,5 T, COM LÂMINA 8,70 M3 - MATERIAIS NA OPERAÇÃO. AF_06/2014</t>
  </si>
  <si>
    <t>5724</t>
  </si>
  <si>
    <t>TRATOR DE ESTEIRAS, POTÊNCIA 100 HP, PESO OPERACIONAL 9,4 T, COM LÂMINA 2,19 M3 - MANUTENÇÃO. AF_06/2014</t>
  </si>
  <si>
    <t>5727</t>
  </si>
  <si>
    <t>ROLO COMPACTADOR VIBRATÓRIO REBOCÁVEL, CILINDRO DE AÇO LISO, POTÊNCIA DE TRAÇÃO DE 65 CV, PESO 4,7 T, IMPACTO DINÂMICO 18,3 T, LARGURA DE TRABALHO 1,67 M - MANUTENÇÃO. AF_02/2016</t>
  </si>
  <si>
    <t>5729</t>
  </si>
  <si>
    <t>ROLO COMPACTADOR VIBRATÓRIO TANDEM AÇO LISO, POTÊNCIA 58 HP, PESO SEM/COM LASTRO 6,5 / 9,4 T, LARGURA DE TRABALHO 1,2 M - MANUTENÇÃO. AF_06/2014</t>
  </si>
  <si>
    <t>5730</t>
  </si>
  <si>
    <t>ROLO COMPACTADOR VIBRATÓRIO TANDEM AÇO LISO, POTÊNCIA 58 HP, PESO SEM/COM LASTRO 6,5 / 9,4 T, LARGURA DE TRABALHO 1,2 M - MATERIAIS NA OPERAÇÃO. AF_06/2014</t>
  </si>
  <si>
    <t>5735</t>
  </si>
  <si>
    <t>RETROESCAVADEIRA SOBRE RODAS COM CARREGADEIRA, TRAÇÃO 4X4, POTÊNCIA LÍQ. 72 HP, CAÇAMBA CARREG. CAP. MÍN. 0,79 M3, CAÇAMBA RETRO CAP. 0,18 M3, PESO OPERACIONAL MÍN. 7.140 KG, PROFUNDIDADE ESCAVAÇÃO MÁX. 4,50 M - MANUTENÇÃO. AF_06/2014</t>
  </si>
  <si>
    <t>5736</t>
  </si>
  <si>
    <t>RETROESCAVADEIRA SOBRE RODAS COM CARREGADEIRA, TRAÇÃO 4X4, POTÊNCIA LÍQ. 72 HP, CAÇAMBA CARREG. CAP. MÍN. 0,79 M3, CAÇAMBA RETRO CAP. 0,18 M3, PESO OPERACIONAL MÍN. 7.140 KG, PROFUNDIDADE ESCAVAÇÃO MÁX. 4,50 M - MATERIAIS NA OPERAÇÃO. AF_06/2014</t>
  </si>
  <si>
    <t>5738</t>
  </si>
  <si>
    <t>ROLO COMPACTADOR VIBRATÓRIO PÉ DE CARNEIRO, OPERADO POR CONTROLE REMOTO, POTÊNCIA 12,5 KW, PESO OPERACIONAL 1,675 T, LARGURA DE TRABALHO 0,85 M - DEPRECIAÇÃO. AF_02/2016</t>
  </si>
  <si>
    <t>5739</t>
  </si>
  <si>
    <t>ROLO COMPACTADOR VIBRATÓRIO PÉ DE CARNEIRO, OPERADO POR CONTROLE REMOTO, POTÊNCIA 12,5 KW, PESO OPERACIONAL 1,675 T, LARGURA DE TRABALHO 0,85 M - MANUTENÇÃO. AF_02/2016</t>
  </si>
  <si>
    <t>5741</t>
  </si>
  <si>
    <t>USINA DE LAMA ASFÁLTICA, PROD 30 A 50 T/H, SILO DE AGREGADO 7 M3, RESERVATÓRIOS PARA EMULSÃO E ÁGUA DE 2,3 M3 CADA, MISTURADOR TIPO PUG MILL A SER MONTADO SOBRE CAMINHÃO - MANUTENÇÃO. AF_10/2014</t>
  </si>
  <si>
    <t>5742</t>
  </si>
  <si>
    <t>USINA DE LAMA ASFÁLTICA, PROD 30 A 50 T/H, SILO DE AGREGADO 7 M3, RESERVATÓRIOS PARA EMULSÃO E ÁGUA DE 2,3 M3 CADA, MISTURADOR TIPO PUG MILL A SER MONTADO SOBRE CAMINHÃO - MATERIAIS NA OPERAÇÃO. AF_10/2014</t>
  </si>
  <si>
    <t>5747</t>
  </si>
  <si>
    <t>CAMINHÃO PIPA 6.000 L, PESO BRUTO TOTAL 13.000 KG, DISTÂNCIA ENTRE EIXOS 4,80 M, POTÊNCIA 189 CV INCLUSIVE TANQUE DE AÇO PARA TRANSPORTE DE ÁGUA, CAPACIDADE 6 M3 - MATERIAIS NA OPERAÇÃO. AF_06/2014</t>
  </si>
  <si>
    <t>5751</t>
  </si>
  <si>
    <t>CAMINHÃO TOCO, PESO BRUTO TOTAL 14.300 KG, CARGA ÚTIL MÁXIMA 9590 KG, DISTÂNCIA ENTRE EIXOS 4,76 M, POTÊNCIA 185 CV (NÃO INCLUI CARROCERIA) - MANUTENÇÃO. AF_06/2014</t>
  </si>
  <si>
    <t>5754</t>
  </si>
  <si>
    <t>CAMINHÃO TOCO, PESO BRUTO TOTAL 16.000 KG, CARGA ÚTIL MÁXIMA DE 10.685 KG, DISTÂNCIA ENTRE EIXOS 4,80 M, POTÊNCIA 189 CV EXCLUSIVE CARROCERIA - MANUTENÇÃO. AF_06/2014</t>
  </si>
  <si>
    <t>5763</t>
  </si>
  <si>
    <t>CAMINHÃO PIPA 10.000 L TRUCADO, PESO BRUTO TOTAL 23.000 KG, CARGA ÚTIL MÁXIMA 15.935 KG, DISTÂNCIA ENTRE EIXOS 4,8 M, POTÊNCIA 230 CV, INCLUSIVE TANQUE DE AÇO PARA TRANSPORTE DE ÁGUA - MANUTENÇÃO. AF_06/2014</t>
  </si>
  <si>
    <t>5765</t>
  </si>
  <si>
    <t>ESPARGIDOR DE ASFALTO PRESSURIZADO COM TANQUE DE 2500 L, REBOCÁVEL COM MOTOR A GASOLINA POTÊNCIA 3,4 HP - MANUTENÇÃO. AF_07/2014</t>
  </si>
  <si>
    <t>1,92</t>
  </si>
  <si>
    <t>5766</t>
  </si>
  <si>
    <t>ESPARGIDOR DE ASFALTO PRESSURIZADO COM TANQUE DE 2500 L, REBOCÁVEL COM MOTOR A GASOLINA POTÊNCIA 3,4 HP - MATERIAIS NA OPERAÇÃO. AF_07/2014</t>
  </si>
  <si>
    <t>5779</t>
  </si>
  <si>
    <t>MOTONIVELADORA POTÊNCIA BÁSICA LÍQUIDA (PRIMEIRA MARCHA) 125 HP, PESO BRUTO 13032 KG, LARGURA DA LÂMINA DE 3,7 M - MANUTENÇÃO. AF_06/2014</t>
  </si>
  <si>
    <t>5787</t>
  </si>
  <si>
    <t>PÁ CARREGADEIRA SOBRE RODAS, POTÊNCIA 197 HP, CAPACIDADE DA CAÇAMBA 2,5 A 3,5 M3, PESO OPERACIONAL 18338 KG - MATERIAIS NA OPERAÇÃO. AF_06/2014</t>
  </si>
  <si>
    <t>5797</t>
  </si>
  <si>
    <t>COMPRESSOR DE AR REBOCÁVEL, VAZÃO 189 PCM, PRESSÃO EFETIVA DE TRABALHO 102 PSI, MOTOR DIESEL, POTÊNCIA 63 CV - MANUTENÇÃO. AF_06/2015</t>
  </si>
  <si>
    <t>5800</t>
  </si>
  <si>
    <t>BOMBA SUBMERSÍVEL ELÉTRICA TRIFÁSICA, POTÊNCIA 2,96 HP, Ø ROTOR 144 MM SEMI-ABERTO, BOCAL DE SAÍDA Ø 2, HM/Q = 2 MCA / 38,8 M3/H A 28 MCA / 5 M3/H - MANUTENÇÃO. AF_06/2014</t>
  </si>
  <si>
    <t>0,29</t>
  </si>
  <si>
    <t>7032</t>
  </si>
  <si>
    <t>7033</t>
  </si>
  <si>
    <t>7034</t>
  </si>
  <si>
    <t>7035</t>
  </si>
  <si>
    <t>7038</t>
  </si>
  <si>
    <t>ROLO COMPACTADOR DE PNEUS ESTÁTICO, PRESSÃO VARIÁVEL, POTÊNCIA 111 HP, PESO SEM/COM LASTRO 9,5 / 26 T, LARGURA DE TRABALHO 1,90 M - DEPRECIAÇÃO. AF_07/2014</t>
  </si>
  <si>
    <t>7039</t>
  </si>
  <si>
    <t>ROLO COMPACTADOR DE PNEUS ESTÁTICO, PRESSÃO VARIÁVEL, POTÊNCIA 111 HP, PESO SEM/COM LASTRO 9,5 / 26 T, LARGURA DE TRABALHO 1,90 M - JUROS. AF_07/2014</t>
  </si>
  <si>
    <t>7040</t>
  </si>
  <si>
    <t>ROLO COMPACTADOR DE PNEUS ESTÁTICO, PRESSÃO VARIÁVEL, POTÊNCIA 111 HP, PESO SEM/COM LASTRO 9,5 / 26 T, LARGURA DE TRABALHO 1,90 M - MANUTENÇÃO. AF_07/2014</t>
  </si>
  <si>
    <t>7044</t>
  </si>
  <si>
    <t>MOTOBOMBA TRASH (PARA ÁGUA SUJA) AUTO ESCORVANTE, MOTOR GASOLINA DE 6,41 HP, DIÂMETROS DE SUCÇÃO X RECALQUE: 3" X 3", HM/Q = 10 MCA / 60 M3/H A 23 MCA / 0 M3/H - DEPRECIAÇÃO. AF_10/2014</t>
  </si>
  <si>
    <t>0,17</t>
  </si>
  <si>
    <t>7045</t>
  </si>
  <si>
    <t>MOTOBOMBA TRASH (PARA ÁGUA SUJA) AUTO ESCORVANTE, MOTOR GASOLINA DE 6,41 HP, DIÂMETROS DE SUCÇÃO X RECALQUE: 3" X 3", HM/Q = 10 MCA / 60 M3/H A 23 MCA / 0 M3/H - JUROS. AF_10/2014</t>
  </si>
  <si>
    <t>0,02</t>
  </si>
  <si>
    <t>7046</t>
  </si>
  <si>
    <t>MOTOBOMBA TRASH (PARA ÁGUA SUJA) AUTO ESCORVANTE, MOTOR GASOLINA DE 6,41 HP, DIÂMETROS DE SUCÇÃO X RECALQUE: 3" X 3", HM/Q = 10 MCA / 60 M3/H A 23 MCA / 0 M3/H - MANUTENÇÃO. AF_10/2014</t>
  </si>
  <si>
    <t>7047</t>
  </si>
  <si>
    <t>MOTOBOMBA TRASH (PARA ÁGUA SUJA) AUTO ESCORVANTE, MOTOR GASOLINA DE 6,41 HP, DIÂMETROS DE SUCÇÃO X RECALQUE: 3" X 3", HM/Q = 10 MCA / 60 M3/H A 23 MCA / 0 M3/H - MATERIAIS NA OPERAÇÃO. AF_10/2014</t>
  </si>
  <si>
    <t>7051</t>
  </si>
  <si>
    <t>ROLO COMPACTADOR PE DE CARNEIRO VIBRATORIO, POTENCIA 125 HP, PESO OPERACIONAL SEM/COM LASTRO 11,95 / 13,30 T, IMPACTO DINAMICO 38,5 / 22,5 T, LARGURA DE TRABALHO 2,15 M - DEPRECIAÇÃO. AF_06/2014</t>
  </si>
  <si>
    <t>7052</t>
  </si>
  <si>
    <t>ROLO COMPACTADOR PE DE CARNEIRO VIBRATORIO, POTENCIA 125 HP, PESO OPERACIONAL SEM/COM LASTRO 11,95 / 13,30 T, IMPACTO DINAMICO 38,5 / 22,5 T, LARGURA DE TRABALHO 2,15 M - JUROS. AF_06/2014</t>
  </si>
  <si>
    <t>3,04</t>
  </si>
  <si>
    <t>7053</t>
  </si>
  <si>
    <t>ROLO COMPACTADOR PE DE CARNEIRO VIBRATORIO, POTENCIA 125 HP, PESO OPERACIONAL SEM/COM LASTRO 11,95 / 13,30 T, IMPACTO DINAMICO 38,5 / 22,5 T, LARGURA DE TRABALHO 2,15 M - MANUTENÇÃO. AF_06/2014</t>
  </si>
  <si>
    <t>7054</t>
  </si>
  <si>
    <t>ROLO COMPACTADOR PE DE CARNEIRO VIBRATORIO, POTENCIA 125 HP, PESO OPERACIONAL SEM/COM LASTRO 11,95 / 13,30 T, IMPACTO DINAMICO 38,5 / 22,5 T, LARGURA DE TRABALHO 2,15 M - MATERIAIS NA OPERAÇÃO. AF_06/2014</t>
  </si>
  <si>
    <t>7058</t>
  </si>
  <si>
    <t>CAMINHÃO BASCULANTE 6 M3 TOCO, PESO BRUTO TOTAL 16.000 KG, CARGA ÚTIL MÁXIMA 11.130 KG, DISTÂNCIA ENTRE EIXOS 5,36 M, POTÊNCIA 185 CV, INCLUSIVE CAÇAMBA METÁLICA - DEPRECIAÇÃO. AF_06/2014</t>
  </si>
  <si>
    <t>7059</t>
  </si>
  <si>
    <t>CAMINHÃO BASCULANTE 6 M3 TOCO, PESO BRUTO TOTAL 16.000 KG, CARGA ÚTIL MÁXIMA 11.130 KG, DISTÂNCIA ENTRE EIXOS 5,36 M, POTÊNCIA 185 CV, INCLUSIVE CAÇAMBA METÁLICA - JUROS. AF_06/2014</t>
  </si>
  <si>
    <t>7060</t>
  </si>
  <si>
    <t>CAMINHÃO BASCULANTE 6 M3 TOCO, PESO BRUTO TOTAL 16.000 KG, CARGA ÚTIL MÁXIMA 11.130 KG, DISTÂNCIA ENTRE EIXOS 5,36 M, POTÊNCIA 185 CV, INCLUSIVE CAÇAMBA METÁLICA - MANUTENÇÃO. AF_06/2014</t>
  </si>
  <si>
    <t>7061</t>
  </si>
  <si>
    <t>CAMINHÃO BASCULANTE 6 M3 TOCO, PESO BRUTO TOTAL 16.000 KG, CARGA ÚTIL MÁXIMA 11.130 KG, DISTÂNCIA ENTRE EIXOS 5,36 M, POTÊNCIA 185 CV, INCLUSIVE CAÇAMBA METÁLICA - MATERIAIS NA OPERAÇÃO. AF_06/2014</t>
  </si>
  <si>
    <t>7063</t>
  </si>
  <si>
    <t>TRATOR DE PNEUS, POTÊNCIA 122 CV, TRAÇÃO 4X4, PESO COM LASTRO DE 4.510 KG - DEPRECIAÇÃO. AF_06/2014</t>
  </si>
  <si>
    <t>7064</t>
  </si>
  <si>
    <t>TRATOR DE PNEUS, POTÊNCIA 122 CV, TRAÇÃO 4X4, PESO COM LASTRO DE 4.510 KG - JUROS. AF_06/2014</t>
  </si>
  <si>
    <t>1,42</t>
  </si>
  <si>
    <t>7065</t>
  </si>
  <si>
    <t>TRATOR DE PNEUS, POTÊNCIA 122 CV, TRAÇÃO 4X4, PESO COM LASTRO DE 4.510 KG - MANUTENÇÃO. AF_06/2014</t>
  </si>
  <si>
    <t>7066</t>
  </si>
  <si>
    <t>TRATOR DE PNEUS, POTÊNCIA 122 CV, TRAÇÃO 4X4, PESO COM LASTRO DE 4.510 KG - MATERIAIS NA OPERAÇÃO. AF_06/2014</t>
  </si>
  <si>
    <t>53786</t>
  </si>
  <si>
    <t>RETROESCAVADEIRA SOBRE RODAS COM CARREGADEIRA, TRAÇÃO 4X4, POTÊNCIA LÍQ. 88 HP, CAÇAMBA CARREG. CAP. MÍN. 1 M3, CAÇAMBA RETRO CAP. 0,26 M3, PESO OPERACIONAL MÍN. 6.674 KG, PROFUNDIDADE ESCAVAÇÃO MÁX. 4,37 M - MATERIAIS NA OPERAÇÃO. AF_06/2014</t>
  </si>
  <si>
    <t>53788</t>
  </si>
  <si>
    <t>ROLO COMPACTADOR VIBRATÓRIO DE UM CILINDRO AÇO LISO, POTÊNCIA 80 HP, PESO OPERACIONAL MÁXIMO 8,1 T, IMPACTO DINÂMICO 16,15 / 9,5 T, LARGURA DE TRABALHO 1,68 M - MATERIAIS NA OPERAÇÃO. AF_06/2014</t>
  </si>
  <si>
    <t>53792</t>
  </si>
  <si>
    <t>CAMINHÃO BASCULANTE 6 M3, PESO BRUTO TOTAL 16.000 KG, CARGA ÚTIL MÁXIMA 13.071 KG, DISTÂNCIA ENTRE EIXOS 4,80 M, POTÊNCIA 230 CV INCLUSIVE CAÇAMBA METÁLICA - MATERIAIS NA OPERAÇÃO. AF_06/2014</t>
  </si>
  <si>
    <t>53794</t>
  </si>
  <si>
    <t>USINA DE CONCRETO FIXA, CAPACIDADE NOMINAL DE 90 A 120 M3/H, SEM SILO - MANUTENÇÃO. AF_07/2016</t>
  </si>
  <si>
    <t>35,00</t>
  </si>
  <si>
    <t>53797</t>
  </si>
  <si>
    <t>CAMINHÃO TOCO, PBT 16.000 KG, CARGA ÚTIL MÁX. 10.685 KG, DIST. ENTRE EIXOS 4,8 M, POTÊNCIA 189 CV, INCLUSIVE CARROCERIA FIXA ABERTA DE MADEIRA P/ TRANSPORTE GERAL DE CARGA SECA, DIMEN. APROX. 2,5 X 7,00 X 0,50 M - MATERIAIS NA OPERAÇÃO. AF_06/2014</t>
  </si>
  <si>
    <t>53804</t>
  </si>
  <si>
    <t>VASSOURA MECÂNICA REBOCÁVEL COM ESCOVA CILÍNDRICA, LARGURA ÚTIL DE VARRIMENTO DE 2,44 M - MANUTENÇÃO. AF_06/2014</t>
  </si>
  <si>
    <t>53806</t>
  </si>
  <si>
    <t>TRATOR DE ESTEIRAS, POTÊNCIA 170 HP, PESO OPERACIONAL 19 T, CAÇAMBA 5,2 M3 - MANUTENÇÃO. AF_06/2014</t>
  </si>
  <si>
    <t>53810</t>
  </si>
  <si>
    <t>TRATOR DE ESTEIRAS, POTÊNCIA 150 HP, PESO OPERACIONAL 16,7 T, COM RODA MOTRIZ ELEVADA E LÂMINA 3,18 M3 - MANUTENÇÃO. AF_06/2014</t>
  </si>
  <si>
    <t>53814</t>
  </si>
  <si>
    <t>TRATOR DE ESTEIRAS, POTÊNCIA 347 HP, PESO OPERACIONAL 38,5 T, COM LÂMINA 8,70 M3 - MANUTENÇÃO. AF_06/2014</t>
  </si>
  <si>
    <t>53817</t>
  </si>
  <si>
    <t>TRATOR DE ESTEIRAS, POTÊNCIA 100 HP, PESO OPERACIONAL 9,4 T, COM LÂMINA 2,19 M3 - MATERIAIS NA OPERAÇÃO. AF_06/2014</t>
  </si>
  <si>
    <t>53818</t>
  </si>
  <si>
    <t>ROLO COMPACTADOR VIBRATÓRIO REBOCÁVEL, CILINDRO DE AÇO LISO, POTÊNCIA DE TRAÇÃO DE 65 CV, PESO 4,7 T, IMPACTO DINÂMICO 18,3 T, LARGURA DE TRABALHO 1,67 M - DEPRECIAÇÃO. AF_02/2016</t>
  </si>
  <si>
    <t>53827</t>
  </si>
  <si>
    <t>CAMINHÃO TOCO, PESO BRUTO TOTAL 14.300 KG, CARGA ÚTIL MÁXIMA 9590 KG, DISTÂNCIA ENTRE EIXOS 4,76 M, POTÊNCIA 185 CV (NÃO INCLUI CARROCERIA) - MATERIAIS NA OPERAÇÃO. AF_06/2014</t>
  </si>
  <si>
    <t>53829</t>
  </si>
  <si>
    <t>CAMINHÃO TOCO, PESO BRUTO TOTAL 16.000 KG, CARGA ÚTIL MÁXIMA DE 10.685 KG, DISTÂNCIA ENTRE EIXOS 4,80 M, POTÊNCIA 189 CV EXCLUSIVE CARROCERIA - MATERIAIS NA OPERAÇÃO. AF_06/2014</t>
  </si>
  <si>
    <t>53831</t>
  </si>
  <si>
    <t>CAMINHÃO PIPA 10.000 L TRUCADO, PESO BRUTO TOTAL 23.000 KG, CARGA ÚTIL MÁXIMA 15.935 KG, DISTÂNCIA ENTRE EIXOS 4,8 M, POTÊNCIA 230 CV, INCLUSIVE TANQUE DE AÇO PARA TRANSPORTE DE ÁGUA - MATERIAIS NA OPERAÇÃO. AF_06/2014</t>
  </si>
  <si>
    <t>53840</t>
  </si>
  <si>
    <t>GRADE DE DISCO REBOCÁVEL COM 20 DISCOS 24" X 6 MM COM PNEUS PARA TRANSPORTE - DEPRECIAÇÃO. AF_06/2014</t>
  </si>
  <si>
    <t>53841</t>
  </si>
  <si>
    <t>GRADE DE DISCO REBOCÁVEL COM 20 DISCOS 24" X 6 MM COM PNEUS PARA TRANSPORTE - MANUTENÇÃO. AF_06/2014</t>
  </si>
  <si>
    <t>0,94</t>
  </si>
  <si>
    <t>53849</t>
  </si>
  <si>
    <t>MOTONIVELADORA POTÊNCIA BÁSICA LÍQUIDA (PRIMEIRA MARCHA) 125 HP, PESO BRUTO 13032 KG, LARGURA DA LÂMINA DE 3,7 M - MATERIAIS NA OPERAÇÃO. AF_06/2014</t>
  </si>
  <si>
    <t>53857</t>
  </si>
  <si>
    <t>PÁ CARREGADEIRA SOBRE RODAS, POTÊNCIA LÍQUIDA 128 HP, CAPACIDADE DA CAÇAMBA 1,7 A 2,8 M3, PESO OPERACIONAL 11632 KG - MANUTENÇÃO. AF_06/2014</t>
  </si>
  <si>
    <t>53858</t>
  </si>
  <si>
    <t>PÁ CARREGADEIRA SOBRE RODAS, POTÊNCIA LÍQUIDA 128 HP, CAPACIDADE DA CAÇAMBA 1,7 A 2,8 M3, PESO OPERACIONAL 11632 KG - MATERIAIS NA OPERAÇÃO. AF_06/2014</t>
  </si>
  <si>
    <t>53861</t>
  </si>
  <si>
    <t>PÁ CARREGADEIRA SOBRE RODAS, POTÊNCIA 197 HP, CAPACIDADE DA CAÇAMBA 2,5 A 3,5 M3, PESO OPERACIONAL 18338 KG - MANUTENÇÃO. AF_06/2014</t>
  </si>
  <si>
    <t>53863</t>
  </si>
  <si>
    <t>MARTELETE OU ROMPEDOR PNEUMÁTICO MANUAL, 28 KG, COM SILENCIADOR - MANUTENÇÃO. AF_07/2016</t>
  </si>
  <si>
    <t>53865</t>
  </si>
  <si>
    <t>COMPRESSOR DE AR REBOCÁVEL, VAZÃO 189 PCM, PRESSÃO EFETIVA DE TRABALHO 102 PSI, MOTOR DIESEL, POTÊNCIA 63 CV - MATERIAIS NA OPERAÇÃO. AF_06/2015</t>
  </si>
  <si>
    <t>53866</t>
  </si>
  <si>
    <t>BOMBA SUBMERSÍVEL ELÉTRICA TRIFÁSICA, POTÊNCIA 2,96 HP, Ø ROTOR 144 MM SEMI-ABERTO, BOCAL DE SAÍDA Ø 2, HM/Q = 2 MCA / 38,8 M3/H A 28 MCA / 5 M3/H - MATERIAIS NA OPERAÇÃO. AF_06/2014</t>
  </si>
  <si>
    <t>1,14</t>
  </si>
  <si>
    <t>53882</t>
  </si>
  <si>
    <t>CAMINHÃO PIPA 6.000 L, PESO BRUTO TOTAL 13.000 KG, DISTÂNCIA ENTRE EIXOS 4,80 M, POTÊNCIA 189 CV INCLUSIVE TANQUE DE AÇO PARA TRANSPORTE DE ÁGUA, CAPACIDADE 6 M3 - MANUTENÇÃO. AF_06/2014</t>
  </si>
  <si>
    <t>55263</t>
  </si>
  <si>
    <t>ROLO COMPACTADOR DE PNEUS ESTÁTICO, PRESSÃO VARIÁVEL, POTÊNCIA 111 HP, PESO SEM/COM LASTRO 9,5 / 26 T, LARGURA DE TRABALHO 1,90 M - MATERIAIS NA OPERAÇÃO. AF_07/2014</t>
  </si>
  <si>
    <t>73303</t>
  </si>
  <si>
    <t>GRUPO GERADOR ESTACIONÁRIO, MOTOR DIESEL POTÊNCIA 170 KVA - DEPRECIAÇÃO. AF_02/2016</t>
  </si>
  <si>
    <t>73307</t>
  </si>
  <si>
    <t>GRUPO GERADOR ESTACIONÁRIO, MOTOR DIESEL POTÊNCIA 170 KVA - MANUTENÇÃO. AF_02/2016</t>
  </si>
  <si>
    <t>73309</t>
  </si>
  <si>
    <t>ROLO COMPACTADOR VIBRATÓRIO PÉ DE CARNEIRO PARA SOLOS, POTÊNCIA 80 HP, PESO OPERACIONAL SEM/COM LASTRO 7,4 / 8,8 T, LARGURA DE TRABALHO 1,68 M - DEPRECIAÇÃO. AF_02/2016</t>
  </si>
  <si>
    <t>73311</t>
  </si>
  <si>
    <t>GRUPO GERADOR ESTACIONÁRIO, MOTOR DIESEL POTÊNCIA 170 KVA - MATERIAIS NA OPERAÇÃO. AF_02/2016</t>
  </si>
  <si>
    <t>73313</t>
  </si>
  <si>
    <t>ROLO COMPACTADOR VIBRATÓRIO PÉ DE CARNEIRO PARA SOLOS, POTÊNCIA 80 HP, PESO OPERACIONAL SEM/COM LASTRO 7,4 / 8,8 T, LARGURA DE TRABALHO 1,68 M - JUROS. AF_02/2016</t>
  </si>
  <si>
    <t>73315</t>
  </si>
  <si>
    <t>ROLO COMPACTADOR VIBRATÓRIO PÉ DE CARNEIRO PARA SOLOS, POTÊNCIA 80 HP, PESO OPERACIONAL SEM/COM LASTRO 7,4 / 8,8 T, LARGURA DE TRABALHO 1,68 M - MATERIAIS NA OPERAÇÃO. AF_02/2016</t>
  </si>
  <si>
    <t>73335</t>
  </si>
  <si>
    <t>CAMINHÃO TOCO, PBT 14.300 KG, CARGA ÚTIL MÁX. 9.710 KG, DIST. ENTRE EIXOS 3,56 M, POTÊNCIA 185 CV, INCLUSIVE CARROCERIA FIXA ABERTA DE MADEIRA P/ TRANSPORTE GERAL DE CARGA SECA, DIMEN. APROX. 2,50 X 6,50 X 0,50 M - MANUTENÇÃO. AF_06/2014</t>
  </si>
  <si>
    <t>73340</t>
  </si>
  <si>
    <t>CAMINHÃO TOCO, PBT 14.300 KG, CARGA ÚTIL MÁX. 9.710 KG, DIST. ENTRE EIXOS 3,56 M, POTÊNCIA 185 CV, INCLUSIVE CARROCERIA FIXA ABERTA DE MADEIRA P/ TRANSPORTE GERAL DE CARGA SECA, DIMEN. APROX. 2,50 X 6,50 X 0,50 M - MATERIAIS NA OPERAÇÃO. AF_06/2014</t>
  </si>
  <si>
    <t>83361</t>
  </si>
  <si>
    <t>ESPARGIDOR DE ASFALTO PRESSURIZADO, TANQUE 6 M3 COM ISOLAÇÃO TÉRMICA, AQUECIDO COM 2 MAÇARICOS, COM BARRA ESPARGIDORA 3,60 M, MONTADO SOBRE CAMINHÃO  TOCO, PBT 14.300 KG, POTÊNCIA 185 CV - MANUTENÇÃO. AF_08/2015</t>
  </si>
  <si>
    <t>83761</t>
  </si>
  <si>
    <t>GRUPO DE SOLDAGEM COM GERADOR A DIESEL 60 CV PARA SOLDA ELÉTRICA, SOBRE 04 RODAS, COM MOTOR 4 CILINDROS 600 A - DEPRECIAÇÃO. AF_02/2016</t>
  </si>
  <si>
    <t>83762</t>
  </si>
  <si>
    <t>GRUPO DE SOLDAGEM COM GERADOR A DIESEL 60 CV PARA SOLDA ELÉTRICA, SOBRE 04 RODAS, COM MOTOR 4 CILINDROS 600 A - MANUTENÇÃO. AF_02/2016</t>
  </si>
  <si>
    <t>83763</t>
  </si>
  <si>
    <t>GRUPO DE SOLDAGEM COM GERADOR A DIESEL 60 CV PARA SOLDA ELÉTRICA, SOBRE 04 RODAS, COM MOTOR 4 CILINDROS 600 A - MATERIAIS NA OPERAÇÃO. AF_02/2016</t>
  </si>
  <si>
    <t>83764</t>
  </si>
  <si>
    <t>GRUPO DE SOLDAGEM COM GERADOR A DIESEL 60 CV PARA SOLDA ELÉTRICA, SOBRE 04 RODAS, COM MOTOR 4 CILINDROS 600 A - JUROS. AF_02/2016</t>
  </si>
  <si>
    <t>1,05</t>
  </si>
  <si>
    <t>87026</t>
  </si>
  <si>
    <t>GRADE DE DISCO REBOCÁVEL COM 20 DISCOS 24" X 6 MM COM PNEUS PARA TRANSPORTE - JUROS. AF_06/2014</t>
  </si>
  <si>
    <t>87441</t>
  </si>
  <si>
    <t>87442</t>
  </si>
  <si>
    <t>0,03</t>
  </si>
  <si>
    <t>87443</t>
  </si>
  <si>
    <t>0,31</t>
  </si>
  <si>
    <t>87444</t>
  </si>
  <si>
    <t>88387</t>
  </si>
  <si>
    <t>0,64</t>
  </si>
  <si>
    <t>88389</t>
  </si>
  <si>
    <t>0,07</t>
  </si>
  <si>
    <t>88390</t>
  </si>
  <si>
    <t>0,80</t>
  </si>
  <si>
    <t>88391</t>
  </si>
  <si>
    <t>88394</t>
  </si>
  <si>
    <t>0,76</t>
  </si>
  <si>
    <t>88395</t>
  </si>
  <si>
    <t>0,09</t>
  </si>
  <si>
    <t>88396</t>
  </si>
  <si>
    <t>88397</t>
  </si>
  <si>
    <t>88400</t>
  </si>
  <si>
    <t>88401</t>
  </si>
  <si>
    <t>88402</t>
  </si>
  <si>
    <t>88403</t>
  </si>
  <si>
    <t>1,12</t>
  </si>
  <si>
    <t>88419</t>
  </si>
  <si>
    <t>PROJETOR DE ARGAMASSA, CAPACIDADE DE PROJEÇÃO 1,5 M3/H, ALCANCE DE 30 ATÉ 60 M, MOTOR ELÉTRICO POTÊNCIA 7,5 HP - DEPRECIAÇÃO. AF_06/2014</t>
  </si>
  <si>
    <t>88422</t>
  </si>
  <si>
    <t>PROJETOR DE ARGAMASSA, CAPACIDADE DE PROJEÇÃO 1,5 M3/H, ALCANCE DE 30 ATÉ 60 M, MOTOR ELÉTRICO POTÊNCIA 7,5 HP - JUROS. AF_06/2014</t>
  </si>
  <si>
    <t>0,47</t>
  </si>
  <si>
    <t>88425</t>
  </si>
  <si>
    <t>PROJETOR DE ARGAMASSA, CAPACIDADE DE PROJEÇÃO 1,5 M3/H, ALCANCE DE 30 ATÉ 60 M, MOTOR ELÉTRICO POTÊNCIA 7,5 HP - MANUTENÇÃO. AF_06/2014</t>
  </si>
  <si>
    <t>88427</t>
  </si>
  <si>
    <t>PROJETOR DE ARGAMASSA, CAPACIDADE DE PROJEÇÃO 1,5 M3/H, ALCANCE DE 30 ATÉ 60 M, MOTOR ELÉTRICO POTÊNCIA 7,5 HP - MATERIAIS NA OPERAÇÃO. AF_06/2014</t>
  </si>
  <si>
    <t>2,85</t>
  </si>
  <si>
    <t>88434</t>
  </si>
  <si>
    <t>PROJETOR DE ARGAMASSA, CAPACIDADE DE PROJEÇÃO 2 M3/H, ALCANCE ATÉ 50 M, MOTOR ELÉTRICO POTÊNCIA 7,5 HP - DEPRECIAÇÃO. AF_06/2014</t>
  </si>
  <si>
    <t>88435</t>
  </si>
  <si>
    <t>PROJETOR DE ARGAMASSA, CAPACIDADE DE PROJEÇÃO 2 M3/H, ALCANCE ATÉ 50 M, MOTOR ELÉTRICO POTÊNCIA 7,5 HP - JUROS. AF_06/2014</t>
  </si>
  <si>
    <t>0,62</t>
  </si>
  <si>
    <t>88436</t>
  </si>
  <si>
    <t>PROJETOR DE ARGAMASSA, CAPACIDADE DE PROJEÇÃO 2 M3/H, ALCANCE ATÉ 50 M, MOTOR ELÉTRICO POTÊNCIA 7,5 HP - MANUTENÇÃO. AF_06/2014</t>
  </si>
  <si>
    <t>88437</t>
  </si>
  <si>
    <t>PROJETOR DE ARGAMASSA, CAPACIDADE DE PROJEÇÃO 2 M3/H, ALCANCE ATÉ 50 M, MOTOR ELÉTRICO POTÊNCIA 7,5 HP - MATERIAIS NA OPERAÇÃO. AF_06/2014</t>
  </si>
  <si>
    <t>88569</t>
  </si>
  <si>
    <t>ESPARGIDOR DE ASFALTO PRESSURIZADO COM TANQUE DE 2500 L, REBOCÁVEL COM MOTOR A GASOLINA POTÊNCIA 3,4 HP - DEPRECIAÇÃO. AF_07/2014</t>
  </si>
  <si>
    <t>88570</t>
  </si>
  <si>
    <t>ESPARGIDOR DE ASFALTO PRESSURIZADO COM TANQUE DE 2500 L, REBOCÁVEL COM MOTOR A GASOLINA POTÊNCIA 3,4 HP - JUROS. AF_07/2014</t>
  </si>
  <si>
    <t>88826</t>
  </si>
  <si>
    <t>88827</t>
  </si>
  <si>
    <t>88828</t>
  </si>
  <si>
    <t>0,22</t>
  </si>
  <si>
    <t>88829</t>
  </si>
  <si>
    <t>88832</t>
  </si>
  <si>
    <t>ESCAVADEIRA HIDRÁULICA SOBRE ESTEIRAS, CAÇAMBA 0,80 M3, PESO OPERACIONAL 17,8 T, POTÊNCIA LÍQUIDA 110 HP - DEPRECIAÇÃO. AF_10/2014</t>
  </si>
  <si>
    <t>88834</t>
  </si>
  <si>
    <t>ESCAVADEIRA HIDRÁULICA SOBRE ESTEIRAS, CAÇAMBA 0,80 M3, PESO OPERACIONAL 17,8 T, POTÊNCIA LÍQUIDA 110 HP - JUROS. AF_10/2014</t>
  </si>
  <si>
    <t>88835</t>
  </si>
  <si>
    <t>ESCAVADEIRA HIDRÁULICA SOBRE ESTEIRAS, CAÇAMBA 0,80 M3, PESO OPERACIONAL 17,8 T, POTÊNCIA LÍQUIDA 110 HP - MANUTENÇÃO. AF_10/2014</t>
  </si>
  <si>
    <t>88836</t>
  </si>
  <si>
    <t>ESCAVADEIRA HIDRÁULICA SOBRE ESTEIRAS, CAÇAMBA 0,80 M3, PESO OPERACIONAL 17,8 T, POTÊNCIA LÍQUIDA 110 HP - MATERIAIS NA OPERAÇÃO. AF_10/2014</t>
  </si>
  <si>
    <t>88839</t>
  </si>
  <si>
    <t>TRATOR DE ESTEIRAS, POTÊNCIA 125 HP, PESO OPERACIONAL 12,9 T, COM LÂMINA 2,7 M3 - DEPRECIAÇÃO. AF_10/2014</t>
  </si>
  <si>
    <t>88840</t>
  </si>
  <si>
    <t>TRATOR DE ESTEIRAS, POTÊNCIA 125 HP, PESO OPERACIONAL 12,9 T, COM LÂMINA 2,7 M3 - JUROS. AF_10/2014</t>
  </si>
  <si>
    <t>88841</t>
  </si>
  <si>
    <t>TRATOR DE ESTEIRAS, POTÊNCIA 125 HP, PESO OPERACIONAL 12,9 T, COM LÂMINA 2,7 M3 - MANUTENÇÃO. AF_10/2014</t>
  </si>
  <si>
    <t>88842</t>
  </si>
  <si>
    <t>TRATOR DE ESTEIRAS, POTÊNCIA 125 HP, PESO OPERACIONAL 12,9 T, COM LÂMINA 2,7 M3 - MATERIAIS NA OPERAÇÃO. AF_10/2014</t>
  </si>
  <si>
    <t>88847</t>
  </si>
  <si>
    <t>USINA DE LAMA ASFÁLTICA, PROD 30 A 50 T/H, SILO DE AGREGADO 7 M3, RESERVATÓRIOS PARA EMULSÃO E ÁGUA DE 2,3 M3 CADA, MISTURADOR TIPO PUG MILL A SER MONTADO SOBRE CAMINHÃO - DEPRECIAÇÃO. AF_10/2014</t>
  </si>
  <si>
    <t>88848</t>
  </si>
  <si>
    <t>USINA DE LAMA ASFÁLTICA, PROD 30 A 50 T/H, SILO DE AGREGADO 7 M3, RESERVATÓRIOS PARA EMULSÃO E ÁGUA DE 2,3 M3 CADA, MISTURADOR TIPO PUG MILL A SER MONTADO SOBRE CAMINHÃO - JUROS. AF_10/2014</t>
  </si>
  <si>
    <t>88853</t>
  </si>
  <si>
    <t>MOTOBOMBA CENTRÍFUGA, MOTOR A GASOLINA, POTÊNCIA 5,42 HP, BOCAIS 1 1/2" X 1", DIÂMETRO ROTOR 143 MM HM/Q = 6 MCA / 16,8 M3/H A 38 MCA / 6,6 M3/H - DEPRECIAÇÃO. AF_06/2014</t>
  </si>
  <si>
    <t>0,14</t>
  </si>
  <si>
    <t>88854</t>
  </si>
  <si>
    <t>MOTOBOMBA CENTRÍFUGA, MOTOR A GASOLINA, POTÊNCIA 5,42 HP, BOCAIS 1 1/2" X 1", DIÂMETRO ROTOR 143 MM HM/Q = 6 MCA / 16,8 M3/H A 38 MCA / 6,6 M3/H - JUROS. AF_06/2014</t>
  </si>
  <si>
    <t>0,01</t>
  </si>
  <si>
    <t>88855</t>
  </si>
  <si>
    <t>GRADE DE DISCO CONTROLE REMOTO REBOCÁVEL, COM 24 DISCOS 24 X 6 MM COM PNEUS PARA TRANSPORTE - DEPRECIAÇÃO. AF_06/2014</t>
  </si>
  <si>
    <t>1,74</t>
  </si>
  <si>
    <t>88856</t>
  </si>
  <si>
    <t>GRADE DE DISCO CONTROLE REMOTO REBOCÁVEL, COM 24 DISCOS 24 X 6 MM COM PNEUS PARA TRANSPORTE - JUROS. AF_06/2014</t>
  </si>
  <si>
    <t>88857</t>
  </si>
  <si>
    <t>RETROESCAVADEIRA SOBRE RODAS COM CARREGADEIRA, TRAÇÃO 4X4, POTÊNCIA LÍQ. 88 HP, CAÇAMBA CARREG. CAP. MÍN. 1 M3, CAÇAMBA RETRO CAP. 0,26 M3, PESO OPERACIONAL MÍN. 6.674 KG, PROFUNDIDADE ESCAVAÇÃO MÁX. 4,37 M - DEPRECIAÇÃO. AF_06/2014</t>
  </si>
  <si>
    <t>88858</t>
  </si>
  <si>
    <t>RETROESCAVADEIRA SOBRE RODAS COM CARREGADEIRA, TRAÇÃO 4X4, POTÊNCIA LÍQ. 88 HP, CAÇAMBA CARREG. CAP. MÍN. 1 M3, CAÇAMBA RETRO CAP. 0,26 M3, PESO OPERACIONAL MÍN. 6.674 KG, PROFUNDIDADE ESCAVAÇÃO MÁX. 4,37 M - JUROS. AF_06/2014</t>
  </si>
  <si>
    <t>88859</t>
  </si>
  <si>
    <t>RETROESCAVADEIRA SOBRE RODAS COM CARREGADEIRA, TRAÇÃO 4X2, POTÊNCIA LÍQ. 79 HP, CAÇAMBA CARREG. CAP. MÍN. 1 M3, CAÇAMBA RETRO CAP. 0,20 M3, PESO OPERACIONAL MÍN. 6.570 KG, PROFUNDIDADE ESCAVAÇÃO MÁX. 4,37 M - DEPRECIAÇÃO. AF_06/2014</t>
  </si>
  <si>
    <t>88860</t>
  </si>
  <si>
    <t>RETROESCAVADEIRA SOBRE RODAS COM CARREGADEIRA, TRAÇÃO 4X2, POTÊNCIA LÍQ. 79 HP, CAÇAMBA CARREG. CAP. MÍN. 1 M3, CAÇAMBA RETRO CAP. 0,20 M3, PESO OPERACIONAL MÍN. 6.570 KG, PROFUNDIDADE ESCAVAÇÃO MÁX. 4,37 M - JUROS. AF_06/2014</t>
  </si>
  <si>
    <t>1,66</t>
  </si>
  <si>
    <t>88900</t>
  </si>
  <si>
    <t>ESCAVADEIRA HIDRÁULICA SOBRE ESTEIRAS, CAÇAMBA 1,20 M3, PESO OPERACIONAL 21 T, POTÊNCIA BRUTA 155 HP - DEPRECIAÇÃO. AF_06/2014</t>
  </si>
  <si>
    <t>88902</t>
  </si>
  <si>
    <t>ESCAVADEIRA HIDRÁULICA SOBRE ESTEIRAS, CAÇAMBA 1,20 M3, PESO OPERACIONAL 21 T, POTÊNCIA BRUTA 155 HP - JUROS. AF_06/2014</t>
  </si>
  <si>
    <t>88903</t>
  </si>
  <si>
    <t>ESCAVADEIRA HIDRÁULICA SOBRE ESTEIRAS, CAÇAMBA 1,20 M3, PESO OPERACIONAL 21 T, POTÊNCIA BRUTA 155 HP - MANUTENÇÃO. AF_06/2014</t>
  </si>
  <si>
    <t>88904</t>
  </si>
  <si>
    <t>ESCAVADEIRA HIDRÁULICA SOBRE ESTEIRAS, CAÇAMBA 1,20 M3, PESO OPERACIONAL 21 T, POTÊNCIA BRUTA 155 HP - MATERIAIS NA OPERAÇÃO. AF_06/2014</t>
  </si>
  <si>
    <t>89009</t>
  </si>
  <si>
    <t>TRATOR DE ESTEIRAS, POTÊNCIA 150 HP, PESO OPERACIONAL 16,7 T, COM RODA MOTRIZ ELEVADA E LÂMINA 3,18 M3 - DEPRECIAÇÃO. AF_06/2014</t>
  </si>
  <si>
    <t>89010</t>
  </si>
  <si>
    <t>TRATOR DE ESTEIRAS, POTÊNCIA 150 HP, PESO OPERACIONAL 16,7 T, COM RODA MOTRIZ ELEVADA E LÂMINA 3,18 M3 - JUROS. AF_06/2014</t>
  </si>
  <si>
    <t>89011</t>
  </si>
  <si>
    <t>RETROESCAVADEIRA SOBRE RODAS COM CARREGADEIRA, TRAÇÃO 4X4, POTÊNCIA LÍQ. 72 HP, CAÇAMBA CARREG. CAP. MÍN. 0,79 M3, CAÇAMBA RETRO CAP. 0,18 M3, PESO OPERACIONAL MÍN. 7.140 KG, PROFUNDIDADE ESCAVAÇÃO MÁX. 4,50 M - DEPRECIAÇÃO. AF_06/2014</t>
  </si>
  <si>
    <t>89012</t>
  </si>
  <si>
    <t>RETROESCAVADEIRA SOBRE RODAS COM CARREGADEIRA, TRAÇÃO 4X4, POTÊNCIA LÍQ. 72 HP, CAÇAMBA CARREG. CAP. MÍN. 0,79 M3, CAÇAMBA RETRO CAP. 0,18 M3, PESO OPERACIONAL MÍN. 7.140 KG, PROFUNDIDADE ESCAVAÇÃO MÁX. 4,50 M - JUROS. AF_06/2014</t>
  </si>
  <si>
    <t>1,80</t>
  </si>
  <si>
    <t>89013</t>
  </si>
  <si>
    <t>TRATOR DE ESTEIRAS, POTÊNCIA 347 HP, PESO OPERACIONAL 38,5 T, COM LÂMINA 8,70 M3 - DEPRECIAÇÃO. AF_06/2014</t>
  </si>
  <si>
    <t>89014</t>
  </si>
  <si>
    <t>TRATOR DE ESTEIRAS, POTÊNCIA 347 HP, PESO OPERACIONAL 38,5 T, COM LÂMINA 8,70 M3 - JUROS. AF_06/2014</t>
  </si>
  <si>
    <t>89015</t>
  </si>
  <si>
    <t>VASSOURA MECÂNICA REBOCÁVEL COM ESCOVA CILÍNDRICA, LARGURA ÚTIL DE VARRIMENTO DE 2,44 M - DEPRECIAÇÃO. AF_06/2014</t>
  </si>
  <si>
    <t>89016</t>
  </si>
  <si>
    <t>VASSOURA MECÂNICA REBOCÁVEL COM ESCOVA CILÍNDRICA, LARGURA ÚTIL DE VARRIMENTO DE 2,44 M - JUROS. AF_06/2014</t>
  </si>
  <si>
    <t>0,27</t>
  </si>
  <si>
    <t>89017</t>
  </si>
  <si>
    <t>TRATOR DE ESTEIRAS, POTÊNCIA 170 HP, PESO OPERACIONAL 19 T, CAÇAMBA 5,2 M3 - DEPRECIAÇÃO. AF_06/2014</t>
  </si>
  <si>
    <t>89018</t>
  </si>
  <si>
    <t>TRATOR DE ESTEIRAS, POTÊNCIA 170 HP, PESO OPERACIONAL 19 T, CAÇAMBA 5,2 M3 - JUROS. AF_06/2014</t>
  </si>
  <si>
    <t>89019</t>
  </si>
  <si>
    <t>BOMBA SUBMERSÍVEL ELÉTRICA TRIFÁSICA, POTÊNCIA 2,96 HP, Ø ROTOR 144 MM SEMI-ABERTO, BOCAL DE SAÍDA Ø 2, HM/Q = 2 MCA / 38,8 M3/H A 28 MCA / 5 M3/H - DEPRECIAÇÃO. AF_06/2014</t>
  </si>
  <si>
    <t>89020</t>
  </si>
  <si>
    <t>BOMBA SUBMERSÍVEL ELÉTRICA TRIFÁSICA, POTÊNCIA 2,96 HP, Ø ROTOR 144 MM SEMI-ABERTO, BOCAL DE SAÍDA Ø 2, HM/Q = 2 MCA / 38,8 M3/H A 28 MCA / 5 M3/H - JUROS. AF_06/2014</t>
  </si>
  <si>
    <t>89023</t>
  </si>
  <si>
    <t>89024</t>
  </si>
  <si>
    <t>89025</t>
  </si>
  <si>
    <t>89026</t>
  </si>
  <si>
    <t>89029</t>
  </si>
  <si>
    <t>TRATOR DE ESTEIRAS, POTÊNCIA 100 HP, PESO OPERACIONAL 9,4 T, COM LÂMINA 2,19 M3 - DEPRECIAÇÃO. AF_06/2014</t>
  </si>
  <si>
    <t>89030</t>
  </si>
  <si>
    <t>TRATOR DE ESTEIRAS, POTÊNCIA 100 HP, PESO OPERACIONAL 9,4 T, COM LÂMINA 2,19 M3 - JUROS. AF_06/2014</t>
  </si>
  <si>
    <t>89033</t>
  </si>
  <si>
    <t>TRATOR DE PNEUS, POTÊNCIA 85 CV, TRAÇÃO 4X4, PESO COM LASTRO DE 4.675 KG - DEPRECIAÇÃO. AF_06/2014</t>
  </si>
  <si>
    <t>89034</t>
  </si>
  <si>
    <t>TRATOR DE PNEUS, POTÊNCIA 85 CV, TRAÇÃO 4X4, PESO COM LASTRO DE 4.675 KG - JUROS. AF_06/2014</t>
  </si>
  <si>
    <t>89128</t>
  </si>
  <si>
    <t>PÁ CARREGADEIRA SOBRE RODAS, POTÊNCIA LÍQUIDA 128 HP, CAPACIDADE DA CAÇAMBA 1,7 A 2,8 M3, PESO OPERACIONAL 11632 KG - DEPRECIAÇÃO. AF_06/2014</t>
  </si>
  <si>
    <t>89129</t>
  </si>
  <si>
    <t>PÁ CARREGADEIRA SOBRE RODAS, POTÊNCIA LÍQUIDA 128 HP, CAPACIDADE DA CAÇAMBA 1,7 A 2,8 M3, PESO OPERACIONAL 11632 KG - JUROS. AF_06/2014</t>
  </si>
  <si>
    <t>89130</t>
  </si>
  <si>
    <t>PÁ CARREGADEIRA SOBRE RODAS, POTÊNCIA 197 HP, CAPACIDADE DA CAÇAMBA 2,5 A 3,5 M3, PESO OPERACIONAL 18338 KG - DEPRECIAÇÃO. AF_06/2014</t>
  </si>
  <si>
    <t>89131</t>
  </si>
  <si>
    <t>PÁ CARREGADEIRA SOBRE RODAS, POTÊNCIA 197 HP, CAPACIDADE DA CAÇAMBA 2,5 A 3,5 M3, PESO OPERACIONAL 18338 KG - JUROS. AF_06/2014</t>
  </si>
  <si>
    <t>4,05</t>
  </si>
  <si>
    <t>89210</t>
  </si>
  <si>
    <t>ROLO COMPACTADOR VIBRATÓRIO DE UM CILINDRO AÇO LISO, POTÊNCIA 80 HP, PESO OPERACIONAL MÁXIMO 8,1 T, IMPACTO DINÂMICO 16,15 / 9,5 T, LARGURA DE TRABALHO 1,68 M - DEPRECIAÇÃO. AF_06/2014</t>
  </si>
  <si>
    <t>89211</t>
  </si>
  <si>
    <t>ROLO COMPACTADOR VIBRATÓRIO DE UM CILINDRO AÇO LISO, POTÊNCIA 80 HP, PESO OPERACIONAL MÁXIMO 8,1 T, IMPACTO DINÂMICO 16,15 / 9,5 T, LARGURA DE TRABALHO 1,68 M - JUROS. AF_06/2014</t>
  </si>
  <si>
    <t>89212</t>
  </si>
  <si>
    <t>BATE-ESTACAS POR GRAVIDADE, POTÊNCIA DE 160 HP, PESO DO MARTELO ATÉ 3 TONELADAS - DEPRECIAÇÃO. AF_11/2014</t>
  </si>
  <si>
    <t>89213</t>
  </si>
  <si>
    <t>BATE-ESTACAS POR GRAVIDADE, POTÊNCIA DE 160 HP, PESO DO MARTELO ATÉ 3 TONELADAS - JUROS. AF_11/2014</t>
  </si>
  <si>
    <t>89214</t>
  </si>
  <si>
    <t>BATE-ESTACAS POR GRAVIDADE, POTÊNCIA DE 160 HP, PESO DO MARTELO ATÉ 3 TONELADAS - MANUTENÇÃO. AF_11/2014</t>
  </si>
  <si>
    <t>89215</t>
  </si>
  <si>
    <t>BATE-ESTACAS POR GRAVIDADE, POTÊNCIA DE 160 HP, PESO DO MARTELO ATÉ 3 TONELADAS - MATERIAIS NA OPERAÇÃO. AF_11/2014</t>
  </si>
  <si>
    <t>89221</t>
  </si>
  <si>
    <t>89222</t>
  </si>
  <si>
    <t>0,11</t>
  </si>
  <si>
    <t>89223</t>
  </si>
  <si>
    <t>89224</t>
  </si>
  <si>
    <t>89228</t>
  </si>
  <si>
    <t>MOTONIVELADORA POTÊNCIA BÁSICA LÍQUIDA (PRIMEIRA MARCHA) 125 HP, PESO BRUTO 13032 KG, LARGURA DA LÂMINA DE 3,7 M - DEPRECIAÇÃO. AF_06/2014</t>
  </si>
  <si>
    <t>89229</t>
  </si>
  <si>
    <t>MOTONIVELADORA POTÊNCIA BÁSICA LÍQUIDA (PRIMEIRA MARCHA) 125 HP, PESO BRUTO 13032 KG, LARGURA DA LÂMINA DE 3,7 M - JUROS. AF_06/2014</t>
  </si>
  <si>
    <t>89230</t>
  </si>
  <si>
    <t>FRESADORA DE ASFALTO A FRIO SOBRE RODAS, LARGURA FRESAGEM DE 1,0 M, POTÊNCIA 208 HP - DEPRECIAÇÃO. AF_11/2014</t>
  </si>
  <si>
    <t>89231</t>
  </si>
  <si>
    <t>FRESADORA DE ASFALTO A FRIO SOBRE RODAS, LARGURA FRESAGEM DE 1,0 M, POTÊNCIA 208 HP - JUROS. AF_11/2014</t>
  </si>
  <si>
    <t>89232</t>
  </si>
  <si>
    <t>FRESADORA DE ASFALTO A FRIO SOBRE RODAS, LARGURA FRESAGEM DE 1,0 M, POTÊNCIA 208 HP - MANUTENÇÃO. AF_11/2014</t>
  </si>
  <si>
    <t>89233</t>
  </si>
  <si>
    <t>FRESADORA DE ASFALTO A FRIO SOBRE RODAS, LARGURA FRESAGEM DE 1,0 M, POTÊNCIA 208 HP - MATERIAIS NA OPERAÇÃO. AF_11/2014</t>
  </si>
  <si>
    <t>89236</t>
  </si>
  <si>
    <t>FRESADORA DE ASFALTO A FRIO SOBRE RODAS, LARGURA FRESAGEM DE 2,0 M, POTÊNCIA 550 HP - DEPRECIAÇÃO. AF_11/2014</t>
  </si>
  <si>
    <t>89237</t>
  </si>
  <si>
    <t>FRESADORA DE ASFALTO A FRIO SOBRE RODAS, LARGURA FRESAGEM DE 2,0 M, POTÊNCIA 550 HP - JUROS. AF_11/2014</t>
  </si>
  <si>
    <t>89238</t>
  </si>
  <si>
    <t>FRESADORA DE ASFALTO A FRIO SOBRE RODAS, LARGURA FRESAGEM DE 2,0 M, POTÊNCIA 550 HP - MANUTENÇÃO. AF_11/2014</t>
  </si>
  <si>
    <t>89239</t>
  </si>
  <si>
    <t>FRESADORA DE ASFALTO A FRIO SOBRE RODAS, LARGURA FRESAGEM DE 2,0 M, POTÊNCIA 550 HP - MATERIAIS NA OPERAÇÃO. AF_11/2014</t>
  </si>
  <si>
    <t>89240</t>
  </si>
  <si>
    <t>VIBROACABADORA DE ASFALTO SOBRE ESTEIRAS, LARGURA DE PAVIMENTAÇÃO 1,90 M A 5,30 M, POTÊNCIA 105 HP CAPACIDADE 450 T/H - DEPRECIAÇÃO. AF_11/2014</t>
  </si>
  <si>
    <t>89241</t>
  </si>
  <si>
    <t>VIBROACABADORA DE ASFALTO SOBRE ESTEIRAS, LARGURA DE PAVIMENTAÇÃO 1,90 M A 5,30 M, POTÊNCIA 105 HP CAPACIDADE 450 T/H - JUROS. AF_11/2014</t>
  </si>
  <si>
    <t>89246</t>
  </si>
  <si>
    <t>RECICLADORA DE ASFALTO A FRIO SOBRE RODAS, LARGURA FRESAGEM DE 2,0 M, POTÊNCIA 422 HP - DEPRECIAÇÃO. AF_11/2014</t>
  </si>
  <si>
    <t>89247</t>
  </si>
  <si>
    <t>RECICLADORA DE ASFALTO A FRIO SOBRE RODAS, LARGURA FRESAGEM DE 2,0 M, POTÊNCIA 422 HP - JUROS. AF_11/2014</t>
  </si>
  <si>
    <t>89248</t>
  </si>
  <si>
    <t>RECICLADORA DE ASFALTO A FRIO SOBRE RODAS, LARGURA FRESAGEM DE 2,0 M, POTÊNCIA 422 HP - MANUTENÇÃO. AF_11/2014</t>
  </si>
  <si>
    <t>89249</t>
  </si>
  <si>
    <t>RECICLADORA DE ASFALTO A FRIO SOBRE RODAS, LARGURA FRESAGEM DE 2,0 M, POTÊNCIA 422 HP - MATERIAIS NA OPERAÇÃO. AF_11/2014</t>
  </si>
  <si>
    <t>89253</t>
  </si>
  <si>
    <t>VIBROACABADORA DE ASFALTO SOBRE ESTEIRAS, LARGURA DE PAVIMENTAÇÃO 2,13 M A 4,55 M, POTÊNCIA 100 HP, CAPACIDADE 400 T/H - DEPRECIAÇÃO. AF_11/2014</t>
  </si>
  <si>
    <t>89254</t>
  </si>
  <si>
    <t>VIBROACABADORA DE ASFALTO SOBRE ESTEIRAS, LARGURA DE PAVIMENTAÇÃO 2,13 M A 4,55 M, POTÊNCIA 100 HP, CAPACIDADE 400 T/H - JUROS. AF_11/2014</t>
  </si>
  <si>
    <t>89255</t>
  </si>
  <si>
    <t>VIBROACABADORA DE ASFALTO SOBRE ESTEIRAS, LARGURA DE PAVIMENTAÇÃO 2,13 M A 4,55 M, POTÊNCIA 100 HP, CAPACIDADE 400 T/H - MANUTENÇÃO. AF_11/2014</t>
  </si>
  <si>
    <t>89256</t>
  </si>
  <si>
    <t>VIBROACABADORA DE ASFALTO SOBRE ESTEIRAS, LARGURA DE PAVIMENTAÇÃO 2,13 M A 4,55 M, POTÊNCIA 100 HP, CAPACIDADE 400 T/H - MATERIAIS NA OPERAÇÃO. AF_11/2014</t>
  </si>
  <si>
    <t>89259</t>
  </si>
  <si>
    <t>GUINDAUTO HIDRÁULICO, CAPACIDADE MÁXIMA DE CARGA 6200 KG, MOMENTO MÁXIMO DE CARGA 11,7 TM, ALCANCE MÁXIMO HORIZONTAL 9,70 M, INCLUSIVE CAMINHÃO TOCO PBT 16.000 KG, POTÊNCIA DE 189 CV - DEPRECIAÇÃO. AF_06/2014</t>
  </si>
  <si>
    <t>89260</t>
  </si>
  <si>
    <t>GUINDAUTO HIDRÁULICO, CAPACIDADE MÁXIMA DE CARGA 6200 KG, MOMENTO MÁXIMO DE CARGA 11,7 TM, ALCANCE MÁXIMO HORIZONTAL 9,70 M, INCLUSIVE CAMINHÃO TOCO PBT 16.000 KG, POTÊNCIA DE 189 CV - JUROS. AF_06/2014</t>
  </si>
  <si>
    <t>89262</t>
  </si>
  <si>
    <t>GUINDAUTO HIDRÁULICO, CAPACIDADE MÁXIMA DE CARGA 6200 KG, MOMENTO MÁXIMO DE CARGA 11,7 TM, ALCANCE MÁXIMO HORIZONTAL 9,70 M, INCLUSIVE CAMINHÃO TOCO PBT 16.000 KG, POTÊNCIA DE 189 CV - MANUTENÇÃO. AF_06/2014</t>
  </si>
  <si>
    <t>89264</t>
  </si>
  <si>
    <t>CAMINHÃO TOCO, PBT 16.000 KG, CARGA ÚTIL MÁX. 10.685 KG, DIST. ENTRE EIXOS 4,8 M, POTÊNCIA 189 CV, INCLUSIVE CARROCERIA FIXA ABERTA DE MADEIRA P/ TRANSPORTE GERAL DE CARGA SECA, DIMEN. APROX. 2,5 X 7,00 X 0,50 M - DEPRECIAÇÃO. AF_06/2014</t>
  </si>
  <si>
    <t>89265</t>
  </si>
  <si>
    <t>CAMINHÃO TOCO, PBT 16.000 KG, CARGA ÚTIL MÁX. 10.685 KG, DIST. ENTRE EIXOS 4,8 M, POTÊNCIA 189 CV, INCLUSIVE CARROCERIA FIXA ABERTA DE MADEIRA P/ TRANSPORTE GERAL DE CARGA SECA, DIMEN. APROX. 2,5 X 7,00 X 0,50 M - JUROS. AF_06/2014</t>
  </si>
  <si>
    <t>89266</t>
  </si>
  <si>
    <t>CAMINHÃO TOCO, PBT 16.000 KG, CARGA ÚTIL MÁX. 10.685 KG, DIST. ENTRE EIXOS 4,8 M, POTÊNCIA 189 CV, INCLUSIVE CARROCERIA FIXA ABERTA DE MADEIRA P/ TRANSPORTE GERAL DE CARGA SECA, DIMEN. APROX. 2,5 X 7,00 X 0,50 M - IMPOSTOS E SEGUROS. AF_06/2014</t>
  </si>
  <si>
    <t>0,65</t>
  </si>
  <si>
    <t>89267</t>
  </si>
  <si>
    <t>GUINDASTE HIDRÁULICO AUTOPROPELIDO, COM LANÇA TELESCÓPICA 28,80 M, CAPACIDADE MÁXIMA 30 T, POTÊNCIA 97 KW, TRAÇÃO 4 X 4 - DEPRECIAÇÃO. AF_11/2014</t>
  </si>
  <si>
    <t>89268</t>
  </si>
  <si>
    <t>GUINDASTE HIDRÁULICO AUTOPROPELIDO, COM LANÇA TELESCÓPICA 28,80 M, CAPACIDADE MÁXIMA 30 T, POTÊNCIA 97 KW, TRAÇÃO 4 X 4 - JUROS. AF_11/2014</t>
  </si>
  <si>
    <t>89269</t>
  </si>
  <si>
    <t>GUINDASTE HIDRÁULICO AUTOPROPELIDO, COM LANÇA TELESCÓPICA 28,80 M, CAPACIDADE MÁXIMA 30 T, POTÊNCIA 97 KW, TRAÇÃO 4 X 4 - IMPOSTOS E SEGUROS. AF_11/2014</t>
  </si>
  <si>
    <t>1,84</t>
  </si>
  <si>
    <t>89270</t>
  </si>
  <si>
    <t>GUINDASTE HIDRÁULICO AUTOPROPELIDO, COM LANÇA TELESCÓPICA 28,80 M, CAPACIDADE MÁXIMA 30 T, POTÊNCIA 97 KW, TRAÇÃO 4 X 4 - MANUTENÇÃO. AF_11/2014</t>
  </si>
  <si>
    <t>89271</t>
  </si>
  <si>
    <t>GUINDASTE HIDRÁULICO AUTOPROPELIDO, COM LANÇA TELESCÓPICA 28,80 M, CAPACIDADE MÁXIMA 30 T, POTÊNCIA 97 KW, TRAÇÃO 4 X 4 - MATERIAIS NA OPERAÇÃO. AF_11/2014</t>
  </si>
  <si>
    <t>89274</t>
  </si>
  <si>
    <t>89275</t>
  </si>
  <si>
    <t>89276</t>
  </si>
  <si>
    <t>89277</t>
  </si>
  <si>
    <t>89280</t>
  </si>
  <si>
    <t>ROLO COMPACTADOR VIBRATÓRIO TANDEM AÇO LISO, POTÊNCIA 58 HP, PESO SEM/COM LASTRO 6,5 / 9,4 T, LARGURA DE TRABALHO 1,2 M - DEPRECIAÇÃO. AF_06/2014</t>
  </si>
  <si>
    <t>89281</t>
  </si>
  <si>
    <t>ROLO COMPACTADOR VIBRATÓRIO TANDEM AÇO LISO, POTÊNCIA 58 HP, PESO SEM/COM LASTRO 6,5 / 9,4 T, LARGURA DE TRABALHO 1,2 M - JUROS. AF_06/2014</t>
  </si>
  <si>
    <t>89870</t>
  </si>
  <si>
    <t>CAMINHÃO BASCULANTE 14 M3, COM CAVALO MECÂNICO DE CAPACIDADE MÁXIMA DE TRAÇÃO COMBINADO DE 36000 KG, POTÊNCIA 286 CV, INCLUSIVE SEMIREBOQUE COM CAÇAMBA METÁLICA - DEPRECIAÇÃO. AF_12/2014</t>
  </si>
  <si>
    <t>89871</t>
  </si>
  <si>
    <t>CAMINHÃO BASCULANTE 14 M3, COM CAVALO MECÂNICO DE CAPACIDADE MÁXIMA DE TRAÇÃO COMBINADO DE 36000 KG, POTÊNCIA 286 CV, INCLUSIVE SEMIREBOQUE COM CAÇAMBA METÁLICA - JUROS. AF_12/2014</t>
  </si>
  <si>
    <t>89872</t>
  </si>
  <si>
    <t>CAMINHÃO BASCULANTE 14 M3, COM CAVALO MECÂNICO DE CAPACIDADE MÁXIMA DE TRAÇÃO COMBINADO DE 36000 KG, POTÊNCIA 286 CV, INCLUSIVE SEMIREBOQUE COM CAÇAMBA METÁLICA - IMPOSTOS E SEGUROS. AF_12/2014</t>
  </si>
  <si>
    <t>89873</t>
  </si>
  <si>
    <t>CAMINHÃO BASCULANTE 14 M3, COM CAVALO MECÂNICO DE CAPACIDADE MÁXIMA DE TRAÇÃO COMBINADO DE 36000 KG, POTÊNCIA 286 CV, INCLUSIVE SEMIREBOQUE COM CAÇAMBA METÁLICA - MANUTENÇÃO. AF_12/2014</t>
  </si>
  <si>
    <t>89874</t>
  </si>
  <si>
    <t>CAMINHÃO BASCULANTE 14 M3, COM CAVALO MECÂNICO DE CAPACIDADE MÁXIMA DE TRAÇÃO COMBINADO DE 36000 KG, POTÊNCIA 286 CV, INCLUSIVE SEMIREBOQUE COM CAÇAMBA METÁLICA - MATERIAIS NA OPERAÇÃO. AF_12/2014</t>
  </si>
  <si>
    <t>89878</t>
  </si>
  <si>
    <t>CAMINHÃO BASCULANTE 18 M3, COM CAVALO MECÂNICO DE CAPACIDADE MÁXIMA DE TRAÇÃO COMBINADO DE 45000 KG, POTÊNCIA 330 CV, INCLUSIVE SEMIREBOQUE COM CAÇAMBA METÁLICA - DEPRECIAÇÃO. AF_12/2014</t>
  </si>
  <si>
    <t>89879</t>
  </si>
  <si>
    <t>CAMINHÃO BASCULANTE 18 M3, COM CAVALO MECÂNICO DE CAPACIDADE MÁXIMA DE TRAÇÃO COMBINADO DE 45000 KG, POTÊNCIA 330 CV, INCLUSIVE SEMIREBOQUE COM CAÇAMBA METÁLICA - JUROS. AF_12/2014</t>
  </si>
  <si>
    <t>89880</t>
  </si>
  <si>
    <t>CAMINHÃO BASCULANTE 18 M3, COM CAVALO MECÂNICO DE CAPACIDADE MÁXIMA DE TRAÇÃO COMBINADO DE 45000 KG, POTÊNCIA 330 CV, INCLUSIVE SEMIREBOQUE COM CAÇAMBA METÁLICA - IMPOSTOS E SEGUROS. AF_12/2014</t>
  </si>
  <si>
    <t>89881</t>
  </si>
  <si>
    <t>CAMINHÃO BASCULANTE 18 M3, COM CAVALO MECÂNICO DE CAPACIDADE MÁXIMA DE TRAÇÃO COMBINADO DE 45000 KG, POTÊNCIA 330 CV, INCLUSIVE SEMIREBOQUE COM CAÇAMBA METÁLICA - MANUTENÇÃO. AF_12/2014</t>
  </si>
  <si>
    <t>89882</t>
  </si>
  <si>
    <t>CAMINHÃO BASCULANTE 18 M3, COM CAVALO MECÂNICO DE CAPACIDADE MÁXIMA DE TRAÇÃO COMBINADO DE 45000 KG, POTÊNCIA 330 CV, INCLUSIVE SEMIREBOQUE COM CAÇAMBA METÁLICA - MATERIAIS NA OPERAÇÃO. AF_12/2014</t>
  </si>
  <si>
    <t>90582</t>
  </si>
  <si>
    <t>VIBRADOR DE IMERSÃO, DIÂMETRO DE PONTEIRA 45MM, MOTOR ELÉTRICO TRIFÁSICO POTÊNCIA DE 2 CV - DEPRECIAÇÃO. AF_06/2015</t>
  </si>
  <si>
    <t>90583</t>
  </si>
  <si>
    <t>VIBRADOR DE IMERSÃO, DIÂMETRO DE PONTEIRA 45MM, MOTOR ELÉTRICO TRIFÁSICO POTÊNCIA DE 2 CV - JUROS. AF_06/2015</t>
  </si>
  <si>
    <t>90584</t>
  </si>
  <si>
    <t>VIBRADOR DE IMERSÃO, DIÂMETRO DE PONTEIRA 45MM, MOTOR ELÉTRICO TRIFÁSICO POTÊNCIA DE 2 CV - MANUTENÇÃO. AF_06/2015</t>
  </si>
  <si>
    <t>90585</t>
  </si>
  <si>
    <t>VIBRADOR DE IMERSÃO, DIÂMETRO DE PONTEIRA 45MM, MOTOR ELÉTRICO TRIFÁSICO POTÊNCIA DE 2 CV - MATERIAIS NA OPERAÇÃO. AF_06/2015</t>
  </si>
  <si>
    <t>90621</t>
  </si>
  <si>
    <t>PERFURATRIZ MANUAL, TORQUE MÁXIMO 83 N.M, POTÊNCIA 5 CV, COM DIÂMETRO MÁXIMO 4" - DEPRECIAÇÃO. AF_06/2015</t>
  </si>
  <si>
    <t>90622</t>
  </si>
  <si>
    <t>PERFURATRIZ MANUAL, TORQUE MÁXIMO 83 N.M, POTÊNCIA 5 CV, COM DIÂMETRO MÁXIMO 4" - JUROS. AF_06/2015</t>
  </si>
  <si>
    <t>90623</t>
  </si>
  <si>
    <t>PERFURATRIZ MANUAL, TORQUE MÁXIMO 83 N.M, POTÊNCIA 5 CV, COM DIÂMETRO MÁXIMO 4" - MANUTENÇÃO. AF_06/2015</t>
  </si>
  <si>
    <t>90624</t>
  </si>
  <si>
    <t>PERFURATRIZ MANUAL, TORQUE MÁXIMO 83 N.M, POTÊNCIA 5 CV, COM DIÂMETRO MÁXIMO 4" - MATERIAIS NA OPERAÇÃO. AF_06/2015</t>
  </si>
  <si>
    <t>90627</t>
  </si>
  <si>
    <t>PERFURATRIZ SOBRE ESTEIRA, TORQUE MÁXIMO 600 KGF, PESO MÉDIO 1000 KG, POTÊNCIA 20 HP, DIÂMETRO MÁXIMO 10" - DEPRECIAÇÃO. AF_06/2015</t>
  </si>
  <si>
    <t>90628</t>
  </si>
  <si>
    <t>PERFURATRIZ SOBRE ESTEIRA, TORQUE MÁXIMO 600 KGF, PESO MÉDIO 1000 KG, POTÊNCIA 20 HP, DIÂMETRO MÁXIMO 10" - JUROS. AF_06/2015</t>
  </si>
  <si>
    <t>90629</t>
  </si>
  <si>
    <t>PERFURATRIZ SOBRE ESTEIRA, TORQUE MÁXIMO 600 KGF, PESO MÉDIO 1000 KG, POTÊNCIA 20 HP, DIÂMETRO MÁXIMO 10" - MANUTENÇÃO. AF_06/2015</t>
  </si>
  <si>
    <t>90630</t>
  </si>
  <si>
    <t>PERFURATRIZ SOBRE ESTEIRA, TORQUE MÁXIMO 600 KGF, PESO MÉDIO 1000 KG, POTÊNCIA 20 HP, DIÂMETRO MÁXIMO 10" - MATERIAIS NA OPERAÇÃO. AF_06/2015</t>
  </si>
  <si>
    <t>90633</t>
  </si>
  <si>
    <t>MISTURADOR DUPLO HORIZONTAL DE ALTA TURBULÊNCIA, CAPACIDADE / VOLUME 2 X 500 LITROS, MOTORES ELÉTRICOS MÍNIMO 5 CV CADA, PARA NATA CIMENTO, ARGAMASSA E OUTROS - DEPRECIAÇÃO. AF_06/2015</t>
  </si>
  <si>
    <t>90634</t>
  </si>
  <si>
    <t>MISTURADOR DUPLO HORIZONTAL DE ALTA TURBULÊNCIA, CAPACIDADE / VOLUME 2 X 500 LITROS, MOTORES ELÉTRICOS MÍNIMO 5 CV CADA, PARA NATA CIMENTO, ARGAMASSA E OUTROS - JUROS. AF_06/2015</t>
  </si>
  <si>
    <t>90635</t>
  </si>
  <si>
    <t>MISTURADOR DUPLO HORIZONTAL DE ALTA TURBULÊNCIA, CAPACIDADE / VOLUME 2 X 500 LITROS, MOTORES ELÉTRICOS MÍNIMO 5 CV CADA, PARA NATA CIMENTO, ARGAMASSA E OUTROS - MANUTENÇÃO. AF_06/2015</t>
  </si>
  <si>
    <t>90636</t>
  </si>
  <si>
    <t>MISTURADOR DUPLO HORIZONTAL DE ALTA TURBULÊNCIA, CAPACIDADE / VOLUME 2 X 500 LITROS, MOTORES ELÉTRICOS MÍNIMO 5 CV CADA, PARA NATA CIMENTO, ARGAMASSA E OUTROS - MATERIAIS NA OPERAÇÃO. AF_06/2015</t>
  </si>
  <si>
    <t>90639</t>
  </si>
  <si>
    <t>BOMBA TRIPLEX, PARA INJEÇÃO DE NATA DE CIMENTO, VAZÃO MÁXIMA DE 100 LITROS/MINUTO, PRESSÃO MÁXIMA DE 70 BAR - DEPRECIAÇÃO. AF_06/2015</t>
  </si>
  <si>
    <t>90640</t>
  </si>
  <si>
    <t>BOMBA TRIPLEX, PARA INJEÇÃO DE NATA DE CIMENTO, VAZÃO MÁXIMA DE 100 LITROS/MINUTO, PRESSÃO MÁXIMA DE 70 BAR - JUROS. AF_06/2015</t>
  </si>
  <si>
    <t>90641</t>
  </si>
  <si>
    <t>BOMBA TRIPLEX, PARA INJEÇÃO DE NATA DE CIMENTO, VAZÃO MÁXIMA DE 100 LITROS/MINUTO, PRESSÃO MÁXIMA DE 70 BAR - MANUTENÇÃO. AF_06/2015</t>
  </si>
  <si>
    <t>90642</t>
  </si>
  <si>
    <t>BOMBA TRIPLEX, PARA INJEÇÃO DE NATA DE CIMENTO, VAZÃO MÁXIMA DE 100 LITROS/MINUTO, PRESSÃO MÁXIMA DE 70 BAR - MATERIAIS NA OPERAÇÃO. AF_06/2015</t>
  </si>
  <si>
    <t>90646</t>
  </si>
  <si>
    <t>BOMBA CENTRÍFUGA MONOESTÁGIO COM MOTOR ELÉTRICO MONOFÁSICO, POTÊNCIA 15 HP, DIÂMETRO DO ROTOR 173 MM, HM/Q = 30 MCA / 90 M3/H A 45 MCA / 55 M3/H - DEPRECIAÇÃO. AF_06/2015</t>
  </si>
  <si>
    <t>0,49</t>
  </si>
  <si>
    <t>90647</t>
  </si>
  <si>
    <t>BOMBA CENTRÍFUGA MONOESTÁGIO COM MOTOR ELÉTRICO MONOFÁSICO, POTÊNCIA 15 HP, DIÂMETRO DO ROTOR 173 MM, HM/Q = 30 MCA / 90 M3/H A 45 MCA / 55 M3/H - JUROS. AF_06/2015</t>
  </si>
  <si>
    <t>0,05</t>
  </si>
  <si>
    <t>90648</t>
  </si>
  <si>
    <t>BOMBA CENTRÍFUGA MONOESTÁGIO COM MOTOR ELÉTRICO MONOFÁSICO, POTÊNCIA 15 HP, DIÂMETRO DO ROTOR 173 MM, HM/Q = 30 MCA / 90 M3/H A 45 MCA / 55 M3/H - MANUTENÇÃO. AF_06/2015</t>
  </si>
  <si>
    <t>90649</t>
  </si>
  <si>
    <t>BOMBA CENTRÍFUGA MONOESTÁGIO COM MOTOR ELÉTRICO MONOFÁSICO, POTÊNCIA 15 HP, DIÂMETRO DO ROTOR 173 MM, HM/Q = 30 MCA / 90 M3/H A 45 MCA / 55 M3/H - MATERIAIS NA OPERAÇÃO. AF_06/2015</t>
  </si>
  <si>
    <t>90652</t>
  </si>
  <si>
    <t>BOMBA DE PROJEÇÃO DE CONCRETO SECO, POTÊNCIA 10 CV, VAZÃO 3 M3/H - DEPRECIAÇÃO. AF_06/2015</t>
  </si>
  <si>
    <t>90653</t>
  </si>
  <si>
    <t>BOMBA DE PROJEÇÃO DE CONCRETO SECO, POTÊNCIA 10 CV, VAZÃO 3 M3/H - JUROS. AF_06/2015</t>
  </si>
  <si>
    <t>0,35</t>
  </si>
  <si>
    <t>90654</t>
  </si>
  <si>
    <t>BOMBA DE PROJEÇÃO DE CONCRETO SECO, POTÊNCIA 10 CV, VAZÃO 3 M3/H - MANUTENÇÃO. AF_06/2015</t>
  </si>
  <si>
    <t>3,24</t>
  </si>
  <si>
    <t>90655</t>
  </si>
  <si>
    <t>BOMBA DE PROJEÇÃO DE CONCRETO SECO, POTÊNCIA 10 CV, VAZÃO 3 M3/H - MATERIAIS NA OPERAÇÃO. AF_06/2015</t>
  </si>
  <si>
    <t>90658</t>
  </si>
  <si>
    <t>BOMBA DE PROJEÇÃO DE CONCRETO SECO, POTÊNCIA 10 CV, VAZÃO 6 M3/H - DEPRECIAÇÃO. AF_06/2015</t>
  </si>
  <si>
    <t>90659</t>
  </si>
  <si>
    <t>BOMBA DE PROJEÇÃO DE CONCRETO SECO, POTÊNCIA 10 CV, VAZÃO 6 M3/H - JUROS. AF_06/2015</t>
  </si>
  <si>
    <t>0,37</t>
  </si>
  <si>
    <t>90660</t>
  </si>
  <si>
    <t>BOMBA DE PROJEÇÃO DE CONCRETO SECO, POTÊNCIA 10 CV, VAZÃO 6 M3/H - MANUTENÇÃO. AF_06/2015</t>
  </si>
  <si>
    <t>90661</t>
  </si>
  <si>
    <t>BOMBA DE PROJEÇÃO DE CONCRETO SECO, POTÊNCIA 10 CV, VAZÃO 6 M3/H - MATERIAIS NA OPERAÇÃO. AF_06/2015</t>
  </si>
  <si>
    <t>90664</t>
  </si>
  <si>
    <t>90665</t>
  </si>
  <si>
    <t>90666</t>
  </si>
  <si>
    <t>90667</t>
  </si>
  <si>
    <t>90670</t>
  </si>
  <si>
    <t>PERFURATRIZ COM TORRE METÁLICA PARA EXECUÇÃO DE ESTACA HÉLICE CONTÍNUA, PROFUNDIDADE MÁXIMA DE 30 M, DIÂMETRO MÁXIMO DE 800 MM, POTÊNCIA INSTALADA DE 268 HP, MESA ROTATIVA COM TORQUE MÁXIMO DE 170 KNM - DEPRECIAÇÃO. AF_06/2015</t>
  </si>
  <si>
    <t>90671</t>
  </si>
  <si>
    <t>PERFURATRIZ COM TORRE METÁLICA PARA EXECUÇÃO DE ESTACA HÉLICE CONTÍNUA, PROFUNDIDADE MÁXIMA DE 30 M, DIÂMETRO MÁXIMO DE 800 MM, POTÊNCIA INSTALADA DE 268 HP, MESA ROTATIVA COM TORQUE MÁXIMO DE 170 KNM - JUROS. AF_06/2015</t>
  </si>
  <si>
    <t>90672</t>
  </si>
  <si>
    <t>PERFURATRIZ COM TORRE METÁLICA PARA EXECUÇÃO DE ESTACA HÉLICE CONTÍNUA, PROFUNDIDADE MÁXIMA DE 30 M, DIÂMETRO MÁXIMO DE 800 MM, POTÊNCIA INSTALADA DE 268 HP, MESA ROTATIVA COM TORQUE MÁXIMO DE 170 KNM - MANUTENÇÃO. AF_06/2015</t>
  </si>
  <si>
    <t>90673</t>
  </si>
  <si>
    <t>PERFURATRIZ COM TORRE METÁLICA PARA EXECUÇÃO DE ESTACA HÉLICE CONTÍNUA, PROFUNDIDADE MÁXIMA DE 30 M, DIÂMETRO MÁXIMO DE 800 MM, POTÊNCIA INSTALADA DE 268 HP, MESA ROTATIVA COM TORQUE MÁXIMO DE 170 KNM - MATERIAIS NA OPERAÇÃO. AF_06/2015</t>
  </si>
  <si>
    <t>90676</t>
  </si>
  <si>
    <t>PERFURATRIZ HIDRÁULICA SOBRE CAMINHÃO COM TRADO CURTO ACOPLADO, PROFUNDIDADE MÁXIMA DE 20 M, DIÂMETRO MÁXIMO DE 1500 MM, POTÊNCIA INSTALADA DE 137 HP, MESA ROTATIVA COM TORQUE MÁXIMO DE 30 KNM - DEPRECIAÇÃO. AF_06/2015</t>
  </si>
  <si>
    <t>90677</t>
  </si>
  <si>
    <t>PERFURATRIZ HIDRÁULICA SOBRE CAMINHÃO COM TRADO CURTO ACOPLADO, PROFUNDIDADE MÁXIMA DE 20 M, DIÂMETRO MÁXIMO DE 1500 MM, POTÊNCIA INSTALADA DE 137 HP, MESA ROTATIVA COM TORQUE MÁXIMO DE 30 KNM - JUROS. AF_06/2015</t>
  </si>
  <si>
    <t>90678</t>
  </si>
  <si>
    <t>PERFURATRIZ HIDRÁULICA SOBRE CAMINHÃO COM TRADO CURTO ACOPLADO, PROFUNDIDADE MÁXIMA DE 20 M, DIÂMETRO MÁXIMO DE 1500 MM, POTÊNCIA INSTALADA DE 137 HP, MESA ROTATIVA COM TORQUE MÁXIMO DE 30 KNM - MANUTENÇÃO. AF_06/2015</t>
  </si>
  <si>
    <t>90679</t>
  </si>
  <si>
    <t>PERFURATRIZ HIDRÁULICA SOBRE CAMINHÃO COM TRADO CURTO ACOPLADO, PROFUNDIDADE MÁXIMA DE 20 M, DIÂMETRO MÁXIMO DE 1500 MM, POTÊNCIA INSTALADA DE 137 HP, MESA ROTATIVA COM TORQUE MÁXIMO DE 30 KNM - MATERIAIS NA OPERAÇÃO. AF_06/2015</t>
  </si>
  <si>
    <t>90682</t>
  </si>
  <si>
    <t>90683</t>
  </si>
  <si>
    <t>90684</t>
  </si>
  <si>
    <t>90685</t>
  </si>
  <si>
    <t>90688</t>
  </si>
  <si>
    <t>MINICARREGADEIRA SOBRE RODAS, POTÊNCIA LÍQUIDA DE 47 HP, CAPACIDADE NOMINAL DE OPERAÇÃO DE 646 KG - DEPRECIAÇÃO. AF_06/2015</t>
  </si>
  <si>
    <t>90689</t>
  </si>
  <si>
    <t>MINICARREGADEIRA SOBRE RODAS, POTÊNCIA LÍQUIDA DE 47 HP, CAPACIDADE NOMINAL DE OPERAÇÃO DE 646 KG - JUROS. AF_06/2015</t>
  </si>
  <si>
    <t>90690</t>
  </si>
  <si>
    <t>MINICARREGADEIRA SOBRE RODAS, POTÊNCIA LÍQUIDA DE 47 HP, CAPACIDADE NOMINAL DE OPERAÇÃO DE 646 KG - MANUTENÇÃO. AF_06/2015</t>
  </si>
  <si>
    <t>90691</t>
  </si>
  <si>
    <t>MINICARREGADEIRA SOBRE RODAS, POTÊNCIA LÍQUIDA DE 47 HP, CAPACIDADE NOMINAL DE OPERAÇÃO DE 646 KG - MATERIAIS NA OPERAÇÃO. AF_06/2015</t>
  </si>
  <si>
    <t>90957</t>
  </si>
  <si>
    <t>COMPRESSOR DE AR REBOCÁVEL, VAZÃO 189 PCM, PRESSÃO EFETIVA DE TRABALHO 102 PSI, MOTOR DIESEL, POTÊNCIA 63 CV - DEPRECIAÇÃO. AF_06/2015</t>
  </si>
  <si>
    <t>90958</t>
  </si>
  <si>
    <t>COMPRESSOR DE AR REBOCÁVEL, VAZÃO 189 PCM, PRESSÃO EFETIVA DE TRABALHO 102 PSI, MOTOR DIESEL, POTÊNCIA 63 CV - JUROS. AF_06/2015</t>
  </si>
  <si>
    <t>90960</t>
  </si>
  <si>
    <t>COMPRESSOR DE AR REBOCÁVEL, VAZÃO 89 PCM, PRESSÃO EFETIVA DE TRABALHO 102 PSI, MOTOR DIESEL, POTÊNCIA 20 CV - DEPRECIAÇÃO. AF_06/2015</t>
  </si>
  <si>
    <t>90961</t>
  </si>
  <si>
    <t>COMPRESSOR DE AR REBOCÁVEL, VAZÃO 89 PCM, PRESSÃO EFETIVA DE TRABALHO 102 PSI, MOTOR DIESEL, POTÊNCIA 20 CV - JUROS. AF_06/2015</t>
  </si>
  <si>
    <t>90962</t>
  </si>
  <si>
    <t>COMPRESSOR DE AR REBOCÁVEL, VAZÃO 89 PCM, PRESSÃO EFETIVA DE TRABALHO 102 PSI, MOTOR DIESEL, POTÊNCIA 20 CV - MANUTENÇÃO. AF_06/2015</t>
  </si>
  <si>
    <t>90963</t>
  </si>
  <si>
    <t>COMPRESSOR DE AR REBOCÁVEL, VAZÃO 89 PCM, PRESSÃO EFETIVA DE TRABALHO 102 PSI, MOTOR DIESEL, POTÊNCIA 20 CV - MATERIAIS NA OPERAÇÃO. AF_06/2015</t>
  </si>
  <si>
    <t>90968</t>
  </si>
  <si>
    <t>COMPRESSOR DE AR REBOCAVEL, VAZÃO 250 PCM, PRESSAO DE TRABALHO 102 PSI, MOTOR A DIESEL POTÊNCIA 81 CV - DEPRECIAÇÃO. AF_06/2015</t>
  </si>
  <si>
    <t>3,12</t>
  </si>
  <si>
    <t>90969</t>
  </si>
  <si>
    <t>COMPRESSOR DE AR REBOCAVEL, VAZÃO 250 PCM, PRESSAO DE TRABALHO 102 PSI, MOTOR A DIESEL POTÊNCIA 81 CV - JUROS. AF_06/2015</t>
  </si>
  <si>
    <t>90970</t>
  </si>
  <si>
    <t>COMPRESSOR DE AR REBOCAVEL, VAZÃO 250 PCM, PRESSAO DE TRABALHO 102 PSI, MOTOR A DIESEL POTÊNCIA 81 CV - MANUTENÇÃO. AF_06/2015</t>
  </si>
  <si>
    <t>90971</t>
  </si>
  <si>
    <t>COMPRESSOR DE AR REBOCAVEL, VAZÃO 250 PCM, PRESSAO DE TRABALHO 102 PSI, MOTOR A DIESEL POTÊNCIA 81 CV - MATERIAIS NA OPERAÇÃO. AF_06/2015</t>
  </si>
  <si>
    <t>90975</t>
  </si>
  <si>
    <t>COMPRESSOR DE AR REBOCÁVEL, VAZÃO 748 PCM, PRESSÃO EFETIVA DE TRABALHO 102 PSI, MOTOR DIESEL, POTÊNCIA 210 CV - DEPRECIAÇÃO. AF_06/2015</t>
  </si>
  <si>
    <t>90976</t>
  </si>
  <si>
    <t>COMPRESSOR DE AR REBOCÁVEL, VAZÃO 748 PCM, PRESSÃO EFETIVA DE TRABALHO 102 PSI, MOTOR DIESEL, POTÊNCIA 210 CV - JUROS. AF_06/2015</t>
  </si>
  <si>
    <t>1,10</t>
  </si>
  <si>
    <t>90977</t>
  </si>
  <si>
    <t>COMPRESSOR DE AR REBOCÁVEL, VAZÃO 748 PCM, PRESSÃO EFETIVA DE TRABALHO 102 PSI, MOTOR DIESEL, POTÊNCIA 210 CV - MANUTENÇÃO. AF_06/2015</t>
  </si>
  <si>
    <t>90978</t>
  </si>
  <si>
    <t>COMPRESSOR DE AR REBOCÁVEL, VAZÃO 748 PCM, PRESSÃO EFETIVA DE TRABALHO 102 PSI, MOTOR DIESEL, POTÊNCIA 210 CV - MATERIAIS NA OPERAÇÃO. AF_06/2015</t>
  </si>
  <si>
    <t>90992</t>
  </si>
  <si>
    <t>COMPRESSOR DE AR REBOCAVEL, VAZÃO 400 PCM, PRESSAO DE TRABALHO 102 PSI, MOTOR A DIESEL POTÊNCIA 110 CV - DEPRECIAÇÃO. AF_06/2015</t>
  </si>
  <si>
    <t>90993</t>
  </si>
  <si>
    <t>COMPRESSOR DE AR REBOCAVEL, VAZÃO 400 PCM, PRESSAO DE TRABALHO 102 PSI, MOTOR A DIESEL POTÊNCIA 110 CV - JUROS. AF_06/2015</t>
  </si>
  <si>
    <t>90994</t>
  </si>
  <si>
    <t>COMPRESSOR DE AR REBOCAVEL, VAZÃO 400 PCM, PRESSAO DE TRABALHO 102 PSI, MOTOR A DIESEL POTÊNCIA 110 CV - MANUTENÇÃO. AF_06/2015</t>
  </si>
  <si>
    <t>90995</t>
  </si>
  <si>
    <t>COMPRESSOR DE AR REBOCAVEL, VAZÃO 400 PCM, PRESSAO DE TRABALHO 102 PSI, MOTOR A DIESEL POTÊNCIA 110 CV - MATERIAIS NA OPERAÇÃO. AF_06/2015</t>
  </si>
  <si>
    <t>91021</t>
  </si>
  <si>
    <t>PERFURATRIZ HIDRÁULICA SOBRE CAMINHÃO COM TRADO CURTO ACOPLADO, PROFUNDIDADE MÁXIMA DE 20 M, DIÂMETRO MÁXIMO DE 1500 MM, POTÊNCIA INSTALADA DE 137 HP, MESA ROTATIVA COM TORQUE MÁXIMO DE 30 KNM - IMPOSTOS E SEGUROS. AF_06/2015</t>
  </si>
  <si>
    <t>91026</t>
  </si>
  <si>
    <t>CAMINHÃO TRUCADO (C/ TERCEIRO EIXO) ELETRÔNICO - POTÊNCIA 231CV - PBT = 22000KG - DIST. ENTRE EIXOS 5170 MM - INCLUI CARROCERIA FIXA ABERTA DE MADEIRA - DEPRECIAÇÃO. AF_06/2015</t>
  </si>
  <si>
    <t>91027</t>
  </si>
  <si>
    <t>CAMINHÃO TRUCADO (C/ TERCEIRO EIXO) ELETRÔNICO - POTÊNCIA 231CV - PBT = 22000KG - DIST. ENTRE EIXOS 5170 MM - INCLUI CARROCERIA FIXA ABERTA DE MADEIRA - JUROS. AF_06/2015</t>
  </si>
  <si>
    <t>91028</t>
  </si>
  <si>
    <t>CAMINHÃO TRUCADO (C/ TERCEIRO EIXO) ELETRÔNICO - POTÊNCIA 231CV - PBT = 22000KG - DIST. ENTRE EIXOS 5170 MM - INCLUI CARROCERIA FIXA ABERTA DE MADEIRA - IMPOSTOS E SEGUROS. AF_06/2015</t>
  </si>
  <si>
    <t>91029</t>
  </si>
  <si>
    <t>CAMINHÃO TRUCADO (C/ TERCEIRO EIXO) ELETRÔNICO - POTÊNCIA 231CV - PBT = 22000KG - DIST. ENTRE EIXOS 5170 MM - INCLUI CARROCERIA FIXA ABERTA DE MADEIRA - MANUTENÇÃO. AF_06/2015</t>
  </si>
  <si>
    <t>91030</t>
  </si>
  <si>
    <t>CAMINHÃO TRUCADO (C/ TERCEIRO EIXO) ELETRÔNICO - POTÊNCIA 231CV - PBT = 22000KG - DIST. ENTRE EIXOS 5170 MM - INCLUI CARROCERIA FIXA ABERTA DE MADEIRA - MATERIAIS NA OPERAÇÃO. AF_06/2015</t>
  </si>
  <si>
    <t>91273</t>
  </si>
  <si>
    <t>PLACA VIBRATÓRIA REVERSÍVEL COM MOTOR 4 TEMPOS A GASOLINA, FORÇA CENTRÍFUGA DE 25 KN (2500 KGF), POTÊNCIA 5,5 CV - DEPRECIAÇÃO. AF_08/2015</t>
  </si>
  <si>
    <t>91274</t>
  </si>
  <si>
    <t>PLACA VIBRATÓRIA REVERSÍVEL COM MOTOR 4 TEMPOS A GASOLINA, FORÇA CENTRÍFUGA DE 25 KN (2500 KGF), POTÊNCIA 5,5 CV - JUROS. AF_08/2015</t>
  </si>
  <si>
    <t>91275</t>
  </si>
  <si>
    <t>PLACA VIBRATÓRIA REVERSÍVEL COM MOTOR 4 TEMPOS A GASOLINA, FORÇA CENTRÍFUGA DE 25 KN (2500 KGF), POTÊNCIA 5,5 CV - MANUTENÇÃO. AF_08/2015</t>
  </si>
  <si>
    <t>0,81</t>
  </si>
  <si>
    <t>91276</t>
  </si>
  <si>
    <t>PLACA VIBRATÓRIA REVERSÍVEL COM MOTOR 4 TEMPOS A GASOLINA, FORÇA CENTRÍFUGA DE 25 KN (2500 KGF), POTÊNCIA 5,5 CV - MATERIAIS NA OPERAÇÃO. AF_08/2015</t>
  </si>
  <si>
    <t>91279</t>
  </si>
  <si>
    <t>CORTADORA DE PISO COM MOTOR 4 TEMPOS A GASOLINA, POTÊNCIA DE 13 HP, COM DISCO DE CORTE DIAMANTADO SEGMENTADO PARA CONCRETO, DIÂMETRO DE 350 MM, FURO DE 1" (14 X 1") - DEPRECIAÇÃO. AF_08/2015</t>
  </si>
  <si>
    <t>91280</t>
  </si>
  <si>
    <t>CORTADORA DE PISO COM MOTOR 4 TEMPOS A GASOLINA, POTÊNCIA DE 13 HP, COM DISCO DE CORTE DIAMANTADO SEGMENTADO PARA CONCRETO, DIÂMETRO DE 350 MM, FURO DE 1" (14 X 1") - JUROS. AF_08/2015</t>
  </si>
  <si>
    <t>91281</t>
  </si>
  <si>
    <t>CORTADORA DE PISO COM MOTOR 4 TEMPOS A GASOLINA, POTÊNCIA DE 13 HP, COM DISCO DE CORTE DIAMANTADO SEGMENTADO PARA CONCRETO, DIÂMETRO DE 350 MM, FURO DE 1" (14 X 1") - MANUTENÇÃO. AF_08/2015</t>
  </si>
  <si>
    <t>91282</t>
  </si>
  <si>
    <t>CORTADORA DE PISO COM MOTOR 4 TEMPOS A GASOLINA, POTÊNCIA DE 13 HP, COM DISCO DE CORTE DIAMANTADO SEGMENTADO PARA CONCRETO, DIÂMETRO DE 350 MM, FURO DE 1" (14 X 1") - MATERIAIS NA OPERAÇÃO. AF_08/2015</t>
  </si>
  <si>
    <t>91354</t>
  </si>
  <si>
    <t>CAMINHÃO TOCO, PESO BRUTO TOTAL 14.300 KG, CARGA ÚTIL MÁXIMA 9590 KG, DISTÂNCIA ENTRE EIXOS 4,76 M, POTÊNCIA 185 CV (NÃO INCLUI CARROCERIA) - DEPRECIAÇÃO. AF_06/2014</t>
  </si>
  <si>
    <t>91355</t>
  </si>
  <si>
    <t>CAMINHÃO TOCO, PESO BRUTO TOTAL 14.300 KG, CARGA ÚTIL MÁXIMA 9590 KG, DISTÂNCIA ENTRE EIXOS 4,76 M, POTÊNCIA 185 CV (NÃO INCLUI CARROCERIA) - JUROS. AF_06/2014</t>
  </si>
  <si>
    <t>91356</t>
  </si>
  <si>
    <t>CAMINHÃO TOCO, PESO BRUTO TOTAL 14.300 KG, CARGA ÚTIL MÁXIMA 9590 KG, DISTÂNCIA ENTRE EIXOS 4,76 M, POTÊNCIA 185 CV (NÃO INCLUI CARROCERIA) - IMPOSTOS E SEGUROS. AF_06/2014</t>
  </si>
  <si>
    <t>0,72</t>
  </si>
  <si>
    <t>91359</t>
  </si>
  <si>
    <t>CAMINHÃO PIPA 6.000 L, PESO BRUTO TOTAL 13.000 KG, DISTÂNCIA ENTRE EIXOS 4,80 M, POTÊNCIA 189 CV INCLUSIVE TANQUE DE AÇO PARA TRANSPORTE DE ÁGUA, CAPACIDADE 6 M3 - DEPRECIAÇÃO. AF_06/2014</t>
  </si>
  <si>
    <t>91360</t>
  </si>
  <si>
    <t>CAMINHÃO PIPA 6.000 L, PESO BRUTO TOTAL 13.000 KG, DISTÂNCIA ENTRE EIXOS 4,80 M, POTÊNCIA 189 CV INCLUSIVE TANQUE DE AÇO PARA TRANSPORTE DE ÁGUA, CAPACIDADE 6 M3 - JUROS. AF_06/2014</t>
  </si>
  <si>
    <t>91361</t>
  </si>
  <si>
    <t>CAMINHÃO PIPA 6.000 L, PESO BRUTO TOTAL 13.000 KG, DISTÂNCIA ENTRE EIXOS 4,80 M, POTÊNCIA 189 CV INCLUSIVE TANQUE DE AÇO PARA TRANSPORTE DE ÁGUA, CAPACIDADE 6 M3 - IMPOSTOS E SEGUROS. AF_06/2014</t>
  </si>
  <si>
    <t>91367</t>
  </si>
  <si>
    <t>CAMINHÃO BASCULANTE 6 M3, PESO BRUTO TOTAL 16.000 KG, CARGA ÚTIL MÁXIMA 13.071 KG, DISTÂNCIA ENTRE EIXOS 4,80 M, POTÊNCIA 230 CV INCLUSIVE CAÇAMBA METÁLICA - DEPRECIAÇÃO. AF_06/2014</t>
  </si>
  <si>
    <t>91368</t>
  </si>
  <si>
    <t>CAMINHÃO BASCULANTE 6 M3, PESO BRUTO TOTAL 16.000 KG, CARGA ÚTIL MÁXIMA 13.071 KG, DISTÂNCIA ENTRE EIXOS 4,80 M, POTÊNCIA 230 CV INCLUSIVE CAÇAMBA METÁLICA - JUROS. AF_06/2014</t>
  </si>
  <si>
    <t>91369</t>
  </si>
  <si>
    <t>CAMINHÃO BASCULANTE 6 M3, PESO BRUTO TOTAL 16.000 KG, CARGA ÚTIL MÁXIMA 13.071 KG, DISTÂNCIA ENTRE EIXOS 4,80 M, POTÊNCIA 230 CV INCLUSIVE CAÇAMBA METÁLICA - IMPOSTOS E SEGUROS. AF_06/2014</t>
  </si>
  <si>
    <t>91375</t>
  </si>
  <si>
    <t>CAMINHÃO TOCO, PESO BRUTO TOTAL 16.000 KG, CARGA ÚTIL MÁXIMA DE 10.685 KG, DISTÂNCIA ENTRE EIXOS 4,80 M, POTÊNCIA 189 CV EXCLUSIVE CARROCERIA - DEPRECIAÇÃO. AF_06/2014</t>
  </si>
  <si>
    <t>91376</t>
  </si>
  <si>
    <t>CAMINHÃO TOCO, PESO BRUTO TOTAL 16.000 KG, CARGA ÚTIL MÁXIMA DE 10.685 KG, DISTÂNCIA ENTRE EIXOS 4,80 M, POTÊNCIA 189 CV EXCLUSIVE CARROCERIA - JUROS. AF_06/2014</t>
  </si>
  <si>
    <t>91377</t>
  </si>
  <si>
    <t>CAMINHÃO TOCO, PESO BRUTO TOTAL 16.000 KG, CARGA ÚTIL MÁXIMA DE 10.685 KG, DISTÂNCIA ENTRE EIXOS 4,80 M, POTÊNCIA 189 CV EXCLUSIVE CARROCERIA - IMPOSTOS E SEGUROS. AF_06/2014</t>
  </si>
  <si>
    <t>91380</t>
  </si>
  <si>
    <t>CAMINHÃO BASCULANTE 10 M3, TRUCADO CABINE SIMPLES, PESO BRUTO TOTAL 23.000 KG, CARGA ÚTIL MÁXIMA 15.935 KG, DISTÂNCIA ENTRE EIXOS 4,80 M, POTÊNCIA 230 CV INCLUSIVE CAÇAMBA METÁLICA - DEPRECIAÇÃO. AF_06/2014</t>
  </si>
  <si>
    <t>91381</t>
  </si>
  <si>
    <t>CAMINHÃO BASCULANTE 10 M3, TRUCADO CABINE SIMPLES, PESO BRUTO TOTAL 23.000 KG, CARGA ÚTIL MÁXIMA 15.935 KG, DISTÂNCIA ENTRE EIXOS 4,80 M, POTÊNCIA 230 CV INCLUSIVE CAÇAMBA METÁLICA - JUROS. AF_06/2014</t>
  </si>
  <si>
    <t>91382</t>
  </si>
  <si>
    <t>CAMINHÃO BASCULANTE 10 M3, TRUCADO CABINE SIMPLES, PESO BRUTO TOTAL 23.000 KG, CARGA ÚTIL MÁXIMA 15.935 KG, DISTÂNCIA ENTRE EIXOS 4,80 M, POTÊNCIA 230 CV INCLUSIVE CAÇAMBA METÁLICA - IMPOSTOS E SEGUROS. AF_06/2014</t>
  </si>
  <si>
    <t>91383</t>
  </si>
  <si>
    <t>CAMINHÃO BASCULANTE 10 M3, TRUCADO CABINE SIMPLES, PESO BRUTO TOTAL 23.000 KG, CARGA ÚTIL MÁXIMA 15.935 KG, DISTÂNCIA ENTRE EIXOS 4,80 M, POTÊNCIA 230 CV INCLUSIVE CAÇAMBA METÁLICA - MANUTENÇÃO. AF_06/2014</t>
  </si>
  <si>
    <t>91384</t>
  </si>
  <si>
    <t>CAMINHÃO BASCULANTE 10 M3, TRUCADO CABINE SIMPLES, PESO BRUTO TOTAL 23.000 KG, CARGA ÚTIL MÁXIMA 15.935 KG, DISTÂNCIA ENTRE EIXOS 4,80 M, POTÊNCIA 230 CV INCLUSIVE CAÇAMBA METÁLICA - MATERIAIS NA OPERAÇÃO. AF_06/2014</t>
  </si>
  <si>
    <t>91390</t>
  </si>
  <si>
    <t>CAMINHÃO TOCO, PBT 14.300 KG, CARGA ÚTIL MÁX. 9.710 KG, DIST. ENTRE EIXOS 3,56 M, POTÊNCIA 185 CV, INCLUSIVE CARROCERIA FIXA ABERTA DE MADEIRA P/ TRANSPORTE GERAL DE CARGA SECA, DIMEN. APROX. 2,50 X 6,50 X 0,50 M - DEPRECIAÇÃO. AF_06/2014</t>
  </si>
  <si>
    <t>9,60</t>
  </si>
  <si>
    <t>91391</t>
  </si>
  <si>
    <t>CAMINHÃO TOCO, PBT 14.300 KG, CARGA ÚTIL MÁX. 9.710 KG, DIST. ENTRE EIXOS 3,56 M, POTÊNCIA 185 CV, INCLUSIVE CARROCERIA FIXA ABERTA DE MADEIRA P/ TRANSPORTE GERAL DE CARGA SECA, DIMEN. APROX. 2,50 X 6,50 X 0,50 M - JUROS. AF_06/2014</t>
  </si>
  <si>
    <t>91392</t>
  </si>
  <si>
    <t>CAMINHÃO TOCO, PBT 14.300 KG, CARGA ÚTIL MÁX. 9.710 KG, DIST. ENTRE EIXOS 3,56 M, POTÊNCIA 185 CV, INCLUSIVE CARROCERIA FIXA ABERTA DE MADEIRA P/ TRANSPORTE GERAL DE CARGA SECA, DIMEN. APROX. 2,50 X 6,50 X 0,50 M - IMPOSTOS E SEGUROS. AF_06/2014</t>
  </si>
  <si>
    <t>91396</t>
  </si>
  <si>
    <t>CAMINHÃO PIPA 10.000 L TRUCADO, PESO BRUTO TOTAL 23.000 KG, CARGA ÚTIL MÁXIMA 15.935 KG, DISTÂNCIA ENTRE EIXOS 4,8 M, POTÊNCIA 230 CV, INCLUSIVE TANQUE DE AÇO PARA TRANSPORTE DE ÁGUA - DEPRECIAÇÃO. AF_06/2014</t>
  </si>
  <si>
    <t>12,91</t>
  </si>
  <si>
    <t>91397</t>
  </si>
  <si>
    <t>CAMINHÃO PIPA 10.000 L TRUCADO, PESO BRUTO TOTAL 23.000 KG, CARGA ÚTIL MÁXIMA 15.935 KG, DISTÂNCIA ENTRE EIXOS 4,8 M, POTÊNCIA 230 CV, INCLUSIVE TANQUE DE AÇO PARA TRANSPORTE DE ÁGUA - JUROS. AF_06/2014</t>
  </si>
  <si>
    <t>91398</t>
  </si>
  <si>
    <t>CAMINHÃO PIPA 10.000 L TRUCADO, PESO BRUTO TOTAL 23.000 KG, CARGA ÚTIL MÁXIMA 15.935 KG, DISTÂNCIA ENTRE EIXOS 4,8 M, POTÊNCIA 230 CV, INCLUSIVE TANQUE DE AÇO PARA TRANSPORTE DE ÁGUA - IMPOSTOS E SEGUROS. AF_06/2014</t>
  </si>
  <si>
    <t>91402</t>
  </si>
  <si>
    <t>CAMINHÃO BASCULANTE 6 M3 TOCO, PESO BRUTO TOTAL 16.000 KG, CARGA ÚTIL MÁXIMA 11.130 KG, DISTÂNCIA ENTRE EIXOS 5,36 M, POTÊNCIA 185 CV, INCLUSIVE CAÇAMBA METÁLICA - IMPOSTOS E SEGUROS. AF_06/2014</t>
  </si>
  <si>
    <t>91466</t>
  </si>
  <si>
    <t>GUINDAUTO HIDRÁULICO, CAPACIDADE MÁXIMA DE CARGA 6200 KG, MOMENTO MÁXIMO DE CARGA 11,7 TM, ALCANCE MÁXIMO HORIZONTAL 9,70 M, INCLUSIVE CAMINHÃO TOCO PBT 16.000 KG, POTÊNCIA DE 189 CV - IMPOSTOS E SEGUROS. AF_08/2015</t>
  </si>
  <si>
    <t>91467</t>
  </si>
  <si>
    <t>GUINDAUTO HIDRÁULICO, CAPACIDADE MÁXIMA DE CARGA 6200 KG, MOMENTO MÁXIMO DE CARGA 11,7 TM, ALCANCE MÁXIMO HORIZONTAL 9,70 M, INCLUSIVE CAMINHÃO TOCO PBT 16.000 KG, POTÊNCIA DE 189 CV - MATERIAIS NA OPERAÇÃO. AF_08/2015</t>
  </si>
  <si>
    <t>91468</t>
  </si>
  <si>
    <t>91469</t>
  </si>
  <si>
    <t>91484</t>
  </si>
  <si>
    <t>91485</t>
  </si>
  <si>
    <t>91529</t>
  </si>
  <si>
    <t>COMPACTADOR DE SOLOS DE PERCUSSÃO (SOQUETE) COM MOTOR A GASOLINA 4 TEMPOS, POTÊNCIA 4 CV - DEPRECIAÇÃO. AF_08/2015</t>
  </si>
  <si>
    <t>91530</t>
  </si>
  <si>
    <t>COMPACTADOR DE SOLOS DE PERCUSSÃO (SOQUETE) COM MOTOR A GASOLINA 4 TEMPOS, POTÊNCIA 4 CV - JUROS. AF_08/2015</t>
  </si>
  <si>
    <t>91531</t>
  </si>
  <si>
    <t>COMPACTADOR DE SOLOS DE PERCUSSÃO (SOQUETE) COM MOTOR A GASOLINA 4 TEMPOS, POTÊNCIA 4 CV - MANUTENÇÃO. AF_08/2015</t>
  </si>
  <si>
    <t>91532</t>
  </si>
  <si>
    <t>COMPACTADOR DE SOLOS DE PERCUSSÃO (SOQUETE) COM MOTOR A GASOLINA 4 TEMPOS, POTÊNCIA 4 CV - MATERIAIS NA OPERAÇÃO. AF_08/2015</t>
  </si>
  <si>
    <t>91629</t>
  </si>
  <si>
    <t>GUINDAUTO HIDRÁULICO, CAPACIDADE MÁXIMA DE CARGA 6500 KG, MOMENTO MÁXIMO DE CARGA 5,8 TM, ALCANCE MÁXIMO HORIZONTAL 7,60 M, INCLUSIVE CAMINHÃO TOCO PBT 9.700 KG, POTÊNCIA DE 160 CV - DEPRECIAÇÃO. AF_08/2015</t>
  </si>
  <si>
    <t>91630</t>
  </si>
  <si>
    <t>GUINDAUTO HIDRÁULICO, CAPACIDADE MÁXIMA DE CARGA 6500 KG, MOMENTO MÁXIMO DE CARGA 5,8 TM, ALCANCE MÁXIMO HORIZONTAL 7,60 M, INCLUSIVE CAMINHÃO TOCO PBT 9.700 KG, POTÊNCIA DE 160 CV - JUROS. AF_08/2015</t>
  </si>
  <si>
    <t>91631</t>
  </si>
  <si>
    <t>GUINDAUTO HIDRÁULICO, CAPACIDADE MÁXIMA DE CARGA 6500 KG, MOMENTO MÁXIMO DE CARGA 5,8 TM, ALCANCE MÁXIMO HORIZONTAL 7,60 M, INCLUSIVE CAMINHÃO TOCO PBT 9.700 KG, POTÊNCIA DE 160 CV - IMPOSTOS E SEGUROS. AF_08/2015</t>
  </si>
  <si>
    <t>91632</t>
  </si>
  <si>
    <t>GUINDAUTO HIDRÁULICO, CAPACIDADE MÁXIMA DE CARGA 6500 KG, MOMENTO MÁXIMO DE CARGA 5,8 TM, ALCANCE MÁXIMO HORIZONTAL 7,60 M, INCLUSIVE CAMINHÃO TOCO PBT 9.700 KG, POTÊNCIA DE 160 CV - MANUTENÇÃO. AF_08/2015</t>
  </si>
  <si>
    <t>91633</t>
  </si>
  <si>
    <t>GUINDAUTO HIDRÁULICO, CAPACIDADE MÁXIMA DE CARGA 6500 KG, MOMENTO MÁXIMO DE CARGA 5,8 TM, ALCANCE MÁXIMO HORIZONTAL 7,60 M, INCLUSIVE CAMINHÃO TOCO PBT 9.700 KG, POTÊNCIA DE 160 CV - MATERIAIS NA OPERAÇÃO. AF_08/2015</t>
  </si>
  <si>
    <t>91640</t>
  </si>
  <si>
    <t>CAMINHÃO DE TRANSPORTE DE MATERIAL ASFÁLTICO 30.000 L, COM CAVALO MECÂNICO DE CAPACIDADE MÁXIMA DE TRAÇÃO COMBINADO DE 66.000 KG, POTÊNCIA 360 CV, INCLUSIVE TANQUE DE ASFALTO COM SERPENTINA - DEPRECIAÇÃO. AF_08/2015</t>
  </si>
  <si>
    <t>91641</t>
  </si>
  <si>
    <t>CAMINHÃO DE TRANSPORTE DE MATERIAL ASFÁLTICO 30.000 L, COM CAVALO MECÂNICO DE CAPACIDADE MÁXIMA DE TRAÇÃO COMBINADO DE 66.000 KG, POTÊNCIA 360 CV, INCLUSIVE TANQUE DE ASFALTO COM SERPENTINA - JUROS. AF_08/2015</t>
  </si>
  <si>
    <t>91642</t>
  </si>
  <si>
    <t>CAMINHÃO DE TRANSPORTE DE MATERIAL ASFÁLTICO 30.000 L, COM CAVALO MECÂNICO DE CAPACIDADE MÁXIMA DE TRAÇÃO COMBINADO DE 66.000 KG, POTÊNCIA 360 CV, INCLUSIVE TANQUE DE ASFALTO COM SERPENTINA - IMPOSTOS E SEGUROS. AF_08/2015</t>
  </si>
  <si>
    <t>1,63</t>
  </si>
  <si>
    <t>91643</t>
  </si>
  <si>
    <t>CAMINHÃO DE TRANSPORTE DE MATERIAL ASFÁLTICO 30.000 L, COM CAVALO MECÂNICO DE CAPACIDADE MÁXIMA DE TRAÇÃO COMBINADO DE 66.000 KG, POTÊNCIA 360 CV, INCLUSIVE TANQUE DE ASFALTO COM SERPENTINA - MANUTENÇÃO. AF_08/2015</t>
  </si>
  <si>
    <t>91644</t>
  </si>
  <si>
    <t>CAMINHÃO DE TRANSPORTE DE MATERIAL ASFÁLTICO 30.000 L, COM CAVALO MECÂNICO DE CAPACIDADE MÁXIMA DE TRAÇÃO COMBINADO DE 66.000 KG, POTÊNCIA 360 CV, INCLUSIVE TANQUE DE ASFALTO COM SERPENTINA - MATERIAIS NA OPERAÇÃO. AF_08/2015</t>
  </si>
  <si>
    <t>91688</t>
  </si>
  <si>
    <t>SERRA CIRCULAR DE BANCADA COM MOTOR ELÉTRICO POTÊNCIA DE 5HP, COM COIFA PARA DISCO 10" - DEPRECIAÇÃO. AF_08/2015</t>
  </si>
  <si>
    <t>91689</t>
  </si>
  <si>
    <t>SERRA CIRCULAR DE BANCADA COM MOTOR ELÉTRICO POTÊNCIA DE 5HP, COM COIFA PARA DISCO 10" - JUROS. AF_08/2015</t>
  </si>
  <si>
    <t>91690</t>
  </si>
  <si>
    <t>SERRA CIRCULAR DE BANCADA COM MOTOR ELÉTRICO POTÊNCIA DE 5HP, COM COIFA PARA DISCO 10" - MANUTENÇÃO. AF_08/2015</t>
  </si>
  <si>
    <t>91691</t>
  </si>
  <si>
    <t>SERRA CIRCULAR DE BANCADA COM MOTOR ELÉTRICO POTÊNCIA DE 5HP, COM COIFA PARA DISCO 10" - MATERIAIS NA OPERAÇÃO. AF_08/2015</t>
  </si>
  <si>
    <t>92040</t>
  </si>
  <si>
    <t>DISTRIBUIDOR DE AGREGADOS REBOCAVEL, CAPACIDADE 1,9 M³, LARGURA DE TRABALHO 3,66 M - DEPRECIAÇÃO. AF_11/2015</t>
  </si>
  <si>
    <t>92041</t>
  </si>
  <si>
    <t>DISTRIBUIDOR DE AGREGADOS REBOCAVEL, CAPACIDADE 1,9 M³, LARGURA DE TRABALHO 3,66 M - JUROS. AF_11/2015</t>
  </si>
  <si>
    <t>92042</t>
  </si>
  <si>
    <t>DISTRIBUIDOR DE AGREGADOS REBOCAVEL, CAPACIDADE 1,9 M³, LARGURA DE TRABALHO 3,66 M - MANUTENÇÃO. AF_11/2015</t>
  </si>
  <si>
    <t>92101</t>
  </si>
  <si>
    <t>92102</t>
  </si>
  <si>
    <t>92103</t>
  </si>
  <si>
    <t>92104</t>
  </si>
  <si>
    <t>92105</t>
  </si>
  <si>
    <t>92108</t>
  </si>
  <si>
    <t>92109</t>
  </si>
  <si>
    <t>92110</t>
  </si>
  <si>
    <t>92111</t>
  </si>
  <si>
    <t>92114</t>
  </si>
  <si>
    <t>92115</t>
  </si>
  <si>
    <t>92116</t>
  </si>
  <si>
    <t>0,10</t>
  </si>
  <si>
    <t>92133</t>
  </si>
  <si>
    <t>CAMINHONETE COM MOTOR A DIESEL, POTÊNCIA 180 CV, CABINE DUPLA, 4X4 - DEPRECIAÇÃO. AF_11/2015</t>
  </si>
  <si>
    <t>92134</t>
  </si>
  <si>
    <t>CAMINHONETE COM MOTOR A DIESEL, POTÊNCIA 180 CV, CABINE DUPLA, 4X4 - JUROS. AF_11/2015</t>
  </si>
  <si>
    <t>92135</t>
  </si>
  <si>
    <t>CAMINHONETE COM MOTOR A DIESEL, POTÊNCIA 180 CV, CABINE DUPLA, 4X4 - IMPOSTOS E SEGUROS. AF_11/2015</t>
  </si>
  <si>
    <t>0,48</t>
  </si>
  <si>
    <t>92136</t>
  </si>
  <si>
    <t>CAMINHONETE COM MOTOR A DIESEL, POTÊNCIA 180 CV, CABINE DUPLA, 4X4 - MANUTENÇÃO. AF_11/2015</t>
  </si>
  <si>
    <t>92137</t>
  </si>
  <si>
    <t>CAMINHONETE COM MOTOR A DIESEL, POTÊNCIA 180 CV, CABINE DUPLA, 4X4 - MATERIAIS NA OPERAÇÃO. AF_11/2015</t>
  </si>
  <si>
    <t>92140</t>
  </si>
  <si>
    <t>CAMINHONETE CABINE SIMPLES COM MOTOR 1.6 FLEX, CÂMBIO MANUAL, POTÊNCIA 101/104 CV, 2 PORTAS - DEPRECIAÇÃO. AF_11/2015</t>
  </si>
  <si>
    <t>92141</t>
  </si>
  <si>
    <t>CAMINHONETE CABINE SIMPLES COM MOTOR 1.6 FLEX, CÂMBIO MANUAL, POTÊNCIA 101/104 CV, 2 PORTAS - JUROS. AF_11/2015</t>
  </si>
  <si>
    <t>92142</t>
  </si>
  <si>
    <t>CAMINHONETE CABINE SIMPLES COM MOTOR 1.6 FLEX, CÂMBIO MANUAL, POTÊNCIA 101/104 CV, 2 PORTAS - IMPOSTOS E SEGUROS. AF_11/2015</t>
  </si>
  <si>
    <t>92143</t>
  </si>
  <si>
    <t>CAMINHONETE CABINE SIMPLES COM MOTOR 1.6 FLEX, CÂMBIO MANUAL, POTÊNCIA 101/104 CV, 2 PORTAS - MANUTENÇÃO. AF_11/2015</t>
  </si>
  <si>
    <t>92144</t>
  </si>
  <si>
    <t>CAMINHONETE CABINE SIMPLES COM MOTOR 1.6 FLEX, CÂMBIO MANUAL, POTÊNCIA 101/104 CV, 2 PORTAS - MATERIAIS NA OPERAÇÃO. AF_11/2015</t>
  </si>
  <si>
    <t>92237</t>
  </si>
  <si>
    <t>CAMINHÃO DE TRANSPORTE DE MATERIAL ASFÁLTICO 20.000 L, COM CAVALO MECÂNICO DE CAPACIDADE MÁXIMA DE TRAÇÃO COMBINADO DE 45.000 KG, POTÊNCIA 330 CV, INCLUSIVE TANQUE DE ASFALTO COM MAÇARICO - DEPRECIAÇÃO. AF_12/2015</t>
  </si>
  <si>
    <t>14,74</t>
  </si>
  <si>
    <t>92238</t>
  </si>
  <si>
    <t>CAMINHÃO DE TRANSPORTE DE MATERIAL ASFÁLTICO 20.000 L, COM CAVALO MECÂNICO DE CAPACIDADE MÁXIMA DE TRAÇÃO COMBINADO DE 45.000 KG, POTÊNCIA 330 CV, INCLUSIVE TANQUE DE ASFALTO COM MAÇARICO - JUROS. AF_12/2015</t>
  </si>
  <si>
    <t>92239</t>
  </si>
  <si>
    <t>CAMINHÃO DE TRANSPORTE DE MATERIAL ASFÁLTICO 20.000 L, COM CAVALO MECÂNICO DE CAPACIDADE MÁXIMA DE TRAÇÃO COMBINADO DE 45.000 KG, POTÊNCIA 330 CV, INCLUSIVE TANQUE DE ASFALTO COM MAÇARICO - IMPOSTOS E SEGUROS. AF_12/2015</t>
  </si>
  <si>
    <t>92240</t>
  </si>
  <si>
    <t>CAMINHÃO DE TRANSPORTE DE MATERIAL ASFÁLTICO 20.000 L, COM CAVALO MECÂNICO DE CAPACIDADE MÁXIMA DE TRAÇÃO COMBINADO DE 45.000 KG, POTÊNCIA 330 CV, INCLUSIVE TANQUE DE ASFALTO COM MAÇARICO - MANUTENÇÃO. AF_12/2015</t>
  </si>
  <si>
    <t>92241</t>
  </si>
  <si>
    <t>CAMINHÃO DE TRANSPORTE DE MATERIAL ASFÁLTICO 20.000 L, COM CAVALO MECÂNICO DE CAPACIDADE MÁXIMA DE TRAÇÃO COMBINADO DE 45.000 KG, POTÊNCIA 330 CV, INCLUSIVE TANQUE DE ASFALTO COM MAÇARICO - MATERIAIS NA OPERAÇÃO. AF_12/2015</t>
  </si>
  <si>
    <t>92712</t>
  </si>
  <si>
    <t>92713</t>
  </si>
  <si>
    <t>92714</t>
  </si>
  <si>
    <t>92715</t>
  </si>
  <si>
    <t>92956</t>
  </si>
  <si>
    <t>MÁQUINA EXTRUSORA DE CONCRETO PARA GUIAS E SARJETAS, MOTOR A DIESEL, POTÊNCIA 14 CV - DEPRECIAÇÃO. AF_12/2015</t>
  </si>
  <si>
    <t>92957</t>
  </si>
  <si>
    <t>MÁQUINA EXTRUSORA DE CONCRETO PARA GUIAS E SARJETAS, MOTOR A DIESEL, POTÊNCIA 14 CV - JUROS. AF_12/2015</t>
  </si>
  <si>
    <t>0,44</t>
  </si>
  <si>
    <t>92958</t>
  </si>
  <si>
    <t>MÁQUINA EXTRUSORA DE CONCRETO PARA GUIAS E SARJETAS, MOTOR A DIESEL, POTÊNCIA 14 CV - MANUTENÇÃO. AF_12/2015</t>
  </si>
  <si>
    <t>92959</t>
  </si>
  <si>
    <t>MÁQUINA EXTRUSORA DE CONCRETO PARA GUIAS E SARJETAS, MOTOR A DIESEL, POTÊNCIA 14 CV - MATERIAIS NA OPERAÇÃO. AF_12/2015</t>
  </si>
  <si>
    <t>92963</t>
  </si>
  <si>
    <t>MARTELO PERFURADOR PNEUMÁTICO MANUAL, HASTE 25 X 75 MM, 21 KG - DEPRECIAÇÃO. AF_12/2015</t>
  </si>
  <si>
    <t>92964</t>
  </si>
  <si>
    <t>MARTELO PERFURADOR PNEUMÁTICO MANUAL, HASTE 25 X 75 MM, 21 KG - JUROS. AF_12/2015</t>
  </si>
  <si>
    <t>92965</t>
  </si>
  <si>
    <t>MARTELO PERFURADOR PNEUMÁTICO MANUAL, HASTE 25 X 75 MM, 21 KG - MANUTENÇÃO. AF_12/2015</t>
  </si>
  <si>
    <t>93220</t>
  </si>
  <si>
    <t>PERFURATRIZ COM TORRE METÁLICA PARA EXECUÇÃO DE ESTACA HÉLICE CONTÍNUA, PROFUNDIDADE MÁXIMA DE 32 M, DIÂMETRO MÁXIMO DE 1000 MM, POTÊNCIA INSTALADA DE 350 HP, MESA ROTATIVA COM TORQUE MÁXIMO DE 263 KNM - DEPRECIAÇÃO. AF_01/2016</t>
  </si>
  <si>
    <t>93221</t>
  </si>
  <si>
    <t>PERFURATRIZ COM TORRE METÁLICA PARA EXECUÇÃO DE ESTACA HÉLICE CONTÍNUA, PROFUNDIDADE MÁXIMA DE 32 M, DIÂMETRO MÁXIMO DE 1000 MM, POTÊNCIA INSTALADA DE 350 HP, MESA ROTATIVA COM TORQUE MÁXIMO DE 263 KNM - JUROS. AF_01/2016</t>
  </si>
  <si>
    <t>93222</t>
  </si>
  <si>
    <t>PERFURATRIZ COM TORRE METÁLICA PARA EXECUÇÃO DE ESTACA HÉLICE CONTÍNUA, PROFUNDIDADE MÁXIMA DE 32 M, DIÂMETRO MÁXIMO DE 1000 MM, POTÊNCIA INSTALADA DE 350 HP, MESA ROTATIVA COM TORQUE MÁXIMO DE 263 KNM - MANUTENÇÃO. AF_01/2016</t>
  </si>
  <si>
    <t>93223</t>
  </si>
  <si>
    <t>PERFURATRIZ COM TORRE METÁLICA PARA EXECUÇÃO DE ESTACA HÉLICE CONTÍNUA, PROFUNDIDADE MÁXIMA DE 32 M, DIÂMETRO MÁXIMO DE 1000 MM, POTÊNCIA INSTALADA DE 350 HP, MESA ROTATIVA COM TORQUE MÁXIMO DE 263 KNM  MATERIAIS NA OPERAÇÃO. AF_01/2016</t>
  </si>
  <si>
    <t>93229</t>
  </si>
  <si>
    <t>93230</t>
  </si>
  <si>
    <t>93231</t>
  </si>
  <si>
    <t>0,28</t>
  </si>
  <si>
    <t>93232</t>
  </si>
  <si>
    <t>93235</t>
  </si>
  <si>
    <t>GRUPO GERADOR ESTACIONÁRIO, MOTOR DIESEL POTÊNCIA 170 KVA - JUROS. AF_02/2016</t>
  </si>
  <si>
    <t>93238</t>
  </si>
  <si>
    <t>ROLO COMPACTADOR VIBRATÓRIO REBOCÁVEL, CILINDRO DE AÇO LISO, POTÊNCIA DE TRAÇÃO DE 65 CV, PESO 4,7 T, IMPACTO DINÂMICO 18,3 T, LARGURA DE TRABALHO 1,67 M - JUROS. AF_02/2016</t>
  </si>
  <si>
    <t>93239</t>
  </si>
  <si>
    <t>ROLO COMPACTADOR VIBRATÓRIO PÉ DE CARNEIRO, OPERADO POR CONTROLE REMOTO, POTÊNCIA 12,5 KW, PESO OPERACIONAL 1,675 T, LARGURA DE TRABALHO 0,85 M - JUROS. AF_02/2016</t>
  </si>
  <si>
    <t>93240</t>
  </si>
  <si>
    <t>ROLO COMPACTADOR VIBRATÓRIO PÉ DE CARNEIRO, OPERADO POR CONTROLE REMOTO, POTÊNCIA 12,5 KW, PESO OPERACIONAL 1,675 T, LARGURA DE TRABALHO 0,85 M - MATERIAIS NA OPERAÇÃO. AF_02/2016</t>
  </si>
  <si>
    <t>93267</t>
  </si>
  <si>
    <t>93269</t>
  </si>
  <si>
    <t>93270</t>
  </si>
  <si>
    <t>93271</t>
  </si>
  <si>
    <t>93277</t>
  </si>
  <si>
    <t>GUINCHO ELÉTRICO DE COLUNA, CAPACIDADE 400 KG, COM MOTO FREIO, MOTOR TRIFÁSICO DE 1,25 CV - DEPRECIAÇÃO. AF_03/2016</t>
  </si>
  <si>
    <t>93278</t>
  </si>
  <si>
    <t>GUINCHO ELÉTRICO DE COLUNA, CAPACIDADE 400 KG, COM MOTO FREIO, MOTOR TRIFÁSICO DE 1,25 CV - JUROS. AF_03/2016</t>
  </si>
  <si>
    <t>93279</t>
  </si>
  <si>
    <t>GUINCHO ELÉTRICO DE COLUNA, CAPACIDADE 400 KG, COM MOTO FREIO, MOTOR TRIFÁSICO DE 1,25 CV - MANUTENÇÃO. AF_03/2016</t>
  </si>
  <si>
    <t>93280</t>
  </si>
  <si>
    <t>GUINCHO ELÉTRICO DE COLUNA, CAPACIDADE 400 KG, COM MOTO FREIO, MOTOR TRIFÁSICO DE 1,25 CV - MATERIAIS NA OPERAÇÃO. AF_03/2016</t>
  </si>
  <si>
    <t>93283</t>
  </si>
  <si>
    <t>GUINDASTE HIDRÁULICO AUTOPROPELIDO, COM LANÇA TELESCÓPICA 40 M, CAPACIDADE MÁXIMA 60 T, POTÊNCIA 260 KW - DEPRECIAÇÃO. AF_03/2016</t>
  </si>
  <si>
    <t>93284</t>
  </si>
  <si>
    <t>GUINDASTE HIDRÁULICO AUTOPROPELIDO, COM LANÇA TELESCÓPICA 40 M, CAPACIDADE MÁXIMA 60 T, POTÊNCIA 260 KW - JUROS. AF_03/2016</t>
  </si>
  <si>
    <t>93285</t>
  </si>
  <si>
    <t>GUINDASTE HIDRÁULICO AUTOPROPELIDO, COM LANÇA TELESCÓPICA 40 M, CAPACIDADE MÁXIMA 60 T, POTÊNCIA 260 KW - MANUTENÇÃO. AF_03/2016</t>
  </si>
  <si>
    <t>93286</t>
  </si>
  <si>
    <t>GUINDASTE HIDRÁULICO AUTOPROPELIDO, COM LANÇA TELESCÓPICA 40 M, CAPACIDADE MÁXIMA 60 T, POTÊNCIA 260 KW - MATERIAIS NA OPERAÇÃO. AF_03/2016</t>
  </si>
  <si>
    <t>93296</t>
  </si>
  <si>
    <t>GUINDASTE HIDRÁULICO AUTOPROPELIDO, COM LANÇA TELESCÓPICA 40 M, CAPACIDADE MÁXIMA 60 T, POTÊNCIA 260 KW - IMPOSTOS E SEGUROS. AF_03/2016</t>
  </si>
  <si>
    <t>93397</t>
  </si>
  <si>
    <t>GUINDAUTO HIDRÁULICO, CAPACIDADE MÁXIMA DE CARGA 3300 KG, MOMENTO MÁXIMO DE CARGA 5,8 TM, ALCANCE MÁXIMO HORIZONTAL 7,60 M, INCLUSIVE CAMINHÃO TOCO PBT 16.000 KG, POTÊNCIA DE 189 CV - DEPRECIAÇÃO. AF_03/2016</t>
  </si>
  <si>
    <t>93398</t>
  </si>
  <si>
    <t>GUINDAUTO HIDRÁULICO, CAPACIDADE MÁXIMA DE CARGA 3300 KG, MOMENTO MÁXIMO DE CARGA 5,8 TM, ALCANCE MÁXIMO HORIZONTAL 7,60 M, INCLUSIVE CAMINHÃO TOCO PBT 16.000 KG, POTÊNCIA DE 189 CV - JUROS. AF_03/2016</t>
  </si>
  <si>
    <t>93399</t>
  </si>
  <si>
    <t>GUINDAUTO HIDRÁULICO, CAPACIDADE MÁXIMA DE CARGA 3300 KG, MOMENTO MÁXIMO DE CARGA 5,8 TM, ALCANCE MÁXIMO HORIZONTAL 7,60 M, INCLUSIVE CAMINHÃO TOCO PBT 16.000 KG, POTÊNCIA DE 189 CV  IMPOSTOS E SEGUROS. AF_03/2016</t>
  </si>
  <si>
    <t>93400</t>
  </si>
  <si>
    <t>GUINDAUTO HIDRÁULICO, CAPACIDADE MÁXIMA DE CARGA 3300 KG, MOMENTO MÁXIMO DE CARGA 5,8 TM, ALCANCE MÁXIMO HORIZONTAL 7,60 M, INCLUSIVE CAMINHÃO TOCO PBT 16.000 KG, POTÊNCIA DE 189 CV - MANUTENÇÃO. AF_03/2016</t>
  </si>
  <si>
    <t>93401</t>
  </si>
  <si>
    <t>GUINDAUTO HIDRÁULICO, CAPACIDADE MÁXIMA DE CARGA 3300 KG, MOMENTO MÁXIMO DE CARGA 5,8 TM, ALCANCE MÁXIMO HORIZONTAL 7,60 M, INCLUSIVE CAMINHÃO TOCO PBT 16.000 KG, POTÊNCIA DE 189 CV - MATERIAIS NA OPERAÇÃO. AF_03/2016</t>
  </si>
  <si>
    <t>93404</t>
  </si>
  <si>
    <t>93405</t>
  </si>
  <si>
    <t>93406</t>
  </si>
  <si>
    <t>93407</t>
  </si>
  <si>
    <t>93411</t>
  </si>
  <si>
    <t>GERADOR PORTÁTIL MONOFÁSICO, POTÊNCIA 5500 VA, MOTOR A GASOLINA, POTÊNCIA DO MOTOR 13 CV - DEPRECIAÇÃO. AF_03/2016</t>
  </si>
  <si>
    <t>0,21</t>
  </si>
  <si>
    <t>93412</t>
  </si>
  <si>
    <t>GERADOR PORTÁTIL MONOFÁSICO, POTÊNCIA 5500 VA, MOTOR A GASOLINA, POTÊNCIA DO MOTOR 13 CV - JUROS. AF_03/2016</t>
  </si>
  <si>
    <t>93413</t>
  </si>
  <si>
    <t>GERADOR PORTÁTIL MONOFÁSICO, POTÊNCIA 5500 VA, MOTOR A GASOLINA, POTÊNCIA DO MOTOR 13 CV - MANUTENÇÃO. AF_03/2016</t>
  </si>
  <si>
    <t>93414</t>
  </si>
  <si>
    <t>GERADOR PORTÁTIL MONOFÁSICO, POTÊNCIA 5500 VA, MOTOR A GASOLINA, POTÊNCIA DO MOTOR 13 CV - MATERIAIS NA OPERAÇÃO. AF_03/2016</t>
  </si>
  <si>
    <t>8,88</t>
  </si>
  <si>
    <t>93417</t>
  </si>
  <si>
    <t>GRUPO GERADOR REBOCÁVEL, POTÊNCIA 66 KVA, MOTOR A DIESEL - DEPRECIAÇÃO. AF_03/2016</t>
  </si>
  <si>
    <t>2,76</t>
  </si>
  <si>
    <t>93418</t>
  </si>
  <si>
    <t>GRUPO GERADOR REBOCÁVEL, POTÊNCIA 66 KVA, MOTOR A DIESEL - JUROS. AF_03/2016</t>
  </si>
  <si>
    <t>93419</t>
  </si>
  <si>
    <t>GRUPO GERADOR REBOCÁVEL, POTÊNCIA 66 KVA, MOTOR A DIESEL - MANUTENÇÃO. AF_03/2016</t>
  </si>
  <si>
    <t>93420</t>
  </si>
  <si>
    <t>GRUPO GERADOR REBOCÁVEL, POTÊNCIA 66 KVA, MOTOR A DIESEL - MATERIAIS NA OPERAÇÃO. AF_03/2016</t>
  </si>
  <si>
    <t>93423</t>
  </si>
  <si>
    <t>GRUPO GERADOR ESTACIONÁRIO, POTÊNCIA 150 KVA, MOTOR A DIESEL- DEPRECIAÇÃO. AF_03/2016</t>
  </si>
  <si>
    <t>93424</t>
  </si>
  <si>
    <t>GRUPO GERADOR ESTACIONÁRIO, POTÊNCIA 150 KVA, MOTOR A DIESEL- JUROS. AF_03/2016</t>
  </si>
  <si>
    <t>0,70</t>
  </si>
  <si>
    <t>93425</t>
  </si>
  <si>
    <t>GRUPO GERADOR ESTACIONÁRIO, POTÊNCIA 150 KVA, MOTOR A DIESEL- MANUTENÇÃO. AF_03/2016</t>
  </si>
  <si>
    <t>93426</t>
  </si>
  <si>
    <t>GRUPO GERADOR ESTACIONÁRIO, POTÊNCIA 150 KVA, MOTOR A DIESEL- MATERIAIS NA OPERAÇÃO. AF_03/2016</t>
  </si>
  <si>
    <t>93429</t>
  </si>
  <si>
    <t>93430</t>
  </si>
  <si>
    <t>93431</t>
  </si>
  <si>
    <t>93432</t>
  </si>
  <si>
    <t>93435</t>
  </si>
  <si>
    <t>93436</t>
  </si>
  <si>
    <t>93437</t>
  </si>
  <si>
    <t>6,69</t>
  </si>
  <si>
    <t>93438</t>
  </si>
  <si>
    <t>95114</t>
  </si>
  <si>
    <t>MARTELETE OU ROMPEDOR PNEUMÁTICO MANUAL, 28 KG, COM SILENCIADOR - DEPRECIAÇÃO. AF_07/2016</t>
  </si>
  <si>
    <t>95115</t>
  </si>
  <si>
    <t>MARTELETE OU ROMPEDOR PNEUMÁTICO MANUAL, 28 KG, COM SILENCIADOR - JUROS. AF_07/2016</t>
  </si>
  <si>
    <t>95116</t>
  </si>
  <si>
    <t>USINA DE CONCRETO FIXA, CAPACIDADE NOMINAL DE 90 A 120 M3/H, SEM SILO - DEPRECIAÇÃO. AF_07/2016</t>
  </si>
  <si>
    <t>95117</t>
  </si>
  <si>
    <t>USINA DE CONCRETO FIXA, CAPACIDADE NOMINAL DE 90 A 120 M3/H, SEM SILO - JUROS. AF_07/2016</t>
  </si>
  <si>
    <t>95118</t>
  </si>
  <si>
    <t>USINA MISTURADORA DE SOLOS, CAPACIDADE DE 200 A 500 TON/H, POTENCIA 75KW - DEPRECIAÇÃO. AF_07/2016</t>
  </si>
  <si>
    <t>95119</t>
  </si>
  <si>
    <t>USINA MISTURADORA DE SOLOS, CAPACIDADE DE 200 A 500 TON/H, POTENCIA 75KW - JUROS. AF_07/2016</t>
  </si>
  <si>
    <t>95120</t>
  </si>
  <si>
    <t>USINA MISTURADORA DE SOLOS, CAPACIDADE DE 200 A 500 TON/H, POTENCIA 75KW - MATERIAIS NA OPERAÇÃO. AF_07/2016</t>
  </si>
  <si>
    <t>95123</t>
  </si>
  <si>
    <t>DISTRIBUIDOR DE AGREGADOS AUTOPROPELIDO, CAP 3 M3, A DIESEL, POTÊNCIA 176CV - DEPRECIAÇÃO. AF_07/2016</t>
  </si>
  <si>
    <t>95124</t>
  </si>
  <si>
    <t>DISTRIBUIDOR DE AGREGADOS AUTOPROPELIDO, C/AP 3 M3, A DIESEL, POTÊNCIA 176CV - JUROS. AF_07/2016</t>
  </si>
  <si>
    <t>1,79</t>
  </si>
  <si>
    <t>95125</t>
  </si>
  <si>
    <t>DISTRIBUIDOR DE AGREGADOS AUTOPROPELIDO, CAP 3 M3, A DIESEL, POTÊNCIA 176CV - MANUTENÇÃO. AF_07/2016</t>
  </si>
  <si>
    <t>95126</t>
  </si>
  <si>
    <t>DISTRIBUIDOR DE AGREGADOS AUTOPROPELIDO, CAP 3 M3, A DIESEL, POTÊNCIA 176CV  MATERIAIS NA OPERAÇÃO. AF_07/2016</t>
  </si>
  <si>
    <t>95129</t>
  </si>
  <si>
    <t>MÁQUINA DEMARCADORA DE FAIXA DE TRÁFEGO À FRIO, AUTOPROPELIDA, POTÊNCIA 38 HP - DEPRECIAÇÃO. AF_07/2016</t>
  </si>
  <si>
    <t>95130</t>
  </si>
  <si>
    <t>MÁQUINA DEMARCADORA DE FAIXA DE TRÁFEGO À FRIO, AUTOPROPELIDA, POTÊNCIA 38 HP - JUROS. AF_07/2016</t>
  </si>
  <si>
    <t>95131</t>
  </si>
  <si>
    <t>MÁQUINA DEMARCADORA DE FAIXA DE TRÁFEGO À FRIO, AUTOPROPELIDA, POTÊNCIA 38 HP - MANUTENÇÃO. AF_07/2016</t>
  </si>
  <si>
    <t>95132</t>
  </si>
  <si>
    <t>MÁQUINA DEMARCADORA DE FAIXA DE TRÁFEGO À FRIO, AUTOPROPELIDA, POTÊNCIA 38 HP - MATERIAIS NA OPERAÇÃO. AF_07/2016</t>
  </si>
  <si>
    <t>95136</t>
  </si>
  <si>
    <t>TALHA MANUAL DE CORRENTE, CAPACIDADE DE 2 TON. COM ELEVAÇÃO DE 3 M - DEPRECIAÇÃO. AF_07/2016</t>
  </si>
  <si>
    <t>95137</t>
  </si>
  <si>
    <t>TALHA MANUAL DE CORRENTE, CAPACIDADE DE 2 TON. COM ELEVAÇÃO DE 3 M - JUROS. AF_07/2016</t>
  </si>
  <si>
    <t>95138</t>
  </si>
  <si>
    <t>TALHA MANUAL DE CORRENTE, CAPACIDADE DE 2 TON. COM ELEVAÇÃO DE 3 M - MANUTENÇÃO. AF_07/2016</t>
  </si>
  <si>
    <t>95208</t>
  </si>
  <si>
    <t>95209</t>
  </si>
  <si>
    <t>95210</t>
  </si>
  <si>
    <t>95211</t>
  </si>
  <si>
    <t>95217</t>
  </si>
  <si>
    <t>95255</t>
  </si>
  <si>
    <t>MARTELO DEMOLIDOR PNEUMÁTICO MANUAL, 32 KG - DEPRECIAÇÃO. AF_09/2016</t>
  </si>
  <si>
    <t>95256</t>
  </si>
  <si>
    <t>MARTELO DEMOLIDOR PNEUMÁTICO MANUAL, 32 KG - JUROS. AF_09/2016</t>
  </si>
  <si>
    <t>95257</t>
  </si>
  <si>
    <t>MARTELO DEMOLIDOR PNEUMÁTICO MANUAL, 32 KG - MANUTENÇÃO. AF_09/2016</t>
  </si>
  <si>
    <t>95260</t>
  </si>
  <si>
    <t>COMPACTADOR DE SOLOS DE PERCUSÃO (SOQUETE) COM MOTOR A GASOLINA, POTÊNCIA 3 CV - DEPRECIAÇÃO. AF_09/2016</t>
  </si>
  <si>
    <t>95261</t>
  </si>
  <si>
    <t>COMPACTADOR DE SOLOS DE PERCUSÃO (SOQUETE) COM MOTOR A GASOLINA, POTÊNCIA 3 CV - JUROS. AF_09/2016</t>
  </si>
  <si>
    <t>95262</t>
  </si>
  <si>
    <t>COMPACTADOR DE SOLOS DE PERCUSÃO (SOQUETE) COM MOTOR A GASOLINA, POTÊNCIA 3 CV - MANUTENÇÃO. AF_09/2016</t>
  </si>
  <si>
    <t>95263</t>
  </si>
  <si>
    <t>COMPACTADOR DE SOLOS DE PERCUSÃO (SOQUETE) COM MOTOR A GASOLINA, POTÊNCIA 3 CV - MATERIAIS NA OPERAÇÃO. AF_09/2016</t>
  </si>
  <si>
    <t>95266</t>
  </si>
  <si>
    <t>RÉGUA VIBRATÓRIA DUPLA PARA CONCRETO, PESO DE 60KG, COMPRIMENTO 4 M, COM MOTOR A GASOLINA, POTÊNCIA 5,5 HP - DEPRECIAÇÃO. AF_09/2016</t>
  </si>
  <si>
    <t>0,42</t>
  </si>
  <si>
    <t>95267</t>
  </si>
  <si>
    <t>RÉGUA VIBRATÓRIA DUPLA PARA CONCRETO, PESO DE 60KG, COMPRIMENTO 4 M, COM MOTOR A GASOLINA, POTÊNCIA 5,5 HP - JUROS. AF_09/2016</t>
  </si>
  <si>
    <t>95268</t>
  </si>
  <si>
    <t>RÉGUA VIBRATÓRIA DUPLA PARA CONCRETO, PESO DE 60KG, COMPRIMENTO 4 M, COM MOTOR A GASOLINA, POTÊNCIA 5,5 HP - MANUTENÇÃO. AF_09/2016</t>
  </si>
  <si>
    <t>95269</t>
  </si>
  <si>
    <t>RÉGUA VIBRATÓRIA DUPLA PARA CONCRETO, PESO DE 60KG, COMPRIMENTO 4 M, COM MOTOR A GASOLINA, POTÊNCIA 5,5 HP  MATERIAIS NA OPERAÇÃO. AF_09/2016</t>
  </si>
  <si>
    <t>95272</t>
  </si>
  <si>
    <t>95273</t>
  </si>
  <si>
    <t>95274</t>
  </si>
  <si>
    <t>95275</t>
  </si>
  <si>
    <t>95278</t>
  </si>
  <si>
    <t>95279</t>
  </si>
  <si>
    <t>95280</t>
  </si>
  <si>
    <t>95281</t>
  </si>
  <si>
    <t>95617</t>
  </si>
  <si>
    <t>PERFURATRIZ PNEUMATICA MANUAL DE PESO MEDIO, MARTELETE, 18KG, COMPRIMENTO MÁXIMO DE CURSO DE 6 M, DIAMETRO DO PISTAO DE 5,5 CM - DEPRECIAÇÃO. AF_11/2016</t>
  </si>
  <si>
    <t>95618</t>
  </si>
  <si>
    <t>PERFURATRIZ PNEUMATICA MANUAL DE PESO MEDIO, MARTELETE, 18KG, COMPRIMENTO MÁXIMO DE CURSO DE 6 M, DIAMETRO DO PISTAO DE 5,5 CM - JUROS. AF_11/2016</t>
  </si>
  <si>
    <t>95619</t>
  </si>
  <si>
    <t>PERFURATRIZ PNEUMATICA MANUAL DE PESO MEDIO, MARTELETE, 18KG, COMPRIMENTO MÁXIMO DE CURSO DE 6 M, DIAMETRO DO PISTAO DE 5,5 CM - MANUTENÇÃO. AF_11/2016</t>
  </si>
  <si>
    <t>95627</t>
  </si>
  <si>
    <t>ROLO COMPACTADOR VIBRATORIO TANDEM, ACO LISO, POTENCIA 125 HP, PESO SEM/COM LASTRO 10,20/11,65 T, LARGURA DE TRABALHO 1,73 M - DEPRECIAÇÃO. AF_11/2016</t>
  </si>
  <si>
    <t>95628</t>
  </si>
  <si>
    <t>ROLO COMPACTADOR VIBRATORIO TANDEM, ACO LISO, POTENCIA 125 HP, PESO SEM/COM LASTRO 10,20/11,65 T, LARGURA DE TRABALHO 1,73 M - JUROS. AF_11/2016</t>
  </si>
  <si>
    <t>95629</t>
  </si>
  <si>
    <t>ROLO COMPACTADOR VIBRATORIO TANDEM, ACO LISO, POTENCIA 125 HP, PESO SEM/COM LASTRO 10,20/11,65 T, LARGURA DE TRABALHO 1,73 M - MANUTENÇÃO. AF_11/2016</t>
  </si>
  <si>
    <t>95630</t>
  </si>
  <si>
    <t>ROLO COMPACTADOR VIBRATORIO TANDEM, ACO LISO, POTENCIA 125 HP, PESO SEM/COM LASTRO 10,20/11,65 T, LARGURA DE TRABALHO 1,73 M - MATERIAIS NA OPERAÇÃO. AF_11/2016</t>
  </si>
  <si>
    <t>95698</t>
  </si>
  <si>
    <t>PERFURATRIZ MANUAL, TORQUE MAXIMO 55 KGF.M, POTENCIA 5 CV, COM DIAMETRO MAXIMO 8 1/2" - DEPRECIAÇÃO. AF_11/2016</t>
  </si>
  <si>
    <t>3,27</t>
  </si>
  <si>
    <t>95699</t>
  </si>
  <si>
    <t>PERFURATRIZ MANUAL, TORQUE MAXIMO 55 KGF.M, POTENCIA 5 CV, COM DIAMETRO MAXIMO 8 1/2" - JUROS. AF_11/2016</t>
  </si>
  <si>
    <t>0,38</t>
  </si>
  <si>
    <t>95700</t>
  </si>
  <si>
    <t>PERFURATRIZ MANUAL, TORQUE MAXIMO 55 KGF.M, POTENCIA 5 CV, COM DIAMETRO MAXIMO 8 1/2" - MANUTENÇÃO. AF_11/2016</t>
  </si>
  <si>
    <t>95701</t>
  </si>
  <si>
    <t>PERFURATRIZ MANUAL, TORQUE MAXIMO 55 KGF.M, POTENCIA 5 CV, COM DIAMETRO MAXIMO 8 1/2" - MATERIAIS NA OPERAÇÃO. AF_11/2016</t>
  </si>
  <si>
    <t>95704</t>
  </si>
  <si>
    <t>PERFURATRIZ SOBRE ESTEIRA, TORQUE MÁXIMO 600 KGF, POTÊNCIA ENTRE 50 E 60 HP, DIÂMETRO MÁXIMO 10 - DEPRECIAÇÃO. AF_11/2016</t>
  </si>
  <si>
    <t>95705</t>
  </si>
  <si>
    <t>PERFURATRIZ SOBRE ESTEIRA, TORQUE MÁXIMO 600 KGF, POTÊNCIA ENTRE 50 E 60 HP, DIÂMETRO MÁXIMO 10 - JUROS. AF_11/2016</t>
  </si>
  <si>
    <t>95706</t>
  </si>
  <si>
    <t>PERFURATRIZ SOBRE ESTEIRA, TORQUE MÁXIMO 600 KGF, POTÊNCIA ENTRE 50 E 60 HP, DIÂMETRO MÁXIMO 10 - MANUTENÇÃO. AF_11/2016</t>
  </si>
  <si>
    <t>95707</t>
  </si>
  <si>
    <t>PERFURATRIZ SOBRE ESTEIRA, TORQUE MÁXIMO 600 KGF, POTÊNCIA ENTRE 50 E 60 HP, DIÂMETRO MÁXIMO 10 - MATERIAIS NA OPERAÇÃO. AF_11/2016</t>
  </si>
  <si>
    <t>95710</t>
  </si>
  <si>
    <t>ESCAVADEIRA HIDRAULICA SOBRE ESTEIRA, COM GARRA GIRATORIA DE MANDIBULAS, PESO OPERACIONAL ENTRE 22,00 E 25,50 TON, POTENCIA LIQUIDA ENTRE 150 E 160 HP - DEPRECIAÇÃO. AF_11/2016</t>
  </si>
  <si>
    <t>95711</t>
  </si>
  <si>
    <t>ESCAVADEIRA HIDRAULICA SOBRE ESTEIRA, COM GARRA GIRATORIA DE MANDIBULAS, PESO OPERACIONAL ENTRE 22,00 E 25,50 TON, POTENCIA LIQUIDA ENTRE 150 E 160 HP - JUROS. AF_11/2016</t>
  </si>
  <si>
    <t>95712</t>
  </si>
  <si>
    <t>ESCAVADEIRA HIDRAULICA SOBRE ESTEIRA, COM GARRA GIRATORIA DE MANDIBULAS, PESO OPERACIONAL ENTRE 22,00 E 25,50 TON, POTENCIA LIQUIDA ENTRE 150 E 160 HP - MANUTENÇÃO. AF_11/2016</t>
  </si>
  <si>
    <t>95713</t>
  </si>
  <si>
    <t>ESCAVADEIRA HIDRAULICA SOBRE ESTEIRA, COM GARRA GIRATORIA DE MANDIBULAS, PESO OPERACIONAL ENTRE 22,00 E 25,50 TON, POTENCIA LIQUIDA ENTRE 150 E 160 HP - MATERIAIS NA OPERAÇÃO. AF_11/2016</t>
  </si>
  <si>
    <t>95716</t>
  </si>
  <si>
    <t>ESCAVADEIRA HIDRAULICA SOBRE ESTEIRA, EQUIPADA COM CLAMSHELL, COM CAPACIDADE DA CAÇAMBA ENTRE 1,20 E 1,50 M3, PESO OPERACIONAL ENTRE 20,00 E 22,00 TON, POTENCIA LIQUIDA ENTRE 150 E 160 HP - DEPRECIAÇÃO. AF_11/2016</t>
  </si>
  <si>
    <t>95717</t>
  </si>
  <si>
    <t>ESCAVADEIRA HIDRAULICA SOBRE ESTEIRA, EQUIPADA COM CLAMSHELL, COM CAPACIDADE DA CAÇAMBA ENTRE 1,20 E 1,50 M3, PESO OPERACIONAL ENTRE 20,00 E 22,00 TON, POTENCIA LIQUIDA ENTRE 150 E 160 HP - JUROS. AF_11/2016</t>
  </si>
  <si>
    <t>95718</t>
  </si>
  <si>
    <t>ESCAVADEIRA HIDRAULICA SOBRE ESTEIRA, EQUIPADA COM CLAMSHELL, COM CAPACIDADE DA CAÇAMBA ENTRE 1,20 E 1,50 M3, PESO OPERACIONAL ENTRE 20,00 E 22,00 TON, POTENCIA LIQUIDA ENTRE 150 E 160 HP - MANUTENÇÃO. AF_11/2016</t>
  </si>
  <si>
    <t>95719</t>
  </si>
  <si>
    <t>ESCAVADEIRA HIDRAULICA SOBRE ESTEIRA, EQUIPADA COM CLAMSHELL, COM CAPACIDADE DA CAÇAMBA ENTRE 1,20 E 1,50 M3, PESO OPERACIONAL ENTRE 20,00 E 22,00 TON, POTENCIA LIQUIDA ENTRE 150 E 160 HP - MATERIAIS NA OPERAÇÃO. AF_11/2016</t>
  </si>
  <si>
    <t>95869</t>
  </si>
  <si>
    <t>GRUPO GERADOR COM CARENAGEM, MOTOR DIESEL POTÊNCIA STANDART ENTRE 250 E 260 KVA - JUROS. AF_12/2016</t>
  </si>
  <si>
    <t>95870</t>
  </si>
  <si>
    <t>GRUPO GERADOR COM CARENAGEM, MOTOR DIESEL POTÊNCIA STANDART ENTRE 250 E 260 KVA - MANUTENÇÃO. AF_12/2016</t>
  </si>
  <si>
    <t>5,57</t>
  </si>
  <si>
    <t>95871</t>
  </si>
  <si>
    <t>GRUPO GERADOR COM CARENAGEM, MOTOR DIESEL POTÊNCIA STANDART ENTRE 250 E 260 KVA - MATERIAIS NA OPERAÇÃO. AF_12/2016</t>
  </si>
  <si>
    <t>95874</t>
  </si>
  <si>
    <t>GRUPO GERADOR COM CARENAGEM, MOTOR DIESEL POTÊNCIA STANDART ENTRE 250 E 260 KVA - DEPRECIAÇÃO. AF_12/2016</t>
  </si>
  <si>
    <t>96008</t>
  </si>
  <si>
    <t>TRATOR DE PNEUS COM POTÊNCIA DE 122 CV, TRAÇÃO 4X4, COM VASSOURA MECÂNICA ACOPLADA - DEPRECIAÇÃO. AF_02/2017</t>
  </si>
  <si>
    <t>96009</t>
  </si>
  <si>
    <t>TRATOR DE PNEUS COM POTÊNCIA DE 122 CV, TRAÇÃO 4X4, COM VASSOURA MECÂNICA ACOPLADA - JUROS. AF_02/2017</t>
  </si>
  <si>
    <t>96011</t>
  </si>
  <si>
    <t>TRATOR DE PNEUS COM POTÊNCIA DE 122 CV, TRAÇÃO 4X4, COM VASSOURA MECÂNICA ACOPLADA - MANUTENÇÃO. AF_02/2017</t>
  </si>
  <si>
    <t>96012</t>
  </si>
  <si>
    <t>TRATOR DE PNEUS COM POTÊNCIA DE 122 CV, TRAÇÃO 4X4, COM VASSOURA MECÂNICA ACOPLADA - MATERIAIS NA OPERAÇÃO. AF_02/2017</t>
  </si>
  <si>
    <t>96015</t>
  </si>
  <si>
    <t>TRATOR DE PNEUS COM POTÊNCIA DE 122 CV, TRAÇÃO 4X4, COM GRADE DE DISCOS ACOPLADA - DEPRECIAÇÃO. AF_02/2017</t>
  </si>
  <si>
    <t>96016</t>
  </si>
  <si>
    <t>TRATOR DE PNEUS COM POTÊNCIA DE 122 CV, TRAÇÃO 4X4, COM GRADE DE DISCOS ACOPLADA - JUROS. AF_02/2017</t>
  </si>
  <si>
    <t>96018</t>
  </si>
  <si>
    <t>TRATOR DE PNEUS COM POTÊNCIA DE 122 CV, TRAÇÃO 4X4, COM GRADE DE DISCOS ACOPLADA - MANUTENÇÃO. AF_02/2017</t>
  </si>
  <si>
    <t>96019</t>
  </si>
  <si>
    <t>TRATOR DE PNEUS COM POTÊNCIA DE 122 CV, TRAÇÃO 4X4, COM GRADE DE DISCOS ACOPLADA - MATERIAIS NA OPERAÇÃO. AF_02/2017</t>
  </si>
  <si>
    <t>96023</t>
  </si>
  <si>
    <t>TRATOR DE PNEUS COM POTÊNCIA DE 85 CV, TRAÇÃO 4X4, COM GRADE DE DISCOS ACOPLADA - DEPRECIAÇÃO. AF_02/2017</t>
  </si>
  <si>
    <t>9,34</t>
  </si>
  <si>
    <t>96024</t>
  </si>
  <si>
    <t>TRATOR DE PNEUS COM POTÊNCIA DE 85 CV, TRAÇÃO 4X4, COM GRADE DE DISCOS ACOPLADA - JUROS. AF_02/2017</t>
  </si>
  <si>
    <t>96026</t>
  </si>
  <si>
    <t>TRATOR DE PNEUS COM POTÊNCIA DE 85 CV, TRAÇÃO 4X4, COM GRADE DE DISCOS ACOPLADA - MANUTENÇÃO. AF_02/2017</t>
  </si>
  <si>
    <t>96027</t>
  </si>
  <si>
    <t>TRATOR DE PNEUS COM POTÊNCIA DE 85 CV, TRAÇÃO 4X4, COM GRADE DE DISCOS ACOPLADA - MATERIAIS NA OPERAÇÃO. AF_02/2017</t>
  </si>
  <si>
    <t>96030</t>
  </si>
  <si>
    <t>CAMINHÃO BASCULANTE 10 M3, TRUCADO, POTÊNCIA 230 CV, INCLUSIVE CAÇAMBA METÁLICA, COM DISTRIBUIDOR DE AGREGADOS ACOPLADO - DEPRECIAÇÃO. AF_02/2017</t>
  </si>
  <si>
    <t>96031</t>
  </si>
  <si>
    <t>CAMINHÃO BASCULANTE 10 M3, TRUCADO, POTÊNCIA 230 CV, INCLUSIVE CAÇAMBA METÁLICA, COM DISTRIBUIDOR DE AGREGADOS ACOPLADO - JUROS. AF_02/2017</t>
  </si>
  <si>
    <t>96032</t>
  </si>
  <si>
    <t>CAMINHÃO BASCULANTE 10 M3, TRUCADO, POTÊNCIA 230 CV, INCLUSIVE CAÇAMBA METÁLICA, COM DISTRIBUIDOR DE AGREGADOS ACOPLADO - IMPOSTOS E SEGUROS. AF_02/2017</t>
  </si>
  <si>
    <t>1,22</t>
  </si>
  <si>
    <t>96033</t>
  </si>
  <si>
    <t>CAMINHÃO BASCULANTE 10 M3, TRUCADO, POTÊNCIA 230 CV, INCLUSIVE CAÇAMBA METÁLICA, COM DISTRIBUIDOR DE AGREGADOS ACOPLADO - MANUTENÇÃO. AF_02/2017</t>
  </si>
  <si>
    <t>96034</t>
  </si>
  <si>
    <t>CAMINHÃO BASCULANTE 10 M3, TRUCADO, POTÊNCIA 230 CV, INCLUSIVE CAÇAMBA METÁLICA, COM DISTRIBUIDOR DE AGREGADOS ACOPLADO - MATERIAIS NA OPERAÇÃO. AF_02/2017</t>
  </si>
  <si>
    <t>96053</t>
  </si>
  <si>
    <t>TRATOR DE PNEUS COM POTÊNCIA DE 85 CV, TRAÇÃO 4X4, COM VASSOURA MECÂNICA ACOPLADA - DEPRECIAÇÃO. AF_03/2017</t>
  </si>
  <si>
    <t>96054</t>
  </si>
  <si>
    <t>MINICARREGADEIRA SOBRE RODAS POTENCIA 47HP CAPACIDADE OPERACAO 646 KG, COM VASSOURA MECÂNICA ACOPLADA - DEPRECIAÇÃO. AF_03/2017</t>
  </si>
  <si>
    <t>96055</t>
  </si>
  <si>
    <t>TRATOR DE PNEUS COM POTÊNCIA DE 85 CV, TRAÇÃO 4X4, COM VASSOURA MECÂNICA ACOPLADA - JUROS. AF_03/2017</t>
  </si>
  <si>
    <t>1,30</t>
  </si>
  <si>
    <t>96056</t>
  </si>
  <si>
    <t>TRATOR DE PNEUS COM POTÊNCIA DE 85 CV, TRAÇÃO 4X4, COM VASSOURA MECÂNICA ACOPLADA - MANUTENÇÃO. AF_03/2017</t>
  </si>
  <si>
    <t>10,33</t>
  </si>
  <si>
    <t>96057</t>
  </si>
  <si>
    <t>TRATOR DE PNEUS COM POTÊNCIA DE 85 CV, TRAÇÃO 4X4, COM VASSOURA MECÂNICA ACOPLADA - MATERIAIS NA OPERAÇÃO. AF_03/2017</t>
  </si>
  <si>
    <t>96060</t>
  </si>
  <si>
    <t>MINICARREGADEIRA SOBRE RODAS POTENCIA 47HP CAPACIDADE OPERACAO 646 KG, COM VASSOURA MECÂNICA ACOPLADA - JUROS. AF_03/2017</t>
  </si>
  <si>
    <t>96061</t>
  </si>
  <si>
    <t>MINICARREGADEIRA SOBRE RODAS POTENCIA 47HP CAPACIDADE OPERACAO 646 KG, COM VASSOURA MECÂNICA ACOPLADA - MANUTENÇÃO. AF_03/2017</t>
  </si>
  <si>
    <t>96062</t>
  </si>
  <si>
    <t>MINICARREGADEIRA SOBRE RODAS POTENCIA 47HP CAPACIDADE OPERACAO 646 KG, COM VASSOURA MECÂNICA ACOPLADA - MATERIAIS NA OPERAÇÃO. AF_03/2017</t>
  </si>
  <si>
    <t>96241</t>
  </si>
  <si>
    <t>MINIESCAVADEIRA SOBRE ESTEIRAS, POTENCIA LIQUIDA DE *30* HP, PESO OPERACIONAL DE *3.500* KG - DEPRECIACAO. AF_04/2017</t>
  </si>
  <si>
    <t>96242</t>
  </si>
  <si>
    <t>MINIESCAVADEIRA SOBRE ESTEIRAS, POTENCIA LIQUIDA DE *30* HP, PESO OPERACIONAL DE *3.500* KG - JUROS. AF_04/2017</t>
  </si>
  <si>
    <t>96243</t>
  </si>
  <si>
    <t>MINIESCAVADEIRA SOBRE ESTEIRAS, POTENCIA LIQUIDA DE *30* HP, PESO OPERACIONAL DE *3.500* KG - MANUTENCAO. AF_04/2017</t>
  </si>
  <si>
    <t>96244</t>
  </si>
  <si>
    <t>MINIESCAVADEIRA SOBRE ESTEIRAS, POTENCIA LIQUIDA DE *30* HP, PESO OPERACIONAL DE *3.500* KG - MATERIAIS NA OPERACAO. AF_04/2017</t>
  </si>
  <si>
    <t>96301</t>
  </si>
  <si>
    <t>PERFURATRIZ ROTATIVA SOBRE ESTEIRA, TORQUE MAXIMO 2500 KGM, POTENCIA 110 HP, MOTOR DIESEL - MATERIAIS NA OPERAÇÃO. AF_05/2017</t>
  </si>
  <si>
    <t>96457</t>
  </si>
  <si>
    <t>ROLO COMPACTADOR DE PNEUS, ESTATICO, PRESSAO VARIAVEL, POTENCIA 110 HP, PESO SEM/COM LASTRO 10,8/27 T, LARGURA DE ROLAGEM 2,30 M - MATERIAIS NA OPERACAO. AF_06/2017</t>
  </si>
  <si>
    <t>96458</t>
  </si>
  <si>
    <t>ROLO COMPACTADOR DE PNEUS, ESTATICO, PRESSAO VARIAVEL, POTENCIA 110 HP, PESO SEM/COM LASTRO 10,8/27 T, LARGURA DE ROLAGEM 2,30 M - MANUTENCAO. AF_06/2017</t>
  </si>
  <si>
    <t>96459</t>
  </si>
  <si>
    <t>ROLO COMPACTADOR DE PNEUS, ESTATICO, PRESSAO VARIAVEL, POTENCIA 110 HP, PESO SEM/COM LASTRO 10,8/27 T, LARGURA DE ROLAGEM 2,30 M - JUROS. AF_06/2017</t>
  </si>
  <si>
    <t>96460</t>
  </si>
  <si>
    <t>ROLO COMPACTADOR DE PNEUS, ESTATICO, PRESSAO VARIAVEL, POTENCIA 110 HP, PESO SEM/COM LASTRO 10,8/27 T, LARGURA DE ROLAGEM 2,30 M - DEPRECIAÇÃO. AF_06/2017</t>
  </si>
  <si>
    <t>98760</t>
  </si>
  <si>
    <t>INVERSOR DE SOLDA MONOFÁSICO DE 160 A, POTÊNCIA DE 5400 W, TENSÃO DE 220 V, PARA SOLDA COM ELETRODOS DE 2,0 A 4,0 MM E PROCESSO TIG - DEPRECIAÇÃO. AF_06/2018</t>
  </si>
  <si>
    <t>98761</t>
  </si>
  <si>
    <t>INVERSOR DE SOLDA MONOFÁSICO DE 160 A, POTÊNCIA DE 5400 W, TENSÃO DE 220 V, PARA SOLDA COM ELETRODOS DE 2,0 A 4,0 MM E PROCESSO TIG - JUROS. AF_06/2018</t>
  </si>
  <si>
    <t>98762</t>
  </si>
  <si>
    <t>INVERSOR DE SOLDA MONOFÁSICO DE 160 A, POTÊNCIA DE 5400 W, TENSÃO DE 220 V, PARA SOLDA COM ELETRODOS DE 2,0 A 4,0 MM E PROCESSO TIG - MANUTENÇÃO. AF_06/2018</t>
  </si>
  <si>
    <t>98763</t>
  </si>
  <si>
    <t>INVERSOR DE SOLDA MONOFÁSICO DE 160 A, POTÊNCIA DE 5400 W, TENSÃO DE 220 V, PARA SOLDA COM ELETRODOS DE 2,0 A 4,0 MM E PROCESSO TIG - MATERIAIS NA OPERAÇÃO. AF_06/2018</t>
  </si>
  <si>
    <t>99829</t>
  </si>
  <si>
    <t>99830</t>
  </si>
  <si>
    <t>99831</t>
  </si>
  <si>
    <t>99832</t>
  </si>
  <si>
    <t>100637</t>
  </si>
  <si>
    <t>USINA DE MISTURA ASFÁLTICA À QUENTE, TIPO CONTRA FLUXO, PROD 100 A 140 TON/HORA - DEPRECIAÇÃO. AF_12/2019</t>
  </si>
  <si>
    <t>100638</t>
  </si>
  <si>
    <t>USINA DE MISTURA ASFÁLTICA À QUENTE, TIPO CONTRA FLUXO, PROD 100 A 140 TON/HORA - JUROS. AF_12/2019</t>
  </si>
  <si>
    <t>100639</t>
  </si>
  <si>
    <t>USINA DE MISTURA ASFÁLTICA À QUENTE, TIPO CONTRA FLUXO, PROD 100 A 140 TON/HORA - MANUTENÇÃO. AF_12/2019</t>
  </si>
  <si>
    <t>100640</t>
  </si>
  <si>
    <t>USINA DE MISTURA ASFÁLTICA À QUENTE, TIPO CONTRA FLUXO, PROD 100 A 140 TON/HORA - MATERIAIS NA OPERAÇÃO. AF_12/2019</t>
  </si>
  <si>
    <t>100643</t>
  </si>
  <si>
    <t>USINA DE ASFALTO, TIPO GRAVIMÉTRICA, PROD 150 TON/HORA - DEPRECIAÇÃO. AF_12/2019</t>
  </si>
  <si>
    <t>100644</t>
  </si>
  <si>
    <t>USINA DE ASFALTO, TIPO GRAVIMÉTRICA, PROD 150 TON/HORA - JUROS. AF_12/2019</t>
  </si>
  <si>
    <t>100645</t>
  </si>
  <si>
    <t>USINA DE ASFALTO, TIPO GRAVIMÉTRICA, PROD 150 TON/HORA - MANUTENÇÃO. AF_12/2019</t>
  </si>
  <si>
    <t>100646</t>
  </si>
  <si>
    <t>USINA DE ASFALTO, TIPO GRAVIMÉTRICA, PROD 150 TON/HORA - MATERIAIS NA OPERAÇÃO. AF_12/2019</t>
  </si>
  <si>
    <t>92259</t>
  </si>
  <si>
    <t>INSTALAÇÃO DE TESOURA (INTEIRA OU MEIA), BIAPOIADA, EM MADEIRA NÃO APARELHADA, PARA VÃOS MAIORES OU IGUAIS A 3,0 M E MENORES QUE 6,0 M, INCLUSO IÇAMENTO. AF_07/2019</t>
  </si>
  <si>
    <t>92260</t>
  </si>
  <si>
    <t>INSTALAÇÃO DE TESOURA (INTEIRA OU MEIA), BIAPOIADA, EM MADEIRA NÃO APARELHADA, PARA VÃOS MAIORES OU IGUAIS A 6,0 M E MENORES QUE 8,0 M, INCLUSO IÇAMENTO. AF_07/2019</t>
  </si>
  <si>
    <t>92261</t>
  </si>
  <si>
    <t>INSTALAÇÃO DE TESOURA (INTEIRA OU MEIA), BIAPOIADA, EM MADEIRA NÃO APARELHADA, PARA VÃOS MAIORES OU IGUAIS A 8,0 M E MENORES QUE 10,0 M, INCLUSO IÇAMENTO. AF_07/2019</t>
  </si>
  <si>
    <t>92262</t>
  </si>
  <si>
    <t>INSTALAÇÃO DE TESOURA (INTEIRA OU MEIA), BIAPOIADA, EM MADEIRA NÃO APARELHADA, PARA VÃOS MAIORES OU IGUAIS A 10,0 M E MENORES QUE 12,0 M, INCLUSO IÇAMENTO. AF_07/2019</t>
  </si>
  <si>
    <t>92539</t>
  </si>
  <si>
    <t>TRAMA DE MADEIRA COMPOSTA POR RIPAS, CAIBROS E TERÇAS PARA TELHADOS DE ATÉ 2 ÁGUAS PARA TELHA DE ENCAIXE DE CERÂMICA OU DE CONCRETO, INCLUSO TRANSPORTE VERTICAL. AF_07/2019</t>
  </si>
  <si>
    <t>92540</t>
  </si>
  <si>
    <t>TRAMA DE MADEIRA COMPOSTA POR RIPAS, CAIBROS E TERÇAS PARA TELHADOS DE MAIS QUE 2 ÁGUAS PARA TELHA DE ENCAIXE DE CERÂMICA OU DE CONCRETO, INCLUSO TRANSPORTE VERTICAL. AF_07/2019</t>
  </si>
  <si>
    <t>92541</t>
  </si>
  <si>
    <t>TRAMA DE MADEIRA COMPOSTA POR RIPAS, CAIBROS E TERÇAS PARA TELHADOS DE ATÉ 2 ÁGUAS PARA TELHA CERÂMICA CAPA-CANAL, INCLUSO TRANSPORTE VERTICAL. AF_07/2019</t>
  </si>
  <si>
    <t>92542</t>
  </si>
  <si>
    <t>TRAMA DE MADEIRA COMPOSTA POR RIPAS, CAIBROS E TERÇAS PARA TELHADOS DE MAIS QUE 2 ÁGUAS PARA TELHA CERÂMICA CAPA-CANAL, INCLUSO TRANSPORTE VERTICAL. AF_07/2019</t>
  </si>
  <si>
    <t>92543</t>
  </si>
  <si>
    <t>TRAMA DE MADEIRA COMPOSTA POR TERÇAS PARA TELHADOS DE ATÉ 2 ÁGUAS PARA TELHA ONDULADA DE FIBROCIMENTO, METÁLICA, PLÁSTICA OU TERMOACÚSTICA, INCLUSO TRANSPORTE VERTICAL. AF_07/2019</t>
  </si>
  <si>
    <t>92544</t>
  </si>
  <si>
    <t>TRAMA DE MADEIRA COMPOSTA POR TERÇAS PARA TELHADOS DE ATÉ 2 ÁGUAS PARA TELHA ESTRUTURAL DE FIBROCIMENTO, INCLUSO TRANSPORTE VERTICAL. AF_07/2019</t>
  </si>
  <si>
    <t>92545</t>
  </si>
  <si>
    <t>FABRICAÇÃO E INSTALAÇÃO DE TESOURA INTEIRA EM MADEIRA NÃO APARELHADA, VÃO DE 3 M, PARA TELHA CERÂMICA OU DE CONCRETO, INCLUSO IÇAMENTO. AF_07/2019</t>
  </si>
  <si>
    <t>92546</t>
  </si>
  <si>
    <t>FABRICAÇÃO E INSTALAÇÃO DE TESOURA INTEIRA EM MADEIRA NÃO APARELHADA, VÃO DE 4 M, PARA TELHA CERÂMICA OU DE CONCRETO, INCLUSO IÇAMENTO. AF_07/2019</t>
  </si>
  <si>
    <t>92547</t>
  </si>
  <si>
    <t>FABRICAÇÃO E INSTALAÇÃO DE TESOURA INTEIRA EM MADEIRA NÃO APARELHADA, VÃO DE 5 M, PARA TELHA CERÂMICA OU DE CONCRETO, INCLUSO IÇAMENTO. AF_07/2019</t>
  </si>
  <si>
    <t>92548</t>
  </si>
  <si>
    <t>FABRICAÇÃO E INSTALAÇÃO DE TESOURA INTEIRA EM MADEIRA NÃO APARELHADA, VÃO DE 6 M, PARA TELHA CERÂMICA OU DE CONCRETO, INCLUSO IÇAMENTO. AF_07/2019</t>
  </si>
  <si>
    <t>92549</t>
  </si>
  <si>
    <t>FABRICAÇÃO E INSTALAÇÃO DE TESOURA INTEIRA EM MADEIRA NÃO APARELHADA, VÃO DE 7 M, PARA TELHA CERÂMICA OU DE CONCRETO, INCLUSO IÇAMENTO. AF_07/2019</t>
  </si>
  <si>
    <t>92550</t>
  </si>
  <si>
    <t>FABRICAÇÃO E INSTALAÇÃO DE TESOURA INTEIRA EM MADEIRA NÃO APARELHADA, VÃO DE 8 M, PARA TELHA CERÂMICA OU DE CONCRETO, INCLUSO IÇAMENTO. AF_07/2019</t>
  </si>
  <si>
    <t>92551</t>
  </si>
  <si>
    <t>FABRICAÇÃO E INSTALAÇÃO DE TESOURA INTEIRA EM MADEIRA NÃO APARELHADA, VÃO DE 9 M, PARA TELHA CERÂMICA OU DE CONCRETO, INCLUSO IÇAMENTO. AF_07/2019</t>
  </si>
  <si>
    <t>92552</t>
  </si>
  <si>
    <t>FABRICAÇÃO E INSTALAÇÃO DE TESOURA INTEIRA EM MADEIRA NÃO APARELHADA, VÃO DE 10 M, PARA TELHA CERÂMICA OU DE CONCRETO, INCLUSO IÇAMENTO. AF_07/2019</t>
  </si>
  <si>
    <t>92553</t>
  </si>
  <si>
    <t>FABRICAÇÃO E INSTALAÇÃO DE TESOURA INTEIRA EM MADEIRA NÃO APARELHADA, VÃO DE 11 M, PARA TELHA CERÂMICA OU DE CONCRETO, INCLUSO IÇAMENTO. AF_07/2019</t>
  </si>
  <si>
    <t>92554</t>
  </si>
  <si>
    <t>FABRICAÇÃO E INSTALAÇÃO DE TESOURA INTEIRA EM MADEIRA NÃO APARELHADA, VÃO DE 12 M, PARA TELHA CERÂMICA OU DE CONCRETO, INCLUSO IÇAMENTO. AF_07/2019</t>
  </si>
  <si>
    <t>92555</t>
  </si>
  <si>
    <t>FABRICAÇÃO E INSTALAÇÃO DE TESOURA INTEIRA EM MADEIRA NÃO APARELHADA, VÃO DE 3 M, PARA TELHA ONDULADA DE FIBROCIMENTO, METÁLICA, PLÁSTICA OU TERMOACÚSTICA, INCLUSO IÇAMENTO. AF_07/2019</t>
  </si>
  <si>
    <t>92556</t>
  </si>
  <si>
    <t>FABRICAÇÃO E INSTALAÇÃO DE TESOURA INTEIRA EM MADEIRA NÃO APARELHADA, VÃO DE 4 M, PARA TELHA ONDULADA DE FIBROCIMENTO, METÁLICA, PLÁSTICA OU TERMOACÚSTICA, INCLUSO IÇAMENTO. AF_07/2019</t>
  </si>
  <si>
    <t>92557</t>
  </si>
  <si>
    <t>FABRICAÇÃO E INSTALAÇÃO DE TESOURA INTEIRA EM MADEIRA NÃO APARELHADA, VÃO DE 5 M, PARA TELHA ONDULADA DE FIBROCIMENTO, METÁLICA, PLÁSTICA OU TERMOACÚSTICA, INCLUSO IÇAMENTO. AF_07/2019</t>
  </si>
  <si>
    <t>92558</t>
  </si>
  <si>
    <t>FABRICAÇÃO E INSTALAÇÃO DE TESOURA INTEIRA EM MADEIRA NÃO APARELHADA, VÃO DE 6 M, PARA TELHA ONDULADA DE FIBROCIMENTO, METÁLICA, PLÁSTICA OU TERMOACÚSTICA, INCLUSO IÇAMENTO. AF_07/2019</t>
  </si>
  <si>
    <t>92559</t>
  </si>
  <si>
    <t>FABRICAÇÃO E INSTALAÇÃO DE TESOURA INTEIRA EM MADEIRA NÃO APARELHADA, VÃO DE 7 M, PARA TELHA ONDULADA DE FIBROCIMENTO, METÁLICA, PLÁSTICA OU TERMOACÚSTICA, INCLUSO IÇAMENTO. AF_07/2019</t>
  </si>
  <si>
    <t>92560</t>
  </si>
  <si>
    <t>FABRICAÇÃO E INSTALAÇÃO DE TESOURA INTEIRA EM MADEIRA NÃO APARELHADA, VÃO DE 8 M, PARA TELHA ONDULADA DE FIBROCIMENTO, METÁLICA, PLÁSTICA OU TERMOACÚSTICA, INCLUSO IÇAMENTO. AF_07/2019</t>
  </si>
  <si>
    <t>92561</t>
  </si>
  <si>
    <t>FABRICAÇÃO E INSTALAÇÃO DE TESOURA INTEIRA EM MADEIRA NÃO APARELHADA, VÃO DE 9 M, PARA TELHA ONDULADA DE FIBROCIMENTO, METÁLICA, PLÁSTICA OU TERMOACÚSTICA, INCLUSO IÇAMENTO. AF_07/2019</t>
  </si>
  <si>
    <t>92562</t>
  </si>
  <si>
    <t>FABRICAÇÃO E INSTALAÇÃO DE TESOURA INTEIRA EM MADEIRA NÃO APARELHADA, VÃO DE 10 M, PARA TELHA ONDULADA DE FIBROCIMENTO, METÁLICA, PLÁSTICA OU TERMOACÚSTICA, INCLUSO IÇAMENTO. AF_07/2019</t>
  </si>
  <si>
    <t>92563</t>
  </si>
  <si>
    <t>FABRICAÇÃO E INSTALAÇÃO DE TESOURA INTEIRA EM MADEIRA NÃO APARELHADA, VÃO DE 11 M, PARA TELHA ONDULADA DE FIBROCIMENTO, METÁLICA, PLÁSTICA OU TERMOACÚSTICA, INCLUSO IÇAMENTO. AF_07/2019</t>
  </si>
  <si>
    <t>92564</t>
  </si>
  <si>
    <t>FABRICAÇÃO E INSTALAÇÃO DE TESOURA INTEIRA EM MADEIRA NÃO APARELHADA, VÃO DE 12 M, PARA TELHA ONDULADA DE FIBROCIMENTO, METÁLICA, PLÁSTICA OU TERMOACÚSTICA, INCLUSO IÇAMENTO. AF_07/2019</t>
  </si>
  <si>
    <t>100379</t>
  </si>
  <si>
    <t>FABRICAÇÃO E INSTALAÇÃO DE PONTALETES DE MADEIRA NÃO APARELHADA PARA TELHADOS COM ATÉ 2 ÁGUAS E COM TELHA CERÂMICA OU DE CONCRETO EM EDIFÍCIO RESIDENCIAL TÉRREO, INCLUSO TRANSPORTE VERTICAL. AF_07/2019</t>
  </si>
  <si>
    <t>100380</t>
  </si>
  <si>
    <t>FABRICAÇÃO E INSTALAÇÃO DE PONTALETES DE MADEIRA NÃO APARELHADA PARA TELHADOS COM ATÉ 2 ÁGUAS E COM TELHA CERÂMICA OU DE CONCRETO EM EDIFÍCIO RESIDENCIAL DE MÚLTIPLOS PAVIMENTOS, INCLUSO TRANSPORTE VERTICAL. AF_07/2019</t>
  </si>
  <si>
    <t>100381</t>
  </si>
  <si>
    <t>FABRICAÇÃO E INSTALAÇÃO DE PONTALETES DE MADEIRA NÃO APARELHADA PARA TELHADOS COM ATÉ 2 ÁGUAS E COM TELHA CERÂMICA OU DE CONCRETO EM EDIFÍCIO INSTITUCIONAL TÉRREO, INCLUSO TRANSPORTE VERTICAL. AF_07/2019</t>
  </si>
  <si>
    <t>100383</t>
  </si>
  <si>
    <t>FABRICAÇÃO E INSTALAÇÃO DE PONTALETES DE MADEIRA NÃO APARELHADA PARA TELHADOS COM ATÉ 2 ÁGUAS E COM TELHA ONDULADA DE FIBROCIMENTO, ALUMÍNIO OU PLÁSTICA EM EDIFÍCIO RESIDENCIAL DE MÚLTIPLOS PAVIMENTOS, INCLUSO TRANSPORTE VERTICAL. AF_07/2019</t>
  </si>
  <si>
    <t>100384</t>
  </si>
  <si>
    <t>FABRICAÇÃO E INSTALAÇÃO DE PONTALETES DE MADEIRA NÃO APARELHADA PARA TELHADOS COM ATÉ 2 ÁGUAS E COM TELHA ONDULADA DE FIBROCIMENTO, ALUMÍNIO OU PLÁSTICA EM EDIFÍCIO INSTITUCIONAL TÉRREO, INCLUSO TRANSPORTE VERTICAL. AF_07/2019</t>
  </si>
  <si>
    <t>100385</t>
  </si>
  <si>
    <t>FABRICAÇÃO E INSTALAÇÃO DE PONTALETES DE MADEIRA NÃO APARELHADA PARA TELHADOS COM MAIS QUE 2 ÁGUAS E COM TELHA CERÂMICA OU DE CONCRETO EM EDIFÍCIO RESIDENCIAL TÉRREO, INCLUSO TRANSPORTE VERTICAL. AF_07/2019</t>
  </si>
  <si>
    <t>100386</t>
  </si>
  <si>
    <t>FABRICAÇÃO E INSTALAÇÃO DE PONTALETES DE MADEIRA NÃO APARELHADA PARA TELHADOS COM MAIS QUE 2 ÁGUAS E COM TELHA CERÂMICA OU DE CONCRETO EM EDIFÍCIO RESIDENCIAL DE MÚLTIPLOS PAVIMENTOS. AF_07/2019</t>
  </si>
  <si>
    <t>100387</t>
  </si>
  <si>
    <t>FABRICAÇÃO E INSTALAÇÃO DE PONTALETES DE MADEIRA NÃO APARELHADA PARA TELHADOS COM MAIS QUE 2 ÁGUAS E COM TELHA CERÂMICA OU DE CONCRETO EM EDIFÍCIO INSTITUCIONAL TÉRREO, INCLUSO TRANSPORTE VERTICAL. AF_07/2019</t>
  </si>
  <si>
    <t>100388</t>
  </si>
  <si>
    <t>RETIRADA E RECOLOCAÇÃO DE RIPA EM TELHADOS DE ATÉ 2 ÁGUAS COM TELHA CERÂMICA OU DE CONCRETO DE ENCAIXE, INCLUSO TRANSPORTE VERTICAL. AF_07/2019</t>
  </si>
  <si>
    <t>100389</t>
  </si>
  <si>
    <t>RETIRADA E RECOLOCAÇÃO DE CAIBRO EM TELHADOS DE ATÉ 2 ÁGUAS COM TELHA CERÂMICA OU DE CONCRETO DE ENCAIXE, INCLUSO TRANSPORTE VERTICAL. AF_07/2019</t>
  </si>
  <si>
    <t>100390</t>
  </si>
  <si>
    <t>RETIRADA E RECOLOCAÇÃO DE RIPA EM TELHADOS DE MAIS DE 2 ÁGUAS COM TELHA CERÂMICA OU DE CONCRETO DE ENCAIXE, INCLUSO TRANSPORTE VERTICAL. AF_07/2019</t>
  </si>
  <si>
    <t>100391</t>
  </si>
  <si>
    <t>RETIRADA E RECOLOCAÇÃO DE CAIBRO EM TELHADOS DE MAIS DE 2 ÁGUAS COM TELHA CERÂMICA OU DE CONCRETO DE ENCAIXE, INCLUSO TRANSPORTE VERTICAL. AF_07/2019</t>
  </si>
  <si>
    <t>100392</t>
  </si>
  <si>
    <t>RETIRADA E RECOLOCAÇÃO DE RIPA EM TELHADOS DE ATÉ 2 ÁGUAS COM TELHA CERÂMICA CAPA-CANAL, INCLUSO TRANSPORTE VERTICAL. AF_07/2019</t>
  </si>
  <si>
    <t>100393</t>
  </si>
  <si>
    <t>RETIRADA E RECOLOCAÇÃO DE CAIBRO EM TELHADOS DE ATÉ 2 ÁGUAS COM TELHA CERÂMICA CAPA-CANAL, INCLUSO TRANSPORTE VERTICAL. AF_07/2019</t>
  </si>
  <si>
    <t>100394</t>
  </si>
  <si>
    <t>RETIRADA E RECOLOCAÇÃO DE RIPA EM TELHADOS DE MAIS DE 2 ÁGUAS COM TELHA CERÂMICA CAPA-CANAL, INCLUSO TRANSPORTE VERTICAL. AF_07/2019</t>
  </si>
  <si>
    <t>100395</t>
  </si>
  <si>
    <t>RETIRADA E RECOLOCAÇÃO DE CAIBRO EM TELHADOS DE MAIS DE 2 ÁGUAS COM TELHA CERÂMICA CAPA-CANAL, INCLUSO TRANSPORTE VERTICAL. AF_07/2019</t>
  </si>
  <si>
    <t>94189</t>
  </si>
  <si>
    <t>TELHAMENTO COM TELHA DE CONCRETO DE ENCAIXE, COM ATÉ 2 ÁGUAS, INCLUSO TRANSPORTE VERTICAL. AF_07/2019</t>
  </si>
  <si>
    <t>94192</t>
  </si>
  <si>
    <t>TELHAMENTO COM TELHA DE CONCRETO DE ENCAIXE, COM MAIS DE 2 ÁGUAS, INCLUSO TRANSPORTE VERTICAL. AF_07/2019</t>
  </si>
  <si>
    <t>94195</t>
  </si>
  <si>
    <t>TELHAMENTO COM TELHA CERÂMICA DE ENCAIXE, TIPO PORTUGUESA, COM ATÉ 2 ÁGUAS, INCLUSO TRANSPORTE VERTICAL. AF_07/2019</t>
  </si>
  <si>
    <t>94198</t>
  </si>
  <si>
    <t>TELHAMENTO COM TELHA CERÂMICA DE ENCAIXE, TIPO PORTUGUESA, COM MAIS DE 2 ÁGUAS, INCLUSO TRANSPORTE VERTICAL. AF_07/2019</t>
  </si>
  <si>
    <t>94201</t>
  </si>
  <si>
    <t>TELHAMENTO COM TELHA CERÂMICA CAPA-CANAL, TIPO COLONIAL, COM ATÉ 2 ÁGUAS, INCLUSO TRANSPORTE VERTICAL. AF_07/2019</t>
  </si>
  <si>
    <t>94204</t>
  </si>
  <si>
    <t>TELHAMENTO COM TELHA CERÂMICA CAPA-CANAL, TIPO COLONIAL, COM MAIS DE 2 ÁGUAS, INCLUSO TRANSPORTE VERTICAL. AF_07/2019</t>
  </si>
  <si>
    <t>94224</t>
  </si>
  <si>
    <t>EMBOÇAMENTO COM ARGAMASSA TRAÇO 1:2:9 (CIMENTO, CAL E AREIA). AF_07/2019</t>
  </si>
  <si>
    <t>94226</t>
  </si>
  <si>
    <t>SUBCOBERTURA COM MANTA PLÁSTICA REVESTIDA POR PELÍCULA DE ALUMÍNO, INCLUSO TRANSPORTE VERTICAL. AF_07/2019</t>
  </si>
  <si>
    <t>94232</t>
  </si>
  <si>
    <t>AMARRAÇÃO DE TELHAS CERÂMICAS OU DE CONCRETO. AF_07/2019</t>
  </si>
  <si>
    <t>94440</t>
  </si>
  <si>
    <t>TELHAMENTO COM TELHA CERÂMICA DE ENCAIXE, TIPO FRANCESA, COM ATÉ 2 ÁGUAS, INCLUSO TRANSPORTE VERTICAL. AF_07/2019</t>
  </si>
  <si>
    <t>94441</t>
  </si>
  <si>
    <t>TELHAMENTO COM TELHA CERÂMICA DE ENCAIXE, TIPO FRANCESA, COM MAIS DE 2 ÁGUAS, INCLUSO TRANSPORTE VERTICAL. AF_07/2019</t>
  </si>
  <si>
    <t>94442</t>
  </si>
  <si>
    <t>TELHAMENTO COM TELHA CERÂMICA DE ENCAIXE, TIPO ROMANA, COM ATÉ 2 ÁGUAS, INCLUSO TRANSPORTE VERTICAL. AF_07/2019</t>
  </si>
  <si>
    <t>94443</t>
  </si>
  <si>
    <t>TELHAMENTO COM TELHA CERÂMICA DE ENCAIXE, TIPO ROMANA, COM MAIS DE 2 ÁGUAS, INCLUSO TRANSPORTE VERTICAL. AF_07/2019</t>
  </si>
  <si>
    <t>94445</t>
  </si>
  <si>
    <t>TELHAMENTO COM TELHA CERÂMICA CAPA-CANAL, TIPO PLAN, COM ATÉ 2 ÁGUAS, INCLUSO TRANSPORTE VERTICAL. AF_07/2019</t>
  </si>
  <si>
    <t>94446</t>
  </si>
  <si>
    <t>TELHAMENTO COM TELHA CERÂMICA CAPA-CANAL, TIPO PLAN, COM MAIS DE 2 ÁGUAS, INCLUSO TRANSPORTE VERTICAL. AF_07/2019</t>
  </si>
  <si>
    <t>94447</t>
  </si>
  <si>
    <t>TELHAMENTO COM TELHA CERÂMICA CAPA-CANAL, TIPO PAULISTA, COM ATÉ 2 ÁGUAS, INCLUSO TRANSPORTE VERTICAL. AF_07/2019</t>
  </si>
  <si>
    <t>94448</t>
  </si>
  <si>
    <t>TELHAMENTO COM TELHA CERÂMICA CAPA-CANAL, TIPO PAULISTA, COM MAIS DE 2 ÁGUAS, INCLUSO TRANSPORTE VERTICAL. AF_07/2019</t>
  </si>
  <si>
    <t>94207</t>
  </si>
  <si>
    <t>TELHAMENTO COM TELHA ONDULADA DE FIBROCIMENTO E = 6 MM, COM RECOBRIMENTO LATERAL DE 1/4 DE ONDA PARA TELHADO COM INCLINAÇÃO MAIOR QUE 10°, COM ATÉ 2 ÁGUAS, INCLUSO IÇAMENTO. AF_07/2019</t>
  </si>
  <si>
    <t>94210</t>
  </si>
  <si>
    <t>TELHAMENTO COM TELHA ONDULADA DE FIBROCIMENTO E = 6 MM, COM RECOBRIMENTO LATERAL DE 1 1/4 DE ONDA PARA TELHADO COM INCLINAÇÃO MÁXIMA DE 10°, COM ATÉ 2 ÁGUAS, INCLUSO IÇAMENTO. AF_07/2019</t>
  </si>
  <si>
    <t>94218</t>
  </si>
  <si>
    <t>94213</t>
  </si>
  <si>
    <t>TELHAMENTO COM TELHA DE AÇO/ALUMÍNIO E = 0,5 MM, COM ATÉ 2 ÁGUAS, INCLUSO IÇAMENTO. AF_07/2019</t>
  </si>
  <si>
    <t>94216</t>
  </si>
  <si>
    <t>TELHAMENTO COM TELHA METÁLICA TERMOACÚSTICA E = 30 MM, COM ATÉ 2 ÁGUAS, INCLUSO IÇAMENTO. AF_07/2019</t>
  </si>
  <si>
    <t>94219</t>
  </si>
  <si>
    <t>CUMEEIRA E ESPIGÃO PARA TELHA CERÂMICA EMBOÇADA COM ARGAMASSA TRAÇO 1:2:9 (CIMENTO, CAL E AREIA), PARA TELHADOS COM MAIS DE 2 ÁGUAS, INCLUSO TRANSPORTE VERTICAL. AF_07/2019</t>
  </si>
  <si>
    <t>94220</t>
  </si>
  <si>
    <t>CUMEEIRA E ESPIGÃO PARA TELHA DE CONCRETO EMBOÇADA COM ARGAMASSA TRAÇO 1:2:9 (CIMENTO, CAL E AREIA), PARA TELHADOS COM MAIS DE 2 ÁGUAS, INCLUSO TRANSPORTE VERTICAL. AF_07/2019</t>
  </si>
  <si>
    <t>94221</t>
  </si>
  <si>
    <t>CUMEEIRA PARA TELHA CERÂMICA EMBOÇADA COM ARGAMASSA TRAÇO 1:2:9 (CIMENTO, CAL E AREIA) PARA TELHADOS COM ATÉ 2 ÁGUAS, INCLUSO TRANSPORTE VERTICAL. AF_07/2019</t>
  </si>
  <si>
    <t>94222</t>
  </si>
  <si>
    <t>CUMEEIRA PARA TELHA DE CONCRETO EMBOÇADA COM ARGAMASSA TRAÇO 1:2:9 (CIMENTO, CAL E AREIA) PARA TELHADOS COM ATÉ 2 ÁGUAS, INCLUSO TRANSPORTE VERTICAL. AF_07/2019</t>
  </si>
  <si>
    <t>94223</t>
  </si>
  <si>
    <t>CUMEEIRA PARA TELHA DE FIBROCIMENTO ONDULADA E = 6 MM, INCLUSO ACESSÓRIOS DE FIXAÇÃO E IÇAMENTO. AF_07/2019</t>
  </si>
  <si>
    <t>94451</t>
  </si>
  <si>
    <t>CUMEEIRA PARA TELHA DE FIBROCIMENTO ESTRUTURAL E = 6 MM, INCLUSO ACESSÓRIOS DE FIXAÇÃO E IÇAMENTO. AF_07/2019</t>
  </si>
  <si>
    <t>100325</t>
  </si>
  <si>
    <t>CUMEEIRA SHED PARA TELHA ONDULADA DE FIBROCIMENTO, E = 6 MM, INCLUSO ACESSÓRIOS DE FIXAÇÃO E IÇAMENTO. AF_07/2019</t>
  </si>
  <si>
    <t>100327</t>
  </si>
  <si>
    <t>RUFO EXTERNO/INTERNO EM CHAPA DE AÇO GALVANIZADO NÚMERO 26, CORTE DE 33 CM, INCLUSO IÇAMENTO. AF_07/2019</t>
  </si>
  <si>
    <t>100328</t>
  </si>
  <si>
    <t>RETIRADA E RECOLOCAÇÃO DE  TELHA CERÂMICA DE ENCAIXE, COM ATÉ DUAS ÁGUAS, INCLUSO IÇAMENTO. AF_07/2019</t>
  </si>
  <si>
    <t>100329</t>
  </si>
  <si>
    <t>RETIRADA E RECOLOCAÇÃO DE  TELHA CERÂMICA DE ENCAIXE, COM MAIS DE DUAS ÁGUAS, INCLUSO IÇAMENTO. AF_07/2019</t>
  </si>
  <si>
    <t>100330</t>
  </si>
  <si>
    <t>RETIRADA E RECOLOCAÇÃO DE  TELHA CERÂMICA CAPA-CANAL, COM ATÉ DUAS ÁGUAS, INCLUSO IÇAMENTO. AF_07/2019</t>
  </si>
  <si>
    <t>100331</t>
  </si>
  <si>
    <t>RETIRADA E RECOLOCAÇÃO DE  TELHA CERÂMICA CAPA-CANAL, COM MAIS DE DUAS ÁGUAS, INCLUSO IÇAMENTO. AF_07/2019</t>
  </si>
  <si>
    <t>100434</t>
  </si>
  <si>
    <t>CALHA DE BEIRAL, SEMICIRCULAR DE PVC, DIAMETRO 125 MM, INCLUINDO CABECEIRAS, EMENDAS, BOCAIS, SUPORTES E VEDAÇÕES, EXCLUINDO CONDUTORES, INCLUSO TRANSPORTE VERTICAL. AF_07/2019</t>
  </si>
  <si>
    <t>100435</t>
  </si>
  <si>
    <t>RUFO EM FIBROCIMENTO PARA TELHA ONDULADA E = 6 MM, ABA DE 26 CM, INCLUSO TRANSPORTE VERTICAL, EXCETO CONTRARRUFO. AF_07/2019</t>
  </si>
  <si>
    <t>19,90</t>
  </si>
  <si>
    <t>94227</t>
  </si>
  <si>
    <t>CALHA EM CHAPA DE AÇO GALVANIZADO NÚMERO 24, DESENVOLVIMENTO DE 33 CM, INCLUSO TRANSPORTE VERTICAL. AF_07/2019</t>
  </si>
  <si>
    <t>94228</t>
  </si>
  <si>
    <t>CALHA EM CHAPA DE AÇO GALVANIZADO NÚMERO 24, DESENVOLVIMENTO DE 50 CM, INCLUSO TRANSPORTE VERTICAL. AF_07/2019</t>
  </si>
  <si>
    <t>94229</t>
  </si>
  <si>
    <t>CALHA EM CHAPA DE AÇO GALVANIZADO NÚMERO 24, DESENVOLVIMENTO DE 100 CM, INCLUSO TRANSPORTE VERTICAL. AF_07/2019</t>
  </si>
  <si>
    <t>94231</t>
  </si>
  <si>
    <t>RUFO EM CHAPA DE AÇO GALVANIZADO NÚMERO 24, CORTE DE 25 CM, INCLUSO TRANSPORTE VERTICAL. AF_07/2019</t>
  </si>
  <si>
    <t>94449</t>
  </si>
  <si>
    <t>TELHAMENTO COM TELHA ONDULADA DE FIBRA DE VIDRO E = 0,6 MM, PARA TELHADO COM INCLINAÇÃO MAIOR QUE 10°, COM ATÉ 2 ÁGUAS, INCLUSO IÇAMENTO. AF_07/2019</t>
  </si>
  <si>
    <t>92255</t>
  </si>
  <si>
    <t>INSTALAÇÃO DE TESOURA (INTEIRA OU MEIA), EM AÇO, PARA VÃOS MAIORES OU IGUAIS A 3,0 M E MENORES QUE 6,0 M, INCLUSO IÇAMENTO. AF_07/2019</t>
  </si>
  <si>
    <t>92256</t>
  </si>
  <si>
    <t>INSTALAÇÃO DE TESOURA (INTEIRA OU MEIA), EM AÇO, PARA VÃOS MAIORES OU IGUAIS A 6,0 M E MENORES QUE 8,0 M, INCLUSO IÇAMENTO. AF_07/2019</t>
  </si>
  <si>
    <t>92257</t>
  </si>
  <si>
    <t>INSTALAÇÃO DE TESOURA (INTEIRA OU MEIA), EM AÇO, PARA VÃOS MAIORES OU IGUAIS A 8,0 M E MENORES QUE 10,0 M, INCLUSO IÇAMENTO. AF_07/2019</t>
  </si>
  <si>
    <t>92258</t>
  </si>
  <si>
    <t>INSTALAÇÃO DE TESOURA (INTEIRA OU MEIA), EM AÇO, PARA VÃOS MAIORES OU IGUAIS A 10,0 M E MENORES QUE 12,0 M, INCLUSO IÇAMENTO. AF_07/2019</t>
  </si>
  <si>
    <t>92568</t>
  </si>
  <si>
    <t>TRAMA DE AÇO COMPOSTA POR RIPAS, CAIBROS E TERÇAS PARA TELHADOS DE ATÉ 2 ÁGUAS PARA TELHA DE ENCAIXE DE CERÂMICA OU DE CONCRETO, INCLUSO TRANSPORTE VERTICAL. AF_07/2019</t>
  </si>
  <si>
    <t>92569</t>
  </si>
  <si>
    <t>TRAMA DE AÇO COMPOSTA POR RIPAS E CAIBROS PARA TELHADOS DE ATÉ 2 ÁGUAS PARA TELHA DE ENCAIXE DE CERÂMICA OU DE CONCRETO, INCLUSO TRANSPORTE VERTICAL. AF_07/2019</t>
  </si>
  <si>
    <t>92570</t>
  </si>
  <si>
    <t>TRAMA DE AÇO COMPOSTA POR RIPAS PARA TELHADOS DE ATÉ 2 ÁGUAS PARA TELHA DE ENCAIXE DE CERÂMICA OU DE CONCRETO, INCLUSO TRANSPORTE VERTICAL. AF_07/2019</t>
  </si>
  <si>
    <t>92571</t>
  </si>
  <si>
    <t>TRAMA DE AÇO COMPOSTA POR RIPAS, CAIBROS E TERÇAS PARA TELHADOS DE MAIS DE 2 ÁGUAS PARA TELHA DE ENCAIXE DE CERÂMICA OU DE CONCRETO, INCLUSO TRANSPORTE VERTICAL. AF_07/2019</t>
  </si>
  <si>
    <t>92572</t>
  </si>
  <si>
    <t>TRAMA DE AÇO COMPOSTA POR RIPAS E CAIBROS PARA TELHADOS DE MAIS DE 2 ÁGUAS PARA TELHA DE ENCAIXE DE CERÂMICA OU DE CONCRETO, INCLUSO TRANSPORTE VERTICAL. AF_07/2019</t>
  </si>
  <si>
    <t>92573</t>
  </si>
  <si>
    <t>TRAMA DE AÇO COMPOSTA POR RIPAS PARA TELHADOS DE MAIS DE 2 ÁGUAS PARA TELHA DE ENCAIXE DE CERÂMICA OU DE CONCRETO, INCLUSO TRANSPORTE VERTICAL, INCLUSO TRANSPORTE VERTICAL. AF_07/2019</t>
  </si>
  <si>
    <t>92574</t>
  </si>
  <si>
    <t>TRAMA DE AÇO COMPOSTA POR RIPAS, CAIBROS E TERÇAS PARA TELHADOS DE ATÉ 2 ÁGUAS PARA TELHA CERÂMICA CAPA-CANAL, INCLUSO TRANSPORTE VERTICAL. AF_07/2019</t>
  </si>
  <si>
    <t>92575</t>
  </si>
  <si>
    <t>TRAMA DE AÇO COMPOSTA POR RIPAS E CAIBROS PARA TELHADOS DE ATÉ 2 ÁGUAS PARA TELHA CERÂMICA CAPA-CANAL, INCLUSO TRANSPORTE VERTICAL. AF_07/2019</t>
  </si>
  <si>
    <t>92576</t>
  </si>
  <si>
    <t>TRAMA DE AÇO COMPOSTA POR RIPAS PARA TELHADOS DE ATÉ 2 ÁGUAS PARA TELHA CERÂMICA CAPA-CANAL, INCLUSO TRANSPORTE VERTICAL. AF_07/2019</t>
  </si>
  <si>
    <t>92577</t>
  </si>
  <si>
    <t>TRAMA DE AÇO COMPOSTA POR RIPAS, CAIBROS E TERÇAS PARA TELHADOS DE MAIS DE 2 ÁGUAS PARA TELHA CERÂMICA CAPA-CANAL, INCLUSO TRANSPORTE VERTICAL. AF_07/2019</t>
  </si>
  <si>
    <t>92578</t>
  </si>
  <si>
    <t>TRAMA DE AÇO COMPOSTA POR RIPAS E CAIBROS PARA TELHADOS DE MAIS DE 2 ÁGUAS PARA TELHA CERÂMICA CAPA-CANAL, INCLUSO TRANSPORTE VERTICAL. AF_07/2019</t>
  </si>
  <si>
    <t>92579</t>
  </si>
  <si>
    <t>TRAMA DE AÇO COMPOSTA POR RIPAS PARA TELHADOS DE MAIS DE 2 ÁGUAS PARA TELHA CERÂMICA CAPA-CANAL, INCLUSO TRANSPORTE VERTICAL. AF_07/2019</t>
  </si>
  <si>
    <t>92580</t>
  </si>
  <si>
    <t>TRAMA DE AÇO COMPOSTA POR TERÇAS PARA TELHADOS DE ATÉ 2 ÁGUAS PARA TELHA ONDULADA DE FIBROCIMENTO, METÁLICA, PLÁSTICA OU TERMOACÚSTICA, INCLUSO TRANSPORTE VERTICAL. AF_07/2019</t>
  </si>
  <si>
    <t>92581</t>
  </si>
  <si>
    <t>TRAMA DE AÇO COMPOSTA POR TERÇAS PARA TELHADOS DE ATÉ 2 ÁGUAS PARA TELHA ESTRUTURAL DE FIBROCIMENTO, INCLUSO TRANSPORTE VERTICAL. AF_07/2019</t>
  </si>
  <si>
    <t>92582</t>
  </si>
  <si>
    <t>FABRICAÇÃO E INSTALAÇÃO DE TESOURA INTEIRA EM AÇO, VÃO DE 3 M, PARA TELHA CERÂMICA OU DE CONCRETO, INCLUSO IÇAMENTO. AF_12/2015</t>
  </si>
  <si>
    <t>92584</t>
  </si>
  <si>
    <t>FABRICAÇÃO E INSTALAÇÃO DE TESOURA INTEIRA EM AÇO, VÃO DE 4 M, PARA TELHA CERÂMICA OU DE CONCRETO, INCLUSO IÇAMENTO. AF_12/2015</t>
  </si>
  <si>
    <t>92586</t>
  </si>
  <si>
    <t>FABRICAÇÃO E INSTALAÇÃO DE TESOURA INTEIRA EM AÇO, VÃO DE 5 M, PARA TELHA CERÂMICA OU DE CONCRETO, INCLUSO IÇAMENTO. AF_12/2015</t>
  </si>
  <si>
    <t>92588</t>
  </si>
  <si>
    <t>FABRICAÇÃO E INSTALAÇÃO DE TESOURA INTEIRA EM AÇO, VÃO DE 6 M, PARA TELHA CERÂMICA OU DE CONCRETO, INCLUSO IÇAMENTO. AF_12/2015</t>
  </si>
  <si>
    <t>92590</t>
  </si>
  <si>
    <t>FABRICAÇÃO E INSTALAÇÃO DE TESOURA INTEIRA EM AÇO, VÃO DE 7 M, PARA TELHA CERÂMICA OU DE CONCRETO, INCLUSO IÇAMENTO. AF_12/2015</t>
  </si>
  <si>
    <t>92592</t>
  </si>
  <si>
    <t>FABRICAÇÃO E INSTALAÇÃO DE TESOURA INTEIRA EM AÇO, VÃO DE 8 M, PARA TELHA CERÂMICA OU DE CONCRETO, INCLUSO IÇAMENTO. AF_12/2015</t>
  </si>
  <si>
    <t>6,58</t>
  </si>
  <si>
    <t>92594</t>
  </si>
  <si>
    <t>FABRICAÇÃO E INSTALAÇÃO DE TESOURA INTEIRA EM AÇO, VÃO DE 9 M, PARA TELHA CERÂMICA OU DE CONCRETO, INCLUSO IÇAMENTO. AF_12/2015</t>
  </si>
  <si>
    <t>92596</t>
  </si>
  <si>
    <t>FABRICAÇÃO E INSTALAÇÃO DE TESOURA INTEIRA EM AÇO, VÃO DE 10 M, PARA TELHA CERÂMICA OU DE CONCRETO, INCLUSO IÇAMENTO. AF_12/2015</t>
  </si>
  <si>
    <t>92598</t>
  </si>
  <si>
    <t>FABRICAÇÃO E INSTALAÇÃO DE TESOURA INTEIRA EM AÇO, VÃO DE 11 M, PARA TELHA CERÂMICA OU DE CONCRETO, INCLUSO IÇAMENTO. AF_12/2015</t>
  </si>
  <si>
    <t>92600</t>
  </si>
  <si>
    <t>FABRICAÇÃO E INSTALAÇÃO DE TESOURA INTEIRA EM AÇO, VÃO DE 12 M, PARA TELHA CERÂMICA OU DE CONCRETO, INCLUSO IÇAMENTO. AF_12/2015</t>
  </si>
  <si>
    <t>92602</t>
  </si>
  <si>
    <t>92604</t>
  </si>
  <si>
    <t>FABRICAÇÃO E INSTALAÇÃO DE TESOURA INTEIRA EM AÇO, VÃO DE 4 M, PARA TELHA ONDULADA DE FIBROCIMENTO, METÁLICA, PLÁSTICA OU TERMOACÚSTICA, INCLUSO IÇAMENTO. AF_12/2015</t>
  </si>
  <si>
    <t>92606</t>
  </si>
  <si>
    <t>FABRICAÇÃO E INSTALAÇÃO DE TESOURA INTEIRA EM AÇO, VÃO DE 5 M, PARA TELHA ONDULADA DE FIBROCIMENTO, METÁLICA, PLÁSTICA OU TERMOACÚSTICA, INCLUSO IÇAMENTO. AF_12/2015</t>
  </si>
  <si>
    <t>92608</t>
  </si>
  <si>
    <t>FABRICAÇÃO E INSTALAÇÃO DE TESOURA INTEIRA EM AÇO, VÃO DE 6 M, PARA TELHA ONDULADA DE FIBROCIMENTO, METÁLICA, PLÁSTICA OU TERMOACÚSTICA, INCLUSO IÇAMENTO. AF_12/2015</t>
  </si>
  <si>
    <t>92610</t>
  </si>
  <si>
    <t>FABRICAÇÃO E INSTALAÇÃO DE TESOURA INTEIRA EM AÇO, VÃO DE 7 M, PARA TELHA ONDULADA DE FIBROCIMENTO, METÁLICA, PLÁSTICA OU TERMOACÚSTICA, INCLUSO IÇAMENTO. AF_12/2015</t>
  </si>
  <si>
    <t>92612</t>
  </si>
  <si>
    <t>FABRICAÇÃO E INSTALAÇÃO DE TESOURA INTEIRA EM AÇO, VÃO DE 8 M, PARA TELHA ONDULADA DE FIBROCIMENTO, METÁLICA, PLÁSTICA OU TERMOACÚSTICA, INCLUSO IÇAMENTO, INCLUSO IÇAMENTO. AF_12/2015</t>
  </si>
  <si>
    <t>92614</t>
  </si>
  <si>
    <t>FABRICAÇÃO E INSTALAÇÃO DE TESOURA INTEIRA EM AÇO, VÃO DE 9 M, PARA TELHA ONDULADA DE FIBROCIMENTO, METÁLICA, PLÁSTICA OU TERMOACÚSTICA, INCLUSO IÇAMENTO. AF_12/2015</t>
  </si>
  <si>
    <t>92616</t>
  </si>
  <si>
    <t>FABRICAÇÃO E INSTALAÇÃO DE TESOURA INTEIRA EM AÇO, VÃO DE 10 M, PARA TELHA ONDULADA DE FIBROCIMENTO, METÁLICA, PLÁSTICA OU TERMOACÚSTICA, INCLUSO IÇAMENTO. AF_12/2015</t>
  </si>
  <si>
    <t>92618</t>
  </si>
  <si>
    <t>FABRICAÇÃO E INSTALAÇÃO DE TESOURA INTEIRA EM AÇO, VÃO DE 11 M, PARA TELHA ONDULADA DE FIBROCIMENTO, METÁLICA, PLÁSTICA OU TERMOACÚSTICA, INCLUSO IÇAMENTO. AF_12/2015</t>
  </si>
  <si>
    <t>92620</t>
  </si>
  <si>
    <t>FABRICAÇÃO E INSTALAÇÃO DE TESOURA INTEIRA EM AÇO, VÃO DE 12 M, PARA TELHA ONDULADA DE FIBROCIMENTO, METÁLICA, PLÁSTICA OU TERMOACÚSTICA, INCLUSO IÇAMENTO. AF_12/2015</t>
  </si>
  <si>
    <t>100357</t>
  </si>
  <si>
    <t>FABRICAÇÃO E INSTALAÇÃO DE MEIA TESOURA DE MADEIRA NÃO APARELHADA, COM VÃO DE 3 M, PARA TELHA CERÂMICA OU DE CONCRETO, INCLUSO IÇAMENTO. AF_07/2019</t>
  </si>
  <si>
    <t>100358</t>
  </si>
  <si>
    <t>FABRICAÇÃO E INSTALAÇÃO DE MEIA TESOURA DE MADEIRA NÃO APARELHADA, COM VÃO DE 4 M, PARA TELHA CERÂMICA OU DE CONCRETO, INCLUSO IÇAMENTO. AF_07/2019</t>
  </si>
  <si>
    <t>100359</t>
  </si>
  <si>
    <t>FABRICAÇÃO E INSTALAÇÃO DE MEIA TESOURA DE MADEIRA NÃO APARELHADA, COM VÃO DE 5 M, PARA TELHA CERÂMICA OU DE CONCRETO, INCLUSO IÇAMENTO. AF_07/2019</t>
  </si>
  <si>
    <t>100360</t>
  </si>
  <si>
    <t>FABRICAÇÃO E INSTALAÇÃO DE MEIA TESOURA DE MADEIRA NÃO APARELHADA, COM VÃO DE 6 M, PARA TELHA CERÂMICA OU DE CONCRETO, INCLUSO IÇAMENTO. AF_07/2019</t>
  </si>
  <si>
    <t>100361</t>
  </si>
  <si>
    <t>FABRICAÇÃO E INSTALAÇÃO DE MEIA TESOURA DE MADEIRA NÃO APARELHADA, COM VÃO DE 7 M, PARA TELHA CERÂMICA OU DE CONCRETO, INCLUSO IÇAMENTO. AF_07/2019</t>
  </si>
  <si>
    <t>100362</t>
  </si>
  <si>
    <t>FABRICAÇÃO E INSTALAÇÃO DE MEIA TESOURA DE MADEIRA NÃO APARELHADA, COM VÃO DE 8 M, PARA TELHA CERÂMICA OU DE CONCRETO, INCLUSO IÇAMENTO. AF_07/2019</t>
  </si>
  <si>
    <t>100363</t>
  </si>
  <si>
    <t>FABRICAÇÃO E INSTALAÇÃO DE MEIA TESOURA DE MADEIRA NÃO APARELHADA, COM VÃO DE 9 M, PARA TELHA CERÂMICA OU DE CONCRETO, INCLUSO IÇAMENTO. AF_07/2019</t>
  </si>
  <si>
    <t>100364</t>
  </si>
  <si>
    <t>FABRICAÇÃO E INSTALAÇÃO DE MEIA TESOURA DE MADEIRA NÃO APARELHADA, COM VÃO DE 10 M, PARA TELHA CERÂMICA OU DE CONCRETO, INCLUSO IÇAMENTO. AF_07/2019</t>
  </si>
  <si>
    <t>100365</t>
  </si>
  <si>
    <t>FABRICAÇÃO E INSTALAÇÃO DE MEIA TESOURA DE MADEIRA NÃO APARELHADA, COM VÃO DE 11 M, PARA TELHA CERÂMICA OU DE CONCRETO, INCLUSO IÇAMENTO. AF_07/2019</t>
  </si>
  <si>
    <t>100366</t>
  </si>
  <si>
    <t>FABRICAÇÃO E INSTALAÇÃO DE MEIA TESOURA DE MADEIRA NÃO APARELHADA, COM VÃO DE 12 M, PARA TELHA CERÂMICA OU DE CONCRETO, INCLUSO IÇAMENTO. AF_07/2019</t>
  </si>
  <si>
    <t>100367</t>
  </si>
  <si>
    <t>FABRICAÇÃO E INSTALAÇÃO DE MEIA TESOURA DE MADEIRA NÃO APARELHADA, COM VÃO DE 3 M, PARA TELHA ONDULADA DE FIBROCIMENTO, ALUMÍNIO, PLÁSTICA OU TERMOACÚSTICA, INCLUSO IÇAMENTO. AF_07/2019</t>
  </si>
  <si>
    <t>100368</t>
  </si>
  <si>
    <t>FABRICAÇÃO E INSTALAÇÃO DE MEIA TESOURA DE MADEIRA NÃO APARELHADA, COM VÃO DE 4 M, PARA TELHA ONDULADA DE FIBROCIMENTO, ALUMÍNIO, PLÁSTICA OU TERMOACÚSTICA, INCLUSO IÇAMENTO. AF_07/2019</t>
  </si>
  <si>
    <t>100369</t>
  </si>
  <si>
    <t>FABRICAÇÃO E INSTALAÇÃO DE MEIA TESOURA DE MADEIRA NÃO APARELHADA, COM VÃO DE 5 M, PARA TELHA ONDULADA DE FIBROCIMENTO, ALUMÍNIO, PLÁSTICA OU TERMOACÚSTICA, INCLUSO IÇAMENTO. AF_07/2019</t>
  </si>
  <si>
    <t>100370</t>
  </si>
  <si>
    <t>FABRICAÇÃO E INSTALAÇÃO DE MEIA TESOURA DE MADEIRA NÃO APARELHADA, COM VÃO DE 6 M, PARA TELHA ONDULADA DE FIBROCIMENTO, ALUMÍNIO, PLÁSTICA OU TERMOACÚSTICA, INCLUSO IÇAMENTO. AF_07/2019</t>
  </si>
  <si>
    <t>100371</t>
  </si>
  <si>
    <t>FABRICAÇÃO E INSTALAÇÃO DE MEIA TESOURA DE MADEIRA NÃO APARELHADA, COM VÃO DE 7 M, PARA TELHA ONDULADA DE FIBROCIMENTO, ALUMÍNIO, PLÁSTICA OU TERMOACÚSTICA, INCLUSO IÇAMENTO. AF_07/2019</t>
  </si>
  <si>
    <t>100372</t>
  </si>
  <si>
    <t>FABRICAÇÃO E INSTALAÇÃO DE MEIA TESOURA DE MADEIRA NÃO APARELHADA, COM VÃO DE 8 M, PARA TELHA ONDULADA DE FIBROCIMENTO, ALUMÍNIO, PLÁSTICA OU TERMOACÚSTICA, INCLUSO IÇAMENTO. AF_07/2019</t>
  </si>
  <si>
    <t>100373</t>
  </si>
  <si>
    <t>FABRICAÇÃO E INSTALAÇÃO DE MEIA TESOURA DE MADEIRA NÃO APARELHADA, COM VÃO DE 9 M, PARA TELHA ONDULADA DE FIBROCIMENTO, ALUMÍNIO, PLÁSTICA OU TERMOACÚSTICA, INCLUSO IÇAMENTO. AF_07/2019</t>
  </si>
  <si>
    <t>100374</t>
  </si>
  <si>
    <t>FABRICAÇÃO E INSTALAÇÃO DE MEIA TESOURA DE MADEIRA NÃO APARELHADA, COM VÃO DE 10 M, PARA TELHA ONDULADA DE FIBROCIMENTO, ALUMÍNIO, PLÁSTICA OU TERMOACÚSTICA, INCLUSO IÇAMENTO. AF_07/2019</t>
  </si>
  <si>
    <t>100375</t>
  </si>
  <si>
    <t>FABRICAÇÃO E INSTALAÇÃO DE MEIA TESOURA DE MADEIRA NÃO APARELHADA, COM VÃO DE 11 M, PARA TELHA ONDULADA DE FIBROCIMENTO, ALUMÍNIO, PLÁSTICA OU TERMOACÚSTICA, INCLUSO IÇAMENTO. AF_07/2019</t>
  </si>
  <si>
    <t>100376</t>
  </si>
  <si>
    <t>FABRICAÇÃO E INSTALAÇÃO DE MEIA TESOURA DE MADEIRA NÃO APARELHADA, COM VÃO DE 12 M, PARA TELHA ONDULADA DE FIBROCIMENTO, ALUMÍNIO, PLÁSTICA OU TERMOACÚSTICA, INCLUSO IÇAMENTO. AF_07/2019</t>
  </si>
  <si>
    <t>100377</t>
  </si>
  <si>
    <t>FABRICAÇÃO E INSTALAÇÃO DE TESOURA (INTEIRA OU MEIA) EM AÇO, VÃOS MAIORES OU IGUAIS A 3,0 M E MENORES OU IGUAL A 6,0 M, INCLUSO IÇAMENTO. AF_07/2019</t>
  </si>
  <si>
    <t>100378</t>
  </si>
  <si>
    <t>FABRICAÇÃO E INSTALAÇÃO DE TESOURA (INTEIRA OU MEIA) EM AÇO, VÃOS MAIORES QUE 6,0 M E MENORES QUE 12,0 M, INCLUSO IÇAMENTO. AF_07/2019</t>
  </si>
  <si>
    <t>100382</t>
  </si>
  <si>
    <t>FABRICAÇÃO E INSTALAÇÃO DE PONTALETES DE MADEIRA NÃO APARELHADA PARA TELHADOS COM ATÉ 2 ÁGUAS E COM TELHA ONDULADA DE FIBROCIMENTO, ALUMÍNIO OU PLÁSTICA EM EDIFÍCIO RESIDENCIAL TÉRREO, INCLUSO TRANSPORTE VERTICAL. AF_07/2019</t>
  </si>
  <si>
    <t>94444</t>
  </si>
  <si>
    <t>TELHAMENTO COM TELHA DE ENCAIXE, TIPO FRANCESA DE VIDRO, COM ATÉ 2 ÁGUAS, INCLUSO TRANSPORTE VERTICAL. AF_07/2019</t>
  </si>
  <si>
    <t>92743</t>
  </si>
  <si>
    <t>MURO DE GABIÃO, ENCHIMENTO COM PEDRA DE MÃO TIPO RACHÃO, DE GRAVIDADE, COM GAIOLAS DE COMPRIMENTO IGUAL A 2 M, PARA MUROS COM ALTURA MENOR OU IGUAL A 4 M  FORNECIMENTO E EXECUÇÃO. AF_12/2015</t>
  </si>
  <si>
    <t>92744</t>
  </si>
  <si>
    <t>MURO DE GABIÃO, ENCHIMENTO COM PEDRA DE MÃO TIPO RACHÃO, DE GRAVIDADE, COM GAIOLAS DE COMPRIMENTO IGUAL A 5 M, PARA MUROS COM ALTURA MENOR OU IGUAL A 4 M  FORNECIMENTO E EXECUÇÃO. AF_12/2015</t>
  </si>
  <si>
    <t>92745</t>
  </si>
  <si>
    <t>MURO DE GABIÃO, ENCHIMENTO COM PEDRA DE MÃO TIPO RACHÃO, DE GRAVIDADE, COM GAIOLAS DE COMPRIMENTO IGUAL A 2 M, PARA MUROS COM ALTURA MAIOR QUE 4 M E MENOR OU IGUAL A 6 M  FORNECIMENTO E EXECUÇÃO. AF_12/2015</t>
  </si>
  <si>
    <t>92746</t>
  </si>
  <si>
    <t>MURO DE GABIÃO, ENCHIMENTO COM PEDRA DE MÃO TIPO RACHÃO, DE GRAVIDADE, COM GAIOLAS DE COMPRIMENTO IGUAL A 5 M, PARA MUROS COM ALTURA MAIOR QUE 4 M E MENOR OU IGUAL A 6 M   FORNECIMENTO E EXECUÇÃO. AF_12/2015</t>
  </si>
  <si>
    <t>92747</t>
  </si>
  <si>
    <t>MURO DE GABIÃO, ENCHIMENTO COM PEDRA DE MÃO TIPO RACHÃO, DE GRAVIDADE, COM GAIOLAS DE COMPRIMENTO IGUAL A 2 M, PARA MUROS COM ALTURA MAIOR QUE 6 M E MENOR OU IGUAL A 10 M   FORNECIMENTO E EXECUÇÃO. AF_12/2015</t>
  </si>
  <si>
    <t>92748</t>
  </si>
  <si>
    <t>MURO DE GABIÃO, ENCHIMENTO COM PEDRA DE MÃO TIPO RACHÃO, DE GRAVIDADE, COM GAIOLAS DE COMPRIMENTO IGUAL A 5 M, PARA MUROS COM ALTURA MAIOR QUE 6 M E MENOR OU IGUAL A 10 M FORNECIMENTO E EXECUÇÃO. AF_12/2015</t>
  </si>
  <si>
    <t>92749</t>
  </si>
  <si>
    <t>MURO DE GABIÃO, ENCHIMENTO COM PEDRA DE MÃO TIPO RACHÃO, COM SOLO REFORÇADO, PARA MUROS COM ALTURA MENOR OU IGUAL A 4 M   FORNECIMENTO E EXECUÇÃO. AF_12/2015</t>
  </si>
  <si>
    <t>92750</t>
  </si>
  <si>
    <t>MURO DE GABIÃO, ENCHIMENTO COM PEDRA DE MÃO TIPO RACHÃO, COM SOLO REFORÇADO, PARA MUROS COM ALTURA MAIOR QUE 4 M E MENOR OU IGUAL A 12 M   FORNECIMENTO E EXECUÇÃO. AF_12/2015</t>
  </si>
  <si>
    <t>92751</t>
  </si>
  <si>
    <t>MURO DE GABIÃO, ENCHIMENTO COM PEDRA DE MÃO TIPO RACHÃO, COM SOLO REFORÇADO, PARA MUROS COM ALTURA MAIOR QUE 12 M E MENOR OU IGUAL A 20 M    FORNECIMENTO E EXECUÇÃO. AF_12/2015</t>
  </si>
  <si>
    <t>92752</t>
  </si>
  <si>
    <t>MURO DE GABIÃO, ENCHIMENTO COM PEDRA DE MÃO TIPO RACHÃO, COM SOLO REFORÇADO, PARA MUROS COM ALTURA MAIOR QUE 20 M E MENOR OU IGUAL A 28 M   FORNECIMENTO E EXECUÇÃO. AF_12/2015</t>
  </si>
  <si>
    <t>92753</t>
  </si>
  <si>
    <t>MURO DE GABIÃO, ENCHIMENTO COM RESÍDUO DE CONSTRUÇÃO E DEMOLIÇÃO, DE GRAVIDADE, COM GAIOLA TRAPEZOIDAL DE COMPRIMENTO IGUAL A 2 M, PARA MUROS COM ALTURA MENOR OU IGUAL A 2 M   FORNECIMENTO E EXECUÇÃO. AF_12/2015</t>
  </si>
  <si>
    <t>92754</t>
  </si>
  <si>
    <t>MURO DE GABIÃO, ENCHIMENTO COM RESÍDUO DE CONSTRUÇÃO E DEMOLIÇÃO, DE GRAVIDADE, COM GAIOLA TRAPEZOIDAL DE COMPRIMENTO IGUAL A 2 M, PARA MUROS COM ALTURA MAIOR QUE 2 M E MENOR OU IGUAL A 4 M    FORNECIMENTO E EXECUÇÃO. AF_12/2015</t>
  </si>
  <si>
    <t>92755</t>
  </si>
  <si>
    <t>PROTEÇÃO SUPERFICIAL DE CANAL EM GABIÃO TIPO COLCHÃO, ALTURA DE 17 CENTÍMETROS, ENCHIMENTO COM PEDRA DE MÃO TIPO RACHÃO - FORNECIMENTO E EXECUÇÃO. AF_12/2015</t>
  </si>
  <si>
    <t>92756</t>
  </si>
  <si>
    <t>PROTEÇÃO SUPERFICIAL DE CANAL EM GABIÃO TIPO COLCHÃO, ALTURA DE 23 CENTÍMETROS, ENCHIMENTO COM PEDRA DE MÃO TIPO RACHÃO - FORNECIMENTO E EXECUÇÃO. AF_12/2015</t>
  </si>
  <si>
    <t>92757</t>
  </si>
  <si>
    <t>PROTEÇÃO SUPERFICIAL DE CANAL EM GABIÃO TIPO COLCHÃO, ALTURA DE 30 CENTÍMETROS, ENCHIMENTO COM PEDRA DE MÃO TIPO RACHÃO - FORNECIMENTO E EXECUÇÃO. AF_12/2015</t>
  </si>
  <si>
    <t>92758</t>
  </si>
  <si>
    <t>PROTEÇÃO SUPERFICIAL DE CANAL EM GABIÃO TIPO SACO, DIÂMETRO DE 65 CENTÍMETROS, ENCHIMENTO MANUAL COM PEDRA DE MÃO TIPO RACHÃO - FORNECIMENTO E EXECUÇÃO. AF_12/2015</t>
  </si>
  <si>
    <t>91069</t>
  </si>
  <si>
    <t>EXECUÇÃO DE REVESTIMENTO DE CONCRETO PROJETADO COM ESPESSURA DE 7 CM, ARMADO COM TELA, INCLINAÇÃO MENOR QUE 90°, APLICAÇÃO CONTÍNUA, UTILIZANDO EQUIPAMENTO DE PROJEÇÃO COM 6 M³/H DE CAPACIDADE. AF_01/2016</t>
  </si>
  <si>
    <t>91070</t>
  </si>
  <si>
    <t>EXECUÇÃO DE REVESTIMENTO DE CONCRETO PROJETADO COM ESPESSURA DE 10 CM, ARMADO COM TELA, INCLINAÇÃO MENOR QUE 90°, APLICAÇÃO CONTÍNUA, UTILIZANDO EQUIPAMENTO DE PROJEÇÃO COM 6 M³/H DE CAPACIDADE. AF_01/2016</t>
  </si>
  <si>
    <t>91071</t>
  </si>
  <si>
    <t>EXECUÇÃO DE REVESTIMENTO DE CONCRETO PROJETADO COM ESPESSURA DE 7 CM, ARMADO COM TELA, INCLINAÇÃO DE 90°, APLICAÇÃO CONTÍNUA, UTILIZANDO EQUIPAMENTO DE PROJEÇÃO COM 6 M³/H DE CAPACIDADE. AF_01/2016</t>
  </si>
  <si>
    <t>91072</t>
  </si>
  <si>
    <t>EXECUÇÃO DE REVESTIMENTO DE CONCRETO PROJETADO COM ESPESSURA DE 10 CM, ARMADO COM TELA, INCLINAÇÃO DE 90°, APLICAÇÃO CONTÍNUA, UTILIZANDO EQUIPAMENTO DE PROJEÇÃO COM 6 M³/H DE CAPACIDADE. AF_01/2016</t>
  </si>
  <si>
    <t>91073</t>
  </si>
  <si>
    <t>EXECUÇÃO DE REVESTIMENTO DE CONCRETO PROJETADO COM ESPESSURA DE 7 CM, ARMADO COM TELA, INCLINAÇÃO MENOR QUE 90°, APLICAÇÃO CONTÍNUA, UTILIZANDO EQUIPAMENTO DE PROJEÇÃO COM 3 M³/H DE CAPACIDADE. AF_01/2016</t>
  </si>
  <si>
    <t>91074</t>
  </si>
  <si>
    <t>EXECUÇÃO DE REVESTIMENTO DE CONCRETO PROJETADO COM ESPESSURA DE 10 CM, ARMADO COM TELA, INCLINAÇÃO MENOR QUE 90°, APLICAÇÃO CONTÍNUA, UTILIZANDO EQUIPAMENTO DE PROJEÇÃO COM 3 M³/H DE CAPACIDADE. AF_01/2016</t>
  </si>
  <si>
    <t>91075</t>
  </si>
  <si>
    <t>EXECUÇÃO DE REVESTIMENTO DE CONCRETO PROJETADO COM ESPESSURA DE 7 CM, ARMADO COM TELA, INCLINAÇÃO DE 90°, APLICAÇÃO CONTÍNUA, UTILIZANDO EQUIPAMENTO DE PROJEÇÃO COM 3 M³/H DE CAPACIDADE. AF_01/2016</t>
  </si>
  <si>
    <t>91076</t>
  </si>
  <si>
    <t>EXECUÇÃO DE REVESTIMENTO DE CONCRETO PROJETADO COM ESPESSURA DE 10 CM, ARMADO COM TELA, INCLINAÇÃO DE 90°, APLICAÇÃO CONTÍNUA, UTILIZANDO EQUIPAMENTO DE PROJEÇÃO COM 3 M³/H DE CAPACIDADE. AF_01/2016</t>
  </si>
  <si>
    <t>91077</t>
  </si>
  <si>
    <t>EXECUÇÃO DE REVESTIMENTO DE CONCRETO PROJETADO COM ESPESSURA DE 7 CM, ARMADO COM FIBRAS DE AÇO, INCLINAÇÃO MENOR QUE 90°, APLICAÇÃO CONTÍNUA, UTILIZANDO EQUIPAMENTO DE PROJEÇÃO COM 6 M³/H DE CAPACIDADE. AF_01/2016</t>
  </si>
  <si>
    <t>91078</t>
  </si>
  <si>
    <t>EXECUÇÃO DE REVESTIMENTO DE CONCRETO PROJETADO COM ESPESSURA DE 10 CM, ARMADO COM FIBRAS DE AÇO, INCLINAÇÃO MENOR QUE 90°, APLICAÇÃO CONTÍNUA, UTILIZANDO EQUIPAMENTO DE PROJEÇÃO COM 6 M³/H DE CAPACIDADE. AF_01/2016</t>
  </si>
  <si>
    <t>91079</t>
  </si>
  <si>
    <t>EXECUÇÃO DE REVESTIMENTO DE CONCRETO PROJETADO COM ESPESSURA DE 7 CM, ARMADO COM FIBRAS DE AÇO, INCLINAÇÃO DE 90°, APLICAÇÃO CONTÍNUA, UTILIZANDO EQUIPAMENTO DE PROJEÇÃO COM 6 M³/H DE CAPACIDADE. AF_01/2016</t>
  </si>
  <si>
    <t>91080</t>
  </si>
  <si>
    <t>EXECUÇÃO DE REVESTIMENTO DE CONCRETO PROJETADO COM ESPESSURA DE 10 CM, ARMADO COM FIBRAS DE AÇO, INCLINAÇÃO DE 90°, APLICAÇÃO CONTÍNUA, UTILIZANDO EQUIPAMENTO DE PROJEÇÃO COM 6 M³/H DE CAPACIDADE. AF_01/2016</t>
  </si>
  <si>
    <t>91081</t>
  </si>
  <si>
    <t>EXECUÇÃO DE REVESTIMENTO DE CONCRETO PROJETADO COM ESPESSURA DE 7 CM, ARMADO COM FIBRAS DE AÇO, INCLINAÇÃO MENOR QUE 90°, APLICAÇÃO CONTÍNUA, UTILIZANDO EQUIPAMENTO DE PROJEÇÃO COM 3 M³/H DE CAPACIDADE. AF_01/2016</t>
  </si>
  <si>
    <t>91082</t>
  </si>
  <si>
    <t>EXECUÇÃO DE REVESTIMENTO DE CONCRETO PROJETADO COM ESPESSURA DE 10 CM, ARMADO COM FIBRAS DE AÇO, INCLINAÇÃO MENOR QUE 90°, APLICAÇÃO CONTÍNUA, UTILIZANDO EQUIPAMENTO DE PROJEÇÃO COM 3 M³/H DE CAPACIDADE. AF_01/2016</t>
  </si>
  <si>
    <t>91083</t>
  </si>
  <si>
    <t>EXECUÇÃO DE REVESTIMENTO DE CONCRETO PROJETADO COM ESPESSURA DE 7 CM, ARMADO COM FIBRAS DE AÇO, INCLINAÇÃO DE 90°, APLICAÇÃO CONTÍNUA, UTILIZANDO EQUIPAMENTO DE PROJEÇÃO COM 3 M³/H DE CAPACIDADE. AF_01/2016</t>
  </si>
  <si>
    <t>91084</t>
  </si>
  <si>
    <t>EXECUÇÃO DE REVESTIMENTO DE CONCRETO PROJETADO COM ESPESSURA DE 10 CM, ARMADO COM FIBRAS DE AÇO, INCLINAÇÃO DE 90°, APLICAÇÃO CONTÍNUA, UTILIZANDO EQUIPAMENTO DE PROJEÇÃO COM 3 M³/H DE CAPACIDADE. AF_01/2016</t>
  </si>
  <si>
    <t>91086</t>
  </si>
  <si>
    <t>EXECUÇÃO DE REVESTIMENTO DE CONCRETO PROJETADO COM ESPESSURA DE 7 CM, ARMADO COM TELA, INCLINAÇÃO MENOR QUE 90°, APLICAÇÃO DESCONTÍNUA, UTILIZANDO EQUIPAMENTO DE PROJEÇÃO COM 6 M³/H DE CAPACIDADE. AF_01/2016</t>
  </si>
  <si>
    <t>91087</t>
  </si>
  <si>
    <t>EXECUÇÃO DE REVESTIMENTO DE CONCRETO PROJETADO COM ESPESSURA DE 10 CM, ARMADO COM TELA, INCLINAÇÃO MENOR QUE 90°, APLICAÇÃO DESCONTÍNUA, UTILIZANDO EQUIPAMENTO DE PROJEÇÃO COM 6 M³/H DE CAPACIDADE. AF_01/2016</t>
  </si>
  <si>
    <t>91088</t>
  </si>
  <si>
    <t>EXECUÇÃO DE REVESTIMENTO DE CONCRETO PROJETADO COM ESPESSURA DE 7 CM, ARMADO COM TELA, INCLINAÇÃO DE 90°, APLICAÇÃO DESCONTÍNUA, UTILIZANDO EQUIPAMENTO DE PROJEÇÃO COM 6 M³/H DE CAPACIDADE. AF_01/2016</t>
  </si>
  <si>
    <t>91089</t>
  </si>
  <si>
    <t>EXECUÇÃO DE REVESTIMENTO DE CONCRETO PROJETADO COM ESPESSURA DE 10 CM, ARMADO COM TELA, INCLINAÇÃO DE 90°, APLICAÇÃO DESCONTÍNUA, UTILIZANDO EQUIPAMENTO DE PROJEÇÃO COM 6 M³/H DE CAPACIDADE. AF_01/2016</t>
  </si>
  <si>
    <t>91090</t>
  </si>
  <si>
    <t>EXECUÇÃO DE REVESTIMENTO DE CONCRETO PROJETADO COM ESPESSURA DE 7 CM, ARMADO COM TELA, INCLINAÇÃO MENOR QUE 90°, APLICAÇÃO DESCONTÍNUA, UTILIZANDO EQUIPAMENTO DE PROJEÇÃO COM 3 M³/H DE CAPACIDADE. AF_01/2016</t>
  </si>
  <si>
    <t>91091</t>
  </si>
  <si>
    <t>EXECUÇÃO DE REVESTIMENTO DE CONCRETO PROJETADO COM ESPESSURA DE 10 CM, ARMADO COM TELA, INCLINAÇÃO MENOR QUE 90°, APLICAÇÃO DESCONTÍNUA, UTILIZANDO EQUIPAMENTO DE PROJEÇÃO COM 3 M³/H DE CAPACIDADE. AF_01/2016</t>
  </si>
  <si>
    <t>91092</t>
  </si>
  <si>
    <t>EXECUÇÃO DE REVESTIMENTO DE CONCRETO PROJETADO COM ESPESSURA DE 7 CM, ARMADO COM TELA, INCLINAÇÃO DE 90°, APLICAÇÃO DESCONTÍNUA, UTILIZANDO EQUIPAMENTO DE PROJEÇÃO COM 3 M³/H DE CAPACIDADE. AF_01/2016</t>
  </si>
  <si>
    <t>91093</t>
  </si>
  <si>
    <t>EXECUÇÃO DE REVESTIMENTO DE CONCRETO PROJETADO COM ESPESSURA DE 10 CM, ARMADO COM TELA, INCLINAÇÃO DE 90°, APLICAÇÃO DESCONTÍNUA, UTILIZANDO EQUIPAMENTO DE PROJEÇÃO COM 3 M³/H DE CAPACIDADE. AF_01/2016</t>
  </si>
  <si>
    <t>91094</t>
  </si>
  <si>
    <t>EXECUÇÃO DE REVESTIMENTO DE CONCRETO PROJETADO COM ESPESSURA DE 7 CM, ARMADO COM FIBRAS DE AÇO, INCLINAÇÃO MENOR QUE 90°, APLICAÇÃO DESCONTÍNUA, UTILIZANDO EQUIPAMENTO DE PROJEÇÃO COM 6 M³/H DE CAPACIDADE. AF_01/2016</t>
  </si>
  <si>
    <t>91095</t>
  </si>
  <si>
    <t>EXECUÇÃO DE REVESTIMENTO DE CONCRETO PROJETADO COM ESPESSURA DE 10 CM, ARMADO COM FIBRAS DE AÇO, INCLINAÇÃO MENOR QUE 90°, APLICAÇÃO DESCONTÍNUA, UTILIZANDO EQUIPAMENTO DE PROJEÇÃO COM 6 M³/H DE CAPACIDADE. AF_01/2016</t>
  </si>
  <si>
    <t>91096</t>
  </si>
  <si>
    <t>EXECUÇÃO DE REVESTIMENTO DE CONCRETO PROJETADO COM ESPESSURA DE 7 CM, ARMADO COM FIBRAS DE AÇO, INCLINAÇÃO DE 90°, APLICAÇÃO DESCONTÍNUA, UTILIZANDO EQUIPAMENTO DE PROJEÇÃO COM 6 M³/H DE CAPACIDADE. AF_01/2016</t>
  </si>
  <si>
    <t>91097</t>
  </si>
  <si>
    <t>EXECUÇÃO DE REVESTIMENTO DE CONCRETO PROJETADO COM ESPESSURA DE 10 CM, ARMADO COM FIBRAS DE AÇO, INCLINAÇÃO DE 90°, APLICAÇÃO DESCONTÍNUA, UTILIZANDO EQUIPAMENTO DE PROJEÇÃO COM 6 M³/H DE CAPACIDADE. AF_01/2016</t>
  </si>
  <si>
    <t>91098</t>
  </si>
  <si>
    <t>EXECUÇÃO DE REVESTIMENTO DE CONCRETO PROJETADO COM ESPESSURA DE 7 CM, ARMADO COM FIBRAS DE AÇO, INCLINAÇÃO MENOR QUE 90°, APLICAÇÃO DESCONTÍNUA, UTILIZANDO EQUIPAMENTO DE PROJEÇÃO COM 3 M³/H DE CAPACIDADE. AF_01/2016</t>
  </si>
  <si>
    <t>91099</t>
  </si>
  <si>
    <t>EXECUÇÃO DE REVESTIMENTO DE CONCRETO PROJETADO COM ESPESSURA DE 10 CM, ARMADO COM FIBRAS DE AÇO, INCLINAÇÃO MENOR QUE 90°, APLICAÇÃO DESCONTÍNUA, UTILIZANDO EQUIPAMENTO DE PROJEÇÃO COM 3 M³/H DE CAPACIDADE. AF_01/2016</t>
  </si>
  <si>
    <t>91100</t>
  </si>
  <si>
    <t>EXECUÇÃO DE REVESTIMENTO DE CONCRETO PROJETADO COM ESPESSURA DE 7 CM, ARMADO COM FIBRAS DE AÇO, INCLINAÇÃO DE 90°, APLICAÇÃO DESCONTÍNUA, UTILIZANDO EQUIPAMENTO DE PROJEÇÃO COM 3 M³/H DE CAPACIDADE. AF_01/2016</t>
  </si>
  <si>
    <t>91101</t>
  </si>
  <si>
    <t>EXECUÇÃO DE REVESTIMENTO DE CONCRETO PROJETADO COM ESPESSURA DE 10 CM, ARMADO COM FIBRAS DE AÇO, INCLINAÇÃO DE 90°, APLICAÇÃO DESCONTÍNUA, UTILIZANDO EQUIPAMENTO DE PROJEÇÃO COM 3 M³/H DE CAPACIDADE. AF_01/2016</t>
  </si>
  <si>
    <t>93952</t>
  </si>
  <si>
    <t>EXECUÇÃO DE GRAMPO PARA SOLO GRAMPEADO COM COMPRIMENTO MENOR OU IGUAL A 4 M, DIÂMETRO DE 10 CM, PERFURAÇÃO COM EQUIPAMENTO MANUAL E ARMADURA COM DIÂMETRO DE 16 MM. AF_05/2016</t>
  </si>
  <si>
    <t>93953</t>
  </si>
  <si>
    <t>EXECUÇÃO DE GRAMPO PARA SOLO GRAMPEADO COM COMPRIMENTO MAIOR QUE 4 M E MENOR OU IGUAL A 6 M, DIÂMETRO DE 10 CM, PERFURAÇÃO COM EQUIPAMENTO MANUAL E ARMADURA COM DIÂMETRO DE 16 MM. AF_05/2016</t>
  </si>
  <si>
    <t>93954</t>
  </si>
  <si>
    <t>EXECUÇÃO DE GRAMPO PARA SOLO GRAMPEADO COM COMPRIMENTO MAIOR QUE 6 M E MENOR OU IGUAL A 8 M, DIÂMETRO DE 10 CM, PERFURAÇÃO COM EQUIPAMENTO MANUAL E ARMADURA COM DIÂMETRO DE 16 MM. AF_05/2016</t>
  </si>
  <si>
    <t>93955</t>
  </si>
  <si>
    <t>EXECUÇÃO DE GRAMPO PARA SOLO GRAMPEADO COM COMPRIMENTO MAIOR QUE 8 M E MENOR OU IGUAL A 10 M, DIÂMETRO DE 10 CM, PERFURAÇÃO COM EQUIPAMENTO MANUAL E ARMADURA COM DIÂMETRO DE 16 MM. AF_05/2016</t>
  </si>
  <si>
    <t>93956</t>
  </si>
  <si>
    <t>EXECUÇÃO DE GRAMPO PARA SOLO GRAMPEADO COM COMPRIMENTO MAIOR QUE 10 M, DIÂMETRO DE 10 CM, PERFURAÇÃO COM EQUIPAMENTO MANUAL E ARMADURA COM DIÂMETRO DE 16 MM. AF_05/2016</t>
  </si>
  <si>
    <t>93957</t>
  </si>
  <si>
    <t>EXECUÇÃO DE GRAMPO PARA SOLO GRAMPEADO COM COMPRIMENTO MENOR OU IGUAL A 4 M, DIÂMETRO DE 10 CM, PERFURAÇÃO COM EQUIPAMENTO MANUAL E ARMADURA COM DIÂMETRO DE 20 MM. AF_05/2016</t>
  </si>
  <si>
    <t>93958</t>
  </si>
  <si>
    <t>EXECUÇÃO DE GRAMPO PARA SOLO GRAMPEADO COM COMPRIMENTO MAIOR QUE 4 M E MENOR OU IGUAL A 6 M, DIÂMETRO DE 10 CM, PERFURAÇÃO COM EQUIPAMENTO MANUAL E ARMADURA COM DIÂMETRO DE 20 MM. AF_05/2016</t>
  </si>
  <si>
    <t>93959</t>
  </si>
  <si>
    <t>EXECUÇÃO DE GRAMPO PARA SOLO GRAMPEADO COM COMPRIMENTO MAIOR QUE 6 M E MENOR OU IGUAL A 8 M, DIÂMETRO DE 10 CM, PERFURAÇÃO COM EQUIPAMENTO MANUAL E ARMADURA COM DIÂMETRO DE 20 MM. AF_05/2016</t>
  </si>
  <si>
    <t>93960</t>
  </si>
  <si>
    <t>EXECUÇÃO DE GRAMPO PARA SOLO GRAMPEADO COM COMPRIMENTO MAIOR QUE 8 M E MENOR OU IGUAL A 10 M, DIÂMETRO DE 10 CM, PERFURAÇÃO COM EQUIPAMENTO MANUAL E ARMADURA COM DIÂMETRO DE 20 MM. AF_05/2016</t>
  </si>
  <si>
    <t>93961</t>
  </si>
  <si>
    <t>EXECUÇÃO DE GRAMPO PARA SOLO GRAMPEADO COM COMPRIMENTO MAIOR QUE 10 M, DIÂMETRO DE 10 CM, PERFURAÇÃO COM EQUIPAMENTO MANUAL E ARMADURA COM DIÂMETRO DE 20 MM. AF_05/2016</t>
  </si>
  <si>
    <t>93962</t>
  </si>
  <si>
    <t>EXECUÇÃO DE GRAMPO PARA SOLO GRAMPEADO COM COMPRIMENTO MENOR OU IGUAL A 4 M, DIÂMETRO DE 7 CM, PERFURAÇÃO COM EQUIPAMENTO MANUAL E ARMADURA COM DIÂMETRO DE 16 MM. AF_05/2016</t>
  </si>
  <si>
    <t>93963</t>
  </si>
  <si>
    <t>EXECUÇÃO DE GRAMPO PARA SOLO GRAMPEADO COM COMPRIMENTO MAIOR QUE 4 E MENOR OU IGUAL A 6 M, DIÂMETRO DE 7 CM, PERFURAÇÃO COM EQUIPAMENTO MANUAL E ARMADURA COM DIÂMETRO DE 16 MM. AF_05/2016</t>
  </si>
  <si>
    <t>93964</t>
  </si>
  <si>
    <t>EXECUÇÃO DE GRAMPO PARA SOLO GRAMPEADO COM COMPRIMENTO MAIOR QUE 6 M E MENOR OU IGUAL A 8 M, DIÂMETRO DE 7 CM, PERFURAÇÃO COM EQUIPAMENTO MANUAL E ARMADURA COM DIÂMETRO DE 16 MM. AF_05/2016</t>
  </si>
  <si>
    <t>93965</t>
  </si>
  <si>
    <t>EXECUÇÃO DE GRAMPO PARA SOLO GRAMPEADO COM COMPRIMENTO MAIOR QUE 8 M E MENOR OU IGUAL A 10 M, DIÂMETRO DE 7 CM, PERFURAÇÃO COM EQUIPAMENTO MANUAL E ARMADURA COM DIÂMETRO DE 16 MM. AF_05/2016</t>
  </si>
  <si>
    <t>93966</t>
  </si>
  <si>
    <t>EXECUÇÃO DE GRAMPO PARA SOLO GRAMPEADO COM COMPRIMENTO MAIOR QUE 10 M, DIÂMETRO DE 7 CM, PERFURAÇÃO COM EQUIPAMENTO MANUAL E ARMADURA COM DIÂMETRO DE 16 MM. AF_05/2016</t>
  </si>
  <si>
    <t>93967</t>
  </si>
  <si>
    <t>EXECUÇÃO DE GRAMPO PARA SOLO GRAMPEADO COM COMPRIMENTO MENOR OU IGUAL A 4 M, DIÂMETRO DE 7 CM, PERFURAÇÃO COM EQUIPAMENTO MANUAL E ARMADURA COM DIÂMETRO DE 20 MM. AF_05/2016</t>
  </si>
  <si>
    <t>93968</t>
  </si>
  <si>
    <t>EXECUÇÃO DE GRAMPO PARA SOLO GRAMPEADO COM COMPRIMENTO MAIOR QUE 4 E MENOR OU IGUAL A 6 M, DIÂMETRO DE 7 CM, PERFURAÇÃO COM EQUIPAMENTO MANUAL E ARMADURA COM DIÂMETRO DE 20 MM. AF_05/2016</t>
  </si>
  <si>
    <t>93969</t>
  </si>
  <si>
    <t>EXECUÇÃO DE GRAMPO PARA SOLO GRAMPEADO COM COMPRIMENTO MAIOR QUE 6 M E MENOR OU IGUAL A 8 M, DIÂMETRO DE 7 CM, PERFURAÇÃO COM EQUIPAMENTO MANUAL E ARMADURA COM DIÂMETRO DE 20 MM. AF_05/2016</t>
  </si>
  <si>
    <t>93970</t>
  </si>
  <si>
    <t>EXECUÇÃO DE GRAMPO PARA SOLO GRAMPEADO COM COMPRIMENTO MAIOR QUE 8 MENOR OU IGUAL A 10 M, DIÂMETRO DE 7 CM, PERFURAÇÃO COM EQUIPAMENTO MANUAL E ARMADURA COM DIÂMETRO DE 20 MM. AF_05/2016</t>
  </si>
  <si>
    <t>93971</t>
  </si>
  <si>
    <t>EXECUÇÃO DE GRAMPO PARA SOLO GRAMPEADO COM COMPRIMENTO MAIOR QUE 10 M, DIÂMETRO DE 7 CM, PERFURAÇÃO COM EQUIPAMENTO MANUAL E ARMADURA COM DIÂMETRO DE 20 MM. AF_05/2016</t>
  </si>
  <si>
    <t>95108</t>
  </si>
  <si>
    <t>EXECUÇÃO DE PROTEÇÃO DA CABEÇA DO TIRANTE COM USO DE FÔRMAS EM CHAPA COMPENSADA PLASTIFICADA DE MADEIRA E CONCRETO FCK =15 MPA. AF_07/2016</t>
  </si>
  <si>
    <t>100332</t>
  </si>
  <si>
    <t>CONTENÇÃO EM PERFIL PRANCHADO COM PRANCHÃO DE MADEIRA, PERFIS ESPAÇADOS A 1,5 M PARA 1 SUBSOLO. AF_07/2019</t>
  </si>
  <si>
    <t>100333</t>
  </si>
  <si>
    <t>CONTENÇÃO EM PERFIL PRANCHADO COM PRANCHÃO DE MADEIRA, PERFIS ESPAÇADOS A 1,5 M PARA 2 OU MAIS SUBSOLOS. AF_07/2019</t>
  </si>
  <si>
    <t>100334</t>
  </si>
  <si>
    <t>CONTENÇÃO EM PERFIL PRANCHADO COM PRANCHÃO DE MADEIRA, PERFIS ESPAÇADOS A 2 M PARA 1 SUBSOLO. AF_07/2019</t>
  </si>
  <si>
    <t>100335</t>
  </si>
  <si>
    <t>CONTENÇÃO EM PERFIL PRANCHADO COM PRANCHÃO DE MADEIRA, PERFIS ESPAÇADOS A 2 M PARA 2 OU MAIS SUBSOLOS. AF_07/2019</t>
  </si>
  <si>
    <t>100341</t>
  </si>
  <si>
    <t>FABRICAÇÃO, MONTAGEM E DESMONTAGEM DE FÔRMA PARA CORTINA DE CONTENÇÃO, EM CHAPA DE MADEIRA COMPENSADA PLASTIFICADA, E = 18 MM, 10 UTILIZAÇÕES. AF_07/2019</t>
  </si>
  <si>
    <t>100342</t>
  </si>
  <si>
    <t>ARMAÇÃO DE CORTINA DE CONTENÇÃO EM CONCRETO ARMADO, COM AÇO CA-50 DE 6,3 MM - MONTAGEM. AF_07/2019</t>
  </si>
  <si>
    <t>100343</t>
  </si>
  <si>
    <t>ARMAÇÃO DE CORTINA DE CONTENÇÃO EM CONCRETO ARMADO, COM AÇO CA-50 DE 8 MM - MONTAGEM. AF_07/2019</t>
  </si>
  <si>
    <t>100344</t>
  </si>
  <si>
    <t>ARMAÇÃO DE CORTINA DE CONTENÇÃO EM CONCRETO ARMADO, COM AÇO CA-50 DE 10 MM - MONTAGEM. AF_07/2019</t>
  </si>
  <si>
    <t>100345</t>
  </si>
  <si>
    <t>ARMAÇÃO DE CORTINA DE CONTENÇÃO EM CONCRETO ARMADO, COM AÇO CA-50 DE 12,5 MM - MONTAGEM. AF_07/2019</t>
  </si>
  <si>
    <t>100346</t>
  </si>
  <si>
    <t>ARMAÇÃO DE CORTINA DE CONTENÇÃO EM CONCRETO ARMADO, COM AÇO CA-50 DE 16 MM - MONTAGEM. AF_07/2019</t>
  </si>
  <si>
    <t>100347</t>
  </si>
  <si>
    <t>ARMAÇÃO DE CORTINA DE CONTENÇÃO EM CONCRETO ARMADO, COM AÇO CA-50 DE 20 MM - MONTAGEM. AF_07/2019</t>
  </si>
  <si>
    <t>7,08</t>
  </si>
  <si>
    <t>100348</t>
  </si>
  <si>
    <t>ARMAÇÃO DE CORTINA DE CONTENÇÃO EM CONCRETO ARMADO, COM AÇO CA-50 DE 25 MM - MONTAGEM. AF_07/2019</t>
  </si>
  <si>
    <t>100349</t>
  </si>
  <si>
    <t>CONCRETAGEM DE CORTINA DE CONTENÇÃO, ATRAVÉS DE BOMBA   LANÇAMENTO, ADENSAMENTO E ACABAMENTO. AF_07/2019</t>
  </si>
  <si>
    <t>97976</t>
  </si>
  <si>
    <t>97977</t>
  </si>
  <si>
    <t>97980</t>
  </si>
  <si>
    <t>97981</t>
  </si>
  <si>
    <t>97983</t>
  </si>
  <si>
    <t>97985</t>
  </si>
  <si>
    <t>97987</t>
  </si>
  <si>
    <t>97988</t>
  </si>
  <si>
    <t>97989</t>
  </si>
  <si>
    <t>97991</t>
  </si>
  <si>
    <t>97992</t>
  </si>
  <si>
    <t>97993</t>
  </si>
  <si>
    <t>97994</t>
  </si>
  <si>
    <t>97995</t>
  </si>
  <si>
    <t>97996</t>
  </si>
  <si>
    <t>97997</t>
  </si>
  <si>
    <t>97999</t>
  </si>
  <si>
    <t>98001</t>
  </si>
  <si>
    <t>98002</t>
  </si>
  <si>
    <t>98003</t>
  </si>
  <si>
    <t>98005</t>
  </si>
  <si>
    <t>98006</t>
  </si>
  <si>
    <t>98007</t>
  </si>
  <si>
    <t>98008</t>
  </si>
  <si>
    <t>98009</t>
  </si>
  <si>
    <t>98010</t>
  </si>
  <si>
    <t>98011</t>
  </si>
  <si>
    <t>98012</t>
  </si>
  <si>
    <t>98013</t>
  </si>
  <si>
    <t>98014</t>
  </si>
  <si>
    <t>98015</t>
  </si>
  <si>
    <t>98016</t>
  </si>
  <si>
    <t>98017</t>
  </si>
  <si>
    <t>98018</t>
  </si>
  <si>
    <t>98019</t>
  </si>
  <si>
    <t>98020</t>
  </si>
  <si>
    <t>98021</t>
  </si>
  <si>
    <t>98022</t>
  </si>
  <si>
    <t>98023</t>
  </si>
  <si>
    <t>98024</t>
  </si>
  <si>
    <t>98025</t>
  </si>
  <si>
    <t>98026</t>
  </si>
  <si>
    <t>98027</t>
  </si>
  <si>
    <t>98028</t>
  </si>
  <si>
    <t>98029</t>
  </si>
  <si>
    <t>98030</t>
  </si>
  <si>
    <t>98031</t>
  </si>
  <si>
    <t>98032</t>
  </si>
  <si>
    <t>98033</t>
  </si>
  <si>
    <t>98034</t>
  </si>
  <si>
    <t>98035</t>
  </si>
  <si>
    <t>98036</t>
  </si>
  <si>
    <t>98037</t>
  </si>
  <si>
    <t>98038</t>
  </si>
  <si>
    <t>98039</t>
  </si>
  <si>
    <t>98040</t>
  </si>
  <si>
    <t>98041</t>
  </si>
  <si>
    <t>98042</t>
  </si>
  <si>
    <t>98043</t>
  </si>
  <si>
    <t>98044</t>
  </si>
  <si>
    <t>98045</t>
  </si>
  <si>
    <t>98046</t>
  </si>
  <si>
    <t>98047</t>
  </si>
  <si>
    <t>98048</t>
  </si>
  <si>
    <t>98049</t>
  </si>
  <si>
    <t>98050</t>
  </si>
  <si>
    <t>98051</t>
  </si>
  <si>
    <t>98405</t>
  </si>
  <si>
    <t>98406</t>
  </si>
  <si>
    <t>98407</t>
  </si>
  <si>
    <t>98408</t>
  </si>
  <si>
    <t>98409</t>
  </si>
  <si>
    <t>99240</t>
  </si>
  <si>
    <t>99241</t>
  </si>
  <si>
    <t>99242</t>
  </si>
  <si>
    <t>99243</t>
  </si>
  <si>
    <t>99244</t>
  </si>
  <si>
    <t>99246</t>
  </si>
  <si>
    <t>99247</t>
  </si>
  <si>
    <t>99248</t>
  </si>
  <si>
    <t>99249</t>
  </si>
  <si>
    <t>99252</t>
  </si>
  <si>
    <t>99254</t>
  </si>
  <si>
    <t>99256</t>
  </si>
  <si>
    <t>99259</t>
  </si>
  <si>
    <t>99261</t>
  </si>
  <si>
    <t>99263</t>
  </si>
  <si>
    <t>99265</t>
  </si>
  <si>
    <t>99266</t>
  </si>
  <si>
    <t>99267</t>
  </si>
  <si>
    <t>99269</t>
  </si>
  <si>
    <t>99271</t>
  </si>
  <si>
    <t>99272</t>
  </si>
  <si>
    <t>99273</t>
  </si>
  <si>
    <t>99274</t>
  </si>
  <si>
    <t>99276</t>
  </si>
  <si>
    <t>99277</t>
  </si>
  <si>
    <t>99278</t>
  </si>
  <si>
    <t>99279</t>
  </si>
  <si>
    <t>99280</t>
  </si>
  <si>
    <t>99281</t>
  </si>
  <si>
    <t>99282</t>
  </si>
  <si>
    <t>99283</t>
  </si>
  <si>
    <t>99284</t>
  </si>
  <si>
    <t>99286</t>
  </si>
  <si>
    <t>99287</t>
  </si>
  <si>
    <t>99288</t>
  </si>
  <si>
    <t>99289</t>
  </si>
  <si>
    <t>99290</t>
  </si>
  <si>
    <t>99291</t>
  </si>
  <si>
    <t>99292</t>
  </si>
  <si>
    <t>99293</t>
  </si>
  <si>
    <t>99294</t>
  </si>
  <si>
    <t>99296</t>
  </si>
  <si>
    <t>99297</t>
  </si>
  <si>
    <t>99298</t>
  </si>
  <si>
    <t>99299</t>
  </si>
  <si>
    <t>99300</t>
  </si>
  <si>
    <t>99301</t>
  </si>
  <si>
    <t>99302</t>
  </si>
  <si>
    <t>99303</t>
  </si>
  <si>
    <t>99304</t>
  </si>
  <si>
    <t>99305</t>
  </si>
  <si>
    <t>99306</t>
  </si>
  <si>
    <t>99307</t>
  </si>
  <si>
    <t>99308</t>
  </si>
  <si>
    <t>99309</t>
  </si>
  <si>
    <t>99310</t>
  </si>
  <si>
    <t>99311</t>
  </si>
  <si>
    <t>99312</t>
  </si>
  <si>
    <t>99313</t>
  </si>
  <si>
    <t>99314</t>
  </si>
  <si>
    <t>99315</t>
  </si>
  <si>
    <t>99317</t>
  </si>
  <si>
    <t>99318</t>
  </si>
  <si>
    <t>99319</t>
  </si>
  <si>
    <t>99320</t>
  </si>
  <si>
    <t>99321</t>
  </si>
  <si>
    <t>99322</t>
  </si>
  <si>
    <t>99323</t>
  </si>
  <si>
    <t>99324</t>
  </si>
  <si>
    <t>99325</t>
  </si>
  <si>
    <t>99326</t>
  </si>
  <si>
    <t>99327</t>
  </si>
  <si>
    <t>94263</t>
  </si>
  <si>
    <t>GUIA (MEIO-FIO) CONCRETO, MOLDADA  IN LOCO  EM TRECHO RETO COM EXTRUSORA, 13 CM BASE X 22 CM ALTURA. AF_06/2016</t>
  </si>
  <si>
    <t>94264</t>
  </si>
  <si>
    <t>GUIA (MEIO-FIO) CONCRETO, MOLDADA  IN LOCO  EM TRECHO CURVO COM EXTRUSORA, 13 CM BASE X 22 CM ALTURA. AF_06/2016</t>
  </si>
  <si>
    <t>94265</t>
  </si>
  <si>
    <t>GUIA (MEIO-FIO) CONCRETO, MOLDADA  IN LOCO  EM TRECHO RETO COM EXTRUSORA, 15 CM BASE X 30 CM ALTURA. AF_06/2016</t>
  </si>
  <si>
    <t>94266</t>
  </si>
  <si>
    <t>GUIA (MEIO-FIO) CONCRETO, MOLDADA  IN LOCO  EM TRECHO CURVO COM EXTRUSORA, 15 CM BASE X 30 CM ALTURA. AF_06/2016</t>
  </si>
  <si>
    <t>94267</t>
  </si>
  <si>
    <t>GUIA (MEIO-FIO) E SARJETA CONJUGADOS DE CONCRETO, MOLDADA  IN LOCO  EM TRECHO RETO COM EXTRUSORA, 45 CM BASE (15 CM BASE DA GUIA + 30 CM BASE DA SARJETA) X 22 CM ALTURA. AF_06/2016</t>
  </si>
  <si>
    <t>94268</t>
  </si>
  <si>
    <t>GUIA (MEIO-FIO) E SARJETA CONJUGADOS DE CONCRETO, MOLDADA  IN LOCO  EM TRECHO CURVO COM EXTRUSORA, 45 CM BASE (15 CM BASE DA GUIA + 30 CM BASE DA SARJETA) X 22 CM ALTURA. AF_06/2016</t>
  </si>
  <si>
    <t>94269</t>
  </si>
  <si>
    <t>GUIA (MEIO-FIO) E SARJETA CONJUGADOS DE CONCRETO, MOLDADA  IN LOCO  EM TRECHO RETO COM EXTRUSORA, 60 CM BASE (15 CM BASE DA GUIA + 45 CM BASE DA SARJETA) X 26 CM ALTURA. AF_06/2016</t>
  </si>
  <si>
    <t>94270</t>
  </si>
  <si>
    <t>GUIA (MEIO-FIO) E SARJETA CONJUGADOS DE CONCRETO, MOLDADA IN LOCO  EM TRECHO CURVO COM EXTRUSORA, 60 CM BASE (15 CM BASE DA GUIA + 45 CM BASE DA SARJETA) X 26 CM ALTURA. AF_06/2016</t>
  </si>
  <si>
    <t>94271</t>
  </si>
  <si>
    <t>94272</t>
  </si>
  <si>
    <t>GUIA (MEIO-FIO) E SARJETA CONJUGADOS DE CONCRETO, MOLDADA  IN LOCO  EM TRECHO CURVO COM EXTRUSORA, 65 CM BASE (15 CM BASE DA GUIA + 50 CM BASE DA SARJETA) X 26 CM ALTURA. AF_06/2016</t>
  </si>
  <si>
    <t>94273</t>
  </si>
  <si>
    <t>ASSENTAMENTO DE GUIA (MEIO-FIO) EM TRECHO RETO, CONFECCIONADA EM CONCRETO PRÉ-FABRICADO, DIMENSÕES 100X15X13X30 CM (COMPRIMENTO X BASE INFERIOR X BASE SUPERIOR X ALTURA), PARA VIAS URBANAS (USO VIÁRIO). AF_06/2016</t>
  </si>
  <si>
    <t>94274</t>
  </si>
  <si>
    <t>ASSENTAMENTO DE GUIA (MEIO-FIO) EM TRECHO CURVO, CONFECCIONADA EM CONCRETO PRÉ-FABRICADO, DIMENSÕES 100X15X13X30 CM (COMPRIMENTO X BASE INFERIOR X BASE SUPERIOR X ALTURA), PARA VIAS URBANAS (USO VIÁRIO). AF_06/2016</t>
  </si>
  <si>
    <t>94275</t>
  </si>
  <si>
    <t>94276</t>
  </si>
  <si>
    <t>94281</t>
  </si>
  <si>
    <t>EXECUÇÃO DE SARJETA DE CONCRETO USINADO, MOLDADA  IN LOCO  EM TRECHO RETO, 30 CM BASE X 15 CM ALTURA. AF_06/2016</t>
  </si>
  <si>
    <t>94282</t>
  </si>
  <si>
    <t>EXECUÇÃO DE SARJETA DE CONCRETO USINADO, MOLDADA  IN LOCO  EM TRECHO CURVO, 30 CM BASE X 15 CM ALTURA. AF_06/2016</t>
  </si>
  <si>
    <t>94283</t>
  </si>
  <si>
    <t>EXECUÇÃO DE SARJETA DE CONCRETO USINADO, MOLDADA  IN LOCO  EM TRECHO RETO, 45 CM BASE X 15 CM ALTURA. AF_06/2016</t>
  </si>
  <si>
    <t>94284</t>
  </si>
  <si>
    <t>EXECUÇÃO DE SARJETA DE CONCRETO USINADO, MOLDADA  IN LOCO  EM TRECHO CURVO, 45 CM BASE X 15 CM ALTURA. AF_06/2016</t>
  </si>
  <si>
    <t>94285</t>
  </si>
  <si>
    <t>EXECUÇÃO DE SARJETA DE CONCRETO USINADO, MOLDADA  IN LOCO  EM TRECHO RETO, 60 CM BASE X 15 CM ALTURA. AF_06/2016</t>
  </si>
  <si>
    <t>94286</t>
  </si>
  <si>
    <t>EXECUÇÃO DE SARJETA DE CONCRETO USINADO, MOLDADA  IN LOCO  EM TRECHO CURVO, 60 CM BASE X 15 CM ALTURA. AF_06/2016</t>
  </si>
  <si>
    <t>94287</t>
  </si>
  <si>
    <t>EXECUÇÃO DE SARJETA DE CONCRETO USINADO, MOLDADA  IN LOCO  EM TRECHO RETO, 30 CM BASE X 10 CM ALTURA. AF_06/2016</t>
  </si>
  <si>
    <t>94288</t>
  </si>
  <si>
    <t>EXECUÇÃO DE SARJETA DE CONCRETO USINADO, MOLDADA  IN LOCO  EM TRECHO CURVO, 30 CM BASE X 10 CM ALTURA. AF_06/2016</t>
  </si>
  <si>
    <t>94289</t>
  </si>
  <si>
    <t>EXECUÇÃO DE SARJETA DE CONCRETO USINADO, MOLDADA  IN LOCO  EM TRECHO RETO, 45 CM BASE X 10 CM ALTURA. AF_06/2016</t>
  </si>
  <si>
    <t>94290</t>
  </si>
  <si>
    <t>EXECUÇÃO DE SARJETA DE CONCRETO USINADO, MOLDADA  IN LOCO  EM TRECHO CURVO, 45 CM BASE X 10 CM ALTURA. AF_06/2016</t>
  </si>
  <si>
    <t>94291</t>
  </si>
  <si>
    <t>EXECUÇÃO DE SARJETA DE CONCRETO USINADO, MOLDADA  IN LOCO  EM TRECHO RETO, 60 CM BASE X 10 CM ALTURA. AF_06/2016</t>
  </si>
  <si>
    <t>94292</t>
  </si>
  <si>
    <t>EXECUÇÃO DE SARJETA DE CONCRETO USINADO, MOLDADA  IN LOCO  EM TRECHO CURVO, 60 CM BASE X 10 CM ALTURA. AF_06/2016</t>
  </si>
  <si>
    <t>94293</t>
  </si>
  <si>
    <t>EXECUÇÃO DE SARJETÃO DE CONCRETO USINADO, MOLDADA  IN LOCO  EM TRECHO RETO, 100 CM BASE X 20 CM ALTURA. AF_06/2016</t>
  </si>
  <si>
    <t>94294</t>
  </si>
  <si>
    <t>EXECUÇÃO DE ESCORAS DE CONCRETO PARA CONTENÇÃO DE GUIAS PRÉ-FABRICADAS. AF_06/2016</t>
  </si>
  <si>
    <t>16,78</t>
  </si>
  <si>
    <t>17,49</t>
  </si>
  <si>
    <t>90788</t>
  </si>
  <si>
    <t>KIT DE PORTA-PRONTA DE MADEIRA EM ACABAMENTO MELAMÍNICO BRANCO, FOLHA LEVE OU MÉDIA, 60X210CM, EXCLUSIVE FECHADURA, FIXAÇÃO COM PREENCHIMENTO PARCIAL DE ESPUMA EXPANSIVA - FORNECIMENTO E INSTALAÇÃO. AF_12/2019</t>
  </si>
  <si>
    <t>90789</t>
  </si>
  <si>
    <t>KIT DE PORTA-PRONTA DE MADEIRA EM ACABAMENTO MELAMÍNICO BRANCO, FOLHA LEVE OU MÉDIA, 70X210CM, EXCLUSIVE FECHADURA, FIXAÇÃO COM PREENCHIMENTO PARCIAL DE ESPUMA EXPANSIVA - FORNECIMENTO E INSTALAÇÃO. AF_12/2019</t>
  </si>
  <si>
    <t>90790</t>
  </si>
  <si>
    <t>KIT DE PORTA-PRONTA DE MADEIRA EM ACABAMENTO MELAMÍNICO BRANCO, FOLHA LEVE OU MÉDIA, 80X210CM, EXCLUSIVE FECHADURA, FIXAÇÃO COM PREENCHIMENTO PARCIAL DE ESPUMA EXPANSIVA - FORNECIMENTO E INSTALAÇÃO. AF_12/2019</t>
  </si>
  <si>
    <t>90791</t>
  </si>
  <si>
    <t>90793</t>
  </si>
  <si>
    <t>90794</t>
  </si>
  <si>
    <t>90795</t>
  </si>
  <si>
    <t>90796</t>
  </si>
  <si>
    <t>90797</t>
  </si>
  <si>
    <t>90798</t>
  </si>
  <si>
    <t>90799</t>
  </si>
  <si>
    <t>90801</t>
  </si>
  <si>
    <t>90806</t>
  </si>
  <si>
    <t>90820</t>
  </si>
  <si>
    <t>PORTA DE MADEIRA PARA PINTURA, SEMI-OCA (LEVE OU MÉDIA), 60X210CM, ESPESSURA DE 3,5CM, INCLUSO DOBRADIÇAS - FORNECIMENTO E INSTALAÇÃO. AF_12/2019</t>
  </si>
  <si>
    <t>90821</t>
  </si>
  <si>
    <t>PORTA DE MADEIRA PARA PINTURA, SEMI-OCA (LEVE OU MÉDIA), 70X210CM, ESPESSURA DE 3,5CM, INCLUSO DOBRADIÇAS - FORNECIMENTO E INSTALAÇÃO. AF_12/2019</t>
  </si>
  <si>
    <t>90822</t>
  </si>
  <si>
    <t>PORTA DE MADEIRA PARA PINTURA, SEMI-OCA (LEVE OU MÉDIA), 80X210CM, ESPESSURA DE 3,5CM, INCLUSO DOBRADIÇAS - FORNECIMENTO E INSTALAÇÃO. AF_12/2019</t>
  </si>
  <si>
    <t>90823</t>
  </si>
  <si>
    <t>PORTA DE MADEIRA PARA PINTURA, SEMI-OCA (LEVE OU MÉDIA), 90X210CM, ESPESSURA DE 3,5CM, INCLUSO DOBRADIÇAS - FORNECIMENTO E INSTALAÇÃO. AF_12/2019</t>
  </si>
  <si>
    <t>90824</t>
  </si>
  <si>
    <t>PORTA DE MADEIRA PARA PINTURA, SEMI-OCA (PESADA OU SUPERPESADA), 80X210CM, ESPESSURA DE 3,5CM, INCLUSO DOBRADIÇAS - FORNECIMENTO E INSTALAÇÃO. AF_12/2019</t>
  </si>
  <si>
    <t>90825</t>
  </si>
  <si>
    <t>PORTA DE MADEIRA, MACIÇA (PESADA OU SUPERPESADA), 90X210CM, ESPESSURA DE 3,5CM, INCLUSO DOBRADIÇAS - FORNECIMENTO E INSTALAÇÃO. AF_12/2019</t>
  </si>
  <si>
    <t>90830</t>
  </si>
  <si>
    <t>FECHADURA DE EMBUTIR COM CILINDRO, EXTERNA, COMPLETA, ACABAMENTO PADRÃO MÉDIO, INCLUSO EXECUÇÃO DE FURO - FORNECIMENTO E INSTALAÇÃO. AF_12/2019</t>
  </si>
  <si>
    <t>90831</t>
  </si>
  <si>
    <t>FECHADURA DE EMBUTIR PARA PORTA DE BANHEIRO, COMPLETA, ACABAMENTO PADRÃO MÉDIO, INCLUSO EXECUÇÃO DE FURO - FORNECIMENTO E INSTALAÇÃO. AF_12/2019</t>
  </si>
  <si>
    <t>90841</t>
  </si>
  <si>
    <t>KIT DE PORTA DE MADEIRA PARA PINTURA, SEMI-OCA (LEVE OU MÉDIA), PADRÃO MÉDIO, 60X210CM, ESPESSURA DE 3,5CM, ITENS INCLUSOS: DOBRADIÇAS, MONTAGEM E INSTALAÇÃO DO BATENTE, FECHADURA COM EXECUÇÃO DO FURO - FORNECIMENTO E INSTALAÇÃO. AF_12/2019</t>
  </si>
  <si>
    <t>90842</t>
  </si>
  <si>
    <t>KIT DE PORTA DE MADEIRA PARA PINTURA, SEMI-OCA (LEVE OU MÉDIA), PADRÃO MÉDIO, 70X210CM, ESPESSURA DE 3,5CM, ITENS INCLUSOS: DOBRADIÇAS, MONTAGEM E INSTALAÇÃO DO BATENTE, FECHADURA COM EXECUÇÃO DO FURO - FORNECIMENTO E INSTALAÇÃO. AF_12/2019</t>
  </si>
  <si>
    <t>90843</t>
  </si>
  <si>
    <t>KIT DE PORTA DE MADEIRA PARA PINTURA, SEMI-OCA (LEVE OU MÉDIA), PADRÃO MÉDIO, 80X210CM, ESPESSURA DE 3,5CM, ITENS INCLUSOS: DOBRADIÇAS, MONTAGEM E INSTALAÇÃO DO BATENTE, FECHADURA COM EXECUÇÃO DO FURO - FORNECIMENTO E INSTALAÇÃO. AF_12/2019</t>
  </si>
  <si>
    <t>90844</t>
  </si>
  <si>
    <t>KIT DE PORTA DE MADEIRA PARA PINTURA, SEMI-OCA (LEVE OU MÉDIA), PADRÃO MÉDIO, 90X210CM, ESPESSURA DE 3,5CM, ITENS INCLUSOS: DOBRADIÇAS, MONTAGEM E INSTALAÇÃO DO BATENTE, FECHADURA COM EXECUÇÃO DO FURO - FORNECIMENTO E INSTALAÇÃO. AF_12/2019</t>
  </si>
  <si>
    <t>90847</t>
  </si>
  <si>
    <t>KIT DE PORTA DE MADEIRA PARA PINTURA, SEMI-OCA (LEVE OU MÉDIA), PADRÃO MÉDIO, 60X210CM, ESPESSURA DE 3,5CM, ITENS INCLUSOS: DOBRADIÇAS, MONTAGEM E INSTALAÇÃO DO BATENTE, SEM FECHADURA - FORNECIMENTO E INSTALAÇÃO. AF_12/2019</t>
  </si>
  <si>
    <t>90848</t>
  </si>
  <si>
    <t>KIT DE PORTA DE MADEIRA PARA PINTURA, SEMI-OCA (LEVE OU MÉDIA), PADRÃO MÉDIO, 70X210CM, ESPESSURA DE 3,5CM, ITENS INCLUSOS: DOBRADIÇAS, MONTAGEM E INSTALAÇÃO DO BATENTE, SEM FECHADURA - FORNECIMENTO E INSTALAÇÃO. AF_12/2019</t>
  </si>
  <si>
    <t>90849</t>
  </si>
  <si>
    <t>KIT DE PORTA DE MADEIRA PARA PINTURA, SEMI-OCA (LEVE OU MÉDIA), PADRÃO MÉDIO, 80X210CM, ESPESSURA DE 3,5CM, ITENS INCLUSOS: DOBRADIÇAS, MONTAGEM E INSTALAÇÃO DO BATENTE, SEM FECHADURA - FORNECIMENTO E INSTALAÇÃO. AF_12/2019</t>
  </si>
  <si>
    <t>90850</t>
  </si>
  <si>
    <t>KIT DE PORTA DE MADEIRA PARA PINTURA, SEMI-OCA (LEVE OU MÉDIA), PADRÃO MÉDIO, 90X210CM, ESPESSURA DE 3,5CM, ITENS INCLUSOS: DOBRADIÇAS, MONTAGEM E INSTALAÇÃO DO BATENTE, SEM FECHADURA - FORNECIMENTO E INSTALAÇÃO. AF_12/2019</t>
  </si>
  <si>
    <t>91009</t>
  </si>
  <si>
    <t>PORTA DE MADEIRA PARA VERNIZ, SEMI-OCA (LEVE OU MÉDIA), 60X210CM, ESPESSURA DE 3,5CM, INCLUSO DOBRADIÇAS - FORNECIMENTO E INSTALAÇÃO. AF_12/2019</t>
  </si>
  <si>
    <t>91010</t>
  </si>
  <si>
    <t>PORTA DE MADEIRA PARA VERNIZ, SEMI-OCA (LEVE OU MÉDIA), 70X210CM, ESPESSURA DE 3,5CM, INCLUSO DOBRADIÇAS - FORNECIMENTO E INSTALAÇÃO. AF_12/2019</t>
  </si>
  <si>
    <t>91011</t>
  </si>
  <si>
    <t>PORTA DE MADEIRA PARA VERNIZ, SEMI-OCA (LEVE OU MÉDIA), 80X210CM, ESPESSURA DE 3,5CM, INCLUSO DOBRADIÇAS - FORNECIMENTO E INSTALAÇÃO. AF_12/2019</t>
  </si>
  <si>
    <t>91012</t>
  </si>
  <si>
    <t>PORTA DE MADEIRA PARA VERNIZ, SEMI-OCA (LEVE OU MÉDIA), 90X210CM, ESPESSURA DE 3,5CM, INCLUSO DOBRADIÇAS - FORNECIMENTO E INSTALAÇÃO. AF_12/2019</t>
  </si>
  <si>
    <t>91013</t>
  </si>
  <si>
    <t>KIT DE PORTA DE MADEIRA PARA VERNIZ, SEMI-OCA (LEVE OU MÉDIA), PADRÃO MÉDIO, 60X210CM, ESPESSURA DE 3,5CM, ITENS INCLUSOS: DOBRADIÇAS, MONTAGEM E INSTALAÇÃO DO BATENTE, SEM FECHADURA - FORNECIMENTO E INSTALAÇÃO. AF_12/2019</t>
  </si>
  <si>
    <t>91014</t>
  </si>
  <si>
    <t>KIT DE PORTA DE MADEIRA PARA VERNIZ, SEMI-OCA (LEVE OU MÉDIA), PADRÃO MÉDIO, 70X210CM, ESPESSURA DE 3,5CM, ITENS INCLUSOS: DOBRADIÇAS, MONTAGEM E INSTALAÇÃO DO BATENTE, SEM FECHADURA - FORNECIMENTO E INSTALAÇÃO. AF_12/2019</t>
  </si>
  <si>
    <t>91015</t>
  </si>
  <si>
    <t>KIT DE PORTA DE MADEIRA PARA VERNIZ, SEMI-OCA (LEVE OU MÉDIA), PADRÃO MÉDIO, 80X210CM, ESPESSURA DE 3,5CM, ITENS INCLUSOS: DOBRADIÇAS, MONTAGEM E INSTALAÇÃO DO BATENTE, SEM FECHADURA - FORNECIMENTO E INSTALAÇÃO. AF_12/2019</t>
  </si>
  <si>
    <t>91016</t>
  </si>
  <si>
    <t>KIT DE PORTA DE MADEIRA PARA VERNIZ, SEMI-OCA (LEVE OU MÉDIA), PADRÃO MÉDIO, 90X210CM, ESPESSURA DE 3,5CM, ITENS INCLUSOS: DOBRADIÇAS, MONTAGEM E INSTALAÇÃO DO BATENTE, SEM FECHADURA - FORNECIMENTO E INSTALAÇÃO. AF_12/2019</t>
  </si>
  <si>
    <t>91287</t>
  </si>
  <si>
    <t>BATENTE PARA PORTA DE MADEIRA, PADRÃO POPULAR - FORNECIMENTO E MONTAGEM. AF_12/2019</t>
  </si>
  <si>
    <t>91292</t>
  </si>
  <si>
    <t>91295</t>
  </si>
  <si>
    <t>PORTA DE MADEIRA FRISADA, SEMI-OCA (LEVE OU MÉDIA), 60X210CM, ESPESSURA DE 3CM, INCLUSO DOBRADIÇAS - FORNECIMENTO E INSTALAÇÃO. AF_12/2019</t>
  </si>
  <si>
    <t>91296</t>
  </si>
  <si>
    <t>PORTA DE MADEIRA FRISADA, SEMI-OCA (LEVE OU MÉDIA), 70X210CM, ESPESSURA DE 3CM, INCLUSO DOBRADIÇAS - FORNECIMENTO E INSTALAÇÃO. AF_12/2019</t>
  </si>
  <si>
    <t>91297</t>
  </si>
  <si>
    <t>PORTA DE MADEIRA FRISADA, SEMI-OCA (LEVE OU MÉDIA), 80X210CM, ESPESSURA DE 3,5CM, INCLUSO DOBRADIÇAS - FORNECIMENTO E INSTALAÇÃO. AF_12/2019</t>
  </si>
  <si>
    <t>91298</t>
  </si>
  <si>
    <t>PORTA DE MADEIRA TIPO VENEZIANA, 80X210CM, ESPESSURA DE 3CM, INCLUSO DOBRADIÇAS - FORNECIMENTO E INSTALAÇÃO. AF_12/2019</t>
  </si>
  <si>
    <t>91299</t>
  </si>
  <si>
    <t>PORTA DE MADEIRA, TIPO MEXICANA, MACIÇA (PESADA OU SUPERPESADA), 80X210CM, ESPESSURA DE 3,5CM, INCLUSO DOBRADIÇAS - FORNECIMENTO E INSTALAÇÃO. AF_12/2019</t>
  </si>
  <si>
    <t>91304</t>
  </si>
  <si>
    <t>FECHADURA DE EMBUTIR COM CILINDRO, EXTERNA, COMPLETA, ACABAMENTO PADRÃO POPULAR, INCLUSO EXECUÇÃO DE FURO - FORNECIMENTO E INSTALAÇÃO. AF_12/2019</t>
  </si>
  <si>
    <t>91305</t>
  </si>
  <si>
    <t>FECHADURA DE EMBUTIR PARA PORTA DE BANHEIRO, COMPLETA, ACABAMENTO PADRÃO POPULAR, INCLUSO EXECUÇÃO DE FURO - FORNECIMENTO E INSTALAÇÃO. AF_12/2019</t>
  </si>
  <si>
    <t>91306</t>
  </si>
  <si>
    <t>FECHADURA DE EMBUTIR PARA PORTAS INTERNAS, COMPLETA, ACABAMENTO PADRÃO MÉDIO, COM EXECUÇÃO DE FURO - FORNECIMENTO E INSTALAÇÃO. AF_12/2019</t>
  </si>
  <si>
    <t>91307</t>
  </si>
  <si>
    <t>FECHADURA DE EMBUTIR PARA PORTAS INTERNAS, COMPLETA, ACABAMENTO PADRÃO POPULAR, COM EXECUÇÃO DE FURO - FORNECIMENTO E INSTALAÇÃO. AF_12/2019</t>
  </si>
  <si>
    <t>91312</t>
  </si>
  <si>
    <t>KIT DE PORTA DE MADEIRA PARA PINTURA, SEMI-OCA (LEVE OU MÉDIA), PADRÃO POPULAR, 60X210CM, ESPESSURA DE 3,5CM, ITENS INCLUSOS: DOBRADIÇAS, MONTAGEM E INSTALAÇÃO DO BATENTE, FECHADURA COM EXECUÇÃO DO FURO - FORNECIMENTO E INSTALAÇÃO. AF_12/2019</t>
  </si>
  <si>
    <t>91313</t>
  </si>
  <si>
    <t>KIT DE PORTA DE MADEIRA PARA PINTURA, SEMI-OCA (LEVE OU MÉDIA), PADRÃO POPULAR, 70X210CM, ESPESSURA DE 3,5CM, ITENS INCLUSOS: DOBRADIÇAS, MONTAGEM E INSTALAÇÃO DO BATENTE, FECHADURA COM EXECUÇÃO DO FURO - FORNECIMENTO E INSTALAÇÃO. AF_12/2019</t>
  </si>
  <si>
    <t>91314</t>
  </si>
  <si>
    <t>KIT DE PORTA DE MADEIRA PARA PINTURA, SEMI-OCA (LEVE OU MÉDIA), PADRÃO POPULAR, 80X210CM, ESPESSURA DE 3,5CM, ITENS INCLUSOS: DOBRADIÇAS, MONTAGEM E INSTALAÇÃO DO BATENTE, FECHADURA COM EXECUÇÃO DO FURO - FORNECIMENTO E INSTALAÇÃO. AF_12/2019</t>
  </si>
  <si>
    <t>91315</t>
  </si>
  <si>
    <t>KIT DE PORTA DE MADEIRA PARA PINTURA, SEMI-OCA (LEVE OU MÉDIA), PADRÃO POPULAR, 90X210CM, ESPESSURA DE 3,5CM, ITENS INCLUSOS: DOBRADIÇAS, MONTAGEM E INSTALAÇÃO DO BATENTE, FECHADURA COM EXECUÇÃO DO FURO - FORNECIMENTO E INSTALAÇÃO. AF_12/2019</t>
  </si>
  <si>
    <t>91318</t>
  </si>
  <si>
    <t>KIT DE PORTA DE MADEIRA PARA PINTURA, SEMI-OCA (LEVE OU MÉDIA), PADRÃO POPULAR, 60X210CM, ESPESSURA DE 3,5CM, ITENS INCLUSOS: DOBRADIÇAS, MONTAGEM E INSTALAÇÃO DO BATENTE, SEM FECHADURA - FORNECIMENTO E INSTALAÇÃO. AF_12/2019</t>
  </si>
  <si>
    <t>91319</t>
  </si>
  <si>
    <t>KIT DE PORTA DE MADEIRA PARA PINTURA, SEMI-OCA (LEVE OU MÉDIA), PADRÃO POPULAR, 70X210CM, ESPESSURA DE 3,5CM, ITENS INCLUSOS: DOBRADIÇAS, MONTAGEM E INSTALAÇÃO DO BATENTE, SEM FECHADURA - FORNECIMENTO E INSTALAÇÃO. AF_12/2019</t>
  </si>
  <si>
    <t>91320</t>
  </si>
  <si>
    <t>KIT DE PORTA DE MADEIRA PARA PINTURA, SEMI-OCA (LEVE OU MÉDIA), PADRÃO POPULAR, 80X210CM, ESPESSURA DE 3,5CM, ITENS INCLUSOS: DOBRADIÇAS, MONTAGEM E INSTALAÇÃO DO BATENTE, SEM FECHADURA - FORNECIMENTO E INSTALAÇÃO. AF_12/2019</t>
  </si>
  <si>
    <t>91321</t>
  </si>
  <si>
    <t>KIT DE PORTA DE MADEIRA PARA PINTURA, SEMI-OCA (LEVE OU MÉDIA), PADRÃO POPULAR, 90X210CM, ESPESSURA DE 3,5CM, ITENS INCLUSOS: DOBRADIÇAS, MONTAGEM E INSTALAÇÃO DO BATENTE, SEM FECHADURA - FORNECIMENTO E INSTALAÇÃO. AF_12/2019</t>
  </si>
  <si>
    <t>91324</t>
  </si>
  <si>
    <t>KIT DE PORTA DE MADEIRA PARA VERNIZ, SEMI-OCA (LEVE OU MÉDIA), PADRÃO POPULAR, 60X210CM, ESPESSURA DE 3,5CM, ITENS INCLUSOS: DOBRADIÇAS, MONTAGEM E INSTALAÇÃO DO BATENTE, SEM FECHADURA - FORNECIMENTO E INSTALAÇÃO. AF_12/2019</t>
  </si>
  <si>
    <t>91325</t>
  </si>
  <si>
    <t>KIT DE PORTA DE MADEIRA PARA VERNIZ, SEMI-OCA (LEVE OU MÉDIA), PADRÃO POPULAR, 70X210CM, ESPESSURA DE 3,5CM, ITENS INCLUSOS: DOBRADIÇAS, MONTAGEM E INSTALAÇÃO DO BATENTE, SEM FECHADURA - FORNECIMENTO E INSTALAÇÃO. AF_12/2019</t>
  </si>
  <si>
    <t>91326</t>
  </si>
  <si>
    <t>KIT DE PORTA DE MADEIRA PARA VERNIZ, SEMI-OCA (LEVE OU MÉDIA), PADRÃO POPULAR, 80X210CM, ESPESSURA DE 3,5CM, ITENS INCLUSOS: DOBRADIÇAS, MONTAGEM E INSTALAÇÃO DO BATENTE, SEM FECHADURA - FORNECIMENTO E INSTALAÇÃO. AF_12/2019</t>
  </si>
  <si>
    <t>91327</t>
  </si>
  <si>
    <t>KIT DE PORTA DE MADEIRA PARA VERNIZ, SEMI-OCA (LEVE OU MÉDIA), PADRÃO POPULAR, 90X210CM, ESPESSURA DE 3,5CM, ITENS INCLUSOS: DOBRADIÇAS, MONTAGEM E INSTALAÇÃO DO BATENTE, SEM FECHADURA - FORNECIMENTO E INSTALAÇÃO. AF_12/2019</t>
  </si>
  <si>
    <t>91328</t>
  </si>
  <si>
    <t>KIT DE PORTA DE MADEIRA FRISADA, SEMI-OCA (LEVE OU MÉDIA), PADRÃO MÉDIO 60X210CM, ESPESSURA DE 3CM, ITENS INCLUSOS: DOBRADIÇAS, MONTAGEM E INSTALAÇÃO DO BATENTE, SEM FECHADURA - FORNECIMENTO E INSTALAÇÃO. AF_12/2019</t>
  </si>
  <si>
    <t>91329</t>
  </si>
  <si>
    <t>KIT DE PORTA DE MADEIRA FRISADA, SEMI-OCA (LEVE OU MÉDIA), PADRÃO POPULAR, 60X210CM, ESPESSURA DE 3CM, ITENS INCLUSOS: DOBRADIÇAS, MONTAGEM E INSTALAÇÃO DO BATENTE, SEM FECHADURA - FORNECIMENTO E INSTALAÇÃO. AF_12/2019</t>
  </si>
  <si>
    <t>91330</t>
  </si>
  <si>
    <t>KIT DE PORTA DE MADEIRA FRISADA, SEMI-OCA (LEVE OU MÉDIA), PADRÃO MÉDIO, 70X210CM, ESPESSURA DE 3CM, ITENS INCLUSOS: DOBRADIÇAS, MONTAGEM E INSTALAÇÃO DO BATENTE, SEM FECHADURA - FORNECIMENTO E INSTALAÇÃO. AF_12/2019</t>
  </si>
  <si>
    <t>91331</t>
  </si>
  <si>
    <t>KIT DE PORTA DE MADEIRA FRISADA, SEMI-OCA (LEVE OU MÉDIA), PADRÃO POPULAR, 70X210CM, ESPESSURA DE 3CM, ITENS INCLUSOS: DOBRADIÇAS, MONTAGEM E INSTALAÇÃO DO BATENTE, SEM FECHADURA - FORNECIMENTO E INSTALAÇÃO. AF_12/2019</t>
  </si>
  <si>
    <t>91332</t>
  </si>
  <si>
    <t>KIT DE PORTA DE MADEIRA FRISADA, SEMI-OCA (LEVE OU MÉDIA), PADRÃO MÉDIO, 80X210CM, ESPESSURA DE 3,5CM, ITENS INCLUSOS: DOBRADIÇAS, MONTAGEM E INSTALAÇÃO DO BATENTE, SEM FECHADURA - FORNECIMENTO E INSTALAÇÃO. AF_12/2019</t>
  </si>
  <si>
    <t>91333</t>
  </si>
  <si>
    <t>KIT DE PORTA DE MADEIRA FRISADA, SEMI-OCA (LEVE OU MÉDIA), PADRÃO POPULAR, 80X210CM, ESPESSURA DE 3,5CM, ITENS INCLUSOS: DOBRADIÇAS, MONTAGEM E INSTALAÇÃO DO BATENTE, SEM FECHADURA - FORNECIMENTO E INSTALAÇÃO. AF_12/2019</t>
  </si>
  <si>
    <t>91334</t>
  </si>
  <si>
    <t>KIT DE PORTA DE MADEIRA TIPO VENEZIANA, PADRÃO MÉDIO, 80X210CM, ESPESSURA DE 3CM, ITENS INCLUSOS: DOBRADIÇAS, MONTAGEM E INSTALAÇÃO DO BATENTE, SEM FECHADURA - FORNECIMENTO E INSTALAÇÃO. AF_12/2019</t>
  </si>
  <si>
    <t>91335</t>
  </si>
  <si>
    <t>KIT DE PORTA DE MADEIRA TIPO VENEZIANA, PADRÃO POPULAR, 80X210CM, ESPESSURA DE 3CM, ITENS INCLUSOS: DOBRADIÇAS, MONTAGEM E INSTALAÇÃO DO BATENTE, SEM FECHADURA - FORNECIMENTO E INSTALAÇÃO. AF_12/2019</t>
  </si>
  <si>
    <t>91336</t>
  </si>
  <si>
    <t>KIT DE PORTA DE MADEIRA TIPO MEXICANA, MACIÇA (PESADA OU SUPERPESADA), PADRÃO MÉDIO, 80X210CM, ESPESSURA DE 3CM, ITENS INCLUSOS: DOBRADIÇAS, MONTAGEM E INSTALAÇÃO DO BATENTE, SEM FECHADURA - FORNECIMENTO E INSTALAÇÃO. AF_12/2019</t>
  </si>
  <si>
    <t>91337</t>
  </si>
  <si>
    <t>KIT DE PORTA DE MADEIRA TIPO MEXICANA, MACIÇA (PESADA OU SUPERPESADA), PADRÃO POPULAR, 80X210CM, ESPESSURA DE 3CM, ITENS INCLUSOS: DOBRADIÇAS, MONTAGEM E INSTALAÇÃO DO BATENTE, SEM FECHADURA - FORNECIMENTO E INSTALAÇÃO. AF_12/2019</t>
  </si>
  <si>
    <t>100659</t>
  </si>
  <si>
    <t>ALIZAR DE 5X1,5CM PARA PORTA FIXADO COM PREGOS, PADRÃO MÉDIO - FORNECIMENTO E INSTALAÇÃO. AF_12/2019</t>
  </si>
  <si>
    <t>100660</t>
  </si>
  <si>
    <t>ALIZAR DE 5X1,5CM PARA PORTA FIXADO COM PREGOS, PADRÃO POPULAR - FORNECIMENTO E INSTALAÇÃO. AF_12/2019</t>
  </si>
  <si>
    <t>6,61</t>
  </si>
  <si>
    <t>100675</t>
  </si>
  <si>
    <t>KIT DE PORTA-PRONTA DE MADEIRA EM ACABAMENTO MELAMÍNICO BRANCO, FOLHA LEVE OU MÉDIA, 90X210, EXCLUSIVE FECHADURA, FIXAÇÃO COM PREENCHIMENTO TOTAL DE ESPUMA EXPANSIVA - FORNECIMENTO E INSTALAÇÃO. AF_12/2019</t>
  </si>
  <si>
    <t>100676</t>
  </si>
  <si>
    <t>BATENTE PARA PORTA COM BANDEIRA, FIXAÇÃO COM PARAFUSO E BUCHA. AF_12/2019</t>
  </si>
  <si>
    <t>100678</t>
  </si>
  <si>
    <t>KIT DE PORTA DE MADEIRA PARA VERNIZ, SEMI-OCA (LEVE OU MÉDIA), PADRÃO MÉDIO, 60X210CM, ESPESSURA DE 3,5CM, ITENS INCLUSOS: DOBRADIÇAS, MONTAGEM E INSTALAÇÃO DE BATENTE, FECHADURA COM EXECUÇÃO DO FURO - FORNECIMENTO E INSTALAÇÃO. AF_12/2019</t>
  </si>
  <si>
    <t>100679</t>
  </si>
  <si>
    <t>KIT DE PORTA DE MADEIRA PARA VERNIZ, SEMI-OCA (LEVE OU MÉDIA), PADRÃO POPULAR, 60X210CM, ESPESSURA DE 3,5CM, ITENS INCLUSOS: DOBRADIÇAS, MONTAGEM E INSTALAÇÃO DE BATENTE, FECHADURA COM EXECUÇÃO DO FURO - FORNECIMENTO E INSTALAÇÃO. AF_12/2019</t>
  </si>
  <si>
    <t>100680</t>
  </si>
  <si>
    <t>KIT DE PORTA DE MADEIRA PARA VERNIZ, SEMI-OCA (LEVE OU MÉDIA), PADRÃO MÉDIO, 70X210CM, ESPESSURA DE 3,5CM, ITENS INCLUSOS: DOBRADIÇAS, MONTAGEM E INSTALAÇÃO DE BATENTE, FECHADURA COM EXECUÇÃO DO FURO - FORNECIMENTO E INSTALAÇÃO. AF_12/2019</t>
  </si>
  <si>
    <t>100681</t>
  </si>
  <si>
    <t>KIT DE PORTA DE MADEIRA FRISADA, SEMI-OCA (LEVE OU MÉDIA), PADRÃO MÉDIO, 70X210CM, ESPESSURA DE 3CM, ITENS INCLUSOS: DOBRADIÇAS, MONTAGEM E INSTALAÇÃO DE BATENTE, FECHADURA COM EXECUÇÃO DO FURO - FORNECIMENTO E INSTALAÇÃO. AF_12/2019</t>
  </si>
  <si>
    <t>100682</t>
  </si>
  <si>
    <t>KIT DE PORTA DE MADEIRA FRISADA, SEMI-OCA (LEVE OU MÉDIA), PADRÃO POPULAR, 70X210CM, ESPESSURA DE 3CM, ITENS INCLUSOS: DOBRADIÇAS, MONTAGEM E INSTALAÇÃO DE BATENTE, FECHADURA COM EXECUÇÃO DO FURO - FORNECIMENTO E INSTALAÇÃO. AF_12/2019</t>
  </si>
  <si>
    <t>100683</t>
  </si>
  <si>
    <t>KIT DE PORTA DE MADEIRA PARA VERNIZ, SEMI-OCA (LEVE OU MÉDIA), PADRÃO MÉDIO, 80X210CM, ESPESSURA DE 3,5CM, ITENS INCLUSOS: DOBRADIÇAS, MONTAGEM E INSTALAÇÃO DE BATENTE, FECHADURA COM EXECUÇÃO DO FURO - FORNECIMENTO E INSTALAÇÃO. AF_12/2019</t>
  </si>
  <si>
    <t>100684</t>
  </si>
  <si>
    <t>KIT DE PORTA DE MADEIRA PARA VERNIZ, SEMI-OCA (LEVE OU MÉDIA), PADRÃO POPULAR, 80X210CM, ESPESSURA DE 3,5CM, ITENS INCLUSOS: DOBRADIÇAS, MONTAGEM E INSTALAÇÃO DE BATENTE, FECHADURA COM EXECUÇÃO DO FURO - FORNECIMENTO E INSTALAÇÃO. AF_12/2019</t>
  </si>
  <si>
    <t>100685</t>
  </si>
  <si>
    <t>KIT DE PORTA DE MADEIRA PARA VERNIZ, SEMI-OCA (LEVE OU MÉDIA), PADRÃO MÉDIO, 90X210CM, ESPESSURA DE 3,5CM, ITENS INCLUSOS: DOBRADIÇAS, MONTAGEM E INSTALAÇÃO DE BATENTE, FECHADURA COM EXECUÇÃO DO FURO - FORNECIMENTO E INSTALAÇÃO. AF_12/2019</t>
  </si>
  <si>
    <t>100686</t>
  </si>
  <si>
    <t>KIT DE PORTA DE MADEIRA PARA VERNIZ, SEMI-OCA (LEVE OU MÉDIA), PADRÃO POPULAR, 90X210CM, ESPESSURA DE 3CM, ITENS INCLUSOS: DOBRADIÇAS, MONTAGEM E INSTALAÇÃO DE BATENTE, FECHADURA COM EXECUÇÃO DO FURO - FORNECIMENTO E INSTALAÇÃO. AF_12/2019</t>
  </si>
  <si>
    <t>100687</t>
  </si>
  <si>
    <t>KIT DE PORTA DE MADEIRA FRISADA, SEMI-OCA (LEVE OU MÉDIA), PADRÃO MÉDIO, 60X210CM, ESPESSURA DE 3,5CM, ITENS INCLUSOS: DOBRADIÇAS, MONTAGEM E INSTALAÇÃO DE BATENTE, FECHADURA COM EXECUÇÃO DO FURO - FORNECIMENTO E INSTALAÇÃO. AF_12/2019</t>
  </si>
  <si>
    <t>100688</t>
  </si>
  <si>
    <t>KIT DE PORTA DE MADEIRA FRISADA, SEMI-OCA (LEVE OU MÉDIA), PADRÃO POPULAR, 60X210CM, ESPESSURA DE 3CM, ITENS INCLUSOS: DOBRADIÇAS, MONTAGEM E INSTALAÇÃO DE BATENTE, FECHADURA COM EXECUÇÃO DO FURO - FORNECIMENTO E INSTALAÇÃO. AF_12/2019</t>
  </si>
  <si>
    <t>100689</t>
  </si>
  <si>
    <t>KIT DE PORTA DE MADEIRA FRISADA, SEMI-OCA (LEVE OU MÉDIA), PADRÃO MÉDIO, 80X210CM, ESPESSURA DE 3,5CM, ITENS INCLUSOS: DOBRADIÇAS, MONTAGEM E INSTALAÇÃO DE BATENTE, FECHADURA COM EXECUÇÃO DO FURO - FORNECIMENTO E INSTALAÇÃO. AF_12/2019</t>
  </si>
  <si>
    <t>100690</t>
  </si>
  <si>
    <t>KIT DE PORTA DE MADEIRA FRISADA, SEMI-OCA (LEVE OU MÉDIA), PADRÃO POPULAR, 80X210CM, ESPESSURA DE 3,5CM, ITENS INCLUSOS: DOBRADIÇAS, MONTAGEM E INSTALAÇÃO DE BATENTE, FECHADURA COM EXECUÇÃO DO FURO - FORNECIMENTO E INSTALAÇÃO. AF_12/2019</t>
  </si>
  <si>
    <t>100691</t>
  </si>
  <si>
    <t>KIT DE PORTA DE MADEIRA TIPO VENEZIANA, 80X210CM (ESPESSURA DE 3CM), PADRÃO MÉDIO, ITENS INCLUSOS: DOBRADIÇAS, MONTAGEM E INSTALAÇÃO DE BATENTE, FECHADURA COM EXECUÇÃO DO FURO - FORNECIMENTO E INSTALAÇÃO. AF_12/2019</t>
  </si>
  <si>
    <t>100692</t>
  </si>
  <si>
    <t>KIT DE PORTA DE MADEIRA TIPO VENEZIANA, 80X210CM (ESPESSURA DE 3CM), PADRÃO POPULAR, ITENS INCLUSOS: DOBRADIÇAS, MONTAGEM E INSTALAÇÃO DE BATENTE, FECHADURA COM EXECUÇÃO DO FURO - FORNECIMENTO E INSTALAÇÃO. AF_12/2019</t>
  </si>
  <si>
    <t>100693</t>
  </si>
  <si>
    <t>KIT DE PORTA DE MADEIRA TIPO MEXICANA, MACIÇA (PESADA OU SUPERPESADA), PADRÃO MÉDIO, 80X210CM, ESPESSURA DE 3,5CM, ITENS INCLUSOS: DOBRADIÇAS, MONTAGEM E INSTALAÇÃO DE BATENTE, FECHADURA COM EXECUÇÃO DO FURO - FORNECIMENTO E INSTALAÇÃO. AF_12/2019</t>
  </si>
  <si>
    <t>100694</t>
  </si>
  <si>
    <t>KIT DE PORTA DE MADEIRA TIPO MEXICANA, MACIÇA (PESADA OU SUPERPESADA), PADRÃO POPULAR, 80X210CM, ESPESSURA DE 3,5CM, ITENS INCLUSOS: DOBRADIÇAS, MONTAGEM E INSTALAÇÃO DE BATENTE, FECHADURA COM EXECUÇÃO DO FURO - FORNECIMENTO E INSTALAÇÃO. AF_12/2019</t>
  </si>
  <si>
    <t>100695</t>
  </si>
  <si>
    <t>RECOLOCAÇÃO DE FOLHAS DE PORTA DE MADEIRA LEVE OU MÉDIA DE 60CM DE LARGURA, CONSIDERANDO REAPROVEITAMENTO DO MATERIAL. AF_12/2019</t>
  </si>
  <si>
    <t>100696</t>
  </si>
  <si>
    <t>RECOLOCAÇÃO DE FOLHAS DE PORTA DE MADEIRA LEVE OU MÉDIA DE 70CM DE LARGURA, CONSIDERANDO REAPROVEITAMENTO DO MATERIAL. AF_12/2019</t>
  </si>
  <si>
    <t>100697</t>
  </si>
  <si>
    <t>RECOLOCAÇÃO DE FOLHAS DE PORTA DE MADEIRA LEVE OU MÉDIA DE 80CM DE LARGURA, CONSIDERANDO REAPROVEITAMENTO DO MATERIAL. AF_12/2019</t>
  </si>
  <si>
    <t>100698</t>
  </si>
  <si>
    <t>RECOLOCAÇÃO DE FOLHAS DE PORTA DE MADEIRA LEVE OU MÉDIA DE 90CM DE LARGURA, CONSIDERANDO REAPROVEITAMENTO DO MATERIAL. AF_12/2019</t>
  </si>
  <si>
    <t>100699</t>
  </si>
  <si>
    <t>RECOLOCAÇÃO DE FOLHAS DE PORTA DE MADEIRA PESADA OU SUPERPESADA DE 80CM DE LARGURA, CONSIDERANDO REAPROVEITAMENTO DO MATERIAL. AF_12/2019</t>
  </si>
  <si>
    <t>100700</t>
  </si>
  <si>
    <t>PORTA DE MADEIRA COMPENSADA LISA PARA PINTURA, 120X210X3,5CM, 2 FOLHAS, INCLUSO ADUELA 2A, ALIZAR 2A E DOBRADIÇAS. AF_12/2019</t>
  </si>
  <si>
    <t>100712</t>
  </si>
  <si>
    <t>KIT DE PORTA DE MADEIRA PARA VERNIZ, SEMI-OCA (LEVE OU MÉDIA), PADRÃO POPULAR, 70X210CM, ESPESSURA DE 3,5CM, ITENS INCLUSOS: DOBRADIÇAS, MONTAGEM E INSTALAÇÃO DE BATENTE, FECHADURA COM EXECUÇÃO DO FURO - FORNECIMENTO E INSTALAÇÃO. AF_12/2019</t>
  </si>
  <si>
    <t>100665</t>
  </si>
  <si>
    <t>JANELA DE MADEIRA - CEDRINHO/ANGELIM OU EQUIVALENTE DA REGIÃO - DE ABRIR COM 4 FOLHAS (2 VENEZIANAS E 2 GUILHOTINAS PARA VIDRO), COM BATENTE, ALIZAR E FERRAGENS. EXCLUSIVE VIDROS, ACABAMENTO E CONTRAMARCO. FORNECIMENTO E INSTALAÇÃO. AF_12/2019</t>
  </si>
  <si>
    <t>100666</t>
  </si>
  <si>
    <t>JANELA DE MADEIRA (PINUS/EUCALIPTO OU EQUIV.) DE ABRIR COM 4 FOLHAS (2 VENEZIANAS E 2 GUILHOTINAS PARA VIDRO), COM BATENTE, ALIZAR E FERRAGENS. EXCLUSIVE VIDROS, ACABAMENTO E CONTRAMARCO. FORNECIMENTO E INSTALAÇÃO. AF_12/2019</t>
  </si>
  <si>
    <t>100667</t>
  </si>
  <si>
    <t>JANELA DE MADEIRA (IMBUIA/CEDRO OU EQUIV.) DE ABRIR COM 4 FOLHAS (2 VENEZIANAS E 2 GUILHOTINAS PARA VIDRO), COM BATENTE, ALIZAR E FERRAGENS. EXCLUSIVE VIDROS, ACABAMENTO E CONTRAMARCO. FORNECIMENTO E INSTALAÇÃO. AF_12/2019</t>
  </si>
  <si>
    <t>100668</t>
  </si>
  <si>
    <t>JANELA DE MADEIRA (CEDRINHO/ANGELIM OU EQUIV.) TIPO MAXIM-AR, PARA VIDRO, COM BATENTE, ALIZAR E FERRAGENS. EXCLUSIVE VIDRO, ACABAMENTO E CONTRAMARCO. FORNECIMENTO E INSTALAÇÃO. AF_12/2019</t>
  </si>
  <si>
    <t>100669</t>
  </si>
  <si>
    <t>JANELA DE MADEIRA (PINUS/EUCALIPTO OU EQUIV.) TIPO BASCULANTE COM 2 FOLHAS PARA VIDRO, COM BATENTE, ALIZAR E FERRAGENS. EXCLUSIVE VIDROS, ACABAMENTO E CONTRAMARCO. FORNECIMENTO E INSTALAÇÃO. AF_12/2019</t>
  </si>
  <si>
    <t>100670</t>
  </si>
  <si>
    <t>JANELA DE MADEIRA (CEDRINHO/ANGELIM OU EQUIV.) DE CORRER COM 6 FOLHAS (2 VENEZ. FIXAS, 2 VENEZ. DE CORRER E 2 DE CORRER PARA VIDRO), COM BATENTE, ALIZAR E FERRAGENS. EXCLUSIVE VIDROS, ACABAMENTO E CONTRAMARCO. FORNECIMENTO E INSTALAÇÃO. AF_12/2019</t>
  </si>
  <si>
    <t>100671</t>
  </si>
  <si>
    <t>JANELA DE MADEIRA (IMBUIA/CEDRO OU EQUIV) DE CORRER COM 6 FOLHAS (2 VENEZIANAS FIXAS, 2 VENEZIANAS DE CORRER E 2 DE CORRER PARA VIDRO), COM BATENTE, ALIZAR E FERRAGENS. EXCLUSIVE VIDROS, ACABAMENTO E CONTRAMARCO. FORNECIMENTO E INSTALAÇÃO. AF_12/2019</t>
  </si>
  <si>
    <t>100672</t>
  </si>
  <si>
    <t>JANELA DE MADEIRA (PINUS/EUCALIPTO OU EQUIV.) DE CORRER COM 6 FOLHAS (2 VENEZ. FIXAS, 2 VENEZ. DE CORRER E 2 DE CORRER PARA VIDRO), COM BATENTE, ALIZAR E FERRAGENS. EXCLUSIVE VIDROS, ACABAMENTO E CONTRAMARCO. FORNECIMENTO EINSTALAÇÃO. AF_12/2019</t>
  </si>
  <si>
    <t>100701</t>
  </si>
  <si>
    <t>PORTA DE FERRO, DE ABRIR, TIPO GRADE COM CHAPA, COM GUARNIÇÕES. AF_12/2019</t>
  </si>
  <si>
    <t>94559</t>
  </si>
  <si>
    <t>JANELA DE AÇO TIPO BASCULANTE PARA VIDROS, COM BATENTE, FERRAGENS E PINTURA ANTICORROSIVA. EXCLUSIVE VIDROS, ACABAMENTO, ALIZAR E CONTRAMARCO. FORNECIMENTO E INSTALAÇÃO. AF_12/2019</t>
  </si>
  <si>
    <t>94562</t>
  </si>
  <si>
    <t>JANELA DE AÇO DE CORRER COM 4 FOLHAS PARA VIDRO, COM BATENTE, FERRAGENS E PINTURA ANTICORROSIVA. EXCLUSIVE VIDROS, ALIZAR E CONTRAMARCO. FORNECIMENTO E INSTALAÇÃO. AF_12/2019</t>
  </si>
  <si>
    <t>94587</t>
  </si>
  <si>
    <t>CONTRAMARCO DE AÇO, FIXAÇÃO COM ARGAMASSA - FORNECIMENTO E INSTALAÇÃO. AF_12/2019</t>
  </si>
  <si>
    <t>94588</t>
  </si>
  <si>
    <t>CONTRAMARCO DE AÇO, FIXAÇÃO COM PARAFUSO - FORNECIMENTO E INSTALAÇÃO. AF_12/2019</t>
  </si>
  <si>
    <t>99837</t>
  </si>
  <si>
    <t>99839</t>
  </si>
  <si>
    <t>99841</t>
  </si>
  <si>
    <t>99855</t>
  </si>
  <si>
    <t>99857</t>
  </si>
  <si>
    <t>99861</t>
  </si>
  <si>
    <t>GRADIL EM FERRO FIXADO EM VÃOS DE JANELAS, FORMADO POR BARRAS CHATAS DE 25X4,8 MM. AF_04/2019</t>
  </si>
  <si>
    <t>99862</t>
  </si>
  <si>
    <t>GRADIL EM ALUMÍNIO FIXADO EM VÃOS DE JANELAS, FORMADO POR TUBOS DE 3/4". AF_04/2019</t>
  </si>
  <si>
    <t>90838</t>
  </si>
  <si>
    <t>PORTA CORTA-FOGO 90X210X4CM - FORNECIMENTO E INSTALAÇÃO. AF_12/2019</t>
  </si>
  <si>
    <t>91338</t>
  </si>
  <si>
    <t>PORTA DE ALUMÍNIO DE ABRIR COM LAMBRI, COM GUARNIÇÃO, FIXAÇÃO COM PARAFUSOS - FORNECIMENTO E INSTALAÇÃO. AF_12/2019</t>
  </si>
  <si>
    <t>91341</t>
  </si>
  <si>
    <t>PORTA EM ALUMÍNIO DE ABRIR TIPO VENEZIANA COM GUARNIÇÃO, FIXAÇÃO COM PARAFUSOS - FORNECIMENTO E INSTALAÇÃO. AF_12/2019</t>
  </si>
  <si>
    <t>94805</t>
  </si>
  <si>
    <t>PORTA DE ALUMÍNIO DE ABRIR PARA VIDRO SEM GUARNIÇÃO, 87X210CM, FIXAÇÃO COM PARAFUSOS, INCLUSIVE VIDROS - FORNECIMENTO E INSTALAÇÃO. AF_12/2019</t>
  </si>
  <si>
    <t>94806</t>
  </si>
  <si>
    <t>PORTA EM AÇO DE ABRIR PARA VIDRO SEM GUARNIÇÃO, 87X210CM, FIXAÇÃO COM PARAFUSOS, EXCLUSIVE VIDROS - FORNECIMENTO E INSTALAÇÃO. AF_12/2019</t>
  </si>
  <si>
    <t>94807</t>
  </si>
  <si>
    <t>PORTA EM AÇO DE ABRIR TIPO VENEZIANA SEM GUARNIÇÃO, 87X210CM, FIXAÇÃO COM PARAFUSOS - FORNECIMENTO E INSTALAÇÃO. AF_12/2019</t>
  </si>
  <si>
    <t>100702</t>
  </si>
  <si>
    <t>PORTA DE CORRER DE ALUMÍNIO, COM DUAS FOLHAS PARA VIDRO, INCLUSO VIDRO LISO INCOLOR, FECHADURA E PUXADOR, SEM ALIZAR. AF_12/2019</t>
  </si>
  <si>
    <t>100703</t>
  </si>
  <si>
    <t>PUXADOR CENTRAL PARA ESQUADRIA DE MADEIRA. AF_12/2019</t>
  </si>
  <si>
    <t>100704</t>
  </si>
  <si>
    <t>PORTA CADEADO ZINCADO OXIDADO PRETO COM CADEADO DE AÇO INOX, LARGURA DE *50* MM. AF_12/2019</t>
  </si>
  <si>
    <t>100705</t>
  </si>
  <si>
    <t>TARJETA TIPO LIVRE/OCUPADO PARA PORTA DE BANHEIRO. AF_12/2019</t>
  </si>
  <si>
    <t>100706</t>
  </si>
  <si>
    <t>CREMONA EM LATÃO CROMADO OU POLIDO, COMPLETA. AF_12/2019</t>
  </si>
  <si>
    <t>100707</t>
  </si>
  <si>
    <t>FECHO DE EMBUTIR TIPO UNHA 22CM. AF_12/2019</t>
  </si>
  <si>
    <t>100708</t>
  </si>
  <si>
    <t>FECHO DE EMBUTIR TIPO UNHA 40CM. AF_12/2019</t>
  </si>
  <si>
    <t>100709</t>
  </si>
  <si>
    <t>DOBRADIÇA EM AÇO/FERRO, 3" X 21/2", E=1,9 A 2MM, SEN ANEL, CROMADO OU ZINCADO, TAMPA BOLA, COM PARAFUSOS. AF_12/2019</t>
  </si>
  <si>
    <t>100710</t>
  </si>
  <si>
    <t>DOBRADIÇA TIPO VAI E VEM EM LATÃO POLIDO 3". AF_12/2019</t>
  </si>
  <si>
    <t>94569</t>
  </si>
  <si>
    <t>JANELA DE ALUMÍNIO TIPO MAXIM-AR, COM VIDROS, BATENTE E FERRAGENS. EXCLUSIVE ALIZAR, ACABAMENTO E CONTRAMARCO. FORNECIMENTO E INSTALAÇÃO. AF_12/2019</t>
  </si>
  <si>
    <t>94570</t>
  </si>
  <si>
    <t>JANELA DE ALUMÍNIO DE CORRER COM 2 FOLHAS PARA VIDROS, COM VIDROS, BATENTE, ACABAMENTO COM ACETATO OU BRILHANTE E FERRAGENS. EXCLUSIVE ALIZAR E CONTRAMARCO. FORNECIMENTO E INSTALAÇÃO. AF_12/2019</t>
  </si>
  <si>
    <t>94572</t>
  </si>
  <si>
    <t>JANELA DE ALUMÍNIO DE CORRER COM 3 FOLHAS (2 VENEZIANAS E 1 PARA VIDRO), COM VIDROS, BATENTE E FERRAGENS. EXCLUSIVE ACABAMENTO, ALIZAR E CONTRAMARCO. FORNECIMENTO E INSTALAÇÃO. AF_12/2019</t>
  </si>
  <si>
    <t>94573</t>
  </si>
  <si>
    <t>JANELA DE ALUMÍNIO DE CORRER COM 4 FOLHAS PARA VIDROS, COM VIDROS, BATENTE, ACABAMENTO COM ACETATO OU BRILHANTE E FERRAGENS. EXCLUSIVE ALIZAR E CONTRAMARCO. FORNECIMENTO E INSTALAÇÃO. AF_12/2019</t>
  </si>
  <si>
    <t>94580</t>
  </si>
  <si>
    <t>JANELA DE ALUMÍNIO DE CORRER COM 6 FOLHAS (2 VENEZIANAS FIXAS, 2 VENEZIANAS DE CORRER E 2 PARA VIDRO), COM VIDROS, BATENTE, ACABAMENTO COM ACETATO OU BRILHANTE E FERRAGENS. EXCLUSIVE ALIZAR E CONTRAMARCO. FORNECIMENTO E INSTALAÇÃO. AF_12/2019</t>
  </si>
  <si>
    <t>100674</t>
  </si>
  <si>
    <t>JANELA FIXA DE ALUMÍNIO PARA VIDRO, COM VIDRO, BATENTE E FERRAGENS. EXCLUSIVE ACABAMENTO, ALIZAR E CONTRAMARCO. FORNECIMENTO E INSTALAÇÃO. AF_12/2019</t>
  </si>
  <si>
    <t>101096</t>
  </si>
  <si>
    <t>101097</t>
  </si>
  <si>
    <t>101098</t>
  </si>
  <si>
    <t>101099</t>
  </si>
  <si>
    <t>101100</t>
  </si>
  <si>
    <t>101101</t>
  </si>
  <si>
    <t>101102</t>
  </si>
  <si>
    <t>101103</t>
  </si>
  <si>
    <t>101104</t>
  </si>
  <si>
    <t>101105</t>
  </si>
  <si>
    <t>101106</t>
  </si>
  <si>
    <t>101107</t>
  </si>
  <si>
    <t>101108</t>
  </si>
  <si>
    <t>101109</t>
  </si>
  <si>
    <t>101110</t>
  </si>
  <si>
    <t>101111</t>
  </si>
  <si>
    <t>101112</t>
  </si>
  <si>
    <t>ALARGAMENTO DE BASE DE TUBULÃO A CÉU ABERTO, ESCAVAÇÃO MANUAL, CONCRETO FEITO EM OBRA E LANÇADO COM JERICA. AF_05/2020</t>
  </si>
  <si>
    <t>101113</t>
  </si>
  <si>
    <t>95601</t>
  </si>
  <si>
    <t>17,53</t>
  </si>
  <si>
    <t>95602</t>
  </si>
  <si>
    <t>95603</t>
  </si>
  <si>
    <t>95604</t>
  </si>
  <si>
    <t>95605</t>
  </si>
  <si>
    <t>95607</t>
  </si>
  <si>
    <t>95608</t>
  </si>
  <si>
    <t>95609</t>
  </si>
  <si>
    <t>100651</t>
  </si>
  <si>
    <t>100652</t>
  </si>
  <si>
    <t>100653</t>
  </si>
  <si>
    <t>100654</t>
  </si>
  <si>
    <t>100655</t>
  </si>
  <si>
    <t>100656</t>
  </si>
  <si>
    <t>ESTACA PRÉ-MOLDADA DE CONCRETO, SEÇÃO QUADRADA, CAPACIDADE DE 25 TONELADAS, INCLUSO EMENDA (EXCLUSIVE MOBILIZAÇÃO E DESMOBILIZAÇÃO). AF_12/2019</t>
  </si>
  <si>
    <t>100657</t>
  </si>
  <si>
    <t>ESTACA PRÉ-MOLDADA DE CONCRETO SEÇÃO QUADRADA, CAPACIDADE DE 50 TONELADAS, INCLUSO EMENDA (EXCLUSIVE MOBILIZAÇÃO E DESMOBILIZAÇÃO). AF_12/2019</t>
  </si>
  <si>
    <t>100658</t>
  </si>
  <si>
    <t>ESTACA PRÉ-MOLDADA DE CONCRETO CENTRIFUGADO, SEÇÃO CIRCULAR, CAPACIDADE DE 100 TONELADAS, INCLUSO EMENDA (EXCLUSIVE MOBILIZAÇÃO E DESMOBILIZAÇÃO). AF_12/2019</t>
  </si>
  <si>
    <t>100889</t>
  </si>
  <si>
    <t>ESTACA METÁLICA PARA FUNDAÇÃO, UTILIZANDO PERFIL LAMINADO HP250X62 (EXCLUSIVE MOBILIZAÇÃO E DESMOBILIZAÇÃO). AF_01/2020</t>
  </si>
  <si>
    <t>7,61</t>
  </si>
  <si>
    <t>100890</t>
  </si>
  <si>
    <t>ESTACA METÁLICA PARA FUNDAÇÃO, UTILIZANDO PERFIL LAMINADO HP310X79 (EXCLUSIVE MOBILIZAÇÃO E DESMOBILIZAÇÃO). AF_01/2020</t>
  </si>
  <si>
    <t>100892</t>
  </si>
  <si>
    <t>ESTACA METÁLICA PARA CONTENÇÃO, UTILIZANDO PERFIL LAMINADO W250X32,7 (EXCLUSIVE MOBILIZAÇÃO E DESMOBILIZAÇÃO). AF_01/2020</t>
  </si>
  <si>
    <t>100893</t>
  </si>
  <si>
    <t>ESTACA METÁLICA PARA CONTENÇÃO, UTILIZANDO PERFIL LAMINADO W250X38,5 (EXCLUSIVE MOBILIZAÇÃO E DESMOBILIZAÇÃO). AF_01/2020</t>
  </si>
  <si>
    <t>7,22</t>
  </si>
  <si>
    <t>100894</t>
  </si>
  <si>
    <t>ESTACA METÁLICA PARA CONTENÇÃO, UTILIZANDO PERFIL LAMINADO W250X44,8 (EXCLUSIVE MOBILIZAÇÃO E DESMOBILIZAÇÃO). AF_01/2020</t>
  </si>
  <si>
    <t>100896</t>
  </si>
  <si>
    <t>100897</t>
  </si>
  <si>
    <t>100898</t>
  </si>
  <si>
    <t>100899</t>
  </si>
  <si>
    <t>100900</t>
  </si>
  <si>
    <t>101173</t>
  </si>
  <si>
    <t>ESTACA BROCA DE CONCRETO, DIÂMETRO DE 20CM, ESCAVAÇÃO MANUAL COM TRADO CONCHA, COM ARMADURA DE ARRANQUE. AF_05/2020</t>
  </si>
  <si>
    <t>101174</t>
  </si>
  <si>
    <t>ESTACA BROCA DE CONCRETO, DIÂMETRO DE 25CM, ESCAVAÇÃO MANUAL COM TRADO CONCHA, COM ARMADURA DE ARRANQUE. AF_05/2020</t>
  </si>
  <si>
    <t>101175</t>
  </si>
  <si>
    <t>ESTACA BROCA DE CONCRETO, DIÂMETRO DE 30CM, ESCAVAÇÃO MANUAL COM TRADO CONCHA, COM ARMADURA DE ARRANQUE. AF_05/2020</t>
  </si>
  <si>
    <t>101176</t>
  </si>
  <si>
    <t>95240</t>
  </si>
  <si>
    <t>95241</t>
  </si>
  <si>
    <t>96616</t>
  </si>
  <si>
    <t>LASTRO DE CONCRETO MAGRO, APLICADO EM BLOCOS DE COROAMENTO OU SAPATAS. AF_08/2017</t>
  </si>
  <si>
    <t>96617</t>
  </si>
  <si>
    <t>LASTRO DE CONCRETO MAGRO, APLICADO EM BLOCOS DE COROAMENTO OU SAPATAS, ESPESSURA DE 3 CM. AF_08/2017</t>
  </si>
  <si>
    <t>96619</t>
  </si>
  <si>
    <t>LASTRO DE CONCRETO MAGRO, APLICADO EM BLOCOS DE COROAMENTO OU SAPATAS, ESPESSURA DE 5 CM. AF_08/2017</t>
  </si>
  <si>
    <t>96620</t>
  </si>
  <si>
    <t>96621</t>
  </si>
  <si>
    <t>LASTRO COM MATERIAL GRANULAR, APLICAÇÃO EM BLOCOS DE COROAMENTO, ESPESSURA DE *5 CM*. AF_08/2017</t>
  </si>
  <si>
    <t>96622</t>
  </si>
  <si>
    <t>96623</t>
  </si>
  <si>
    <t>LASTRO COM MATERIAL GRANULAR, APLICADO EM BLOCOS DE COROAMENTO, ESPESSURA DE *10 CM*. AF_08/2017</t>
  </si>
  <si>
    <t>96624</t>
  </si>
  <si>
    <t>97082</t>
  </si>
  <si>
    <t>97083</t>
  </si>
  <si>
    <t>97084</t>
  </si>
  <si>
    <t>97086</t>
  </si>
  <si>
    <t>97096</t>
  </si>
  <si>
    <t>97097</t>
  </si>
  <si>
    <t>100322</t>
  </si>
  <si>
    <t>100323</t>
  </si>
  <si>
    <t>100324</t>
  </si>
  <si>
    <t>12,76</t>
  </si>
  <si>
    <t>14,81</t>
  </si>
  <si>
    <t>13,62</t>
  </si>
  <si>
    <t>92263</t>
  </si>
  <si>
    <t>92264</t>
  </si>
  <si>
    <t>92265</t>
  </si>
  <si>
    <t>92266</t>
  </si>
  <si>
    <t>92267</t>
  </si>
  <si>
    <t>92268</t>
  </si>
  <si>
    <t>92269</t>
  </si>
  <si>
    <t>92270</t>
  </si>
  <si>
    <t>92271</t>
  </si>
  <si>
    <t>92272</t>
  </si>
  <si>
    <t>92273</t>
  </si>
  <si>
    <t>92409</t>
  </si>
  <si>
    <t>92411</t>
  </si>
  <si>
    <t>92413</t>
  </si>
  <si>
    <t>92415</t>
  </si>
  <si>
    <t>92417</t>
  </si>
  <si>
    <t>92419</t>
  </si>
  <si>
    <t>92421</t>
  </si>
  <si>
    <t>92423</t>
  </si>
  <si>
    <t>92425</t>
  </si>
  <si>
    <t>92427</t>
  </si>
  <si>
    <t>92429</t>
  </si>
  <si>
    <t>92431</t>
  </si>
  <si>
    <t>92433</t>
  </si>
  <si>
    <t>92435</t>
  </si>
  <si>
    <t>92437</t>
  </si>
  <si>
    <t>92439</t>
  </si>
  <si>
    <t>92441</t>
  </si>
  <si>
    <t>92443</t>
  </si>
  <si>
    <t>92445</t>
  </si>
  <si>
    <t>92446</t>
  </si>
  <si>
    <t>92447</t>
  </si>
  <si>
    <t>92448</t>
  </si>
  <si>
    <t>92449</t>
  </si>
  <si>
    <t>92450</t>
  </si>
  <si>
    <t>92451</t>
  </si>
  <si>
    <t>92452</t>
  </si>
  <si>
    <t>92453</t>
  </si>
  <si>
    <t>92454</t>
  </si>
  <si>
    <t>92455</t>
  </si>
  <si>
    <t>92456</t>
  </si>
  <si>
    <t>92457</t>
  </si>
  <si>
    <t>92458</t>
  </si>
  <si>
    <t>MONTAGEM E DESMONTAGEM DE FÔRMA DE VIGA, ESCORAMENTO METÁLICO, PÉ-DIREITO DUPLO, EM CHAPA DE MADEIRA RESINADA, 6 UTILIZAÇÕES. AF_12/2015</t>
  </si>
  <si>
    <t>92459</t>
  </si>
  <si>
    <t>92460</t>
  </si>
  <si>
    <t>92461</t>
  </si>
  <si>
    <t>92462</t>
  </si>
  <si>
    <t>92463</t>
  </si>
  <si>
    <t>92464</t>
  </si>
  <si>
    <t>92465</t>
  </si>
  <si>
    <t>92466</t>
  </si>
  <si>
    <t>92467</t>
  </si>
  <si>
    <t>92468</t>
  </si>
  <si>
    <t>92469</t>
  </si>
  <si>
    <t>92470</t>
  </si>
  <si>
    <t>92471</t>
  </si>
  <si>
    <t>92472</t>
  </si>
  <si>
    <t>92473</t>
  </si>
  <si>
    <t>92474</t>
  </si>
  <si>
    <t>92475</t>
  </si>
  <si>
    <t>92476</t>
  </si>
  <si>
    <t>92477</t>
  </si>
  <si>
    <t>92478</t>
  </si>
  <si>
    <t>92479</t>
  </si>
  <si>
    <t>92480</t>
  </si>
  <si>
    <t>92482</t>
  </si>
  <si>
    <t>92484</t>
  </si>
  <si>
    <t>92486</t>
  </si>
  <si>
    <t>92488</t>
  </si>
  <si>
    <t>92490</t>
  </si>
  <si>
    <t>92492</t>
  </si>
  <si>
    <t>92494</t>
  </si>
  <si>
    <t>92496</t>
  </si>
  <si>
    <t>92498</t>
  </si>
  <si>
    <t>92500</t>
  </si>
  <si>
    <t>92502</t>
  </si>
  <si>
    <t>92504</t>
  </si>
  <si>
    <t>92506</t>
  </si>
  <si>
    <t>92508</t>
  </si>
  <si>
    <t>92510</t>
  </si>
  <si>
    <t>92512</t>
  </si>
  <si>
    <t>92514</t>
  </si>
  <si>
    <t>92515</t>
  </si>
  <si>
    <t>92518</t>
  </si>
  <si>
    <t>92520</t>
  </si>
  <si>
    <t>92522</t>
  </si>
  <si>
    <t>92524</t>
  </si>
  <si>
    <t>92526</t>
  </si>
  <si>
    <t>92528</t>
  </si>
  <si>
    <t>92530</t>
  </si>
  <si>
    <t>92532</t>
  </si>
  <si>
    <t>92534</t>
  </si>
  <si>
    <t>92536</t>
  </si>
  <si>
    <t>92538</t>
  </si>
  <si>
    <t>96252</t>
  </si>
  <si>
    <t>FABRICAÇÃO DE FÔRMA PARA PILARES CIRCULARES, EM CHAPA DE MADEIRA COMPENSADA RESINADA. AF_06/2017</t>
  </si>
  <si>
    <t>96257</t>
  </si>
  <si>
    <t>MONTAGEM E DESMONTAGEM DE FÔRMA DE PILARES CIRCULARES, COM ÁREA MÉDIA DAS SEÇÕES MENOR OU IGUAL A 0,28 M², PÉ-DIREITO SIMPLES, EM MADEIRA, 2 UTILIZAÇÕES. AF_06/2017</t>
  </si>
  <si>
    <t>96258</t>
  </si>
  <si>
    <t>MONTAGEM E DESMONTAGEM DE FÔRMA DE PILARES CIRCULARES, COM ÁREA MÉDIA DAS SEÇÕES MAIOR QUE 0,28 M², PÉ-DIREITO SIMPLES, EM MADEIRA, 2 UTILIZAÇÕES. AF_06/2017</t>
  </si>
  <si>
    <t>96259</t>
  </si>
  <si>
    <t>MONTAGEM E DESMONTAGEM DE FÔRMA DE PILARES CIRCULARES, COM ÁREA MÉDIA DAS SEÇÕES MENOR OU IGUAL A 0,28 M², PÉ-DIREITO DUPLO, EM MADEIRA, 2 UTILIZAÇÕES. AF_06/2017</t>
  </si>
  <si>
    <t>96529</t>
  </si>
  <si>
    <t>FABRICAÇÃO, MONTAGEM E DESMONTAGEM DE FÔRMA PARA SAPATA, EM MADEIRA SERRADA, E=25 MM, 1 UTILIZAÇÃO. AF_06/2017</t>
  </si>
  <si>
    <t>96530</t>
  </si>
  <si>
    <t>FABRICAÇÃO, MONTAGEM E DESMONTAGEM DE FÔRMA PARA VIGA BALDRAME, EM MADEIRA SERRADA, E=25 MM, 1 UTILIZAÇÃO. AF_06/2017</t>
  </si>
  <si>
    <t>96531</t>
  </si>
  <si>
    <t>FABRICAÇÃO, MONTAGEM E DESMONTAGEM DE FÔRMA PARA BLOCO DE COROAMENTO, EM MADEIRA SERRADA, E=25 MM, 2 UTILIZAÇÕES. AF_06/2017</t>
  </si>
  <si>
    <t>96532</t>
  </si>
  <si>
    <t>FABRICAÇÃO, MONTAGEM E DESMONTAGEM DE FÔRMA PARA SAPATA, EM MADEIRA SERRADA, E=25 MM, 2 UTILIZAÇÕES. AF_06/2017</t>
  </si>
  <si>
    <t>96533</t>
  </si>
  <si>
    <t>FABRICAÇÃO, MONTAGEM E DESMONTAGEM DE FÔRMA PARA VIGA BALDRAME, EM MADEIRA SERRADA, E=25 MM, 2 UTILIZAÇÕES. AF_06/2017</t>
  </si>
  <si>
    <t>96534</t>
  </si>
  <si>
    <t>FABRICAÇÃO, MONTAGEM E DESMONTAGEM DE FÔRMA PARA BLOCO DE COROAMENTO, EM MADEIRA SERRADA, E=25 MM, 4 UTILIZAÇÕES. AF_06/2017</t>
  </si>
  <si>
    <t>96535</t>
  </si>
  <si>
    <t>FABRICAÇÃO, MONTAGEM E DESMONTAGEM DE FÔRMA PARA SAPATA, EM MADEIRA SERRADA, E=25 MM, 4 UTILIZAÇÕES. AF_06/2017</t>
  </si>
  <si>
    <t>96536</t>
  </si>
  <si>
    <t>FABRICAÇÃO, MONTAGEM E DESMONTAGEM DE FÔRMA PARA VIGA BALDRAME, EM MADEIRA SERRADA, E=25 MM, 4 UTILIZAÇÕES. AF_06/2017</t>
  </si>
  <si>
    <t>96537</t>
  </si>
  <si>
    <t>FABRICAÇÃO, MONTAGEM E DESMONTAGEM DE FÔRMA PARA BLOCO DE COROAMENTO, EM CHAPA DE MADEIRA COMPENSADA RESINADA, E=17 MM, 2 UTILIZAÇÕES. AF_06/2017</t>
  </si>
  <si>
    <t>96538</t>
  </si>
  <si>
    <t>FABRICAÇÃO, MONTAGEM E DESMONTAGEM DE FÔRMA PARA SAPATA, EM CHAPA DE MADEIRA COMPENSADA RESINADA, E=17 MM, 2 UTILIZAÇÕES. AF_06/2017</t>
  </si>
  <si>
    <t>96539</t>
  </si>
  <si>
    <t>FABRICAÇÃO, MONTAGEM E DESMONTAGEM DE FÔRMA PARA VIGA BALDRAME, EM CHAPA DE MADEIRA COMPENSADA RESINADA, E=17 MM, 2 UTILIZAÇÕES. AF_06/2017</t>
  </si>
  <si>
    <t>96540</t>
  </si>
  <si>
    <t>FABRICAÇÃO, MONTAGEM E DESMONTAGEM DE FÔRMA PARA BLOCO DE COROAMENTO, EM CHAPA DE MADEIRA COMPENSADA RESINADA, E=17 MM, 4 UTILIZAÇÕES. AF_06/2017</t>
  </si>
  <si>
    <t>96541</t>
  </si>
  <si>
    <t>FABRICAÇÃO, MONTAGEM E DESMONTAGEM DE FÔRMA PARA SAPATA, EM CHAPA DE MADEIRA COMPENSADA RESINADA, E=17 MM, 4 UTILIZAÇÕES. AF_06/2017</t>
  </si>
  <si>
    <t>96542</t>
  </si>
  <si>
    <t>FABRICAÇÃO, MONTAGEM E DESMONTAGEM DE FÔRMA PARA VIGA BALDRAME, EM CHAPA DE MADEIRA COMPENSADA RESINADA, E=17 MM, 4 UTILIZAÇÕES. AF_06/2017</t>
  </si>
  <si>
    <t>96543</t>
  </si>
  <si>
    <t>ARMAÇÃO DE BLOCO, VIGA BALDRAME E SAPATA UTILIZANDO AÇO CA-60 DE 5 MM - MONTAGEM. AF_06/2017</t>
  </si>
  <si>
    <t>97747</t>
  </si>
  <si>
    <t>MONTAGEM E DESMONTAGEM DE FÔRMA DE PILARES CIRCULARES, COM ÁREA MÉDIA DAS SEÇÕES MAIOR QUE 0,28 M², PÉ-DIREITO DUPLO, EM MADEIRA, 2 UTILIZAÇÕES.  AF_06/2017</t>
  </si>
  <si>
    <t>89996</t>
  </si>
  <si>
    <t>89997</t>
  </si>
  <si>
    <t>6,11</t>
  </si>
  <si>
    <t>89998</t>
  </si>
  <si>
    <t>89999</t>
  </si>
  <si>
    <t>90000</t>
  </si>
  <si>
    <t>91593</t>
  </si>
  <si>
    <t>ARMAÇÃO DO SISTEMA DE PAREDES DE CONCRETO, EXECUTADA EM PAREDES DE EDIFICAÇÕES DE MÚLTIPLOS PAVIMENTOS, TELA Q-138. AF_06/2019</t>
  </si>
  <si>
    <t>91594</t>
  </si>
  <si>
    <t>ARMAÇÃO DO SISTEMA DE PAREDES DE CONCRETO, EXECUTADA EM PAREDES DE EDIFICAÇÕES TÉRREAS OU DE MÚLTIPLOS PAVIMENTOS, TELA Q-92. AF_06/2019</t>
  </si>
  <si>
    <t>91595</t>
  </si>
  <si>
    <t>ARMAÇÃO DO SISTEMA DE PAREDES DE CONCRETO, EXECUTADA EM PAREDES DE EDIFICAÇÕES TÉRREAS, TELA Q-61. AF_06/2019</t>
  </si>
  <si>
    <t>91596</t>
  </si>
  <si>
    <t>ARMAÇÃO DO SISTEMA DE PAREDES DE CONCRETO, EXECUTADA COMO ARMADURA POSITIVA DE LAJES, TELA Q-138. AF_06/2019</t>
  </si>
  <si>
    <t>91597</t>
  </si>
  <si>
    <t>ARMAÇÃO DO SISTEMA DE PAREDES DE CONCRETO, EXECUTADA COMO ARMADURA NEGATIVA DE LAJES, TELA T-196. AF_06/2019</t>
  </si>
  <si>
    <t>5,66</t>
  </si>
  <si>
    <t>91598</t>
  </si>
  <si>
    <t>ARMAÇÃO DO SISTEMA DE PAREDES DE CONCRETO, EXECUTADA COMO ARMADURA POSITIVA DE LAJES, TELA Q-113. AF_06/2019</t>
  </si>
  <si>
    <t>91599</t>
  </si>
  <si>
    <t>ARMAÇÃO DO SISTEMA DE PAREDES DE CONCRETO, EXECUTADA COMO ARMADURA NEGATIVA DE LAJES, TELA L-159. AF_06/2019</t>
  </si>
  <si>
    <t>91600</t>
  </si>
  <si>
    <t>ARMAÇÃO DO SISTEMA DE PAREDES DE CONCRETO, EXECUTADA EM PLATIBANDAS, TELA Q-92. AF_06/2019</t>
  </si>
  <si>
    <t>91601</t>
  </si>
  <si>
    <t>ARMAÇÃO DO SISTEMA DE PAREDES DE CONCRETO, EXECUTADA COMO REFORÇO, VERGALHÃO DE 6,3 MM DE DIÂMETRO. AF_06/2019</t>
  </si>
  <si>
    <t>91602</t>
  </si>
  <si>
    <t>ARMAÇÃO DO SISTEMA DE PAREDES DE CONCRETO, EXECUTADA COMO REFORÇO, VERGALHÃO DE 8,0 MM DE DIÂMETRO. AF_06/2019</t>
  </si>
  <si>
    <t>91603</t>
  </si>
  <si>
    <t>ARMAÇÃO DO SISTEMA DE PAREDES DE CONCRETO, EXECUTADA COMO REFORÇO, VERGALHÃO DE 10,0 MM DE DIÂMETRO. AF_06/2019</t>
  </si>
  <si>
    <t>7,43</t>
  </si>
  <si>
    <t>92759</t>
  </si>
  <si>
    <t>92760</t>
  </si>
  <si>
    <t>92761</t>
  </si>
  <si>
    <t>9,15</t>
  </si>
  <si>
    <t>92762</t>
  </si>
  <si>
    <t>92763</t>
  </si>
  <si>
    <t>92764</t>
  </si>
  <si>
    <t>6,25</t>
  </si>
  <si>
    <t>92765</t>
  </si>
  <si>
    <t>7,01</t>
  </si>
  <si>
    <t>92766</t>
  </si>
  <si>
    <t>92767</t>
  </si>
  <si>
    <t>92768</t>
  </si>
  <si>
    <t>92769</t>
  </si>
  <si>
    <t>92770</t>
  </si>
  <si>
    <t>92771</t>
  </si>
  <si>
    <t>92772</t>
  </si>
  <si>
    <t>92773</t>
  </si>
  <si>
    <t>92774</t>
  </si>
  <si>
    <t>7,34</t>
  </si>
  <si>
    <t>6,94</t>
  </si>
  <si>
    <t>5,41</t>
  </si>
  <si>
    <t>5,33</t>
  </si>
  <si>
    <t>92798</t>
  </si>
  <si>
    <t>92799</t>
  </si>
  <si>
    <t>92800</t>
  </si>
  <si>
    <t>92801</t>
  </si>
  <si>
    <t>92802</t>
  </si>
  <si>
    <t>92803</t>
  </si>
  <si>
    <t>6,28</t>
  </si>
  <si>
    <t>92804</t>
  </si>
  <si>
    <t>92805</t>
  </si>
  <si>
    <t>92806</t>
  </si>
  <si>
    <t>92875</t>
  </si>
  <si>
    <t>6,64</t>
  </si>
  <si>
    <t>92876</t>
  </si>
  <si>
    <t>92877</t>
  </si>
  <si>
    <t>92878</t>
  </si>
  <si>
    <t>6,67</t>
  </si>
  <si>
    <t>92879</t>
  </si>
  <si>
    <t>92880</t>
  </si>
  <si>
    <t>92881</t>
  </si>
  <si>
    <t>92882</t>
  </si>
  <si>
    <t>92883</t>
  </si>
  <si>
    <t>92884</t>
  </si>
  <si>
    <t>92885</t>
  </si>
  <si>
    <t>92886</t>
  </si>
  <si>
    <t>92887</t>
  </si>
  <si>
    <t>92888</t>
  </si>
  <si>
    <t>92915</t>
  </si>
  <si>
    <t>92916</t>
  </si>
  <si>
    <t>92917</t>
  </si>
  <si>
    <t>92919</t>
  </si>
  <si>
    <t>92921</t>
  </si>
  <si>
    <t>92922</t>
  </si>
  <si>
    <t>92923</t>
  </si>
  <si>
    <t>92924</t>
  </si>
  <si>
    <t>6,90</t>
  </si>
  <si>
    <t>6,19</t>
  </si>
  <si>
    <t>6,23</t>
  </si>
  <si>
    <t>95448</t>
  </si>
  <si>
    <t>95576</t>
  </si>
  <si>
    <t>95577</t>
  </si>
  <si>
    <t>8,12</t>
  </si>
  <si>
    <t>95578</t>
  </si>
  <si>
    <t>95579</t>
  </si>
  <si>
    <t>95580</t>
  </si>
  <si>
    <t>95581</t>
  </si>
  <si>
    <t>95582</t>
  </si>
  <si>
    <t>7,62</t>
  </si>
  <si>
    <t>95583</t>
  </si>
  <si>
    <t>95584</t>
  </si>
  <si>
    <t>95592</t>
  </si>
  <si>
    <t>95593</t>
  </si>
  <si>
    <t>95943</t>
  </si>
  <si>
    <t>95944</t>
  </si>
  <si>
    <t>95945</t>
  </si>
  <si>
    <t>11,59</t>
  </si>
  <si>
    <t>95946</t>
  </si>
  <si>
    <t>95947</t>
  </si>
  <si>
    <t>95948</t>
  </si>
  <si>
    <t>96544</t>
  </si>
  <si>
    <t>ARMAÇÃO DE BLOCO, VIGA BALDRAME OU SAPATA UTILIZANDO AÇO CA-50 DE 6,3 MM - MONTAGEM. AF_06/2017</t>
  </si>
  <si>
    <t>96545</t>
  </si>
  <si>
    <t>ARMAÇÃO DE BLOCO, VIGA BALDRAME OU SAPATA UTILIZANDO AÇO CA-50 DE 8 MM - MONTAGEM. AF_06/2017</t>
  </si>
  <si>
    <t>96546</t>
  </si>
  <si>
    <t>ARMAÇÃO DE BLOCO, VIGA BALDRAME OU SAPATA UTILIZANDO AÇO CA-50 DE 10 MM - MONTAGEM. AF_06/2017</t>
  </si>
  <si>
    <t>8,95</t>
  </si>
  <si>
    <t>96547</t>
  </si>
  <si>
    <t>ARMAÇÃO DE BLOCO, VIGA BALDRAME OU SAPATA UTILIZANDO AÇO CA-50 DE 12,5 MM - MONTAGEM. AF_06/2017</t>
  </si>
  <si>
    <t>96548</t>
  </si>
  <si>
    <t>ARMAÇÃO DE BLOCO, VIGA BALDRAME OU SAPATA UTILIZANDO AÇO CA-50 DE 16 MM - MONTAGEM. AF_06/2017</t>
  </si>
  <si>
    <t>96549</t>
  </si>
  <si>
    <t>ARMAÇÃO DE BLOCO, VIGA BALDRAME OU SAPATA UTILIZANDO AÇO CA-50 DE 20 MM - MONTAGEM. AF_06/2017</t>
  </si>
  <si>
    <t>96550</t>
  </si>
  <si>
    <t>ARMAÇÃO DE BLOCO, VIGA BALDRAME OU SAPATA UTILIZANDO AÇO CA-50 DE 25 MM - MONTAGEM. AF_06/2017</t>
  </si>
  <si>
    <t>100066</t>
  </si>
  <si>
    <t>ARMAÇÃO DO SISTEMA DE PAREDES DE CONCRETO, EXECUTADA COMO ARMADURA POSITIVA DE LAJES, TELA Q-196. AF_06/2019</t>
  </si>
  <si>
    <t>100067</t>
  </si>
  <si>
    <t>ARMAÇÃO DO SISTEMA DE PAREDES DE CONCRETO, EXECUTADA COMO REFORÇO, VERGALHÃO DE 5,0 MM DE DIÂMETRO. AF_06/2019</t>
  </si>
  <si>
    <t>100068</t>
  </si>
  <si>
    <t>ARMAÇÃO DO SISTEMA DE PAREDES DE CONCRETO, EXECUTADA COMO REFORÇO, VERGALHÃO DE 12,5 MM DE DIÂMETRO. AF_06/2019</t>
  </si>
  <si>
    <t>89993</t>
  </si>
  <si>
    <t>89994</t>
  </si>
  <si>
    <t>89995</t>
  </si>
  <si>
    <t>90278</t>
  </si>
  <si>
    <t>90279</t>
  </si>
  <si>
    <t>90280</t>
  </si>
  <si>
    <t>90281</t>
  </si>
  <si>
    <t>90282</t>
  </si>
  <si>
    <t>90283</t>
  </si>
  <si>
    <t>90284</t>
  </si>
  <si>
    <t>90285</t>
  </si>
  <si>
    <t>94962</t>
  </si>
  <si>
    <t>94963</t>
  </si>
  <si>
    <t>94964</t>
  </si>
  <si>
    <t>94965</t>
  </si>
  <si>
    <t>94966</t>
  </si>
  <si>
    <t>94967</t>
  </si>
  <si>
    <t>94968</t>
  </si>
  <si>
    <t>94969</t>
  </si>
  <si>
    <t>94970</t>
  </si>
  <si>
    <t>94971</t>
  </si>
  <si>
    <t>94972</t>
  </si>
  <si>
    <t>94973</t>
  </si>
  <si>
    <t>94974</t>
  </si>
  <si>
    <t>94975</t>
  </si>
  <si>
    <t>96555</t>
  </si>
  <si>
    <t>CONCRETAGEM DE BLOCOS DE COROAMENTO E VIGAS BALDRAME, FCK 30 MPA, COM USO DE JERICA  LANÇAMENTO, ADENSAMENTO E ACABAMENTO. AF_06/2017</t>
  </si>
  <si>
    <t>96556</t>
  </si>
  <si>
    <t>CONCRETAGEM DE SAPATAS, FCK 30 MPA, COM USO DE JERICA  LANÇAMENTO, ADENSAMENTO E ACABAMENTO. AF_06/2017</t>
  </si>
  <si>
    <t>96557</t>
  </si>
  <si>
    <t>CONCRETAGEM DE BLOCOS DE COROAMENTO E VIGAS BALDRAMES, FCK 30 MPA, COM USO DE BOMBA  LANÇAMENTO, ADENSAMENTO E ACABAMENTO. AF_06/2017</t>
  </si>
  <si>
    <t>96558</t>
  </si>
  <si>
    <t>CONCRETAGEM DE SAPATAS, FCK 30 MPA, COM USO DE BOMBA  LANÇAMENTO, ADENSAMENTO E ACABAMENTO. AF_11/2016</t>
  </si>
  <si>
    <t>99235</t>
  </si>
  <si>
    <t>99431</t>
  </si>
  <si>
    <t>99432</t>
  </si>
  <si>
    <t>99433</t>
  </si>
  <si>
    <t>99434</t>
  </si>
  <si>
    <t>99435</t>
  </si>
  <si>
    <t>99436</t>
  </si>
  <si>
    <t>99437</t>
  </si>
  <si>
    <t>99438</t>
  </si>
  <si>
    <t>99439</t>
  </si>
  <si>
    <t>101165</t>
  </si>
  <si>
    <t>ALVENARIA DE EMBASAMENTO COM BLOCO ESTRUTURAL DE CONCRETO, DE 14X19X29CM E ARGAMASSA DE ASSENTAMENTO COM PREPARO EM BETONEIRA. AF_05/2020</t>
  </si>
  <si>
    <t>101166</t>
  </si>
  <si>
    <t>ALVENARIA DE EMBASAMENTO COM BLOCO ESTRUTURAL DE CERÂMICA, DE 14X19X29CM E ARGAMASSA DE ASSENTAMENTO COM PREPARO EM BETONEIRA. AF_05/2020</t>
  </si>
  <si>
    <t>98576</t>
  </si>
  <si>
    <t>TRATAMENTO DE JUNTA DE DILATAÇÃO COM MANTA ASFÁLTICA ADERIDA COM MAÇARICO. AF_06/2018</t>
  </si>
  <si>
    <t>93182</t>
  </si>
  <si>
    <t>VERGA PRÉ-MOLDADA PARA JANELAS COM ATÉ 1,5 M DE VÃO. AF_03/2016</t>
  </si>
  <si>
    <t>93183</t>
  </si>
  <si>
    <t>VERGA PRÉ-MOLDADA PARA JANELAS COM MAIS DE 1,5 M DE VÃO. AF_03/2016</t>
  </si>
  <si>
    <t>93184</t>
  </si>
  <si>
    <t>VERGA PRÉ-MOLDADA PARA PORTAS COM ATÉ 1,5 M DE VÃO. AF_03/2016</t>
  </si>
  <si>
    <t>93185</t>
  </si>
  <si>
    <t>VERGA PRÉ-MOLDADA PARA PORTAS COM MAIS DE 1,5 M DE VÃO. AF_03/2016</t>
  </si>
  <si>
    <t>93186</t>
  </si>
  <si>
    <t>VERGA MOLDADA IN LOCO EM CONCRETO PARA JANELAS COM ATÉ 1,5 M DE VÃO. AF_03/2016</t>
  </si>
  <si>
    <t>93187</t>
  </si>
  <si>
    <t>VERGA MOLDADA IN LOCO EM CONCRETO PARA JANELAS COM MAIS DE 1,5 M DE VÃO. AF_03/2016</t>
  </si>
  <si>
    <t>93188</t>
  </si>
  <si>
    <t>VERGA MOLDADA IN LOCO EM CONCRETO PARA PORTAS COM ATÉ 1,5 M DE VÃO. AF_03/2016</t>
  </si>
  <si>
    <t>93189</t>
  </si>
  <si>
    <t>VERGA MOLDADA IN LOCO EM CONCRETO PARA PORTAS COM MAIS DE 1,5 M DE VÃO. AF_03/2016</t>
  </si>
  <si>
    <t>93190</t>
  </si>
  <si>
    <t>VERGA MOLDADA IN LOCO COM UTILIZAÇÃO DE BLOCOS CANALETA PARA JANELAS COM ATÉ 1,5 M DE VÃO. AF_03/2016</t>
  </si>
  <si>
    <t>93191</t>
  </si>
  <si>
    <t>VERGA MOLDADA IN LOCO COM UTILIZAÇÃO DE BLOCOS CANALETA PARA JANELAS COM MAIS DE 1,5 M DE VÃO. AF_03/2016</t>
  </si>
  <si>
    <t>93192</t>
  </si>
  <si>
    <t>VERGA MOLDADA IN LOCO COM UTILIZAÇÃO DE BLOCOS CANALETA PARA PORTAS COM ATÉ 1,5 M DE VÃO. AF_03/2016</t>
  </si>
  <si>
    <t>93193</t>
  </si>
  <si>
    <t>VERGA MOLDADA IN LOCO COM UTILIZAÇÃO DE BLOCOS CANALETA PARA PORTAS COM MAIS DE 1,5 M DE VÃO. AF_03/2016</t>
  </si>
  <si>
    <t>93194</t>
  </si>
  <si>
    <t>CONTRAVERGA PRÉ-MOLDADA PARA VÃOS DE ATÉ 1,5 M DE COMPRIMENTO. AF_03/2016</t>
  </si>
  <si>
    <t>93195</t>
  </si>
  <si>
    <t>CONTRAVERGA PRÉ-MOLDADA PARA VÃOS DE MAIS DE 1,5 M DE COMPRIMENTO. AF_03/2016</t>
  </si>
  <si>
    <t>93196</t>
  </si>
  <si>
    <t>CONTRAVERGA MOLDADA IN LOCO EM CONCRETO PARA VÃOS DE ATÉ 1,5 M DE COMPRIMENTO. AF_03/2016</t>
  </si>
  <si>
    <t>93197</t>
  </si>
  <si>
    <t>CONTRAVERGA MOLDADA IN LOCO EM CONCRETO PARA VÃOS DE MAIS DE 1,5 M DE COMPRIMENTO. AF_03/2016</t>
  </si>
  <si>
    <t>93198</t>
  </si>
  <si>
    <t>CONTRAVERGA MOLDADA IN LOCO COM UTILIZAÇÃO DE BLOCOS CANALETA PARA VÃOS DE ATÉ 1,5 M DE COMPRIMENTO. AF_03/2016</t>
  </si>
  <si>
    <t>93199</t>
  </si>
  <si>
    <t>CONTRAVERGA MOLDADA IN LOCO COM UTILIZAÇÃO DE BLOCOS CANALETA PARA VÃOS DE MAIS DE 1,5 M DE COMPRIMENTO. AF_03/2016</t>
  </si>
  <si>
    <t>93200</t>
  </si>
  <si>
    <t>FIXAÇÃO (ENCUNHAMENTO) DE ALVENARIA DE VEDAÇÃO COM ARGAMASSA APLICADA COM BISNAGA. AF_03/2016</t>
  </si>
  <si>
    <t>2,45</t>
  </si>
  <si>
    <t>93201</t>
  </si>
  <si>
    <t>FIXAÇÃO (ENCUNHAMENTO) DE ALVENARIA DE VEDAÇÃO COM ARGAMASSA APLICADA COM COLHER. AF_03/2016</t>
  </si>
  <si>
    <t>93202</t>
  </si>
  <si>
    <t>FIXAÇÃO (ENCUNHAMENTO) DE ALVENARIA DE VEDAÇÃO COM TIJOLO MACIÇO. AF_03/2016</t>
  </si>
  <si>
    <t>93203</t>
  </si>
  <si>
    <t>FIXAÇÃO (ENCUNHAMENTO) DE ALVENARIA DE VEDAÇÃO COM ESPUMA DE POLIURETANO EXPANSIVA. AF_03/2016</t>
  </si>
  <si>
    <t>93204</t>
  </si>
  <si>
    <t>CINTA DE AMARRAÇÃO DE ALVENARIA MOLDADA IN LOCO EM CONCRETO. AF_03/2016</t>
  </si>
  <si>
    <t>93205</t>
  </si>
  <si>
    <t>CINTA DE AMARRAÇÃO DE ALVENARIA MOLDADA IN LOCO COM UTILIZAÇÃO DE BLOCOS CANALETA. AF_03/2016</t>
  </si>
  <si>
    <t>97733</t>
  </si>
  <si>
    <t>PEÇA RETANGULAR PRÉ-MOLDADA, VOLUME DE CONCRETO DE ATÉ 10 LITROS, TAXA DE AÇO APROXIMADA DE 30KG/M³. AF_01/2018</t>
  </si>
  <si>
    <t>97734</t>
  </si>
  <si>
    <t>PEÇA RETANGULAR PRÉ-MOLDADA, VOLUME DE CONCRETO DE 10 A 30 LITROS, TAXA DE AÇO APROXIMADA DE 30KG/M³. AF_01/2018</t>
  </si>
  <si>
    <t>97735</t>
  </si>
  <si>
    <t>PEÇA RETANGULAR PRÉ-MOLDADA, VOLUME DE CONCRETO DE 30 A 100 LITROS, TAXA DE AÇO APROXIMADA DE 30KG/M³. AF_01/2018</t>
  </si>
  <si>
    <t>97736</t>
  </si>
  <si>
    <t>PEÇA RETANGULAR PRÉ-MOLDADA, VOLUME DE CONCRETO ACIMA DE 100 LITROS, TAXA DE AÇO APROXIMADA DE 30KG/M³. AF_01/2018</t>
  </si>
  <si>
    <t>97737</t>
  </si>
  <si>
    <t>PEÇA RETANGULAR PRÉ-MOLDADA, VOLUME DE CONCRETO DE 30 A 70 LITROS , TAXA DE AÇO APROXIMADA DE 70KG/M³. AF_01/2018</t>
  </si>
  <si>
    <t>97738</t>
  </si>
  <si>
    <t>97739</t>
  </si>
  <si>
    <t>PEÇA CIRCULAR PRÉ-MOLDADA, VOLUME DE CONCRETO DE 30 A 100 LITROS, TAXA DE AÇO APROXIMADA DE 30KG/M³. AF_01/2018</t>
  </si>
  <si>
    <t>97740</t>
  </si>
  <si>
    <t>PEÇA CIRCULAR PRÉ-MOLDADA, VOLUME DE CONCRETO ACIMA DE 100 LITROS, TAXA DE AÇO APROXIMADA DE 30KG/M³. AF_01/2018</t>
  </si>
  <si>
    <t>98615</t>
  </si>
  <si>
    <t>CONTENÇÃO EM CORTINA COM ESTACAS ESPAÇADAS COM 30 CM DE DIÂMETRO E PROFUNDIDADE MENOR OU IGUAL A 10 M. AF_06/2018</t>
  </si>
  <si>
    <t>98616</t>
  </si>
  <si>
    <t>CONTENÇÃO EM CORTINA COM ESTACAS ESPAÇADAS COM 30 CM DE DIÂMETRO E PROFUNDIDADE MAIOR QUE 10 M E MENOR OU IGUAL A 15 M. AF_06/2018</t>
  </si>
  <si>
    <t>98617</t>
  </si>
  <si>
    <t>CONTENÇÃO EM CORTINA COM ESTACAS ESPAÇADAS COM 30 CM DE DIÂMETRO E PROFUNDIDADE MAIOR QUE 15 M. AF_06/2018</t>
  </si>
  <si>
    <t>98618</t>
  </si>
  <si>
    <t>CONTENÇÃO EM CORTINA COM ESTACAS ESPAÇADAS COM 40 CM DE DIÂMETRO E PROFUNDIDADE MENOR OU IGUAL A 10 M. AF_06/2018</t>
  </si>
  <si>
    <t>98619</t>
  </si>
  <si>
    <t>CONTENÇÃO EM CORTINA COM ESTACAS ESPAÇADAS COM 40 CM DE DIÂMETRO E PROFUNDIDADE MAIOR QUE 10 M E MENOR OU IGUAL A 15 M. AF_06/2018</t>
  </si>
  <si>
    <t>98620</t>
  </si>
  <si>
    <t>CONTENÇÃO EM CORTINA COM ESTACAS ESPAÇADAS COM 40 CM DE DIÂMETRO E PROFUNDIDADE MAIOR QUE 15 M. AF_06/2018</t>
  </si>
  <si>
    <t>98621</t>
  </si>
  <si>
    <t>CONTENÇÃO EM CORTINA COM ESTACAS ESPAÇADAS COM 50 CM DE DIÂMETRO E PROFUNDIDADE MENOR OU IGUAL A 10 M. AF_06/2018</t>
  </si>
  <si>
    <t>98622</t>
  </si>
  <si>
    <t>CONTENÇÃO EM CORTINA COM ESTACAS ESPAÇADAS COM 50 CM DE DIÂMETRO E PROFUNDIDADE MAIOR QUE 10 M E MENOR OU IGUAL A 15 M. AF_06/2018</t>
  </si>
  <si>
    <t>98623</t>
  </si>
  <si>
    <t>CONTENÇÃO EM CORTINA COM ESTACAS ESPAÇADAS COM 50 CM DE DIÂMETRO E PROFUNDIDADE MAIOR QUE 15 M. AF_06/2018</t>
  </si>
  <si>
    <t>98624</t>
  </si>
  <si>
    <t>CONTENÇÃO EM CORTINA COM ESTACAS ESPAÇADAS COM 60 CM DE DIÂMETRO E PROFUNDIDADE MENOR OU IGUAL A 10 M. AF_06/2018</t>
  </si>
  <si>
    <t>98625</t>
  </si>
  <si>
    <t>CONTENÇÃO EM CORTINA COM ESTACAS ESPAÇADAS COM 60 CM DE DIÂMETRO E PROFUNDIDADE MAIOR QUE 10 M E MENOR OU IGUAL A 15 M. AF_06/2018</t>
  </si>
  <si>
    <t>98626</t>
  </si>
  <si>
    <t>CONTENÇÃO EM CORTINA COM ESTACAS ESPAÇADAS COM 60 CM DE DIÂMETRO E PROFUNDIDADE MAIOR QUE 15 M. AF_06/2018</t>
  </si>
  <si>
    <t>98655</t>
  </si>
  <si>
    <t>EXECUÇÃO DE MURETA GUIA PARA CONTENÇÃO/ FUNDAÇÃO COM 30 CM DE ESPESSURA. AF_06/2018</t>
  </si>
  <si>
    <t>98656</t>
  </si>
  <si>
    <t>EXECUÇÃO DE MURETA GUIA PARA CONTENÇÃO/ FUNDAÇÃO COM 40 CM DE ESPESSURA. AF_06/2018</t>
  </si>
  <si>
    <t>98657</t>
  </si>
  <si>
    <t>EXECUÇÃO DE MURETA GUIA PARA CONTENÇÃO/ FUNDAÇÃO COM 50 CM DE ESPESSURA. AF_06/2018</t>
  </si>
  <si>
    <t>98658</t>
  </si>
  <si>
    <t>EXECUÇÃO DE MURETA GUIA PARA CONTENÇÃO/ FUNDAÇÃO COM 60 CM DE ESPESSURA. AF_06/2018</t>
  </si>
  <si>
    <t>98659</t>
  </si>
  <si>
    <t>EXECUÇÃO DE MURETA GUIA PARA CONTENÇÃO/ FUNDAÇÃO COM 80 CM DE ESPESSURA. AF_06/2018</t>
  </si>
  <si>
    <t>98746</t>
  </si>
  <si>
    <t>SOLDA DE TOPO EM CHAPA/PERFIL/TUBO DE AÇO CHANFRADO, ESPESSURA=1/4''. AF_06/2018</t>
  </si>
  <si>
    <t>98749</t>
  </si>
  <si>
    <t>SOLDA DE TOPO EM CHAPA/PERFIL/TUBO DE AÇO CHANFRADO, ESPESSURA=5/16''. AF_06/2018</t>
  </si>
  <si>
    <t>98750</t>
  </si>
  <si>
    <t>SOLDA DE TOPO EM CHAPA/PERFIL/TUBO DE AÇO CHANFRADO, ESPESSURA=3/8''. AF_06/2018</t>
  </si>
  <si>
    <t>98751</t>
  </si>
  <si>
    <t>SOLDA DE TOPO EM CHAPA/PERFIL/TUBO DE AÇO CHANFRADO, ESPESSURA=1/2''. AF_06/2018</t>
  </si>
  <si>
    <t>98752</t>
  </si>
  <si>
    <t>SOLDA DE TOPO EM CHAPA/PERFIL/TUBO DE AÇO CHANFRADO, ESPESSURA=5/8''. AF_06/2018</t>
  </si>
  <si>
    <t>98753</t>
  </si>
  <si>
    <t>SOLDA DE TOPO EM CHAPA/PERFIL/TUBO DE AÇO CHANFRADO, ESPESSURA=3/4''. AF_06/2018</t>
  </si>
  <si>
    <t>100763</t>
  </si>
  <si>
    <t>9,24</t>
  </si>
  <si>
    <t>100764</t>
  </si>
  <si>
    <t>100765</t>
  </si>
  <si>
    <t>100766</t>
  </si>
  <si>
    <t>100767</t>
  </si>
  <si>
    <t>100768</t>
  </si>
  <si>
    <t>100769</t>
  </si>
  <si>
    <t>100770</t>
  </si>
  <si>
    <t>100771</t>
  </si>
  <si>
    <t>100772</t>
  </si>
  <si>
    <t>100773</t>
  </si>
  <si>
    <t>100774</t>
  </si>
  <si>
    <t>100775</t>
  </si>
  <si>
    <t>100776</t>
  </si>
  <si>
    <t>12,41</t>
  </si>
  <si>
    <t>100777</t>
  </si>
  <si>
    <t>100778</t>
  </si>
  <si>
    <t>98560</t>
  </si>
  <si>
    <t>IMPERMEABILIZAÇÃO DE PISO COM ARGAMASSA DE CIMENTO E AREIA, COM ADITIVO IMPERMEABILIZANTE, E = 2CM. AF_06/2018</t>
  </si>
  <si>
    <t>98561</t>
  </si>
  <si>
    <t>IMPERMEABILIZAÇÃO DE PAREDES COM ARGAMASSA DE CIMENTO E AREIA, COM ADITIVO IMPERMEABILIZANTE, E = 2CM. AF_06/2018</t>
  </si>
  <si>
    <t>98562</t>
  </si>
  <si>
    <t>IMPERMEABILIZAÇÃO DE FLOREIRA OU VIGA BALDRAME COM ARGAMASSA DE CIMENTO E AREIA, COM ADITIVO IMPERMEABILIZANTE, E = 2 CM. AF_06/2018</t>
  </si>
  <si>
    <t>98555</t>
  </si>
  <si>
    <t>IMPERMEABILIZAÇÃO DE SUPERFÍCIE COM ARGAMASSA POLIMÉRICA / MEMBRANA ACRÍLICA, 3 DEMÃOS. AF_06/2018</t>
  </si>
  <si>
    <t>19,59</t>
  </si>
  <si>
    <t>98556</t>
  </si>
  <si>
    <t>IMPERMEABILIZAÇÃO DE SUPERFÍCIE COM ARGAMASSA POLIMÉRICA / MEMBRANA ACRÍLICA, 4 DEMÃOS, REFORÇADA COM VÉU DE POLIÉSTER (MAV). AF_06/2018</t>
  </si>
  <si>
    <t>98558</t>
  </si>
  <si>
    <t>TRATAMENTO DE RALO OU PONTO EMERGENTE COM ARGAMASSA POLIMÉRICA / MEMBRANA ACRÍLICA REFORÇADO COM VÉU DE POLIÉSTER (MAV). AF_06/2018</t>
  </si>
  <si>
    <t>98559</t>
  </si>
  <si>
    <t>TRATAMENTO DE RODAPÉ COM VÉU DE POLIÉSTER. AF_06/2018</t>
  </si>
  <si>
    <t>98546</t>
  </si>
  <si>
    <t>IMPERMEABILIZAÇÃO DE SUPERFÍCIE COM MANTA ASFÁLTICA, UMA CAMADA, INCLUSIVE APLICAÇÃO DE PRIMER ASFÁLTICO, E=3MM. AF_06/2018</t>
  </si>
  <si>
    <t>98547</t>
  </si>
  <si>
    <t>IMPERMEABILIZAÇÃO DE SUPERFÍCIE COM MANTA ASFÁLTICA, DUAS CAMADAS, INCLUSIVE APLICAÇÃO DE PRIMER ASFÁLTICO, E=3MM E E=4MM. AF_06/2018</t>
  </si>
  <si>
    <t>98553</t>
  </si>
  <si>
    <t>IMPERMEABILIZAÇÃO DE SUPERFÍCIE COM MEMBRANA À BASE DE POLIURETANO, 2 DEMÃOS. AF_06/2018</t>
  </si>
  <si>
    <t>98554</t>
  </si>
  <si>
    <t>IMPERMEABILIZAÇÃO DE SUPERFÍCIE COM MEMBRANA À BASE DE RESINA ACRÍLICA, 3 DEMÃOS. AF_06/2018</t>
  </si>
  <si>
    <t>98557</t>
  </si>
  <si>
    <t>IMPERMEABILIZAÇÃO DE SUPERFÍCIE COM EMULSÃO ASFÁLTICA, 2 DEMÃOS AF_06/2018</t>
  </si>
  <si>
    <t>98563</t>
  </si>
  <si>
    <t>PROTEÇÃO MECÂNICA DE SUPERFÍCIE HORIZONTAL COM ARGAMASSA DE CIMENTO E AREIA, TRAÇO 1:3, E=2CM. AF_06/2018</t>
  </si>
  <si>
    <t>98564</t>
  </si>
  <si>
    <t>PROTEÇÃO MECÂNICA DE SUPERFÍCIE VERTICAL COM ARGAMASSA DE CIMENTO E AREIA, TRAÇO 1:3, E=2CM. AF_06/2018</t>
  </si>
  <si>
    <t>98565</t>
  </si>
  <si>
    <t>PROTEÇÃO MECÂNICA DE SUPERFICIE HORIZONTAL COM ARGAMASSA DE CIMENTO E AREIA, TRAÇO 1:3, E=3CM. AF_06/2018</t>
  </si>
  <si>
    <t>98566</t>
  </si>
  <si>
    <t>PROTEÇÃO MECÂNICA DE SUPERFÍCIE VERTICAL COM ARGAMASSA DE CIMENTO E AREIA, TRAÇO 1:3, E=3CM. AF_06/2018</t>
  </si>
  <si>
    <t>98567</t>
  </si>
  <si>
    <t>PROTEÇÃO MECÂNICA DE SUPERFICIE HORIZONTAL COM ARGAMASSA DE CIMENTO E AREIA, TRAÇO 1:3, E=4CM. AF_06/2018</t>
  </si>
  <si>
    <t>98568</t>
  </si>
  <si>
    <t>PROTEÇÃO MECÂNICA DE SUPERFÍCIE VERTICAL COM ARGAMASSA DE CIMENTO E AREIA, TRAÇO 1:3, E=4CM. AF_06/2018</t>
  </si>
  <si>
    <t>98569</t>
  </si>
  <si>
    <t>PROTEÇÃO MECÂNICA DE SUPERFICIE HORIZONTAL COM ARGAMASSA DE CIMENTO E AREIA, TRAÇO 1:3, E=5CM. AF_06/2018</t>
  </si>
  <si>
    <t>98570</t>
  </si>
  <si>
    <t>PROTEÇÃO MECÂNICA DE SUPERFÍCIE VERTICAL COM ARGAMASSA DE CIMENTO E AREIA, TRAÇO 1:3, E=5CM. AF_06/2018</t>
  </si>
  <si>
    <t>98571</t>
  </si>
  <si>
    <t>PROTEÇÃO MECÂNICA DE SUPERFICIE HORIZONTAL COM CONCRETO 15 MPA, E=4CM. AF_06/2018</t>
  </si>
  <si>
    <t>98572</t>
  </si>
  <si>
    <t>PROTEÇÃO MECÂNICA DE SUPERFICIE HORIZONTAL COM CONCRETO 15 MPA, E=5CM. AF_06/2018</t>
  </si>
  <si>
    <t>98573</t>
  </si>
  <si>
    <t>PROTEÇÃO MECÂNICA DE SUPERFÍCIE VERTICAL COM CONCRETO 15 MPA, E=5CM. AF_06/2018</t>
  </si>
  <si>
    <t>91831</t>
  </si>
  <si>
    <t>91833</t>
  </si>
  <si>
    <t>91834</t>
  </si>
  <si>
    <t>91835</t>
  </si>
  <si>
    <t>91836</t>
  </si>
  <si>
    <t>8,34</t>
  </si>
  <si>
    <t>91837</t>
  </si>
  <si>
    <t>91839</t>
  </si>
  <si>
    <t>91840</t>
  </si>
  <si>
    <t>91841</t>
  </si>
  <si>
    <t>91842</t>
  </si>
  <si>
    <t>91843</t>
  </si>
  <si>
    <t>91844</t>
  </si>
  <si>
    <t>91845</t>
  </si>
  <si>
    <t>5,72</t>
  </si>
  <si>
    <t>91846</t>
  </si>
  <si>
    <t>91847</t>
  </si>
  <si>
    <t>91849</t>
  </si>
  <si>
    <t>91850</t>
  </si>
  <si>
    <t>91851</t>
  </si>
  <si>
    <t>91852</t>
  </si>
  <si>
    <t>91853</t>
  </si>
  <si>
    <t>91854</t>
  </si>
  <si>
    <t>91855</t>
  </si>
  <si>
    <t>91856</t>
  </si>
  <si>
    <t>91857</t>
  </si>
  <si>
    <t>91859</t>
  </si>
  <si>
    <t>91860</t>
  </si>
  <si>
    <t>91861</t>
  </si>
  <si>
    <t>91862</t>
  </si>
  <si>
    <t>91863</t>
  </si>
  <si>
    <t>91864</t>
  </si>
  <si>
    <t>91865</t>
  </si>
  <si>
    <t>91866</t>
  </si>
  <si>
    <t>91867</t>
  </si>
  <si>
    <t>91868</t>
  </si>
  <si>
    <t>9,69</t>
  </si>
  <si>
    <t>91869</t>
  </si>
  <si>
    <t>11,75</t>
  </si>
  <si>
    <t>91870</t>
  </si>
  <si>
    <t>91871</t>
  </si>
  <si>
    <t>91872</t>
  </si>
  <si>
    <t>91873</t>
  </si>
  <si>
    <t>93008</t>
  </si>
  <si>
    <t>93009</t>
  </si>
  <si>
    <t>17,11</t>
  </si>
  <si>
    <t>93010</t>
  </si>
  <si>
    <t>93011</t>
  </si>
  <si>
    <t>93012</t>
  </si>
  <si>
    <t>95726</t>
  </si>
  <si>
    <t>95727</t>
  </si>
  <si>
    <t>95728</t>
  </si>
  <si>
    <t>6,29</t>
  </si>
  <si>
    <t>97667</t>
  </si>
  <si>
    <t>97668</t>
  </si>
  <si>
    <t>97669</t>
  </si>
  <si>
    <t>97670</t>
  </si>
  <si>
    <t>20,44</t>
  </si>
  <si>
    <t>91874</t>
  </si>
  <si>
    <t>91875</t>
  </si>
  <si>
    <t>91876</t>
  </si>
  <si>
    <t>91877</t>
  </si>
  <si>
    <t>91878</t>
  </si>
  <si>
    <t>91879</t>
  </si>
  <si>
    <t>91880</t>
  </si>
  <si>
    <t>91881</t>
  </si>
  <si>
    <t>91882</t>
  </si>
  <si>
    <t>91884</t>
  </si>
  <si>
    <t>91885</t>
  </si>
  <si>
    <t>91886</t>
  </si>
  <si>
    <t>91887</t>
  </si>
  <si>
    <t>91889</t>
  </si>
  <si>
    <t>91890</t>
  </si>
  <si>
    <t>91892</t>
  </si>
  <si>
    <t>9,43</t>
  </si>
  <si>
    <t>91893</t>
  </si>
  <si>
    <t>91895</t>
  </si>
  <si>
    <t>91896</t>
  </si>
  <si>
    <t>91898</t>
  </si>
  <si>
    <t>91899</t>
  </si>
  <si>
    <t>91901</t>
  </si>
  <si>
    <t>91902</t>
  </si>
  <si>
    <t>91904</t>
  </si>
  <si>
    <t>91905</t>
  </si>
  <si>
    <t>91907</t>
  </si>
  <si>
    <t>91908</t>
  </si>
  <si>
    <t>91910</t>
  </si>
  <si>
    <t>91911</t>
  </si>
  <si>
    <t>9,53</t>
  </si>
  <si>
    <t>91913</t>
  </si>
  <si>
    <t>10,19</t>
  </si>
  <si>
    <t>91914</t>
  </si>
  <si>
    <t>91916</t>
  </si>
  <si>
    <t>91917</t>
  </si>
  <si>
    <t>91919</t>
  </si>
  <si>
    <t>91920</t>
  </si>
  <si>
    <t>91922</t>
  </si>
  <si>
    <t>15,66</t>
  </si>
  <si>
    <t>93013</t>
  </si>
  <si>
    <t>93014</t>
  </si>
  <si>
    <t>93015</t>
  </si>
  <si>
    <t>93016</t>
  </si>
  <si>
    <t>93017</t>
  </si>
  <si>
    <t>93018</t>
  </si>
  <si>
    <t>93020</t>
  </si>
  <si>
    <t>93022</t>
  </si>
  <si>
    <t>93024</t>
  </si>
  <si>
    <t>93026</t>
  </si>
  <si>
    <t>15,75</t>
  </si>
  <si>
    <t>97559</t>
  </si>
  <si>
    <t>97562</t>
  </si>
  <si>
    <t>97564</t>
  </si>
  <si>
    <t>91924</t>
  </si>
  <si>
    <t>91925</t>
  </si>
  <si>
    <t>91926</t>
  </si>
  <si>
    <t>91927</t>
  </si>
  <si>
    <t>91928</t>
  </si>
  <si>
    <t>91929</t>
  </si>
  <si>
    <t>91930</t>
  </si>
  <si>
    <t>91931</t>
  </si>
  <si>
    <t>91932</t>
  </si>
  <si>
    <t>10,96</t>
  </si>
  <si>
    <t>91933</t>
  </si>
  <si>
    <t>91934</t>
  </si>
  <si>
    <t>91935</t>
  </si>
  <si>
    <t>92979</t>
  </si>
  <si>
    <t>CABO DE COBRE FLEXÍVEL ISOLADO, 10 MM², ANTI-CHAMA 450/750 V, PARA DISTRIBUIÇÃO - FORNECIMENTO E INSTALAÇÃO. AF_12/2015</t>
  </si>
  <si>
    <t>92980</t>
  </si>
  <si>
    <t>CABO DE COBRE FLEXÍVEL ISOLADO, 10 MM², ANTI-CHAMA 0,6/1,0 KV, PARA DISTRIBUIÇÃO - FORNECIMENTO E INSTALAÇÃO. AF_12/2015</t>
  </si>
  <si>
    <t>92981</t>
  </si>
  <si>
    <t>CABO DE COBRE FLEXÍVEL ISOLADO, 16 MM², ANTI-CHAMA 450/750 V, PARA DISTRIBUIÇÃO - FORNECIMENTO E INSTALAÇÃO. AF_12/2015</t>
  </si>
  <si>
    <t>92982</t>
  </si>
  <si>
    <t>CABO DE COBRE FLEXÍVEL ISOLADO, 16 MM², ANTI-CHAMA 0,6/1,0 KV, PARA DISTRIBUIÇÃO - FORNECIMENTO E INSTALAÇÃO. AF_12/2015</t>
  </si>
  <si>
    <t>11,80</t>
  </si>
  <si>
    <t>11,85</t>
  </si>
  <si>
    <t>92984</t>
  </si>
  <si>
    <t>92986</t>
  </si>
  <si>
    <t>92988</t>
  </si>
  <si>
    <t>92990</t>
  </si>
  <si>
    <t>92992</t>
  </si>
  <si>
    <t>92994</t>
  </si>
  <si>
    <t>92996</t>
  </si>
  <si>
    <t>92998</t>
  </si>
  <si>
    <t>93000</t>
  </si>
  <si>
    <t>93002</t>
  </si>
  <si>
    <t>91936</t>
  </si>
  <si>
    <t>91937</t>
  </si>
  <si>
    <t>91939</t>
  </si>
  <si>
    <t>91940</t>
  </si>
  <si>
    <t>11,83</t>
  </si>
  <si>
    <t>91941</t>
  </si>
  <si>
    <t>91942</t>
  </si>
  <si>
    <t>91943</t>
  </si>
  <si>
    <t>91944</t>
  </si>
  <si>
    <t>92865</t>
  </si>
  <si>
    <t>92866</t>
  </si>
  <si>
    <t>92867</t>
  </si>
  <si>
    <t>92868</t>
  </si>
  <si>
    <t>10,28</t>
  </si>
  <si>
    <t>92869</t>
  </si>
  <si>
    <t>92870</t>
  </si>
  <si>
    <t>92871</t>
  </si>
  <si>
    <t>92872</t>
  </si>
  <si>
    <t>95777</t>
  </si>
  <si>
    <t>95778</t>
  </si>
  <si>
    <t>95779</t>
  </si>
  <si>
    <t>95780</t>
  </si>
  <si>
    <t>95781</t>
  </si>
  <si>
    <t>95782</t>
  </si>
  <si>
    <t>95785</t>
  </si>
  <si>
    <t>95787</t>
  </si>
  <si>
    <t>95789</t>
  </si>
  <si>
    <t>95791</t>
  </si>
  <si>
    <t>95795</t>
  </si>
  <si>
    <t>95796</t>
  </si>
  <si>
    <t>95797</t>
  </si>
  <si>
    <t>95801</t>
  </si>
  <si>
    <t>95802</t>
  </si>
  <si>
    <t>95803</t>
  </si>
  <si>
    <t>95804</t>
  </si>
  <si>
    <t>95805</t>
  </si>
  <si>
    <t>95806</t>
  </si>
  <si>
    <t>95807</t>
  </si>
  <si>
    <t>95808</t>
  </si>
  <si>
    <t>95809</t>
  </si>
  <si>
    <t>95810</t>
  </si>
  <si>
    <t>95811</t>
  </si>
  <si>
    <t>95812</t>
  </si>
  <si>
    <t>12,72</t>
  </si>
  <si>
    <t>95813</t>
  </si>
  <si>
    <t>95814</t>
  </si>
  <si>
    <t>95815</t>
  </si>
  <si>
    <t>95816</t>
  </si>
  <si>
    <t>95817</t>
  </si>
  <si>
    <t>95818</t>
  </si>
  <si>
    <t>97886</t>
  </si>
  <si>
    <t>97887</t>
  </si>
  <si>
    <t>97888</t>
  </si>
  <si>
    <t>97889</t>
  </si>
  <si>
    <t>97890</t>
  </si>
  <si>
    <t>97891</t>
  </si>
  <si>
    <t>97892</t>
  </si>
  <si>
    <t>97893</t>
  </si>
  <si>
    <t>97894</t>
  </si>
  <si>
    <t>93653</t>
  </si>
  <si>
    <t>93654</t>
  </si>
  <si>
    <t>93655</t>
  </si>
  <si>
    <t>93656</t>
  </si>
  <si>
    <t>93657</t>
  </si>
  <si>
    <t>93658</t>
  </si>
  <si>
    <t>93659</t>
  </si>
  <si>
    <t>93660</t>
  </si>
  <si>
    <t>93661</t>
  </si>
  <si>
    <t>93662</t>
  </si>
  <si>
    <t>93663</t>
  </si>
  <si>
    <t>93664</t>
  </si>
  <si>
    <t>93665</t>
  </si>
  <si>
    <t>93666</t>
  </si>
  <si>
    <t>93667</t>
  </si>
  <si>
    <t>93668</t>
  </si>
  <si>
    <t>93669</t>
  </si>
  <si>
    <t>93670</t>
  </si>
  <si>
    <t>93671</t>
  </si>
  <si>
    <t>93672</t>
  </si>
  <si>
    <t>93673</t>
  </si>
  <si>
    <t>97359</t>
  </si>
  <si>
    <t>97360</t>
  </si>
  <si>
    <t>97361</t>
  </si>
  <si>
    <t>91945</t>
  </si>
  <si>
    <t>91946</t>
  </si>
  <si>
    <t>91947</t>
  </si>
  <si>
    <t>91949</t>
  </si>
  <si>
    <t>91950</t>
  </si>
  <si>
    <t>91951</t>
  </si>
  <si>
    <t>91952</t>
  </si>
  <si>
    <t>91953</t>
  </si>
  <si>
    <t>91954</t>
  </si>
  <si>
    <t>91955</t>
  </si>
  <si>
    <t>91956</t>
  </si>
  <si>
    <t>91957</t>
  </si>
  <si>
    <t>91958</t>
  </si>
  <si>
    <t>91959</t>
  </si>
  <si>
    <t>91960</t>
  </si>
  <si>
    <t>91961</t>
  </si>
  <si>
    <t>91962</t>
  </si>
  <si>
    <t>91963</t>
  </si>
  <si>
    <t>91964</t>
  </si>
  <si>
    <t>91965</t>
  </si>
  <si>
    <t>91966</t>
  </si>
  <si>
    <t>91967</t>
  </si>
  <si>
    <t>91968</t>
  </si>
  <si>
    <t>91969</t>
  </si>
  <si>
    <t>91970</t>
  </si>
  <si>
    <t>91971</t>
  </si>
  <si>
    <t>91972</t>
  </si>
  <si>
    <t>91973</t>
  </si>
  <si>
    <t>91974</t>
  </si>
  <si>
    <t>91975</t>
  </si>
  <si>
    <t>91976</t>
  </si>
  <si>
    <t>91977</t>
  </si>
  <si>
    <t>91978</t>
  </si>
  <si>
    <t>91979</t>
  </si>
  <si>
    <t>91980</t>
  </si>
  <si>
    <t>91981</t>
  </si>
  <si>
    <t>91982</t>
  </si>
  <si>
    <t>91983</t>
  </si>
  <si>
    <t>91984</t>
  </si>
  <si>
    <t>91985</t>
  </si>
  <si>
    <t>91986</t>
  </si>
  <si>
    <t>91987</t>
  </si>
  <si>
    <t>91988</t>
  </si>
  <si>
    <t>91989</t>
  </si>
  <si>
    <t>91990</t>
  </si>
  <si>
    <t>91991</t>
  </si>
  <si>
    <t>91992</t>
  </si>
  <si>
    <t>91993</t>
  </si>
  <si>
    <t>91994</t>
  </si>
  <si>
    <t>91995</t>
  </si>
  <si>
    <t>91996</t>
  </si>
  <si>
    <t>91997</t>
  </si>
  <si>
    <t>91998</t>
  </si>
  <si>
    <t>91999</t>
  </si>
  <si>
    <t>92000</t>
  </si>
  <si>
    <t>92001</t>
  </si>
  <si>
    <t>92002</t>
  </si>
  <si>
    <t>92003</t>
  </si>
  <si>
    <t>92004</t>
  </si>
  <si>
    <t>92005</t>
  </si>
  <si>
    <t>92006</t>
  </si>
  <si>
    <t>92007</t>
  </si>
  <si>
    <t>92008</t>
  </si>
  <si>
    <t>92009</t>
  </si>
  <si>
    <t>92010</t>
  </si>
  <si>
    <t>92011</t>
  </si>
  <si>
    <t>92012</t>
  </si>
  <si>
    <t>92013</t>
  </si>
  <si>
    <t>92014</t>
  </si>
  <si>
    <t>92015</t>
  </si>
  <si>
    <t>92016</t>
  </si>
  <si>
    <t>92017</t>
  </si>
  <si>
    <t>92018</t>
  </si>
  <si>
    <t>92019</t>
  </si>
  <si>
    <t>92020</t>
  </si>
  <si>
    <t>92021</t>
  </si>
  <si>
    <t>92022</t>
  </si>
  <si>
    <t>92023</t>
  </si>
  <si>
    <t>92024</t>
  </si>
  <si>
    <t>92025</t>
  </si>
  <si>
    <t>92026</t>
  </si>
  <si>
    <t>92027</t>
  </si>
  <si>
    <t>92028</t>
  </si>
  <si>
    <t>92029</t>
  </si>
  <si>
    <t>92030</t>
  </si>
  <si>
    <t>92031</t>
  </si>
  <si>
    <t>92032</t>
  </si>
  <si>
    <t>92033</t>
  </si>
  <si>
    <t>92034</t>
  </si>
  <si>
    <t>92035</t>
  </si>
  <si>
    <t>97583</t>
  </si>
  <si>
    <t>LUMINÁRIA TIPO CALHA, DE SOBREPOR, COM 1 LÂMPADA TUBULAR FLUORESCENTE DE 18 W, COM REATOR DE PARTIDA RÁPIDA - FORNECIMENTO E INSTALAÇÃO. AF_02/2020</t>
  </si>
  <si>
    <t>97584</t>
  </si>
  <si>
    <t>LUMINÁRIA TIPO CALHA, DE SOBREPOR, COM 1 LÂMPADA TUBULAR FLUORESCENTE DE 36 W, COM REATOR DE PARTIDA RÁPIDA - FORNECIMENTO E INSTALAÇÃO. AF_02/2020</t>
  </si>
  <si>
    <t>97585</t>
  </si>
  <si>
    <t>LUMINÁRIA TIPO CALHA, DE SOBREPOR, COM 2 LÂMPADAS TUBULARES FLUORESCENTES DE 18 W, COM REATOR DE PARTIDA RÁPIDA - FORNECIMENTO E INSTALAÇÃO. AF_02/2020</t>
  </si>
  <si>
    <t>97586</t>
  </si>
  <si>
    <t>LUMINÁRIA TIPO CALHA, DE SOBREPOR, COM 2 LÂMPADAS TUBULARES FLUORESCENTES DE 36 W, COM REATOR DE PARTIDA RÁPIDA - FORNECIMENTO E INSTALAÇÃO. AF_02/2020</t>
  </si>
  <si>
    <t>97587</t>
  </si>
  <si>
    <t>LUMINÁRIA TIPO CALHA, DE EMBUTIR, COM 2 LÂMPADAS FLUORESCENTES DE 14 W, COM REATOR DE PARTIDA RÁPIDA - FORNECIMENTO E INSTALAÇÃO. AF_02/2020</t>
  </si>
  <si>
    <t>97589</t>
  </si>
  <si>
    <t>LUMINÁRIA TIPO PLAFON EM PLÁSTICO, DE SOBREPOR, COM 1 LÂMPADA FLUORESCENTE DE 15 W, SEM REATOR - FORNECIMENTO E INSTALAÇÃO. AF_02/2020</t>
  </si>
  <si>
    <t>97590</t>
  </si>
  <si>
    <t>LUMINÁRIA TIPO PLAFON REDONDO COM VIDRO FOSCO, DE SOBREPOR, COM 1 LÂMPADA FLUORESCENTE DE 15 W, SEM REATOR - FORNECIMENTO E INSTALAÇÃO. AF_02/2020</t>
  </si>
  <si>
    <t>97591</t>
  </si>
  <si>
    <t>LUMINÁRIA TIPO PLAFON REDONDO COM VIDRO FOSCO, DE SOBREPOR, COM 2 LÂMPADAS FLUORESCENTES DE 15 W, SEM REATOR - FORNECIMENTO E INSTALAÇÃO. AF_02/2020</t>
  </si>
  <si>
    <t>97593</t>
  </si>
  <si>
    <t>LUMINÁRIA TIPO SPOT, DE SOBREPOR, COM 1 LÂMPADA FLUORESCENTE DE 15 W, SEM REATOR - FORNECIMENTO E INSTALAÇÃO. AF_02/2020</t>
  </si>
  <si>
    <t>97594</t>
  </si>
  <si>
    <t>LUMINÁRIA TIPO SPOT, DE SOBREPOR, COM 2 LÂMPADAS FLUORESCENTES DE 15 W, SEM REATOR - FORNECIMENTO E INSTALAÇÃO. AF_02/2020</t>
  </si>
  <si>
    <t>97595</t>
  </si>
  <si>
    <t>SENSOR DE PRESENÇA COM FOTOCÉLULA, FIXAÇÃO EM PAREDE - FORNECIMENTO E INSTALAÇÃO. AF_02/2020</t>
  </si>
  <si>
    <t>97596</t>
  </si>
  <si>
    <t>SENSOR DE PRESENÇA SEM FOTOCÉLULA, FIXAÇÃO EM PAREDE - FORNECIMENTO E INSTALAÇÃO. AF_02/2020</t>
  </si>
  <si>
    <t>97597</t>
  </si>
  <si>
    <t>SENSOR DE PRESENÇA COM FOTOCÉLULA, FIXAÇÃO EM TETO - FORNECIMENTO E INSTALAÇÃO. AF_02/2020</t>
  </si>
  <si>
    <t>97598</t>
  </si>
  <si>
    <t>SENSOR DE PRESENÇA SEM FOTOCÉLULA, FIXAÇÃO EM TETO - FORNECIMENTO E INSTALAÇÃO. AF_02/2020</t>
  </si>
  <si>
    <t>97599</t>
  </si>
  <si>
    <t>LUMINÁRIA DE EMERGÊNCIA, COM 30 LÂMPADAS LED DE 2 W, SEM REATOR - FORNECIMENTO E INSTALAÇÃO. AF_02/2020</t>
  </si>
  <si>
    <t>97609</t>
  </si>
  <si>
    <t>LÂMPADA COMPACTA DE LED 6 W, BASE E27 - FORNECIMENTO E INSTALAÇÃO. AF_02/2020</t>
  </si>
  <si>
    <t>97610</t>
  </si>
  <si>
    <t>LÂMPADA COMPACTA DE LED 10 W, BASE E27 - FORNECIMENTO E INSTALAÇÃO. AF_02/2020</t>
  </si>
  <si>
    <t>97611</t>
  </si>
  <si>
    <t>LÂMPADA COMPACTA FLUORESCENTE DE 15 W, BASE E27 - FORNECIMENTO E INSTALAÇÃO. AF_02/2020</t>
  </si>
  <si>
    <t>97612</t>
  </si>
  <si>
    <t>LÂMPADA COMPACTA FLUORESCENTE DE 20 W, BASE E27 - FORNECIMENTO E INSTALAÇÃO. AF_02/2020</t>
  </si>
  <si>
    <t>97613</t>
  </si>
  <si>
    <t>LÂMPADA COMPACTA DE VAPOR MERCURIO 125 W, BASE E27 - FORNECIMENTO E INSTALAÇÃO. AF_02/2020</t>
  </si>
  <si>
    <t>97614</t>
  </si>
  <si>
    <t>LÂMPADA COMPACTA DE VAPOR METÁLICO OVOIDE 150 W, BASE E27 - FORNECIMENTO E INSTALAÇÃO. AF_02/2020</t>
  </si>
  <si>
    <t>97615</t>
  </si>
  <si>
    <t>97616</t>
  </si>
  <si>
    <t>97617</t>
  </si>
  <si>
    <t>97618</t>
  </si>
  <si>
    <t>100902</t>
  </si>
  <si>
    <t>100903</t>
  </si>
  <si>
    <t>100904</t>
  </si>
  <si>
    <t>LUMINÁRIA TIPO CALHA, DE SOBREPOR, COM 1 LÂMPADA TUBULAR FLUORESCENTE DE 20 W, COM REATOR DE PARTIDA CONVENCIONAL - FORNECIMENTO E INSTALAÇÃO. AF_02/2020</t>
  </si>
  <si>
    <t>100905</t>
  </si>
  <si>
    <t>LUMINÁRIA DUPLA TIPO CALHA, DE SOBREPOR, COM 4 LÂMPADAS TUBULARES FLUORESCENTES DE 18 W,COM REATORES DE PARTIDA RÁPIDA - FORNECIMENTO E INSTALAÇÃO. AF_02/2020</t>
  </si>
  <si>
    <t>100906</t>
  </si>
  <si>
    <t>LUMINÁRIA DUPLA TIPO CALHA, DE SOBREPOR, COM 4 LÂMPADAS TUBULARES FLUORESCENTES DE 36 W, COM REATORES DE PARTIDA RÁPIDA -FORNECIMENTO E INSTALAÇÃO. AF_02/2020</t>
  </si>
  <si>
    <t>100919</t>
  </si>
  <si>
    <t>LÂMPADA FLUORESCENTE ESPIRAL BRANCA 45 W, BASE E27 - FORNECIMENTO E INSTALAÇÃO. AF_02/2020</t>
  </si>
  <si>
    <t>100920</t>
  </si>
  <si>
    <t>LÂMPADA FLUORESCENTE ESPIRAL BRANCA 65 W, BASE E27 - FORNECIMENTO E INSTALAÇÃO. AF_02/2020</t>
  </si>
  <si>
    <t>100921</t>
  </si>
  <si>
    <t>REATOR DE PARTIDA RÁPIDA PARA LÂMPADA FLUORESCENTE 2X40W - FORNECIMENTO E INSTALAÇÃO. AF_02/2020</t>
  </si>
  <si>
    <t>100922</t>
  </si>
  <si>
    <t>REATOR DE PARTIDA RÁPIDA PARA LÂMPADA FLUORESCENTE 1X20W - FORNECIMENTO E INSTALAÇÃO. AF_02/2020</t>
  </si>
  <si>
    <t>100923</t>
  </si>
  <si>
    <t>REATOR DE PARTIDA RÁPIDA PARA LÂMPADA FLUORESCENTE 1X40W - FORNECIMENTO E INSTALAÇÃO. AF_02/2020</t>
  </si>
  <si>
    <t>4,49</t>
  </si>
  <si>
    <t>100578</t>
  </si>
  <si>
    <t>ASSENTAMENTO DE POSTE DE CONCRETO COM COMPRIMENTO NOMINAL DE 9 M, CARGA NOMINAL MENOR OU IGUAL A 1000 DAN, ENGASTAMENTO SIMPLES COM 1,5 M DE SOLO (NÃO INCLUI FORNECIMENTO). AF_11/2019</t>
  </si>
  <si>
    <t>100579</t>
  </si>
  <si>
    <t>ASSENTAMENTO DE POSTE DE CONCRETO COM COMPRIMENTO NOMINAL DE 10 M, CARGA NOMINAL MENOR OU IGUAL A 1000 DAN, ENGASTAMENTO SIMPLES COM 1,6 M DE SOLO (NÃO INCLUI FORNECIMENTO). AF_11/2019</t>
  </si>
  <si>
    <t>100580</t>
  </si>
  <si>
    <t>ASSENTAMENTO DE POSTE DE CONCRETO COM COMPRIMENTO NOMINAL DE 10 M, CARGA NOMINAL MAIOR QUE 1000 DAN, ENGASTAMENTO SIMPLES COM 1,6 M DE SOLO (NÃO INCLUI FORNECIMENTO). AF_11/2019</t>
  </si>
  <si>
    <t>100581</t>
  </si>
  <si>
    <t>ASSENTAMENTO DE POSTE DE CONCRETO COM COMPRIMENTO NOMINAL DE 10,5 M, CARGA NOMINAL MENOR OU IGUAL A 1000 DAN, ENGASTAMENTO SIMPLES COM 1,65 M DE SOLO (NÃO INCLUI FORNECIMENTO). AF_11/2019</t>
  </si>
  <si>
    <t>100582</t>
  </si>
  <si>
    <t>ASSENTAMENTO DE POSTE DE CONCRETO COM COMPRIMENTO NOMINAL DE 10,5 M, CARGA NOMINAL MAIOR QUE 1000 DAN, ENGASTAMENTO SIMPLES COM 1,65 M DE SOLO (NÃO INCLUI FORNECIMENTO). AF_11/2019</t>
  </si>
  <si>
    <t>100583</t>
  </si>
  <si>
    <t>ASSENTAMENTO DE POSTE DE CONCRETO COM COMPRIMENTO NOMINAL DE 11 M, CARGA NOMINAL MENOR OU IGUAL A 1000 DAN, ENGASTAMENTO SIMPLES COM 1,7 M DE SOLO (NÃO INCLUI FORNECIMENTO). AF_11/2019</t>
  </si>
  <si>
    <t>100584</t>
  </si>
  <si>
    <t>ASSENTAMENTO DE POSTE DE CONCRETO COM COMPRIMENTO NOMINAL DE 11 M, CARGA NOMINAL MAIOR QUE 1000 DAN, ENGASTAMENTO SIMPLES COM 1,7 M DE SOLO (NÃO INCLUI FORNECIMENTO). AF_11/2019</t>
  </si>
  <si>
    <t>100585</t>
  </si>
  <si>
    <t>ASSENTAMENTO DE POSTE DE CONCRETO COM COMPRIMENTO NOMINAL DE 12 M, CARGA NOMINAL MENOR OU IGUAL A 1000 DAN, ENGASTAMENTO SIMPLES COM 1,8 M DE SOLO (NÃO INCLUI FORNECIMENTO). AF_11/2019</t>
  </si>
  <si>
    <t>100586</t>
  </si>
  <si>
    <t>ASSENTAMENTO DE POSTE DE CONCRETO COM COMPRIMENTO NOMINAL DE 12 M, CARGA NOMINAL MAIOR QUE 1000 DAN, ENGASTAMENTO SIMPLES COM 1,8 M DE SOLO (NÃO INCLUI FORNECIMENTO). AF_11/2019</t>
  </si>
  <si>
    <t>100587</t>
  </si>
  <si>
    <t>ASSENTAMENTO DE POSTE DE CONCRETO COM COMPRIMENTO NOMINAL DE 13 M, CARGA NOMINAL MENOR OU IGUAL A 1000 DAN, ENGASTAMENTO SIMPLES COM 1,9 M DE SOLO (NÃO INCLUI FORNECIMENTO). AF_11/2019</t>
  </si>
  <si>
    <t>100588</t>
  </si>
  <si>
    <t>ASSENTAMENTO DE POSTE DE CONCRETO COM COMPRIMENTO NOMINAL DE 13 M, CARGA NOMINAL MAIOR QUE 1000 DAN, ENGASTAMENTO SIMPLES COM 1,9 M DE SOLO (NÃO INCLUI FORNECIMENTO). AF_11/2019</t>
  </si>
  <si>
    <t>100589</t>
  </si>
  <si>
    <t>ASSENTAMENTO DE POSTE DE CONCRETO COM COMPRIMENTO NOMINAL DE 13,5 M, CARGA NOMINAL MENOR OU IGUAL A 1000 DAN, ENGASTAMENTO SIMPLES COM 1,95 M DE SOLO (NÃO INCLUI FORNECIMENTO). AF_11/2019</t>
  </si>
  <si>
    <t>100590</t>
  </si>
  <si>
    <t>ASSENTAMENTO DE POSTE DE CONCRETO COM COMPRIMENTO NOMINAL DE 13,5 M, CARGA NOMINAL MAIOR QUE 1000 DAN, ENGASTAMENTO SIMPLES COM 1,95 M DE SOLO (NÃO INCLUI FORNECIMENTO). AF_11/2019</t>
  </si>
  <si>
    <t>100591</t>
  </si>
  <si>
    <t>ASSENTAMENTO DE POSTE DE CONCRETO COM COMPRIMENTO NOMINAL DE 14 M, CARGA NOMINAL MENOR OU IGUAL A 1000 DAN, ENGASTAMENTO SIMPLES COM 2 M DE SOLO (NÃO INCLUI FORNECIMENTO). AF_11/2019</t>
  </si>
  <si>
    <t>100592</t>
  </si>
  <si>
    <t>ASSENTAMENTO DE POSTE DE CONCRETO COM COMPRIMENTO NOMINAL DE 14 M, CARGA NOMINAL MAIOR QUE 1000 DAN, ENGASTAMENTO SIMPLES COM 2 M DE SOLO (NÃO INCLUI FORNECIMENTO). AF_11/2019</t>
  </si>
  <si>
    <t>100593</t>
  </si>
  <si>
    <t>ASSENTAMENTO DE POSTE DE CONCRETO COM COMPRIMENTO NOMINAL DE 15 M, CARGA NOMINAL MENOR OU IGUAL A 1000 DAN, ENGASTAMENTO SIMPLES COM 2,1 M DE SOLO (NÃO INCLUI FORNECIMENTO). AF_11/2019</t>
  </si>
  <si>
    <t>100594</t>
  </si>
  <si>
    <t>ASSENTAMENTO DE POSTE DE CONCRETO COM COMPRIMENTO NOMINAL DE 15 M, CARGA NOMINAL MAIOR QUE 1000 DAN, ENGASTAMENTO SIMPLES COM 2,1 M DE SOLO (NÃO INCLUI FORNECIMENTO). AF_11/2019</t>
  </si>
  <si>
    <t>100595</t>
  </si>
  <si>
    <t>ASSENTAMENTO DE POSTE DE CONCRETO COM COMPRIMENTO NOMINAL DE 18 M, CARGA NOMINAL MENOR OU IGUAL A 1000 DAN, ENGASTAMENTO SIMPLES COM 2,4 M DE SOLO (NÃO INCLUI FORNECIMENTO). AF_11/2019</t>
  </si>
  <si>
    <t>100596</t>
  </si>
  <si>
    <t>ASSENTAMENTO DE POSTE DE CONCRETO COM COMPRIMENTO NOMINAL DE 18 M, CARGA NOMINAL MAIOR QUE 1000 DAN, ENGASTAMENTO SIMPLES COM 2,4 M DE SOLO (NÃO INCLUI FORNECIMENTO). AF_11/2019</t>
  </si>
  <si>
    <t>100597</t>
  </si>
  <si>
    <t>ASSENTAMENTO DE POSTE DE CONCRETO COM COMPRIMENTO NOMINAL DE 20 M, CARGA NOMINAL MENOR OU IGUAL A 1000 DAN, ENGASTAMENTO SIMPLES COM 2,6 M DE SOLO (NÃO INCLUI FORNECIMENTO). AF_11/2019</t>
  </si>
  <si>
    <t>100598</t>
  </si>
  <si>
    <t>ASSENTAMENTO DE POSTE DE CONCRETO COM COMPRIMENTO NOMINAL DE 20 M, CARGA NOMINAL MAIOR QUE 1000, ENGASTAMENTO SIMPLES COM 2,6 M DE SOLO (NÃO INCLUI FORNECIMENTO). AF_11/2019</t>
  </si>
  <si>
    <t>100599</t>
  </si>
  <si>
    <t>ASSENTAMENTO DE POSTE DE CONCRETO COM COMPRIMENTO NOMINAL DE 9 M, CARGA NOMINAL DE 150 DAN, ENGASTAMENTO BASE CONCRETADA COM 1 M DE CONCRETO E 0,5 M DE SOLO (NÃO INCLUI FORNECIMENTO). AF_11/2019</t>
  </si>
  <si>
    <t>100600</t>
  </si>
  <si>
    <t>ASSENTAMENTO DE POSTE DE CONCRETO COM COMPRIMENTO NOMINAL DE 9 M, CARGA NOMINAL DE 300 DAN, ENGASTAMENTO BASE CONCRETADA COM 1 M DE CONCRETO E 0,5 M DE SOLO (NÃO INCLUI FORNECIMENTO). AF_11/2019</t>
  </si>
  <si>
    <t>100601</t>
  </si>
  <si>
    <t>ASSENTAMENTO DE POSTE DE CONCRETO COM COMPRIMENTO NOMINAL DE 9 M, CARGA NOMINAL DE 400 DAN, ENGASTAMENTO BASE CONCRETADA COM 1 M DE CONCRETO E 0,5 M DE SOLO (NÃO INCLUI FORNECIMENTO). AF_11/2019</t>
  </si>
  <si>
    <t>100602</t>
  </si>
  <si>
    <t>ASSENTAMENTO DE POSTE DE CONCRETO COM COMPRIMENTO NOMINAL DE 9 M, CARGA NOMINAL DE 600 DAN, ENGASTAMENTO BASE CONCRETADA COM 1 M DE CONCRETO E 0,5 M DE SOLO (NÃO INCLUI FORNECIMENTO). AF_11/2019</t>
  </si>
  <si>
    <t>100603</t>
  </si>
  <si>
    <t>ASSENTAMENTO DE POSTE DE CONCRETO COM COMPRIMENTO NOMINAL DE 9 M, CARGA NOMINAL DE 1000 DAN, ENGASTAMENTO BASE CONCRETADA COM 1 M DE CONCRETO E 0,5 M DE SOLO (NÃO INCLUI FORNECIMENTO). AF_11/2019</t>
  </si>
  <si>
    <t>100604</t>
  </si>
  <si>
    <t>ASSENTAMENTO DE POSTE DE CONCRETO COM COMPRIMENTO NOMINAL DE 10 M, CARGA NOMINAL DE 300 DAN, ENGASTAMENTO BASE CONCRETADA COM 1 M DE CONCRETO E 0,6 M DE SOLO (NÃO INCLUI FORNECIMENTO). AF_11/2019</t>
  </si>
  <si>
    <t>100605</t>
  </si>
  <si>
    <t>ASSENTAMENTO DE POSTE DE CONCRETO COM COMPRIMENTO NOMINAL DE 10 M, CARGA NOMINAL DE 600 DAN, ENGASTAMENTO BASE CONCRETADA COM 1 M DE CONCRETO E 0,6 M DE SOLO (NÃO INCLUI FORNECIMENTO). AF_11/2019</t>
  </si>
  <si>
    <t>100606</t>
  </si>
  <si>
    <t>ASSENTAMENTO DE POSTE DE CONCRETO COM COMPRIMENTO NOMINAL DE 10 M, CARGA NOMINAL DE 1000 DAN, ENGASTAMENTO BASE CONCRETADA COM 1 M DE CONCRETO E 0,6 M DE SOLO (NÃO INCLUI FORNECIMENTO). AF_11/2019</t>
  </si>
  <si>
    <t>100607</t>
  </si>
  <si>
    <t>ASSENTAMENTO DE POSTE DE CONCRETO COM COMPRIMENTO NOMINAL DE 10,5 M, CARGA NOMINAL DE 300 DAN, ENGASTAMENTO BASE CONCRETADA COM 1 M DE CONCRETO E 0,65 M DE SOLO (NÃO INCLUI FORNECIMENTO). AF_11/2019</t>
  </si>
  <si>
    <t>100608</t>
  </si>
  <si>
    <t>ASSENTAMENTO DE POSTE DE CONCRETO COM COMPRIMENTO NOMINAL DE 10,5 M, CARGA NOMINAL DE 600 DAN, ENGASTAMENTO BASE CONCRETADA COM 1 M DE CONCRETO E 0,65 M DE SOLO (NÃO INCLUI FORNECIMENTO). AF_11/2019</t>
  </si>
  <si>
    <t>100609</t>
  </si>
  <si>
    <t>ASSENTAMENTO DE POSTE DE CONCRETO COM COMPRIMENTO NOMINAL DE 10,5 M, CARGA NOMINAL DE 1000 DAN, ENGASTAMENTO BASE CONCRETADA COM 1 M DE CONCRETO E 0,65 M DE SOLO (NÃO INCLUI FORNECIMENTO). AF_11/2019</t>
  </si>
  <si>
    <t>100610</t>
  </si>
  <si>
    <t>ASSENTAMENTO DE POSTE DE CONCRETO COM COMPRIMENTO NOMINAL DE 11 M, CARGA NOMINAL DE 300 DAN, ENGASTAMENTO BASE CONCRETADA COM 1 M DE CONCRETO E 0,7 M DE SOLO (NÃO INCLUI FORNECIMENTO). AF_11/2019</t>
  </si>
  <si>
    <t>100611</t>
  </si>
  <si>
    <t>ASSENTAMENTO DE POSTE DE CONCRETO COM COMPRIMENTO NOMINAL DE 11 M, CARGA NOMINAL DE 400 DAN, ENGASTAMENTO BASE CONCRETADA COM 1 M DE CONCRETO E 0,7 M DE SOLO (NÃO INCLUI FORNECIMENTO). AF_11/2019</t>
  </si>
  <si>
    <t>100612</t>
  </si>
  <si>
    <t>ASSENTAMENTO DE POSTE DE CONCRETO COM COMPRIMENTO NOMINAL DE 11 M, CARGA NOMINAL DE 600 DAN, ENGASTAMENTO BASE CONCRETADA COM 1 M DE CONCRETO E 0,7 M DE SOLO (NÃO INCLUI FORNECIMENTO). AF_11/2019</t>
  </si>
  <si>
    <t>100613</t>
  </si>
  <si>
    <t>ASSENTAMENTO DE POSTE DE CONCRETO COM COMPRIMENTO NOMINAL DE 11 M, CARGA NOMINAL DE 1000 DAN, ENGASTAMENTO BASE CONCRETADA COM 1 M DE CONCRETO E 0,7 M DE SOLO (NÃO INCLUI FORNECIMENTO). AF_11/2019</t>
  </si>
  <si>
    <t>100614</t>
  </si>
  <si>
    <t>ASSENTAMENTO DE POSTE DE CONCRETO COM COMPRIMENTO NOMINAL DE 12 M, CARGA NOMINAL DE 400 DAN, ENGASTAMENTO BASE CONCRETADA COM 1 M DE CONCRETO E 0,8 M DE SOLO (NÃO INCLUI FORNECIMENTO). AF_11/2019</t>
  </si>
  <si>
    <t>100615</t>
  </si>
  <si>
    <t>ASSENTAMENTO DE POSTE DE CONCRETO COM COMPRIMENTO NOMINAL DE 12 M, CARGA NOMINAL DE 600 DAN, ENGASTAMENTO BASE CONCRETADA COM 1 M DE CONCRETO E 0,8 M DE SOLO (NÃO INCLUI FORNECIMENTO). AF_11/2019</t>
  </si>
  <si>
    <t>100616</t>
  </si>
  <si>
    <t>ASSENTAMENTO DE POSTE DE CONCRETO COM COMPRIMENTO NOMINAL DE 12 M, CARGA NOMINAL DE 1000 DAN, ENGASTAMENTO BASE CONCRETADA COM 1 M DE CONCRETO E 0,8 M DE SOLO (NÃO INCLUI FORNECIMENTO). AF_11/2019</t>
  </si>
  <si>
    <t>100617</t>
  </si>
  <si>
    <t>ASSENTAMENTO DE POSTE DE CONCRETO COM COMPRIMENTO NOMINAL DE 13 M, CARGA NOMINAL DE 600 DAN, ENGASTAMENTO BASE CONCRETADA COM 1 M DE CONCRETO E 0,9 M DE SOLO (NÃO INCLUI FORNECIMENTO). AF_11/2019</t>
  </si>
  <si>
    <t>100618</t>
  </si>
  <si>
    <t>ASSENTAMENTO DE POSTE DE CONCRETO COM COMPRIMENTO NOMINAL DE 13 M, CARGA NOMINAL DE 1000 DAN, ENGASTAMENTO BASE CONCRETADA COM 1 M DE CONCRETO E 0,9 M DE SOLO - SOMENTE INSTALAÇÃO, SEM FORNECIMENTO. AF_11/2019</t>
  </si>
  <si>
    <t>100619</t>
  </si>
  <si>
    <t>POSTE DECORATIVO PARA JARDIM EM AÇO TUBULAR, H = *2,5* M, SEM LUMINÁRIA - FORNECIMENTO E INSTALAÇÃO. AF_11/2019</t>
  </si>
  <si>
    <t>100620</t>
  </si>
  <si>
    <t>POSTE DE AÇO CONICO CONTÍNUO CURVO SIMPLES, FLANGEADO, H=9M, INCLUSIVE LUMINÁRIA, SEM LÂMPADA - FORNECIMENTO E INSTALACAO. AF_11/2019</t>
  </si>
  <si>
    <t>100621</t>
  </si>
  <si>
    <t>POSTE DE AÇO CONICO CONTÍNUO CURVO DUPLO, FLANGEADO, H=9M, INCLUSIVE LUMINÁRIAS, SEM LÂMPADAS - FORNECIMENTO E INSTALACAO. AF_11/2019</t>
  </si>
  <si>
    <t>100622</t>
  </si>
  <si>
    <t>POSTE DE AÇO CONICO CONTÍNUO CURVO SIMPLES, ENGASTADO, H=9M, INCLUSIVE LUMINÁRIA, SEM LÂMPADA - FORNECIMENTO E INSTALACAO. AF_11/2019</t>
  </si>
  <si>
    <t>100623</t>
  </si>
  <si>
    <t>POSTE DE AÇO CONICO CONTÍNUO CURVO DUPLO, ENGASTADO, H=9M, INCLUSIVE LUMINÁRIAS, SEM LÂMPADAS - FORNECIMENTO E INSTALACAO. AF_11/2019</t>
  </si>
  <si>
    <t>97600</t>
  </si>
  <si>
    <t>REFLETOR EM ALUMÍNIO, DE SUPORTE E ALÇA, COM 1 LÂMPADA VAPOR DE MERCÚRIO DE 125 W, COM REATOR ALTO FATOR DE POTÊNCIA - FORNECIMENTO E INSTALAÇÃO. AF_02/2020</t>
  </si>
  <si>
    <t>97601</t>
  </si>
  <si>
    <t>REFLETOR EM ALUMÍNIO, DE SUPORTE E ALÇA, COM LÂMPADA VAPOR DE MERCÚRIO DE 250 W, COM REATOR ALTO FATOR DE POTÊNCIA - FORNECIMENTO E INSTALAÇÃO. AF_02/2020</t>
  </si>
  <si>
    <t>97605</t>
  </si>
  <si>
    <t>LUMINÁRIA ARANDELA TIPO MEIA LUA, DE SOBREPOR, COM 1 LÂMPADA LED DE 6 W, SEM REATOR - FORNECIMENTO E INSTALAÇÃO. AF_02/2020</t>
  </si>
  <si>
    <t>97606</t>
  </si>
  <si>
    <t>LUMINÁRIA ARANDELA TIPO MEIA LUA, DE SOBREPOR, COM 1 LÂMPADA FLUORESCENTE DE 15 W, SEM REATOR - FORNECIMENTO E INSTALAÇÃO. AF_02/2020</t>
  </si>
  <si>
    <t>97607</t>
  </si>
  <si>
    <t>LUMINÁRIA ARANDELA TIPO TARTARUGA, DE SOBREPOR, COM 1 LÂMPADA LED DE 6 W, SEM REATOR - FORNECIMENTO E INSTALAÇÃO. AF_02/2020</t>
  </si>
  <si>
    <t>97608</t>
  </si>
  <si>
    <t>LUMINÁRIA ARANDELA TIPO TARTARUGA, COM GRADE, DE SOBREPOR, COM 1 LÂMPADA FLUORESCENTE DE 15 W, SEM REATOR - FORNECIMENTO E INSTALAÇÃO. AF_02/2020</t>
  </si>
  <si>
    <t>96973</t>
  </si>
  <si>
    <t>96974</t>
  </si>
  <si>
    <t>96975</t>
  </si>
  <si>
    <t>96976</t>
  </si>
  <si>
    <t>96977</t>
  </si>
  <si>
    <t>96978</t>
  </si>
  <si>
    <t>96979</t>
  </si>
  <si>
    <t>96984</t>
  </si>
  <si>
    <t>96985</t>
  </si>
  <si>
    <t>96986</t>
  </si>
  <si>
    <t>96987</t>
  </si>
  <si>
    <t>96988</t>
  </si>
  <si>
    <t>96989</t>
  </si>
  <si>
    <t>98463</t>
  </si>
  <si>
    <t>96765</t>
  </si>
  <si>
    <t>98261</t>
  </si>
  <si>
    <t>CABO TELEFÔNICO CCI-50 1 PAR, INSTALADO EM ENTRADA DE EDIFICAÇÃO - FORNECIMENTO E INSTALAÇÃO. AF_11/2019</t>
  </si>
  <si>
    <t>98262</t>
  </si>
  <si>
    <t>CABO TELEFÔNICO CCI-50 2 PARES, SEM BLINDAGEM, INSTALADO EM ENTRADA DE EDIFICAÇÃO - FORNECIMENTO E INSTALAÇÃO. AF_11/2019</t>
  </si>
  <si>
    <t>98263</t>
  </si>
  <si>
    <t>CABO TELEFÔNICO CCI-50 3 PARES, SEM BLINDAGEM, INSTALADO EM ENTRADA DE EDIFICAÇÃO - FORNECIMENTO E INSTALAÇÃO. AF_11/2019</t>
  </si>
  <si>
    <t>98264</t>
  </si>
  <si>
    <t>CABO TELEFÔNICO CCI-50 4 PARES, SEM BLINDAGEM, INSTALADO EM ENTRADA DE EDIFICAÇÃO - FORNECIMENTO E INSTALAÇÃO. AF_11/2019</t>
  </si>
  <si>
    <t>98265</t>
  </si>
  <si>
    <t>CABO TELEFÔNICO CCI-50 5 PARES, SEM BLINDAGEM, INSTALADO EM ENTRADA DE EDIFICAÇÃO - FORNECIMENTO E INSTALAÇÃO. AF_11/2019</t>
  </si>
  <si>
    <t>5,44</t>
  </si>
  <si>
    <t>98266</t>
  </si>
  <si>
    <t>CABO TELEFÔNICO CCI-50 6 PARES, SEM BLINDAGEM, INSTALADO EM ENTRADA DE EDIFICAÇÃO - FORNECIMENTO E INSTALAÇÃO. AF_11/2019</t>
  </si>
  <si>
    <t>5,90</t>
  </si>
  <si>
    <t>98267</t>
  </si>
  <si>
    <t>CABO TELEFÔNICO CI-50 10 PARES INSTALADO EM ENTRADA DE EDIFICAÇÃO - FORNECIMENTO E INSTALAÇÃO. AF_11/2019</t>
  </si>
  <si>
    <t>98268</t>
  </si>
  <si>
    <t>CABO TELEFÔNICO CI-50 20 PARES INSTALADO EM ENTRADA DE EDIFICAÇÃO - FORNECIMENTO E INSTALAÇÃO. AF_11/2019</t>
  </si>
  <si>
    <t>16,48</t>
  </si>
  <si>
    <t>98269</t>
  </si>
  <si>
    <t>CABO TELEFÔNICO CI-50 30 PARES INSTALADO EM ENTRADA DE EDIFICAÇÃO - FORNECIMENTO E INSTALAÇÃO. AF_11/2019</t>
  </si>
  <si>
    <t>98270</t>
  </si>
  <si>
    <t>CABO TELEFÔNICO CI-50 50 PARES INSTALADO EM ENTRADA DE EDIFICAÇÃO - FORNECIMENTO E INSTALAÇÃO. AF_11/2019</t>
  </si>
  <si>
    <t>98271</t>
  </si>
  <si>
    <t>CABO TELEFÔNICO CI-50 75 PARES INSTALADO EM ENTRADA DE EDIFICAÇÃO - FORNECIMENTO E INSTALAÇÃO. AF_11/2019</t>
  </si>
  <si>
    <t>98272</t>
  </si>
  <si>
    <t>CABO TELEFÔNICO CI-50 200 PARES INSTALADO EM ENTRADA DE EDIFICAÇÃO - FORNECIMENTO E INSTALAÇÃO. AF_11/2019</t>
  </si>
  <si>
    <t>98273</t>
  </si>
  <si>
    <t>CABO TELEFÔNICO CCI-50 4 PARES, SEM BLINDAGEM, INSTALADO EM PRUMADA - FORNECIMENTO E INSTALAÇÃO. AF_11/2019</t>
  </si>
  <si>
    <t>98274</t>
  </si>
  <si>
    <t>CABO TELEFÔNICO CCI-50 5 PARES, SEM BLINDAGEM, INSTALADO EM PRUMADA - FORNECIMENTO E INSTALAÇÃO. AF_11/2019</t>
  </si>
  <si>
    <t>98275</t>
  </si>
  <si>
    <t>CABO TELEFÔNICO CCI-50 6 PARES, SEM BLINDAGEM, INSTALADO EM PRUMADA - FORNECIMENTO E INSTALAÇÃO. AF_11/2019</t>
  </si>
  <si>
    <t>3,71</t>
  </si>
  <si>
    <t>98276</t>
  </si>
  <si>
    <t>CABO TELEFÔNICO CI-50 10 PARES INSTALADO EM PRUMADA - FORNECIMENTO E INSTALAÇÃO. AF_11/2019</t>
  </si>
  <si>
    <t>98277</t>
  </si>
  <si>
    <t>CABO TELEFÔNICO CI-50 20 PARES INSTALADO EM PRUMADA - FORNECIMENTO E INSTALAÇÃO. AF_11/2019</t>
  </si>
  <si>
    <t>14,30</t>
  </si>
  <si>
    <t>98278</t>
  </si>
  <si>
    <t>CABO TELEFÔNICO CI-50 30 PARES INSTALADO EM PRUMADA - FORNECIMENTO E INSTALAÇÃO. AF_11/2019</t>
  </si>
  <si>
    <t>98279</t>
  </si>
  <si>
    <t>CABO TELEFÔNICO CI-50 50 PARES INSTALADO EM PRUMADA - FORNECIMENTO E INSTALAÇÃO. AF_11/2019</t>
  </si>
  <si>
    <t>98280</t>
  </si>
  <si>
    <t>CABO TELEFÔNICO CCI-50 1 PAR, SEM BLINDAGEM, INSTALADO EM DISTRIBUIÇÃO DE EDIFICAÇÃO RESIDENCIAL - FORNECIMENTO E INSTALAÇÃO. AF_11/2019</t>
  </si>
  <si>
    <t>5,67</t>
  </si>
  <si>
    <t>98281</t>
  </si>
  <si>
    <t>CABO TELEFÔNICO CCI-50 2 PARES, SEM BLINDAGEM, INSTALADO EM DISTRIBUIÇÃO DE EDIFICAÇÃO RESIDENCIAL - FORNECIMENTO E INSTALAÇÃO. AF_11/2019</t>
  </si>
  <si>
    <t>6,22</t>
  </si>
  <si>
    <t>98282</t>
  </si>
  <si>
    <t>CABO TELEFÔNICO CCI-50 3 PARES, SEM BLINDAGEM, INSTALADO EM DISTRIBUIÇÃO DE EDIFICAÇÃO RESIDENCIAL - FORNECIMENTO E INSTALAÇÃO. AF_11/2019</t>
  </si>
  <si>
    <t>98283</t>
  </si>
  <si>
    <t>CABO TELEFÔNICO CCI-50 4 PARES, SEM BLINDAGEM, INSTALADO EM DISTRIBUIÇÃO DE EDIFICAÇÃO RESIDENCIAL - FORNECIMENTO E INSTALAÇÃO. AF_11/2019</t>
  </si>
  <si>
    <t>98284</t>
  </si>
  <si>
    <t>CABO TELEFÔNICO CCI-50 5 PARES, SEM BLINDAGEM, INSTALADO EM DISTRIBUIÇÃO DE EDIFICAÇÃO RESIDENCIAL - FORNECIMENTO E INSTALAÇÃO. AF_11/2019</t>
  </si>
  <si>
    <t>98285</t>
  </si>
  <si>
    <t>CABO TELEFÔNICO CCI-50 6 PARES, SEM BLINDAGEM, INSTALADO EM DISTRIBUIÇÃO DE EDIFICAÇÃO RESIDENCIAL - FORNECIMENTO E INSTALAÇÃO. AF_11/2019</t>
  </si>
  <si>
    <t>98286</t>
  </si>
  <si>
    <t>CABO TELEFÔNICO CI-50 10 PARES INSTALADO EM DISTRIBUIÇÃO DE EDIFICAÇÃO RESIDENCIAL - FORNECIMENTO E INSTALAÇÃO. AF_11/2019</t>
  </si>
  <si>
    <t>98287</t>
  </si>
  <si>
    <t>CABO TELEFÔNICO CCI-50 1 PAR, SEM BLINDAGEM, INSTALADO EM DISTRIBUIÇÃO DE EDIFICAÇÃO INSTITUCIONAL - FORNECIMENTO E INSTALAÇÃO. AF_11/2019</t>
  </si>
  <si>
    <t>1,16</t>
  </si>
  <si>
    <t>98288</t>
  </si>
  <si>
    <t>CABO TELEFÔNICO CCI-50 2 PARES, SEM BLINDAGEM, INSTALADO EM DISTRIBUIÇÃO DE EDIFICAÇÃO INSTITUCIONAL - FORNECIMENTO E INSTALAÇÃO. AF_11/2019</t>
  </si>
  <si>
    <t>98289</t>
  </si>
  <si>
    <t>CABO TELEFÔNICO CCI-50 3 PARES, SEM BLINDAGEM, INSTALADO EM DISTRIBUIÇÃO DE EDIFICAÇÃO INSTITUCIONAL - FORNECIMENTO E INSTALAÇÃO. AF_11/2019</t>
  </si>
  <si>
    <t>98290</t>
  </si>
  <si>
    <t>CABO TELEFÔNICO CCI-50 4 PARES, SEM BLINDAGEM, INSTALADO EM DISTRIBUIÇÃO DE EDIFICAÇÃO INSTITUCIONAL - FORNECIMENTO E INSTALAÇÃO. AF_11/2019</t>
  </si>
  <si>
    <t>98291</t>
  </si>
  <si>
    <t>CABO TELEFÔNICO CCI-50 5 PARES, SEM BLINDAGEM, INSTALADO EM DISTRIBUIÇÃO DE EDIFICAÇÃO INSTITUCIONAL - FORNECIMENTO E INSTALAÇÃO. AF_11/2019</t>
  </si>
  <si>
    <t>98292</t>
  </si>
  <si>
    <t>CABO TELEFÔNICO CCI-50 6 PARES, SEM BLINDAGEM, INSTALADO EM DISTRIBUIÇÃO DE EDIFICAÇÃO INSTITUCIONAL - FORNECIMENTO E INSTALAÇÃO. AF_11/2019</t>
  </si>
  <si>
    <t>98293</t>
  </si>
  <si>
    <t>CABO TELEFÔNICO CI-50 10 PARES INSTALADO EM DISTRIBUIÇÃO DE EDIFICAÇÃO INSTITUCIONAL - FORNECIMENTO E INSTALAÇÃO. AF_11/2019</t>
  </si>
  <si>
    <t>8,20</t>
  </si>
  <si>
    <t>98400</t>
  </si>
  <si>
    <t>CABO TELEFÔNICO CTP-APL-50 10 PARES INSTALADO EM ENTRADA DE EDIFICAÇÃO - FORNECIMENTO E INSTALAÇÃO. AF_11/2019</t>
  </si>
  <si>
    <t>12,21</t>
  </si>
  <si>
    <t>98401</t>
  </si>
  <si>
    <t>CABO TELEFÔNICO CTP-APL-50 20 PARES INSTALADO EM ENTRADA DE EDIFICAÇÃO - FORNECIMENTO E INSTALAÇÃO. AF_11/2019</t>
  </si>
  <si>
    <t>98402</t>
  </si>
  <si>
    <t>CABO TELEFÔNICO CTP-APL-50 30 PARES INSTALADO EM ENTRADA DE EDIFICAÇÃO - FORNECIMENTO E INSTALAÇÃO. AF_11/2019</t>
  </si>
  <si>
    <t>100556</t>
  </si>
  <si>
    <t>CAIXA DE PASSAGEM PARA TELEFONE 15X15X10CM (SOBREPOR), FORNECIMENTO E INSTALACAO. AF_11/2019</t>
  </si>
  <si>
    <t>100557</t>
  </si>
  <si>
    <t>CAIXA DE PASSAGEM PARA TELEFONE 80X80X15CM (SOBREPOR) FORNECIMENTO E INSTALACAO. AF_11/2019</t>
  </si>
  <si>
    <t>100560</t>
  </si>
  <si>
    <t>QUADRO DE DISTRIBUIÇÃO PARA TELEFONE N.2, 20X20X12CM EM CHAPA METALICA, DE EMBUTIR, SEM ACESSORIOS, PADRÃO TELEBRAS, FORNECIMENTO E INSTALAÇÃO. AF_11/2019</t>
  </si>
  <si>
    <t>100561</t>
  </si>
  <si>
    <t>QUADRO DE DISTRIBUICAO PARA TELEFONE N.3, 40X40X12CM EM CHAPA METALICA, DE EMBUTIR, SEM ACESSORIOS, PADRAO TELEBRAS, FORNECIMENTO E INSTALAÇÃO. AF_11/2019</t>
  </si>
  <si>
    <t>100562</t>
  </si>
  <si>
    <t>QUADRO DE DISTRIBUICAO PARA TELEFONE N.4, 60X60X12CM EM CHAPA METALICA, DE EMBUTIR, SEM ACESSORIOS, PADRAO TELEBRAS, FORNECIMENTO E INSTALAÇÃO. AF_11/2019</t>
  </si>
  <si>
    <t>100563</t>
  </si>
  <si>
    <t>QUADRO DE DISTRIBUIÇÃO PARA TELEFONE N.5, 80X80X12CM EM CHAPA METALICA, SEM ACESSORIOS, PADRAO TELEBRAS, FORNECIMENTO E INSTALAÇÃO. AF_11/2019</t>
  </si>
  <si>
    <t>98397</t>
  </si>
  <si>
    <t>PINTURA ANTICORROSIVA DE DUTO METÁLICO. AF_04/2018</t>
  </si>
  <si>
    <t>98294</t>
  </si>
  <si>
    <t>CABO ELETRÔNICO CATEGORIA 5E, INSTALADO EM EDIFICAÇÃO RESIDENCIAL - FORNECIMENTO E INSTALAÇÃO. AF_11/2019</t>
  </si>
  <si>
    <t>98295</t>
  </si>
  <si>
    <t>CABO ELETRÔNICO CATEGORIA 5E, INSTALADO EM EDIFICAÇÃO INSTITUCIONAL - FORNECIMENTO E INSTALAÇÃO. AF_11/2019</t>
  </si>
  <si>
    <t>98296</t>
  </si>
  <si>
    <t>CABO ELETRÔNICO CATEGORIA 6, INSTALADO EM EDIFICAÇÃO RESIDENCIAL - FORNECIMENTO E INSTALAÇÃO. AF_11/2019</t>
  </si>
  <si>
    <t>98297</t>
  </si>
  <si>
    <t>CABO ELETRÔNICO CATEGORIA 6, INSTALADO EM EDIFICAÇÃO INSTITUCIONAL - FORNECIMENTO E INSTALAÇÃO. AF_11/2019</t>
  </si>
  <si>
    <t>98301</t>
  </si>
  <si>
    <t>PATCH PANEL 24 PORTAS, CATEGORIA 5E - FORNECIMENTO E INSTALAÇÃO. AF_11/2019</t>
  </si>
  <si>
    <t>98302</t>
  </si>
  <si>
    <t>PATCH PANEL 24 PORTAS, CATEGORIA 6 - FORNECIMENTO E INSTALAÇÃO. AF_11/2019</t>
  </si>
  <si>
    <t>98304</t>
  </si>
  <si>
    <t>PATCH PANEL 48 PORTAS, CATEGORIA 6 - FORNECIMENTO E INSTALAÇÃO. AF_11/2019</t>
  </si>
  <si>
    <t>98307</t>
  </si>
  <si>
    <t>TOMADA DE REDE RJ45 - FORNECIMENTO E INSTALAÇÃO. AF_11/2019</t>
  </si>
  <si>
    <t>98308</t>
  </si>
  <si>
    <t>TOMADA PARA TELEFONE RJ11 - FORNECIMENTO E INSTALAÇÃO. AF_11/2019</t>
  </si>
  <si>
    <t>98593</t>
  </si>
  <si>
    <t>PATCH PANEL 48 PORTAS, CATEGORIA 5E - FORNECIMENTO E INSTALAÇÃO. AF_11/2019</t>
  </si>
  <si>
    <t>89355</t>
  </si>
  <si>
    <t>89356</t>
  </si>
  <si>
    <t>89357</t>
  </si>
  <si>
    <t>89401</t>
  </si>
  <si>
    <t>89402</t>
  </si>
  <si>
    <t>89403</t>
  </si>
  <si>
    <t>89446</t>
  </si>
  <si>
    <t>89447</t>
  </si>
  <si>
    <t>89448</t>
  </si>
  <si>
    <t>89449</t>
  </si>
  <si>
    <t>89450</t>
  </si>
  <si>
    <t>89451</t>
  </si>
  <si>
    <t>89452</t>
  </si>
  <si>
    <t>89508</t>
  </si>
  <si>
    <t>89509</t>
  </si>
  <si>
    <t>89511</t>
  </si>
  <si>
    <t>89512</t>
  </si>
  <si>
    <t>89576</t>
  </si>
  <si>
    <t>89578</t>
  </si>
  <si>
    <t>89580</t>
  </si>
  <si>
    <t>89633</t>
  </si>
  <si>
    <t>15,95</t>
  </si>
  <si>
    <t>89634</t>
  </si>
  <si>
    <t>89635</t>
  </si>
  <si>
    <t>89636</t>
  </si>
  <si>
    <t>89711</t>
  </si>
  <si>
    <t>89712</t>
  </si>
  <si>
    <t>89713</t>
  </si>
  <si>
    <t>89714</t>
  </si>
  <si>
    <t>89716</t>
  </si>
  <si>
    <t>15,56</t>
  </si>
  <si>
    <t>89717</t>
  </si>
  <si>
    <t>89770</t>
  </si>
  <si>
    <t>89771</t>
  </si>
  <si>
    <t>89773</t>
  </si>
  <si>
    <t>89775</t>
  </si>
  <si>
    <t>89798</t>
  </si>
  <si>
    <t>89799</t>
  </si>
  <si>
    <t>89800</t>
  </si>
  <si>
    <t>89848</t>
  </si>
  <si>
    <t>89849</t>
  </si>
  <si>
    <t>89865</t>
  </si>
  <si>
    <t>91784</t>
  </si>
  <si>
    <t>(COMPOSIÇÃO REPRESENTATIVA) DO SERVIÇO DE INSTALAÇÃO DE TUBOS DE PVC, SOLDÁVEL, ÁGUA FRIA, DN 20 MM (INSTALADO EM RAMAL, SUB-RAMAL OU RAMAL DE DISTRIBUIÇÃO), INCLUSIVE CONEXÕES, CORTES E FIXAÇÕES, PARA PRÉDIOS. AF_10/2015</t>
  </si>
  <si>
    <t>91785</t>
  </si>
  <si>
    <t>(COMPOSIÇÃO REPRESENTATIVA) DO SERVIÇO DE INSTALAÇÃO DE TUBOS DE PVC, SOLDÁVEL, ÁGUA FRIA, DN 25 MM (INSTALADO EM RAMAL, SUB-RAMAL, RAMAL DE DISTRIBUIÇÃO OU PRUMADA), INCLUSIVE CONEXÕES, CORTES E FIXAÇÕES, PARA PRÉDIOS. AF_10/2015</t>
  </si>
  <si>
    <t>91786</t>
  </si>
  <si>
    <t>(COMPOSIÇÃO REPRESENTATIVA) DO SERVIÇO DE INSTALAÇÃO TUBOS DE PVC, SOLDÁVEL, ÁGUA FRIA, DN 32 MM (INSTALADO EM RAMAL, SUB-RAMAL, RAMAL DE DISTRIBUIÇÃO OU PRUMADA), INCLUSIVE CONEXÕES, CORTES E FIXAÇÕES, PARA PRÉDIOS. AF_10/2015</t>
  </si>
  <si>
    <t>91787</t>
  </si>
  <si>
    <t>(COMPOSIÇÃO REPRESENTATIVA) DO SERVIÇO DE INSTALAÇÃO DE TUBOS DE PVC, SOLDÁVEL, ÁGUA FRIA, DN 40 MM (INSTALADO EM PRUMADA), INCLUSIVE CONEXÕES, CORTES E FIXAÇÕES, PARA PRÉDIOS. AF_10/2015</t>
  </si>
  <si>
    <t>91788</t>
  </si>
  <si>
    <t>(COMPOSIÇÃO REPRESENTATIVA) DO SERVIÇO DE INSTALAÇÃO DE TUBOS DE PVC, SOLDÁVEL, ÁGUA FRIA, DN 50 MM (INSTALADO EM PRUMADA), INCLUSIVE CONEXÕES, CORTES E FIXAÇÕES, PARA PRÉDIOS. AF_10/2015</t>
  </si>
  <si>
    <t>91789</t>
  </si>
  <si>
    <t>(COMPOSIÇÃO REPRESENTATIVA) DO SERVIÇO DE INSTALAÇÃO DE TUBOS DE PVC, SÉRIE R, ÁGUA PLUVIAL, DN 75 MM (INSTALADO EM RAMAL DE ENCAMINHAMENTO, OU CONDUTORES VERTICAIS), INCLUSIVE CONEXÕES, CORTE E FIXAÇÕES, PARA PRÉDIOS. AF_10/2015</t>
  </si>
  <si>
    <t>91790</t>
  </si>
  <si>
    <t>(COMPOSIÇÃO REPRESENTATIVA) DO SERVIÇO DE INSTALAÇÃO DE TUBOS DE PVC, SÉRIE R, ÁGUA PLUVIAL, DN 100 MM (INSTALADO EM RAMAL DE ENCAMINHAMENTO, OU CONDUTORES VERTICAIS), INCLUSIVE CONEXÕES, CORTES E FIXAÇÕES, PARA PRÉDIOS. AF_10/2015</t>
  </si>
  <si>
    <t>91791</t>
  </si>
  <si>
    <t>(COMPOSIÇÃO REPRESENTATIVA) DO SERVIÇO DE INSTALAÇÃO DE TUBOS DE PVC, SÉRIE R, ÁGUA PLUVIAL, DN 150 MM (INSTALADO EM CONDUTORES VERTICAIS), INCLUSIVE CONEXÕES, CORTES E FIXAÇÕES, PARA PRÉDIOS. AF_10/2015</t>
  </si>
  <si>
    <t>91792</t>
  </si>
  <si>
    <t>(COMPOSIÇÃO REPRESENTATIVA) DO SERVIÇO DE INSTALAÇÃO DE TUBO DE PVC, SÉRIE NORMAL, ESGOTO PREDIAL, DN 40 MM (INSTALADO EM RAMAL DE DESCARGA OU RAMAL DE ESGOTO SANITÁRIO), INCLUSIVE CONEXÕES, CORTES E FIXAÇÕES, PARA PRÉDIOS. AF_10/2015</t>
  </si>
  <si>
    <t>91793</t>
  </si>
  <si>
    <t>(COMPOSIÇÃO REPRESENTATIVA) DO SERVIÇO DE INSTALAÇÃO DE TUBO DE PVC, SÉRIE NORMAL, ESGOTO PREDIAL, DN 50 MM (INSTALADO EM RAMAL DE DESCARGA OU RAMAL DE ESGOTO SANITÁRIO), INCLUSIVE CONEXÕES, CORTES E FIXAÇÕES PARA, PRÉDIOS. AF_10/2015</t>
  </si>
  <si>
    <t>91794</t>
  </si>
  <si>
    <t>(COMPOSIÇÃO REPRESENTATIVA) DO SERVIÇO DE INST. TUBO PVC, SÉRIE N, ESGOTO PREDIAL, DN 75 MM, (INST. EM RAMAL DE DESCARGA, RAMAL DE ESG. SANITÁRIO, PRUMADA DE ESG. SANITÁRIO OU VENTILAÇÃO), INCL. CONEXÕES, CORTES E FIXAÇÕES, P/ PRÉDIOS. AF_10/2015</t>
  </si>
  <si>
    <t>91795</t>
  </si>
  <si>
    <t>(COMPOSIÇÃO REPRESENTATIVA) DO SERVIÇO DE INST. TUBO PVC, SÉRIE N, ESGOTO PREDIAL, 100 MM (INST. RAMAL DESCARGA, RAMAL DE ESG. SANIT., PRUMADA ESG. SANIT., VENTILAÇÃO OU SUB-COLETOR AÉREO), INCL. CONEXÕES E CORTES, FIXAÇÕES, P/ PRÉDIOS. AF_10/2015</t>
  </si>
  <si>
    <t>91796</t>
  </si>
  <si>
    <t>(COMPOSIÇÃO REPRESENTATIVA) DO SERVIÇO DE INSTALAÇÃO DE TUBO DE PVC, SÉRIE NORMAL, ESGOTO PREDIAL, DN 150 MM (INSTALADO EM SUB-COLETOR AÉREO), INCLUSIVE CONEXÕES, CORTES E FIXAÇÕES, PARA PRÉDIOS. AF_10/2015</t>
  </si>
  <si>
    <t>92275</t>
  </si>
  <si>
    <t>92276</t>
  </si>
  <si>
    <t>92277</t>
  </si>
  <si>
    <t>92278</t>
  </si>
  <si>
    <t>92279</t>
  </si>
  <si>
    <t>92280</t>
  </si>
  <si>
    <t>92281</t>
  </si>
  <si>
    <t>92282</t>
  </si>
  <si>
    <t>92283</t>
  </si>
  <si>
    <t>92284</t>
  </si>
  <si>
    <t>92285</t>
  </si>
  <si>
    <t>92286</t>
  </si>
  <si>
    <t>92305</t>
  </si>
  <si>
    <t>92306</t>
  </si>
  <si>
    <t>92307</t>
  </si>
  <si>
    <t>92308</t>
  </si>
  <si>
    <t>92309</t>
  </si>
  <si>
    <t>92310</t>
  </si>
  <si>
    <t>92320</t>
  </si>
  <si>
    <t>92321</t>
  </si>
  <si>
    <t>92322</t>
  </si>
  <si>
    <t>92323</t>
  </si>
  <si>
    <t>92324</t>
  </si>
  <si>
    <t>92325</t>
  </si>
  <si>
    <t>92335</t>
  </si>
  <si>
    <t>92336</t>
  </si>
  <si>
    <t>92337</t>
  </si>
  <si>
    <t>92338</t>
  </si>
  <si>
    <t>92339</t>
  </si>
  <si>
    <t>92341</t>
  </si>
  <si>
    <t>92342</t>
  </si>
  <si>
    <t>92343</t>
  </si>
  <si>
    <t>92361</t>
  </si>
  <si>
    <t>92362</t>
  </si>
  <si>
    <t>92364</t>
  </si>
  <si>
    <t>92365</t>
  </si>
  <si>
    <t>92366</t>
  </si>
  <si>
    <t>92367</t>
  </si>
  <si>
    <t>92368</t>
  </si>
  <si>
    <t>92648</t>
  </si>
  <si>
    <t>92649</t>
  </si>
  <si>
    <t>92650</t>
  </si>
  <si>
    <t>92652</t>
  </si>
  <si>
    <t>92653</t>
  </si>
  <si>
    <t>92654</t>
  </si>
  <si>
    <t>92655</t>
  </si>
  <si>
    <t>92656</t>
  </si>
  <si>
    <t>92687</t>
  </si>
  <si>
    <t>92688</t>
  </si>
  <si>
    <t>92689</t>
  </si>
  <si>
    <t>92690</t>
  </si>
  <si>
    <t>94462</t>
  </si>
  <si>
    <t>TUBO DE AÇO GALVANIZADO COM COSTURA, CLASSE MÉDIA, DN 50 (2), CONEXÃO ROSQUEADA, INSTALADO EM RESERVAÇÃO DE ÁGUA DE EDIFICAÇÃO QUE POSSUA RESERVATÓRIO DE FIBRA/FIBROCIMENTO  FORNECIMENTO E INSTALAÇÃO. AF_06/2016</t>
  </si>
  <si>
    <t>94463</t>
  </si>
  <si>
    <t>TUBO DE AÇO GALVANIZADO COM COSTURA, CLASSE MÉDIA, DN 65 (2 1/2), CONEXÃO ROSQUEADA, INSTALADO EM RESERVAÇÃO DE ÁGUA DE EDIFICAÇÃO QUE POSSUA RESERVATÓRIO DE FIBRA/FIBROCIMENTO  FORNECIMENTO E INSTALAÇÃO. AF_06/2016</t>
  </si>
  <si>
    <t>94464</t>
  </si>
  <si>
    <t>TUBO DE AÇO GALVANIZADO COM COSTURA, CLASSE MÉDIA, DN 80 (3), CONEXÃO ROSQUEADA, INSTALADO EM RESERVAÇÃO DE ÁGUA DE EDIFICAÇÃO QUE POSSUA RESERVATÓRIO DE FIBRA/FIBROCIMENTO  FORNECIMENTO E INSTALAÇÃO. AF_06/2016</t>
  </si>
  <si>
    <t>94602</t>
  </si>
  <si>
    <t>TUBO EM COBRE RÍGIDO, DN 54 MM, CLASSE E, SEM ISOLAMENTO, INSTALADO EM RESERVAÇÃO DE ÁGUA DE EDIFICAÇÃO QUE POSSUA RESERVATÓRIO DE FIBRA/FIBROCIMENTO  FORNECIMENTO E INSTALAÇÃO. AF_06/2016</t>
  </si>
  <si>
    <t>94603</t>
  </si>
  <si>
    <t>TUBO EM COBRE RÍGIDO, DN 66 MM, CLASSE E, SEM ISOLAMENTO, INSTALADO EM RESERVAÇÃO DE ÁGUA DE EDIFICAÇÃO QUE POSSUA RESERVATÓRIO DE FIBRA/FIBROCIMENTO  FORNECIMENTO E INSTALAÇÃO. AF_06/2016</t>
  </si>
  <si>
    <t>94604</t>
  </si>
  <si>
    <t>TUBO EM COBRE RÍGIDO, DN 79 MM, CLASSE E, SEM ISOLAMENTO, INSTALADO EM RESERVAÇÃO DE ÁGUA DE EDIFICAÇÃO QUE POSSUA RESERVATÓRIO DE FIBRA/FIBROCIMENTO  FORNECIMENTO E INSTALAÇÃO. AF_06/2016</t>
  </si>
  <si>
    <t>94605</t>
  </si>
  <si>
    <t>TUBO EM COBRE RÍGIDO, DN 104 MM, CLASSE E, SEM ISOLAMENTO, INSTALADO EM RESERVAÇÃO DE ÁGUA DE EDIFICAÇÃO QUE POSSUA RESERVATÓRIO DE FIBRA/FIBROCIMENTO  FORNECIMENTO E INSTALAÇÃO. AF_06/2016</t>
  </si>
  <si>
    <t>94648</t>
  </si>
  <si>
    <t>TUBO, PVC, SOLDÁVEL, DN  25 MM, INSTALADO EM RESERVAÇÃO DE ÁGUA DE EDIFICAÇÃO QUE POSSUA RESERVATÓRIO DE FIBRA/FIBROCIMENTO   FORNECIMENTO E INSTALAÇÃO. AF_06/2016</t>
  </si>
  <si>
    <t>94649</t>
  </si>
  <si>
    <t>TUBO, PVC, SOLDÁVEL, DN 32 MM, INSTALADO EM RESERVAÇÃO DE ÁGUA DE EDIFICAÇÃO QUE POSSUA RESERVATÓRIO DE FIBRA/FIBROCIMENTO   FORNECIMENTO E INSTALAÇÃO. AF_06/2016</t>
  </si>
  <si>
    <t>94650</t>
  </si>
  <si>
    <t>TUBO, PVC, SOLDÁVEL, DN 40 MM, INSTALADO EM RESERVAÇÃO DE ÁGUA DE EDIFICAÇÃO QUE POSSUA RESERVATÓRIO DE FIBRA/FIBROCIMENTO   FORNECIMENTO E INSTALAÇÃO. AF_06/2016</t>
  </si>
  <si>
    <t>94651</t>
  </si>
  <si>
    <t>TUBO, PVC, SOLDÁVEL, DN 50 MM, INSTALADO EM RESERVAÇÃO DE ÁGUA DE EDIFICAÇÃO QUE POSSUA RESERVATÓRIO DE FIBRA/FIBROCIMENTO   FORNECIMENTO E INSTALAÇÃO. AF_06/2016</t>
  </si>
  <si>
    <t>94652</t>
  </si>
  <si>
    <t>TUBO, PVC, SOLDÁVEL, DN 60 MM, INSTALADO EM RESERVAÇÃO DE ÁGUA DE EDIFICAÇÃO QUE POSSUA RESERVATÓRIO DE FIBRA/FIBROCIMENTO   FORNECIMENTO E INSTALAÇÃO. AF_06/2016</t>
  </si>
  <si>
    <t>94653</t>
  </si>
  <si>
    <t>TUBO, PVC, SOLDÁVEL, DN 75 MM, INSTALADO EM RESERVAÇÃO DE ÁGUA DE EDIFICAÇÃO QUE POSSUA RESERVATÓRIO DE FIBRA/FIBROCIMENTO   FORNECIMENTO E INSTALAÇÃO. AF_06/2016</t>
  </si>
  <si>
    <t>94654</t>
  </si>
  <si>
    <t>TUBO, PVC, SOLDÁVEL, DN 85 MM, INSTALADO EM RESERVAÇÃO DE ÁGUA DE EDIFICAÇÃO QUE POSSUA RESERVATÓRIO DE FIBRA/FIBROCIMENTO   FORNECIMENTO E INSTALAÇÃO. AF_06/2016</t>
  </si>
  <si>
    <t>94655</t>
  </si>
  <si>
    <t>TUBO, PVC, SOLDÁVEL, DN 110 MM, INSTALADO EM RESERVAÇÃO DE ÁGUA DE EDIFICAÇÃO QUE POSSUA RESERVATÓRIO DE FIBRA/FIBROCIMENTO   FORNECIMENTO E INSTALAÇÃO. AF_06/2016</t>
  </si>
  <si>
    <t>94716</t>
  </si>
  <si>
    <t>TUBO, CPVC, SOLDÁVEL, DN 22 MM, INSTALADO EM RESERVAÇÃO DE ÁGUA DE EDIFICAÇÃO QUE POSSUA RESERVATÓRIO DE FIBRA/FIBROCIMENTO  FORNECIMENTO E INSTALAÇÃO. AF_06/2016</t>
  </si>
  <si>
    <t>94717</t>
  </si>
  <si>
    <t>TUBO, CPVC, SOLDÁVEL, DN 28 MM, INSTALADO EM RESERVAÇÃO DE ÁGUA DE EDIFICAÇÃO QUE POSSUA RESERVATÓRIO DE FIBRA/FIBROCIMENTO  FORNECIMENTO E INSTALAÇÃO. AF_06/2016</t>
  </si>
  <si>
    <t>94718</t>
  </si>
  <si>
    <t>TUBO, CPVC, SOLDÁVEL, DN 35 MM, INSTALADO EM RESERVAÇÃO DE ÁGUA DE EDIFICAÇÃO QUE POSSUA RESERVATÓRIO DE FIBRA/FIBROCIMENTO  FORNECIMENTO E INSTALAÇÃO. AF_06/2016</t>
  </si>
  <si>
    <t>94719</t>
  </si>
  <si>
    <t>TUBO, CPVC, SOLDÁVEL, DN 42 MM, INSTALADO EM RESERVAÇÃO DE ÁGUA DE EDIFICAÇÃO QUE POSSUA RESERVATÓRIO DE FIBRA/FIBROCIMENTO  FORNECIMENTO E INSTALAÇÃO. AF_06/2016</t>
  </si>
  <si>
    <t>94720</t>
  </si>
  <si>
    <t>TUBO, CPVC, SOLDÁVEL, DN 54 MM, INSTALADO EM RESERVAÇÃO DE ÁGUA DE EDIFICAÇÃO QUE POSSUA RESERVATÓRIO DE FIBRA/FIBROCIMENTO  FORNECIMENTO E INSTALAÇÃO. AF_06/2016</t>
  </si>
  <si>
    <t>94721</t>
  </si>
  <si>
    <t>TUBO, CPVC, SOLDÁVEL, DN 73 MM, INSTALADO EM RESERVAÇÃO DE ÁGUA DE EDIFICAÇÃO QUE POSSUA RESERVATÓRIO DE FIBRA/FIBROCIMENTO  FORNECIMENTO E INSTALAÇÃO. AF_06/2016</t>
  </si>
  <si>
    <t>94722</t>
  </si>
  <si>
    <t>TUBO, CPVC, SOLDÁVEL, DN 89 MM, INSTALADO EM RESERVAÇÃO DE ÁGUA DE EDIFICAÇÃO QUE POSSUA RESERVATÓRIO DE FIBRA/FIBROCIMENTO  FORNECIMENTO E INSTALAÇÃO. AF_06/2016</t>
  </si>
  <si>
    <t>95697</t>
  </si>
  <si>
    <t>96635</t>
  </si>
  <si>
    <t>96636</t>
  </si>
  <si>
    <t>96644</t>
  </si>
  <si>
    <t>96645</t>
  </si>
  <si>
    <t>96646</t>
  </si>
  <si>
    <t>96647</t>
  </si>
  <si>
    <t>96648</t>
  </si>
  <si>
    <t>96649</t>
  </si>
  <si>
    <t>96668</t>
  </si>
  <si>
    <t>96669</t>
  </si>
  <si>
    <t>96670</t>
  </si>
  <si>
    <t>96671</t>
  </si>
  <si>
    <t>96672</t>
  </si>
  <si>
    <t>96673</t>
  </si>
  <si>
    <t>96674</t>
  </si>
  <si>
    <t>96675</t>
  </si>
  <si>
    <t>96676</t>
  </si>
  <si>
    <t>96677</t>
  </si>
  <si>
    <t>96678</t>
  </si>
  <si>
    <t>96679</t>
  </si>
  <si>
    <t>96680</t>
  </si>
  <si>
    <t>96681</t>
  </si>
  <si>
    <t>96682</t>
  </si>
  <si>
    <t>96683</t>
  </si>
  <si>
    <t>96718</t>
  </si>
  <si>
    <t>TUBO, PPR, DN 20, CLASSE PN 20,  INSTALADO EM RESERVAÇÃO DE ÁGUA DE EDIFICAÇÃO QUE POSSUA RESERVATÓRIO DE FIBRA/FIBROCIMENTO  FORNECIMENTO E INSTALAÇÃO. AF_06/2016</t>
  </si>
  <si>
    <t>96719</t>
  </si>
  <si>
    <t>TUBO, PPR, DN 25, CLASSE PN 20,  INSTALADO EM RESERVAÇÃO DE ÁGUA DE EDIFICAÇÃO QUE POSSUA RESERVATÓRIO DE FIBRA/FIBROCIMENTO  FORNECIMENTO E INSTALAÇÃO. AF_06/2016</t>
  </si>
  <si>
    <t>96720</t>
  </si>
  <si>
    <t>TUBO, PPR, DN 32, CLASSE PN 12,  INSTALADO EM RESERVAÇÃO DE ÁGUA DE EDIFICAÇÃO QUE POSSUA RESERVATÓRIO DE FIBRA/FIBROCIMENTO  FORNECIMENTO E INSTALAÇÃO. AF_06/2016</t>
  </si>
  <si>
    <t>15,00</t>
  </si>
  <si>
    <t>96721</t>
  </si>
  <si>
    <t>TUBO, PPR, DN 40, CLASSE PN 12,  INSTALADO EM RESERVAÇÃO DE ÁGUA DE EDIFICAÇÃO QUE POSSUA RESERVATÓRIO DE FIBRA/FIBROCIMENTO  FORNECIMENTO E INSTALAÇÃO. AF_06/2016</t>
  </si>
  <si>
    <t>96722</t>
  </si>
  <si>
    <t>TUBO, PPR, DN 50, CLASSE PN 12,  INSTALADO EM RESERVAÇÃO DE ÁGUA DE EDIFICAÇÃO QUE POSSUA RESERVATÓRIO DE FIBRA/FIBROCIMENTO  FORNECIMENTO E INSTALAÇÃO. AF_06/2016</t>
  </si>
  <si>
    <t>96723</t>
  </si>
  <si>
    <t>TUBO, PPR, DN 63, CLASSE PN 12,  INSTALADO EM RESERVAÇÃO DE ÁGUA DE EDIFICAÇÃO QUE POSSUA RESERVATÓRIO DE FIBRA/FIBROCIMENTO  FORNECIMENTO E INSTALAÇÃO. AF_06/2016</t>
  </si>
  <si>
    <t>96724</t>
  </si>
  <si>
    <t>TUBO, PPR, DN 75, CLASSE PN 12,  INSTALADO EM RESERVAÇÃO DE ÁGUA DE EDIFICAÇÃO QUE POSSUA RESERVATÓRIO DE FIBRA/FIBROCIMENTO  FORNECIMENTO E INSTALAÇÃO. AF_06/2016</t>
  </si>
  <si>
    <t>96725</t>
  </si>
  <si>
    <t>TUBO, PPR, DN 90, CLASSE PN 12,  INSTALADO EM RESERVAÇÃO DE ÁGUA DE EDIFICAÇÃO QUE POSSUA RESERVATÓRIO DE FIBRA/FIBROCIMENTO  FORNECIMENTO E INSTALAÇÃO. AF_06/2016</t>
  </si>
  <si>
    <t>96726</t>
  </si>
  <si>
    <t>TUBO, PPR, DN 110, CLASSE PN 12,  INSTALADO EM RESERVAÇÃO DE ÁGUA DE EDIFICAÇÃO QUE POSSUA RESERVATÓRIO DE FIBRA/FIBROCIMENTO  FORNECIMENTO E INSTALAÇÃO. AF_06/2016</t>
  </si>
  <si>
    <t>96727</t>
  </si>
  <si>
    <t>TUBO, PPR, DN 20, CLASSE PN 25,  INSTALADO EM RESERVAÇÃO DE ÁGUA DE EDIFICAÇÃO QUE POSSUA RESERVATÓRIO DE FIBRA/FIBROCIMENTO  FORNECIMENTO E INSTALAÇÃO. AF_06/2016</t>
  </si>
  <si>
    <t>11,31</t>
  </si>
  <si>
    <t>96728</t>
  </si>
  <si>
    <t>TUBO, PPR, DN 25, CLASSE PN 25,  INSTALADO EM RESERVAÇÃO DE ÁGUA DE EDIFICAÇÃO QUE POSSUA RESERVATÓRIO DE FIBRA/FIBROCIMENTO  FORNECIMENTO E INSTALAÇÃO. AF_06/2016</t>
  </si>
  <si>
    <t>96729</t>
  </si>
  <si>
    <t>TUBO, PPR, DN 32, CLASSE PN 25,  INSTALADO EM RESERVAÇÃO DE ÁGUA DE EDIFICAÇÃO QUE POSSUA RESERVATÓRIO DE FIBRA/FIBROCIMENTO  FORNECIMENTO E INSTALAÇÃO. AF_06/2016</t>
  </si>
  <si>
    <t>20,00</t>
  </si>
  <si>
    <t>96730</t>
  </si>
  <si>
    <t>TUBO, PPR, DN 40, CLASSE PN 25,  INSTALADO EM RESERVAÇÃO DE ÁGUA DE EDIFICAÇÃO QUE POSSUA RESERVATÓRIO DE FIBRA/FIBROCIMENTO  FORNECIMENTO E INSTALAÇÃO. AF_06/2016</t>
  </si>
  <si>
    <t>96731</t>
  </si>
  <si>
    <t>TUBO, PPR, DN 50, CLASSE PN 25,  INSTALADO EM RESERVAÇÃO DE ÁGUA DE EDIFICAÇÃO QUE POSSUA RESERVATÓRIO DE FIBRA/FIBROCIMENTO  FORNECIMENTO E INSTALAÇÃO. AF_06/2016</t>
  </si>
  <si>
    <t>96732</t>
  </si>
  <si>
    <t>TUBO, PPR, DN 63, CLASSE PN 25,  INSTALADO EM RESERVAÇÃO DE ÁGUA DE EDIFICAÇÃO QUE POSSUA RESERVATÓRIO DE FIBRA/FIBROCIMENTO  FORNECIMENTO E INSTALAÇÃO. AF_06/2016</t>
  </si>
  <si>
    <t>96733</t>
  </si>
  <si>
    <t>TUBO, PPR, DN 75, CLASSE PN 25,  INSTALADO EM RESERVAÇÃO DE ÁGUA DE EDIFICAÇÃO QUE POSSUA RESERVATÓRIO DE FIBRA/FIBROCIMENTO  FORNECIMENTO E INSTALAÇÃO. AF_06/2016</t>
  </si>
  <si>
    <t>96734</t>
  </si>
  <si>
    <t>TUBO, PPR, DN 90, CLASSE PN 25,  INSTALADO EM RESERVAÇÃO DE ÁGUA DE EDIFICAÇÃO QUE POSSUA RESERVATÓRIO DE FIBRA/FIBROCIMENTO  FORNECIMENTO E INSTALAÇÃO. AF_06/2016</t>
  </si>
  <si>
    <t>96735</t>
  </si>
  <si>
    <t>TUBO, PPR, DN 110, CLASSE PN 25,  INSTALADO EM RESERVAÇÃO DE ÁGUA DE EDIFICAÇÃO QUE POSSUA RESERVATÓRIO DE FIBRA/FIBROCIMENTO  FORNECIMENTO E INSTALAÇÃO. AF_06/2016</t>
  </si>
  <si>
    <t>96798</t>
  </si>
  <si>
    <t>96799</t>
  </si>
  <si>
    <t>96800</t>
  </si>
  <si>
    <t>96801</t>
  </si>
  <si>
    <t>97327</t>
  </si>
  <si>
    <t>TUBO EM COBRE FLEXÍVEL, DN 1/4, COM ISOLAMENTO, INSTALADO EM RAMAL DE ALIMENTAÇÃO DE AR CONDICIONADO COM CONDENSADORA INDIVIDUAL   FORNECIMENTO E INSTALAÇÃO. AF_12/2015</t>
  </si>
  <si>
    <t>97328</t>
  </si>
  <si>
    <t>TUBO EM COBRE FLEXÍVEL, DN 3/8", COM ISOLAMENTO, INSTALADO EM RAMAL DE ALIMENTAÇÃO DE AR CONDICIONADO COM CONDENSADORA INDIVIDUAL  FORNECIMENTO E INSTALAÇÃO. AF_12/2015</t>
  </si>
  <si>
    <t>97329</t>
  </si>
  <si>
    <t>TUBO EM COBRE FLEXÍVEL, DN 1/2", COM ISOLAMENTO, INSTALADO EM RAMAL DE ALIMENTAÇÃO DE AR CONDICIONADO COM CONDENSADORA INDIVIDUAL  FORNECIMENTO E INSTALAÇÃO. AF_12/2015</t>
  </si>
  <si>
    <t>97330</t>
  </si>
  <si>
    <t>TUBO EM COBRE FLEXÍVEL, DN 5/8", COM ISOLAMENTO, INSTALADO EM RAMAL DE ALIMENTAÇÃO DE AR CONDICIONADO COM CONDENSADORA INDIVIDUAL  FORNECIMENTO E INSTALAÇÃO. AF_12/2015</t>
  </si>
  <si>
    <t>97331</t>
  </si>
  <si>
    <t>TUBO EM COBRE FLEXÍVEL, DN 1/4", COM ISOLAMENTO, INSTALADO EM RAMAL DE ALIMENTAÇÃO DE AR CONDICIONADO COM CONDENSADORA CENTRAL  FORNECIMENTO E INSTALAÇÃO. AF_12/2015</t>
  </si>
  <si>
    <t>97332</t>
  </si>
  <si>
    <t>TUBO EM COBRE FLEXÍVEL, DN 3/8", COM ISOLAMENTO, INSTALADO EM RAMAL DE ALIMENTAÇÃO DE AR CONDICIONADO COM CONDENSADORA CENTRAL  FORNECIMENTO E INSTALAÇÃO. AF_12/2015</t>
  </si>
  <si>
    <t>97333</t>
  </si>
  <si>
    <t>TUBO EM COBRE FLEXÍVEL, DN 1/2", COM ISOLAMENTO, INSTALADO EM RAMAL DE ALIMENTAÇÃO DE AR CONDICIONADO COM CONDENSADORA CENTRAL  FORNECIMENTO E INSTALAÇÃO. AF_12/2015</t>
  </si>
  <si>
    <t>97334</t>
  </si>
  <si>
    <t>TUBO EM COBRE FLEXÍVEL, DN 5/8, COM ISOLAMENTO, INSTALADO EM RAMAL DE ALIMENTAÇÃO DE AR CONDICIONADO COM CONDENSADORA CENTRAL   FORNECIMENTO E INSTALAÇÃO. AF_12/2015</t>
  </si>
  <si>
    <t>97335</t>
  </si>
  <si>
    <t>97336</t>
  </si>
  <si>
    <t>97337</t>
  </si>
  <si>
    <t>97338</t>
  </si>
  <si>
    <t>97339</t>
  </si>
  <si>
    <t>97340</t>
  </si>
  <si>
    <t>97347</t>
  </si>
  <si>
    <t>TUBO EM COBRE RÍGIDO, DN 22 MM, CLASSE I, SEM ISOLAMENTO, INSTALADO EM PRUMADA  FORNECIMENTO E INSTALAÇÃO. AF_12/2015</t>
  </si>
  <si>
    <t>97348</t>
  </si>
  <si>
    <t>TUBO EM COBRE RÍGIDO, DN 28 MM, CLASSE I, SEM ISOLAMENTO, INSTALADO EM PRUMADA  FORNECIMENTO E INSTALAÇÃO. AF_12/2015</t>
  </si>
  <si>
    <t>97349</t>
  </si>
  <si>
    <t>TUBO EM COBRE RÍGIDO, DN 35 MM, CLASSE I, SEM ISOLAMENTO, INSTALADO EM PRUMADA  FORNECIMENTO E INSTALAÇÃO. AF_12/2015</t>
  </si>
  <si>
    <t>97350</t>
  </si>
  <si>
    <t>TUBO EM COBRE RÍGIDO, DN 42 MM, CLASSE I, SEM ISOLAMENTO, INSTALADO EM PRUMADA  FORNECIMENTO E INSTALAÇÃO. AF_12/2015</t>
  </si>
  <si>
    <t>97351</t>
  </si>
  <si>
    <t>TUBO EM COBRE RÍGIDO, DN 54 MM, CLASSE I, SEM ISOLAMENTO, INSTALADO EM PRUMADA  FORNECIMENTO E INSTALAÇÃO. AF_12/2015</t>
  </si>
  <si>
    <t>97352</t>
  </si>
  <si>
    <t>TUBO EM COBRE RÍGIDO, DN 66 MM, CLASSE I, SEM ISOLAMENTO, INSTALADO EM PRUMADA  FORNECIMENTO E INSTALAÇÃO. AF_12/2015</t>
  </si>
  <si>
    <t>97353</t>
  </si>
  <si>
    <t>TUBO EM COBRE RÍGIDO, DN 15 MM, CLASSE I, SEM ISOLAMENTO, INSTALADO EM RAMAL DE DISTRIBUIÇÃO  FORNECIMENTO E INSTALAÇÃO. AF_12/2015</t>
  </si>
  <si>
    <t>97354</t>
  </si>
  <si>
    <t>TUBO EM COBRE RÍGIDO, DN 22 MM, CLASSE I, SEM ISOLAMENTO, INSTALADO EM RAMAL DE DISTRIBUIÇÃO FORNECIMENTO E INSTALAÇÃO. AF_12/2015</t>
  </si>
  <si>
    <t>97355</t>
  </si>
  <si>
    <t>TUBO EM COBRE RÍGIDO, DN 28 MM, CLASSE I, SEM ISOLAMENTO, INSTALADO EM RAMAL DE DISTRIBUIÇÃO FORNECIMENTO E INSTALAÇÃO. AF_12/2015</t>
  </si>
  <si>
    <t>97356</t>
  </si>
  <si>
    <t>TUBO EM COBRE RÍGIDO, DN 15 MM, CLASSE I, SEM ISOLAMENTO, INSTALADO EM RAMAL E SUB-RAMAL  FORNECIMENTO E INSTALAÇÃO. AF_12/2015</t>
  </si>
  <si>
    <t>97357</t>
  </si>
  <si>
    <t>TUBO EM COBRE RÍGIDO, DN 22 MM, CLASSE I, SEM ISOLAMENTO, INSTALADO EM RAMAL E SUB-RAMAL  FORNECIMENTO E INSTALAÇÃO. AF_12/2015</t>
  </si>
  <si>
    <t>97358</t>
  </si>
  <si>
    <t>TUBO EM COBRE RÍGIDO, DN 28 MM, CLASSE I, SEM ISOLAMENTO, INSTALADO EM RAMAL E SUB-RAMAL  FORNECIMENTO E INSTALAÇÃO. AF_12/2015</t>
  </si>
  <si>
    <t>97498</t>
  </si>
  <si>
    <t>97535</t>
  </si>
  <si>
    <t>97536</t>
  </si>
  <si>
    <t>100788</t>
  </si>
  <si>
    <t>KIT CAVALETE PARA GÁS - SEM MEDIDOR OU REGULADOR - ENTRADA INDIVIDUAL PRINCIPAL, EM AÇO GALVANIZADO DN 15 E 25 MM (1/2" E 1") - FORNECIMENTO E INSTALAÇÃO. AF_01/2020</t>
  </si>
  <si>
    <t>100791</t>
  </si>
  <si>
    <t>TUBO, PEX, MULTICAMADA, DN 16, INSTALADO EM IMPLANTAÇÃO DE INSTALAÇÕES DE GÁS - FORNECIMENTO E INSTALAÇÃO. AF_01/2020</t>
  </si>
  <si>
    <t>100792</t>
  </si>
  <si>
    <t>TUBO, PEX, MULTICAMADA, DN 20, INSTALADO EM IMPLANTAÇÃO DE INSTALAÇÕES DE GÁS - FORNECIMENTO E INSTALAÇÃO. AF_01/2020</t>
  </si>
  <si>
    <t>100793</t>
  </si>
  <si>
    <t>TUBO, PEX, MULTICAMADA, DN 26, INSTALADO EM IMPLANTAÇÃO DE INSTALAÇÕES DE GÁS - FORNECIMENTO E INSTALAÇÃO. AF_01/2020</t>
  </si>
  <si>
    <t>100794</t>
  </si>
  <si>
    <t>TUBO, PEX, MULTICAMADA, DN 32, INSTALADO EM IMPLANTAÇÃO DE INSTALAÇÕES DE GÁS - FORNECIMENTO E INSTALAÇÃO. AF_01/2020</t>
  </si>
  <si>
    <t>100803</t>
  </si>
  <si>
    <t>TUBO, PEX, MULTICAMADA, DN 16, INSTALADO EM RAMAL INTERNO DE INSTALAÇÕES DE GÁS - FORNECIMENTO E INSTALAÇÃO. AF_01/2020</t>
  </si>
  <si>
    <t>100804</t>
  </si>
  <si>
    <t>TUBO, PEX, MULTICAMADA, DN 20, INSTALADO EM RAMAL INTERNO DE INSTALAÇÕES DE GÁS - FORNECIMENTO E INSTALAÇÃO. AF_01/2020</t>
  </si>
  <si>
    <t>100805</t>
  </si>
  <si>
    <t>TUBO, PEX, MULTICAMADA, DN 26, INSTALADO EM RAMAL INTERNO DE INSTALAÇÕES DE GÁS - FORNECIMENTO E INSTALAÇÃO. AF_01/2020</t>
  </si>
  <si>
    <t>100806</t>
  </si>
  <si>
    <t>TUBO, PEX, MULTICAMADA, DN 32, INSTALADO EM RAMAL INTERNO DE INSTALAÇÕES DE GÁS - FORNECIMENTO E INSTALAÇÃO. AF_01/2020</t>
  </si>
  <si>
    <t>89358</t>
  </si>
  <si>
    <t>6,15</t>
  </si>
  <si>
    <t>89359</t>
  </si>
  <si>
    <t>89360</t>
  </si>
  <si>
    <t>89361</t>
  </si>
  <si>
    <t>89362</t>
  </si>
  <si>
    <t>89363</t>
  </si>
  <si>
    <t>89364</t>
  </si>
  <si>
    <t>89365</t>
  </si>
  <si>
    <t>89366</t>
  </si>
  <si>
    <t>89367</t>
  </si>
  <si>
    <t>89368</t>
  </si>
  <si>
    <t>89369</t>
  </si>
  <si>
    <t>89370</t>
  </si>
  <si>
    <t>89371</t>
  </si>
  <si>
    <t>89372</t>
  </si>
  <si>
    <t>89373</t>
  </si>
  <si>
    <t>89374</t>
  </si>
  <si>
    <t>89375</t>
  </si>
  <si>
    <t>89376</t>
  </si>
  <si>
    <t>89377</t>
  </si>
  <si>
    <t>89378</t>
  </si>
  <si>
    <t>89379</t>
  </si>
  <si>
    <t>LUVA DE CORRER, PVC, SOLDÁVEL, DN 25MM, INSTALADO EM RAMAL OU SUB-RAMAL DE ÁGUA - FORNECIMENTO E INSTALAÇÃO. AF_12/2014</t>
  </si>
  <si>
    <t>89380</t>
  </si>
  <si>
    <t>89381</t>
  </si>
  <si>
    <t>89382</t>
  </si>
  <si>
    <t>89383</t>
  </si>
  <si>
    <t>89384</t>
  </si>
  <si>
    <t>9,56</t>
  </si>
  <si>
    <t>89385</t>
  </si>
  <si>
    <t>5,60</t>
  </si>
  <si>
    <t>89386</t>
  </si>
  <si>
    <t>89387</t>
  </si>
  <si>
    <t>89389</t>
  </si>
  <si>
    <t>89390</t>
  </si>
  <si>
    <t>89391</t>
  </si>
  <si>
    <t>89392</t>
  </si>
  <si>
    <t>89393</t>
  </si>
  <si>
    <t>89394</t>
  </si>
  <si>
    <t>15,12</t>
  </si>
  <si>
    <t>89395</t>
  </si>
  <si>
    <t>89396</t>
  </si>
  <si>
    <t>89397</t>
  </si>
  <si>
    <t>89398</t>
  </si>
  <si>
    <t>13,26</t>
  </si>
  <si>
    <t>89399</t>
  </si>
  <si>
    <t>89400</t>
  </si>
  <si>
    <t>89404</t>
  </si>
  <si>
    <t>89405</t>
  </si>
  <si>
    <t>89406</t>
  </si>
  <si>
    <t>89407</t>
  </si>
  <si>
    <t>89408</t>
  </si>
  <si>
    <t>89409</t>
  </si>
  <si>
    <t>5,10</t>
  </si>
  <si>
    <t>89410</t>
  </si>
  <si>
    <t>89411</t>
  </si>
  <si>
    <t>89412</t>
  </si>
  <si>
    <t>89413</t>
  </si>
  <si>
    <t>89414</t>
  </si>
  <si>
    <t>89415</t>
  </si>
  <si>
    <t>89416</t>
  </si>
  <si>
    <t>89417</t>
  </si>
  <si>
    <t>89418</t>
  </si>
  <si>
    <t>89419</t>
  </si>
  <si>
    <t>89421</t>
  </si>
  <si>
    <t>89423</t>
  </si>
  <si>
    <t>89424</t>
  </si>
  <si>
    <t>89425</t>
  </si>
  <si>
    <t>89426</t>
  </si>
  <si>
    <t>89427</t>
  </si>
  <si>
    <t>89428</t>
  </si>
  <si>
    <t>89429</t>
  </si>
  <si>
    <t>89430</t>
  </si>
  <si>
    <t>89431</t>
  </si>
  <si>
    <t>89432</t>
  </si>
  <si>
    <t>89433</t>
  </si>
  <si>
    <t>89434</t>
  </si>
  <si>
    <t>89435</t>
  </si>
  <si>
    <t>89436</t>
  </si>
  <si>
    <t>89437</t>
  </si>
  <si>
    <t>89438</t>
  </si>
  <si>
    <t>89439</t>
  </si>
  <si>
    <t>89440</t>
  </si>
  <si>
    <t>89442</t>
  </si>
  <si>
    <t>89443</t>
  </si>
  <si>
    <t>89444</t>
  </si>
  <si>
    <t>19,48</t>
  </si>
  <si>
    <t>89445</t>
  </si>
  <si>
    <t>89481</t>
  </si>
  <si>
    <t>89485</t>
  </si>
  <si>
    <t>4,27</t>
  </si>
  <si>
    <t>89489</t>
  </si>
  <si>
    <t>89490</t>
  </si>
  <si>
    <t>4,69</t>
  </si>
  <si>
    <t>89492</t>
  </si>
  <si>
    <t>89493</t>
  </si>
  <si>
    <t>89494</t>
  </si>
  <si>
    <t>89496</t>
  </si>
  <si>
    <t>89497</t>
  </si>
  <si>
    <t>89498</t>
  </si>
  <si>
    <t>89499</t>
  </si>
  <si>
    <t>89500</t>
  </si>
  <si>
    <t>89501</t>
  </si>
  <si>
    <t>10,56</t>
  </si>
  <si>
    <t>89502</t>
  </si>
  <si>
    <t>89503</t>
  </si>
  <si>
    <t>89504</t>
  </si>
  <si>
    <t>89505</t>
  </si>
  <si>
    <t>89506</t>
  </si>
  <si>
    <t>89507</t>
  </si>
  <si>
    <t>89510</t>
  </si>
  <si>
    <t>89513</t>
  </si>
  <si>
    <t>89514</t>
  </si>
  <si>
    <t>89515</t>
  </si>
  <si>
    <t>89516</t>
  </si>
  <si>
    <t>89517</t>
  </si>
  <si>
    <t>89518</t>
  </si>
  <si>
    <t>89519</t>
  </si>
  <si>
    <t>89520</t>
  </si>
  <si>
    <t>89521</t>
  </si>
  <si>
    <t>89522</t>
  </si>
  <si>
    <t>89523</t>
  </si>
  <si>
    <t>89524</t>
  </si>
  <si>
    <t>89525</t>
  </si>
  <si>
    <t>89526</t>
  </si>
  <si>
    <t>89527</t>
  </si>
  <si>
    <t>89528</t>
  </si>
  <si>
    <t>2,79</t>
  </si>
  <si>
    <t>89529</t>
  </si>
  <si>
    <t>89530</t>
  </si>
  <si>
    <t>89531</t>
  </si>
  <si>
    <t>89532</t>
  </si>
  <si>
    <t>89535</t>
  </si>
  <si>
    <t>89536</t>
  </si>
  <si>
    <t>89540</t>
  </si>
  <si>
    <t>89541</t>
  </si>
  <si>
    <t>89542</t>
  </si>
  <si>
    <t>89544</t>
  </si>
  <si>
    <t>89545</t>
  </si>
  <si>
    <t>89546</t>
  </si>
  <si>
    <t>89547</t>
  </si>
  <si>
    <t>89548</t>
  </si>
  <si>
    <t>89549</t>
  </si>
  <si>
    <t>89550</t>
  </si>
  <si>
    <t>89551</t>
  </si>
  <si>
    <t>89552</t>
  </si>
  <si>
    <t>89553</t>
  </si>
  <si>
    <t>89554</t>
  </si>
  <si>
    <t>89555</t>
  </si>
  <si>
    <t>89556</t>
  </si>
  <si>
    <t>89557</t>
  </si>
  <si>
    <t>18,39</t>
  </si>
  <si>
    <t>89558</t>
  </si>
  <si>
    <t>89559</t>
  </si>
  <si>
    <t>89561</t>
  </si>
  <si>
    <t>89562</t>
  </si>
  <si>
    <t>89563</t>
  </si>
  <si>
    <t>89564</t>
  </si>
  <si>
    <t>89565</t>
  </si>
  <si>
    <t>89566</t>
  </si>
  <si>
    <t>89567</t>
  </si>
  <si>
    <t>89568</t>
  </si>
  <si>
    <t>89569</t>
  </si>
  <si>
    <t>89570</t>
  </si>
  <si>
    <t>89571</t>
  </si>
  <si>
    <t>89572</t>
  </si>
  <si>
    <t>89573</t>
  </si>
  <si>
    <t>89574</t>
  </si>
  <si>
    <t>89575</t>
  </si>
  <si>
    <t>89577</t>
  </si>
  <si>
    <t>89579</t>
  </si>
  <si>
    <t>89581</t>
  </si>
  <si>
    <t>17,60</t>
  </si>
  <si>
    <t>89582</t>
  </si>
  <si>
    <t>89583</t>
  </si>
  <si>
    <t>89584</t>
  </si>
  <si>
    <t>89585</t>
  </si>
  <si>
    <t>89587</t>
  </si>
  <si>
    <t>89590</t>
  </si>
  <si>
    <t>89591</t>
  </si>
  <si>
    <t>89592</t>
  </si>
  <si>
    <t>89593</t>
  </si>
  <si>
    <t>89594</t>
  </si>
  <si>
    <t>89595</t>
  </si>
  <si>
    <t>89596</t>
  </si>
  <si>
    <t>89597</t>
  </si>
  <si>
    <t>89598</t>
  </si>
  <si>
    <t>89599</t>
  </si>
  <si>
    <t>89600</t>
  </si>
  <si>
    <t>89605</t>
  </si>
  <si>
    <t>89609</t>
  </si>
  <si>
    <t>89610</t>
  </si>
  <si>
    <t>89611</t>
  </si>
  <si>
    <t>89612</t>
  </si>
  <si>
    <t>89613</t>
  </si>
  <si>
    <t>ADAPTADOR CURTO COM BOLSA E ROSCA PARA REGISTRO, PVC, SOLDÁVEL, DN 75MM X 2.1/2, INSTALADO EM PRUMADA DE ÁGUA - FORNECIMENTO E INSTALAÇÃO. AF_12/2014</t>
  </si>
  <si>
    <t>89614</t>
  </si>
  <si>
    <t>89615</t>
  </si>
  <si>
    <t>89616</t>
  </si>
  <si>
    <t>89617</t>
  </si>
  <si>
    <t>89620</t>
  </si>
  <si>
    <t>89622</t>
  </si>
  <si>
    <t>89623</t>
  </si>
  <si>
    <t>89624</t>
  </si>
  <si>
    <t>89625</t>
  </si>
  <si>
    <t>89626</t>
  </si>
  <si>
    <t>89627</t>
  </si>
  <si>
    <t>89628</t>
  </si>
  <si>
    <t>89629</t>
  </si>
  <si>
    <t>89630</t>
  </si>
  <si>
    <t>89631</t>
  </si>
  <si>
    <t>89632</t>
  </si>
  <si>
    <t>89637</t>
  </si>
  <si>
    <t>89638</t>
  </si>
  <si>
    <t>89639</t>
  </si>
  <si>
    <t>89640</t>
  </si>
  <si>
    <t>89641</t>
  </si>
  <si>
    <t>89642</t>
  </si>
  <si>
    <t>89643</t>
  </si>
  <si>
    <t>89644</t>
  </si>
  <si>
    <t>89645</t>
  </si>
  <si>
    <t>89646</t>
  </si>
  <si>
    <t>89647</t>
  </si>
  <si>
    <t>89648</t>
  </si>
  <si>
    <t>89649</t>
  </si>
  <si>
    <t>89650</t>
  </si>
  <si>
    <t>89651</t>
  </si>
  <si>
    <t>4,48</t>
  </si>
  <si>
    <t>89652</t>
  </si>
  <si>
    <t>89653</t>
  </si>
  <si>
    <t>89654</t>
  </si>
  <si>
    <t>89655</t>
  </si>
  <si>
    <t>89656</t>
  </si>
  <si>
    <t>89657</t>
  </si>
  <si>
    <t>89658</t>
  </si>
  <si>
    <t>89659</t>
  </si>
  <si>
    <t>89660</t>
  </si>
  <si>
    <t>89661</t>
  </si>
  <si>
    <t>89662</t>
  </si>
  <si>
    <t>89663</t>
  </si>
  <si>
    <t>8,71</t>
  </si>
  <si>
    <t>89664</t>
  </si>
  <si>
    <t>89666</t>
  </si>
  <si>
    <t>89667</t>
  </si>
  <si>
    <t>89668</t>
  </si>
  <si>
    <t>89669</t>
  </si>
  <si>
    <t>89670</t>
  </si>
  <si>
    <t>89671</t>
  </si>
  <si>
    <t>89672</t>
  </si>
  <si>
    <t>89673</t>
  </si>
  <si>
    <t>89674</t>
  </si>
  <si>
    <t>89675</t>
  </si>
  <si>
    <t>89676</t>
  </si>
  <si>
    <t>89677</t>
  </si>
  <si>
    <t>89678</t>
  </si>
  <si>
    <t>89679</t>
  </si>
  <si>
    <t>89680</t>
  </si>
  <si>
    <t>89681</t>
  </si>
  <si>
    <t>89682</t>
  </si>
  <si>
    <t>89684</t>
  </si>
  <si>
    <t>89685</t>
  </si>
  <si>
    <t>89686</t>
  </si>
  <si>
    <t>89687</t>
  </si>
  <si>
    <t>89689</t>
  </si>
  <si>
    <t>89690</t>
  </si>
  <si>
    <t>89691</t>
  </si>
  <si>
    <t>89692</t>
  </si>
  <si>
    <t>89693</t>
  </si>
  <si>
    <t>89694</t>
  </si>
  <si>
    <t>89695</t>
  </si>
  <si>
    <t>89696</t>
  </si>
  <si>
    <t>89697</t>
  </si>
  <si>
    <t>89698</t>
  </si>
  <si>
    <t>89699</t>
  </si>
  <si>
    <t>89700</t>
  </si>
  <si>
    <t>89701</t>
  </si>
  <si>
    <t>89702</t>
  </si>
  <si>
    <t>89703</t>
  </si>
  <si>
    <t>89704</t>
  </si>
  <si>
    <t>89705</t>
  </si>
  <si>
    <t>89706</t>
  </si>
  <si>
    <t>89718</t>
  </si>
  <si>
    <t>89719</t>
  </si>
  <si>
    <t>89720</t>
  </si>
  <si>
    <t>8,14</t>
  </si>
  <si>
    <t>89721</t>
  </si>
  <si>
    <t>89723</t>
  </si>
  <si>
    <t>89724</t>
  </si>
  <si>
    <t>89725</t>
  </si>
  <si>
    <t>89726</t>
  </si>
  <si>
    <t>89727</t>
  </si>
  <si>
    <t>89728</t>
  </si>
  <si>
    <t>89729</t>
  </si>
  <si>
    <t>89730</t>
  </si>
  <si>
    <t>89731</t>
  </si>
  <si>
    <t>89732</t>
  </si>
  <si>
    <t>89733</t>
  </si>
  <si>
    <t>89734</t>
  </si>
  <si>
    <t>89735</t>
  </si>
  <si>
    <t>89736</t>
  </si>
  <si>
    <t>89737</t>
  </si>
  <si>
    <t>14,00</t>
  </si>
  <si>
    <t>89738</t>
  </si>
  <si>
    <t>LUVA DE CORRER, CPVC, SOLDÁVEL, DN 22MM, INSTALADO EM RAMAL DE DISTRIBUIÇÃO DE ÁGUA   FORNECIMENTO E INSTALAÇÃO. AF_12/2014</t>
  </si>
  <si>
    <t>89739</t>
  </si>
  <si>
    <t>89740</t>
  </si>
  <si>
    <t>89741</t>
  </si>
  <si>
    <t>89742</t>
  </si>
  <si>
    <t>89743</t>
  </si>
  <si>
    <t>89744</t>
  </si>
  <si>
    <t>89746</t>
  </si>
  <si>
    <t>89747</t>
  </si>
  <si>
    <t>89748</t>
  </si>
  <si>
    <t>89749</t>
  </si>
  <si>
    <t>89750</t>
  </si>
  <si>
    <t>89752</t>
  </si>
  <si>
    <t>89753</t>
  </si>
  <si>
    <t>89754</t>
  </si>
  <si>
    <t>89755</t>
  </si>
  <si>
    <t>89756</t>
  </si>
  <si>
    <t>89757</t>
  </si>
  <si>
    <t>89758</t>
  </si>
  <si>
    <t>89759</t>
  </si>
  <si>
    <t>89760</t>
  </si>
  <si>
    <t>89761</t>
  </si>
  <si>
    <t>89762</t>
  </si>
  <si>
    <t>89763</t>
  </si>
  <si>
    <t>89764</t>
  </si>
  <si>
    <t>89765</t>
  </si>
  <si>
    <t>89767</t>
  </si>
  <si>
    <t>89768</t>
  </si>
  <si>
    <t>89769</t>
  </si>
  <si>
    <t>89772</t>
  </si>
  <si>
    <t>89774</t>
  </si>
  <si>
    <t>89776</t>
  </si>
  <si>
    <t>89777</t>
  </si>
  <si>
    <t>15,37</t>
  </si>
  <si>
    <t>89778</t>
  </si>
  <si>
    <t>89779</t>
  </si>
  <si>
    <t>89780</t>
  </si>
  <si>
    <t>89781</t>
  </si>
  <si>
    <t>89782</t>
  </si>
  <si>
    <t>89783</t>
  </si>
  <si>
    <t>8,97</t>
  </si>
  <si>
    <t>89784</t>
  </si>
  <si>
    <t>89785</t>
  </si>
  <si>
    <t>89786</t>
  </si>
  <si>
    <t>89787</t>
  </si>
  <si>
    <t>89788</t>
  </si>
  <si>
    <t>89789</t>
  </si>
  <si>
    <t>89790</t>
  </si>
  <si>
    <t>89791</t>
  </si>
  <si>
    <t>89792</t>
  </si>
  <si>
    <t>89793</t>
  </si>
  <si>
    <t>89794</t>
  </si>
  <si>
    <t>89795</t>
  </si>
  <si>
    <t>89796</t>
  </si>
  <si>
    <t>89797</t>
  </si>
  <si>
    <t>89801</t>
  </si>
  <si>
    <t>89802</t>
  </si>
  <si>
    <t>89803</t>
  </si>
  <si>
    <t>89804</t>
  </si>
  <si>
    <t>89805</t>
  </si>
  <si>
    <t>89806</t>
  </si>
  <si>
    <t>89807</t>
  </si>
  <si>
    <t>89808</t>
  </si>
  <si>
    <t>89809</t>
  </si>
  <si>
    <t>89810</t>
  </si>
  <si>
    <t>89811</t>
  </si>
  <si>
    <t>89812</t>
  </si>
  <si>
    <t>89813</t>
  </si>
  <si>
    <t>89814</t>
  </si>
  <si>
    <t>89815</t>
  </si>
  <si>
    <t>89816</t>
  </si>
  <si>
    <t>89817</t>
  </si>
  <si>
    <t>89818</t>
  </si>
  <si>
    <t>89819</t>
  </si>
  <si>
    <t>89821</t>
  </si>
  <si>
    <t>89822</t>
  </si>
  <si>
    <t>14,11</t>
  </si>
  <si>
    <t>89823</t>
  </si>
  <si>
    <t>89824</t>
  </si>
  <si>
    <t>89825</t>
  </si>
  <si>
    <t>89826</t>
  </si>
  <si>
    <t>89827</t>
  </si>
  <si>
    <t>89828</t>
  </si>
  <si>
    <t>89829</t>
  </si>
  <si>
    <t>89830</t>
  </si>
  <si>
    <t>89831</t>
  </si>
  <si>
    <t>89832</t>
  </si>
  <si>
    <t>89833</t>
  </si>
  <si>
    <t>89834</t>
  </si>
  <si>
    <t>89835</t>
  </si>
  <si>
    <t>89836</t>
  </si>
  <si>
    <t>89837</t>
  </si>
  <si>
    <t>89838</t>
  </si>
  <si>
    <t>89839</t>
  </si>
  <si>
    <t>89840</t>
  </si>
  <si>
    <t>89841</t>
  </si>
  <si>
    <t>89842</t>
  </si>
  <si>
    <t>89844</t>
  </si>
  <si>
    <t>89845</t>
  </si>
  <si>
    <t>89846</t>
  </si>
  <si>
    <t>89847</t>
  </si>
  <si>
    <t>89850</t>
  </si>
  <si>
    <t>89851</t>
  </si>
  <si>
    <t>89852</t>
  </si>
  <si>
    <t>89853</t>
  </si>
  <si>
    <t>89854</t>
  </si>
  <si>
    <t>89855</t>
  </si>
  <si>
    <t>89856</t>
  </si>
  <si>
    <t>13,46</t>
  </si>
  <si>
    <t>89857</t>
  </si>
  <si>
    <t>89860</t>
  </si>
  <si>
    <t>89861</t>
  </si>
  <si>
    <t>89866</t>
  </si>
  <si>
    <t>89867</t>
  </si>
  <si>
    <t>89868</t>
  </si>
  <si>
    <t>89869</t>
  </si>
  <si>
    <t>89979</t>
  </si>
  <si>
    <t>89981</t>
  </si>
  <si>
    <t>90373</t>
  </si>
  <si>
    <t>90374</t>
  </si>
  <si>
    <t>92287</t>
  </si>
  <si>
    <t>92288</t>
  </si>
  <si>
    <t>92289</t>
  </si>
  <si>
    <t>92290</t>
  </si>
  <si>
    <t>92291</t>
  </si>
  <si>
    <t>92292</t>
  </si>
  <si>
    <t>92293</t>
  </si>
  <si>
    <t>92294</t>
  </si>
  <si>
    <t>92295</t>
  </si>
  <si>
    <t>92296</t>
  </si>
  <si>
    <t>92297</t>
  </si>
  <si>
    <t>92298</t>
  </si>
  <si>
    <t>92299</t>
  </si>
  <si>
    <t>92300</t>
  </si>
  <si>
    <t>92301</t>
  </si>
  <si>
    <t>92302</t>
  </si>
  <si>
    <t>92303</t>
  </si>
  <si>
    <t>92304</t>
  </si>
  <si>
    <t>92311</t>
  </si>
  <si>
    <t>92312</t>
  </si>
  <si>
    <t>14,23</t>
  </si>
  <si>
    <t>92313</t>
  </si>
  <si>
    <t>92314</t>
  </si>
  <si>
    <t>92315</t>
  </si>
  <si>
    <t>92316</t>
  </si>
  <si>
    <t>92317</t>
  </si>
  <si>
    <t>92318</t>
  </si>
  <si>
    <t>92319</t>
  </si>
  <si>
    <t>92326</t>
  </si>
  <si>
    <t>10,31</t>
  </si>
  <si>
    <t>92327</t>
  </si>
  <si>
    <t>92328</t>
  </si>
  <si>
    <t>92329</t>
  </si>
  <si>
    <t>92330</t>
  </si>
  <si>
    <t>92331</t>
  </si>
  <si>
    <t>92332</t>
  </si>
  <si>
    <t>92333</t>
  </si>
  <si>
    <t>92334</t>
  </si>
  <si>
    <t>92344</t>
  </si>
  <si>
    <t>92345</t>
  </si>
  <si>
    <t>92346</t>
  </si>
  <si>
    <t>92347</t>
  </si>
  <si>
    <t>92348</t>
  </si>
  <si>
    <t>92349</t>
  </si>
  <si>
    <t>92350</t>
  </si>
  <si>
    <t>92351</t>
  </si>
  <si>
    <t>92352</t>
  </si>
  <si>
    <t>92353</t>
  </si>
  <si>
    <t>92354</t>
  </si>
  <si>
    <t>92355</t>
  </si>
  <si>
    <t>92356</t>
  </si>
  <si>
    <t>92357</t>
  </si>
  <si>
    <t>92358</t>
  </si>
  <si>
    <t>92369</t>
  </si>
  <si>
    <t>92370</t>
  </si>
  <si>
    <t>92371</t>
  </si>
  <si>
    <t>92372</t>
  </si>
  <si>
    <t>92373</t>
  </si>
  <si>
    <t>92374</t>
  </si>
  <si>
    <t>92375</t>
  </si>
  <si>
    <t>92376</t>
  </si>
  <si>
    <t>92377</t>
  </si>
  <si>
    <t>92378</t>
  </si>
  <si>
    <t>92379</t>
  </si>
  <si>
    <t>92380</t>
  </si>
  <si>
    <t>92381</t>
  </si>
  <si>
    <t>92382</t>
  </si>
  <si>
    <t>92383</t>
  </si>
  <si>
    <t>92384</t>
  </si>
  <si>
    <t>92385</t>
  </si>
  <si>
    <t>92386</t>
  </si>
  <si>
    <t>92387</t>
  </si>
  <si>
    <t>92388</t>
  </si>
  <si>
    <t>92389</t>
  </si>
  <si>
    <t>92390</t>
  </si>
  <si>
    <t>92635</t>
  </si>
  <si>
    <t>92636</t>
  </si>
  <si>
    <t>92637</t>
  </si>
  <si>
    <t>92638</t>
  </si>
  <si>
    <t>92639</t>
  </si>
  <si>
    <t>92640</t>
  </si>
  <si>
    <t>92642</t>
  </si>
  <si>
    <t>92644</t>
  </si>
  <si>
    <t>92657</t>
  </si>
  <si>
    <t>92658</t>
  </si>
  <si>
    <t>92659</t>
  </si>
  <si>
    <t>92660</t>
  </si>
  <si>
    <t>92661</t>
  </si>
  <si>
    <t>92662</t>
  </si>
  <si>
    <t>92663</t>
  </si>
  <si>
    <t>92664</t>
  </si>
  <si>
    <t>92665</t>
  </si>
  <si>
    <t>92666</t>
  </si>
  <si>
    <t>92667</t>
  </si>
  <si>
    <t>92668</t>
  </si>
  <si>
    <t>92669</t>
  </si>
  <si>
    <t>92670</t>
  </si>
  <si>
    <t>92671</t>
  </si>
  <si>
    <t>92672</t>
  </si>
  <si>
    <t>92673</t>
  </si>
  <si>
    <t>92674</t>
  </si>
  <si>
    <t>92675</t>
  </si>
  <si>
    <t>92676</t>
  </si>
  <si>
    <t>92677</t>
  </si>
  <si>
    <t>92678</t>
  </si>
  <si>
    <t>92679</t>
  </si>
  <si>
    <t>92680</t>
  </si>
  <si>
    <t>92681</t>
  </si>
  <si>
    <t>92682</t>
  </si>
  <si>
    <t>92683</t>
  </si>
  <si>
    <t>92684</t>
  </si>
  <si>
    <t>92685</t>
  </si>
  <si>
    <t>92686</t>
  </si>
  <si>
    <t>92692</t>
  </si>
  <si>
    <t>92693</t>
  </si>
  <si>
    <t>92694</t>
  </si>
  <si>
    <t>92695</t>
  </si>
  <si>
    <t>92696</t>
  </si>
  <si>
    <t>92697</t>
  </si>
  <si>
    <t>92698</t>
  </si>
  <si>
    <t>92699</t>
  </si>
  <si>
    <t>92700</t>
  </si>
  <si>
    <t>92701</t>
  </si>
  <si>
    <t>92702</t>
  </si>
  <si>
    <t>92703</t>
  </si>
  <si>
    <t>92704</t>
  </si>
  <si>
    <t>92705</t>
  </si>
  <si>
    <t>92706</t>
  </si>
  <si>
    <t>92889</t>
  </si>
  <si>
    <t>92890</t>
  </si>
  <si>
    <t>92891</t>
  </si>
  <si>
    <t>92892</t>
  </si>
  <si>
    <t>92893</t>
  </si>
  <si>
    <t>92894</t>
  </si>
  <si>
    <t>92895</t>
  </si>
  <si>
    <t>92896</t>
  </si>
  <si>
    <t>92897</t>
  </si>
  <si>
    <t>92898</t>
  </si>
  <si>
    <t>92899</t>
  </si>
  <si>
    <t>92900</t>
  </si>
  <si>
    <t>92901</t>
  </si>
  <si>
    <t>92902</t>
  </si>
  <si>
    <t>92903</t>
  </si>
  <si>
    <t>92904</t>
  </si>
  <si>
    <t>92905</t>
  </si>
  <si>
    <t>92906</t>
  </si>
  <si>
    <t>92907</t>
  </si>
  <si>
    <t>92908</t>
  </si>
  <si>
    <t>92909</t>
  </si>
  <si>
    <t>92910</t>
  </si>
  <si>
    <t>92911</t>
  </si>
  <si>
    <t>92912</t>
  </si>
  <si>
    <t>92913</t>
  </si>
  <si>
    <t>92914</t>
  </si>
  <si>
    <t>92918</t>
  </si>
  <si>
    <t>92920</t>
  </si>
  <si>
    <t>92925</t>
  </si>
  <si>
    <t>92926</t>
  </si>
  <si>
    <t>92927</t>
  </si>
  <si>
    <t>92928</t>
  </si>
  <si>
    <t>92929</t>
  </si>
  <si>
    <t>92930</t>
  </si>
  <si>
    <t>92931</t>
  </si>
  <si>
    <t>92932</t>
  </si>
  <si>
    <t>92933</t>
  </si>
  <si>
    <t>92934</t>
  </si>
  <si>
    <t>92935</t>
  </si>
  <si>
    <t>92936</t>
  </si>
  <si>
    <t>92937</t>
  </si>
  <si>
    <t>92938</t>
  </si>
  <si>
    <t>92939</t>
  </si>
  <si>
    <t>92940</t>
  </si>
  <si>
    <t>92941</t>
  </si>
  <si>
    <t>92942</t>
  </si>
  <si>
    <t>92943</t>
  </si>
  <si>
    <t>92944</t>
  </si>
  <si>
    <t>92945</t>
  </si>
  <si>
    <t>92946</t>
  </si>
  <si>
    <t>92947</t>
  </si>
  <si>
    <t>92948</t>
  </si>
  <si>
    <t>92949</t>
  </si>
  <si>
    <t>92950</t>
  </si>
  <si>
    <t>92951</t>
  </si>
  <si>
    <t>92952</t>
  </si>
  <si>
    <t>92953</t>
  </si>
  <si>
    <t>93050</t>
  </si>
  <si>
    <t>93052</t>
  </si>
  <si>
    <t>93054</t>
  </si>
  <si>
    <t>93055</t>
  </si>
  <si>
    <t>93056</t>
  </si>
  <si>
    <t>93057</t>
  </si>
  <si>
    <t>93058</t>
  </si>
  <si>
    <t>93059</t>
  </si>
  <si>
    <t>93060</t>
  </si>
  <si>
    <t>93061</t>
  </si>
  <si>
    <t>93062</t>
  </si>
  <si>
    <t>93063</t>
  </si>
  <si>
    <t>93064</t>
  </si>
  <si>
    <t>93065</t>
  </si>
  <si>
    <t>93066</t>
  </si>
  <si>
    <t>93067</t>
  </si>
  <si>
    <t>93068</t>
  </si>
  <si>
    <t>93069</t>
  </si>
  <si>
    <t>93070</t>
  </si>
  <si>
    <t>93071</t>
  </si>
  <si>
    <t>93072</t>
  </si>
  <si>
    <t>93074</t>
  </si>
  <si>
    <t>93075</t>
  </si>
  <si>
    <t>93076</t>
  </si>
  <si>
    <t>93077</t>
  </si>
  <si>
    <t>93078</t>
  </si>
  <si>
    <t>93079</t>
  </si>
  <si>
    <t>93080</t>
  </si>
  <si>
    <t>93081</t>
  </si>
  <si>
    <t>93082</t>
  </si>
  <si>
    <t>93083</t>
  </si>
  <si>
    <t>93084</t>
  </si>
  <si>
    <t>93085</t>
  </si>
  <si>
    <t>93086</t>
  </si>
  <si>
    <t>93087</t>
  </si>
  <si>
    <t>93088</t>
  </si>
  <si>
    <t>93089</t>
  </si>
  <si>
    <t>93090</t>
  </si>
  <si>
    <t>93091</t>
  </si>
  <si>
    <t>93092</t>
  </si>
  <si>
    <t>93093</t>
  </si>
  <si>
    <t>93094</t>
  </si>
  <si>
    <t>93097</t>
  </si>
  <si>
    <t>93098</t>
  </si>
  <si>
    <t>93099</t>
  </si>
  <si>
    <t>93100</t>
  </si>
  <si>
    <t>93101</t>
  </si>
  <si>
    <t>93102</t>
  </si>
  <si>
    <t>93103</t>
  </si>
  <si>
    <t>93104</t>
  </si>
  <si>
    <t>93105</t>
  </si>
  <si>
    <t>93106</t>
  </si>
  <si>
    <t>93107</t>
  </si>
  <si>
    <t>93108</t>
  </si>
  <si>
    <t>93109</t>
  </si>
  <si>
    <t>93110</t>
  </si>
  <si>
    <t>93111</t>
  </si>
  <si>
    <t>93112</t>
  </si>
  <si>
    <t>93113</t>
  </si>
  <si>
    <t>93114</t>
  </si>
  <si>
    <t>93115</t>
  </si>
  <si>
    <t>93116</t>
  </si>
  <si>
    <t>93117</t>
  </si>
  <si>
    <t>93118</t>
  </si>
  <si>
    <t>93119</t>
  </si>
  <si>
    <t>93120</t>
  </si>
  <si>
    <t>93121</t>
  </si>
  <si>
    <t>93122</t>
  </si>
  <si>
    <t>93123</t>
  </si>
  <si>
    <t>93124</t>
  </si>
  <si>
    <t>93125</t>
  </si>
  <si>
    <t>93126</t>
  </si>
  <si>
    <t>93133</t>
  </si>
  <si>
    <t>94465</t>
  </si>
  <si>
    <t>LUVA, EM FERRO GALVANIZADO, CONEXÃO ROSQUEADA, DN 50 (2), INSTALADO EM RESERVAÇÃO DE ÁGUA DE EDIFICAÇÃO QUE POSSUA RESERVATÓRIO DE FIBRA/FIBROCIMENTO  FORNECIMENTO E INSTALAÇÃO. AF_06/2016</t>
  </si>
  <si>
    <t>94466</t>
  </si>
  <si>
    <t>NIPLE, EM FERRO GALVANIZADO, CONEXÃO ROSQUEADA, DN 50 (2), INSTALADO EM RESERVAÇÃO DE ÁGUA DE EDIFICAÇÃO QUE POSSUA RESERVATÓRIO DE FIBRA/FIBROCIMENTO  FORNECIMENTO E INSTALAÇÃO. AF_06/2016</t>
  </si>
  <si>
    <t>94467</t>
  </si>
  <si>
    <t>LUVA, EM FERRO GALVANIZADO, CONEXÃO ROSQUEADA, DN 65 (2 1/2), INSTALADO EM RESERVAÇÃO DE ÁGUA DE EDIFICAÇÃO QUE POSSUA RESERVATÓRIO DE FIBRA/FIBROCIMENTO  FORNECIMENTO E INSTALAÇÃO. AF_06/2016</t>
  </si>
  <si>
    <t>94468</t>
  </si>
  <si>
    <t>NIPLE, EM FERRO GALVANIZADO, CONEXÃO ROSQUEADA, DN 65 (2 1/2), INSTALADO EM RESERVAÇÃO DE ÁGUA DE EDIFICAÇÃO QUE POSSUA RESERVATÓRIO DE FIBRA/FIBROCIMENTO  FORNECIMENTO E INSTALAÇÃO. AF_06/2016</t>
  </si>
  <si>
    <t>94469</t>
  </si>
  <si>
    <t>LUVA, EM FERRO GALVANIZADO, CONEXÃO ROSQUEADA, DN 80 (3), INSTALADO EM RESERVAÇÃO DE ÁGUA DE EDIFICAÇÃO QUE POSSUA RESERVATÓRIO DE FIBRA/FIBROCIMENTO  FORNECIMENTO E INSTALAÇÃO. AF_06/2016</t>
  </si>
  <si>
    <t>94470</t>
  </si>
  <si>
    <t>NIPLE, EM FERRO GALVANIZADO, CONEXÃO ROSQUEADA, DN 80 (3), INSTALADO EM RESERVAÇÃO DE ÁGUA DE EDIFICAÇÃO QUE POSSUA RESERVATÓRIO DE FIBRA/FIBROCIMENTO  FORNECIMENTO E INSTALAÇÃO. AF_06/2016</t>
  </si>
  <si>
    <t>94471</t>
  </si>
  <si>
    <t>COTOVELO 90 GRAUS, EM FERRO GALVANIZADO, CONEXÃO ROSQUEADA, DN 50 (2), INSTALADO EM RESERVAÇÃO DE ÁGUA DE EDIFICAÇÃO QUE POSSUA RESERVATÓRIO DE FIBRA/FIBROCIMENTO  FORNECIMENTO E INSTALAÇÃO. AF_06/2016</t>
  </si>
  <si>
    <t>94472</t>
  </si>
  <si>
    <t>COTOVELO 45 GRAUS, EM FERRO GALVANIZADO, CONEXÃO ROSQUEADA, DN 50 (2), INSTALADO EM RESERVAÇÃO DE ÁGUA DE EDIFICAÇÃO QUE POSSUA RESERVATÓRIO DE FIBRA/FIBROCIMENTO  FORNECIMENTO E INSTALAÇÃO. AF_06/2016</t>
  </si>
  <si>
    <t>94473</t>
  </si>
  <si>
    <t>COTOVELO 90 GRAUS, EM FERRO GALVANIZADO, CONEXÃO ROSQUEADA, DN 65 (2 1/2), INSTALADO EM RESERVAÇÃO DE ÁGUA DE EDIFICAÇÃO QUE POSSUA RESERVATÓRIO DE FIBRA/FIBROCIMENTO  FORNECIMENTO E INSTALAÇÃO. AF_06/2016</t>
  </si>
  <si>
    <t>94474</t>
  </si>
  <si>
    <t>COTOVELO 45 GRAUS, EM FERRO GALVANIZADO, CONEXÃO ROSQUEADA, DN 65 (2 1/2), INSTALADO EM RESERVAÇÃO DE ÁGUA DE EDIFICAÇÃO QUE POSSUA RESERVATÓRIO DE FIBRA/FIBROCIMENTO  FORNECIMENTO E INSTALAÇÃO. AF_06/2016</t>
  </si>
  <si>
    <t>94475</t>
  </si>
  <si>
    <t>COTOVELO 90 GRAUS, EM FERRO GALVANIZADO, CONEXÃO ROSQUEADA, DN 80 (3), INSTALADO EM RESERVAÇÃO DE ÁGUA DE EDIFICAÇÃO QUE POSSUA RESERVATÓRIO DE FIBRA/FIBROCIMENTO  FORNECIMENTO E INSTALAÇÃO. AF_06/2016</t>
  </si>
  <si>
    <t>94476</t>
  </si>
  <si>
    <t>COTOVELO 45 GRAUS, EM FERRO GALVANIZADO, CONEXÃO ROSQUEADA, DN 80 (3), INSTALADO EM RESERVAÇÃO DE ÁGUA DE EDIFICAÇÃO QUE POSSUA RESERVATÓRIO DE FIBRA/FIBROCIMENTO  FORNECIMENTO E INSTALAÇÃO. AF_06/2016</t>
  </si>
  <si>
    <t>94477</t>
  </si>
  <si>
    <t>TÊ, EM FERRO GALVANIZADO, CONEXÃO ROSQUEADA, DN 50 (2), INSTALADO EM RESERVAÇÃO DE ÁGUA DE EDIFICAÇÃO QUE POSSUA RESERVATÓRIO DE FIBRA/FIBROCIMENTO  FORNECIMENTO E INSTALAÇÃO. AF_06/2016</t>
  </si>
  <si>
    <t>94478</t>
  </si>
  <si>
    <t>TÊ, EM FERRO GALVANIZADO, CONEXÃO ROSQUEADA, DN 65 (2 1/2), INSTALADO EM RESERVAÇÃO DE ÁGUA DE EDIFICAÇÃO QUE POSSUA RESERVATÓRIO DE FIBRA/FIBROCIMENTO  FORNECIMENTO E INSTALAÇÃO. AF_06/2016</t>
  </si>
  <si>
    <t>94479</t>
  </si>
  <si>
    <t>TÊ, EM FERRO GALVANIZADO, CONEXÃO ROSQUEADA, DN 80 (3), INSTALADO EM RESERVAÇÃO DE ÁGUA DE EDIFICAÇÃO QUE POSSUA RESERVATÓRIO DE FIBRA/FIBROCIMENTO  FORNECIMENTO E INSTALAÇÃO. AF_06/2016</t>
  </si>
  <si>
    <t>94606</t>
  </si>
  <si>
    <t>LUVA EM COBRE, DN 54 MM, SEM ANEL DE SOLDA, INSTALADO EM RESERVAÇÃO DE ÁGUA DE EDIFICAÇÃO QUE POSSUA RESERVATÓRIO DE FIBRA/FIBROCIMENTO  FORNECIMENTO E INSTALAÇÃO. AF_06/2016</t>
  </si>
  <si>
    <t>94608</t>
  </si>
  <si>
    <t>LUVA EM COBRE, DN 66 MM, SEM ANEL DE SOLDA, INSTALADO EM RESERVAÇÃO DE ÁGUA DE EDIFICAÇÃO QUE POSSUA RESERVATÓRIO DE FIBRA/FIBROCIMENTO  FORNECIMENTO E INSTALAÇÃO. AF_06/2016</t>
  </si>
  <si>
    <t>94610</t>
  </si>
  <si>
    <t>LUVA EM COBRE, DN 79 MM, SEM ANEL DE SOLDA, INSTALADO EM RESERVAÇÃO DE ÁGUA DE EDIFICAÇÃO QUE POSSUA RESERVATÓRIO DE FIBRA/FIBROCIMENTO  FORNECIMENTO E INSTALAÇÃO. AF_06/2016</t>
  </si>
  <si>
    <t>94612</t>
  </si>
  <si>
    <t>LUVA DE COBRE, DN 104 MM, SEM ANEL DE SOLDA, INSTALADO EM RESERVAÇÃO DE ÁGUA DE EDIFICAÇÃO QUE POSSUA RESERVATÓRIO DE FIBRA/FIBROCIMENTO  FORNECIMENTO E INSTALAÇÃO. AF_06/2016</t>
  </si>
  <si>
    <t>94614</t>
  </si>
  <si>
    <t>COTOVELO EM COBRE, DN 54 MM, 90 GRAUS, SEM ANEL DE SOLDA, INSTALADO EM RESERVAÇÃO DE ÁGUA DE EDIFICAÇÃO QUE POSSUA RESERVATÓRIO DE FIBRA/FIBROCIMENTO  FORNECIMENTO E INSTALAÇÃO. AF_06/2016</t>
  </si>
  <si>
    <t>94615</t>
  </si>
  <si>
    <t>CURVA EM COBRE, DN 54 MM, 45 GRAUS, SEM ANEL DE SOLDA, BOLSA X BOLSA, INSTALADO EM RESERVAÇÃO DE ÁGUA DE EDIFICAÇÃO QUE POSSUA RESERVATÓRIO DE FIBRA/FIBROCIMENTO  FORNECIMENTO E INSTALAÇÃO. AF_06/2016</t>
  </si>
  <si>
    <t>94616</t>
  </si>
  <si>
    <t>COTOVELO EM COBRE, DN 66 MM, 90 GRAUS, SEM ANEL DE SOLDA, INSTALADO EM RESERVAÇÃO DE ÁGUA DE EDIFICAÇÃO QUE POSSUA RESERVATÓRIO DE FIBRA/FIBROCIMENTO  FORNECIMENTO E INSTALAÇÃO. AF_06/2016</t>
  </si>
  <si>
    <t>94617</t>
  </si>
  <si>
    <t>CURVA EM COBRE, DN 66 MM, 45 GRAUS, SEM ANEL DE SOLDA, BOLSA X BOLSA, INSTALADO EM RESERVAÇÃO DE ÁGUA DE EDIFICAÇÃO QUE POSSUA RESERVATÓRIO DE FIBRA/FIBROCIMENTO  FORNECIMENTO E INSTALAÇÃO. AF_06/2016</t>
  </si>
  <si>
    <t>94618</t>
  </si>
  <si>
    <t>COTOVELO EM COBRE, DN 79 MM, 90 GRAUS, SEM ANEL DE SOLDA, INSTALADO EM RESERVAÇÃO DE ÁGUA DE EDIFICAÇÃO QUE POSSUA RESERVATÓRIO DE FIBRA/FIBROCIMENTO  FORNECIMENTO E INSTALAÇÃO. AF_06/2016</t>
  </si>
  <si>
    <t>94620</t>
  </si>
  <si>
    <t>COTOVELO EM COBRE, DN 104 MM, 90 GRAUS, SEM ANEL DE SOLDA, INSTALADO EM RESERVAÇÃO DE ÁGUA DE EDIFICAÇÃO QUE POSSUA RESERVATÓRIO DE FIBRA/FIBROCIMENTO  FORNECIMENTO E INSTALAÇÃO. AF_06/2016</t>
  </si>
  <si>
    <t>94622</t>
  </si>
  <si>
    <t>TE EM COBRE, DN 54 MM, SEM ANEL DE SOLDA, INSTALADO EM RESERVAÇÃO DE ÁGUA DE EDIFICAÇÃO QUE POSSUA RESERVATÓRIO DE FIBRA/FIBROCIMENTO  FORNECIMENTO E INSTALAÇÃO. AF_06/2016</t>
  </si>
  <si>
    <t>94623</t>
  </si>
  <si>
    <t>TE EM COBRE, DN 66 MM, SEM ANEL DE SOLDA, INSTALADO EM RESERVAÇÃO DE ÁGUA DE EDIFICAÇÃO QUE POSSUA RESERVATÓRIO DE FIBRA/FIBROCIMENTO  FORNECIMENTO E INSTALAÇÃO. AF_06/2016</t>
  </si>
  <si>
    <t>94624</t>
  </si>
  <si>
    <t>TE EM COBRE, DN 79 MM, SEM ANEL DE SOLDA, INSTALADO EM RESERVAÇÃO DE ÁGUA DE EDIFICAÇÃO QUE POSSUA RESERVATÓRIO DE FIBRA/FIBROCIMENTO  FORNECIMENTO E INSTALAÇÃO. AF_06/2016</t>
  </si>
  <si>
    <t>94625</t>
  </si>
  <si>
    <t>TE EM COBRE, DN 104 MM, SEM ANEL DE SOLDA, INSTALADO EM RESERVAÇÃO DE ÁGUA DE EDIFICAÇÃO QUE POSSUA RESERVATÓRIO DE FIBRA/FIBROCIMENTO  FORNECIMENTO E INSTALAÇÃO. AF_06/2016</t>
  </si>
  <si>
    <t>94656</t>
  </si>
  <si>
    <t>ADAPTADOR CURTO COM BOLSA E ROSCA PARA REGISTRO, PVC, SOLDÁVEL, DN  25 MM X 3/4 , INSTALADO EM RESERVAÇÃO DE ÁGUA DE EDIFICAÇÃO QUE POSSUA RESERVATÓRIO DE FIBRA/FIBROCIMENTO   FORNECIMENTO E INSTALAÇÃO. AF_06/2016</t>
  </si>
  <si>
    <t>94657</t>
  </si>
  <si>
    <t>LUVA PVC, SOLDÁVEL, DN  25 MM, INSTALADA EM RESERVAÇÃO DE ÁGUA DE EDIFICAÇÃO QUE POSSUA RESERVATÓRIO DE FIBRA/FIBROCIMENTO   FORNECIMENTO E INSTALAÇÃO. AF_06/2016</t>
  </si>
  <si>
    <t>4,62</t>
  </si>
  <si>
    <t>94658</t>
  </si>
  <si>
    <t>ADAPTADOR CURTO COM BOLSA E ROSCA PARA REGISTRO, PVC, SOLDÁVEL, DN 32 MM X 1 , INSTALADO EM RESERVAÇÃO DE ÁGUA DE EDIFICAÇÃO QUE POSSUA RESERVATÓRIO DE FIBRA/FIBROCIMENTO   FORNECIMENTO E INSTALAÇÃO. AF_06/2016</t>
  </si>
  <si>
    <t>94659</t>
  </si>
  <si>
    <t>LUVA PVC, SOLDÁVEL, DN 32 MM, INSTALADA EM RESERVAÇÃO DE ÁGUA DE EDIFICAÇÃO QUE POSSUA RESERVATÓRIO DE FIBRA/FIBROCIMENTO   FORNECIMENTO E INSTALAÇÃO. AF_06/2016</t>
  </si>
  <si>
    <t>94660</t>
  </si>
  <si>
    <t>ADAPTADOR CURTO COM BOLSA E ROSCA PARA REGISTRO, PVC, SOLDÁVEL, DN 40 MM X 1 1/4 , INSTALADO EM RESERVAÇÃO DE ÁGUA DE EDIFICAÇÃO QUE POSSUA RESERVATÓRIO DE FIBRA/FIBROCIMENTO   FORNECIMENTO E INSTALAÇÃO. AF_06/2016</t>
  </si>
  <si>
    <t>94661</t>
  </si>
  <si>
    <t>LUVA, PVC, SOLDÁVEL, DN 40 MM, INSTALADO EM RESERVAÇÃO DE ÁGUA DE EDIFICAÇÃO QUE POSSUA RESERVATÓRIO DE FIBRA/FIBROCIMENTO   FORNECIMENTO E INSTALAÇÃO. AF_06/2016</t>
  </si>
  <si>
    <t>94662</t>
  </si>
  <si>
    <t>ADAPTADOR CURTO COM BOLSA E ROSCA PARA REGISTRO, PVC, SOLDÁVEL, DN 50 MM X 1 1/2 , INSTALADO EM RESERVAÇÃO DE ÁGUA DE EDIFICAÇÃO QUE POSSUA RESERVATÓRIO DE FIBRA/FIBROCIMENTO   FORNECIMENTO E INSTALAÇÃO. AF_06/2016</t>
  </si>
  <si>
    <t>94663</t>
  </si>
  <si>
    <t>LUVA, PVC, SOLDÁVEL, DN 50 MM, INSTALADO EM RESERVAÇÃO DE ÁGUA DE EDIFICAÇÃO QUE POSSUA RESERVATÓRIO DE FIBRA/FIBROCIMENTO   FORNECIMENTO E INSTALAÇÃO. AF_06/2016</t>
  </si>
  <si>
    <t>94664</t>
  </si>
  <si>
    <t>ADAPTADOR CURTO COM BOLSA E ROSCA PARA REGISTRO, PVC, SOLDÁVEL, DN 60 MM X 2 , INSTALADO EM RESERVAÇÃO DE ÁGUA DE EDIFICAÇÃO QUE POSSUA RESERVATÓRIO DE FIBRA/FIBROCIMENTO   FORNECIMENTO E INSTALAÇÃO. AF_06/2016</t>
  </si>
  <si>
    <t>94665</t>
  </si>
  <si>
    <t>LUVA, PVC, SOLDÁVEL, DN 60 MM, INSTALADO EM RESERVAÇÃO DE ÁGUA DE EDIFICAÇÃO QUE POSSUA RESERVATÓRIO DE FIBRA/FIBROCIMENTO   FORNECIMENTO E INSTALAÇÃO. AF_06/2016</t>
  </si>
  <si>
    <t>94666</t>
  </si>
  <si>
    <t>ADAPTADOR CURTO COM BOLSA E ROSCA PARA REGISTRO, PVC, SOLDÁVEL, DN 75 MM X 2 1/2 , INSTALADO EM RESERVAÇÃO DE ÁGUA DE EDIFICAÇÃO QUE POSSUA RESERVATÓRIO DE FIBRA/FIBROCIMENTO   FORNECIMENTO E INSTALAÇÃO. AF_06/2016</t>
  </si>
  <si>
    <t>94667</t>
  </si>
  <si>
    <t>LUVA, PVC, SOLDÁVEL, DN 75 MM, INSTALADO EM RESERVAÇÃO DE ÁGUA DE EDIFICAÇÃO QUE POSSUA RESERVATÓRIO DE FIBRA/FIBROCIMENTO   FORNECIMENTO E INSTALAÇÃO. AF_06/2016</t>
  </si>
  <si>
    <t>94668</t>
  </si>
  <si>
    <t>ADAPTADOR CURTO COM BOLSA E ROSCA PARA REGISTRO, PVC, SOLDÁVEL, DN 85 MM X 3 , INSTALADO EM RESERVAÇÃO DE ÁGUA DE EDIFICAÇÃO QUE POSSUA RESERVATÓRIO DE FIBRA/FIBROCIMENTO   FORNECIMENTO E INSTALAÇÃO. AF_06/2016</t>
  </si>
  <si>
    <t>94669</t>
  </si>
  <si>
    <t>LUVA, PVC, SOLDÁVEL, DN 85 MM, INSTALADO EM RESERVAÇÃO DE ÁGUA DE EDIFICAÇÃO QUE POSSUA RESERVATÓRIO DE FIBRA/FIBROCIMENTO   FORNECIMENTO E INSTALAÇÃO. AF_06/2016</t>
  </si>
  <si>
    <t>94670</t>
  </si>
  <si>
    <t>ADAPTADOR CURTO COM BOLSA E ROSCA PARA REGISTRO, PVC, SOLDÁVEL, DN 110 MM X 4 , INSTALADO EM RESERVAÇÃO DE ÁGUA DE EDIFICAÇÃO QUE POSSUA RESERVATÓRIO DE FIBRA/FIBROCIMENTO   FORNECIMENTO E INSTALAÇÃO. AF_06/2016</t>
  </si>
  <si>
    <t>94671</t>
  </si>
  <si>
    <t>LUVA, PVC, SOLDÁVEL, DN 110 MM, INSTALADO EM RESERVAÇÃO DE ÁGUA DE EDIFICAÇÃO QUE POSSUA RESERVATÓRIO DE FIBRA/FIBROCIMENTO   FORNECIMENTO E INSTALAÇÃO. AF_06/2016</t>
  </si>
  <si>
    <t>94672</t>
  </si>
  <si>
    <t>JOELHO 90 GRAUS COM BUCHA DE LATÃO, PVC, SOLDÁVEL, DN  25 MM, X 3/4 INSTALADO EM RESERVAÇÃO DE ÁGUA DE EDIFICAÇÃO QUE POSSUA RESERVATÓRIO DE FIBRA/FIBROCIMENTO   FORNECIMENTO E INSTALAÇÃO. AF_06/2016</t>
  </si>
  <si>
    <t>94673</t>
  </si>
  <si>
    <t>CURVA 90 GRAUS, PVC, SOLDÁVEL, DN  25 MM, INSTALADO EM RESERVAÇÃO DE ÁGUA DE EDIFICAÇÃO QUE POSSUA RESERVATÓRIO DE FIBRA/FIBROCIMENTO   FORNECIMENTO E INSTALAÇÃO. AF_06/2016</t>
  </si>
  <si>
    <t>94674</t>
  </si>
  <si>
    <t>JOELHO 90 GRAUS, PVC, SOLDÁVEL, DN 32 MM INSTALADO EM RESERVAÇÃO DE ÁGUA DE EDIFICAÇÃO QUE POSSUA RESERVATÓRIO DE FIBRA/FIBROCIMENTO   FORNECIMENTO E INSTALAÇÃO. AF_06/2016</t>
  </si>
  <si>
    <t>94675</t>
  </si>
  <si>
    <t>CURVA 90 GRAUS, PVC, SOLDÁVEL, DN 32 MM, INSTALADO EM RESERVAÇÃO DE ÁGUA DE EDIFICAÇÃO QUE POSSUA RESERVATÓRIO DE FIBRA/FIBROCIMENTO   FORNECIMENTO E INSTALAÇÃO. AF_06/2016</t>
  </si>
  <si>
    <t>94676</t>
  </si>
  <si>
    <t>JOELHO 90 GRAUS, PVC, SOLDÁVEL, DN 40 MM INSTALADO EM RESERVAÇÃO DE ÁGUA DE EDIFICAÇÃO QUE POSSUA RESERVATÓRIO DE FIBRA/FIBROCIMENTO   FORNECIMENTO E INSTALAÇÃO. AF_06/2016</t>
  </si>
  <si>
    <t>94677</t>
  </si>
  <si>
    <t>CURVA 90 GRAUS, PVC, SOLDÁVEL, DN 40 MM, INSTALADO EM RESERVAÇÃO DE ÁGUA DE EDIFICAÇÃO QUE POSSUA RESERVATÓRIO DE FIBRA/FIBROCIMENTO   FORNECIMENTO E INSTALAÇÃO. AF_06/2016</t>
  </si>
  <si>
    <t>94678</t>
  </si>
  <si>
    <t>JOELHO 90 GRAUS, PVC, SOLDÁVEL, DN 50 MM INSTALADO EM RESERVAÇÃO DE ÁGUA DE EDIFICAÇÃO QUE POSSUA RESERVATÓRIO DE FIBRA/FIBROCIMENTO   FORNECIMENTO E INSTALAÇÃO. AF_06/2016</t>
  </si>
  <si>
    <t>13,09</t>
  </si>
  <si>
    <t>94679</t>
  </si>
  <si>
    <t>CURVA 90 GRAUS, PVC, SOLDÁVEL, DN 50 MM, INSTALADO EM RESERVAÇÃO DE ÁGUA DE EDIFICAÇÃO QUE POSSUA RESERVATÓRIO DE FIBRA/FIBROCIMENTO   FORNECIMENTO E INSTALAÇÃO. AF_06/2016</t>
  </si>
  <si>
    <t>94680</t>
  </si>
  <si>
    <t>JOELHO 90 GRAUS, PVC, SOLDÁVEL, DN 60 MM INSTALADO EM RESERVAÇÃO DE ÁGUA DE EDIFICAÇÃO QUE POSSUA RESERVATÓRIO DE FIBRA/FIBROCIMENTO   FORNECIMENTO E INSTALAÇÃO. AF_06/2016</t>
  </si>
  <si>
    <t>94681</t>
  </si>
  <si>
    <t>CURVA 90 GRAUS, PVC, SOLDÁVEL, DN 60 MM, INSTALADO EM RESERVAÇÃO DE ÁGUA DE EDIFICAÇÃO QUE POSSUA RESERVATÓRIO DE FIBRA/FIBROCIMENTO   FORNECIMENTO E INSTALAÇÃO. AF_06/2016</t>
  </si>
  <si>
    <t>94682</t>
  </si>
  <si>
    <t>JOELHO 90 GRAUS, PVC, SOLDÁVEL, DN 75 MM INSTALADO EM RESERVAÇÃO DE ÁGUA DE EDIFICAÇÃO QUE POSSUA RESERVATÓRIO DE FIBRA/FIBROCIMENTO   FORNECIMENTO E INSTALAÇÃO. AF_06/2016</t>
  </si>
  <si>
    <t>94683</t>
  </si>
  <si>
    <t>CURVA 90 GRAUS, PVC, SOLDÁVEL, DN 75 MM, INSTALADO EM RESERVAÇÃO DE ÁGUA DE EDIFICAÇÃO QUE POSSUA RESERVATÓRIO DE FIBRA/FIBROCIMENTO   FORNECIMENTO E INSTALAÇÃO. AF_06/2016</t>
  </si>
  <si>
    <t>94684</t>
  </si>
  <si>
    <t>JOELHO 90 GRAUS, PVC, SOLDÁVEL, DN 85 MM INSTALADO EM RESERVAÇÃO DE ÁGUA DE EDIFICAÇÃO QUE POSSUA RESERVATÓRIO DE FIBRA/FIBROCIMENTO   FORNECIMENTO E INSTALAÇÃO. AF_06/2016</t>
  </si>
  <si>
    <t>94685</t>
  </si>
  <si>
    <t>CURVA 90 GRAUS, PVC, SOLDÁVEL, DN 85 MM, INSTALADO EM RESERVAÇÃO DE ÁGUA DE EDIFICAÇÃO QUE POSSUA RESERVATÓRIO DE FIBRA/FIBROCIMENTO   FORNECIMENTO E INSTALAÇÃO. AF_06/2016</t>
  </si>
  <si>
    <t>94686</t>
  </si>
  <si>
    <t>JOELHO 90 GRAUS, PVC, SOLDÁVEL, DN 110 MM INSTALADO EM RESERVAÇÃO DE ÁGUA DE EDIFICAÇÃO QUE POSSUA RESERVATÓRIO DE FIBRA/FIBROCIMENTO   FORNECIMENTO E INSTALAÇÃO. AF_06/2016</t>
  </si>
  <si>
    <t>94687</t>
  </si>
  <si>
    <t>CURVA 90 GRAUS, PVC, SOLDÁVEL, DN 110 MM, INSTALADO EM RESERVAÇÃO DE ÁGUA DE EDIFICAÇÃO QUE POSSUA RESERVATÓRIO DE FIBRA/FIBROCIMENTO   FORNECIMENTO E INSTALAÇÃO. AF_06/2016</t>
  </si>
  <si>
    <t>94688</t>
  </si>
  <si>
    <t>TÊ, PVC, SOLDÁVEL, DN  25 MM INSTALADO EM RESERVAÇÃO DE ÁGUA DE EDIFICAÇÃO QUE POSSUA RESERVATÓRIO DE FIBRA/FIBROCIMENTO   FORNECIMENTO E INSTALAÇÃO. AF_06/2016</t>
  </si>
  <si>
    <t>94689</t>
  </si>
  <si>
    <t>TÊ COM BUCHA DE LATÃO NA BOLSA CENTRAL, PVC, SOLDÁVEL, DN  25 MM X 3/4 , INSTALADO EM RESERVAÇÃO DE ÁGUA DE EDIFICAÇÃO QUE POSSUA RESERVATÓRIO DE FIBRA/FIBROCIMENTO   FORNECIMENTO E INSTALAÇÃO. AF_06/2016</t>
  </si>
  <si>
    <t>94690</t>
  </si>
  <si>
    <t>TÊ, PVC, SOLDÁVEL, DN 32 MM INSTALADO EM RESERVAÇÃO DE ÁGUA DE EDIFICAÇÃO QUE POSSUA RESERVATÓRIO DE FIBRA/FIBROCIMENTO   FORNECIMENTO E INSTALAÇÃO. AF_06/2016</t>
  </si>
  <si>
    <t>94691</t>
  </si>
  <si>
    <t>TÊ DE REDUÇÃO, PVC, SOLDÁVEL, DN 32 MM X  25 MM, INSTALADO EM RESERVAÇÃO DE ÁGUA DE EDIFICAÇÃO QUE POSSUA RESERVATÓRIO DE FIBRA/FIBROCIMENTO   FORNECIMENTO E INSTALAÇÃO. AF_06/2016</t>
  </si>
  <si>
    <t>94692</t>
  </si>
  <si>
    <t>TÊ, PVC, SOLDÁVEL, DN 40 MM INSTALADO EM RESERVAÇÃO DE ÁGUA DE EDIFICAÇÃO QUE POSSUA RESERVATÓRIO DE FIBRA/FIBROCIMENTO   FORNECIMENTO E INSTALAÇÃO. AF_06/2016</t>
  </si>
  <si>
    <t>94693</t>
  </si>
  <si>
    <t>TÊ DE REDUÇÃO, PVC, SOLDÁVEL, DN 40 MM X 32 MM, INSTALADO EM RESERVAÇÃO DE ÁGUA DE EDIFICAÇÃO QUE POSSUA RESERVATÓRIO DE FIBRA/FIBROCIMENTO   FORNECIMENTO E INSTALAÇÃO. AF_06/2016</t>
  </si>
  <si>
    <t>94694</t>
  </si>
  <si>
    <t>TÊ, PVC, SOLDÁVEL, DN 50 MM INSTALADO EM RESERVAÇÃO DE ÁGUA DE EDIFICAÇÃO QUE POSSUA RESERVATÓRIO DE FIBRA/FIBROCIMENTO   FORNECIMENTO E INSTALAÇÃO. AF_06/2016</t>
  </si>
  <si>
    <t>94695</t>
  </si>
  <si>
    <t>TÊ DE REDUÇÃO, PVC, SOLDÁVEL, DN 50 MM X 40 MM, INSTALADO EM RESERVAÇÃO DE ÁGUA DE EDIFICAÇÃO QUE POSSUA RESERVATÓRIO DE FIBRA/FIBROCIMENTO   FORNECIMENTO E INSTALAÇÃO. AF_06/2016</t>
  </si>
  <si>
    <t>94696</t>
  </si>
  <si>
    <t>TÊ, PVC, SOLDÁVEL, DN 60 MM INSTALADO EM RESERVAÇÃO DE ÁGUA DE EDIFICAÇÃO QUE POSSUA RESERVATÓRIO DE FIBRA/FIBROCIMENTO   FORNECIMENTO E INSTALAÇÃO. AF_06/2016</t>
  </si>
  <si>
    <t>94697</t>
  </si>
  <si>
    <t>TÊ, PVC, SOLDÁVEL, DN 75 MM INSTALADO EM RESERVAÇÃO DE ÁGUA DE EDIFICAÇÃO QUE POSSUA RESERVATÓRIO DE FIBRA/FIBROCIMENTO   FORNECIMENTO E INSTALAÇÃO. AF_06/2016</t>
  </si>
  <si>
    <t>94698</t>
  </si>
  <si>
    <t>TÊ DE REDUÇÃO, PVC, SOLDÁVEL, DN 75 MM X 50 MM, INSTALADO EM RESERVAÇÃO DE ÁGUA DE EDIFICAÇÃO QUE POSSUA RESERVATÓRIO DE FIBRA/FIBROCIMENTO   FORNECIMENTO E INSTALAÇÃO. AF_06/2016</t>
  </si>
  <si>
    <t>94699</t>
  </si>
  <si>
    <t>TÊ, PVC, SOLDÁVEL, DN 85 MM INSTALADO EM RESERVAÇÃO DE ÁGUA DE EDIFICAÇÃO QUE POSSUA RESERVATÓRIO DE FIBRA/FIBROCIMENTO   FORNECIMENTO E INSTALAÇÃO. AF_06/2016</t>
  </si>
  <si>
    <t>94700</t>
  </si>
  <si>
    <t>TÊ DE REDUÇÃO, PVC, SOLDÁVEL, DN 85 MM X 60 MM, INSTALADO EM RESERVAÇÃO DE ÁGUA DE EDIFICAÇÃO QUE POSSUA RESERVATÓRIO DE FIBRA/FIBROCIMENTO   FORNECIMENTO E INSTALAÇÃO. AF_06/2016</t>
  </si>
  <si>
    <t>94701</t>
  </si>
  <si>
    <t>TÊ, PVC, SOLDÁVEL, DN 110 MM INSTALADO EM RESERVAÇÃO DE ÁGUA DE EDIFICAÇÃO QUE POSSUA RESERVATÓRIO DE FIBRA/FIBROCIMENTO   FORNECIMENTO E INSTALAÇÃO. AF_06/2016</t>
  </si>
  <si>
    <t>94702</t>
  </si>
  <si>
    <t>TÊ DE REDUÇÃO, PVC, SOLDÁVEL, DN 110 MM X 60 MM, INSTALADO EM RESERVAÇÃO DE ÁGUA DE EDIFICAÇÃO QUE POSSUA RESERVATÓRIO DE FIBRA/FIBROCIMENTO   FORNECIMENTO E INSTALAÇÃO. AF_06/2016</t>
  </si>
  <si>
    <t>94703</t>
  </si>
  <si>
    <t>ADAPTADOR COM FLANGE E ANEL DE VEDAÇÃO, PVC, SOLDÁVEL, DN  25 MM X 3/4 , INSTALADO EM RESERVAÇÃO DE ÁGUA DE EDIFICAÇÃO QUE POSSUA RESERVATÓRIO DE FIBRA/FIBROCIMENTO   FORNECIMENTO E INSTALAÇÃO. AF_06/2016</t>
  </si>
  <si>
    <t>15,08</t>
  </si>
  <si>
    <t>94704</t>
  </si>
  <si>
    <t>ADAPTADOR COM FLANGE E ANEL DE VEDAÇÃO, PVC, SOLDÁVEL, DN 32 MM X 1 , INSTALADO EM RESERVAÇÃO DE ÁGUA DE EDIFICAÇÃO QUE POSSUA RESERVATÓRIO DE FIBRA/FIBROCIMENTO   FORNECIMENTO E INSTALAÇÃO. AF_06/2016</t>
  </si>
  <si>
    <t>94705</t>
  </si>
  <si>
    <t>ADAPTADOR COM FLANGE E ANEL DE VEDAÇÃO, PVC, SOLDÁVEL, DN 40 MM X 1 1/4 , INSTALADO EM RESERVAÇÃO DE ÁGUA DE EDIFICAÇÃO QUE POSSUA RESERVATÓRIO DE FIBRA/FIBROCIMENTO   FORNECIMENTO E INSTALAÇÃO. AF_06/2016</t>
  </si>
  <si>
    <t>94706</t>
  </si>
  <si>
    <t>ADAPTADOR COM FLANGE E ANEL DE VEDAÇÃO, PVC, SOLDÁVEL, DN 50 MM X 1 1/2 , INSTALADO EM RESERVAÇÃO DE ÁGUA DE EDIFICAÇÃO QUE POSSUA RESERVATÓRIO DE FIBRA/FIBROCIMENTO   FORNECIMENTO E INSTALAÇÃO. AF_06/2016</t>
  </si>
  <si>
    <t>94707</t>
  </si>
  <si>
    <t>ADAPTADOR COM FLANGE E ANEL DE VEDAÇÃO, PVC, SOLDÁVEL, DN 60 MM X 2 , INSTALADO EM RESERVAÇÃO DE ÁGUA DE EDIFICAÇÃO QUE POSSUA RESERVATÓRIO DE FIBRA/FIBROCIMENTO   FORNECIMENTO E INSTALAÇÃO. AF_06/2016</t>
  </si>
  <si>
    <t>94713</t>
  </si>
  <si>
    <t>ADAPTADOR COM FLANGES LIVRES, PVC, SOLDÁVEL, DN 75 MM X 2 1/2 , INSTALADO EM RESERVAÇÃO DE ÁGUA DE EDIFICAÇÃO QUE POSSUA RESERVATÓRIO DE FIBRA/FIBROCIMENTO   FORNECIMENTO E INSTALAÇÃO. AF_06/2016</t>
  </si>
  <si>
    <t>94714</t>
  </si>
  <si>
    <t>ADAPTADOR COM FLANGES LIVRES, PVC, SOLDÁVEL, DN 85 MM X 3 , INSTALADO EM RESERVAÇÃO DE ÁGUA DE EDIFICAÇÃO QUE POSSUA RESERVATÓRIO DE FIBRA/FIBROCIMENTO   FORNECIMENTO E INSTALAÇÃO. AF_06/2016</t>
  </si>
  <si>
    <t>94715</t>
  </si>
  <si>
    <t>ADAPTADOR COM FLANGES LIVRES, PVC, SOLDÁVEL, DN 110 MM X 4 , INSTALADO EM RESERVAÇÃO DE ÁGUA DE EDIFICAÇÃO QUE POSSUA RESERVATÓRIO DE FIBRA/FIBROCIMENTO   FORNECIMENTO E INSTALAÇÃO. AF_06/2016</t>
  </si>
  <si>
    <t>94724</t>
  </si>
  <si>
    <t>CONECTOR, CPVC, SOLDÁVEL, DN 22 MM X 3/4, INSTALADO EM RESERVAÇÃO DE ÁGUA DE EDIFICAÇÃO QUE POSSUA RESERVATÓRIO DE FIBRA/FIBROCIMENTO  FORNECIMENTO E INSTALAÇÃO. AF_06/2016</t>
  </si>
  <si>
    <t>94725</t>
  </si>
  <si>
    <t>LUVA, CPVC, SOLDÁVEL, DN 22 MM, INSTALADO EM RESERVAÇÃO DE ÁGUA DE EDIFICAÇÃO QUE POSSUA RESERVATÓRIO DE FIBRA/FIBROCIMENTO  FORNECIMENTO E INSTALAÇÃO. AF_06/2016</t>
  </si>
  <si>
    <t>94726</t>
  </si>
  <si>
    <t>CONECTOR, CPVC, SOLDÁVEL, DN 28 MM X 1, INSTALADO EM RESERVAÇÃO DE ÁGUA DE EDIFICAÇÃO QUE POSSUA RESERVATÓRIO DE FIBRA/FIBROCIMENTO  FORNECIMENTO E INSTALAÇÃO. AF_06/2016</t>
  </si>
  <si>
    <t>94727</t>
  </si>
  <si>
    <t>LUVA, CPVC, SOLDÁVEL, DN 28 MM, INSTALADO EM RESERVAÇÃO DE ÁGUA DE EDIFICAÇÃO QUE POSSUA RESERVATÓRIO DE FIBRA/FIBROCIMENTO  FORNECIMENTO E INSTALAÇÃO. AF_06/2016</t>
  </si>
  <si>
    <t>94728</t>
  </si>
  <si>
    <t>CONECTOR, CPVC, SOLDÁVEL, DN 35 MM X 1 1/4, INSTALADO EM RESERVAÇÃO DE ÁGUA DE EDIFICAÇÃO QUE POSSUA RESERVATÓRIO DE FIBRA/FIBROCIMENTO  FORNECIMENTO E INSTALAÇÃO. AF_06/2016</t>
  </si>
  <si>
    <t>94729</t>
  </si>
  <si>
    <t>LUVA, CPVC, SOLDÁVEL, DN 35 MM, INSTALADO EM RESERVAÇÃO DE ÁGUA DE EDIFICAÇÃO QUE POSSUA RESERVATÓRIO DE FIBRA/FIBROCIMENTO  FORNECIMENTO E INSTALAÇÃO. AF_06/2016</t>
  </si>
  <si>
    <t>94730</t>
  </si>
  <si>
    <t>CONECTOR, CPVC, SOLDÁVEL, DN 42 MM X 1 1/2, INSTALADO EM RESERVAÇÃO DE ÁGUA DE EDIFICAÇÃO QUE POSSUA RESERVATÓRIO DE FIBRA/FIBROCIMENTO  FORNECIMENTO E INSTALAÇÃO. AF_06/2016</t>
  </si>
  <si>
    <t>94731</t>
  </si>
  <si>
    <t>LUVA, CPVC, SOLDÁVEL, DN 42 MM, INSTALADO EM RESERVAÇÃO DE ÁGUA DE EDIFICAÇÃO QUE POSSUA RESERVATÓRIO DE FIBRA/FIBROCIMENTO  FORNECIMENTO E INSTALAÇÃO. AF_06/2016</t>
  </si>
  <si>
    <t>94733</t>
  </si>
  <si>
    <t>LUVA, CPVC, SOLDÁVEL, DN 54 MM, INSTALADO EM RESERVAÇÃO DE ÁGUA DE EDIFICAÇÃO QUE POSSUA RESERVATÓRIO DE FIBRA/FIBROCIMENTO  FORNECIMENTO E INSTALAÇÃO. AF_06/2016</t>
  </si>
  <si>
    <t>94737</t>
  </si>
  <si>
    <t>LUVA, CPVC, SOLDÁVEL, DN 89 MM, INSTALADO EM RESERVAÇÃO DE ÁGUA DE EDIFICAÇÃO QUE POSSUA RESERVATÓRIO DE FIBRA/FIBROCIMENTO  FORNECIMENTO E INSTALAÇÃO. AF_06/2016</t>
  </si>
  <si>
    <t>94740</t>
  </si>
  <si>
    <t>JOELHO 90 GRAUS, CPVC, SOLDÁVEL, DN 22 MM, INSTALADO EM RESERVAÇÃO DE ÁGUA DE EDIFICAÇÃO QUE POSSUA RESERVATÓRIO DE FIBRA/FIBROCIMENTO  FORNECIMENTO E INSTALAÇÃO. AF_06/2016</t>
  </si>
  <si>
    <t>7,25</t>
  </si>
  <si>
    <t>94741</t>
  </si>
  <si>
    <t>CURVA 90 GRAUS, CPVC, SOLDÁVEL, DN 22 MM, INSTALADO EM RESERVAÇÃO DE ÁGUA DE EDIFICAÇÃO QUE POSSUA RESERVATÓRIO DE FIBRA/FIBROCIMENTO  FORNECIMENTO E INSTALAÇÃO. AF_06/2016</t>
  </si>
  <si>
    <t>94742</t>
  </si>
  <si>
    <t>JOELHO 90 GRAUS, CPVC, SOLDÁVEL, DN 28 MM, INSTALADO EM RESERVAÇÃO DE ÁGUA DE EDIFICAÇÃO QUE POSSUA RESERVATÓRIO DE FIBRA/FIBROCIMENTO  FORNECIMENTO E INSTALAÇÃO. AF_06/2016</t>
  </si>
  <si>
    <t>94743</t>
  </si>
  <si>
    <t>CURVA 90 GRAUS, CPVC, SOLDÁVEL, DN 28 MM, INSTALADO EM RESERVAÇÃO DE ÁGUA DE EDIFICAÇÃO QUE POSSUA RESERVATÓRIO DE FIBRA/FIBROCIMENTO  FORNECIMENTO E INSTALAÇÃO. AF_06/2016</t>
  </si>
  <si>
    <t>11,82</t>
  </si>
  <si>
    <t>94744</t>
  </si>
  <si>
    <t>JOELHO 90 GRAUS, CPVC, SOLDÁVEL, DN 35 MM, INSTALADO EM RESERVAÇÃO DE ÁGUA DE EDIFICAÇÃO QUE POSSUA RESERVATÓRIO DE FIBRA/FIBROCIMENTO  FORNECIMENTO E INSTALAÇÃO. AF_06/2016</t>
  </si>
  <si>
    <t>94746</t>
  </si>
  <si>
    <t>JOELHO 90 GRAUS, CPVC, SOLDÁVEL, DN 42 MM, INSTALADO EM RESERVAÇÃO DE ÁGUA DE EDIFICAÇÃO QUE POSSUA RESERVATÓRIO DE FIBRA/FIBROCIMENTO  FORNECIMENTO E INSTALAÇÃO. AF_06/2016</t>
  </si>
  <si>
    <t>94748</t>
  </si>
  <si>
    <t>JOELHO 90 GRAUS, CPVC, SOLDÁVEL, DN 54 MM, INSTALADO EM RESERVAÇÃO DE ÁGUA DE EDIFICAÇÃO QUE POSSUA RESERVATÓRIO DE FIBRA/FIBROCIMENTO  FORNECIMENTO E INSTALAÇÃO. AF_06/2016</t>
  </si>
  <si>
    <t>94750</t>
  </si>
  <si>
    <t>JOELHO 90 GRAUS, CPVC, SOLDÁVEL, DN 73 MM, INSTALADO EM RESERVAÇÃO DE ÁGUA DE EDIFICAÇÃO QUE POSSUA RESERVATÓRIO DE FIBRA/FIBROCIMENTO  FORNECIMENTO E INSTALAÇÃO. AF_06/2016</t>
  </si>
  <si>
    <t>94752</t>
  </si>
  <si>
    <t>JOELHO 90 GRAUS, CPVC, SOLDÁVEL, DN 89 MM, INSTALADO EM RESERVAÇÃO DE ÁGUA DE EDIFICAÇÃO QUE POSSUA RESERVATÓRIO DE FIBRA/FIBROCIMENTO  FORNECIMENTO E INSTALAÇÃO. AF_06/2016</t>
  </si>
  <si>
    <t>94756</t>
  </si>
  <si>
    <t>TE, CPVC, SOLDÁVEL, DN 22 MM, INSTALADO EM RESERVAÇÃO DE ÁGUA DE EDIFICAÇÃO QUE POSSUA RESERVATÓRIO DE FIBRA/FIBROCIMENTO  FORNECIMENTO E INSTALAÇÃO. AF_06/2016</t>
  </si>
  <si>
    <t>94757</t>
  </si>
  <si>
    <t>TE, CPVC, SOLDÁVEL, DN 28 MM, INSTALADO EM RESERVAÇÃO DE ÁGUA DE EDIFICAÇÃO QUE POSSUA RESERVATÓRIO DE FIBRA/FIBROCIMENTO  FORNECIMENTO E INSTALAÇÃO. AF_06/2016</t>
  </si>
  <si>
    <t>94758</t>
  </si>
  <si>
    <t>TE, CPVC, SOLDÁVEL, DN 35 MM, INSTALADO EM RESERVAÇÃO DE ÁGUA DE EDIFICAÇÃO QUE POSSUA RESERVATÓRIO DE FIBRA/FIBROCIMENTO  FORNECIMENTO E INSTALAÇÃO. AF_06/2016</t>
  </si>
  <si>
    <t>94759</t>
  </si>
  <si>
    <t>TE, CPVC, SOLDÁVEL, DN 42 MM, INSTALADO EM RESERVAÇÃO DE ÁGUA DE EDIFICAÇÃO QUE POSSUA RESERVATÓRIO DE FIBRA/FIBROCIMENTO  FORNECIMENTO E INSTALAÇÃO. AF_06/2016</t>
  </si>
  <si>
    <t>94760</t>
  </si>
  <si>
    <t>TE, CPVC, SOLDÁVEL, DN 54 MM, INSTALADO EM RESERVAÇÃO DE ÁGUA DE EDIFICAÇÃO QUE POSSUA RESERVATÓRIO DE FIBRA/FIBROCIMENTO  FORNECIMENTO E INSTALAÇÃO. AF_06/2016</t>
  </si>
  <si>
    <t>94761</t>
  </si>
  <si>
    <t>TE, CPVC, SOLDÁVEL, DN 73 MM, INSTALADO EM RESERVAÇÃO DE ÁGUA DE EDIFICAÇÃO QUE POSSUA RESERVATÓRIO DE FIBRA/FIBROCIMENTO  FORNECIMENTO E INSTALAÇÃO. AF_06/2016</t>
  </si>
  <si>
    <t>94762</t>
  </si>
  <si>
    <t>TE, CPVC, SOLDÁVEL, DN 89 MM, INSTALADO EM RESERVAÇÃO DE ÁGUA DE EDIFICAÇÃO QUE POSSUA RESERVATÓRIO DE FIBRA/FIBROCIMENTO  FORNECIMENTO E INSTALAÇÃO. AF_06/2016</t>
  </si>
  <si>
    <t>94783</t>
  </si>
  <si>
    <t>ADAPTADOR COM FLANGE E ANEL DE VEDAÇÃO, PVC, SOLDÁVEL, DN  20 MM X 1/2 , INSTALADO EM RESERVAÇÃO DE ÁGUA DE EDIFICAÇÃO QUE POSSUA RESERVATÓRIO DE FIBRA/FIBROCIMENTO   FORNECIMENTO E INSTALAÇÃO. AF_06/2016</t>
  </si>
  <si>
    <t>94785</t>
  </si>
  <si>
    <t>ADAPTADOR COM FLANGES LIVRES, PVC, SOLDÁVEL LONGO, DN 32 MM X 1 , INSTALADO EM RESERVAÇÃO DE ÁGUA DE EDIFICAÇÃO QUE POSSUA RESERVATÓRIO DE FIBRA/FIBROCIMENTO   FORNECIMENTO E INSTALAÇÃO. AF_06/2016</t>
  </si>
  <si>
    <t>94789</t>
  </si>
  <si>
    <t>ADAPTADOR COM FLANGES LIVRES, PVC, SOLDÁVEL LONGO, DN 75 MM X 2 1/2 , INSTALADO EM RESERVAÇÃO DE ÁGUA DE EDIFICAÇÃO QUE POSSUA RESERVATÓRIO DE FIBRA/FIBROCIMENTO   FORNECIMENTO E INSTALAÇÃO. AF_06/2016</t>
  </si>
  <si>
    <t>94790</t>
  </si>
  <si>
    <t>ADAPTADOR COM FLANGES LIVRES, PVC, SOLDÁVEL LONGO, DN 85 MM X 3 , INSTALADO EM RESERVAÇÃO DE ÁGUA DE EDIFICAÇÃO QUE POSSUA RESERVATÓRIO DE FIBRA/FIBROCIMENTO   FORNECIMENTO E INSTALAÇÃO. AF_06/2016</t>
  </si>
  <si>
    <t>94791</t>
  </si>
  <si>
    <t>ADAPTADOR COM FLANGES LIVRES, PVC, SOLDÁVEL LONGO, DN 110 MM X 4 , INSTALADO EM RESERVAÇÃO DE ÁGUA DE EDIFICAÇÃO QUE POSSUA RESERVATÓRIO DE FIBRA/FIBROCIMENTO   FORNECIMENTO E INSTALAÇÃO. AF_06/2016</t>
  </si>
  <si>
    <t>94863</t>
  </si>
  <si>
    <t>LUVA, CPVC, SOLDÁVEL, DN 73 MM, INSTALADO EM RESERVAÇÃO DE ÁGUA DE EDIFICAÇÃO QUE POSSUA RESERVATÓRIO DE FIBRA/FIBROCIMENTO  FORNECIMENTO E INSTALAÇÃO. AF_06/2016</t>
  </si>
  <si>
    <t>95237</t>
  </si>
  <si>
    <t>95693</t>
  </si>
  <si>
    <t>95694</t>
  </si>
  <si>
    <t>95695</t>
  </si>
  <si>
    <t>95696</t>
  </si>
  <si>
    <t>96637</t>
  </si>
  <si>
    <t>96638</t>
  </si>
  <si>
    <t>10,00</t>
  </si>
  <si>
    <t>96639</t>
  </si>
  <si>
    <t>96640</t>
  </si>
  <si>
    <t>96641</t>
  </si>
  <si>
    <t>96642</t>
  </si>
  <si>
    <t>96643</t>
  </si>
  <si>
    <t>96650</t>
  </si>
  <si>
    <t>96651</t>
  </si>
  <si>
    <t>96652</t>
  </si>
  <si>
    <t>96653</t>
  </si>
  <si>
    <t>96654</t>
  </si>
  <si>
    <t>96655</t>
  </si>
  <si>
    <t>96656</t>
  </si>
  <si>
    <t>96657</t>
  </si>
  <si>
    <t>96658</t>
  </si>
  <si>
    <t>96659</t>
  </si>
  <si>
    <t>96660</t>
  </si>
  <si>
    <t>96661</t>
  </si>
  <si>
    <t>96662</t>
  </si>
  <si>
    <t>96663</t>
  </si>
  <si>
    <t>96664</t>
  </si>
  <si>
    <t>96665</t>
  </si>
  <si>
    <t>96666</t>
  </si>
  <si>
    <t>96667</t>
  </si>
  <si>
    <t>96684</t>
  </si>
  <si>
    <t>96685</t>
  </si>
  <si>
    <t>3,30</t>
  </si>
  <si>
    <t>96686</t>
  </si>
  <si>
    <t>96687</t>
  </si>
  <si>
    <t>96688</t>
  </si>
  <si>
    <t>96689</t>
  </si>
  <si>
    <t>96690</t>
  </si>
  <si>
    <t>96691</t>
  </si>
  <si>
    <t>96692</t>
  </si>
  <si>
    <t>96693</t>
  </si>
  <si>
    <t>96694</t>
  </si>
  <si>
    <t>96695</t>
  </si>
  <si>
    <t>96696</t>
  </si>
  <si>
    <t>96697</t>
  </si>
  <si>
    <t>96698</t>
  </si>
  <si>
    <t>96699</t>
  </si>
  <si>
    <t>96700</t>
  </si>
  <si>
    <t>96701</t>
  </si>
  <si>
    <t>4,00</t>
  </si>
  <si>
    <t>96702</t>
  </si>
  <si>
    <t>96703</t>
  </si>
  <si>
    <t>96704</t>
  </si>
  <si>
    <t>96705</t>
  </si>
  <si>
    <t>12,03</t>
  </si>
  <si>
    <t>96706</t>
  </si>
  <si>
    <t>96707</t>
  </si>
  <si>
    <t>96708</t>
  </si>
  <si>
    <t>96709</t>
  </si>
  <si>
    <t>96710</t>
  </si>
  <si>
    <t>5,07</t>
  </si>
  <si>
    <t>96711</t>
  </si>
  <si>
    <t>96712</t>
  </si>
  <si>
    <t>96713</t>
  </si>
  <si>
    <t>96714</t>
  </si>
  <si>
    <t>96715</t>
  </si>
  <si>
    <t>96716</t>
  </si>
  <si>
    <t>96717</t>
  </si>
  <si>
    <t>96736</t>
  </si>
  <si>
    <t>LUVA, PPR, DN 20 MM, CLASSE PN 25, INSTALADO EM RESERVAÇÃO DE ÁGUA DE EDIFICAÇÃO QUE POSSUA RESERVATÓRIO DE FIBRA/FIBROCIMENTO  FORNECIMENTO E INSTALAÇÃO. AF_06/2016</t>
  </si>
  <si>
    <t>96737</t>
  </si>
  <si>
    <t>LUVA, PPR, DN 25 MM, CLASSE PN 25, INSTALADO EM RESERVAÇÃO DE ÁGUA DE EDIFICAÇÃO QUE POSSUA RESERVATÓRIO DE FIBRA/FIBROCIMENTO  FORNECIMENTO E INSTALAÇÃO. AF_06/2016</t>
  </si>
  <si>
    <t>96738</t>
  </si>
  <si>
    <t>CONECTOR MACHO, PPR, 25 X 1/2'', CLASSE PN 25,  INSTALADO EM RESERVAÇÃO DE ÁGUA DE EDIFICAÇÃO QUE POSSUA RESERVATÓRIO DE FIBRA/FIBROCIMENTO   FORNECIMENTO E INSTALAÇÃO. AF_06/2016</t>
  </si>
  <si>
    <t>96739</t>
  </si>
  <si>
    <t>LUVA, PPR, DN 32 MM, CLASSE PN 25, INSTALADO EM RESERVAÇÃO DE ÁGUA DE EDIFICAÇÃO QUE POSSUA RESERVATÓRIO DE FIBRA/FIBROCIMENTO  FORNECIMENTO E INSTALAÇÃO. AF_06/2016</t>
  </si>
  <si>
    <t>96740</t>
  </si>
  <si>
    <t>CONECTOR MACHO, PPR, 32 X 3/4'', CLASSE PN 25,  INSTALADO EM RESERVAÇÃO DE ÁGUA DE EDIFICAÇÃO QUE POSSUA RESERVATÓRIO DE FIBRA/FIBROCIMENTO   FORNECIMENTO E INSTALAÇÃO. AF_06/2016</t>
  </si>
  <si>
    <t>96741</t>
  </si>
  <si>
    <t>LUVA, PPR, DN 40 MM, CLASSE PN 25, INSTALADO EM RESERVAÇÃO DE ÁGUA DE EDIFICAÇÃO QUE POSSUA RESERVATÓRIO DE FIBRA/FIBROCIMENTO  FORNECIMENTO E INSTALAÇÃO. AF_06/2016</t>
  </si>
  <si>
    <t>96742</t>
  </si>
  <si>
    <t>LUVA, PPR, DN 50 MM, CLASSE PN 25, INSTALADO EM RESERVAÇÃO DE ÁGUA DE EDIFICAÇÃO QUE POSSUA RESERVATÓRIO DE FIBRA/FIBROCIMENTO  FORNECIMENTO E INSTALAÇÃO. AF_06/2016</t>
  </si>
  <si>
    <t>96743</t>
  </si>
  <si>
    <t>LUVA, PPR, DN 63 MM, CLASSE PN 25, INSTALADO EM RESERVAÇÃO DE ÁGUA DE EDIFICAÇÃO QUE POSSUA RESERVATÓRIO DE FIBRA/FIBROCIMENTO  FORNECIMENTO E INSTALAÇÃO. AF_06/2016</t>
  </si>
  <si>
    <t>96744</t>
  </si>
  <si>
    <t>LUVA, PPR, DN 75 MM, CLASSE PN 25, INSTALADO EM RESERVAÇÃO DE ÁGUA DE EDIFICAÇÃO QUE POSSUA RESERVATÓRIO DE FIBRA/FIBROCIMENTO  FORNECIMENTO E INSTALAÇÃO. AF_06/2016</t>
  </si>
  <si>
    <t>96745</t>
  </si>
  <si>
    <t>LUVA, PPR, DN 90 MM, CLASSE PN 25, INSTALADO EM RESERVAÇÃO DE ÁGUA DE EDIFICAÇÃO QUE POSSUA RESERVATÓRIO DE FIBRA/FIBROCIMENTO  FORNECIMENTO E INSTALAÇÃO. AF_06/2016</t>
  </si>
  <si>
    <t>96746</t>
  </si>
  <si>
    <t>LUVA, PPR, DN 110 MM, CLASSE PN 25, INSTALADO EM RESERVAÇÃO DE ÁGUA DE EDIFICAÇÃO QUE POSSUA RESERVATÓRIO DE FIBRA/FIBROCIMENTO  FORNECIMENTO E INSTALAÇÃO. AF_06/2016</t>
  </si>
  <si>
    <t>96747</t>
  </si>
  <si>
    <t>JOELHO 90 GRAUS, PPR, DN 20 MM, CLASSE PN 25,  INSTALADO EM RESERVAÇÃO DE ÁGUA DE EDIFICAÇÃO QUE POSSUA RESERVATÓRIO DE FIBRA/FIBROCIMENTO  FORNECIMENTO E INSTALAÇÃO. AF_06/2016</t>
  </si>
  <si>
    <t>96748</t>
  </si>
  <si>
    <t>JOELHO 90 GRAUS, PPR, DN 25 MM, CLASSE PN 25,  INSTALADO EM RESERVAÇÃO DE ÁGUA DE EDIFICAÇÃO QUE POSSUA RESERVATÓRIO DE FIBRA/FIBROCIMENTO  FORNECIMENTO E INSTALAÇÃO. AF_06/2016</t>
  </si>
  <si>
    <t>96749</t>
  </si>
  <si>
    <t>JOELHO 90 GRAUS, PPR, DN 32 MM, CLASSE PN 25,  INSTALADO EM RESERVAÇÃO DE ÁGUA DE EDIFICAÇÃO QUE POSSUA RESERVATÓRIO DE FIBRA/FIBROCIMENTO  FORNECIMENTO E INSTALAÇÃO. AF_06/2016</t>
  </si>
  <si>
    <t>96750</t>
  </si>
  <si>
    <t>JOELHO 90 GRAUS, PPR, DN 40 MM, CLASSE PN 25,  INSTALADO EM RESERVAÇÃO DE ÁGUA DE EDIFICAÇÃO QUE POSSUA RESERVATÓRIO DE FIBRA/FIBROCIMENTO  FORNECIMENTO E INSTALAÇÃO. AF_06/2016</t>
  </si>
  <si>
    <t>96751</t>
  </si>
  <si>
    <t>JOELHO 90 GRAUS, PPR, DN 50 MM, CLASSE PN 25,  INSTALADO EM RESERVAÇÃO DE ÁGUA DE EDIFICAÇÃO QUE POSSUA RESERVATÓRIO DE FIBRA/FIBROCIMENTO  FORNECIMENTO E INSTALAÇÃO. AF_06/2016</t>
  </si>
  <si>
    <t>96752</t>
  </si>
  <si>
    <t>JOELHO 90 GRAUS, PPR, DN 63 MM, CLASSE PN 25,  INSTALADO EM RESERVAÇÃO DE ÁGUA DE EDIFICAÇÃO QUE POSSUA RESERVATÓRIO DE FIBRA/FIBROCIMENTO  FORNECIMENTO E INSTALAÇÃO. AF_06/2016</t>
  </si>
  <si>
    <t>96753</t>
  </si>
  <si>
    <t>JOELHO 90 GRAUS, PPR, DN 75 MM, CLASSE PN 25,  INSTALADO EM RESERVAÇÃO DE ÁGUA DE EDIFICAÇÃO QUE POSSUA RESERVATÓRIO DE FIBRA/FIBROCIMENTO  FORNECIMENTO E INSTALAÇÃO. AF_06/2016</t>
  </si>
  <si>
    <t>96754</t>
  </si>
  <si>
    <t>JOELHO 90 GRAUS, PPR, DN 90 MM, CLASSE PN 25,  INSTALADO EM RESERVAÇÃO DE ÁGUA DE EDIFICAÇÃO QUE POSSUA RESERVATÓRIO DE FIBRA/FIBROCIMENTO  FORNECIMENTO E INSTALAÇÃO. AF_06/2016</t>
  </si>
  <si>
    <t>96755</t>
  </si>
  <si>
    <t>JOELHO 90 GRAUS, PPR, DN 110 MM, CLASSE PN 25,  INSTALADO EM RESERVAÇÃO DE ÁGUA DE EDIFICAÇÃO QUE POSSUA RESERVATÓRIO DE FIBRA/FIBROCIMENTO  FORNECIMENTO E INSTALAÇÃO. AF_06/2016</t>
  </si>
  <si>
    <t>96756</t>
  </si>
  <si>
    <t>TÊ MISTURADOR, PPR, DN 20 MM, CLASSE PN 25,  INSTALADO EM RESERVAÇÃO DE ÁGUA DE EDIFICAÇÃO QUE POSSUA RESERVATÓRIO DE FIBRA/FIBROCIMENTO  FORNECIMENTO E INSTALAÇÃO. AF_06/2016</t>
  </si>
  <si>
    <t>96757</t>
  </si>
  <si>
    <t>TÊ MISTURADOR, PPR, DN 25 MM, CLASSE PN 25,  INSTALADO EM RESERVAÇÃO DE ÁGUA DE EDIFICAÇÃO QUE POSSUA RESERVATÓRIO DE FIBRA/FIBROCIMENTO  FORNECIMENTO E INSTALAÇÃO. AF_06/2016</t>
  </si>
  <si>
    <t>96758</t>
  </si>
  <si>
    <t>TÊ, PPR, DN 32 MM, CLASSE PN 25,  INSTALADO EM RESERVAÇÃO DE ÁGUA DE EDIFICAÇÃO QUE POSSUA RESERVATÓRIO DE FIBRA/FIBROCIMENTO  FORNECIMENTO E INSTALAÇÃO. AF_06/2016</t>
  </si>
  <si>
    <t>96759</t>
  </si>
  <si>
    <t>TÊ, PPR, DN 40 MM, CLASSE PN 25,  INSTALADO EM RESERVAÇÃO DE ÁGUA DE EDIFICAÇÃO QUE POSSUA RESERVATÓRIO DE FIBRA/FIBROCIMENTO  FORNECIMENTO E INSTALAÇÃO. AF_06/2016</t>
  </si>
  <si>
    <t>17,52</t>
  </si>
  <si>
    <t>96760</t>
  </si>
  <si>
    <t>TÊ, PPR, DN 50 MM, CLASSE PN 25,  INSTALADO EM RESERVAÇÃO DE ÁGUA DE EDIFICAÇÃO QUE POSSUA RESERVATÓRIO DE FIBRA/FIBROCIMENTO  FORNECIMENTO E INSTALAÇÃO. AF_06/2016</t>
  </si>
  <si>
    <t>96761</t>
  </si>
  <si>
    <t>TÊ, PPR, DN 63 MM, CLASSE PN 25,  INSTALADO EM RESERVAÇÃO DE ÁGUA DE EDIFICAÇÃO QUE POSSUA RESERVATÓRIO DE FIBRA/FIBROCIMENTO  FORNECIMENTO E INSTALAÇÃO. AF_06/2016</t>
  </si>
  <si>
    <t>96762</t>
  </si>
  <si>
    <t>TÊ, PPR, DN 75 MM, CLASSE PN 25,  INSTALADO EM RESERVAÇÃO DE ÁGUA DE EDIFICAÇÃO QUE POSSUA RESERVATÓRIO DE FIBRA/FIBROCIMENTO  FORNECIMENTO E INSTALAÇÃO. AF_06/2016</t>
  </si>
  <si>
    <t>96763</t>
  </si>
  <si>
    <t>TÊ, PPR, DN 90 MM, CLASSE PN 25,  INSTALADO EM RESERVAÇÃO DE ÁGUA DE EDIFICAÇÃO QUE POSSUA RESERVATÓRIO DE FIBRA/FIBROCIMENTO  FORNECIMENTO E INSTALAÇÃO. AF_06/2016</t>
  </si>
  <si>
    <t>96764</t>
  </si>
  <si>
    <t>TÊ, PPR, DN 110 MM, CLASSE PN 25,  INSTALADO EM RESERVAÇÃO DE ÁGUA DE EDIFICAÇÃO QUE POSSUA RESERVATÓRIO DE FIBRA/FIBROCIMENTO  FORNECIMENTO E INSTALAÇÃO. AF_06/2016</t>
  </si>
  <si>
    <t>96802</t>
  </si>
  <si>
    <t>96803</t>
  </si>
  <si>
    <t>96804</t>
  </si>
  <si>
    <t>96805</t>
  </si>
  <si>
    <t>96806</t>
  </si>
  <si>
    <t>96807</t>
  </si>
  <si>
    <t>96808</t>
  </si>
  <si>
    <t>96809</t>
  </si>
  <si>
    <t>96810</t>
  </si>
  <si>
    <t>96811</t>
  </si>
  <si>
    <t>96812</t>
  </si>
  <si>
    <t>96813</t>
  </si>
  <si>
    <t>96814</t>
  </si>
  <si>
    <t>96815</t>
  </si>
  <si>
    <t>96816</t>
  </si>
  <si>
    <t>96817</t>
  </si>
  <si>
    <t>96818</t>
  </si>
  <si>
    <t>96819</t>
  </si>
  <si>
    <t>96820</t>
  </si>
  <si>
    <t>96821</t>
  </si>
  <si>
    <t>96822</t>
  </si>
  <si>
    <t>96823</t>
  </si>
  <si>
    <t>96824</t>
  </si>
  <si>
    <t>96826</t>
  </si>
  <si>
    <t>96827</t>
  </si>
  <si>
    <t>96828</t>
  </si>
  <si>
    <t>96829</t>
  </si>
  <si>
    <t>96830</t>
  </si>
  <si>
    <t>19,41</t>
  </si>
  <si>
    <t>96832</t>
  </si>
  <si>
    <t>96833</t>
  </si>
  <si>
    <t>96834</t>
  </si>
  <si>
    <t>96836</t>
  </si>
  <si>
    <t>96837</t>
  </si>
  <si>
    <t>96838</t>
  </si>
  <si>
    <t>96839</t>
  </si>
  <si>
    <t>96840</t>
  </si>
  <si>
    <t>96841</t>
  </si>
  <si>
    <t>96842</t>
  </si>
  <si>
    <t>96843</t>
  </si>
  <si>
    <t>96844</t>
  </si>
  <si>
    <t>96845</t>
  </si>
  <si>
    <t>96846</t>
  </si>
  <si>
    <t>96847</t>
  </si>
  <si>
    <t>96848</t>
  </si>
  <si>
    <t>96849</t>
  </si>
  <si>
    <t>96850</t>
  </si>
  <si>
    <t>96852</t>
  </si>
  <si>
    <t>96853</t>
  </si>
  <si>
    <t>96854</t>
  </si>
  <si>
    <t>96855</t>
  </si>
  <si>
    <t>96856</t>
  </si>
  <si>
    <t>96860</t>
  </si>
  <si>
    <t>96861</t>
  </si>
  <si>
    <t>96862</t>
  </si>
  <si>
    <t>96863</t>
  </si>
  <si>
    <t>96864</t>
  </si>
  <si>
    <t>96865</t>
  </si>
  <si>
    <t>96866</t>
  </si>
  <si>
    <t>96868</t>
  </si>
  <si>
    <t>96869</t>
  </si>
  <si>
    <t>96870</t>
  </si>
  <si>
    <t>96871</t>
  </si>
  <si>
    <t>96872</t>
  </si>
  <si>
    <t>96873</t>
  </si>
  <si>
    <t>96874</t>
  </si>
  <si>
    <t>96875</t>
  </si>
  <si>
    <t>96876</t>
  </si>
  <si>
    <t>96878</t>
  </si>
  <si>
    <t>96879</t>
  </si>
  <si>
    <t>96881</t>
  </si>
  <si>
    <t>97425</t>
  </si>
  <si>
    <t>FLANGE EM AÇO, DN 15 MM X 1/2'', INSTALADO EM RESERVAÇÃO DE ÁGUA DE EDIFICAÇÃO QUE POSSUA RESERVATÓRIO DE FIBRA/FIBROCIMENTO - FORNECIMENTO E INSTALAÇÃO. AF_06/2016</t>
  </si>
  <si>
    <t>97426</t>
  </si>
  <si>
    <t>FLANGE EM AÇO, DN 20 MM X 3/4'', INSTALADO EM RESERVAÇÃO DE ÁGUA DE EDIFICAÇÃO QUE POSSUA RESERVATÓRIO DE FIBRA/FIBROCIMENTO - FORNECIMENTO E INSTALAÇÃO. AF_06/2016</t>
  </si>
  <si>
    <t>97427</t>
  </si>
  <si>
    <t>FLANGE EM AÇO, DN 25 MM X 1'', INSTALADO EM RESERVAÇÃO DE ÁGUA DE EDIFICAÇÃO QUE POSSUA RESERVATÓRIO DE FIBRA/FIBROCIMENTO - FORNECIMENTO E INSTALAÇÃO. AF_06/2016</t>
  </si>
  <si>
    <t>97428</t>
  </si>
  <si>
    <t>FLANGE EM AÇO, DN 32 MM X 1 1/4'', INSTALADO EM RESERVAÇÃO DE ÁGUA DE EDIFICAÇÃO QUE POSSUA RESERVATÓRIO DE FIBRA/FIBROCIMENTO - FORNECIMENTO E INSTALAÇÃO. AF_06/2016</t>
  </si>
  <si>
    <t>97429</t>
  </si>
  <si>
    <t>FLANGE EM AÇO, DN 40 MM X 1 1/2'', INSTALADO EM RESERVAÇÃO DE ÁGUA DE EDIFICAÇÃO QUE POSSUA RESERVATÓRIO DE FIBRA/FIBROCIMENTO - FORNECIMENTO E INSTALAÇÃO. AF_06/2016</t>
  </si>
  <si>
    <t>97430</t>
  </si>
  <si>
    <t>97431</t>
  </si>
  <si>
    <t>97432</t>
  </si>
  <si>
    <t>97433</t>
  </si>
  <si>
    <t>97434</t>
  </si>
  <si>
    <t>97435</t>
  </si>
  <si>
    <t>97436</t>
  </si>
  <si>
    <t>97437</t>
  </si>
  <si>
    <t>97438</t>
  </si>
  <si>
    <t>97439</t>
  </si>
  <si>
    <t>97440</t>
  </si>
  <si>
    <t>97442</t>
  </si>
  <si>
    <t>97443</t>
  </si>
  <si>
    <t>97444</t>
  </si>
  <si>
    <t>97446</t>
  </si>
  <si>
    <t>97447</t>
  </si>
  <si>
    <t>97449</t>
  </si>
  <si>
    <t>97450</t>
  </si>
  <si>
    <t>97452</t>
  </si>
  <si>
    <t>97453</t>
  </si>
  <si>
    <t>97454</t>
  </si>
  <si>
    <t>97455</t>
  </si>
  <si>
    <t>97456</t>
  </si>
  <si>
    <t>97457</t>
  </si>
  <si>
    <t>97458</t>
  </si>
  <si>
    <t>97459</t>
  </si>
  <si>
    <t>97460</t>
  </si>
  <si>
    <t>97461</t>
  </si>
  <si>
    <t>97462</t>
  </si>
  <si>
    <t>97464</t>
  </si>
  <si>
    <t>97465</t>
  </si>
  <si>
    <t>97467</t>
  </si>
  <si>
    <t>97468</t>
  </si>
  <si>
    <t>97470</t>
  </si>
  <si>
    <t>97471</t>
  </si>
  <si>
    <t>97474</t>
  </si>
  <si>
    <t>97475</t>
  </si>
  <si>
    <t>97477</t>
  </si>
  <si>
    <t>97478</t>
  </si>
  <si>
    <t>97479</t>
  </si>
  <si>
    <t>97480</t>
  </si>
  <si>
    <t>97481</t>
  </si>
  <si>
    <t>97482</t>
  </si>
  <si>
    <t>97483</t>
  </si>
  <si>
    <t>97484</t>
  </si>
  <si>
    <t>97485</t>
  </si>
  <si>
    <t>97486</t>
  </si>
  <si>
    <t>97487</t>
  </si>
  <si>
    <t>97488</t>
  </si>
  <si>
    <t>97489</t>
  </si>
  <si>
    <t>97490</t>
  </si>
  <si>
    <t>97491</t>
  </si>
  <si>
    <t>97492</t>
  </si>
  <si>
    <t>97493</t>
  </si>
  <si>
    <t>97494</t>
  </si>
  <si>
    <t>97495</t>
  </si>
  <si>
    <t>97496</t>
  </si>
  <si>
    <t>97499</t>
  </si>
  <si>
    <t>97500</t>
  </si>
  <si>
    <t>97502</t>
  </si>
  <si>
    <t>97503</t>
  </si>
  <si>
    <t>97505</t>
  </si>
  <si>
    <t>97506</t>
  </si>
  <si>
    <t>97508</t>
  </si>
  <si>
    <t>97509</t>
  </si>
  <si>
    <t>97511</t>
  </si>
  <si>
    <t>97512</t>
  </si>
  <si>
    <t>97514</t>
  </si>
  <si>
    <t>97515</t>
  </si>
  <si>
    <t>97517</t>
  </si>
  <si>
    <t>97518</t>
  </si>
  <si>
    <t>97519</t>
  </si>
  <si>
    <t>97520</t>
  </si>
  <si>
    <t>97521</t>
  </si>
  <si>
    <t>97522</t>
  </si>
  <si>
    <t>97523</t>
  </si>
  <si>
    <t>97524</t>
  </si>
  <si>
    <t>97525</t>
  </si>
  <si>
    <t>97526</t>
  </si>
  <si>
    <t>97527</t>
  </si>
  <si>
    <t>97528</t>
  </si>
  <si>
    <t>97529</t>
  </si>
  <si>
    <t>97530</t>
  </si>
  <si>
    <t>97531</t>
  </si>
  <si>
    <t>97532</t>
  </si>
  <si>
    <t>97533</t>
  </si>
  <si>
    <t>97534</t>
  </si>
  <si>
    <t>97537</t>
  </si>
  <si>
    <t>97540</t>
  </si>
  <si>
    <t>97541</t>
  </si>
  <si>
    <t>97543</t>
  </si>
  <si>
    <t>97544</t>
  </si>
  <si>
    <t>97546</t>
  </si>
  <si>
    <t>97547</t>
  </si>
  <si>
    <t>97548</t>
  </si>
  <si>
    <t>97549</t>
  </si>
  <si>
    <t>97550</t>
  </si>
  <si>
    <t>97551</t>
  </si>
  <si>
    <t>97552</t>
  </si>
  <si>
    <t>97553</t>
  </si>
  <si>
    <t>97554</t>
  </si>
  <si>
    <t>98602</t>
  </si>
  <si>
    <t>97900</t>
  </si>
  <si>
    <t>97901</t>
  </si>
  <si>
    <t>97902</t>
  </si>
  <si>
    <t>97903</t>
  </si>
  <si>
    <t>97904</t>
  </si>
  <si>
    <t>97905</t>
  </si>
  <si>
    <t>97906</t>
  </si>
  <si>
    <t>97907</t>
  </si>
  <si>
    <t>97908</t>
  </si>
  <si>
    <t>98102</t>
  </si>
  <si>
    <t>98104</t>
  </si>
  <si>
    <t>98105</t>
  </si>
  <si>
    <t>98106</t>
  </si>
  <si>
    <t>98107</t>
  </si>
  <si>
    <t>98108</t>
  </si>
  <si>
    <t>99250</t>
  </si>
  <si>
    <t>99251</t>
  </si>
  <si>
    <t>99253</t>
  </si>
  <si>
    <t>99255</t>
  </si>
  <si>
    <t>99257</t>
  </si>
  <si>
    <t>99258</t>
  </si>
  <si>
    <t>99260</t>
  </si>
  <si>
    <t>99262</t>
  </si>
  <si>
    <t>99264</t>
  </si>
  <si>
    <t>89482</t>
  </si>
  <si>
    <t>89491</t>
  </si>
  <si>
    <t>89495</t>
  </si>
  <si>
    <t>89707</t>
  </si>
  <si>
    <t>89708</t>
  </si>
  <si>
    <t>89709</t>
  </si>
  <si>
    <t>89710</t>
  </si>
  <si>
    <t>86872</t>
  </si>
  <si>
    <t>TANQUE DE LOUÇA BRANCA COM COLUNA, 30L OU EQUIVALENTE - FORNECIMENTO E INSTALAÇÃO. AF_01/2020</t>
  </si>
  <si>
    <t>86874</t>
  </si>
  <si>
    <t>TANQUE DE LOUÇA BRANCA SUSPENSO, 18L OU EQUIVALENTE - FORNECIMENTO E INSTALAÇÃO. AF_01/2020</t>
  </si>
  <si>
    <t>86875</t>
  </si>
  <si>
    <t>TANQUE DE MÁRMORE SINTÉTICO COM COLUNA, 22L OU EQUIVALENTE   FORNECIMENTO E INSTALAÇÃO. AF_01/2020</t>
  </si>
  <si>
    <t>86876</t>
  </si>
  <si>
    <t>TANQUE DE MÁRMORE SINTÉTICO SUSPENSO, 22L OU EQUIVALENTE - FORNECIMENTO E INSTALAÇÃO. AF_01/2020</t>
  </si>
  <si>
    <t>86877</t>
  </si>
  <si>
    <t>VÁLVULA EM METAL CROMADO 1.1/2 X 1.1/2 PARA TANQUE OU LAVATÓRIO, COM OU SEM LADRÃO - FORNECIMENTO E INSTALAÇÃO. AF_01/2020</t>
  </si>
  <si>
    <t>86878</t>
  </si>
  <si>
    <t>VÁLVULA EM METAL CROMADO TIPO AMERICANA 3.1/2 X 1.1/2 PARA PIA - FORNECIMENTO E INSTALAÇÃO. AF_01/2020</t>
  </si>
  <si>
    <t>86879</t>
  </si>
  <si>
    <t>VÁLVULA EM PLÁSTICO 1 PARA PIA, TANQUE OU LAVATÓRIO, COM OU SEM LADRÃO - FORNECIMENTO E INSTALAÇÃO. AF_01/2020</t>
  </si>
  <si>
    <t>86880</t>
  </si>
  <si>
    <t>VÁLVULA EM PLÁSTICO CROMADO TIPO AMERICANA 3.1/2 X 1.1/2 SEM ADAPTADOR PARA PIA - FORNECIMENTO E INSTALAÇÃO. AF_01/2020</t>
  </si>
  <si>
    <t>86881</t>
  </si>
  <si>
    <t>SIFÃO DO TIPO GARRAFA EM METAL CROMADO 1 X 1.1/2 - FORNECIMENTO E INSTALAÇÃO. AF_01/2020</t>
  </si>
  <si>
    <t>86882</t>
  </si>
  <si>
    <t>SIFÃO DO TIPO GARRAFA/COPO EM PVC 1.1/4  X 1.1/2 - FORNECIMENTO E INSTALAÇÃO. AF_01/2020</t>
  </si>
  <si>
    <t>86883</t>
  </si>
  <si>
    <t>SIFÃO DO TIPO FLEXÍVEL EM PVC 1  X 1.1/2  - FORNECIMENTO E INSTALAÇÃO. AF_01/2020</t>
  </si>
  <si>
    <t>86884</t>
  </si>
  <si>
    <t>ENGATE FLEXÍVEL EM PLÁSTICO BRANCO, 1/2 X 30CM - FORNECIMENTO E INSTALAÇÃO. AF_01/2020</t>
  </si>
  <si>
    <t>86885</t>
  </si>
  <si>
    <t>ENGATE FLEXÍVEL EM PLÁSTICO BRANCO, 1/2 X 40CM - FORNECIMENTO E INSTALAÇÃO. AF_01/2020</t>
  </si>
  <si>
    <t>86886</t>
  </si>
  <si>
    <t>ENGATE FLEXÍVEL EM INOX, 1/2  X 30CM - FORNECIMENTO E INSTALAÇÃO. AF_01/2020</t>
  </si>
  <si>
    <t>86887</t>
  </si>
  <si>
    <t>ENGATE FLEXÍVEL EM INOX, 1/2  X 40CM - FORNECIMENTO E INSTALAÇÃO. AF_01/2020</t>
  </si>
  <si>
    <t>86888</t>
  </si>
  <si>
    <t>VASO SANITÁRIO SIFONADO COM CAIXA ACOPLADA LOUÇA BRANCA - FORNECIMENTO E INSTALAÇÃO. AF_01/2020</t>
  </si>
  <si>
    <t>86889</t>
  </si>
  <si>
    <t>BANCADA DE GRANITO CINZA POLIDO, DE 1,50 X 0,60 M, PARA PIA DE COZINHA - FORNECIMENTO E INSTALAÇÃO. AF_01/2020</t>
  </si>
  <si>
    <t>86893</t>
  </si>
  <si>
    <t>BANCADA DE MÁRMORE BRANCO POLIDO, DE 1,50 X 0,60 M, PARA PIA DE COZINHA - FORNECIMENTO E INSTALAÇÃO. AF_01/2020</t>
  </si>
  <si>
    <t>86894</t>
  </si>
  <si>
    <t>BANCADA DE MÁRMORE SINTÉTICO, DE 120 X 60CM, COM CUBA INTEGRADA - FORNECIMENTO E INSTALAÇÃO. AF_01/2020</t>
  </si>
  <si>
    <t>86895</t>
  </si>
  <si>
    <t>BANCADA DE GRANITO CINZA POLIDO, DE 0,50 X 0,60 M, PARA LAVATÓRIO - FORNECIMENTO E INSTALAÇÃO. AF_01/2020</t>
  </si>
  <si>
    <t>86899</t>
  </si>
  <si>
    <t>BANCADA DE MÁRMORE BRANCO POLIDO, DE 0,50 X 0,60 M, PARA LAVATÓRIO - FORNECIMENTO E INSTALAÇÃO. AF_01/2020</t>
  </si>
  <si>
    <t>86900</t>
  </si>
  <si>
    <t>CUBA DE EMBUTIR RETANGULAR DE AÇO INOXIDÁVEL, 46 X 30 X 12 CM - FORNECIMENTO E INSTALAÇÃO. AF_01/2020</t>
  </si>
  <si>
    <t>86901</t>
  </si>
  <si>
    <t>CUBA DE EMBUTIR OVAL EM LOUÇA BRANCA, 35 X 50CM OU EQUIVALENTE - FORNECIMENTO E INSTALAÇÃO. AF_01/2020</t>
  </si>
  <si>
    <t>86902</t>
  </si>
  <si>
    <t>LAVATÓRIO LOUÇA BRANCA COM COLUNA, *44 X 35,5* CM, PADRÃO POPULAR - FORNECIMENTO E INSTALAÇÃO. AF_01/2020</t>
  </si>
  <si>
    <t>86903</t>
  </si>
  <si>
    <t>LAVATÓRIO LOUÇA BRANCA COM COLUNA, 45 X 55CM OU EQUIVALENTE, PADRÃO MÉDIO - FORNECIMENTO E INSTALAÇÃO. AF_01/2020</t>
  </si>
  <si>
    <t>86904</t>
  </si>
  <si>
    <t>LAVATÓRIO LOUÇA BRANCA SUSPENSO, 29,5 X 39CM OU EQUIVALENTE, PADRÃO POPULAR - FORNECIMENTO E INSTALAÇÃO. AF_01/2020</t>
  </si>
  <si>
    <t>86905</t>
  </si>
  <si>
    <t>APARELHO MISTURADOR DE MESA PARA LAVATÓRIO, PADRÃO MÉDIO - FORNECIMENTO E INSTALAÇÃO. AF_01/2020</t>
  </si>
  <si>
    <t>86906</t>
  </si>
  <si>
    <t>TORNEIRA CROMADA DE MESA, 1/2 OU 3/4, PARA LAVATÓRIO, PADRÃO POPULAR - FORNECIMENTO E INSTALAÇÃO. AF_01/2020</t>
  </si>
  <si>
    <t>86908</t>
  </si>
  <si>
    <t>APARELHO MISTURADOR DE MESA PARA PIA DE COZINHA, PADRÃO MÉDIO - FORNECIMENTO E INSTALAÇÃO. AF_01/2020</t>
  </si>
  <si>
    <t>86909</t>
  </si>
  <si>
    <t>TORNEIRA CROMADA TUBO MÓVEL, DE MESA, 1/2 OU 3/4, PARA PIA DE COZINHA, PADRÃO ALTO - FORNECIMENTO E INSTALAÇÃO. AF_01/2020</t>
  </si>
  <si>
    <t>86910</t>
  </si>
  <si>
    <t>TORNEIRA CROMADA TUBO MÓVEL, DE PAREDE, 1/2 OU 3/4, PARA PIA DE COZINHA, PADRÃO MÉDIO - FORNECIMENTO E INSTALAÇÃO. AF_01/2020</t>
  </si>
  <si>
    <t>86911</t>
  </si>
  <si>
    <t>TORNEIRA CROMADA LONGA, DE PAREDE, 1/2 OU 3/4, PARA PIA DE COZINHA, PADRÃO POPULAR - FORNECIMENTO E INSTALAÇÃO. AF_01/2020</t>
  </si>
  <si>
    <t>86913</t>
  </si>
  <si>
    <t>TORNEIRA CROMADA 1/2 OU 3/4 PARA TANQUE, PADRÃO POPULAR - FORNECIMENTO E INSTALAÇÃO. AF_01/2020</t>
  </si>
  <si>
    <t>86914</t>
  </si>
  <si>
    <t>TORNEIRA CROMADA 1/2 OU 3/4 PARA TANQUE, PADRÃO MÉDIO - FORNECIMENTO E INSTALAÇÃO. AF_01/2020</t>
  </si>
  <si>
    <t>86915</t>
  </si>
  <si>
    <t>TORNEIRA CROMADA DE MESA, 1/2 OU 3/4, PARA LAVATÓRIO, PADRÃO MÉDIO - FORNECIMENTO E INSTALAÇÃO. AF_01/2020</t>
  </si>
  <si>
    <t>86916</t>
  </si>
  <si>
    <t>TORNEIRA PLÁSTICA 3/4 PARA TANQUE - FORNECIMENTO E INSTALAÇÃO. AF_01/2020</t>
  </si>
  <si>
    <t>86919</t>
  </si>
  <si>
    <t>TANQUE DE LOUÇA BRANCA COM COLUNA, 30L OU EQUIVALENTE, INCLUSO SIFÃO FLEXÍVEL EM PVC, VÁLVULA METÁLICA E TORNEIRA DE METAL CROMADO PADRÃO MÉDIO - FORNECIMENTO E INSTALAÇÃO. AF_01/2020</t>
  </si>
  <si>
    <t>86920</t>
  </si>
  <si>
    <t>TANQUE DE LOUÇA BRANCA COM COLUNA, 30L OU EQUIVALENTE, INCLUSO SIFÃO FLEXÍVEL EM PVC, VÁLVULA PLÁSTICA E TORNEIRA DE METAL CROMADO PADRÃO POPULAR - FORNECIMENTO E INSTALAÇÃO. AF_01/2020</t>
  </si>
  <si>
    <t>86921</t>
  </si>
  <si>
    <t>TANQUE DE LOUÇA BRANCA COM COLUNA, 30L OU EQUIVALENTE, INCLUSO SIFÃO FLEXÍVEL EM PVC, VÁLVULA PLÁSTICA E TORNEIRA DE PLÁSTICO - FORNECIMENTO E INSTALAÇÃO. AF_01/2020</t>
  </si>
  <si>
    <t>86922</t>
  </si>
  <si>
    <t>TANQUE DE LOUÇA BRANCA SUSPENSO, 18L OU EQUIVALENTE, INCLUSO SIFÃO TIPO GARRAFA EM METAL CROMADO, VÁLVULA METÁLICA E TORNEIRA DE METAL CROMADO PADRÃO MÉDIO - FORNECIMENTO E INSTALAÇÃO. AF_01/2020</t>
  </si>
  <si>
    <t>86923</t>
  </si>
  <si>
    <t>TANQUE DE LOUÇA BRANCA SUSPENSO, 18L OU EQUIVALENTE, INCLUSO SIFÃO TIPO GARRAFA EM PVC, VÁLVULA PLÁSTICA E TORNEIRA DE METAL CROMADO PADRÃO POPULAR - FORNECIMENTO E INSTALAÇÃO. AF_01/2020</t>
  </si>
  <si>
    <t>86924</t>
  </si>
  <si>
    <t>TANQUE DE LOUÇA BRANCA SUSPENSO, 18L OU EQUIVALENTE, INCLUSO SIFÃO TIPO GARRAFA EM PVC, VÁLVULA PLÁSTICA E TORNEIRA DE PLÁSTICO - FORNECIMENTO E INSTALAÇÃO. AF_01/2020</t>
  </si>
  <si>
    <t>86925</t>
  </si>
  <si>
    <t>TANQUE DE MÁRMORE SINTÉTICO COM COLUNA, 22L OU EQUIVALENTE, INCLUSO SIFÃO FLEXÍVEL EM PVC, VÁLVULA PLÁSTICA E TORNEIRA DE METAL CROMADO PADRÃO POPULAR - FORNECIMENTO E INSTALAÇÃO. AF_01/2020</t>
  </si>
  <si>
    <t>86926</t>
  </si>
  <si>
    <t>TANQUE DE MÁRMORE SINTÉTICO COM COLUNA, 22L OU EQUIVALENTE, INCLUSO SIFÃO FLEXÍVEL EM PVC, VÁLVULA PLÁSTICA E TORNEIRA DE PLÁSTICO - FORNECIMENTO E INSTALAÇÃO. AF_01/2020</t>
  </si>
  <si>
    <t>86927</t>
  </si>
  <si>
    <t>TANQUE DE MÁRMORE SINTÉTICO SUSPENSO, 22L OU EQUIVALENTE, INCLUSO SIFÃO TIPO GARRAFA EM PVC, VÁLVULA PLÁSTICA E TORNEIRA DE METAL CROMADO PADRÃO POPULAR - FORNEC. E INSTALAÇÃO. AF_01/2020</t>
  </si>
  <si>
    <t>86928</t>
  </si>
  <si>
    <t>TANQUE DE MÁRMORE SINTÉTICO SUSPENSO, 22L OU EQUIVALENTE, INCLUSO SIFÃO TIPO GARRAFA EM PVC, VÁLVULA PLÁSTICA E TORNEIRA DE PLÁSTICO - FORNECIMENTO E INSTALAÇÃO. AF_01/2020</t>
  </si>
  <si>
    <t>86929</t>
  </si>
  <si>
    <t>TANQUE DE MÁRMORE SINTÉTICO SUSPENSO, 22L OU EQUIVALENTE, INCLUSO SIFÃO FLEXÍVEL EM PVC, VÁLVULA PLÁSTICA E TORNEIRA DE METAL CROMADO PADRÃO POPULAR - FORNECIMENTO E INSTALAÇÃO. AF_01/2020</t>
  </si>
  <si>
    <t>86930</t>
  </si>
  <si>
    <t>TANQUE DE MÁRMORE SINTÉTICO SUSPENSO, 22L OU EQUIVALENTE, INCLUSO SIFÃO FLEXÍVEL EM PVC, VÁLVULA PLÁSTICA E TORNEIRA DE PLÁSTICO - FORNECIMENTO E INSTALAÇÃO. AF_01/2020</t>
  </si>
  <si>
    <t>86931</t>
  </si>
  <si>
    <t>VASO SANITÁRIO SIFONADO COM CAIXA ACOPLADA LOUÇA BRANCA, INCLUSO ENGATE FLEXÍVEL EM PLÁSTICO BRANCO, 1/2  X 40CM - FORNECIMENTO E INSTALAÇÃO. AF_01/2020</t>
  </si>
  <si>
    <t>86932</t>
  </si>
  <si>
    <t>VASO SANITÁRIO SIFONADO COM CAIXA ACOPLADA LOUÇA BRANCA - PADRÃO MÉDIO, INCLUSO ENGATE FLEXÍVEL EM METAL CROMADO, 1/2  X 40CM - FORNECIMENTO E INSTALAÇÃO. AF_01/2020</t>
  </si>
  <si>
    <t>86933</t>
  </si>
  <si>
    <t>BANCADA DE MÁRMORE SINTÉTICO 120 X 60CM, COM CUBA INTEGRADA, INCLUSO SIFÃO TIPO GARRAFA EM PVC, VÁLVULA EM PLÁSTICO CROMADO TIPO AMERICANA E TORNEIRA CROMADA LONGA, DE PAREDE, PADRÃO POPULAR - FORNECIMENTO E INSTALAÇÃO. AF_01/2020</t>
  </si>
  <si>
    <t>86934</t>
  </si>
  <si>
    <t>BANCADA DE MÁRMORE SINTÉTICO 120 X 60CM, COM CUBA INTEGRADA, INCLUSO SIFÃO TIPO FLEXÍVEL EM PVC, VÁLVULA EM PLÁSTICO CROMADO TIPO AMERICANA E TORNEIRA CROMADA LONGA, DE PAREDE, PADRÃO POPULAR - FORNECIMENTO E INSTALAÇÃO. AF_01/2020</t>
  </si>
  <si>
    <t>86935</t>
  </si>
  <si>
    <t>CUBA DE EMBUTIR DE AÇO INOXIDÁVEL MÉDIA, INCLUSO VÁLVULA TIPO AMERICANA EM METAL CROMADO E SIFÃO FLEXÍVEL EM PVC - FORNECIMENTO E INSTALAÇÃO. AF_01/2020</t>
  </si>
  <si>
    <t>86936</t>
  </si>
  <si>
    <t>CUBA DE EMBUTIR DE AÇO INOXIDÁVEL MÉDIA, INCLUSO VÁLVULA TIPO AMERICANA E SIFÃO TIPO GARRAFA EM METAL CROMADO - FORNECIMENTO E INSTALAÇÃO. AF_01/2020</t>
  </si>
  <si>
    <t>86937</t>
  </si>
  <si>
    <t>CUBA DE EMBUTIR OVAL EM LOUÇA BRANCA, 35 X 50CM OU EQUIVALENTE, INCLUSO VÁLVULA EM METAL CROMADO E SIFÃO FLEXÍVEL EM PVC - FORNECIMENTO E INSTALAÇÃO. AF_01/2020</t>
  </si>
  <si>
    <t>86938</t>
  </si>
  <si>
    <t>CUBA DE EMBUTIR OVAL EM LOUÇA BRANCA, 35 X 50CM OU EQUIVALENTE, INCLUSO VÁLVULA E SIFÃO TIPO GARRAFA EM METAL CROMADO - FORNECIMENTO E INSTALAÇÃO. AF_01/2020</t>
  </si>
  <si>
    <t>86939</t>
  </si>
  <si>
    <t>LAVATÓRIO LOUÇA BRANCA COM COLUNA, *44 X 35,5* CM, PADRÃO POPULAR, INCLUSO SIFÃO FLEXÍVEL EM PVC, VÁLVULA E ENGATE FLEXÍVEL 30CM EM PLÁSTICO E COM TORNEIRA CROMADA PADRÃO POPULAR - FORNECIMENTO E INSTALAÇÃO. AF_01/2020</t>
  </si>
  <si>
    <t>86940</t>
  </si>
  <si>
    <t>LAVATÓRIO LOUÇA BRANCA COM COLUNA, 45 X 55CM OU EQUIVALENTE, PADRÃO MÉDIO, INCLUSO SIFÃO TIPO GARRAFA, VÁLVULA E ENGATE FLEXÍVEL DE 40CM EM METAL CROMADO, COM APARELHO MISTURADOR PADRÃO MÉDIO - FORNECIMENTO E INSTALAÇÃO. AF_01/2020</t>
  </si>
  <si>
    <t>86941</t>
  </si>
  <si>
    <t>LAVATÓRIO LOUÇA BRANCA COM COLUNA, 45 X 55CM OU EQUIVALENTE, PADRÃO MÉDIO, INCLUSO SIFÃO TIPO GARRAFA, VÁLVULA E ENGATE FLEXÍVEL DE 40CM EM METAL CROMADO, COM TORNEIRA CROMADA DE MESA, PADRÃO MÉDIO - FORNECIMENTO E INSTALAÇÃO. AF_01/2020</t>
  </si>
  <si>
    <t>86942</t>
  </si>
  <si>
    <t>LAVATÓRIO LOUÇA BRANCA SUSPENSO, 29,5 X 39CM OU EQUIVALENTE, PADRÃO POPULAR, INCLUSO SIFÃO TIPO GARRAFA EM PVC, VÁLVULA E ENGATE FLEXÍVEL 30CM EM PLÁSTICO E TORNEIRA CROMADA DE MESA, PADRÃO POPULAR - FORNECIMENTO E INSTALAÇÃO. AF_01/2020</t>
  </si>
  <si>
    <t>86943</t>
  </si>
  <si>
    <t>LAVATÓRIO LOUÇA BRANCA SUSPENSO, 29,5 X 39CM OU EQUIVALENTE, PADRÃO POPULAR, INCLUSO SIFÃO FLEXÍVEL EM PVC, VÁLVULA E ENGATE FLEXÍVEL 30CM EM PLÁSTICO E TORNEIRA CROMADA DE MESA, PADRÃO POPULAR - FORNECIMENTO E INSTALAÇÃO. AF_01/2020</t>
  </si>
  <si>
    <t>86947</t>
  </si>
  <si>
    <t>BANCADA MÁRMORE BRANCO, 50 X 60 CM, INCLUSO CUBA DE EMBUTIR OVAL EM LOUÇA BRANCA 35 X 50 CM, VÁLVULA, SIFÃO TIPO GARRAFA E ENGATE FLEXÍVEL 40 CM EM METAL CROMADO E APARELHO MISTURADOR DE MESA, PADRÃO MÉDIO - FORNEC. E INSTALAÇÃO. AF_01/2020</t>
  </si>
  <si>
    <t>93396</t>
  </si>
  <si>
    <t>BANCADA GRANITO CINZA,  50 X 60 CM, INCL. CUBA DE EMBUTIR OVAL LOUÇA BRANCA 35 X 50 CM, VÁLVULA METAL CROMADO, SIFÃO FLEXÍVEL PVC, ENGATE 30 CM FLEXÍVEL PLÁSTICO E TORNEIRA CROMADA DE MESA, PADRÃO POPULAR - FORNEC. E INSTALAÇÃO. AF_01/2020</t>
  </si>
  <si>
    <t>93441</t>
  </si>
  <si>
    <t>BANCADA GRANITO CINZA  150 X 60 CM, COM CUBA DE EMBUTIR DE AÇO, VÁLVULA AMERICANA EM METAL, SIFÃO FLEXÍVEL EM PVC, ENGATE FLEXÍVEL 30 CM, TORNEIRA CROMADA LONGA, DE PAREDE, 1/2 OU 3/4, P/ COZINHA, PADRÃO POPULAR - FORNEC. E INSTALAÇÃO. AF_01/2020</t>
  </si>
  <si>
    <t>93442</t>
  </si>
  <si>
    <t>BANCADA MÁRMORE BRANCO 150 X 60 CM, COM CUBA DE EMBUTIR DE AÇO, VÁLVULA AMERICANA E SIFÃO TIPO GARRAFA EM METAL , ENGATE FLEXÍVEL 30 CM, TORNEIRA CROMADA, DE MESA, 1/2 OU 3/4, PARA PIA COZINHA, PADRÃO ALTO - FORNEC. E INSTALAÇÃO. AF_01/2020</t>
  </si>
  <si>
    <t>95469</t>
  </si>
  <si>
    <t>VASO SANITARIO SIFONADO CONVENCIONAL COM  LOUÇA BRANCA - FORNECIMENTO E INSTALAÇÃO. AF_01/2020</t>
  </si>
  <si>
    <t>95470</t>
  </si>
  <si>
    <t>VASO SANITARIO SIFONADO CONVENCIONAL COM LOUÇA BRANCA, INCLUSO CONJUNTO DE LIGAÇÃO PARA BACIA SANITÁRIA AJUSTÁVEL - FORNECIMENTO E INSTALAÇÃO. AF_10/2016</t>
  </si>
  <si>
    <t>95471</t>
  </si>
  <si>
    <t>VASO SANITARIO SIFONADO CONVENCIONAL PARA PCD SEM FURO FRONTAL COM  LOUÇA BRANCA SEM ASSENTO -  FORNECIMENTO E INSTALAÇÃO. AF_01/2020</t>
  </si>
  <si>
    <t>95472</t>
  </si>
  <si>
    <t>VASO SANITARIO SIFONADO CONVENCIONAL PARA PCD SEM FURO FRONTAL COM LOUÇA BRANCA SEM ASSENTO, INCLUSO CONJUNTO DE LIGAÇÃO PARA BACIA SANITÁRIA AJUSTÁVEL - FORNECIMENTO E INSTALAÇÃO. AF_01/2020</t>
  </si>
  <si>
    <t>95542</t>
  </si>
  <si>
    <t>PORTA TOALHA ROSTO EM METAL CROMADO, TIPO ARGOLA, INCLUSO FIXAÇÃO. AF_01/2020</t>
  </si>
  <si>
    <t>95543</t>
  </si>
  <si>
    <t>PORTA TOALHA BANHO EM METAL CROMADO, TIPO BARRA, INCLUSO FIXAÇÃO. AF_01/2020</t>
  </si>
  <si>
    <t>95544</t>
  </si>
  <si>
    <t>PAPELEIRA DE PAREDE EM METAL CROMADO SEM TAMPA, INCLUSO FIXAÇÃO. AF_01/2020</t>
  </si>
  <si>
    <t>95545</t>
  </si>
  <si>
    <t>SABONETEIRA DE PAREDE EM METAL CROMADO, INCLUSO FIXAÇÃO. AF_01/2020</t>
  </si>
  <si>
    <t>95546</t>
  </si>
  <si>
    <t>KIT DE ACESSORIOS PARA BANHEIRO EM METAL CROMADO, 5 PECAS, INCLUSO FIXAÇÃO. AF_01/2020</t>
  </si>
  <si>
    <t>95547</t>
  </si>
  <si>
    <t>SABONETEIRA PLASTICA TIPO DISPENSER PARA SABONETE LIQUIDO COM RESERVATORIO 800 A 1500 ML, INCLUSO FIXAÇÃO. AF_01/2020</t>
  </si>
  <si>
    <t>100848</t>
  </si>
  <si>
    <t>VASO SANITÁRIO INFANTIL LOUÇA BRANCA - FORNECIMENTO E INSTALACAO. AF_01/2020</t>
  </si>
  <si>
    <t>100849</t>
  </si>
  <si>
    <t>ASSENTO SANITÁRIO CONVENCIONAL - FORNECIMENTO E INSTALACAO. AF_01/2020</t>
  </si>
  <si>
    <t>100851</t>
  </si>
  <si>
    <t>ASSENTO SANITÁRIO INFANTIL - FORNECIMENTO E INSTALACAO. AF_01/2020</t>
  </si>
  <si>
    <t>100852</t>
  </si>
  <si>
    <t>CUBA DE EMBUTIR RETANGULAR DE AÇO INOXIDÁVEL, 56 X 33 X 12 CM - FORNECIMENTO E INSTALAÇÃO. AF_01/2020</t>
  </si>
  <si>
    <t>100854</t>
  </si>
  <si>
    <t>TORNEIRA CROMADA DE MESA PARA LAVATÓRIO COM SENSOR DE PRESENCA. AF_01/2020</t>
  </si>
  <si>
    <t>100856</t>
  </si>
  <si>
    <t>MANOPLA E CANOPLA CROMADA  FORNECIMENTO E INSTALAÇÃO. AF_01/2020</t>
  </si>
  <si>
    <t>100857</t>
  </si>
  <si>
    <t>ACABAMENTO MONOCOMANDO PARA CHUVEIRO  FORNECIMENTO E INSTALAÇÃO. AF_01/2020</t>
  </si>
  <si>
    <t>100858</t>
  </si>
  <si>
    <t>MICTÓRIO SIFONADO LOUÇA BRANCA  PADRÃO MÉDIO  FORNECIMENTO E INSTALAÇÃO. AF_01/2020</t>
  </si>
  <si>
    <t>100860</t>
  </si>
  <si>
    <t>CHUVEIRO ELÉTRICO COMUM CORPO PLÁSTICO, TIPO DUCHA  FORNECIMENTO E INSTALAÇÃO. AF_01/2020</t>
  </si>
  <si>
    <t>100861</t>
  </si>
  <si>
    <t>SUPORTE MÃO FRANCESA EM AÇO, ABAS IGUAIS 30 CM, CAPACIDADE MINIMA 60 KG, BRANCO - FORNECIMENTO E INSTALAÇÃO. AF_01/2020</t>
  </si>
  <si>
    <t>100862</t>
  </si>
  <si>
    <t>SUPORTE MÃO FRANCESA EM ACO, ABAS IGUAIS 40 CM, CAPACIDADE MINIMA 70 KG, BRANCO - FORNECIMENTO E INSTALAÇÃO. AF_01/2020</t>
  </si>
  <si>
    <t>100863</t>
  </si>
  <si>
    <t>BARRA DE APOIO EM "L", EM ACO INOX POLIDO 70 X 70 CM, FIXADA NA PAREDE - FORNECIMENTO E INSTALACAO. AF_01/2020</t>
  </si>
  <si>
    <t>100864</t>
  </si>
  <si>
    <t>BARRA DE APOIO EM "L", EM ACO INOX POLIDO 80 X 80 CM, FIXADA NA PAREDE - FORNECIMENTO E INSTALACAO. AF_01/2020</t>
  </si>
  <si>
    <t>100865</t>
  </si>
  <si>
    <t>BARRA DE APOIO LATERAL ARTICULADA, COM TRAVA, EM ACO INOX POLIDO, FIXADA NA PAREDE - FORNECIMENTO E INSTALAÇÃO. AF_01/2020</t>
  </si>
  <si>
    <t>100866</t>
  </si>
  <si>
    <t>BARRA DE APOIO RETA, EM ACO INOX POLIDO, COMPRIMENTO 60CM, FIXADA NA PAREDE - FORNECIMENTO E INSTALAÇÃO. AF_01/2020</t>
  </si>
  <si>
    <t>100867</t>
  </si>
  <si>
    <t>BARRA DE APOIO RETA, EM ACO INOX POLIDO, COMPRIMENTO 70 CM,  FIXADA NA PAREDE - FORNECIMENTO E INSTALAÇÃO. AF_01/2020</t>
  </si>
  <si>
    <t>100868</t>
  </si>
  <si>
    <t>BARRA DE APOIO RETA, EM ACO INOX POLIDO, COMPRIMENTO 80 CM,  FIXADA NA PAREDE - FORNECIMENTO E INSTALAÇÃO. AF_01/2020</t>
  </si>
  <si>
    <t>100869</t>
  </si>
  <si>
    <t>BARRA DE APOIO RETA, EM ACO INOX POLIDO, COMPRIMENTO 90 CM,  FIXADA NA PAREDE - FORNECIMENTO E INSTALAÇÃO. AF_01/2020</t>
  </si>
  <si>
    <t>100870</t>
  </si>
  <si>
    <t>BARRA DE APOIO RETA, EM ALUMINIO, COMPRIMENTO 60 CM,  FIXADA NA PAREDE - FORNECIMENTO E INSTALAÇÃO. AF_01/2020</t>
  </si>
  <si>
    <t>100871</t>
  </si>
  <si>
    <t>BARRA DE APOIO RETA, EM ALUMINIO, COMPRIMENTO 70 CM,  FIXADA NA PAREDE - FORNECIMENTO E INSTALAÇÃO. AF_01/2020</t>
  </si>
  <si>
    <t>100872</t>
  </si>
  <si>
    <t>BARRA DE APOIO RETA, EM ALUMINIO, COMPRIMENTO 80 CM,  FIXADA NA PAREDE - FORNECIMENTO E INSTALAÇÃO. AF_01/2020</t>
  </si>
  <si>
    <t>100873</t>
  </si>
  <si>
    <t>BARRA DE APOIO RETA, EM ALUMINIO, COMPRIMENTO 90 CM,  FIXADA NA PAREDE - FORNECIMENTO E INSTALAÇÃO. AF_01/2020</t>
  </si>
  <si>
    <t>100874</t>
  </si>
  <si>
    <t>PUXADOR PARA PCD, FIXADO NA PORTA - FORNECIMENTO E INSTALAÇÃO. AF_01/2020</t>
  </si>
  <si>
    <t>100875</t>
  </si>
  <si>
    <t>BANCO ARTICULADO, EM ACO INOX, PARA PCD, FIXADO NA PAREDE - FORNECIMENTO E INSTALAÇÃO. AF_01/2020</t>
  </si>
  <si>
    <t>98052</t>
  </si>
  <si>
    <t>98053</t>
  </si>
  <si>
    <t>98054</t>
  </si>
  <si>
    <t>98055</t>
  </si>
  <si>
    <t>98056</t>
  </si>
  <si>
    <t>98057</t>
  </si>
  <si>
    <t>98066</t>
  </si>
  <si>
    <t>98067</t>
  </si>
  <si>
    <t>98068</t>
  </si>
  <si>
    <t>98069</t>
  </si>
  <si>
    <t>98070</t>
  </si>
  <si>
    <t>98071</t>
  </si>
  <si>
    <t>98072</t>
  </si>
  <si>
    <t>98073</t>
  </si>
  <si>
    <t>98074</t>
  </si>
  <si>
    <t>98075</t>
  </si>
  <si>
    <t>98076</t>
  </si>
  <si>
    <t>98077</t>
  </si>
  <si>
    <t>98078</t>
  </si>
  <si>
    <t>98079</t>
  </si>
  <si>
    <t>98080</t>
  </si>
  <si>
    <t>98081</t>
  </si>
  <si>
    <t>98082</t>
  </si>
  <si>
    <t>98083</t>
  </si>
  <si>
    <t>98084</t>
  </si>
  <si>
    <t>98085</t>
  </si>
  <si>
    <t>98086</t>
  </si>
  <si>
    <t>98087</t>
  </si>
  <si>
    <t>98088</t>
  </si>
  <si>
    <t>98089</t>
  </si>
  <si>
    <t>98090</t>
  </si>
  <si>
    <t>98091</t>
  </si>
  <si>
    <t>98092</t>
  </si>
  <si>
    <t>98093</t>
  </si>
  <si>
    <t>98094</t>
  </si>
  <si>
    <t>98099</t>
  </si>
  <si>
    <t>98100</t>
  </si>
  <si>
    <t>98101</t>
  </si>
  <si>
    <t>98109</t>
  </si>
  <si>
    <t>98110</t>
  </si>
  <si>
    <t>98111</t>
  </si>
  <si>
    <t>98114</t>
  </si>
  <si>
    <t>98115</t>
  </si>
  <si>
    <t>89957</t>
  </si>
  <si>
    <t>PONTO DE CONSUMO TERMINAL DE ÁGUA FRIA (SUBRAMAL) COM TUBULAÇÃO DE PVC, DN 25 MM, INSTALADO EM RAMAL DE ÁGUA, INCLUSOS RASGO E CHUMBAMENTO EM ALVENARIA. AF_12/2014</t>
  </si>
  <si>
    <t>89959</t>
  </si>
  <si>
    <t>PONTO DE CONSUMO TERMINAL DE ÁGUA QUENTE (SUBRAMAL) COM TUBULAÇÃO DE CPVC, DN 22 MM, INSTALADO EM RAMAL DE ÁGUA, INCLUSOS RASGO E CHUMBAMENTO EM ALVENARIA. AF_12/2014</t>
  </si>
  <si>
    <t>89349</t>
  </si>
  <si>
    <t>89351</t>
  </si>
  <si>
    <t>89352</t>
  </si>
  <si>
    <t>89353</t>
  </si>
  <si>
    <t>89354</t>
  </si>
  <si>
    <t>89969</t>
  </si>
  <si>
    <t>KIT DE REGISTRO DE PRESSÃO BRUTO DE LATÃO ½", INCLUSIVE CONEXÕES,  ROSCÁVEL, INSTALADO EM RAMAL DE ÁGUA FRIA - FORNECIMENTO E INSTALAÇÃO. AF_12/2014</t>
  </si>
  <si>
    <t>89970</t>
  </si>
  <si>
    <t>KIT DE REGISTRO DE PRESSÃO BRUTO DE LATÃO ¾", INCLUSIVE CONEXÕES, ROSCÁVEL, INSTALADO EM RAMAL DE ÁGUA FRIA - FORNECIMENTO E INSTALAÇÃO. AF_12/2014</t>
  </si>
  <si>
    <t>89971</t>
  </si>
  <si>
    <t>KIT DE REGISTRO DE GAVETA BRUTO DE LATÃO ½", INCLUSIVE CONEXÕES, ROSCÁVEL, INSTALADO EM RAMAL DE ÁGUA FRIA - FORNECIMENTO E INSTALAÇÃO. AF_12/2014</t>
  </si>
  <si>
    <t>89972</t>
  </si>
  <si>
    <t>KIT DE REGISTRO DE GAVETA BRUTO DE LATÃO ¾", INCLUSIVE CONEXÕES, ROSCÁVEL, INSTALADO EM RAMAL DE ÁGUA FRIA - FORNECIMENTO E INSTALAÇÃO. AF_12/2014</t>
  </si>
  <si>
    <t>89973</t>
  </si>
  <si>
    <t>KIT DE MISTURADOR BASE BRUTA DE LATÃO ¾" MONOCOMANDO PARA CHUVEIRO, INCLUSIVE CONEXÕES, INSTALADO EM RAMAL DE ÁGUA - FORNECIMENTO E INSTALAÇÃO. AF_12/2014</t>
  </si>
  <si>
    <t>89974</t>
  </si>
  <si>
    <t>KIT DE TÊ MISTURADOR EM CPVC ¾" COM DUPLO COMANDO PARA CHUVEIRO, INCLUSIVE CONEXÕES, INSTALADO EM RAMAL DE ÁGUA - FORNECIMENTO E INSTALAÇÃO. AF_12/2014</t>
  </si>
  <si>
    <t>89984</t>
  </si>
  <si>
    <t>89985</t>
  </si>
  <si>
    <t>89986</t>
  </si>
  <si>
    <t>89987</t>
  </si>
  <si>
    <t>90371</t>
  </si>
  <si>
    <t>94489</t>
  </si>
  <si>
    <t>94490</t>
  </si>
  <si>
    <t>94491</t>
  </si>
  <si>
    <t>94492</t>
  </si>
  <si>
    <t>94493</t>
  </si>
  <si>
    <t>94495</t>
  </si>
  <si>
    <t>94496</t>
  </si>
  <si>
    <t>94497</t>
  </si>
  <si>
    <t>94498</t>
  </si>
  <si>
    <t>94499</t>
  </si>
  <si>
    <t>94500</t>
  </si>
  <si>
    <t>94501</t>
  </si>
  <si>
    <t>94792</t>
  </si>
  <si>
    <t>94793</t>
  </si>
  <si>
    <t>94794</t>
  </si>
  <si>
    <t>94795</t>
  </si>
  <si>
    <t>94796</t>
  </si>
  <si>
    <t>94797</t>
  </si>
  <si>
    <t>94798</t>
  </si>
  <si>
    <t>94799</t>
  </si>
  <si>
    <t>94800</t>
  </si>
  <si>
    <t>95248</t>
  </si>
  <si>
    <t>95249</t>
  </si>
  <si>
    <t>95250</t>
  </si>
  <si>
    <t>95251</t>
  </si>
  <si>
    <t>95252</t>
  </si>
  <si>
    <t>95253</t>
  </si>
  <si>
    <t>99619</t>
  </si>
  <si>
    <t>99620</t>
  </si>
  <si>
    <t>99621</t>
  </si>
  <si>
    <t>99622</t>
  </si>
  <si>
    <t>99623</t>
  </si>
  <si>
    <t>99624</t>
  </si>
  <si>
    <t>99625</t>
  </si>
  <si>
    <t>99626</t>
  </si>
  <si>
    <t>99627</t>
  </si>
  <si>
    <t>99628</t>
  </si>
  <si>
    <t>99629</t>
  </si>
  <si>
    <t>99630</t>
  </si>
  <si>
    <t>99631</t>
  </si>
  <si>
    <t>99632</t>
  </si>
  <si>
    <t>99633</t>
  </si>
  <si>
    <t>99634</t>
  </si>
  <si>
    <t>99635</t>
  </si>
  <si>
    <t>95634</t>
  </si>
  <si>
    <t>KIT CAVALETE PARA MEDIÇÃO DE ÁGUA - ENTRADA PRINCIPAL, EM PVC SOLDÁVEL DN 20 (½")   FORNECIMENTO E INSTALAÇÃO (EXCLUSIVE HIDRÔMETRO). AF_11/2016</t>
  </si>
  <si>
    <t>95635</t>
  </si>
  <si>
    <t>KIT CAVALETE PARA MEDIÇÃO DE ÁGUA - ENTRADA PRINCIPAL, EM PVC SOLDÁVEL DN 25 (¾")   FORNECIMENTO E INSTALAÇÃO (EXCLUSIVE HIDRÔMETRO). AF_11/2016</t>
  </si>
  <si>
    <t>95637</t>
  </si>
  <si>
    <t>KIT CAVALETE PARA MEDIÇÃO DE ÁGUA - ENTRADA PRINCIPAL, EM AÇO GALVANIZADO DN 32 (1 ¼)  FORNECIMENTO E INSTALAÇÃO (EXCLUSIVE HIDRÔMETRO). AF_11/2016</t>
  </si>
  <si>
    <t>95638</t>
  </si>
  <si>
    <t>KIT CAVALETE PARA MEDIÇÃO DE ÁGUA - ENTRADA PRINCIPAL, EM AÇO GALVANIZADO DN 40 (1 ½)  FORNECIMENTO E INSTALAÇÃO (EXCLUSIVE HIDRÔMETRO). AF_11/2016</t>
  </si>
  <si>
    <t>95639</t>
  </si>
  <si>
    <t>KIT CAVALETE PARA MEDIÇÃO DE ÁGUA - ENTRADA PRINCIPAL, EM AÇO GALVANIZADO DN 50 (2)  FORNECIMENTO E INSTALAÇÃO (EXCLUSIVE HIDRÔMETRO). AF_11/2016</t>
  </si>
  <si>
    <t>95641</t>
  </si>
  <si>
    <t>KIT CAVALETE PARA MEDIÇÃO DE ÁGUA - ENTRADA INDIVIDUALIZADA, EM PVC DN 25 (¾), PARA 2 MEDIDORES  FORNECIMENTO E INSTALAÇÃO (EXCLUSIVE HIDRÔMETRO). AF_11/2016</t>
  </si>
  <si>
    <t>95642</t>
  </si>
  <si>
    <t>KIT CAVALETE PARA MEDIÇÃO DE ÁGUA - ENTRADA INDIVIDUALIZADA, EM PVC DN 25 (¾), PARA 3 MEDIDORES  FORNECIMENTO E INSTALAÇÃO (EXCLUSIVE HIDRÔMETRO). AF_11/2016</t>
  </si>
  <si>
    <t>95643</t>
  </si>
  <si>
    <t>KIT CAVALETE PARA MEDIÇÃO DE ÁGUA - ENTRADA INDIVIDUALIZADA, EM PVC DN 25 (¾), PARA 4 MEDIDORES  FORNECIMENTO E INSTALAÇÃO (EXCLUSIVE HIDRÔMETRO). AF_11/2016</t>
  </si>
  <si>
    <t>95644</t>
  </si>
  <si>
    <t>KIT CAVALETE PARA MEDIÇÃO DE ÁGUA - ENTRADA INDIVIDUALIZADA, EM PVC DN 32 (1), PARA 1 MEDIDOR  FORNECIMENTO E INSTALAÇÃO (EXCLUSIVE HIDRÔMETRO). AF_11/2016</t>
  </si>
  <si>
    <t>95645</t>
  </si>
  <si>
    <t>KIT CAVALETE PARA MEDIÇÃO DE ÁGUA - ENTRADA INDIVIDUALIZADA, EM PVC DN 32 (1), PARA 2 MEDIDORES  FORNECIMENTO E INSTALAÇÃO (EXCLUSIVE HIDRÔMETRO). AF_11/2016</t>
  </si>
  <si>
    <t>95646</t>
  </si>
  <si>
    <t>KIT CAVALETE PARA MEDIÇÃO DE ÁGUA - ENTRADA INDIVIDUALIZADA, EM PVC DN 32 (1), PARA 3 MEDIDORES  FORNECIMENTO E INSTALAÇÃO (EXCLUSIVE HIDRÔMETRO). AF_11/2016</t>
  </si>
  <si>
    <t>95647</t>
  </si>
  <si>
    <t>KIT CAVALETE PARA MEDIÇÃO DE ÁGUA - ENTRADA INDIVIDUALIZADA, EM PVC DN 32 (1), PARA 4 MEDIDORES  FORNECIMENTO E INSTALAÇÃO (EXCLUSIVE HIDRÔMETRO). AF_11/2016</t>
  </si>
  <si>
    <t>95673</t>
  </si>
  <si>
    <t>HIDRÔMETRO DN 20 (½), 1,5 M³/H  FORNECIMENTO E INSTALAÇÃO. AF_11/2016</t>
  </si>
  <si>
    <t>95674</t>
  </si>
  <si>
    <t>HIDRÔMETRO DN 20 (½), 3,0 M³/H  FORNECIMENTO E INSTALAÇÃO. AF_11/2016</t>
  </si>
  <si>
    <t>95675</t>
  </si>
  <si>
    <t>HIDRÔMETRO DN 25 (¾ ), 5,0 M³/H FORNECIMENTO E INSTALAÇÃO. AF_11/2016</t>
  </si>
  <si>
    <t>95676</t>
  </si>
  <si>
    <t>CAIXA EM CONCRETO PRÉ-MOLDADO PARA ABRIGO DE HIDRÔMETRO COM DN 20 (½)  FORNECIMENTO E INSTALAÇÃO. AF_11/2016</t>
  </si>
  <si>
    <t>97741</t>
  </si>
  <si>
    <t>KIT CAVALETE PARA MEDIÇÃO DE ÁGUA - ENTRADA INDIVIDUALIZADA, EM PVC DN 25 (¾), PARA 1 MEDIDOR  FORNECIMENTO E INSTALAÇÃO (EXCLUSIVE HIDRÔMETRO). AF_11/2016</t>
  </si>
  <si>
    <t>90436</t>
  </si>
  <si>
    <t>FURO EM ALVENARIA PARA DIÂMETROS MENORES OU IGUAIS A 40 MM. AF_05/2015</t>
  </si>
  <si>
    <t>90437</t>
  </si>
  <si>
    <t>FURO EM ALVENARIA PARA DIÂMETROS MAIORES QUE 40 MM E MENORES OU IGUAIS A 75 MM. AF_05/2015</t>
  </si>
  <si>
    <t>90438</t>
  </si>
  <si>
    <t>FURO EM ALVENARIA PARA DIÂMETROS MAIORES QUE 75 MM. AF_05/2015</t>
  </si>
  <si>
    <t>90439</t>
  </si>
  <si>
    <t>FURO EM CONCRETO PARA DIÂMETROS MENORES OU IGUAIS A 40 MM. AF_05/2015</t>
  </si>
  <si>
    <t>90440</t>
  </si>
  <si>
    <t>FURO EM CONCRETO PARA DIÂMETROS MAIORES QUE 40 MM E MENORES OU IGUAIS A 75 MM. AF_05/2015</t>
  </si>
  <si>
    <t>90441</t>
  </si>
  <si>
    <t>FURO EM CONCRETO PARA DIÂMETROS MAIORES QUE 75 MM. AF_05/2015</t>
  </si>
  <si>
    <t>90443</t>
  </si>
  <si>
    <t>RASGO EM ALVENARIA PARA RAMAIS/ DISTRIBUIÇÃO COM DIAMETROS MENORES OU IGUAIS A 40 MM. AF_05/2015</t>
  </si>
  <si>
    <t>90444</t>
  </si>
  <si>
    <t>RASGO EM CONTRAPISO PARA RAMAIS/ DISTRIBUIÇÃO COM DIÂMETROS MENORES OU IGUAIS A 40 MM. AF_05/2015</t>
  </si>
  <si>
    <t>90445</t>
  </si>
  <si>
    <t>RASGO EM CONTRAPISO PARA RAMAIS/ DISTRIBUIÇÃO COM DIÂMETROS MAIORES QUE 40 MM E MENORES OU IGUAIS A 75 MM. AF_05/2015</t>
  </si>
  <si>
    <t>90446</t>
  </si>
  <si>
    <t>RASGO EM CONTRAPISO PARA RAMAIS/ DISTRIBUIÇÃO COM DIÂMETROS MAIORES QUE 75 MM. AF_05/2015</t>
  </si>
  <si>
    <t>90447</t>
  </si>
  <si>
    <t>RASGO EM ALVENARIA PARA ELETRODUTOS COM DIAMETROS MENORES OU IGUAIS A 40 MM. AF_05/2015</t>
  </si>
  <si>
    <t>90451</t>
  </si>
  <si>
    <t>PASSANTE TIPO PEÇA EM POLIESTIRENO PARA ABERTURA PARA PASSAGEM DE 1 TUBO, FIXADO EM LAJE. AF_05/2015</t>
  </si>
  <si>
    <t>90452</t>
  </si>
  <si>
    <t>PASSANTE TIPO PEÇA EM POLIESTIRENO PARA ABERTURA PARA PASSAGEM DE MAIS DE 1 TUBO, FIXADO EM LAJE. AF_05/2015</t>
  </si>
  <si>
    <t>90453</t>
  </si>
  <si>
    <t>PASSANTE TIPO TUBO DE DIÂMETRO MENOR OU IGUAL A 40 MM, FIXADO EM LAJE. AF_05/2015</t>
  </si>
  <si>
    <t>90454</t>
  </si>
  <si>
    <t>PASSANTE TIPO TUBO DE DIÂMETRO MAIORES QUE 40 MM E MENORES OU IGUAIS A 75 MM, FIXADO EM LAJE. AF_05/2015</t>
  </si>
  <si>
    <t>90455</t>
  </si>
  <si>
    <t>PASSANTE TIPO TUBO DE DIÂMETRO MAIOR QUE 75 MM, FIXADO EM LAJE. AF_05/2015</t>
  </si>
  <si>
    <t>90456</t>
  </si>
  <si>
    <t>QUEBRA EM ALVENARIA PARA INSTALAÇÃO DE CAIXA DE TOMADA (4X4 OU 4X2). AF_05/2015</t>
  </si>
  <si>
    <t>90457</t>
  </si>
  <si>
    <t>QUEBRA EM ALVENARIA PARA INSTALAÇÃO DE QUADRO DISTRIBUIÇÃO PEQUENO (19X25 CM). AF_05/2015</t>
  </si>
  <si>
    <t>90458</t>
  </si>
  <si>
    <t>QUEBRA EM ALVENARIA PARA INSTALAÇÃO DE QUADRO DISTRIBUIÇÃO GRANDE (76X40 CM). AF_05/2015</t>
  </si>
  <si>
    <t>90459</t>
  </si>
  <si>
    <t>QUEBRA EM ALVENARIA PARA INSTALAÇÃO DE ABRIGO PARA MANGUEIRAS (90X60 CM). AF_05/2015</t>
  </si>
  <si>
    <t>90460</t>
  </si>
  <si>
    <t>SUPORTE PARA ATÉ 3 TUBOS HORIZONTAIS, ESPAÇADO A CADA 1 M, EM PERFILADO DE SEÇÃO 38X76 MM, POR METRO DE TUBULAÇÃO FIXADA. AF_05/2015</t>
  </si>
  <si>
    <t>90461</t>
  </si>
  <si>
    <t>SUPORTE PARA MAIS DE 3 TUBOS HORIZONTAIS, ESPAÇADO A CADA 1 M, EM PERFILADO DE SEÇÃO 38X76 MM, POR METRO DE TUBULAÇÃO FIXADA. AF_05/2015</t>
  </si>
  <si>
    <t>90462</t>
  </si>
  <si>
    <t>SUPORTE PARA ATÉ 3 TUBOS VERTICAIS, ESPAÇADO A CADA 3 M, EM PERFILADO DE SEÇÃO 38X38 MM, POR METRO DE TUBULAÇÃO FIXADA. AF_05/2015</t>
  </si>
  <si>
    <t>90463</t>
  </si>
  <si>
    <t>SUPORTE PARA MAIS DE 3 TUBOS VERTICAIS, ESPAÇADO A CADA 3 M, EM PERFILADO DE SEÇÃO 38X38 MM, POR METRO DE TUBULAÇÃO FIXADA. AF_05/2015</t>
  </si>
  <si>
    <t>90466</t>
  </si>
  <si>
    <t>CHUMBAMENTO LINEAR EM ALVENARIA PARA RAMAIS/DISTRIBUIÇÃO COM DIÂMETROS MENORES OU IGUAIS A 40 MM. AF_05/2015</t>
  </si>
  <si>
    <t>90467</t>
  </si>
  <si>
    <t>CHUMBAMENTO LINEAR EM ALVENARIA PARA RAMAIS/DISTRIBUIÇÃO COM DIÂMETROS MAIORES QUE 40 MM E MENORES OU IGUAIS A 75 MM. AF_05/2015</t>
  </si>
  <si>
    <t>90468</t>
  </si>
  <si>
    <t>CHUMBAMENTO LINEAR EM CONTRAPISO PARA RAMAIS/DISTRIBUIÇÃO COM DIÂMETROS MENORES OU IGUAIS A 40 MM. AF_05/2015</t>
  </si>
  <si>
    <t>90469</t>
  </si>
  <si>
    <t>CHUMBAMENTO LINEAR EM CONTRAPISO PARA RAMAIS/DISTRIBUIÇÃO COM DIÂMETROS MAIORES QUE 40 MM E MENORES OU IGUAIS A 75 MM. AF_05/2015</t>
  </si>
  <si>
    <t>90470</t>
  </si>
  <si>
    <t>CHUMBAMENTO LINEAR EM CONTRAPISO PARA RAMAIS/DISTRIBUIÇÃO COM DIÂMETROS MAIORES QUE 75 MM. AF_05/2015</t>
  </si>
  <si>
    <t>91166</t>
  </si>
  <si>
    <t>FIXAÇÃO DE TUBOS HORIZONTAIS DE PEX DIAMETROS IGUAIS OU INFERIORES A 40 MM COM ABRAÇADEIRA PLÁSTICA 390 MM, FIXADA EM LAJE. AF_05/2015</t>
  </si>
  <si>
    <t>91167</t>
  </si>
  <si>
    <t>FIXAÇÃO DE TUBOS HORIZONTAIS DE PPR DIÂMETROS MENORES OU IGUAIS A 40 MM COM ABRAÇADEIRA METÁLICA RÍGIDA TIPO D 1/2", FIXADA EM PERFILADO EM LAJE. AF_05/2015</t>
  </si>
  <si>
    <t>91168</t>
  </si>
  <si>
    <t>FIXAÇÃO DE TUBOS HORIZONTAIS DE PPR DIÂMETROS MAIORES QUE 40 MM E MENORES OU IGUAIS A 75 MM COM ABRAÇADEIRA METÁLICA RÍGIDA TIPO D 1 1/2", FIXADA EM PERFILADO EM LAJE. AF_05/2015</t>
  </si>
  <si>
    <t>91169</t>
  </si>
  <si>
    <t>FIXAÇÃO DE TUBOS HORIZONTAIS DE PPR DIÂMETROS MAIORES QUE 75 MM COM ABRAÇADEIRA METÁLICA RÍGIDA TIPO D 3", FIXADA EM PERFILADO EM LAJE. AF_05/2015</t>
  </si>
  <si>
    <t>91170</t>
  </si>
  <si>
    <t>FIXAÇÃO DE TUBOS HORIZONTAIS DE PVC, CPVC OU COBRE DIÂMETROS MENORES OU IGUAIS A 40 MM OU ELETROCALHAS ATÉ 150MM DE LARGURA, COM ABRAÇADEIRA METÁLICA RÍGIDA TIPO D 1/2, FIXADA EM PERFILADO EM LAJE. AF_05/2015</t>
  </si>
  <si>
    <t>91171</t>
  </si>
  <si>
    <t>FIXAÇÃO DE TUBOS HORIZONTAIS DE PVC, CPVC OU COBRE DIÂMETROS MAIORES QUE 40 MM E MENORES OU IGUAIS A 75 MM COM ABRAÇADEIRA METÁLICA RÍGIDA TIPO D 1 1/2", FIXADA EM PERFILADO EM LAJE. AF_05/2015</t>
  </si>
  <si>
    <t>91172</t>
  </si>
  <si>
    <t>FIXAÇÃO DE TUBOS HORIZONTAIS DE PVC, CPVC OU COBRE DIÂMETROS MAIORES QUE 75 MM COM ABRAÇADEIRA METÁLICA RÍGIDA TIPO D 3", FIXADA EM PERFILADO EM LAJE. AF_05/2015</t>
  </si>
  <si>
    <t>91173</t>
  </si>
  <si>
    <t>FIXAÇÃO DE TUBOS VERTICAIS DE PPR DIÂMETROS MENORES OU IGUAIS A 40 MM COM ABRAÇADEIRA METÁLICA RÍGIDA TIPO D 1/2", FIXADA EM PERFILADO EM ALVENARIA. AF_05/2015</t>
  </si>
  <si>
    <t>91174</t>
  </si>
  <si>
    <t>FIXAÇÃO DE TUBOS VERTICAIS DE PPR DIÂMETROS MAIORES QUE 40 MM E MENORES OU IGUAIS A 75 MM COM ABRAÇADEIRA METÁLICA RÍGIDA TIPO D 1 1/2", FIXADA EM PERFILADO EM ALVENARIA. AF_05/2015</t>
  </si>
  <si>
    <t>2,36</t>
  </si>
  <si>
    <t>91175</t>
  </si>
  <si>
    <t>FIXAÇÃO DE TUBOS VERTICAIS DE PPR DIÂMETROS MAIORES QUE 75 MM COM ABRAÇADEIRA METÁLICA RÍGIDA TIPO D 3", FIXADA EM PERFILADO EM ALVENARIA. AF_05/2015</t>
  </si>
  <si>
    <t>91176</t>
  </si>
  <si>
    <t>FIXAÇÃO DE TUBOS HORIZONTAIS DE PPR DIÂMETROS MENORES OU IGUAIS A 40 MM COM ABRAÇADEIRA METÁLICA RÍGIDA TIPO  D  1/2" , FIXADA DIRETAMENTE NA LAJE. AF_05/2015</t>
  </si>
  <si>
    <t>91177</t>
  </si>
  <si>
    <t>FIXAÇÃO DE TUBOS HORIZONTAIS DE PPR DIÂMETROS MAIORES QUE 40 MM E MENORES OU IGUAIS A 75 MM COM ABRAÇADEIRA METÁLICA RÍGIDA TIPO  D  1 1/2" , FIXADA DIRETAMENTE NA LAJE. AF_05/2015</t>
  </si>
  <si>
    <t>91178</t>
  </si>
  <si>
    <t>FIXAÇÃO DE TUBOS HORIZONTAIS DE PPR DIÂMETROS MAIORES QUE 75 MM COM ABRAÇADEIRA METÁLICA RÍGIDA TIPO  D  3" , FIXADA DIRETAMENTE NA LAJE. AF_05/2015</t>
  </si>
  <si>
    <t>91179</t>
  </si>
  <si>
    <t>FIXAÇÃO DE TUBOS HORIZONTAIS DE PVC, CPVC OU COBRE DIÂMETROS MENORES OU IGUAIS A 40 MM COM ABRAÇADEIRA METÁLICA RÍGIDA TIPO  D  1/2" , FIXADA DIRETAMENTE NA LAJE. AF_05/2015</t>
  </si>
  <si>
    <t>91180</t>
  </si>
  <si>
    <t>FIXAÇÃO DE TUBOS HORIZONTAIS DE PVC, CPVC OU COBRE DIÂMETROS MAIORES QUE 40 MM E MENORES OU IGUAIS A 75 MM COM ABRAÇADEIRA METÁLICA RÍGIDA TIPO D 1 1/2, FIXADA DIRETAMENTE NA LAJE. AF_05/2015</t>
  </si>
  <si>
    <t>91181</t>
  </si>
  <si>
    <t>FIXAÇÃO DE TUBOS HORIZONTAIS DE PVC, CPVC OU COBRE DIÂMETROS MAIORES QUE 75 MM COM ABRAÇADEIRA METÁLICA RÍGIDA TIPO  D  3" , FIXADA DIRETAMENTE NA LAJE. AF_05/2015</t>
  </si>
  <si>
    <t>91182</t>
  </si>
  <si>
    <t>FIXAÇÃO DE TUBOS HORIZONTAIS DE PPR DIÂMETROS MENORES OU IGUAIS A 40 MM COM ABRAÇADEIRA METÁLICA FLEXÍVEL 18 MM, FIXADA DIRETAMENTE NA LAJE. AF_05/2015</t>
  </si>
  <si>
    <t>91183</t>
  </si>
  <si>
    <t>FIXAÇÃO DE TUBOS HORIZONTAIS DE PPR DIÂMETROS MAIORES QUE 40 MM E MENORES OU IGUAIS A 75 MM COM ABRAÇADEIRA METÁLICA FLEXÍVEL 18 MM, FIXADA DIRETAMENTE NA LAJE. AF_05/2015</t>
  </si>
  <si>
    <t>91184</t>
  </si>
  <si>
    <t>FIXAÇÃO DE TUBOS HORIZONTAIS DE PPR DIÂMETROS MAIORES QUE 75 MM COM ABRAÇADEIRA METÁLICA FLEXÍVEL 18 MM, FIXADA DIRETAMENTE NA LAJE. AF_05/2015</t>
  </si>
  <si>
    <t>91185</t>
  </si>
  <si>
    <t>FIXAÇÃO DE TUBOS HORIZONTAIS DE PVC, CPVC OU COBRE DIÂMETROS MENORES OU IGUAIS A 40 MM COM ABRAÇADEIRA METÁLICA FLEXÍVEL 18 MM, FIXADA DIRETAMENTE NA LAJE. AF_05/2015</t>
  </si>
  <si>
    <t>91186</t>
  </si>
  <si>
    <t>FIXAÇÃO DE TUBOS HORIZONTAIS DE PVC, CPVC OU COBRE DIÂMETROS MAIORES QUE 40 MM E MENORES OU IGUAIS A 75 MM COM ABRAÇADEIRA METÁLICA FLEXÍVEL 18 MM, FIXADA DIRETAMENTE NA LAJE. AF_05/2015</t>
  </si>
  <si>
    <t>91187</t>
  </si>
  <si>
    <t>FIXAÇÃO DE TUBOS HORIZONTAIS DE PVC, CPVC OU COBRE DIÂMETROS MAIORES QUE 75 MM COM ABRAÇADEIRA METÁLICA FLEXÍVEL 18 MM, FIXADA DIRETAMENTE NA LAJE. AF_05/2015</t>
  </si>
  <si>
    <t>5,14</t>
  </si>
  <si>
    <t>91188</t>
  </si>
  <si>
    <t>CHUMBAMENTO PONTUAL DE ABERTURA EM LAJE COM PASSAGEM DE 1 TUBO DE DIAMETRO EQUIVALENTE IGUAL À  50 MM. AF_05/2015</t>
  </si>
  <si>
    <t>91189</t>
  </si>
  <si>
    <t>CHUMBAMENTO PONTUAL DE ABERTURA EM LAJE COM PASSAGEM DE MAIS DE 1 TUBO DE  DIAMETRO EQUIVALENTE IGUAL À  50 MM. AF_05/2015</t>
  </si>
  <si>
    <t>91190</t>
  </si>
  <si>
    <t>CHUMBAMENTO PONTUAL EM PASSAGEM DE TUBO COM DIÂMETRO MENOR OU IGUAL A 40 MM. AF_05/2015</t>
  </si>
  <si>
    <t>91191</t>
  </si>
  <si>
    <t>CHUMBAMENTO PONTUAL EM PASSAGEM DE TUBO COM DIÂMETROS ENTRE 40 MM E 75 MM. AF_05/2015</t>
  </si>
  <si>
    <t>91192</t>
  </si>
  <si>
    <t>CHUMBAMENTO PONTUAL EM PASSAGEM DE TUBO COM DIÂMETRO MAIOR QUE 75 MM. AF_05/2015</t>
  </si>
  <si>
    <t>91222</t>
  </si>
  <si>
    <t>RASGO EM ALVENARIA PARA RAMAIS/ DISTRIBUIÇÃO COM DIÂMETROS MAIORES QUE 40 MM E MENORES OU IGUAIS A 75 MM. AF_05/2015</t>
  </si>
  <si>
    <t>94480</t>
  </si>
  <si>
    <t>CONJUNTO HIDRÁULICO PARA INSTALAÇÃO DE BOMBA EM AÇO ROSCÁVEL, DN SUCÇÃO 65 (2½) E DN RECALQUE 50 (2), PARA EDIFICAÇÃO ENTRE 12 E 18 PAVIMENTOS  FORNECIMENTO E INSTALAÇÃO. AF_06/2016</t>
  </si>
  <si>
    <t>94481</t>
  </si>
  <si>
    <t>CONJUNTO HIDRÁULICO PARA INSTALAÇÃO DE BOMBA EM AÇO ROSCÁVEL, DN SUCÇÃO 50 (2) E DN RECALQUE 40 (1 1/2), PARA EDIFICAÇÃO ENTRE 8 E 12 PAVIMENTOS  FORNECIMENTO E INSTALAÇÃO. AF_06/2016</t>
  </si>
  <si>
    <t>94482</t>
  </si>
  <si>
    <t>CONJUNTO HIDRÁULICO PARA INSTALAÇÃO DE BOMBA EM AÇO ROSCÁVEL, DN SUCÇÃO 40 (1 1/2) E DN RECALQUE 32 (1 1/4), PARA EDIFICAÇÃO ENTRE 4 E 8 PAVIMENTOS  FORNECIMENTO E INSTALAÇÃO. AF_06/2016</t>
  </si>
  <si>
    <t>94483</t>
  </si>
  <si>
    <t>CONJUNTO HIDRÁULICO PARA INSTALAÇÃO DE BOMBA EM AÇO ROSCÁVEL, DN SUCÇÃO 32 (1 1/4) E DN RECALQUE 25 (1), PARA EDIFICAÇÃO ATÉ 4 PAVIMENTOS  FORNECIMENTO E INSTALAÇÃO. AF_06/2016</t>
  </si>
  <si>
    <t>95541</t>
  </si>
  <si>
    <t>FIXAÇÃO UTILIZANDO PARAFUSO E BUCHA DE NYLON, SOMENTE MÃO DE OBRA. AF_10/2016</t>
  </si>
  <si>
    <t>96559</t>
  </si>
  <si>
    <t>SUPORTE PARA DUTO EM CHAPA GALVANIZADA BITOLA 26, ESPAÇADO A CADA 1 M, EM PERFILADO DE SEÇÃO 38X76 MM, POR ÁREA DE DUTO FIXADO. AF_07/2017</t>
  </si>
  <si>
    <t>96560</t>
  </si>
  <si>
    <t>SUPORTE PARA DUTO EM CHAPA GALVANIZADA BITOLA 24, ESPAÇADO A CADA 1 M, EM PERFILADO DE SEÇÃO 38X76 MM, POR ÁREA DE DUTO FIXADO. AF_07/2017</t>
  </si>
  <si>
    <t>96561</t>
  </si>
  <si>
    <t>SUPORTE PARA DUTO EM CHAPA GALVANIZADA BITOLA 22, ESPAÇADO A CADA 1 M, EM PERFILADO DE SEÇÃO 38X76 MM, POR ÁREA DE DUTO FIXADO. AF_07/2017</t>
  </si>
  <si>
    <t>96562</t>
  </si>
  <si>
    <t>SUPORTE PARA ELETROCALHA LISA OU PERFURADA EM AÇO GALVANIZADO, LARGURA 200 OU 400 MM E ALTURA 50 MM, ESPAÇADO A CADA 1,5 M, EM PERFILADO DE SEÇÃO 38X76 MM, POR METRO DE ELETRECOLHA FIXADA. AF_07/2017</t>
  </si>
  <si>
    <t>96563</t>
  </si>
  <si>
    <t>1,76</t>
  </si>
  <si>
    <t>1,96</t>
  </si>
  <si>
    <t>96520</t>
  </si>
  <si>
    <t>96521</t>
  </si>
  <si>
    <t>96522</t>
  </si>
  <si>
    <t>96523</t>
  </si>
  <si>
    <t>96524</t>
  </si>
  <si>
    <t>96525</t>
  </si>
  <si>
    <t>96526</t>
  </si>
  <si>
    <t>96527</t>
  </si>
  <si>
    <t>96528</t>
  </si>
  <si>
    <t>FABRICAÇÃO, MONTAGEM E DESMONTAGEM DE FÔRMA PARA BLOCO DE COROAMENTO, EM MADEIRA SERRADA, E=25 MM, 1 UTILIZAÇÃO. AF_06/2017</t>
  </si>
  <si>
    <t>101206</t>
  </si>
  <si>
    <t>101207</t>
  </si>
  <si>
    <t>101208</t>
  </si>
  <si>
    <t>101209</t>
  </si>
  <si>
    <t>5,11</t>
  </si>
  <si>
    <t>101210</t>
  </si>
  <si>
    <t>101211</t>
  </si>
  <si>
    <t>101212</t>
  </si>
  <si>
    <t>101213</t>
  </si>
  <si>
    <t>101214</t>
  </si>
  <si>
    <t>101215</t>
  </si>
  <si>
    <t>101216</t>
  </si>
  <si>
    <t>101217</t>
  </si>
  <si>
    <t>101218</t>
  </si>
  <si>
    <t>101219</t>
  </si>
  <si>
    <t>101220</t>
  </si>
  <si>
    <t>101221</t>
  </si>
  <si>
    <t>101222</t>
  </si>
  <si>
    <t>101223</t>
  </si>
  <si>
    <t>101224</t>
  </si>
  <si>
    <t>101225</t>
  </si>
  <si>
    <t>101226</t>
  </si>
  <si>
    <t>101227</t>
  </si>
  <si>
    <t>101228</t>
  </si>
  <si>
    <t>101229</t>
  </si>
  <si>
    <t>101230</t>
  </si>
  <si>
    <t>101231</t>
  </si>
  <si>
    <t>101232</t>
  </si>
  <si>
    <t>101233</t>
  </si>
  <si>
    <t>101234</t>
  </si>
  <si>
    <t>101235</t>
  </si>
  <si>
    <t>101236</t>
  </si>
  <si>
    <t>101237</t>
  </si>
  <si>
    <t>101238</t>
  </si>
  <si>
    <t>101239</t>
  </si>
  <si>
    <t>101240</t>
  </si>
  <si>
    <t>101241</t>
  </si>
  <si>
    <t>101242</t>
  </si>
  <si>
    <t>101243</t>
  </si>
  <si>
    <t>101244</t>
  </si>
  <si>
    <t>101245</t>
  </si>
  <si>
    <t>101246</t>
  </si>
  <si>
    <t>101247</t>
  </si>
  <si>
    <t>101248</t>
  </si>
  <si>
    <t>101249</t>
  </si>
  <si>
    <t>101250</t>
  </si>
  <si>
    <t>101251</t>
  </si>
  <si>
    <t>101252</t>
  </si>
  <si>
    <t>101253</t>
  </si>
  <si>
    <t>101254</t>
  </si>
  <si>
    <t>101255</t>
  </si>
  <si>
    <t>101256</t>
  </si>
  <si>
    <t>101257</t>
  </si>
  <si>
    <t>101258</t>
  </si>
  <si>
    <t>101259</t>
  </si>
  <si>
    <t>101260</t>
  </si>
  <si>
    <t>101261</t>
  </si>
  <si>
    <t>101262</t>
  </si>
  <si>
    <t>101263</t>
  </si>
  <si>
    <t>101264</t>
  </si>
  <si>
    <t>101265</t>
  </si>
  <si>
    <t>101266</t>
  </si>
  <si>
    <t>101267</t>
  </si>
  <si>
    <t>101268</t>
  </si>
  <si>
    <t>101269</t>
  </si>
  <si>
    <t>101270</t>
  </si>
  <si>
    <t>11,95</t>
  </si>
  <si>
    <t>101271</t>
  </si>
  <si>
    <t>101272</t>
  </si>
  <si>
    <t>101273</t>
  </si>
  <si>
    <t>101274</t>
  </si>
  <si>
    <t>101275</t>
  </si>
  <si>
    <t>101276</t>
  </si>
  <si>
    <t>101277</t>
  </si>
  <si>
    <t>90082</t>
  </si>
  <si>
    <t>90084</t>
  </si>
  <si>
    <t>6,20</t>
  </si>
  <si>
    <t>90086</t>
  </si>
  <si>
    <t>90087</t>
  </si>
  <si>
    <t>90090</t>
  </si>
  <si>
    <t>90091</t>
  </si>
  <si>
    <t>90092</t>
  </si>
  <si>
    <t>90094</t>
  </si>
  <si>
    <t>90095</t>
  </si>
  <si>
    <t>90098</t>
  </si>
  <si>
    <t>90099</t>
  </si>
  <si>
    <t>9,21</t>
  </si>
  <si>
    <t>90100</t>
  </si>
  <si>
    <t>90101</t>
  </si>
  <si>
    <t>90102</t>
  </si>
  <si>
    <t>90105</t>
  </si>
  <si>
    <t>90106</t>
  </si>
  <si>
    <t>90107</t>
  </si>
  <si>
    <t>4,86</t>
  </si>
  <si>
    <t>90108</t>
  </si>
  <si>
    <t>93358</t>
  </si>
  <si>
    <t>94304</t>
  </si>
  <si>
    <t>94306</t>
  </si>
  <si>
    <t>94310</t>
  </si>
  <si>
    <t>94316</t>
  </si>
  <si>
    <t>94318</t>
  </si>
  <si>
    <t>94319</t>
  </si>
  <si>
    <t>94327</t>
  </si>
  <si>
    <t>94329</t>
  </si>
  <si>
    <t>94333</t>
  </si>
  <si>
    <t>94339</t>
  </si>
  <si>
    <t>94341</t>
  </si>
  <si>
    <t>94342</t>
  </si>
  <si>
    <t>96385</t>
  </si>
  <si>
    <t>EXECUÇÃO E COMPACTAÇÃO DE ATERRO COM SOLO PREDOMINANTEMENTE ARGILOSO - EXCLUSIVE SOLO, ESCAVAÇÃO, CARGA E TRANSPORTE. AF_11/2019</t>
  </si>
  <si>
    <t>96386</t>
  </si>
  <si>
    <t>EXECUÇÃO E COMPACTAÇÃO DE ATERRO COM SOLO PREDOMINANTEMENTE ARENOSO - EXCLUSIVE SOLO, ESCAVAÇÃO, CARGA E TRANSPORTE. AF_11/2019</t>
  </si>
  <si>
    <t>93367</t>
  </si>
  <si>
    <t>93368</t>
  </si>
  <si>
    <t>93369</t>
  </si>
  <si>
    <t>93372</t>
  </si>
  <si>
    <t>93373</t>
  </si>
  <si>
    <t>11,98</t>
  </si>
  <si>
    <t>93378</t>
  </si>
  <si>
    <t>93379</t>
  </si>
  <si>
    <t>93380</t>
  </si>
  <si>
    <t>93381</t>
  </si>
  <si>
    <t>93382</t>
  </si>
  <si>
    <t>0,52</t>
  </si>
  <si>
    <t>2,61</t>
  </si>
  <si>
    <t>0,63</t>
  </si>
  <si>
    <t>97916</t>
  </si>
  <si>
    <t>1,00</t>
  </si>
  <si>
    <t>97917</t>
  </si>
  <si>
    <t>97918</t>
  </si>
  <si>
    <t>97919</t>
  </si>
  <si>
    <t>101159</t>
  </si>
  <si>
    <t>ALVENARIA DE VEDAÇÃO DE BLOCOS CERÂMICOS MACIÇOS DE 5X10X20CM (ESPESSURA 10CM) E ARGAMASSA DE ASSENTAMENTO COM PREPARO EM BETONEIRA. AF_05/2020</t>
  </si>
  <si>
    <t>89282</t>
  </si>
  <si>
    <t>89283</t>
  </si>
  <si>
    <t>89290</t>
  </si>
  <si>
    <t>89291</t>
  </si>
  <si>
    <t>89298</t>
  </si>
  <si>
    <t>89299</t>
  </si>
  <si>
    <t>89306</t>
  </si>
  <si>
    <t>89307</t>
  </si>
  <si>
    <t>101162</t>
  </si>
  <si>
    <t>ALVENARIA DE VEDAÇÃO COM ELEMENTO VAZADO DE CERÂMICA (COBOGÓ) DE 7X20X20CM E ARGAMASSA DE ASSENTAMENTO COM PREPARO EM BETONEIRA. AF_05/2020</t>
  </si>
  <si>
    <t>89453</t>
  </si>
  <si>
    <t>89455</t>
  </si>
  <si>
    <t>89462</t>
  </si>
  <si>
    <t>89464</t>
  </si>
  <si>
    <t>89470</t>
  </si>
  <si>
    <t>89472</t>
  </si>
  <si>
    <t>89478</t>
  </si>
  <si>
    <t>89480</t>
  </si>
  <si>
    <t>91815</t>
  </si>
  <si>
    <t>(COMPOSIÇÃO REPRESENTATIVA) DE ALVENARIA DE BLOCOS DE CONCRETO ESTRUTURAL 14X19X39 CM, (ESPESSURA 14 CM), FBK = 4,5 MPA, UTILIZANDO PALHETA, PARA EDIFICAÇÃO HABITACIONAL. AF_10/2015</t>
  </si>
  <si>
    <t>91816</t>
  </si>
  <si>
    <t>COMPOSIÇÃO REPRESENTATIVA DE SERVIÇOS DE ALVENARIA DE BLOCOS DE CONCRETO ESTRUTURAL 14X19X29 CM, (ESPESSURA 14 CM), FBK = 4,5 MPA, UTILIZANDO PALHETA, PARA EDIFICAÇÃO HABITACIONAL. AF_10/2015</t>
  </si>
  <si>
    <t>101161</t>
  </si>
  <si>
    <t>ALVENARIA DE VEDAÇÃO COM ELEMENTO VAZADO DE CONCRETO (COBOGÓ) DE 7X50X50CM E ARGAMASSA DE ASSENTAMENTO COM PREPARO EM BETONEIRA. AF_05/2020</t>
  </si>
  <si>
    <t>101163</t>
  </si>
  <si>
    <t>ALVENARIA DE VEDAÇÃO COM BLOCO DE VIDRO VAZADO, TIPO VENEZIANA, DE 6X20X20CM E ARGAMASSA DE ASSENTAMENTO COM PREPARO EM BETONEIRA. AF_05/2020</t>
  </si>
  <si>
    <t>101164</t>
  </si>
  <si>
    <t>ALVENARIA DE VEDAÇÃO COM BLOCO DE VIDRO, TIPO CANELADO, DE 8X19X19CM E ARGAMASSA DE ASSENTAMENTO COM PREPARO EM BETONEIRA. AF_05/2020</t>
  </si>
  <si>
    <t>96358</t>
  </si>
  <si>
    <t>96359</t>
  </si>
  <si>
    <t>96360</t>
  </si>
  <si>
    <t>96361</t>
  </si>
  <si>
    <t>96362</t>
  </si>
  <si>
    <t>96363</t>
  </si>
  <si>
    <t>96364</t>
  </si>
  <si>
    <t>96365</t>
  </si>
  <si>
    <t>96366</t>
  </si>
  <si>
    <t>96367</t>
  </si>
  <si>
    <t>96368</t>
  </si>
  <si>
    <t>96369</t>
  </si>
  <si>
    <t>96370</t>
  </si>
  <si>
    <t>96371</t>
  </si>
  <si>
    <t>96373</t>
  </si>
  <si>
    <t>96374</t>
  </si>
  <si>
    <t>101154</t>
  </si>
  <si>
    <t>ALVENARIA DE VEDAÇÃO DE BLOCOS DE CONCRETO CELULAR DE 10X30X60CM (ESPESSURA 10CM) E ARGAMASSA DE ASSENTAMENTO COM PREPARO EM BETONEIRA. AF_05/2020</t>
  </si>
  <si>
    <t>101155</t>
  </si>
  <si>
    <t>ALVENARIA DE VEDAÇÃO DE BLOCOS DE CONCRETO CELULAR DE 15X30X60CM (ESPESSURA 15CM) E ARGAMASSA DE ASSENTAMENTO COM PREPARO EM BETONEIRA. AF_05/2020</t>
  </si>
  <si>
    <t>101156</t>
  </si>
  <si>
    <t>ALVENARIA DE VEDAÇÃO DE BLOCOS DE CONCRETO CELULAR DE 20X30X60CM (ESPESSURA 20CM) E ARGAMASSA DE ASSENTAMENTO COM PREPARO EM BETONEIRA. AF_05/2020</t>
  </si>
  <si>
    <t>100576</t>
  </si>
  <si>
    <t>REGULARIZAÇÃO E COMPACTAÇÃO DE SUBLEITO DE SOLO  PREDOMINANTEMENTE ARGILOSO. AF_11/2019</t>
  </si>
  <si>
    <t>1,37</t>
  </si>
  <si>
    <t>100577</t>
  </si>
  <si>
    <t>REGULARIZAÇÃO E COMPACTAÇÃO DE SUBLEITO DE SOLO PREDOMINANTEMENTE ARENOSO. AF_11/2019</t>
  </si>
  <si>
    <t>0,59</t>
  </si>
  <si>
    <t>96388</t>
  </si>
  <si>
    <t>EXECUÇÃO E COMPACTAÇÃO DE BASE E OU SUB BASE PARA PAVIMENTAÇÃO DE SOLOS DE COMPORTAMENTO LATERÍTICO (ARENOSO) - EXCLUSIVE SOLO, ESCAVAÇÃO, CARGA E TRANSPORTE. AF_11/2019</t>
  </si>
  <si>
    <t>96389</t>
  </si>
  <si>
    <t>EXECUÇÃO E COMPACTAÇÃO DE BASE E OU SUB BASE PARA PAVIMENTAÇÃO DE SOLO (PREDOMINANTEMENTE ARENOSO) COM CIMENTO (TEOR DE 2%) - EXCLUSIVE SOLO, ESCAVAÇÃO, CARGA E TRANSPORTE. AF_11/2019</t>
  </si>
  <si>
    <t>96390</t>
  </si>
  <si>
    <t>EXECUÇÃO E COMPACTAÇÃO DE BASE E OU SUB BASE PARA PAVIMENTAÇÃO DE SOLO (PREDOMINANTEMENTE ARENOSO) COM CIMENTO (TEOR DE 4%) - EXCLUSIVE SOLO, ESCAVAÇÃO, CARGA E TRANSPORTE. AF_11/2019</t>
  </si>
  <si>
    <t>96391</t>
  </si>
  <si>
    <t>EXECUÇÃO E COMPACTAÇÃO DE BASE E OU SUB BASE PARA PAVIMENTAÇÃO DE SOLO (PREDOMINANTEMENTE ARENOSO) COM CIMENTO (TEOR DE 6%) - EXCLUSIVE SOLO, ESCAVAÇÃO, CARGA E TRANSPORTE. AF_11/2019</t>
  </si>
  <si>
    <t>96392</t>
  </si>
  <si>
    <t>EXECUÇÃO E COMPACTAÇÃO DE BASE E OU SUB BASE PARA PAVIMENTAÇÃO DE SOLO (PREDOMINANTEMENTE ARENOSO) COM CIMENTO (TEOR DE 8%) - EXCLUSIVE SOLO, ESCAVAÇÃO, CARGA E TRANSPORTE. AF_11/2019</t>
  </si>
  <si>
    <t>96396</t>
  </si>
  <si>
    <t>EXECUÇÃO E COMPACTAÇÃO DE BASE E OU SUB BASE PARA PAVIMENTAÇÃO DE BRITA GRADUADA SIMPLES - EXCLUSIVE CARGA E TRANSPORTE. AF_11/2019</t>
  </si>
  <si>
    <t>96397</t>
  </si>
  <si>
    <t>EXECUÇÃO E COMPACTAÇÃO DE BASE E OU SUB BASE PARA PAVIMENTAÇÃO DE BRITA GRADUADA SIMPLES TRATADA COM CIMENTO - EXCLUSIVE CARGA E TRANSPORTE. AF_11/2019</t>
  </si>
  <si>
    <t>96398</t>
  </si>
  <si>
    <t>EXECUÇÃO E COMPACTAÇÃO DE BASE E OU SUB BASE PARA PAVIMENTAÇÃO DE CONCRETO COMPACTADO COM ROLO - EXCLUSIVE CARGA E TRANSPORTE. AF_11/2019</t>
  </si>
  <si>
    <t>96399</t>
  </si>
  <si>
    <t>EXECUÇÃO E COMPACTAÇÃO DE BASE E OU SUB BASE PARA PAVIMENTAÇÃO DE PEDRA RACHÃO  - EXCLUSIVE CARGA E TRANSPORTE. AF_11/2019</t>
  </si>
  <si>
    <t>96400</t>
  </si>
  <si>
    <t>EXECUÇÃO E COMPACTAÇÃO DE BASE E OU SUB BASE PARA PAVIMENTAÇÃO DE MACADAME SECO - EXCLUSIVE CARGA E TRANSPORTE. AF_11/2019</t>
  </si>
  <si>
    <t>100564</t>
  </si>
  <si>
    <t>EXECUÇÃO E COMPACTAÇÃO DE BASE E OU SUB-BASE PARA PAVIMENTAÇÃO DE SOLO (PREDOMINANTEMENTE ARENOSO) BRITA - 40/60 - EXCLUSIVE SOLO, ESCAVAÇÃO, CARGA E TRANSPORTE. AF_11/2019</t>
  </si>
  <si>
    <t>100565</t>
  </si>
  <si>
    <t>EXECUÇÃO E COMPACTAÇÃO DE BASE E OU SUB-BASE PARA PAVIMENTAÇÃO DE SOLO (PREDOMINANTEMENTE ARENOSO) BRITA - 50/50 - EXCLUSIVE SOLO, ESCAVAÇÃO, CARGA E TRANSPORTE. AF_11/2019</t>
  </si>
  <si>
    <t>100566</t>
  </si>
  <si>
    <t>EXECUÇÃO E COMPACTAÇÃO DE BASE E OU SUB-BASE PARA PAVIMENTAÇÃO DE SOLO (PREDOMINANTEMENTE ARENOSO) BRITA - 40/60 COM CIMENTO (TEOR DE 4%) - EXCLUSIVE SOLO, ESCAVAÇÃO, CARGA E TRANSPORTE. AF_11/2019</t>
  </si>
  <si>
    <t>100567</t>
  </si>
  <si>
    <t>EXECUÇÃO E COMPACTAÇÃO DE BASE E OU SUB-BASE PARA PAVIMENTAÇÃO DE SOLO (PREDOMINANTEMENTE ARENOSO) BRITA - 40/60 COM CIMENTO (TEOR DE 6%) - EXCLUSIVE SOLO, ESCAVAÇÃO, CARGA E TRANSPORTE. AF_11/2019</t>
  </si>
  <si>
    <t>100568</t>
  </si>
  <si>
    <t>EXECUÇÃO E COMPACTAÇÃO DE BASE E OU SUB-BASE PARA PAVIMENTAÇÃO DE SOLO (PREDOMINANTEMENTE ARENOSO) BRITA - 40/60 COM CIMENTO (TEOR DE 8%) - EXCLUSIVE SOLO, ESCAVAÇÃO, CARGA E TRANSPORTE. AF_11/2019</t>
  </si>
  <si>
    <t>100569</t>
  </si>
  <si>
    <t>EXECUÇÃO E COMPACTAÇÃO DE BASE E OU SUB-BASE PARA PAVIMENTAÇÃO DE SOLO (PREDOMINANTEMENTE ARENOSO) BRITA - 50/50 COM CIMENTO (TEOR DE 4%)  - EXCLUSIVE SOLO, ESCAVAÇÃO, CARGA E TRANSPORTE. AF_11/2019</t>
  </si>
  <si>
    <t>100570</t>
  </si>
  <si>
    <t>EXECUÇÃO E COMPACTAÇÃO DE BASE E OU SUB-BASE PARA PAVIMENTAÇÃO DE SOLO (PREDOMINANTEMENTE ARENOSO) BRITA - 50/50 COM CIMENTO (TEOR DE 6%) - EXCLUSIVE SOLO, ESCAVAÇÃO, CARGA E TRANSPORTE. AF_11/2019</t>
  </si>
  <si>
    <t>100571</t>
  </si>
  <si>
    <t>EXECUÇÃO E COMPACTAÇÃO DE BASE E OU SUB-BASE PARA PAVIMENTAÇÃO DE SOLO (PREDOMINANTEMENTE ARENOSO) BRITA - 50/50 COM CIMENTO (TEOR DE 8%) - EXCLUSIVE SOLO, ESCAVAÇÃO, CARGA E TRANSPORTE. AF_11/2019</t>
  </si>
  <si>
    <t>100572</t>
  </si>
  <si>
    <t>EXECUÇÃO E COMPACTAÇÃO DE BASE E OU SUB-BASE PARA PAVIMENTAÇÃO DE SOLO (PREDOMINANTEMENTE ARGILOSO) BRITA - 40/60 - EXCLUSIVE SOLO, ESCAVAÇÃO, CARGA E TRANSPORTE. AF_11/2019</t>
  </si>
  <si>
    <t>100573</t>
  </si>
  <si>
    <t>EXECUÇÃO E COMPACTAÇÃO DE BASE E OU SUB-BASE PARA PAVIMENTAÇÃO DE SOLO (PREDOMINANTEMENTE ARGILOSO) BRITA - 50/50 - EXCLUSIVE SOLO, ESCAVAÇÃO, CARGA E TRANSPORTE. AF_11/2019</t>
  </si>
  <si>
    <t>100574</t>
  </si>
  <si>
    <t>ESPALHAMENTO DE MATERIAL COM TRATOR DE ESTEIRAS. AF_11/2019</t>
  </si>
  <si>
    <t>100575</t>
  </si>
  <si>
    <t>REGULARIZAÇÃO DE SUPERFÍCIES COM MOTONIVELADORA. AF_11/2019</t>
  </si>
  <si>
    <t>92391</t>
  </si>
  <si>
    <t>92392</t>
  </si>
  <si>
    <t>92393</t>
  </si>
  <si>
    <t>92394</t>
  </si>
  <si>
    <t>92395</t>
  </si>
  <si>
    <t>92396</t>
  </si>
  <si>
    <t>92397</t>
  </si>
  <si>
    <t>92398</t>
  </si>
  <si>
    <t>92400</t>
  </si>
  <si>
    <t>92402</t>
  </si>
  <si>
    <t>92403</t>
  </si>
  <si>
    <t>92404</t>
  </si>
  <si>
    <t>92406</t>
  </si>
  <si>
    <t>93679</t>
  </si>
  <si>
    <t>93680</t>
  </si>
  <si>
    <t>93681</t>
  </si>
  <si>
    <t>97114</t>
  </si>
  <si>
    <t>0,34</t>
  </si>
  <si>
    <t>97115</t>
  </si>
  <si>
    <t>97120</t>
  </si>
  <si>
    <t>101167</t>
  </si>
  <si>
    <t>EXECUÇÃO DE PAVIMENTO EM PARALELEPÍPEDOS, REJUNTAMENTO COM PÓ DE PEDRA. AF_05/2020</t>
  </si>
  <si>
    <t>101169</t>
  </si>
  <si>
    <t>EXECUÇÃO DE PAVIMENTO EM PARALELEPÍPEDOS, REJUNTAMENTO COM ARGAMASSA TRAÇO 1:3 (CIMENTO E AREIA). AF_05/2020</t>
  </si>
  <si>
    <t>101170</t>
  </si>
  <si>
    <t>EXECUÇÃO DE PAVIMENTO EM PEDRAS POLIÉDRICAS, REJUNTAMENTO COM PÓ DE PEDRA. AF_05/2020</t>
  </si>
  <si>
    <t>101172</t>
  </si>
  <si>
    <t>EXECUÇÃO DE PAVIMENTO EM PEDRAS POLIÉDRICAS, REJUNTAMENTO COM ARGAMASSA TRAÇO 1:3 (CIMENTO E AREIA). AF_05/2020</t>
  </si>
  <si>
    <t>4,02</t>
  </si>
  <si>
    <t>95995</t>
  </si>
  <si>
    <t>EXECUÇÃO DE PAVIMENTO COM APLICAÇÃO DE CONCRETO ASFÁLTICO, CAMADA DE ROLAMENTO - EXCLUSIVE CARGA E TRANSPORTE. AF_11/2019</t>
  </si>
  <si>
    <t>95996</t>
  </si>
  <si>
    <t>EXECUÇÃO DE PAVIMENTO COM APLICAÇÃO DE CONCRETO ASFÁLTICO, CAMADA DE BINDER - EXCLUSIVE CARGA E TRANSPORTE. AF_11/2019</t>
  </si>
  <si>
    <t>96001</t>
  </si>
  <si>
    <t>FRESAGEM DE PAVIMENTO ASFÁLTICO (PROFUNDIDADE ATÉ 5,0 CM) - EXCLUSIVE TRANSPORTE. AF_11/2019</t>
  </si>
  <si>
    <t>96393</t>
  </si>
  <si>
    <t>USINAGEM DE BRITA GRADUADA SIMPLES. AF_03/2020</t>
  </si>
  <si>
    <t>96394</t>
  </si>
  <si>
    <t>USINAGEM DE BRITA GRADUADA TRATADA COM CIMENTO. AF_03/2020</t>
  </si>
  <si>
    <t>96395</t>
  </si>
  <si>
    <t>USINAGEM DE CONCRETO PARA COMPACTAÇÃO COM ROLO. AF_03/2020</t>
  </si>
  <si>
    <t>88411</t>
  </si>
  <si>
    <t>APLICAÇÃO MANUAL DE FUNDO SELADOR ACRÍLICO EM PANOS COM PRESENÇA DE VÃOS DE EDIFÍCIOS DE MÚLTIPLOS PAVIMENTOS. AF_06/2014</t>
  </si>
  <si>
    <t>88412</t>
  </si>
  <si>
    <t>APLICAÇÃO MANUAL DE FUNDO SELADOR ACRÍLICO EM PANOS CEGOS DE FACHADA (SEM PRESENÇA DE VÃOS) DE EDIFÍCIOS DE MÚLTIPLOS PAVIMENTOS. AF_06/2014</t>
  </si>
  <si>
    <t>88413</t>
  </si>
  <si>
    <t>APLICAÇÃO MANUAL DE FUNDO SELADOR ACRÍLICO EM SUPERFÍCIES EXTERNAS DE SACADA DE EDIFÍCIOS DE MÚLTIPLOS PAVIMENTOS. AF_06/2014</t>
  </si>
  <si>
    <t>88414</t>
  </si>
  <si>
    <t>APLICAÇÃO MANUAL DE FUNDO SELADOR ACRÍLICO EM SUPERFÍCIES INTERNAS DA SACADA DE EDIFÍCIOS DE MÚLTIPLOS PAVIMENTOS. AF_06/2014</t>
  </si>
  <si>
    <t>88415</t>
  </si>
  <si>
    <t>APLICAÇÃO MANUAL DE FUNDO SELADOR ACRÍLICO EM PAREDES EXTERNAS DE CASAS. AF_06/2014</t>
  </si>
  <si>
    <t>88416</t>
  </si>
  <si>
    <t>APLICAÇÃO MANUAL DE PINTURA COM TINTA TEXTURIZADA ACRÍLICA EM PANOS COM PRESENÇA DE VÃOS DE EDIFÍCIOS DE MÚLTIPLOS PAVIMENTOS, UMA COR. AF_06/2014</t>
  </si>
  <si>
    <t>88417</t>
  </si>
  <si>
    <t>APLICAÇÃO MANUAL DE PINTURA COM TINTA TEXTURIZADA ACRÍLICA EM PANOS CEGOS DE FACHADA (SEM PRESENÇA DE VÃOS) DE EDIFÍCIOS DE MÚLTIPLOS PAVIMENTOS, UMA COR. AF_06/2014</t>
  </si>
  <si>
    <t>88420</t>
  </si>
  <si>
    <t>APLICAÇÃO MANUAL DE PINTURA COM TINTA TEXTURIZADA ACRÍLICA EM SUPERFÍCIES EXTERNAS DE SACADA DE EDIFÍCIOS DE MÚLTIPLOS PAVIMENTOS, UMA COR. AF_06/2014</t>
  </si>
  <si>
    <t>88421</t>
  </si>
  <si>
    <t>APLICAÇÃO MANUAL DE PINTURA COM TINTA TEXTURIZADA ACRÍLICA EM SUPERFÍCIES INTERNAS DA SACADA DE EDIFÍCIOS DE MÚLTIPLOS PAVIMENTOS, UMA COR. AF_06/2014</t>
  </si>
  <si>
    <t>88423</t>
  </si>
  <si>
    <t>APLICAÇÃO MANUAL DE PINTURA COM TINTA TEXTURIZADA ACRÍLICA EM PAREDES EXTERNAS DE CASAS, UMA COR. AF_06/2014</t>
  </si>
  <si>
    <t>88424</t>
  </si>
  <si>
    <t>APLICAÇÃO MANUAL DE PINTURA COM TINTA TEXTURIZADA ACRÍLICA EM PANOS COM PRESENÇA DE VÃOS DE EDIFÍCIOS DE MÚLTIPLOS PAVIMENTOS, DUAS CORES. AF_06/2014</t>
  </si>
  <si>
    <t>88426</t>
  </si>
  <si>
    <t>APLICAÇÃO MANUAL DE PINTURA COM TINTA TEXTURIZADA ACRÍLICA EM PANOS CEGOS DE FACHADA (SEM PRESENÇA DE VÃOS) DE EDIFÍCIOS DE MÚLTIPLOS PAVIMENTOS, DUAS CORES. AF_06/2014</t>
  </si>
  <si>
    <t>88428</t>
  </si>
  <si>
    <t>APLICAÇÃO MANUAL DE PINTURA COM TINTA TEXTURIZADA ACRÍLICA EM SUPERFÍCIES EXTERNAS DE SACADA DE EDIFÍCIOS DE MÚLTIPLOS PAVIMENTOS, DUAS CORES. AF_06/2014</t>
  </si>
  <si>
    <t>88429</t>
  </si>
  <si>
    <t>APLICAÇÃO MANUAL DE PINTURA COM TINTA TEXTURIZADA ACRÍLICA EM SUPERFÍCIES INTERNAS DA SACADA DE EDIFÍCIOS DE MÚLTIPLOS PAVIMENTOS, DUAS CORES. AF_06/2014</t>
  </si>
  <si>
    <t>88431</t>
  </si>
  <si>
    <t>APLICAÇÃO MANUAL DE PINTURA COM TINTA TEXTURIZADA ACRÍLICA EM PAREDES EXTERNAS DE CASAS, DUAS CORES. AF_06/2014</t>
  </si>
  <si>
    <t>88432</t>
  </si>
  <si>
    <t>APLICAÇÃO MANUAL DE PINTURA COM TINTA TEXTURIZADA ACRÍLICA EM MOLDURAS DE EPS, PRÉ-FABRICADOS, OU OUTROS. AF_06/2014</t>
  </si>
  <si>
    <t>88484</t>
  </si>
  <si>
    <t>88485</t>
  </si>
  <si>
    <t>88488</t>
  </si>
  <si>
    <t>88489</t>
  </si>
  <si>
    <t>88494</t>
  </si>
  <si>
    <t>88495</t>
  </si>
  <si>
    <t>88496</t>
  </si>
  <si>
    <t>88497</t>
  </si>
  <si>
    <t>95305</t>
  </si>
  <si>
    <t>95306</t>
  </si>
  <si>
    <t>95622</t>
  </si>
  <si>
    <t>APLICAÇÃO MANUAL DE TINTA LÁTEX ACRÍLICA EM PANOS COM PRESENÇA DE VÃOS DE EDIFÍCIOS DE MÚLTIPLOS PAVIMENTOS, DUAS DEMÃOS. AF_11/2016</t>
  </si>
  <si>
    <t>95623</t>
  </si>
  <si>
    <t>APLICAÇÃO MANUAL DE TINTA LÁTEX ACRÍLICA EM PANOS SEM PRESENÇA DE VÃOS DE EDIFÍCIOS DE MÚLTIPLOS PAVIMENTOS, DUAS DEMÃOS. AF_11/2016</t>
  </si>
  <si>
    <t>95624</t>
  </si>
  <si>
    <t>APLICAÇÃO MANUAL DE TINTA LÁTEX ACRÍLICA EM SUPERFÍCIES EXTERNAS DE SACADA DE EDIFÍCIOS DE MÚLTIPLOS PAVIMENTOS, DUAS DEMÃOS. AF_11/2016</t>
  </si>
  <si>
    <t>95625</t>
  </si>
  <si>
    <t>APLICAÇÃO MANUAL DE TINTA LÁTEX ACRÍLICA EM SUPERFÍCIES INTERNAS DE SACADA DE EDIFÍCIOS DE MÚLTIPLOS PAVIMENTOS, DUAS DEMÃOS. AF_11/2016</t>
  </si>
  <si>
    <t>95626</t>
  </si>
  <si>
    <t>APLICAÇÃO MANUAL DE TINTA LÁTEX ACRÍLICA EM PAREDE EXTERNAS DE CASAS, DUAS DEMÃOS. AF_11/2016</t>
  </si>
  <si>
    <t>96126</t>
  </si>
  <si>
    <t>APLICAÇÃO MANUAL DE MASSA ACRÍLICA EM PANOS DE FACHADA COM PRESENÇA DE VÃOS, DE EDIFÍCIOS DE MÚLTIPLOS PAVIMENTOS, UMA DEMÃO. AF_05/2017</t>
  </si>
  <si>
    <t>15,50</t>
  </si>
  <si>
    <t>96127</t>
  </si>
  <si>
    <t>APLICAÇÃO MANUAL DE MASSA ACRÍLICA EM PANOS DE FACHADA SEM PRESENÇA DE VÃOS, DE EDIFÍCIOS DE MÚLTIPLOS PAVIMENTOS, UMA DEMÃO. AF_05/2017</t>
  </si>
  <si>
    <t>96128</t>
  </si>
  <si>
    <t>APLICAÇÃO MANUAL DE MASSA ACRÍLICA EM SUPERFÍCIES EXTERNAS DE SACADA DE EDIFÍCIOS DE MÚLTIPLOS PAVIMENTOS, UMA DEMÃO. AF_05/2017</t>
  </si>
  <si>
    <t>96129</t>
  </si>
  <si>
    <t>APLICAÇÃO MANUAL DE MASSA ACRÍLICA EM SUPERFÍCIES INTERNAS DE SACADA DE EDIFÍCIOS DE MÚLTIPLOS PAVIMENTOS, UMA DEMÃO. AF_05/2017</t>
  </si>
  <si>
    <t>96130</t>
  </si>
  <si>
    <t>APLICAÇÃO MANUAL DE MASSA ACRÍLICA EM PAREDES EXTERNAS DE CASAS, UMA DEMÃO. AF_05/2017</t>
  </si>
  <si>
    <t>96131</t>
  </si>
  <si>
    <t>APLICAÇÃO MANUAL DE MASSA ACRÍLICA EM PANOS DE FACHADA COM PRESENÇA DE VÃOS, DE EDIFÍCIOS DE MÚLTIPLOS PAVIMENTOS, DUAS DEMÃOS. AF_05/2017</t>
  </si>
  <si>
    <t>96132</t>
  </si>
  <si>
    <t>APLICAÇÃO MANUAL DE MASSA ACRÍLICA EM PANOS DE FACHADA SEM PRESENÇA DE VÃOS, DE EDIFÍCIOS DE MÚLTIPLOS PAVIMENTOS, DUAS DEMÃOS. AF_05/2017</t>
  </si>
  <si>
    <t>96133</t>
  </si>
  <si>
    <t>APLICAÇÃO MANUAL DE MASSA ACRÍLICA EM SUPERFÍCIES EXTERNAS DE SACADA DE EDIFÍCIOS DE MÚLTIPLOS PAVIMENTOS, DUAS DEMÃOS. AF_05/2017</t>
  </si>
  <si>
    <t>96134</t>
  </si>
  <si>
    <t>APLICAÇÃO MANUAL DE MASSA ACRÍLICA EM SUPERFÍCIES INTERNAS DE SACADA DE EDIFÍCIOS DE MÚLTIPLOS PAVIMENTOS, DUAS DEMÃOS. AF_05/2017</t>
  </si>
  <si>
    <t>96135</t>
  </si>
  <si>
    <t>APLICAÇÃO MANUAL DE MASSA ACRÍLICA EM PAREDES EXTERNAS DE CASAS, DUAS DEMÃOS. AF_05/2017</t>
  </si>
  <si>
    <t>100716</t>
  </si>
  <si>
    <t>JATEAMENTO ABRASIVO COM GRANALHA DE AÇO EM PERFIL METÁLICO EM FÁBRICA. AF_01/2020</t>
  </si>
  <si>
    <t>100717</t>
  </si>
  <si>
    <t>LIXAMENTO MANUAL EM SUPERFÍCIES METÁLICAS EM OBRA. AF_01/2020</t>
  </si>
  <si>
    <t>100718</t>
  </si>
  <si>
    <t>COLOCAÇÃO DE FITA PROTETORA PARA PINTURA. AF_01/2020</t>
  </si>
  <si>
    <t>100719</t>
  </si>
  <si>
    <t>100720</t>
  </si>
  <si>
    <t>PINTURA COM TINTA ALQUÍDICA DE FUNDO (TIPO ZARCÃO) APLICADA A ROLO OU PINCEL SOBRE PERFIL METÁLICO EXECUTADO EM FÁBRICA (POR DEMÃO). AF_01/2020</t>
  </si>
  <si>
    <t>100721</t>
  </si>
  <si>
    <t>100722</t>
  </si>
  <si>
    <t>PINTURA COM TINTA ALQUÍDICA DE FUNDO (TIPO ZARCÃO) APLICADA A ROLO OU PINCEL SOBRE SUPERFÍCIES METÁLICAS (EXCETO PERFIL) EXECUTADO EM OBRA (POR DEMÃO). AF_01/2020</t>
  </si>
  <si>
    <t>100724</t>
  </si>
  <si>
    <t>PINTURA COM TINTA ALQUÍDICA DE FUNDO E ACABAMENTO (ESMALTE SINTÉTICO GRAFITE) APLICADA A ROLO OU PINCEL SOBRE PERFIL METÁLICO EXECUTADO EM FÁBRICA (POR DEMÃO). AF_01/2020</t>
  </si>
  <si>
    <t>100725</t>
  </si>
  <si>
    <t>100726</t>
  </si>
  <si>
    <t>PINTURA COM TINTA ALQUÍDICA DE FUNDO E ACABAMENTO (ESMALTE SINTÉTICO GRAFITE) APLICADA A ROLO OU PINCEL SOBRE SUPERFÍCIES METÁLICAS (EXCETO PERFIL) EXECUTADO EM OBRA (POR DEMÃO). AF_01/2020</t>
  </si>
  <si>
    <t>100727</t>
  </si>
  <si>
    <t>100728</t>
  </si>
  <si>
    <t>PINTURA COM TINTA EPOXÍDICA DE FUNDO APLICADA A ROLO OU PINCEL SOBRE PERFIL METÁLICO EXECUTADO EM FÁBRICA (POR DEMÃO). AF_01/2020</t>
  </si>
  <si>
    <t>100729</t>
  </si>
  <si>
    <t>100730</t>
  </si>
  <si>
    <t>PINTURA COM TINTA EPOXÍDICA DE ACABAMENTO APLICADA A ROLO OU PINCEL SOBRE PERFIL METÁLICO EXECUTADO EM FÁBRICA (POR DEMÃO). AF_01/2020</t>
  </si>
  <si>
    <t>100733</t>
  </si>
  <si>
    <t>100734</t>
  </si>
  <si>
    <t>PINTURA COM TINTA ACRÍLICA DE FUNDO APLICADA A ROLO OU PINCEL SOBRE SUPERFÍCIES METÁLICAS (EXCETO PERFIL) EXECUTADO EM OBRA (POR DEMÃO). AF_01/2020</t>
  </si>
  <si>
    <t>100735</t>
  </si>
  <si>
    <t>100736</t>
  </si>
  <si>
    <t>PINTURA COM TINTA ACRÍLICA DE ACABAMENTO APLICADA A ROLO OU PINCEL SOBRE SUPERFÍCIES METÁLICAS (EXCETO PERFIL) EXECUTADO EM OBRA (POR DEMÃO). AF_01/2020</t>
  </si>
  <si>
    <t>100739</t>
  </si>
  <si>
    <t>100740</t>
  </si>
  <si>
    <t>PINTURA COM TINTA ALQUÍDICA DE ACABAMENTO (ESMALTE SINTÉTICO ACETINADO) APLICADA A ROLO OU PINCEL SOBRE PERFIL METÁLICO EXECUTADO EM FÁBRICA (POR DEMÃO). AF_01/2020</t>
  </si>
  <si>
    <t>100741</t>
  </si>
  <si>
    <t>100742</t>
  </si>
  <si>
    <t>PINTURA COM TINTA ALQUÍDICA DE ACABAMENTO (ESMALTE SINTÉTICO ACETINADO) APLICADA A ROLO OU PINCEL SOBRE SUPERFÍCIES METÁLICAS (EXCETO PERFIL) EXECUTADO EM OBRA (POR DEMÃO). AF_01/2020</t>
  </si>
  <si>
    <t>100743</t>
  </si>
  <si>
    <t>100744</t>
  </si>
  <si>
    <t>PINTURA COM TINTA ALQUÍDICA DE ACABAMENTO (ESMALTE SINTÉTICO BRILHANTE) APLICADA A ROLO OU PINCEL SOBRE PERFIL METÁLICO EXECUTADO EM FÁBRICA (POR DEMÃO). AF_01/2020</t>
  </si>
  <si>
    <t>100745</t>
  </si>
  <si>
    <t>100746</t>
  </si>
  <si>
    <t>PINTURA COM TINTA ALQUÍDICA DE ACABAMENTO (ESMALTE SINTÉTICO BRILHANTE) APLICADA A ROLO OU PINCEL SOBRE SUPERFÍCIES METÁLICAS (EXCETO PERFIL) EXECUTADO EM OBRA (POR DEMÃO). AF_01/2020</t>
  </si>
  <si>
    <t>100747</t>
  </si>
  <si>
    <t>100748</t>
  </si>
  <si>
    <t>PINTURA COM TINTA ALQUÍDICA DE ACABAMENTO (ESMALTE SINTÉTICO FOSCO) APLICADA A ROLO OU PINCEL SOBRE PERFIL METÁLICO EXECUTADO EM FÁBRICA (POR DEMÃO). AF_01/2020</t>
  </si>
  <si>
    <t>100749</t>
  </si>
  <si>
    <t>100750</t>
  </si>
  <si>
    <t>PINTURA COM TINTA ALQUÍDICA DE ACABAMENTO (ESMALTE SINTÉTICO FOSCO) APLICADA A ROLO OU PINCEL SOBRE SUPERFÍCIES METÁLICAS (EXCETO PERFIL) EXECUTADO EM OBRA (POR DEMÃO). AF_01/2020</t>
  </si>
  <si>
    <t>100751</t>
  </si>
  <si>
    <t>100752</t>
  </si>
  <si>
    <t>PINTURA COM TINTA EPOXÍDICA DE ACABAMENTO APLICADA A ROLO OU PINCEL SOBRE PERFIL METÁLICO EXECUTADO EM FÁBRICA (02 DEMÃOS). AF_01/2020</t>
  </si>
  <si>
    <t>100753</t>
  </si>
  <si>
    <t>100754</t>
  </si>
  <si>
    <t>PINTURA COM TINTA ACRÍLICA DE ACABAMENTO APLICADA A ROLO OU PINCEL SOBRE SUPERFÍCIES METÁLICAS (EXCETO PERFIL) EXECUTADO EM OBRA (02 DEMÃOS). AF_01/2020</t>
  </si>
  <si>
    <t>100757</t>
  </si>
  <si>
    <t>100758</t>
  </si>
  <si>
    <t>PINTURA COM TINTA ALQUÍDICA DE ACABAMENTO (ESMALTE SINTÉTICO ACETINADO) APLICADA A ROLO OU PINCEL SOBRE SUPERFÍCIES METÁLICAS (EXCETO PERFIL) EXECUTADO EM OBRA (02 DEMÃOS). AF_01/2020</t>
  </si>
  <si>
    <t>100759</t>
  </si>
  <si>
    <t>100760</t>
  </si>
  <si>
    <t>PINTURA COM TINTA ALQUÍDICA DE ACABAMENTO (ESMALTE SINTÉTICO BRILHANTE) APLICADA A ROLO OU PINCEL SOBRE SUPERFÍCIES METÁLICAS (EXCETO PERFIL) EXECUTADO EM OBRA (02 DEMÃOS). AF_01/2020</t>
  </si>
  <si>
    <t>100761</t>
  </si>
  <si>
    <t>100762</t>
  </si>
  <si>
    <t>PINTURA COM TINTA ALQUÍDICA DE ACABAMENTO (ESMALTE SINTÉTICO FOSCO) APLICADA A ROLO OU PINCEL SOBRE SUPERFÍCIES METÁLICAS (EXCETO PERFIL) EXECUTADO EM OBRA (02 DEMÃOS). AF_01/2020</t>
  </si>
  <si>
    <t>87246</t>
  </si>
  <si>
    <t>87247</t>
  </si>
  <si>
    <t>87248</t>
  </si>
  <si>
    <t>87249</t>
  </si>
  <si>
    <t>87250</t>
  </si>
  <si>
    <t>87251</t>
  </si>
  <si>
    <t>87255</t>
  </si>
  <si>
    <t>87256</t>
  </si>
  <si>
    <t>87257</t>
  </si>
  <si>
    <t>87258</t>
  </si>
  <si>
    <t>87259</t>
  </si>
  <si>
    <t>87260</t>
  </si>
  <si>
    <t>87261</t>
  </si>
  <si>
    <t>87262</t>
  </si>
  <si>
    <t>87263</t>
  </si>
  <si>
    <t>89046</t>
  </si>
  <si>
    <t>89171</t>
  </si>
  <si>
    <t>93389</t>
  </si>
  <si>
    <t>93390</t>
  </si>
  <si>
    <t>93391</t>
  </si>
  <si>
    <t>98671</t>
  </si>
  <si>
    <t>98672</t>
  </si>
  <si>
    <t>98679</t>
  </si>
  <si>
    <t>98680</t>
  </si>
  <si>
    <t>98681</t>
  </si>
  <si>
    <t>98682</t>
  </si>
  <si>
    <t>98685</t>
  </si>
  <si>
    <t>98686</t>
  </si>
  <si>
    <t>98688</t>
  </si>
  <si>
    <t>98689</t>
  </si>
  <si>
    <t>101090</t>
  </si>
  <si>
    <t>PISO EM PEDRA PORTUGUESA ASSENTADO SOBRE ARGAMASSA SECA DE CIMENTO E AREIA, TRAÇO 1:3, REJUNTADO COM CIMENTO COMUM. AF_05/2020</t>
  </si>
  <si>
    <t>101091</t>
  </si>
  <si>
    <t>PISO EM LADRILHO HIDRÁULICO APLICADO EM AMBIENTES EXTERNOS. AF_05/2020</t>
  </si>
  <si>
    <t>101094</t>
  </si>
  <si>
    <t>101092</t>
  </si>
  <si>
    <t>PISO EM GRANITO APLICADO EM CALÇADAS OU PISOS EXTERNOS. AF_05/2020</t>
  </si>
  <si>
    <t>101093</t>
  </si>
  <si>
    <t>PISO EM MÁRMORE APLICADO EM CALÇADAS OU PISOS EXTERNOS. AF_05/2020</t>
  </si>
  <si>
    <t>98695</t>
  </si>
  <si>
    <t>98697</t>
  </si>
  <si>
    <t>88648</t>
  </si>
  <si>
    <t>88649</t>
  </si>
  <si>
    <t>88650</t>
  </si>
  <si>
    <t>96467</t>
  </si>
  <si>
    <t>94990</t>
  </si>
  <si>
    <t>94991</t>
  </si>
  <si>
    <t>94992</t>
  </si>
  <si>
    <t>94993</t>
  </si>
  <si>
    <t>94994</t>
  </si>
  <si>
    <t>94995</t>
  </si>
  <si>
    <t>87620</t>
  </si>
  <si>
    <t>87622</t>
  </si>
  <si>
    <t>87623</t>
  </si>
  <si>
    <t>87624</t>
  </si>
  <si>
    <t>87630</t>
  </si>
  <si>
    <t>87632</t>
  </si>
  <si>
    <t>87633</t>
  </si>
  <si>
    <t>87634</t>
  </si>
  <si>
    <t>87640</t>
  </si>
  <si>
    <t>87642</t>
  </si>
  <si>
    <t>87643</t>
  </si>
  <si>
    <t>87644</t>
  </si>
  <si>
    <t>87680</t>
  </si>
  <si>
    <t>87682</t>
  </si>
  <si>
    <t>87683</t>
  </si>
  <si>
    <t>87684</t>
  </si>
  <si>
    <t>87690</t>
  </si>
  <si>
    <t>87692</t>
  </si>
  <si>
    <t>87693</t>
  </si>
  <si>
    <t>87694</t>
  </si>
  <si>
    <t>87700</t>
  </si>
  <si>
    <t>87702</t>
  </si>
  <si>
    <t>87703</t>
  </si>
  <si>
    <t>87704</t>
  </si>
  <si>
    <t>87735</t>
  </si>
  <si>
    <t>87737</t>
  </si>
  <si>
    <t>87738</t>
  </si>
  <si>
    <t>87739</t>
  </si>
  <si>
    <t>87745</t>
  </si>
  <si>
    <t>87747</t>
  </si>
  <si>
    <t>87748</t>
  </si>
  <si>
    <t>87749</t>
  </si>
  <si>
    <t>87755</t>
  </si>
  <si>
    <t>87757</t>
  </si>
  <si>
    <t>87758</t>
  </si>
  <si>
    <t>87759</t>
  </si>
  <si>
    <t>87765</t>
  </si>
  <si>
    <t>87767</t>
  </si>
  <si>
    <t>87768</t>
  </si>
  <si>
    <t>87769</t>
  </si>
  <si>
    <t>88470</t>
  </si>
  <si>
    <t>88471</t>
  </si>
  <si>
    <t>88472</t>
  </si>
  <si>
    <t>88476</t>
  </si>
  <si>
    <t>88477</t>
  </si>
  <si>
    <t>88478</t>
  </si>
  <si>
    <t>90930</t>
  </si>
  <si>
    <t>90932</t>
  </si>
  <si>
    <t>90933</t>
  </si>
  <si>
    <t>90934</t>
  </si>
  <si>
    <t>90940</t>
  </si>
  <si>
    <t>90942</t>
  </si>
  <si>
    <t>90943</t>
  </si>
  <si>
    <t>90944</t>
  </si>
  <si>
    <t>90950</t>
  </si>
  <si>
    <t>90952</t>
  </si>
  <si>
    <t>90953</t>
  </si>
  <si>
    <t>90954</t>
  </si>
  <si>
    <t>94438</t>
  </si>
  <si>
    <t>(COMPOSIÇÃO REPRESENTATIVA) DO SERVIÇO DE CONTRAPISO EM ARGAMASSA TRAÇO 1:4 (CIM E AREIA), EM BETONEIRA 400 L, ESPESSURA 3 CM ÁREAS SECAS E 3 CM ÁREAS MOLHADAS, PARA EDIFICAÇÃO HABITACIONAL UNIFAMILIAR (CASA) E EDIFICAÇÃO PÚBLICA PADRÃO. AF_11/2014</t>
  </si>
  <si>
    <t>94439</t>
  </si>
  <si>
    <t>94779</t>
  </si>
  <si>
    <t>(COMPOSIÇÃO REPRESENTATIVA) DO SERVIÇO DE CONTRAPISO EM ARGAMASSA TRAÇO 1:4 (CIM E AREIA), EM BETONEIRA 400 L, ESPESSURA 3 CM ÁREAS SECAS E 3 CM ÁREAS MOLHADAS, PARA EDIFICAÇÃO HABITACIONAL MULTIFAMILIAR (PRÉDIO). AF_11/2014</t>
  </si>
  <si>
    <t>94782</t>
  </si>
  <si>
    <t>4,82</t>
  </si>
  <si>
    <t>87878</t>
  </si>
  <si>
    <t>87879</t>
  </si>
  <si>
    <t>87881</t>
  </si>
  <si>
    <t>87882</t>
  </si>
  <si>
    <t>87884</t>
  </si>
  <si>
    <t>87885</t>
  </si>
  <si>
    <t>87886</t>
  </si>
  <si>
    <t>87887</t>
  </si>
  <si>
    <t>87888</t>
  </si>
  <si>
    <t>87889</t>
  </si>
  <si>
    <t>87891</t>
  </si>
  <si>
    <t>87892</t>
  </si>
  <si>
    <t>87893</t>
  </si>
  <si>
    <t>87894</t>
  </si>
  <si>
    <t>87896</t>
  </si>
  <si>
    <t>87897</t>
  </si>
  <si>
    <t>4,60</t>
  </si>
  <si>
    <t>87899</t>
  </si>
  <si>
    <t>87900</t>
  </si>
  <si>
    <t>87902</t>
  </si>
  <si>
    <t>87903</t>
  </si>
  <si>
    <t>87904</t>
  </si>
  <si>
    <t>87905</t>
  </si>
  <si>
    <t>87907</t>
  </si>
  <si>
    <t>87908</t>
  </si>
  <si>
    <t>87910</t>
  </si>
  <si>
    <t>87911</t>
  </si>
  <si>
    <t>87411</t>
  </si>
  <si>
    <t>87412</t>
  </si>
  <si>
    <t>19,54</t>
  </si>
  <si>
    <t>87413</t>
  </si>
  <si>
    <t>87414</t>
  </si>
  <si>
    <t>87415</t>
  </si>
  <si>
    <t>87416</t>
  </si>
  <si>
    <t>87418</t>
  </si>
  <si>
    <t>87421</t>
  </si>
  <si>
    <t>87424</t>
  </si>
  <si>
    <t>87427</t>
  </si>
  <si>
    <t>87430</t>
  </si>
  <si>
    <t>87433</t>
  </si>
  <si>
    <t>87436</t>
  </si>
  <si>
    <t>87439</t>
  </si>
  <si>
    <t>87527</t>
  </si>
  <si>
    <t>EMBOÇO, PARA RECEBIMENTO DE CERÂMICA, EM ARGAMASSA TRAÇO 1:2:8, PREPARO MECÂNICO COM BETONEIRA 400L, APLICADO MANUALMENTE EM FACES INTERNAS DE PAREDES, PARA AMBIENTE COM ÁREA MENOR QUE 5M2, ESPESSURA DE 20MM, COM EXECUÇÃO DE TALISCAS. AF_06/2014</t>
  </si>
  <si>
    <t>87528</t>
  </si>
  <si>
    <t>EMBOÇO, PARA RECEBIMENTO DE CERÂMICA, EM ARGAMASSA TRAÇO 1:2:8, PREPARO MANUAL, APLICADO MANUALMENTE EM FACES INTERNAS DE PAREDES, PARA AMBIENTE COM ÁREA MENOR QUE 5M2, ESPESSURA DE 20MM, COM EXECUÇÃO DE TALISCAS. AF_06/2014</t>
  </si>
  <si>
    <t>87529</t>
  </si>
  <si>
    <t>MASSA ÚNICA, PARA RECEBIMENTO DE PINTURA, EM ARGAMASSA TRAÇO 1:2:8, PREPARO MECÂNICO COM BETONEIRA 400L, APLICADA MANUALMENTE EM FACES INTERNAS DE PAREDES, ESPESSURA DE 20MM, COM EXECUÇÃO DE TALISCAS. AF_06/2014</t>
  </si>
  <si>
    <t>87530</t>
  </si>
  <si>
    <t>MASSA ÚNICA, PARA RECEBIMENTO DE PINTURA, EM ARGAMASSA TRAÇO 1:2:8, PREPARO MANUAL, APLICADA MANUALMENTE EM FACES INTERNAS DE PAREDES, ESPESSURA DE 20MM, COM EXECUÇÃO DE TALISCAS. AF_06/2014</t>
  </si>
  <si>
    <t>87531</t>
  </si>
  <si>
    <t>EMBOÇO, PARA RECEBIMENTO DE CERÂMICA, EM ARGAMASSA TRAÇO 1:2:8, PREPARO MECÂNICO COM BETONEIRA 400L, APLICADO MANUALMENTE EM FACES INTERNAS DE PAREDES, PARA AMBIENTE COM ÁREA ENTRE 5M2 E 10M2, ESPESSURA DE 20MM, COM EXECUÇÃO DE TALISCAS. AF_06/2014</t>
  </si>
  <si>
    <t>87532</t>
  </si>
  <si>
    <t>EMBOÇO, PARA RECEBIMENTO DE CERÂMICA, EM ARGAMASSA TRAÇO 1:2:8, PREPARO MANUAL, APLICADO MANUALMENTE EM FACES INTERNAS DE PAREDES, PARA AMBIENTE COM ÁREA  ENTRE 5M2 E 10M2, ESPESSURA DE 20MM, COM EXECUÇÃO DE TALISCAS. AF_06/2014</t>
  </si>
  <si>
    <t>87535</t>
  </si>
  <si>
    <t>EMBOÇO, PARA RECEBIMENTO DE CERÂMICA, EM ARGAMASSA TRAÇO 1:2:8, PREPARO MECÂNICO COM BETONEIRA 400L, APLICADO MANUALMENTE EM FACES INTERNAS DE PAREDES, PARA AMBIENTE COM ÁREA  MAIOR QUE 10M2, ESPESSURA DE 20MM, COM EXECUÇÃO DE TALISCAS. AF_06/2014</t>
  </si>
  <si>
    <t>87536</t>
  </si>
  <si>
    <t>EMBOÇO, PARA RECEBIMENTO DE CERÂMICA, EM ARGAMASSA TRAÇO 1:2:8, PREPARO MANUAL, APLICADO MANUALMENTE EM FACES INTERNAS DE PAREDES, PARA AMBIENTE COM ÁREA  MAIOR QUE 10M2, ESPESSURA DE 20MM, COM EXECUÇÃO DE TALISCAS. AF_06/2014</t>
  </si>
  <si>
    <t>87537</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</si>
  <si>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</si>
  <si>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87538</t>
  </si>
  <si>
    <t>MASSA ÚNICA, PARA RECEBIMENTO DE PINTURA, EM ARGAMASSA INDUSTRIALIZADA, PREPARO MECÂNICO, APLICADO COM EQUIPAMENTO DE MISTURA E PROJEÇÃO DE 1,5 M3/H DE ARGAMASSA EM FACES INTERNAS DE PAREDES, ESPESSURA DE 20MM, COM EXECUÇÃO DE TALISCAS. AF_06/2014</t>
  </si>
  <si>
    <t>87539</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</si>
  <si>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</si>
  <si>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87541</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</si>
  <si>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</si>
  <si>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87543</t>
  </si>
  <si>
    <t>MASSA ÚNICA, PARA RECEBIMENTO DE PINTURA OU CERÂMICA, ARGAMASSA INDUSTRIALIZADA, PREPARO MECÂNICO, APLICADO COM EQUIPAMENTO DE MISTURA E PROJEÇÃO DE 1,5 M3/H EM FACES INTERNAS DE PAREDES, ESPESSURA DE 5MM, SEM EXECUÇÃO DE TALISCAS. AF_06/2014</t>
  </si>
  <si>
    <t>87545</t>
  </si>
  <si>
    <t>EMBOÇO, PARA RECEBIMENTO DE CERÂMICA, EM ARGAMASSA TRAÇO 1:2:8, PREPARO MECÂNICO COM BETONEIRA 400L, APLICADO MANUALMENTE EM FACES INTERNAS DE PAREDES, PARA AMBIENTE COM ÁREA MENOR QUE 5M2, ESPESSURA DE 10MM, COM EXECUÇÃO DE TALISCAS. AF_06/2014</t>
  </si>
  <si>
    <t>87546</t>
  </si>
  <si>
    <t>EMBOÇO, PARA RECEBIMENTO DE CERÂMICA, EM ARGAMASSA TRAÇO 1:2:8, PREPARO MANUAL, APLICADO MANUALMENTE EM FACES INTERNAS DE PAREDES, PARA AMBIENTE COM ÁREA MENOR QUE 5M2, ESPESSURA DE 10MM, COM EXECUÇÃO DE TALISCAS. AF_06/2014</t>
  </si>
  <si>
    <t>87547</t>
  </si>
  <si>
    <t>MASSA ÚNICA, PARA RECEBIMENTO DE PINTURA, EM ARGAMASSA TRAÇO 1:2:8, PREPARO MECÂNICO COM BETONEIRA 400L, APLICADA MANUALMENTE EM FACES INTERNAS DE PAREDES, ESPESSURA DE 10MM, COM EXECUÇÃO DE TALISCAS. AF_06/2014</t>
  </si>
  <si>
    <t>87548</t>
  </si>
  <si>
    <t>MASSA ÚNICA, PARA RECEBIMENTO DE PINTURA, EM ARGAMASSA TRAÇO 1:2:8, PREPARO MANUAL, APLICADA MANUALMENTE EM FACES INTERNAS DE PAREDES, ESPESSURA DE 10MM, COM EXECUÇÃO DE TALISCAS. AF_06/2014</t>
  </si>
  <si>
    <t>87549</t>
  </si>
  <si>
    <t>EMBOÇO, PARA RECEBIMENTO DE CERÂMICA, EM ARGAMASSA TRAÇO 1:2:8, PREPARO MECÂNICO COM BETONEIRA 400L, APLICADO MANUALMENTE EM FACES INTERNAS DE PAREDES, PARA AMBIENTE COM ÁREA ENTRE 5M2 E 10M2, ESPESSURA DE 10MM, COM EXECUÇÃO DE TALISCAS. AF_06/2014</t>
  </si>
  <si>
    <t>87550</t>
  </si>
  <si>
    <t>EMBOÇO, PARA RECEBIMENTO DE CERÂMICA, EM ARGAMASSA TRAÇO 1:2:8, PREPARO MANUAL, APLICADO MANUALMENTE EM FACES INTERNAS DE PAREDES, PARA AMBIENTE COM ÁREA ENTRE 5M2 E 10M2, ESPESSURA DE 10MM, COM EXECUÇÃO DE TALISCAS. AF_06/2014</t>
  </si>
  <si>
    <t>87553</t>
  </si>
  <si>
    <t>EMBOÇO, PARA RECEBIMENTO DE CERÂMICA, EM ARGAMASSA TRAÇO 1:2:8, PREPARO MECÂNICO COM BETONEIRA 400L, APLICADO MANUALMENTE EM FACES INTERNAS DE PAREDES, PARA AMBIENTE COM ÁREA MAIOR QUE 10M2, ESPESSURA DE 10MM, COM EXECUÇÃO DE TALISCAS. AF_06/2014</t>
  </si>
  <si>
    <t>13,53</t>
  </si>
  <si>
    <t>87554</t>
  </si>
  <si>
    <t>EMBOÇO, PARA RECEBIMENTO DE CERÂMICA, EM ARGAMASSA TRAÇO 1:2:8, PREPARO MANUAL, APLICADO MANUALMENTE EM FACES INTERNAS DE PAREDES, PARA AMBIENTE COM ÁREA MAIOR QUE 10M2, ESPESSURA DE 10MM, COM EXECUÇÃO DE TALISCAS. AF_06/2014</t>
  </si>
  <si>
    <t>87555</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</si>
  <si>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</si>
  <si>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87556</t>
  </si>
  <si>
    <t>MASSA ÚNICA, PARA RECEBIMENTO DE PINTURA, EM ARGAMASSA INDUSTRIALIZADA, PREPARO MECÂNICO, APLICADO COM EQUIPAMENTO DE MISTURA E PROJEÇÃO DE 1,5 M3/H DE ARGAMASSA EM FACES INTERNAS DE PAREDES, ESPESSURA DE 10MM, COM EXECUÇÃO DE TALISCAS. AF_06/2014</t>
  </si>
  <si>
    <t>87557</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</si>
  <si>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</si>
  <si>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87559</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</si>
  <si>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</si>
  <si>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87561</t>
  </si>
  <si>
    <t>MASSA ÚNICA, PARA RECEBIMENTO DE PINTURA OU CERÂMICA, EM ARGAMASSA INDUSTRIALIZADA, PREPARO MECÂNICO, APLICADO COM EQUIPAMENTO DE MISTURA E PROJEÇÃO DE 1,5 M3/H DE ARGAMASSA EM FACES INTERNAS DE PAREDES, ESPESSURA DE 10MM, SEM EXECUÇÃO DE TALISCAS. AF_06/2014</t>
  </si>
  <si>
    <t>87775</t>
  </si>
  <si>
    <t>87777</t>
  </si>
  <si>
    <t>87778</t>
  </si>
  <si>
    <t>87779</t>
  </si>
  <si>
    <t>87781</t>
  </si>
  <si>
    <t>87783</t>
  </si>
  <si>
    <t>87784</t>
  </si>
  <si>
    <t>87786</t>
  </si>
  <si>
    <t>87787</t>
  </si>
  <si>
    <t>87788</t>
  </si>
  <si>
    <t>87790</t>
  </si>
  <si>
    <t>EMBOÇO OU MASSA ÚNICA EM ARGAMASSA TRAÇO 1:2:8, PREPARO MANUAL, APLICADA MANUALMENTE EM PANOS DE FACHADA COM PRESENÇA DE VÃOS, ESPESSURA MAIOR OU IGUAL A 50 MM. AF_06/2014</t>
  </si>
  <si>
    <t>87791</t>
  </si>
  <si>
    <t>87792</t>
  </si>
  <si>
    <t>87794</t>
  </si>
  <si>
    <t>87795</t>
  </si>
  <si>
    <t>87797</t>
  </si>
  <si>
    <t>87799</t>
  </si>
  <si>
    <t>87800</t>
  </si>
  <si>
    <t>87801</t>
  </si>
  <si>
    <t>87803</t>
  </si>
  <si>
    <t>87804</t>
  </si>
  <si>
    <t>87805</t>
  </si>
  <si>
    <t>87807</t>
  </si>
  <si>
    <t>87808</t>
  </si>
  <si>
    <t>87809</t>
  </si>
  <si>
    <t>87811</t>
  </si>
  <si>
    <t>87812</t>
  </si>
  <si>
    <t>87813</t>
  </si>
  <si>
    <t>87815</t>
  </si>
  <si>
    <t>87816</t>
  </si>
  <si>
    <t>87817</t>
  </si>
  <si>
    <t>87819</t>
  </si>
  <si>
    <t>87820</t>
  </si>
  <si>
    <t>87821</t>
  </si>
  <si>
    <t>87823</t>
  </si>
  <si>
    <t>87824</t>
  </si>
  <si>
    <t>87825</t>
  </si>
  <si>
    <t>87827</t>
  </si>
  <si>
    <t>87828</t>
  </si>
  <si>
    <t>87829</t>
  </si>
  <si>
    <t>87831</t>
  </si>
  <si>
    <t>87832</t>
  </si>
  <si>
    <t>87834</t>
  </si>
  <si>
    <t>REVESTIMENTO DECORATIVO MONOCAMADA APLICADO MANUALMENTE EM PANOS CEGOS DA FACHADA DE UM EDIFÍCIO DE ESTRUTURA CONVENCIONAL, COM ACABAMENTO RASPADO. AF_06/2014</t>
  </si>
  <si>
    <t>87835</t>
  </si>
  <si>
    <t>REVESTIMENTO DECORATIVO MONOCAMADA APLICADO MANUALMENTE EM PANOS CEGOS DA FACHADA DE UM EDIFÍCIO DE ALVENARIA ESTRUTURAL, COM ACABAMENTO RASPADO. AF_06/2014</t>
  </si>
  <si>
    <t>87836</t>
  </si>
  <si>
    <t>REVESTIMENTO DECORATIVO MONOCAMADA APLICADO COM EQUIPAMENTO DE PROJEÇÃO EM PANOS CEGOS DA FACHADA DE UM EDIFÍCIO DE ESTRUTURA CONVENCIONAL, COM ACABAMENTO RASPADO. AF_06/2014</t>
  </si>
  <si>
    <t>87837</t>
  </si>
  <si>
    <t>REVESTIMENTO DECORATIVO MONOCAMADA APLICADO COM EQUIPAMENTO DE PROJEÇÃO EM PANOS CEGOS DA FACHADA DE UM EDIFÍCIO DE ALVENARIA ESTRUTURAL, COM ACABAMENTO RASPADO. AF_06/2014</t>
  </si>
  <si>
    <t>87838</t>
  </si>
  <si>
    <t>REVESTIMENTO DECORATIVO MONOCAMADA APLICADO MANUALMENTE EM PANOS DA FACHADA COM PRESENÇA DE VÃOS, DE UM EDIFÍCIO DE ESTRUTURA CONVENCIONAL E ACABAMENTO RASPADO. AF_06/2014</t>
  </si>
  <si>
    <t>87839</t>
  </si>
  <si>
    <t>REVESTIMENTO DECORATIVO MONOCAMADA APLICADO MANUALMENTE EM PANOS DA FACHADA COM PRESENÇA DE VÃOS, DE UM EDIFÍCIO DE ALVENARIA ESTRUTURAL E ACABAMENTO RASPADO. AF_06/2014</t>
  </si>
  <si>
    <t>87840</t>
  </si>
  <si>
    <t>REVESTIMENTO DECORATIVO MONOCAMADA APLICADO COM EQUIPAMENTO DE PROJEÇÃO EM PANOS DA FACHADA COM PRESENÇA DE VÃOS, DE UM EDIFÍCIO DE ESTRUTURA CONVENCIONAL E ACABAMENTO RASPADO. AF_06/2014</t>
  </si>
  <si>
    <t>87841</t>
  </si>
  <si>
    <t>REVESTIMENTO DECORATIVO MONOCAMADA APLICADO COM EQUIPAMENTO DE PROJEÇÃO EM PANOS DA FACHADA COM PRESENÇA DE VÃOS, DE UM EDIFÍCIO DE ALVENARIA ESTRUTURAL E ACABAMENTO RASPADO. AF_06/2014</t>
  </si>
  <si>
    <t>87842</t>
  </si>
  <si>
    <t>REVESTIMENTO DECORATIVO MONOCAMADA APLICADO MANUALMENTE EM SUPERFÍCIES EXTERNAS DA SACADA DE UM EDIFÍCIO DE ESTRUTURA CONVENCIONAL E ACABAMENTO RASPADO. AF_06/2014</t>
  </si>
  <si>
    <t>87843</t>
  </si>
  <si>
    <t>REVESTIMENTO DECORATIVO MONOCAMADA APLICADO MANUALMENTE EM SUPERFÍCIES EXTERNAS DA SACADA DE UM EDIFÍCIO DE ALVENARIA ESTRUTURAL E ACABAMENTO RASPADO. AF_06/2014</t>
  </si>
  <si>
    <t>87844</t>
  </si>
  <si>
    <t>REVESTIMENTO DECORATIVO MONOCAMADA APLICADO COM EQUIPAMENTO DE PROJEÇÃO EM SUPERFÍCIES EXTERNAS DA SACADA DE UM EDIFÍCIO DE ESTRUTURA CONVENCIONAL E ACABAMENTO RASPADO. AF_06/2014</t>
  </si>
  <si>
    <t>87845</t>
  </si>
  <si>
    <t>REVESTIMENTO DECORATIVO MONOCAMADA APLICADO COM EQUIPAMENTO DE PROJEÇÃO EM SUPERFÍCIES EXTERNAS DA SACADA DE UM EDIFÍCIO DE ALVENARIA ESTRUTURAL E ACABAMENTO RASPADO. AF_06/2014</t>
  </si>
  <si>
    <t>87846</t>
  </si>
  <si>
    <t>REVESTIMENTO DECORATIVO MONOCAMADA APLICADO MANUALMENTE EM PANOS CEGOS DA FACHADA DE UM EDIFÍCIO DE ESTRUTURA CONVENCIONAL, COM ACABAMENTO TRAVERTINO. AF_06/2014</t>
  </si>
  <si>
    <t>87847</t>
  </si>
  <si>
    <t>REVESTIMENTO DECORATIVO MONOCAMADA APLICADO MANUALMENTE EM PANOS CEGOS DA FACHADA DE UM EDIFÍCIO DE ALVENARIA ESTRUTURAL, COM ACABAMENTO TRAVERTINO. AF_06/2014</t>
  </si>
  <si>
    <t>87848</t>
  </si>
  <si>
    <t>REVESTIMENTO DECORATIVO MONOCAMADA APLICADO COM EQUIPAMENTO DE PROJEÇÃO EM PANOS CEGOS DA FACHADA DE UM EDIFÍCIO DE ESTRUTURA CONVENCIONAL, COM ACABAMENTO TRAVERTINO. AF_06/2014</t>
  </si>
  <si>
    <t>87849</t>
  </si>
  <si>
    <t>REVESTIMENTO DECORATIVO MONOCAMADA APLICADO COM EQUIPAMENTO DE PROJEÇÃO EM PANOS CEGOS DA FACHADA DE UM EDIFÍCIO DE ALVENARIA ESTRUTURAL, COM ACABAMENTO TRAVERTINO. AF_06/2014</t>
  </si>
  <si>
    <t>87850</t>
  </si>
  <si>
    <t>REVESTIMENTO DECORATIVO MONOCAMADA APLICADO MANUALMENTE EM PANOS DA FACHADA COM PRESENÇA DE VÃOS, DE UM EDIFÍCIO DE ESTRUTURA CONVENCIONAL E ACABAMENTO TRAVERTINO. AF_06/2014</t>
  </si>
  <si>
    <t>87851</t>
  </si>
  <si>
    <t>REVESTIMENTO DECORATIVO MONOCAMADA APLICADO MANUALMENTE EM PANOS DA FACHADA COM PRESENÇA DE VÃOS, DE UM EDIFÍCIO DE ALVENARIA ESTRUTURAL E ACABAMENTO TRAVERTINO. AF_06/2014</t>
  </si>
  <si>
    <t>87852</t>
  </si>
  <si>
    <t>REVESTIMENTO DECORATIVO MONOCAMADA APLICADO COM EQUIPAMENTO DE PROJEÇÃO EM PANOS DA FACHADA COM PRESENÇA DE VÃOS, DE UM EDIFÍCIO DE ESTRUTURA CONVENCIONAL E ACABAMENTO TRAVERTINO. AF_06/2014</t>
  </si>
  <si>
    <t>87853</t>
  </si>
  <si>
    <t>REVESTIMENTO DECORATIVO MONOCAMADA APLICADO COM EQUIPAMENTO DE PROJEÇÃO EM PANOS DA FACHADA COM PRESENÇA DE VÃOS, DE UM EDIFÍCIO DE ALVENARIA ESTRUTURAL E ACABAMENTO TRAVERTINO. AF_06/2014</t>
  </si>
  <si>
    <t>87854</t>
  </si>
  <si>
    <t>REVESTIMENTO DECORATIVO MONOCAMADA APLICADO MANUALMENTE EM SUPERFÍCIES EXTERNAS DA SACADA DE UM EDIFÍCIO DE ESTRUTURA CONVENCIONAL E ACABAMENTO TRAVERTINO. AF_06/2014</t>
  </si>
  <si>
    <t>87855</t>
  </si>
  <si>
    <t>REVESTIMENTO DECORATIVO MONOCAMADA APLICADO MANUALMENTE EM SUPERFÍCIES EXTERNAS DA SACADA DE UM EDIFÍCIO DE ALVENARIA ESTRUTURAL E ACABAMENTO TRAVERTINO. AF_06/2014</t>
  </si>
  <si>
    <t>87856</t>
  </si>
  <si>
    <t>REVESTIMENTO DECORATIVO MONOCAMADA APLICADO COM EQUIPAMENTO DE PROJEÇÃO EM SUPERFÍCIES EXTERNAS DA SACADA DE UM EDIFÍCIO DE ESTRUTURA CONVENCIONAL E ACABAMENTO TRAVERTINO. AF_06/2014</t>
  </si>
  <si>
    <t>87857</t>
  </si>
  <si>
    <t>REVESTIMENTO DECORATIVO MONOCAMADA APLICADO COM EQUIPAMENTO DE PROJEÇÃO EM SUPERFÍCIES EXTERNAS DA SACADA DE UM EDIFÍCIO DE ALVENARIA ESTRUTURAL E ACABAMENTO TRAVERTINO. AF_06/2014</t>
  </si>
  <si>
    <t>87858</t>
  </si>
  <si>
    <t>REVESTIMENTO DECORATIVO MONOCAMADA APLICADO MANUALMENTE NAS PAREDES INTERNAS DA SACADA COM ACABAMENTO RASPADO. AF_06/2014</t>
  </si>
  <si>
    <t>87859</t>
  </si>
  <si>
    <t>REVESTIMENTO DECORATIVO MONOCAMADA APLICADO MANUALMENTE NAS PAREDES INTERNAS DA SACADA COM ACABAMENTO TRAVERTINO. AF_06/2014</t>
  </si>
  <si>
    <t>89048</t>
  </si>
  <si>
    <t>(COMPOSIÇÃO REPRESENTATIVA) DO SERVIÇO DE EMBOÇO/MASSA ÚNICA, TRAÇO 1:2:8, PREPARO MECÂNICO, COM BETONEIRA DE 400L, EM PAREDES DE AMBIENTES INTERNOS, COM EXECUÇÃO DE TALISCAS, PARA EDIFICAÇÃO HABITACIONAL MULTIFAMILIAR (PRÉDIO). AF_11/2014</t>
  </si>
  <si>
    <t>89049</t>
  </si>
  <si>
    <t>(COMPOSIÇÃO REPRESENTATIVA) DO SERVIÇO DE APLICAÇÃO MANUAL DE GESSO DESEMPENADO (SEM TALISCAS) EM TETO, ESPESSURA 0,5 CM, PARA EDIFICAÇÃO HABITACIONAL MULTIFAMILIAR (PRÉDIO). AF_11/2014</t>
  </si>
  <si>
    <t>89173</t>
  </si>
  <si>
    <t>(COMPOSIÇÃO REPRESENTATIVA) DO SERVIÇO DE EMBOÇO/MASSA ÚNICA, APLICADO MANUALMENTE, TRAÇO 1:2:8, EM BETONEIRA DE 400L, PAREDES INTERNAS, COM EXECUÇÃO DE TALISCAS, EDIFICAÇÃO HABITACIONAL UNIFAMILIAR (CASAS) E EDIFICAÇÃO PÚBLICA PADRÃO. AF_12/2014</t>
  </si>
  <si>
    <t>90406</t>
  </si>
  <si>
    <t>MASSA ÚNICA, PARA RECEBIMENTO DE PINTURA, EM ARGAMASSA TRAÇO 1:2:8, PREPARO MECÂNICO COM BETONEIRA 400L, APLICADA MANUALMENTE EM TETO, ESPESSURA DE 20MM, COM EXECUÇÃO DE TALISCAS. AF_03/2015</t>
  </si>
  <si>
    <t>90407</t>
  </si>
  <si>
    <t>MASSA ÚNICA, PARA RECEBIMENTO DE PINTURA, EM ARGAMASSA TRAÇO 1:2:8, PREPARO MANUAL, APLICADA MANUALMENTE EM TETO, ESPESSURA DE 20MM, COM EXECUÇÃO DE TALISCAS. AF_03/2015</t>
  </si>
  <si>
    <t>90408</t>
  </si>
  <si>
    <t>MASSA ÚNICA, PARA RECEBIMENTO DE PINTURA, EM ARGAMASSA TRAÇO 1:2:8, PREPARO MECÂNICO COM BETONEIRA 400L, APLICADA MANUALMENTE EM TETO, ESPESSURA DE 10MM, COM EXECUÇÃO DE TALISCAS. AF_03/2015</t>
  </si>
  <si>
    <t>90409</t>
  </si>
  <si>
    <t>MASSA ÚNICA, PARA RECEBIMENTO DE PINTURA, EM ARGAMASSA TRAÇO 1:2:8, PREPARO MANUAL, APLICADA MANUALMENTE EM TETO, ESPESSURA DE 10MM, COM EXECUÇÃO DE TALISCAS. AF_03/2015</t>
  </si>
  <si>
    <t>87244</t>
  </si>
  <si>
    <t>87245</t>
  </si>
  <si>
    <t>87265</t>
  </si>
  <si>
    <t>87267</t>
  </si>
  <si>
    <t>87269</t>
  </si>
  <si>
    <t>87271</t>
  </si>
  <si>
    <t>87273</t>
  </si>
  <si>
    <t>87275</t>
  </si>
  <si>
    <t>88788</t>
  </si>
  <si>
    <t>88789</t>
  </si>
  <si>
    <t>89045</t>
  </si>
  <si>
    <t>89170</t>
  </si>
  <si>
    <t>93393</t>
  </si>
  <si>
    <t>93395</t>
  </si>
  <si>
    <t>99195</t>
  </si>
  <si>
    <t>99198</t>
  </si>
  <si>
    <t>96112</t>
  </si>
  <si>
    <t>96122</t>
  </si>
  <si>
    <t>96109</t>
  </si>
  <si>
    <t>96110</t>
  </si>
  <si>
    <t>96113</t>
  </si>
  <si>
    <t>96114</t>
  </si>
  <si>
    <t>96120</t>
  </si>
  <si>
    <t>96123</t>
  </si>
  <si>
    <t>99054</t>
  </si>
  <si>
    <t>96111</t>
  </si>
  <si>
    <t>96116</t>
  </si>
  <si>
    <t>96121</t>
  </si>
  <si>
    <t>96485</t>
  </si>
  <si>
    <t>96486</t>
  </si>
  <si>
    <t>5,21</t>
  </si>
  <si>
    <t>91515</t>
  </si>
  <si>
    <t>91519</t>
  </si>
  <si>
    <t>91520</t>
  </si>
  <si>
    <t>91522</t>
  </si>
  <si>
    <t>91525</t>
  </si>
  <si>
    <t>87280</t>
  </si>
  <si>
    <t>ARGAMASSA TRAÇO 1:7 (EM VOLUME DE CIMENTO E AREIA MÉDIA ÚMIDA) COM ADIÇÃO DE PLASTIFICANTE PARA EMBOÇO/MASSA ÚNICA/ASSENTAMENTO DE ALVENARIA DE VEDAÇÃO, PREPARO MECÂNICO COM BETONEIRA 400 L. AF_08/2019</t>
  </si>
  <si>
    <t>87281</t>
  </si>
  <si>
    <t>ARGAMASSA TRAÇO 1:7 (EM VOLUME DE CIMENTO E AREIA MÉDIA ÚMIDA) COM ADIÇÃO DE PLASTIFICANTE PARA EMBOÇO/MASSA ÚNICA/ASSENTAMENTO DE ALVENARIA DE VEDAÇÃO, PREPARO MECÂNICO COM BETONEIRA 600 L. AF_08/2019</t>
  </si>
  <si>
    <t>87283</t>
  </si>
  <si>
    <t>ARGAMASSA TRAÇO 1:6 (EM VOLUME DE CIMENTO E AREIA MÉDIA ÚMIDA) COM ADIÇÃO DE PLASTIFICANTE PARA EMBOÇO/MASSA ÚNICA/ASSENTAMENTO DE ALVENARIA DE VEDAÇÃO, PREPARO MECÂNICO COM BETONEIRA 400 L. AF_08/2019</t>
  </si>
  <si>
    <t>87284</t>
  </si>
  <si>
    <t>ARGAMASSA TRAÇO 1:6 (EM VOLUME DE CIMENTO E AREIA MÉDIA ÚMIDA) COM ADIÇÃO DE PLASTIFICANTE PARA EMBOÇO/MASSA ÚNICA/ASSENTAMENTO DE ALVENARIA DE VEDAÇÃO, PREPARO MECÂNICO COM BETONEIRA 600 L. AF_08/2019</t>
  </si>
  <si>
    <t>87286</t>
  </si>
  <si>
    <t>ARGAMASSA TRAÇO 1:1:6 (EM VOLUME DE CIMENTO, CAL E AREIA MÉDIA ÚMIDA) PARA EMBOÇO/MASSA ÚNICA/ASSENTAMENTO DE ALVENARIA DE VEDAÇÃO, PREPARO MECÂNICO COM BETONEIRA 400 L. AF_08/2019</t>
  </si>
  <si>
    <t>87287</t>
  </si>
  <si>
    <t>ARGAMASSA TRAÇO 1:1:6 (EM VOLUME DE CIMENTO, CAL E AREIA MÉDIA ÚMIDA) PARA EMBOÇO/MASSA ÚNICA/ASSENTAMENTO DE ALVENARIA DE VEDAÇÃO, PREPARO MECÂNICO COM BETONEIRA 600 L. AF_08/2019</t>
  </si>
  <si>
    <t>87289</t>
  </si>
  <si>
    <t>ARGAMASSA TRAÇO 1:1,5:7,5 (EM VOLUME DE CIMENTO, CAL E AREIA MÉDIA ÚMIDA) PARA EMBOÇO/MASSA ÚNICA/ASSENTAMENTO DE ALVENARIA DE VEDAÇÃO, PREPARO MECÂNICO COM BETONEIRA 400 L. AF_08/2019</t>
  </si>
  <si>
    <t>87290</t>
  </si>
  <si>
    <t>ARGAMASSA TRAÇO 1:1,5:7,5 (EM VOLUME DE CIMENTO, CAL E AREIA MÉDIA ÚMIDA) PARA EMBOÇO/MASSA ÚNICA/ASSENTAMENTO DE ALVENARIA DE VEDAÇÃO, PREPARO MECÂNICO COM BETONEIRA 600 L. AF_08/2019</t>
  </si>
  <si>
    <t>87292</t>
  </si>
  <si>
    <t>87294</t>
  </si>
  <si>
    <t>87295</t>
  </si>
  <si>
    <t>ARGAMASSA TRAÇO 1:3:12 (EM VOLUME DE CIMENTO, CAL E AREIA MÉDIA ÚMIDA) PARA EMBOÇO/MASSA ÚNICA/ASSENTAMENTO DE ALVENARIA DE VEDAÇÃO, PREPARO MECÂNICO COM BETONEIRA 400 L. AF_08/2019</t>
  </si>
  <si>
    <t>87296</t>
  </si>
  <si>
    <t>ARGAMASSA TRAÇO 1:3:12 (EM VOLUME DE CIMENTO, CAL E AREIA MÉDIA ÚMIDA) PARA EMBOÇO/MASSA ÚNICA/ASSENTAMENTO DE ALVENARIA DE VEDAÇÃO, PREPARO MECÂNICO COM BETONEIRA 600 L. AF_08/2019</t>
  </si>
  <si>
    <t>87298</t>
  </si>
  <si>
    <t>ARGAMASSA TRAÇO 1:3 (EM VOLUME DE CIMENTO E AREIA MÉDIA ÚMIDA) PARA CONTRAPISO, PREPARO MECÂNICO COM BETONEIRA 400 L. AF_08/2019</t>
  </si>
  <si>
    <t>87299</t>
  </si>
  <si>
    <t>ARGAMASSA TRAÇO 1:3 (EM VOLUME DE CIMENTO E AREIA MÉDIA ÚMIDA) PARA CONTRAPISO, PREPARO MECÂNICO COM BETONEIRA 600 L. AF_08/2019</t>
  </si>
  <si>
    <t>87301</t>
  </si>
  <si>
    <t>87302</t>
  </si>
  <si>
    <t>ARGAMASSA TRAÇO 1:4 (EM VOLUME DE CIMENTO E AREIA MÉDIA ÚMIDA) PARA CONTRAPISO, PREPARO MECÂNICO COM BETONEIRA 600 L. AF_08/2019</t>
  </si>
  <si>
    <t>87304</t>
  </si>
  <si>
    <t>ARGAMASSA TRAÇO 1:5 (EM VOLUME DE CIMENTO E AREIA MÉDIA ÚMIDA) PARA CONTRAPISO, PREPARO MECÂNICO COM BETONEIRA 400 L. AF_08/2019</t>
  </si>
  <si>
    <t>87305</t>
  </si>
  <si>
    <t>ARGAMASSA TRAÇO 1:5 (EM VOLUME DE CIMENTO E AREIA MÉDIA ÚMIDA) PARA CONTRAPISO, PREPARO MECÂNICO COM BETONEIRA 600 L. AF_08/2019</t>
  </si>
  <si>
    <t>87307</t>
  </si>
  <si>
    <t>ARGAMASSA TRAÇO 1:6 (EM VOLUME DE CIMENTO E AREIA MÉDIA ÚMIDA) PARA CONTRAPISO, PREPARO MECÂNICO COM BETONEIRA 400 L. AF_08/2019</t>
  </si>
  <si>
    <t>87308</t>
  </si>
  <si>
    <t>ARGAMASSA TRAÇO 1:6 (EM VOLUME DE CIMENTO E AREIA MÉDIA ÚMIDA) PARA CONTRAPISO, PREPARO MECÂNICO COM BETONEIRA 600 L. AF_08/2019</t>
  </si>
  <si>
    <t>87310</t>
  </si>
  <si>
    <t>ARGAMASSA TRAÇO 1:5 (EM VOLUME DE CIMENTO E AREIA GROSSA ÚMIDA) PARA CHAPISCO CONVENCIONAL, PREPARO MECÂNICO COM BETONEIRA 400 L. AF_08/2019</t>
  </si>
  <si>
    <t>87311</t>
  </si>
  <si>
    <t>ARGAMASSA TRAÇO 1:5 (EM VOLUME DE CIMENTO E AREIA GROSSA ÚMIDA) PARA CHAPISCO CONVENCIONAL, PREPARO MECÂNICO COM BETONEIRA 600 L. AF_08/2019</t>
  </si>
  <si>
    <t>87313</t>
  </si>
  <si>
    <t>ARGAMASSA TRAÇO 1:3 (EM VOLUME DE CIMENTO E AREIA GROSSA ÚMIDA) PARA CHAPISCO CONVENCIONAL, PREPARO MECÂNICO COM BETONEIRA 400 L. AF_08/2019</t>
  </si>
  <si>
    <t>87314</t>
  </si>
  <si>
    <t>ARGAMASSA TRAÇO 1:3 (EM VOLUME DE CIMENTO E AREIA GROSSA ÚMIDA) PARA CHAPISCO CONVENCIONAL, PREPARO MECÂNICO COM BETONEIRA 600 L. AF_08/2019</t>
  </si>
  <si>
    <t>87316</t>
  </si>
  <si>
    <t>87317</t>
  </si>
  <si>
    <t>ARGAMASSA TRAÇO 1:4 (EM VOLUME DE CIMENTO E AREIA GROSSA ÚMIDA) PARA CHAPISCO CONVENCIONAL, PREPARO MECÂNICO COM BETONEIRA 600 L. AF_08/2019</t>
  </si>
  <si>
    <t>87319</t>
  </si>
  <si>
    <t>ARGAMASSA TRAÇO 1:5 (EM VOLUME DE CIMENTO E AREIA GROSSA ÚMIDA) COM ADIÇÃO DE EMULSÃO POLIMÉRICA PARA CHAPISCO ROLADO, PREPARO MECÂNICO COM BETONEIRA 400 L. AF_08/2019</t>
  </si>
  <si>
    <t>87320</t>
  </si>
  <si>
    <t>ARGAMASSA TRAÇO 1:5 (EM VOLUME DE CIMENTO E AREIA GROSSA ÚMIDA) COM ADIÇÃO DE EMULSÃO POLIMÉRICA PARA CHAPISCO ROLADO, PREPARO MECÂNICO COM BETONEIRA 600 L. AF_08/2019</t>
  </si>
  <si>
    <t>87322</t>
  </si>
  <si>
    <t>ARGAMASSA TRAÇO 1:3 (EM VOLUME DE CIMENTO E AREIA GROSSA ÚMIDA) COM ADIÇÃO DE EMULSÃO POLIMÉRICA PARA CHAPISCO ROLADO, PREPARO MECÂNICO COM BETONEIRA 400 L. AF_08/2019</t>
  </si>
  <si>
    <t>87323</t>
  </si>
  <si>
    <t>ARGAMASSA TRAÇO 1:3 (EM VOLUME DE CIMENTO E AREIA GROSSA ÚMIDA) COM ADIÇÃO DE EMULSÃO POLIMÉRICA PARA CHAPISCO ROLADO, PREPARO MECÂNICO COM BETONEIRA 600 L. AF_08/2019</t>
  </si>
  <si>
    <t>87325</t>
  </si>
  <si>
    <t>ARGAMASSA TRAÇO 1:4 (EM VOLUME DE CIMENTO E AREIA GROSSA ÚMIDA) COM ADIÇÃO DE EMULSÃO POLIMÉRICA PARA CHAPISCO ROLADO, PREPARO MECÂNICO COM BETONEIRA 400 L. AF_08/2019</t>
  </si>
  <si>
    <t>87326</t>
  </si>
  <si>
    <t>ARGAMASSA TRAÇO 1:4 (EM VOLUME DE CIMENTO E AREIA GROSSA ÚMIDA) COM ADIÇÃO DE EMULSÃO POLIMÉRICA PARA CHAPISCO ROLADO, PREPARO MECÂNICO COM BETONEIRA 600 L. AF_08/2019</t>
  </si>
  <si>
    <t>87327</t>
  </si>
  <si>
    <t>ARGAMASSA TRAÇO 1:7 (EM VOLUME DE CIMENTO E AREIA MÉDIA ÚMIDA) COM ADIÇÃO DE PLASTIFICANTE PARA EMBOÇO/MASSA ÚNICA/ASSENTAMENTO DE ALVENARIA DE VEDAÇÃO, PREPARO MECÂNICO COM MISTURADOR DE EIXO HORIZONTAL DE 300 KG. AF_08/2019</t>
  </si>
  <si>
    <t>87328</t>
  </si>
  <si>
    <t>ARGAMASSA TRAÇO 1:7 (EM VOLUME DE CIMENTO E AREIA MÉDIA ÚMIDA) COM ADIÇÃO DE PLASTIFICANTE PARA EMBOÇO/MASSA ÚNICA/ASSENTAMENTO DE ALVENARIA DE VEDAÇÃO, PREPARO MECÂNICO COM MISTURADOR DE EIXO HORIZONTAL DE 600 KG. AF_08/2019</t>
  </si>
  <si>
    <t>87329</t>
  </si>
  <si>
    <t>ARGAMASSA TRAÇO 1:6 (EM VOLUME DE CIMENTO E AREIA MÉDIA ÚMIDA) COM ADIÇÃO DE PLASTIFICANTE PARA EMBOÇO/MASSA ÚNICA/ASSENTAMENTO DE ALVENARIA DE VEDAÇÃO, PREPARO MECÂNICO COM MISTURADOR DE EIXO HORIZONTAL DE 300 KG. AF_08/2019</t>
  </si>
  <si>
    <t>87330</t>
  </si>
  <si>
    <t>ARGAMASSA TRAÇO 1:6 (EM VOLUME DE CIMENTO E AREIA MÉDIA ÚMIDA) COM ADIÇÃO DE PLASTIFICANTE PARA EMBOÇO/MASSA ÚNICA/ASSENTAMENTO DE ALVENARIA DE VEDAÇÃO, PREPARO MECÂNICO COM MISTURADOR DE EIXO HORIZONTAL DE 600 KG. AF_08/2019</t>
  </si>
  <si>
    <t>87331</t>
  </si>
  <si>
    <t>ARGAMASSA TRAÇO 1:1:6 (EM VOLUME DE CIMENTO, CAL E AREIA MÉDIA ÚMIDA) PARA EMBOÇO/MASSA ÚNICA/ASSENTAMENTO DE ALVENARIA DE VEDAÇÃO, PREPARO MECÂNICO COM MISTURADOR DE EIXO HORIZONTAL DE 300 KG. AF_08/2019</t>
  </si>
  <si>
    <t>87332</t>
  </si>
  <si>
    <t>ARGAMASSA TRAÇO 1:1:6 (EM VOLUME DE CIMENTO, CAL E AREIA MÉDIA ÚMIDA) PARA EMBOÇO/MASSA ÚNICA/ASSENTAMENTO DE ALVENARIA DE VEDAÇÃO, PREPARO MECÂNICO COM MISTURADOR DE EIXO HORIZONTAL DE 600 KG. AF_08/2019</t>
  </si>
  <si>
    <t>87333</t>
  </si>
  <si>
    <t>ARGAMASSA TRAÇO 1:1,5:7,5 (EM VOLUME DE CIMENTO, CAL E AREIA MÉDIA ÚMIDA) PARA EMBOÇO/MASSA ÚNICA/ASSENTAMENTO DE ALVENARIA DE VEDAÇÃO, PREPARO MECÂNICO COM MISTURADOR DE EIXO HORIZONTAL DE 300 KG. AF_08/2019</t>
  </si>
  <si>
    <t>87334</t>
  </si>
  <si>
    <t>ARGAMASSA TRAÇO 1:1,5:7,5 (EM VOLUME DE CIMENTO, CAL E AREIA MÉDIA ÚMIDA) PARA EMBOÇO/MASSA ÚNICA/ASSENTAMENTO DE ALVENARIA DE VEDAÇÃO, PREPARO MECÂNICO COM MISTURADOR DE EIXO HORIZONTAL DE 600 KG. AF_08/2019</t>
  </si>
  <si>
    <t>87335</t>
  </si>
  <si>
    <t>ARGAMASSA TRAÇO 1:2:8 (EM VOLUME DE CIMENTO, CAL E AREIA MÉDIA ÚMIDA) PARA EMBOÇO/MASSA ÚNICA/ASSENTAMENTO DE ALVENARIA DE VEDAÇÃO, PREPARO MECÂNICO COM MISTURADOR DE EIXO HORIZONTAL DE 300 KG. AF_08/2019</t>
  </si>
  <si>
    <t>87336</t>
  </si>
  <si>
    <t>ARGAMASSA TRAÇO 1:2:8 (EM VOLUME DE CIMENTO, CAL E AREIA MÉDIA ÚMIDA) PARA EMBOÇO/MASSA ÚNICA/ASSENTAMENTO DE ALVENARIA DE VEDAÇÃO, PREPARO MECÂNICO COM MISTURADOR DE EIXO HORIZONTAL DE 600 KG. AF_08/2019</t>
  </si>
  <si>
    <t>87337</t>
  </si>
  <si>
    <t>ARGAMASSA TRAÇO 1:2:9 (EM VOLUME DE CIMENTO, CAL E AREIA MÉDIA ÚMIDA) PARA EMBOÇO/MASSA ÚNICA/ASSENTAMENTO DE ALVENARIA DE VEDAÇÃO, PREPARO MECÂNICO COM MISTURADOR DE EIXO HORIZONTAL DE 300 KG. AF_08/2019</t>
  </si>
  <si>
    <t>87338</t>
  </si>
  <si>
    <t>ARGAMASSA TRAÇO 1:3:12 (EM VOLUME DE CIMENTO, CAL E AREIA MÉDIA ÚMIDA) PARA EMBOÇO/MASSA ÚNICA/ASSENTAMENTO DE ALVENARIA DE VEDAÇÃO, PREPARO MECÂNICO COM MISTURADOR DE EIXO HORIZONTAL DE 600 KG. AF_08/2019</t>
  </si>
  <si>
    <t>87339</t>
  </si>
  <si>
    <t>ARGAMASSA TRAÇO 1:3 (EM VOLUME DE CIMENTO E AREIA MÉDIA ÚMIDA) PARA CONTRAPISO, PREPARO MECÂNICO COM MISTURADOR DE EIXO HORIZONTAL DE 160 KG. AF_08/2019</t>
  </si>
  <si>
    <t>87340</t>
  </si>
  <si>
    <t>ARGAMASSA TRAÇO 1:3 (EM VOLUME DE CIMENTO E AREIA MÉDIA ÚMIDA) PARA CONTRAPISO, PREPARO MECÂNICO COM MISTURADOR DE EIXO HORIZONTAL DE 300 KG. AF_08/2019</t>
  </si>
  <si>
    <t>87341</t>
  </si>
  <si>
    <t>ARGAMASSA TRAÇO 1:3 (EM VOLUME DE CIMENTO E AREIA MÉDIA ÚMIDA) PARA CONTRAPISO, PREPARO MECÂNICO COM MISTURADOR DE EIXO HORIZONTAL DE 600 KG. AF_08/2019</t>
  </si>
  <si>
    <t>87342</t>
  </si>
  <si>
    <t>ARGAMASSA TRAÇO 1:4 (EM VOLUME DE CIMENTO E AREIA MÉDIA ÚMIDA) PARA CONTRAPISO, PREPARO MECÂNICO COM MISTURADOR DE EIXO HORIZONTAL DE 160 KG. AF_08/2019</t>
  </si>
  <si>
    <t>87343</t>
  </si>
  <si>
    <t>ARGAMASSA TRAÇO 1:4 (EM VOLUME DE CIMENTO E AREIA MÉDIA ÚMIDA) PARA CONTRAPISO, PREPARO MECÂNICO COM MISTURADOR DE EIXO HORIZONTAL DE 300 KG. AF_08/2019</t>
  </si>
  <si>
    <t>87344</t>
  </si>
  <si>
    <t>ARGAMASSA TRAÇO 1:4 (EM VOLUME DE CIMENTO E AREIA MÉDIA ÚMIDA) PARA CONTRAPISO, PREPARO MECÂNICO COM MISTURADOR DE EIXO HORIZONTAL DE 600 KG. AF_08/2019</t>
  </si>
  <si>
    <t>87345</t>
  </si>
  <si>
    <t>ARGAMASSA TRAÇO 1:5 (EM VOLUME DE CIMENTO E AREIA MÉDIA ÚMIDA) PARA CONTRAPISO, PREPARO MECÂNICO COM MISTURADOR DE EIXO HORIZONTAL DE 160 KG. AF_08/2019</t>
  </si>
  <si>
    <t>87346</t>
  </si>
  <si>
    <t>ARGAMASSA TRAÇO 1:5 (EM VOLUME DE CIMENTO E AREIA MÉDIA ÚMIDA) PARA CONTRAPISO, PREPARO MECÂNICO COM MISTURADOR DE EIXO HORIZONTAL DE 300 KG. AF_08/2019</t>
  </si>
  <si>
    <t>87347</t>
  </si>
  <si>
    <t>ARGAMASSA TRAÇO 1:5 (EM VOLUME DE CIMENTO E AREIA MÉDIA ÚMIDA) PARA CONTRAPISO, PREPARO MECÂNICO COM MISTURADOR DE EIXO HORIZONTAL DE 600 KG. AF_08/2019</t>
  </si>
  <si>
    <t>87348</t>
  </si>
  <si>
    <t>ARGAMASSA TRAÇO 1:6 (EM VOLUME DE CIMENTO E AREIA MÉDIA ÚMIDA) PARA CONTRAPISO, PREPARO MECÂNICO COM MISTURADOR DE EIXO HORIZONTAL DE 160 KG. AF_08/2019</t>
  </si>
  <si>
    <t>87349</t>
  </si>
  <si>
    <t>ARGAMASSA TRAÇO 1:6 (EM VOLUME DE CIMENTO E AREIA MÉDIA ÚMIDA) PARA CONTRAPISO, PREPARO MECÂNICO COM MISTURADOR DE EIXO HORIZONTAL DE 600 KG. AF_08/2019</t>
  </si>
  <si>
    <t>87350</t>
  </si>
  <si>
    <t>ARGAMASSA TRAÇO 1:5 (EM VOLUME DE CIMENTO E AREIA GROSSA ÚMIDA) PARA CHAPISCO CONVENCIONAL, PREPARO MECÂNICO COM MISTURADOR DE EIXO HORIZONTAL DE 300 KG. AF_08/2019</t>
  </si>
  <si>
    <t>87351</t>
  </si>
  <si>
    <t>ARGAMASSA TRAÇO 1:5 (EM VOLUME DE CIMENTO E AREIA GROSSA ÚMIDA) PARA CHAPISCO CONVENCIONAL, PREPARO MECÂNICO COM MISTURADOR DE EIXO HORIZONTAL DE 600 KG. AF_08/2019</t>
  </si>
  <si>
    <t>87352</t>
  </si>
  <si>
    <t>ARGAMASSA TRAÇO 1:3 (EM VOLUME DE CIMENTO E AREIA GROSSA ÚMIDA) PARA CHAPISCO CONVENCIONAL, PREPARO MECÂNICO COM MISTURADOR DE EIXO HORIZONTAL DE 160 KG. AF_08/2019</t>
  </si>
  <si>
    <t>87353</t>
  </si>
  <si>
    <t>ARGAMASSA TRAÇO 1:3 (EM VOLUME DE CIMENTO E AREIA GROSSA ÚMIDA) PARA CHAPISCO CONVENCIONAL, PREPARO MECÂNICO COM MISTURADOR DE EIXO HORIZONTAL DE 300 KG. AF_08/2019</t>
  </si>
  <si>
    <t>87354</t>
  </si>
  <si>
    <t>ARGAMASSA TRAÇO 1:3 (EM VOLUME DE CIMENTO E AREIA GROSSA ÚMIDA) PARA CHAPISCO CONVENCIONAL, PREPARO MECÂNICO COM MISTURADOR DE EIXO HORIZONTAL DE 600 KG. AF_08/2019</t>
  </si>
  <si>
    <t>87355</t>
  </si>
  <si>
    <t>ARGAMASSA TRAÇO 1:4 (EM VOLUME DE CIMENTO E AREIA GROSSA ÚMIDA) PARA CHAPISCO CONVENCIONAL, PREPARO MECÂNICO COM MISTURADOR DE EIXO HORIZONTAL DE 160 KG. AF_08/2019</t>
  </si>
  <si>
    <t>87356</t>
  </si>
  <si>
    <t>ARGAMASSA TRAÇO 1:4 (EM VOLUME DE CIMENTO E AREIA GROSSA ÚMIDA) PARA CHAPISCO CONVENCIONAL, PREPARO MECÂNICO COM MISTURADOR DE EIXO HORIZONTAL DE 300 KG. AF_08/2019</t>
  </si>
  <si>
    <t>87357</t>
  </si>
  <si>
    <t>ARGAMASSA TRAÇO 1:4 (EM VOLUME DE CIMENTO E AREIA GROSSA ÚMIDA) PARA CHAPISCO CONVENCIONAL, PREPARO MECÂNICO COM MISTURADOR DE EIXO HORIZONTAL DE 600 KG. AF_08/2019</t>
  </si>
  <si>
    <t>87358</t>
  </si>
  <si>
    <t>ARGAMASSA TRAÇO 1:5 (EM VOLUME DE CIMENTO E AREIA GROSSA ÚMIDA) COM ADIÇÃO DE EMULSÃO POLIMÉRICA PARA CHAPISCO ROLADO, PREPARO MECÂNICO COM MISTURADOR DE EIXO HORIZONTAL DE 300 KG. AF_08/2019</t>
  </si>
  <si>
    <t>87359</t>
  </si>
  <si>
    <t>ARGAMASSA TRAÇO 1:5 (EM VOLUME DE CIMENTO E AREIA GROSSA ÚMIDA) COM ADIÇÃO DE EMULSÃO POLIMÉRICA PARA CHAPISCO ROLADO, PREPARO MECÂNICO COM MISTURADOR DE EIXO HORIZONTAL DE 600 KG. AF_08/2019</t>
  </si>
  <si>
    <t>87360</t>
  </si>
  <si>
    <t>ARGAMASSA TRAÇO 1:3 (EM VOLUME DE CIMENTO E AREIA GROSSA ÚMIDA) COM ADIÇÃO DE EMULSÃO POLIMÉRICA PARA CHAPISCO ROLADO, PREPARO MECÂNICO COM MISTURADOR DE EIXO HORIZONTAL DE 160 KG. AF_08/2019</t>
  </si>
  <si>
    <t>87361</t>
  </si>
  <si>
    <t>ARGAMASSA TRAÇO 1:3 (EM VOLUME DE CIMENTO E AREIA GROSSA ÚMIDA) COM ADIÇÃO DE EMULSÃO POLIMÉRICA PARA CHAPISCO ROLADO, PREPARO MECÂNICO COM MISTURADOR DE EIXO HORIZONTAL DE 300 KG. AF_08/2019</t>
  </si>
  <si>
    <t>87362</t>
  </si>
  <si>
    <t>ARGAMASSA TRAÇO 1:3 (EM VOLUME DE CIMENTO E AREIA GROSSA ÚMIDA) COM ADIÇÃO DE EMULSÃO POLIMÉRICA PARA CHAPISCO ROLADO, PREPARO MECÂNICO COM MISTURADOR DE EIXO HORIZONTAL DE 600 KG. AF_08/2019</t>
  </si>
  <si>
    <t>87363</t>
  </si>
  <si>
    <t>ARGAMASSA TRAÇO 1:4 (EM VOLUME DE CIMENTO E AREIA GROSSA ÚMIDA) COM ADIÇÃO DE EMULSÃO POLIMÉRICA PARA CHAPISCO ROLADO, PREPARO MECÂNICO COM MISTURADOR DE EIXO HORIZONTAL DE 300 KG. AF_08/2019</t>
  </si>
  <si>
    <t>87364</t>
  </si>
  <si>
    <t>ARGAMASSA TRAÇO 1:4 (EM VOLUME DE CIMENTO E AREIA GROSSA ÚMIDA) COM ADIÇÃO DE EMULSÃO POLIMÉRICA PARA CHAPISCO ROLADO, PREPARO MECÂNICO COM MISTURADOR DE EIXO HORIZONTAL DE 600 KG. AF_08/2019</t>
  </si>
  <si>
    <t>87365</t>
  </si>
  <si>
    <t>ARGAMASSA TRAÇO 1:7 (EM VOLUME DE CIMENTO E AREIA MÉDIA ÚMIDA) COM ADIÇÃO DE PLASTIFICANTE PARA EMBOÇO/MASSA ÚNICA/ASSENTAMENTO DE ALVENARIA DE VEDAÇÃO, PREPARO MANUAL. AF_08/2019</t>
  </si>
  <si>
    <t>87366</t>
  </si>
  <si>
    <t>ARGAMASSA TRAÇO 1:6 (EM VOLUME DE CIMENTO E AREIA MÉDIA ÚMIDA) COM ADIÇÃO DE PLASTIFICANTE PARA EMBOÇO/MASSA ÚNICA/ASSENTAMENTO DE ALVENARIA DE VEDAÇÃO, PREPARO MANUAL. AF_08/2019</t>
  </si>
  <si>
    <t>87367</t>
  </si>
  <si>
    <t>ARGAMASSA TRAÇO 1:1:6 (EM VOLUME DE CIMENTO, CAL E AREIA MÉDIA ÚMIDA) PARA EMBOÇO/MASSA ÚNICA/ASSENTAMENTO DE ALVENARIA DE VEDAÇÃO, PREPARO MANUAL. AF_08/2019</t>
  </si>
  <si>
    <t>87368</t>
  </si>
  <si>
    <t>ARGAMASSA TRAÇO 1:1,5:7,5 (EM VOLUME DE CIMENTO, CAL E AREIA MÉDIA ÚMIDA) PARA EMBOÇO/MASSA ÚNICA/ASSENTAMENTO DE ALVENARIA DE VEDAÇÃO, PREPARO MANUAL. AF_08/2019</t>
  </si>
  <si>
    <t>87369</t>
  </si>
  <si>
    <t>ARGAMASSA TRAÇO 1:2:8 (EM VOLUME DE CIMENTO, CAL E AREIA MÉDIA ÚMIDA) PARA EMBOÇO/MASSA ÚNICA/ASSENTAMENTO DE ALVENARIA DE VEDAÇÃO, PREPARO MANUAL. AF_08/2019</t>
  </si>
  <si>
    <t>87370</t>
  </si>
  <si>
    <t>ARGAMASSA TRAÇO 1:2:9 (EM VOLUME DE CIMENTO, CAL E AREIA MÉDIA ÚMIDA) PARA EMBOÇO/MASSA ÚNICA/ASSENTAMENTO DE ALVENARIA DE VEDAÇÃO, PREPARO MANUAL. AF_08/2019</t>
  </si>
  <si>
    <t>87371</t>
  </si>
  <si>
    <t>ARGAMASSA TRAÇO 1:3:12 (EM VOLUME DE CIMENTO, CAL E AREIA MÉDIA ÚMIDA) PARA EMBOÇO/MASSA ÚNICA/ASSENTAMENTO DE ALVENARIA DE VEDAÇÃO, PREPARO MANUAL. AF_08/2019</t>
  </si>
  <si>
    <t>87372</t>
  </si>
  <si>
    <t>87373</t>
  </si>
  <si>
    <t>87374</t>
  </si>
  <si>
    <t>ARGAMASSA TRAÇO 1:5 (EM VOLUME DE CIMENTO E AREIA MÉDIA ÚMIDA) PARA CONTRAPISO, PREPARO MANUAL. AF_08/2019</t>
  </si>
  <si>
    <t>87375</t>
  </si>
  <si>
    <t>ARGAMASSA TRAÇO 1:6 (EM VOLUME DE CIMENTO E AREIA MÉDIA ÚMIDA) PARA CONTRAPISO, PREPARO MANUAL. AF_08/2019</t>
  </si>
  <si>
    <t>87376</t>
  </si>
  <si>
    <t>ARGAMASSA TRAÇO 1:5 (EM VOLUME DE CIMENTO E AREIA GROSSA ÚMIDA) PARA CHAPISCO CONVENCIONAL, PREPARO MANUAL. AF_08/2019</t>
  </si>
  <si>
    <t>87377</t>
  </si>
  <si>
    <t>87378</t>
  </si>
  <si>
    <t>ARGAMASSA TRAÇO 1:4 (EM VOLUME DE CIMENTO E AREIA GROSSA ÚMIDA) PARA CHAPISCO CONVENCIONAL, PREPARO MANUAL. AF_08/2019</t>
  </si>
  <si>
    <t>87379</t>
  </si>
  <si>
    <t>ARGAMASSA TRAÇO 1:5 (EM VOLUME DE CIMENTO E AREIA GROSSA ÚMIDA) COM ADIÇÃO DE EMULSÃO POLIMÉRICA PARA CHAPISCO ROLADO, PREPARO MANUAL. AF_08/2019</t>
  </si>
  <si>
    <t>87380</t>
  </si>
  <si>
    <t>ARGAMASSA TRAÇO 1:3 (EM VOLUME DE CIMENTO E AREIA GROSSA ÚMIDA) COM ADIÇÃO DE EMULSÃO POLIMÉRICA PARA CHAPISCO ROLADO, PREPARO MANUAL. AF_08/2019</t>
  </si>
  <si>
    <t>87381</t>
  </si>
  <si>
    <t>ARGAMASSA TRAÇO 1:4 (EM VOLUME DE CIMENTO E AREIA GROSSA ÚMIDA) COM ADIÇÃO DE EMULSÃO POLIMÉRICA PARA CHAPISCO ROLADO, PREPARO MANUAL. AF_08/2019</t>
  </si>
  <si>
    <t>87382</t>
  </si>
  <si>
    <t>ARGAMASSA INDUSTRIALIZADA MULTIUSO PARA REVESTIMENTOS E ASSENTAMENTO DA ALVENARIA, PREPARO COM MISTURADOR DE EIXO HORIZONTAL DE 160 KG. AF_08/2019</t>
  </si>
  <si>
    <t>87383</t>
  </si>
  <si>
    <t>ARGAMASSA INDUSTRIALIZADA MULTIUSO PARA REVESTIMENTOS E ASSENTAMENTO DA ALVENARIA, PREPARO COM MISTURADOR DE EIXO HORIZONTAL DE 300 KG. AF_08/2019</t>
  </si>
  <si>
    <t>87384</t>
  </si>
  <si>
    <t>ARGAMASSA INDUSTRIALIZADA MULTIUSO PARA REVESTIMENTOS E ASSENTAMENTO DA ALVENARIA, PREPARO COM MISTURADOR DE EIXO HORIZONTAL DE 600 KG. AF_08/2019</t>
  </si>
  <si>
    <t>87385</t>
  </si>
  <si>
    <t>ARGAMASSA PRONTA PARA CONTRAPISO, PREPARO COM MISTURADOR DE EIXO HORIZONTAL DE 160 KG. AF_08/2019</t>
  </si>
  <si>
    <t>87386</t>
  </si>
  <si>
    <t>ARGAMASSA PRONTA PARA CONTRAPISO, PREPARO COM MISTURADOR DE EIXO HORIZONTAL DE 300 KG. AF_08/2019</t>
  </si>
  <si>
    <t>87387</t>
  </si>
  <si>
    <t>ARGAMASSA PRONTA PARA CONTRAPISO, PREPARO COM MISTURADOR DE EIXO HORIZONTAL DE 600 KG. AF_08/2019</t>
  </si>
  <si>
    <t>87388</t>
  </si>
  <si>
    <t>ARGAMASSA PARA REVESTIMENTO DECORATIVO MONOCAMADA (MONOCAPA), PREPARO COM MISTURADOR DE EIXO HORIZONTAL DE 160 KG. AF_08/2019</t>
  </si>
  <si>
    <t>87389</t>
  </si>
  <si>
    <t>ARGAMASSA PARA REVESTIMENTO DECORATIVO MONOCAMADA (MONOCAPA), PREPARO COM MISTURADOR DE EIXO HORIZONTAL DE 300 KG. AF_08/2019</t>
  </si>
  <si>
    <t>87390</t>
  </si>
  <si>
    <t>ARGAMASSA PARA REVESTIMENTO DECORATIVO MONOCAMADA (MONOCAPA), PREPARO COM MISTURADOR DE EIXO HORIZONTAL DE 600 KG. AF_08/2019</t>
  </si>
  <si>
    <t>87391</t>
  </si>
  <si>
    <t>ARGAMASSA INDUSTRIALIZADA PARA CHAPISCO ROLADO, PREPARO COM MISTURADOR DE EIXO HORIZONTAL DE 160 KG. AF_08/2019</t>
  </si>
  <si>
    <t>87393</t>
  </si>
  <si>
    <t>ARGAMASSA INDUSTRIALIZADA PARA CHAPISCO ROLADO, PREPARO COM MISTURADOR DE EIXO HORIZONTAL DE 300 KG. AF_08/2019</t>
  </si>
  <si>
    <t>87394</t>
  </si>
  <si>
    <t>ARGAMASSA INDUSTRIALIZADA PARA CHAPISCO ROLADO, PREPARO COM MISTURADOR DE EIXO HORIZONTAL DE 600 KG. AF_08/2019</t>
  </si>
  <si>
    <t>87395</t>
  </si>
  <si>
    <t>ARGAMASSA INDUSTRIALIZADA PARA CHAPISCO COLANTE, PREPARO COM MISTURADOR DE EIXO HORIZONTAL DE 160 KG. AF_08/2019</t>
  </si>
  <si>
    <t>87396</t>
  </si>
  <si>
    <t>87397</t>
  </si>
  <si>
    <t>ARGAMASSA INDUSTRIALIZADA PARA CHAPISCO COLANTE, PREPARO COM MISTURADOR DE EIXO HORIZONTAL DE 600 KG. AF_08/2019</t>
  </si>
  <si>
    <t>87398</t>
  </si>
  <si>
    <t>ARGAMASSA INDUSTRIALIZADA MULTIUSO PARA REVESTIMENTOS E ASSENTAMENTO DA ALVENARIA, PREPARO MANUAL. AF_08/2019</t>
  </si>
  <si>
    <t>87399</t>
  </si>
  <si>
    <t>ARGAMASSA PRONTA PARA CONTRAPISO, PREPARO MANUAL. AF_08/2019</t>
  </si>
  <si>
    <t>87401</t>
  </si>
  <si>
    <t>ARGAMASSA INDUSTRIALIZADA PARA CHAPISCO ROLADO, PREPARO MANUAL. AF_08/2019</t>
  </si>
  <si>
    <t>87402</t>
  </si>
  <si>
    <t>ARGAMASSA INDUSTRIALIZADA PARA CHAPISCO COLANTE, PREPARO MANUAL. AF_08/2019</t>
  </si>
  <si>
    <t>87404</t>
  </si>
  <si>
    <t>ARGAMASSA PARA REVESTIMENTO DECORATIVO MONOCAMADA (MONOCAPA), MISTURA E PROJEÇÃO DE 1,5 M3/H DE ARGAMASSA. AF_08/2019</t>
  </si>
  <si>
    <t>87405</t>
  </si>
  <si>
    <t>ARGAMASSA PARA REVESTIMENTO DECORATIVO MONOCAMADA (MONOCAPA), MISTURA E PROJEÇÃO DE 2 M3/H DE ARGAMASSA. AF_06/2014</t>
  </si>
  <si>
    <t>87407</t>
  </si>
  <si>
    <t>ARGAMASSA INDUSTRIALIZADA PARA REVESTIMENTOS, MISTURA E PROJEÇÃO DE 1,5 M³/H DE ARGAMASSA. AF_08/2019</t>
  </si>
  <si>
    <t>87408</t>
  </si>
  <si>
    <t>ARGAMASSA INDUSTRIALIZADA PARA REVESTIMENTOS, MISTURA E PROJEÇÃO DE 2 M³/H DE ARGAMASSA. AF_06/2014</t>
  </si>
  <si>
    <t>87410</t>
  </si>
  <si>
    <t>ARGAMASSA À BASE DE GESSO, MISTURA E PROJEÇÃO DE 1,5 M³/H DE ARGAMASSA. AF_08/2019</t>
  </si>
  <si>
    <t>88626</t>
  </si>
  <si>
    <t>ARGAMASSA TRAÇO 1:0,5:4,5 (EM VOLUME DE CIMENTO, CAL E AREIA MÉDIA ÚMIDA), PREPARO MECÂNICO COM BETONEIRA 400 L. AF_08/2019</t>
  </si>
  <si>
    <t>88627</t>
  </si>
  <si>
    <t>88628</t>
  </si>
  <si>
    <t>ARGAMASSA TRAÇO 1:3 (EM VOLUME DE CIMENTO E AREIA MÉDIA ÚMIDA), PREPARO MECÂNICO COM BETONEIRA 400 L. AF_08/2019</t>
  </si>
  <si>
    <t>88629</t>
  </si>
  <si>
    <t>88630</t>
  </si>
  <si>
    <t>ARGAMASSA TRAÇO 1:4 (CIMENTO E AREIA MÉDIA), PREPARO MECÂNICO COM BETONEIRA 400 L. AF_08/2014</t>
  </si>
  <si>
    <t>88631</t>
  </si>
  <si>
    <t>88715</t>
  </si>
  <si>
    <t>ARGAMASSA TRAÇO 1:2:9 (EM VOLUME DE CIMENTO, CAL E AREIA MÉDIA ÚMIDA) PARA EMBOÇO/MASSA ÚNICA/ASSENTAMENTO DE ALVENARIA DE VEDAÇÃO, PREPARO MECÂNICO COM BETONEIRA 400 L. AF_08/2019</t>
  </si>
  <si>
    <t>95563</t>
  </si>
  <si>
    <t>ARGAMASSA TRAÇO 1:1,93 (EM VOLUME DE CIMENTO E AREIA MÉDIA ÚMIDA), FCK 20 MPA, PREPARO MECÂNICO COM MISTURADOR DUPLO HORIZONTAL DE ALTA TURBULÊNCIA. AF_03/2020</t>
  </si>
  <si>
    <t>100464</t>
  </si>
  <si>
    <t>ARGAMASSA TRAÇO 1:0,5:4,5  (EM VOLUME DE CIMENTO, CAL E AREIA MÉDIA ÚMIDA), PREPARO MECÂNICO COM MISTURADOR DE EIXO HORIZONTAL DE 160 KG. AF_08/2019</t>
  </si>
  <si>
    <t>100465</t>
  </si>
  <si>
    <t>ARGAMASSA TRAÇO 1:0,5:4,5  (EM VOLUME DE CIMENTO, CAL E AREIA MÉDIA ÚMIDA), PREPARO MECÂNICO COM MISTURADOR DE EIXO HORIZONTAL DE 300 KG. AF_08/2019</t>
  </si>
  <si>
    <t>100466</t>
  </si>
  <si>
    <t>ARGAMASSA TRAÇO 1:0,5:4,5  (EM VOLUME DE CIMENTO, CAL E AREIA MÉDIA ÚMIDA), PREPARO MECÂNICO COM MISTURADOR DE EIXO HORIZONTAL DE 600 KG. AF_08/2019</t>
  </si>
  <si>
    <t>100468</t>
  </si>
  <si>
    <t>ARGAMASSA TRAÇO 1:3 (EM VOLUME DE CIMENTO E AREIA MÉDIA ÚMIDA), PREPARO MECÂNICO COM MISTURADOR DE EIXO HORIZONTAL DE 160 KG. AF_08/2019</t>
  </si>
  <si>
    <t>100469</t>
  </si>
  <si>
    <t>ARGAMASSA TRAÇO 1:3 (EM VOLUME DE CIMENTO E AREIA MÉDIA ÚMIDA), PREPARO MECÂNICO COM MISTURADOR DE EIXO HORIZONTAL DE 300 KG. AF_08/2019</t>
  </si>
  <si>
    <t>100470</t>
  </si>
  <si>
    <t>ARGAMASSA TRAÇO 1:3 (EM VOLUME DE CIMENTO E AREIA MÉDIA ÚMIDA), PREPARO MECÂNICO COM MISTURADOR DE EIXO HORIZONTAL DE 600 KG. AF_08/2019</t>
  </si>
  <si>
    <t>100472</t>
  </si>
  <si>
    <t>ARGAMASSA TRAÇO 1:4 (EM VOLUME DE CIMENTO E AREIA MÉDIA ÚMIDA), PREPARO MECÂNICO COM MISTURADOR DE EIXO HORIZONTAL DE 160 KG. AF_08/2019</t>
  </si>
  <si>
    <t>100473</t>
  </si>
  <si>
    <t>ARGAMASSA TRAÇO 1:4 (EM VOLUME DE CIMENTO E AREIA MÉDIA ÚMIDA), PREPARO MECÂNICO COM MISTURADOR DE EIXO HORIZONTAL DE 300 KG. AF_08/2019</t>
  </si>
  <si>
    <t>100474</t>
  </si>
  <si>
    <t>ARGAMASSA TRAÇO 1:4 (EM VOLUME DE CIMENTO E AREIA MÉDIA ÚMIDA), PREPARO MECÂNICO COM MISTURADOR DE EIXO HORIZONTAL DE 600 KG. AF_08/2019</t>
  </si>
  <si>
    <t>100475</t>
  </si>
  <si>
    <t>ARGAMASSA TRAÇO 1:3 (EM VOLUME DE CIMENTO E AREIA MÉDIA ÚMIDA) COM ADIÇÃO DE IMPERMEABILIZANTE, PREPARO MECÂNICO COM BETONEIRA 400 L. AF_08/2019</t>
  </si>
  <si>
    <t>100477</t>
  </si>
  <si>
    <t>ARGAMASSA TRAÇO 1:3 (EM VOLUME DE CIMENTO E AREIA MÉDIA ÚMIDA) COM ADIÇÃO DE IMPERMEABILIZANTE, PREPARO MECÂNICO COM MISTURADOR DE EIXO HORIZONTAL DE 160 KG. AF_08/2019</t>
  </si>
  <si>
    <t>100478</t>
  </si>
  <si>
    <t>ARGAMASSA TRAÇO 1:3 (EM VOLUME DE CIMENTO E AREIA MÉDIA ÚMIDA) COM ADIÇÃO DE IMPERMEABILIZANTE, PREPARO MECÂNICO COM MISTURADOR DE EIXO HORIZONTAL DE 300 KG. AF_08/2019</t>
  </si>
  <si>
    <t>100479</t>
  </si>
  <si>
    <t>ARGAMASSA TRAÇO 1:3 (EM VOLUME DE CIMENTO E AREIA MÉDIA ÚMIDA) COM ADIÇÃO DE IMPERMEABILIZANTE, PREPARO MECÂNICO COM MISTURADOR DE EIXO HORIZONTAL DE 600 KG. AF_08/2019</t>
  </si>
  <si>
    <t>100480</t>
  </si>
  <si>
    <t>ARGAMASSA TRAÇO 1:3 (EM VOLUME DE CIMENTO E AREIA MÉDIA ÚMIDA) COM ADIÇÃO DE IMPERMEABILIZANTE, PREPARO MANUAL. AF_08/2019</t>
  </si>
  <si>
    <t>100481</t>
  </si>
  <si>
    <t>ARGAMASSA TRAÇO 1:4 (EM VOLUME DE CIMENTO E AREIA MÉDIA ÚMIDA) COM ADIÇÃO DE IMPERMEABILIZANTE, PREPARO MECÂNICO COM BETONEIRA 400 L. AF_08/2019</t>
  </si>
  <si>
    <t>100483</t>
  </si>
  <si>
    <t>ARGAMASSA TRAÇO 1:4 (EM VOLUME DE CIMENTO E AREIA MÉDIA ÚMIDA) COM ADIÇÃO DE IMPERMEABILIZANTE, PREPARO MECÂNICO COM MISTURADOR DE EIXO HORIZONTAL DE 160 KG. AF_08/2019</t>
  </si>
  <si>
    <t>100484</t>
  </si>
  <si>
    <t>ARGAMASSA TRAÇO 1:4 (EM VOLUME DE CIMENTO E AREIA MÉDIA ÚMIDA) COM ADIÇÃO DE IMPERMEABILIZANTE, PREPARO MECÂNICO COM MISTURADOR DE EIXO HORIZONTAL DE 300 KG. AF_08/2019</t>
  </si>
  <si>
    <t>100485</t>
  </si>
  <si>
    <t>ARGAMASSA TRAÇO 1:4 (EM VOLUME DE CIMENTO E AREIA MÉDIA ÚMIDA) COM ADIÇÃO DE IMPERMEABILIZANTE, PREPARO MECÂNICO COM MISTURADOR DE EIXO HORIZONTAL DE 600 KG. AF_08/2019</t>
  </si>
  <si>
    <t>100486</t>
  </si>
  <si>
    <t>ARGAMASSA TRAÇO 1:4 (EM VOLUME DE CIMENTO E AREIA MÉDIA ÚMIDA) COM ADIÇÃO DE IMPERMEABILIZANTE, PREPARO MANUAL. AF_08/2019</t>
  </si>
  <si>
    <t>100487</t>
  </si>
  <si>
    <t>ARGAMASSA TRAÇO 1:2:9 (EM VOLUME DE CIMENTO, CAL E AREIA MÉDIA ÚMIDA) PARA EMBOÇO/MASSA ÚNICA/ASSENTAMENTO DE ALVENARIA DE VEDAÇÃO, PREPARO MECÂNICO COM MISTURADOR DE EIXO HORIZONTAL DE 600 KG. AF_08/2019</t>
  </si>
  <si>
    <t>100488</t>
  </si>
  <si>
    <t>ARGAMASSA TRAÇO 1:0,5:4,5 (EM VOLUME DE CIMENTO, CAL E AREIA MÉDIA ÚMIDA), PREPARO MECÂNICO COM BETONEIRA 600 L. AF_08/2019</t>
  </si>
  <si>
    <t>100489</t>
  </si>
  <si>
    <t>ARGAMASSA TRAÇO 1:3 (EM VOLUME DE CIMENTO E AREIA MÉDIA ÚMIDA), PREPARO MECÂNICO COM BETONEIRA 600 L. AF_08/2019</t>
  </si>
  <si>
    <t>100490</t>
  </si>
  <si>
    <t>ARGAMASSA TRAÇO 1:4 (EM VOLUME DE CIMENTO E AREIA MÉDIA ÚMIDA), PREPARO MECÂNICO COM BETONEIRA 600 L. AF_08/2019</t>
  </si>
  <si>
    <t>100491</t>
  </si>
  <si>
    <t>ARGAMASSA TRAÇO 1:3 (EM VOLUME DE CIMENTO E AREIA MÉDIA ÚMIDA) COM ADIÇÃO DE IMPERMEABILIZANTE, PREPARO MECÂNICO COM BETONEIRA 600 L. AF_08/2019</t>
  </si>
  <si>
    <t>100492</t>
  </si>
  <si>
    <t>ARGAMASSA TRAÇO 1:4 (EM VOLUME DE CIMENTO E AREIA MÉDIA ÚMIDA) COM ADIÇÃO DE IMPERMEABILIZANTE, PREPARO MECÂNICO COM BETONEIRA 600 L. AF_08/2019</t>
  </si>
  <si>
    <t>92121</t>
  </si>
  <si>
    <t>PENEIRAMENTO DE AREIA COM PENEIRA ELÉTRICA. AF_11/2015</t>
  </si>
  <si>
    <t>92122</t>
  </si>
  <si>
    <t>PENEIRAMENTO DE AREIA COM PENEIRA MANUAL. AF_11/2015</t>
  </si>
  <si>
    <t>92123</t>
  </si>
  <si>
    <t>ENSACAMENTO DE AREIA. AF_11/2015</t>
  </si>
  <si>
    <t>100195</t>
  </si>
  <si>
    <t>TRANSPORTE HORIZONTAL MANUAL, DE SACOS DE 50 KG (UNIDADE: KGXKM). AF_07/2019</t>
  </si>
  <si>
    <t>KGXKM</t>
  </si>
  <si>
    <t>100196</t>
  </si>
  <si>
    <t>TRANSPORTE HORIZONTAL MANUAL, DE SACOS DE 30 KG (UNIDADE: KGXKM). AF_07/2019</t>
  </si>
  <si>
    <t>100197</t>
  </si>
  <si>
    <t>TRANSPORTE HORIZONTAL MANUAL, DE SACOS DE 20 KG (UNIDADE: KGXKM). AF_07/2019</t>
  </si>
  <si>
    <t>100198</t>
  </si>
  <si>
    <t>TRANSPORTE HORIZONTAL COM CARRINHO PLATAFORMA, DE SACOS DE 50 KG (UNIDADE: KGXKM). AF_07/2019</t>
  </si>
  <si>
    <t>100199</t>
  </si>
  <si>
    <t>TRANSPORTE HORIZONTAL COM CARRINHO PLATAFORMA, DE SACOS DE 30 KG (UNIDADE: KGXKM). AF_07/2019</t>
  </si>
  <si>
    <t>0,23</t>
  </si>
  <si>
    <t>0,25</t>
  </si>
  <si>
    <t>100200</t>
  </si>
  <si>
    <t>TRANSPORTE HORIZONTAL COM CARRINHO PLATAFORMA, DE SACOS DE 20 KG (UNIDADE: KGXKM). AF_07/2019</t>
  </si>
  <si>
    <t>100201</t>
  </si>
  <si>
    <t>TRANSPORTE HORIZONTAL COM CARRINHO DE MÃO, DE SACOS DE 50 KG (UNIDADE: KGXKM). AF_07/2019</t>
  </si>
  <si>
    <t>100202</t>
  </si>
  <si>
    <t>TRANSPORTE HORIZONTAL COM CARRINHO DE MÃO, DE SACOS DE 30 KG (UNIDADE: KGXKM). AF_07/2019</t>
  </si>
  <si>
    <t>100203</t>
  </si>
  <si>
    <t>TRANSPORTE HORIZONTAL COM CARRINHO DE MÃO, DE SACOS DE 20 KG (UNIDADE: KGXKM). AF_07/2019</t>
  </si>
  <si>
    <t>100204</t>
  </si>
  <si>
    <t>TRANSPORTE HORIZONTAL COM MANIPULADOR TELESCÓPICO, DE PÁLETE DE SACOS (UNIDADE: KGXKM). AF_07/2019</t>
  </si>
  <si>
    <t>100205</t>
  </si>
  <si>
    <t>TRANSPORTE HORIZONTAL COM JERICA DE 60 L, DE MASSA/ GRANEL (UNIDADE: M3XKM). AF_07/2019</t>
  </si>
  <si>
    <t>100206</t>
  </si>
  <si>
    <t>TRANSPORTE HORIZONTAL COM JERICA DE 90 L, DE MASSA/ GRANEL (UNIDADE: M3XKM). AF_07/2019</t>
  </si>
  <si>
    <t>100207</t>
  </si>
  <si>
    <t>TRANSPORTE HORIZONTAL COM CARREGADEIRA, DE MASSA/ GRANEL (UNIDADE: M3XKM). AF_07/2019</t>
  </si>
  <si>
    <t>100208</t>
  </si>
  <si>
    <t>TRANSPORTE HORIZONTAL MANUAL, DE BLOCOS VAZADOS DE CONCRETO OU CERÂMICO DE 19X19X39CM (UNIDADE: BLOCOXKM). AF_07/2019</t>
  </si>
  <si>
    <t>UNXKM</t>
  </si>
  <si>
    <t>100209</t>
  </si>
  <si>
    <t>TRANSPORTE HORIZONTAL MANUAL, DE BLOCOS CERÂMICOS FURADOS NA HORIZONTAL DE 9X19X19CM (UNIDADE: BLOCOXKM). AF_07/2019</t>
  </si>
  <si>
    <t>100210</t>
  </si>
  <si>
    <t>TRANSPORTE HORIZONTAL COM CARRINHO DE MÃO, DE BLOCOS VAZADOS DE CONCRETO OU CERÂMICO DE 19X19X39CM (UNIDADE: BLOCOXKM). AF_07/2019</t>
  </si>
  <si>
    <t>100211</t>
  </si>
  <si>
    <t>TRANSPORTE HORIZONTAL COM CARRINHO DE MÃO, DE BLOCOS CERÂMICOS FURADOS NA HORIZONTAL DE 9X19X19CM (UNIDADE: BLOCOXKM). AF_07/2019</t>
  </si>
  <si>
    <t>100212</t>
  </si>
  <si>
    <t>TRANSPORTE HORIZONTAL COM CARRINHO PLATAFORMA, DE BLOCOS VAZADOS DE CONCRETO OU CERÂMICO DE 19X19X39CM (UNIDADE: BLOCOXKM). AF_07/2019</t>
  </si>
  <si>
    <t>100213</t>
  </si>
  <si>
    <t>TRANSPORTE HORIZONTAL COM CARRINHO PLATAFORMA, DE BLOCOS CERÂMICOS FURADOS NA HORIZONTAL DE 9X19X19CM (UNIDADE: BLOCOXKM). AF_07/2019</t>
  </si>
  <si>
    <t>100214</t>
  </si>
  <si>
    <t>TRANSPORTE HORIZONTAL COM CARRINHO MINI PÁLETES, DE BLOCOS VAZADOS DE CONCRETO DE 19X19X39CM (UNIDADE: BLOCOXKM). AF_07/2019</t>
  </si>
  <si>
    <t>100215</t>
  </si>
  <si>
    <t>TRANSPORTE HORIZONTAL COM CARRINHO MINI PÁLETES, DE BLOCOS CERÂMICOS FURADOS NA VERTICAL DE 19X19X39CM (UNIDADE: BLOCOXKM). AF_07/2019</t>
  </si>
  <si>
    <t>100216</t>
  </si>
  <si>
    <t>TRANSPORTE HORIZONTAL COM CARRINHO MINI PÁLETES, DE BLOCOS CERÂMICOS FURADOS NA HORIZONTAL DE 9X19X19CM (UNIDADE: BLOCOXKM). AF_07/2019</t>
  </si>
  <si>
    <t>0,74</t>
  </si>
  <si>
    <t>100217</t>
  </si>
  <si>
    <t>TRANSPORTE HORIZONTAL COM MANIPULADOR TELESCÓPICO, DE BLOCOS VAZADOS DE CONCRETO DE 19X19X39CM (UNIDADE: BLOCOXKM). AF_07/2019</t>
  </si>
  <si>
    <t>100218</t>
  </si>
  <si>
    <t>TRANSPORTE HORIZONTAL COM MANIPULADOR TELESCÓPICO, DE BLOCOS CERÂMICOS FURADOS NA VERTICAL DE 19X19X39CM (UNIDADE: BLOCOXKM). AF_07/2019</t>
  </si>
  <si>
    <t>100219</t>
  </si>
  <si>
    <t>TRANSPORTE HORIZONTAL COM MANIPULADOR TELESCÓPICO, DE BLOCOS CERÂMICOS FURADOS NA HORIZONTAL DE 9X19X19CM (UNIDADE: BLOCOXKM). AF_07/2019</t>
  </si>
  <si>
    <t>100220</t>
  </si>
  <si>
    <t>TRANSPORTE HORIZONTAL MANUAL, DE CAIXA COM REVESTIMENTO CERÂMICO (UNIDADE: M2XKM). AF_07/2019</t>
  </si>
  <si>
    <t>M2XKM</t>
  </si>
  <si>
    <t>100221</t>
  </si>
  <si>
    <t>TRANSPORTE HORIZONTAL COM CARRINHO DE MÃO, DE CAIXA COM REVESTIMENTO CERÂMICO (UNIDADE: M2XKM). AF_07/2019</t>
  </si>
  <si>
    <t>100222</t>
  </si>
  <si>
    <t>TRANSPORTE HORIZONTAL COM CARRINHO PLATAFORMA, DE CAIXA COM REVESTIMENTO CERÂMICO (UNIDADE: M2XKM). AF_07/2019</t>
  </si>
  <si>
    <t>100223</t>
  </si>
  <si>
    <t>TRANSPORTE HORIZONTAL COM CARRINHO MINI PÁLETES, DE CAIXA COM REVESTIMENTO CERÂMICO (UNIDADE: M2XKM). AF_07/2019</t>
  </si>
  <si>
    <t>100224</t>
  </si>
  <si>
    <t>TRANSPORTE HORIZONTAL COM MANIPULADOR TELESCÓPICO, DE CAIXA COM REVESTIMENTO CERÂMICO (UNIDADE: M2XKM). AF_07/2019</t>
  </si>
  <si>
    <t>100225</t>
  </si>
  <si>
    <t>TRANSPORTE HORIZONTAL MANUAL, DE LATA DE 18 LITROS (UNIDADE: LXKM). AF_07/2019</t>
  </si>
  <si>
    <t>LXKM</t>
  </si>
  <si>
    <t>1,53</t>
  </si>
  <si>
    <t>100226</t>
  </si>
  <si>
    <t>TRANSPORTE HORIZONTAL COM CARRINHO PLATAFORMA, DE LATA DE 18 LITROS (UNIDADE: LXKM). AF_07/2019</t>
  </si>
  <si>
    <t>100227</t>
  </si>
  <si>
    <t>TRANSPORTE HORIZONTAL COM CARRINHO RACIONAL, DE LATA DE 18 LITROS (UNIDADE: LXKM). AF_07/2019</t>
  </si>
  <si>
    <t>100228</t>
  </si>
  <si>
    <t>TRANSPORTE HORIZONTAL COM MANIPULADOR TELESCÓPICO, DE LATA DE 18 LITROS (UNIDADE: LXKM). AF_07/2019</t>
  </si>
  <si>
    <t>100229</t>
  </si>
  <si>
    <t>TRANSPORTE VERTICAL MANUAL, 1 PAVIMENTO, DE SACOS DE 50 KG (UNIDADE: KG). AF_07/2019</t>
  </si>
  <si>
    <t>100230</t>
  </si>
  <si>
    <t>TRANSPORTE VERTICAL MANUAL, 1 PAVIMENTO, DE SACOS DE 30 KG (UNIDADE: KG). AF_07/2019</t>
  </si>
  <si>
    <t>100231</t>
  </si>
  <si>
    <t>TRANSPORTE VERTICAL MANUAL, 1 PAVIMENTO, DE SACOS DE 20 KG (UNIDADE: KG). AF_07/2019</t>
  </si>
  <si>
    <t>100232</t>
  </si>
  <si>
    <t>TRANSPORTE VERTICAL MANUAL, 1 PAVIMENTO, DE BLOCOS VAZADOS DE CONCRETO OU CERÂMICO DE 19X19X39CM (UNIDADE: BLOCO). AF_07/2019</t>
  </si>
  <si>
    <t>100233</t>
  </si>
  <si>
    <t>TRANSPORTE VERTICAL MANUAL, 1 PAVIMENTO, DE BLOCOS CERÂMICOS FURADOS NA HORIZONTAL DE 9X19X19CM (UNIDADE: BLOCO). AF_07/2019</t>
  </si>
  <si>
    <t>100234</t>
  </si>
  <si>
    <t>TRANSPORTE VERTICAL MANUAL, 1 PAVIMENTO, DE CAIXA COM REVESTIMENTO CERÂMICO (UNIDADE: M2). AF_07/2019</t>
  </si>
  <si>
    <t>100235</t>
  </si>
  <si>
    <t>TRANSPORTE VERTICAL MANUAL, 1 PAVIMENTO, DE LATA DE 18 LITROS (UNIDADE: L). AF_07/2019</t>
  </si>
  <si>
    <t>100236</t>
  </si>
  <si>
    <t>TRANSPORTE HORIZONTAL MANUAL, DE TUBO DE PVC SOLDÁVEL COM DIÂMETRO MENOR OU IGUAL A 60 MM (UNIDADE: MXKM). AF_07/2019</t>
  </si>
  <si>
    <t>100237</t>
  </si>
  <si>
    <t>TRANSPORTE HORIZONTAL MANUAL, DE TUBO DE PVC SOLDÁVEL COM DIÂMETRO MAIOR QUE 60 MM E MENOR OU IGUAL A 85 MM (UNIDADE: MXKM). AF_07/2019</t>
  </si>
  <si>
    <t>100238</t>
  </si>
  <si>
    <t>TRANSPORTE HORIZONTAL MANUAL, DE TUBO DE CPVC COM DIÂMETRO MENOR OU IGUAL A 73 MM (UNIDADE: MXKM). AF_07/2019</t>
  </si>
  <si>
    <t>100239</t>
  </si>
  <si>
    <t>TRANSPORTE HORIZONTAL MANUAL, DE TUBO DE CPVC COM DIÂMETRO MAIOR QUE 73 MM E MENOR OU IGUAL A 89 MM (UNIDADE: MXKM). AF_07/2019</t>
  </si>
  <si>
    <t>100240</t>
  </si>
  <si>
    <t>TRANSPORTE HORIZONTAL MANUAL, DE TUBO DE PPR - PN12 OU PN25 - COM DIÂMETRO MENOR OU IGUAL A 50 MM (UNIDADE: MXKM). AF_07/2019</t>
  </si>
  <si>
    <t>100241</t>
  </si>
  <si>
    <t>TRANSPORTE HORIZONTAL MANUAL, DE TUBO DE PPR - PN12 OU PN25 - COM DIÂMETRO MAIOR QUE 50 MM E MENOR OU IGUAL A 75 MM (UNIDADE: MXKM). AF_07/2019</t>
  </si>
  <si>
    <t>100242</t>
  </si>
  <si>
    <t>TRANSPORTE HORIZONTAL MANUAL, DE TUBO DE PPR - PN12 OU PN25 - COM DIÂMETRO MAIOR QUE 75 MM E MENOR OU IGUAL A 110 MM (UNIDADE: MXKM). AF_07/2019</t>
  </si>
  <si>
    <t>100243</t>
  </si>
  <si>
    <t>TRANSPORTE HORIZONTAL MANUAL, DE TUBO DE COBRE - CLASSE E - COM DIÂMETRO MENOR OU IGUAL A 54 MM (UNIDADE: MXKM). AF_07/2019</t>
  </si>
  <si>
    <t>100244</t>
  </si>
  <si>
    <t>TRANSPORTE HORIZONTAL MANUAL, DE TUBO DE COBRE - CLASSE E - COM DIÂMETRO MAIOR QUE 54 MM E MENOR OU IGUAL A 79 MM (UNIDADE: MXKM). AF_07/2019</t>
  </si>
  <si>
    <t>100245</t>
  </si>
  <si>
    <t>TRANSPORTE HORIZONTAL MANUAL, DE TUBO DE COBRE - CLASSE E - COM DIÂMETRO MAIOR QUE 79 MM E MENOR OU IGUAL A 104 MM (UNIDADE: MXKM). AF_07/2019</t>
  </si>
  <si>
    <t>100246</t>
  </si>
  <si>
    <t>TRANSPORTE HORIZONTAL MANUAL, DE TUBO DE PVC SÉRIE NORMAL - ESGOTO PREDIAL, OU REFORÇADO PARA ESGOTO OU ÁGUAS PLUVIAIS PREDIAL, COM DIÂMETRO MENOR OU IGUAL A 75 MM (UNIDADE: MXKM). AF_07/2019</t>
  </si>
  <si>
    <t>2,05</t>
  </si>
  <si>
    <t>100247</t>
  </si>
  <si>
    <t>TRANSPORTE HORIZONTAL MANUAL, DE TUBO DE PVC SÉRIE NORMAL - ESGOTO PREDIAL, OU REFORÇADO PARA ESGOTO OU ÁGUAS PLUVIAIS PREDIAL, COM DIÂMETRO MAIOR QUE 75 MM E MENOR OU IGUAL A 100 MM (UNIDADE: MXKM). AF_07/2019</t>
  </si>
  <si>
    <t>100248</t>
  </si>
  <si>
    <t>TRANSPORTE HORIZONTAL MANUAL, DE TUBO DE PVC SÉRIE NORMAL - ESGOTO PREDIAL, OU REFORÇADO PARA ESGOTO OU ÁGUAS PLUVIAIS PREDIAL, COM DIÂMETRO MAIOR QUE 100 MM E MENOR OU IGUAL A 150 MM (UNIDADE: MXKM). AF_07/2019</t>
  </si>
  <si>
    <t>100249</t>
  </si>
  <si>
    <t>TRANSPORTE HORIZONTAL MANUAL, DE TUBO DE AÇO CARBONO LEVE OU MÉDIO, PRETO OU GALVANIZADO, COM DIÂMETRO MENOR OU IGUAL A 20 MM (UNIDADE: MXKM). AF_07/2019</t>
  </si>
  <si>
    <t>100250</t>
  </si>
  <si>
    <t>TRANSPORTE HORIZONTAL MANUAL, DE TUBO DE AÇO CARBONO LEVE OU MÉDIO, PRETO OU GALVANIZADO, COM DIÂMETRO MAIOR QUE 20 MM E MENOR OU IGUAL A 32 MM (UNIDADE: MXKM). AF_07/2019</t>
  </si>
  <si>
    <t>100251</t>
  </si>
  <si>
    <t>100252</t>
  </si>
  <si>
    <t>TRANSPORTE HORIZONTAL MANUAL, DE TUBO DE AÇO CARBONO LEVE OU MÉDIO, PRETO OU GALVANIZADO, COM DIÂMETRO MAIOR QUE 65 MM E MENOR OU IGUAL A 90 MM (UNIDADE: MXKM). AF_07/2019</t>
  </si>
  <si>
    <t>100253</t>
  </si>
  <si>
    <t>TRANSPORTE HORIZONTAL MANUAL, DE TUBO DE AÇO CARBONO LEVE OU MÉDIO, PRETO OU GALVANIZADO, COM DIÂMETRO MAIOR QUE 90 MM E MENOR OU IGUAL A 125 MM (UNIDADE: MXKM). AF_07/2019</t>
  </si>
  <si>
    <t>100254</t>
  </si>
  <si>
    <t>TRANSPORTE HORIZONTAL MANUAL, DE TUBO DE AÇO CARBONO LEVE OU MÉDIO, PRETO OU GALVANIZADO, COM DIÂMETRO MAIOR QUE 125 MM E MENOR OU IGUAL A 150 MM (UNIDADE: MXKM). AF_07/2019</t>
  </si>
  <si>
    <t>100255</t>
  </si>
  <si>
    <t>TRANSPORTE HORIZONTAL MANUAL, DE TÁBUAS DE MADEIRA COM SEÇÃO TRANSVERSAL DE 2,5 X 25 CM E 2,5 X 30 CM (UNIDADE: MXKM). AF_07/2019</t>
  </si>
  <si>
    <t>100256</t>
  </si>
  <si>
    <t>TRANSPORTE HORIZONTAL MANUAL, DE CAIBROS DE MADEIRA COM SEÇÃO TRANSVERSAL DE 7,5 X 6 CM E 6 X 8 CM (UNIDADE: MXKM). AF_07/2019</t>
  </si>
  <si>
    <t>100257</t>
  </si>
  <si>
    <t>TRANSPORTE HORIZONTAL MANUAL, DE RIPAS DE MADEIRA COM SEÇÃO TRANSVERSAL DE 1 X 5 CM E 2 X 5 CM (UNIDADE: MXKM). AF_07/2019</t>
  </si>
  <si>
    <t>100258</t>
  </si>
  <si>
    <t>TRANSPORTE HORIZONTAL MANUAL, DE VIGAS DE MADEIRA COM SEÇÃO TRANSVERSAL DE 5 X 12 CM (UNIDADE: MXKM). AF_07/2019</t>
  </si>
  <si>
    <t>100259</t>
  </si>
  <si>
    <t>TRANSPORTE HORIZONTAL MANUAL, DE VIGAS DE MADEIRA COM SEÇÃO TRANSVERSAL DE 6 X 16 CM (UNIDADE: MXKM). AF_07/2019</t>
  </si>
  <si>
    <t>100260</t>
  </si>
  <si>
    <t>TRANSPORTE HORIZONTAL MANUAL, DE VERGALHÕES DE AÇO COM DIÂMETRO DE 5 MM (UNIDADE: KGXKM). AF_07/2019</t>
  </si>
  <si>
    <t>100261</t>
  </si>
  <si>
    <t>TRANSPORTE HORIZONTAL MANUAL, DE VERGALHÕES DE AÇO COM DIÂMETRO DE 6,3 MM (UNIDADE: KGXKM). AF_07/2019</t>
  </si>
  <si>
    <t>100262</t>
  </si>
  <si>
    <t>TRANSPORTE HORIZONTAL MANUAL, DE VERGALHÕES DE AÇO COM DIÂMETRO DE 8 MM (UNIDADE: KGXKM). AF_07/2019</t>
  </si>
  <si>
    <t>100263</t>
  </si>
  <si>
    <t>TRANSPORTE HORIZONTAL MANUAL, DE VERGALHÕES DE AÇO COM DIÂMETRO DE 10 MM; 12,5 MM; 16 MM; 20 MM; 25 MM OU 32 MM (UNIDADE: KGXKM). AF_07/2019</t>
  </si>
  <si>
    <t>100264</t>
  </si>
  <si>
    <t>TRANSPORTE HORIZONTAL MANUAL, DE JANELA (UNIDADE: M2XKM). AF_07/2019</t>
  </si>
  <si>
    <t>100265</t>
  </si>
  <si>
    <t>TRANSPORTE VERTICAL MANUAL, 1 PAVIMENTO, DE JANELA (UNIDADE: M2). AF_07/2019</t>
  </si>
  <si>
    <t>0,58</t>
  </si>
  <si>
    <t>100266</t>
  </si>
  <si>
    <t>TRANSPORTE HORIZONTAL MANUAL, DE PORTA (UNIDADE: UNIDXKM). AF_07/2019</t>
  </si>
  <si>
    <t>100267</t>
  </si>
  <si>
    <t>TRANSPORTE VERTICAL MANUAL, 1 PAVIMENTO, DE PORTA (UNIDADE: UNID). AF_07/2019</t>
  </si>
  <si>
    <t>100268</t>
  </si>
  <si>
    <t>TRANSPORTE HORIZONTAL MANUAL, DE BANCADA DE MÁRMORE OU GRANITO PARA COZINHA/LAVATÓRIO OU MÁRMORE SINTÉTICO COM CUBA INTEGRADA (UNIDADE: UNIDXKM). AF_07/2019</t>
  </si>
  <si>
    <t>100269</t>
  </si>
  <si>
    <t>TRANSPORTE VERTICAL, BANCADA DE MÁRMORE OU GRANITO PARA COZINHA/LAVATÓRIO OU MÁRMORE SINTÉTICO COM CUBA INTEGRADA, MANUAL, 1 PAVIMENTO, (UNIDADE: UNID). AF_07/2019</t>
  </si>
  <si>
    <t>100270</t>
  </si>
  <si>
    <t>TRANSPORTE HORIZONTAL COM CARRINHO PLATAFORMA, DE BANCADA DE MÁRMORE OU GRANITO PARA COZINHA/LAVATÓRIO OU MÁRMORE SINTÉTICO COM CUBA INTEGRADA (UNIDADE: UNIDXKM). AF_07/2019</t>
  </si>
  <si>
    <t>100271</t>
  </si>
  <si>
    <t>TRANSPORTE HORIZONTAL MANUAL, DE VIDRO (UNIDADE: M2XKM). AF_07/2019</t>
  </si>
  <si>
    <t>100272</t>
  </si>
  <si>
    <t>TRANSPORTE VERTICAL MANUAL, 1 PAVIMENTO, DE VIDRO (UNIDADE: M2). AF_07/2019</t>
  </si>
  <si>
    <t>100273</t>
  </si>
  <si>
    <t>TRANSPORTE HORIZONTAL MANUAL, DE TELA DE AÇO (UNIDADE: KGXKM). AF_07/2019</t>
  </si>
  <si>
    <t>100274</t>
  </si>
  <si>
    <t>TRANSPORTE HORIZONTAL MANUAL, DE COMPENSADO DE MADEIRA (UNIDADE: M2XKM). AF_07/2019</t>
  </si>
  <si>
    <t>100275</t>
  </si>
  <si>
    <t>TRANSPORTE HORIZONTAL MANUAL, DE TELHA TERMOACÚSTICA OU TELHA DE AÇO ZINCADO (UNIDADE: M2XKM). AF_07/2019</t>
  </si>
  <si>
    <t>100276</t>
  </si>
  <si>
    <t>TRANSPORTE HORIZONTAL MANUAL, DE TELHA DE FIBROCIMENTO OU TELHA ESTRUTURAL DE FIBROCIMENTO, CANALETE 90 OU KALHETÃO (UNIDADE: M2XKM). AF_07/2019</t>
  </si>
  <si>
    <t>100277</t>
  </si>
  <si>
    <t>TRANSPORTE HORIZONTAL COM MANIPULADOR TELESCÓPICO, DE TELHAS TERMOACÚSTICAS, FIBROCIMENTO, AÇO ZINCADO, FIBROCIMENTO ESTRUTURAL, CANALETE 90 OU KALHETÃO (UNIDADE: M2XKM). AF_07/2019</t>
  </si>
  <si>
    <t>100278</t>
  </si>
  <si>
    <t>TRANSPORTE HORIZONTAL MANUAL, DE BACIA SANITÁRIA, CAIXA ACOPLADA, TANQUE OU PIA (UNIDADE: UNIDXKM). AF_07/2019</t>
  </si>
  <si>
    <t>100279</t>
  </si>
  <si>
    <t>TRANSPORTE VERTICAL MANUAL, 1 PAVIMENTO, DE BACIA SANITÁRIA, CAIXA ACOPLADA, TANQUE OU PIA (UNIDADE: UNID). AF_07/2019</t>
  </si>
  <si>
    <t>100280</t>
  </si>
  <si>
    <t>TRANSPORTE HORIZONTAL COM CARRINHO PLATAFORMA, DE BACIA SANITÁRIA, CAIXA ACOPLADA, TANQUE OU PIA (UNIDADE: UNIDXKM). AF_07/2019</t>
  </si>
  <si>
    <t>100281</t>
  </si>
  <si>
    <t>TRANSPORTE HORIZONTAL COM MANIPULADOR TELESCÓPICO, DE BACIA SANITÁRIA, CAIXA ACOPLADA, TANQUE OU PIA (UNIDADE: UNIDXKM). AF_07/2019</t>
  </si>
  <si>
    <t>100282</t>
  </si>
  <si>
    <t>TRANSPORTE HORIZONTAL MANUAL, DE TELHA DE CONCRETO OU CERÂMICA (UNIDADE: M2XKM). AF_07/2019</t>
  </si>
  <si>
    <t>100283</t>
  </si>
  <si>
    <t>TRANSPORTE HORIZONTAL COM CARRINHO PLATAFORMA, DE TELHA DE CONCRETO OU CERÂMICA (UNIDADE: M2XKM). AF_07/2019</t>
  </si>
  <si>
    <t>100284</t>
  </si>
  <si>
    <t>TRANSPORTE HORIZONTAL COM MANIPULADOR TELESCÓPICO, DE TELHA DE CONCRETO OU CERÂMICA (UNIDADE: M2XKM). AF_07/2019</t>
  </si>
  <si>
    <t>100285</t>
  </si>
  <si>
    <t>TRANSPORTE HORIZONTAL MANUAL, DE BARRAMENTO BLINDADO (UNIDADE: MXKM). AF_07/2019</t>
  </si>
  <si>
    <t>100286</t>
  </si>
  <si>
    <t>TRANSPORTE HORIZONTAL COM CARRINHO PLATAFORMA, DE BARRAMENTO BLINDADO (UNIDADE: MXKM). AF_07/2019</t>
  </si>
  <si>
    <t>100287</t>
  </si>
  <si>
    <t>TRANSPORTE HORIZONTAL MANUAL, DE CALHA QUADRADA NÚMERO 24  CORTE 33 (UNIDADE: MXKM). AF_07/2019</t>
  </si>
  <si>
    <t>99802</t>
  </si>
  <si>
    <t>LIMPEZA DE PISO CERÂMICO OU PORCELANATO COM VASSOURA A SECO. AF_04/2019</t>
  </si>
  <si>
    <t>99803</t>
  </si>
  <si>
    <t>LIMPEZA DE PISO CERÂMICO OU PORCELANATO COM PANO ÚMIDO. AF_04/2019</t>
  </si>
  <si>
    <t>1,60</t>
  </si>
  <si>
    <t>99805</t>
  </si>
  <si>
    <t>LIMPEZA DE PISO CERÂMICO OU COM PEDRAS RÚSTICAS UTILIZANDO ÁCIDO MURIÁTICO. AF_04/2019</t>
  </si>
  <si>
    <t>99806</t>
  </si>
  <si>
    <t>LIMPEZA DE REVESTIMENTO CERÂMICO EM PAREDE COM PANO ÚMIDO AF_04/2019</t>
  </si>
  <si>
    <t>99808</t>
  </si>
  <si>
    <t>LIMPEZA DE REVESTIMENTO CERÂMICO EM PAREDE UTILIZANDO ÁCIDO MURIÁTICO. AF_04/2019</t>
  </si>
  <si>
    <t>99809</t>
  </si>
  <si>
    <t>LIMPEZA DE PISO DE LADRILHO HIDRÁULICO COM PANO ÚMIDO. AF_04/2019</t>
  </si>
  <si>
    <t>99811</t>
  </si>
  <si>
    <t>LIMPEZA DE CONTRAPISO COM VASSOURA A SECO. AF_04/2019</t>
  </si>
  <si>
    <t>99812</t>
  </si>
  <si>
    <t>LIMPEZA DE LADRILHO HIDRÁULICO EM PAREDE COM PANO ÚMIDO. AF_04/2019</t>
  </si>
  <si>
    <t>99814</t>
  </si>
  <si>
    <t>LIMPEZA DE SUPERFÍCIE COM JATO DE ALTA PRESSÃO. AF_04/2019</t>
  </si>
  <si>
    <t>1,48</t>
  </si>
  <si>
    <t>99822</t>
  </si>
  <si>
    <t>LIMPEZA DE PORTA DE MADEIRA. AF_04/2019</t>
  </si>
  <si>
    <t>99826</t>
  </si>
  <si>
    <t>LIMPEZA DE FORRO REMOVÍVEL COM PANO ÚMIDO. AF_04/2019</t>
  </si>
  <si>
    <t>1,08</t>
  </si>
  <si>
    <t>97010</t>
  </si>
  <si>
    <t>GUARDA-CORPO FIXADO EM FÔRMA DE MADEIRA COM TRAVESSÕES EM MADEIRA PREGADA E FECHAMENTO EM TELA DE POLIPROPILENO PARA EDIFICAÇÕES COM ATÉ 2 PAVIMENTOS. AF_11/2017</t>
  </si>
  <si>
    <t>97011</t>
  </si>
  <si>
    <t>GUARDA-CORPO FIXADO EM FÔRMA DE MADEIRA COM TRAVESSÕES EM MADEIRA PREGADA E FECHAMENTO EM TELA DE POLIPROPILENO PARA EDIFICAÇÕES COM  3 PAVIMENTOS. AF_11/2017</t>
  </si>
  <si>
    <t>97012</t>
  </si>
  <si>
    <t>GUARDA-CORPO FIXADO EM FÔRMA DE MADEIRA COM TRAVESSÕES EM MADEIRA PREGADA E FECHAMENTO EM TELA DE POLIPROPILENO PARA EDIFICAÇÕES COM ALTURA IGUAL OU SUPERIOR A 4 PAVIMENTOS. AF_11/2017</t>
  </si>
  <si>
    <t>97013</t>
  </si>
  <si>
    <t>GUARDA-CORPO FIXADO EM FÔRMA DE MADEIRA COM TRAVESSÕES EM MADEIRA PREGADA E FECHAMENTO EM PAINEL COMPENSADO PARA EDIFICAÇÕES COM ATÉ 2 PAVIMENTOS. AF_11/2017</t>
  </si>
  <si>
    <t>97014</t>
  </si>
  <si>
    <t>GUARDA-CORPO FIXADO EM FÔRMA DE MADEIRA COM TRAVESSÕES EM MADEIRA PREGADA E FECHAMENTO EM PAINEL COMPENSADO PARA EDIFICAÇÕES COM 3 PAVIMENTOS. AF_11/2017</t>
  </si>
  <si>
    <t>97015</t>
  </si>
  <si>
    <t>GUARDA-CORPO FIXADO EM FÔRMA DE MADEIRA COM TRAVESSÕES EM MADEIRA PREGADA E FECHAMENTO EM PAINEL COMPENSADO PARA EDIFICAÇÕES COM ALTURA IGUAL OU SUPERIOR A 4 PAVIMENTOS. AF_11/2017</t>
  </si>
  <si>
    <t>97016</t>
  </si>
  <si>
    <t>GUARDA-CORPO FIXADO EM FÔRMA DE MADEIRA COM TRAVESSÕES EM MADEIRA PREGADA PRÉ-MONTADA E ENCAIXE NA FÔRMA. PARA EDIFICAÇÕES COM ATÉ 2 PAVIMENTOS. AF_11/2017</t>
  </si>
  <si>
    <t>97017</t>
  </si>
  <si>
    <t>GUARDA-CORPO FIXADO EM FÔRMA DE MADEIRA COM TRAVESSÕES EM MADEIRA PREGADA PRÉ-MONTADA E ENCAIXE NA FÔRMA PARA EDIFICAÇÕES COM 3 PAVIMENTOS. AF_11/2017</t>
  </si>
  <si>
    <t>97018</t>
  </si>
  <si>
    <t>GUARDA-CORPO FIXADO EM FÔRMA DE MADEIRA COM TRAVESSÕES EM MADEIRA PREGADA PRÉ-MONTADA E ENCAIXE NA FÔRMA. PARA EDIFICAÇÕES COM ALTURA IGUAL OU SUPERIOR A 4 PAVIMENTOS. AF_11/2017</t>
  </si>
  <si>
    <t>97031</t>
  </si>
  <si>
    <t>GUARDA-CORPO EM LAJE PÓS-DESFÔRMA, PARA ESTRUTURAS EM CONCRETO, COM ESCORAS DE MADEIRA ESTRONCADAS NA ESTRUTURA, TRAVESSÕES DE MADEIRA PREGADOS E FECHAMENTO EM TELA DE POLIPROPILENO PARA EDIFICAÇÕES COM ALTURA ATÉ 4 PAVIMENTOS (1 MONTAGEM POR OBRA). AF_11/2017</t>
  </si>
  <si>
    <t>97032</t>
  </si>
  <si>
    <t>GUARDA-CORPO EM LAJE PÓS-DESFÔRMA, PARA ESTRUTURAS EM CONCRETO, COM ESCORAS DE MADEIRA ESTRONCADAS NA ESTRUTURA, TRAVESSÕES DE MADEIRA PREGADOS E FECHAMENTO EM TELA DE POLIPROPILENO PARA EDIFICAÇÕES ACIMA DE 4 PAV. (2 MONTAGENS POR OBRA). AF_11/2017</t>
  </si>
  <si>
    <t>97033</t>
  </si>
  <si>
    <t>GUARDA-CORPO EM LAJE PÓS-DESFORMA, PARA ESTRUTURAS EM CONCRETO, COM ESCORAS METÁLICAS ESTRONCADAS NA ESTRUTURA, TRAVESSÕES DE MADEIRA E FECHAMENTO EM TELA DE POLIPROPILENO PARA EDIFICAÇÕES COM ALTURA ATÉ 4 PAVIMENTOS (1 MONTAGEM POR OBRA). AF_11/2017</t>
  </si>
  <si>
    <t>97034</t>
  </si>
  <si>
    <t>GUARDA-CORPO EM LAJE PÓS-DESFORMA, PARA ESTRUTURAS EM CONCRETO, COM ESCORAS METÁLICAS ESTRONCADAS NA ESTRUTURA, TRAVESSÕES DE MADEIRA E FECHAMENTO EM TELA DE POLIPROPILENO PARA EDIFICAÇÕES ACIMA DE 4 PAVIMENTOS (2 MONTAGENS POR OBRA). AF_11/2017</t>
  </si>
  <si>
    <t>97039</t>
  </si>
  <si>
    <t>FECHAMENTO REMOVÍVEL DE VÃO DE PORTAS, EM MADEIRA (VÃO DO ELEVADOR)  1 MONTAGEM EM OBRA. AF_11/2017</t>
  </si>
  <si>
    <t>97040</t>
  </si>
  <si>
    <t>FECHAMENTO REMOVÍVEL DE ABERTURA DE CAIXILHO, EM MADEIRA  4 MONTAGENS EM OBRA. AF_11/2017</t>
  </si>
  <si>
    <t>97041</t>
  </si>
  <si>
    <t>FECHAMENTO REMOVÍVEL DE ABERTURA NO PISO, EM MADEIRA  1 MONTAGEM EM OBRA. AF_11/2017</t>
  </si>
  <si>
    <t>97046</t>
  </si>
  <si>
    <t>PONTEIRAS DE PROTEÇÃO DE VERGALHÕES EXPOSTOS EM FUNDAÇÕES. AF_11/2017</t>
  </si>
  <si>
    <t>97047</t>
  </si>
  <si>
    <t>PONTEIRAS DE PROTEÇÃO DE VERGALHÕES EXPOSTOS EM ESTRUTURAS DE CONCRETO ARMADO CONVENCIONAL. AF_11/2017</t>
  </si>
  <si>
    <t>97048</t>
  </si>
  <si>
    <t>PONTEIRAS DE PROTEÇÃO DE VERGALHÕES EXPOSTOS EM ALVENARIA ESTRUTURAL. AF_11/2017</t>
  </si>
  <si>
    <t>97062</t>
  </si>
  <si>
    <t>COLOCAÇÃO DE TELA EM ANDAIME FACHADEIRO. AF_11/2017</t>
  </si>
  <si>
    <t>97063</t>
  </si>
  <si>
    <t>MONTAGEM E DESMONTAGEM DE ANDAIME MODULAR FACHADEIRO, COM PISO METÁLICO, PARA EDIFICAÇÕES COM MÚLTIPLOS PAVIMENTOS (EXCLUSIVE ANDAIME E LIMPEZA). AF_11/2017</t>
  </si>
  <si>
    <t>97064</t>
  </si>
  <si>
    <t>MONTAGEM E DESMONTAGEM DE ANDAIME TUBULAR TIPO TORRE (EXCLUSIVE ANDAIME E LIMPEZA). AF_11/2017</t>
  </si>
  <si>
    <t>97065</t>
  </si>
  <si>
    <t>MONTAGEM E DESMONTAGEM DE ANDAIME MULTIDIRECIONAL (EXCLUSIVE ANDAIME E LIMPEZA). AF_11/2017</t>
  </si>
  <si>
    <t>97066</t>
  </si>
  <si>
    <t>COBERTURA PARA PROTEÇÃO DE PEDESTRES SOBRE ESTRUTURA DE ANDAIME, INCLUSIVE MONTAGEM E DESMONTAGEM. AF_11/2017</t>
  </si>
  <si>
    <t>97067</t>
  </si>
  <si>
    <t>PLATAFORMA DE PROTEÇÃO PRINCIPAL PARA ALVENARIA ESTRUTURAL PARA SER APOIADA EM ANDAIME, INCLUSIVE MONTAGEM E DESMONTAGEM. AF_11/2017</t>
  </si>
  <si>
    <t>12,40</t>
  </si>
  <si>
    <t>97621</t>
  </si>
  <si>
    <t>DEMOLIÇÃO DE ALVENARIA DE BLOCO FURADO, DE FORMA MANUAL, COM REAPROVEITAMENTO. AF_12/2017</t>
  </si>
  <si>
    <t>97622</t>
  </si>
  <si>
    <t>DEMOLIÇÃO DE ALVENARIA DE BLOCO FURADO, DE FORMA MANUAL, SEM REAPROVEITAMENTO. AF_12/2017</t>
  </si>
  <si>
    <t>97623</t>
  </si>
  <si>
    <t>DEMOLIÇÃO DE ALVENARIA DE TIJOLO MACIÇO, DE FORMA MANUAL, COM REAPROVEITAMENTO. AF_12/2017</t>
  </si>
  <si>
    <t>97624</t>
  </si>
  <si>
    <t>DEMOLIÇÃO DE ALVENARIA DE TIJOLO MACIÇO, DE FORMA MANUAL, SEM REAPROVEITAMENTO. AF_12/2017</t>
  </si>
  <si>
    <t>97625</t>
  </si>
  <si>
    <t>DEMOLIÇÃO DE ALVENARIA PARA QUALQUER TIPO DE BLOCO, DE FORMA MECANIZADA, SEM REAPROVEITAMENTO. AF_12/2017</t>
  </si>
  <si>
    <t>97626</t>
  </si>
  <si>
    <t>DEMOLIÇÃO DE PILARES E VIGAS EM CONCRETO ARMADO, DE FORMA MANUAL, SEM REAPROVEITAMENTO. AF_12/2017</t>
  </si>
  <si>
    <t>97627</t>
  </si>
  <si>
    <t>DEMOLIÇÃO DE PILARES E VIGAS EM CONCRETO ARMADO, DE FORMA MECANIZADA COM MARTELETE, SEM REAPROVEITAMENTO. AF_12/2017</t>
  </si>
  <si>
    <t>97628</t>
  </si>
  <si>
    <t>DEMOLIÇÃO DE LAJES, DE FORMA MANUAL, SEM REAPROVEITAMENTO. AF_12/2017</t>
  </si>
  <si>
    <t>97629</t>
  </si>
  <si>
    <t>DEMOLIÇÃO DE LAJES, DE FORMA MECANIZADA COM MARTELETE, SEM REAPROVEITAMENTO. AF_12/2017</t>
  </si>
  <si>
    <t>97631</t>
  </si>
  <si>
    <t>DEMOLIÇÃO DE ARGAMASSAS, DE FORMA MANUAL, SEM REAPROVEITAMENTO. AF_12/2017</t>
  </si>
  <si>
    <t>97632</t>
  </si>
  <si>
    <t>DEMOLIÇÃO DE RODAPÉ CERÂMICO, DE FORMA MANUAL, SEM REAPROVEITAMENTO. AF_12/2017</t>
  </si>
  <si>
    <t>97633</t>
  </si>
  <si>
    <t>DEMOLIÇÃO DE REVESTIMENTO CERÂMICO, DE FORMA MANUAL, SEM REAPROVEITAMENTO. AF_12/2017</t>
  </si>
  <si>
    <t>97634</t>
  </si>
  <si>
    <t>DEMOLIÇÃO DE REVESTIMENTO CERÂMICO, DE FORMA MECANIZADA COM MARTELETE, SEM REAPROVEITAMENTO. AF_12/2017</t>
  </si>
  <si>
    <t>97635</t>
  </si>
  <si>
    <t>DEMOLIÇÃO DE PAVIMENTO INTERTRAVADO, DE FORMA MANUAL, COM REAPROVEITAMENTO. AF_12/2017</t>
  </si>
  <si>
    <t>97636</t>
  </si>
  <si>
    <t>DEMOLIÇÃO PARCIAL DE PAVIMENTO ASFÁLTICO, DE FORMA MECANIZADA, SEM REAPROVEITAMENTO. AF_12/2017</t>
  </si>
  <si>
    <t>97637</t>
  </si>
  <si>
    <t>REMOÇÃO DE TAPUME/ CHAPAS METÁLICAS E DE MADEIRA, DE FORMA MANUAL, SEM REAPROVEITAMENTO. AF_12/2017</t>
  </si>
  <si>
    <t>1,83</t>
  </si>
  <si>
    <t>97638</t>
  </si>
  <si>
    <t>REMOÇÃO DE CHAPAS E PERFIS DE DRYWALL, DE FORMA MANUAL, SEM REAPROVEITAMENTO. AF_12/2017</t>
  </si>
  <si>
    <t>97639</t>
  </si>
  <si>
    <t>REMOÇÃO DE PLACAS E PILARETES DE CONCRETO, DE FORMA MANUAL, SEM REAPROVEITAMENTO. AF_12/2017</t>
  </si>
  <si>
    <t>97640</t>
  </si>
  <si>
    <t>REMOÇÃO DE FORROS DE DRYWALL, PVC E FIBROMINERAL, DE FORMA MANUAL, SEM REAPROVEITAMENTO. AF_12/2017</t>
  </si>
  <si>
    <t>1,28</t>
  </si>
  <si>
    <t>97641</t>
  </si>
  <si>
    <t>REMOÇÃO DE FORRO DE GESSO, DE FORMA MANUAL, SEM REAPROVEITAMENTO. AF_12/2017</t>
  </si>
  <si>
    <t>97642</t>
  </si>
  <si>
    <t>REMOÇÃO DE TRAMA METÁLICA OU DE MADEIRA PARA FORRO, DE FORMA MANUAL, SEM REAPROVEITAMENTO. AF_12/2017</t>
  </si>
  <si>
    <t>97643</t>
  </si>
  <si>
    <t>REMOÇÃO DE PISO DE MADEIRA (ASSOALHO E BARROTE), DE FORMA MANUAL, SEM REAPROVEITAMENTO. AF_12/2017</t>
  </si>
  <si>
    <t>97644</t>
  </si>
  <si>
    <t>REMOÇÃO DE PORTAS, DE FORMA MANUAL, SEM REAPROVEITAMENTO. AF_12/2017</t>
  </si>
  <si>
    <t>97645</t>
  </si>
  <si>
    <t>REMOÇÃO DE JANELAS, DE FORMA MANUAL, SEM REAPROVEITAMENTO. AF_12/2017</t>
  </si>
  <si>
    <t>97647</t>
  </si>
  <si>
    <t>REMOÇÃO DE TELHAS, DE FIBROCIMENTO, METÁLICA E CERÂMICA, DE FORMA MANUAL, SEM REAPROVEITAMENTO. AF_12/2017</t>
  </si>
  <si>
    <t>97648</t>
  </si>
  <si>
    <t>REMOÇÃO DE PROTEÇÃO TÉRMICA PARA COBERTURA EM EPS, DE FORMA MANUAL, SEM REAPROVEITAMENTO. AF_12/2017</t>
  </si>
  <si>
    <t>1,44</t>
  </si>
  <si>
    <t>1,59</t>
  </si>
  <si>
    <t>97649</t>
  </si>
  <si>
    <t>REMOÇÃO DE TELHAS DE FIBROCIMENTO, METÁLICA E CERÂMICA, DE FORMA MECANIZADA, COM USO DE GUINDASTE, SEM REAPROVEITAMENTO. AF_12/2017</t>
  </si>
  <si>
    <t>97650</t>
  </si>
  <si>
    <t>REMOÇÃO DE TRAMA DE MADEIRA PARA COBERTURA, DE FORMA MANUAL, SEM REAPROVEITAMENTO. AF_12/2017</t>
  </si>
  <si>
    <t>97651</t>
  </si>
  <si>
    <t>REMOÇÃO DE TESOURAS DE MADEIRA, COM VÃO MENOR QUE 8M, DE FORMA MANUAL, SEM REAPROVEITAMENTO. AF_12/2017</t>
  </si>
  <si>
    <t>97652</t>
  </si>
  <si>
    <t>REMOÇÃO DE TESOURAS DE MADEIRA, COM VÃO MAIOR OU IGUAL A 8M, DE FORMA MANUAL, SEM REAPROVEITAMENTO. AF_12/2017</t>
  </si>
  <si>
    <t>97653</t>
  </si>
  <si>
    <t>REMOÇÃO DE TESOURAS DE MADEIRA, COM VÃO MENOR QUE 8M, DE FORMA MECANIZADA, COM REAPROVEITAMENTO. AF_12/2017</t>
  </si>
  <si>
    <t>97654</t>
  </si>
  <si>
    <t>REMOÇÃO DE TESOURAS DE MADEIRA, COM VÃO MAIOR OU IGUAL A 8M, DE FORMA MECANIZADA, COM REAPROVEITAMENTO. AF_12/2017</t>
  </si>
  <si>
    <t>97655</t>
  </si>
  <si>
    <t>REMOÇÃO DE TRAMA METÁLICA PARA COBERTURA, DE FORMA MANUAL, SEM REAPROVEITAMENTO. AF_12/2017</t>
  </si>
  <si>
    <t>97656</t>
  </si>
  <si>
    <t>REMOÇÃO DE TESOURAS METÁLICAS, COM VÃO MENOR QUE 8M, DE FORMA MANUAL, SEM REAPROVEITAMENTO. AF_12/2017</t>
  </si>
  <si>
    <t>97657</t>
  </si>
  <si>
    <t>REMOÇÃO DE TESOURAS METÁLICAS, COM VÃO MAIOR OU IGUAL A 8M, DE FORMA MANUAL, SEM REAPROVEITAMENTO. AF_12/2017</t>
  </si>
  <si>
    <t>97658</t>
  </si>
  <si>
    <t>REMOÇÃO DE TESOURAS METÁLICAS, COM VÃO MENOR QUE 8M, DE FORMA MECANIZADA, COM REAPROVEITAMENTO. AF_12/2017</t>
  </si>
  <si>
    <t>97659</t>
  </si>
  <si>
    <t>REMOÇÃO DE TESOURAS METÁLICAS, COM VÃO MAIOR OU IGUAL A 8M, DE FORMA MECANIZADA, COM REAPROVEITAMENTO. AF_12/2017</t>
  </si>
  <si>
    <t>97660</t>
  </si>
  <si>
    <t>REMOÇÃO DE INTERRUPTORES/TOMADAS ELÉTRICAS, DE FORMA MANUAL, SEM REAPROVEITAMENTO. AF_12/2017</t>
  </si>
  <si>
    <t>97661</t>
  </si>
  <si>
    <t>REMOÇÃO DE CABOS ELÉTRICOS, DE FORMA MANUAL, SEM REAPROVEITAMENTO. AF_12/2017</t>
  </si>
  <si>
    <t>97662</t>
  </si>
  <si>
    <t>REMOÇÃO DE TUBULAÇÕES (TUBOS E CONEXÕES) DE ÁGUA FRIA, DE FORMA MANUAL, SEM REAPROVEITAMENTO. AF_12/2017</t>
  </si>
  <si>
    <t>97663</t>
  </si>
  <si>
    <t>REMOÇÃO DE LOUÇAS, DE FORMA MANUAL, SEM REAPROVEITAMENTO. AF_12/2017</t>
  </si>
  <si>
    <t>97664</t>
  </si>
  <si>
    <t>REMOÇÃO DE ACESSÓRIOS, DE FORMA MANUAL, SEM REAPROVEITAMENTO. AF_12/2017</t>
  </si>
  <si>
    <t>97665</t>
  </si>
  <si>
    <t>REMOÇÃO DE LUMINÁRIAS, DE FORMA MANUAL, SEM REAPROVEITAMENTO. AF_12/2017</t>
  </si>
  <si>
    <t>0,91</t>
  </si>
  <si>
    <t>97666</t>
  </si>
  <si>
    <t>REMOÇÃO DE METAIS SANITÁRIOS, DE FORMA MANUAL, SEM REAPROVEITAMENTO. AF_12/2017</t>
  </si>
  <si>
    <t>95967</t>
  </si>
  <si>
    <t>SERVIÇOS TÉCNICOS ESPECIALIZADOS PARA ACOMPANHAMENTO DE EXECUÇÃO DE FUNDAÇÕES PROFUNDAS E ESTRUTURAS DE CONTENÇÃO</t>
  </si>
  <si>
    <t>99058</t>
  </si>
  <si>
    <t>LOCAÇÃO DE PONTO PARA REFERÊNCIA TOPOGRÁFICA. AF_10/2018</t>
  </si>
  <si>
    <t>99059</t>
  </si>
  <si>
    <t>LOCACAO CONVENCIONAL DE OBRA, UTILIZANDO GABARITO DE TÁBUAS CORRIDAS PONTALETADAS A CADA 2,00M -  2 UTILIZAÇÕES. AF_10/2018</t>
  </si>
  <si>
    <t>99060</t>
  </si>
  <si>
    <t>LOCAÇÃO COM CAVALETE COM ALTURA DE 1,00 M - 2 UTILIZAÇÕES. AF_10/2018</t>
  </si>
  <si>
    <t>99061</t>
  </si>
  <si>
    <t>LOCAÇÃO COM CAVALETE COM ALTURA DE 0,50 M - 2 UTILIZAÇÕES. AF_10/2018</t>
  </si>
  <si>
    <t>99062</t>
  </si>
  <si>
    <t>MARCAÇÃO DE PONTOS EM GABARITO OU CAVALETE. AF_10/2018</t>
  </si>
  <si>
    <t>99063</t>
  </si>
  <si>
    <t>LOCAÇÃO DE REDE DE ÁGUA OU ESGOTO. AF_10/2018</t>
  </si>
  <si>
    <t>99064</t>
  </si>
  <si>
    <t>LOCAÇÃO DE PAVIMENTAÇÃO. AF_10/2018</t>
  </si>
  <si>
    <t>93588</t>
  </si>
  <si>
    <t>1,26</t>
  </si>
  <si>
    <t>93589</t>
  </si>
  <si>
    <t>93590</t>
  </si>
  <si>
    <t>93591</t>
  </si>
  <si>
    <t>93592</t>
  </si>
  <si>
    <t>0,84</t>
  </si>
  <si>
    <t>93593</t>
  </si>
  <si>
    <t>93594</t>
  </si>
  <si>
    <t>0,82</t>
  </si>
  <si>
    <t>93595</t>
  </si>
  <si>
    <t>93596</t>
  </si>
  <si>
    <t>93597</t>
  </si>
  <si>
    <t>93598</t>
  </si>
  <si>
    <t>93599</t>
  </si>
  <si>
    <t>95425</t>
  </si>
  <si>
    <t>95426</t>
  </si>
  <si>
    <t>95427</t>
  </si>
  <si>
    <t>95428</t>
  </si>
  <si>
    <t>95429</t>
  </si>
  <si>
    <t>95430</t>
  </si>
  <si>
    <t>95875</t>
  </si>
  <si>
    <t>0,90</t>
  </si>
  <si>
    <t>95876</t>
  </si>
  <si>
    <t>95877</t>
  </si>
  <si>
    <t>95878</t>
  </si>
  <si>
    <t>95879</t>
  </si>
  <si>
    <t>95880</t>
  </si>
  <si>
    <t>97912</t>
  </si>
  <si>
    <t>97913</t>
  </si>
  <si>
    <t>97914</t>
  </si>
  <si>
    <t>97915</t>
  </si>
  <si>
    <t>101188</t>
  </si>
  <si>
    <t>RECOMPOSIÇÃO PARCIAL DE ARAME FARPADO Nº 14 CLASSE 250, FIXADO EM CERCA COM MOURÕES DE CONCRETO - FORNECIMENTO E INSTALAÇÃO. AF_05/2020</t>
  </si>
  <si>
    <t>101189</t>
  </si>
  <si>
    <t>CERCA COM MOURÕES DE CONCRETO, RETO, H=3,00 M, ESPAÇAMENTO DE 2,5 M, CRAVADOS 0,5 M, COM 4 FIOS DE ARAME FARPADO Nº 14 CLASSE 250 - FORNECIMENTO E INSTALAÇÃO. AF_05/2020</t>
  </si>
  <si>
    <t>101190</t>
  </si>
  <si>
    <t>CERCA COM MOURÕES DE CONCRETO, RETO, H=3,00 M, ESPAÇAMENTO DE 2,5 M, CRAVADOS 0,5 M, COM 4 FIOS DE ARAME DE AÇO OVALADO 15X17 - FORNECIMENTO E INSTALAÇÃO. AF_05/2020</t>
  </si>
  <si>
    <t>101191</t>
  </si>
  <si>
    <t>CERCA COM MOURÕES DE CONCRETO, RETO, H=3,00 M, ESPAÇAMENTO DE 2,5 M, CRAVADOS 0,5 M, COM 4 FIOS DE ARAME MISTO - FORNECIMENTO E INSTALAÇÃO. AF_05/2020</t>
  </si>
  <si>
    <t>101192</t>
  </si>
  <si>
    <t>CERCA COM MOURÕES DE CONCRETO, RETO, H=2,30 M, ESPAÇAMENTO DE 2,5 M, CRAVADOS 0,5 M, COM 4 FIOS DE ARAME FARPADO Nº 14 CLASSE 250 - FORNECIMENTO E INSTALAÇÃO. AF_05/2020</t>
  </si>
  <si>
    <t>101193</t>
  </si>
  <si>
    <t>CERCA COM MOURÕES DE CONCRETO, RETO, H=2,30 M, ESPAÇAMENTO DE 2,5 M, CRAVADOS 0,5 M, COM 4 FIOS DE ARAME DE AÇO OVALADO 15X17 - FORNECIMENTO E INSTALAÇÃO. AF_05/2020</t>
  </si>
  <si>
    <t>101194</t>
  </si>
  <si>
    <t>CERCA COM MOURÕES DE CONCRETO, RETO, H=2,30 M, ESPAÇAMENTO DE 2,5 M, CRAVADOS 0,5 M, COM 4 FIOS DE ARAME MISTO - FORNECIMENTO E INSTALAÇÃO. AF_05/2020</t>
  </si>
  <si>
    <t>101197</t>
  </si>
  <si>
    <t>CERCA COM MOURÕES DE CONCRETO, SEÇÃO "T" PONTA INCLINADA, 10X10 CM, ESPAÇAMENTO DE 2,5 M, CRAVADOS 0,5 M, COM 11 FIOS DE ARAME FARPADO Nº 14 - FORNECIMENTO E INSTALAÇÃO. AF_05/2020</t>
  </si>
  <si>
    <t>101198</t>
  </si>
  <si>
    <t>CERCA COM MOURÕES DE CONCRETO, SEÇÃO "T" PONTA INCLINADA, 10X10 CM, ESPAÇAMENTO DE 2,5 M, CRAVADOS 0,5 M, COM 11 FIOS DE ARAME DE AÇO OVALADO 15X17 - FORNECIMENTO E INSTALAÇÃO. AF_05/2020</t>
  </si>
  <si>
    <t>101199</t>
  </si>
  <si>
    <t>CERCA COM MOURÕES DE CONCRETO, SEÇÃO "T" PONTA INCLINADA, 10X10CM, ESPAÇAMENTO DE 2,5M, CRAVADOS 0,5M, COM 11 FIOS DE ARAME MISTO - FORNECIMENTO E INSTALAÇÃO. AF_05/2020</t>
  </si>
  <si>
    <t>101200</t>
  </si>
  <si>
    <t>CERCA COM MOURÕES DE MADEIRA, 7,5X7,5 CM, ESPAÇAMENTO DE 2,5 M, ALTURA LIVRE DE 2 M, CRAVADOS 0,5 M, COM 4 FIOS DE ARAME FARPADO Nº 14 CLASSE 250 - FORNECIMENTO E INSTALAÇÃO. AF_05/2020</t>
  </si>
  <si>
    <t>101201</t>
  </si>
  <si>
    <t>CERCA COM MOURÕES DE MADEIRA, 7,5X7,5 CM, ESPAÇAMENTO DE 2,5 M, ALTURA LIVRE DE 2 M, CRAVADOS 0,5 M, COM 8 FIOS DE ARAME FARPADO Nº 14 CLASSE 250 - FORNECIMENTO E INSTALAÇÃO. AF_05/2020</t>
  </si>
  <si>
    <t>101202</t>
  </si>
  <si>
    <t>CERCA COM MOURÕES DE MADEIRA ROLIÇA, DIÂMETRO 11 CM, ESPAÇAMENTO DE 2,5 M, ALTURA LIVRE DE 1,7 M, CRAVADOS 0,5 M, COM 5 FIOS DE ARAME FARPADO Nº 14 CLASSE 250 - FORNECIMENTO E INSTALAÇÃO. AF_05/2020</t>
  </si>
  <si>
    <t>101203</t>
  </si>
  <si>
    <t>CERCA COM MOURÕES DE MADEIRA ROLIÇA, DIÂMETRO 11 CM, ESPAÇAMENTO DE 2,5 M, ALTURA LIVRE DE 1,7 M, CRAVADOS 0,5 M, COM 5 FIOS DE ARAME DE AÇO OVALADO 15X17 - FORNECIMENTO E INSTALAÇÃO. AF_05/2020</t>
  </si>
  <si>
    <t>101204</t>
  </si>
  <si>
    <t>CERCA COM MOURÕES DE MADEIRA ROLIÇA, DIÂMETRO 11 CM, ESPAÇAMENTO DE 2,5 M, ALTURA LIVRE DE 1,7 M, CRAVADOS 0,5 M, COM 5 FIOS DE ARAME MISTO - FORNECIMENTO E INSTALAÇÃO. AF_05/2020</t>
  </si>
  <si>
    <t>101205</t>
  </si>
  <si>
    <t>PORTÃO COM MOURÕES DE MADEIRA ROLIÇA, DIÂMETRO 11 CM, COM 5 FIOS DE ARAME FARPADO Nº 14 CLASSE 250, SEM DOBRADIÇAS - FORNECIMENTO E INSTALAÇÃO. AF_05/2020</t>
  </si>
  <si>
    <t>98509</t>
  </si>
  <si>
    <t>PLANTIO DE ARBUSTO OU  CERCA VIVA. AF_05/2018</t>
  </si>
  <si>
    <t>98510</t>
  </si>
  <si>
    <t>PLANTIO DE ÁRVORE ORNAMENTAL COM ALTURA DE MUDA MENOR OU IGUAL A 2,00 M. AF_05/2018</t>
  </si>
  <si>
    <t>98511</t>
  </si>
  <si>
    <t>PLANTIO DE ÁRVORE ORNAMENTAL COM ALTURA DE MUDA MAIOR QUE 2,00 M E MENOR OU IGUAL A 4,00 M. AF_05/2018</t>
  </si>
  <si>
    <t>98516</t>
  </si>
  <si>
    <t>PLANTIO DE PALMEIRA COM ALTURA DE MUDA MENOR OU IGUAL A 2,00 M. AF_05/2018</t>
  </si>
  <si>
    <t>98519</t>
  </si>
  <si>
    <t>REVOLVIMENTO E LIMPEZA MANUAL DE SOLO. AF_05/2018</t>
  </si>
  <si>
    <t>98520</t>
  </si>
  <si>
    <t>APLICAÇÃO DE ADUBO EM SOLO. AF_05/2018</t>
  </si>
  <si>
    <t>98521</t>
  </si>
  <si>
    <t>APLICAÇÃO DE CALCÁRIO PARA CORREÇÃO DO PH DO SOLO. AF_05/2018</t>
  </si>
  <si>
    <t>98522</t>
  </si>
  <si>
    <t>ALAMBRADO EM MOURÕES DE CONCRETO, COM TELA DE ARAME GALVANIZADO (INCLUSIVE MURETA EM CONCRETO). AF_05/2018</t>
  </si>
  <si>
    <t>98524</t>
  </si>
  <si>
    <t>LIMPEZA MANUAL DE VEGETAÇÃO EM TERRENO COM ENXADA.AF_05/2018</t>
  </si>
  <si>
    <t>98503</t>
  </si>
  <si>
    <t>PLANTIO DE GRAMA EM PAVIMENTO CONCREGRAMA. AF_05/2018</t>
  </si>
  <si>
    <t>98504</t>
  </si>
  <si>
    <t>98505</t>
  </si>
  <si>
    <t>PLANTIO DE FORRAÇÃO. AF_05/2018</t>
  </si>
  <si>
    <t>98525</t>
  </si>
  <si>
    <t>LIMPEZA MECANIZADA DE CAMADA VEGETAL, VEGETAÇÃO E PEQUENAS ÁRVORES (DIÂMETRO DE TRONCO MENOR QUE 0,20 M), COM TRATOR DE ESTEIRAS.AF_05/2018</t>
  </si>
  <si>
    <t>98526</t>
  </si>
  <si>
    <t>REMOÇÃO DE RAÍZES REMANESCENTES DE TRONCO DE ÁRVORE COM DIÂMETRO MAIOR OU IGUAL A 0,20 M E MENOR QUE 0,40 M.AF_05/2018</t>
  </si>
  <si>
    <t>98527</t>
  </si>
  <si>
    <t>REMOÇÃO DE RAÍZES REMANESCENTES DE TRONCO DE ÁRVORE COM DIÂMETRO MAIOR OU IGUAL A 0,40 M E MENOR QUE 0,60 M.AF_05/2018</t>
  </si>
  <si>
    <t>98528</t>
  </si>
  <si>
    <t>REMOÇÃO DE RAÍZES REMANESCENTES DE TRONCO DE ÁRVORE COM DIÂMETRO MAIOR OU IGUAL A 0,60 M.AF_05/2018</t>
  </si>
  <si>
    <t>98529</t>
  </si>
  <si>
    <t>CORTE RASO E RECORTE DE ÁRVORE COM DIÂMETRO DE TRONCO MAIOR OU IGUAL A 0,20 M E MENOR QUE 0,40 M.AF_05/2018</t>
  </si>
  <si>
    <t>98530</t>
  </si>
  <si>
    <t>CORTE RASO E RECORTE DE ÁRVORE COM DIÂMETRO DE TRONCO MAIOR OU IGUAL A 0,40 M E MENOR QUE 0,60 M.AF_05/2018</t>
  </si>
  <si>
    <t>98531</t>
  </si>
  <si>
    <t>CORTE RASO E RECORTE DE ÁRVORE COM DIÂMETRO DE TRONCO MAIOR OU IGUAL A 0,60 M.AF_05/2018</t>
  </si>
  <si>
    <t>98532</t>
  </si>
  <si>
    <t>PODA EM ALTURA DE ÁRVORE COM DIÂMETRO DE TRONCO MENOR QUE 0,20 M.AF_05/2018</t>
  </si>
  <si>
    <t>98533</t>
  </si>
  <si>
    <t>PODA EM ALTURA DE ÁRVORE COM DIÂMETRO DE TRONCO MAIOR OU IGUAL A 0,20 M E MENOR QUE 0,40 M.AF_05/2018</t>
  </si>
  <si>
    <t>98534</t>
  </si>
  <si>
    <t>PODA EM ALTURA DE ÁRVORE COM DIÂMETRO DE TRONCO MAIOR OU IGUAL A 0,40 M E MENOR QUE 0,60 M.AF_05/2018</t>
  </si>
  <si>
    <t>98535</t>
  </si>
  <si>
    <t>PODA EM ALTURA DE ÁRVORE COM DIÂMETRO DE TRONCO MAIOR OU IGUAL A 0,60 M.AF_05/2018</t>
  </si>
  <si>
    <t>88238</t>
  </si>
  <si>
    <t>88239</t>
  </si>
  <si>
    <t>88240</t>
  </si>
  <si>
    <t>AJUDANTE DE ESTRUTURA METÁLICA COM ENCARGOS COMPLEMENTARES</t>
  </si>
  <si>
    <t>88241</t>
  </si>
  <si>
    <t>AJUDANTE DE OPERAÇÃO EM GERAL COM ENCARGOS COMPLEMENTARES</t>
  </si>
  <si>
    <t>88242</t>
  </si>
  <si>
    <t>AJUDANTE DE PEDREIRO COM ENCARGOS COMPLEMENTARES</t>
  </si>
  <si>
    <t>88243</t>
  </si>
  <si>
    <t>88245</t>
  </si>
  <si>
    <t>88246</t>
  </si>
  <si>
    <t>ASSENTADOR DE TUBOS COM ENCARGOS COMPLEMENTARES</t>
  </si>
  <si>
    <t>88247</t>
  </si>
  <si>
    <t>88248</t>
  </si>
  <si>
    <t>88249</t>
  </si>
  <si>
    <t>AUXILIAR DE LABORATÓRIO COM ENCARGOS COMPLEMENTARES</t>
  </si>
  <si>
    <t>88250</t>
  </si>
  <si>
    <t>AUXILIAR DE MECÂNICO COM ENCARGOS COMPLEMENTARES</t>
  </si>
  <si>
    <t>88251</t>
  </si>
  <si>
    <t>88252</t>
  </si>
  <si>
    <t>AUXILIAR DE SERVIÇOS GERAIS COM ENCARGOS COMPLEMENTARES</t>
  </si>
  <si>
    <t>88253</t>
  </si>
  <si>
    <t>AUXILIAR DE TOPÓGRAFO COM ENCARGOS COMPLEMENTARES</t>
  </si>
  <si>
    <t>88255</t>
  </si>
  <si>
    <t>AUXILIAR TÉCNICO DE ENGENHARIA COM ENCARGOS COMPLEMENTARES</t>
  </si>
  <si>
    <t>88256</t>
  </si>
  <si>
    <t>88257</t>
  </si>
  <si>
    <t>BLASTER, DINAMITADOR OU CABO DE FOGO COM ENCARGOS COMPLEMENTARES</t>
  </si>
  <si>
    <t>88258</t>
  </si>
  <si>
    <t>CADASTRISTA DE REDES DE AGUA E ESGOTO COM ENCARGOS COMPLEMENTARES</t>
  </si>
  <si>
    <t>88260</t>
  </si>
  <si>
    <t>88261</t>
  </si>
  <si>
    <t>88262</t>
  </si>
  <si>
    <t>88263</t>
  </si>
  <si>
    <t>CAVOUQUEIRO OU OPERADOR PERFURATRIZ/ROMPEDOR COM ENCARGOS COMPLEMENTARES</t>
  </si>
  <si>
    <t>88264</t>
  </si>
  <si>
    <t>88265</t>
  </si>
  <si>
    <t>ELETRICISTA INDUSTRIAL COM ENCARGOS COMPLEMENTARES</t>
  </si>
  <si>
    <t>88266</t>
  </si>
  <si>
    <t>ELETROTÉCNICO COM ENCARGOS COMPLEMENTARES</t>
  </si>
  <si>
    <t>88267</t>
  </si>
  <si>
    <t>88269</t>
  </si>
  <si>
    <t>88270</t>
  </si>
  <si>
    <t>88272</t>
  </si>
  <si>
    <t>MACARIQUEIRO COM ENCARGOS COMPLEMENTARES</t>
  </si>
  <si>
    <t>88273</t>
  </si>
  <si>
    <t>MARCENEIRO COM ENCARGOS COMPLEMENTARES</t>
  </si>
  <si>
    <t>88274</t>
  </si>
  <si>
    <t>MARMORISTA/GRANITEIRO COM ENCARGOS COMPLEMENTARES</t>
  </si>
  <si>
    <t>88275</t>
  </si>
  <si>
    <t>MECÃNICO DE EQUIPAMENTOS PESADOS COM ENCARGOS COMPLEMENTARES</t>
  </si>
  <si>
    <t>88277</t>
  </si>
  <si>
    <t>MONTADOR (TUBO AÇO/EQUIPAMENTOS) COM ENCARGOS COMPLEMENTARES</t>
  </si>
  <si>
    <t>88278</t>
  </si>
  <si>
    <t>88279</t>
  </si>
  <si>
    <t>88281</t>
  </si>
  <si>
    <t>MOTORISTA DE BASCULANTE COM ENCARGOS COMPLEMENTARES</t>
  </si>
  <si>
    <t>88282</t>
  </si>
  <si>
    <t>MOTORISTA DE CAMINHÃO COM ENCARGOS COMPLEMENTARES</t>
  </si>
  <si>
    <t>88283</t>
  </si>
  <si>
    <t>MOTORISTA DE CAMINHÃO E CARRETA COM ENCARGOS COMPLEMENTARES</t>
  </si>
  <si>
    <t>88284</t>
  </si>
  <si>
    <t>88285</t>
  </si>
  <si>
    <t>MOTORISTA DE VEÍCULO PESADO COM ENCARGOS COMPLEMENTARES</t>
  </si>
  <si>
    <t>88286</t>
  </si>
  <si>
    <t>MOTORISTA OPERADOR DE MUNCK COM ENCARGOS COMPLEMENTARES</t>
  </si>
  <si>
    <t>88288</t>
  </si>
  <si>
    <t>NIVELADOR COM ENCARGOS COMPLEMENTARES</t>
  </si>
  <si>
    <t>88291</t>
  </si>
  <si>
    <t>OPERADOR DE BETONEIRA (CAMINHÃO) COM ENCARGOS COMPLEMENTARES</t>
  </si>
  <si>
    <t>88292</t>
  </si>
  <si>
    <t>OPERADOR DE COMPRESSOR OU COMPRESSORISTA COM ENCARGOS COMPLEMENTARES</t>
  </si>
  <si>
    <t>88293</t>
  </si>
  <si>
    <t>OPERADOR DE DEMARCADORA DE FAIXAS COM ENCARGOS COMPLEMENTARES</t>
  </si>
  <si>
    <t>88294</t>
  </si>
  <si>
    <t>OPERADOR DE ESCAVADEIRA COM ENCARGOS COMPLEMENTARES</t>
  </si>
  <si>
    <t>88295</t>
  </si>
  <si>
    <t>OPERADOR DE GUINCHO COM ENCARGOS COMPLEMENTARES</t>
  </si>
  <si>
    <t>88296</t>
  </si>
  <si>
    <t>OPERADOR DE GUINDASTE COM ENCARGOS COMPLEMENTARES</t>
  </si>
  <si>
    <t>88297</t>
  </si>
  <si>
    <t>OPERADOR DE MÁQUINAS E EQUIPAMENTOS COM ENCARGOS COMPLEMENTARES</t>
  </si>
  <si>
    <t>88298</t>
  </si>
  <si>
    <t>OPERADOR DE MARTELETE OU MARTELETEIRO COM ENCARGOS COMPLEMENTARES</t>
  </si>
  <si>
    <t>88299</t>
  </si>
  <si>
    <t>OPERADOR DE MOTO-ESCREIPER COM ENCARGOS COMPLEMENTARES</t>
  </si>
  <si>
    <t>88300</t>
  </si>
  <si>
    <t>OPERADOR DE MOTONIVELADORA COM ENCARGOS COMPLEMENTARES</t>
  </si>
  <si>
    <t>88301</t>
  </si>
  <si>
    <t>OPERADOR DE PÁ CARREGADEIRA COM ENCARGOS COMPLEMENTARES</t>
  </si>
  <si>
    <t>88302</t>
  </si>
  <si>
    <t>OPERADOR DE PAVIMENTADORA COM ENCARGOS COMPLEMENTARES</t>
  </si>
  <si>
    <t>88303</t>
  </si>
  <si>
    <t>OPERADOR DE ROLO COMPACTADOR COM ENCARGOS COMPLEMENTARES</t>
  </si>
  <si>
    <t>15,90</t>
  </si>
  <si>
    <t>88304</t>
  </si>
  <si>
    <t>OPERADOR DE USINA DE ASFALTO, DE SOLOS OU DE CONCRETO COM ENCARGOS COMPLEMENTARES</t>
  </si>
  <si>
    <t>88306</t>
  </si>
  <si>
    <t>OPERADOR JATO DE AREIA OU JATISTA COM ENCARGOS COMPLEMENTARES</t>
  </si>
  <si>
    <t>88307</t>
  </si>
  <si>
    <t>OPERADOR PARA BATE ESTACAS COM ENCARGOS COMPLEMENTARES</t>
  </si>
  <si>
    <t>88308</t>
  </si>
  <si>
    <t>PASTILHEIRO COM ENCARGOS COMPLEMENTARES</t>
  </si>
  <si>
    <t>88309</t>
  </si>
  <si>
    <t>88310</t>
  </si>
  <si>
    <t>88311</t>
  </si>
  <si>
    <t>PINTOR DE LETREIROS COM ENCARGOS COMPLEMENTARES</t>
  </si>
  <si>
    <t>88312</t>
  </si>
  <si>
    <t>PINTOR PARA TINTA EPÓXI COM ENCARGOS COMPLEMENTARES</t>
  </si>
  <si>
    <t>88313</t>
  </si>
  <si>
    <t>POCEIRO COM ENCARGOS COMPLEMENTARES</t>
  </si>
  <si>
    <t>88314</t>
  </si>
  <si>
    <t>RASTELEIRO COM ENCARGOS COMPLEMENTARES</t>
  </si>
  <si>
    <t>88315</t>
  </si>
  <si>
    <t>88316</t>
  </si>
  <si>
    <t>88317</t>
  </si>
  <si>
    <t>SOLDADOR COM ENCARGOS COMPLEMENTARES</t>
  </si>
  <si>
    <t>88318</t>
  </si>
  <si>
    <t>SOLDADOR A (PARA SOLDA A SER TESTADA COM RAIOS "X") COM ENCARGOS COMPLEMENTARES</t>
  </si>
  <si>
    <t>88320</t>
  </si>
  <si>
    <t>88321</t>
  </si>
  <si>
    <t>TÉCNICO DE LABORATÓRIO COM ENCARGOS COMPLEMENTARES</t>
  </si>
  <si>
    <t>88322</t>
  </si>
  <si>
    <t>TÉCNICO DE SONDAGEM COM ENCARGOS COMPLEMENTARES</t>
  </si>
  <si>
    <t>88323</t>
  </si>
  <si>
    <t>88324</t>
  </si>
  <si>
    <t>TRATORISTA COM ENCARGOS COMPLEMENTARES</t>
  </si>
  <si>
    <t>88325</t>
  </si>
  <si>
    <t>VIDRACEIRO COM ENCARGOS COMPLEMENTARES</t>
  </si>
  <si>
    <t>88326</t>
  </si>
  <si>
    <t>VIGIA NOTURNO COM ENCARGOS COMPLEMENTARES</t>
  </si>
  <si>
    <t>88377</t>
  </si>
  <si>
    <t>88441</t>
  </si>
  <si>
    <t>88597</t>
  </si>
  <si>
    <t>DESENHISTA DETALHISTA COM ENCARGOS COMPLEMENTARES</t>
  </si>
  <si>
    <t>90766</t>
  </si>
  <si>
    <t>90767</t>
  </si>
  <si>
    <t>APONTADOR OU APROPRIADOR COM ENCARGOS COMPLEMENTARES</t>
  </si>
  <si>
    <t>90768</t>
  </si>
  <si>
    <t>ARQUITETO DE OBRA JUNIOR COM ENCARGOS COMPLEMENTARES</t>
  </si>
  <si>
    <t>90769</t>
  </si>
  <si>
    <t>ARQUITETO DE OBRA PLENO COM ENCARGOS COMPLEMENTARES</t>
  </si>
  <si>
    <t>90770</t>
  </si>
  <si>
    <t>ARQUITETO DE OBRA SENIOR COM ENCARGOS COMPLEMENTARES</t>
  </si>
  <si>
    <t>90771</t>
  </si>
  <si>
    <t>AUXILIAR DE DESENHISTA COM ENCARGOS COMPLEMENTARES</t>
  </si>
  <si>
    <t>90772</t>
  </si>
  <si>
    <t>AUXILIAR DE ESCRITORIO COM ENCARGOS COMPLEMENTARES</t>
  </si>
  <si>
    <t>90773</t>
  </si>
  <si>
    <t>DESENHISTA COPISTA COM ENCARGOS COMPLEMENTARES</t>
  </si>
  <si>
    <t>90775</t>
  </si>
  <si>
    <t>DESENHISTA PROJETISTA COM ENCARGOS COMPLEMENTARES</t>
  </si>
  <si>
    <t>90776</t>
  </si>
  <si>
    <t>ENCARREGADO GERAL COM ENCARGOS COMPLEMENTARES</t>
  </si>
  <si>
    <t>90777</t>
  </si>
  <si>
    <t>ENGENHEIRO CIVIL DE OBRA JUNIOR COM ENCARGOS COMPLEMENTARES</t>
  </si>
  <si>
    <t>90778</t>
  </si>
  <si>
    <t>90779</t>
  </si>
  <si>
    <t>ENGENHEIRO CIVIL DE OBRA SENIOR COM ENCARGOS COMPLEMENTARES</t>
  </si>
  <si>
    <t>90780</t>
  </si>
  <si>
    <t>MESTRE DE OBRAS COM ENCARGOS COMPLEMENTARES</t>
  </si>
  <si>
    <t>90781</t>
  </si>
  <si>
    <t>TOPOGRAFO COM ENCARGOS COMPLEMENTARES</t>
  </si>
  <si>
    <t>91677</t>
  </si>
  <si>
    <t>ENGENHEIRO ELETRICISTA COM ENCARGOS COMPLEMENTARES</t>
  </si>
  <si>
    <t>91678</t>
  </si>
  <si>
    <t>ENGENHEIRO SANITARISTA COM ENCARGOS COMPLEMENTARES</t>
  </si>
  <si>
    <t>93558</t>
  </si>
  <si>
    <t>MOTORISTA DE CAMINHAO COM ENCARGOS COMPLEMENTARES</t>
  </si>
  <si>
    <t>93559</t>
  </si>
  <si>
    <t>93560</t>
  </si>
  <si>
    <t>93561</t>
  </si>
  <si>
    <t>93562</t>
  </si>
  <si>
    <t>93563</t>
  </si>
  <si>
    <t>93564</t>
  </si>
  <si>
    <t>93565</t>
  </si>
  <si>
    <t>93566</t>
  </si>
  <si>
    <t>93567</t>
  </si>
  <si>
    <t>93568</t>
  </si>
  <si>
    <t>93569</t>
  </si>
  <si>
    <t>ARQUITETO JUNIOR COM ENCARGOS COMPLEMENTARES</t>
  </si>
  <si>
    <t>93570</t>
  </si>
  <si>
    <t>ARQUITETO PLENO COM ENCARGOS COMPLEMENTARES</t>
  </si>
  <si>
    <t>93571</t>
  </si>
  <si>
    <t>ARQUITETO SENIOR COM ENCARGOS COMPLEMENTARES</t>
  </si>
  <si>
    <t>93572</t>
  </si>
  <si>
    <t>ENCARREGADO GERAL DE OBRAS COM ENCARGOS COMPLEMENTARES</t>
  </si>
  <si>
    <t>94295</t>
  </si>
  <si>
    <t>94296</t>
  </si>
  <si>
    <t>95308</t>
  </si>
  <si>
    <t>CURSO DE CAPACITAÇÃO PARA AJUDANTE DE ARMADOR (ENCARGOS COMPLEMENTARES) - HORISTA</t>
  </si>
  <si>
    <t>95309</t>
  </si>
  <si>
    <t>CURSO DE CAPACITAÇÃO PARA AJUDANTE DE CARPINTEIRO (ENCARGOS COMPLEMENTARES) - HORISTA</t>
  </si>
  <si>
    <t>95310</t>
  </si>
  <si>
    <t>CURSO DE CAPACITAÇÃO PARA AJUDANTE DE ESTRUTURA METÁLICA (ENCARGOS COMPLEMENTARES) - HORISTA</t>
  </si>
  <si>
    <t>95311</t>
  </si>
  <si>
    <t>CURSO DE CAPACITAÇÃO PARA AJUDANTE DE OPERAÇÃO EM GERAL (ENCARGOS COMPLEMENTARES) - HORISTA</t>
  </si>
  <si>
    <t>95312</t>
  </si>
  <si>
    <t>CURSO DE CAPACITAÇÃO PARA AJUDANTE DE PEDREIRO (ENCARGOS COMPLEMENTARES) - HORISTA</t>
  </si>
  <si>
    <t>95313</t>
  </si>
  <si>
    <t>CURSO DE CAPACITAÇÃO PARA AJUDANTE ESPECIALIZADO (ENCARGOS COMPLEMENTARES) - HORISTA</t>
  </si>
  <si>
    <t>95314</t>
  </si>
  <si>
    <t>CURSO DE CAPACITAÇÃO PARA ARMADOR (ENCARGOS COMPLEMENTARES) - HORISTA</t>
  </si>
  <si>
    <t>95315</t>
  </si>
  <si>
    <t>CURSO DE CAPACITAÇÃO PARA ASSENTADOR DE TUBOS (ENCARGOS COMPLEMENTARES) - HORISTA</t>
  </si>
  <si>
    <t>95316</t>
  </si>
  <si>
    <t>CURSO DE CAPACITAÇÃO PARA AUXILIAR DE ELETRICISTA (ENCARGOS COMPLEMENTARES) - HORISTA</t>
  </si>
  <si>
    <t>95317</t>
  </si>
  <si>
    <t>CURSO DE CAPACITAÇÃO PARA AUXILIAR DE ENCANADOR OU BOMBEIRO HIDRÁULICO (ENCARGOS COMPLEMENTARES) - HORISTA</t>
  </si>
  <si>
    <t>95318</t>
  </si>
  <si>
    <t>CURSO DE CAPACITAÇÃO PARA AUXILIAR DE LABORATÓRIO (ENCARGOS COMPLEMENTARES) - HORISTA</t>
  </si>
  <si>
    <t>95319</t>
  </si>
  <si>
    <t>CURSO DE CAPACITAÇÃO PARA AUXILIAR DE MECÂNICO (ENCARGOS COMPLEMENTARES) - HORISTA</t>
  </si>
  <si>
    <t>95320</t>
  </si>
  <si>
    <t>CURSO DE CAPACITAÇÃO PARA AUXILIAR DE SERRALHEIRO (ENCARGOS COMPLEMENTARES) - HORISTA</t>
  </si>
  <si>
    <t>95321</t>
  </si>
  <si>
    <t>CURSO DE CAPACITAÇÃO PARA AUXILIAR DE SERVIÇOS GERAIS (ENCARGOS COMPLEMENTARES) - HORISTA</t>
  </si>
  <si>
    <t>95322</t>
  </si>
  <si>
    <t>CURSO DE CAPACITAÇÃO PARA AUXILIAR DE TOPÓGRAFO (ENCARGOS COMPLEMENTARES) - HORISTA</t>
  </si>
  <si>
    <t>95323</t>
  </si>
  <si>
    <t>CURSO DE CAPACITAÇÃO PARA AUXILIAR TÉCNICO DE ENGENHARIA (ENCARGOS COMPLEMENTARES) - HORISTA</t>
  </si>
  <si>
    <t>95324</t>
  </si>
  <si>
    <t>CURSO DE CAPACITAÇÃO PARA AZULEJISTA OU LADRILHISTA (ENCARGOS COMPLEMENTARES) - HORISTA</t>
  </si>
  <si>
    <t>95325</t>
  </si>
  <si>
    <t>CURSO DE CAPACITAÇÃO PARA BLASTER, DINAMITADOR OU CABO DE FOGO (ENCARGOS COMPLEMENTARES) - HORISTA</t>
  </si>
  <si>
    <t>95326</t>
  </si>
  <si>
    <t>CURSO DE CAPACITAÇÃO PARA CADASTRISTA DE REDES DE AGUA E ESGOTO (ENCARGOS COMPLEMENTARES) - HORISTA</t>
  </si>
  <si>
    <t>0,20</t>
  </si>
  <si>
    <t>95328</t>
  </si>
  <si>
    <t>CURSO DE CAPACITAÇÃO PARA CALCETEIRO (ENCARGOS COMPLEMENTARES) - HORISTA</t>
  </si>
  <si>
    <t>95329</t>
  </si>
  <si>
    <t>CURSO DE CAPACITAÇÃO PARA CARPINTEIRO DE ESQUADRIA (ENCARGOS COMPLEMENTARES) - HORISTA</t>
  </si>
  <si>
    <t>95330</t>
  </si>
  <si>
    <t>CURSO DE CAPACITAÇÃO PARA CARPINTEIRO DE FÔRMAS (ENCARGOS COMPLEMENTARES) - HORISTA</t>
  </si>
  <si>
    <t>95331</t>
  </si>
  <si>
    <t>CURSO DE CAPACITAÇÃO PARA CAVOUQUEIRO OU OPERADOR PERFURATRIZ/ROMPEDOR (ENCARGOS COMPLEMENTARES) - HORISTA</t>
  </si>
  <si>
    <t>95332</t>
  </si>
  <si>
    <t>CURSO DE CAPACITAÇÃO PARA ELETRICISTA (ENCARGOS COMPLEMENTARES) - HORISTA</t>
  </si>
  <si>
    <t>95333</t>
  </si>
  <si>
    <t>CURSO DE CAPACITAÇÃO PARA ELETRICISTA INDUSTRIAL (ENCARGOS COMPLEMENTARES) - HORISTA</t>
  </si>
  <si>
    <t>95334</t>
  </si>
  <si>
    <t>CURSO DE CAPACITAÇÃO PARA ELETROTÉCNICO (ENCARGOS COMPLEMENTARES) - HORISTA</t>
  </si>
  <si>
    <t>95335</t>
  </si>
  <si>
    <t>CURSO DE CAPACITAÇÃO PARA ENCANADOR OU BOMBEIRO HIDRÁULICO (ENCARGOS COMPLEMENTARES) - HORISTA</t>
  </si>
  <si>
    <t>95337</t>
  </si>
  <si>
    <t>CURSO DE CAPACITAÇÃO PARA GESSEIRO (ENCARGOS COMPLEMENTARES) - HORISTA</t>
  </si>
  <si>
    <t>95338</t>
  </si>
  <si>
    <t>CURSO DE CAPACITAÇÃO PARA IMPERMEABILIZADOR (ENCARGOS COMPLEMENTARES) - HORISTA</t>
  </si>
  <si>
    <t>95339</t>
  </si>
  <si>
    <t>CURSO DE CAPACITAÇÃO PARA MAÇARIQUEIRO (ENCARGOS COMPLEMENTARES) - HORISTA</t>
  </si>
  <si>
    <t>95340</t>
  </si>
  <si>
    <t>CURSO DE CAPACITAÇÃO PARA MARCENEIRO (ENCARGOS COMPLEMENTARES) - HORISTA</t>
  </si>
  <si>
    <t>95341</t>
  </si>
  <si>
    <t>CURSO DE CAPACITAÇÃO PARA MARMORISTA/GRANITEIRO (ENCARGOS COMPLEMENTARES) - HORISTA</t>
  </si>
  <si>
    <t>95342</t>
  </si>
  <si>
    <t>CURSO DE CAPACITAÇÃO PARA MECÂNICO DE EQUIPAMENTOS PESADOS (ENCARGOS COMPLEMENTARES) - HORISTA</t>
  </si>
  <si>
    <t>95343</t>
  </si>
  <si>
    <t>CURSO DE CAPACITAÇÃO PARA MONTADOR  DE TUBO AÇO/EQUIPAMENTOS (ENCARGOS COMPLEMENTARES) - HORISTA</t>
  </si>
  <si>
    <t>95344</t>
  </si>
  <si>
    <t>CURSO DE CAPACITAÇÃO PARA MONTADOR DE ESTRUTURA METÁLICA (ENCARGOS COMPLEMENTARES) - HORISTA</t>
  </si>
  <si>
    <t>95345</t>
  </si>
  <si>
    <t>CURSO DE CAPACITAÇÃO PARA MONTADOR ELETROMECÂNICO (ENCARGOS COMPLEMENTARES) - HORISTA</t>
  </si>
  <si>
    <t>95346</t>
  </si>
  <si>
    <t>CURSO DE CAPACITAÇÃO PARA MOTORISTA DE BASCULANTE (ENCARGOS COMPLEMENTARES) - HORISTA</t>
  </si>
  <si>
    <t>95347</t>
  </si>
  <si>
    <t>CURSO DE CAPACITAÇÃO PARA MOTORISTA DE CAMINHÃO (ENCARGOS COMPLEMENTARES) - HORISTA</t>
  </si>
  <si>
    <t>95348</t>
  </si>
  <si>
    <t>CURSO DE CAPACITAÇÃO PARA MOTORISTA DE CAMINHÃO E CARRETA (ENCARGOS COMPLEMENTARES) - HORISTA</t>
  </si>
  <si>
    <t>95349</t>
  </si>
  <si>
    <t>CURSO DE CAPACITAÇÃO PARA MOTORISTA DE VEÍCULO LEVE (ENCARGOS COMPLEMENTARES) - HORISTA</t>
  </si>
  <si>
    <t>95350</t>
  </si>
  <si>
    <t>CURSO DE CAPACITAÇÃO PARA MOTORISTA DE VEÍCULO PESADO (ENCARGOS COMPLEMENTARES) - HORISTA</t>
  </si>
  <si>
    <t>95351</t>
  </si>
  <si>
    <t>CURSO DE CAPACITAÇÃO PARA MOTORISTA OPERADOR DE MUNCK (ENCARGOS COMPLEMENTARES) - HORISTA</t>
  </si>
  <si>
    <t>95352</t>
  </si>
  <si>
    <t>CURSO DE CAPACITAÇÃO PARA NIVELADOR (ENCARGOS COMPLEMENTARES) - HORISTA</t>
  </si>
  <si>
    <t>95354</t>
  </si>
  <si>
    <t>CURSO DE CAPACITAÇÃO PARA OPERADOR DE BETONEIRA (CAMINHÃO) (ENCARGOS COMPLEMENTARES) - HORISTA</t>
  </si>
  <si>
    <t>95355</t>
  </si>
  <si>
    <t>CURSO DE CAPACITAÇÃO PARA OPERADOR DE COMPRESSOR OU COMPRESSORISTA (ENCARGOS COMPLEMENTARES) - HORISTA</t>
  </si>
  <si>
    <t>95356</t>
  </si>
  <si>
    <t>CURSO DE CAPACITAÇÃO PARA OPERADOR DE DEMARCADORA DE FAIXAS (ENCARGOS COMPLEMENTARES) - HORISTA</t>
  </si>
  <si>
    <t>95357</t>
  </si>
  <si>
    <t>CURSO DE CAPACITAÇÃO PARA OPERADOR DE ESCAVADEIRA (ENCARGOS COMPLEMENTARES) - HORISTA</t>
  </si>
  <si>
    <t>95358</t>
  </si>
  <si>
    <t>CURSO DE CAPACITAÇÃO PARA OPERADOR DE GUINCHO (ENCARGOS COMPLEMENTARES) - HORISTA</t>
  </si>
  <si>
    <t>95359</t>
  </si>
  <si>
    <t>CURSO DE CAPACITAÇÃO PARA OPERADOR DE GUINDASTE (ENCARGOS COMPLEMENTARES) - HORISTA</t>
  </si>
  <si>
    <t>95360</t>
  </si>
  <si>
    <t>CURSO DE CAPACITAÇÃO PARA OPERADOR DE MÁQUINAS E EQUIPAMENTOS (ENCARGOS COMPLEMENTARES) - HORISTA</t>
  </si>
  <si>
    <t>95361</t>
  </si>
  <si>
    <t>CURSO DE CAPACITAÇÃO PARA OPERADOR DE MARTELETE OU MARTELETEIRO (ENCARGOS COMPLEMENTARES) - HORISTA</t>
  </si>
  <si>
    <t>95362</t>
  </si>
  <si>
    <t>CURSO DE CAPACITAÇÃO PARA OPERADOR DE MOTO-ESCREIPER (ENCARGOS COMPLEMENTARES) - HORISTA</t>
  </si>
  <si>
    <t>95363</t>
  </si>
  <si>
    <t>CURSO DE CAPACITAÇÃO PARA OPERADOR DE MOTONIVELADORA (ENCARGOS COMPLEMENTARES) - HORISTA</t>
  </si>
  <si>
    <t>95364</t>
  </si>
  <si>
    <t>CURSO DE CAPACITAÇÃO PARA OPERADOR DE PÁ CARREGADEIRA (ENCARGOS COMPLEMENTARES) - HORISTA</t>
  </si>
  <si>
    <t>95365</t>
  </si>
  <si>
    <t>CURSO DE CAPACITAÇÃO PARA OPERADOR DE PAVIMENTADORA (ENCARGOS COMPLEMENTARES) - HORISTA</t>
  </si>
  <si>
    <t>95366</t>
  </si>
  <si>
    <t>CURSO DE CAPACITAÇÃO PARA OPERADOR DE ROLO COMPACTADOR (ENCARGOS COMPLEMENTARES) - HORISTA</t>
  </si>
  <si>
    <t>95367</t>
  </si>
  <si>
    <t>CURSO DE CAPACITAÇÃO PARA OPERADOR DE USINA DE ASFALTO, DE SOLOS OU DE CONCRETO (ENCARGOS COMPLEMENTARES) - HORISTA</t>
  </si>
  <si>
    <t>95368</t>
  </si>
  <si>
    <t>CURSO DE CAPACITAÇÃO PARA OPERADOR JATO DE AREIA OU JATISTA (ENCARGOS COMPLEMENTARES) - HORISTA</t>
  </si>
  <si>
    <t>95369</t>
  </si>
  <si>
    <t>CURSO DE CAPACITAÇÃO PARA OPERADOR PARA BATE ESTACAS (ENCARGOS COMPLEMENTARES) - HORISTA</t>
  </si>
  <si>
    <t>95370</t>
  </si>
  <si>
    <t>CURSO DE CAPACITAÇÃO PARA PASTILHEIRO (ENCARGOS COMPLEMENTARES) - HORISTA</t>
  </si>
  <si>
    <t>95371</t>
  </si>
  <si>
    <t>CURSO DE CAPACITAÇÃO PARA PEDREIRO (ENCARGOS COMPLEMENTARES) - HORISTA</t>
  </si>
  <si>
    <t>95372</t>
  </si>
  <si>
    <t>CURSO DE CAPACITAÇÃO PARA PINTOR (ENCARGOS COMPLEMENTARES) - HORISTA</t>
  </si>
  <si>
    <t>95373</t>
  </si>
  <si>
    <t>CURSO DE CAPACITAÇÃO PARA PINTOR DE LETREIROS (ENCARGOS COMPLEMENTARES) - HORISTA</t>
  </si>
  <si>
    <t>95374</t>
  </si>
  <si>
    <t>CURSO DE CAPACITAÇÃO PARA PINTOR PARA TINTA EPÓXI (ENCARGOS COMPLEMENTARES) - HORISTA</t>
  </si>
  <si>
    <t>95375</t>
  </si>
  <si>
    <t>CURSO DE CAPACITAÇÃO PARA POCEIRO (ENCARGOS COMPLEMENTARES) - HORISTA</t>
  </si>
  <si>
    <t>95376</t>
  </si>
  <si>
    <t>CURSO DE CAPACITAÇÃO PARA RASTELEIRO (ENCARGOS COMPLEMENTARES) - HORISTA</t>
  </si>
  <si>
    <t>95377</t>
  </si>
  <si>
    <t>CURSO DE CAPACITAÇÃO PARA SERRALHEIRO (ENCARGOS COMPLEMENTARES) - HORISTA</t>
  </si>
  <si>
    <t>95378</t>
  </si>
  <si>
    <t>CURSO DE CAPACITAÇÃO PARA SERVENTE (ENCARGOS COMPLEMENTARES) - HORISTA</t>
  </si>
  <si>
    <t>95379</t>
  </si>
  <si>
    <t>CURSO DE CAPACITAÇÃO PARA SOLDADOR (ENCARGOS COMPLEMENTARES) - HORISTA</t>
  </si>
  <si>
    <t>95380</t>
  </si>
  <si>
    <t>CURSO DE CAPACITAÇÃO PARA SOLDADOR A (PARA SOLDA A SER TESTADA COM RAIOS  X ) (ENCARGOS COMPLEMENTARES) - HORISTA</t>
  </si>
  <si>
    <t>95382</t>
  </si>
  <si>
    <t>CURSO DE CAPACITAÇÃO PARA TAQUEADOR OU TAQUEIRO (ENCARGOS COMPLEMENTARES) - HORISTA</t>
  </si>
  <si>
    <t>95383</t>
  </si>
  <si>
    <t>CURSO DE CAPACITAÇÃO PARA TÉCNICO DE LABORATÓRIO (ENCARGOS COMPLEMENTARES) - HORISTA</t>
  </si>
  <si>
    <t>95384</t>
  </si>
  <si>
    <t>CURSO DE CAPACITAÇÃO PARA TÉCNICO DE SONDAGEM (ENCARGOS COMPLEMENTARES) - HORISTA</t>
  </si>
  <si>
    <t>95385</t>
  </si>
  <si>
    <t>CURSO DE CAPACITAÇÃO PARA TELHADISTA (ENCARGOS COMPLEMENTARES) - HORISTA</t>
  </si>
  <si>
    <t>95386</t>
  </si>
  <si>
    <t>CURSO DE CAPACITAÇÃO PARA TRATORISTA (ENCARGOS COMPLEMENTARES) - HORISTA</t>
  </si>
  <si>
    <t>95387</t>
  </si>
  <si>
    <t>CURSO DE CAPACITAÇÃO PARA VIDRACEIRO (ENCARGOS COMPLEMENTARES) - HORISTA</t>
  </si>
  <si>
    <t>95388</t>
  </si>
  <si>
    <t>CURSO DE CAPACITAÇÃO PARA VIGIA NOTURNO (ENCARGOS COMPLEMENTARES) - HORISTA</t>
  </si>
  <si>
    <t>95389</t>
  </si>
  <si>
    <t>CURSO DE CAPACITAÇÃO PARA OPERADOR DE BETONEIRA ESTACIONÁRIA/MISTURADOR (ENCARGOS COMPLEMENTARES) - HORISTA</t>
  </si>
  <si>
    <t>95390</t>
  </si>
  <si>
    <t>CURSO DE CAPACITAÇÃO PARA JARDINEIRO (ENCARGOS COMPLEMENTARES) - HORISTA</t>
  </si>
  <si>
    <t>95391</t>
  </si>
  <si>
    <t>CURSO DE CAPACITAÇÃO PARA DESENHISTA DETALHISTA (ENCARGOS COMPLEMENTARES) - HORISTA</t>
  </si>
  <si>
    <t>95392</t>
  </si>
  <si>
    <t>CURSO DE CAPACITAÇÃO PARA ALMOXARIFE (ENCARGOS COMPLEMENTARES) - HORISTA</t>
  </si>
  <si>
    <t>95393</t>
  </si>
  <si>
    <t>CURSO DE CAPACITAÇÃO PARA APONTADOR OU APROPRIADOR (ENCARGOS COMPLEMENTARES) - HORISTA</t>
  </si>
  <si>
    <t>95394</t>
  </si>
  <si>
    <t>CURSO DE CAPACITAÇÃO PARA ARQUITETO DE OBRA JÚNIOR (ENCARGOS COMPLEMENTARES) - HORISTA</t>
  </si>
  <si>
    <t>95395</t>
  </si>
  <si>
    <t>CURSO DE CAPACITAÇÃO PARA ARQUITETO DE OBRA PLENO (ENCARGOS COMPLEMENTARES) - HORISTA</t>
  </si>
  <si>
    <t>95396</t>
  </si>
  <si>
    <t>CURSO DE CAPACITAÇÃO PARA ARQUITETO DE OBRA SÊNIOR (ENCARGOS COMPLEMENTARES) - HORISTA</t>
  </si>
  <si>
    <t>95397</t>
  </si>
  <si>
    <t>CURSO DE CAPACITAÇÃO PARA AUXILIAR DE DESENHISTA (ENCARGOS COMPLEMENTARES) - HORISTA</t>
  </si>
  <si>
    <t>95398</t>
  </si>
  <si>
    <t>CURSO DE CAPACITAÇÃO PARA AUXILIAR DE ESCRITÓRIO (ENCARGOS COMPLEMENTARES) - HORISTA</t>
  </si>
  <si>
    <t>95399</t>
  </si>
  <si>
    <t>CURSO DE CAPACITAÇÃO PARA DESENHISTA COPISTA (ENCARGOS COMPLEMENTARES) - HORISTA</t>
  </si>
  <si>
    <t>95400</t>
  </si>
  <si>
    <t>CURSO DE CAPACITAÇÃO PARA DESENHISTA PROJETISTA (ENCARGOS COMPLEMENTARES) - HORISTA</t>
  </si>
  <si>
    <t>95401</t>
  </si>
  <si>
    <t>CURSO DE CAPACITAÇÃO PARA ENCARREGADO GERAL (ENCARGOS COMPLEMENTARES) - HORISTA</t>
  </si>
  <si>
    <t>95402</t>
  </si>
  <si>
    <t>CURSO DE CAPACITAÇÃO PARA ENGENHEIRO CIVIL DE OBRA JÚNIOR (ENCARGOS COMPLEMENTARES) - HORISTA</t>
  </si>
  <si>
    <t>95403</t>
  </si>
  <si>
    <t>CURSO DE CAPACITAÇÃO PARA ENGENHEIRO CIVIL DE OBRA PLENO (ENCARGOS COMPLEMENTARES) - HORISTA</t>
  </si>
  <si>
    <t>0,99</t>
  </si>
  <si>
    <t>95404</t>
  </si>
  <si>
    <t>CURSO DE CAPACITAÇÃO PARA ENGENHEIRO CIVIL DE OBRA SÊNIOR (ENCARGOS COMPLEMENTARES) - HORISTA</t>
  </si>
  <si>
    <t>95405</t>
  </si>
  <si>
    <t>CURSO DE CAPACITAÇÃO PARA MESTRE DE OBRAS (ENCARGOS COMPLEMENTARES) - HORISTA</t>
  </si>
  <si>
    <t>95406</t>
  </si>
  <si>
    <t>CURSO DE CAPACITAÇÃO PARA TOPÓGRAFO (ENCARGOS COMPLEMENTARES) - HORISTA</t>
  </si>
  <si>
    <t>95407</t>
  </si>
  <si>
    <t>CURSO DE CAPACITAÇÃO PARA ENGENHEIRO ELETRICISTA (ENCARGOS COMPLEMENTARES) - HORISTA</t>
  </si>
  <si>
    <t>95408</t>
  </si>
  <si>
    <t>CURSO DE CAPACITAÇÃO  PARA MOTORISTA DE CAMINHÃO (ENCARGOS COMPLEMENTARES) - MENSALISTA</t>
  </si>
  <si>
    <t>95409</t>
  </si>
  <si>
    <t>CURSO DE CAPACITAÇÃO PARA DESENHISTA DETALHISTA (ENCARGOS COMPLEMENTARES) - MENSALISTA</t>
  </si>
  <si>
    <t>95410</t>
  </si>
  <si>
    <t>CURSO DE CAPACITAÇÃO PARA DESENHISTA COPISTA (ENCARGOS COMPLEMENTARES) - MENSALISTA</t>
  </si>
  <si>
    <t>95411</t>
  </si>
  <si>
    <t>CURSO DE CAPACITAÇÃO PARA DESENHISTA PROJETISTA (ENCARGOS COMPLEMENTARES) - MENSALISTA</t>
  </si>
  <si>
    <t>95412</t>
  </si>
  <si>
    <t>CURSO DE CAPACITAÇÃO PARA AUXILIAR DE DESENHISTA (ENCARGOS COMPLEMENTARES) - MENSALISTA</t>
  </si>
  <si>
    <t>95413</t>
  </si>
  <si>
    <t>CURSO DE CAPACITAÇÃO PARA ALMOXARIFE (ENCARGOS COMPLEMENTARES) - MENSALISTA</t>
  </si>
  <si>
    <t>95414</t>
  </si>
  <si>
    <t>CURSO DE CAPACITAÇÃO PARA APONTADOR OU APROPRIADOR (ENCARGOS COMPLEMENTARES) - MENSALISTA</t>
  </si>
  <si>
    <t>95415</t>
  </si>
  <si>
    <t>CURSO DE CAPACITAÇÃO PARA ENGENHEIRO CIVIL DE OBRA JÚNIOR (ENCARGOS COMPLEMENTARES) - MENSALISTA</t>
  </si>
  <si>
    <t>95416</t>
  </si>
  <si>
    <t>CURSO DE CAPACITAÇÃO PARA AUXILIAR DE ESCRITÓRIO (ENCARGOS COMPLEMENTARES) - MENSALISTA</t>
  </si>
  <si>
    <t>95417</t>
  </si>
  <si>
    <t>CURSO DE CAPACITAÇÃO PARA ENGENHEIRO CIVIL DE OBRA PLENO (ENCARGOS COMPLEMENTARES) - MENSALISTA</t>
  </si>
  <si>
    <t>95418</t>
  </si>
  <si>
    <t>CURSO DE CAPACITAÇÃO PARA ENGENHEIRO CIVIL DE OBRA SÊNIOR (ENCARGOS COMPLEMENTARES) - MENSALISTA</t>
  </si>
  <si>
    <t>95419</t>
  </si>
  <si>
    <t>CURSO DE CAPACITAÇÃO PARA ARQUITETO JÚNIOR (ENCARGOS COMPLEMENTARES) - MENSALISTA</t>
  </si>
  <si>
    <t>95420</t>
  </si>
  <si>
    <t>CURSO DE CAPACITAÇÃO PARA ARQUITETO PLENO (ENCARGOS COMPLEMENTARES) - MENSALISTA</t>
  </si>
  <si>
    <t>95421</t>
  </si>
  <si>
    <t>CURSO DE CAPACITAÇÃO PARA ARQUITETO SÊNIOR (ENCARGOS COMPLEMENTARES) - MENSALISTA</t>
  </si>
  <si>
    <t>95422</t>
  </si>
  <si>
    <t>CURSO DE CAPACITAÇÃO PARA ENCARREGADO GERAL DE OBRAS (ENCARGOS COMPLEMENTARES) - MENSALISTA</t>
  </si>
  <si>
    <t>95423</t>
  </si>
  <si>
    <t>CURSO DE CAPACITAÇÃO PARA MESTRE DE OBRAS (ENCARGOS COMPLEMENTARES) - MENSALISTA</t>
  </si>
  <si>
    <t>95424</t>
  </si>
  <si>
    <t>CURSO DE CAPACITAÇÃO PARA TOPÓGRAFO (ENCARGOS COMPLEMENTARES) - MENSALISTA</t>
  </si>
  <si>
    <t>100288</t>
  </si>
  <si>
    <t>CURSO DE CAPACITAÇÃO PARA VIGIA DIURNO (ENCARGOS COMPLEMENTARES) - HORISTA</t>
  </si>
  <si>
    <t>100289</t>
  </si>
  <si>
    <t>VIGIA DIURNO COM ENCARGOS COMPLEMENTARES</t>
  </si>
  <si>
    <t>100290</t>
  </si>
  <si>
    <t>CURSO DE CAPACITAÇÃO PARA AUXILIAR DE ALMOXARIFE (ENCARGOS COMPLEMENTARES) - HORISTA</t>
  </si>
  <si>
    <t>100291</t>
  </si>
  <si>
    <t>CURSO DE CAPACITAÇÃO PARA AJUDANTE DE PINTOR (ENCARGOS COMPLEMENTARES) - HORISTA</t>
  </si>
  <si>
    <t>100292</t>
  </si>
  <si>
    <t>CURSO DE CAPACITAÇÃO PARA COORDENADOR/GERENTE DE OBRA (ENCARGOS COMPLEMENTARES) - HORISTA</t>
  </si>
  <si>
    <t>100293</t>
  </si>
  <si>
    <t>CURSO DE CAPACITAÇÃO PARA AUXILIAR DE AZULEJISTA (ENCARGOS COMPLEMENTARES) - HORISTA</t>
  </si>
  <si>
    <t>100294</t>
  </si>
  <si>
    <t>CURSO DE CAPACITAÇÃO PARA ARQUITETO PAISAGISTA (ENCARGOS COMPLEMENTARES) - HORISTA</t>
  </si>
  <si>
    <t>100295</t>
  </si>
  <si>
    <t>CURSO DE CAPACITAÇÃO PARA MONTADOR DE ELETROELETRONICOS (ENCARGOS COMPLEMENTARES) - HORISTA</t>
  </si>
  <si>
    <t>100296</t>
  </si>
  <si>
    <t>CURSO DE CAPACITAÇÃO PARA ENGENHEIRO CIVIL JUNIOR (ENCARGOS COMPLEMENTARES) - HORISTA</t>
  </si>
  <si>
    <t>100297</t>
  </si>
  <si>
    <t>CURSO DE CAPACITAÇÃO PARA ENGENHEIRO CIVIL PLENO (ENCARGOS COMPLEMENTARES) - HORISTA</t>
  </si>
  <si>
    <t>100298</t>
  </si>
  <si>
    <t>CURSO DE CAPACITAÇÃO PARA MECÂNICO DE REFRIGERAÇÃO (ENCARGOS COMPLEMENTARES) - HORISTA</t>
  </si>
  <si>
    <t>100299</t>
  </si>
  <si>
    <t>CURSO DE CAPACITAÇÃO PARA TÉCNICO EM SEGURANÇA DO TRABALHO (ENCARGOS COMPLEMENTARES) - HORISTA</t>
  </si>
  <si>
    <t>0,39</t>
  </si>
  <si>
    <t>100300</t>
  </si>
  <si>
    <t>AUXILIAR DE ALMOXARIFE COM ENCARGOS COMPLEMENTARES</t>
  </si>
  <si>
    <t>100301</t>
  </si>
  <si>
    <t>AJUDANTE DE PINTOR COM ENCARGOS COMPLEMENTARES</t>
  </si>
  <si>
    <t>100302</t>
  </si>
  <si>
    <t>COORDENADOR/GERENTE DE OBRA COM ENCARGOS COMPLEMENTARES</t>
  </si>
  <si>
    <t>100303</t>
  </si>
  <si>
    <t>AUXILIAR DE AZULEJISTA COM ENCARGOS COMPLEMENTARES</t>
  </si>
  <si>
    <t>100304</t>
  </si>
  <si>
    <t>ARQUITETO PAISAGISTA COM ENCARGOS COMPLEMENTARES</t>
  </si>
  <si>
    <t>100305</t>
  </si>
  <si>
    <t>ENGENHEIRO CIVIL JUNIOR COM ENCARGOS COMPLEMENTARES</t>
  </si>
  <si>
    <t>100306</t>
  </si>
  <si>
    <t>100307</t>
  </si>
  <si>
    <t>MONTADOR DE ELETROELETRÔNICOS COM ENCARGOS COMPLEMENTARES</t>
  </si>
  <si>
    <t>100308</t>
  </si>
  <si>
    <t>MECÂNICO DE REFRIGERAÇÃO COM ENCARGOS COMPLEMENTARES</t>
  </si>
  <si>
    <t>100309</t>
  </si>
  <si>
    <t>100310</t>
  </si>
  <si>
    <t>CURSO DE CAPACITAÇÃO PARA AUXILIAR DE ALMOXARIFE (ENCARGOS COMPLEMENTARES) - MENSALISTA</t>
  </si>
  <si>
    <t>100311</t>
  </si>
  <si>
    <t>CURSO DE CAPACITAÇÃO PARA COORDENADOR/GERENTE DE OBRA (ENCARGOS COMPLEMENTARES) - MENSALISTA</t>
  </si>
  <si>
    <t>100312</t>
  </si>
  <si>
    <t>CURSO DE CAPACITAÇÃO PARA ARQUITETO PAISAGISTA (ENCARGOS COMPLEMENTARES) - MENSALISTA</t>
  </si>
  <si>
    <t>100313</t>
  </si>
  <si>
    <t>CURSO DE CAPACITAÇÃO PARA ENGENHEIRO CIVIL JUNIOR (ENCARGOS COMPLEMENTARES) - MENSALISTA</t>
  </si>
  <si>
    <t>100314</t>
  </si>
  <si>
    <t>CURSO DE CAPACITAÇÃO PARA ENGENHEIRO CIVIL PLENO (ENCARGOS COMPLEMENTARES) - MENSALISTA</t>
  </si>
  <si>
    <t>100315</t>
  </si>
  <si>
    <t>CURSO DE CAPACITAÇÃO PARA TÉCNICO EM SEGURANÇA DO TRABALHO (ENCARGOS COMPLEMENTARES) - MENSALISTA</t>
  </si>
  <si>
    <t>100316</t>
  </si>
  <si>
    <t>100317</t>
  </si>
  <si>
    <t>COORDENADOR / GERENTE DE OBRA COM ENCARGOS COMPLEMENTARES</t>
  </si>
  <si>
    <t>100318</t>
  </si>
  <si>
    <t>100319</t>
  </si>
  <si>
    <t>100320</t>
  </si>
  <si>
    <t>100321</t>
  </si>
  <si>
    <t>100533</t>
  </si>
  <si>
    <t>100534</t>
  </si>
  <si>
    <t>100535</t>
  </si>
  <si>
    <t>CURSO DE CAPACITAÇÃO PARA TECNICO DE EDIFICACOES (ENCARGOS COMPLEMENTARES) - HORISTA</t>
  </si>
  <si>
    <t>100536</t>
  </si>
  <si>
    <t>CURSO DE CAPACITAÇÃO PARA TECNICO DE EDIFICACOES (ENCARGOS COMPLEMENTARES) - MENSALISTA</t>
  </si>
  <si>
    <t xml:space="preserve">CODIGO  </t>
  </si>
  <si>
    <t>DESCRICAO DO INSUMO</t>
  </si>
  <si>
    <t>ORIGEM DO PRECO</t>
  </si>
  <si>
    <t xml:space="preserve">  PRECO MEDIANO R$</t>
  </si>
  <si>
    <t xml:space="preserve">UN    </t>
  </si>
  <si>
    <t xml:space="preserve">M2    </t>
  </si>
  <si>
    <t xml:space="preserve">CJ    </t>
  </si>
  <si>
    <t xml:space="preserve">H     </t>
  </si>
  <si>
    <t xml:space="preserve">M     </t>
  </si>
  <si>
    <t xml:space="preserve">L     </t>
  </si>
  <si>
    <t xml:space="preserve">KG    </t>
  </si>
  <si>
    <t>ADESIVO ESTRUTURAL A BASE DE RESINA EPOXI, BICOMPONENTE, FLUIDO</t>
  </si>
  <si>
    <t>ADESIVO PARA TUBOS CPVC, *75* G</t>
  </si>
  <si>
    <t xml:space="preserve">M3    </t>
  </si>
  <si>
    <t xml:space="preserve">MES   </t>
  </si>
  <si>
    <t>ARAME GALVANIZADO 16 BWG, D = 1,65MM (0,0166 KG/M)</t>
  </si>
  <si>
    <t>0,40</t>
  </si>
  <si>
    <t>2,18</t>
  </si>
  <si>
    <t xml:space="preserve">PAR   </t>
  </si>
  <si>
    <t>9,82</t>
  </si>
  <si>
    <t xml:space="preserve">JG    </t>
  </si>
  <si>
    <t xml:space="preserve">MIL   </t>
  </si>
  <si>
    <t>1,61</t>
  </si>
  <si>
    <t>1,58</t>
  </si>
  <si>
    <t>10,94</t>
  </si>
  <si>
    <t>CAIXA DE PASSAGEM METALICA DE SOBREPOR COM TAMPA PARAFUSADA, DIMENSOES 30 X 30 X 10 CM</t>
  </si>
  <si>
    <t xml:space="preserve">T     </t>
  </si>
  <si>
    <t>CHAPA DE ACO GALVANIZADA BITOLA GSG 16, E = 1,55 MM (12,40 KG/M2)</t>
  </si>
  <si>
    <t>CHAPA DE MDF BRANCO LISO 1 FACE, E = 6 MM, DE *2,75 X 1,85* M</t>
  </si>
  <si>
    <t>CHAPA DE MDF BRANCO LISO 2 FACES, E = 15 MM, DE *2,75 X 1,85* M</t>
  </si>
  <si>
    <t>CHAPA DE MDF BRANCO LISO 2 FACES, E = 18 MM, DE *2,75 X 1,85* M</t>
  </si>
  <si>
    <t>2,83</t>
  </si>
  <si>
    <t>CONCRETO USINADO BOMBEAVEL, CLASSE DE RESISTENCIA C20, COM BRITA 0 E 1, SLUMP = 100 +/- 20 MM, EXCLUI SERVICO DE BOMBEAMENTO (NBR 8953)</t>
  </si>
  <si>
    <t>8,06</t>
  </si>
  <si>
    <t>15,39</t>
  </si>
  <si>
    <t xml:space="preserve">100M  </t>
  </si>
  <si>
    <t>4,66</t>
  </si>
  <si>
    <t>13,89</t>
  </si>
  <si>
    <t>DOBRADICA EM ACO/FERRO, 3 1/2" X  3", E= 1,9  A 2 MM, COM ANEL,  CROMADO OU ZINCADO, TAMPA BOLA, COM PARAFUSOS</t>
  </si>
  <si>
    <t>5,82</t>
  </si>
  <si>
    <t>ELETRODUTO/DUTO PEAD FLEXIVEL PAREDE SIMPLES, CORRUGACAO HELICOIDAL, COR PRETA, SEM ROSCA, DE 2",  PARA CABEAMENTO SUBTERRANEO (NBR 15715)</t>
  </si>
  <si>
    <t>ENDURECEDOR MINERAL DE BASE CIMENTICIA PARA PISO DE CONCRETO</t>
  </si>
  <si>
    <t>0,57</t>
  </si>
  <si>
    <t>2,20</t>
  </si>
  <si>
    <t xml:space="preserve">CENTO </t>
  </si>
  <si>
    <t>11,03</t>
  </si>
  <si>
    <t>SC25KG</t>
  </si>
  <si>
    <t>GRANILHA/ GRANA/ PEDRISCO OU AGREGADO EM MARMORE/ GRANITO/ QUARTZO E CALCARIO, PRETO, CINZA, PALHA OU BRANCO</t>
  </si>
  <si>
    <t>GRANITO PARA BANCADA, POLIDO, TIPO ANDORINHA/ QUARTZ/ CASTELO/ CORUMBA OU OUTROS EQUIVALENTES DA REGIAO, E=  *2,5* CM</t>
  </si>
  <si>
    <t>LAMPADA FLUORESCENTE COMPACTA 2U BRANCA 15 W, BASE E27 (127/220 V)</t>
  </si>
  <si>
    <t xml:space="preserve">MXMES </t>
  </si>
  <si>
    <t>LUMINARIA PLAFON REDONDO COM VIDRO FOSCO DIAMETRO *30* CM, PARA 2 LAMPADAS, BASE E27, POTENCIA MAXIMA 40/60 W (NAO INCLUI LAMPADAS)</t>
  </si>
  <si>
    <t>13,38</t>
  </si>
  <si>
    <t>MASSA PLASTICA PARA MARMORE/GRANITO</t>
  </si>
  <si>
    <t>1,41</t>
  </si>
  <si>
    <t>PISO DE BORRACHA PASTILHADO EM PLACAS 50 X 50 CM, E = *3,5* MM, PARA COLA, PRETO</t>
  </si>
  <si>
    <t>PREGO DE ACO POLIDO COM CABECA DUPLA 17 X 27 (2 1/2 X 11)</t>
  </si>
  <si>
    <t>PREGO DE ACO POLIDO SEM CABECA 15 X 15 (1 1/4 X 13)</t>
  </si>
  <si>
    <t>PULSADOR CAMPAINHA 10A, 250V (APENAS MODULO)</t>
  </si>
  <si>
    <t>QUADRO DE DISTRIBUICAO COM BARRAMENTO TRIFASICO, DE SOBREPOR, EM CHAPA DE ACO GALVANIZADO, PARA 18 DISJUNTORES DIN, 100 A</t>
  </si>
  <si>
    <t>RODAPE DE MADEIRA MACICA CUMARU/IPE CHAMPANHE OU EQUIVALENTE DA REGIAO, *1,5 X 7 CM</t>
  </si>
  <si>
    <t xml:space="preserve">310ML </t>
  </si>
  <si>
    <t>SUPORTE MAO-FRANCESA EM ACO, ABAS IGUAIS 40 CM, CAPACIDADE MINIMA 70 KG, BRANCO</t>
  </si>
  <si>
    <t>15,35</t>
  </si>
  <si>
    <t>TE MISTURADOR DE TRANSICAO, CPVC, COM ROSCA, 22 MM X 3/4", PARA AGUA QUENTE</t>
  </si>
  <si>
    <t>TELA DE ARAME GALVANIZADA QUADRANGULAR / LOSANGULAR, FIO 2,77 MM (12 BWG), MALHA 5 X 5 CM, H = 2 M</t>
  </si>
  <si>
    <t>TELA EM METAL PARA ESTUQUE (DEPLOYE)</t>
  </si>
  <si>
    <t>TELA PLASTICA LARANJA, TIPO TAPUME PARA SINALIZACAO, MALHA RETANGULAR, ROLO 1.20 X 50 M (L X C)</t>
  </si>
  <si>
    <t>TELHA TRAPEZOIDAL EM ACO ZINCADO, SEM PINTURA, ALTURA DE APROXIMADAMENTE 40 MM, ESPESSURA DE 0,50 MM E LARGURA UTIL DE 980 MM</t>
  </si>
  <si>
    <t>TUBO ACO CARBONO SEM COSTURA 8", E= *8,18 MM, SCHEDULE 40, *42,55 KG/M</t>
  </si>
  <si>
    <t>TUBO CPVC, SOLDAVEL, 22 MM, AGUA QUENTE PREDIAL (NBR 15884)</t>
  </si>
  <si>
    <t>TUBO CPVC, SOLDAVEL, 28 MM, AGUA QUENTE PREDIAL (NBR 15884)</t>
  </si>
  <si>
    <t>TUBO MULTICAMADA PEX, DN *26* MM, PARA INSTALACOES A GAS (AMARELO)</t>
  </si>
  <si>
    <t>TUBO MULTICAMADA PEX, DN 20 MM, PARA INSTALACOES A GAS (AMARELO)</t>
  </si>
  <si>
    <t>2,17</t>
  </si>
  <si>
    <t>Pini 27.103.000260.MAT</t>
  </si>
  <si>
    <t>Pini 27.103.000340.MAT</t>
  </si>
  <si>
    <t>Pini 27.103.000320.MAT Adaptada</t>
  </si>
  <si>
    <t>Pini 27.103.000400.MAT</t>
  </si>
  <si>
    <t>Pini 27.103.000480.MAT</t>
  </si>
  <si>
    <t>Pini 27.103.000300.MAT</t>
  </si>
  <si>
    <t>Pini 05.102.000020.MAT</t>
  </si>
  <si>
    <t>Pini 16.111.001107.MAT</t>
  </si>
  <si>
    <t>Não desonerado</t>
  </si>
  <si>
    <t>Obs: considerando rendimento informado na especificação técnica de um dos produtos indicados como referência comercial (Lata de 3,6L rende até 75 m²/demão).</t>
  </si>
  <si>
    <t>Obs: considerando rendimento informado na especificação técnica de produto equivalente da Suvinil (Lata de 3,6L rende até 100 m²/demão).</t>
  </si>
  <si>
    <t>SF-01235</t>
  </si>
  <si>
    <t>SF-01236</t>
  </si>
  <si>
    <t>SF-01240</t>
  </si>
  <si>
    <t>SF-01241</t>
  </si>
  <si>
    <t>SF-01242</t>
  </si>
  <si>
    <t>SF-01243</t>
  </si>
  <si>
    <t>SF-01244</t>
  </si>
  <si>
    <t>SF-01245</t>
  </si>
  <si>
    <t>SF-01246</t>
  </si>
  <si>
    <t>SF-01247</t>
  </si>
  <si>
    <t>SF-01248</t>
  </si>
  <si>
    <t>SF-01249</t>
  </si>
  <si>
    <t>SF-01250</t>
  </si>
  <si>
    <t>SF-01251</t>
  </si>
  <si>
    <t>SF-01252</t>
  </si>
  <si>
    <t>SF-01255</t>
  </si>
  <si>
    <t>SF-01256</t>
  </si>
  <si>
    <t>SF-01257</t>
  </si>
  <si>
    <t>SF-01258</t>
  </si>
  <si>
    <t>SF-01259</t>
  </si>
  <si>
    <t>SF-01260</t>
  </si>
  <si>
    <t>SF-01261</t>
  </si>
  <si>
    <t>SF-01262</t>
  </si>
  <si>
    <t>SF-01263</t>
  </si>
  <si>
    <t>SF-01264</t>
  </si>
  <si>
    <t>SF-01265</t>
  </si>
  <si>
    <t>SF-01266</t>
  </si>
  <si>
    <t>SF-01267</t>
  </si>
  <si>
    <t>SF-01268</t>
  </si>
  <si>
    <t>SF-01269</t>
  </si>
  <si>
    <t>SF-01270</t>
  </si>
  <si>
    <t>SF-01271</t>
  </si>
  <si>
    <t>SF-01272</t>
  </si>
  <si>
    <t>SF-01273</t>
  </si>
  <si>
    <t>SF-01278</t>
  </si>
  <si>
    <t>SF-01279</t>
  </si>
  <si>
    <t>SF-01280</t>
  </si>
  <si>
    <t>SF-01281</t>
  </si>
  <si>
    <t>SF-01282</t>
  </si>
  <si>
    <t>SF-01283</t>
  </si>
  <si>
    <t>SF-01284</t>
  </si>
  <si>
    <t>SF-01285</t>
  </si>
  <si>
    <t>SF-01286</t>
  </si>
  <si>
    <t>SF-01287</t>
  </si>
  <si>
    <t>SF-01288</t>
  </si>
  <si>
    <t>SF-01289</t>
  </si>
  <si>
    <t>Bancada em granito cinza andorinha polido - 2,40 m x 0,60 m</t>
  </si>
  <si>
    <t>Bancada em granito cinza andorinha polido - 2,50 m x 0,60 m</t>
  </si>
  <si>
    <t>Batedor/limitador inferior para box de correr</t>
  </si>
  <si>
    <t>Batedor/amortecedor lateral para box de correr</t>
  </si>
  <si>
    <t>Batedor/limitador superior para box de correr</t>
  </si>
  <si>
    <t>Bacia convencional – Linha Residencial</t>
  </si>
  <si>
    <t>Bidê 3 furos - Linha Residencial</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</si>
  <si>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</si>
  <si>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</si>
  <si>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</si>
  <si>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</si>
  <si>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</si>
  <si>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Dobradiça automática vidro/vidro para box de vidro temperado</t>
  </si>
  <si>
    <t>Luminária tipo arandela – Linha Residencial</t>
  </si>
  <si>
    <t>Tê misturador de transição 1/2” ou 3/4” – Linha Residencial</t>
  </si>
  <si>
    <t>Base para válvula de descarga 1 1/2”</t>
  </si>
  <si>
    <t>Base para válvula de descarga 1 1/4”</t>
  </si>
  <si>
    <t>Anel de Vedação para bacia sanitária</t>
  </si>
  <si>
    <t>Remoção de boiler</t>
  </si>
  <si>
    <t>Remoção de tacos de madeira</t>
  </si>
  <si>
    <t>Instalação de tacos de madeira reaproveitados</t>
  </si>
  <si>
    <t>Instalação de cortinas reaproveitadas</t>
  </si>
  <si>
    <t>Instalação de bidê reaproveitado</t>
  </si>
  <si>
    <t>Aquecedor elétrico para pia – Linha Residencial</t>
  </si>
  <si>
    <t>Chuveiro elétrico – Linha Residencial</t>
  </si>
  <si>
    <t>Instalação de boiler reaproveitado</t>
  </si>
  <si>
    <t>Prateleira – Linha Residencial</t>
  </si>
  <si>
    <t>Saboneteira – Linha Residencial</t>
  </si>
  <si>
    <t>Módulo campainha eletrônica – Linha Residencial</t>
  </si>
  <si>
    <t>Módulo pulsador – Linha Residencial</t>
  </si>
  <si>
    <t>Luminária redonda de sobrepor (plafond) – Linha Residencial</t>
  </si>
  <si>
    <t>4,87</t>
  </si>
  <si>
    <t>ARAME RECOZIDO 16 BWG, D = 1,65 MM (0,016 KG/M) OU 18 BWG, D = 1,25 MM (0,01 KG/M)</t>
  </si>
  <si>
    <t>2,82</t>
  </si>
  <si>
    <t>BLOCO DE CONCRETO ESTRUTURAL 9 X 19 X 39 CM, FBK 4,5 MPA (NBR 6136)</t>
  </si>
  <si>
    <t>BLOCO DE VEDACAO DE CONCRETO, 9 X 19 X 39 CM (CLASSE C - NBR 6136)</t>
  </si>
  <si>
    <t>11,71</t>
  </si>
  <si>
    <t>2,84</t>
  </si>
  <si>
    <t>1,43</t>
  </si>
  <si>
    <t>2,58</t>
  </si>
  <si>
    <t>1,57</t>
  </si>
  <si>
    <t>6,01</t>
  </si>
  <si>
    <t>REJUNTE EPOXI, QUALQUER COR</t>
  </si>
  <si>
    <t>TIJOLO CERAMICO MACICO COMUM *5 X 10 X 20* CM (L X A X C)</t>
  </si>
  <si>
    <t>TUBO ACO CARBONO SEM COSTURA 1 1/4", E= *3,56 MM, SCHEDULE 40, *3,38* KG/M</t>
  </si>
  <si>
    <t>TUBO ACO CARBONO SEM COSTURA 1", E= *3,38 MM, SCHEDULE 40, *2,50* KG/M</t>
  </si>
  <si>
    <t>TUBO ACO CARBONO SEM COSTURA 5", E= *6,55 MM, SCHEDULE 40, *21,75* KG/M</t>
  </si>
  <si>
    <t>92843</t>
  </si>
  <si>
    <t>TUBO DE CONCRETO PARA REDES COLETORAS DE ESGOTO SANITÁRIO, DIÂMETRO DE 800 MM, JUNTA ELÁSTICA, INSTALADO EM LOCAL COM BAIXO NÍVEL DE INTERFERÊNCIAS - FORNECIMENTO E ASSENTAMENTO. AF_12/2015</t>
  </si>
  <si>
    <t>92845</t>
  </si>
  <si>
    <t>TUBO DE CONCRETO PARA REDES COLETORAS DE ESGOTO SANITÁRIO, DIÂMETRO DE 900 MM, JUNTA ELÁSTICA, INSTALADO EM LOCAL COM BAIXO NÍVEL DE INTERFERÊNCIAS - FORNECIMENTO E ASSENTAMENTO. AF_12/2015</t>
  </si>
  <si>
    <t>92859</t>
  </si>
  <si>
    <t>TUBO DE CONCRETO PARA REDES COLETORAS DE ESGOTO SANITÁRIO, DIÂMETRO DE 800 MM, JUNTA ELÁSTICA, INSTALADO EM LOCAL COM ALTO NÍVEL DE INTERFERÊNCIAS - FORNECIMENTO E ASSENTAMENTO. AF_12/2015</t>
  </si>
  <si>
    <t>92861</t>
  </si>
  <si>
    <t>TUBO DE CONCRETO PARA REDES COLETORAS DE ESGOTO SANITÁRIO, DIÂMETRO DE 900 MM, JUNTA ELÁSTICA, INSTALADO EM LOCAL COM ALTO NÍVEL DE INTERFERÊNCIAS - FORNECIMENTO E ASSENTAMENTO. AF_12/2015</t>
  </si>
  <si>
    <t>14,77</t>
  </si>
  <si>
    <t>14,35</t>
  </si>
  <si>
    <t>7,64</t>
  </si>
  <si>
    <t>90845</t>
  </si>
  <si>
    <t>KIT DE PORTA DE MADEIRA PARA PINTURA, SEMI-OCA (PESADA OU SUPERPESADA), PADRÃO MÉDIO, 80X210CM, ESPESSURA DE 3,5CM, ITENS INCLUSOS: DOBRADIÇAS, MONTAGEM E INSTALAÇÃO DO BATENTE, FECHADURA COM EXECUÇÃO DO FURO - FORNECIMENTO E INSTALAÇÃO. AF_12/2019</t>
  </si>
  <si>
    <t>90846</t>
  </si>
  <si>
    <t>KIT DE PORTA DE MADEIRA PARA PINTURA, SEMI-OCA (PESADA OU SUPERPESADA), PADRÃO MÉDIO, 90X210CM, ESPESSURA DE 3,5CM, ITENS INCLUSOS: DOBRADIÇAS, MONTAGEM E INSTALAÇÃO DO BATENTE, FECHADURA COM EXECUÇÃO DO FURO - FORNECIMENTO E INSTALAÇÃO. AF_12/2019</t>
  </si>
  <si>
    <t>90851</t>
  </si>
  <si>
    <t>KIT DE PORTA DE MADEIRA PARA PINTURA, SEMI-OCA (PESADA OU SUPERPESADA), PADRÃO MÉDIO, 80X210CM, ESPESSURA DE 3,5CM, ITENS INCLUSOS: DOBRADIÇAS, MONTAGEM E INSTALAÇÃO DO BATENTE, SEM FECHADURA - FORNECIMENTO E INSTALAÇÃO. AF_12/2019</t>
  </si>
  <si>
    <t>90852</t>
  </si>
  <si>
    <t>KIT DE PORTA DE MADEIRA PARA PINTURA, SEMI-OCA (PESADA OU SUPERPESADA), PADRÃO MÉDIO, 90X210CM, ESPESSURA DE 3,5CM, ITENS INCLUSOS: DOBRADIÇAS, MONTAGEM E INSTALAÇÃO DO BATENTE, SEM FECHADURA - FORNECIMENTO E INSTALAÇÃO. AF_12/2019</t>
  </si>
  <si>
    <t>91316</t>
  </si>
  <si>
    <t>KIT DE PORTA DE MADEIRA PARA PINTURA, SEMI-OCA (PESADA OU SUPERPESADA), PADRÃO POPULAR, 80X210CM, ESPESSURA DE 3,5CM, ITENS INCLUSOS: DOBRADIÇAS, MONTAGEM E INSTALAÇÃO DO BATENTE, FECHADURA COM EXECUÇÃO DO FURO - FORNECIMENTO E INSTALAÇÃO. AF_12/2019</t>
  </si>
  <si>
    <t>91317</t>
  </si>
  <si>
    <t>KIT DE PORTA DE MADEIRA PARA PINTURA, SEMI-OCA (PESADA OU SUPERPESADA), PADRÃO POPULAR, 90X210CM, ESPESSURA DE 3,5CM, ITENS INCLUSOS: DOBRADIÇAS, MONTAGEM E INSTALAÇÃO DO BATENTE, FECHADURA COM EXECUÇÃO DO FURO - FORNECIMENTO E INSTALAÇÃO. AF_12/2019</t>
  </si>
  <si>
    <t>91322</t>
  </si>
  <si>
    <t>KIT DE PORTA DE MADEIRA PARA PINTURA, SEMI-OCA (PESADA OU SUPERPESADA), PADRÃO POPULAR, 80X210CM, ESPESSURA DE 3,5CM, ITENS INCLUSOS: DOBRADIÇAS, MONTAGEM E INSTALAÇÃO DO BATENTE, SEM FECHADURA - FORNECIMENTO E INSTALAÇÃO. AF_12/2019</t>
  </si>
  <si>
    <t>91323</t>
  </si>
  <si>
    <t>KIT DE PORTA DE MADEIRA PARA PINTURA, SEMI-OCA (PESADA OU SUPERPESADA), PADRÃO POPULAR, 90X210CM, ESPESSURA DE 3,5CM, ITENS INCLUSOS: DOBRADIÇAS, MONTAGEM E INSTALAÇÃO DO BATENTE, SEM FECHADURA - FORNECIMENTO E INSTALAÇÃO. AF_12/2019</t>
  </si>
  <si>
    <t>17,68</t>
  </si>
  <si>
    <t>101489</t>
  </si>
  <si>
    <t>101490</t>
  </si>
  <si>
    <t>101491</t>
  </si>
  <si>
    <t>101492</t>
  </si>
  <si>
    <t>101493</t>
  </si>
  <si>
    <t>101494</t>
  </si>
  <si>
    <t>101495</t>
  </si>
  <si>
    <t>101496</t>
  </si>
  <si>
    <t>101497</t>
  </si>
  <si>
    <t>101498</t>
  </si>
  <si>
    <t>101499</t>
  </si>
  <si>
    <t>101500</t>
  </si>
  <si>
    <t>101501</t>
  </si>
  <si>
    <t>101502</t>
  </si>
  <si>
    <t>101503</t>
  </si>
  <si>
    <t>101504</t>
  </si>
  <si>
    <t>101505</t>
  </si>
  <si>
    <t>101506</t>
  </si>
  <si>
    <t>101507</t>
  </si>
  <si>
    <t>101508</t>
  </si>
  <si>
    <t>101509</t>
  </si>
  <si>
    <t>101510</t>
  </si>
  <si>
    <t>101511</t>
  </si>
  <si>
    <t>101512</t>
  </si>
  <si>
    <t>101513</t>
  </si>
  <si>
    <t>101514</t>
  </si>
  <si>
    <t>101515</t>
  </si>
  <si>
    <t>101516</t>
  </si>
  <si>
    <t>101517</t>
  </si>
  <si>
    <t>101518</t>
  </si>
  <si>
    <t>101519</t>
  </si>
  <si>
    <t>101520</t>
  </si>
  <si>
    <t>101521</t>
  </si>
  <si>
    <t>101522</t>
  </si>
  <si>
    <t>101523</t>
  </si>
  <si>
    <t>101524</t>
  </si>
  <si>
    <t>101525</t>
  </si>
  <si>
    <t>101526</t>
  </si>
  <si>
    <t>101527</t>
  </si>
  <si>
    <t>101528</t>
  </si>
  <si>
    <t>101529</t>
  </si>
  <si>
    <t>101530</t>
  </si>
  <si>
    <t>101531</t>
  </si>
  <si>
    <t>101532</t>
  </si>
  <si>
    <t>101533</t>
  </si>
  <si>
    <t>101534</t>
  </si>
  <si>
    <t>101535</t>
  </si>
  <si>
    <t>101536</t>
  </si>
  <si>
    <t>101537</t>
  </si>
  <si>
    <t>APARELHO SINALIZADOR DE SAÍDA DE GARAGEM, COM CÉLULA FOTOELÉTRICA - FORNECIMENTO E INSTALAÇÃO. AF_07/2020</t>
  </si>
  <si>
    <t>101538</t>
  </si>
  <si>
    <t>ARMAÇÃO SECUNDÁRIA, COM 1 ESTRIBO E 1 ISOLADOR - FORNECIMENTO E INSTALAÇÃO. AF_07/2020</t>
  </si>
  <si>
    <t>101539</t>
  </si>
  <si>
    <t>ARMAÇÃO SECUNDÁRIA, COM 2 ESTRIBOS E 2 ISOLADORES - FORNECIMENTO E INSTALAÇÃO. AF_07/2020</t>
  </si>
  <si>
    <t>101540</t>
  </si>
  <si>
    <t>ARMAÇÃO SECUNDÁRIA, COM 3 ESTRIBOS E 3 ISOLADORES - FORNECIMENTO E INSTALAÇÃO. AF_07/2020</t>
  </si>
  <si>
    <t>101541</t>
  </si>
  <si>
    <t>ARMAÇÃO SECUNDÁRIA, COM 4 ESTRIBOS E 4 ISOLADORES - FORNECIMENTO E INSTALAÇÃO. AF_07/2020</t>
  </si>
  <si>
    <t>101542</t>
  </si>
  <si>
    <t>ARMAÇÃO SECUNDÁRIA, COM 1 ESTRIBO, SEM ISOLADOR - FORNECIMENTO E INSTALAÇÃO. AF_07/2020</t>
  </si>
  <si>
    <t>101543</t>
  </si>
  <si>
    <t>ARMAÇÃO SECUNDÁRIA, COM 2 ESTRIBOS, SEM ISOLADOR - FORNECIMENTO E INSTALAÇÃO. AF_07/2020</t>
  </si>
  <si>
    <t>101544</t>
  </si>
  <si>
    <t>ARMAÇÃO SECUNDÁRIA, COM 3 ESTRIBOS, SEM ISOLADOR - FORNECIMENTO E INSTALAÇÃO. AF_07/2020</t>
  </si>
  <si>
    <t>101545</t>
  </si>
  <si>
    <t>ARMAÇÃO SECUNDÁRIA, COM 4 ESTRIBOS, SEM ISOLADOR - FORNECIMENTO E INSTALAÇÃO. AF_07/2020</t>
  </si>
  <si>
    <t>101546</t>
  </si>
  <si>
    <t>ISOLADOR, TIPO PINO, PARA TENSÃO 15 KV - FORNECIMENTO E INSTALAÇÃO. AF_07/2020</t>
  </si>
  <si>
    <t>101547</t>
  </si>
  <si>
    <t>ISOLADOR, TIPO DISCO, PARA TENSÃO 15 KV - FORNECIMENTO E INSTALAÇÃO. AF_07/2020</t>
  </si>
  <si>
    <t>101548</t>
  </si>
  <si>
    <t>ISOLADOR, TIPO ROLDANA, PARA BAIXA TENSÃO - FORNECIMENTO E INSTALAÇÃO. AF_07/2020</t>
  </si>
  <si>
    <t>101549</t>
  </si>
  <si>
    <t>GRAMPO PARALELO METÁLICO, PARA REDES AÉREAS DE DISTRIBUIÇÃO DE ENERGIA ELÉTRICA DE BAIXA TENSÃO - FORNECIMENTO E INSTALAÇÃO. AF_07/2020</t>
  </si>
  <si>
    <t>101553</t>
  </si>
  <si>
    <t>ALÇA PREFORMADA DE DISTRIBUIÇÃO, EM  AÇO GALVANIZADO, AWG 1 - FORNECIMENTO E INSTALAÇÃO. AF_07/2020</t>
  </si>
  <si>
    <t>101554</t>
  </si>
  <si>
    <t>ALÇA PREFORMADA DE DISTRIBUIÇÃO, EM  AÇO GALVANIZADO, AWG 2 - FORNECIMENTO E INSTALAÇÃO. AF_07/2020</t>
  </si>
  <si>
    <t>101555</t>
  </si>
  <si>
    <t>ALÇA PREFORMADA DE DISTRIBUIÇÃO, EM  AÇO GALVANIZADO, AWG 4 - FORNECIMENTO E INSTALAÇÃO. AF_07/2020</t>
  </si>
  <si>
    <t>101556</t>
  </si>
  <si>
    <t>ALÇA PREFORMADA DE DISTRIBUIÇÃO, EM  AÇO GALVANIZADO, AWG 6 - FORNECIMENTO E INSTALAÇÃO. AF_07/2020</t>
  </si>
  <si>
    <t>101560</t>
  </si>
  <si>
    <t>CABO DE COBRE FLEXÍVEL ISOLADO, 10 MM², 0,6/1,0 KV, PARA REDE AÉREA DE DISTRIBUIÇÃO DE ENERGIA ELÉTRICA DE BAIXA TENSÃO - FORNECIMENTO E INSTALAÇÃO. AF_07/2020</t>
  </si>
  <si>
    <t>101561</t>
  </si>
  <si>
    <t>CABO DE COBRE FLEXÍVEL ISOLADO, 16 MM², 0,6/1,0 KV, PARA REDE AÉREA DE DISTRIBUIÇÃO DE ENERGIA ELÉTRICA DE BAIXA TENSÃO - FORNECIMENTO E INSTALAÇÃO. AF_07/2020</t>
  </si>
  <si>
    <t>101562</t>
  </si>
  <si>
    <t>CABO DE COBRE FLEXÍVEL ISOLADO, 25 MM², 0,6/1,0 KV, PARA REDE AÉREA DE DISTRIBUIÇÃO DE ENERGIA ELÉTRICA DE BAIXA TENSÃO - FORNECIMENTO E INSTALAÇÃO. AF_07/2020</t>
  </si>
  <si>
    <t>101563</t>
  </si>
  <si>
    <t>CABO DE COBRE FLEXÍVEL ISOLADO, 35 MM², 0,6/1,0 KV, PARA REDE AÉREA DE DISTRIBUIÇÃO DE ENERGIA ELÉTRICA DE BAIXA TENSÃO - FORNECIMENTO E INSTALAÇÃO. AF_07/2020</t>
  </si>
  <si>
    <t>101564</t>
  </si>
  <si>
    <t>CABO DE COBRE FLEXÍVEL ISOLADO, 50 MM², 0,6/1,0 KV, PARA REDE AÉREA DE DISTRIBUIÇÃO DE ENERGIA ELÉTRICA DE BAIXA TENSÃO - FORNECIMENTO E INSTALAÇÃO. AF_07/2020</t>
  </si>
  <si>
    <t>101565</t>
  </si>
  <si>
    <t>CABO DE COBRE FLEXÍVEL ISOLADO, 70 MM², 0,6/1,0 KV, PARA REDE AÉREA DE DISTRIBUIÇÃO DE ENERGIA ELÉTRICA DE BAIXA TENSÃO - FORNECIMENTO E INSTALAÇÃO. AF_07/2020</t>
  </si>
  <si>
    <t>101567</t>
  </si>
  <si>
    <t>CABO DE COBRE FLEXÍVEL ISOLADO, 95 MM², 0,6/1,0 KV, PARA REDE AÉREA DE DISTRIBUIÇÃO DE ENERGIA ELÉTRICA DE BAIXA TENSÃO - FORNECIMENTO E INSTALAÇÃO. AF_07/2020</t>
  </si>
  <si>
    <t>101568</t>
  </si>
  <si>
    <t>CABO DE COBRE FLEXÍVEL ISOLADO, 120 MM², 0,6/1,0 KV, PARA REDE AÉREA DE DISTRIBUIÇÃO DE ENERGIA ELÉTRICA DE BAIXA TENSÃO - FORNECIMENTO E INSTALAÇÃO. AF_07/2020</t>
  </si>
  <si>
    <t>12,51</t>
  </si>
  <si>
    <t>98059</t>
  </si>
  <si>
    <t>98060</t>
  </si>
  <si>
    <t>98061</t>
  </si>
  <si>
    <t>101114</t>
  </si>
  <si>
    <t>101115</t>
  </si>
  <si>
    <t>101116</t>
  </si>
  <si>
    <t>101117</t>
  </si>
  <si>
    <t>101118</t>
  </si>
  <si>
    <t>101119</t>
  </si>
  <si>
    <t>101120</t>
  </si>
  <si>
    <t>101121</t>
  </si>
  <si>
    <t>101122</t>
  </si>
  <si>
    <t>101123</t>
  </si>
  <si>
    <t>101124</t>
  </si>
  <si>
    <t>101125</t>
  </si>
  <si>
    <t>101126</t>
  </si>
  <si>
    <t>101127</t>
  </si>
  <si>
    <t>101128</t>
  </si>
  <si>
    <t>101129</t>
  </si>
  <si>
    <t>101130</t>
  </si>
  <si>
    <t>101131</t>
  </si>
  <si>
    <t>101132</t>
  </si>
  <si>
    <t>101133</t>
  </si>
  <si>
    <t>101134</t>
  </si>
  <si>
    <t>101135</t>
  </si>
  <si>
    <t>101136</t>
  </si>
  <si>
    <t>101137</t>
  </si>
  <si>
    <t>101138</t>
  </si>
  <si>
    <t>101139</t>
  </si>
  <si>
    <t>101140</t>
  </si>
  <si>
    <t>101141</t>
  </si>
  <si>
    <t>101142</t>
  </si>
  <si>
    <t>101143</t>
  </si>
  <si>
    <t>101144</t>
  </si>
  <si>
    <t>101145</t>
  </si>
  <si>
    <t>101146</t>
  </si>
  <si>
    <t>101147</t>
  </si>
  <si>
    <t>101148</t>
  </si>
  <si>
    <t>101149</t>
  </si>
  <si>
    <t>101150</t>
  </si>
  <si>
    <t>101151</t>
  </si>
  <si>
    <t>101152</t>
  </si>
  <si>
    <t>101153</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</si>
  <si>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</si>
  <si>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</si>
  <si>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</si>
  <si>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</si>
  <si>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97054</t>
  </si>
  <si>
    <t>INSTALAÇÃO DE SINALIZADOR NOTURNO LED. AF_11/2017</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</si>
  <si>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</si>
  <si>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</si>
  <si>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</si>
  <si>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</si>
  <si>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</si>
  <si>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</si>
  <si>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</si>
  <si>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</si>
  <si>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</si>
  <si>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</si>
  <si>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</si>
  <si>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</si>
  <si>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</si>
  <si>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</si>
  <si>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</si>
  <si>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</si>
  <si>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</si>
  <si>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</si>
  <si>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</si>
  <si>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</si>
  <si>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</si>
  <si>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</si>
  <si>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</si>
  <si>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</si>
  <si>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</si>
  <si>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</si>
  <si>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</si>
  <si>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</si>
  <si>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100937</t>
  </si>
  <si>
    <t>TRANSPORTE COM CAMINHÃO BASCULANTE DE 6 M³, EM VIA INTERNA (DENTRO DO CANTEIRO - UNIDADE: M3XKM). AF_07/2020</t>
  </si>
  <si>
    <t>100938</t>
  </si>
  <si>
    <t>TRANSPORTE COM CAMINHÃO BASCULANTE DE 10 M³, EM VIA INTERNA (DENTRO DO CANTEIRO - UNIDADE: M3XKM). AF_07/2020</t>
  </si>
  <si>
    <t>100939</t>
  </si>
  <si>
    <t>TRANSPORTE COM CAMINHÃO BASCULANTE DE 14 M³, EM VIA INTERNA (DENTRO DO CANTEIRO - UNIDADE:M3XKM). AF_07/2020</t>
  </si>
  <si>
    <t>100940</t>
  </si>
  <si>
    <t>TRANSPORTE COM CAMINHÃO BASCULANTE DE 18 M³, EM VIA INTERNA (DENTRO DO CANTEIRO - UNIDADE: M3XKM). AF_07/2020</t>
  </si>
  <si>
    <t>100941</t>
  </si>
  <si>
    <t>TRANSPORTE COM CAMINHÃO BASCULANTE DE 6 M³, EM VIA INTERNA (DENTRO DO CANTEIRO - UNIDADE: TXKM). AF_07/2020</t>
  </si>
  <si>
    <t>100942</t>
  </si>
  <si>
    <t>TRANSPORTE COM CAMINHÃO BASCULANTE DE 10 M³, EM VIA INTERNA A OBRA (UNIDADE: TXKM). AF_07/2020</t>
  </si>
  <si>
    <t>100943</t>
  </si>
  <si>
    <t>TRANSPORTE COM CAMINHÃO BASCULANTE DE 14 M³, EM VIA INTERNA (DENTRO DO CANTEIRO - UNIDADE: TXKM). AF_07/2020</t>
  </si>
  <si>
    <t>100944</t>
  </si>
  <si>
    <t>TRANSPORTE COM CAMINHÃO BASCULANTE DE 18 M³, EM VIA INTERNA (DENTRO DO CANTEIRO - UNIDADE: TXKM). AF_07/2020</t>
  </si>
  <si>
    <t>100945</t>
  </si>
  <si>
    <t>TRANSPORTE COM CAMINHÃO CARROCERIA 9T, EM VIA URBANA EM LEITO NATURAL (UNIDADE: TXKM). AF_07/2020</t>
  </si>
  <si>
    <t>100946</t>
  </si>
  <si>
    <t>TRANSPORTE COM CAMINHÃO CARROCERIA 9T, EM VIA URBANA EM REVESTIMENTO PRIMÁRIO (UNIDADE: TXKM). AF_07/2020</t>
  </si>
  <si>
    <t>100947</t>
  </si>
  <si>
    <t>TRANSPORTE COM CAMINHÃO CARROCERIA 9T, EM VIA URBANA PAVIMENTADA, DMT ATÉ 30KM (UNIDADE: TXKM). AF_07/2020</t>
  </si>
  <si>
    <t>100948</t>
  </si>
  <si>
    <t>TRANSPORTE COM CAMINHÃO CARROCERIA 9T, EM VIA URBANA PAVIMENTADA, ADICIONAL PARA DMT EXCEDENTE A 30 KM (UNIDADE: TXKM). AF_07/2020</t>
  </si>
  <si>
    <t>100949</t>
  </si>
  <si>
    <t>TRANSPORTE COM CAMINHÃO CARROCERIA 9T, EM VIA INTERNA (DENTRO DO CANTEIRO - UNIDADE: TXKM). AF_07/2020</t>
  </si>
  <si>
    <t>100950</t>
  </si>
  <si>
    <t>TRANSPORTE COM CAMINHÃO CARROCERIA COM GUINDAUTO (MUNCK),  MOMENTO MÁXIMO DE CARGA 11,7 TM, EM VIA URBANA EM LEITO NATURAL (UNIDADE: TXKM). AF_07/2020</t>
  </si>
  <si>
    <t>100951</t>
  </si>
  <si>
    <t>TRANSPORTE COM CAMINHÃO CARROCERIA COM GUINDAUTO (MUNCK),  MOMENTO MÁXIMO DE CARGA 11,7 TM, EM VIA URBANA EM REVESTIMENTO PRIMÁRIO (UNIDADE: TXKM). AF_07/2020</t>
  </si>
  <si>
    <t>100952</t>
  </si>
  <si>
    <t>TRANSPORTE COM CAMINHÃO CARROCERIA COM GUINDAUTO (MUNCK),  MOMENTO MÁXIMO DE CARGA 11,7 TM, EM VIA URBANA PAVIMENTADA, DMT ATÉ 30KM (UNIDADE: TXKM). AF_07/2020</t>
  </si>
  <si>
    <t>100953</t>
  </si>
  <si>
    <t>TRANSPORTE COM CAMINHÃO CARROCERIA COM GUINDAUTO (MUNCK),  MOMENTO MÁXIMO DE CARGA 11,7 TM, EM VIA URBANA PAVIMENTADA, ADICIONAL PARA DMT EXCEDENTE A 30 KM (UNIDADE: TXKM). AF_07/2020</t>
  </si>
  <si>
    <t>100954</t>
  </si>
  <si>
    <t>TRANSPORTE COM CAMINHÃO CARROCERIA COM GUINDAUTO (MUNCK),  MOMENTO MÁXIMO DE CARGA 11,7 TM, EM VIA INTERNA (DENTRO DO CANTEIRO - UNIDADE: TXKM). AF_07/2020</t>
  </si>
  <si>
    <t>100955</t>
  </si>
  <si>
    <t>TRANSPORTE COM CAMINHÃO PIPA DE 6 M³, EM VIA URBANA EM LEITO NATURAL (UNIDADE: M3XKM). AF_07/2020</t>
  </si>
  <si>
    <t>100956</t>
  </si>
  <si>
    <t>TRANSPORTE COM CAMINHÃO PIPA DE 6 M³, EM VIA URBANA EM REVESTIMENTO PRIMÁRIO (UNIDADE: M3XKM). AF_07/2020</t>
  </si>
  <si>
    <t>100957</t>
  </si>
  <si>
    <t>TRANSPORTE COM CAMINHÃO PIPA DE 6 M³, EM VIA URBANA PAVIMENTADA, DMT ATÉ 30KM (UNIDADE: M3XKM). AF_07/2020</t>
  </si>
  <si>
    <t>100958</t>
  </si>
  <si>
    <t>TRANSPORTE COM CAMINHÃO PIPA DE 6 M³, EM VIA URBANA PAVIMENTADA, ADICIONAL PARA DMT EXCEDENTE A 30 KM (UNIDADE: M3XKM). AF_07/2020</t>
  </si>
  <si>
    <t>100959</t>
  </si>
  <si>
    <t>TRANSPORTE COM CAMINHÃO PIPA DE 6 M³, EM VIA INTERNA (DENTRO DO CANTEIRO - UNIDADE: M3XKM). AF_07/2020</t>
  </si>
  <si>
    <t>100960</t>
  </si>
  <si>
    <t>TRANSPORTE COM CAMINHÃO PIPA DE 10 M³, EM VIA URBANA EM LEITO NATURAL (UNIDADE: M3XKM). AF_07/2020</t>
  </si>
  <si>
    <t>100961</t>
  </si>
  <si>
    <t>TRANSPORTE COM CAMINHÃO PIPA DE 10 M³, EM VIA URBANA EM REVESTIMENTO PRIMÁRIO (UNIDADE: M3XKM). AF_07/2020</t>
  </si>
  <si>
    <t>100962</t>
  </si>
  <si>
    <t>TRANSPORTE COM CAMINHÃO PIPA DE 10 M³, EM VIA URBANA PAVIMENTADA, DMT ATÉ 30KM (UNIDADE: M3XKM). AF_07/2020</t>
  </si>
  <si>
    <t>100963</t>
  </si>
  <si>
    <t>TRANSPORTE COM CAMINHÃO PIPA DE 10 M³, EM VIA URBANA PAVIMENTADA, ADICIONAL PARA DMT EXCEDENTE A 30 KM (UNIDADE: M3XKM). AF_07/2020</t>
  </si>
  <si>
    <t>100964</t>
  </si>
  <si>
    <t>TRANSPORTE COM CAMINHÃO PIPA DE 10 M³, EM VIA INTERNA (DENTRO DO CANTEIRO - UNIDADE: M3XKM). AF_07/2020</t>
  </si>
  <si>
    <t>100973</t>
  </si>
  <si>
    <t>CARGA, MANOBRA E DESCARGA DE SOLOS E MATERIAIS GRANULARES EM CAMINHÃO BASCULANTE 6 M³ - CARGA COM PÁ CARREGADEIRA (CAÇAMBA DE 1,7 A 2,8 M³ / 128 HP) E DESCARGA LIVRE (UNIDADE: M3). AF_07/2020</t>
  </si>
  <si>
    <t>100974</t>
  </si>
  <si>
    <t>CARGA, MANOBRA E DESCARGA DE SOLOS E MATERIAIS GRANULARES EM CAMINHÃO BASCULANTE 10 M³ - CARGA COM PÁ CARREGADEIRA (CAÇAMBA DE 1,7 A 2,8 M³ / 128 HP) E DESCARGA LIVRE (UNIDADE: M3). AF_07/2020</t>
  </si>
  <si>
    <t>100975</t>
  </si>
  <si>
    <t>CARGA, MANOBRA E DESCARGA DE SOLOS E MATERIAIS GRANULARES EM CAMINHÃO BASCULANTE 14 M³ - CARGA COM PÁ CARREGADEIRA (CAÇAMBA DE 1,7 A 2,8 M³ / 128 HP) E DESCARGA LIVRE (UNIDADE: M3). AF_07/2020</t>
  </si>
  <si>
    <t>100965</t>
  </si>
  <si>
    <t>TRANSPORTE COM CAMINHÃO TANQUE DE TRANSPORTE DE MATERIAL ASFÁLTICO DE 30000 L, EM VIA URBANA EM  LEITO NATURAL (UNIDADE: TXKM). AF_07/2020</t>
  </si>
  <si>
    <t>100966</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</si>
  <si>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</si>
  <si>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</si>
  <si>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</si>
  <si>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100969</t>
  </si>
  <si>
    <t>TRANSPORTE COM CAMINHÃO TANQUE DE TRANSPORTE DE MATERIAL ASFÁLTICO DE 20000 L, EM VIA URBANA EM LEITO NATURAL (UNIDADE: TXKM). AF_07/2020</t>
  </si>
  <si>
    <t>100970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</si>
  <si>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</si>
  <si>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</si>
  <si>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</si>
  <si>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101019</t>
  </si>
  <si>
    <t>CARGA, MANOBRA E DESCARGA MANUAL DE TUBOS PLÁSTICOS, DN MENOR OU IGUAL A 100 MM, EM CAMINHÃO CARROCERIA 9T. AF_07/2020</t>
  </si>
  <si>
    <t>101479</t>
  </si>
  <si>
    <t>CARGA, MANOBRA E DESCARGA MANUAL DE TUBOS PLÁSTICOS, DN 200 MM, EM CAMINHÃO CARROCERIA 9T. AF_07/2020</t>
  </si>
  <si>
    <t>100976</t>
  </si>
  <si>
    <t>CARGA, MANOBRA E DESCARGA DE SOLOS E MATERIAIS GRANULARES EM CAMINHÃO BASCULANTE 18 M³ - CARGA COM PÁ CARREGADEIRA (CAÇAMBA DE 1,7 A 2,8 M³ / 128 HP) E DESCARGA LIVRE (UNIDADE: M3). AF_07/2020</t>
  </si>
  <si>
    <t>100977</t>
  </si>
  <si>
    <t>CARGA, MANOBRA E DESCARGA DE SOLOS E MATERIAIS GRANULARES EM CAMINHÃO BASCULANTE 6 M³ - CARGA COM ESCAVADEIRA HIDRÁULICA (CAÇAMBA DE 1,20 M³ / 155 HP) E DESCARGA LIVRE (UNIDADE: M3). AF_07/2020</t>
  </si>
  <si>
    <t>100978</t>
  </si>
  <si>
    <t>CARGA, MANOBRA E DESCARGA DE SOLOS E MATERIAIS GRANULARES EM CAMINHÃO BASCULANTE 10 M³ - CARGA COM ESCAVADEIRA HIDRÁULICA (CAÇAMBA DE 1,20 M³ / 155 HP) E DESCARGA LIVRE (UNIDADE: M3). AF_07/2020</t>
  </si>
  <si>
    <t>100979</t>
  </si>
  <si>
    <t>CARGA, MANOBRA E DESCARGA DE SOLOS E MATERIAIS GRANULARES EM CAMINHÃO BASCULANTE 14 M³ - CARGA COM ESCAVADEIRA HIDRÁULICA (CAÇAMBA DE 1,20 M³ / 155 HP) E DESCARGA LIVRE (UNIDADE: M3). AF_07/2020</t>
  </si>
  <si>
    <t>100980</t>
  </si>
  <si>
    <t>CARGA, MANOBRA E DESCARGA DE SOLOS E MATERIAIS GRANULARES EM CAMINHÃO BASCULANTE 18 M³ - CARGA COM ESCAVADEIRA HIDRÁULICA (CAÇAMBA DE 1,20 M³ / 155 HP) E DESCARGA LIVRE (UNIDADE: M3). AF_07/2020</t>
  </si>
  <si>
    <t>100981</t>
  </si>
  <si>
    <t>CARGA, MANOBRA E DESCARGA DE ENTULHO EM CAMINHÃO BASCULANTE 6 M³ - CARGA COM ESCAVADEIRA HIDRÁULICA  (CAÇAMBA DE 0,80 M³ / 111 HP) E DESCARGA LIVRE (UNIDADE: M3). AF_07/2020</t>
  </si>
  <si>
    <t>100982</t>
  </si>
  <si>
    <t>CARGA, MANOBRA E DESCARGA DE ENTULHO EM CAMINHÃO BASCULANTE 10 M³ - CARGA COM ESCAVADEIRA HIDRÁULICA  (CAÇAMBA DE 0,80 M³ / 111 HP) E DESCARGA LIVRE (UNIDADE: M3). AF_07/2020</t>
  </si>
  <si>
    <t>100983</t>
  </si>
  <si>
    <t>CARGA, MANOBRA E DESCARGA DE ENTULHO EM CAMINHÃO BASCULANTE 14 M³ - CARGA COM ESCAVADEIRA HIDRÁULICA  (CAÇAMBA DE 0,80 M³ / 111 HP) E DESCARGA LIVRE (UNIDADE: M3). AF_07/2020</t>
  </si>
  <si>
    <t>100984</t>
  </si>
  <si>
    <t>CARGA, MANOBRA E DESCARGA DE ENTULHO EM CAMINHÃO BASCULANTE 18 M³ - CARGA COM ESCAVADEIRA HIDRÁULICA  (CAÇAMBA DE 0,80 M³ / 111 HP) E DESCARGA LIVRE (UNIDADE: M3). AF_07/2020</t>
  </si>
  <si>
    <t>100985</t>
  </si>
  <si>
    <t>CARGA DE MISTURA ASFÁLTICA EM CAMINHÃO BASCULANTE 6 M³ (UNIDADE: M3). AF_07/2020</t>
  </si>
  <si>
    <t>100986</t>
  </si>
  <si>
    <t>CARGA DE MISTURA ASFÁLTICA EM CAMINHÃO BASCULANTE 10 M³ (UNIDADE: M3). AF_07/2020</t>
  </si>
  <si>
    <t>100987</t>
  </si>
  <si>
    <t>CARGA DE MISTURA ASFÁLTICA EM CAMINHÃO BASCULANTE 14 M³ (UNIDADE: M3). AF_07/2020</t>
  </si>
  <si>
    <t>100988</t>
  </si>
  <si>
    <t>CARGA DE MISTURA ASFÁLTICA EM CAMINHÃO BASCULANTE 18 M³ (UNIDADE: M3). AF_07/2020</t>
  </si>
  <si>
    <t>100989</t>
  </si>
  <si>
    <t>CARGA, MANOBRA E DESCARGA DE SOLOS E MATERIAIS GRANULARES EM CAMINHÃO BASCULANTE 6 M³ - CARGA COM PÁ CARREGADEIRA (CAÇAMBA DE 1,7 A 2,8 M³ / 128 HP) E DESCARGA LIVRE (UNIDADE: T). AF_07/2020</t>
  </si>
  <si>
    <t>100990</t>
  </si>
  <si>
    <t>CARGA, MANOBRA E DESCARGA DE SOLOS E MATERIAIS GRANULARES EM CAMINHÃO BASCULANTE 10 M³ - CARGA COM PÁ CARREGADEIRA (CAÇAMBA DE 1,7 A 2,8 M³ / 128 HP) E DESCARGA LIVRE (UNIDADE: T). AF_07/2020</t>
  </si>
  <si>
    <t>100991</t>
  </si>
  <si>
    <t>CARGA, MANOBRA E DESCARGA DE SOLOS E MATERIAIS GRANULARES EM CAMINHÃO BASCULANTE 14 M³ - CARGA COM PÁ CARREGADEIRA (CAÇAMBA DE 1,7 A 2,8 M³ / 128 HP) E DESCARGA LIVRE (UNIDADE: T). AF_07/2020</t>
  </si>
  <si>
    <t>100992</t>
  </si>
  <si>
    <t>CARGA, MANOBRA E DESCARGA DE SOLOS E MATERIAIS GRANULARES EM CAMINHÃO BASCULANTE 18 M³ - CARGA COM PÁ CARREGADEIRA (CAÇAMBA DE 1,7 A 2,8 M³ / 128 HP) E DESCARGA LIVRE (UNIDADE: T). AF_07/2020</t>
  </si>
  <si>
    <t>100993</t>
  </si>
  <si>
    <t>CARGA, MANOBRA E DESCARGA DE SOLOS E MATERIAIS GRANULARES EM CAMINHÃO BASCULANTE 6 M³ - CARGA COM ESCAVADEIRA HIDRÁULICA (CAÇAMBA DE 1,20 M³ / 155 HP) E DESCARGA LIVRE (UNIDADE: T). AF_07/2020</t>
  </si>
  <si>
    <t>100994</t>
  </si>
  <si>
    <t>CARGA, MANOBRA E DESCARGA DE SOLOS E MATERIAIS GRANULARES EM CAMINHÃO BASCULANTE 10 M³ - CARGA COM ESCAVADEIRA HIDRÁULICA (CAÇAMBA DE 1,20 M³ / 155 HP) E DESCARGA LIVRE (UNIDADE: T). AF_07/2020</t>
  </si>
  <si>
    <t>100995</t>
  </si>
  <si>
    <t>CARGA, MANOBRA E DESCARGA DE SOLOS E MATERIAIS GRANULARES EM CAMINHÃO BASCULANTE 14 M³ - CARGA COM ESCAVADEIRA HIDRÁULICA (CAÇAMBA DE 1,20 M³ / 155 HP) E DESCARGA LIVRE (UNIDADE: T). AF_07/2020</t>
  </si>
  <si>
    <t>100996</t>
  </si>
  <si>
    <t>CARGA, MANOBRA E DESCARGA DE SOLOS E MATERIAIS GRANULARES EM CAMINHÃO BASCULANTE 18 M³ - CARGA COM ESCAVADEIRA HIDRÁULICA (CAÇAMBA DE 1,20 M³ / 155 HP) E DESCARGA LIVRE (UNIDADE: T). AF_07/2020</t>
  </si>
  <si>
    <t>100997</t>
  </si>
  <si>
    <t>CARGA, MANOBRA E DESCARGA DE ENTULHO EM CAMINHÃO BASCULANTE 6 M³ - CARGA COM ESCAVADEIRA HIDRÁULICA  (CAÇAMBA DE 0,80 M³ / 111 HP) E DESCARGA LIVRE (UNIDADE: T). AF_07/2020</t>
  </si>
  <si>
    <t>100998</t>
  </si>
  <si>
    <t>CARGA, MANOBRA E DESCARGA DE ENTULHO EM CAMINHÃO BASCULANTE 10 M³ - CARGA COM ESCAVADEIRA HIDRÁULICA  (CAÇAMBA DE 0,80 M³ / 111 HP) E DESCARGA LIVRE (UNIDADE: T). AF_07/2020</t>
  </si>
  <si>
    <t>100999</t>
  </si>
  <si>
    <t>CARGA, MANOBRA E DESCARGA DE ENTULHO EM CAMINHÃO BASCULANTE 14 M³ - CARGA COM ESCAVADEIRA HIDRÁULICA  (CAÇAMBA DE 0,80 M³ / 111 HP) E DESCARGA LIVRE (UNIDADE: T). AF_07/2020</t>
  </si>
  <si>
    <t>101000</t>
  </si>
  <si>
    <t>CARGA, MANOBRA E DESCARGA DE ENTULHO EM CAMINHÃO BASCULANTE 18 M³ - CARGA COM ESCAVADEIRA HIDRÁULICA  (CAÇAMBA DE 0,80 M³ / 111 HP) E DESCARGA LIVRE (UNIDADE: T). AF_07/2020</t>
  </si>
  <si>
    <t>101001</t>
  </si>
  <si>
    <t>CARGA DE MISTURA ASFÁLTICA EM CAMINHÃO BASCULANTE 6 M³ (UNIDADE: T). AF_07/2020</t>
  </si>
  <si>
    <t>101002</t>
  </si>
  <si>
    <t>CARGA DE MISTURA ASFÁLTICA EM CAMINHÃO BASCULANTE 10 M³ (UNIDADE: T). AF_07/2020</t>
  </si>
  <si>
    <t>101003</t>
  </si>
  <si>
    <t>CARGA DE MISTURA ASFÁLTICA EM CAMINHÃO BASCULANTE 14 M³ (UNIDADE: T). AF_07/2020</t>
  </si>
  <si>
    <t>101004</t>
  </si>
  <si>
    <t>CARGA DE MISTURA ASFÁLTICA EM CAMINHÃO BASCULANTE 18 M³ (UNIDADE: T). AF_07/2020</t>
  </si>
  <si>
    <t>101005</t>
  </si>
  <si>
    <t>CARGA, MANOBRA E DESCARGA DE ÁGUA EM CAMINHÃO PIPA 6 M³. AF_07/2020</t>
  </si>
  <si>
    <t>101006</t>
  </si>
  <si>
    <t>CARGA, MANOBRA E DESCARGA DE ÁGUA EM CAMINHÃO PIPA 10 M³. AF_07/2020</t>
  </si>
  <si>
    <t>101007</t>
  </si>
  <si>
    <t>CARGA DE ÁGUA EM CAMINHÃO PIPA 6 M³. AF_07/2020</t>
  </si>
  <si>
    <t>101008</t>
  </si>
  <si>
    <t>CARGA DE ÁGUA EM CAMINHÃO PIPA 10 M³. AF_07/2020</t>
  </si>
  <si>
    <t>101009</t>
  </si>
  <si>
    <t>CARGA, MANOBRA E DESCARGA DE POSTE DE CONCRETO EM CAMINHÃO CARROCERIA COM GUINDAUTO (MUNCK) 11,7 TM. AF_07/2020</t>
  </si>
  <si>
    <t>101010</t>
  </si>
  <si>
    <t>CARGA, MANOBRA E DESCARGA DE PERFIL METÁLICO EM CAMINHÃO CARROCERIA COM GUINDAUTO (MUNCK) 11,7 TM. AF_07/2020</t>
  </si>
  <si>
    <t>101013</t>
  </si>
  <si>
    <t>CARGA, MANOBRA E DESCARGA DE TUBOS DE CONCRETO, DN MENOR OU IGUAL A 300 MM, EM CAMINHÃO CARROCERIA COM GUINDAUTO (MUNCK) 11,7 TM. AF_07/2020</t>
  </si>
  <si>
    <t>101014</t>
  </si>
  <si>
    <t>CARGA, MANOBRA E DESCARGA DE TUBOS DE CONCRETO, DN 400 MM, EM CAMINHÃO CARROCERIA COM GUINDAUTO (MUNCK) 11,7 TM. AF_07/2020</t>
  </si>
  <si>
    <t>101015</t>
  </si>
  <si>
    <t>CARGA, MANOBRA E DESCARGA DE TUBOS DE CONCRETO, DN 500 MM, EM CAMINHÃO CARROCERIA COM GUINDAUTO (MUNCK) 11,7 TM. AF_07/2020</t>
  </si>
  <si>
    <t>101016</t>
  </si>
  <si>
    <t>CARGA, MANOBRA E DESCARGA DE TUBOS METÁLICOS, DN MENOR OU IGUAL A 150 MM, EM CAMINHÃO CARROCERIA COM GUINDAUTO (MUNCK) 11,7 TM. AF_07/2020</t>
  </si>
  <si>
    <t>101017</t>
  </si>
  <si>
    <t>CARGA, MANOBRA E DESCARGA DE TUBOS METÁLICOS, DN 200 MM, EM CAMINHÃO CARROCERIA COM GUINDAUTO (MUNCK) 11,7 TM. AF_07/2020</t>
  </si>
  <si>
    <t>101018</t>
  </si>
  <si>
    <t>CARGA, MANOBRA E DESCARGA DE TUBOS METÁLICOS, DN 250 MM, EM CAMINHÃO CARROCERIA COM GUINDAUTO (MUNCK) 11,7 TM. AF_07/2020</t>
  </si>
  <si>
    <t>101463</t>
  </si>
  <si>
    <t>CARGA, MANOBRA E DESCARGA DE TUBOS DE CONCRETO, DN 600 MM, EM CAMINHÃO CARROCERIA COM GUINDAUTO (MUNCK) 11,7 TM. AF_07/2020</t>
  </si>
  <si>
    <t>101464</t>
  </si>
  <si>
    <t>CARGA, MANOBRA E DESCARGA DE TUBOS DE CONCRETO, DN 700 MM, EM CAMINHÃO CARROCERIA COM GUINDAUTO (MUNCK) 11,7 TM. AF_07/2020</t>
  </si>
  <si>
    <t>101465</t>
  </si>
  <si>
    <t>CARGA, MANOBRA E DESCARGA DE TUBOS DE CONCRETO, DN 800 MM, EM CAMINHÃO CARROCERIA COM GUINDAUTO (MUNCK) 11,7 TM. AF_07/2020</t>
  </si>
  <si>
    <t>101466</t>
  </si>
  <si>
    <t>CARGA, MANOBRA E DESCARGA DE TUBOS DE CONCRETO, DN 900 MM, EM CAMINHÃO CARROCERIA COM GUINDAUTO (MUNCK) 11,7 TM. AF_07/2020</t>
  </si>
  <si>
    <t>101467</t>
  </si>
  <si>
    <t>CARGA, MANOBRA E DESCARGA DE TUBOS DE CONCRETO, DN 1000 MM, EM CAMINHÃO CARROCERIA COM GUINDAUTO (MUNCK) 11,7 TM. AF_07/2020</t>
  </si>
  <si>
    <t>101468</t>
  </si>
  <si>
    <t>CARGA, MANOBRA E DESCARGA DE TUBOS DE CONCRETO, DN 1200 MM, EM CAMINHÃO CARROCERIA COM GUINDAUTO (MUNCK) 11,7 TM. AF_07/2020</t>
  </si>
  <si>
    <t>101469</t>
  </si>
  <si>
    <t>CARGA, MANOBRA E DESCARGA DE TUBOS METÁLICOS, DN 300 MM, EM CAMINHÃO CARROCERIA COM GUINDAUTO (MUNCK) 11,7 TM. AF_07/2020</t>
  </si>
  <si>
    <t>101470</t>
  </si>
  <si>
    <t>CARGA, MANOBRA E DESCARGA DE TUBOS METÁLICOS, DN 350 MM, EM CAMINHÃO CARROCERIA COM GUINDAUTO (MUNCK) 11,7 TM. AF_07/2020</t>
  </si>
  <si>
    <t>101471</t>
  </si>
  <si>
    <t>CARGA, MANOBRA E DESCARGA DE TUBOS METÁLICOS, DN 400 MM, EM CAMINHÃO CARROCERIA COM GUINDAUTO (MUNCK) 11,7 TM. AF_07/2020</t>
  </si>
  <si>
    <t>101472</t>
  </si>
  <si>
    <t>CARGA, MANOBRA E DESCARGA DE TUBOS METÁLICOS, DN 500 MM, EM CAMINHÃO CARROCERIA COM GUINDAUTO (MUNCK) 11,7 TM. AF_07/2020</t>
  </si>
  <si>
    <t>101473</t>
  </si>
  <si>
    <t>CARGA, MANOBRA E DESCARGA DE TUBOS METÁLICOS, DN 600 MM, EM CAMINHÃO CARROCERIA COM GUINDAUTO (MUNCK) 11,7 TM. AF_07/2020</t>
  </si>
  <si>
    <t>101474</t>
  </si>
  <si>
    <t>CARGA, MANOBRA E DESCARGA DE TUBOS METÁLICOS, DN 700 MM, EM CAMINHÃO CARROCERIA COM GUINDAUTO (MUNCK) 11,7 TM. AF_07/2020</t>
  </si>
  <si>
    <t>101475</t>
  </si>
  <si>
    <t>CARGA, MANOBRA E DESCARGA DE TUBOS METÁLICOS, DN 800 MM, EM CAMINHÃO CARROCERIA COM GUINDAUTO (MUNCK) 11,7 TM. AF_07/2020</t>
  </si>
  <si>
    <t>101476</t>
  </si>
  <si>
    <t>CARGA, MANOBRA E DESCARGA DE TUBOS METÁLICOS, DN 900 MM, EM CAMINHÃO CARROCERIA COM GUINDAUTO (MUNCK) 11,7 TM. AF_07/2020</t>
  </si>
  <si>
    <t>101477</t>
  </si>
  <si>
    <t>CARGA, MANOBRA E DESCARGA DE TUBOS METÁLICOS, DN 1000 MM, EM CAMINHÃO CARROCERIA COM GUINDAUTO (MUNCK) 11,7 TM. AF_07/2020</t>
  </si>
  <si>
    <t>101478</t>
  </si>
  <si>
    <t>CARGA, MANOBRA E DESCARGA DE TUBOS METÁLICOS, DN 1200 MM, EM CAMINHÃO CARROCERIA COM GUINDAUTO (MUNCK) 11,7 TM. AF_07/2020</t>
  </si>
  <si>
    <t>101480</t>
  </si>
  <si>
    <t>CARGA, MANOBRA E DESCARGA DE TUBOS PLÁSTICOS, DN 250 MM, EM CAMINHÃO CARROCERIA COM GUINDAUTO (MUNCK) 11,7 TM. AF_07/2020</t>
  </si>
  <si>
    <t>101481</t>
  </si>
  <si>
    <t>CARGA, MANOBRA E DESCARGA DE TUBOS PLÁSTICOS, DN 300 MM, EM CAMINHÃO CARROCERIA COM GUINDAUTO (MUNCK) 11,7 TM. AF_07/2020</t>
  </si>
  <si>
    <t>101482</t>
  </si>
  <si>
    <t>101483</t>
  </si>
  <si>
    <t>CARGA, MANOBRA E DESCARGA DE TUBOS PLÁSTICOS, DN 500 MM, EM CAMINHÃO CARROCERIA COM GUINDAUTO (MUNCK) 11,7 TM. AF_07/2020</t>
  </si>
  <si>
    <t>101484</t>
  </si>
  <si>
    <t>CARGA, MANOBRA E DESCARGA DE TUBOS PLÁSTICOS, DN 600 MM, EM CAMINHÃO CARROCERIA COM GUINDAUTO (MUNCK) 11,7 TM. AF_07/2020</t>
  </si>
  <si>
    <t>101485</t>
  </si>
  <si>
    <t>CARGA, MANOBRA E DESCARGA DE TUBOS PLÁSTICOS, DN 750 MM, EM CAMINHÃO CARROCERIA COM GUINDAUTO (MUNCK) 11,7 TM. AF_07/2020</t>
  </si>
  <si>
    <t>101486</t>
  </si>
  <si>
    <t>CARGA, MANOBRA E DESCARGA DE TUBOS PLÁSTICOS, DN 900 MM, EM CAMINHÃO CARROCERIA COM GUINDAUTO (MUNCK) 11,7 TM. AF_07/2020</t>
  </si>
  <si>
    <t>101487</t>
  </si>
  <si>
    <t>CARGA, MANOBRA E DESCARGA DE TUBOS PLÁSTICOS, DN 1000 MM, EM CAMINHÃO CARROCERIA COM GUINDAUTO (MUNCK) 11,7 TM. AF_07/2020</t>
  </si>
  <si>
    <t>101488</t>
  </si>
  <si>
    <t>CARGA, MANOBRA E DESCARGA DE TUBOS PLÁSTICOS, DN 1200 MM, EM CAMINHÃO CARROCERIA COM GUINDAUTO (MUNCK) 11,7 TM. AF_07/2020</t>
  </si>
  <si>
    <t>101284</t>
  </si>
  <si>
    <t>CURSO DE CAPACITAÇÃO PARA ENGENHEIRO CIVIL SENIOR (ENCARGOS COMPLEMENTARES) - HORISTA</t>
  </si>
  <si>
    <t>101285</t>
  </si>
  <si>
    <t>CURSO DE CAPACITAÇÃO PARA ENGENHEIRO SANITARISTA (ENCARGOS COMPLEMENTARES) - HORISTA</t>
  </si>
  <si>
    <t>101286</t>
  </si>
  <si>
    <t>CURSO DE CAPACITAÇÃO PARA AJUDANTE DE ARMADOR (ENCARGOS COMPLEMENTARES) - MENSALISTA</t>
  </si>
  <si>
    <t>101287</t>
  </si>
  <si>
    <t>CURSO DE CAPACITAÇÃO PARA AJUDANTE DE ELETRICISTA (ENCARGOS COMPLEMENTARES) - MENSALISTA</t>
  </si>
  <si>
    <t>101288</t>
  </si>
  <si>
    <t>CURSO DE CAPACITAÇÃO PARA AJUDANTE DE ESTRUTURAS METÁLICAS(ENCARGOS COMPLEMENTARES) - MENSALISTA</t>
  </si>
  <si>
    <t>101289</t>
  </si>
  <si>
    <t>CURSO DE CAPACITAÇÃO PARA AJUDANTE DE OPERAÇÃO EM GERAL (ENCARGOS COMPLEMENTARES) - MENSALISTA</t>
  </si>
  <si>
    <t>101290</t>
  </si>
  <si>
    <t>CURSO DE CAPACITAÇÃO PARA AJUDANTE DE PINTOR (ENCARGOS COMPLEMENTARES) - MENSALISTA</t>
  </si>
  <si>
    <t>101291</t>
  </si>
  <si>
    <t>CURSO DE CAPACITAÇÃO PARA AJUDANTE DE SERRALHEIRO (ENCARGOS COMPLEMENTARES) - MENSALISTA</t>
  </si>
  <si>
    <t>101292</t>
  </si>
  <si>
    <t>CURSO DE CAPACITAÇÃO PARA AJUDANTE ESPECIALIZADO (ENCARGOS COMPLEMENTARES) - MENSALISTA</t>
  </si>
  <si>
    <t>101293</t>
  </si>
  <si>
    <t>CURSO DE CAPACITAÇÃO PARA ARMADOR (ENCARGOS COMPLEMENTARES) - MENSALISTA</t>
  </si>
  <si>
    <t>101294</t>
  </si>
  <si>
    <t>CURSO DE CAPACITAÇÃO PARA ASSENTADOR DE MANILHA (ENCARGOS COMPLEMENTARES) - MENSALISTA</t>
  </si>
  <si>
    <t>101295</t>
  </si>
  <si>
    <t>CURSO DE CAPACITAÇÃO PARA AUXILIAR DE AZULEJISTA (ENCARGOS COMPLEMENTARES) - MENSALISTA</t>
  </si>
  <si>
    <t>101296</t>
  </si>
  <si>
    <t>CURSO DE CAPACITAÇÃO PARA AUXILIAR DE ENCANADOR OU BOMBEIRO HIDRÁULICO (ENCARGOS COMPLEMENTARES) - MENSALISTA</t>
  </si>
  <si>
    <t>101297</t>
  </si>
  <si>
    <t>CURSO DE CAPACITAÇÃO PARA AUXILIAR DE LABORATORISTA (ENCARGOS COMPLEMENTARES) - MENSALISTA</t>
  </si>
  <si>
    <t>101298</t>
  </si>
  <si>
    <t>CURSO DE CAPACITAÇÃO PARA AUXILIAR DE MECANICO (ENCARGOS COMPLEMENTARES) - MENSALISTA</t>
  </si>
  <si>
    <t>101299</t>
  </si>
  <si>
    <t>CURSO DE CAPACITAÇÃO PARA AUXILIAR DE PEDREIRO (ENCARGOS COMPLEMENTARES) - MENSALISTA</t>
  </si>
  <si>
    <t>101300</t>
  </si>
  <si>
    <t>CURSO DE CAPACITAÇÃO PARA AUXILIAR DE SERVIÇOS GERAIS (ENCARGOS COMPLEMENTARES) - MENSALISTA</t>
  </si>
  <si>
    <t>101301</t>
  </si>
  <si>
    <t>CURSO DE CAPACITAÇÃO PARA AUXILIAR DE TOPÓGRAFO (ENCARGOS COMPLEMENTARES) - MENSALISTA</t>
  </si>
  <si>
    <t>101302</t>
  </si>
  <si>
    <t>CURSO DE CAPACITAÇÃO PARA AUXILIAR TÉCNICO DE ENGENHARIA (ENCARGOS COMPLEMENTARES) - MENSALISTA</t>
  </si>
  <si>
    <t>101303</t>
  </si>
  <si>
    <t>CURSO DE CAPACITAÇÃO PARA MONTADOR DE ELETROELETRONICOS(ENCARGOS COMPLEMENTARES) - MENSALISTA</t>
  </si>
  <si>
    <t>101304</t>
  </si>
  <si>
    <t>CURSO DE CAPACITAÇÃO PARA AZULEJISTA OU LADRILHISTA (ENCARGOS COMPLEMENTARES) - MENSALISTA</t>
  </si>
  <si>
    <t>101305</t>
  </si>
  <si>
    <t>CURSO DE CAPACITAÇÃO PARA BLASTER, DINAMITADOR OU CABO DE FORÇA (ENCARGOS COMPLEMENTARES) - MENSALISTA</t>
  </si>
  <si>
    <t>101307</t>
  </si>
  <si>
    <t>CURSO DE CAPACITAÇÃO PARA CALCETEIRO (ENCARGOS COMPLEMENTARES) - MENSALISTA</t>
  </si>
  <si>
    <t>101308</t>
  </si>
  <si>
    <t>CURSO DE CAPACITAÇÃO PARA MONTADOR DE ESTRUTURAS METALICAS (ENCARGOS COMPLEMENTARES) - MENSALISTA</t>
  </si>
  <si>
    <t>101309</t>
  </si>
  <si>
    <t>CURSO DE CAPACITAÇÃO PARA CARPINTEIRO AUXILIAR (ENCARGOS COMPLEMENTARES) - MENSALISTA</t>
  </si>
  <si>
    <t>101310</t>
  </si>
  <si>
    <t>CURSO DE CAPACITAÇÃO PARA CARPINTEIRO DE ESQUADRIAS (ENCARGOS COMPLEMENTARES) - MENSALISTA</t>
  </si>
  <si>
    <t>101311</t>
  </si>
  <si>
    <t>CURSO DE CAPACITAÇÃO PARA CARPINTEIRO DE FORMAS (ENCARGOS COMPLEMENTARES) - MENSALISTA</t>
  </si>
  <si>
    <t>101312</t>
  </si>
  <si>
    <t>CURSO DE CAPACITAÇÃO PARA CAVOUQUEIRO OU OPERADOR DE PERFURATRIZ (ENCARGOS COMPLEMENTARES) - MENSALISTA</t>
  </si>
  <si>
    <t>101313</t>
  </si>
  <si>
    <t>CURSO DE CAPACITAÇÃO PARA ELETRICISTA (ENCARGOS COMPLEMENTARES) - MENSALISTA</t>
  </si>
  <si>
    <t>101314</t>
  </si>
  <si>
    <t>CURSO DE CAPACITAÇÃO PARA ELETRICISTA DE MANUTENÇÃO INDUSTRIAL (ENCARGOS COMPLEMENTARES) - MENSALISTA</t>
  </si>
  <si>
    <t>101315</t>
  </si>
  <si>
    <t>CURSO DE CAPACITAÇÃO PARA ELETROTÉCNICO (ENCARGOS COMPLEMENTARES) - MENSALISTA</t>
  </si>
  <si>
    <t>101316</t>
  </si>
  <si>
    <t>CURSO DE CAPACITAÇÃO PARA ENCANADOR OU BOMBEIRO HIDRÁULICO (ENCARGOS COMPLEMENTARES) - MENSALISTA</t>
  </si>
  <si>
    <t>101317</t>
  </si>
  <si>
    <t>CURSO DE CAPACITAÇÃO PARA ENGENHEIRO CIVIL SENIOR (ENCARGOS COMPLEMENTARES) - MENSALISTA</t>
  </si>
  <si>
    <t>101318</t>
  </si>
  <si>
    <t>CURSO DE CAPACITAÇÃO PARA ENGENHEIRO ELETRICISTA (ENCARGOS COMPLEMENTARES) - MENSALISTA</t>
  </si>
  <si>
    <t>101319</t>
  </si>
  <si>
    <t>CURSO DE CAPACITAÇÃO PARA ENGENHEIRO SANITARISTA (ENCARGOS COMPLEMENTARES) - MENSALISTA</t>
  </si>
  <si>
    <t>101320</t>
  </si>
  <si>
    <t>CURSO DE CAPACITAÇÃO PARA MONTADOR DE MAQUINAS (ENCARGOS COMPLEMENTARES) - MENSALISTA</t>
  </si>
  <si>
    <t>101322</t>
  </si>
  <si>
    <t>CURSO DE CAPACITAÇÃO PARA GESSEIRO (ENCARGOS COMPLEMENTARES) - MENSALISTA</t>
  </si>
  <si>
    <t>101323</t>
  </si>
  <si>
    <t>CURSO DE CAPACITAÇÃO PARA IMPERMEABILIZADOR (ENCARGOS COMPLEMENTARES) - MENSALISTA</t>
  </si>
  <si>
    <t>101324</t>
  </si>
  <si>
    <t>CURSO DE CAPACITAÇÃO PARA MOTORISTA DE CAMINHAO-BASCULANTE (ENCARGOS COMPLEMENTARES) - MENSALISTA</t>
  </si>
  <si>
    <t>101325</t>
  </si>
  <si>
    <t>CURSO DE CAPACITAÇÃO PARA INSTALADOR DE TUBULAÇÕES (ENCARGOS COMPLEMENTARES) - MENSALISTA</t>
  </si>
  <si>
    <t>101326</t>
  </si>
  <si>
    <t>CURSO DE CAPACITAÇÃO PARA JARDINEIRO (ENCARGOS COMPLEMENTARES) - MENSALISTA</t>
  </si>
  <si>
    <t>101327</t>
  </si>
  <si>
    <t>CURSO DE CAPACITAÇÃO PARA LEITURISTA OU CADASTRISTA DE REDES DE ÁGUA (ENCARGOS COMPLEMENTARES) - MENSALISTA</t>
  </si>
  <si>
    <t>101328</t>
  </si>
  <si>
    <t>CURSO DE CAPACITAÇÃO PARA MOTORISTA DE CAMINHAO-CARRETA (ENCARGOS COMPLEMENTARES) - MENSALISTA</t>
  </si>
  <si>
    <t>101329</t>
  </si>
  <si>
    <t>CURSO DE CAPACITAÇÃO PARA MAÇARIQUEIRO (ENCARGOS COMPLEMENTARES) - MENSALISTA</t>
  </si>
  <si>
    <t>101330</t>
  </si>
  <si>
    <t>CURSO DE CAPACITAÇÃO PARA MARCENEIRO (ENCARGOS COMPLEMENTARES) - MENSALISTA</t>
  </si>
  <si>
    <t>101331</t>
  </si>
  <si>
    <t>CURSO DE CAPACITAÇÃO PARA MARMORISTA / GRANITEIRO (ENCARGOS COMPLEMENTARES) - MENSALISTA</t>
  </si>
  <si>
    <t>101332</t>
  </si>
  <si>
    <t>CURSO DE CAPACITAÇÃO PARA MOTORISTA DE CARRO DE PASSEIO (ENCARGOS COMPLEMENTARES) - MENSALISTA</t>
  </si>
  <si>
    <t>101333</t>
  </si>
  <si>
    <t>CURSO DE CAPACITAÇÃO PARA MECÂNICO DE EQUIPAMENTOS PESADOS (ENCARGOS COMPLEMENTARES) - MENSALISTA</t>
  </si>
  <si>
    <t>101334</t>
  </si>
  <si>
    <t>CURSO DE CAPACITAÇÃO PARA MECÂNICO DE REFRIGERAÇÃO (ENCARGOS COMPLEMENTARES) - MENSALISTA</t>
  </si>
  <si>
    <t>101335</t>
  </si>
  <si>
    <t>CURSO DE CAPACITAÇÃO PARA MOTORISTA DE ONIBUS / MICRO-ONIBUS (ENCARGOS COMPLEMENTARES) - MENSALISTA</t>
  </si>
  <si>
    <t>101336</t>
  </si>
  <si>
    <t>CURSO DE CAPACITAÇÃO PARA MOTORISTA OPERADOR DE CAMINHAO COM MUNCK (ENCARGOS COMPLEMENTARES) - MENSALISTA</t>
  </si>
  <si>
    <t>101337</t>
  </si>
  <si>
    <t>CURSO DE CAPACITAÇÃO PARA NIVELADOR (ENCARGOS COMPLEMENTARES) - MENSALISTA</t>
  </si>
  <si>
    <t>101338</t>
  </si>
  <si>
    <t>CURSO DE CAPACITAÇÃO PARA OPERADOR DE BATE-ESTACAS (ENCARGOS COMPLEMENTARES) - MENSALISTA</t>
  </si>
  <si>
    <t>101339</t>
  </si>
  <si>
    <t>CURSO DE CAPACITAÇÃO PARA OPERADOR DE BETONEIRA (ENCARGOS COMPLEMENTARES) - MENSALISTA</t>
  </si>
  <si>
    <t>101340</t>
  </si>
  <si>
    <t>CURSO DE CAPACITAÇÃO PARA OPERADOR DE BETONEIRA ESTACIONARIA / MISTURADOR (ENCARGOS COMPLEMENTARES) - MENSALISTA</t>
  </si>
  <si>
    <t>101341</t>
  </si>
  <si>
    <t>CURSO DE CAPACITAÇÃO PARA OPERADOR DE COMPRESSOR DE AR OU COMPRESSORISTA (ENCARGOS COMPLEMENTARES) - MENSALISTA</t>
  </si>
  <si>
    <t>101342</t>
  </si>
  <si>
    <t>CURSO DE CAPACITAÇÃO PARA OPERADOR DE DEMARCADORA DE FAIXAS DE TRAFEGO (ENCARGOS COMPLEMENTARES) - MENSALISTA</t>
  </si>
  <si>
    <t>101343</t>
  </si>
  <si>
    <t>CURSO DE CAPACITAÇÃO PARA OPERADOR DE ESCAVADEIRA (ENCARGOS COMPLEMENTARES) - MENSALISTA</t>
  </si>
  <si>
    <t>101344</t>
  </si>
  <si>
    <t>CURSO DE CAPACITAÇÃO PARA OPERADOR DE GUINCHO OU GUINCHEIRO (ENCARGOS COMPLEMENTARES) - MENSALISTA</t>
  </si>
  <si>
    <t>101345</t>
  </si>
  <si>
    <t>CURSO DE CAPACITAÇÃO PARA OPERADOR DE GUINDASTE (ENCARGOS COMPLEMENTARES) - MENSALISTA</t>
  </si>
  <si>
    <t>101346</t>
  </si>
  <si>
    <t>CURSO DE CAPACITAÇÃO PARA OPERADOR DE JATO ABRASIVO OU JATISTA (ENCARGOS COMPLEMENTARES) - MENSALISTA</t>
  </si>
  <si>
    <t>101347</t>
  </si>
  <si>
    <t>CURSO DE CAPACITAÇÃO PARA OPERADOR DE MAQUINAS E TRATORES DIVERSOS (ENCARGOS COMPLEMENTARES) - MENSALISTA</t>
  </si>
  <si>
    <t>101348</t>
  </si>
  <si>
    <t>CURSO DE CAPACITAÇÃO PARA OPERADOR DE MARTELETE OU MARTELETEIRO (ENCARGOS COMPLEMENTARES) - MENSALISTA</t>
  </si>
  <si>
    <t>101349</t>
  </si>
  <si>
    <t>CURSO DE CAPACITAÇÃO PARA OPERADOR DE MOTO SCRAPER (ENCARGOS COMPLEMENTARES) - MENSALISTA</t>
  </si>
  <si>
    <t>101350</t>
  </si>
  <si>
    <t>CURSO DE CAPACITAÇÃO PARA OPERADOR DE MOTONIVELADORA (ENCARGOS COMPLEMENTARES) - MENSALISTA</t>
  </si>
  <si>
    <t>101351</t>
  </si>
  <si>
    <t>CURSO DE CAPACITAÇÃO PARA OPERADOR DE PA CARREGADEIRA (ENCARGOS COMPLEMENTARES) - MENSALISTA</t>
  </si>
  <si>
    <t>101352</t>
  </si>
  <si>
    <t>CURSO DE CAPACITAÇÃO PARA OPERADOR DE PAVIMENTADORA / MESA VIBROACABADORA (ENCARGOS COMPLEMENTARES) - MENSALISTA</t>
  </si>
  <si>
    <t>101353</t>
  </si>
  <si>
    <t>CURSO DE CAPACITAÇÃO PARA OPERADOR DE ROLO COMPACTADOR (ENCARGOS COMPLEMENTARES) - MENSALISTA</t>
  </si>
  <si>
    <t>101354</t>
  </si>
  <si>
    <t>CURSO DE CAPACITAÇÃO PARA OPERADOR DE TRATOR - EXCLUSIVE AGROPECUARIA (ENCARGOS COMPLEMENTARES) - MENSALISTA</t>
  </si>
  <si>
    <t>101355</t>
  </si>
  <si>
    <t>CURSO DE CAPACITAÇÃO PARA OPERADOR DE USINA DE ASFALTO, DE SOLOS OU DE CONCRETO (ENCARGOS COMPLEMENTARES) - MENSALISTA</t>
  </si>
  <si>
    <t>101356</t>
  </si>
  <si>
    <t>CURSO DE CAPACITAÇÃO PARA PASTILHEIRO (ENCARGOS COMPLEMENTARES) - MENSALISTA</t>
  </si>
  <si>
    <t>101357</t>
  </si>
  <si>
    <t>CURSO DE CAPACITAÇÃO PARA PEDREIRO (ENCARGOS COMPLEMENTARES) - MENSALISTA</t>
  </si>
  <si>
    <t>101358</t>
  </si>
  <si>
    <t>CURSO DE CAPACITAÇÃO PARA PINTOR (ENCARGOS COMPLEMENTARES) - MENSALISTA</t>
  </si>
  <si>
    <t>101359</t>
  </si>
  <si>
    <t>CURSO DE CAPACITAÇÃO PARA PINTOR DE LETREIROS (ENCARGOS COMPLEMENTARES) - MENSALISTA</t>
  </si>
  <si>
    <t>101360</t>
  </si>
  <si>
    <t>CURSO DE CAPACITAÇÃO PARA PINTOR PARA TINTA EPOXI (ENCARGOS COMPLEMENTARES) - MENSALISTA</t>
  </si>
  <si>
    <t>101361</t>
  </si>
  <si>
    <t>CURSO DE CAPACITAÇÃO PARA POCEIRO / ESCAVADOR DE VALAS E TUBULOES (ENCARGOS COMPLEMENTARES) - MENSALISTA</t>
  </si>
  <si>
    <t>101362</t>
  </si>
  <si>
    <t>CURSO DE CAPACITAÇÃO PARA RASTELEIRO (ENCARGOS COMPLEMENTARES) - MENSALISTA</t>
  </si>
  <si>
    <t>101363</t>
  </si>
  <si>
    <t>CURSO DE CAPACITAÇÃO PARA SERRALHEIRO (ENCARGOS COMPLEMENTARES) - MENSALISTA</t>
  </si>
  <si>
    <t>101364</t>
  </si>
  <si>
    <t>CURSO DE CAPACITAÇÃO PARA SERVENTE DE OBRAS (ENCARGOS COMPLEMENTARES) - MENSALISTA</t>
  </si>
  <si>
    <t>101365</t>
  </si>
  <si>
    <t>CURSO DE CAPACITAÇÃO PARA SOLDADOR (ENCARGOS COMPLEMENTARES) - MENSALISTA</t>
  </si>
  <si>
    <t>101366</t>
  </si>
  <si>
    <t>CURSO DE CAPACITAÇÃO PARA SOLDADOR ELETRICO (ENCARGOS COMPLEMENTARES) - MENSALISTA</t>
  </si>
  <si>
    <t>101367</t>
  </si>
  <si>
    <t>CURSO DE CAPACITAÇÃO PARA TAQUEADOR OU TAQUEIRO (ENCARGOS COMPLEMENTARES) - MENSALISTA</t>
  </si>
  <si>
    <t>101368</t>
  </si>
  <si>
    <t>CURSO DE CAPACITAÇÃO PARA TECNICO EM LABORATORIO E CAMPO DE CONSTRUCAO CIVIL (ENCARGOS COMPLEMENTARES) - MENSALISTA</t>
  </si>
  <si>
    <t>101369</t>
  </si>
  <si>
    <t>CURSO DE CAPACITAÇÃO PARA TECNICO EM SONDAGEM (ENCARGOS COMPLEMENTARES) - MENSALISTA</t>
  </si>
  <si>
    <t>101370</t>
  </si>
  <si>
    <t>CURSO DE CAPACITAÇÃO PARA TELHADOR (ENCARGOS COMPLEMENTARES) - MENSALISTA</t>
  </si>
  <si>
    <t>101371</t>
  </si>
  <si>
    <t>CURSO DE CAPACITAÇÃO PARA VIDRACEIRO (ENCARGOS COMPLEMENTARES) - MENSALISTA</t>
  </si>
  <si>
    <t>101372</t>
  </si>
  <si>
    <t>CURSO DE CAPACITAÇÃO PARA VIGIA DIURNO (ENCARGOS COMPLEMENTARES) - MENSALISTA</t>
  </si>
  <si>
    <t>101373</t>
  </si>
  <si>
    <t>ENGENHEIRO CIVIL SENIOR COM ENCARGOS COMPLEMENTARES</t>
  </si>
  <si>
    <t>101374</t>
  </si>
  <si>
    <t>101375</t>
  </si>
  <si>
    <t>AJUDANTE DE ELETRICISTA COM ENCARGOS COMPLEMENTARES</t>
  </si>
  <si>
    <t>101376</t>
  </si>
  <si>
    <t>AJUDANTE DE ESTRUTURAS METÁLICAS COM ENCARGOS COMPLEMENTARES</t>
  </si>
  <si>
    <t>101377</t>
  </si>
  <si>
    <t>101378</t>
  </si>
  <si>
    <t>101379</t>
  </si>
  <si>
    <t>AJUDANTE DE SERRALHEIRO COM ENCARGOS COMPLEMENTARES</t>
  </si>
  <si>
    <t>101380</t>
  </si>
  <si>
    <t>101381</t>
  </si>
  <si>
    <t>101382</t>
  </si>
  <si>
    <t>ASSENTADOR DE MANILHAS COM ENCARGOS COMPLEMENTARES</t>
  </si>
  <si>
    <t>101383</t>
  </si>
  <si>
    <t>101384</t>
  </si>
  <si>
    <t>101385</t>
  </si>
  <si>
    <t>AUXILIAR DE LABORATORISTA DE SOLOS E DE CONCRETO COM ENCARGOS COMPLEMENTARES</t>
  </si>
  <si>
    <t>101386</t>
  </si>
  <si>
    <t>101387</t>
  </si>
  <si>
    <t>AUXILIAR DE PEDREIRO COM ENCARGOS COMPLEMENTARES</t>
  </si>
  <si>
    <t>101388</t>
  </si>
  <si>
    <t>101389</t>
  </si>
  <si>
    <t>101390</t>
  </si>
  <si>
    <t>AUXILIAR TÉCNICO / ASSISTENTE DE ENGENHARIA COM ENCARGOS COMPLEMENTARES</t>
  </si>
  <si>
    <t>101391</t>
  </si>
  <si>
    <t>AZULEJISTA OU LADRILHEIRO COM ENCARGOS COMPLEMENTARES</t>
  </si>
  <si>
    <t>101392</t>
  </si>
  <si>
    <t>BLASTER, DINAMITADOR OU CABO DE FORÇA COM ENCARGOS COMPLEMENTARES</t>
  </si>
  <si>
    <t>101394</t>
  </si>
  <si>
    <t>101395</t>
  </si>
  <si>
    <t>CARPINTEIRO AUXILIAR COM ENCARGOS COMPLEMENTARES</t>
  </si>
  <si>
    <t>101396</t>
  </si>
  <si>
    <t>CARPINTEIRO DE ESQUADRIAS COM ENCARGOS COMPLEMENTARES</t>
  </si>
  <si>
    <t>101397</t>
  </si>
  <si>
    <t>101398</t>
  </si>
  <si>
    <t>CAVOUQUEIRO OU OPERADOR DE PERFURATRIZ COM ENCARGOS COMPLEMENTARES</t>
  </si>
  <si>
    <t>101399</t>
  </si>
  <si>
    <t>101400</t>
  </si>
  <si>
    <t>ELETRICISTA DE MANUTENÇÃO INDUSTRIAL COM ENCARGOS COMPLEMENTARES</t>
  </si>
  <si>
    <t>101401</t>
  </si>
  <si>
    <t>101402</t>
  </si>
  <si>
    <t>101403</t>
  </si>
  <si>
    <t>101404</t>
  </si>
  <si>
    <t>101405</t>
  </si>
  <si>
    <t>101407</t>
  </si>
  <si>
    <t>101408</t>
  </si>
  <si>
    <t>101409</t>
  </si>
  <si>
    <t>INSTALADOR DE TUBULAÇÕES COM ENCARGOS COMPLEMENTARES</t>
  </si>
  <si>
    <t>101410</t>
  </si>
  <si>
    <t>101411</t>
  </si>
  <si>
    <t>LEITURISTA OU CADASTRISTA DE REDES DE ÁGUA COM ENCARGOS COMPLEMENTARES</t>
  </si>
  <si>
    <t>101412</t>
  </si>
  <si>
    <t>MAÇARIQUEIRO COM ENCARGOS COMPLEMENTARES</t>
  </si>
  <si>
    <t>101413</t>
  </si>
  <si>
    <t>101414</t>
  </si>
  <si>
    <t>MARMORISTA / GRANITEIRO COM ENCARGOS COMPLEMENTARES</t>
  </si>
  <si>
    <t>101415</t>
  </si>
  <si>
    <t>MECÂNICO DE EQUIPAMENTOS PESADOS COM ENCARGOS COMPLEMENTARES</t>
  </si>
  <si>
    <t>101416</t>
  </si>
  <si>
    <t>101417</t>
  </si>
  <si>
    <t>MONTADOR DE ELETROELETRÔNICO COM ENCARGOS COMPLEMENTARES</t>
  </si>
  <si>
    <t>101418</t>
  </si>
  <si>
    <t>MONTADOR DE ESTRUTURAS METÁLICAS COM ENCARGOS COMPLEMENTARES</t>
  </si>
  <si>
    <t>101419</t>
  </si>
  <si>
    <t>MONTADOR DE MÁQUINAS COM ENCARGOS COMPLEMENTARES</t>
  </si>
  <si>
    <t>101420</t>
  </si>
  <si>
    <t>MOTORISTA DE CAMINHÃO BASCULANTE COM ENCARGOS COMPLEMENTARES</t>
  </si>
  <si>
    <t>101421</t>
  </si>
  <si>
    <t>MOTORISTA DE CAMINHÃO CARRETA COM ENCARGOS COMPLEMENTARES</t>
  </si>
  <si>
    <t>101422</t>
  </si>
  <si>
    <t>MOTORISTA DE CARRO DE PASSEIO COM ENCARGOS COMPLEMENTARES</t>
  </si>
  <si>
    <t>101423</t>
  </si>
  <si>
    <t>MOTORISTA DE ÔNIBUS / MICRO-ÔNIBUS COM ENCARGOS COMPLEMENTARES</t>
  </si>
  <si>
    <t>101424</t>
  </si>
  <si>
    <t>MOTORISTA OPERADOR DE CAMINHÃO COM MUNCK COM ENCARGOS COMPLEMENTARES</t>
  </si>
  <si>
    <t>101425</t>
  </si>
  <si>
    <t>NIVELADOR  COM ENCARGOS COMPLEMENTARES</t>
  </si>
  <si>
    <t>101426</t>
  </si>
  <si>
    <t>OPERADOR DE BATE-ESTACA COM ENCARGOS COMPLEMENTARES</t>
  </si>
  <si>
    <t>101427</t>
  </si>
  <si>
    <t>101428</t>
  </si>
  <si>
    <t>OPERADOR DE BETONEIRA ESTACIONÁRIA COM ENCARGOS COMPLEMENTARES</t>
  </si>
  <si>
    <t>101429</t>
  </si>
  <si>
    <t>OPERADOR DE COMPRESSOR DE AR OU COMPRESSORISTA COM ENCARGOS COMPLEMENTARES</t>
  </si>
  <si>
    <t>101430</t>
  </si>
  <si>
    <t>OPERADOR DE DEMARCADORA DE FAIXAS DE TRÁFEGO COM ENCARGOS COMPLEMENTARES</t>
  </si>
  <si>
    <t>101431</t>
  </si>
  <si>
    <t>101432</t>
  </si>
  <si>
    <t>OPERADOR DE GUINCHO OU GUINCHEIRO COM ENCARGOS COMPLEMENTARES</t>
  </si>
  <si>
    <t>101433</t>
  </si>
  <si>
    <t>101434</t>
  </si>
  <si>
    <t>OPERADOR DE JATO ABRASIVO OU JATISTA COM ENCARGOS COMPLEMENTARES</t>
  </si>
  <si>
    <t>101435</t>
  </si>
  <si>
    <t>OPERADOR DE MÁQUINAS E TRATORES DIVERSOS COM ENCARGOS COMPLEMENTARES</t>
  </si>
  <si>
    <t>101436</t>
  </si>
  <si>
    <t>101437</t>
  </si>
  <si>
    <t>OPERADOR DE MOTO SCRAPER COM ENCARGOS COMPLEMENTARES</t>
  </si>
  <si>
    <t>101438</t>
  </si>
  <si>
    <t>101439</t>
  </si>
  <si>
    <t>101440</t>
  </si>
  <si>
    <t>OPERADOR DE PAVIMENTADORA / MESA VIBROACABADORA COM ENCARGOS COMPLEMENTARES</t>
  </si>
  <si>
    <t>101441</t>
  </si>
  <si>
    <t>101442</t>
  </si>
  <si>
    <t>OPERADOR DE TRATOR - EXCLUSIVE AGROPECUÁRIA COM ENCARGOS COMPLEMENTARES</t>
  </si>
  <si>
    <t>101443</t>
  </si>
  <si>
    <t>101444</t>
  </si>
  <si>
    <t>101445</t>
  </si>
  <si>
    <t>101446</t>
  </si>
  <si>
    <t>101447</t>
  </si>
  <si>
    <t>101448</t>
  </si>
  <si>
    <t>101449</t>
  </si>
  <si>
    <t>POCEIRO / ESCAVADOR DE VALAS COM ENCARGOS COMPLEMENTARES</t>
  </si>
  <si>
    <t>101450</t>
  </si>
  <si>
    <t>101451</t>
  </si>
  <si>
    <t>101452</t>
  </si>
  <si>
    <t>SERVENTE DE OBRAS COM ENCARGOS COMPLEMENTARES</t>
  </si>
  <si>
    <t>101453</t>
  </si>
  <si>
    <t>101454</t>
  </si>
  <si>
    <t>SOLDADOR ELÉTRICO COM ENCARGOS COMPLEMENTARES</t>
  </si>
  <si>
    <t>101455</t>
  </si>
  <si>
    <t>101456</t>
  </si>
  <si>
    <t>TÉCNICO DE LABORATÓRIO E CAMPO DE CONSTRUÇÃO COM ENCARGOS COMPLEMENTARES</t>
  </si>
  <si>
    <t>101457</t>
  </si>
  <si>
    <t>TÉCNICO EM SONDAGEM COM ENCARGOS COMPLEMENTARES</t>
  </si>
  <si>
    <t>101458</t>
  </si>
  <si>
    <t>TELHADOR COM ENCARGOS COMPLEMENTARES</t>
  </si>
  <si>
    <t>101459</t>
  </si>
  <si>
    <t>101460</t>
  </si>
  <si>
    <t>14,05</t>
  </si>
  <si>
    <t>12,45</t>
  </si>
  <si>
    <t>Telha estrutural de fibrocimento esp. 8 mm largura útil 49 cm</t>
  </si>
  <si>
    <t>Pini 09.105.000300.MAT</t>
  </si>
  <si>
    <t>Massa rápida para recuperação</t>
  </si>
  <si>
    <t>Argamassa para recuperação</t>
  </si>
  <si>
    <t>Primer à base de resina acrílica</t>
  </si>
  <si>
    <t>Cumeeira metálica galvanizada GR 25 com espessura de 0,43 mm.</t>
  </si>
  <si>
    <t>Cumeeira metálica galvanizada GR 40 com espessura de 0,43 mm.</t>
  </si>
  <si>
    <t>Revestimento impermabilizante bloqueador de umidade</t>
  </si>
  <si>
    <t>Obs 1: Considerando consumo do adesivo estrutural 1,8 kg / m² / mm.</t>
  </si>
  <si>
    <t>Obs 2: Considerando consumo do selante 100 ml / cm de espessura.</t>
  </si>
  <si>
    <t>11,53</t>
  </si>
  <si>
    <t>13,90</t>
  </si>
  <si>
    <t>14,43</t>
  </si>
  <si>
    <t>11,27</t>
  </si>
  <si>
    <t>11,16</t>
  </si>
  <si>
    <t>1,65</t>
  </si>
  <si>
    <t>1,11</t>
  </si>
  <si>
    <t>22,29</t>
  </si>
  <si>
    <t>9,02</t>
  </si>
  <si>
    <t>16,69</t>
  </si>
  <si>
    <t>8,67</t>
  </si>
  <si>
    <t>16,65</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</si>
  <si>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</si>
  <si>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</si>
  <si>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</si>
  <si>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</si>
  <si>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</si>
  <si>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</si>
  <si>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</si>
  <si>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</si>
  <si>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</si>
  <si>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</si>
  <si>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</si>
  <si>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</si>
  <si>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</si>
  <si>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</si>
  <si>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</si>
  <si>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</si>
  <si>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</si>
  <si>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</si>
  <si>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</si>
  <si>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</si>
  <si>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</si>
  <si>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</si>
  <si>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</si>
  <si>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</si>
  <si>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</si>
  <si>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</si>
  <si>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</si>
  <si>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</si>
  <si>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</si>
  <si>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</si>
  <si>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</si>
  <si>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</si>
  <si>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</si>
  <si>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</si>
  <si>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</si>
  <si>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</si>
  <si>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</si>
  <si>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10,53</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</si>
  <si>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</si>
  <si>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</si>
  <si>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</si>
  <si>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0,88</t>
  </si>
  <si>
    <t>18,75</t>
  </si>
  <si>
    <t>Batentes e guarnições em madeira, com verniz ou esmalte</t>
  </si>
  <si>
    <t>Batedor/limitador inferior para box de correr, em material polimérico sintético</t>
  </si>
  <si>
    <t>Batedor/amortecedor lateral de borracha para box de correr.</t>
  </si>
  <si>
    <t>Batedor/limitador superior para roldana de box de correr, em material polimérico sintético</t>
  </si>
  <si>
    <t>Fonte: http://www.alpuxadores.com.br/baixar/catalogo.pdf</t>
  </si>
  <si>
    <t>Ref.: AL Indústria Ref.: AL-63</t>
  </si>
  <si>
    <t>Ref.: AL Indústria Ref.: AL-BX-02</t>
  </si>
  <si>
    <t>Ref.: AL Indústria Ref.: AL-BX-07</t>
  </si>
  <si>
    <t>Ref.: AL Indústria Ref.: AL-BX-08</t>
  </si>
  <si>
    <t>Ref.: AL Indústria Ref.: AL-BX-03</t>
  </si>
  <si>
    <t>Ref.: AL Indústria Ref.: AL-BX-01</t>
  </si>
  <si>
    <t>Ref.: AL Indústria Ref.: AL-BX-05</t>
  </si>
  <si>
    <t>Ref.: AL Indústria Ref.: AL-BX-06</t>
  </si>
  <si>
    <t>Misturador de mesa para cozinha, bica móvel, cromado. Ref.: Deca Aspen 1256.C35 ou equivalente</t>
  </si>
  <si>
    <t>Misturador para bidê, ref: Deca Aspen 1895.C35 ou equivalente</t>
  </si>
  <si>
    <t>Bidê 3 furos branco ref: Deca Vogue Plus B.5.17 ou equivalente</t>
  </si>
  <si>
    <t>Chuveiro de metal cromado com tubo de parede, crivo regulável e restritor de vazão. Ref.: Deca Aspen 1967.C.CT ou equivalente</t>
  </si>
  <si>
    <t>Bacia Sanitária convencional branca ref: Deca Vogue Plus P.5.17 ou equivalente</t>
  </si>
  <si>
    <t>Misturador para lavatório de mesa bica alta, cromado. Ref.: Deca Aspen 1877.C35 ou equivalente</t>
  </si>
  <si>
    <t>Misturador de parede para cozinha, cromada. Ref.: Deca Aspen 1258.C35 ou equivalente</t>
  </si>
  <si>
    <t>Dobradiça metálica automática para vidro/vidro, utilizada em Box de vidro temperado, com porta de abrir. Ref.: Santa Marina, 1129.</t>
  </si>
  <si>
    <t>Lâmpada fluorescente compacta, 23W, ref: OSRAM Duluxstar DST STICK 23 W/865 220V E27</t>
  </si>
  <si>
    <t>Luminária tipo arandela, de sobrepor, dimensões (em mm) 250 x 250 x 73, base E27. Ref.: Taschibra-Arandela Embaú; Bronzearte - Bambu</t>
  </si>
  <si>
    <t>Base de válvula de descarga 1 1/2”</t>
  </si>
  <si>
    <t>Base de válvula de descarga 1 1/4”</t>
  </si>
  <si>
    <t>Cerâmica 30x60xm Glacier White (26109E) – Linha White Home – Portobello, ou similar</t>
  </si>
  <si>
    <t>Aquecedor elétrico individual automático, 5000W, 220V</t>
  </si>
  <si>
    <t>Prateleira com base em resina, com acabamento cromado. Ref: Deca Flex 2031.C.FLX ou equivalente</t>
  </si>
  <si>
    <t>Saboneteira com base em resina de alta resistência com espessura com acabamento cromado. Ref: Deca Flex 2010.C.FLX ou equivalente</t>
  </si>
  <si>
    <t>Campainha eletrônica de dois tons, 70 dB,  220V</t>
  </si>
  <si>
    <t>SF-01295</t>
  </si>
  <si>
    <t>Bandeira de porta, em madeira e MDF</t>
  </si>
  <si>
    <t>SF-01296</t>
  </si>
  <si>
    <t>Bandeira de porta, em madeira pintada</t>
  </si>
  <si>
    <t>SF-01310</t>
  </si>
  <si>
    <t>Cambota elastomérica de 8”</t>
  </si>
  <si>
    <t>SF-01311</t>
  </si>
  <si>
    <t>Curva raio curto 45° em aço carbono para solda de topo DN 125 (5" NPS)</t>
  </si>
  <si>
    <t>SF-01312</t>
  </si>
  <si>
    <t>Curva raio curto 90° em aço carbono para solda de topo DN 125 (5" NPS)</t>
  </si>
  <si>
    <t>SF-01313</t>
  </si>
  <si>
    <t>Curva raio longo 90° em aço carbono para solda de topo DN 125 (5" NPS)</t>
  </si>
  <si>
    <t>SF-01314</t>
  </si>
  <si>
    <t>Curva raio longo 90° em aço carbono para solda de topo DN 200 (8" NPS)</t>
  </si>
  <si>
    <t>SF-01315</t>
  </si>
  <si>
    <t>Eliminador de ar para líquidos DN 20 (3/4" NPS)</t>
  </si>
  <si>
    <t>SF-01316</t>
  </si>
  <si>
    <t>Flange de pescoço, aço carbono, classe 150, DN 125 (5" NPS)</t>
  </si>
  <si>
    <t>SF-01317</t>
  </si>
  <si>
    <t>Isolamento elastomérico para tubulações de ferro de 5”</t>
  </si>
  <si>
    <t>SF-01318</t>
  </si>
  <si>
    <t>Meia luva em aço carbono DN 15 (1/2" NPS)</t>
  </si>
  <si>
    <t>SF-01319</t>
  </si>
  <si>
    <t>Redução concêntrica em aço carbono para solda de topo DN 200 (8" NPS) × DN 125 (5" NPS)</t>
  </si>
  <si>
    <t>SF-01325</t>
  </si>
  <si>
    <t>Tê em aço carbono para solda de topo DN 200 (8" NPS)</t>
  </si>
  <si>
    <t>SF-01326</t>
  </si>
  <si>
    <t>Tubo de aço-carbono preto DN 125 (5" NPS)</t>
  </si>
  <si>
    <t>SF-01327</t>
  </si>
  <si>
    <t>Tubo de aço-carbono preto DN 200 (8" NPS)</t>
  </si>
  <si>
    <t>SF-01328</t>
  </si>
  <si>
    <t>Válvula de esfera em bronze 1/2”</t>
  </si>
  <si>
    <t>SF-01329</t>
  </si>
  <si>
    <t>Válvula gaveta com flange DN 125 (5" NPS)</t>
  </si>
  <si>
    <t>SF-01331</t>
  </si>
  <si>
    <t>Cabo de fibra óptica monomodo 12 fibras</t>
  </si>
  <si>
    <t>SF-01332</t>
  </si>
  <si>
    <t>Cabo de fibra óptica monomodo 144 fibras</t>
  </si>
  <si>
    <t>SF-01333</t>
  </si>
  <si>
    <t>SF-01334</t>
  </si>
  <si>
    <t>SF-01335</t>
  </si>
  <si>
    <t>Projeto Executivo de Rede de Telecomunicações Backbone</t>
  </si>
  <si>
    <t>SF-01336</t>
  </si>
  <si>
    <t>Eletroduto PEAD 2”</t>
  </si>
  <si>
    <t>SF-01339</t>
  </si>
  <si>
    <t>Tampa em Ferro Fundido - Circular DN-600 mm Classe 400</t>
  </si>
  <si>
    <t>Cambota elastomérica de 8" para suporte de tubulação industrial</t>
  </si>
  <si>
    <t>Curva raio curto 45° em aço carbono para solda de topo, SCH 40, DN 125 (5" NPS)</t>
  </si>
  <si>
    <t>Curva raio curto 90° em aço carbono para solda de topo, SCH 40, DN 125 (5" NPS)</t>
  </si>
  <si>
    <t>Curva raio longo 90° em aço carbono para solda de topo, SCH 40, DN 125 (5" NPS)</t>
  </si>
  <si>
    <t>Curva raio longo 90° em aço carbono para solda de topo, SCH 40, DN 200 (8" NPS)</t>
  </si>
  <si>
    <t>Eliminador de ar para líquidos com pressão máxima de operação de 10,5 kgf/cm2 (150 psi), DN 20 (3/4" NPS), conexão roscada</t>
  </si>
  <si>
    <t>Flange de pescoço em aço carbono, classe 150, DN 125 (5" NPS)</t>
  </si>
  <si>
    <t>isolamento elastomérico em formato de tubo ou coquilha de espessura M, próprio para tubulações de ferro de diâmetro nominal 5”. Ref.: AF/Armaflex M-48, K-Flex ST</t>
  </si>
  <si>
    <t>Meia luva em aço carbono, classe 3000 lbs, rosca BSP ou NPT, DN 15 (1/2" NPS)</t>
  </si>
  <si>
    <t>Redução concêntrica em aço carbono para solda de topo, SCH 40, diâmetro DN 200 (8" NPS) × DN 125 (5" NPS)</t>
  </si>
  <si>
    <t>Tê em aço carbono para solda de topo, SCH 40, diâmetro DN 200 (8" NPS)</t>
  </si>
  <si>
    <t>Cabo constituído por 12 fibras ópticas do tipo monomodo (9/125μm)</t>
  </si>
  <si>
    <t>Cabo constituído por 144 fibras ópticas do tipo monomodo (9/125μm)</t>
  </si>
  <si>
    <t>Chuveiro elétrico 7800W, 220V. Ref: Lorenzetti Acqua Storm Ultra</t>
  </si>
  <si>
    <t>14,48</t>
  </si>
  <si>
    <t>12,12</t>
  </si>
  <si>
    <t>10,81</t>
  </si>
  <si>
    <t>17,15</t>
  </si>
  <si>
    <t>4,28</t>
  </si>
  <si>
    <t>15,74</t>
  </si>
  <si>
    <t>101570</t>
  </si>
  <si>
    <t>ESCORAMENTO DE VALA, TIPO PONTALETEAMENTO, COM PROFUNDIDADE DE 0 A 1,5 M, LARGURA MENOR QUE 1,5 M. AF_08/2020</t>
  </si>
  <si>
    <t>101571</t>
  </si>
  <si>
    <t>ESCORAMENTO DE VALA, TIPO PONTALETEAMENTO, COM PROFUNDIDADE DE 0 A 1,5 M, LARGURA MAIOR OU IGUAL A 1,5 M E MENOR QUE 2,5 M. AF_08/2020</t>
  </si>
  <si>
    <t>101572</t>
  </si>
  <si>
    <t>ESCORAMENTO DE VALA, TIPO PONTALETEAMENTO, COM PROFUNDIDADE DE 1,5 A 3,0 M, LARGURA MENOR QUE 1,5 M. AF_08/2020</t>
  </si>
  <si>
    <t>101573</t>
  </si>
  <si>
    <t>ESCORAMENTO DE VALA, TIPO PONTALETEAMENTO, COM PROFUNDIDADE DE 1,5 A 3,0 M, LARGURA MAIOR OU IGUAL A 1,5 M E MENOR QUE 2,5 M. AF_08/2020</t>
  </si>
  <si>
    <t>101574</t>
  </si>
  <si>
    <t>ESCORAMENTO DE VALA, TIPO PONTALETEAMENTO, COM PROFUNDIDADE DE 3,0 A 4,5 M, LARGURA MENOR QUE 1,5 M. AF_08/2020</t>
  </si>
  <si>
    <t>101575</t>
  </si>
  <si>
    <t>ESCORAMENTO DE VALA, TIPO PONTALETEAMENTO, COM PROFUNDIDADE DE 3,0 A 4,5 M, LARGURA MAIOR OU IGUAL A 1,5 M E MENOR QUE 2,5 M. AF_08/2020</t>
  </si>
  <si>
    <t>101576</t>
  </si>
  <si>
    <t>ESCORAMENTO DE VALA, TIPO DESCONTÍNUO, COM PROFUNDIDADE DE 0 A 1,5 M, LARGURA MENOR QUE 1,5 M. AF_08/2020</t>
  </si>
  <si>
    <t>101577</t>
  </si>
  <si>
    <t>ESCORAMENTO DE VALA, TIPO DESCONTÍNUO, COM PROFUNDIDADE DE 0 A 1,5 M, LARGURA MAIOR OU IGUAL A 1,5 M E MENOR QUE 2,5 M. AF_08/2020</t>
  </si>
  <si>
    <t>101578</t>
  </si>
  <si>
    <t>ESCORAMENTO DE VALA, TIPO DESCONTÍNUO, COM PROFUNDIDADE DE 1,5 M A 3,0 M, LARGURA MENOR QUE 1,5 M. AF_08/2020</t>
  </si>
  <si>
    <t>101579</t>
  </si>
  <si>
    <t>ESCORAMENTO DE VALA, TIPO DESCONTÍNUO, COM PROFUNDIDADE DE 1,5 A 3,0 M, LARGURA MAIOR OU IGUAL A 1,5 M E MENOR QUE 2,5 M. AF_08/2020</t>
  </si>
  <si>
    <t>101580</t>
  </si>
  <si>
    <t>ESCORAMENTO DE VALA, TIPO DESCONTÍNUO, COM PROFUNDIDADE DE 3,0 A 4,5 M, LARGURA MENOR QUE 1,5 M. AF_08/2020</t>
  </si>
  <si>
    <t>101581</t>
  </si>
  <si>
    <t>ESCORAMENTO DE VALA, TIPO DESCONTÍNUO, COM PROFUNDIDADE DE 3,0 A 4,5 M, LARGURA MAIOR OU IGUAL A 1,5 E MENOR QUE 2,5 M. AF_08/2020</t>
  </si>
  <si>
    <t>101582</t>
  </si>
  <si>
    <t>ESCORAMENTO DE VALA, TIPO CONTÍNUO, COM PROFUNDIDADE DE 0 A 1,5 M, LARGURA MENOR QUE 1,5 M. AF_08/2020</t>
  </si>
  <si>
    <t>101583</t>
  </si>
  <si>
    <t>ESCORAMENTO DE VALA, TIPO CONTÍNUO, COM PROFUNDIDADE DE 0 A 1,5 M, LARGURA MAIOR OU IGUAL A 1,5 M E MENOR QUE 2,5 M. AF_08/2020</t>
  </si>
  <si>
    <t>101584</t>
  </si>
  <si>
    <t>ESCORAMENTO DE VALA, TIPO CONTÍNUO, COM PROFUNDIDADE DE 1,5 M A 3,0 M, LARGURA MENOR QUE 1,5 M. AF_08/2020</t>
  </si>
  <si>
    <t>101585</t>
  </si>
  <si>
    <t>ESCORAMENTO DE VALA, TIPO CONTÍNUO, COM PROFUNDIDADE DE 1,5 A 3,0 M, LARGURA MAIOR OU IGUAL A 1,5 M E MENOR QUE 2,5 M. AF_08/2020</t>
  </si>
  <si>
    <t>101586</t>
  </si>
  <si>
    <t>ESCORAMENTO DE VALA, TIPO CONTÍNUO, COM PROFUNDIDADE DE 3,0 A 4,5 M, LARGURA MENOR QUE 1,5 M. AF_08/2020</t>
  </si>
  <si>
    <t>101587</t>
  </si>
  <si>
    <t>ESCORAMENTO DE VALA, TIPO CONTÍNUO, COM PROFUNDIDADE DE 3,0 A 4,5 M, LARGURA MAIOR OU IGUAL A 1,5 E MENOR QUE 2,5 M. AF_08/2020</t>
  </si>
  <si>
    <t>101588</t>
  </si>
  <si>
    <t>ESCORAMENTO DE VALA, TIPO CONTÍNUO COM PERFIL METÁLICO "U", COM PROFUNDIDADE DE 0 A 1,5 M, LARGURA MENOR QUE 1,5 M. AF_08/2020</t>
  </si>
  <si>
    <t>101589</t>
  </si>
  <si>
    <t>ESCORAMENTO DE VALA,TIPO CONTÍNUO COM PERFIL METÁLICO "U", COM PROFUNDIDADE DE 0 A 1,5 M, LARGURA MAIOR OU IGUAL A 1,5 E MENOR QUE 2,5 M. AF_08/2020</t>
  </si>
  <si>
    <t>101590</t>
  </si>
  <si>
    <t>ESCORAMENTO DE VALA, TIPO CONTÍNUO COM PERFIL METÁLICO "U", COM PROFUNDIDADE DE 1,5 A 3,0 M, LARGURA MENOR QUE 1,5 M. AF_08/2020</t>
  </si>
  <si>
    <t>101591</t>
  </si>
  <si>
    <t>ESCORAMENTO DE VALA, TIPO CONTÍNUO COM PERFIL METÁLICO "U", COM PROFUNDIDADE DE 1,5 A 3,0 M, LARGURA MAIOR OU IGUAL 1,5 M E MENOR QUE 2,5 M. AF_08/2020</t>
  </si>
  <si>
    <t>101592</t>
  </si>
  <si>
    <t>ESCORAMENTO DE VALA, TIPO CONTÍNUO COM PERFIL METÁLICO "U", COM PROFUNDIDADE DE 3,0 A 4,5 M, LARGURA MENOR QUE 1,5 M. AF_08/2020</t>
  </si>
  <si>
    <t>101593</t>
  </si>
  <si>
    <t>ESCORAMENTO DE VALA, TIPO CONTÍNUO COM PERFIL METÁLICO "U", COM PROFUNDIDADE DE 3,0 A 4,5 M, LARGURA MAIOR OU IGUAL A 1,5 M E MENOR QUE 2,5 M. AF_08/2020</t>
  </si>
  <si>
    <t>101600</t>
  </si>
  <si>
    <t>ESCORAMENTO DE VALA, TIPO BLINDAGEM, COM PROFUNDIDADE DE 0 A 1,5 M, LARGURA MENOR QUE 1,5 M - EXECUÇÃO, NÃO INCLUI MATERIAL. AF_08/2020</t>
  </si>
  <si>
    <t>101601</t>
  </si>
  <si>
    <t>ESCORAMENTO DE VALA, TIPO BLINDAGEM COM PROFUNDIDADE DE 0 A 1,5 M, LARGURA MAIOR OU IGUAL A 1,5 M E MENOR QUE 2,5 M - EXECUÇÃO, NÃO INCLUI MATERIAL. AF_08/2020</t>
  </si>
  <si>
    <t>101602</t>
  </si>
  <si>
    <t>ESCORAMENTO DE VALA, TIPO BLINDAGEM, COM PROFUNDIDADE DE 1,5 A 3,0 M, LARGURA MENOR QUE 1,5 M - EXECUÇÃO, NÃO INCLUI MATERIAL. AF_08/2020</t>
  </si>
  <si>
    <t>101603</t>
  </si>
  <si>
    <t>ESCORAMENTO DE VALA, TIPO BLINDAGEM, COM PROFUNDIDADE DE 1,5 A 3,0 M, LARGURA MAIOR OU IGUAL A 1,5 M E MENOR QUE 2,5 M - EXECUÇÃO, NÃO INCLUI MATERIAL. AF_08/2020</t>
  </si>
  <si>
    <t>101604</t>
  </si>
  <si>
    <t>ESCORAMENTO DE VALA, TIPO BLINDAGEM, COM PROFUNDIDADE DE 3,0 A 4,5 M, LARGURA MENOR QUE 1,5 M - EXECUÇÃO, NÃO INCLUI MATERIAL. AF_08/2020</t>
  </si>
  <si>
    <t>101605</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</si>
  <si>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</si>
  <si>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</si>
  <si>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</si>
  <si>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</si>
  <si>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</si>
  <si>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</si>
  <si>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</si>
  <si>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</si>
  <si>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</si>
  <si>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</si>
  <si>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</si>
  <si>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</si>
  <si>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</si>
  <si>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</si>
  <si>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</si>
  <si>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</si>
  <si>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</si>
  <si>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</si>
  <si>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</si>
  <si>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</si>
  <si>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</si>
  <si>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</si>
  <si>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</si>
  <si>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</si>
  <si>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</si>
  <si>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</si>
  <si>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</si>
  <si>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</si>
  <si>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</si>
  <si>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</si>
  <si>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</si>
  <si>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</si>
  <si>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</si>
  <si>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</si>
  <si>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</si>
  <si>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</si>
  <si>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</si>
  <si>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</si>
  <si>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</si>
  <si>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</si>
  <si>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</si>
  <si>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</si>
  <si>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</si>
  <si>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</si>
  <si>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</si>
  <si>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</si>
  <si>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</si>
  <si>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</si>
  <si>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</si>
  <si>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</si>
  <si>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</si>
  <si>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</si>
  <si>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</si>
  <si>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</si>
  <si>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</si>
  <si>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</si>
  <si>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</si>
  <si>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</si>
  <si>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</si>
  <si>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</si>
  <si>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</si>
  <si>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</si>
  <si>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</si>
  <si>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</si>
  <si>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</si>
  <si>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</si>
  <si>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</si>
  <si>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</si>
  <si>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</si>
  <si>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</si>
  <si>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</si>
  <si>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</si>
  <si>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</si>
  <si>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</si>
  <si>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</si>
  <si>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</si>
  <si>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</si>
  <si>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</si>
  <si>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</si>
  <si>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</si>
  <si>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</si>
  <si>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</si>
  <si>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</si>
  <si>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</si>
  <si>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</si>
  <si>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</si>
  <si>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</si>
  <si>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</si>
  <si>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</si>
  <si>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</si>
  <si>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</si>
  <si>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</si>
  <si>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</si>
  <si>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</si>
  <si>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</si>
  <si>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</si>
  <si>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</si>
  <si>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</si>
  <si>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</si>
  <si>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</si>
  <si>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</si>
  <si>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101791</t>
  </si>
  <si>
    <t>FABRICAÇÃO DE ESCORAS DO TIPO PONTALETE, EM MADEIRA, PARA PÉ-DIREITO DUPLO. AF_09/2020</t>
  </si>
  <si>
    <t>101792</t>
  </si>
  <si>
    <t>ESCORAMENTO DE FÔRMAS DE LAJE EM MADEIRA NÃO APARELHADA, PÉ-DIREITO SIMPLES, INCLUSO TRAVAMENTO, 4 UTILIZAÇÕES. AF_09/2020</t>
  </si>
  <si>
    <t>101793</t>
  </si>
  <si>
    <t>ESCORAMENTO DE FÔRMAS DE LAJE EM MADEIRA NÃO APARELHADA, PÉ-DIREITO DUPLO, INCLUSO TRAVAMENTO, 4 UTILIZAÇÕES. AF_09/2020</t>
  </si>
  <si>
    <t>17,37</t>
  </si>
  <si>
    <t>101626</t>
  </si>
  <si>
    <t>REATOR PARA LÂMPADA VAPOR DE MERCÚRIO 400 W, USO EXTERNO - FORNECIMENTO E INSTALAÇÃO. AF_08/2020</t>
  </si>
  <si>
    <t>101627</t>
  </si>
  <si>
    <t>REATOR PARA LÂMPADA VAPOR DE SÓDIO 250 W, USO EXTERNO - FORNECIMENTO E INSTALAÇÃO. AF_08/2020</t>
  </si>
  <si>
    <t>101628</t>
  </si>
  <si>
    <t>REATOR PARA LÂMPADA VAPOR DE MERCÚRIO 125 W, USO EXTERNO - FORNECIMENTO E INSTALAÇÃO. AF_08/2020</t>
  </si>
  <si>
    <t>101629</t>
  </si>
  <si>
    <t>REATOR PARA LÂMPADA VAPOR DE MERCÚRIO 250 W, USO EXTERNO - FORNECIMENTO E INSTALAÇÃO. AF_08/2020</t>
  </si>
  <si>
    <t>101630</t>
  </si>
  <si>
    <t>SUBSTITUIÇÃO DE REATOR PARA ILUMINAÇÃO PÚBLICA (NÃO INCLUI FORNECIMENTO). AF_08/2020</t>
  </si>
  <si>
    <t>101631</t>
  </si>
  <si>
    <t>IGNITOR PARA PARTIDA LÂMPADA VAPOR SÓDIO / VAPOR METÁLICO ATÉ 400 W - FORNECIMENTO E INSTALAÇÃO. AF_08/2020</t>
  </si>
  <si>
    <t>101632</t>
  </si>
  <si>
    <t>RELÉ FOTOELÉTRICO PARA COMANDO DE ILUMINAÇÃO EXTERNA 1000 W - FORNECIMENTO E INSTALAÇÃO. AF_08/2020</t>
  </si>
  <si>
    <t>101633</t>
  </si>
  <si>
    <t>SUBSTITUIÇÃO DE RELÉ FOTOELÉTRICO PARA COMANDO DE ILUMINAÇÃO EXTERNA 1000 W - FORNECIMENTO E INSTALAÇÃO. AF_08/2020</t>
  </si>
  <si>
    <t>101636</t>
  </si>
  <si>
    <t>BRAÇO PARA ILUMINAÇÃO PÚBLICA, EM TUBO DE AÇO GALVANIZADO, COMPRIMENTO DE 1,50 M, PARA FIXAÇÃO EM POSTE DE CONCRETO - FORNECIMENTO E INSTALAÇÃO. AF_08/2020</t>
  </si>
  <si>
    <t>101637</t>
  </si>
  <si>
    <t>BRAÇO PARA ILUMINAÇÃO PÚBLICA, EM TUBO DE AÇO GALVANIZADO, COMPRIMENTO DE 1,50 M, PARA FIXAÇÃO EM POSTE METÁLICO - FORNECIMENTO E INSTALAÇÃO. AF_08/2020</t>
  </si>
  <si>
    <t>101640</t>
  </si>
  <si>
    <t>LÂMPADA VAPOR METÁLICO 400 W - FORNECIMENTO E INSTALAÇÃO. AF_08/2020</t>
  </si>
  <si>
    <t>101641</t>
  </si>
  <si>
    <t>LÂMPADA VAPOR METÁLICO 150 W - FORNECIMENTO E INSTALAÇÃO. AF_08/2020</t>
  </si>
  <si>
    <t>101642</t>
  </si>
  <si>
    <t>LÂMPADA VAPOR DE MERCÚRIO 125 W - FORNECIMENTO E INSTALAÇÃO. AF_08/2020</t>
  </si>
  <si>
    <t>101643</t>
  </si>
  <si>
    <t>LÂMPADA VAPOR DE MERCÚRIO 250 W - FORNECIMENTO E INSTALAÇÃO. AF_08/2020</t>
  </si>
  <si>
    <t>101644</t>
  </si>
  <si>
    <t>LÂMPADA VAPOR DE MERCÚRIO 400 W - FORNECIMENTO E INSTALAÇÃO. AF_08/2020</t>
  </si>
  <si>
    <t>101645</t>
  </si>
  <si>
    <t>LÂMPADA MISTA 160 W - FORNECIMENTO E INSTALAÇÃO. AF_08/2020</t>
  </si>
  <si>
    <t>101646</t>
  </si>
  <si>
    <t>LÂMPADA MISTA 250 W - FORNECIMENTO E INSTALAÇÃO. AF_08/2020</t>
  </si>
  <si>
    <t>101647</t>
  </si>
  <si>
    <t>LÂMPADA MISTA 500 W - FORNECIMENTO E INSTALAÇÃO. AF_08/2020</t>
  </si>
  <si>
    <t>101648</t>
  </si>
  <si>
    <t>LÂMPADA VAPOR DE SÓDIO 150 W - FORNECIMENTO E INSTALAÇÃO. AF_08/2020</t>
  </si>
  <si>
    <t>101649</t>
  </si>
  <si>
    <t>LÂMPADA VAPOR DE SÓDIO 250 W - FORNECIMENTO E INSTALAÇÃO. AF_08/2020</t>
  </si>
  <si>
    <t>101650</t>
  </si>
  <si>
    <t>LÂMPADA VAPOR DE SÓDIO 400 W - FORNECIMENTO E INSTALAÇÃO. AF_08/2020</t>
  </si>
  <si>
    <t>101651</t>
  </si>
  <si>
    <t>SUBSTITUIÇÃO DE LÂMPADA PARA ILUMINAÇÃO PÚBLICA (NÃO INCLUI FORNECIMENTO). AF_08/2020</t>
  </si>
  <si>
    <t>101652</t>
  </si>
  <si>
    <t>LUMINÁRIA FECHADA, PARA ILUMINAÇÃO PÚBLICA, PARA LÂMPADA DE VAPOR - FORNECIMENTO E INSTALAÇÃO (EXCLUSIVE LÂMPADA E REATOR). AF_08/2020</t>
  </si>
  <si>
    <t>101653</t>
  </si>
  <si>
    <t>LUMINÁRIA ABERTA PARA ILUMINAÇÃO PÚBLICA, PARA LÂMPADA VAPOR DE MERCÚRIO ATÉ 400 W E MISTA ATÉ 500 W, COM BRAÇO EM TUBO DE AÇO GALV 1", COMPRIMENTO DE 1,50 M, PARA POSTE DE CONCRETO - FORNECIMENTO E INSTALAÇÃO (EXCLUSIVE LÂMPADA E REATOR). AF_08/2020</t>
  </si>
  <si>
    <t>101654</t>
  </si>
  <si>
    <t>LUMINÁRIA DE LED PARA ILUMINAÇÃO PÚBLICA, DE 33 W ATÉ 50 W - FORNECIMENTO E INSTALAÇÃO. AF_08/2020</t>
  </si>
  <si>
    <t>101655</t>
  </si>
  <si>
    <t>LUMINÁRIA DE LED PARA ILUMINAÇÃO PÚBLICA, DE 51 W ATÉ 67 W - FORNECIMENTO E INSTALAÇÃO. AF_08/2020</t>
  </si>
  <si>
    <t>101656</t>
  </si>
  <si>
    <t>LUMINÁRIA DE LED PARA ILUMINAÇÃO PÚBLICA, DE 68 W ATÉ 97 W - FORNECIMENTO E INSTALAÇÃO. AF_08/2020</t>
  </si>
  <si>
    <t>101657</t>
  </si>
  <si>
    <t>LUMINÁRIA DE LED PARA ILUMINAÇÃO PÚBLICA, DE 98 W ATÉ 137 W - FORNECIMENTO E INSTALAÇÃO. AF_08/2020</t>
  </si>
  <si>
    <t>101658</t>
  </si>
  <si>
    <t>LUMINÁRIA DE LED PARA ILUMINAÇÃO PÚBLICA, DE 138 W ATÉ 180 W - FORNECIMENTO E INSTALAÇÃO. AF_08/2020</t>
  </si>
  <si>
    <t>101659</t>
  </si>
  <si>
    <t>LUMINÁRIA DE LED PARA ILUMINAÇÃO PÚBLICA, DE 181 W ATÉ 239 W - FORNECIMENTO E INSTALAÇÃO. AF_08/2020</t>
  </si>
  <si>
    <t>101660</t>
  </si>
  <si>
    <t>LUMINÁRIA DE LED PARA ILUMINAÇÃO PÚBLICA, DE 240 W ATÉ 350 W - FORNECIMENTO E INSTALAÇÃO. AF_08/2020</t>
  </si>
  <si>
    <t>101661</t>
  </si>
  <si>
    <t>SUBSTITUIÇÃO DE LUMINÁRIA DE VAPOR DE MERCÚRIO/VAPOR DE SÓDIO POR LUMINÁRIA DE LED PARA ILUMINAÇÃO PÚBLICA (NÃO INCLUI FORNECIMENTO). AF_08/2020</t>
  </si>
  <si>
    <t>101662</t>
  </si>
  <si>
    <t>LUMINÁRIA FECHADA PARA ILUMINAÇÃO PÚBLICA, COM REATOR DE PARTIDA RÁPIDA, COM LÂMPADA VAPOR DE MERCÚRIO 250 W - FORNECIMENTO E INSTALAÇÃO. AF_08/2020</t>
  </si>
  <si>
    <t>101663</t>
  </si>
  <si>
    <t>ABRAÇADEIRA DE FIXAÇÃO DE BRAÇOS DE LUMINÁRIAS DE 2" - FORNECIMENTO E INSTALAÇÃO. AF_08/2020</t>
  </si>
  <si>
    <t>101664</t>
  </si>
  <si>
    <t>ABRAÇADEIRA DE FIXAÇÃO DE BRAÇOS DE LUMINÁRIAS DE 3" - FORNECIMENTO E INSTALAÇÃO. AF_08/2020</t>
  </si>
  <si>
    <t>101665</t>
  </si>
  <si>
    <t>ABRAÇADEIRA DE FIXAÇÃO DE BRAÇOS DE LUMINÁRIAS DE 4" - FORNECIMENTO E INSTALAÇÃO. AF_08/2020</t>
  </si>
  <si>
    <t>101666</t>
  </si>
  <si>
    <t>REFLETOR RETANGULAR FECHADO, COM LÂMPADA VAPOR METÁLICO 400 W - FORNECIMENTO E INSTALAÇÃO. AF_08/2020</t>
  </si>
  <si>
    <t>101616</t>
  </si>
  <si>
    <t>PREPARO DE FUNDO DE VALA COM LARGURA MENOR QUE 1,5 M (ACERTO DO SOLO NATURAL). AF_08/2020</t>
  </si>
  <si>
    <t>101617</t>
  </si>
  <si>
    <t>PREPARO DE FUNDO DE VALA COM LARGURA MAIOR OU IGUAL A 1,5 M E MENOR QUE 2,5 M (ACERTO DO SOLO NATURAL). AF_08/2020</t>
  </si>
  <si>
    <t>101618</t>
  </si>
  <si>
    <t>PREPARO DE FUNDO DE VALA COM LARGURA MENOR QUE 1,5 M, COM CAMADA DE AREIA, LANÇAMENTO MANUAL. AF_08/2020</t>
  </si>
  <si>
    <t>101619</t>
  </si>
  <si>
    <t>PREPARO DE FUNDO DE VALA COM LARGURA MENOR QUE 1,5 M, COM CAMADA DE BRITA, LANÇAMENTO MANUAL. AF_08/2020</t>
  </si>
  <si>
    <t>101620</t>
  </si>
  <si>
    <t>PREPARO DE FUNDO DE VALA COM LARGURA MAIOR OU IGUAL A 1,5 M E MENOR QUE 2,5 M, COM CAMADA DE AREIA, LANÇAMENTO MANUAL. AF_08/2020</t>
  </si>
  <si>
    <t>101621</t>
  </si>
  <si>
    <t>PREPARO DE FUNDO DE VALA COM LARGURA MAIOR OU IGUAL A 1,5 M E MENOR QUE 2,5 M, COM CAMADA DE BRITA, LANÇAMENTO MANUAL. AF_08/2020</t>
  </si>
  <si>
    <t>101622</t>
  </si>
  <si>
    <t>PREPARO DE FUNDO DE VALA COM LARGURA MENOR QUE 1,5 M, COM CAMADA DE AREIA, LANÇAMENTO MECANIZADO. AF_08/2020</t>
  </si>
  <si>
    <t>101623</t>
  </si>
  <si>
    <t>PREPARO DE FUNDO DE VALA COM LARGURA MENOR QUE 1,5 M, COM CAMADA DE BRITA, LANÇAMENTO MECANIZADO. AF_08/2020</t>
  </si>
  <si>
    <t>101624</t>
  </si>
  <si>
    <t>PREPARO DE FUNDO DE VALA COM LARGURA MAIOR OU IGUAL A 1,5 M E MENOR QUE 2,5 M, COM CAMADA DE BRITA, LANÇAMENTO MECANIZADO. AF_08/2020</t>
  </si>
  <si>
    <t>101625</t>
  </si>
  <si>
    <t>PREPARO DE FUNDO DE VALA COM LARGURA MAIOR OU IGUAL A 1,5 M E MENOR QUE 2,5 M, COM CAMADA DE AREIA, LANÇAMENTO MECANIZADO. AF_08/2020</t>
  </si>
  <si>
    <t>101767</t>
  </si>
  <si>
    <t>EXECUÇÃO E COMPACTAÇÃO DE BASE E OU SUB BASE PARA PAVIMENTAÇÃO DE SOLOS ESTABILIZADOS GRANULOMETRICAMENTE COM MISTURA DE SOLOS EM PISTA - EXCLUSIVE SOLO, ESCAVAÇÃO, CARGA E TRANSPORTE. AF_11/2019</t>
  </si>
  <si>
    <t>101768</t>
  </si>
  <si>
    <t>EXECUÇÃO E COMPACTAÇÃO DE BASE E OU SUB BASE PARA PAVIMENTAÇÃO DE SOLO ESTABILIZADO GRANULOMETRICAMENTE SEM MISTURA DE SOLOS - EXCLUSIVE SOLO, ESCAVAÇÃO, CARGA E TRANSPORTE. AF_11/2019</t>
  </si>
  <si>
    <t>14,21</t>
  </si>
  <si>
    <t>101749</t>
  </si>
  <si>
    <t>PISO CIMENTADO, TRAÇO 1:3 (CIMENTO E AREIA), ACABAMENTO LISO, ESPESSURA 4,0 CM, PREPARO MECÂNICO DA ARGAMASSA. AF_09/2020</t>
  </si>
  <si>
    <t>101750</t>
  </si>
  <si>
    <t>PISO CIMENTADO, TRAÇO 1:3 (CIMENTO E AREIA), ACABAMENTO RÚSTICO, ESPESSURA 4,0 CM, PREPARO MECÂNICO DA ARGAMASSA. AF_09/2020</t>
  </si>
  <si>
    <t>101729</t>
  </si>
  <si>
    <t>PISO EM TACO DE MADEIRA 7X42CM, FIXADO COM COLA BASE DE PVA. AF_09/2020</t>
  </si>
  <si>
    <t>101746</t>
  </si>
  <si>
    <t>ASSOALHO DE MADEIRA. AF_09/2020</t>
  </si>
  <si>
    <t>101751</t>
  </si>
  <si>
    <t>PISO EM TACO DE MADEIRA 7X21CM, FIXADO COM COLA BASE DE PVA. AF_09/2020</t>
  </si>
  <si>
    <t>PISO EM GRANITO APLICADO EM AMBIENTES INTERNOS. AF_09/2020</t>
  </si>
  <si>
    <t>PISO EM MÁRMORE APLICADO EM AMBIENTES INTERNOS. AF_09/2020</t>
  </si>
  <si>
    <t>98678</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</si>
  <si>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</si>
  <si>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</si>
  <si>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</si>
  <si>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</si>
  <si>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</si>
  <si>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</si>
  <si>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</si>
  <si>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</si>
  <si>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</si>
  <si>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101725</t>
  </si>
  <si>
    <t>PISO EM LADRILHO HIDRÁULICO APLICADO EM AMBIENTES INTERNOS DE ÁREA MENOR QUE 5 M², INCLUSO APLICAÇÃO DE RESINA. AF_09/2020</t>
  </si>
  <si>
    <t>101726</t>
  </si>
  <si>
    <t>PISO EM LADRILHO HIDRÁULICO APLICADO EM AMBIENTES INTERNOS DE ÁREA ENTRE 5 E 15 M², INCLUSO APLICAÇÃO DE RESINA. AF_09/2020</t>
  </si>
  <si>
    <t>101731</t>
  </si>
  <si>
    <t>PISO EM PEDRA  ASSENTADO SOBRE ARGAMASSA 1:3 (CIMENTO E AREIA). AF_09/2020</t>
  </si>
  <si>
    <t>101732</t>
  </si>
  <si>
    <t>PISO EM PEDRA ARDÓSIA ASSENTADO SOBRE ARGAMASSA 1:3 (CIMENTO E AREIA). AF_09/2020</t>
  </si>
  <si>
    <t>101727</t>
  </si>
  <si>
    <t>PISO VINÍLICO SEMI-FLEXÍVEL EM PLACAS, PADRÃO LISO, ESPESSURA 3,2 MM, FIXADO COM COLA. AF_09/2020</t>
  </si>
  <si>
    <t>101733</t>
  </si>
  <si>
    <t>PISO DE BORRACHA PASTILHADO/FRISADO, ESPESSURA 7MM, ASSENTADO COM ARGAMASSA. AF_09/2020</t>
  </si>
  <si>
    <t>101734</t>
  </si>
  <si>
    <t>PISO DE BORRACHA PASTILHADO, ESPESSURA 15MM, ASSENTADO COM ARGAMASSA. AF_09/2020</t>
  </si>
  <si>
    <t>101735</t>
  </si>
  <si>
    <t>PISO DE BORRACHA ESPORTIVO, ESPESSURA 15MM, ASSENTADO COM ARGAMASSA. AF_09/2020</t>
  </si>
  <si>
    <t>101736</t>
  </si>
  <si>
    <t>PISO DE BORRACHA PASTILHADO, ESPESSURA 3,5MM, FIXADO COM ADESIVO ACRÍLICO. AF_09/2020</t>
  </si>
  <si>
    <t>101737</t>
  </si>
  <si>
    <t>PISO DE BORRACHA CANELADO, ESPESSURA 3,5MM, FIXADO COM ADESIVO ACRÍLICO. AF_09/2020</t>
  </si>
  <si>
    <t>101748</t>
  </si>
  <si>
    <t>PREPARO DE CONTRAPISO COM POLITRIZ. AF_09/2020</t>
  </si>
  <si>
    <t>SOLEIRA EM MÁRMORE, LARGURA 15 CM, ESPESSURA 2,0 CM. AF_09/2020</t>
  </si>
  <si>
    <t>RODAPÉ EM MÁRMORE, ALTURA 7 CM. AF_09/2020</t>
  </si>
  <si>
    <t>101738</t>
  </si>
  <si>
    <t>RODAPÉ EM MADEIRA, ALTURA 7CM, FIXADO COM COLA. AF_09/2020</t>
  </si>
  <si>
    <t>101739</t>
  </si>
  <si>
    <t>RODAPÉ EM MADEIRA, ALTURA 7CM, FIXADO COM COLA E PARAFUSOS. AF_09/2020</t>
  </si>
  <si>
    <t>101740</t>
  </si>
  <si>
    <t>RODAPÉ EM ARDÓSIA ALTURA 10CM. AF_09/2020</t>
  </si>
  <si>
    <t>101741</t>
  </si>
  <si>
    <t>RODAPÉ EM MARMORITE, ALTURA 10CM. AF_09/2020</t>
  </si>
  <si>
    <t>101747</t>
  </si>
  <si>
    <t>PISO EM CONCRETO 20 MPA PREPARO MECÂNICO, ESPESSURA 7CM. AF_09/2020</t>
  </si>
  <si>
    <t>101742</t>
  </si>
  <si>
    <t>RODAPÉ BORRACHA LISO, ALTURA = 7CM, ESPESSURA = 2 MM, PARA ARGAMASSA. AF_09/2020</t>
  </si>
  <si>
    <t>0,69</t>
  </si>
  <si>
    <t>10,97</t>
  </si>
  <si>
    <t>13,99</t>
  </si>
  <si>
    <t>11,19</t>
  </si>
  <si>
    <t>15,02</t>
  </si>
  <si>
    <t>21,91</t>
  </si>
  <si>
    <t>3,68</t>
  </si>
  <si>
    <t>11,46</t>
  </si>
  <si>
    <t>4,98</t>
  </si>
  <si>
    <t>5,48</t>
  </si>
  <si>
    <t>11,76</t>
  </si>
  <si>
    <t>GESSO EM PO PARA REVESTIMENTOS/MOLDURAS/SANCAS E USO GERAL</t>
  </si>
  <si>
    <t>LONA PLASTICA EXTRA FORTE PRETA, E = 200 MICRA</t>
  </si>
  <si>
    <t>MASSA DE REJUNTE EM PO PARA DRYWALL, A BASE DE GESSO, SECAGEM RAPIDA, PARA TRATAMENTO DE JUNTAS DE CHAPA DE GESSO (NECESSITA ADICAO DE AGUA)</t>
  </si>
  <si>
    <t>MEIO-FIO OU GUIA DE CONCRETO, PRE-MOLDADO, COMP 1 M, *30 X 12/15* CM (H X L1/L2)</t>
  </si>
  <si>
    <t>PLACA / CHAPA DE GESSO ACARTONADO, STANDARD (ST), COR BRANCA, E = 12,5 MM, 1200 X 2400 MM (L X C)</t>
  </si>
  <si>
    <t>PLACA DE GESSO PARA FORRO, *60 X 60* CM, ESPESSURA DE 12 MM (SEM COLOCACAO)</t>
  </si>
  <si>
    <t>PONTALETE *7,5 X 7,5* CM EM PINUS, MISTA OU EQUIVALENTE DA REGIAO - BRUTA</t>
  </si>
  <si>
    <t>SARRAFO *2,5 X 10* CM EM PINUS, MISTA OU EQUIVALENTE DA REGIAO - BRUTA</t>
  </si>
  <si>
    <t>SARRAFO *2,5 X 7,5* CM EM PINUS, MISTA OU EQUIVALENTE DA REGIAO - BRUTA</t>
  </si>
  <si>
    <t>TABUA *2,5 X 30 CM EM PINUS, MISTA OU EQUIVALENTE DA REGIAO - BRUTA</t>
  </si>
  <si>
    <t>13,64</t>
  </si>
  <si>
    <t>21,42</t>
  </si>
  <si>
    <t>97933</t>
  </si>
  <si>
    <t>97947</t>
  </si>
  <si>
    <t>97948</t>
  </si>
  <si>
    <t>97953</t>
  </si>
  <si>
    <t>97955</t>
  </si>
  <si>
    <t>97974</t>
  </si>
  <si>
    <t>97975</t>
  </si>
  <si>
    <t>97978</t>
  </si>
  <si>
    <t>98410</t>
  </si>
  <si>
    <t>99268</t>
  </si>
  <si>
    <t>99270</t>
  </si>
  <si>
    <t>99275</t>
  </si>
  <si>
    <t>99285</t>
  </si>
  <si>
    <t>10,79</t>
  </si>
  <si>
    <t>101884</t>
  </si>
  <si>
    <t>CABO DE COBRE ISOLADO, 10 MM², ANTI-CHAMA 450/750 V, INSTALADO EM ELETROCALHA OU PERFILADO - FORNECIMENTO E INSTALAÇÃO. AF_10/2020</t>
  </si>
  <si>
    <t>101885</t>
  </si>
  <si>
    <t>CABO DE COBRE ISOLADO, 10 MM², ANTI-CHAMA 0,6/1 KV, INSTALADO EM ELETROCALHA OU PERFILADO - FORNECIMENTO E INSTALAÇÃO. AF_10/2020</t>
  </si>
  <si>
    <t>101886</t>
  </si>
  <si>
    <t>CABO DE COBRE ISOLADO, 16 MM², ANTI-CHAMA 450/750 V, INSTALADO EM ELETROCALHA OU PERFILADO - FORNECIMENTO E INSTALAÇÃO. AF_10/2020</t>
  </si>
  <si>
    <t>101887</t>
  </si>
  <si>
    <t>CABO DE COBRE ISOLADO, 16 MM², ANTI-CHAMA 0,6/1 KV, INSTALADO EM ELETROCALHA OU PERFILADO - FORNECIMENTO E INSTALAÇÃO. AF_10/2020</t>
  </si>
  <si>
    <t>101888</t>
  </si>
  <si>
    <t>CABO DE COBRE ISOLADO, 25 MM², ANTI-CHAMA 450/750 V, INSTALADO EM ELETROCALHA OU PERFILADO - FORNECIMENTO E INSTALAÇÃO. AF_10/2020</t>
  </si>
  <si>
    <t>101889</t>
  </si>
  <si>
    <t>CABO DE COBRE ISOLADO, 25 MM², ANTI-CHAMA 0,6/1 KV, INSTALADO EM ELETROCALHA OU PERFILADO - FORNECIMENTO E INSTALAÇÃO. AF_10/2020</t>
  </si>
  <si>
    <t>97881</t>
  </si>
  <si>
    <t>97882</t>
  </si>
  <si>
    <t>97883</t>
  </si>
  <si>
    <t>97884</t>
  </si>
  <si>
    <t>97885</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</si>
  <si>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</si>
  <si>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</si>
  <si>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</si>
  <si>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</si>
  <si>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</si>
  <si>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</si>
  <si>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</si>
  <si>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</si>
  <si>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</si>
  <si>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</si>
  <si>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</si>
  <si>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</si>
  <si>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</si>
  <si>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</si>
  <si>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</si>
  <si>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</si>
  <si>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</si>
  <si>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</si>
  <si>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</si>
  <si>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</si>
  <si>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</si>
  <si>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</si>
  <si>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</si>
  <si>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</si>
  <si>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97362</t>
  </si>
  <si>
    <t>QUADRO DE MEDIÇÃO GERAL DE ENERGIA PARA BARRAMENTO BLINDADO COM 4 MEDIDORES - FORNECIMENTO E INSTALAÇÃO. AF_10/2020</t>
  </si>
  <si>
    <t>101875</t>
  </si>
  <si>
    <t>QUADRO DE DISTRIBUIÇÃO DE ENERGIA EM CHAPA DE AÇO GALVANIZADO, DE EMBUTIR, COM BARRAMENTO TRIFÁSICO, PARA 12 DISJUNTORES DIN 100A - FORNECIMENTO E INSTALAÇÃO. AF_10/2020</t>
  </si>
  <si>
    <t>101876</t>
  </si>
  <si>
    <t>QUADRO DE DISTRIBUIÇÃO DE ENERGIA EM PVC, DE EMBUTIR, SEM BARRAMENTO, PARA 6 DISJUNTORES - FORNECIMENTO E INSTALAÇÃO. AF_10/2020</t>
  </si>
  <si>
    <t>101877</t>
  </si>
  <si>
    <t>QUADRO DE DISTRIBUIÇÃO DE ENERGIA EM PVC, DE EMBUTIR, SEM BARRAMENTO, PARA 3 DISJUNTORES - FORNECIMENTO E INSTALAÇÃO. AF_10/2020</t>
  </si>
  <si>
    <t>101878</t>
  </si>
  <si>
    <t>QUADRO DE DISTRIBUIÇÃO DE ENERGIA EM CHAPA DE AÇO GALVANIZADO, DE SOBREPOR, COM BARRAMENTO TRIFÁSICO, PARA 18 DISJUNTORES DIN 100A - FORNECIMENTO E INSTALAÇÃO. AF_10/2020</t>
  </si>
  <si>
    <t>101879</t>
  </si>
  <si>
    <t>QUADRO DE DISTRIBUIÇÃO DE ENERGIA EM CHAPA DE AÇO GALVANIZADO, DE EMBUTIR, COM BARRAMENTO TRIFÁSICO, PARA 24 DISJUNTORES DIN 100A - FORNECIMENTO E INSTALAÇÃO. AF_10/2020</t>
  </si>
  <si>
    <t>101880</t>
  </si>
  <si>
    <t>QUADRO DE DISTRIBUIÇÃO DE ENERGIA EM CHAPA DE AÇO GALVANIZADO, DE EMBUTIR, COM BARRAMENTO TRIFÁSICO, PARA 30 DISJUNTORES DIN 150A - FORNECIMENTO E INSTALAÇÃO. AF_10/2020</t>
  </si>
  <si>
    <t>101881</t>
  </si>
  <si>
    <t>QUADRO DE DISTRIBUIÇÃO DE ENERGIA EM CHAPA DE AÇO GALVANIZADO, DE EMBUTIR, COM BARRAMENTO TRIFÁSICO, PARA 40 DISJUNTORES DIN 100A - FORNECIMENTO E INSTALAÇÃO. AF_10/2020</t>
  </si>
  <si>
    <t>101882</t>
  </si>
  <si>
    <t>QUADRO DE DISTRIBUIÇÃO DE ENERGIA EM CHAPA DE AÇO GALVANIZADO, DE EMBUTIR, COM BARRAMENTO TRIFÁSICO, PARA 30 DISJUNTORES DIN 225A - FORNECIMENTO E INSTALAÇÃO. AF_10/2020</t>
  </si>
  <si>
    <t>101883</t>
  </si>
  <si>
    <t>QUADRO DE DISTRIBUIÇÃO DE ENERGIA EM CHAPA DE AÇO GALVANIZADO, DE EMBUTIR, COM BARRAMENTO TRIFÁSICO, PARA 18 DISJUNTORES DIN 100A - FORNECIMENTO E INSTALAÇÃO. AF_10/2020</t>
  </si>
  <si>
    <t>101890</t>
  </si>
  <si>
    <t>DISJUNTOR MONOPOLAR TIPO NEMA, CORRENTE NOMINAL DE 10 ATÉ 30A - FORNECIMENTO E INSTALAÇÃO. AF_10/2020</t>
  </si>
  <si>
    <t>101891</t>
  </si>
  <si>
    <t>DISJUNTOR MONOPOLAR TIPO NEMA, CORRENTE NOMINAL DE 35 ATÉ 50A - FORNECIMENTO E INSTALAÇÃO. AF_10/2020</t>
  </si>
  <si>
    <t>101892</t>
  </si>
  <si>
    <t>DISJUNTOR BIPOLAR TIPO NEMA, CORRENTE NOMINAL DE 10 ATÉ 50A - FORNECIMENTO E INSTALAÇÃO. AF_10/2020</t>
  </si>
  <si>
    <t>101893</t>
  </si>
  <si>
    <t>DISJUNTOR TRIPOLAR TIPO NEMA, CORRENTE NOMINAL DE 10 ATÉ 50A - FORNECIMENTO E INSTALAÇÃO. AF_10/2020</t>
  </si>
  <si>
    <t>101894</t>
  </si>
  <si>
    <t>DISJUNTOR TRIPOLAR TIPO NEMA, CORRENTE NOMINAL DE 60 ATÉ 100A - FORNECIMENTO E INSTALAÇÃO. AF_10/2020</t>
  </si>
  <si>
    <t>101895</t>
  </si>
  <si>
    <t>DISJUNTOR TERMOMAGNÉTICO TRIPOLAR , CORRENTE NOMINAL DE 125A - FORNECIMENTO E INSTALAÇÃO. AF_10/2020</t>
  </si>
  <si>
    <t>101896</t>
  </si>
  <si>
    <t>DISJUNTOR TERMOMAGNÉTICO TRIPOLAR , CORRENTE NOMINAL DE 200A - FORNECIMENTO E INSTALAÇÃO. AF_10/2020</t>
  </si>
  <si>
    <t>101897</t>
  </si>
  <si>
    <t>DISJUNTOR TERMOMAGNÉTICO TRIPOLAR , CORRENTE NOMINAL DE 250A - FORNECIMENTO E INSTALAÇÃO. AF_10/2020</t>
  </si>
  <si>
    <t>101898</t>
  </si>
  <si>
    <t>DISJUNTOR TERMOMAGNÉTICO TRIPOLAR , CORRENTE NOMINAL DE 400A - FORNECIMENTO E INSTALAÇÃO. AF_10/2020</t>
  </si>
  <si>
    <t>101899</t>
  </si>
  <si>
    <t>DISJUNTOR TERMOMAGNÉTICO TRIPOLAR , CORRENTE NOMINAL DE 600A - FORNECIMENTO E INSTALAÇÃO. AF_10/2020</t>
  </si>
  <si>
    <t>101900</t>
  </si>
  <si>
    <t>DISJUNTOR BAIXA TENSÃO TRIPOLAR A SECO  800A/600V - FORNECIMENTO E INSTALAÇÃO. AF_10/2020</t>
  </si>
  <si>
    <t>101901</t>
  </si>
  <si>
    <t>CONTATOR TRIPOLAR I NOMINAL 12A - FORNECIMENTO E INSTALAÇÃO. AF_10/2020</t>
  </si>
  <si>
    <t>101902</t>
  </si>
  <si>
    <t>CONTATOR TRIPOLAR I NOMINAL 22A - FORNECIMENTO E INSTALAÇÃO. AF_10/2020</t>
  </si>
  <si>
    <t>101903</t>
  </si>
  <si>
    <t>CONTATOR TRIPOLAR I NOMINAL 38A - FORNECIMENTO E INSTALAÇÃO. AF_10/2020</t>
  </si>
  <si>
    <t>101904</t>
  </si>
  <si>
    <t>CONTATOR TRIPOLAR I NOMIMAL 95A - FORNECIMENTO E INSTALAÇÃO. AF_10/2020</t>
  </si>
  <si>
    <t>101938</t>
  </si>
  <si>
    <t>ABRIGO PARA HIDRANTE, 90X60X17CM, COM REGISTRO GLOBO ANGULAR 45 GRAUS 2 1/2", ADAPTADOR STORZ 2 1/2", MANGUEIRA DE INCÊNDIO 20M, REDUÇÃO 2 1/2" X 1 1/2" E ESGUICHO EM LATÃO 1 1/2" - FORNECIMENTO E INSTALAÇÃO. AF_10/2020</t>
  </si>
  <si>
    <t>101905</t>
  </si>
  <si>
    <t>101906</t>
  </si>
  <si>
    <t>101907</t>
  </si>
  <si>
    <t>101908</t>
  </si>
  <si>
    <t>101909</t>
  </si>
  <si>
    <t>101910</t>
  </si>
  <si>
    <t>101911</t>
  </si>
  <si>
    <t>101912</t>
  </si>
  <si>
    <t>ABRIGO PARA HIDRANTE, 75X45X17CM, COM REGISTRO GLOBO ANGULAR 45 GRAUS 2 1/2", ADAPTADOR STORZ 2 1/2", MANGUEIRA DE INCÊNDIO 15M 2 1/2" E ESGUICHO EM LATÃO 2 1/2" - FORNECIMENTO E INSTALAÇÃO. AF_10/2020</t>
  </si>
  <si>
    <t>101913</t>
  </si>
  <si>
    <t>CAIXA DE INCÊNDIO 45X75X17CM - FORNECIMENTO E INSTALAÇÃO. AF_10/2020</t>
  </si>
  <si>
    <t>101914</t>
  </si>
  <si>
    <t>CAIXA DE INCÊNDIO 60X90X17CM - FORNECIMENTO E INSTALAÇÃO. AF_10/2020</t>
  </si>
  <si>
    <t>101915</t>
  </si>
  <si>
    <t>CONJUNTO DE MANGUEIRA PARA COMBATE A INCÊNDIO EM FIBRA DE POLIESTER PURA, COM 1.1/2", REVESTIDA INTERNAMENTE, COMPRIMENTO DE 15M - FORNECIMENTO E INSTALAÇÃO. AF_10/2020</t>
  </si>
  <si>
    <t>101916</t>
  </si>
  <si>
    <t>HIDRANTE SUBTERRÂNEO PREDIAL (COM CURVA LONGA E CAIXA), DN 75 MM - FORNECIMENTO E INSTALAÇÃO. AF_10/2020</t>
  </si>
  <si>
    <t>101917</t>
  </si>
  <si>
    <t>MANÔMETRO 0 A 200 PSI (0 A 14 KGF/CM2), D = 50MM - FORNECIMENTO E INSTALAÇÃO. AF_10/2020</t>
  </si>
  <si>
    <t>101936</t>
  </si>
  <si>
    <t>INSTALAÇÃO DE TUBOS E CONEXÕES, EM AÇO/FERRO GALVANIZADO, PARA O CENTRO DE MEDIÇÃO DE GÁS DE EDIFÍCIO RESIDENCIAL, COM 4 PAVIMENTOS, 16 UNIDADES HABITACIONAIS, DN 32 (1 1/4) - FORNECIMENTO E INSTALAÇÃO. AF_10/2020</t>
  </si>
  <si>
    <t>101937</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</si>
  <si>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</si>
  <si>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</si>
  <si>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</si>
  <si>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</si>
  <si>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</si>
  <si>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</si>
  <si>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</si>
  <si>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</si>
  <si>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</si>
  <si>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92359</t>
  </si>
  <si>
    <t>TUBO DE AÇO PRETO SEM COSTURA, CONEXÃO SOLDADA, DN 25 (1"), INSTALADO EM REDE DE ALIMENTAÇÃO PARA HIDRANTE - FORNECIMENTO E INSTALAÇÃO. AF_10/2020</t>
  </si>
  <si>
    <t>92360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</si>
  <si>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</si>
  <si>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</si>
  <si>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</si>
  <si>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</si>
  <si>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</si>
  <si>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</si>
  <si>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</si>
  <si>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</si>
  <si>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92645</t>
  </si>
  <si>
    <t>TUBO DE AÇO PRETO SEM COSTURA, CONEXÃO SOLDADA, DN 25 (1"), INSTALADO EM REDE DE ALIMENTAÇÃO PARA SPRINKLER - FORNECIMENTO E INSTALAÇÃO. AF_10/2020</t>
  </si>
  <si>
    <t>92646</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</si>
  <si>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</si>
  <si>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</si>
  <si>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</si>
  <si>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</si>
  <si>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</si>
  <si>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</si>
  <si>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</si>
  <si>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</si>
  <si>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</si>
  <si>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</si>
  <si>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</si>
  <si>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</si>
  <si>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</si>
  <si>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92691</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</si>
  <si>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</si>
  <si>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</si>
  <si>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</si>
  <si>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</si>
  <si>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101918</t>
  </si>
  <si>
    <t>TUBO DE AÇO GALVANIZADO COM COSTURA, CLASSE MÉDIA, DN 100 (4"), CONEXÃO ROSQUEADA, INSTALADO EM PRUMADAS - FORNECIMENTO E INSTALAÇÃO. AF_10/2020</t>
  </si>
  <si>
    <t>101919</t>
  </si>
  <si>
    <t>UNIÃO, EM FERRO GALVANIZADO, 4", CONEXÃO ROSQUEADA, INSTALADO EM PRUMADAS - FORNECIMENTO E INSTALAÇÃO. AF_10/2020</t>
  </si>
  <si>
    <t>101920</t>
  </si>
  <si>
    <t>LUVA, EM FERRO GALVANIZADO, 4", CONEXÃO ROSQUEADA, INSTALADO EM PRUMADAS - FORNECIMENTO E INSTALAÇÃO. AF_10/2020</t>
  </si>
  <si>
    <t>101921</t>
  </si>
  <si>
    <t>LUVA DE REDUÇÃO, EM FERRO GALVANIZADO, 4" X 2 1/2", CONEXÃO ROSQUEADA, INSTALADO EM PRUMADAS - FORNECIMENTO E INSTALAÇÃO. AF_10/2020</t>
  </si>
  <si>
    <t>101922</t>
  </si>
  <si>
    <t>LUVA DE REDUÇÃO, EM FERRO GALVANIZADO, 4" X 2", CONEXÃO ROSQUEADA, INSTALADO EM PRUMADAS - FORNECIMENTO E INSTALAÇÃO. AF_10/2020</t>
  </si>
  <si>
    <t>101923</t>
  </si>
  <si>
    <t>LUVA DE REDUÇÃO, EM FERRO GALVANIZADO, 4" X 3", CONEXÃO ROSQUEADA, INSTALADO EM PRUMADAS - FORNECIMENTO E INSTALAÇÃO. AF_10/2020</t>
  </si>
  <si>
    <t>101924</t>
  </si>
  <si>
    <t>NIPLE, EM FERRO GALVANIZADO, 4", CONEXÃO ROSQUEADA, INSTALADO EM PRUMADAS - FORNECIMENTO E INSTALAÇÃO. AF_10/2020</t>
  </si>
  <si>
    <t>101925</t>
  </si>
  <si>
    <t>JOELHO 90°, EM FERRO GALVANIZADO, 4", CONEXÃO ROSQUEADA, INSTALADO EM PRUMADAS - FORNECIMENTO E INSTALAÇÃO. AF_10/2020</t>
  </si>
  <si>
    <t>101926</t>
  </si>
  <si>
    <t>TÊ, EM FERRO GALVANIZADO, 4", CONEXÃO ROSQUEADA, INSTALADO EM PRUMADAS - FORNECIMENTO E INSTALAÇÃO. AF_10/2020</t>
  </si>
  <si>
    <t>101927</t>
  </si>
  <si>
    <t>TUBO DE AÇO GALVANIZADO COM COSTURA, CLASSE MÉDIA, DN 100 (4"), CONEXÃO ROSQUEADA, INSTALADO EM REDE DE ALIMENTAÇÃO PARA HIDRANTE - FORNECIMENTO E INSTALAÇÃO. AF_10/2020</t>
  </si>
  <si>
    <t>101928</t>
  </si>
  <si>
    <t>UNIÃO, EM FERRO GALVANIZADO, 4", CONEXÃO ROSQUEADA, INSTALADO EM REDE DE ALIMENTAÇÃO PARA HIDRANTE - FORNECIMENTO E INSTALAÇÃO. AF_10/2020</t>
  </si>
  <si>
    <t>101929</t>
  </si>
  <si>
    <t>LUVA, EM FERRO GALVANIZADO, 4", CONEXÃO ROSQUEADA, INSTALADO EM REDE DE ALIMENTAÇÃO PARA HIDRANTE - FORNECIMENTO E INSTALAÇÃO. AF_10/2020</t>
  </si>
  <si>
    <t>101930</t>
  </si>
  <si>
    <t>LUVA DE REDUÇÃO, EM FERRO GALVANIZADO, 4" X 2 1/2", CONEXÃO ROSQUEADA, INSTALADO EM REDE DE ALIMENTAÇÃO PARA HIDRANTE - FORNECIMENTO E INSTALAÇÃO. AF_10/2020</t>
  </si>
  <si>
    <t>101931</t>
  </si>
  <si>
    <t>LUVA DE REDUÇÃO, EM FERRO GALVANIZADO, 4" X 2", CONEXÃO ROSQUEADA, INSTALADO EM REDE DE ALIMENTAÇÃO PARA HIDRANTE - FORNECIMENTO E INSTALAÇÃO. AF_10/2020</t>
  </si>
  <si>
    <t>101932</t>
  </si>
  <si>
    <t>LUVA DE REDUÇÃO, EM FERRO GALVANIZADO, 4" X 3", CONEXÃO ROSQUEADA, INSTALADO EM REDE DE ALIMENTAÇÃO PARA HIDRANTE - FORNECIMENTO E INSTALAÇÃO. AF_10/2020</t>
  </si>
  <si>
    <t>101933</t>
  </si>
  <si>
    <t>NIPLE, EM FERRO GALVANIZADO, 4", CONEXÃO ROSQUEADA, INSTALADO EM REDE DE ALIMENTAÇÃO PARA HIDRANTE - FORNECIMENTO E INSTALAÇÃO. AF_10/2020</t>
  </si>
  <si>
    <t>101934</t>
  </si>
  <si>
    <t>JOELHO 90°, EM FERRO GALVANIZADO, 4", CONEXÃO ROSQUEADA, INSTALADO EM REDE DE ALIMENTAÇÃO PARA HIDRANTE - FORNECIMENTO E INSTALAÇÃO. AF_10/2020</t>
  </si>
  <si>
    <t>101935</t>
  </si>
  <si>
    <t>TÊ, EM FERRO GALVANIZADO, 4", CONEXÃO ROSQUEADA, INSTALADO EM REDE DE ALIMENTAÇÃO PARA HIDRANTE - FORNECIMENTO E INSTALAÇÃO. AF_10/2020</t>
  </si>
  <si>
    <t>17,76</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</si>
  <si>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</si>
  <si>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</si>
  <si>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</si>
  <si>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</si>
  <si>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</si>
  <si>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</si>
  <si>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</si>
  <si>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</si>
  <si>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</si>
  <si>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</si>
  <si>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</si>
  <si>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</si>
  <si>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</si>
  <si>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</si>
  <si>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</si>
  <si>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</si>
  <si>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</si>
  <si>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</si>
  <si>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</si>
  <si>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</si>
  <si>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</si>
  <si>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</si>
  <si>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</si>
  <si>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</si>
  <si>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</si>
  <si>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</si>
  <si>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</si>
  <si>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</si>
  <si>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</si>
  <si>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</si>
  <si>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</si>
  <si>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</si>
  <si>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</si>
  <si>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</si>
  <si>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</si>
  <si>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</si>
  <si>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</si>
  <si>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</si>
  <si>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</si>
  <si>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</si>
  <si>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</si>
  <si>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</si>
  <si>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</si>
  <si>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</si>
  <si>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</si>
  <si>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</si>
  <si>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</si>
  <si>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</si>
  <si>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</si>
  <si>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</si>
  <si>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</si>
  <si>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</si>
  <si>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</si>
  <si>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</si>
  <si>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</si>
  <si>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</si>
  <si>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</si>
  <si>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</si>
  <si>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</si>
  <si>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</si>
  <si>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</si>
  <si>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</si>
  <si>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</si>
  <si>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</si>
  <si>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</si>
  <si>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</si>
  <si>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</si>
  <si>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</si>
  <si>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</si>
  <si>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</si>
  <si>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</si>
  <si>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</si>
  <si>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</si>
  <si>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</si>
  <si>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</si>
  <si>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</si>
  <si>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</si>
  <si>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</si>
  <si>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</si>
  <si>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</si>
  <si>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</si>
  <si>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</si>
  <si>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</si>
  <si>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</si>
  <si>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</si>
  <si>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</si>
  <si>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</si>
  <si>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</si>
  <si>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</si>
  <si>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</si>
  <si>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</si>
  <si>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</si>
  <si>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</si>
  <si>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</si>
  <si>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</si>
  <si>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</si>
  <si>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</si>
  <si>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</si>
  <si>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</si>
  <si>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</si>
  <si>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</si>
  <si>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</si>
  <si>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</si>
  <si>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</si>
  <si>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</si>
  <si>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</si>
  <si>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</si>
  <si>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</si>
  <si>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</si>
  <si>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</si>
  <si>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</si>
  <si>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</si>
  <si>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</si>
  <si>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</si>
  <si>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</si>
  <si>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</si>
  <si>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</si>
  <si>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</si>
  <si>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</si>
  <si>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</si>
  <si>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</si>
  <si>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</si>
  <si>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</si>
  <si>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</si>
  <si>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</si>
  <si>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</si>
  <si>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</si>
  <si>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</si>
  <si>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</si>
  <si>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</si>
  <si>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</si>
  <si>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</si>
  <si>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</si>
  <si>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</si>
  <si>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</si>
  <si>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</si>
  <si>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</si>
  <si>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</si>
  <si>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</si>
  <si>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</si>
  <si>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</si>
  <si>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</si>
  <si>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</si>
  <si>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</si>
  <si>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</si>
  <si>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</si>
  <si>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</si>
  <si>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</si>
  <si>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</si>
  <si>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</si>
  <si>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</si>
  <si>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</si>
  <si>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</si>
  <si>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</si>
  <si>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</si>
  <si>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</si>
  <si>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</si>
  <si>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</si>
  <si>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</si>
  <si>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</si>
  <si>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</si>
  <si>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</si>
  <si>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</si>
  <si>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</si>
  <si>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</si>
  <si>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</si>
  <si>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</si>
  <si>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</si>
  <si>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</si>
  <si>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</si>
  <si>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</si>
  <si>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</si>
  <si>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</si>
  <si>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</si>
  <si>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</si>
  <si>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</si>
  <si>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</si>
  <si>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</si>
  <si>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</si>
  <si>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</si>
  <si>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</si>
  <si>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</si>
  <si>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</si>
  <si>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</si>
  <si>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</si>
  <si>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</si>
  <si>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</si>
  <si>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</si>
  <si>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</si>
  <si>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</si>
  <si>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</si>
  <si>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</si>
  <si>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</si>
  <si>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</si>
  <si>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</si>
  <si>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</si>
  <si>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</si>
  <si>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</si>
  <si>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</si>
  <si>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</si>
  <si>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</si>
  <si>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</si>
  <si>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</si>
  <si>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</si>
  <si>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</si>
  <si>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</si>
  <si>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</si>
  <si>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</si>
  <si>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</si>
  <si>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</si>
  <si>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</si>
  <si>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</si>
  <si>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</si>
  <si>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</si>
  <si>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</si>
  <si>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</si>
  <si>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</si>
  <si>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</si>
  <si>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</si>
  <si>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</si>
  <si>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</si>
  <si>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</si>
  <si>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</si>
  <si>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</si>
  <si>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</si>
  <si>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</si>
  <si>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</si>
  <si>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</si>
  <si>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</si>
  <si>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</si>
  <si>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</si>
  <si>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</si>
  <si>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</si>
  <si>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</si>
  <si>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</si>
  <si>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</si>
  <si>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</si>
  <si>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</si>
  <si>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</si>
  <si>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</si>
  <si>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</si>
  <si>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</si>
  <si>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</si>
  <si>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</si>
  <si>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</si>
  <si>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</si>
  <si>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</si>
  <si>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</si>
  <si>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</si>
  <si>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97895</t>
  </si>
  <si>
    <t>97896</t>
  </si>
  <si>
    <t>97897</t>
  </si>
  <si>
    <t>97898</t>
  </si>
  <si>
    <t>98058</t>
  </si>
  <si>
    <t>98062</t>
  </si>
  <si>
    <t>98063</t>
  </si>
  <si>
    <t>98064</t>
  </si>
  <si>
    <t>98065</t>
  </si>
  <si>
    <t>98112</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</si>
  <si>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</si>
  <si>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</si>
  <si>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</si>
  <si>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12,34</t>
  </si>
  <si>
    <t>12,08</t>
  </si>
  <si>
    <t>4,88</t>
  </si>
  <si>
    <t>SF-01342</t>
  </si>
  <si>
    <t>SF-01343</t>
  </si>
  <si>
    <t>9,85</t>
  </si>
  <si>
    <t>FECHADURA DE SOBREPOR PARA PORTAO, EM ACO INOX COM ACABAMENTO CROMADO, CAIXA DE 100 MM, INCLUINDO CHAVE TIPO CILINDRO</t>
  </si>
  <si>
    <t>4,37</t>
  </si>
  <si>
    <t>13,98</t>
  </si>
  <si>
    <t>9,08</t>
  </si>
  <si>
    <t>17,72</t>
  </si>
  <si>
    <t>97087</t>
  </si>
  <si>
    <t>97088</t>
  </si>
  <si>
    <t>97089</t>
  </si>
  <si>
    <t>97090</t>
  </si>
  <si>
    <t>97091</t>
  </si>
  <si>
    <t>97092</t>
  </si>
  <si>
    <t>97093</t>
  </si>
  <si>
    <t>97101</t>
  </si>
  <si>
    <t>97102</t>
  </si>
  <si>
    <t>97103</t>
  </si>
  <si>
    <t>101969</t>
  </si>
  <si>
    <t>FABRICAÇÃO DE FÔRMA PARA ESCADAS, COM 2 LANCES EM "U" E LAJE PLANA, EM CHAPA DE MADEIRA COMPENSADA PLASTIFICADA, E=18 MM. AF_11/2020</t>
  </si>
  <si>
    <t>101971</t>
  </si>
  <si>
    <t>FABRICAÇÃO DE FÔRMA PARA ESCADAS, COM 2 LANCES EM "U" E LAJE PLANA, EM CHAPA DE MADEIRA COMPENSADA RESINADA, E= 17 MM. AF_11/2020</t>
  </si>
  <si>
    <t>101973</t>
  </si>
  <si>
    <t>FABRICAÇÃO DE FÔRMA PARA ESCADAS, COM 2 LANCES EM "U" E LAJE PLANA, EM MADEIRA SERRADA, E=25 MM. AF_11/2020</t>
  </si>
  <si>
    <t>101974</t>
  </si>
  <si>
    <t>MONTAGEM E DESMONTAGEM DE FÔRMA PARA ESCADAS, COM 2 LANCES EM "U" E LAJE PLANA, EM MADEIRA SERRADA, 1 UTILIZAÇÃO. AF_11/2020</t>
  </si>
  <si>
    <t>101975</t>
  </si>
  <si>
    <t>MONTAGEM E DESMONTAGEM DE FÔRMA PARA ESCADAS, COM 2 LANCES EM "U"  E LAJE PLANA, EM MADEIRA SERRADA, 2 UTILIZAÇÕES. AF_11/2020</t>
  </si>
  <si>
    <t>101977</t>
  </si>
  <si>
    <t>MONTAGEM E DESMONTAGEM DE FÔRMA PARA ESCADAS, COM 2 LANCES EM "U" E LAJE PLANA, EM CHAPA DE MADEIRA COMPENSADA RESINADA, 2 UTILIZAÇÕES. AF_11/2020</t>
  </si>
  <si>
    <t>101980</t>
  </si>
  <si>
    <t>MONTAGEM E DESMONTAGEM DE FÔRMA PARA ESCADAS, COM 2 LANCES EM "U" E LAJE PLANA, EM CHAPA DE MADEIRA COMPENSADA RESINADA, 4 UTILIZAÇÕES. AF_11/2020</t>
  </si>
  <si>
    <t>101981</t>
  </si>
  <si>
    <t>MONTAGEM E DESMONTAGEM DE FÔRMA PARA ESCADAS, COM 2 LANCES EM "U" E LAJE PLANA, EM CHAPA DE MADEIRA COMPENSADA PLASTIFICADA, 6 UTILIZAÇÕES. AF_11/2020</t>
  </si>
  <si>
    <t>101982</t>
  </si>
  <si>
    <t>MONTAGEM E DESMONTAGEM DE FÔRMA PARA ESCADAS, COM 2 LANCES EM "U" E LAJE PLANA, EM CHAPA DE MADEIRA COMPENSADA PLASTIFICADA, 8 UTILIZAÇÕES. AF_11/2020</t>
  </si>
  <si>
    <t>101983</t>
  </si>
  <si>
    <t>MONTAGEM E DESMONTAGEM DE FÔRMA PARA ESCADAS, COM 2 LANCES EM "U" E LAJE PLANA, EM CHAPA DE MADEIRA COMPENSADA PLASTIFICADA, 10 UTILIZAÇÕES. AF_11/2020</t>
  </si>
  <si>
    <t>101985</t>
  </si>
  <si>
    <t>FABRICAÇÃO DE FÔRMA PARA ESCADAS, COM 2 LANCES EM "U" E LAJE CASCATA, EM CHAPA DE MADEIRA COMPENSADA PLASTIFICADA, E=18 MM. AF_11/2020</t>
  </si>
  <si>
    <t>101986</t>
  </si>
  <si>
    <t>FABRICAÇÃO DE FÔRMA PARA ESCADAS, COM 2 LANCES EM "U" E LAJE CASCATA, EM CHAPA DE MADEIRA COMPENSADA RESINADA, E= 17 MM. AF_11/2020</t>
  </si>
  <si>
    <t>101987</t>
  </si>
  <si>
    <t>FABRICAÇÃO DE FÔRMA PARA ESCADAS, COM 2 LANCES EM "U" E LAJE CASCATA, EM MADEIRA SERRADA, E=25 MM. AF_11/2020</t>
  </si>
  <si>
    <t>101988</t>
  </si>
  <si>
    <t>FABRICAÇÃO DE FÔRMA PARA ESCADAS, COM 2 LANCES EM "L" E LAJE PLANA, EM CHAPA DE MADEIRA COMPENSADA PLASTIFICADA, E=18 MM. AF_11/2020</t>
  </si>
  <si>
    <t>101989</t>
  </si>
  <si>
    <t>FABRICAÇÃO DE FÔRMA PARA ESCADAS, COM 2 LANCES EM "L" E LAJE PLANA, EM CHAPA DE MADEIRA COMPENSADA RESINADA, E= 17 MM. AF_11/2020</t>
  </si>
  <si>
    <t>101990</t>
  </si>
  <si>
    <t>FABRICAÇÃO DE FÔRMA PARA ESCADAS, COM 2 LANCES EM "L" E LAJE PLANA, EM MADEIRA SERRADA, E=25 MM. AF_11/2020</t>
  </si>
  <si>
    <t>101991</t>
  </si>
  <si>
    <t>FABRICAÇÃO DE FÔRMA PARA ESCADAS, COM 2 LANCES EM "L" E LAJE CASCATA, EM CHAPA DE MADEIRA COMPENSADA PLASTIFICADA, E=18 MM. AF_11/2020</t>
  </si>
  <si>
    <t>101992</t>
  </si>
  <si>
    <t>FABRICAÇÃO DE FÔRMA PARA ESCADAS, COM 2 LANCES EM "L" E LAJE CASCATA, EM CHAPA DE MADEIRA COMPENSADA RESINADA, E= 17 MM. AF_11/2020</t>
  </si>
  <si>
    <t>101993</t>
  </si>
  <si>
    <t>FABRICAÇÃO DE FÔRMA PARA ESCADAS, COM 2 LANCES EM "L" E LAJE CASCATA, EM MADEIRA SERRADA, E=25 MM. AF_11/2020</t>
  </si>
  <si>
    <t>101994</t>
  </si>
  <si>
    <t>FABRICAÇÃO DE FÔRMA PARA ESCADAS, COM 1 LANCE E LAJE PLANA, EM CHAPA DE MADEIRA COMPENSADA PLASTIFICADA, E=18 MM. AF_11/2020</t>
  </si>
  <si>
    <t>101995</t>
  </si>
  <si>
    <t>FABRICAÇÃO DE FÔRMA PARA ESCADAS, COM 1 LANCE E LAJE PLANA, EM CHAPA DE MADEIRA COMPENSADA RESINADA, E= 17 MM. AF_11/2020</t>
  </si>
  <si>
    <t>101996</t>
  </si>
  <si>
    <t>FABRICAÇÃO DE FÔRMA PARA ESCADAS, COM 1 LANCE E LAJE PLANA, EM MADEIRA SERRADA, E=25 MM. AF_11/2020</t>
  </si>
  <si>
    <t>101997</t>
  </si>
  <si>
    <t>FABRICAÇÃO DE FÔRMA PARA ESCADAS, COM 1 LANCE E LAJE CASCATA, EM CHAPA DE MADEIRA COMPENSADA PLASTIFICADA, E=18 MM. AF_11/2020</t>
  </si>
  <si>
    <t>101998</t>
  </si>
  <si>
    <t>FABRICAÇÃO DE FÔRMA PARA ESCADAS, COM 1 LANCE E LAJE CASCATA, EM CHAPA DE MADEIRA COMPENSADA RESINADA, E= 17 MM. AF_11/2020</t>
  </si>
  <si>
    <t>101999</t>
  </si>
  <si>
    <t>FABRICAÇÃO DE FÔRMA PARA ESCADAS, COM 1 LANCE E LAJE CASCATA, EM MADEIRA SERRADA, E=25 MM. AF_11/2020</t>
  </si>
  <si>
    <t>102000</t>
  </si>
  <si>
    <t>MONTAGEM E DESMONTAGEM DE FÔRMA PARA ESCADAS, COM 2 LANCES EM "U" E LAJE CASCATA, EM MADEIRA SERRADA, 1 UTILIZAÇÃO. AF_11/2020</t>
  </si>
  <si>
    <t>102001</t>
  </si>
  <si>
    <t>MONTAGEM E DESMONTAGEM DE FÔRMA PARA ESCADAS, COM 2 LANCES EM "U" E LAJE CASCATA, EM MADEIRA SERRADA, 2 UTILIZAÇÕES. AF_11/2020</t>
  </si>
  <si>
    <t>102002</t>
  </si>
  <si>
    <t>MONTAGEM E DESMONTAGEM DE FÔRMA PARA ESCADAS, COM 2 LANCES EM "U" E LAJE CASCATA, EM CHAPA DE MADEIRA COMPENSADA RESINADA, 2 UTILIZAÇÕES. AF_11/2020</t>
  </si>
  <si>
    <t>102003</t>
  </si>
  <si>
    <t>MONTAGEM E DESMONTAGEM DE FÔRMA PARA ESCADAS, COM 2 LANCES EM "U" E LAJE CASCATA, EM CHAPA DE MADEIRA COMPENSADA RESINADA, 4 UTILIZAÇÕES. AF_11/2020</t>
  </si>
  <si>
    <t>102004</t>
  </si>
  <si>
    <t>MONTAGEM E DESMONTAGEM DE FÔRMA PARA ESCADAS, COM 2 LANCES EM "U" E LAJE CASCATA, EM CHAPA DE MADEIRA COMPENSADA PLASTIFICADA, 6 UTILIZAÇÕES. AF_11/2020</t>
  </si>
  <si>
    <t>102005</t>
  </si>
  <si>
    <t>MONTAGEM E DESMONTAGEM DE FÔRMA PARA ESCADAS, COM 2 LANCES EM "U" E LAJE CASCATA, EM CHAPA DE MADEIRA COMPENSADA PLASTIFICADA, 8 UTILIZAÇÕES. AF_11/2020</t>
  </si>
  <si>
    <t>102006</t>
  </si>
  <si>
    <t>MONTAGEM E DESMONTAGEM DE FÔRMA PARA ESCADAS, COM 2 LANCES EM "U" E LAJE CASCATA, EM CHAPA DE MADEIRA COMPENSADA PLASTIFICADA, 10 UTILIZAÇÕES. AF_11/2020</t>
  </si>
  <si>
    <t>102007</t>
  </si>
  <si>
    <t>MONTAGEM E DESMONTAGEM DE FÔRMA PARA ESCADAS, COM 2 LANCES EM "L" E LAJE PLANA, EM MADEIRA SERRADA, 1 UTILIZAÇÃO. AF_11/2020</t>
  </si>
  <si>
    <t>102008</t>
  </si>
  <si>
    <t>MONTAGEM E DESMONTAGEM DE FÔRMA PARA ESCADAS, COM 2 LANCES EM "L" E LAJE PLANA, EM MADEIRA SERRADA, 2 UTILIZAÇÕES. AF_11/2020</t>
  </si>
  <si>
    <t>102009</t>
  </si>
  <si>
    <t>MONTAGEM E DESMONTAGEM DE FÔRMA PARA ESCADAS, COM 2 LANCES EM "L" E LAJE PLANA, EM CHAPA DE MADEIRA COMPENSADA RESINADA, 2 UTILIZAÇÕES. AF_11/2020</t>
  </si>
  <si>
    <t>102010</t>
  </si>
  <si>
    <t>MONTAGEM E DESMONTAGEM DE FÔRMA PARA ESCADAS, COM 2 LANCES EM "L" E LAJE PLANA, EM CHAPA DE MADEIRA COMPENSADA RESINADA, 4 UTILIZAÇÕES. AF_11/2020</t>
  </si>
  <si>
    <t>102011</t>
  </si>
  <si>
    <t>MONTAGEM E DESMONTAGEM DE FÔRMA PARA ESCADAS, COM 2 LANCES EM "L" E LAJE PLANA, EM CHAPA DE MADEIRA COMPENSADA PLASTIFICADA, 6 UTILIZAÇÕES. AF_11/2020</t>
  </si>
  <si>
    <t>102012</t>
  </si>
  <si>
    <t>MONTAGEM E DESMONTAGEM DE FÔRMA PARA ESCADAS, COM 2 LANCES EM "L" E LAJE PLANA, EM CHAPA DE MADEIRA COMPENSADA PLASTIFICADA, 8 UTILIZAÇÕES. AF_11/2020</t>
  </si>
  <si>
    <t>102013</t>
  </si>
  <si>
    <t>MONTAGEM E DESMONTAGEM DE FÔRMA PARA ESCADAS, COM 2 LANCES EM "L" E LAJE PLANA, EM CHAPA DE MADEIRA COMPENSADA PLASTIFICADA, 10 UTILIZAÇÕES. AF_11/2020</t>
  </si>
  <si>
    <t>102014</t>
  </si>
  <si>
    <t>MONTAGEM E DESMONTAGEM DE FÔRMA PARA ESCADAS, COM 2 LANCES EM "L" E LAJE CASCATA, EM MADEIRA SERRADA, 1 UTILIZAÇÃO. AF_11/2020</t>
  </si>
  <si>
    <t>102015</t>
  </si>
  <si>
    <t>MONTAGEM E DESMONTAGEM DE FÔRMA PARA ESCADAS, COM 2 LANCES EM "L" E LAJE CASCATA, EM MADEIRA SERRADA, 2 UTILIZAÇÕES. AF_11/2020</t>
  </si>
  <si>
    <t>102016</t>
  </si>
  <si>
    <t>MONTAGEM E DESMONTAGEM DE FÔRMA PARA ESCADAS, COM 2 LANCES EM "L" E LAJE CASCATA, EM CHAPA DE MADEIRA COMPENSADA RESINADA, 2 UTILIZAÇÕES. AF_11/2020</t>
  </si>
  <si>
    <t>102017</t>
  </si>
  <si>
    <t>MONTAGEM E DESMONTAGEM DE FÔRMA PARA ESCADAS, COM 2 LANCES EM "L" E LAJE CASCATA, EM CHAPA DE MADEIRA COMPENSADA RESINADA, 4 UTILIZAÇÕES. AF_11/2020</t>
  </si>
  <si>
    <t>102036</t>
  </si>
  <si>
    <t>MONTAGEM E DESMONTAGEM DE FÔRMA PARA ESCADAS, COM 2 LANCES EM "L" E LAJE CASCATA, EM CHAPA DE MADEIRA COMPENSADA PLASTIFICADA, 6 UTILIZAÇÕES. AF_11/2020</t>
  </si>
  <si>
    <t>102037</t>
  </si>
  <si>
    <t>MONTAGEM E DESMONTAGEM DE FÔRMA PARA ESCADAS, COM 2 LANCES EM "L" E LAJE CASCATA, EM CHAPA DE MADEIRA COMPENSADA PLASTIFICADA, 8 UTILIZAÇÕES. AF_11/2020</t>
  </si>
  <si>
    <t>102038</t>
  </si>
  <si>
    <t>MONTAGEM E DESMONTAGEM DE FÔRMA PARA ESCADAS, COM 2 LANCES EM "L" E LAJE CASCATA, EM CHAPA DE MADEIRA COMPENSADA PLASTIFICADA, 10 UTILIZAÇÕES. AF_11/2020</t>
  </si>
  <si>
    <t>102039</t>
  </si>
  <si>
    <t>MONTAGEM E DESMONTAGEM DE FÔRMA PARA ESCADAS, COM 1 LANCE E LAJE PLANA, EM MADEIRA SERRADA, 1 UTILIZAÇÃO. AF_11/2020</t>
  </si>
  <si>
    <t>102040</t>
  </si>
  <si>
    <t>MONTAGEM E DESMONTAGEM DE FÔRMA PARA ESCADAS, COM 1 LANCE E LAJE PLANA, EM MADEIRA SERRADA, 2 UTILIZAÇÕES. AF_11/2020</t>
  </si>
  <si>
    <t>102041</t>
  </si>
  <si>
    <t>MONTAGEM E DESMONTAGEM DE FÔRMA PARA ESCADAS, COM 1 LANCE E LAJE PLANA, EM CHAPA DE MADEIRA COMPENSADA RESINADA, 2 UTILIZAÇÕES. AF_11/2020</t>
  </si>
  <si>
    <t>102042</t>
  </si>
  <si>
    <t>MONTAGEM E DESMONTAGEM DE FÔRMA PARA ESCADAS, COM 1 LANCE E LAJE PLANA, EM CHAPA DE MADEIRA COMPENSADA RESINADA, 4 UTILIZAÇÕES. AF_11/2020</t>
  </si>
  <si>
    <t>102043</t>
  </si>
  <si>
    <t>MONTAGEM E DESMONTAGEM DE FÔRMA PARA ESCADAS, COM 1 LANCE E LAJE PLANA, EM CHAPA DE MADEIRA COMPENSADA PLASTIFICADA, 6 UTILIZAÇÕES. AF_11/2020</t>
  </si>
  <si>
    <t>102044</t>
  </si>
  <si>
    <t>MONTAGEM E DESMONTAGEM DE FÔRMA PARA ESCADAS, COM 1 LANCE E LAJE PLANA, EM CHAPA DE MADEIRA COMPENSADA PLASTIFICADA, 8 UTILIZAÇÕES. AF_11/2020</t>
  </si>
  <si>
    <t>102045</t>
  </si>
  <si>
    <t>MONTAGEM E DESMONTAGEM DE FÔRMA PARA ESCADAS, COM 1 LANCE E LAJE PLANA, EM CHAPA DE MADEIRA COMPENSADA PLASTIFICADA, 10 UTILIZAÇÕES. AF_11/2020</t>
  </si>
  <si>
    <t>102046</t>
  </si>
  <si>
    <t>MONTAGEM E DESMONTAGEM DE FÔRMA PARA ESCADAS, COM 1 LANCE E LAJE CASCATA, EM MADEIRA SERRADA, 1 UTILIZAÇÃO. AF_11/2020</t>
  </si>
  <si>
    <t>102047</t>
  </si>
  <si>
    <t>MONTAGEM E DESMONTAGEM DE FÔRMA PARA ESCADAS, COM 1 LANCE E LAJE CASCATA, EM MADEIRA SERRADA, 2 UTILIZAÇÕES. AF_11/2020</t>
  </si>
  <si>
    <t>102048</t>
  </si>
  <si>
    <t>MONTAGEM E DESMONTAGEM DE FÔRMA PARA ESCADAS, COM 1 LANCE E LAJE CASCATA, EM CHAPA DE MADEIRA COMPENSADA RESINADA, 2 UTILIZAÇÕES. AF_11/2020</t>
  </si>
  <si>
    <t>102049</t>
  </si>
  <si>
    <t>MONTAGEM E DESMONTAGEM DE FÔRMA PARA ESCADAS, COM 1 LANCE E LAJE CASCATA, EM CHAPA DE MADEIRA COMPENSADA RESINADA, 4 UTILIZAÇÕES. AF_11/2020</t>
  </si>
  <si>
    <t>102050</t>
  </si>
  <si>
    <t>MONTAGEM E DESMONTAGEM DE FÔRMA PARA ESCADAS, COM 1 LANCE E LAJE CASCATA, EM CHAPA DE MADEIRA COMPENSADA PLASTIFICADA, 6 UTILIZAÇÕES. AF_11/2020</t>
  </si>
  <si>
    <t>102051</t>
  </si>
  <si>
    <t>MONTAGEM E DESMONTAGEM DE FÔRMA PARA ESCADAS, COM 1 LANCE E LAJE CASCATA, EM CHAPA DE MADEIRA COMPENSADA PLASTIFICADA, 8 UTILIZAÇÕES. AF_11/2020</t>
  </si>
  <si>
    <t>102052</t>
  </si>
  <si>
    <t>MONTAGEM E DESMONTAGEM DE FÔRMA PARA ESCADAS, COM 1 LANCE E LAJE CASCATA, EM CHAPA DE MADEIRA COMPENSADA PLASTIFICADA, 10 UTILIZAÇÕES. AF_11/2020</t>
  </si>
  <si>
    <t>102059</t>
  </si>
  <si>
    <t>MONTAGEM E DESMONTAGEM DE FÔRMA PARA ESCADA DUPLA COM 2 LANCES EM "X" E LAJE PLANA, EM MADEIRA SERRADA, 1 UTILIZAÇÃO. AF_11/2020</t>
  </si>
  <si>
    <t>102060</t>
  </si>
  <si>
    <t>MONTAGEM E DESMONTAGEM DE FÔRMA PARA ESCADA DUPLA COM 2 LANCES EM "X" E LAJE PLANA, EM MADEIRA SERRADA, 2 UTILIZAÇÕES. AF_11/2020</t>
  </si>
  <si>
    <t>102061</t>
  </si>
  <si>
    <t>MONTAGEM E DESMONTAGEM DE FÔRMA PARA ESCADA DUPLA COM 2 LANCES EM "X" E LAJE PLANA, EM CHAPA DE MADEIRA COMPENSADA RESINADA, 2 UTILIZAÇÕES. AF_11/2020</t>
  </si>
  <si>
    <t>102062</t>
  </si>
  <si>
    <t>MONTAGEM E DESMONTAGEM DE FÔRMA PARA ESCADA DUPLA COM 2 LANCES EM "X" E LAJE PLANA, EM CHAPA DE MADEIRA COMPENSADA RESINADA, 4 UTILIZAÇÕES. AF_11/2020</t>
  </si>
  <si>
    <t>102063</t>
  </si>
  <si>
    <t>MONTAGEM E DESMONTAGEM DE FÔRMA PARA ESCADA DUPLA COM 2 LANCES EM "X" E LAJE PLANA, EM CHAPA DE MADEIRA COMPENSADA PLASTIFICADA, 6 UTILIZAÇÕES. AF_11/2020</t>
  </si>
  <si>
    <t>102064</t>
  </si>
  <si>
    <t>MONTAGEM E DESMONTAGEM DE FÔRMA PARA ESCADA DUPLA COM 2 LANCES EM "X" E LAJE PLANA, EM CHAPA DE MADEIRA COMPENSADA PLASTIFICADA, 8 UTILIZAÇÕES. AF_11/2020</t>
  </si>
  <si>
    <t>102065</t>
  </si>
  <si>
    <t>MONTAGEM E DESMONTAGEM DE FÔRMA PARA ESCADA DUPLA COM 2 LANCES EM "X" E LAJE PLANA, EM CHAPA DE MADEIRA COMPENSADA PLASTIFICADA, 10 UTILIZAÇÕES. AF_11/2020</t>
  </si>
  <si>
    <t>102066</t>
  </si>
  <si>
    <t>MONTAGEM E DESMONTAGEM DE FÔRMA PARA ESCADA DUPLA COM 2 LANCES EM "X" E LAJE CASCATA, EM MADEIRA SERRADA, 1 UTILIZAÇÃO. AF_11/2020</t>
  </si>
  <si>
    <t>102067</t>
  </si>
  <si>
    <t>MONTAGEM E DESMONTAGEM DE FÔRMA PARA ESCADA DUPLA COM 2 LANCES EM "X" E LAJE CASCATA, EM MADEIRA SERRADA, 2 UTILIZAÇÕES. AF_11/2020</t>
  </si>
  <si>
    <t>102068</t>
  </si>
  <si>
    <t>MONTAGEM E DESMONTAGEM DE FÔRMA PARA ESCADA DUPLA COM 2 LANCES EM "X" E LAJE CASCATA, EM CHAPA DE MADEIRA COMPENSADA RESINADA, 2 UTILIZAÇÕES. AF_11/2020</t>
  </si>
  <si>
    <t>102069</t>
  </si>
  <si>
    <t>MONTAGEM E DESMONTAGEM DE FÔRMA PARA ESCADA DUPLA COM 2 LANCES EM "X" E LAJE CASCATA, EM CHAPA DE MADEIRA COMPENSADA RESINADA, 4 UTILIZAÇÕES. AF_11/2020</t>
  </si>
  <si>
    <t>102070</t>
  </si>
  <si>
    <t>MONTAGEM E DESMONTAGEM DE FÔRMA PARA ESCADA DUPLA COM 2 LANCES EM "X" E LAJE CASCATA, EM CHAPA DE MADEIRA COMPENSADA PLASTIFICADA, 6 UTILIZAÇÕES. AF_11/2020</t>
  </si>
  <si>
    <t>102071</t>
  </si>
  <si>
    <t>MONTAGEM E DESMONTAGEM DE FÔRMA PARA ESCADA DUPLA COM 2 LANCES EM "X" E LAJE CASCATA, EM CHAPA DE MADEIRA COMPENSADA PLASTIFICADA, 8 UTILIZAÇÕES. AF_11/2020</t>
  </si>
  <si>
    <t>102072</t>
  </si>
  <si>
    <t>MONTAGEM E DESMONTAGEM DE FÔRMA PARA ESCADA DUPLA COM 2 LANCES EM "X" E LAJE CASCATA, EM CHAPA DE MADEIRA COMPENSADA PLASTIFICADA, 10 UTILIZAÇÕES. AF_11/2020</t>
  </si>
  <si>
    <t>102073</t>
  </si>
  <si>
    <t>102074</t>
  </si>
  <si>
    <t>102075</t>
  </si>
  <si>
    <t>102076</t>
  </si>
  <si>
    <t>102077</t>
  </si>
  <si>
    <t>102078</t>
  </si>
  <si>
    <t>102079</t>
  </si>
  <si>
    <t>102080</t>
  </si>
  <si>
    <t>102086</t>
  </si>
  <si>
    <t>FABRICAÇÃO DE FÔRMA PARA ESCADA DUPLA COM 2 LANCES EM "X" E LAJE PLANA, EM CHAPA DE MADEIRA COMPENSADA PLASTIFICADA, E=18 MM. AF_11/2020</t>
  </si>
  <si>
    <t>102087</t>
  </si>
  <si>
    <t>FABRICAÇÃO DE FÔRMA PARA ESCADA DUPLA COM 2 LANCES EM "X" E LAJE PLANA, EM CHAPA DE MADEIRA COMPENSADA RESINADA, E= 17 MM. AF_11/2020</t>
  </si>
  <si>
    <t>102088</t>
  </si>
  <si>
    <t>FABRICAÇÃO DE FÔRMA PARA ESCADA DUPLA COM 2 LANCES EM X E LAJE PLANA, EM MADEIRA SERRADA, E=25 MM. AF_11/2020</t>
  </si>
  <si>
    <t>102089</t>
  </si>
  <si>
    <t>FABRICAÇÃO DE FÔRMA PARA ESCADA DUPLA COM 2 LANCES EM "X" E LAJE CASCATA, EM CHAPA DE MADEIRA COMPENSADA PLASTIFICADA, E=18 MM. AF_11/2020</t>
  </si>
  <si>
    <t>102090</t>
  </si>
  <si>
    <t>FABRICAÇÃO DE FÔRMA PARA ESCADA DUPLA COM 2 LANCES EM "X" E LAJE CASCATA, EM CHAPA DE MADEIRA COMPENSADA RESINADA, E= 17 MM. AF_11/2020</t>
  </si>
  <si>
    <t>102091</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</si>
  <si>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</si>
  <si>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</si>
  <si>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</si>
  <si>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</si>
  <si>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12,10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</si>
  <si>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</si>
  <si>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</si>
  <si>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</si>
  <si>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101963</t>
  </si>
  <si>
    <t>101964</t>
  </si>
  <si>
    <t>16,19</t>
  </si>
  <si>
    <t>CAIXA DE PROTEÇÃO PARA MEDIDOR MONOFÁSICO DE EMBUTIR - FORNECIMENTO E INSTALAÇÃO. AF_10/2020</t>
  </si>
  <si>
    <t>101946</t>
  </si>
  <si>
    <t>QUADRO DE MEDIÇÃO GERAL DE ENERGIA PARA 1 MEDIDOR DE SOBREPOR - FORNECIMENTO E INSTALAÇÃO. AF_10/2020</t>
  </si>
  <si>
    <t>102085</t>
  </si>
  <si>
    <t>LUMINÁRIA ESTANQUE COM PROTEÇÃO CONTRA ÁGUA, POEIRA OU IMPACTOS - FORNECIMENTO E INSTALAÇÃO. AF_08/2020</t>
  </si>
  <si>
    <t>TUBO DE AÇO PRETO SEM COSTURA, CLASSE MÉDIA, CONEXÃO SOLDADA, DN 25 (1"), INSTALADO EM RAMAIS  E SUB-RAMAIS DE GÁS - FORNECIMENTO E INSTALAÇÃO. AF_10/2020</t>
  </si>
  <si>
    <t>22,57</t>
  </si>
  <si>
    <t>15,44</t>
  </si>
  <si>
    <t>97104</t>
  </si>
  <si>
    <t>97105</t>
  </si>
  <si>
    <t>97106</t>
  </si>
  <si>
    <t>97107</t>
  </si>
  <si>
    <t>97108</t>
  </si>
  <si>
    <t>97109</t>
  </si>
  <si>
    <t>97111</t>
  </si>
  <si>
    <t>97112</t>
  </si>
  <si>
    <t>97113</t>
  </si>
  <si>
    <t>97116</t>
  </si>
  <si>
    <t>97117</t>
  </si>
  <si>
    <t>97118</t>
  </si>
  <si>
    <t>97119</t>
  </si>
  <si>
    <t>101965</t>
  </si>
  <si>
    <t>PEITORIL LINEAR EM GRANITO OU MÁRMORE, L = 15CM, COMPRIMENTO DE ATÉ 2M, ASSENTADO COM ARGAMASSA 1:6 COM ADITIVO. AF_11/2020</t>
  </si>
  <si>
    <t>101966</t>
  </si>
  <si>
    <t>CHAPIM SOBRE MUROS LINEARES, EM GRANITO OU MÁRMORE, L = 25 CM, ASSENTADO COM ARGAMASSA 1:6 COM ADITIVO. AF_11/2020</t>
  </si>
  <si>
    <t>101979</t>
  </si>
  <si>
    <t>CHAPIM (RUFO CAPA) EM AÇO GALVANIZADO, CORTE 33. AF_11/2020</t>
  </si>
  <si>
    <t>20,20</t>
  </si>
  <si>
    <t>10,63</t>
  </si>
  <si>
    <t>14,57</t>
  </si>
  <si>
    <t>10,93</t>
  </si>
  <si>
    <t>10,40</t>
  </si>
  <si>
    <t>5,25</t>
  </si>
  <si>
    <t>8,99</t>
  </si>
  <si>
    <t>4,51</t>
  </si>
  <si>
    <t>17,64</t>
  </si>
  <si>
    <t>17,56</t>
  </si>
  <si>
    <t>11,67</t>
  </si>
  <si>
    <t>9,81</t>
  </si>
  <si>
    <t>15,34</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</si>
  <si>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</si>
  <si>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</si>
  <si>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</si>
  <si>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</si>
  <si>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</si>
  <si>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</si>
  <si>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</si>
  <si>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</si>
  <si>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</si>
  <si>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</si>
  <si>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</si>
  <si>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</si>
  <si>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</si>
  <si>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</si>
  <si>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</si>
  <si>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</si>
  <si>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</si>
  <si>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</si>
  <si>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</si>
  <si>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</si>
  <si>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</si>
  <si>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</si>
  <si>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</si>
  <si>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</si>
  <si>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</si>
  <si>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</si>
  <si>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</si>
  <si>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</si>
  <si>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</si>
  <si>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</si>
  <si>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</si>
  <si>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</si>
  <si>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</si>
  <si>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</si>
  <si>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</si>
  <si>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</si>
  <si>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</si>
  <si>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</si>
  <si>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</si>
  <si>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</si>
  <si>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</si>
  <si>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</si>
  <si>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</si>
  <si>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</si>
  <si>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102264</t>
  </si>
  <si>
    <t>TUBO DE PVC BRANCO PARA REDE COLETORA DE ESGOTO CONDOMINIAL DE PAREDE MACIÇA, DN 100 MM, JUNTA ELÁSTICA - FORNECIMENTO E ASSENTAMENTO. AF_01/2021</t>
  </si>
  <si>
    <t>102265</t>
  </si>
  <si>
    <t>JUNTA ARGAMASSADA ENTRE TUBO DN 800 MM E O POÇO DE VISITA/ CAIXA DE CONCRETO OU ALVENARIA EM REDES DE ESGOTO. AF_01/2021</t>
  </si>
  <si>
    <t>102266</t>
  </si>
  <si>
    <t>JUNTA ARGAMASSADA ENTRE TUBO DN 900 MM E O POÇO DE VISITA/ CAIXA DE CONCRETO OU ALVENARIA EM REDES DE ESGOTO. AF_01/2021</t>
  </si>
  <si>
    <t>102267</t>
  </si>
  <si>
    <t>JUNTA ARGAMASSADA ENTRE TUBO DN 1000 MM E O POÇO DE VISITA/ CAIXA DE CONCRETO OU ALVENARIA EM REDES DE ESGOTO. AF_01/2021</t>
  </si>
  <si>
    <t>102268</t>
  </si>
  <si>
    <t>JUNTA ARGAMASSADA ENTRE TUBO DN 1200 MM E O POÇO DE VISITA/ CAIXA DE CONCRETO OU ALVENARIA EM REDES DE ESGOTO. AF_01/2021</t>
  </si>
  <si>
    <t>102269</t>
  </si>
  <si>
    <t>JUNTA ARGAMASSADA ENTRE TUBO DN 1500 MM E O POÇO DE VISITA/ CAIXA DE CONCRETO OU ALVENARIA EM REDES DE ESGOTO. AF_01/2021</t>
  </si>
  <si>
    <t>102275</t>
  </si>
  <si>
    <t>MARTELO DEMOLIDOR ELÉTRICO, COM POTÊNCIA DE 2.000 W, 1.000 IMPACTOS POR MINUTO, PESO DE 30 KG - CHP DIURNO. AF_01/2021</t>
  </si>
  <si>
    <t>4,29</t>
  </si>
  <si>
    <t>102274</t>
  </si>
  <si>
    <t>MARTELO DEMOLIDOR ELÉTRICO, COM POTÊNCIA DE 2.000 W, 1.000 IMPACTOS POR MINUTO, PESO DE 30 KG -  CHI DIURNO. AF_01/2021</t>
  </si>
  <si>
    <t>102270</t>
  </si>
  <si>
    <t>MARTELO DEMOLIDOR ELÉTRICO, COM POTÊNCIA DE 2.000 W, 1.000 IMPACTOS POR MINUTO, PESO DE 30 KG - DEPRECIAÇÃO. AF_01/2021</t>
  </si>
  <si>
    <t>102271</t>
  </si>
  <si>
    <t>MARTELO DEMOLIDOR ELÉTRICO, COM POTÊNCIA DE 2.000 W, 1.000 IMPACTOS POR MINUTO, PESO DE 30 KG - JUROS. AF_01/2021</t>
  </si>
  <si>
    <t>102272</t>
  </si>
  <si>
    <t>MARTELO DEMOLIDOR ELÉTRICO, COM POTÊNCIA DE 2.000 W, 1.000 IMPACTOS POR MINUTO, PESO DE 30 KG - MANUTENÇÃO. AF_01/2021</t>
  </si>
  <si>
    <t>102273</t>
  </si>
  <si>
    <t>MARTELO DEMOLIDOR ELÉTRICO, COM POTÊNCIA DE 2.000 W, 1.000 IMPACTOS POR MINUTO, PESO DE 30 KG - MATERIAIS NA OPERAÇÃO. AF_01/2021</t>
  </si>
  <si>
    <t>CAIXA COM GRELHA SIMPLES RETANGULAR, EM CONCRETO PRÉ-MOLDADO, DIMENSÕES INTERNAS: 0,6X1,0X1,0 M. AF_12/2020</t>
  </si>
  <si>
    <t>97934</t>
  </si>
  <si>
    <t>97935</t>
  </si>
  <si>
    <t>CAIXA PARA BOCA DE LOBO SIMPLES RETANGULAR, EM CONCRETO PRÉ-MOLDADO, DIMENSÕES INTERNAS: 0,6X1,0X1,2 M. AF_12/2020</t>
  </si>
  <si>
    <t>97936</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</si>
  <si>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</si>
  <si>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</si>
  <si>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</si>
  <si>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97949</t>
  </si>
  <si>
    <t>CAIXA PARA BOCA DE LOBO SIMPLES RETANGULAR, EM ALVENARIA COM TIJOLOS CERÂMICOS MACIÇOS, DIMENSÕES INTERNAS: 0,6X1X1,2 M. AF_12/2020</t>
  </si>
  <si>
    <t>97950</t>
  </si>
  <si>
    <t>CAIXA PARA BOCA DE LOBO DUPLA RETANGULAR, EM ALVENARIA COM TIJOLOS CERÂMICOS MACIÇOS, DIMENSÕES INTERNAS: 0,6X2,2X1,2 M. AF_12/2020</t>
  </si>
  <si>
    <t>97951</t>
  </si>
  <si>
    <t>CAIXA PARA BOCA DE LOBO COMBINADA COM GRELHA RETANGULAR, EM ALVENARIA COM TIJOLOS CERÂMICOS MACIÇOS, DIMENSÕES INTERNAS: 1,3X1X1,2 M. AF_12/2020</t>
  </si>
  <si>
    <t>97952</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</si>
  <si>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</si>
  <si>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</si>
  <si>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</si>
  <si>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97956</t>
  </si>
  <si>
    <t>CAIXA PARA BOCA DE LOBO SIMPLES RETANGULAR, EM ALVENARIA COM BLOCOS DE CONCRETO, DIMENSÕES INTERNAS: 0,6X1X1,2 M. AF_12/2020</t>
  </si>
  <si>
    <t>97957</t>
  </si>
  <si>
    <t>CAIXA PARA BOCA DE LOBO DUPLA RETANGULAR, EM ALVENARIA COM BLOCOS DE CONCRETO, DIMENSÕES INTERNAS: 0,6X2,2X1,2 M. AF_12/2020</t>
  </si>
  <si>
    <t>97961</t>
  </si>
  <si>
    <t>CAIXA PARA BOCA DE LOBO COMBINADA COM GRELHA RETANGULAR, EM ALVENARIA COM BLOCOS DE CONCRETO, DIMENSÕES INTERNAS: 1,3X1X1,2 M. AF_12/2020</t>
  </si>
  <si>
    <t>97973</t>
  </si>
  <si>
    <t>CAIXA PARA BOCA DE LOBO DUPLA COMBINADA COM GRELHA RETANGULAR, EM ALVENARIA COM BLOCOS DE CONCRETO, DIMENSÕES INTERNAS: 1,3X2,2X1,2 M.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</si>
  <si>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</si>
  <si>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</si>
  <si>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</si>
  <si>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</si>
  <si>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ACRÉSCIMO PARA POÇO DE VISITA CIRCULAR PARA ESGOTO, EM ALVENARIA COM TIJOLOS CERÂMICOS MACIÇOS, DIÂMETRO INTERNO = 1,2 M. AF_12/2020</t>
  </si>
  <si>
    <t>ACRÉSCIMO PARA POÇO DE VISITA CIRCULAR PARA  ESGOTO, EM CONCRETO PRÉ-MOLDADO, DIÂMETRO INTERNO = 1,5 M. AF_12/2020</t>
  </si>
  <si>
    <t>ACRÉSCIMO PARA POÇO DE VISITA CIRCULAR PARA  ESGOTO, EM ALVENARIA COM TIJOLOS CERÂMICOS MACIÇOS, DIÂMETRO INTERNO = 1,5 M. AF_12/2020</t>
  </si>
  <si>
    <t>ACRÉSCIMO PARA POÇO DE VISITA RETANGULAR PARA ESGOTO, EM ALVENARIA COM BLOCOS DE CONCRETO, DIMENSÕES INTERNAS = 1X1 M.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</si>
  <si>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</si>
  <si>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</si>
  <si>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</si>
  <si>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</si>
  <si>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</si>
  <si>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ACRÉSCIMO PARA POÇO DE VISITA RETANGULAR PARA ESGOTO, EM ALVENARIA COM BLOCOS DE CONCRETO, DIMENSÕES INTERNAS = 1X4 M. AF_12/2020</t>
  </si>
  <si>
    <t>ACRÉSCIMO PARA POÇO DE VISITA RETANGULAR PARA ESGOTO, EM ALVENARIA COM BLOCOS DE CONCRETO, DIMENSÕES INTERNAS = 1,5X1,5 M. AF_12/2020</t>
  </si>
  <si>
    <t>ACRÉSCIMO PARA POÇO DE VISITA RETANGULAR PARA ESGOTO, EM ALVENARIA COM BLOCOS DE CONCRETO, DIMENSÕES INTERNAS = 1,5X2 M. AF_12/2020</t>
  </si>
  <si>
    <t>ACRÉSCIMO PARA POÇO DE VISITA RETANGULAR PARA ESGOTO, EM ALVENARIA COM BLOCOS DE CONCRETO, DIMENSÕES INTERNAS = 1,5X2,5 M. AF_12/2020</t>
  </si>
  <si>
    <t>ACRÉSCIMO PARA POÇO DE VISITA RETANGULAR PARA ESGOTO, EM ALVENARIA COM BLOCOS DE CONCRETO, DIMENSÕES INTERNAS = 1,5X3 M. AF_12/2020</t>
  </si>
  <si>
    <t>ACRÉSCIMO PARA POÇO DE VISITA RETANGULAR PARA ESGOTO, EM ALVENARIA COM BLOCOS DE CONCRETO, DIMENSÕES INTERNAS = 1,5X3,5 M. AF_12/2020</t>
  </si>
  <si>
    <t>ACRÉSCIMO PARA POÇO DE VISITA RETANGULAR PARA ESGOTO, EM ALVENARIA COM BLOCOS DE CONCRETO, DIMENSÕES INTERNAS = 1,5X4 M. AF_12/2020</t>
  </si>
  <si>
    <t>ACRÉSCIMO PARA POÇO DE VISITA RETANGULAR PARA ESGOTO, EM ALVENARIA COM BLOCOS DE CONCRETO, DIMENSÕES INTERNAS = 2X2 M. AF_12/2020</t>
  </si>
  <si>
    <t>ACRÉSCIMO PARA POÇO DE VISITA RETANGULAR PARA ESGOTO, EM ALVENARIA COM BLOCOS DE CONCRETO, DIMENSÕES INTERNAS = 2X2,5 M. AF_12/2020</t>
  </si>
  <si>
    <t>ACRÉSCIMO PARA POÇO DE VISITA RETANGULAR PARA ESGOTO, EM ALVENARIA COM BLOCOS DE CONCRETO, DIMENSÕES INTERNAS = 2X3 M. AF_12/2020</t>
  </si>
  <si>
    <t>ACRÉSCIMO PARA POÇO DE VISITA RETANGULAR PARA ESGOTO, EM ALVENARIA COM BLOCOS DE CONCRETO, DIMENSÕES INTERNAS = 2X3,5 M. AF_12/2020</t>
  </si>
  <si>
    <t>ACRÉSCIMO PARA POÇO DE VISITA RETANGULAR PARA ESGOTO, EM ALVENARIA COM BLOCOS DE CONCRETO, DIMENSÕES INTERNAS = 2X4 M. AF_12/2020</t>
  </si>
  <si>
    <t>ACRÉSCIMO PARA POÇO DE VISITA RETANGULAR PARA ESGOTO, EM ALVENARIA COM BLOCOS DE CONCRETO, DIMENSÕES INTERNAS = 2,5X2,5 M. AF_12/2020</t>
  </si>
  <si>
    <t>ACRÉSCIMO PARA POÇO DE VISITA RETANGULAR PARA ESGOTO, EM ALVENARIA COM BLOCOS DE CONCRETO, DIMENSÕES INTERNAS = 2,5X3 M. AF_12/2020</t>
  </si>
  <si>
    <t>ACRÉSCIMO PARA POÇO DE VISITA RETANGULAR PARA ESGOTO, EM ALVENARIA COM BLOCOS DE CONCRETO, DIMENSÕES INTERNAS = 2,5X3,5 M. AF_12/2020</t>
  </si>
  <si>
    <t>ACRÉSCIMO PARA POÇO DE VISITA RETANGULAR PARA ESGOTO, EM ALVENARIA COM BLOCOS DE CONCRETO, DIMENSÕES INTERNAS = 2,5X4 M. AF_12/2020</t>
  </si>
  <si>
    <t>ACRÉSCIMO PARA POÇO DE VISITA RETANGULAR PARA ESGOTO, EM ALVENARIA COM BLOCOS DE CONCRETO, DIMENSÕES INTERNAS = 3X3 M. AF_12/2020</t>
  </si>
  <si>
    <t>ACRÉSCIMO PARA POÇO DE VISITA RETANGULAR PARA ESGOTO, EM ALVENARIA COM BLOCOS DE CONCRETO, DIMENSÕES INTERNAS = 3X3,5 M. AF_12/2020</t>
  </si>
  <si>
    <t>ACRÉSCIMO PARA POÇO DE VISITA RETANGULAR PARA ESGOTO, EM ALVENARIA COM BLOCOS DE CONCRETO, DIMENSÕES INTERNAS = 3X4 M. AF_12/2020</t>
  </si>
  <si>
    <t>ACRÉSCIMO PARA POÇO DE VISITA RETANGULAR PARA ESGOTO, EM ALVENARIA COM BLOCOS DE CONCRETO, DIMENSÕES INTERNAS = 3,5X3,5 M. AF_12/2020</t>
  </si>
  <si>
    <t>ACRÉSCIMO PARA POÇO DE VISITA RETANGULAR PARA ESGOTO, EM ALVENARIA COM BLOCOS DE CONCRETO, DIMENSÕES INTERNAS = 3,5X4 M.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</si>
  <si>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</si>
  <si>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</si>
  <si>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</si>
  <si>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ACRÉSCIMO PARA POÇO DE VISITA CIRCULAR PARA ESGOTO, EM CONCRETO PRÉ-MOLDADO, DIÂMETRO INTERNO = 0,8 M.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</si>
  <si>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</si>
  <si>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</si>
  <si>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ACRÉSCIMO PARA POÇO DE VISITA CIRCULAR PARA DRENAGEM, EM ALVENARIA COM TIJOLOS CERÂMICOS MACIÇOS, DIÂMETRO INTERNO = 1,2 M. AF_12/2020</t>
  </si>
  <si>
    <t>ACRÉSCIMO PARA POÇO DE VISITA CIRCULAR PARA DRENAGEM, EM CONCRETO PRÉ-MOLDADO, DIÂMETRO INTERNO = 1,5 M. AF_12/2020</t>
  </si>
  <si>
    <t>ACRÉSCIMO PARA POÇO DE VISITA RETANGULAR PARA DRENAGEM, EM ALVENARIA COM BLOCOS DE CONCRETO, DIMENSÕES INTERNAS = 1,5X2 M. AF_12/2020</t>
  </si>
  <si>
    <t>ACRÉSCIMO PARA POÇO DE VISITA CIRCULAR PARA DRENAGEM, EM ALVENARIA COM TIJOLOS CERÂMICOS MACIÇOS, DIÂMETRO INTERNO = 1,5 M. AF_12/2020</t>
  </si>
  <si>
    <t>ACRÉSCIMO PARA POÇO DE VISITA RETANGULAR PARA DRENAGEM, EM ALVENARIA COM BLOCOS DE CONCRETO, DIMENSÕES INTERNAS = 1X1 M.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</si>
  <si>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</si>
  <si>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</si>
  <si>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ACRÉSCIMO PARA POÇO DE VISITA RETANGULAR PARA DRENAGEM, EM ALVENARIA COM BLOCOS DE CONCRETO, DIMENSÕES INTERNAS = 1X2 M. AF_12/2020</t>
  </si>
  <si>
    <t>ACRÉSCIMO PARA POÇO DE VISITA RETANGULAR PARA DRENAGEM, EM ALVENARIA COM BLOCOS DE CONCRETO, DIMENSÕES INTERNAS = 1X2,5 M.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</si>
  <si>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</si>
  <si>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</si>
  <si>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</si>
  <si>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</si>
  <si>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</si>
  <si>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</si>
  <si>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ACRÉSCIMO PARA POÇO DE VISITA CIRCULAR PARA DRENAGEM, EM CONCRETO PRÉ-MOLDADO, DIÂMETRO INTERNO = 1 M. AF_12/2020</t>
  </si>
  <si>
    <t>ACRÉSCIMO PARA POÇO DE VISITA RETANGULAR PARA DRENAGEM, EM ALVENARIA COM BLOCOS DE CONCRETO, DIMENSÕES INTERNAS = 1X4 M. AF_12/2020</t>
  </si>
  <si>
    <t>ACRÉSCIMO PARA POÇO DE VISITA RETANGULAR PARA DRENAGEM, EM ALVENARIA COM BLOCOS DE CONCRETO, DIMENSÕES INTERNAS = 1,5X3,5 M. AF_12/2020</t>
  </si>
  <si>
    <t>ACRÉSCIMO PARA POÇO DE VISITA CIRCULAR PARA DRENAGEM, EM ALVENARIA COM TIJOLOS CERÂMICOS MACIÇOS, DIÂMETRO INTERNO = 1 M.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</si>
  <si>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</si>
  <si>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</si>
  <si>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ACRÉSCIMO PARA POÇO DE VISITA RETANGULAR PARA DRENAGEM, EM ALVENARIA COM BLOCOS DE CONCRETO, DIMENSÕES INTERNAS = 2,5X3,5 M. AF_12/2020</t>
  </si>
  <si>
    <t>ACRÉSCIMO PARA POÇO DE VISITA RETANGULAR PARA DRENAGEM, EM ALVENARIA COM BLOCOS DE CONCRETO, DIMENSÕES INTERNAS = 2,5X4 M. AF_12/2020</t>
  </si>
  <si>
    <t>ACRÉSCIMO PARA POÇO DE VISITA RETANGULAR PARA DRENAGEM, EM ALVENARIA COM BLOCOS DE CONCRETO, DIMENSÕES INTERNAS = 3X3 M.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</si>
  <si>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</si>
  <si>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</si>
  <si>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ACRÉSCIMO PARA POÇO DE VISITA RETANGULAR PARA DRENAGEM, EM ALVENARIA COM BLOCOS DE CONCRETO, DIMENSÕES INTERNAS = 3X4 M. AF_12/2020</t>
  </si>
  <si>
    <t>ACRÉSCIMO PARA POÇO DE VISITA RETANGULAR PARA DRENAGEM, EM ALVENARIA COM BLOCOS DE CONCRETO, DIMENSÕES INTERNAS = 3,5X3,5 M. AF_12/2020</t>
  </si>
  <si>
    <t>ACRÉSCIMO PARA POÇO DE VISITA RETANGULAR PARA DRENAGEM, EM ALVENARIA COM BLOCOS DE CONCRETO, DIMENSÕES INTERNAS = 3,5X4 M.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</si>
  <si>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</si>
  <si>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</si>
  <si>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</si>
  <si>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ACRÉSCIMO PARA POÇO DE VISITA RETANGULAR PARA DRENAGEM, EM ALVENARIA COM BLOCOS DE CONCRETO, DIMENSÕES INTERNAS = 2X3 M. AF_12/2020</t>
  </si>
  <si>
    <t>ACRÉSCIMO PARA POÇO DE VISITA RETANGULAR PARA DRENAGEM, EM ALVENARIA COM BLOCOS DE CONCRETO, DIMENSÕES INTERNAS = 2X3,5 M. AF_12/2020</t>
  </si>
  <si>
    <t>ACRÉSCIMO PARA POÇO DE VISITA RETANGULAR PARA DRENAGEM, EM ALVENARIA COM BLOCOS DE CONCRETO, DIMENSÕES INTERNAS = 2X4 M. AF_12/2020</t>
  </si>
  <si>
    <t>ACRÉSCIMO PARA POÇO DE VISITA RETANGULAR PARA DRENAGEM, EM ALVENARIA COM BLOCOS DE CONCRETO, DIMENSÕES INTERNAS = 4X4 M. AF_12/2020</t>
  </si>
  <si>
    <t>101800</t>
  </si>
  <si>
    <t>CAIXA COM GRELHA RETANGULAR DE FERRO FUNDIDO, EM ALVENARIA COM TIJOLOS CERÂMICOS MACIÇOS, DIMENSÕES INTERNAS: 0,30 X 1,00 X 1,00. AF_12/2020</t>
  </si>
  <si>
    <t>101801</t>
  </si>
  <si>
    <t>CAIXA COM GRELHA RETANGULAR DE FERRO FUNDIDO, EM ALVENARIA COM BLOCOS DE CONCRETO, DIMENSÕES INTERNAS: 0,30 X 1,00 X 1,00. AF_12/2020</t>
  </si>
  <si>
    <t>101806</t>
  </si>
  <si>
    <t>101807</t>
  </si>
  <si>
    <t>101808</t>
  </si>
  <si>
    <t>101809</t>
  </si>
  <si>
    <t>102139</t>
  </si>
  <si>
    <t>102141</t>
  </si>
  <si>
    <t>102142</t>
  </si>
  <si>
    <t>102188</t>
  </si>
  <si>
    <t>MOLA HIDRAULICA DE PISO PARA PORTA DE VIDRO TEMPERADO. AF_01/2021</t>
  </si>
  <si>
    <t>102189</t>
  </si>
  <si>
    <t>JOGO DE FERRAGENS CROMADAS PARA PORTA DE VIDRO TEMPERADO, UMA FOLHA COMPOSTO DE DOBRADICAS SUPERIOR E INFERIOR, TRINCO, FECHADURA, CONTRA FECHADURA COM CAPUCHINHO SEM MOLA E PUXADOR. AF_01/2021</t>
  </si>
  <si>
    <t>102151</t>
  </si>
  <si>
    <t>INSTALAÇÃO DE VIDRO LISO INCOLOR, E = 3 MM, EM ESQUADRIA DE MADEIRA, FIXADO COM BAGUETE. AF_01/2021</t>
  </si>
  <si>
    <t>102152</t>
  </si>
  <si>
    <t>INSTALAÇÃO DE VIDRO LISO, E = 4 MM, EM ESQUADRIA DE MADEIRA, FIXADO COM BAGUETE. AF_01/2021</t>
  </si>
  <si>
    <t>102153</t>
  </si>
  <si>
    <t>INSTALAÇÃO DE VIDRO LISO FUME, E = 4 MM, EM ESQUADRIA DE MADEIRA, FIXADO COM BAGUETE. AF_01/2021</t>
  </si>
  <si>
    <t>102154</t>
  </si>
  <si>
    <t>INSTALAÇÃO DE VIDRO LISO INCOLOR, E = 5 MM, EM ESQUADRIA DE MADEIRA, FIXADO COM BAGUETE. AF_01/2021</t>
  </si>
  <si>
    <t>102155</t>
  </si>
  <si>
    <t>INSTALAÇÃO DE VIDRO LISO FUME, E = 5 MM, EM ESQUADRIA DE MADEIRA, FIXADO COM BAGUETE. AF_01/2021</t>
  </si>
  <si>
    <t>102156</t>
  </si>
  <si>
    <t>INSTALAÇÃO DE VIDRO LISO INCOLOR, E = 6 MM, EM ESQUADRIA DE MADEIRA, FIXADO COM BAGUETE. AF_01/2021</t>
  </si>
  <si>
    <t>102157</t>
  </si>
  <si>
    <t>INSTALAÇÃO DE VIDRO LISO FUME, E = 6 MM, EM ESQUADRIA DE MADEIRA, FIXADO COM BAGUETE. AF_01/2021</t>
  </si>
  <si>
    <t>102158</t>
  </si>
  <si>
    <t>INSTALAÇÃO DE VIDRO LISO INCOLOR, E = 8 MM, EM ESQUADRIA DE MADEIRA, FIXADO COM BAGUETE. AF_01/2021</t>
  </si>
  <si>
    <t>102159</t>
  </si>
  <si>
    <t>INSTALAÇÃO DE VIDRO LISO INCOLOR, E = 10 MM, EM ESQUADRIA DE MADEIRA, FIXADO COM BAGUETE. AF_01/2021</t>
  </si>
  <si>
    <t>102160</t>
  </si>
  <si>
    <t>INSTALAÇÃO DE VIDRO IMPRESSO, E = 4 MM, EM ESQUADRIA DE MADEIRA, FIXADO COM BAGUETE. AF_01/2021</t>
  </si>
  <si>
    <t>102161</t>
  </si>
  <si>
    <t>102162</t>
  </si>
  <si>
    <t>102163</t>
  </si>
  <si>
    <t>102164</t>
  </si>
  <si>
    <t>102165</t>
  </si>
  <si>
    <t>102166</t>
  </si>
  <si>
    <t>102167</t>
  </si>
  <si>
    <t>102168</t>
  </si>
  <si>
    <t>102169</t>
  </si>
  <si>
    <t>102170</t>
  </si>
  <si>
    <t>102171</t>
  </si>
  <si>
    <t>102172</t>
  </si>
  <si>
    <t>102176</t>
  </si>
  <si>
    <t>102177</t>
  </si>
  <si>
    <t>102178</t>
  </si>
  <si>
    <t>102179</t>
  </si>
  <si>
    <t>102180</t>
  </si>
  <si>
    <t>102181</t>
  </si>
  <si>
    <t>102182</t>
  </si>
  <si>
    <t>PORTA PIVOTANTE DE VIDRO TEMPERADO, 90X210 CM, ESPESSURA 10 MM, INCLUSIVE ACESSÓRIOS. AF_01/2021</t>
  </si>
  <si>
    <t>102183</t>
  </si>
  <si>
    <t>PORTA PIVOTANTE DE VIDRO TEMPERADO, 2 FOLHAS DE 90X210 CM, ESPESSURA DE 10MM, INCLUSIVE ACESSÓRIOS. AF_01/2021</t>
  </si>
  <si>
    <t>102184</t>
  </si>
  <si>
    <t>PORTA DE ABRIR COM MOLA HIDRÁULICA, EM VIDRO TEMPERADO, 90X210 CM, ESPESSURA 10 MM, INCLUSIVE ACESSÓRIOS. AF_01/2021</t>
  </si>
  <si>
    <t>102185</t>
  </si>
  <si>
    <t>PORTA DE ABRIR COM MOLA HIDRÁULICA, EM VIDRO TEMPERADO, 2 FOLHAS DE 90X210 CM, ESPESSURA DD 10MM, INCLUSIVE ACESSÓRIOS. AF_01/2021</t>
  </si>
  <si>
    <t>102190</t>
  </si>
  <si>
    <t>REMOÇÃO DE VIDRO LISO COMUM DE ESQUADRIA COM BAGUETE DE MADEIRA. AF_01/2021</t>
  </si>
  <si>
    <t>102191</t>
  </si>
  <si>
    <t>REMOÇÃO DE VIDRO LISO COMUM DE ESQUADRIA COM BAGUETE DE ALUMÍNIO OU PVC. AF_01/2021</t>
  </si>
  <si>
    <t>102192</t>
  </si>
  <si>
    <t>REMOÇÃO DE VIDRO TEMPERADO FIXADO EM PERFIL U. AF_01/2021</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</si>
  <si>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</si>
  <si>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</si>
  <si>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</si>
  <si>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</si>
  <si>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</si>
  <si>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</si>
  <si>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</si>
  <si>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</si>
  <si>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11,49</t>
  </si>
  <si>
    <t>14,66</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</si>
  <si>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</si>
  <si>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</si>
  <si>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</si>
  <si>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</si>
  <si>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</si>
  <si>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</si>
  <si>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</si>
  <si>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</si>
  <si>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</si>
  <si>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</si>
  <si>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</si>
  <si>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</si>
  <si>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</si>
  <si>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</si>
  <si>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102102</t>
  </si>
  <si>
    <t>TRANSFORMADOR DE DISTRIBUIÇÃO, 30 KVA, TRIFÁSICO, 60 HZ, CLASSE 15 KV, IMERSO EM ÓLEO MINERAL, INSTALAÇÃO EM POSTE (NÃO INCLUSO SUPORTE) - FORNECIMENTO E INSTALAÇÃO. AF_12/2020</t>
  </si>
  <si>
    <t>102103</t>
  </si>
  <si>
    <t>TRANSFORMADOR DE DISTRIBUIÇÃO, 45 KVA, TRIFÁSICO, 60 HZ, CLASSE 15 KV, IMERSO EM ÓLEO MINERAL, INSTALAÇÃO EM POSTE (NÃO INCLUSO SUPORTE) - FORNECIMENTO E INSTALAÇÃO. AF_12/2020</t>
  </si>
  <si>
    <t>102104</t>
  </si>
  <si>
    <t>TRANSFORMADOR DE DISTRIBUIÇÃO, 75 KVA, TRIFÁSICO, 60 HZ, CLASSE 15 KV, IMERSO EM ÓLEO MINERAL, INSTALAÇÃO EM POSTE (NÃO INCLUSO SUPORTE) - FORNECIMENTO E INSTALAÇÃO. AF_12/2020</t>
  </si>
  <si>
    <t>102105</t>
  </si>
  <si>
    <t>TRANSFORMADOR DE DISTRIBUIÇÃO, 112,5 KVA, TRIFÁSICO, 60 HZ, CLASSE 15 KV, IMERSO EM ÓLEO MINERAL, INSTALAÇÃO EM POSTE (NÃO INCLUSO SUPORTE) - FORNECIMENTO E INSTALAÇÃO. AF_12/2020</t>
  </si>
  <si>
    <t>102106</t>
  </si>
  <si>
    <t>TRANSFORMADOR DE DISTRIBUIÇÃO, 150 KVA, TRIFÁSICO, 60 HZ, CLASSE 15 KV, IMERSO EM ÓLEO MINERAL, INSTALAÇÃO EM POSTE (NÃO INCLUSO SUPORTE) - FORNECIMENTO E INSTALAÇÃO. AF_12/2020</t>
  </si>
  <si>
    <t>102107</t>
  </si>
  <si>
    <t>TRANSFORMADOR DE DISTRIBUIÇÃO, 225 KVA, TRIFÁSICO, 60 HZ, CLASSE 15 KV, IMERSO EM ÓLEO MINERAL, INSTALAÇÃO EM POSTE (NÃO INCLUSO SUPORTE) - FORNECIMENTO E INSTALAÇÃO. AF_12/2020</t>
  </si>
  <si>
    <t>102108</t>
  </si>
  <si>
    <t>TRANSFORMADOR DE DISTRIBUIÇÃO, 300 KVA, TRIFÁSICO, 60 HZ, CLASSE 15 KV, IMERSO EM ÓLEO MINERAL, INSTALAÇÃO EM POSTE (NÃO INCLUSO SUPORTE) - FORNECIMENTO E INSTALAÇÃO. AF_12/2020</t>
  </si>
  <si>
    <t>102109</t>
  </si>
  <si>
    <t>SUPORTE PARA TRANSFORMADOR EM POSTE DE CONCRETO CIRCULAR - FORNECIMENTO E INSTALAÇÃO. AF_12/2020</t>
  </si>
  <si>
    <t>102110</t>
  </si>
  <si>
    <t>SUPORTE PARA TRANSFORMADOR EM POSTE DE CONCRETO DUPLO T - FORNECIMENTO E INSTALAÇÃO. AF_12/2020</t>
  </si>
  <si>
    <t>101795</t>
  </si>
  <si>
    <t>CAIXA ENTERRADA PARA INSTALAÇÕES TELEFÔNICAS TIPO R1, EM ALVENARIA COM BLOCOS DE CONCRETO, DIMENSÕES INTERNAS: 0,35X0,60X0,60 M, EXCLUINDO TAMPÃO. AF_12/2020</t>
  </si>
  <si>
    <t>101798</t>
  </si>
  <si>
    <t>TAMPA PARA CAIXA TIPO R1, EM FERRO FUNDIDO, DIMENSÕES INTERNAS: 0,40 X 0,60 M - FORNECIMENTO E INSTALAÇÃO. AF_12/2020</t>
  </si>
  <si>
    <t>101799</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</si>
  <si>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</si>
  <si>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</si>
  <si>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</si>
  <si>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</si>
  <si>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</si>
  <si>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</si>
  <si>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</si>
  <si>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</si>
  <si>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</si>
  <si>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</si>
  <si>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</si>
  <si>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</si>
  <si>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</si>
  <si>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</si>
  <si>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</si>
  <si>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</si>
  <si>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</si>
  <si>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</si>
  <si>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</si>
  <si>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</si>
  <si>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</si>
  <si>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</si>
  <si>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</si>
  <si>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</si>
  <si>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</si>
  <si>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</si>
  <si>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</si>
  <si>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</si>
  <si>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</si>
  <si>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</si>
  <si>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</si>
  <si>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</si>
  <si>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</si>
  <si>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</si>
  <si>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101802</t>
  </si>
  <si>
    <t>CAIXA ENTERRADA RETENTORA DE AREIA RETANGULAR, EM ALVENARIA COM BLOCOS DE CONCRETO, DIMENSÕES INTERNAS: 1,00 X 1,00 X 1,20 M, EXCLUINDO TAMPÃO. AF_12/2020</t>
  </si>
  <si>
    <t>101803</t>
  </si>
  <si>
    <t>CAIXA ENTERRADA SEPARADORA DE ÓLEO RETANGULAR, EM ALVENARIA COM BLOCOS DE CONCRETO, DIMENSÕES INTERNAS: 0,6 X 0,6 X 1,00 M, EXCLUINDO TAMPÃO. AF_12/2020</t>
  </si>
  <si>
    <t>101804</t>
  </si>
  <si>
    <t>CAIXA ENTERRADA SEPARADORA DE ÓLEO RETANGULAR, EM ALVENARIA COM BLOCOS DE CONCRETO, DIMENSÕES INTERNAS: 0,8 X 0,8 X 1,00 M, EXCLUINDO TAMPÃO. AF_12/2020</t>
  </si>
  <si>
    <t>101805</t>
  </si>
  <si>
    <t>CAIXA ENTERRADA SEPARADORA DE ÓLEO RETANGULAR, EM ALVENARIA COM BLOCOS DE CONCRETO, DIMENSÕES INTERNAS: 1,00 X 1,00 X 1,00 M, EXCLUINDO TAMPÃO. AF_12/2020</t>
  </si>
  <si>
    <t>102111</t>
  </si>
  <si>
    <t>BOMBA CENTRÍFUGA, MONOFÁSICA, 0,5 CV OU 0,49 HP, HM 6 A 20 M, Q 1,2 A 8,3 M3/H - FORNECIMENTO E INSTALAÇÃO. AF_12/2020</t>
  </si>
  <si>
    <t>102112</t>
  </si>
  <si>
    <t>BOMBA CENTRÍFUGA, MONOFÁSICA, 0,5 CV OU 0,49 HP, HM 6 A 20 M, Q 1,2 A 8,3 M3/H (NÃO INCLUI O FORNECIMENTO DA BOMBA). AF_12/2020</t>
  </si>
  <si>
    <t>102113</t>
  </si>
  <si>
    <t>BOMBA CENTRÍFUGA, TRIFÁSICA, 1 CV OU 0,99 HP, HM 14 A 40 M, Q 0,6 A 8,4 M3/H - FORNECIMENTO E INSTALAÇÃO. AF_12/2020</t>
  </si>
  <si>
    <t>102114</t>
  </si>
  <si>
    <t>BOMBA CENTRÍFUGA, TRIFÁSICA, 1 CV OU 0,99 HP, HM 14 A 40 M, Q 0,6 A 8,4 M3/H (NÃO INCLUI O FORNECIMENTO DA BOMBA). AF_12/2020</t>
  </si>
  <si>
    <t>102115</t>
  </si>
  <si>
    <t>BOMBA CENTRÍFUGA, TRIFÁSICA, 1,5 CV OU 1,48 HP, HM 10 A 70 M, Q 1,8 A 5,3 M3/H - FORNECIMENTO E INSTALAÇÃO. AF_12/2020</t>
  </si>
  <si>
    <t>102116</t>
  </si>
  <si>
    <t>BOMBA CENTRÍFUGA, TRIFÁSICA, 1,5 CV OU 1,48 HP, HM 10 A 24 M, Q 6,1 A 21,9 M3/H - FORNECIMENTO E INSTALAÇÃO. AF_12/2020</t>
  </si>
  <si>
    <t>102117</t>
  </si>
  <si>
    <t>BOMBA CENTRÍFUGA, TRIFÁSICA, 1,5 CV OU 1,48 HP (NÃO INCLUI O FORNECIMENTO DA BOMBA). AF_12/2020</t>
  </si>
  <si>
    <t>102118</t>
  </si>
  <si>
    <t>BOMBA CENTRÍFUGA, TRIFÁSICA, 3 CV OU 2,96 HP, HM 34 A 40 M, Q 8,6 A 14,8 M3/H - FORNECIMENTO E INSTALAÇÃO. AF_12/2020</t>
  </si>
  <si>
    <t>102119</t>
  </si>
  <si>
    <t>BOMBA CENTRÍFUGA, TRIFÁSICA, 3 CV OU 2,96 HP, HM 34 A 40 M, Q 8,6 A 14,8 M3/H (NÃO INCLUI O FORNECIMENTO DA BOMBA). AF_12/2020</t>
  </si>
  <si>
    <t>102121</t>
  </si>
  <si>
    <t>MOTO BOMBA HORIZONTAL ATÉ 10 CV, HM 75 A 80 M, Q 25,4 A 48 (NÃO INCLUI O FORNECIMENTO DA BOMBA). AF_12/2020</t>
  </si>
  <si>
    <t>102122</t>
  </si>
  <si>
    <t>BOMBA CENTRÍFUGA, TRIFÁSICA, 10 CV OU 9,86 HP, HM 85 A 140 M, Q 4,2 A 14,9 M3/H - FORNECIMENTO E INSTALAÇÃO. AF_12/2020</t>
  </si>
  <si>
    <t>102123</t>
  </si>
  <si>
    <t>BOMBA CENTRÍFUGA, TRIFÁSICA, 10 CV OU 9,86 HP, HM 85 A 140 M, Q 4,2 A 14,9 M3/H (NÃO INCLUI O FORNECIMENTO DA BOMBA). AF_12/2020</t>
  </si>
  <si>
    <t>102136</t>
  </si>
  <si>
    <t>INSTALAÇÃO DE QUADRO ELÉTRICO PARA BOMBAS TRIFÁSICAS ATÉ 25 CV (NÃO INCLUI O FORNECIMENTO DO QUADRO). AF_12/2020</t>
  </si>
  <si>
    <t>102137</t>
  </si>
  <si>
    <t>CHAVE DE BOIA AUTOMÁTICA SUPERIOR/INFERIOR 15A/250V - FORNECIMENTO E INSTALAÇÃO. AF_12/2020</t>
  </si>
  <si>
    <t>102138</t>
  </si>
  <si>
    <t>MOTO BOMBA HORIZONTAL DE 12,5 A 25 CV, HM 140 M (NÃO INCLUI O FORNECIMENTO DA BOMBA). AF_12/2020</t>
  </si>
  <si>
    <t>102354</t>
  </si>
  <si>
    <t>DESMONTE DE MATERIAL DE 3ª CATEGORIA (BLOCOS DE ROCHAS OU MATACOS), COM MARTELETE PNEUMÁTICO MANUAL  EXCLUSIVE CARGA E TRANSPORTE. AF_03/2021</t>
  </si>
  <si>
    <t>102355</t>
  </si>
  <si>
    <t>DESMONTE DE MATERIAL DE 3ª CATEGORIA (BLOCOS DE ROCHAS OU MATACOS), EM VALA, COM MARTELETE PNEUMÁTICO MANUAL   EXCLUSIVE RETIRADA, CARGA E TRANSPORTE. AF_03/2021</t>
  </si>
  <si>
    <t>102360</t>
  </si>
  <si>
    <t>RETIRADA DE MATERIAL DE 3ª CATEGORIA (APÓS ESCAVAÇÃO/DESMONTE) EM VALAS, COM ESCAVADEIRA HIDRÁULICA - EXCLUSIVE CARGA E TRANSPORTE. AF_03/2021</t>
  </si>
  <si>
    <t>102361</t>
  </si>
  <si>
    <t>RETIRADA DE MATERIAL DE 3ª CATEGORIA (APÓS ESCAVAÇÃO/DESMONTE) EM VALAS, COM RETROESCAVADEIRA - EXCLUSIVE CARGA E TRANSPORTE. AF_03/2021</t>
  </si>
  <si>
    <t>ESCAVAÇÃO MANUAL DE VALA COM PROFUNDIDADE MENOR OU IGUAL A 1,30 M. AF_02/2021</t>
  </si>
  <si>
    <t>102276</t>
  </si>
  <si>
    <t>102277</t>
  </si>
  <si>
    <t>102278</t>
  </si>
  <si>
    <t>102279</t>
  </si>
  <si>
    <t>102280</t>
  </si>
  <si>
    <t>102281</t>
  </si>
  <si>
    <t>102282</t>
  </si>
  <si>
    <t>102283</t>
  </si>
  <si>
    <t>102284</t>
  </si>
  <si>
    <t>102285</t>
  </si>
  <si>
    <t>102286</t>
  </si>
  <si>
    <t>102287</t>
  </si>
  <si>
    <t>102288</t>
  </si>
  <si>
    <t>102289</t>
  </si>
  <si>
    <t>102290</t>
  </si>
  <si>
    <t>102291</t>
  </si>
  <si>
    <t>102292</t>
  </si>
  <si>
    <t>102293</t>
  </si>
  <si>
    <t>102294</t>
  </si>
  <si>
    <t>102295</t>
  </si>
  <si>
    <t>102296</t>
  </si>
  <si>
    <t>102297</t>
  </si>
  <si>
    <t>102298</t>
  </si>
  <si>
    <t>102299</t>
  </si>
  <si>
    <t>102300</t>
  </si>
  <si>
    <t>102301</t>
  </si>
  <si>
    <t>102302</t>
  </si>
  <si>
    <t>102303</t>
  </si>
  <si>
    <t>102304</t>
  </si>
  <si>
    <t>102305</t>
  </si>
  <si>
    <t>102306</t>
  </si>
  <si>
    <t>102307</t>
  </si>
  <si>
    <t>102308</t>
  </si>
  <si>
    <t>102309</t>
  </si>
  <si>
    <t>102310</t>
  </si>
  <si>
    <t>102311</t>
  </si>
  <si>
    <t>102312</t>
  </si>
  <si>
    <t>102313</t>
  </si>
  <si>
    <t>102314</t>
  </si>
  <si>
    <t>102315</t>
  </si>
  <si>
    <t>102316</t>
  </si>
  <si>
    <t>102317</t>
  </si>
  <si>
    <t>102318</t>
  </si>
  <si>
    <t>102319</t>
  </si>
  <si>
    <t>102320</t>
  </si>
  <si>
    <t>102321</t>
  </si>
  <si>
    <t>102322</t>
  </si>
  <si>
    <t>102323</t>
  </si>
  <si>
    <t>102324</t>
  </si>
  <si>
    <t>102325</t>
  </si>
  <si>
    <t>102326</t>
  </si>
  <si>
    <t>102327</t>
  </si>
  <si>
    <t>102328</t>
  </si>
  <si>
    <t>102329</t>
  </si>
  <si>
    <t>102235</t>
  </si>
  <si>
    <t>102253</t>
  </si>
  <si>
    <t>DIVISORIA SANITÁRIA, TIPO CABINE, EM GRANITO CINZA POLIDO, ESP = 3CM, ASSENTADO COM ARGAMASSA COLANTE AC III-E, EXCLUSIVE FERRAGENS. AF_01/2021</t>
  </si>
  <si>
    <t>102254</t>
  </si>
  <si>
    <t>DIVISORIA SANITÁRIA, TIPO CABINE, EM MÁRMORE BRANCO POLIDO, ESP = 3CM, ASSENTADO COM ARGAMASSA COLANTE AC III-E, EXCLUSIVE FERRAGENS. AF_01/2021</t>
  </si>
  <si>
    <t>102255</t>
  </si>
  <si>
    <t>TAPA VISTA DE MICTÓRIO EM GRANITO CINZA POLIDO, ESP = 3CM, ASSENTADO COM ARGAMASSA COLANTE AC III-E . AF_01/2021</t>
  </si>
  <si>
    <t>102256</t>
  </si>
  <si>
    <t>TAPA VISTA DE MICTÓRIO EM MÁRMORE BRANCO POLIDO, ESP = 3CM, ASSENTADO COM ARGAMASSA COLANTE AC III-E . AF_01/2021</t>
  </si>
  <si>
    <t>102257</t>
  </si>
  <si>
    <t>DIVISORIA SANITÁRIA, TIPO CABINE, EM PAINEL DE GRANILITE, ESP = 3CM, ASSENTADO COM ARGAMASSA COLANTE AC III-E, EXCLUSIVE FERRAGENS. AF_01/2021</t>
  </si>
  <si>
    <t>102258</t>
  </si>
  <si>
    <t>TAPA VISTA DE MICTÓRIO EM PAINEL DE GRANILITE, ESP = 3CM, ASSENTADO COM ARGAMASSA COLANTE AC III-E . AF_01/2021</t>
  </si>
  <si>
    <t>101814</t>
  </si>
  <si>
    <t>101816</t>
  </si>
  <si>
    <t>101817</t>
  </si>
  <si>
    <t>101819</t>
  </si>
  <si>
    <t>101820</t>
  </si>
  <si>
    <t>101822</t>
  </si>
  <si>
    <t>101823</t>
  </si>
  <si>
    <t>101824</t>
  </si>
  <si>
    <t>101825</t>
  </si>
  <si>
    <t>101826</t>
  </si>
  <si>
    <t>101827</t>
  </si>
  <si>
    <t>101828</t>
  </si>
  <si>
    <t>101829</t>
  </si>
  <si>
    <t>101830</t>
  </si>
  <si>
    <t>101831</t>
  </si>
  <si>
    <t>101832</t>
  </si>
  <si>
    <t>101833</t>
  </si>
  <si>
    <t>101834</t>
  </si>
  <si>
    <t>101835</t>
  </si>
  <si>
    <t>101836</t>
  </si>
  <si>
    <t>101837</t>
  </si>
  <si>
    <t>101838</t>
  </si>
  <si>
    <t>101839</t>
  </si>
  <si>
    <t>101840</t>
  </si>
  <si>
    <t>101841</t>
  </si>
  <si>
    <t>101842</t>
  </si>
  <si>
    <t>101843</t>
  </si>
  <si>
    <t>101844</t>
  </si>
  <si>
    <t>101845</t>
  </si>
  <si>
    <t>101846</t>
  </si>
  <si>
    <t>101847</t>
  </si>
  <si>
    <t>101848</t>
  </si>
  <si>
    <t>101849</t>
  </si>
  <si>
    <t>101850</t>
  </si>
  <si>
    <t>101852</t>
  </si>
  <si>
    <t>101853</t>
  </si>
  <si>
    <t>101855</t>
  </si>
  <si>
    <t>101856</t>
  </si>
  <si>
    <t>101857</t>
  </si>
  <si>
    <t>101858</t>
  </si>
  <si>
    <t>101859</t>
  </si>
  <si>
    <t>101860</t>
  </si>
  <si>
    <t>101861</t>
  </si>
  <si>
    <t>101862</t>
  </si>
  <si>
    <t>101863</t>
  </si>
  <si>
    <t>101864</t>
  </si>
  <si>
    <t>101865</t>
  </si>
  <si>
    <t>101866</t>
  </si>
  <si>
    <t>101867</t>
  </si>
  <si>
    <t>101868</t>
  </si>
  <si>
    <t>101869</t>
  </si>
  <si>
    <t>101870</t>
  </si>
  <si>
    <t>102098</t>
  </si>
  <si>
    <t>102193</t>
  </si>
  <si>
    <t>LIXAMENTO DE MADEIRA PARA APLICAÇÃO DE FUNDO OU PINTURA. AF_01/2021</t>
  </si>
  <si>
    <t>102194</t>
  </si>
  <si>
    <t>LIXAMENTO DE MASSA PARA MADEIRA. AF_01/2021</t>
  </si>
  <si>
    <t>102197</t>
  </si>
  <si>
    <t>PINTURA FUNDO NIVELADOR ALQUÍDICO BRANCO EM MADEIRA. AF_01/2021</t>
  </si>
  <si>
    <t>102200</t>
  </si>
  <si>
    <t>APLICAÇÃO MASSA ALQUÍDICA PARA MADEIRA, PARA PINTURA COM TINTA DE ACABAMENTO (PIGMENTADA). AF_01/2021</t>
  </si>
  <si>
    <t>102202</t>
  </si>
  <si>
    <t>APLICAÇÃO MASSA EPÓXI PARA MADEIRA, PARA PINTURA COM TINTA PU DE ACABAMENTO (PIGMENTADA). AF_01/2021</t>
  </si>
  <si>
    <t>102203</t>
  </si>
  <si>
    <t>PINTURA VERNIZ (INCOLOR) ALQUÍDICO EM MADEIRA, USO INTERNO E EXTERNO, 1 DEMÃO. AF_01/2021</t>
  </si>
  <si>
    <t>102204</t>
  </si>
  <si>
    <t>PINTURA VERNIZ (INCOLOR) ALQUÍDICO EM MADEIRA, USO INTERNO, 1 DEMÃO. AF_01/2021</t>
  </si>
  <si>
    <t>102205</t>
  </si>
  <si>
    <t>PINTURA VERNIZ (INCOLOR) POLIURETÂNICO (RESINA ALQUÍDICA MODIFICADA) EM MADEIRA, 1 DEMÃO. AF_01/2021</t>
  </si>
  <si>
    <t>102207</t>
  </si>
  <si>
    <t>PINTURA TINTA DE ACABAMENTO (PIGMENTADA) A ÓLEO EM MADEIRA, 1 DEMÃO. AF_01/2021</t>
  </si>
  <si>
    <t>102208</t>
  </si>
  <si>
    <t>PINTURA TINTA DE ACABAMENTO (PIGMENTADA) ESMALTE SINTÉTICO FOSCO EM MADEIRA, 1 DEMÃO. AF_01/2021</t>
  </si>
  <si>
    <t>102209</t>
  </si>
  <si>
    <t>PINTURA TINTA DE ACABAMENTO (PIGMENTADA) ESMALTE SINTÉTICO ACETINADO EM MADEIRA, 1 DEMÃO. AF_01/2021</t>
  </si>
  <si>
    <t>102210</t>
  </si>
  <si>
    <t>PINTURA TINTA DE ACABAMENTO (PIGMENTADA) ESMALTE SINTÉTICO BRILHANTE EM MADEIRA, 1 DEMÃO. AF_01/2021</t>
  </si>
  <si>
    <t>102213</t>
  </si>
  <si>
    <t>PINTURA VERNIZ (INCOLOR) ALQUÍDICO EM MADEIRA, USO INTERNO E EXTERNO, 2 DEMÃOS. AF_01/2021</t>
  </si>
  <si>
    <t>102214</t>
  </si>
  <si>
    <t>PINTURA VERNIZ (INCOLOR) ALQUÍDICO EM MADEIRA, USO INTERNO, 2 DEMÃOS. AF_01/2021</t>
  </si>
  <si>
    <t>102215</t>
  </si>
  <si>
    <t>PINTURA VERNIZ (INCOLOR) POLIURETÂNICO (RESINA ALQUÍDICA MODIFICADA) EM MADEIRA, 2 DEMÃOS. AF_01/2021</t>
  </si>
  <si>
    <t>102217</t>
  </si>
  <si>
    <t>PINTURA TINTA DE ACABAMENTO (PIGMENTADA) A ÓLEO EM MADEIRA, 2 DEMÃOS. AF_01/2021</t>
  </si>
  <si>
    <t>102218</t>
  </si>
  <si>
    <t>PINTURA TINTA DE ACABAMENTO (PIGMENTADA) ESMALTE SINTÉTICO FOSCO EM MADEIRA, 2 DEMÃOS. AF_01/2021</t>
  </si>
  <si>
    <t>102219</t>
  </si>
  <si>
    <t>PINTURA TINTA DE ACABAMENTO (PIGMENTADA) ESMALTE SINTÉTICO ACETINADO EM MADEIRA, 2 DEMÃOS. AF_01/2021</t>
  </si>
  <si>
    <t>102220</t>
  </si>
  <si>
    <t>PINTURA TINTA DE ACABAMENTO (PIGMENTADA) ESMALTE SINTÉTICO BRILHANTE EM MADEIRA, 2 DEMÃOS. AF_01/2021</t>
  </si>
  <si>
    <t>102223</t>
  </si>
  <si>
    <t>PINTURA VERNIZ (INCOLOR) ALQUÍDICO EM MADEIRA, USO INTERNO E EXTERNO, 3 DEMÃOS. AF_01/2021</t>
  </si>
  <si>
    <t>102224</t>
  </si>
  <si>
    <t>PINTURA VERNIZ (INCOLOR) ALQUÍDICO EM MADEIRA, USO INTERNO, 3 DEMÃOS. AF_01/2021</t>
  </si>
  <si>
    <t>102225</t>
  </si>
  <si>
    <t>PINTURA VERNIZ (INCOLOR) POLIURETÂNICO (RESINA ALQUÍDICA MODIFICADA) EM MADEIRA, 3 DEMÃOS. AF_01/2021</t>
  </si>
  <si>
    <t>102227</t>
  </si>
  <si>
    <t>PINTURA TINTA DE ACABAMENTO (PIGMENTADA) A ÓLEO EM MADEIRA, 3 DEMÃOS. AF_01/2021</t>
  </si>
  <si>
    <t>102228</t>
  </si>
  <si>
    <t>PINTURA TINTA DE ACABAMENTO (PIGMENTADA) ESMALTE SINTÉTICO FOSCO EM MADEIRA, 3 DEMÃOS. AF_01/2021</t>
  </si>
  <si>
    <t>102229</t>
  </si>
  <si>
    <t>PINTURA TINTA DE ACABAMENTO (PIGMENTADA) ESMALTE SINTÉTICO ACETINADO EM MADEIRA, 3 DEMÃOS. AF_01/2021</t>
  </si>
  <si>
    <t>102230</t>
  </si>
  <si>
    <t>PINTURA TINTA DE ACABAMENTO (PIGMENTADA) ESMALTE SINTÉTICO BRILHANTE EM MADEIRA, 3 DEMÃOS. AF_01/2021</t>
  </si>
  <si>
    <t>102233</t>
  </si>
  <si>
    <t>PINTURA IMUNIZANTE PARA MADEIRA, 1 DEMÃO. AF_01/2021</t>
  </si>
  <si>
    <t>102234</t>
  </si>
  <si>
    <t>PINTURA IMUNIZANTE PARA MADEIRA, 2 DEMÃOS. AF_01/2021</t>
  </si>
  <si>
    <t>102330</t>
  </si>
  <si>
    <t>102331</t>
  </si>
  <si>
    <t>102332</t>
  </si>
  <si>
    <t>102333</t>
  </si>
  <si>
    <t>18,46</t>
  </si>
  <si>
    <t>102362</t>
  </si>
  <si>
    <t>ALAMBRADO PARA QUADRA POLIESPORTIVA, ESTRUTURADO POR TUBOS DE ACO GALVANIZADO, (MONTANTES COM DIAMETRO 2", TRAVESSAS E ESCORAS COM DIÂMETRO 1 ¼), COM TELA DE ARAME GALVANIZADO, FIO 14 BWG E MALHA QUADRADA 5X5CM (EXCETO MURETA). AF_03/2021</t>
  </si>
  <si>
    <t>102363</t>
  </si>
  <si>
    <t>ALAMBRADO PARA QUADRA POLIESPORTIVA, ESTRUTURADO POR TUBOS DE ACO GALVANIZADO, (MONTANTES COM DIAMETRO 2", TRAVESSAS E ESCORAS COM DIÂMETRO 1 ¼), COM TELA DE ARAME GALVANIZADO, FIO 12 BWG E MALHA QUADRADA 5X5CM (EXCETO MURETA). AF_03/2021</t>
  </si>
  <si>
    <t>102364</t>
  </si>
  <si>
    <t>ALAMBRADO PARA QUADRA POLIESPORTIVA, ESTRUTURADO POR TUBOS DE ACO GALVANIZADO, (MONTANTES COM DIAMETRO 2", TRAVESSAS E ESCORAS COM DIÂMETRO 1 ¼), COM TELA DE ARAME GALVANIZADO, FIO 10 BWG E MALHA QUADRADA 5X5CM (EXCETO MURETA). AF_03/2021</t>
  </si>
  <si>
    <t>11,63</t>
  </si>
  <si>
    <t>16,21</t>
  </si>
  <si>
    <t>8,05</t>
  </si>
  <si>
    <t>SF-01347</t>
  </si>
  <si>
    <t>SF-01348</t>
  </si>
  <si>
    <t>SF-01349</t>
  </si>
  <si>
    <t>SF-01350</t>
  </si>
  <si>
    <t>SF-01351</t>
  </si>
  <si>
    <t>SF-01352</t>
  </si>
  <si>
    <t>SF-01353</t>
  </si>
  <si>
    <t>SF-01354</t>
  </si>
  <si>
    <t>SF-01355</t>
  </si>
  <si>
    <t>SF-01356</t>
  </si>
  <si>
    <t>SF-01358</t>
  </si>
  <si>
    <t>SF-01359</t>
  </si>
  <si>
    <t>SF-01360</t>
  </si>
  <si>
    <t>SF-01361</t>
  </si>
  <si>
    <t>SF-01362</t>
  </si>
  <si>
    <t>SF-01363</t>
  </si>
  <si>
    <t>SF-01369</t>
  </si>
  <si>
    <t>SF-01370</t>
  </si>
  <si>
    <t>SF-01373</t>
  </si>
  <si>
    <t>SF-01375</t>
  </si>
  <si>
    <t>SF-01376</t>
  </si>
  <si>
    <t>SF-01377</t>
  </si>
  <si>
    <t>Bloco autônomo de emergência 1000 lumens – fornecimento e instalação</t>
  </si>
  <si>
    <t>Cabo Ethernet blindado</t>
  </si>
  <si>
    <t>Cabos de cobre para comunicação CANbus</t>
  </si>
  <si>
    <t>Cabos de cobre para comunicação padrão RS-485</t>
  </si>
  <si>
    <t>Condulete de alumínio de 2”</t>
  </si>
  <si>
    <t>Distribuidor Interno Óptico Industrial – fornecimento e instalação</t>
  </si>
  <si>
    <t>Eletroduto PEAD 5”</t>
  </si>
  <si>
    <t>Interruptor duplo para condulete</t>
  </si>
  <si>
    <t>Luminária 2x28 W hermética de sobrepor</t>
  </si>
  <si>
    <t>Poste curvo simples 8 metros</t>
  </si>
  <si>
    <t>Cabo de cobre nu 50 mm²</t>
  </si>
  <si>
    <t>Haste de aterramento 3/4” x 3 m</t>
  </si>
  <si>
    <t>Engenheiro(a) eletricista pleno</t>
  </si>
  <si>
    <t>Mão francesa metálica dupla</t>
  </si>
  <si>
    <t>Óleo diesel</t>
  </si>
  <si>
    <t>Supervisor Técnico – Sistema Elétrico</t>
  </si>
  <si>
    <t>Supervisor Técnico – Sistema Elétrico e Segurança do Trabalho</t>
  </si>
  <si>
    <t>Técnico de Segurança do Trabalho</t>
  </si>
  <si>
    <t>Auxiliar de Almoxarifado</t>
  </si>
  <si>
    <t>Auxiliar Administrativo</t>
  </si>
  <si>
    <t>Desenhista Técnico</t>
  </si>
  <si>
    <t>Técnico em Eletrotécnica Encarregado</t>
  </si>
  <si>
    <t>Técnico em Eletrotécnica Planejador de Manutenção</t>
  </si>
  <si>
    <t>Técnico em Eletrotécnica Termografista</t>
  </si>
  <si>
    <t>Técnico em Eletrotécnica</t>
  </si>
  <si>
    <t>Eletricista</t>
  </si>
  <si>
    <t>Auxiliar de Eletricista</t>
  </si>
  <si>
    <t>Técnico em Eletromecânica</t>
  </si>
  <si>
    <t>Técnico em Automação</t>
  </si>
  <si>
    <t>Técnico em Eletrotécnica Plantonista (diurno)</t>
  </si>
  <si>
    <t>Técnico em Eletrotécnica Plantonista (noturno)</t>
  </si>
  <si>
    <t>Eletricista Plantonista (diurno)</t>
  </si>
  <si>
    <t>Eletricista Plantonista (noturno)</t>
  </si>
  <si>
    <t>Eletricista Plantonista – Áreas Restritas (diurno)</t>
  </si>
  <si>
    <t>Eletricista Plantonista – Áreas Restritas (noturno)</t>
  </si>
  <si>
    <t>Chapa de aço galvanizado</t>
  </si>
  <si>
    <t>Perfil de aço</t>
  </si>
  <si>
    <t>Condulete de alumínio de 3/4”</t>
  </si>
  <si>
    <t>Condulete de alumínio de 1”</t>
  </si>
  <si>
    <t>Condulete de alumínio de 1 1/4”</t>
  </si>
  <si>
    <t>Condulete de alumínio de 1 1/2”</t>
  </si>
  <si>
    <t>Condulete de alumínio de 3”</t>
  </si>
  <si>
    <t>Condulete de alumínio de 4”</t>
  </si>
  <si>
    <t>Tampa para condulete de PVC</t>
  </si>
  <si>
    <t>Terminal de compressão 25 mm²</t>
  </si>
  <si>
    <t>Terminal de compressão 35 mm²</t>
  </si>
  <si>
    <t>Terminal de compressão 50 mm²</t>
  </si>
  <si>
    <t>Terminal de compressão 70 mm²</t>
  </si>
  <si>
    <t>Terminal de compressão 95 mm²</t>
  </si>
  <si>
    <t>Terminal de compressão 120 mm²</t>
  </si>
  <si>
    <t>Terminal de compressão 150 mm²</t>
  </si>
  <si>
    <t>Terminal de compressão 185 mm²</t>
  </si>
  <si>
    <t>Terminal de compressão 240 mm²</t>
  </si>
  <si>
    <t>Terminal de compressão 300 mm²</t>
  </si>
  <si>
    <t>Condutor 10 mm²</t>
  </si>
  <si>
    <t>Condutor 16 mm²</t>
  </si>
  <si>
    <t>Condutor 25 mm²</t>
  </si>
  <si>
    <t>Condutor 35 mm²</t>
  </si>
  <si>
    <t>Condutor 50 mm²</t>
  </si>
  <si>
    <t>Condutor 70 mm²</t>
  </si>
  <si>
    <t>Condutor 95 mm²</t>
  </si>
  <si>
    <t>Condutor 120 mm²</t>
  </si>
  <si>
    <t>Condutor 150 mm²</t>
  </si>
  <si>
    <t>Condutor 185 mm²</t>
  </si>
  <si>
    <t>Condutor 240 mm²</t>
  </si>
  <si>
    <t>Cobre nu 16 mm²</t>
  </si>
  <si>
    <t>Cobre nu 25 mm²</t>
  </si>
  <si>
    <t>Cobre nu 35 mm²</t>
  </si>
  <si>
    <t>Cobre nu 50 mm²</t>
  </si>
  <si>
    <t>Cobre nu 70 mm²</t>
  </si>
  <si>
    <t>Cabo 3x6 mm²</t>
  </si>
  <si>
    <t>Eletroduto de aço galvanizado de 3/4”</t>
  </si>
  <si>
    <t>Eletroduto de aço galvanizado de 1”</t>
  </si>
  <si>
    <t>Eletroduto de aço galvanizado de 1 1/4”</t>
  </si>
  <si>
    <t>Eletroduto de aço galvanizado de 1 1/2”</t>
  </si>
  <si>
    <t>Eletroduto de aço galvanizado de 2”</t>
  </si>
  <si>
    <t>Eletroduto de aço galvanizado de 2 1/2”</t>
  </si>
  <si>
    <t>Eletroduto de aço galvanizado de 4”</t>
  </si>
  <si>
    <t>Eletroduto de aço galvanizado a fogo de 1”</t>
  </si>
  <si>
    <t>Eletroduto de aço galvanizado a fogo de 1 1/2”</t>
  </si>
  <si>
    <t>Eletroduto de aço galvanizado a fogo de 2”</t>
  </si>
  <si>
    <t>Eletroduto de aço galvanizado a fogo de 3”</t>
  </si>
  <si>
    <t>Luva para eletroduto 1/2”</t>
  </si>
  <si>
    <t>Curva para eletroduto 1/2”</t>
  </si>
  <si>
    <t>Conector reto para eletroduto 3/4”</t>
  </si>
  <si>
    <t>Conector curvo para eletroduto 3/4”</t>
  </si>
  <si>
    <t>Luva para eletroduto 3/4”</t>
  </si>
  <si>
    <t>Curva para eletroduto 3/4”</t>
  </si>
  <si>
    <t>Conector reto para eletroduto 1”</t>
  </si>
  <si>
    <t>Conector curvo para eletroduto 1”</t>
  </si>
  <si>
    <t>Luva para eletroduto 1”</t>
  </si>
  <si>
    <t>Curva para eletroduto 1”</t>
  </si>
  <si>
    <t>Conector reto para eletroduto 1 1/4”</t>
  </si>
  <si>
    <t>Conector curvo para eletroduto 1 1/4”</t>
  </si>
  <si>
    <t>Luva para eletroduto 1 1/4”</t>
  </si>
  <si>
    <t>Curva para eletroduto 1 1/4”</t>
  </si>
  <si>
    <t>Conector reto para eletroduto 1 1/2”</t>
  </si>
  <si>
    <t>Conector curvo para eletroduto 1 1/2”</t>
  </si>
  <si>
    <t>Luva para eletroduto 1 1/2”</t>
  </si>
  <si>
    <t>Conector reto para eletroduto 2”</t>
  </si>
  <si>
    <t>Conector curvo para eletroduto 2”</t>
  </si>
  <si>
    <t>Luva para eletroduto 2”</t>
  </si>
  <si>
    <t>Curva para eletroduto 2”</t>
  </si>
  <si>
    <t>Conector curvo para eletroduto 2 1/2”</t>
  </si>
  <si>
    <t>Luva para eletroduto 2 1/2”</t>
  </si>
  <si>
    <t>Curva para eletroduto 2 1/2”</t>
  </si>
  <si>
    <t>Conector reto para eletroduto 3”</t>
  </si>
  <si>
    <t>Conector curvo para eletroduto 3”</t>
  </si>
  <si>
    <t>Luva para eletroduto 3”</t>
  </si>
  <si>
    <t>Curva para eletroduto 3”</t>
  </si>
  <si>
    <t>Conector reto para eletroduto 4”</t>
  </si>
  <si>
    <t>Conector curvo para eletroduto 4”</t>
  </si>
  <si>
    <t>Luva para eletroduto 4”</t>
  </si>
  <si>
    <t>Curva para eletroduto 4”</t>
  </si>
  <si>
    <t>Eletroduto de PVC Corrugado Reforçado 3/4” (DE 25mm)</t>
  </si>
  <si>
    <t>Eletroduto de PVC Corrugado Reforçado 1” (DE 32mm)</t>
  </si>
  <si>
    <t>Eletroduto flexível metálico com capa de PVC 3/4”</t>
  </si>
  <si>
    <t>Eletroduto flexível metálico com capa de PVC 1”</t>
  </si>
  <si>
    <t>Eletroduto flexível metálico com capa de PVC 1 1/4”</t>
  </si>
  <si>
    <t>Eletroduto flexível metálico com capa de PVC 1 1/2”</t>
  </si>
  <si>
    <t>Eletroduto flexível metálico com capa de PVC 2”</t>
  </si>
  <si>
    <t>Eletroduto de PEAD de 1 1/4”</t>
  </si>
  <si>
    <t>Terminal para eletroduto de PEAD de 1 1/4”</t>
  </si>
  <si>
    <t>Eletroduto de PEAD de 2”</t>
  </si>
  <si>
    <t>Terminal para eletroduto de PEAD de 2”</t>
  </si>
  <si>
    <t>Eletroduto de PEAD de 3”</t>
  </si>
  <si>
    <t>Terminal para eletroduto de PEAD de 3”</t>
  </si>
  <si>
    <t>Eletroduto de PVC de 3/4”</t>
  </si>
  <si>
    <t>Luva para eletroduto de PVC de 3/4”</t>
  </si>
  <si>
    <t>Curva para eletroduto de PVC de 3/4”</t>
  </si>
  <si>
    <t>Eletroduto de PVC de 1”</t>
  </si>
  <si>
    <t>Luva para eletroduto de PVC de 1”</t>
  </si>
  <si>
    <t>Curva para eletroduto de PVC de 1”</t>
  </si>
  <si>
    <t>Eletroduto de PVC de 1 1/4”</t>
  </si>
  <si>
    <t>Luva para eletroduto de PVC de 1 1/4”</t>
  </si>
  <si>
    <t>Curva para eletroduto de PVC de 1 1/4”</t>
  </si>
  <si>
    <t>Eletroduto de PVC de 1 1/2”</t>
  </si>
  <si>
    <t>Luva para eletroduto de PVC de 1 1/2”</t>
  </si>
  <si>
    <t>Curva para eletroduto de PVC de 1 1/2”</t>
  </si>
  <si>
    <t>Eletroduto de PVC de 2”</t>
  </si>
  <si>
    <t>Luva para eletroduto de PVC de 2”</t>
  </si>
  <si>
    <t>Curva para eletroduto de PVC de 2”</t>
  </si>
  <si>
    <t>Eletroduto de PVC de 3”</t>
  </si>
  <si>
    <t>Luva para eletroduto de PVC de 3”</t>
  </si>
  <si>
    <t>Curva para eletroduto de PVC de 3”</t>
  </si>
  <si>
    <t>Base fusível NH 00 / NH 000</t>
  </si>
  <si>
    <t>Base fusível NH 1</t>
  </si>
  <si>
    <t>Base fusível NH 2</t>
  </si>
  <si>
    <t>Base fusível NH 3</t>
  </si>
  <si>
    <t>Fusível NH 000</t>
  </si>
  <si>
    <t>Fusível NH 1</t>
  </si>
  <si>
    <t>Fusível NH 2</t>
  </si>
  <si>
    <t>Fusível NH 3</t>
  </si>
  <si>
    <t>Fusível Diazed</t>
  </si>
  <si>
    <t>Braço para iluminação</t>
  </si>
  <si>
    <t>Bloco autônomo de emergência 2400 lumens</t>
  </si>
  <si>
    <t>Chumbador 1/4”</t>
  </si>
  <si>
    <t>Abraçadeira tipo D para eletroduto</t>
  </si>
  <si>
    <t>Quadro termoplástico para 12 disjuntores</t>
  </si>
  <si>
    <t>Quadro termoplástico para 24 disjuntores</t>
  </si>
  <si>
    <t>Quadro termoplástico para 36 disjuntores</t>
  </si>
  <si>
    <t>Sensor de presença externo</t>
  </si>
  <si>
    <t>Caixa de inspeção de aterramento 300 mm</t>
  </si>
  <si>
    <t>Captor tipo Franklin</t>
  </si>
  <si>
    <t>Minicaptor 300 mm</t>
  </si>
  <si>
    <t>Minicaptor 600 mm</t>
  </si>
  <si>
    <t>Adesivo estrutural</t>
  </si>
  <si>
    <t>Isolador simples para SPDA</t>
  </si>
  <si>
    <t>Tampão DN 600 Articulado D-400</t>
  </si>
  <si>
    <t>Tampão T-33 Articulado B-125</t>
  </si>
  <si>
    <t>Tampão T-33 Simples Pesado</t>
  </si>
  <si>
    <t>Solda exotérmica</t>
  </si>
  <si>
    <t>Carrinho plataforma</t>
  </si>
  <si>
    <t>Lanterna</t>
  </si>
  <si>
    <t>Cavalete de sinalização de manutenção</t>
  </si>
  <si>
    <t>Cone de sinalização</t>
  </si>
  <si>
    <t>Detector de tensão sem contato de baixa tensão</t>
  </si>
  <si>
    <t>Etiqueta de bloqueio</t>
  </si>
  <si>
    <t>Escada duplo acesso 4 degraus</t>
  </si>
  <si>
    <t>Andaime tubular 1 m por 1 m e 6 m de altura</t>
  </si>
  <si>
    <t>Andaime tubular 1,5 m por 1 m e 6 m de altura</t>
  </si>
  <si>
    <t>Corda semi-estática 11 mm</t>
  </si>
  <si>
    <t>Chave de impacto sem fio</t>
  </si>
  <si>
    <t>Rotulador</t>
  </si>
  <si>
    <t>Serra rápida portátil</t>
  </si>
  <si>
    <t>Motoesmeril 6 polegadas</t>
  </si>
  <si>
    <t>Alicate de corte isolado 160 mm</t>
  </si>
  <si>
    <t>Alicate universal isolado 200 mm</t>
  </si>
  <si>
    <t>Alicate bico reto isolado 160 mm</t>
  </si>
  <si>
    <t>Alicate desencapador isolado 160 mm</t>
  </si>
  <si>
    <t>Chave Phillips isolada PH0</t>
  </si>
  <si>
    <t>Chave Phillips isolada PH1</t>
  </si>
  <si>
    <t>Chave Phillips isolada PH2</t>
  </si>
  <si>
    <t>Chave de fenda isolada 3 mm</t>
  </si>
  <si>
    <t>Chave de fenda isolada 5,5 mm</t>
  </si>
  <si>
    <t>Chave de fenda isolada 6,5 mm</t>
  </si>
  <si>
    <t>Alicate crimpador com catraca para terminal RJ45</t>
  </si>
  <si>
    <t>Jogo de chave allen em polegadas</t>
  </si>
  <si>
    <t>Jogo de chaves combinadas com catraca métrico</t>
  </si>
  <si>
    <t>Jogo de chaves combinadas com catraca em polegadas</t>
  </si>
  <si>
    <t>Jogo de chaves combinadas métrico</t>
  </si>
  <si>
    <t>Jogo de chaves combinadas em polegadas</t>
  </si>
  <si>
    <t>Jogo de soquetes sextavado 1/2 métrico</t>
  </si>
  <si>
    <t>Jogo de soquetes 1/2 em polegadas</t>
  </si>
  <si>
    <t>Jogo de soquetes 3/8</t>
  </si>
  <si>
    <t>Jogo de bits</t>
  </si>
  <si>
    <t>Jogo de chaves biela métrico</t>
  </si>
  <si>
    <t>Jogo de soquetes sextavado de impacto 1/2 métrico</t>
  </si>
  <si>
    <t>Serrote para gesso 150 mm</t>
  </si>
  <si>
    <t>Martelo de borracha</t>
  </si>
  <si>
    <t>Martelo tipo pena</t>
  </si>
  <si>
    <t>Morsa de bancada</t>
  </si>
  <si>
    <t>Alicate amperímetro 400 A</t>
  </si>
  <si>
    <t>Termômetro infravermelho</t>
  </si>
  <si>
    <t>Trena 8m</t>
  </si>
  <si>
    <t>Trena 50m</t>
  </si>
  <si>
    <t>Torquímetro de estalo 100 Nm</t>
  </si>
  <si>
    <t>Torquímetro de estalo 50 Nm</t>
  </si>
  <si>
    <t>Multímetro</t>
  </si>
  <si>
    <t>Veículo do tipo automóvel de passageiros</t>
  </si>
  <si>
    <t>Protetor solar</t>
  </si>
  <si>
    <t>Carpete em placa para o Bloco 2 (Interlegis) - fornecimento e instalação</t>
  </si>
  <si>
    <t>Carpete em rolo para o Bloco 2 (Interlegis) - fornecimento e instalação</t>
  </si>
  <si>
    <t>Corte em chapas metálicas</t>
  </si>
  <si>
    <t>Remoção de revestimento em chapa de alumínio ACM para aproveitamento</t>
  </si>
  <si>
    <t>Instalação de revestimento em chapa de alumínio ACM reaproveitado</t>
  </si>
  <si>
    <t>Adesivo Estrutural Epóxi Bicomponente – fornecimento e aplicação</t>
  </si>
  <si>
    <t>Quadro 400x300x200 mm – fornecimento e instalação</t>
  </si>
  <si>
    <t>Pavimentação em concreto simples</t>
  </si>
  <si>
    <t>Alvenaria Estrutural</t>
  </si>
  <si>
    <t>Boca de lobo simples em blocos de concreto, h=1,0 m</t>
  </si>
  <si>
    <t>Canaleta de concreto armado 30 cm x 30 cm com tampa</t>
  </si>
  <si>
    <t>Remoção de árvore, inclusive raiz</t>
  </si>
  <si>
    <t>Demolição de telhas</t>
  </si>
  <si>
    <t>Locação de obra</t>
  </si>
  <si>
    <t>Paraciclo metálico para bicicletas</t>
  </si>
  <si>
    <t>Poste reto 5 metros – fornecimento e instalação</t>
  </si>
  <si>
    <t>Suporte para luminária de poste simples – fornecimento e instalação</t>
  </si>
  <si>
    <t>mês</t>
  </si>
  <si>
    <t>pct</t>
  </si>
  <si>
    <t>SF-01384</t>
  </si>
  <si>
    <t>SF-01386</t>
  </si>
  <si>
    <t>SF-01387</t>
  </si>
  <si>
    <t>SF-01388</t>
  </si>
  <si>
    <t>SF-01390</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</si>
  <si>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</si>
  <si>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</si>
  <si>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</si>
  <si>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</si>
  <si>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</si>
  <si>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</si>
  <si>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</si>
  <si>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</si>
  <si>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</si>
  <si>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</si>
  <si>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</si>
  <si>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</si>
  <si>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</si>
  <si>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</si>
  <si>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</si>
  <si>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</si>
  <si>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</si>
  <si>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</si>
  <si>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</si>
  <si>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</si>
  <si>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</si>
  <si>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</si>
  <si>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</si>
  <si>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</si>
  <si>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</si>
  <si>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</si>
  <si>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</si>
  <si>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</si>
  <si>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</si>
  <si>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</si>
  <si>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</si>
  <si>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</si>
  <si>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</si>
  <si>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</si>
  <si>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</si>
  <si>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</si>
  <si>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</si>
  <si>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</si>
  <si>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</si>
  <si>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</si>
  <si>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</si>
  <si>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</si>
  <si>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</si>
  <si>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</si>
  <si>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</si>
  <si>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</si>
  <si>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</si>
  <si>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</si>
  <si>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SF-01809</t>
  </si>
  <si>
    <t>SF-01810</t>
  </si>
  <si>
    <t>SF-01811</t>
  </si>
  <si>
    <t>SF-01812</t>
  </si>
  <si>
    <t>SF-01813</t>
  </si>
  <si>
    <t>SF-01814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</si>
  <si>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</si>
  <si>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</si>
  <si>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</si>
  <si>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</si>
  <si>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</si>
  <si>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</si>
  <si>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</si>
  <si>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</si>
  <si>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</si>
  <si>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</si>
  <si>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</si>
  <si>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</si>
  <si>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</si>
  <si>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</si>
  <si>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</si>
  <si>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</si>
  <si>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</si>
  <si>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</si>
  <si>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</si>
  <si>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</si>
  <si>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</si>
  <si>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</si>
  <si>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</si>
  <si>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</si>
  <si>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</si>
  <si>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</si>
  <si>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</si>
  <si>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</si>
  <si>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</si>
  <si>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</si>
  <si>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</si>
  <si>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</si>
  <si>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</si>
  <si>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</si>
  <si>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</si>
  <si>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</si>
  <si>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</si>
  <si>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</si>
  <si>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</si>
  <si>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</si>
  <si>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</si>
  <si>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</si>
  <si>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</si>
  <si>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</si>
  <si>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</si>
  <si>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</si>
  <si>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</si>
  <si>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</si>
  <si>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</si>
  <si>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</si>
  <si>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</si>
  <si>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</si>
  <si>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</si>
  <si>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</si>
  <si>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</si>
  <si>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</si>
  <si>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</si>
  <si>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</si>
  <si>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</si>
  <si>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</si>
  <si>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</si>
  <si>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</si>
  <si>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</si>
  <si>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</si>
  <si>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</si>
  <si>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SF-01916</t>
  </si>
  <si>
    <t>SF-01917</t>
  </si>
  <si>
    <t>SF-01918</t>
  </si>
  <si>
    <t>SF-01919</t>
  </si>
  <si>
    <t>SF-01921</t>
  </si>
  <si>
    <t>SF-01923</t>
  </si>
  <si>
    <t>SF-01925</t>
  </si>
  <si>
    <t>SF-01928</t>
  </si>
  <si>
    <t>SF-01944</t>
  </si>
  <si>
    <t>SF-01946</t>
  </si>
  <si>
    <t>SF-01948</t>
  </si>
  <si>
    <t>SF-01949</t>
  </si>
  <si>
    <t>SF-02076</t>
  </si>
  <si>
    <t>SF-02082</t>
  </si>
  <si>
    <t>SF-02083</t>
  </si>
  <si>
    <t>SF-02091</t>
  </si>
  <si>
    <t>SF-02094</t>
  </si>
  <si>
    <t>SF-02095</t>
  </si>
  <si>
    <t>SF-02099</t>
  </si>
  <si>
    <t>SF-02212</t>
  </si>
  <si>
    <t>SF-02213</t>
  </si>
  <si>
    <t>SF-02214</t>
  </si>
  <si>
    <t>SF-02250</t>
  </si>
  <si>
    <t>SF-02285</t>
  </si>
  <si>
    <t>SF-02290</t>
  </si>
  <si>
    <t>SF-02291</t>
  </si>
  <si>
    <t>SF-02292</t>
  </si>
  <si>
    <t>SF-02294</t>
  </si>
  <si>
    <t>SF-02310</t>
  </si>
  <si>
    <t>SF-02314</t>
  </si>
  <si>
    <t>SF-02328</t>
  </si>
  <si>
    <t>SF-02329</t>
  </si>
  <si>
    <t>SF-02330</t>
  </si>
  <si>
    <t>SF-02363</t>
  </si>
  <si>
    <t>SF-02379</t>
  </si>
  <si>
    <t>SF-02385</t>
  </si>
  <si>
    <t>SF-02387</t>
  </si>
  <si>
    <t>SF-02388</t>
  </si>
  <si>
    <t>SF-02389</t>
  </si>
  <si>
    <t>SF-02390</t>
  </si>
  <si>
    <t>SF-02400</t>
  </si>
  <si>
    <t>SF-02403</t>
  </si>
  <si>
    <t>SF-02405</t>
  </si>
  <si>
    <t>SF-02406</t>
  </si>
  <si>
    <t>SF-02411</t>
  </si>
  <si>
    <t>SF-02424</t>
  </si>
  <si>
    <t>SF-02428</t>
  </si>
  <si>
    <t>SF-02436</t>
  </si>
  <si>
    <t>SF-02441</t>
  </si>
  <si>
    <t>SF-02451</t>
  </si>
  <si>
    <t>SF-02453</t>
  </si>
  <si>
    <t>SF-02454</t>
  </si>
  <si>
    <t>SF-02456</t>
  </si>
  <si>
    <t>SF-02479</t>
  </si>
  <si>
    <t>SF-02480</t>
  </si>
  <si>
    <t>SF-02481</t>
  </si>
  <si>
    <t>SF-02485</t>
  </si>
  <si>
    <t>SF-02487</t>
  </si>
  <si>
    <t>SF-02488</t>
  </si>
  <si>
    <t>SF-02496</t>
  </si>
  <si>
    <t>SF-02498</t>
  </si>
  <si>
    <t>SF-02499</t>
  </si>
  <si>
    <t>SF-02503</t>
  </si>
  <si>
    <t>SF-02506</t>
  </si>
  <si>
    <t>SF-02507</t>
  </si>
  <si>
    <t>SF-02508</t>
  </si>
  <si>
    <t>SF-02509</t>
  </si>
  <si>
    <t>SF-02511</t>
  </si>
  <si>
    <t>SF-02512</t>
  </si>
  <si>
    <t>SF-02513</t>
  </si>
  <si>
    <t>SF-02516</t>
  </si>
  <si>
    <t>SF-02517</t>
  </si>
  <si>
    <t>SF-02519</t>
  </si>
  <si>
    <t>SF-02533</t>
  </si>
  <si>
    <t>SF-02534</t>
  </si>
  <si>
    <t>SF-02535</t>
  </si>
  <si>
    <t>SF-02537</t>
  </si>
  <si>
    <t>SF-02538</t>
  </si>
  <si>
    <t>SF-02541</t>
  </si>
  <si>
    <t>SF-02543</t>
  </si>
  <si>
    <t>SF-02545</t>
  </si>
  <si>
    <t>SF-02546</t>
  </si>
  <si>
    <t>SF-02547</t>
  </si>
  <si>
    <t>SF-02548</t>
  </si>
  <si>
    <t>SF-02560</t>
  </si>
  <si>
    <t>SF-02570</t>
  </si>
  <si>
    <t>SF-02588</t>
  </si>
  <si>
    <t>SF-02590</t>
  </si>
  <si>
    <t>SF-02591</t>
  </si>
  <si>
    <t>SF-02592</t>
  </si>
  <si>
    <t>SF-02593</t>
  </si>
  <si>
    <t>SF-02594</t>
  </si>
  <si>
    <t>SF-02595</t>
  </si>
  <si>
    <t>SF-02596</t>
  </si>
  <si>
    <t>SF-02597</t>
  </si>
  <si>
    <t>SF-02598</t>
  </si>
  <si>
    <t>SF-02599</t>
  </si>
  <si>
    <t>SF-02600</t>
  </si>
  <si>
    <t>SF-02601</t>
  </si>
  <si>
    <t>SF-02602</t>
  </si>
  <si>
    <t>SF-02603</t>
  </si>
  <si>
    <t>SF-02604</t>
  </si>
  <si>
    <t>SF-02606</t>
  </si>
  <si>
    <t>SF-02607</t>
  </si>
  <si>
    <t>SF-02608</t>
  </si>
  <si>
    <t>SF-02609</t>
  </si>
  <si>
    <t>SF-02610</t>
  </si>
  <si>
    <t>SF-02611</t>
  </si>
  <si>
    <t>SF-02612</t>
  </si>
  <si>
    <t>SF-02613</t>
  </si>
  <si>
    <t>SF-02614</t>
  </si>
  <si>
    <t>SF-02615</t>
  </si>
  <si>
    <t>SF-02617</t>
  </si>
  <si>
    <t>SF-02618</t>
  </si>
  <si>
    <t>2,68</t>
  </si>
  <si>
    <t>7,81</t>
  </si>
  <si>
    <t>3,07</t>
  </si>
  <si>
    <t>13,10</t>
  </si>
  <si>
    <t>3,09</t>
  </si>
  <si>
    <t>4,81</t>
  </si>
  <si>
    <t>9,16</t>
  </si>
  <si>
    <t>15,18</t>
  </si>
  <si>
    <t>5,05</t>
  </si>
  <si>
    <t>5,79</t>
  </si>
  <si>
    <t>1,73</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</si>
  <si>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</si>
  <si>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</si>
  <si>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</si>
  <si>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</si>
  <si>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</si>
  <si>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</si>
  <si>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4,99</t>
  </si>
  <si>
    <t>100064</t>
  </si>
  <si>
    <t>ARMAÇÃO DO SISTEMA DE PAREDES DE CONCRETO, EXECUTADA COMO ARMADURA POSITIVA DE LAJES, TELA Q-159. AF_06/2019</t>
  </si>
  <si>
    <t>100799</t>
  </si>
  <si>
    <t>TUBO, PEX, MULTICAMADA, COM TUBO LUVA, DN 16, INSTALADO EM IMPLANTAÇÃO DE INSTALAÇÕES DE GÁS - FORNECIMENTO E INSTALAÇÃO. AF_01/2020</t>
  </si>
  <si>
    <t>100800</t>
  </si>
  <si>
    <t>TUBO, PEX, MULTICAMADA, COM TUBO LUVA, DN 20, INSTALADO EM IMPLANTAÇÃO DE INSTALAÇÕES DE GÁS - FORNECIMENTO E INSTALAÇÃO. AF_01/2020</t>
  </si>
  <si>
    <t>100801</t>
  </si>
  <si>
    <t>TUBO, PEX, MULTICAMADA, COM TUBO LUVA, DN 26, INSTALADO EM IMPLANTAÇÃO DE INSTALAÇÕES DE GÁS - FORNECIMENTO E INSTALAÇÃO. AF_01/2020</t>
  </si>
  <si>
    <t>100802</t>
  </si>
  <si>
    <t>TUBO, PEX, MULTICAMADA, COM TUBO LUVA, DN 32, INSTALADO EM IMPLANTAÇÃO DE INSTALAÇÕES DE GÁS - FORNECIMENTO E INSTALAÇÃO. AF_01/2020</t>
  </si>
  <si>
    <t>100807</t>
  </si>
  <si>
    <t>TUBO, PEX, MULTICAMADA, COM TUBO LUVA, DN 16, INSTALADO EM RAMAL INTERNO DE INSTALAÇÕES DE GÁS - FORNECIMENTO E INSTALAÇÃO. AF_01/2020</t>
  </si>
  <si>
    <t>100808</t>
  </si>
  <si>
    <t>TUBO, PEX, MULTICAMADA, COM TUBO LUVA, DN 20, INSTALADO EM RAMAL INTERNO DE INSTALAÇÕES DE GÁS - FORNECIMENTO E INSTALAÇÃO. AF_01/2020</t>
  </si>
  <si>
    <t>100809</t>
  </si>
  <si>
    <t>TUBO, PEX, MULTICAMADA, COM TUBO LUVA, DN 26, INSTALADO EM RAMAL INTERNO DE INSTALAÇÕES DE GÁS - FORNECIMENTO E INSTALAÇÃO. AF_01/2020</t>
  </si>
  <si>
    <t>100810</t>
  </si>
  <si>
    <t>TUBO, PEX, MULTICAMADA, COM TUBO LUVA, DN 32, INSTALADO EM RAMAL INTERNO DE INSTALAÇÕES DE GÁS - FORNECIMENTO E INSTALAÇÃO. AF_01/2020</t>
  </si>
  <si>
    <t>22,58</t>
  </si>
  <si>
    <t>89683</t>
  </si>
  <si>
    <t>95636</t>
  </si>
  <si>
    <t>KIT CAVALETE PARA MEDIÇÃO DE ÁGUA - ENTRADA PRINCIPAL, EM AÇO GALVANIZADO DN 25 (1 )   FORNECIMENTO E INSTALAÇÃO (EXCLUSIVE HIDRÔMETRO). AF_11/2016</t>
  </si>
  <si>
    <t>30,00</t>
  </si>
  <si>
    <t>12,22</t>
  </si>
  <si>
    <t>5,13</t>
  </si>
  <si>
    <t>Painel de TV em MDF</t>
  </si>
  <si>
    <t>cm3</t>
  </si>
  <si>
    <t>Demolição de forro</t>
  </si>
  <si>
    <t>Remoção de folha de porta e dobradiças / pivôs</t>
  </si>
  <si>
    <t>Fundo anticorrosivo e de aderência</t>
  </si>
  <si>
    <t>Instalação de rodapé/rodabanca reaproveitado(a), de mármore ou granito</t>
  </si>
  <si>
    <t>Assento para bacia convencional</t>
  </si>
  <si>
    <t>Cuba retangular em aço inox</t>
  </si>
  <si>
    <t>Tanque 38 litros</t>
  </si>
  <si>
    <t>Acabamento para registro GD</t>
  </si>
  <si>
    <t>Acabamento para registro PQ</t>
  </si>
  <si>
    <t>Ducha higiênica</t>
  </si>
  <si>
    <t>Ligação flexível 1/2” x 40 cm</t>
  </si>
  <si>
    <t>Sifão articulado para cozinha</t>
  </si>
  <si>
    <t>Sifão para tanque</t>
  </si>
  <si>
    <t>Torneira de mesa para cozinha bica móvel</t>
  </si>
  <si>
    <t>Torneira de mesa para lavatório bica alta</t>
  </si>
  <si>
    <t>Torneira de mesa para lavatório bica baixa</t>
  </si>
  <si>
    <t>Torneira de parede para cozinha</t>
  </si>
  <si>
    <t>Torneira de parede para tanque</t>
  </si>
  <si>
    <t>Válvula de escoamento para tanque</t>
  </si>
  <si>
    <t>Cabide</t>
  </si>
  <si>
    <t>Papeleira</t>
  </si>
  <si>
    <t>Porta toalha argola</t>
  </si>
  <si>
    <t>Porta toalha barra</t>
  </si>
  <si>
    <t>Escada duplo acesso 6 degraus</t>
  </si>
  <si>
    <t>Esquadro 300 mm</t>
  </si>
  <si>
    <t>Martelo tipo unha</t>
  </si>
  <si>
    <t>Rebitadeira manual</t>
  </si>
  <si>
    <t>Relógio de ponto biométrico</t>
  </si>
  <si>
    <t>Bota de PVC</t>
  </si>
  <si>
    <t>Dobradiça automática vidro/alvenaria para box de vidro temperado</t>
  </si>
  <si>
    <t>Graute industrializado, 50 MPa ≤ fck ≤ 60 MPa</t>
  </si>
  <si>
    <t>Tela de proteção para andaime</t>
  </si>
  <si>
    <t>Lastro em concreto magro</t>
  </si>
  <si>
    <t>Janela em alumínio</t>
  </si>
  <si>
    <t>Cotovelo de cobre de 1 3/8”</t>
  </si>
  <si>
    <t>Cotovelo de cobre de 1 5/8”</t>
  </si>
  <si>
    <t>Cotovelo de cobre de 7/8”</t>
  </si>
  <si>
    <t>Luva de cobre de 1 3/8”</t>
  </si>
  <si>
    <t>Luva de cobre de 1 5/8”</t>
  </si>
  <si>
    <t>Luva de cobre de 7/8”</t>
  </si>
  <si>
    <t>Tubo de cobre de 1 3/8”</t>
  </si>
  <si>
    <t>Tubo de cobre de 1 5/8”</t>
  </si>
  <si>
    <t>Granito Preto Absoluto para revestimento de superfícies internas e externas – Linha Administrativa</t>
  </si>
  <si>
    <t>Granito Arabesco para revestimento de superfícies internas e externas – Linha Administrativa</t>
  </si>
  <si>
    <t>Porcelanato para revestimento de superfícies internas e externas – Linha Residencial</t>
  </si>
  <si>
    <t>Lixamento, calafetação e aplicação de sinteco em piso de madeira – Linha Residencial</t>
  </si>
  <si>
    <t>Piso em taco de madeira – Linha Residencial</t>
  </si>
  <si>
    <t>Piso sintético flutuante – Linha Residencial</t>
  </si>
  <si>
    <t>Revestimento acústico perfilado – Linha Administrativa</t>
  </si>
  <si>
    <t>Revestimento acústico plano – Linha Administrativa</t>
  </si>
  <si>
    <t>Textura acrílica – Linha Administrativa</t>
  </si>
  <si>
    <t>Pintura com tinta látex acrílica Premium – cores especiais (sistema tintométrico)</t>
  </si>
  <si>
    <t>Jogo de chave allen longo métrico</t>
  </si>
  <si>
    <t>Talhadeira</t>
  </si>
  <si>
    <t>Exaustor para espaço confinado</t>
  </si>
  <si>
    <t>Veículo do tipo utilitário</t>
  </si>
  <si>
    <t>Acabamento para válvula de descarga 1 1/2" – Linha Acessibilidade</t>
  </si>
  <si>
    <t>Acabamento para válvula de descarga 1 1/2"</t>
  </si>
  <si>
    <t>Acabamento para válvula de descarga 1 1/4" – Linha Acessibilidade</t>
  </si>
  <si>
    <t>Acabamento para válvula de descarga 1 1/4"</t>
  </si>
  <si>
    <t>Válvula de escoamento para lavatório</t>
  </si>
  <si>
    <t>Condulete de alumínio de 1"</t>
  </si>
  <si>
    <t>Isolamento elastomérico para tubulações de cobre 1 5/8" / tubulações de ferro de 1 1/4"</t>
  </si>
  <si>
    <t>Isolamento elastomérico para tubulações de cobre 1 3/8" / tubulações de ferro de 1"</t>
  </si>
  <si>
    <t>Compressor de Ar</t>
  </si>
  <si>
    <t>Talabarte de Posicionamento</t>
  </si>
  <si>
    <t>Trava-quedas Deslizante Para Corda</t>
  </si>
  <si>
    <t>Tubo de cobre classe "E" 22 mm</t>
  </si>
  <si>
    <t>Tubo de cobre classe "E" 42 mm</t>
  </si>
  <si>
    <t>Armação de aço CA-50 bitolas de 10,0 mm a 12,5 mm</t>
  </si>
  <si>
    <t>Armação de aço CA-50 bitolas de 16,0 mm a 25,0 mm</t>
  </si>
  <si>
    <t>Bacia conforto (h=44 cm) – Linha Acessibilidade</t>
  </si>
  <si>
    <t>Mármore Branco Especial 20 mm argamassado (Ed. Principal e Anexo 1)</t>
  </si>
  <si>
    <t>Mármore Branco Especial 20 mm com inserts e argamassa (Ed. Principal e Anexo 1)</t>
  </si>
  <si>
    <t>Mármore Branco Especial 30 mm argamassado (Ed. Principal e Anexo 1)</t>
  </si>
  <si>
    <t>Mármore Branco Especial 30 mm com inserts e argamassa (Ed. Principal e Anexo 1)</t>
  </si>
  <si>
    <t>Instalação de placas de mármore 30 mm reaproveitadas em fixadores metálicos existentes (modelo Edifício Principal)</t>
  </si>
  <si>
    <t>BASE DE FUSÍVEL NH 00 ATÉ 160 A EM QUADRO DE DISTRIBUIÇÃO DE LUZ E FORÇA</t>
  </si>
  <si>
    <t>Pini 16.109.000300.MAT</t>
  </si>
  <si>
    <t>BASE DE FUSÍVEL NH 1 ATÉ 250 A EM QUADRO DE DISTRIBUIÇÃO DE LUZ E FORÇA</t>
  </si>
  <si>
    <t>Pini 16.109.000305.MAT</t>
  </si>
  <si>
    <t>BASE DE FUSÍVEL NH 2 ATÉ 400 A EM QUADRO DE DISTRIBUIÇÃO DE LUZ E FORÇA</t>
  </si>
  <si>
    <t>Pini 16.109.000310.MAT</t>
  </si>
  <si>
    <t>BASE DE FUSÍVEL NH 3 ATÉ 630 A EM QUADRO DE DISTRIBUIÇÃO DE FORÇA</t>
  </si>
  <si>
    <t>Pini 16.109.000315.MAT</t>
  </si>
  <si>
    <t>Pini 16.004.000075.MAT</t>
  </si>
  <si>
    <t>FUSÍVEL RETARDADO NH 00 COM INDICADOR DE TOPO 125 A</t>
  </si>
  <si>
    <t>Pini 16.004.000076.MAT</t>
  </si>
  <si>
    <t>FUSÍVEL RETARDADO NH 01 COM INDICADOR DE TOPO 250 A</t>
  </si>
  <si>
    <t>Pini 16.004.000077.MAT</t>
  </si>
  <si>
    <t>FUSÍVEL RETARDADO NH 02 COM INDICADOR DE TOPO 400 A</t>
  </si>
  <si>
    <t>Pini 16.004.000078.MAT</t>
  </si>
  <si>
    <t>FUSÍVEL RETARDADO NH 03 COM INDICADOR DE TOPO 630 A</t>
  </si>
  <si>
    <t>Pini 16.015.000008.MAT</t>
  </si>
  <si>
    <t>CAIXA DE PASSAGEM EM CHAPA DE AÇO COM TAMPA APARAFUSADA 402 X 402 X 152 MM</t>
  </si>
  <si>
    <t>ABRACADEIRA TIPO COPO, DE 1"</t>
  </si>
  <si>
    <t>DIVISORIA EM GRANITO, COM DUAS FACES POLIDAS, CINZA ANDORINHA, E=  2,0 CM</t>
  </si>
  <si>
    <t>Pini 24.106.000100.MAT</t>
  </si>
  <si>
    <t>SOLVENTE PARA VERNIZ POLIURETANO</t>
  </si>
  <si>
    <t>VERNIZ POLIURETANO ALIFÁTICO BICOMPONENTE</t>
  </si>
  <si>
    <t>DIVISORIA EM GRANITO, COM DUAS FACES POLIDAS, TIPO ANDORINHA/ QUARTZ/ CASTELO/ CORUMBA OU OUTROS EQUIVALENTES DA REGIAO, E=  2,0 CM</t>
  </si>
  <si>
    <t>Pini 24.103.000070.MAT</t>
  </si>
  <si>
    <t>Mola Hidráulica de piso universal para portas de batente e portas vai-e-vem em aço inoxidável. Ref.: DORMA, modelo BTS 75V/R, com eixo intercambiável tipo "B"</t>
  </si>
  <si>
    <t>Impermeabilizante para mola hidráulica. Ref: Dorma SealProtect</t>
  </si>
  <si>
    <t xml:space="preserve">Tomada 10A para condulete alumínio para eletrodutos de 1’’, de sobrepor, com conexões e acessórios. </t>
  </si>
  <si>
    <t>Bloco autônomo de emergência com fluxo mínimo de 1000 lumens</t>
  </si>
  <si>
    <t>Cabo ethernet categoria 5e blindado (FTP)</t>
  </si>
  <si>
    <t>Cabo constituído por 12 fibras ópticas do tipo multimodo, LSZH</t>
  </si>
  <si>
    <t>Cabo de cobre para comunicação CANbus</t>
  </si>
  <si>
    <t>Cabo de cobre para comunicação padrão RS-485</t>
  </si>
  <si>
    <t>Cabo de potência, 8,7 kV / 15 kV, 95 mm²</t>
  </si>
  <si>
    <t>Cabo de potência, 8,7 kV / 15 kV, 240 mm²</t>
  </si>
  <si>
    <t>Distribuidor Interno Óptico Industrial para, no mínimo, 12 fibras</t>
  </si>
  <si>
    <t>ELETRODUTO/DUTO PEAD FLEXIVEL PAREDE SIMPLES, CORRUGACAO HELICOIDAL, COR PRETA, SEM ROSCA, DE 5",  PARA CABEAMENTO SUBTERRANEO (NBR 15715)</t>
  </si>
  <si>
    <t>Pini 16.111.000062.MAT</t>
  </si>
  <si>
    <t>Interruptor duplo para condulete alumínio para eletrodutos de 1’’, de sobrepor, com conexões e acessórios.</t>
  </si>
  <si>
    <t>Leito tipo semi-pesado 400 mm x 100 mm fabricado em aço galvanizado a fogo # 12/14</t>
  </si>
  <si>
    <t>Leito tipo semi-pesado 600 mm x 100 mm fabricado em aço galvanizado a fogo # 12/14</t>
  </si>
  <si>
    <t>Terminal para cabo de média tensão. Ref: Prysmian TM-20-120</t>
  </si>
  <si>
    <t>Terminal para cabo de média tensão. Ref: Prysmian TM-20-240</t>
  </si>
  <si>
    <t xml:space="preserve">Tomada 20A para condulete alumínio para eletrodutos de 1’’, de sobrepor, com conexões e acessórios. </t>
  </si>
  <si>
    <t>Haste de aterramento 3/4" x 3 m, tipo camada alta de cobre</t>
  </si>
  <si>
    <t>Leito tipo semi-pesado 800 mm x 100 mm fabricado em aço galvanizado a fogo # 12/14</t>
  </si>
  <si>
    <t>Mão francesa metálica dupla, com dois perfis 38 mm x 38 mm, L = 800 mm</t>
  </si>
  <si>
    <t>Pini 30.111.000310.SER</t>
  </si>
  <si>
    <t>Grelha pré-moldada de concreto para canaleta 35 x 60 x 5 cm</t>
  </si>
  <si>
    <t>Furo em concreto com broca de widia, utilizando martele elétrico Ø 3/8" profundidade 10 cm</t>
  </si>
  <si>
    <t>Pini 30.148.000150.SER</t>
  </si>
  <si>
    <t>POSTE CONICO CONTINUO EM ACO GALVANIZADO, RETO, BRACO SIMPLES, ENGASTADO,  H = 5 M</t>
  </si>
  <si>
    <t>Eletroduto PEAD 1 1/4" - fornecimento e instalação</t>
  </si>
  <si>
    <t>Adesivo de contato a base d'água</t>
  </si>
  <si>
    <t>Carpete em placa, para uso comercial, adequado para tráfego pesado, conforme especificações técnicas.</t>
  </si>
  <si>
    <t>Carpete em rolo, para uso comercial, adequado para tráfego pesado, conforme especificações técnicas.</t>
  </si>
  <si>
    <t>Graute epóxi fluido de alta resistência mecânica. Ref: Sikadur 42 BR.</t>
  </si>
  <si>
    <t>Obs.: considerando consumo de 2.000 kg/m³, conforme site do fabricante: https://bra.sika.com/pt/construcao/pisos-industriais/reparo-em-pisos/argamassa-epoxi/sikadur-42-br.html</t>
  </si>
  <si>
    <t xml:space="preserve">Condulete de alumínio de 2” </t>
  </si>
  <si>
    <t xml:space="preserve">Eletroduto de aço galvanizado de 3” </t>
  </si>
  <si>
    <t>3,10</t>
  </si>
  <si>
    <t>5,28</t>
  </si>
  <si>
    <t>6,37</t>
  </si>
  <si>
    <t>6,45</t>
  </si>
  <si>
    <t>2,12</t>
  </si>
  <si>
    <t>7,82</t>
  </si>
  <si>
    <t>3,96</t>
  </si>
  <si>
    <t>8,92</t>
  </si>
  <si>
    <t>13,25</t>
  </si>
  <si>
    <t>10,51</t>
  </si>
  <si>
    <t>19,28</t>
  </si>
  <si>
    <t>5,56</t>
  </si>
  <si>
    <t>102457</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</si>
  <si>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</si>
  <si>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</si>
  <si>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</si>
  <si>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</si>
  <si>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</si>
  <si>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</si>
  <si>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</si>
  <si>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</si>
  <si>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102521</t>
  </si>
  <si>
    <t>ARRASAMENTO MECÂNICO DE ESTACA BARRETE DE CONCRETO ARMADO, SEÇÃO DE 0,40 X 2,50 M. AF_05/2021</t>
  </si>
  <si>
    <t>102522</t>
  </si>
  <si>
    <t>ARRASAMENTO MECÂNICO DE ESTACA BARRETE DE CONCRETO ARMADO, SEÇÃO DE 0,60 X 2,50 M. AF_05/2021</t>
  </si>
  <si>
    <t>102523</t>
  </si>
  <si>
    <t>ARRASAMENTO MECÂNICO DE ESTACA BARRETE DE CONCRETO ARMADO, SEÇÃO DE 0,80 X 2,50 M. AF_05/2021</t>
  </si>
  <si>
    <t>22,04</t>
  </si>
  <si>
    <t>11,88</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</si>
  <si>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</si>
  <si>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</si>
  <si>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</si>
  <si>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</si>
  <si>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</si>
  <si>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</si>
  <si>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</si>
  <si>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</si>
  <si>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</si>
  <si>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</si>
  <si>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</si>
  <si>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</si>
  <si>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</si>
  <si>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</si>
  <si>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102473</t>
  </si>
  <si>
    <t>CONCRETO MAGRO PARA LASTRO, TRAÇO 1:4,5:4,5 (EM MASSA SECA DE CIMENTO/ AREIA MÉDIA/ SEIXO ROLADO) - PREPARO MECÂNICO COM BETONEIRA 400 L. AF_05/2021</t>
  </si>
  <si>
    <t>102474</t>
  </si>
  <si>
    <t>CONCRETO FCK = 15MPA, TRAÇO 1:3,4:3,4 (EM MASSA SECA DE CIMENTO/ AREIA MÉDIA/ SEIXO ROLADO) - PREPARO MECÂNICO COM BETONEIRA 400 L. AF_05/2021</t>
  </si>
  <si>
    <t>102475</t>
  </si>
  <si>
    <t>CONCRETO FCK = 20MPA, TRAÇO 1:2,6:2,9 (EM MASSA SECA DE CIMENTO/ AREIA MÉDIA/ SEIXO ROLADO) - PREPARO MECÂNICO COM BETONEIRA 400 L. AF_05/2021</t>
  </si>
  <si>
    <t>102476</t>
  </si>
  <si>
    <t>CONCRETO FCK = 25MPA, TRAÇO 1:2,2:2,5 (EM MASSA SECA DE CIMENTO/ AREIA MÉDIA/ SEIXO ROLADO) - PREPARO MECÂNICO COM BETONEIRA 400 L. AF_05/2021</t>
  </si>
  <si>
    <t>102477</t>
  </si>
  <si>
    <t>CONCRETO FCK = 30MPA, TRAÇO 1:1,9:2,3 (EM MASSA SECA DE CIMENTO/ AREIA MÉDIA/ SEIXO ROLADO) - PREPARO MECÂNICO COM BETONEIRA 400 L. AF_05/2021</t>
  </si>
  <si>
    <t>102478</t>
  </si>
  <si>
    <t>CONCRETO FCK = 40MPA, TRAÇO 1:1,4:1,8 (EM MASSA SECA DE CIMENTO/ AREIA MÉDIA/ SEIXO ROLADO) - PREPARO MECÂNICO COM BETONEIRA 400 L. AF_05/2021</t>
  </si>
  <si>
    <t>102479</t>
  </si>
  <si>
    <t>CONCRETO MAGRO PARA LASTRO, TRAÇO 1:4,5:4,5 (EM MASSA SECA DE CIMENTO/ AREIA MÉDIA/ SEIXO ROLADO) - PREPARO MECÂNICO COM BETONEIRA 600 L. AF_05/2021</t>
  </si>
  <si>
    <t>102480</t>
  </si>
  <si>
    <t>CONCRETO FCK = 15MPA, TRAÇO 1:3,4:3,4 (EM MASSA SECA DE CIMENTO/ AREIA MÉDIA/ SEIXO ROLADO) - PREPARO MECÂNICO COM BETONEIRA 600 L. AF_05/2021</t>
  </si>
  <si>
    <t>102481</t>
  </si>
  <si>
    <t>CONCRETO FCK = 20MPA, TRAÇO 1:2,6:2,9 (EM MASSA SECA DE CIMENTO/ AREIA MÉDIA/ SEIXO ROLADO) - PREPARO MECÂNICO COM BETONEIRA 600 L. AF_05/2021</t>
  </si>
  <si>
    <t>102482</t>
  </si>
  <si>
    <t>CONCRETO FCK = 25MPA, TRAÇO 1:2,2:2,5 (EM MASSA SECA DE CIMENTO/ AREIA MÉDIA/ SEIXO ROLADO) - PREPARO MECÂNICO COM BETONEIRA 600 L. AF_05/2021</t>
  </si>
  <si>
    <t>102483</t>
  </si>
  <si>
    <t>CONCRETO FCK = 30MPA, TRAÇO 1:1,9:2,3 (EM MASSA SECA DE CIMENTO/ AREIA MÉDIA/ SEIXO ROLADO) - PREPARO MECÂNICO COM BETONEIRA 600 L. AF_05/2021</t>
  </si>
  <si>
    <t>102484</t>
  </si>
  <si>
    <t>CONCRETO FCK = 40MPA, TRAÇO 1:1,4:1,8 (EM MASSA SECA DE CIMENTO/ AREIA MÉDIA/ SEIXO ROLADO) - PREPARO MECÂNICO COM BETONEIRA 600 L. AF_05/2021</t>
  </si>
  <si>
    <t>102485</t>
  </si>
  <si>
    <t>CONCRETO MAGRO PARA LASTRO, TRAÇO 1:4,5:4,5 (EM MASSA SECA DE CIMENTO/ AREIA MÉDIA/ SEIXO ROLADO) - PREPARO MANUAL. AF_05/2021</t>
  </si>
  <si>
    <t>102486</t>
  </si>
  <si>
    <t>CONCRETO FCK = 15MPA, TRAÇO 1:3,4:3,4 (EM MASSA SECA DE CIMENTO/ AREIA MÉDIA/ SEIXO ROLADO) - PREPARO MANUAL. AF_05/2021</t>
  </si>
  <si>
    <t>102487</t>
  </si>
  <si>
    <t>CONCRETO CICLÓPICO FCK = 15MPA, 30% PEDRA DE MÃO EM VOLUME REAL, INCLUSIVE LANÇAMENTO. AF_05/2021</t>
  </si>
  <si>
    <t>15,42</t>
  </si>
  <si>
    <t>6,96</t>
  </si>
  <si>
    <t>11,86</t>
  </si>
  <si>
    <t>8,68</t>
  </si>
  <si>
    <t>13,17</t>
  </si>
  <si>
    <t>13,87</t>
  </si>
  <si>
    <t>13,04</t>
  </si>
  <si>
    <t>3,01</t>
  </si>
  <si>
    <t>12,69</t>
  </si>
  <si>
    <t>4,76</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</si>
  <si>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</si>
  <si>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</si>
  <si>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</si>
  <si>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</si>
  <si>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</si>
  <si>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</si>
  <si>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</si>
  <si>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</si>
  <si>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</si>
  <si>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</si>
  <si>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</si>
  <si>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</si>
  <si>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</si>
  <si>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</si>
  <si>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</si>
  <si>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</si>
  <si>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</si>
  <si>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</si>
  <si>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</si>
  <si>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</si>
  <si>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</si>
  <si>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</si>
  <si>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</si>
  <si>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</si>
  <si>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</si>
  <si>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</si>
  <si>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</si>
  <si>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</si>
  <si>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</si>
  <si>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</si>
  <si>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</si>
  <si>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</si>
  <si>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</si>
  <si>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</si>
  <si>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</si>
  <si>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</si>
  <si>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</si>
  <si>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</si>
  <si>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</si>
  <si>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</si>
  <si>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</si>
  <si>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</si>
  <si>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</si>
  <si>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</si>
  <si>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</si>
  <si>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</si>
  <si>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</si>
  <si>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19,05</t>
  </si>
  <si>
    <t>102488</t>
  </si>
  <si>
    <t>PREPARO DO PISO CIMENTADO PARA PINTURA - LIXAMENTO E LIMPEZA. AF_05/2021</t>
  </si>
  <si>
    <t>102489</t>
  </si>
  <si>
    <t>PINTURA HIDROFUGANTE COM SILICONE, APLICAÇÃO MANUAL, 2 DEMÃOS. AF_05/2021</t>
  </si>
  <si>
    <t>102491</t>
  </si>
  <si>
    <t>PINTURA DE PISO COM TINTA ACRÍLICA, APLICAÇÃO MANUAL, 2 DEMÃOS, INCLUSO FUNDO PREPARADOR. AF_05/2021</t>
  </si>
  <si>
    <t>102492</t>
  </si>
  <si>
    <t>PINTURA DE PISO COM TINTA ACRÍLICA, APLICAÇÃO MANUAL, 3 DEMÃOS, INCLUSO FUNDO PREPARADOR. AF_05/2021</t>
  </si>
  <si>
    <t>102494</t>
  </si>
  <si>
    <t>PINTURA DE PISO COM TINTA EPÓXI, APLICAÇÃO MANUAL, 2 DEMÃOS, INCLUSO PRIMER EPÓXI. AF_05/2021</t>
  </si>
  <si>
    <t>102496</t>
  </si>
  <si>
    <t>PINTURA DE RODAPÉ COM TINTA EPÓXI, APLICAÇÃO MANUAL, 2 DEMÃOS, INCLUSÃO PRIMER EPÓXI. AF_05/2021</t>
  </si>
  <si>
    <t>102497</t>
  </si>
  <si>
    <t>PINTURA DE RODAPÉ EM PEDRA DECORATIVA COM VERNIZ DE POLIURETANO, APLICAÇÃO MANUAL, 3 DEMÃOS. AF_05/2021</t>
  </si>
  <si>
    <t>102498</t>
  </si>
  <si>
    <t>PINTURA DE MEIO-FIO COM TINTA BRANCA A BASE DE CAL (CAIAÇÃO). AF_05/2021</t>
  </si>
  <si>
    <t>102499</t>
  </si>
  <si>
    <t>ENCERAMENTO DE PISO EM MADEIRA. AF_05/2021</t>
  </si>
  <si>
    <t>102500</t>
  </si>
  <si>
    <t>PINTURA DE DEMARCAÇÃO DE VAGA COM TINTA ACRÍLICA, E = 10 CM, APLICAÇÃO MANUAL. AF_05/2021</t>
  </si>
  <si>
    <t>102501</t>
  </si>
  <si>
    <t>PINTURA DE FAIXA DE PEDESTRE OU ZEBRADA COM TINTA ACRÍLICA, E  = 30 CM, APLICAÇÃO MANUAL. AF_05/2021</t>
  </si>
  <si>
    <t>102504</t>
  </si>
  <si>
    <t>PINTURA DE DEMARCAÇÃO DE QUADRA POLIESPORTIVA COM TINTA ACRÍLICA, E = 5 CM, APLICAÇÃO MANUAL. AF_05/2021</t>
  </si>
  <si>
    <t>102505</t>
  </si>
  <si>
    <t>PINTURA DE DEMARCAÇÃO DE QUADRA POLIESPORTIVA COM BORRACHA CLORADA, E = 5 CM, APLICAÇÃO MANUAL. AF_05/2021</t>
  </si>
  <si>
    <t>102506</t>
  </si>
  <si>
    <t>PINTURA DE DEMARCAÇÃO DE QUADRA POLIESPORTIVA COM TINTA EPÓXI, E = 5 CM, APLICAÇÃO MANUAL. AF_05/2021</t>
  </si>
  <si>
    <t>102507</t>
  </si>
  <si>
    <t>PINTURA DE DEMARCAÇÃO DE VAGA COM TINTA EPÓXI, E = 10 CM, APLICAÇÃO MANUAL. AF_05/2021</t>
  </si>
  <si>
    <t>102508</t>
  </si>
  <si>
    <t>PINTURA DE FAIXA DE PEDESTRE OU ZEBRADA COM TINTA EPÓXI, E  = 30 CM, APLICAÇÃO MANUAL. AF_05/2021</t>
  </si>
  <si>
    <t>102509</t>
  </si>
  <si>
    <t>PINTURA DE FAIXA DE PEDESTRE OU ZEBRADA TINTA RETRORREFLETIVA A BASE DE RESINA ACRÍLICA COM MICROESFERAS DE VIDRO, E = 30 CM, APLICAÇÃO MANUAL. AF_05/2021</t>
  </si>
  <si>
    <t>102512</t>
  </si>
  <si>
    <t>PINTURA DE EIXO VIÁRIO SOBRE ASFALTO COM TINTA RETRORREFLETIVA A BASE DE RESINA ACRÍLICA COM MICROESFERAS DE VIDRO, APLICAÇÃO MECÂNICA COM DEMARCADORA AUTOPROPELIDA. AF_05/2021</t>
  </si>
  <si>
    <t>102513</t>
  </si>
  <si>
    <t>PINTURA DE SÍMBOLOS E TEXTOS COM TINTA ACRÍLICA, DEMARCAÇÃO COM FITA ADESIVA E APLICAÇÃO COM ROLO. AF_05/2021</t>
  </si>
  <si>
    <t>102520</t>
  </si>
  <si>
    <t>PINTURA DE SINALIZAÇÃO VERTICAL DE SEGURANÇA, FAIXAS AMARELA E PRETA, APLICAÇÃO MANUAL, 2 DEMÃOS. AF_05/2021</t>
  </si>
  <si>
    <t>10,24</t>
  </si>
  <si>
    <t>8,13</t>
  </si>
  <si>
    <t>5,38</t>
  </si>
  <si>
    <t>3,44</t>
  </si>
  <si>
    <t>7,06</t>
  </si>
  <si>
    <t>11,57</t>
  </si>
  <si>
    <t>7,23</t>
  </si>
  <si>
    <t>21,07</t>
  </si>
  <si>
    <t>7,73</t>
  </si>
  <si>
    <t>11,23</t>
  </si>
  <si>
    <t>14,25</t>
  </si>
  <si>
    <t>3,84</t>
  </si>
  <si>
    <t>23,25</t>
  </si>
  <si>
    <t>2,26</t>
  </si>
  <si>
    <t>19,52</t>
  </si>
  <si>
    <t>94277</t>
  </si>
  <si>
    <t>ASSENTAMENTO DE GUIA (MEIO-FIO) EM TRECHO RETO, CONFECCIONADA EM CONCRETO PRÉ-FABRICADO, DIMENSÕES 80X08X08X25 CM (COMPRIMENTO X BASE INFERIOR X BASE SUPERIOR X ALTURA), PARA URBANIZAÇÃO INTERNA DE EMPREENDIMENTOS. AF_06/2016</t>
  </si>
  <si>
    <t>94278</t>
  </si>
  <si>
    <t>ASSENTAMENTO DE GUIA (MEIO-FIO) EM TRECHO CURVO, CONFECCIONADA EM CONCRETO PRÉ-FABRICADO, DIMENSÕES 80X08X08X25 CM (COMPRIMENTO X BASE INFERIOR X BASE SUPERIOR X ALTURA), PARA URBANIZAÇÃO INTERNA DE EMPREENDIMENTOS. AF_06/2016</t>
  </si>
  <si>
    <t>94279</t>
  </si>
  <si>
    <t>ASSENTAMENTO DE GUIA (MEIO-FIO) EM TRECHO RETO, CONFECCIONADA EM CONCRETO PRÉ-FABRICADO, DIMENSÕES 39X6,5X6,5X19 CM (COMPRIMENTO X BASE INFERIOR X BASE SUPERIOR X ALTURA), PARA DELIMITAÇÃO DE JARDINS, PRAÇAS OU PASSEIOS. AF_05/2016</t>
  </si>
  <si>
    <t>94280</t>
  </si>
  <si>
    <t>ASSENTAMENTO DE GUIA (MEIO-FIO) EM TRECHO CURVO, CONFECCIONADA EM CONCRETO PRÉ-FABRICADO, DIMENSÕES 39X6,5X6,5X19 CM (COMPRIMENTO X BASE INFERIOR X BASE SUPERIOR X ALTURA), PARA DELIMITAÇÃO DE JARDINS, PRAÇAS OU PASSEIOS. AF_05/2016</t>
  </si>
  <si>
    <t>14,34</t>
  </si>
  <si>
    <t>22,83</t>
  </si>
  <si>
    <t>102587</t>
  </si>
  <si>
    <t>FURO EM CAIXA D'ÁGUA COM ESPESSURA DE 2 ATÉ 5 MM E DIÂMETRO DE 15 MM. AF_06/2021</t>
  </si>
  <si>
    <t>102588</t>
  </si>
  <si>
    <t>FURO EM CAIXA D'ÁGUA COM ESPESSURA DE 6 ATÉ 8 MM E DIÂMETRO DE 15 MM. AF_06/2021</t>
  </si>
  <si>
    <t>102589</t>
  </si>
  <si>
    <t>FURO EM CAIXA D'ÁGUA COM ESPESSURA DE 2 ATÉ 5 MM E DIÂMETRO DE 20 MM. AF_06/2021</t>
  </si>
  <si>
    <t>102590</t>
  </si>
  <si>
    <t>FURO EM CAIXA D'ÁGUA COM ESPESSURA DE 6 ATÉ 8 MM E DIÂMETRO DE 20 MM. AF_06/2021</t>
  </si>
  <si>
    <t>102591</t>
  </si>
  <si>
    <t>FURO EM CAIXA D'ÁGUA COM ESPESSURA DE 2 ATÉ 5 MM E DIÂMETRO DE 25 MM. AF_06/2021</t>
  </si>
  <si>
    <t>102592</t>
  </si>
  <si>
    <t>FURO EM CAIXA D'ÁGUA COM ESPESSURA DE 6 ATÉ 8 MM E DIÂMETRO DE 25 MM. AF_06/2021</t>
  </si>
  <si>
    <t>102593</t>
  </si>
  <si>
    <t>FURO EM CAIXA D'ÁGUA COM ESPESSURA DE 2 ATÉ 5 MM E DIÂMETRO DE 32 MM. AF_06/2021</t>
  </si>
  <si>
    <t>102594</t>
  </si>
  <si>
    <t>FURO EM CAIXA D'ÁGUA COM ESPESSURA DE 6 ATÉ 8 MM E DIÂMETRO DE 32 MM. AF_06/2021</t>
  </si>
  <si>
    <t>102595</t>
  </si>
  <si>
    <t>FURO EM CAIXA D'ÁGUA COM ESPESSURA DE 2 ATÉ 5 MM E DIÂMETRO DE 40 MM. AF_06/2021</t>
  </si>
  <si>
    <t>102596</t>
  </si>
  <si>
    <t>FURO EM CAIXA D'ÁGUA COM ESPESSURA DE 6 ATÉ 8 MM E DIÂMETRO DE 40 MM. AF_06/2021</t>
  </si>
  <si>
    <t>102597</t>
  </si>
  <si>
    <t>FURO EM CAIXA D'ÁGUA COM ESPESSURA DE 2 ATÉ 5 MM E DIÂMETRO DE 50 MM. AF_06/2021</t>
  </si>
  <si>
    <t>102598</t>
  </si>
  <si>
    <t>FURO EM CAIXA D'ÁGUA COM ESPESSURA DE 6 ATÉ 8 MM E DIÂMETRO DE 50 MM. AF_06/2021</t>
  </si>
  <si>
    <t>102599</t>
  </si>
  <si>
    <t>FURO EM CAIXA D'ÁGUA COM ESPESSURA DE 2 ATÉ 5 MM E DIÂMETRO DE 60 MM. AF_06/2021</t>
  </si>
  <si>
    <t>102600</t>
  </si>
  <si>
    <t>FURO EM CAIXA D'ÁGUA COM ESPESSURA DE 6 ATÉ 8 MM E DIÂMETRO DE 60 MM. AF_06/2021</t>
  </si>
  <si>
    <t>102601</t>
  </si>
  <si>
    <t>FURO EM CAIXA D'ÁGUA COM ESPESSURA DE 2 ATÉ 5 MM E DIÂMETRO DE 75 MM. AF_06/2021</t>
  </si>
  <si>
    <t>102602</t>
  </si>
  <si>
    <t>FURO EM CAIXA D'ÁGUA COM ESPESSURA DE 6 ATÉ 8 MM E DIÂMETRO DE 75 MM. AF_06/2021</t>
  </si>
  <si>
    <t>102603</t>
  </si>
  <si>
    <t>FURO EM CAIXA D'ÁGUA COM ESPESSURA DE 2 ATÉ 5 MM E DIÂMETRO DE 100 MM. AF_06/2021</t>
  </si>
  <si>
    <t>102604</t>
  </si>
  <si>
    <t>FURO EM CAIXA D'ÁGUA COM ESPESSURA DE 6 ATÉ 8 MM E DIÂMETRO DE 100 MM. AF_06/2021</t>
  </si>
  <si>
    <t>102605</t>
  </si>
  <si>
    <t>CAIXA D´ÁGUA EM POLIETILENO, 500 LITROS - FORNECIMENTO E INSTALAÇÃO. AF_06/2021</t>
  </si>
  <si>
    <t>102606</t>
  </si>
  <si>
    <t>CAIXA D´ÁGUA EM POLIETILENO, 750 LITROS - FORNECIMENTO E INSTALAÇÃO. AF_06/2021</t>
  </si>
  <si>
    <t>102607</t>
  </si>
  <si>
    <t>CAIXA D´ÁGUA EM POLIETILENO, 1000 LITROS - FORNECIMENTO E INSTALAÇÃO. AF_06/2021</t>
  </si>
  <si>
    <t>102608</t>
  </si>
  <si>
    <t>CAIXA D´ÁGUA EM POLIETILENO, 1500 LITROS - FORNECIMENTO E INSTALAÇÃO. AF_06/2021</t>
  </si>
  <si>
    <t>102609</t>
  </si>
  <si>
    <t>CAIXA D´ÁGUA EM POLIETILENO, 2000 LITROS - FORNECIMENTO E INSTALAÇÃO. AF_06/2021</t>
  </si>
  <si>
    <t>102611</t>
  </si>
  <si>
    <t>CAIXA D´ÁGUA EM POLIÉSTER REFORÇADO COM FIBRA DE VIDRO, 500 LITROS - FORNECIMENTO E INSTALAÇÃO. AF_06/2021</t>
  </si>
  <si>
    <t>102613</t>
  </si>
  <si>
    <t>CAIXA D´ÁGUA EM POLIÉSTER REFORÇADO COM FIBRA DE VIDRO, 1000 LITROS - FORNECIMENTO E INSTALAÇÃO. AF_06/2021</t>
  </si>
  <si>
    <t>102614</t>
  </si>
  <si>
    <t>CAIXA D´ÁGUA EM POLIÉSTER REFORÇADO COM FIBRA DE VIDRO, 1500 LITROS - FORNECIMENTO E INSTALAÇÃO. AF_06/2021</t>
  </si>
  <si>
    <t>102615</t>
  </si>
  <si>
    <t>CAIXA D´ÁGUA EM POLIÉSTER REFORÇADO COM FIBRA DE VIDRO, 2000 LITROS - FORNECIMENTO E INSTALAÇÃO. AF_06/2021</t>
  </si>
  <si>
    <t>102617</t>
  </si>
  <si>
    <t>CAIXA D´ÁGUA EM POLIÉSTER REFORÇADO COM FIBRA DE VIDRO, 5000 LITROS - FORNECIMENTO E INSTALAÇÃO. AF_06/2021</t>
  </si>
  <si>
    <t>102619</t>
  </si>
  <si>
    <t>CAIXA D´ÁGUA EM POLIÉSTER REFORÇADO COM FIBRA DE VIDRO, 10000 LITROS - FORNECIMENTO E INSTALAÇÃO. AF_06/2021</t>
  </si>
  <si>
    <t>102622</t>
  </si>
  <si>
    <t>CAIXA D´ÁGUA EM POLIETILENO, 500 LITROS (INCLUSOS TUBOS, CONEXÕES E TORNEIRA DE BÓIA) - FORNECIMENTO E INSTALAÇÃO. AF_06/2021</t>
  </si>
  <si>
    <t>102623</t>
  </si>
  <si>
    <t>CAIXA D´ÁGUA EM POLIETILENO, 1000 LITROS (INCLUSOS TUBOS, CONEXÕES E TORNEIRA DE BÓIA) - FORNECIMENTO E INSTALAÇÃO. AF_06/2021</t>
  </si>
  <si>
    <t>14,03</t>
  </si>
  <si>
    <t>100723</t>
  </si>
  <si>
    <t>14,98</t>
  </si>
  <si>
    <t>102568</t>
  </si>
  <si>
    <t>CARGA, MANOBRA E DESCARGA MANUAL DE TUBOS PLÁSTICOS, DN 150 MM, EM CAMINHÃO CARROCERIA 9T. AF_06/2021</t>
  </si>
  <si>
    <t>12,13</t>
  </si>
  <si>
    <t>5,51</t>
  </si>
  <si>
    <t>16,55</t>
  </si>
  <si>
    <t>14,28</t>
  </si>
  <si>
    <t>10,34</t>
  </si>
  <si>
    <t>6,42</t>
  </si>
  <si>
    <t>2,40</t>
  </si>
  <si>
    <t>8,47</t>
  </si>
  <si>
    <t>17,38</t>
  </si>
  <si>
    <t>3,31</t>
  </si>
  <si>
    <t>2,33</t>
  </si>
  <si>
    <t>2,53</t>
  </si>
  <si>
    <t>13,32</t>
  </si>
  <si>
    <t>8,55</t>
  </si>
  <si>
    <t>26,26</t>
  </si>
  <si>
    <t>3,17</t>
  </si>
  <si>
    <t>5,99</t>
  </si>
  <si>
    <t>16,10</t>
  </si>
  <si>
    <t>9,90</t>
  </si>
  <si>
    <t>6,54</t>
  </si>
  <si>
    <t>102661</t>
  </si>
  <si>
    <t>DRENO SUBSUPERFICIAL (SEÇÃO 0,40 X 0,40 M), COM TUBO DE PEAD CORRUGADO PERFURADO, DN 100 MM, ENCHIMENTO COM AREIA. AF_07/2021</t>
  </si>
  <si>
    <t>102663</t>
  </si>
  <si>
    <t>DRENO SUBSUPERFICIAL (SEÇÃO 0,40 X 0,40 M), COM TUBO DE CONCRETO SIMPLES POROSO, DN 200 MM, ENCHIMENTO COM AREIA. AF_07/2021</t>
  </si>
  <si>
    <t>102664</t>
  </si>
  <si>
    <t>DRENO SUBSUPERFICIAL (SEÇÃO 0,40 X 0,40 M), CEGO, ENCHIMENTO DE BRITA, ENVOLVIDO COM MANTA GEOTÊXTIL. AF_07/2021</t>
  </si>
  <si>
    <t>102665</t>
  </si>
  <si>
    <t>DRENO SUBSUPERFICIAL (SEÇÃO 0,40 X 0,40 M), CEGO, ENCHIMENTO DE BRITA. AF_07/2021</t>
  </si>
  <si>
    <t>102666</t>
  </si>
  <si>
    <t>DRENO SUBSUPERFICIAL (SEÇÃO 0,40 X 0,40 M), COM TUBO DE PEAD CORRUGADO PERFURADO, DN 100 MM, ENCHIMENTO COM BRITA, ENVOLVIDO COM MANTA GEOTÊXTIL. AF_07/2021</t>
  </si>
  <si>
    <t>102669</t>
  </si>
  <si>
    <t>DRENO SUBSUPERFICIAL (SEÇÃO 0,40 X 0,40 M), COM TUBO DE CONCRETO SIMPLES POROSO, DN 200 MM, ENCHIMENTO COM BRITA, ENVOLVIDO COM MANTA GEOTÊXTIL. AF_07/2021</t>
  </si>
  <si>
    <t>102670</t>
  </si>
  <si>
    <t>DRENO PROFUNDO (SEÇÃO 0,50 X 1,50 M), COM TUBO DE PEAD CORRUGADO PERFURADO, DN 100 MM, ENCHIMENTO COM AREIA, COM SELO DE ARGILA. AF_07/2021</t>
  </si>
  <si>
    <t>102673</t>
  </si>
  <si>
    <t>DRENO PROFUNDO (SEÇÃO 0,50 X 1,50 M), COM TUBO DE CONCRETO SIMPLES POROSO, DN 200 MM, ENCHIMENTO COM AREIA, COM SELO DE ARGILA. AF_07/2021</t>
  </si>
  <si>
    <t>102674</t>
  </si>
  <si>
    <t>DRENO PROFUNDO (SEÇÃO 0,50 X 1,50 M), COM TUBO DE PEAD CORRUGADO PERFURADO, DN 100 MM, ENCHIMENTO COM AREIA. AF_07/2021</t>
  </si>
  <si>
    <t>102677</t>
  </si>
  <si>
    <t>DRENO PROFUNDO (SEÇÃO 0,50 X 1,50 M), COM TUBO DE CONCRETO SIMPLES POROSO, DN 200 MM, ENCHIMENTO COM AREIA. AF_07/2021</t>
  </si>
  <si>
    <t>102678</t>
  </si>
  <si>
    <t>DRENO PROFUNDO (SEÇÃO 0,50 X 1,50 M), CEGO, ENCHIMENTO DE BRITA, ENVOLVIDO COM MANTA GEOTÊXTIL, COM SELO DE ARGILA. AF_07/2021</t>
  </si>
  <si>
    <t>102679</t>
  </si>
  <si>
    <t>DRENO PROFUNDO (SEÇÃO 0,50 X 1,50 M), CEGO, ENCHIMENTO DE BRITA, ENVOLVIDO COM MANTA GEOTÊXTIL. AF_07/2021</t>
  </si>
  <si>
    <t>102680</t>
  </si>
  <si>
    <t>DRENO PROFUNDO (SEÇÃO 0,50 X 1,50 M), COM TUBO DE PEAD CORRUGADO PERFURADO, DN 100 MM, ENCHIMENTO COM BRITA, ENVOLVIDO COM MANTA GEOTÊXTIL, COM SELO DE ARGILA. AF_07/2021</t>
  </si>
  <si>
    <t>102683</t>
  </si>
  <si>
    <t>DRENO PROFUNDO (SEÇÃO 0,50 X 1,50 M), COM TUBO DE CONCRETO SIMPLES POROSO, DN 200 MM, ENCHIMENTO COM BRITA, ENVOLVIDO COM MANTA GEOTÊXTIL, COM SELO DE ARGILA. AF_07/2021</t>
  </si>
  <si>
    <t>102684</t>
  </si>
  <si>
    <t>DRENO PROFUNDO (SEÇÃO 0,50 X 1,50 M), COM TUBO DE PEAD CORRUGADO PERFURADO, DN 100 MM, ENCHIMENTO COM BRITA, ENVOLVIDO COM MANTA GEOTÊXTIL. AF_07/2021</t>
  </si>
  <si>
    <t>102687</t>
  </si>
  <si>
    <t>DRENO PROFUNDO (SEÇÃO 0,50 X 1,50 M), COM TUBO DE CONCRETO SIMPLES POROSO, DN 200 MM, ENCHIMENTO COM BRITA, ENVOLVIDO COM MANTA GEOTÊXTIL. AF_07/2021</t>
  </si>
  <si>
    <t>102688</t>
  </si>
  <si>
    <t>DRENO ESPINHA DE PEIXE (SEÇÃO (0,40 X 0,40 M), COM TUBO DE PEAD CORRUGADO PERFURADO, DN 100 MM, ENCHIMENTO COM AREIA, INCLUSIVE CONEXÕES. AF_07/2021</t>
  </si>
  <si>
    <t>102690</t>
  </si>
  <si>
    <t>DRENO ESPINHA DE PEIXE (SEÇÃO (0,40 X 0,40 M), COM TUBO DE PEAD CORRUGADO PERFURADO, DN 100 MM, ENCHIMENTO COM BRITA, ENVOLVIDO COM MANTA GEOTÊXTIL, INCLUSIVE CONEXÕES. AF_07/2021</t>
  </si>
  <si>
    <t>102694</t>
  </si>
  <si>
    <t>DRENO ESPINHA DE PEIXE (SEÇÃO (0,50 X 0,80 M), COM TUBO DE PEAD CORRUGADO PERFURADO, DN 100 MM, ENCHIMENTO COM AREIA, INCLUSIVE CONEXÕES. AF_07/2021</t>
  </si>
  <si>
    <t>102697</t>
  </si>
  <si>
    <t>DRENO ESPINHA DE PEIXE (SEÇÃO (0,50 X 0,80 M), COM TUBO DE PEAD CORRUGADO PERFURADO, DN 100 MM, ENCHIMENTO COM BRITA, ENVOLVIDO COM MANTA GEOTÊXTIL, INCLUSIVE CONEXÕES. AF_07/2021</t>
  </si>
  <si>
    <t>102704</t>
  </si>
  <si>
    <t>TUBO DE PEAD CORRUGADO PERFURADO, DN 100 MM, PARA DRENO - FORNECIMENTO E ASSENTAMENTO. AF_07/2021</t>
  </si>
  <si>
    <t>102707</t>
  </si>
  <si>
    <t>TUBO DE CONCRETO SIMPLES POROSO, DN 200 MM, PARA DRENO - FORNECIMENTO E ASSENTAMENTO. AF_07/2021</t>
  </si>
  <si>
    <t>102708</t>
  </si>
  <si>
    <t>LUVA DE PVC, SÉRIE NORMAL, PARA ESGOTO PREDIAL, DN 100 MM, INSTALADA EM DRENO  - FORNECIMENTO E INSTALAÇÃO. AF_07/2021</t>
  </si>
  <si>
    <t>102710</t>
  </si>
  <si>
    <t>JUNÇÃO SIMPLES DE PVC, 45 GRAUS, SÉRIE NORMAL, PARA ESGOTO PREDIAL, DN 100 MM, INSTALADA EM DRENO - FORNECIMENTO E INSTALAÇÃO. AF_07/2021</t>
  </si>
  <si>
    <t>102711</t>
  </si>
  <si>
    <t>JUNÇÃO DUPLA DE PVC, SÉRIE NORMAL, PARA ESGOTO PREDIAL, DN 100 X 100 X 100 MM, INSTALADA EM DRENO  - FORNECIMENTO E INSTALAÇÃO. AF_07/2021</t>
  </si>
  <si>
    <t>102712</t>
  </si>
  <si>
    <t>GEOTÊXTIL NÃO TECIDO 100% POLIÉSTER, RESISTÊNCIA A TRAÇÃO DE 9 KN/M (RT - 9), INSTALADO EM DRENO - FORNECIMENTO E INSTALAÇÃO. AF_07/2021</t>
  </si>
  <si>
    <t>102713</t>
  </si>
  <si>
    <t>GEOTÊXTIL NÃO TECIDO 100% POLIÉSTER, RESISTÊNCIA A TRAÇÃO DE 14 KN/M (RT - 14), INSTALADO EM DRENO - FORNECIMENTO E INSTALAÇÃO. AF_07/2021</t>
  </si>
  <si>
    <t>102715</t>
  </si>
  <si>
    <t>GEOTÊXTIL NÃO TECIDO 100% POLIÉSTER, RESISTÊNCIA A TRAÇÃO DE 26 KN/M (RT - 26), INSTALADO EM DRENO - FORNECIMENTO E INSTALAÇÃO. AF_07/2021</t>
  </si>
  <si>
    <t>102716</t>
  </si>
  <si>
    <t>ENCHIMENTO DE AREIA PARA DRENO, LANÇAMENTO MECANIZADO. AF_07/2021</t>
  </si>
  <si>
    <t>102717</t>
  </si>
  <si>
    <t>ENCHIMENTO DE BRITA PARA DRENO, LANÇAMENTO MECANIZADO. AF_07/2021</t>
  </si>
  <si>
    <t>102718</t>
  </si>
  <si>
    <t>ENCHIMENTO DE AREIA PARA DRENO, LANÇAMENTO MANUAL. AF_07/2021</t>
  </si>
  <si>
    <t>102719</t>
  </si>
  <si>
    <t>ENCHIMENTO DE BRITA PARA DRENO, LANÇAMENTO MANUAL. AF_07/2021</t>
  </si>
  <si>
    <t>102722</t>
  </si>
  <si>
    <t>DRENO EM MURO DE CONTENÇÃO, EXECUTADO NO PÉ DO MURO, COM TUBO DE PEAD CORRUGADO FLEXÍVEL PERFURADO, ENCHIMENTO COM BRITA, ENVOLVIDO COM MANTA GEOTÊXTIL. AF_07/2021</t>
  </si>
  <si>
    <t>102723</t>
  </si>
  <si>
    <t>DRENO EM MURO DE CONTENÇÃO, EXECUTADO NO PÉ DO MURO, COM TUBO DE PVC CORRUGADO FLEXÍVEL PERFURADO, ENCHIMENTO COM BRITA, ENVOLVIDO COM MANTA GEOTÊXTIL. AF_07/2021</t>
  </si>
  <si>
    <t>102724</t>
  </si>
  <si>
    <t>DRENO BARBACÃ, DN 100 MM, COM MATERIAL DRENANTE. AF_07/2021</t>
  </si>
  <si>
    <t>102725</t>
  </si>
  <si>
    <t>DRENO BARBACÃ, DN 75 MM, COM MATERIAL DRENANTE. AF_07/2021</t>
  </si>
  <si>
    <t>102726</t>
  </si>
  <si>
    <t>DRENO BARBACÃ, DN 50 MM, COM MATERIAL DRENANTE. AF_07/2021</t>
  </si>
  <si>
    <t>102989</t>
  </si>
  <si>
    <t>CANALETA MEIA CANA PRÉ-MOLDADA DE CONCRETO (D = 20 CM) - FORNECIMENTO E INSTALAÇÃO. AF_08/2021</t>
  </si>
  <si>
    <t>102990</t>
  </si>
  <si>
    <t>CANALETA MEIA CANA PRÉ-MOLDADA DE CONCRETO (D = 30 CM) - FORNECIMENTO E INSTALAÇÃO. AF_08/2021</t>
  </si>
  <si>
    <t>102991</t>
  </si>
  <si>
    <t>CANALETA MEIA CANA PRÉ-MOLDADA DE CONCRETO (D = 40 CM) - FORNECIMENTO E INSTALAÇÃO. AF_08/2021</t>
  </si>
  <si>
    <t>102992</t>
  </si>
  <si>
    <t>CANALETA MEIA CANA PRÉ-MOLDADA DE CONCRETO (D = 50 CM) - FORNECIMENTO E INSTALAÇÃO. AF_08/2021</t>
  </si>
  <si>
    <t>102993</t>
  </si>
  <si>
    <t>CANALETA MEIA CANA PRÉ-MOLDADA DE CONCRETO (D = 60 CM) - FORNECIMENTO E INSTALAÇÃO. AF_08/2021</t>
  </si>
  <si>
    <t>102994</t>
  </si>
  <si>
    <t>CANALETA MEIA CANA PRÉ-MOLDADA DE CONCRETO (D = 80 CM) - FORNECIMENTO E INSTALAÇÃO. AF_08/2021</t>
  </si>
  <si>
    <t>102995</t>
  </si>
  <si>
    <t>EXECUÇÃO DE CANALETA DE CONCRETO MOLDADO IN LOCO, ESPESSURA DE 0,07 M, GEOMETRIA TRAPEZOIDAL (DIMENSÕES INTERNAS: B=0,6 M; B=0,147 M; H=0,2 M). AF_08/2021</t>
  </si>
  <si>
    <t>102996</t>
  </si>
  <si>
    <t>EXECUÇÃO DE CANALETA DE CONCRETO MOLDADO IN LOCO, ESPESSURA DE 0,07 M, GEOMETRIA TRAPEZOIDAL (DIMENSÕES INTERNAS: B=0,9 M; B=0,246 M; H=0,3 M). AF_08/2021</t>
  </si>
  <si>
    <t>102997</t>
  </si>
  <si>
    <t>EXECUÇÃO DE CANALETA DE CONCRETO MOLDADO IN LOCO, ESPESSURA DE 0,08 M, GEOMETRIA TRAPEZOIDAL (DIMENSÕES INTERNAS: B=1M; B=0,5 M; H=0,25 M). AF_08/2021</t>
  </si>
  <si>
    <t>102998</t>
  </si>
  <si>
    <t>EXECUÇÃO DE CANALETA DE CONCRETO MOLDADO IN LOCO, ESPESSURA DE 0,08 M, GEOMETRIA TRAPEZOIDAL (DIMENSÕES INTERNAS: B=1,074 M; B=0,534 M; H=0,27 M). AF_08/2021</t>
  </si>
  <si>
    <t>102999</t>
  </si>
  <si>
    <t>EXECUÇÃO DE CANALETA DE CONCRETO MOLDADO IN LOCO, ESPESSURA DE 0,08 M, GEOMETRIA TRAPEZOIDAL (DIMENSÕES INTERNAS: B=1,4 M; B=0,7 M; H=0,35 M). AF_08/2021</t>
  </si>
  <si>
    <t>103000</t>
  </si>
  <si>
    <t>EXECUÇÃO DE CANALETA DE CONCRETO MOLDADO IN LOCO, ESPESSURA DE 0,08 M, GEOMETRIA TRAPEZOIDAL (DIMENSÕES INTERNAS: B=1,474 M; B=0,934 M; H=0,27 M). AF_08/2021</t>
  </si>
  <si>
    <t>103001</t>
  </si>
  <si>
    <t>GRELHA DE FERRO FUNDIDO SIMPLES COM REQUADRO, 150 X 1000 MM, ASSENTADA COM ARGAMASSA 1 : 3 CIMENTO: AREIA - FORNECIMENTO E INSTALAÇÃO. AF_08/2021</t>
  </si>
  <si>
    <t>103002</t>
  </si>
  <si>
    <t>GRELHA DE FERRO FUNDIDO SIMPLES COM REQUADRO, 200 X 1000 MM, ASSENTADA COM ARGAMASSA 1 : 3 CIMENTO: AREIA - FORNECIMENTO E INSTALAÇÃO. AF_08/2021</t>
  </si>
  <si>
    <t>103003</t>
  </si>
  <si>
    <t>GRELHA DE FERRO FUNDIDO SIMPLES COM REQUADRO, 300 X 1000 MM, ASSENTADA COM ARGAMASSA 1 : 3 CIMENTO: AREIA - FORNECIMENTO E INSTALAÇÃO. AF_08/2021</t>
  </si>
  <si>
    <t>103005</t>
  </si>
  <si>
    <t>CAIXA COM GRELHA RETANGULAR DE FERRO FUNDIDO, EM ALVENARIA COM TIJOLOS CERÂMICOS MACIÇOS, DIMENSÕES INTERNAS: 0,15 X 1,00 X 0,3 M. AF_08/2021</t>
  </si>
  <si>
    <t>103006</t>
  </si>
  <si>
    <t>CAIXA COM GRELHA RETANGULAR DE FERRO FUNDIDO, EM ALVENARIA COM TIJOLOS CERÂMICOS MACIÇOS, DIMENSÕES INTERNAS: 0,20 X 1,00 X 0,4 M. AF_08/2021</t>
  </si>
  <si>
    <t>103007</t>
  </si>
  <si>
    <t>CAIXA COM GRELHA RETANGULAR DE FERRO FUNDIDO, EM ALVENARIA COM TIJOLOS CERÂMICOS MACIÇOS, DIMENSÕES INTERNAS: 0,30 X 1,00 X 0,5 M. AF_08/2021</t>
  </si>
  <si>
    <t>102727</t>
  </si>
  <si>
    <t>FABRICAÇÃO, MONTAGEM E DESMONTAGEM DE FÔRMA PARA BOCA PARA BUEIRO, EM CHAPA DE MADEIRA COMPENSADA RESINADA, E = 17 MM, 2 UTILIZAÇÕES. AF_07/2021</t>
  </si>
  <si>
    <t>102728</t>
  </si>
  <si>
    <t>ARMAÇÃO DE MURO ALA E MURO TESTA UTILIZANDO AÇO CA-50 DE 6,3 MM - MONTAGEM. AF_07/2021</t>
  </si>
  <si>
    <t>102729</t>
  </si>
  <si>
    <t>ARMAÇÃO DE MURO ALA E MURO TESTA UTILIZANDO AÇO CA-50 DE 8 MM - MONTAGEM. AF_07/2021</t>
  </si>
  <si>
    <t>102730</t>
  </si>
  <si>
    <t>ARMAÇÃO DE MURO ALA E MURO TESTA UTILIZANDO AÇO CA-50 DE 10 MM - MONTAGEM. AF_07/2021</t>
  </si>
  <si>
    <t>102731</t>
  </si>
  <si>
    <t>ARMAÇÃO DE MURO ALA E MURO TESTA UTILIZANDO AÇO CA-50 DE 12,5 MM - MONTAGEM. AF_07/2021</t>
  </si>
  <si>
    <t>102732</t>
  </si>
  <si>
    <t>ARMAÇÃO DE MURO ALA E MURO TESTA UTILIZANDO AÇO CA-50 DE 16 MM - MONTAGEM. AF_07/2021</t>
  </si>
  <si>
    <t>102733</t>
  </si>
  <si>
    <t>ARMAÇÃO DE MURO ALA E MURO TESTA UTILIZANDO AÇO CA-50 DE 20 MM - MONTAGEM. AF_07/2021</t>
  </si>
  <si>
    <t>102734</t>
  </si>
  <si>
    <t>ARMAÇÃO DE SOLEIRA UTILIZANDO AÇO CA-50 DE 6,3 MM - MONTAGEM. AF_07/2021</t>
  </si>
  <si>
    <t>102735</t>
  </si>
  <si>
    <t>ARMAÇÃO DE SOLEIRA UTILIZANDO AÇO CA-50 DE 8 MM - MONTAGEM. AF_07/2021</t>
  </si>
  <si>
    <t>102736</t>
  </si>
  <si>
    <t>CONCRETAGEM DE BOCA PARA BUEIRO, FCK = 20 MPA, COM USO DE BOMBA - LANÇAMENTO, ADENSAMENTO E ACABAMENTO. AF_07/2021</t>
  </si>
  <si>
    <t>102737</t>
  </si>
  <si>
    <t>BOCA PARA BUEIRO SIMPLES TUBULAR D = 40 CM EM CONCRETO, ALAS COM ESCONSIDADE DE 0°, INCLUINDO FÔRMAS E MATERIAIS. AF_07/2021</t>
  </si>
  <si>
    <t>102738</t>
  </si>
  <si>
    <t>BOCA PARA BUEIRO SIMPLES TUBULAR D = 60 CM EM CONCRETO, ALAS COM ESCONSIDADE DE 0°, INCLUINDO FÔRMAS E MATERIAIS. AF_07/2021</t>
  </si>
  <si>
    <t>102739</t>
  </si>
  <si>
    <t>BOCA PARA BUEIRO SIMPLES TUBULAR D = 80 CM EM CONCRETO, ALAS COM ESCONSIDADE DE 0°, INCLUINDO FÔRMAS E MATERIAIS. AF_07/2021</t>
  </si>
  <si>
    <t>102740</t>
  </si>
  <si>
    <t>BOCA PARA BUEIRO SIMPLES TUBULAR D = 100 CM EM CONCRETO, ALAS COM ESCONSIDADE DE 0°, INCLUINDO FÔRMAS E MATERIAIS. AF_07/2021</t>
  </si>
  <si>
    <t>102741</t>
  </si>
  <si>
    <t>BOCA PARA BUEIRO SIMPLES TUBULAR D = 120 CM EM CONCRETO, ALAS COM ESCONSIDADE DE 0°, INCLUINDO FÔRMAS E MATERIAIS. AF_07/2021</t>
  </si>
  <si>
    <t>102742</t>
  </si>
  <si>
    <t>BOCA PARA BUEIRO SIMPLES TUBULAR D = 150 CM EM CONCRETO, ALAS COM ESCONSIDADE DE 0°, INCLUINDO FÔRMAS E MATERIAIS. AF_07/2021</t>
  </si>
  <si>
    <t>102743</t>
  </si>
  <si>
    <t>BOCA PARA BUEIRO DUPLO TUBULAR D = 80 CM EM CONCRETO, ALAS COM ESCONSIDADE DE 0°, INCLUINDO FÔRMAS E MATERIAIS. AF_07/2021</t>
  </si>
  <si>
    <t>102744</t>
  </si>
  <si>
    <t>BOCA PARA BUEIRO DUPLO TUBULAR D = 100 CM EM CONCRETO, ALAS COM ESCONSIDADE DE 0°, INCLUINDO FÔRMAS E MATERIAIS. AF_07/2021</t>
  </si>
  <si>
    <t>102745</t>
  </si>
  <si>
    <t>BOCA PARA BUEIRO DUPLO TUBULAR D = 120 CM EM CONCRETO, ALAS COM ESCONSIDADE DE 0°, INCLUINDO FÔRMAS E MATERIAIS. AF_07/2021</t>
  </si>
  <si>
    <t>102746</t>
  </si>
  <si>
    <t>BOCA PARA BUEIRO DUPLO TUBULAR D = 150 CM EM CONCRETO, ALAS COM ESCONSIDADE DE 0°, INCLUINDO FÔRMAS E MATERIAIS. AF_07/2021</t>
  </si>
  <si>
    <t>102747</t>
  </si>
  <si>
    <t>BOCA PARA BUEIRO TRIPLO TUBULAR D = 100 CM EM CONCRETO, ALAS COM ESCONSIDADE DE 0°, INCLUINDO FÔRMAS E MATERIAIS. AF_07/2021</t>
  </si>
  <si>
    <t>102748</t>
  </si>
  <si>
    <t>BOCA PARA BUEIRO TRIPLO TUBULAR D = 120 CM EM CONCRETO, ALAS COM ESCONSIDADE DE 0°, INCLUINDO FÔRMAS E MATERIAIS. AF_07/2021</t>
  </si>
  <si>
    <t>102749</t>
  </si>
  <si>
    <t>BOCA PARA BUEIRO TRIPLO TUBULAR D = 150 CM EM CONCRETO, ALAS COM ESCONSIDADE DE 0°, INCLUINDO FÔRMAS E MATERIAIS. AF_07/2021</t>
  </si>
  <si>
    <t>102750</t>
  </si>
  <si>
    <t>BOCA PARA BUEIRO SIMPLES TUBULAR D = 60 CM EM CONCRETO, ALAS COM ESCONSIDADE DE 30°, INCLUINDO FÔRMAS E MATERIAIS. AF_07/2021</t>
  </si>
  <si>
    <t>102751</t>
  </si>
  <si>
    <t>BOCA PARA BUEIRO SIMPLES TUBULAR D = 80 CM EM CONCRETO, ALAS COM ESCONSIDADE DE 30°, INCLUINDO FÔRMAS E MATERIAIS. AF_07/2021</t>
  </si>
  <si>
    <t>102752</t>
  </si>
  <si>
    <t>BOCA PARA BUEIRO SIMPLES TUBULAR D = 100 CM EM CONCRETO, ALAS COM ESCONSIDADE DE 30°, INCLUINDO FÔRMAS E MATERIAIS. AF_07/2021</t>
  </si>
  <si>
    <t>102753</t>
  </si>
  <si>
    <t>BOCA PARA BUEIRO SIMPLES TUBULAR D = 120 CM EM CONCRETO, ALAS COM ESCONSIDADE DE 30°, INCLUINDO FÔRMAS E MATERIAIS. AF_07/2021</t>
  </si>
  <si>
    <t>102754</t>
  </si>
  <si>
    <t>BOCA PARA BUEIRO SIMPLES TUBULAR D = 150 CM EM CONCRETO, ALAS COM ESCONSIDADE DE 30°, INCLUINDO FÔRMAS E MATERIAIS. AF_07/2021</t>
  </si>
  <si>
    <t>102755</t>
  </si>
  <si>
    <t>BOCA PARA BUEIRO DUPLO TUBULAR D = 100 CM EM CONCRETO, ALAS COM ESCONSIDADE DE 30°, INCLUINDO FÔRMAS E MATERIAIS. AF_07/2021</t>
  </si>
  <si>
    <t>102756</t>
  </si>
  <si>
    <t>BOCA PARA BUEIRO DUPLO TUBULAR D = 120 CM EM CONCRETO, ALAS COM ESCONSIDADE DE 30°, INCLUINDO FÔRMAS E MATERIAIS. AF_07/2021</t>
  </si>
  <si>
    <t>102757</t>
  </si>
  <si>
    <t>BOCA PARA BUEIRO DUPLO TUBULAR D = 150 CM EM CONCRETO, ALAS COM ESCONSIDADE DE 30°, INCLUINDO FÔRMAS E MATERIAIS. AF_07/2021</t>
  </si>
  <si>
    <t>102758</t>
  </si>
  <si>
    <t>BOCA PARA BUEIRO TRIPLO TUBULAR D = 100 CM EM CONCRETO, ALAS COM ESCONSIDADE DE 30°, INCLUINDO FÔRMAS E MATERIAIS. AF_07/2021</t>
  </si>
  <si>
    <t>102759</t>
  </si>
  <si>
    <t>BOCA PARA BUEIRO TRIPLO TUBULAR D = 120 CM EM CONCRETO, ALAS COM ESCONSIDADE DE 30°, INCLUINDO FÔRMAS E MATERIAIS. AF_07/2021</t>
  </si>
  <si>
    <t>102760</t>
  </si>
  <si>
    <t>BOCA PARA BUEIRO TRIPLO TUBULAR D = 150 CM EM CONCRETO, ALAS COM ESCONSIDADE DE 30°, INCLUINDO FÔRMAS E MATERIAIS. AF_07/2021</t>
  </si>
  <si>
    <t>102761</t>
  </si>
  <si>
    <t>BOCA PARA BUEIRO SIMPLES CELULAR 150 X 150 CM EM CONCRETO, ALAS COM ESCONSIDADE DE 30°, INCLUINDO FÔRMAS E MATERIAIS. AF_07/2021</t>
  </si>
  <si>
    <t>102762</t>
  </si>
  <si>
    <t>BOCA PARA BUEIRO SIMPLES CELULAR 200 X 200 CM EM CONCRETO, ALAS COM ESCONSIDADE DE 30°, INCLUINDO FÔRMAS E MATERIAIS. AF_07/2021</t>
  </si>
  <si>
    <t>102763</t>
  </si>
  <si>
    <t>BOCA PARA BUEIRO SIMPLES CELULAR 250 X 250 CM EM CONCRETO, ALAS COM ESCONSIDADE DE 30°, INCLUINDO FÔRMAS E MATERIAIS. AF_07/2021</t>
  </si>
  <si>
    <t>102764</t>
  </si>
  <si>
    <t>BOCA PARA BUEIRO SIMPLES CELULAR 300 X 300 CM EM CONCRETO, ALAS COM ESCONSIDADE DE 30°, INCLUINDO FÔRMAS E MATERIAIS. AF_07/2021</t>
  </si>
  <si>
    <t>102765</t>
  </si>
  <si>
    <t>BOCA PARA BUEIRO DUPLO CELULAR 150 X 150 CM EM CONCRETO, ALAS COM ESCONSIDADE DE 30°, INCLUINDO FÔRMAS E MATERIAIS. AF_07/2021</t>
  </si>
  <si>
    <t>102766</t>
  </si>
  <si>
    <t>BOCA PARA BUEIRO DUPLO CELULAR 200 X 200 CM EM CONCRETO, ALAS COM ESCONSIDADE DE 30°, INCLUINDO FÔRMAS E MATERIAIS. AF_07/2021</t>
  </si>
  <si>
    <t>102767</t>
  </si>
  <si>
    <t>BOCA PARA BUEIRO DUPLO CELULAR 250 X 250 CM EM CONCRETO, ALAS COM ESCONSIDADE DE 30°, INCLUINDO FÔRMAS E MATERIAIS. AF_07/2021</t>
  </si>
  <si>
    <t>102768</t>
  </si>
  <si>
    <t>BOCA PARA BUEIRO DUPLO CELULAR 300 X 300 CM EM CONCRETO, ALAS COM ESCONSIDADE DE 30°, INCLUINDO FÔRMAS E MATERIAIS. AF_07/2021</t>
  </si>
  <si>
    <t>102769</t>
  </si>
  <si>
    <t>BOCA PARA BUEIRO TRIPLO CELULAR 150 X 150 CM EM CONCRETO, ALAS COM ESCONSIDADE DE 30°, INCLUINDO FÔRMAS E MATERIAIS. AF_07/2021</t>
  </si>
  <si>
    <t>102770</t>
  </si>
  <si>
    <t>BOCA PARA BUEIRO TRIPLO CELULAR 200 X 200 CM EM CONCRETO, ALAS COM ESCONSIDADE DE 30°, INCLUINDO FÔRMAS E MATERIAIS. AF_07/2021</t>
  </si>
  <si>
    <t>102771</t>
  </si>
  <si>
    <t>BOCA PARA BUEIRO TRIPLO CELULAR 250 X 250 CM EM CONCRETO, ALAS COM ESCONSIDADE DE 30°, INCLUINDO FÔRMAS E MATERIAIS. AF_07/2021</t>
  </si>
  <si>
    <t>102772</t>
  </si>
  <si>
    <t>BOCA PARA BUEIRO TRIPLO CELULAR 300 X 300 CM EM CONCRETO, ALAS COM ESCONSIDADE DE 30°, INCLUINDO FÔRMAS E MATERIAIS. AF_07/2021</t>
  </si>
  <si>
    <t>102773</t>
  </si>
  <si>
    <t>BOCA PARA BUEIRO SIMPLES TUBULAR D = 40 CM EM GABIÃO, ALAS COM ESCONSIDADE DE 45°, INCLUINDO FÔRMAS E MATERIAIS. AF_07/2021</t>
  </si>
  <si>
    <t>102774</t>
  </si>
  <si>
    <t>BOCA PARA BUEIRO SIMPLES TUBULAR D = 60 CM EM GABIÃO, ALAS COM ESCONSIDADE DE 45°, INCLUINDO FÔRMAS E MATERIAIS. AF_07/2021</t>
  </si>
  <si>
    <t>102775</t>
  </si>
  <si>
    <t>BOCA PARA BUEIRO SIMPLES TUBULAR D = 80 CM EM GABIÃO, ALAS COM ESCONSIDADE DE 45°, INCLUINDO FÔRMAS E MATERIAIS. AF_07/2021</t>
  </si>
  <si>
    <t>102776</t>
  </si>
  <si>
    <t>BOCA PARA BUEIRO SIMPLES TUBULAR D = 100 CM EM GABIÃO, ALAS COM ESCONSIDADE DE 45°, INCLUINDO FÔRMAS E MATERIAIS. AF_07/2021</t>
  </si>
  <si>
    <t>102777</t>
  </si>
  <si>
    <t>BOCA PARA BUEIRO SIMPLES TUBULAR D = 120 CM EM GABIÃO, ALAS COM ESCONSIDADE DE 45°, INCLUINDO FÔRMAS E MATERIAIS. AF_07/2021</t>
  </si>
  <si>
    <t>102778</t>
  </si>
  <si>
    <t>BOCA PARA BUEIRO SIMPLES TUBULAR D = 150 CM EM GABIÃO, ALAS COM ESCONSIDADE DE 45°, INCLUINDO FÔRMAS E MATERIAIS. AF_07/2021</t>
  </si>
  <si>
    <t>102779</t>
  </si>
  <si>
    <t>BOCA PARA BUEIRO DUPLO TUBULAR D = 40 CM EM GABIÃO, ALAS COM ESCONSIDADE DE 45°, INCLUINDO FÔRMAS E MATERIAIS. AF_07/2021</t>
  </si>
  <si>
    <t>102780</t>
  </si>
  <si>
    <t>BOCA PARA BUEIRO DUPLO TUBULAR D = 60 CM EM GABIÃO, ALAS COM ESCONSIDADE DE 45°, INCLUINDO FÔRMAS E MATERIAIS. AF_07/2021</t>
  </si>
  <si>
    <t>102781</t>
  </si>
  <si>
    <t>BOCA PARA BUEIRO DUPLO TUBULAR D = 80 CM EM GABIÃO, ALAS COM ESCONSIDADE DE 45°, INCLUINDO FÔRMAS E MATERIAIS. AF_07/2021</t>
  </si>
  <si>
    <t>102782</t>
  </si>
  <si>
    <t>BOCA PARA BUEIRO DUPLO TUBULAR D = 100 CM EM GABIÃO, ALAS COM ESCONSIDADE DE 45°, INCLUINDO FÔRMAS E MATERIAIS. AF_07/2021</t>
  </si>
  <si>
    <t>102783</t>
  </si>
  <si>
    <t>BOCA PARA BUEIRO DUPLO TUBULAR D = 120 CM EM GABIÃO, ALAS COM ESCONSIDADE DE 45°, INCLUINDO FÔRMAS E MATERIAIS. AF_07/2021</t>
  </si>
  <si>
    <t>102784</t>
  </si>
  <si>
    <t>BOCA PARA BUEIRO DUPLO TUBULAR D = 150 CM EM GABIÃO, ALAS COM ESCONSIDADE DE 45°, INCLUINDO FÔRMAS E MATERIAIS. AF_07/2021</t>
  </si>
  <si>
    <t>102785</t>
  </si>
  <si>
    <t>BOCA PARA BUEIRO TRIPLO TUBULAR D = 40 CM EM GABIÃO, ALAS COM ESCONSIDADE DE 45°, INCLUINDO FÔRMAS E MATERIAIS. AF_07/2021</t>
  </si>
  <si>
    <t>102786</t>
  </si>
  <si>
    <t>BOCA PARA BUEIRO TRIPLO TUBULAR D = 60 CM EM GABIÃO, ALAS COM ESCONSIDADE DE 45°, INCLUINDO FÔRMAS E MATERIAIS. AF_07/2021</t>
  </si>
  <si>
    <t>102787</t>
  </si>
  <si>
    <t>BOCA PARA BUEIRO TRIPLO TUBULAR D = 80 CM EM GABIÃO, ALAS COM ESCONSIDADE DE 45°, INCLUINDO FÔRMAS E MATERIAIS. AF_07/2021</t>
  </si>
  <si>
    <t>102788</t>
  </si>
  <si>
    <t>BOCA PARA BUEIRO TRIPLO TUBULAR D = 100 CM EM GABIÃO, ALAS COM ESCONSIDADE DE 45°, INCLUINDO FÔRMAS E MATERIAIS. AF_07/2021</t>
  </si>
  <si>
    <t>102789</t>
  </si>
  <si>
    <t>BOCA PARA BUEIRO TRIPLO TUBULAR D = 120 CM EM GABIÃO, ALAS COM ESCONSIDADE DE 45°, INCLUINDO FÔRMAS E MATERIAIS. AF_07/2021</t>
  </si>
  <si>
    <t>102790</t>
  </si>
  <si>
    <t>BOCA PARA BUEIRO TRIPLO TUBULAR D = 150 CM EM GABIÃO, ALAS COM ESCONSIDADE DE 45°, INCLUINDO FÔRMAS E MATERIAIS. AF_07/2021</t>
  </si>
  <si>
    <t>102791</t>
  </si>
  <si>
    <t>BOCA PARA BUEIRO SIMPLES CELULAR 150 X 150 CM EM GABIÃO, ALAS COM ESCONSIDADE DE 45°, INCLUINDO FÔRMAS E MATERIAIS. AF_07/2021</t>
  </si>
  <si>
    <t>102792</t>
  </si>
  <si>
    <t>BOCA PARA BUEIRO SIMPLES CELULAR 200 X 200 CM EM GABIÃO, ALAS COM ESCONSIDADE DE 45°, INCLUINDO FÔRMAS E MATERIAIS. AF_07/2021</t>
  </si>
  <si>
    <t>102793</t>
  </si>
  <si>
    <t>BOCA PARA BUEIRO SIMPLES CELULAR 250 X 250 CM EM GABIÃO, ALAS COM ESCONSIDADE DE 45°, INCLUINDO FÔRMAS E MATERIAIS. AF_07/2021</t>
  </si>
  <si>
    <t>102794</t>
  </si>
  <si>
    <t>BOCA PARA BUEIRO SIMPLES CELULAR 300 X 300 CM EM GABIÃO, ALAS COM ESCONSIDADE DE 45°, INCLUINDO FÔRMAS E MATERIAIS. AF_07/2021</t>
  </si>
  <si>
    <t>102795</t>
  </si>
  <si>
    <t>BOCA PARA BUEIRO DUPLO CELULAR 150 X 150 CM EM GABIÃO, ALAS COM ESCONSIDADE DE 45°, INCLUINDO FÔRMAS E MATERIAIS. AF_07/2021</t>
  </si>
  <si>
    <t>102796</t>
  </si>
  <si>
    <t>BOCA PARA BUEIRO DUPLO CELULAR 200 X 200 CM EM GABIÃO, ALAS COM ESCONSIDADE DE 45°, INCLUINDO FÔRMAS E MATERIAIS. AF_07/2021</t>
  </si>
  <si>
    <t>102797</t>
  </si>
  <si>
    <t>BOCA PARA BUEIRO DUPLO CELULAR 250 X 250 CM EM GABIÃO, ALAS COM ESCONSIDADE DE 45°, INCLUINDO FÔRMAS E MATERIAIS. AF_07/2021</t>
  </si>
  <si>
    <t>102798</t>
  </si>
  <si>
    <t>BOCA PARA BUEIRO DUPLO CELULAR 300 X 300 CM EM GABIÃO, ALAS COM ESCONSIDADE DE 45°, INCLUINDO FÔRMAS E MATERIAIS. AF_07/2021</t>
  </si>
  <si>
    <t>102799</t>
  </si>
  <si>
    <t>BOCA PARA BUEIRO TRIPLO CELULAR 150 X 150 CM EM GABIÃO, ALAS COM ESCONSIDADE DE 45°, INCLUINDO FÔRMAS E MATERIAIS. AF_07/2021</t>
  </si>
  <si>
    <t>102800</t>
  </si>
  <si>
    <t>BOCA PARA BUEIRO TRIPLO CELULAR 200 X 200 CM EM GABIÃO, ALAS COM ESCONSIDADE DE 45°, INCLUINDO FÔRMAS E MATERIAIS. AF_07/2021</t>
  </si>
  <si>
    <t>102801</t>
  </si>
  <si>
    <t>BOCA PARA BUEIRO TRIPLO CELULAR 250 X 250 CM EM GABIÃO, ALAS COM ESCONSIDADE DE 45°, INCLUINDO FÔRMAS E MATERIAIS. AF_07/2021</t>
  </si>
  <si>
    <t>102802</t>
  </si>
  <si>
    <t>BOCA PARA BUEIRO TRIPLO CELULAR 300 X 300 CM EM GABIÃO, ALAS COM ESCONSIDADE DE 45°, INCLUINDO FÔRMAS E MATERIAIS. AF_07/2021</t>
  </si>
  <si>
    <t>21,99</t>
  </si>
  <si>
    <t>13,95</t>
  </si>
  <si>
    <t>1,29</t>
  </si>
  <si>
    <t>12,93</t>
  </si>
  <si>
    <t>10,85</t>
  </si>
  <si>
    <t>7,98</t>
  </si>
  <si>
    <t>7,83</t>
  </si>
  <si>
    <t>9,89</t>
  </si>
  <si>
    <t>17,44</t>
  </si>
  <si>
    <t>100859</t>
  </si>
  <si>
    <t>MICTÓRIO SIFONADO LOUÇA BRANCA PARA ENTRADA DE ÁGUA EMBUTIDA  PADRÃO ALTO  FORNECIMENTO E INSTALAÇÃO. AF_01/2020</t>
  </si>
  <si>
    <t>100878</t>
  </si>
  <si>
    <t>VASO SANITÁRIO SIFONADO COM CAIXA ACOPLADA, LOUÇA BRANCA - PADRÃO ALTO - FORNECIMENTO E INSTALAÇÃO. AF_01/2020</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</si>
  <si>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</si>
  <si>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</si>
  <si>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</si>
  <si>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</si>
  <si>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</si>
  <si>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</si>
  <si>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</si>
  <si>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</si>
  <si>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</si>
  <si>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</si>
  <si>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</si>
  <si>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</si>
  <si>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</si>
  <si>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</si>
  <si>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</si>
  <si>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</si>
  <si>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</si>
  <si>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</si>
  <si>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</si>
  <si>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</si>
  <si>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</si>
  <si>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</si>
  <si>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</si>
  <si>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</si>
  <si>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</si>
  <si>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</si>
  <si>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</si>
  <si>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</si>
  <si>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</si>
  <si>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</si>
  <si>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</si>
  <si>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</si>
  <si>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</si>
  <si>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</si>
  <si>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</si>
  <si>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</si>
  <si>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</si>
  <si>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</si>
  <si>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</si>
  <si>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</si>
  <si>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</si>
  <si>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</si>
  <si>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</si>
  <si>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</si>
  <si>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</si>
  <si>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</si>
  <si>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</si>
  <si>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</si>
  <si>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</si>
  <si>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</si>
  <si>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</si>
  <si>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</si>
  <si>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</si>
  <si>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</si>
  <si>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103008</t>
  </si>
  <si>
    <t>VÁLVULA DE RETENÇÃO HORIZONTAL, DE BRONZE, ROSCÁVEL, 1/2" - FORNECIMENTO E INSTALAÇÃO. AF_08/2021</t>
  </si>
  <si>
    <t>103009</t>
  </si>
  <si>
    <t>VÁLVULA DE RETENÇÃO VERTICAL, DE BRONZE, ROSCÁVEL, 2 1/2" - FORNECIMENTO E INSTALAÇÃO. AF_08/2021</t>
  </si>
  <si>
    <t>103010</t>
  </si>
  <si>
    <t>VÁLVULA DE RETENÇÃO, DE BRONZE, PÉ COM CRIVOS, ROSCÁVEL, 3/4" - FORNECIMENTO E INSTALAÇÃO. AF_08/2021</t>
  </si>
  <si>
    <t>103011</t>
  </si>
  <si>
    <t>VÁLVULA DE RETENÇÃO, DE BRONZE, PÉ COM CRIVOS, ROSCÁVEL, 1" - FORNECIMENTO E INSTALAÇÃO. AF_08/2021</t>
  </si>
  <si>
    <t>103012</t>
  </si>
  <si>
    <t>VÁLVULA DE RETENÇÃO, DE BRONZE, PÉ COM CRIVOS, ROSCÁVEL, 1 1/4" - FORNECIMENTO E INSTALAÇÃO. AF_08/2021</t>
  </si>
  <si>
    <t>103013</t>
  </si>
  <si>
    <t>VÁLVULA DE RETENÇÃO, DE BRONZE, PÉ COM CRIVOS, ROSCÁVEL, 1 1/2" - FORNECIMENTO E INSTALAÇÃO. AF_08/2021</t>
  </si>
  <si>
    <t>103014</t>
  </si>
  <si>
    <t>VÁLVULA DE RETENÇÃO, DE BRONZE, PÉ COM CRIVOS, ROSCÁVEL, 2" - FORNECIMENTO E INSTALAÇÃO. AF_08/2021</t>
  </si>
  <si>
    <t>103015</t>
  </si>
  <si>
    <t>VÁLVULA DE RETENÇÃO, DE BRONZE, PÉ COM CRIVOS, ROSCÁVEL, 2 1/2" - FORNECIMENTO E INSTALAÇÃO. AF_08/2021</t>
  </si>
  <si>
    <t>103016</t>
  </si>
  <si>
    <t>VÁLVULA DE RETENÇÃO, DE BRONZE, PÉ COM CRIVOS, ROSCÁVEL, 3" - FORNECIMENTO E INSTALAÇÃO. AF_08/2021</t>
  </si>
  <si>
    <t>103017</t>
  </si>
  <si>
    <t>VÁLVULA DE RETENÇÃO, DE BRONZE, PÉ COM CRIVOS, ROSCÁVEL, 4" - FORNECIMENTO E INSTALAÇÃO. AF_08/2021</t>
  </si>
  <si>
    <t>103018</t>
  </si>
  <si>
    <t>VÁLVULA DE DESCARGA METÁLICA, BASE 1 1/4", ACABAMENTO METALICO CROMADO - FORNECIMENTO E INSTALAÇÃO. AF_08/2021</t>
  </si>
  <si>
    <t>103019</t>
  </si>
  <si>
    <t>REGISTRO OU VÁLVULA GLOBO ANGULAR EM LATÃO, PARA HIDRANTES EM INSTALAÇÃO PREDIAL DE INCÊNDIO, 45 GRAUS, 2 1/2" - FORNECIMENTO E INSTALAÇÃO. AF_08/2021</t>
  </si>
  <si>
    <t>103029</t>
  </si>
  <si>
    <t>REGISTRO OU REGULADOR DE GÁS DE COZINHA - FORNECIMENTO E INSTALAÇÃO. AF_08/2021</t>
  </si>
  <si>
    <t>103036</t>
  </si>
  <si>
    <t>REGISTRO DE ESFERA, PVC, ROSCÁVEL, COM VOLANTE, 1/2" - FORNECIMENTO E INSTALAÇÃO. AF_08/2021</t>
  </si>
  <si>
    <t>103037</t>
  </si>
  <si>
    <t>REGISTRO DE ESFERA, PVC, ROSCÁVEL, COM VOLANTE, 1" - FORNECIMENTO E INSTALAÇÃO. AF_08/2021</t>
  </si>
  <si>
    <t>103038</t>
  </si>
  <si>
    <t>REGISTRO DE ESFERA, PVC, ROSCÁVEL, COM VOLANTE, 1 1/4" - FORNECIMENTO E INSTALAÇÃO. AF_08/2021</t>
  </si>
  <si>
    <t>103039</t>
  </si>
  <si>
    <t>REGISTRO DE ESFERA, PVC, ROSCÁVEL, COM VOLANTE, 1 1/2" - FORNECIMENTO E INSTALAÇÃO. AF_08/2021</t>
  </si>
  <si>
    <t>103040</t>
  </si>
  <si>
    <t>REGISTRO DE ESFERA, PVC, ROSCÁVEL, COM VOLANTE, 2" - FORNECIMENTO E INSTALAÇÃO. AF_08/2021</t>
  </si>
  <si>
    <t>103041</t>
  </si>
  <si>
    <t>REGISTRO DE ESFERA, PVC, ROSCÁVEL, COM BORBOLETA, 1/2" - FORNECIMENTO E INSTALAÇÃO. AF_08/2021</t>
  </si>
  <si>
    <t>103042</t>
  </si>
  <si>
    <t>REGISTRO DE ESFERA, PVC, ROSCÁVEL, COM BORBOLETA, 3/4" - FORNECIMENTO E INSTALAÇÃO. AF_08/2021</t>
  </si>
  <si>
    <t>103043</t>
  </si>
  <si>
    <t>REGISTRO DE ESFERA, PVC, ROSCÁVEL, COM CABEÇA QUADRADA, 1/2" - FORNECIMENTO E INSTALAÇÃO. AF_08/2021</t>
  </si>
  <si>
    <t>103044</t>
  </si>
  <si>
    <t>REGISTRO DE ESFERA, PVC, ROSCÁVEL, COM CABEÇA QUADRADA, 3/4" - FORNECIMENTO E INSTALAÇÃO. AF_08/2021</t>
  </si>
  <si>
    <t>103045</t>
  </si>
  <si>
    <t>REGISTRO DE PRESSÃO, PVC, ROSCÁVEL, VOLANTE SIMPLES, 1/2" - FORNECIMENTO E INSTALAÇÃO. AF_08/2021</t>
  </si>
  <si>
    <t>103046</t>
  </si>
  <si>
    <t>REGISTRO DE PRESSÃO, PVC, ROSCÁVEL, VOLANTE SIMPLES, 3/4" - FORNECIMENTO E INSTALAÇÃO. AF_08/2021</t>
  </si>
  <si>
    <t>103047</t>
  </si>
  <si>
    <t>REGISTRO DE ESFERA, PVC, SOLDÁVEL, COM VOLANTE, DN  20 MM - FORNECIMENTO E INSTALAÇÃO. AF_08/2021</t>
  </si>
  <si>
    <t>103048</t>
  </si>
  <si>
    <t>REGISTRO DE PRESSÃO, PVC, SOLDÁVEL, VOLANTE SIMPLES, DN  20 MM - FORNECIMENTO E INSTALAÇÃO. AF_08/2021</t>
  </si>
  <si>
    <t>103049</t>
  </si>
  <si>
    <t>REGISTRO DE PRESSÃO, PVC, SOLDÁVEL, VOLANTE SIMPLES, DN  25 MM - FORNECIMENTO E INSTALAÇÃO. AF_08/2021</t>
  </si>
  <si>
    <t>103050</t>
  </si>
  <si>
    <t>SUBSTITUIÇÃO DE REGISTRO OU VÁLVULA, ROSCÁVEL, DN  20 MM. AF_08/2021</t>
  </si>
  <si>
    <t>103051</t>
  </si>
  <si>
    <t>SUBSTITUIÇÃO DE REGISTRO OU VÁLVULA, ROSCÁVEL, DN  25 MM. AF_08/2021</t>
  </si>
  <si>
    <t>103052</t>
  </si>
  <si>
    <t>SUBSTITUIÇÃO DE REGISTRO OU VÁLVULA, ROSCÁVEL, DN  32 MM. AF_08/2021</t>
  </si>
  <si>
    <t>SUPORTE PARA ELETROCALHA LISA OU PERFURADA EM AÇO GALVANIZADO, LARGURA 500 OU 800 MM E ALTURA 50 MM, ESPAÇADO A CADA 1,5 M, EM PERFILADO DE SEÇÃO 38X76 MM, POR METRO DE ELETROCALHA FIXADA. AF_07/2017</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</si>
  <si>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</si>
  <si>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</si>
  <si>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</si>
  <si>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</si>
  <si>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</si>
  <si>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</si>
  <si>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</si>
  <si>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</si>
  <si>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22,85</t>
  </si>
  <si>
    <t>102988</t>
  </si>
  <si>
    <t>RECOMPOSIÇÃO DE PAVIMENTO EM PISO INTERTRAVADO, COM REAPROVEITAMENTO DOS BLOCOS INTERTRAVADOS, PARA FECHAMENTO DE VALAS - INCLUSO RETIRADA E COLOCAÇÃO DO MATERIAL. AF_12/2020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</si>
  <si>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</si>
  <si>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</si>
  <si>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</si>
  <si>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</si>
  <si>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</si>
  <si>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</si>
  <si>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</si>
  <si>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</si>
  <si>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</si>
  <si>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</si>
  <si>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</si>
  <si>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</si>
  <si>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</si>
  <si>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</si>
  <si>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</si>
  <si>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</si>
  <si>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</si>
  <si>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</si>
  <si>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</si>
  <si>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</si>
  <si>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</si>
  <si>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</si>
  <si>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</si>
  <si>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</si>
  <si>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</si>
  <si>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</si>
  <si>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</si>
  <si>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</si>
  <si>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</si>
  <si>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</si>
  <si>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</si>
  <si>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</si>
  <si>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</si>
  <si>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</si>
  <si>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</si>
  <si>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</si>
  <si>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</si>
  <si>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</si>
  <si>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</si>
  <si>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</si>
  <si>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</si>
  <si>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</si>
  <si>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</si>
  <si>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</si>
  <si>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</si>
  <si>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</si>
  <si>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</si>
  <si>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</si>
  <si>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</si>
  <si>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</si>
  <si>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</si>
  <si>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</si>
  <si>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</si>
  <si>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</si>
  <si>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</si>
  <si>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</si>
  <si>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</si>
  <si>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102803</t>
  </si>
  <si>
    <t>REFORÇO SUPERFICIAL PARA CONTRAPISOS DE ARGAMASSA SEMI-SECA. AF_07/2021</t>
  </si>
  <si>
    <t>9,31</t>
  </si>
  <si>
    <t>4,19</t>
  </si>
  <si>
    <t>CARGA, MANOBRA E DESCARGA DE TUBOS PLÁSTICOS, DN 400 MM, EM CAMINHÃO CARROCERIA COM GUINDAUTO (MUNCK) 11,7 TM. AF_07/2020</t>
  </si>
  <si>
    <t>22,33</t>
  </si>
  <si>
    <t>15,20</t>
  </si>
  <si>
    <t>21,46</t>
  </si>
  <si>
    <t>DESCRIÇÃO DO INSUMO</t>
  </si>
  <si>
    <t>Acabamento para válvula de descarga 4900.C.PRO - Deca</t>
  </si>
  <si>
    <t>Kit conversor Hydra Max para Hydra Conforto 4916.C.114.CONF – Linha Hydra Eco Conforto – Deca</t>
  </si>
  <si>
    <t xml:space="preserve">Kit conversor Hydra Max para Hydra Conforto 4916.C.112.CONF – linha Hydra Eco Conforto – Deca </t>
  </si>
  <si>
    <t>SF-02678</t>
  </si>
  <si>
    <t>SF-02679</t>
  </si>
  <si>
    <t>SF-02680</t>
  </si>
  <si>
    <t>SF-02681</t>
  </si>
  <si>
    <t>SF-02682</t>
  </si>
  <si>
    <t>SF-02689</t>
  </si>
  <si>
    <t>SF-02690</t>
  </si>
  <si>
    <t>Tubo de aço-carbono galvanizado 2 1/2”</t>
  </si>
  <si>
    <t>Remoção de Caixa de Hidrante e acessórios para aproveitamento</t>
  </si>
  <si>
    <t>Instalação de Caixa de Hidrante e acessórios reaproveitados</t>
  </si>
  <si>
    <t>Remoção de Mesa de Granito e acessórios para aproveitamento</t>
  </si>
  <si>
    <t>Instalação de Mesa de Granito e acessórios reaproveitados</t>
  </si>
  <si>
    <t>Demolição de revestimento de piso vinílico</t>
  </si>
  <si>
    <t>Remoção de telhas de fibrocimento, metálica ou cerâmica</t>
  </si>
  <si>
    <t>15,59</t>
  </si>
  <si>
    <t>10,80</t>
  </si>
  <si>
    <t>12,50</t>
  </si>
  <si>
    <t>3,40</t>
  </si>
  <si>
    <t>14,80</t>
  </si>
  <si>
    <t>10,64</t>
  </si>
  <si>
    <t>6,95</t>
  </si>
  <si>
    <t>14,16</t>
  </si>
  <si>
    <t>2,27</t>
  </si>
  <si>
    <t>10,05</t>
  </si>
  <si>
    <t>12,24</t>
  </si>
  <si>
    <t>11,30</t>
  </si>
  <si>
    <t>21,04</t>
  </si>
  <si>
    <t>9,26</t>
  </si>
  <si>
    <t>5,75</t>
  </si>
  <si>
    <t>5,00</t>
  </si>
  <si>
    <t>1,31</t>
  </si>
  <si>
    <t>7,92</t>
  </si>
  <si>
    <t>22,54</t>
  </si>
  <si>
    <t>11,69</t>
  </si>
  <si>
    <t>8,44</t>
  </si>
  <si>
    <t>5,42</t>
  </si>
  <si>
    <t>23,43</t>
  </si>
  <si>
    <t>103089</t>
  </si>
  <si>
    <t>ASSENTAMENTO DE TUBO DE FERRO FUNDIDO PARA REDE DE ÁGUA, DN 80 MM, JUNTA FLANGEADA (NÃO INCLUI O FORNECIMENTO). AF_09/2021</t>
  </si>
  <si>
    <t>103090</t>
  </si>
  <si>
    <t>ASSENTAMENTO DE TUBO DE FERRO FUNDIDO PARA REDE DE ÁGUA, DN 100 MM, JUNTA FLANGEADA (NÃO INCLUI O FORNECIMENTO). AF_09/2021</t>
  </si>
  <si>
    <t>103091</t>
  </si>
  <si>
    <t>ASSENTAMENTO DE TUBO DE FERRO FUNDIDO PARA REDE DE ÁGUA, DN 150 MM, JUNTA FLANGEADA (NÃO INCLUI O FORNECIMENTO). AF_09/2021</t>
  </si>
  <si>
    <t>103092</t>
  </si>
  <si>
    <t>ASSENTAMENTO DE TUBO DE FERRO FUNDIDO PARA REDE DE ÁGUA, DN 200 MM, JUNTA FLANGEADA (NÃO INCLUI O FORNECIMENTO). AF_09/2021</t>
  </si>
  <si>
    <t>103093</t>
  </si>
  <si>
    <t>ASSENTAMENTO DE TUBO DE FERRO FUNDIDO PARA REDE DE ÁGUA, DN 250 MM, JUNTA FLANGEADA (NÃO INCLUI O FORNECIMENTO). AF_09/2021</t>
  </si>
  <si>
    <t>103094</t>
  </si>
  <si>
    <t>ASSENTAMENTO DE TUBO DE FERRO FUNDIDO PARA REDE DE ÁGUA, DN 300 MM, JUNTA FLANGEADA (NÃO INCLUI O FORNECIMENTO). AF_09/2021</t>
  </si>
  <si>
    <t>103095</t>
  </si>
  <si>
    <t>ASSENTAMENTO DE TUBO DE FERRO FUNDIDO PARA REDE DE ÁGUA, DN 350 MM, JUNTA FLANGEADA (NÃO INCLUI O FORNECIMENTO). AF_09/2021</t>
  </si>
  <si>
    <t>103096</t>
  </si>
  <si>
    <t>ASSENTAMENTO DE TUBO DE FERRO FUNDIDO PARA REDE DE ÁGUA, DN 400 MM, JUNTA FLANGEADA (NÃO INCLUI O FORNECIMENTO). AF_09/2021</t>
  </si>
  <si>
    <t>103097</t>
  </si>
  <si>
    <t>ASSENTAMENTO DE TUBO DE FERRO FUNDIDO PARA REDE DE ÁGUA, DN 450 MM, JUNTA FLANGEADA (NÃO INCLUI O FORNECIMENTO). AF_09/2021</t>
  </si>
  <si>
    <t>103098</t>
  </si>
  <si>
    <t>ASSENTAMENTO DE TUBO DE FERRO FUNDIDO PARA REDE DE ÁGUA, DN 500 MM, JUNTA FLANGEADA (NÃO INCLUI O FORNECIMENTO). AF_09/2021</t>
  </si>
  <si>
    <t>103099</t>
  </si>
  <si>
    <t>ASSENTAMENTO DE TUBO DE FERRO FUNDIDO PARA REDE DE ÁGUA, DN 600 MM, JUNTA FLANGEADA (NÃO INCLUI O FORNECIMENTO). AF_09/2021</t>
  </si>
  <si>
    <t>103100</t>
  </si>
  <si>
    <t>ASSENTAMENTO DE TUBO DE FERRO FUNDIDO PARA REDE DE ÁGUA, DN 700 MM, JUNTA FLANGEADA (NÃO INCLUI O FORNECIMENTO). AF_09/2021</t>
  </si>
  <si>
    <t>103101</t>
  </si>
  <si>
    <t>ASSENTAMENTO DE TUBO DE FERRO FUNDIDO PARA REDE DE ÁGUA, DN 800 MM, JUNTA FLANGEADA (NÃO INCLUI O FORNECIMENTO). AF_09/2021</t>
  </si>
  <si>
    <t>103102</t>
  </si>
  <si>
    <t>ASSENTAMENTO DE TUBO DE FERRO FUNDIDO PARA REDE DE ÁGUA, DN 900 MM, JUNTA FLANGEADA (NÃO INCLUI O FORNECIMENTO). AF_09/2021</t>
  </si>
  <si>
    <t>103103</t>
  </si>
  <si>
    <t>ASSENTAMENTO DE TUBO DE FERRO FUNDIDO PARA REDE DE ÁGUA, DN 1000 MM, JUNTA FLANGEADA (NÃO INCLUI O FORNECIMENTO). AF_09/2021</t>
  </si>
  <si>
    <t>103104</t>
  </si>
  <si>
    <t>ASSENTAMENTO DE TUBO DE FERRO FUNDIDO PARA REDE DE ÁGUA, DN 1200 MM, JUNTA FLANGEADA (NÃO INCLUI O FORNECIMENTO). AF_09/2021</t>
  </si>
  <si>
    <t>103105</t>
  </si>
  <si>
    <t>ASSENTAMENTO DE CONEXÃO COM 2 ACESSOS, FERRO FUNDIDO PARA REDE DE ÁGUA, DN  80 MM, JUNTA FLANGEADA (NÃO INCLUI O FORNECIMENTO). AF_09/2021</t>
  </si>
  <si>
    <t>103106</t>
  </si>
  <si>
    <t>ASSENTAMENTO DE CONEXÃO COM 2 ACESSOS, FERRO FUNDIDO PARA REDE DE ÁGUA, DN  100 MM, JUNTA FLANGEADA (NÃO INCLUI O FORNECIMENTO). AF_09/2021</t>
  </si>
  <si>
    <t>103107</t>
  </si>
  <si>
    <t>ASSENTAMENTO DE CONEXÃO COM 2 ACESSOS, FERRO FUNDIDO PARA REDE DE ÁGUA, DN  150 MM, JUNTA FLANGEADA (NÃO INCLUI O FORNECIMENTO). AF_09/2021</t>
  </si>
  <si>
    <t>103108</t>
  </si>
  <si>
    <t>ASSENTAMENTO DE CONEXÃO COM 2 ACESSOS, FERRO FUNDIDO PARA REDE DE ÁGUA, DN  200 MM, JUNTA FLANGEADA (NÃO INCLUI O FORNECIMENTO). AF_09/2021</t>
  </si>
  <si>
    <t>103109</t>
  </si>
  <si>
    <t>ASSENTAMENTO DE CONEXÃO COM 2 ACESSOS, FERRO FUNDIDO PARA REDE DE ÁGUA, DN  250 MM, JUNTA FLANGEADA (NÃO INCLUI O FORNECIMENTO). AF_09/2021</t>
  </si>
  <si>
    <t>103110</t>
  </si>
  <si>
    <t>ASSENTAMENTO DE CONEXÃO COM 2 ACESSOS, FERRO FUNDIDO PARA REDE DE ÁGUA, DN  300 MM, JUNTA FLANGEADA (NÃO INCLUI O FORNECIMENTO). AF_09/2021</t>
  </si>
  <si>
    <t>103111</t>
  </si>
  <si>
    <t>ASSENTAMENTO DE CONEXÃO COM 2 ACESSOS, FERRO FUNDIDO PARA REDE DE ÁGUA, DN  350 MM, JUNTA FLANGEADA (NÃO INCLUI O FORNECIMENTO). AF_09/2021</t>
  </si>
  <si>
    <t>103112</t>
  </si>
  <si>
    <t>ASSENTAMENTO DE CONEXÃO COM 2 ACESSOS, FERRO FUNDIDO PARA REDE DE ÁGUA, DN  400 MM, JUNTA FLANGEADA (NÃO INCLUI O FORNECIMENTO). AF_09/2021</t>
  </si>
  <si>
    <t>103113</t>
  </si>
  <si>
    <t>ASSENTAMENTO DE CONEXÃO COM 2 ACESSOS, FERRO FUNDIDO PARA REDE DE ÁGUA, DN  450 MM, JUNTA FLANGEADA (NÃO INCLUI O FORNECIMENTO). AF_09/2021</t>
  </si>
  <si>
    <t>103114</t>
  </si>
  <si>
    <t>ASSENTAMENTO DE CONEXÃO COM 2 ACESSOS, FERRO FUNDIDO PARA REDE DE ÁGUA, DN  500 MM, JUNTA FLANGEADA (NÃO INCLUI O FORNECIMENTO). AF_09/2021</t>
  </si>
  <si>
    <t>103115</t>
  </si>
  <si>
    <t>ASSENTAMENTO DE CONEXÃO COM 2 ACESSOS, FERRO FUNDIDO PARA REDE DE ÁGUA, DN  600 MM, JUNTA FLANGEADA (NÃO INCLUI O FORNECIMENTO). AF_09/2021</t>
  </si>
  <si>
    <t>103116</t>
  </si>
  <si>
    <t>ASSENTAMENTO DE CONEXÃO COM 2 ACESSOS, FERRO FUNDIDO PARA REDE DE ÁGUA, DN  700 MM, JUNTA FLANGEADA (NÃO INCLUI O FORNECIMENTO). AF_09/2021</t>
  </si>
  <si>
    <t>103117</t>
  </si>
  <si>
    <t>ASSENTAMENTO DE CONEXÃO COM 2 ACESSOS, FERRO FUNDIDO PARA REDE DE ÁGUA, DN  800 MM, JUNTA FLANGEADA (NÃO INCLUI O FORNECIMENTO). AF_09/2021</t>
  </si>
  <si>
    <t>103118</t>
  </si>
  <si>
    <t>ASSENTAMENTO DE CONEXÃO COM 2 ACESSOS, FERRO FUNDIDO PARA REDE DE ÁGUA, DN  900 MM, JUNTA FLANGEADA (NÃO INCLUI O FORNECIMENTO). AF_09/2021</t>
  </si>
  <si>
    <t>103119</t>
  </si>
  <si>
    <t>ASSENTAMENTO DE CONEXÃO COM 2 ACESSOS, FERRO FUNDIDO PARA REDE DE ÁGUA, DN  1000 MM, JUNTA FLANGEADA (NÃO INCLUI O FORNECIMENTO). AF_09/2021</t>
  </si>
  <si>
    <t>103120</t>
  </si>
  <si>
    <t>ASSENTAMENTO DE CONEXÃO COM 2 ACESSOS, FERRO FUNDIDO PARA REDE DE ÁGUA, DN  1200 MM, JUNTA FLANGEADA (NÃO INCLUI O FORNECIMENTO). AF_09/2021</t>
  </si>
  <si>
    <t>103121</t>
  </si>
  <si>
    <t>ASSENTAMENTO DE CONEXÃO COM 3 ACESSOS, FERRO FUNDIDO PARA REDE DE ÁGUA, DN  80 MM, JUNTA FLANGEADA (NÃO INCLUI O FORNECIMENTO). AF_09/2021</t>
  </si>
  <si>
    <t>103122</t>
  </si>
  <si>
    <t>ASSENTAMENTO DE CONEXÃO COM 3 ACESSOS, FERRO FUNDIDO PARA REDE DE ÁGUA, DN  100 MM, JUNTA FLANGEADA (NÃO INCLUI O FORNECIMENTO). AF_09/2021</t>
  </si>
  <si>
    <t>103123</t>
  </si>
  <si>
    <t>ASSENTAMENTO DE CONEXÃO COM 3 ACESSOS, FERRO FUNDIDO PARA REDE DE ÁGUA, DN  150 MM, JUNTA FLANGEADA (NÃO INCLUI O FORNECIMENTO). AF_09/2021</t>
  </si>
  <si>
    <t>103124</t>
  </si>
  <si>
    <t>ASSENTAMENTO DE CONEXÃO COM 3 ACESSOS, FERRO FUNDIDO PARA REDE DE ÁGUA, DN  200 MM, JUNTA FLANGEADA (NÃO INCLUI O FORNECIMENTO). AF_09/2021</t>
  </si>
  <si>
    <t>103125</t>
  </si>
  <si>
    <t>ASSENTAMENTO DE CONEXÃO COM 3 ACESSOS, FERRO FUNDIDO PARA REDE DE ÁGUA, DN  250 MM, JUNTA FLANGEADA (NÃO INCLUI O FORNECIMENTO). AF_09/2021</t>
  </si>
  <si>
    <t>103126</t>
  </si>
  <si>
    <t>ASSENTAMENTO DE CONEXÃO COM 3 ACESSOS, FERRO FUNDIDO PARA REDE DE ÁGUA, DN  300 MM, JUNTA FLANGEADA (NÃO INCLUI O FORNECIMENTO). AF_09/2021</t>
  </si>
  <si>
    <t>103127</t>
  </si>
  <si>
    <t>ASSENTAMENTO DE CONEXÃO COM 3 ACESSOS, FERRO FUNDIDO PARA REDE DE ÁGUA, DN  350 MM, JUNTA FLANGEADA (NÃO INCLUI O FORNECIMENTO). AF_09/2021</t>
  </si>
  <si>
    <t>103128</t>
  </si>
  <si>
    <t>ASSENTAMENTO DE CONEXÃO COM 3 ACESSOS, FERRO FUNDIDO PARA REDE DE ÁGUA, DN  400 MM, JUNTA FLANGEADA (NÃO INCLUI O FORNECIMENTO). AF_09/2021</t>
  </si>
  <si>
    <t>103129</t>
  </si>
  <si>
    <t>ASSENTAMENTO DE CONEXÃO COM 3 ACESSOS, FERRO FUNDIDO PARA REDE DE ÁGUA, DN  450 MM, JUNTA FLANGEADA (NÃO INCLUI O FORNECIMENTO). AF_09/2021</t>
  </si>
  <si>
    <t>103130</t>
  </si>
  <si>
    <t>ASSENTAMENTO DE CONEXÃO COM 3 ACESSOS, FERRO FUNDIDO PARA REDE DE ÁGUA, DN  500 MM, JUNTA FLANGEADA (NÃO INCLUI O FORNECIMENTO). AF_09/2021</t>
  </si>
  <si>
    <t>103131</t>
  </si>
  <si>
    <t>ASSENTAMENTO DE CONEXÃO COM 3 ACESSOS, FERRO FUNDIDO PARA REDE DE ÁGUA, DN  600 MM, JUNTA FLANGEADA (NÃO INCLUI O FORNECIMENTO). AF_09/2021</t>
  </si>
  <si>
    <t>103132</t>
  </si>
  <si>
    <t>ASSENTAMENTO DE CONEXÃO COM 3 ACESSOS, FERRO FUNDIDO PARA REDE DE ÁGUA, DN  700 MM, JUNTA FLANGEADA (NÃO INCLUI O FORNECIMENTO). AF_09/2021</t>
  </si>
  <si>
    <t>103133</t>
  </si>
  <si>
    <t>ASSENTAMENTO DE CONEXÃO COM 3 ACESSOS, FERRO FUNDIDO PARA REDE DE ÁGUA, DN  800 MM, JUNTA FLANGEADA (NÃO INCLUI O FORNECIMENTO). AF_09/2021</t>
  </si>
  <si>
    <t>103134</t>
  </si>
  <si>
    <t>ASSENTAMENTO DE CONEXÃO COM 3 ACESSOS, FERRO FUNDIDO PARA REDE DE ÁGUA, DN  900 MM, JUNTA FLANGEADA (NÃO INCLUI O FORNECIMENTO). AF_09/2021</t>
  </si>
  <si>
    <t>103135</t>
  </si>
  <si>
    <t>ASSENTAMENTO DE CONEXÃO COM 3 ACESSOS, FERRO FUNDIDO PARA REDE DE ÁGUA, DN  1000 MM, JUNTA FLANGEADA (NÃO INCLUI O FORNECIMENTO). AF_09/2021</t>
  </si>
  <si>
    <t>103136</t>
  </si>
  <si>
    <t>ASSENTAMENTO DE CONEXÃO COM 3 ACESSOS, FERRO FUNDIDO PARA REDE DE ÁGUA, DN  1200 MM, JUNTA FLANGEADA (NÃO INCLUI O FORNECIMENTO). AF_09/2021</t>
  </si>
  <si>
    <t>103137</t>
  </si>
  <si>
    <t>ASSENTAMENTO DE CONEXÃO COM 1 ACESSO, FERRO FUNDIDO PARA REDE DE ÁGUA, DN  80 MM, JUNTA FLANGEADA (NÃO INCLUI O FORNECIMENTO). AF_09/2021</t>
  </si>
  <si>
    <t>103138</t>
  </si>
  <si>
    <t>ASSENTAMENTO DE CONEXÃO COM 1 ACESSO, FERRO FUNDIDO PARA REDE DE ÁGUA, DN  100 MM, JUNTA FLANGEADA (NÃO INCLUI O FORNECIMENTO). AF_09/2021</t>
  </si>
  <si>
    <t>103139</t>
  </si>
  <si>
    <t>ASSENTAMENTO DE CONEXÃO COM 1 ACESSO, FERRO FUNDIDO PARA REDE DE ÁGUA, DN  150 MM, JUNTA FLANGEADA (NÃO INCLUI O FORNECIMENTO). AF_09/2021</t>
  </si>
  <si>
    <t>103140</t>
  </si>
  <si>
    <t>ASSENTAMENTO DE CONEXÃO COM 1 ACESSO, FERRO FUNDIDO PARA REDE DE ÁGUA, DN  200 MM, JUNTA FLANGEADA (NÃO INCLUI O FORNECIMENTO). AF_09/2021</t>
  </si>
  <si>
    <t>103141</t>
  </si>
  <si>
    <t>ASSENTAMENTO DE CONEXÃO COM 1 ACESSO, FERRO FUNDIDO PARA REDE DE ÁGUA, DN  250 MM, JUNTA FLANGEADA (NÃO INCLUI O FORNECIMENTO). AF_09/2021</t>
  </si>
  <si>
    <t>103142</t>
  </si>
  <si>
    <t>ASSENTAMENTO DE CONEXÃO COM 1 ACESSO, FERRO FUNDIDO PARA REDE DE ÁGUA, DN  300 MM, JUNTA FLANGEADA (NÃO INCLUI O FORNECIMENTO). AF_09/2021</t>
  </si>
  <si>
    <t>103143</t>
  </si>
  <si>
    <t>ASSENTAMENTO DE CONEXÃO COM 1 ACESSO, FERRO FUNDIDO PARA REDE DE ÁGUA, DN  350 MM, JUNTA FLANGEADA (NÃO INCLUI O FORNECIMENTO). AF_09/2021</t>
  </si>
  <si>
    <t>103144</t>
  </si>
  <si>
    <t>ASSENTAMENTO DE CONEXÃO COM 1 ACESSO, FERRO FUNDIDO PARA REDE DE ÁGUA, DN  400 MM, JUNTA FLANGEADA (NÃO INCLUI O FORNECIMENTO). AF_09/2021</t>
  </si>
  <si>
    <t>103145</t>
  </si>
  <si>
    <t>ASSENTAMENTO DE CONEXÃO COM 1 ACESSO, FERRO FUNDIDO PARA REDE DE ÁGUA, DN  450 MM, JUNTA FLANGEADA (NÃO INCLUI O FORNECIMENTO). AF_09/2021</t>
  </si>
  <si>
    <t>103146</t>
  </si>
  <si>
    <t>ASSENTAMENTO DE CONEXÃO COM 1 ACESSO, FERRO FUNDIDO PARA REDE DE ÁGUA, DN  500 MM, JUNTA FLANGEADA (NÃO INCLUI O FORNECIMENTO). AF_09/2021</t>
  </si>
  <si>
    <t>103147</t>
  </si>
  <si>
    <t>ASSENTAMENTO DE CONEXÃO COM 1 ACESSO, FERRO FUNDIDO PARA REDE DE ÁGUA, DN  600 MM, JUNTA FLANGEADA (NÃO INCLUI O FORNECIMENTO). AF_09/2021</t>
  </si>
  <si>
    <t>103148</t>
  </si>
  <si>
    <t>ASSENTAMENTO DE CONEXÃO COM 1 ACESSO, FERRO FUNDIDO PARA REDE DE ÁGUA, DN  700 MM, JUNTA FLANGEADA (NÃO INCLUI O FORNECIMENTO). AF_09/2021</t>
  </si>
  <si>
    <t>103149</t>
  </si>
  <si>
    <t>ASSENTAMENTO DE CONEXÃO COM 1 ACESSO, FERRO FUNDIDO PARA REDE DE ÁGUA, DN  800 MM, JUNTA FLANGEADA (NÃO INCLUI O FORNECIMENTO). AF_09/2021</t>
  </si>
  <si>
    <t>103150</t>
  </si>
  <si>
    <t>ASSENTAMENTO DE CONEXÃO COM 1 ACESSO, FERRO FUNDIDO PARA REDE DE ÁGUA, DN  900 MM, JUNTA FLANGEADA (NÃO INCLUI O FORNECIMENTO). AF_09/2021</t>
  </si>
  <si>
    <t>103151</t>
  </si>
  <si>
    <t>ASSENTAMENTO DE CONEXÃO COM 1 ACESSO, FERRO FUNDIDO PARA REDE DE ÁGUA, DN  1000 MM, JUNTA FLANGEADA (NÃO INCLUI O FORNECIMENTO). AF_09/2021</t>
  </si>
  <si>
    <t>103152</t>
  </si>
  <si>
    <t>ASSENTAMENTO DE CONEXÃO COM 1 ACESSO, FERRO FUNDIDO PARA REDE DE ÁGUA, DN  1200 MM, JUNTA FLANGEADA (NÃO INCLUI O FORNECIMENTO). AF_09/2021</t>
  </si>
  <si>
    <t>0,71</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</si>
  <si>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</si>
  <si>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</si>
  <si>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</si>
  <si>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</si>
  <si>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</si>
  <si>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</si>
  <si>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</si>
  <si>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</si>
  <si>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</si>
  <si>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</si>
  <si>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</si>
  <si>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</si>
  <si>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</si>
  <si>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</si>
  <si>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</si>
  <si>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</si>
  <si>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103072</t>
  </si>
  <si>
    <t>EXECUÇÃO DE RADIER, ESPESSURA DE 25 CM, FCK = 30 MPA, COM USO DE FORMAS EM MADEIRA SERRADA. AF_09/2021</t>
  </si>
  <si>
    <t>103073</t>
  </si>
  <si>
    <t>EXECUÇÃO DE RADIER, ESPESSURA DE 30 CM, FCK = 30 MPA, COM USO DE FORMAS EM MADEIRA SERRADA. AF_09/2021</t>
  </si>
  <si>
    <t>103074</t>
  </si>
  <si>
    <t>EXECUÇÃO DE PISO DE CONCRETO, SEM ACABAMENTO SUPERFICIAL, ESPESSURA DE 15 CM, FCK = 30 MPA, COM USO DE FORMAS EM MADEIRA SERRADA. AF_09/2021</t>
  </si>
  <si>
    <t>103075</t>
  </si>
  <si>
    <t>EXECUÇÃO DE PISO DE CONCRETO, COM ACABAMENTO SUPERFICIAL, ESPESSURA DE 15 CM, FCK = 30 MPA, COM USO DE FORMAS EM MADEIRA SERRADA. AF_09/2021</t>
  </si>
  <si>
    <t>103076</t>
  </si>
  <si>
    <t>EXECUÇÃO DE LAJE SOBRE SOLO, ESPESSURA DE 10 CM, FCK = 30 MPA, COM USO DE FORMAS EM MADEIRA SERRADA. AF_09/2021</t>
  </si>
  <si>
    <t>103077</t>
  </si>
  <si>
    <t>EXECUÇÃO DE LAJE SOBRE SOLO, ESPESSURA DE 15 CM, FCK = 30 MPA, COM USO DE FORMAS EM MADEIRA SERRADA. AF_09/2021</t>
  </si>
  <si>
    <t>103078</t>
  </si>
  <si>
    <t>EXECUÇÃO DE LAJE SOBRE SOLO, ESPESSURA DE 20 CM, FCK = 30 MPA, COM USO DE FORMAS EM MADEIRA SERRADA. AF_09/2021</t>
  </si>
  <si>
    <t>103079</t>
  </si>
  <si>
    <t>EXECUÇÃO DE LAJE SOBRE SOLO, ESPESSURA DE 25 CM, FCK = 30 MPA, COM USO DE FORMAS EM MADEIRA SERRADA. AF_09/2021</t>
  </si>
  <si>
    <t>103080</t>
  </si>
  <si>
    <t>EXECUÇÃO DE LAJE SOBRE SOLO, ESPESSURA DE 30 CM, FCK = 30 MPA, COM USO DE FORMAS EM MADEIRA SERRADA. AF_09/2021</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</si>
  <si>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</si>
  <si>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</si>
  <si>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</si>
  <si>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</si>
  <si>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</si>
  <si>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102920</t>
  </si>
  <si>
    <t>ARMAÇÃO DE CINTA DE ALVENARIA ESTRUTURAL; DIÂMETRO DE 12,5 MM. AF_09/2021</t>
  </si>
  <si>
    <t>102921</t>
  </si>
  <si>
    <t>ARMAÇÃO VERTICAL DE ALVENARIA ESTRUTURAL; DIÂMETRO DE 16,0 MM. AF_09/2021</t>
  </si>
  <si>
    <t>102922</t>
  </si>
  <si>
    <t>ARMAÇÃO DE VERGA E CONTRAVERGA DE ALVENARIA ESTRUTURAL; DIÂMETRO DE 16,0 MM. AF_09/2021</t>
  </si>
  <si>
    <t>102923</t>
  </si>
  <si>
    <t>ARMAÇÃO DE CINTA DE ALVENARIA ESTRUTURAL; DIÂMETRO DE 16,0 MM. AF_09/2021</t>
  </si>
  <si>
    <t>103088</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</si>
  <si>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</si>
  <si>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</si>
  <si>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</si>
  <si>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</si>
  <si>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</si>
  <si>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</si>
  <si>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</si>
  <si>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</si>
  <si>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</si>
  <si>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</si>
  <si>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</si>
  <si>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</si>
  <si>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98575</t>
  </si>
  <si>
    <t>TRATAMENTO DE JUNTA DE DILATAÇÃO, COM TARUGO DE POLIETILENO E SELANTE PU, INCLUSO PREENCHIMENTO COM ESPUMA EXPANSIVA PU. AF_06/2018</t>
  </si>
  <si>
    <t>98577</t>
  </si>
  <si>
    <t>TRATAMENTO DE JUNTA SERRADA, COM TARUGO DE POLIETILENO E SELANTE À BASE DE SILICONE. AF_06/2018</t>
  </si>
  <si>
    <t>10,62</t>
  </si>
  <si>
    <t>11,35</t>
  </si>
  <si>
    <t>6,52</t>
  </si>
  <si>
    <t>100853</t>
  </si>
  <si>
    <t>TORNEIRA CROMADA DE MESA PARA LAVATORIO, TIPO MONOCOMANDO. AF_01/2020</t>
  </si>
  <si>
    <t>99804</t>
  </si>
  <si>
    <t>LIMPEZA DE PISO CERÂMICO OU PORCELANATO UTILIZANDO DETERGENTE NEUTRO E ESCOVAÇÃO MANUAL. AF_04/2019</t>
  </si>
  <si>
    <t>99807</t>
  </si>
  <si>
    <t>LIMPEZA DE REVESTIMENTO CERÂMICO EM PAREDE UTILIZANDO DETERGENTE NEUTRO E ESCOVAÇÃO MANUAL. AF_04/2019</t>
  </si>
  <si>
    <t>99810</t>
  </si>
  <si>
    <t>LIMPEZA DE PISO DE MÁRMORE/GRANITO UTILIZANDO DETERGENTE NEUTRO E ESCOVAÇÃO MANUAL. AF_04/2019</t>
  </si>
  <si>
    <t>99813</t>
  </si>
  <si>
    <t>LIMPEZA DE MÁRMORE/GRANITO EM PAREDE UTILIZANDO DETERGENTE NEUTRO E ESCOVAÇÃO MANUAL. AF_04/2019</t>
  </si>
  <si>
    <t>99815</t>
  </si>
  <si>
    <t>LIMPEZA DE PIA INOX COM BANCADA DE PEDRA, INCLUSIVE METAIS CORRESPONDENTES. AF_04/2019</t>
  </si>
  <si>
    <t>99816</t>
  </si>
  <si>
    <t>LIMPEZA DE TANQUE OU LAVATÓRIO DE LOUÇA ISOLADO, INCLUSIVE METAIS CORRESPONDENTES. AF_04/2019</t>
  </si>
  <si>
    <t>99817</t>
  </si>
  <si>
    <t>LIMPEZA DE LAVATÓRIO DE LOUÇA COM BANCADA DE PEDRA, INCLUSIVE METAIS CORRESPONDENTES. AF_04/2019</t>
  </si>
  <si>
    <t>99818</t>
  </si>
  <si>
    <t>LIMPEZA DE BACIA SANITÁRIA, BIDÊ OU MICTÓRIO EM LOUÇA, INCLUSIVE METAIS CORRESPONDENTES. AF_04/2019</t>
  </si>
  <si>
    <t>99819</t>
  </si>
  <si>
    <t>LIMPEZA DE BANCADA DE PEDRA (MÁRMORE OU GRANITO). AF_04/2019</t>
  </si>
  <si>
    <t>99820</t>
  </si>
  <si>
    <t>LIMPEZA DE JANELA INTEIRAMENTE DE VIDRO. AF_04/2019</t>
  </si>
  <si>
    <t>99821</t>
  </si>
  <si>
    <t>LIMPEZA DE JANELA DE VIDRO COM CAIXILHO EM AÇO/ALUMÍNIO/PVC. AF_04/2019</t>
  </si>
  <si>
    <t>99823</t>
  </si>
  <si>
    <t>LIMPEZA DE PORTA INTEIRAMENTE DE VIDRO. AF_04/2019</t>
  </si>
  <si>
    <t>99824</t>
  </si>
  <si>
    <t>LIMPEZA DE PORTA EM AÇO/ALUMÍNIO. AF_04/2019</t>
  </si>
  <si>
    <t>99825</t>
  </si>
  <si>
    <t>LIMPEZA DE PORTA DE VIDRO COM CAIXILHO EM AÇO/ ALUMÍNIO/ PVC. AF_04/2019</t>
  </si>
  <si>
    <t>14,08</t>
  </si>
  <si>
    <t>5,97</t>
  </si>
  <si>
    <t>Obs.: Consumo de acordo com o fabricante do produto "Super Graute Quartzolit", referência comercial indicada.</t>
  </si>
  <si>
    <t>https://www.quartzolit.weber/files/br/2017-12/super_graute_quartzolit.pdf</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</si>
  <si>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</si>
  <si>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</si>
  <si>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</si>
  <si>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Conector reto 1"</t>
  </si>
  <si>
    <t>Conector fixo NPT 3/4"</t>
  </si>
  <si>
    <t>Conector giratório NPT 3/4"</t>
  </si>
  <si>
    <t>SF-02691</t>
  </si>
  <si>
    <t>SF-02692</t>
  </si>
  <si>
    <t>SF-02701</t>
  </si>
  <si>
    <t>SF-02702</t>
  </si>
  <si>
    <t>SF-02703</t>
  </si>
  <si>
    <t>Remoção de pavimento em elementos intertravados de concreto</t>
  </si>
  <si>
    <t>Instalação de pavimentação em elementos intertravados de concreto reaproveitados</t>
  </si>
  <si>
    <t>SF-02704</t>
  </si>
  <si>
    <t>SF-02705</t>
  </si>
  <si>
    <t>SF-02709</t>
  </si>
  <si>
    <t>SF-02710</t>
  </si>
  <si>
    <t>SF-02717</t>
  </si>
  <si>
    <t>SF-02719</t>
  </si>
  <si>
    <t>SF-02720</t>
  </si>
  <si>
    <t>SF-02724</t>
  </si>
  <si>
    <t>SF-02730</t>
  </si>
  <si>
    <t>SF-02731</t>
  </si>
  <si>
    <t>SF-02735</t>
  </si>
  <si>
    <t>SF-02737</t>
  </si>
  <si>
    <t>SF-02739</t>
  </si>
  <si>
    <t>SF-02742</t>
  </si>
  <si>
    <t>SF-02743</t>
  </si>
  <si>
    <t>SF-02745</t>
  </si>
  <si>
    <t>SF-02747</t>
  </si>
  <si>
    <t>SF-02748</t>
  </si>
  <si>
    <t>1,69</t>
  </si>
  <si>
    <t>9,54</t>
  </si>
  <si>
    <t>7,03</t>
  </si>
  <si>
    <t>5,76</t>
  </si>
  <si>
    <t>7,78</t>
  </si>
  <si>
    <t>1,56</t>
  </si>
  <si>
    <t>15,94</t>
  </si>
  <si>
    <t>19,80</t>
  </si>
  <si>
    <t>0,66</t>
  </si>
  <si>
    <t>11,10</t>
  </si>
  <si>
    <t>15,82</t>
  </si>
  <si>
    <t>6,81</t>
  </si>
  <si>
    <t>5,80</t>
  </si>
  <si>
    <t>3,21</t>
  </si>
  <si>
    <t>8,53</t>
  </si>
  <si>
    <t>23,66</t>
  </si>
  <si>
    <t>11,81</t>
  </si>
  <si>
    <t>18,05</t>
  </si>
  <si>
    <t>14,06</t>
  </si>
  <si>
    <t>94589</t>
  </si>
  <si>
    <t>CONTRAMARCO DE ALUMÍNIO, FIXAÇÃO COM ARGAMASSA - FORNECIMENTO E INSTALAÇÃO. AF_12/2019</t>
  </si>
  <si>
    <t>94590</t>
  </si>
  <si>
    <t>CONTRAMARCO DE ALUMÍNIO, FIXAÇÃO COM PARAFUSO - FORNECIMENTO E INSTALAÇÃO. AF_12/2019</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</si>
  <si>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</si>
  <si>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</si>
  <si>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</si>
  <si>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</si>
  <si>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</si>
  <si>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</si>
  <si>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</si>
  <si>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</si>
  <si>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</si>
  <si>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</si>
  <si>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103183</t>
  </si>
  <si>
    <t>CONCRETAGEM DE ESCADAS EM EDIFICAÇÕES MULTIFAMILIARES FEITAS COM SISTEMA DE FÔRMAS MANUSEÁVEIS - CONCRETO USINADO BOMBEÁVEL, FCK 25 MPA - LANÇAMENTO, ADENSAMENTO E ACABAMENTO (EXCLUSIVE BOMBA LANÇA). AF_10/2021</t>
  </si>
  <si>
    <t>103184</t>
  </si>
  <si>
    <t>CONCRETAGEM DE ESCADAS EM EDIFICAÇÕES MULTIFAMILIARES FEITAS COM SISTEMA DE FÔRMAS MANUSEÁVEIS - CONCRETO USINADO AUTOADENSÁVEL, FCK 25 MPA - LANÇAMENTO, ADENSAMENTO E ACABAMENTO. AF_10/2021</t>
  </si>
  <si>
    <t>23,35</t>
  </si>
  <si>
    <t>6,74</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</si>
  <si>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</si>
  <si>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</si>
  <si>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</si>
  <si>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</si>
  <si>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</si>
  <si>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</si>
  <si>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</si>
  <si>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</si>
  <si>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</si>
  <si>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</si>
  <si>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</si>
  <si>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</si>
  <si>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10,04</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</si>
  <si>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</si>
  <si>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</si>
  <si>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</si>
  <si>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</si>
  <si>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</si>
  <si>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</si>
  <si>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</si>
  <si>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</si>
  <si>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</si>
  <si>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</si>
  <si>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</si>
  <si>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</si>
  <si>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</si>
  <si>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</si>
  <si>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</si>
  <si>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</si>
  <si>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</si>
  <si>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</si>
  <si>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</si>
  <si>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</si>
  <si>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</si>
  <si>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</si>
  <si>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</si>
  <si>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</si>
  <si>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</si>
  <si>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</si>
  <si>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</si>
  <si>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</si>
  <si>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</si>
  <si>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</si>
  <si>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</si>
  <si>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</si>
  <si>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</si>
  <si>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</si>
  <si>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</si>
  <si>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</si>
  <si>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</si>
  <si>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</si>
  <si>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</si>
  <si>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</si>
  <si>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</si>
  <si>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</si>
  <si>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</si>
  <si>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</si>
  <si>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</si>
  <si>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</si>
  <si>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</si>
  <si>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</si>
  <si>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</si>
  <si>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</si>
  <si>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</si>
  <si>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</si>
  <si>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</si>
  <si>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</si>
  <si>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</si>
  <si>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</si>
  <si>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</si>
  <si>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</si>
  <si>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</si>
  <si>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</si>
  <si>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101157</t>
  </si>
  <si>
    <t>ALVENARIA DE VEDAÇÃO DE BLOCOS DE GESSO DE 7X50X66CM (ESPESSURA 7CM). AF_05/2020</t>
  </si>
  <si>
    <t>101158</t>
  </si>
  <si>
    <t>ALVENARIA DE VEDAÇÃO DE BLOCOS DE GESSO DE 10X50X66CM (ESPESSURA 10CM). AF_05/2020</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</si>
  <si>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</si>
  <si>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BETONEIRA 400 L, E = 4 CM ÁREAS SECAS E  MOLHADAS SOBRE LAJE , E = 3 CM ÁREAS MOLHADAS SOBRE IMPERMEABILIZAÇÃO, PARA EDIFICAÇÃO MULTIFAMILIAR. AF_11/2014</t>
  </si>
  <si>
    <t>(COMPOSIÇÃO REPRESENTATIVA) DO SERVIÇO DE REVESTIMENTO CERÂMICO PARA PAREDES INTERNAS, MEIA OU PAREDE INTEIRA, PLACAS TIPO ESMALTADA EXTRA DE 20X20 CM, PARA EDIFICAÇÕES HABITACIONAIS UNIFAMILIAR (CASAS) E EDIFICAÇÕES PÚBLICAS PADRÃO. AF_11/2014</t>
  </si>
  <si>
    <t>103185</t>
  </si>
  <si>
    <t>INSTALAÇÃO DE ESQUI TRIPLO, EM TUBO DE AÇO CARBONO - EQUIPAMENTO DE GINÁSTICA PARA ACADEMIA AO AR LIVRE / ACADEMIA DA TERCEIRA IDADE - ATI, INSTALADO SOBRE PISO DE CONCRETO EXISTENTE. AF_10/2021</t>
  </si>
  <si>
    <t>103186</t>
  </si>
  <si>
    <t>INSTALAÇÃO DE MULTIEXERCITADOR COM SEIS FUNÇÕES, EM TUBO DE AÇO CARBONO - EQUIPAMENTO DE GINÁSTICA PARA ACADEMIA AO AR LIVRE / ACADEMIA DA TERCEIRA IDADE - ATI, INSTALADO SOBRE PISO DE CONCRETO EXISTENTE. AF_10/2021</t>
  </si>
  <si>
    <t>103187</t>
  </si>
  <si>
    <t>INSTALAÇÃO DE SIMULADOR DE CAMINHADA TRIPLO, EM TUBO DE AÇO CARBONO - EQUIPAMENTO DE GINÁSTICA PARA ACADEMIA AO AR LIVRE / ACADEMIA DA TERCEIRA IDADE - ATI, INSTALADO SOBRE PISO DE CONCRETO EXISTENTE. AF_10/2021</t>
  </si>
  <si>
    <t>103188</t>
  </si>
  <si>
    <t>INSTALAÇÃO DE SIMULADOR DE CAVALGADA TRIPLO, EM TUBO DE AÇO CARBONO - EQUIPAMENTO DE GINÁSTICA PARA ACADEMIA AO AR LIVRE / ACADEMIA DA TERCEIRA IDADE - ATI, INSTALADO SOBRE PISO DE CONCRETO EXISTENTE. AF_10/2021</t>
  </si>
  <si>
    <t>103189</t>
  </si>
  <si>
    <t>INSTALAÇÃO DE SIMULADOR DE REMO INDIVIDUAL, EM TUBO DE AÇO CARBONO - EQUIPAMENTO DE GINÁSTICA PARA ACADEMIA AO AR LIVRE / ACADEMIA DA TERCEIRA IDADE - ATI, INSTALADO SOBRE PISO DE CONCRETO EXISTENTE. AF_10/2021</t>
  </si>
  <si>
    <t>103190</t>
  </si>
  <si>
    <t>INSTALAÇÃO DE PRESSÃO DE PERNAS TRIPLO, EM TUBO DE AÇO CARBONO - EQUIPAMENTO DE GINÁSTICA PARA ACADEMIA AO AR LIVRE / ACADEMIA DA TERCEIRA IDADE - ATI, INSTALADO SOBRE SOLO. AF_10/2021</t>
  </si>
  <si>
    <t>103191</t>
  </si>
  <si>
    <t>INSTALAÇÃO DE ALONGADOR COM TRÊS ALTURAS, EM TUBO DE AÇO CARBONO - EQUIPAMENTO DE GINASTICA PARA ACADEMIA AO AR LIVRE / ACADEMIA DA TERCEIRA IDADE - ATI, INSTALADO SOBRE SOLO. AF_10/2021</t>
  </si>
  <si>
    <t>103192</t>
  </si>
  <si>
    <t>INSTALAÇÃO DE ROTAÇÃO DIAGONAL DUPLA, APARELHO TRIPLO, EM TUBO DE AÇO CARBONO - EQUIPAMENTO DE GINÁSTICA PARA ACADEMIA AO AR LIVRE / ACADEMIA DA TERCEIRA IDADE - ATI, INSTALADO SOBRE SOLO. AF_10/2021</t>
  </si>
  <si>
    <t>103193</t>
  </si>
  <si>
    <t>INSTALAÇÃO DE ROTAÇÃO VERTICAL DUPLO, EM TUBO DE AÇO CARBONO - EQUIPAMENTO DE GINÁSTICA PARA ACADEMIA AO AR LIVRE / ACADEMIA DA TERCEIRA IDADE - ATI, INSTALADO SOBRE SOLO. AF_10/2021</t>
  </si>
  <si>
    <t>103194</t>
  </si>
  <si>
    <t>INSTALAÇÃO DE SURF DUPLO, EM TUBO DE AÇO CARBONO - EQUIPAMENTO DE GINÁSTICA PARA ACADEMIA AO AR LIVRE / ACADEMIA DA TERCEIRA IDADE - ATI, INSTALADO SOBRE SOLO. AF_10/2021</t>
  </si>
  <si>
    <t>103195</t>
  </si>
  <si>
    <t>INSTALAÇÃO DE PLACA ORIENTATIVA SOBRE EXERCÍCIOS, 2,00M X 1,00M, EM TUBO DE AÇO CARBONO - PARA ACADEMIA AO AR LIVRE / ACADEMIA DA TERCEIRA IDADE - ATI, INSTALADO SOBRE SOLO. AF_10/2021</t>
  </si>
  <si>
    <t>103205</t>
  </si>
  <si>
    <t>INSTALAÇÃO DE PRESSÃO DE PERNAS TRIPLO, EM TUBO DE AÇO CARBONO - EQUIPAMENTO DE GINÁSTICA PARA ACADEMIA AO AR LIVRE / ACADEMIA DA TERCEIRA IDADE - ATI, INSTALADO SOBRE PISO DE CONCRETO EXISTENTE. AF_10/2021</t>
  </si>
  <si>
    <t>103206</t>
  </si>
  <si>
    <t>INSTALAÇÃO DE ALONGADOR COM TRÊS ALTURAS, EM TUBO DE AÇO CARBONO - EQUIPAMENTO DE GINÁSTICA PARA ACADEMIA AO AR LIVRE / ACADEMIA DA TERCEIRA IDADE - ATI, INSTALADO SOBRE PISO DE CONCRETO EXISTENTE. AF_10/2021</t>
  </si>
  <si>
    <t>103207</t>
  </si>
  <si>
    <t>INSTALAÇÃO DE ROTAÇÃO DIAGONAL DUPLA, APARELHO TRIPLO, EM TUBO DE AÇO CARBONO - EQUIPAMENTO DE GINÁSTICA PARA ACADEMIA AO AR LIVRE / ACADEMIA DA TERCEIRA IDADE - ATI, INSTALADO SOBRE PISO DE CONCRETO EXISTENTE. AF_10/2021</t>
  </si>
  <si>
    <t>103208</t>
  </si>
  <si>
    <t>INSTALAÇÃO DE ROTAÇÃO VERTICAL DUPLO, EM TUBO DE ACO CARBONO - EQUIPAMENTO DE GINASTICA PARA ACADEMIA AO AR LIVRE / ACADEMIA DA TERCEIRA IDADE - ATI, INSTALADO SOBRE PISO DE CONCRETO EXISTENTE. AF_10/2021</t>
  </si>
  <si>
    <t>103209</t>
  </si>
  <si>
    <t>INSTALAÇÃO DE SURF DUPLO, EM TUBO DE AÇO CARBONO - EQUIPAMENTO DE GINÁSTICA PARA ACADEMIA AO AR LIVRE / ACADEMIA DA TERCEIRA IDADE - ATI, INSTALADO SOBRE PISO DE CONCRETO EXISTENTE. AF_10/2021</t>
  </si>
  <si>
    <t>103210</t>
  </si>
  <si>
    <t>INSTALAÇÃO DE PLACA ORIENTATIVA SOBRE EXERCÍCIOS, 2,00M X 1,00M, EM TUBO DE AÇO CARBONO - PARA ACADEMIA AO AR LIVRE / ACADEMIA DA TERCEIRA IDADE - ATI, INSTALADO SOBRE PISO DE CONCRETO EXISTENTE. AF_10/2021</t>
  </si>
  <si>
    <t>19,51</t>
  </si>
  <si>
    <t>19,29</t>
  </si>
  <si>
    <t>2,64</t>
  </si>
  <si>
    <t>15,03</t>
  </si>
  <si>
    <t>13,92</t>
  </si>
  <si>
    <t>8,59</t>
  </si>
  <si>
    <t>7,17</t>
  </si>
  <si>
    <t>3,54</t>
  </si>
  <si>
    <t>8,76</t>
  </si>
  <si>
    <t>10,16</t>
  </si>
  <si>
    <t>23,27</t>
  </si>
  <si>
    <t>13,54</t>
  </si>
  <si>
    <t>10,50</t>
  </si>
  <si>
    <t>1,62</t>
  </si>
  <si>
    <t>15,54</t>
  </si>
  <si>
    <t>14,32</t>
  </si>
  <si>
    <t>11,92</t>
  </si>
  <si>
    <t>6,85</t>
  </si>
  <si>
    <t>9,71</t>
  </si>
  <si>
    <t>4,89</t>
  </si>
  <si>
    <t>17,20</t>
  </si>
  <si>
    <t>12,80</t>
  </si>
  <si>
    <t>12,68</t>
  </si>
  <si>
    <t>18,49</t>
  </si>
  <si>
    <t>11,08</t>
  </si>
  <si>
    <t>2,54</t>
  </si>
  <si>
    <t>16,00</t>
  </si>
  <si>
    <t>102809</t>
  </si>
  <si>
    <t>102815</t>
  </si>
  <si>
    <t>CENTRAL DE LAMA BENTONÍTICA (DEPÓSITO DE BENTONITA, MISTURADOR DE ALTA TURBULÊNCIA, SILOS DE ARMAZENAMENTO DE LAMA E ÁGUA, LABORATÓRIO DE CONTROLE DE QUALIDADE DA LAMA) - MATERIAIS NA OPERAÇÃO. AF_04/2019</t>
  </si>
  <si>
    <t>102826</t>
  </si>
  <si>
    <t>102832</t>
  </si>
  <si>
    <t>102843</t>
  </si>
  <si>
    <t>GUINDASTE HIDRAULICO AUTOPROPELIDO, COM LANÇA TRELIÇADA 40 M, CAPACIDADE MÁXIMA 75 T, EQUIPADO COM CLAMSHELL - MATERIAIS NA OPERAÇÃO. AF_04/2019</t>
  </si>
  <si>
    <t>102849</t>
  </si>
  <si>
    <t>GUINDASTE SOBRE ESTEIRAS, COM LANÇA TRELIÇADA 40 M, CAPACIDADE MÁXIMA 75 T - MATERIAIS NA OPERAÇÃO. AF_04/2019</t>
  </si>
  <si>
    <t>102855</t>
  </si>
  <si>
    <t>GUINDASTE SOBRE ESTEIRAS, COM LANÇA TRELIÇADA 40 M, CAPACIDADE MÁXIMA 75 T, EQUIPADO COM CLAMSHELL - MATERIAIS NA OPERAÇÃO. AF_04/2019</t>
  </si>
  <si>
    <t>102861</t>
  </si>
  <si>
    <t>102867</t>
  </si>
  <si>
    <t>102873</t>
  </si>
  <si>
    <t>PERFURATRIZ HIDRÁULICA SOBRE ESTEIRA, TORQUE MÁXIMO 161 KNM, PROFUNDIDADE MÁXIMA 54 M, DIÂMETRO MÁXIMO 1500 MM, POTÊNCIA MOTOR 268 HP - MATERIAIS NA OPERAÇÃO. AF_04/2019</t>
  </si>
  <si>
    <t>102879</t>
  </si>
  <si>
    <t>PERFURATRIZ PARA EXECUÇÃO DE ESTACAS SECANTES, TIPO HÉLICE CONTÍNUA COM CABEÇOTE DUPLO E TUBO METÁLICO - MATERIAIS NA OPERAÇÃO. AF_04/2019</t>
  </si>
  <si>
    <t>102885</t>
  </si>
  <si>
    <t>PLATAFORMA ELEVATÓRIA - MATERIAIS NA OPERAÇÃO. AF_04/2019</t>
  </si>
  <si>
    <t>102891</t>
  </si>
  <si>
    <t>PÓRTICO ROLANTE MONOVIGA, PERFIL I, 4 PERNAS, CAPACIDADE 5 T  - MATERIAIS NA OPERAÇÃO. AF_04/2019</t>
  </si>
  <si>
    <t>102897</t>
  </si>
  <si>
    <t>ESCAVADEIRA HIDRÁULICA SOBRE ESTEIRA, PESO OPERACIONAL ENTRE 22,00 E 23,50 T, POTÊNCIA NOMINAL 139 HP, COM MARTELO ROMPEDOR HIDRÁULICO 1700 KG - MATERIAIS NA OPERAÇÃO. AF_04/2019</t>
  </si>
  <si>
    <t>102903</t>
  </si>
  <si>
    <t>102909</t>
  </si>
  <si>
    <t>102915</t>
  </si>
  <si>
    <t>102927</t>
  </si>
  <si>
    <t>102933</t>
  </si>
  <si>
    <t>FURADEIRA ELETROMAGNÉTICA, VELOCIDADE (SEM CARGA/ COM CARGA) 450/ 270 RPM, ESPESSURA MÁXIMA DA CHAPA A SER FURADA 50 MM, PORÇA DE ADESÃO MAGNÉTICA 17000 N, POTÊNCIA 1100 W, ALIMENTÇÃO 220 - 60 HZ, MONOFÁSICA - MATERIAIS NA OPERAÇÃO. AF_08/2019</t>
  </si>
  <si>
    <t>102939</t>
  </si>
  <si>
    <t>102945</t>
  </si>
  <si>
    <t>102951</t>
  </si>
  <si>
    <t>102957</t>
  </si>
  <si>
    <t>RETROESCAVADEIRA SOBRE RODAS COM CARREGADEIRA , PESO OPERACIONAL MÍN. 6,674, POTÊNCIA LÍQ 88 HP, COM MARTELO ROMPEDOR HIDRÁULICO ENTRE  275 A 362 KG - MATERIAIS NA OPERAÇÃO. AF_02/2021</t>
  </si>
  <si>
    <t>102963</t>
  </si>
  <si>
    <t>PERFURATRIZ HIDRÁULICA SOBRE ESTEIRA, TORQUE MÁXIMO 98 KNM, PROFUNDIDADE MÁXIMA 25 M, DIÂMETRO MÁXIMO 115 MM, POTÊNCIA MOTOR 190 HP - MATERIAIS NA OPERAÇÃO. AF_02/2021</t>
  </si>
  <si>
    <t>102969</t>
  </si>
  <si>
    <t>102985</t>
  </si>
  <si>
    <t>MÁQUINA DEMARCADORA DE FAIXA DE TRÁFEGO À FRIO, TRAÇÃO MANUAL, 4 CV, PRESSÃO MAX 3300 PSI, TANQUE 20 L - MATERIAIS NA OPERAÇÃO. AF_06/2021</t>
  </si>
  <si>
    <t>103156</t>
  </si>
  <si>
    <t>103162</t>
  </si>
  <si>
    <t>103168</t>
  </si>
  <si>
    <t>103174</t>
  </si>
  <si>
    <t>103180</t>
  </si>
  <si>
    <t>103223</t>
  </si>
  <si>
    <t>103229</t>
  </si>
  <si>
    <t>103235</t>
  </si>
  <si>
    <t>103241</t>
  </si>
  <si>
    <t>103244</t>
  </si>
  <si>
    <t>103245</t>
  </si>
  <si>
    <t>103246</t>
  </si>
  <si>
    <t>103247</t>
  </si>
  <si>
    <t>103248</t>
  </si>
  <si>
    <t>103249</t>
  </si>
  <si>
    <t>103250</t>
  </si>
  <si>
    <t>103251</t>
  </si>
  <si>
    <t>103252</t>
  </si>
  <si>
    <t>103253</t>
  </si>
  <si>
    <t>103254</t>
  </si>
  <si>
    <t>103255</t>
  </si>
  <si>
    <t>103256</t>
  </si>
  <si>
    <t>103257</t>
  </si>
  <si>
    <t>103258</t>
  </si>
  <si>
    <t>103259</t>
  </si>
  <si>
    <t>103260</t>
  </si>
  <si>
    <t>103261</t>
  </si>
  <si>
    <t>103262</t>
  </si>
  <si>
    <t>103263</t>
  </si>
  <si>
    <t>103264</t>
  </si>
  <si>
    <t>103265</t>
  </si>
  <si>
    <t>103266</t>
  </si>
  <si>
    <t>103267</t>
  </si>
  <si>
    <t>103268</t>
  </si>
  <si>
    <t>103269</t>
  </si>
  <si>
    <t>103270</t>
  </si>
  <si>
    <t>103271</t>
  </si>
  <si>
    <t>103272</t>
  </si>
  <si>
    <t>103273</t>
  </si>
  <si>
    <t>103274</t>
  </si>
  <si>
    <t>103275</t>
  </si>
  <si>
    <t>103276</t>
  </si>
  <si>
    <t>103277</t>
  </si>
  <si>
    <t>103278</t>
  </si>
  <si>
    <t>103288</t>
  </si>
  <si>
    <t>RASGO E CHUMBAMENTO EM ALVENARIA PARA TUBOS DE SPLIT PAREDE DE 9000 A 24000 BTUS/H. AF_11/2021</t>
  </si>
  <si>
    <t>103289</t>
  </si>
  <si>
    <t>TUBO EM COBRE FLEXÍVEL, DN 1/4", COM ISOLAMENTO, INSTALADO EM FORRO, PARA RAMAL DE ALIMENTAÇÃO DE AR CONDICIONADO, INCLUSO FIXADOR. AF_11/2021</t>
  </si>
  <si>
    <t>103290</t>
  </si>
  <si>
    <t>TUBO EM COBRE FLEXÍVEL, DN 3/8", COM ISOLAMENTO, INSTALADO EM FORRO, PARA RAMAL DE ALIMENTAÇÃO DE AR CONDICIONADO, INCLUSO FIXADOR. AF_11/2021</t>
  </si>
  <si>
    <t>103291</t>
  </si>
  <si>
    <t>TUBO EM COBRE FLEXÍVEL, DN 1/2", COM ISOLAMENTO, INSTALADO EM FORRO, PARA RAMAL DE ALIMENTAÇÃO DE AR CONDICIONADO, INCLUSO FIXADOR. AF_11/2021</t>
  </si>
  <si>
    <t>103292</t>
  </si>
  <si>
    <t>TUBO EM COBRE FLEXÍVEL, DN 5/8", COM ISOLAMENTO, INSTALADO EM FORRO, PARA RAMAL DE ALIMENTAÇÃO DE AR CONDICIONADO, INCLUSO FIXADOR. AF_11/2021</t>
  </si>
  <si>
    <t>8,83</t>
  </si>
  <si>
    <t>12,42</t>
  </si>
  <si>
    <t>15,22</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</si>
  <si>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</si>
  <si>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</si>
  <si>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</si>
  <si>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</si>
  <si>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</si>
  <si>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</si>
  <si>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0,83</t>
  </si>
  <si>
    <t>103304</t>
  </si>
  <si>
    <t>INSTALAÇÃO DE BANCO METÁLICO COM ENCOSTO, 1,60 M DE COMPRIMENTO, EM TUBO DE AÇO CARBONO COM PINTURA ELETROSTÁTICA, SOBRE PISO DE CONCRETO EXISTENTE. AF_11/2021</t>
  </si>
  <si>
    <t>103307</t>
  </si>
  <si>
    <t>INSTALAÇÃO DE LIXEIRA METÁLICA DUPLA, CAPACIDADE DE 60 L, EM TUBO DE AÇO CARBONO E CESTOS EM CHAPA DE AÇO COM PINTURA ELETROSTÁTICA, SOBRE PISO DE CONCRETO EXISTENTE. AF_11/2021</t>
  </si>
  <si>
    <t>103310</t>
  </si>
  <si>
    <t>INSTALAÇÃO DE LIXEIRA METÁLICA DUPLA, CAPACIDADE DE 60 L, EM TUBO DE AÇO CARBONO E CESTOS EM CHAPA DE AÇO COM PINTURA ELETROSTÁTICA, SOBRE SOLO. AF_11/2021</t>
  </si>
  <si>
    <t>103314</t>
  </si>
  <si>
    <t>INSTALAÇÃO DE PERGOLADO DE MADEIRA, EM MAÇARANDUBA, ANGELIM OU EQUIVALENTE DA REGIÃO, FIXADO COM CONCRETO SOBRE PISO DE CONCRETO EXISTENTE. AF_11/2021</t>
  </si>
  <si>
    <t>103315</t>
  </si>
  <si>
    <t>INSTALAÇÃO DE PERGOLADO DE MADEIRA, EM MAÇARANDUBA, ANGELIM OU EQUIVALENTE DA REGIÃO, FIXADO COM CONCRETO SOBRE SOLO. AF_11/2021</t>
  </si>
  <si>
    <t>10,29</t>
  </si>
  <si>
    <t>9,65</t>
  </si>
  <si>
    <t>27,64</t>
  </si>
  <si>
    <t>Caixa hermética para CFTV</t>
  </si>
  <si>
    <t>POSTE CONICO CONTINUO EM ACO GALVANIZADO, RETO, H = 4 M</t>
  </si>
  <si>
    <t>1,24</t>
  </si>
  <si>
    <t>5,83</t>
  </si>
  <si>
    <t>2,98</t>
  </si>
  <si>
    <t>5,15</t>
  </si>
  <si>
    <t>3,22</t>
  </si>
  <si>
    <t>0,86</t>
  </si>
  <si>
    <t>26,24</t>
  </si>
  <si>
    <t>11,25</t>
  </si>
  <si>
    <t>6,78</t>
  </si>
  <si>
    <t>3,66</t>
  </si>
  <si>
    <t>11,00</t>
  </si>
  <si>
    <t>10,46</t>
  </si>
  <si>
    <t>25,62</t>
  </si>
  <si>
    <t>16,34</t>
  </si>
  <si>
    <t>9,20</t>
  </si>
  <si>
    <t>13,41</t>
  </si>
  <si>
    <t>6,40</t>
  </si>
  <si>
    <t>2,60</t>
  </si>
  <si>
    <t>11,38</t>
  </si>
  <si>
    <t>9,59</t>
  </si>
  <si>
    <t>10,45</t>
  </si>
  <si>
    <t>23,45</t>
  </si>
  <si>
    <t>5,17</t>
  </si>
  <si>
    <t>2,62</t>
  </si>
  <si>
    <t>26,79</t>
  </si>
  <si>
    <t>18,16</t>
  </si>
  <si>
    <t>8,24</t>
  </si>
  <si>
    <t>8,09</t>
  </si>
  <si>
    <t>11,73</t>
  </si>
  <si>
    <t>103372</t>
  </si>
  <si>
    <t>TUBO PEAD LISO PARA REDE DE ÁGUA OU ESGOTO, DIÂMETRO DE 20 MM, JUNTA SOLDADA (NÃO INCLUI A EXECUÇÃO DE SOLDA) - FORNECIMENTO E ASSENTAMENTO. AF_12/2021</t>
  </si>
  <si>
    <t>103373</t>
  </si>
  <si>
    <t>TUBO PEAD LISO PARA REDE DE ÁGUA OU ESGOTO, DIÂMETRO DE 32 MM, JUNTA SOLDADA (NÃO INCLUI A EXECUÇÃO DE SOLDA) - FORNECIMENTO E ASSENTAMENTO. AF_12/2021</t>
  </si>
  <si>
    <t>103376</t>
  </si>
  <si>
    <t>TUBO PEAD LISO PARA REDE DE ÁGUA OU ESGOTO, DIÂMETRO DE 110 MM, JUNTA SOLDADA (NÃO INCLUI A EXECUÇÃO DE SOLDA) - FORNECIMENTO E ASSENTAMENTO. AF_12/2021</t>
  </si>
  <si>
    <t>103377</t>
  </si>
  <si>
    <t>TUBO PEAD LISO PARA REDE DE ÁGUA OU ESGOTO, DIÂMETRO DE 160 MM, JUNTA SOLDADA (NÃO INCLUI A EXECUÇÃO DE SOLDA) - FORNECIMENTO E ASSENTAMENTO. AF_12/2021</t>
  </si>
  <si>
    <t>103379</t>
  </si>
  <si>
    <t>TUBO PEAD LISO PARA REDE DE ÁGUA OU ESGOTO, DIÂMETRO DE 200 MM, JUNTA SOLDADA (NÃO INCLUI A EXECUÇÃO DE SOLDA) - FORNECIMENTO E ASSENTAMENTO. AF_12/2021</t>
  </si>
  <si>
    <t>103383</t>
  </si>
  <si>
    <t>TUBO PEAD LISO PARA REDE DE ÁGUA OU ESGOTO, DIÂMETRO DE 315 MM, JUNTA SOLDADA (NÃO INCLUI A EXECUÇÃO DE SOLDA) - FORNECIMENTO E ASSENTAMENTO. AF_12/2021</t>
  </si>
  <si>
    <t>103385</t>
  </si>
  <si>
    <t>TUBO PEAD LISO PARA REDE DE ÁGUA OU ESGOTO, DIÂMETRO DE 400 MM, JUNTA SOLDADA (NÃO INCLUI A EXECUÇÃO DE SOLDA) - FORNECIMENTO E ASSENTAMENTO. AF_12/2021</t>
  </si>
  <si>
    <t>103387</t>
  </si>
  <si>
    <t>TUBO PEAD LISO PARA REDE DE ÁGUA OU ESGOTO, DIÂMETRO DE 500 MM, JUNTA SOLDADA (NÃO INCLUI A EXECUÇÃO DE SOLDA) - FORNECIMENTO E ASSENTAMENTO. AF_12/2021</t>
  </si>
  <si>
    <t>103389</t>
  </si>
  <si>
    <t>TUBO PEAD LISO PARA REDE DE ÁGUA OU ESGOTO, DIÂMETRO DE 630 MM, JUNTA SOLDADA (NÃO INCLUI A EXECUÇÃO DE SOLDA) - FORNECIMENTO E ASSENTAMENTO. AF_12/2021</t>
  </si>
  <si>
    <t>103391</t>
  </si>
  <si>
    <t>TUBO PEAD LISO PARA REDE DE ÁGUA OU ESGOTO, DIÂMETRO DE 800 MM, JUNTA SOLDADA (NÃO INCLUI A EXECUÇÃO DE SOLDA) - FORNECIMENTO E ASSENTAMENTO. AF_12/2021</t>
  </si>
  <si>
    <t>103392</t>
  </si>
  <si>
    <t>TUBO PEAD LISO PARA REDE DE ÁGUA OU ESGOTO, DIÂMETRO DE 900 MM, JUNTA SOLDADA (NÃO INCLUI A EXECUÇÃO DE SOLDA) - FORNECIMENTO E ASSENTAMENTO. AF_12/2021</t>
  </si>
  <si>
    <t>103393</t>
  </si>
  <si>
    <t>TUBO PEAD LISO PARA REDE DE ÁGUA OU ESGOTO, DIÂMETRO DE 1000 MM, JUNTA SOLDADA (NÃO INCLUI A EXECUÇÃO DE SOLDA) - FORNECIMENTO E ASSENTAMENTO. AF_12/2021</t>
  </si>
  <si>
    <t>103394</t>
  </si>
  <si>
    <t>TUBO PEAD LISO PARA REDE DE ÁGUA OU ESGOTO, DIÂMETRO DE 1200 MM, JUNTA SOLDADA (NÃO INCLUI A EXECUÇÃO DE SOLDA) - FORNECIMENTO E ASSENTAMENTO. AF_12/2021</t>
  </si>
  <si>
    <t>103395</t>
  </si>
  <si>
    <t>TUBO PEAD LISO PARA REDE DE ÁGUA OU ESGOTO, DIÂMETRO DE 1400 MM, JUNTA SOLDADA (NÃO INCLUI A EXECUÇÃO DE SOLDA) - FORNECIMENTO E ASSENTAMENTO. AF_12/2021</t>
  </si>
  <si>
    <t>103396</t>
  </si>
  <si>
    <t>TUBO PEAD LISO PARA REDE DE ÁGUA OU ESGOTO, DIÂMETRO DE 1600 MM, JUNTA SOLDADA (NÃO INCLUI A EXECUÇÃO DE SOLDA) - FORNECIMENTO E ASSENTAMENTO. AF_12/2021</t>
  </si>
  <si>
    <t>103397</t>
  </si>
  <si>
    <t>ASSENTAMENTO DE CONEXÃO COM 2 ACESSOS, EM PEAD LISO PARA REDE DE ÁGUA OU ESGOTO, DIÂMETRO DE 20 MM, JUNTA SOLDADA (NÃO INCLUI O FORNECIMENTO E EXECUÇÃO DE SOLDA). AF_12/2021</t>
  </si>
  <si>
    <t>103398</t>
  </si>
  <si>
    <t>ASSENTAMENTO DE CONEXÃO COM 2 ACESSOS, EM PEAD LISO PARA REDE DE ÁGUA OU ESGOTO, DIÂMETRO DE 32 MM, JUNTA SOLDADA (NÃO INCLUI O FORNECIMENTO E EXECUÇÃO DE SOLDA). AF_12/2021</t>
  </si>
  <si>
    <t>103399</t>
  </si>
  <si>
    <t>ASSENTAMENTO DE CONEXÃO COM 2 ACESSOS, EM PEAD LISO PARA REDE DE ÁGUA OU ESGOTO, DIÂMETRO DE 63 MM, JUNTA SOLDADA (NÃO INCLUI O FORNECIMENTO E EXECUÇÃO DE SOLDA). AF_12/2021</t>
  </si>
  <si>
    <t>103400</t>
  </si>
  <si>
    <t>ASSENTAMENTO DE CONEXÃO COM 2 ACESSOS, EM PEAD LISO PARA REDE DE ÁGUA OU ESGOTO, DIÂMETRO DE 90 MM, JUNTA SOLDADA (NÃO INCLUI O FORNECIMENTO E EXECUÇÃO DE SOLDA). AF_12/2021</t>
  </si>
  <si>
    <t>103401</t>
  </si>
  <si>
    <t>ASSENTAMENTO DE CONEXÃO COM 2 ACESSOS, EM PEAD LISO PARA REDE DE ÁGUA OU ESGOTO, DIÂMETRO DE 110 MM, JUNTA SOLDADA (NÃO INCLUI O FORNECIMENTO E EXECUÇÃO DE SOLDA). AF_12/2021</t>
  </si>
  <si>
    <t>103402</t>
  </si>
  <si>
    <t>ASSENTAMENTO DE CONEXÃO COM 2 ACESSOS, EM PEAD LISO PARA REDE DE ÁGUA OU ESGOTO, DIÂMETRO DE 160 MM, JUNTA SOLDADA (NÃO INCLUI O FORNECIMENTO E EXECUÇÃO DE SOLDA). AF_12/2021</t>
  </si>
  <si>
    <t>103403</t>
  </si>
  <si>
    <t>ASSENTAMENTO DE CONEXÃO COM 2 ACESSOS, EM PEAD LISO PARA REDE DE ÁGUA OU ESGOTO, DIÂMETRO DE 180 MM, JUNTA SOLDADA (NÃO INCLUI O FORNECIMENTO E EXECUÇÃO DE SOLDA). AF_12/2021</t>
  </si>
  <si>
    <t>103404</t>
  </si>
  <si>
    <t>ASSENTAMENTO DE CONEXÃO COM 2 ACESSOS, EM PEAD LISO PARA REDE DE ÁGUA OU ESGOTO, DIÂMETRO DE 200 MM, JUNTA SOLDADA (NÃO INCLUI O FORNECIMENTO E EXECUÇÃO DE SOLDA). AF_12/2021</t>
  </si>
  <si>
    <t>103405</t>
  </si>
  <si>
    <t>ASSENTAMENTO DE CONEXÃO COM 2 ACESSOS, EM PEAD LISO PARA REDE DE ÁGUA OU ESGOTO, DIÂMETRO DE 225 MM, JUNTA SOLDADA (NÃO INCLUI O FORNECIMENTO E EXECUÇÃO DE SOLDA). AF_12/2021</t>
  </si>
  <si>
    <t>103406</t>
  </si>
  <si>
    <t>ASSENTAMENTO DE CONEXÃO COM 2 ACESSOS, EM PEAD LISO PARA REDE DE ÁGUA OU ESGOTO, DIÂMETRO DE 250 MM, JUNTA SOLDADA (NÃO INCLUI O FORNECIMENTO E EXECUÇÃO DE SOLDA). AF_12/2021</t>
  </si>
  <si>
    <t>103407</t>
  </si>
  <si>
    <t>ASSENTAMENTO DE CONEXÃO COM 2 ACESSOS, EM PEAD LISO PARA REDE DE ÁGUA OU ESGOTO, DIÂMETRO DE 280 MM, JUNTA SOLDADA (NÃO INCLUI O FORNECIMENTO E EXECUÇÃO DE SOLDA). AF_12/2021</t>
  </si>
  <si>
    <t>103408</t>
  </si>
  <si>
    <t>ASSENTAMENTO DE CONEXÃO COM 2 ACESSOS, EM PEAD LISO PARA REDE DE ÁGUA OU ESGOTO, DIÂMETRO DE 315 MM, JUNTA SOLDADA (NÃO INCLUI O FORNECIMENTO E EXECUÇÃO DE SOLDA). AF_12/2021</t>
  </si>
  <si>
    <t>103409</t>
  </si>
  <si>
    <t>ASSENTAMENTO DE CONEXÃO COM 2 ACESSOS, EM PEAD LISO PARA REDE DE ÁGUA OU ESGOTO, DIÂMETRO DE 355 MM, JUNTA SOLDADA (NÃO INCLUI O FORNECIMENTO E EXECUÇÃO DE SOLDA). AF_12/2021</t>
  </si>
  <si>
    <t>103410</t>
  </si>
  <si>
    <t>ASSENTAMENTO DE CONEXÃO COM 2 ACESSOS, EM PEAD LISO PARA REDE DE ÁGUA OU ESGOTO, DIÂMETRO DE 400 MM, JUNTA SOLDADA (NÃO INCLUI O FORNECIMENTO E EXECUÇÃO DE SOLDA). AF_12/2021</t>
  </si>
  <si>
    <t>103411</t>
  </si>
  <si>
    <t>ASSENTAMENTO DE CONEXÃO COM 3 ACESSOS, EM PEAD LISO PARA REDE DE ÁGUA OU ESGOTO, DIÂMETRO DE 20 MM, JUNTA SOLDADA (NÃO INCLUI O FORNECIMENTO E EXECUÇÃO DE SOLDA). AF_12/2021</t>
  </si>
  <si>
    <t>103412</t>
  </si>
  <si>
    <t>ASSENTAMENTO DE CONEXÃO COM 3 ACESSOS, EM PEAD LISO PARA REDE DE ÁGUA OU ESGOTO, DIÂMETRO DE 32 MM, JUNTA SOLDADA (NÃO INCLUI O FORNECIMENTO E EXECUÇÃO DE SOLDA). AF_12/2021</t>
  </si>
  <si>
    <t>103413</t>
  </si>
  <si>
    <t>ASSENTAMENTO DE CONEXÃO COM 3 ACESSOS, EM PEAD LISO PARA REDE DE ÁGUA OU ESGOTO, DIÂMETRO DE 63 MM, JUNTA SOLDADA (NÃO INCLUI O FORNECIMENTO E EXECUÇÃO DE SOLDA). AF_12/2021</t>
  </si>
  <si>
    <t>18,81</t>
  </si>
  <si>
    <t>103414</t>
  </si>
  <si>
    <t>ASSENTAMENTO DE CONEXÃO COM 3 ACESSOS, EM PEAD LISO PARA REDE DE ÁGUA OU ESGOTO, DIÂMETRO DE 90 MM, JUNTA SOLDADA (NÃO INCLUI O FORNECIMENTO E EXECUÇÃO DE SOLDA). AF_12/2021</t>
  </si>
  <si>
    <t>103415</t>
  </si>
  <si>
    <t>ASSENTAMENTO DE CONEXÃO COM 3 ACESSOS, EM PEAD LISO PARA REDE DE ÁGUA OU ESGOTO, DIÂMETRO DE 110 MM, JUNTA SOLDADA (NÃO INCLUI O FORNECIMENTO E EXECUÇÃO DE SOLDA). AF_12/2021</t>
  </si>
  <si>
    <t>103416</t>
  </si>
  <si>
    <t>ASSENTAMENTO DE CONEXÃO COM 3 ACESSOS, EM PEAD LISO PARA REDE DE ÁGUA OU ESGOTO, DIÂMETRO DE 160 MM, JUNTA SOLDADA (NÃO INCLUI O FORNECIMENTO E EXECUÇÃO DE SOLDA). AF_12/2021</t>
  </si>
  <si>
    <t>103417</t>
  </si>
  <si>
    <t>ASSENTAMENTO DE CONEXÃO COM 3 ACESSOS, EM PEAD LISO PARA REDE DE ÁGUA OU ESGOTO, DIÂMETRO DE 180 MM, JUNTA SOLDADA (NÃO INCLUI O FORNECIMENTO E EXECUÇÃO DE SOLDA). AF_12/2021</t>
  </si>
  <si>
    <t>103418</t>
  </si>
  <si>
    <t>ASSENTAMENTO DE CONEXÃO COM 3 ACESSOS, EM PEAD LISO PARA REDE DE ÁGUA OU ESGOTO, DIÂMETRO DE 200 MM, JUNTA SOLDADA (NÃO INCLUI O FORNECIMENTO E EXECUÇÃO DE SOLDA). AF_12/2021</t>
  </si>
  <si>
    <t>103419</t>
  </si>
  <si>
    <t>ASSENTAMENTO DE CONEXÃO COM 3 ACESSOS, EM PEAD LISO PARA REDE DE ÁGUA OU ESGOTO, DIÂMETRO DE 225 MM, JUNTA SOLDADA (NÃO INCLUI O FORNECIMENTO E EXECUÇÃO DE SOLDA). AF_12/2021</t>
  </si>
  <si>
    <t>103420</t>
  </si>
  <si>
    <t>ASSENTAMENTO DE CONEXÃO COM 3 ACESSOS, EM PEAD LISO PARA REDE DE ÁGUA OU ESGOTO, DIÂMETRO DE 250 MM, JUNTA SOLDADA (NÃO INCLUI O FORNECIMENTO E EXECUÇÃO DE SOLDA). AF_12/2021</t>
  </si>
  <si>
    <t>103421</t>
  </si>
  <si>
    <t>ASSENTAMENTO DE CONEXÃO COM 3 ACESSOS, EM PEAD LISO PARA REDE DE ÁGUA OU ESGOTO, DIÂMETRO DE 280 MM, JUNTA SOLDADA (NÃO INCLUI O FORNECIMENTO E EXECUÇÃO DE SOLDA). AF_12/2021</t>
  </si>
  <si>
    <t>103422</t>
  </si>
  <si>
    <t>ASSENTAMENTO DE CONEXÃO COM 3 ACESSOS, EM PEAD LISO PARA REDE DE ÁGUA OU ESGOTO, DIÂMETRO DE 315 MM, JUNTA SOLDADA (NÃO INCLUI O FORNECIMENTO E EXECUÇÃO DE SOLDA). AF_12/2021</t>
  </si>
  <si>
    <t>103423</t>
  </si>
  <si>
    <t>ASSENTAMENTO DE CONEXÃO COM 3 ACESSOS, EM PEAD LISO PARA REDE DE ÁGUA OU ESGOTO, DIÂMETRO DE 355 MM, JUNTA SOLDADA (NÃO INCLUI O FORNECIMENTO E EXECUÇÃO DE SOLDA). AF_12/2021</t>
  </si>
  <si>
    <t>103424</t>
  </si>
  <si>
    <t>ASSENTAMENTO DE CONEXÃO COM 3 ACESSOS, EM PEAD LISO PARA REDE DE ÁGUA OU ESGOTO, DIÂMETRO DE 400 MM, JUNTA SOLDADA (NÃO INCLUI O FORNECIMENTO E EXECUÇÃO DE SOLDA). AF_12/2021</t>
  </si>
  <si>
    <t>103425</t>
  </si>
  <si>
    <t>LUVA, EM PEAD LISO PARA REDE DE ÁGUA OU ESGOTO, DIÂMETRO DE 20 MM, JUNTA SOLDADA POR ELETROFUSÃO (NÃO INCLUI A EXECUÇÃO DE SOLDA). AF_12/2021</t>
  </si>
  <si>
    <t>103426</t>
  </si>
  <si>
    <t>LUVA, EM PEAD LISO PARA REDE DE ÁGUA OU ESGOTO, DIÂMETRO DE 32 MM, JUNTA SOLDADA POR ELETROFUSÃO (NÃO INCLUI A EXECUÇÃO DE SOLDA). AF_12/2021</t>
  </si>
  <si>
    <t>103427</t>
  </si>
  <si>
    <t>LUVA, EM PEAD LISO PARA REDE DE ÁGUA OU ESGOTO, DIÂMETRO DE 63 MM, JUNTA SOLDADA POR ELETROFUSÃO (NÃO INCLUI A EXECUÇÃO DE SOLDA). AF_12/2021</t>
  </si>
  <si>
    <t>103428</t>
  </si>
  <si>
    <t>LUVA, EM PEAD LISO PARA REDE DE ÁGUA OU ESGOTO, DIÂMETRO DE 200 MM, JUNTA SOLDADA POR ELETROFUSÃO (NÃO INCLUI A EXECUÇÃO DE SOLDA). AF_12/2021</t>
  </si>
  <si>
    <t>103429</t>
  </si>
  <si>
    <t>LUVA, EM PEAD LISO PARA REDE DE ÁGUA OU ESGOTO, DIÂMETRO DE 400 MM, JUNTA SOLDADA POR ELETROFUSÃO (NÃO INCLUI A EXECUÇÃO DE SOLDA). AF_12/2021</t>
  </si>
  <si>
    <t>103430</t>
  </si>
  <si>
    <t>COTOVELO 45 GRAUS, EM PEAD LISO PARA REDE DE ÁGUA OU ESGOTO, DIÂMETRO DE 32 MM, JUNTA SOLDADA POR ELETROFUSÃO (NÃO INCLUI A EXECUÇÃO DE SOLDA). AF_12/2021</t>
  </si>
  <si>
    <t>103431</t>
  </si>
  <si>
    <t>COTOVELO 45 GRAUS, EM PEAD LISO PARA REDE DE ÁGUA OU ESGOTO, DIÂMETRO DE 63 MM, JUNTA SOLDADA POR ELETROFUSÃO (NÃO INCLUI A EXECUÇÃO DE SOLDA). AF_12/2021</t>
  </si>
  <si>
    <t>103432</t>
  </si>
  <si>
    <t>COTOVELO 45 GRAUS, EM PEAD LISO PARA REDE DE ÁGUA OU ESGOTO, DIÂMETRO DE 200 MM, JUNTA SOLDADA POR ELETROFUSÃO (NÃO INCLUI A EXECUÇÃO DE SOLDA). AF_12/2021</t>
  </si>
  <si>
    <t>103433</t>
  </si>
  <si>
    <t>COTOVELO 90 GRAUS, EM PEAD LISO PARA REDE DE ÁGUA OU ESGOTO, DIÂMETRO DE 20 MM, JUNTA SOLDADA POR ELETROFUSÃO (NÃO INCLUI A EXECUÇÃO DE SOLDA). AF_12/2021</t>
  </si>
  <si>
    <t>103434</t>
  </si>
  <si>
    <t>COTOVELO 90 GRAUS, EM PEAD LISO PARA REDE DE ÁGUA OU ESGOTO, DIÂMETRO DE 32 MM, JUNTA SOLDADA POR ELETROFUSÃO (NÃO INCLUI A EXECUÇÃO DE SOLDA). AF_12/2021</t>
  </si>
  <si>
    <t>103435</t>
  </si>
  <si>
    <t>COTOVELO 90 GRAUS, EM PEAD LISO PARA REDE DE ÁGUA OU ESGOTO, DIÂMETRO DE 63 MM, JUNTA SOLDADA POR ELETROFUSÃO (NÃO INCLUI A EXECUÇÃO DE SOLDA). AF_12/2021</t>
  </si>
  <si>
    <t>103436</t>
  </si>
  <si>
    <t>COTOVELO 90 GRAUS, POLIETILENO DE ALTA DENSIDADE (PEAD) PARA REDE DE ÁGUA OU ESGOTO, DIÂMETRO DE 200 MM, JUNTA SOLDADA POR ELETROFUSÃO (NÃO INCLUI A EXECUÇÃO DE SOLDA). AF_12/2021</t>
  </si>
  <si>
    <t>103437</t>
  </si>
  <si>
    <t>TÊ DE SERVIÇO, EM PEAD LISO PARA REDE DE ÁGUA OU ESGOTO, DIÂMETRO DE 63 X 20 MM, JUNTA SOLDADA POR ELETROFUSÃO (NÃO INCLUI A EXECUÇÃO DE SOLDA). AF_12/2021</t>
  </si>
  <si>
    <t>103438</t>
  </si>
  <si>
    <t>TÊ DE SERVIÇO, EM PEAD LISO PARA REDE DE ÁGUA OU ESGOTO, DIÂMETRO DE 63 X 32 MM, JUNTA SOLDADA POR ELETROFUSÃO (NÃO INCLUI A EXECUÇÃO DE SOLDA). AF_12/2021</t>
  </si>
  <si>
    <t>103439</t>
  </si>
  <si>
    <t>TÊ DE SERVIÇO, EM PEAD LISO PARA REDE DE ÁGUA OU ESGOTO, DIÂMETRO DE 63 X 63 MM, JUNTA SOLDADA POR ELETROFUSÃO (NÃO INCLUI A EXECUÇÃO DE SOLDA). AF_12/2021</t>
  </si>
  <si>
    <t>103440</t>
  </si>
  <si>
    <t>TÊ DE SERVIÇO, EM PEAD LISO PARA REDE DE ÁGUA OU ESGOTO, DIÂMETRO DE 200 X 20 MM, JUNTA SOLDADA POR ELETROFUSÃO (NÃO INCLUI A EXECUÇÃO DE SOLDA). AF_12/2021</t>
  </si>
  <si>
    <t>103441</t>
  </si>
  <si>
    <t>TÊ DE SERVIÇO, EM PEAD LISO PARA REDE DE ÁGUA OU ESGOTO, DIÂMETRO DE 200 X 32 MM, JUNTA SOLDADA POR ELETROFUSÃO (NÃO INCLUI A EXECUÇÃO DE SOLDA). AF_12/2021</t>
  </si>
  <si>
    <t>103442</t>
  </si>
  <si>
    <t>TÊ DE SERVIÇO, EM PEAD LISO PARA REDE DE ÁGUA OU ESGOTO, DIÂMETRO DE 200 X 63 MM, JUNTA SOLDADA POR ELETROFUSÃO (NÃO INCLUI A EXECUÇÃO DE SOLDA). AF_12/2021</t>
  </si>
  <si>
    <t>11,18</t>
  </si>
  <si>
    <t>10,69</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</si>
  <si>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</si>
  <si>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</si>
  <si>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</si>
  <si>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</si>
  <si>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16,45</t>
  </si>
  <si>
    <t>MONTAGEM E DESMONTAGEM DE FÔRMA DE LAJE MACIÇA, PÉ-DIREITO DUPLO, EM CHAPA DE MADEIRA COMPENSADA PLASTIFICADA, 10 UTILIZAÇÕES. AF_09/2020</t>
  </si>
  <si>
    <t>24,02</t>
  </si>
  <si>
    <t>14,96</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</si>
  <si>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</si>
  <si>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</si>
  <si>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</si>
  <si>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</si>
  <si>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</si>
  <si>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</si>
  <si>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</si>
  <si>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</si>
  <si>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</si>
  <si>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</si>
  <si>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</si>
  <si>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</si>
  <si>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</si>
  <si>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</si>
  <si>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</si>
  <si>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</si>
  <si>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</si>
  <si>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</si>
  <si>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</si>
  <si>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7,24</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</si>
  <si>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</si>
  <si>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</si>
  <si>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</si>
  <si>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</si>
  <si>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</si>
  <si>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</si>
  <si>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</si>
  <si>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</si>
  <si>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</si>
  <si>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</si>
  <si>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103490</t>
  </si>
  <si>
    <t>PLACA DE CONCRETO PRÉ-MOLDADO COMO PROTEÇÃO MECÂNICA ADICIONAL NO REATERRO PARA REDE ENTERRADA DE DISTRIBUIÇÃO DE ENERGIA ELÉTRICA - FORNECIMENTO E INSTALAÇÃO. AF_12/2021</t>
  </si>
  <si>
    <t>103491</t>
  </si>
  <si>
    <t>CONCRETAGEM COMO PROTEÇÃO MECÂNICA ADICIONAL NO REATERRO PARA REDE ENTERRADA DE DISTRIBUIÇÃO DE ENERGIA ELÉTRICA - FORNECIMENTO E INSTALAÇÃO. AF_12/2021</t>
  </si>
  <si>
    <t>17,21</t>
  </si>
  <si>
    <t>103517</t>
  </si>
  <si>
    <t>AQUECEDOR SOLAR COMPACTO, KIT PARA 1 COLETOR SOLAR EM VIDRO TEMPERADO E SERPENTINA EM TUBO DE COBRE COM SUPORTE, RESERVATÓRIO, FIXAÇÕES E TUBOS - FORNECIMENTO E INSTALAÇÃO. AF_12/2021</t>
  </si>
  <si>
    <t>103519</t>
  </si>
  <si>
    <t>BLOCO CONCRETADO NO LOCAL, 20X20X15CM, PARA BASE DE FIXAÇÃO DA ESTRUTURA SOLAR PARA LAJE DE CONCRETO - FORNECIMENTO E INSTALAÇÃO. AF_12/2021</t>
  </si>
  <si>
    <t>103520</t>
  </si>
  <si>
    <t>RESERVATÓRIO TÉRMICO/BOILER SOLAR EM AÇO INOX 400 L COM 2 PLACAS COLETORAS EM VIDRO TEMPERADO COM SERPENTINA EM TUBO DE COBRE 2 X 1 M - FORNECIMENTO E INSTALAÇÃO. AF_12/2021</t>
  </si>
  <si>
    <t>103521</t>
  </si>
  <si>
    <t>RESERVATÓRIO TÉRMICO/BOILER SOLAR EM AÇO INOX 600 L COM 3 PLACAS COLETORAS EM VIDRO TEMPERADO COM SERPENTINA EM TUBO DE COBRE 2 X 1 M - FORNECIMENTO E INSTALAÇÃO. AF_12/2021</t>
  </si>
  <si>
    <t>103522</t>
  </si>
  <si>
    <t>RESERVATÓRIO TÉRMICO/BOILER SOLAR EM AÇO INOX 800 L COM 4 PLACAS COLETORAS EM VIDRO TEMPERADO COM SERPENTINA EM TUBO DE COBRE 2 X 1 M - FORNECIMENTO E INSTALAÇÃO. AF_12/2021</t>
  </si>
  <si>
    <t>103523</t>
  </si>
  <si>
    <t>RESERVATÓRIO TÉRMICO/BOILER SOLAR EM AÇO INOX 1000 L COM 5 PLACAS COLETORAS EM VIDRO TEMPERADO COM SERPENTINA EM TUBO DE COBRE 2 X 1 M - FORNECIMENTO E INSTALAÇÃO. AF_12/2021</t>
  </si>
  <si>
    <t>12,36</t>
  </si>
  <si>
    <t>8,28</t>
  </si>
  <si>
    <t>10,54</t>
  </si>
  <si>
    <t>103322</t>
  </si>
  <si>
    <t>ALVENARIA DE VEDAÇÃO DE BLOCOS CERÂMICOS FURADOS NA VERTICAL DE 9X19X39 CM (ESPESSURA 9 CM) E ARGAMASSA DE ASSENTAMENTO COM PREPARO EM BETONEIRA. AF_12/2021</t>
  </si>
  <si>
    <t>103323</t>
  </si>
  <si>
    <t>ALVENARIA DE VEDAÇÃO DE BLOCOS CERÂMICOS FURADOS NA VERTICAL DE 9X19X39 CM (ESPESSURA 9 CM) E ARGAMASSA DE ASSENTAMENTO COM PREPARO MANUAL. AF_12/2021</t>
  </si>
  <si>
    <t>103324</t>
  </si>
  <si>
    <t>ALVENARIA DE VEDAÇÃO DE BLOCOS CERÂMICOS FURADOS NA VERTICAL DE 14X19X39 CM (ESPESSURA 14 CM) E ARGAMASSA DE ASSENTAMENTO COM PREPARO EM BETONEIRA. AF_12/2021</t>
  </si>
  <si>
    <t>103325</t>
  </si>
  <si>
    <t>ALVENARIA DE VEDAÇÃO DE BLOCOS CERÂMICOS FURADOS NA VERTICAL DE 14X19X39 CM (ESPESSURA 14 CM) E ARGAMASSA DE ASSENTAMENTO COM PREPARO MANUAL. AF_12/2021</t>
  </si>
  <si>
    <t>103326</t>
  </si>
  <si>
    <t>ALVENARIA DE VEDAÇÃO DE BLOCOS CERÂMICOS FURADOS NA VERTICAL DE 19X19X39 CM (ESPESSURA 19 CM) E ARGAMASSA DE ASSENTAMENTO COM PREPARO EM BETONEIRA. AF_12/2021</t>
  </si>
  <si>
    <t>103327</t>
  </si>
  <si>
    <t>ALVENARIA DE VEDAÇÃO DE BLOCOS CERÂMICOS FURADOS NA VERTICAL DE 19X19X39 CM (ESPESSURA 19 CM) E ARGAMASSA DE ASSENTAMENTO COM PREPARO MANUAL. AF_12/2021</t>
  </si>
  <si>
    <t>103328</t>
  </si>
  <si>
    <t>ALVENARIA DE VEDAÇÃO DE BLOCOS CERÂMICOS FURADOS NA HORIZONTAL DE 9X19X19 CM (ESPESSURA 9 CM) E ARGAMASSA DE ASSENTAMENTO COM PREPARO EM BETONEIRA. AF_12/2021</t>
  </si>
  <si>
    <t>103329</t>
  </si>
  <si>
    <t>ALVENARIA DE VEDAÇÃO DE BLOCOS CERÂMICOS FURADOS NA HORIZONTAL DE 9X19X19 CM (ESPESSURA 9 CM) E ARGAMASSA DE ASSENTAMENTO COM PREPARO MANUAL. AF_12/2021</t>
  </si>
  <si>
    <t>103330</t>
  </si>
  <si>
    <t>ALVENARIA DE VEDAÇÃO DE BLOCOS CERÂMICOS FURADOS NA HORIZONTAL DE 11,5X19X19 CM (ESPESSURA 11,5 CM) E ARGAMASSA DE ASSENTAMENTO COM PREPARO EM BETONEIRA. AF_12/2021</t>
  </si>
  <si>
    <t>103331</t>
  </si>
  <si>
    <t>ALVENARIA DE VEDAÇÃO DE BLOCOS CERÂMICOS FURADOS NA HORIZONTAL DE 11,5X19X19 CM (ESPESSURA 11,5 CM) E ARGAMASSA DE ASSENTAMENTO COM PREPARO MANUAL. AF_12/2021</t>
  </si>
  <si>
    <t>103332</t>
  </si>
  <si>
    <t>ALVENARIA DE VEDAÇÃO DE BLOCOS CERÂMICOS FURADOS NA HORIZONTAL DE 9X14X19 CM (ESPESSURA 9 CM) E ARGAMASSA DE ASSENTAMENTO COM PREPARO EM BETONEIRA. AF_12/2021</t>
  </si>
  <si>
    <t>103333</t>
  </si>
  <si>
    <t>ALVENARIA DE VEDAÇÃO DE BLOCOS CERÂMICOS FURADOS NA HORIZONTAL DE 9X14X19 CM (ESPESSURA 9 CM) E ARGAMASSA DE ASSENTAMENTO COM PREPARO MANUAL. AF_12/2021</t>
  </si>
  <si>
    <t>103334</t>
  </si>
  <si>
    <t>ALVENARIA DE VEDAÇÃO DE BLOCOS CERÂMICOS FURADOS NA HORIZONTAL DE 14X9X19 CM (ESPESSURA 14 CM, BLOCO DEITADO) E ARGAMASSA DE ASSENTAMENTO COM PREPARO EM BETONEIRA. AF_12/2021</t>
  </si>
  <si>
    <t>103335</t>
  </si>
  <si>
    <t>ALVENARIA DE VEDAÇÃO DE BLOCOS CERÂMICOS FURADOS NA HORIZONTAL DE 14X9X19 CM (ESPESSURA 14 CM, BLOCO DEITADO) E ARGAMASSA DE ASSENTAMENTO COM PREPARO MANUAL. AF_12/2021</t>
  </si>
  <si>
    <t>103350</t>
  </si>
  <si>
    <t>ALVENARIA DE VEDAÇÃO DE BLOCOS CERÂMICOS FURADOS NA HORIZONTAL DE 9X9X19 CM (ESPESSURA 9 CM) E ARGAMASSA DE ASSENTAMENTO COM PREPARO EM BETONEIRA. AF_12/2021</t>
  </si>
  <si>
    <t>103351</t>
  </si>
  <si>
    <t>ALVENARIA DE VEDAÇÃO DE BLOCOS CERÂMICOS FURADOS NA HORIZONTAL DE 9X9X19 CM (ESPESSURA 9 CM) E ARGAMASSA DE ASSENTAMENTO COM PREPARO MANUAL. AF_12/2021</t>
  </si>
  <si>
    <t>103356</t>
  </si>
  <si>
    <t>ALVENARIA DE VEDAÇÃO DE BLOCOS CERÂMICOS FURADOS NA HORIZONTAL DE 9X19X29 CM (ESPESSURA 9 CM) E ARGAMASSA DE ASSENTAMENTO COM PREPARO EM BETONEIRA. AF_12/2021</t>
  </si>
  <si>
    <t>103357</t>
  </si>
  <si>
    <t>ALVENARIA DE VEDAÇÃO DE BLOCOS CERÂMICOS FURADOS NA HORIZONTAL DE 9X19X29 CM (ESPESSURA 9 CM) E ARGAMASSA DE ASSENTAMENTO COM PREPARO MANUAL. AF_12/2021</t>
  </si>
  <si>
    <t>103316</t>
  </si>
  <si>
    <t>ALVENARIA DE VEDAÇÃO DE BLOCOS VAZADOS DE CONCRETO DE 9X19X39 CM (ESPESSURA 9 CM) E ARGAMASSA DE ASSENTAMENTO COM PREPARO EM BETONEIRA. AF_12/2021</t>
  </si>
  <si>
    <t>103317</t>
  </si>
  <si>
    <t>ALVENARIA DE VEDAÇÃO DE BLOCOS VAZADOS DE CONCRETO DE 9X19X39 CM (ESPESSURA 9 CM) E ARGAMASSA DE ASSENTAMENTO COM PREPARO MANUAL. AF_12/2021</t>
  </si>
  <si>
    <t>103318</t>
  </si>
  <si>
    <t>ALVENARIA DE VEDAÇÃO DE BLOCOS VAZADOS DE CONCRETO DE 14X19X39 CM (ESPESSURA 14 CM)  E ARGAMASSA DE ASSENTAMENTO COM PREPARO EM BETONEIRA. AF_12/2021</t>
  </si>
  <si>
    <t>103319</t>
  </si>
  <si>
    <t>ALVENARIA DE VEDAÇÃO DE BLOCOS VAZADOS DE CONCRETO DE 14X19X39 CM (ESPESSURA 14 CM) E ARGAMASSA DE ASSENTAMENTO COM PREPARO MANUAL. AF_12/2021</t>
  </si>
  <si>
    <t>103320</t>
  </si>
  <si>
    <t>ALVENARIA DE VEDAÇÃO DE BLOCOS VAZADOS DE CONCRETO DE 19X19X39 CM (ESPESSURA 19 CM) E ARGAMASSA DE ASSENTAMENTO COM PREPARO EM BETONEIRA. AF_12/2021</t>
  </si>
  <si>
    <t>103321</t>
  </si>
  <si>
    <t>ALVENARIA DE VEDAÇÃO DE BLOCOS VAZADOS DE CONCRETO DE 19X19X39 CM (ESPESSURA 19 CM) E ARGAMASSA DE ASSENTAMENTO COM PREPARO MANUAL. AF_12/2021</t>
  </si>
  <si>
    <t>103336</t>
  </si>
  <si>
    <t>ALVENARIA DE VEDAÇÃO DE BLOCOS  VAZADOS DE CONCRETO APARENTE DE 9X19X39 CM (ESPESSURA 9 CM) E ARGAMASSA DE ASSENTAMENTO COM PREPARO EM BETONEIRA. AF_12/2021</t>
  </si>
  <si>
    <t>103337</t>
  </si>
  <si>
    <t>ALVENARIA DE VEDAÇÃO DE BLOCOS  VAZADOS DE CONCRETO APARENTE DE 9X19X39 CM (ESPESSURA 9 CM) E ARGAMASSA DE ASSENTAMENTO COM PREPARO MANUAL. AF_12/2021</t>
  </si>
  <si>
    <t>103338</t>
  </si>
  <si>
    <t>ALVENARIA DE VEDAÇÃO DE BLOCOS  VAZADOS DE CONCRETO APARENTE DE 14X19X39 CM (ESPESSURA 14 CM) E ARGAMASSA DE ASSENTAMENTO COM PREPARO EM BETONEIRA. AF_12/2021</t>
  </si>
  <si>
    <t>103339</t>
  </si>
  <si>
    <t>ALVENARIA DE VEDAÇÃO DE BLOCOS  VAZADOS DE CONCRETO APARENTE DE 14X19X39 CM (ESPESSURA 14 CM) E ARGAMASSA DE ASSENTAMENTO COM PREPARO MANUAL. AF_12/2021</t>
  </si>
  <si>
    <t>103340</t>
  </si>
  <si>
    <t>ALVENARIA DE VEDAÇÃO DE BLOCOS  VAZADOS DE CONCRETO APARENTE DE 19X19X39 CM (ESPESSURA 19 CM) E ARGAMASSA DE ASSENTAMENTO COM PREPARO EM BETONEIRA. AF_12/2021</t>
  </si>
  <si>
    <t>103341</t>
  </si>
  <si>
    <t>ALVENARIA DE VEDAÇÃO DE BLOCOS  VAZADOS DE CONCRETO APARENTE DE 19X19X39 CM (ESPESSURA 19 CM) E ARGAMASSA DE ASSENTAMENTO COM PREPARO MANUAL. AF_12/2021</t>
  </si>
  <si>
    <t>103342</t>
  </si>
  <si>
    <t>ALVENARIA DE VEDAÇÃO DE BLOCOS  VAZADOS DE CONCRETO DE 14X19X29 CM (ESPESSURA 14 CM) E ARGAMASSA DE ASSENTAMENTO COM PREPARO EM BETONEIRA. AF_12/2021</t>
  </si>
  <si>
    <t>103343</t>
  </si>
  <si>
    <t>ALVENARIA DE VEDAÇÃO DE BLOCOS  VAZADOS DE CONCRETO DE 14X19X29 CM (ESPESSURA 14 CM) E ARGAMASSA DE ASSENTAMENTO COM PREPARO MANUAL. AF_12/2021</t>
  </si>
  <si>
    <t>4,96</t>
  </si>
  <si>
    <t>1,27</t>
  </si>
  <si>
    <t>17,51</t>
  </si>
  <si>
    <t>16,66</t>
  </si>
  <si>
    <t>25,93</t>
  </si>
  <si>
    <t>*Considerando distância Brasília-Sâo Paulo = 1.030 km</t>
  </si>
  <si>
    <t>Quadro elétrico TTA - 6 disjuntores terminais</t>
  </si>
  <si>
    <t>Quadro elétrico TTA - 11 disjuntores terminais</t>
  </si>
  <si>
    <t>Anel de borracha para vedação na interligação de tubos de esgoto</t>
  </si>
  <si>
    <t>Rejunte cimentício flexível</t>
  </si>
  <si>
    <t>Barra de apoio 70 cm - Linha Acessibilidade</t>
  </si>
  <si>
    <t>Barra de apoio 80 cm - Linha Acessibilidade</t>
  </si>
  <si>
    <t>Bolsa de ligação Branca para Vaso Sanitário</t>
  </si>
  <si>
    <t>Botão de Acionamento para Mictório</t>
  </si>
  <si>
    <t>Braço de metal para Chuveiro</t>
  </si>
  <si>
    <t>Caixa de descarga alta/elevada</t>
  </si>
  <si>
    <t>Caixa de gordura grande com cesta</t>
  </si>
  <si>
    <t>Caixa de hidrante de parede com vidro - 70x50 cm</t>
  </si>
  <si>
    <t>Caixa sifonada de PVC DN 150 mm</t>
  </si>
  <si>
    <t>Caixa sifonada de PVC DN 250 mm</t>
  </si>
  <si>
    <t>SF-02752</t>
  </si>
  <si>
    <t>Chuveiro Elétrico</t>
  </si>
  <si>
    <t>SF-02760</t>
  </si>
  <si>
    <t>SF-02778</t>
  </si>
  <si>
    <t>SF-02784</t>
  </si>
  <si>
    <t>SF-02801</t>
  </si>
  <si>
    <t>Ralo semi esférico, tipo Abacaxi - 4”</t>
  </si>
  <si>
    <t>SF-02807</t>
  </si>
  <si>
    <t>SF-02808</t>
  </si>
  <si>
    <t>Válvula de esfera em bronze 3/4”</t>
  </si>
  <si>
    <t>SF-02809</t>
  </si>
  <si>
    <t>Válvula de esfera em bronze 1 1/2”</t>
  </si>
  <si>
    <t>SF-02810</t>
  </si>
  <si>
    <t>Válvula de esfera em bronze 2”</t>
  </si>
  <si>
    <t>SF-02811</t>
  </si>
  <si>
    <t>Válvula de esfera metálica 1/2” para gás</t>
  </si>
  <si>
    <t>SF-02812</t>
  </si>
  <si>
    <t>Registro de Gaveta Bruto 1 1/2”</t>
  </si>
  <si>
    <t>SF-02813</t>
  </si>
  <si>
    <t>Registro de Gaveta Bruto 1 1/4”</t>
  </si>
  <si>
    <t>SF-02814</t>
  </si>
  <si>
    <t>Registro de Gaveta Bruto 1”</t>
  </si>
  <si>
    <t>SF-02815</t>
  </si>
  <si>
    <t>Registro de Gaveta Bruto 1/2”</t>
  </si>
  <si>
    <t>SF-02816</t>
  </si>
  <si>
    <t>Registro de Gaveta Bruto 2 1/2”</t>
  </si>
  <si>
    <t>SF-02817</t>
  </si>
  <si>
    <t>Registro de Gaveta Bruto 2”</t>
  </si>
  <si>
    <t>SF-02818</t>
  </si>
  <si>
    <t>Registro de Gaveta Bruto 3”</t>
  </si>
  <si>
    <t>SF-02819</t>
  </si>
  <si>
    <t>Registro de Gaveta Bruto 3/4”</t>
  </si>
  <si>
    <t>SF-02820</t>
  </si>
  <si>
    <t>Registro de Gaveta Bruto 4”</t>
  </si>
  <si>
    <t>SF-02823</t>
  </si>
  <si>
    <t>Registro de Pressão Bruto 1/2”</t>
  </si>
  <si>
    <t>SF-02824</t>
  </si>
  <si>
    <t>Registro de Pressão Bruto 3/4”</t>
  </si>
  <si>
    <t>SF-02825</t>
  </si>
  <si>
    <t>Registro Esfera PVC VS Roscável 1/2”</t>
  </si>
  <si>
    <t>SF-02826</t>
  </si>
  <si>
    <t>Registro Esfera PVC VS Roscável 1 1/2”</t>
  </si>
  <si>
    <t>SF-02827</t>
  </si>
  <si>
    <t>SF-02828</t>
  </si>
  <si>
    <t>Registro para Hidrante 2 1/2”</t>
  </si>
  <si>
    <t>SF-02848</t>
  </si>
  <si>
    <t>Terminal de Ventilação PVC - 100 mm</t>
  </si>
  <si>
    <t>SF-02849</t>
  </si>
  <si>
    <t>Terminal de Ventilação PVC - 50 mm</t>
  </si>
  <si>
    <t>SF-02850</t>
  </si>
  <si>
    <t>Terminal de Ventilação PVC - 75 mm</t>
  </si>
  <si>
    <t>SF-02852</t>
  </si>
  <si>
    <t>Torneira de Bóia Com Balão Plástico 1 1/2”</t>
  </si>
  <si>
    <t>SF-02853</t>
  </si>
  <si>
    <t>Torneira de Bóia Com Balão Plástico 1 1/4”</t>
  </si>
  <si>
    <t>SF-02854</t>
  </si>
  <si>
    <t>Torneira de Bóia Com Balão Plástico 1”</t>
  </si>
  <si>
    <t>SF-02855</t>
  </si>
  <si>
    <t>Torneira de Bóia Com Balão Plástico 2”</t>
  </si>
  <si>
    <t>SF-02856</t>
  </si>
  <si>
    <t>Torneira de Bóia Com Balão Plástico 3/4”</t>
  </si>
  <si>
    <t>SF-02863</t>
  </si>
  <si>
    <t>SF-02864</t>
  </si>
  <si>
    <t>Tubo de cobre classe “E” 28 mm</t>
  </si>
  <si>
    <t>SF-02865</t>
  </si>
  <si>
    <t>SF-02866</t>
  </si>
  <si>
    <t>SF-02867</t>
  </si>
  <si>
    <t>SF-02868</t>
  </si>
  <si>
    <t>SF-02869</t>
  </si>
  <si>
    <t>SF-02870</t>
  </si>
  <si>
    <t>SF-02871</t>
  </si>
  <si>
    <t>Tubo CPVC soldável 22 mm – Linha Residencial</t>
  </si>
  <si>
    <t>SF-02872</t>
  </si>
  <si>
    <t>Tubo CPVC soldável 28 mm  – Linha Residencial</t>
  </si>
  <si>
    <t>SF-02873</t>
  </si>
  <si>
    <t>Tubo de aço-carbono galvanizado 1 1/4” – Água Potável e Combate a Incêndio</t>
  </si>
  <si>
    <t>SF-02874</t>
  </si>
  <si>
    <t>Tubo de aço-carbono galvanizado 1/2” – Água Potável e Combate a Incêndio</t>
  </si>
  <si>
    <t>SF-02875</t>
  </si>
  <si>
    <t>Tubo de aço-carbono galvanizado 3/4” – Água Potável e Combate a Incêndio</t>
  </si>
  <si>
    <t>SF-02876</t>
  </si>
  <si>
    <t>Tubo de aço-carbono galvanizado 1” – Água Potável e Combate a Incêndio</t>
  </si>
  <si>
    <t>SF-02877</t>
  </si>
  <si>
    <t>Tubo de aço-carbono galvanizado 2” – Água Potável e Combate a Incêndio</t>
  </si>
  <si>
    <t>SF-02878</t>
  </si>
  <si>
    <t>Tubo de aço-carbono galvanizado 2 1/2” – Água Potável e Combate a Incêndio</t>
  </si>
  <si>
    <t>SF-02879</t>
  </si>
  <si>
    <t>Tubo de aço-carbono galvanizado 3” – Água Potável e Combate a Incêndio</t>
  </si>
  <si>
    <t>SF-02880</t>
  </si>
  <si>
    <t>Niple de aço-carbono galvanizado 2”</t>
  </si>
  <si>
    <t>SF-02881</t>
  </si>
  <si>
    <t>Niple de aço-carbono galvanizado 2 1/2”</t>
  </si>
  <si>
    <t>SF-02882</t>
  </si>
  <si>
    <t>Niple de aço-carbono galvanizado 3”</t>
  </si>
  <si>
    <t>SF-02885</t>
  </si>
  <si>
    <t>Tubo PVC esgoto DN 300 mm - Ocre</t>
  </si>
  <si>
    <t>SF-02886</t>
  </si>
  <si>
    <t>SF-02887</t>
  </si>
  <si>
    <t>SF-02888</t>
  </si>
  <si>
    <t>Tubo PVC esgoto ou águas pluviais predial DN 40 mm</t>
  </si>
  <si>
    <t>SF-02889</t>
  </si>
  <si>
    <t>SF-02890</t>
  </si>
  <si>
    <t>SF-02891</t>
  </si>
  <si>
    <t>Tubo PVC roscável para água fria 1 1/2”</t>
  </si>
  <si>
    <t>SF-02892</t>
  </si>
  <si>
    <t>Tubo PVC roscável para água fria 1”</t>
  </si>
  <si>
    <t>SF-02893</t>
  </si>
  <si>
    <t>Tubo PVC roscável para água fria 2 1/2”</t>
  </si>
  <si>
    <t>SF-02894</t>
  </si>
  <si>
    <t>Tubo PVC roscável para água fria 2”</t>
  </si>
  <si>
    <t>SF-02895</t>
  </si>
  <si>
    <t>Tubo PVC roscável para água fria 3”</t>
  </si>
  <si>
    <t>SF-02896</t>
  </si>
  <si>
    <t>Tubo PVC roscável para água fria 3/4”</t>
  </si>
  <si>
    <t>SF-02897</t>
  </si>
  <si>
    <t>Tubo PVC roscável para água fria 4”</t>
  </si>
  <si>
    <t>SF-02899</t>
  </si>
  <si>
    <t>SF-02900</t>
  </si>
  <si>
    <t>SF-02901</t>
  </si>
  <si>
    <t>SF-02902</t>
  </si>
  <si>
    <t>SF-02903</t>
  </si>
  <si>
    <t>SF-02904</t>
  </si>
  <si>
    <t>SF-02905</t>
  </si>
  <si>
    <t>Tubo PVC soldável água fria DN 75 mm</t>
  </si>
  <si>
    <t>SF-02906</t>
  </si>
  <si>
    <t>Tubo PVC soldável água fria DN 85 mm</t>
  </si>
  <si>
    <t>SF-02907</t>
  </si>
  <si>
    <t>Tubo PVC soldável água fria DN 110 mm</t>
  </si>
  <si>
    <t>SF-02918</t>
  </si>
  <si>
    <t>Válvula de escoamento para lavatório e bidê</t>
  </si>
  <si>
    <t>SF-02919</t>
  </si>
  <si>
    <t>Válvula de escoamento para pia de cozinha 3 1/2”</t>
  </si>
  <si>
    <t>SF-02921</t>
  </si>
  <si>
    <t>Válvula de Sucção tipo Pé com Crivos 1”</t>
  </si>
  <si>
    <t>SF-02922</t>
  </si>
  <si>
    <t>Válvula de Sucção tipo Pé com Crivos 2”</t>
  </si>
  <si>
    <t>SF-02924</t>
  </si>
  <si>
    <t>SF-02925</t>
  </si>
  <si>
    <t>SF-02926</t>
  </si>
  <si>
    <t>Válvula de retenção vertical - 3”</t>
  </si>
  <si>
    <t>SF-02927</t>
  </si>
  <si>
    <t>Válvula de retenção vertical - 4”</t>
  </si>
  <si>
    <t>SF-02928</t>
  </si>
  <si>
    <t>Válvula de retenção vertical - 2”</t>
  </si>
  <si>
    <t>SF-02929</t>
  </si>
  <si>
    <t>Válvula de retenção vertical - 2 1/2”</t>
  </si>
  <si>
    <t>SF-02931</t>
  </si>
  <si>
    <t>SF-02932</t>
  </si>
  <si>
    <t>SF-02933</t>
  </si>
  <si>
    <t>SF-02935</t>
  </si>
  <si>
    <t>SF-02940</t>
  </si>
  <si>
    <t>Adaptador PVC água fria- 60 mm x 2”</t>
  </si>
  <si>
    <t>SF-02941</t>
  </si>
  <si>
    <t>SF-02943</t>
  </si>
  <si>
    <t>SF-02970</t>
  </si>
  <si>
    <t>SF-02973</t>
  </si>
  <si>
    <t>Plug Galvanizado 4”</t>
  </si>
  <si>
    <t>SF-02974</t>
  </si>
  <si>
    <t>Caixa d’água 1000 Litros</t>
  </si>
  <si>
    <t>SF-02975</t>
  </si>
  <si>
    <t>SF-02976</t>
  </si>
  <si>
    <t>Sprinkler Pendente 1/2” Cromado 68°C, Fator K80 (5,6)</t>
  </si>
  <si>
    <t>SF-02977</t>
  </si>
  <si>
    <t>Cap PVC Soldável 60 mm</t>
  </si>
  <si>
    <t>SF-02979</t>
  </si>
  <si>
    <t>Tê 90° em cobre 22 mm</t>
  </si>
  <si>
    <t>SF-02980</t>
  </si>
  <si>
    <t>SF-02985</t>
  </si>
  <si>
    <t>Curva Ferro Galvanizado 90° Fêmea 2”</t>
  </si>
  <si>
    <t>SF-02986</t>
  </si>
  <si>
    <t>Curva 45° Longa PVC esgoto ou águas pluviais predial DN 100 mm</t>
  </si>
  <si>
    <t>SF-02987</t>
  </si>
  <si>
    <t>Curva 90° de aço-carbono galvanizado 3”</t>
  </si>
  <si>
    <t>SF-02988</t>
  </si>
  <si>
    <t>Curva 90° PVC esgoto DN 100 mm Série R</t>
  </si>
  <si>
    <t>SF-02989</t>
  </si>
  <si>
    <t>SF-02990</t>
  </si>
  <si>
    <t>SF-02991</t>
  </si>
  <si>
    <t>SF-02996</t>
  </si>
  <si>
    <t>SF-02997</t>
  </si>
  <si>
    <t>SF-02998</t>
  </si>
  <si>
    <t>SF-02999</t>
  </si>
  <si>
    <t>Joelho 45° PVC esgoto ou águas pluviais predial DN 50 mm</t>
  </si>
  <si>
    <t>SF-03006</t>
  </si>
  <si>
    <t>SF-03007</t>
  </si>
  <si>
    <t>SF-03008</t>
  </si>
  <si>
    <t>SF-03009</t>
  </si>
  <si>
    <t>SF-03013</t>
  </si>
  <si>
    <t>SF-03014</t>
  </si>
  <si>
    <t>SF-03015</t>
  </si>
  <si>
    <t>SF-03017</t>
  </si>
  <si>
    <t>SF-03019</t>
  </si>
  <si>
    <t>Luva em aço-carbono galvanizado 2 1/2” - Água Potável e Combate a Incêndio</t>
  </si>
  <si>
    <t>SF-03020</t>
  </si>
  <si>
    <t>Luva em aço-carbono galvanizado 2” - Água Potável e Combate a Incêndio</t>
  </si>
  <si>
    <t>SF-03021</t>
  </si>
  <si>
    <t>Luva em aço-carbono galvanizado 3” - Água Potável e Combate a Incêndio</t>
  </si>
  <si>
    <t>SF-03022</t>
  </si>
  <si>
    <t>Tê 45° (Junção) em aço-carbono galvanizado 2 1/2” – Água Potável e Combate a Incêndio</t>
  </si>
  <si>
    <t>SF-03023</t>
  </si>
  <si>
    <t>Tê 45° (Junção) em aço-carbono galvanizado 2” – Água Potável e Combate a Incêndio</t>
  </si>
  <si>
    <t>SF-03024</t>
  </si>
  <si>
    <t>Tê 45° (Junção) em aço-carbono galvanizado 3” – Água Potável e Combate a Incêndio</t>
  </si>
  <si>
    <t>SF-03025</t>
  </si>
  <si>
    <t>SF-03026</t>
  </si>
  <si>
    <t>SF-03027</t>
  </si>
  <si>
    <t>SF-03028</t>
  </si>
  <si>
    <t>União com assento cônico aço-carbono galvanizado 1 1/2” – Água Potável e Combate a Incêndio</t>
  </si>
  <si>
    <t>SF-03029</t>
  </si>
  <si>
    <t>União com assento cônico aço-carbono galvanizado 1 1/4” – Água Potável e Combate a Incêndio</t>
  </si>
  <si>
    <t>SF-03030</t>
  </si>
  <si>
    <t>União com assento cônico aço-carbono galvanizado 2” – Água Potável e Combate a Incêndio</t>
  </si>
  <si>
    <t>SF-03031</t>
  </si>
  <si>
    <t>União com assento cônico aço-carbono galvanizado 3” – Água Potável e Combate a Incêndio</t>
  </si>
  <si>
    <t>SF-03032</t>
  </si>
  <si>
    <t>União com assento cônico aço-carbono galvanizado 4” – Água Potável e Combate a Incêndio</t>
  </si>
  <si>
    <t>SF-03033</t>
  </si>
  <si>
    <t>União com assento cônico aço-carbono galvanizado 1” – Água Potável e Combate a Incêndio</t>
  </si>
  <si>
    <t>SF-03034</t>
  </si>
  <si>
    <t>União com assento cônico aço-carbono galvanizado 2 1/2” – Água Potável e Combate a Incêndio</t>
  </si>
  <si>
    <t>SF-03035</t>
  </si>
  <si>
    <t>Tê 90° em aço-carbono galvanizado 1 1/2” – Água Potável e Combate a Incêndio</t>
  </si>
  <si>
    <t>SF-03036</t>
  </si>
  <si>
    <t>Tê 90° em aço-carbono galvanizado 1/2” – Água Potável e Combate a Incêndio</t>
  </si>
  <si>
    <t>SF-03037</t>
  </si>
  <si>
    <t>Tê 90° em aço-carbono galvanizado 2 1/2” – Água Potável e Combate a Incêndio</t>
  </si>
  <si>
    <t>SF-03038</t>
  </si>
  <si>
    <t>Tê 90° em aço-carbono galvanizado 2” – Água Potável e Combate a Incêndio</t>
  </si>
  <si>
    <t>SF-03039</t>
  </si>
  <si>
    <t>SF-03040</t>
  </si>
  <si>
    <t>SF-03041</t>
  </si>
  <si>
    <t>SF-03042</t>
  </si>
  <si>
    <t>SF-03043</t>
  </si>
  <si>
    <t>SF-03044</t>
  </si>
  <si>
    <t>Luva PVC roscável para água fria 1 1/2”</t>
  </si>
  <si>
    <t>SF-03045</t>
  </si>
  <si>
    <t>Luva PVC roscável para água fria 2”</t>
  </si>
  <si>
    <t>SF-03046</t>
  </si>
  <si>
    <t>SF-03047</t>
  </si>
  <si>
    <t>SF-03048</t>
  </si>
  <si>
    <t>SF-03060</t>
  </si>
  <si>
    <t>Chave de grifo 10”</t>
  </si>
  <si>
    <t>SF-03062</t>
  </si>
  <si>
    <t>Chave de grifo 14”</t>
  </si>
  <si>
    <t>SF-03063</t>
  </si>
  <si>
    <t>Chave de grifo 18”</t>
  </si>
  <si>
    <t>SF-03064</t>
  </si>
  <si>
    <t>Chave de grifo 24”</t>
  </si>
  <si>
    <t>SF-03065</t>
  </si>
  <si>
    <t>Chave de grifo 36”</t>
  </si>
  <si>
    <t>SF-03071</t>
  </si>
  <si>
    <t>Torno de bancada fixo nº 4</t>
  </si>
  <si>
    <t>SF-03084</t>
  </si>
  <si>
    <t>Supervisor(a) Técnico(a) - Sistema Hidrossanitário</t>
  </si>
  <si>
    <t>SF-03085</t>
  </si>
  <si>
    <t>Supervisor(a) Técnico(a) - Segurança do Trabalho</t>
  </si>
  <si>
    <t>SF-03086</t>
  </si>
  <si>
    <t>Encarregado(a) de Manutenção Hidrossanitária</t>
  </si>
  <si>
    <t>SF-03087</t>
  </si>
  <si>
    <t>Bombeiro(a) Hidráulico(a) Planejador(a) de Manutenção</t>
  </si>
  <si>
    <t>SF-03088</t>
  </si>
  <si>
    <t>Instalador(a) Hidráulico(a)</t>
  </si>
  <si>
    <t>SF-03089</t>
  </si>
  <si>
    <t>Bombeiro(a) Hidráulico(a) Plantonista (diurno)</t>
  </si>
  <si>
    <t>SF-03090</t>
  </si>
  <si>
    <t>Bombeiro(a) Hidráulico(a) Plantonista (noturno)</t>
  </si>
  <si>
    <t>SF-03091</t>
  </si>
  <si>
    <t>Ajudante de Manutenção Hidrossanitária</t>
  </si>
  <si>
    <t>SF-03092</t>
  </si>
  <si>
    <t>Ajudante de Bombeiro(a) Hidráulico(a) Plantonista (diurno)</t>
  </si>
  <si>
    <t>SF-03093</t>
  </si>
  <si>
    <t>Ajudante de Bombeiro(a) Hidráulico(a) Plantonista (noturno)</t>
  </si>
  <si>
    <t>SF-03095</t>
  </si>
  <si>
    <t>SF-03096</t>
  </si>
  <si>
    <t>Manômetro DN100 (4”) até 150psi - para aferição (NBR 14105-1 classe A1)</t>
  </si>
  <si>
    <t>SF-03111</t>
  </si>
  <si>
    <t>SF-03112</t>
  </si>
  <si>
    <t>Tubo de aço-carbono galvanizado 1 1/2” – Água Potável e Combate a Incêndio</t>
  </si>
  <si>
    <t>SF-03127</t>
  </si>
  <si>
    <t>SF-03131</t>
  </si>
  <si>
    <t>SF-03132</t>
  </si>
  <si>
    <t>SF-03159</t>
  </si>
  <si>
    <t>SF-03167</t>
  </si>
  <si>
    <t>SF-03180</t>
  </si>
  <si>
    <t>16,27</t>
  </si>
  <si>
    <t>4,59</t>
  </si>
  <si>
    <t>9,97</t>
  </si>
  <si>
    <t>2,01</t>
  </si>
  <si>
    <t>12,39</t>
  </si>
  <si>
    <t>19,27</t>
  </si>
  <si>
    <t>3,25</t>
  </si>
  <si>
    <t>15,88</t>
  </si>
  <si>
    <t>14,72</t>
  </si>
  <si>
    <t>17,07</t>
  </si>
  <si>
    <t>CURVA PVC LONGA 45 GRAUS, 100 MM, PARA ESGOTO PREDIAL</t>
  </si>
  <si>
    <t>4,08</t>
  </si>
  <si>
    <t>7,77</t>
  </si>
  <si>
    <t>5,22</t>
  </si>
  <si>
    <t>3,48</t>
  </si>
  <si>
    <t>24,05</t>
  </si>
  <si>
    <t>10,42</t>
  </si>
  <si>
    <t>11,22</t>
  </si>
  <si>
    <t>23,19</t>
  </si>
  <si>
    <t>19,23</t>
  </si>
  <si>
    <t>17,48</t>
  </si>
  <si>
    <t>1,47</t>
  </si>
  <si>
    <t>16,84</t>
  </si>
  <si>
    <t>16,59</t>
  </si>
  <si>
    <t>6,51</t>
  </si>
  <si>
    <t>11,65</t>
  </si>
  <si>
    <t>19,08</t>
  </si>
  <si>
    <t>TUBO PVC, ROSCAVEL, 3", AGUA FRIA PREDIAL</t>
  </si>
  <si>
    <t>10,20</t>
  </si>
  <si>
    <t>14,41</t>
  </si>
  <si>
    <t>5,31</t>
  </si>
  <si>
    <t>103653</t>
  </si>
  <si>
    <t>GEOTÊXTIL NÃO TECIDO 100% POLIÉSTER, RESISTÊNCIA A TRAÇÃO DE 31 KN/M (RT-31), INSTALADO EM DRENO - FORNECIMENTO E INSTALAÇÃO. AF_07/2021</t>
  </si>
  <si>
    <t>16,61</t>
  </si>
  <si>
    <t>17,84</t>
  </si>
  <si>
    <t>18,41</t>
  </si>
  <si>
    <t>21,15</t>
  </si>
  <si>
    <t>16,97</t>
  </si>
  <si>
    <t>10,27</t>
  </si>
  <si>
    <t>18,23</t>
  </si>
  <si>
    <t>23,69</t>
  </si>
  <si>
    <t>19,55</t>
  </si>
  <si>
    <t>15,11</t>
  </si>
  <si>
    <t>18,25</t>
  </si>
  <si>
    <t>14,92</t>
  </si>
  <si>
    <t>13,45</t>
  </si>
  <si>
    <t>102201</t>
  </si>
  <si>
    <t>APLICAÇÃO MASSA ACRÍLICA PARA MADEIRA, PARA PINTURA COM TINTA DE ACABAMENTO (PIGMENTADA). AF_01/2021</t>
  </si>
  <si>
    <t>23,13</t>
  </si>
  <si>
    <t>16,67</t>
  </si>
  <si>
    <t>17,31</t>
  </si>
  <si>
    <t>9,88</t>
  </si>
  <si>
    <t>18,22</t>
  </si>
  <si>
    <t>22,75</t>
  </si>
  <si>
    <t>22,64</t>
  </si>
  <si>
    <t>8,32</t>
  </si>
  <si>
    <t>2,30</t>
  </si>
  <si>
    <t>21,77</t>
  </si>
  <si>
    <t>10,30</t>
  </si>
  <si>
    <t>3,46</t>
  </si>
  <si>
    <t>6,80</t>
  </si>
  <si>
    <t>0,41</t>
  </si>
  <si>
    <t>11,97</t>
  </si>
  <si>
    <t>6,16</t>
  </si>
  <si>
    <t>1,88</t>
  </si>
  <si>
    <t>14,93</t>
  </si>
  <si>
    <t>17,90</t>
  </si>
  <si>
    <t>19,44</t>
  </si>
  <si>
    <t>22,00</t>
  </si>
  <si>
    <t xml:space="preserve">KWH   </t>
  </si>
  <si>
    <t>15,24</t>
  </si>
  <si>
    <t>2,94</t>
  </si>
  <si>
    <t>18,91</t>
  </si>
  <si>
    <t>8,54</t>
  </si>
  <si>
    <t>7,27</t>
  </si>
  <si>
    <t>2,35</t>
  </si>
  <si>
    <t>4,95</t>
  </si>
  <si>
    <t>28,37</t>
  </si>
  <si>
    <t>8,93</t>
  </si>
  <si>
    <t>22,97</t>
  </si>
  <si>
    <t>0,50</t>
  </si>
  <si>
    <t>16,30</t>
  </si>
  <si>
    <t>103660</t>
  </si>
  <si>
    <t>103666</t>
  </si>
  <si>
    <t>21,82</t>
  </si>
  <si>
    <t>11,24</t>
  </si>
  <si>
    <t>103669</t>
  </si>
  <si>
    <t>CONCRETAGEM DE PILARES, FCK = 25 MPA,  COM USO DE BALDES - LANÇAMENTO, ADENSAMENTO E ACABAMENTO. AF_02/2022</t>
  </si>
  <si>
    <t>103670</t>
  </si>
  <si>
    <t>LANÇAMENTO COM USO DE BALDES, ADENSAMENTO E ACABAMENTO DE CONCRETO EM ESTRUTURAS. AF_02/2022</t>
  </si>
  <si>
    <t>103671</t>
  </si>
  <si>
    <t>CONCRETAGEM DE PILARES, FCK = 25 MPA, COM USO DE GRUA - LANÇAMENTO, ADENSAMENTO E ACABAMENTO. AF_02/2022</t>
  </si>
  <si>
    <t>103672</t>
  </si>
  <si>
    <t>103673</t>
  </si>
  <si>
    <t>LANÇAMENTO COM USO DE BOMBA, ADENSAMENTO E ACABAMENTO DE CONCRETO EM ESTRUTURAS. AF_02/2022</t>
  </si>
  <si>
    <t>103674</t>
  </si>
  <si>
    <t>103675</t>
  </si>
  <si>
    <t>103676</t>
  </si>
  <si>
    <t>CONCRETAGEM DE VIGAS E LAJES, FCK=25 MPA, PARA LAJES PREMOLDADAS COM JERICAS EM ELEVADOR DE CABO EM EDIFICAÇÃO DE MULTIPAVIMENTOS ATÉ 16 ANDARES - LANÇAMENTO, ADENSAMENTO E ACABAMENTO. AF_02/2022</t>
  </si>
  <si>
    <t>103677</t>
  </si>
  <si>
    <t>CONCRETAGEM DE VIGAS E LAJES, FCK=25 MPA, PARA LAJES MACIÇAS OU NERVURADAS COM JERICAS EM ELEVADOR DE CABO EM EDIFICAÇÃO DE MULTIPAVIMENTOS ATÉ 16 ANDARES  - LANÇAMENTO, ADENSAMENTO E ACABAMENTO. AF_02/2022</t>
  </si>
  <si>
    <t>103678</t>
  </si>
  <si>
    <t>CONCRETAGEM DE VIGAS E LAJES, FCK=25 MPA, PARA LAJES PREMOLDADAS COM JERICAS EM CREMALHEIRA EM EDIFICAÇÃO DE MULTIPAVIMENTOS ATÉ 16 ANDARES  - LANÇAMENTO, ADENSAMENTO E ACABAMENTO. AF_02/2022</t>
  </si>
  <si>
    <t>103679</t>
  </si>
  <si>
    <t>CONCRETAGEM DE VIGAS E LAJES, FCK=25 MPA, PARA LAJES MACIÇAS OU NERVURADAS COM JERICAS EM CREMALHEIRA EM EDIFICAÇÃO DE MULTIPAVIMENTOS ATÉ 16 ANDARES - LANÇAMENTO, ADENSAMENTO E ACABAMENTO. AF_02/2022</t>
  </si>
  <si>
    <t>103680</t>
  </si>
  <si>
    <t>CONCRETAGEM DE VIGAS E LAJES, FCK=25 MPA, PARA LAJES PREMOLDADAS COM GRUA DE CAÇAMBA DE 350 L EM EDIFICAÇÃO DE MULTIPAVIMENTOS ATÉ 16 ANDARES - LANÇAMENTO, ADENSAMENTO E ACABAMENTO. AF_02/2022</t>
  </si>
  <si>
    <t>103681</t>
  </si>
  <si>
    <t>CONCRETAGEM DE VIGAS E LAJES, FCK=25 MPA, PARA LAJES MACIÇAS OU NERVURADAS COM GRUA DE CAÇAMBA DE 500 L EM EDIFICAÇÃO DE MULTIPAVIMENTOS ATÉ 16 ANDARES - LANÇAMENTO, ADENSAMENTO E ACABAMENTO. AF_02/2022</t>
  </si>
  <si>
    <t>103682</t>
  </si>
  <si>
    <t>CONCRETAGEM DE VIGAS E LAJES, FCK=25 MPA, PARA QUALQUER TIPO DE LAJE COM BALDES EM EDIFICAÇÃO TÉRREA - LANÇAMENTO, ADENSAMENTO E ACABAMENTO. AF_02/2022</t>
  </si>
  <si>
    <t>103683</t>
  </si>
  <si>
    <t>CONCRETAGEM DE VIGAS E LAJES, FCK=25 MPA, PARA QUALQUER TIPO DE LAJE COM BALDES EM EDIFICAÇÃO DE MULTIPAVIMENTOS ATÉ 04 ANDARES - LANÇAMENTO, ADENSAMENTO E ACABAMENTO. AF_02/2022</t>
  </si>
  <si>
    <t>103684</t>
  </si>
  <si>
    <t>103685</t>
  </si>
  <si>
    <t>103686</t>
  </si>
  <si>
    <t>103687</t>
  </si>
  <si>
    <t>CONCRETAGEM DE PILARES, FCK=25 MPA, COM USO DE JERICAS EM ELEVADOR DE CABO - LANÇAMENTO, ADENSAMENTO E ACABAMENTO. AF_02/2022</t>
  </si>
  <si>
    <t>103688</t>
  </si>
  <si>
    <t>CONCRETAGEM DE PILARES, FCK=25 MPA, COM USO DE JERICAS EM CREMALHEIRA - LANÇAMENTO, ADENSAMENTO E ACABAMENTO. AF_02/2022</t>
  </si>
  <si>
    <t>103654</t>
  </si>
  <si>
    <t>TRANSFORMADOR DE DISTRIBUIÇÃO, 500KVA, TRIFÁSICO, 60 HZ, CLASSE 15 KV, IMERSO EM ÓLEO MINERAL, INSTALAÇÃO EM SOLO (NÃO INCLUSO ABRIGO) - FORNECIMENTO E INSTALAÇÃO. AF_02/2022</t>
  </si>
  <si>
    <t>103655</t>
  </si>
  <si>
    <t>TRANSFORMADOR DE DISTRIBUIÇÃO, 750 KVA, TRIFÁSICO, 60 HZ, CLASSE 15 KV, IMERSO EM ÓLEO MINERAL, INSTALAÇÃO EM SOLO (NÃO INCLUSO ABRIGO) - FORNECIMENTO E INSTALAÇÃO. AF_02/2022</t>
  </si>
  <si>
    <t>103656</t>
  </si>
  <si>
    <t>TRANSFORMADOR DE DISTRIBUIÇÃO, 1000 KVA, TRIFÁSICO, 60 HZ, CLASSE 15 KV, IMERSO EM ÓLEO MINERAL, INSTALAÇÃO EM SOLO (NÃO INCLUSO ABRIGO) - FORNECIMENTO E INSTALAÇÃO. AF_02/2022</t>
  </si>
  <si>
    <t>13,69</t>
  </si>
  <si>
    <t>12,48</t>
  </si>
  <si>
    <t>10,52</t>
  </si>
  <si>
    <t>12,47</t>
  </si>
  <si>
    <t>37,53</t>
  </si>
  <si>
    <t>17,81</t>
  </si>
  <si>
    <t>12,81</t>
  </si>
  <si>
    <t>10,76</t>
  </si>
  <si>
    <t>12,96</t>
  </si>
  <si>
    <t>19,50</t>
  </si>
  <si>
    <t>16,43</t>
  </si>
  <si>
    <t>22,41</t>
  </si>
  <si>
    <t>22,17</t>
  </si>
  <si>
    <t>23,55</t>
  </si>
  <si>
    <t>18,80</t>
  </si>
  <si>
    <t>20,75</t>
  </si>
  <si>
    <t>TUBO PVC, ROSCAVEL, 4", AGUA FRIA PREDIAL</t>
  </si>
  <si>
    <t>LUVA PVC, ROSCAVEL, 2", AGUA FRIA PREDIAL</t>
  </si>
  <si>
    <t>11,39</t>
  </si>
  <si>
    <t>11,62</t>
  </si>
  <si>
    <t>2,65</t>
  </si>
  <si>
    <t>1,40</t>
  </si>
  <si>
    <t>23,91</t>
  </si>
  <si>
    <t>3,45</t>
  </si>
  <si>
    <t>12,70</t>
  </si>
  <si>
    <t>10,58</t>
  </si>
  <si>
    <t>25,33</t>
  </si>
  <si>
    <t>6,47</t>
  </si>
  <si>
    <t>4,64</t>
  </si>
  <si>
    <t>5,73</t>
  </si>
  <si>
    <t>7,14</t>
  </si>
  <si>
    <t>28,91</t>
  </si>
  <si>
    <t>10,60</t>
  </si>
  <si>
    <t>5,78</t>
  </si>
  <si>
    <t>20,03</t>
  </si>
  <si>
    <t>10,86</t>
  </si>
  <si>
    <t>6,44</t>
  </si>
  <si>
    <t>4,97</t>
  </si>
  <si>
    <t>8,60</t>
  </si>
  <si>
    <t>23,93</t>
  </si>
  <si>
    <t>21,16</t>
  </si>
  <si>
    <t>17,79</t>
  </si>
  <si>
    <t>10,36</t>
  </si>
  <si>
    <t>18,60</t>
  </si>
  <si>
    <t>1,86</t>
  </si>
  <si>
    <t>2,44</t>
  </si>
  <si>
    <t>0,75</t>
  </si>
  <si>
    <t>10,71</t>
  </si>
  <si>
    <t>103792</t>
  </si>
  <si>
    <t>MINI GUINDASTE ARANHA SOBRE ESTEIRAS E LANCA TELESCÓPICA, CAPACIDADE MÁXIMA DE CARGA 3,0 TON, RAIO MÁXIMO DE TRABALHO 8,25 M, ALTURA DE LANÇA DO SOLO 9,2 M, 55 M DE CABO DE AÇO 8 MM, MOTOR ELÉTRICO 220/380 VOLTS TRIFÁSICO - MATERIAIS NA OPERAÇÃO. AF_03/2022</t>
  </si>
  <si>
    <t>103760</t>
  </si>
  <si>
    <t>MONTAGEM E DESMONTAGEM DE FÔRMA DE LAJE MACIÇA, PÉ-DIREITO SIMPLES, EM CHAPA DE MADEIRA COMPENSADA RESINADA E CIMBRAMENTO DE MADEIRA, 2 UTILIZAÇÕES. AF_03/2022</t>
  </si>
  <si>
    <t>103761</t>
  </si>
  <si>
    <t>MONTAGEM E DESMONTAGEM DE FÔRMA DE LAJE MACIÇA, PÉ-DIREITO SIMPLES, EM CHAPA DE MADEIRA COMPENSADA RESINADA E CIMBRAMENTO DE MADEIRA, 4 UTILIZAÇÕES. AF_03/2022</t>
  </si>
  <si>
    <t>103762</t>
  </si>
  <si>
    <t>MONTAGEM E DESMONTAGEM DE FÔRMA DE LAJE MACIÇA, PÉ-DIREITO SIMPLES, EM CHAPA DE MADEIRA COMPENSADA RESINADA E CIMBRAMENTO DE MADEIRA, 6 UTILIZAÇÕES. AF_03/2022</t>
  </si>
  <si>
    <t>103763</t>
  </si>
  <si>
    <t>MONTAGEM E DESMONTAGEM DE FÔRMA DE LAJE MACIÇA, PÉ-DIREITO SIMPLES, EM CHAPA DE MADEIRA COMPENSADA RESINADA E CIMBRAMENTO DE MADEIRA, 8 UTILIZAÇÕES. AF_03/2022</t>
  </si>
  <si>
    <t>13,31</t>
  </si>
  <si>
    <t>18,44</t>
  </si>
  <si>
    <t>16,76</t>
  </si>
  <si>
    <t>8,61</t>
  </si>
  <si>
    <t>29,22</t>
  </si>
  <si>
    <t>23,64</t>
  </si>
  <si>
    <t>25,83</t>
  </si>
  <si>
    <t>103782</t>
  </si>
  <si>
    <t>LUMINÁRIA TIPO PLAFON CIRCULAR, DE SOBREPOR, COM LED DE 12/13 W - FORNECIMENTO E INSTALAÇÃO. AF_03/2022</t>
  </si>
  <si>
    <t>6,30</t>
  </si>
  <si>
    <t>18,76</t>
  </si>
  <si>
    <t>20,55</t>
  </si>
  <si>
    <t>11,48</t>
  </si>
  <si>
    <t>10,90</t>
  </si>
  <si>
    <t>11,02</t>
  </si>
  <si>
    <t>22,39</t>
  </si>
  <si>
    <t>9,77</t>
  </si>
  <si>
    <t>103694</t>
  </si>
  <si>
    <t>FORNECIMENTO E INSTALAÇÃO DE SUPORTE DE MADEIRA  PARA PLACAS DE SINALIZAÇÃO, EM SOLO, COM H= DE 2,5 M E SEÇÃO DE 7,5 X 7,5 CM. AF_03/2022</t>
  </si>
  <si>
    <t>103695</t>
  </si>
  <si>
    <t>103696</t>
  </si>
  <si>
    <t>FORNECIMENTO E INSTALAÇÃO DE SUPORTE DE MADEIRA PARA PLACAS DE SINALIZAÇÃO EM CONCRETO, COM H= DE 2,5 M E SEÇÃO DE 7,5 X 7,5 CM. AF_03/2022</t>
  </si>
  <si>
    <t>103697</t>
  </si>
  <si>
    <t>24,63</t>
  </si>
  <si>
    <t>103769</t>
  </si>
  <si>
    <t>PAR DE TABELAS DE BASQUETE DE COMPENSADO NAVAL, COM AROS E REDES - FORNECIMENTO E INSTALAÇÃO. AF_03/2022</t>
  </si>
  <si>
    <t>17,26</t>
  </si>
  <si>
    <t>14,84</t>
  </si>
  <si>
    <t>18,64</t>
  </si>
  <si>
    <t>16,87</t>
  </si>
  <si>
    <t>19,99</t>
  </si>
  <si>
    <t>20,10</t>
  </si>
  <si>
    <t>5,68</t>
  </si>
  <si>
    <t>13,67</t>
  </si>
  <si>
    <t>34,44</t>
  </si>
  <si>
    <t>22,69</t>
  </si>
  <si>
    <t>29,35</t>
  </si>
  <si>
    <t>3,94</t>
  </si>
  <si>
    <t>2,14</t>
  </si>
  <si>
    <t>Instalação de quadros elétricos ou de telecomunicações</t>
  </si>
  <si>
    <t>Grelha para retorno de ar com lâminas fixas e registro, 225 mm x 225 mm</t>
  </si>
  <si>
    <t>Instalação de forro metálico reaproveitado</t>
  </si>
  <si>
    <t>Condulete de alumínio de 3"</t>
  </si>
  <si>
    <t>Fluido de arrefecimento para motor MTU 16V4000</t>
  </si>
  <si>
    <t>litro</t>
  </si>
  <si>
    <t>Fluido de arrefecimento para motor Cummins NTA 855</t>
  </si>
  <si>
    <t>Fluido de arrefecimento para motor Mercedes-Benz OM 447 LA</t>
  </si>
  <si>
    <t>SF-03203</t>
  </si>
  <si>
    <t>Cotovelo BSP 1 1/2” para filtro de óleo diesel</t>
  </si>
  <si>
    <t>SF-03206</t>
  </si>
  <si>
    <t>União BSP 1 1/2” para filtro de óleo diesel</t>
  </si>
  <si>
    <t>SF-03207</t>
  </si>
  <si>
    <t>Tubo de aço-carbono 1 1/2” - Filtro de óleo diesel</t>
  </si>
  <si>
    <t>SF-03214</t>
  </si>
  <si>
    <t>Bloco vazado de concreto simples com 02 furos (19x19x39 - Classe A)</t>
  </si>
  <si>
    <t>SF-03215</t>
  </si>
  <si>
    <t>Bloco vazado de concreto simples tipo canaleta (19x19x39 - Classe A)</t>
  </si>
  <si>
    <t>SF-03217</t>
  </si>
  <si>
    <t>Bloco vazado de concreto simples tipo compensador A (19x19x9 - Classe C)</t>
  </si>
  <si>
    <t>SF-03220</t>
  </si>
  <si>
    <t>Graute industrializado, 50 MPa ≤ fck ≤ 60 Mpa</t>
  </si>
  <si>
    <t>SF-03221</t>
  </si>
  <si>
    <t>Tela metálica para reboco</t>
  </si>
  <si>
    <t>SF-03222</t>
  </si>
  <si>
    <t>Vergalhão Ca-60 Diâmetro 4,2 mm</t>
  </si>
  <si>
    <t>SF-03223</t>
  </si>
  <si>
    <t>Vermiculita Expandida</t>
  </si>
  <si>
    <t>25 kg</t>
  </si>
  <si>
    <t>100 L</t>
  </si>
  <si>
    <t>Pini 05.001.000017.MAT</t>
  </si>
  <si>
    <t>Bloco de concreto tipo canaleta 19 x 19 x 39 cm</t>
  </si>
  <si>
    <t>8,91</t>
  </si>
  <si>
    <t>5,26</t>
  </si>
  <si>
    <t>3,20</t>
  </si>
  <si>
    <t>0,60</t>
  </si>
  <si>
    <t>0,97</t>
  </si>
  <si>
    <t>5,23</t>
  </si>
  <si>
    <t>9,37</t>
  </si>
  <si>
    <t>27,85</t>
  </si>
  <si>
    <t>18,15</t>
  </si>
  <si>
    <t>21,95</t>
  </si>
  <si>
    <t>4,79</t>
  </si>
  <si>
    <t>19,61</t>
  </si>
  <si>
    <t>2,77</t>
  </si>
  <si>
    <t>6,75</t>
  </si>
  <si>
    <t>21,70</t>
  </si>
  <si>
    <t>19,92</t>
  </si>
  <si>
    <t>11,21</t>
  </si>
  <si>
    <t>27,30</t>
  </si>
  <si>
    <t>19,00</t>
  </si>
  <si>
    <t>5,12</t>
  </si>
  <si>
    <t>7,67</t>
  </si>
  <si>
    <t>13,59</t>
  </si>
  <si>
    <t>20,19</t>
  </si>
  <si>
    <t>14,09</t>
  </si>
  <si>
    <t>24,50</t>
  </si>
  <si>
    <t>25,11</t>
  </si>
  <si>
    <t>20,18</t>
  </si>
  <si>
    <t>17,01</t>
  </si>
  <si>
    <t>8,96</t>
  </si>
  <si>
    <t>21,85</t>
  </si>
  <si>
    <t>17,96</t>
  </si>
  <si>
    <t>12,29</t>
  </si>
  <si>
    <t>13,71</t>
  </si>
  <si>
    <t>20,70</t>
  </si>
  <si>
    <t>3,26</t>
  </si>
  <si>
    <t>24,23</t>
  </si>
  <si>
    <t>15,76</t>
  </si>
  <si>
    <t>7,80</t>
  </si>
  <si>
    <t>13,74</t>
  </si>
  <si>
    <t>3,14</t>
  </si>
  <si>
    <t>23,03</t>
  </si>
  <si>
    <t>13,82</t>
  </si>
  <si>
    <t>19,39</t>
  </si>
  <si>
    <t>11,50</t>
  </si>
  <si>
    <t>TUBO EM COBRE RÍGIDO, DN 22 MM, CLASSE E, SEM ISOLAMENTO, INSTALADO EM PRUMADA DE HIDRÁULICA PREDIAL - FORNECIMENTO E INSTALAÇÃO. AF_04/2022</t>
  </si>
  <si>
    <t>TUBO EM COBRE RÍGIDO, DN 28 MM, CLASSE E, SEM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</si>
  <si>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</si>
  <si>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</si>
  <si>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</si>
  <si>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E, SEM ISOLAMENTO, INSTALADO EM PRUMADA DE HIDRÁULICA PREDIAL - FORNECIMENTO E INSTALAÇÃO. AF_04/2022</t>
  </si>
  <si>
    <t>TUBO EM COBRE RÍGIDO, DN 22 MM, CLASSE E, COM ISOLAMENTO, INSTALADO EM PRUMADA DE HIDRÁULICA PREDIAL - FORNECIMENTO E INSTALAÇÃO. AF_04/2022</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</si>
  <si>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</si>
  <si>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</si>
  <si>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TUBO EM COBRE RÍGIDO, DN 42 MM, CLASSE E, COM ISOLAMENTO, INSTALADO EM PRUMADA DE HIDRÁULICA PREDIAL - FORNECIMENTO E INSTALAÇÃO. AF_04/2022</t>
  </si>
  <si>
    <t>TUBO EM COBRE RÍGIDO, DN 54 MM, CLASSE E, COM ISOLAMENTO, INSTALADO EM PRUMADA DE HIDRÁULICA PREDIAL - FORNECIMENTO E INSTALAÇÃO. AF_04/2022</t>
  </si>
  <si>
    <t>TUBO EM COBRE RÍGIDO, DN 66 MM, CLASSE E, COM ISOLAMENTO, INSTALADO EM PRUMADA DE HIDRÁULICA PREDIAL - FORNECIMENTO E INSTALAÇÃO. AF_04/2022</t>
  </si>
  <si>
    <t>TUBO EM COBRE RÍGIDO, DN 15 MM, CLASSE E, SEM ISOLAMENTO, INSTALADO EM RAMAL DE DISTRIBUIÇÃO DE HIDRÁULICA PREDIAL - FORNECIMENTO E INSTALAÇÃO. AF_04/2022</t>
  </si>
  <si>
    <t>TUBO EM COBRE RÍGIDO, DN 22 MM, CLASSE E, SEM ISOLAMENTO, INSTALADO EM RAMAL DE DISTRIBUIÇÃO DE HIDRÁULICA PREDIAL - FORNECIMENTO E INSTALAÇÃO. AF_04/2022</t>
  </si>
  <si>
    <t>TUBO EM COBRE RÍGIDO, DN 28 MM, CLASSE E, SEM ISOLAMENTO, INSTALADO EM RAMAL DE DISTRIBUIÇÃO DE HIDRÁULICA PREDIAL - FORNECIMENTO E INSTALAÇÃO. AF_04/2022</t>
  </si>
  <si>
    <t>TUBO EM COBRE RÍGIDO, DN 15 MM, CLASSE E, COM ISOLAMENTO, INSTALADO EM RAMAL DE DISTRIBUIÇÃO DE HIDRÁULICA PREDIAL - FORNECIMENTO E INSTALAÇÃO. AF_04/2022</t>
  </si>
  <si>
    <t>TUBO EM COBRE RÍGIDO, DN 22 MM, CLASSE E, COM ISOLAMENTO, INSTALADO EM RAMAL DE DISTRIBUIÇÃO DE HIDRÁULICA PREDIAL - FORNECIMENTO E INSTALAÇÃO. AF_04/2022</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</si>
  <si>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</si>
  <si>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</si>
  <si>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TUBO EM COBRE RÍGIDO, DN 22 MM, CLASSE E, SEM ISOLAMENTO, INSTALADO EM RAMAL E SUB-RAMAL DE HIDRÁULICA PREDIAL - FORNECIMENTO E INSTALAÇÃO. AF_04/2022</t>
  </si>
  <si>
    <t>TUBO EM COBRE RÍGIDO, DN 28 MM, CLASSE E, SEM ISOLAMENTO, INSTALADO EM RAMAL E SUB-RAMAL DE HIDRÁULICA PREDIAL - FORNECIMENTO E INSTALAÇÃO. AF_04/2022</t>
  </si>
  <si>
    <t>TUBO EM COBRE RÍGIDO, DN 15 MM, CLASSE E, COM ISOLAMENTO, INSTALADO EM RAMAL E SUB-RAMAL DE HIDRÁULICA PREDIAL - FORNECIMENTO E INSTALAÇÃO. AF_04/2022</t>
  </si>
  <si>
    <t>TUBO EM COBRE RÍGIDO, DN 22 MM, CLASSE E, COM ISOLAMENTO, INSTALADO EM RAMAL E SUB-RAMAL DE HIDRÁULICA PREDIAL - FORNECIMENTO E INSTALAÇÃO. AF_04/2022</t>
  </si>
  <si>
    <t>TUBO EM COBRE RÍGIDO, DN 28 MM, CLASSE E, COM ISOLAMENTO, INSTALADO EM RAMAL E SUB-RAMAL DE HIDRÁULICA PREDIAL - FORNECIMENTO E INSTALAÇÃO. AF_04/2022</t>
  </si>
  <si>
    <t>TUBO EM COBRE RÍGIDO, DN 22 MM, CLASSE A, SEM ISOLAMENTO, INSTALADO EM PRUMADA DE GÁS COMBUSTÍVEL - FORNECIMENTO E INSTALAÇÃO. AF_04/2022</t>
  </si>
  <si>
    <t>TUBO EM COBRE RÍGIDO, DN 28 MM, CLASSE A, SEM ISOLAMENTO, INSTALADO EM PRUMADA DE GÁS COMBUSTÍVEL - FORNECIMENTO E INSTALAÇÃO. AF_04/2022</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</si>
  <si>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</si>
  <si>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</si>
  <si>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</si>
  <si>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</si>
  <si>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103802</t>
  </si>
  <si>
    <t>TUBO EM COBRE RÍGIDO, DN 15 MM, CLASSE E, SEM ISOLAMENTO, INSTALADO EM RAMAL E SUB-RAMAL DE GÁS COMBUSTÍVEL - FORNECIMENTO E INSTALAÇÃO. AF_04/2022</t>
  </si>
  <si>
    <t>103803</t>
  </si>
  <si>
    <t>TUBO EM COBRE RÍGIDO, DN 22 MM, CLASSE E, SEM ISOLAMENTO, INSTALADO EM RAMAL E SUB-RAMAL DE GÁS COMBUSTÍVEL - FORNECIMENTO E INSTALAÇÃO. AF_04/2022</t>
  </si>
  <si>
    <t>103804</t>
  </si>
  <si>
    <t>TUBO EM COBRE RÍGIDO, DN 28 MM, CLASSE E, SEM ISOLAMENTO, INSTALADO EM RAMAL E SUB-RAMAL DE GÁS COMBUSTÍVEL - FORNECIMENTO E INSTALAÇÃO. AF_04/2022</t>
  </si>
  <si>
    <t>103835</t>
  </si>
  <si>
    <t>TUBO EM COBRE RÍGIDO, DN 15 MM, CLASSE A, SEM ISOLAMENTO, INSTALADO EM RAMAL E SUB-RAMAL DE GÁS MEDICINAL - FORNECIMENTO E INSTALAÇÃO. AF_04/2022</t>
  </si>
  <si>
    <t>103836</t>
  </si>
  <si>
    <t>TUBO EM COBRE RÍGIDO, DN 22 MM, CLASSE A, SEM ISOLAMENTO, INSTALADO EM RAMAL E SUB-RAMAL DE GÁS MEDICINAL - FORNECIMENTO E INSTALAÇÃO. AF_04/2022</t>
  </si>
  <si>
    <t>103837</t>
  </si>
  <si>
    <t>TUBO EM COBRE RÍGIDO, DN 28 MM, CLASSE A, SEM ISOLAMENTO, INSTALADO EM RAMAL E SUB-RAMAL DE GÁS MEDICINAL - FORNECIMENTO E INSTALAÇÃO. AF_04/2022</t>
  </si>
  <si>
    <t>103868</t>
  </si>
  <si>
    <t>TUBO EM COBRE RÍGIDO, DN 15 MM, CLASSE E, SEM ISOLAMENTO, INSTALADO EM RAMAL E SUB-RAMAL DE AQUECIMENTO SOLAR - FORNECIMENTO E INSTALAÇÃO. AF_04/2022</t>
  </si>
  <si>
    <t>103869</t>
  </si>
  <si>
    <t>TUBO EM COBRE RÍGIDO, DN 22 MM, CLASSE E, SEM ISOLAMENTO, INSTALADO EM RAMAL E SUB-RAMAL DE AQUECIMENTO SOLAR - FORNECIMENTO E INSTALAÇÃO. AF_04/2022</t>
  </si>
  <si>
    <t>103870</t>
  </si>
  <si>
    <t>TUBO EM COBRE RÍGIDO, DN 28 MM, CLASSE E, SEM ISOLAMENTO, INSTALADO EM RAMAL E SUB-RAMAL DE AQUECIMENTO SOLAR - FORNECIMENTO E INSTALAÇÃO. AF_04/2022</t>
  </si>
  <si>
    <t>103871</t>
  </si>
  <si>
    <t>TUBO EM COBRE RÍGIDO, DN 15 MM, CLASSE E, COM ISOLAMENTO, INSTALADO EM RAMAL E SUB-RAMAL DE AQUECIMENTO SOLAR - FORNECIMENTO E INSTALAÇÃO. AF_04/2022</t>
  </si>
  <si>
    <t>103872</t>
  </si>
  <si>
    <t>TUBO EM COBRE RÍGIDO, DN 22 MM, CLASSE E, COM ISOLAMENTO, INSTALADO EM RAMAL E SUB-RAMAL DE AQUECIMENTO SOLAR - FORNECIMENTO E INSTALAÇÃO. AF_04/2022</t>
  </si>
  <si>
    <t>103873</t>
  </si>
  <si>
    <t>TUBO EM COBRE RÍGIDO, DN 28 MM, CLASSE E, COM ISOLAMENTO, INSTALADO EM RAMAL E SUB-RAMAL DE AQUECIMENTO SOLAR - FORNECIMENTO E INSTALAÇÃO. AF_04/2022</t>
  </si>
  <si>
    <t>14,78</t>
  </si>
  <si>
    <t>27,95</t>
  </si>
  <si>
    <t>COTOVELO EM COBRE, DN 22 MM, 90 GRAUS, SEM ANEL DE SOLDA, INSTALADO EM PRUMADA DE HIDRÁULICA PREDIAL - FORNECIMENTO E INSTALAÇÃO. AF_04/2022</t>
  </si>
  <si>
    <t>COTOVELO EM COBRE, DN 28 MM, 90 GRAUS, SEM ANEL DE SOLDA, INSTALADO EM PRUMADA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</si>
  <si>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</si>
  <si>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</si>
  <si>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</si>
  <si>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</si>
  <si>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LUVA EM COBRE, DN 22 MM, SEM ANEL DE SOLDA, INSTALADO EM PRUMADA DE HIDRÁULICA PREDIAL - FORNECIMENTO E INSTALAÇÃO. AF_04/2022</t>
  </si>
  <si>
    <t>LUVA EM COBRE, DN 28 MM, SEM ANEL DE SOLDA, INSTALADO EM PRUMADA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</si>
  <si>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</si>
  <si>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</si>
  <si>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</si>
  <si>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</si>
  <si>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</si>
  <si>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</si>
  <si>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</si>
  <si>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</si>
  <si>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</si>
  <si>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</si>
  <si>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</si>
  <si>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</si>
  <si>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</si>
  <si>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</si>
  <si>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</si>
  <si>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</si>
  <si>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</si>
  <si>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</si>
  <si>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COTOVELO EM COBRE, DN 15 MM, 90 GRAUS, SEM ANEL DE SOLDA, INSTALADO EM RAMAL E SUB-RAMAL DE HIDRÁULICA PREDIAL - FORNECIMENTO E INSTALAÇÃO. AF_04/2022</t>
  </si>
  <si>
    <t>COTOVELO EM COBRE, DN 22 MM, 90 GRAUS, SEM ANEL DE SOLDA, INSTALADO EM RAMAL E SUB-RAMAL DE HIDRÁULICA PREDIAL - FORNECIMENTO E INSTALAÇÃO. AF_04/2022</t>
  </si>
  <si>
    <t>COTOVELO EM COBRE, DN 28 MM, 90 GRAUS, SEM ANEL DE SOLDA, INSTALADO EM RAMAL E SUB-RAMAL DE HIDRÁULICA PREDIAL - FORNECIMENTO E INSTALAÇÃO. AF_04/2022</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</si>
  <si>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</si>
  <si>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</si>
  <si>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</si>
  <si>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TE EM COBRE, DN 15 MM, SEM ANEL DE SOLDA, INSTALADO EM RAMAL E SUB-RAMAL DE HIDRÁULICA PREDIAL - FORNECIMENTO E INSTALAÇÃO. AF_04/2022</t>
  </si>
  <si>
    <t>TE EM COBRE, DN 22 MM, SEM ANEL DE SOLDA, INSTALADO EM RAMAL E SUB-RAMAL DE HIDRÁULICA PREDIAL - FORNECIMENTO E INSTALAÇÃO. AF_04/2022</t>
  </si>
  <si>
    <t>TE EM COBRE, DN 28 MM, SEM ANEL DE SOLDA, INSTALADO EM RAMAL E SUB-RAMAL DE HIDRÁULICA PREDIAL - FORNECIMENTO E INSTALAÇÃO. AF_04/2022</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</si>
  <si>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</si>
  <si>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</si>
  <si>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CONECTOR EM BRONZE/LATÃO, DN 22 MM X 3/4", SEM ANEL DE SOLDA, BOLSA X ROSCA F, INSTALADO EM PRUMADA DE HIDRÁULICA PREDIAL - FORNECIMENTO E INSTALAÇÃO. AF_04/2022</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</si>
  <si>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</si>
  <si>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</si>
  <si>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</si>
  <si>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JUNTA DE EXPANSÃO EM COBRE, DN 28 MM, PONTA X PONTA, INSTALADO EM PRUMADA DE HIDRÁULICA PREDIAL - FORNECIMENTO E INSTALAÇÃO. AF_04/2022</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</si>
  <si>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</si>
  <si>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</si>
  <si>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LUVA PASSANTE EM COBRE, DN 35 MM, SEM ANEL DE SOLDA, INSTALADO EM PRUMADA DE HIDRÁULICA PREDIAL - FORNECIMENTO E INSTALAÇÃO. AF_04/2022</t>
  </si>
  <si>
    <t>BUCHA DE REDUÇÃO EM COBRE, DN 35 MM X 28 MM, SEM ANEL DE SOLDA, PONTA X BOLSA, INSTALADO EM PRUMADA DE HIDRÁULICA PREDIAL - FORNECIMENTO E INSTALAÇÃO. AF_04/2022</t>
  </si>
  <si>
    <t>JUNTA DE EXPANSÃO EM BRONZE/LATÃO, DN 35 MM, PONTA X PONTA, INSTALADO EM PRUMADA DE HIDRÁULICA PREDIAL - FORNECIMENTO E INSTALAÇÃO. AF_04/2022</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</si>
  <si>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</si>
  <si>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</si>
  <si>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JUNTA DE EXPANSÃO EM BRONZE/LATÃO, DN 42 MM, PONTA X PONTA, INSTALADO EM PRUMADA DE HIDRÁULICA PREDIAL - FORNECIMENTO E INSTALAÇÃO. AF_04/2022</t>
  </si>
  <si>
    <t>LUVA PASSANTE EM COBRE, DN 54 MM, SEM ANEL DE SOLDA, INSTALADO EM PRUMADA DE HIDRÁULICA PREDIAL - FORNECIMENTO E INSTALAÇÃO. AF_04/2022</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</si>
  <si>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</si>
  <si>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</si>
  <si>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</si>
  <si>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</si>
  <si>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JUNTA DE EXPANSÃO EM BRONZE/LATÃO, DN 66 MM, PONTA X PONTA, INSTALADO EM PRUMADA DE HIDRÁULICA PREDIAL - FORNECIMENTO E INSTALAÇÃO. AF_04/2022</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</si>
  <si>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</si>
  <si>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</si>
  <si>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</si>
  <si>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</si>
  <si>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</si>
  <si>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</si>
  <si>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</si>
  <si>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</si>
  <si>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</si>
  <si>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</si>
  <si>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</si>
  <si>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</si>
  <si>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</si>
  <si>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</si>
  <si>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</si>
  <si>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</si>
  <si>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</si>
  <si>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</si>
  <si>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</si>
  <si>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CONECTOR EM BRONZE/LATÃO, DN 28 MM X 1/2", SEM ANEL DE SOLDA, BOLSA X ROSCA F, INSTALADO EM RAMAL DE DISTRIBUIÇÃO DE HIDRÁULICA PREDIAL - FORNECIMENTO E INSTALAÇÃO. AF_04/2022</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</si>
  <si>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</si>
  <si>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</si>
  <si>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</si>
  <si>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</si>
  <si>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</si>
  <si>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</si>
  <si>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</si>
  <si>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</si>
  <si>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</si>
  <si>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CURVA DE TRANSPOSIÇÃO EM BRONZE/LATÃO, DN 15 MM, SEM ANEL DE SOLDA, BOLSA X BOLSA, INSTALADO EM RAMAL E SUB-RAMAL DE HIDRÁULICA PREDIAL - FORNECIMENTO E INSTALAÇÃO. AF_04/2022</t>
  </si>
  <si>
    <t>JUNTA DE EXPANSÃO EM COBRE, DN 15 MM, PONTA X PONTA, INSTALADO EM RAMAL E SUB-RAMAL DE HIDRÁULICA PREDIAL - FORNECIMENTO E INSTALAÇÃO. AF_04/2022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</si>
  <si>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</si>
  <si>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</si>
  <si>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</si>
  <si>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</si>
  <si>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RAMAL E SUB-RAMAL DE HIDRÁULICA PREDIAL - FORNECIMENTO E INSTALAÇÃO. AF_04/2022</t>
  </si>
  <si>
    <t>CURVA DE TRANSPOSIÇÃO EM BRONZE/LATÃO, DN 22 MM, SEM ANEL DE SOLDA, BOLSA X BOLSA, INSTALADO EM RAMAL E SUB-RAMAL DE HIDRÁULICA PREDIAL - FORNECIMENTO E INSTALAÇÃO. AF_04/2022</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</si>
  <si>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</si>
  <si>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</si>
  <si>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CURVA DE TRANSPOSIÇÃO EM BRONZE/LATÃO, DN 28 MM, SEM ANEL DE SOLDA, BOLSA X BOLSA, INSTALADO EM RAMAL E SUB-RAMAL DE HIDRÁULICA PREDIAL - FORNECIMENTO E INSTALAÇÃO. AF_04/2022</t>
  </si>
  <si>
    <t>JUNTA DE EXPANSÃO EM COBRE, DN 28 MM, PONTA X PONTA, INSTALADO EM RAMAL E SUB-RAMAL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</si>
  <si>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</si>
  <si>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</si>
  <si>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</si>
  <si>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</si>
  <si>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</si>
  <si>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CURVA EM COBRE, DN 28 MM, 45 GRAUS, SEM ANEL DE SOLDA, BOLSA X BOLSA, INSTALADO EM PRUMADA DE HIDRÁULICA PREDIAL - FORNECIMENTO E INSTALAÇÃO. AF_04/2022</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</si>
  <si>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</si>
  <si>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</si>
  <si>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</si>
  <si>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</si>
  <si>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BUCHA DE REDUÇÃO EM COBRE, DN 28 MM X 22 MM, SEM ANEL DE SOLDA, INSTALADO EM RAMAL E SUB-RAMAL DE HIDRÁULICA PREDIAL - FORNECIMENTO E INSTALAÇÃO. AF_04/2022</t>
  </si>
  <si>
    <t>5,49</t>
  </si>
  <si>
    <t>17,23</t>
  </si>
  <si>
    <t>CONECTOR EM BRONZE/LATÃO, DN 22 MM X 1/2", SEM ANEL DE SOLDA, BOLSA X ROSCA F, INSTALADO EM PRUMADA DE HIDRÁULICA PREDIAL - FORNECIMENTO E INSTALAÇÃO. AF_04/2022</t>
  </si>
  <si>
    <t>103805</t>
  </si>
  <si>
    <t>COTOVELO EM COBRE, DN 15 MM, 90 GRAUS, SEM ANEL DE SOLDA, INSTALADO EM RAMAL E SUB-RAMAL DE GÁS COMBUSTÍVEL - FORNECIMENTO E INSTALAÇÃO. AF_04/2022</t>
  </si>
  <si>
    <t>103806</t>
  </si>
  <si>
    <t>CURVA EM COBRE, DN 15 MM, 45 GRAUS, SEM ANEL DE SOLDA, BOLSA X BOLSA, INSTALADO EM RAMAL E SUB-RAMAL DE GÁS COMBUSTÍVEL - FORNECIMENTO E INSTALAÇÃO. AF_04/2022</t>
  </si>
  <si>
    <t>103807</t>
  </si>
  <si>
    <t>COTOVELO EM BRONZE/LATÃO, DN 15 MM X 1/2, 90 GRAUS, SEM ANEL DE SOLDA, BOLSA X ROSCA F, INSTALADO EM RAMAL E SUB-RAMAL DE GÁS COMBUSTÍVEL - FORNECIMENTO E INSTALAÇÃO. AF_04/2022</t>
  </si>
  <si>
    <t>103808</t>
  </si>
  <si>
    <t>COTOVELO EM COBRE, DN 22 MM, 90 GRAUS, SEM ANEL DE SOLDA, INSTALADO EM RAMAL E SUB-RAMAL DE GÁS COMBUSTÍVEL - FORNECIMENTO E INSTALAÇÃO. AF_04/2022</t>
  </si>
  <si>
    <t>103809</t>
  </si>
  <si>
    <t>CURVA EM COBRE, DN 22 MM, 45 GRAUS, SEM ANEL DE SOLDA, BOLSA X BOLSA, INSTALADO EM RAMAL E SUB-RAMAL DE GÁS COMBUSTÍVEL - FORNECIMENTO E INSTALAÇÃO. AF_04/2022</t>
  </si>
  <si>
    <t>103810</t>
  </si>
  <si>
    <t>COTOVELO EM BRONZE/LATÃO, DN 22 MM X 1/2, 90 GRAUS, SEM ANEL DE SOLDA, BOLSA X ROSCA F, INSTALADO EM RAMAL E SUB-RAMAL DE GÁS COMBUSTÍVEL - FORNECIMENTO E INSTALAÇÃO. AF_04/2022</t>
  </si>
  <si>
    <t>103811</t>
  </si>
  <si>
    <t>COTOVELO EM BRONZE/LATÃO, DN 22 MM X 3/4, 90 GRAUS, SEM ANEL DE SOLDA, BOLSA X ROSCA F, INSTALADO EM RAMAL E SUB-RAMAL DE GÁS COMBUSTÍVEL - FORNECIMENTO E INSTALAÇÃO. AF_04/2022</t>
  </si>
  <si>
    <t>103812</t>
  </si>
  <si>
    <t>COTOVELO EM COBRE, DN 28 MM, 90 GRAUS, SEM ANEL DE SOLDA, INSTALADO EM RAMAL E SUB-RAMAL DE GÁS COMBUSTÍVEL - FORNECIMENTO E INSTALAÇÃO. AF_04/2022</t>
  </si>
  <si>
    <t>103813</t>
  </si>
  <si>
    <t>CURVA EM COBRE, DN 28 MM, 45 GRAUS, SEM ANEL DE SOLDA, BOLSA X BOLSA, INSTALADO EM RAMAL E SUB-RAMAL DE GÁS COMBUSTÍVEL - FORNECIMENTO E INSTALAÇÃO. AF_04/2022</t>
  </si>
  <si>
    <t>103814</t>
  </si>
  <si>
    <t>LUVA EM COBRE, DN 15 MM, SEM ANEL DE SOLDA, INSTALADO EM RAMAL E SUB-RAMAL DE GÁS COMBUSTÍVEL - FORNECIMENTO E INSTALAÇÃO. AF_04/2022</t>
  </si>
  <si>
    <t>103815</t>
  </si>
  <si>
    <t>LUVA PASSANTE EM COBRE, DN 15 MM, SEM ANEL DE SOLDA, INSTALADO EM RAMAL E SUB-RAMAL DE GÁS COMBUSTÍVEL - FORNECIMENTO E INSTALAÇÃO. AF_04/2022</t>
  </si>
  <si>
    <t>103816</t>
  </si>
  <si>
    <t>CURVA DE TRANSPOSIÇÃO EM BRONZE/LATÃO, DN 15 MM, SEM ANEL DE SOLDA, BOLSA X BOLSA, INSTALADO EM RAMAL E SUB-RAMAL DE GÁS COMBUSTÍVEL - FORNECIMENTO E INSTALAÇÃO. AF_04/2022</t>
  </si>
  <si>
    <t>103817</t>
  </si>
  <si>
    <t>JUNTA DE EXPANSÃO EM COBRE, DN 15 MM, PONTA X PONTA, INSTALADO EM RAMAL E SUB-RAMAL DE GÁS COMBUSTÍVEL - FORNECIMENTO E INSTALAÇÃO. AF_04/2022</t>
  </si>
  <si>
    <t>103818</t>
  </si>
  <si>
    <t>CONECTOR EM BRONZE/LATÃO, DN 15 MM X 1/2, SEM ANEL DE SOLDA, BOLSA X ROSCA F, INSTALADO EM RAMAL E SUB-RAMAL DE GÁS COMBUSTÍVEL - FORNECIMENTO E INSTALAÇÃO. AF_04/2022</t>
  </si>
  <si>
    <t>103819</t>
  </si>
  <si>
    <t>LUVA EM COBRE, DN 22 MM, SEM ANEL DE SOLDA, INSTALADO EM RAMAL E SUB-RAMAL DE GÁS COMBUSTÍVEL - FORNECIMENTO E INSTALAÇÃO. AF_04/2022</t>
  </si>
  <si>
    <t>103820</t>
  </si>
  <si>
    <t>LUVA PASSANTE EM COBRE, DN 22 MM, SEM ANEL DE SOLDA, INSTALADO EM RAMAL E SUB-RAMAL DE GÁS COMBUSTÍVEL - FORNECIMENTO E INSTALAÇÃO. AF_04/2022</t>
  </si>
  <si>
    <t>103821</t>
  </si>
  <si>
    <t>JUNTA DE EXPANSÃO EM COBRE, DN 22 MM, PONTA X PONTA, INSTALADO EM RAMAL E SUB-RAMAL DE GÁS COMBUSTÍVEL - FORNECIMENTO E INSTALAÇÃO. AF_04/2022</t>
  </si>
  <si>
    <t>103822</t>
  </si>
  <si>
    <t>CURVA DE TRANSPOSIÇÃO EM BRONZE/LATÃO, DN 22 MM, SEM ANEL DE SOLDA, BOLSA X BOLSA, INSTALADO EM RAMAL E SUB-RAMAL DE GÁS COMBUSTÍVEL - FORNECIMENTO E INSTALAÇÃO. AF_04/2022</t>
  </si>
  <si>
    <t>103823</t>
  </si>
  <si>
    <t>BUCHA DE REDUÇÃO EM COBRE, DN 22 MM X 15 MM, SEM ANEL DE SOLDA, PONTA X BOLSA, INSTALADO EM RAMAL E SUB-RAMAL DE GÁS COMBUSTÍVEL - FORNECIMENTO E INSTALAÇÃO. AF_04/2022</t>
  </si>
  <si>
    <t>103824</t>
  </si>
  <si>
    <t>CONECTOR EM BRONZE/LATÃO, DN 22 MM X 1/2, SEM ANEL DE SOLDA, BOLSA X ROSCA F, INSTALADO EM RAMAL E SUB-RAMAL DE GÁS COMBUSTÍVEL - FORNECIMENTO E INSTALAÇÃO. AF_04/2022</t>
  </si>
  <si>
    <t>103825</t>
  </si>
  <si>
    <t>CONECTOR EM BRONZE/LATÃO, DN 22 MM X 3/4, SEM ANEL DE SOLDA, BOLSA X ROSCA F, INSTALADO EM RAMAL E SUB-RAMAL DE GÁS COMBUSTÍVEL - FORNECIMENTO E INSTALAÇÃO. AF_04/2022</t>
  </si>
  <si>
    <t>103826</t>
  </si>
  <si>
    <t>LUVA EM COBRE, DN 28 MM, SEM ANEL DE SOLDA, INSTALADO EM RAMAL E SUB-RAMAL DE GÁS COMBUSTÍVEL - FORNECIMENTO E INSTALAÇÃO. AF_04/2022</t>
  </si>
  <si>
    <t>103827</t>
  </si>
  <si>
    <t>LUVA PASSANTE EM COBRE, DN 28 MM, SEM ANEL DE SOLDA, INSTALADO EM RAMAL E SUB-RAMAL DE GÁS COMBUSTÍVEL - FORNECIMENTO E INSTALAÇÃO. AF_04/2022</t>
  </si>
  <si>
    <t>103828</t>
  </si>
  <si>
    <t>CURVA DE TRANSPOSIÇÃO EM BRONZE/LATÃO, DN 28 MM, SEM ANEL DE SOLDA, BOLSA X BOLSA, INSTALADO EM RAMAL E SUB-RAMAL DE GÁS COMBUSTÍVEL - FORNECIMENTO E INSTALAÇÃO. AF_04/2022</t>
  </si>
  <si>
    <t>103829</t>
  </si>
  <si>
    <t>JUNTA DE EXPANSÃO EM COBRE, DN 28 MM, PONTA X PONTA, INSTALADO EM RAMAL E SUB-RAMAL DE GÁS COMBUSTÍVEL - FORNECIMENTO E INSTALAÇÃO. AF_04/2022</t>
  </si>
  <si>
    <t>103830</t>
  </si>
  <si>
    <t>CONECTOR EM BRONZE/LATÃO, DN 28 MM X 1/2, SEM ANEL DE SOLDA, BOLSA X ROSCA F, INSTALADO EM RAMAL E SUB-RAMAL DE GÁS COMBUSTÍVEL - FORNECIMENTO E INSTALAÇÃO. AF_04/2022</t>
  </si>
  <si>
    <t>103831</t>
  </si>
  <si>
    <t>BUCHA DE REDUÇÃO EM COBRE, DN 28 MM X 22 MM, SEM ANEL DE SOLDA, INSTALADO EM RAMAL E SUB-RAMAL DE GÁS COMBUSTÍVEL - FORNECIMENTO E INSTALAÇÃO. AF_04/2022</t>
  </si>
  <si>
    <t>103832</t>
  </si>
  <si>
    <t>TÊ EM COBRE, DN 15 MM, SEM ANEL DE SOLDA, INSTALADO EM RAMAL E SUB-RAMAL DE GÁS COMBUSTÍVEL - FORNECIMENTO E INSTALAÇÃO. AF_04/2022</t>
  </si>
  <si>
    <t>103833</t>
  </si>
  <si>
    <t>TE EM COBRE, DN 22 MM, SEM ANEL DE SOLDA, INSTALADO EM RAMAL E SUB-RAMAL DE GÁS COMBUSTÍVEL - FORNECIMENTO E INSTALAÇÃO. AF_04/2022</t>
  </si>
  <si>
    <t>103834</t>
  </si>
  <si>
    <t>TÊ EM COBRE, DN 28 MM, SEM ANEL DE SOLDA, INSTALADO EM RAMAL E SUB-RAMAL DE GÁS COMBUSTÍVEL - FORNECIMENTO E INSTALAÇÃO. AF_04/2022</t>
  </si>
  <si>
    <t>103838</t>
  </si>
  <si>
    <t>COTOVELO EM COBRE, DN 15 MM, 90 GRAUS, SEM ANEL DE SOLDA, INSTALADO EM RAMAL E SUB-RAMAL DE GÁS MEDICINAL - FORNECIMENTO E INSTALAÇÃO. AF_04/2022</t>
  </si>
  <si>
    <t>103839</t>
  </si>
  <si>
    <t>CURVA EM COBRE, DN 15 MM, 45 GRAUS, SEM ANEL DE SOLDA, BOLSA X BOLSA, INSTALADO EM RAMAL E SUB-RAMAL DE GÁS MEDICINAL - FORNECIMENTO E INSTALAÇÃO. AF_04/2022</t>
  </si>
  <si>
    <t>103840</t>
  </si>
  <si>
    <t>COTOVELO EM BRONZE/LATÃO, DN 15 MM X 1/2, 90 GRAUS, SEM ANEL DE SOLDA, BOLSA X ROSCA F, INSTALADO EM RAMAL E SUB-RAMAL DE GÁS MEDICINAL - FORNECIMENTO E INSTALAÇÃO. AF_04/2022</t>
  </si>
  <si>
    <t>103841</t>
  </si>
  <si>
    <t>COTOVELO EM COBRE, DN 22 MM, 90 GRAUS, SEM ANEL DE SOLDA, INSTALADO EM RAMAL E SUB-RAMAL DE GÁS MEDICINAL - FORNECIMENTO E INSTALAÇÃO. AF_04/2022</t>
  </si>
  <si>
    <t>103842</t>
  </si>
  <si>
    <t>CURVA EM COBRE, DN 22 MM, 45 GRAUS, SEM ANEL DE SOLDA, BOLSA X BOLSA, INSTALADO EM RAMAL E SUB-RAMAL DE GÁS MEDICINAL - FORNECIMENTO E INSTALAÇÃO. AF_04/2022</t>
  </si>
  <si>
    <t>103843</t>
  </si>
  <si>
    <t>COTOVELO EM BRONZE/LATÃO, DN 22 MM X 1/2, 90 GRAUS, SEM ANEL DE SOLDA, BOLSA X ROSCA F, INSTALADO EM RAMAL E SUB-RAMAL DE GÁS MEDICINAL - FORNECIMENTO E INSTALAÇÃO. AF_04/2022</t>
  </si>
  <si>
    <t>103844</t>
  </si>
  <si>
    <t>COTOVELO EM BRONZE/LATÃO, DN 22 MM X 3/4, 90 GRAUS, SEM ANEL DE SOLDA, BOLSA X ROSCA F, INSTALADO EM RAMAL E SUB-RAMAL DE GÁS MEDICINAL - FORNECIMENTO E INSTALAÇÃO. AF_04/2022</t>
  </si>
  <si>
    <t>103845</t>
  </si>
  <si>
    <t>COTOVELO EM COBRE, DN 28 MM, 90 GRAUS, SEM ANEL DE SOLDA, INSTALADO EM RAMAL E SUB-RAMAL DE GÁS MEDICINAL - FORNECIMENTO E INSTALAÇÃO. AF_04/2022</t>
  </si>
  <si>
    <t>103846</t>
  </si>
  <si>
    <t>CURVA EM COBRE, DN 28 MM, 45 GRAUS, SEM ANEL DE SOLDA, BOLSA X BOLSA, INSTALADO EM RAMAL E SUB-RAMAL DE GÁS MEDICINAL - FORNECIMENTO E INSTALAÇÃO. AF_04/2022</t>
  </si>
  <si>
    <t>103847</t>
  </si>
  <si>
    <t>LUVA EM COBRE, DN 15 MM, SEM ANEL DE SOLDA, INSTALADO EM RAMAL E SUB-RAMAL DE GÁS MEDICINAL - FORNECIMENTO E INSTALAÇÃO. AF_04/2022</t>
  </si>
  <si>
    <t>103848</t>
  </si>
  <si>
    <t>LUVA PASSANTE EM COBRE, DN 15 MM, SEM ANEL DE SOLDA, INSTALADO EM RAMAL E SUB-RAMAL DE GÁS MEDICINAL - FORNECIMENTO E INSTALAÇÃO. AF_04/2022</t>
  </si>
  <si>
    <t>103849</t>
  </si>
  <si>
    <t>CURVA DE TRANSPOSIÇÃO EM BRONZE/LATÃO, DN 15 MM, SEM ANEL DE SOLDA, BOLSA X BOLSA, INSTALADO EM RAMAL E SUB-RAMAL DE GÁS MEDICINAL - FORNECIMENTO E INSTALAÇÃO. AF_04/2022</t>
  </si>
  <si>
    <t>103850</t>
  </si>
  <si>
    <t>JUNTA DE EXPANSÃO EM COBRE, DN 15 MM, PONTA X PONTA, INSTALADO EM RAMAL E SUB-RAMAL DE GÁS MEDICINAL - FORNECIMENTO E INSTALAÇÃO. AF_04/2022</t>
  </si>
  <si>
    <t>103851</t>
  </si>
  <si>
    <t>CONECTOR EM BRONZE/LATÃO, DN 15 MM X 1/2, SEM ANEL DE SOLDA, BOLSA X ROSCA F, INSTALADO EM RAMAL E SUB-RAMAL DE GÁS MEDICINAL - FORNECIMENTO E INSTALAÇÃO. AF_04/2022</t>
  </si>
  <si>
    <t>103852</t>
  </si>
  <si>
    <t>LUVA EM COBRE, DN 22 MM, SEM ANEL DE SOLDA, INSTALADO EM RAMAL E SUB-RAMAL DE GÁS MEDICINAL - FORNECIMENTO E INSTALAÇÃO. AF_04/2022</t>
  </si>
  <si>
    <t>103853</t>
  </si>
  <si>
    <t>LUVA PASSANTE EM COBRE, DN 22 MM, SEM ANEL DE SOLDA, INSTALADO EM RAMAL E SUB-RAMAL DE GÁS MEDICINAL - FORNECIMENTO E INSTALAÇÃO. AF_04/2022</t>
  </si>
  <si>
    <t>103854</t>
  </si>
  <si>
    <t>JUNTA DE EXPANSÃO EM COBRE, DN 22 MM, PONTA X PONTA, INSTALADO EM RAMAL E SUB-RAMAL DE GÁS MEDICINAL - FORNECIMENTO E INSTALAÇÃO. AF_04/2022</t>
  </si>
  <si>
    <t>103855</t>
  </si>
  <si>
    <t>CURVA DE TRANSPOSIÇÃO EM BRONZE/LATÃO, DN 22 MM, SEM ANEL DE SOLDA, BOLSA X BOLSA, INSTALADO EM RAMAL E SUB-RAMAL DE GÁS MEDICINAL - FORNECIMENTO E INSTALAÇÃO. AF_04/2022</t>
  </si>
  <si>
    <t>103856</t>
  </si>
  <si>
    <t>BUCHA DE REDUÇÃO EM COBRE, DN 22 MM X 15 MM, SEM ANEL DE SOLDA, PONTA X BOLSA, INSTALADO EM RAMAL E SUB-RAMAL DE GÁS MEDICINAL - FORNECIMENTO E INSTALAÇÃO. AF_04/2022</t>
  </si>
  <si>
    <t>103857</t>
  </si>
  <si>
    <t>CONECTOR EM BRONZE/LATÃO, DN 22 MM X 1/2", SEM ANEL DE SOLDA, BOLSA X ROSCA F, INSTALADO EM RAMAL E SUB-RAMAL DE GÁS MEDICINAL - FORNECIMENTO E INSTALAÇÃO. AF_04/2022</t>
  </si>
  <si>
    <t>103858</t>
  </si>
  <si>
    <t>CONECTOR EM BRONZE/LATÃO, DN 22 MM X 3/4", SEM ANEL DE SOLDA, BOLSA X ROSCA F, INSTALADO EM RAMAL E SUB-RAMAL DE GÁS MEDICINAL - FORNECIMENTO E INSTALAÇÃO. AF_04/2022</t>
  </si>
  <si>
    <t>103859</t>
  </si>
  <si>
    <t>LUVA EM COBRE, DN 28 MM, SEM ANEL DE SOLDA, INSTALADO EM RAMAL E SUB-RAMAL DE GÁS MEDICINAL - FORNECIMENTO E INSTALAÇÃO. AF_04/2022</t>
  </si>
  <si>
    <t>103860</t>
  </si>
  <si>
    <t>LUVA PASSANTE EM COBRE, DN 28 MM, SEM ANEL DE SOLDA, INSTALADO EM RAMAL E SUB-RAMAL DE GÁS MEDICINAL - FORNECIMENTO E INSTALAÇÃO. AF_04/2022</t>
  </si>
  <si>
    <t>103861</t>
  </si>
  <si>
    <t>CURVA DE TRANSPOSIÇÃO EM BRONZE/LATÃO, DN 28 MM, SEM ANEL DE SOLDA, BOLSA X BOLSA, INSTALADO EM RAMAL E SUB-RAMAL DE GÁS MEDICINAL - FORNECIMENTO E INSTALAÇÃO. AF_04/2022</t>
  </si>
  <si>
    <t>103862</t>
  </si>
  <si>
    <t>JUNTA DE EXPANSÃO EM COBRE, DN 28 MM, PONTA X PONTA, INSTALADO EM RAMAL E SUB-RAMAL DE GÁS MEDICINAL - FORNECIMENTO E INSTALAÇÃO. AF_04/2022</t>
  </si>
  <si>
    <t>103863</t>
  </si>
  <si>
    <t>CONECTOR EM BRONZE/LATÃO, DN 28 MM X 1/2", SEM ANEL DE SOLDA, BOLSA X ROSCA F, INSTALADO EM RAMAL E SUB-RAMAL DE GÁS MEDICINAL - FORNECIMENTO E INSTALAÇÃO. AF_04/2022</t>
  </si>
  <si>
    <t>103864</t>
  </si>
  <si>
    <t>BUCHA DE REDUÇÃO EM COBRE, DN 28 MM X 22 MM, SEM ANEL DE SOLDA, INSTALADO EM RAMAL E SUB-RAMAL DE GÁS MEDICINAL - FORNECIMENTO E INSTALAÇÃO. AF_04/2022</t>
  </si>
  <si>
    <t>103865</t>
  </si>
  <si>
    <t>TÊ EM COBRE, DN 15 MM, SEM ANEL DE SOLDA, INSTALADO EM RAMAL E SUB-RAMAL DE GÁS MEDICINAL - FORNECIMENTO E INSTALAÇÃO. AF_04/2022</t>
  </si>
  <si>
    <t>103866</t>
  </si>
  <si>
    <t>TÊ EM COBRE, DN 22 MM, SEM ANEL DE SOLDA, INSTALADO EM RAMAL E SUB-RAMAL DE GÁS MEDICINAL - FORNECIMENTO E INSTALAÇÃO. AF_04/2022</t>
  </si>
  <si>
    <t>103867</t>
  </si>
  <si>
    <t>TÊ EM COBRE, DN 28 MM, SEM ANEL DE SOLDA, INSTALADO EM RAMAL E SUB-RAMAL DE GÁS MEDICINAL - FORNECIMENTO E INSTALAÇÃO. AF_04/2022</t>
  </si>
  <si>
    <t>103874</t>
  </si>
  <si>
    <t>COTOVELO EM COBRE, DN 15 MM, 90 GRAUS, SEM ANEL DE SOLDA, INSTALADO EM RAMAL E SUB-RAMAL DE AQUECIMENTO SOLAR - FORNECIMENTO E INSTALAÇÃO. AF_04/2022</t>
  </si>
  <si>
    <t>103875</t>
  </si>
  <si>
    <t>CURVA EM COBRE, DN 15 MM, 45 GRAUS, SEM ANEL DE SOLDA, BOLSA X BOLSA, INSTALADO EM RAMAL E SUB-RAMAL DE AQUECIMENTO SOLAR - FORNECIMENTO E INSTALAÇÃO. AF_04/2022</t>
  </si>
  <si>
    <t>103876</t>
  </si>
  <si>
    <t>COTOVELO EM BRONZE/LATÃO, DN 15 MM X 1/2", 90 GRAUS, SEM ANEL DE SOLDA, BOLSA X ROSCA F, INSTALADO EM RAMAL E SUB-RAMAL DE AQUECIMENTO SOLAR - FORNECIMENTO E INSTALAÇÃO. AF_04/2022</t>
  </si>
  <si>
    <t>103877</t>
  </si>
  <si>
    <t>COTOVELO EM COBRE, DN 22 MM, 90 GRAUS, SEM ANEL DE SOLDA, INSTALADO EM RAMAL E SUB-RAMAL DE AQUECIMENTO SOLAR - FORNECIMENTO E INSTALAÇÃO. AF_04/2022</t>
  </si>
  <si>
    <t>103878</t>
  </si>
  <si>
    <t>CURVA EM COBRE, DN 22 MM, 45 GRAUS, SEM ANEL DE SOLDA, BOLSA X BOLSA, INSTALADO EM RAMAL E SUB-RAMAL DE AQUECIMENTO SOLAR - FORNECIMENTO E INSTALAÇÃO. AF_04/2022</t>
  </si>
  <si>
    <t>103879</t>
  </si>
  <si>
    <t>COTOVELO EM BRONZE/LATÃO, DN 22 MM X 1/2", 90 GRAUS, SEM ANEL DE SOLDA, BOLSA X ROSCA F, INSTALADO EM RAMAL E SUB-RAMAL DE AQUECIMENTO SOLAR - FORNECIMENTO E INSTALAÇÃO. AF_04/2022</t>
  </si>
  <si>
    <t>103880</t>
  </si>
  <si>
    <t>COTOVELO EM BRONZE/LATÃO, DN 22 MM X 3/4", 90 GRAUS, SEM ANEL DE SOLDA, BOLSA X ROSCA F, INSTALADO EM RAMAL E SUB-RAMAL DE AQUECIMENTO SOLAR - FORNECIMENTO E INSTALAÇÃO. AF_04/2022</t>
  </si>
  <si>
    <t>103881</t>
  </si>
  <si>
    <t>COTOVELO EM COBRE, DN 28 MM, 90 GRAUS, SEM ANEL DE SOLDA, INSTALADO EM RAMAL E SUB-RAMAL DE AQUECIMENTO SOLAR - FORNECIMENTO E INSTALAÇÃO. AF_04/2022</t>
  </si>
  <si>
    <t>103882</t>
  </si>
  <si>
    <t>CURVA EM COBRE, DN 28 MM, 45 GRAUS, SEM ANEL DE SOLDA, BOLSA X BOLSA, INSTALADO EM RAMAL E SUB-RAMAL DE AQUECIMENTO SOLAR - FORNECIMENTO E INSTALAÇÃO. AF_04/2022</t>
  </si>
  <si>
    <t>103883</t>
  </si>
  <si>
    <t>LUVA EM COBRE, DN 15 MM, SEM ANEL DE SOLDA, INSTALADO EM RAMAL E SUB-RAMAL DE AQUECIMENTO SOLAR - FORNECIMENTO E INSTALAÇÃO. AF_04/2022</t>
  </si>
  <si>
    <t>103884</t>
  </si>
  <si>
    <t>LUVA PASSANTE EM COBRE, DN 15 MM, SEM ANEL DE SOLDA, INSTALADO EM RAMAL E SUB-RAMAL DE AQUECIMENTO SOLAR - FORNECIMENTO E INSTALAÇÃO. AF_04/2022</t>
  </si>
  <si>
    <t>10,89</t>
  </si>
  <si>
    <t>103885</t>
  </si>
  <si>
    <t>CURVA DE TRANSPOSIÇÃO EM BRONZE/LATÃO, DN 15 MM, SEM ANEL DE SOLDA, BOLSA X BOLSA, INSTALADO EM RAMAL E SUB-RAMAL DE AQUECIMENTO SOLAR - FORNECIMENTO E INSTALAÇÃO. AF_04/2022</t>
  </si>
  <si>
    <t>103886</t>
  </si>
  <si>
    <t>JUNTA DE EXPANSÃO EM COBRE, DN 15 MM, PONTA X PONTA, INSTALADO EM RAMAL E SUB-RAMAL DE AQUECIMENTO SOLAR - FORNECIMENTO E INSTALAÇÃO. AF_04/2022</t>
  </si>
  <si>
    <t>103887</t>
  </si>
  <si>
    <t>CONECTOR EM BRONZE/LATÃO, DN 15 MM X 1/2", SEM ANEL DE SOLDA, BOLSA X ROSCA F, INSTALADO EM RAMAL E SUB-RAMAL DE AQUECIMENTO SOLAR - FORNECIMENTO E INSTALAÇÃO. AF_04/2022</t>
  </si>
  <si>
    <t>103888</t>
  </si>
  <si>
    <t>LUVA EM COBRE, DN 22 MM, SEM ANEL DE SOLDA, INSTALADO EM RAMAL E SUB-RAMAL DE AQUECIMENTO SOLAR - FORNECIMENTO E INSTALAÇÃO. AF_04/2022</t>
  </si>
  <si>
    <t>103889</t>
  </si>
  <si>
    <t>LUVA PASSANTE EM COBRE, DN 22 MM, SEM ANEL DE SOLDA, INSTALADO EM RAMAL E SUB-RAMAL DE AQUECIMENTO SOLAR - FORNECIMENTO E INSTALAÇÃO. AF_04/2022</t>
  </si>
  <si>
    <t>103890</t>
  </si>
  <si>
    <t>JUNTA DE EXPANSÃO EM COBRE, DN 22 MM, PONTA X PONTA, INSTALADO EM RAMAL E SUB-RAMAL DE AQUECIMENTO SOLAR - FORNECIMENTO E INSTALAÇÃO. AF_04/2022</t>
  </si>
  <si>
    <t>103891</t>
  </si>
  <si>
    <t>CURVA DE TRANSPOSIÇÃO EM BRONZE/LATÃO, DN 22 MM, SEM ANEL DE SOLDA, BOLSA X BOLSA, INSTALADO EM RAMAL E SUB-RAMAL DE AQUECIMENTO SOLAR - FORNECIMENTO E INSTALAÇÃO. AF_04/2022</t>
  </si>
  <si>
    <t>103892</t>
  </si>
  <si>
    <t>BUCHA DE REDUÇÃO EM COBRE, DN 22 MM X 15 MM, SEM ANEL DE SOLDA, PONTA X BOLSA, INSTALADO EM RAMAL E SUB-RAMAL DE AQUECIMENTO SOLAR - FORNECIMENTO E INSTALAÇÃO. AF_04/2022</t>
  </si>
  <si>
    <t>103893</t>
  </si>
  <si>
    <t>CONECTOR EM BRONZE/LATÃO, DN 22 MM X 1/2", SEM ANEL DE SOLDA, BOLSA X ROSCA F, INSTALADO EM RAMAL E SUB-RAMAL DE AQUECIMENTO SOLAR - FORNECIMENTO E INSTALAÇÃO. AF_04/2022</t>
  </si>
  <si>
    <t>103894</t>
  </si>
  <si>
    <t>CONECTOR EM BRONZE/LATÃO, DN 22 MM X 3/4", SEM ANEL DE SOLDA, BOLSA X ROSCA F, INSTALADO EM RAMAL E SUB-RAMAL DE AQUECIMENTO SOLAR - FORNECIMENTO E INSTALAÇÃO. AF_04/2022</t>
  </si>
  <si>
    <t>103895</t>
  </si>
  <si>
    <t>LUVA EM COBRE, DN 28 MM, SEM ANEL DE SOLDA, INSTALADO EM RAMAL E SUB-RAMAL DE AQUECIMENTO SOLAR - FORNECIMENTO E INSTALAÇÃO. AF_04/2022</t>
  </si>
  <si>
    <t>103896</t>
  </si>
  <si>
    <t>LUVA PASSANTE EM COBRE, DN 28 MM, SEM ANEL DE SOLDA, INSTALADO EM RAMAL E SUB-RAMAL DE AQUECIMENTO SOLAR - FORNECIMENTO E INSTALAÇÃO. AF_04/2022</t>
  </si>
  <si>
    <t>103897</t>
  </si>
  <si>
    <t>CURVA DE TRANSPOSIÇÃO EM BRONZE/LATÃO, DN 28 MM, SEM ANEL DE SOLDA, BOLSA X BOLSA, INSTALADO EM RAMAL E SUB-RAMAL DE AQUECIMENTO SOLAR - FORNECIMENTO E INSTALAÇÃO. AF_04/2022</t>
  </si>
  <si>
    <t>103898</t>
  </si>
  <si>
    <t>JUNTA DE EXPANSÃO EM COBRE, DN 28 MM, PONTA X PONTA, INSTALADO EM RAMAL E SUB-RAMAL DE AQUECIMENTO SOLAR - FORNECIMENTO E INSTALAÇÃO. AF_04/2022</t>
  </si>
  <si>
    <t>103899</t>
  </si>
  <si>
    <t>CONECTOR EM BRONZE/LATÃO, DN 28 MM X 1/2", SEM ANEL DE SOLDA, BOLSA X ROSCA F, INSTALADO EM RAMAL E SUB-RAMAL DE AQUECIMENTO SOLAR - FORNECIMENTO E INSTALAÇÃO. AF_04/2022</t>
  </si>
  <si>
    <t>103900</t>
  </si>
  <si>
    <t>BUCHA DE REDUÇÃO EM COBRE, DN 28 MM X 22 MM, SEM ANEL DE SOLDA, INSTALADO EM RAMAL E SUB-RAMAL DE AQUECIMENTO SOLAR - FORNECIMENTO E INSTALAÇÃO. AF_04/2022</t>
  </si>
  <si>
    <t>103901</t>
  </si>
  <si>
    <t>TÊ EM COBRE, DN 15 MM, SEM ANEL DE SOLDA, INSTALADO EM RAMAL E SUB-RAMAL DE AQUECIMENTO SOLAR - FORNECIMENTO E INSTALAÇÃO. AF_04/2022</t>
  </si>
  <si>
    <t>103902</t>
  </si>
  <si>
    <t>TÊ EM COBRE, DN 22 MM, SEM ANEL DE SOLDA, INSTALADO EM RAMAL E SUB-RAMAL DE AQUECIMENTO SOLAR - FORNECIMENTO E INSTALAÇÃO. AF_04/2022</t>
  </si>
  <si>
    <t>103903</t>
  </si>
  <si>
    <t>TÊ EM COBRE, DN 28 MM, SEM ANEL DE SOLDA, INSTALADO EM RAMAL E SUB-RAMAL DE AQUECIMENTO SOLAR - FORNECIMENTO E INSTALAÇÃO. AF_04/2022</t>
  </si>
  <si>
    <t>17,87</t>
  </si>
  <si>
    <t>14,55</t>
  </si>
  <si>
    <t>20,31</t>
  </si>
  <si>
    <t>EXECUÇÃO DE PAVIMENTO DE CONCRETO SIMPLES (PCS), FCK = 40 MPA, ESPESSURA DE 15,0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</si>
  <si>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</si>
  <si>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</si>
  <si>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</si>
  <si>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</si>
  <si>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</si>
  <si>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PAVIMENTO DE CONCRETO ARMADO (PCA), FCK = 30 MPA, ESPESSURA DE 15,0 CM. AF_04/2022</t>
  </si>
  <si>
    <t>EXECUÇÃO DE PAVIMENTO DE CONCRETO ARMADO (PCA), FCK = 30 MPA, ESPESSURA DE 17,5 CM. AF_04/2022</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</si>
  <si>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</si>
  <si>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</si>
  <si>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</si>
  <si>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</si>
  <si>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</si>
  <si>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</si>
  <si>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</si>
  <si>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BARRAS DE LIGAÇÃO, AÇO CA-50 DE 10 MM, PARA EXECUÇÃO DE PAVIMENTO DE CONCRETO  FORNECIMENTO E INSTALAÇÃO. AF_04/2022</t>
  </si>
  <si>
    <t>103904</t>
  </si>
  <si>
    <t>EXECUÇÃO DE PAVIMENTO DE CONCRETO SIMPLES (PCS), FCK = 35 MPA, ESPESSURA DE 15,0 CM. AF_04/2022</t>
  </si>
  <si>
    <t>103905</t>
  </si>
  <si>
    <t>EXECUÇÃO DE PAVIMENTO DE CONCRETO SIMPLES (PCS), FCK = 35 MPA, ESPESSURA DE 16,0 CM. AF_04/2022</t>
  </si>
  <si>
    <t>103906</t>
  </si>
  <si>
    <t>EXECUÇÃO DE PAVIMENTO DE CONCRETO SIMPLES (PCS), FCK = 40 MPA, ESPESSURA DE 16,0 CM. AF_04/2022</t>
  </si>
  <si>
    <t>103907</t>
  </si>
  <si>
    <t>EXECUÇÃO DE PAVIMENTO DE CONCRETO SIMPLES (PCS), FCK = 35 MPA, ESPESSURA DE 17,5 CM. AF_04/2022</t>
  </si>
  <si>
    <t>103908</t>
  </si>
  <si>
    <t>EXECUÇÃO PAVIMENTO DE CONCRETO SIMPLES (PCS), FCK = 35 MPA, ESPESSURA DE 20,0 CM. AF_04/2022</t>
  </si>
  <si>
    <t>103909</t>
  </si>
  <si>
    <t>EXECUÇÃO PAVIMENTO DE CONCRETO SIMPLES (PCS), FCK = 35 MPA, ESPESSURA DE 22,5 CM. AF_04/2022</t>
  </si>
  <si>
    <t>103911</t>
  </si>
  <si>
    <t>EXECUÇÃO DE PAVIMENTO DE CONCRETO SIMPLES (PCS), FCK = 35 MPA, ESPESSURA DE 25,0 CM. AF_04/2022</t>
  </si>
  <si>
    <t>103912</t>
  </si>
  <si>
    <t>EXECUÇÃO PAVIMENTO DE CONCRETO SIMPLES (PCS), FCK = 35 MPA, ESPESSURA DE 27,5 CM. AF_04/2022</t>
  </si>
  <si>
    <t>103913</t>
  </si>
  <si>
    <t>EXECUÇÃO DE PISO INDUSTRIAL DE CONCRETO ARMADO, FCK = 20 MPA, ESPESSURA DE 12,0 CM. AF_04/2022</t>
  </si>
  <si>
    <t>103914</t>
  </si>
  <si>
    <t>EXECUÇÃO DE PISO INDUSTRIAL DE CONCRETO ARMADO, FCK = 20 MPA, ESPESSURA DE 14,0 CM. AF_04/2022</t>
  </si>
  <si>
    <t>103915</t>
  </si>
  <si>
    <t>EXECUÇÃO DE PISO INDUSTRIAL DE CONCRETO ARMADO, FCK = 20 MPA, ESPESSURA DE 15,0 CM. AF_04/2022</t>
  </si>
  <si>
    <t>103916</t>
  </si>
  <si>
    <t>EXECUÇÃO DE PISO INDUSTRIAL DE CONCRETO ARMADO, FCK = 20 MPA, ESPESSURA DE 18,0 CM. AF_04/2022</t>
  </si>
  <si>
    <t>103917</t>
  </si>
  <si>
    <t>EXECUÇÃO DE PISO INDUSTRIAL DE CONCRETO ARMADO, FCK = 20 MPA, ESPESSURA DE 20,0 CM. AF_04/2022</t>
  </si>
  <si>
    <t>103918</t>
  </si>
  <si>
    <t>EXECUÇÃO DE PISO INDUSTRIAL DE CONCRETO ARMADO, FCK = 20 MPA, ESPESSURA DE 22,0 CM. AF_04/2022</t>
  </si>
  <si>
    <t>FORNECIMENTO E INSTALAÇÃO DE SUPORTE DE MADEIRA PARA PLACAS DE SINALIZAÇÃO, EM SOLO, COM H= DE 2,0 M E SEÇÃO DE 7,5 X 7,5 CM. AF_03/2022</t>
  </si>
  <si>
    <t>FORNECIMENTO E INSTALAÇÃO DE SUPORTE DE MADEIRA PARA PLACAS DE SINALIZAÇÃO, EM BASE DE CONCRETO, COM H= DE 2,0 M E SEÇÃO DE 7,5 X 7,5 CM. AF_03/2022</t>
  </si>
  <si>
    <t>9,07</t>
  </si>
  <si>
    <t>1,25</t>
  </si>
  <si>
    <t>1,06</t>
  </si>
  <si>
    <t>23,49</t>
  </si>
  <si>
    <t>14,44</t>
  </si>
  <si>
    <t>11,87</t>
  </si>
  <si>
    <t>21,34</t>
  </si>
  <si>
    <t>17,04</t>
  </si>
  <si>
    <t>22,35</t>
  </si>
  <si>
    <t>23,31</t>
  </si>
  <si>
    <t>7,66</t>
  </si>
  <si>
    <t>8,87</t>
  </si>
  <si>
    <t>23,54</t>
  </si>
  <si>
    <t>41,30</t>
  </si>
  <si>
    <t>18,43</t>
  </si>
  <si>
    <t>2,69</t>
  </si>
  <si>
    <t>Vermiculita expandida</t>
  </si>
  <si>
    <t>Pini 11.001.000008.MAT</t>
  </si>
  <si>
    <t>FIBRA DE POLIPROPILENO P/ CONCRETO DOSADO EM CENTRAL FILAMENTOS - TECNOLOGIA "CRACKSTOP"</t>
  </si>
  <si>
    <t>SIURB 10730</t>
  </si>
  <si>
    <t>BLOCO DE VEDACAO TIPO CANALETA DE CONCRETO 19 X 19 X 39 CM (CLASSE C - NBR 6136)</t>
  </si>
  <si>
    <t>SF-03225</t>
  </si>
  <si>
    <t>SF-03229</t>
  </si>
  <si>
    <t>SF-03230</t>
  </si>
  <si>
    <t>SF-03231</t>
  </si>
  <si>
    <t>Redução 26 mm x 20mm para tubo PEX para gás – GLP</t>
  </si>
  <si>
    <t>Tubo de sistema PEX multicamada flexível 20 mm para gás</t>
  </si>
  <si>
    <t>Tubo de sistema PEX multicamada flexível 26 mm para gás</t>
  </si>
  <si>
    <t>SF-03232</t>
  </si>
  <si>
    <t>SF-03235</t>
  </si>
  <si>
    <t>SF-03238</t>
  </si>
  <si>
    <t>SF-03242</t>
  </si>
  <si>
    <t>SF-03243</t>
  </si>
  <si>
    <t>SF-03244</t>
  </si>
  <si>
    <t>SF-03245</t>
  </si>
  <si>
    <t>SF-03246</t>
  </si>
  <si>
    <t>SF-03247</t>
  </si>
  <si>
    <t>SF-03248</t>
  </si>
  <si>
    <t>SF-03249</t>
  </si>
  <si>
    <t>SF-03250</t>
  </si>
  <si>
    <t>SF-03251</t>
  </si>
  <si>
    <t>SF-03252</t>
  </si>
  <si>
    <t>SF-03253</t>
  </si>
  <si>
    <t>SF-03254</t>
  </si>
  <si>
    <t>SF-03255</t>
  </si>
  <si>
    <t>SF-03256</t>
  </si>
  <si>
    <t>SF-03257</t>
  </si>
  <si>
    <t>SF-03258</t>
  </si>
  <si>
    <t>SF-03259</t>
  </si>
  <si>
    <t>SF-03260</t>
  </si>
  <si>
    <t>SF-03261</t>
  </si>
  <si>
    <t>SF-03262</t>
  </si>
  <si>
    <t>SF-03264</t>
  </si>
  <si>
    <t>SF-03265</t>
  </si>
  <si>
    <t>SF-03266</t>
  </si>
  <si>
    <t>SF-03274</t>
  </si>
  <si>
    <t>SF-03275</t>
  </si>
  <si>
    <t>SF-03276</t>
  </si>
  <si>
    <t>SF-03277</t>
  </si>
  <si>
    <t>SF-03278</t>
  </si>
  <si>
    <t>SF-03279</t>
  </si>
  <si>
    <t>SF-03280</t>
  </si>
  <si>
    <t>SF-03281</t>
  </si>
  <si>
    <t>SF-03289</t>
  </si>
  <si>
    <t>SF-03290</t>
  </si>
  <si>
    <t>SF-03291</t>
  </si>
  <si>
    <t>SF-03292</t>
  </si>
  <si>
    <t>SF-03293</t>
  </si>
  <si>
    <t>SF-03294</t>
  </si>
  <si>
    <t>SF-03295</t>
  </si>
  <si>
    <t>SF-03296</t>
  </si>
  <si>
    <t>SF-03297</t>
  </si>
  <si>
    <t>SF-03298</t>
  </si>
  <si>
    <t>SF-03299</t>
  </si>
  <si>
    <t>SF-03300</t>
  </si>
  <si>
    <t>SF-03301</t>
  </si>
  <si>
    <t>Adaptador fixo rosca macho PEX gás Ø 26 mm x 3/4</t>
  </si>
  <si>
    <t>Pini 13.107.000172.MAT</t>
  </si>
  <si>
    <t>Luva redução PEX gás Ø 26 mm x 20 mm</t>
  </si>
  <si>
    <t>Pini 13.107.000205.MAT</t>
  </si>
  <si>
    <t>Tê rosca fêmea PEX gás Ø 26 mm x 3/4"</t>
  </si>
  <si>
    <t>Pini 13.107.000260.MAT</t>
  </si>
  <si>
    <t>Fluido de arrefecimento diluído para motor MTU 16V4000</t>
  </si>
  <si>
    <t>Fluido de arrefecimento diluído para motor Cummins NTA 855</t>
  </si>
  <si>
    <t>Fluido de arrefecimento diluído para motor Mercedes-Benz OM 447 LA</t>
  </si>
  <si>
    <t>Água destilada/desmineralizada/desionizada/ultrafiltrada</t>
  </si>
  <si>
    <t>10,78</t>
  </si>
  <si>
    <t>0,95</t>
  </si>
  <si>
    <t>9,84</t>
  </si>
  <si>
    <t>13,93</t>
  </si>
  <si>
    <t>13,52</t>
  </si>
  <si>
    <t>12,74</t>
  </si>
  <si>
    <t>19,97</t>
  </si>
  <si>
    <t>28,81</t>
  </si>
  <si>
    <t>6,06</t>
  </si>
  <si>
    <t>10,84</t>
  </si>
  <si>
    <t>5,29</t>
  </si>
  <si>
    <t>1,39</t>
  </si>
  <si>
    <t>22,05</t>
  </si>
  <si>
    <t>24,15</t>
  </si>
  <si>
    <t>20,27</t>
  </si>
  <si>
    <t>28,46</t>
  </si>
  <si>
    <t>1,17</t>
  </si>
  <si>
    <t>12,86</t>
  </si>
  <si>
    <t>4,10</t>
  </si>
  <si>
    <t>27,25</t>
  </si>
  <si>
    <t>13,00</t>
  </si>
  <si>
    <t>28,64</t>
  </si>
  <si>
    <t>26,87</t>
  </si>
  <si>
    <t>28,18</t>
  </si>
  <si>
    <t>104091</t>
  </si>
  <si>
    <t>TERMOFUSORA PARA TUBOS E CONEXÕES EM PPR COM DIÂMETROS DE 20 A 63 MM, POTÊNCIA DE 800 W, TENSAO 220 V - CHP DIURNO. AF_05/2022</t>
  </si>
  <si>
    <t>104097</t>
  </si>
  <si>
    <t>TERMOFUSORA PARA TUBOS E CONEXÕES EM PPR COM DIÂMETROS DE 75 A 110 MM, POTÊNCIA DE *1100* W, TENSÃO 220 V - CHP DIURNO. AF_05/2022</t>
  </si>
  <si>
    <t>6,56</t>
  </si>
  <si>
    <t>104092</t>
  </si>
  <si>
    <t>TERMOFUSORA PARA TUBOS E CONEXÕES EM PPR COM DIÂMETROS DE 20 A 63 MM, POTÊNCIA DE 800 W, TENSAO 220 V - CHI DIURNO. AF_05/2022</t>
  </si>
  <si>
    <t>104098</t>
  </si>
  <si>
    <t>TERMOFUSORA PARA TUBOS E CONEXÕES EM PPR COM DIÂMETROS DE 75 A 110 MM, POTÊNCIA DE *1100* W, TENSÃO 220 V - CHI DIURNO. AF_05/2022</t>
  </si>
  <si>
    <t>0,51</t>
  </si>
  <si>
    <t>19,84</t>
  </si>
  <si>
    <t>5,40</t>
  </si>
  <si>
    <t>103937</t>
  </si>
  <si>
    <t>CONJUNTO MACACO HIDRÁULICO E CENTRAL DE BOMBEAMENTO MOTORIZADO 1,8 KW PARA PROTENSÃO DE MONOCABOS PARA CONCRETO PROTENDIDO, ESFORÇO MÁXIMO DE 20 TONELADAS  - MATERIAIS NA OPERAÇÃO. AF_05/2022</t>
  </si>
  <si>
    <t>103943</t>
  </si>
  <si>
    <t>CONJUNTO MACACO HIDRÁULICO E CENTRAL DE BOMBEAMENTO MOTORIZADO 1,8 KW PARA PROTENSÃO DE MONOCABOS PARA CONCRETO PROTENDIDO, ESFORÇO MÁXIMO DE 30 TONELADAS  - MATERIAIS NA OPERAÇÃO. AF_05/2022</t>
  </si>
  <si>
    <t>104087</t>
  </si>
  <si>
    <t>TERMOFUSORA PARA TUBOS E CONEXÕES EM PPR COM DIÂMETROS DE 20 A 63 MM, POTÊNCIA DE 800 W, TENSAO 220 V - DEPRECIAÇÃO. AF_05/2022</t>
  </si>
  <si>
    <t>104088</t>
  </si>
  <si>
    <t>TERMOFUSORA PARA TUBOS E CONEXÕES EM PPR COM DIÂMETROS DE 20 A 63 MM, POTÊNCIA DE 800 W, TENSAO 220 V - JUROS. AF_05/2022</t>
  </si>
  <si>
    <t>104089</t>
  </si>
  <si>
    <t>TERMOFUSORA PARA TUBOS E CONEXÕES EM PPR COM DIÂMETROS DE 20 A 63 MM, POTÊNCIA DE 800 W, TENSAO 220 V - MANUTENÇÃO. AF_05/2022</t>
  </si>
  <si>
    <t>104090</t>
  </si>
  <si>
    <t>TERMOFUSORA PARA TUBOS E CONEXÕES EM PPR COM DIÂMETROS DE 20 A 63 MM, POTÊNCIA DE 800 W, TENSAO 220 V - MATERIAIS NA OPERAÇÃO. AF_05/2022</t>
  </si>
  <si>
    <t>104093</t>
  </si>
  <si>
    <t>TERMOFUSORA PARA TUBOS E CONEXÕES EM PPR COM DIÂMETROS DE 75 A 110 MM, POTÊNCIA DE *1100* W, TENSÃO 220 V - DEPRECIAÇÃO. AF_05/2022</t>
  </si>
  <si>
    <t>104094</t>
  </si>
  <si>
    <t>TERMOFUSORA PARA TUBOS E CONEXÕES EM PPR COM DIÂMETROS DE 75 A 110 MM, POTÊNCIA DE *1100* W, TENSÃO 220 V - JUROS. AF_05/2022</t>
  </si>
  <si>
    <t>104095</t>
  </si>
  <si>
    <t>TERMOFUSORA PARA TUBOS E CONEXÕES EM PPR COM DIÂMETROS DE 75 A 110 MM, POTÊNCIA DE *1100* W, TENSÃO 220 V - MANUTENÇÃO. AF_05/2022</t>
  </si>
  <si>
    <t>104096</t>
  </si>
  <si>
    <t>TERMOFUSORA PARA TUBOS E CONEXÕES EM PPR COM DIÂMETROS DE 75 A 110 MM, POTÊNCIA DE *1100* W, TENSÃO 220 V - MATERIAIS NA OPERAÇÃO. AF_05/2022</t>
  </si>
  <si>
    <t>19,22</t>
  </si>
  <si>
    <t>CAIXA COM GRELHA DUPLA RETANGULAR, EM CONCRETO PRÉ-MOLDADO, DIMENSÕES INTERNAS: 0,5X2,2X1,0 M. AF_12/2020</t>
  </si>
  <si>
    <t>BATENTE PARA PORTA DE MADEIRA, FIXAÇÃO COM ARGAMASSA, PADRÃO MÉDIO - FORNECIMENTO E INSTALAÇÃO. AF_12/2019</t>
  </si>
  <si>
    <t>BATENTE PARA PORTA DE MADEIRA, FIXAÇÃO COM ARGAMASSA, PADRÃO POPULAR. FORNECIMENTO E INSTALAÇÃO. AF_12/2019</t>
  </si>
  <si>
    <t>13,66</t>
  </si>
  <si>
    <t>9,95</t>
  </si>
  <si>
    <t>8,81</t>
  </si>
  <si>
    <t>7,75</t>
  </si>
  <si>
    <t>14,33</t>
  </si>
  <si>
    <t>9,62</t>
  </si>
  <si>
    <t>5,62</t>
  </si>
  <si>
    <t>24,36</t>
  </si>
  <si>
    <t>26,91</t>
  </si>
  <si>
    <t>20,88</t>
  </si>
  <si>
    <t>14,22</t>
  </si>
  <si>
    <t>12,14</t>
  </si>
  <si>
    <t>26,54</t>
  </si>
  <si>
    <t>7,44</t>
  </si>
  <si>
    <t>20,50</t>
  </si>
  <si>
    <t>7,49</t>
  </si>
  <si>
    <t>TAMPA CIRCULAR PARA ESGOTO E DRENAGEM, EM CONCRETO PRÉ-MOLDADO, DIÂMETRO INTERNO = 0,60 M E ALTURA = 0,10 M. AF_12/2020</t>
  </si>
  <si>
    <t>24,00</t>
  </si>
  <si>
    <t>6,63</t>
  </si>
  <si>
    <t>0,77</t>
  </si>
  <si>
    <t>PLANTIO DE GRAMA BATATAIS EM PLACAS. AF_05/2018</t>
  </si>
  <si>
    <t>103946</t>
  </si>
  <si>
    <t>PLANTIO DE GRAMA ESMERALDA OU SÃO CARLOS OU CURITIBANA, EM PLACAS. AF_05/2022</t>
  </si>
  <si>
    <t>23,81</t>
  </si>
  <si>
    <t>20,45</t>
  </si>
  <si>
    <t>9,12</t>
  </si>
  <si>
    <t>12,61</t>
  </si>
  <si>
    <t>23,07</t>
  </si>
  <si>
    <t>17,91</t>
  </si>
  <si>
    <t>18,36</t>
  </si>
  <si>
    <t>18,95</t>
  </si>
  <si>
    <t>1,97</t>
  </si>
  <si>
    <t>4,01</t>
  </si>
  <si>
    <t>18,63</t>
  </si>
  <si>
    <t>36,55</t>
  </si>
  <si>
    <t>14,95</t>
  </si>
  <si>
    <t>Lâmina de madeira - freijó</t>
  </si>
  <si>
    <t>14,02</t>
  </si>
  <si>
    <t>10,61</t>
  </si>
  <si>
    <t>16,60</t>
  </si>
  <si>
    <t>33,95</t>
  </si>
  <si>
    <t>4,06</t>
  </si>
  <si>
    <t>5,03</t>
  </si>
  <si>
    <t>21,80</t>
  </si>
  <si>
    <t>1,03</t>
  </si>
  <si>
    <t>11,15</t>
  </si>
  <si>
    <t>10,17</t>
  </si>
  <si>
    <t>20,11</t>
  </si>
  <si>
    <t>16,29</t>
  </si>
  <si>
    <t>16,36</t>
  </si>
  <si>
    <t>21,20</t>
  </si>
  <si>
    <t>12,92</t>
  </si>
  <si>
    <t>17,71</t>
  </si>
  <si>
    <t>15,06</t>
  </si>
  <si>
    <t>10,87</t>
  </si>
  <si>
    <t>1,93</t>
  </si>
  <si>
    <t>2,06</t>
  </si>
  <si>
    <t>22,55</t>
  </si>
  <si>
    <t>27,24</t>
  </si>
  <si>
    <t>10,41</t>
  </si>
  <si>
    <t>9,05</t>
  </si>
  <si>
    <t>UNXMES</t>
  </si>
  <si>
    <t>20,74</t>
  </si>
  <si>
    <t>30,13</t>
  </si>
  <si>
    <t>23,70</t>
  </si>
  <si>
    <t>13,13</t>
  </si>
  <si>
    <t>10,82</t>
  </si>
  <si>
    <t>8,11</t>
  </si>
  <si>
    <t>22,74</t>
  </si>
  <si>
    <t>40,64</t>
  </si>
  <si>
    <t>14,07</t>
  </si>
  <si>
    <t>3,41</t>
  </si>
  <si>
    <t>5,06</t>
  </si>
  <si>
    <t>17,62</t>
  </si>
  <si>
    <t>5,53</t>
  </si>
  <si>
    <t>5,39</t>
  </si>
  <si>
    <t>7,70</t>
  </si>
  <si>
    <t>1,52</t>
  </si>
  <si>
    <t>21,84</t>
  </si>
  <si>
    <t>22,82</t>
  </si>
  <si>
    <t>ARMAÇÃO DE PILAR OU VIGA DE ESTRUTURA CONVENCIONAL DE CONCRETO ARMADO UTILIZANDO AÇO CA-60 DE 5,0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</si>
  <si>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</si>
  <si>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</si>
  <si>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</si>
  <si>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</si>
  <si>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</si>
  <si>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</si>
  <si>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</si>
  <si>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LAJE DE ESTRUTURA CONVENCIONAL DE CONCRETO ARMADO UTILIZANDO AÇO CA-60 DE 4,2 MM - MONTAGEM. AF_06/2022</t>
  </si>
  <si>
    <t>ARMAÇÃO DE LAJE DE ESTRUTURA CONVENCIONAL DE CONCRETO ARMADO UTILIZANDO AÇO CA-60 DE 5,0 MM - MONTAGEM. AF_06/2022</t>
  </si>
  <si>
    <t>15,60</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</si>
  <si>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</si>
  <si>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</si>
  <si>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</si>
  <si>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</si>
  <si>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</si>
  <si>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</si>
  <si>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CORTE E DOBRA DE AÇO CA-50, DIÂMETRO DE 25,0 MM. AF_06/2022</t>
  </si>
  <si>
    <t>CORTE E DOBRA DE AÇO CA-60, DIÂMETRO DE 4,2 MM. AF_06/2022</t>
  </si>
  <si>
    <t>CORTE E DOBRA DE AÇO CA-60, DIÂMETRO DE 5,0 MM. AF_06/2022</t>
  </si>
  <si>
    <t>CORTE E DOBRA DE AÇO CA-50, DIÂMETRO DE 6,3 MM. AF_06/2022</t>
  </si>
  <si>
    <t>12,89</t>
  </si>
  <si>
    <t>CORTE E DOBRA DE AÇO CA-50,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</si>
  <si>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</si>
  <si>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</si>
  <si>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</si>
  <si>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</si>
  <si>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CA-25, DIÂMETRO DE 6,3 MM. AF_06/2022</t>
  </si>
  <si>
    <t>CORTE E DOBRA DE AÇO CA-25, DIÂMETRO DE 8,0 MM.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</si>
  <si>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</si>
  <si>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</si>
  <si>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</si>
  <si>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</si>
  <si>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</si>
  <si>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ARMAÇÃO UTILIZANDO AÇO CA-25 DE 6,3 MM - MONTAGEM. AF_06/2022</t>
  </si>
  <si>
    <t>ARMAÇÃO UTILIZANDO AÇO CA-25 DE 8,0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</si>
  <si>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</si>
  <si>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</si>
  <si>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</si>
  <si>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</si>
  <si>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</si>
  <si>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DE ESTRUTURAS DIVERSAS DE CONCRETO ARMADO, EXCETO VIGAS, PILARES, LAJES E FUNDAÇÕES, UTILIZANDO AÇO CA-60 DE 5,0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</si>
  <si>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</si>
  <si>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</si>
  <si>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</si>
  <si>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</si>
  <si>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</si>
  <si>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</si>
  <si>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</si>
  <si>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CORTE E DOBRA DE AÇO CA-50, DIÂMERO DE 32 MM. AF_06/2022</t>
  </si>
  <si>
    <t>104104</t>
  </si>
  <si>
    <t>ARMAÇÃO DE ESTRUTURAS DIVERSAS DE CONCRETO ARMADO, EXCETO VIGAS, PILARES, LAJES E FUNDAÇÕES, UTILIZANDO AÇO CA-50 DE 32,0 MM - MONTAGEM. AF_06/2022</t>
  </si>
  <si>
    <t>104105</t>
  </si>
  <si>
    <t>ARMAÇÃO DE PILAR OU VIGA DE ESTRUTURA CONVENCIONAL DE CONCRETO ARMADO UTILIZANDO AÇO CA-50 DE 32,0 MM. AF_06/2022</t>
  </si>
  <si>
    <t>104106</t>
  </si>
  <si>
    <t>ARMAÇÃO DE PILAR OU VIGA DE ESTRUTURA DE CONCRETO ARMADO EMBUTIDA EM ALVENARIA DE VEDAÇÃO UTILIZANDO AÇO CA-50 DE 16,0 MM - MONTAGEM. AF_06/2022</t>
  </si>
  <si>
    <t>104107</t>
  </si>
  <si>
    <t>ARMAÇÃO DE PILAR OU VIGA DE ESTRUTURA DE CONCRETO ARMADO EMBUTIDA EM ALVENARIA DE VEDAÇÃO UTILIZANDO AÇO CA-50 DE 12,5 MM - MONTAGEM. AF_06/2022</t>
  </si>
  <si>
    <t>104108</t>
  </si>
  <si>
    <t>ARMAÇÃO DE PILAR OU VIGA DE ESTRUTURA DE CONCRETO ARMADO EMBUTIDA EM ALVENARIA DE VEDAÇÃO UTILIZANDO AÇO CA-50 DE 10,0 MM - MONTAGEM. AF_06/2022</t>
  </si>
  <si>
    <t>104109</t>
  </si>
  <si>
    <t>ARMAÇÃO DE PILAR OU VIGA DE ESTRUTURA DE CONCRETO ARMADO EMBUTIDA EM ALVENARIA DE VEDAÇÃO UTILIZANDO AÇO CA-50 DE 8,0 MM - MONTAGEM. AF_06/2022</t>
  </si>
  <si>
    <t>104110</t>
  </si>
  <si>
    <t>ARMAÇÃO DE PILAR OU VIGA DE ESTRUTURA DE CONCRETO ARMADO EMBUTIDA EM ALVENARIA DE VEDAÇÃO UTILIZANDO AÇO CA-50 DE 6,3 MM - MONTAGEM. AF_06/2022</t>
  </si>
  <si>
    <t>104111</t>
  </si>
  <si>
    <t>ARMAÇÃO DE PILAR OU VIGA DE ESTRUTURA DE CONCRETO ARMADO EMBUTIDA EM ALVENARIA DE VEDAÇÃO UTILIZANDO AÇO CA-60 DE 5,0 MM - MONTAGEM. AF_06/2022</t>
  </si>
  <si>
    <t>8,73</t>
  </si>
  <si>
    <t>18,35</t>
  </si>
  <si>
    <t>7,35</t>
  </si>
  <si>
    <t>98305</t>
  </si>
  <si>
    <t>RACK FECHADO PARA SERVIDOR - FORNECIMENTO E INSTALAÇÃO. AF_11/2019</t>
  </si>
  <si>
    <t>98306</t>
  </si>
  <si>
    <t>BLOCO DE ENGATE RÁPIDO PARA BASTIDOR TIPO M10 - FORNECIMENTO E INSTALAÇÃO. AF_11/2019</t>
  </si>
  <si>
    <t>100555</t>
  </si>
  <si>
    <t>RACK ABERTO EM COLUNA 44U PARA SERVIDOR - FORNECIMENTO E INSTALAÇÃO. AF_11/2019</t>
  </si>
  <si>
    <t>TUBO, PVC, SOLDÁVEL, DN 20MM, INSTALADO EM RAMAL OU SUB-RAMAL DE ÁGUA - FORNECIMENTO E INSTALAÇÃO. AF_06/2022</t>
  </si>
  <si>
    <t>TUBO, PVC, SOLDÁVEL, DN 25MM, INSTALADO EM RAMAL OU SUB-RAMAL DE ÁGUA - FORNECIMENTO E INSTALAÇÃO. AF_06/2022</t>
  </si>
  <si>
    <t>TUBO, PVC, SOLDÁVEL, DN 32MM, INSTALADO EM RAMAL OU SUB-RAMAL DE ÁGUA - FORNECIMENTO E INSTALAÇÃO. AF_06/2022</t>
  </si>
  <si>
    <t>TUBO, PVC, SOLDÁVEL, DN 20MM, INSTALADO EM RAMAL DE DISTRIBUIÇÃO DE ÁGUA - FORNECIMENTO E INSTALAÇÃO. AF_06/2022</t>
  </si>
  <si>
    <t>TUBO, PVC, SOLDÁVEL, DN 25MM, INSTALADO EM RAMAL DE DISTRIBUIÇÃO DE ÁGUA - FORNECIMENTO E INSTALAÇÃO. AF_06/2022</t>
  </si>
  <si>
    <t>TUBO, PVC, SOLDÁVEL, DN 32MM, INSTALADO EM RAMAL DE DISTRIBUIÇÃO DE ÁGUA - FORNECIMENTO E INSTALAÇÃO. AF_06/2022</t>
  </si>
  <si>
    <t>TUBO, PVC, SOLDÁVEL, DN 25MM, INSTALADO EM PRUMADA DE ÁGUA - FORNECIMENTO E INSTALAÇÃO. AF_06/2022</t>
  </si>
  <si>
    <t>TUBO, PVC, SOLDÁVEL, DN 32MM, INSTALADO EM PRUMADA DE ÁGUA - FORNECIMENTO E INSTALAÇÃO. AF_06/2022</t>
  </si>
  <si>
    <t>TUBO, PVC, SOLDÁVEL, DN 40MM, INSTALADO EM PRUMADA DE ÁGUA - FORNECIMENTO E INSTALAÇÃO. AF_06/2022</t>
  </si>
  <si>
    <t>TUBO, PVC, SOLDÁVEL, DN 50MM, INSTALADO EM PRUMADA DE ÁGUA - FORNECIMENTO E INSTALAÇÃO. AF_06/2022</t>
  </si>
  <si>
    <t>TUBO, PVC, SOLDÁVEL, DN 60MM, INSTALADO EM PRUMADA DE ÁGUA - FORNECIMENTO E INSTALAÇÃO. AF_06/2022</t>
  </si>
  <si>
    <t>TUBO, PVC, SOLDÁVEL, DN 75MM, INSTALADO EM PRUMADA DE ÁGUA - FORNECIMENTO E INSTALAÇÃO. AF_06/2022</t>
  </si>
  <si>
    <t>TUBO, PVC, SOLDÁVEL, DN 85MM, INSTALADO EM PRUMADA DE ÁGUA - FORNECIMENTO E INSTALAÇÃO. AF_06/2022</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</si>
  <si>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</si>
  <si>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</si>
  <si>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RAMAL DE ENCAMINHAMENTO. AF_06/2022</t>
  </si>
  <si>
    <t>TUBO PVC, SÉRIE R, ÁGUA PLUVIAL, DN 100 MM, FORNECIDO E INSTALADO EM RAMAL DE ENCAMINHAMENTO. AF_06/2022</t>
  </si>
  <si>
    <t>TUBO PVC, SÉRIE R, ÁGUA PLUVIAL, DN 75 MM, FORNECIDO E INSTALADO EM CONDUTORES VERTICAIS DE ÁGUAS PLUVIAIS. AF_06/2022</t>
  </si>
  <si>
    <t>TUBO PVC, SÉRIE R, ÁGUA PLUVIAL, DN 100 MM, FORNECIDO E INSTALADO EM CONDUTORES VERTICAIS DE ÁGUAS PLUVIAIS. AF_06/2022</t>
  </si>
  <si>
    <t>TUBO PVC, SÉRIE R, ÁGUA PLUVIAL, DN 150 MM, FORNECIDO E INSTALADO EM CONDUTORES VERTICAIS DE ÁGUAS PLUVIAIS. AF_06/2022</t>
  </si>
  <si>
    <t>TUBO, CPVC, SOLDÁVEL, DN 15MM, INSTALADO EM RAMAL OU SUB-RAMAL DE ÁGUA - FORNECIMENTO E INSTALAÇÃO. AF_06/2022</t>
  </si>
  <si>
    <t>TUBO, CPVC, SOLDÁVEL, DN 22MM, INSTALADO EM RAMAL OU SUB-RAMAL DE ÁGUA - FORNECIMENTO E INSTALAÇÃO. AF_06/2022</t>
  </si>
  <si>
    <t>TUBO, CPVC, SOLDÁVEL, DN 28MM, INSTALADO EM RAMAL OU SUB-RAMAL DE ÁGUA - FORNECIMENTO E INSTALAÇÃO. AF_06/2022</t>
  </si>
  <si>
    <t>TUBO, CPVC, SOLDÁVEL, DN 35MM, INSTALADO EM RAMAL OU SUB-RAMAL DE ÁGUA   FORNECIMENTO E INSTALAÇÃO. AF_06/2022</t>
  </si>
  <si>
    <t>TUBO, CPVC, SOLDÁVEL, DN 22MM, INSTALADO EM RAMAL DE DISTRIBUIÇÃO DE ÁGUA - FORNECIMENTO E INSTALAÇÃO. AF_06/2022</t>
  </si>
  <si>
    <t>TUBO, CPVC, SOLDÁVEL, DN 28MM, INSTALADO EM RAMAL DE DISTRIBUIÇÃO DE ÁGUA - FORNECIMENTO E INSTALAÇÃO. AF_06/2022</t>
  </si>
  <si>
    <t>TUBO, CPVC, SOLDÁVEL, DN 35MM, INSTALADO EM PRUMADA DE ÁGUA   FORNECIMENTO E INSTALAÇÃO. AF_06/2022</t>
  </si>
  <si>
    <t>TUBO, CPVC, SOLDÁVEL, DN 42MM,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</si>
  <si>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</si>
  <si>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</si>
  <si>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103978</t>
  </si>
  <si>
    <t>TUBO, PVC, SOLDÁVEL, DN 40MM, INSTALADO EM RAMAL DE DISTRIBUIÇÃO DE ÁGUA - FORNECIMENTO E INSTALAÇÃO. AF_06/2022</t>
  </si>
  <si>
    <t>103979</t>
  </si>
  <si>
    <t>TUBO, PVC, SOLDÁVEL, DN 50MM, INSTALADO EM RAMAL DE DISTRIBUIÇÃO DE ÁGUA - FORNECIMENTO E INSTALAÇÃO. AF_06/2022</t>
  </si>
  <si>
    <t>104021</t>
  </si>
  <si>
    <t>104166</t>
  </si>
  <si>
    <t>TUBO PVC, SÉRIE R, ÁGUA PLUVIAL, DN 150 MM, FORNECIDO E INSTALADO EM RAMAL DE ENCAMINHAMENTO. AF_06/2022</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</si>
  <si>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</si>
  <si>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</si>
  <si>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</si>
  <si>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</si>
  <si>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</si>
  <si>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</si>
  <si>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CURVA 90 GRAUS, PVC, SOLDÁVEL, DN 25MM, INSTALADO EM RAMAL OU SUB-RAMAL DE ÁGUA - FORNECIMENTO E INSTALAÇÃO. AF_06/2022</t>
  </si>
  <si>
    <t>CURVA 45 GRAUS, PVC, SOLDÁVEL, DN 25MM, INSTALADO EM RAMAL OU SUB-RAMAL DE ÁGUA - FORNECIMENTO E INSTALAÇÃO. AF_06/2022</t>
  </si>
  <si>
    <t>JOELHO 90 GRAUS COM BUCHA DE LATÃO, PVC, SOLDÁVEL, DN 25MM, X 3/4  INSTALADO EM RAMAL OU SUB-RAMAL DE ÁGUA - FORNECIMENTO E INSTALAÇÃO. AF_06/2022</t>
  </si>
  <si>
    <t>JOELHO 90 GRAUS, PVC, SOLDÁVEL, DN 32MM, INSTALADO EM RAMAL OU SUB-RAMAL DE ÁGUA - FORNECIMENTO E INSTALAÇÃO. AF_06/2022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</si>
  <si>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</si>
  <si>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</si>
  <si>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</si>
  <si>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LUVA, PVC, SOLDÁVEL, DN 20MM, INSTALADO EM RAMAL OU SUB-RAMAL DE ÁGUA - FORNECIMENTO E INSTALAÇÃO. AF_06/2022</t>
  </si>
  <si>
    <t>LUVA DE CORRER, PVC, SOLDÁVEL, DN 20MM, INSTALADO EM RAMAL OU SUB-RAMAL DE ÁGUA - FORNECIMENTO E INSTALAÇÃO. AF_06/2022</t>
  </si>
  <si>
    <t>LUVA DE REDUÇÃO, PVC, SOLDÁVEL, DN 25MM X 20MM, INSTALADO EM RAMAL OU SUB-RAMAL DE ÁGUA - FORNECIMENTO E INSTALAÇÃO. AF_06/2022</t>
  </si>
  <si>
    <t>LUVA COM BUCHA DE LATÃO, PVC, SOLDÁVEL, DN 20MM X 1/2", INSTALADO EM RAMAL OU SUB-RAMAL DE ÁGUA - FORNECIMENTO E INSTALAÇÃO. AF_06/2022</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</si>
  <si>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</si>
  <si>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</si>
  <si>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CURVA DE TRANSPOSIÇÃO, PVC, SOLDÁVEL, DN 20MM, INSTALADO EM RAMAL OU SUB-RAMAL DE ÁGUA - FORNECIMENTO E INSTALAÇÃO. AF_06/2022</t>
  </si>
  <si>
    <t>LUVA, PVC, SOLDÁVEL, DN 25MM, INSTALADO EM RAMAL OU SUB-RAMAL DE ÁGUA - FORNECIMENTO E INSTALAÇÃO. AF_06/2022</t>
  </si>
  <si>
    <t>LUVA DE REDUÇÃO, PVC, SOLDÁVEL, DN 32MM X 25MM, INSTALADO EM RAMAL OU SUB-RAMAL DE ÁGUA - FORNECIMENTO E INSTALAÇÃO. AF_06/2022</t>
  </si>
  <si>
    <t>LUVA COM BUCHA DE LATÃO, PVC, SOLDÁVEL, DN 25MM X 3/4 , INSTALADO EM RAMAL OU SUB-RAMAL DE ÁGUA - FORNECIMENTO E INSTALAÇÃO. AF_06/2022</t>
  </si>
  <si>
    <t>UNIÃO, PVC, SOLDÁVEL, DN 25MM, INSTALADO EM RAMAL OU SUB-RAMAL DE ÁGUA - FORNECIMENTO E INSTALAÇÃO. AF_06/2022</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</si>
  <si>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</si>
  <si>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</si>
  <si>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LUVA SOLDÁVEL E COM ROSCA, PVC, SOLDÁVEL, DN 25MM X 3/4 , INSTALADO EM RAMAL OU SUB-RAMAL DE ÁGUA - FORNECIMENTO E INSTALAÇÃO. AF_06/2022</t>
  </si>
  <si>
    <t>LUVA, PVC, SOLDÁVEL, DN 32MM, INSTALADO EM RAMAL OU SUB-RAMAL DE ÁGUA - FORNECIMENTO E INSTALAÇÃO. AF_06/2022</t>
  </si>
  <si>
    <t>LUVA DE CORRER, PVC, SOLDÁVEL, DN 32MM, INSTALADO EM RAMAL OU SUB-RAMAL DE ÁGUA   FORNECIMENTO E INSTALAÇÃO. AF_06/2022</t>
  </si>
  <si>
    <t>LUVA SOLDÁVEL E COM ROSCA, PVC, SOLDÁVEL, DN 32MM X 1 , INSTALADO EM RAMAL OU SUB-RAMAL DE ÁGUA - FORNECIMENTO E INSTALAÇÃO. AF_06/2022</t>
  </si>
  <si>
    <t>UNIÃO, PVC, SOLDÁVEL, DN 32MM, INSTALADO EM RAMAL OU SUB-RAMAL DE ÁGUA - FORNECIMENTO E INSTALAÇÃO. AF_06/2022</t>
  </si>
  <si>
    <t>ADAPTADOR CURTO COM BOLSA E ROSCA PARA REGISTRO, PVC, SOLDÁVEL, DN 32MM X 1 , INSTALADO EM RAMAL OU SUB-RAMAL DE ÁGUA - FORNECIMENTO E INSTALAÇÃO. AF_06/2022</t>
  </si>
  <si>
    <t>CURVA DE TRANSPOSIÇÃO, PVC, SOLDÁVEL, DN 32MM, INSTALADO EM RAMAL OU SUB-RAMAL DE ÁGUA   FORNECIMENTO E INSTALAÇÃO. AF_06/2022</t>
  </si>
  <si>
    <t>TE, PVC, SOLDÁVEL, DN 20MM, INSTALADO EM RAMAL OU SUB-RAMAL DE ÁGUA - FORNECIMENTO E INSTALAÇÃO. AF_06/2022</t>
  </si>
  <si>
    <t>TÊ COM BUCHA DE LATÃO NA BOLSA CENTRAL, PVC, SOLDÁVEL, DN 20MM X 1/2 , INSTALADO EM RAMAL OU SUB-RAMAL DE ÁGUA - FORNECIMENTO E INSTALAÇÃO. AF_06/2022</t>
  </si>
  <si>
    <t>TE, PVC, SOLDÁVEL, DN 25MM, INSTALADO EM RAMAL OU SUB-RAMAL DE ÁGUA - FORNECIMENTO E INSTALAÇÃO. AF_06/2022</t>
  </si>
  <si>
    <t>TÊ COM BUCHA DE LATÃO NA BOLSA CENTRAL, PVC, SOLDÁVEL, DN 25MM X 1/2 , INSTALADO EM RAMAL OU SUB-RAMAL DE ÁGUA - FORNECIMENTO E INSTALAÇÃO. AF_06/2022</t>
  </si>
  <si>
    <t>TÊ DE REDUÇÃO, PVC, SOLDÁVEL, DN 25MM X 20MM, INSTALADO EM RAMAL OU SUB-RAMAL DE ÁGUA - FORNECIMENTO E INSTALAÇÃO. AF_06/2022</t>
  </si>
  <si>
    <t>TE, PVC, SOLDÁVEL, DN 32MM, INSTALADO EM RAMAL OU SUB-RAMAL DE ÁGUA - FORNECIMENTO E INSTALAÇÃO. AF_06/2022</t>
  </si>
  <si>
    <t>TÊ COM BUCHA DE LATÃO NA BOLSA CENTRAL, PVC, SOLDÁVEL, DN 32MM X 3/4 , INSTALADO EM RAMAL OU SUB-RAMAL DE ÁGUA - FORNECIMENTO E INSTALAÇÃO. AF_06/2022</t>
  </si>
  <si>
    <t>TÊ DE REDUÇÃO, PVC, SOLDÁVEL, DN 32MM X 25MM, INSTALADO EM RAMAL OU SUB-RAMAL DE ÁGUA - FORNECIMENTO E INSTALAÇÃO. AF_06/2022</t>
  </si>
  <si>
    <t>JOELHO 90 GRAUS, PVC, SOLDÁVEL, DN 20MM, INSTALADO EM RAMAL DE DISTRIBUIÇÃO DE ÁGUA - FORNECIMENTO E INSTALAÇÃO. AF_06/2022</t>
  </si>
  <si>
    <t>JOELHO 45 GRAUS, PVC, SOLDÁVEL, DN 20MM, INSTALADO EM RAMAL DE DISTRIBUIÇÃO DE ÁGUA - FORNECIMENTO E INSTALAÇÃO. AF_06/2022</t>
  </si>
  <si>
    <t>CURVA 90 GRAUS, PVC, SOLDÁVEL, DN 20MM, INSTALADO EM RAMAL DE DISTRIBUIÇÃO DE ÁGUA - FORNECIMENTO E INSTALAÇÃO. AF_06/2022</t>
  </si>
  <si>
    <t>CURVA 45 GRAUS, PVC, SOLDÁVEL, DN 20MM, INSTALADO EM RAMAL DE DISTRIBUIÇÃO DE ÁGUA - FORNECIMENTO E INSTALAÇÃO. AF_06/2022</t>
  </si>
  <si>
    <t>JOELHO 90 GRAUS, PVC, SOLDÁVEL, DN 25MM, INSTALADO EM RAMAL DE DISTRIBUIÇÃO DE ÁGUA - FORNECIMENTO E INSTALAÇÃO. AF_06/2022</t>
  </si>
  <si>
    <t>JOELHO 45 GRAUS, PVC, SOLDÁVEL, DN 25MM, INSTALADO EM RAMAL DE DISTRIBUIÇÃO DE ÁGUA - FORNECIMENTO E INSTALAÇÃO. AF_06/2022</t>
  </si>
  <si>
    <t>CURVA 90 GRAUS, PVC, SOLDÁVEL, DN 25MM, INSTALADO EM RAMAL DE DISTRIBUIÇÃO DE ÁGUA - FORNECIMENTO E INSTALAÇÃO. AF_06/2022</t>
  </si>
  <si>
    <t>CURVA 45 GRAUS, PVC, SOLDÁVEL, DN 25MM, INSTALADO EM RAMAL DE DISTRIBUIÇÃO DE ÁGUA - FORNECIMENTO E INSTALAÇÃO. AF_06/2022</t>
  </si>
  <si>
    <t>JOELHO 90 GRAUS, PVC, SOLDÁVEL, DN 25MM, X 3/4  INSTALADO EM RAMAL DE DISTRIBUIÇÃO DE ÁGUA - FORNECIMENTO E INSTALAÇÃO. AF_06/2022</t>
  </si>
  <si>
    <t>JOELHO 90 GRAUS, PVC, SOLDÁVEL, DN 32MM, INSTALADO EM RAMAL DE DISTRIBUIÇÃO DE ÁGUA - FORNECIMENTO E INSTALAÇÃO. AF_06/2022</t>
  </si>
  <si>
    <t>JOELHO 45 GRAUS, PVC, SOLDÁVEL, DN 32MM, INSTALADO EM RAMAL DE DISTRIBUIÇÃO DE ÁGUA - FORNECIMENTO E INSTALAÇÃO. AF_06/2022</t>
  </si>
  <si>
    <t>CURVA 90 GRAUS, PVC, SOLDÁVEL, DN 32MM, INSTALADO EM RAMAL DE DISTRIBUIÇÃO DE ÁGUA - FORNECIMENTO E INSTALAÇÃO. AF_06/2022</t>
  </si>
  <si>
    <t>CURVA 45 GRAUS, PVC, SOLDÁVEL, DN 32MM, INSTALADO EM RAMAL DE DISTRIBUIÇÃO DE ÁGUA - FORNECIMENTO E INSTALAÇÃO. AF_06/2022</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</si>
  <si>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</si>
  <si>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</si>
  <si>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</si>
  <si>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UNIÃO, PVC, SOLDÁVEL, DN 20MM, INSTALADO EM RAMAL DE DISTRIBUIÇÃO DE ÁGUA - FORNECIMENTO E INSTALAÇÃO. AF_06/2022</t>
  </si>
  <si>
    <t>CURVA DE TRANSPOSIÇÃO, PVC, SOLDÁVEL, DN 20MM, INSTALADO EM RAMAL DE DISTRIBUIÇÃO DE ÁGUA   FORNECIMENTO E INSTALAÇÃO. AF_06/2022</t>
  </si>
  <si>
    <t>LUVA, PVC, SOLDÁVEL, DN 25MM, INSTALADO EM RAMAL DE DISTRIBUIÇÃO DE ÁGUA - FORNECIMENTO E INSTALAÇÃO. AF_06/2022</t>
  </si>
  <si>
    <t>LUVA DE CORRER, PVC, SOLDÁVEL, DN 25MM, INSTALADO EM RAMAL DE DISTRIBUIÇÃO DE ÁGUA - FORNECIMENTO E INSTALAÇÃO. AF_06/2022</t>
  </si>
  <si>
    <t>LUVA DE REDUÇÃO, PVC, SOLDÁVEL, DN 32MM X 25MM, INSTALADO EM RAMAL DE DISTRIBUIÇÃO DE ÁGUA - FORNECIMENTO E INSTALAÇÃO. AF_06/2022</t>
  </si>
  <si>
    <t>LUVA COM BUCHA DE LATÃO, PVC, SOLDÁVEL, DN 25MM X 3/4 , INSTALADO EM RAMAL DE DISTRIBUIÇÃO DE ÁGUA - FORNECIMENTO E INSTALAÇÃO. AF_06/2022</t>
  </si>
  <si>
    <t>UNIÃO, PVC, SOLDÁVEL, DN 25MM, INSTALADO EM RAMAL DE DISTRIBUIÇÃO DE ÁGUA - FORNECIMENTO E INSTALAÇÃO. AF_06/2022</t>
  </si>
  <si>
    <t>ADAPTADOR CURTO COM BOLSA E ROSCA PARA REGISTRO, PVC, SOLDÁVEL, DN 25MM X 3/4 , INSTALADO EM RAMAL DE DISTRIBUIÇÃO DE ÁGUA - FORNECIMENTO E INSTALAÇÃO. AF_06/2022</t>
  </si>
  <si>
    <t>CURVA DE TRANSPOSIÇÃO, PVC, SOLDÁVEL, DN 25MM, INSTALADO EM RAMAL DE DISTRIBUIÇÃO DE ÁGUA   FORNECIMENTO E INSTALAÇÃO. AF_06/2022</t>
  </si>
  <si>
    <t>LUVA, PVC, SOLDÁVEL, DN 32MM, INSTALADO EM RAMAL DE DISTRIBUIÇÃO DE ÁGUA - FORNECIMENTO E INSTALAÇÃO. AF_06/2022</t>
  </si>
  <si>
    <t>LUVA DE CORRER, PVC, SOLDÁVEL, DN 32MM, INSTALADO EM RAMAL DE DISTRIBUIÇÃO DE ÁGUA   FORNECIMENTO E INSTALAÇÃO. AF_06/2022</t>
  </si>
  <si>
    <t>LUVA DE REDUÇÃO, PVC, SOLDÁVEL, DN 40MM X 32MM, INSTALADO EM RAMAL DE DISTRIBUIÇÃO DE ÁGUA - FORNECIMENTO E INSTALAÇÃO. AF_06/2022</t>
  </si>
  <si>
    <t>LUVA SOLDÁVEL E COM ROSCA, PVC, SOLDÁVEL, DN 32MM X 1 , INSTALADO EM RAMAL DE DISTRIBUIÇÃO DE ÁGUA - FORNECIMENTO E INSTALAÇÃO. AF_06/2022</t>
  </si>
  <si>
    <t>UNIÃO, PVC, SOLDÁVEL, DN 32MM, INSTALADO EM RAMAL DE DISTRIBUIÇÃO DE ÁGUA - FORNECIMENTO E INSTALAÇÃO. AF_06/2022</t>
  </si>
  <si>
    <t>ADAPTADOR CURTO COM BOLSA E ROSCA PARA REGISTRO, PVC, SOLDÁVEL, DN 32MM X 1 , INSTALADO EM RAMAL DE DISTRIBUIÇÃO DE ÁGUA - FORNECIMENTO E INSTALAÇÃO. AF_06/2022</t>
  </si>
  <si>
    <t>CURVA DE TRANSPOSIÇÃO, PVC, SOLDÁVEL, DN 32MM, INSTALADO EM RAMAL DE DISTRIBUIÇÃO DE ÁGUA   FORNECIMENTO E INSTALAÇÃO. AF_06/2022</t>
  </si>
  <si>
    <t>TE, PVC, SOLDÁVEL, DN 20MM, INSTALADO EM RAMAL DE DISTRIBUIÇÃO DE ÁGUA - FORNECIMENTO E INSTALAÇÃO. AF_06/2022</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</si>
  <si>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</si>
  <si>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</si>
  <si>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</si>
  <si>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TE, PVC, SOLDÁVEL, DN 32MM, INSTALADO EM RAMAL DE DISTRIBUIÇÃO DE ÁGUA - FORNECIMENTO E INSTALAÇÃO. AF_06/2022</t>
  </si>
  <si>
    <t>TÊ COM BUCHA DE LATÃO NA BOLSA CENTRAL, PVC, SOLDÁVEL, DN 32MM X 3/4 , INSTALADO EM RAMAL DE DISTRIBUIÇÃO DE ÁGUA - FORNECIMENTO E INSTALAÇÃO. AF_06/2022</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</si>
  <si>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</si>
  <si>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</si>
  <si>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</si>
  <si>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</si>
  <si>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</si>
  <si>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JOELHO 90 GRAUS, PVC, SOLDÁVEL, DN 32MM, INSTALADO EM PRUMADA DE ÁGUA - FORNECIMENTO E INSTALAÇÃO. AF_06/2022</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</si>
  <si>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</si>
  <si>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</si>
  <si>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</si>
  <si>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</si>
  <si>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</si>
  <si>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CURVA 90 GRAUS, PVC, SOLDÁVEL, DN 40MM, INSTALADO EM PRUMADA DE ÁGUA - FORNECIMENTO E INSTALAÇÃO. AF_06/2022</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</si>
  <si>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</si>
  <si>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</si>
  <si>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</si>
  <si>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CURVA 90 GRAUS, PVC, SOLDÁVEL, DN 50MM, INSTALADO EM PRUMADA DE ÁGUA - FORNECIMENTO E INSTALAÇÃO. AF_06/2022</t>
  </si>
  <si>
    <t>CURVA 45 GRAUS, PVC, SOLDÁVEL, DN 50MM, INSTALADO EM PRUMADA DE ÁGUA - FORNECIMENTO E INSTALAÇÃO. AF_06/2022</t>
  </si>
  <si>
    <t>JOELHO 90 GRAUS, PVC, SOLDÁVEL, DN 60MM, INSTALADO EM PRUMADA DE ÁGUA - FORNECIMENTO E INSTALAÇÃO. AF_06/2022</t>
  </si>
  <si>
    <t>JOELHO 45 GRAUS, PVC, SOLDÁVEL, DN 60MM, INSTALADO EM PRUMADA DE ÁGUA - FORNECIMENTO E INSTALAÇÃO. AF_06/2022</t>
  </si>
  <si>
    <t>CURVA 90 GRAUS, PVC, SOLDÁVEL, DN 60MM, INSTALADO EM PRUMADA DE ÁGUA - FORNECIMENTO E INSTALAÇÃO. AF_06/2022</t>
  </si>
  <si>
    <t>CURVA 45 GRAUS, PVC, SOLDÁVEL, DN 60MM, INSTALADO EM PRUMADA DE ÁGUA - FORNECIMENTO E INSTALAÇÃO. AF_06/2022</t>
  </si>
  <si>
    <t>JOELHO 90 GRAUS, PVC, SOLDÁVEL, DN 75MM, INSTALADO EM PRUMADA DE ÁGUA - FORNECIMENTO E INSTALAÇÃO. AF_06/2022</t>
  </si>
  <si>
    <t>JOELHO 90 GRAUS, PVC, SERIE R, ÁGUA PLUVIAL, DN 40 MM, JUNTA SOLDÁVEL, FORNECIDO E INSTALADO EM RAMAL DE ENCAMINHAMENTO. AF_06/2022</t>
  </si>
  <si>
    <t>JOELHO 45 GRAUS, PVC, SOLDÁVEL, DN 75MM, INSTALADO EM PRUMADA DE ÁGUA - FORNECIMENTO E INSTALAÇÃO. AF_06/2022</t>
  </si>
  <si>
    <t>JOELHO 45 GRAUS, PVC, SERIE R, ÁGUA PLUVIAL, DN 40 MM, JUNTA SOLDÁVEL, FORNECIDO E INSTALADO EM RAMAL DE ENCAMINHAMENTO. AF_06/2022</t>
  </si>
  <si>
    <t>CURVA 90 GRAUS, PVC, SOLDÁVEL, DN 75MM, INSTALADO EM PRUMADA DE ÁGUA - FORNECIMENTO E INSTALAÇÃO. AF_06/2022</t>
  </si>
  <si>
    <t>JOELHO 90 GRAUS, PVC, SERIE R, ÁGUA PLUVIAL, DN 50 MM, JUNTA ELÁSTICA, FORNECIDO E INSTALADO EM RAMAL DE ENCAMINHAMENTO. AF_06/2022</t>
  </si>
  <si>
    <t>CURVA 45 GRAUS, PVC, SOLDÁVEL, DN 75MM, INSTALADO EM PRUMADA DE ÁGUA - FORNECIMENTO E INSTALAÇÃO. AF_06/2022</t>
  </si>
  <si>
    <t>JOELHO 45 GRAUS, PVC, SERIE R, ÁGUA PLUVIAL, DN 50 MM, JUNTA ELÁSTICA, FORNECIDO E INSTALADO EM RAMAL DE ENCAMINHAMENTO. AF_06/2022</t>
  </si>
  <si>
    <t>JOELHO 90 GRAUS, PVC, SOLDÁVEL, DN 85MM, INSTALADO EM PRUMADA DE ÁGUA - FORNECIMENTO E INSTALAÇÃO. AF_06/2022</t>
  </si>
  <si>
    <t>JOELHO 90 GRAUS, PVC, SERIE R, ÁGUA PLUVIAL, DN 75 MM, JUNTA ELÁSTICA, FORNECIDO E INSTALADO EM RAMAL DE ENCAMINHAMENTO. AF_06/2022</t>
  </si>
  <si>
    <t>JOELHO 45 GRAUS, PVC, SOLDÁVEL, DN 85MM, INSTALADO EM PRUMADA DE ÁGUA - FORNECIMENTO E INSTALAÇÃO. AF_06/2022</t>
  </si>
  <si>
    <t>JOELHO 45 GRAUS, PVC, SERIE R, ÁGUA PLUVIAL, DN 75 MM, JUNTA ELÁSTICA, FORNECIDO E INSTALADO EM RAMAL DE ENCAMINHAMENTO. AF_06/2022</t>
  </si>
  <si>
    <t>CURVA 90 GRAUS, PVC, SOLDÁVEL, DN 85MM, INSTALADO EM PRUMADA DE ÁGUA - FORNECIMENTO E INSTALAÇÃO. AF_06/2022</t>
  </si>
  <si>
    <t>CURVA 87 GRAUS E 30 MINUTOS, PVC, SERIE R, ÁGUA PLUVIAL, DN 75 MM, JUNTA ELÁSTICA, FORNECIDO E INSTALADO EM RAMAL DE ENCAMINHAMENTO. AF_06/2022</t>
  </si>
  <si>
    <t>CURVA 45 GRAUS, PVC, SOLDÁVEL, DN 85MM, INSTALADO EM PRUMADA DE ÁGUA - FORNECIMENTO E INSTALAÇÃO. AF_06/2022</t>
  </si>
  <si>
    <t>LUVA, PVC, SOLDÁVEL, DN 25MM, INSTALADO EM PRUMADA DE ÁGUA - FORNECIMENTO E INSTALAÇÃO. AF_06/2022</t>
  </si>
  <si>
    <t>JOELHO 90 GRAUS, PVC, SERIE R, ÁGUA PLUVIAL, DN 100 MM, JUNTA ELÁSTICA, FORNECIDO E INSTALADO EM RAMAL DE ENCAMINHAMENTO. AF_06/2022</t>
  </si>
  <si>
    <t>LUVA DE CORRER, PVC, SOLDÁVEL, DN 25MM, INSTALADO EM PRUMADA DE ÁGUA - FORNECIMENTO E INSTALAÇÃO. AF_06/2022</t>
  </si>
  <si>
    <t>JOELHO 45 GRAUS, PVC, SERIE R, ÁGUA PLUVIAL, DN 100 MM, JUNTA ELÁSTICA, FORNECIDO E INSTALADO EM RAMAL DE ENCAMINHAMENTO. AF_06/2022</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</si>
  <si>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</si>
  <si>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</si>
  <si>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UNIÃO, PVC, SOLDÁVEL, DN 25MM, INSTALADO EM PRUMADA DE ÁGUA - FORNECIMENTO E INSTALAÇÃO. AF_06/2022</t>
  </si>
  <si>
    <t>CURVA DE TRANSPOSIÇÃO, PVC, SOLDÁVEL, DN 25MM, INSTALADO EM PRUMADA DE ÁGUA  - FORNECIMENTO E INSTALAÇÃO. AF_06/2022</t>
  </si>
  <si>
    <t>LUVA, PVC, SOLDÁVEL, DN 32MM, INSTALADO EM PRUMADA DE ÁGUA - FORNECIMENTO E INSTALAÇÃO. AF_06/2022</t>
  </si>
  <si>
    <t>LUVA DE CORRER, PVC, SOLDÁVEL, DN 32MM, INSTALADO EM PRUMADA DE ÁGUA - FORNECIMENTO E INSTALAÇÃO.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</si>
  <si>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</si>
  <si>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</si>
  <si>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</si>
  <si>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</si>
  <si>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</si>
  <si>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</si>
  <si>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TÊ DE INSPEÇÃO, PVC, SERIE R, ÁGUA PLUVIAL, DN 75 MM, JUNTA ELÁSTICA, FORNECIDO E INSTALADO EM RAMAL DE ENCAMINHAMENTO. AF_06/2022</t>
  </si>
  <si>
    <t>LUVA SOLDÁVEL E COM ROSCA, PVC, SOLDÁVEL, DN 32MM X 1 , INSTALADO EM PRUMADA DE ÁGUA - FORNECIMENTO E INSTALAÇÃO. AF_06/2022</t>
  </si>
  <si>
    <t>UNIÃO, PVC, SOLDÁVEL, DN 32MM, INSTALADO EM PRUMADA DE ÁGUA - FORNECIMENTO E INSTALAÇÃO. AF_06/2022</t>
  </si>
  <si>
    <t>ADAPTADOR CURTO COM BOLSA E ROSCA PARA REGISTRO, PVC, SOLDÁVEL, DN 32MM X 1 , INSTALADO EM PRUMADA DE ÁGUA - FORNECIMENTO E INSTALAÇÃO. AF_06/2022</t>
  </si>
  <si>
    <t>LUVA SIMPLES, PVC, SERIE R, ÁGUA PLUVIAL, DN 100 MM, JUNTA ELÁSTICA, FORNECIDO E INSTALADO EM RAMAL DE ENCAMINHAMENTO. AF_06/2022</t>
  </si>
  <si>
    <t>CURVA DE TRANSPOSIÇÃO, PVC, SOLDÁVEL, DN 32MM, INSTALADO EM PRUMADA DE ÁGUA   FORNECIMENTO E INSTALAÇÃO. AF_06/2022</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</si>
  <si>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</si>
  <si>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</si>
  <si>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LUVA, PVC, SOLDÁVEL, DN 40MM, INSTALADO EM PRUMADA DE ÁGUA - FORNECIMENTO E INSTALAÇÃO. AF_06/2022</t>
  </si>
  <si>
    <t>TÊ DE INSPEÇÃO, PVC, SERIE R, ÁGUA PLUVIAL, DN 100 MM, JUNTA ELÁSTICA, FORNECIDO E INSTALADO EM RAMAL DE ENCAMINHAMENTO. AF_06/2022</t>
  </si>
  <si>
    <t>JUNÇÃO SIMPLES, PVC, SERIE R, ÁGUA PLUVIAL, DN 40 MM, JUNTA SOLDÁVEL, FORNECIDO E INSTALADO EM RAMAL DE ENCAMINHAMENTO. AF_06/2022</t>
  </si>
  <si>
    <t>LUVA DE REDUÇÃO, PVC, SOLDÁVEL, DN 40MM X 32MM, INSTALADO EM PRUMADA DE ÁGUA - FORNECIMENTO E INSTALAÇÃO. AF_06/2022</t>
  </si>
  <si>
    <t>JUNÇÃO SIMPLES, PVC, SERIE R, ÁGUA PLUVIAL, DN 50 MM, JUNTA ELÁSTICA, FORNECIDO E INSTALADO EM RAMAL DE ENCAMINHAMENTO. AF_06/2022</t>
  </si>
  <si>
    <t>LUVA COM ROSCA, PVC, SOLDÁVEL, DN 40MM X 1.1/4 , INSTALADO EM PRUMADA DE ÁGUA - FORNECIMENTO E INSTALAÇÃO. AF_06/2022</t>
  </si>
  <si>
    <t>JUNÇÃO SIMPLES, PVC, SERIE R, ÁGUA PLUVIAL, DN 75 X 75 MM, JUNTA ELÁSTICA, FORNECIDO E INSTALADO EM RAMAL DE ENCAMINHAMENTO. AF_06/2022</t>
  </si>
  <si>
    <t>TÊ, PVC, SERIE R, ÁGUA PLUVIAL, DN 75 MM, JUNTA ELÁSTICA, FORNECIDO E INSTALADO EM RAMAL DE ENCAMINHAMENTO. AF_06/2022</t>
  </si>
  <si>
    <t>JUNÇÃO SIMPLES, PVC, SERIE R, ÁGUA PLUVIAL, DN 100 X 100 MM, JUNTA ELÁSTICA, FORNECIDO E INSTALADO EM RAMAL DE ENCAMINHAMENTO. AF_06/2022</t>
  </si>
  <si>
    <t>UNIÃO, PVC, SOLDÁVEL, DN 40MM, INSTALADO EM PRUMADA DE ÁGUA - FORNECIMENTO E INSTALAÇÃO. AF_06/2022</t>
  </si>
  <si>
    <t>JUNÇÃO SIMPLES, PVC, SERIE R, ÁGUA PLUVIAL, DN 100 X 75 MM, JUNTA ELÁSTICA, FORNECIDO E INSTALADO EM RAMAL DE ENCAMINHAMENTO. AF_06/2022</t>
  </si>
  <si>
    <t>ADAPTADOR CURTO COM BOLSA E ROSCA PARA REGISTRO, PVC, SOLDÁVEL, DN 40MM X 1.1/2 , INSTALADO EM PRUMADA DE ÁGUA - FORNECIMENTO E INSTALAÇÃO. AF_06/2022</t>
  </si>
  <si>
    <t>TÊ, PVC, SERIE R, ÁGUA PLUVIAL, DN 100 X 100 MM, JUNTA ELÁSTICA, FORNECIDO E INSTALADO EM RAMAL DE ENCAMINHAMENTO. AF_06/2022</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</si>
  <si>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</si>
  <si>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</si>
  <si>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</si>
  <si>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LUVA, PVC, SOLDÁVEL, DN 50MM, INSTALADO EM PRUMADA DE ÁGUA - FORNECIMENTO E INSTALAÇÃO. AF_06/2022</t>
  </si>
  <si>
    <t>LUVA DE CORRER, PVC, SOLDÁVEL, DN 50MM, INSTALADO EM PRUMADA DE ÁGUA - FORNECIMENTO E INSTALAÇÃO. AF_06/2022</t>
  </si>
  <si>
    <t>LUVA DE REDUÇÃO, PVC, SOLDÁVEL, DN 50MM X 25MM, INSTALADO EM PRUMADA DE ÁGUA   FORNECIMENTO E INSTALAÇÃO. AF_06/2022</t>
  </si>
  <si>
    <t>JOELHO 90 GRAUS, PVC, SERIE R, ÁGUA PLUVIAL, DN 75 MM, JUNTA ELÁSTICA, FORNECIDO E INSTALADO EM CONDUTORES VERTICAIS DE ÁGUAS PLUVIAIS. AF_06/2022</t>
  </si>
  <si>
    <t>JOELHO 45 GRAUS, PVC, SERIE R, ÁGUA PLUVIAL, DN 75 MM, JUNTA ELÁSTICA, FORNECIDO E INSTALADO EM CONDUTORES VERTICAIS DE ÁGUAS PLUVIAIS. AF_06/2022</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</si>
  <si>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</si>
  <si>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</si>
  <si>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JOELHO 45 GRAUS, PVC, SERIE R, ÁGUA PLUVIAL, DN 100 MM, JUNTA ELÁSTICA, FORNECIDO E INSTALADO EM CONDUTORES VERTICAIS DE ÁGUAS PLUVIAIS. AF_06/2022</t>
  </si>
  <si>
    <t>CURVA 87 GRAUS E 30 MINUTOS, PVC, SERIE R, ÁGUA PLUVIAL, DN 100 MM, JUNTA ELÁSTICA, FORNECIDO E INSTALADO EM CONDUTORES VERTICAIS DE ÁGUAS PLUVIAIS. AF_06/2022</t>
  </si>
  <si>
    <t>JOELHO 90 GRAUS, PVC, SERIE R, ÁGUA PLUVIAL, DN 150 MM, JUNTA ELÁSTICA, FORNECIDO E INSTALADO EM CONDUTORES VERTICAIS DE ÁGUAS PLUVIAIS. AF_06/2022</t>
  </si>
  <si>
    <t>JOELHO 45 GRAUS, PVC, SERIE R, ÁGUA PLUVIAL, DN 150 MM, JUNTA ELÁSTICA, FORNECIDO E INSTALADO EM CONDUTORES VERTICAIS DE ÁGUAS PLUVIAIS. AF_06/2022</t>
  </si>
  <si>
    <t>CURVA 87 GRAUS E 30 MINUTOS, PVC, SERIE R, ÁGUA PLUVIAL, DN 150 MM, JUNTA ELÁSTICA, FORNECIDO E INSTALADO EM CONDUTORES VERTICAIS DE ÁGUAS PLUVIAIS. AF_06/2022</t>
  </si>
  <si>
    <t>LUVA COM ROSCA, PVC, SOLDÁVEL, DN 50MM X 1.1/2 , INSTALADO EM PRUMADA DE ÁGUA - FORNECIMENTO E INSTALAÇÃO. AF_06/2022</t>
  </si>
  <si>
    <t>UNIÃO, PVC, SOLDÁVEL, DN 50MM, INSTALADO EM PRUMADA DE ÁGUA - FORNECIMENTO E INSTALAÇÃO. AF_06/2022</t>
  </si>
  <si>
    <t>ADAPTADOR CURTO COM BOLSA E ROSCA PARA REGISTRO, PVC, SOLDÁVEL, DN 50MM X 1.1/4 , INSTALADO EM PRUMADA DE ÁGUA - FORNECIMENTO E INSTALAÇÃO. AF_06/2022</t>
  </si>
  <si>
    <t>ADAPTADOR CURTO COM BOLSA E ROSCA PARA REGISTRO, PVC, SOLDÁVEL, DN 50MM X 1.1/2 , INSTALADO EM PRUMADA DE ÁGUA - FORNECIMENTO E INSTALAÇÃO. AF_06/2022</t>
  </si>
  <si>
    <t>LUVA, PVC, SOLDÁVEL, DN 60MM, INSTALADO EM PRUMADA DE ÁGUA - FORNECIMENTO E INSTALAÇÃO. AF_06/2022</t>
  </si>
  <si>
    <t>LUVA DE CORRER, PVC, SOLDÁVEL, DN 60MM, INSTALADO EM PRUMADA DE ÁGUA   FORNECIMENTO E INSTALAÇÃO. AF_06/2022</t>
  </si>
  <si>
    <t>LUVA SIMPLES, PVC, SERIE R, ÁGUA PLUVIAL, DN 75 MM, JUNTA ELÁSTICA, FORNECIDO E INSTALADO EM CONDUTORES VERTICAIS DE ÁGUAS PLUVIAIS. AF_06/2022</t>
  </si>
  <si>
    <t>LUVA DE CORRER, PVC, SERIE R, ÁGUA PLUVIAL, DN 75 MM, JUNTA ELÁSTICA, FORNECIDO E INSTALADO EM CONDUTORES VERTICAIS DE ÁGUAS PLUVIAIS. AF_06/2022</t>
  </si>
  <si>
    <t>LUVA DE REDUÇÃO, PVC, SOLDÁVEL, DN 60MM X 50MM, INSTALADO EM PRUMADA DE ÁGUA - FORNECIMENTO E INSTALAÇÃO. AF_06/2022</t>
  </si>
  <si>
    <t>UNIÃO, PVC, SOLDÁVEL, DN 60MM, INSTALADO EM PRUMADA DE ÁGUA - FORNECIMENTO E INSTALAÇÃO. AF_06/2022</t>
  </si>
  <si>
    <t>ADAPTADOR CURTO COM BOLSA E ROSCA PARA REGISTRO, PVC, SOLDÁVEL, DN 60MM X 2 , INSTALADO EM PRUMADA DE ÁGUA - FORNECIMENTO E INSTALAÇÃO. AF_06/2022</t>
  </si>
  <si>
    <t>22,32</t>
  </si>
  <si>
    <t>LUVA, PVC, SOLDÁVEL, DN 75MM, INSTALADO EM PRUMADA DE ÁGUA - FORNECIMENTO E INSTALAÇÃO. AF_06/2022</t>
  </si>
  <si>
    <t>UNIÃO, PVC, SOLDÁVEL, DN 75MM, INSTALADO EM PRUMADA DE ÁGUA - FORNECIMENTO E INSTALAÇÃO. AF_06/2022</t>
  </si>
  <si>
    <t>LUVA, PVC, SOLDÁVEL, DN 85MM, INSTALADO EM PRUMADA DE ÁGUA - FORNECIMENTO E INSTALAÇÃO. AF_06/2022</t>
  </si>
  <si>
    <t>UNIÃO, PVC, SOLDÁVEL, DN 85MM, INSTALADO EM PRUMADA DE ÁGUA - FORNECIMENTO E INSTALAÇÃO. AF_06/2022</t>
  </si>
  <si>
    <t>ADAPTADOR CURTO COM BOLSA E ROSCA PARA REGISTRO, PVC, SOLDÁVEL, DN 85MM X 3 , INSTALADO EM PRUMADA DE ÁGUA - FORNECIMENTO E INSTALAÇÃO. AF_06/2022</t>
  </si>
  <si>
    <t>TE, PVC, SOLDÁVEL, DN 25MM, INSTALADO EM PRUMADA DE ÁGUA - FORNECIMENTO E INSTALAÇÃO. AF_06/2022</t>
  </si>
  <si>
    <t>TE, PVC, SOLDÁVEL, DN 32MM, INSTALADO EM PRUMADA DE ÁGUA - FORNECIMENTO E INSTALAÇÃO. AF_06/2022</t>
  </si>
  <si>
    <t>12,26</t>
  </si>
  <si>
    <t>TÊ DE REDUÇÃO, PVC, SOLDÁVEL, DN 32MM X 25MM, INSTALADO EM PRUMADA DE ÁGUA - FORNECIMENTO E INSTALAÇÃO. AF_06/2022</t>
  </si>
  <si>
    <t>TE, PVC, SOLDÁVEL, DN 40MM, INSTALADO EM PRUMADA DE ÁGUA - FORNECIMENTO E INSTALAÇÃO. AF_06/2022</t>
  </si>
  <si>
    <t>TÊ DE REDUÇÃO, PVC, SOLDÁVEL, DN 40MM X 32MM, INSTALADO EM PRUMADA DE ÁGUA - FORNECIMENTO E INSTALAÇÃO. AF_06/2022</t>
  </si>
  <si>
    <t>TE, PVC, SOLDÁVEL, DN 50MM, INSTALADO EM PRUMADA DE ÁGUA - FORNECIMENTO E INSTALAÇÃO. AF_06/2022</t>
  </si>
  <si>
    <t>TÊ DE REDUÇÃO, PVC, SOLDÁVEL, DN 50MM X 40MM, INSTALADO EM PRUMADA DE ÁGUA - FORNECIMENTO E INSTALAÇÃO. AF_06/2022</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</si>
  <si>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</si>
  <si>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</si>
  <si>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</si>
  <si>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TE DE REDUÇÃO, PVC, SOLDÁVEL, DN 75MM X 50MM, INSTALADO EM PRUMADA DE ÁGUA - FORNECIMENTO E INSTALAÇÃO. AF_06/2022</t>
  </si>
  <si>
    <t>TE, PVC, SOLDÁVEL, DN 85MM, INSTALADO EM PRUMADA DE ÁGUA - FORNECIMENTO E INSTALAÇÃO. AF_06/2022</t>
  </si>
  <si>
    <t>TE DE REDUÇÃO, PVC, SOLDÁVEL, DN 85MM X 60MM, INSTALADO EM PRUMADA DE ÁGUA - FORNECIMENTO E INSTALAÇÃO. AF_06/2022</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</si>
  <si>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</si>
  <si>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</si>
  <si>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</si>
  <si>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JOELHO DE TRANSIÇÃO, 90 GRAUS, CPVC, SOLDÁVEL, DN 15MM X 1/2,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</si>
  <si>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</si>
  <si>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</si>
  <si>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CURVA 90 GRAUS, CPVC, SOLDÁVEL, DN 22MM,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</si>
  <si>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</si>
  <si>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</si>
  <si>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JOELHO 90 GRAUS, CPVC, SOLDÁVEL, DN 28MM, INSTALADO EM RAMAL OU SUB-RAMAL DE ÁGUA - FORNECIMENTO E INSTALAÇÃO. AF_06/2022</t>
  </si>
  <si>
    <t>JOELHO 45 GRAUS, CPVC, SOLDÁVEL, DN 28MM, INSTALADO EM RAMAL OU SUB-RAMAL DE ÁGUA   FORNECIMENTO E INSTALAÇÃO. AF_06/2022</t>
  </si>
  <si>
    <t>19,46</t>
  </si>
  <si>
    <t>CURVA 90 GRAUS, CPVC, SOLDÁVEL, DN 28MM, INSTALADO EM RAMAL OU SUB-RAMAL DE ÁGUA   FORNECIMENTO E INSTALAÇÃO. AF_06/2022</t>
  </si>
  <si>
    <t>JOELHO 90 GRAUS, CPVC, SOLDÁVEL, DN 35MM, INSTALADO EM RAMAL OU SUB-RAMAL DE ÁGUA   FORNECIMENTO E INSTALAÇÃO. AF_06/2022</t>
  </si>
  <si>
    <t>JOELHO 45 GRAUS, CPVC, SOLDÁVEL, DN 35MM, INSTALADO EM RAMAL OU SUB-RAMAL DE ÁGUA   FORNECIMENTO E INSTALAÇÃO. AF_06/2022</t>
  </si>
  <si>
    <t>LUVA, CPVC, SOLDÁVEL, DN 15MM, INSTALADO EM RAMAL OU SUB-RAMAL DE ÁGUA - FORNECIMENTO E INSTALAÇÃO. AF_06/2022</t>
  </si>
  <si>
    <t>LUVA DE CORRER, CPVC, SOLDÁVEL, DN 15MM, INSTALADO EM RAMAL OU SUB-RAMAL DE ÁGUA   FORNECIMENTO E INSTALAÇÃO. AF_06/2022</t>
  </si>
  <si>
    <t>LUVA DE TRANSIÇÃO, CPVC, SOLDÁVEL, DN15MM X 1/2, INSTALADO EM RAMAL OU SUB-RAMAL DE ÁGUA - FORNECIMENTO E INSTALAÇÃO. AF_06/2022</t>
  </si>
  <si>
    <t>UNIÃO, CPVC, SOLDÁVEL, DN15MM, INSTALADO EM RAMAL OU SUB-RAMAL DE ÁGUA   FORNECIMENTO E INSTALAÇÃO. AF_06/2022</t>
  </si>
  <si>
    <t>CONECTOR, CPVC, SOLDÁVEL, DN 15MM X 1/2 , INSTALADO EM RAMAL OU SUB-RAMAL DE ÁGUA   FORNECIMENTO E INSTALAÇÃO. AF_06/2022</t>
  </si>
  <si>
    <t>ADAPTADOR, CPVC, SOLDÁVEL, DN15MM, INSTALADO EM RAMAL OU SUB-RAMAL DE ÁGUA   FORNECIMENTO E INSTALAÇÃO. AF_06/2022</t>
  </si>
  <si>
    <t>CURVA DE TRANSPOSIÇÃO, CPVC, SOLDÁVEL, DN15MM, INSTALADO EM RAMAL OU SUB-RAMAL DE ÁGUA   FORNECIMENTO E INSTALAÇÃO. AF_06/2022</t>
  </si>
  <si>
    <t>LUVA, CPVC, SOLDÁVEL, DN 22MM, INSTALADO EM RAMAL OU SUB-RAMAL DE ÁGUA   FORNECIMENTO E INSTALAÇÃO. AF_06/2022</t>
  </si>
  <si>
    <t>LUVA DE CORRER, CPVC, SOLDÁVEL, DN 22MM, INSTALADO EM RAMAL OU SUB-RAMAL DE ÁGUA   FORNECIMENTO E INSTALAÇÃO. AF_06/2022</t>
  </si>
  <si>
    <t>LUVA DE TRANSIÇÃO, CPVC, SOLDÁVEL, DN22MM X 25MM, INSTALADO EM RAMAL OU SUB-RAMAL DE ÁGUA - FORNECIMENTO E INSTALAÇÃO. AF_06/2022</t>
  </si>
  <si>
    <t>UNIÃO, CPVC, SOLDÁVEL, DN22MM, INSTALADO EM RAMAL OU SUB-RAMAL DE ÁGUA   FORNECIMENTO E INSTALAÇÃO. AF_06/2022</t>
  </si>
  <si>
    <t>CONECTOR, CPVC, SOLDÁVEL, DN 22MM X 1/2 , INSTALADO EM RAMAL OU SUB-RAMAL DE ÁGUA   FORNECIMENTO E INSTALAÇÃO. AF_06/2022</t>
  </si>
  <si>
    <t>ADAPTADOR, CPVC, SOLDÁVEL, DN22MM, INSTALADO EM RAMAL OU SUB-RAMAL DE ÁGUA   FORNECIMENTO E INSTALAÇÃO. AF_06/2022</t>
  </si>
  <si>
    <t>CURVA DE TRANSPOSIÇÃO, CPVC, SOLDÁVEL, DN22MM, INSTALADO EM RAMAL OU SUB-RAMAL DE ÁGUA   FORNECIMENTO E INSTALAÇÃO. AF_06/2022</t>
  </si>
  <si>
    <t>BUCHA DE REDUÇÃO, CPVC, SOLDÁVEL, DN22MM X 15MM, INSTALADO EM RAMAL OU SUB-RAMAL DE ÁGUA   FORNECIMENTO E INSTALAÇÃO. AF_06/2022</t>
  </si>
  <si>
    <t>TÊ DE INSPEÇÃO, PVC, SERIE R, ÁGUA PLUVIAL, DN 75 MM, JUNTA ELÁSTICA, FORNECIDO E INSTALADO EM CONDUTORES VERTICAIS DE ÁGUAS PLUVIAIS. AF_06/2022</t>
  </si>
  <si>
    <t>CONECTOR, CPVC, SOLDÁVEL, DN22MM X 3/4, INSTALADO EM RAMAL OU SUB-RAMAL DE ÁGUA - FORNECIMENTO E INSTALAÇÃO. AF_06/2022</t>
  </si>
  <si>
    <t>LUVA SIMPLES, PVC, SERIE R, ÁGUA PLUVIAL, DN 100 MM, JUNTA ELÁSTICA, FORNECIDO E INSTALADO EM CONDUTORES VERTICAIS DE ÁGUAS PLUVIAIS. AF_06/2022</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</si>
  <si>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</si>
  <si>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</si>
  <si>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</si>
  <si>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REDUÇÃO EXCÊNTRICA, PVC, SERIE R, ÁGUA PLUVIAL, DN 100 X 75 MM, JUNTA ELÁSTICA, FORNECIDO E INSTALADO EM CONDUTORES VERTICAIS DE ÁGUAS PLUVIAIS. AF_06/2022</t>
  </si>
  <si>
    <t>UNIÃO, CPVC, SOLDÁVEL, DN28MM, INSTALADO EM RAMAL OU SUB-RAMAL DE ÁGUA   FORNECIMENTO E INSTALAÇÃO. AF_06/2022</t>
  </si>
  <si>
    <t>TÊ DE INSPEÇÃO, PVC, SERIE R, ÁGUA PLUVIAL, DN 100 MM, JUNTA ELÁSTICA, FORNECIDO E INSTALADO EM CONDUTORES VERTICAIS DE ÁGUAS PLUVIAIS. AF_06/2022</t>
  </si>
  <si>
    <t>CONECTOR, CPVC, SOLDÁVEL, DN 28MM X 1 , INSTALADO EM RAMAL OU SUB-RAMAL DE ÁGUA   FORNECIMENTO E INSTALAÇÃO. AF_06/2022</t>
  </si>
  <si>
    <t>LUVA SIMPLES, PVC, SERIE R, ÁGUA PLUVIAL, DN 150 MM, JUNTA ELÁSTICA, FORNECIDO E INSTALADO EM CONDUTORES VERTICAIS DE ÁGUAS PLUVIAIS. AF_06/2022</t>
  </si>
  <si>
    <t>BUCHA DE REDUÇÃO, CPVC, SOLDÁVEL, DN28MM X 22MM, INSTALADO EM RAMAL OU SUB-RAMAL DE ÁGUA   FORNECIMENTO E INSTALAÇÃO. AF_06/2022</t>
  </si>
  <si>
    <t>LUVA DE CORRER, PVC, SERIE R, ÁGUA PLUVIAL, DN 150 MM, JUNTA ELÁSTICA, FORNECIDO E INSTALADO EM CONDUTORES VERTICAIS DE ÁGUAS PLUVIAIS. AF_06/2022</t>
  </si>
  <si>
    <t>LUVA, CPVC, SOLDÁVEL, DN 35MM, INSTALADO EM RAMAL OU SUB-RAMAL DE ÁGUA   FORNECIMENTO E INSTALAÇÃO. AF_06/2022</t>
  </si>
  <si>
    <t>REDUÇÃO EXCÊNTRICA, PVC, SERIE R, ÁGUA PLUVIAL, DN 150 X 100 MM, JUNTA ELÁSTICA, FORNECIDO E INSTALADO EM CONDUTORES VERTICAIS DE ÁGUAS PLUVIAIS. AF_06/2022</t>
  </si>
  <si>
    <t>LUVA DE CORRER, CPVC, SOLDÁVEL, DN 35MM, INSTALADO EM RAMAL OU SUB-RAMAL DE ÁGUA   FORNECIMENTO E INSTALAÇÃO. AF_06/2022</t>
  </si>
  <si>
    <t>TÊ DE INSPEÇÃO, PVC, SERIE R, ÁGUA PLUVIAL, DN 150 X 100 MM, JUNTA ELÁSTICA, FORNECIDO E INSTALADO EM CONDUTORES VERTICAIS DE ÁGUAS PLUVIAIS. AF_06/2022</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</si>
  <si>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</si>
  <si>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</si>
  <si>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CONECTOR, CPVC, SOLDÁVEL, DN 35MM X 1 1/4 , INSTALADO EM RAMAL OU SUB-RAMAL DE ÁGUA   FORNECIMENTO E INSTALAÇÃO. AF_06/2022</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</si>
  <si>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</si>
  <si>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</si>
  <si>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JUNÇÃO SIMPLES, PVC, SERIE R, ÁGUA PLUVIAL, DN 100 X 100 MM, JUNTA ELÁSTICA, FORNECIDO E INSTALADO EM CONDUTORES VERTICAIS DE ÁGUAS PLUVIAIS. AF_06/2022</t>
  </si>
  <si>
    <t>TE, CPVC, SOLDÁVEL, DN 15MM, INSTALADO EM RAMAL OU SUB-RAMAL DE ÁGUA - FORNECIMENTO E INSTALAÇÃO. AF_06/2022</t>
  </si>
  <si>
    <t>JUNÇÃO SIMPLES, PVC, SERIE R, ÁGUA PLUVIAL, DN 100 X 75 MM, JUNTA ELÁSTICA, FORNECIDO E INSTALADO EM CONDUTORES VERTICAIS DE ÁGUAS PLUVIAIS. AF_06/2022</t>
  </si>
  <si>
    <t>TÊ, PVC, SERIE R, ÁGUA PLUVIAL, DN 100 X 100 MM, JUNTA ELÁSTICA, FORNECIDO E INSTALADO EM CONDUTORES VERTICAIS DE ÁGUAS PLUVIAIS. AF_06/2022</t>
  </si>
  <si>
    <t>TE DE TRANSIÇÃO, CPVC, SOLDÁVEL, DN 15MM X 1/2 , INSTALADO EM RAMAL OU SUB-RAMAL DE ÁGUA   FORNECIMENTO E INSTALAÇÃO. AF_06/2022</t>
  </si>
  <si>
    <t>TÊ MISTURADOR, CPVC, SOLDÁVEL, DN15MM, INSTALADO EM RAMAL OU SUB-RAMAL DE ÁGUA   FORNECIMENTO E INSTALAÇÃO. AF_06/2022</t>
  </si>
  <si>
    <t>TÊ, PVC, SERIE R, ÁGUA PLUVIAL, DN 100 X 75 MM, JUNTA ELÁSTICA, FORNECIDO E INSTALADO EM CONDUTORES VERTICAIS DE ÁGUAS PLUVIAIS. AF_06/2022</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</si>
  <si>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</si>
  <si>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</si>
  <si>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JUNÇÃO SIMPLES, PVC, SERIE R, ÁGUA PLUVIAL, DN 150 X 100 MM, JUNTA ELÁSTICA, FORNECIDO E INSTALADO EM CONDUTORES VERTICAIS DE ÁGUAS PLUVIAIS. AF_06/2022</t>
  </si>
  <si>
    <t>TE DE TRANSIÇÃO, CPVC, SOLDÁVEL, DN 22MM X 1/2 , INSTALADO EM RAMAL OU SUB-RAMAL DE ÁGUA   FORNECIMENTO E INSTALAÇÃO. AF_06/2022</t>
  </si>
  <si>
    <t>TÊ, PVC, SERIE R, ÁGUA PLUVIAL, DN 150 X 150 MM, JUNTA ELÁSTICA, FORNECIDO E INSTALADO EM CONDUTORES VERTICAIS DE ÁGUAS PLUVIAIS. AF_06/2022</t>
  </si>
  <si>
    <t>TÊ MISTURADOR, CPVC, SOLDÁVEL, DN22MM, INSTALADO EM RAMAL OU SUB-RAMAL DE ÁGUA   FORNECIMENTO E INSTALAÇÃO. AF_06/2022</t>
  </si>
  <si>
    <t>TE MISTURADOR DE TRANSIÇÃO, CPVC, SOLDÁVEL, DN 22MM X 3/4, INSTALADO EM RAMAL OU SUB-RAMAL DE ÁGUA - FORNECIMENTO E INSTALAÇÃO. AF_06/2022</t>
  </si>
  <si>
    <t>TÊ, PVC, SERIE R, ÁGUA PLUVIAL, DN 150 X 100 MM, JUNTA ELÁSTICA, FORNECIDO E INSTALADO EM CONDUTORES VERTICAIS DE ÁGUAS PLUVIAIS. AF_06/2022</t>
  </si>
  <si>
    <t>TÊ, CPVC, SOLDÁVEL, DN28MM, INSTALADO EM RAMAL OU SUB-RAMAL DE ÁGUA   FORNECIMENTO E INSTALAÇÃO. AF_06/2022</t>
  </si>
  <si>
    <t>TÊ, CPVC, SOLDÁVEL, DN35MM, INSTALADO EM RAMAL OU SUB-RAMAL DE ÁGUA   FORNECIMENTO E INSTALAÇÃO. AF_06/2022</t>
  </si>
  <si>
    <t>TUBO, CPVC, SOLDÁVEL, DN 35MM, INSTALADO EM RAMAL DE DISTRIBUIÇÃO DE ÁGUA   FORNECIMENTO E INSTALAÇÃO. AF_06/2022</t>
  </si>
  <si>
    <t>JOELHO 90 GRAUS, CPVC, SOLDÁVEL, DN 22MM, INSTALADO EM RAMAL DE DISTRIBUIÇÃO DE ÁGUA   FORNECIMENTO E INSTALAÇÃO. AF_06/2022</t>
  </si>
  <si>
    <t>JOELHO 45 GRAUS, CPVC, SOLDÁVEL, DN 22MM, INSTALADO EM RAMAL DE DISTRIBUIÇÃO DE ÁGUA   FORNECIMENTO E INSTALAÇÃO. AF_06/2022</t>
  </si>
  <si>
    <t>CURVA 90 GRAUS, CPVC, SOLDÁVEL, DN 22MM, INSTALADO EM RAMAL DE DISTRIBUIÇÃO DE ÁGUA - FORNECIMENTO E INSTALAÇÃO. AF_06/2022</t>
  </si>
  <si>
    <t>JOELHO 90 GRAUS, CPVC, SOLDÁVEL, DN 28MM, INSTALADO EM RAMAL DE DISTRIBUIÇÃO DE ÁGUA   FORNECIMENTO E INSTALAÇÃO. AF_06/2022</t>
  </si>
  <si>
    <t>JOELHO 45 GRAUS, CPVC, SOLDÁVEL, DN 28MM, INSTALADO EM RAMAL DE DISTRIBUIÇÃO DE ÁGUA   FORNECIMENTO E INSTALAÇÃO. AF_06/2022</t>
  </si>
  <si>
    <t>CURVA 90 GRAUS, CPVC, SOLDÁVEL, DN 28MM, INSTALADO EM RAMAL DE DISTRIBUIÇÃO DE ÁGUA   FORNECIMENTO E INSTALAÇÃO. AF_06/2022</t>
  </si>
  <si>
    <t>JOELHO 90 GRAUS, CPVC, SOLDÁVEL, DN 35MM, INSTALADO EM RAMAL DE DISTRIBUIÇÃO DE ÁGUA   FORNECIMENTO E INSTALAÇÃO. AF_06/2022</t>
  </si>
  <si>
    <t>JOELHO 45 GRAUS, CPVC, SOLDÁVEL, DN 35MM, INSTALADO EM RAMAL DE DISTRIBUIÇÃO DE ÁGUA   FORNECIMENTO E INSTALAÇÃO. AF_06/2022</t>
  </si>
  <si>
    <t>LUVA, CPVC, SOLDÁVEL, DN 22MM, INSTALADO EM RAMAL DE DISTRIBUIÇÃO DE ÁGUA   FORNECIMENTO E INSTALAÇÃO. AF_06/2022</t>
  </si>
  <si>
    <t>LUVA DE TRANSIÇÃO, CPVC, SOLDÁVEL, DN 22MM X 25MM, INSTALADO EM RAMAL DE DISTRIBUIÇÃO DE ÁGUA   FORNECIMENTO E INSTALAÇÃO. AF_06/2022</t>
  </si>
  <si>
    <t>UNIÃO, CPVC, SOLDÁVEL, DN 22MM, INSTALADO EM RAMAL DE DISTRIBUIÇÃO DE ÁGUA   FORNECIMENTO E INSTALAÇÃO. AF_06/2022</t>
  </si>
  <si>
    <t>ADAPTADOR, CPVC, SOLDÁVEL, DN 22MM, INSTALADO EM RAMAL DE DISTRIBUIÇÃO DE ÁGUA   FORNECIMENTO E INSTALAÇÃO. AF_06/2022</t>
  </si>
  <si>
    <t>CURVA DE TRANSPOSIÇÃO, CPVC, SOLDÁVEL, DN 22MM, INSTALADO EM RAMAL DE DISTRIBUIÇÃO DE ÁGUA   FORNECIMENTO E INSTALAÇÃO. AF_06/2022</t>
  </si>
  <si>
    <t>LUVA, CPVC, SOLDÁVEL, DN 28MM, INSTALADO EM RAMAL DE DISTRIBUIÇÃO DE ÁGUA   FORNECIMENTO E INSTALAÇÃO. AF_06/2022</t>
  </si>
  <si>
    <t>LUVA DE CORRER, CPVC, SOLDÁVEL, DN 28MM, INSTALADO EM RAMAL DE DISTRIBUIÇÃO DE ÁGUA   FORNECIMENTO E INSTALAÇÃO. AF_06/2022</t>
  </si>
  <si>
    <t>UNIÃO, CPVC, SOLDÁVEL, DN 28MM, INSTALADO EM RAMAL DE DISTRIBUIÇÃO DE ÁGUA   FORNECIMENTO E INSTALAÇÃO. AF_06/2022</t>
  </si>
  <si>
    <t>CONECTOR, CPVC, SOLDÁVEL, DN 28MM X 1 , INSTALADO EM RAMAL DE DISTRIBUIÇÃO DE ÁGUA   FORNECIMENTO E INSTALAÇÃO. AF_06/2022</t>
  </si>
  <si>
    <t>BUCHA DE REDUÇÃO, CPVC, SOLDÁVEL, DN 28MM X 22MM, INSTALADO EM RAMAL DE DISTRIBUIÇÃO DE ÁGUA - FORNECIMENTO E INSTALAÇÃO. AF_06/2022</t>
  </si>
  <si>
    <t>LUVA, CPVC, SOLDÁVEL, DN 35MM, INSTALADO EM RAMAL DE DISTRIBUIÇÃO DE ÁGUA - FORNECIMENTO E INSTALAÇÃO. AF_06/2022</t>
  </si>
  <si>
    <t>LUVA DE CORRER, CPVC, SOLDÁVEL, DN 35MM, INSTALADO EM RAMAL DE DISTRIBUIÇÃO DE ÁGUA - FORNECIMENTO E INSTALAÇÃO. AF_06/2022</t>
  </si>
  <si>
    <t>UNIÃO, CPVC, SOLDÁVEL, DN35MM, INSTALADO EM RAMAL DE DISTRIBUIÇÃO DE ÁGUA - FORNECIMENTO E INSTALAÇÃO. AF_06/2022</t>
  </si>
  <si>
    <t>CONECTOR, CPVC, SOLDÁVEL, DN 35MM X 1 1/4 , INSTALADO EM RAMAL DE DISTRIBUIÇÃO DE ÁGUA - FORNECIMENTO E INSTALAÇÃO. AF_06/2022</t>
  </si>
  <si>
    <t>BUCHA DE REDUÇÃO, CPVC, SOLDÁVEL, DN35MM X 28MM, INSTALADO EM RAMAL DE DISTRIBUIÇÃO DE ÁGUA - FORNECIMENTO E INSTALAÇÃO. AF_06/2022</t>
  </si>
  <si>
    <t>TE, CPVC, SOLDÁVEL, DN 22MM, INSTALADO EM RAMAL DE DISTRIBUIÇÃO DE ÁGUA - FORNECIMENTO E INSTALAÇÃO. AF_06/2022</t>
  </si>
  <si>
    <t>TÊ MISTURADOR, CPVC, SOLDÁVEL, DN 22MM, INSTALADO EM RAMAL DE DISTRIBUIÇÃO DE ÁGUA - FORNECIMENTO E INSTALAÇÃO. AF_06/2022</t>
  </si>
  <si>
    <t>TÊ, CPVC, SOLDÁVEL, DN 28MM, INSTALADO EM RAMAL DE DISTRIBUIÇÃO DE ÁGUA - FORNECIMENTO E INSTALAÇÃO. AF_06/2022</t>
  </si>
  <si>
    <t>TÊ, CPVC, SOLDÁVEL, DN35MM, INSTALADO EM RAMAL DE DISTRIBUIÇÃO DE ÁGUA - FORNECIMENTO E INSTALAÇÃO. AF_06/2022</t>
  </si>
  <si>
    <t>TUBO, CPVC, SOLDÁVEL, DN 54MM, INSTALADO EM PRUMADA DE ÁGUA   FORNECIMENTO E INSTALAÇÃO. AF_06/2022</t>
  </si>
  <si>
    <t>JOELHO 90 GRAUS, CPVC, SOLDÁVEL, DN 35MM, INSTALADO EM PRUMADA DE ÁGUA   FORNECIMENTO E INSTALAÇÃO. AF_06/2022</t>
  </si>
  <si>
    <t>JOELHO 45 GRAUS, CPVC, SOLDÁVEL, DN 35MM, INSTALADO EM PRUMADA DE ÁGUA - FORNECIMENTO E INSTALAÇÃO. AF_06/2022</t>
  </si>
  <si>
    <t>JOELHO 90 GRAUS, CPVC, SOLDÁVEL, DN 42MM, INSTALADO EM PRUMADA DE ÁGUA   FORNECIMENTO E INSTALAÇÃO. AF_06/2022</t>
  </si>
  <si>
    <t>JOELHO 45 GRAUS, CPVC, SOLDÁVEL, DN 42MM, INSTALADO EM PRUMADA DE ÁGUA   FORNECIMENTO E INSTALAÇÃO. AF_06/2022</t>
  </si>
  <si>
    <t>JOELHO 90 GRAUS, CPVC, SOLDÁVEL, DN 54MM, INSTALADO EM PRUMADA DE ÁGUA   FORNECIMENTO E INSTALAÇÃO. AF_06/2022</t>
  </si>
  <si>
    <t>JOELHO 45 GRAUS, CPVC, SOLDÁVEL, DN 54MM, INSTALADO EM PRUMADA DE ÁGUA   FORNECIMENTO E INSTALAÇÃO. AF_06/2022</t>
  </si>
  <si>
    <t>JOELHO 90 GRAUS, CPVC, SOLDÁVEL, DN 73MM, INSTALADO EM PRUMADA DE ÁGUA   FORNECIMENTO E INSTALAÇÃO. AF_06/2022</t>
  </si>
  <si>
    <t>JOELHO 45 GRAUS, CPVC, SOLDÁVEL, DN 73MM, INSTALADO EM PRUMADA DE ÁGUA   FORNECIMENTO E INSTALAÇÃO. AF_06/2022</t>
  </si>
  <si>
    <t>JOELHO 90 GRAUS, CPVC, SOLDÁVEL, DN 89MM, INSTALADO EM PRUMADA DE ÁGUA   FORNECIMENTO E INSTALAÇÃO. AF_06/2022</t>
  </si>
  <si>
    <t>JOELHO 45 GRAUS, CPVC, SOLDÁVEL, DN 89MM, INSTALADO EM PRUMADA DE ÁGUA   FORNECIMENTO E INSTALAÇÃO. AF_06/2022</t>
  </si>
  <si>
    <t>LUVA, CPVC, SOLDÁVEL, DN 35MM, INSTALADO EM PRUMADA DE ÁGUA   FORNECIMENTO E INSTALAÇÃO. AF_06/2022</t>
  </si>
  <si>
    <t>LUVA DE CORRER, CPVC, SOLDÁVEL, DN 35MM, INSTALADO EM PRUMADA DE ÁGUA   FORNECIMENTO E INSTALAÇÃO. AF_06/2022</t>
  </si>
  <si>
    <t>UNIÃO, CPVC, SOLDÁVEL, DN35MM, INSTALADO EM PRUMADA DE ÁGUA   FORNECIMENTO E INSTALAÇÃO. AF_06/2022</t>
  </si>
  <si>
    <t>CONECTOR, CPVC, SOLDÁVEL, DN 35MM X 1 1/4 , INSTALADO EM PRUMADA DE ÁGUA   FORNECIMENTO E INSTALAÇÃO. AF_06/2022</t>
  </si>
  <si>
    <t>LUVA, CPVC, SOLDÁVEL, DN 42MM, INSTALADO EM PRUMADA DE ÁGUA   FORNECIMENTO E INSTALAÇÃO. AF_06/2022</t>
  </si>
  <si>
    <t>LUVA DE CORRER, CPVC, SOLDÁVEL, DN 42MM, INSTALADO EM PRUMADA DE ÁGUA   FORNECIMENTO E INSTALAÇÃO. AF_06/2022</t>
  </si>
  <si>
    <t>LUVA DE TRANSIÇÃO, CPVC, SOLDÁVEL, DN42MM X 1.1/2 , INSTALADO EM PRUMADA DE ÁGUA   FORNECIMENTO E INSTALAÇÃO. AF_06/2022</t>
  </si>
  <si>
    <t>UNIÃO, CPVC, SOLDÁVEL, DN42MM, INSTALADO EM PRUMADA DE ÁGUA   FORNECIMENTO E INSTALAÇÃO. AF_06/2022</t>
  </si>
  <si>
    <t>CONECTOR, CPVC, SOLDÁVEL, DN 42MM X 1.1/2 , INSTALADO EM PRUMADA DE ÁGUA   FORNECIMENTO E INSTALAÇÃO. AF_06/2022</t>
  </si>
  <si>
    <t>BUCHA DE REDUÇÃO, CPVC, SOLDÁVEL, DN 42MM X 22MM, INSTALADO EM RAMAL DE DISTRIBUIÇÃO DE ÁGUA - FORNECIMENTO E INSTALAÇÃO. AF_06/2022</t>
  </si>
  <si>
    <t>LUVA, CPVC, SOLDÁVEL, DN 54MM, INSTALADO EM PRUMADA DE ÁGUA   FORNECIMENTO E INSTALAÇÃO. AF_06/2022</t>
  </si>
  <si>
    <t>LUVA DE TRANSIÇÃO, CPVC, SOLDÁVEL, DN 54MM X 2 , INSTALADO EM PRUMADA DE ÁGUA   FORNECIMENTO E INSTALAÇÃO. AF_06/2022</t>
  </si>
  <si>
    <t>UNIÃO, CPVC, SOLDÁVEL, DN 54MM, INSTALADO EM PRUMADA DE ÁGUA   FORNECIMENTO E INSTALAÇÃO. AF_06/2022</t>
  </si>
  <si>
    <t>LUVA, CPVC, SOLDÁVEL, DN 73MM, INSTALADO EM PRUMADA DE ÁGUA   FORNECIMENTO E INSTALAÇÃO. AF_06/2022</t>
  </si>
  <si>
    <t>UNIÃO, CPVC, SOLDÁVEL, DN 73MM, INSTALADO EM PRUMADA DE ÁGUA   FORNECIMENTO E INSTALAÇÃO. AF_06/2022</t>
  </si>
  <si>
    <t>LUVA, CPVC, SOLDÁVEL, DN 89MM, INSTALADO EM PRUMADA DE ÁGUA   FORNECIMENTO E INSTALAÇÃO. AF_06/2022</t>
  </si>
  <si>
    <t>UNIÃO, CPVC, SOLDÁVEL, DN 89MM, INSTALADO EM PRUMADA DE ÁGUA   FORNECIMENTO E INSTALAÇÃO. AF_06/2022</t>
  </si>
  <si>
    <t>TÊ, CPVC, SOLDÁVEL, DN 35MM, INSTALADO EM PRUMADA DE ÁGUA   FORNECIMENTO E INSTALAÇÃO. AF_06/2022</t>
  </si>
  <si>
    <t>TE, CPVC, SOLDÁVEL, DN  42MM,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</si>
  <si>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</si>
  <si>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</si>
  <si>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</si>
  <si>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LUVA COM BUCHA DE LATÃO, PVC, SOLDÁVEL, DN 32MM X 1 , INSTALADO EM RAMAL OU SUB-RAMAL DE ÁGUA   FORNECIMENTO E INSTALAÇÃO. AF_06/2022</t>
  </si>
  <si>
    <t>LUVA SOLDÁVEL E COM BUCHA DE LATÃO, PVC, SOLDÁVEL, DN 32MM X 1 , INSTALADO EM PRUMADA DE ÁGUA   FORNECIMENTO E INSTALAÇÃO. AF_06/2022</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</si>
  <si>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</si>
  <si>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</si>
  <si>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COTOVELO EM COBRE, DN 15 MM, 90 GRAUS, SEM ANEL DE SOLDA, INSTALADO EM RAMAL DE DISTRIBUIÇÃO   FORNECIMENTO E INSTALAÇÃO. AF_04/2022</t>
  </si>
  <si>
    <t>LUVA COM BUCHA DE LATÃO, PVC, SOLDÁVEL, DN 32MM X 1 , INSTALADO EM RAMAL DE DISTRIBUIÇÃO DE ÁGUA   FORNECIMENTO E INSTALAÇÃO. AF_06/2022</t>
  </si>
  <si>
    <t>CURVA 90 GRAUS, PVC, SERIE R, ÁGUA PLUVIAL, DN 100 MM, JUNTA ELÁSTICA, FORNECIDO E INSTALADO EM RAMAL DE ENCAMINHAMENTO. AF_06/2022</t>
  </si>
  <si>
    <t>CURVA 90 GRAUS, PVC, SERIE R, ÁGUA PLUVIAL, DN 100 MM, JUNTA ELÁSTICA, FORNECIDO E INSTALADO EM CONDUTORES VERTICAIS DE ÁGUAS PLUVIAIS. AF_06/2022</t>
  </si>
  <si>
    <t>24,10</t>
  </si>
  <si>
    <t>16,95</t>
  </si>
  <si>
    <t>103947</t>
  </si>
  <si>
    <t>BUCHA DE REDUÇÃO, CURTA, PVC, SOLDÁVEL, DN 25 X 20 MM, INSTALADO EM RAMAL OU SUB-RAMAL DE ÁGUA - FORNECIMENTO E INSTALAÇÃO. AF_06/2022</t>
  </si>
  <si>
    <t>103948</t>
  </si>
  <si>
    <t>BUCHA DE REDUÇÃO, CURTA, PVC, SOLDÁVEL, DN 32 X 25 MM, INSTALADO EM RAMAL OU SUB-RAMAL DE ÁGUA - FORNECIMENTO E INSTALAÇÃO. AF_06/2022</t>
  </si>
  <si>
    <t>103949</t>
  </si>
  <si>
    <t>BUCHA DE REDUÇÃO, LONGA, PVC, SOLDÁVEL, DN 32 X 20 MM, INSTALADO EM RAMAL OU SUB-RAMAL DE ÁGUA - FORNECIMENTO E INSTALAÇÃO. AF_06/2022</t>
  </si>
  <si>
    <t>103950</t>
  </si>
  <si>
    <t>JOELHO DE REDUÇÃO, 90 GRAUS, PVC, SOLDÁVEL, DN 25 MM X 20 MM, INSTALADO EM RAMAL OU SUB-RAMAL DE ÁGUA - FORNECIMENTO E INSTALAÇÃO. AF_06/2022</t>
  </si>
  <si>
    <t>103951</t>
  </si>
  <si>
    <t>JOELHO DE REDUÇÃO, 90 GRAUS, PVC, SOLDÁVEL, DN 32 MM X 25 MM, INSTALADO EM RAMAL OU SUB-RAMAL DE ÁGUA - FORNECIMENTO E INSTALAÇÃO. AF_06/2022</t>
  </si>
  <si>
    <t>103952</t>
  </si>
  <si>
    <t>BUCHA DE REDUÇÃO, CURTA, PVC, SOLDÁVEL, DN 25 X 20 MM, INSTALADO EM RAMAL DE DISTRIBUIÇÃO DE ÁGUA - FORNECIMENTO E INSTALAÇÃO. AF_06/2022</t>
  </si>
  <si>
    <t>103953</t>
  </si>
  <si>
    <t>BUCHA DE REDUÇÃO, CURTA, PVC, SOLDÁVEL, DN 32 X 25 MM, INSTALADO EM RAMAL DE DISTRIBUIÇÃO DE ÁGUA - FORNECIMENTO E INSTALAÇÃO. AF_06/2022</t>
  </si>
  <si>
    <t>103954</t>
  </si>
  <si>
    <t>BUCHA DE REDUÇÃO, LONGA, PVC, SOLDÁVEL, DN 32 X 20 MM, INSTALADO EM RAMAL DE DISTRIBUIÇÃO DE ÁGUA - FORNECIMENTO E INSTALAÇÃO. AF_06/2022</t>
  </si>
  <si>
    <t>103955</t>
  </si>
  <si>
    <t>JOELHO DE REDUÇÃO, 90 GRAUS, PVC, SOLDÁVEL, DN 25 MM X 20 MM, INSTALADO EM RAMAL DE DISTRIBUIÇÃO DE ÁGUA - FORNECIMENTO E INSTALAÇÃO. AF_06/2022</t>
  </si>
  <si>
    <t>103956</t>
  </si>
  <si>
    <t>JOELHO DE REDUÇÃO, 90 GRAUS, PVC, SOLDÁVEL, DN 32 MM X 25 MM, INSTALADO EM RAMAL DE DISTRIBUIÇÃO DE ÁGUA - FORNECIMENTO E INSTALAÇÃO. AF_06/2022</t>
  </si>
  <si>
    <t>103957</t>
  </si>
  <si>
    <t>BUCHA DE REDUÇÃO, CURTA, PVC, SOLDÁVEL, DN 32 X 25 MM, INSTALADO EM PRUMADA DE ÁGUA - FORNECIMENTO E INSTALAÇÃO. AF_06/2022</t>
  </si>
  <si>
    <t>103958</t>
  </si>
  <si>
    <t>BUCHA DE REDUÇÃO, CURTA, PVC, SOLDÁVEL, DN 50 X 40 MM, INSTALADO EM PRUMADA DE ÁGUA - FORNECIMENTO E INSTALAÇÃO. AF_06/2022</t>
  </si>
  <si>
    <t>103959</t>
  </si>
  <si>
    <t>BUCHA DE REDUÇÃO, CURTA, PVC, SOLDÁVEL, DN 60 X 50 MM, INSTALADO EM PRUMADA DE ÁGUA - FORNECIMENTO E INSTALAÇÃO. AF_06/2022</t>
  </si>
  <si>
    <t>103962</t>
  </si>
  <si>
    <t>BUCHA DE REDUÇÃO, LONGA, PVC, SOLDÁVEL, DN 32 X 20 MM, INSTALADO EM PRUMADA DE ÁGUA - FORNECIMENTO E INSTALAÇÃO. AF_06/2022</t>
  </si>
  <si>
    <t>103964</t>
  </si>
  <si>
    <t>BUCHA DE REDUÇÃO, LONGA, PVC, SOLDÁVEL, DN 40 X 25 MM, INSTALADO EM PRUMADA DE ÁGUA - FORNECIMENTO E INSTALAÇÃO. AF_06/2022</t>
  </si>
  <si>
    <t>103966</t>
  </si>
  <si>
    <t>BUCHA DE REDUÇÃO, LONGA, PVC, SOLDÁVEL, DN 50 X 25 MM, INSTALADO EM PRUMADA DE ÁGUA - FORNECIMENTO E INSTALAÇÃO. AF_06/2022</t>
  </si>
  <si>
    <t>103967</t>
  </si>
  <si>
    <t>BUCHA DE REDUÇÃO , LONGA, PVC, SOLDÁVEL, DN 50 X 32 MM, INSTALADO EM PRUMADA DE ÁGUA - FORNECIMENTO E INSTALAÇÃO. AF_06/2022</t>
  </si>
  <si>
    <t>103968</t>
  </si>
  <si>
    <t>BUCHA DE REDUÇÃO, LONGA, PVC, SOLDÁVEL, DN 60 X 25 MM, INSTALADO EM PRUMADA DE ÁGUA - FORNECIMENTO E INSTALAÇÃO. AF_06/2022</t>
  </si>
  <si>
    <t>103969</t>
  </si>
  <si>
    <t>BUCHA DE REDUÇÃO, LONGA, PVC, SOLDÁVEL, DN 60 X 32 MM, INSTALADO EM PRUMADA DE ÁGUA - FORNECIMENTO E INSTALAÇÃO. AF_06/2022</t>
  </si>
  <si>
    <t>103971</t>
  </si>
  <si>
    <t>BUCHA DE REDUÇÃO, LONGA, PVC, SOLDÁVEL, DN 60 X 50 MM, INSTALADO EM PRUMADA DE ÁGUA - FORNECIMENTO E INSTALAÇÃO. AF_06/2022</t>
  </si>
  <si>
    <t>103972</t>
  </si>
  <si>
    <t>BUCHA DE REDUÇÃO, LONGA, PVC, SOLDÁVEL, DN 75 X 50 MM, INSTALADO EM PRUMADA DE ÁGUA - FORNECIMENTO E INSTALAÇÃO. AF_06/2022</t>
  </si>
  <si>
    <t>103974</t>
  </si>
  <si>
    <t>JOELHO DE REDUÇÃO, 90 GRAUS, PVC, SOLDÁVEL, DN 32 MM X 25 MM, INSTALADO EM PRUMADA DE ÁGUA - FORNECIMENTO E INSTALAÇÃO. AF_06/2022</t>
  </si>
  <si>
    <t>103975</t>
  </si>
  <si>
    <t>TE DE REDUÇÃO, 90 GRAUS, PVC, SOLDÁVEL, DN 50 MM X 20 MM, INSTALADO EM PRUMADA DE ÁGUA - FORNECIMENTO E INSTALAÇÃO. AF_06/2022</t>
  </si>
  <si>
    <t>103976</t>
  </si>
  <si>
    <t>TE DE REDUÇÃO, 90 GRAUS, PVC, SOLDÁVEL, DN 50 MM X 32 MM, INSTALADO EM PRUMADA DE ÁGUA - FORNECIMENTO E INSTALAÇÃO. AF_06/2022</t>
  </si>
  <si>
    <t>103977</t>
  </si>
  <si>
    <t>BUCHA DE REDUÇÃO, PVC, SOLDÁVEL, DN 40MM X 32MM, INSTALADO EM PRUMADA DE ÁGUA - FORNECIMENTO E INSTALAÇÃO. AF_06/2022</t>
  </si>
  <si>
    <t>103980</t>
  </si>
  <si>
    <t>JOELHO 90 GRAUS, PVC, SOLDÁVEL, DN 40MM, INSTALADO EM RAMAL DE DISTRIBUIÇÃO DE ÁGUA - FORNECIMENTO E INSTALAÇÃO. AF_06/2022</t>
  </si>
  <si>
    <t>103981</t>
  </si>
  <si>
    <t>JOELHO 45 GRAUS, PVC, SOLDÁVEL, DN 40MM, INSTALADO EM RAMAL DE DISTRIBUIÇÃO DE ÁGUA - FORNECIMENTO E INSTALAÇÃO. AF_06/2022</t>
  </si>
  <si>
    <t>103982</t>
  </si>
  <si>
    <t>CURVA 90 GRAUS, PVC, SOLDÁVEL, DN 40MM, INSTALADO EM RAMAL DE DISTRIBUIÇÃO DE ÁGUA - FORNECIMENTO E INSTALAÇÃO. AF_06/2022</t>
  </si>
  <si>
    <t>103983</t>
  </si>
  <si>
    <t>CURVA 45 GRAUS, PVC, SOLDÁVEL, DN 40MM, INSTALADO EM RAMAL DE DISTRIBUIÇÃO DE ÁGUA - FORNECIMENTO E INSTALAÇÃO. AF_06/2022</t>
  </si>
  <si>
    <t>103984</t>
  </si>
  <si>
    <t>JOELHO 90 GRAUS, PVC, SOLDÁVEL, DN 50MM, INSTALADO EM RAMAL DE DISTRIBUIÇÃO DE ÁGUA - FORNECIMENTO E INSTALAÇÃO. AF_06/2022</t>
  </si>
  <si>
    <t>103985</t>
  </si>
  <si>
    <t>JOELHO 45 GRAUS, PVC, SOLDÁVEL, DN 50MM, INSTALADO EM RAMAL DE DISTRIBUIÇÃO DE ÁGUA - FORNECIMENTO E INSTALAÇÃO. AF_06/2022</t>
  </si>
  <si>
    <t>103986</t>
  </si>
  <si>
    <t>CURVA 90 GRAUS, PVC, SOLDÁVEL, DN 50MM, INSTALADO EM RAMAL DE DISTRIBUIÇÃO DE ÁGUA - FORNECIMENTO E INSTALAÇÃO. AF_06/2022</t>
  </si>
  <si>
    <t>103987</t>
  </si>
  <si>
    <t>CURVA 45 GRAUS, PVC, SOLDÁVEL, DN 50MM, INSTALADO EM RAMAL DE DISTRIBUIÇÃO DE ÁGUA - FORNECIMENTO E INSTALAÇÃO. AF_06/2022</t>
  </si>
  <si>
    <t>103988</t>
  </si>
  <si>
    <t>LUVA, PVC, SOLDÁVEL, DN 40MM, INSTALADO EM RAMAL DE DISTRIBUIÇÃO DE ÁGUA - FORNECIMENTO E INSTALAÇÃO. AF_06/2022</t>
  </si>
  <si>
    <t>103990</t>
  </si>
  <si>
    <t>UNIÃO, PVC, SOLDÁVEL, DN 40MM, INSTALADO EM RAMAL DE DISTRIBUIÇÃO DE ÁGUA - FORNECIMENTO E INSTALAÇÃO. AF_06/2022</t>
  </si>
  <si>
    <t>103991</t>
  </si>
  <si>
    <t>LUVA COM ROSCA, PVC, SOLDÁVEL, DN 40MM X 1.1/4, INSTALADO EM RAMAL DE DISTRIBUIÇÃO DE ÁGUA - FORNECIMENTO E INSTALAÇÃO. AF_06/2022</t>
  </si>
  <si>
    <t>103992</t>
  </si>
  <si>
    <t>ADAPTADOR CURTO COM BOLSA E ROSCA PARA REGISTRO, PVC, SOLDÁVEL, DN 40MM X 1.1/4, INSTALADO EM RAMAL DE DISTRIBUIÇÃO DE ÁGUA - FORNECIMENTO E INSTALAÇÃO. AF_06/2022</t>
  </si>
  <si>
    <t>103993</t>
  </si>
  <si>
    <t>BUCHA DE REDUÇÃO, PVC, SOLDÁVEL, DN 40MM X 32MM, INSTALADO EM RAMAL DE DISTRIBUIÇÃO DE ÁGUA - FORNECIMENTO E INSTALAÇÃO. AF_06/2022</t>
  </si>
  <si>
    <t>103994</t>
  </si>
  <si>
    <t>ADAPTADOR CURTO COM BOLSA E ROSCA PARA REGISTRO, PVC, SOLDÁVEL, DN 40MM X 1.1/2, INSTALADO EM RAMAL DE DISTRIBUIÇÃO DE ÁGUA - FORNECIMENTO E INSTALAÇÃO. AF_06/2022</t>
  </si>
  <si>
    <t>103995</t>
  </si>
  <si>
    <t>LUVA, PVC, SOLDÁVEL, DN 50MM, INSTALADO EM RAMAL DE DISTRIBUIÇÃO DE ÁGUA - FORNECIMENTO E INSTALAÇÃO. AF_06/2022</t>
  </si>
  <si>
    <t>103996</t>
  </si>
  <si>
    <t>LUVA DE CORRER, PVC, SOLDÁVEL, DN 50MM, INSTALADO EM RAMAL DE DISTRIBUIÇÃO DE ÁGUA - FORNECIMENTO E INSTALAÇÃO. AF_06/2022</t>
  </si>
  <si>
    <t>103997</t>
  </si>
  <si>
    <t>UNIÃO, PVC, SOLDÁVEL, DN 50MM, INSTALADO EM RAMAL DE DISTRIBUIÇÃO DE ÁGUA - FORNECIMENTO E INSTALAÇÃO. AF_06/2022</t>
  </si>
  <si>
    <t>103998</t>
  </si>
  <si>
    <t>LUVA DE REDUÇÃO, PVC, SOLDÁVEL, DN 50MM X 25MM, INSTALADO EM RAMAL DE DISTRIBUIÇÃO DE ÁGUA   FORNECIMENTO E INSTALAÇÃO. AF_06/2022</t>
  </si>
  <si>
    <t>103999</t>
  </si>
  <si>
    <t>BUCHA DE REDUÇÃO, LONGA, PVC, SOLDÁVEL, DN 50 X 25 MM, INSTALADO EM RAMAL DE DISTRIBUIÇÃO DE ÁGUA - FORNECIMENTO E INSTALAÇÃO. AF_06/2022</t>
  </si>
  <si>
    <t>104000</t>
  </si>
  <si>
    <t>LUVA COM ROSCA, PVC, SOLDÁVEL, DN 50MM X 1.1/2, INSTALADO EM RAMAL DE DISTRIBUIÇÃO DE ÁGUA - FORNECIMENTO E INSTALAÇÃO. AF_06/2022</t>
  </si>
  <si>
    <t>104001</t>
  </si>
  <si>
    <t>ADAPTADOR CURTO COM BOLSA E ROSCA PARA REGISTRO, PVC, SOLDÁVEL, DN 50MM X 1.1/2, INSTALADO EM RAMAL DE DISTRIBUIÇÃO DE ÁGUA - FORNECIMENTO E INSTALAÇÃO. AF_06/2022</t>
  </si>
  <si>
    <t>104002</t>
  </si>
  <si>
    <t>ADAPTADOR CURTO COM BOLSA E ROSCA PARA REGISTRO, PVC, SOLDÁVEL, DN 50MM X 1.1/4, INSTALADO EM RAMAL DE DISTRIBUIÇÃO DE ÁGUA - FORNECIMENTO E INSTALAÇÃO. AF_06/2022</t>
  </si>
  <si>
    <t>104003</t>
  </si>
  <si>
    <t>BUCHA DE REDUÇÃO , LONGA, PVC, SOLDÁVEL, DN 50 X 32 MM, INSTALADO EM RAMAL DE DISTRIBUIÇÃO DE ÁGUA - FORNECIMENTO E INSTALAÇÃO. AF_06/2022</t>
  </si>
  <si>
    <t>104004</t>
  </si>
  <si>
    <t>TE, PVC, SOLDÁVEL, DN 50MM, INSTALADO EM RAMAL DE DISTRIBUIÇÃO DE ÁGUA - FORNECIMENTO E INSTALAÇÃO. AF_06/2022</t>
  </si>
  <si>
    <t>104005</t>
  </si>
  <si>
    <t>TÊ DE REDUÇÃO, PVC, SOLDÁVEL, DN 50MM X 40MM, INSTALADO EM RAMAL DE DISTRIBUIÇÃO DE ÁGUA - FORNECIMENTO E INSTALAÇÃO. AF_06/2022</t>
  </si>
  <si>
    <t>104006</t>
  </si>
  <si>
    <t>TÊ DE REDUÇÃO, PVC, SOLDÁVEL, DN 50MM X 25MM, INSTALADO EM RAMAL DE DISTRIBUIÇÃO DE ÁGUA - FORNECIMENTO E INSTALAÇÃO. AF_06/2022</t>
  </si>
  <si>
    <t>104007</t>
  </si>
  <si>
    <t>TE DE REDUÇÃO, 90 GRAUS, PVC, SOLDÁVEL, DN 50 MM X 20 MM, INSTALADO EM RAMAL DE DISTRIBUIÇÃO DE ÁGUA - FORNECIMENTO E INSTALAÇÃO. AF_06/2022</t>
  </si>
  <si>
    <t>104008</t>
  </si>
  <si>
    <t>TE DE REDUÇÃO, 90 GRAUS, PVC, SOLDÁVEL, DN 50 MM X 32 MM, INSTALADO EM RAMAL DE DISTRIBUIÇÃO DE ÁGUA - FORNECIMENTO E INSTALAÇÃO. AF_06/2022</t>
  </si>
  <si>
    <t>104009</t>
  </si>
  <si>
    <t>BUCHA DE REDUÇÃO, CURTA, PVC, SOLDÁVEL, DN 50 X 40 MM, INSTALADO EM RAMAL DE DISTRIBUIÇÃO DE ÁGUA - FORNECIMENTO E INSTALAÇÃO. AF_06/2022</t>
  </si>
  <si>
    <t>104011</t>
  </si>
  <si>
    <t>TE, PVC, SOLDÁVEL, DN 40MM, INSTALADO EM RAMAL DE DISTRIBUIÇÃO DE ÁGUA - FORNECIMENTO E INSTALAÇÃO. AF_06/2022</t>
  </si>
  <si>
    <t>104012</t>
  </si>
  <si>
    <t>TÊ DE REDUÇÃO, PVC, SOLDÁVEL, DN 40MM X 32MM, INSTALADO EM RAMAL DE DISTRIBUIÇÃO DE ÁGUA - FORNECIMENTO E INSTALAÇÃO. AF_06/2022</t>
  </si>
  <si>
    <t>104014</t>
  </si>
  <si>
    <t>BUCHA DE REDUÇÃO, LONGA, PVC, SOLDÁVEL, DN 40 X 25 MM, INSTALADO EM RAMAL DE DISTRIBUIÇÃO DE ÁGUA - FORNECIMENTO E INSTALAÇÃO. AF_06/2022</t>
  </si>
  <si>
    <t>104015</t>
  </si>
  <si>
    <t>TE DE REDUÇÃO, CPVC, SOLDÁVEL, DN 22 X 15 MM, INSTALADO EM RAMAL OU SUB-RAMAL DE ÁGUA - FORNECIMENTO E INSTALAÇÃO. AF_06/2022</t>
  </si>
  <si>
    <t>104016</t>
  </si>
  <si>
    <t>TE DE REDUÇÃO, CPVC, SOLDÁVEL, DN 28 X 22 MM, INSTALADO EM RAMAL OU SUB-RAMAL DE ÁGUA - FORNECIMENTO E INSTALAÇÃO. AF_06/2022</t>
  </si>
  <si>
    <t>104017</t>
  </si>
  <si>
    <t>TE DE REDUÇÃO, CPVC, SOLDÁVEL, DN 35 X 28 MM, INSTALADO EM RAMAL OU SUB-RAMAL DE ÁGUA - FORNECIMENTO E INSTALAÇÃO. AF_06/2022</t>
  </si>
  <si>
    <t>104018</t>
  </si>
  <si>
    <t>104019</t>
  </si>
  <si>
    <t>TE DE REDUÇÃO, CPVC, SOLDÁVEL, DN 35 X 28 MM, INSTALADO EM RAMAL DE DISTRIBUIÇÃO DE ÁGUA - FORNECIMENTO E INSTALAÇÃO. AF_06/2022</t>
  </si>
  <si>
    <t>104020</t>
  </si>
  <si>
    <t>TE DE REDUÇÃO, CPVC, SOLDÁVEL, DN 42 X 35 MM, INSTALADO EM PRUMADA DE ÁGUA - FORNECIMENTO E INSTALAÇÃO. AF_06/2022</t>
  </si>
  <si>
    <t>104022</t>
  </si>
  <si>
    <t>TE, CPVC, SOLDÁVEL, DN  42MM, INSTALADO EM RAMAL DE DISTRIBUIÇÃO DE ÁGUA  FORNECIMENTO E INSTALAÇÃO. AF_06/2022</t>
  </si>
  <si>
    <t>104023</t>
  </si>
  <si>
    <t>JOELHO 90 GRAUS, CPVC, SOLDÁVEL, DN 42MM, INSTALADO EM RAMAL DE DISTRIBUIÇÃO DE ÁGUA  FORNECIMENTO E INSTALAÇÃO. AF_06/2022</t>
  </si>
  <si>
    <t>104024</t>
  </si>
  <si>
    <t>JOELHO 45 GRAUS, CPVC, SOLDÁVEL, DN 42MM, INSTALADO EM RAMAL DE DISTRIBUIÇÃO DE ÁGUA  FORNECIMENTO E INSTALAÇÃO. AF_06/2022</t>
  </si>
  <si>
    <t>104025</t>
  </si>
  <si>
    <t>LUVA, CPVC, SOLDÁVEL, DN 42MM, INSTALADO EM RAMAL DE DISTRIBUIÇÃO DE ÁGUA  FORNECIMENTO E INSTALAÇÃO. AF_06/2022</t>
  </si>
  <si>
    <t>104026</t>
  </si>
  <si>
    <t>LUVA DE CORRER, CPVC, SOLDÁVEL, DN 42MM, INSTALADO EM RAMAL DE DISTRIBUIÇÃO DE ÁGUA  FORNECIMENTO E INSTALAÇÃO. AF_06/2022</t>
  </si>
  <si>
    <t>104027</t>
  </si>
  <si>
    <t>UNIÃO, CPVC, SOLDÁVEL, DN 42MM, INSTALADO EM RAMAL DE DISTRIBUIÇÃO DE ÁGUA   FORNECIMENTO E INSTALAÇÃO. AF_06/2022</t>
  </si>
  <si>
    <t>104028</t>
  </si>
  <si>
    <t>LUVA DE TRANSIÇÃO, CPVC, SOLDÁVEL, DN42MM X 1.1/2, INSTALADO EM RAMAL DE DISTRIBUIÇÃO DE ÁGUA  FORNECIMENTO E INSTALAÇÃO. AF_06/2022</t>
  </si>
  <si>
    <t>104029</t>
  </si>
  <si>
    <t>CONECTOR, CPVC, SOLDÁVEL, DN 42MM X 1.1/2, INSTALADO EM RAMAL DE DISTRIBUIÇÃO DE ÁGUA  FORNECIMENTO E INSTALAÇÃO. AF_06/2022</t>
  </si>
  <si>
    <t>104030</t>
  </si>
  <si>
    <t>TE DE REDUÇÃO, CPVC, SOLDÁVEL, DN 42 X 35 MM, INSTALADO EM RAMAL DE DISTRIBUIÇÃO DE ÁGUA - FORNECIMENTO E INSTALAÇÃO. AF_06/2022</t>
  </si>
  <si>
    <t>104167</t>
  </si>
  <si>
    <t>JOELHO 90 GRAUS, PVC, SERIE R, ÁGUA PLUVIAL, DN 150 MM, JUNTA ELÁSTICA, FORNECIDO E INSTALADO EM RAMAL DE ENCAMINHAMENTO. AF_06/2022</t>
  </si>
  <si>
    <t>104168</t>
  </si>
  <si>
    <t>JOELHO 45 GRAUS, PVC, SERIE R, ÁGUA PLUVIAL, DN 150 MM, JUNTA ELÁSTICA, FORNECIDO E INSTALADO EM RAMAL DE ENCAMINHAMENTO. AF_06/2022</t>
  </si>
  <si>
    <t>104169</t>
  </si>
  <si>
    <t>CURVA 87 GRAUS E 30 MINUTOS, PVC, SERIE R, ÁGUA PLUVIAL, DN 150 MM, JUNTA ELÁSTICA, FORNECIDO E INSTALADO EM RAMAL DE ENCAMINHAMENTO. AF_06/2022</t>
  </si>
  <si>
    <t>104170</t>
  </si>
  <si>
    <t>LUVA SIMPLES, PVC, SERIE R, ÁGUA PLUVIAL, DN 150 MM, JUNTA ELÁSTICA, FORNECIDO E INSTALADO EM RAMAL DE ENCAMINHAMENTO. AF_06/2022</t>
  </si>
  <si>
    <t>104171</t>
  </si>
  <si>
    <t>LUVA DE CORRER, PVC, SERIE R, ÁGUA PLUVIAL, DN 150 MM, JUNTA ELÁSTICA, FORNECIDO E INSTALADO EM RAMAL DE ENCAMINHAMENTO. AF_06/2022</t>
  </si>
  <si>
    <t>104172</t>
  </si>
  <si>
    <t>TÊ DE INSPEÇÃO, PVC, SERIE R, ÁGUA PLUVIAL, DN 150 MM, JUNTA ELÁSTICA, FORNECIDO E INSTALADO EM RAMAL DE ENCAMINHAMENTO. AF_06/2022</t>
  </si>
  <si>
    <t>104173</t>
  </si>
  <si>
    <t>REDUÇÃO EXCÊNTRICA, PVC, SERIE R, ÁGUA PLUVIAL, DN 150 X 100 MM, JUNTA ELÁSTICA, FORNECIDO E INSTALADO EM RAMAL DE ENCAMINHAMENTO. AF_06/2022</t>
  </si>
  <si>
    <t>104174</t>
  </si>
  <si>
    <t>JUNÇÃO SIMPLES, PVC, SERIE R, ÁGUA PLUVIAL, DN 150 X 100 MM, JUNTA ELÁSTICA, FORNECIDO E INSTALADO EM RAMAL DE ENCAMINHAMENTO. AF_06/2022</t>
  </si>
  <si>
    <t>104175</t>
  </si>
  <si>
    <t>TÊ, PVC, SERIE R, ÁGUA PLUVIAL, DN 150 X 100 MM, JUNTA ELÁSTICA, FORNECIDO E INSTALADO EM RAMAL DE ENCAMINHAMENTO. AF_06/2022</t>
  </si>
  <si>
    <t>104176</t>
  </si>
  <si>
    <t>JUNÇÃO SIMPLES, PVC, SERIE R, ÁGUA PLUVIAL, DN 150 X 150 MM, JUNTA ELÁSTICA, FORNECIDO E INSTALADO EM RAMAL DE ENCAMINHAMENTO. AF_06/2022</t>
  </si>
  <si>
    <t>104177</t>
  </si>
  <si>
    <t>TÊ, PVC, SERIE R, ÁGUA PLUVIAL, DN 150 X 150 MM, JUNTA ELÁSTICA, FORNECIDO E INSTALADO EM RAMAL DE ENCAMINHAMENTO. AF_06/2022</t>
  </si>
  <si>
    <t>104178</t>
  </si>
  <si>
    <t>CAP, PVC, SERIE R, ÁGUA PLUVIAL, DN 100 MM, JUNTA ELÁSTICA, FORNECIDO E INSTALADO EM RAMAL DE ENCAMINHAMENTO. AF_06/2022</t>
  </si>
  <si>
    <t>104179</t>
  </si>
  <si>
    <t>CAP, PVC, SERIE R, ÁGUA PLUVIAL, DN 150 MM, JUNTA ELÁSTICA, FORNECIDO E INSTALADO EM RAMAL DE ENCAMINHAMENTO. AF_06/2022</t>
  </si>
  <si>
    <t>CAIXA SIFONADA, PVC, DN 100 X 100 X 50 MM, FORNECIDA E INSTALADA EM RAMAIS DE ENCAMINHAMENTO DE ÁGUA PLUVIAL. AF_06/2022</t>
  </si>
  <si>
    <t>CAIXA SIFONADA, PVC, DN 150 X 185 X 75 MM, FORNECIDA E INSTALADA EM RAMAIS DE ENCAMINHAMENTO DE ÁGUA PLUVIAL. AF_06/2022</t>
  </si>
  <si>
    <t>RALO SIFONADO, PVC, DN 100 X 40 MM, JUNTA SOLDÁVEL, FORNECIDO E INSTALADO EM RAMAIS DE ENCAMINHAMENTO DE ÁGUA PLUVIAL. AF_06/2022</t>
  </si>
  <si>
    <t>104031</t>
  </si>
  <si>
    <t>COLAR DE TOMADA, PVC, COM TRAVAS, DE 60 MM X 1/2" OU 60 MM X 3/4", PARA LIGAÇÃO PREDIAL DE ÁGUA. AF_06/2022</t>
  </si>
  <si>
    <t>104032</t>
  </si>
  <si>
    <t>COLAR DE TOMADA, PVC, COM TRAVAS, DE 75 MM X 1/2" OU 75 MM X 3/4", PARA LIGAÇÃO PREDIAL DE ÁGUA. AF_06/2022</t>
  </si>
  <si>
    <t>104033</t>
  </si>
  <si>
    <t>COLAR DE TOMADA, PVC, COM TRAVAS, DE 85 MM X 1/2" OU 85 MM X 3/4", PARA LIGAÇÃO PREDIAL DE ÁGUA. AF_06/2022</t>
  </si>
  <si>
    <t>104034</t>
  </si>
  <si>
    <t>COLAR DE TOMADA, PVC, COM TRAVAS, DE 110 MM X 1/2" OU 110 MM X 3/4", PARA LIGAÇÃO PREDIAL DE ÁGUA. AF_06/2022</t>
  </si>
  <si>
    <t>104035</t>
  </si>
  <si>
    <t>COLAR DE TOMADA, POLIPROPILENO, COM PARAFUSOS, 63 MM X 1/2", PARA LIGAÇÃO PREDIAL DE ÁGUA. AF_06/2022</t>
  </si>
  <si>
    <t>104036</t>
  </si>
  <si>
    <t>COLAR DE TOMADA, POLIPROPILENO, COM PARAFUSOS, 63 MM X 3/4", PARA LIGAÇÃO PREDIAL DE ÁGUA. AF_06/2022</t>
  </si>
  <si>
    <t>104039</t>
  </si>
  <si>
    <t>TÊ DE SERVIÇO INTEGRADO, POLIPROPILENO, PARA TUBOS EM PEAD, 63 MM X 20 MM, PARA LIGAÇÃO PREDIAL DE ÁGUA. AF_06/2022</t>
  </si>
  <si>
    <t>104043</t>
  </si>
  <si>
    <t>ADAPTADOR, POLIPROPILENO, PARA TUBOS EM PEAD, 20 MM X 1/2", PARA LIGAÇÃO PREDIAL DE ÁGUA. AF_06/2022</t>
  </si>
  <si>
    <t>104044</t>
  </si>
  <si>
    <t>ADAPTADOR, POLIPROPILENO, PARA TUBOS EM PEAD, 20 MM X 3/4", PARA LIGAÇÃO PREDIAL DE ÁGUA. AF_06/2022</t>
  </si>
  <si>
    <t>104045</t>
  </si>
  <si>
    <t>ADAPTADOR, POLIPROPILENO, PARA TUBOS EM PEAD, 32 MM X 1", PARA LIGAÇÃO PREDIAL DE ÁGUA. AF_06/2022</t>
  </si>
  <si>
    <t>104046</t>
  </si>
  <si>
    <t>COTOVELO/JOELHO COM ADAPTADOR, POLIPROPILENO, PARA TUBOS EM PEAD, 20 MM X 1/2", PARA LIGAÇÃO PREDIAL DE ÁGUA. AF_06/2022</t>
  </si>
  <si>
    <t>104047</t>
  </si>
  <si>
    <t>COTOVELO/JOELHO COM ADAPTADOR, POLIPROPILENO, PARA TUBOS EM PEAD, 20 MM X 3/4", PARA LIGAÇÃO PREDIAL DE ÁGUA. AF_06/2022</t>
  </si>
  <si>
    <t>104048</t>
  </si>
  <si>
    <t>COTOVELO/JOELHO COM ADAPTADOR, POLIPROPILENO, PARA TUBOS EM PEAD, 32 MM X 1", PARA LIGAÇÃO PREDIAL DE ÁGUA. AF_06/2022</t>
  </si>
  <si>
    <t>104049</t>
  </si>
  <si>
    <t>ADAPTADOR, PVC, CURTO COM BOLSA E ROSCA, 20 MM X 1/2", PARA LIGAÇÃO PREDIAL DE ÁGUA. AF_06/2022</t>
  </si>
  <si>
    <t>104050</t>
  </si>
  <si>
    <t>ADAPTADOR, PVC, CURTO COM BOLSA E ROSCA, 32 MM X 1", PARA LIGAÇÃO PREDIAL DE ÁGUA. AF_06/2022</t>
  </si>
  <si>
    <t>104051</t>
  </si>
  <si>
    <t>COTOVELO/JOELHO 90°, POLIPROPILENO, PARA TUBOS EM PEAD, 20 X 20 MM, PARA LIGAÇÃO PREDIAL DE ÁGUA. AF_06/2022</t>
  </si>
  <si>
    <t>104052</t>
  </si>
  <si>
    <t>COTOVELO/JOELHO 90°, POLIPROPILENO, PARA TUBOS EM PEAD, 32 X 32 MM, PARA LIGAÇÃO PREDIAL DE ÁGUA. AF_06/2022</t>
  </si>
  <si>
    <t>104053</t>
  </si>
  <si>
    <t>UNIÃO, POLIPROPILENO, PARA TUBOS EM PEAD, 20 MM, PARA LIGAÇÃO PREDIAL DE ÁGUA. AF_06/2022</t>
  </si>
  <si>
    <t>104054</t>
  </si>
  <si>
    <t>UNIÃO, POLIPROPILENO, PARA TUBOS EM PEAD, 32 MM, PARA LIGAÇÃO PREDIAL DE ÁGUA. AF_06/2022</t>
  </si>
  <si>
    <t>104055</t>
  </si>
  <si>
    <t>REGISTRO ESFERA, PVC, DE PASSEIO, PARA POLIETILENO, 20 MM, PARA LIGAÇÃO PREDIAL DE ÁGUA. AF_06/2022</t>
  </si>
  <si>
    <t>104056</t>
  </si>
  <si>
    <t>REGISTRO ESFERA, PVC, COM ROSCA, 1/2", PARA LIGAÇÃO PREDIAL DE ÁGUA. AF_06/2022</t>
  </si>
  <si>
    <t>104058</t>
  </si>
  <si>
    <t>LUVA, PVC, ROSCÁVEL, 1/2", PARA LIGAÇÃO PREDIAL DE ÁGUA. AF_06/2022</t>
  </si>
  <si>
    <t>104059</t>
  </si>
  <si>
    <t>LUVA, PVC, ROSCÁVEL, 1", PARA LIGAÇÃO PREDIAL DE ÁGUA. AF_06/2022</t>
  </si>
  <si>
    <t>104060</t>
  </si>
  <si>
    <t>TUBO, PEAD, PE-80, DE = 20 MM X 2,3 MM, PARA LIGAÇÃO PREDIAL DE ÁGUA. AF_06/2022</t>
  </si>
  <si>
    <t>104061</t>
  </si>
  <si>
    <t>TUBO, PEAD, PE-80, DE = 32 MM X 3,0 MM, PARA LIGAÇÃO PREDIAL DE ÁGUA. AF_06/2022</t>
  </si>
  <si>
    <t>104112</t>
  </si>
  <si>
    <t>104114</t>
  </si>
  <si>
    <t>104116</t>
  </si>
  <si>
    <t>104118</t>
  </si>
  <si>
    <t>104120</t>
  </si>
  <si>
    <t>104122</t>
  </si>
  <si>
    <t>104062</t>
  </si>
  <si>
    <t>CURVA LONGA, 90 GRAUS, PVC OCRE, JUNTA ELÁSTICA, DN 100 MM, PARA COLETOR PREDIAL DE ESGOTO. AF_06/2022</t>
  </si>
  <si>
    <t>104063</t>
  </si>
  <si>
    <t>CURVA LONGA, 45 GRAUS, PVC OCRE, JUNTA ELÁSTICA, DN 100 MM, PARA COLETOR PREDIAL DE ESGOTO. AF_06/2022</t>
  </si>
  <si>
    <t>104064</t>
  </si>
  <si>
    <t>CURVA LONGA, 90 GRAUS, PVC OCRE, JUNTA ELÁSTICA, DN 150 MM, PARA COLETOR PREDIAL DE ESGOTO. AF_06/2022</t>
  </si>
  <si>
    <t>104065</t>
  </si>
  <si>
    <t>CURVA LONGA, 45 GRAUS, PVC OCRE, JUNTA ELÁSTICA, DN 150 MM, PARA COLETOR PREDIAL DE ESGOTO. AF_06/2022</t>
  </si>
  <si>
    <t>104072</t>
  </si>
  <si>
    <t>TÊ, PVC OCRE, JUNTA ELÁSTICA, DN 200 MM, PARA COLETOR PREDIAL DE ESGOTO. AF_06/2022</t>
  </si>
  <si>
    <t>104076</t>
  </si>
  <si>
    <t>SELIM, PVC OCRE, COM TRAVA, DN 125 X 100 MM OU 150 X 100 MM, PARA COLETOR PREDIAL DE ESGOTO. AF_06/2022</t>
  </si>
  <si>
    <t>104082</t>
  </si>
  <si>
    <t>PLUG, PVC OCRE, JUNTA ELÁSTICA, DN 100 MM, PARA COLETOR PREDIAL DE ESGOTO. AF_06/2022</t>
  </si>
  <si>
    <t>104083</t>
  </si>
  <si>
    <t>PLUG, PVC OCRE, JUNTA ELÁSTICA, DN 150 MM, PARA COLETOR PREDIAL DE ESGOTO. AF_06/2022</t>
  </si>
  <si>
    <t>104084</t>
  </si>
  <si>
    <t>CAP, PVC OCRE, JUNTA ELÁSTICA, DN 150 MM, PARA COLETOR PREDIAL DE ESGOTO. AF_06/2022</t>
  </si>
  <si>
    <t>104085</t>
  </si>
  <si>
    <t>TUBO, PVC OCRE, JUNTA ELÁSTICA, DN 100 MM, PARA COLETOR PREDIAL DE ESGOTO. AF_06/2022</t>
  </si>
  <si>
    <t>104086</t>
  </si>
  <si>
    <t>TUBO, PVC OCRE, JUNTA ELÁSTICA, DN 150 MM, PARA COLETOR PREDIAL DE ESGOTO. AF_06/2022</t>
  </si>
  <si>
    <t>104124</t>
  </si>
  <si>
    <t>104130</t>
  </si>
  <si>
    <t>104136</t>
  </si>
  <si>
    <t>104142</t>
  </si>
  <si>
    <t>104148</t>
  </si>
  <si>
    <t>104154</t>
  </si>
  <si>
    <t>5,74</t>
  </si>
  <si>
    <t>16,86</t>
  </si>
  <si>
    <t>20,35</t>
  </si>
  <si>
    <t>10,09</t>
  </si>
  <si>
    <t>27,77</t>
  </si>
  <si>
    <t>9,40</t>
  </si>
  <si>
    <t>104162</t>
  </si>
  <si>
    <t>PISO EM GRANILITE, MARMORITE OU GRANITINA EM AMBIENTES INTERNOS, COM ESPESSURA DE 8 MM, INCLUSO MISTURA EM BETONEIRA, COLOCAÇÃO DAS JUNTAS, APLICAÇÃO DO PISO, 4 POLIMENTOS COM POLITRIZ, ESTUCAMENTO, SELADOR E CERA. AF_06/2022</t>
  </si>
  <si>
    <t>16,39</t>
  </si>
  <si>
    <t>11,84</t>
  </si>
  <si>
    <t>31,94</t>
  </si>
  <si>
    <t>11,09</t>
  </si>
  <si>
    <t>22,60</t>
  </si>
  <si>
    <t>19,40</t>
  </si>
  <si>
    <t>10,08</t>
  </si>
  <si>
    <t>8,79</t>
  </si>
  <si>
    <t>1,99</t>
  </si>
  <si>
    <t>8,18</t>
  </si>
  <si>
    <t>8,19</t>
  </si>
  <si>
    <t>Pastilha de porcelana (2 x 2 cm) – Fornecimento e instalação</t>
  </si>
  <si>
    <t>Eletroduto de PEAD de 4"</t>
  </si>
  <si>
    <t>SF-03302</t>
  </si>
  <si>
    <t>SF-03303</t>
  </si>
  <si>
    <t>SF-03304</t>
  </si>
  <si>
    <t>SF-03305</t>
  </si>
  <si>
    <t>SF-03306</t>
  </si>
  <si>
    <t>SF-03307</t>
  </si>
  <si>
    <t>SF-03308</t>
  </si>
  <si>
    <t>SF-03309</t>
  </si>
  <si>
    <t>SF-03310</t>
  </si>
  <si>
    <t>SF-03311</t>
  </si>
  <si>
    <t>SF-03312</t>
  </si>
  <si>
    <t>SF-03313</t>
  </si>
  <si>
    <t>SF-03314</t>
  </si>
  <si>
    <t>SF-03315</t>
  </si>
  <si>
    <t>SF-03316</t>
  </si>
  <si>
    <t>SF-03317</t>
  </si>
  <si>
    <t>SF-03318</t>
  </si>
  <si>
    <t>SF-03319</t>
  </si>
  <si>
    <t>SF-03320</t>
  </si>
  <si>
    <t>SF-03321</t>
  </si>
  <si>
    <t>SF-03322</t>
  </si>
  <si>
    <t>SF-03323</t>
  </si>
  <si>
    <t>SF-03324</t>
  </si>
  <si>
    <t>SF-03325</t>
  </si>
  <si>
    <t>SF-03326</t>
  </si>
  <si>
    <t>SF-03327</t>
  </si>
  <si>
    <t>SF-03328</t>
  </si>
  <si>
    <t>SF-03329</t>
  </si>
  <si>
    <t>SF-03330</t>
  </si>
  <si>
    <t>SF-03331</t>
  </si>
  <si>
    <t>SF-03332</t>
  </si>
  <si>
    <t>SF-03333</t>
  </si>
  <si>
    <t>SF-03334</t>
  </si>
  <si>
    <t>SF-03335</t>
  </si>
  <si>
    <t>SF-03336</t>
  </si>
  <si>
    <t>SF-03337</t>
  </si>
  <si>
    <t>SF-03338</t>
  </si>
  <si>
    <t>SF-03339</t>
  </si>
  <si>
    <t>SF-03340</t>
  </si>
  <si>
    <t>SF-03341</t>
  </si>
  <si>
    <t>SF-03342</t>
  </si>
  <si>
    <t>SF-03343</t>
  </si>
  <si>
    <t>SF-03344</t>
  </si>
  <si>
    <t>SF-03345</t>
  </si>
  <si>
    <t>SF-03346</t>
  </si>
  <si>
    <t>SF-03347</t>
  </si>
  <si>
    <t>SF-03348</t>
  </si>
  <si>
    <t>SF-03349</t>
  </si>
  <si>
    <t>SF-03350</t>
  </si>
  <si>
    <t>SF-03351</t>
  </si>
  <si>
    <t>SF-03352</t>
  </si>
  <si>
    <t>SF-03353</t>
  </si>
  <si>
    <t>SF-03354</t>
  </si>
  <si>
    <t>SF-03355</t>
  </si>
  <si>
    <t>SF-03356</t>
  </si>
  <si>
    <t>SF-03357</t>
  </si>
  <si>
    <t>SF-03358</t>
  </si>
  <si>
    <t>SF-03359</t>
  </si>
  <si>
    <t>SF-03360</t>
  </si>
  <si>
    <t>SF-03361</t>
  </si>
  <si>
    <t>SF-03362</t>
  </si>
  <si>
    <t>SF-03363</t>
  </si>
  <si>
    <t>SF-03364</t>
  </si>
  <si>
    <t>SF-03365</t>
  </si>
  <si>
    <t>SF-03366</t>
  </si>
  <si>
    <t>SF-03367</t>
  </si>
  <si>
    <t>SF-03368</t>
  </si>
  <si>
    <t>SF-03369</t>
  </si>
  <si>
    <t>SF-03372</t>
  </si>
  <si>
    <t>SF-03373</t>
  </si>
  <si>
    <t>SF-03374</t>
  </si>
  <si>
    <t>SF-03375</t>
  </si>
  <si>
    <t>SF-03376</t>
  </si>
  <si>
    <t>SF-03377</t>
  </si>
  <si>
    <t>SF-03378</t>
  </si>
  <si>
    <t>SF-03379</t>
  </si>
  <si>
    <t>SF-03380</t>
  </si>
  <si>
    <t>SF-03381</t>
  </si>
  <si>
    <t>SF-03382</t>
  </si>
  <si>
    <t>SF-03383</t>
  </si>
  <si>
    <t>SF-03384</t>
  </si>
  <si>
    <t>SF-03385</t>
  </si>
  <si>
    <t>SF-03386</t>
  </si>
  <si>
    <t>SF-03387</t>
  </si>
  <si>
    <t>SF-03388</t>
  </si>
  <si>
    <t>SF-03389</t>
  </si>
  <si>
    <t>SF-03390</t>
  </si>
  <si>
    <t>SF-03391</t>
  </si>
  <si>
    <t>SF-03392</t>
  </si>
  <si>
    <t>SF-03393</t>
  </si>
  <si>
    <t>SF-03394</t>
  </si>
  <si>
    <t>SF-03395</t>
  </si>
  <si>
    <t>SF-03396</t>
  </si>
  <si>
    <t>SF-03397</t>
  </si>
  <si>
    <t>SF-03398</t>
  </si>
  <si>
    <t>SF-03399</t>
  </si>
  <si>
    <t>SF-03400</t>
  </si>
  <si>
    <t>Suporte para luminária de poste triplo</t>
  </si>
  <si>
    <t>Remoção de poste de iluminação</t>
  </si>
  <si>
    <t>Remoção de braço de iluminação</t>
  </si>
  <si>
    <t>Projeto Executivo de Iluminação Viária</t>
  </si>
  <si>
    <t>Eletroduto PEAD 1 1/2”(40mm)</t>
  </si>
  <si>
    <t>SUPORTE PARA 3 PÉTALAS PARA LUMINÁRIA DE ILUMINAÇÃO PÚBLICA</t>
  </si>
  <si>
    <t>AGETOP 3895</t>
  </si>
  <si>
    <t>Cabo de cobre multipolar, classe 5, isolação em EPR, 0,6/1 kV, 3x10,0mm² resistente a chama, livre de halogênios</t>
  </si>
  <si>
    <t>Eletroduto rígido roscável de aço galvanizado a fogo de 1”, tipo pesado</t>
  </si>
  <si>
    <t>Eletroduto rígido roscável de aço galvanizado a fogo de 1 1/2”, tipo pesado</t>
  </si>
  <si>
    <t>Quadro elétrico tipo TTA completo, para uso externo, com 11 disjuntores terminais, contemplando disjuntores, DPS, DR, etc., conforme especificação</t>
  </si>
  <si>
    <t>Quadro elétrico tipo TTA completo com 11 disjuntores terminais, contemplando disjuntores, DPS, DR, etc., conforme especificação</t>
  </si>
  <si>
    <t>Quadro elétrico tipo TTA completo com 06 disjuntores terminais, contemplando disjuntores, DPS, DR, etc., conforme especificação</t>
  </si>
  <si>
    <t>Quadro elétrico tipo TTA completo com 30 disjuntores terminais, contemplando disjuntores, DPS, DR, etc., conforme especificação</t>
  </si>
  <si>
    <t>Eletroduto rígido roscável de aço galvanizado a fogo de 3”, tipo pesado</t>
  </si>
  <si>
    <t>Eletroduto rígido roscável de aço galvanizado a fogo de 2”, tipo pesado</t>
  </si>
  <si>
    <t>Pini 16.111.000902.MAT</t>
  </si>
  <si>
    <t>Pini 16.111.000904.MAT</t>
  </si>
  <si>
    <t>Pini 16.111.000905.MAT</t>
  </si>
  <si>
    <t>Pini 16.111.000907.MAT</t>
  </si>
  <si>
    <t>Cabo de cobre multipolar, classe 5, isolação em EPR, 0,6/1 kV, 3x6,0mm² resistente a chama, livre de halogênios</t>
  </si>
  <si>
    <t>SUPORTE PARA 1 PÉTALA PARA LUMINÁRIA DE ILUMINAÇÃO PÚBLICA</t>
  </si>
  <si>
    <t>AGETOP 3893</t>
  </si>
  <si>
    <t>SUPORTE PARA 4 PÉTALAS PARA LUMINÁRIA DE ILUMINAÇÃO PÚBLICA</t>
  </si>
  <si>
    <t>AGETOP 3896</t>
  </si>
  <si>
    <t>Suporte para luminária de poste quádruplo</t>
  </si>
  <si>
    <t>8,40</t>
  </si>
  <si>
    <t>13,91</t>
  </si>
  <si>
    <t>25,88</t>
  </si>
  <si>
    <t>13,05</t>
  </si>
  <si>
    <t>11,70</t>
  </si>
  <si>
    <t>12,37</t>
  </si>
  <si>
    <t>13,30</t>
  </si>
  <si>
    <t>15,36</t>
  </si>
  <si>
    <t>7,99</t>
  </si>
  <si>
    <t>3,51</t>
  </si>
  <si>
    <t>3,70</t>
  </si>
  <si>
    <t>13,03</t>
  </si>
  <si>
    <t>16,31</t>
  </si>
  <si>
    <t>9,48</t>
  </si>
  <si>
    <t>6,66</t>
  </si>
  <si>
    <t>9,45</t>
  </si>
  <si>
    <t>49,18</t>
  </si>
  <si>
    <t>1,67</t>
  </si>
  <si>
    <t>29,48</t>
  </si>
  <si>
    <t>5,69</t>
  </si>
  <si>
    <t>1,01</t>
  </si>
  <si>
    <t>22,86</t>
  </si>
  <si>
    <t>14,38</t>
  </si>
  <si>
    <t>6,26</t>
  </si>
  <si>
    <t>18,50</t>
  </si>
  <si>
    <t>8,86</t>
  </si>
  <si>
    <t>10,44</t>
  </si>
  <si>
    <t>CAIXA ENTERRADA DISTRIBUIDORA DE VAZÃO (SUMIDOUROS MÚLTIPLOS), RETANGULAR, EM ALVENARIA COM TIJOLOS MACIÇOS, DIMENSÕES INTERNAS: 0,60 X 0,60 X H=0,50 M. AF_12/2020</t>
  </si>
  <si>
    <t>CAIXA ENTERRADA DISTRIBUIDORA DE VAZÃO (SUMIDOUROS MÚLTIPLOS), RETANGULAR, EM ALVENARIA COM BLOCOS DE CONCRETO, DIMENSÕES INTERNAS: 0,60 X 0,60 X H=0,50 M. AF_12/2020</t>
  </si>
  <si>
    <t>CAIXA ENTERRADA DISTRIBUIDORA DE VAZÃO (SUMIDOUROS MÚLTIPLOS), RETANGULAR, EM CONCRETO PRÉ-MOLDADO, DIMENSÕES INTERNAS: 0,60 X 0,60 X H=0,50 M. AF_12/2020</t>
  </si>
  <si>
    <t>21,28</t>
  </si>
  <si>
    <t>12,07</t>
  </si>
  <si>
    <t>38,77</t>
  </si>
  <si>
    <t>60,76</t>
  </si>
  <si>
    <t>25,48</t>
  </si>
  <si>
    <t>TUBO, CPVC, SOLDÁVEL, DN 42MM, INSTALADO EM RAMAL DE DISTRIBUIÇÃO DE ÁGUA - FORNECIMENTO E INSTALAÇÃO. AF_06/2022</t>
  </si>
  <si>
    <t>13,51</t>
  </si>
  <si>
    <t>22,18</t>
  </si>
  <si>
    <t>23,71</t>
  </si>
  <si>
    <t>TANQUE SÉPTICO RETANGULAR, EM ALVENARIA COM TIJOLOS CERÂMICOS MACIÇOS, DIMENSÕES INTERNAS: 1,0 X 2,0 X H=1,4 M, VOLUME ÚTIL: 2000 L (PARA 5 CONTRIBUINTES). AF_12/2020</t>
  </si>
  <si>
    <t>TANQUE SÉPTICO RETANGULAR, EM ALVENARIA COM TIJOLOS CERÂMICOS MACIÇOS, DIMENSÕES INTERNAS: 1,2 X 2,4 X H=1,6 M, VOLUME ÚTIL: 3456 L (PARA 13 CONTRIBUINTES). AF_12/2020</t>
  </si>
  <si>
    <t>TANQUE SÉPTICO RETANGULAR, EM ALVENARIA COM TIJOLOS CERÂMICOS MACIÇOS, DIMENSÕES INTERNAS: 1,4 X 3,2 X H=1,8 M, VOLUME ÚTIL: 6272 L (PARA 32 CONTRIBUINTES). AF_12/2020</t>
  </si>
  <si>
    <t>TANQUE SÉPTICO RETANGULAR, EM ALVENARIA COM TIJOLOS CERÂMICOS MACIÇOS, DIMENSÕES INTERNAS: 1,6 X 4,4 X H=1,8 M, VOLUME ÚTIL: 9856 L (PARA 68 CONTRIBUINTES). AF_12/2020</t>
  </si>
  <si>
    <t>TANQUE SÉPTICO RETANGULAR, EM ALVENARIA COM TIJOLOS CERÂMICOS MACIÇOS, DIMENSÕES INTERNAS: 1,6 X 4,8 X H=2,0 M, VOLUME ÚTIL: 12288 L (PARA 86 CONTRIBUINTES). AF_12/2020</t>
  </si>
  <si>
    <t>TANQUE SÉPTICO RETANGULAR, EM ALVENARIA COM TIJOLOS CERÂMICOS MACIÇOS, DIMENSÕES INTERNAS: 1,6 X 4,6 X H=2,4 M, VOLUME ÚTIL: 14720 L (PARA 105 CONTRIBUINTES). AF_12/2020</t>
  </si>
  <si>
    <t>FILTRO ANAERÓBIO RETANGULAR, EM ALVENARIA COM TIJOLOS CERÂMICOS MACIÇOS, DIMENSÕES INTERNAS: 0,8 X 1,2 X H=1,67 M, VOLUME ÚTIL: 1152 L (PARA 5 CONTRIBUINTES). AF_12/2020</t>
  </si>
  <si>
    <t>FILTRO ANAERÓBIO RETANGULAR, EM ALVENARIA COM TIJOLOS CERÂMICOS MACIÇOS, DIMENSÕES INTERNAS: 1,2 X 1,8 X H=1,67 M, VOLUME ÚTIL: 2592 L (PARA 13 CONTRIBUINTES). AF_12/2020</t>
  </si>
  <si>
    <t>FILTRO ANAERÓBIO RETANGULAR, EM ALVENARIA COM TIJOLOS CERÂMICOS MACIÇOS, DIMENSÕES INTERNAS: 1,4 X 3,0 X H=1,67 M, VOLUME ÚTIL: 5040 L (PARA 32 CONTRIBUINTES). AF_12/2020</t>
  </si>
  <si>
    <t>FILTRO ANAERÓBIO RETANGULAR, EM ALVENARIA COM TIJOLOS CERÂMICOS MACIÇOS, DIMENSÕES INTERNAS: 1,4 X 4,2 X H=1,67 M, VOLUME ÚTIL: 7056 L (PARA 67 CONTRIBUINTES). AF_12/2020</t>
  </si>
  <si>
    <t>FILTRO ANAERÓBIO RETANGULAR, EM ALVENARIA COM TIJOLOS CERÂMICOS MACIÇOS, DIMENSÕES INTERNAS: 1,6 X 4,6 X H=1,67 M, VOLUME ÚTIL: 8832 L (PARA 84 CONTRIBUINTES). AF_12/2020</t>
  </si>
  <si>
    <t>FILTRO ANAERÓBIO RETANGULAR, EM ALVENARIA COM TIJOLOS CERÂMICOS MACIÇOS, DIMENSÕES INTERNAS: 1,6 X 5,6 X H=1,67 M, VOLUME ÚTIL: 10752 L (PARA 103 CONTRIBUINTES). AF_12/2020</t>
  </si>
  <si>
    <t>SUMIDOURO RETANGULAR, EM ALVENARIA COM TIJOLOS CERÂMICOS MACIÇOS, DIMENSÕES INTERNAS: 0,8 X 1,4 X H=3,0 M, ÁREA DE INFILTRAÇÃO: 13,2 M² (PARA 5 CONTRIBUINTES). AF_12/2020</t>
  </si>
  <si>
    <t>SUMIDOURO RETANGULAR, EM ALVENARIA COM TIJOLOS CERÂMICOS MACIÇOS, DIMENSÕES INTERNAS: 1,0 X 3,0 X H=3,0 M, ÁREA DE INFILTRAÇÃO: 25 M² (PARA 10 CONTRIBUINTES). AF_12/2020</t>
  </si>
  <si>
    <t>SUMIDOURO RETANGULAR, EM ALVENARIA COM TIJOLOS CERÂMICOS MACIÇOS, DIMENSÕES INTERNAS: 1,6 X 3,4 X H=3,0 M, ÁREA DE INFILTRAÇÃO: 32,9 M² (PARA 13 CONTRIBUINTES). AF_12/2020</t>
  </si>
  <si>
    <t>SUMIDOURO RETANGULAR, EM ALVENARIA COM TIJOLOS CERÂMICOS MACIÇOS, DIMENSÕES INTERNAS: 1,6 X 5,8 X H=3,0 M, ÁREA DE INFILTRAÇÃO: 50 M² (PARA 20 CONTRIBUINTES). AF_12/2020</t>
  </si>
  <si>
    <t>TANQUE SÉPTICO RETANGULAR, EM ALVENARIA COM BLOCOS DE CONCRETO, DIMENSÕES INTERNAS: 1,0 X 2,0 X H=1,4 M, VOLUME ÚTIL: 2000 L (PARA 5 CONTRIBUINTES). AF_12/2020</t>
  </si>
  <si>
    <t>TANQUE SÉPTICO RETANGULAR, EM ALVENARIA COM BLOCOS DE CONCRETO, DIMENSÕES INTERNAS: 1,2 X 2,4 X H=1,6 M, VOLUME ÚTIL: 3456 L (PARA 13 CONTRIBUINTES). AF_12/2020</t>
  </si>
  <si>
    <t>TANQUE SÉPTICO RETANGULAR, EM ALVENARIA COM BLOCOS DE CONCRETO, DIMENSÕES INTERNAS: 1,4 X 3,2 X H=1,8 M, VOLUME ÚTIL: 6272 L (PARA 32 CONTRIBUINTES). AF_12/2020</t>
  </si>
  <si>
    <t>TANQUE SÉPTICO RETANGULAR, EM ALVENARIA COM BLOCOS DE CONCRETO, DIMENSÕES INTERNAS: 1,6 X 4,4 X H=1,8 M, VOLUME ÚTIL: 9856 L (PARA 68 CONTRIBUINTES). AF_12/2020</t>
  </si>
  <si>
    <t>TANQUE SÉPTICO RETANGULAR, EM ALVENARIA COM BLOCOS DE CONCRETO, DIMENSÕES INTERNAS: 1,6 X 4,8 X H=2,0 M, VOLUME ÚTIL: 12288 L (PARA 86 CONTRIBUINTES). AF_12/2020</t>
  </si>
  <si>
    <t>TANQUE SÉPTICO RETANGULAR, EM ALVENARIA COM BLOCOS DE CONCRETO, DIMENSÕES INTERNAS: 1,6 X 4,6 X H=2,4 M, VOLUME ÚTIL: 14720 L (PARA 105 CONTRIBUINTES). AF_12/2020</t>
  </si>
  <si>
    <t>FILTRO ANAERÓBIO RETANGULAR, EM ALVENARIA COM BLOCOS DE CONCRETO, DIMENSÕES INTERNAS: 0,8 X 1,2 X H=1,67 M, VOLUME ÚTIL: 1152 L (PARA 5 CONTRIBUINTES). AF_12/2020</t>
  </si>
  <si>
    <t>FILTRO ANAERÓBIO RETANGULAR, EM ALVENARIA COM BLOCOS DE CONCRETO, DIMENSÕES INTERNAS: 1,2 X 1,8 X H=1,67 M, VOLUME ÚTIL: 2592 L (PARA 13 CONTRIBUINTES). AF_12/2020</t>
  </si>
  <si>
    <t>FILTRO ANAERÓBIO RETANGULAR, EM ALVENARIA COM BLOCOS DE CONCRETO, DIMENSÕES INTERNAS: 1,4 X 3,0 X H=1,67 M, VOLUME ÚTIL: 5040 L (PARA 32 CONTRIBUINTES). AF_12/2020</t>
  </si>
  <si>
    <t>FILTRO ANAERÓBIO RETANGULAR, EM ALVENARIA COM BLOCOS DE CONCRETO, DIMENSÕES INTERNAS: 1,4 X 4,2 X H=1,67 M, VOLUME ÚTIL: 7056 L (PARA 67 CONTRIBUINTES). AF_12/2020</t>
  </si>
  <si>
    <t>FILTRO ANAERÓBIO RETANGULAR, EM ALVENARIA COM BLOCOS DE CONCRETO, DIMENSÕES INTERNAS: 1,6 X 4,6 X H=1,67 M, VOLUME ÚTIL: 8832 L (PARA 84 CONTRIBUINTES). AF_12/2020</t>
  </si>
  <si>
    <t>FILTRO ANAERÓBIO RETANGULAR, EM ALVENARIA COM BLOCOS DE CONCRETO, DIMENSÕES INTERNAS: 1,6 X 5,6 X H=1,67 M, VOLUME ÚTIL: 10752 L (PARA 103 CONTRIBUINTES). AF_12/2020</t>
  </si>
  <si>
    <t>SUMIDOURO RETANGULAR, EM ALVENARIA COM BLOCOS DE CONCRETO, DIMENSÕES INTERNAS: 0,8 X 1,4 X H=3,0 M, ÁREA DE INFILTRAÇÃO: 13,2 M² (PARA 5 CONTRIBUINTES). AF_12/2020</t>
  </si>
  <si>
    <t>SUMIDOURO RETANGULAR, EM ALVENARIA COM BLOCOS DE CONCRETO, DIMENSÕES INTERNAS: 1,0 X 3,0 X H=3,0 M, ÁREA DE INFILTRAÇÃO: 25 M² (PARA 10 CONTRIBUINTES). AF_12/2020</t>
  </si>
  <si>
    <t>SUMIDOURO RETANGULAR, EM ALVENARIA COM BLOCOS DE CONCRETO, DIMENSÕES INTERNAS: 1,6 X 3,4 X H=3,0 M, ÁREA DE INFILTRAÇÃO: 32,9 M² (PARA 13 CONTRIBUINTES). . AF_12/2020</t>
  </si>
  <si>
    <t>SUMIDOURO RETANGULAR, EM ALVENARIA COM BLOCOS DE CONCRETO, DIMENSÕES INTERNAS: 1,6 X 5,8 X H=3,0 M, ÁREA DE INFILTRAÇÃO: 50 M² (PARA 20 CONTRIBUINTES). . AF_12/2020</t>
  </si>
  <si>
    <t>22,53</t>
  </si>
  <si>
    <t>7,26</t>
  </si>
  <si>
    <t>10,23</t>
  </si>
  <si>
    <t>3,33</t>
  </si>
  <si>
    <t>19,14</t>
  </si>
  <si>
    <t>25,90</t>
  </si>
  <si>
    <t>2,32</t>
  </si>
  <si>
    <t>23,28</t>
  </si>
  <si>
    <t>10,35</t>
  </si>
  <si>
    <t>21,89</t>
  </si>
  <si>
    <t>14,49</t>
  </si>
  <si>
    <t>20,63</t>
  </si>
  <si>
    <t>32,55</t>
  </si>
  <si>
    <t>15,27</t>
  </si>
  <si>
    <t>25,65</t>
  </si>
  <si>
    <t>20,12</t>
  </si>
  <si>
    <t>16,49</t>
  </si>
  <si>
    <t>12,58</t>
  </si>
  <si>
    <t>11,04</t>
  </si>
  <si>
    <t>9,14</t>
  </si>
  <si>
    <t>19,57</t>
  </si>
  <si>
    <t>Pini 16.111.001104.MAT</t>
  </si>
  <si>
    <t>Pini 16.111.001103.MAT</t>
  </si>
  <si>
    <t>Pini  16.111.001102.MAT</t>
  </si>
  <si>
    <t>Pini  16.111.001105.MAT</t>
  </si>
  <si>
    <t>Pini  16.111.001101.MAT</t>
  </si>
  <si>
    <t>5,18</t>
  </si>
  <si>
    <t>1,87</t>
  </si>
  <si>
    <t>6,14</t>
  </si>
  <si>
    <t>13,47</t>
  </si>
  <si>
    <t>32,88</t>
  </si>
  <si>
    <t>58,68</t>
  </si>
  <si>
    <t>2,72</t>
  </si>
  <si>
    <t>7,53</t>
  </si>
  <si>
    <t>22,68</t>
  </si>
  <si>
    <t>18,09</t>
  </si>
  <si>
    <t>17,24</t>
  </si>
  <si>
    <t>3,35</t>
  </si>
  <si>
    <t>3,53</t>
  </si>
  <si>
    <t>8,48</t>
  </si>
  <si>
    <t>7,04</t>
  </si>
  <si>
    <t>5,36</t>
  </si>
  <si>
    <t>19,58</t>
  </si>
  <si>
    <t>24,07</t>
  </si>
  <si>
    <t>7,89</t>
  </si>
  <si>
    <t>2,67</t>
  </si>
  <si>
    <t>5,45</t>
  </si>
  <si>
    <t>16,64</t>
  </si>
  <si>
    <t>34,08</t>
  </si>
  <si>
    <t>28,39</t>
  </si>
  <si>
    <t>1,68</t>
  </si>
  <si>
    <t>7,10</t>
  </si>
  <si>
    <t>9,17</t>
  </si>
  <si>
    <t>17,33</t>
  </si>
  <si>
    <t>23,18</t>
  </si>
  <si>
    <t>8,03</t>
  </si>
  <si>
    <t>8,41</t>
  </si>
  <si>
    <t>7,07</t>
  </si>
  <si>
    <t>2,59</t>
  </si>
  <si>
    <t>8,17</t>
  </si>
  <si>
    <t>21,93</t>
  </si>
  <si>
    <t>24,22</t>
  </si>
  <si>
    <t>4,15</t>
  </si>
  <si>
    <t>37,64</t>
  </si>
  <si>
    <t>23,62</t>
  </si>
  <si>
    <t>104314</t>
  </si>
  <si>
    <t>TRAMA DE AÇO COMPOSTA POR TERÇAS PARA TELHADOS DE ATÉ 2 ÁGUAS PARA TELHA ONDULADA DE FIBROCIMENTO, METÁLICA, PLÁSTICA OU TERMOACÚSTICA, INCLUSO TRANSPORTE VERTICAL (EM KG). AF_07/2019</t>
  </si>
  <si>
    <t>17,99</t>
  </si>
  <si>
    <t>103795</t>
  </si>
  <si>
    <t>FABRICAÇÃO, MONTAGEM E DESMONTAGEM DE FÔRMA PARA ESCADA HIDRÁULICA, EM CHAPA DE MADEIRA COMPENSADA RESINADA, E = 17 MM, 3 UTILIZAÇÕES. AF_08/2022</t>
  </si>
  <si>
    <t>103796</t>
  </si>
  <si>
    <t>FABRICAÇÃO, MONTAGEM E DESMONTAGEM DE FÔRMA PARA BACIA DE DISSIPAÇÃO, EM MADEIRA SERRADA, E = 25 MM, 2 UTILIZAÇÕES. AF_08/2022</t>
  </si>
  <si>
    <t>103797</t>
  </si>
  <si>
    <t>ARMAÇÃO DE DESCIDA DÁGUA UTILIZANDO AÇO CA-60 DE 5 MM - MONTAGEM. AF_08/2022</t>
  </si>
  <si>
    <t>103798</t>
  </si>
  <si>
    <t>CONCRETAGEM DE DISSIPADOR DE ENERGIA, CONCRETO USINADO, FCK = 20 MPA, COM USO DE BOMBA - LANÇAMENTO, ADENSAMENTO E ACABAMENTO. AF_08/2022</t>
  </si>
  <si>
    <t>103799</t>
  </si>
  <si>
    <t>PEDRA DE MÃO FIXADA COM CONCRETO PARA BACIA DE DISSIPAÇÃO, 40% DE CONCRETO EM VOLUME, FCK = 20 MPA, COM USO DE JERICA E PREPARO EM BETONEIRA DE 600 L - AREIA, BRITA E PEDRA DE MÃO COMERCIAIS - LANÇAMENTO, ADENSAMENTO E ACABAMENTO. AF_08/2022</t>
  </si>
  <si>
    <t>103800</t>
  </si>
  <si>
    <t>PEDRA ARGAMASSADA COM CIMENTO E AREIA 1:3, 40% DE ARGAMASSA EM VOLUME - AREIA E PEDRA DE MÃO COMERCIAIS - FORNECIMENTO E ASSENTAMENTO. AF_08/2022</t>
  </si>
  <si>
    <t>103801</t>
  </si>
  <si>
    <t>CONCRETAGEM DE DISSIPADOR DE ENERGIA, FCK = 20 MPA, COM USO DE JERICAS E PREPARO EM BETONEIRA DE 600 L - AREIA E BRITA COMERCIAIS - LANÇAMENTO, ADENSAMENTO E ACABAMENTO. AF_08/2022</t>
  </si>
  <si>
    <t>103925</t>
  </si>
  <si>
    <t>ESCADA HIDRÁULICA, LARGURA ATÉ 1M, TIPO DESCIDA DÁGUA DE CORTE OU ATERRO EM DEGRAUS (DCD 02, 04 E DAD 02), EM CONCRETO USINADO, FCK = 20 MPA, LANÇADO COM BOMBA, INCLUINDO ARMAÇÃO, MATERIAIS E FÔRMAS (3 UTILIZAÇÕES). AF_08/2022</t>
  </si>
  <si>
    <t>103926</t>
  </si>
  <si>
    <t>ESCADA HIDRÁULICA, LARGURA DE 1 A 4,1 M, TIPO DESCIDA DÁGUA DE ATERRO EM DEGRAUS (DAD 04, 06, 08, 10, 12, 14, 16, 18), EM CONCRETO USINADO, FCK = 20 MPA, LANÇADO COM BOMBA, INCLUINDO ARMAÇÃO, MATERIAIS E FÔRMAS (3 UTILIZAÇÕES). AF_08/2022</t>
  </si>
  <si>
    <t>103928</t>
  </si>
  <si>
    <t>BACIA DE DISSIPAÇÃO, TIPO BACIA EM PEDRA DE MÃO ARGAMASSADA (DES 01, 02, 03, 04), LANÇADO MANUALMENTE, INCLUINDO MATERIAIS E FÔRMAS (2 UTILIZAÇÕES). AF_08/2022</t>
  </si>
  <si>
    <t>103929</t>
  </si>
  <si>
    <t>BACIA DE DISSIPAÇÃO, TIPO BACIA COM DENTES DE CONCRETO (01), COM PREPARO MANUAL, FCK = 20 MPA, LANÇADO MANUALMENTE, INCLUINDO MATERIAIS E FÔRMAS (2 UTILIZAÇÕES). AF_08/2022</t>
  </si>
  <si>
    <t>103930</t>
  </si>
  <si>
    <t>BACIA DE DISSIPAÇÃO, LARGURA ATÉ 1 M, TIPO BACIA EM PEDRA DE MÃO FIXADA COM CONCRETO (DEB 01, 02), COM PREPARO MANUAL, FCK = 20 MPA, LANÇADO MANUALMENTE, INCLUINDO MATERIAIS E FÔRMAS (2 UTILIZAÇÕES). AF_08/2022</t>
  </si>
  <si>
    <t>103931</t>
  </si>
  <si>
    <t>BACIA DE DISSIPAÇÃO, LARGURA DE 1 A 4 M, TIPO BACIA EM PEDRA DE MÃO FIXADA COM CONCRETO (DEB 03, 04, 05, 06), COM PREPARO MANUAL, FCK = 20 MPA, LANÇADO MANUALMENTE, INCLUINDO MATERIAIS E FÔRMAS (2 UTILIZAÇÕES). AF_08/2022</t>
  </si>
  <si>
    <t>103932</t>
  </si>
  <si>
    <t>BACIA DE DISSIPAÇÃO, LARGURA DE 4 A 9,2 M, TIPO BACIA EM PEDRA DE MÃO FIXADA COM CONCRETO (DEB 07, 08, 09, 10, 11, 12, 13), COM PREPARO MANUAL, FCK = 20 MPA, LANÇADO MANUALMENTE, INCLUINDO MATERIAIS E FÔRMAS (2 UTILIZAÇÕES). AF_08/2022</t>
  </si>
  <si>
    <t>103933</t>
  </si>
  <si>
    <t>DESCIDA D'ÁGUA RÁPIDA (DAR 03), EM CONCRETO USINADO, FCK = 20 MPA, LANÇADO COM BOMBA, INCLUINDO ARMAÇÃO, MATERIAIS E FÔRMAS (2 UTILIZAÇÕES). AF_08/2022</t>
  </si>
  <si>
    <t>26,45</t>
  </si>
  <si>
    <t>17,78</t>
  </si>
  <si>
    <t>26,44</t>
  </si>
  <si>
    <t>3,83</t>
  </si>
  <si>
    <t>1,32</t>
  </si>
  <si>
    <t>TUBO PVC, SERIE NORMAL, ESGOTO PREDIAL, DN 40 MM, FORNECIDO E INSTALADO EM RAMAL DE DESCARGA OU RAMAL DE ESGOTO SANITÁRIO. AF_08/2022</t>
  </si>
  <si>
    <t>TUBO PVC, SERIE NORMAL, ESGOTO PREDIAL, DN 50 MM, FORNECIDO E INSTALADO EM RAMAL DE DESCARGA OU RAMAL DE ESGOTO SANITÁRIO. AF_08/2022</t>
  </si>
  <si>
    <t>TUBO PVC, SERIE NORMAL, ESGOTO PREDIAL, DN 75 MM, FORNECIDO E INSTALADO EM RAMAL DE DESCARGA OU RAMAL DE ESGOTO SANITÁRIO. AF_08/2022</t>
  </si>
  <si>
    <t>TUBO PVC, SERIE NORMAL, ESGOTO PREDIAL, DN 100 MM, FORNECIDO E INSTALADO EM RAMAL DE DESCARGA OU RAMAL DE ESGOTO SANITÁRIO. AF_08/2022</t>
  </si>
  <si>
    <t>TUBO PVC, SERIE NORMAL, ESGOTO PREDIAL, DN 50 MM, FORNECIDO E INSTALADO EM PRUMADA DE ESGOTO SANITÁRIO OU VENTILAÇÃO. AF_08/2022</t>
  </si>
  <si>
    <t>TUBO PVC, SERIE NORMAL, ESGOTO PREDIAL, DN 75 MM, FORNECIDO E INSTALADO EM PRUMADA DE ESGOTO SANITÁRIO OU VENTILAÇÃO. AF_08/2022</t>
  </si>
  <si>
    <t>TUBO PVC, SERIE NORMAL, ESGOTO PREDIAL, DN 100 MM, FORNECIDO E INSTALADO EM PRUMADA DE ESGOTO SANITÁRIO OU VENTILAÇÃO. AF_08/2022</t>
  </si>
  <si>
    <t>TUBO PVC, SERIE NORMAL, ESGOTO PREDIAL, DN 100 MM, FORNECIDO E INSTALADO EM SUBCOLETOR AÉREO DE ESGOTO SANITÁRIO. AF_08/2022</t>
  </si>
  <si>
    <t>TUBO PVC, SERIE NORMAL, ESGOTO PREDIAL, DN 150 MM, FORNECIDO E INSTALADO EM SUBCOLETOR AÉREO DE ESGOTO SANITÁRIO. AF_08/2022</t>
  </si>
  <si>
    <t>TUBO, PVC, SOLDÁVEL, DN 25MM, INSTALADO EM DRENO DE AR-CONDICIONADO - FORNECIMENTO E INSTALAÇÃO. AF_08/2022</t>
  </si>
  <si>
    <t>TUBO, PPR, DN 25, CLASSE PN 20,  INSTALADO EM RAMAL OU SUB-RAMAL DE ÁGUA   FORNECIMENTO E INSTALAÇÃO. AF_08/2022</t>
  </si>
  <si>
    <t>TUBO, PPR, DN 25, CLASSE PN 25 INSTALADO EM RAMAL OU SUB-RAMAL DE ÁGUA   FORNECIMENTO E INSTALAÇÃO. AF_08/2022</t>
  </si>
  <si>
    <t>TUBO, PPR, DN 25, CLASSE PN 20,  INSTALADO EM RAMAL DE DISTRIBUIÇÃO DE ÁGUA   FORNECIMENTO E INSTALAÇÃO. AF_08/2022</t>
  </si>
  <si>
    <t>TUBO, PPR, DN 32, CLASSE PN 12,  INSTALADO EM RAMAL DE DISTRIBUIÇÃO DE ÁGUA   FORNECIMENTO E INSTALAÇÃO. AF_08/2022</t>
  </si>
  <si>
    <t>TUBO, PPR, DN 40, CLASSE PN 12,  INSTALADO EM RAMAL DE DISTRIBUIÇÃO DE ÁGUA   FORNECIMENTO E INSTALAÇÃO. AF_08/2022</t>
  </si>
  <si>
    <t>TUBO, PPR, DN 25, CLASSE PN 25,  INSTALADO EM RAMAL DE DISTRIBUIÇÃO DE ÁGUA   FORNECIMENTO E INSTALAÇÃO. AF_08/2022</t>
  </si>
  <si>
    <t>TUBO, PPR, DN 32, CLASSE PN 25,  INSTALADO EM RAMAL DE DISTRIBUIÇÃO DE ÁGUA   FORNECIMENTO E INSTALAÇÃO. AF_08/2022</t>
  </si>
  <si>
    <t>TUBO, PPR, DN 40, CLASSE PN 25,  INSTALADO EM RAMAL DE DISTRIBUIÇÃO DE ÁGUA   FORNECIMENTO E INSTALAÇÃO. AF_08/2022</t>
  </si>
  <si>
    <t>TUBO, PPR, DN 25, CLASSE PN 20,  INSTALADO EM PRUMADA DE ÁGUA   FORNECIMENTO E INSTALAÇÃO. AF_08/2022</t>
  </si>
  <si>
    <t>TUBO, PPR, DN 32, CLASSE PN 12,  INSTALADO EM PRUMADA DE ÁGUA   FORNECIMENTO E INSTALAÇÃO. AF_08/2022</t>
  </si>
  <si>
    <t>TUBO, PPR, DN 40, CLASSE PN 12,  INSTALADO EM PRUMADA DE ÁGUA   FORNECIMENTO E INSTALAÇÃO. AF_08/2022</t>
  </si>
  <si>
    <t>TUBO, PPR, DN 50, CLASSE PN 12,  INSTALADO EM PRUMADA DE ÁGUA   FORNECIMENTO E INSTALAÇÃO. AF_08/2022</t>
  </si>
  <si>
    <t>TUBO, PPR, DN 63, CLASSE PN 12,  INSTALADO EM PRUMADA DE ÁGUA   FORNECIMENTO E INSTALAÇÃO. AF_08/2022</t>
  </si>
  <si>
    <t>TUBO, PPR, DN 75, CLASSE PN 12,  INSTALADO EM PRUMADA DE ÁGUA   FORNECIMENTO E INSTALAÇÃO. AF_08/2022</t>
  </si>
  <si>
    <t>TUBO, PPR, DN 90, CLASSE PN 12,  INSTALADO EM PRUMADA DE ÁGUA   FORNECIMENTO E INSTALAÇÃO. AF_08/2022</t>
  </si>
  <si>
    <t>TUBO, PPR, DN 110, CLASSE PN 12,  INSTALADO EM PRUMADA DE ÁGUA   FORNECIMENTO E INSTALAÇÃO. AF_08/2022</t>
  </si>
  <si>
    <t>TUBO, PPR, DN 25, CLASSE PN 25,  INSTALADO EM PRUMADA DE ÁGUA   FORNECIMENTO E INSTALAÇÃO. AF_08/2022</t>
  </si>
  <si>
    <t>TUBO, PPR, DN 32, CLASSE PN 25,  INSTALADO EM PRUMADA DE ÁGUA   FORNECIMENTO E INSTALAÇÃO. AF_08/2022</t>
  </si>
  <si>
    <t>TUBO, PPR, DN 40, CLASSE PN 25,  INSTALADO EM PRUMADA DE ÁGUA   FORNECIMENTO E INSTALAÇÃO. AF_08/2022</t>
  </si>
  <si>
    <t>TUBO, PPR, DN 50, CLASSE PN 25,  INSTALADO EM PRUMADA DE ÁGUA   FORNECIMENTO E INSTALAÇÃO. AF_08/2022</t>
  </si>
  <si>
    <t>TUBO, PPR, DN 63, CLASSE PN 25,  INSTALADO EM PRUMADA DE ÁGUA   FORNECIMENTO E INSTALAÇÃO. AF_08/2022</t>
  </si>
  <si>
    <t>TUBO, PPR, DN 75, CLASSE PN 25,  INSTALADO EM PRUMADA DE ÁGUA   FORNECIMENTO E INSTALAÇÃO. AF_08/2022</t>
  </si>
  <si>
    <t>TUBO, PPR, DN 90, CLASSE PN 25,  INSTALADO EM PRUMADA DE ÁGUA   FORNECIMENTO E INSTALAÇÃO. AF_08/2022</t>
  </si>
  <si>
    <t>TUBO, PPR, DN 110, CLASSE PN 25,  INSTALADO EM PRUMADA DE ÁGUA   FORNECIMENTO E INSTALAÇÃO. AF_08/2022</t>
  </si>
  <si>
    <t>104194</t>
  </si>
  <si>
    <t>TUBO, PPR, DN 20, CLASSE PN20, INSTALADO EM RAMAL OU SUB-RAMAL DE ÁGUA - FORNECIMENTO E INSTALAÇÃO. AF_08/2022</t>
  </si>
  <si>
    <t>104195</t>
  </si>
  <si>
    <t>TUBO, PPR, DN 20, CLASSE PN25, INSTALADO EM RAMAL OU SUB-RAMAL DE ÁGUA - FORNECIMENTO E INSTALAÇÃO. AF_08/2022</t>
  </si>
  <si>
    <t>104315</t>
  </si>
  <si>
    <t>TUBO, PVC, SOLDÁVEL, DN 20 MM, INSTALADO EM DRENO DE AR CONDICIONADO - FORNECIMENTO E INSTALAÇÃO. AF_08/2022</t>
  </si>
  <si>
    <t>104316</t>
  </si>
  <si>
    <t>TUBO, PVC, SOLDÁVEL, DN 32 MM, INSTALADO EM DRENO DE AR CONDICIONADO - FORNECIMENTO E INSTALAÇÃO. AF_08/2022</t>
  </si>
  <si>
    <t>6,72</t>
  </si>
  <si>
    <t>9,83</t>
  </si>
  <si>
    <t>JOELHO 90 GRAUS, PVC, SERIE NORMAL, ESGOTO PREDIAL, DN 40 MM, JUNTA SOLDÁVEL, FORNECIDO E INSTALADO EM RAMAL DE DESCARGA OU RAMAL DE ESGOTO SANITÁRIO. AF_08/2022</t>
  </si>
  <si>
    <t>JOELHO 45 GRAUS, PVC, SERIE NORMAL, ESGOTO PREDIAL, DN 40 MM, JUNTA SOLDÁVEL, FORNECIDO E INSTALADO EM RAMAL DE DESCARGA OU RAMAL DE ESGOTO SANITÁRIO. AF_08/2022</t>
  </si>
  <si>
    <t>CURVA CURTA 90 GRAUS, PVC, SERIE NORMAL, ESGOTO PREDIAL, DN 40 MM, JUNTA SOLDÁVEL, FORNECIDO E INSTALADO EM RAMAL DE DESCARGA OU RAMAL DE ESGOTO SANITÁRIO. AF_08/2022</t>
  </si>
  <si>
    <t>CURVA LONGA 90 GRAUS, PVC, SERIE NORMAL, ESGOTO PREDIAL, DN 40 MM, JUNTA SOLDÁVEL, FORNECIDO E INSTALADO EM RAMAL DE DESCARGA OU RAMAL DE ESGOTO SANITÁRIO. AF_08/2022</t>
  </si>
  <si>
    <t>JOELHO 90 GRAUS, PVC, SERIE NORMAL, ESGOTO PREDIAL, DN 50 MM, JUNTA ELÁSTICA, FORNECIDO E INSTALADO EM RAMAL DE DESCARGA OU RAMAL DE ESGOTO SANITÁRIO. AF_08/2022</t>
  </si>
  <si>
    <t>JOELHO 45 GRAUS, PVC, SERIE NORMAL, ESGOTO PREDIAL, DN 50 MM, JUNTA ELÁSTICA, FORNECIDO E INSTALADO EM RAMAL DE DESCARGA OU RAMAL DE ESGOTO SANITÁRIO. AF_08/2022</t>
  </si>
  <si>
    <t>CURVA CURTA 90 GRAUS, PVC, SERIE NORMAL, ESGOTO PREDIAL, DN 50 MM, JUNTA ELÁSTICA, FORNECIDO E INSTALADO EM RAMAL DE DESCARGA OU RAMAL DE ESGOTO SANITÁRIO. AF_08/2022</t>
  </si>
  <si>
    <t>CURVA LONGA 90 GRAUS, PVC, SERIE NORMAL, ESGOTO PREDIAL, DN 50 MM, JUNTA ELÁSTICA, FORNECIDO E INSTALADO EM RAMAL DE DESCARGA OU RAMAL DE ESGOTO SANITÁRIO. AF_08/2022</t>
  </si>
  <si>
    <t>JOELHO 90 GRAUS, PVC, SERIE NORMAL, ESGOTO PREDIAL, DN 75 MM, JUNTA ELÁSTICA, FORNECIDO E INSTALADO EM RAMAL DE DESCARGA OU RAMAL DE ESGOTO SANITÁRIO. AF_08/2022</t>
  </si>
  <si>
    <t>JOELHO 45 GRAUS, PVC, SERIE NORMAL, ESGOTO PREDIAL, DN 75 MM, JUNTA ELÁSTICA, FORNECIDO E INSTALADO EM RAMAL DE DESCARGA OU RAMAL DE ESGOTO SANITÁRIO. AF_08/2022</t>
  </si>
  <si>
    <t>CURVA CURTA 90 GRAUS, PVC, SERIE NORMAL, ESGOTO PREDIAL, DN 75 MM, JUNTA ELÁSTICA, FORNECIDO E INSTALADO EM RAMAL DE DESCARGA OU RAMAL DE ESGOTO SANITÁRIO. AF_08/2022</t>
  </si>
  <si>
    <t>CURVA LONGA 90 GRAUS, PVC, SERIE NORMAL, ESGOTO PREDIAL, DN 75 MM, JUNTA ELÁSTICA, FORNECIDO E INSTALADO EM RAMAL DE DESCARGA OU RAMAL DE ESGOTO SANITÁRIO. AF_08/2022</t>
  </si>
  <si>
    <t>JOELHO 90 GRAUS, PVC, SERIE NORMAL, ESGOTO PREDIAL, DN 100 MM, JUNTA ELÁSTICA, FORNECIDO E INSTALADO EM RAMAL DE DESCARGA OU RAMAL DE ESGOTO SANITÁRIO. AF_08/2022</t>
  </si>
  <si>
    <t>JOELHO 45 GRAUS, PVC, SERIE NORMAL, ESGOTO PREDIAL, DN 100 MM, JUNTA ELÁSTICA, FORNECIDO E INSTALADO EM RAMAL DE DESCARGA OU RAMAL DE ESGOTO SANITÁRIO. AF_08/2022</t>
  </si>
  <si>
    <t>CURVA CURTA 90 GRAUS, PVC, SERIE NORMAL, ESGOTO PREDIAL, DN 100 MM, JUNTA ELÁSTICA, FORNECIDO E INSTALADO EM RAMAL DE DESCARGA OU RAMAL DE ESGOTO SANITÁRIO. AF_08/2022</t>
  </si>
  <si>
    <t>CURVA LONGA 90 GRAUS, PVC, SERIE NORMAL, ESGOTO PREDIAL, DN 100 MM, JUNTA ELÁSTICA, FORNECIDO E INSTALADO EM RAMAL DE DESCARGA OU RAMAL DE ESGOTO SANITÁRIO. AF_08/2022</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</si>
  <si>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</si>
  <si>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</si>
  <si>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LUVA DE CORRER, PVC, SERIE NORMAL, ESGOTO PREDIAL, DN 50 MM, JUNTA ELÁSTICA, FORNECIDO E INSTALADO EM RAMAL DE DESCARGA OU RAMAL DE ESGOTO SANITÁRIO. AF_08/2022</t>
  </si>
  <si>
    <t>LUVA SIMPLES, PVC, SERIE NORMAL, ESGOTO PREDIAL, DN 75 MM, JUNTA ELÁSTICA, FORNECIDO E INSTALADO EM RAMAL DE DESCARGA OU RAMAL DE ESGOTO SANITÁRIO. AF_08/2022</t>
  </si>
  <si>
    <t>LUVA DE CORRER, PVC, SERIE NORMAL, ESGOTO PREDIAL, DN 75 MM, JUNTA ELÁSTICA, FORNECIDO E INSTALADO EM RAMAL DE DESCARGA OU RAMAL DE ESGOTO SANITÁRIO. AF_08/2022</t>
  </si>
  <si>
    <t>LUVA SIMPLES, PVC, SERIE NORMAL, ESGOTO PREDIAL, DN 100 MM, JUNTA ELÁSTICA, FORNECIDO E INSTALADO EM RAMAL DE DESCARGA OU RAMAL DE ESGOTO SANITÁRIO. AF_08/2022</t>
  </si>
  <si>
    <t>LUVA DE CORRER, PVC, SERIE NORMAL, ESGOTO PREDIAL, DN 100 MM, JUNTA ELÁSTICA, FORNECIDO E INSTALADO EM RAMAL DE DESCARGA OU RAMAL DE ESGOTO SANITÁRIO. AF_08/2022</t>
  </si>
  <si>
    <t>TE, PVC, SERIE NORMAL, ESGOTO PREDIAL, DN 40 X 40 MM, JUNTA SOLDÁVEL, FORNECIDO E INSTALADO EM RAMAL DE DESCARGA OU RAMAL DE ESGOTO SANITÁRIO. AF_08/2022</t>
  </si>
  <si>
    <t>JUNÇÃO SIMPLES, PVC, SERIE NORMAL, ESGOTO PREDIAL, DN 40 MM, JUNTA SOLDÁVEL, FORNECIDO E INSTALADO EM RAMAL DE DESCARGA OU RAMAL DE ESGOTO SANITÁRIO. AF_08/2022</t>
  </si>
  <si>
    <t>TE, PVC, SERIE NORMAL, ESGOTO PREDIAL, DN 50 X 50 MM, JUNTA ELÁSTICA, FORNECIDO E INSTALADO EM RAMAL DE DESCARGA OU RAMAL DE ESGOTO SANITÁRIO. AF_08/2022</t>
  </si>
  <si>
    <t>JUNÇÃO SIMPLES, PVC, SERIE NORMAL, ESGOTO PREDIAL, DN 50 X 50 MM, JUNTA ELÁSTICA, FORNECIDO E INSTALADO EM RAMAL DE DESCARGA OU RAMAL DE ESGOTO SANITÁRIO. AF_08/2022</t>
  </si>
  <si>
    <t>TE, PVC, SERIE NORMAL, ESGOTO PREDIAL, DN 75 X 75 MM, JUNTA ELÁSTICA, FORNECIDO E INSTALADO EM RAMAL DE DESCARGA OU RAMAL DE ESGOTO SANITÁRIO. AF_08/2022</t>
  </si>
  <si>
    <t>JUNÇÃO SIMPLES, PVC, SERIE NORMAL, ESGOTO PREDIAL, DN 75 X 75 MM, JUNTA ELÁSTICA, FORNECIDO E INSTALADO EM RAMAL DE DESCARGA OU RAMAL DE ESGOTO SANITÁRIO. AF_08/2022</t>
  </si>
  <si>
    <t>TE, PVC, SERIE NORMAL, ESGOTO PREDIAL, DN 100 X 100 MM, JUNTA ELÁSTICA, FORNECIDO E INSTALADO EM RAMAL DE DESCARGA OU RAMAL DE ESGOTO SANITÁRIO. AF_08/2022</t>
  </si>
  <si>
    <t>JUNÇÃO SIMPLES, PVC, SERIE NORMAL, ESGOTO PREDIAL, DN 100 X 100 MM, JUNTA ELÁSTICA, FORNECIDO E INSTALADO EM RAMAL DE DESCARGA OU RAMAL DE ESGOTO SANITÁRIO. AF_08/2022</t>
  </si>
  <si>
    <t>JOELHO 90 GRAUS, PVC, SERIE NORMAL, ESGOTO PREDIAL, DN 50 MM, JUNTA ELÁSTICA, FORNECIDO E INSTALADO EM PRUMADA DE ESGOTO SANITÁRIO OU VENTILAÇÃO. AF_08/2022</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</si>
  <si>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</si>
  <si>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</si>
  <si>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</si>
  <si>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JOELHO 90 GRAUS, PVC, SERIE NORMAL, ESGOTO PREDIAL, DN 75 MM, JUNTA ELÁSTICA, FORNECIDO E INSTALADO EM PRUMADA DE ESGOTO SANITÁRIO OU VENTILAÇÃO. AF_08/2022</t>
  </si>
  <si>
    <t>JOELHO 45 GRAUS, PVC, SERIE NORMAL, ESGOTO PREDIAL, DN 75 MM, JUNTA ELÁSTICA, FORNECIDO E INSTALADO EM PRUMADA DE ESGOTO SANITÁRIO OU VENTILAÇÃO. AF_08/2022</t>
  </si>
  <si>
    <t>22,06</t>
  </si>
  <si>
    <t>CURVA CURTA 90 GRAUS, PVC, SERIE NORMAL, ESGOTO PREDIAL, DN 75 MM, JUNTA ELÁSTICA, FORNECIDO E INSTALADO EM PRUMADA DE ESGOTO SANITÁRIO OU VENTILAÇÃO. AF_08/2022</t>
  </si>
  <si>
    <t>CURVA LONGA 90 GRAUS, PVC, SERIE NORMAL, ESGOTO PREDIAL, DN 75 MM, JUNTA ELÁSTICA, FORNECIDO E INSTALADO EM PRUMADA DE ESGOTO SANITÁRIO OU VENTILAÇÃO. AF_08/2022</t>
  </si>
  <si>
    <t>JOELHO 90 GRAUS, PVC, SERIE NORMAL, ESGOTO PREDIAL, DN 100 MM, JUNTA ELÁSTICA, FORNECIDO E INSTALADO EM PRUMADA DE ESGOTO SANITÁRIO OU VENTILAÇÃO. AF_08/2022</t>
  </si>
  <si>
    <t>JOELHO 45 GRAUS, PVC, SERIE NORMAL, ESGOTO PREDIAL, DN 100 MM, JUNTA ELÁSTICA, FORNECIDO E INSTALADO EM PRUMADA DE ESGOTO SANITÁRIO OU VENTILAÇÃO. AF_08/2022</t>
  </si>
  <si>
    <t>CURVA CURTA 90 GRAUS, PVC, SERIE NORMAL, ESGOTO PREDIAL, DN 100 MM, JUNTA ELÁSTICA, FORNECIDO E INSTALADO EM PRUMADA DE ESGOTO SANITÁRIO OU VENTILAÇÃO. AF_08/2022</t>
  </si>
  <si>
    <t>CURVA LONGA 90 GRAUS, PVC, SERIE NORMAL, ESGOTO PREDIAL, DN 100 MM, JUNTA ELÁSTICA, FORNECIDO E INSTALADO EM PRUMADA DE ESGOTO SANITÁRIO OU VENTILAÇÃO. AF_08/2022</t>
  </si>
  <si>
    <t>LUVA SIMPLES, PVC, SERIE NORMAL, ESGOTO PREDIAL, DN 50 MM, JUNTA ELÁSTICA, FORNECIDO E INSTALADO EM PRUMADA DE ESGOTO SANITÁRIO OU VENTILAÇÃO. AF_08/2022</t>
  </si>
  <si>
    <t>LUVA DE CORRER, PVC, SERIE NORMAL, ESGOTO PREDIAL, DN 50 MM, JUNTA ELÁSTICA, FORNECIDO E INSTALADO EM PRUMADA DE ESGOTO SANITÁRIO OU VENTILAÇÃO. AF_08/2022</t>
  </si>
  <si>
    <t>LUVA SIMPLES, PVC, SERIE NORMAL, ESGOTO PREDIAL, DN 75 MM, JUNTA ELÁSTICA, FORNECIDO E INSTALADO EM PRUMADA DE ESGOTO SANITÁRIO OU VENTILAÇÃO. AF_08/2022</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</si>
  <si>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</si>
  <si>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</si>
  <si>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LUVA DE CORRER, PVC, SERIE NORMAL, ESGOTO PREDIAL, DN 100 MM, JUNTA ELÁSTICA, FORNECIDO E INSTALADO EM PRUMADA DE ESGOTO SANITÁRIO OU VENTILAÇÃO. AF_08/2022</t>
  </si>
  <si>
    <t>TE, PVC, SERIE NORMAL, ESGOTO PREDIAL, DN 50 X 50 MM, JUNTA ELÁSTICA, FORNECIDO E INSTALADO EM PRUMADA DE ESGOTO SANITÁRIO OU VENTILAÇÃO. AF_08/2022</t>
  </si>
  <si>
    <t>JUNÇÃO SIMPLES, PVC, SERIE NORMAL, ESGOTO PREDIAL, DN 50 X 50 MM, JUNTA ELÁSTICA, FORNECIDO E INSTALADO EM PRUMADA DE ESGOTO SANITÁRIO OU VENTILAÇÃO. AF_08/2022</t>
  </si>
  <si>
    <t>TE, PVC, SERIE NORMAL, ESGOTO PREDIAL, DN 75 X 75 MM, JUNTA ELÁSTICA, FORNECIDO E INSTALADO EM PRUMADA DE ESGOTO SANITÁRIO OU VENTILAÇÃO. AF_08/2022</t>
  </si>
  <si>
    <t>JUNÇÃO SIMPLES, PVC, SERIE NORMAL, ESGOTO PREDIAL, DN 75 X 75 MM, JUNTA ELÁSTICA, FORNECIDO E INSTALADO EM PRUMADA DE ESGOTO SANITÁRIO OU VENTILAÇÃO. AF_08/2022</t>
  </si>
  <si>
    <t>TE, PVC, SERIE NORMAL, ESGOTO PREDIAL, DN 100 X 100 MM, JUNTA ELÁSTICA, FORNECIDO E INSTALADO EM PRUMADA DE ESGOTO SANITÁRIO OU VENTILAÇÃO. AF_08/2022</t>
  </si>
  <si>
    <t>JUNÇÃO SIMPLES, PVC, SERIE NORMAL, ESGOTO PREDIAL, DN 100 X 100 MM, JUNTA ELÁSTICA, FORNECIDO E INSTALADO EM PRUMADA DE ESGOTO SANITÁRIO OU VENTILAÇÃO. AF_08/2022</t>
  </si>
  <si>
    <t>JOELHO 90 GRAUS, PVC, SERIE NORMAL, ESGOTO PREDIAL, DN 100 MM, JUNTA ELÁSTICA, FORNECIDO E INSTALADO EM SUBCOLETOR AÉREO DE ESGOTO SANITÁRIO. AF_08/2022</t>
  </si>
  <si>
    <t>JOELHO 45 GRAUS, PVC, SERIE NORMAL, ESGOTO PREDIAL, DN 100 MM, JUNTA ELÁSTICA, FORNECIDO E INSTALADO EM SUBCOLETOR AÉREO DE ESGOTO SANITÁRIO. AF_08/2022</t>
  </si>
  <si>
    <t>CURVA CURTA 90 GRAUS, PVC, SERIE NORMAL, ESGOTO PREDIAL, DN 100 MM, JUNTA ELÁSTICA, FORNECIDO E INSTALADO EM SUBCOLETOR AÉREO DE ESGOTO SANITÁRIO. AF_08/2022</t>
  </si>
  <si>
    <t>CURVA LONGA 90 GRAUS, PVC, SERIE NORMAL, ESGOTO PREDIAL, DN 100 MM, JUNTA ELÁSTICA, FORNECIDO E INSTALADO EM SUBCOLETOR AÉREO DE ESGOTO SANITÁRIO. AF_08/2022</t>
  </si>
  <si>
    <t>JOELHO 90 GRAUS, PVC, SERIE NORMAL, ESGOTO PREDIAL, DN 150 MM, JUNTA ELÁSTICA, FORNECIDO E INSTALADO EM SUBCOLETOR AÉREO DE ESGOTO SANITÁRIO. AF_08/2022</t>
  </si>
  <si>
    <t>JOELHO 45 GRAUS, PVC, SERIE NORMAL, ESGOTO PREDIAL, DN 150 MM, JUNTA ELÁSTICA, FORNECIDO E INSTALADO EM SUBCOLETOR AÉREO DE ESGOTO SANITÁRIO. AF_08/2022</t>
  </si>
  <si>
    <t>LUVA SIMPLES, PVC, SERIE NORMAL, ESGOTO PREDIAL, DN 100 MM, JUNTA ELÁSTICA, FORNECIDO E INSTALADO EM SUBCOLETOR AÉREO DE ESGOTO SANITÁRIO. AF_08/2022</t>
  </si>
  <si>
    <t>LUVA DE CORRER, PVC, SERIE NORMAL, ESGOTO PREDIAL, DN 100 MM, JUNTA ELÁSTICA, FORNECIDO E INSTALADO EM SUBCOLETOR AÉREO DE ESGOTO SANITÁRIO. AF_08/2022</t>
  </si>
  <si>
    <t>TE, PVC, SERIE NORMAL, ESGOTO PREDIAL, DN 100 X 100 MM, JUNTA ELÁSTICA, FORNECIDO E INSTALADO EM SUBCOLETOR AÉREO DE ESGOTO SANITÁRIO. AF_08/2022</t>
  </si>
  <si>
    <t>JUNÇÃO SIMPLES, PVC, SERIE NORMAL, ESGOTO PREDIAL, DN 100 X 100 MM, JUNTA ELÁSTICA, FORNECIDO E INSTALADO EM SUBCOLETOR AÉREO DE ESGOTO SANITÁRIO. AF_08/2022</t>
  </si>
  <si>
    <t>JOELHO 90 GRAUS, PVC, SOLDÁVEL, DN 25MM, INSTALADO EM DRENO DE AR-CONDICIONADO - FORNECIMENTO E INSTALAÇÃO. AF_08/2022</t>
  </si>
  <si>
    <t>JOELHO 45 GRAUS, PVC, SOLDÁVEL, DN 25MM, INSTALADO EM DRENO DE AR-CONDICIONADO - FORNECIMENTO E INSTALAÇÃO. AF_08/2022</t>
  </si>
  <si>
    <t>LUVA, PVC, SOLDÁVEL, DN 25MM, INSTALADO EM DRENO DE AR-CONDICIONADO - FORNECIMENTO E INSTALAÇÃO. AF_08/2022</t>
  </si>
  <si>
    <t>TE, PVC, SOLDÁVEL, DN 25MM, INSTALADO EM DRENO DE AR-CONDICIONADO - FORNECIMENTO E INSTALAÇÃO. AF_08/2022</t>
  </si>
  <si>
    <t>11,34</t>
  </si>
  <si>
    <t>LUVA SIMPLES, PVC, SÉRIE NORMAL, ESGOTO PREDIAL, DN 150 MM, JUNTA ELÁSTICA, FORNECIDO E INSTALADO EM SUBCOLETOR AÉREO DE ESGOTO SANITÁRIO. AF_08/2022</t>
  </si>
  <si>
    <t>JOELHO 90 GRAUS, PPR, DN 25 MM, CLASSE PN 25, INSTALADO EM RAMAL OU SUB-RAMAL DE ÁGUA   FORNECIMENTO E INSTALAÇÃO. AF_08/2022</t>
  </si>
  <si>
    <t>JOELHO 45 GRAUS, PPR, DN 25 MM, CLASSE PN 25, INSTALADO EM RAMAL OU SUB-RAMAL DE ÁGUA   FORNECIMENTO E INSTALAÇÃO. AF_08/2022</t>
  </si>
  <si>
    <t>LUVA, PPR, DN 25 MM, CLASSE PN 25, INSTALADO EM RAMAL OU SUB-RAMAL DE ÁGUA   FORNECIMENTO E INSTALAÇÃO. AF_08/2022</t>
  </si>
  <si>
    <t>CONECTOR MACHO, PPR, 25 X 1/2  , CLASSE PN 25, INSTALADO EM RAMAL OU SUB-RAMAL DE ÁGUA   FORNECIMENTO E INSTALAÇÃO. AF_08/2022</t>
  </si>
  <si>
    <t>CONECTOR FÊMEA, PPR, 25 X 1/2  , CLASSE PN 25, INSTALADO EM RAMAL OU SUB-RAMAL DE ÁGUA   FORNECIMENTO E INSTALAÇÃO. AF_08/2022</t>
  </si>
  <si>
    <t>TÊ NORMAL, PPR, DN 25 MM, CLASSE PN 25, INSTALADO EM RAMAL OU SUB-RAMAL DE ÁGUA   FORNECIMENTO E INSTALAÇÃO. AF_08/2022</t>
  </si>
  <si>
    <t>TÊ MISTURADOR, PPR, 25 X 3/4   , CLASSE PN 25, INSTALADO EM RAMAL OU SUB-RAMAL DE ÁGUA   FORNECIMENTO E INSTALAÇÃO. AF_08/2022</t>
  </si>
  <si>
    <t>JOELHO 90 GRAUS, PPR, DN 25 MM, CLASSE PN 25, INSTALADO EM RAMAL DE DISTRIBUIÇÃO   FORNECIMENTO E INSTALAÇÃO. AF_08/2022</t>
  </si>
  <si>
    <t>JOELHO 45 GRAUS, PPR, DN 25 MM, CLASSE PN 25, INSTALADO EM RAMAL DE DISTRIBUIÇÃO DE ÁGUA   FORNECIMENTO E INSTALAÇÃO. AF_08/2022</t>
  </si>
  <si>
    <t>JOELHO 90 GRAUS, PPR, DN 32 MM, CLASSE PN 25, INSTALADO EM RAMAL DE DISTRIBUIÇÃO - FORNECIMENTO E INSTALAÇÃO. AF_08/2022</t>
  </si>
  <si>
    <t>JOELHO 45 GRAUS, PPR, DN 32 MM, CLASSE PN 25, INSTALADO EM RAMAL DE DISTRIBUIÇÃO DE ÁGUA - FORNECIMENTO E INSTALAÇÃO. AF_08/2022</t>
  </si>
  <si>
    <t>JOELHO 90 GRAUS, PPR, DN 40 MM, CLASSE PN 25, INSTALADO EM RAMAL DE DISTRIBUIÇÃO - FORNECIMENTO E INSTALAÇÃO. AF_08/2022</t>
  </si>
  <si>
    <t>JOELHO 45 GRAUS, PPR, DN 40 MM, CLASSE PN 25, INSTALADO EM RAMAL DE DISTRIBUIÇÃO DE ÁGUA - FORNECIMENTO E INSTALAÇÃO. AF_08/2022</t>
  </si>
  <si>
    <t>LUVA, PPR, DN 25 MM, CLASSE PN 25, INSTALADO EM RAMAL DE DISTRIBUIÇÃO DE ÁGUA   FORNECIMENTO E INSTALAÇÃO. AF_08/2022</t>
  </si>
  <si>
    <t>CONECTOR MACHO, PPR, 25 X 1/2, CLASSE PN 25, INSTALADO EM RAMAL DE DISTRIBUIÇÃO DE ÁGUA   FORNECIMENTO E INSTALAÇÃO. AF_08/2022</t>
  </si>
  <si>
    <t>CONECTOR FÊMEA, PPR, 25 X 1/2  , CLASSE PN 25, INSTALADO EM RAMAL DE DISTRIBUIÇÃO DE ÁGUA   FORNECIMENTO E INSTALAÇÃO. AF_08/2022</t>
  </si>
  <si>
    <t>LUVA, PPR, DN 32 MM, CLASSE PN 25, INSTALADO EM RAMAL DE DISTRIBUIÇÃO DE ÁGUA   FORNECIMENTO E INSTALAÇÃO. AF_08/2022</t>
  </si>
  <si>
    <t>CONECTOR MACHO, PPR, 32 X 3/4, CLASSE PN 25, INSTALADO EM RAMAL DE DISTRIBUIÇÃO DE ÁGUA   FORNECIMENTO E INSTALAÇÃO. AF_08/2022</t>
  </si>
  <si>
    <t>CONECTOR FÊMEA, PPR, 32 X 3/4, CLASSE PN 25, INSTALADO EM RAMAL DE DISTRIBUIÇÃO DE ÁGUA   FORNECIMENTO E INSTALAÇÃO. AF_08/2022</t>
  </si>
  <si>
    <t>BUCHA DE REDUÇÃO, PPR, 32 X 25, CLASSE PN 25, INSTALADO EM RAMAL DE DISTRIBUIÇÃO DE ÁGUA   FORNECIMENTO E INSTALAÇÃO. AF_08/2022</t>
  </si>
  <si>
    <t>LUVA, PPR, DN 40 MM, CLASSE PN 25, INSTALADO EM RAMAL DE DISTRIBUIÇÃO DE ÁGUA   FORNECIMENTO E INSTALAÇÃO. AF_08/2022</t>
  </si>
  <si>
    <t>BUCHA DE REDUÇÃO, PPR, 40 X 25, CLASSE PN 25, INSTALADO EM RAMAL DE DISTRIBUIÇÃO DE ÁGUA   FORNECIMENTO E INSTALAÇÃO. AF_08/2022</t>
  </si>
  <si>
    <t>TÊ NORMAL, PPR, DN 25 MM, CLASSE PN 25, INSTALADO EM RAMAL DE DISTRIBUIÇÃO DE ÁGUA   FORNECIMENTO E INSTALAÇÃO. AF_08/2022</t>
  </si>
  <si>
    <t>TÊ NORMAL, PPR, DN 32 MM, CLASSE PN 25, INSTALADO EM RAMAL DE DISTRIBUIÇÃO DE ÁGUA   FORNECIMENTO E INSTALAÇÃO. AF_08/2022</t>
  </si>
  <si>
    <t>TÊ NORMAL, PPR, DN 40 MM, CLASSE PN 25, INSTALADO EM RAMAL DE DISTRIBUIÇÃO DE ÁGUA   FORNECIMENTO E INSTALAÇÃO. AF_08/2022</t>
  </si>
  <si>
    <t>JOELHO 90 GRAUS, PPR, DN 25 MM, CLASSE PN 25, INSTALADO EM PRUMADA DE ÁGUA   FORNECIMENTO E INSTALAÇÃO . AF_08/2022</t>
  </si>
  <si>
    <t>JOELHO 45 GRAUS, PPR, DN 25 MM, CLASSE PN 25, INSTALADO EM PRUMADA DE ÁGUA   FORNECIMENTO E INSTALAÇÃO . AF_08/2022</t>
  </si>
  <si>
    <t>JOELHO 90 GRAUS, PPR, DN 32 MM, CLASSE PN 25, INSTALADO EM PRUMADA DE ÁGUA   FORNECIMENTO E INSTALAÇÃO . AF_08/2022</t>
  </si>
  <si>
    <t>JOELHO 45 GRAUS, PPR, DN 32 MM, CLASSE PN 25, INSTALADO EM PRUMADA DE ÁGUA   FORNECIMENTO E INSTALAÇÃO . AF_08/2022</t>
  </si>
  <si>
    <t>JOELHO 90 GRAUS, PPR, DN 40 MM, CLASSE PN 25, INSTALADO EM PRUMADA DE ÁGUA   FORNECIMENTO E INSTALAÇÃO . AF_08/2022</t>
  </si>
  <si>
    <t>JOELHO 45 GRAUS, PPR, DN 40 MM, CLASSE PN 25, INSTALADO EM PRUMADA DE ÁGUA   FORNECIMENTO E INSTALAÇÃO . AF_08/2022</t>
  </si>
  <si>
    <t>JOELHO 90 GRAUS, PPR, DN 50 MM, CLASSE PN 25, INSTALADO EM PRUMADA DE ÁGUA   FORNECIMENTO E INSTALAÇÃO . AF_08/2022</t>
  </si>
  <si>
    <t>JOELHO 45 GRAUS, PPR, DN 50 MM, CLASSE PN 25, INSTALADO EM PRUMADA DE ÁGUA   FORNECIMENTO E INSTALAÇÃO . AF_08/2022</t>
  </si>
  <si>
    <t>JOELHO 90 GRAUS, PPR, DN 63 MM, CLASSE PN 25, INSTALADO EM PRUMADA DE ÁGUA   FORNECIMENTO E INSTALAÇÃO . AF_08/2022</t>
  </si>
  <si>
    <t>JOELHO 45 GRAUS, PPR, DN 63 MM, CLASSE PN 25, INSTALADO EM PRUMADA DE ÁGUA   FORNECIMENTO E INSTALAÇÃO . AF_08/2022</t>
  </si>
  <si>
    <t>JOELHO 90 GRAUS, PPR, DN 75 MM, CLASSE PN 25, INSTALADO EM PRUMADA DE ÁGUA   FORNECIMENTO E INSTALAÇÃO . AF_08/2022</t>
  </si>
  <si>
    <t>JOELHO 45 GRAUS, PPR, DN 75 MM, CLASSE PN 25, INSTALADO EM PRUMADA DE ÁGUA   FORNECIMENTO E INSTALAÇÃO . AF_08/2022</t>
  </si>
  <si>
    <t>JOELHO 90 GRAUS, PPR, DN 90 MM, CLASSE PN 25, INSTALADO EM PRUMADA DE ÁGUA   FORNECIMENTO E INSTALAÇÃO . AF_08/2022</t>
  </si>
  <si>
    <t>JOELHO 90 GRAUS, PPR, DN 110 MM, CLASSE PN 25, INSTALADO EM PRUMADA DE ÁGUA   FORNECIMENTO E INSTALAÇÃO . AF_08/2022</t>
  </si>
  <si>
    <t>LUVA, PPR, DN 25 MM, CLASSE PN 25, INSTALADO EM PRUMADA DE ÁGUA   FORNECIMENTO E INSTALAÇÃO . AF_08/2022</t>
  </si>
  <si>
    <t>CONECTOR MACHO, PPR, 25 X 1/2, CLASSE PN 25, INSTALADO EM PRUMADA DE ÁGUA   FORNECIMENTO E INSTALAÇÃO . AF_08/2022</t>
  </si>
  <si>
    <t>CONECTOR FÊMEA, PPR, 25 X 1/2, CLASSE PN 25, INSTALADO EM PRUMADA DE ÁGUA   FORNECIMENTO E INSTALAÇÃO . AF_08/2022</t>
  </si>
  <si>
    <t>LUVA, PPR, DN 32 MM, CLASSE PN 25, INSTALADO EM PRUMADA DE ÁGUA   FORNECIMENTO E INSTALAÇÃO. AF_08/2022</t>
  </si>
  <si>
    <t>BUCHA DE REDUÇÃO, PPR, 32 X 25, CLASSE PN 25, INSTALADO EM PRUMADA DE ÁGUA   FORNECIMENTO E INSTALAÇÃO . AF_08/2022</t>
  </si>
  <si>
    <t>LUVA, PPR, DN 40 MM, CLASSE PN 25, INSTALADO EM PRUMADA DE ÁGUA   FORNECIMENTO E INSTALAÇÃO. AF_08/2022</t>
  </si>
  <si>
    <t>BUCHA DE REDUÇÃO, PPR, 40 X 25, CLASSE PN 25, INSTALADO EM PRUMADA DE ÁGUA   FORNECIMENTO E INSTALAÇÃO .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</si>
  <si>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</si>
  <si>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</si>
  <si>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</si>
  <si>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LUVA, PPR, DN 90 MM, CLASSE PN 25, INSTALADO EM PRUMADA DE ÁGUA   FORNECIMENTO E INSTALAÇÃO. AF_08/2022</t>
  </si>
  <si>
    <t>LUVA, PPR, DN 110 MM, CLASSE PN 25, INSTALADO EM PRUMADA DE ÁGUA   FORNECIMENTO E INSTALAÇÃO. AF_08/2022</t>
  </si>
  <si>
    <t>TÊ NORMAL, PPR, DN 25 MM, CLASSE PN 25, INSTALADO EM PRUMADA DE ÁGUA   FORNECIMENTO E INSTALAÇÃO . AF_08/2022</t>
  </si>
  <si>
    <t>TÊ NORMAL, PPR, DN 32 MM, CLASSE PN 25, INSTALADO EM PRUMADA DE ÁGUA   FORNECIMENTO E INSTALAÇÃO . AF_08/2022</t>
  </si>
  <si>
    <t>TÊ NORMAL, PPR, DN 40 MM, CLASSE PN 25, INSTALADO EM PRUMADA DE ÁGUA   FORNECIMENTO E INSTALAÇÃO . AF_08/2022</t>
  </si>
  <si>
    <t>TÊ NORMAL, PPR, DN 50 MM, CLASSE PN 25, INSTALADO EM PRUMADA DE ÁGUA   FORNECIMENTO E INSTALAÇÃO . AF_08/2022</t>
  </si>
  <si>
    <t>TÊ NORMAL, PPR, DN 63 MM, CLASSE PN 25, INSTALADO EM PRUMADA DE ÁGUA   FORNECIMENTO E INSTALAÇÃO . AF_08/2022</t>
  </si>
  <si>
    <t>TÊ NORMAL, PPR, DN 75 MM, CLASSE PN 25, INSTALADO EM PRUMADA DE ÁGUA   FORNECIMENTO E INSTALAÇÃO . AF_08/2022</t>
  </si>
  <si>
    <t>TÊ NORMAL, PPR, DN 90 MM, CLASSE PN 25, INSTALADO EM PRUMADA DE ÁGUA   FORNECIMENTO E INSTALAÇÃO . AF_08/2022</t>
  </si>
  <si>
    <t>TÊ NORMAL, PPR, DN 110 MM, CLASSE PN 25, INSTALADO EM PRUMADA DE ÁGUA   FORNECIMENTO E INSTALAÇÃO . AF_08/2022</t>
  </si>
  <si>
    <t>30,48</t>
  </si>
  <si>
    <t>11,01</t>
  </si>
  <si>
    <t>27,23</t>
  </si>
  <si>
    <t>104191</t>
  </si>
  <si>
    <t>BUCHA DE REDUÇÃO, PPR, DN 25 X 20 MM, INSTALADO EM RAMAL OU SUB-RAMAL DE ÁGUA - FORNECIMENTO E INSTALAÇÃO. AF_08/2022</t>
  </si>
  <si>
    <t>104192</t>
  </si>
  <si>
    <t>TÊ MISTURADOR, PPR, F M M, DN 25 X 25 MM, INSTALADO EM RAMAL OU SUB-RAMAL DE ÁGUA - FORNECIMENTO E INSTALAÇÃO. AF_08/2022</t>
  </si>
  <si>
    <t>104193</t>
  </si>
  <si>
    <t>JOELHO 45 GRAUS, PPR, F/ F, DN 90 MM, INSTALADO EM PRUMADA DE ÁGUA - FORNECIMENTO E INSTALAÇÃO. AF_08/2022</t>
  </si>
  <si>
    <t>104196</t>
  </si>
  <si>
    <t>CURVA 90 GRAUS, PPR, DN 20 MM, INSTALADO EM RAMAL OU SUB-RAMAL DE ÁGUA - FORNECIMENTO E INSTALAÇÃO. AF_08/2022</t>
  </si>
  <si>
    <t>104197</t>
  </si>
  <si>
    <t>CURVA 90 GRAUS, PPR, DN 25 MM, INSTALADO EM RAMAL OU SUB-RAMAL DE ÁGUA - FORNECIMENTO E INSTALAÇÃO. AF_08/2022</t>
  </si>
  <si>
    <t>104198</t>
  </si>
  <si>
    <t>JOELHO 45 GRAUS, PPR, DN 20 MM, INSTALADO EM RAMAL OU SUB-RAMAL DE ÁGUA - FORNECIMENTO E INSTALAÇÃO. AF_08/2022</t>
  </si>
  <si>
    <t>104199</t>
  </si>
  <si>
    <t>JOELHO 90 GRAUS, PPR, DN 20 MM, INSTALADO EM RAMAL OU SUB-RAMAL DE ÁGUA - FORNECIMENTO E INSTALAÇÃO. AF_08/2022</t>
  </si>
  <si>
    <t>104200</t>
  </si>
  <si>
    <t>LUVA, PPR, DN 20 MM, INSTALADO EM RAMAL OU SUB-RAMAL DE ÁGUA - FORNECIMENTO E INSTALAÇÃO. AF_08/2022</t>
  </si>
  <si>
    <t>104201</t>
  </si>
  <si>
    <t>TÊ MISTURADOR, PPR, F M M, DN 20 X 20 MM, INSTALADO EM RAMAL OU SUB-RAMAL DE ÁGUA - FORNECIMENTO E INSTALAÇÃO. AF_08/2022</t>
  </si>
  <si>
    <t>104202</t>
  </si>
  <si>
    <t>TÊ NORMAL, PPR, 90 GRAUS, DN 20 X 20 X 20 MM, INSTALADO EM RAMAL OU SUB-RAMAL DE ÁGUA - FORNECIMENTO E INSTALAÇÃO. AF_08/2022</t>
  </si>
  <si>
    <t>104317</t>
  </si>
  <si>
    <t>JOELHO 90 GRAUS, PVC, SOLDÁVEL, DN 20 MM, INSTALADO EM DRENO DE AR CONDICIONADO - FORNECIMENTO E INSTALAÇÃO. AF_08/2022</t>
  </si>
  <si>
    <t>104318</t>
  </si>
  <si>
    <t>JOELHO 45 GRAUS, PVC, SOLDÁVEL, DN 20 MM, INSTALADO EM DRENO DE AR CONDICIONADO - FORNECIMENTO E INSTALAÇÃO. AF_08/2022</t>
  </si>
  <si>
    <t>104319</t>
  </si>
  <si>
    <t>JOELHO 90 GRAUS, PVC, SOLDÁVEL, DN 32 MM, INSTALADO EM DRENO DE AR CONDICIONADO - FORNECIMENTO E INSTALAÇÃO. AF_08/2022</t>
  </si>
  <si>
    <t>104320</t>
  </si>
  <si>
    <t>JOELHO 45 GRAUS, PVC, SOLDÁVEL, DN 32 MM, INSTALADO EM DRENO DE AR CONDICIONADO - FORNECIMENTO E INSTALAÇÃO. AF_08/2022</t>
  </si>
  <si>
    <t>104321</t>
  </si>
  <si>
    <t>LUVA, PVC, SOLDÁVEL, DN 20 MM, INSTALADO EM DRENO DE AR CONDICIONADO - FORNECIMENTO E INSTALAÇÃO. AF_08/2022</t>
  </si>
  <si>
    <t>104322</t>
  </si>
  <si>
    <t>LUVA, PVC, SOLDÁVEL, DN 32 MM, INSTALADO EM DRENO DE AR CONDICIONADO - FORNECIMENTO E INSTALAÇÃO. AF_08/2022</t>
  </si>
  <si>
    <t>104323</t>
  </si>
  <si>
    <t>TE, PVC, SOLDÁVEL, DN 20 MM, INSTALADO EM DRENO DE AR CONDICIONADO - FORNECIMENTO E INSTALAÇÃO. AF_08/2022</t>
  </si>
  <si>
    <t>104324</t>
  </si>
  <si>
    <t>TE, PVC, SOLDÁVEL, DN 32 MM, INSTALADO EM DRENO DE AR CONDICIONADO - FORNECIMENTO E INSTALAÇÃO. AF_08/2022</t>
  </si>
  <si>
    <t>104341</t>
  </si>
  <si>
    <t>BUCHA DE REDUÇÃO LONGA, PVC, SÉRIE NORMAL, ESGOTO PREDIAL, DN 50 X 40 MM, JUNTA SOLDÁVEL E ELÁSTICA, FORNECIDO E INSTALADO EM RAMAL DE DESCARGA OU RAMAL DE ESGOTO SANITÁRIO. AF_08/2022</t>
  </si>
  <si>
    <t>104343</t>
  </si>
  <si>
    <t>JUNÇÃO DE REDUÇÃO INVERTIDA, PVC, SÉRIE NORMAL, ESGOTO PREDIAL, DN 75 X 50 MM, JUNTA ELÁSTICA, FORNECIDO E INSTALADO EM RAMAL DE DESCARGA OU RAMAL DE ESGOTO SANITÁRIO. AF_08/2022</t>
  </si>
  <si>
    <t>104344</t>
  </si>
  <si>
    <t>TE, PVC, SÉRIE NORMAL, ESGOTO PREDIAL, DN 100 X 50 MM, JUNTA ELÁSTICA, FORNECIDO E INSTALADO EM RAMAL DE DESCARGA OU RAMAL DE ESGOTO SANITÁRIO. AF_08/2022</t>
  </si>
  <si>
    <t>104345</t>
  </si>
  <si>
    <t>JUNÇÃO DE REDUÇÃO INVERTIDA, PVC, SÉRIE NORMAL, ESGOTO PREDIAL, DN 100 X 50 MM, JUNTA ELÁSTICA, FORNECIDO E INSTALADO EM RAMAL DE DESCARGA OU RAMAL DE ESGOTO SANITÁRIO. AF_08/2022</t>
  </si>
  <si>
    <t>104346</t>
  </si>
  <si>
    <t>TE, PVC, SÉRIE NORMAL, ESGOTO PREDIAL, DN 100 X 75 MM, JUNTA ELÁSTICA, FORNECIDO E INSTALADO EM RAMAL DE DESCARGA OU RAMAL DE ESGOTO SANITÁRIO. AF_08/2022</t>
  </si>
  <si>
    <t>104347</t>
  </si>
  <si>
    <t>JUNÇÃO DE REDUCAO INVERTIDA, PVC, SÉRIE NORMAL, ESGOTO PREDIAL, DN 100 X 75 MM, JUNTA ELÁSTICA, FORNECIDO E INSTALADO EM RAMAL DE DESCARGA OU RAMAL DE ESGOTO SANITÁRIO. AF_08/2022</t>
  </si>
  <si>
    <t>104348</t>
  </si>
  <si>
    <t>TERMINAL DE VENTILAÇÃO, PVC, SÉRIE NORMAL, ESGOTO PREDIAL, DN 50 MM, JUNTA SOLDÁVEL, FORNECIDO E INSTALADO EM PRUMADA DE ESGOTO SANITÁRIO OU VENTILAÇÃO. AF_08/2022</t>
  </si>
  <si>
    <t>104350</t>
  </si>
  <si>
    <t>JUNÇÃO DE REDUÇÃO INVERTIDA, PVC, SÉRIE NORMAL, ESGOTO PREDIAL, DN 75 X 50 MM, JUNTA ELÁSTICA, FORNECIDO E INSTALADO EM PRUMADA DE ESGOTO SANITÁRIO OU VENTILAÇÃO. AF_08/2022</t>
  </si>
  <si>
    <t>104351</t>
  </si>
  <si>
    <t>TERMINAL DE VENTILAÇÃO, PVC, SÉRIE NORMAL, ESGOTO PREDIAL, DN 75 MM, JUNTA SOLDÁVEL, FORNECIDO E INSTALADO EM PRUMADA DE ESGOTO SANITÁRIO OU VENTILAÇÃO. AF_08/2022</t>
  </si>
  <si>
    <t>104352</t>
  </si>
  <si>
    <t>TE, PVC, SÉRIE NORMAL, ESGOTO PREDIAL, DN 100 X 50 MM, JUNTA ELÁSTICA, FORNECIDO E INSTALADO EM PRUMADA DE ESGOTO SANITÁRIO OU VENTILAÇÃO. AF_08/2022</t>
  </si>
  <si>
    <t>104353</t>
  </si>
  <si>
    <t>JUNÇÃO DE REDUÇÃO INVERTIDA, PVC, SÉRIE NORMAL, ESGOTO PREDIAL, DN 100 X 50 MM, JUNTA ELÁSTICA, FORNECIDO E INSTALADO EM PRUMADA DE ESGOTO SANITÁRIO OU VENTILAÇÃO. AF_08/2022</t>
  </si>
  <si>
    <t>104354</t>
  </si>
  <si>
    <t>TE, PVC, SÉRIE NORMAL, ESGOTO PREDIAL, DN 100 X 75 MM, JUNTA ELÁSTICA, FORNECIDO E INSTALADO EM PRUMADA DE ESGOTO SANITÁRIO OU VENTILAÇÃO. AF_08/2022</t>
  </si>
  <si>
    <t>104355</t>
  </si>
  <si>
    <t>JUNÇÃO DE REDUCAO INVERTIDA, PVC, SÉRIE NORMAL, ESGOTO PREDIAL, DN 100 X 75 MM, JUNTA ELÁSTICA, FORNECIDO E INSTALADO EM PRUMADA DE ESGOTO SANITÁRIO OU VENTILAÇÃO. AF_08/2022</t>
  </si>
  <si>
    <t>104356</t>
  </si>
  <si>
    <t>TERMINAL DE VENTILAÇÃO, PVC, SÉRIE NORMAL, ESGOTO PREDIAL, DN 100 MM, JUNTA SOLDÁVEL, FORNECIDO E INSTALADO EM PRUMADA DE ESGOTO SANITÁRIO OU VENTILAÇÃO. AF_08/2022</t>
  </si>
  <si>
    <t>104357</t>
  </si>
  <si>
    <t>CAP, PVC, SÉRIE NORMAL, ESGOTO PREDIAL, DN 100 MM, JUNTA ELÁSTICA, FORNECIDO E INSTALADO EM SUBCOLETOR AÉREO DE ESGOTO SANITÁRIO. AF_08/2022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</si>
  <si>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</si>
  <si>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</si>
  <si>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SIFONADO, PVC, DN 100 X 40 MM, JUNTA SOLDÁVEL, FORNECIDO E INSTALADO EM RAMAL DE DESCARGA OU EM RAMAL DE ESGOTO SANITÁRIO. AF_08/2022</t>
  </si>
  <si>
    <t>RALO SECO, PVC, DN 100 X 40 MM, JUNTA SOLDÁVEL, FORNECIDO E INSTALADO EM RAMAL DE DESCARGA OU EM RAMAL DE ESGOTO SANITÁRIO. AF_08/2022</t>
  </si>
  <si>
    <t>104326</t>
  </si>
  <si>
    <t>RALO SECO CÔNICO, PVC, DN 100 X 40 MM, JUNTA SOLDÁVEL, FORNECIDO E INSTALADO EM RAMAL DE DESCARGA OU EM RAMAL DE ESGOTO SANITÁRIO. AF_08/2022</t>
  </si>
  <si>
    <t>104327</t>
  </si>
  <si>
    <t>RALO SIFONADO REDONDO, PVC, DN 100 X 40 MM, JUNTA SOLDÁVEL, FORNECIDO E INSTALADO EM RAMAL DE DESCARGA OU EM RAMAL DE ESGOTO SANITÁRIO. AF_08/2022</t>
  </si>
  <si>
    <t>104328</t>
  </si>
  <si>
    <t>CAIXA SIFONADA, COM GRELHA QUADRADA, PVC, DN 150 X 150 X 50 MM, JUNTA SOLDÁVEL, FORNECIDA E INSTALADA EM RAMAL DE DESCARGA OU EM RAMAL DE ESGOTO SANITÁRIO. AF_08/2022</t>
  </si>
  <si>
    <t>104329</t>
  </si>
  <si>
    <t>CAIXA SIFONADA, COM GRELHA REDONDA, PVC, DN 150 X 150 X 50 MM, JUNTA SOLDÁVEL, FORNECIDA E INSTALADA EM RAMAL DE DESCARGA OU EM RAMAL DE ESGOTO SANITÁRIO. AF_08/2022</t>
  </si>
  <si>
    <t>26,43</t>
  </si>
  <si>
    <t>6,05</t>
  </si>
  <si>
    <t>19,68</t>
  </si>
  <si>
    <t>17,14</t>
  </si>
  <si>
    <t>EXECUÇÃO DE PASSEIO (CALÇADA) OU PISO DE CONCRETO COM CONCRETO MOLDADO IN LOCO, FEITO EM OBRA, ACABAMENTO CONVENCIONAL, NÃO ARMADO. AF_08/2022</t>
  </si>
  <si>
    <t>EXECUÇÃO DE PASSEIO (CALÇADA) OU PISO DE CONCRETO COM CONCRETO MOLDADO IN LOCO, FEITO EM OBRA, ACABAMENTO CONVENCIONAL, ESPESSURA 6 CM, ARMADO. AF_08/2022</t>
  </si>
  <si>
    <t>EXECUÇÃO DE PASSEIO (CALÇADA) OU PISO DE CONCRETO COM CONCRETO MOLDADO IN LOCO, USINADO, ACABAMENTO CONVENCIONAL, ESPESSURA 6 CM, ARMADO. AF_08/2022</t>
  </si>
  <si>
    <t>EXECUÇÃO DE PASSEIO (CALÇADA) OU PISO DE CONCRETO COM CONCRETO MOLDADO IN LOCO, FEITO EM OBRA, ACABAMENTO CONVENCIONAL, ESPESSURA 8 CM, ARMADO. AF_08/2022</t>
  </si>
  <si>
    <t>EXECUÇÃO DE PASSEIO (CALÇADA) OU PISO DE CONCRETO COM CONCRETO MOLDADO IN LOCO, USINADO, ACABAMENTO CONVENCIONAL, ESPESSURA 8 CM, ARMADO. AF_08/2022</t>
  </si>
  <si>
    <t>6,31</t>
  </si>
  <si>
    <t>EMBOÇO OU MASSA ÚNICA EM ARGAMASSA TRAÇO 1:2:8, PREPARO MECÂNICO COM BETONEIRA 400 L, APLICADA MANUALMENTE EM PANOS DE FACHADA COM PRESENÇA DE VÃOS, ESPESSURA DE 25 MM. AF_08/2022</t>
  </si>
  <si>
    <t>EMBOÇO OU MASSA ÚNICA EM ARGAMASSA TRAÇO 1:2:8, PREPARO MANUAL, APLICADA MANUALMENTE EM PANOS DE FACHADA COM PRESENÇA DE VÃOS, ESPESSURA DE 25 MM. AF_08/2022</t>
  </si>
  <si>
    <t>EMBOÇO OU MASSA ÚNICA EM ARGAMASSA INDUSTRIALIZADA, PREPARO MECÂNICO E APLICAÇÃO COM EQUIPAMENTO DE MISTURA E PROJEÇÃO DE 1,5 M3/H DE ARGAMASSA EM PANOS DE FACHADA COM PRESENÇA DE VÃOS, ESPESSURA DE 25 MM. AF_08/2022</t>
  </si>
  <si>
    <t>EMBOÇO OU MASSA ÚNICA EM ARGAMASSA TRAÇO 1:2:8, PREPARO MECÂNICO COM BETONEIRA 400 L, APLICADA MANUALMENTE EM PANOS DE FACHADA COM PRESENÇA DE VÃOS, ESPESSURA DE 35 MM. AF_08/2022</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</si>
  <si>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</si>
  <si>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</si>
  <si>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EMBOÇO OU MASSA ÚNICA EM ARGAMASSA TRAÇO 1:2:8, PREPARO MECÂNICO COM BETONEIRA 400 L, APLICADA MANUALMENTE EM PANOS DE FACHADA COM PRESENÇA DE VÃOS, ESPESSURA DE 45 MM. AF_08/2022</t>
  </si>
  <si>
    <t>EMBOÇO OU MASSA ÚNICA EM ARGAMASSA TRAÇO 1:2:8, PREPARO MANUAL, APLICADA MANUALMENTE EM PANOS DE FACHADA COM PRESENÇA DE VÃOS, ESPESSURA DE 45 MM. AF_08/2022</t>
  </si>
  <si>
    <t>EMBOÇO OU MASSA ÚNICA EM ARGAMASSA INDUSTRIALIZADA, PREPARO MECÂNICO E APLICAÇÃO COM EQUIPAMENTO DE MISTURA E PROJEÇÃO DE 1,5 M3/H DE ARGAMASSA EM PANOS DE FACHADA COM PRESENÇA DE VÃOS, ESPESSURA DE 45 MM. AF_08/2022</t>
  </si>
  <si>
    <t>EMBOÇO OU MASSA ÚNICA EM ARGAMASSA TRAÇO 1:2:8, PREPARO MECÂNICO COM BETONEIRA 400 L, APLICADA MANUALMENTE EM PANOS DE FACHADA COM PRESENÇA DE VÃOS, ESPESSURA MAIOR OU IGUAL A 50 MM. AF_08/2022</t>
  </si>
  <si>
    <t>EMBOÇO OU MASSA ÚNICA EM ARGAMASSA INDUSTRIALIZADA, PREPARO MECÂNICO E APLICAÇÃO COM EQUIPAMENTO DE MISTURA E PROJEÇÃO DE 1,5 M3/H DE ARGAMASSA EM PANOS DE FACHADA COM PRESENÇA DE VÃOS, ESPESSURA MAIOR OU IGUAL A 50 MM. AF_08/2022</t>
  </si>
  <si>
    <t>EMBOÇO OU MASSA ÚNICA EM ARGAMASSA TRAÇO 1:2:8, PREPARO MECÂNICO COM BETONEIRA 400 L, APLICADA MANUALMENTE EM PANOS CEGOS DE FACHADA (SEM PRESENÇA DE VÃOS), ESPESSURA DE 25 MM. AF_08/2022</t>
  </si>
  <si>
    <t>EMBOÇO OU MASSA ÚNICA EM ARGAMASSA TRAÇO 1:2:8, PREPARO MANUAL, APLICADA MANUALMENTE EM PANOS CEGOS DE FACHADA (SEM PRESENÇA DE VÃOS), ESPESSURA DE 25 MM. AF_09/2022</t>
  </si>
  <si>
    <t>EMBOÇO OU MASSA ÚNICA EM ARGAMASSA INDUSTRIALIZADA, PREPARO MECÂNICO E APLICAÇÃO COM EQUIPAMENTO DE MISTURA E PROJEÇÃO DE 1,5 M3/H DE ARGAMASSA EM PANOS CEGOS DE FACHADA (SEM PRESENÇA DE VÃOS), ESPESSURA DE 25 MM. AF_08/2022</t>
  </si>
  <si>
    <t>EMBOÇO OU MASSA ÚNICA EM ARGAMASSA TRAÇO 1:2:8, PREPARO MECÂNICO COM BETONEIRA 400 L, APLICADA MANUALMENTE EM PANOS CEGOS DE FACHADA (SEM PRESENÇA DE VÃOS), ESPESSURA DE 35 MM. AF_08/2022</t>
  </si>
  <si>
    <t>EMBOÇO OU MASSA ÚNICA EM ARGAMASSA TRAÇO 1:2:8, PREPARO MANUAL, APLICADA MANUALMENTE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</si>
  <si>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35 MM. AF_08/2022</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</si>
  <si>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</si>
  <si>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</si>
  <si>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EMBOÇO OU MASSA ÚNICA EM ARGAMASSA INDUSTRIALIZADA, PREPARO MECÂNICO E APLICAÇÃO COM EQUIPAMENTO DE MISTURA E PROJEÇÃO DE 1,5 M3/H DE ARGAMASSA EM PANOS CEGOS DE FACHADA (SEM PRESENÇA DE VÃOS), ESPESSURA DE 45 MM. AF_08/2022</t>
  </si>
  <si>
    <t>EMBOÇO OU MASSA ÚNICA EM ARGAMASSA TRAÇO 1:2:8, PREPARO MECÂNICO COM BETONEIRA 400 L, APLICADA MANUALMENTE EM PANOS CEGOS DE FACHADA (SEM PRESENÇA DE VÃOS), ESPESSURA MAIOR OU IGUAL A 50 MM. AF_08/2022</t>
  </si>
  <si>
    <t>EMBOÇO OU MASSA ÚNICA EM ARGAMASSA TRAÇO 1:2:8, PREPARO MANUAL, APLICADA MANUALMENTE EM PANOS CEGOS DE FACHADA (SEM PRESENÇA DE VÃOS), ESPESSURA MAIOR OU IGUAL A 50 MM. AF_08/2022</t>
  </si>
  <si>
    <t>EMBOÇO OU MASSA ÚNICA EM ARGAMASSA INDUSTRIALIZADA, PREPARO MECÂNICO E APLICAÇÃO COM EQUIPAMENTO DE MISTURA E PROJEÇÃO DE 1,5 M3/H DE ARGAMASSA EM PANOS CEGOS DE FACHADA (SEM PRESENÇA DE VÃOS), ESPESSURA MAIOR OU IGUAL A 50 MM. AF_08/2022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</si>
  <si>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</si>
  <si>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</si>
  <si>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EMBOÇO OU MASSA ÚNICA EM ARGAMASSA INDUSTRIALIZADA, PREPARO MECÂNICO E APLICAÇÃO COM EQUIPAMENTO DE MISTURA E PROJEÇÃO DE 1,5 M3/H EM SUPERFÍCIES EXTERNAS DA SACADA, ESPESSURA 25 MM, SEM USO DE TELA METÁLICA. AF_08/2022</t>
  </si>
  <si>
    <t>EMBOÇO OU MASSA ÚNICA EM ARGAMASSA TRAÇO 1:2:8, PREPARO MECÂNICO COM BETONEIRA 400 L, APLICADA MANUALMENTE EM SUPERFÍCIES EXTERNAS DA SACADA, ESPESSURA DE 35 MM, SEM USO DE TELA METÁLICA DE REFORÇO CONTRA FISSURAÇÃO. AF_08/2022</t>
  </si>
  <si>
    <t>EMBOÇO OU MASSA ÚNICA EM ARGAMASSA TRAÇO 1:2:8, PREPARO MANUAL, APLICADA MANUALMENTE EM SUPERFÍCIES EXTERNAS DA SACADA, ESPESSURA DE 35 MM, SEM USO DE TELA METÁLICA DE REFORÇO CONTRA FISSURAÇÃO. AF_08/2022</t>
  </si>
  <si>
    <t>EMBOÇO OU MASSA ÚNICA EM ARGAMASSA INDUSTRIALIZADA, PREPARO MECÂNICO E APLICAÇÃO COM EQUIPAMENTO DE MISTURA E PROJEÇÃO DE 1,5 M3/H EM SUPERFÍCIES EXTERNAS DA SACADA, ESPESSURA 35 MM, SEM USO DE TELA METÁLICA. AF_08/2022</t>
  </si>
  <si>
    <t>EMBOÇO OU MASSA ÚNICA EM ARGAMASSA TRAÇO 1:2:8, PREPARO MECÂNICO COM BETONEIRA 400 L, APLICADA MANUALMENTE EM SUPERFÍCIES EXTERNAS DA SACADA, ESPESSURA DE 45 MM, SEM USO DE TELA METÁLICA DE REFORÇO CONTRA FISSURAÇÃO. AF_08/2022</t>
  </si>
  <si>
    <t>EMBOÇO OU MASSA ÚNICA EM ARGAMASSA TRAÇO 1:2:8, PREPARO MANUAL, APLICADA MANUALMENTE EM SUPERFÍCIES EXTERNAS DA SACADA, ESPESSURA DE 45 MM, SEM USO DE TELA METÁLICA DE REFORÇO CONTRA FISSURAÇÃO. AF_08/2022</t>
  </si>
  <si>
    <t>EMBOÇO OU MASSA ÚNICA EM ARGAMASSA INDUSTRIALIZADA, PREPARO MECÂNICO E APLICAÇÃO COM EQUIPAMENTO DE MISTURA E PROJEÇÃO DE 1,5 M3/H EM SUPERFÍCIES EXTERNAS DA SACADA, ESPESSURA 45 MM,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</si>
  <si>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</si>
  <si>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</si>
  <si>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TRAÇO 1:2:8, PREPARO MECÂNICO COM BETONEIRA 400 L, APLICADA MANUALMENTE NAS PAREDES INTERNAS DA SACADA, ESPESSURA DE 25 MM, SEM USO DE TELA METÁLICA DE REFORÇO CONTRA FISSURAÇÃO. AF_08/2022</t>
  </si>
  <si>
    <t>EMBOÇO OU MASSA ÚNICA EM ARGAMASSA TRAÇO 1:2:8, PREPARO MANUAL, APLICADA MANUALMENTE NAS PAREDES INTERNAS DA SACADA, ESPESSURA DE 25 MM, SEM USO DE TELA METÁLICA DE REFORÇO CONTRA FISSURAÇÃO. AF_08/2022</t>
  </si>
  <si>
    <t>EMBOÇO OU MASSA ÚNICA EM ARGAMASSA INDUSTRIALIZADA, PREPARO MECÂNICO E APLICAÇÃO COM EQUIPAMENTO DE MISTURA E PROJEÇÃO DE 1,5 M3/H NAS PAREDES INTERNAS DA SACADA, ESPESSURA 25 MM, SEM USO DE TELA METÁLICA. AF_08/2022</t>
  </si>
  <si>
    <t>EMBOÇO OU MASSA ÚNICA EM ARGAMASSA TRAÇO 1:2:8, PREPARO MECÂNICO COM BETONEIRA 400 L, APLICADA MANUALMENTE NAS PAREDES INTERNAS DA SACADA, ESPESSURA DE 35 MM, SEM USO DE TELA METÁLICA DE REFORÇO CONTRA FISSURAÇÃO. AF_08/2022</t>
  </si>
  <si>
    <t>EMBOÇO OU MASSA ÚNICA EM ARGAMASSA TRAÇO 1:2:8, PREPARO MANUAL, APLICADA MANUALMENTE NAS PAREDES INTERNAS DA SACADA, ESPESSURA DE 35 MM, SEM USO DE TELA METÁLICA DE REFORÇO CONTRA FISSURAÇÃO. AF_08/2022</t>
  </si>
  <si>
    <t>EMBOÇO OU MASSA ÚNICA EM ARGAMASSA INDUSTRIALIZADA, PREPARO MECÂNICO E APLICAÇÃO COM EQUIPAMENTO DE MISTURA E PROJEÇÃO DE 1,5 M3/H DE ARGAMASSA NAS PAREDES INTERNAS DA SACADA, ESPESSURA 35 MM, SEM USO DE TELA METÁLICA. AF_08/2022</t>
  </si>
  <si>
    <t>104203</t>
  </si>
  <si>
    <t>EMBOÇO OU MASSA ÚNICA EM ARGAMASSA TRAÇO 1:2:8, PREPARO MECÂNICA COM BETONEIRA 400 L, APLICADA COM PROJETOR TIPO CANEQUINHA EM PANOS DE FACHADA COM PRESENÇA DE VÃOS, ESPESSURA DE 25 MM, ACESSO POR BALANCIM MANUAL. AF_08/2022</t>
  </si>
  <si>
    <t>104204</t>
  </si>
  <si>
    <t>EMBOÇO OU MASSA ÚNICA EM ARGAMASSA TRAÇO 1:2:8, PREPARO MECÂNICA COM BETONEIRA 400 L, APLICADA COM PROJETOR TIPO CANEQUINHA EM PANOS DE FACHADA COM PRESENÇA DE VÃOS, ESPESSURA DE 35 MM, ACESSO POR BALANCIM MANUAL. AF_08/2022</t>
  </si>
  <si>
    <t>104205</t>
  </si>
  <si>
    <t>EMBOÇO OU MASSA ÚNICA EM ARGAMASSA TRAÇO 1:2:8, PREPARO MECÂNICA COM BETONEIRA 400 L, APLICADA COM PROJETOR TIPO CANEQUINHA EM PANOS DE FACHADA COM PRESENÇA DE VÃOS, ESPESSURA DE 45 MM, ACESSO POR BALANCIM MANUAL. AF_08/2022</t>
  </si>
  <si>
    <t>104206</t>
  </si>
  <si>
    <t>EMBOÇO OU MASSA ÚNICA EM ARGAMASSA TRAÇO 1:2:8, PREPARO MECÂNICA COM BETONEIRA 400 L, APLICADA COM PROJETOR TIPO CANEQUINHA EM PANOS DE FACHADA COM PRESENÇA DE VÃOS, ESPESSURA DE 50 MM, ACESSO POR BALANCIM MANUAL. AF_08/2022</t>
  </si>
  <si>
    <t>104207</t>
  </si>
  <si>
    <t>EMBOÇO OU MASSA ÚNICA EM ARGAMASSA TRAÇO 1:2:8, PREPARO MECÂNICA COM BETONEIRA 400 L, APLICADA COM PROJETOR TIPO CANEQUINHA EM PANOS DE FACHADA SEM PRESENÇA DE VÃOS, ESPESSURA DE 25 MM, ACESSO POR BALANCIM MANUAL. AF_08/2022</t>
  </si>
  <si>
    <t>104208</t>
  </si>
  <si>
    <t>EMBOÇO OU MASSA ÚNICA EM ARGAMASSA TRAÇO 1:2:8, PREPARO MECÂNICA COM BETONEIRA 400 L, APLICADA COM PROJETOR TIPO CANEQUINHA EM PANOS DE FACHADA SEM PRESENÇA DE VÃOS, ESPESSURA DE 35 MM, ACESSO POR BALANCIM MANUAL. AF_08/2022</t>
  </si>
  <si>
    <t>104209</t>
  </si>
  <si>
    <t>EMBOÇO OU MASSA ÚNICA EM ARGAMASSA TRAÇO 1:2:8, PREPARO MECÂNICA COM BETONEIRA 400 L, APLICADA COM PROJETOR TIPO CANEQUINHA EM PANOS DE FACHADA SEM PRESENÇA DE VÃOS, ESPESSURA DE 45 MM, ACESSO POR BALANCIM MANUAL. AF_08/2022</t>
  </si>
  <si>
    <t>104210</t>
  </si>
  <si>
    <t>EMBOÇO OU MASSA ÚNICA EM ARGAMASSA TRAÇO 1:2:8, PREPARO MECÂNICA COM BETONEIRA 400 L, APLICADA COM PROJETOR TIPO CANEQUINHA EM PANOS DE FACHADA SEM PRESENÇA DE VÃOS, ESPESSURA DE 50 MM, ACESSO POR BALANCIM MANUAL. AF_08/2022</t>
  </si>
  <si>
    <t>104211</t>
  </si>
  <si>
    <t>EMBOÇO OU MASSA ÚNICA EM ARGAMASSA TRAÇO 1:2:8, PREPARO MECÂNICA COM BETONEIRA 400 L, APLICADA COM PROJETOR TIPO CANEQUINHA EM SUPERFÍCIES EXTERNAS DA SACADA, ESPESSURA DE 25 MM, ACESSO POR BALANCIM MANUAL, SEM USO DE TELA METÁLICA. AF_08/2022</t>
  </si>
  <si>
    <t>104212</t>
  </si>
  <si>
    <t>EMBOÇO OU MASSA ÚNICA EM ARGAMASSA TRAÇO 1:2:8, PREPARO MECÂNICA COM BETONEIRA 400 L, APLICADA COM PROJETOR TIPO CANEQUINHA EM SUPERFÍCIES EXTERNAS DA SACADA, ESPESSURA DE 35 MM, ACESSO POR BALANCIM MANUAL, SEM USO DE TELA METÁLICA. AF_08/2022</t>
  </si>
  <si>
    <t>104213</t>
  </si>
  <si>
    <t>EMBOÇO OU MASSA ÚNICA EM ARGAMASSA TRAÇO 1:2:8, PREPARO MECÂNICA COM BETONEIRA 400 L, APLICADA COM PROJETOR TIPO CANEQUINHA EM SUPERFÍCIES EXTERNAS DA SACADA, ESPESSURA DE 45 MM, ACESSO POR BALANCIM MANUAL, SEM USO DE TELA METÁLICA. AF_08/2022</t>
  </si>
  <si>
    <t>104214</t>
  </si>
  <si>
    <t>EMBOÇO OU MASSA ÚNICA EM ARGAMASSA TRAÇO 1:2:8, PREPARO MECÂNICA COM BETONEIRA 400 L, APLICADA COM PROJETOR TIPO CANEQUINHA EM SUPERFÍCIES EXTERNAS DA SACADA, ESPESSURA DE 50 MM, ACESSO POR BALANCIM MANUAL, SEM USO DE TELA METÁLICA. AF_08/2022</t>
  </si>
  <si>
    <t>104215</t>
  </si>
  <si>
    <t>EMBOÇO OU MASSA ÚNICA EM ARGAMASSA TRAÇO 1:2:8, PREPARO MECÂNICA COM BETONEIRA 400 L, APLICADA COM PROJETOR TIPO CANEQUINHA EM SUPERFÍCIES INTERNAS DA SACADA, ESPESSURA DE 25 MM,  SEM USO DE TELA METÁLICA. AF_08/2022</t>
  </si>
  <si>
    <t>104216</t>
  </si>
  <si>
    <t>EMBOÇO OU MASSA ÚNICA EM ARGAMASSA TRAÇO 1:2:8, PREPARO MECÂNICA COM BETONEIRA 400 L, APLICADA COM PROJETOR TIPO CANEQUINHA EM SUPERFÍCIES INTERNAS DA SACADA, ESPESSURA DE 35 MM, SEM USO DE TELA METÁLICA. AF_08/2022</t>
  </si>
  <si>
    <t>104217</t>
  </si>
  <si>
    <t>EMBOÇO OU MASSA ÚNICA EM ARGAMASSA TRAÇO 1:2:8, PREPARO MECÂNICA COM BETONEIRA 400 L, APLICADA MANUALMENTE EM PANOS DE FACHADA COM PRESENÇA DE VÃOS, ESPESSURA DE 25 MM, ACESSO POR ANDAIME. AF_08/2022</t>
  </si>
  <si>
    <t>104218</t>
  </si>
  <si>
    <t>EMBOÇO OU MASSA ÚNICA EM ARGAMASSA TRAÇO 1:2:8, PREPARO MANUAL, APLICADA MANUALMENTE EM PANOS DE FACHADA COM PRESENÇA DE VÃOS, ESPESSURA DE 25 MM, ACESSO POR ANDAIME. AF_08/2022</t>
  </si>
  <si>
    <t>104219</t>
  </si>
  <si>
    <t>EMBOÇO OU MASSA ÚNICA EM ARGAMASSA INDUSTRIALIZADA, PREPARO MECÂNICA E APLICAÇÃO COM EQUIPAMENTO DE MISTURA E PROJEÇÃO DE 1,5 M3/H DE ARGAMASSA EM PANOS DE FACHADA COM PRESENÇA DE VÃOS, ESPESSURA DE 25 MM, ACESSO POR ANDAIME. AF_08/2022</t>
  </si>
  <si>
    <t>104220</t>
  </si>
  <si>
    <t>EMBOÇO OU MASSA ÚNICA EM ARGAMASSA TRAÇO 1:2:8, PREPARO MECÂNICA COM BETONEIRA 400 L, APLICADA COM PROJETOR TIPO CANEQUINHA EM PANOS DE FACHADA COM PRESENÇA DE VÃOS, ESPESSURA DE 25 MM, ACESSO POR ANDAIME. AF_08/2022</t>
  </si>
  <si>
    <t>104221</t>
  </si>
  <si>
    <t>EMBOÇO OU MASSA ÚNICA EM ARGAMASSA TRAÇO 1:2:8, PREPARO MECÂNICA COM BETONEIRA 400 L, APLICADA MANUALMENTE EM PANOS DE FACHADA COM PRESENÇA DE VÃOS, ESPESSURA DE 35 MM, ACESSO POR ANDAIME. AF_08/2022</t>
  </si>
  <si>
    <t>104222</t>
  </si>
  <si>
    <t>EMBOÇO OU MASSA ÚNICA EM ARGAMASSA TRAÇO 1:2:8, PREPARO MANUAL, APLICADA MANUALMENTE EM PANOS DE FACHADA COM PRESENÇA DE VÃOS, ESPESSURA DE 35 MM, ACESSO POR ANDAIME. AF_08/2022</t>
  </si>
  <si>
    <t>104223</t>
  </si>
  <si>
    <t>EMBOÇO OU MASSA ÚNICA EM ARGAMASSA INDUSTRIALIZADA, PREPARO MECÂNICA E APLICAÇÃO COM EQUIPAMENTO DE MISTURA E PROJEÇÃO DE 1,5 M3/H DE ARGAMASSA EM PANOS DE FACHADA COM PRESENÇA DE VÃOS, ESPESSURA DE 35 MM, ACESSO POR ANDAIME. AF_08/2022</t>
  </si>
  <si>
    <t>104224</t>
  </si>
  <si>
    <t>EMBOÇO OU MASSA ÚNICA EM ARGAMASSA TRAÇO 1:2:8, PREPARO MECÂNICA COM BETONEIRA 400 L, APLICADA COM PROJETOR TIPO CANEQUINHA EM PANOS DE FACHADA COM PRESENÇA DE VÃOS, ESPESSURA DE 35 MM, ACESSO POR ANDAIME. AF_08/2022</t>
  </si>
  <si>
    <t>104225</t>
  </si>
  <si>
    <t>EMBOÇO OU MASSA ÚNICA EM ARGAMASSA TRAÇO 1:2:8, PREPARO MECÂNICA COM BETONEIRA 400 L, APLICADA MANUALMENTE EM PANOS DE FACHADA COM PRESENÇA DE VÃOS, ESPESSURA DE 45 MM, ACESSO POR ANDAIME. AF_08/2022</t>
  </si>
  <si>
    <t>104226</t>
  </si>
  <si>
    <t>EMBOÇO OU MASSA ÚNICA EM ARGAMASSA TRAÇO 1:2:8, PREPARO MANUAL, APLICADA MANUALMENTE EM PANOS DE FACHADA COM PRESENÇA DE VÃOS, ESPESSURA DE 45 MM, ACESSO POR ANDAIME. AF_08/2022</t>
  </si>
  <si>
    <t>104227</t>
  </si>
  <si>
    <t>EMBOÇO OU MASSA ÚNICA EM ARGAMASSA INDUSTRIALIZADA, PREPARO MECÂNICA E APLICAÇÃO COM EQUIPAMENTO DE MISTURA E PROJEÇÃO DE 1,5 M3/H DE ARGAMASSA EM PANOS DE FACHADA COM PRESENÇA DE VÃOS, ESPESSURA DE 45 MM, ACESSO POR ANDAIME. AF_08/2022</t>
  </si>
  <si>
    <t>104228</t>
  </si>
  <si>
    <t>EMBOÇO OU MASSA ÚNICA EM ARGAMASSA TRAÇO 1:2:8, PREPARO MECÂNICA COM BETONEIRA 400 L, APLICADA COM PROJETOR TIPO CANEQUINHA EM PANOS DE FACHADA COM PRESENÇA DE VÃOS, ESPESSURA DE 45 MM, ACESSO POR ANDAIME. AF_08/2022</t>
  </si>
  <si>
    <t>104229</t>
  </si>
  <si>
    <t>EMBOÇO OU MASSA ÚNICA EM ARGAMASSA TRAÇO 1:2:8, PREPARO MECÂNICA COM BETONEIRA 400 L, APLICADA MANUALMENTE EM PANOS DE FACHADA COM PRESENÇA DE VÃOS, ESPESSURA DE 50 MM, ACESSO POR ANDAIME. AF_08/2022</t>
  </si>
  <si>
    <t>104230</t>
  </si>
  <si>
    <t>EMBOÇO OU MASSA ÚNICA EM ARGAMASSA TRAÇO 1:2:8, PREPARO MANUAL, APLICADA MANUALMENTE EM PANOS DE FACHADA COM PRESENÇA DE VÃOS, ESPESSURA DE 50 MM, ACESSO POR ANDAIME. AF_08/2022</t>
  </si>
  <si>
    <t>104231</t>
  </si>
  <si>
    <t>EMBOÇO OU MASSA ÚNICA EM ARGAMASSA INDUSTRIALIZADA, PREPARO MECÂNICA E APLICAÇÃO COM EQUIPAMENTO DE MISTURA E PROJEÇÃO DE 1,5 M3/H DE ARGAMASSA EM PANOS DE FACHADA COM PRESENÇA DE VÃOS, ESPESSURA DE 50 MM, ACESSO POR ANDAIME. AF_08/2022</t>
  </si>
  <si>
    <t>104232</t>
  </si>
  <si>
    <t>EMBOÇO OU MASSA ÚNICA EM ARGAMASSA TRAÇO 1:2:8, PREPARO MECÂNICA COM BETONEIRA 400 L, APLICADA COM PROJETOR TIPO CANEQUINHA EM PANOS DE FACHADA COM PRESENÇA DE VÃOS, ESPESSURA DE 50 MM, ACESSO POR ANDAIME. AF_08/2022</t>
  </si>
  <si>
    <t>104233</t>
  </si>
  <si>
    <t>EMBOÇO OU MASSA ÚNICA EM ARGAMASSA TRAÇO 1:2:8, PREPARO MECÂNICA COM BETONEIRA 400 L, APLICADA MANUALMENTE EM PANOS DE FACHADA SEM PRESENÇA DE VÃOS, ESPESSURA DE 25 MM, ACESSO POR ANDAIME. AF_08/2022</t>
  </si>
  <si>
    <t>104234</t>
  </si>
  <si>
    <t>EMBOÇO OU MASSA ÚNICA EM ARGAMASSA TRAÇO 1:2:8, PREPARO MANUAL, APLICADA MANUALMENTE EM PANOS DE FACHADA SEM PRESENÇA DE VÃOS, ESPESSURA DE 25 MM, ACESSO POR ANDAIME. AF_08/2022</t>
  </si>
  <si>
    <t>104235</t>
  </si>
  <si>
    <t>EMBOÇO OU MASSA ÚNICA EM ARGAMASSA INDUSTRIALIZADA, PREPARO MECÂNICA E APLICAÇÃO COM EQUIPAMENTO DE MISTURA E PROJEÇÃO DE 1,5 M3/H DE ARGAMASSA EM PANOS DE FACHADA SEM PRESENÇA DE VÃOS, ESPESSURA DE 25 MM, ACESSO POR ANDAIME. AF_08/2022</t>
  </si>
  <si>
    <t>104236</t>
  </si>
  <si>
    <t>EMBOÇO OU MASSA ÚNICA EM ARGAMASSA TRAÇO 1:2:8, PREPARO MECÂNICA COM BETONEIRA 400 L, APLICADA COM PROJETOR TIPO CANEQUINHA EM PANOS DE FACHADA SEM PRESENÇA DE VÃOS, ESPESSURA DE 25 MM, ACESSO POR ANDAIME. AF_08/2022</t>
  </si>
  <si>
    <t>104237</t>
  </si>
  <si>
    <t>EMBOÇO OU MASSA ÚNICA EM ARGAMASSA TRAÇO 1:2:8, PREPARO MECÂNICA COM BETONEIRA 400 L, APLICADA MANUALMENTE EM PANOS DE FACHADA SEM PRESENÇA DE VÃOS, ESPESSURA DE 35 MM, ACESSO POR ANDAIME. AF_08/2022</t>
  </si>
  <si>
    <t>104238</t>
  </si>
  <si>
    <t>EMBOÇO OU MASSA ÚNICA EM ARGAMASSA TRAÇO 1:2:8, PREPARO MANUAL, APLICADA MANUALMENTE EM PANOS DE FACHADA SEM PRESENÇA DE VÃOS, ESPESSURA DE 35 MM, ACESSO POR ANDAIME. AF_08/2022</t>
  </si>
  <si>
    <t>104239</t>
  </si>
  <si>
    <t>EMBOÇO OU MASSA ÚNICA EM ARGAMASSA INDUSTRIALIZADA, PREPARO MECÂNICA E APLICAÇÃO COM EQUIPAMENTO DE MISTURA E PROJEÇÃO DE 1,5 M3/H DE ARGAMASSA EM PANOS DE FACHADA SEM PRESENÇA DE VÃOS, ESPESSURA DE 35 MM, ACESSO POR ANDAIME. AF_08/2022</t>
  </si>
  <si>
    <t>104240</t>
  </si>
  <si>
    <t>EMBOÇO OU MASSA ÚNICA EM ARGAMASSA TRAÇO 1:2:8, PREPARO MECÂNICA COM BETONEIRA 400 L, APLICADA COM PROJETOR TIPO CANEQUINHA EM PANOS DE FACHADA SEM PRESENÇA DE VÃOS, ESPESSURA DE 35 MM, ACESSO POR ANDAIME. AF_08/2022</t>
  </si>
  <si>
    <t>104241</t>
  </si>
  <si>
    <t>EMBOÇO OU MASSA ÚNICA EM ARGAMASSA TRAÇO 1:2:8, PREPARO MECÂNICA COM BETONEIRA 400 L, APLICADA MANUALMENTE EM PANOS DE FACHADA SEM PRESENÇA DE VÃOS, ESPESSURA DE 45 MM, ACESSO POR ANDAIME. AF_08/2022</t>
  </si>
  <si>
    <t>104242</t>
  </si>
  <si>
    <t>EMBOÇO OU MASSA ÚNICA EM ARGAMASSA TRAÇO 1:2:8, PREPARO MANUAL, APLICADA MANUALMENTE EM PANOS DE FACHADA SEM PRESENÇA DE VÃOS, ESPESSURA DE 45 MM, ACESSO POR ANDAIME. AF_08/2022</t>
  </si>
  <si>
    <t>104243</t>
  </si>
  <si>
    <t>EMBOÇO OU MASSA ÚNICA EM ARGAMASSA INDUSTRIALIZADA, PREPARO MECÂNICA E APLICAÇÃO COM EQUIPAMENTO DE MISTURA E PROJEÇÃO DE 1,5 M3/H DE ARGAMASSA EM PANOS DE FACHADA SEM PRESENÇA DE VÃOS, ESPESSURA DE 45 MM, ACESSO POR ANDAIME. AF_08/2022</t>
  </si>
  <si>
    <t>104244</t>
  </si>
  <si>
    <t>EMBOÇO OU MASSA ÚNICA EM ARGAMASSA TRAÇO 1:2:8, PREPARO MECÂNICA COM BETONEIRA 400 L, APLICADA COM PROJETOR TIPO CANEQUINHA EM PANOS DE FACHADA SEM PRESENÇA DE VÃOS, ESPESSURA DE 45 MM, ACESSO POR ANDAIME. AF_08/2022</t>
  </si>
  <si>
    <t>104245</t>
  </si>
  <si>
    <t>EMBOÇO OU MASSA ÚNICA EM ARGAMASSA TRAÇO 1:2:8, PREPARO MECÂNICA COM BETONEIRA 400 L, APLICADA MANUALMENTE EM PANOS DE FACHADA SEM PRESENÇA DE VÃOS, ESPESSURA DE 50 MM, ACESSO POR ANDAIME. AF_08/2022</t>
  </si>
  <si>
    <t>104246</t>
  </si>
  <si>
    <t>EMBOÇO OU MASSA ÚNICA EM ARGAMASSA TRAÇO 1:2:8, PREPARO MANUAL, APLICADA MANUALMENTE EM PANOS DE FACHADA SEM PRESENÇA DE VÃOS, ESPESSURA DE 50 MM, ACESSO POR ANDAIME. AF_08/2022</t>
  </si>
  <si>
    <t>104247</t>
  </si>
  <si>
    <t>EMBOÇO OU MASSA ÚNICA EM ARGAMASSA INDUSTRIALIZADA, PREPARO MECÂNICA E APLICAÇÃO COM EQUIPAMENTO DE MISTURA E PROJEÇÃO DE 1,5 M3/H DE ARGAMASSA EM PANOS DE FACHADA SEM PRESENÇA DE VÃOS, ESPESSURA DE 50 MM, ACESSO POR ANDAIME. AF_08/2022</t>
  </si>
  <si>
    <t>104248</t>
  </si>
  <si>
    <t>EMBOÇO OU MASSA ÚNICA EM ARGAMASSA TRAÇO 1:2:8, PREPARO MECÂNICA COM BETONEIRA 400 L, APLICADA COM PROJETOR TIPO CANEQUINHA EM PANOS DE FACHADA SEM PRESENÇA DE VÃOS, ESPESSURA DE 50 MM, ACESSO POR ANDAIME. AF_08/2022</t>
  </si>
  <si>
    <t>104249</t>
  </si>
  <si>
    <t>EMBOÇO OU MASSA ÚNICA EM ARGAMASSA TRAÇO 1:2:8, PREPARO MECÂNICA COM BETONEIRA 400 L, APLICADA MANUALMENTE EM SUPERFÍCIES EXTERNAS DA SACADA, ESPESSURA DE 25 MM, ACESSO POR ANDAIME, SEM USO DE TELA METÁLICA. AF_08/2022</t>
  </si>
  <si>
    <t>104250</t>
  </si>
  <si>
    <t>EMBOÇO OU MASSA ÚNICA EM ARGAMASSA TRAÇO 1:2:8, PREPARO MANUAL, APLICADA MANUALMENTE EM SUPERFÍCIES EXTERNAS DA SACADA, ESPESSURA DE 25 MM, ACESSO POR ANDAIME, SEM USO DE TELA METÁLICA. AF_08/2022</t>
  </si>
  <si>
    <t>104251</t>
  </si>
  <si>
    <t>EMBOÇO OU MASSA ÚNICA EM ARGAMASSA INDUSTRIALIZADA, PREPARO MECÂNICA E APLICAÇÃO COM EQUIPAMENTO DE MISTURA E PROJEÇÃO DE 1,5 M3/H DE ARGAMASSA EM PANOS DE FACHADA SUPERFÍCIES EXTERNAS DA SACADA, ESPESSURA DE 25 MM, ACESSO POR ANDAIME, SEM USO DE TELA METÁLICA. AF_08/2022</t>
  </si>
  <si>
    <t>104252</t>
  </si>
  <si>
    <t>EMBOÇO OU MASSA ÚNICA EM ARGAMASSA TRAÇO 1:2:8, PREPARO MECÂNICA COM BETONEIRA 400 L, APLICADA COM PROJETOR TIPO CANEQUINHA EM SUPERFÍCIES EXTERNAS DA SACADA, ESPESSURA DE 25 MM, ACESSO POR ANDAIME, SEM USO DE TELA METÁLICA. AF_08/2022</t>
  </si>
  <si>
    <t>104253</t>
  </si>
  <si>
    <t>EMBOÇO OU MASSA ÚNICA EM ARGAMASSA TRAÇO 1:2:8, PREPARO MECÂNICA COM BETONEIRA 400 L, APLICADA MANUALMENTE EM SUPERFÍCIES EXTERNAS DA SACADA, ESPESSURA DE 35 MM, ACESSO POR ANDAIME, SEM USO DE TELA METÁLICA. AF_08/2022</t>
  </si>
  <si>
    <t>104254</t>
  </si>
  <si>
    <t>EMBOÇO OU MASSA ÚNICA EM ARGAMASSA TRAÇO 1:2:8, PREPARO MANUAL, APLICADA MANUALMENTE EM SUPERFÍCIES EXTERNAS DA SACADA, ESPESSURA DE 35 MM, ACESSO POR ANDAIME, SEM USO DE TELA METÁLICA. AF_08/2022</t>
  </si>
  <si>
    <t>104255</t>
  </si>
  <si>
    <t>EMBOÇO OU MASSA ÚNICA EM ARGAMASSA INDUSTRIALIZADA, PREPARO MECÂNICO E APLICAÇÃO COM EQUIPAMENTO DE MISTURA E PROJEÇÃO DE 1,5 M3/H DE ARGAMASSA EM PANOS DE FACHADA SUPERFÍCIES EXTERNAS DA SACADA, ESPESSURA DE 35 MM, ACESSO POR ANDAIME, SEM USO DE TELA METÁLICA. AF_08/2022</t>
  </si>
  <si>
    <t>104256</t>
  </si>
  <si>
    <t>EMBOÇO OU MASSA ÚNICA EM ARGAMASSA TRAÇO 1:2:8, PREPARO MECÂNICO COM BETONEIRA 400 L, APLICADA COM PROJETOR TIPO CANEQUINHA EM SUPERFÍCIES EXTERNAS DA SACADA, ESPESSURA DE 35 MM, ACESSO POR ANDAIME, SEM USO DE TELA METÁLICA. AF_08/2022</t>
  </si>
  <si>
    <t>104257</t>
  </si>
  <si>
    <t>EMBOÇO OU MASSA ÚNICA EM ARGAMASSA TRAÇO 1:2:8, PREPARO MECÂNICO COM BETONEIRA 400 L, APLICADA MANUALMENTE EM SUPERFÍCIES EXTERNAS DA SACADA, ESPESSURA DE 45 MM, ACESSO POR ANDAIME, SEM USO DE TELA METÁLICA. AF_08/2022</t>
  </si>
  <si>
    <t>104258</t>
  </si>
  <si>
    <t>EMBOÇO OU MASSA ÚNICA EM ARGAMASSA TRAÇO 1:2:8, PREPARO MANUAL, APLICADA MANUALMENTE EM SUPERFÍCIES EXTERNAS DA SACADA, ESPESSURA DE 45 MM, ACESSO POR ANDAIME, SEM USO DE TELA METÁLICA. AF_08/2022</t>
  </si>
  <si>
    <t>104259</t>
  </si>
  <si>
    <t>EMBOÇO OU MASSA ÚNICA EM ARGAMASSA INDUSTRIALIZADA, PREPARO MECÂNICO E APLICAÇÃO COM EQUIPAMENTO DE MISTURA E PROJEÇÃO DE 1,5 M3/H DE ARGAMASSA EM PANOS DE FACHADA SUPERFÍCIES EXTERNAS DA SACADA, ESPESSURA DE 45 MM, ACESSO POR ANDAIME, SEM USO DE TELA METÁLICA. AF_08/2022</t>
  </si>
  <si>
    <t>104260</t>
  </si>
  <si>
    <t>EMBOÇO OU MASSA ÚNICA EM ARGAMASSA TRAÇO 1:2:8, PREPARO MECÂNICO COM BETONEIRA 400 L, APLICADA COM PROJETOR TIPO CANEQUINHA EM SUPERFÍCIES EXTERNAS DA SACADA, ESPESSURA DE 45 MM, ACESSO POR ANDAIME, SEM USO DE TELA METÁLICA. AF_08/2022</t>
  </si>
  <si>
    <t>104261</t>
  </si>
  <si>
    <t>EMBOÇO OU MASSA ÚNICA EM ARGAMASSA TRAÇO 1:2:8, PREPARO MECÂNICO COM BETONEIRA 400 L, APLICADA MANUALMENTE EM SUPERFÍCIES EXTERNAS DA SACADA, ESPESSURA DE 50 MM, ACESSO POR ANDAIME, SEM USO DE TELA METÁLICA. AF_08/2022</t>
  </si>
  <si>
    <t>104262</t>
  </si>
  <si>
    <t>EMBOÇO OU MASSA ÚNICA EM ARGAMASSA TRAÇO 1:2:8, PREPARO MANUAL, APLICADA MANUALMENTE EM SUPERFÍCIES EXTERNAS DA SACADA, ESPESSURA DE 50 MM, ACESSO POR ANDAIME, SEM USO DE TELA METÁLICA. AF_08/2022</t>
  </si>
  <si>
    <t>104263</t>
  </si>
  <si>
    <t>EMBOÇO OU MASSA ÚNICA EM ARGAMASSA INDUSTRIALIZADA, PREPARO MECÂNICO E APLICAÇÃO COM EQUIPAMENTO DE MISTURA E PROJEÇÃO DE 1,5 M3/H DE ARGAMASSA EM PANOS DE FACHADA SUPERFÍCIES EXTERNAS DA SACADA, ESPESSURA DE 50 MM, ACESSO POR ANDAIME, SEM USO DE TELA METÁLICA. AF_08/2022</t>
  </si>
  <si>
    <t>104264</t>
  </si>
  <si>
    <t>EMBOÇO OU MASSA ÚNICA EM ARGAMASSA TRAÇO 1:2:8, PREPARO MECÂNICO COM BETONEIRA 400 L, APLICADA COM PROJETOR TIPO CANEQUINHA EM SUPERFÍCIES EXTERNAS DA SACADA, ESPESSURA DE 50 MM, ACESSO POR ANDAIME, SEM USO DE TELA METÁLICA. AF_08/2022</t>
  </si>
  <si>
    <t>41,31</t>
  </si>
  <si>
    <t>43,02</t>
  </si>
  <si>
    <t>8,43</t>
  </si>
  <si>
    <t>5,61</t>
  </si>
  <si>
    <t>22,44</t>
  </si>
  <si>
    <t>40,00</t>
  </si>
  <si>
    <t>25,68</t>
  </si>
  <si>
    <t>22,37</t>
  </si>
  <si>
    <t>32,39</t>
  </si>
  <si>
    <t>6,10</t>
  </si>
  <si>
    <t>25,25</t>
  </si>
  <si>
    <t>9,76</t>
  </si>
  <si>
    <t>17,70</t>
  </si>
  <si>
    <t>22,67</t>
  </si>
  <si>
    <t>55,74</t>
  </si>
  <si>
    <t>13,02</t>
  </si>
  <si>
    <t>6,17</t>
  </si>
  <si>
    <t>Quadro elétrico tipo TTA completo, para uso externo, com 18 disjuntores terminais, contemplando disjuntores, DPS, DR, etc., conforme especificação</t>
  </si>
  <si>
    <t>Cerâmica esmaltada (G-Glazed), brilho ou acetinado, retificada ou não retificada, fabricante Eliane, modelo Branco Piscina, 20x20, fabricante Portobello, modelo Idea Bianco ou Antartida, 30x60, fabricante Biancogres, modelo Tradizione, 32x60, ou similares</t>
  </si>
  <si>
    <t>Cerâmica esmaltada (G-Glazed), acetinado, retificada ou não retificada, fabricante Eliane, modelo Cargo Plus White AC 45x45cm, ou similares</t>
  </si>
  <si>
    <t>Cerâmica Gail Industrial linha Gressit 300x300x9mm, 240x116x9mm ou 300x147x9mm cor 1001 – Bege ou similares</t>
  </si>
  <si>
    <t>Condulete de alumínio de 3/4’’</t>
  </si>
  <si>
    <t>Cerâmica para revestimento de PAREDES de superfícies internas</t>
  </si>
  <si>
    <t>Cerâmica para revestimento de pisos de superfícies internas</t>
  </si>
  <si>
    <t>Cerâmica de linha industrial para revestimento de PISOS E PAREDES de superfícies internas e externas</t>
  </si>
  <si>
    <t>Argamassa autonivelante para preparação/regularização de contrapiso</t>
  </si>
  <si>
    <t>6,91</t>
  </si>
  <si>
    <t>2,48</t>
  </si>
  <si>
    <t>223,28</t>
  </si>
  <si>
    <t>7,91</t>
  </si>
  <si>
    <t>21,74</t>
  </si>
  <si>
    <t>14,39</t>
  </si>
  <si>
    <t>56,44</t>
  </si>
  <si>
    <t>19,25</t>
  </si>
  <si>
    <t>1,54</t>
  </si>
  <si>
    <t>11,13</t>
  </si>
  <si>
    <t>25,30</t>
  </si>
  <si>
    <t>11,06</t>
  </si>
  <si>
    <t>2,55</t>
  </si>
  <si>
    <t>19,43</t>
  </si>
  <si>
    <t>12,78</t>
  </si>
  <si>
    <t>24,81</t>
  </si>
  <si>
    <t>11,68</t>
  </si>
  <si>
    <t>18,38</t>
  </si>
  <si>
    <t>15,41</t>
  </si>
  <si>
    <t>18,96</t>
  </si>
  <si>
    <t>5,70</t>
  </si>
  <si>
    <t>19,18</t>
  </si>
  <si>
    <t>17,85</t>
  </si>
  <si>
    <t>1,46</t>
  </si>
  <si>
    <t>5,87</t>
  </si>
  <si>
    <t>48,38</t>
  </si>
  <si>
    <t>3,67</t>
  </si>
  <si>
    <t>5,55</t>
  </si>
  <si>
    <t>19,56</t>
  </si>
  <si>
    <t>11,93</t>
  </si>
  <si>
    <t>25,92</t>
  </si>
  <si>
    <t>17,67</t>
  </si>
  <si>
    <t>37,50</t>
  </si>
  <si>
    <t>4,74</t>
  </si>
  <si>
    <t>3,39</t>
  </si>
  <si>
    <t>24,34</t>
  </si>
  <si>
    <t>25,32</t>
  </si>
  <si>
    <t>13,73</t>
  </si>
  <si>
    <t>20,71</t>
  </si>
  <si>
    <t>11,40</t>
  </si>
  <si>
    <t>19,88</t>
  </si>
  <si>
    <t>16,17</t>
  </si>
  <si>
    <t>7,39</t>
  </si>
  <si>
    <t>3,38</t>
  </si>
  <si>
    <t>1,19</t>
  </si>
  <si>
    <t>24,51</t>
  </si>
  <si>
    <t>23,60</t>
  </si>
  <si>
    <t>28,00</t>
  </si>
  <si>
    <t>27,07</t>
  </si>
  <si>
    <t>23,12</t>
  </si>
  <si>
    <t>19,85</t>
  </si>
  <si>
    <t>12,31</t>
  </si>
  <si>
    <t>7,47</t>
  </si>
  <si>
    <t>2,23</t>
  </si>
  <si>
    <t>21,25</t>
  </si>
  <si>
    <t>13,85</t>
  </si>
  <si>
    <t>34,29</t>
  </si>
  <si>
    <t>8,49</t>
  </si>
  <si>
    <t>28,69</t>
  </si>
  <si>
    <t>21,41</t>
  </si>
  <si>
    <t>120,94</t>
  </si>
  <si>
    <t>23,11</t>
  </si>
  <si>
    <t>16,03</t>
  </si>
  <si>
    <t>23,74</t>
  </si>
  <si>
    <t>16,77</t>
  </si>
  <si>
    <t>1,64</t>
  </si>
  <si>
    <t>26,04</t>
  </si>
  <si>
    <t>133,45</t>
  </si>
  <si>
    <t>8,25</t>
  </si>
  <si>
    <t>25,07</t>
  </si>
  <si>
    <t>3,47</t>
  </si>
  <si>
    <t>6,32</t>
  </si>
  <si>
    <t>23,30</t>
  </si>
  <si>
    <t>20,82</t>
  </si>
  <si>
    <t>TELHAMENTO COM TELHA ESTRUTURAL DE FIBROCIMENTO E= 8 MM, COM ATÉ 2 ÁGUAS, INCLUSO IÇAMENTO. AF_07/2019_PS</t>
  </si>
  <si>
    <t>102662</t>
  </si>
  <si>
    <t>DRENO SUBSUPERFICIAL (SEÇÃO 0,40 X 0,40 M), COM TUBO DE PVC CORRUGADO RÍGIDO PERFURADO, DN 100 MM, ENCHIMENTO COM AREIA. AF_07/2021</t>
  </si>
  <si>
    <t>102668</t>
  </si>
  <si>
    <t>DRENO SUBSUPERFICIAL (SEÇÃO 0,40 X 0,40 M), COM TUBO DE PVC CORRUGADO RÍGIDO PERFURADO, DN 100 MM, ENCHIMENTO COM BRITA, ENVOLVIDO COM MANTA GEOTÊXTIL. AF_07/2021</t>
  </si>
  <si>
    <t>102672</t>
  </si>
  <si>
    <t>DRENO PROFUNDO (SEÇÃO 0,50 X 1,50 M), COM TUBO DE PVC CORRUGADO RÍGIDO PERFURADO, DN 100 MM, ENCHIMENTO COM AREIA, COM SELO DE ARGILA. AF_07/2021</t>
  </si>
  <si>
    <t>102676</t>
  </si>
  <si>
    <t>DRENO PROFUNDO (SEÇÃO 0,50 X 1,50 M), COM TUBO DE PVC CORRUGADO RÍGIDO PERFURADO, DN 100 MM, ENCHIMENTO COM AREIA. AF_07/2021</t>
  </si>
  <si>
    <t>102681</t>
  </si>
  <si>
    <t>DRENO PROFUNDO (SEÇÃO 0,50 X 1,50 M), COM TUBO DE PVC CORRUGADO RÍGIDO PERFURADO, DN 100 MM, ENCHIMENTO COM BRITA, ENVOLVIDO COM MANTA GEOTÊXTIL, COM SELO DE ARGILA. AF_07/2021</t>
  </si>
  <si>
    <t>102685</t>
  </si>
  <si>
    <t>DRENO PROFUNDO (SEÇÃO 0,50 X 1,50 M), COM TUBO DE PVC CORRUGADO RÍGIDO PERFURADO, DN 100 MM, ENCHIMENTO COM BRITA, ENVOLVIDO COM MANTA GEOTÊXTIL. AF_07/2021</t>
  </si>
  <si>
    <t>102689</t>
  </si>
  <si>
    <t>DRENO ESPINHA DE PEIXE (SEÇÃO (0,40 X 0,40 M), COM TUBO DE PVC CORRUGADO RÍGIDO PERFURADO, DN 100 MM, ENCHIMENTO COM AREIA, INCLUSIVE CONEXÕES. AF_07/2021</t>
  </si>
  <si>
    <t>102693</t>
  </si>
  <si>
    <t>DRENO ESPINHA DE PEIXE (SEÇÃO (0,40 X 0,40 M), COM TUBO DE PVC CORRUGADO RÍGIDO PERFURADO, DN 100 MM, ENCHIMENTO COM BRITA, ENVOLVIDO COM MANTA GEOTÊXTIL, INCLUSIVE CONEXÕES. AF_07/2021</t>
  </si>
  <si>
    <t>102696</t>
  </si>
  <si>
    <t>DRENO ESPINHA DE PEIXE (SEÇÃO (0,50 X 0,80 M), COM TUBO DE PVC CORRUGADO RÍGIDO PERFURADO, DN 100 MM, ENCHIMENTO COM AREIA, INCLUSIVE CONEXÕES. AF_07/2021</t>
  </si>
  <si>
    <t>102703</t>
  </si>
  <si>
    <t>DRENO ESPINHA DE PEIXE (SEÇÃO (0,50 X 0,80 M), COM TUBO DE PVC CORRUGADO RÍGIDO PERFURADO, DN 100 MM, ENCHIMENTO COM BRITA, ENVOLVIDO COM MANTA GEOTÊXTIL, INCLUSIVE CONEXÕES. AF_07/2021</t>
  </si>
  <si>
    <t>102705</t>
  </si>
  <si>
    <t>TUBO DE PVC CORRUGADO RÍGIDO PERFURADO, DN 100 MM, PARA DRENO - FORNECIMENTO E ASSENTAMENTO. AF_07/2021</t>
  </si>
  <si>
    <t>POÇO DE INSPEÇÃO CIRCULAR PARA ESGOTO, EM CONCRETO PRÉ-MOLDADO, DIÂMETRO INTERNO = 0,60 M, PROFUNDIDADE = 0,90 M, EXCLUINDO TAMPÃO. AF_12/2020_PA</t>
  </si>
  <si>
    <t>POÇO DE INSPEÇÃO CIRCULAR PARA ESGOTO, EM CONCRETO PRÉ-MOLDADO, DIÂMETRO INTERNO = 0,60 M, PROFUNDIDADE = 1,40 M, EXCLUINDO TAMPÃO. AF_12/2020_PA</t>
  </si>
  <si>
    <t>POÇO DE INSPEÇÃO CIRCULAR PARA ESGOTO, EM ALVENARIA COM TIJOLOS CERÂMICOS MACIÇOS, DIÂMETRO INTERNO = 0,60 M, PROFUNDIDADE = 0,95 M, EXCLUINDO TAMPÃO. AF_12/2020_PA</t>
  </si>
  <si>
    <t>POÇO DE INSPEÇÃO CIRCULAR PARA ESGOTO, EM ALVENARIA COM TIJOLOS CERÂMICOS MACIÇOS, DIÂMETRO INTERNO = 0,60 M, PROFUNDIDADE = 1,45 M, EXCLUINDO TAMPÃO. AF_12/2020_PA</t>
  </si>
  <si>
    <t>BASE PARA POÇO DE VISITA CIRCULAR PARA ESGOTO, EM CONCRETO PRÉ-MOLDADO, DIÂMETRO INTERNO = 0,80 M, PROFUNDIDADE = 1,35 M, EXCLUINDO TAMPÃO. AF_12/2020_PA</t>
  </si>
  <si>
    <t>BASE PARA POÇO DE VISITA CIRCULAR PARA  ESGOTO, EM ALVENARIA COM TIJOLOS CERÂMICOS MACIÇOS, DIÂMETRO INTERNO = 0,80 M, PROFUNDIDADE = 1,40 M, EXCLUINDO TAMPÃO. AF_12/2020_PA</t>
  </si>
  <si>
    <t>BASE PARA POÇO DE VISITA CIRCULAR PARA  ESGOTO, EM ALVENARIA COM TIJOLOS CERÂMICOS MACIÇOS, DIÂMETRO INTERNO = 1,20 M, PROFUNDIDADE = 1,40 M, EXCLUINDO TAMPÃO. AF_12/2020_PA</t>
  </si>
  <si>
    <t>BASE PARA POÇO DE VISITA CIRCULAR PARA ESGOTO, EM ALVENARIA COM TIJOLOS CERÂMICOS MACIÇOS, DIÂMETRO INTERNO = 1,50 M, PROFUNDIDADE = 1,40 M, EXCLUINDO TAMPÃO. AF_12/2020_PA</t>
  </si>
  <si>
    <t>BASE PARA POÇO DE VISITA RETANGULAR PARA  ESGOTO, EM ALVENARIA COM BLOCOS DE CONCRETO, DIMENSÕES INTERNAS = 1X1 M, PROFUNDIDADE = 1,40 M, EXCLUINDO TAMPÃO. AF_12/2020_PA</t>
  </si>
  <si>
    <t>BASE PARA POÇO DE VISITA RETANGULAR PARA ESGOTO, EM ALVENARIA COM BLOCOS DE CONCRETO, DIMENSÕES INTERNAS = 1X1,5 M, PROFUNDIDADE = 1,40 M, EXCLUINDO TAMPÃO. AF_12/2020_PA</t>
  </si>
  <si>
    <t>BASE PARA POÇO DE VISITA RETANGULAR PARA ESGOTO, EM ALVENARIA COM BLOCOS DE CONCRETO, DIMENSÕES INTERNAS = 1X3 M, PROFUNDIDADE = 1,40 M, EXCLUINDO TAMPÃO. AF_12/2020_PA</t>
  </si>
  <si>
    <t>BASE PARA POÇO DE VISITA RETANGULAR PARA ESGOTO, EM ALVENARIA COM BLOCOS DE CONCRETO, DIMENSÕES INTERNAS = 1X4 M, PROFUNDIDADE = 1,40 M, EXCLUINDO TAMPÃO. AF_12/2020_PA</t>
  </si>
  <si>
    <t>BASE PARA POÇO DE VISITA RETANGULAR PARA ESGOTO, EM ALVENARIA COM BLOCOS DE CONCRETO, DIMENSÕES INTERNAS = 1,5X1,5 M, PROFUNDIDADE = 1,45 M, EXCLUINDO TAMPÃO . AF_12/2020_PA</t>
  </si>
  <si>
    <t>BASE PARA POÇO DE VISITA RETANGULAR PARA ESGOTO, EM ALVENARIA COM BLOCOS DE CONCRETO, DIMENSÕES INTERNAS = 1,5X2 M, PROFUNDIDADE = 1,40 M, EXCLUINDO TAMPÃO. AF_12/2020_PA</t>
  </si>
  <si>
    <t>BASE PARA POÇO DE VISITA RETANGULAR PARA ESGOTO, EM ALVENARIA COM BLOCOS DE CONCRETO, DIMENSÕES INTERNAS = 1,5X2,5 M, PROFUNDIDADE = 1,40 M, EXCLUINDO TAMPÃO. AF_12/2020_PA</t>
  </si>
  <si>
    <t>BASE PARA POÇO DE VISITA RETANGULAR PARA ESGOTO, EM ALVENARIA COM BLOCOS DE CONCRETO, DIMENSÕES INTERNAS = 1,5X3 M, PROFUNDIDADE = 1,40 M, EXCLUINDO TAMPÃO. AF_12/2020_PA</t>
  </si>
  <si>
    <t>BASE PARA POÇO DE VISITA RETANGULAR PARA ESGOTO, EM ALVENARIA COM BLOCOS DE CONCRETO, DIMENSÕES INTERNAS = 1,5X3,5 M, PROFUNDIDADE = 1,40 M, EXCLUINDO TAMPÃO. AF_12/2020_PA</t>
  </si>
  <si>
    <t>BASE PARA POÇO DE VISITA RETANGULAR PARA ESGOTO, EM ALVENARIA COM BLOCOS DE CONCRETO, DIMENSÕES INTERNAS = 1,5X4 M, PROFUNDIDADE = 1,40 M, EXCLUINDO TAMPÃO. AF_12/2020_PA</t>
  </si>
  <si>
    <t>BASE PARA POÇO DE VISITA RETANGULAR PARA ESGOTO, EM ALVENARIA COM BLOCOS DE CONCRETO, DIMENSÕES INTERNAS = 2X2 M, PROFUNDIDADE = 1,40 M, EXCLUINDO TAMPÃO. AF_12/2020_PA</t>
  </si>
  <si>
    <t>BASE PARA POÇO DE VISITA RETANGULAR PARA ESGOTO, EM ALVENARIA COM BLOCOS DE CONCRETO, DIMENSÕES INTERNAS = 2X2,5 M, PROFUNDIDADE = 1,40 M, EXCLUINDO TAMPÃO. AF_12/2020_PA</t>
  </si>
  <si>
    <t>BASE PARA POÇO DE VISITA RETANGULAR PARA ESGOTO, EM ALVENARIA COM BLOCOS DE CONCRETO, DIMENSÕES INTERNAS = 2X3 M, PROFUNDIDADE = 1,40 M, EXCLUINDO TAMPÃO. AF_12/2020_PA</t>
  </si>
  <si>
    <t>BASE PARA POÇO DE VISITA RETANGULAR PARA ESGOTO, EM ALVENARIA COM BLOCOS DE CONCRETO, DIMENSÕES INTERNAS = 2X3,5 M, PROFUNDIDADE = 1,40 M, EXCLUINDO TAMPÃO. AF_12/2020_PA</t>
  </si>
  <si>
    <t>BASE PARA POÇO DE VISITA RETANGULAR PARA ESGOTO, EM ALVENARIA COM BLOCOS DE CONCRETO, DIMENSÕES INTERNAS = 2X4 M, PROFUNDIDADE = 1,40 M, EXCLUINDO TAMPÃO. AF_12/2020_PA</t>
  </si>
  <si>
    <t>BASE PARA POÇO DE VISITA RETANGULAR PARA ESGOTO, EM ALVENARIA COM BLOCOS DE CONCRETO, DIMENSÕES INTERNAS = 2,5X2,5 M, PROFUNDIDADE = 1,40 M, EXCLUINDO TAMPÃO. AF_12/2020_PA</t>
  </si>
  <si>
    <t>BASE PARA POÇO DE VISITA RETANGULAR PARA ESGOTO, EM ALVENARIA COM BLOCOS DE CONCRETO, DIMENSÕES INTERNAS = 2,5X3 M, PROFUNDIDADE = 1,40 M, EXCLUINDO TAMPÃO. AF_12/2020_PA</t>
  </si>
  <si>
    <t>BASE PARA POÇO DE VISITA RETANGULAR PARA ESGOTO, EM ALVENARIA COM BLOCOS DE CONCRETO, DIMENSÕES INTERNAS = 2,5X3,5 M, PROFUNDIDADE = 1,40 M, EXCLUINDO TAMPÃO. AF_12/2020_PA</t>
  </si>
  <si>
    <t>BASE PARA POÇO DE VISITA RETANGULAR PARA ESGOTO, EM ALVENARIA COM BLOCOS DE CONCRETO, DIMENSÕES INTERNAS = 2,5X4 M, PROFUNDIDADE = 1,40 M, EXCLUINDO TAMPÃO. AF_12/2020_PA</t>
  </si>
  <si>
    <t>BASE PARA POÇO DE VISITA RETANGULAR PARA ESGOTO, EM ALVENARIA COM BLOCOS DE CONCRETO, DIMENSÕES INTERNAS = 3X3 M, PROFUNDIDADE = 1,40 M, EXCLUINDO TAMPÃO. AF_12/2020_PA</t>
  </si>
  <si>
    <t>BASE PARA POÇO DE VISITA RETANGULAR PARA ESGOTO, EM ALVENARIA COM BLOCOS DE CONCRETO, DIMENSÕES INTERNAS = 3X3,5 M, PROFUNDIDADE = 1,40 M, EXCLUINDO TAMPÃO. AF_12/2020_PA</t>
  </si>
  <si>
    <t>BASE PARA POÇO DE VISITA RETANGULAR PARA ESGOTO, EM ALVENARIA COM BLOCOS DE CONCRETO, DIMENSÕES INTERNAS = 3X4 M, PROFUNDIDADE = 1,40 M, EXCLUINDO TAMPÃO. AF_12/2020_PA</t>
  </si>
  <si>
    <t>BASE PARA POÇO DE VISITA RETANGULAR PARA ESGOTO, EM ALVENARIA COM BLOCOS DE CONCRETO, DIMENSÕES INTERNAS = 3,5X3,5 M, PROFUNDIDADE = 1,40 M, EXCLUINDO TAMPÃO. AF_12/2020_PA</t>
  </si>
  <si>
    <t>BASE PARA POÇO DE VISITA RETANGULAR PARA ESGOTO, EM ALVENARIA COM BLOCOS DE CONCRETO, DIMENSÕES INTERNAS = 3,5X4 M, PROFUNDIDADE = 1,40 M, EXCLUINDO TAMPÃO. AF_12/2020_PA</t>
  </si>
  <si>
    <t>BASE PARA POÇO DE VISITA RETANGULAR PARA ESGOTO, EM ALVENARIA COM BLOCOS DE CONCRETO, DIMENSÕES INTERNAS = 4X4 M, PROFUNDIDADE = 1,45 M, EXCLUINDO TAMPÃO. AF_12/2020_PA</t>
  </si>
  <si>
    <t>BASE PARA POÇO DE VISITA CIRCULAR PARA  ESGOTO, EM ALVENARIA COM TIJOLOS CERÂMICOS MACIÇOS, DIÂMETRO INTERNO = 1,0 M, PROFUNDIDADE = 1,40 M, EXCLUINDO TAMPÃO. AF_12/2020_PA</t>
  </si>
  <si>
    <t>BASE PARA POÇO DE VISITA RETANGULAR PARA ESGOTO, EM ALVENARIA COM BLOCOS DE CONCRETO, DIMENSÕES INTERNAS = 1X3,5 M, PROFUNDIDADE = 1,40 M, EXCLUINDO TAMPÃO. AF_12/2020_PA</t>
  </si>
  <si>
    <t>BASE PARA POÇO DE VISITA RETANGULAR PARA ESGOTO, EM ALVENARIA COM BLOCOS DE CONCRETO, DIMENSÕES INTERNAS = 1X2 M, PROFUNDIDADE = 1,40 M, EXCLUINDO TAMPÃO. AF_12/2020_PA</t>
  </si>
  <si>
    <t>BASE PARA POÇO DE VISITA RETANGULAR PARA ESGOTO, EM ALVENARIA COM BLOCOS DE CONCRETO, DIMENSÕES INTERNAS = 1X2,5 M, PROFUNDIDADE = 1,40 M, EXCLUINDO TAMPÃO. AF_12/2020_PA</t>
  </si>
  <si>
    <t>BASE PARA POÇO DE VISITA CIRCULAR PARA ESGOTO, EM CONCRETO PRÉ-MOLDADO, DIÂMETRO INTERNO = 1,0 M, PROFUNDIDADE = 1,35 M, EXCLUINDO TAMPÃO. AF_12/2020_PA</t>
  </si>
  <si>
    <t>BASE PARA POÇO DE VISITA CIRCULAR PARA DRENAGEM, EM ALVENARIA COM TIJOLOS CERÂMICOS MACIÇOS, DIÂMETRO INTERNO = 1,2 M, PROFUNDIDADE = 1,40 M, EXCLUINDO TAMPÃO. AF_12/2020_PA</t>
  </si>
  <si>
    <t>BASE PARA POÇO DE VISITA RETANGULAR PARA DRENAGEM, EM ALVENARIA COM BLOCOS DE CONCRETO, DIMENSÕES INTERNAS = 1,5X2 M, PROFUNDIDADE = 1,40 M, EXCLUINDO TAMPÃO. AF_12/2020_PA</t>
  </si>
  <si>
    <t>BASE PARA POÇO DE VISITA CIRCULAR PARA DRENAGEM, EM ALVENARIA COM TIJOLOS CERÂMICOS MACIÇOS, DIÂMETRO INTERNO = 1,50 M, PROFUNDIDADE = 1,40 M, EXCLUINDO TAMPÃO. AF_12/2020_PA</t>
  </si>
  <si>
    <t>BASE PARA POÇO DE VISITA RETANGULAR PARA DRENAGEM, EM ALVENARIA COM BLOCOS DE CONCRETO, DIMENSÕES INTERNAS = 1X1 M, PROFUNDIDADE = 1,40 M, EXCLUINDO TAMPÃO. AF_12/2020_PA</t>
  </si>
  <si>
    <t>BASE PARA POÇO DE VISITA RETANGULAR PARA DRENAGEM, EM ALVENARIA COM BLOCOS DE CONCRETO, DIMENSÕES INTERNAS = 1,5X2,5 M, PROFUNDIDADE = 1,40 M, EXCLUINDO TAMPÃO. AF_12/2020_PA</t>
  </si>
  <si>
    <t>BASE PARA POÇO DE VISITA RETANGULAR PARA DRENAGEM, EM ALVENARIA COM BLOCOS DE CONCRETO, DIMENSÕES INTERNAS = 1X1,5 M, PROFUNDIDADE = 1,40 M, EXCLUINDO TAMPÃO. AF_12/2020_PA</t>
  </si>
  <si>
    <t>BASE PARA POÇO DE VISITA RETANGULAR PARA DRENAGEM, EM ALVENARIA COM BLOCOS DE CONCRETO, DIMENSÕES INTERNAS = 1X2 M, PROFUNDIDADE = 1,40 M, EXCLUINDO TAMPÃO. AF_12/2020_PA</t>
  </si>
  <si>
    <t>BASE PARA POÇO DE VISITA RETANGULAR PARA DRENAGEM, EM ALVENARIA COM BLOCOS DE CONCRETO, DIMENSÕES INTERNAS = 1X2,5 M, PROFUNDIDADE = 1,40 M, EXCLUINDO TAMPÃO. AF_12/2020_PA</t>
  </si>
  <si>
    <t>POÇO DE INSPEÇÃO CIRCULAR PARA DRENAGEM, EM CONCRETO PRÉ-MOLDADO, DIÂMETRO INTERNO = 0,60 M, PROFUNDIDADE = 0,90 M, EXCLUINDO TAMPÃO. AF_12/2020_PA</t>
  </si>
  <si>
    <t>POÇO DE INSPEÇÃO CIRCULAR PARA DRENAGEM, EM CONCRETO PRÉ-MOLDADO, DIÂMETRO INTERNO = 0,60 M, PROFUNDIDADE = 1,40 M, EXCLUINDO TAMPÃO. AF_12/2020_PA</t>
  </si>
  <si>
    <t>BASE PARA POÇO DE VISITA RETANGULAR PARA DRENAGEM, EM ALVENARIA COM BLOCOS DE CONCRETO, DIMENSÕES INTERNAS = 1,5X3 M, PROFUNDIDADE = 1,40 M, EXCLUINDO TAMPÃO. AF_12/2020_PA</t>
  </si>
  <si>
    <t>POÇO DE INSPEÇÃO CIRCULAR PARA DRENAGEM, EM ALVENARIA COM TIJOLOS CERÂMICOS MACIÇOS, DIÂMETRO INTERNO = 0,60 M, PROFUNDIDADE = 0,95 M, EXCLUINDO TAMPÃO. AF_12/2020_PA</t>
  </si>
  <si>
    <t>POÇO DE INSPEÇÃO CIRCULAR PARA DRENAGEM, EM ALVENARIA COM TIJOLOS CERÂMICOS MACIÇOS, DIÂMETRO INTERNO = 0,60 M, PROFUNDIDADE = 1,45 M, EXCLUINDO TAMPÃO. AF_12/2020_PA</t>
  </si>
  <si>
    <t>BASE PARA POÇO DE VISITA RETANGULAR PARA DRENAGEM, EM ALVENARIA COM BLOCOS DE CONCRETO, DIMENSÕES INTERNAS = 1X3 M, PROFUNDIDADE = 1,40 M, EXCLUINDO TAMPÃO. AF_12/2020_PA</t>
  </si>
  <si>
    <t>BASE PARA POÇO DE VISITA CIRCULAR PARA DRENAGEM, EM CONCRETO PRÉ-MOLDADO, DIÂMETRO INTERNO = 0,80 M, PROFUNDIDADE = 1,35 M, EXCLUINDO TAMPÃO. AF_12/2020_PA</t>
  </si>
  <si>
    <t>BASE PARA POÇO DE VISITA RETANGULAR PARA DRENAGEM, EM ALVENARIA COM BLOCOS DE CONCRETO, DIMENSÕES INTERNAS = 1X3,5 M, PROFUNDIDADE = 1,40 M, EXCLUINDO TAMPÃO. AF_12/2020_PA</t>
  </si>
  <si>
    <t>BASE PARA POÇO DE VISITA CIRCULAR PARA DRENAGEM, EM ALVENARIA COM TIJOLOS CERÂMICOS MACIÇOS, DIÂMETRO INTERNO = 0,80 M, PROFUNDIDADE = 1,40 M, EXCLUINDO TAMPÃO. AF_12/2020_PA</t>
  </si>
  <si>
    <t>BASE PARA POÇO DE VISITA RETANGULAR PARA DRENAGEM, EM ALVENARIA COM BLOCOS DE CONCRETO, DIMENSÕES INTERNAS = 1,5X3,5 M, PROFUNDIDADE = 1,40 M, EXCLUINDO TAMPÃO. AF_12/2020_PA</t>
  </si>
  <si>
    <t>BASE PARA POÇO DE VISITA CIRCULAR PARA DRENAGEM, EM CONCRETO PRÉ-MOLDADO, DIÂMETRO INTERNO = 1,0 M, PROFUNDIDADE = 1,35 M, EXCLUINDO TAMPÃO. AF_05/2018_PA</t>
  </si>
  <si>
    <t>BASE PARA POÇO DE VISITA RETANGULAR PARA DRENAGEM, EM ALVENARIA COM BLOCOS DE CONCRETO, DIMENSÕES INTERNAS = 1X4 M, PROFUNDIDADE = 1,40 M, EXCLUINDO TAMPÃO. AF_12/2020_PA</t>
  </si>
  <si>
    <t>BASE PARA POÇO DE VISITA RETANGULAR PARA DRENAGEM, EM ALVENARIA COM BLOCOS DE CONCRETO, DIMENSÕES INTERNAS = 2,5X3 M, PROFUNDIDADE = 1,40 M, EXCLUINDO TAMPÃO. AF_12/2020_PA</t>
  </si>
  <si>
    <t>BASE PARA POÇO DE VISITA RETANGULAR PARA DRENAGEM, EM ALVENARIA COM BLOCOS DE CONCRETO, DIMENSÕES INTERNAS = 1,5X1,5 M, PROFUNDIDADE = 1,40 M, EXCLUINDO TAMPÃO. AF_12/2020_PA</t>
  </si>
  <si>
    <t>BASE PARA POÇO DE VISITA CIRCULAR PARA DRENAGEM, EM ALVENARIA COM TIJOLOS CERÂMICOS MACIÇOS, DIÂMETRO INTERNO = 1,0 M, PROFUNDIDADE = 1,40 M, EXCLUINDO TAMPÃO. AF_12/2020_PA</t>
  </si>
  <si>
    <t>BASE PARA POÇO DE VISITA RETANGULAR PARA DRENAGEM, EM ALVENARIA COM BLOCOS DE CONCRETO, DIMENSÕES INTERNAS = 1,5X4 M, PROFUNDIDADE = 1,40 M, EXCLUINDO TAMPÃO. AF_12/2020_PA</t>
  </si>
  <si>
    <t>BASE PARA POÇO DE VISITA RETANGULAR PARA DRENAGEM, EM ALVENARIA COM BLOCOS DE CONCRETO, DIMENSÕES INTERNAS = 2,5X3,5 M, PROFUNDIDADE = 1,40 M, EXCLUINDO TAMPÃO. AF_12/2020_PA</t>
  </si>
  <si>
    <t>BASE PARA POÇO DE VISITA RETANGULAR PARA DRENAGEM, EM ALVENARIA COM BLOCOS DE CONCRETO, DIMENSÕES INTERNAS = 2,5X4 M, PROFUNDIDADE = 1,40 M, EXCLUINDO TAMPÃO. AF_12/2020_PA</t>
  </si>
  <si>
    <t>BASE PARA POÇO DE VISITA RETANGULAR PARA DRENAGEM, EM ALVENARIA COM BLOCOS DE CONCRETO, DIMENSÕES INTERNAS = 2X2 M, PROFUNDIDADE = 1,40 M, EXCLUINDO TAMPÃO. AF_12/2020_PA</t>
  </si>
  <si>
    <t>BASE PARA POÇO DE VISITA RETANGULAR PARA DRENAGEM, EM ALVENARIA COM BLOCOS DE CONCRETO, DIMENSÕES INTERNAS = 3X3 M, PROFUNDIDADE = 1,40 M, EXCLUINDO TAMPÃO. AF_12/2020_PA</t>
  </si>
  <si>
    <t>BASE PARA POÇO DE VISITA RETANGULAR PARA DRENAGEM, EM ALVENARIA COM BLOCOS DE CONCRETO, DIMENSÕES INTERNAS = 3X3,5 M, PROFUNDIDADE = 1,40 M, EXCLUINDO TAMPÃO. AF_12/2020_PA</t>
  </si>
  <si>
    <t>BASE PARA POÇO DE VISITA RETANGULAR PARA DRENAGEM, EM ALVENARIA COM BLOCOS DE CONCRETO, DIMENSÕES INTERNAS = 3X4 M, PROFUNDIDADE = 1,40 M, EXCLUINDO TAMPÃO. AF_12/2020_PA</t>
  </si>
  <si>
    <t>BASE PARA POÇO DE VISITA RETANGULAR PARA DRENAGEM, EM ALVENARIA COM BLOCOS DE CONCRETO, DIMENSÕES INTERNAS = 3,5X3,5 M, PROFUNDIDADE = 1,40 M, EXCLUINDO TAMPÃO. AF_12/2020_PA</t>
  </si>
  <si>
    <t>BASE PARA POÇO DE VISITA RETANGULAR PARA DRENAGEM, EM ALVENARIA COM BLOCOS DE CONCRETO, DIMENSÕES INTERNAS = 2X2,5 M, PROFUNDIDADE = 1,40 M, EXCLUINDO TAMPÃO. AF_12/2020_PA</t>
  </si>
  <si>
    <t>BASE PARA POÇO DE VISITA RETANGULAR PARA DRENAGEM, EM ALVENARIA COM BLOCOS DE CONCRETO, DIMENSÕES INTERNAS = 3,5X4 M, PROFUNDIDADE = 1,40 M, EXCLUINDO TAMPÃO. AF_12/2020_PA</t>
  </si>
  <si>
    <t>BASE PARA POÇO DE VISITA RETANGULAR PARA DRENAGEM, EM ALVENARIA COM BLOCOS DE CONCRETO, DIMENSÕES INTERNAS = 4X4 M, PROFUNDIDADE = 1,40 M, EXCLUINDO TAMPÃO. AF_12/2020_PA</t>
  </si>
  <si>
    <t>BASE PARA POÇO DE VISITA RETANGULAR PARA DRENAGEM, EM ALVENARIA COM BLOCOS DE CONCRETO, DIMENSÕES INTERNAS = 2X3 M, PROFUNDIDADE = 1,40 M, EXCLUINDO TAMPÃO. AF_12/2020_PA</t>
  </si>
  <si>
    <t>BASE PARA POÇO DE VISITA RETANGULAR PARA DRENAGEM, EM ALVENARIA COM BLOCOS DE CONCRETO, DIMENSÕES INTERNAS = 2X3,5 M, PROFUNDIDADE = 1,40 M, EXCLUINDO TAMPÃO. AF_12/2020_PA</t>
  </si>
  <si>
    <t>BASE PARA POÇO DE VISITA RETANGULAR PARA DRENAGEM, EM ALVENARIA COM BLOCOS DE CONCRETO, DIMENSÕES INTERNAS = 2X4 M, PROFUNDIDADE = 1,40 M, EXCLUINDO TAMPÃO. AF_12/2020_PA</t>
  </si>
  <si>
    <t>BASE PARA POÇO DE VISITA RETANGULAR PARA DRENAGEM, EM ALVENARIA COM BLOCOS DE CONCRETO, DIMENSÕES INTERNAS = 2,5X2,5 M, PROFUNDIDADE = 1,40 M, EXCLUINDO TAMPÃO. AF_12/2020_PA</t>
  </si>
  <si>
    <t>BASE PARA POCO DE VISITA RETANGULAR PARA ESGOTO E DRENAGEM, EM CONCRETO ESTRUTURAL, DIMENSÕES INTERNAS DE 90X150 M, PROFUNDIDADE DE 1,25 M, EXCLUINDO TAMPÃO. AF_12/2020_PA</t>
  </si>
  <si>
    <t>BASE PARA POÇO DE VISITA CIRCULAR PARA  ESGOTO, EM CONCRETO PRÉ-MOLDADO, DIÂMETRO INTERNO = 1,20 M, PROFUNDIDADE = 1,60 M, EXCLUINDO TAMPÃO. AF_12/2020_PA</t>
  </si>
  <si>
    <t>BASE PARA POÇO DE VISITA CIRCULAR PARA  ESGOTO, EM CONCRETO PRÉ-MOLDADO, DIÂMETRO INTERNO = 1,50 M, PROFUNDIDADE = 1,35 M, EXCLUINDO TAMPÃO. AF_12/2020_PA</t>
  </si>
  <si>
    <t>BASE PARA POÇO DE VISITA CIRCULAR PARA DRENAGEM, EM CONCRETO PRÉ-MOLDADO, DIÂMETRO INTERNO = 1,50 M, PROFUNDIDADE = 1,35 M, EXCLUINDO TAMPÃO. AF_12/2020_PA</t>
  </si>
  <si>
    <t>BASE PARA POÇO DE VISITA CIRCULAR PARA DRENAGEM, EM CONCRETO PRÉ-MOLDADO, DIÂMETRO INTERNO = 1,20 M, PROFUNDIDADE = 1,60 M, EXCLUINDO TAMPÃO. AF_05/2021_PA</t>
  </si>
  <si>
    <t>GUIA (MEIO-FIO) E SARJETA CONJUGADOS DE CONCRETO, MOLDADA  IN LOCO  EM TRECHO RETO COM EXTRUSORA, 65 CM BASE (15 CM BASE DA GUIA + 50 CM BASE DA SARJETA) X 30 CM ALTURA. AF_06/2016</t>
  </si>
  <si>
    <t>ASSENTAMENTO DE GUIA (MEIO-FIO) EM TRECHO RETO, CONFECCIONADA EM CONCRETO PRÉ-FABRICADO, DIMENSÕES 100X15X13X20 CM (COMPRIMENTO X BASE INFERIOR X BASE SUPERIOR X ALTURA), PARA URBANIZAÇÃO INTERNA DE EMPREENDIMENTOS. AF_06/2016</t>
  </si>
  <si>
    <t>ASSENTAMENTO DE GUIA (MEIO-FIO) EM TRECHO CURVO, CONFECCIONADA EM CONCRETO PRÉ-FABRICADO, DIMENSÕES 100X15X13X20 CM (COMPRIMENTO X BASE INFERIOR X BASE SUPERIOR X ALTURA), PARA URBANIZAÇÃO INTERNA DE EMPREENDIMENTOS. AF_06/2016</t>
  </si>
  <si>
    <t>51,83</t>
  </si>
  <si>
    <t>GUARDA-CORPO DE AÇO GALVANIZADO DE 1,10M, MONTANTES TUBULARES DE 1.1/4 ESPAÇADOS DE 1,20M, TRAVESSA SUPERIOR DE 1.1/2, GRADIL FORMADO POR TUBOS HORIZONTAIS DE 1 E VERTICAIS DE 3/4, FIXADO COM CHUMBADOR MECÂNICO. AF_04/2019_PS</t>
  </si>
  <si>
    <t>GUARDA-CORPO DE AÇO GALVANIZADO DE 1,10M DE ALTURA, MONTANTES TUBULARES DE 1.1/2  ESPAÇADOS DE 1,20M, TRAVESSA SUPERIOR DE 2 , GRADIL FORMADO POR BARRAS CHATAS EM FERRO DE 32X4,8MM, FIXADO COM CHUMBADOR MECÂNICO. AF_04/2019_PS</t>
  </si>
  <si>
    <t>GUARDA-CORPO PANORÂMICO COM PERFIS DE ALUMÍNIO E VIDRO LAMINADO 8 MM, FIXADO COM CHUMBADOR MECÂNICO. AF_04/2019_PS</t>
  </si>
  <si>
    <t>CORRIMÃO SIMPLES, DIÂMETRO EXTERNO = 1 1/2, EM AÇO GALVANIZADO. AF_04/2019_PS</t>
  </si>
  <si>
    <t>CORRIMÃO SIMPLES, DIÂMETRO EXTERNO = 1 1/2, EM ALUMÍNIO. AF_04/2019_PS</t>
  </si>
  <si>
    <t>INSTALAÇÃO DE VIDRO LISO INCOLOR, E = 3 MM, EM ESQUADRIA DE ALUMÍNIO OU PVC, FIXADO COM BAGUETE. AF_01/2021_PS</t>
  </si>
  <si>
    <t>INSTALAÇÃO DE VIDRO LISO INCOLOR, E = 4 MM, EM ESQUADRIA DE ALUMÍNIO OU PVC, FIXADO COM BAGUETE. AF_01/2021_PS</t>
  </si>
  <si>
    <t>INSTALAÇÃO DE VIDRO LISO FUME, E = 4 MM, EM ESQUADRIA DE ALUMÍNIO OU PVC, FIXADO COM BAGUETE. AF_01/2021_PS</t>
  </si>
  <si>
    <t>INSTALAÇÃO DE VIDRO LISO INCOLOR, E = 5 MM, EM ESQUADRIA DE ALUMÍNIO OU PVC, FIXADO COM BAGUETE. AF_01/2021_PS</t>
  </si>
  <si>
    <t>INSTALAÇÃO DE VIDRO LISO FUME, E = 5 MM, EM ESQUADRIA DE ALUMÍNIO OU PVC, FIXADO COM BAGUETE. AF_01/2021_PS</t>
  </si>
  <si>
    <t>INSTALAÇÃO DE VIDRO LISO INCOLOR, E = 6 MM, EM ESQUADRIA DE ALUMÍNIO OU PVC, FIXADO COM BAGUETE. AF_01/2021_PS</t>
  </si>
  <si>
    <t>INSTALAÇÃO DE VIDRO LISO FUME, E = 6 MM, EM ESQUADRIA DE ALUMÍNIO OU PVC, FIXADO COM BAGUETE. AF_01/2021_PS</t>
  </si>
  <si>
    <t>INSTALAÇÃO DE VIDRO LISO INCOLOR, E = 8 MM, EM ESQUADRIA DE ALUMÍNIO OU PVC, FIXADO COM BAGUETE. AF_01/2021_PS</t>
  </si>
  <si>
    <t>INSTALAÇÃO DE VIDRO LISO INCOLOR, E = 10 MM, EM ESQUADRIA DE ALUMÍNIO OU PVC, FIXADO COM BAGUETE. AF_01/2021_PS</t>
  </si>
  <si>
    <t>INSTALAÇÃO DE VIDRO IMPRESSO, E = 4 MM, EM ESQUADRIA DE ALUMÍNIO OU PVC, FIXADO COM BAGUETE. AF_01/2021_PS</t>
  </si>
  <si>
    <t>INSTALAÇÃO DE VIDRO ARAMADO, E = 6 MM, EM ESQUADRIA DE ALUMÍNIO OU PVC, FIXADO COM BAGUETE. AF_01/2021_PS</t>
  </si>
  <si>
    <t>INSTALAÇÃO DE VIDRO ARAMADO, E = 7 MM, EM ESQUADRIA DE ALUMÍNIO OU PVC, FIXADO COM BAGUETE. AF_01/2021_PS</t>
  </si>
  <si>
    <t>INSTALAÇÃO DE VIDRO LAMINADO, E = 8 MM (4+4), ENCAIXADO EM PERFIL U. AF_01/2021_PS</t>
  </si>
  <si>
    <t>INSTALAÇÃO DE VIDRO LAMINADO, E = 12 MM (4+4+4), ENCAIXADO EM PERFIL U. AF_01/2021_PS</t>
  </si>
  <si>
    <t>INSTALAÇÃO DE VIDRO LAMINADO, E = 15 MM (5+5+5), ENCAIXADO EM PERFIL U. AF_01/2021_PS</t>
  </si>
  <si>
    <t>INSTALAÇÃO DE VIDRO TEMPERADO, E = 6 MM, ENCAIXADO EM PERFIL U. AF_01/2021_PS</t>
  </si>
  <si>
    <t>INSTALAÇÃO DE VIDRO TEMPERADO, E = 8 MM, ENCAIXADO EM PERFIL U. AF_01/2021_PS</t>
  </si>
  <si>
    <t>INSTALAÇÃO DE VIDRO TEMPERADO, E = 10 MM, ENCAIXADO EM PERFIL U. AF_01/2021_PS</t>
  </si>
  <si>
    <t>16,18</t>
  </si>
  <si>
    <t>13,84</t>
  </si>
  <si>
    <t>MONTAGEM DE ARMADURA DE ESTACAS, DIÂMETRO = 8,0 MM. AF_09/2021_PS</t>
  </si>
  <si>
    <t>MONTAGEM DE ARMADURA DE ESTACAS, DIÂMETRO = 10,0 MM. AF_09/2021_PS</t>
  </si>
  <si>
    <t>MONTAGEM DE ARMADURA DE ESTACAS, DIÂMETRO = 12,5 MM. AF_09/2021_PS</t>
  </si>
  <si>
    <t>MONTAGEM DE ARMADURA DE ESTACAS, DIÂMETRO = 16,0 MM. AF_09/2021_PS</t>
  </si>
  <si>
    <t>MONTAGEM DE ARMADURA DE ESTACAS, DIÂMETRO = 20,0 MM. AF_09/2021_PS</t>
  </si>
  <si>
    <t>MONTAGEM DE ARMADURA DE ESTACAS, DIÂMETRO = 25,0 MM. AF_09/2021_PS</t>
  </si>
  <si>
    <t>MONTAGEM DE ARMADURA TRANSVERSAL DE ESTACAS DE SEÇÃO CIRCULAR, DIÂMETRO = 5,0 MM. AF_09/2021_PS</t>
  </si>
  <si>
    <t>MONTAGEM DE ARMADURA TRANSVERSAL DE ESTACAS DE SEÇÃO CIRCULAR, DIÂMETRO = 6,30 MM. AF_09/2021_PS</t>
  </si>
  <si>
    <t>MONTAGEM DE ARMADURA TRANVERSAL DE ESTACAS DE SEÇÃO RETANGULAR, DIÂMETRO = 5,0 MM. AF_09/2021_PS</t>
  </si>
  <si>
    <t>MONTAGEM DE ARMADURA TRANSVERSAL DE ESTACAS DE SEÇÃO RETANGULAR, DIÂMETRO = 6,30 MM. AF_09/2021_PS</t>
  </si>
  <si>
    <t>25,26</t>
  </si>
  <si>
    <t>PEÇA CIRCULAR PRÉ-MOLDADA, VOLUME DE CONCRETO DE 10 A 30 LITROS, TAXA DE FIBRA DE POLIPROPILENO APROXIMADA DE 6 KG/M³. AF_01/2018_PS</t>
  </si>
  <si>
    <t>VIGA METÁLICA EM PERFIL LAMINADO OU SOLDADO EM AÇO ESTRUTURAL, COM CONEXÕES PARAFUSADAS, INCLUSOS MÃO DE OBRA, TRANSPORTE E IÇAMENTO UTILIZANDO GUINDASTE - FORNECIMENTO E INSTALAÇÃO. AF_01/2020_PSA</t>
  </si>
  <si>
    <t>PILAR METÁLICO PERFIL LAMINADO/SOLDADO EM AÇO ESTRUTURAL, COM CONEXÕES PARAFUSADAS, INCLUSOS MÃO DE OBRA, TRANSPORTE E IÇAMENTO UTILIZANDO GUINDASTE - FORNECIMENTO E INSTALAÇÃO. AF_01/2020_PSA</t>
  </si>
  <si>
    <t>CONTRAVENTAMENTO COM CANTONEIRAS DE AÇO, ABAS IGUAIS, COM CONEXÕES PARAFUSADAS, INCLUSOS MÃO DE OBRA, TRANSPORTE E IÇAMENTO UTILIZANDO TALHA MANUAL, PARA EDIFÍCIOS DE ATÉ 2 PAVIMENTOS - FORNECIMENTO E INSTALAÇÃO. AF_01/2020_PSA</t>
  </si>
  <si>
    <t>CONTRAVENTAMENTO COM CANTONEIRAS DE AÇO, ABAS IGUAIS, COM CONEXÕES PARAFUSADAS, INCLUSOS MÃO DE OBRA, TRANSPORTE E IÇAMENTO UTILIZANDO GUINDASTE, PARA EDIFÍCIOS DE 3 A 5 PAVIMENTOS - FORNECIMENTO E INSTALAÇÃO. AF_01/2020_PSA</t>
  </si>
  <si>
    <t>CONTRAVENTAMENTO COM CANTONEIRAS DE AÇO, ABAS IGUAIS, COM CONEXÕES PARAFUSADAS, INCLUSOS MÃO DE OBRA, TRANSPORTE E IÇAMENTO UTILIZANDO GRUA, PARA EDIFÍCIOS DE 6 A 10 PAVIMENTOS - FORNECIMENTO E INSTALAÇÃO. AF_01/2020_PSA</t>
  </si>
  <si>
    <t>ESTRUTURA TRELIÇADA DE COBERTURA, TIPO ARCO, COM LIGAÇÕES SOLDADAS, INCLUSOS PERFIS METÁLICOS, CHAPAS METÁLICAS, MÃO DE OBRA E TRANSPORTE COM GUINDASTE - FORNECIMENTO E INSTALAÇÃO. AF_01/2020_PSA</t>
  </si>
  <si>
    <t>ESTRUTURA TRELIÇADA DE COBERTURA, TIPO SHED, COM LIGAÇÕES SOLDADAS, INCLUSOS PERFIS METÁLICOS, CHAPAS METÁLICAS, MÃO DE OBRA E TRANSPORTE COM GUINDASTE - FORNECIMENTO E INSTALAÇÃO. AF_01/2020_PSA</t>
  </si>
  <si>
    <t>ESTRUTURA TRELIÇADA DE COBERTURA, TIPO FINK, COM LIGAÇÕES SOLDADAS, INCLUSOS PERFIS METÁLICOS, CHAPAS METÁLICAS, MÃO DE OBRA E TRANSPORTE COM GUINDASTE - FORNECIMENTO E INSTALAÇÃO. AF_01/2020_PSA</t>
  </si>
  <si>
    <t>ESTRUTURA TRELIÇADA DE COBERTURA, TIPO ARCO, COM LIGAÇÕES PARAFUSADAS, INCLUSOS PERFIS METÁLICOS, CHAPAS METÁLICAS, MÃO DE OBRA E TRANSPORTE COM GUINDASTE - FORNECIMENTO E INSTALAÇÃO. AF_01/2020_PSA</t>
  </si>
  <si>
    <t>ESTRUTURA TRELIÇADA DE COBERTURA, TIPO SHED, COM LIGAÇÕES PARAFUSADAS, INCLUSOS PERFIS METÁLICOS, CHAPAS METÁLICAS, MÃO DE OBRA E TRANSPORTE COM GUINDASTE - FORNECIMENTO E INSTALAÇÃO. AF_01/2020_PSA</t>
  </si>
  <si>
    <t>ESTRUTURA TRELIÇADA DE COBERTURA, TIPO FINK, COM LIGAÇÕES PARAFUSADAS, INCLUSOS PERFIS METÁLICOS, CHAPAS METÁLICAS, MÃO DE OBRA E TRANSPORTE COM GUINDASTE - FORNECIMENTO E INSTALAÇÃO. AF_01/2020_PSA</t>
  </si>
  <si>
    <t>9,91</t>
  </si>
  <si>
    <t>ELETRODUTO RÍGIDO SOLDÁVEL, PVC, DN 20 MM (½''), APARENTE - FORNECIMENTO E INSTALAÇÃO. AF_10/2022</t>
  </si>
  <si>
    <t>ELETRODUTO RÍGIDO SOLDÁVEL, PVC, DN 25 MM (3/4''), APARENTE - FORNECIMENTO E INSTALAÇÃO. AF_10/2022</t>
  </si>
  <si>
    <t>ELETRODUTO RÍGIDO SOLDÁVEL, PVC, DN 32 MM (1''), APARENTE - FORNECIMENTO E INSTALAÇÃO. AF_10/2022</t>
  </si>
  <si>
    <t>104395</t>
  </si>
  <si>
    <t>CONDULETE DE PVC, TIPO E, PARA ELETRODUTO DE PVC SOLDÁVEL DN 20 MM (1/2''), APARENTE - FORNECIMENTO E INSTALAÇÃO. AF_10/2022</t>
  </si>
  <si>
    <t>CONDULETE DE ALUMÍNIO, TIPO B, PARA ELETRODUTO DE AÇO GALVANIZADO DN 20 MM (3/4''), APARENTE - FORNECIMENTO E INSTALAÇÃO. AF_10/2022</t>
  </si>
  <si>
    <t>CONDULETE DE ALUMÍNIO, TIPO C, PARA ELETRODUTO DE AÇO GALVANIZADO DN 20 MM (3/4''), APARENTE - FORNECIMENTO E INSTALAÇÃO. AF_10/2022</t>
  </si>
  <si>
    <t>CONDULETE DE ALUMÍNIO, TIPO E, PARA ELETRODUTO DE AÇO GALVANIZADO DN 20 MM (3/4''), APARENTE - FORNECIMENTO E INSTALAÇÃO. AF_10/2022</t>
  </si>
  <si>
    <t>CONDULETE DE ALUMÍNIO, TIPO B, PARA ELETRODUTO DE AÇO GALVANIZADO DN 25 MM (1''), APARENTE - FORNECIMENTO E INSTALAÇÃO. AF_10/2022</t>
  </si>
  <si>
    <t>CONDULETE DE ALUMÍNIO, TIPO C, PARA ELETRODUTO DE AÇO GALVANIZADO DN 25 MM (1''), APARENTE - FORNECIMENTO E INSTALAÇÃO. AF_10/2022</t>
  </si>
  <si>
    <t>CONDULETE DE ALUMÍNIO, TIPO E, ELETRODUTO DE AÇO GALVANIZADO DN 25 MM (1''), APARENTE - FORNECIMENTO E INSTALAÇÃO. AF_10/2022</t>
  </si>
  <si>
    <t>CONDULETE DE ALUMÍNIO, TIPO E, PARA ELETRODUTO DE AÇO GALVANIZADO DN 32 MM (1 1/4''), APARENTE - FORNECIMENTO E INSTALAÇÃO. AF_10/2022</t>
  </si>
  <si>
    <t>CONDULETE DE ALUMÍNIO, TIPO LR, PARA ELETRODUTO DE AÇO GALVANIZADO DN 20 MM (3/4''), APARENTE - FORNECIMENTO E INSTALAÇÃO. AF_10/2022</t>
  </si>
  <si>
    <t>CONDULETE DE ALUMÍNIO, TIPO LR, PARA ELETRODUTO DE AÇO GALVANIZADO DN 25 MM (1''), APARENTE - FORNECIMENTO E INSTALAÇÃO. AF_10/2022</t>
  </si>
  <si>
    <t>CONDULETE DE ALUMÍNIO, TIPO LR, PARA ELETRODUTO DE AÇO GALVANIZADO DN 32 MM (1 1/4''), APARENTE - FORNECIMENTO E INSTALAÇÃO. AF_10/2022</t>
  </si>
  <si>
    <t>CONDULETE DE ALUMÍNIO, TIPO T, PARA ELETRODUTO DE AÇO GALVANIZADO DN 20 MM (3/4''), APARENTE - FORNECIMENTO E INSTALAÇÃO. AF_10/2022</t>
  </si>
  <si>
    <t>CONDULETE DE ALUMÍNIO, TIPO T, PARA ELETRODUTO DE AÇO GALVANIZADO DN 25 MM (1''), APARENTE - FORNECIMENTO E INSTALAÇÃO. AF_10/2022</t>
  </si>
  <si>
    <t>CONDULETE DE ALUMÍNIO, TIPO T, PARA ELETRODUTO DE AÇO GALVANIZADO DN 32 MM (1 1/4''), APARENTE - FORNECIMENTO E INSTALAÇÃO. AF_10/2022</t>
  </si>
  <si>
    <t>CONDULETE DE ALUMÍNIO, TIPO X, PARA ELETRODUTO DE AÇO GALVANIZADO DN 20 MM (3/4''), APARENTE - FORNECIMENTO E INSTALAÇÃO. AF_10/2022</t>
  </si>
  <si>
    <t>CONDULETE DE ALUMÍNIO, TIPO X, PARA ELETRODUTO DE AÇO GALVANIZADO DN 25 MM (1''), APARENTE - FORNECIMENTO E INSTALAÇÃO. AF_10/2022</t>
  </si>
  <si>
    <t>CONDULETE DE ALUMÍNIO, TIPO X, PARA ELETRODUTO DE AÇO GALVANIZADO DN 32 MM (1 1/4''), APARENTE - FORNECIMENTO E INSTALAÇÃO. AF_10/2022</t>
  </si>
  <si>
    <t>CONDULETE DE PVC, TIPO B, PARA ELETRODUTO DE PVC SOLDÁVEL DN 20 MM (1/2''), APARENTE - FORNECIMENTO E INSTALAÇÃO. AF_10/2022</t>
  </si>
  <si>
    <t>CONDULETE DE PVC, TIPO B, PARA ELETRODUTO DE PVC SOLDÁVEL DN 25 MM (3/4''), APARENTE - FORNECIMENTO E INSTALAÇÃO. AF_10/2022</t>
  </si>
  <si>
    <t>CONDULETE DE PVC, TIPO B, PARA ELETRODUTO DE PVC SOLDÁVEL DN 32 MM (1''), APARENTE - FORNECIMENTO E INSTALAÇÃO. AF_10/2022</t>
  </si>
  <si>
    <t>CONDULETE DE PVC, TIPO LL, PARA ELETRODUTO DE PVC SOLDÁVEL DN 20 MM (1/2''), APARENTE - FORNECIMENTO E INSTALAÇÃO. AF_10/2022</t>
  </si>
  <si>
    <t>CONDULETE DE PVC, TIPO LL, PARA ELETRODUTO DE PVC SOLDÁVEL DN 25 MM (3/4''), APARENTE - FORNECIMENTO E INSTALAÇÃO. AF_10/2022</t>
  </si>
  <si>
    <t>CONDULETE DE PVC, TIPO LL, PARA ELETRODUTO DE PVC SOLDÁVEL DN 32 MM (1''), APARENTE - FORNECIMENTO E INSTALAÇÃO. AF_10/2022</t>
  </si>
  <si>
    <t>CONDULETE DE PVC, TIPO LB, PARA ELETRODUTO DE PVC SOLDÁVEL DN 20 MM (1/2''), APARENTE - FORNECIMENTO E INSTALAÇÃO. AF_10/2022</t>
  </si>
  <si>
    <t>CONDULETE DE PVC, TIPO LB, PARA ELETRODUTO DE PVC SOLDÁVEL DN 25 MM (3/4''), APARENTE - FORNECIMENTO E INSTALAÇÃO. AF_10/2022</t>
  </si>
  <si>
    <t>CONDULETE DE PVC, TIPO LB, PARA ELETRODUTO DE PVC SOLDÁVEL DN 32 MM (1''), APARENTE - FORNECIMENTO E INSTALAÇÃO. AF_10/2022</t>
  </si>
  <si>
    <t>CONDULETE DE PVC, TIPO TB, PARA ELETRODUTO DE PVC SOLDÁVEL DN 20 MM (1/2''), APARENTE - FORNECIMENTO E INSTALAÇÃO. AF_10/2022</t>
  </si>
  <si>
    <t>CONDULETE DE PVC, TIPO TB, PARA ELETRODUTO DE PVC SOLDÁVEL DN 25 MM (3/4''), APARENTE - FORNECIMENTO E INSTALAÇÃO. AF_10/2022</t>
  </si>
  <si>
    <t>CONDULETE DE PVC, TIPO TB, PARA ELETRODUTO DE PVC SOLDÁVEL DN 32 MM (1''), APARENTE - FORNECIMENTO E INSTALAÇÃO. AF_10/2022</t>
  </si>
  <si>
    <t>CONDULETE DE PVC, TIPO X, PARA ELETRODUTO DE PVC SOLDÁVEL DN 20 MM (1/2''), APARENTE - FORNECIMENTO E INSTALAÇÃO. AF_10/2022</t>
  </si>
  <si>
    <t>CONDULETE DE PVC, TIPO X, PARA ELETRODUTO DE PVC SOLDÁVEL DN 25 MM (3/4), APARENTE - FORNECIMENTO E INSTALAÇÃO. AF_10/2022</t>
  </si>
  <si>
    <t>CONDULETE DE PVC, TIPO X, PARA ELETRODUTO DE PVC SOLDÁVEL DN 32 MM (1''), APARENTE - FORNECIMENTO E INSTALAÇÃO. AF_10/2022</t>
  </si>
  <si>
    <t>104396</t>
  </si>
  <si>
    <t>CONDULETE DE PVC, TIPO E, PARA ELETRODUTO DE PVC SOLDÁVEL DN 25 MM (3/4''), APARENTE - FORNECIMENTO E INSTALAÇÃO. AF_10/2022</t>
  </si>
  <si>
    <t>104397</t>
  </si>
  <si>
    <t>CONDULETE DE PVC, TIPO E, PARA ELETRODUTO DE PVC SOLDÁVEL DN 32 MM (1''), APARENTE - FORNECIMENTO E INSTALAÇÃO. AF_10/2022</t>
  </si>
  <si>
    <t>104398</t>
  </si>
  <si>
    <t>CONDULETE DE PVC, TIPO LR, PARA ELETRODUTO DE PVC SOLDÁVEL DN 20 MM (1/2''), APARENTE - FORNECIMENTO E INSTALAÇÃO. AF_10/2022</t>
  </si>
  <si>
    <t>104399</t>
  </si>
  <si>
    <t>CONDULETE DE PVC, TIPO LR, PARA ELETRODUTO DE PVC SOLDÁVEL DN 25 MM (3/4''), APARENTE - FORNECIMENTO E INSTALAÇÃO. AF_10/2022</t>
  </si>
  <si>
    <t>104400</t>
  </si>
  <si>
    <t>CONDULETE DE PVC, TIPO LR, PARA ELETRODUTO DE PVC SOLDÁVEL DN 32 MM (1''), APARENTE - FORNECIMENTO E INSTALAÇÃO. AF_10/2022</t>
  </si>
  <si>
    <t>104401</t>
  </si>
  <si>
    <t>CONDULETE DE PVC, TIPO C, PARA ELETRODUTO DE PVC SOLDÁVEL DN 20 MM (1/2''), APARENTE - FORNECIMENTO E INSTALAÇÃO. AF_10/2022</t>
  </si>
  <si>
    <t>104402</t>
  </si>
  <si>
    <t>CONDULETE DE PVC, TIPO C, PARA ELETRODUTO DE PVC SOLDÁVEL DN 25 MM (3/4''), APARENTE - FORNECIMENTO E INSTALAÇÃO. AF_10/2022</t>
  </si>
  <si>
    <t>104403</t>
  </si>
  <si>
    <t>CONDULETE DE PVC, TIPO C, PARA ELETRODUTO DE PVC SOLDÁVEL DN 32 MM (1''), APARENTE - FORNECIMENTO E INSTALAÇÃO. AF_10/2022</t>
  </si>
  <si>
    <t>104404</t>
  </si>
  <si>
    <t>CONDULETE DE PVC, TIPO T, PARA ELETRODUTO DE PVC SOLDÁVEL DN 25 MM (3/4''), APARENTE - FORNECIMENTO E INSTALAÇÃO. AF_10/2022</t>
  </si>
  <si>
    <t>104405</t>
  </si>
  <si>
    <t>CONDULETE DE PVC, TIPO T, PARA ELETRODUTO DE PVC SOLDÁVEL DN 32 MM (1''), APARENTE - FORNECIMENTO E INSTALAÇÃO. AF_10/2022</t>
  </si>
  <si>
    <t>38,22</t>
  </si>
  <si>
    <t>LÂMPADA TUBULAR FLUORESCENTE T8 DE 16/18 W, BASE G13 - FORNECIMENTO E INSTALAÇÃO. AF_02/2020_PS</t>
  </si>
  <si>
    <t>LÂMPADA TUBULAR FLUORESCENTE T8 DE 32/36 W, BASE G13 - FORNECIMENTO E INSTALAÇÃO. AF_02/2020_PS</t>
  </si>
  <si>
    <t>LÂMPADA TUBULAR FLUORESCENTE T10 DE 20/40 W, BASE G13 - FORNECIMENTO E INSTALAÇÃO. AF_02/2020_PS</t>
  </si>
  <si>
    <t>LÂMPADA TUBULAR FLUORESCENTE T5 DE 14 W, BASE G13 - FORNECIMENTO E INSTALAÇÃO. AF_02/2020_PS</t>
  </si>
  <si>
    <t>LÂMPADA TUBULAR LED DE 9/10 W, BASE G13 - FORNECIMENTO E INSTALAÇÃO. AF_02/2020_PS</t>
  </si>
  <si>
    <t>24,76</t>
  </si>
  <si>
    <t>LÂMPADA TUBULAR LED DE 18/20 W, BASE G13 - FORNECIMENTO E INSTALAÇÃO. AF_02/2020_PS</t>
  </si>
  <si>
    <t>ENTRADA DE ENERGIA ELÉTRICA, AÉREA, MONOFÁSICA, COM CAIXA DE SOBREPOR, CABO DE 10 MM2 E DISJUNTOR DIN 50A (NÃO INCLUSO O POSTE DE CONCRETO). AF_07/2020_PS</t>
  </si>
  <si>
    <t>ENTRADA DE ENERGIA ELÉTRICA, AÉREA, MONOFÁSICA, COM CAIXA DE SOBREPOR, CABO DE 16 MM2 E DISJUNTOR DIN 50A (NÃO INCLUSO O POSTE DE CONCRETO). AF_07/2020_PS</t>
  </si>
  <si>
    <t>ENTRADA DE ENERGIA ELÉTRICA, AÉREA, MONOFÁSICA, COM CAIXA DE SOBREPOR, CABO DE 25 MM2 E DISJUNTOR DIN 50A (NÃO INCLUSO O POSTE DE CONCRETO). AF_07/2020_PS</t>
  </si>
  <si>
    <t>ENTRADA DE ENERGIA ELÉTRICA, AÉREA, MONOFÁSICA, COM CAIXA DE SOBREPOR, CABO DE 35 MM2 E DISJUNTOR DIN 50A (NÃO INCLUSO O POSTE DE CONCRETO). AF_07/2020_PS</t>
  </si>
  <si>
    <t>ENTRADA DE ENERGIA ELÉTRICA, AÉREA, MONOFÁSICA, COM CAIXA DE EMBUTIR, CABO DE 10 MM2 E DISJUNTOR DIN 50A (NÃO INCLUSO O POSTE DE CONCRETO). AF_07/2020_PS</t>
  </si>
  <si>
    <t>ENTRADA DE ENERGIA ELÉTRICA, AÉREA, MONOFÁSICA, COM CAIXA DE EMBUTIR, CABO DE 16 MM2 E DISJUNTOR DIN 50A (NÃO INCLUSO O POSTE DE CONCRETO). AF_07/2020_PS</t>
  </si>
  <si>
    <t>ENTRADA DE ENERGIA ELÉTRICA, AÉREA, MONOFÁSICA, COM CAIXA DE EMBUTIR, CABO DE 25 MM2 E DISJUNTOR DIN 50A (NÃO INCLUSO O POSTE DE CONCRETO). AF_07/2020_PS</t>
  </si>
  <si>
    <t>ENTRADA DE ENERGIA ELÉTRICA, AÉREA, MONOFÁSICA, COM CAIXA DE EMBUTIR, CABO DE 35 MM2 E DISJUNTOR DIN 50A (NÃO INCLUSO O POSTE DE CONCRETO). AF_07/2020_PS</t>
  </si>
  <si>
    <t>ENTRADA DE ENERGIA ELÉTRICA, AÉREA, BIFÁSICA, COM CAIXA DE SOBREPOR, CABO DE 10 MM2 E DISJUNTOR DIN 50A (NÃO INCLUSO O POSTE DE CONCRETO). AF_07/2020_PS</t>
  </si>
  <si>
    <t>ENTRADA DE ENERGIA ELÉTRICA, AÉREA, BIFÁSICA, COM CAIXA DE SOBREPOR, CABO DE 16 MM2 E DISJUNTOR DIN 50A (NÃO INCLUSO O POSTE DE CONCRETO). AF_07/2020_PS</t>
  </si>
  <si>
    <t>ENTRADA DE ENERGIA ELÉTRICA, AÉREA, BIFÁSICA, COM CAIXA DE SOBREPOR, CABO DE 25 MM2 E DISJUNTOR DIN 50A (NÃO INCLUSO O POSTE DE CONCRETO). AF_07/2020_PS</t>
  </si>
  <si>
    <t>ENTRADA DE ENERGIA ELÉTRICA, AÉREA, BIFÁSICA, COM CAIXA DE SOBREPOR, CABO DE 35 MM2 E DISJUNTOR DIN 50A (NÃO INCLUSO O POSTE DE CONCRETO). AF_07/2020_PS</t>
  </si>
  <si>
    <t>ENTRADA DE ENERGIA ELÉTRICA, AÉREA, BIFÁSICA, COM CAIXA DE EMBUTIR, CABO DE 10 MM2 E DISJUNTOR DIN 50A (NÃO INCLUSO O POSTE DE CONCRETO). AF_07/2020_PS</t>
  </si>
  <si>
    <t>ENTRADA DE ENERGIA ELÉTRICA, AÉREA, BIFÁSICA, COM CAIXA DE EMBUTIR, CABO DE 16 MM2 E DISJUNTOR DIN 50A (NÃO INCLUSO O POSTE DE CONCRETO). AF_07/2020_PS</t>
  </si>
  <si>
    <t>ENTRADA DE ENERGIA ELÉTRICA, AÉREA, BIFÁSICA, COM CAIXA DE EMBUTIR, CABO DE 25 MM2 E DISJUNTOR DIN 50A (NÃO INCLUSO O POSTE DE CONCRETO). AF_07/2020_PS</t>
  </si>
  <si>
    <t>ENTRADA DE ENERGIA ELÉTRICA, AÉREA, BIFÁSICA, COM CAIXA DE EMBUTIR, CABO DE 35 MM2 E DISJUNTOR DIN 50A (NÃO INCLUSO O POSTE DE CONCRETO). AF_07/2020_PS</t>
  </si>
  <si>
    <t>ENTRADA DE ENERGIA ELÉTRICA, AÉREA, TRIFÁSICA, COM CAIXA DE SOBREPOR, CABO DE 10 MM2 E DISJUNTOR DIN 50A (NÃO INCLUSO O POSTE DE CONCRETO). AF_07/2020_PS</t>
  </si>
  <si>
    <t>ENTRADA DE ENERGIA ELÉTRICA, AÉREA, TRIFÁSICA, COM CAIXA DE SOBREPOR, CABO DE 16 MM2 E DISJUNTOR DIN 50A (NÃO INCLUSO O POSTE DE CONCRETO). AF_07/2020_PS</t>
  </si>
  <si>
    <t>ENTRADA DE ENERGIA ELÉTRICA, AÉREA, TRIFÁSICA, COM CAIXA DE SOBREPOR, CABO DE 25 MM2 E DISJUNTOR DIN 50A (NÃO INCLUSO O POSTE DE CONCRETO). AF_07/2020_PS</t>
  </si>
  <si>
    <t>ENTRADA DE ENERGIA ELÉTRICA, AÉREA, TRIFÁSICA, COM CAIXA DE SOBREPOR, CABO DE 35 MM2 E DISJUNTOR DIN 50A (NÃO INCLUSO O POSTE DE CONCRETO). AF_07/2020_PS</t>
  </si>
  <si>
    <t>ENTRADA DE ENERGIA ELÉTRICA, AÉREA, TRIFÁSICA, COM CAIXA DE EMBUTIR, CABO DE 10 MM2 E DISJUNTOR DIN 50A (NÃO INCLUSO O POSTE DE CONCRETO). AF_07/2020_PS</t>
  </si>
  <si>
    <t>ENTRADA DE ENERGIA ELÉTRICA, AÉREA, TRIFÁSICA, COM CAIXA DE EMBUTIR, CABO DE 16 MM2 E DISJUNTOR DIN 50A (NÃO INCLUSO O POSTE DE CONCRETO). AF_07/2020_PS</t>
  </si>
  <si>
    <t>ENTRADA DE ENERGIA ELÉTRICA, AÉREA, TRIFÁSICA, COM CAIXA DE EMBUTIR, CABO DE 25 MM2 E DISJUNTOR DIN 50A (NÃO INCLUSO O POSTE DE CONCRETO). AF_07/2020_PS</t>
  </si>
  <si>
    <t>ENTRADA DE ENERGIA ELÉTRICA, AÉREA, TRIFÁSICA, COM CAIXA DE EMBUTIR, CABO DE 35 MM2 E DISJUNTOR DIN 50A (NÃO INCLUSO O POSTE DE CONCRETO). AF_07/2020_PS</t>
  </si>
  <si>
    <t>ENTRADA DE ENERGIA ELÉTRICA, SUBTERRÂNEA, MONOFÁSICA, COM CAIXA DE SOBREPOR, CABO DE 10 MM2 E DISJUNTOR DIN 50A (NÃO INCLUSA MURETA DE ALVENARIA). AF_07/2020_PS</t>
  </si>
  <si>
    <t>ENTRADA DE ENERGIA ELÉTRICA, SUBTERRÂNEA, MONOFÁSICA, COM CAIXA DE SOBREPOR, CABO DE 16 MM2 E DISJUNTOR DIN 50A (NÃO INCLUSA MURETA DE ALVENARIA). AF_07/2020_PS</t>
  </si>
  <si>
    <t>ENTRADA DE ENERGIA ELÉTRICA, SUBTERRÂNEA, MONOFÁSICA, COM CAIXA DE SOBREPOR, CABO DE 25 MM2 E DISJUNTOR DIN 50A (NÃO INCLUSA MURETA DE ALVENARIA). AF_07/2020_PS</t>
  </si>
  <si>
    <t>ENTRADA DE ENERGIA ELÉTRICA, SUBTERRÂNEA, MONOFÁSICA, COM CAIXA DE SOBREPOR, CABO DE 35 MM2 E DISJUNTOR DIN 50A (NÃO INCLUSA MURETA DE ALVENARIA). AF_07/2020_PS</t>
  </si>
  <si>
    <t>ENTRADA DE ENERGIA ELÉTRICA, SUBTERRÂNEA, MONOFÁSICA, COM CAIXA DE EMBUTIR, CABO DE 10 MM2 E DISJUNTOR DIN 50A (NÃO INCLUSA MURETA DE ALVENARIA). AF_07/2020_PS</t>
  </si>
  <si>
    <t>ENTRADA DE ENERGIA ELÉTRICA, SUBTERRÂNEA, MONOFÁSICA, COM CAIXA DE EMBUTIR, CABO DE 16 MM2 E DISJUNTOR DIN 50A (NÃO INCLUSA MURETA DE ALVENARIA). AF_07/2020_PS</t>
  </si>
  <si>
    <t>ENTRADA DE ENERGIA ELÉTRICA, SUBTERRÂNEA, MONOFÁSICA, COM CAIXA DE EMBUTIR, CABO DE 25 MM2 E DISJUNTOR DIN 50A (NÃO INCLUSA MURETA DE ALVENARIA). AF_07/2020_PS</t>
  </si>
  <si>
    <t>ENTRADA DE ENERGIA ELÉTRICA, SUBTERRÂNEA, MONOFÁSICA, COM CAIXA DE EMBUTIR, CABO DE 35 MM2 E DISJUNTOR DIN 50A (NÃO INCLUSA MURETA DE ALVENARIA). AF_07/2020_PS</t>
  </si>
  <si>
    <t>ENTRADA DE ENERGIA ELÉTRICA, SUBTERRÂNEA, BIFÁSICA, COM CAIXA DE SOBREPOR, CABO DE 10 MM2 E DISJUNTOR DIN 50A (NÃO INCLUSA MURETA DE ALVENARIA). AF_07/2020_PS</t>
  </si>
  <si>
    <t>ENTRADA DE ENERGIA ELÉTRICA, SUBTERRÂNEA, BIFÁSICA, COM CAIXA DE SOBREPOR, CABO DE 16 MM2 E DISJUNTOR DIN 50A (NÃO INCLUSA MURETA DE ALVENARIA). AF_07/2020_PS</t>
  </si>
  <si>
    <t>ENTRADA DE ENERGIA ELÉTRICA, SUBTERRÂNEA, BIFÁSICA, COM CAIXA DE SOBREPOR, CABO DE 25 MM2 E DISJUNTOR DIN 50A (NÃO INCLUSA MURETA DE ALVENARIA). AF_07/2020_PS</t>
  </si>
  <si>
    <t>ENTRADA DE ENERGIA ELÉTRICA, SUBTERRÂNEA, BIFÁSICA, COM CAIXA DE SOBREPOR, CABO DE 35 MM2 E DISJUNTOR DIN 50A (NÃO INCLUSA MURETA DE ALVENARIA). AF_07/2020_PS</t>
  </si>
  <si>
    <t>ENTRADA DE ENERGIA ELÉTRICA, SUBTERRÂNEA, BIFÁSICA, COM CAIXA DE EMBUTIR, CABO DE 10 MM2 E DISJUNTOR DIN 50A (NÃO INCLUSA MURETA DE ALVENARIA). AF_07/2020_PS</t>
  </si>
  <si>
    <t>ENTRADA DE ENERGIA ELÉTRICA, SUBTERRÂNEA, BIFÁSICA, COM CAIXA DE EMBUTIR, CABO DE 16 MM2 E DISJUNTOR DIN 50A (NÃO INCLUSA MURETA DE ALVENARIA). AF_07/2020_PS</t>
  </si>
  <si>
    <t>ENTRADA DE ENERGIA ELÉTRICA, SUBTERRÂNEA, BIFÁSICA, COM CAIXA DE EMBUTIR, CABO DE 25 MM2 E DISJUNTOR DIN 50A (NÃO INCLUSA MURETA DE ALVENARIA). AF_07/2020_PS</t>
  </si>
  <si>
    <t>ENTRADA DE ENERGIA ELÉTRICA, SUBTERRÂNEA, BIFÁSICA, COM CAIXA DE EMBUTIR, CABO DE 35 MM2 E DISJUNTOR DIN 50A (NÃO INCLUSA MURETA DE ALVENARIA). AF_07/2020_PS</t>
  </si>
  <si>
    <t>ENTRADA DE ENERGIA ELÉTRICA, SUBTERRÂNEA, TRIFÁSICA, COM CAIXA DE SOBREPOR, CABO DE 10 MM2 E DISJUNTOR DIN 50A (NÃO INCLUSA MURETA DE ALVENARIA). AF_07/2020_PS</t>
  </si>
  <si>
    <t>ENTRADA DE ENERGIA ELÉTRICA, SUBTERRÂNEA, TRIFÁSICA, COM CAIXA DE SOBREPOR, CABO DE 16 MM2 E DISJUNTOR DIN 50A (NÃO INCLUSA MURETA DE ALVENARIA). AF_07/2020_PS</t>
  </si>
  <si>
    <t>ENTRADA DE ENERGIA ELÉTRICA, SUBTERRÂNEA, TRIFÁSICA, COM CAIXA DE SOBREPOR, CABO DE 25 MM2 E DISJUNTOR DIN 50A (NÃO INCLUSA MURETA DE ALVENARIA). AF_07/2020_PS</t>
  </si>
  <si>
    <t>ENTRADA DE ENERGIA ELÉTRICA, SUBTERRÂNEA, TRIFÁSICA, COM CAIXA DE SOBREPOR, CABO DE 35 MM2 E DISJUNTOR DIN 50A (NÃO INCLUSA MURETA DE ALVENARIA). AF_07/2020_PS</t>
  </si>
  <si>
    <t>ENTRADA DE ENERGIA ELÉTRICA, SUBTERRÂNEA, TRIFÁSICA, COM CAIXA DE EMBUTIR, CABO DE 10 MM2 E DISJUNTOR DIN 50A (NÃO INCLUSA MURETA DE ALVENARIA). AF_07/2020_PS</t>
  </si>
  <si>
    <t>ENTRADA DE ENERGIA ELÉTRICA, SUBTERRÂNEA, TRIFÁSICA, COM CAIXA DE EMBUTIR, CABO DE 16 MM2 E DISJUNTOR DIN 50A (NÃO INCLUSA MURETA DE ALVENARIA). AF_07/2020_PS</t>
  </si>
  <si>
    <t>ENTRADA DE ENERGIA ELÉTRICA, SUBTERRÂNEA, TRIFÁSICA, COM CAIXA DE EMBUTIR, CABO DE 25 MM2 E DISJUNTOR DIN 50A (NÃO INCLUSA MURETA DE ALVENARIA). AF_07/2020_PS</t>
  </si>
  <si>
    <t>ENTRADA DE ENERGIA ELÉTRICA, SUBTERRÂNEA, TRIFÁSICA, COM CAIXA DE EMBUTIR, CABO DE 35 MM2 E DISJUNTOR DIN 50A (NÃO INCLUSA MURETA DE ALVENARIA). AF_07/2020_PS</t>
  </si>
  <si>
    <t>30,37</t>
  </si>
  <si>
    <t>EXTINTOR DE INCÊNDIO PORTÁTIL COM CARGA DE ÁGUA PRESSURIZADA DE 10 L, CLASSE A - FORNECIMENTO E INSTALAÇÃO. AF_10/2020_PE</t>
  </si>
  <si>
    <t>EXTINTOR DE INCÊNDIO PORTÁTIL COM CARGA DE CO2 DE 4 KG, CLASSE BC - FORNECIMENTO E INSTALAÇÃO. AF_10/2020_PE</t>
  </si>
  <si>
    <t>EXTINTOR DE INCÊNDIO PORTÁTIL COM CARGA DE CO2 DE 6 KG, CLASSE BC - FORNECIMENTO E INSTALAÇÃO. AF_10/2020_PE</t>
  </si>
  <si>
    <t>EXTINTOR DE INCÊNDIO PORTÁTIL COM CARGA DE PQS DE 4 KG, CLASSE BC - FORNECIMENTO E INSTALAÇÃO. AF_10/2020_PE</t>
  </si>
  <si>
    <t>EXTINTOR DE INCÊNDIO PORTÁTIL COM CARGA DE PQS DE 6 KG, CLASSE BC - FORNECIMENTO E INSTALAÇÃO. AF_10/2020_PE</t>
  </si>
  <si>
    <t>EXTINTOR DE INCÊNDIO PORTÁTIL COM CARGA DE PQS DE 8 KG, CLASSE BC - FORNECIMENTO E INSTALAÇÃO. AF_10/2020_PE</t>
  </si>
  <si>
    <t>EXTINTOR DE INCÊNDIO PORTÁTIL COM CARGA DE PQS DE 12 KG, CLASSE BC - FORNECIMENTO E INSTALAÇÃO. AF_10/2020_PE</t>
  </si>
  <si>
    <t>4,12</t>
  </si>
  <si>
    <t>AR CONDICIONADO SPLIT INVERTER, HI-WALL (PAREDE), 9000 BTU/H, CICLO FRIO - FORNECIMENTO E INSTALAÇÃO. AF_11/2021_PE</t>
  </si>
  <si>
    <t>AR CONDICIONADO SPLIT ON/OFF, HI-WALL (PAREDE), 9000 BTUS/H, CICLO FRIO - FORNECIMENTO E INSTALAÇÃO. AF_11/2021_PE</t>
  </si>
  <si>
    <t>AR CONDICIONADO SPLIT ON/OFF, HI-WALL (PAREDE), 9000 BTUS/H, CICLO QUENTE/FRIO - FORNECIMENTO E INSTALAÇÃO. AF_11/2021_PE</t>
  </si>
  <si>
    <t>AR CONDICIONADO SPLIT INVERTER, HI-WALL (PAREDE), 12000 BTU/H, CICLO FRIO - FORNECIMENTO E INSTALAÇÃO. AF_11/2021_PE</t>
  </si>
  <si>
    <t>AR CONDICIONADO SPLIT ON/OFF, HI-WALL (PAREDE), 12000 BTUS/H, CICLO FRIO - FORNECIMENTO E INSTALAÇÃO. AF_11/2021_PE</t>
  </si>
  <si>
    <t>AR CONDICIONADO SPLIT ON/OFF, HI-WALL (PAREDE), 12000 BTUS/H, CICLO QUENTE/FRIO - FORNECIMENTO E INSTALAÇÃO. AF_11/2021_PE</t>
  </si>
  <si>
    <t>AR CONDICIONADO SPLIT INVERTER, HI-WALL (PAREDE), 18000 BTU/H, CICLO FRIO - FORNECIMENTO E INSTALAÇÃO. AF_11/2021_PE</t>
  </si>
  <si>
    <t>AR CONDICIONADO SPLIT ON/OFF, HI-WALL (PAREDE), 18000 BTUS/H, CICLO FRIO - FORNECIMENTO E INSTALAÇÃO. AF_11/2021_PE</t>
  </si>
  <si>
    <t>AR CONDICIONADO SPLIT ON/OFF, HI-WALL (PAREDE), 18000 BTUS/H, CICLO QUENTE/FRIO - FORNECIMENTO E INSTALAÇÃO. AF_11/2021_PE</t>
  </si>
  <si>
    <t>AR CONDICIONADO SPLIT INVERTER, HI-WALL (PAREDE), 24000 BTU/H, CICLO FRIO - FORNECIMENTO E INSTALAÇÃO. AF_11/2021_PE</t>
  </si>
  <si>
    <t>AR CONDICIONADO SPLIT ON/OFF, HI-WALL (PAREDE), 24000 BTUS/H, CICLO FRIO - FORNECIMENTO E INSTALAÇÃO. AF_11/2021_PE</t>
  </si>
  <si>
    <t>AR CONDICIONADO SPLIT ON/OFF, HI-WALL (PAREDE), 24000 BTUS/H, CICLO QUENTE/FRIO - FORNECIMENTO E INSTALAÇÃO. AF_11/2021_PE</t>
  </si>
  <si>
    <t>AR CONDICIONADO SPLIT INVERTER, PISO TETO, 18000 BTU/H, CICLO FRIO - FORNECIMENTO E INSTALAÇÃO. AF_11/2021_PE</t>
  </si>
  <si>
    <t>AR CONDICIONADO SPLIT ON/OFF, PISO TETO, 18.000 BTU/H, CICLO FRIO - FORNECIMENTO E INSTALAÇÃO. AF_11/2021_PE</t>
  </si>
  <si>
    <t>AR CONDICIONADO SPLIT INVERTER, PISO TETO, 24000 BTU/H, CICLO FRIO - FORNECIMENTO E INSTALAÇÃO. AF_11/2021_PE</t>
  </si>
  <si>
    <t>AR CONDICIONADO SPLIT ON/OFF, PISO TETO, 24.000 BTU/H, CICLO FRIO - FORNECIMENTO E INSTALAÇÃO. AF_11/2021_PE</t>
  </si>
  <si>
    <t>AR CONDICIONADO SPLIT INVERTER, PISO TETO, 24000 BTU/H, QUENTE/FRIO - FORNECIMENTO E INSTALAÇÃO. AF_11/2021_PE</t>
  </si>
  <si>
    <t>AR CONDICIONADO SPLIT INVERTER, PISO TETO, 36000 BTU/H, CICLO FRIO - FORNECIMENTO E INSTALAÇÃO. AF_11/2021_PE</t>
  </si>
  <si>
    <t>AR CONDICIONADO SPLIT ON/OFF, PISO TETO, 36.000 BTU/H, CICLO FRIO - FORNECIMENTO E INSTALAÇÃO. AF_11/2021_PE</t>
  </si>
  <si>
    <t>AR CONDICIONADO SPLIT INVERTER, PISO TETO, 48000 BTU/H, CICLO FRIO - FORNECIMENTO E INSTALAÇÃO. AF_11/2021_PE</t>
  </si>
  <si>
    <t>AR CONDICIONADO SPLIT ON/OFF, PISO TETO, 48.000 BTU/H, CICLO FRIO - FORNECIMENTO E INSTALAÇÃO. AF_11/2021_PE</t>
  </si>
  <si>
    <t>AR CONDICIONADO SPLIT INVERTER, PISO TETO, APRESENTANDO ENTRE 54000 E 58000 BTU/H, CICLO FRIO - FORNECIMENTO E INSTALAÇÃO. AF_11/2021_PE</t>
  </si>
  <si>
    <t>AR CONDICIONADO SPLIT ON/OFF, PISO TETO, 60.000 BTU/H, CICLO FRIO - FORNECIMENTO E INSTALAÇÃO. AF_11/2021_PE</t>
  </si>
  <si>
    <t>AR CONDICIONADO SPLIT ON/OFF, CASSETE (TETO), FRIO 4 VIAS 18000 BTU/H - FORNECIMENTO E INSTALAÇÃO. AF_11/2021_PE</t>
  </si>
  <si>
    <t>AR CONDICIONADO SPLIT ON/OFF, CASSETE (TETO), 18000 BTU/H, CICLO QUENTE/FRIO - FORNECIMENTO E INSTALAÇÃO. AF_11/2021_PE</t>
  </si>
  <si>
    <t>AR CONDICIONADO SPLIT ON/OFF, CASSETE (TETO), FRIO 4 VIAS 24000 BTU/H - FORNECIMENTO E INSTALAÇÃO. AF_11/2021_PE</t>
  </si>
  <si>
    <t>AR CONDICIONADO SPLIT ON/OFF, CASSETE (TETO), 24000 BTU/H, CICLO QUENTE/FRIO - FORNECIMENTO E INSTALAÇÃO. AF_11/2021_PE</t>
  </si>
  <si>
    <t>AR CONDICIONADO SPLIT ON/OFF, CASSETE (TETO), FRIO 4 VIAS 36000 BTU/H - FORNECIMENTO E INSTALAÇÃO. AF_11/2021_PE</t>
  </si>
  <si>
    <t>AR CONDICIONADO SPLIT ON/OFF, CASSETE (TETO), 36000 BTU/H, CICLO QUENTE/FRIO - FORNECIMENTO E INSTALAÇÃO. AF_11/2021_PE</t>
  </si>
  <si>
    <t>AR CONDICIONADO SPLIT ON/OFF, CASSETE (TETO), FRIO 4 VIAS 48000 BTU/H - FORNECIMENTO E INSTALAÇÃO. AF_11/2021_PE</t>
  </si>
  <si>
    <t>AR CONDICIONADO SPLIT ON/OFF, CASSETE (TETO), 48000 BTU/H, CICLO QUENTE/FRIO - FORNECIMENTO E INSTALAÇÃO. AF_11/2021_PE</t>
  </si>
  <si>
    <t>AR CONDICIONADO SPLIT ON/OFF, CASSETE (TETO), FRIO 4 VIAS 60000 BTU/H - FORNECIMENTO E INSTALAÇÃO. AF_11/2021_PE</t>
  </si>
  <si>
    <t>AR CONDICIONADO SPLIT ON/OFF, CASSETE (TETO), 60000 BTU/H, CICLO QUENTE/FRIO - FORNECIMENTO E INSTALAÇÃO. AF_11/2021_PE</t>
  </si>
  <si>
    <t>AR CONDICIONADO SPLITÃO 10 TR - FORNECIMENTO E INSTALAÇÃO. AF_11/2021_PE</t>
  </si>
  <si>
    <t>AR CONDICIONADO SPLITÃO 15 TR - FORNECIMENTO E INSTALAÇÃO. AF_11/2021_PE</t>
  </si>
  <si>
    <t>98298</t>
  </si>
  <si>
    <t>CABO ELETRÔNICO CATEGORIA 6A, INSTALADO EM EDIFICAÇÃO RESIDENCIAL - FORNECIMENTO E INSTALAÇÃO. AF_11/2019</t>
  </si>
  <si>
    <t>98299</t>
  </si>
  <si>
    <t>CABO ELETRÔNICO CATEGORIA 6A, INSTALADO EM EDIFICAÇÃO INSTITUCIONAL - FORNECIMENTO E INSTALAÇÃO. AF_11/2019</t>
  </si>
  <si>
    <t>98300</t>
  </si>
  <si>
    <t>CABO COAXIAL RG6 95% - FORNECIMENTO E INSTALAÇÃO. AF_11/2019</t>
  </si>
  <si>
    <t>100553</t>
  </si>
  <si>
    <t>CABO COAXIAL RG11 95% - FORNECIMENTO E INSTALAÇÃO. AF_11/2019</t>
  </si>
  <si>
    <t>100554</t>
  </si>
  <si>
    <t>CABO COAXIAL RG59 95% - FORNECIMENTO E INSTALAÇÃO. AF_11/2019</t>
  </si>
  <si>
    <t>94723</t>
  </si>
  <si>
    <t>TUBO, CPVC, SOLDÁVEL, DN 114 MM, INSTALADO EM RESERVAÇÃO DE ÁGUA DE EDIFICAÇÃO QUE POSSUA RESERVATÓRIO DE FIBRA/FIBROCIMENTO  FORNECIMENTO E INSTALAÇÃO. AF_06/2016</t>
  </si>
  <si>
    <t>30,88</t>
  </si>
  <si>
    <t>89560</t>
  </si>
  <si>
    <t>LUVA DE CORRER, PVC, SOLDÁVEL, DN 40MM, INSTALADO EM PRUMADA DE ÁGUA   FORNECIMENTO E INSTALAÇÃO. AF_06/2022</t>
  </si>
  <si>
    <t>21,06</t>
  </si>
  <si>
    <t>20,13</t>
  </si>
  <si>
    <t>23,36</t>
  </si>
  <si>
    <t>14,69</t>
  </si>
  <si>
    <t>12,53</t>
  </si>
  <si>
    <t>27,90</t>
  </si>
  <si>
    <t>126,70</t>
  </si>
  <si>
    <t>10,38</t>
  </si>
  <si>
    <t>94732</t>
  </si>
  <si>
    <t>CONECTOR, CPVC, SOLDÁVEL, DN 54 MM X 2", INSTALADO EM RESERVAÇÃO DE ÁGUA DE EDIFICAÇÃO QUE POSSUA RESERVATÓRIO DE FIBRA/FIBROCIMENTO - FORNECIMENTO E INSTALAÇÃO. AF_06/2016</t>
  </si>
  <si>
    <t>94734</t>
  </si>
  <si>
    <t>CONECTOR, CPVC, SOLDÁVEL, DN 73 MM X 2 1/2", INSTALADO EM RESERVAÇÃO DE ÁGUA DE EDIFICAÇÃO QUE POSSUA RESERVATÓRIO DE FIBRA/FIBROCIMENTO - FORNECIMENTO E INSTALAÇÃO. AF_06/2016</t>
  </si>
  <si>
    <t>94736</t>
  </si>
  <si>
    <t>CONECTOR, CPVC, SOLDÁVEL, DN 89 MM X 3", INSTALADO EM RESERVAÇÃO DE ÁGUA DE EDIFICAÇÃO QUE POSSUA RESERVATÓRIO DE FIBRA/FIBROCIMENTO - FORNECIMENTO E INSTALAÇÃO. AF_06/2016</t>
  </si>
  <si>
    <t>94738</t>
  </si>
  <si>
    <t>CONECTOR, CPVC, SOLDÁVEL, DN 114 MM X 4", INSTALADO EM RESERVAÇÃO DE ÁGUA DE EDIFICAÇÃO QUE POSSUA RESERVATÓRIO DE FIBRA/FIBROCIMENTO - FORNECIMENTO E INSTALAÇÃO. AF_06/2016</t>
  </si>
  <si>
    <t>94739</t>
  </si>
  <si>
    <t>LUVA, CPVC, SOLDÁVEL, DN 114 MM, INSTALADO EM RESERVAÇÃO DE ÁGUA DE EDIFICAÇÃO QUE POSSUA RESERVATÓRIO DE FIBRA/FIBROCIMENTO - FORNECIMENTO E INSTALAÇÃO. AF_06/2016</t>
  </si>
  <si>
    <t>94754</t>
  </si>
  <si>
    <t>JOELHO 90 GRAUS, CPVC, SOLDÁVEL, DN 114 MM, INSTALADO EM RESERVAÇÃO DE ÁGUA DE EDIFICAÇÃO QUE POSSUA RESERVATÓRIO DE FIBRA/FIBROCIMENTO - FORNECIMENTO E INSTALAÇÃO. AF_06/2016</t>
  </si>
  <si>
    <t>94763</t>
  </si>
  <si>
    <t>TE, CPVC, SOLDÁVEL, DN 114 MM, INSTALADO EM RESERVAÇÃO DE ÁGUA DE EDIFICAÇÃO QUE POSSUA RESERVATÓRIO DE FIBRA/FIBROCIMENTO - FORNECIMENTO E INSTALAÇÃO. AF_06/2016</t>
  </si>
  <si>
    <t>94764</t>
  </si>
  <si>
    <t>ADAPTADOR COM FLANGE E ANEL DE VEDAÇÃO, CPVC, ROSCÁVEL, DN 15 MM, INSTALADO EM RESERVAÇÃO DE ÁGUA DE EDIFICAÇÃO QUE POSSUA RESERVATÓRIO DE FIBRA/FIBROCIMENTO - FORNECIMENTO E INSTALAÇÃO. AF_06/2016</t>
  </si>
  <si>
    <t>94765</t>
  </si>
  <si>
    <t>ADAPTADOR COM FLANGE E ANEL DE VEDAÇÃO, CPVC, ROSCÁVEL, DN 22 MM, INSTALADO EM RESERVAÇÃO DE ÁGUA DE EDIFICAÇÃO QUE POSSUA RESERVATÓRIO DE FIBRA/FIBROCIMENTO - FORNECIMENTO E INSTALAÇÃO. AF_06/2016</t>
  </si>
  <si>
    <t>94766</t>
  </si>
  <si>
    <t>ADAPTADOR COM FLANGE E ANEL DE VEDAÇÃO, CPVC, ROSCÁVEL, DN 28 MM, INSTALADO EM RESERVAÇÃO DE ÁGUA DE EDIFICAÇÃO QUE POSSUA RESERVATÓRIO DE FIBRA/FIBROCIMENTO - FORNECIMENTO E INSTALAÇÃO. AF_06/2016</t>
  </si>
  <si>
    <t>94767</t>
  </si>
  <si>
    <t>ADAPTADOR COM FLANGE E ANEL DE VEDAÇÃO, CPVC, ROSCÁVEL, DN 35 MM, INSTALADO EM RESERVAÇÃO DE ÁGUA DE EDIFICAÇÃO QUE POSSUA RESERVATÓRIO DE FIBRA/FIBROCIMENTO - FORNECIMENTO E INSTALAÇÃO. AF_06/2016</t>
  </si>
  <si>
    <t>94768</t>
  </si>
  <si>
    <t>ADAPTADOR COM FLANGE E ANEL DE VEDAÇÃO, CPVC, ROSCÁVEL, DN 42 MM, INSTALADO EM RESERVAÇÃO DE ÁGUA DE EDIFICAÇÃO QUE POSSUA RESERVATÓRIO DE FIBRA/FIBROCIMENTO - FORNECIMENTO E INSTALAÇÃO. AF_06/2016</t>
  </si>
  <si>
    <t>94769</t>
  </si>
  <si>
    <t>ADAPTADOR COM FLANGE E ANEL DE VEDAÇÃO, CPVC, ROSCÁVEL, DN 54 MM, INSTALADO EM RESERVAÇÃO DE ÁGUA DE EDIFICAÇÃO QUE POSSUA RESERVATÓRIO DE FIBRA/FIBROCIMENTO - FORNECIMENTO E INSTALAÇÃO. AF_06/2016</t>
  </si>
  <si>
    <t>94770</t>
  </si>
  <si>
    <t>ADAPTADOR COM FLANGES LIVRES, CPVC, ROSCÁVEL, DN 15 MM, INSTALADO EM RESERVAÇÃO DE ÁGUA DE EDIFICAÇÃO QUE POSSUA RESERVATÓRIO DE FIBRA/FIBROCIMENTO - FORNECIMENTO E INSTALAÇÃO. AF_06/2016</t>
  </si>
  <si>
    <t>94771</t>
  </si>
  <si>
    <t>ADAPTADOR COM FLANGES LIVRES, CPVC, ROSCÁVEL, DN 22 MM, INSTALADO EM RESERVAÇÃO DE ÁGUA DE EDIFICAÇÃO QUE POSSUA RESERVATÓRIO DE FIBRA/FIBROCIMENTO - FORNECIMENTO E INSTALAÇÃO. AF_06/2016</t>
  </si>
  <si>
    <t>94772</t>
  </si>
  <si>
    <t>ADAPTADOR COM FLANGES LIVRES, CPVC, ROSCÁVEL, DN 28 MM, INSTALADO EM RESERVAÇÃO DE ÁGUA DE EDIFICAÇÃO QUE POSSUA RESERVATÓRIO DE FIBRA/FIBROCIMENTO - FORNECIMENTO E INSTALAÇÃO. AF_06/2016</t>
  </si>
  <si>
    <t>94773</t>
  </si>
  <si>
    <t>ADAPTADOR COM FLANGES LIVRES, CPVC, ROSCÁVEL, DN 35 MM, INSTALADO EM RESERVAÇÃO DE ÁGUA DE EDIFICAÇÃO QUE POSSUA RESERVATÓRIO DE FIBRA/FIBROCIMENTO - FORNECIMENTO E INSTALAÇÃO. AF_06/2016</t>
  </si>
  <si>
    <t>94774</t>
  </si>
  <si>
    <t>ADAPTADOR COM FLANGES LIVRES, CPVC, ROSCÁVEL, DN 42 MM, INSTALADO EM RESERVAÇÃO DE ÁGUA DE EDIFICAÇÃO QUE POSSUA RESERVATÓRIO DE FIBRA/FIBROCIMENTO - FORNECIMENTO E INSTALAÇÃO. AF_06/2016</t>
  </si>
  <si>
    <t>94775</t>
  </si>
  <si>
    <t>ADAPTADOR COM FLANGES LIVRES, CPVC, ROSCÁVEL, DN 54 MM, INSTALADO EM RESERVAÇÃO DE ÁGUA DE EDIFICAÇÃO QUE POSSUA RESERVATÓRIO DE FIBRA/FIBROCIMENTO - FORNECIMENTO E INSTALAÇÃO. AF_06/2016</t>
  </si>
  <si>
    <t>55,09</t>
  </si>
  <si>
    <t>18,67</t>
  </si>
  <si>
    <t>104159</t>
  </si>
  <si>
    <t>LUVA DE CORRER, PVC, SOLDÁVEL, DN 40MM, INSTALADO EM RAMAL DE DISTRIBUIÇÃO DE ÁGUA  FORNECIMENTO E INSTALAÇÃO. AF_06/2022</t>
  </si>
  <si>
    <t>10,39</t>
  </si>
  <si>
    <t>TANQUE SÉPTICO CIRCULAR, EM CONCRETO PRÉ-MOLDADO, DIÂMETRO INTERNO = 1,10 M, ALTURA INTERNA = 2,50 M, VOLUME ÚTIL: 2138,2 L (PARA 5 CONTRIBUINTES). AF_12/2020_PA</t>
  </si>
  <si>
    <t>TANQUE SÉPTICO CIRCULAR, EM CONCRETO PRÉ-MOLDADO, DIÂMETRO INTERNO = 1,40 M, ALTURA INTERNA = 2,50 M, VOLUME ÚTIL: 3463,6 L (PARA 13 CONTRIBUINTES). AF_12/2020_PA</t>
  </si>
  <si>
    <t>TANQUE SÉPTICO CIRCULAR, EM CONCRETO PRÉ-MOLDADO, DIÂMETRO INTERNO = 1,88 M, ALTURA INTERNA = 2,50 M, VOLUME ÚTIL: 6245,8 L (PARA 32 CONTRIBUINTES). AF_12/2020_PA</t>
  </si>
  <si>
    <t>TANQUE SÉPTICO CIRCULAR, EM CONCRETO PRÉ-MOLDADO, DIÂMETRO INTERNO = 2,38 M, ALTURA INTERNA = 2,50 M, VOLUME ÚTIL: 10009,8 L (PARA 69 CONTRIBUINTES). AF_12/2020_PA</t>
  </si>
  <si>
    <t>TANQUE SÉPTICO CIRCULAR, EM CONCRETO PRÉ-MOLDADO, DIÂMETRO INTERNO = 2,38 M, ALTURA INTERNA = 3,0 M, VOLUME ÚTIL: 12234,2 L (PARA 86 CONTRIBUINTES). AF_12/2020_PA</t>
  </si>
  <si>
    <t>TANQUE SÉPTICO CIRCULAR, EM CONCRETO PRÉ-MOLDADO, DIÂMETRO INTERNO = 2,88 M, ALTURA INTERNA = 2,50 M, VOLUME ÚTIL: 14657,4 L (PARA 105 CONTRIBUINTES). AF_12/2020_PA</t>
  </si>
  <si>
    <t>FILTRO ANAERÓBIO CIRCULAR, EM CONCRETO PRÉ-MOLDADO, DIÂMETRO INTERNO = 1,10 M, ALTURA INTERNA = 1,50 M, VOLUME ÚTIL: 1140,4 L (PARA 5 CONTRIBUINTES). AF_12/2020_PA</t>
  </si>
  <si>
    <t>FILTRO ANAERÓBIO CIRCULAR, EM CONCRETO PRÉ-MOLDADO, DIÂMETRO INTERNO = 1,88 M, ALTURA INTERNA = 1,50 M, VOLUME ÚTIL: 3331,1 L (PARA 19 CONTRIBUINTES). AF_12/2020_PA</t>
  </si>
  <si>
    <t>FILTRO ANAERÓBIO CIRCULAR, EM CONCRETO PRÉ-MOLDADO, DIÂMETRO INTERNO = 2,38 M, ALTURA INTERNA = 1,50 M, VOLUME ÚTIL: 5338,6 L (PARA 34 CONTRIBUINTES). AF_12/2020_PA</t>
  </si>
  <si>
    <t>FILTRO ANAERÓBIO CIRCULAR, EM CONCRETO PRÉ-MOLDADO, DIÂMETRO INTERNO = 2,88 M, ALTURA INTERNA = 1,50 M, VOLUME ÚTIL: 7817,3 L (PARA 75 CONTRIBUINTES). AF_12/2020_PA</t>
  </si>
  <si>
    <t>SUMIDOURO CIRCULAR, EM CONCRETO PRÉ-MOLDADO, DIÂMETRO INTERNO = 1,88 M, ALTURA INTERNA = 2,00 M, ÁREA DE INFILTRAÇÃO: 13,1 M² (PARA 5 CONTRIBUINTES). AF_12/2020_PA</t>
  </si>
  <si>
    <t>SUMIDOURO CIRCULAR, EM CONCRETO PRÉ-MOLDADO, DIÂMETRO INTERNO = 2,38 M, ALTURA INTERNA = 2,50 M, ÁREA DE INFILTRAÇÃO: 21,3 M² (PARA 8 CONTRIBUINTES). AF_12/2020_PA</t>
  </si>
  <si>
    <t>SUMIDOURO CIRCULAR, EM CONCRETO PRÉ-MOLDADO, DIÂMETRO INTERNO = 2,38 M, ALTURA INTERNA = 3,0 M, ÁREA DE INFILTRAÇÃO: 25 M² (PARA 10 CONTRIBUINTES). AF_12/2020_PA</t>
  </si>
  <si>
    <t>SUMIDOURO CIRCULAR, EM CONCRETO PRÉ-MOLDADO, DIÂMETRO INTERNO = 2,88 M, ALTURA INTERNA = 3,0 M, ÁREA DE INFILTRAÇÃO: 31,4 M² (PARA 12 CONTRIBUINTES). AF_12/2020_PA</t>
  </si>
  <si>
    <t>95648</t>
  </si>
  <si>
    <t>KIT CAVALETE PARA MEDIÇÃO DE ÁGUA - ENTRADA INDIVIDUALIZADA, EM CPVC DN 28 (1"), PARA 1 MEDIDOR - FORNECIMENTO E INSTALAÇÃO (EXCLUSIVE HIDRÔMETRO). AF_11/2016</t>
  </si>
  <si>
    <t>95649</t>
  </si>
  <si>
    <t>KIT CAVALETE PARA MEDIÇÃO DE ÁGUA - ENTRADA INDIVIDUALIZADA, EM CPVC DN 28 (1"), PARA 2 MEDIDORES - FORNECIMENTO E INSTALAÇÃO (EXCLUSIVE HIDRÔMETRO). AF_11/2016</t>
  </si>
  <si>
    <t>95650</t>
  </si>
  <si>
    <t>KIT CAVALETE PARA MEDIÇÃO DE ÁGUA - ENTRADA INDIVIDUALIZADA, EM CPVC DN 28 (1"), PARA 3 MEDIDORES - FORNECIMENTO E INSTALAÇÃO (EXCLUSIVE HIDRÔMETRO). AF_11/2016</t>
  </si>
  <si>
    <t>95651</t>
  </si>
  <si>
    <t>KIT CAVALETE PARA MEDIÇÃO DE ÁGUA - ENTRADA INDIVIDUALIZADA, EM CPVC DN 28 (1"), PARA 4 MEDIDORES - FORNECIMENTO E INSTALAÇÃO (EXCLUSIVE HIDRÔMETRO). AF_11/2016</t>
  </si>
  <si>
    <t>95652</t>
  </si>
  <si>
    <t>KIT CAVALETE PARA MEDIÇÃO DE ÁGUA - ENTRADA INDIVIDUALIZADA, EM CPVC DN 35 (1 ¼"), PARA 1 MEDIDOR - FORNECIMENTO E INSTALAÇÃO (EXCLUSIVE HIDRÔMETRO). AF_11/2016</t>
  </si>
  <si>
    <t>95653</t>
  </si>
  <si>
    <t>KIT CAVALETE PARA MEDIÇÃO DE ÁGUA - ENTRADA INDIVIDUALIZADA, EM CPVC DN 35 (1 ¼"), PARA 2 MEDIDORES - FORNECIMENTO E INSTALAÇÃO (EXCLUSIVE HIDRÔMETRO). AF_11/2016</t>
  </si>
  <si>
    <t>95654</t>
  </si>
  <si>
    <t>KIT CAVALETE PARA MEDIÇÃO DE ÁGUA - ENTRADA INDIVIDUALIZADA, EM CPVC DN 35 (1 ¼"), PARA 3 MEDIDORES - FORNECIMENTO E INSTALAÇÃO (EXCLUSIVE HIDRÔMETRO). AF_11/2016</t>
  </si>
  <si>
    <t>95655</t>
  </si>
  <si>
    <t>KIT CAVALETE PARA MEDIÇÃO DE ÁGUA - ENTRADA INDIVIDUALIZADA, EM CPVC DN 35 (1 ¼"), PARA 4 MEDIDORES - FORNECIMENTO E INSTALAÇÃO (EXCLUSIVE HIDRÔMETRO). AF_11/2016</t>
  </si>
  <si>
    <t>95657</t>
  </si>
  <si>
    <t>KIT CAVALETE PARA MEDIÇÃO DE ÁGUA - ENTRADA INDIVIDUALIZADA, EM PPR PN20 DN 25 (¾") PARA 1 MEDIDOR - FORNECIMENTO E INSTALAÇÃO (EXCLUSIVE HIDRÔMETRO). AF_11/2016</t>
  </si>
  <si>
    <t>95658</t>
  </si>
  <si>
    <t>KIT CAVALETE PARA MEDIÇÃO DE ÁGUA - ENTRADA INDIVIDUALIZADA, EM PPR PN20 DN 25 (¾" ) PARA 2 MEDIDORES - FORNECIMENTO E INSTALAÇÃO (EXCLUSIVE HIDRÔMETRO). AF_11/2016</t>
  </si>
  <si>
    <t>95659</t>
  </si>
  <si>
    <t>KIT CAVALETE PARA MEDIÇÃO DE ÁGUA - ENTRADA INDIVIDUALIZADA, EM PPR PN20 DN 25 (¾") PARA 3 MEDIDORES - FORNECIMENTO E INSTALAÇÃO (EXCLUSIVE HIDRÔMETRO). AF_11/2016</t>
  </si>
  <si>
    <t>95660</t>
  </si>
  <si>
    <t>KIT CAVALETE PARA MEDIÇÃO DE ÁGUA - ENTRADA INDIVIDUALIZADA, EM PPR PN20 DN 25 (¾") PARA 4 MEDIDORES - FORNECIMENTO E INSTALAÇÃO (EXCLUSIVE HIDRÔMETRO). AF_11/2016</t>
  </si>
  <si>
    <t>95661</t>
  </si>
  <si>
    <t>KIT CAVALETE PARA MEDIÇÃO DE ÁGUA - ENTRADA INDIVIDUALIZADA, EM PPR PN20 DN 32 (1") PARA 1 MEDIDOR - FORNECIMENTO E INSTALAÇÃO (EXCLUSIVE HIDRÔMETRO). AF_11/2016</t>
  </si>
  <si>
    <t>95662</t>
  </si>
  <si>
    <t>KIT CAVALETE PARA MEDIÇÃO DE ÁGUA - ENTRADA INDIVIDUALIZADA, EM PPR PN20 DN 32 (1") PARA 2 MEDIDORES - FORNECIMENTO E INSTALAÇÃO (EXCLUSIVE HIDRÔMETRO). AF_11/2016</t>
  </si>
  <si>
    <t>95663</t>
  </si>
  <si>
    <t>KIT CAVALETE PARA MEDIÇÃO DE ÁGUA - ENTRADA INDIVIDUALIZADA, EM PPR PN20 DN 32 (1") PARA 3 MEDIDORES - FORNECIMENTO E INSTALAÇÃO (EXCLUSIVE HIDRÔMETRO). AF_11/2016</t>
  </si>
  <si>
    <t>95664</t>
  </si>
  <si>
    <t>KIT CAVALETE PARA MEDIÇÃO DE ÁGUA - ENTRADA INDIVIDUALIZADA, EM PPR PN20 DN 32 (1") PARA 4 MEDIDORES - FORNECIMENTO E INSTALAÇÃO (EXCLUSIVE HIDRÔMETRO). AF_11/2016</t>
  </si>
  <si>
    <t>95665</t>
  </si>
  <si>
    <t>KIT CAVALETE PARA MEDIÇÃO DE ÁGUA - ENTRADA INDIVIDUALIZADA, EM PPR PN25 DN 25 (¾") PARA 1 MEDIDOR - FORNECIMENTO E INSTALAÇÃO (EXCLUSIVE HIDRÔMETRO). AF_11/2016</t>
  </si>
  <si>
    <t>95666</t>
  </si>
  <si>
    <t>KIT CAVALETE PARA MEDIÇÃO DE ÁGUA - ENTRADA INDIVIDUALIZADA, EM PPR PN25 DN 25 (¾") PARA 2 MEDIDORES - FORNECIMENTO E INSTALAÇÃO (EXCLUSIVE HIDRÔMETRO). AF_11/2016</t>
  </si>
  <si>
    <t>95667</t>
  </si>
  <si>
    <t>KIT CAVALETE PARA MEDIÇÃO DE ÁGUA - ENTRADA INDIVIDUALIZADA, EM PPR PN25 DN 25 (¾") PARA 3 MEDIDORES - FORNECIMENTO E INSTALAÇÃO (EXCLUSIVE HIDRÔMETRO). AF_11/2016</t>
  </si>
  <si>
    <t>95668</t>
  </si>
  <si>
    <t>KIT CAVALETE PARA MEDIÇÃO DE ÁGUA - ENTRADA INDIVIDUALIZADA, EM PPR PN25 DN 25 (¾") PARA 4 MEDIDORES - FORNECIMENTO E INSTALAÇÃO (EXCLUSIVE HIDRÔMETRO). AF_11/2016</t>
  </si>
  <si>
    <t>95669</t>
  </si>
  <si>
    <t>KIT CAVALETE PARA MEDIÇÃO DE ÁGUA - ENTRADA INDIVIDUALIZADA, EM PPR PN25 DN 32 (1") PARA 1 MEDIDOR - FORNECIMENTO E INSTALAÇÃO (EXCLUSIVE HIDRÔMETRO). AF_11/2016</t>
  </si>
  <si>
    <t>95670</t>
  </si>
  <si>
    <t>KIT CAVALETE PARA MEDIÇÃO DE ÁGUA - ENTRADA INDIVIDUALIZADA, EM PPR PN25 DN 32 (1") PARA 2 MEDIDORES - FORNECIMENTO E INSTALAÇÃO (EXCLUSIVE HIDRÔMETRO). AF_11/2016</t>
  </si>
  <si>
    <t>95671</t>
  </si>
  <si>
    <t>KIT CAVALETE PARA MEDIÇÃO DE ÁGUA - ENTRADA INDIVIDUALIZADA, EM PPR PN25 DN 32 (1") PARA 3 MEDIDORES - FORNECIMENTO E INSTALAÇÃO (EXCLUSIVE HIDRÔMETRO). AF_11/2016</t>
  </si>
  <si>
    <t>95672</t>
  </si>
  <si>
    <t>KIT CAVALETE PARA MEDIÇÃO DE ÁGUA - ENTRADA INDIVIDUALIZADA, EM PPR PN25 DN 32 (1") PARA 4 MEDIDORES - FORNECIMENTO E INSTALAÇÃO (EXCLUSIVE HIDRÔMETRO). AF_11/2016</t>
  </si>
  <si>
    <t>11,56</t>
  </si>
  <si>
    <t>100128</t>
  </si>
  <si>
    <t>TIL (TUBO DE INSPEÇÃO E LIMPEZA) RADIAL PARA ESGOTO, EM PVC, DN 300X200 MM. AF_12/2020</t>
  </si>
  <si>
    <t>24,19</t>
  </si>
  <si>
    <t>22,28</t>
  </si>
  <si>
    <t>8,85</t>
  </si>
  <si>
    <t>10,26</t>
  </si>
  <si>
    <t>75,31</t>
  </si>
  <si>
    <t>ALVENARIA DE BLOCOS DE CONCRETO ESTRUTURAL 14X19X39 CM (ESPESSURA 14 CM), FBK = 4,5 MPA, UTILIZANDO PALHETA. AF_10/2022</t>
  </si>
  <si>
    <t>ALVENARIA DE BLOCOS DE CONCRETO ESTRUTURAL 14X19X39 CM (ESPESSURA 14 CM), FBK = 14 MPA, UTILIZANDO PALHETA. AF_10/2022</t>
  </si>
  <si>
    <t>ALVENARIA DE BLOCOS DE CONCRETO ESTRUTURAL 14X19X29 CM (ESPESSURA 14 CM), FBK = 4,5 MPA, UTILIZANDO PALHETA. AF_10/2022</t>
  </si>
  <si>
    <t>ALVENARIA DE BLOCOS DE CONCRETO ESTRUTURAL 14X19X39 CM (ESPESSURA 14 CM), FBK = 4,5 MPA, UTILIZANDO COLHER DE PEDREIRO. AF_10/2022</t>
  </si>
  <si>
    <t>ALVENARIA DE BLOCOS DE CONCRETO ESTRUTURAL 14X19X39 CM (ESPESSURA 14 CM), FBK = 14 MPA, UTILIZANDO COLHER DE PEDREIRO. AF_10/2022</t>
  </si>
  <si>
    <t>ALVENARIA DE BLOCOS DE CONCRETO ESTRUTURAL 14X19X29 CM (ESPESSURA 14 CM), FBK = 4,5 MPA, UTILIZANDO COLHER DE PEDREIRO. AF_10/2022</t>
  </si>
  <si>
    <t>ALVENARIA DE BLOCOS DE CONCRETO ESTRUTURAL 14X19X29 CM (ESPESSURA 14 CM), FBK = 14 MPA, UTILIZANDO COLHER DE PEDREIRO. AF_10/2022</t>
  </si>
  <si>
    <t>EXECUÇÃO DE PAVIMENTO EM PISO INTERTRAVADO, COM BLOCO PISOGRAMA DE 35 X 15 CM, ESPESSURA 6 CM. AF_10/2022</t>
  </si>
  <si>
    <t>EXECUÇÃO DE PAVIMENTO EM PISO INTERTRAVADO, COM BLOCO PISOGRAMA DE 35 X 15 CM, ESPESSURA 8 CM. AF_10/2022</t>
  </si>
  <si>
    <t>EXECUÇÃO DE PAVIMENTO EM PISO INTERTRAVADO, COM BLOCO SEXTAVADO DE 25 X 25 CM, ESPESSURA 6 CM. AF_10/2022</t>
  </si>
  <si>
    <t>EXECUÇÃO DE PAVIMENTO EM PISO INTERTRAVADO, COM BLOCO SEXTAVADO DE 25 X 25 CM, ESPESSURA 8 CM. AF_10/2022</t>
  </si>
  <si>
    <t>EXECUÇÃO DE PAVIMENTO EM PISO INTERTRAVADO, COM BLOCO SEXTAVADO DE 25 X 25 CM, ESPESSURA 10 CM. AF_10/2022</t>
  </si>
  <si>
    <t>EXECUÇÃO DE PASSEIO EM PISO INTERTRAVADO, COM BLOCO RETANGULAR COR NATURAL DE 20 X 10 CM, ESPESSURA 6 CM. AF_10/2022</t>
  </si>
  <si>
    <t>EXECUÇÃO DE PAVIMENTO EM PISO INTERTRAVADO, COM BLOCO RETANGULAR COR NATURAL DE 20 X 10 CM, ESPESSURA 6 CM. AF_10/2022</t>
  </si>
  <si>
    <t>EXECUÇÃO DE PAVIMENTO EM PISO INTERTRAVADO, COM BLOCO RETANGULAR COR NATURAL DE 20 X 10 CM, ESPESSURA 8 CM. AF_10/2022</t>
  </si>
  <si>
    <t>EXECUÇÃO DE PAVIMENTO EM PISO INTERTRAVADO, COM BLOCO RETANGULAR DE 20 X 10 CM, ESPESSURA 10 CM. AF_10/2022</t>
  </si>
  <si>
    <t>EXECUÇÃO DE PASSEIO EM PISO INTERTRAVADO, COM BLOCO 16 FACES DE 22 X 11 CM, ESPESSURA 6 CM. AF_10/2022</t>
  </si>
  <si>
    <t>EXECUÇÃO DE PAVIMENTO EM PISO INTERTRAVADO, COM BLOCO 16 FACES DE 22 X 11 CM, ESPESSURA 6 CM. AF_10/2022</t>
  </si>
  <si>
    <t>EXECUÇÃO DE PAVIMENTO EM PISO INTERTRAVADO, COM BLOCO 16 FACES DE 22 X 11 CM, ESPESSURA 8 CM. AF_10/2022</t>
  </si>
  <si>
    <t>EXECUÇÃO DE PAVIMENTO EM PISO INTERTRAVADO, COM BLOCO 16 FACES DE 22 X 11 CM, ESPESSURA 10 CM. AF_10/2022</t>
  </si>
  <si>
    <t>EXECUÇÃO DE PASSEIO EM PISO INTERTRAVADO, COM BLOCO RETANGULAR COLORIDO DE 20 X 10 CM, ESPESSURA 6 CM. AF_10/2022</t>
  </si>
  <si>
    <t>EXECUÇÃO DE PAVIMENTO EM PISO INTERTRAVADO, COM BLOCO RETANGULAR COLORIDO DE 20 X 10 CM, ESPESSURA 6 CM. AF_10/2022</t>
  </si>
  <si>
    <t>EXECUÇÃO DE PAVIMENTO EM PISO INTERTRAVADO, COM BLOCO RETANGULAR COLORIDO DE 20 X 10 CM, ESPESSURA 8 CM. AF_10/2022</t>
  </si>
  <si>
    <t>104432</t>
  </si>
  <si>
    <t>EXECUÇÃO DE PASSEIO EM PISO INTERTRAVADO, COM BLOCO RAQUETE  22 X 13,5 CM, ESPESSURA 6 CM. AF_10/2022</t>
  </si>
  <si>
    <t>104433</t>
  </si>
  <si>
    <t>EXECUÇÃO DE PAVIMENTO EM PISO INTERTRAVADO, COM BLOCO RAQUETE  22 X 13,5 CM, ESPESSURA 6 CM. AF_10/2022</t>
  </si>
  <si>
    <t>21,26</t>
  </si>
  <si>
    <t>PINTURA COM TINTA ALQUÍDICA DE FUNDO (TIPO ZARCÃO) PULVERIZADA SOBRE PERFIL METÁLICO EXECUTADO EM FÁBRICA (POR DEMÃO). AF_01/2020_PE</t>
  </si>
  <si>
    <t>PINTURA COM TINTA ALQUÍDICA DE FUNDO (TIPO ZARCÃO) PULVERIZADA SOBRE SUPERFÍCIES METÁLICAS (EXCETO PERFIL) EXECUTADO EM OBRA (POR DEMÃO). AF_01/2020_PE</t>
  </si>
  <si>
    <t>PINTURA COM TINTA ALQUÍDICA DE FUNDO E ACABAMENTO (ESMALTE SINTÉTICO GRAFITE) PULVERIZADA SOBRE PERFIL METÁLICO EXECUTADO EM FÁBRICA (POR DEMÃO). AF_01/2020_PE</t>
  </si>
  <si>
    <t>PINTURA COM TINTA ALQUÍDICA DE FUNDO E ACABAMENTO (ESMALTE SINTÉTICO GRAFITE) PULVERIZADA SOBRE SUPERFÍCIES METÁLICAS (EXCETO PERFIL) EXECUTADO EM OBRA (POR DEMÃO). AF_01/2020_PE</t>
  </si>
  <si>
    <t>PINTURA COM TINTA EPOXÍDICA DE FUNDO PULVERIZADA SOBRE PERFIL METÁLICO EXECUTADO EM FÁBRICA (POR DEMÃO). AF_01/2020_PE</t>
  </si>
  <si>
    <t>PINTURA COM TINTA EPOXÍDICA DE ACABAMENTO PULVERIZADA SOBRE PERFIL METÁLICO EXECUTADO EM FÁBRICA (POR DEMÃO). AF_01/2020_PE</t>
  </si>
  <si>
    <t>PINTURA COM TINTA ACRÍLICA DE FUNDO PULVERIZADA SOBRE SUPERFÍCIES METÁLICAS (EXCETO PERFIL) EXECUTADO EM OBRA (POR DEMÃO). AF_01/2020_PE</t>
  </si>
  <si>
    <t>PINTURA COM TINTA ACRÍLICA DE ACABAMENTO PULVERIZADA SOBRE SUPERFÍCIES METÁLICAS (EXCETO PERFIL) EXECUTADO EM OBRA (POR DEMÃO). AF_01/2020_PE</t>
  </si>
  <si>
    <t>PINTURA COM TINTA ALQUÍDICA DE ACABAMENTO (ESMALTE SINTÉTICO ACETINADO) PULVERIZADA SOBRE PERFIL METÁLICO EXECUTADO EM FÁBRICA (POR DEMÃO). AF_01/2020_PE</t>
  </si>
  <si>
    <t>PINTURA COM TINTA ALQUÍDICA DE ACABAMENTO (ESMALTE SINTÉTICO ACETINADO) PULVERIZADA SOBRE SUPERFÍCIES METÁLICAS (EXCETO PERFIL) EXECUTADO EM OBRA (POR DEMÃO). AF_01/2020_PE</t>
  </si>
  <si>
    <t>PINTURA COM TINTA ALQUÍDICA DE ACABAMENTO (ESMALTE SINTÉTICO BRILHANTE) PULVERIZADA SOBRE PERFIL METÁLICO EXECUTADO EM FÁBRICA  (POR DEMÃO). AF_01/2020_PE</t>
  </si>
  <si>
    <t>PINTURA COM TINTA ALQUÍDICA DE ACABAMENTO (ESMALTE SINTÉTICO BRILHANTE) PULVERIZADA SOBRE SUPERFÍCIES METÁLICAS (EXCETO PERFIL) EXECUTADO EM OBRA  (POR DEMÃO). AF_01/2020_PE</t>
  </si>
  <si>
    <t>PINTURA COM TINTA ALQUÍDICA DE ACABAMENTO (ESMALTE SINTÉTICO FOSCO) PULVERIZADA SOBRE PERFIL METÁLICO EXECUTADO EM FÁBRICA (POR DEMÃO). AF_01/2020_PE</t>
  </si>
  <si>
    <t>PINTURA COM TINTA ALQUÍDICA DE ACABAMENTO (ESMALTE SINTÉTICO FOSCO) PULVERIZADA SOBRE SUPERFÍCIES METÁLICAS (EXCETO PERFIL) EXECUTADO EM OBRA (POR DEMÃO). AF_01/2020_PE</t>
  </si>
  <si>
    <t>PINTURA COM TINTA EPOXÍDICA DE ACABAMENTO PULVERIZADA SOBRE PERFIL METÁLICO EXECUTADO EM FÁBRICA (02 DEMÃOS). AF_01/2020_PE</t>
  </si>
  <si>
    <t>PINTURA COM TINTA ACRÍLICA DE ACABAMENTO PULVERIZADA SOBRE SUPERFÍCIES METÁLICAS (EXCETO PERFIL) EXECUTADO EM OBRA (02 DEMÃOS). AF_01/2020_PE</t>
  </si>
  <si>
    <t>PINTURA COM TINTA ALQUÍDICA DE ACABAMENTO (ESMALTE SINTÉTICO ACETINADO) PULVERIZADA SOBRE SUPERFÍCIES METÁLICAS (EXCETO PERFIL) EXECUTADO EM OBRA (02 DEMÃOS). AF_01/2020_PE</t>
  </si>
  <si>
    <t>PINTURA COM TINTA ALQUÍDICA DE ACABAMENTO (ESMALTE SINTÉTICO BRILHANTE) PULVERIZADA SOBRE SUPERFÍCIES METÁLICAS (EXCETO PERFIL) EXECUTADO EM OBRA (02 DEMÃOS). AF_01/2020_PE</t>
  </si>
  <si>
    <t>PINTURA COM TINTA ALQUÍDICA DE ACABAMENTO (ESMALTE SINTÉTICO FOSCO) PULVERIZADA SOBRE SUPERFÍCIES METÁLICAS (EXCETO PERFIL) EXECUTADO EM OBRA (02 DEMÃOS). AF_01/2020_PE</t>
  </si>
  <si>
    <t>PISO PODOTÁTIL DE ALERTA OU DIRECIONAL, DE BORRACHA, ASSENTADO SOBRE ARGAMASSA. AF_05/2020</t>
  </si>
  <si>
    <t>81,37</t>
  </si>
  <si>
    <t>CHAPISCO APLICADO EM ALVENARIAS E ESTRUTURAS DE CONCRETO INTERNAS, COM COLHER DE PEDREIRO.  ARGAMASSA TRAÇO 1:3 COM PREPARO MANUAL. AF_10/2022</t>
  </si>
  <si>
    <t>CHAPISCO APLICADO EM ALVENARIAS E ESTRUTURAS DE CONCRETO INTERNAS, COM COLHER DE PEDREIRO.  ARGAMASSA TRAÇO 1:3 COM PREPARO EM BETONEIRA 400L. AF_10/2022</t>
  </si>
  <si>
    <t>CHAPISCO APLICADO NO TETO OU EM ALVENARIA E ESTRUTURA, COM ROLO PARA TEXTURA ACRÍLICA. ARGAMASSA TRAÇO 1:4 E EMULSÃO POLIMÉRICA (ADESIVO)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</si>
  <si>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</si>
  <si>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</si>
  <si>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</si>
  <si>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CHAPISCO APLICADO NO TETO OU EM ESTRUTURA, COM DESEMPENADEIRA DENTADA. ARGAMASSA INDUSTRIALIZADA COM PREPARO MANUAL. AF_10/2022</t>
  </si>
  <si>
    <t>CHAPISCO APLICADO NO TETO OU EM ESTRUTURA, COM DESEMPENADEIRA DENTADA. ARGAMASSA INDUSTRIALIZADA COM PREPARO EM MISTURADOR 300 KG. AF_10/2022</t>
  </si>
  <si>
    <t>CHAPISCO APLICADO EM ALVENARIA (SEM PRESENÇA DE VÃOS) E ESTRUTURAS DE CONCRETO DE FACHADA, COM ROLO PARA TEXTURA ACRÍLICA.  ARGAMASSA TRAÇO 1:4 E EMULSÃO POLIMÉRICA (ADESIVO) COM PREPARO MANUAL.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</si>
  <si>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</si>
  <si>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</si>
  <si>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</si>
  <si>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COLHER DE PEDREIRO.  ARGAMASSA TRAÇO 1:3 COM PREPARO MANUAL. AF_10/2022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</si>
  <si>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</si>
  <si>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EQUIPAMENTO DE PROJEÇÃO. ARGAMASSA TRAÇO 1:3 COM PREPARO MANUAL. AF_10/2022</t>
  </si>
  <si>
    <t>CHAPISCO APLICADO EM ALVENARIA (SEM PRESENÇA DE VÃOS) E ESTRUTURAS DE CONCRETO DE FACHADA, COM EQUIPAMENTO DE PROJEÇÃO.  ARGAMASSA TRAÇO 1:3 COM PREPARO EM BETONEIRA 400 L. AF_10/2022</t>
  </si>
  <si>
    <t>CHAPISCO APLICADO EM ALVENARIA (COM PRESENÇA DE VÃOS) E ESTRUTURAS DE CONCRETO DE FACHADA, COM ROLO PARA TEXTURA ACRÍLICA.  ARGAMASSA TRAÇO 1:4 E EMULSÃO POLIMÉRICA (ADESIVO)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</si>
  <si>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</si>
  <si>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</si>
  <si>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INDUSTRIALIZADA COM PREPARO EM MISTURADOR 300 KG. AF_10/2022</t>
  </si>
  <si>
    <t>CHAPISCO APLICADO EM ALVENARIA (COM PRESENÇA DE VÃOS) E ESTRUTURAS DE CONCRETO DE FACHADA, COM COLHER DE PEDREIRO.  ARGAMASSA TRAÇO 1:3 COM PREPARO MANUAL. AF_10/2022</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</si>
  <si>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</si>
  <si>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</si>
  <si>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EQUIPAMENTO DE PROJEÇÃO.  ARGAMASSA TRAÇO 1:3 COM PREPARO EM BETONEIRA 400 L. AF_10/2022</t>
  </si>
  <si>
    <t>CHAPISCO APLICADO SOMENTE NA ESTRUTURA DE CONCRETO DA FACHADA, COM DESEMPENADEIRA DENTADA. ARGAMASSA INDUSTRIALIZADA COM PREPARO MANUAL. AF_10/2022</t>
  </si>
  <si>
    <t>CHAPISCO APLICADO SOMENTE NA ESTRUTURA DE CONCRETO DA FACHADA, COM DESEMPENADEIRA DENTADA. ARGAMASSA INDUSTRIALIZADA COM PREPARO EM MISTURADOR 300 KG. AF_10/2022</t>
  </si>
  <si>
    <t>104410</t>
  </si>
  <si>
    <t>CHAPISCO APLICADO EM ALVENARIA E ESTRUTURAS DE CONCRETO INTERNAS, COM EQUIPAMENTO DE PROJEÇÃO.  ARGAMASSA TRAÇO 1:3 COM PREPARO MANUAL. AF_10/2022</t>
  </si>
  <si>
    <t>104411</t>
  </si>
  <si>
    <t>CHAPISCO APLICADO EM ALVENARIA E ESTRUTURAS DE CONCRETO INTERNAS, COM EQUIPAMENTO DE PROJEÇÃO.  ARGAMASSA TRAÇO 1:3 COM PREPARO EM BETONEIRA 400 L. AF_10/2022</t>
  </si>
  <si>
    <t>ESTUCAMENTO DE DENSIDADE BAIXA DE PANOS DE FACHADA DO SISTEMA DE PAREDES DE CONCRETO EM EDIFICAÇÕES DE MÚLTIPLOS PAVIMENTOS, ACESSO COM PLATAFORMA OU CADEIRINHA, UTILIZAÇÃO DE ARGAMASSA COLANTE. AF_10/2022</t>
  </si>
  <si>
    <t>ESTUCAMENTO DE DENSIDADE BAIXA DE PANOS DE FACHADA DO SISTEMA DE PAREDES DE CONCRETO EM UNIDADES HABITACIONAIS DE PAVIMENTO ÚNICO, UTILIZAÇÃO DE ARGAMASSA COLANTE. AF_10/2022</t>
  </si>
  <si>
    <t>ESTUCAMENTO DE DENSIDADE BAIXA NAS FACES INTERNAS DE PAREDES DO SISTEMA DE PAREDES DE CONCRETO, EM AMBIENTES COM ÁREA ENTRE 5 M² E 10 M², UTILIZAÇÃO DE ARGAMASSA COLANTE. AF_10/2022</t>
  </si>
  <si>
    <t>ESTUCAMENTO PARA QUALQUER REVESTIMENTO, EM TETO DO SISTEMA DE PAREDES DE CONCRETO, EM AMBIENTES COM ÁREA ENTRE 5 M² E 10 M², UTILIZAÇÃO DE ARGAMASSA COLANTE. AF_10/2022</t>
  </si>
  <si>
    <t>ESTUCAMENTO DE DENSIDADE ALTA NAS FACES INTERNAS DE PAREDES DO SISTEMA DE PAREDES DE CONCRETO, EM AMBIENTES COM ÁREA ENTRE 5 M² E 10 M², UTILIZAÇÃO DE ARGAMASSA COLANTE. AF_10/2022</t>
  </si>
  <si>
    <t>104412</t>
  </si>
  <si>
    <t>ESTUCAMENTO PARA QUALQUER REVESTIMENTO, EM TETO DO SISTEMA DE PAREDES DE CONCRETO, EM AMBIENTES COM ÁREA MAIOR QUE 10 M², UTILIZAÇÃO DE ARGAMASSA COLANTE. AF_10/2022</t>
  </si>
  <si>
    <t>104413</t>
  </si>
  <si>
    <t>ESTUCAMENTO PARA QUALQUER REVESTIMENTO, EM TETO DO SISTEMA DE PAREDES DE CONCRETO, EM AMBIENTES COM ÁREA MENOR QUE 5 M², UTILIZAÇÃO DE ARGAMASSA COLANTE. AF_10/2022</t>
  </si>
  <si>
    <t>104414</t>
  </si>
  <si>
    <t>ESTUCAMENTO DE DENSIDADE ALTA NAS FACES INTERNAS DE PAREDES DO SISTEMA DE PAREDES DE CONCRETO, EM AMBIENTES COM ÁREA MAIOR QUE 10 M², UTILIZAÇÃO DE ARGAMASSA COLANTE. AF_10/2022</t>
  </si>
  <si>
    <t>104415</t>
  </si>
  <si>
    <t>ESTUCAMENTO DE DENSIDADE ALTA NAS FACES INTERNAS DE PAREDES DO SISTEMA DE PAREDES DE CONCRETO, EM AMBIENTES COM ÁREA MENOR QUE 5 M², UTILIZAÇÃO DE ARGAMASSA COLANTE. AF_10/2022</t>
  </si>
  <si>
    <t>104416</t>
  </si>
  <si>
    <t>ESTUCAMENTO DE DENSIDADE BAIXA NAS FACES INTERNAS DE PAREDES DO SISTEMA DE PAREDES DE CONCRETO, EM AMBIENTES COM ÁREA MAIOR QUE 10 M², UTILIZAÇÃO DE ARGAMASSA COLANTE. AF_10/2022</t>
  </si>
  <si>
    <t>104417</t>
  </si>
  <si>
    <t>ESTUCAMENTO DE DENSIDADE BAIXA NAS FACES INTERNAS DE PAREDES DO SISTEMA DE PAREDES DE CONCRETO, EM AMBIENTES COM ÁREA MENOR QUE 5 M², UTILIZAÇÃO DE ARGAMASSA COLANTE. AF_10/2022</t>
  </si>
  <si>
    <t>104418</t>
  </si>
  <si>
    <t>ESTUCAMENTO DE DENSIDADE BAIXA DE PANOS DE FACHADA DO SISTEMA DE PAREDES DE CONCRETO EM EDIFICAÇÕES DE MÚLTIPLOS PAVIMENTOS, ACESSO COM BALANCIM, UTILIZAÇÃO DE ARGAMASSA COLANTE. AF_10/2022</t>
  </si>
  <si>
    <t>104419</t>
  </si>
  <si>
    <t>ESTUCAMENTO DE DENSIDADE BAIXA DE PANOS DE FACHADA DO SISTEMA DE PAREDES DE CONCRETO EM UNIDADES HABITACIONAIS DE DOIS PAVIMENTOS (SOBRADO), ACESSO COM ANDAIME FACHADEIRO, UTILIZAÇÃO DE ARGAMASSA COLANTE. AF_10/2022</t>
  </si>
  <si>
    <t>104420</t>
  </si>
  <si>
    <t>ESTUCAMENTO DE DENSIDADE BAIXA DE PANOS DE FACHADA DO SISTEMA DE PAREDES DE CONCRETO EM UNIDADES HABITACIONAIS DE DOIS PAVIMENTOS (SOBRADO), ACESSO COM PLATAFORMA, UTILIZAÇÃO DE ARGAMASSA COLANTE. AF_10/2022</t>
  </si>
  <si>
    <t>104421</t>
  </si>
  <si>
    <t>ESTUCAMENTO DE DENSIDADE ALTA DE PANOS DE FACHADA DO SISTEMA DE PAREDES DE CONCRETO EM EDIFICAÇÕES DE MÚLTIPLOS PAVIMENTOS, ACESSO COM PLATAFORMA OU CADEIRINHA, UTILIZAÇÃO DE ARGAMASSA COLANTE. AF_10/2022</t>
  </si>
  <si>
    <t>104422</t>
  </si>
  <si>
    <t>ESTUCAMENTO DE DENSIDADE ALTA DE PANOS DE FACHADA DO SISTEMA DE PAREDES DE CONCRETO EM EDIFICAÇÕES DE MÚLTIPLOS PAVIMENTOS, ACESSO COM BALANCIM, UTILIZAÇÃO DE ARGAMASSA COLANTE. AF_10/2022</t>
  </si>
  <si>
    <t>104423</t>
  </si>
  <si>
    <t>ESTUCAMENTO DE DENSIDADE ALTA DE PANOS DE FACHADA DO SISTEMA DE PAREDES DE CONCRETO EM UNIDADES HABITACIONAIS DE DOIS PAVIMENTOS (SOBRADO), ACESSO COM ANDAIME FACHADEIRO, UTILIZAÇÃO DE ARGAMASSA COLANTE. AF_10/2022</t>
  </si>
  <si>
    <t>104424</t>
  </si>
  <si>
    <t>ESTUCAMENTO DE DENSIDADE ALTA DE PANOS DE FACHADA DO SISTEMA DE PAREDES DE CONCRETO EM UNIDADES HABITACIONAIS DE DOIS PAVIMENTOS (SOBRADO), ACESSO COM PLATAFORMA, UTILIZAÇÃO DE ARGAMASSA COLANTE. AF_10/2022</t>
  </si>
  <si>
    <t>104425</t>
  </si>
  <si>
    <t>ESTUCAMENTO DE DENSIDADE ALTA DE PANOS DE FACHADA DO SISTEMA DE PAREDES DE CONCRETO EM UNIDADES HABITACIONAIS DE PAVIMENTO ÚNICO, UTILIZAÇÃO DE ARGAMASSA COLANTE. AF_10/2022</t>
  </si>
  <si>
    <t>12,55</t>
  </si>
  <si>
    <t>25,50</t>
  </si>
  <si>
    <t>2,22</t>
  </si>
  <si>
    <t>9,46</t>
  </si>
  <si>
    <t>28,01</t>
  </si>
  <si>
    <t>6,00</t>
  </si>
  <si>
    <t>28,70</t>
  </si>
  <si>
    <t>11,42</t>
  </si>
  <si>
    <t>36,09</t>
  </si>
  <si>
    <t>10,74</t>
  </si>
  <si>
    <t>17,57</t>
  </si>
  <si>
    <t>39,24</t>
  </si>
  <si>
    <t>25,45</t>
  </si>
  <si>
    <t>1,77</t>
  </si>
  <si>
    <t>36,40</t>
  </si>
  <si>
    <t>28,75</t>
  </si>
  <si>
    <t>6,03</t>
  </si>
  <si>
    <t>46,05</t>
  </si>
  <si>
    <t>2,04</t>
  </si>
  <si>
    <t>6,57</t>
  </si>
  <si>
    <t>20,73</t>
  </si>
  <si>
    <t>40,46</t>
  </si>
  <si>
    <t>2,09</t>
  </si>
  <si>
    <t>3,05</t>
  </si>
  <si>
    <t>13,14</t>
  </si>
  <si>
    <t>6,98</t>
  </si>
  <si>
    <t>8,51</t>
  </si>
  <si>
    <t>10,59</t>
  </si>
  <si>
    <t>14,70</t>
  </si>
  <si>
    <t>26,39</t>
  </si>
  <si>
    <t>16,80</t>
  </si>
  <si>
    <t>6,89</t>
  </si>
  <si>
    <t>25,73</t>
  </si>
  <si>
    <t>7,19</t>
  </si>
  <si>
    <t>58,66</t>
  </si>
  <si>
    <t>16,13</t>
  </si>
  <si>
    <t>0,67</t>
  </si>
  <si>
    <t>140,69</t>
  </si>
  <si>
    <t>253,46</t>
  </si>
  <si>
    <t>214,40</t>
  </si>
  <si>
    <t>189,52</t>
  </si>
  <si>
    <t>221,51</t>
  </si>
  <si>
    <t>154,53</t>
  </si>
  <si>
    <t>220,75</t>
  </si>
  <si>
    <t>316,25</t>
  </si>
  <si>
    <t>235,50</t>
  </si>
  <si>
    <t>317,67</t>
  </si>
  <si>
    <t>92,90</t>
  </si>
  <si>
    <t>161,79</t>
  </si>
  <si>
    <t>21,49</t>
  </si>
  <si>
    <t>158,88</t>
  </si>
  <si>
    <t>315,88</t>
  </si>
  <si>
    <t>110,64</t>
  </si>
  <si>
    <t>3,99</t>
  </si>
  <si>
    <t>17,43</t>
  </si>
  <si>
    <t>9,09</t>
  </si>
  <si>
    <t>14,99</t>
  </si>
  <si>
    <t>8,58</t>
  </si>
  <si>
    <t>3,80</t>
  </si>
  <si>
    <t>2,42</t>
  </si>
  <si>
    <t>4,93</t>
  </si>
  <si>
    <t>29,83</t>
  </si>
  <si>
    <t>24,80</t>
  </si>
  <si>
    <t>3,76</t>
  </si>
  <si>
    <t>36,22</t>
  </si>
  <si>
    <t>29,19</t>
  </si>
  <si>
    <t>16,42</t>
  </si>
  <si>
    <t>5,52</t>
  </si>
  <si>
    <t>9,74</t>
  </si>
  <si>
    <t>10,37</t>
  </si>
  <si>
    <t>12,16</t>
  </si>
  <si>
    <t>27,63</t>
  </si>
  <si>
    <t>39,39</t>
  </si>
  <si>
    <t>28,89</t>
  </si>
  <si>
    <t>19,33</t>
  </si>
  <si>
    <t>20,08</t>
  </si>
  <si>
    <t>11,79</t>
  </si>
  <si>
    <t>35,13</t>
  </si>
  <si>
    <t>11,90</t>
  </si>
  <si>
    <t>EXECUÇÃO DE RESERVATÓRIO ELEVADO DE ÁGUA (1000 LITROS) EM CANTEIRO DE OBRA, APOIADO EM ESTRUTURA DE MADEIRA. AF_02/2016_PA</t>
  </si>
  <si>
    <t>EXECUÇÃO DE RESERVATÓRIO ELEVADO DE ÁGUA (2000 LITROS) EM CANTEIRO DE OBRA, APOIADO EM ESTRUTURA DE MADEIRA. AF_02/2016_PA</t>
  </si>
  <si>
    <t>ESTRUTURA DE MADEIRA PROVISÓRIA PARA SUPORTE DE CAIXA D ÁGUA ELEVADA DE 1000 LITROS. AF_05/2018_PS</t>
  </si>
  <si>
    <t>ESTRUTURA DE MADEIRA PROVISÓRIA PARA SUPORTE DE CAIXA D ÁGUA ELEVADA DE 3000 LITROS. AF_05/2018_PS</t>
  </si>
  <si>
    <t>22,93</t>
  </si>
  <si>
    <t>5,34</t>
  </si>
  <si>
    <t>17,88</t>
  </si>
  <si>
    <t>9,28</t>
  </si>
  <si>
    <t>16,44</t>
  </si>
  <si>
    <t>11,07</t>
  </si>
  <si>
    <t>51,12</t>
  </si>
  <si>
    <t>15,58</t>
  </si>
  <si>
    <t>14,47</t>
  </si>
  <si>
    <t>10,68</t>
  </si>
  <si>
    <t>21,10</t>
  </si>
  <si>
    <t>PILAR METÁLICO PERFIL LAMINADO OU SOLDADO EM AÇO ESTRUTURAL, COM CONEXÕES SOLDADAS, INCLUSOS MÃO DE OBRA, TRANSPORTE E IÇAMENTO UTILIZANDO GUINDASTE - FORNECIMENTO E INSTALAÇÃO. AF_01/2020_PA</t>
  </si>
  <si>
    <t>14,04</t>
  </si>
  <si>
    <t>104466</t>
  </si>
  <si>
    <t>COMPOSIÇÃO PARAMÉTRICA PARA FORNECIMENTO E MONTAGEM DE ESTRUTURA METÁLICA PARA ESTRUTURA PRINCIPAL DE EDIFICAÇÕES (PILARES, VIGAS E CONTRAVENTAMENTO). AF_11/2022</t>
  </si>
  <si>
    <t>104467</t>
  </si>
  <si>
    <t>COMPOSIÇÃO PARAMÉTRICA PARA FORNECIMENTO E MONTAGEM DE ESTRUTURA METÁLICA PARA COBERTURA DE EDIFICAÇÕES COM ESTRUTURA DE APOIO. AF_11/2022</t>
  </si>
  <si>
    <t>104468</t>
  </si>
  <si>
    <t>COMPOSIÇÃO PARAMÉTRICA PARA FORNECIMENTO E MONTAGEM DE ESTRUTURA METÁLICA PARA GALPÕES SEM PONTE ROLANTE. AF_11/2022</t>
  </si>
  <si>
    <t>104469</t>
  </si>
  <si>
    <t>COMPOSIÇÃO PARAMÉTRICA PARA FORNECIMENTO E MONTAGEM DE ESTRUTURA METÁLICA PARA GALPÕES COM PONTE ROLANTE. AF_11/2022</t>
  </si>
  <si>
    <t>104470</t>
  </si>
  <si>
    <t>COMPOSIÇÃO PARAMÉTRICA PARA FORNECIMENTO E MONTAGEM DE ESTRUTURA METÁLICA PARA COBERTURA DE GALPÕES COM ESTRUTURA DE APOIO EM VIGAS. AF_11/2022</t>
  </si>
  <si>
    <t>104471</t>
  </si>
  <si>
    <t>COMPOSIÇÃO PARAMÉTRICA PARA FORNECIMENTO E MONTAGEM DE ESTRUTURA METÁLICA PARA COBERTURA DE GALPÕES COM ESTRUTURA DE APOIO EM TRELIÇA TIPO FINK. AF_11/2022</t>
  </si>
  <si>
    <t>104472</t>
  </si>
  <si>
    <t>COMPOSIÇÃO PARAMÉTRICA PARA FORNECIMENTO E MONTAGEM DE ESTRUTURA METÁLICA PARA COBERTURA DE GALPÕES COM ESTRUTURA DE APOIO EM TRELIÇA TIPO ARCO. AF_11/2022</t>
  </si>
  <si>
    <t>104483</t>
  </si>
  <si>
    <t>COMPOSIÇÃO PARAMÉTRICA PARA EXECUÇÃO DE ESTRUTURAS DE CONCRETO ARMADO CONVENCIONAL, PARA EDIFICAÇÃO HABITACIONAL MULTIFAMILIAR (PRÉDIO), ATÉ 4 PAVIMENTOS, FCK = 25 MPA. AF_11/2022</t>
  </si>
  <si>
    <t>104484</t>
  </si>
  <si>
    <t>COMPOSIÇÃO PARAMÉTRICA PARA EXECUÇÃO DE ESTRUTURAS DE CONCRETO ARMADO, PARA EDIFICAÇÃO HABITACIONAL UNIFAMILIAR COM DOIS PAVIMENTOS (CASA ISOLADA), FCK = 25 MPA. AF_11/2022</t>
  </si>
  <si>
    <t>104485</t>
  </si>
  <si>
    <t>COMPOSIÇÃO PARAMÉTRICA EXECUÇÃO DE ESTRUTURAS DE CONCRETO ARMADO, PARA EDIFICAÇÃO HABITACIONAL UNIFAMILIAR COM DOIS PAVIMENTOS (CASA EM EMPREENDIMENTOS), FCK = 25 MPA. AF_11/2022</t>
  </si>
  <si>
    <t>104486</t>
  </si>
  <si>
    <t>COMPOSIÇÃO PARAMÉTRICA PARA EXECUÇÃO DE ESTRUTURAS DE CONCRETO ARMADO, PARA EDIFICAÇÃO HABITACIONAL UNIFAMILIAR TÉRREA (CASA ISOLADA), FCK = 25 MPA. AF_11/2022</t>
  </si>
  <si>
    <t>104487</t>
  </si>
  <si>
    <t>COMPOSIÇÃO PARAMÉTRICA PARA EXECUÇÃO DE ESTRUTURAS DE CONCRETO ARMADO, PARA EDIFICAÇÃO HABITACIONAL UNIFAMILIAR TÉRREA (CASA EM EMPREENDIMENTOS), FCK = 25 MPA. AF_11/2022</t>
  </si>
  <si>
    <t>104488</t>
  </si>
  <si>
    <t>COMPOSIÇÃO PARAMÉTRICA PARA EXECUÇÃO DE ESTRUTURAS DE CONCRETO ARMADO, PARA EDIFICAÇÃO INSTITUCIONAL TÉRREA, FCK = 25 MPA. AF_11/2022</t>
  </si>
  <si>
    <t>104489</t>
  </si>
  <si>
    <t>COMPOSIÇÃO PARAMÉTRICA PARA EXECUÇÃO DE ESCADA EM CONCRETO ARMADO, MOLDADA IN LOCO, FCK = 25 MPA. AF_11/2022</t>
  </si>
  <si>
    <t>104490</t>
  </si>
  <si>
    <t>COMPOSIÇÃO PARAMÉTRICA PARA EXECUÇÃO DE ESTRUTURAS DE CONCRETO ARMADO CONVENCIONAL, PARA EDIFICAÇÃO HABITACIONAL MULTIFAMILIAR (PRÉDIO), DE 5 A 8 PAVIMENTOS, FCK = 25 MPA. AF_11/2022</t>
  </si>
  <si>
    <t>52,41</t>
  </si>
  <si>
    <t>11,61</t>
  </si>
  <si>
    <t>23,04</t>
  </si>
  <si>
    <t>25,44</t>
  </si>
  <si>
    <t>104473</t>
  </si>
  <si>
    <t>COMPOSIÇÃO PARAMÉTRICA DE PONTO ELÉTRICO DE ILUMINAÇÃO, COM INTERRUPTOR SIMPLES, EM EDIFÍCIO RESIDENCIAL COM ELETRODUTO EMBUTIDO EM RASGOS NAS PAREDES, INCLUSO TOMADA, ELETRODUTO, CABO, RASGO E CHUMBAMENTO (SEM LUMINÁRIA E LÂMPADA). AF_11/2022</t>
  </si>
  <si>
    <t>104474</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</si>
  <si>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</si>
  <si>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104475</t>
  </si>
  <si>
    <t>COMPOSIÇÃO PARAMÉTRICA DE PONTO ELÉTRICO DE TOMADA DE USO GERAL 2P+T (10A/250V) EM EDIFÍCIO RESIDENCIAL COM ELETRODUTO EMBUTIDO EM RASGOS NAS PAREDES, INCLUSO TOMADA, ELETRODUTO, CABO, RASGO, QUEBRA E CHUMBAMENTO. AF_11/2022</t>
  </si>
  <si>
    <t>104476</t>
  </si>
  <si>
    <t>COMPOSIÇÃO PARAMÉTRICA DE PONTO ELÉTRICO DE TOMADA DE USO ESPECÍFICO 2P+T (20A/250V) EM EDIFÍCIO RESIDENCIAL COM ELETRODUTO EMBUTIDO EM RASGOS NAS PAREDES, INCLUSO TOMADA, ELETRODUTO, CABO, RASGO, QUEBRA E CHUMBAMENTO (EXCETO CHUVEIRO). AF_11/2022</t>
  </si>
  <si>
    <t>104477</t>
  </si>
  <si>
    <t>COMPOSIÇÃO PARAMÉTRICA DE PONTO ELÉTRICO DE ILUMINAÇÃO, COM INTERRUPTOR SIMPLES, EM EDIFÍCIO RESIDENCIAL COM ELETRODUTO EMBUTIDO SEM NECESSIDADE DE RASGOS, INCLUSO TOMADA, ELETRODUTO, CABO E QUEBRA (SEM LUMINÁRIA E LÂMPADA). AF_11/2022</t>
  </si>
  <si>
    <t>104478</t>
  </si>
  <si>
    <t>COMPOSIÇÃO PARAMÉTRICA DE PONTO ELÉTRICO DE ILUMINAÇÃO, COM INTERRUPTOR PARALELO, EM EDIFÍCIO RESIDENCIAL COM ELETRODUTO EMBUTIDO SEM NECESSIDADE DE RASGOS, INCLUSO TOMADA, ELETRODUTO, CABO E QUEBRA (SEM LUMINÁRIA E LÂMPADA). AF_11/2022</t>
  </si>
  <si>
    <t>104479</t>
  </si>
  <si>
    <t>COMPOSIÇÃO PARAMÉTRICA DE PONTO ELÉTRICO DE TOMADA DE USO GERAL 2P+T (10A/250V) EM EDIFÍCIO RESIDENCIAL COM ELETRODUTO EMBUTIDO SEM NECESSIDADE DE RASGOS, INCLUSO TOMADA, ELETRODUTO, CABO E QUEBRA. AF_11/2022</t>
  </si>
  <si>
    <t>104480</t>
  </si>
  <si>
    <t>COMPOSIÇÃO PARAMÉTRICA DE PONTO ELÉTRICO DE TOMADA DE USO ESPECÍFICO 2P+T (20A/250V) EM EDIFÍCIO RESIDENCIAL COM ELETRODUTO EMBUTIDO SEM NECESSIDADE DE RASGOS, INCLUSO TOMADA, ELETRODUTO, CABO E QUEBRA (EXCETO CHUVEIRO). AF_11/2022</t>
  </si>
  <si>
    <t>104481</t>
  </si>
  <si>
    <t>COMPOSIÇÃO PARAMÉTRICA DE PONTO ELÉTRICO DE TOMADA PARA CHUVEIRO (20A/250V) EM EDIFÍCIO RESIDENCIAL COM ELETRODUTO EMBUTIDO EM RASGOS NAS PAREDES, INCLUSO TOMADA, ELETRODUTO, CABO, RASGO, QUEBRA E CHUMBAMENTO. AF_11/2022</t>
  </si>
  <si>
    <t>23,84</t>
  </si>
  <si>
    <t>18,98</t>
  </si>
  <si>
    <t>15,05</t>
  </si>
  <si>
    <t>42,15</t>
  </si>
  <si>
    <t>27,74</t>
  </si>
  <si>
    <t>24,38</t>
  </si>
  <si>
    <t>32,04</t>
  </si>
  <si>
    <t>7,69</t>
  </si>
  <si>
    <t>23,24</t>
  </si>
  <si>
    <t>22,51</t>
  </si>
  <si>
    <t>15,65</t>
  </si>
  <si>
    <t>15,93</t>
  </si>
  <si>
    <t>5,95</t>
  </si>
  <si>
    <t>34,22</t>
  </si>
  <si>
    <t>31,95</t>
  </si>
  <si>
    <t>1,82</t>
  </si>
  <si>
    <t>4,84</t>
  </si>
  <si>
    <t>6,62</t>
  </si>
  <si>
    <t>215,56</t>
  </si>
  <si>
    <t>23,17</t>
  </si>
  <si>
    <t>23,09</t>
  </si>
  <si>
    <t>11,66</t>
  </si>
  <si>
    <t>18,77</t>
  </si>
  <si>
    <t>21,39</t>
  </si>
  <si>
    <t>33,41</t>
  </si>
  <si>
    <t>30,24</t>
  </si>
  <si>
    <t>21,44</t>
  </si>
  <si>
    <t>26,35</t>
  </si>
  <si>
    <t>7,96</t>
  </si>
  <si>
    <t>36,23</t>
  </si>
  <si>
    <t>23,79</t>
  </si>
  <si>
    <t>35,54</t>
  </si>
  <si>
    <t>22,46</t>
  </si>
  <si>
    <t>26,80</t>
  </si>
  <si>
    <t>8,84</t>
  </si>
  <si>
    <t>15,25</t>
  </si>
  <si>
    <t>30,28</t>
  </si>
  <si>
    <t>7,97</t>
  </si>
  <si>
    <t>13,40</t>
  </si>
  <si>
    <t>29,14</t>
  </si>
  <si>
    <t>17,59</t>
  </si>
  <si>
    <t>Lixamento, desbaste ou lapidação mecânica de superfície de alta resistência</t>
  </si>
  <si>
    <t>Projeto Executivo para a Climatização da Sala de Leitura e Hall de Entrada da COBIB</t>
  </si>
  <si>
    <t>Grelha de Captação de Ar Externo com Damper e Filtro</t>
  </si>
  <si>
    <t>Ar-condicionado Fan-Coil 5,0 TR com Acessórios</t>
  </si>
  <si>
    <t>Ar-condicionado Fan-Coil 3,5 TR com Acessórios</t>
  </si>
  <si>
    <t>Quadro para acionamento, proteção e controle de sistema de climatização por fan coil – capacidade até 5 TR</t>
  </si>
  <si>
    <t>SF-03401</t>
  </si>
  <si>
    <t>SF-03402</t>
  </si>
  <si>
    <t>SF-03403</t>
  </si>
  <si>
    <t>SF-03404</t>
  </si>
  <si>
    <t>SF-03405</t>
  </si>
  <si>
    <t>SF-03406</t>
  </si>
  <si>
    <t>SF-03407</t>
  </si>
  <si>
    <t>SF-03408</t>
  </si>
  <si>
    <t>SF-03409</t>
  </si>
  <si>
    <t>SF-03410</t>
  </si>
  <si>
    <t>SF-03411</t>
  </si>
  <si>
    <t>SF-03412</t>
  </si>
  <si>
    <t>SF-03413</t>
  </si>
  <si>
    <t>SF-03414</t>
  </si>
  <si>
    <t>SF-03415</t>
  </si>
  <si>
    <t>SF-03416</t>
  </si>
  <si>
    <t>SF-03417</t>
  </si>
  <si>
    <t>SF-03418</t>
  </si>
  <si>
    <t>SF-03419</t>
  </si>
  <si>
    <t>SF-03421</t>
  </si>
  <si>
    <t>SF-03422</t>
  </si>
  <si>
    <t>SF-03423</t>
  </si>
  <si>
    <t>SF-03428</t>
  </si>
  <si>
    <t>SF-03429</t>
  </si>
  <si>
    <t>SF-03430</t>
  </si>
  <si>
    <t>SF-03432</t>
  </si>
  <si>
    <t>SF-03434</t>
  </si>
  <si>
    <t>SF-03436</t>
  </si>
  <si>
    <t>SF-03437</t>
  </si>
  <si>
    <t>SF-03439</t>
  </si>
  <si>
    <t>SF-03441</t>
  </si>
  <si>
    <t>SF-03443</t>
  </si>
  <si>
    <t>SF-03444</t>
  </si>
  <si>
    <t>SF-03446</t>
  </si>
  <si>
    <t>SF-03448</t>
  </si>
  <si>
    <t>SF-03450</t>
  </si>
  <si>
    <t>SF-03451</t>
  </si>
  <si>
    <t>SF-03455</t>
  </si>
  <si>
    <t>Torneira metal de jardim com bico 1/2”</t>
  </si>
  <si>
    <t>SF-03456</t>
  </si>
  <si>
    <t>Niple de aço-carbono galvanizado 1/2”</t>
  </si>
  <si>
    <t>SF-03457</t>
  </si>
  <si>
    <t>Niple de aço-carbono galvanizado 3/4”</t>
  </si>
  <si>
    <t>SF-03458</t>
  </si>
  <si>
    <t>SF-03459</t>
  </si>
  <si>
    <t>SF-03460</t>
  </si>
  <si>
    <t>Luva de correr PVC roscável 3/4”</t>
  </si>
  <si>
    <t>SF-03461</t>
  </si>
  <si>
    <t>Luva de correr PVC roscável 1 1/2”</t>
  </si>
  <si>
    <t>SF-03463</t>
  </si>
  <si>
    <t>SF-03464</t>
  </si>
  <si>
    <t>SF-03471</t>
  </si>
  <si>
    <t>SF-03472</t>
  </si>
  <si>
    <t>SF-03474</t>
  </si>
  <si>
    <t>SF-03475</t>
  </si>
  <si>
    <t>SF-03477</t>
  </si>
  <si>
    <t>SF-03478</t>
  </si>
  <si>
    <t>SF-03480</t>
  </si>
  <si>
    <t>SF-03482</t>
  </si>
  <si>
    <t>SF-03483</t>
  </si>
  <si>
    <t>SF-03484</t>
  </si>
  <si>
    <t>SF-03485</t>
  </si>
  <si>
    <t>SF-03486</t>
  </si>
  <si>
    <t>SF-03487</t>
  </si>
  <si>
    <t>SF-03490</t>
  </si>
  <si>
    <t>SF-03491</t>
  </si>
  <si>
    <t>SF-03494</t>
  </si>
  <si>
    <t>SF-03495</t>
  </si>
  <si>
    <t>SF-03496</t>
  </si>
  <si>
    <t>SF-03501</t>
  </si>
  <si>
    <t>SF-03502</t>
  </si>
  <si>
    <t>SF-03504</t>
  </si>
  <si>
    <t>SF-03506</t>
  </si>
  <si>
    <t>SF-03507</t>
  </si>
  <si>
    <t>SF-03508</t>
  </si>
  <si>
    <t>SF-03509</t>
  </si>
  <si>
    <t>SF-03510</t>
  </si>
  <si>
    <t>SF-03521</t>
  </si>
  <si>
    <t>SF-03531</t>
  </si>
  <si>
    <t>SF-03532</t>
  </si>
  <si>
    <t>SF-03536</t>
  </si>
  <si>
    <t>SF-03537</t>
  </si>
  <si>
    <t>SF-03538</t>
  </si>
  <si>
    <t>SF-03540</t>
  </si>
  <si>
    <t>SF-03541</t>
  </si>
  <si>
    <t>SF-03542</t>
  </si>
  <si>
    <t>SF-03543</t>
  </si>
  <si>
    <t>SF-03544</t>
  </si>
  <si>
    <t>SF-03545</t>
  </si>
  <si>
    <t>SF-03546</t>
  </si>
  <si>
    <t>SF-03548</t>
  </si>
  <si>
    <t>SF-03549</t>
  </si>
  <si>
    <t>SF-03550</t>
  </si>
  <si>
    <t>SF-03551</t>
  </si>
  <si>
    <t>SF-03552</t>
  </si>
  <si>
    <t>SF-03553</t>
  </si>
  <si>
    <t>SF-03554</t>
  </si>
  <si>
    <t>SF-03555</t>
  </si>
  <si>
    <t>SF-03556</t>
  </si>
  <si>
    <t>SF-03557</t>
  </si>
  <si>
    <t>SF-03558</t>
  </si>
  <si>
    <t>SF-03559</t>
  </si>
  <si>
    <t>SF-03560</t>
  </si>
  <si>
    <t>SF-03561</t>
  </si>
  <si>
    <t>SF-03562</t>
  </si>
  <si>
    <t>SF-03563</t>
  </si>
  <si>
    <t>SF-03564</t>
  </si>
  <si>
    <t>SF-03565</t>
  </si>
  <si>
    <t>SF-03575</t>
  </si>
  <si>
    <t>SF-03576</t>
  </si>
  <si>
    <t>SF-03577</t>
  </si>
  <si>
    <t>SF-03578</t>
  </si>
  <si>
    <t>SF-03579</t>
  </si>
  <si>
    <t>SF-03580</t>
  </si>
  <si>
    <t>SF-03581</t>
  </si>
  <si>
    <t>SF-03582</t>
  </si>
  <si>
    <t>SF-03583</t>
  </si>
  <si>
    <t>SF-03586</t>
  </si>
  <si>
    <t>SF-03587</t>
  </si>
  <si>
    <t>SF-03588</t>
  </si>
  <si>
    <t>SF-03589</t>
  </si>
  <si>
    <t>SF-03590</t>
  </si>
  <si>
    <t>SF-03591</t>
  </si>
  <si>
    <t>SF-03592</t>
  </si>
  <si>
    <t>SF-03593</t>
  </si>
  <si>
    <t>SF-03594</t>
  </si>
  <si>
    <t>SF-03595</t>
  </si>
  <si>
    <t>SF-03596</t>
  </si>
  <si>
    <t>SF-03597</t>
  </si>
  <si>
    <t>SF-03598</t>
  </si>
  <si>
    <t>SF-03599</t>
  </si>
  <si>
    <t>SF-03600</t>
  </si>
  <si>
    <t>SF-03601</t>
  </si>
  <si>
    <t>SF-03602</t>
  </si>
  <si>
    <t>SF-03603</t>
  </si>
  <si>
    <t>SF-03604</t>
  </si>
  <si>
    <t>SF-03605</t>
  </si>
  <si>
    <t>SF-03606</t>
  </si>
  <si>
    <t>SF-03607</t>
  </si>
  <si>
    <t>SF-03608</t>
  </si>
  <si>
    <t>SF-03609</t>
  </si>
  <si>
    <t>SF-03610</t>
  </si>
  <si>
    <t>SF-03611</t>
  </si>
  <si>
    <t>SF-03612</t>
  </si>
  <si>
    <t>SF-03613</t>
  </si>
  <si>
    <t>SF-03614</t>
  </si>
  <si>
    <t>SF-03615</t>
  </si>
  <si>
    <t>SF-03616</t>
  </si>
  <si>
    <t>SF-03617</t>
  </si>
  <si>
    <t>SF-03618</t>
  </si>
  <si>
    <t>SF-03619</t>
  </si>
  <si>
    <t>SF-03620</t>
  </si>
  <si>
    <t>SF-03621</t>
  </si>
  <si>
    <t>SF-03622</t>
  </si>
  <si>
    <t>SF-03623</t>
  </si>
  <si>
    <t>SF-03625</t>
  </si>
  <si>
    <t>SF-03626</t>
  </si>
  <si>
    <t>SF-03627</t>
  </si>
  <si>
    <t>SF-03628</t>
  </si>
  <si>
    <t>SF-03629</t>
  </si>
  <si>
    <t>SF-03630</t>
  </si>
  <si>
    <t>SF-03631</t>
  </si>
  <si>
    <t>SF-03632</t>
  </si>
  <si>
    <t>SF-03633</t>
  </si>
  <si>
    <t>SF-03634</t>
  </si>
  <si>
    <t>SF-03635</t>
  </si>
  <si>
    <t>SF-03636</t>
  </si>
  <si>
    <t>SF-03637</t>
  </si>
  <si>
    <t>SF-03638</t>
  </si>
  <si>
    <t>SF-03639</t>
  </si>
  <si>
    <t>SF-03644</t>
  </si>
  <si>
    <t>SF-03645</t>
  </si>
  <si>
    <t>SF-03646</t>
  </si>
  <si>
    <t>SF-03647</t>
  </si>
  <si>
    <t>SF-03648</t>
  </si>
  <si>
    <t>SF-03649</t>
  </si>
  <si>
    <t>SF-03650</t>
  </si>
  <si>
    <t>SF-03651</t>
  </si>
  <si>
    <t>SF-03652</t>
  </si>
  <si>
    <t>SF-03653</t>
  </si>
  <si>
    <t>SF-03654</t>
  </si>
  <si>
    <t>SF-03655</t>
  </si>
  <si>
    <t>SF-03656</t>
  </si>
  <si>
    <t>SF-03657</t>
  </si>
  <si>
    <t>SF-03658</t>
  </si>
  <si>
    <t>SF-03659</t>
  </si>
  <si>
    <t>SF-03660</t>
  </si>
  <si>
    <t>SF-03661</t>
  </si>
  <si>
    <t>SF-03662</t>
  </si>
  <si>
    <t>SF-03663</t>
  </si>
  <si>
    <t>SF-03664</t>
  </si>
  <si>
    <t>SF-03665</t>
  </si>
  <si>
    <t>SF-03666</t>
  </si>
  <si>
    <t>SF-03667</t>
  </si>
  <si>
    <t>SF-03668</t>
  </si>
  <si>
    <t>SF-03669</t>
  </si>
  <si>
    <t>SF-03670</t>
  </si>
  <si>
    <t>SF-03671</t>
  </si>
  <si>
    <t>SF-03672</t>
  </si>
  <si>
    <t>SF-03673</t>
  </si>
  <si>
    <t>SF-03674</t>
  </si>
  <si>
    <t>SF-03675</t>
  </si>
  <si>
    <t>SF-03676</t>
  </si>
  <si>
    <t>SF-03677</t>
  </si>
  <si>
    <t>SF-03678</t>
  </si>
  <si>
    <t>SF-03679</t>
  </si>
  <si>
    <t>SF-03680</t>
  </si>
  <si>
    <t>SF-03681</t>
  </si>
  <si>
    <t>SF-03682</t>
  </si>
  <si>
    <t>SF-03683</t>
  </si>
  <si>
    <t>SF-03684</t>
  </si>
  <si>
    <t>SF-03685</t>
  </si>
  <si>
    <t>SF-03686</t>
  </si>
  <si>
    <t>SF-03687</t>
  </si>
  <si>
    <t>SF-03688</t>
  </si>
  <si>
    <t>SF-03689</t>
  </si>
  <si>
    <t>SF-03690</t>
  </si>
  <si>
    <t>SF-03691</t>
  </si>
  <si>
    <t>SF-03692</t>
  </si>
  <si>
    <t>SF-03693</t>
  </si>
  <si>
    <t>SF-03694</t>
  </si>
  <si>
    <t>SF-03695</t>
  </si>
  <si>
    <t>SF-03696</t>
  </si>
  <si>
    <t>SF-03697</t>
  </si>
  <si>
    <t>SF-03698</t>
  </si>
  <si>
    <t>SF-03699</t>
  </si>
  <si>
    <t>SF-03700</t>
  </si>
  <si>
    <t>SF-03701</t>
  </si>
  <si>
    <t>SF-03702</t>
  </si>
  <si>
    <t>SF-03703</t>
  </si>
  <si>
    <t>SF-03704</t>
  </si>
  <si>
    <t>SF-03707</t>
  </si>
  <si>
    <t>SF-03708</t>
  </si>
  <si>
    <t>SF-03709</t>
  </si>
  <si>
    <t>SF-03710</t>
  </si>
  <si>
    <t>SF-03711</t>
  </si>
  <si>
    <t>SF-03712</t>
  </si>
  <si>
    <t>SF-03713</t>
  </si>
  <si>
    <t>SF-03714</t>
  </si>
  <si>
    <t>SF-03715</t>
  </si>
  <si>
    <t>SF-03716</t>
  </si>
  <si>
    <t>SF-03717</t>
  </si>
  <si>
    <t>SF-03718</t>
  </si>
  <si>
    <t>SF-03719</t>
  </si>
  <si>
    <t>SF-03720</t>
  </si>
  <si>
    <t>SF-03722</t>
  </si>
  <si>
    <t>SF-03723</t>
  </si>
  <si>
    <t>SF-03724</t>
  </si>
  <si>
    <t>SF-03725</t>
  </si>
  <si>
    <t>SF-03726</t>
  </si>
  <si>
    <t>SF-03727</t>
  </si>
  <si>
    <t>SF-03728</t>
  </si>
  <si>
    <t>SF-03729</t>
  </si>
  <si>
    <t>SF-03730</t>
  </si>
  <si>
    <t>SF-03731</t>
  </si>
  <si>
    <t>SF-03732</t>
  </si>
  <si>
    <t>SF-03733</t>
  </si>
  <si>
    <t>SF-03734</t>
  </si>
  <si>
    <t>SF-03735</t>
  </si>
  <si>
    <t>SF-03736</t>
  </si>
  <si>
    <t>SF-03737</t>
  </si>
  <si>
    <t>SF-03738</t>
  </si>
  <si>
    <t>SF-03739</t>
  </si>
  <si>
    <t>SF-03740</t>
  </si>
  <si>
    <t>SF-03741</t>
  </si>
  <si>
    <t>SF-03742</t>
  </si>
  <si>
    <t>SF-03743</t>
  </si>
  <si>
    <t>SF-03744</t>
  </si>
  <si>
    <t>SF-03745</t>
  </si>
  <si>
    <t>SF-03746</t>
  </si>
  <si>
    <t>SF-03747</t>
  </si>
  <si>
    <t>SF-03748</t>
  </si>
  <si>
    <t>SF-03749</t>
  </si>
  <si>
    <t>SF-03750</t>
  </si>
  <si>
    <t>SF-03751</t>
  </si>
  <si>
    <t>SF-03752</t>
  </si>
  <si>
    <t>SF-03753</t>
  </si>
  <si>
    <t>SF-03754</t>
  </si>
  <si>
    <t>SF-03755</t>
  </si>
  <si>
    <t>SF-03756</t>
  </si>
  <si>
    <t>SF-03757</t>
  </si>
  <si>
    <t>SF-03758</t>
  </si>
  <si>
    <t>SF-03759</t>
  </si>
  <si>
    <t>SF-03760</t>
  </si>
  <si>
    <t>SF-03761</t>
  </si>
  <si>
    <t>SF-03762</t>
  </si>
  <si>
    <t>SF-03763</t>
  </si>
  <si>
    <t>SF-03764</t>
  </si>
  <si>
    <t>SF-03765</t>
  </si>
  <si>
    <t>SF-03766</t>
  </si>
  <si>
    <t>SF-03767</t>
  </si>
  <si>
    <t>SF-03768</t>
  </si>
  <si>
    <t>SF-03769</t>
  </si>
  <si>
    <t>SF-03770</t>
  </si>
  <si>
    <t>SF-03771</t>
  </si>
  <si>
    <t>SF-03772</t>
  </si>
  <si>
    <t>SF-03773</t>
  </si>
  <si>
    <t>SF-03774</t>
  </si>
  <si>
    <t>SF-03775</t>
  </si>
  <si>
    <t>SF-03776</t>
  </si>
  <si>
    <t>SF-03777</t>
  </si>
  <si>
    <t>SF-03778</t>
  </si>
  <si>
    <t>SF-03779</t>
  </si>
  <si>
    <t>SF-03780</t>
  </si>
  <si>
    <t>SF-03781</t>
  </si>
  <si>
    <t>SF-03782</t>
  </si>
  <si>
    <t>SF-03783</t>
  </si>
  <si>
    <t>SF-03784</t>
  </si>
  <si>
    <t>SF-03785</t>
  </si>
  <si>
    <t>SF-03786</t>
  </si>
  <si>
    <t>SF-03787</t>
  </si>
  <si>
    <t>SF-03788</t>
  </si>
  <si>
    <t>SF-03789</t>
  </si>
  <si>
    <t>SF-03790</t>
  </si>
  <si>
    <t>SF-03791</t>
  </si>
  <si>
    <t>SF-03792</t>
  </si>
  <si>
    <t>SF-03793</t>
  </si>
  <si>
    <t>SF-03794</t>
  </si>
  <si>
    <t>SF-03795</t>
  </si>
  <si>
    <t>SF-03796</t>
  </si>
  <si>
    <t>SF-03797</t>
  </si>
  <si>
    <t>SF-03798</t>
  </si>
  <si>
    <t>SF-03799</t>
  </si>
  <si>
    <t>SF-03800</t>
  </si>
  <si>
    <t>SF-03801</t>
  </si>
  <si>
    <t>SF-03802</t>
  </si>
  <si>
    <t>SF-03803</t>
  </si>
  <si>
    <t>SF-03804</t>
  </si>
  <si>
    <t>SF-03805</t>
  </si>
  <si>
    <t>SF-03806</t>
  </si>
  <si>
    <t>SF-03807</t>
  </si>
  <si>
    <t>SF-03808</t>
  </si>
  <si>
    <t>SF-03809</t>
  </si>
  <si>
    <t>SF-03810</t>
  </si>
  <si>
    <t>SF-03811</t>
  </si>
  <si>
    <t>SF-03812</t>
  </si>
  <si>
    <t>SF-03813</t>
  </si>
  <si>
    <t>SF-03814</t>
  </si>
  <si>
    <t>SF-03815</t>
  </si>
  <si>
    <t>SF-03816</t>
  </si>
  <si>
    <t>SF-03817</t>
  </si>
  <si>
    <t>SF-03818</t>
  </si>
  <si>
    <t>SF-03819</t>
  </si>
  <si>
    <t>SF-03820</t>
  </si>
  <si>
    <t>SF-03821</t>
  </si>
  <si>
    <t>SF-03822</t>
  </si>
  <si>
    <t>SF-03823</t>
  </si>
  <si>
    <t>SF-03824</t>
  </si>
  <si>
    <t>SF-03825</t>
  </si>
  <si>
    <t>SF-03826</t>
  </si>
  <si>
    <t>SF-03827</t>
  </si>
  <si>
    <t>SF-03828</t>
  </si>
  <si>
    <t>SF-03829</t>
  </si>
  <si>
    <t>SF-03830</t>
  </si>
  <si>
    <t>SF-03831</t>
  </si>
  <si>
    <t>SF-03832</t>
  </si>
  <si>
    <t>SF-03833</t>
  </si>
  <si>
    <t>SF-03834</t>
  </si>
  <si>
    <t>SF-03835</t>
  </si>
  <si>
    <t>SF-03836</t>
  </si>
  <si>
    <t>SF-03837</t>
  </si>
  <si>
    <t>SF-03838</t>
  </si>
  <si>
    <t>SF-03839</t>
  </si>
  <si>
    <t>SF-03840</t>
  </si>
  <si>
    <t>SF-03841</t>
  </si>
  <si>
    <t>SF-03842</t>
  </si>
  <si>
    <t>SF-03843</t>
  </si>
  <si>
    <t>SF-03844</t>
  </si>
  <si>
    <t>SF-03845</t>
  </si>
  <si>
    <t>SF-03846</t>
  </si>
  <si>
    <t>SF-03847</t>
  </si>
  <si>
    <t>SF-03848</t>
  </si>
  <si>
    <t>SF-03849</t>
  </si>
  <si>
    <t>SF-03850</t>
  </si>
  <si>
    <t>SF-03851</t>
  </si>
  <si>
    <t>SF-03852</t>
  </si>
  <si>
    <t>SF-03853</t>
  </si>
  <si>
    <t>SF-03854</t>
  </si>
  <si>
    <t>SF-03855</t>
  </si>
  <si>
    <t>SF-03856</t>
  </si>
  <si>
    <t>SF-03857</t>
  </si>
  <si>
    <t>SF-03858</t>
  </si>
  <si>
    <t>SF-03859</t>
  </si>
  <si>
    <t>SF-03860</t>
  </si>
  <si>
    <t>SF-03861</t>
  </si>
  <si>
    <t>SF-03862</t>
  </si>
  <si>
    <t>SF-03863</t>
  </si>
  <si>
    <t>SF-03864</t>
  </si>
  <si>
    <t>SF-03865</t>
  </si>
  <si>
    <t>SF-03866</t>
  </si>
  <si>
    <t>SF-03867</t>
  </si>
  <si>
    <t>SF-03868</t>
  </si>
  <si>
    <t>SF-03869</t>
  </si>
  <si>
    <t>SF-03870</t>
  </si>
  <si>
    <t>SF-03871</t>
  </si>
  <si>
    <t>SF-03872</t>
  </si>
  <si>
    <t>SF-03873</t>
  </si>
  <si>
    <t>SF-03874</t>
  </si>
  <si>
    <t>SF-03875</t>
  </si>
  <si>
    <t>SF-03876</t>
  </si>
  <si>
    <t>SF-03877</t>
  </si>
  <si>
    <t>SF-03878</t>
  </si>
  <si>
    <t>SF-03879</t>
  </si>
  <si>
    <t>SF-03880</t>
  </si>
  <si>
    <t>SF-03881</t>
  </si>
  <si>
    <t>SF-03882</t>
  </si>
  <si>
    <t>SF-03883</t>
  </si>
  <si>
    <t>SF-03884</t>
  </si>
  <si>
    <t>SF-03885</t>
  </si>
  <si>
    <t>SF-03886</t>
  </si>
  <si>
    <t>SF-03887</t>
  </si>
  <si>
    <t>SF-03888</t>
  </si>
  <si>
    <t>SF-03889</t>
  </si>
  <si>
    <t>SF-03890</t>
  </si>
  <si>
    <t>SF-03892</t>
  </si>
  <si>
    <t>SF-03894</t>
  </si>
  <si>
    <t>SF-03895</t>
  </si>
  <si>
    <t>SF-03896</t>
  </si>
  <si>
    <t>SF-03897</t>
  </si>
  <si>
    <t>SF-03898</t>
  </si>
  <si>
    <t>SF-03899</t>
  </si>
  <si>
    <t>SF-03900</t>
  </si>
  <si>
    <t>SF-03901</t>
  </si>
  <si>
    <t>SF-03902</t>
  </si>
  <si>
    <t>SF-03903</t>
  </si>
  <si>
    <t>SF-03904</t>
  </si>
  <si>
    <t>SF-03905</t>
  </si>
  <si>
    <t>SF-03906</t>
  </si>
  <si>
    <t>SF-03907</t>
  </si>
  <si>
    <t>SF-03909</t>
  </si>
  <si>
    <t>SF-03910</t>
  </si>
  <si>
    <t>SF-03911</t>
  </si>
  <si>
    <t>SF-03912</t>
  </si>
  <si>
    <t>SF-03913</t>
  </si>
  <si>
    <t>SF-03914</t>
  </si>
  <si>
    <t>SF-03915</t>
  </si>
  <si>
    <t>SF-03916</t>
  </si>
  <si>
    <t>SF-03917</t>
  </si>
  <si>
    <t>SF-03918</t>
  </si>
  <si>
    <t>SF-03919</t>
  </si>
  <si>
    <t>SF-03920</t>
  </si>
  <si>
    <t>SF-03921</t>
  </si>
  <si>
    <t>SF-03922</t>
  </si>
  <si>
    <t>SF-03923</t>
  </si>
  <si>
    <t>SF-03924</t>
  </si>
  <si>
    <t>SF-03925</t>
  </si>
  <si>
    <t>SF-03926</t>
  </si>
  <si>
    <t>SF-03927</t>
  </si>
  <si>
    <t>SF-03928</t>
  </si>
  <si>
    <t>SF-03929</t>
  </si>
  <si>
    <t>SF-03930</t>
  </si>
  <si>
    <t>SF-03931</t>
  </si>
  <si>
    <t>SF-03932</t>
  </si>
  <si>
    <t>SF-03933</t>
  </si>
  <si>
    <t>SF-03934</t>
  </si>
  <si>
    <t>SF-03935</t>
  </si>
  <si>
    <t>SF-03936</t>
  </si>
  <si>
    <t>SF-03937</t>
  </si>
  <si>
    <t>SF-03938</t>
  </si>
  <si>
    <t>SF-03939</t>
  </si>
  <si>
    <t>SF-03940</t>
  </si>
  <si>
    <t>SF-03941</t>
  </si>
  <si>
    <t>SF-03942</t>
  </si>
  <si>
    <t>SF-03943</t>
  </si>
  <si>
    <t>SF-03944</t>
  </si>
  <si>
    <t>SF-03945</t>
  </si>
  <si>
    <t>SF-03946</t>
  </si>
  <si>
    <t>SF-03947</t>
  </si>
  <si>
    <t>SF-03948</t>
  </si>
  <si>
    <t>SF-03949</t>
  </si>
  <si>
    <t>SF-03950</t>
  </si>
  <si>
    <t>SF-03951</t>
  </si>
  <si>
    <t>SF-03952</t>
  </si>
  <si>
    <t>SF-03953</t>
  </si>
  <si>
    <t>SF-03954</t>
  </si>
  <si>
    <t>SF-03955</t>
  </si>
  <si>
    <t>SF-03956</t>
  </si>
  <si>
    <t>SF-03957</t>
  </si>
  <si>
    <t>SF-03958</t>
  </si>
  <si>
    <t>SF-03959</t>
  </si>
  <si>
    <t>SF-03960</t>
  </si>
  <si>
    <t>SF-03961</t>
  </si>
  <si>
    <t>SF-03962</t>
  </si>
  <si>
    <t>SF-03963</t>
  </si>
  <si>
    <t>SF-03964</t>
  </si>
  <si>
    <t>SF-03965</t>
  </si>
  <si>
    <t>SF-03966</t>
  </si>
  <si>
    <t>SF-03967</t>
  </si>
  <si>
    <t>SF-03968</t>
  </si>
  <si>
    <t>SF-03969</t>
  </si>
  <si>
    <t>SF-03970</t>
  </si>
  <si>
    <t>SF-03971</t>
  </si>
  <si>
    <t>SF-03972</t>
  </si>
  <si>
    <t>SF-03973</t>
  </si>
  <si>
    <t>SF-03974</t>
  </si>
  <si>
    <t>SF-03975</t>
  </si>
  <si>
    <t>SF-03976</t>
  </si>
  <si>
    <t>SF-03977</t>
  </si>
  <si>
    <t>SF-03978</t>
  </si>
  <si>
    <t>SF-03979</t>
  </si>
  <si>
    <t>SF-03980</t>
  </si>
  <si>
    <t>SF-03981</t>
  </si>
  <si>
    <t>SF-03982</t>
  </si>
  <si>
    <t>SF-03983</t>
  </si>
  <si>
    <t>SF-03984</t>
  </si>
  <si>
    <t>SF-03985</t>
  </si>
  <si>
    <t>SF-03986</t>
  </si>
  <si>
    <t>SF-03987</t>
  </si>
  <si>
    <t>SF-03988</t>
  </si>
  <si>
    <t>SF-03989</t>
  </si>
  <si>
    <t>SF-03990</t>
  </si>
  <si>
    <t>SF-03991</t>
  </si>
  <si>
    <t>SF-03992</t>
  </si>
  <si>
    <t>SF-03993</t>
  </si>
  <si>
    <t>SF-03994</t>
  </si>
  <si>
    <t>SF-03995</t>
  </si>
  <si>
    <t>SF-03996</t>
  </si>
  <si>
    <t>SF-03997</t>
  </si>
  <si>
    <t>SF-03998</t>
  </si>
  <si>
    <t>SF-03999</t>
  </si>
  <si>
    <t>SF-04000</t>
  </si>
  <si>
    <t>Pini 13.102.000507.MAT</t>
  </si>
  <si>
    <t>Pini 13.102.000508.MAT</t>
  </si>
  <si>
    <t>Pini 13.102.000993.MAT</t>
  </si>
  <si>
    <t>Pini 13.102.000625.MAT</t>
  </si>
  <si>
    <t>Emulsão asfáltica RR 2C</t>
  </si>
  <si>
    <t>Pini 30.136.000444.MAT</t>
  </si>
  <si>
    <t>6,02</t>
  </si>
  <si>
    <t>22,14</t>
  </si>
  <si>
    <t>30,73</t>
  </si>
  <si>
    <t>9,00</t>
  </si>
  <si>
    <t>5,96</t>
  </si>
  <si>
    <t>28,96</t>
  </si>
  <si>
    <t>0,79</t>
  </si>
  <si>
    <t>27,11</t>
  </si>
  <si>
    <t>9,73</t>
  </si>
  <si>
    <t>2,86</t>
  </si>
  <si>
    <t>97,26</t>
  </si>
  <si>
    <t>16,99</t>
  </si>
  <si>
    <t>4,41</t>
  </si>
  <si>
    <t>8,08</t>
  </si>
  <si>
    <t>25,78</t>
  </si>
  <si>
    <t>35,17</t>
  </si>
  <si>
    <t>21,35</t>
  </si>
  <si>
    <t>6,87</t>
  </si>
  <si>
    <t>9,30</t>
  </si>
  <si>
    <t>3,64</t>
  </si>
  <si>
    <t>5,09</t>
  </si>
  <si>
    <t>11,52</t>
  </si>
  <si>
    <t>8,45</t>
  </si>
  <si>
    <t>32,96</t>
  </si>
  <si>
    <t>14,26</t>
  </si>
  <si>
    <t>3,73</t>
  </si>
  <si>
    <t>3,92</t>
  </si>
  <si>
    <t>19,53</t>
  </si>
  <si>
    <t>14,87</t>
  </si>
  <si>
    <t>11,54</t>
  </si>
  <si>
    <t>3,91</t>
  </si>
  <si>
    <t>8,90</t>
  </si>
  <si>
    <t>52,21</t>
  </si>
  <si>
    <t>0,93</t>
  </si>
  <si>
    <t>12,23</t>
  </si>
  <si>
    <t>22,81</t>
  </si>
  <si>
    <t>20,61</t>
  </si>
  <si>
    <t>15,61</t>
  </si>
  <si>
    <t>15,19</t>
  </si>
  <si>
    <t>15,31</t>
  </si>
  <si>
    <t>103,77</t>
  </si>
  <si>
    <t>8,16</t>
  </si>
  <si>
    <t>4,65</t>
  </si>
  <si>
    <t>9,64</t>
  </si>
  <si>
    <t>20,43</t>
  </si>
  <si>
    <t>40,10</t>
  </si>
  <si>
    <t>13,88</t>
  </si>
  <si>
    <t>26,65</t>
  </si>
  <si>
    <t>8,22</t>
  </si>
  <si>
    <t>24,97</t>
  </si>
  <si>
    <t>16,11</t>
  </si>
  <si>
    <t>1,45</t>
  </si>
  <si>
    <t>29,16</t>
  </si>
  <si>
    <t>7,59</t>
  </si>
  <si>
    <t>12,98</t>
  </si>
  <si>
    <t>23,14</t>
  </si>
  <si>
    <t>28,45</t>
  </si>
  <si>
    <t>17,12</t>
  </si>
  <si>
    <t>30,97</t>
  </si>
  <si>
    <t>25,09</t>
  </si>
  <si>
    <t>56,02</t>
  </si>
  <si>
    <t>7,55</t>
  </si>
  <si>
    <t>9,29</t>
  </si>
  <si>
    <t>18,02</t>
  </si>
  <si>
    <t>22,34</t>
  </si>
  <si>
    <t>12,60</t>
  </si>
  <si>
    <t>5,37</t>
  </si>
  <si>
    <t>14,52</t>
  </si>
  <si>
    <t>44,80</t>
  </si>
  <si>
    <t>104519</t>
  </si>
  <si>
    <t>LIXADEIRA DE PAREDE, COM LED, POTÊNCIA 750 W, FREQUÊNCIA 60 HZ, VELOCIDADE 1000 A 2100 RPM, DIÂMETRO DA LIXA 225 MM - MATERIAIS NA OPERAÇÃO. AF_12/2022</t>
  </si>
  <si>
    <t>58,80</t>
  </si>
  <si>
    <t>104482</t>
  </si>
  <si>
    <t>ESGOTAMENTO DE VALA COM BOMBA SUBMERSÍVEL. AF_12/2022</t>
  </si>
  <si>
    <t>104184</t>
  </si>
  <si>
    <t>INSTALAÇÃO E DESINSTALAÇÃO DE REGISTRO DE PVC PARA SISTEMA DE REBAIXAMENTO DE LENÇOL FREÁTICO POR PONTEIRAS FILTRANTES. AF_12/2022</t>
  </si>
  <si>
    <t>104185</t>
  </si>
  <si>
    <t>INSTALAÇÃO E DESINSTALAÇÃO DE CONJUNTO DE BOMBAS, À VÁCUO E CENTRÍFUGA, PARA SISTEMA DE REBAIXAMENTO DE LENÇOL FREÁTICO POR PONTEIRAS FILTRANTES (EXCLUI O FORNECIMENTO DE BOMBAS). AF_12/2022</t>
  </si>
  <si>
    <t>104189</t>
  </si>
  <si>
    <t>INSTALAÇÃO DE MATERIAL GRANULAR FILTRANTE PARA SISTEMA DE REBAIXAMENTO DE LENÇOL FREÁTICO POR POÇOS PROFUNDOSA, DIÂMETRO DO POÇO DE 400 MM. AF_12/2022</t>
  </si>
  <si>
    <t>104190</t>
  </si>
  <si>
    <t>INSTALAÇÃO E DESINSTALAÇÃO DE SISTEMA DE BOMBA PARA SISTEMA DE REBAIXAMENTO DE LENÇOL FREÁTICO POR POÇOS PROFUNDOS (EXCLUI O FORNECIMENTO DE BOMBA). AF_12/2022</t>
  </si>
  <si>
    <t>17,75</t>
  </si>
  <si>
    <t>15,92</t>
  </si>
  <si>
    <t>12,57</t>
  </si>
  <si>
    <t>18,07</t>
  </si>
  <si>
    <t>VIGA METÁLICA EM PERFIL LAMINADO OU SOLDADO EM AÇO ESTRUTURAL, COM CONEXÕES SOLDADAS, INCLUSOS MÃO DE OBRA, TRANSPORTE E IÇAMENTO UTILIZANDO GUINDASTE - FORNECIMENTO E INSTALAÇÃO. AF_01/2020_PA</t>
  </si>
  <si>
    <t>18,33</t>
  </si>
  <si>
    <t>CONTRAVENTAMENTO COM CANTONEIRAS DE AÇO, ABAS IGUAIS, COM CONEXÕES SOLDADAS, INCLUSOS MÃO DE OBRA, TRANSPORTE E IÇAMENTO UTILIZANDO TALHA MANUAL, PARA EDIFÍCIOS DE ATÉ 2 PAVIMENTOS - FORNECIMENTO E INSTALAÇÃO. AF_01/2020_PA</t>
  </si>
  <si>
    <t>CONTRAVENTAMENTO COM CANTONEIRAS DE AÇO, ABAS IGUAIS, COM CONEXÕES SOLDADAS, INCLUSOS MÃO DE OBRA, TRANSPORTE E IÇAMENTO UTILIZANDO GUINDASTE, PARA EDIFÍCIOS DE 3 A 5 PAVIMENTOS - FORNECIMENTO E INSTALAÇÃO. AF_01/2020_PA</t>
  </si>
  <si>
    <t>CONTRAVENTAMENTO COM CANTONEIRAS DE AÇO, ABAS IGUAIS, COM CONEXÕES SOLDADAS, INCLUSOS MÃO DE OBRA, TRANSPORTE E IÇAMENTO UTILIZANDO GRUA, PARA EDIFÍCIOS DE 6 A 10 PAVIMENTOS - FORNECIMENTO E INSTALAÇÃO. AF_01/2020_PA</t>
  </si>
  <si>
    <t>13,39</t>
  </si>
  <si>
    <t>26,18</t>
  </si>
  <si>
    <t>22,21</t>
  </si>
  <si>
    <t>59,15</t>
  </si>
  <si>
    <t>23,99</t>
  </si>
  <si>
    <t>23,08</t>
  </si>
  <si>
    <t>25,66</t>
  </si>
  <si>
    <t>8,00</t>
  </si>
  <si>
    <t>21,36</t>
  </si>
  <si>
    <t>66,91</t>
  </si>
  <si>
    <t>14,56</t>
  </si>
  <si>
    <t>53,43</t>
  </si>
  <si>
    <t>36,93</t>
  </si>
  <si>
    <t>23,42</t>
  </si>
  <si>
    <t>16,82</t>
  </si>
  <si>
    <t>14,36</t>
  </si>
  <si>
    <t>25,79</t>
  </si>
  <si>
    <t>28,78</t>
  </si>
  <si>
    <t>36,70</t>
  </si>
  <si>
    <t>50,63</t>
  </si>
  <si>
    <t>18,71</t>
  </si>
  <si>
    <t>37,48</t>
  </si>
  <si>
    <t>4,55</t>
  </si>
  <si>
    <t>19,26</t>
  </si>
  <si>
    <t>25,24</t>
  </si>
  <si>
    <t>53,38</t>
  </si>
  <si>
    <t>14,29</t>
  </si>
  <si>
    <t>20,42</t>
  </si>
  <si>
    <t>17,22</t>
  </si>
  <si>
    <t>31,12</t>
  </si>
  <si>
    <t>23,57</t>
  </si>
  <si>
    <t>23,23</t>
  </si>
  <si>
    <t>12,44</t>
  </si>
  <si>
    <t>26,25</t>
  </si>
  <si>
    <t>23,63</t>
  </si>
  <si>
    <t>28,19</t>
  </si>
  <si>
    <t>18,27</t>
  </si>
  <si>
    <t>9,38</t>
  </si>
  <si>
    <t>33,88</t>
  </si>
  <si>
    <t>72,39</t>
  </si>
  <si>
    <t>20,59</t>
  </si>
  <si>
    <t>27,62</t>
  </si>
  <si>
    <t>12,04</t>
  </si>
  <si>
    <t>4,42</t>
  </si>
  <si>
    <t>30,34</t>
  </si>
  <si>
    <t>59,60</t>
  </si>
  <si>
    <t>37,00</t>
  </si>
  <si>
    <t>10,66</t>
  </si>
  <si>
    <t>35,76</t>
  </si>
  <si>
    <t>32,02</t>
  </si>
  <si>
    <t>21,61</t>
  </si>
  <si>
    <t>31,91</t>
  </si>
  <si>
    <t>6,49</t>
  </si>
  <si>
    <t>18,83</t>
  </si>
  <si>
    <t>44,32</t>
  </si>
  <si>
    <t>18,88</t>
  </si>
  <si>
    <t>45,03</t>
  </si>
  <si>
    <t>27,45</t>
  </si>
  <si>
    <t>40,53</t>
  </si>
  <si>
    <t>28,88</t>
  </si>
  <si>
    <t>7,12</t>
  </si>
  <si>
    <t>34,75</t>
  </si>
  <si>
    <t>16,26</t>
  </si>
  <si>
    <t>20,78</t>
  </si>
  <si>
    <t>24,57</t>
  </si>
  <si>
    <t>2,03</t>
  </si>
  <si>
    <t>27,20</t>
  </si>
  <si>
    <t>Grelha em alumínio para captação de ar externo, veneziana, 785 x 660 mm</t>
  </si>
  <si>
    <t>Elemento filtrante classe G4, compatível com grelha de 785 x 660 mm</t>
  </si>
  <si>
    <t>Damper em aço galvanizado compatível com grelha de 785 x 660 mm</t>
  </si>
  <si>
    <t>Atuador para damper, torque compatível</t>
  </si>
  <si>
    <t>Grelha para retorno de ar com lâminas fixas e sem registro, 1225x525 mm</t>
  </si>
  <si>
    <t>Grelha para retorno de ar com lâminas fixas e registro, 30 x 15 cm</t>
  </si>
  <si>
    <t>Pini 19.104.000901.MAT</t>
  </si>
  <si>
    <t>Fan-coil 5,0 TR, vazão de ar 3730 m3/h, 250 Pa disponível</t>
  </si>
  <si>
    <t>Válvula de balanceamento e controle independente de pressão (PIBCV) 2 vias, para controle proporcional, de diâmetro compatível com o fan-coil. Ref.: IMI Hydronic Engineering TA-MODULATOR, Honeywell VRN2</t>
  </si>
  <si>
    <t>Atuador para controle proporcional compatível com a válvula PIBCV. Ref.: IMI TA-SLIDER</t>
  </si>
  <si>
    <t>Válvula de esfera em bronze ou em latão niquelado, PN20 a 5°C, conexão com rosca, acompanhadas dos elementos de fixação e vedação e dos conectores. Ref.: Mipel Linha 9101</t>
  </si>
  <si>
    <t xml:space="preserve"> Filtro em Y fabricado em bronze, extremidade com roscas, filtro em aço inoxidável, classe de pressão PN25 ou superior. Ref.: Deca Linha F085</t>
  </si>
  <si>
    <t>Pressostato diferencial para ar, ajuste de diferencial de pressão 100–500 Pa, contato SPDT 250V/1,5A, para montagem vertical. Ref.: Honeywell DPS500</t>
  </si>
  <si>
    <t>Fan-coil 3,5 TR, vazão de ar 2560 m3/h, 250 Pa disponível</t>
  </si>
  <si>
    <t>Agetop Civil H443</t>
  </si>
  <si>
    <t>PINI 14.001.000535.MAT</t>
  </si>
  <si>
    <t>Curva de transposição PVC soldável 25 mm</t>
  </si>
  <si>
    <t>Joelho 90° PVC soldável 25 mm</t>
  </si>
  <si>
    <t>Joelho 45° PVC soldável 25 mm</t>
  </si>
  <si>
    <t>Joelho 90° PVC soldável com rosca 25 mm x 1/2” ou 3/4”</t>
  </si>
  <si>
    <t>Joelho 90° PVC soldável com bucha de latão 25 mm x 1/2”</t>
  </si>
  <si>
    <t>Joelho 90° PVC soldável com bucha de latão 25 mm x 3/4”</t>
  </si>
  <si>
    <t>Tê PVC soldável 25 mm</t>
  </si>
  <si>
    <t>Tê PVC soldável com rosca na bolsa central 25 mm x 3/4”</t>
  </si>
  <si>
    <t>Tê PVC soldável com rosca na bolsa central 25 mm x 1/2”</t>
  </si>
  <si>
    <t>Cap PVC soldável 25 mm</t>
  </si>
  <si>
    <t>Luva PVC soldável com rosca 25 mm x 1/2” ou 3/4”</t>
  </si>
  <si>
    <t>Luva PVC soldável com bucha de latão 25 mm x 1/2”</t>
  </si>
  <si>
    <t>Luva PVC soldável com bucha de latão 25 mm x 3/4”</t>
  </si>
  <si>
    <t>Luva de correr PVC soldável 25 mm</t>
  </si>
  <si>
    <t>Luva simples PVC soldável 25 mm</t>
  </si>
  <si>
    <t>União de PVC soldável 25 mm</t>
  </si>
  <si>
    <t>Adaptador PVC soldável, curto com bolsa e rosca para Registro 25 mm x 3/4”</t>
  </si>
  <si>
    <t>Adaptador flange PVC soldável 25 mm x 3/4”</t>
  </si>
  <si>
    <t>Joelho 90° PVC soldável 32 mm</t>
  </si>
  <si>
    <t>Joelho 45° PVC soldável 32 mm</t>
  </si>
  <si>
    <t>Cap PVC soldável 32 mm</t>
  </si>
  <si>
    <t>Curva 90° PVC soldável 32 mm</t>
  </si>
  <si>
    <t>Tê PVC soldável 32 mm</t>
  </si>
  <si>
    <t>Luva simples PVC soldável 32 mm</t>
  </si>
  <si>
    <t>Luva de correr PVC soldável 32 mm</t>
  </si>
  <si>
    <t>União PVC soldável 32 mm</t>
  </si>
  <si>
    <t>Bucha de redução longa PVC soldável de 32 mm x 20 mm</t>
  </si>
  <si>
    <t>Bucha de redução curta PVC soldável de 32 mm x 25 mm</t>
  </si>
  <si>
    <t>Adaptador PVC soldável, curto com bolsa e rosca para Registro 32 mm x 1”</t>
  </si>
  <si>
    <t>Adaptador flange PVC soldável 32 mm x 1”</t>
  </si>
  <si>
    <t>Joelho 90° PVC soldável 40 mm</t>
  </si>
  <si>
    <t>Cap PVC soldável 40 mm</t>
  </si>
  <si>
    <t>Curva 90° PVC soldável 40 mm</t>
  </si>
  <si>
    <t>Joelho 45° PVC soldável 40 mm</t>
  </si>
  <si>
    <t>Tê PVC soldável 40 mm</t>
  </si>
  <si>
    <t>Luva simples PVC soldável 40 mm</t>
  </si>
  <si>
    <t>Luva de correr PVC soldável 40 mm</t>
  </si>
  <si>
    <t>União PVC soldável 40 mm</t>
  </si>
  <si>
    <t>Bucha de redução curta PVC soldável de 40 mm x 32 mm</t>
  </si>
  <si>
    <t>Adaptador PVC soldável, curto com bolsa e rosca para Registro 40 mm x 1 1/4”</t>
  </si>
  <si>
    <t>Adaptador flange PVC soldável 40 mm x 1 1/4”</t>
  </si>
  <si>
    <t>Joelho 90° PVC soldável 50 mm</t>
  </si>
  <si>
    <t>Cap PVC soldável 50 mm</t>
  </si>
  <si>
    <t>Curva 90° PVC soldável 50 mm</t>
  </si>
  <si>
    <t>Joelho 45° PVC soldável 50 mm</t>
  </si>
  <si>
    <t>Tê PVC soldável 50 mm</t>
  </si>
  <si>
    <t>Luva simples PVC soldável 50 mm</t>
  </si>
  <si>
    <t>Luva de correr PVC soldável 50 mm</t>
  </si>
  <si>
    <t>União PVC soldável 50 mm</t>
  </si>
  <si>
    <t>Bucha de redução curta PVC soldável de 50 mm x 40 mm</t>
  </si>
  <si>
    <t>Adaptador PVC soldável, curto com bolsa e rosca para Registro 50 mm x 1 1/2”</t>
  </si>
  <si>
    <t>Adaptador flange PVC soldável 50 mm x 1 1/2”</t>
  </si>
  <si>
    <t>Curva 90° PVC soldável 60 mm</t>
  </si>
  <si>
    <t>Luva de correr PVC soldável 60 mm</t>
  </si>
  <si>
    <t>Bucha de redução curta PVC soldável de 60 mm x 50 mm</t>
  </si>
  <si>
    <t>Adaptador flange PVC soldável 60 mm x 2”</t>
  </si>
  <si>
    <t>Joelho 90° PVC soldável 75 mm</t>
  </si>
  <si>
    <t>Cap PVC soldável 75 mm</t>
  </si>
  <si>
    <t>Joelho 45° PVC soldável 75 mm</t>
  </si>
  <si>
    <t>Curva 90° PVC soldável 75 mm</t>
  </si>
  <si>
    <t>Tê PVC soldável 75 mm</t>
  </si>
  <si>
    <t>Luva simples PVC soldável 75 mm</t>
  </si>
  <si>
    <t>Luva de correr PVC soldável 75 mm</t>
  </si>
  <si>
    <t>União PVC soldável 75 mm</t>
  </si>
  <si>
    <t>Bucha de redução curta PVC soldável de 75 mm x 60 mm</t>
  </si>
  <si>
    <t>Adaptador PVC soldável, curto com bolsa e rosca para Registro 75 mm x 2 1/2”</t>
  </si>
  <si>
    <t>Adaptador Flange Caixa Dágua Soldável 75 mm x 2 1/2”</t>
  </si>
  <si>
    <t>Joelho 90° PVC soldável 85 mm</t>
  </si>
  <si>
    <t>Cap PVC soldável 85 mm</t>
  </si>
  <si>
    <t>Joelho 45° PVC soldável 85 mm</t>
  </si>
  <si>
    <t>Curva 90° PVC soldável 85 mm</t>
  </si>
  <si>
    <t>Tê PVC soldável 85 mm</t>
  </si>
  <si>
    <t>Luva simples PVC soldável 85 mm</t>
  </si>
  <si>
    <t>Luva de correr PVC soldável 85 mm</t>
  </si>
  <si>
    <t>Bucha de redução curta PVC soldável de 85 mm x 75 mm</t>
  </si>
  <si>
    <t>Adaptador PVC soldável, curto com bolsa e rosca para Registro 85 mm x 3”</t>
  </si>
  <si>
    <t>Joelho 90° PVC soldável 110 mm</t>
  </si>
  <si>
    <t>Joelho 45° PVC soldável 110 mm</t>
  </si>
  <si>
    <t>Cap PVC soldável 110 mm</t>
  </si>
  <si>
    <t>Curva 90° PVC soldável 110 mm</t>
  </si>
  <si>
    <t>Luva simples PVC soldável 110 mm</t>
  </si>
  <si>
    <t>Luva de correr PVC soldável 110 mm</t>
  </si>
  <si>
    <t>União PVC soldável 110 mm</t>
  </si>
  <si>
    <t>Adaptador PVC soldável, curto com bolsa e rosca para Registro 110 mm x 4”</t>
  </si>
  <si>
    <t>Adaptador flange PVC soldável 110 mm x 4”</t>
  </si>
  <si>
    <t>Luva simples PVC esgoto ou águas pluviais 40 mm</t>
  </si>
  <si>
    <t>Luva de correr PVC esgoto ou águas pluviais 40 mm</t>
  </si>
  <si>
    <t>Junção PVC esgoto ou águas pluviais 40 mm</t>
  </si>
  <si>
    <t>Tê PVC esgoto ou águas pluviais 40 mm</t>
  </si>
  <si>
    <t>Cap PVC esgoto ou águas pluviais 40 mm</t>
  </si>
  <si>
    <t>Joelho 90° com anel PVC esgoto ou águas pluviais 40 mm</t>
  </si>
  <si>
    <t>Joelho 90° PVC esgoto ou águas pluviais 40 mm</t>
  </si>
  <si>
    <t>Joelho 45° PVC esgoto ou águas pluviais 40 mm</t>
  </si>
  <si>
    <t>Curva longa 90° PVC esgoto ou águas pluviais 40 mm</t>
  </si>
  <si>
    <t>Luva simples PVC esgoto ou águas pluviais 50 mm</t>
  </si>
  <si>
    <t>Luva de correr PVC esgoto ou águas pluviais 50 mm</t>
  </si>
  <si>
    <t>Junção PVC esgoto ou águas pluviais 50 mm</t>
  </si>
  <si>
    <t>Tê PVC esgoto ou águas pluviais 50 mm</t>
  </si>
  <si>
    <t>Joelho 90° com anel PVC esgoto ou águas pluviais 50 mm</t>
  </si>
  <si>
    <t>Joelho 90° PVC esgoto ou águas pluviais 50 mm</t>
  </si>
  <si>
    <t>Cap PVC esgoto ou águas pluviais 50 mm</t>
  </si>
  <si>
    <t>Bucha de redução PVC esgoto ou águas pluviais 50 x 40 mm</t>
  </si>
  <si>
    <t>Curva longa 90° PVC esgoto ou águas pluviais 50 mm</t>
  </si>
  <si>
    <t>Luva simples PVC esgoto ou águas pluviais 70 mm</t>
  </si>
  <si>
    <t>Joelho 90° PVC esgoto ou águas pluviais 75 mm</t>
  </si>
  <si>
    <t>Curva longa 90° PVC esgoto ou águas pluviais 75 mm</t>
  </si>
  <si>
    <t>Joelho 45° PVC esgoto ou águas pluviais 75 mm</t>
  </si>
  <si>
    <t>Luva de correr PVC esgoto ou águas pluviais 75 mm</t>
  </si>
  <si>
    <t>Tê PVC esgoto ou águas pluviais 75 mm</t>
  </si>
  <si>
    <t>Cap PVC esgoto ou águas pluviais 75 mm</t>
  </si>
  <si>
    <t>Redução Excêntrica PVC esgoto ou águas pluviais 75 x 50 mm</t>
  </si>
  <si>
    <t>Luva simples PVC esgoto ou águas pluviais 100 mm</t>
  </si>
  <si>
    <t>Joelho 90° PVC esgoto ou águas pluviais 100 mm</t>
  </si>
  <si>
    <t>Curva longa 90° PVC esgoto ou águas pluviais 100 mm</t>
  </si>
  <si>
    <t>Joelho 45° PVC esgoto ou águas pluviais 100 mm</t>
  </si>
  <si>
    <t>Junção dupla PVC esgoto ou águas pluviais 100 mm</t>
  </si>
  <si>
    <t>Junção Simples 100 x 100 mm</t>
  </si>
  <si>
    <t>Cap PVC esgoto ou águas pluviais 100 mm</t>
  </si>
  <si>
    <t>Tê PVC esgoto ou águas pluviais 100 mm</t>
  </si>
  <si>
    <t>Tê inspeção PVC esgoto ou águas pluviais 100 mm</t>
  </si>
  <si>
    <t>Joelho com visita PVC esgoto ou águas pluviais 100x75 mm</t>
  </si>
  <si>
    <t>Redução PVC esgoto ou águas pluviais 100x75 mm</t>
  </si>
  <si>
    <t>Luva simples PVC esgoto ou águas pluviais 150 mm</t>
  </si>
  <si>
    <t>Luva de correr PVC esgoto ou águas pluviais 150 mm</t>
  </si>
  <si>
    <t>Junção PVC esgoto ou águas pluviais 150 mm</t>
  </si>
  <si>
    <t>Joelho 90° PVC esgoto ou águas pluviais 150 mm</t>
  </si>
  <si>
    <t>Joelho 45° PVC esgoto ou águas pluviais 150 mm</t>
  </si>
  <si>
    <t>Tê PVC esgoto ou águas pluviais 150 mm</t>
  </si>
  <si>
    <t>Curva longa 90° PVC esgoto ou águas pluviais 150 mm</t>
  </si>
  <si>
    <t>Cap PVC esgoto ou águas pluviais 150 mm</t>
  </si>
  <si>
    <t>Redução PVC esgoto ou águas pluviais 150 mm x 100 mm</t>
  </si>
  <si>
    <t>Joelho 90° cobre 35 mm</t>
  </si>
  <si>
    <t>Luva cobre 35 mm</t>
  </si>
  <si>
    <t>Tê cobre 35 mm</t>
  </si>
  <si>
    <t>Joelho 90° cobre 42 mm</t>
  </si>
  <si>
    <t>Luva cobre 42 mm</t>
  </si>
  <si>
    <t>Tê cobre 42 mm</t>
  </si>
  <si>
    <t>Redução cobre 42 mm x 35 mm</t>
  </si>
  <si>
    <t>Joelho 90° cobre 54 mm</t>
  </si>
  <si>
    <t>Luva cobre 54 mm</t>
  </si>
  <si>
    <t>Tê cobre 54 mm</t>
  </si>
  <si>
    <t>Redução cobre 54 mm x 42 mm</t>
  </si>
  <si>
    <t>Joelho 90° cobre 66 mm</t>
  </si>
  <si>
    <t>Luva cobre 66 mm</t>
  </si>
  <si>
    <t>Tê cobre 66 mm</t>
  </si>
  <si>
    <t>Joelho 90° cobre 79 mm</t>
  </si>
  <si>
    <t>Luva cobre 79 mm</t>
  </si>
  <si>
    <t>Tê cobre 79 mm</t>
  </si>
  <si>
    <t>Redução cobre 66 mm x 54 mm</t>
  </si>
  <si>
    <t>Bucha de redução em ferro galvanizado 3/4” x 1/2”</t>
  </si>
  <si>
    <t>Bucha de redução PVC roscável 3/4” x 1/2”</t>
  </si>
  <si>
    <t>Luva de correr CPVC 22 mm – Linha Residencial</t>
  </si>
  <si>
    <t>Luva de correr CPVC 28 mm – Linha Residencial</t>
  </si>
  <si>
    <t>Luminária LED para poste 150 W</t>
  </si>
  <si>
    <t>Luminária LED para poste 230 W</t>
  </si>
  <si>
    <t>Cabo 3x10 mm²</t>
  </si>
  <si>
    <t>Poste de Concreto Circular L = 9 m</t>
  </si>
  <si>
    <t>Poste de Concreto Circular L = 12 m</t>
  </si>
  <si>
    <t>Conector Macho 26 mm  x 3/4” para tubo PEX para gás - GLP</t>
  </si>
  <si>
    <t>Tê Fêmea 26 mm x 3/4” para tubo PEX para gás - GLP</t>
  </si>
  <si>
    <t>Bucha de redução em ferro galvanizado 3” x 2 1/2”</t>
  </si>
  <si>
    <t>Mangueira de incêndio tipo 2 - engate 2 1/2” - lance 15 m</t>
  </si>
  <si>
    <t>União PVC soldável 85 mm</t>
  </si>
  <si>
    <t>União PVC soldável 60 mm</t>
  </si>
  <si>
    <t>Luva de PVC soldável água fria DN 60 mm</t>
  </si>
  <si>
    <t>Luva CPVC 28 mm– Linha Residencial</t>
  </si>
  <si>
    <t>Luva CPVC 22 mm – Linha Residencial</t>
  </si>
  <si>
    <t>Tê 90° CPVC 28 mm – Linha Residencial</t>
  </si>
  <si>
    <t>Tê 90° CPVC 22 mm – Linha Residencial</t>
  </si>
  <si>
    <t>Tê de redução em aço-carbono galvanizado 2” x 1 1/2” – Água Potável e Combate a Incêndio</t>
  </si>
  <si>
    <t>União CPVC 28 mm– Linha Residencial</t>
  </si>
  <si>
    <t>União CPVC 22 mm – Linha Residencial</t>
  </si>
  <si>
    <t>Tê 45° (Junção) PVC esgoto ou águas pluviais predial DN 75 mm</t>
  </si>
  <si>
    <t>Luva de transição CPVC 1/2” x 22 mm  – Linha Residencial</t>
  </si>
  <si>
    <t>Luva de Correr PVC esgoto ou águas pluviais predial DN 100 mm</t>
  </si>
  <si>
    <t>Tubo PVC para Calha 88 mm</t>
  </si>
  <si>
    <t>Tubo PEAD corrugado para drenagem – Diâmetro 110 mm</t>
  </si>
  <si>
    <t>Tê 90° PVC soldável água fria DN 60 mm</t>
  </si>
  <si>
    <t>Joelho 90° PVC soldável água fria DN 60 mm</t>
  </si>
  <si>
    <t>Joelho 90° CPVC 28 mm – Linha Residencial</t>
  </si>
  <si>
    <t>Joelho 90° CPVC 22 mm – Linha Residencial</t>
  </si>
  <si>
    <t>Joelho 45° CPVC 22 mm – Linha Residencial</t>
  </si>
  <si>
    <t>Joelho 45° PVC soldável água fria DN 60 mm</t>
  </si>
  <si>
    <t>Joelho 45° CPVC 28 mm – Linha Residencial</t>
  </si>
  <si>
    <t>Flange PVC soldável água fria DN 25 mm</t>
  </si>
  <si>
    <t>Flange PVC soldável água fria DN 60 mm</t>
  </si>
  <si>
    <t>Fita perfurada em aço-carbono - 17 x 0,40 mm - rolo 30 m</t>
  </si>
  <si>
    <t>Conector em cobre ou bronze 22 mm x 3/4” fêmea</t>
  </si>
  <si>
    <t>Canopla para Sprinkler de 1/2”, em latão cromado, diâmetro externo de 6,5 cm</t>
  </si>
  <si>
    <t>Bucha de Redução em CPVC 28 x 22 mm</t>
  </si>
  <si>
    <t>Aquecedor elétrico horizontal – 200 L – Linha Residencial</t>
  </si>
  <si>
    <t>Manilha para Poço – 1,10 x 0,50 x 0,05 m</t>
  </si>
  <si>
    <t>Adaptador com Flange e Anel 85 mm x 3”</t>
  </si>
  <si>
    <t>Tubo PVC soldável água fria DN 20 mm</t>
  </si>
  <si>
    <t>Tubo PVC soldável água fria DN 25 mm</t>
  </si>
  <si>
    <t>Tubo PVC soldável água fria DN 32 mm</t>
  </si>
  <si>
    <t>Tubo PVC soldável água fria DN 40 mm</t>
  </si>
  <si>
    <t>Tubo PVC soldável água fria DN 50 mm</t>
  </si>
  <si>
    <t>Tubo PVC soldável água fria DN 60 mm</t>
  </si>
  <si>
    <t>Tubo PVC esgoto ou águas pluviais predial DN 100 mm</t>
  </si>
  <si>
    <t>Tubo PVC esgoto ou águas pluviais predial DN 150 mm</t>
  </si>
  <si>
    <t>Tubo PVC esgoto ou águas pluviais predial DN 50 mm</t>
  </si>
  <si>
    <t>Tubo PVC esgoto ou águas pluviais predial DN 75 mm</t>
  </si>
  <si>
    <t>Tubo de cobre classe “E” 22 mm</t>
  </si>
  <si>
    <t>Tubo de cobre classe “E” 42 mm</t>
  </si>
  <si>
    <t>Tubo de cobre classe “E” 35 mm</t>
  </si>
  <si>
    <t>Tubo de cobre classe “E” 54 mm</t>
  </si>
  <si>
    <t>Tubo de cobre classe “E” 66 mm</t>
  </si>
  <si>
    <t>Tubo de cobre classe “E” 79 mm</t>
  </si>
  <si>
    <t>Tubo de cobre classe “E” 104 mm</t>
  </si>
  <si>
    <t>Registro Esfera PVC VS Soldável 60 mm</t>
  </si>
  <si>
    <t>Manômetro DN63 (2 1/2”) até 150 psi - Seco</t>
  </si>
  <si>
    <t>Disjuntor tripolar trilho DIN até 40 A</t>
  </si>
  <si>
    <t>Armação de aço CA-60 bitolas de 5,0 mm a 8,00 mm</t>
  </si>
  <si>
    <t>Estaca escavada mecanicamente - 40 cm de diâmetro</t>
  </si>
  <si>
    <t>Concreto Usinado, fck = 25 MPa</t>
  </si>
  <si>
    <t>Arrasamento mecânico de estacas de concreto armado com diâmetros de até 40 cm</t>
  </si>
  <si>
    <t>Estaca escavada manualmente de diâmetro 30 cm</t>
  </si>
  <si>
    <t>Furo em concreto de até 40 mm de diâmetro</t>
  </si>
  <si>
    <t>Concreto virado em betoneira, fck = 20 MPa</t>
  </si>
  <si>
    <t>Armação de aço CA-25 bitola de 16 mm</t>
  </si>
  <si>
    <t>Graute industrializado, fck ≥ 100 MPa</t>
  </si>
  <si>
    <t>Marreta oitavada 1000 g</t>
  </si>
  <si>
    <t>Alicate crimpador com catraca para terminal tubular até 6 mm²</t>
  </si>
  <si>
    <t>Alicate crimpador manual para terminal pré-isolado até 16 mm²</t>
  </si>
  <si>
    <t>Placa de sinalização em PVC 2 mm</t>
  </si>
  <si>
    <t>Mastro 3 m</t>
  </si>
  <si>
    <t>Tampa cega metálica para caixas de piso 4 x 4"</t>
  </si>
  <si>
    <t>Caixa de passagem em aço 400 x 400 x 150mm</t>
  </si>
  <si>
    <t xml:space="preserve">Caixa 4 x 2" de embutir para alvenaria </t>
  </si>
  <si>
    <t xml:space="preserve">Caixa 4 x 4" de embutir para alvenaria </t>
  </si>
  <si>
    <t>Luminária LED Highbay 200 W</t>
  </si>
  <si>
    <t>Poste reto 3 m</t>
  </si>
  <si>
    <t>Poste curvo simples 8 m</t>
  </si>
  <si>
    <t>Poste curvo duplo 8 m</t>
  </si>
  <si>
    <t xml:space="preserve">Luminária LED para poste 60 W </t>
  </si>
  <si>
    <t xml:space="preserve">Luminária LED para poste 120 W </t>
  </si>
  <si>
    <t>Furo em concreto de 40 mm até 75 mm de diâmetro</t>
  </si>
  <si>
    <t>Furo em concreto para diâmetros maiores que 75 mm</t>
  </si>
  <si>
    <t>Concreto virado em betoneira, fck = 25 MPa</t>
  </si>
  <si>
    <t>Reboco com argamassa industrializada e = 2,0 cm</t>
  </si>
  <si>
    <t>Regularização com argamassa industrializada e = 0,5 cm</t>
  </si>
  <si>
    <t>Contrapiso em argamassa (e = 2 cm) ou Regularização de contrapiso existente</t>
  </si>
  <si>
    <t>Granito Cinza Andorinha 20 mm para rodabancada</t>
  </si>
  <si>
    <t>Granito Cinza Andorinha 20 mm para bancadas</t>
  </si>
  <si>
    <t>Granito Cinza Andorinha 20 mm para divisória</t>
  </si>
  <si>
    <t>Granito Preto São Gabriel 20 mm para rodabancada</t>
  </si>
  <si>
    <t>Granito Preto São Gabriel 20 mm para bancadas</t>
  </si>
  <si>
    <t>Mármore Branco Especial 20 mm para rodabancada</t>
  </si>
  <si>
    <t>Forro de PVC em réguas de 100 x 6000 mm</t>
  </si>
  <si>
    <t>Forro de PVC em réguas de 100 x 6000 mm, sem estrutura</t>
  </si>
  <si>
    <t>Vidro liso comum transparente 4 mm</t>
  </si>
  <si>
    <t>Vidro liso comum transparente 6 mm</t>
  </si>
  <si>
    <t>Espelho cristal, e = 5 mm</t>
  </si>
  <si>
    <t>Tubo PVC esgoto ou aguas pluviais predial DN 100 mm</t>
  </si>
  <si>
    <t>Tubo PVC esgoto ou aguas pluviais predial DN 40 mm</t>
  </si>
  <si>
    <t>Tubo PVC esgoto ou aguas pluviais predial DN 50 mm</t>
  </si>
  <si>
    <t>Tubo PVC esgoto ou aguas pluviais predial DN 75 mm</t>
  </si>
  <si>
    <t>Grelha quadrada para ralo 10 x 10 cm</t>
  </si>
  <si>
    <t>Grelha quadrada para ralo 15 x 15 cm</t>
  </si>
  <si>
    <t>Ralo seco PVC DN 100 x 40 mm</t>
  </si>
  <si>
    <t>Barra de apoio 40 cm – Linha Acessibilidade</t>
  </si>
  <si>
    <t>Barra de apoio 70 cm – Linha Acessibilidade</t>
  </si>
  <si>
    <t>Barra de apoio 80 cm – Linha Acessibilidade</t>
  </si>
  <si>
    <t>Barra de apoio lateral fixa 30 cm – Linha Acessibilidade</t>
  </si>
  <si>
    <t>Caixa 4 x 2" de embutir para alvenaria</t>
  </si>
  <si>
    <t>Caixa 4 x 2" para drywall</t>
  </si>
  <si>
    <t>Caixa 4 x 4" de embutir para alvenaria</t>
  </si>
  <si>
    <t>Caixa 4 x 4" para drywall</t>
  </si>
  <si>
    <t>Caixa de passagem em alumínio 100 x 100 x 50 mm</t>
  </si>
  <si>
    <t>Caixa de passagem em alumínio 200 x 200 x 100mm</t>
  </si>
  <si>
    <t>Caixa de passagem em PVC 150 x 150 x 75 mm</t>
  </si>
  <si>
    <t>Canaleta em alumínio aparente 73 mm x 25 mm</t>
  </si>
  <si>
    <t>Eletrocalha 100 x 50 mm</t>
  </si>
  <si>
    <t>Eletrocalha 200 x 100 mm</t>
  </si>
  <si>
    <t>Eletrocalha 200 x 50 mm</t>
  </si>
  <si>
    <t>Eletrocalha 300 x 100 mm</t>
  </si>
  <si>
    <t>Eletrocalha 300 x 50 mm</t>
  </si>
  <si>
    <t>Eletrocalha 400 x 50 mm</t>
  </si>
  <si>
    <t>Eletrocalha 50 x 50 mm</t>
  </si>
  <si>
    <t>Eletroduto de PVC Corrugado Reforçado 1'' (DE 32 mm)</t>
  </si>
  <si>
    <t>Eletroduto de PVC Corrugado Reforçado 3/4'' (DE 25 mm)</t>
  </si>
  <si>
    <t>Perfilado 38 x 38 mm</t>
  </si>
  <si>
    <t xml:space="preserve">Espelho 4 x 2" </t>
  </si>
  <si>
    <t xml:space="preserve">Espelho 4 x 4" </t>
  </si>
  <si>
    <t>Tampa cega metálica para caixas de piso 4 x 2"</t>
  </si>
  <si>
    <t xml:space="preserve">Tampa cega metálica para caixas de piso 4 x 4" </t>
  </si>
  <si>
    <t>Difusor de ar quadrado com caixa plenum AK6 360 x 360 mm</t>
  </si>
  <si>
    <t>Difusor de ar quadrado para insuflamento em duas direções perpendiculares 376 x 376 mm</t>
  </si>
  <si>
    <t>Difusor de ar retangular para insuflamento em duas direções 371 x 208 mm</t>
  </si>
  <si>
    <t>Difusor de ar retangular para insuflamento em três direções 264 x 432 mm</t>
  </si>
  <si>
    <t>Difusor de ar retangular para insuflamento em três direções 320 x 562 mm</t>
  </si>
  <si>
    <t>Difusor de ar retangular para insuflamento em três direções 371 x 208 mm</t>
  </si>
  <si>
    <t>Difusor de ar retangular para insuflamento em uma direção 371 x 208 mm</t>
  </si>
  <si>
    <t>Grelha para retorno retangular 425 x 225 mm</t>
  </si>
  <si>
    <t>Grelha para retorno retangular 525 x 325 mm</t>
  </si>
  <si>
    <t>Folha de porta em madeira 2,10 x 0,60m, pintada</t>
  </si>
  <si>
    <t>Folha de porta em madeira 2,10 x 0,70m, pintada</t>
  </si>
  <si>
    <t>Folha de porta em madeira 2,10 x 0,80m, pintada</t>
  </si>
  <si>
    <t>Folha de porta em madeira 2,10 x 0,90m, pintada</t>
  </si>
  <si>
    <t>Folha de porta em madeira 2,10 x 1,0m, pintada</t>
  </si>
  <si>
    <t>Grelha para retorno para portas, divisórias e paredes 525 x 325 mm</t>
  </si>
  <si>
    <t>Puxador alça 102 mm</t>
  </si>
  <si>
    <t>Painel de MDF Laminado – Branco - 06 mm</t>
  </si>
  <si>
    <t>Painel de MDF Laminado - Branco - 15 mm</t>
  </si>
  <si>
    <t>Painel de MDF Laminado – Branco - 18 mm</t>
  </si>
  <si>
    <t>Arame galvanizado, bitola 16 BWG (1,65 mm)</t>
  </si>
  <si>
    <t>Argamassa Colante tipo AC-III</t>
  </si>
  <si>
    <t>Vergalhão Ca-60 Diâmetro 5,0 mm</t>
  </si>
  <si>
    <t>Vergalhão Ca-50 Diâmetro 6,3 mm</t>
  </si>
  <si>
    <t>Vergalhão Ca-50 Diâmetro 8,0 mm</t>
  </si>
  <si>
    <t>Vergalhão Ca-50 Diâmetro 10,0 mm</t>
  </si>
  <si>
    <t>Vergalhão Ca-50 Diâmetro 12,5 mm</t>
  </si>
  <si>
    <t>Martelo de pena 300 g</t>
  </si>
  <si>
    <t>Régua de alumínio para pedreiro com 2 m</t>
  </si>
  <si>
    <t>Máquina de solda inversora AC/DC 180 A 220 V</t>
  </si>
  <si>
    <t>Trilho superior em alumínio 60 mm x 49,5 mm, para vidro temperado</t>
  </si>
  <si>
    <t>Perfil em alumínio, tipo U - abas iguais - PU 5/8" x 5/8" – espessura 1,58 mm</t>
  </si>
  <si>
    <t>Perfil guia inferior de alumínio 39,3 mm x 24 mm para vidro temperado 10 mm</t>
  </si>
  <si>
    <t>Puxador metálico - diâmetro de 22 mm a 25 mm</t>
  </si>
  <si>
    <t>Vedapress 10 mm</t>
  </si>
  <si>
    <t>Tubo de alumínio quadrado 50 x 50 mm</t>
  </si>
  <si>
    <t>Armação de aço CA-50 bitolas de 5,0 mm a 8,00 mm</t>
  </si>
  <si>
    <t>Vidro fumê / bronze temperado 10 mm</t>
  </si>
  <si>
    <t>Vidro fumê/bronze 5 mm</t>
  </si>
  <si>
    <t>Vidro fantasia 4 mm (canelado, martelado, pontilhado e mini-boreal)</t>
  </si>
  <si>
    <t>Tampa em ferro fundido T-33</t>
  </si>
  <si>
    <t>Mármore branco especial, e = 30 mm, instalação em fixadores metálicos existentes (modelo Edifício Principal)</t>
  </si>
  <si>
    <t>Placa de Concreto Pré-Moldado 15 MPa</t>
  </si>
  <si>
    <t>Perfil “U” em aço 25 x 25 mm</t>
  </si>
  <si>
    <t>Telha de fibrocimento modulada - espessura 8 mm</t>
  </si>
  <si>
    <t>Telha de fibrocimento ondulada - espessura 6 mm</t>
  </si>
  <si>
    <t>Regularização de substrato para Impermeabilização - 3 cm</t>
  </si>
  <si>
    <t>Regularização de substrato para Impermeabilização - 6 cm</t>
  </si>
  <si>
    <t>Mangueira de nível de 20 m</t>
  </si>
  <si>
    <t>Perfil cadeirinha em alumínio com encaixe para escova de vedação para vidro temperado 8 mm</t>
  </si>
  <si>
    <t>Perfil em alumínio para acabamento de trilho superior - Vidro temperado 8 mm</t>
  </si>
  <si>
    <t>Capa do Perfil Guia Inferior “Click” - Vidro temperado 8 mm</t>
  </si>
  <si>
    <t>Perfil guia inferior de alumínio para porta de giro em vidro temperado 8 mm</t>
  </si>
  <si>
    <t>Perfil guia inferior de alumínio para porta de correr em vidro temperado 8 mm</t>
  </si>
  <si>
    <t>Trilho superior em alumínio 53,8 mm x 49,6 mm, para vidro temperado</t>
  </si>
  <si>
    <t>Perfil em alumínio, tipo U - 10,5 x 20 mm - para box de vidro temperado 8 mm</t>
  </si>
  <si>
    <t>Perfil em alumínio , tipo U –  14 x 20 mm - para box de vidro temperado 8 mm</t>
  </si>
  <si>
    <t>Folha de porta em madeira e MDF 2,10 x 0,60 m</t>
  </si>
  <si>
    <t>Folha de porta em madeira e MDF 2,10 x 0,70 m</t>
  </si>
  <si>
    <t>Folha de porta em madeira e MDF 2,10 x 0,80 m</t>
  </si>
  <si>
    <t>Folha de porta em madeira e MDF 2,10 x 0,90 m</t>
  </si>
  <si>
    <t>Cerâmica 30 x 60 cm - Glacier White - Portobello – Linha Residencial</t>
  </si>
  <si>
    <t>Tubo CPVC soldável 28 mm – Linha Residencial</t>
  </si>
  <si>
    <t>Caixa de Passagem Subterrânea 1600 x 2000 mm</t>
  </si>
  <si>
    <t>Leito 400 x 100 mm</t>
  </si>
  <si>
    <t>Leito 600 x 100 mm</t>
  </si>
  <si>
    <t>Caixa de Passagem Subterrânea 300 x 300 x 500mm</t>
  </si>
  <si>
    <t>Caixa de Passagem Subterrânea 600 x 600 x 800mm</t>
  </si>
  <si>
    <t>Kit terminal para cabo de potência, 8,7 kV / 15 kV, 95 mm²</t>
  </si>
  <si>
    <t>Kit terminal para cabo de potência, 8,7 kV / 15 kV, 240 mm²</t>
  </si>
  <si>
    <t>Leito 800 x 100 mm</t>
  </si>
  <si>
    <t>Grelha para retorno quadrada 225 x 225 mm</t>
  </si>
  <si>
    <t>Grelha de retorno com aletas horizontais 1225 x 525 mm</t>
  </si>
  <si>
    <t>Grelha retangular 325 x 125 mm</t>
  </si>
  <si>
    <t>Difusor de ar quadrado 360 x 360 mm</t>
  </si>
  <si>
    <t>Bucha de redução curta PVC soldável 75 mm x 60 mm</t>
  </si>
  <si>
    <t>PINI 14.001.000536.MAT</t>
  </si>
  <si>
    <t>Bucha de redução curta PVC soldável 85 mm x 75 mm</t>
  </si>
  <si>
    <t>Joelho 45º PVC soldável 110 mm</t>
  </si>
  <si>
    <t>PINI 14.001.000430.MAT</t>
  </si>
  <si>
    <t>PINI 14.001.000964.MAT</t>
  </si>
  <si>
    <t>Joelho 90º com anel PVC esgoto ou águas pluviais 50 mm</t>
  </si>
  <si>
    <t>Perfil em MDF para acabamento de piso sintético laminado flutuante - Instalação/Substituição</t>
  </si>
  <si>
    <t>Supervisor(a) Técnico(a) - Sistemas Construtivos</t>
  </si>
  <si>
    <t>Remoção de revestimento sintético fixado por encaixe</t>
  </si>
  <si>
    <t>Tapume em telha metálica</t>
  </si>
  <si>
    <t>Solo para aterro (com transporte)</t>
  </si>
  <si>
    <t>Vidro temperado incolor com 6 mm de espessura</t>
  </si>
  <si>
    <t>Vidro temperado incolor com 6 mm de espessura, tipo JUMBO</t>
  </si>
  <si>
    <t>3,52</t>
  </si>
  <si>
    <t>1,15</t>
  </si>
  <si>
    <t>23,88</t>
  </si>
  <si>
    <t>10.372,16</t>
  </si>
  <si>
    <t>5.409,52</t>
  </si>
  <si>
    <t>7.179,48</t>
  </si>
  <si>
    <t>6.705,24</t>
  </si>
  <si>
    <t>3.191,19</t>
  </si>
  <si>
    <t>32,13</t>
  </si>
  <si>
    <t>56,50</t>
  </si>
  <si>
    <t>55,54</t>
  </si>
  <si>
    <t>3,18</t>
  </si>
  <si>
    <t>4,68</t>
  </si>
  <si>
    <t>50,50</t>
  </si>
  <si>
    <t>12,62</t>
  </si>
  <si>
    <t>20,09</t>
  </si>
  <si>
    <t>65,30</t>
  </si>
  <si>
    <t>35,04</t>
  </si>
  <si>
    <t>4,61</t>
  </si>
  <si>
    <t>50,00</t>
  </si>
  <si>
    <t>17,82</t>
  </si>
  <si>
    <t>35,84</t>
  </si>
  <si>
    <t>9,22</t>
  </si>
  <si>
    <t>7,76</t>
  </si>
  <si>
    <t>40,11</t>
  </si>
  <si>
    <t>11,77</t>
  </si>
  <si>
    <t>16,09</t>
  </si>
  <si>
    <t>38,41</t>
  </si>
  <si>
    <t>36,90</t>
  </si>
  <si>
    <t>450.184,09</t>
  </si>
  <si>
    <t>2,50</t>
  </si>
  <si>
    <t>25,12</t>
  </si>
  <si>
    <t>66,65</t>
  </si>
  <si>
    <t>273.236,33</t>
  </si>
  <si>
    <t>290.679,93</t>
  </si>
  <si>
    <t>38,78</t>
  </si>
  <si>
    <t>12,02</t>
  </si>
  <si>
    <t>235.000,00</t>
  </si>
  <si>
    <t>199.554,62</t>
  </si>
  <si>
    <t>334.079,57</t>
  </si>
  <si>
    <t>566.986,33</t>
  </si>
  <si>
    <t>55,10</t>
  </si>
  <si>
    <t>48,68</t>
  </si>
  <si>
    <t>9,23</t>
  </si>
  <si>
    <t>31,61</t>
  </si>
  <si>
    <t>2,15</t>
  </si>
  <si>
    <t>12,25</t>
  </si>
  <si>
    <t>13,42</t>
  </si>
  <si>
    <t>8,02</t>
  </si>
  <si>
    <t>5,24</t>
  </si>
  <si>
    <t>2,13</t>
  </si>
  <si>
    <t>2,88</t>
  </si>
  <si>
    <t>11,11</t>
  </si>
  <si>
    <t>18,28</t>
  </si>
  <si>
    <t>17,50</t>
  </si>
  <si>
    <t>16,46</t>
  </si>
  <si>
    <t>10,70</t>
  </si>
  <si>
    <t>45,05</t>
  </si>
  <si>
    <t>23,51</t>
  </si>
  <si>
    <t>72,60</t>
  </si>
  <si>
    <t>13,50</t>
  </si>
  <si>
    <t>8,46</t>
  </si>
  <si>
    <t>20,46</t>
  </si>
  <si>
    <t>26,47</t>
  </si>
  <si>
    <t>17,69</t>
  </si>
  <si>
    <t>24,53</t>
  </si>
  <si>
    <t>7,38</t>
  </si>
  <si>
    <t>47,15</t>
  </si>
  <si>
    <t>1,20</t>
  </si>
  <si>
    <t>22,77</t>
  </si>
  <si>
    <t>30,86</t>
  </si>
  <si>
    <t>21,12</t>
  </si>
  <si>
    <t>63,39</t>
  </si>
  <si>
    <t>13,12</t>
  </si>
  <si>
    <t>104491</t>
  </si>
  <si>
    <t>ADUELA/ GALERIA FECHADA PRE-MOLDADA DE CONCRETO ARMADO, SECAO QUADRANGULAR INTERNA DE 1,50 X 1,50 M (L X A), MISULA DE 20 X 20 CM, C = 1,00 M, ESPESSURA MIN = 15 CM, TB-45 E FCK DO CONCRETO = 30 MPA   FORNECIMENTO E ASSENTAMENTO. AF_01/2023</t>
  </si>
  <si>
    <t>104492</t>
  </si>
  <si>
    <t>ADUELA/ GALERIA FECHADA PRE-MOLDADA DE CONCRETO ARMADO, SECAO QUADRANGULAR INTERNA DE 2,00 X 2,00 M (L X A), MISULA DE 20 X 20 CM, C = 1,00 M, ESPESSURA MIN = 15 CM, TB-45 E FCK DO CONCRETO = 30 MPA   FORNECIMENTO E ASSENTAMENTO. AF_01/2023</t>
  </si>
  <si>
    <t>104494</t>
  </si>
  <si>
    <t>ADUELA/ GALERIA FECHADA PRE-MOLDADA DE CONCRETO ARMADO, SECAO QUADRANGULAR INTERNA DE 2,50 X 2,50 M (L X A), MISULA DE 20 X 20 CM, C = 1,00 M, ESPESSURA MIN = 15 CM, TB-45 E FCK DO CONCRETO = 30 MPA   FORNECIMENTO E ASSENTAMENTO. AF_01/2023</t>
  </si>
  <si>
    <t>104497</t>
  </si>
  <si>
    <t>ADUELA/ GALERIA FECHADA PRE-MOLDADA DE CONCRETO ARMADO, SECAO QUADRANGULAR INTERNA DE 3,00 X 3,00 M (L X A), MISULA DE 20 X 20 CM, C = 1,00 M, ESPESSURA MIN = 20 CM, TB-45 E FCK DO CONCRETO = 30 MPA   FORNECIMENTO E ASSENTAMENTO. AF_01/2023</t>
  </si>
  <si>
    <t>104515</t>
  </si>
  <si>
    <t>APLICAÇÃO DE MANTA GEOTÊXTIL NAS JUNTAS RÍGIDAS DE ADUELAS PRÉ-MOLDADAS DE CONCRETO ARMADO. AF_01/2023</t>
  </si>
  <si>
    <t>26,77</t>
  </si>
  <si>
    <t>14,46</t>
  </si>
  <si>
    <t>14,89</t>
  </si>
  <si>
    <t>9,72</t>
  </si>
  <si>
    <t>12,06</t>
  </si>
  <si>
    <t>13,35</t>
  </si>
  <si>
    <t>35,28</t>
  </si>
  <si>
    <t>65,96</t>
  </si>
  <si>
    <t>40,69</t>
  </si>
  <si>
    <t>37,73</t>
  </si>
  <si>
    <t>19,65</t>
  </si>
  <si>
    <t>28,68</t>
  </si>
  <si>
    <t>9,63</t>
  </si>
  <si>
    <t>15,97</t>
  </si>
  <si>
    <t>13,76</t>
  </si>
  <si>
    <t>8,29</t>
  </si>
  <si>
    <t>9,67</t>
  </si>
  <si>
    <t>11,78</t>
  </si>
  <si>
    <t>24,26</t>
  </si>
  <si>
    <t>24,33</t>
  </si>
  <si>
    <t>28,85</t>
  </si>
  <si>
    <t>14,17</t>
  </si>
  <si>
    <t>20,02</t>
  </si>
  <si>
    <t>26,88</t>
  </si>
  <si>
    <t>50,38</t>
  </si>
  <si>
    <t>121,76</t>
  </si>
  <si>
    <t>28,07</t>
  </si>
  <si>
    <t>24,20</t>
  </si>
  <si>
    <t>26,02</t>
  </si>
  <si>
    <t>20,67</t>
  </si>
  <si>
    <t>16,22</t>
  </si>
  <si>
    <t>63,09</t>
  </si>
  <si>
    <t>8,10</t>
  </si>
  <si>
    <t>28,71</t>
  </si>
  <si>
    <t>32,91</t>
  </si>
  <si>
    <t>23,29</t>
  </si>
  <si>
    <t>24,17</t>
  </si>
  <si>
    <t>56,28</t>
  </si>
  <si>
    <t>3,59</t>
  </si>
  <si>
    <t>7,79</t>
  </si>
  <si>
    <t>14,62</t>
  </si>
  <si>
    <t>24,41</t>
  </si>
  <si>
    <t>164,24</t>
  </si>
  <si>
    <t>40,21</t>
  </si>
  <si>
    <t>3,60</t>
  </si>
  <si>
    <t>18,00</t>
  </si>
  <si>
    <t>16,83</t>
  </si>
  <si>
    <t>15,38</t>
  </si>
  <si>
    <t>9,32</t>
  </si>
  <si>
    <t>27,96</t>
  </si>
  <si>
    <t>76,42</t>
  </si>
  <si>
    <t>56,97</t>
  </si>
  <si>
    <t>6,65</t>
  </si>
  <si>
    <t>36,27</t>
  </si>
  <si>
    <t>44,86</t>
  </si>
  <si>
    <t>10,47</t>
  </si>
  <si>
    <t>52,81</t>
  </si>
  <si>
    <t>25,27</t>
  </si>
  <si>
    <t>4,34</t>
  </si>
  <si>
    <t>25,21</t>
  </si>
  <si>
    <t>20,86</t>
  </si>
  <si>
    <t>48,96</t>
  </si>
  <si>
    <t>26,40</t>
  </si>
  <si>
    <t>16,98</t>
  </si>
  <si>
    <t>32,70</t>
  </si>
  <si>
    <t>16,37</t>
  </si>
  <si>
    <t>14,82</t>
  </si>
  <si>
    <t>10,83</t>
  </si>
  <si>
    <t>13,33</t>
  </si>
  <si>
    <t>13,43</t>
  </si>
  <si>
    <t>33,45</t>
  </si>
  <si>
    <t>24,91</t>
  </si>
  <si>
    <t>18,17</t>
  </si>
  <si>
    <t>4,77</t>
  </si>
  <si>
    <t>9,57</t>
  </si>
  <si>
    <t>6,53</t>
  </si>
  <si>
    <t>19,24</t>
  </si>
  <si>
    <t>23,26</t>
  </si>
  <si>
    <t>50,05</t>
  </si>
  <si>
    <t>25,29</t>
  </si>
  <si>
    <t>11,72</t>
  </si>
  <si>
    <t>24,01</t>
  </si>
  <si>
    <t>27,99</t>
  </si>
  <si>
    <t>15,84</t>
  </si>
  <si>
    <t>65,08</t>
  </si>
  <si>
    <t>54,60</t>
  </si>
  <si>
    <t>30,33</t>
  </si>
  <si>
    <t>38,43</t>
  </si>
  <si>
    <t>27,04</t>
  </si>
  <si>
    <t>51,39</t>
  </si>
  <si>
    <t>19,72</t>
  </si>
  <si>
    <t>17,63</t>
  </si>
  <si>
    <t>Rejunte resinado acrílico - Aplicação/Substituição</t>
  </si>
  <si>
    <t>Remoção de splitão/fan-coil</t>
  </si>
  <si>
    <t>Forro em réguas de alumínio</t>
  </si>
  <si>
    <t>Projeto executivo de engenharia elétrica – Climatização do Bloco 17 por split</t>
  </si>
  <si>
    <t>Quadro elétrico TTA - Sistema de climatização do Bloco 17 por split</t>
  </si>
  <si>
    <t>Quadro elétrico tipo TTA completo para suprimento do sistema de climatização do Bloco 17 por splits, contemplando disjuntores, DPS, DR, etc., conforme especificação</t>
  </si>
  <si>
    <t>REJUNTE ACRÍLICO, QUALQUER COR</t>
  </si>
  <si>
    <t>Técnico de Segurança do Trabalho - Trabalho em Altura e Espaços Confinados</t>
  </si>
  <si>
    <t>Instalação de telha de fibrocimento, metálica ou cerâmica reaproveitada</t>
  </si>
  <si>
    <t>Vergalhão Ca-50 Diâmetro 16,0 mm</t>
  </si>
  <si>
    <t>Claraboia tipo bolha em acrílico</t>
  </si>
  <si>
    <t>Mosaico de Pedra portuguesa (petit pavé)</t>
  </si>
  <si>
    <t>Instalação de mosaico de Pedra portuguesa (petit pavé) reaproveitada</t>
  </si>
  <si>
    <t>Tela de poliéster estruturante para reforço de impermeabilização</t>
  </si>
  <si>
    <t>Cantoneira laminada em alumínio abas iguais 3/4” x 1/16”</t>
  </si>
  <si>
    <t>Forro metálico suspenso tipo colmeia (módulo 625x625, com estrutura)</t>
  </si>
  <si>
    <t>un x mês</t>
  </si>
  <si>
    <t>Cantoneira de alumínio sextavada para acabamento de quinas de paredes azulejadas</t>
  </si>
  <si>
    <t>Pini 23.101.000080.MAT</t>
  </si>
  <si>
    <t>AFERIÇÃO</t>
  </si>
  <si>
    <t>Escoramento de vala, tipo descontínuo (profundidade ≤ 3 m, largura &lt; 2,5 m)</t>
  </si>
  <si>
    <t>Remoção de revestimento sintético fixado com cola ou adesivo</t>
  </si>
  <si>
    <t>6,50</t>
  </si>
  <si>
    <t>11,14</t>
  </si>
  <si>
    <t>24,24</t>
  </si>
  <si>
    <t>21,21</t>
  </si>
  <si>
    <t>9,61</t>
  </si>
  <si>
    <t>2,51</t>
  </si>
  <si>
    <t>29,49</t>
  </si>
  <si>
    <t>34,65</t>
  </si>
  <si>
    <t>47,23</t>
  </si>
  <si>
    <t>38,93</t>
  </si>
  <si>
    <t>0,43</t>
  </si>
  <si>
    <t>5,86</t>
  </si>
  <si>
    <t>16,50</t>
  </si>
  <si>
    <t>18,24</t>
  </si>
  <si>
    <t>65,25</t>
  </si>
  <si>
    <t>20,66</t>
  </si>
  <si>
    <t>30,20</t>
  </si>
  <si>
    <t>59,00</t>
  </si>
  <si>
    <t>16,89</t>
  </si>
  <si>
    <t>11,37</t>
  </si>
  <si>
    <t>9,51</t>
  </si>
  <si>
    <t>17,28</t>
  </si>
  <si>
    <t>4.452,67</t>
  </si>
  <si>
    <t>2.703,16</t>
  </si>
  <si>
    <t>4,20</t>
  </si>
  <si>
    <t>54,22</t>
  </si>
  <si>
    <t>58,41</t>
  </si>
  <si>
    <t>12,46</t>
  </si>
  <si>
    <t>7,50</t>
  </si>
  <si>
    <t>21,24</t>
  </si>
  <si>
    <t>11,12</t>
  </si>
  <si>
    <t>27,97</t>
  </si>
  <si>
    <t>2,46</t>
  </si>
  <si>
    <t>26,61</t>
  </si>
  <si>
    <t>2,81</t>
  </si>
  <si>
    <t>6,86</t>
  </si>
  <si>
    <t>42,47</t>
  </si>
  <si>
    <t>1,21</t>
  </si>
  <si>
    <t>25,94</t>
  </si>
  <si>
    <t>158,34</t>
  </si>
  <si>
    <t>137,59</t>
  </si>
  <si>
    <t>185,00</t>
  </si>
  <si>
    <t>4,17</t>
  </si>
  <si>
    <t>55,90</t>
  </si>
  <si>
    <t>19,11</t>
  </si>
  <si>
    <t>4,53</t>
  </si>
  <si>
    <t>12,73</t>
  </si>
  <si>
    <t>1,90</t>
  </si>
  <si>
    <t>1,91</t>
  </si>
  <si>
    <t>7,54</t>
  </si>
  <si>
    <t>21,13</t>
  </si>
  <si>
    <t>18,74</t>
  </si>
  <si>
    <t>34,52</t>
  </si>
  <si>
    <t>28,15</t>
  </si>
  <si>
    <t>5,81</t>
  </si>
  <si>
    <t>1,81</t>
  </si>
  <si>
    <t>36,36</t>
  </si>
  <si>
    <t>38,99</t>
  </si>
  <si>
    <t>10,98</t>
  </si>
  <si>
    <t>18,78</t>
  </si>
  <si>
    <t>11,94</t>
  </si>
  <si>
    <t>28,03</t>
  </si>
  <si>
    <t>24,42</t>
  </si>
  <si>
    <t>21,57</t>
  </si>
  <si>
    <t>58,38</t>
  </si>
  <si>
    <t>4,75</t>
  </si>
  <si>
    <t>30,91</t>
  </si>
  <si>
    <t>148,85</t>
  </si>
  <si>
    <t>16,96</t>
  </si>
  <si>
    <t>10,10</t>
  </si>
  <si>
    <t>38,20</t>
  </si>
  <si>
    <t>118,38</t>
  </si>
  <si>
    <t>788,56</t>
  </si>
  <si>
    <t>43,52</t>
  </si>
  <si>
    <t>2.009,86</t>
  </si>
  <si>
    <t>2.284,34</t>
  </si>
  <si>
    <t>1.942,80</t>
  </si>
  <si>
    <t>1.939,98</t>
  </si>
  <si>
    <t>1.447,50</t>
  </si>
  <si>
    <t>1.465,88</t>
  </si>
  <si>
    <t>2.030,77</t>
  </si>
  <si>
    <t>499,82</t>
  </si>
  <si>
    <t>295,85</t>
  </si>
  <si>
    <t>22,03</t>
  </si>
  <si>
    <t>44,68</t>
  </si>
  <si>
    <t>14,91</t>
  </si>
  <si>
    <t>16,58</t>
  </si>
  <si>
    <t>32,25</t>
  </si>
  <si>
    <t>6,43</t>
  </si>
  <si>
    <t>33,32</t>
  </si>
  <si>
    <t>27,50</t>
  </si>
  <si>
    <t>59,85</t>
  </si>
  <si>
    <t>24,06</t>
  </si>
  <si>
    <t>31,84</t>
  </si>
  <si>
    <t>32,49</t>
  </si>
  <si>
    <t>42,07</t>
  </si>
  <si>
    <t>3,11</t>
  </si>
  <si>
    <t>31,76</t>
  </si>
  <si>
    <t>19,01</t>
  </si>
  <si>
    <t>59,43</t>
  </si>
  <si>
    <t>6,76</t>
  </si>
  <si>
    <t>24,18</t>
  </si>
  <si>
    <t>62,30</t>
  </si>
  <si>
    <t>63,23</t>
  </si>
  <si>
    <t>22,96</t>
  </si>
  <si>
    <t>27,46</t>
  </si>
  <si>
    <t>15,10</t>
  </si>
  <si>
    <t>70,65</t>
  </si>
  <si>
    <t>14,59</t>
  </si>
  <si>
    <t>34,91</t>
  </si>
  <si>
    <t>8,33</t>
  </si>
  <si>
    <t>19,74</t>
  </si>
  <si>
    <t>6,92</t>
  </si>
  <si>
    <t>9,18</t>
  </si>
  <si>
    <t>7,95</t>
  </si>
  <si>
    <t>47,96</t>
  </si>
  <si>
    <t>54,56</t>
  </si>
  <si>
    <t>5,35</t>
  </si>
  <si>
    <t>4,23</t>
  </si>
  <si>
    <t>23,65</t>
  </si>
  <si>
    <t>6,39</t>
  </si>
  <si>
    <t>16,57</t>
  </si>
  <si>
    <t>25,71</t>
  </si>
  <si>
    <t>30,77</t>
  </si>
  <si>
    <t>23,00</t>
  </si>
  <si>
    <t>19,47</t>
  </si>
  <si>
    <t>28,90</t>
  </si>
  <si>
    <t>36,65</t>
  </si>
  <si>
    <t>12,54</t>
  </si>
  <si>
    <t>12,90</t>
  </si>
  <si>
    <t>21,11</t>
  </si>
  <si>
    <t>6,79</t>
  </si>
  <si>
    <t>ELETRODUTO FLEXÍVEL CORRUGADO, PVC, DN 20 MM (1/2"), PARA CIRCUITOS TERMINAIS, INSTALADO EM FORRO - FORNECIMENTO E INSTALAÇÃO. AF_03/2023</t>
  </si>
  <si>
    <t>ELETRODUTO FLEXÍVEL CORRUGADO REFORÇADO, PVC, DN 20 MM (1/2"), PARA CIRCUITOS TERMINAIS, INSTALADO EM FORRO - FORNECIMENTO E INSTALAÇÃO. AF_03/2023</t>
  </si>
  <si>
    <t>ELETRODUTO FLEXÍVEL CORRUGADO, PVC, DN 25 MM (3/4"), PARA CIRCUITOS TERMINAIS, INSTALADO EM FORRO - FORNECIMENTO E INSTALAÇÃO. AF_03/2023</t>
  </si>
  <si>
    <t>ELETRODUTO FLEXÍVEL CORRUGADO REFORÇADO, PVC, DN 25 MM (3/4"), PARA CIRCUITOS TERMINAIS, INSTALADO EM FORRO - FORNECIMENTO E INSTALAÇÃO. AF_03/2023</t>
  </si>
  <si>
    <t>ELETRODUTO FLEXÍVEL CORRUGADO, PVC, DN 32 MM (1"), PARA CIRCUITOS TERMINAIS, INSTALADO EM FORRO - FORNECIMENTO E INSTALAÇÃO. AF_03/2023</t>
  </si>
  <si>
    <t>ELETRODUTO FLEXÍVEL CORRUGADO REFORÇADO, PVC, DN 32 MM (1"), PARA CIRCUITOS TERMINAIS, INSTALADO EM FORRO - FORNECIMENTO E INSTALAÇÃO. AF_03/2023</t>
  </si>
  <si>
    <t>ELETRODUTO FLEXÍVEL LISO, PEAD, DN 32 MM (1"), PARA CIRCUITOS TERMINAIS, INSTALADO EM FORRO - FORNECIMENTO E INSTALAÇÃO. AF_03/2023</t>
  </si>
  <si>
    <t>ELETRODUTO FLEXÍVEL CORRUGADO, PEAD, DN 40 MM (1 1/4"), PARA CIRCUITOS TERMINAIS, INSTALADO EM FORRO - FORNECIMENTO E INSTALAÇÃO. AF_03/2023</t>
  </si>
  <si>
    <t>ELETRODUTO FLEXÍVEL LISO, PEAD, DN 40 MM (1 1/4"), PARA CIRCUITOS TERMINAIS, INSTALADO EM FORRO - FORNECIMENTO E INSTALAÇÃO. AF_03/2023</t>
  </si>
  <si>
    <t>ELETRODUTO FLEXÍVEL CORRUGADO, PVC, DN 20 MM (1/2"), PARA CIRCUITOS TERMINAIS, INSTALADO EM LAJE - FORNECIMENTO E INSTALAÇÃO. AF_03/2023</t>
  </si>
  <si>
    <t>ELETRODUTO FLEXÍVEL CORRUGADO REFORÇADO, PVC, DN 20 MM (1/2"), PARA CIRCUITOS TERMINAIS, INSTALADO EM LAJE - FORNECIMENTO E INSTALAÇÃO. AF_03/2023</t>
  </si>
  <si>
    <t>ELETRODUTO FLEXÍVEL CORRUGADO, PVC, DN 25 MM (3/4"), PARA CIRCUITOS TERMINAIS, INSTALADO EM LAJE - FORNECIMENTO E INSTALAÇÃO. AF_03/2023</t>
  </si>
  <si>
    <t>ELETRODUTO FLEXÍVEL CORRUGADO REFORÇADO, PVC, DN 25 MM (3/4"), PARA CIRCUITOS TERMINAIS, INSTALADO EM LAJE - FORNECIMENTO E INSTALAÇÃO. AF_03/2023</t>
  </si>
  <si>
    <t>ELETRODUTO FLEXÍVEL CORRUGADO, PVC, DN 32 MM (1"), PARA CIRCUITOS TERMINAIS, INSTALADO EM LAJE - FORNECIMENTO E INSTALAÇÃO. AF_03/2023</t>
  </si>
  <si>
    <t>ELETRODUTO FLEXÍVEL CORRUGADO REFORÇADO, PVC, DN 32 MM (1"), PARA CIRCUITOS TERMINAIS, INSTALADO EM LAJE - FORNECIMENTO E INSTALAÇÃO. AF_03/2023</t>
  </si>
  <si>
    <t>ELETRODUTO FLEXÍVEL LISO, PEAD, DN 32 MM (1"), PARA CIRCUITOS TERMINAIS, INSTALADO EM LAJE - FORNECIMENTO E INSTALAÇÃO. AF_03/2023</t>
  </si>
  <si>
    <t>ELETRODUTO FLEXÍVEL CORRUGADO, PEAD, DN 40 MM (1 1/4"), PARA CIRCUITOS TERMINAIS, INSTALADO EM LAJE - FORNECIMENTO E INSTALAÇÃO. AF_03/2023</t>
  </si>
  <si>
    <t>ELETRODUTO FLEXÍVEL LISO, PEAD, DN 40 MM (1 1/4"), PARA CIRCUITOS TERMINAIS, INSTALADO EM LAJE - FORNECIMENTO E INSTALAÇÃO. AF_03/2023</t>
  </si>
  <si>
    <t>ELETRODUTO FLEXÍVEL CORRUGADO, PVC, DN 20 MM (1/2"), PARA CIRCUITOS TERMINAIS, INSTALADO EM PAREDE - FORNECIMENTO E INSTALAÇÃO. AF_03/2023</t>
  </si>
  <si>
    <t>ELETRODUTO FLEXÍVEL CORRUGADO REFORÇADO, PVC, DN 20 MM (1/2"), PARA CIRCUITOS TERMINAIS, INSTALADO EM PAREDE - FORNECIMENTO E INSTALAÇÃO. AF_03/2023</t>
  </si>
  <si>
    <t>ELETRODUTO FLEXÍVEL CORRUGADO, PVC, DN 25 MM (3/4"), PARA CIRCUITOS TERMINAIS, INSTALADO EM PAREDE - FORNECIMENTO E INSTALAÇÃO. AF_03/2023</t>
  </si>
  <si>
    <t>ELETRODUTO FLEXÍVEL CORRUGADO REFORÇADO, PVC, DN 25 MM (3/4"), PARA CIRCUITOS TERMINAIS, INSTALADO EM PAREDE - FORNECIMENTO E INSTALAÇÃO. AF_03/2023</t>
  </si>
  <si>
    <t>ELETRODUTO FLEXÍVEL CORRUGADO, PVC, DN 32 MM (1"), PARA CIRCUITOS TERMINAIS, INSTALADO EM PAREDE - FORNECIMENTO E INSTALAÇÃO. AF_03/2023</t>
  </si>
  <si>
    <t>ELETRODUTO FLEXÍVEL CORRUGADO REFORÇADO, PVC, DN 32 MM (1"), PARA CIRCUITOS TERMINAIS, INSTALADO EM PAREDE - FORNECIMENTO E INSTALAÇÃO. AF_03/2023</t>
  </si>
  <si>
    <t>ELETRODUTO FLEXÍVEL LISO, PEAD, DN 32 MM (1"), PARA CIRCUITOS TERMINAIS, INSTALADO EM PAREDE - FORNECIMENTO E INSTALAÇÃO. AF_03/2023</t>
  </si>
  <si>
    <t>ELETRODUTO FLEXÍVEL CORRUGADO, PEAD, DN 40 MM (1 1/4"), PARA CIRCUITOS TERMINAIS, INSTALADO EM PAREDE - FORNECIMENTO E INSTALAÇÃO. AF_03/2023</t>
  </si>
  <si>
    <t>ELETRODUTO FLEXÍVEL LISO, PEAD, DN 40 MM (1 1/4"), PARA CIRCUITOS TERMINAIS, INSTALADO EM PAREDE - FORNECIMENTO E INSTALAÇÃO. AF_03/2023</t>
  </si>
  <si>
    <t>ELETRODUTO RÍGIDO ROSCÁVEL, PVC, DN 20 MM (1/2"), PARA CIRCUITOS TERMINAIS, INSTALADO EM FORRO - FORNECIMENTO E INSTALAÇÃO. AF_03/2023</t>
  </si>
  <si>
    <t>ELETRODUTO RÍGIDO ROSCÁVEL, PVC, DN 25 MM (3/4"), PARA CIRCUITOS TERMINAIS, INSTALADO EM FORRO - FORNECIMENTO E INSTALAÇÃO. AF_03/2023</t>
  </si>
  <si>
    <t>ELETRODUTO RÍGIDO ROSCÁVEL, PVC, DN 32 MM (1"), PARA CIRCUITOS TERMINAIS, INSTALADO EM FORRO - FORNECIMENTO E INSTALAÇÃO. AF_03/2023</t>
  </si>
  <si>
    <t>ELETRODUTO RÍGIDO ROSCÁVEL, PVC, DN 40 MM (1 1/4"), PARA CIRCUITOS TERMINAIS, INSTALADO EM FORRO - FORNECIMENTO E INSTALAÇÃO. AF_03/2023</t>
  </si>
  <si>
    <t>ELETRODUTO RÍGIDO ROSCÁVEL, PVC, DN 20 MM (1/2"), PARA CIRCUITOS TERMINAIS, INSTALADO EM LAJE - FORNECIMENTO E INSTALAÇÃO. AF_03/2023</t>
  </si>
  <si>
    <t>ELETRODUTO RÍGIDO ROSCÁVEL, PVC, DN 25 MM (3/4"), PARA CIRCUITOS TERMINAIS, INSTALADO EM LAJE - FORNECIMENTO E INSTALAÇÃO. AF_03/2023</t>
  </si>
  <si>
    <t>ELETRODUTO RÍGIDO ROSCÁVEL, PVC, DN 32 MM (1"), PARA CIRCUITOS TERMINAIS, INSTALADO EM LAJE - FORNECIMENTO E INSTALAÇÃO. AF_03/2023</t>
  </si>
  <si>
    <t>ELETRODUTO RÍGIDO ROSCÁVEL, PVC, DN 40 MM (1 1/4"), PARA CIRCUITOS TERMINAIS, INSTALADO EM LAJE - FORNECIMENTO E INSTALAÇÃO. AF_03/2023</t>
  </si>
  <si>
    <t>ELETRODUTO RÍGIDO ROSCÁVEL, PVC, DN 20 MM (1/2"), PARA CIRCUITOS TERMINAIS, INSTALADO EM PAREDE - FORNECIMENTO E INSTALAÇÃO. AF_03/2023</t>
  </si>
  <si>
    <t>12,49</t>
  </si>
  <si>
    <t>ELETRODUTO RÍGIDO ROSCÁVEL, PVC, DN 25 MM (3/4"), PARA CIRCUITOS TERMINAIS, INSTALADO EM PAREDE - FORNECIMENTO E INSTALAÇÃO. AF_03/2023</t>
  </si>
  <si>
    <t>ELETRODUTO RÍGIDO ROSCÁVEL, PVC, DN 32 MM (1"), PARA CIRCUITOS TERMINAIS, INSTALADO EM PAREDE - FORNECIMENTO E INSTALAÇÃO. AF_03/2023</t>
  </si>
  <si>
    <t>ELETRODUTO RÍGIDO ROSCÁVEL, PVC, DN 40 MM (1 1/4"), PARA CIRCUITOS TERMINAIS, INSTALADO EM PAREDE - FORNECIMENTO E INSTALAÇÃO. AF_03/2023</t>
  </si>
  <si>
    <t>LUVA PARA ELETRODUTO, PVC, ROSCÁVEL, DN 20 MM (1/2"), PARA CIRCUITOS TERMINAIS, INSTALADA EM FORRO - FORNECIMENTO E INSTALAÇÃO. AF_03/2023</t>
  </si>
  <si>
    <t>LUVA PARA ELETRODUTO, PVC, ROSCÁVEL, DN 25 MM (3/4"), PARA CIRCUITOS TERMINAIS, INSTALADA EM FORRO - FORNECIMENTO E INSTALAÇÃO. AF_03/2023</t>
  </si>
  <si>
    <t>LUVA PARA ELETRODUTO, PVC, ROSCÁVEL, DN 32 MM (1"), PARA CIRCUITOS TERMINAIS, INSTALADA EM FORRO - FORNECIMENTO E INSTALAÇÃO. AF_03/2023</t>
  </si>
  <si>
    <t>LUVA PARA ELETRODUTO, PVC, ROSCÁVEL, DN 40 MM (1 1/4"), PARA CIRCUITOS TERMINAIS, INSTALADA EM FORRO - FORNECIMENTO E INSTALAÇÃO. AF_03/2023</t>
  </si>
  <si>
    <t>LUVA PARA ELETRODUTO, PVC, ROSCÁVEL, DN 20 MM (1/2"), PARA CIRCUITOS TERMINAIS, INSTALADA EM LAJE - FORNECIMENTO E INSTALAÇÃO. AF_03/2023</t>
  </si>
  <si>
    <t>LUVA PARA ELETRODUTO, PVC, ROSCÁVEL, DN 25 MM (3/4"), PARA CIRCUITOS TERMINAIS, INSTALADA EM LAJE - FORNECIMENTO E INSTALAÇÃO. AF_03/2023</t>
  </si>
  <si>
    <t>LUVA PARA ELETRODUTO, PVC, ROSCÁVEL, DN 32 MM (1"), PARA CIRCUITOS TERMINAIS, INSTALADA EM LAJE - FORNECIMENTO E INSTALAÇÃO. AF_03/2023</t>
  </si>
  <si>
    <t>LUVA PARA ELETRODUTO, PVC, ROSCÁVEL, DN 40 MM (1 1/4"), PARA CIRCUITOS TERMINAIS, INSTALADA EM LAJE - FORNECIMENTO E INSTALAÇÃO. AF_03/2023</t>
  </si>
  <si>
    <t>LUVA PARA ELETRODUTO, PVC, ROSCÁVEL, DN 20 MM (1/2"), PARA CIRCUITOS TERMINAIS, INSTALADA EM PAREDE - FORNECIMENTO E INSTALAÇÃO. AF_03/2023</t>
  </si>
  <si>
    <t>LUVA PARA ELETRODUTO, PVC, ROSCÁVEL, DN 25 MM (3/4"), PARA CIRCUITOS TERMINAIS, INSTALADA EM PAREDE - FORNECIMENTO E INSTALAÇÃO. AF_03/2023</t>
  </si>
  <si>
    <t>LUVA PARA ELETRODUTO, PVC, ROSCÁVEL, DN 32 MM (1"), PARA CIRCUITOS TERMINAIS, INSTALADA EM PAREDE - FORNECIMENTO E INSTALAÇÃO. AF_03/2023</t>
  </si>
  <si>
    <t>LUVA PARA ELETRODUTO, PVC, ROSCÁVEL, DN 40 MM (1 1/4"), PARA CIRCUITOS TERMINAIS, INSTALADA EM PAREDE - FORNECIMENTO E INSTALAÇÃO. AF_03/2023</t>
  </si>
  <si>
    <t>CURVA 90 GRAUS PARA ELETRODUTO, PVC, ROSCÁVEL, DN 20 MM (1/2"), PARA CIRCUITOS TERMINAIS, INSTALADA EM FORRO - FORNECIMENTO E INSTALAÇÃO. AF_03/2023</t>
  </si>
  <si>
    <t>CURVA 180 GRAUS PARA ELETRODUTO, PVC, ROSCÁVEL, DN 20 MM (1/2"), PARA CIRCUITOS TERMINAIS, INSTALADA EM FORRO - FORNECIMENTO E INSTALAÇÃO. AF_03/2023</t>
  </si>
  <si>
    <t>CURVA 90 GRAUS PARA ELETRODUTO, PVC, ROSCÁVEL, DN 25 MM (3/4"), PARA CIRCUITOS TERMINAIS, INSTALADA EM FORRO - FORNECIMENTO E INSTALAÇÃO. AF_03/2023</t>
  </si>
  <si>
    <t>CURVA 180 GRAUS PARA ELETRODUTO, PVC, ROSCÁVEL, DN 25 MM (3/4"), PARA CIRCUITOS TERMINAIS, INSTALADA EM FORRO - FORNECIMENTO E INSTALAÇÃO. AF_03/2023</t>
  </si>
  <si>
    <t>CURVA 90 GRAUS PARA ELETRODUTO, PVC, ROSCÁVEL, DN 32 MM (1"), PARA CIRCUITOS TERMINAIS, INSTALADA EM FORRO - FORNECIMENTO E INSTALAÇÃO. AF_03/2023</t>
  </si>
  <si>
    <t>CURVA 180 GRAUS PARA ELETRODUTO, PVC, ROSCÁVEL, DN 32 MM (1"), PARA CIRCUITOS TERMINAIS, INSTALADA EM FORRO - FORNECIMENTO E INSTALAÇÃO. AF_03/2023</t>
  </si>
  <si>
    <t>CURVA 90 GRAUS PARA ELETRODUTO, PVC, ROSCÁVEL, DN 40 MM (1 1/4"), PARA CIRCUITOS TERMINAIS, INSTALADA EM FORRO - FORNECIMENTO E INSTALAÇÃO. AF_03/2023</t>
  </si>
  <si>
    <t>CURVA 180 GRAUS PARA ELETRODUTO, PVC, ROSCÁVEL, DN 40 MM (1 1/4"), PARA CIRCUITOS TERMINAIS, INSTALADA EM FORRO - FORNECIMENTO E INSTALAÇÃO. AF_03/2023</t>
  </si>
  <si>
    <t>CURVA 90 GRAUS PARA ELETRODUTO, PVC, ROSCÁVEL, DN 20 MM (1/2"), PARA CIRCUITOS TERMINAIS, INSTALADA EM LAJE - FORNECIMENTO E INSTALAÇÃO. AF_03/2023</t>
  </si>
  <si>
    <t>CURVA 180 GRAUS PARA ELETRODUTO, PVC, ROSCÁVEL, DN 20 MM (1/2"), PARA CIRCUITOS TERMINAIS, INSTALADA EM LAJE - FORNECIMENTO E INSTALAÇÃO. AF_03/2023</t>
  </si>
  <si>
    <t>CURVA 90 GRAUS PARA ELETRODUTO, PVC, ROSCÁVEL, DN 25 MM (3/4"), PARA CIRCUITOS TERMINAIS, INSTALADA EM LAJE - FORNECIMENTO E INSTALAÇÃO. AF_03/2023</t>
  </si>
  <si>
    <t>CURVA 180 GRAUS PARA ELETRODUTO, PVC, ROSCÁVEL, DN 25 MM (3/4"), PARA CIRCUITOS TERMINAIS, INSTALADA EM LAJE - FORNECIMENTO E INSTALAÇÃO. AF_03/2023</t>
  </si>
  <si>
    <t>14,40</t>
  </si>
  <si>
    <t>CURVA 90 GRAUS PARA ELETRODUTO, PVC, ROSCÁVEL, DN 32 MM (1"), PARA CIRCUITOS TERMINAIS, INSTALADA EM LAJE - FORNECIMENTO E INSTALAÇÃO. AF_03/2023</t>
  </si>
  <si>
    <t>CURVA 180 GRAUS PARA ELETRODUTO, PVC, ROSCÁVEL, DN 32 MM (1"), PARA CIRCUITOS TERMINAIS, INSTALADA EM LAJE - FORNECIMENTO E INSTALAÇÃO. AF_03/2023</t>
  </si>
  <si>
    <t>CURVA 90 GRAUS PARA ELETRODUTO, PVC, ROSCÁVEL, DN 40 MM (1 1/4"), PARA CIRCUITOS TERMINAIS, INSTALADA EM LAJE - FORNECIMENTO E INSTALAÇÃO. AF_03/2023</t>
  </si>
  <si>
    <t>CURVA 180 GRAUS PARA ELETRODUTO, PVC, ROSCÁVEL, DN 40 MM (1 1/4"), PARA CIRCUITOS TERMINAIS, INSTALADA EM LAJE - FORNECIMENTO E INSTALAÇÃO. AF_03/2023</t>
  </si>
  <si>
    <t>CURVA 90 GRAUS PARA ELETRODUTO, PVC, ROSCÁVEL, DN 20 MM (1/2"), PARA CIRCUITOS TERMINAIS, INSTALADA EM PAREDE - FORNECIMENTO E INSTALAÇÃO. AF_03/2023</t>
  </si>
  <si>
    <t>CURVA 180 GRAUS PARA ELETRODUTO, PVC, ROSCÁVEL, DN 20 MM (1/2"), PARA CIRCUITOS TERMINAIS, INSTALADA EM PAREDE - FORNECIMENTO E INSTALAÇÃO. AF_03/2023</t>
  </si>
  <si>
    <t>CURVA 90 GRAUS PARA ELETRODUTO, PVC, ROSCÁVEL, DN 25 MM (3/4"), PARA CIRCUITOS TERMINAIS, INSTALADA EM PAREDE - FORNECIMENTO E INSTALAÇÃO. AF_03/2023</t>
  </si>
  <si>
    <t>CURVA 180 GRAUS PARA ELETRODUTO, PVC, ROSCÁVEL, DN 25 MM (3/4"), PARA CIRCUITOS TERMINAIS, INSTALADA EM PAREDE - FORNECIMENTO E INSTALAÇÃO. AF_03/2023</t>
  </si>
  <si>
    <t>CURVA 90 GRAUS PARA ELETRODUTO, PVC, ROSCÁVEL, DN 32 MM (1"), PARA CIRCUITOS TERMINAIS, INSTALADA EM PAREDE - FORNECIMENTO E INSTALAÇÃO. AF_03/2023</t>
  </si>
  <si>
    <t>21,43</t>
  </si>
  <si>
    <t>CURVA 180 GRAUS PARA ELETRODUTO, PVC, ROSCÁVEL, DN 32 MM (1"), PARA CIRCUITOS TERMINAIS, INSTALADA EM PAREDE - FORNECIMENTO E INSTALAÇÃO. AF_03/2023</t>
  </si>
  <si>
    <t>CURVA 90 GRAUS PARA ELETRODUTO, PVC, ROSCÁVEL, DN 40 MM (1 1/4"), PARA CIRCUITOS TERMINAIS, INSTALADA EM PAREDE - FORNECIMENTO E INSTALAÇÃO. AF_03/2023</t>
  </si>
  <si>
    <t>CURVA 180 GRAUS PARA ELETRODUTO, PVC, ROSCÁVEL, DN 40 MM (1 1/4"), PARA CIRCUITOS TERMINAIS, INSTALADA EM PAREDE - FORNECIMENTO E INSTALAÇÃO. AF_03/2023</t>
  </si>
  <si>
    <t>CURVA 135 GRAUS PARA ELETRODUTO, PVC, ROSCÁVEL, DN 25 MM (3/4"), PARA CIRCUITOS TERMINAIS, INSTALADA EM FORRO - FORNECIMENTO E INSTALAÇÃO. AF_03/2023</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</si>
  <si>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</si>
  <si>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</si>
  <si>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CABO DE COBRE FLEXÍVEL ISOLADO, 1,5 MM², ANTI-CHAMA 450/750 V, PARA CIRCUITOS TERMINAIS - FORNECIMENTO E INSTALAÇÃO. AF_03/2023</t>
  </si>
  <si>
    <t>CABO DE COBRE FLEXÍVEL ISOLADO, 1,5 MM², ANTI-CHAMA 0,6/1,0 KV, PARA CIRCUITOS TERMINAIS - FORNECIMENTO E INSTALAÇÃO. AF_03/2023</t>
  </si>
  <si>
    <t>CABO DE COBRE FLEXÍVEL ISOLADO, 2,5 MM², ANTI-CHAMA 450/750 V, PARA CIRCUITOS TERMINAIS - FORNECIMENTO E INSTALAÇÃO. AF_03/2023</t>
  </si>
  <si>
    <t>CABO DE COBRE FLEXÍVEL ISOLADO, 2,5 MM², ANTI-CHAMA 0,6/1,0 KV, PARA CIRCUITOS TERMINAIS - FORNECIMENTO E INSTALAÇÃO. AF_03/2023</t>
  </si>
  <si>
    <t>CABO DE COBRE FLEXÍVEL ISOLADO, 4 MM², ANTI-CHAMA 450/750 V, PARA CIRCUITOS TERMINAIS - FORNECIMENTO E INSTALAÇÃO. AF_03/2023</t>
  </si>
  <si>
    <t>CABO DE COBRE FLEXÍVEL ISOLADO, 4 MM², ANTI-CHAMA 0,6/1,0 KV, PARA CIRCUITOS TERMINAIS - FORNECIMENTO E INSTALAÇÃO. AF_03/2023</t>
  </si>
  <si>
    <t>CABO DE COBRE FLEXÍVEL ISOLADO, 6 MM², ANTI-CHAMA 450/750 V, PARA CIRCUITOS TERMINAIS - FORNECIMENTO E INSTALAÇÃO. AF_03/2023</t>
  </si>
  <si>
    <t>CABO DE COBRE FLEXÍVEL ISOLADO, 6 MM², ANTI-CHAMA 0,6/1,0 KV, PARA CIRCUITOS TERMINAIS - FORNECIMENTO E INSTALAÇÃO. AF_03/2023</t>
  </si>
  <si>
    <t>CABO DE COBRE FLEXÍVEL ISOLADO, 10 MM², ANTI-CHAMA 450/750 V, PARA CIRCUITOS TERMINAIS - FORNECIMENTO E INSTALAÇÃO. AF_03/2023</t>
  </si>
  <si>
    <t>CABO DE COBRE FLEXÍVEL ISOLADO, 10 MM², ANTI-CHAMA 0,6/1,0 KV, PARA CIRCUITOS TERMINAIS - FORNECIMENTO E INSTALAÇÃO. AF_03/2023</t>
  </si>
  <si>
    <t>CABO DE COBRE FLEXÍVEL ISOLADO, 16 MM², ANTI-CHAMA 450/750 V, PARA CIRCUITOS TERMINAIS - FORNECIMENTO E INSTALAÇÃO. AF_03/2023</t>
  </si>
  <si>
    <t>CABO DE COBRE FLEXÍVEL ISOLADO, 16 MM², ANTI-CHAMA 0,6/1,0 KV, PARA CIRCUITOS TERMINAIS - FORNECIMENTO E INSTALAÇÃO. AF_03/2023</t>
  </si>
  <si>
    <t>CAIXA OCTOGONAL 4" X 4", PVC, INSTALADA EM LAJE - FORNECIMENTO E INSTALAÇÃO. AF_03/2023</t>
  </si>
  <si>
    <t>CAIXA OCTOGONAL 3" X 3", PVC, INSTALADA EM LAJE - FORNECIMENTO E INSTALAÇÃO. AF_03/2023</t>
  </si>
  <si>
    <t>CAIXA RETANGULAR 4" X 2" ALTA (2,00 M DO PISO), PVC, INSTALADA EM PAREDE - FORNECIMENTO E INSTALAÇÃO. AF_03/2023</t>
  </si>
  <si>
    <t>CAIXA RETANGULAR 4" X 2" MÉDIA (1,30 M DO PISO), PVC, INSTALADA EM PAREDE - FORNECIMENTO E INSTALAÇÃO. AF_03/2023</t>
  </si>
  <si>
    <t>CAIXA RETANGULAR 4" X 2" BAIXA (0,30 M DO PISO), PVC, INSTALADA EM PAREDE - FORNECIMENTO E INSTALAÇÃO. AF_03/2023</t>
  </si>
  <si>
    <t>CAIXA RETANGULAR 4" X 4" ALTA (2,00 M DO PISO), PVC, INSTALADA EM PAREDE - FORNECIMENTO E INSTALAÇÃO. AF_03/2023</t>
  </si>
  <si>
    <t>CAIXA RETANGULAR 4" X 4" MÉDIA (1,30 M DO PISO), PVC, INSTALADA EM PAREDE - FORNECIMENTO E INSTALAÇÃO. AF_03/2023</t>
  </si>
  <si>
    <t>CAIXA RETANGULAR 4" X 4" BAIXA (0,30 M DO PISO), PVC, INSTALADA EM PAREDE - FORNECIMENTO E INSTALAÇÃO. AF_03/2023</t>
  </si>
  <si>
    <t>CAIXA OCTOGONAL 4" X 4", METÁLICA, INSTALADA EM LAJE - FORNECIMENTO E INSTALAÇÃO. AF_03/2023</t>
  </si>
  <si>
    <t>CAIXA SEXTAVADA 3" X 3", METÁLICA, INSTALADA EM LAJE - FORNECIMENTO E INSTALAÇÃO. AF_03/2023</t>
  </si>
  <si>
    <t>CAIXA RETANGULAR 4" X 2" ALTA (2,00 M DO PISO), METÁLICA, INSTALADA EM PAREDE - FORNECIMENTO E INSTALAÇÃO. AF_03/2023</t>
  </si>
  <si>
    <t>CAIXA RETANGULAR 4" X 2" MÉDIA (1,30 M DO PISO), METÁLICA, INSTALADA EM PAREDE - FORNECIMENTO E INSTALAÇÃO. AF_03/2023</t>
  </si>
  <si>
    <t>CAIXA RETANGULAR 4" X 2" BAIXA (0,30 M DO PISO), METÁLICA, INSTALADA EM PAREDE - FORNECIMENTO E INSTALAÇÃO. AF_03/2023</t>
  </si>
  <si>
    <t>CAIXA RETANGULAR 4" X 4" ALTA (2,00 M DO PISO), METÁLICA, INSTALADA EM PAREDE - FORNECIMENTO E INSTALAÇÃO. AF_03/2023</t>
  </si>
  <si>
    <t>CAIXA RETANGULAR 4" X 4" MÉDIA (1,30 M DO PISO), METÁLICA, INSTALADA EM PAREDE - FORNECIMENTO E INSTALAÇÃO. AF_03/2023</t>
  </si>
  <si>
    <t>CAIXA RETANGULAR 4" X 4" BAIXA (0,30 M DO PISO), METÁLICA, INSTALADA EM PAREDE - FORNECIMENTO E INSTALAÇÃO. AF_03/2023</t>
  </si>
  <si>
    <t>27,27</t>
  </si>
  <si>
    <t>SUPORTE PARAFUSADO COM PLACA DE ENCAIXE 4" X 2" ALTO (2,00 M DO PISO) PARA PONTO ELÉTRICO - FORNECIMENTO E INSTALAÇÃO. AF_03/2023</t>
  </si>
  <si>
    <t>SUPORTE PARAFUSADO COM PLACA DE ENCAIXE 4" X 2" MÉDIO (1,30 M DO PISO) PARA PONTO ELÉTRICO - FORNECIMENTO E INSTALAÇÃO. AF_03/2023</t>
  </si>
  <si>
    <t>SUPORTE PARAFUSADO COM PLACA DE ENCAIXE 4" X 2" BAIXO (0,30 M DO PISO) PARA PONTO ELÉTRICO - FORNECIMENTO E INSTALAÇÃO. AF_03/2023</t>
  </si>
  <si>
    <t>SUPORTE PARAFUSADO COM PLACA DE ENCAIXE 4" X 4" ALTO (2,00 M DO PISO) PARA PONTO ELÉTRICO - FORNECIMENTO E INSTALAÇÃO. AF_03/2023</t>
  </si>
  <si>
    <t>SUPORTE PARAFUSADO COM PLACA DE ENCAIXE 4" X 4" MÉDIO (1,30 M DO PISO) PARA PONTO ELÉTRICO - FORNECIMENTO E INSTALAÇÃO. AF_03/2023</t>
  </si>
  <si>
    <t>SUPORTE PARAFUSADO COM PLACA DE ENCAIXE 4" X 4" BAIXO (0,30 M DO PISO) PARA PONTO ELÉTRICO - FORNECIMENTO E INSTALAÇÃO. AF_03/2023</t>
  </si>
  <si>
    <t>INTERRUPTOR SIMPLES (1 MÓDULO), 10A/250V, SEM SUPORTE E SEM PLACA - FORNECIMENTO E INSTALAÇÃO. AF_03/2023</t>
  </si>
  <si>
    <t>INTERRUPTOR SIMPLES (1 MÓDULO), 10A/250V, INCLUINDO SUPORTE E PLACA - FORNECIMENTO E INSTALAÇÃO. AF_03/2023</t>
  </si>
  <si>
    <t>INTERRUPTOR PARALELO (1 MÓDULO), 10A/250V, SEM SUPORTE E SEM PLACA - FORNECIMENTO E INSTALAÇÃO. AF_03/2023</t>
  </si>
  <si>
    <t>INTERRUPTOR PARALELO (1 MÓDULO), 10A/250V, INCLUINDO SUPORTE E PLACA - FORNECIMENTO E INSTALAÇÃO. AF_03/2023</t>
  </si>
  <si>
    <t>INTERRUPTOR SIMPLES (1 MÓDULO) COM INTERRUPTOR PARALELO (1 MÓDULO), 10A/250V, SEM SUPORTE E SEM PLACA - FORNECIMENTO E INSTALAÇÃO. AF_03/2023</t>
  </si>
  <si>
    <t>INTERRUPTOR SIMPLES (1 MÓDULO) COM INTERRUPTOR PARALELO (1 MÓDULO), 10A/250V, INCLUINDO SUPORTE E PLACA - FORNECIMENTO E INSTALAÇÃO. AF_03/2023</t>
  </si>
  <si>
    <t>INTERRUPTOR SIMPLES (2 MÓDULOS), 10A/250V, SEM SUPORTE E SEM PLACA - FORNECIMENTO E INSTALAÇÃO. AF_03/2023</t>
  </si>
  <si>
    <t>INTERRUPTOR SIMPLES (2 MÓDULOS), 10A/250V, INCLUINDO SUPORTE E PLACA - FORNECIMENTO E INSTALAÇÃO. AF_03/2023</t>
  </si>
  <si>
    <t>INTERRUPTOR PARALELO (2 MÓDULOS), 10A/250V, SEM SUPORTE E SEM PLACA - FORNECIMENTO E INSTALAÇÃO. AF_03/2023</t>
  </si>
  <si>
    <t>INTERRUPTOR PARALELO (2 MÓDULOS), 10A/250V, INCLUINDO SUPORTE E PLACA - FORNECIMENTO E INSTALAÇÃO. AF_03/2023</t>
  </si>
  <si>
    <t>INTERRUPTOR SIMPLES (1 MÓDULO) COM INTERRUPTOR PARALELO (2 MÓDULOS), 10A/250V, SEM SUPORTE E SEM PLACA - FORNECIMENTO E INSTALAÇÃO. AF_03/2023</t>
  </si>
  <si>
    <t>INTERRUPTOR SIMPLES (1 MÓDULO) COM INTERRUPTOR PARALELO (2 MÓDULOS), 10A/250V, INCLUINDO SUPORTE E PLACA - FORNECIMENTO E INSTALAÇÃO. AF_03/2023</t>
  </si>
  <si>
    <t>INTERRUPTOR SIMPLES (2 MÓDULOS) COM INTERRUPTOR PARALELO (1 MÓDULO), 10A/250V, SEM SUPORTE E SEM PLACA - FORNECIMENTO E INSTALAÇÃO. AF_03/2023</t>
  </si>
  <si>
    <t>INTERRUPTOR SIMPLES (2 MÓDULOS) COM INTERRUPTOR PARALELO (1 MÓDULO), 10A/250V, INCLUINDO SUPORTE E PLACA - FORNECIMENTO E INSTALAÇÃO. AF_03/2023</t>
  </si>
  <si>
    <t>INTERRUPTOR SIMPLES (3 MÓDULOS), 10A/250V, SEM SUPORTE E SEM PLACA - FORNECIMENTO E INSTALAÇÃO. AF_03/2023</t>
  </si>
  <si>
    <t>INTERRUPTOR SIMPLES (3 MÓDULOS), 10A/250V, INCLUINDO SUPORTE E PLACA - FORNECIMENTO E INSTALAÇÃO. AF_03/2023</t>
  </si>
  <si>
    <t>INTERRUPTOR PARALELO (3 MÓDULOS), 10A/250V, SEM SUPORTE E SEM PLACA - FORNECIMENTO E INSTALAÇÃO. AF_03/2023</t>
  </si>
  <si>
    <t>INTERRUPTOR PARALELO (3 MÓDULOS), 10A/250V, INCLUINDO SUPORTE E PLACA - FORNECIMENTO E INSTALAÇÃO. AF_03/2023</t>
  </si>
  <si>
    <t>INTERRUPTOR SIMPLES (3 MÓDULOS) COM INTERRUPTOR PARALELO (1 MÓDULO), 10A/250V, SEM SUPORTE E SEM PLACA - FORNECIMENTO E INSTALAÇÃO. AF_03/2023</t>
  </si>
  <si>
    <t>INTERRUPTOR SIMPLES (3 MÓDULOS) COM INTERRUPTOR PARALELO (1 MÓDULO), 10A/250V, INCLUINDO SUPORTE E PLACA - FORNECIMENTO E INSTALAÇÃO. AF_03/2023</t>
  </si>
  <si>
    <t>INTERRUPTOR SIMPLES (2 MÓDULOS) COM INTERRUPTOR PARALELO (2 MÓDULOS), 10A/250V, SEM SUPORTE E SEM PLACA - FORNECIMENTO E INSTALAÇÃO. AF_03/2023</t>
  </si>
  <si>
    <t>INTERRUPTOR SIMPLES (2 MÓDULOS) COM INTERRUPTOR PARALELO (2 MÓDULOS), 10A/250V, INCLUINDO SUPORTE E PLACA - FORNECIMENTO E INSTALAÇÃO. AF_03/2023</t>
  </si>
  <si>
    <t>INTERRUPTOR SIMPLES (4 MÓDULOS), 10A/250V, SEM SUPORTE E SEM PLACA - FORNECIMENTO E INSTALAÇÃO. AF_03/2023</t>
  </si>
  <si>
    <t>INTERRUPTOR SIMPLES (4 MÓDULOS), 10A/250V, INCLUINDO SUPORTE E PLACA - FORNECIMENTO E INSTALAÇÃO. AF_03/2023</t>
  </si>
  <si>
    <t>INTERRUPTOR SIMPLES (6 MÓDULOS), 10A/250V, SEM SUPORTE E SEM PLACA - FORNECIMENTO E INSTALAÇÃO. AF_03/2023</t>
  </si>
  <si>
    <t>INTERRUPTOR SIMPLES (6 MÓDULOS), 10A/250V, INCLUINDO SUPORTE E PLACA - FORNECIMENTO E INSTALAÇÃO. AF_03/2023</t>
  </si>
  <si>
    <t>INTERRUPTOR INTERMEDIÁRIO (1 MÓDULO), 10A/250V, SEM SUPORTE E SEM PLACA - FORNECIMENTO E INSTALAÇÃO. AF_03/2023</t>
  </si>
  <si>
    <t>INTERRUPTOR INTERMEDIÁRIO (1 MÓDULO), 10A/250V, INCLUINDO SUPORTE E PLACA - FORNECIMENTO E INSTALAÇÃO. AF_03/2023</t>
  </si>
  <si>
    <t>INTERRUPTOR BIPOLAR (1 MÓDULO), 10A/250V, SEM SUPORTE E SEM PLACA - FORNECIMENTO E INSTALAÇÃO. AF_03/2023</t>
  </si>
  <si>
    <t>INTERRUPTOR BIPOLAR (1 MÓDULO), 10A/250V, INCLUINDO SUPORTE E PLACA - FORNECIMENTO E INSTALAÇÃO. AF_03/2023</t>
  </si>
  <si>
    <t>DIMMER ROTATIVO (1 MÓDULO), 220V/600W, SEM SUPORTE E SEM PLACA - FORNECIMENTO E INSTALAÇÃO. AF_03/2023</t>
  </si>
  <si>
    <t>DIMMER ROTATIVO (1 MÓDULO), 220V/600W, INCLUINDO SUPORTE E PLACA - FORNECIMENTO E INSTALAÇÃO. AF_03/2023</t>
  </si>
  <si>
    <t>INTERRUPTOR PULSADOR CAMPAINHA (1 MÓDULO), 10A/250V, SEM SUPORTE E SEM PLACA - FORNECIMENTO E INSTALAÇÃO. AF_03/2023</t>
  </si>
  <si>
    <t>INTERRUPTOR PULSADOR CAMPAINHA (1 MÓDULO), 10A/250V, INCLUINDO SUPORTE E PLACA - FORNECIMENTO E INSTALAÇÃO. AF_03/2023</t>
  </si>
  <si>
    <t>CAMPAINHA CIGARRA (1 MÓDULO), 10A/250V, SEM SUPORTE E SEM PLACA - FORNECIMENTO E INSTALAÇÃO. AF_03/2023</t>
  </si>
  <si>
    <t>CAMPAINHA CIGARRA (1 MÓDULO), 10A/250V, INCLUINDO SUPORTE E PLACA - FORNECIMENTO E INSTALAÇÃO. AF_03/2023</t>
  </si>
  <si>
    <t>INTERRUPTOR PULSADOR MINUTERIA (1 MÓDULO), 10A/250V, SEM SUPORTE E SEM PLACA - FORNECIMENTO E INSTALAÇÃO. AF_03/2023</t>
  </si>
  <si>
    <t>INTERRUPTOR PULSADOR MINUTERIA (1 MÓDULO), 10A/250V, INCLUINDO SUPORTE E PLACA - FORNECIMENTO E INSTALAÇÃO. AF_03/2023</t>
  </si>
  <si>
    <t>TOMADA ALTA DE EMBUTIR (1 MÓDULO), 2P+T 10 A, SEM SUPORTE E SEM PLACA - FORNECIMENTO E INSTALAÇÃO. AF_03/2023</t>
  </si>
  <si>
    <t>TOMADA ALTA DE EMBUTIR (1 MÓDULO), 2P+T 20 A, SEM SUPORTE E SEM PLACA - FORNECIMENTO E INSTALAÇÃO. AF_03/2023</t>
  </si>
  <si>
    <t>TOMADA ALTA DE EMBUTIR (1 MÓDULO), 2P+T 10 A, INCLUINDO SUPORTE E PLACA - FORNECIMENTO E INSTALAÇÃO. AF_03/2023</t>
  </si>
  <si>
    <t>TOMADA ALTA DE EMBUTIR (1 MÓDULO), 2P+T 20 A, INCLUINDO SUPORTE E PLACA - FORNECIMENTO E INSTALAÇÃO. AF_03/2023</t>
  </si>
  <si>
    <t>TOMADA MÉDIA DE EMBUTIR (1 MÓDULO), 2P+T 10 A, SEM SUPORTE E SEM PLACA - FORNECIMENTO E INSTALAÇÃO. AF_03/2023</t>
  </si>
  <si>
    <t>TOMADA MÉDIA DE EMBUTIR (1 MÓDULO), 2P+T 20 A, SEM SUPORTE E SEM PLACA - FORNECIMENTO E INSTALAÇÃO. AF_03/2023</t>
  </si>
  <si>
    <t>TOMADA MÉDIA DE EMBUTIR (1 MÓDULO), 2P+T 10 A, INCLUINDO SUPORTE E PLACA - FORNECIMENTO E INSTALAÇÃO. AF_03/2023</t>
  </si>
  <si>
    <t>TOMADA MÉDIA DE EMBUTIR (1 MÓDULO), 2P+T 20 A, INCLUINDO SUPORTE E PLACA - FORNECIMENTO E INSTALAÇÃO. AF_03/2023</t>
  </si>
  <si>
    <t>37,67</t>
  </si>
  <si>
    <t>TOMADA BAIXA DE EMBUTIR (1 MÓDULO), 2P+T 10 A, SEM SUPORTE E SEM PLACA - FORNECIMENTO E INSTALAÇÃO. AF_03/2023</t>
  </si>
  <si>
    <t>TOMADA BAIXA DE EMBUTIR (1 MÓDULO), 2P+T 20 A, SEM SUPORTE E SEM PLACA - FORNECIMENTO E INSTALAÇÃO. AF_03/2023</t>
  </si>
  <si>
    <t>TOMADA BAIXA DE EMBUTIR (1 MÓDULO), 2P+T 10 A, INCLUINDO SUPORTE E PLACA - FORNECIMENTO E INSTALAÇÃO. AF_03/2023</t>
  </si>
  <si>
    <t>TOMADA BAIXA DE EMBUTIR (1 MÓDULO), 2P+T 20 A, INCLUINDO SUPORTE E PLACA - FORNECIMENTO E INSTALAÇÃO. AF_03/2023</t>
  </si>
  <si>
    <t>TOMADA MÉDIA DE EMBUTIR (2 MÓDULOS), 2P+T 10 A, SEM SUPORTE E SEM PLACA - FORNECIMENTO E INSTALAÇÃO. AF_03/2023</t>
  </si>
  <si>
    <t>TOMADA MÉDIA DE EMBUTIR (2 MÓDULOS), 2P+T 20 A, SEM SUPORTE E SEM PLACA - FORNECIMENTO E INSTALAÇÃO. AF_03/2023</t>
  </si>
  <si>
    <t>TOMADA MÉDIA DE EMBUTIR (2 MÓDULOS), 2P+T 10 A, INCLUINDO SUPORTE E PLACA - FORNECIMENTO E INSTALAÇÃO. AF_03/2023</t>
  </si>
  <si>
    <t>TOMADA MÉDIA DE EMBUTIR (2 MÓDULOS), 2P+T 20 A, INCLUINDO SUPORTE E PLACA - FORNECIMENTO E INSTALAÇÃO. AF_03/2023</t>
  </si>
  <si>
    <t>TOMADA BAIXA DE EMBUTIR (2 MÓDULOS), 2P+T 10 A, SEM SUPORTE E SEM PLACA - FORNECIMENTO E INSTALAÇÃO. AF_03/2023</t>
  </si>
  <si>
    <t>TOMADA BAIXA DE EMBUTIR (2 MÓDULOS), 2P+T 20 A, SEM SUPORTE E SEM PLACA - FORNECIMENTO E INSTALAÇÃO. AF_03/2023</t>
  </si>
  <si>
    <t>TOMADA BAIXA DE EMBUTIR (2 MÓDULOS), 2P+T 10 A, INCLUINDO SUPORTE E PLACA - FORNECIMENTO E INSTALAÇÃO. AF_03/2023</t>
  </si>
  <si>
    <t>TOMADA BAIXA DE EMBUTIR (2 MÓDULOS), 2P+T 20 A, INCLUINDO SUPORTE E PLACA - FORNECIMENTO E INSTALAÇÃO. AF_03/2023</t>
  </si>
  <si>
    <t>TOMADA MÉDIA DE EMBUTIR (3 MÓDULOS), 2P+T 10 A, SEM SUPORTE E SEM PLACA - FORNECIMENTO E INSTALAÇÃO. AF_03/2023</t>
  </si>
  <si>
    <t>TOMADA MÉDIA DE EMBUTIR (3 MÓDULOS), 2P+T 20 A, SEM SUPORTE E SEM PLACA - FORNECIMENTO E INSTALAÇÃO. AF_03/2023</t>
  </si>
  <si>
    <t>TOMADA MÉDIA DE EMBUTIR (3 MÓDULOS), 2P+T 10 A, INCLUINDO SUPORTE E PLACA - FORNECIMENTO E INSTALAÇÃO. AF_03/2023</t>
  </si>
  <si>
    <t>TOMADA MÉDIA DE EMBUTIR (3 MÓDULOS), 2P+T 20 A, INCLUINDO SUPORTE E PLACA - FORNECIMENTO E INSTALAÇÃO. AF_03/2023</t>
  </si>
  <si>
    <t>TOMADA BAIXA DE EMBUTIR (3 MÓDULOS), 2P+T 10 A, SEM SUPORTE E SEM PLACA - FORNECIMENTO E INSTALAÇÃO. AF_03/2023</t>
  </si>
  <si>
    <t>TOMADA BAIXA DE EMBUTIR (3 MÓDULOS), 2P+T 20 A, SEM SUPORTE E SEM PLACA - FORNECIMENTO E INSTALAÇÃO. AF_03/2023</t>
  </si>
  <si>
    <t>TOMADA BAIXA DE EMBUTIR (3 MÓDULOS), 2P+T 10 A, INCLUINDO SUPORTE E PLACA - FORNECIMENTO E INSTALAÇÃO. AF_03/2023</t>
  </si>
  <si>
    <t>TOMADA BAIXA DE EMBUTIR (3 MÓDULOS), 2P+T 20 A, INCLUINDO SUPORTE E PLACA - FORNECIMENTO E INSTALAÇÃO. AF_03/2023</t>
  </si>
  <si>
    <t>TOMADA BAIXA DE EMBUTIR (4 MÓDULOS), 2P+T 10 A, SEM SUPORTE E SEM PLACA - FORNECIMENTO E INSTALAÇÃO. AF_03/2023</t>
  </si>
  <si>
    <t>TOMADA BAIXA DE EMBUTIR (4 MÓDULOS), 2P+T 10 A, INCLUINDO SUPORTE E PLACA - FORNECIMENTO E INSTALAÇÃO. AF_03/2023</t>
  </si>
  <si>
    <t>TOMADA BAIXA DE EMBUTIR (6 MÓDULOS), 2P+T 10 A, SEM SUPORTE E SEM PLACA - FORNECIMENTO E INSTALAÇÃO. AF_03/2023</t>
  </si>
  <si>
    <t>TOMADA BAIXA DE EMBUTIR (6 MÓDULOS), 2P+T 10 A, INCLUINDO SUPORTE E PLACA - FORNECIMENTO E INSTALAÇÃO. AF_03/2023</t>
  </si>
  <si>
    <t>INTERRUPTOR SIMPLES (1 MÓDULO) COM 1 TOMADA DE EMBUTIR 2P+T 10 A, SEM SUPORTE E SEM PLACA - FORNECIMENTO E INSTALAÇÃO. AF_03/2023</t>
  </si>
  <si>
    <t>INTERRUPTOR SIMPLES (1 MÓDULO) COM 1 TOMADA DE EMBUTIR 2P+T 10 A, INCLUINDO SUPORTE E PLACA - FORNECIMENTO E INSTALAÇÃO. AF_03/2023</t>
  </si>
  <si>
    <t>INTERRUPTOR SIMPLES (1 MÓDULO) COM 2 TOMADAS DE EMBUTIR 2P+T 10 A, SEM SUPORTE E SEM PLACA - FORNECIMENTO E INSTALAÇÃO. AF_03/2023</t>
  </si>
  <si>
    <t>INTERRUPTOR SIMPLES (1 MÓDULO) COM 2 TOMADAS DE EMBUTIR 2P+T 10 A, INCLUINDO SUPORTE E PLACA - FORNECIMENTO E INSTALAÇÃO. AF_03/2023</t>
  </si>
  <si>
    <t>INTERRUPTOR SIMPLES (2 MÓDULOS) COM 1 TOMADA DE EMBUTIR 2P+T 10 A, SEM SUPORTE E SEM PLACA - FORNECIMENTO E INSTALAÇÃO. AF_03/2023</t>
  </si>
  <si>
    <t>INTERRUPTOR SIMPLES (2 MÓDULOS) COM 1 TOMADA DE EMBUTIR 2P+T 10 A, INCLUINDO SUPORTE E PLACA - FORNECIMENTO E INSTALAÇÃO. AF_03/2023</t>
  </si>
  <si>
    <t>INTERRUPTOR PARALELO (1 MÓDULO) COM 1 TOMADA DE EMBUTIR 2P+T 10 A, SEM SUPORTE E SEM PLACA - FORNECIMENTO E INSTALAÇÃO. AF_03/2023</t>
  </si>
  <si>
    <t>INTERRUPTOR PARALELO (1 MÓDULO) COM 1 TOMADA DE EMBUTIR 2P+T 10 A, INCLUINDO SUPORTE E PLACA - FORNECIMENTO E INSTALAÇÃO. AF_03/2023</t>
  </si>
  <si>
    <t>INTERRUPTOR PARALELO (1 MÓDULO) COM 2 TOMADAS DE EMBUTIR 2P+T 10 A, SEM SUPORTE E SEM PLACA - FORNECIMENTO E INSTALAÇÃO. AF_03/2023</t>
  </si>
  <si>
    <t>INTERRUPTOR PARALELO (1 MÓDULO) COM 2 TOMADAS DE EMBUTIR 2P+T 10 A, INCLUINDO SUPORTE E PLACA - FORNECIMENTO E INSTALAÇÃO. AF_03/2023</t>
  </si>
  <si>
    <t>INTERRUPTOR PARALELO (2 MÓDULOS) COM 1 TOMADA DE EMBUTIR 2P+T 10 A, SEM SUPORTE E SEM PLACA - FORNECIMENTO E INSTALAÇÃO. AF_03/2023</t>
  </si>
  <si>
    <t>INTERRUPTOR PARALELO (2 MÓDULOS) COM 1 TOMADA DE EMBUTIR 2P+T 10 A, INCLUINDO SUPORTE E PLACA - FORNECIMENTO E INSTALAÇÃO. AF_03/2023</t>
  </si>
  <si>
    <t>INTERRUPTOR SIMPLES (1 MÓDULO), INTERRUPTOR PARALELO (1 MÓDULO) E 1 TOMADA DE EMBUTIR 2P+T 10 A, SEM SUPORTE E SEM PLACA - FORNECIMENTO E INSTALAÇÃO. AF_03/2023</t>
  </si>
  <si>
    <t>INTERRUPTOR SIMPLES (1 MÓDULO), INTERRUPTOR PARALELO (1 MÓDULO) E 1 TOMADA DE EMBUTIR 2P+T 10 A, INCLUINDO SUPORTE E PLACA - FORNECIMENTO E INSTALAÇÃO. AF_03/2023</t>
  </si>
  <si>
    <t>64,00</t>
  </si>
  <si>
    <t>63,17</t>
  </si>
  <si>
    <t>45,37</t>
  </si>
  <si>
    <t>52,54</t>
  </si>
  <si>
    <t>37,57</t>
  </si>
  <si>
    <t>33,21</t>
  </si>
  <si>
    <t>37,33</t>
  </si>
  <si>
    <t>40,40</t>
  </si>
  <si>
    <t>29,65</t>
  </si>
  <si>
    <t>39,52</t>
  </si>
  <si>
    <t>TUBO, PEX, MONOCAMADA, DN 16, INSTALADO EM RAMAL/SUB-RAMAL OU DISTRIBUIÇÃO DE ÁGUA - FORNECIMENTO E INSTALAÇÃO. AF_02/2023</t>
  </si>
  <si>
    <t>TUBO, PEX, MONOCAMADA, DN 20, INSTALADO EM RAMAL/SUB-RAMAL OU DISTRIBUIÇÃO DE ÁGUA - FORNECIMENTO E INSTALAÇÃO. AF_02/2023</t>
  </si>
  <si>
    <t>TUBO, PEX, MONOCAMADA, DN 25, INSTALADO EM RAMAL/SUB-RAMAL OU DISTRIBUIÇÃO DE ÁGUA - FORNECIMENTO E INSTALAÇÃO. AF_02/2023</t>
  </si>
  <si>
    <t>TUBO, PEX, MONOCAMADA, DN 32, INSTALADO EM RAMAL/SUB-RAMAL OU DISTRIBUIÇÃO DE ÁGUA - FORNECIMENTO E INSTALAÇÃO. AF_02/2023</t>
  </si>
  <si>
    <t>5,20</t>
  </si>
  <si>
    <t>8,36</t>
  </si>
  <si>
    <t>28,23</t>
  </si>
  <si>
    <t>16,01</t>
  </si>
  <si>
    <t>14,67</t>
  </si>
  <si>
    <t>35,16</t>
  </si>
  <si>
    <t>29,91</t>
  </si>
  <si>
    <t>17,41</t>
  </si>
  <si>
    <t>14,90</t>
  </si>
  <si>
    <t>15,43</t>
  </si>
  <si>
    <t>81,81</t>
  </si>
  <si>
    <t>8,78</t>
  </si>
  <si>
    <t>15,33</t>
  </si>
  <si>
    <t>21,09</t>
  </si>
  <si>
    <t>18,40</t>
  </si>
  <si>
    <t>28,04</t>
  </si>
  <si>
    <t>24,83</t>
  </si>
  <si>
    <t>27,15</t>
  </si>
  <si>
    <t>10,91</t>
  </si>
  <si>
    <t>KIT CHASSI PEX, PRÉ-FABRICADO, PARA CHUVEIRO, INCLUSO QUADRO METÁLICO, TUBOS, REGISTROS DE PRESSÃO E CONEXÕES POR CRIMPAGEM - FORNECIMENTO E INSTALAÇÃO. AF_02/2023</t>
  </si>
  <si>
    <t>KIT CHASSI PEX, PRÉ-FABRICADO, PARA COZINHA COM CUBA SIMPLES, INCLUSO QUADRO METÁLICO, TUBOS E CONEXÕES POR CRIMPAGEM - FORNECIMENTO E INSTALAÇÃO. AF_02/2023</t>
  </si>
  <si>
    <t>KIT CHASSI PEX, PRÉ-FABRICADO, PARA ÁREA DE SERVIÇO COM TANQUE E MÁQUINA DE LAVAR ROUPA, INCLUSO QUADRO METÁLICO, TUBOS E CONEXÕES POR CRIMPAGEM - FORNECIMENTO E INSTALAÇÃO. AF_02/2023</t>
  </si>
  <si>
    <t>KIT CHASSI PEX, PRÉ-FABRICADO, PARA CHUVEIRO, INCLUSO QUADRO METÁLICO, TUBOS, REGISTROS DE PRESSÃO E CONEXÕES POR ANEL DESLIZANTE - FORNECIMENTO E INSTALAÇÃO. AF_02/2023</t>
  </si>
  <si>
    <t>KIT CHASSI PEX, PRÉ-FABRICADO, PARA COZINHA COM CUBA SIMPLES, INCLUSO QUADRO METÁLICO, TUBOS E CONEXÕES POR ANEL DESLIZANTE - FORNECIMENTO E INSTALAÇÃO. AF_02/2023</t>
  </si>
  <si>
    <t>KIT CHASSI PEX, PRÉ-FABRICADO, PARA ÁREA DE SERVIÇO COM TANQUE E MÁQUINA DE LAVAR ROUPA, INCLUSO QUADRO METÁLICO, TUBOS E CONEXÕES POR ANEL DESLIZANTE - FORNECIMENTO E INSTALAÇÃO. AF_02/2023</t>
  </si>
  <si>
    <t>UNIÃO METÁLICA PARA INSTALAÇÕES EM PEX ÁGUA, DN 16 MM, COM ANEL DESLIZANTE - FORNECIMENTO E INSTALAÇÃO. AF_02/2023</t>
  </si>
  <si>
    <t>CONEXÃO FIXA, ROSCA FÊMEA, METÁLICA, PARA INSTALAÇÕES EM PEX ÁGUA, DN 16 MM X 1/2", COM ANEL DESLIZANTE. FORNECIMENTO E INSTALAÇÃO. AF_02/2023</t>
  </si>
  <si>
    <t>CONEXÃO MÓVEL, ROSCA FÊMEA, METÁLICA, PARA INSTALAÇÕES EM PEX ÁGUA, DN 16 MM X 3/4", COM ANEL DESLIZANTE. FORNECIMENTO E INSTALAÇÃO. AF_02/2023</t>
  </si>
  <si>
    <t>UNIÃO METÁLICA PARA INSTALAÇÕES EM PEX ÁGUA, DN 20 MM, COM ANEL DESLIZANTE -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</si>
  <si>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</si>
  <si>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</si>
  <si>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UNIÃO DE REDUÇÃO, METÁLICA, PARA INSTALAÇÕES EM PEX ÁGUA, DN 20 X 16 MM, CONEXÃO POR ANEL DESLIZANTE - FORNECIMENTO E INSTALAÇÃO. AF_02/2023</t>
  </si>
  <si>
    <t>UNIÃO METÁLICA PARA INSTALAÇÕES EM PEX ÁGUA, DN 25 MM, COM ANEL DESLIZANTE - FORNECIMENTO E INSTALAÇÃO. AF_02/2023</t>
  </si>
  <si>
    <t>CONEXÃO FIXA, ROSCA FÊMEA, METÁLICA, PARA INSTALAÇÕES EM PEX ÁGUA, DN 25 MM X 3/4", COM ANEL DESLIZANTE - FORNECIMENTO E INSTALAÇÃO. AF_02/2023</t>
  </si>
  <si>
    <t>CONEXÃO FIXA, ROSCA FÊMEA, METÁLICA, PARA INSTALAÇÕES EM PEX ÁGUA, DN 25 MM X 1", COM ANEL DESLIZANTE - FORNECIMENTO E INSTALAÇÃO. AF_02/2023</t>
  </si>
  <si>
    <t>UNIÃO DE REDUÇÃO, METÁLICA, PARA INSTALAÇÕES EM PEX ÁGUA, DN 25 X 16 MM, CONEXÃO POR ANEL DESLIZANTE - FORNECIMENTO E INSTALAÇÃO. AF_02/2023</t>
  </si>
  <si>
    <t>UNIÃO DE REDUÇÃO, METÁLICA, PARA INSTALAÇÕES EM PEX ÁGUA, DN 25 X 20 MM, CONEXÃO POR ANEL DESLIZANTE - FORNECIMENTO E INSTALAÇÃO. AF_02/2023</t>
  </si>
  <si>
    <t>UNIÃO METÁLICA PARA INSTALAÇÕES EM PEX ÁGUA, DN 32 MM, COM ANEL DESLIZANTE - FORNECIMENTO E INSTALAÇÃO. AF_02/2023</t>
  </si>
  <si>
    <t>CONEXÃO FIXA, ROSCA FÊMEA, METÁLICA, PARA INSTALAÇÕES EM PEX ÁGUA, DN 32 MM X 1", COM ANEL DESLIZANTE - FORNECIMENTO E INSTALAÇÃO. AF_02/2023</t>
  </si>
  <si>
    <t>UNIÃO DE REDUÇÃO, METÁLICA, PARA INSTALAÇÕES EM PEX ÁGUA, DN 32 X 25 MM, CONEXÃO POR ANEL DESLIZANTE - FORNECIMENTO E INSTALAÇÃO. AF_02/2023</t>
  </si>
  <si>
    <t>LUVA PARA INSTALAÇÕES EM PEX ÁGUA, DN 16 MM, CONEXÃO POR CRIMPAGEM - FORNECIMENTO E INSTALAÇÃO. AF_02/2023</t>
  </si>
  <si>
    <t>CONEXÃO FIXA, ROSCA FÊMEA, PARA INSTALAÇÕES EM PEX ÁGUA, DN 16MM X 1/2", CONEXÃO POR CRIMPAGEM - FORNECIMENTO E INSTALAÇÃO. AF_02/2023</t>
  </si>
  <si>
    <t>LUVA PARA INSTALAÇÕES EM PEX ÁGUA, DN 20 MM, CONEXÃO POR CRIMPAGEM - FORNECIMENTO E INSTALAÇÃO. AF_02/2023</t>
  </si>
  <si>
    <t>CONEXÃO FIXA, ROSCA FÊMEA, PARA INSTALAÇÕES EM PEX ÁGUA, DN 20MM X 1/2", CONEXÃO POR CRIMPAGEM - FORNECIMENTO E INSTALAÇÃO. AF_02/2023</t>
  </si>
  <si>
    <t>CONEXÃO FIXA, ROSCA FÊMEA, PARA INSTALAÇÕES EM PEX ÁGUA, DN 20MM X 3/4", CONEXÃO POR CRIMPAGEM - FORNECIMENTO E INSTALAÇÃO. AF_02/2023</t>
  </si>
  <si>
    <t>LUVA DE REDUÇÃO PARA INSTALAÇÕES EM PEX ÁGUA, DN 20 X 16 MM, CONEXÃO POR CRIMPAGEM - FORNECIMENTO E INSTALAÇÃO. AF_02/2023</t>
  </si>
  <si>
    <t>LUVA PARA INSTALAÇÕES EM PEX ÁGUA, DN 25 MM, CONEXÃO POR CRIMPAGEM - FORNECIMENTO E INSTALAÇÃO. AF_02/2023</t>
  </si>
  <si>
    <t>CONEXÃO FIXA, ROSCA FÊMEA, PARA INSTALAÇÕES EM PEX ÁGUA, DN 25MM X 3/4", CONEXÃO POR CRIMPAGEM - FORNECIMENTO E INSTALAÇÃO. AF_02/2023</t>
  </si>
  <si>
    <t>LUVA DE REDUÇÃO PARA INSTALAÇÕES EM PEX ÁGUA, DN 25 X 16 MM, CONEXÃO POR CRIMPAGEM - FORNECIMENTO E INSTALAÇÃO. AF_02/2023</t>
  </si>
  <si>
    <t>LUVA PARA INSTALAÇÕES EM PEX ÁGUA, DN 32 MM, CONEXÃO POR CRIMPAGEM - FORNECIMENTO E INSTALAÇÃO. AF_02/2023</t>
  </si>
  <si>
    <t>LUVA DE REDUÇÃO PARA INSTALAÇÕES EM PEX ÁGUA, DN 32 X 25 MM, CONEXÃO POR CRIMPAGEM - FORNECIMENTO E INSTALAÇÃO. AF_02/2023</t>
  </si>
  <si>
    <t>JOELHO 90 GRAUS, METÁLICO, PARA INSTALAÇÕES EM PEX ÁGUA, DN 16 MM, CONEXÃO POR ANEL DESLIZANTE - FORNECIMENTO E INSTALAÇÃO. AF_02/2023</t>
  </si>
  <si>
    <t>JOELHO 90 GRAUS, ROSCA FÊMEA TERMINAL, METÁLICO, PARA INSTALAÇÕES EM PEX ÁGUA, DN 16MM X 1/2", CONEXÃO POR ANEL DESLIZANTE - FORNECIMENTO E INSTALAÇÃO. AF_02/2023</t>
  </si>
  <si>
    <t>JOELHO, ROSCA FÊMEA, COM BASE FIXA, METÁLICO, PARA INSTALAÇÕES EM PEX ÁGUA, DN 16MM X 1/2", CONEXÃO POR ANEL DESLIZANTE - FORNECIMENTO E INSTALAÇÃO. AF_02/2023</t>
  </si>
  <si>
    <t>JOELHO 90 GRAUS, METÁLICO, PARA INSTALAÇÕES EM PEX ÁGUA, DN 20 MM, CONEXÃO POR ANEL DESLIZANTE - FORNECIMENTO E INSTALAÇÃO. AF_02/2023</t>
  </si>
  <si>
    <t>JOELHO 90 GRAUS, ROSCA FÊMEA TERMINAL, METÁLICO, PARA INSTALAÇÕES EM PEX ÁGUA, DN 20 MM X 1/2", CONEXÃO POR ANEL DESLIZANTE - FORNECIMENTO E INSTALAÇÃO. AF_02/2023</t>
  </si>
  <si>
    <t>JOELHO 90 GRAUS, ROSCA FÊMEA TERMINAL, METÁLICO, PARA INSTALAÇÕES EM PEX ÁGUA, DN 20 MM X 3/4", CONEXÃO POR ANEL DESLIZANTE - FORNECIMENTO E INSTALAÇÃO. AF_02/2023</t>
  </si>
  <si>
    <t>JOELHO ROSCA FÊMEA, COM BASE FIXA, METÁLICO, PARA INSTALAÇÕES EM PEX ÁGUA, DN 20MM X 1/2", CONEXÃO POR ANEL DESLIZANTE - FORNECIMENTO E INSTALAÇÃO. AF_02/2023</t>
  </si>
  <si>
    <t>JOELHO ROSCA FÊMEA, MÓVEL, METÁLICO, PARA INSTALAÇÕES EM PEX ÁGUA, DN 20MM X 3/4", CONEXÃO POR ANEL DESLIZANTE - FORNECIMENTO E INSTALAÇÃO. AF_02/2023</t>
  </si>
  <si>
    <t>JOELHO 90 GRAUS, METÁLICO, PARA INSTALAÇÕES EM PEX ÁGUA, DN 25 MM, CONEXÃO POR ANEL DESLIZANTE - FORNECIMENTO E INSTALAÇÃO. AF_02/2023</t>
  </si>
  <si>
    <t>33,69</t>
  </si>
  <si>
    <t>JOELHO 90 GRAUS, ROSCA FÊMEA TERMINAL, METÁLICO, PARA INSTALAÇÕES EM PEX ÁGUA, DN 25 MM X 3/4", CONEXÃO POR ANEL DESLIZANTE - FORNECIMENTO E INSTALAÇÃO. AF_02/2023</t>
  </si>
  <si>
    <t>JOELHO ROSCA FÊMEA, COM BASE FIXA, METÁLICO, PARA INSTALAÇÕES EM PEX ÁGUA, DN 25MM X 3/4", CONEXÃO POR ANEL DESLIZANTE - FORNECIMENTO E INSTALAÇÃO. AF_02/2023</t>
  </si>
  <si>
    <t>JOELHO 90 GRAUS, METÁLICO, PARA INSTALAÇÕES EM PEX ÁGUA, DN 32 MM, CONEXÃO POR ANEL DESLIZANTE - FORNECIMENTO E INSTALAÇÃO. AF_02/2023</t>
  </si>
  <si>
    <t>JOELHO 90 GRAUS, PARA INSTALAÇÕES EM PEX ÁGUA, DN 16 MM, CONEXÃO POR CRIMPAGEM - FORNECIMENTO E INSTALAÇÃO. AF_02/2023</t>
  </si>
  <si>
    <t>JOELHO 90 GRAUS, ROSCA FÊMEA TERMINAL, PARA INSTALAÇÕES EM PEX ÁGUA, DN 16MM X 1/2", CONEXÃO POR CRIMPAGEM - FORNECIMENTO E INSTALAÇÃO. AF_02/2023</t>
  </si>
  <si>
    <t>JOELHO 90 GRAUS, PARA INSTALAÇÕES EM PEX ÁGUA, DN 20 MM,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</si>
  <si>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</si>
  <si>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</si>
  <si>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PARA INSTALAÇÕES EM PEX ÁGUA, DN 25 MM, CONEXÃO POR CRIMPAGEM - FORNECIMENTO E INSTALAÇÃO. AF_02/2023</t>
  </si>
  <si>
    <t>JOELHO 90 GRAUS, ROSCA FÊMEA TERMINAL, PARA INSTALAÇÕES EM PEX ÁGUA, DN 25MM X 1/2", CONEXÃO POR CRIMPAGEM - FORNECIMENTO E INSTALAÇÃO. AF_02/2023</t>
  </si>
  <si>
    <t>TÊ, METÁLICO, PARA INSTALAÇÕES EM PEX ÁGUA, DN 16 MM, CONEXÃO POR ANEL DESLIZANTE - FORNECIMENTO E INSTALAÇÃO. AF_02/2023</t>
  </si>
  <si>
    <t>TÊ, ROSCA FÊMEA, METÁLICO, PARA INSTALAÇÕES EM PEX ÁGUA, DN 16 MM X ½, CONEXÃO POR ANEL DESLIZANTE - FORNECIMENTO E INSTALAÇÃO. AF_02/2023</t>
  </si>
  <si>
    <t>TÊ, METÁLICO, PARA INSTALAÇÕES EM PEX ÁGUA, DN 20 MM, CONEXÃO POR ANEL DESLIZANTE - FORNECIMENTO E INSTALAÇÃO. AF_02/2023</t>
  </si>
  <si>
    <t>TÊ, ROSCA FÊMEA, METÁLICO, PARA INSTALAÇÕES EM PEX ÁGUA, DN 20 MM X 1/2", CONEXÃO POR ANEL DESLIZANTE - FORNECIMENTO E INSTALAÇÃO. AF_02/2023</t>
  </si>
  <si>
    <t>TÊ, METÁLICO, PARA INSTALAÇÕES EM PEX ÁGUA, DN 25 MM, CONEXÃO POR ANEL DESLIZANTE - FORNECIMENTO E INSTALAÇÃO. AF_02/2023</t>
  </si>
  <si>
    <t>TÊ, ROSCA FÊMEA, METÁLICO, PARA INSTALAÇÕES EM PEX ÁGUA, DN 25 MM X 3/4", CONEXÃO POR ANEL DESLIZANTE - FORNECIMENTO E INSTALAÇÃO. AF_02/2023</t>
  </si>
  <si>
    <t>TÊ, METÁLICO, PARA INSTALAÇÕES EM PEX ÁGUA, DN 32 MM, CONEXÃO POR ANEL DESLIZANTE - FORNECIMENTO E INSTALAÇÃO. AF_02/2023</t>
  </si>
  <si>
    <t>TÊ, PARA INSTALAÇÕES EM PEX ÁGUA, DN 16 MM, CONEXÃO POR CRIMPAGEM - FORNECIMENTO E INSTALAÇÃO. AF_02/2023</t>
  </si>
  <si>
    <t>TÊ, PARA INSTALAÇÕES EM PEX ÁGUA, DN 20 MM, CONEXÃO POR CRIMPAGEM - FORNECIMENTO E INSTALAÇÃO. AF_02/2023</t>
  </si>
  <si>
    <t>TÊ, PARA INSTALAÇÕES EM PEX ÁGUA, DN 25 MM, CONEXÃO POR CRIMPAGEM - FORNECIMENTO E INSTALAÇÃO. AF_02/2023</t>
  </si>
  <si>
    <t>TÊ, PARA INSTALAÇÕES EM PEX ÁGUA, DN 32 MM, CONEXÃO POR CRIMPAGEM - FORNECIMENTO E INSTALAÇÃO. AF_02/2023</t>
  </si>
  <si>
    <t>DISTRIBUIDOR 2 SAÍDAS, METÁLICO, PARA INSTALAÇÕES EM PEX ÁGUA, ENTRADA DE 3/4" X 2 SAÍDAS DE 1/2", CONEXÃO POR ANEL DESLIZANTE - FORNECIMENTO E INSTALAÇÃO. AF_02/2023</t>
  </si>
  <si>
    <t>DISTRIBUIDOR 2 SAÍDAS, METÁLICO, PARA INSTALAÇÕES EM PEX ÁGUA, ENTRADA DE 1" X 2 SAÍDAS DE 1/2", CONEXÃO POR ANEL DESLIZANTE - FORNECIMENTO E INSTALAÇÃO. AF_02/2023</t>
  </si>
  <si>
    <t>DISTRIBUIDOR 3 SAÍDAS, METÁLICO, PARA INSTALAÇÕES EM PEX ÁGUA, ENTRADA DE 3/4" X 3 SAÍDAS DE 1/2", CONEXÃO POR ANEL DESLIZANTE - FORNECIMENTO E INSTALAÇÃO. AF_02/2023</t>
  </si>
  <si>
    <t>DISTRIBUIDOR 3 SAÍDAS, METÁLICO, PARA INSTALAÇÕES EM PEX ÁGUA, ENTRADA DE 1" X 3 SAÍDAS DE 1/2", CONEXÃO POR ANEL DESLIZANTE - FORNECIMENTO E INSTALAÇÃO. AF_02/2023</t>
  </si>
  <si>
    <t>DISTRIBUIDOR 2 SAÍDAS, PARA INSTALAÇÕES EM PEX ÁGUA, ENTRADA DE 32 MM X 2 SAÍDAS DE 16 MM, CONEXÃO POR CRIMPAGEM FORNECIMENTO E INSTALAÇÃO. AF_02/2023</t>
  </si>
  <si>
    <t>DISTRIBUIDOR 2 SAÍDAS, PARA INSTALAÇÕES EM PEX ÁGUA, ENTRADA DE 32 MM X 2 SAÍDAS DE 25 MM, CONEXÃO POR CRIMPAGEM - FORNECIMENTO E INSTALAÇÃO. AF_02/2023</t>
  </si>
  <si>
    <t>DISTRIBUIDOR 3 SAÍDAS, PARA INSTALAÇÕES EM PEX ÁGUA, ENTRADA DE 32 MM X 3 SAÍDAS DE 16 MM, CONEXÃO POR CRIMPAGEM - FORNECIMENTO E INSTALAÇÃO. AF_02/2023</t>
  </si>
  <si>
    <t>DISTRIBUIDOR 3 SAÍDAS, PARA INSTALAÇÕES EM PEX ÁGUA, ENTRADA DE 32 MM X 3 SAÍDAS DE 25 MM, CONEXÃO POR CRIMPAGEM - FORNECIMENTO E INSTALAÇÃO. AF_02/2023</t>
  </si>
  <si>
    <t>22,19</t>
  </si>
  <si>
    <t>29,30</t>
  </si>
  <si>
    <t>25,99</t>
  </si>
  <si>
    <t>29,31</t>
  </si>
  <si>
    <t>24,58</t>
  </si>
  <si>
    <t>9,47</t>
  </si>
  <si>
    <t>102610</t>
  </si>
  <si>
    <t>CAIXA D´ÁGUA EM POLIETILENO, 3000 LITROS - FORNECIMENTO E INSTALAÇÃO. AF_06/2021</t>
  </si>
  <si>
    <t>102612</t>
  </si>
  <si>
    <t>CAIXA D´ÁGUA EM POLIÉSTER REFORÇADO COM FIBRA DE VIDRO, 750 LITROS - FORNECIMENTO E INSTALAÇÃO. AF_06/2021</t>
  </si>
  <si>
    <t>102616</t>
  </si>
  <si>
    <t>CAIXA D´ÁGUA EM POLIÉSTER REFORÇADO COM FIBRA DE VIDRO, 3000 LITROS - FORNECIMENTO E INSTALAÇÃO. AF_06/2021</t>
  </si>
  <si>
    <t>102618</t>
  </si>
  <si>
    <t>CAIXA D´ÁGUA EM POLIÉSTER REFORÇADO COM FIBRA DE VIDRO, 7000 LITROS - FORNECIMENTO E INSTALAÇÃO. AF_06/2021</t>
  </si>
  <si>
    <t>102620</t>
  </si>
  <si>
    <t>CAIXA D´ÁGUA EM POLIÉSTER REFORÇADO COM FIBRA DE VIDRO, 15000 LITROS - FORNECIMENTO E INSTALAÇÃO. AF_06/2021</t>
  </si>
  <si>
    <t>102621</t>
  </si>
  <si>
    <t>CAIXA D´ÁGUA EM POLIÉSTER REFORÇADO COM FIBRA DE VIDRO, 20000 LITROS - FORNECIMENTO E INSTALAÇÃO. AF_06/2021</t>
  </si>
  <si>
    <t>22,20</t>
  </si>
  <si>
    <t>25,61</t>
  </si>
  <si>
    <t>12,27</t>
  </si>
  <si>
    <t>15,57</t>
  </si>
  <si>
    <t>7,86</t>
  </si>
  <si>
    <t>9,99</t>
  </si>
  <si>
    <t>25,02</t>
  </si>
  <si>
    <t>29,53</t>
  </si>
  <si>
    <t>5,27</t>
  </si>
  <si>
    <t>135,03</t>
  </si>
  <si>
    <t>86,17</t>
  </si>
  <si>
    <t>ALVENARIA ESTRUTURAL DE BLOCOS CERÂMICOS 14X19X39, (ESPESSURA DE 14 CM), UTILIZANDO PALHETA E ARGAMASSA DE ASSENTAMENTO COM PREPARO EM BETONEIRA. AF_03/2023</t>
  </si>
  <si>
    <t>ALVENARIA ESTRUTURAL DE BLOCOS CERÂMICOS 14X19X39, (ESPESSURA DE 14 CM), UTILIZANDO PALHETA E ARGAMASSA DE ASSENTAMENTO COM PREPARO MANUAL. AF_03/2023</t>
  </si>
  <si>
    <t>ALVENARIA ESTRUTURAL DE BLOCOS CERÂMICOS 14X19X29, (ESPESSURA DE 14 CM), UTILIZANDO PALHETA E ARGAMASSA DE ASSENTAMENTO COM PREPARO EM BETONEIRA. AF_03/2023</t>
  </si>
  <si>
    <t>ALVENARIA ESTRUTURAL DE BLOCOS CERÂMICOS 14X19X29, (ESPESSURA DE 14 CM), UTILIZANDO PALHETA E ARGAMASSA DE ASSENTAMENTO COM PREPARO MANUAL. AF_03/2023</t>
  </si>
  <si>
    <t>ALVENARIA ESTRUTURAL DE BLOCOS CERÂMICOS 14X19X39, (ESPESSURA DE 14 CM), UTILIZANDO COLHER DE PEDREIRO E ARGAMASSA DE ASSENTAMENTO COM PREPARO EM BETONEIRA. AF_03/2023</t>
  </si>
  <si>
    <t>ALVENARIA ESTRUTURAL DE BLOCOS CERÂMICOS 14X19X39, (ESPESSURA DE 14 CM), UTILIZANDO COLHER DE PEDREIRO E ARGAMASSA DE ASSENTAMENTO COM PREPARO MANUAL. AF_03/2023</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</si>
  <si>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</si>
  <si>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</si>
  <si>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37,59</t>
  </si>
  <si>
    <t>34,03</t>
  </si>
  <si>
    <t>38,13</t>
  </si>
  <si>
    <t>23,46</t>
  </si>
  <si>
    <t>23,21</t>
  </si>
  <si>
    <t>17,45</t>
  </si>
  <si>
    <t>15,64</t>
  </si>
  <si>
    <t>26,75</t>
  </si>
  <si>
    <t>REVESTIMENTO CERÂMICO PARA PISO COM PLACAS TIPO ESMALTADA EXTRA DE DIMENSÕES 35X35 CM APLICADA EM AMBIENTES DE ÁREA MENOR QUE 5 M2. AF_02/2023_PE</t>
  </si>
  <si>
    <t>REVESTIMENTO CERÂMICO PARA PISO COM PLACAS TIPO ESMALTADA EXTRA DE DIMENSÕES 35X35 CM APLICADA EM AMBIENTES DE ÁREA ENTRE 5 M2 E 10 M2. AF_02/2023_PE</t>
  </si>
  <si>
    <t>REVESTIMENTO CERÂMICO PARA PISO COM PLACAS TIPO ESMALTADA EXTRA DE DIMENSÕES 35X35 CM APLICADA EM AMBIENTES DE ÁREA MAIOR QUE 10 M2. AF_02/2023_PE</t>
  </si>
  <si>
    <t>REVESTIMENTO CERÂMICO PARA PISO COM PLACAS TIPO ESMALTADA EXTRA DE DIMENSÕES 45X45 CM APLICADA EM AMBIENTES DE ÁREA MENOR QUE 5 M2. AF_02/2023_PE</t>
  </si>
  <si>
    <t>REVESTIMENTO CERÂMICO PARA PISO COM PLACAS TIPO ESMALTADA EXTRA DE DIMENSÕES 45X45 CM APLICADA EM AMBIENTES DE ÁREA ENTRE 5 M2 E 10 M2. AF_02/2023_PE</t>
  </si>
  <si>
    <t>REVESTIMENTO CERÂMICO PARA PISO COM PLACAS TIPO ESMALTADA EXTRA DE DIMENSÕES 45X45 CM APLICADA EM AMBIENTES DE ÁREA MAIOR QUE 10 M2. AF_02/2023_PE</t>
  </si>
  <si>
    <t>REVESTIMENTO CERÂMICO PARA PISO COM PLACAS TIPO ESMALTADA EXTRA DE DIMENSÕES 60X60 CM APLICADA EM AMBIENTES DE ÁREA MENOR QUE 5 M2. AF_02/2023_PE</t>
  </si>
  <si>
    <t>REVESTIMENTO CERÂMICO PARA PISO COM PLACAS TIPO ESMALTADA EXTRA DE DIMENSÕES 60X60 CM APLICADA EM AMBIENTES DE ÁREA ENTRE 5 M2 E 10 M2. AF_02/2023_PE</t>
  </si>
  <si>
    <t>REVESTIMENTO CERÂMICO PARA PISO COM PLACAS TIPO ESMALTADA EXTRA DE DIMENSÕES 60X60 CM APLICADA EM AMBIENTES DE ÁREA MAIOR QUE 10 M2. AF_02/2023_PE</t>
  </si>
  <si>
    <t>REVESTIMENTO CERÂMICO PARA PISO COM PLACAS TIPO PORCELANATO DE DIMENSÕES 45X45 CM APLICADA EM AMBIENTES DE ÁREA MENOR QUE 5 M². AF_02/2023_PE</t>
  </si>
  <si>
    <t>REVESTIMENTO CERÂMICO PARA PISO COM PLACAS TIPO PORCELANATO DE DIMENSÕES 45X45 CM APLICADA EM AMBIENTES DE ÁREA ENTRE 5 M² E 10 M². AF_02/2023_PE</t>
  </si>
  <si>
    <t>REVESTIMENTO CERÂMICO PARA PISO COM PLACAS TIPO PORCELANATO DE DIMENSÕES 45X45 CM APLICADA EM AMBIENTES DE ÁREA MAIOR QUE 10 M². AF_02/2023_PE</t>
  </si>
  <si>
    <t>REVESTIMENTO CERÂMICO PARA PISO COM PLACAS TIPO PORCELANATO DE DIMENSÕES 60X60 CM APLICADA EM AMBIENTES DE ÁREA MENOR QUE 5 M². AF_02/2023_PE</t>
  </si>
  <si>
    <t>REVESTIMENTO CERÂMICO PARA PISO COM PLACAS TIPO PORCELANATO DE DIMENSÕES 60X60 CM APLICADA EM AMBIENTES DE ÁREA ENTRE 5 M² E 10 M². AF_02/2023_PE</t>
  </si>
  <si>
    <t>REVESTIMENTO CERÂMICO PARA PISO COM PLACAS TIPO PORCELANATO DE DIMENSÕES 60X60 CM APLICADA EM AMBIENTES DE ÁREA MAIOR QUE 10 M². AF_02/2023_PE</t>
  </si>
  <si>
    <t>REVESTIMENTO CERÂMICO PARA PISO COM PLACAS TIPO ESMALTADA PADRÃO POPULAR DE DIMENSÕES 35X35 CM APLICADA EM AMBIENTES DE ÁREA MENOR QUE 5 M2. AF_02/2023_PE</t>
  </si>
  <si>
    <t>REVESTIMENTO CERÂMICO PARA PISO COM PLACAS TIPO ESMALTADA PADRÃO POPULAR DE DIMENSÕES 35X35 CM APLICADA EM AMBIENTES DE ÁREA ENTRE 5 M2 E 10 M2. AF_02/2023_PE</t>
  </si>
  <si>
    <t>REVESTIMENTO CERÂMICO PARA PISO COM PLACAS TIPO ESMALTADA PADRÃO POPULAR DE DIMENSÕES 35X35 CM APLICADA EM AMBIENTES DE ÁREA MAIOR QUE 10 M2. AF_02/2023_PE</t>
  </si>
  <si>
    <t>104593</t>
  </si>
  <si>
    <t>REVESTIMENTO CERÂMICO PARA PISO COM PLACAS TIPO ESMALTADA EXTRA DE DIMENSÕES 80X80 CM APLICADA EM AMBIENTES DE ÁREA MENOR QUE 5 M². AF_02/2023_PE</t>
  </si>
  <si>
    <t>104594</t>
  </si>
  <si>
    <t>REVESTIMENTO CERÂMICO PARA PISO COM PLACAS TIPO ESMALTADA EXTRA DE DIMENSÕES 80X80 CM APLICADA EM AMBIENTES DE ÁREA ENTRE 5 M² E 10 M². AF_02/2023_PE</t>
  </si>
  <si>
    <t>104595</t>
  </si>
  <si>
    <t>REVESTIMENTO CERÂMICO PARA PISO COM PLACAS TIPO ESMALTADA EXTRA DE DIMENSÕES 80X80 CM APLICADA EM AMBIENTES DE ÁREA MAIOR QUE 10 M². AF_02/2023_PE</t>
  </si>
  <si>
    <t>104596</t>
  </si>
  <si>
    <t>REVESTIMENTO CERÂMICO PARA PISO COM PLACAS TIPO PORCELANATO DE DIMENSÕES 80X80 CM APLICADA EM AMBIENTES DE ÁREA MENOR QUE 5 M². AF_02/2023_PE</t>
  </si>
  <si>
    <t>104597</t>
  </si>
  <si>
    <t>REVESTIMENTO CERÂMICO PARA PISO COM PLACAS TIPO PORCELANATO DE DIMENSÕES 80X80 CM APLICADA EM AMBIENTES DE ÁREA ENTRE 5 M² E 10 M². AF_02/2023_PE</t>
  </si>
  <si>
    <t>104598</t>
  </si>
  <si>
    <t>REVESTIMENTO CERÂMICO PARA PISO COM PLACAS TIPO PORCELANATO DE DIMENSÕES 80X80 CM APLICADA EM AMBIENTES DE ÁREA MAIOR QUE 10 M². AF_02/2023_PE</t>
  </si>
  <si>
    <t>104599</t>
  </si>
  <si>
    <t>REVESTIMENTO CERÂMICO PARA PISO COM PLACAS TIPO ESMALTADA EXTRA DE DIMENSÕES 35X35 CM APLICADA EM DIAGONAL EM AMBIENTES DE ÁREA MENOR QUE 5 M². AF_02/2023_PE</t>
  </si>
  <si>
    <t>104600</t>
  </si>
  <si>
    <t>REVESTIMENTO CERÂMICO PARA PISO COM PLACAS TIPO ESMALTADA PADRÃO POPULAR DE DIMENSÕES 35X35 CM APLICADA EM DIAGONAL EM AMBIENTES DE ÁREA MENOR QUE 5 M². AF_02/2023_PE</t>
  </si>
  <si>
    <t>104601</t>
  </si>
  <si>
    <t>REVESTIMENTO CERÂMICO PARA PISO COM PLACAS TIPO ESMALTADA EXTRA DE DIMENSÕES 35X35 CM APLICADA EM DIAGONAL EM AMBIENTES DE ÁREA ENTRE 5 M² E 10 M². AF_02/2023_PE</t>
  </si>
  <si>
    <t>104602</t>
  </si>
  <si>
    <t>REVESTIMENTO CERÂMICO PARA PISO COM PLACAS TIPO ESMALTADA PADRÃO POPULAR DE DIMENSÕES 35X35 CM APLICADA EM DIAGONAL EM AMBIENTES DE ÁREA ENTRE 5 M² E 10 M². AF_02/2023_PE</t>
  </si>
  <si>
    <t>104603</t>
  </si>
  <si>
    <t>REVESTIMENTO CERÂMICO PARA PISO COM PLACAS TIPO ESMALTADA EXTRA DE DIMENSÕES 35X35 CM APLICADA EM DIAGONAL EM AMBIENTES DE ÁREA MAIOR QUE 10 M². AF_02/2023_PE</t>
  </si>
  <si>
    <t>48,84</t>
  </si>
  <si>
    <t>104604</t>
  </si>
  <si>
    <t>REVESTIMENTO CERÂMICO PARA PISO COM PLACAS TIPO ESMALTADA PADRÃO POPULAR DE DIMENSÕES 35X35 CM APLICADA EM DIAGONAL EM AMBIENTES DE ÁREA MAIOR QUE 10 M². AF_02/2023_PE</t>
  </si>
  <si>
    <t>104605</t>
  </si>
  <si>
    <t>REVESTIMENTO CERÂMICO PARA PISO COM PLACAS TIPO ESMALTADA EXTRA DE DIMENSÕES 45X45 CM APLICADA EM DIAGONAL EM AMBIENTES DE ÁREA MENOR QUE 5 M². AF_02/2023_PE</t>
  </si>
  <si>
    <t>104606</t>
  </si>
  <si>
    <t>REVESTIMENTO CERÂMICO PARA PISO COM PLACAS TIPO ESMALTADA EXTRA DE DIMENSÕES 45X45 CM APLICADA EM DIAGONAL EM AMBIENTES DE ÁREA ENTRE 5 M² E 10 M². AF_02/2023_PE</t>
  </si>
  <si>
    <t>104607</t>
  </si>
  <si>
    <t>REVESTIMENTO CERÂMICO PARA PISO COM PLACAS TIPO ESMALTADA EXTRA DE DIMENSÕES 45X45 CM APLICADA EM DIAGONAL EM AMBIENTES DE ÁREA MAIOR QUE 10 M². AF_02/2023_PE</t>
  </si>
  <si>
    <t>104608</t>
  </si>
  <si>
    <t>REVESTIMENTO CERÂMICO PARA PISO COM PLACAS TIPO PORCELANATO DE DIMENSÕES 45X45 CM APLICADA EM DIAGONAL EM AMBIENTES DE ÁREA MENOR QUE 5 M². AF_02/2023_PE</t>
  </si>
  <si>
    <t>104609</t>
  </si>
  <si>
    <t>REVESTIMENTO CERÂMICO PARA PISO COM PLACAS TIPO PORCELANATO DE DIMENSÕES 45X45 CM APLICADA EM DIAGONAL EM AMBIENTES DE ÁREA ENTRE 5 M² E 10 M². AF_02/2023_PE</t>
  </si>
  <si>
    <t>104610</t>
  </si>
  <si>
    <t>REVESTIMENTO CERÂMICO PARA PISO COM PLACAS TIPO PORCELANATO DE DIMENSÕES 45X45 CM APLICADA EM DIAGONAL EM AMBIENTES DE ÁREA MAIOR QUE 10 M². AF_02/2023_PE</t>
  </si>
  <si>
    <t>RODAPÉ CERÂMICO DE 7CM DE ALTURA COM PLACAS TIPO ESMALTADA EXTRA  DE DIMENSÕES 35X35CM. AF_02/2023</t>
  </si>
  <si>
    <t>RODAPÉ CERÂMICO DE 7CM DE ALTURA COM PLACAS TIPO ESMALTADA EXTRA DE DIMENSÕES 45X45CM. AF_02/2023</t>
  </si>
  <si>
    <t>RODAPÉ CERÂMICO DE 7CM DE ALTURA COM PLACAS TIPO ESMALTADA EXTRA DE DIMENSÕES 60X60CM. AF_02/2023</t>
  </si>
  <si>
    <t>RODAPÉ CERÂMICO DE 7CM DE ALTURA COM PLACAS TIPO ESMALTADA COMERCIAL DE DIMENSÕES 35X35CM (PADRAO POPULAR). AF_02/2023</t>
  </si>
  <si>
    <t>EXECUÇÃO DE PASSEIO (CALÇADA) OU PISO DE CONCRETO COM CONCRETO MOLDADO IN LOCO, USINADO C20, ACABAMENTO CONVENCIONAL, NÃO ARMADO. AF_08/2022</t>
  </si>
  <si>
    <t>104626</t>
  </si>
  <si>
    <t>EXECUÇÃO DE PASSEIO (CALÇADA) OU PISO DE CONCRETO COM CONCRETO MOLDADO IN LOCO, USINADO C25, ACABAMENTO CONVENCIONAL, NÃO ARMADO. AF_03/2023</t>
  </si>
  <si>
    <t>53,88</t>
  </si>
  <si>
    <t>APLICAÇÃO MANUAL DE GESSO DESEMPENADO (SEM TALISCAS) EM TETO DE AMBIENTES DE ÁREA MAIOR QUE 10M², ESPESSURA DE 0,5CM. AF_03/2023</t>
  </si>
  <si>
    <t>APLICAÇÃO MANUAL DE GESSO DESEMPENADO (SEM TALISCAS) EM TETO DE AMBIENTES DE ÁREA ENTRE 5M² E 10M², ESPESSURA DE 0,5CM. AF_03/2023</t>
  </si>
  <si>
    <t>APLICAÇÃO MANUAL DE GESSO DESEMPENADO (SEM TALISCAS) EM TETO DE AMBIENTES DE ÁREA MENOR QUE 5M², ESPESSURA DE 0,5CM. AF_03/2023</t>
  </si>
  <si>
    <t>APLICAÇÃO MANUAL DE GESSO DESEMPENADO (SEM TALISCAS) EM TETO DE AMBIENTES DE ÁREA MAIOR QUE 10M², ESPESSURA DE 1,0CM. AF_03/2023</t>
  </si>
  <si>
    <t>APLICAÇÃO MANUAL DE GESSO DESEMPENADO (SEM TALISCAS) EM TETO DE AMBIENTES DE ÁREA ENTRE 5M² E 10M², ESPESSURA DE 1,0CM. AF_03/2023</t>
  </si>
  <si>
    <t>APLICAÇÃO MANUAL DE GESSO DESEMPENADO (SEM TALISCAS) EM TETO DE AMBIENTES DE ÁREA MENOR QUE 5M², ESPESSURA DE 1,0CM. AF_03/2023</t>
  </si>
  <si>
    <t>APLICAÇÃO MANUAL DE GESSO DESEMPENADO (SEM TALISCAS) EM PAREDES, ESPESSURA DE 0,5CM. AF_03/2023</t>
  </si>
  <si>
    <t>APLICAÇÃO MANUAL DE GESSO DESEMPENADO (SEM TALISCAS) EM PAREDES, ESPESSURA DE 1,0CM. AF_03/2023</t>
  </si>
  <si>
    <t>APLICAÇÃO MANUAL DE GESSO SARRAFEADO (COM TALISCAS) EM PAREDES, ESPESSURA DE 1,0CM. AF_03/2023</t>
  </si>
  <si>
    <t>APLICAÇÃO MANUAL DE GESSO SARRAFEADO (COM TALISCAS) EM PAREDES, ESPESSURA DE 1,5CM. AF_03/2023</t>
  </si>
  <si>
    <t>APLICAÇÃO DE GESSO PROJETADO COM EQUIPAMENTO DE PROJEÇÃO EM PAREDES, DESEMPENADO (SEM TALISCAS), ESPESSURA DE 0,5CM. AF_03/2023</t>
  </si>
  <si>
    <t>APLICAÇÃO DE GESSO PROJETADO COM EQUIPAMENTO DE PROJEÇÃO EM PAREDES, DESEMPENADO (SEM TALISCAS), ESPESSURA DE 1,0CM. AF_03/2023</t>
  </si>
  <si>
    <t>APLICAÇÃO DE GESSO PROJETADO COM EQUIPAMENTO DE PROJEÇÃO EM PAREDES, SARRAFEADO (COM TALISCAS), ESPESSURA DE 1,0CM. AF_03/2023</t>
  </si>
  <si>
    <t>APLICAÇÃO DE GESSO PROJETADO COM EQUIPAMENTO DE PROJEÇÃO EM PAREDES, SARRAFEADO (COM TALISCAS), ESPESSURA DE 1,5CM. AF_03/2023</t>
  </si>
  <si>
    <t>27,53</t>
  </si>
  <si>
    <t>73,21</t>
  </si>
  <si>
    <t>104627</t>
  </si>
  <si>
    <t>APLICAÇÃO MANUAL DE GESSO DESEMPENADO (SEM TALISCAS) EM TETO DE AMBIENTES COM PAREDES EM PÉ DIREITO DUPLO E ÁREA MAIOR QUE 10M², ESPESSURA DE 0,5CM. AF_03/2023</t>
  </si>
  <si>
    <t>104628</t>
  </si>
  <si>
    <t>APLICAÇÃO MANUAL DE GESSO DESEMPENADO (SEM TALISCAS) EM TETO DE AMBIENTES COM PAREDES EM PÉ DIREITO DUPLO E ÁREA ENTRE 5M² E 10M², ESPESSURA DE 0,5CM. AF_03/2023</t>
  </si>
  <si>
    <t>104629</t>
  </si>
  <si>
    <t>APLICAÇÃO MANUAL DE GESSO DESEMPENADO (SEM TALISCAS) EM TETO DE AMBIENTES COM PAREDES EM PÉ DIREITO DUPLO E ÁREA MENOR QUE 5M², ESPESSURA DE 0,5CM. AF_03/2023</t>
  </si>
  <si>
    <t>104630</t>
  </si>
  <si>
    <t>APLICAÇÃO MANUAL DE GESSO DESEMPENADO (SEM TALISCAS) EM TETO DE AMBIENTES COM PAREDES EM PÉ DIREITO DUPLO E ÁREA MAIOR QUE 10M², ESPESSURA DE 1,0CM. AF_03/2023</t>
  </si>
  <si>
    <t>104631</t>
  </si>
  <si>
    <t>APLICAÇÃO MANUAL DE GESSO DESEMPENADO (SEM TALISCAS) EM TETO DE AMBIENTES COM PAREDES EM PÉ DIREITO DUPLO E ÁREA ENTRE 5M² E 10M², ESPESSURA DE 1,0CM. AF_03/2023</t>
  </si>
  <si>
    <t>104632</t>
  </si>
  <si>
    <t>APLICAÇÃO MANUAL DE GESSO DESEMPENADO (SEM TALISCAS) EM TETO DE AMBIENTES COM PAREDES EM PÉ DIREITO DUPLO E ÁREA MENOR QUE 5M², ESPESSURA DE 1,0CM. AF_03/2023</t>
  </si>
  <si>
    <t>104633</t>
  </si>
  <si>
    <t>APLICAÇÃO MANUAL DE GESSO DESEMPENADO (SEM TALISCAS) EM PAREDES COM PÉ DIREITO DUPLO, ESPESSURA DE 0,5CM. AF_03/2023</t>
  </si>
  <si>
    <t>104634</t>
  </si>
  <si>
    <t>APLICAÇÃO MANUAL DE GESSO DESEMPENADO (SEM TALISCAS) EM PAREDES COM PÉ DIREITO DUPLO, ESPESSURA DE 1,0CM. AF_03/2023</t>
  </si>
  <si>
    <t>104635</t>
  </si>
  <si>
    <t>APLICAÇÃO MANUAL DE GESSO SARRAFEADO (COM TALISCAS) EM PAREDES COM PÉ DIREITO DUPLO, ESPESSURA DE 1,0CM. AF_03/2023</t>
  </si>
  <si>
    <t>104636</t>
  </si>
  <si>
    <t>APLICAÇÃO MANUAL DE GESSO SARRAFEADO (COM TALISCAS) EM PAREDES COM PÉ DIREITO DUPLO, ESPESSURA DE 1,5CM. AF_03/2023</t>
  </si>
  <si>
    <t>REVESTIMENTO CERÂMICO PARA PAREDES EXTERNAS EM PASTILHAS DE PORCELANA 5 X 5 CM (PLACAS DE 30 X 30 CM), ALINHADAS A PRUMO. AF_02/2023</t>
  </si>
  <si>
    <t>REVESTIMENTO CERÂMICO PARA PAREDES EXTERNAS EM PASTILHAS DE PORCELANA 5 X 5 CM (PLACAS DE 30 X 30 CM), ALINHADAS A PRUMO, APLICADO EM SUPERFÍCIES INTERNAS DE SACADA. AF_02/2023</t>
  </si>
  <si>
    <t>REVESTIMENTO CERÂMICO PARA PAREDES INTERNAS COM PLACAS TIPO ESMALTADA EXTRA DE DIMENSÕES 20X20 CM APLICADAS NA ALTURA INTEIRA DAS PAREDES.  AF_02/2023_PE</t>
  </si>
  <si>
    <t>REVESTIMENTO CERÂMICO PARA PAREDES INTERNAS COM PLACAS TIPO ESMALTADA EXTRA DE DIMENSÕES 20X20 CM APLICADAS A MEIA ALTURA DAS PAREDES. AF_02/2023_PE</t>
  </si>
  <si>
    <t>REVESTIMENTO CERÂMICO PARA PAREDES INTERNAS COM PLACAS TIPO ESMALTADA EXTRA DE DIMENSÕES 25X35 CM APLICADAS NA ALTURA INTEIRA DAS PAREDES. AF_02/2023_PE</t>
  </si>
  <si>
    <t>REVESTIMENTO CERÂMICO PARA PAREDES INTERNAS COM PLACAS TIPO ESMALTADA EXTRA DE DIMENSÕES 25X35 CM APLICADAS A MEIA ALTURA DAS PAREDES. AF_02/2023_PE</t>
  </si>
  <si>
    <t>REVESTIMENTO CERÂMICO PARA PAREDES INTERNAS COM PLACAS TIPO ESMALTADA EXTRA  DE DIMENSÕES 33X45 CM APLICADAS NA ALTURA INTEIRA DAS PAREDES. AF_02/2023_PE</t>
  </si>
  <si>
    <t>REVESTIMENTO CERÂMICO PARA PAREDES INTERNAS COM PLACAS TIPO ESMALTADA EXTRA DE DIMENSÕES 33X45 CM APLICADAS A MEIA ALTURA DAS PAREDES. AF_02/2023_PE</t>
  </si>
  <si>
    <t>REVESTIMENTO CERÂMICO PARA PAREDES EXTERNAS EM PASTILHAS DE PORCELANA 2,5 X 2,5 CM (PLACAS DE 30 X 30 CM), ALINHADAS A PRUMO. AF_02/2023</t>
  </si>
  <si>
    <t>REVESTIMENTO CERÂMICO PARA PAREDES EXTERNAS EM PASTILHAS DE PORCELANA 2,5 X 2,5 CM (PLACAS DE 30 X 30 CM), ALINHADAS A PRUMO, APLICADO EM SUPERFÍCIES INTERNAS DE SACADA. AF_02/2023</t>
  </si>
  <si>
    <t>REVESTIMENTO CERÂMICO PARA PAREDES INTERNAS COM PLACAS TIPO ESMALTADA PADRÃO POPULAR DE DIMENSÕES 20X20 CM, ARGAMASSA TIPO AC I, APLICADAS NA ALTURA INTEIRA DAS PAREDES. AF_02/2023_PE</t>
  </si>
  <si>
    <t>REVESTIMENTO CERÂMICO PARA PAREDES INTERNAS COM PLACAS TIPO ESMALTADA PADRÃO POPULAR DE DIMENSÕES 20X20 CM, ARGAMASSA TIPO AC I, APLICADAS A MEIA ALTURA DAS PAREDES. AF_02/2023_PE</t>
  </si>
  <si>
    <t>REVESTIMENTO CERÂMICO PARA PAREDES INTERNAS COM PLACAS TIPO ESMALTADA PADRÃO POPULAR DE DIMENSÕES 20X20 CM, ARGAMASSA TIPO AC III, APLICADAS NA ALTURA INTEIRA DAS PAREDES.  AF_02/2023_PE</t>
  </si>
  <si>
    <t>REVESTIMENTO CERÂMICO PARA PAREDES INTERNAS COM PLACAS TIPO ESMALTADA PADRÃO POPULAR DE DIMENSÕES 20X20 CM, ARGAMASSA TIPO AC III, APLICADAS A MEIA ALTURA DAS PAREDES. AF_02/2023_PE</t>
  </si>
  <si>
    <t>104611</t>
  </si>
  <si>
    <t>REVESTIMENTO CERÂMICO PARA PAREDES INTERNAS COM PLACAS TIPO ESMALTADA EXTRA DE DIMENSÕES 60X60 CM APLICADAS NA ALTURA INTEIRA DAS PAREDES. AF_02/2023_PE</t>
  </si>
  <si>
    <t>104612</t>
  </si>
  <si>
    <t>REVESTIMENTO CERÂMICO PARA PAREDES INTERNAS COM PLACAS TIPO ESMALTADA EXTRA DE DIMENSÕES 60X60 CM APLICADAS A MEIA ALTURA DAS PAREDES. AF_02/2023_PE</t>
  </si>
  <si>
    <t>104613</t>
  </si>
  <si>
    <t>REVESTIMENTO CERÂMICO PARA PAREDES INTERNAS COM PLACAS TIPO ESMALTADA EXTRA DE DIMENSÕES 20X20 CM APLICADAS EM DIAGONAL, NA ALTURA INTEIRA DAS PAREDES. AF_02/2023_PE</t>
  </si>
  <si>
    <t>104614</t>
  </si>
  <si>
    <t>REVESTIMENTO CERÂMICO PARA PAREDES INTERNAS COM PLACAS TIPO ESMALTADA EXTRA DE DIMENSÕES 20X20 CM APLICADAS EM DIAGONAL, A MEIA ALTURA DAS PAREDES. AF_02/2023_PE</t>
  </si>
  <si>
    <t>104615</t>
  </si>
  <si>
    <t>REVESTIMENTO CERÂMICO PARA PAREDES INTERNAS COM PLACAS TIPO PASTILHA DE DIMENSÕES 5 X 5 CM (PLACAS DE 30 X 30 CM) CM APLICADAS NA ALTURA INTEIRA DAS PAREDES. AF_02/2023</t>
  </si>
  <si>
    <t>104616</t>
  </si>
  <si>
    <t>REVESTIMENTO CERÂMICO PARA PAREDES INTERNAS COM PLACAS TIPO PASTILHA DE DIMENSÕES 2,5 X 2,5 CM (PLACAS DE 30 X 30 CM) CM APLICADAS NA ALTURA INTEIRA DAS PAREDES. AF_02/2023</t>
  </si>
  <si>
    <t>104617</t>
  </si>
  <si>
    <t>REVESTIMENTO CERÂMICO PARA PAREDES INTERNAS COM PLACAS TIPO PASTILHA DE DIMENSÕES 5 X 5 CM (PLACAS DE 30 X 30 CM) CM APLICADAS A MEIA ALTURA DAS PAREDES. AF_02/2023</t>
  </si>
  <si>
    <t>104618</t>
  </si>
  <si>
    <t>REVESTIMENTO CERÂMICO PARA PAREDES INTERNAS COM PLACAS TIPO PASTILHA DE DIMENSÕES 2,5 X 2,5 CM (PLACAS DE 30 X 30 CM) CM APLICADAS A MEIA ALTURA DAS PAREDES. AF_02/2023</t>
  </si>
  <si>
    <t>104619</t>
  </si>
  <si>
    <t>RODAPÉ CERÂMICO DE 7CM DE ALTURA COM PLACAS TIPO ESMALTADA EXTRA DE DIMENSÕES 80X80CM. AF_02/2023</t>
  </si>
  <si>
    <t>1,38</t>
  </si>
  <si>
    <t>11,26</t>
  </si>
  <si>
    <t>30,30</t>
  </si>
  <si>
    <t>39,93</t>
  </si>
  <si>
    <t>7,51</t>
  </si>
  <si>
    <t>22,73</t>
  </si>
  <si>
    <t>71,84</t>
  </si>
  <si>
    <t>70,26</t>
  </si>
  <si>
    <t>19,73</t>
  </si>
  <si>
    <t>15,51</t>
  </si>
  <si>
    <t>753,75</t>
  </si>
  <si>
    <t>51,20</t>
  </si>
  <si>
    <t>57,01</t>
  </si>
  <si>
    <t>13,36</t>
  </si>
  <si>
    <t>18,03</t>
  </si>
  <si>
    <t>19,20</t>
  </si>
  <si>
    <t>54,32</t>
  </si>
  <si>
    <t>53,56</t>
  </si>
  <si>
    <t>2,70</t>
  </si>
  <si>
    <t>26,70</t>
  </si>
  <si>
    <t>44,00</t>
  </si>
  <si>
    <t>37,74</t>
  </si>
  <si>
    <t>27,52</t>
  </si>
  <si>
    <t>14,65</t>
  </si>
  <si>
    <t>36,48</t>
  </si>
  <si>
    <t>25,20</t>
  </si>
  <si>
    <t>15,01</t>
  </si>
  <si>
    <t>35,29</t>
  </si>
  <si>
    <t>15,73</t>
  </si>
  <si>
    <t>39,31</t>
  </si>
  <si>
    <t>51,25</t>
  </si>
  <si>
    <t>36,80</t>
  </si>
  <si>
    <t>22,07</t>
  </si>
  <si>
    <t>11,99</t>
  </si>
  <si>
    <t>29,84</t>
  </si>
  <si>
    <t>45,61</t>
  </si>
  <si>
    <t>5,89</t>
  </si>
  <si>
    <t>212,65</t>
  </si>
  <si>
    <t>9,36</t>
  </si>
  <si>
    <t>30,05</t>
  </si>
  <si>
    <t>31,02</t>
  </si>
  <si>
    <t>58,48</t>
  </si>
  <si>
    <t>75,58</t>
  </si>
  <si>
    <t>72,36</t>
  </si>
  <si>
    <t>44,31</t>
  </si>
  <si>
    <t>15,63</t>
  </si>
  <si>
    <t>65,71</t>
  </si>
  <si>
    <t>SF-04001</t>
  </si>
  <si>
    <t>SF-04002</t>
  </si>
  <si>
    <t>SF-04003</t>
  </si>
  <si>
    <t>SF-04004</t>
  </si>
  <si>
    <t>SF-04005</t>
  </si>
  <si>
    <t>SF-04006</t>
  </si>
  <si>
    <t>SF-04007</t>
  </si>
  <si>
    <t>SF-04008</t>
  </si>
  <si>
    <t>SF-04009</t>
  </si>
  <si>
    <t>SF-04010</t>
  </si>
  <si>
    <t>SF-04011</t>
  </si>
  <si>
    <t>SF-04012</t>
  </si>
  <si>
    <t>SF-04013</t>
  </si>
  <si>
    <t>SF-04014</t>
  </si>
  <si>
    <t>SF-04015</t>
  </si>
  <si>
    <t>SF-04016</t>
  </si>
  <si>
    <t>SF-04017</t>
  </si>
  <si>
    <t>SF-04018</t>
  </si>
  <si>
    <t>SF-04019</t>
  </si>
  <si>
    <t>SF-04020</t>
  </si>
  <si>
    <t>SF-04021</t>
  </si>
  <si>
    <t>SF-04022</t>
  </si>
  <si>
    <t>SF-04023</t>
  </si>
  <si>
    <t>SF-04024</t>
  </si>
  <si>
    <t>SF-04025</t>
  </si>
  <si>
    <t>SF-04026</t>
  </si>
  <si>
    <t>SF-04027</t>
  </si>
  <si>
    <t>SF-04028</t>
  </si>
  <si>
    <t>SF-04029</t>
  </si>
  <si>
    <t>SF-04030</t>
  </si>
  <si>
    <t>SF-04031</t>
  </si>
  <si>
    <t>SF-04032</t>
  </si>
  <si>
    <t>SF-04033</t>
  </si>
  <si>
    <t>SF-04034</t>
  </si>
  <si>
    <t>SF-04035</t>
  </si>
  <si>
    <t>SF-04036</t>
  </si>
  <si>
    <t>SF-04037</t>
  </si>
  <si>
    <t>SF-04038</t>
  </si>
  <si>
    <t>SF-04039</t>
  </si>
  <si>
    <t>SF-04040</t>
  </si>
  <si>
    <t>SF-04041</t>
  </si>
  <si>
    <t>SF-04042</t>
  </si>
  <si>
    <t>SF-04043</t>
  </si>
  <si>
    <t>SF-04044</t>
  </si>
  <si>
    <t>SF-04045</t>
  </si>
  <si>
    <t>SF-04046</t>
  </si>
  <si>
    <t>SF-04047</t>
  </si>
  <si>
    <t>SF-04048</t>
  </si>
  <si>
    <t>SF-04049</t>
  </si>
  <si>
    <t>SF-04050</t>
  </si>
  <si>
    <t>SF-04051</t>
  </si>
  <si>
    <t>SF-04052</t>
  </si>
  <si>
    <t>SF-04053</t>
  </si>
  <si>
    <t>SF-04054</t>
  </si>
  <si>
    <t>SF-04055</t>
  </si>
  <si>
    <t>SF-04056</t>
  </si>
  <si>
    <t>SF-04057</t>
  </si>
  <si>
    <t>SF-04058</t>
  </si>
  <si>
    <t>SF-04059</t>
  </si>
  <si>
    <t>SF-04060</t>
  </si>
  <si>
    <t>SF-04061</t>
  </si>
  <si>
    <t>SF-04062</t>
  </si>
  <si>
    <t>SF-04063</t>
  </si>
  <si>
    <t>SF-04064</t>
  </si>
  <si>
    <t>SF-04065</t>
  </si>
  <si>
    <t>SF-04066</t>
  </si>
  <si>
    <t>SF-04067</t>
  </si>
  <si>
    <t>SF-04068</t>
  </si>
  <si>
    <t>SF-04069</t>
  </si>
  <si>
    <t>SF-04070</t>
  </si>
  <si>
    <t>SF-04071</t>
  </si>
  <si>
    <t>SF-04072</t>
  </si>
  <si>
    <t>SF-04073</t>
  </si>
  <si>
    <t>SF-04074</t>
  </si>
  <si>
    <t>SF-04075</t>
  </si>
  <si>
    <t>SF-04076</t>
  </si>
  <si>
    <t>SF-04077</t>
  </si>
  <si>
    <t>SF-04078</t>
  </si>
  <si>
    <t>SF-04079</t>
  </si>
  <si>
    <t>SF-04080</t>
  </si>
  <si>
    <t>SF-04081</t>
  </si>
  <si>
    <t>SF-04082</t>
  </si>
  <si>
    <t>SF-04083</t>
  </si>
  <si>
    <t>SF-04084</t>
  </si>
  <si>
    <t>SF-04085</t>
  </si>
  <si>
    <t>SF-04086</t>
  </si>
  <si>
    <t>SF-04087</t>
  </si>
  <si>
    <t>SF-04088</t>
  </si>
  <si>
    <t>SF-04089</t>
  </si>
  <si>
    <t>SF-04090</t>
  </si>
  <si>
    <t>SF-04091</t>
  </si>
  <si>
    <t>SF-04092</t>
  </si>
  <si>
    <t>SF-04093</t>
  </si>
  <si>
    <t>SF-04094</t>
  </si>
  <si>
    <t>SF-04095</t>
  </si>
  <si>
    <t>SF-04096</t>
  </si>
  <si>
    <t>SF-04097</t>
  </si>
  <si>
    <t>SF-04098</t>
  </si>
  <si>
    <t>SF-04099</t>
  </si>
  <si>
    <t>SF-04100</t>
  </si>
  <si>
    <t>SF-04101</t>
  </si>
  <si>
    <t>SF-04102</t>
  </si>
  <si>
    <t>SF-04103</t>
  </si>
  <si>
    <t>SF-04104</t>
  </si>
  <si>
    <t>SF-04105</t>
  </si>
  <si>
    <t>SF-04106</t>
  </si>
  <si>
    <t>SF-04107</t>
  </si>
  <si>
    <t>SF-04108</t>
  </si>
  <si>
    <t>SF-04109</t>
  </si>
  <si>
    <t>SF-04110</t>
  </si>
  <si>
    <t>SF-04111</t>
  </si>
  <si>
    <t>SF-04112</t>
  </si>
  <si>
    <t>SF-04113</t>
  </si>
  <si>
    <t>SF-04114</t>
  </si>
  <si>
    <t>SF-04115</t>
  </si>
  <si>
    <t>SF-04116</t>
  </si>
  <si>
    <t>SF-04117</t>
  </si>
  <si>
    <t>SF-04118</t>
  </si>
  <si>
    <t>SF-04119</t>
  </si>
  <si>
    <t>SF-04120</t>
  </si>
  <si>
    <t>SF-04121</t>
  </si>
  <si>
    <t>SF-04122</t>
  </si>
  <si>
    <t>SF-04123</t>
  </si>
  <si>
    <t>SF-04124</t>
  </si>
  <si>
    <t>SF-04125</t>
  </si>
  <si>
    <t>SF-04126</t>
  </si>
  <si>
    <t>SF-04127</t>
  </si>
  <si>
    <t>SF-04128</t>
  </si>
  <si>
    <t>SF-04129</t>
  </si>
  <si>
    <t>SF-04130</t>
  </si>
  <si>
    <t>SF-04131</t>
  </si>
  <si>
    <t>SF-04132</t>
  </si>
  <si>
    <t>SF-04133</t>
  </si>
  <si>
    <t>SF-04134</t>
  </si>
  <si>
    <t>SF-04136</t>
  </si>
  <si>
    <t>SF-04137</t>
  </si>
  <si>
    <t>SF-04138</t>
  </si>
  <si>
    <t>SF-04139</t>
  </si>
  <si>
    <t>SF-04140</t>
  </si>
  <si>
    <t>SF-04141</t>
  </si>
  <si>
    <t>SF-04142</t>
  </si>
  <si>
    <t>SF-04143</t>
  </si>
  <si>
    <t>SF-04144</t>
  </si>
  <si>
    <t>SF-04145</t>
  </si>
  <si>
    <t>SF-04146</t>
  </si>
  <si>
    <t>SF-04147</t>
  </si>
  <si>
    <t>SF-04148</t>
  </si>
  <si>
    <t>SF-04149</t>
  </si>
  <si>
    <t>SF-04150</t>
  </si>
  <si>
    <t>SF-04151</t>
  </si>
  <si>
    <t>SF-04152</t>
  </si>
  <si>
    <t>SF-04153</t>
  </si>
  <si>
    <t>SF-04154</t>
  </si>
  <si>
    <t>SF-04155</t>
  </si>
  <si>
    <t>SF-04156</t>
  </si>
  <si>
    <t>SF-04157</t>
  </si>
  <si>
    <t>SF-04158</t>
  </si>
  <si>
    <t>SF-04159</t>
  </si>
  <si>
    <t>SF-04160</t>
  </si>
  <si>
    <t>SF-04161</t>
  </si>
  <si>
    <t>SF-04162</t>
  </si>
  <si>
    <t>SF-04163</t>
  </si>
  <si>
    <t>SF-04164</t>
  </si>
  <si>
    <t>SF-04165</t>
  </si>
  <si>
    <t>SF-04166</t>
  </si>
  <si>
    <t>SF-04167</t>
  </si>
  <si>
    <t>SF-04168</t>
  </si>
  <si>
    <t>SF-04169</t>
  </si>
  <si>
    <t>SF-04170</t>
  </si>
  <si>
    <t>SF-04171</t>
  </si>
  <si>
    <t>SF-04172</t>
  </si>
  <si>
    <t>SF-04173</t>
  </si>
  <si>
    <t>SF-04174</t>
  </si>
  <si>
    <t>SF-04175</t>
  </si>
  <si>
    <t>SF-04176</t>
  </si>
  <si>
    <t>SF-04177</t>
  </si>
  <si>
    <t>SF-04178</t>
  </si>
  <si>
    <t>SF-04179</t>
  </si>
  <si>
    <t>SF-04180</t>
  </si>
  <si>
    <t>SF-04181</t>
  </si>
  <si>
    <t>SF-04182</t>
  </si>
  <si>
    <t>SF-04183</t>
  </si>
  <si>
    <t>SF-04184</t>
  </si>
  <si>
    <t>SF-04185</t>
  </si>
  <si>
    <t>SF-04186</t>
  </si>
  <si>
    <t>SF-04187</t>
  </si>
  <si>
    <t>SF-04188</t>
  </si>
  <si>
    <t>SF-04189</t>
  </si>
  <si>
    <t>SF-04190</t>
  </si>
  <si>
    <t>SF-04191</t>
  </si>
  <si>
    <t>SF-04192</t>
  </si>
  <si>
    <t>SF-04193</t>
  </si>
  <si>
    <t>SF-04202</t>
  </si>
  <si>
    <t>SF-04203</t>
  </si>
  <si>
    <t>SF-04211</t>
  </si>
  <si>
    <t>SF-04212</t>
  </si>
  <si>
    <t>SF-04213</t>
  </si>
  <si>
    <t>SF-04217</t>
  </si>
  <si>
    <t>SF-04219</t>
  </si>
  <si>
    <t>SF-04220</t>
  </si>
  <si>
    <t>SF-04221</t>
  </si>
  <si>
    <t>SF-04222</t>
  </si>
  <si>
    <t>SF-04223</t>
  </si>
  <si>
    <t>SF-04225</t>
  </si>
  <si>
    <t>SF-04226</t>
  </si>
  <si>
    <t>SF-04227</t>
  </si>
  <si>
    <t>SF-04228</t>
  </si>
  <si>
    <t>SF-04229</t>
  </si>
  <si>
    <t>SF-04230</t>
  </si>
  <si>
    <t>SF-04231</t>
  </si>
  <si>
    <t>SF-04232</t>
  </si>
  <si>
    <t>SF-04233</t>
  </si>
  <si>
    <t>SF-04235</t>
  </si>
  <si>
    <t>SF-04236</t>
  </si>
  <si>
    <t>SF-04237</t>
  </si>
  <si>
    <t>SF-04238</t>
  </si>
  <si>
    <t>SF-04239</t>
  </si>
  <si>
    <t>SF-04246</t>
  </si>
  <si>
    <t>SF-04247</t>
  </si>
  <si>
    <t>SF-04248</t>
  </si>
  <si>
    <t>SF-04249</t>
  </si>
  <si>
    <t>SF-04250</t>
  </si>
  <si>
    <t>SF-04251</t>
  </si>
  <si>
    <t>SF-04252</t>
  </si>
  <si>
    <t>SF-04253</t>
  </si>
  <si>
    <t>SF-04254</t>
  </si>
  <si>
    <t>SF-04255</t>
  </si>
  <si>
    <t>SF-04256</t>
  </si>
  <si>
    <t>SF-04257</t>
  </si>
  <si>
    <t>SF-04260</t>
  </si>
  <si>
    <t>SF-04261</t>
  </si>
  <si>
    <t>SF-04262</t>
  </si>
  <si>
    <t>SF-04263</t>
  </si>
  <si>
    <t>SF-04264</t>
  </si>
  <si>
    <t>SF-04265</t>
  </si>
  <si>
    <t>Obs.: Fonte para o coeficiente do gesso (0,75 kg/m2) : http://www.trevogesso.com.br/produto/10/ - acesso em 16/08/18</t>
  </si>
  <si>
    <t>Forro de alumínio sistema linear múltiplo liso com bordas dobradas em ângulo reto com flush em "V" largura 8 cm</t>
  </si>
  <si>
    <t>Pini 21.104.000040.MAT</t>
  </si>
  <si>
    <t>Técnico(a) em Edificações - Planejamento de Manutenção (plantonista diurno)</t>
  </si>
  <si>
    <t>Placa cimentícia lisa de 1,20 x 2,40m (e=10mm), sem estrutura</t>
  </si>
  <si>
    <t>Técnico(a) em Edificações - Planejamento de Manutenção (plantonista noturno)</t>
  </si>
  <si>
    <t>Demolição de revestimento cerâmico ou pétreo (piso ou parede)</t>
  </si>
  <si>
    <t>Remoção de vidro de segurança (temperado, laminado ou aramado)</t>
  </si>
  <si>
    <t>Remoção de placas/réguas de forro sintético ou metálico</t>
  </si>
  <si>
    <t>Tapume em compensado de madeira</t>
  </si>
  <si>
    <t>Limpeza final de intervenção</t>
  </si>
  <si>
    <t>Aplicação de Gesso cola</t>
  </si>
  <si>
    <t>Tratamento de trincas superficiais com selante acrílico e tela de poliéster</t>
  </si>
  <si>
    <t>Calafetação com selante de silicone sem remoção do vidro - Aplicação/Substituição</t>
  </si>
  <si>
    <t>Painel de TV em Compensado - Linha Residencial / Gabinete Parlamentar</t>
  </si>
  <si>
    <t>Tela metálica para estuque</t>
  </si>
  <si>
    <t>Bloco vazado de concreto simples com 02 furos (9x19x39 - Classe C)</t>
  </si>
  <si>
    <t>Bloco vazado de concreto simples tipo canaleta (19x19x39 - Classe C)</t>
  </si>
  <si>
    <t>Lona Plástica (e ≥ 200µ)</t>
  </si>
  <si>
    <t>Lona Plástica (e=100µ)</t>
  </si>
  <si>
    <t>Tratamento de juntas de dilatação ou movimentação estrutural</t>
  </si>
  <si>
    <t>Piso de borracha antiderrapante tipo moeda ou canelado</t>
  </si>
  <si>
    <t>Pintura com tinta látex acrílica para piso</t>
  </si>
  <si>
    <t>Pintura para sinalização e demarcação viária horizontal, com adição de microesferas de vidro</t>
  </si>
  <si>
    <t>Camada de enchimento com Concreto leve com poliestireno expandido</t>
  </si>
  <si>
    <t>Impermeabilização flexível com Membrana de Poliuretano</t>
  </si>
  <si>
    <t>Impermeabilização flexível com Manta Asfáltica</t>
  </si>
  <si>
    <t>Impermeabilização flexível com manta asfáltica aluminizada</t>
  </si>
  <si>
    <t>Impermeabilização flexível com manta elastomérica de etileno-propileno-dieno-monômero (EPDM)</t>
  </si>
  <si>
    <t>Impermeabilização flexível com membrana acrílica monocomponente flexível</t>
  </si>
  <si>
    <t>Impermeabilização flexível com manta dupla (com maçarico)</t>
  </si>
  <si>
    <t>Impermeabilização flexível com manta dupla (com asfalto elastomérico)</t>
  </si>
  <si>
    <t>Cabo de fibra óptica 12 fibras</t>
  </si>
  <si>
    <t>Abraçadeira tipo D (copo) copo para dutos/tubulações até 3”</t>
  </si>
  <si>
    <t>Poste reto 4m</t>
  </si>
  <si>
    <t>Válvula de retenção horizontal 3/4”</t>
  </si>
  <si>
    <t>Válvula de retenção horizontal 2”</t>
  </si>
  <si>
    <t>Quadro elétrico TTA - 11 disjuntores terminais para uso externo</t>
  </si>
  <si>
    <t>Quadro elétrico TTA - 18 disjuntores terminais</t>
  </si>
  <si>
    <t>Curva 90° PVC soldável 25mm</t>
  </si>
  <si>
    <t xml:space="preserve">Tomada para condulete de 20 A </t>
  </si>
  <si>
    <t>EMOP 15.003.0397-0</t>
  </si>
  <si>
    <t>Emulsão asfáltica elastomérica para uso em impermeabilização</t>
  </si>
  <si>
    <t>Pini 10.102.000030.MAT</t>
  </si>
  <si>
    <t>Caixa para medição de SPDA</t>
  </si>
  <si>
    <t>Engenheiro(a) / Arquiteto(a) pleno</t>
  </si>
  <si>
    <t>Impermeabilização rígida (semiflexível) com cimento modificado com polímero</t>
  </si>
  <si>
    <t>Bloco autônomo de emergência com fluxo mínimo de 2400 lumens</t>
  </si>
  <si>
    <t>ARGAMASSA POLIMERICA IMPERMEABILIZANTE SEMIFLEXIVEL, BICOMPONENTE (MEMBRANA IMPERMEABILIZANTE ACRILICA), RESISTENTE A EFLUENTES DOMÉSTICOS E SUBSTÂNCIAS AGRESSIVAS</t>
  </si>
  <si>
    <t>Tratamento de juntas de movimentação em revestimentos</t>
  </si>
  <si>
    <t>Fonte: SINAPI 98575 (05/2022)</t>
  </si>
  <si>
    <t>Fonte: SIURB 08-01-70 e SBC 150700</t>
  </si>
  <si>
    <t>SIURB-INFRA 51643</t>
  </si>
  <si>
    <t>ELETRODUTO DE AÇO GALVANIZADO A FOGO TIPO MÉDIO ROSCA NBR 8133 - ESP. 0,90MM - 1 1/4"</t>
  </si>
  <si>
    <t>ELETRODUTO DE AÇO GALVANIZADO A FOGO TIPO MÉDIO ROSCA NBR 8133 - ESP. 0,90MM - 1 1/2"</t>
  </si>
  <si>
    <t>ELETRODUTO DE AÇO GALVANIZADO A FOGO TIPO MÉDIO ROSCA NBR 8133 - ESP. 0,90MM - 2"</t>
  </si>
  <si>
    <t>SIURB-INFRA 51644</t>
  </si>
  <si>
    <t>SIURB-INFRA 51645</t>
  </si>
  <si>
    <t>ELETRODUTO DE AÇO GALVANIZADO A FOGO TIPO MÉDIO ROSCA NBR 8133 - ESP. 1,20MM - 2 1/2"</t>
  </si>
  <si>
    <t>SIURB-INFRA 51646</t>
  </si>
  <si>
    <t>SIURB-INFRA 51647</t>
  </si>
  <si>
    <t>ELETRODUTO DE AÇO GALVANIZADO A FOGO TIPO SEMI-PESADO/MÉDIO ROSCA NBR 8133 - ESP. 1,50MM - 3"</t>
  </si>
  <si>
    <t>ELETRODUTO DE AÇO GALVANIZADO A FOGO TIPO SEMI-PESADO/MÉDIO ROSCA NBR 8133 - ESP. 1,50MM - 4"</t>
  </si>
  <si>
    <t>SIURB-INFRA 51649</t>
  </si>
  <si>
    <t>SBC 078051</t>
  </si>
  <si>
    <t>CARTUCHO EM PO PARA SOLDA EXOTERMICA 90/115/150/250</t>
  </si>
  <si>
    <t>MOLDE CADINHO SOLDA EXOTERMICA Cch 35mm</t>
  </si>
  <si>
    <t>PALITO IGNITOR PARA SOLDA EXOTERMICA</t>
  </si>
  <si>
    <t>FORRO COLMEIA 625x1250mm B15 REFAX</t>
  </si>
  <si>
    <t>MANTA TERMO ACUSTICA 1 FACE TERMOFOIL</t>
  </si>
  <si>
    <t>SBC 120411</t>
  </si>
  <si>
    <t>3,37</t>
  </si>
  <si>
    <t>7,00</t>
  </si>
  <si>
    <t>78,40</t>
  </si>
  <si>
    <t>11,51</t>
  </si>
  <si>
    <t>12,97</t>
  </si>
  <si>
    <t>12,63</t>
  </si>
  <si>
    <t>2.271,00</t>
  </si>
  <si>
    <t>39,00</t>
  </si>
  <si>
    <t>20,76</t>
  </si>
  <si>
    <t>2,93</t>
  </si>
  <si>
    <t>13,80</t>
  </si>
  <si>
    <t>1.207,84</t>
  </si>
  <si>
    <t>4,39</t>
  </si>
  <si>
    <t>3,81</t>
  </si>
  <si>
    <t>24,47</t>
  </si>
  <si>
    <t>22,94</t>
  </si>
  <si>
    <t>16,62</t>
  </si>
  <si>
    <t>52,47</t>
  </si>
  <si>
    <t>36,95</t>
  </si>
  <si>
    <t>4,47</t>
  </si>
  <si>
    <t>9,52</t>
  </si>
  <si>
    <t>57,92</t>
  </si>
  <si>
    <t>15,78</t>
  </si>
  <si>
    <t>24,71</t>
  </si>
  <si>
    <t>216,49</t>
  </si>
  <si>
    <t>70,66</t>
  </si>
  <si>
    <t>2,78</t>
  </si>
  <si>
    <t>2,19</t>
  </si>
  <si>
    <t>485.871,11</t>
  </si>
  <si>
    <t>518.574,00</t>
  </si>
  <si>
    <t>536.140,12</t>
  </si>
  <si>
    <t>597.995,26</t>
  </si>
  <si>
    <t>565.292,38</t>
  </si>
  <si>
    <t>588.651,54</t>
  </si>
  <si>
    <t>465.315,05</t>
  </si>
  <si>
    <t>466.249,41</t>
  </si>
  <si>
    <t>741.887,83</t>
  </si>
  <si>
    <t>717.594,30</t>
  </si>
  <si>
    <t>766.181,41</t>
  </si>
  <si>
    <t>703.578,80</t>
  </si>
  <si>
    <t>21,76</t>
  </si>
  <si>
    <t>4,90</t>
  </si>
  <si>
    <t>31,65</t>
  </si>
  <si>
    <t>2,56</t>
  </si>
  <si>
    <t>4,91</t>
  </si>
  <si>
    <t>13,01</t>
  </si>
  <si>
    <t>13,23</t>
  </si>
  <si>
    <t>115,39</t>
  </si>
  <si>
    <t>65,10</t>
  </si>
  <si>
    <t>13,83</t>
  </si>
  <si>
    <t>11,05</t>
  </si>
  <si>
    <t>34,19</t>
  </si>
  <si>
    <t>27,73</t>
  </si>
  <si>
    <t>20,32</t>
  </si>
  <si>
    <t>13,48</t>
  </si>
  <si>
    <t>44,02</t>
  </si>
  <si>
    <t>107,96</t>
  </si>
  <si>
    <t>16,08</t>
  </si>
  <si>
    <t>10,48</t>
  </si>
  <si>
    <t>60,21</t>
  </si>
  <si>
    <t>20,54</t>
  </si>
  <si>
    <t>37,90</t>
  </si>
  <si>
    <t>24,92</t>
  </si>
  <si>
    <t>26,76</t>
  </si>
  <si>
    <t>71,69</t>
  </si>
  <si>
    <t>34,48</t>
  </si>
  <si>
    <t>39,58</t>
  </si>
  <si>
    <t>6.025,10</t>
  </si>
  <si>
    <t>14,79</t>
  </si>
  <si>
    <t>40,79</t>
  </si>
  <si>
    <t>53,30</t>
  </si>
  <si>
    <t>40,91</t>
  </si>
  <si>
    <t>18,48</t>
  </si>
  <si>
    <t>44,77</t>
  </si>
  <si>
    <t>20,91</t>
  </si>
  <si>
    <t>2,43</t>
  </si>
  <si>
    <t>26,66</t>
  </si>
  <si>
    <t>2,10</t>
  </si>
  <si>
    <t>14,73</t>
  </si>
  <si>
    <t>3,43</t>
  </si>
  <si>
    <t>26,01</t>
  </si>
  <si>
    <t>95,87</t>
  </si>
  <si>
    <t>6,21</t>
  </si>
  <si>
    <t>23,01</t>
  </si>
  <si>
    <t>1.235,91</t>
  </si>
  <si>
    <t>24,43</t>
  </si>
  <si>
    <t>43,76</t>
  </si>
  <si>
    <t>7,71</t>
  </si>
  <si>
    <t>52,34</t>
  </si>
  <si>
    <t>36,89</t>
  </si>
  <si>
    <t>12,95</t>
  </si>
  <si>
    <t>5,02</t>
  </si>
  <si>
    <t>6,60</t>
  </si>
  <si>
    <t>21,71</t>
  </si>
  <si>
    <t>16,40</t>
  </si>
  <si>
    <t>21,45</t>
  </si>
  <si>
    <t>6.434,22</t>
  </si>
  <si>
    <t>53,23</t>
  </si>
  <si>
    <t>82,50</t>
  </si>
  <si>
    <t>1.200,01</t>
  </si>
  <si>
    <t>250,00</t>
  </si>
  <si>
    <t>577,50</t>
  </si>
  <si>
    <t>720,00</t>
  </si>
  <si>
    <t>2.090,75</t>
  </si>
  <si>
    <t>3.957,85</t>
  </si>
  <si>
    <t>49,42</t>
  </si>
  <si>
    <t>21,69</t>
  </si>
  <si>
    <t>142,85</t>
  </si>
  <si>
    <t>29,60</t>
  </si>
  <si>
    <t>40,37</t>
  </si>
  <si>
    <t>2.424,64</t>
  </si>
  <si>
    <t>1.843,37</t>
  </si>
  <si>
    <t>3,69</t>
  </si>
  <si>
    <t>4.789,18</t>
  </si>
  <si>
    <t>5.175,40</t>
  </si>
  <si>
    <t>2.580,78</t>
  </si>
  <si>
    <t>2.701,34</t>
  </si>
  <si>
    <t>26,16</t>
  </si>
  <si>
    <t>21,38</t>
  </si>
  <si>
    <t>57,36</t>
  </si>
  <si>
    <t>4,21</t>
  </si>
  <si>
    <t>29,26</t>
  </si>
  <si>
    <t>31,42</t>
  </si>
  <si>
    <t>17,86</t>
  </si>
  <si>
    <t>26,94</t>
  </si>
  <si>
    <t>41,44</t>
  </si>
  <si>
    <t>16,52</t>
  </si>
  <si>
    <t>33,98</t>
  </si>
  <si>
    <t>15,72</t>
  </si>
  <si>
    <t>62,23</t>
  </si>
  <si>
    <t>18,72</t>
  </si>
  <si>
    <t>6,88</t>
  </si>
  <si>
    <t>23,78</t>
  </si>
  <si>
    <t>24,14</t>
  </si>
  <si>
    <t>51,41</t>
  </si>
  <si>
    <t>101,25</t>
  </si>
  <si>
    <t>44,51</t>
  </si>
  <si>
    <t>11,47</t>
  </si>
  <si>
    <t>39,60</t>
  </si>
  <si>
    <t>30,60</t>
  </si>
  <si>
    <t>2,08</t>
  </si>
  <si>
    <t>26,20</t>
  </si>
  <si>
    <t>44,26</t>
  </si>
  <si>
    <t>52,27</t>
  </si>
  <si>
    <t>58,16</t>
  </si>
  <si>
    <t>34,47</t>
  </si>
  <si>
    <t>37,85</t>
  </si>
  <si>
    <t>34,01</t>
  </si>
  <si>
    <t>3,55</t>
  </si>
  <si>
    <t>54,02</t>
  </si>
  <si>
    <t>19,91</t>
  </si>
  <si>
    <t>33,67</t>
  </si>
  <si>
    <t>20,47</t>
  </si>
  <si>
    <t>63,65</t>
  </si>
  <si>
    <t>FABRICAÇÃO E INSTALAÇÃO DE TESOURA INTEIRA EM AÇO, VÃO DE 3 M, PARA TELHA ONDULADA DE FIBROCIMENTO, METÁLICA, PLÁSTICA OU TERMOACÚSTICA, INCLUSO IÇAMENTO. AF_12/2015</t>
  </si>
  <si>
    <t>35,46</t>
  </si>
  <si>
    <t>32,75</t>
  </si>
  <si>
    <t>85,33</t>
  </si>
  <si>
    <t>TUBULÃO A CÉU ABERTO, DIÂMETRO DO FUSTE DE 70CM, ESCAVAÇÃO MANUAL, SEM ALARGAMENTO DE BASE, CONCRETO FEITO EM OBRA E LANÇADO COM JERICA. AF_05/2020_PA</t>
  </si>
  <si>
    <t>TUBULÃO A CÉU ABERTO, DIÂMETRO DO FUSTE DE 80CM, ESCAVAÇÃO MANUAL, SEM ALARGAMENTO DE BASE, CONCRETO FEITO EM OBRA E LANÇADO COM JERICA. AF_05/2020_PA</t>
  </si>
  <si>
    <t>TUBULÃO A CÉU ABERTO, DIÂMETRO DO FUSTE DE 100CM, ESCAVAÇÃO MANUAL, SEM ALARGAMENTO DE BASE, CONCRETO FEITO EM OBRA E LANÇADO COM JERICA. AF_05/2020_PA</t>
  </si>
  <si>
    <t>TUBULÃO A CÉU ABERTO, DIÂMETRO DO FUSTE DE 120CM, ESCAVAÇÃO MANUAL, SEM ALARGAMENTO DE BASE, CONCRETO FEITO EM OBRA E LANÇADO COM JERICA. AF_05/2020_PA</t>
  </si>
  <si>
    <t>TUBULÃO A CÉU ABERTO, DIÂMETRO DO FUSTE DE 70CM, ESCAVAÇÃO MECÂNICA, SEM ALARGAMENTO DE BASE, CONCRETO FEITO EM OBRA E LANÇADO COM JERICA. AF_05/2020_PA</t>
  </si>
  <si>
    <t>TUBULÃO A CÉU ABERTO, DIÂMETRO DO FUSTE DE 80CM, ESCAVAÇÃO MECÂNICA, SEM ALARGAMENTO DE BASE, CONCRETO FEITO EM OBRA E LANÇADO COM JERICA (EXCLUSIVE MOBILIZAÇÃO E DESMOBILIZAÇÃO). AF_05/2020_PA</t>
  </si>
  <si>
    <t>TUBULÃO A CÉU ABERTO, DIÂMETRO DO FUSTE DE 100CM, ESCAVAÇÃO MECÂNICA, SEM ALARGAMENTO DE BASE, CONCRETO FEITO EM OBRA E LANÇADO COM JERICA (EXCLUSIVE MOBILIZAÇÃO E DESMOBILIZAÇÃO). AF_05/2020_PA</t>
  </si>
  <si>
    <t>TUBULÃO A CÉU ABERTO, DIÂMETRO DO FUSTE DE 120CM, ESCAVAÇÃO MECÂNICA, SEM ALARGAMENTO DE BASE, CONCRETO FEITO EM OBRA E LANÇADO COM JERICA (EXCLUSIVE MOBILIZAÇÃO E DESMOBILIZAÇÃO). AF_05/2020_PA</t>
  </si>
  <si>
    <t>TUBULÃO A CÉU ABERTO, DIÂMETRO DO FUSTE DE 70CM, ESCAVAÇÃO MANUAL, SEM ALARGAMENTO DE BASE, CONCRETO USINADO E LANÇADO COM BOMBA OU DIRETAMENTE DO CAMINHÃO (EXCLUSIVE BOMBEAMENTO). AF_05/2020_PA</t>
  </si>
  <si>
    <t>TUBULÃO A CÉU ABERTO, DIÂMETRO DO FUSTE DE 80CM, ESCAVAÇÃO MANUAL, SEM ALARGAMENTO DE BASE, CONCRETO USINADO E LANÇADO COM BOMBA OU DIRETAMENTE DO CAMINHÃO (EXCLUSIVE BOMBEAMENTO). AF_05/2020_PA</t>
  </si>
  <si>
    <t>TUBULÃO A CÉU ABERTO, DIÂMETRO DO FUSTE DE 100CM, ESCAVAÇÃO MANUAL, SEM ALARGAMENTO DE BASE, CONCRETO USINADO E LANÇADO COM BOMBA OU DIRETAMENTE DO CAMINHÃO (EXCLUSIVE BOMBEAMENTO). AF_05/2020_PA</t>
  </si>
  <si>
    <t>TUBULÃO A CÉU ABERTO, DIÂMETRO DO FUSTE DE 120CM, ESCAVAÇÃO MANUAL, SEM ALARGAMENTO DE BASE, CONCRETO USINADO E LANÇADO COM BOMBA OU DIRETAMENTE DO CAMINHÃO (EXCLUSIVE BOMBEAMENTO). AF_05/2020_PA</t>
  </si>
  <si>
    <t>TUBULÃO A CÉU ABERTO, DIÂMETRO DO FUSTE DE 70CM, ESCAVAÇÃO MECÂNICA, SEM ALARGAMENTO DE BASE, CONCRETO USINADO E LANÇADO COM BOMBA OU DIRETAMENTE DO CAMINHÃO (EXCLUSIVE BOMBEAMENTO, MOBILIZAÇÃO E DESMOBILIZAÇÃO). AF_05/2020_PA</t>
  </si>
  <si>
    <t>TUBULÃO A CÉU ABERTO, DIÂMETRO DO FUSTE DE 80CM, ESCAVAÇÃO MECÂNICA, SEM ALARGAMENTO DE BASE, CONCRETO USINADO E LANÇADO COM BOMBA OU DIRETAMENTE DO CAMINHÃO (EXCLUSIVE BOMBEAMENTO, MOBILIZAÇÃO E DESMOBILIZAÇÃO). AF_05/2020_PA</t>
  </si>
  <si>
    <t>TUBULÃO A CÉU ABERTO, DIÂMETRO DO FUSTE DE 100CM, ESCAVAÇÃO MECÂNICA, SEM ALARGAMENTO DE BASE, CONCRETO USINADO E LANÇADO COM BOMBA OU DIRETAMENTE DO CAMINHÃO (EXCLUSIVE BOMBEAMENTO, MOBILIZAÇÃO E DESMOBILIZAÇÃO). AF_05/2020_PA</t>
  </si>
  <si>
    <t>TUBULÃO A CÉU ABERTO, DIÂMETRO DO FUSTE DE 120CM, ESCAVAÇÃO MECÂNICA, SEM ALARGAMENTO DE BASE, CONCRETO USINADO E LANÇADO COM BOMBA OU DIRETAMENTE DO CAMINHÃO (EXCLUSIVE BOMBEAMENTO, MOBILIZAÇÃO E DESMOBILIZAÇÃO). AF_05/2020_PA</t>
  </si>
  <si>
    <t>ALARGAMENTO DE BASE DE TUBULÃO A CÉU ABERTO, ESCAVAÇÃO MANUAL, CONCRETO USINADO E LANÇADO COM BOMBA OU DIRETAMENTE DO CAMINHÃO (EXCLUSIVE BOMBEAMENTO). AF_05/2020</t>
  </si>
  <si>
    <t>37,30</t>
  </si>
  <si>
    <t>191,16</t>
  </si>
  <si>
    <t>13,07</t>
  </si>
  <si>
    <t>15,96</t>
  </si>
  <si>
    <t>14,64</t>
  </si>
  <si>
    <t>12,20</t>
  </si>
  <si>
    <t>CONCRETAGEM DE PILARES, FCK = 25 MPA, COM USO DE BOMBA - LANÇAMENTO, ADENSAMENTO E ACABAMENTO. AF_02/2022_PS</t>
  </si>
  <si>
    <t>CONCRETAGEM DE VIGAS E LAJES, FCK=25 MPA, PARA LAJES PREMOLDADAS COM USO DE BOMBA - LANÇAMENTO, ADENSAMENTO E ACABAMENTO. AF_02/2022_PS</t>
  </si>
  <si>
    <t>CONCRETAGEM DE VIGAS E LAJES, FCK=25 MPA, PARA LAJES MACIÇAS OU NERVURADAS COM USO DE BOMBA - LANÇAMENTO, ADENSAMENTO E ACABAMENTO. AF_02/2022_PS</t>
  </si>
  <si>
    <t>CONCRETAGEM DE RESERVATÓRIOS, FCK=25 MPA, COM USO DE BOMBA - LANÇAMENTO, ADENSAMENTO E ACABAMENTO. AF_02/2022_PS</t>
  </si>
  <si>
    <t>CONCRETAGEM DE MURETAS, FCK=25 MPA, COM USO DE BOMBA - LANÇAMENTO, ADENSAMENTO E ACABAMENTO. AF_02/2022_PS</t>
  </si>
  <si>
    <t>CONCRETAGEM DE ESCADAS, FCK=25 MPA, COM USO DE BOMBA - LANÇAMENTO, ADENSAMENTO E ACABAMENTO. AF_02/2022_PS</t>
  </si>
  <si>
    <t>17,09</t>
  </si>
  <si>
    <t>29,32</t>
  </si>
  <si>
    <t>12,87</t>
  </si>
  <si>
    <t>33,48</t>
  </si>
  <si>
    <t>34,17</t>
  </si>
  <si>
    <t>29,45</t>
  </si>
  <si>
    <t>35,18</t>
  </si>
  <si>
    <t>62,53</t>
  </si>
  <si>
    <t>26,37</t>
  </si>
  <si>
    <t>79,13</t>
  </si>
  <si>
    <t>28,60</t>
  </si>
  <si>
    <t>62,79</t>
  </si>
  <si>
    <t>40,39</t>
  </si>
  <si>
    <t>24,74</t>
  </si>
  <si>
    <t>34,84</t>
  </si>
  <si>
    <t>33,05</t>
  </si>
  <si>
    <t>12,52</t>
  </si>
  <si>
    <t>24,87</t>
  </si>
  <si>
    <t>20,01</t>
  </si>
  <si>
    <t>20,36</t>
  </si>
  <si>
    <t>25,16</t>
  </si>
  <si>
    <t>25,63</t>
  </si>
  <si>
    <t>21,83</t>
  </si>
  <si>
    <t>35,10</t>
  </si>
  <si>
    <t>18,58</t>
  </si>
  <si>
    <t>143,99</t>
  </si>
  <si>
    <t>33,60</t>
  </si>
  <si>
    <t>44,06</t>
  </si>
  <si>
    <t>100,48</t>
  </si>
  <si>
    <t>82,17</t>
  </si>
  <si>
    <t>32,30</t>
  </si>
  <si>
    <t>34,00</t>
  </si>
  <si>
    <t>14,01</t>
  </si>
  <si>
    <t>17,39</t>
  </si>
  <si>
    <t>16,38</t>
  </si>
  <si>
    <t>24,54</t>
  </si>
  <si>
    <t>15,23</t>
  </si>
  <si>
    <t>25,87</t>
  </si>
  <si>
    <t>24,35</t>
  </si>
  <si>
    <t>12,56</t>
  </si>
  <si>
    <t>24,98</t>
  </si>
  <si>
    <t>47,97</t>
  </si>
  <si>
    <t>22,48</t>
  </si>
  <si>
    <t>23,61</t>
  </si>
  <si>
    <t>23,59</t>
  </si>
  <si>
    <t>3,77</t>
  </si>
  <si>
    <t>3,65</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</si>
  <si>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</si>
  <si>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</si>
  <si>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</si>
  <si>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</si>
  <si>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</si>
  <si>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15,80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</si>
  <si>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</si>
  <si>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</si>
  <si>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ESCAVAÇÃO VERTICAL PARA  EDIFICAÇÃO, COM CARGA, DESCARGA E TRANSPORTE DE SOLO DE 1ª CATEGORIA, COM ESCAVADEIRA HIDRÁULICA (CAÇAMBA: 0,8 M³ / 111 HP), FROTA DE 6 CAMINHÕES BASCULANTES DE 14 M³, DMT DE 4 KM E VELOCIDADE MÉDIA 22 KM/H. AF_05/2020</t>
  </si>
  <si>
    <t>ESCAVAÇÃO VERTICAL PARA  EDIFICAÇÃO, COM CARGA, DESCARGA E TRANSPORTE DE SOLO DE 1ª CATEGORIA, COM ESCAVADEIRA HIDRÁULICA (CAÇAMBA: 0,8 M³ / 111 HP), FROTA DE 7 CAMINHÕES BASCULANTES DE 14 M³, DMT DE 6 KM E VELOCIDADE MÉDIA 22 KM/H. AF_05/2020</t>
  </si>
  <si>
    <t>ESCAVAÇÃO VERTICAL PARA  EDIFICAÇÃO, COM CARGA, DESCARGA E TRANSPORTE DE SOLO DE 1ª CATEGORIA, COM ESCAVADEIRA HIDRÁULICA (CAÇAMBA: 0,8 M³ / 111 HP), FROTA DE 4 CAMINHÕES BASCULANTES DE 18 M³, DMT DE 1,5 KM E VELOCIDADE MÉDIA 18 KM/H. AF_05/2020</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</si>
  <si>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</si>
  <si>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18 M³, DMT DE 3 KM E VELOCIDADE MÉDIA 20 KM/H. AF_05/2020</t>
  </si>
  <si>
    <t>18,51</t>
  </si>
  <si>
    <t>ESCAVAÇÃO VERTICAL PARA  EDIFICAÇÃO, COM CARGA, DESCARGA E TRANSPORTE DE SOLO DE 1ª CATEGORIA, COM ESCAVADEIRA HIDRÁULICA (CAÇAMBA: 0,8 M³ / 111 HP), FROTA DE 5 CAMINHÕES BASCULANTES DE 18 M³, DMT DE 4 KM E VELOCIDADE MÉDIA 22 KM/H. AF_05/2020</t>
  </si>
  <si>
    <t>ESCAVAÇÃO VERTICAL PARA  EDIFICAÇÃO, COM CARGA, DESCARGA E TRANSPORTE DE SOLO DE 1ª CATEGORIA, COM ESCAVADEIRA HIDRÁULICA (CAÇAMBA: 0,8 M³ / 111 HP), FROTA DE 6 CAMINHÕES BASCULANTES DE 18 M³, DMT DE 6 KM E VELOCIDADE MÉDIA 22 KM/H. AF_05/2020</t>
  </si>
  <si>
    <t>ESCAVAÇÃO VERTICAL PARA  EDIFICAÇÃO, COM CARGA, DESCARGA E TRANSPORTE DE SOLO DE 1ª CATEGORIA, COM ESCAVADEIRA HIDRÁULICA (CAÇAMBA: 1,2 M³ / 155 HP), FROTA DE 5 CAMINHÕES BASCULANTES DE 14 M³, DMT DE 1,5 KM E VELOCIDADE MÉDIA 18 KM/H. AF_05/2020</t>
  </si>
  <si>
    <t>ESCAVAÇÃO VERTICAL PARA  EDIFICAÇÃO, COM CARGA, DESCARGA E TRANSPORTE DE SOLO DE 1ª CATEGORIA, COM ESCAVADEIRA HIDRÁULICA (CAÇAMBA: 1,2 M³ / 155 HP), FROTA DE 5 CAMINHÕES BASCULANTES DE 14 M³, DMT DE 2 KM E VELOCIDADE MÉDIA 19 KM/H. AF_05/2020</t>
  </si>
  <si>
    <t>ESCAVAÇÃO VERTICAL PARA  EDIFICAÇÃO, COM CARGA, DESCARGA E TRANSPORTE DE SOLO DE 1ª CATEGORIA, COM ESCAVADEIRA HIDRÁULICA (CAÇAMBA: 1,2 M³ / 155 HP), FROTA DE 6 CAMINHÕES BASCULANTES DE 14 M³, DMT DE 3 KM E VELOCIDADE MÉDIA 20 KM/H. AF_05/2020</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</si>
  <si>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</si>
  <si>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</si>
  <si>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ESCAVAÇÃO VERTICAL PARA  EDIFICAÇÃO, COM CARGA, DESCARGA E TRANSPORTE DE SOLO DE 1ª CATEGORIA, COM ESCAVADEIRA HIDRÁULICA (CAÇAMBA: 1,2 M³ / 155 HP), FROTA DE 5 CAMINHÕES BASCULANTES DE 18 M³, DMT DE 1,5 KM E VELOCIDADE MÉDIA 18 KM/H. AF_05/2020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</si>
  <si>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</si>
  <si>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</si>
  <si>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</si>
  <si>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</si>
  <si>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</si>
  <si>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</si>
  <si>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1,2 M³ / 155 HP), FROTA DE 3 CAMINHÕES BASCULANTES DE 14 M³, DMT ATÉ 1 KM E VELOCIDADE MÉDIA14 KM/H. AF_05/2020</t>
  </si>
  <si>
    <t>ESCAVAÇÃO VERTICAL PARA INFRAESTRUTURA, COM CARGA, DESCARGA E TRANSPORTE DE SOLO DE 1ª CATEGORIA, COM ESCAVADEIRA HIDRÁULICA (CAÇAMBA: 1,2 M³ / 155 HP), FROTA DE 3 CAMINHÕES BASCULANTES DE 18 M³, DMT ATÉ 1 KM E VELOCIDADE MÉDIA14 KM/H. AF_05/2020</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</si>
  <si>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</si>
  <si>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</si>
  <si>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</si>
  <si>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</si>
  <si>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ESCAVAÇÃO VERTICAL PARA INFRAESTRUTURA, COM CARGA, DESCARGA E TRANSPORTE DE SOLO DE 1ª CATEGORIA, COM ESCAVADEIRA HIDRÁULICA (CAÇAMBA: 0,8 M³ / 111HP), FROTA DE 8 CAMINHÕES BASCULANTES DE 14 M³, DMT DE 6 KM E VELOCIDADE MÉDIA 22 KM/H. AF_05/2020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</si>
  <si>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</si>
  <si>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</si>
  <si>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</si>
  <si>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18 M³, DMT DE 4 KM E VELOCIDADE MÉDIA 22 KM/H. AF_05/2020</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</si>
  <si>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</si>
  <si>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</si>
  <si>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14,27</t>
  </si>
  <si>
    <t>ESCAVAÇÃO VERTICAL PARA INFRAESTRUTURA, COM CARGA, DESCARGA E TRANSPORTE DE SOLO DE 1ª CATEGORIA, COM ESCAVADEIRA HIDRÁULICA (CAÇAMBA: 1,2 M³ / 155HP), FROTA DE 6 CAMINHÕES BASCULANTES DE 14 M³, DMT DE 2 KM E VELOCIDADE MÉDIA 19 KM/H. AF_05/2020</t>
  </si>
  <si>
    <t>ESCAVAÇÃO VERTICAL PARA INFRAESTRUTURA, COM CARGA, DESCARGA E TRANSPORTE DE SOLO DE 1ª CATEGORIA, COM ESCAVADEIRA HIDRÁULICA (CAÇAMBA: 1,2 M³ / 155HP), FROTA DE 7 CAMINHÕES BASCULANTES DE 14 M³, DMT DE 3 KM E VELOCIDADE MÉDIA 20 KM/H. AF_05/2020</t>
  </si>
  <si>
    <t>ESCAVAÇÃO VERTICAL PARA INFRAESTRUTURA, COM CARGA, DESCARGA E TRANSPORTE DE SOLO DE 1ª CATEGORIA, COM ESCAVADEIRA HIDRÁULICA (CAÇAMBA: 1,2 M³ / 155HP), FROTA DE 8 CAMINHÕES BASCULANTES DE 14 M³, DMT DE 4 KM E VELOCIDADE MÉDIA 22 KM/H. AF_05/2020</t>
  </si>
  <si>
    <t>ESCAVAÇÃO VERTICAL PARA INFRAESTRUTURA, COM CARGA, DESCARGA E TRANSPORTE DE SOLO DE 1ª CATEGORIA, COM ESCAVADEIRA HIDRÁULICA (CAÇAMBA: 1,2 M³ / 155HP), FROTA DE 10 CAMINHÕES BASCULANTES DE 14 M³, DMT DE 6 KM E VELOCIDADE MÉDIA22 KM/H. AF_05/2020</t>
  </si>
  <si>
    <t>ESCAVAÇÃO VERTICAL PARA INFRAESTRUTURA, COM CARGA, DESCARGA E TRANSPORTE DE SOLO DE 1ª CATEGORIA, COM ESCAVADEIRA HIDRÁULICA (CAÇAMBA: 1,2 M³ / 155HP), FROTA DE 5 CAMINHÕES BASCULANTES DE 18 M³, DMT DE 1,5 KM E VELOCIDADE MÉDIA18 KM/H. AF_05/2020</t>
  </si>
  <si>
    <t>ESCAVAÇÃO VERTICAL PARA INFRAESTRUTURA, COM CARGA, DESCARGA E TRANSPORTE DE SOLO DE 1ª CATEGORIA, COM ESCAVADEIRA HIDRÁULICA (CAÇAMBA: 1,2 M³ / 155HP), FROTA DE 6 CAMINHÕES BASCULANTES DE 18 M³, DMT DE 2 KM E VELOCIDADE MÉDIA 19 KM/H. AF_05/2020</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</si>
  <si>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</si>
  <si>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</si>
  <si>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17,16</t>
  </si>
  <si>
    <t>ESCAVAÇÃO VERTICAL PARA INFRAESTRUTURA, COM CARGA, DESCARGA E TRANSPORTE DE SOLO DE 1ª CATEGORIA, COM ESCAVADEIRA HIDRÁULICA (CAÇAMBA: 1,2 M³ / 155HP), FROTA DE 9 CAMINHÕES BASCULANTES DE 18 M³, DMT DE 6 KM E VELOCIDADE MÉDIA 22 KM/H. AF_05/2020</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</si>
  <si>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</si>
  <si>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1,2 M³ / 155HP), FROTA DE 3 CAMINHÕES BASCULANTES DE 10 M³, DMT ATÉ 1 KM E VELOCIDADE MÉDIA 14 KM/H. AF_05/2020</t>
  </si>
  <si>
    <t>ESCAVAÇÃO VERTICAL PARA  EDIFICAÇÃO, COM CARGA, DESCARGA E TRANSPORTE DE SOLO DE 1ª CATEGORIA, COM ESCAVADEIRA HIDRÁULICA (CAÇAMBA: 0,8 M³ / 111HP), FROTA DE 5 CAMINHÕES BASCULANTES DE 10 M³, DMT DE 1,5 KM E VELOCIDADE MÉDIA 18 KM/H. AF_05/2020</t>
  </si>
  <si>
    <t>ESCAVAÇÃO VERTICAL PARA  EDIFICAÇÃO, COM CARGA, DESCARGA E TRANSPORTE DE SOLO DE 1ª CATEGORIA, COM ESCAVADEIRA HIDRÁULICA (CAÇAMBA: 0,8 M³ / 111HP), FROTA DE 5 CAMINHÕES BASCULANTES DE 10 M³, DMT DE 2 KM E VELOCIDADE MÉDIA 19 KM/H. AF_05/2020</t>
  </si>
  <si>
    <t>ESCAVAÇÃO VERTICAL PARA  EDIFICAÇÃO, COM CARGA, DESCARGA E TRANSPORTE DE SOLO DE 1ª CATEGORIA, COM ESCAVADEIRA HIDRÁULICA (CAÇAMBA: 0,8 M³ / 111HP), FROTA DE 6 CAMINHÕES BASCULANTES DE 10 M³, DMT DE 3 KM E VELOCIDADE MÉDIA 20 KM/H. AF_05/2020</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</si>
  <si>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</si>
  <si>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</si>
  <si>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ESCAVAÇÃO VERTICAL PARA  EDIFICAÇÃO, COM CARGA, DESCARGA E TRANSPORTE DE SOLO DE 1ª CATEGORIA, COM ESCAVADEIRA HIDRÁULICA (CAÇAMBA: 1,2 M³ / 155HP), FROTA DE 6 CAMINHÕES BASCULANTES DE 10 M³, DMT DE 1,5 KM E VELOCIDADE MÉDIA 18 KM/H. AF_05/2020</t>
  </si>
  <si>
    <t>ESCAVAÇÃO VERTICAL PARA  EDIFICAÇÃO, COM CARGA, DESCARGA E TRANSPORTE DE SOLO DE 1ª CATEGORIA, COM ESCAVADEIRA HIDRÁULICA (CAÇAMBA: 1,2 M³ / 155HP), FROTA DE 6 CAMINHÕES BASCULANTES DE 10 M³, DMT DE 2 KM E VELOCIDADE MÉDIA 19 KM/H. AF_05/2020</t>
  </si>
  <si>
    <t>ESCAVAÇÃO VERTICAL PARA  EDIFICAÇÃO, COM CARGA, DESCARGA E TRANSPORTE DE SOLO DE 1ª CATEGORIA, COM ESCAVADEIRA HIDRÁULICA (CAÇAMBA: 1,2 M³ / 155HP), FROTA DE 7 CAMINHÕES BASCULANTES DE 10 M³, DMT DE 3 KM E VELOCIDADE MÉDIA 20 KM/H. AF_05/2020</t>
  </si>
  <si>
    <t>ESCAVAÇÃO VERTICAL PARA  EDIFICAÇÃO, COM CARGA, DESCARGA E TRANSPORTE DE SOLO DE 1ª CATEGORIA, COM ESCAVADEIRA HIDRÁULICA (CAÇAMBA: 1,2 M³ / 155HP), FROTA DE 8 CAMINHÕES BASCULANTES DE 10 M³, DMT DE 4 KM E VELOCIDADE MÉDIA 22 KM/H. AF_05/2020</t>
  </si>
  <si>
    <t>ESCAVAÇÃO VERTICAL PARA  EDIFICAÇÃO, COM CARGA, DESCARGA E TRANSPORTE DE SOLO DE 1ª CATEGORIA, COM ESCAVADEIRA HIDRÁULICA (CAÇAMBA: 1,2 M³ / 155HP), FROTA DE 10 CAMINHÕES BASCULANTES DE 10 M³, DMT DE 6 KM E VELOCIDADE MÉDIA 22 KM/H. AF_05/2020</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</si>
  <si>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</si>
  <si>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1,2 M³ / 155HP), FROTA DE 4 CAMINHÕES BASCULANTES DE 10 M³, DMT ATÉ 1 KM E VELOCIDADE MÉDIA14 KM/H. AF_05/2020</t>
  </si>
  <si>
    <t>ESCAVAÇÃO VERTICAL PARA INFRAESTRUTURA, COM CARGA, DESCARGA E TRANSPORTE DE SOLO DE 1ª CATEGORIA, COM ESCAVADEIRA HIDRÁULICA (CAÇAMBA: 0,8 M³ / 111HP), FROTA DE 5 CAMINHÕES BASCULANTES DE 10 M³, DMT DE 1,5 KM E VELOCIDADE MÉDIA18 KM/H. AF_05/2020</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</si>
  <si>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</si>
  <si>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7 CAMINHÕES BASCULANTES DE 10 M³, DMT DE 3 KM E VELOCIDADE MÉDIA 20 KM/H. AF_05/2020</t>
  </si>
  <si>
    <t>ESCAVAÇÃO VERTICAL PARA INFRAESTRUTURA, COM CARGA, DESCARGA E TRANSPORTE DE SOLO DE 1ª CATEGORIA, COM ESCAVADEIRA HIDRÁULICA (CAÇAMBA: 0,8 M³ / 111HP), FROTA DE 8 CAMINHÕES BASCULANTES DE 10 M³, DMT DE 4 KM E VELOCIDADE MÉDIA 22 KM/H. AF_05/2020</t>
  </si>
  <si>
    <t>ESCAVAÇÃO VERTICAL PARA INFRAESTRUTURA, COM CARGA, DESCARGA E TRANSPORTE DE SOLO DE 1ª CATEGORIA, COM ESCAVADEIRA HIDRÁULICA (CAÇAMBA: 0,8 M³ / 111HP), FROTA DE 10 CAMINHÕES BASCULANTES DE 10 M³, DMT DE 6 KM E VELOCIDADE MÉDIA22 KM/H. AF_05/2020</t>
  </si>
  <si>
    <t>ESCAVAÇÃO VERTICAL PARA INFRAESTRUTURA, COM CARGA, DESCARGA E TRANSPORTE DE SOLO DE 1ª CATEGORIA, COM ESCAVADEIRA HIDRÁULICA (CAÇAMBA: 1,2 M³ / 155HP), FROTA DE 6 CAMINHÕES BASCULANTES DE 10 M³, DMT DE 1,5 KM E VELOCIDADE MÉDIA18 KM/H. AF_05/2020</t>
  </si>
  <si>
    <t>ESCAVAÇÃO VERTICAL PARA INFRAESTRUTURA, COM CARGA, DESCARGA E TRANSPORTE DE SOLO DE 1ª CATEGORIA, COM ESCAVADEIRA HIDRÁULICA (CAÇAMBA: 1,2 M³ / 155HP), FROTA DE 7 CAMINHÕES BASCULANTES DE 10 M³, DMT DE 2 KM E VELOCIDADE MÉDIA 19 KM/H. AF_05/2020</t>
  </si>
  <si>
    <t>ESCAVAÇÃO VERTICAL PARA INFRAESTRUTURA, COM CARGA, DESCARGA E TRANSPORTE DE SOLO DE 1ª CATEGORIA, COM ESCAVADEIRA HIDRÁULICA (CAÇAMBA: 1,2 M³ / 155HP), FROTA DE 8 CAMINHÕES BASCULANTES DE 10 M³, DMT DE 3 KM E VELOCIDADE MÉDIA 20 KM/H. AF_05/2020</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</si>
  <si>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</si>
  <si>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12 CAMINHÕES BASCULANTES DE 10 M³, DMT DE 6 KM E VELOCIDADE MÉDIA22 KM/H. AF_05/2020</t>
  </si>
  <si>
    <t>4,92</t>
  </si>
  <si>
    <t>6,70</t>
  </si>
  <si>
    <t>9,42</t>
  </si>
  <si>
    <t>22,63</t>
  </si>
  <si>
    <t>DIVISÓRIA FIXA EM VIDRO TEMPERADO 10 MM, SEM ABERTURA. AF_01/2021_PS</t>
  </si>
  <si>
    <t>66,37</t>
  </si>
  <si>
    <t>57,30</t>
  </si>
  <si>
    <t>24,66</t>
  </si>
  <si>
    <t>103689</t>
  </si>
  <si>
    <t>FORNECIMENTO E INSTALAÇÃO DE PLACA DE OBRA COM CHAPA GALVANIZADA E ESTRUTURA DE MADEIRA. AF_03/2022_PS</t>
  </si>
  <si>
    <t>FUNDO SELADOR ACRÍLICO, APLICAÇÃO MANUAL EM TETO, UMA DEMÃO. AF_04/2023</t>
  </si>
  <si>
    <t>FUNDO SELADOR ACRÍLICO, APLICAÇÃO MANUAL EM PAREDE, UMA DEMÃO. AF_04/2023</t>
  </si>
  <si>
    <t>PINTURA LÁTEX ACRÍLICA PREMIUM, APLICAÇÃO MANUAL EM TETO, DUAS DEMÃOS. AF_04/2023</t>
  </si>
  <si>
    <t>PINTURA LÁTEX ACRÍLICA PREMIUM, APLICAÇÃO MANUAL EM PAREDES, DUAS DEMÃOS. AF_04/2023</t>
  </si>
  <si>
    <t>EMASSAMENTO COM MASSA LÁTEX, APLICAÇÃO EM TETO, UMA DEMÃO, LIXAMENTO MANUAL. AF_04/2023</t>
  </si>
  <si>
    <t>EMASSAMENTO COM MASSA LÁTEX, APLICAÇÃO EM PAREDE, UMA DEMÃO, LIXAMENTO MANUAL. AF_04/2023</t>
  </si>
  <si>
    <t>EMASSAMENTO COM MASSA LÁTEX, APLICAÇÃO EM TETO, DUAS DEMÃOS, LIXAMENTO MANUAL. AF_04/2023</t>
  </si>
  <si>
    <t>EMASSAMENTO COM MASSA LÁTEX, APLICAÇÃO EM PAREDE, DUAS DEMÃOS, LIXAMENTO MANUAL. AF_04/2023</t>
  </si>
  <si>
    <t>TEXTURA ACRÍLICA, APLICAÇÃO MANUAL EM PAREDE, UMA DEMÃO. AF_04/2023</t>
  </si>
  <si>
    <t>TEXTURA ACRÍLICA, APLICAÇÃO MANUAL EM TETO, UMA DEMÃO. AF_04/2023</t>
  </si>
  <si>
    <t>104639</t>
  </si>
  <si>
    <t>PINTURA LÁTEX ACRÍLICA ECONÔMICA, APLICAÇÃO MANUAL EM TETO, DUAS DEMÃOS. AF_04/2023</t>
  </si>
  <si>
    <t>104640</t>
  </si>
  <si>
    <t>PINTURA LÁTEX ACRÍLICA STANDARD, APLICAÇÃO MANUAL EM TETO, DUAS DEMÃOS. AF_04/2023</t>
  </si>
  <si>
    <t>104641</t>
  </si>
  <si>
    <t>PINTURA LÁTEX ACRÍLICA ECONÔMICA, APLICAÇÃO MANUAL EM PAREDES, DUAS DEMÃOS. AF_04/2023</t>
  </si>
  <si>
    <t>104642</t>
  </si>
  <si>
    <t>PINTURA LÁTEX ACRÍLICA STANDARD, APLICAÇÃO MANUAL EM PAREDES, DUAS DEMÃOS. AF_04/2023</t>
  </si>
  <si>
    <t>56,93</t>
  </si>
  <si>
    <t>41,74</t>
  </si>
  <si>
    <t>43,90</t>
  </si>
  <si>
    <t>120,03</t>
  </si>
  <si>
    <t>58,15</t>
  </si>
  <si>
    <t>34,55</t>
  </si>
  <si>
    <t>9,04</t>
  </si>
  <si>
    <t>69,19</t>
  </si>
  <si>
    <t>71,64</t>
  </si>
  <si>
    <t>27,00</t>
  </si>
  <si>
    <t>75,47</t>
  </si>
  <si>
    <t>2,47</t>
  </si>
  <si>
    <t>6,12</t>
  </si>
  <si>
    <t>11,36</t>
  </si>
  <si>
    <t>25,51</t>
  </si>
  <si>
    <t>28,06</t>
  </si>
  <si>
    <t>145,76</t>
  </si>
  <si>
    <t>37,11</t>
  </si>
  <si>
    <t>53,35</t>
  </si>
  <si>
    <t>24,95</t>
  </si>
  <si>
    <t>141,76</t>
  </si>
  <si>
    <t>58,08</t>
  </si>
  <si>
    <t>82,41</t>
  </si>
  <si>
    <t>49,79</t>
  </si>
  <si>
    <t>78,50</t>
  </si>
  <si>
    <t>9,94</t>
  </si>
  <si>
    <t>102,45</t>
  </si>
  <si>
    <t>47,68</t>
  </si>
  <si>
    <t>25,72</t>
  </si>
  <si>
    <t>53,01</t>
  </si>
  <si>
    <t>27,12</t>
  </si>
  <si>
    <t>56,58</t>
  </si>
  <si>
    <t>47,75</t>
  </si>
  <si>
    <t>62,14</t>
  </si>
  <si>
    <t>55,57</t>
  </si>
  <si>
    <t>30,70</t>
  </si>
  <si>
    <t>80,81</t>
  </si>
  <si>
    <t>23,83</t>
  </si>
  <si>
    <t>28,10</t>
  </si>
  <si>
    <t>29,08</t>
  </si>
  <si>
    <t>86,91</t>
  </si>
  <si>
    <t>38,58</t>
  </si>
  <si>
    <t>14,37</t>
  </si>
  <si>
    <t>21,68</t>
  </si>
  <si>
    <t>9,33</t>
  </si>
  <si>
    <t>49,34</t>
  </si>
  <si>
    <t>15,04</t>
  </si>
  <si>
    <t>39,41</t>
  </si>
  <si>
    <t>25,82</t>
  </si>
  <si>
    <t>29,59</t>
  </si>
  <si>
    <t>15,86</t>
  </si>
  <si>
    <t>52,55</t>
  </si>
  <si>
    <t>22,59</t>
  </si>
  <si>
    <t>40,51</t>
  </si>
  <si>
    <t>20,60</t>
  </si>
  <si>
    <t>12,77</t>
  </si>
  <si>
    <t>145,93</t>
  </si>
  <si>
    <t>69,16</t>
  </si>
  <si>
    <t>35,51</t>
  </si>
  <si>
    <t>132,51</t>
  </si>
  <si>
    <t>102,71</t>
  </si>
  <si>
    <t>27,02</t>
  </si>
  <si>
    <t>27,16</t>
  </si>
  <si>
    <t>33,26</t>
  </si>
  <si>
    <t>15,32</t>
  </si>
  <si>
    <t>50,01</t>
  </si>
  <si>
    <t>24,11</t>
  </si>
  <si>
    <t>32,98</t>
  </si>
  <si>
    <t>75,15</t>
  </si>
  <si>
    <t>73,01</t>
  </si>
  <si>
    <t>13,96</t>
  </si>
  <si>
    <t>30,65</t>
  </si>
  <si>
    <t>4,67</t>
  </si>
  <si>
    <t>Luminária 2 x 7,5 W de embutir</t>
  </si>
  <si>
    <t>Luminária 2 x 7,5 W de sobrepor</t>
  </si>
  <si>
    <t>Luminária 2 x 15 W de embutir</t>
  </si>
  <si>
    <t>Luminária 2 x 15 W de sobrepor</t>
  </si>
  <si>
    <t>Luminária 2 x 28 W de embutir</t>
  </si>
  <si>
    <t>Luminária 2 x 28 W de sobrepor</t>
  </si>
  <si>
    <t>Luminária de embutir T5 2 x 28 W, ref: Intral DE-500 (cod. 08025), Lumicenter FAA20-E228, Lumiluz LDA 2X28W, Sylvania LFT032-RN, G-Light LART5-2X28EBR-AA, Blan ACRUX T5 Elite A-7135</t>
  </si>
  <si>
    <t>Cabo de cobre multipolar isolado 0,6/1 kV 3x2,5 mm² resistente a chama, livre de halogênios</t>
  </si>
  <si>
    <t>Luminária de sobrepor T5 2 x 28 W, ref: Intral DS-500 (cod. 08029), Lumicenter FAA20-S228, Lumiluz LSA 2X28W, Sylvania LFT012-RN, G-Light LART5-2X28SBR-AA, Blan ACRUX T5 Elite A-7035</t>
  </si>
  <si>
    <t>Lâmpada TuboLED T5 de 28 W, ref: Osram SubstiTUBE T5 HO AC 15W 4000K 1850lm BIV G5 (7015215, cód. de barras: 4058075196773), Philips MASTER LEDtube 1200mm 13W840 G5 I</t>
  </si>
  <si>
    <t>Lâmpada TuboLED T5 de 7,5 W, ref.: Osram SubstiTUBE T5 HO AC 7.5W 4000K 900lm BIV G5 (7015212, Código de barras: 4058075196711); Philips CorePro LEDtube 600mm 8W840 G5 I (Código de barras: 8718696750469)</t>
  </si>
  <si>
    <t>Luminária de embutir T5 2 x 7,5 W, ref.: Intral DE-500 (cod. 08017), Lumicenter FAA20-E214, Lumiluz LDA 2x14 W, G-Light LART5-2X14EBR-AA, Blan ACRUX T5 Elite A-7115</t>
  </si>
  <si>
    <t>Luminária de sobrepor T5 2 x 7,5 W, ref.: Intral DS-500 (cod. 08021), Lumicenter FAA20-S214, Lumiluz LSA 2x14 W, G-Light LART5-2X14SBR-AA, Blan ACRUX T5 Elite A-7015</t>
  </si>
  <si>
    <t>Luminária de embutir T5 2 x 15 W, ref.: Intral DE-500 (cod. 08025), Lumicenter FAA20-E228, Lumiluz LDA 2X28W, Sylvania LFT032-RN, G-Light LART5-2X28EBR-AA, Blan ACRUX T5 Elite A-7135</t>
  </si>
  <si>
    <t>Lâmpada TuboLED T5 de 15 W, ref.: Osram SubstiTUBE T5 HO AC 15W 4000K 1850lm BIV G5 (7015215, Código de barras: 4058075196773), Philips MASTER LEDtube 1200mm 13W840 G5 I</t>
  </si>
  <si>
    <t>Luminária de sobrepor T5 2 x 15 W, ref.: Intral DS-500 (cod. 08029), Lumicenter FAA20-S228, Lumiluz LSA 2X28W, Sylvania LFT012-RN, G-Light LART5-2X28SBR-AA, Blan ACRUX T5 Elite A-7035</t>
  </si>
  <si>
    <t>Luminária LED Highbay 200 W, IP65, 20000 lumens, ref.: Osram LEDVANCE HIGHBAY VALUE 200W/4000K 220V (7016720), Osram LEDVANCE HIGHBAY 200W 110o IP65 100-277V (7014443), Osram LEDVANCE HIGHBAY 200W 90o IP65 100-277V (7014445)</t>
  </si>
  <si>
    <t>Luminária de sobrepor T5 2 x 28 W, ref:Osram LEDVANCE DAMP‐PROOF HOUSING Longa Dupla (7016392), Osram LEDVANCE DAMP‐PROOF SEM TUBO DUPLA (7012956), Philips TCW060 2x36, Ourolux Ourofort IP65 2X28/32/36/40W (01527/01528), Lumicenter FHT03‐S228</t>
  </si>
  <si>
    <t>Reator eletrônico 2 x 28 W. Ref.: Osram QUICKTRONIC fit T5 QT‐FIT5 2x14‐35, Philips EL1/214‐28A26 P (EL1/21428).</t>
  </si>
  <si>
    <t>Lâmpada fluorescente T5 de 28 W, ref.: Philips TL5 Essential HE Super 80 28W/840 (TL5‐28W‐ESS/840), Osram HE SL 28 W/840 (7009688, Série Smartlux), Philips TL5‐28W‐HE/840, GE F28W/T5/840</t>
  </si>
  <si>
    <t>Detector de fumaça para central Notifier NFS-320 - fornecimento e instalação</t>
  </si>
  <si>
    <t>Cabo blindado para sistema de alarme de incêndio 2x1,5 mm2 -fornecimento e instalação</t>
  </si>
  <si>
    <t>Central de alarme contra incêndio inteligente - fornecimento e instalação</t>
  </si>
  <si>
    <t>Cabo de cobre nu 35 mm² - fornecimento e instalação</t>
  </si>
  <si>
    <t>Caixa de inspeção de aterramento 300 mm - fornecimento e instalação</t>
  </si>
  <si>
    <t>Minicaptor 600 mm - fornecimento e instalação</t>
  </si>
  <si>
    <t>Cabo de cobre blindado para sistema de alarme de incêndio 2x1,5 mm2, tensão de isolamento de 600 V</t>
  </si>
  <si>
    <t>Detector de fumaça para central Notifier NFS-320, ref.: Notifier FSP-851</t>
  </si>
  <si>
    <t>Central de alarme inteligente contra incêndio, ref.: Notifier - NFS2-3030</t>
  </si>
  <si>
    <t>Caixa para Medição de SPDA, ref.: TERMOTÉCNICA TEL0541</t>
  </si>
  <si>
    <t>Conector CPVC 28 mm x 1”</t>
  </si>
  <si>
    <t>Luva cobre 22 mm</t>
  </si>
  <si>
    <t>Fornecimento e instalação de tampa cega para caixa de gordura - 25 cm de diâmetro</t>
  </si>
  <si>
    <t>Guarda corpo metálico com corrimão</t>
  </si>
  <si>
    <t>Fornecimento e instalação de caixa de gordura 4 litros</t>
  </si>
  <si>
    <t>Tampa cega redonda em aço inox com moldura, para caixa de gordura, 25 cm de diâmetro</t>
  </si>
  <si>
    <t>Luminária Plafon LED Slim 15 W - fornecimento e instalação</t>
  </si>
  <si>
    <t>Luminária Plafon LED Slim 24 W - fornecimento e instalação</t>
  </si>
  <si>
    <t>Tampa unha simples metálica para caixas de piso 4x2 - fornecimento e instalação</t>
  </si>
  <si>
    <t>Tampa unha simples metálica para caixas de piso 4x4 - fornecimento e instalação</t>
  </si>
  <si>
    <t>Tampa unha dupla metálica para caixas de piso 4x4 - fornecimento e instalação</t>
  </si>
  <si>
    <t>Tomada 10A para móveis - fornecimento e instalação</t>
  </si>
  <si>
    <t>Caixa de piso 4x2 - fornecimento e instalação</t>
  </si>
  <si>
    <t>Caixa de piso 4x4 - fornecimento e instalação</t>
  </si>
  <si>
    <t>Luminária Plafon LED Slim 15 W, ref.: Osram Ledvance Slim</t>
  </si>
  <si>
    <t>Luminária Plafon LED Slim 24 W, ref.: Osram Ledvance Slim</t>
  </si>
  <si>
    <t>Tampa unha simples metálica para caixas de piso 4x2</t>
  </si>
  <si>
    <t>Tampa unha simples metálica para caixas de piso 4x4</t>
  </si>
  <si>
    <t>Tampa unha dupla metálica para caixas de piso 4x4</t>
  </si>
  <si>
    <t>Caixa de piso 4x2 em alumínio</t>
  </si>
  <si>
    <t>Caixa de piso 4x4 em alumínio</t>
  </si>
  <si>
    <t>Tomada 2P+T 10A com encaixe para móveis</t>
  </si>
  <si>
    <t>4,50</t>
  </si>
  <si>
    <t>28,20</t>
  </si>
  <si>
    <t>40,38</t>
  </si>
  <si>
    <t>14,14</t>
  </si>
  <si>
    <t>51,00</t>
  </si>
  <si>
    <t>318.204,48</t>
  </si>
  <si>
    <t>1,89</t>
  </si>
  <si>
    <t>15,99</t>
  </si>
  <si>
    <t>42,22</t>
  </si>
  <si>
    <t>39,21</t>
  </si>
  <si>
    <t>19,45</t>
  </si>
  <si>
    <t>21,96</t>
  </si>
  <si>
    <t>21,08</t>
  </si>
  <si>
    <t>2,21</t>
  </si>
  <si>
    <t>67,46</t>
  </si>
  <si>
    <t>26,97</t>
  </si>
  <si>
    <t>10,12</t>
  </si>
  <si>
    <t>32,57</t>
  </si>
  <si>
    <t>61,35</t>
  </si>
  <si>
    <t>202,24</t>
  </si>
  <si>
    <t>16,68</t>
  </si>
  <si>
    <t>75,63</t>
  </si>
  <si>
    <t>49,88</t>
  </si>
  <si>
    <t>4,45</t>
  </si>
  <si>
    <t>14,10</t>
  </si>
  <si>
    <t>21,59</t>
  </si>
  <si>
    <t>64,42</t>
  </si>
  <si>
    <t>35,22</t>
  </si>
  <si>
    <t>50,28</t>
  </si>
  <si>
    <t>25,89</t>
  </si>
  <si>
    <t>10,67</t>
  </si>
  <si>
    <t>61,71</t>
  </si>
  <si>
    <t>32,10</t>
  </si>
  <si>
    <t>94,44</t>
  </si>
  <si>
    <t>18,94</t>
  </si>
  <si>
    <t>34,15</t>
  </si>
  <si>
    <t>26,92</t>
  </si>
  <si>
    <t>13,81</t>
  </si>
  <si>
    <t>16,32</t>
  </si>
  <si>
    <t>10,13</t>
  </si>
  <si>
    <t>16,25</t>
  </si>
  <si>
    <t>14,12</t>
  </si>
  <si>
    <t>22,62</t>
  </si>
  <si>
    <t>36,20</t>
  </si>
  <si>
    <t>62,44</t>
  </si>
  <si>
    <t>62,56</t>
  </si>
  <si>
    <t>4,70</t>
  </si>
  <si>
    <t>39,76</t>
  </si>
  <si>
    <t>46,09</t>
  </si>
  <si>
    <t>6,73</t>
  </si>
  <si>
    <t>54,57</t>
  </si>
  <si>
    <t>15,53</t>
  </si>
  <si>
    <t>23,76</t>
  </si>
  <si>
    <t>20,96</t>
  </si>
  <si>
    <t>391.246,87</t>
  </si>
  <si>
    <t>89.991,11</t>
  </si>
  <si>
    <t>20,80</t>
  </si>
  <si>
    <t>13,21</t>
  </si>
  <si>
    <t>27,34</t>
  </si>
  <si>
    <t>116.000,00</t>
  </si>
  <si>
    <t>246.246,87</t>
  </si>
  <si>
    <t>14,50</t>
  </si>
  <si>
    <t>73,45</t>
  </si>
  <si>
    <t>29,73</t>
  </si>
  <si>
    <t>5,65</t>
  </si>
  <si>
    <t>278,66</t>
  </si>
  <si>
    <t>385,43</t>
  </si>
  <si>
    <t>270,24</t>
  </si>
  <si>
    <t>19,62</t>
  </si>
  <si>
    <t>11,43</t>
  </si>
  <si>
    <t>23,82</t>
  </si>
  <si>
    <t>2,63</t>
  </si>
  <si>
    <t>66,82</t>
  </si>
  <si>
    <t>26,93</t>
  </si>
  <si>
    <t>54,53</t>
  </si>
  <si>
    <t>2,11</t>
  </si>
  <si>
    <t>63,11</t>
  </si>
  <si>
    <t>23,06</t>
  </si>
  <si>
    <t>158,44</t>
  </si>
  <si>
    <t>18,85</t>
  </si>
  <si>
    <t>23,41</t>
  </si>
  <si>
    <t>54,97</t>
  </si>
  <si>
    <t>24,73</t>
  </si>
  <si>
    <t>793.072,01</t>
  </si>
  <si>
    <t>23,87</t>
  </si>
  <si>
    <t>36,54</t>
  </si>
  <si>
    <t>12,09</t>
  </si>
  <si>
    <t>28,48</t>
  </si>
  <si>
    <t>8,56</t>
  </si>
  <si>
    <t>23,97</t>
  </si>
  <si>
    <t>47,58</t>
  </si>
  <si>
    <t>87,53</t>
  </si>
  <si>
    <t>20,30</t>
  </si>
  <si>
    <t>61,13</t>
  </si>
  <si>
    <t>92,14</t>
  </si>
  <si>
    <t>113,41</t>
  </si>
  <si>
    <t>57,23</t>
  </si>
  <si>
    <t>131,57</t>
  </si>
  <si>
    <t>14,83</t>
  </si>
  <si>
    <t>7,94</t>
  </si>
  <si>
    <t>21,88</t>
  </si>
  <si>
    <t>35,42</t>
  </si>
  <si>
    <t>83,23</t>
  </si>
  <si>
    <t>3,61</t>
  </si>
  <si>
    <t>99,23</t>
  </si>
  <si>
    <t>248,09</t>
  </si>
  <si>
    <t>629,09</t>
  </si>
  <si>
    <t>770,86</t>
  </si>
  <si>
    <t>150,62</t>
  </si>
  <si>
    <t>230,37</t>
  </si>
  <si>
    <t>321,63</t>
  </si>
  <si>
    <t>496,18</t>
  </si>
  <si>
    <t>571,50</t>
  </si>
  <si>
    <t>756,68</t>
  </si>
  <si>
    <t>2.410,93</t>
  </si>
  <si>
    <t>816,04</t>
  </si>
  <si>
    <t>45,34</t>
  </si>
  <si>
    <t>37,87</t>
  </si>
  <si>
    <t>34,36</t>
  </si>
  <si>
    <t>57,57</t>
  </si>
  <si>
    <t>127,56</t>
  </si>
  <si>
    <t>13,18</t>
  </si>
  <si>
    <t>3,97</t>
  </si>
  <si>
    <t>10,15</t>
  </si>
  <si>
    <t>26,23</t>
  </si>
  <si>
    <t>218,75</t>
  </si>
  <si>
    <t>37,75</t>
  </si>
  <si>
    <t>54,34</t>
  </si>
  <si>
    <t>40,82</t>
  </si>
  <si>
    <t>32,24</t>
  </si>
  <si>
    <t>48,92</t>
  </si>
  <si>
    <t>103,47</t>
  </si>
  <si>
    <t>53,84</t>
  </si>
  <si>
    <t>29,43</t>
  </si>
  <si>
    <t>57,21</t>
  </si>
  <si>
    <t>28,44</t>
  </si>
  <si>
    <t>100,72</t>
  </si>
  <si>
    <t>29,61</t>
  </si>
  <si>
    <t>8,35</t>
  </si>
  <si>
    <t>3,87</t>
  </si>
  <si>
    <t>96,52</t>
  </si>
  <si>
    <t>57,84</t>
  </si>
  <si>
    <t>24,29</t>
  </si>
  <si>
    <t>399.604,75</t>
  </si>
  <si>
    <t>537.335,18</t>
  </si>
  <si>
    <t>658.491,12</t>
  </si>
  <si>
    <t>712.400,00</t>
  </si>
  <si>
    <t>665.336,65</t>
  </si>
  <si>
    <t>73,28</t>
  </si>
  <si>
    <t>91,06</t>
  </si>
  <si>
    <t>54,85</t>
  </si>
  <si>
    <t>7,57</t>
  </si>
  <si>
    <t>23,56</t>
  </si>
  <si>
    <t>39,95</t>
  </si>
  <si>
    <t>54,75</t>
  </si>
  <si>
    <t>21,64</t>
  </si>
  <si>
    <t>74,20</t>
  </si>
  <si>
    <t>46,33</t>
  </si>
  <si>
    <t>32,38</t>
  </si>
  <si>
    <t>5,19</t>
  </si>
  <si>
    <t>120,15</t>
  </si>
  <si>
    <t>1,51</t>
  </si>
  <si>
    <t>19,95</t>
  </si>
  <si>
    <t>17,92</t>
  </si>
  <si>
    <t>19,32</t>
  </si>
  <si>
    <t>38,64</t>
  </si>
  <si>
    <t>56,21</t>
  </si>
  <si>
    <t>98,36</t>
  </si>
  <si>
    <t>115,00</t>
  </si>
  <si>
    <t>TANQUE DE ASFALTO ESTACIONÁRIO COM SERPENTINA, CAPACIDADE 30.000 L - CHP DIURNO. AF_05/2023</t>
  </si>
  <si>
    <t>ESPARGIDOR DE ASFALTO PRESSURIZADO, TANQUE 6 M3 COM ISOLAÇÃO TÉRMICA, AQUECIDO COM 2 MAÇARICOS, COM BARRA ESPARGIDORA 3,60 M, MONTADO SOBRE CAMINHÃO  TOCO, PBT 14.300 KG, POTÊNCIA 185 CV - CHP DIURNO. AF_05/2023</t>
  </si>
  <si>
    <t>BETONEIRA CAPACIDADE NOMINAL 400 L, CAPACIDADE DE MISTURA 310 L, MOTOR A DIESEL POTÊNCIA 5,0 HP, SEM CARREGADOR - CHP DIURNO. AF_05/2023</t>
  </si>
  <si>
    <t>MISTURADOR DE ARGAMASSA, EIXO HORIZONTAL, CAPACIDADE DE MISTURA 300 KG, MOTOR ELÉTRICO POTÊNCIA 5 CV - CHP DIURNO. AF_05/2023</t>
  </si>
  <si>
    <t>MISTURADOR DE ARGAMASSA, EIXO HORIZONTAL, CAPACIDADE DE MISTURA 600 KG, MOTOR ELÉTRICO POTÊNCIA 7,5 CV - CHP DIURNO. AF_05/2023</t>
  </si>
  <si>
    <t>MISTURADOR DE ARGAMASSA, EIXO HORIZONTAL, CAPACIDADE DE MISTURA 160 KG, MOTOR ELÉTRICO POTÊNCIA 3 CV - CHP DIURNO. AF_05/2023</t>
  </si>
  <si>
    <t>BETONEIRA CAPACIDADE NOMINAL DE 400 L, CAPACIDADE DE MISTURA 280 L, MOTOR ELÉTRICO TRIFÁSICO POTÊNCIA DE 2 CV, SEM CARREGADOR - CHP DIURNO. AF_05/2023</t>
  </si>
  <si>
    <t>TANQUE DE ASFALTO ESTACIONÁRIO COM MAÇARICO, CAPACIDADE 20.000 L - CHP DIURNO. AF_05/2023</t>
  </si>
  <si>
    <t>BETONEIRA CAPACIDADE NOMINAL DE 600 L, CAPACIDADE DE MISTURA 360 L, MOTOR ELÉTRICO TRIFÁSICO POTÊNCIA DE 4 CV, SEM CARREGADOR - CHP DIURNO. AF_05/2023</t>
  </si>
  <si>
    <t>BETONEIRA CAPACIDADE NOMINAL DE 600 L, CAPACIDADE DE MISTURA 440 L, MOTOR A DIESEL POTÊNCIA 10 HP, COM CARREGADOR - CHP DIURNO. AF_05/2023</t>
  </si>
  <si>
    <t>PROJETOR PNEUMÁTICO DE ARGAMASSA PARA CHAPISCO E REBOCO COM RECIPIENTE ACOPLADO, TIPO CANEQUINHA, COM COMPRESSOR DE AR REBOCÁVEL VAZÃO 89 PCM E MOTOR DIESEL DE 20 CV - CHP DIURNO. AF_05/2023</t>
  </si>
  <si>
    <t>MANIPULADOR TELESCÓPICO, POTÊNCIA DE 85 HP, CAPACIDADE DE CARGA DE 3.500 KG, ALTURA MÁXIMA DE ELEVAÇÃO DE 12,3 M - CHP DIURNO. AF_05/2023</t>
  </si>
  <si>
    <t>CAMINHÃO PARA EQUIPAMENTO DE LIMPEZA A SUCÇÃO, COM CAMINHÃO TRUCADO DE PESO BRUTO TOTAL 23000 KG, CARGA ÚTIL MÁXIMA 15935 KG, DISTÂNCIA ENTRE EIXOS 4,80 M, POTÊNCIA 230 CV, INCLUSIVE LIMPADORA A SUCÇÃO, TANQUE 12000 L - CHP DIURNO. AF_05/2023</t>
  </si>
  <si>
    <t>PENEIRA ROTATIVA COM MOTOR ELÉTRICO TRIFÁSICO DE 2 CV, CILINDRO DE 1 M X 0,60 M, COM FUROS DE 3,17 MM - CHP DIURNO. AF_05/2023</t>
  </si>
  <si>
    <t>DOSADOR DE AREIA, CAPACIDADE DE 26 LITROS - CHP DIURNO. AF_05/2023</t>
  </si>
  <si>
    <t>APARELHO PARA CORTE E SOLDA OXI-ACETILENO SOBRE RODAS, INCLUSIVE CILINDROS E MAÇARICOS - CHP DIURNO. AF_05/2023</t>
  </si>
  <si>
    <t>GRUA ASCENSIONAL, LANCA DE 30 M, CAPACIDADE DE 1,0 T A 30 M, ALTURA ATE 39 M - CHP DIURNO. AF_05/2023</t>
  </si>
  <si>
    <t>MÁQUINA JATO DE PRESSAO PORTÁTIL, CAMARA DE 1 SAIDA, CAPACIDADE 280 L, DIAMETRO 670 MM, BICO DE JATO CURTO VENTURI DE 5/16 , MANGUEIRA DE 1 COM COMPRESSOR DE AR REBOCÁVEL 189 PCM E MOTOR DIESEL 63 CV - CHP DIURNO. AF_05/2023</t>
  </si>
  <si>
    <t>68,44</t>
  </si>
  <si>
    <t>USINA DE MISTURA ASFÁLTICA À QUENTE, TIPO CONTRA FLUXO, PROD 40 A 80 TON/HORA - CHP DIURNO. AF_05/2023</t>
  </si>
  <si>
    <t>USINA DE ASFALTO À FRIO, CAPACIDADE DE 40 A 60 TON/HORA, ELÉTRICA POTÊNCIA 30 CV - CHP DIURNO. AF_05/2023</t>
  </si>
  <si>
    <t>GRUA ASCENCIONAL, LANCA DE 42 M, CAPACIDADE DE 1,5 T A 30 M, ALTURA ATE 39 M - CHP DIURNO. AF_05/2023</t>
  </si>
  <si>
    <t>POLIDORA DE PISO (POLITRIZ), PESO DE 100KG, DIÂMETRO 450 MM, MOTOR ELÉTRICO, POTÊNCIA 4 HP - CHP DIURNO. AF_05/2023</t>
  </si>
  <si>
    <t>DESEMPENADEIRA DE CONCRETO, PESO DE 78 KG, 4 PÁS, MOTOR A GASOLINA, POTÊNCIA 5,5 HP - CHP DIURNO. AF_05/2023</t>
  </si>
  <si>
    <t>LAVADORA DE ALTA PRESSAO (LAVA-JATO) PARA AGUA FRIA, PRESSAO DE OPERACAO ENTRE 1400 E 1900 LIB/POL2, VAZAO MAXIMA ENTRE 400 E 700 L/H - CHP DIURNO. AF_05/2023</t>
  </si>
  <si>
    <t>43,56</t>
  </si>
  <si>
    <t>24,62</t>
  </si>
  <si>
    <t>TANQUE DE ASFALTO ESTACIONÁRIO COM SERPENTINA, CAPACIDADE 30.000 L - CHI DIURNO. AF_05/2023</t>
  </si>
  <si>
    <t>74,47</t>
  </si>
  <si>
    <t>BETONEIRA CAPACIDADE NOMINAL 400 L, CAPACIDADE DE MISTURA 310 L, MOTOR A DIESEL POTÊNCIA 5,0 HP, SEM CARREGADOR - CHI DIURNO. AF_05/2023</t>
  </si>
  <si>
    <t>MISTURADOR DE ARGAMASSA, EIXO HORIZONTAL, CAPACIDADE DE MISTURA 300 KG, MOTOR ELÉTRICO POTÊNCIA 5 CV - CHI DIURNO. AF_05/2023</t>
  </si>
  <si>
    <t>MISTURADOR DE ARGAMASSA, EIXO HORIZONTAL, CAPACIDADE DE MISTURA 600 KG, MOTOR ELÉTRICO POTÊNCIA 7,5 CV - CHI DIURNO. AF_05/2023</t>
  </si>
  <si>
    <t>MISTURADOR DE ARGAMASSA, EIXO HORIZONTAL, CAPACIDADE DE MISTURA 160 KG, MOTOR ELÉTRICO POTÊNCIA 3 CV - CHI DIURNO. AF_05/2023</t>
  </si>
  <si>
    <t>BETONEIRA CAPACIDADE NOMINAL DE 400 L, CAPACIDADE DE MISTURA 280 L, MOTOR ELÉTRICO TRIFÁSICO POTÊNCIA DE 2 CV, SEM CARREGADOR - CHI DIURNO. AF_05/2023</t>
  </si>
  <si>
    <t>TANQUE DE ASFALTO ESTACIONÁRIO COM MAÇARICO, CAPACIDADE 20.000 L - CHI DIURNO. AF_05/2023</t>
  </si>
  <si>
    <t>BETONEIRA CAPACIDADE NOMINAL DE 600 L, CAPACIDADE DE MISTURA 360 L, MOTOR ELÉTRICO TRIFÁSICO POTÊNCIA DE 4 CV, SEM CARREGADOR - CHI DIURNO. AF_05/2023</t>
  </si>
  <si>
    <t>BETONEIRA CAPACIDADE NOMINAL DE 600 L, CAPACIDADE DE MISTURA 440 L, MOTOR A DIESEL POTÊNCIA 10 HP, COM CARREGADOR - CHI DIURNO. AF_05/2023</t>
  </si>
  <si>
    <t>PROJETOR PNEUMÁTICO DE ARGAMASSA PARA CHAPISCO E REBOCO COM RECIPIENTE ACOPLADO, TIPO CANEQUINHA, COM COMPRESSOR DE AR REBOCÁVEL VAZÃO 89 PCM E MOTOR DIESEL DE 20 CV - CHI DIURNO. AF_05/2023</t>
  </si>
  <si>
    <t>MANIPULADOR TELESCÓPICO, POTÊNCIA DE 85 HP, CAPACIDADE DE CARGA DE 3.500 KG, ALTURA MÁXIMA DE ELEVAÇÃO DE 12,3 M - CHI DIURNO. AF_05/2023</t>
  </si>
  <si>
    <t>46,97</t>
  </si>
  <si>
    <t>ESPARGIDOR DE ASFALTO PRESSURIZADO, TANQUE 6 M3 COM ISOLAÇÃO TÉRMICA, AQUECIDO COM 2 MAÇARICOS, COM BARRA ESPARGIDORA 3,60 M, MONTADO SOBRE CAMINHÃO  TOCO, PBT 14.300 KG, POTÊNCIA 185 CV - CHI DIURNO. AF_05/2023</t>
  </si>
  <si>
    <t>20,92</t>
  </si>
  <si>
    <t>7,15</t>
  </si>
  <si>
    <t>CAMINHÃO PARA EQUIPAMENTO DE LIMPEZA A SUCÇÃO COM CAMINHÃO TRUCADO DE PESO BRUTO TOTAL 23000 KG, CARGA ÚTIL MÁXIMA 15935 KG, DISTÂNCIA ENTRE EIXOS 4,80 M, POTÊNCIA 230 CV, INCLUSIVE LIMPADORA A SUCÇÃO, TANQUE 12000 L - CHI DIURNO. AF_05/2023</t>
  </si>
  <si>
    <t>PENEIRA ROTATIVA COM MOTOR ELÉTRICO TRIFÁSICO DE 2 CV, CILINDRO DE 1 M X 0,60 M, COM FUROS DE 3,17 MM - CHI DIURNO. AF_05/2023</t>
  </si>
  <si>
    <t>DOSADOR DE AREIA, CAPACIDADE DE 26 LITROS - CHI DIURNO. AF_05/2023</t>
  </si>
  <si>
    <t>APARELHO PARA CORTE E SOLDA OXI-ACETILENO SOBRE RODAS, INCLUSIVE CILINDROS E MAÇARICOS - CHI DIURNO. AF_05/2023</t>
  </si>
  <si>
    <t>GRUA ASCENSIONAL, LANÇA DE 30 M, CAPACIDADE DE 1,0 T A 30 M, ALTURA ATÉ 39 M - CHI DIURNO. AF_05/2023</t>
  </si>
  <si>
    <t>MÁQUINA JATO DE PRESSAO PORTÁTIL, CAMARA DE 1 SAIDA, CAPACIDADE 280 L, DIAMETRO 670 MM, BICO DE JATO CURTO VENTURI DE 5/16 , MANGUEIRA DE 1 COM COMPRESSOR DE AR REBOCÁVEL 189 PCM E MOTOR DIESEL 63 CV - CHI DIURNO. AF_05/2023</t>
  </si>
  <si>
    <t>USINA DE MISTURA ASFÁLTICA À QUENTE, TIPO CONTRA FLUXO, PROD 40 A 80 TON/HORA - CHI DIURNO. AF_05/2023</t>
  </si>
  <si>
    <t>USINA DE ASFALTO À FRIO, CAPACIDADE DE 40 A 60 TON/HORA, ELÉTRICA POTÊNCIA 30 CV - CHI DIURNO. AF_05/2023</t>
  </si>
  <si>
    <t>41,50</t>
  </si>
  <si>
    <t>GRUA ASCENCIONAL, LANÇA DE 42 M, CAPACIDADE DE 1,5 T A 30 M, ALTURA ATÉ 39 M - CHI DIURNO. AF_05/2023</t>
  </si>
  <si>
    <t>POLIDORA DE PISO (POLITRIZ), PESO DE 100KG, DIÂMETRO 450 MM, MOTOR ELÉTRICO, POTÊNCIA 4 HP - CHI DIURNO. AF_05/2023</t>
  </si>
  <si>
    <t>DESEMPENADEIRA DE CONCRETO, PESO DE 78 KG, 4 PÁS, MOTOR A GASOLINA, POTÊNCIA 5,5 HP - CHI DIURNO. AF_05/2023</t>
  </si>
  <si>
    <t>71,21</t>
  </si>
  <si>
    <t>80,34</t>
  </si>
  <si>
    <t>LAVADORA DE ALTA PRESSAO (LAVA-JATO) PARA AGUA FRIA, PRESSAO DE OPERACAO ENTRE 1400 E 1900 LIB/POL2, VAZAO MAXIMA ENTRE 400 E 700 L/H - CHI DIURNO. AF_05/2023</t>
  </si>
  <si>
    <t>29,74</t>
  </si>
  <si>
    <t>42,78</t>
  </si>
  <si>
    <t>TANQUE DE ASFALTO ESTACIONÁRIO COM SERPENTINA, CAPACIDADE 30.000 L - DEPRECIAÇÃO. AF_05/2023</t>
  </si>
  <si>
    <t>TANQUE DE ASFALTO ESTACIONÁRIO COM SERPENTINA, CAPACIDADE 30.000 L - JUROS. AF_05/2023</t>
  </si>
  <si>
    <t>TANQUE DE ASFALTO ESTACIONÁRIO COM SERPENTINA, CAPACIDADE 30.000 L - MANUTENÇÃO. AF_05/2023</t>
  </si>
  <si>
    <t>TANQUE DE ASFALTO ESTACIONÁRIO COM SERPENTINA, CAPACIDADE 30.000 L - MATERIAIS NA OPERAÇÃO. AF_05/2023</t>
  </si>
  <si>
    <t>35,62</t>
  </si>
  <si>
    <t>62,12</t>
  </si>
  <si>
    <t>BETONEIRA CAPACIDADE NOMINAL 400 L, CAPACIDADE DE MISTURA 310 L, MOTOR A DIESEL POTÊNCIA 5,0 CV, SEM CARREGADOR - DEPRECIAÇÃO. AF_05/2023</t>
  </si>
  <si>
    <t>BETONEIRA CAPACIDADE NOMINAL 400 L, CAPACIDADE DE MISTURA 310 L, MOTOR A DIESEL POTÊNCIA 5,0 CV, SEM CARREGADOR - JUROS. AF_05/2023</t>
  </si>
  <si>
    <t>BETONEIRA CAPACIDADE NOMINAL 400 L, CAPACIDADE DE MISTURA 310 L, MOTOR A DIESEL POTÊNCIA 5,0 CV, SEM CARREGADOR - MANUTENÇÃO. AF_05/2023</t>
  </si>
  <si>
    <t>BETONEIRA CAPACIDADE NOMINAL 400 L, CAPACIDADE DE MISTURA 310 L, MOTOR A DIESEL POTÊNCIA 5,0 CV, SEM CARREGADOR - MATERIAIS NA OPERAÇÃO. AF_05/2023</t>
  </si>
  <si>
    <t>MISTURADOR DE ARGAMASSA, EIXO HORIZONTAL, CAPACIDADE DE MISTURA 300 KG, MOTOR ELÉTRICO POTÊNCIA 5 CV - DEPRECIAÇÃO. AF_05/2023</t>
  </si>
  <si>
    <t>MISTURADOR DE ARGAMASSA, EIXO HORIZONTAL, CAPACIDADE DE MISTURA 300 KG, MOTOR ELÉTRICO POTÊNCIA 5 CV - JUROS. AF_05/2023</t>
  </si>
  <si>
    <t>MISTURADOR DE ARGAMASSA, EIXO HORIZONTAL, CAPACIDADE DE MISTURA 300 KG, MOTOR ELÉTRICO POTÊNCIA 5 CV - MANUTENÇÃO. AF_05/2023</t>
  </si>
  <si>
    <t>MISTURADOR DE ARGAMASSA, EIXO HORIZONTAL, CAPACIDADE DE MISTURA 300 KG, MOTOR ELÉTRICO POTÊNCIA 5 CV - MATERIAIS NA OPERAÇÃO. AF_05/2023</t>
  </si>
  <si>
    <t>MISTURADOR DE ARGAMASSA, EIXO HORIZONTAL, CAPACIDADE DE MISTURA 600 KG, MOTOR ELÉTRICO POTÊNCIA 7,5 CV - DEPRECIAÇÃO. AF_05/2023</t>
  </si>
  <si>
    <t>MISTURADOR DE ARGAMASSA, EIXO HORIZONTAL, CAPACIDADE DE MISTURA 600 KG, MOTOR ELÉTRICO POTÊNCIA 7,5 CV - JUROS. AF_05/2023</t>
  </si>
  <si>
    <t>MISTURADOR DE ARGAMASSA, EIXO HORIZONTAL, CAPACIDADE DE MISTURA 600 KG, MOTOR ELÉTRICO POTÊNCIA 7,5 CV - MANUTENÇÃO. AF_05/2023</t>
  </si>
  <si>
    <t>MISTURADOR DE ARGAMASSA, EIXO HORIZONTAL, CAPACIDADE DE MISTURA 600 KG, MOTOR ELÉTRICO POTÊNCIA 7,5 CV - MATERIAIS NA OPERAÇÃO. AF_05/2023</t>
  </si>
  <si>
    <t>MISTURADOR DE ARGAMASSA, EIXO HORIZONTAL, CAPACIDADE DE MISTURA 160 KG, MOTOR ELÉTRICO POTÊNCIA 3 CV - DEPRECIAÇÃO. AF_05/2023</t>
  </si>
  <si>
    <t>MISTURADOR DE ARGAMASSA, EIXO HORIZONTAL, CAPACIDADE DE MISTURA 160 KG, MOTOR ELÉTRICO POTÊNCIA 3 CV - JUROS. AF_05/2023</t>
  </si>
  <si>
    <t>MISTURADOR DE ARGAMASSA, EIXO HORIZONTAL, CAPACIDADE DE MISTURA 160 KG, MOTOR ELÉTRICO POTÊNCIA 3 CV - MANUTENÇÃO. AF_05/2023</t>
  </si>
  <si>
    <t>MISTURADOR DE ARGAMASSA, EIXO HORIZONTAL, CAPACIDADE DE MISTURA 160 KG, MOTOR ELÉTRICO POTÊNCIA 3 CV - MATERIAIS NA OPERAÇÃO. AF_05/2023</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</si>
  <si>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</si>
  <si>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</si>
  <si>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</si>
  <si>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BETONEIRA CAPACIDADE NOMINAL DE 400 L, CAPACIDADE DE MISTURA 280 L, MOTOR ELÉTRICO TRIFÁSICO POTÊNCIA DE 2 CV, SEM CARREGADOR - MATERIAIS NA OPERAÇÃO. AF_05/2023</t>
  </si>
  <si>
    <t>2,87</t>
  </si>
  <si>
    <t>TANQUE DE ASFALTO ESTACIONÁRIO COM MAÇARICO, CAPACIDADE 20.000 L - DEPRECIAÇÃO. AF_05/2023</t>
  </si>
  <si>
    <t>TANQUE DE ASFALTO ESTACIONÁRIO COM MAÇARICO, CAPACIDADE 20.000 L - JUROS. AF_05/2023</t>
  </si>
  <si>
    <t>TANQUE DE ASFALTO ESTACIONÁRIO COM MAÇARICO, CAPACIDADE 20.000 L - MANUTENÇÃO. AF_05/2023</t>
  </si>
  <si>
    <t>TANQUE DE ASFALTO ESTACIONÁRIO COM MAÇARICO, CAPACIDADE 20.000 L - MATERIAIS NA OPERAÇÃO. AF_05/2023</t>
  </si>
  <si>
    <t>BETONEIRA CAPACIDADE NOMINAL DE 600 L, CAPACIDADE DE MISTURA 360 L, MOTOR ELÉTRICO TRIFÁSICO POTÊNCIA DE 4 CV, SEM CARREGADOR - DEPRECIAÇÃO. AF_05/2023</t>
  </si>
  <si>
    <t>BETONEIRA CAPACIDADE NOMINAL DE 600 L, CAPACIDADE DE MISTURA 360 L, MOTOR ELÉTRICO TRIFÁSICO POTÊNCIA DE 4 CV, SEM CARREGADOR - JUROS. AF_05/2023</t>
  </si>
  <si>
    <t>BETONEIRA CAPACIDADE NOMINAL DE 600 L, CAPACIDADE DE MISTURA 360 L, MOTOR ELÉTRICO TRIFÁSICO POTÊNCIA DE 4 CV, SEM CARREGADOR - MANUTENÇÃO. AF_05/2023</t>
  </si>
  <si>
    <t>BETONEIRA CAPACIDADE NOMINAL DE 600 L, CAPACIDADE DE MISTURA 360 L, MOTOR ELÉTRICO TRIFÁSICO POTÊNCIA DE 4 CV, SEM CARREGADOR - MATERIAIS NA OPERAÇÃO. AF_05/2023</t>
  </si>
  <si>
    <t>44,24</t>
  </si>
  <si>
    <t>BETONEIRA CAPACIDADE NOMINAL DE 600 L, CAPACIDADE DE MISTURA 440 L, MOTOR A DIESEL POTÊNCIA 10 CV, COM CARREGADOR - DEPRECIAÇÃO. AF_05/2023</t>
  </si>
  <si>
    <t>BETONEIRA CAPACIDADE NOMINAL DE 600 L, CAPACIDADE DE MISTURA 440 L, MOTOR A DIESEL POTÊNCIA 10 CV, COM CARREGADOR - JUROS. AF_05/2023</t>
  </si>
  <si>
    <t>BETONEIRA CAPACIDADE NOMINAL DE 600 L, CAPACIDADE DE MISTURA 440 L, MOTOR A DIESEL POTÊNCIA 10 CV, COM CARREGADOR - MANUTENÇÃO. AF_05/2023</t>
  </si>
  <si>
    <t>BETONEIRA CAPACIDADE NOMINAL DE 600 L, CAPACIDADE DE MISTURA 440 L, MOTOR A DIESEL POTÊNCIA 10 CV, COM CARREGADOR - MATERIAIS NA OPERAÇÃO. AF_05/2023</t>
  </si>
  <si>
    <t>7,56</t>
  </si>
  <si>
    <t>PROJETOR PNEUMÁTICO DE ARGAMASSA PARA CHAPISCO E REBOCO COM RECIPIENTE ACOPLADO, TIPO CANEQUINHA, COM COMPRESSOR DE AR REBOCÁVEL VAZÃO 89 PCM E MOTOR DIESEL DE 20 CV - DEPRECIAÇÃO. AF_05/2023</t>
  </si>
  <si>
    <t>PROJETOR PNEUMÁTICO DE ARGAMASSA PARA CHAPISCO E REBOCO COM RECIPIENTE ACOPLADO, TIPO CANEQUINHA, COM COMPRESSOR DE AR REBOCÁVEL VAZÃO 89 PCM E MOTOR DIESEL DE 20 CV - JUROS. AF_05/2023</t>
  </si>
  <si>
    <t>PROJETOR PNEUMÁTICO DE ARGAMASSA PARA CHAPISCO E REBOCO COM RECIPIENTE ACOPLADO, TIPO CANEQUINHA, COM COMPRESSOR DE AR REBOCÁVEL VAZÃO 89 PCM E MOTOR DIESEL DE 20 CV - MANUTENÇÃO. AF_05/2023</t>
  </si>
  <si>
    <t>PROJETOR PNEUMÁTICO DE ARGAMASSA PARA CHAPISCO E REBOCO COM RECIPIENTE ACOPLADO, TIPO CANEQUINHA, COM COMPRESSOR DE AR REBOCÁVEL VAZÃO 89 PCM E MOTOR DIESEL DE 20 CV - MATERIAIS NA OPERAÇÃO. AF_05/2023</t>
  </si>
  <si>
    <t>81,86</t>
  </si>
  <si>
    <t>MANIPULADOR TELESCÓPICO, POTÊNCIA DE 85 HP, CAPACIDADE DE CARGA DE 3.500 KG, ALTURA MÁXIMA DE ELEVAÇÃO DE 12,3 M - DEPRECIAÇÃO. AF_05/2023</t>
  </si>
  <si>
    <t>MANIPULADOR TELESCÓPICO, POTÊNCIA DE 85 HP, CAPACIDADE DE CARGA DE 3.500 KG, ALTURA MÁXIMA DE ELEVAÇÃO DE 12,3 M - JUROS. AF_05/2023</t>
  </si>
  <si>
    <t>MANIPULADOR TELESCÓPICO, POTÊNCIA DE 85 HP, CAPACIDADE DE CARGA DE 3.500 KG, ALTURA MÁXIMA DE ELEVAÇÃO DE 12,3 M - MANUTENÇÃO. AF_05/2023</t>
  </si>
  <si>
    <t>MANIPULADOR TELESCÓPICO, POTÊNCIA DE 85 HP, CAPACIDADE DE CARGA DE 3.500 KG, ALTURA MÁXIMA DE ELEVAÇÃO DE 12,3 M - MATERIAIS NA OPERAÇÃO. AF_05/2023</t>
  </si>
  <si>
    <t>6,08</t>
  </si>
  <si>
    <t>15,49</t>
  </si>
  <si>
    <t>130,93</t>
  </si>
  <si>
    <t>ESPARGIDOR DE ASFALTO PRESSURIZADO, TANQUE 6 M3 COM ISOLAÇÃO TÉRMICA, AQUECIDO COM 2 MAÇARICOS, COM BARRA ESPARGIDORA 3,60 M, MONTADO SOBRE CAMINHÃO  TOCO, PBT 14.300 KG, POTÊNCIA 185 CV - DEPRECIAÇÃO. AF_05/2023</t>
  </si>
  <si>
    <t>ESPARGIDOR DE ASFALTO PRESSURIZADO, TANQUE 6 M3 COM ISOLAÇÃO TÉRMICA, AQUECIDO COM 2 MAÇARICOS, COM BARRA ESPARGIDORA 3,60 M, MONTADO SOBRE CAMINHÃO  TOCO, PBT 14.300 KG, POTÊNCIA 185 CV - JUROS. AF_05/2023</t>
  </si>
  <si>
    <t>ESPARGIDOR DE ASFALTO PRESSURIZADO, TANQUE 6 M3 COM ISOLAÇÃO TÉRMICA, AQUECIDO COM 2 MAÇARICOS, COM BARRA ESPARGIDORA 3,60 M, MONTADO SOBRE CAMINHÃO  TOCO, PBT 14.300 KG, POTÊNCIA 185 CV - IMPOSTOS E SEGUROS. AF_05/2023</t>
  </si>
  <si>
    <t>ESPARGIDOR DE ASFALTO PRESSURIZADO, TANQUE 6 M3 COM ISOLAÇÃO TÉRMICA, AQUECIDO COM 2 MAÇARICOS, COM BARRA ESPARGIDORA 3,60 M, MONTADO SOBRE CAMINHÃO  TOCO, PBT 14.300 KG, POTÊNCIA 185 CV - MATERIAIS NA OPERAÇÃO. AF_05/2023</t>
  </si>
  <si>
    <t>CAMINHÃO PARA EQUIPAMENTO DE LIMPEZA A SUCÇÃO COM CAMINHÃO TRUCADO DE PESO BRUTO TOTAL 23000 KG, CARGA ÚTIL MÁXIMA 15935 KG, DISTÂNCIA ENTRE EIXOS 4,80 M, POTÊNCIA 230 CV, INCLUSIVE LIMPADORA A SUCÇÃO, TANQUE 12000 L - DEPRECIAÇÃO. AF_05/2023</t>
  </si>
  <si>
    <t>37,97</t>
  </si>
  <si>
    <t>CAMINHÃO PARA EQUIPAMENTO DE LIMPEZA A SUCÇÃO COM CAMINHÃO TRUCADO DE PESO BRUTO TOTAL 23000 KG, CARGA ÚTIL MÁXIMA 15935 KG, DISTÂNCIA ENTRE EIXOS 4,80 M, POTÊNCIA 230 CV, INCLUSIVE LIMPADORA A SUCÇÃO, TANQUE 12000 L - JUROS. AF_05/2023</t>
  </si>
  <si>
    <t>CAMINHÃO PARA EQUIPAMENTO DE LIMPEZA A SUCÇÃO COM CAMINHÃO TRUCADO DE PESO BRUTO TOTAL 23000 KG, CARGA ÚTIL MÁXIMA 15935 KG, DISTÂNCIA ENTRE EIXOS 4,80 M, POTÊNCIA 230 CV, INCLUSIVE LIMPADORA A SUCÇÃO, TANQUE 12000 L - IMPOSTOS E SEGUROS. AF_05/2023</t>
  </si>
  <si>
    <t>CAMINHÃO PARA EQUIPAMENTO DE LIMPEZA A SUCÇÃO COM CAMINHÃO TRUCADO DE PESO BRUTO TOTAL 23000 KG, CARGA ÚTIL MÁXIMA 15935 KG, DISTÂNCIA ENTRE EIXOS 4,80 M, POTÊNCIA 230 CV, INCLUSIVE LIMPADORA A SUCÇÃO, TANQUE 12000 L - MANUTENÇÃO. AF_05/2023</t>
  </si>
  <si>
    <t>64,20</t>
  </si>
  <si>
    <t>CAMINHÃO PARA EQUIPAMENTO DE LIMPEZA A SUCÇÃO COM CAMINHÃO TRUCADO DE PESO BRUTO TOTAL 23000 KG, CARGA ÚTIL MÁX. 15935 KG, DISTÂNCIA ENTRE EIXOS 4,80 M, POTÊNCIA 230 CV, INCLUSIVE LIMPADORA A SUCÇÃO, TANQUE 12000 L - MATERIAIS NA OPERAÇÃO. AF_05/2023</t>
  </si>
  <si>
    <t>PENEIRA ROTATIVA COM MOTOR ELÉTRICO TRIFÁSICO DE 2 CV, CILINDRO DE 1 M X 0,60 M, COM FUROS DE 3,17 MM - DEPRECIAÇÃO. AF_05/2023</t>
  </si>
  <si>
    <t>PENEIRA ROTATIVA COM MOTOR ELÉTRICO TRIFÁSICO DE 2 CV, CILINDRO DE 1 M X 0,60 M, COM FUROS DE 3,17 MM - JUROS. AF_05/2023</t>
  </si>
  <si>
    <t>PENEIRA ROTATIVA COM MOTOR ELÉTRICO TRIFÁSICO DE 2 CV, CILINDRO DE 1 M X 0,60 M, COM FUROS DE 3,17 MM - MANUTENÇÃO. AF_05/2023</t>
  </si>
  <si>
    <t>PENEIRA ROTATIVA COM MOTOR ELÉTRICO TRIFÁSICO DE 2 CV, CILINDRO DE 1 M X 0,60 M, COM FUROS DE 3,17 MM - MATERIAIS NA OPERAÇÃO. AF_05/2023</t>
  </si>
  <si>
    <t>DOSADOR DE AREIA, CAPACIDADE DE 26 LITROS - DEPRECIAÇÃO. AF_05/2023</t>
  </si>
  <si>
    <t>DOSADOR DE AREIA, CAPACIDADE DE 26 LITROS - JUROS. AF_05/2023</t>
  </si>
  <si>
    <t>DOSADOR DE AREIA, CAPACIDADE DE 26 LITROS - MANUTENÇÃO. AF_05/2023</t>
  </si>
  <si>
    <t>37,26</t>
  </si>
  <si>
    <t>APARELHO PARA CORTE E SOLDA OXI-ACETILENO SOBRE RODAS, INCLUSIVE CILINDROS E MAÇARICOS - DEPRECIAÇÃO. AF_05/2023</t>
  </si>
  <si>
    <t>APARELHO PARA CORTE E SOLDA OXI-ACETILENO SOBRE RODAS, INCLUSIVE CILINDROS E MAÇARICOS - JUROS. AF_05/2023</t>
  </si>
  <si>
    <t>APARELHO PARA CORTE E SOLDA OXI-ACETILENO SOBRE RODAS, INCLUSIVE CILINDROS E MAÇARICOS - MANUTENÇÃO. AF_05/2023</t>
  </si>
  <si>
    <t>APARELHO PARA CORTE E SOLDA OXI-ACETILENO SOBRE RODAS, INCLUSIVE CILINDROS E MAÇARICOS - MATERIAIS NA OPERAÇÃO. AF_05/2023</t>
  </si>
  <si>
    <t>81,88</t>
  </si>
  <si>
    <t>GRUA ASCENCIONAL, LANÇA DE 30 M, CAPACIDADE DE 1,0 T A 30 M, ALTURA ATÉ 39 M   DEPRECIAÇÃO. AF_05/2023</t>
  </si>
  <si>
    <t>GRUA ASCENCIONAL, LANÇA DE 30 M, CAPACIDADE DE 1,0 T A 30 M, ALTURA ATÉ 39 M   JUROS. AF_05/2023</t>
  </si>
  <si>
    <t>GRUA ASCENCIONAL, LANÇA DE 30 M, CAPACIDADE DE 1,0 T A 30 M, ALTURA ATÉ 39 M   MANUTENÇÃO. AF_05/2023</t>
  </si>
  <si>
    <t>GRUA ASCENCIONAL, LANÇA DE 30 M, CAPACIDADE DE 1,0 T A 30 M, ALTURA ATÉ 39 M   MATERIAIS NA OPERAÇÃO. AF_05/2023</t>
  </si>
  <si>
    <t>MÁQUINA JATO DE PRESSAO PORTÁTIL, CAMARA DE 1 SAIDA, CAPACIDADE 280 L, DIAMETRO 670 MM, BICO DE JATO CURTO VENTURI DE 5/16 , MANGUEIRA DE 1 COM COMPRESSOR DE AR REBOCÁVEL 189 PCM E MOTOR DIESEL 63 CV - DEPRECIAÇÃO. AF_05/2023</t>
  </si>
  <si>
    <t>MÁQUINA JATO DE PRESSAO PORTÁTIL, CAMARA DE 1 SAIDA, CAPACIDADE 280 L, DIAMETRO 670 MM, BICO DE JATO CURTO VENTURI DE 5/16 , MANGUEIRA DE 1 COM COMPRESSOR DE AR REBOCÁVEL 189 PCM E MOTOR DIESEL 63 CV - JUROS. AF_05/2023</t>
  </si>
  <si>
    <t>MÁQUINA JATO DE PRESSAO PORTÁTIL, CAMARA DE 1 SAIDA, CAPACIDADE 280 L, DIAMETRO 670 MM, BICO DE JATO CURTO VENTURI DE 5/16 , MANGUEIRA DE 1 COM COMPRESSOR DE AR REBOCÁVEL 189 PCM E MOTOR DIESEL 63 CV - MANUTENÇÃO. AF_05/2023</t>
  </si>
  <si>
    <t>MÁQUINA JATO DE PRESSAO PORTÁTIL, CAMARA DE 1 SAIDA, CAPACIDADE 280 L, DIAMETRO 670 MM, BICO DE JATO CURTO VENTURI DE 5/16 , MANGUEIRA DE 1 COM COMPRESSOR DE AR REBOCÁVEL 189 PCM E MOTOR DIESEL 63 CV - MATERIAIS NA OPERAÇÃO. AF_05/2023</t>
  </si>
  <si>
    <t>USINA DE MISTURA ASFÁLTICA À QUENTE, TIPO CONTRA FLUXO, PROD 40 A 80 TON/HORA - DEPRECIAÇÃO. AF_05/2023</t>
  </si>
  <si>
    <t>USINA DE MISTURA ASFÁLTICA À QUENTE, TIPO CONTRA FLUXO, PROD 40 A 80 TON/HORA - JUROS. AF_05/2023</t>
  </si>
  <si>
    <t>USINA DE MISTURA ASFÁLTICA À QUENTE, TIPO CONTRA FLUXO, PROD 40 A 80 TON/HORA - MANUTENÇÃO. AF_05/2023</t>
  </si>
  <si>
    <t>USINA DE MISTURA ASFÁLTICA À QUENTE, TIPO CONTRA FLUXO, PROD 40 A 80 TON/HORA - MATERIAIS NA OPERAÇÃO. AF_05/2023</t>
  </si>
  <si>
    <t>USINA DE ASFALTO À FRIO, CAPACIDADE DE 40 A 60 TON/HORA, ELÉTRICA POTÊNCIA 30 CV - DEPRECIAÇÃO. AF_05/2023</t>
  </si>
  <si>
    <t>USINA DE ASFALTO À FRIO, CAPACIDADE DE 40 A 60 TON/HORA, ELÉTRICA POTÊNCIA 30 CV - JUROS. AF_05/2023</t>
  </si>
  <si>
    <t>USINA DE ASFALTO À FRIO, CAPACIDADE DE 40 A 60 TON/HORA, ELÉTRICA POTÊNCIA 30 CV - MANUTENÇÃO. AF_05/2023</t>
  </si>
  <si>
    <t>USINA DE ASFALTO À FRIO, CAPACIDADE DE 40 A 60 TON/HORA, ELÉTRICA POTÊNCIA 30 CV - MATERIAIS NA OPERAÇÃO. AF_05/2023</t>
  </si>
  <si>
    <t>47,90</t>
  </si>
  <si>
    <t>56,38</t>
  </si>
  <si>
    <t>GRUA ASCENCIONAL, LANÇA DE 42 M, CAPACIDADE DE 1,5 T A 30 M, ALTURA ATÉ 39 M   DEPRECIAÇÃO. AF_05/2023</t>
  </si>
  <si>
    <t>GRUA ASCENCIONAL, LANCA DE 42 M, CAPACIDADE DE 1,5 T A 30 M, ALTURA ATE 39 M   JUROS. AF_05/2023</t>
  </si>
  <si>
    <t>GRUA ASCENCIONAL, LANCA DE 42 M, CAPACIDADE DE 1,5 T A 30 M, ALTURA ATE 39 M   MANUTENÇÃO. AF_05/2023</t>
  </si>
  <si>
    <t>GRUA ASCENCIONAL, LANCA DE 42 M, CAPACIDADE DE 1,5 T A 30 M, ALTURA ATE 39 M   MATERIAIS NA OPERAÇÃO. AF_05/2023</t>
  </si>
  <si>
    <t>PULVERIZADOR DE TINTA ELÉTRICO/MÁQUINA DE PINTURA AIRLESS, VAZÃO 2 L/MIN - MATERIAIS NA OPERAÇÃO. AF_05/2023</t>
  </si>
  <si>
    <t>POLIDORA DE PISO (POLITRIZ), PESO DE 100KG, DIÂMETRO 450 MM, MOTOR ELÉTRICO, POTÊNCIA 4 HP - DEPRECIAÇÃO. AF_05/2023</t>
  </si>
  <si>
    <t>POLIDORA DE PISO (POLITRIZ), PESO DE 100KG, DIÂMETRO 450 MM, MOTOR ELÉTRICO, POTÊNCIA 4 HP - JUROS. AF_05/2023</t>
  </si>
  <si>
    <t>POLIDORA DE PISO (POLITRIZ), PESO DE 100KG, DIÂMETRO 450 MM, MOTOR ELÉTRICO, POTÊNCIA 4 HP - MANUTENÇÃO. AF_05/2023</t>
  </si>
  <si>
    <t>POLIDORA DE PISO (POLITRIZ), PESO DE 100KG, DIÂMETRO 450 MM, MOTOR ELÉTRICO, POTÊNCIA 4 HP - MATERIAIS NA OPERAÇÃO. AF_05/2023</t>
  </si>
  <si>
    <t>DESEMPENADEIRA DE CONCRETO, PESO DE 78 KG, 4 PÁS, MOTOR A GASOLINA, POTÊNCIA 5,5 HP - DEPRECIAÇÃO. AF_05/2023</t>
  </si>
  <si>
    <t>DESEMPENADEIRA DE CONCRETO, PESO DE 78 KG, 4 PÁS, MOTOR A GASOLINA, POTÊNCIA 5,5 HP - JUROS. AF_05/2023</t>
  </si>
  <si>
    <t>DESEMPENADEIRA DE CONCRETO, PESO DE 78 KG, 4 PÁS, MOTOR A GASOLINA, POTÊNCIA 5,5 HP - MANUTENÇÃO. AF_05/2023</t>
  </si>
  <si>
    <t>DESEMPENADEIRA DE CONCRETO, PESO DE 78 KG, 4 PÁS, MOTOR A GASOLINA, POTÊNCIA 5,5 HP   MATERIAIS NA OPERAÇÃO. AF_05/2023</t>
  </si>
  <si>
    <t>LAVADORA DE ALTA PRESSAO (LAVA-JATO) PARA AGUA FRIA, PRESSAO DE OPERACAO ENTRE 1400 E 1900 LIB/POL2, VAZAO MAXIMA ENTRE 400 E 700 L/H - DEPRECIAÇÃO. AF_05/2023</t>
  </si>
  <si>
    <t>LAVADORA DE ALTA PRESSAO (LAVA-JATO) PARA AGUA FRIA, PRESSAO DE OPERACAO ENTRE 1400 E 1900 LIB/POL2, VAZAO MAXIMA ENTRE 400 E 700 L/H - JUROS. AF_05/2023</t>
  </si>
  <si>
    <t>LAVADORA DE ALTA PRESSAO (LAVA-JATO) PARA AGUA FRIA, PRESSAO DE OPERACAO ENTRE 1400 E 1900 LIB/POL2, VAZAO MAXIMA ENTRE 400 E 700 L/H - MANUTENÇÃO. AF_05/2023</t>
  </si>
  <si>
    <t>LAVADORA DE ALTA PRESSAO (LAVA-JATO) PARA AGUA FRIA, PRESSAO DE OPERACAO ENTRE 1400 E 1900 LIB/POL2, VAZAO MAXIMA ENTRE 400 E 700 L/H - MATERIAIS NA OPERAÇÃO. AF_05/2023</t>
  </si>
  <si>
    <t>CALDEIRA A GÁS COM TERMOSTATO, CAPACIDADE 100 LITROS - MATERIAIS NA OPERAÇÃO. AF_05/2023</t>
  </si>
  <si>
    <t>CONJUNTO MACACO E BOMBA HIDRÁULICA PARA PROTENSAO DE CORDOALHAS, ESFORÇO MAXIMO DE 115 TONELADAS - MATERIAIS NA OPERAÇÃO. AF_05/2023</t>
  </si>
  <si>
    <t>CONJUNTO CILINDRO E BOMBA HIDRÁULICA PARA PROTENSÃO DE MONOBARRAS PARA TIRANTES, ESFORÇO MÁXIMO DE 30 TONELADAS  - MATERIAIS NA OPERAÇÃO. AF_05/2023</t>
  </si>
  <si>
    <t>MÁQUINA FORMER DOBRAS DIVERSAS: 220V/380V TRIFÁSICO OU MONOFÁSICO, CAPACIDADE 0,5-1,27MM, MOTOR 2CV - MATERIAIS NA OPERAÇÃO. AF_05/2023</t>
  </si>
  <si>
    <t>MÁQUINA SOLDA ARCO COM PISTOLA DE SOLDAGEM PARA STUD BOLT DE 5 MM A 22 MM - MATERIAIS NA OPERAÇÃO. AF_05/2023</t>
  </si>
  <si>
    <t>TORRE, COMPOSTA POR GUINCHO MECÂNICO, GUINCHO MANUAL, CABOS DE AÇO, PITEIRA E SOQUETE  - MATERIAIS NA OPERAÇÃO. AF_05/2023</t>
  </si>
  <si>
    <t>UNIDADE DOSADORA AIRLESS TIPO HOT SPRAY - MATERIAIS NA OPERAÇÃO. AF_05/2023</t>
  </si>
  <si>
    <t>ENCERADEIRA INDUSTRIAL, 400 MM, 220V, 1 HP - MATERIAIS NA OPERAÇÃO. AF_05/2023</t>
  </si>
  <si>
    <t>SERRA FITA HORIZONTAL, ELÉTRICA, COM CONTROLE HIDRÁULICO, PAINEL DE COMANDO EM 24 V, MOTOR ELÉTRICO 1,5 CV, DIMENSÕES DA FITA 3880 X 27 X 0,9 MM, TRIFÁSICA - MATERIAIS NA OPERAÇÃO. AF_05/2023</t>
  </si>
  <si>
    <t>MÁQUINA METALEIRA UNIVERSAL MODELO IW 110/180 BTD - MATERIAIS NA OPERAÇÃO. AF_05/2023</t>
  </si>
  <si>
    <t>TARTARUGA DE OXICORTE CG1, MONOFÁSICA, 220 V, FREQUÊNCIA 50 HZ, VELOCIDADE DE CORTE (MM/MIN) 50 A 750, DIÂMETRO MÍNIMO DO COMPASSO MM 200 - MATERIAIS NA OPERAÇÃO. AF_05/2023</t>
  </si>
  <si>
    <t>BETONEIRA CAPACIDADE NOMINAL DE 250 L, CAPACIDADE DE MISTURA DE 175 L, MOTOR ELÉTRICO MONOFÁSICO POTÊNCIA 1CV - MATERIAIS NA OPERAÇÃO. AF_05/2023</t>
  </si>
  <si>
    <t>COMPRESSOR DE AR, VAZAO DE 10 PCM, RESERVATORIO 100 L, PRESSAO DE TRABALHO ENTRE 6,9 E 9,7 BAR, POTENCIA 2 HP, TENSAO 110/220 V - MATERIAIS NA OPERAÇÃO. AF_05/2023</t>
  </si>
  <si>
    <t>MÁQUINA PARA SOLDA POR ELETROFUSÃO PARA TUBOS DE POLIETILENO DE ALTA DENSIDADE (PEAD) COM DIÂMETRO EXTERNO DE 20 A 800 MM, POTÊNCIA ENTRE 2750 E 3000 W - MATERIAIS NA OPERAÇÃO. AF_05/2023</t>
  </si>
  <si>
    <t>MÁQUINA PARA SOLDA POR ELETROFUSÃO PARA TUBOS DE POLIETILENO DE ALTA DENSIDADE (PEAD) COM DIÂMETRO EXTERNO DE 20 A 1600 MM, POTÊNCIA DE 3500 W - MATERIAIS NA OPERAÇÃO. AF_05/2023</t>
  </si>
  <si>
    <t>MÁQUINA PARA SOLDA POR TERMOFUSÃO PARA TUBOS DE POLIETILENO DE ALTA DENSIDADE (PEAD) COM DIÂMETRO EXTERNO DE 90 A 315 MM, POTÊNCIA ENTRE 2500 E 5350 W - MATERIAIS NA OPERAÇÃO. AF_05/2023</t>
  </si>
  <si>
    <t>MÁQUINA PARA SOLDA POR TERMOFUSÃO PARA TUBOS DE POLIETILENO DE ALTA DENSIDADE (PEAD) COM DIÂMETRO EXTERNO DE 315 A 630 MM, POTÊNCIA ENTRE 8000 E 12350 W - MATERIAIS NA OPERAÇÃO. AF_05/2023</t>
  </si>
  <si>
    <t>MÁQUINA PARA SOLDA POR TERMOFUSÃO PARA TUBOS DE POLIETILENO DE ALTA DENSIDADE (PEAD) COM DIÂMETRO EXTERNO DE 710 A 1200 MM, POTÊNCIA ENTRE 16000 E 29500 W - MATERIAIS NA OPERAÇÃO. AF_05/2023</t>
  </si>
  <si>
    <t>PERFURATRIZ PARA FURO DIRECIONAL HORIZONTAL (HDD) COM CAPACIDADE ATÉ 89 KN, POTÊNCIA 24,8 HP A 80 HP (INCLUSO FERRAMENTAS E LOCALIZADOR) - MATERIAIS NA OPERAÇÃO. AF_05/2023</t>
  </si>
  <si>
    <t>PERFURATRIZ PARA FURO DIRECIONAL HORIZONTAL (HDD) COM CAPACIDADE DE 90 KN A 200 KN, POTÊNCIA 100 HP A 160 HP (INCLUSO FERRAMENTAS E LOCALIZADOR) - MATERIAIS NA OPERAÇÃO. AF_05/2023</t>
  </si>
  <si>
    <t>PERFURATRIZ PARA FURO DIRECIONAL HORIZONTAL (HDD) COM CAPACIDADE DE 201 KN A 560 KN, POTÊNCIA 200 HP A 260 HP (INCLUSO FERRAMENTAS E LOCALIZADOR) - MATERIAIS NA OPERAÇÃO. AF_05/2023</t>
  </si>
  <si>
    <t>MISTURADOR PARA PREPARO DE LAMA ESTABILIZANTE COM CAPACIDADE DE *4000* L, COM BOMBA CENTRÍFUGA 5,5 HP A 23,07 HP, PARA SISTEMA DE FURO DIRECIONAL - MATERIAIS NA OPERAÇÃO. AF_05/2023</t>
  </si>
  <si>
    <t>VARREDEIRA DE GRAMA SINTÉTICA A GASOLINA, 2,4 CV, 4 TEMPOS - MATERIAIS NA OPERAÇÃO. AF_05/2023</t>
  </si>
  <si>
    <t>BATE ESTACA PARA INSTALAÇÃO DE DEFENSAS METÁLICAS (GUARD RAIL) FIXO, INCLUSIVE CAMINHÃO TOCO PBT 9.700 KG, POTÊNCIA DE 160 CV - MATERIAIS NA OPERAÇÃO. AF_05/2023</t>
  </si>
  <si>
    <t>104655</t>
  </si>
  <si>
    <t>MARTELETE PERFURADOR/ ROMPEDOR ELÉTRICO, POTÊNCIA 800 W, 220 V - MATERIAIS NA OPERAÇÃO. AF_05/2023</t>
  </si>
  <si>
    <t>104687</t>
  </si>
  <si>
    <t>GRUPO GERADOR DIESEL, COM CARENAGEM, POTÊNCIA STANDART ENTRE 400 E 460 KVA, VELOCIDADE DE 1800 RPM, FREQUÊNCIA DE 60 HZ - MATERIAIS NA OPERAÇÃO. AF_05/2023</t>
  </si>
  <si>
    <t>104694</t>
  </si>
  <si>
    <t>PERFURATRIZ DE COROA DIAMANTADA PARA CONCRETO, DIÂMETRO ATÉ 250 MM, MOTOR ELÉTRICO 220 V, POTÊNCIA 2.500 W - MATERIAIS NA OPERAÇÃO. AF_05/2023</t>
  </si>
  <si>
    <t>12,38</t>
  </si>
  <si>
    <t>12,19</t>
  </si>
  <si>
    <t>28,49</t>
  </si>
  <si>
    <t>52,12</t>
  </si>
  <si>
    <t>67,65</t>
  </si>
  <si>
    <t>54,15</t>
  </si>
  <si>
    <t>54,46</t>
  </si>
  <si>
    <t>ESTACA HÉLICE CONTÍNUA, DIÂMETRO DE 30 CM, INCLUSO CONCRETO FCK=30MPA E ARMADURA MÍNIMA (EXCLUSIVE BOMBEAMENTO, MOBILIZAÇÃO E DESMOBILIZAÇÃO). AF_12/2019_PA</t>
  </si>
  <si>
    <t>ESTACA HÉLICE CONTÍNUA , DIÂMETRO DE 50 CM, INCLUSO CONCRETO FCK=30MPA E ARMADURA MÍNIMA (EXCLUSIVE BOMBEAMENTO, MOBILIZAÇÃO E DESMOBILIZAÇÃO). AF_12/2019_PA</t>
  </si>
  <si>
    <t>ESTACA HÉLICE CONTÍNUA, DIÂMETRO DE 70 CM, INCLUSO CONCRETO FCK=30MPA E ARMADURA MÍNIMA (EXCLUSIVE BOMBEAMENTO, MOBILIZAÇÃO E DESMOBILIZAÇÃO). AF_12/2019_PA</t>
  </si>
  <si>
    <t>ESTACA HÉLICE CONTÍNUA, DIÂMETRO DE 80 CM, INCLUSO CONCRETO FCK=30MPA E ARMADURA MÍNIMA (EXCLUSIVE BOMBEAMENTO, MOBILIZAÇÃO E DESMOBILIZAÇÃO). AF_12/2019_PA</t>
  </si>
  <si>
    <t>ESTACA HÉLICE CONTÍNUA, DIÂMETRO DE 90 CM, INCLUSO CONCRETO FCK=30MPA E ARMADURA MÍNIMA (EXCLUSIVE BOMBEAMENTO, MOBILIZAÇÃO E DESMOBILIZAÇÃO). AF_12/2019_PA</t>
  </si>
  <si>
    <t>ESTACA ESCAVADA MECANICAMENTE, SEM FLUIDO ESTABILIZANTE, COM 25CM DE DIÂMETRO, CONCRETO LANÇADO POR CAMINHÃO BETONEIRA (EXCLUSIVE MOBILIZAÇÃO E DESMOBILIZAÇÃO). AF_01/2020_PA</t>
  </si>
  <si>
    <t>ESTACA ESCAVADA MECANICAMENTE, SEM FLUIDO ESTABILIZANTE, COM 40CM DE DIÂMETRO, CONCRETO LANÇADO POR CAMINHÃO BETONEIRA (EXCLUSIVE MOBILIZAÇÃO E DESMOBILIZAÇÃO). AF_01/2020_PA</t>
  </si>
  <si>
    <t>ESTACA ESCAVADA MECANICAMENTE, SEM FLUIDO ESTABILIZANTE, COM 60CM DE DIÂMETRO, CONCRETO LANÇADO POR CAMINHÃO BETONEIRA (EXCLUSIVE MOBILIZAÇÃO E DESMOBILIZAÇÃO). AF_01/2020_PA</t>
  </si>
  <si>
    <t>ESTACA ESCAVADA MECANICAMENTE, SEM FLUIDO ESTABILIZANTE, COM 25CM DE DIÂMETRO, CONCRETO LANÇADO MANUALMENTE (EXCLUSIVE MOBILIZAÇÃO E DESMOBILIZAÇÃO). AF_01/2020_PA</t>
  </si>
  <si>
    <t>ESTACA ESCAVADA MECANICAMENTE, SEM FLUIDO ESTABILIZANTE, COM 60CM DE DIÂMETRO, CONCRETO LANÇADO POR BOMBA LANÇA (EXCLUSIVE BOMBEAMENTO, MOBILIZAÇÃO E DESMOBILIZAÇÃO). AF_01/2020_PA</t>
  </si>
  <si>
    <t>ESTACA BROCA DE CONCRETO, DIÂMETRO DE 30CM, ESCAVAÇÃO MANUAL COM TRADO CONCHA, INTEIRAMENTE ARMADA. AF_05/2020_PA</t>
  </si>
  <si>
    <t>25,42</t>
  </si>
  <si>
    <t>220,95</t>
  </si>
  <si>
    <t>MONTAGEM DE ARMADURA DE ESTACAS, DIÂMETRO = 32,0 MM. AF_09/2021_PS</t>
  </si>
  <si>
    <t>LAJE PRÉ-MOLDADA UNIDIRECIONAL, BIAPOIADA, PARA PISO, ENCHIMENTO EM CERÂMICA, VIGOTA CONVENCIONAL, ALTURA TOTAL DA LAJE (ENCHIMENTO+CAPA) = (8+4). AF_11/2020_PA</t>
  </si>
  <si>
    <t>LAJE PRÉ-MOLDADA UNIDIRECIONAL, BIAPOIADA, PARA FORRO, ENCHIMENTO EM CERÂMICA, VIGOTA CONVENCIONAL, ALTURA TOTAL DA LAJE (ENCHIMENTO+CAPA) = (8+3). AF_11/2020_PA</t>
  </si>
  <si>
    <t>72,97</t>
  </si>
  <si>
    <t>54,04</t>
  </si>
  <si>
    <t>55,77</t>
  </si>
  <si>
    <t>58,01</t>
  </si>
  <si>
    <t>42,42</t>
  </si>
  <si>
    <t>53,67</t>
  </si>
  <si>
    <t>9,70</t>
  </si>
  <si>
    <t>18,54</t>
  </si>
  <si>
    <t>23,16</t>
  </si>
  <si>
    <t>25,86</t>
  </si>
  <si>
    <t>16,74</t>
  </si>
  <si>
    <t>35,70</t>
  </si>
  <si>
    <t>439,20</t>
  </si>
  <si>
    <t>19,30</t>
  </si>
  <si>
    <t>17,97</t>
  </si>
  <si>
    <t>39,23</t>
  </si>
  <si>
    <t>25,74</t>
  </si>
  <si>
    <t>51,03</t>
  </si>
  <si>
    <t>29,71</t>
  </si>
  <si>
    <t>36,12</t>
  </si>
  <si>
    <t>38,10</t>
  </si>
  <si>
    <t>38,40</t>
  </si>
  <si>
    <t>97,88</t>
  </si>
  <si>
    <t>53,44</t>
  </si>
  <si>
    <t>62,82</t>
  </si>
  <si>
    <t>8,39</t>
  </si>
  <si>
    <t>8,62</t>
  </si>
  <si>
    <t>31,86</t>
  </si>
  <si>
    <t>32,93</t>
  </si>
  <si>
    <t>22,26</t>
  </si>
  <si>
    <t>52,76</t>
  </si>
  <si>
    <t>132,64</t>
  </si>
  <si>
    <t>69,73</t>
  </si>
  <si>
    <t>44,23</t>
  </si>
  <si>
    <t>74,55</t>
  </si>
  <si>
    <t>47,64</t>
  </si>
  <si>
    <t>16,79</t>
  </si>
  <si>
    <t>5,71</t>
  </si>
  <si>
    <t>5,85</t>
  </si>
  <si>
    <t>23,96</t>
  </si>
  <si>
    <t>32,37</t>
  </si>
  <si>
    <t>68,74</t>
  </si>
  <si>
    <t>33,58</t>
  </si>
  <si>
    <t>27,91</t>
  </si>
  <si>
    <t>19,09</t>
  </si>
  <si>
    <t>20,85</t>
  </si>
  <si>
    <t>33,81</t>
  </si>
  <si>
    <t>57,64</t>
  </si>
  <si>
    <t>47,50</t>
  </si>
  <si>
    <t>20,41</t>
  </si>
  <si>
    <t>64,74</t>
  </si>
  <si>
    <t>24,69</t>
  </si>
  <si>
    <t>55,41</t>
  </si>
  <si>
    <t>59,83</t>
  </si>
  <si>
    <t>41,68</t>
  </si>
  <si>
    <t>40,67</t>
  </si>
  <si>
    <t>32,67</t>
  </si>
  <si>
    <t>32,35</t>
  </si>
  <si>
    <t>26,55</t>
  </si>
  <si>
    <t>57,88</t>
  </si>
  <si>
    <t>21,23</t>
  </si>
  <si>
    <t>11,20</t>
  </si>
  <si>
    <t>20,23</t>
  </si>
  <si>
    <t>34,79</t>
  </si>
  <si>
    <t>57,67</t>
  </si>
  <si>
    <t>40,74</t>
  </si>
  <si>
    <t>49,52</t>
  </si>
  <si>
    <t>45,16</t>
  </si>
  <si>
    <t>50,96</t>
  </si>
  <si>
    <t>141,83</t>
  </si>
  <si>
    <t>49,58</t>
  </si>
  <si>
    <t>39,47</t>
  </si>
  <si>
    <t>28,14</t>
  </si>
  <si>
    <t>29,39</t>
  </si>
  <si>
    <t>24,77</t>
  </si>
  <si>
    <t>9,75</t>
  </si>
  <si>
    <t>17,54</t>
  </si>
  <si>
    <t>12,83</t>
  </si>
  <si>
    <t>28,38</t>
  </si>
  <si>
    <t>24,88</t>
  </si>
  <si>
    <t>73,42</t>
  </si>
  <si>
    <t>67,14</t>
  </si>
  <si>
    <t>39,75</t>
  </si>
  <si>
    <t>375,84</t>
  </si>
  <si>
    <t>118,19</t>
  </si>
  <si>
    <t>5,64</t>
  </si>
  <si>
    <t>68,81</t>
  </si>
  <si>
    <t>86,36</t>
  </si>
  <si>
    <t>104660</t>
  </si>
  <si>
    <t>CONJUNTO DE PONTOS HIDRÁULICOS DE ÁGUA FRIA PARA BANHEIRO (RAMAL/SUB-RAMAL E DISTRIBUIÇÃO) EM PVC, COM TUBOS, CONEXÕES, REGISTROS, CORTES E FIXAÇÕES EM PRÉDIO COM TUBULAÇÕES EMBUTIDAS COM RASGO. AF_05/2023</t>
  </si>
  <si>
    <t>104661</t>
  </si>
  <si>
    <t>CONJUNTO DE PONTOS HIDRÁULICOS DE ÁGUA FRIA PARA COZINHA (RAMAL/SUB-RAMAL E DISTRIBUIÇÃO) EM PVC, COM TUBOS, CONEXÕES, REGISTROS, CORTES E FIXAÇÕES EM PRÉDIO COM TUBULAÇÕES EMBUTIDAS COM RASGO. AF_05/2023</t>
  </si>
  <si>
    <t>104662</t>
  </si>
  <si>
    <t>CONJUNTO DE PONTOS HIDRÁULICOS DE ÁGUA FRIA PARA ÁREA DE SERVIÇO (RAMAL/SUB-RAMAL E DISTRIBUIÇÃO) EM PVC, COM TUBOS, CONEXÕES, REGISTROS, CORTES E FIXAÇÕES EM PRÉDIO COM TUBULAÇÕES EMBUTIDAS COM RASGO. AF_05/2023</t>
  </si>
  <si>
    <t>104663</t>
  </si>
  <si>
    <t>CONJUNTO DE PONTOS HIDRÁULICOS DE ÁGUA FRIA PARA BANHEIRO (RAMAL/SUB-RAMAL E DISTRIBUIÇÃO) EM PVC, COM TUBOS, CONEXÕES, REGISTROS, CORTES E FIXAÇÕES EM PRÉDIO (PRUMADA INDIVIDUAL), COM TUBULAÇÕES APARENTES OU EMBUTIDAS SEM RASGO. AF_05/2023</t>
  </si>
  <si>
    <t>104664</t>
  </si>
  <si>
    <t>CONJUNTO DE PONTOS HIDRÁULICOS DE ÁGUA FRIA PARA COZINHA OU SERVIÇO (RAMAL/SUB-RAMAL E DISTRIBUIÇÃO) EM PVC, COM TUBOS, CONEXÕES, REGISTROS, CORTES E FIXAÇÕES EM PRÉDIO (PRUMADA INDIVIDUAL), COM TUBULAÇÕES APARENTES OU EMBUTIDAS SEM RASGO. AF_05/2023</t>
  </si>
  <si>
    <t>104665</t>
  </si>
  <si>
    <t>CONJUNTO DE PONTOS HIDRÁULICOS DE ÁGUA FRIA PARA BANHEIRO (RAMAL/SUB-RAMAL E DISTRIBUIÇÃO) EM PVC, COM TUBOS, CONEXÕES, REGISTROS, CORTES E FIXAÇÕES EM PRÉDIO (PRUMADA COLETIVA), COM TUBULAÇÕES APARENTES OU EMBUTIDAS SEM RASGO. AF_05/2023</t>
  </si>
  <si>
    <t>104666</t>
  </si>
  <si>
    <t>CONJUNTO DE PONTOS HIDRÁULICOS DE ÁGUA FRIA PARA COZINHA OU SERVIÇO (RAMAL/SUB-RAMAL E DISTRIBUIÇÃO) EM PVC, COM  TUBOS, CONEXÕES, REGISTROS, CORTES E FIXAÇÕES EM PRÉDIO (PRUMADA COLETIVA) SEM RASGO . AF_05/2023</t>
  </si>
  <si>
    <t>104667</t>
  </si>
  <si>
    <t>COMPOSIÇÃO PARAMÉTRICA DE INSTALAÇÃO DE TUBOS DE PVC SOLDÁVEL PARA ÁGUA FRIA (PRUMADA INDIVIDUAL), POR APARTAMENTO, COM  CONEXÕES, CORTES E FIXAÇÕES, PARA PRÉDIO COM ATÉ 4 PAVIMENTOS. AF_05/2023</t>
  </si>
  <si>
    <t>104671</t>
  </si>
  <si>
    <t>CONJUNTO DE PONTOS HIDRÁULICOS DE ÁGUA QUENTE PARA BANHEIRO (RAMAL/SUB-RAMAL E DISTRIBUIÇÃO) EM CPVC, COM  TUBOS, CONEXÕES, REGISTROS, CORTES E FIXAÇÕES EM PRÉDIO COM TUBULAÇÕES EMBUTIDAS EM RASGO. AF_05/2023</t>
  </si>
  <si>
    <t>104672</t>
  </si>
  <si>
    <t>CONJUNTO DE PONTOS HIDRÁULICOS DE ÁGUA QUENTE PARA COZINHA (RAMAL/SUB-RAMAL E DISTRIBUIÇÃO) EM CPVC, COM  TUBOS, CONEXÕES, REGISTROS, CORTES E FIXAÇÕES EM PRÉDIO COM TUBULAÇÕES EMBUTIDAS EM RASGO. AF_05/2023</t>
  </si>
  <si>
    <t>104673</t>
  </si>
  <si>
    <t>CONJUNTO DE PONTOS HIDRÁULICOS DE ÁGUA QUENTE PARA BANHEIRO(RAMAL/SUB-RAMAL E DISTRIBUIÇÃO) EM CPVC, COM  TUBOS, CONEXÕES, REGISTROS, CORTES E FIXAÇÕES EM PRÉDIO COM TUBULAÇÕES APARENTES OU EMBUTIDAS SEM RASGO. AF_05/2023</t>
  </si>
  <si>
    <t>104674</t>
  </si>
  <si>
    <t>COMPOSIÇÃO PARAMÉTRICA DE INSTALAÇÃO DE TUBOS DE PVC, SÉRIE R, PARA COLETA DE ÁGUA PLUVIAL EM VARANDA, INSTALADO EM RAMAL DE ENCAMINHAMENTO E CONDUTOR VERTICAL, COM  CONEXÕES, RALOS, CORTES E FIXAÇÕES, PARA PRÉDIO. AF_05/2023</t>
  </si>
  <si>
    <t>104676</t>
  </si>
  <si>
    <t>CONJUNTO DE PONTOS DE COLETA DE ESGOTO PARA BANHEIRO (RAMAL DE ESGOTO SANITÁRIO), EM PVC SÉRIE NORMAL, COM  TUBOS, CONEXÕES, RALOS, CAIXAS SIFONADAS, CORTES E FIXAÇÕES EM PRÉDIO COM PRUMADA DE DESCIDA DE ESGOTO DENTRO DO BANHEIRO. AF_05/2023</t>
  </si>
  <si>
    <t>104677</t>
  </si>
  <si>
    <t>CONJUNTO DE PONTOS DE COLETA DE ESGOTO PARA BANHEIRO (RAMAL DE ESGOTO SANITÁRIO), EM PVC SÉRIE NORMAL, COM  TUBOS, CONEXÕES, RALOS, CAIXAS SIFONADAS, CORTES E FIXAÇÕES EM PRÉDIO COM PRUMADA DE DESCIDA DE ESGOTO FORA DO BANHEIRO. AF_05/2023</t>
  </si>
  <si>
    <t>104678</t>
  </si>
  <si>
    <t>CONJUNTO DE PONTOS DE COLETA DE ESGOTO PARA COZINHA (RAMAL DE ESGOTO SANITÁRIO), EM PVC SÉRIE NORMAL, COM  TUBOS, CONEXÕES, CORTES E FIXAÇÕES EM PRÉDIO. AF_05/2023</t>
  </si>
  <si>
    <t>104679</t>
  </si>
  <si>
    <t>CONJUNTO DE PONTOS DE COLETA DE ESGOTO PARA ÁREA DE SERVIÇO (RAMAL DE ESGOTO SANITÁRIO), EM PVC SÉRIE NORMAL, COM  TUBOS, CONEXÕES, RALOS, CAIXAS SIFONADAS, CORTES E FIXAÇÕES EM PRÉDIO. AF_05/2023</t>
  </si>
  <si>
    <t>104680</t>
  </si>
  <si>
    <t>COMPOSIÇÃO PARAMÉTRICA DE INSTALAÇÃO DE TUBOS DE PVC SÉRIE NORMAL (PRUMADA DE ESGOTO SANITÁRIO), DN 100MM, POR AMBIENTE HIDRÁULICO, COM  CONEXÕES, CORTES E FIXAÇÕES PARA PRÉDIO. AF_05/2023</t>
  </si>
  <si>
    <t>104681</t>
  </si>
  <si>
    <t>COMPOSIÇÃO PARAMÉTRICA DE INSTALAÇÃO DE TUBOS DE PVC SÉRIE NORMAL (PRUMADA DE ESGOTO SANITÁRIO), DN 75MM, POR AMBIENTE HIDRÁULICO, COM  CONEXÕES, CORTES E FIXAÇÕES PARA PRÉDIO. AF_05/2023</t>
  </si>
  <si>
    <t>104682</t>
  </si>
  <si>
    <t>COMPOSIÇÃO PARAMÉTRICA DE INSTALAÇÃO DE TUBOS DE PVC SÉRIE NORMAL (PRUMADA DE VENTILAÇÃO), DN 100MM, POR APARTAMENTO (2 BANHEIROS) E DESCIDA DE ESGOTO NO BANHEIRO, COM  CONEXÕES, CORTES E FIXAÇÕES PARA PRÉDIO COM MAIS DO QUE 4 PAVIMENTOS. AF_05/2023</t>
  </si>
  <si>
    <t>104683</t>
  </si>
  <si>
    <t>COMPOSIÇÃO PARAMÉTRICA DE INSTALAÇÃO DE TUBOS DE PVC SÉRIE NORMAL (PRUMADA DE VENTILAÇÃO), DN 75MM, POR APARTAMENTO (1 BANHEIRO) E DESCIDA DE ESGOTO FORA DO BANHEIRO, COM  CONEXÕES, CORTES E FIXAÇÕES PARA PRÉDIO COM ATÉ 4 PAVIMENTOS. AF_05/2023</t>
  </si>
  <si>
    <t>27,61</t>
  </si>
  <si>
    <t>92,69</t>
  </si>
  <si>
    <t>121,58</t>
  </si>
  <si>
    <t>21,90</t>
  </si>
  <si>
    <t>79,12</t>
  </si>
  <si>
    <t>12,71</t>
  </si>
  <si>
    <t>17,25</t>
  </si>
  <si>
    <t>71,40</t>
  </si>
  <si>
    <t>ALVENARIA DE BLOCOS DE CONCRETO ESTRUTURAL 14X19X29 CM (ESPESSURA 14 CM), FBK = 14,0 MPA, UTILIZANDO PALHETA. AF_10/2022</t>
  </si>
  <si>
    <t>62,55</t>
  </si>
  <si>
    <t>113,90</t>
  </si>
  <si>
    <t>30,03</t>
  </si>
  <si>
    <t>54,54</t>
  </si>
  <si>
    <t>63,00</t>
  </si>
  <si>
    <t>33,11</t>
  </si>
  <si>
    <t>104658</t>
  </si>
  <si>
    <t>PISO PODOTÁTIL DE ALERTA OU DIRECIONAL, DE CONCRETO, ASSENTADO SOBRE ARGAMASSA. AF_05/2023</t>
  </si>
  <si>
    <t>56,72</t>
  </si>
  <si>
    <t>45,95</t>
  </si>
  <si>
    <t>52,08</t>
  </si>
  <si>
    <t>34,74</t>
  </si>
  <si>
    <t>171,55</t>
  </si>
  <si>
    <t>39,99</t>
  </si>
  <si>
    <t>76,92</t>
  </si>
  <si>
    <t>69,71</t>
  </si>
  <si>
    <t>77,74</t>
  </si>
  <si>
    <t>53,33</t>
  </si>
  <si>
    <t>58,42</t>
  </si>
  <si>
    <t>25,97</t>
  </si>
  <si>
    <t>58,49</t>
  </si>
  <si>
    <t>98,66</t>
  </si>
  <si>
    <t>8,65</t>
  </si>
  <si>
    <t>76,69</t>
  </si>
  <si>
    <t>173,86</t>
  </si>
  <si>
    <t>1,07</t>
  </si>
  <si>
    <t>7,42</t>
  </si>
  <si>
    <t>38,62</t>
  </si>
  <si>
    <t>37,34</t>
  </si>
  <si>
    <t>10,22</t>
  </si>
  <si>
    <t>26,49</t>
  </si>
  <si>
    <t>26,90</t>
  </si>
  <si>
    <t>21,05</t>
  </si>
  <si>
    <t>20,87</t>
  </si>
  <si>
    <t>70,93</t>
  </si>
  <si>
    <t>99,94</t>
  </si>
  <si>
    <t>105,32</t>
  </si>
  <si>
    <t>3,89</t>
  </si>
  <si>
    <t>219,10</t>
  </si>
  <si>
    <t>150,13</t>
  </si>
  <si>
    <t>138,72</t>
  </si>
  <si>
    <t>97,28</t>
  </si>
  <si>
    <t>95,39</t>
  </si>
  <si>
    <t>34,98</t>
  </si>
  <si>
    <t>39,03</t>
  </si>
  <si>
    <t>29,13</t>
  </si>
  <si>
    <t>20,69</t>
  </si>
  <si>
    <t>12,64</t>
  </si>
  <si>
    <t>46,63</t>
  </si>
  <si>
    <t>29,79</t>
  </si>
  <si>
    <t>41,06</t>
  </si>
  <si>
    <t>80,27</t>
  </si>
  <si>
    <t>18,32</t>
  </si>
  <si>
    <t>23,89</t>
  </si>
  <si>
    <t>30,89</t>
  </si>
  <si>
    <t>12,35</t>
  </si>
  <si>
    <t>61,78</t>
  </si>
  <si>
    <t>69,49</t>
  </si>
  <si>
    <t>71,75</t>
  </si>
  <si>
    <t>33,78</t>
  </si>
  <si>
    <t>149,62</t>
  </si>
  <si>
    <t>26,53</t>
  </si>
  <si>
    <t>49,48</t>
  </si>
  <si>
    <t>24,65</t>
  </si>
  <si>
    <t>44,36</t>
  </si>
  <si>
    <t>82,98</t>
  </si>
  <si>
    <t>28,42</t>
  </si>
  <si>
    <t>24,89</t>
  </si>
  <si>
    <t>17,27</t>
  </si>
  <si>
    <t>33,22</t>
  </si>
  <si>
    <t>40,34</t>
  </si>
  <si>
    <t>45,14</t>
  </si>
  <si>
    <t>24,49</t>
  </si>
  <si>
    <t>27,13</t>
  </si>
  <si>
    <t>46,29</t>
  </si>
  <si>
    <t>131,92</t>
  </si>
  <si>
    <t>159,66</t>
  </si>
  <si>
    <t>63,62</t>
  </si>
  <si>
    <t>122,65</t>
  </si>
  <si>
    <t>10,95</t>
  </si>
  <si>
    <t>12,82</t>
  </si>
  <si>
    <t>103,61</t>
  </si>
  <si>
    <t>30,95</t>
  </si>
  <si>
    <t>32,51</t>
  </si>
  <si>
    <t>44,59</t>
  </si>
  <si>
    <t>73,82</t>
  </si>
  <si>
    <t>72,35</t>
  </si>
  <si>
    <t>36,37</t>
  </si>
  <si>
    <t>97,01</t>
  </si>
  <si>
    <t>85,08</t>
  </si>
  <si>
    <t>71,73</t>
  </si>
  <si>
    <t>4,80</t>
  </si>
  <si>
    <t>5,84</t>
  </si>
  <si>
    <t>38,94</t>
  </si>
  <si>
    <t>196,69</t>
  </si>
  <si>
    <t>31,46</t>
  </si>
  <si>
    <t>68,33</t>
  </si>
  <si>
    <t>110,47</t>
  </si>
  <si>
    <t>53,55</t>
  </si>
  <si>
    <t>45,56</t>
  </si>
  <si>
    <t>29,89</t>
  </si>
  <si>
    <t>55,95</t>
  </si>
  <si>
    <t>37,29</t>
  </si>
  <si>
    <t>23,20</t>
  </si>
  <si>
    <t>20,65</t>
  </si>
  <si>
    <t>43,99</t>
  </si>
  <si>
    <t>21,02</t>
  </si>
  <si>
    <t>33,10</t>
  </si>
  <si>
    <t>35,85</t>
  </si>
  <si>
    <t>115,95</t>
  </si>
  <si>
    <t>145,41</t>
  </si>
  <si>
    <t>35,44</t>
  </si>
  <si>
    <t>114,77</t>
  </si>
  <si>
    <t>29,62</t>
  </si>
  <si>
    <t>30,64</t>
  </si>
  <si>
    <t>54,80</t>
  </si>
  <si>
    <t>138,08</t>
  </si>
  <si>
    <t>7,87</t>
  </si>
  <si>
    <t>45,67</t>
  </si>
  <si>
    <t>23,52</t>
  </si>
  <si>
    <t>14,97</t>
  </si>
  <si>
    <t>86,28</t>
  </si>
  <si>
    <t>131,98</t>
  </si>
  <si>
    <t>43,05</t>
  </si>
  <si>
    <t>15,68</t>
  </si>
  <si>
    <t>32,47</t>
  </si>
  <si>
    <t>75,88</t>
  </si>
  <si>
    <t>11,89</t>
  </si>
  <si>
    <t>84,47</t>
  </si>
  <si>
    <t>7,52</t>
  </si>
  <si>
    <t>42,00</t>
  </si>
  <si>
    <t>65,39</t>
  </si>
  <si>
    <t>20,64</t>
  </si>
  <si>
    <t>30,90</t>
  </si>
  <si>
    <t>31,37</t>
  </si>
  <si>
    <t>30,74</t>
  </si>
  <si>
    <t>33,89</t>
  </si>
  <si>
    <t>92,58</t>
  </si>
  <si>
    <t>33,17</t>
  </si>
  <si>
    <t>77,40</t>
  </si>
  <si>
    <t>37,40</t>
  </si>
  <si>
    <t>51,89</t>
  </si>
  <si>
    <t>18,26</t>
  </si>
  <si>
    <t>36,79</t>
  </si>
  <si>
    <t>42,44</t>
  </si>
  <si>
    <t>40,13</t>
  </si>
  <si>
    <t>45,21</t>
  </si>
  <si>
    <t>Perfil em MDF para acabamento de piso sintético laminado flutuante</t>
  </si>
  <si>
    <t>Cabo de manobra de 2,5 metros, Categoria 6 (patch cord)</t>
  </si>
  <si>
    <t>Rack padrão 19 polegadas, aberto, 40U</t>
  </si>
  <si>
    <t>Cabo de fibra óptica multimodo 24 fibras - Cabo tronco OM4</t>
  </si>
  <si>
    <t>Cordão Óptico Duplex Multimodo LC/LC</t>
  </si>
  <si>
    <t>DIO – Distribuidor Interno Óptico pré-terminado – 1U</t>
  </si>
  <si>
    <t>Módulo MPO/MPT para DIO</t>
  </si>
  <si>
    <t>Alambrado em perfis metálicos retangulares de 2,03 x 2,50 m (AxL)</t>
  </si>
  <si>
    <t>Bacia convencional para caixa de descarga acoplada – Linha Administrativa</t>
  </si>
  <si>
    <t>Chuveiro de Emergência e Lava Olhos em inox com pedal</t>
  </si>
  <si>
    <t>Tubo de aço-carbono galvanizado 4” – Água Potável e Combate a Incêndio</t>
  </si>
  <si>
    <t>Extintor de pó químico ABC, capacidade 8 kg</t>
  </si>
  <si>
    <t>Sprinkler Pendente Cromado 3/4", 68°C, Fator K115 (8,0)</t>
  </si>
  <si>
    <t>Supervisor(a) Técnico(a) – Ar-Condicionado</t>
  </si>
  <si>
    <t>Supervisor(a) Técnico(a) – Comando e Automação</t>
  </si>
  <si>
    <t>Encarregado(a) de Manutenção de Sistemas de Ar-condicionado</t>
  </si>
  <si>
    <t>Técnico(a) Eletromecânico(a)/Ar-Condicionado</t>
  </si>
  <si>
    <t>Técnico(a) em Comando Elétrico/Automação</t>
  </si>
  <si>
    <t>Eletromecânico(a) de Ar-Condicionado</t>
  </si>
  <si>
    <t>Auxiliar de Manutenção</t>
  </si>
  <si>
    <t>Auxiliar Administrativo(a)</t>
  </si>
  <si>
    <t>Duteiro(a)</t>
  </si>
  <si>
    <t>Eletromecânico(a) de Ar-Condicionado Plantonista - Plantão Diurno</t>
  </si>
  <si>
    <t>Eletromecânico(a) de Ar-Condicionado Plantonista - Plantão Noturno</t>
  </si>
  <si>
    <t>Auxiliar de Manutenção Plantonista - Plantão Diurno</t>
  </si>
  <si>
    <t>Auxiliar de Manutenção Plantonista - Plantão Noturno</t>
  </si>
  <si>
    <t>Serviços de tratamento químico e análise dos condensados e das águas dos sistemas de climatização</t>
  </si>
  <si>
    <t>Rebobinamento de motor mono/trifásico até 5 kW (inclusive)</t>
  </si>
  <si>
    <t>Rebobinamento de motor trifásico de 5 kW (exclusive) até 10 kW (inclusive)</t>
  </si>
  <si>
    <t>Rebobinamento de motor trifásico de 14,9 kW</t>
  </si>
  <si>
    <t>Rebobinamento de motor trifásico de 22 kW</t>
  </si>
  <si>
    <t>Rebobinamento de motor trifásico de 30 kW</t>
  </si>
  <si>
    <t>Rebobinamento de motor trifásico de 45 kW</t>
  </si>
  <si>
    <t>Rebobinamento de motor trifásico de 75 kW</t>
  </si>
  <si>
    <t>Rebobinamento de motor trifásico de 150 kW</t>
  </si>
  <si>
    <t>Revisão completa (overhaul) de bomba hidráulica referente a conjunto motobomba com potência até 10 kW (inclusive)</t>
  </si>
  <si>
    <t>Revisão completa (overhaul) de bomba hidráulica referente a conjunto motobomba com potência de 14,9 kW</t>
  </si>
  <si>
    <t>Revisão completa (overhaul) de bomba hidráulica referente a conjunto motobomba com potência de 22 kW</t>
  </si>
  <si>
    <t>Revisão completa (overhaul) de bomba hidráulica referente a conjunto motobomba com potência de 30 kW</t>
  </si>
  <si>
    <t>Revisão completa (overhaul) de bomba hidráulica referente a conjunto motobomba com potência de 45 kW</t>
  </si>
  <si>
    <t>Revisão completa (overhaul) de bomba hidráulica referente a conjunto motobomba com potência de 75 kW</t>
  </si>
  <si>
    <t>Revisão completa (overhaul) de bomba hidráulica referente a conjunto motobomba com potência de 150 kW</t>
  </si>
  <si>
    <t>Remanufatura completa de Compressor Parafuso Semi-Hermético modelo Carlyle 06 NA2250W7NC-A00 ou equivalente, R-134A</t>
  </si>
  <si>
    <t>Remanufatura completa de Compressor Parafuso Semi-Hermético modelo Carlyle 06 NA2209W7NC-A00 ou equivalente, R-134A</t>
  </si>
  <si>
    <t>Remanufatura completa de Compressor Parafuso Hermético 50 TRs modelo Trane CHHN050DKA0N057A ou equivalente, R-22</t>
  </si>
  <si>
    <t>Remanufatura completa de Compressor Alternativo modelo York ZB4K1 B46 ou equivalente, R-22</t>
  </si>
  <si>
    <t>Contratação anual de laudos técnicos dos fabricantes, seus representantes autorizados ou empresa especializada versando sobre o estado de operação e manutenção de todos os chillers centrífugos e a ar do Complexo Arquitetônico do Senado Federal</t>
  </si>
  <si>
    <t>Contratação anual de laudos técnicos de laboratórios qualificados versando sobre a qualidade dos óleos dos compressores de todos os chillers centrífugos e a ar do Complexo Arquitetônico do Senado Federal</t>
  </si>
  <si>
    <t>Projeto ou acompanhamento realizado por engenheiro de segurança do trabalho com carga horária de vinte horas</t>
  </si>
  <si>
    <t>Compressor Hermético Rotativo próprio para R-22 de Capacidade de até 12.000 BTU/h (inclusive)</t>
  </si>
  <si>
    <t>Compressor Hermético Rotativo próprio para R-22 de Capacidade de 12.000 BTU/h (exclusive) até 18.000 BTU/h (inclusive)</t>
  </si>
  <si>
    <t>Compressor Hermético Rotativo próprio para R-22 de Capacidade de 18.000 BTU/h (exclusive) até 24.000 BTU/h (inclusive)</t>
  </si>
  <si>
    <t>Compressor Hermético Rotativo próprio para R-22 de Capacidade de 24.000 BTU/h (exclusive) até 36.000 BTU/h (inclusive)</t>
  </si>
  <si>
    <t>Compressor Hermético Rotativo próprio para R-22 de Capacidade de 36.000 BTU/h (exclusive) até 48.000 BTU/h (inclusive)</t>
  </si>
  <si>
    <t>Compressor Hermético Rotativo próprio para R-22 de Capacidade de 48.000 BTU/h (exclusive) até 60.000 BTU/h (inclusive)</t>
  </si>
  <si>
    <t>Compressor Hermético Rotativo próprio para R-410A de Capacidade de até 12.000 BTU/h (inclusive)</t>
  </si>
  <si>
    <t>Compressor Hermético Rotativo próprio para R-410A de Capacidade de 12.000 BTU/h (exclusive) até 18.000 BTU/h (inclusive)</t>
  </si>
  <si>
    <t>Compressor Hermético Rotativo próprio para R-410A de Capacidade de 18.000 BTU/h (exclusive) até 24.000 BTU/h (inclusive)</t>
  </si>
  <si>
    <t>Compressor Hermético Rotativo próprio para R-410A de Capacidade de 24.000 BTU/h (exclusive) até 36.000 BTU/h (inclusive)</t>
  </si>
  <si>
    <t>Compressor Hermético Rotativo próprio para R-410A de Capacidade de 36.000 BTU/h (exclusive) até 48.000 BTU/h (inclusive)</t>
  </si>
  <si>
    <t>Compressor Hermético Rotativo próprio para R-410A de Capacidade de 48.000 BTU/h (exclusive) até 60.000 BTU/h (inclusive)</t>
  </si>
  <si>
    <t>Compressor Swing próprio para R-410A de Capacidade de 30.000 BTU/h (inclusive) até 31.000 BTU/h (inclusive), modelo Swing DC DAIKIN</t>
  </si>
  <si>
    <t>Compressor Hermético Rotativo próprio para R-32 de Capacidade de até 12.000 BTU/h (inclusive)</t>
  </si>
  <si>
    <t>Compressor Hermético Rotativo próprio para R-32 de Capacidade de 12.000 BTU/h (exclusive) até 18.000 BTU/h (inclusive)</t>
  </si>
  <si>
    <t>Compressor EcoSwing próprio para R-32 de Capacidade 12.000 BTU/h, modelo EcoSwing DC DAIKIN</t>
  </si>
  <si>
    <t>Compressor EcoSwing próprio para R-32 de Capacidade 18.000 BTU/h, modelo EcoSwing DC DAIKIN</t>
  </si>
  <si>
    <t>Compressor EcoSwing próprio para R-32 de Capacidade 24.000 BTU/h, modelo EcoSwing DC DAIKIN</t>
  </si>
  <si>
    <t>Compressor Scroll próprio para R-22/R-407C de Capacidade de até 3 TR (inclusive)</t>
  </si>
  <si>
    <t>Compressor Scroll próprio para R-22/R-407C de Capacidade de 3 TR (exclusive) até 5 TR (inclusive)</t>
  </si>
  <si>
    <t>Compressor Scroll próprio para R-22/R-407C de Capacidade de 5 TR (exclusive) até 7,5 TR (inclusive)</t>
  </si>
  <si>
    <t>Compressor Scroll próprio para R-22/R-407C de Capacidade de 7,5 TR (exclusive) até 10 TR (inclusive)</t>
  </si>
  <si>
    <t>Compressor Scroll próprio para R-22/R-407C de Capacidade de 10 TR (exclusive) até 12,5 TR (inclusive)</t>
  </si>
  <si>
    <t>Compressor Scroll próprio para R-22/R-407C de Capacidade de 12,5 TR (exclusive) até 15 TR (inclusive)</t>
  </si>
  <si>
    <t>Compressor Scroll próprio para R-22/R-407C de Capacidade de 15 TR (exclusive) até 20 TR (inclusive)</t>
  </si>
  <si>
    <t>Compressor Scroll próprio para R-22 de Capacidade 10 TR, modelo Trane CSHA 100X, 3F/380V/60Hz, para chiller Trane CGAD040-HT</t>
  </si>
  <si>
    <t>Compressor Scroll próprio para R-22 de Capacidade 15 TR, modelo Trane CSHA 150X, 3F/380V/60Hz, para chiller Trane CGAD060-HT(4T)</t>
  </si>
  <si>
    <t>Compressor Scroll próprio para R-22 de Capacidade 15,4 TR, modelo Danfoss Scroll Performer SM185S9C, 3F/380V/60Hz, para chiller Carrier 30GSP080386S</t>
  </si>
  <si>
    <t>Compressor Scroll próprio para R-407C de Capacidade 3 TR, modelo Copeland ZR36K3-TFD-522 ou equivalente</t>
  </si>
  <si>
    <t>Compressor Scroll próprio para R-407C de Capacidade 20 TR, modelo Danfoss SY240A9CB ou Copeland ZR250KC-TE7-522 ou equivalente</t>
  </si>
  <si>
    <t>Compressor Scroll próprio para R-410A de Capacidade 6,9 TR, modelo HLJ083T9LC,  para split Trane Oasis TDXU 15</t>
  </si>
  <si>
    <t>Compressor Scroll próprio para R-410A de Capacidade 8,8 TR, modelo DCJ106T9LC, para split Trane Oasis TDXU 10</t>
  </si>
  <si>
    <t>Compressor Scroll próprio para R-410A de Capacidade de até 3 TR (inclusive)</t>
  </si>
  <si>
    <t>Compressor Scroll próprio para R-410A de Capacidade de 3 TR (exclusive) até 5 TR (inclusive)</t>
  </si>
  <si>
    <t>Compressor Scroll próprio para R-410A de Capacidade 52.900 BTU/h, modelo Mitsubishi ANB33FDMMT ou equivalente</t>
  </si>
  <si>
    <t>Compressor Alternativo próprio para R-22 modelo York ZB4K1 B46 ou equivalente, para chiller York YEAZ33BP3-46PA</t>
  </si>
  <si>
    <t>Compressor Alternativo próprio para R-22 de Capacidade 120.000 BTU/h, trifásico, modelo Trane CRHL 100KA ou equivalente</t>
  </si>
  <si>
    <t>Compressor Parafuso Semi-Hermético próprio para R-134A modelo Carlyle 06 NA2250W7NC-A00 ou equivalente, para chiller Carrier 30GXE227.386S</t>
  </si>
  <si>
    <t>Compressor Parafuso Semi-Hermético próprio para R-134A modelo Carlyle 06 NA2209W7NC-A00 ou equivalente, para chiller Carrier 30GXE227.386S</t>
  </si>
  <si>
    <t>Compressor Parafuso Semi-Hermético próprio para R-22 de Capacidade 50 TR, modelo Trane CHHN050DKA0N057A ou equivalente, para chiller Trane RTAA100DYB1AA0002</t>
  </si>
  <si>
    <t>Exaustor axial com vazão máxima de 340 m3/h</t>
  </si>
  <si>
    <t>Exaustor axial em linha com vazão máxima de 520 m3/h</t>
  </si>
  <si>
    <t>Exaustor centrífugo em linha com vazão máxima de 865 m3/h</t>
  </si>
  <si>
    <t>Exaustor centrífugo em linha com vazão máxima de 1350 m3/h</t>
  </si>
  <si>
    <t>Exaustor axial trifásico com vazão máxima 7.800 m3/h</t>
  </si>
  <si>
    <t>Ventilador axial 400 mm, 4 polos, monofásico, com grade</t>
  </si>
  <si>
    <t>Difusor de ar quadrado 248x248 mm</t>
  </si>
  <si>
    <t>Difusor de ar quadrado 304x304 mm</t>
  </si>
  <si>
    <t>Difusor de ar quadrado com caixa pleno AK6 304x304 mm</t>
  </si>
  <si>
    <t>Difusor de ar quadrado com caixa pleno AK6 360x360 mm</t>
  </si>
  <si>
    <t>Grelha para retorno quadrada 225x225 mm</t>
  </si>
  <si>
    <t>Grelha para retorno retangular 325x125 mm</t>
  </si>
  <si>
    <t>Grelha para retorno para portas, divisórias e paredes 1225x525 mm</t>
  </si>
  <si>
    <t>Placa eletrônica Trane Starter Module 6400-1122-04 X13650741-12</t>
  </si>
  <si>
    <t>Placa eletrônica Trane UCP3 Dual Binary Input 6400-1104-03 X13650728-05</t>
  </si>
  <si>
    <t>Placa eletrônica Trane UCP3 Quad Relay Output 6400-1126-03 X13650806-04</t>
  </si>
  <si>
    <t>Placa eletrônica Trane UCP3 Triple Winding Temp Input X13650921-03</t>
  </si>
  <si>
    <t>Módulo Trane de Interface TCI-4 - COMM4 Trane MOD01394</t>
  </si>
  <si>
    <t>Módulo Trane COMM 4 Interface X13650844-04</t>
  </si>
  <si>
    <t>Módulo supervisório e de interface IHM Trane Dynaview, Part nº MOD02092</t>
  </si>
  <si>
    <t>Tela touch screen Trane 4,756" para MOD02092, Part nº SRN01001</t>
  </si>
  <si>
    <t>Placa eletrônica de suprimento de força para placas Trane UCP3, X13650737-07</t>
  </si>
  <si>
    <t>Placa eletrônica de suprimento de força para TRANE CVGF1000, Part nº PWR00155</t>
  </si>
  <si>
    <t>Módulo Trane Main Card para chillers Trane modelo CGAD040-4T série BR1198C0007 e Trane modelo CGAD060-4T série BR0999C0001</t>
  </si>
  <si>
    <t>Módulo Trane Auxiliary Card para chillers Trane modelo CGAD040-4T série BR1198C0007 e Trane modelo CGAD060-4T série BR0999C0001</t>
  </si>
  <si>
    <t>Placa eletrônica de suprimento de força para placas eletrônicas Trane para chillers Trane modelo CGAD040-4T série BR1198C0007 e Trane modelo CGAD060-4T série BR0999C0001</t>
  </si>
  <si>
    <t>Módulo Trane CPM – Unit Regulation modelo MOD01424 para chiller Trane RTAA</t>
  </si>
  <si>
    <t>Módulo Trane MSCP – Compressor Regulation modelo MOD01425 para chiller Trane RTAA</t>
  </si>
  <si>
    <t>Módulo Trane EXV – Eletronic Expansion Valve Regulation modelo MOD01562 para chiller Trane RTAA</t>
  </si>
  <si>
    <t>Módulo Trane CSR – External Communication Link and Chiller Water Reset modelo MOD01422 para chiller Trane RTAA</t>
  </si>
  <si>
    <t>Placa eletrônica de suprimento de força para placas eletrônicas Trane para chiller Trane RTAA</t>
  </si>
  <si>
    <t>Módulo Trane de Interface Adaptive Control MOD00942</t>
  </si>
  <si>
    <t>Placa Carrier PD4</t>
  </si>
  <si>
    <t>Placa Carrier EXV</t>
  </si>
  <si>
    <t>Placa de Supervisão e Comunicação Carrier CLOCK/CCN</t>
  </si>
  <si>
    <t>Placa Carrier 4xDO do ventilador</t>
  </si>
  <si>
    <t>Placa Eletrônica de Supervisão Carrier NRCP/NRCP2</t>
  </si>
  <si>
    <t>Placa Carrier SCPM de proteção do compressor</t>
  </si>
  <si>
    <t>Placa eletrônica de suprimento de força para placas eletrônicas Carrier do chiller 30GX</t>
  </si>
  <si>
    <t>Placa eletrônica de suprimento de força para placas eletrônicas Carrier do chiller 30GS</t>
  </si>
  <si>
    <t>Placa Eletrônica York Microprocessor Board do chiller York YEAZ</t>
  </si>
  <si>
    <t>Placa Eletrônica York Relay Output Board do chiller York YEAZ</t>
  </si>
  <si>
    <t>Placa eletrônica York Power Supply Board do chiller York YEAZ</t>
  </si>
  <si>
    <t>Chave de fluxo “flow switch” para rede de água gelada ou condensada</t>
  </si>
  <si>
    <t>Sensor de temperatura para água modelo Carrier HH79NZ047</t>
  </si>
  <si>
    <t>Sensor de temperatura para módulo Trane Dynaview, Part nº SEN02133</t>
  </si>
  <si>
    <t>Sensor de água gelada modelo Trane X1354070103 para chiller centrífugo</t>
  </si>
  <si>
    <t>Sensor de água gelada para chiller modelo Trane X13540555002 (SEN0006E)</t>
  </si>
  <si>
    <t>Sensor de temperatura (termistor) modelo Trane SEN00306 para chiller Trane RTAA</t>
  </si>
  <si>
    <t>Sensor de temperatura de condensação modelo Trane SEN00296 para chiller Trane RTAA</t>
  </si>
  <si>
    <t>Sensor de temperatura de evaporação modelo Trane SEN00951 para chiller Trane RTAA</t>
  </si>
  <si>
    <t>Sensor termistor para água para chiller</t>
  </si>
  <si>
    <t>Sensor de temperatura de óleo modelo Trane SEN00204 para chiller Trane RTAA</t>
  </si>
  <si>
    <t>Sensor transdutor de pressão, lado baixa pressão, modelo Carrier OP--12DA-040, para chiller Carrier</t>
  </si>
  <si>
    <t>Sensor transdutor de pressão, lado alta pressão, modelo Carrier OP--12DA-039, para chiller Carrier</t>
  </si>
  <si>
    <t>Transdutor de alta pressão modelo Trane SWT02242 (X1321021001)</t>
  </si>
  <si>
    <t>Transdutor de pressão eletrônico de alta</t>
  </si>
  <si>
    <t>Transdutor de pressão eletrônico de baixa</t>
  </si>
  <si>
    <t>Pressostato cartucho/rabicho de alta</t>
  </si>
  <si>
    <t>Pressostato cartucho/rabicho de baixa</t>
  </si>
  <si>
    <t>Pressostato de baixa pressão modelo Trane SWT02565 para chiller Trane RTAA</t>
  </si>
  <si>
    <t>Chave de nível de óleo modelo Carrier HR-12BA-011-ee</t>
  </si>
  <si>
    <t>Filtro de óleo Modelo Trane FLR01917 para chiller centrífugo Trane CVGF1000</t>
  </si>
  <si>
    <t>Elemento filtrante de óleo Modelo Trane FLR08720 para chiller centrífugo Trane CVGF1000</t>
  </si>
  <si>
    <t>Filtro de óleo para chiller a ar Carrier 30GXE227.386S com capacidade de 213,3 TR</t>
  </si>
  <si>
    <t>Elemento filtrante de óleo Modelo Carrier 06NA660028 para chiller a ar Carrier 30GXE227.386S com capacidade de 213,3 TR</t>
  </si>
  <si>
    <t>Filtro de óleo Modelo Trane FLR01353 para chiller a ar Trane RTAA100DYB1AA0002 com capacidade de 100 TR</t>
  </si>
  <si>
    <t>Filtro de óleo para chiller a ar Carrier 30GSP080386S com capacidade de 80 TR</t>
  </si>
  <si>
    <t>Filtro de óleo para chiller a ar Trane CGAD060-HT(4T) com capacidade de 60 TR</t>
  </si>
  <si>
    <t>Filtro de óleo para chiller a ar York YEAZ33BP3-46PA com capacidade de 50 TR</t>
  </si>
  <si>
    <t>Filtro de óleo para chiller a ar Trane CGAD040-HT com capacidade de 40 TR</t>
  </si>
  <si>
    <t>Filtro secador para linhas de refrigerante de chiller</t>
  </si>
  <si>
    <t>Núcleo para filtro secador para linhas de refrigerante de chiller com sistema HCFC</t>
  </si>
  <si>
    <t>Núcleo para filtro secador para linhas de refrigerante de chiller com sistema HFC</t>
  </si>
  <si>
    <t>Separador de óleo para chiller a ar Trane RTAA100DYB1AA0002 com capacidade de 100 TR</t>
  </si>
  <si>
    <t>Válvula de Expansão EXV modelo Trane VAL08030 para chiller Trane RTAA</t>
  </si>
  <si>
    <t>Válvula de Expansão EXV para chiller a ar Carrier 30GXE227.386S com capacidade de 213,3 TR</t>
  </si>
  <si>
    <t>Bobina de solenoide 10W, 60Hz, tensão de alimentação 24V/110V/220V</t>
  </si>
  <si>
    <t>Bobina de solenoide modelo Trane COL04723 ou equivalente para chiller Trane RTAA</t>
  </si>
  <si>
    <t>Válvula solenoide modelo Trane VAL02843 ou equivalente para chiller Trane RTAA</t>
  </si>
  <si>
    <t>Manômetro conexão 1/2" NPT ou 1/2" BSP, diâmetro 100 mm, classe B de exatidão ou superior</t>
  </si>
  <si>
    <t>Manovacuômetro conexão 1/2" NPT ou 1/2" BSP, diâmetro 100 mm, classe B de exatidão ou superior</t>
  </si>
  <si>
    <t>Termômetro Capela conexão 1/2" NPT ou 1/2" BSP, Escala 0 a 50°C, Líquido Vermelho, Haste Reta 50 mm</t>
  </si>
  <si>
    <t>Resistência de aquecimento de Carter modelo Trane ELM01936 para chiller centrífugo Trane modelo CVGF1000DL0C64115101B2B1C2C49010400E3NN0B00T0 série G08C00202</t>
  </si>
  <si>
    <t>Junta de expansão de borracha  EPDM, diâmetro nominal de 1 1/2"</t>
  </si>
  <si>
    <t>Junta de expansão de borracha  EPDM, diâmetro nominal de 2"</t>
  </si>
  <si>
    <t>Junta de expansão de borracha  EPDM, diâmetro nominal de 2 1/2"</t>
  </si>
  <si>
    <t>Junta de expansão de borracha  EPDM, diâmetro nominal de 3"</t>
  </si>
  <si>
    <t>Junta de expansão de borracha  EPDM, diâmetro nominal de 4"</t>
  </si>
  <si>
    <t>Junta de expansão de borracha  EPDM, diâmetro nominal de 5"</t>
  </si>
  <si>
    <t>Junta de expansão de borracha  EPDM, diâmetro nominal de 6"</t>
  </si>
  <si>
    <t>Junta de expansão de borracha  EPDM, diâmetro nominal de 8"</t>
  </si>
  <si>
    <t>Junta de expansão de borracha  EPDM, diâmetro nominal de 10"</t>
  </si>
  <si>
    <t>Junta de expansão de borracha  EPDM, diâmetro nominal de 12"</t>
  </si>
  <si>
    <t>Atuador de Damper para controle do tipo proporcional com 10Nm de força</t>
  </si>
  <si>
    <t>Atuador de Damper convencional (Non Fail-Safe) para controle do tipo ON/OFF e Floating com 20Nm de força</t>
  </si>
  <si>
    <t>Soft starter Cutler-Hammer S811V72N3S ou equivalente, para chiller centrífugo Trane modelo CVGF1000DL0C64115101B2B1C2C49010400E3NN0B00T0 série G08C00202</t>
  </si>
  <si>
    <t>Conjunto de tampas (2) para condensadora de chiller centrífugo Trane modelo CVGF1000DL0C64115101B2B1C2C49010400E3NN0B00T0 série G08C00202</t>
  </si>
  <si>
    <t>Hélice para chiller a ar</t>
  </si>
  <si>
    <t>Motobomba centrífuga monoestágio de eixo horizontal em sistema monobloco 12,5 CV, trifásica, motor 4 polos</t>
  </si>
  <si>
    <t>Motobomba centrífuga monoestágio de eixo horizontal em sistema monobloco 5 CV, trifásica, motor 4 polos</t>
  </si>
  <si>
    <t>Motobomba centrífuga monoestágio de eixo horizontal 12,5 CV, trifásica, motor 4 polos</t>
  </si>
  <si>
    <t>Motobomba centrífuga monoestágio de eixo horizontal 40 CV, trifásica, motor 4 polos</t>
  </si>
  <si>
    <t>Motobomba centrífuga monoestágio de eixo horizontal 60 CV, trifásica, motor 4 polos</t>
  </si>
  <si>
    <t>Motobomba centrífuga monoestágio de eixo horizontal 100 CV, trifásica, motor 4 polos</t>
  </si>
  <si>
    <t>Motobomba centrífuga monoestágio de eixo horizontal 200 CV, trifásica, motor 4 polos</t>
  </si>
  <si>
    <t>Motobomba centrífuga monoestágio de eixo horizontal 60 CV, trifásica, motor 6 polos</t>
  </si>
  <si>
    <t>Motobomba centrífuga monoestágio de eixo horizontal 7,5 CV, trifásica, motor 4 polos</t>
  </si>
  <si>
    <t>Motobomba centrífuga monoestágio de eixo horizontal 5 CV, trifásica, motor 4 polos</t>
  </si>
  <si>
    <t>Ar-condicionado do tipo janela com capacidade nominal mínima de 10.000 BTU/h</t>
  </si>
  <si>
    <t>Ar-condicionado do tipo janela com capacidade nominal mínima de 18.000 BTU/h</t>
  </si>
  <si>
    <t>Ar-condicionado do tipo janela com capacidade nominal mínima de 27.000 BTU/h</t>
  </si>
  <si>
    <t>Ar-condicionado do tipo split hi-wall inverter com capacidade nominal mínima de 12.000 BTU/h</t>
  </si>
  <si>
    <t>Ar-condicionado do tipo split hi-wall inverter com capacidade nominal mínima de 18.000 BTU/h</t>
  </si>
  <si>
    <t>Ar-condicionado do tipo split hi-wall inverter com capacidade nominal mínima de 22.000 BTU/h</t>
  </si>
  <si>
    <t>Ar-condicionado do tipo split dutado com capacidade nominal mínima de 24.000 BTU/h</t>
  </si>
  <si>
    <t>Ar-condicionado do tipo split dutado com capacidade nominal mínima de 58.000 BTU/h</t>
  </si>
  <si>
    <t>Ar-condicionado do tipo split dutado inverter com capacidade nominal mínima de 30.000 BTU/h</t>
  </si>
  <si>
    <t>Ar-condicionado do tipo split piso-teto inverter com capacidade nominal mínima de 30.000BTU/h</t>
  </si>
  <si>
    <t>Ar-condicionado do tipo split piso-teto inverter com capacidade nominal entre 35.000BTU/h (inclusive) e 46.000BTU/h (inclusive)</t>
  </si>
  <si>
    <t>Ar-condicionado do tipo split piso-teto inverter com capacidade nominal mínima de 54.000BTU/h</t>
  </si>
  <si>
    <t>Ar-condicionado do tipo fancolete hidrônico hi-wall com capacidade nominal mínima de 1,3 TR</t>
  </si>
  <si>
    <t>Ar-condicionado do tipo fancolete hidrônico dutado com capacidade nominal mínima de 0,58 TR</t>
  </si>
  <si>
    <t>Ar-condicionado do tipo fancolete hidrônico dutado com capacidade nominal mínima de 1,2 TR</t>
  </si>
  <si>
    <t>Ar-condicionado do tipo fancolete hidrônico dutado com capacidade nominal mínima de 1,5 TR</t>
  </si>
  <si>
    <t>Ar-condicionado do tipo fancolete hidrônico dutado com capacidade nominal mínima de 2,3 TR</t>
  </si>
  <si>
    <t>Ar-condicionado do tipo fancolete hidrônico dutado com capacidade nominal mínima de 2,5 TR</t>
  </si>
  <si>
    <t>Ar-condicionado do tipo fancolete hidrônico dutado com capacidade nominal mínima de 4,5 TR</t>
  </si>
  <si>
    <t>Ar-condicionado do tipo fancolete hidrônico cassete com capacidade nominal mínima de 2,6 TR</t>
  </si>
  <si>
    <t>Ar-condicionado do tipo fancolete hidrônico piso-teto com capacidade nominal entre 12.000BTU/h (inclusive) e 20.000BTU/h (inclusive)</t>
  </si>
  <si>
    <t>Ar-condicionado do tipo fancolete hidrônico piso-teto com capacidade nominal entre 24.000BTU/h (inclusive) e 30.000BTU/h (inclusive)</t>
  </si>
  <si>
    <t>Ar-condicionado do tipo fancolete hidrônico piso-teto com capacidade nominal entre 36.000BTU/h (inclusive) e 44.000BTU/h (inclusive)</t>
  </si>
  <si>
    <t>Ar-condicionado do tipo fancolete hidrônico piso-teto com capacidade nominal entre 48.000BTU/h (inclusive) e 55.000BTU/h (inclusive)</t>
  </si>
  <si>
    <t>Ar-condicionado do tipo self-contained wall-mounted modelo Carrier 50BWF36</t>
  </si>
  <si>
    <t>Controle remoto para fancolete/split, com ou sem fio</t>
  </si>
  <si>
    <t>Motor elétrico com eixo duplo, potência de 1/40 a 1/2 CV</t>
  </si>
  <si>
    <t>Motor elétrico com eixo simples, potência de 1/40 a 1/2 CV</t>
  </si>
  <si>
    <t>Placa eletrônica de controle de equipamento split monofásico</t>
  </si>
  <si>
    <t>Placa eletrônica de controle de equipamento fancolete monofásico</t>
  </si>
  <si>
    <t>Placa eletrônica de controle de equipamento split trifásico</t>
  </si>
  <si>
    <t>Placa eletrônica de controle de equipamento split monofásico com compressor inverter</t>
  </si>
  <si>
    <t>Bomba de condensado para aparelho tipo cassete</t>
  </si>
  <si>
    <t>Filtro secador para aparelhos de capacidade de refrigeração de 2,5 TR (inclusive) até 5 TR (inclusive)</t>
  </si>
  <si>
    <t>Filtro secador para aparelhos de capacidade de refrigeração de 5 TR (exclusive) até 7,5 TR (inclusive)</t>
  </si>
  <si>
    <t>Filtro secador para aparelhos de capacidade de refrigeração de 7,5 TR (exclusive) até 10 TR (inclusive)</t>
  </si>
  <si>
    <t>Filtro secador para aparelhos de capacidade de refrigeração de 10 TR (exclusive) até 12,5 TR (inclusive)</t>
  </si>
  <si>
    <t>Filtro secador para aparelhos de capacidade de refrigeração de 12,5 TR (exclusive) até 15 TR (inclusive)</t>
  </si>
  <si>
    <t>Filtro secador para aparelhos de capacidade de refrigeração de 15 TR (exclusive) até 17,5 TR (inclusive)</t>
  </si>
  <si>
    <t>Filtro secador para aparelhos de capacidade de refrigeração de 17,5 TR (exclusive) até 20 TR (inclusive)</t>
  </si>
  <si>
    <t>Filtro secador para aparelhos de capacidade de refrigeração de 20 TR (exclusive) até 25 TR (inclusive)</t>
  </si>
  <si>
    <t>Filtro secador para aparelhos de capacidade de refrigeração de 25 TR (exclusive) até 30 TR (inclusive)</t>
  </si>
  <si>
    <t>Amortecedor de borracha (coxim) aparafusável para unidade condensadora de aparelho split</t>
  </si>
  <si>
    <t>Amortecedor de borracha (coxim) aparafusável para fan-coil ou self-contained, com carga máxima suportada por amortecedor de 150 kg</t>
  </si>
  <si>
    <t>Amortecedor de borracha (coxim) aparafusável para fan-coil ou self-contained, com carga máxima suportada por amortecedor de 240 kg</t>
  </si>
  <si>
    <t>Placa de PVC de espessura 10mm, dimensões: 0,6 x 1,2 m, cor branca</t>
  </si>
  <si>
    <t>Mangueira emborrachada 3/4" para uso para condução de água gelada sob pressão (SAE 100 R1)</t>
  </si>
  <si>
    <t>Válvula de controle 3 vias, controle on/off, 3/4",  acompanhada de atuador desacoplável compatível</t>
  </si>
  <si>
    <t>Válvula de controle 3 vias, controle proporcional, 1",  acompanhada de atuador desacoplável compatível</t>
  </si>
  <si>
    <t>Válvula de controle 3 vias, controle proporcional, 1 1/4",  acompanhada de atuador desacoplável compatível</t>
  </si>
  <si>
    <t>Válvula de controle 3 vias, controle proporcional, 1 1/2",  acompanhada de atuador desacoplável compatível</t>
  </si>
  <si>
    <t>Válvula de controle 3 vias, controle proporcional, 2",  acompanhada de atuador desacoplável compatível</t>
  </si>
  <si>
    <t>Válvula de balanceamento e controle (PIBCV) 2 vias, controle on-off, 3/4"</t>
  </si>
  <si>
    <t>Válvula de balanceamento e controle (PIBCV) 2 vias, controle on-off, 1"</t>
  </si>
  <si>
    <t>Atuador para controle on/off para válvulas de diâmetro nominal de 1/2" a 1"</t>
  </si>
  <si>
    <t>Válvula de balanceamento e controle (PIBCV) 2 vias, controle proporcional, 1/2"</t>
  </si>
  <si>
    <t>Válvula de balanceamento e controle (PIBCV) 2 vias, controle proporcional, 3/4"</t>
  </si>
  <si>
    <t>Válvula de balanceamento e controle (PIBCV) 2 vias, controle proporcional, 1"</t>
  </si>
  <si>
    <t>Válvula de balanceamento e controle (PIBCV) 2 vias, controle proporcional, 1 1/4"</t>
  </si>
  <si>
    <t>Atuador para controle proporcional para válvulas de diâmetro nominal de 1/2" a 1 1/4"</t>
  </si>
  <si>
    <t>Válvula de balanceamento e controle (PIBCV) 2 vias, controle proporcional, 1 1/2"</t>
  </si>
  <si>
    <t>Válvula de balanceamento e controle (PIBCV) 2 vias, controle proporcional, 2"</t>
  </si>
  <si>
    <t>Atuador para controle proporcional para válvulas de diâmetro nominal de 1 1/2" a 2"</t>
  </si>
  <si>
    <t>Válvula de esfera em bronze ou latão niquelado, PN 25, diâmetro nominal 1/2"</t>
  </si>
  <si>
    <t>Válvula de esfera em bronze ou latão niquelado, PN 25, diâmetro nominal 3/4"</t>
  </si>
  <si>
    <t>Válvula de esfera em bronze ou latão niquelado, PN 25, diâmetro nominal 1"</t>
  </si>
  <si>
    <t>Válvula de esfera em bronze ou latão niquelado, PN 25, diâmetro nominal 1 1/4"</t>
  </si>
  <si>
    <t>Válvula de esfera em bronze ou latão niquelado, PN 25, diâmetro nominal 1 1/2"</t>
  </si>
  <si>
    <t>Filtro em Y, fabricado em liga de cobre, filtro em aço inoxidável, PN20, diâmetro nominal 3/4”</t>
  </si>
  <si>
    <t>Filtro em Y, fabricado em liga de cobre, filtro em aço inoxidável, PN20, diâmetro nominal 1”</t>
  </si>
  <si>
    <t>Filtro em Y, fabricado em liga de cobre, filtro em aço inoxidável, PN20, diâmetro nominal 1 1/4”</t>
  </si>
  <si>
    <t>Filtro em Y, fabricado em liga de cobre, filtro em aço inoxidável, PN20, diâmetro nominal 1 1/2”</t>
  </si>
  <si>
    <t>Filtro em Y, classe de pressão 150 lbs, diâmetro nominal 2"</t>
  </si>
  <si>
    <t>Filtro em Y, classe de pressão 150 lbs, diâmetro nominal 2 1/2"</t>
  </si>
  <si>
    <t>Filtro em Y, classe de pressão 150 lbs, diâmetro nominal 3"</t>
  </si>
  <si>
    <t>Filtro em Y, classe de pressão 150 lbs, diâmetro nominal 4"</t>
  </si>
  <si>
    <t>Filtro em Y, classe de pressão 150 lbs, diâmetro nominal 5"</t>
  </si>
  <si>
    <t>Filtro em Y, classe de pressão 150 lbs, diâmetro nominal 6"</t>
  </si>
  <si>
    <t>Filtro em Y, classe de pressão 150 lbs, diâmetro nominal 8"</t>
  </si>
  <si>
    <t>Filtro em Y, classe de pressão 150 lbs, diâmetro nominal 10"</t>
  </si>
  <si>
    <t>Filtro em Y, classe de pressão 150 lbs, diâmetro nominal 12"</t>
  </si>
  <si>
    <t>Eliminador de ar para líquidos, bitola da conexão roscada 3/4"</t>
  </si>
  <si>
    <t>Acoplamento de garras tipo “E”, tamanho 82</t>
  </si>
  <si>
    <t>Acoplamento de garras tipo “E”, tamanho: 97</t>
  </si>
  <si>
    <t>Acoplamento de garras tipo “E”, tamanho: 112</t>
  </si>
  <si>
    <t>Acoplamento de garras tipo “E”, tamanho: 128</t>
  </si>
  <si>
    <t>Acoplamento de garras tipo “E”, tamanho: 148</t>
  </si>
  <si>
    <t>Acoplamento de garras tipo “E”, tamanho: 194</t>
  </si>
  <si>
    <t>Acoplamento tipo FRC, tamanho 110, com furo piloto ou bucha cônica</t>
  </si>
  <si>
    <t>Contator tripolar com capacidade de corrente de até 96 A</t>
  </si>
  <si>
    <t>Contator tripolar com capacidade de corrente de até 150 A</t>
  </si>
  <si>
    <t>Contator tripolar com capacidade de corrente de 250 A até 305 A</t>
  </si>
  <si>
    <t>Relé eletromecânico de sobrecarga para correntes de até 97 A</t>
  </si>
  <si>
    <t>Relé eletromecânico de sobrecarga para correntes de até 150 A</t>
  </si>
  <si>
    <t>Condutor flexível tetrapolar 0,6/1KV 4x2,5mm²</t>
  </si>
  <si>
    <t>Condutor flexível tetrapolar 0,6/1KV 4x1,5mm²</t>
  </si>
  <si>
    <t>Sensor de temperatura para duto (haste) NTC10K2 ou NTC10K3</t>
  </si>
  <si>
    <t>Sensor de temperatura para duto (haste) PT100, 2 ou 3 fios</t>
  </si>
  <si>
    <t>Sensor de CO2 para duto (haste), 0-10V ou 4-20mA, faixa de medição 0 a 2000 ppm, precisão ±(50 ppm + 3% do valor de medição)</t>
  </si>
  <si>
    <t>Termostato para controle de temperatura ambiente, para comando de unidades fancoil com válvula de água gelada e ventilador de 3 velocidades</t>
  </si>
  <si>
    <t>Termostato para controle proporcional de válvula de controle de fancoil</t>
  </si>
  <si>
    <t>Transformador de comando 50 VA</t>
  </si>
  <si>
    <t>Pressostato diferencial para ar, ajuste de diferencial de pressão 50–500 Pa</t>
  </si>
  <si>
    <t>Controladora Carrier CC6400</t>
  </si>
  <si>
    <t>Controladora Carrier CC6400 I/O</t>
  </si>
  <si>
    <t>Controladora Carrier CC1600</t>
  </si>
  <si>
    <t>Gerenciadora de Rede Trane Tracer Summit BMTX-BCU</t>
  </si>
  <si>
    <t>Controladora Trane Tracer MP580/581</t>
  </si>
  <si>
    <t>Módulo de expansão Trane Tracer EX2</t>
  </si>
  <si>
    <t>Termostato de sala (Wired Zone Sensor) modelo Trane SEN01447</t>
  </si>
  <si>
    <t>Unidade de volume de ar variável (VAV) 6" modelo VariTrane VCCF06000H0DD11A00000L3000000000S00</t>
  </si>
  <si>
    <t>Tubo sanfonizado em liga de cobre Tomback com pontas lisas de cobre, diâmetro nominal 1/4"</t>
  </si>
  <si>
    <t>Tubo sanfonizado em liga de cobre Tomback com pontas lisas de cobre, diâmetro nominal 3/8"</t>
  </si>
  <si>
    <t>Tubo sanfonizado em liga de cobre Tomback com pontas lisas de cobre, diâmetro nominal 1/2"</t>
  </si>
  <si>
    <t>Tubo sanfonizado em liga de cobre Tomback com pontas lisas de cobre, diâmetro nominal 3/4"</t>
  </si>
  <si>
    <t>Tubo sanfonizado em liga de cobre Tomback com pontas lisas de cobre, diâmetro nominal 1"</t>
  </si>
  <si>
    <t>Tubo sanfonizado em liga de cobre Tomback com pontas lisas de cobre, diâmetro nominal 1 1/4"</t>
  </si>
  <si>
    <t>Tubo sanfonizado em liga de cobre Tomback com pontas lisas de cobre, diâmetro nominal 1 1/2"</t>
  </si>
  <si>
    <t>Tubo sanfonizado em liga de cobre Tomback com pontas lisas de cobre, diâmetro nominal 2"</t>
  </si>
  <si>
    <t>Tubo de aço-carbono galvanizado de 1/2", ABNT NBR 5590 grau B, Sch 40</t>
  </si>
  <si>
    <t>Cotovelo de 90 graus de ferro fundido galvanizado de 1/2"</t>
  </si>
  <si>
    <t>União de ferro fundido galvanizado de 1/2"</t>
  </si>
  <si>
    <t>Niple de ferro fundido galvanizado de 1/2"</t>
  </si>
  <si>
    <t>Luva de ferro fundido galvanizado de 1/2"</t>
  </si>
  <si>
    <t>Cap ou tampão de ferro fundido galvanizado de 1/2"</t>
  </si>
  <si>
    <t>Te de ferro fundido galvanizado de 1/2"</t>
  </si>
  <si>
    <t>Plug ou bujão de ferro fundido galvanizado de 1/2"</t>
  </si>
  <si>
    <t>Meia luva de aço carbono de 1/2"</t>
  </si>
  <si>
    <t>Tubo de aço-carbono galvanizado de 3/4", ABNT NBR 5590 grau B, Sch 40</t>
  </si>
  <si>
    <t>Cotovelo de 90 graus de ferro fundido galvanizado de 3/4"</t>
  </si>
  <si>
    <t>União de ferro fundido galvanizado de 3/4"</t>
  </si>
  <si>
    <t>Niple de ferro fundido galvanizado de 3/4"</t>
  </si>
  <si>
    <t>Luva de ferro fundido galvanizado de 3/4"</t>
  </si>
  <si>
    <t>Cap ou tampão de ferro fundido galvanizado de 3/4"</t>
  </si>
  <si>
    <t>Te de ferro fundido galvanizado de 3/4"</t>
  </si>
  <si>
    <t>Plug ou bujão de ferro fundido galvanizado de 3/4"</t>
  </si>
  <si>
    <t>Meia luva de aço carbono de 3/4"</t>
  </si>
  <si>
    <t>Bucha de redução de ferro fundido galvanizado de 3/4" X 1/2"</t>
  </si>
  <si>
    <t>Luva de redução de ferro fundido galvanizado de 3/4" X 1/2"</t>
  </si>
  <si>
    <t>Niple de redução de ferro fundido galvanizado de 3/4" X 1/2"</t>
  </si>
  <si>
    <t>Tubo de aço-carbono galvanizado de 1", ABNT NBR 5590 grau B, Sch 40</t>
  </si>
  <si>
    <t>Cotovelo de 90 graus de ferro fundido galvanizado de 1"</t>
  </si>
  <si>
    <t>União de ferro fundido galvanizado de 1"</t>
  </si>
  <si>
    <t>Niple de ferro fundido galvanizado de 1"</t>
  </si>
  <si>
    <t>Luva de ferro fundido galvanizado de 1"</t>
  </si>
  <si>
    <t>Cap ou tampão de ferro fundido galvanizado de 1"</t>
  </si>
  <si>
    <t>Te de ferro fundido galvanizado de 1"</t>
  </si>
  <si>
    <t>Plug ou bujão de ferro fundido galvanizado de 1"</t>
  </si>
  <si>
    <t>Meia luva de aço carbono de 1"</t>
  </si>
  <si>
    <t>Bucha de redução de ferro fundido galvanizado de 1" X 3/4"</t>
  </si>
  <si>
    <t>Luva de redução de ferro fundido galvanizado de 1" X 3/4"</t>
  </si>
  <si>
    <t>Niple de redução de ferro fundido galvanizado de 1" X 3/4"</t>
  </si>
  <si>
    <t>Tubo de aço-carbono galvanizado de 1 1/4", ABNT NBR 5590 grau B, Sch 40</t>
  </si>
  <si>
    <t>Cotovelo de 90 graus de ferro fundido galvanizado de 1 1/4"</t>
  </si>
  <si>
    <t>União de ferro fundido galvanizado de 1 1/4"</t>
  </si>
  <si>
    <t>Niple de ferro fundido galvanizado de 1 1/4"</t>
  </si>
  <si>
    <t>Luva de ferro fundido galvanizado de 1 1/4"</t>
  </si>
  <si>
    <t>Cap ou tampão de ferro fundido galvanizado de 1 1/4"</t>
  </si>
  <si>
    <t>Te de ferro fundido galvanizado de 1 1/4"</t>
  </si>
  <si>
    <t>Plug ou bujão de ferro fundido galvanizado de 1 1/4"</t>
  </si>
  <si>
    <t>Meia luva de aço carbono de 1 1/4"</t>
  </si>
  <si>
    <t>Bucha de redução de ferro fundido galvanizado de 1 1/4" X 3/4"</t>
  </si>
  <si>
    <t>Luva de redução de ferro fundido galvanizado de 1 1/4" X 3/4"</t>
  </si>
  <si>
    <t>Niple de redução de ferro fundido galvanizado de 1 1/4" X 3/4"</t>
  </si>
  <si>
    <t>Bucha de redução de ferro fundido galvanizado de 1 1/4" X 1"</t>
  </si>
  <si>
    <t>Luva de redução de ferro fundido galvanizado de 1 1/4" X 1"</t>
  </si>
  <si>
    <t>Niple de redução de ferro fundido galvanizado de 1 1/4" X 1"</t>
  </si>
  <si>
    <t>Tubo de aço-carbono galvanizado de 1 1/2", ABNT NBR 5590 grau B, Sch 40</t>
  </si>
  <si>
    <t>Cotovelo de 90 graus de ferro fundido galvanizado de 1 1/2"</t>
  </si>
  <si>
    <t>União de ferro fundido galvanizado de 1 1/2"</t>
  </si>
  <si>
    <t>Niple de ferro fundido galvanizado de 1 1/2"</t>
  </si>
  <si>
    <t>Luva de ferro fundido galvanizado de 1 1/2"</t>
  </si>
  <si>
    <t>Cap ou tampão de ferro fundido galvanizado de 1 1/2"</t>
  </si>
  <si>
    <t>Te de ferro fundido galvanizado de 1 1/2"</t>
  </si>
  <si>
    <t>Plug ou bujão de ferro fundido galvanizado de 1 1/2"</t>
  </si>
  <si>
    <t>Meia luva de aço carbono de 1 1/2"</t>
  </si>
  <si>
    <t>Bucha de redução de ferro fundido galvanizado de 1 1/2" X 1"</t>
  </si>
  <si>
    <t>Luva de redução de ferro fundido galvanizado de 1 1/2" X 1"</t>
  </si>
  <si>
    <t>Niple de redução de ferro fundido galvanizado de 1 1/2" X 1"</t>
  </si>
  <si>
    <t>Tubo de aço-carbono galvanizado de 2", ABNT NBR 5590 grau B, Sch 40</t>
  </si>
  <si>
    <t>Cotovelo de 90 graus de ferro fundido galvanizado de 2"</t>
  </si>
  <si>
    <t>União de ferro fundido galvanizado de 2"</t>
  </si>
  <si>
    <t>Niple de ferro fundido galvanizado de 2"</t>
  </si>
  <si>
    <t>Luva de ferro fundido galvanizado de 2"</t>
  </si>
  <si>
    <t>Cap ou tampão de ferro fundido galvanizado de 2"</t>
  </si>
  <si>
    <t>Te de ferro fundido galvanizado de 2"</t>
  </si>
  <si>
    <t>Plug ou bujão de ferro fundido galvanizado de 2"</t>
  </si>
  <si>
    <t>Tubo de aço-carbono galvanizado de 2 1/2", ABNT NBR 5590 grau B, Sch 40</t>
  </si>
  <si>
    <t>Cotovelo de 90 graus de ferro fundido galvanizado de 2 1/2"</t>
  </si>
  <si>
    <t>União de ferro fundido galvanizado de 2 1/2"</t>
  </si>
  <si>
    <t>Niple de ferro fundido galvanizado de 2 1/2"</t>
  </si>
  <si>
    <t>Luva de ferro fundido galvanizado de 2 1/2"</t>
  </si>
  <si>
    <t>Cap ou tampão de ferro fundido galvanizado de 2 1/2"</t>
  </si>
  <si>
    <t>Te de ferro fundido galvanizado de 2 1/2"</t>
  </si>
  <si>
    <t>Plug ou bujão de ferro fundido galvanizado de 2 1/2"</t>
  </si>
  <si>
    <t>Tubo de aço-carbono preto sem costura de 3", NBR 5590 grau B, Sch 40</t>
  </si>
  <si>
    <t>Curva raio curto 90° em aço carbono para solda de topo de 3"</t>
  </si>
  <si>
    <t>Curva raio longo 90° em aço carbono para solda de topo de 3"</t>
  </si>
  <si>
    <t>Curva raio longo 45° em aço carbono para solda de topo de 3"</t>
  </si>
  <si>
    <t>Cap ou tampão em aço carbono para solda de topo de 3"</t>
  </si>
  <si>
    <t>Te em aço carbono para solda de topo de 3"</t>
  </si>
  <si>
    <t>Tubo de aço-carbono preto sem costura de 3 1/2", NBR 5590 grau B, Sch 40</t>
  </si>
  <si>
    <t>Curva raio curto 90° em aço carbono para solda de topo de 3 1/2"</t>
  </si>
  <si>
    <t>Curva raio longo 90° em aço carbono para solda de topo de 3 1/2"</t>
  </si>
  <si>
    <t>Curva raio longo 45° em aço carbono para solda de topo de 3 1/2"</t>
  </si>
  <si>
    <t>Cap ou tampão em aço carbono para solda de topo de 3 1/2"</t>
  </si>
  <si>
    <t>Te em aço carbono para solda de topo de 3 1/2"</t>
  </si>
  <si>
    <t>Tubo de aço-carbono preto sem costura de 4", NBR 5590 grau B, Sch 40</t>
  </si>
  <si>
    <t>Curva raio curto 90° em aço carbono para solda de topo de 4"</t>
  </si>
  <si>
    <t>Curva raio longo 90° em aço carbono para solda de topo de 4"</t>
  </si>
  <si>
    <t>Curva raio longo 45° em aço carbono para solda de topo de 4"</t>
  </si>
  <si>
    <t>Cap ou tampão em aço carbono para solda de topo de 4"</t>
  </si>
  <si>
    <t>Te em aço carbono para solda de topo de 4"</t>
  </si>
  <si>
    <t>Tubo de aço-carbono preto sem costura de 5", NBR 5590 grau B, Sch 40</t>
  </si>
  <si>
    <t>Curva raio curto 90° em aço carbono para solda de topo de 5"</t>
  </si>
  <si>
    <t>Curva raio longo 90° em aço carbono para solda de topo de 5"</t>
  </si>
  <si>
    <t>Curva raio longo 45° em aço carbono para solda de topo de 5"</t>
  </si>
  <si>
    <t>Cap ou tampão em aço carbono para solda de topo de 5"</t>
  </si>
  <si>
    <t>Te em aço carbono para solda de topo de 5"</t>
  </si>
  <si>
    <t>Flange de pescoço, classe 150, de 5"</t>
  </si>
  <si>
    <t>Tubo de aço-carbono preto sem costura de 6", NBR 5590 grau B, Sch 40</t>
  </si>
  <si>
    <t>Curva raio curto 90° em aço carbono para solda de topo de 6"</t>
  </si>
  <si>
    <t>Curva raio longo 90° em aço carbono para solda de topo de 6"</t>
  </si>
  <si>
    <t>Curva raio longo 45° em aço carbono para solda de topo de 6"</t>
  </si>
  <si>
    <t>Cap ou tampão em aço carbono para solda de topo de 6"</t>
  </si>
  <si>
    <t>Te em aço carbono para solda de topo de 6"</t>
  </si>
  <si>
    <t>Tubo de aço-carbono preto sem costura de 8", NBR 5590 grau B, Sch 40</t>
  </si>
  <si>
    <t>Curva raio curto 90° em aço carbono para solda de topo de 8"</t>
  </si>
  <si>
    <t>Curva raio longo 90° em aço carbono para solda de topo de 8"</t>
  </si>
  <si>
    <t>Curva raio longo 45° em aço carbono para solda de topo de 8"</t>
  </si>
  <si>
    <t>Cap ou tampão em aço carbono para solda de topo de 8"</t>
  </si>
  <si>
    <t>Te em aço carbono para solda de topo de 8"</t>
  </si>
  <si>
    <t>Redução concêntrica para solda de topo de 8" x 5"</t>
  </si>
  <si>
    <t>Tubo de PVC soldável para dreno de 25 mm</t>
  </si>
  <si>
    <t>Joelho de PVC soldável para dreno de 25 mm</t>
  </si>
  <si>
    <t>Luva de PVC soldável para dreno de 25 mm</t>
  </si>
  <si>
    <t>Te de PVC soldável para dreno de 25 mm</t>
  </si>
  <si>
    <t>Tubo de PVC soldável para dreno de 32 mm</t>
  </si>
  <si>
    <t>Joelho de PVC soldável para dreno de 32 mm</t>
  </si>
  <si>
    <t>Luva de PVC soldável para dreno de 32 mm</t>
  </si>
  <si>
    <t>Te de PVC soldável para dreno de 32 mm</t>
  </si>
  <si>
    <t>Bucha de redução de PVC soldável para dreno de 32 mm X 25 mm</t>
  </si>
  <si>
    <t>Tubo de cobre flexível sem costura de 1/4"</t>
  </si>
  <si>
    <t>Cotovelo de cobre de 1/4"</t>
  </si>
  <si>
    <t>Luva de cobre de 1/4"</t>
  </si>
  <si>
    <t>Tubo de cobre flexível sem costura de 3/8"</t>
  </si>
  <si>
    <t>Cotovelo de cobre de 3/8"</t>
  </si>
  <si>
    <t>Luva de cobre de 3/8"</t>
  </si>
  <si>
    <t>Tubo de cobre flexível sem costura de 1/2"</t>
  </si>
  <si>
    <t>Cotovelo de cobre de 1/2"</t>
  </si>
  <si>
    <t>Luva de cobre de 1/2"</t>
  </si>
  <si>
    <t>Tubo de cobre flexível sem costura de 5/8"</t>
  </si>
  <si>
    <t>Cotovelo de cobre de 5/8"</t>
  </si>
  <si>
    <t>Luva de cobre de 5/8"</t>
  </si>
  <si>
    <t>Tubo de cobre flexível sem costura de 3/4"</t>
  </si>
  <si>
    <t>Cotovelo de cobre de 3/4"</t>
  </si>
  <si>
    <t>Luva de cobre de 3/4"</t>
  </si>
  <si>
    <t>Tubo de cobre rígido sem costura de 7/8"</t>
  </si>
  <si>
    <t>Cotovelo de cobre de 7/8"</t>
  </si>
  <si>
    <t>Luva de cobre de 7/8"</t>
  </si>
  <si>
    <t>Te de cobre de 7/8"</t>
  </si>
  <si>
    <t>Tubo de cobre rígido sem costura de 1"</t>
  </si>
  <si>
    <t>Cotovelo de cobre de 1"</t>
  </si>
  <si>
    <t>Luva de cobre de 1"</t>
  </si>
  <si>
    <t>Tubo de cobre rígido sem costura de 1 1/8"</t>
  </si>
  <si>
    <t>Cotovelo de cobre de 1 1/8"</t>
  </si>
  <si>
    <t>Luva de cobre de 1 1/8"</t>
  </si>
  <si>
    <t>Tubo de cobre rígido sem costura de 1 3/8"</t>
  </si>
  <si>
    <t>Cotovelo de cobre de 1 3/8"</t>
  </si>
  <si>
    <t>Luva de cobre de 1 3/8"</t>
  </si>
  <si>
    <t>Tubo de cobre rígido sem costura de 1 5/8"</t>
  </si>
  <si>
    <t>Cotovelo de cobre de 1 5/8"</t>
  </si>
  <si>
    <t>Luva de cobre de 1 5/8"</t>
  </si>
  <si>
    <t>Isolamento elastomérico em formato de tubo ou coquilha de espessura M, próprio para tubulação de cobre de diâmetro nominal 1/4"</t>
  </si>
  <si>
    <t>Isolamento elastomérico em formato de tubo ou coquilha de espessura M, próprio para tubulação de cobre de diâmetro nominal 3/8"</t>
  </si>
  <si>
    <t>Isolamento elastomérico em formato de tubo ou coquilha de espessura M, próprio para tubulação de cobre de diâmetro nominal 1/2"</t>
  </si>
  <si>
    <t>Isolamento elastomérico em formato de tubo ou coquilha de espessura M, próprio para tubulação de cobre de diâmetro nominal 5/8"</t>
  </si>
  <si>
    <t>Isolamento elastomérico em formato de tubo ou coquilha de espessura M, próprio para tubulação de cobre de diâmetro nominal 3/4"</t>
  </si>
  <si>
    <t>Isolamento elastomérico em formato de tubo ou coquilha de espessura M, próprio para tubulação de cobre de diâmetro nominal 7/8" e para tubulação de ferro de diâmetro nominal 1/2"</t>
  </si>
  <si>
    <t>Isolamento elastomérico em formato de tubo ou coquilha de espessura M, próprio para tubulação de cobre de diâmetro nominal 1"</t>
  </si>
  <si>
    <t>Isolamento elastomérico em formato de tubo ou coquilha de espessura M, próprio para tubulação de cobre de diâmetro nominal 1 1/8" e para tubulação de ferro de diâmetro nominal 3/4"</t>
  </si>
  <si>
    <t>Isolamento elastomérico em formato de tubo ou coquilha de espessura M, próprio para tubulação de cobre de diâmetro nominal 1 3/8" e para tubulação de ferro de diâmetro nominal 1"</t>
  </si>
  <si>
    <t>Isolamento elastomérico em formato de tubo ou coquilha de espessura M, próprio para tubulação de cobre de diâmetro nominal 1 5/8" e para tubulação de ferro de diâmetro nominal 1 1/4"</t>
  </si>
  <si>
    <t>Isolamento elastomérico em formato de tubo ou coquilha de espessura M, próprio para tubulação de ferro de diâmetro nominal 1 1/2"</t>
  </si>
  <si>
    <t>Isolamento elastomérico em formato de tubo ou coquilha de espessura M, próprio para tubulação de ferro de diâmetro nominal 2"</t>
  </si>
  <si>
    <t>Isolamento elastomérico em formato de tubo ou coquilha de espessura M, próprio para tubulação de ferro de diâmetro nominal 2 1/2"</t>
  </si>
  <si>
    <t>Isolamento elastomérico em formato de tubo ou coquilha de espessura M, próprio para tubulação de ferro de diâmetro nominal 3"</t>
  </si>
  <si>
    <t>Isolamento elastomérico em formato de tubo ou coquilha de espessura M, próprio para tubulação de ferro de diâmetro nominal 3 1/2"</t>
  </si>
  <si>
    <t>Isolamento elastomérico em formato de tubo ou coquilha de espessura M, próprio para tubulação de ferro de diâmetro nominal 4"</t>
  </si>
  <si>
    <t>Isolamento elastomérico em formato de tubo ou coquilha de espessura M, próprio para tubulação de ferro de diâmetro nominal 5"</t>
  </si>
  <si>
    <t>Isolamento elastomérico em formato de tubo ou coquilha de espessura M, próprio para tubulação de ferro de diâmetro nominal 6"</t>
  </si>
  <si>
    <t>Isolamento elastomérico em formato de prancha de espessura M</t>
  </si>
  <si>
    <t>Isolamento elastomérico em formato de prancha autoadesiva de espessura M</t>
  </si>
  <si>
    <t>Chapa de aço galvanizada</t>
  </si>
  <si>
    <t>Gás refrigerante R-410A, apenas para instalações de equipamentos unitários novos</t>
  </si>
  <si>
    <t>Gás refrigerante R-32, apenas para instalações de equipamentos unitários novos</t>
  </si>
  <si>
    <t>Óleo polyolester para chiller a ar Carrier 30GXE227.386S com capacidade de 213,3TR</t>
  </si>
  <si>
    <t>Óleo para chiller centrífugo Trane CVGF1000</t>
  </si>
  <si>
    <t>Óleo para chiller a ar Trane RTAA100DYB1AA0002 com capacidade de 100TR</t>
  </si>
  <si>
    <t>Óleo para chiller a ar Carrier 30GSP080386S com capacidade de 80TR</t>
  </si>
  <si>
    <t>Óleo para chillers a ar Trane CGAD060-HT(4T) com capacidade de 60TR e Trane CGAD040-HT com capacidade de 40TR</t>
  </si>
  <si>
    <t>Óleo para chiller a ar York YEAZ33BP3-46PA com capacidade de 50TR</t>
  </si>
  <si>
    <t>Alicate de pressão de 11"</t>
  </si>
  <si>
    <t>Alicate rebitador</t>
  </si>
  <si>
    <t>Almotolia 250 ml</t>
  </si>
  <si>
    <t>Arco de serra de alta tensão</t>
  </si>
  <si>
    <t>Aspirador compacto para sólidos e líquidos</t>
  </si>
  <si>
    <t>Aspirador industrial para sólidos e líquidos</t>
  </si>
  <si>
    <t>Balde plástico de 10L com alça de ferro</t>
  </si>
  <si>
    <t>Bomba manual para graxa 400 cm3</t>
  </si>
  <si>
    <t>Caixa de ferramentas pequena</t>
  </si>
  <si>
    <t>Carrinho com fundo fechado para transporte de cargas</t>
  </si>
  <si>
    <t>Carrinho de mão vertical</t>
  </si>
  <si>
    <t>Carro/bancada para ferramentas</t>
  </si>
  <si>
    <t>Chaves canhão, kit milímetros (12 peças)</t>
  </si>
  <si>
    <t>Chaves canhão, kit polegadas (10 peças)</t>
  </si>
  <si>
    <t>Chaves estrela, kit com 12 chaves</t>
  </si>
  <si>
    <t>Chave inglesa com comprimento de 8"</t>
  </si>
  <si>
    <t>Chave inglesa com comprimento de 10"</t>
  </si>
  <si>
    <t>Chave inglesa com comprimento de 12"</t>
  </si>
  <si>
    <t>Chave inglesa com comprimento de 15"</t>
  </si>
  <si>
    <t>Chave inglesa com comprimento de 18"</t>
  </si>
  <si>
    <t>Chaves fixas, kit com 12 chaves</t>
  </si>
  <si>
    <t>Compressor de ar direto para pintura (tufão)</t>
  </si>
  <si>
    <t>Esmerilhadeira angular de 230 mm</t>
  </si>
  <si>
    <t>Furadeira de bancada de 16 mm</t>
  </si>
  <si>
    <t>Jogo de chaves biela em polegadas</t>
  </si>
  <si>
    <t>Jogo de soquetes sextavado de impacto 1/2" em polegadas</t>
  </si>
  <si>
    <t>Lavadora de alta pressão com água quente 380V</t>
  </si>
  <si>
    <t>Lima chata bastarda 10" com cabo</t>
  </si>
  <si>
    <t>Lima chata murça 10" com cabo</t>
  </si>
  <si>
    <t>Lima redonda bastarda 10" com cabo</t>
  </si>
  <si>
    <t>Lima redonda murça 10" com cabo</t>
  </si>
  <si>
    <t>Pendente de led</t>
  </si>
  <si>
    <t>Maçarico portátil com acendimento automático</t>
  </si>
  <si>
    <t>Martelo chapeador pena reta</t>
  </si>
  <si>
    <t>Medidor de nível de pressão sonora (decibelímetro) portátil</t>
  </si>
  <si>
    <t>Prensa hidráulica 30 toneladas</t>
  </si>
  <si>
    <t>Relógio comparador capacidade 5 mm</t>
  </si>
  <si>
    <t>Rosqueadeira manual</t>
  </si>
  <si>
    <t>Conjunto com 5 sacadores de polias</t>
  </si>
  <si>
    <t>Conjunto com 9 serras copo</t>
  </si>
  <si>
    <t>Tesoura de chapas tipo aviação corte direito e reto</t>
  </si>
  <si>
    <t>Tesoura de chapas tipo aviação corte esquerdo e reto</t>
  </si>
  <si>
    <t>Tesoura de chapas tipo aviação corte reto e curvas de grande raio</t>
  </si>
  <si>
    <t>Tesoura faca elétrica para metal</t>
  </si>
  <si>
    <t>Tesoura para chapa tipo Brasil 12"</t>
  </si>
  <si>
    <t>Alargador de tubos manual articulado</t>
  </si>
  <si>
    <t>Alicate cortador de tubo capilar</t>
  </si>
  <si>
    <t>Alicate lacrador de tubos 7"</t>
  </si>
  <si>
    <t>Balança eletrônica para refrigerante</t>
  </si>
  <si>
    <t>Bomba de óleo para sistemas de refrigeração</t>
  </si>
  <si>
    <t>Bomba de vácuo 12 cfm</t>
  </si>
  <si>
    <t>Chave catraca quadrada 4 bitolas para refrigeração</t>
  </si>
  <si>
    <t>Chave para válvula Schrader</t>
  </si>
  <si>
    <t>Cilindro de nitrogênio 20 L</t>
  </si>
  <si>
    <t>Cilindro de nitrogênio 50 L</t>
  </si>
  <si>
    <t>Conjunto para solda e corte acetileno/oxigênio PPU</t>
  </si>
  <si>
    <t>Detector eletrônico de vazamento para refrigerantes</t>
  </si>
  <si>
    <t>Flangeador excêntrico</t>
  </si>
  <si>
    <t>Mangueira para vácuo 3/8"</t>
  </si>
  <si>
    <t>Manifold analógico para R-22</t>
  </si>
  <si>
    <t>Manifold analógico para R-410A/R-32</t>
  </si>
  <si>
    <t>Manifold digital</t>
  </si>
  <si>
    <t>Conjunto com 4 molas curvadoras de tubos</t>
  </si>
  <si>
    <t>Regulador de pressão para cilindro de gases não corrosivos</t>
  </si>
  <si>
    <t>Tanque para recolhimento de refrigerante</t>
  </si>
  <si>
    <t>Termo-anemômetro para duto</t>
  </si>
  <si>
    <t>Termômetro portátil com 5 sensores</t>
  </si>
  <si>
    <t>Unidade transferidora e recuperadora de gás refrigerante</t>
  </si>
  <si>
    <t>Vacuômetro digital</t>
  </si>
  <si>
    <t>Alicate de bico longo redondo isolado</t>
  </si>
  <si>
    <t>Estação de solda digital</t>
  </si>
  <si>
    <t>Cordão prolongador (extensão) 5m</t>
  </si>
  <si>
    <t>Ferro de soldar tipo machadinha</t>
  </si>
  <si>
    <t>Sugador de solda</t>
  </si>
  <si>
    <t>Escada extensível 29 degraus</t>
  </si>
  <si>
    <t>Escada duplo acesso 8 degraus</t>
  </si>
  <si>
    <t>Escada tesoura e extensível isolada</t>
  </si>
  <si>
    <t>Escada plataforma de trabalho isolada</t>
  </si>
  <si>
    <t>Cadeado para disjuntores NR10</t>
  </si>
  <si>
    <t>Bloqueio para disjuntores, para instalação de cadeado</t>
  </si>
  <si>
    <t>Compressor Scroll Inverter próprio para R-410A de Capacidade 3,6 TR para VRF Trane 4TVH0096BK0</t>
  </si>
  <si>
    <t>Ar-condicionado do tipo self-contained wall-mounted modelo Carrier 50BWF60</t>
  </si>
  <si>
    <t>Cabo de manobra (patch Cord) de 2,5 metros - cat 6 - 4 pares</t>
  </si>
  <si>
    <t>Cordão Óptico Duplex Multimodo LC/LC - 5 metros</t>
  </si>
  <si>
    <t>DIO – Distribuidor Interno Óptico pré-terminado – 1U - 48 portas</t>
  </si>
  <si>
    <t>Módulo MPO/MPT para DIO - 12 portas</t>
  </si>
  <si>
    <t>TUBO / POSTE RETANGULAR  40 X 60 MM, EM CHAPA ACO GALVANIZADO REVESTIDO EM PVC COM E = 1,55 MM, H = 2,6 M, 6,4 KG/PC, PARA GRADIL E OUTROS (POSTE RETO, SEM BASE, PARA CHUMBAMENTO, INCLUI TAMPA SUPERIOR) (NAO INCLUI FIXADORES)</t>
  </si>
  <si>
    <t>GRADIL *2030 X 2500* MM (A X L), FIO DE 4,30 MM (HORIZONTAL) E 5,10 MM (VERTICAL), MALHA 50 X 200 MM, GALVANIZADO E REVESTIDO EM PVC</t>
  </si>
  <si>
    <t>FIXADOR PARA GRADIL EM POLIAMIDA, ACOMPANHA TAMPA ACABAMENTO (NAO INCLUI PARAFUSO ALLEN)</t>
  </si>
  <si>
    <t>Fonte: SINAPI 98523</t>
  </si>
  <si>
    <t>Telha termoacústica em aço galvanizado com espessura isolante mínima de 30mm de Poliisocianurato (PIR)</t>
  </si>
  <si>
    <t>Chuveiro de Emergência e Lava Olhos em inox com pedal, ref.: HM 010 INOX - PEDAL: HM Chuveiros de Emergência; IBR001CLOi : IBR Brasil; CL001IF: Haws Avlis</t>
  </si>
  <si>
    <t>Telha termoacústica, espessura isolante mínima de 30mm de poliisocianurato (PIR), espessura mínima interna 0,43mm e externa= 0,50mm, fabricada em aço galvanizado ou material similar, pré-pintada de fábrica na cor branca</t>
  </si>
  <si>
    <t>2,91</t>
  </si>
  <si>
    <t>27,38</t>
  </si>
  <si>
    <t>8,80</t>
  </si>
  <si>
    <t>19,37</t>
  </si>
  <si>
    <t>20,48</t>
  </si>
  <si>
    <t>9,50</t>
  </si>
  <si>
    <t>7,02</t>
  </si>
  <si>
    <t>23,32</t>
  </si>
  <si>
    <t>33,19</t>
  </si>
  <si>
    <t>26,03</t>
  </si>
  <si>
    <t>28,24</t>
  </si>
  <si>
    <t>84,26</t>
  </si>
  <si>
    <t>18,20</t>
  </si>
  <si>
    <t>75,78</t>
  </si>
  <si>
    <t>17,32</t>
  </si>
  <si>
    <t>40,94</t>
  </si>
  <si>
    <t>40,73</t>
  </si>
  <si>
    <t>37,70</t>
  </si>
  <si>
    <t>776,35</t>
  </si>
  <si>
    <t>2,57</t>
  </si>
  <si>
    <t>3,49</t>
  </si>
  <si>
    <t>69,30</t>
  </si>
  <si>
    <t>36,33</t>
  </si>
  <si>
    <t>10,03</t>
  </si>
  <si>
    <t>30,29</t>
  </si>
  <si>
    <t>3,82</t>
  </si>
  <si>
    <t>4,43</t>
  </si>
  <si>
    <t>15,83</t>
  </si>
  <si>
    <t>51,93</t>
  </si>
  <si>
    <t>29,55</t>
  </si>
  <si>
    <t>94,81</t>
  </si>
  <si>
    <t>7,58</t>
  </si>
  <si>
    <t>58,79</t>
  </si>
  <si>
    <t>2,71</t>
  </si>
  <si>
    <t>249,23</t>
  </si>
  <si>
    <t>129,05</t>
  </si>
  <si>
    <t>192,05</t>
  </si>
  <si>
    <t>36,74</t>
  </si>
  <si>
    <t>73,94</t>
  </si>
  <si>
    <t>97,54</t>
  </si>
  <si>
    <t>130,77</t>
  </si>
  <si>
    <t>34,96</t>
  </si>
  <si>
    <t>66,18</t>
  </si>
  <si>
    <t>104,24</t>
  </si>
  <si>
    <t>16,47</t>
  </si>
  <si>
    <t>30,02</t>
  </si>
  <si>
    <t>32,07</t>
  </si>
  <si>
    <t>16,94</t>
  </si>
  <si>
    <t>4,52</t>
  </si>
  <si>
    <t>4,11</t>
  </si>
  <si>
    <t>19,71</t>
  </si>
  <si>
    <t>64,75</t>
  </si>
  <si>
    <t>4,35</t>
  </si>
  <si>
    <t>17,83</t>
  </si>
  <si>
    <t>18,31</t>
  </si>
  <si>
    <t>90,54</t>
  </si>
  <si>
    <t>147,54</t>
  </si>
  <si>
    <t>14,20</t>
  </si>
  <si>
    <t>10,01</t>
  </si>
  <si>
    <t>16,23</t>
  </si>
  <si>
    <t>16,73</t>
  </si>
  <si>
    <t>7,36</t>
  </si>
  <si>
    <t>37,55</t>
  </si>
  <si>
    <t>3,02</t>
  </si>
  <si>
    <t>37,99</t>
  </si>
  <si>
    <t>78,65</t>
  </si>
  <si>
    <t>175,78</t>
  </si>
  <si>
    <t>2,00</t>
  </si>
  <si>
    <t>281,74</t>
  </si>
  <si>
    <t>243,40</t>
  </si>
  <si>
    <t>1.591,32</t>
  </si>
  <si>
    <t>33,76</t>
  </si>
  <si>
    <t>48,82</t>
  </si>
  <si>
    <t>30,50</t>
  </si>
  <si>
    <t>2.269,44</t>
  </si>
  <si>
    <t>41,38</t>
  </si>
  <si>
    <t>76,32</t>
  </si>
  <si>
    <t>4,63</t>
  </si>
  <si>
    <t>3,88</t>
  </si>
  <si>
    <t>13,63</t>
  </si>
  <si>
    <t>58,97</t>
  </si>
  <si>
    <t>44,91</t>
  </si>
  <si>
    <t>28,67</t>
  </si>
  <si>
    <t>34,81</t>
  </si>
  <si>
    <t>9,55</t>
  </si>
  <si>
    <t>6,68</t>
  </si>
  <si>
    <t>3,16</t>
  </si>
  <si>
    <t>86,41</t>
  </si>
  <si>
    <t>65,60</t>
  </si>
  <si>
    <t>54,70</t>
  </si>
  <si>
    <t>23,44</t>
  </si>
  <si>
    <t>38,68</t>
  </si>
  <si>
    <t>44,84</t>
  </si>
  <si>
    <t>18,89</t>
  </si>
  <si>
    <t>98,14</t>
  </si>
  <si>
    <t>69,51</t>
  </si>
  <si>
    <t>150,85</t>
  </si>
  <si>
    <t>132,61</t>
  </si>
  <si>
    <t>207,56</t>
  </si>
  <si>
    <t>18,62</t>
  </si>
  <si>
    <t>8,72</t>
  </si>
  <si>
    <t>5,08</t>
  </si>
  <si>
    <t>145,60</t>
  </si>
  <si>
    <t>9,93</t>
  </si>
  <si>
    <t>81,80</t>
  </si>
  <si>
    <t>111,23</t>
  </si>
  <si>
    <t>285,07</t>
  </si>
  <si>
    <t>65,19</t>
  </si>
  <si>
    <t>73,99</t>
  </si>
  <si>
    <t>92,10</t>
  </si>
  <si>
    <t>20,39</t>
  </si>
  <si>
    <t>48,61</t>
  </si>
  <si>
    <t>94,60</t>
  </si>
  <si>
    <t>143,21</t>
  </si>
  <si>
    <t>2,34</t>
  </si>
  <si>
    <t>32,94</t>
  </si>
  <si>
    <t>18,90</t>
  </si>
  <si>
    <t>77,06</t>
  </si>
  <si>
    <t>31,30</t>
  </si>
  <si>
    <t>21,32</t>
  </si>
  <si>
    <t>2,02</t>
  </si>
  <si>
    <t>22,56</t>
  </si>
  <si>
    <t>70,83</t>
  </si>
  <si>
    <t>60,83</t>
  </si>
  <si>
    <t>6,77</t>
  </si>
  <si>
    <t>51,06</t>
  </si>
  <si>
    <t>21,18</t>
  </si>
  <si>
    <t>37,25</t>
  </si>
  <si>
    <t>46,53</t>
  </si>
  <si>
    <t>18,84</t>
  </si>
  <si>
    <t>12,59</t>
  </si>
  <si>
    <t>50,77</t>
  </si>
  <si>
    <t>22,90</t>
  </si>
  <si>
    <t>18,61</t>
  </si>
  <si>
    <t>90,28</t>
  </si>
  <si>
    <t>25,60</t>
  </si>
  <si>
    <t>27,67</t>
  </si>
  <si>
    <t>42,66</t>
  </si>
  <si>
    <t>77,82</t>
  </si>
  <si>
    <t>45,83</t>
  </si>
  <si>
    <t>11,55</t>
  </si>
  <si>
    <t>33,08</t>
  </si>
  <si>
    <t>4,71</t>
  </si>
  <si>
    <t>21,78</t>
  </si>
  <si>
    <t>2.794,13</t>
  </si>
  <si>
    <t>64,11</t>
  </si>
  <si>
    <t>62,04</t>
  </si>
  <si>
    <t>13,68</t>
  </si>
  <si>
    <t>64,80</t>
  </si>
  <si>
    <t>25,17</t>
  </si>
  <si>
    <t>42,34</t>
  </si>
  <si>
    <t>56,71</t>
  </si>
  <si>
    <t>70,43</t>
  </si>
  <si>
    <t>25,15</t>
  </si>
  <si>
    <t>45,72</t>
  </si>
  <si>
    <t>71,37</t>
  </si>
  <si>
    <t>39,27</t>
  </si>
  <si>
    <t>13,37</t>
  </si>
  <si>
    <t>1.110.000,00</t>
  </si>
  <si>
    <t>1.379.313,41</t>
  </si>
  <si>
    <t>1.451.905,30</t>
  </si>
  <si>
    <t>108,75</t>
  </si>
  <si>
    <t>61,16</t>
  </si>
  <si>
    <t>4,54</t>
  </si>
  <si>
    <t>30,68</t>
  </si>
  <si>
    <t>37,38</t>
  </si>
  <si>
    <t>66,26</t>
  </si>
  <si>
    <t>94,34</t>
  </si>
  <si>
    <t>8,75</t>
  </si>
  <si>
    <t>7,13</t>
  </si>
  <si>
    <t>38,74</t>
  </si>
  <si>
    <t>31,70</t>
  </si>
  <si>
    <t>108,50</t>
  </si>
  <si>
    <t>208,32</t>
  </si>
  <si>
    <t>121,34</t>
  </si>
  <si>
    <t>156,24</t>
  </si>
  <si>
    <t>288,17</t>
  </si>
  <si>
    <t>154,50</t>
  </si>
  <si>
    <t>170,12</t>
  </si>
  <si>
    <t>130,20</t>
  </si>
  <si>
    <t>34,59</t>
  </si>
  <si>
    <t>13,19</t>
  </si>
  <si>
    <t>0,61</t>
  </si>
  <si>
    <t>101,75</t>
  </si>
  <si>
    <t>14,31</t>
  </si>
  <si>
    <t>2,07</t>
  </si>
  <si>
    <t>70,45</t>
  </si>
  <si>
    <t>54,73</t>
  </si>
  <si>
    <t>56,25</t>
  </si>
  <si>
    <t>10,49</t>
  </si>
  <si>
    <t>65,57</t>
  </si>
  <si>
    <t>23,92</t>
  </si>
  <si>
    <t>101,19</t>
  </si>
  <si>
    <t>25,03</t>
  </si>
  <si>
    <t>256,62</t>
  </si>
  <si>
    <t>160,39</t>
  </si>
  <si>
    <t>21,17</t>
  </si>
  <si>
    <t>4,24</t>
  </si>
  <si>
    <t>26,52</t>
  </si>
  <si>
    <t>150,00</t>
  </si>
  <si>
    <t>103,78</t>
  </si>
  <si>
    <t>182,88</t>
  </si>
  <si>
    <t>34,34</t>
  </si>
  <si>
    <t>6,99</t>
  </si>
  <si>
    <t>72,33</t>
  </si>
  <si>
    <t>183,95</t>
  </si>
  <si>
    <t>200,61</t>
  </si>
  <si>
    <t>204,01</t>
  </si>
  <si>
    <t>309,23</t>
  </si>
  <si>
    <t>337,11</t>
  </si>
  <si>
    <t>342,38</t>
  </si>
  <si>
    <t>469,63</t>
  </si>
  <si>
    <t>159,23</t>
  </si>
  <si>
    <t>191,78</t>
  </si>
  <si>
    <t>57,09</t>
  </si>
  <si>
    <t>16,92</t>
  </si>
  <si>
    <t>44,14</t>
  </si>
  <si>
    <t>28,94</t>
  </si>
  <si>
    <t>43,54</t>
  </si>
  <si>
    <t>224,30</t>
  </si>
  <si>
    <t>17,98</t>
  </si>
  <si>
    <t>43,77</t>
  </si>
  <si>
    <t>59,90</t>
  </si>
  <si>
    <t>60,55</t>
  </si>
  <si>
    <t>57,73</t>
  </si>
  <si>
    <t>66,79</t>
  </si>
  <si>
    <t>193,91</t>
  </si>
  <si>
    <t>79,39</t>
  </si>
  <si>
    <t>63,72</t>
  </si>
  <si>
    <t>210,30</t>
  </si>
  <si>
    <t>104,95</t>
  </si>
  <si>
    <t>56,73</t>
  </si>
  <si>
    <t>34,64</t>
  </si>
  <si>
    <t>56,10</t>
  </si>
  <si>
    <t>29,51</t>
  </si>
  <si>
    <t>30,59</t>
  </si>
  <si>
    <t>5.355,53</t>
  </si>
  <si>
    <t>131,26</t>
  </si>
  <si>
    <t>3.942,79</t>
  </si>
  <si>
    <t>1.916,82</t>
  </si>
  <si>
    <t>1.258,28</t>
  </si>
  <si>
    <t>4.857,43</t>
  </si>
  <si>
    <t>1.076,16</t>
  </si>
  <si>
    <t>1.733,31</t>
  </si>
  <si>
    <t>3.043,05</t>
  </si>
  <si>
    <t>4.525,87</t>
  </si>
  <si>
    <t>2.269,61</t>
  </si>
  <si>
    <t>2.961,08</t>
  </si>
  <si>
    <t>14,71</t>
  </si>
  <si>
    <t>60,71</t>
  </si>
  <si>
    <t>25,81</t>
  </si>
  <si>
    <t>32,50</t>
  </si>
  <si>
    <t>126,05</t>
  </si>
  <si>
    <t>12,66</t>
  </si>
  <si>
    <t>21,31</t>
  </si>
  <si>
    <t>44,73</t>
  </si>
  <si>
    <t>49,67</t>
  </si>
  <si>
    <t>64,91</t>
  </si>
  <si>
    <t>4,58</t>
  </si>
  <si>
    <t>116,24</t>
  </si>
  <si>
    <t>68,65</t>
  </si>
  <si>
    <t>30,01</t>
  </si>
  <si>
    <t>8,31</t>
  </si>
  <si>
    <t>218,62</t>
  </si>
  <si>
    <t>36,99</t>
  </si>
  <si>
    <t>48,25</t>
  </si>
  <si>
    <t>157,96</t>
  </si>
  <si>
    <t>44,74</t>
  </si>
  <si>
    <t>34,77</t>
  </si>
  <si>
    <t>69,08</t>
  </si>
  <si>
    <t>57,47</t>
  </si>
  <si>
    <t>34,10</t>
  </si>
  <si>
    <t>44,78</t>
  </si>
  <si>
    <t>132,38</t>
  </si>
  <si>
    <t>37,94</t>
  </si>
  <si>
    <t>46,99</t>
  </si>
  <si>
    <t>31,89</t>
  </si>
  <si>
    <t>64,63</t>
  </si>
  <si>
    <t>31,64</t>
  </si>
  <si>
    <t>50,41</t>
  </si>
  <si>
    <t>57,70</t>
  </si>
  <si>
    <t>7,37</t>
  </si>
  <si>
    <t>66,30</t>
  </si>
  <si>
    <t>21,58</t>
  </si>
  <si>
    <t>42,08</t>
  </si>
  <si>
    <t>80,14</t>
  </si>
  <si>
    <t>34,90</t>
  </si>
  <si>
    <t>42,87</t>
  </si>
  <si>
    <t>43,49</t>
  </si>
  <si>
    <t>39,40</t>
  </si>
  <si>
    <t>44,40</t>
  </si>
  <si>
    <t>34,04</t>
  </si>
  <si>
    <t>5,77</t>
  </si>
  <si>
    <t>68,80</t>
  </si>
  <si>
    <t>118,50</t>
  </si>
  <si>
    <t>61,51</t>
  </si>
  <si>
    <t>25,23</t>
  </si>
  <si>
    <t>26,95</t>
  </si>
  <si>
    <t>26,29</t>
  </si>
  <si>
    <t>18,47</t>
  </si>
  <si>
    <t>18,69</t>
  </si>
  <si>
    <t>35,09</t>
  </si>
  <si>
    <t>41,05</t>
  </si>
  <si>
    <t>29,04</t>
  </si>
  <si>
    <t>104703</t>
  </si>
  <si>
    <t>CAMINHÃO TANQUE PARA HIDROSSEMEADURA, COM CAPACIDADE DE 8.000 LITROS, INCLUINDO BOMBA PARA LANÇAMENTO COM MOTOR DIESEL COM POTÊNCIA DE 105 CV - MATERIAIS NA OPERAÇÃO. AF_06/2023</t>
  </si>
  <si>
    <t>104709</t>
  </si>
  <si>
    <t>GUINDASTE HIDRÁULICO AUTOPROPELIDO, COM LANÇA TRELICADA 41 M, CAPACIDADE MÁXIMA DE ELEVAÇÃO 43 T, POTÊNCIA 230 KW, EQUIPADO COM CAÇAMBA DE ARRASTO (DRAGLINE) DE 0,76 M3 - MATERIAIS NA OPERAÇÃO. AF_06/2023</t>
  </si>
  <si>
    <t>104715</t>
  </si>
  <si>
    <t>ESCAVADEIRA HIDRÁULICA DE BRAÇO LONGO (LONGO ALCANCE) SOBRE ESTEIRAS, CAÇAMBA 0,52 M3, PESO OPERACIONAL 24 T, POTÊNCIA LÍQUIDA 155 HP  - MATERIAIS NA OPERAÇÃO. AF_06/2023</t>
  </si>
  <si>
    <t>56,48</t>
  </si>
  <si>
    <t>49,39</t>
  </si>
  <si>
    <t>24,12</t>
  </si>
  <si>
    <t>94,26</t>
  </si>
  <si>
    <t>53,42</t>
  </si>
  <si>
    <t>13,28</t>
  </si>
  <si>
    <t>30,18</t>
  </si>
  <si>
    <t>47,34</t>
  </si>
  <si>
    <t>52,42</t>
  </si>
  <si>
    <t>49,44</t>
  </si>
  <si>
    <t>50,59</t>
  </si>
  <si>
    <t>19,13</t>
  </si>
  <si>
    <t>27,35</t>
  </si>
  <si>
    <t>70,92</t>
  </si>
  <si>
    <t>85,05</t>
  </si>
  <si>
    <t>118,18</t>
  </si>
  <si>
    <t>280,06</t>
  </si>
  <si>
    <t>67,66</t>
  </si>
  <si>
    <t>179,32</t>
  </si>
  <si>
    <t>120,82</t>
  </si>
  <si>
    <t>224,58</t>
  </si>
  <si>
    <t>22,88</t>
  </si>
  <si>
    <t>38,15</t>
  </si>
  <si>
    <t>38,19</t>
  </si>
  <si>
    <t>19,81</t>
  </si>
  <si>
    <t>209,42</t>
  </si>
  <si>
    <t>ESCADA EM CONCRETO ARMADO MOLDADO IN LOCO, FCK 25 MPA, COM 1 LANCE E LAJE PLANA, FÔRMA EM CHAPA DE MADEIRA COMPENSADA RESINADA. AF_11/2020_PA</t>
  </si>
  <si>
    <t>ESCADA EM CONCRETO ARMADO MOLDADO IN LOCO, FCK 25 MPA, COM 2 LANCES EM  U  E LAJE PLANA, FÔRMA EM CHAPA DE MADEIRA COMPENSADA RESINADA. AF_11/2020_PA</t>
  </si>
  <si>
    <t>ESCADA EM CONCRETO ARMADO MOLDADO IN LOCO, FCK 25 MPA, COM 2 LANCES EM  L  E LAJE PLANA, FÔRMA EM CHAPA DE MADEIRA COMPENSADA RESINADA. AF_11/2020_PA</t>
  </si>
  <si>
    <t>ESCADA EM CONCRETO ARMADO MOLDADO IN LOCO, FCK 25 MPA, COM 2 LANCES EM  X  E LAJE PLANA, FÔRMA EM CHAPA DE MADEIRA COMPENSADA RESINADA. AF_11/2020_PA</t>
  </si>
  <si>
    <t>ESCADA EM CONCRETO ARMADO MOLDADO IN LOCO, FCK 25 MPA, COM 1 LANCE E LAJE CASCATA, FÔRMA EM CHAPA DE MADEIRA COMPENSADA RESINADA. AF_11/2020_PA</t>
  </si>
  <si>
    <t>ESCADA EM CONCRETO ARMADO MOLDADO IN LOCO, FCK 25 MPA, COM 2 LANCES EM  U  E LAJE CASCATA, FÔRMA EM CHAPA DE MADEIRA COMPENSADA RESINADA. AF_11/2020_PA</t>
  </si>
  <si>
    <t>ESCADA EM CONCRETO ARMADO MOLDADO IN LOCO, FCK 25 MPA, COM 2 LANCES EM  L  E LAJE CASCATA, FÔRMA EM CHAPA DE MADEIRA COMPENSADA RESINADA. AF_11/2020_PA</t>
  </si>
  <si>
    <t>ESCADA EM CONCRETO ARMADO MOLDADO IN LOCO, FCK 25 MPA, COM 2 LANCES EM  X  E LAJE CASCATA, FÔRMA EM CHAPA DE MADEIRA COMPENSADA RESINADA. AF_11/2020_PA</t>
  </si>
  <si>
    <t>15,91</t>
  </si>
  <si>
    <t>15,47</t>
  </si>
  <si>
    <t>14,85</t>
  </si>
  <si>
    <t>18,97</t>
  </si>
  <si>
    <t>13,27</t>
  </si>
  <si>
    <t>175,31</t>
  </si>
  <si>
    <t>21,51</t>
  </si>
  <si>
    <t>18,04</t>
  </si>
  <si>
    <t>31,11</t>
  </si>
  <si>
    <t>50,71</t>
  </si>
  <si>
    <t>47,45</t>
  </si>
  <si>
    <t>52,69</t>
  </si>
  <si>
    <t>17,74</t>
  </si>
  <si>
    <t>55,51</t>
  </si>
  <si>
    <t>29,33</t>
  </si>
  <si>
    <t>204,66</t>
  </si>
  <si>
    <t>25,98</t>
  </si>
  <si>
    <t>27,31</t>
  </si>
  <si>
    <t>18,66</t>
  </si>
  <si>
    <t>19,07</t>
  </si>
  <si>
    <t>25,31</t>
  </si>
  <si>
    <t>37,62</t>
  </si>
  <si>
    <t>110,92</t>
  </si>
  <si>
    <t>105,66</t>
  </si>
  <si>
    <t>26,31</t>
  </si>
  <si>
    <t>33,03</t>
  </si>
  <si>
    <t>83,63</t>
  </si>
  <si>
    <t>32,90</t>
  </si>
  <si>
    <t>55,93</t>
  </si>
  <si>
    <t>34,28</t>
  </si>
  <si>
    <t>74,42</t>
  </si>
  <si>
    <t>41,69</t>
  </si>
  <si>
    <t>152,19</t>
  </si>
  <si>
    <t>97,69</t>
  </si>
  <si>
    <t>53,57</t>
  </si>
  <si>
    <t>76,09</t>
  </si>
  <si>
    <t>18,56</t>
  </si>
  <si>
    <t>96,28</t>
  </si>
  <si>
    <t>109,33</t>
  </si>
  <si>
    <t>17,55</t>
  </si>
  <si>
    <t>9,41</t>
  </si>
  <si>
    <t>15,71</t>
  </si>
  <si>
    <t>100,90</t>
  </si>
  <si>
    <t>36,26</t>
  </si>
  <si>
    <t>14,42</t>
  </si>
  <si>
    <t>34,11</t>
  </si>
  <si>
    <t>31,83</t>
  </si>
  <si>
    <t>10,88</t>
  </si>
  <si>
    <t>16,16</t>
  </si>
  <si>
    <t>17,93</t>
  </si>
  <si>
    <t>25,19</t>
  </si>
  <si>
    <t>6,71</t>
  </si>
  <si>
    <t>43,86</t>
  </si>
  <si>
    <t>75,62</t>
  </si>
  <si>
    <t>51,46</t>
  </si>
  <si>
    <t>196,00</t>
  </si>
  <si>
    <t>20,94</t>
  </si>
  <si>
    <t>44,94</t>
  </si>
  <si>
    <t>30,49</t>
  </si>
  <si>
    <t>22,25</t>
  </si>
  <si>
    <t>21,75</t>
  </si>
  <si>
    <t>78,47</t>
  </si>
  <si>
    <t>30,87</t>
  </si>
  <si>
    <t>46,01</t>
  </si>
  <si>
    <t>47,72</t>
  </si>
  <si>
    <t>21,79</t>
  </si>
  <si>
    <t>55,70</t>
  </si>
  <si>
    <t>37,79</t>
  </si>
  <si>
    <t>28,73</t>
  </si>
  <si>
    <t>37,09</t>
  </si>
  <si>
    <t>59,93</t>
  </si>
  <si>
    <t>48,70</t>
  </si>
  <si>
    <t>22,08</t>
  </si>
  <si>
    <t>54,76</t>
  </si>
  <si>
    <t>18,65</t>
  </si>
  <si>
    <t>126,28</t>
  </si>
  <si>
    <t>84,76</t>
  </si>
  <si>
    <t>21,01</t>
  </si>
  <si>
    <t>21,27</t>
  </si>
  <si>
    <t>24,16</t>
  </si>
  <si>
    <t>8,63</t>
  </si>
  <si>
    <t>26,71</t>
  </si>
  <si>
    <t>64,53</t>
  </si>
  <si>
    <t>30,83</t>
  </si>
  <si>
    <t>68,71</t>
  </si>
  <si>
    <t>56,67</t>
  </si>
  <si>
    <t>23,10</t>
  </si>
  <si>
    <t>27,93</t>
  </si>
  <si>
    <t>23,47</t>
  </si>
  <si>
    <t>36,85</t>
  </si>
  <si>
    <t>18,45</t>
  </si>
  <si>
    <t>9,49</t>
  </si>
  <si>
    <t>27,79</t>
  </si>
  <si>
    <t>45,90</t>
  </si>
  <si>
    <t>51,17</t>
  </si>
  <si>
    <t>94,23</t>
  </si>
  <si>
    <t>11,32</t>
  </si>
  <si>
    <t>60,38</t>
  </si>
  <si>
    <t>22,99</t>
  </si>
  <si>
    <t>34,39</t>
  </si>
  <si>
    <t>113,69</t>
  </si>
  <si>
    <t>20,58</t>
  </si>
  <si>
    <t>23,75</t>
  </si>
  <si>
    <t>595,63</t>
  </si>
  <si>
    <t>30,40</t>
  </si>
  <si>
    <t>28,17</t>
  </si>
  <si>
    <t>54,48</t>
  </si>
  <si>
    <t>15,30</t>
  </si>
  <si>
    <t>15,13</t>
  </si>
  <si>
    <t>118,51</t>
  </si>
  <si>
    <t>13,22</t>
  </si>
  <si>
    <t>10,55</t>
  </si>
  <si>
    <t>111,81</t>
  </si>
  <si>
    <t>39,32</t>
  </si>
  <si>
    <t>41,23</t>
  </si>
  <si>
    <t>97,21</t>
  </si>
  <si>
    <t>80,87</t>
  </si>
  <si>
    <t>29,40</t>
  </si>
  <si>
    <t>18,99</t>
  </si>
  <si>
    <t>24,27</t>
  </si>
  <si>
    <t>64,41</t>
  </si>
  <si>
    <t>57,98</t>
  </si>
  <si>
    <t>61,93</t>
  </si>
  <si>
    <t>122,93</t>
  </si>
  <si>
    <t>68,73</t>
  </si>
  <si>
    <t>103,70</t>
  </si>
  <si>
    <t>51,67</t>
  </si>
  <si>
    <t>29,86</t>
  </si>
  <si>
    <t>100,57</t>
  </si>
  <si>
    <t>8,26</t>
  </si>
  <si>
    <t>7,21</t>
  </si>
  <si>
    <t>24,04</t>
  </si>
  <si>
    <t>28,86</t>
  </si>
  <si>
    <t>70,55</t>
  </si>
  <si>
    <t>43,28</t>
  </si>
  <si>
    <t>81,11</t>
  </si>
  <si>
    <t>185,75</t>
  </si>
  <si>
    <t>43,40</t>
  </si>
  <si>
    <t>54,08</t>
  </si>
  <si>
    <t>58,52</t>
  </si>
  <si>
    <t>45,39</t>
  </si>
  <si>
    <t>95,79</t>
  </si>
  <si>
    <t>53,09</t>
  </si>
  <si>
    <t>73,59</t>
  </si>
  <si>
    <t>80,97</t>
  </si>
  <si>
    <t>43,07</t>
  </si>
  <si>
    <t>59,21</t>
  </si>
  <si>
    <t>69,05</t>
  </si>
  <si>
    <t>37,78</t>
  </si>
  <si>
    <t>54,87</t>
  </si>
  <si>
    <t>56,07</t>
  </si>
  <si>
    <t>710,67</t>
  </si>
  <si>
    <t>7,30</t>
  </si>
  <si>
    <t>4,78</t>
  </si>
  <si>
    <t>40,26</t>
  </si>
  <si>
    <t>65,34</t>
  </si>
  <si>
    <t>46,92</t>
  </si>
  <si>
    <t>47,78</t>
  </si>
  <si>
    <t>35,60</t>
  </si>
  <si>
    <t>81,83</t>
  </si>
  <si>
    <t>29,77</t>
  </si>
  <si>
    <t>21,00</t>
  </si>
  <si>
    <t>86,09</t>
  </si>
  <si>
    <t>115,33</t>
  </si>
  <si>
    <t>108,80</t>
  </si>
  <si>
    <t>216,09</t>
  </si>
  <si>
    <t>151,61</t>
  </si>
  <si>
    <t>188,14</t>
  </si>
  <si>
    <t>184,89</t>
  </si>
  <si>
    <t>57,78</t>
  </si>
  <si>
    <t>66,94</t>
  </si>
  <si>
    <t>55,18</t>
  </si>
  <si>
    <t>26,14</t>
  </si>
  <si>
    <t>3,08</t>
  </si>
  <si>
    <t>50,09</t>
  </si>
  <si>
    <t>61,80</t>
  </si>
  <si>
    <t>62,24</t>
  </si>
  <si>
    <t>126,62</t>
  </si>
  <si>
    <t>138,96</t>
  </si>
  <si>
    <t>56,66</t>
  </si>
  <si>
    <t>23,85</t>
  </si>
  <si>
    <t>97,91</t>
  </si>
  <si>
    <t>48,35</t>
  </si>
  <si>
    <t>73,49</t>
  </si>
  <si>
    <t>147,29</t>
  </si>
  <si>
    <t>115,03</t>
  </si>
  <si>
    <t>59,27</t>
  </si>
  <si>
    <t>55,66</t>
  </si>
  <si>
    <t>58,88</t>
  </si>
  <si>
    <t>67,16</t>
  </si>
  <si>
    <t>78,69</t>
  </si>
  <si>
    <t>48,51</t>
  </si>
  <si>
    <t>20,68</t>
  </si>
  <si>
    <t>204,10</t>
  </si>
  <si>
    <t>14,18</t>
  </si>
  <si>
    <t>56,82</t>
  </si>
  <si>
    <t>116,28</t>
  </si>
  <si>
    <t>142,49</t>
  </si>
  <si>
    <t>30,76</t>
  </si>
  <si>
    <t>10,65</t>
  </si>
  <si>
    <t>55,35</t>
  </si>
  <si>
    <t>17,94</t>
  </si>
  <si>
    <t>26,89</t>
  </si>
  <si>
    <t>33,53</t>
  </si>
  <si>
    <t>26,51</t>
  </si>
  <si>
    <t>33,38</t>
  </si>
  <si>
    <t>29,41</t>
  </si>
  <si>
    <t>79,14</t>
  </si>
  <si>
    <t>102,73</t>
  </si>
  <si>
    <t>34,85</t>
  </si>
  <si>
    <t>16,88</t>
  </si>
  <si>
    <t>68,79</t>
  </si>
  <si>
    <t>38,76</t>
  </si>
  <si>
    <t>47,17</t>
  </si>
  <si>
    <t>111,93</t>
  </si>
  <si>
    <t>41,37</t>
  </si>
  <si>
    <t>23,33</t>
  </si>
  <si>
    <t>80,35</t>
  </si>
  <si>
    <t>137,02</t>
  </si>
  <si>
    <t>16,71</t>
  </si>
  <si>
    <t>16,41</t>
  </si>
  <si>
    <t>9,13</t>
  </si>
  <si>
    <t>14,24</t>
  </si>
  <si>
    <t>47,22</t>
  </si>
  <si>
    <t>101,94</t>
  </si>
  <si>
    <t>25,05</t>
  </si>
  <si>
    <t>89,42</t>
  </si>
  <si>
    <t>78,93</t>
  </si>
  <si>
    <t>19,75</t>
  </si>
  <si>
    <t>169,00</t>
  </si>
  <si>
    <t>206,92</t>
  </si>
  <si>
    <t>72,11</t>
  </si>
  <si>
    <t>135,27</t>
  </si>
  <si>
    <t>36,64</t>
  </si>
  <si>
    <t>39,96</t>
  </si>
  <si>
    <t>38,70</t>
  </si>
  <si>
    <t>88,57</t>
  </si>
  <si>
    <t>81,65</t>
  </si>
  <si>
    <t>55,53</t>
  </si>
  <si>
    <t>64,96</t>
  </si>
  <si>
    <t>73,60</t>
  </si>
  <si>
    <t>37,91</t>
  </si>
  <si>
    <t>37,92</t>
  </si>
  <si>
    <t>103,66</t>
  </si>
  <si>
    <t>32,17</t>
  </si>
  <si>
    <t>144,13</t>
  </si>
  <si>
    <t>32,00</t>
  </si>
  <si>
    <t>35,74</t>
  </si>
  <si>
    <t>116,61</t>
  </si>
  <si>
    <t>58,03</t>
  </si>
  <si>
    <t>26,63</t>
  </si>
  <si>
    <t>36,49</t>
  </si>
  <si>
    <t>48,33</t>
  </si>
  <si>
    <t>146,46</t>
  </si>
  <si>
    <t>30,17</t>
  </si>
  <si>
    <t>53,02</t>
  </si>
  <si>
    <t>62,37</t>
  </si>
  <si>
    <t>74,22</t>
  </si>
  <si>
    <t>353,04</t>
  </si>
  <si>
    <t>43,08</t>
  </si>
  <si>
    <t>277,45</t>
  </si>
  <si>
    <t>30,79</t>
  </si>
  <si>
    <t>9,39</t>
  </si>
  <si>
    <t>29,68</t>
  </si>
  <si>
    <t>11,64</t>
  </si>
  <si>
    <t>8,52</t>
  </si>
  <si>
    <t>28,65</t>
  </si>
  <si>
    <t>6,35</t>
  </si>
  <si>
    <t>135,98</t>
  </si>
  <si>
    <t>85,18</t>
  </si>
  <si>
    <t>75,77</t>
  </si>
  <si>
    <t>117,19</t>
  </si>
  <si>
    <t>26,27</t>
  </si>
  <si>
    <t>39,66</t>
  </si>
  <si>
    <t>172,03</t>
  </si>
  <si>
    <t>17,10</t>
  </si>
  <si>
    <t>51,29</t>
  </si>
  <si>
    <t>54,67</t>
  </si>
  <si>
    <t>70,96</t>
  </si>
  <si>
    <t>87,40</t>
  </si>
  <si>
    <t>43,78</t>
  </si>
  <si>
    <t>48,67</t>
  </si>
  <si>
    <t>72,58</t>
  </si>
  <si>
    <t>60,29</t>
  </si>
  <si>
    <t>146,95</t>
  </si>
  <si>
    <t>115,66</t>
  </si>
  <si>
    <t>45,47</t>
  </si>
  <si>
    <t>79,40</t>
  </si>
  <si>
    <t>73,11</t>
  </si>
  <si>
    <t>30,07</t>
  </si>
  <si>
    <t>62,27</t>
  </si>
  <si>
    <t>60,99</t>
  </si>
  <si>
    <t>17,05</t>
  </si>
  <si>
    <t>7,74</t>
  </si>
  <si>
    <t>68,26</t>
  </si>
  <si>
    <t>92,23</t>
  </si>
  <si>
    <t>137,55</t>
  </si>
  <si>
    <t>28,83</t>
  </si>
  <si>
    <t>33,14</t>
  </si>
  <si>
    <t>EXTINTOR DE INCENDIO PORTATIL COM CARGA DE PO QUIMICO SECO (PQS) DE 8 KG, CLASSE ABC</t>
  </si>
  <si>
    <t>Motobomba centrífuga submersível 5 cv, trifásica, Ø máx. sólidos ≥ 60mm, Ø recalque = 3", pressão máxima sem vazão ≥ 15 m.c.a., vazão máxima ≥ 100 m³/h, ref.: Schneider BCS-365</t>
  </si>
  <si>
    <t>Motobomba centrífuga de superfície 7,5 cv, trifásica, rotor fechado, para líquidos sem sólidos em suspensão, Ø sucção = 2 1/2", Ø recalque = 2 1/2", pressão máxima ≥ 44 m.c.a., vazão máxima ≥ 38,3 m³/h, ref.: Schneider BPI-22 7,5 cv</t>
  </si>
  <si>
    <t>Motobomba centrífuga de superfície 15 cv, trifásica, rotor fechado, para líquidos sem sólidos em suspensão, Ø sucção = 2 1/2", Ø recalque = 2 1/2", pressão máxima ≥ 58 m.c.a., vazão máxima ≥ 71,2 m³/h, ref.: Schneider BPI-22 15 cv</t>
  </si>
  <si>
    <t>Alicate de corte diagonal 6''</t>
  </si>
  <si>
    <t xml:space="preserve">        PRECOS DE INSUMOS</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</si>
  <si>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</si>
  <si>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</si>
  <si>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</si>
  <si>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</si>
  <si>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</si>
  <si>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</si>
  <si>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</si>
  <si>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</si>
  <si>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</si>
  <si>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</si>
  <si>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1,78</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</si>
  <si>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</si>
  <si>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</si>
  <si>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</si>
  <si>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</si>
  <si>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</si>
  <si>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</si>
  <si>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</si>
  <si>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</si>
  <si>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</si>
  <si>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</si>
  <si>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</si>
  <si>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</si>
  <si>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</si>
  <si>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5,98</t>
  </si>
  <si>
    <t>ABRACADEIRA EM ACO PARA AMARRACAO DE ELETRODUTOS, TIPO D, COM 4" E CUNHA DE FIXACAO</t>
  </si>
  <si>
    <t>ABRACADEIRA EM ACO PARA AMARRACAO DE ELETRODUTOS, TIPO D, COM 4" E PARAFUSO DE FIXACAO</t>
  </si>
  <si>
    <t>7,72</t>
  </si>
  <si>
    <t>ABRACADEIRA EM ACO PARA AMARRACAO DE ELETRODUTOS, TIPO ECONOMICA (GOTA), COM 8"</t>
  </si>
  <si>
    <t>ABRACADEIRA EM ACO PARA AMARRACAO DE ELETRODUTOS, TIPO U SIMPLES, COM 1 1/2"</t>
  </si>
  <si>
    <t>ABRACADEIRA EM ACO PARA AMARRACAO DE ELETRODUTOS, TIPO U SIMPLES, COM 1 1/4"</t>
  </si>
  <si>
    <t>1,36</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</si>
  <si>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</si>
  <si>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</si>
  <si>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</si>
  <si>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</si>
  <si>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</si>
  <si>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</si>
  <si>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</si>
  <si>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</si>
  <si>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PLUVIAL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</si>
  <si>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</si>
  <si>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</si>
  <si>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</si>
  <si>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DE METAL CROMADO PARA REGISTRO PEQUENO, DE PAREDE,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</si>
  <si>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</si>
  <si>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</si>
  <si>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</si>
  <si>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DE GAS ACETILENO PARA CILINDRO DE CONJUNTO OXICORTE GRANDE) NAO INCLUI TROCA/MANUTENCAO DO CILINDRO</t>
  </si>
  <si>
    <t>ACIDO CLORIDRICO / ACIDO MURIATICO, DILUICAO 10% A 12% PARA USO EM LIMPEZA</t>
  </si>
  <si>
    <t>13,65</t>
  </si>
  <si>
    <t>ACO CA-25, 10,0 MM, OU 12,5 MM, OU 16,0 MM, OU 20,0 MM, OU 25,0 MM, VERGALHAO</t>
  </si>
  <si>
    <t>ACO CA-25, 16,0 MM, BARRA DE TRANSFERENCIA</t>
  </si>
  <si>
    <t>ACO CA-25, 20,0 MM, BARRA DE TRANSFERENCIA</t>
  </si>
  <si>
    <t>13,58</t>
  </si>
  <si>
    <t>ACO CA-25, 25,0 MM, BARRA DE TRANSFERENCIA</t>
  </si>
  <si>
    <t>ACO CA-25, 32,0 MM, BARRA DE TRANSFERENCIA</t>
  </si>
  <si>
    <t>ACO CA-25, 32,0 MM, VERGALHAO</t>
  </si>
  <si>
    <t>ACO CA-25, 6,3 MM OU 8,0 MM, VERGALHAO</t>
  </si>
  <si>
    <t>ACO CA-50, 10,0 MM, VERGALHAO</t>
  </si>
  <si>
    <t>ACO CA-50, 32,0 MM, VERGALHAO</t>
  </si>
  <si>
    <t>ACO CA-50, 6,3 MM, DOBRADO E CORTADO</t>
  </si>
  <si>
    <t>ACO CA-60, 4,2 MM OU 5,0 MM, DOBRADO E CORTADO</t>
  </si>
  <si>
    <t>ACO CA-60, 6,0 MM OU 7,0 MM, DOBRADO E CORTADO</t>
  </si>
  <si>
    <t>ACO CA-60, 8,0 MM OU 9,5 MM, VERGALHAO</t>
  </si>
  <si>
    <t>8,50</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</si>
  <si>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</si>
  <si>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</si>
  <si>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</si>
  <si>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CPVC, ROSCAVEL, COM FLANGES E ANEL DE VEDACAO, 15 MM, CAIXA D'AGUA PARA AGUA QUENTE</t>
  </si>
  <si>
    <t>ADAPTADOR CPVC, ROSCAVEL, COM FLANGES E ANEL DE VEDACAO, 22 MM, CAIXA D'AGUA PARA AGUA QUENTE</t>
  </si>
  <si>
    <t>26,86</t>
  </si>
  <si>
    <t>ADAPTADOR CPVC, ROSCAVEL, COM FLANGES E ANEL DE VEDACAO, 28 MM, CAIXA D'AGUA PARA AGUA QUENTE</t>
  </si>
  <si>
    <t>ADAPTADOR CPVC, ROSCAVEL, COM FLANGES E ANEL DE VEDACAO, 35 MM, CAIXA D'AGUA PARA AGUA QUENTE</t>
  </si>
  <si>
    <t>ADAPTADOR CPVC, ROSCAVEL, COM FLANGES E ANEL DE VEDACAO, 42 MM, CAIXA D'AGUA PARA AGUA QUENTE</t>
  </si>
  <si>
    <t>ADAPTADOR CPVC, ROSCAVEL, COM FLANGES E ANEL DE VEDACAO, 54 MM, CAIXA D'AGUA PARA AGUA QUENTE</t>
  </si>
  <si>
    <t>ADAPTADOR CPVC, SOLDAVEL, 15 MM, PARA AGUA QUENTE</t>
  </si>
  <si>
    <t>ADAPTADOR CPVC, SOLDAVEL, 22 MM, PARA AGUA QUENTE</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</si>
  <si>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</si>
  <si>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</si>
  <si>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</si>
  <si>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7,60</t>
  </si>
  <si>
    <t>ADAPTADOR EM LATAO, ENGATE RAPIDO 2 1/2" X ROSCA INTERNA 5 FIOS 2 1/2", PARA INSTALACAO PREDIAL DE COMBATE A INCENDIO</t>
  </si>
  <si>
    <t>ADAPTADOR EM LATAO, ENGATE RAPIDO1 1/2" X ROSCA INTERNA 5 FIOS 2 1/2", PARA INSTALACAO PREDIAL DE COMBATE A INCENDIO</t>
  </si>
  <si>
    <t>ADAPTADOR PVC SOLDAVEL CURTO COM BOLSA E ROSCA, 110 MM X 4", PARA AGUA FRIA</t>
  </si>
  <si>
    <t>43,95</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</si>
  <si>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</si>
  <si>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</si>
  <si>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</si>
  <si>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</si>
  <si>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</si>
  <si>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</si>
  <si>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</si>
  <si>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</si>
  <si>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</si>
  <si>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</si>
  <si>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</si>
  <si>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</si>
  <si>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</si>
  <si>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</si>
  <si>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</si>
  <si>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</si>
  <si>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</si>
  <si>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</si>
  <si>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</si>
  <si>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</si>
  <si>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32 MM X 1",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</si>
  <si>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</si>
  <si>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</si>
  <si>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</si>
  <si>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</si>
  <si>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1/2", PARA CAIXA D' AGUA</t>
  </si>
  <si>
    <t>ADAPTADOR PVC, ROSCAVEL, COM FLANGES E ANEL DE VEDACAO, 1", PARA CAIXA D' AGUA</t>
  </si>
  <si>
    <t>31,56</t>
  </si>
  <si>
    <t>ADAPTADOR PVC, ROSCAVEL, COM FLANGES E ANEL DE VEDACAO, 3/4", PARA CAIXA D' AGUA</t>
  </si>
  <si>
    <t>15,81</t>
  </si>
  <si>
    <t>ADAPTADOR, PVC PBA,  BOLSA/ROSCA, JE, DN 75 / DE  85 MM</t>
  </si>
  <si>
    <t>ADAPTADOR, PVC PBA, BOLSA/ROSCA, JE, DN 100 / DE 110 MM</t>
  </si>
  <si>
    <t>73,38</t>
  </si>
  <si>
    <t>ADAPTADOR, PVC PBA, BOLSA/ROSCA, JE, DN 50 / DE 60 MM</t>
  </si>
  <si>
    <t>ADAPTADOR, PVC PBA, PONTA/ROSCA, JE, DN 50 / DE  60 MM</t>
  </si>
  <si>
    <t>14,54</t>
  </si>
  <si>
    <t>ADAPTADOR, PVC PBA, PONTA/ROSCA, JE, DN 75 / DE  85 MM</t>
  </si>
  <si>
    <t>49,07</t>
  </si>
  <si>
    <t>ADESIVO / COLA DE CONTATO LIQUIDO, A BASE DE RESINAS, PARA COLAGEM DE ESPUMA PARA ISOLAMENTO TERMICO FLEXIVEL</t>
  </si>
  <si>
    <t>ADESIVO / COLA PARA EPS (ISOPOR) E OUTROS MATERIAIS</t>
  </si>
  <si>
    <t>ADESIVO ACRILICO DE BASE AQUOSA / COLA DE CONTATO</t>
  </si>
  <si>
    <t>ADESIVO ESTRUTURAL A BASE DE RESINA EPOXI PARA INJECAO EM TRINCAS, BICOMPONENTE, BAIXA VISCOSIDADE</t>
  </si>
  <si>
    <t>49,82</t>
  </si>
  <si>
    <t>ADESIVO PLASTICO PARA PVC, BISNAGA COM 75 GR</t>
  </si>
  <si>
    <t>ADESIVO PLASTICO PARA PVC, FRASCO COM *850* GR</t>
  </si>
  <si>
    <t>69,17</t>
  </si>
  <si>
    <t>ADESIVO PLASTICO PARA PVC, FRASCO COM 175 GR</t>
  </si>
  <si>
    <t>ADITIVO ACELERADOR DE PEGA E ENDURECIMENTO PARA ARGAMASSAS E CONCRETOS, LIQUIDO E ISENTO DE CLORETOS</t>
  </si>
  <si>
    <t>19,21</t>
  </si>
  <si>
    <t>ADITIVO ADESIVO LIQUIDO PARA ARGAMASSAS DE REVESTIMENTOS CIMENTICIOS</t>
  </si>
  <si>
    <t>ADITIVO IMPERMEABILIZANTE DE PEGA ULTRARRAPIDA, LIQUIDO E ISENTO DE CLORETOS</t>
  </si>
  <si>
    <t>ADITIVO LIQUIDO IMPERMEABILIZANTE CRISTALIZANTE</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</si>
  <si>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</si>
  <si>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</si>
  <si>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</si>
  <si>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</si>
  <si>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</si>
  <si>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</si>
  <si>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</si>
  <si>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AFASTADOR PARA TELHA DE FIBROCIMENTO CANALETE 90 OU KALHETAO</t>
  </si>
  <si>
    <t>AGENTE DE CURA, PROTETOR DA EVAPORACAO DA AGUA DE HIDRATACAO DO CONCRETO</t>
  </si>
  <si>
    <t>AGREGADO RECICLADO, TIPO RACHAO RECICLADO CINZA, CLASSE A</t>
  </si>
  <si>
    <t>AJUDANTE DE ARMADOR (HORISTA)</t>
  </si>
  <si>
    <t>AJUDANTE DE ARMADOR (MENSALISTA)</t>
  </si>
  <si>
    <t>AJUDANTE DE ELETRICISTA (HORISTA)</t>
  </si>
  <si>
    <t>AJUDANTE DE ELETRICISTA (MENSALISTA)</t>
  </si>
  <si>
    <t>AJUDANTE DE ESTRUTURAS METALICAS (MENSALISTA)</t>
  </si>
  <si>
    <t>AJUDANTE DE ESTRUTURAS METALICAS HORISTA</t>
  </si>
  <si>
    <t>AJUDANTE DE OPERACAO EM GERAL (HORISTA)</t>
  </si>
  <si>
    <t>AJUDANTE DE OPERACAO EM GERAL (MENSALISTA)</t>
  </si>
  <si>
    <t>AJUDANTE DE PINTOR (HORISTA)</t>
  </si>
  <si>
    <t>AJUDANTE DE PINTOR (MENSALISTA)</t>
  </si>
  <si>
    <t>AJUDANTE DE SERRALHEIRO (HORISTA)</t>
  </si>
  <si>
    <t>AJUDANTE DE SERRALHEIRO (MENSALISTA)</t>
  </si>
  <si>
    <t>AJUDANTE ESPECIALIZADO (HORISTA)</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</si>
  <si>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</si>
  <si>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</si>
  <si>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</si>
  <si>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</si>
  <si>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</si>
  <si>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</si>
  <si>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3,36</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</si>
  <si>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</si>
  <si>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</si>
  <si>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</si>
  <si>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</si>
  <si>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</si>
  <si>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68,51</t>
  </si>
  <si>
    <t>ALICATE DE PRESSAO 11 " PARA SOLDA, TIPO U</t>
  </si>
  <si>
    <t>75,39</t>
  </si>
  <si>
    <t>ALICATE PARA ANEIS DE PISTAO, CAPACIDADE 50 A 100 MM</t>
  </si>
  <si>
    <t>ALIMENTACAO - HORISTA (COLETADO CAIXA - ENCARGOS COMPLEMENTARES)</t>
  </si>
  <si>
    <t>ALIMENTACAO - MENSALISTA (COLETADO CAIXA - ENCARGOS COMPLEMENTARES)</t>
  </si>
  <si>
    <t>ALISADORA DE CONCRETO COM MOTOR A GASOLINA DE 5,5 HP, PESO COM MOTOR DE 78 KG, 4 PAS</t>
  </si>
  <si>
    <t>ALMOXARIFE (HORISTA)</t>
  </si>
  <si>
    <t>ALMOXARIFE (MENSALISTA)</t>
  </si>
  <si>
    <t>ALONGADOR COM TRES ALTURAS, EM TUBO DE ACO CARBONO, PINTURA NO PROCESSO ELETROSTATICO - EQUIPAMENTO DE GINASTICA PARA ACADEMIA AO AR LIVRE / ACADEMIA DA TERCEIRA IDADE - ATI</t>
  </si>
  <si>
    <t>ANEL BORRACHA PARA TUBO ESGOTO PREDIAL, DN 100 MM (NBR 5688)</t>
  </si>
  <si>
    <t>ANEL BORRACHA PARA TUBO ESGOTO PREDIAL, DN 50 MM (NBR 5688)</t>
  </si>
  <si>
    <t>ANEL BORRACHA PARA TUBO ESGOTO PREDIAL, DN 75 MM (NBR 5688)</t>
  </si>
  <si>
    <t>ANEL BORRACHA, DN 100 MM, PARA TUBO SERIE REFORCADA ESGOTO PREDIAL</t>
  </si>
  <si>
    <t>ANEL BORRACHA, DN 50 MM, PARA TUBO SERIE REFORCADA ESGOTO PREDIAL</t>
  </si>
  <si>
    <t>ANEL BORRACHA, DN 75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</si>
  <si>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</si>
  <si>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</si>
  <si>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</si>
  <si>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</si>
  <si>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</si>
  <si>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</si>
  <si>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</si>
  <si>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</si>
  <si>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</si>
  <si>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</si>
  <si>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</si>
  <si>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</si>
  <si>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</si>
  <si>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</si>
  <si>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</si>
  <si>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</si>
  <si>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</si>
  <si>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3,62</t>
  </si>
  <si>
    <t>ANEL DE BORRACHA PARA VEDACAO DE DUTO PEAD CORRUGADO PARA ELETRICA, DN 3" (NBR 15715)</t>
  </si>
  <si>
    <t>ANEL DE BORRACHA PARA VEDACAO DE DUTO PEAD CORRUGADO PARA ELETRICA, DN 4" (NBR 15715)</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</si>
  <si>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</si>
  <si>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</si>
  <si>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</si>
  <si>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</si>
  <si>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</si>
  <si>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</si>
  <si>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463,42</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</si>
  <si>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</si>
  <si>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</si>
  <si>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</si>
  <si>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</si>
  <si>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</si>
  <si>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27,56</t>
  </si>
  <si>
    <t>ANEL DE VEDACAO/JUNTA ELASTICA, H = *16* MM, PARA TUBO DE CONCRETO, DN 500 MM</t>
  </si>
  <si>
    <t>ANEL DE VEDACAO/JUNTA ELASTICA, H = *16* MM, PARA TUBO DE CONCRETO, DN 600 MM</t>
  </si>
  <si>
    <t>ANEL DE VEDACAO/JUNTA ELASTICA, H = *18* MM, PARA TUBO DE CONCRETO, DN 700 MM</t>
  </si>
  <si>
    <t>53,16</t>
  </si>
  <si>
    <t>ANEL DE VEDACAO/JUNTA ELASTICA, H = *19* MM, PARA TUBO DE CONCRETO, DN 800 MM</t>
  </si>
  <si>
    <t>ANEL DE VEDACAO/JUNTA ELASTICA, H = *19* MM, PARA TUBO DE CONCRETO, DN 900 MM</t>
  </si>
  <si>
    <t>ANEL DE VEDACAO/JUNTA ELASTICA, H = *21* MM, PARA TUBO DE CONCRETO, DN 1000 MM</t>
  </si>
  <si>
    <t>ANEL DE VEDACAO, PVC FLEXIVEL, 100 MM, PARA SAIDA DE BACIA / VASO SANITARIO</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</si>
  <si>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</si>
  <si>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</si>
  <si>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</si>
  <si>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</si>
  <si>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</si>
  <si>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</si>
  <si>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</si>
  <si>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</si>
  <si>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</si>
  <si>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</si>
  <si>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</si>
  <si>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232,19</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</si>
  <si>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</si>
  <si>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</si>
  <si>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164,47</t>
  </si>
  <si>
    <t>ANEL EM CONCRETO ARMADO, LISO, PARA POCOS DE VISITAS, POCOS DE INSPECAO, FOSSAS SEPTICAS E SUMIDOUROS, SEM FUNDO, DIAMETRO INTERNO DE 1,00 M E ALTURA DE 0,50 M</t>
  </si>
  <si>
    <t>221,20</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</si>
  <si>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</si>
  <si>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</si>
  <si>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</si>
  <si>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</si>
  <si>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</si>
  <si>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</si>
  <si>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</si>
  <si>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SINALIZADOR LUMINOSO COM LED, PARA SAIDA GARAGEM, COM 2 LENTES EM POLICARBONATO, BIVOLT (INCLUI SUPORTE DE FIXACAO)</t>
  </si>
  <si>
    <t>APOIO DO PORTA DENTE PARA FRESADORA DE  ASFALTO</t>
  </si>
  <si>
    <t>APONTADOR OU APROPRIADOR DE MAO DE OBRA (HORISTA)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</si>
  <si>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</si>
  <si>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</si>
  <si>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</si>
  <si>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</si>
  <si>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</si>
  <si>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</si>
  <si>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</si>
  <si>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</si>
  <si>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</si>
  <si>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</si>
  <si>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</si>
  <si>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</si>
  <si>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</si>
  <si>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</si>
  <si>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</si>
  <si>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</si>
  <si>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</si>
  <si>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</si>
  <si>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</si>
  <si>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</si>
  <si>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</si>
  <si>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</si>
  <si>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</si>
  <si>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</si>
  <si>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</si>
  <si>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</si>
  <si>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</si>
  <si>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</si>
  <si>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</si>
  <si>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</si>
  <si>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</si>
  <si>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</si>
  <si>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</si>
  <si>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</si>
  <si>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</si>
  <si>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</si>
  <si>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</si>
  <si>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</si>
  <si>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</si>
  <si>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</si>
  <si>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</si>
  <si>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</si>
  <si>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</si>
  <si>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</si>
  <si>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</si>
  <si>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</si>
  <si>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</si>
  <si>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</si>
  <si>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</si>
  <si>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</si>
  <si>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</si>
  <si>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25.092,38</t>
  </si>
  <si>
    <t>ARAME DE ACO OVALADO 15 X 17 ( 45,7 KG, 700 KGF), ROLO 1000 M</t>
  </si>
  <si>
    <t>ARAME DE AMARRACAO PARA GABIAO GALVANIZADO, DIAMETRO 2,2 MM</t>
  </si>
  <si>
    <t>20,53</t>
  </si>
  <si>
    <t>ARAME FARPADO GALVANIZADO, 14 BWG (2,11 MM), CLASSE 250</t>
  </si>
  <si>
    <t>ARAME FARPADO GALVANIZADO, 16 BWG (1,65 MM), CLASSE 250</t>
  </si>
  <si>
    <t>ARAME GALVANIZADO 12 BWG, D = 2,76 MM (0,048 KG/M) OU 14 BWG, D = 2,11 MM (0,026 KG/M)</t>
  </si>
  <si>
    <t>ARAME PROTEGIDO COM POLIMERO PARA GABIAO, DIAMETRO 2,2 MM</t>
  </si>
  <si>
    <t>AREIA FINA - POSTO JAZIDA/FORNECEDOR (RETIRADO NA JAZIDA, SEM TRANSPORTE)</t>
  </si>
  <si>
    <t>AREIA MEDIA - POSTO JAZIDA/FORNECEDOR (RETIRADO NA JAZIDA, SEM TRANSPORTE)</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</si>
  <si>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</si>
  <si>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</si>
  <si>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</si>
  <si>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</si>
  <si>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</si>
  <si>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</si>
  <si>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</si>
  <si>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</si>
  <si>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t>
  </si>
  <si>
    <t>ARGAMASSA PISO SOBRE PISO</t>
  </si>
  <si>
    <t>ARGAMASSA POLIMERICA DE REPARO ESTRUTURAL, BICOMPONENTE</t>
  </si>
  <si>
    <t>ARGAMASSA POLIMERICA IMPERMEABILIZANTE SEMIFLEXIVEL, BICOMPONENTE (MEMBRANA IMPERMEABILIZANTE ACRILICA)</t>
  </si>
  <si>
    <t>ARGAMASSA USINADA AUTOADENSAVEL E AUTONIVELANTE PARA CONTRAPISO, COM BOMBEAMENTO (DISPONIBILIZACAO DE BOMBA), SEM O LANCAMENTO</t>
  </si>
  <si>
    <t>ARGILA EXPANDIDA, GRANULOMETRIA 2215</t>
  </si>
  <si>
    <t>ARGILA OU BARRO PARA ATERRO/REATERRO (COM TRANSPORTE ATE 10 KM)</t>
  </si>
  <si>
    <t>ARGILA OU BARRO PARA ATERRO/REATERRO (RETIRADO NA JAZIDA, SEM TRANSPORTE)</t>
  </si>
  <si>
    <t>ARMACAO VERTICAL COM HASTE E CONTRA-PINO, EM CHAPA DE ACO GALVANIZADO 3/16", COM 1 ESTRIBO E 1 ISOLADOR</t>
  </si>
  <si>
    <t>37,84</t>
  </si>
  <si>
    <t>ARMACAO VERTICAL COM HASTE E CONTRA-PINO, EM CHAPA DE ACO GALVANIZADO 3/16", COM 1 ESTRIBO, SEM ISOLADOR</t>
  </si>
  <si>
    <t>ARMACAO VERTICAL COM HASTE E CONTRA-PINO, EM CHAPA DE ACO GALVANIZADO 3/16", COM 2 ESTRIBOS, E 2 ISOLADORES</t>
  </si>
  <si>
    <t>56,24</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</si>
  <si>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</si>
  <si>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</si>
  <si>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</si>
  <si>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</si>
  <si>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</si>
  <si>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(HORISTA)</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</si>
  <si>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</si>
  <si>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</si>
  <si>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</si>
  <si>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</si>
  <si>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</si>
  <si>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</si>
  <si>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</si>
  <si>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</si>
  <si>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</si>
  <si>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</si>
  <si>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</si>
  <si>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</si>
  <si>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</si>
  <si>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</si>
  <si>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</si>
  <si>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</si>
  <si>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</si>
  <si>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</si>
  <si>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</si>
  <si>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</si>
  <si>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</si>
  <si>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</si>
  <si>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</si>
  <si>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</si>
  <si>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</si>
  <si>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</si>
  <si>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</si>
  <si>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</si>
  <si>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95,65</t>
  </si>
  <si>
    <t>ASSENTO SANITARIO DE PLASTICO, TIPO CONVENCIONAL</t>
  </si>
  <si>
    <t>44,95</t>
  </si>
  <si>
    <t>AUTOMATICO DE BOIA SUPERIOR / INFERIOR, *15* A / 250 V</t>
  </si>
  <si>
    <t>AUXILIAR DE ALMOXARIFE (HORISTA)</t>
  </si>
  <si>
    <t>AUXILIAR DE ALMOXARIFE (MENSALISTA)</t>
  </si>
  <si>
    <t>AUXILIAR DE AZULEJISTA (HORISTA)</t>
  </si>
  <si>
    <t>AUXILIAR DE AZULEJISTA (MENSALISTA)</t>
  </si>
  <si>
    <t>AUXILIAR DE ENCANADOR OU BOMBEIRO HIDRAULICO (HORISTA)</t>
  </si>
  <si>
    <t>AUXILIAR DE ENCANADOR OU BOMBEIRO HIDRAULICO (MENSALISTA)</t>
  </si>
  <si>
    <t>AUXILIAR DE ESCRITORIO (HORISTA)</t>
  </si>
  <si>
    <t>AUXILIAR DE ESCRITORIO (MENSALISTA)</t>
  </si>
  <si>
    <t>AUXILIAR DE LABORATORISTA DE SOLOS E DE CONCRETO (HORISTA)</t>
  </si>
  <si>
    <t>AUXILIAR DE LABORATORISTA DE SOLOS E DE CONCRETO (MENSALISTA)</t>
  </si>
  <si>
    <t>AUXILIAR DE MECANICO</t>
  </si>
  <si>
    <t>AUXILIAR DE MECANICO (MENSALISTA)</t>
  </si>
  <si>
    <t>AUXILIAR DE PEDREIRO (HORISTA)</t>
  </si>
  <si>
    <t>AUXILIAR DE PEDREIRO (MENSALISTA)</t>
  </si>
  <si>
    <t>AUXILIAR DE SERVICOS GERAIS</t>
  </si>
  <si>
    <t>AUXILIAR DE SERVICOS GERAIS (MENSALISTA)</t>
  </si>
  <si>
    <t>AUXILIAR DE TOPOGRAFO (HORISTA)</t>
  </si>
  <si>
    <t>AUXILIAR DE TOPOGRAFO (MENSALISTA)</t>
  </si>
  <si>
    <t>AUXILIAR TECNICO / ASSISTENTE DE ENGENHARIA</t>
  </si>
  <si>
    <t>AUXILIAR TECNICO / ASSISTENTE DE ENGENHARIA (MENSALISTA)</t>
  </si>
  <si>
    <t>AVENTAL DE SEGURANCA DE RASPA DE COURO 1,00 X 0,60 M</t>
  </si>
  <si>
    <t>45,58</t>
  </si>
  <si>
    <t>AZULEJISTA OU LADRILHEIRO (HORISTA)</t>
  </si>
  <si>
    <t>AZULEJISTA OU LADRILHEIRO (MENSALISTA)</t>
  </si>
  <si>
    <t>BACIA SANITARIA (VASO) COM CAIXA ACOPLADA, SIFAO APARENTE, DE LOUCA BRANCA (SEM ASSENTO)</t>
  </si>
  <si>
    <t>BACIA SANITARIA (VASO) COM CAIXA ACOPLADA, SIFAO OCULTO / CARENADO, DE LOUCA BRANCA (SEM ASSENTO )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</si>
  <si>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</si>
  <si>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</si>
  <si>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</si>
  <si>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</si>
  <si>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</si>
  <si>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</si>
  <si>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</si>
  <si>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</si>
  <si>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</si>
  <si>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</si>
  <si>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</si>
  <si>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BALCAO/ TAMPO EM MARMORE BRANCO COMUM, POLIDO, LISO, ACABAMENTO RETO, E= *3* CM (SEM FUROS)</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</si>
  <si>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</si>
  <si>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</si>
  <si>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</si>
  <si>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</si>
  <si>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</si>
  <si>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</si>
  <si>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</si>
  <si>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</si>
  <si>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</si>
  <si>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</si>
  <si>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</si>
  <si>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</si>
  <si>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9,35</t>
  </si>
  <si>
    <t>BARRA ANTIPANICO DUPLA, CEGA EM LADO OPOSTO, COR CINZA</t>
  </si>
  <si>
    <t>BARRA ANTIPANICO DUPLA, PARA PORTA DE VIDRO, COR CINZA</t>
  </si>
  <si>
    <t>BARRA ANTIPANICO SIMPLES, CEGA EM LADO OPOSTO, COR CINZA</t>
  </si>
  <si>
    <t>BARRA ANTIPANICO SIMPLES, COM FECHADURA LADO OPOSTO, COR CINZA</t>
  </si>
  <si>
    <t>BARRA ANTIPANICO SIMPLES, PARA PORTA DE VIDRO, COR CINZA</t>
  </si>
  <si>
    <t>BARRA DE ACO CHATA, RETANGULAR (QUALQUER BITOLA)</t>
  </si>
  <si>
    <t>BARRA DE ACO CHATO, RETANGULAR, 19,05 MM X 3,17 MM (L X E), 0,47 KG/M</t>
  </si>
  <si>
    <t>BARRA DE ACO CHATO, RETANGULAR, 25,4 MM X 4,76 MM (L X E), 1,73 KG/M</t>
  </si>
  <si>
    <t>BARRA DE ACO CHATO, RETANGULAR, 25,4 MM X 6,35 MM (L X E), 1,2265 KG/M</t>
  </si>
  <si>
    <t>BARRA DE ACO CHATO, RETANGULAR, 38,1 MM X 12,7 MM (L X E), 3,79 KG/M</t>
  </si>
  <si>
    <t>BARRA DE ACO CHATO, RETANGULAR, 38,1 MM X 6,35 MM (L X E), 1,89 KG/M</t>
  </si>
  <si>
    <t>BARRA DE ACO CHATO, RETANGULAR, 38,1 MM X 9,53 MM (L X E), 2,84 KG/M</t>
  </si>
  <si>
    <t>31,41</t>
  </si>
  <si>
    <t>BARRA DE ACO CHATO, RETANGULAR, 50,8 MM X 12,7 MM (L X E), 5,06 KG/M</t>
  </si>
  <si>
    <t>BARRA DE ACO CHATO, RETANGULAR, 50,8 MM X 25,4 MM (L X E), 10,12 KG/M</t>
  </si>
  <si>
    <t>BARRA DE ACO CHATO, RETANGULAR, 50,8 MM X 6,35 MM (L X E), 2,53 KG/M</t>
  </si>
  <si>
    <t>27,98</t>
  </si>
  <si>
    <t>BARRA DE ACO CHATO, RETANGULAR, 50,8 MM X 7,94 MM (L X E), 3,162 KG/M</t>
  </si>
  <si>
    <t>35,01</t>
  </si>
  <si>
    <t>BARRA DE ACO CHATO, RETANGULAR, 50,8 MM X 9,53 MM (L X E), 3,79KG/M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</si>
  <si>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</si>
  <si>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</si>
  <si>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</si>
  <si>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</si>
  <si>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</si>
  <si>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</si>
  <si>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</si>
  <si>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</si>
  <si>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136,26</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</si>
  <si>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</si>
  <si>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</si>
  <si>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</si>
  <si>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 DE PAREDE (NAO INCLUI ACABAMENTOS)</t>
  </si>
  <si>
    <t>BASE PARA MASTRO DE PARA-RAIOS DIAMETRO NOMINAL 1 1/2"</t>
  </si>
  <si>
    <t>BASE PARA MASTRO DE PARA-RAIOS DIAMETRO NOMINAL 2"</t>
  </si>
  <si>
    <t>BASE PARA RELE COM SUPORTE METALICO</t>
  </si>
  <si>
    <t>BASTIDOR PARA BLOCO M10</t>
  </si>
  <si>
    <t>BATE-ESTACAS POR GRAVIDADE, POTENCIA160 HP, PESO DO MARTELO ATE 3 TONELADAS</t>
  </si>
  <si>
    <t>BATENTE / PORTAL / ADUELA / MARCO EM MADEIRA MACICA COM REBAIXO, E = *3* CM, L = *14* CM, PARA PORTAS DE  GIRO DE *60 CM A 120* CM  X *210* CM, CEDRINHO / ANGELIM COMERCIAL / TAURI / CURUPIXA / PEROBA / CUMARU OU EQUIVALENTE DA REGIAO (NAO INCLUI ALIZARES)</t>
  </si>
  <si>
    <t>260,00</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</si>
  <si>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</si>
  <si>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</si>
  <si>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</si>
  <si>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BATENTE/PORTAL/ADUELA/MARCO, EM MDF/PVC WOOD/POLIESTIRENO OU MADEIRA LAMINADA, L = *9,0* CM COM GUARNICAO REGULAVEL 2 FACES = *35* MM, PRIMER</t>
  </si>
  <si>
    <t>BENTONITA, ARGILA CONSTITUIDA POR  MONTMORILONITA</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</si>
  <si>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</si>
  <si>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</si>
  <si>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</si>
  <si>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</si>
  <si>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</si>
  <si>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</si>
  <si>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</si>
  <si>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</si>
  <si>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</si>
  <si>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 TIJOLO DE VIDRO INCOLOR, CANELADO / ONDULADO, *19 X 19 X 8* CM (A X L X E)</t>
  </si>
  <si>
    <t>BLOCO / TIJOLO DE VIDRO INCOLOR, XADREZ, *20 X 20 X 10* CM (A X L X E)</t>
  </si>
  <si>
    <t>BLOCO CERAMICO / TIJOLO VAZADO PARA ALVENARIA DE VEDACAO, FUROS NA HORIZONTAL, 11,5 X 19 X 19 CM (NBR 15270)</t>
  </si>
  <si>
    <t>BLOCO CERAMICO / TIJOLO VAZADO PARA ALVENARIA DE VEDACAO, FUROS NA VERTICAL, 14 X 19 X 39 CM (NBR 15270)</t>
  </si>
  <si>
    <t>BLOCO CERAMICO / TIJOLO VAZADO PARA ALVENARIA DE VEDACAO, FUROS NA VERTICAL, 19 X 19 X 39 CM (NBR 15270)</t>
  </si>
  <si>
    <t>BLOCO CERAMICO / TIJOLO VAZADO PARA ALVENARIA DE VEDACAO, FUROS NA VERTICAL,, 9 X 19 X 39 CM (NBR 15270)</t>
  </si>
  <si>
    <t>BLOCO CERAMICO / TIJOLO VAZADO PARA ALVENARIA DE VEDACAO, 4 FUROS NA HORIZONTAL, DE 9 X 9 X 19 CM (L X A X C)</t>
  </si>
  <si>
    <t>BLOCO CERAMICO / TIJOLO VAZADO PARA ALVENARIA DE VEDACAO, 6 FUROS NA HORIZONTAL, 9 X 14 X 19 CM (L X A X C)</t>
  </si>
  <si>
    <t>BLOCO CERAMICO / TIJOLO VAZADO PARA ALVENARIA DE VEDACAO, 8 FUROS NA HORIZONTAL, DE 9 X 19 X 19 CM (L XA X C)</t>
  </si>
  <si>
    <t>BLOCO CERAMICO / TIJOLO VAZADO PARA ALVENARIA DE VEDACAO, 8 FUROS NA HORIZONTAL, 9 X 19 X 29 CM (L X A X C)</t>
  </si>
  <si>
    <t>BLOCO CONCRETO CELULAR AUTOCLAVADO 12,5 X 30 X 60 CM (E X A X C)</t>
  </si>
  <si>
    <t>124,81</t>
  </si>
  <si>
    <t>BLOCO CONCRETO CELULAR AUTOCLAVADO 7,5 X 30 X 60 CM (E X A X C)</t>
  </si>
  <si>
    <t>73,77</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</si>
  <si>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</si>
  <si>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</si>
  <si>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</si>
  <si>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</si>
  <si>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</si>
  <si>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</si>
  <si>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</si>
  <si>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</si>
  <si>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</si>
  <si>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</si>
  <si>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</si>
  <si>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</si>
  <si>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</si>
  <si>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</si>
  <si>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</si>
  <si>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</si>
  <si>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</si>
  <si>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</si>
  <si>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</si>
  <si>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</si>
  <si>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</si>
  <si>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2,96</t>
  </si>
  <si>
    <t>BLOCO DE ENGATE RAPIDO PARA BASTIDOR TIPO M10</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</si>
  <si>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</si>
  <si>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</si>
  <si>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</si>
  <si>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</si>
  <si>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</si>
  <si>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</si>
  <si>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</si>
  <si>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</si>
  <si>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</si>
  <si>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</si>
  <si>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130,63</t>
  </si>
  <si>
    <t>BLOCO DE VEDACAO DE CONCRETO CELULAR AUTOCLAVADO 20 X 30 X 60 CM (E X A X C)</t>
  </si>
  <si>
    <t>BLOCO DE VEDACAO DE CONCRETO 14 X 19 X 39 CM (CLASSE C - NBR 6136)</t>
  </si>
  <si>
    <t>BLOCO DE VEDACAO DE CONCRETO 19 X 19 X 39 CM (CLASSE C - NBR 6136)</t>
  </si>
  <si>
    <t>BLOCO DE VIDRO / ELEMENTO VAZADO, INCOLOR, VENEZIANA, *20 X 20 X 6* CM (A X L X E)</t>
  </si>
  <si>
    <t>21,73</t>
  </si>
  <si>
    <t>BLOCO DE VIDRO / ELEMENTO VAZADO, INCOLOR, VENEZIANA, DE *20 X 10 X 8* CM (A X L X E)</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</si>
  <si>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</si>
  <si>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</si>
  <si>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</si>
  <si>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</si>
  <si>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</si>
  <si>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3,58</t>
  </si>
  <si>
    <t>63,14</t>
  </si>
  <si>
    <t>BLOQUETE/PISO DE CONCRETO - MODELO PISOGRAMA/CONCREGRAMA/PAVI-GRADE/GRAMEIRO, DIMENSOES APROXIMADAS DE 60 CM X 45 CM E ESPESSURA DE 8 CM (+/- 1 CM), COR NATURAL</t>
  </si>
  <si>
    <t>142,07</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</si>
  <si>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</si>
  <si>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</si>
  <si>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</si>
  <si>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88,79</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</si>
  <si>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</si>
  <si>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</si>
  <si>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59,62</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</si>
  <si>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</si>
  <si>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</si>
  <si>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</si>
  <si>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</si>
  <si>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</si>
  <si>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BOCAL PVC, PARA CALHA PLUVIAL, DIAMETRO DA SAIDA ENTRE *75 E 120* MM, PARA DRENAGEM PLUVIAL PREDIAL</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</si>
  <si>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</si>
  <si>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</si>
  <si>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</si>
  <si>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</si>
  <si>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</si>
  <si>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</si>
  <si>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</si>
  <si>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</si>
  <si>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</si>
  <si>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</si>
  <si>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</si>
  <si>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</si>
  <si>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</si>
  <si>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</si>
  <si>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</si>
  <si>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</si>
  <si>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</si>
  <si>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</si>
  <si>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</si>
  <si>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</si>
  <si>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</si>
  <si>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</si>
  <si>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</si>
  <si>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</si>
  <si>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</si>
  <si>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</si>
  <si>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</si>
  <si>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</si>
  <si>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</si>
  <si>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</si>
  <si>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</si>
  <si>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</si>
  <si>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</si>
  <si>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</si>
  <si>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 "</t>
  </si>
  <si>
    <t>BRACO OU HASTE COM CANOPLA PLASTICA, 1/2 ", PARA CHUVEIRO SIMPLES</t>
  </si>
  <si>
    <t>BRACO OU HASTE RETA COM CANOPLA PLASTICA, 1/2 ", PARA CHUVEIRO ELETRICO</t>
  </si>
  <si>
    <t>BRACO P/ LUMINARIA PUBLICA 1 X 1,50M ROMAGNOLE OU EQUIV</t>
  </si>
  <si>
    <t>BUCHA DE NYLON SEM ABA S10</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</si>
  <si>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</si>
  <si>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</si>
  <si>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</si>
  <si>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</si>
  <si>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</si>
  <si>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</si>
  <si>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</si>
  <si>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</si>
  <si>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CPVC, SOLDAVEL, 54 X 28 MM, PARA AGUA QUENTE</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</si>
  <si>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</si>
  <si>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</si>
  <si>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</si>
  <si>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</si>
  <si>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</si>
  <si>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</si>
  <si>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</si>
  <si>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</si>
  <si>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</si>
  <si>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</si>
  <si>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</si>
  <si>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</si>
  <si>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</si>
  <si>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</si>
  <si>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</si>
  <si>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</si>
  <si>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</si>
  <si>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</si>
  <si>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49,89</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</si>
  <si>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</si>
  <si>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</si>
  <si>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</si>
  <si>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</si>
  <si>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31,01</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</si>
  <si>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</si>
  <si>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</si>
  <si>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</si>
  <si>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</si>
  <si>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</si>
  <si>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</si>
  <si>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</si>
  <si>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</si>
  <si>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</si>
  <si>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</si>
  <si>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</si>
  <si>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</si>
  <si>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</si>
  <si>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</si>
  <si>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</si>
  <si>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</si>
  <si>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</si>
  <si>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</si>
  <si>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LONGA, COM 32 X 20 MM, PARA AGUA FRIA PREDIAL</t>
  </si>
  <si>
    <t>BUCHA DE REDUCAO DE PVC, SOLDAVEL, LONGA, COM 40 X 25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</si>
  <si>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</si>
  <si>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</si>
  <si>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</si>
  <si>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</si>
  <si>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50 MM, PARA AGUA FRIA PREDIAL</t>
  </si>
  <si>
    <t>BUCHA DE REDUCAO DE PVC, SOLDAVEL, LONGA, COM 75 X 50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</si>
  <si>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</si>
  <si>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</si>
  <si>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</si>
  <si>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</si>
  <si>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</si>
  <si>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</si>
  <si>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</si>
  <si>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</si>
  <si>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</si>
  <si>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4,36</t>
  </si>
  <si>
    <t>BUCHA DE REDUCAO EM ALUMINIO, COM ROSCA, DE 2 1/2" X 1 1/2", PARA ELETRODUTO</t>
  </si>
  <si>
    <t>BUCHA DE REDUCAO EM ALUMINIO, COM ROSCA, DE 2 1/2" X 1 1/4", PARA ELETRODUTO</t>
  </si>
  <si>
    <t>51,04</t>
  </si>
  <si>
    <t>BUCHA DE REDUCAO EM ALUMINIO, COM ROSCA, DE 2 1/2" X 1", PARA ELETRODUTO</t>
  </si>
  <si>
    <t>BUCHA DE REDUCAO EM ALUMINIO, COM ROSCA, DE 2 1/2" X 2", PARA ELETRODUTO</t>
  </si>
  <si>
    <t>47,02</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</si>
  <si>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</si>
  <si>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</si>
  <si>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</si>
  <si>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</si>
  <si>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</si>
  <si>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</si>
  <si>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</si>
  <si>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</si>
  <si>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</si>
  <si>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</si>
  <si>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</si>
  <si>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</si>
  <si>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3/4" X 1/2"</t>
  </si>
  <si>
    <t>BUCHA DE REDUCAO PVC, ROSCAVEL 1 1/2" X 1"</t>
  </si>
  <si>
    <t>BUCHA DE REDUCAO PVC, ROSCAVEL, 1 1/2" X 3/4"</t>
  </si>
  <si>
    <t>BUCHA DE REDUCAO PVC, ROSCAVEL, 1" X 1/2"</t>
  </si>
  <si>
    <t>BUCHA DE REDUCAO PVC, ROSCAVEL, 1" X 3/4"</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</si>
  <si>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</si>
  <si>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</si>
  <si>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</si>
  <si>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</si>
  <si>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CPVC, SOLDAVEL, 54 X 35 MM, PARA AGUA QUENTE</t>
  </si>
  <si>
    <t>BUCHA DE REDUCAO, PPR, DN 25 X 20 MM, PARA AGUA QUENTE PREDIAL</t>
  </si>
  <si>
    <t>BUCHA DE REDUCAO, PPR, DN 32 X 25 MM, PARA AGUA QUENTE E FRIA PREDIAL</t>
  </si>
  <si>
    <t>BUCHA DE REDUCAO, PPR, DN 40 X 25 MM, PARA AGUA QUENTE E FRIA PREDIAL</t>
  </si>
  <si>
    <t>BUCHA DE REDUCAO, PPR, DN 50 X 25 MM, PARA AGUA QUENTE E FRIA PREDIAL</t>
  </si>
  <si>
    <t>BUCHA DE REDUCAO, PPR, DN 50 X 32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</si>
  <si>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</si>
  <si>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</si>
  <si>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</si>
  <si>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</si>
  <si>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</si>
  <si>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</si>
  <si>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</si>
  <si>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</si>
  <si>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</si>
  <si>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</si>
  <si>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</si>
  <si>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PLUVIAL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</si>
  <si>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</si>
  <si>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</si>
  <si>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</si>
  <si>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</si>
  <si>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</si>
  <si>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</si>
  <si>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</si>
  <si>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</si>
  <si>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</si>
  <si>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</si>
  <si>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</si>
  <si>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COAXIAL RG11 95% DE MALHA</t>
  </si>
  <si>
    <t>CABO COAXIAL RG59 95% DE MALHA</t>
  </si>
  <si>
    <t>CABO COAXIAL RG6 95% DE MALHA</t>
  </si>
  <si>
    <t>CABO DE ACO GALVANIZADO, DIAMETRO 12,7 MM (1/2"), COM ALMA DE ACO CABO INDEPENDENTE 6 X 25 F</t>
  </si>
  <si>
    <t>CABO DE ACO GALVANIZADO, DIAMETRO 12,7 MM (1/2"),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</si>
  <si>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</si>
  <si>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</si>
  <si>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</si>
  <si>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</si>
  <si>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</si>
  <si>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</si>
  <si>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</si>
  <si>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</si>
  <si>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FLEXIVEL NAO HALOGENADO, SEM EMISSAO DE FUMACA, 750V, SECAO NOMINAL 120 MM</t>
  </si>
  <si>
    <t>CABO DE COBRE FLEXIVEL NAO HALOGENADO, SEM EMISSAO DE FUMACA, 750V, SECAO NOMINAL 2,5 MM</t>
  </si>
  <si>
    <t>CABO DE COBRE FLEXIVEL NAO HALOGENADO, SEM EMISSAO DE FUMACA, 750V, SECAO NOMINAL 240 MM</t>
  </si>
  <si>
    <t>CABO DE COBRE FLEXIVEL NAO HALOGENADO, SEM EMISSAO DE FUMACA, 750V, SECAO NOMINAL 50 MM</t>
  </si>
  <si>
    <t>CABO DE COBRE FLEXIVEL NAO HALOGENADO, SEM EMISSAO DE FUMACA, 750V, SECAO NOMINAL 6,0 MM</t>
  </si>
  <si>
    <t>CABO DE COBRE NU 10 MM2 MEIO-DURO</t>
  </si>
  <si>
    <t>CABO DE COBRE NU 120 MM2 MEIO-DURO</t>
  </si>
  <si>
    <t>CABO DE COBRE NU 150 MM2 MEIO-DURO</t>
  </si>
  <si>
    <t>CABO DE COBRE NU 16 MM2 MEIO-DURO</t>
  </si>
  <si>
    <t>CABO DE COBRE NU 185 MM2 MEIO-DURO</t>
  </si>
  <si>
    <t>CABO DE COBRE NU 25 MM2 MEIO-DURO</t>
  </si>
  <si>
    <t>CABO DE COBRE NU 35 MM2 MEIO-DURO</t>
  </si>
  <si>
    <t>CABO DE COBRE NU 50 MM2 MEIO-DURO</t>
  </si>
  <si>
    <t>CABO DE COBRE NU 70 MM2 MEIO-DURO</t>
  </si>
  <si>
    <t>CABO DE COBRE NU 95 MM2 MEIO-DURO</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</si>
  <si>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</si>
  <si>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</si>
  <si>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</si>
  <si>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</si>
  <si>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</si>
  <si>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</si>
  <si>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</si>
  <si>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</si>
  <si>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</si>
  <si>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</si>
  <si>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</si>
  <si>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</si>
  <si>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</si>
  <si>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</si>
  <si>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</si>
  <si>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</si>
  <si>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</si>
  <si>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</si>
  <si>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</si>
  <si>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</si>
  <si>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</si>
  <si>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</si>
  <si>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</si>
  <si>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</si>
  <si>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</si>
  <si>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</si>
  <si>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</si>
  <si>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</si>
  <si>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</si>
  <si>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</si>
  <si>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</si>
  <si>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</si>
  <si>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</si>
  <si>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</si>
  <si>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</si>
  <si>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</si>
  <si>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</si>
  <si>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</si>
  <si>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</si>
  <si>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</si>
  <si>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</si>
  <si>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</si>
  <si>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50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</si>
  <si>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</si>
  <si>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</si>
  <si>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</si>
  <si>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 ANTI-CHAMA BWF-B, 1 CONDUTOR, 450/750 V, DIAMETRO 120 MM2</t>
  </si>
  <si>
    <t>CABO DE REDE, PAR TRANCADO U/UTP, 4 PARES, CATEGORIA 5E (CAT 5E), ISOLAMENTO PVC (CM)</t>
  </si>
  <si>
    <t>CABO DE REDE, PAR TRANCADO U/UTP, 4 PARES, CATEGORIA 5E (CAT 5E), ISOLAMENTO PVC (CMX)</t>
  </si>
  <si>
    <t>CABO DE REDE, PAR TRANCADO U/UTP, 4 PARES, CATEGORIA 5E (CAT 5E), ISOLAMENTO PVC (LSZH)</t>
  </si>
  <si>
    <t>CABO DE REDE, PAR TRANCADO U/UTP, 4 PARES, CATEGORIA 6 (CAT 6), ISOLAMENTO PVC (CM)</t>
  </si>
  <si>
    <t>3,78</t>
  </si>
  <si>
    <t>CABO DE REDE, PAR TRANCADO UTP, 4 PARES, CATEGORIA 6 (CAT 6), ISOLAMENTO PVC (LSZH)</t>
  </si>
  <si>
    <t>CABO ELETRONICO CATEGORIA 6A U/UTP 23AWG X 4P</t>
  </si>
  <si>
    <t>CABO FLEXIVEL PVC 750 V, 2 CONDUTORES DE 1,5 MM2</t>
  </si>
  <si>
    <t>CABO FLEXIVEL PVC 750 V, 2 CONDUTORES DE 4,0 MM2</t>
  </si>
  <si>
    <t>CABO FLEXIVEL PVC 750 V, 2 CONDUTORES DE 6,0 MM2</t>
  </si>
  <si>
    <t>CABO FLEXIVEL PVC 750 V, 3 CONDUTORES DE 1,5 MM2</t>
  </si>
  <si>
    <t>CABO FLEXIVEL PVC 750 V, 3 CONDUTORES DE 4,0 MM2</t>
  </si>
  <si>
    <t>CABO FLEXIVEL PVC 750 V, 3 CONDUTORES DE 6,0 MM2</t>
  </si>
  <si>
    <t>CABO FLEXIVEL PVC 750 V, 4 CONDUTORES DE 1,5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</si>
  <si>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</si>
  <si>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</si>
  <si>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</si>
  <si>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</si>
  <si>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</si>
  <si>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</si>
  <si>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</si>
  <si>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</si>
  <si>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</si>
  <si>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</si>
  <si>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</si>
  <si>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</si>
  <si>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</si>
  <si>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</si>
  <si>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</si>
  <si>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</si>
  <si>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</si>
  <si>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</si>
  <si>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</si>
  <si>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</si>
  <si>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</si>
  <si>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</si>
  <si>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92,34</t>
  </si>
  <si>
    <t>CABO TELEFONICO CI 50, 30 PARES, USO INTERNO</t>
  </si>
  <si>
    <t>CABO TELEFONICO CI 50, 50 PARES, USO INTERNO</t>
  </si>
  <si>
    <t>CABO TELEFONICO CI 50, 75 PARES, USO INTERNO</t>
  </si>
  <si>
    <t>CABO TELEFONICO CTP - APL - 50, 10 PARES, USO EXTERNO</t>
  </si>
  <si>
    <t>CABO TELEFONICO CTP - APL - 50, 100 PARES, USO EXTERNO</t>
  </si>
  <si>
    <t>57,08</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</si>
  <si>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</si>
  <si>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</si>
  <si>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</si>
  <si>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</si>
  <si>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</si>
  <si>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</si>
  <si>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</si>
  <si>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</si>
  <si>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</si>
  <si>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</si>
  <si>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ROLICO DE MADEIRA TRATADA, D = 4 A 7 CM, H = 3,00 M, EM EUCALIPTO OU EQUIVALENTE DA REGIAO</t>
  </si>
  <si>
    <t>CAIBRO 5 X 5 CM EM PINUS, MISTA OU EQUIVALENTE DA REGIAO - BRUTA</t>
  </si>
  <si>
    <t>CAIXA D'AGUA / RESERVATORIO EM POLIESTER REFORCADO COM FIBRA DE VIDRO, 10000 LITROS, COM TAMPA</t>
  </si>
  <si>
    <t>CAIXA D'AGUA / RESERVATORIO EM POLIESTER REFORCADO COM FIBRA DE VIDRO, 1500 LITROS, COM TAMPA</t>
  </si>
  <si>
    <t>CAIXA D'AGUA / RESERVATORIO EM POLIESTER REFORCADO COM FIBRA DE VIDRO, 15000 LITROS, COM TAMPA</t>
  </si>
  <si>
    <t>CAIXA D'AGUA / RESERVATORIO EM POLIESTER REFORCADO COM FIBRA DE VIDRO, 2000 LITROS, COM TAMPA</t>
  </si>
  <si>
    <t>CAIXA D'AGUA / RESERVATORIO EM POLIESTER REFORCADO COM FIBRA DE VIDRO, 20000 LITROS, COM TAMPA</t>
  </si>
  <si>
    <t>CAIXA D'AGUA / RESERVATORIO EM POLIESTER REFORCADO COM FIBRA DE VIDRO, 3000 LITROS, COM TAMPA</t>
  </si>
  <si>
    <t>CAIXA D'AGUA / RESERVATORIO EM POLIESTER REFORCADO COM FIBRA DE VIDRO, 500 LITROS, COM TAMPA</t>
  </si>
  <si>
    <t>CAIXA D'AGUA / RESERVATORIO EM POLIESTER REFORCADO COM FIBRA DE VIDRO, 5000 LITROS, COM TAMPA</t>
  </si>
  <si>
    <t>CAIXA D'AGUA / RESERVATORIO EM POLIESTER REFORCADO COM FIBRA DE VIDRO, 7000 LITROS, COM TAMPA</t>
  </si>
  <si>
    <t>CAIXA D'AGUA / RESERVATORIO EM POLIESTER REFORCADO COM FIBRA DE VIDRO, 750 LITROS, COM TAMPA</t>
  </si>
  <si>
    <t>CAIXA D'AGUA / RESERVATORIO EM POLIESTER REFORCADO COM FIBRA DE VIDRO,1000 LITROS, COM TAMPA</t>
  </si>
  <si>
    <t>CAIXA D'AGUA / RESERVATORIO EM POLIETILENO, 1000 LITROS, COM TAMPA</t>
  </si>
  <si>
    <t>CAIXA D'AGUA / RESERVATORIO EM POLIETILENO, 1500 LITROS, COM TAMPA</t>
  </si>
  <si>
    <t>CAIXA D'AGUA / RESERVATORIO EM POLIETILENO, 2000 LITROS, COM TAMPA</t>
  </si>
  <si>
    <t>CAIXA D'AGUA / RESERVATORIO EM POLIETILENO, 3000 LITROS, COM TAMPA</t>
  </si>
  <si>
    <t>CAIXA D'AGUA / RESERVATORIO EM POLIETILENO, 500 LITROS, COM TAMPA</t>
  </si>
  <si>
    <t>CAIXA D'AGUA / RESERVATORIO EM POLIETILENO, 750 LITROS, COM TAMPA</t>
  </si>
  <si>
    <t>CAIXA DE ATERRAMENTO EM CONCRETO PRE-MOLDADO, DIAMETRO DE 0,30 M E ALTURA DE 0,35 M, SEM FUNDO E COM TAMPA</t>
  </si>
  <si>
    <t>CAIXA DE CONCRETO ARMADO PRE-MOLDADO, COM FUNDO E SEM TAMPA, DIMENSOES DE 0,30 X 0,30 X 0,30 M</t>
  </si>
  <si>
    <t>116,09</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</si>
  <si>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</si>
  <si>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</si>
  <si>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</si>
  <si>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</si>
  <si>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</si>
  <si>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</si>
  <si>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</si>
  <si>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</si>
  <si>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92,60</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</si>
  <si>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</si>
  <si>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</si>
  <si>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</si>
  <si>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</si>
  <si>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</si>
  <si>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</si>
  <si>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GORDURA CILINDRICA EM CONCRETO SIMPLES,  PRE-MOLDADA, COM DIAMETRO DE 40 CM E ALTURA DE 45 CM, COM TAMPA</t>
  </si>
  <si>
    <t>CAIXA DE GORDURA EM PVC, DIAMETRO MINIMO 300 MM, DIAMETRO DE SAIDA 100 MM, CAPACIDADE  APROXIMADA 18 LITROS, COM TAMPA E CESTO</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</si>
  <si>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</si>
  <si>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</si>
  <si>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</si>
  <si>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290,00</t>
  </si>
  <si>
    <t>CAIXA DE INCENDIO/ABRIGO PARA MANGUEIRA, DE SOBREPOR/EXTERNA, COM 90 X 60 X 17 CM, EM CHAPA DE ACO, PORTA COM VENTILACAO, VISOR COM A INSCRICAO "INCENDIO", SUPORTE/CESTA INTERNA PARA A MANGUEIRA, PINTURA ELETROSTATICA VERMELHA</t>
  </si>
  <si>
    <t>CAIXA DE INSPECAO PARA ATERRAMENTO E PARA RAIOS, EM POLIPROPILENO,  DIAMETRO = 300 MM X ALTURA = 400 MM</t>
  </si>
  <si>
    <t>CAIXA DE INSPECAO PARA ATERRAMENTO OU OUTRO USO, EM PVC, DN = 250 X 250 MM</t>
  </si>
  <si>
    <t>CAIXA DE INSPECAO PARA ATERRAMENTO OU OUTRO USO, EM PVC, DN = 300 X *300* MM</t>
  </si>
  <si>
    <t>CAIXA DE INSPECAO PARA ATERRAMENTO OU OUTRO USO, EM PVC, DN = 300 X 250 MM</t>
  </si>
  <si>
    <t>CAIXA DE INSPECAO PARA ATERRAMENTO OU OUTRO USO, EM PVC, DN = 300 X 600 MM</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</si>
  <si>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</si>
  <si>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</si>
  <si>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</si>
  <si>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</si>
  <si>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</si>
  <si>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67,88</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</si>
  <si>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</si>
  <si>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</si>
  <si>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</si>
  <si>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</si>
  <si>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</si>
  <si>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125,31</t>
  </si>
  <si>
    <t>CAIXA DE PASSAGEM ELETRICA DE PAREDE, DE SOBREPOR, EM TERMOPLASTICO / PVC, COM TAMPA APARAFUSADA, DIMENSOES, 150 X 150 X *100* MM</t>
  </si>
  <si>
    <t>74,24</t>
  </si>
  <si>
    <t>CAIXA DE PASSAGEM ELETRICA, PARA PISO, EM PVC, DIMENSOES DE 3/4" A 4"</t>
  </si>
  <si>
    <t>CAIXA DE PASSAGEM METALICA DE SOBREPOR COM TAMPA PARAFUSADA, DIMENSOES 20 X 20 X 10 CM</t>
  </si>
  <si>
    <t>65,29</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</si>
  <si>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</si>
  <si>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</si>
  <si>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</si>
  <si>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209,50</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</si>
  <si>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</si>
  <si>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</si>
  <si>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</si>
  <si>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</si>
  <si>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76,49</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</si>
  <si>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</si>
  <si>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</si>
  <si>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</si>
  <si>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</si>
  <si>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</si>
  <si>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</si>
  <si>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</si>
  <si>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</si>
  <si>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</si>
  <si>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2,90</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</si>
  <si>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</si>
  <si>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</si>
  <si>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</si>
  <si>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</si>
  <si>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</si>
  <si>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</si>
  <si>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</si>
  <si>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</si>
  <si>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</si>
  <si>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</si>
  <si>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</si>
  <si>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</si>
  <si>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</si>
  <si>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</si>
  <si>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</si>
  <si>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</si>
  <si>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</si>
  <si>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</si>
  <si>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</si>
  <si>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65,90</t>
  </si>
  <si>
    <t>CAIXA SIFONADA, PVC, 150 X 150 X 50 MM, COM GRELHA REDONDA, BRANCA</t>
  </si>
  <si>
    <t>CAL HIDRATADA CH-I PARA ARGAMASSAS</t>
  </si>
  <si>
    <t>CAL HIDRATADA PARA PINTURA</t>
  </si>
  <si>
    <t>CAL VIRGEM COMUM PARA ARGAMASSAS (NBR 6453)</t>
  </si>
  <si>
    <t>CALCARIO DOLOMITICO A (POSTO PEDREIRA/FORNECEDOR,  SEM FRETE)</t>
  </si>
  <si>
    <t>CALCETEIRO  (MENSALISTA)</t>
  </si>
  <si>
    <t>CALCETEIRO (HORISTA)</t>
  </si>
  <si>
    <t>CALHA / PERFIL PLUVIAL DE PVC, DIAMETRO ENTRE *119 E 170* MM, COMPRIMENTO DE 3 M, PARA DRENAGEM PLUVIAL PREDIAL</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</si>
  <si>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</si>
  <si>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</si>
  <si>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</si>
  <si>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</si>
  <si>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QUADRADA DE CHAPA DE ACO GALVANIZADA NUM 24, CORTE 33 CM</t>
  </si>
  <si>
    <t>38,44</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</si>
  <si>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</si>
  <si>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</si>
  <si>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</si>
  <si>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</si>
  <si>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</si>
  <si>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</si>
  <si>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</si>
  <si>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52,33</t>
  </si>
  <si>
    <t>CALHA/CANALETA DE CONCRETO SIMPLES, TIPO MEIA CANA, DIAMETRO DE 60 CM, PARA AGUA PLUVIAL</t>
  </si>
  <si>
    <t>CALHA/CANALETA DE CONCRETO SIMPLES, TIPO MEIA CANA, DIAMETRO DE 80 CM, PARA AGUA PLUVIAL</t>
  </si>
  <si>
    <t>CAMINHAO TOCO, PESO BRUTO TOTAL 10700 KG, CARGA UTIL MAXIMA 7400 KG, DISTANCIA ENTRE EIXOS 4,00 M, POTENCIA 175 CV (INCLUI CABINE E CHASSI, NAO INCLUI CARROCERIA)</t>
  </si>
  <si>
    <t>CAMINHAO TOCO, PESO BRUTO TOTAL 13200 KG, CARGA UTIL MAXIMA 9200 KG, DISTANCIA ENTRE EIXOS 3,31 M, POTENCIA 175 CV (INCLUI CABINE E CHASSI, NAO INCLUI CARROCERIA)</t>
  </si>
  <si>
    <t>CAMINHAO TOCO, PESO BRUTO TOTAL 14300 KG, CARGA UTIL MAXIMA 9480 KG, DISTANCIA ENTRE EIXOS 4,80 M, POTENCIA 185 CV (INCLUI CABINE E CHASSI, NAO INCLUI CARROCERIA)</t>
  </si>
  <si>
    <t>CAMINHAO TOCO, PESO BRUTO TOTAL 16000 KG, CARGA UTIL MAXIMA 10600 KG, DISTANCIA ENTRE EIXOS 4,80 M, POTENCIA 277 CV (INCLUI CABINE E CHASSI, NAO INCLUI CARROCERIA)</t>
  </si>
  <si>
    <t>CAMINHAO TOCO, PESO BRUTO TOTAL 16000 KG, CARGA UTIL MAXIMA 10830 KG, DISTANCIA ENTRE EIXOS 3,56 M, POTENCIA 226 CV (INCLUI CABINE E CHASSI, NAO INCLUI CARROCERIA)</t>
  </si>
  <si>
    <t>CAMINHAO TOCO, PESO BRUTO TOTAL 16000 KG, CARGA UTIL MAXIMA 11030 KG, DISTANCIA ENTRE EIXOS 5,41 M, POTENCIA 185 CV (INCLUI CABINE E CHASSI, NAO INCLUI CARROCERIA)</t>
  </si>
  <si>
    <t>CAMINHAO TOCO, PESO BRUTO TOTAL 8500 KG, CARGA UTIL MAXIMA 5600 KG, DISTANCIA ENTRE EIXOS 3,40 M, POTENCIA 167 CV (INCLUI CABINE E CHASSI, NAO INCLUI CARROCERIA)</t>
  </si>
  <si>
    <t>CAMINHAO TOCO, PESO BRUTO TOTAL 9600 KG, CARGA UTIL MAXIMA 6190 KG, DISTANCIA ENTRE EIXOS 3,70 M, POTENCIA 156 CV (INCLUI CABINE E CHASSI, NAO INCLUI CARROCERIA)</t>
  </si>
  <si>
    <t>CAMINHAO TRUCADO, PESO BRUTO TOTAL 23000 KG, CARGA UTIL MAXIMA 15285 KG, DISTANCIA ENTRE EIXOS 4,80 M, POTENCIA 326 CV (INCLUI CABINE E CHASSI, NAO INCLUI CARROCERIA)</t>
  </si>
  <si>
    <t>CAMINHAO TRUCADO, PESO BRUTO TOTAL 23000 KG, CARGA UTIL MAXIMA 15460 KG, DISTANCIA ENTRE EIXOS 4,80 M, POTENCIA 286 CV (INCLUI CABINE E CHASSI, NAO INCLUI CARROCERIA)</t>
  </si>
  <si>
    <t>CAMINHAO TRUCADO, PESO BRUTO TOTAL 23000 KG, CARGA UTIL MAXIMA 16360 KG, CABINE ESTENDIDA, DISTANCIA ENTRE EIXOS 3,56 M, POTENCIA 277 CV (INCLUI CABINE E CHASSI, NAO INCLUI CARROCERIA)</t>
  </si>
  <si>
    <t>CAMINHAO TRUCADO, PESO BRUTO TOTAL 23000 KG, CARGA UTIL MAXIMA 16540 KG, DISTANCIA ENTRE EIXOS 4,80 M, POTENCIA 256 CV (INCLUI CABINE E CHASSI, NAO INCLUI CARROCERIA)</t>
  </si>
  <si>
    <t>CAMINHONETE COM MOTOR A DIESEL, POTENCIA *160* CV, CABINE DUPLA, 4X4</t>
  </si>
  <si>
    <t>CAMPAINHA ALTA POTENCIA 110V / 220V, DIAMETRO 150 MM</t>
  </si>
  <si>
    <t>160,73</t>
  </si>
  <si>
    <t>CAMPAINHA CIGARRA 127 V / 220 V (APENAS MODULO)</t>
  </si>
  <si>
    <t>CAMPAINHA CIGARRA 127 V / 220 V, CONJUNTO MONTADO PARA EMBUTIR 4" X 2" (PLACA + SUPORTE + MODULO)</t>
  </si>
  <si>
    <t>25,80</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</si>
  <si>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</si>
  <si>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</si>
  <si>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</si>
  <si>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</si>
  <si>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</si>
  <si>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</si>
  <si>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</si>
  <si>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</si>
  <si>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</si>
  <si>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</si>
  <si>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</si>
  <si>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(ABAS IGUAIS) EM ACO CARBONO, 25,4 MM X 3,17 MM (L X E), 1,27KG/M</t>
  </si>
  <si>
    <t>CANTONEIRA (ABAS IGUAIS) EM ACO CARBONO, 38,1 MM X 3,17 MM (L X E), 3,48 KG/M</t>
  </si>
  <si>
    <t>36,51</t>
  </si>
  <si>
    <t>CANTONEIRA (ABAS IGUAIS) EM ACO CARBONO, 50,8 MM X 9,53 MM (L X E), 6,99 KG/M</t>
  </si>
  <si>
    <t>76,93</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</si>
  <si>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</si>
  <si>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</si>
  <si>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</si>
  <si>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</si>
  <si>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</si>
  <si>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</si>
  <si>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</si>
  <si>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30,94</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</si>
  <si>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</si>
  <si>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</si>
  <si>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</si>
  <si>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</si>
  <si>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</si>
  <si>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</si>
  <si>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1/2", PARA AGUA FRIA PREDIAL</t>
  </si>
  <si>
    <t>CAP PVC, ROSCAVEL, 1",  PARA AGUA FRIA PREDIAL</t>
  </si>
  <si>
    <t>CAP PVC, ROSCAVEL, 3/4",  PARA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</si>
  <si>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</si>
  <si>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</si>
  <si>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</si>
  <si>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</si>
  <si>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</si>
  <si>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</si>
  <si>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</si>
  <si>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</si>
  <si>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</si>
  <si>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</si>
  <si>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</si>
  <si>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</si>
  <si>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</si>
  <si>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PBA, JE, DN 100 / DE 110 MM,  PARA REDE DE AGUA (NBR 10351)</t>
  </si>
  <si>
    <t>CAP, PVC PBA, JE, DN 50 / DE 60 MM,  PARA REDE DE AGUA (NBR 10351)</t>
  </si>
  <si>
    <t>CAP, PVC PBA, JE, DN 75 / DE 85 MM,  PARA REDE DE AGUA (NBR 10351)</t>
  </si>
  <si>
    <t>19,63</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</si>
  <si>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</si>
  <si>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</si>
  <si>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</si>
  <si>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</si>
  <si>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</si>
  <si>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</si>
  <si>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</si>
  <si>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50,92</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</si>
  <si>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</si>
  <si>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</si>
  <si>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</si>
  <si>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</si>
  <si>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CARENAGEM /TAMPA, EM PLASTICO, COR BRANCA, UTILIZADO EM KIT CHASSI METALICO PARA INSTAL. HIDRAULICA DE CUBA SIMPLES SEM MAQUINA DE LAVAR ROUPA, *355* X *670* MM (L X H) (COM FUROS E DEMAIS ENCAIXES)</t>
  </si>
  <si>
    <t>33,65</t>
  </si>
  <si>
    <t>CARENAGEM /TAMPA, EM PLASTICO, COR BRANCA, UTILIZADO EM KIT CHASSI METALICO PARA INSTAL. HIDRAULICA DE TANQUE COM MAQUINA DE LAVAR ROUPA, *360* X *470* MM (L X H)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</si>
  <si>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</si>
  <si>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</si>
  <si>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</si>
  <si>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</si>
  <si>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</si>
  <si>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(HORISTA)</t>
  </si>
  <si>
    <t>CARPINTEIRO AUXILIAR (MENSALISTA)</t>
  </si>
  <si>
    <t>CARPINTEIRO DE ESQUADRIAS (HORISTA)</t>
  </si>
  <si>
    <t>CARPINTEIRO DE ESQUADRIAS (MENSALISTA)</t>
  </si>
  <si>
    <t>CARPINTEIRO DE FORMAS (HORISTA)</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</si>
  <si>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</si>
  <si>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</si>
  <si>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</si>
  <si>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</si>
  <si>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</si>
  <si>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</si>
  <si>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</si>
  <si>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</si>
  <si>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</si>
  <si>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</si>
  <si>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 (DISTRIBUIDOR)</t>
  </si>
  <si>
    <t>CARVAO ANTRACITO PARA FILTRO, GRAO VARIANDO DE 0,8 ATE 1,1 MM, COEFICIENTE DE UNIFORMIDADE MENOR QUE 1,7 MM (POSTO JAZIDA/PRODUTOR)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</si>
  <si>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</si>
  <si>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</si>
  <si>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</si>
  <si>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</si>
  <si>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</si>
  <si>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</si>
  <si>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</si>
  <si>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</si>
  <si>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</si>
  <si>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</si>
  <si>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</si>
  <si>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</si>
  <si>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</si>
  <si>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</si>
  <si>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</si>
  <si>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 INCOLOR MULTIPISO</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</si>
  <si>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</si>
  <si>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</si>
  <si>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</si>
  <si>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</si>
  <si>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</si>
  <si>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</si>
  <si>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</si>
  <si>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</si>
  <si>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</si>
  <si>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</si>
  <si>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</si>
  <si>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</si>
  <si>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</si>
  <si>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18, E = 1,25 MM (10,00 KG/M2)</t>
  </si>
  <si>
    <t>CHAPA DE ACO GALVANIZADA BITOLA GSG 19, E = 1,11 MM (8,88 KG/M2)</t>
  </si>
  <si>
    <t>13,34</t>
  </si>
  <si>
    <t>CHAPA DE ACO GALVANIZADA BITOLA GSG 20, E = 0,95 MM (7,60 KG/M2)</t>
  </si>
  <si>
    <t>CHAPA DE ACO GALVANIZADA BITOLA GSG 22, E = 0,80 MM (6,40 KG/M2)</t>
  </si>
  <si>
    <t>12,75</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</si>
  <si>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</si>
  <si>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</si>
  <si>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</si>
  <si>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</si>
  <si>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</si>
  <si>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</si>
  <si>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</si>
  <si>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</si>
  <si>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</si>
  <si>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</si>
  <si>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</si>
  <si>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MDF BRANCO LISO 1 FACE, E = 12 MM, DE *2,75 X 1,85* M</t>
  </si>
  <si>
    <t>CHAPA DE MDF BRANCO LISO 1 FACE, E = 15 MM, DE *2,75 X 1,85* M</t>
  </si>
  <si>
    <t>CHAPA DE MDF BRANCO LISO 1 FACE, E = 18 MM, DE *2,75 X 1,85* M</t>
  </si>
  <si>
    <t>61,60</t>
  </si>
  <si>
    <t>CHAPA DE MDF BRANCO LISO 1 FACE, E = 25 MM, DE *2,75 X 1,85* M</t>
  </si>
  <si>
    <t>CHAPA DE MDF BRANCO LISO 1 FACE, E = 9 MM, DE *2,75 X 1,85* M</t>
  </si>
  <si>
    <t>CHAPA DE MDF BRANCO LISO 2 FACES, E = 12 MM, DE *2,75 X 1,85* M</t>
  </si>
  <si>
    <t>CHAPA DE MDF BRANCO LISO 2 FACES, E = 25 MM, DE *2,75 X 1,85* M</t>
  </si>
  <si>
    <t>CHAPA DE MDF BRANCO LISO 2 FACES, E = 6 MM, DE *2,75 X 1,85* M</t>
  </si>
  <si>
    <t>CHAPA DE MDF BRANCO LISO 2 FACES, E = 9 MM, DE *2,75 X 1,85* M</t>
  </si>
  <si>
    <t>42,27</t>
  </si>
  <si>
    <t>CHAPA DE MDF CRU, E = 12 MM, DE *2,75 X 1,85* M</t>
  </si>
  <si>
    <t>CHAPA DE MDF CRU, E = 15 MM, DE *2,75 X 1,85* M</t>
  </si>
  <si>
    <t>CHAPA DE MDF CRU, E = 18 MM, DE *2,75 X 1,85* M</t>
  </si>
  <si>
    <t>45,40</t>
  </si>
  <si>
    <t>CHAPA DE MDF CRU, E = 20 MM, DE *2,75 X 1,85* M</t>
  </si>
  <si>
    <t>60,36</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</si>
  <si>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</si>
  <si>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</si>
  <si>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</si>
  <si>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</si>
  <si>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</si>
  <si>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160,40</t>
  </si>
  <si>
    <t>CHAPA EM ACO GALVANIZADO PARA STEEL DECK, COM NERVURAS TRAPEZOIDAIS, LARGURA UTIL DE 915 MM E ESPESSURA DE 1,25 MM</t>
  </si>
  <si>
    <t>CHAPA PARA EMENDA DE VIGA, EM ACO GROSSO, QUALIDADE ESTRUTURAL, BITOLA 3/16 ", E= 4,75 MM, 4 FUROS, LARGURA 45 MM, COMPRIMENTO 500 MM</t>
  </si>
  <si>
    <t>108,14</t>
  </si>
  <si>
    <t>CHAPA/BOBINA LISA EM ALUMINIO, LIGA 1.200 - H14, QUALQUER ESPESSURA, QUALQUER LARGURA</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</si>
  <si>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</si>
  <si>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</si>
  <si>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</si>
  <si>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62,03</t>
  </si>
  <si>
    <t>CHAPA/PAINEL DE MADEIRA COMPENSADA PLASTIFICADA (MADEIRITE PLASTIFICADO) PARA FORMA DE CONCRETO, DE 2200 X 1100 MM, E = 14 MM</t>
  </si>
  <si>
    <t>71,95</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</si>
  <si>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</si>
  <si>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</si>
  <si>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</si>
  <si>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</si>
  <si>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8 A 12 MM</t>
  </si>
  <si>
    <t>CHAPA/PAINEL DE MADEIRA COMPENSADA RESINADA (MADEIRITE RESINADO ROSA) PARA FORMA DE CONCRETO, DE 2200 X 1100 MM, E = 20 MM</t>
  </si>
  <si>
    <t>CHAPA/PAINEL DE MADEIRA COMPENSADA RESINADA (MADEIRITE RESINADO ROSA) PARA FORMA DE CONCRETO, DE 2200 X 1100 MM, E = 6 MM</t>
  </si>
  <si>
    <t>CHAVE DUPLA PARA CONEXOES TIPO STORZ, ENGATE RAPIDO 1 1/2" X 2 1/2", EM LATAO, PARA INSTALACAO PREDIAL COMBATE A INCENDIO</t>
  </si>
  <si>
    <t>CHUMBADOR DE ACO TIPO PARABOLT, * 5/8" X 200* MM,  COM PORCA E ARRUELA</t>
  </si>
  <si>
    <t>CHUMBADOR DE ACO, DIAMETRO 1/2", COMPRIMENTO 75 MM</t>
  </si>
  <si>
    <t>CHUMBADOR DE ACO, DIAMETRO 5/8", COMPRIMENTO 6", COM PORCA</t>
  </si>
  <si>
    <t>CHUMBADOR, DIAMETRO 1/4" COM PARAFUSO 1/4" X 40 MM</t>
  </si>
  <si>
    <t>77,90</t>
  </si>
  <si>
    <t>CHUVEIRO COMUM EM PLASTICO CROMADO, COM CANO, 4 TEMPERATURAS (110/220 V)</t>
  </si>
  <si>
    <t>251,98</t>
  </si>
  <si>
    <t>CIMENTO BRANCO NAO ESTRUTURAL (CPB - NAO ESTRUTURAL)</t>
  </si>
  <si>
    <t>CIMENTO IMPERMEABILIZANTE DE PEGA ULTRARRAPIDA PARA TAMPONAMENTOS</t>
  </si>
  <si>
    <t>CIMENTO PORTLAND COMPOSTO CP II-32</t>
  </si>
  <si>
    <t>CIMENTO PORTLAND DE ALTO FORNO (AF) CP III-40</t>
  </si>
  <si>
    <t>CIMENTO PORTLAND ESTRUTURAL BRANCO CPB - 32 ou CPB - 40</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</si>
  <si>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</si>
  <si>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</si>
  <si>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</si>
  <si>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</si>
  <si>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</si>
  <si>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</si>
  <si>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PARA TUBOS E MANTAS ELASTOMERICAS, A BASE DE SOLVENTE</t>
  </si>
  <si>
    <t>154,55</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</si>
  <si>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</si>
  <si>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</si>
  <si>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</si>
  <si>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</si>
  <si>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</si>
  <si>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</si>
  <si>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</si>
  <si>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</si>
  <si>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</si>
  <si>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60 MM X 1/2" OU 60 MM X 3/4", PARA LIGACAO PREDIAL DE AGUA</t>
  </si>
  <si>
    <t>COMPACTADOR DE SOLO A PERCUSSAO (SOQUETE), A GASOLINA 4 TEMPOS, PESO 55 A 65 KG, FORCA DE IMPACTO 1.000 A 1.500 KGF, FREQ. 600 A 700 GOLPES P/ MINUTO, VELOCIDADE TRABALHO DE 10 A 15 M/MIN, POT. DE 2,00 A 3,00 HP</t>
  </si>
  <si>
    <t>COMPACTADOR DE SOLO TIPO PLACA VIBRATORIA REVERSIVEL, A GASOLINA 4 TEMPOS, PESO 125 A 150 KG, FORCA CENTRIF. 2500 A 2800 KGF, LARG. TRABALHO 400 A 450 MM, FREQ. VIBRACAO 4300 A 4500 RPM, VELOC. TRABALHO 15 A 20 M/MIN, POT. 5,5 A 6,0 HP</t>
  </si>
  <si>
    <t>COMPACTADOR DE SOLO TIPO PLACA VIBRATORIA REVERSIVEL, A GASOLINA 4 TEMPOS, PESO 150 A 175 KG, FORCA CENTRIF. 2800 A 3100 KGF, LARG. TRABALHO DE 450 A 520 MM, FREQ. VIBRACAO 4000 A 4300 RPM, VELOC. TRABALHO DE 15 A 20 M/MIN, POT. DE 6,0 A 7,0 HP</t>
  </si>
  <si>
    <t>COMPACTADOR DE SOLO, TIPO PLACA VIBRATORIA NAO REVERSIVEL, A GASOLINA 4 TEMPOS, PESO 80 A 120 KG, FORCA CENTRIF. DE 1300 A 2000 KGF, LARG. TRABALHO DE 400 A 500 MM, FREQ. VIBRACAO DE 4800 A 6000 RPM, VELOCIDADE TRABALHO DE 20 A 30 M/MIN, POT. DE 5,0 A 6,0 HP</t>
  </si>
  <si>
    <t>COMPACTADOR DE SOLO, TIPO PLACA VIBRATORIA REVERSIVEL, A DIESEL, PESO 700 A 820 KG, FORCA CENTRIF. DE 6.200 A 10.000 KGF, LARG. TRABALHO DE 650 A 720 MM, FREQ. VIBRACAO DE 3.000 A 3.500 RPM, VELOCIDADE TRABALHO DE 25 A 30 M/MIN, POT. DE 13,0 A 15,0 HP</t>
  </si>
  <si>
    <t>COMPACTADOR DE SOLO, TIPO PLACA VIBRATORIA REVERSIVEL, A GASOLINA 4 TEMPOS, PESO 160 A 265 KG, FORCA CENTRIF. DE 2750 A 4000 KGF, LARG. TRABALHO DE 430 A 550 MM, FREQ. VIBRACAO DE 4000 A 5500 RPM, VELOCIDADE TRABALHO DE 20 A 25 M/MIN, POT. DE 7,5 A 9,0 HP</t>
  </si>
  <si>
    <t>COMPACTADOR DE SOLOS DE PERCURSAO (SOQUETE) COM MOTOR A GASOLINA 4 TEMPOS DE 4 HP (4 CV)</t>
  </si>
  <si>
    <t>COMPENSADO NAVAL - CHAPA/PAINEL EM MADEIRA COMPENSADA PRENSADA, DE 2200 X 1600 MM, E = 10 MM</t>
  </si>
  <si>
    <t>COMPENSADO NAVAL - CHAPA/PAINEL EM MADEIRA COMPENSADA PRENSADA, DE 2200 X 1600 MM, E = 12 MM</t>
  </si>
  <si>
    <t>77,00</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</si>
  <si>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</si>
  <si>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</si>
  <si>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</si>
  <si>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</si>
  <si>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</si>
  <si>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39,18</t>
  </si>
  <si>
    <t>COMPENSADO NAVAL - CHAPA/PAINEL EM MADEIRA COMPENSADA PRENSADA, DE 2200 X 1600 MM, E = 6 MM</t>
  </si>
  <si>
    <t>COMPRESSOR DE AR ESTACIONARIO, VAZAO 620 PCM, PRESSAO EFETIVA DE TRABALHO 109 PSI, MOTOR ELETRICO, POTENCIA 127 CV</t>
  </si>
  <si>
    <t>183.803,46</t>
  </si>
  <si>
    <t>COMPRESSOR DE AR REBOCAVEL VAZAO 400 PCM, PRESSAO EFETIVA DE TRABALHO 102 PSI, MOTOR DIESEL, POTENCIA 110 CV</t>
  </si>
  <si>
    <t>148.116,31</t>
  </si>
  <si>
    <t>COMPRESSOR DE AR REBOCAVEL VAZAO 748 PCM, PRESSAO EFETIVA DE TRABALHO 102 PSI, MOTOR DIESEL, POTENCIA 210 CV</t>
  </si>
  <si>
    <t>317.097,03</t>
  </si>
  <si>
    <t>COMPRESSOR DE AR REBOCAVEL VAZAO 860 PCM, PRESSAO EFETIVA DE TRABALHO 102 PSI, MOTOR DIESEL, POTENCIA 250 CV</t>
  </si>
  <si>
    <t>344.432,69</t>
  </si>
  <si>
    <t>COMPRESSOR DE AR REBOCAVEL, VAZAO 152 PCM, PRESSAO EFETIVA DE TRABALHO 102 PSI, MOTOR DIESEL, POTENCIA 31,5 KW</t>
  </si>
  <si>
    <t>80.192,77</t>
  </si>
  <si>
    <t>COMPRESSOR DE AR REBOCAVEL, VAZAO 189 PCM, PRESSAO EFETIVA DE TRABALHO 102 PSI, MOTOR DIESEL, POTENCIA 63 CV</t>
  </si>
  <si>
    <t>93.263,23</t>
  </si>
  <si>
    <t>COMPRESSOR DE AR REBOCAVEL, VAZAO 250 PCM, PRESSAO EFETIVA DE TRABALHO 102 PSI, MOTOR DIESEL, POTENCIA 81 CV</t>
  </si>
  <si>
    <t>124.901,25</t>
  </si>
  <si>
    <t>COMPRESSOR DE AR REBOCAVEL, VAZAO 89 PCM, PRESSAO EFETIVA DE TRABALHO *102* PSI, MOTOR DIESEL, POTENCIA *20* CV</t>
  </si>
  <si>
    <t>124.543,86</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</si>
  <si>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</si>
  <si>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</si>
  <si>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COM BOMBEAMENTO (DISPONIBILIZACAO DE BOMBA), SEM O LANCAMENTO (NBR 15823)</t>
  </si>
  <si>
    <t>CONCRETO AUTOADENSAVEL (CAA) CLASSE DE RESISTENCIA C20, ESPALHAMENTO SF2, COM BOMBEAMENTO (DISPONIBILIZACAO DE BOMBA), SEM O LANCAMENTO (NBR 15823)</t>
  </si>
  <si>
    <t>CONCRETO AUTOADENSAVEL (CAA) CLASSE DE RESISTENCIA C25, ESPALHAMENTO SF2, COM BOMBEAMENTO (DISPONIBILIZACAO DE BOMBA), SEM O LANCAMENTO (NBR 15823)</t>
  </si>
  <si>
    <t>CONCRETO AUTOADENSAVEL (CAA) CLASSE DE RESISTENCIA C30, ESPALHAMENTO SF2, COM BOMBEAMENTO (DISPONIBILIZACAO DE BOMBA), SEM O LANCAMENTO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</si>
  <si>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</si>
  <si>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</si>
  <si>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</si>
  <si>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BRITA 0 E 1, SLUMP = 100 +/- 20 MM, COM BOMBEAMENTO (DISPONIBILIZACAO DE BOMBA), SEM O LANCAMENTO (NBR 8953)</t>
  </si>
  <si>
    <t>CONCRETO USINADO BOMBEAVEL, CLASSE DE RESISTENCIA C20, COM BRITA 0 E 1, SLUMP = 130 +/- 20 MM, EXCLUI SERVICO DE BOMBEAMENTO (NBR 8953)</t>
  </si>
  <si>
    <t>CONCRETO USINADO BOMBEAVEL, CLASSE DE RESISTENCIA C20, COM BRITA 0 E 1, SLUMP = 190 +/- 20 MM, COM BOMBEAMENTO (DISPONIBILIZACAO DE BOMBA), SEM O LANCAMENTO (NBR 8953)</t>
  </si>
  <si>
    <t>CONCRETO USINADO BOMBEAVEL, CLASSE DE RESISTENCIA C20, COM BRITA 0, SLUMP = 220 +/- 20 MM, COM BOMBEAMENTO (DISPONIBILIZACAO DE BOMBA), SEM O LANCAMENTO (NBR 8953)</t>
  </si>
  <si>
    <t>CONCRETO USINADO BOMBEAVEL, CLASSE DE RESISTENCIA C25, BRITA 0 E 1, SLUMP = 100 +/- 20 MM, COM BOMBEAMENTO (DISPONIBILIZACAO DE BOMBA), SEM O LANCAMENTO (NBR 8953)</t>
  </si>
  <si>
    <t>CONCRETO USINADO BOMBEAVEL, CLASSE DE RESISTENCIA C25, COM BRITA 0 E 1, SLUMP = 100 +/- 20 MM, EXCLUI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</si>
  <si>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</si>
  <si>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</si>
  <si>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BRITA 0 E 1, SLUMP = 100 +/- 20 MM, COM BOMBEAMENTO (DISPONIBILIZACAO DE BOMBA), SEM O LANCAMENTO (NBR 8953)</t>
  </si>
  <si>
    <t>CONCRETO USINADO BOMBEAVEL, CLASSE DE RESISTENCIA C30, COM BRITA 0 E 1, SLUMP = 100 +/- 20 MM, EXCLUI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</si>
  <si>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</si>
  <si>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</si>
  <si>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</si>
  <si>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BRITA 0 E 1, SLUMP = 100 +/- 20 MM, COM BOMBEAMENTO (DISPONIBILIZACAO DE BOMBA), SEM O LANCAMENTO (NBR 8953)</t>
  </si>
  <si>
    <t>CONCRETO USINADO BOMBEAVEL, CLASSE DE RESISTENCIA C35, COM BRITA 0 E 1, SLUMP = 100 +/- 20 MM, EXCLUI SERVICO DE BOMBEAMENTO (NBR 8953)</t>
  </si>
  <si>
    <t>CONCRETO USINADO BOMBEAVEL, CLASSE DE RESISTENCIA C40, BRITA 0 E 1, SLUMP = 100 +/- 20 MM, COM BOMBEAMENTO (DISPONIBILIZACAO DE BOMBA), SEM O LANCAMENTO (NBR 8953)</t>
  </si>
  <si>
    <t>CONCRETO USINADO BOMBEAVEL, CLASSE DE RESISTENCIA C40, COM BRITA 0 E 1, SLUMP = 100 +/- 20 MM, EXCLUI SERVICO DE BOMBEAMENTO (NBR 8953)</t>
  </si>
  <si>
    <t>CONCRETO USINADO BOMBEAVEL, CLASSE DE RESISTENCIA C45, BRITA 0 E 1, SLUMP = 100 +/- 20 MM, COM BOMBEAMENTO (DISPONIBILIZACAO DE BOMBA), SEM O LANCAMENTO (NBR 8953)</t>
  </si>
  <si>
    <t>CONCRETO USINADO BOMBEAVEL, CLASSE DE RESISTENCIA C50, BRITA 0 E 1, SLUMP = 100 +/- 20 MM, COM BOMBEAMENTO (DISPONIBILIZACAO DE BOMBA), SEM O LANCAMENTO (NBR 8953)</t>
  </si>
  <si>
    <t>CONCRETO USINADO BOMBEAVEL, CLASSE DE RESISTENCIA C60, COM BRITA 0 E 1, SLUMP = 100 +/- 20 MM, COM BOMBEAMENTO (DISPONIBILIZACAO DE BOMBA), SEM O LANCAMENTO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</si>
  <si>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</si>
  <si>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</si>
  <si>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</si>
  <si>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</si>
  <si>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</si>
  <si>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9,68</t>
  </si>
  <si>
    <t>CONDULETE DE ALUMINIO TIPO C, PARA ELETRODUTO ROSCAVEL DE 1/2", COM TAMPA CEGA</t>
  </si>
  <si>
    <t>7,29</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</si>
  <si>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</si>
  <si>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</si>
  <si>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</si>
  <si>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</si>
  <si>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</si>
  <si>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</si>
  <si>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8,30</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</si>
  <si>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</si>
  <si>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</si>
  <si>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</si>
  <si>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</si>
  <si>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</si>
  <si>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</si>
  <si>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</si>
  <si>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</si>
  <si>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</si>
  <si>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</si>
  <si>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</si>
  <si>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</si>
  <si>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</si>
  <si>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</si>
  <si>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31,52</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</si>
  <si>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</si>
  <si>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</si>
  <si>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</si>
  <si>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</si>
  <si>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</si>
  <si>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</si>
  <si>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</si>
  <si>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182,97</t>
  </si>
  <si>
    <t>CONDULETE DE ALUMINIO TIPO TB, PARA ELETRODUTO ROSCAVEL DE 3", COM TAMPA CEGA</t>
  </si>
  <si>
    <t>98,17</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</si>
  <si>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</si>
  <si>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</si>
  <si>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</si>
  <si>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</si>
  <si>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</si>
  <si>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</si>
  <si>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</si>
  <si>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109,80</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</si>
  <si>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</si>
  <si>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</si>
  <si>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</si>
  <si>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</si>
  <si>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</si>
  <si>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</si>
  <si>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</si>
  <si>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</si>
  <si>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</si>
  <si>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</si>
  <si>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</si>
  <si>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</si>
  <si>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</si>
  <si>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</si>
  <si>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</si>
  <si>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</si>
  <si>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</si>
  <si>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</si>
  <si>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</si>
  <si>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</si>
  <si>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</si>
  <si>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16,51</t>
  </si>
  <si>
    <t>CONDULETE EM PVC, TIPO "X", SEM TAMPA, DE 1"</t>
  </si>
  <si>
    <t>CONDULETE EM PVC, TIPO "X", SEM TAMPA, DE 3/4"</t>
  </si>
  <si>
    <t>CONDUTOR PLUVIAL, PVC, CIRCULAR, DIAMETRO ENTRE 80 E 100 MM, PARA DRENAGEM PLUVIAL PREDIAL</t>
  </si>
  <si>
    <t>CONE DE SINALIZACAO EM PVC FLEXIVEL, H = 70 / 76 CM (NBR 15071)</t>
  </si>
  <si>
    <t>99,77</t>
  </si>
  <si>
    <t>CONE DE SINALIZACAO EM PVC RIGIDO COM FAIXA REFLETIVA, H = 70 / 76 CM</t>
  </si>
  <si>
    <t>CONECTOR / ADAPTADOR F/F, COM INSERTO METALICO, PPR, DN 25 MM X 1/2", PARA AGUA QUENTE E FRIA PREDIAL</t>
  </si>
  <si>
    <t>CONECTOR / ADAPTADOR F/F, COM INSERTO METALICO, PPR, DN 32 MM X 3/4", PARA AGUA QUENTE E FRIA PREDIAL</t>
  </si>
  <si>
    <t>CONECTOR / ADAPTADOR F/M, COM INSERTO METALICO, PPR, DN 25 MM X 1/2", PARA AGUA QUENTE E FRIA PREDIAL</t>
  </si>
  <si>
    <t>CONECTOR / ADAPTADOR F/M, COM INSERTO METALICO, PPR, DN 25 MM X 3/4", PARA AGUA QUENTE E FRIA PREDIAL</t>
  </si>
  <si>
    <t>CONECTOR / ADAPTADOR F/M, COM INSERTO METALICO, PPR, DN 32 MM X 1", PARA AGUA QUENTE E FRIA PREDIAL</t>
  </si>
  <si>
    <t>CONECTOR / ADAPTADOR F/M, COM INSERTO METALICO, PPR, DN 32 MM X 3/4", PARA AGUA QUENTE E FRIA PREDIAL</t>
  </si>
  <si>
    <t>CONECTOR / TOMADA FEMEA RJ 45, CATEGORIA 5 E (CAT 5E) PARA CABOS</t>
  </si>
  <si>
    <t>CONECTOR / TOMADA FEMEA RJ 45, CATEGORIA 6 (CAT 6) PARA CABOS</t>
  </si>
  <si>
    <t>30,69</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</si>
  <si>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</si>
  <si>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</si>
  <si>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</si>
  <si>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</si>
  <si>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</si>
  <si>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</si>
  <si>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</si>
  <si>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</si>
  <si>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</si>
  <si>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86,69</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</si>
  <si>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</si>
  <si>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</si>
  <si>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</si>
  <si>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</si>
  <si>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</si>
  <si>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</si>
  <si>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</si>
  <si>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</si>
  <si>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</si>
  <si>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</si>
  <si>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</si>
  <si>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MACHO RJ 45, CATEGORIA 5 E (CAT 5E) PARA CABOS</t>
  </si>
  <si>
    <t>CONECTOR MACHO RJ 45, CATEGORIA 6 (CAT 6) PARA CABOS</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</si>
  <si>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</si>
  <si>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</si>
  <si>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</si>
  <si>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</si>
  <si>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</si>
  <si>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</si>
  <si>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42,85</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</si>
  <si>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</si>
  <si>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</si>
  <si>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</si>
  <si>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</si>
  <si>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</si>
  <si>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</si>
  <si>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</si>
  <si>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</si>
  <si>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</si>
  <si>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</si>
  <si>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</si>
  <si>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</si>
  <si>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</si>
  <si>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</si>
  <si>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</si>
  <si>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</si>
  <si>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</si>
  <si>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CONECTOR/ADAPTADOR FIXO, ROSCA FEMEA, EM PLASTICO, DN 16 MM X 1/2", PARA CONEXAO COM CRIMPAGEM, EM TUBO PEX PARA INST. AGUA QUENTE/FRIA</t>
  </si>
  <si>
    <t>CONECTOR/ADAPTADOR FIXO, ROSCA FEMEA, EM PLASTICO, DN 20 MM X 1/2", PARA CONEXAO COM CRIMPAGEM, EM TUBO PEX PARA INST. AGUA QUENTE/FRIA</t>
  </si>
  <si>
    <t>CONECTOR/ADAPTADOR FIXO, ROSCA FEMEA, EM PLASTICO, DN 20 MM X 3/4", PARA CONEXAO COM CRIMPAGEM, EM TUBO PEX PARA INST. AGUA QUENTE/FRIA</t>
  </si>
  <si>
    <t>CONECTOR/ADAPTADOR FIXO, ROSCA FEMEA, EM PLASTICO, DN 25 MM X 3/4", PARA CONEXAO COM CRIMPAGEM, EM TUBO PEX PARA INST. AGUA QUENTE/FRIA</t>
  </si>
  <si>
    <t>CONECTOR/ADAPTADOR FIXO, ROSCA FEMEA, METALICA, COM ANEL DESLIZANTE, DN 16 MM X 1/2", PARA TUBO PEX PARA INST. AGUA QUENTE/FRIA</t>
  </si>
  <si>
    <t>CONECTOR/ADAPTADOR FIXO, ROSCA FEMEA, METALICA, COM ANEL DESLIZANTE, DN 20 MM X 1/2", PARA TUBO PEX PARA INST. AGUA QUENTE/FRIA</t>
  </si>
  <si>
    <t>CONECTOR/ADAPTADOR FIXO, ROSCA FEMEA, METALICA, COM ANEL DESLIZANTE, DN 20 MM X 3/4", PARA TUBO PEX PARA INST. AGUA QUENTE/FRIA</t>
  </si>
  <si>
    <t>CONECTOR/ADAPTADOR FIXO, ROSCA FEMEA, METALICA, COM ANEL DESLIZANTE, DN 25 MM X 1", PARA TUBO PEX PARA INST. AGUA QUENTE/FRIA</t>
  </si>
  <si>
    <t>CONECTOR/ADAPTADOR FIXO, ROSCA FEMEA, METALICA, COM ANEL DESLIZANTE, DN 25 MM X 3/4", PARA TUBO PEX PARA INST. AGUA QUENTE/FRIA</t>
  </si>
  <si>
    <t>CONECTOR/ADAPTADOR FIXO, ROSCA FEMEA, METALICA, COM ANEL DESLIZANTE, DN 32 MM X 1", PARA TUBO PEX PARA INST. AGUA QUENTE/FRIA</t>
  </si>
  <si>
    <t>CONECTOR/ADAPTADOR MOVEL, ROSCA FEMEA, METALICA, COM ANEL DESLIZANTE, DN 16 MM X 3/4", PARA TUBO PEX PARA INST. AGUA QUENTE/FRIA</t>
  </si>
  <si>
    <t>CONECTOR, CPVC, SOLDAVEL, 15 MM X 1/2", PARA AGUA QUENTE</t>
  </si>
  <si>
    <t>CONECTOR, CPVC, SOLDAVEL, 22 MM X 1/2", PARA AGUA QUENTE</t>
  </si>
  <si>
    <t>21,03</t>
  </si>
  <si>
    <t>CONECTOR, CPVC, SOLDAVEL, 22 MM X 3/4", PARA AGUA QUENTE</t>
  </si>
  <si>
    <t>CONECTOR, CPVC, SOLDAVEL, 28 MM X 1", PARA AGUA QUENTE</t>
  </si>
  <si>
    <t>CONECTOR, CPVC, SOLDAVEL, 35 MM X 1 1/4", PARA AGUA QUENTE</t>
  </si>
  <si>
    <t>CONECTOR, CPVC, SOLDAVEL, 42 MM X 1 1/2", PARA AGUA QUENTE</t>
  </si>
  <si>
    <t>CONJ. DE FERRAGENS PARA PORTA DE VIDRO TEMPERADO, EM ZAMAC CROMADO, CONTEMPLANDO DOBRADICA INF., DOBRADICA SUP., PIVO PARA DOBRADICA INF., PIVO PARA DOBRADICA SUP., FECHADURA CENTRAL EM ZAMC. CROMADO, CONTRA FECHADURA DE PRESSAO</t>
  </si>
  <si>
    <t>CONJUNTO DE FERRAGENS PIVO, PARA PORTA PIVOTANTE DE ATE 100 KG, REGULAVEL COM ESFERA , CROMADO - SUPERIOR E INFERIOR - COMPLETO</t>
  </si>
  <si>
    <t>CONJUNTO MONTADO ESTOPIM COM ESPOLETA COMUM NUMERO 8, COM CABECA ACENDEDORA, 1,5 M</t>
  </si>
  <si>
    <t>40,08</t>
  </si>
  <si>
    <t>CONJUNTO PARA FUTSAL COM PAR DE TRAVES OFICIAIS DE 3,00 X 2,00 M EM TUBO DE ACO GALVANIZADO 3" COM REQUADROS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</si>
  <si>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</si>
  <si>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</si>
  <si>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CONTAINER ALMOXARIFADO, DE *2,40* X *6,00* M, PADRAO SIMPLES, SEM REVESTIMENTO E SEM DIVISORIAS INTERNOS E SEM SANITARIO, PARA USO EM CANTEIRO DE OBRAS</t>
  </si>
  <si>
    <t>22.500,00</t>
  </si>
  <si>
    <t>CONTATOR TRIPOLAR, CORRENTE DE *110* A, TENSAO NOMINAL DE *500* V, CATEGORIA AC-2 E AC-3</t>
  </si>
  <si>
    <t>CONTATOR TRIPOLAR, CORRENTE DE *185* A, TENSAO NOMINAL DE *500* V, CATEGORIA AC-2 E AC-3</t>
  </si>
  <si>
    <t>CONTATOR TRIPOLAR, CORRENTE DE *22* A, TENSAO NOMINAL DE *500* V, CATEGORIA AC-2 E AC-3</t>
  </si>
  <si>
    <t>183,67</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</si>
  <si>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</si>
  <si>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</si>
  <si>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</si>
  <si>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</si>
  <si>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</si>
  <si>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</si>
  <si>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</si>
  <si>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</si>
  <si>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</si>
  <si>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</si>
  <si>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</si>
  <si>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</si>
  <si>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</si>
  <si>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</si>
  <si>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</si>
  <si>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</si>
  <si>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51,53</t>
  </si>
  <si>
    <t>CONTRAMARCO DE ALUMINIO (PERFIL 25) PARA ESQUADRIAS, TIPO CONVENCIONAL / CADEIRINHA, 60 MM (CM-060), INCLUSO CONEXOES, GRAPAS E TRAVAMENTOS</t>
  </si>
  <si>
    <t>COORDENADOR / GERENTE DE OBRA</t>
  </si>
  <si>
    <t>COORDENADOR / GERENTE DE OBRA (MENSALISTA)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</si>
  <si>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</si>
  <si>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</si>
  <si>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</si>
  <si>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</si>
  <si>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</si>
  <si>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</si>
  <si>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</si>
  <si>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</si>
  <si>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</si>
  <si>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</si>
  <si>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</si>
  <si>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</si>
  <si>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</si>
  <si>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23,90</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</si>
  <si>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</si>
  <si>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</si>
  <si>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</si>
  <si>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28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</si>
  <si>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</si>
  <si>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</si>
  <si>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</si>
  <si>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</si>
  <si>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</si>
  <si>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</si>
  <si>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</si>
  <si>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</si>
  <si>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</si>
  <si>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</si>
  <si>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</si>
  <si>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</si>
  <si>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40,06</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</si>
  <si>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</si>
  <si>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</si>
  <si>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</si>
  <si>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</si>
  <si>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</si>
  <si>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</si>
  <si>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</si>
  <si>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164,62</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</si>
  <si>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</si>
  <si>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</si>
  <si>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</si>
  <si>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</si>
  <si>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</si>
  <si>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</si>
  <si>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</si>
  <si>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45,29</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</si>
  <si>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</si>
  <si>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</si>
  <si>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</si>
  <si>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</si>
  <si>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</si>
  <si>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</si>
  <si>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12,94</t>
  </si>
  <si>
    <t>COTOVELO 90 GRAUS DE FERRO GALVANIZADO, COM ROSCA BSP MACHO/FEMEA, DE 3"</t>
  </si>
  <si>
    <t>COTOVELO 90 GRAUS DE FERRO GALVANIZADO, COM ROSCA BSP, DE 1 1/2"</t>
  </si>
  <si>
    <t>36,30</t>
  </si>
  <si>
    <t>COTOVELO 90 GRAUS DE FERRO GALVANIZADO, COM ROSCA BSP, DE 1 1/4"</t>
  </si>
  <si>
    <t>COTOVELO 90 GRAUS DE FERRO GALVANIZADO, COM ROSCA BSP, DE 1/2"</t>
  </si>
  <si>
    <t>COTOVELO 90 GRAUS DE FERRO GALVANIZADO, COM ROSCA BSP, DE 2 1/2"</t>
  </si>
  <si>
    <t>COTOVELO 90 GRAUS DE FERRO GALVANIZADO, COM ROSCA BSP, DE 2"</t>
  </si>
  <si>
    <t>COTOVELO 90 GRAUS DE FERRO GALVANIZADO, COM ROSCA BSP, DE 3/4"</t>
  </si>
  <si>
    <t>11,58</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</si>
  <si>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</si>
  <si>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</si>
  <si>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</si>
  <si>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</si>
  <si>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</si>
  <si>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</si>
  <si>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</si>
  <si>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</si>
  <si>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</si>
  <si>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</si>
  <si>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</si>
  <si>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</si>
  <si>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</si>
  <si>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</si>
  <si>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</si>
  <si>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</si>
  <si>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</si>
  <si>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</si>
  <si>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</si>
  <si>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</si>
  <si>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</si>
  <si>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</si>
  <si>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</si>
  <si>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</si>
  <si>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</si>
  <si>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MADEIRA TRATADA, *90 X 115 X 2400* MM, EM EUCALIPTO OU EQUIVALENTE DA REGIAO</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</si>
  <si>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</si>
  <si>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</si>
  <si>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</si>
  <si>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</si>
  <si>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NORMAL PARA TELHA ESTRUTURAL DE FIBROCIMENTO 2 ABAS, E = 6 MM, DE 1050 X 935 MM (SEM AMIANTO)</t>
  </si>
  <si>
    <t>58,43</t>
  </si>
  <si>
    <t>CUMEEIRA NORMAL PARA TELHA ONDULADA DE FIBROCIMENTO, E = 6 MM, ABA 300 MM, COMPRIMENTO 1100 MM (SEM AMIANTO)</t>
  </si>
  <si>
    <t>CUMEEIRA PARA TELHA CERAMICA, COMPRIMENTO DE *41* CM, RENDIMENTO DE *3* TELHAS/M</t>
  </si>
  <si>
    <t>3,56</t>
  </si>
  <si>
    <t>CUMEEIRA PARA TELHA DE CONCRETO, PARA 2 AGUAS DE TELHADO, COR CINZA, RENDIMENTO DE *3* TELHAS/M</t>
  </si>
  <si>
    <t>CURVA CPVC, 90 GRAUS, SOLDAVEL, 15 MM, PARA AGUA QUENTE</t>
  </si>
  <si>
    <t>CURVA CPVC, 90 GRAUS, SOLDAVEL, 22 MM, PARA AGUA QUENTE</t>
  </si>
  <si>
    <t>CURVA CPVC, 90 GRAUS, SOLDAVEL, 28 MM, PARA AGUA QUENTE</t>
  </si>
  <si>
    <t>CURVA DE PVC 45 GRAUS, SOLDAVEL, 20 MM, COR MARROM, PARA AGUA FRIA PREDIAL</t>
  </si>
  <si>
    <t>CURVA DE PVC 45 GRAUS, SOLDAVEL, 25 MM, COR MARROM, PARA AGUA FRIA PREDIAL</t>
  </si>
  <si>
    <t>CURVA DE PVC 45 GRAUS, SOLDAVEL, 32 MM, COR MARROM, PARA AGUA FRIA PREDIAL</t>
  </si>
  <si>
    <t>CURVA DE PVC 45 GRAUS, SOLDAVEL, 40 MM, COR MARROM, PARA AGUA FRIA PREDIAL</t>
  </si>
  <si>
    <t>CURVA DE PVC 45 GRAUS, SOLDAVEL, 50 MM, COR MARROM, PARA AGUA FRIA PREDIAL</t>
  </si>
  <si>
    <t>CURVA DE PVC 45 GRAUS, SOLDAVEL, 60 MM, COR MARROM, PARA AGUA FRIA PREDIAL</t>
  </si>
  <si>
    <t>CURVA DE PVC 45 GRAUS, SOLDAVEL, 75 MM, COR MARROM, PARA AGUA FRIA PREDIAL</t>
  </si>
  <si>
    <t>31,45</t>
  </si>
  <si>
    <t>CURVA DE PVC 45 GRAUS, SOLDAVEL, 85 MM, COR MARROM, PARA AGUA FRIA PREDIAL</t>
  </si>
  <si>
    <t>CURVA DE PVC 90 GRAUS, SOLDAVEL, 110 MM, COR MARROM, PARA AGUA FRIA PREDIAL</t>
  </si>
  <si>
    <t>CURVA DE PVC 90 GRAUS, SOLDAVEL, 20 MM, COR MARROM, PARA AGUA FRIA PREDIAL</t>
  </si>
  <si>
    <t>CURVA DE PVC 90 GRAUS, SOLDAVEL, 25 MM, COR MARROM, PARA AGUA FRIA PREDIAL</t>
  </si>
  <si>
    <t>3,03</t>
  </si>
  <si>
    <t>CURVA DE PVC 90 GRAUS, SOLDAVEL, 32 MM, COR MARROM, PARA AGUA FRIA PREDIAL</t>
  </si>
  <si>
    <t>CURVA DE PVC 90 GRAUS, SOLDAVEL, 40 MM, COR MARROM, PARA AGUA FRIA PREDIAL</t>
  </si>
  <si>
    <t>CURVA DE PVC 90 GRAUS, SOLDAVEL, 50 MM, COR MARROM, PARA AGUA FRIA PREDIAL</t>
  </si>
  <si>
    <t>CURVA DE PVC 90 GRAUS, SOLDAVEL, 60 MM, COR MARROM, PARA AGUA FRIA PREDIAL</t>
  </si>
  <si>
    <t>CURVA DE PVC 90 GRAUS, SOLDAVEL, 75 MM, COR MARROM, PARA AGUA FRIA PREDIAL</t>
  </si>
  <si>
    <t>53,20</t>
  </si>
  <si>
    <t>CURVA DE PVC 90 GRAUS, SOLDAVEL, 85 MM, COR MARROM, PARA AGUA FRIA PREDIAL</t>
  </si>
  <si>
    <t>CURVA DE PVC, 90 GRAUS, SERIE R, DN 100 MM, PARA ESGOTO PREDIAL</t>
  </si>
  <si>
    <t>CURVA DE TRANSPOSICAO BRONZE/LATAO (REF 736) SEM ANEL DE SOLDA, BOLSA X BOLSA, 15 MM</t>
  </si>
  <si>
    <t>CURVA DE TRANSPOSICAO BRONZE/LATAO (REF 736) SEM ANEL DE SOLDA, BOLSA X BOLSA, 22 MM</t>
  </si>
  <si>
    <t>46,00</t>
  </si>
  <si>
    <t>CURVA DE TRANSPOSICAO BRONZE/LATAO (REF 736) SEM ANEL DE SOLDA, BOLSA X BOLSA, 28 MM</t>
  </si>
  <si>
    <t>CURVA DE TRANSPOSICAO, CPVC, SOLDAVEL, 15 MM</t>
  </si>
  <si>
    <t>CURVA DE TRANSPOSICAO, CPVC, SOLDAVEL, 22 MM</t>
  </si>
  <si>
    <t>CURVA DE TRANSPOSICAO, PVC SOLDAVEL, 20 MM, COR MARROM, PARA AGUA FRIA PREDIAL</t>
  </si>
  <si>
    <t>CURVA DE TRANSPOSICAO, PVC, SOLDAVEL, 25 MM, COR MARROM, PARA AGUA FRIA PREDIAL</t>
  </si>
  <si>
    <t>CURVA DE TRANSPOSICAO, PVC, SOLDAVEL, 32 MM, COR MARROM, PARA AGUA FRIA PREDIAL</t>
  </si>
  <si>
    <t>CURVA LONGA PVC, PB, JE, 45 GRAUS, DN 100 MM, PARA REDE COLETORA ESGOTO</t>
  </si>
  <si>
    <t>CURVA LONGA PVC, PB, JE, 45 GRAUS, DN 150 MM, PARA REDE COLETORA ESGOTO</t>
  </si>
  <si>
    <t>CURVA LONGA PVC, PB, JE, 90 GRAUS, DN 100 MM, PARA REDE COLETORA ESGOTO</t>
  </si>
  <si>
    <t>CURVA LONGA PVC, PB, JE, 90 GRAUS, DN 150 MM, PARA REDE COLETORA ESGOTO</t>
  </si>
  <si>
    <t>CURVA PPR 90 GRAUS, F/F, DN 20 MM, PARA AGUA QUENTE PREDIAL</t>
  </si>
  <si>
    <t>CURVA PPR 90 GRAUS, F/F, DN 25 MM, PARA AGUA QUENTE PREDIAL</t>
  </si>
  <si>
    <t>CURVA PVC CURTA 90 GRAUS, DN 100 MM, PARA ESGOTO PREDIAL</t>
  </si>
  <si>
    <t>CURVA PVC CURTA 90 GRAUS, DN 40 MM, PARA ESGOTO PREDIAL</t>
  </si>
  <si>
    <t>CURVA PVC CURTA 90 GRAUS, DN 50 MM, PARA ESGOTO PREDIAL</t>
  </si>
  <si>
    <t>CURVA PVC CURTA 90 GRAUS, DN 75 MM, PARA ESGOTO PREDIAL</t>
  </si>
  <si>
    <t>24,40</t>
  </si>
  <si>
    <t>CURVA PVC LONGA 90 GRAUS, DN 100 MM, PARA ESGOTO PREDIAL</t>
  </si>
  <si>
    <t>59,29</t>
  </si>
  <si>
    <t>CURVA PVC LONGA 90 GRAUS, DN 40 MM, PARA ESGOTO PREDIAL</t>
  </si>
  <si>
    <t>CURVA PVC LONGA 90 GRAUS, DN 50 MM, PARA ESGOTO PREDIAL</t>
  </si>
  <si>
    <t>CURVA PVC LONGA 90 GRAUS, DN 75 MM, PARA ESGOTO PREDIAL</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</si>
  <si>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</si>
  <si>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</si>
  <si>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</si>
  <si>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</si>
  <si>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153,08</t>
  </si>
  <si>
    <t>CURVA PVC PBA, JE, PB, 90 GRAUS, DN 50 / DE 60 MM, PARA REDE AGUA (NBR 10351)</t>
  </si>
  <si>
    <t>CURVA PVC PBA, JE, PB, 90 GRAUS, DN 75 / DE 85 MM, PARA REDE AGUA (NBR 10351)</t>
  </si>
  <si>
    <t>CURVA PVC 90 GRAUS, ROSCAVEL, 1 1/4", COR BRANCA, AGUA FRIA PREDIAL</t>
  </si>
  <si>
    <t>CURVA PVC 90 GRAUS, ROSCAVEL, 1/2", COR BRANCA, AGUA FRIA PREDIAL</t>
  </si>
  <si>
    <t>CURVA PVC 90 GRAUS, ROSCAVEL, 1", COR BRANCA, AGUA FRIA PREDIAL</t>
  </si>
  <si>
    <t>CURVA PVC 90 GRAUS, ROSCAVEL, 3/4", COR BRANCA, AGUA FRIA PREDIAL</t>
  </si>
  <si>
    <t>CURVA PVC, BB, JE, 45 GRAUS, DN 250 MM, PARA TUBO CORRUGADO E/OU LISO, REDE COLETORA ESGOTO</t>
  </si>
  <si>
    <t>CURVA PVC, BB, JE, 90 GRAUS, DN 200 MM, PARA TUBO CORRUGADO E/OU LISO, REDE COLETORA ESGOTO</t>
  </si>
  <si>
    <t>304,17</t>
  </si>
  <si>
    <t>CURVA PVC, BB, JE, 90 GRAUS, DN 250 MM, PARA TUBO CORRUGADO E/OU LISO, REDE COLETORA ESGOTO</t>
  </si>
  <si>
    <t>CURVA PVC, SERIE R, 87.30 GRAUS, CURTA, PARA PE-DE-COLUNA, DN 100 MM, PARA ESGOTO PREDIAL</t>
  </si>
  <si>
    <t>CURVA PVC, SERIE R, 87.30 GRAUS, CURTA, PARA PE-DE-COLUNA, DN 150 MM, PARA ESGOTO PREDIAL</t>
  </si>
  <si>
    <t>CURVA PVC, SERIE R, 87.30 GRAUS, CURTA, PARA PE-DE-COLUNA, DN 75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</si>
  <si>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</si>
  <si>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</si>
  <si>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</si>
  <si>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</si>
  <si>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</si>
  <si>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</si>
  <si>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</si>
  <si>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</si>
  <si>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</si>
  <si>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</si>
  <si>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</si>
  <si>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</si>
  <si>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</si>
  <si>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</si>
  <si>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</si>
  <si>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</si>
  <si>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</si>
  <si>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</si>
  <si>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</si>
  <si>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12,88</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</si>
  <si>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</si>
  <si>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</si>
  <si>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</si>
  <si>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</si>
  <si>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</si>
  <si>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</si>
  <si>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</si>
  <si>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</si>
  <si>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</si>
  <si>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</si>
  <si>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</si>
  <si>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</si>
  <si>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</si>
  <si>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</si>
  <si>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</si>
  <si>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</si>
  <si>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</si>
  <si>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</si>
  <si>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</si>
  <si>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</si>
  <si>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</si>
  <si>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</si>
  <si>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</si>
  <si>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</si>
  <si>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</si>
  <si>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</si>
  <si>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39,53</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</si>
  <si>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</si>
  <si>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</si>
  <si>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</si>
  <si>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</si>
  <si>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</si>
  <si>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</si>
  <si>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</si>
  <si>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</si>
  <si>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</si>
  <si>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</si>
  <si>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</si>
  <si>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</si>
  <si>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</si>
  <si>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</si>
  <si>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</si>
  <si>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</si>
  <si>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</si>
  <si>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</si>
  <si>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</si>
  <si>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</si>
  <si>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</si>
  <si>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</si>
  <si>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</si>
  <si>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</si>
  <si>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</si>
  <si>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</si>
  <si>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</si>
  <si>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</si>
  <si>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</si>
  <si>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</si>
  <si>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77,17</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</si>
  <si>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</si>
  <si>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</si>
  <si>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</si>
  <si>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</si>
  <si>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</si>
  <si>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</si>
  <si>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</si>
  <si>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</si>
  <si>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</si>
  <si>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</si>
  <si>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</si>
  <si>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</si>
  <si>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</si>
  <si>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</si>
  <si>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</si>
  <si>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</si>
  <si>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</si>
  <si>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</si>
  <si>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</si>
  <si>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</si>
  <si>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</si>
  <si>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</si>
  <si>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</si>
  <si>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</si>
  <si>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</si>
  <si>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3,32</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</si>
  <si>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</si>
  <si>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</si>
  <si>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</si>
  <si>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</si>
  <si>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</si>
  <si>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</si>
  <si>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</si>
  <si>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</si>
  <si>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</si>
  <si>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</si>
  <si>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</si>
  <si>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</si>
  <si>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</si>
  <si>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</si>
  <si>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</si>
  <si>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</si>
  <si>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59,75</t>
  </si>
  <si>
    <t>DESEMPENADEIRA DE ACO DENTADA 12 X *25* CM, DENTES 8 X 8 MM, CABO FECHADO DE MADEIRA</t>
  </si>
  <si>
    <t>DESEMPENADEIRA DE ACO LISA 12 X *25* CM COM CABO FECHADO DE MADEIRA</t>
  </si>
  <si>
    <t>DESEMPENADEIRA PLASTICA LISA *14 X 27* CM</t>
  </si>
  <si>
    <t>DESENHISTA COPISTA (HORISTA)</t>
  </si>
  <si>
    <t>DESENHISTA COPISTA (MENSALISTA)</t>
  </si>
  <si>
    <t>DESENHISTA DETALHISTA (HORISTA)</t>
  </si>
  <si>
    <t>DESENHISTA DETALHISTA (MENSALISTA)</t>
  </si>
  <si>
    <t>DESENHISTA PROJETISTA (HORISTA)</t>
  </si>
  <si>
    <t>DESENHISTA PROJETISTA (MENSALISTA)</t>
  </si>
  <si>
    <t>DESENHISTA TECNICO AUXILIAR (HORISTA)</t>
  </si>
  <si>
    <t>DESENHISTA TECNICO AUXILIAR (MENSALISTA)</t>
  </si>
  <si>
    <t>DESINFETANTE PRONTO USO</t>
  </si>
  <si>
    <t>DESMOLDANTE PARA CONCRETO ESTAMPADO</t>
  </si>
  <si>
    <t>41,07</t>
  </si>
  <si>
    <t>DESMOLDANTE PARA FORMAS METALICAS A BASE DE OLEO VEGETAL</t>
  </si>
  <si>
    <t>DETERGENTE NEUTRO USO GERAL, CONCENTRADO</t>
  </si>
  <si>
    <t>DILUENTE AGUARRAS</t>
  </si>
  <si>
    <t>DILUENTE EPOXI</t>
  </si>
  <si>
    <t>40,98</t>
  </si>
  <si>
    <t>DISCO DE BORRACHA PARA LIXADEIRA RIGIDO 7 " COM ARRUELA  CENTRAL</t>
  </si>
  <si>
    <t>DISCO DE CORTE DIAMANTADO SEGMENTADO DIAMETRO DE 180 MM PARA ESMERILHADEIRA  7 "</t>
  </si>
  <si>
    <t>83,91</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</si>
  <si>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</si>
  <si>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</si>
  <si>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</si>
  <si>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</si>
  <si>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</si>
  <si>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</si>
  <si>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</si>
  <si>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</si>
  <si>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</si>
  <si>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</si>
  <si>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</si>
  <si>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</si>
  <si>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</si>
  <si>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</si>
  <si>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</si>
  <si>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</si>
  <si>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</si>
  <si>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</si>
  <si>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</si>
  <si>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</si>
  <si>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</si>
  <si>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</si>
  <si>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</si>
  <si>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</si>
  <si>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</si>
  <si>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</si>
  <si>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</si>
  <si>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</si>
  <si>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</si>
  <si>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</si>
  <si>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42,05</t>
  </si>
  <si>
    <t>DISJUNTOR TIPO NEMA, MONOPOLAR 10 ATE 30A, TENSAO MAXIMA DE 240 V</t>
  </si>
  <si>
    <t>DISJUNTOR TIPO NEMA, MONOPOLAR 35  ATE  50 A, TENSAO MAXIMA DE 240 V</t>
  </si>
  <si>
    <t>26,84</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</si>
  <si>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</si>
  <si>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</si>
  <si>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</si>
  <si>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</si>
  <si>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</si>
  <si>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</si>
  <si>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</si>
  <si>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</si>
  <si>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</si>
  <si>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</si>
  <si>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</si>
  <si>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</si>
  <si>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</si>
  <si>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</si>
  <si>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</si>
  <si>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</si>
  <si>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</si>
  <si>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</si>
  <si>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</si>
  <si>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</si>
  <si>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</si>
  <si>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</si>
  <si>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</si>
  <si>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</si>
  <si>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</si>
  <si>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</si>
  <si>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</si>
  <si>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</si>
  <si>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</si>
  <si>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</si>
  <si>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</si>
  <si>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</si>
  <si>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</si>
  <si>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</si>
  <si>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</si>
  <si>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</si>
  <si>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</si>
  <si>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</si>
  <si>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</si>
  <si>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 PARA INST. AGUA QUENTE/FRIA</t>
  </si>
  <si>
    <t>DISTRIBUIDOR METALICO, COM ROSCA, 2 SAIDAS, DN 3/4" X 1/2", PARA CONEXAO COM ANEL DESLIZANTE EM TUBO PEX PARA INST. AGUA QUENTE/FRIA</t>
  </si>
  <si>
    <t>DISTRIBUIDOR METALICO, COM ROSCA, 3 SAIDAS, DN 1" X 1/2", PARA CONEXAO COM ANEL DESLIZANTE EM TUBO PEX PARA INST. AGUA QUENTE/FRIA</t>
  </si>
  <si>
    <t>DISTRIBUIDOR METALICO, COM ROSCA, 3 SAIDAS, DN 3/4" X 1/2", PARA CONEXAO COM ANEL DESLIZANTE EM TUBO PEX PARA INST. AGUA QUENTE/FRIA</t>
  </si>
  <si>
    <t>DISTRIBUIDOR, PLASTICO, 2 SAIDAS, DN 32 X 16 MM, PARA CONEXAO COM CRIMPAGEM, EM TUBO PEX PARA INST. AGUA QUENTE/FRIA</t>
  </si>
  <si>
    <t>DISTRIBUIDOR, PLASTICO, 2 SAIDAS, DN 32 X 25 MM, PARA CONEXAO COM CRIMPAGEM, EM TUBO PEX PARA INST. AGUA QUENTE/FRIA</t>
  </si>
  <si>
    <t>139,16</t>
  </si>
  <si>
    <t>DISTRIBUIDOR, PLASTICO, 3 SAIDAS, DN 32 X 16 MM, PARA CONEXAO COM CRIMPAGEM, EM TUBO PEX PARA INST. AGUA QUENTE/FRIA</t>
  </si>
  <si>
    <t>133,37</t>
  </si>
  <si>
    <t>DISTRIBUIDOR, PLASTICO, 3 SAIDAS, DN 32 X 25 MM, PARA CONEXAO COM CRIMPAGEM, EM TUBO PEX PARA INST. AGUA QUENTE/FRIA</t>
  </si>
  <si>
    <t>162,34</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</si>
  <si>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</si>
  <si>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</si>
  <si>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</si>
  <si>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DOBRADICA EM ACO/FERRO, 3" X 2 1/2", E= 1,2 A 1,8 MM, SEM ANEL,  CROMADO OU ZINCADO, TAMPA CHATA, COM PARAFUSOS</t>
  </si>
  <si>
    <t>DOBRADICA EM ACO/FERRO, 3" X 2 1/2", E= 1,2 A 1,8 MM, SEM ANEL, CROMADO OU ZINCADO, TAMPA BOLA, COM PARAFUSOS</t>
  </si>
  <si>
    <t>DOBRADICA EM ACO/FERRO, 3" X 2 1/2", E= 1,9 A 2 MM, SEM ANEL,  CROMADO OU ZINCADO, TAMPA BOLA, COM PARAFUSOS</t>
  </si>
  <si>
    <t>13,29</t>
  </si>
  <si>
    <t>DOBRADICA TIPO VAI-E-VEM EM ACO/FERRO, TAMANHO 3'', GALVANIZADO, COM PARAFUSOS</t>
  </si>
  <si>
    <t>DOMOS INDIVIDUAL EM ACRILICO BRANCO *95 X 95* CM, SEM INSTALACAO</t>
  </si>
  <si>
    <t>838,13</t>
  </si>
  <si>
    <t>DOSADOR DE AREIA, CAPACIDADE DE *26* LITROS</t>
  </si>
  <si>
    <t>DUCHA / CHUVEIRO METALICO, DE PAREDE, ARTICULAVEL, COM BRACO/CANO, SEM DESVIADOR</t>
  </si>
  <si>
    <t>DUCHA / CHUVEIRO METALICO, DE PAREDE, ARTICULAVEL, COM DESVIADOR E DUCHA MANUAL</t>
  </si>
  <si>
    <t>DUCHA / CHUVEIRO PLASTICO SIMPLES, 5 '', BRANCO, PARA ACOPLAR EM HASTE 1/2 ", AGUA FRIA</t>
  </si>
  <si>
    <t>DUCHA HIGIENICA PLASTICA COM REGISTRO METALICO 1/2 "</t>
  </si>
  <si>
    <t>DUMPER COM CAPACIDADE DE CARGA DE 1700 KG, PARTIDA ELETRICA, MOTOR DIESEL COM POTENCIA DE 16 CV</t>
  </si>
  <si>
    <t>ELEMENTO VAZADO CERAMICO DIAGONAL (TIPO FLOR/QUADRADO/XIS) 25 X 18 X 7 CM</t>
  </si>
  <si>
    <t>ELEMENTO VAZADO CERAMICO QUADRADO (TIPO RETO OU REDONDO),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</si>
  <si>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</si>
  <si>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</si>
  <si>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</si>
  <si>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</si>
  <si>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</si>
  <si>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</si>
  <si>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</si>
  <si>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</si>
  <si>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</si>
  <si>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</si>
  <si>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</si>
  <si>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 (HORISTA)</t>
  </si>
  <si>
    <t>ELETRICISTA (MENSALISTA)</t>
  </si>
  <si>
    <t>ELETRICISTA DE MANUTENCAO INDUSTRIAL (HORISTA)</t>
  </si>
  <si>
    <t>ELETRICISTA DE MANUTENCAO INDUSTRIAL (MENSALISTA)</t>
  </si>
  <si>
    <t>ELETRODO REVESTIDO AWS - E-6010, DIAMETRO IGUAL A 4,00 MM</t>
  </si>
  <si>
    <t>ELETRODO REVESTIDO AWS - E6013,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</si>
  <si>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</si>
  <si>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</si>
  <si>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</si>
  <si>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</si>
  <si>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</si>
  <si>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</si>
  <si>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</si>
  <si>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</si>
  <si>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</si>
  <si>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</si>
  <si>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</si>
  <si>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</si>
  <si>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</si>
  <si>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</si>
  <si>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</si>
  <si>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EM ACO GALVANIZADO ELETROLITICO, LEVE, DIAMETRO 1", PAREDE DE 0,90 MM</t>
  </si>
  <si>
    <t>ELETRODUTO EM ACO GALVANIZADO ELETROLITICO, LEVE, DIAMETRO 3/4", PAREDE DE 0,90 MM</t>
  </si>
  <si>
    <t>ELETRODUTO EM ACO GALVANIZADO ELETROLITICO, SEMI-PESADO, DIAMETRO 1 1/2", PAREDE DE 1,20 MM</t>
  </si>
  <si>
    <t>ELETRODUTO EM ACO GALVANIZADO ELETROLITICO, SEMI-PESADO, DIAMETRO 1 1/4", PAREDE DE 1,20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</si>
  <si>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</si>
  <si>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</si>
  <si>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</si>
  <si>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</si>
  <si>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</si>
  <si>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</si>
  <si>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</si>
  <si>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</si>
  <si>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</si>
  <si>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</si>
  <si>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</si>
  <si>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</si>
  <si>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</si>
  <si>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</si>
  <si>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</si>
  <si>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</si>
  <si>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</si>
  <si>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</si>
  <si>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</si>
  <si>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</si>
  <si>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</si>
  <si>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</si>
  <si>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</si>
  <si>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</si>
  <si>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</si>
  <si>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</si>
  <si>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</si>
  <si>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</si>
  <si>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</si>
  <si>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 (HORISTA)</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</si>
  <si>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</si>
  <si>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</si>
  <si>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</si>
  <si>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PLUVIAL PREDIAL</t>
  </si>
  <si>
    <t>EMULSAO ASFALTICA ANIONICA</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</si>
  <si>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</si>
  <si>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</si>
  <si>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</si>
  <si>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</si>
  <si>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</si>
  <si>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</si>
  <si>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 (HORISTA)</t>
  </si>
  <si>
    <t>ENCANADOR OU BOMBEIRO HIDRAULICO (MENSALISTA)</t>
  </si>
  <si>
    <t>ENCARREGADO GERAL DE OBRAS (HORISTA)</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</si>
  <si>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</si>
  <si>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</si>
  <si>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</si>
  <si>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</si>
  <si>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</si>
  <si>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</si>
  <si>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</si>
  <si>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</si>
  <si>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</si>
  <si>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</si>
  <si>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</si>
  <si>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</si>
  <si>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</si>
  <si>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</si>
  <si>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</si>
  <si>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</si>
  <si>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</si>
  <si>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</si>
  <si>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</si>
  <si>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</si>
  <si>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</si>
  <si>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</si>
  <si>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</si>
  <si>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</si>
  <si>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</si>
  <si>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</si>
  <si>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</si>
  <si>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</si>
  <si>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</si>
  <si>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</si>
  <si>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</si>
  <si>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</si>
  <si>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</si>
  <si>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</si>
  <si>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</si>
  <si>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</si>
  <si>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</si>
  <si>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</si>
  <si>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</si>
  <si>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</si>
  <si>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</si>
  <si>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</si>
  <si>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</si>
  <si>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</si>
  <si>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</si>
  <si>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</si>
  <si>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</si>
  <si>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</si>
  <si>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</si>
  <si>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 DEMARCACAO DE FAIXAS DE TRAFEGO A QUENTE, A SER MONTADO SOBRE CAMINHAO DE PBT MIN. DE 17 T, DIST. MIN. ENTRE EIXOS 5,2 M, CAPACIDADE PARA 1.000 KG DE MATERIAL TERMOPLASTICO (INCLUI MONTAGEM, NAO INCLUI CAMINHAO, NEM COMPRESSOR DE AR)</t>
  </si>
  <si>
    <t>EQUIPAMENTO PARA DEMARCACAO DE FAIXAS DE TRAFEGO A FRIO, A SER MONTADO SOBRE CAMINHAO DE PBT MINIMO DE 9 T E DISTANCIA MINIMA ENTRE EIXOS DE 4,3 M, CAPACIDADE PARA 800 L DE TINTA (INCLUI MONTAGEM, NAO INCLUI CAMINHAO)</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</si>
  <si>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</si>
  <si>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</si>
  <si>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</si>
  <si>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</si>
  <si>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</si>
  <si>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</si>
  <si>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</si>
  <si>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</si>
  <si>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</si>
  <si>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</si>
  <si>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</si>
  <si>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</si>
  <si>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</si>
  <si>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</si>
  <si>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</si>
  <si>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</si>
  <si>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257,14</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</si>
  <si>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</si>
  <si>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</si>
  <si>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</si>
  <si>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70,12</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</si>
  <si>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</si>
  <si>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</si>
  <si>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</si>
  <si>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</si>
  <si>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TIPO GARRA DUPLA, EM PLASTICO, COBRIMENTO *20* MM, PARA FERRAGENS DE LAJES E FUNDO DE VIGAS</t>
  </si>
  <si>
    <t>ESPACADOR / DISTANCIADOR TIPO PINO EM PLASTICO, PARA VERGALHAO ATE 10 MM, PARA APOIO DE ARMADURA</t>
  </si>
  <si>
    <t>ESPACADOR OU DISTANCIADOR, EM PLASTICO, TIPO APOIO DE CORDOALHA (CARANGUEJO), PARA ARMADURA NEGATIVA E PROTENSAO, COBRIMENTO 50 MM</t>
  </si>
  <si>
    <t>ESPACADOR/SEPARADOR /CENTRALIZADOR DE BARRA DE ACO, PLASTICO, (CHUMBADOR TIPO CARAMBOLA - CB), DIAMETRO INTERNO ATE 20 MM</t>
  </si>
  <si>
    <t>ESPACADOR/SEPARADOR /CENTRALIZADOR DE BARRA DE ACO, PLASTICO, (CHUMBADOR TIPO CARAMBOLA - CB), DIAMETRO INTERNO ENTRE 25 A 32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</si>
  <si>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</si>
  <si>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</si>
  <si>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</si>
  <si>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</si>
  <si>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</si>
  <si>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</si>
  <si>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</si>
  <si>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</si>
  <si>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</si>
  <si>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</si>
  <si>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</si>
  <si>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</si>
  <si>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</si>
  <si>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</si>
  <si>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200,43</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</si>
  <si>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</si>
  <si>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</si>
  <si>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</si>
  <si>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ESQUADRO DE ACO 12 " (300 MM), CABO DE ALUMINIO</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</si>
  <si>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</si>
  <si>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</si>
  <si>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</si>
  <si>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</si>
  <si>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</si>
  <si>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</si>
  <si>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</si>
  <si>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</si>
  <si>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</si>
  <si>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</si>
  <si>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</si>
  <si>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</si>
  <si>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</si>
  <si>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46,43</t>
  </si>
  <si>
    <t>ETANOL</t>
  </si>
  <si>
    <t>EXAMES - HORISTA (COLETADO CAIXA - ENCARGOS COMPLEMENTARES)</t>
  </si>
  <si>
    <t>EXAMES - MENSALISTA (COLETADO CAIXA - ENCARGOS COMPLEMENTARES)</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</si>
  <si>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</si>
  <si>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</si>
  <si>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</si>
  <si>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</si>
  <si>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</si>
  <si>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</si>
  <si>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</si>
  <si>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</si>
  <si>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</si>
  <si>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</si>
  <si>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75/ DE 85 MM (NBR 10351)</t>
  </si>
  <si>
    <t>EXTREMIDADE PVC PBA, PF, JE, DN 100 / DE 110 MM (NBR 10351)</t>
  </si>
  <si>
    <t>EXTREMIDADE PVC PBA, PF, JE, DN 75 / DE 85 MM (NBR 10351)</t>
  </si>
  <si>
    <t>EXTREMIDADE/TUBETE PARA HIDROMETRO PVC, COM ROSCA, CURTA, COM BUCHA LATAO, 3/4"</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</si>
  <si>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</si>
  <si>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</si>
  <si>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SEGURANCA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</si>
  <si>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</si>
  <si>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</si>
  <si>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</si>
  <si>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</si>
  <si>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</si>
  <si>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  (CONJUNTO DE FECHADURAS)</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</si>
  <si>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</si>
  <si>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</si>
  <si>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</si>
  <si>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</si>
  <si>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</si>
  <si>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</si>
  <si>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</si>
  <si>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</si>
  <si>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</si>
  <si>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 (CONJUNTO DE FECHADURAS)</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</si>
  <si>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</si>
  <si>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</si>
  <si>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</si>
  <si>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</si>
  <si>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</si>
  <si>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</si>
  <si>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</si>
  <si>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</si>
  <si>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</si>
  <si>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</si>
  <si>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</si>
  <si>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</si>
  <si>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</si>
  <si>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</si>
  <si>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</si>
  <si>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</si>
  <si>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</si>
  <si>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</si>
  <si>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</si>
  <si>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</si>
  <si>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</si>
  <si>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</si>
  <si>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</si>
  <si>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</si>
  <si>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</si>
  <si>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</si>
  <si>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</si>
  <si>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</si>
  <si>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</si>
  <si>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</si>
  <si>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</si>
  <si>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</si>
  <si>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</si>
  <si>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</si>
  <si>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</si>
  <si>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</si>
  <si>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</si>
  <si>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</si>
  <si>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</si>
  <si>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</si>
  <si>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</si>
  <si>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</si>
  <si>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</si>
  <si>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</si>
  <si>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</si>
  <si>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</si>
  <si>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FERTILIZANTE NPK - 4: 14: 8</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</si>
  <si>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</si>
  <si>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</si>
  <si>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</si>
  <si>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</si>
  <si>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CARGA MEDIA POTENCIA 5 (PARA FERRAMENTA DE ACAO DIRETA) COR VERMELHA</t>
  </si>
  <si>
    <t>FINCAPINO LONGO CALIBRE 22, CARGA FORTE POTENCIA 7 (PARA FERRAMENTA DE ACAO DIRETA), COR AMARELA</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</si>
  <si>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</si>
  <si>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</si>
  <si>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</si>
  <si>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</si>
  <si>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</si>
  <si>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FITA / CINTA AUTOADESIVA ELASTOMERICA PARA VEDACAO, L= 50 MM, E = 3 MM</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</si>
  <si>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</si>
  <si>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</si>
  <si>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</si>
  <si>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</si>
  <si>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</si>
  <si>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</si>
  <si>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</si>
  <si>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</si>
  <si>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</si>
  <si>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</si>
  <si>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</si>
  <si>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</si>
  <si>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</si>
  <si>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</si>
  <si>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ROLOS DE 18 MM X 10 M (L X C)</t>
  </si>
  <si>
    <t>FITA VEDA ROSCA EM ROLOS DE 18 MM X 25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</si>
  <si>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</si>
  <si>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</si>
  <si>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</si>
  <si>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</si>
  <si>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</si>
  <si>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</si>
  <si>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</si>
  <si>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</si>
  <si>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</si>
  <si>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</si>
  <si>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</si>
  <si>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</si>
  <si>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</si>
  <si>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</si>
  <si>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</si>
  <si>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</si>
  <si>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</si>
  <si>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</si>
  <si>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</si>
  <si>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</si>
  <si>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</si>
  <si>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</si>
  <si>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</si>
  <si>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</si>
  <si>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EM POLIETILENO DE ALTA DENSIDADE (PEAD), PARA 15 A 30 CONTRIBUINTES, CILINDRICA, COM TAMPA, CAPACIDADE APROXIMADA DE *5500* LITROS (NBR 7229)</t>
  </si>
  <si>
    <t>FOSSA SEPTICA, SEM FILTRO, EM POLIETILENO DE ALTA DENSIDADE (PEAD), PARA 4 A 7 CONTRIBUINTES, CILINDRICA, COM TAMPA, CAPACIDADE APROXIMADA DE *1100* LITROS (NBR 7229)</t>
  </si>
  <si>
    <t>FOSSA SEPTICA, SEM FILTRO, EM POLIETILENO DE ALTA DENSIDADE (PEAD), PARA 8 A 14 CONTRIBUINTES, CILINDRICA, COM TAMPA, CAPACIDADE APROXIMADA DE *3000* LITROS (NBR 7229)</t>
  </si>
  <si>
    <t>FOSSA SEPTICA,SEM FILTRO, EM POLIETILENO DE ALTA DENSIDADE (PEAD), PARA 40 A 52 CONTRIBUINTES, CILINDRICA, COM TAMPA, CAPACIDADE APROXIMADA DE *10000* LITROS (NBR 7229)</t>
  </si>
  <si>
    <t>FRESADORA DE ASFALTO A FRIO SOBRE ESTEIRAS, LARG. FRESAGEM 2,00 M, POT. 410 KW/550 HP</t>
  </si>
  <si>
    <t>FRESADORA DE ASFALTO A FRIO SOBRE RODAS, LARG. FRESAGEM 1,00 M, POT. 155 KW/208 HP</t>
  </si>
  <si>
    <t>FUNDO PREPARADOR ACRILICO BASE AGUA</t>
  </si>
  <si>
    <t>FUNDO SINTETICO NIVELADOR BRANCO FOSCO PARA MADEIRA</t>
  </si>
  <si>
    <t>38,36</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</si>
  <si>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</si>
  <si>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</si>
  <si>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</si>
  <si>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28,11</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</si>
  <si>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</si>
  <si>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</si>
  <si>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</si>
  <si>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31,85</t>
  </si>
  <si>
    <t>FUSIVEL NH 20 A TAMANHO 000, CAPACIDADE DE INTERRUPCAO DE 120 KA, TENSAO NOMIMNAL DE 500 V</t>
  </si>
  <si>
    <t>29,92</t>
  </si>
  <si>
    <t>FUSIVEL NH 200 A 250 AMPERES, TAMANHO 1, CAPACIDADE DE INTERRUPCAO DE 120 KA, TENSAO NOMIMNAL DE 500 V</t>
  </si>
  <si>
    <t>GABIAO  TIPO CAIXA, MALHA HEXAGONAL 8 X 10 CM (ZN/AL), FIO 2,7 MM, DIMENSOES 2,0 X 1,0 X 0,5 M (C X L X A)</t>
  </si>
  <si>
    <t>415,47</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</si>
  <si>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</si>
  <si>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</si>
  <si>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</si>
  <si>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</si>
  <si>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</si>
  <si>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</si>
  <si>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129,91</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</si>
  <si>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</si>
  <si>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</si>
  <si>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</si>
  <si>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</si>
  <si>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</si>
  <si>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</si>
  <si>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</si>
  <si>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</si>
  <si>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</si>
  <si>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</si>
  <si>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</si>
  <si>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</si>
  <si>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</si>
  <si>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</si>
  <si>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</si>
  <si>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</si>
  <si>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</si>
  <si>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</si>
  <si>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</si>
  <si>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</si>
  <si>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</si>
  <si>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</si>
  <si>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</si>
  <si>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</si>
  <si>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</si>
  <si>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</si>
  <si>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</si>
  <si>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</si>
  <si>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 (HORISTA)</t>
  </si>
  <si>
    <t>GESSEIRO (MENSALISTA)</t>
  </si>
  <si>
    <t>GESSO COLA, EM PO, PARA FIXACAO DE MOLDURAS, SANCAS E BLOCOS DE GESSO</t>
  </si>
  <si>
    <t>GESSO PROJETADO</t>
  </si>
  <si>
    <t>GONZO DE EMBUTIR, EM LATAO / ZAMAC, *20 X 48* MM, PARA JANELA BASCULANTE / PIVOTANTE, JOGO COM 4 PECAS (PAR)  - INCLUI PARAFUSOS</t>
  </si>
  <si>
    <t>GONZO DE SOBREPOR, EM LATAO / ZAMAC, PARA JANELA PIVOTANTE - INCLUI PARAFUSOS</t>
  </si>
  <si>
    <t>GRADE DE DISCOS COM CONTROLE REMOTO, REBOCAVEL, COM 24 DISCOS 24" X 6 MM, COM PNEUS PARA TRANSPORTE</t>
  </si>
  <si>
    <t>69.132,65</t>
  </si>
  <si>
    <t>GRADE DE DISCOS MECANICA 20X24" COM 20 DISCOS 24" X 6MM  COM PNEUS PARA TRANSPORTE</t>
  </si>
  <si>
    <t>54.200,00</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</si>
  <si>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</si>
  <si>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</si>
  <si>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</si>
  <si>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</si>
  <si>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</si>
  <si>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</si>
  <si>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</si>
  <si>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</si>
  <si>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</si>
  <si>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</si>
  <si>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</si>
  <si>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</si>
  <si>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18,13</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</si>
  <si>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</si>
  <si>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</si>
  <si>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</si>
  <si>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</si>
  <si>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GRAXA LUBRIFICANTE</t>
  </si>
  <si>
    <t>55,05</t>
  </si>
  <si>
    <t>GRELHA FIXA, EM PVC BRANCA, QUADRADA, 150 X 150 MM, PARA RALOS E CAIXAS</t>
  </si>
  <si>
    <t>GRELHA FIXA, PVC CROMADA, REDONDA, 150 MM, PARA RALOS E CAIXAS</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</si>
  <si>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</si>
  <si>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</si>
  <si>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</si>
  <si>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</si>
  <si>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GRUA ASCENCIONAL, LANCA DE 30 M, CAPACIDADE DE 1,0 T A 30 M, ALTURA ATE 39 M</t>
  </si>
  <si>
    <t>GRUA ASCENCIONAL, LANCA DE 42 M, CAPACIDADE DE 1,5 T A 30 M, ALTURA ATE 39 M</t>
  </si>
  <si>
    <t>GRUA ASCENCIONAL, LANCA DE 50 M, CAPACIDADE DE 2,33 T A 30 M, ALTURA ATE 48 M</t>
  </si>
  <si>
    <t>GRUPO GERADOR A GASOLINA, POTENCIA NOMINAL 2,2 KW, TENSAO DE SAIDA 110/220 V, MOTOR POTENCIA 6,5 HP</t>
  </si>
  <si>
    <t>GRUPO GERADOR DE SOLDA ELETRICA, COM MAQUINA DE SOLDA, ATE 400 AMPERES E GERADOR A DIESEL 30 CV, MOTOR 4 CILINDROS, TANQUE COMBUST., CARENAGEM DE PROTECAO SOBRE RODAS</t>
  </si>
  <si>
    <t>GRUPO GERADOR DE SOLDA ELETRICA, COM MAQUINA DE SOLDA, ATE 400 AMPERES E GERADOR A DIESEL 60 CV, MOTOR 4 CILINDROS, TANQUE COMBUST., CARENAGEM DE PROTECAO SOBRE RODAS</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</si>
  <si>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</si>
  <si>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</si>
  <si>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</si>
  <si>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</si>
  <si>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</si>
  <si>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</si>
  <si>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</si>
  <si>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</si>
  <si>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</si>
  <si>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</si>
  <si>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</si>
  <si>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</si>
  <si>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</si>
  <si>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</si>
  <si>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 ALIZAR / VISTA LISA EM MADEIRA MACICA, PARA PORTA  , E = *1* CM, L = *5* CM, CEDRINHO / ANGELIM COMERCIAL / TAURI/ CURUPIXA / PEROBA / CUMARU OU EQUIVALENTE DA REGIAO</t>
  </si>
  <si>
    <t>GUARNICAO / ALIZAR / VISTA LISA EM MADEIRA MACICA, PARA PORTA ,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</si>
  <si>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</si>
  <si>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</si>
  <si>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</si>
  <si>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</si>
  <si>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</si>
  <si>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</si>
  <si>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</si>
  <si>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</si>
  <si>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</si>
  <si>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</si>
  <si>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</si>
  <si>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</si>
  <si>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</si>
  <si>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</si>
  <si>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</si>
  <si>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</si>
  <si>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</si>
  <si>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</si>
  <si>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</si>
  <si>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</si>
  <si>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</si>
  <si>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57,81</t>
  </si>
  <si>
    <t>HASTE DE ATERRAMENTO EM ACO GALVANIZADO TIPO CANTONEIRA COM 2,00 M DE COMPRIMENTO, 25 X 25 MM E CHAPA DE 3/16"</t>
  </si>
  <si>
    <t>67,12</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</si>
  <si>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</si>
  <si>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</si>
  <si>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</si>
  <si>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</si>
  <si>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</si>
  <si>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5.920,00</t>
  </si>
  <si>
    <t>HIDRANTE DE COLUNA COMPLETO, EM FERRO FUNDIDO, DN = 75 MM, COM REGISTRO, CUNHA DE BORRACHA, CURVA DESSIMETRICA, EXTREMIDADE E TAMPAS (INCLUI KIT FIXACAO)</t>
  </si>
  <si>
    <t>5.362,18</t>
  </si>
  <si>
    <t>HIDRANTE SUBTERRANEO, EM FERRO FUNDIDO, COM CURVA CURTA E CAIXA, DN 75 MM</t>
  </si>
  <si>
    <t>3.169,28</t>
  </si>
  <si>
    <t>HIDRANTE SUBTERRANEO, EM FERRO FUNDIDO, COM CURVA LONGA E CAIXA, DN 75 MM</t>
  </si>
  <si>
    <t>3.337,87</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</si>
  <si>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</si>
  <si>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</si>
  <si>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</si>
  <si>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</si>
  <si>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</si>
  <si>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</si>
  <si>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</si>
  <si>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92,35</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</si>
  <si>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</si>
  <si>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</si>
  <si>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</si>
  <si>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</si>
  <si>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</si>
  <si>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</si>
  <si>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</si>
  <si>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 (HORISTA)</t>
  </si>
  <si>
    <t>IMPERMEABILIZADOR (MENSALISTA)</t>
  </si>
  <si>
    <t>IMPERMEABILIZANTE FLEXIVEL BRANCO DE BASE ACRILICA PARA COBERTURAS</t>
  </si>
  <si>
    <t>IMPERMEABILIZANTE INCOLOR,  BASE SILICONE, PARA TRATAMENTO DE FACHADAS, TELHAS, PEDRAS E OUTRAS SUPERFICIES</t>
  </si>
  <si>
    <t>IMUNIZANTE PARA MADEIRA, INCOLOR</t>
  </si>
  <si>
    <t>30,54</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</si>
  <si>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</si>
  <si>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</si>
  <si>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</si>
  <si>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</si>
  <si>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</si>
  <si>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</si>
  <si>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33,50</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</si>
  <si>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</si>
  <si>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</si>
  <si>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</si>
  <si>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</si>
  <si>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33,94</t>
  </si>
  <si>
    <t>INTERRUPTOR SIMPLES + INTERRUPTOR PARALELO 10A, 250V, CONJUNTO MONTADO PARA EMBUTIR 4" X 2" (PLACA + SUPORTE + MODULOS)</t>
  </si>
  <si>
    <t>INTERRUPTOR SIMPLES + TOMADA 2P+T 10A, 250V, CONJUNTO MONTADO PARA EMBUTIR 4" X 2" (PLACA + SUPORTE + MODULOS)</t>
  </si>
  <si>
    <t>18,14</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</si>
  <si>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</si>
  <si>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</si>
  <si>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</si>
  <si>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</si>
  <si>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</si>
  <si>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</si>
  <si>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28,79</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</si>
  <si>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</si>
  <si>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</si>
  <si>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</si>
  <si>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</si>
  <si>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</si>
  <si>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</si>
  <si>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</si>
  <si>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</si>
  <si>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</si>
  <si>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</si>
  <si>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</si>
  <si>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</si>
  <si>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104,07</t>
  </si>
  <si>
    <t>ISOLADOR DE PORCELANA, TIPO ROLDANA, DIMENSOES DE *72* X *72* MM, PARA USO EM BAIXA TENSAO</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</si>
  <si>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</si>
  <si>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</si>
  <si>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</si>
  <si>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BASCULANTE, EM ALUMINIO PERFIL 20, 80 X 60 CM (A X L), 4 FLS (1 FIXA E 3 MOVEIS), ACABAMENTO BRANCO OU BRILHANTE, BATENTE DE 3 A 4 CM, COM VIDRO 4 MM, SEM GUARNICAO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</si>
  <si>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</si>
  <si>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</si>
  <si>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ACO, BATENTE/REQUADRO DE 6 A 14 CM, COM DIVISAO HORIZ , PINT ANTICORROSIVA, SEM VIDRO, BANDEIRA COM BASCULA, 4 FLS, 120 X 150 CM (A X L)</t>
  </si>
  <si>
    <t>JANELA DE CORRER, EM ALUMINIO PEFIL 25, 100 X 200 CM (A X L), 4 FLS, SEM BANDEIRA, ACABAMENTO BRANCO OU BRILHANTE, BATENTE DE 6 A 7 CM, COM VIDRO 4 MM, SEM GUARNICAO/ALIZAR</t>
  </si>
  <si>
    <t>JANELA DE CORRER, EM ALUMINIO PERFIL 25, 100 X 120 CM (A X L), 2 FLS MOVEIS, SEM BANDEIRA, ACABAMENTO BRANCO OU BRILHANTE, BATENTE DE 6 A 7 CM, COM VIDRO 4 MM, SEM GUARNICAO</t>
  </si>
  <si>
    <t>JANELA DE CORRER, EM ALUMINIO PERFIL 25, 100 X 150 CM (A X L), 2 FLS MOVEIS, SEM BANDEIRA, ACABAMENTO BRANCO OU BRILHANTE, BATENTE DE 6 A 7 CM, COM VIDRO 4 MM, SEM GUARNICAO</t>
  </si>
  <si>
    <t>JANELA DE CORRER, EM ALUMINIO PERFIL 25, 100 X 150 CM (A X L), 4 FLS MOVEIS, SEM BANDEIRA, ACABAMENTO BRANCO OU BRILHANTE, BATENTE DE 6 A 7 CM, COM VIDRO 4 MM, SEM GUARNICAO/ALIZAR</t>
  </si>
  <si>
    <t>JANELA DE CORRER, EM ALUMINIO PERFIL 25, 120 X 150 CM (A X L), 4 FLS, BANDEIRA COM BASCULA, ACABAMENTO BRANCO OU BRILHANTE, BATENTE/REQUADRO DE 6 A 14 CM, COM VIDRO 4 MM,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</si>
  <si>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</si>
  <si>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</si>
  <si>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</si>
  <si>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</si>
  <si>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PERFIL 20, 60  X 80 CM (A X L), BATENTE/REQUADRO DE 3 A 14 CM, COM VIDRO 4 MM, SEM GUARNICAO/ALIZAR, ACABAMENTO ALUM BRANCO OU BRILHANTE</t>
  </si>
  <si>
    <t>JANELA INTEGRADA VENEZIANA EM ALUMINIO PERFIL 25, 120 X 120 CM (A X L), 2 FLS ( 2 VIDROS) E VENEZIANA COM ACIONAMENTO MANUAL, SEM BANDEIRA, ACABAMENTO BRILHANTE, BATENTE DE 11,50 A 12,50 CM, COM VIDRO 4 MM, INCLUSO GUARNICAO</t>
  </si>
  <si>
    <t>JANELA MAXIM AR EM MADEIRA CEDRINHO/ ANGELIM COMERCIAL/ CURUPIXA/ CUMARU OU EQUIVALENTE DA REGIAO, CAIXA DO BATENTE/MARCO *10* CM, 1 FOLHA  PARA VIDRO, COM GUARNICAO/ALIZAR, COM FERRAGENS, (SEM VIDRO E SEM ACABAMENTO)</t>
  </si>
  <si>
    <t>JANELA MAXIM AR, EM ALUMINIO PERFIL 25, 60 X 80 CM (A X L), ACABAMENTO BRANCO OU BRILHANTE, BATENTE DE 4 A 5 CM, COM VIDRO 4 MM, SEM GUARNICAO/ALIZAR</t>
  </si>
  <si>
    <t>JANELA MAXIMO AR, ACO, BATENTE / REQUADRO DE 6 A 14 CM, PINT ANTICORROSIVA, SEM VIDRO, COM GRADE, 1 FL, 60  X 80 CM (A X L)</t>
  </si>
  <si>
    <t>JANELA VENEZIANA DE CORRER, EM ALUMINIO PERFIL 25, 100 X 120 CM (A X L), 3 FLS (2 VENEZIANAS E 1 VIDRO), SEM BANDEIRA, ACABAMENTO BRANCO OU BRILHANTE, BATENTE DE 8 A 9 CM, COM VIDRO 4 MM, SEM GUARNICAO/ALIZAR</t>
  </si>
  <si>
    <t>JANELA VENEZIANA DE CORRER, EM ALUMINIO PERFIL 25, 100 X 150 CM (A X L), 6 FLS (4 VENEZIANAS E 2 VIDROS), SEM BANDEIRA, ACABAMENTO BRANCO OU BRILHANTE, BATENTE DE 8 A 9 CM, COM VIDRO 4 MM, SEM GUARNICAO / ALIZAR</t>
  </si>
  <si>
    <t>634,72</t>
  </si>
  <si>
    <t>JARDINEIRO (HORISTA)</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</si>
  <si>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</si>
  <si>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</si>
  <si>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</si>
  <si>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</si>
  <si>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</si>
  <si>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</si>
  <si>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</si>
  <si>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</si>
  <si>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</si>
  <si>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114 MM, PARA AGUA QUENTE</t>
  </si>
  <si>
    <t>191,64</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</si>
  <si>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</si>
  <si>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</si>
  <si>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</si>
  <si>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</si>
  <si>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</si>
  <si>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</si>
  <si>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</si>
  <si>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</si>
  <si>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COR MARROM, PARA AGUA FRIA PREDIAL</t>
  </si>
  <si>
    <t>JOELHO DE REDUCAO, PVC SOLDAVEL, 90 GRAUS, 32 MM X 25 MM, COR MARROM, PARA AGUA FRIA PREDIAL</t>
  </si>
  <si>
    <t>JOELHO DE REDUCAO, PVC, ROSCAVEL, 90 GRAUS, 1" X 3/4", COR BRANCA, PARA AGUA FRIA PREDIAL</t>
  </si>
  <si>
    <t>JOELHO DE REDUCAO, PVC, ROSCAVEL, 90 GRAUS, 3/4" X 1/2", COR BRANCA,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</si>
  <si>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</si>
  <si>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</si>
  <si>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</si>
  <si>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F/F, DN 20 MM, PARA AGUA QUENTE PREDIAL</t>
  </si>
  <si>
    <t>JOELHO PPR 45 GRAUS, SOLDAVEL, F/F, DN 25 MM, PARA AGUA QUENTE PREDIAL</t>
  </si>
  <si>
    <t>JOELHO PPR 45 GRAUS, SOLDAVEL, F/F, DN 40 MM, PARA AQUA QUENTE E FRIA PREDIAL</t>
  </si>
  <si>
    <t>JOELHO PPR 45 GRAUS, SOLDAVEL, F/F, DN 50 MM, PARA AQUA QUENTE E FRIA PREDIAL</t>
  </si>
  <si>
    <t>24,32</t>
  </si>
  <si>
    <t>JOELHO PPR 45 GRAUS, SOLDAVEL, F/F, DN 63 MM, PARA AQUA QUENTE E FRIA PREDIAL</t>
  </si>
  <si>
    <t>40,92</t>
  </si>
  <si>
    <t>JOELHO PPR 45 GRAUS, SOLDAVEL, F/F, DN 75 MM, PARA AQUA QUENTE E FRIA PREDIAL</t>
  </si>
  <si>
    <t>JOELHO PPR 45 GRAUS, SOLDAVEL, F/F, DN 90 MM, PARA AQUA QUENTE E FRIA PREDIAL</t>
  </si>
  <si>
    <t>JOELHO PPR, 45 GRAUS, SOLDAVEL, F/F, DN 32 MM, PARA AGUA QUENTE PREDIAL</t>
  </si>
  <si>
    <t>JOELHO PPR, 90 GRAUS, SOLDAVEL, F/F, DN 110 MM, PARA AGUA QUENTE PREDIAL</t>
  </si>
  <si>
    <t>JOELHO PPR, 90 GRAUS, SOLDAVEL, F/F, DN 20 MM, PARA AGUA QUENTE PREDIAL</t>
  </si>
  <si>
    <t>JOELHO PPR, 90 GRAUS, SOLDAVEL, F/F, DN 25 MM, PARA AGUA QUENTE PREDIAL</t>
  </si>
  <si>
    <t>JOELHO PPR, 90 GRAUS, SOLDAVEL, F/F, DN 32 MM, PARA AGUA QUENTE PREDIAL</t>
  </si>
  <si>
    <t>JOELHO PPR, 90 GRAUS, SOLDAVEL, F/F, DN 40 MM, PARA AGUA QUENTE PREDIAL</t>
  </si>
  <si>
    <t>JOELHO PPR, 90 GRAUS, SOLDAVEL, F/F, DN 50 MM, PARA AGUA QUENTE PREDIAL</t>
  </si>
  <si>
    <t>15,29</t>
  </si>
  <si>
    <t>JOELHO PPR, 90 GRAUS, SOLDAVEL, F/F, DN 63 MM, PARA AGUA QUENTE PREDIAL</t>
  </si>
  <si>
    <t>JOELHO PPR, 90 GRAUS, SOLDAVEL, F/F, DN 75 MM, PARA AGUA QUENTE PREDIAL</t>
  </si>
  <si>
    <t>JOELHO PPR, 90 GRAUS, SOLDAVEL, F/F, DN 90 MM, PARA AGUA QUENTE PREDIAL</t>
  </si>
  <si>
    <t>91,42</t>
  </si>
  <si>
    <t>JOELHO PVC COM VISITA, 90 GRAUS, DN 100 X 50 MM, SERIE NORMAL, PARA ESGOTO PREDIAL</t>
  </si>
  <si>
    <t>JOELHO PVC, COM BOLSA E ANEL, 90 GRAUS, DN 40 X *38* MM, SERIE NORMAL, PARA ESGOTO PREDIAL</t>
  </si>
  <si>
    <t>JOELHO PVC, ROSCAVEL, 45 GRAUS, 1/2", COR BRANCA, PARA AGUA FRIA PREDIAL</t>
  </si>
  <si>
    <t>JOELHO PVC, ROSCAVEL, 45 GRAUS, 1", COR BRANCA, PARA AGUA FRIA PREDIAL</t>
  </si>
  <si>
    <t>JOELHO PVC, ROSCAVEL, 45 GRAUS, 3/4", COR BRANCA, PARA AGUA FRIA PREDIAL</t>
  </si>
  <si>
    <t>JOELHO PVC, ROSCAVEL, 90 GRAUS, 1/2", COR BRANCA, PARA AGUA FRIA PREDIAL</t>
  </si>
  <si>
    <t>JOELHO PVC, ROSCAVEL, 90 GRAUS, 1", COR BRANCA, PARA AGUA FRIA PREDIAL</t>
  </si>
  <si>
    <t>JOELHO PVC, ROSCAVEL, 90 GRAUS, 3/4", COR BRANCA, PARA AGUA FRIA PREDIAL</t>
  </si>
  <si>
    <t>JOELHO PVC, SOLDAVEL COM ROSCA, 90 GRAUS, 20 MM X 1/2", COR MARROM, PARA AGUA FRIA PREDIAL</t>
  </si>
  <si>
    <t>JOELHO PVC, SOLDAVEL COM ROSCA, 90 GRAUS, 25 MM X 1/2", COR MARROM, PARA AGUA FRIA PREDIAL</t>
  </si>
  <si>
    <t>JOELHO PVC, SOLDAVEL COM ROSCA, 90 GRAUS, 25 MM X 3/4", COR MARROM, PARA AGUA FRIA PREDIAL</t>
  </si>
  <si>
    <t>JOELHO PVC, SOLDAVEL COM ROSCA, 90 GRAUS, 32 MM X 3/4", COR MARROM, PARA AGUA FRIA PREDIAL</t>
  </si>
  <si>
    <t>JOELHO PVC, SOLDAVEL, BB, 45 GRAUS, DN 40 MM, PARA ESGOTO PREDIAL</t>
  </si>
  <si>
    <t>2,38</t>
  </si>
  <si>
    <t>JOELHO PVC, SOLDAVEL, BB, 90 GRAUS, SEM ANEL, DN 40 MM, PARA ESGOTO PREDIAL SECUNDARIO</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</si>
  <si>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</si>
  <si>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</si>
  <si>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</si>
  <si>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</si>
  <si>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</si>
  <si>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</si>
  <si>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</si>
  <si>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</si>
  <si>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</si>
  <si>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</si>
  <si>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</si>
  <si>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</si>
  <si>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</si>
  <si>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</si>
  <si>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COR MARROM, PARA AGUA FRIA PREDIAL</t>
  </si>
  <si>
    <t>JOELHO PVC, SOLDAVEL, 90 GRAUS, 20 MM, COR MARROM, PARA AGUA FRIA PREDIAL</t>
  </si>
  <si>
    <t>JOELHO PVC, SOLDAVEL, 90 GRAUS, 25 MM, COR MARROM, PARA AGUA FRIA PREDIAL</t>
  </si>
  <si>
    <t>JOELHO PVC, SOLDAVEL, 90 GRAUS, 32 MM, COR MARROM, PARA AGUA FRIA PREDIAL</t>
  </si>
  <si>
    <t>JOELHO PVC, SOLDAVEL, 90 GRAUS, 40 MM, COR MARROM, PARA AGUA FRIA PREDIAL</t>
  </si>
  <si>
    <t>JOELHO PVC, SOLDAVEL, 90 GRAUS, 50 MM, COR MARROM, PARA AGUA FRIA PREDIAL</t>
  </si>
  <si>
    <t>JOELHO PVC, SOLDAVEL, 90 GRAUS, 60 MM, COR MARROM, PARA AGUA FRIA PREDIAL</t>
  </si>
  <si>
    <t>JOELHO PVC, SOLDAVEL, 90 GRAUS, 85 MM, COR MARROM, PARA AGUA FRIA PREDIAL</t>
  </si>
  <si>
    <t>103,71</t>
  </si>
  <si>
    <t>JOELHO PVC, 90 GRAUS, ROSCAVEL, 1 1/4", COR BRANCA, AGUA FRIA PREDIAL</t>
  </si>
  <si>
    <t>JOELHO/COTOVELO 90 GRAUS, METALICO, PARA CONEXAO COM ANEL DESLIZANTE, DN 16 MM, EM TUBO PEX PARA INST. AGUA QUENTE/FRIA</t>
  </si>
  <si>
    <t>JOELHO/COTOVELO 90 GRAUS, METALICO, PARA CONEXAO COM ANEL DESLIZANTE, DN 20 MM, EM TUBO PEX PARA INST. AGUA QUENTE/FRIA</t>
  </si>
  <si>
    <t>JOELHO/COTOVELO 90 GRAUS, METALICO, PARA CONEXAO COM ANEL DESLIZANTE, DN 25 MM, EM TUBO PEX PARA INST. AGUA QUENTE/FRIA</t>
  </si>
  <si>
    <t>JOELHO/COTOVELO 90 GRAUS, METALICO, PARA CONEXAO COM ANEL DESLIZANTE, DN 32 MM, EM TUBO PEX PARA INST. AGUA QUENTE/FRIA</t>
  </si>
  <si>
    <t>30,85</t>
  </si>
  <si>
    <t>JOELHO/COTOVELO 90 GRAUS, PLASTICO, PARA CONEXAO COM CRIMPAGEM, DN 16 MM, EM TUBO PEX PARA INST. AGUA QUENTE/FRIA</t>
  </si>
  <si>
    <t>JOELHO/COTOVELO 90 GRAUS, PLASTICO, PARA CONEXAO COM CRIMPAGEM, DN 20 MM, EM TUBO PEX PARA INST. AGUA QUENTE/FRIA</t>
  </si>
  <si>
    <t>JOELHO/COTOVELO 90 GRAUS, PLASTICO, PARA CONEXAO COM CRIMPAGEM, DN 25 MM, EM TUBO PEX PARA INST. AGUA QUENTE/FRIA</t>
  </si>
  <si>
    <t>JOELHO/COTOVELO 90 GRAUS, ROSCA FEMEA TERMINAL, METALICO, PARA CONEXAO COM ANEL DESLIZANTE, DN 16 MM X 1/2", EM TUBO PEX PARA INST. AGUA QUENTE/FRIA</t>
  </si>
  <si>
    <t>JOELHO/COTOVELO 90 GRAUS, ROSCA FEMEA TERMINAL, METALICO, PARA CONEXAO COM ANEL DESLIZANTE, DN 20 MM X 1/2", EM TUBO PEX PARA INST. AGUA QUENTE/FRIA</t>
  </si>
  <si>
    <t>JOELHO/COTOVELO 90 GRAUS, ROSCA FEMEA TERMINAL, METALICO, PARA CONEXAO COM ANEL DESLIZANTE, DN 20 MM X 3/4", EM TUBO PEX PARA INST. AGUA QUENTE/FRIA</t>
  </si>
  <si>
    <t>JOELHO/COTOVELO 90 GRAUS, ROSCA FEMEA TERMINAL, METALICO, PARA CONEXAO COM ANEL DESLIZANTE, DN 25 MM X 3/4", EM TUBO PEX PARA INST. AGUA QUENTE/FRIA</t>
  </si>
  <si>
    <t>JOELHO/COTOVELO 90 GRAUS, ROSCA FEMEA TERMINAL, PLASTICO, PARA CONEXAO COM CRIMPAGEM, DN 16 MM X 1/2", EM TUBO PEX PARA INST. AGUA QUENTE/FRIA</t>
  </si>
  <si>
    <t>JOELHO/COTOVELO 90 GRAUS, ROSCA FEMEA TERMINAL, PLASTICO, PARA CONEXAO COM CRIMPAGEM, DN 20 MM X 1/2", EM TUBO PEX PARA INST. AGUA QUENTE/FRIA</t>
  </si>
  <si>
    <t>JOELHO/COTOVELO 90 GRAUS, ROSCA FEMEA TERMINAL, PLASTICO, PARA CONEXAO COM CRIMPAGEM, DN 20 MM X 3/4", EM TUBO PEX PARA INST. AGUA QUENTE/FRIA</t>
  </si>
  <si>
    <t>JOELHO/COTOVELO 90 GRAUS, ROSCA FEMEA TERMINAL, PLASTICO, PARA CONEXAO COM CRIMPAGEM, DN 25 MM X 1/2", EM TUBO PEX PARA INST. AGUA QUENTE/FRIA</t>
  </si>
  <si>
    <t>JOELHO/COTOVELO, ROSCA FEMEA MOVEL, METALICO, PARA CONEXAO COM ANEL DESLIZANTE, DN 20 MM X 3/4", EM TUBO PEX PARA INST. AGUA QUENTE/FRIA</t>
  </si>
  <si>
    <t>JOELHO/COTOVELO, ROSCA FEMEA, COM BASE FIXA, METALICO, PARA CONEXAO COM ANEL DESLIZANTE, DN 16 MM X 1/2", EM TUBO PEX PARA INST. AGUA QUENTE/FRIA</t>
  </si>
  <si>
    <t>JOELHO/COTOVELO, ROSCA FEMEA, COM BASE FIXA, METALICO, PARA CONEXAO COM ANEL DESLIZANTE, DN 20 MM X 1/2", EM TUBO PEX PARA INST. AGUA QUENTE/FRIA</t>
  </si>
  <si>
    <t>JOELHO/COTOVELO, ROSCA FEMEA, COM BASE FIXA, METALICO, PARA CONEXAO COM ANEL DESLIZANTE, DN 25 MM X 3/4", EM TUBO PEX PARA INST. AGUA QUENTE/FRIA</t>
  </si>
  <si>
    <t>JOELHO, PVC SERIE R, 45 GRAUS, DN 100 MM, PARA ESGOTO PREDIAL</t>
  </si>
  <si>
    <t>JOELHO, PVC SERIE R, 45 GRAUS, DN 150 MM, PARA ESGOTO PREDIAL</t>
  </si>
  <si>
    <t>75,20</t>
  </si>
  <si>
    <t>JOELHO, PVC SERIE R, 45 GRAUS, DN 40 MM, PARA ESGOTO PREDIAL</t>
  </si>
  <si>
    <t>JOELHO, PVC SERIE R, 45 GRAUS, DN 50 MM, PARA ESGOTO PREDIAL</t>
  </si>
  <si>
    <t>6,82</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</si>
  <si>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</si>
  <si>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</si>
  <si>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</si>
  <si>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</si>
  <si>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</si>
  <si>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6,09</t>
  </si>
  <si>
    <t>JOELHO, PVC SERIE R, 90 GRAUS, DN 75 MM, PARA ESGOTO PREDIAL</t>
  </si>
  <si>
    <t>JOELHO, PVC SOLDAVEL, 45 GRAUS, 20 MM, COR MARROM, PARA AGUA FRIA PREDIAL</t>
  </si>
  <si>
    <t>JOELHO, PVC SOLDAVEL, 45 GRAUS, 25 MM, COR MARROM, PARA AGUA FRIA PREDIAL</t>
  </si>
  <si>
    <t>JOELHO, PVC SOLDAVEL, 45 GRAUS, 32 MM, COR MARROM, PARA AGUA FRIA PREDIAL</t>
  </si>
  <si>
    <t>JOELHO, PVC SOLDAVEL, 45 GRAUS, 40 MM, COR MARROM, PARA AGUA FRIA PREDIAL</t>
  </si>
  <si>
    <t>JOELHO, PVC SOLDAVEL, 45 GRAUS, 50 MM, COR MARROM, PARA AGUA FRIA PREDIAL</t>
  </si>
  <si>
    <t>JOELHO, PVC SOLDAVEL, 45 GRAUS, 60 MM, COR MARROM, PARA AGUA FRIA PREDIAL</t>
  </si>
  <si>
    <t>JOELHO, PVC SOLDAVEL, 45 GRAUS, 75 MM, COR MARROM, PARA AGUA FRIA PREDIAL</t>
  </si>
  <si>
    <t>JOELHO, PVC SOLDAVEL, 45 GRAUS, 85 MM, COR MARROM, PARA AGUA FRIA PREDIAL</t>
  </si>
  <si>
    <t>JOELHO, PVC SOLDAVEL, 90 GRAUS, 75 MM, COR MARROM, PARA AGUA FRIA PREDIAL</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</si>
  <si>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</si>
  <si>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</si>
  <si>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</si>
  <si>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</si>
  <si>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</si>
  <si>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DUPLA, PVC SERIE R, DN 100 X 100 X 100 MM, PARA ESGOTO PREDIAL</t>
  </si>
  <si>
    <t>JUNCAO DUPLA, PVC SOLDAVEL, DN 100 X 100 X 100 MM , SERIE NORMAL PARA ESGOTO PREDIAL</t>
  </si>
  <si>
    <t>JUNCAO INVERTIDA, PVC SOLDAVEL, 75 X 75 MM, SERIE NORMAL PARA ESGOTO PREDIAL</t>
  </si>
  <si>
    <t>JUNCAO SIMPLES DE REDUCAO, PVC, DN 100 X 50 MM, SERIE NORMAL PARA ESGOTO PREDIAL</t>
  </si>
  <si>
    <t>19,03</t>
  </si>
  <si>
    <t>JUNCAO SIMPLES DE REDUCAO, PVC, DN 100 X 75 MM, SERIE NORMAL PARA ESGOTO PREDIAL</t>
  </si>
  <si>
    <t>24,61</t>
  </si>
  <si>
    <t>JUNCAO SIMPLES, PVC SERIE R, DN 100 X 100 MM, PARA ESGOTO PREDIAL</t>
  </si>
  <si>
    <t>55,11</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</si>
  <si>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</si>
  <si>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</si>
  <si>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</si>
  <si>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</si>
  <si>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</si>
  <si>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</si>
  <si>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45 GRAUS, DN 100 X 100 MM, SERIE NORMAL PARA ESGOTO PREDIAL</t>
  </si>
  <si>
    <t>JUNCAO SIMPLES, PVC, 45 GRAUS, DN 40 X 40 MM, SERIE NORMAL PARA ESGOTO PREDIAL</t>
  </si>
  <si>
    <t>JUNCAO SIMPLES, PVC, 45 GRAUS, DN 50 X 50 MM, SERIE NORMAL PARA ESGOTO PREDIAL</t>
  </si>
  <si>
    <t>JUNCAO SIMPLES, PVC, 45 GRAUS, DN 75 X 75 MM, SERIE NORMAL PARA ESGOTO PREDIAL</t>
  </si>
  <si>
    <t>JUNCAO 2 GARRAS PARA FITA PERFURADA</t>
  </si>
  <si>
    <t>JUNCAO, PVC, 45 GRAUS, JE, BBB, DN 150 MM, PARA TUBO CORRUGADO E/OU LISO, REDE COLETORA DE ESGOTO</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</si>
  <si>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</si>
  <si>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</si>
  <si>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</si>
  <si>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</si>
  <si>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</si>
  <si>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</si>
  <si>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</si>
  <si>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</si>
  <si>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</si>
  <si>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</si>
  <si>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</si>
  <si>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</si>
  <si>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</si>
  <si>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</si>
  <si>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</si>
  <si>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INSTAL. PEX, QUADRO METALICO C/ TRAVESSA C/ FURO P/ESGOTO DN 50 MM E FUROS SUPERIORES P/AGUA, *340* X *650* MM (L X H), P/ CONEXAO COM ANEL DESLIZANTE (CONJUNTO COMPLETO)</t>
  </si>
  <si>
    <t>KIT CHASSI COZINHA, CUBA SIMPLES SEM MAQUINA LAVAR LOUCA, INSTAL. PEX, QUADRO METALICO C/ TRAVESSA COM FURO P/ESGOTO DN 50 MM E FUROS SUPERIORES P/AGUA, *340* X *650* MM (L X H), P/ CONEXAO COM CRIMPAGEM (CONJUNTO COMPLETO)</t>
  </si>
  <si>
    <t>KIT CHASSI TANQUE E MAQUINA LAVAR ROUPA, INSTAL. PEX, QUADRO METALICO C/ TRAVESSA C/ FURO P/ ESGOTO DN 50 MM, FURO LATERAL P/ MAQUINA E FUROS SUPERIORES P/ AGUA, *344* X *442* MM (L X H), P/ CONEXAO COM ANEL DESLIZANTE (CONJUNTO COMPLETO)</t>
  </si>
  <si>
    <t>76,07</t>
  </si>
  <si>
    <t>KIT CHASSI TANQUE E MAQUINA LAVAR ROUPA, INSTAL. PEX, QUADRO METALICO C/ TRAVESSA C/ FURO P/ ESGOTO DN 50 MM, FURO LATERAL P/MAQUINA E FUROS SUPERIORES P/AGUA, *344* X *442* MM (L X H), P/ CONEXAO COM CRIMPAGEM (CONJUNTO COMPLETO)</t>
  </si>
  <si>
    <t>KIT CHUVEIRO, INSTAL. PEX, QUADRO METALICO C/ 2 TRAVESSAS, SUPERIOR C/ ESPERA P/ CHUVEIRO, INFERIOR C/ 2 REGISTROS DE PRESSAO 1/2 ", *390* X *900* MM (L X H), CONEXAO COM ANEL DESLIZANTE (CONJUNTO COMPLETO)</t>
  </si>
  <si>
    <t>166,66</t>
  </si>
  <si>
    <t>KIT CHUVEIRO, INSTAL. PEX, QUADRO METALICO C/2 TRAVESSAS, SUPERIOR C/ ESPERA P/ CHUVEIRO E INFERIOR C/2 REGISTROS DE PRESSAO 1/2 ", *390* X *900* MM (L X H), CONEXAO COM CRIMPAGEM (CONJUNTO COMPLETO)</t>
  </si>
  <si>
    <t>351,63</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</si>
  <si>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</si>
  <si>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</si>
  <si>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</si>
  <si>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</si>
  <si>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</si>
  <si>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</si>
  <si>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</si>
  <si>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</si>
  <si>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</si>
  <si>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</si>
  <si>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</si>
  <si>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</si>
  <si>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</si>
  <si>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</si>
  <si>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</si>
  <si>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</si>
  <si>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</si>
  <si>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1.073,66</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</si>
  <si>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</si>
  <si>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</si>
  <si>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</si>
  <si>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</si>
  <si>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</si>
  <si>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</si>
  <si>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</si>
  <si>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</si>
  <si>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</si>
  <si>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</si>
  <si>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</si>
  <si>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</si>
  <si>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</si>
  <si>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</si>
  <si>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</si>
  <si>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</si>
  <si>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</si>
  <si>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</si>
  <si>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</si>
  <si>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</si>
  <si>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</si>
  <si>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</si>
  <si>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</si>
  <si>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</si>
  <si>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</si>
  <si>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</si>
  <si>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35,94</t>
  </si>
  <si>
    <t>LAMPADA DE LUZ MISTA 500 W, BASE E40 (220 V)</t>
  </si>
  <si>
    <t>LAMPADA FLUORESCENTE COMPACTA BRANCA 135 W, BASE E40 (127/220 V)</t>
  </si>
  <si>
    <t>LAMPADA FLUORESCENTE COMPACTA 2U/3U BRANCA 9/10 W, BASE E27 (127/220 V)</t>
  </si>
  <si>
    <t>LAMPADA FLUORESCENTE COMPACTA 3U BRANCA 20 W, BASE E27 (127/220 V)</t>
  </si>
  <si>
    <t>16,90</t>
  </si>
  <si>
    <t>LAMPADA FLUORESCENTE ESPIRAL BRANCA 45 W, BASE E27 (127/220 V)</t>
  </si>
  <si>
    <t>LAMPADA FLUORESCENTE ESPIRAL BRANCA 65 W, BASE E27 (127/220 V)</t>
  </si>
  <si>
    <t>103,26</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</si>
  <si>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</si>
  <si>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</si>
  <si>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</si>
  <si>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</si>
  <si>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</si>
  <si>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</si>
  <si>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</si>
  <si>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</si>
  <si>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</si>
  <si>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</si>
  <si>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51,64</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</si>
  <si>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</si>
  <si>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</si>
  <si>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</si>
  <si>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</si>
  <si>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</si>
  <si>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</si>
  <si>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</si>
  <si>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95,66</t>
  </si>
  <si>
    <t>LAVADORA DE ALTA PRESSAO (LAVA - JATO) PARA AGUA FRIA, PRESSAO DE OPERACAO ENTRE 1400 E 1900 LIB/POL2, VAZAO MAXIMA ENTRE  400 E 700 L/H, POTENCIA DE OPERACAO ENTRE 2,50 E 3,00 CV</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</si>
  <si>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</si>
  <si>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</si>
  <si>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</si>
  <si>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166,34</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</si>
  <si>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</si>
  <si>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</si>
  <si>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</si>
  <si>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</si>
  <si>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</si>
  <si>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</si>
  <si>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</si>
  <si>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</si>
  <si>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LEITURISTA OU CADASTRISTA DE REDES DE AGUA E ESGOTO (HORISTA)</t>
  </si>
  <si>
    <t>LEITURISTA OU CADASTRISTA DE REDES DE AGUA E ESGOTO (MENSALISTA)</t>
  </si>
  <si>
    <t>LETRA ACO INOX (AISI 304), CHAPA NUM. 22, RECORTADO, H= 20 CM (SEM RELEVO)</t>
  </si>
  <si>
    <t>LEVANTADOR DE JANELA GUILHOTINA, EM LATAO CROMADO</t>
  </si>
  <si>
    <t>LIMPA VIDROS COM PULVERIZADOR</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</si>
  <si>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</si>
  <si>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</si>
  <si>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</si>
  <si>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</si>
  <si>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</si>
  <si>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</si>
  <si>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</si>
  <si>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</si>
  <si>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</si>
  <si>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</si>
  <si>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PECAS COM APROXIMADAMENTE 1,20 M DE LARGURA E 2,0 M DE ALTURA, INCLUINDO DIAGONAIS EM X, BARRAS DE LIGACAO, SAPATAS E DEMAIS ITENS NECESSARIOS A MONTAGEM (NAO INCLUI INSTALACAO)</t>
  </si>
  <si>
    <t>LOCACAO DE ANDAIME METALICO TUBULAR DE ENCAIXE, TIPO DE TORRE, CADA PAINEL COM LARGURA DE 1 ATE 1,5 M E ALTURA DE *1,00* M, INCLUINDO DIAGONAL, BARRAS DE LIGACAO, SAPATAS OU RODIZIOS E DEMAIS ITENS NECESSARIOS A MONTAGEM (NAO INCLUI INSTALACAO)</t>
  </si>
  <si>
    <t>LOCACAO DE APRUMADOR METALICO DE PILAR, COM ALTURA E ANGULO REGULAVEIS, EXTENSAO DE *1,50* A *2,80* M</t>
  </si>
  <si>
    <t>LOCACAO DE BARRA DE ANCORAGEM DE 0,80 A 1,20 M DE EXTENSAO, COM ROSCA DE 5/8", INCLUINDO PORCA E FLANGE</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</si>
  <si>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</si>
  <si>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</si>
  <si>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</si>
  <si>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</si>
  <si>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</si>
  <si>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4,30 M, ALT. 2,50 M, P/ SANITARIO, C/ 5 BACIAS, 1 LAVATORIO E 4 MICTORIOS (NAO INCLUI MOBILIZACAO/DESMOBILIZACAO)</t>
  </si>
  <si>
    <t>LOCACAO DE CONTAINER 2,30 X 4,30 M, ALT. 2,50 M, PARA SANITARIO, COM 3 BACIAS, 4 CHUVEIROS, 1 LAVATORIO E 1 MICTORIO (NAO INCLUI MOBILIZACAO/DESMOBILIZACAO)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</si>
  <si>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</si>
  <si>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</si>
  <si>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</si>
  <si>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LOCACAO DE ESCORA METALICA TELESCOPICA, COM ALTURA REGULAVEL DE *1,80* A *3,20* M, COM CAPACIDADE DE CARGA DE NO MINIMO 1000 KGF (10 KN), INCLUSO TRIPE E FORCADO</t>
  </si>
  <si>
    <t>17,30</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</si>
  <si>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</si>
  <si>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</si>
  <si>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</si>
  <si>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</si>
  <si>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LOCACAO DE NIVEL OPTICO, COM PRECISAO DE 0,7 MM, AUMENTO DE 32X</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</si>
  <si>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</si>
  <si>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</si>
  <si>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</si>
  <si>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PESADA PRETA, E = 150 MICRA</t>
  </si>
  <si>
    <t>LUMINARIA ABERTA P/ ILUMINACAO PUBLICA, TIPO X-57 PETERCO OU EQUIV</t>
  </si>
  <si>
    <t>87,98</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</si>
  <si>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</si>
  <si>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</si>
  <si>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278,08</t>
  </si>
  <si>
    <t>LUMINARIA DE EMBUTIR EM CHAPA DE ACO PARA 4 LAMPADAS FLUORESCENTES DE 14 W *60 X 60 CM* ALETADA (NAO INCLUI REATOR E LAMPADAS)</t>
  </si>
  <si>
    <t>295,13</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</si>
  <si>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</si>
  <si>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</si>
  <si>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</si>
  <si>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</si>
  <si>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</si>
  <si>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</si>
  <si>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</si>
  <si>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</si>
  <si>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</si>
  <si>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52,66</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</si>
  <si>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</si>
  <si>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</si>
  <si>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</si>
  <si>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</si>
  <si>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108,33</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</si>
  <si>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</si>
  <si>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</si>
  <si>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</si>
  <si>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</si>
  <si>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143,91</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</si>
  <si>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</si>
  <si>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</si>
  <si>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</si>
  <si>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385,31</t>
  </si>
  <si>
    <t>LUMINARIA FECHADA P/ ILUMINACAO PUBLICA, TIPO ABL 50/F OU EQUIV, P/ LAMPADA A VAPOR DE MERCURIO 400W</t>
  </si>
  <si>
    <t>410,58</t>
  </si>
  <si>
    <t>LUMINARIA HERMETICA IP-65 PARA 2 DUAS LAMPADAS DE 14/16/18/20 W (NAO INCLUI REATOR E LAMPADAS)</t>
  </si>
  <si>
    <t>182,42</t>
  </si>
  <si>
    <t>LUMINARIA HERMETICA IP-65 PARA 2 DUAS LAMPADAS DE 28/32/36/40 W (NAO INCLUI REATOR E LAMPADAS)</t>
  </si>
  <si>
    <t>224,70</t>
  </si>
  <si>
    <t>LUMINARIA LED PLAFON REDONDO DE SOBREPOR BIVOLT 12/13 W,  D = *17* CM</t>
  </si>
  <si>
    <t>LUMINARIA LED REFLETOR RETANGULAR BIVOLT, LUZ BRANCA, 10 W</t>
  </si>
  <si>
    <t>LUMINARIA LED REFLETOR RETANGULAR BIVOLT, LUZ BRANCA, 30 W</t>
  </si>
  <si>
    <t>39,61</t>
  </si>
  <si>
    <t>LUMINARIA LED REFLETOR RETANGULAR BIVOLT, LUZ BRANCA, 50 W</t>
  </si>
  <si>
    <t>44,47</t>
  </si>
  <si>
    <t>LUMINARIA PLAFON REDONDO COM VIDRO FOSCO DIAMETRO *25* CM, PARA 1 LAMPADA, BASE E27, POTENCIA MAXIMA 40/60 W (NAO INCLUI LAMPADA)</t>
  </si>
  <si>
    <t>65,15</t>
  </si>
  <si>
    <t>75,44</t>
  </si>
  <si>
    <t>LUMINARIA PROVA DE TEMPO PETERCO Y.31/1</t>
  </si>
  <si>
    <t>221,08</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</si>
  <si>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</si>
  <si>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</si>
  <si>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113,15</t>
  </si>
  <si>
    <t>LUMINARIA SPOT DE SOBREPOR EM ALUMINIO COM ALETA PLASTICA PARA 2 LAMPADAS, BASE E27, POTENCIA MAXIMA 40/60 W (NAO INCLUI LAMPADA)</t>
  </si>
  <si>
    <t>80,22</t>
  </si>
  <si>
    <t>LUMINARIA TIPO TARTARUGA A PROVA DE TEMPO, GASES, VAPOR E PO, EM ALUMINIO, COM GRADE, BASE E27, POTENCIA MAXIMA 100 W - REF Y 25/1 (NAO INCLUI LAMPADA)</t>
  </si>
  <si>
    <t>167,13</t>
  </si>
  <si>
    <t>LUMINARIA TIPO TARTARUGA PARA AREA EXTERNA EM ALUMINIO, COM GRADE, PARA 1 LAMPADA, BASE E27, POTENCIA MAXIMA 40/60 W (NAO INCLUI LAMPADA)</t>
  </si>
  <si>
    <t>LUVA CPVC, SOLDAVEL, 114 MM, PARA AGUA QUENTE PREDIAL</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</si>
  <si>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</si>
  <si>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</si>
  <si>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</si>
  <si>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</si>
  <si>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</si>
  <si>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</si>
  <si>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</si>
  <si>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</si>
  <si>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</si>
  <si>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</si>
  <si>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</si>
  <si>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28 MM</t>
  </si>
  <si>
    <t>LUVA DE COBRE (REF 600) SEM ANEL DE SOLDA, BOLSA X BOLSA, 54 MM</t>
  </si>
  <si>
    <t>LUVA DE COBRE (REF 600) SEM ANEL DE SOLDA, BOLSA X BOLSA, 66 MM</t>
  </si>
  <si>
    <t>LUVA DE COBRE (REF 600) SEM ANEL DE SOLDA, BOLSA X BOLSA, 79 MM</t>
  </si>
  <si>
    <t>287,97</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</si>
  <si>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</si>
  <si>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</si>
  <si>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</si>
  <si>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</si>
  <si>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</si>
  <si>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</si>
  <si>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47,38</t>
  </si>
  <si>
    <t>LUVA DE CORRER PARA TUBO ROSCAVEL, PVC, 1/2", PARA AGUA FRIA PREDIAL</t>
  </si>
  <si>
    <t>LUVA DE CORRER PARA TUBO ROSCAVEL, PVC, 3/4", PARA AGUA FRIA PREDIAL</t>
  </si>
  <si>
    <t>LUVA DE CORRER PARA TUBO SOLDAVEL, PVC, 20 MM, PARA AGUA FRIA PREDIAL</t>
  </si>
  <si>
    <t>10,77</t>
  </si>
  <si>
    <t>LUVA DE CORRER PARA TUBO SOLDAVEL, PVC, 25 MM, PARA AGUA FRIA PREDIAL</t>
  </si>
  <si>
    <t>LUVA DE CORRER PARA TUBO SOLDAVEL, PVC, 32 MM, PARA AGUA FRIA PREDIAL</t>
  </si>
  <si>
    <t>LUVA DE CORRER PARA TUBO SOLDAVEL, PVC, 40 MM, PARA AGUA FRIA PREDIAL</t>
  </si>
  <si>
    <t>LUVA DE CORRER PARA TUBO SOLDAVEL, PVC, 50 MM, PARA AGUA FRIA PREDIAL</t>
  </si>
  <si>
    <t>29,02</t>
  </si>
  <si>
    <t>LUVA DE CORRER PARA TUBO SOLDAVEL, PVC, 60 MM, PARA AGUA FRIA PREDIAL</t>
  </si>
  <si>
    <t>39,89</t>
  </si>
  <si>
    <t>LUVA DE CORRER PVC, JE, DN 250 MM, PARA REDE COLETORA DE ESGOTO</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</si>
  <si>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</si>
  <si>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</si>
  <si>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</si>
  <si>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</si>
  <si>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</si>
  <si>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</si>
  <si>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</si>
  <si>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</si>
  <si>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 100 MM, PARA ESGOTO PREDIAL</t>
  </si>
  <si>
    <t>LUVA DE CORRER, PVC SERIE R, 150 MM, PARA ESGOTO PREDIAL</t>
  </si>
  <si>
    <t>LUVA DE CORRER, PVC SERIE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</si>
  <si>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</si>
  <si>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</si>
  <si>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</si>
  <si>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</si>
  <si>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</si>
  <si>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</si>
  <si>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</si>
  <si>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</si>
  <si>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</si>
  <si>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71,53</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</si>
  <si>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</si>
  <si>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</si>
  <si>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</si>
  <si>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</si>
  <si>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</si>
  <si>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</si>
  <si>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</si>
  <si>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</si>
  <si>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</si>
  <si>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</si>
  <si>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</si>
  <si>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</si>
  <si>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</si>
  <si>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</si>
  <si>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</si>
  <si>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</si>
  <si>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</si>
  <si>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</si>
  <si>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</si>
  <si>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</si>
  <si>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</si>
  <si>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</si>
  <si>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</si>
  <si>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76,38</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</si>
  <si>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</si>
  <si>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</si>
  <si>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</si>
  <si>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</si>
  <si>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</si>
  <si>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</si>
  <si>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</si>
  <si>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</si>
  <si>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</si>
  <si>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</si>
  <si>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</si>
  <si>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</si>
  <si>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</si>
  <si>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</si>
  <si>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</si>
  <si>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17,47</t>
  </si>
  <si>
    <t>LUVA DE REDUCAO EM ACO CARBONO, COM ENCAIXE PARA SOLDA DN SW, PRESSAO 3.000 LBS, DN 2 1/2" X 2"</t>
  </si>
  <si>
    <t>LUVA DE REDUCAO EM ACO CARBONO, COM ENCAIXE PARA SOLDA DN SW, PRESSAO 3.000 LBS, DN 2" X 1 1/2"</t>
  </si>
  <si>
    <t>92,45</t>
  </si>
  <si>
    <t>LUVA DE REDUCAO EM ACO CARBONO, COM ENCAIXE PARA SOLDA DN SW, PRESSAO 3.000 LBS, DN 3" X 2 1/2"</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</si>
  <si>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</si>
  <si>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</si>
  <si>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</si>
  <si>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</si>
  <si>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</si>
  <si>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</si>
  <si>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SOLDAVEL, PVC,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</si>
  <si>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</si>
  <si>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</si>
  <si>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</si>
  <si>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</si>
  <si>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</si>
  <si>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</si>
  <si>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</si>
  <si>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</si>
  <si>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</si>
  <si>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</si>
  <si>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</si>
  <si>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</si>
  <si>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</si>
  <si>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</si>
  <si>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</si>
  <si>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</si>
  <si>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</si>
  <si>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</si>
  <si>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</si>
  <si>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</si>
  <si>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</si>
  <si>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</si>
  <si>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</si>
  <si>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</si>
  <si>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</si>
  <si>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</si>
  <si>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</si>
  <si>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</si>
  <si>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</si>
  <si>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</si>
  <si>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</si>
  <si>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</si>
  <si>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</si>
  <si>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</si>
  <si>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</si>
  <si>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</si>
  <si>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</si>
  <si>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65,88</t>
  </si>
  <si>
    <t>LUVA PASSANTE DE COBRE (REF 601) SEM ANEL DE SOLDA, BOLSA 66 MM</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</si>
  <si>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</si>
  <si>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</si>
  <si>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</si>
  <si>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</si>
  <si>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</si>
  <si>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</si>
  <si>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</si>
  <si>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13,57</t>
  </si>
  <si>
    <t>LUVA PVC SOLDAVEL, 75 MM, PARA AGUA FRIA PREDIAL</t>
  </si>
  <si>
    <t>LUVA PVC SOLDAVEL, 85 MM, PARA AGUA FRIA PREDIAL</t>
  </si>
  <si>
    <t>44,56</t>
  </si>
  <si>
    <t>LUVA PVC, ROSCAVEL, 1 1/2",  AGUA FRIA PREDIAL</t>
  </si>
  <si>
    <t>LUVA PVC, ROSCAVEL, 1/2", AGUA FRIA PREDIAL</t>
  </si>
  <si>
    <t>LUVA PVC, ROSCAVEL, 1", AGUA FRIA PREDIAL</t>
  </si>
  <si>
    <t>LUVA PVC, ROSCAVEL, 3/4", AGUA FRIA PREDIAL</t>
  </si>
  <si>
    <t>LUVA RASPA DE COURO, CANO CURTO (PUNHO *7* CM)</t>
  </si>
  <si>
    <t>LUVA SIMPLES PPR, F/F, SOLDAVEL, DN 110 MM, PARA AGUA QUENTE PREDIAL</t>
  </si>
  <si>
    <t>LUVA SIMPLES PPR, F/F, SOLDAVEL, DN 20 MM, PARA AGUA QUENTE PREDIAL</t>
  </si>
  <si>
    <t>2,52</t>
  </si>
  <si>
    <t>LUVA SIMPLES PPR, F/F, SOLDAVEL, DN 25 MM, PARA AGUA QUENTE PREDIAL</t>
  </si>
  <si>
    <t>LUVA SIMPLES PPR, F/F, SOLDAVEL, DN 32 MM, PARA AGUA QUENTE PREDIAL</t>
  </si>
  <si>
    <t>LUVA SIMPLES PPR, F/F, SOLDAVEL, DN 40 MM, PARA AGUA QUENTE PREDIAL</t>
  </si>
  <si>
    <t>LUVA SIMPLES PPR, F/F, SOLDAVEL, DN 50 MM, PARA AGUA QUENTE PREDIAL</t>
  </si>
  <si>
    <t>LUVA SIMPLES PPR, F/F, SOLDAVEL, DN 63 MM, PARA AGUA QUENTE PREDIAL</t>
  </si>
  <si>
    <t>LUVA SIMPLES PPR, F/F, SOLDAVEL, DN 75 MM, PARA AGUA QUENTE PREDIAL</t>
  </si>
  <si>
    <t>LUVA SIMPLES PPR, F/F, SOLDAVEL, DN 90 MM, PARA AGUA QUENTE PREDIAL</t>
  </si>
  <si>
    <t>LUVA SIMPLES, PVC PBA, JE, DN 100 / DE 110 MM, PARA REDE AGUA (NBR 10351)</t>
  </si>
  <si>
    <t>LUVA SIMPLES, PVC PBA, JE, DN 50 / DE 60 MM, PARA REDE AGUA (NBR 10351)</t>
  </si>
  <si>
    <t>LUVA SIMPLES, PVC PBA, JE, DN 75 / DE 85 MM, PARA REDE AGUA (NBR 10351)</t>
  </si>
  <si>
    <t>LUVA SIMPLES, PVC SERIE R, 100 MM, PARA ESGOTO PREDIAL</t>
  </si>
  <si>
    <t>LUVA SIMPLES, PVC SERIE R, 150 MM, PARA ESGOTO PREDIAL</t>
  </si>
  <si>
    <t>LUVA SIMPLES, PVC SERIE R, 40 MM, PARA ESGOTO PREDIAL</t>
  </si>
  <si>
    <t>LUVA SIMPLES, PVC SERIE R, 50 MM, PARA ESGOTO PREDIAL</t>
  </si>
  <si>
    <t>LUVA SIMPLES, PVC SERIE R, 75 MM, PARA ESGOTO PREDIAL</t>
  </si>
  <si>
    <t>LUVA SIMPLES, PVC, SOLDAVEL, DN 100 MM, SERIE NORMAL, PARA ESGOTO PREDIAL</t>
  </si>
  <si>
    <t>LUVA SIMPLES, PVC, SOLDAVEL, DN 150 MM, SERIE NORMAL, PARA ESGOTO PREDIAL</t>
  </si>
  <si>
    <t>33,36</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</si>
  <si>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</si>
  <si>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</si>
  <si>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</si>
  <si>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</si>
  <si>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</si>
  <si>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</si>
  <si>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</si>
  <si>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</si>
  <si>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</si>
  <si>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</si>
  <si>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</si>
  <si>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</si>
  <si>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</si>
  <si>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LUVA/UNIAO DE REDUCAO METALICA, PARA CONEXAO COM ANEL DESLIZANTE, DN 20 X 16 MM, EM TUBO PEX PARA INST. AGUA QUENTE/FRIA</t>
  </si>
  <si>
    <t>LUVA/UNIAO DE REDUCAO METALICA, PARA CONEXAO COM ANEL DESLIZANTE, DN 25 X 16 MM, EM TUBO PEX PARA INST. AGUA QUENTE/FRIA</t>
  </si>
  <si>
    <t>LUVA/UNIAO DE REDUCAO METALICA, PARA CONEXAO COM ANEL DESLIZANTE, DN 25 X 20 MM, EM TUBO PEX PARA INST. AGUA QUENTE/FRIA</t>
  </si>
  <si>
    <t>LUVA/UNIAO DE REDUCAO METALICA, PARA CONEXAO COM ANEL DESLIZANTE, DN 32 X 25 MM, EM TUBO PEX PARA INST. AGUA QUENTE/FRIA</t>
  </si>
  <si>
    <t>LUVA/UNIAO DE REDUCAO, PLASTICA, PARA CONEXAO COM CRIMPAGEM, DN 20 X 16 MM, EM TUBO PEX PARA INST. AGUA QUENTE/FRIA</t>
  </si>
  <si>
    <t>LUVA/UNIAO DE REDUCAO, PLASTICA, PARA CONEXAO COM CRIMPAGEM, DN 25 X 16 MM, EM TUBO PEX PARA INST. AGUA QUENTE/FRIA</t>
  </si>
  <si>
    <t>LUVA/UNIAO DE REDUCAO, PLASTICA, PARA CONEXAO COM CRIMPAGEM, DN 32 X 25 MM, EM TUBO PEX PARA INST. AGUA QUENTE/FRIA</t>
  </si>
  <si>
    <t>LUVA/UNIAO METALICA, PARA CONEXAO COM ANEL DESLIZANTE, DN 16 MM, EM TUBO PEX PARA INST. AGUA QUENTE/FRIA</t>
  </si>
  <si>
    <t>LUVA/UNIAO METALICA, PARA CONEXAO COM ANEL DESLIZANTE, DN 20 MM, EM TUBO PEX PARA INST. AGUA QUENTE/FRIA</t>
  </si>
  <si>
    <t>LUVA/UNIAO METALICA, PARA CONEXAO COM ANEL DESLIZANTE, DN 25 MM, EM TUBO PEX PARA INST. AGUA QUENTE/FRIA</t>
  </si>
  <si>
    <t>LUVA/UNIAO METALICA, PARA CONEXAO COM ANEL DESLIZANTE, DN 32 MM, EM TUBO PEX PARA INST. AGUA QUENTE/FRIA</t>
  </si>
  <si>
    <t>LUVA/UNIAO, PLASTICA, PARA CONEXAO COM CRIMPAGEM, DN 16 MM, EM TUBO PEX PARA INST. AGUA QUENTE/FRIA</t>
  </si>
  <si>
    <t>LUVA/UNIAO, PLASTICA, PARA CONEXAO COM CRIMPAGEM, DN 20 MM, EM TUBO PEX PARA INST. AGUA QUENTE/FRIA</t>
  </si>
  <si>
    <t>LUVA/UNIAO, PLASTICA, PARA CONEXAO COM CRIMPAGEM, DN 25 MM, EM TUBO PEX PARA INST. AGUA QUENTE/FRIA</t>
  </si>
  <si>
    <t>LUVA/UNIAO, PLASTICA, PARA CONEXAO COM CRIMPAGEM, DN 32 MM, EM TUBO PEX PARA INST. AGUA QUENTE/FRIA</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</si>
  <si>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</si>
  <si>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</si>
  <si>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</si>
  <si>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</si>
  <si>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</si>
  <si>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</si>
  <si>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</si>
  <si>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</si>
  <si>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</si>
  <si>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</si>
  <si>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 (HORISTA)</t>
  </si>
  <si>
    <t>MACARIQUEIRO (MENSALISTA)</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</si>
  <si>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</si>
  <si>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</si>
  <si>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</si>
  <si>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</si>
  <si>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</si>
  <si>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</si>
  <si>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</si>
  <si>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</si>
  <si>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</si>
  <si>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</si>
  <si>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</si>
  <si>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</si>
  <si>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</si>
  <si>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</si>
  <si>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</si>
  <si>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</si>
  <si>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</si>
  <si>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</si>
  <si>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</si>
  <si>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</si>
  <si>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</si>
  <si>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</si>
  <si>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</si>
  <si>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</si>
  <si>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</si>
  <si>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</si>
  <si>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</si>
  <si>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</si>
  <si>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</si>
  <si>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</si>
  <si>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</si>
  <si>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</si>
  <si>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 LENCOL DE BORRACHA, SBR, ANTIRRUIDO, E = 5 MM</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</si>
  <si>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</si>
  <si>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</si>
  <si>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</si>
  <si>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</si>
  <si>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5 MM, TIPO III, CLASSE B, ACABAMENTO PP (NBR 9952)</t>
  </si>
  <si>
    <t>MANTA ASFALTICA ELASTOMERICA TIPO GLASS 3 MM, TIPO II, CLASSE C, ACABAMENTO PP (NBR 9952)</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</si>
  <si>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</si>
  <si>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</si>
  <si>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</si>
  <si>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</si>
  <si>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TERMOPLASTICA, PEAD, GEOMEMBRANA LISA, E = 0,50 MM  (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</si>
  <si>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</si>
  <si>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</si>
  <si>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</si>
  <si>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</si>
  <si>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</si>
  <si>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</si>
  <si>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 NBR 15352)</t>
  </si>
  <si>
    <t>MANTA TERMOPLASTICA, PEAD, GEOMEMBRANA TEXTURIZADA EM AMBAS AS FACES, E = 0,75 MM ( NBR 15352)</t>
  </si>
  <si>
    <t>MANTA TERMOPLASTICA, PEAD, GEOMEMBRANA TEXTURIZADA EM AMBAS AS FACES, E = 0,80 MM ( NBR 15352)</t>
  </si>
  <si>
    <t>MANTA TERMOPLASTICA, PEAD, GEOMEMBRANA TEXTURIZADA EM AMBAS AS FACES, E = 1,00 MM ( NBR 15352)</t>
  </si>
  <si>
    <t>MANTA TERMOPLASTICA, PEAD, GEOMEMBRANA TEXTURIZADA EM AMBAS AS FACES, E = 1,50 MM ( NBR 15352)</t>
  </si>
  <si>
    <t>MANTA TERMOPLASTICA, PEAD, GEOMEMBRANA TEXTURIZADA EM AMBAS AS FACES, E = 2,00 MM ( NBR 15352)</t>
  </si>
  <si>
    <t>MANTA TERMOPLASTICA, PEAD, GEOMEMBRANA TEXTURIZADA EM AMBAS AS FACES, E = 2,50 MM (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</si>
  <si>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</si>
  <si>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</si>
  <si>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</si>
  <si>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</si>
  <si>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</si>
  <si>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</si>
  <si>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</si>
  <si>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DE 14 CV</t>
  </si>
  <si>
    <t>68.434,17</t>
  </si>
  <si>
    <t>MAQUINA MANUAL TIPO PRENSA PARA PRODUCAO DE BLOCOS E PAVIMENTOS DE CONCRETO, COM MOTOR ELETRICO TRIFASICO PARA VIBRACAO, POTENCIA TOTAL INSTALADA DE 1,5 KW</t>
  </si>
  <si>
    <t>28.648,36</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</si>
  <si>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</si>
  <si>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</si>
  <si>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284.337,68</t>
  </si>
  <si>
    <t>MAQUINA TIPO VASO/TANQUE/JATO DE PRESSAO PORTATIL P/ JATEAMENTO, CONTROLE AUTOMATICO E REMOTO, CAMARA DE 1 SAIDA, 280 L, DIAM. *670* MM, BICO JATO CURTO VENTURI 5/16", MANGUEIRA 1" DE 10 M, COMPLETA (VALVULAS POP UP E DOSADORA, FUNDO CONICO ETC)</t>
  </si>
  <si>
    <t>36.836,91</t>
  </si>
  <si>
    <t>MAQUINA TRANSFORMADORA MONOFASICA PARA SOLDA ELETRICA, TENSAO DE 220 V, FREQUENCIA DE 60 HZ, FAIXA DE CORRENTE ENTRE 80 A (+/- 10 A) E 250 A, POTENCIA ENTRE 14,00 KVA E 15,0 KVA, CICLO DE TRABALHO ENTRE 10% E 20% A 250 A</t>
  </si>
  <si>
    <t>MARCENEIRO (HORISTA)</t>
  </si>
  <si>
    <t>MARCENEIRO (MENSALISTA)</t>
  </si>
  <si>
    <t>MARMORISTA / GRANITEIRO (HORISTA)</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</si>
  <si>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</si>
  <si>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</si>
  <si>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</si>
  <si>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</si>
  <si>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</si>
  <si>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</si>
  <si>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</si>
  <si>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</si>
  <si>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</si>
  <si>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</si>
  <si>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</si>
  <si>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ACRILICA PARA SUPERFICIES INTERNAS E EXTERNAS</t>
  </si>
  <si>
    <t>MASSA CORRIDA PARA SUPERFICIES DE AMBIENTES INTERNOS</t>
  </si>
  <si>
    <t>MASSA DE REJUNTE PRONTA PARA TRATAMENTO DE JUNTAS DE CHAPA DE GESSO PARA DRYWALL, SEM ADICAO DE AGUA</t>
  </si>
  <si>
    <t>MASSA EPOXI BICOMPONENTE (MASSA + CATALIZADOR)</t>
  </si>
  <si>
    <t>78,27</t>
  </si>
  <si>
    <t>MASSA EPOXI BICOMPONENTE PARA REPAROS</t>
  </si>
  <si>
    <t>MASSA PARA MADEIRA - INTERIOR E EXTERIOR</t>
  </si>
  <si>
    <t>MASSA PARA VIDRO</t>
  </si>
  <si>
    <t>MASSA PREMIUM PARA TEXTURA LISA DE BASE ACRILICA, USO INTERNO E EXTERNO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</si>
  <si>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</si>
  <si>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</si>
  <si>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</si>
  <si>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</si>
  <si>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</si>
  <si>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1Â½")</t>
  </si>
  <si>
    <t>MASTRO TELESCOPICO GALVANIZADO 7 METROS (6 M X DN= 2" + 1 M X DN= 1 1/2")</t>
  </si>
  <si>
    <t>MASTRO TELESCOPICO GALVANIZADO 9 METROS (6 M X DN= 2" + 3 M X DN= 1 1/2")</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</si>
  <si>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</si>
  <si>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</si>
  <si>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</si>
  <si>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</si>
  <si>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 (HORISTA)</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</si>
  <si>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</si>
  <si>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</si>
  <si>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</si>
  <si>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</si>
  <si>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</si>
  <si>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</si>
  <si>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</si>
  <si>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</si>
  <si>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</si>
  <si>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</si>
  <si>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</si>
  <si>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</si>
  <si>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</si>
  <si>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</si>
  <si>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</si>
  <si>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</si>
  <si>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</si>
  <si>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 BLOCO ESTRUTURAL CERAMICO 14 X 19 X 14 CM, 6,0 MPA (NBR 15270)</t>
  </si>
  <si>
    <t>MEIO BLOCO ESTRUTURAL CERAMICO 14 X 19 X 19 CM, 6,0 MPA (NBR 15270)</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</si>
  <si>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</si>
  <si>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</si>
  <si>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</si>
  <si>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</si>
  <si>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</si>
  <si>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</si>
  <si>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15* CM (H X L)</t>
  </si>
  <si>
    <t>MEIO-FIO OU GUIA DE CONCRETO, PRE-MOLDADO, COMP 80 CM, *45 X 12/18* CM (H X L1/L2)</t>
  </si>
  <si>
    <t>MEMBRANA IMPERMEABILIZANTE A BASE DE POLIUREIA, BICOMPONENTE, APLICACAO A FRIO</t>
  </si>
  <si>
    <t>65,38</t>
  </si>
  <si>
    <t>MESA VIBRATORIA COM DIMENSOES DE 2,0 X 1,0 M, COM MOTOR ELETRICO DE 2 POLOS E POTENCIA DE 3 CV</t>
  </si>
  <si>
    <t>9.789,80</t>
  </si>
  <si>
    <t>MESTRE DE OBRAS (HORISTA)</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</si>
  <si>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</si>
  <si>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</si>
  <si>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</si>
  <si>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</si>
  <si>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</si>
  <si>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</si>
  <si>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</si>
  <si>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</si>
  <si>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INDIVIDUAL, SIFONADO, VALVULA EMBUTIDA, DE LOUCA BRANCA, SEM COMPLEMENTOS - PADRAO ALTO</t>
  </si>
  <si>
    <t>MINICAPTOR, EM ACO GALVANIZADO A FOGO, FIXACAO COM ROSCA SOBERBA OU MECANICA, H=600 MM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</si>
  <si>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</si>
  <si>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</si>
  <si>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</si>
  <si>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 EM ACO GALVANIZADO A FOGO,Â  FIXACAO COM ROSCA SOBERBA OU MECANICA, H=300 MM X DN=10 MM</t>
  </si>
  <si>
    <t>MINICAPTOR, EM ACO GALVANIZADO A FOGO,Â  FIXACAO HORIZONTAL COM BANDEIRA A 20 CM, H=300 MM E X DN=10 MM</t>
  </si>
  <si>
    <t>MINICAPTORES DE INSERCAO, EM ACO GALVANIZADO A FOGO, H=300 MM X DN=10 MM</t>
  </si>
  <si>
    <t>MINICAPTORES DE INSERCAO, EM ACO GALVANIZADO A FOGO, H=600,MM X DN=10,MM</t>
  </si>
  <si>
    <t>MINICARREGADEIRA SOBRE RODAS, POTENCIA LIQUIDA DE *47* HP, CAPACIDADE NOMINAL DE OPERACAO DE *646* KG</t>
  </si>
  <si>
    <t>320.000,00</t>
  </si>
  <si>
    <t>MINICARREGADEIRA SOBRE RODAS, POTENCIA LIQUIDA DE *72* HP, CAPACIDADE NOMINAL DE OPERACAO DE *1200* KG</t>
  </si>
  <si>
    <t>493.853,88</t>
  </si>
  <si>
    <t>MINIESCAVADEIRA SOBRE ESTEIRAS, POTENCIA LIQUIDA DE *30* HP, PESO OPERACIONAL DE *3.500* KG</t>
  </si>
  <si>
    <t>485.757,92</t>
  </si>
  <si>
    <t>MINIESCAVADEIRA SOBRE ESTEIRAS, POTENCIA LIQUIDA DE *42* HP, PESO OPERACIONAL DE *4.500* KG</t>
  </si>
  <si>
    <t>592.624,67</t>
  </si>
  <si>
    <t>MINIESCAVADEIRA SOBRE ESTEIRAS, POTENCIA LIQUIDA DE *42* HP, PESO OPERACIONAL DE *5.300* KG</t>
  </si>
  <si>
    <t>610.454,24</t>
  </si>
  <si>
    <t>MINUTERIA ELETRONICA COLETIVA COM POTENCIA MAXIMA RESISTIVA PARA LAMPADAS FLUORESCENTES DE *300* W ( 110 V ) / *600* W ( 110 V )</t>
  </si>
  <si>
    <t>71,48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</si>
  <si>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</si>
  <si>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</si>
  <si>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</si>
  <si>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METAL CROMADO DE PAREDE PARA LAVATORIO (REF 1878)</t>
  </si>
  <si>
    <t>MISTURADOR DE METAL CROMADO, DE MESA/BANCADA, COM BICA BAIXA, PARA LAVATORIO (REF 1875)</t>
  </si>
  <si>
    <t>MISTURADOR DE PAREDE, DE METAL CROMADO, PARA COZINHA, BICA ALTA MOVEL, COM AREJADOR ARTICULADO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</si>
  <si>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</si>
  <si>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</si>
  <si>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METALICO, BASE PARA CHUVEIRO/BANHEIRA, 1/2 " OU 3/4 ", SOLDAVEL OU ROSCAVEL (NAO INCLUI ACABAMENTOS)</t>
  </si>
  <si>
    <t>MISTURADOR MONOCOMANDO PARA CHUVEIRO, BASE BRUTA, METALICO COM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</si>
  <si>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</si>
  <si>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</si>
  <si>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</si>
  <si>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</si>
  <si>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 (HORISTA)</t>
  </si>
  <si>
    <t>MONTADOR DE ELETROELETRONICOS (MENSALISTA)</t>
  </si>
  <si>
    <t>MONTADOR DE ESTRUTURAS METALICAS (MENSALISTA)</t>
  </si>
  <si>
    <t>MONTADOR DE ESTRUTURAS METALICAS HORISTA</t>
  </si>
  <si>
    <t>MONTADOR DE MAQUINAS (HORISTA)</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</si>
  <si>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</si>
  <si>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</si>
  <si>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</si>
  <si>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</si>
  <si>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</si>
  <si>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</si>
  <si>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</si>
  <si>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</si>
  <si>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</si>
  <si>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</si>
  <si>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</si>
  <si>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</si>
  <si>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</si>
  <si>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 (HORISTA)</t>
  </si>
  <si>
    <t>MOTORISTA DE CAMINHAO (MENSALISTA)</t>
  </si>
  <si>
    <t>MOTORISTA DE CAMINHAO-BASCULANTE (HORISTA)</t>
  </si>
  <si>
    <t>MOTORISTA DE CAMINHAO-BASCULANTE (MENSALISTA)</t>
  </si>
  <si>
    <t>MOTORISTA DE CAMINHAO-CARRETA (HORISTA)</t>
  </si>
  <si>
    <t>MOTORISTA DE CAMINHAO-CARRETA (MENSALISTA)</t>
  </si>
  <si>
    <t>MOTORISTA DE CARRO DE PASSEIO (HORISTA)</t>
  </si>
  <si>
    <t>MOTORISTA DE CARRO DE PASSEIO (MENSALISTA)</t>
  </si>
  <si>
    <t>MOTORISTA DE ONIBUS / MICRO-ONIBUS (HORISTA)</t>
  </si>
  <si>
    <t>MOTORISTA DE ONIBUS / MICRO-ONIBUS (MENSALISTA)</t>
  </si>
  <si>
    <t>MOTORISTA OPERADOR DE CAMINHAO COM MUNCK (HORISTA)</t>
  </si>
  <si>
    <t>MOTORISTA OPERADOR DE CAMINHAO COM MUNCK (MENSALISTA)</t>
  </si>
  <si>
    <t>MOURAO CONCRETO CURVO, SECAO "T", H = 2,80 M + CURVA COM 0,45 M, COM FUROS PARA FIOS</t>
  </si>
  <si>
    <t>MOURAO DE CONCRETO CURVO, *10 X 10* CM, H= *2,60* M + CURVA DE 0,40 M</t>
  </si>
  <si>
    <t>MOURAO DE CONCRETO RETO, SECAO QUADARA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</si>
  <si>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</si>
  <si>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</si>
  <si>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</si>
  <si>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</si>
  <si>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</si>
  <si>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MUDA DE ARBUSTO FOLHAGEM, SANSAO-DO-CAMPO OU EQUIVALENTE DA REGIAO, H= *50 A 70* CM</t>
  </si>
  <si>
    <t>MUDA DE ARBUSTO, BUXINHO, H= *50* CM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</si>
  <si>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</si>
  <si>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</si>
  <si>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</si>
  <si>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</si>
  <si>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</si>
  <si>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</si>
  <si>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NIPLE DE FERRO GALVANIZADO, COM ROSCA BSP, DE 1 1/2"</t>
  </si>
  <si>
    <t>NIPLE DE FERRO GALVANIZADO, COM ROSCA BSP, DE 1 1/4"</t>
  </si>
  <si>
    <t>NIPLE DE FERRO GALVANIZADO, COM ROSCA BSP, DE 1/2"</t>
  </si>
  <si>
    <t>NIPLE DE FERRO GALVANIZADO, COM ROSCA BSP, DE 2 1/2"</t>
  </si>
  <si>
    <t>NIPLE DE FERRO GALVANIZADO, COM ROSCA BSP, DE 2"</t>
  </si>
  <si>
    <t>NIPLE DE FERRO GALVANIZADO, COM ROSCA BSP, DE 3/4"</t>
  </si>
  <si>
    <t>8,74</t>
  </si>
  <si>
    <t>NIPLE DE FERRO GALVANIZADO, COM ROSCA BSP, DE 3"</t>
  </si>
  <si>
    <t>97,70</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</si>
  <si>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</si>
  <si>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</si>
  <si>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</si>
  <si>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</si>
  <si>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</si>
  <si>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</si>
  <si>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</si>
  <si>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</si>
  <si>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</si>
  <si>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</si>
  <si>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</si>
  <si>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</si>
  <si>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</si>
  <si>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</si>
  <si>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</si>
  <si>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</si>
  <si>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</si>
  <si>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</si>
  <si>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151,93</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</si>
  <si>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</si>
  <si>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</si>
  <si>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</si>
  <si>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</si>
  <si>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</si>
  <si>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</si>
  <si>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</si>
  <si>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92,16</t>
  </si>
  <si>
    <t>NIPLE SEXTAVADO EM ACO CARBONO, COM ROSCA BSP, PRESSAO 3.000 LBS, DN 3/4"</t>
  </si>
  <si>
    <t>NIVELADOR (HORISTA)</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</si>
  <si>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</si>
  <si>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</si>
  <si>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</si>
  <si>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</si>
  <si>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</si>
  <si>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</si>
  <si>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</si>
  <si>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</si>
  <si>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</si>
  <si>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</si>
  <si>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</si>
  <si>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</si>
  <si>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OLHO MAGICO PARA PORTAS, EM LATAO, COM LENTE DE POLICARBONATO, ANGULO DE *200* GRAUS, ESPESSURA ENTRE *25 E 46* MM, INCLUINDO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</si>
  <si>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</si>
  <si>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</si>
  <si>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</si>
  <si>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</si>
  <si>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</si>
  <si>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</si>
  <si>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</si>
  <si>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</si>
  <si>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 (MENSALISTA)</t>
  </si>
  <si>
    <t>OPERADOR DE DEMARCADORA DE FAIXAS DE TRAFEGO HORISTA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</si>
  <si>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</si>
  <si>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</si>
  <si>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</si>
  <si>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</si>
  <si>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</si>
  <si>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</si>
  <si>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</si>
  <si>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</si>
  <si>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</si>
  <si>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</si>
  <si>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</si>
  <si>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</si>
  <si>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</si>
  <si>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</si>
  <si>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</si>
  <si>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</si>
  <si>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</si>
  <si>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</si>
  <si>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 (MENSALISTA)</t>
  </si>
  <si>
    <t>OPERADOR DE PAVIMENTADORA / MESA VIBROACABADORA HORISTA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</si>
  <si>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</si>
  <si>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</si>
  <si>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</si>
  <si>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</si>
  <si>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</si>
  <si>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</si>
  <si>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</si>
  <si>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</si>
  <si>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</si>
  <si>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</si>
  <si>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</si>
  <si>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</si>
  <si>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</si>
  <si>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</si>
  <si>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</si>
  <si>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58,10</t>
  </si>
  <si>
    <t>PAINEL DE LA DE VIDRO SEM REVESTIMENTO PSI 40, E = 50 MM, DE 1200 X 600 MM</t>
  </si>
  <si>
    <t>PAINEL ESTRUTURAL PARA LAJE SECA REVESTIDO EM PLACA CIMENTICIA, DE 1,20 X 2,50 M, E = 23 MM</t>
  </si>
  <si>
    <t>PAINEL ESTRUTURAL PARA LAJE SECA REVESTIDO EM PLACA CIMENTICIA, DE 1,20 X 2,50 M, E = 40 MM</t>
  </si>
  <si>
    <t>94,36</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</si>
  <si>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</si>
  <si>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</si>
  <si>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302,45</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</si>
  <si>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</si>
  <si>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</si>
  <si>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</si>
  <si>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</si>
  <si>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41,54</t>
  </si>
  <si>
    <t>PAR DE TABELAS DE BASQUETE EM COMPENSADO NAVAL, OFICIAL, 1800 X 1200 MM, INCLUINDO ARO DE METAL E REDE EM POLIPROPILENO 100%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</si>
  <si>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</si>
  <si>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</si>
  <si>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</si>
  <si>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</si>
  <si>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</si>
  <si>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ZINCADO COM ROSCA SOBERBA, CABECA CHATA E FENDA SIMPLES, DIAMETRO 2,5 MM, COMPRIMENTO * 9,5 * MM</t>
  </si>
  <si>
    <t>PARAFUSO DE ACO ZINCADO COM ROSCA SOBERBA, CABECA CHATA E FENDA SIMPLES, DIAMETRO 4,8 MM, COMPRIMENTO 45 MM</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</si>
  <si>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</si>
  <si>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</si>
  <si>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</si>
  <si>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</si>
  <si>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</si>
  <si>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</si>
  <si>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</si>
  <si>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</si>
  <si>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</si>
  <si>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</si>
  <si>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</si>
  <si>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</si>
  <si>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</si>
  <si>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</si>
  <si>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</si>
  <si>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</si>
  <si>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</si>
  <si>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</si>
  <si>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</si>
  <si>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</si>
  <si>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</si>
  <si>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</si>
  <si>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</si>
  <si>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</si>
  <si>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</si>
  <si>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</si>
  <si>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</si>
  <si>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</si>
  <si>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</si>
  <si>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</si>
  <si>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</si>
  <si>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</si>
  <si>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</si>
  <si>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</si>
  <si>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</si>
  <si>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</si>
  <si>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</si>
  <si>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</si>
  <si>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</si>
  <si>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</si>
  <si>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</si>
  <si>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</si>
  <si>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</si>
  <si>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</si>
  <si>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</si>
  <si>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</si>
  <si>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</si>
  <si>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</si>
  <si>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</si>
  <si>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</si>
  <si>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</si>
  <si>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</si>
  <si>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4,72</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</si>
  <si>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</si>
  <si>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</si>
  <si>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</si>
  <si>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</si>
  <si>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</si>
  <si>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</si>
  <si>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PARALELEPIPEDO GRANITICO OU BASALTICO, PARA PAVIMENTACAO, SEM FRETE (VARIACAO REGIONAL DE PECAS POR M2)</t>
  </si>
  <si>
    <t>PASTA LUBRIFICANTE PARA TUBOS E CONEXOES COM JUNTA ELASTICA, EMBALAGEM DE *400* GR (USO EM PVC, ACO, POLIETILENO E OUTROS)</t>
  </si>
  <si>
    <t>28,55</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</si>
  <si>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</si>
  <si>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</si>
  <si>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</si>
  <si>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</si>
  <si>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</si>
  <si>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(HORISTA)</t>
  </si>
  <si>
    <t>PASTILHEIRO (MENSALISTA)</t>
  </si>
  <si>
    <t>PATCH CORD (CABO DE REDE), CATEGORIA 5 E (CAT 5E) UTP, 24 AWG, 4 PARES, EXTENSAO DE 1,50 M</t>
  </si>
  <si>
    <t>PATCH CORD (CABO DE REDE), CATEGORIA 5 E (CAT 5E) UTP, 24 AWG, 4 PARES, EXTENSAO DE 2,50 M</t>
  </si>
  <si>
    <t>PATCH CORD (CABO DE REDE), CATEGORIA 6 (CAT 6) UTP, 23 AWG, 4 PARES, EXTENSAO DE 1,50 M</t>
  </si>
  <si>
    <t>PATCH CORD (CABO DE REDE), CATEGORIA 6 (CAT 6) UTP, 23 AWG, 4 PARES, EXTENSAO DE 2,50 M</t>
  </si>
  <si>
    <t>31,47</t>
  </si>
  <si>
    <t>PATCH PANEL, 24 PORTAS, CATEGORIA 5E, COM RACKS DE 19" DE LARGURA E 1 U DE ALTURA</t>
  </si>
  <si>
    <t>PATCH PANEL, 24 PORTAS, CATEGORIA 6, COM RACKS DE 19" DE LARGURA E 1 U DE ALTURA</t>
  </si>
  <si>
    <t>PATCH PANEL, 48 PORTAS, CATEGORIA 5E, COM RACKS DE 19" DE LARGURA E 2 U DE ALTURA</t>
  </si>
  <si>
    <t>PATCH PANEL, 48 PORTAS, CATEGORIA 6, COM RACKS DE 19" DE LARGURA E 2 U DE ALTURA</t>
  </si>
  <si>
    <t>PEDRA ARDOSIA, CINZA, *40 X 40* CM, E= *1 CM</t>
  </si>
  <si>
    <t>PEDRA ARDOSIA, CINZA, 20  X  40 CM,  E=  *1 CM</t>
  </si>
  <si>
    <t>31,36</t>
  </si>
  <si>
    <t>PEDRA ARDOSIA, CINZA, 30  X  30,  E= *1 CM</t>
  </si>
  <si>
    <t>PEDRA BRITADA GRADUADA, CLASSIFICADA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</si>
  <si>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</si>
  <si>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</si>
  <si>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</si>
  <si>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</si>
  <si>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</si>
  <si>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</si>
  <si>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</si>
  <si>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</si>
  <si>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</si>
  <si>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109,20</t>
  </si>
  <si>
    <t>PEDRA GRANITICA, SERRADA, TIPO MIRACEMA, MADEIRA, PADUANA, RACHINHA, SANTA ISABEL OU OUTRAS SIMILARES, *11,5 X  *23 CM, E=  *1,0 A *2,0 CM</t>
  </si>
  <si>
    <t>PEDRA PORTUGUESA  OU PETIT PAVE, BRANCA OU PRETA</t>
  </si>
  <si>
    <t>126,00</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</si>
  <si>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</si>
  <si>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</si>
  <si>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197,55</t>
  </si>
  <si>
    <t>PEDREGULHO OU PICARRA DE JAZIDA, AO NATURAL, PARA BASE DE PAVIMENTACAO (RETIRADO NA JAZIDA, SEM TRANSPORTE)</t>
  </si>
  <si>
    <t>PEDREIRO (HORISTA)</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</si>
  <si>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</si>
  <si>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</si>
  <si>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</si>
  <si>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</si>
  <si>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</si>
  <si>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</si>
  <si>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</si>
  <si>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</si>
  <si>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</si>
  <si>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</si>
  <si>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</si>
  <si>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</si>
  <si>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</si>
  <si>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</si>
  <si>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</si>
  <si>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</si>
  <si>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</si>
  <si>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</si>
  <si>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</si>
  <si>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</si>
  <si>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</si>
  <si>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</si>
  <si>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</si>
  <si>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</si>
  <si>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39,14</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</si>
  <si>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</si>
  <si>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</si>
  <si>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</si>
  <si>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</si>
  <si>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</si>
  <si>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NAS FACES APARENTES, PARA FORRO REMOVIVEL, 24 X 32 X 3750 MM (L X H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</si>
  <si>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</si>
  <si>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</si>
  <si>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</si>
  <si>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</si>
  <si>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</si>
  <si>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</si>
  <si>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</si>
  <si>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</si>
  <si>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</si>
  <si>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</si>
  <si>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</si>
  <si>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</si>
  <si>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</si>
  <si>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</si>
  <si>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</si>
  <si>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</si>
  <si>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</si>
  <si>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</si>
  <si>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</si>
  <si>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</si>
  <si>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</si>
  <si>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</si>
  <si>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</si>
  <si>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</si>
  <si>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64,51</t>
  </si>
  <si>
    <t>136,93</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</si>
  <si>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</si>
  <si>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</si>
  <si>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</si>
  <si>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</si>
  <si>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</si>
  <si>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</si>
  <si>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</si>
  <si>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</si>
  <si>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</si>
  <si>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</si>
  <si>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 (HORISTA)</t>
  </si>
  <si>
    <t>PINTOR (MENSALISTA)</t>
  </si>
  <si>
    <t>PINTOR DE LETREIROS (HORISTA)</t>
  </si>
  <si>
    <t>PINTOR DE LETREIROS (MENSALISTA)</t>
  </si>
  <si>
    <t>PINTOR PARA TINTA EPOXI (HORISTA)</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</si>
  <si>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</si>
  <si>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</si>
  <si>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</si>
  <si>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</si>
  <si>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</si>
  <si>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</si>
  <si>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</si>
  <si>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</si>
  <si>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</si>
  <si>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</si>
  <si>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</si>
  <si>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</si>
  <si>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*2*CM</t>
  </si>
  <si>
    <t>PISO EM GRANITO, POLIDO, TIPO PRETO SAO GABRIEL/ TIJUCA OU OUTROS EQUIVALENTES DA REGIAO, FORMATO MENOR OU IGUAL A 3025 CM2, E=  *2* CM</t>
  </si>
  <si>
    <t>PISO EM REGUA VINILICA SEMIFLEXIVEL, ENCAIXE CLICADO, E = 4 MM (SEM COLOCACAO)</t>
  </si>
  <si>
    <t>PISO EPOXI AUTONIVELANTE, ESPESSURA *4* MM (INCLUSO EXECUCAO)</t>
  </si>
  <si>
    <t>PISO EPOXI MULTILAYER, ESPESSURA *2* MM (INCLUSO EXECUCAO)</t>
  </si>
  <si>
    <t>PISO FULGET (GRANITO LAVADO) EM PLACAS DE *40 X 40* CM, E = 2,0 CM (SEM COLOCACAO)</t>
  </si>
  <si>
    <t>PISO FULGET (GRANITO LAVADO) EM PLACAS DE *75 X 75* CM, E = 2,0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</si>
  <si>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</si>
  <si>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</si>
  <si>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</si>
  <si>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</si>
  <si>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</si>
  <si>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</si>
  <si>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</si>
  <si>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</si>
  <si>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</si>
  <si>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</si>
  <si>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</si>
  <si>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</si>
  <si>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</si>
  <si>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</si>
  <si>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</si>
  <si>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</si>
  <si>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 UMIDADE (RU), COR VERDE, E = 15 MM, 1200 X 2400 MM (L X C)</t>
  </si>
  <si>
    <t>PLACA / CHAPA DE GESSO ACARTONADO, RESISTENTE AO FOGO (RF), COR ROSA, E = 12,5 MM, 1200 X 1800 MM (L X C)</t>
  </si>
  <si>
    <t>PLACA / CHAPA DE GESSO ACARTONADO, RESISTENTE AO FOGO (RF), COR ROSA, E = 12,5 MM, 1200 X 2400 MM (L X C)</t>
  </si>
  <si>
    <t>PLACA / CHAPA DE GESSO ACARTONADO, RESISTENTE AO FOGO (RF), COR ROSA, E = 15 MM, 1200 X 2400 MM (L X C)</t>
  </si>
  <si>
    <t>PLACA / CHAPA DE GESSO ACARTONADO, STANDARD (ST), COR BRANCA, E = 12,5 MM, 1200 X 1800 MM (L X C)</t>
  </si>
  <si>
    <t>PLACA / CHAPA DE GESSO ACARTONADO, STANDARD (ST), COR BRANCA, E = 15 MM, 1200 X 2400 MM (L X C)</t>
  </si>
  <si>
    <t>PLACA CIMENTICIA LISA E = 10 MM, DE 1,20 X *2,50* M (SEM AMIANTO)</t>
  </si>
  <si>
    <t>PLACA CIMENTICIA LISA E = 6 MM, DE 1,20 X *2,50* M (SEM AMIANTO)</t>
  </si>
  <si>
    <t>PLACA DE ACO ESMALTADA PARA  IDENTIFICACAO DE RUA, *45 CM X 20* CM</t>
  </si>
  <si>
    <t>PLACA DE ACRILICO TRANSPARENTE ADESIVADA PARA SINALIZACAO DE PORTAS, BORDA POLIDA, DE *25 X 8*, E = 6 MM (NAO INCLUI ACESSORIOS PARA FIXACAO)</t>
  </si>
  <si>
    <t>82,56</t>
  </si>
  <si>
    <t>PLACA DE FIBRA MINERAL PARA FORRO, DE 1250 X 625 MM, E = 15 MM, BORDA RETA, COM PINTURA ANTIMOFO (NAO INCLUI PERFIS)</t>
  </si>
  <si>
    <t>PLACA DE FIBRA MINERAL PARA FORRO, DE 625 X 625 MM, E = 15 MM, BORDA REBAIXADA PARA PERFIL 24 MM, COM PINTURA ANTIMOFO (NAO INCLUI PERFIS)</t>
  </si>
  <si>
    <t>52,64</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</si>
  <si>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</si>
  <si>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</si>
  <si>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</si>
  <si>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*2,4 X 1,2* M (SEM POSTES PARA FIXACAO)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</si>
  <si>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</si>
  <si>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</si>
  <si>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</si>
  <si>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</si>
  <si>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</si>
  <si>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</si>
  <si>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</si>
  <si>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</si>
  <si>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</si>
  <si>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</si>
  <si>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</si>
  <si>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</si>
  <si>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</si>
  <si>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</si>
  <si>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</si>
  <si>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</si>
  <si>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t>
  </si>
  <si>
    <t>PLUG OU BUJAO DE FERRO GALVANIZADO, DE 2 1/2"</t>
  </si>
  <si>
    <t>46,54</t>
  </si>
  <si>
    <t>PLUG OU BUJAO DE FERRO GALVANIZADO, DE 2"</t>
  </si>
  <si>
    <t>PLUG OU BUJAO DE FERRO GALVANIZADO, DE 3/4"</t>
  </si>
  <si>
    <t>PLUG OU BUJAO DE FERRO GALVANIZADO, DE 3"</t>
  </si>
  <si>
    <t>PLUG OU BUJAO DE FERRO GALVANIZADO, DE 4"</t>
  </si>
  <si>
    <t>121,12</t>
  </si>
  <si>
    <t>PLUG PVC, JE, DN 100 MM, PARA REDE COLETORA ESGOTO</t>
  </si>
  <si>
    <t>PLUG PVC, JE, DN 150 MM, PARA REDE COLETORA ESGOTO</t>
  </si>
  <si>
    <t>PO DE MARMORE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</si>
  <si>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</si>
  <si>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</si>
  <si>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</si>
  <si>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TIPO 2F, BLOCO</t>
  </si>
  <si>
    <t>POLIESTIRENO EXPANDIDO/EPS (ISOPOR), TIPO 2F, PLACA, ISOLAMENTO TERMOACUSTICO, E = 10 MM, 1000 X 500 MM</t>
  </si>
  <si>
    <t>POLIESTIRENO EXPANDIDO/EPS (ISOPOR), TIPO 2F, PLACA, ISOLAMENTO TERMOACUSTICO, E = 50 MM, 1000 X 500 MM</t>
  </si>
  <si>
    <t>POLVORA NEGRA</t>
  </si>
  <si>
    <t>90,79</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</si>
  <si>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</si>
  <si>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</si>
  <si>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</si>
  <si>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PORCA OLHAL EM ACO GALVANIZADO, ESPESSURA 16MM, ABERTURA 21MM</t>
  </si>
  <si>
    <t>PORCA OLHAL M 16,  EM ACO GALVANIZADO, DIAMETRO = 16 MM</t>
  </si>
  <si>
    <t>PORCA UNIAO/JUNCAO ZINCADA SEXTAVADA 1/4 ", CHAVE 7/16 ", COMPRIMENTO = 25 MM</t>
  </si>
  <si>
    <t>PORCA ZINCADA, QUADRADA, DIAMETRO 3/8"</t>
  </si>
  <si>
    <t>PORCA ZINCADA, QUADRADA, DIAMETRO 5/8"</t>
  </si>
  <si>
    <t>PORCA ZINCADA, SEXTAVADA, DIAMETRO 1/2"</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</si>
  <si>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</si>
  <si>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</si>
  <si>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</si>
  <si>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</si>
  <si>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</si>
  <si>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</si>
  <si>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</si>
  <si>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</si>
  <si>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</si>
  <si>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</si>
  <si>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</si>
  <si>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</si>
  <si>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</si>
  <si>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EM GRADIL FERRO, COM BARRA CHATA 3 CM X 1/4", COM REQUADRO E GUARNICAO - COMPLETO - ACABAMENTO NATURAL</t>
  </si>
  <si>
    <t>PORTA DE ABRIR EM ACO COM DIVISAO HORIZONTAL PARA VIDROS, COM FUNDO ANTICORROSIVO/PRIMER DE PROTECAO, SEM GUARNICAO/ALIZAR/VISTA, VIDROS NAO INCLUSOS, 90 X 210 CM</t>
  </si>
  <si>
    <t>PORTA DE ABRIR EM ACO TIPO VENEZIANA, COM FUNDO ANTICORROSIVO / PRIMER DE PROTECAO, SEM GUARNICAO/ALIZAR/VISTA, 90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</si>
  <si>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</si>
  <si>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</si>
  <si>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</si>
  <si>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295,30</t>
  </si>
  <si>
    <t>PORTA DE CORRER EM ALUMINIO, DUAS FOLHAS MOVEIS COM VIDRO, FECHADURA E PUXADOR EMBUTIDO, ACABAMENTO ANODIZADO NATURAL, SEM GUARNICAO/ALIZAR/VISTA</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</si>
  <si>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</si>
  <si>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</si>
  <si>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</si>
  <si>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</si>
  <si>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</si>
  <si>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</si>
  <si>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</si>
  <si>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</si>
  <si>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</si>
  <si>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</si>
  <si>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</si>
  <si>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</si>
  <si>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</si>
  <si>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</si>
  <si>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</si>
  <si>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</si>
  <si>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</si>
  <si>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</si>
  <si>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</si>
  <si>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</si>
  <si>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</si>
  <si>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</si>
  <si>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</si>
  <si>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</si>
  <si>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</si>
  <si>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</si>
  <si>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</si>
  <si>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CHAPA 26, TIPO LAMBRIL, COM REQUADRO, ACABAMENTO NATURAL</t>
  </si>
  <si>
    <t>PORTAO DE ABRIR / GIRO,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</si>
  <si>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</si>
  <si>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</si>
  <si>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</si>
  <si>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</si>
  <si>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</si>
  <si>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</si>
  <si>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</si>
  <si>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</si>
  <si>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</si>
  <si>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</si>
  <si>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</si>
  <si>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</si>
  <si>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</si>
  <si>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</si>
  <si>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</si>
  <si>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</si>
  <si>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</si>
  <si>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</si>
  <si>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</si>
  <si>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</si>
  <si>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</si>
  <si>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</si>
  <si>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</si>
  <si>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</si>
  <si>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</si>
  <si>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</si>
  <si>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</si>
  <si>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</si>
  <si>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</si>
  <si>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</si>
  <si>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</si>
  <si>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</si>
  <si>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</si>
  <si>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</si>
  <si>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</si>
  <si>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</si>
  <si>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</si>
  <si>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</si>
  <si>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</si>
  <si>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</si>
  <si>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</si>
  <si>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</si>
  <si>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</si>
  <si>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</si>
  <si>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</si>
  <si>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</si>
  <si>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</si>
  <si>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</si>
  <si>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</si>
  <si>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</si>
  <si>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</si>
  <si>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</si>
  <si>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</si>
  <si>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</si>
  <si>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</si>
  <si>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</si>
  <si>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</si>
  <si>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</si>
  <si>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</si>
  <si>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</si>
  <si>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POSTE DECORATIVO PARA JARDIM EM ACO TUBULAR, SEM LUMINARIA, H = *2,5* M</t>
  </si>
  <si>
    <t>POSTE ROLICO DE MADEIRA TRATADA, D = 20 A 25 CM, H = 12,00 M, EM EUCALIPTO OU EQUIVALENTE DA REGIAO</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</si>
  <si>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</si>
  <si>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</si>
  <si>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</si>
  <si>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</si>
  <si>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</si>
  <si>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PREGO DE ACO POLIDO COM CABECA 10 X 10 (7/8 X 17)</t>
  </si>
  <si>
    <t>38,89</t>
  </si>
  <si>
    <t>PREGO DE ACO POLIDO COM CABECA 10 X 11 (1 X 17)</t>
  </si>
  <si>
    <t>PREGO DE ACO POLIDO COM CABECA 14 X 18 (1 1/2 X 14)</t>
  </si>
  <si>
    <t>PREGO DE ACO POLIDO COM CABECA 15 X 18 (1 1/2 X 13)</t>
  </si>
  <si>
    <t>22,91</t>
  </si>
  <si>
    <t>PREGO DE ACO POLIDO COM CABECA 16 X 24 (2 1/4 X 12)</t>
  </si>
  <si>
    <t>PREGO DE ACO POLIDO COM CABECA 16 X 27 (2 1/2 X 12)</t>
  </si>
  <si>
    <t>21,54</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</si>
  <si>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</si>
  <si>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</si>
  <si>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</si>
  <si>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</si>
  <si>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</si>
  <si>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19  X 36 (3 1/4  X  9)</t>
  </si>
  <si>
    <t>PREGO DE ACO POLIDO COM CABECA 19 X 33 (3 X 9)</t>
  </si>
  <si>
    <t>20,72</t>
  </si>
  <si>
    <t>PREGO DE ACO POLIDO COM CABECA 22 X 48 (4 1/4 X 5)</t>
  </si>
  <si>
    <t>PRESSAO DE PERNAS TRIPLO, EM TUBO DE ACO CARBONO, PINTURA NO PROCESSO ELETROSTATICO - EQUIPAMENTO DE GINASTICA PARA ACADEMIA AO AR LIVRE / ACADEMIA DA TERCEIRA IDADE - ATI</t>
  </si>
  <si>
    <t>PRIMER DE POLIURETANO</t>
  </si>
  <si>
    <t>PRIMER EPOXI / EPOXIDICO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</si>
  <si>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</si>
  <si>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</si>
  <si>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</si>
  <si>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</si>
  <si>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</si>
  <si>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53,19</t>
  </si>
  <si>
    <t>PROLONGAMENTO / PROLONGADOR PARA CAIXA SIFONADA, PVC, 100 MM X 200 MM (NBR 5688)</t>
  </si>
  <si>
    <t>PROLONGAMENTO / PROLONGADOR PARA CAIXA SIFONADA, PVC, 150 MM X 150 MM (NBR 5688)</t>
  </si>
  <si>
    <t>PROLONGAMENTO / PROLONGADOR PARA CAIXA SIFONADA, PVC, 150 MM X 200 MM (NBR 5688)</t>
  </si>
  <si>
    <t>24,78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</si>
  <si>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</si>
  <si>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</si>
  <si>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</si>
  <si>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</si>
  <si>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</si>
  <si>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</si>
  <si>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6,83</t>
  </si>
  <si>
    <t>PULSADOR CAMPAINHA 10A, 250V, CONJUNTO MONTADO PARA EMBUTIR 4" X 2" (PLACA + SUPORTE + MODULO)</t>
  </si>
  <si>
    <t>PULSADOR MINUTERIA 10A, 250V (APENAS MODULO)</t>
  </si>
  <si>
    <t>PULSADOR MINUTERIA 10A, 250V, CONJUNTO MONTADO PARA EMBUTIR 4" X 2" (PLACA + SUPORTE + MODULO)</t>
  </si>
  <si>
    <t>15,87</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</si>
  <si>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</si>
  <si>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</si>
  <si>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</si>
  <si>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</si>
  <si>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</si>
  <si>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</si>
  <si>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</si>
  <si>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</si>
  <si>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</si>
  <si>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</si>
  <si>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</si>
  <si>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</si>
  <si>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</si>
  <si>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917,99</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</si>
  <si>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</si>
  <si>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</si>
  <si>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</si>
  <si>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</si>
  <si>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</si>
  <si>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</si>
  <si>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</si>
  <si>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</si>
  <si>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</si>
  <si>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</si>
  <si>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</si>
  <si>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</si>
  <si>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</si>
  <si>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</si>
  <si>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</si>
  <si>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</si>
  <si>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</si>
  <si>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</si>
  <si>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</si>
  <si>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</si>
  <si>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</si>
  <si>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</si>
  <si>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RACK DE PISO PARA SERVIDOR, ABERTO, EM COLUNA, 44U X *570* MM</t>
  </si>
  <si>
    <t>RACK DE PISO PARA SERVIDOR, FECHADO, 44U, COM PORTA, 44U X *570* MM</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</si>
  <si>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</si>
  <si>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</si>
  <si>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</si>
  <si>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</si>
  <si>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</si>
  <si>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</si>
  <si>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200 MM, PARA LAJES/ CALHAS</t>
  </si>
  <si>
    <t>RALO FOFO SEMIESFERICO, 75 MM, PARA LAJES/ CALHAS</t>
  </si>
  <si>
    <t>RALO SECO / RALO DE PASSAGEM EM PVC, QUADRADO, 100 X 100 X 53 MM, SAIDA 40 MM, COM GRELHA BRANCA</t>
  </si>
  <si>
    <t>RALO SECO CONICO, PVC, 100 X 40 MM,  COM GRELHA REDONDA BRANCA</t>
  </si>
  <si>
    <t>RALO SECO CONICO, PVC, 100 X 40 MM, COM GRELHA QUADRADA BRANCA</t>
  </si>
  <si>
    <t>RALO SIFONADO CILINDRICO, PVC, 100 X 40 MM,  COM GRELHA REDONDA BRANCA</t>
  </si>
  <si>
    <t>RALO SIFONADO QUADRADO, PVC, 100 X 53 MM, SAIDA 40 MM, COM GRELHA QUADRADA BRANCA</t>
  </si>
  <si>
    <t>RALO SIFONADO REDONDO CONICO, PVC, 100 X 40 MM, COM GRELHA REDONDA BRANCA</t>
  </si>
  <si>
    <t>RASTELEIRO (MENSALISTA)</t>
  </si>
  <si>
    <t>RASTELEIRO HORISTA</t>
  </si>
  <si>
    <t>REATOR ELETRONICO BIVOLT PARA 1 LAMPADA FLUORESCENTE DE 18/20 W</t>
  </si>
  <si>
    <t>30,21</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</si>
  <si>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</si>
  <si>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</si>
  <si>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</si>
  <si>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</si>
  <si>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40,99</t>
  </si>
  <si>
    <t>REATOR INTERNO/INTEGRADO PARA LAMPADA VAPOR METALICO 400 W, ALTO FATOR DE POTENCIA</t>
  </si>
  <si>
    <t>REATOR P/ LAMPADA VAPOR DE SODIO 250W USO EXT</t>
  </si>
  <si>
    <t>257,71</t>
  </si>
  <si>
    <t>REATOR P/ 1 LAMPADA VAPOR DE MERCURIO 125W USO EXT</t>
  </si>
  <si>
    <t>118,12</t>
  </si>
  <si>
    <t>REATOR P/ 1 LAMPADA VAPOR DE MERCURIO 250W USO EXT</t>
  </si>
  <si>
    <t>140,86</t>
  </si>
  <si>
    <t>REATOR P/ 1 LAMPADA VAPOR DE MERCURIO 400W USO EXT</t>
  </si>
  <si>
    <t>162,27</t>
  </si>
  <si>
    <t>63,81</t>
  </si>
  <si>
    <t>REBOLO ABRASIVO RETO DE USO GERAL GRAO 36, DE 6 X 1 " ( DIAMETRO X ALTURA)</t>
  </si>
  <si>
    <t>REBOLO ABRASIVO RETO DE USO GERAL GRAO 36, DE 6 X 3/4 " (DIAMETRO X ALTURA)</t>
  </si>
  <si>
    <t>RECICLADORA DE ASFALTO A FRIO SOBRE RODAS, LARG. FRESAGEM 2,00 M, POT. 315 KW/422 HP</t>
  </si>
  <si>
    <t>REDUCAO EXCENTRICA PVC, DN 100 X 50 MM, PARA ESGOTO PREDIAL</t>
  </si>
  <si>
    <t>REDUCAO EXCENTRICA PVC, DN 100 X 75 MM, PARA ESGOTO PREDIAL</t>
  </si>
  <si>
    <t>REDUCAO EXCENTRICA PVC, DN 75 X 50 MM, PARA ESGOTO PREDIAL</t>
  </si>
  <si>
    <t>REDUCAO EXCENTRICA PVC, SERIE R, DN 100 X 75 MM, PARA ESGOTO PREDIAL</t>
  </si>
  <si>
    <t>REDUCAO EXCENTRICA PVC, SERIE R, DN 75 X 50 MM, PARA ESGOTO PREDIAL</t>
  </si>
  <si>
    <t>REDUCAO FIXA TIPO STORZ, ENGATE RAPIDO 2.1/2" X 1.1/2", EM LATAO, PARA INSTALACAO PREDIAL COMBATE A INCENDIO PREDIAL</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</si>
  <si>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</si>
  <si>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</si>
  <si>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</si>
  <si>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</si>
  <si>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149,07</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</si>
  <si>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</si>
  <si>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</si>
  <si>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</si>
  <si>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</si>
  <si>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</si>
  <si>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</si>
  <si>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</si>
  <si>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</si>
  <si>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</si>
  <si>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</si>
  <si>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</si>
  <si>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</si>
  <si>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</si>
  <si>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</si>
  <si>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</si>
  <si>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</si>
  <si>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</si>
  <si>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</si>
  <si>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</si>
  <si>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</si>
  <si>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</si>
  <si>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</si>
  <si>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61,40</t>
  </si>
  <si>
    <t>REGISTRO GAVETA BRUTO EM LATAO FORJADO, BITOLA 1 1/2 " (REF 1509)</t>
  </si>
  <si>
    <t>105,65</t>
  </si>
  <si>
    <t>REGISTRO GAVETA BRUTO EM LATAO FORJADO, BITOLA 1 1/4 " (REF 1509)</t>
  </si>
  <si>
    <t>REGISTRO GAVETA BRUTO EM LATAO FORJADO, BITOLA 1/2 " (REF 1509)</t>
  </si>
  <si>
    <t>36,88</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</si>
  <si>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</si>
  <si>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</si>
  <si>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</si>
  <si>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</si>
  <si>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</si>
  <si>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</si>
  <si>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</si>
  <si>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</si>
  <si>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</si>
  <si>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84,12</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</si>
  <si>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</si>
  <si>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</si>
  <si>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</si>
  <si>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</si>
  <si>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</si>
  <si>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</si>
  <si>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</si>
  <si>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</si>
  <si>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</si>
  <si>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</si>
  <si>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REJUNTE CIMENTICIO, QUALQUER COR</t>
  </si>
  <si>
    <t>RELE FOTOELETRICO INTERNO E EXTERNO BIVOLT 1000 W, DE CONECTOR, SEM BASE</t>
  </si>
  <si>
    <t>RELE TERMICO BIMETAL PARA USO EM MOTORES TRIFASICOS, TENSAO 380 V, POTENCIA ATE 15 CV, CORRENTE NOMINAL MAXIMA 22 A</t>
  </si>
  <si>
    <t>RESINA ACRILICA PREMIUM BASE AGUA - COR BRANCA</t>
  </si>
  <si>
    <t>RESPIRADOR DESCARTAVEL SEM VALVULA DE EXALACAO, PFF 1</t>
  </si>
  <si>
    <t>1,71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</si>
  <si>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</si>
  <si>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</si>
  <si>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</si>
  <si>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</si>
  <si>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</si>
  <si>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</si>
  <si>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</si>
  <si>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21,47</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</si>
  <si>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</si>
  <si>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</si>
  <si>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</si>
  <si>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RODAFORRO EM PVC, PARA FORRO DE PVC, COMPRIMENTO 6 M</t>
  </si>
  <si>
    <t>RODAPE ARDOSIA, CINZA, 10 CM, E= *1CM</t>
  </si>
  <si>
    <t>RODAPE DE BORRACHA LISO, H = 70 MM, E = *2* MM, PARA ARGAMASSA, PRETO</t>
  </si>
  <si>
    <t>26,08</t>
  </si>
  <si>
    <t>17,36</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</si>
  <si>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</si>
  <si>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</si>
  <si>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</si>
  <si>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</si>
  <si>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</si>
  <si>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</si>
  <si>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</si>
  <si>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</si>
  <si>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</si>
  <si>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</si>
  <si>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</si>
  <si>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979.036,57</t>
  </si>
  <si>
    <t>ROLO COMPACTADOR DE PNEUS, ESTATICO, PRESSAO VARIAVEL, POTENCIA 111 HP, PESO SEM/COM LASTRO 9,5/26,0 T, LARGURA DE ROLAGEM 1,90 M</t>
  </si>
  <si>
    <t>922.300,00</t>
  </si>
  <si>
    <t>ROLO COMPACTADOR PE DE CARNEIRO VIBRATORIO, POTENCIA 125 HP, PESO OPERACIONAL SEM/COM LASTRO 11,95/13,30 T, IMPACTO DINAMICO 38,5/22,5 T, LARGURA DE TRABALHO 2,15 M</t>
  </si>
  <si>
    <t>818.062,94</t>
  </si>
  <si>
    <t>ROLO COMPACTADOR PE DE CARNEIRO VIBRATORIO, POTENCIA 80 HP, PESO OPERACIONAL SEM/COM LASTRO 7,4/8,8 T, LARGURA DE TRABALHO 1,68 M</t>
  </si>
  <si>
    <t>613.566,62</t>
  </si>
  <si>
    <t>ROLO COMPACTADOR VIBRATORIO DE UM CILINDRO LISO DE ACO, POTENCIA 125 HP, PESO SEM/COM LASTRO 10,75/12,92 T, IMPACTO DINAMICO 31,5/18,5 T, LARGURA TRABALHO 2,15 M</t>
  </si>
  <si>
    <t>791.673,72</t>
  </si>
  <si>
    <t>ROLO COMPACTADOR VIBRATORIO DE UM CILINDRO, ACO LISO, POTENCIA 80 HP, PESO OPERACIONAL MAXIMO 8,1 T, IMPACTO DINAMICO 16,15/9,5 T, LARGURA TRABALHO 1,68 M</t>
  </si>
  <si>
    <t>590.140,01</t>
  </si>
  <si>
    <t>ROLO COMPACTADOR VIBRATORIO PE DE CARNEIRO, COM CONTROLE REMOTO POR RADIO, POTENCIA  12,5 KW, PESO OPERACIONAL DE 1,675 T, LARGURA DE TRABALHO 0,85 M</t>
  </si>
  <si>
    <t>806.353,70</t>
  </si>
  <si>
    <t>ROLO COMPACTADOR VIBRATORIO REBOCAVEL, CILINDRO DE ACO LISO, POTENCIA DE TRACAO DE 65 CV, PESO DE 4,7 T, IMPACTO DINAMICO TOTAL DE 18,3 T, LARGURA DO ROLO 1,67 M</t>
  </si>
  <si>
    <t>178.135,69</t>
  </si>
  <si>
    <t>ROLO COMPACTADOR VIBRATORIO TANDEM, ACO LISO, POTENCIA 125 HP, PESO SEM/COM LASTRO 10,20/11,65 T, LARGURA DE TRABALHO 1,73 M</t>
  </si>
  <si>
    <t>882.772,89</t>
  </si>
  <si>
    <t>ROLO COMPACTADOR VIBRATORIO TANDEM, ACO LISO, POTENCIA 58 CV, PESO SEM/COM LASTRO 6,5/9,4 T, LARGURA DE TRABALHO 1,20 M</t>
  </si>
  <si>
    <t>724.664,29</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</si>
  <si>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</si>
  <si>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</si>
  <si>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</si>
  <si>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</si>
  <si>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</si>
  <si>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</si>
  <si>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</si>
  <si>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</si>
  <si>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</si>
  <si>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</si>
  <si>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</si>
  <si>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</si>
  <si>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</si>
  <si>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</si>
  <si>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</si>
  <si>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</si>
  <si>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</si>
  <si>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</si>
  <si>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270,93</t>
  </si>
  <si>
    <t>SAPATA DE PVC ADITIVADO NERVURADO D = 8"</t>
  </si>
  <si>
    <t>356,56</t>
  </si>
  <si>
    <t>SAPATILHA EM ACO GALVANIZADO PARA CABOS COM DIAMETRO NOMINAL ATE 5/8"</t>
  </si>
  <si>
    <t>SARRAFO *2,5 X 5* CM EM PINUS, MISTA OU EQUIVALENTE DA REGIAO - BRUTA</t>
  </si>
  <si>
    <t>11,96</t>
  </si>
  <si>
    <t>SEGURO - HORISTA (COLETADO CAIXA - ENCARGOS COMPLEMENTARES)</t>
  </si>
  <si>
    <t>SEGURO - MENSALISTA (COLETADO CAIXA - ENCARGOS COMPLEMENTARES)</t>
  </si>
  <si>
    <t>SEIXO ROLADO PARA APLICACAO EM CONCRETO (POSTO PEDREIRA/FORNECEDOR, SEM FRETE)</t>
  </si>
  <si>
    <t>SELADOR ACRILICO OPACO PREMIUM INTERIOR/EXTERIOR</t>
  </si>
  <si>
    <t>SELADOR HORIZONTAL PARA FITA DE ACO 1 "</t>
  </si>
  <si>
    <t>SELANTE ACRILICO PARA TRATAMENTO / ACABAMENTO SUPERFICIAL DE CONCRETO ESTAMPADO, APARENTE, PEDRAS E OUTROS</t>
  </si>
  <si>
    <t>SELANTE DE BASE ASFALTICA PARA VEDACAO</t>
  </si>
  <si>
    <t>42,57</t>
  </si>
  <si>
    <t>SELANTE TIPO VEDA CALHA PARA METAL E FIBROCIMENTO</t>
  </si>
  <si>
    <t>SELIM PVC, COM TRAVA, JE, 90 GRAUS, DN 125 X 100 MM OU 150 X 100 MM, PARA REDE COLETORA ESGOTO</t>
  </si>
  <si>
    <t>32,84</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</si>
  <si>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</si>
  <si>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</si>
  <si>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</si>
  <si>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</si>
  <si>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</si>
  <si>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82,47</t>
  </si>
  <si>
    <t>SENSOR DE PRESENCA BIVOLT DE PAREDE SEM FOTOCELULA PARA QUALQUER TIPO DE LAMPADA POTENCIA MAXIMA *1000* W, USO INTERNO</t>
  </si>
  <si>
    <t>SENSOR DE PRESENCA BIVOLT DE TETO COM FOTOCELULA PARA QUALQUER TIPO DE LAMPADA POTENCIA MAXIMA *1000* W, USO INTERNO</t>
  </si>
  <si>
    <t>57,40</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</si>
  <si>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</si>
  <si>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</si>
  <si>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</si>
  <si>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 (HORISTA)</t>
  </si>
  <si>
    <t>SERRALHEIRO (MENSALISTA)</t>
  </si>
  <si>
    <t>SERVENTE DE OBRAS</t>
  </si>
  <si>
    <t>SERVENTE DE OBRAS (MENSALISTA)</t>
  </si>
  <si>
    <t>SERVICO DE BOMBEAMENTO DE CONCRETO COM CONSUMO MINIMO DE 40 M3, (DISPONIBILIZACAO DE BOMBA), SEM O LANCAMENTO</t>
  </si>
  <si>
    <t>45,08</t>
  </si>
  <si>
    <t>SIFAO / TUBO SINFONADO EXTENSIVEL/SANFONADO, UNIVERSAL/ SIMPLES, ENTRE *50 A 70* CM, DE PLASTICO BRANCO</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</si>
  <si>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</si>
  <si>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</si>
  <si>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</si>
  <si>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</si>
  <si>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</si>
  <si>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TIPO COPO PARA PIA AMERICANA 1.1/2 X 1.1/2 "</t>
  </si>
  <si>
    <t>SIFAO PLASTICO TIPO COPO PARA PIA OU LAVATORIO, 1 X 1.1/2 "</t>
  </si>
  <si>
    <t>SIFAO PLASTICO TIPO COPO PARA TANQUE, 1.1/4 X 1.1/2 "</t>
  </si>
  <si>
    <t>16,24</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</si>
  <si>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</si>
  <si>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</si>
  <si>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</si>
  <si>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</si>
  <si>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</si>
  <si>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</si>
  <si>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 / ESTOPA SISAL PARA GESSO</t>
  </si>
  <si>
    <t>SOLDA EM VARETA FOSCOPER, D = *2,5* MM  X COMPRIMENTO 500 MM</t>
  </si>
  <si>
    <t>SOLDADOR (HORISTA)</t>
  </si>
  <si>
    <t>SOLDADOR (MENSALISTA)</t>
  </si>
  <si>
    <t>SOLDADOR ELETRICO (PARA SOLDA A SER TESTADA COM RAIOS "X") (HORISTA)</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</si>
  <si>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</si>
  <si>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</si>
  <si>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</si>
  <si>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</si>
  <si>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</si>
  <si>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</si>
  <si>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PREPARADORA / LIMPADORA PARA PVC, FRASCO COM 1000 CM3</t>
  </si>
  <si>
    <t>78,37</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</si>
  <si>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</si>
  <si>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</si>
  <si>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</si>
  <si>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</si>
  <si>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</si>
  <si>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</si>
  <si>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BULBO AMARELO DE RESPOSTA RAPIDA, 79 GRAUS CELSIUS, ACABAMENTO CROMADO, D = 20 MM (3/4")</t>
  </si>
  <si>
    <t>SPRINKLER TIPO PENDENTE, BULBO AMARELO DE RESPOSTA RAPIDA, 79 GRAUS CELSIUS, ACABAMENTO NATURAL OU CROMADO, D = 15 MM (1/2")</t>
  </si>
  <si>
    <t>SPRINKLER TIPO PENDENTE, BULBO AMARELO DE RESPOSTA RAPIDA, 79 GRAUS CELSIUS, ACABAMENTO NATURAL, D = 20 MM (3/4")</t>
  </si>
  <si>
    <t>SPRINKLER TIPO PENDENTE, BULBO VERMELHO DE RESPOSTA RAPIDA, 68 GRAUS CELSIUS, ACABAMENTO CROMADO, D = 15 MM (1/2")</t>
  </si>
  <si>
    <t>SPRINKLER TIPO PENDENTE, BULBO VERMELHO DE RESPOSTA RAPIDA, 68 GRAUS CELSIUS, ACABAMENTO CROMADO, D = 20 MM (3/4")</t>
  </si>
  <si>
    <t>SPRINKLER TIPO PENDENTE, BULBO VERMELHO DE RESPOSTA RAPIDA, 68 GRAUS CELSIUS, ACABAMENTO NATURAL, D = 20 MM (3/4")</t>
  </si>
  <si>
    <t>SPRINKLER TIPO PENDENTE, BULBO VERMELHO RESPOSTA RAPIDA, 68 GRAUS CELSIUS, ACABAMENTO NATURAL, D = 15 MM (1/2")</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</si>
  <si>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</si>
  <si>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</si>
  <si>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</si>
  <si>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</si>
  <si>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</si>
  <si>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</si>
  <si>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</si>
  <si>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</si>
  <si>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METALICO PARA CALHA PLUVIAL, ZINCADO, DOBRADO, DIAMETRO ENTRE 119 E 170 MM, PARA DRENAGEM PLUVIAL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</si>
  <si>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</si>
  <si>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</si>
  <si>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</si>
  <si>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23,95</t>
  </si>
  <si>
    <t>TABUA *2,5 X 15 CM EM PINUS, MISTA OU EQUIVALENTE DA REGIAO - BRUTA</t>
  </si>
  <si>
    <t>TABUA *2,5 X 23* CM EM PINUS, MISTA OU EQUIVALENTE DA REGIAO - BRUTA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</si>
  <si>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</si>
  <si>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</si>
  <si>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</si>
  <si>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</si>
  <si>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</si>
  <si>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</si>
  <si>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</si>
  <si>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</si>
  <si>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</si>
  <si>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</si>
  <si>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</si>
  <si>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</si>
  <si>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</si>
  <si>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</si>
  <si>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</si>
  <si>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</si>
  <si>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</si>
  <si>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</si>
  <si>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</si>
  <si>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</si>
  <si>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</si>
  <si>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</si>
  <si>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</si>
  <si>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TOMADA HEXAGONAL</t>
  </si>
  <si>
    <t>4,04</t>
  </si>
  <si>
    <t>TAMPA PARA CONDULETE, EM PVC, PARA 1 INTERRUPTOR</t>
  </si>
  <si>
    <t>TAMPA PARA CONDULETE, EM PVC, PARA 1 MODULO RJ</t>
  </si>
  <si>
    <t>TAMPA PARA CONDULETE, EM PVC, PARA 2 MODULOS RJ</t>
  </si>
  <si>
    <t>TAMPAO / CAP, ROSCA MACHO, DN 1", PARA TUBO PEX PARA INST. AGUA QUENTE/FRIA</t>
  </si>
  <si>
    <t>TAMPAO / CAP, ROSCA MACHO, DN 3/4", PARA TUBO PEX PARA INST. AGUA QUENTE/FRIA</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</si>
  <si>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</si>
  <si>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</si>
  <si>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</si>
  <si>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</si>
  <si>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</si>
  <si>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</si>
  <si>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CLASSE B125 CARGA MAX 12,5 T, REDONDO, TAMPA 600 MM (COM INSCRICAO EM RELEVO DO TIPO DE REDE)</t>
  </si>
  <si>
    <t>TAMPAO FOFO ARTICULADO, CLASSE D400 CARGA MAX 40 T, REDONDO, TAMPA 600 MM (COM INSCRICAO EM RELEVO DO TIPO DE REDE)</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</si>
  <si>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</si>
  <si>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</si>
  <si>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83.450,00</t>
  </si>
  <si>
    <t>TANQUE DE ACO PARA TRANSPORTE DE AGUA COM CAPACIDADE DE 14 M3 (INCLUI MONTAGEM, NAO INCLUI CAMINHAO)</t>
  </si>
  <si>
    <t>102.707,68</t>
  </si>
  <si>
    <t>TANQUE DE ACO PARA TRANSPORTE DE AGUA COM CAPACIDADE DE 4 M3 (INCLUI MONTAGEM, NAO INCLUI CAMINHAO)</t>
  </si>
  <si>
    <t>58.610,36</t>
  </si>
  <si>
    <t>TANQUE DE ACO PARA TRANSPORTE DE AGUA COM CAPACIDADE DE 6 M3 (INCLUI MONTAGEM, NAO INCLUI CAMINHAO)</t>
  </si>
  <si>
    <t>69.634,70</t>
  </si>
  <si>
    <t>TANQUE DE ACO PARA TRANSPORTE DE AGUA COM CAPACIDADE DE 8 M3 (INCLUI MONTAGEM, NAO INCLUI CAMINHAO)</t>
  </si>
  <si>
    <t>55.400,75</t>
  </si>
  <si>
    <t>TANQUE DE ASFALTO ESTACIONARIO COM MACARICO, CAPACIDADE 20.000 L</t>
  </si>
  <si>
    <t>116.034,57</t>
  </si>
  <si>
    <t>TANQUE DE ASFALTO ESTACIONARIO COM SERPENTINA, CAPACIDADE 20.000 L</t>
  </si>
  <si>
    <t>121.616,51</t>
  </si>
  <si>
    <t>TANQUE DE ASFALTO ESTACIONARIO COM SERPENTINA, CAPACIDADE 30.000 L</t>
  </si>
  <si>
    <t>142.758,10</t>
  </si>
  <si>
    <t>TANQUE DE LOUCA BRANCA, COM COLUNA, *30* L</t>
  </si>
  <si>
    <t>TANQUE DE LOUCA BRANCA, SUSPENSO, *20*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</si>
  <si>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</si>
  <si>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</si>
  <si>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</si>
  <si>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</si>
  <si>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 (HORISTA)</t>
  </si>
  <si>
    <t>TAQUEADOR OU TAQUEIRO (MENSALISTA)</t>
  </si>
  <si>
    <t>TARIFA "A" ENTRE  0 E 20M3 FORNECIMENTO  D'AGUA</t>
  </si>
  <si>
    <t>TARJETA LIVRE / OCUPADO PARA PORTA DE BANHEIRO, CORPO EM ZAMAC E ESPELHO EM LATAO</t>
  </si>
  <si>
    <t>TARUGO DELIMITADOR DE PROFUNDIDADE EM ESPUMA DE POLIETILENO DE BAIXA DENSIDADE 10 MM, CINZA</t>
  </si>
  <si>
    <t>TE CPVC, SOLDAVEL, 90 GRAUS, 114 MM, PARA AGUA QUENTE PREDIAL</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</si>
  <si>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</si>
  <si>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</si>
  <si>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</si>
  <si>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</si>
  <si>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</si>
  <si>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40,63</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</si>
  <si>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</si>
  <si>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</si>
  <si>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</si>
  <si>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</si>
  <si>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</si>
  <si>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</si>
  <si>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</si>
  <si>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</si>
  <si>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</si>
  <si>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</si>
  <si>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</si>
  <si>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</si>
  <si>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</si>
  <si>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</si>
  <si>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</si>
  <si>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</si>
  <si>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</si>
  <si>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</si>
  <si>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74,06</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</si>
  <si>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</si>
  <si>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</si>
  <si>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</si>
  <si>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</si>
  <si>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</si>
  <si>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</si>
  <si>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</si>
  <si>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</si>
  <si>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</si>
  <si>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</si>
  <si>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1.1/2" X 3/4", AGUA FRIA PREDIAL</t>
  </si>
  <si>
    <t>23,38</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</si>
  <si>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</si>
  <si>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</si>
  <si>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</si>
  <si>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</si>
  <si>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41,59</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</si>
  <si>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</si>
  <si>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</si>
  <si>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</si>
  <si>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</si>
  <si>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</si>
  <si>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156,40</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</si>
  <si>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</si>
  <si>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</si>
  <si>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</si>
  <si>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</si>
  <si>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</si>
  <si>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</si>
  <si>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</si>
  <si>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</si>
  <si>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</si>
  <si>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</si>
  <si>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</si>
  <si>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CPVC, 22 X 15 MM, PARA AGUA QUENTE PREDIAL</t>
  </si>
  <si>
    <t>TE DE REDUCAO, CPVC, 28 X 22 MM, PARA AGUA QUENTE PREDIAL</t>
  </si>
  <si>
    <t>TE DE REDUCAO, CPVC, 35 X 28 MM, PARA AGUA QUENTE PREDIAL</t>
  </si>
  <si>
    <t>23,39</t>
  </si>
  <si>
    <t>TE DE REDUCAO, CPVC, 42 X 35 MM, PARA AGUA QUENTE PREDIAL</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</si>
  <si>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</si>
  <si>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</si>
  <si>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</si>
  <si>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</si>
  <si>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</si>
  <si>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</si>
  <si>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</si>
  <si>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</si>
  <si>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</si>
  <si>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</si>
  <si>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</si>
  <si>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</si>
  <si>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</si>
  <si>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</si>
  <si>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</si>
  <si>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</si>
  <si>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</si>
  <si>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</si>
  <si>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</si>
  <si>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</si>
  <si>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</si>
  <si>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</si>
  <si>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</si>
  <si>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</si>
  <si>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</si>
  <si>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</si>
  <si>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</si>
  <si>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</si>
  <si>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</si>
  <si>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DN 16 MM, EM TUBO PEX PARA INST. AGUA QUENTE/FRIA</t>
  </si>
  <si>
    <t>TE METALICO, PARA CONEXAO COM ANEL DESLIZANTE, DN 20 MM, EM TUBO PEX PARA INST. AGUA QUENTE/FRIA</t>
  </si>
  <si>
    <t>TE METALICO, PARA CONEXAO COM ANEL DESLIZANTE, DN 25 MM, EM TUBO PEX PARA INST. AGUA QUENTE/FRIA</t>
  </si>
  <si>
    <t>28,80</t>
  </si>
  <si>
    <t>TE METALICO, PARA CONEXAO COM ANEL DESLIZANTE, DN 32 MM, EM TUBO PEX PARA INST. AGUA QUENTE/FRIA</t>
  </si>
  <si>
    <t>TE MISTURADOR COM INSERTO METALICO, FEMEA, PPR, DN 25 MM X 3/4", PARA AGUA QUENTE E FRIA PREDIAL</t>
  </si>
  <si>
    <t>TE MISTURADOR, CPVC, SOLDAVEL, 15 MM, PARA AGUA QUENTE</t>
  </si>
  <si>
    <t>TE MISTURADOR, CPVC, SOLDAVEL, 22 MM, PARA AGUA QUENTE</t>
  </si>
  <si>
    <t>TE MISTURADOR, PPR, F/M/M, DN 20 X 20 MM, PARA AGUA QUENTE PREDIAL</t>
  </si>
  <si>
    <t>TE MISTURADOR, PPR, F/M/M, DN 25 X 25 MM, PARA AGUA QUENTE PREDIAL</t>
  </si>
  <si>
    <t>17,19</t>
  </si>
  <si>
    <t>TE NORMAL, PPR, F/F/F, SOLDAVEL, 90 GRAUS, DN 110 X 110 X 110 MM, PARA AGUA QUENTE PREDIAL</t>
  </si>
  <si>
    <t>277,22</t>
  </si>
  <si>
    <t>TE NORMAL, PPR, F/F/F, SOLDAVEL, 90 GRAUS, DN 20 X 20 X 20 MM, PARA AGUA QUENTE PREDIAL</t>
  </si>
  <si>
    <t>TE NORMAL, PPR, F/F/F, SOLDAVEL, 90 GRAUS, DN 25 X 25 X 25 MM, PARA AGUA QUENTE PREDIAL</t>
  </si>
  <si>
    <t>TE NORMAL, PPR, F/F/F, SOLDAVEL, 90 GRAUS, DN 32 X 32 X 32 MM, PARA AGUA QUENTE PREDIAL</t>
  </si>
  <si>
    <t>TE NORMAL, PPR, F/F/F, SOLDAVEL, 90 GRAUS, DN 40 X 40 X 40 MM, PARA AGUA QUENTE PREDIAL</t>
  </si>
  <si>
    <t>14,94</t>
  </si>
  <si>
    <t>TE NORMAL, PPR, F/F/F, SOLDAVEL, 90 GRAUS, DN 50 X 50 X 50 MM, PARA AGUA QUENTE PREDIAL</t>
  </si>
  <si>
    <t>TE NORMAL, PPR, F/F/F, SOLDAVEL, 90 GRAUS, DN 63 X 63 X 63 MM, PARA AGUA QUENTE PREDIAL</t>
  </si>
  <si>
    <t>TE NORMAL, PPR, F/F/F, SOLDAVEL, 90 GRAUS, DN 75 X 75 X 75 MM, PARA AGUA QUENTE PREDIAL</t>
  </si>
  <si>
    <t>TE NORMAL, PPR, F/F/F,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</si>
  <si>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</si>
  <si>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</si>
  <si>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</si>
  <si>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</si>
  <si>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</si>
  <si>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</si>
  <si>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</si>
  <si>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</si>
  <si>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</si>
  <si>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</si>
  <si>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</si>
  <si>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</si>
  <si>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</si>
  <si>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</si>
  <si>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</si>
  <si>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</si>
  <si>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</si>
  <si>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ROSCA FEMEA, METALICO, PARA CONEXAO COM ANEL DESLIZANTE, DN 16 MM X 1/2", EM TUBO PEX PARA INST. AGUA QUENTE/FRIA</t>
  </si>
  <si>
    <t>18,57</t>
  </si>
  <si>
    <t>TE ROSCA FEMEA, METALICO, PARA CONEXAO COM ANEL DESLIZANTE, DN 20 MM X 1/2", EM TUBO PEX PARA INST. AGUA QUENTE/FRIA</t>
  </si>
  <si>
    <t>TE ROSCA FEMEA, METALICO, PARA CONEXAO COM ANEL DESLIZANTE, DN 25 MM X 3/4", EM TUBO PEX PARA INST. AGUA QUENTE/FRIA</t>
  </si>
  <si>
    <t>TE SANITARIO DE REDUCAO, PVC, DN 100 X 50 MM, SERIE NORMAL, PARA ESGOTO PREDIAL</t>
  </si>
  <si>
    <t>TE SANITARIO DE REDUCAO, PVC, DN 100 X 75 MM, SERIE NORMAL PARA ESGOTO PREDIAL</t>
  </si>
  <si>
    <t>19,86</t>
  </si>
  <si>
    <t>TE SANITARIO, PVC, DN 100 X 100 MM, SERIE NORMAL, PARA ESGOTO PREDIAL</t>
  </si>
  <si>
    <t>TE SANITARIO, PVC, DN 40 X 40 MM, SERIE NORMAL, PARA ESGOTO PREDIAL</t>
  </si>
  <si>
    <t>TE SANITARIO, PVC, DN 50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</si>
  <si>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</si>
  <si>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</si>
  <si>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</si>
  <si>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</si>
  <si>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</si>
  <si>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</si>
  <si>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</si>
  <si>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</si>
  <si>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58,35</t>
  </si>
  <si>
    <t>TE SOLDAVEL, PVC, 90 GRAUS, 85 MM, PARA AGUA FRIA PREDIAL (NBR 5648)</t>
  </si>
  <si>
    <t>TE SOLDAVEL, PVC, 90 GRAUS,50 MM, PARA AGUA FRIA PREDIAL (NBR 5648)</t>
  </si>
  <si>
    <t>TE 45 GRAUS DE FERRO GALVANIZADO, COM ROSCA BSP, DE 1 1/2"</t>
  </si>
  <si>
    <t>101,47</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</si>
  <si>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</si>
  <si>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</si>
  <si>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</si>
  <si>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</si>
  <si>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</si>
  <si>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</si>
  <si>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</si>
  <si>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</si>
  <si>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</si>
  <si>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</si>
  <si>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</si>
  <si>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</si>
  <si>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</si>
  <si>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</si>
  <si>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</si>
  <si>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</si>
  <si>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 PARA INST. AGUA QUENTE/FRIA</t>
  </si>
  <si>
    <t>TE, PLASTICO, DN 20 MM, PARA CONEXAO COM CRIMPAGEM, EM TUBO PEX PARA INST. AGUA QUENTE/FRIA</t>
  </si>
  <si>
    <t>TE, PLASTICO, DN 25 MM, PARA CONEXAO COM CRIMPAGEM, EM TUBO PEX PARA INST. AGUA QUENTE/FRIA</t>
  </si>
  <si>
    <t>27,80</t>
  </si>
  <si>
    <t>TE, PLASTICO, DN 32 MM, PARA CONEXAO COM CRIMPAGEM, EM TUBO PEX PARA INST. AGUA QUENTE/FRIA</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</si>
  <si>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</si>
  <si>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</si>
  <si>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</si>
  <si>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</si>
  <si>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44,52</t>
  </si>
  <si>
    <t>TE, PVC, SERIE R, 100 X 75 MM, PARA ESGOTO PREDIAL</t>
  </si>
  <si>
    <t>TE, PVC, SERIE R, 150 X 100 MM, PARA ESGOTO PREDIAL</t>
  </si>
  <si>
    <t>TE, PVC, SERIE R, 150 X 150 MM, PARA ESGOTO PREDIAL</t>
  </si>
  <si>
    <t>117,93</t>
  </si>
  <si>
    <t>TE, PVC, SERIE R, 75 X 75 MM, PARA ESGOTO PREDIAL</t>
  </si>
  <si>
    <t>29,17</t>
  </si>
  <si>
    <t>TE, PVC, 90 GRAUS, BBB, JE, DN 200 MM, PARA REDE COLETORA ESGOTO</t>
  </si>
  <si>
    <t>TECNICO DE EDIFICACOES (HORISTA)</t>
  </si>
  <si>
    <t>TECNICO DE EDIFICACOES (MENSALISTA)</t>
  </si>
  <si>
    <t>TECNICO EM LABORATORIO E CAMPO DE CONSTRUCAO CIVIL (HORISTA)</t>
  </si>
  <si>
    <t>TECNICO EM LABORATORIO E CAMPO DE CONSTRUCAO CIVIL (MENSALISTA)</t>
  </si>
  <si>
    <t>TECNICO EM SEGURANCA DO TRABALHO (HORISTA)</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</si>
  <si>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</si>
  <si>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</si>
  <si>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</si>
  <si>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</si>
  <si>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</si>
  <si>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</si>
  <si>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</si>
  <si>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</si>
  <si>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</si>
  <si>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</si>
  <si>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</si>
  <si>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</si>
  <si>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</si>
  <si>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</si>
  <si>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</si>
  <si>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</si>
  <si>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T-196, (2,11 KG/M2), DIAMETRO DO FIO = 5,0 MM, LARGURA = 2,45 M, ESPACAMENTO DA MALHA = 30 X 10 CM</t>
  </si>
  <si>
    <t>TELA DE ANIAGEM (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</si>
  <si>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</si>
  <si>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</si>
  <si>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</si>
  <si>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44,93</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</si>
  <si>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</si>
  <si>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</si>
  <si>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</si>
  <si>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</si>
  <si>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</si>
  <si>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</si>
  <si>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</si>
  <si>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</si>
  <si>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</si>
  <si>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</si>
  <si>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</si>
  <si>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</si>
  <si>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</si>
  <si>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INCOLOR, E = 0,6 MM, DE *0,50 X 2,44* M</t>
  </si>
  <si>
    <t>TELHA DE FIBROCIMENTO E = 6 MM, DE 3,00 X 1,06 M (SEM AMIANTO)</t>
  </si>
  <si>
    <t>TELHA DE FIBROCIMENTO E = 6 MM, DE 4,10 X 1,06 M (SEM AMIANTO)</t>
  </si>
  <si>
    <t>197,91</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</si>
  <si>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</si>
  <si>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</si>
  <si>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</si>
  <si>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</si>
  <si>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</si>
  <si>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</si>
  <si>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</si>
  <si>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</si>
  <si>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</si>
  <si>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3,66 X 1,10 M (SEM AMIANTO)</t>
  </si>
  <si>
    <t>TELHA DE FIBROCIMENTO ONDULADA E = 8 MM, DE 1,53 X 1,10 M (SEM AMIANTO)</t>
  </si>
  <si>
    <t>90,48</t>
  </si>
  <si>
    <t>TELHA DE FIBROCIMENTO ONDULADA E = 8 MM, DE 1,83 X 1,10 M (SEM AMIANTO)</t>
  </si>
  <si>
    <t>TELHA DE FIBROCIMENTO ONDULADA E = 8 MM, DE 2,44 X 1,10 M (SEM AMIANTO)</t>
  </si>
  <si>
    <t>118,39</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</si>
  <si>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</si>
  <si>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</si>
  <si>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</si>
  <si>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</si>
  <si>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</si>
  <si>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180,55</t>
  </si>
  <si>
    <t>TELHA ESTRUTURAL DE FIBROCIMENTO 1 ABA, DE 0,52 X 4,00 M (SEM AMIANTO)</t>
  </si>
  <si>
    <t>219,96</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</si>
  <si>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</si>
  <si>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</si>
  <si>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</si>
  <si>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</si>
  <si>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</si>
  <si>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</si>
  <si>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</si>
  <si>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</si>
  <si>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</si>
  <si>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</si>
  <si>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REVESTIMENTO EM TELHA TRAPEZOIDAL NAS DUAS FACES COM ESPESSURA DE 0,50 MM CADA, ACABAMENTO NATURAL (NAO INCLUI ACESSORIOS DE FIXACAO)</t>
  </si>
  <si>
    <t>217,34</t>
  </si>
  <si>
    <t>TELHA ONDULADA EM ACO ZINCADO, ALTURA DE 17 MM, ESPESSURA DE 0,50 MM, LARGURA UTIL DE APROXIMADAMENTE 985 MM, SEM PINTURA</t>
  </si>
  <si>
    <t>62,19</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</si>
  <si>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</si>
  <si>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</si>
  <si>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</si>
  <si>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</si>
  <si>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</si>
  <si>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</si>
  <si>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</si>
  <si>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  (MENSALISTA)</t>
  </si>
  <si>
    <t>TELHADOR (HORISTA)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</si>
  <si>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</si>
  <si>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</si>
  <si>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</si>
  <si>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</si>
  <si>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</si>
  <si>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2,75</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</si>
  <si>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</si>
  <si>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</si>
  <si>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</si>
  <si>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</si>
  <si>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</si>
  <si>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</si>
  <si>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</si>
  <si>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22,31</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</si>
  <si>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</si>
  <si>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</si>
  <si>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</si>
  <si>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</si>
  <si>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</si>
  <si>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</si>
  <si>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</si>
  <si>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</si>
  <si>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</si>
  <si>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</si>
  <si>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</si>
  <si>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</si>
  <si>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</si>
  <si>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</si>
  <si>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</si>
  <si>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</si>
  <si>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</si>
  <si>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</si>
  <si>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</si>
  <si>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</si>
  <si>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</si>
  <si>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</si>
  <si>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</si>
  <si>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</si>
  <si>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</si>
  <si>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</si>
  <si>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</si>
  <si>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REFRATARIO 2,5 X 11,4 X 22,9 CM (L X A X C)</t>
  </si>
  <si>
    <t>TIJOLO CERAMICO REFRATARIO 6,3 X 11,4 X 22,9 CM (L X A X C)</t>
  </si>
  <si>
    <t>TIL CONDOMINIAL, PVC, DN 100 X 100 MM, PARA REDE COLETORA DE ESGOTO</t>
  </si>
  <si>
    <t>TIL PARA LIGACAO PREDIAL, EM PVC, JE, BBB, DN 100 X 100 MM, PARA REDE COLETORA ESGOTO</t>
  </si>
  <si>
    <t>TIL RADIAL, PVC, JE, BBB, DN 300 X 200 MM, PARA REDE COLETORA DE ESGOTO (NBR 10.569)</t>
  </si>
  <si>
    <t>TINTA / REVESTIMENTO A BASE DE RESINA EPOXI COM ALCATRAO, BICOMPONENTE</t>
  </si>
  <si>
    <t>79,69</t>
  </si>
  <si>
    <t>TINTA A BASE DE RESINA ACRILICA EMULSIONADA EM AGUA, PARA SINALIZACAO HORIZONTAL VIARIA (NBR 13699:2012)</t>
  </si>
  <si>
    <t>21,55</t>
  </si>
  <si>
    <t>TINTA A OLEO BRILHANTE, PARA MADEIRAS E METAIS</t>
  </si>
  <si>
    <t>TINTA ACRILICA A BASE DE SOLVENTE, PARA SINALIZACAO HORIZONTAL VIARIA (NBR 11862)</t>
  </si>
  <si>
    <t>19,06</t>
  </si>
  <si>
    <t>TINTA ASFALTICA IMPERMEABILIZANTE DILUIDA EM SOLVENTE, PARA MATERIAIS CIMENTICIOS, METAL E MADEIRA</t>
  </si>
  <si>
    <t>TINTA ASFALTICA IMPERMEABILIZANTE DISPERSA EM AGUA, PARA MATERIAIS CIMENTICIOS</t>
  </si>
  <si>
    <t>TINTA BORRACHA CLORADA, ACABAMENTO SEMIBRILHO, QUALQUER COR</t>
  </si>
  <si>
    <t>TINTA EPOXI BASE AGUA PREMIUM, BRANCA</t>
  </si>
  <si>
    <t>TINTA ESMALTE BASE AGUA PREMIUM ACETINADO</t>
  </si>
  <si>
    <t>47,12</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</si>
  <si>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</si>
  <si>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</si>
  <si>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</si>
  <si>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</si>
  <si>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</si>
  <si>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TINTA ESMALTE SINTETICO PREMIUM FOSCO</t>
  </si>
  <si>
    <t>TINTA ESMALTE SINTETICO STANDARD ACETINADO</t>
  </si>
  <si>
    <t>TINTA ESMALTE SINTETICO STANDARD BRILHANTE</t>
  </si>
  <si>
    <t>32,83</t>
  </si>
  <si>
    <t>TINTA ESMALTE SINTETICO STANDARD FOSCO</t>
  </si>
  <si>
    <t>31,68</t>
  </si>
  <si>
    <t>TINTA LATEX ACRILICA ECONOMICA, COR BRANCA</t>
  </si>
  <si>
    <t>TINTA LATEX ACRILICA PREMIUM, COR BRANCO FOSCO</t>
  </si>
  <si>
    <t>TINTA LATEX ACRILICA STANDARD, COR BRANCA</t>
  </si>
  <si>
    <t>TINTA LATEX ACRILICA SUPER PREMIUM, COR BRANCO FOSCO</t>
  </si>
  <si>
    <t>TINTA MINERAL IMPERMEAVEL EM PO, BRANCA</t>
  </si>
  <si>
    <t>TINTA/RESINA ACRILICA PREMIUM PARA CERAMICA, PEDRAS E OUTROS</t>
  </si>
  <si>
    <t>44,44</t>
  </si>
  <si>
    <t>TIRANTE COM ELO, EM ARAME GALVANIZADO RIGIDO, NUMERO 10, COMPRIMENTO 2000 MM, PARA PENDURAL DE FORRO REMOVIVEL</t>
  </si>
  <si>
    <t>4,57</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</si>
  <si>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</si>
  <si>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</si>
  <si>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</si>
  <si>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</si>
  <si>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</si>
  <si>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12,99</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</si>
  <si>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</si>
  <si>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</si>
  <si>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</si>
  <si>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</si>
  <si>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</si>
  <si>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42,40</t>
  </si>
  <si>
    <t>9,27</t>
  </si>
  <si>
    <t>TOMADA 2P+T 10A, 250V, CONJUNTO MONTADO PARA EMBUTIR 4" X 2" (PLACA + SUPORTE + MODULO)</t>
  </si>
  <si>
    <t>TOMADA 2P+T 10A, 250V, CONJUNTO MONTADO PARA SOBREPOR 4" X 2" (CAIXA + MODULO)</t>
  </si>
  <si>
    <t>TOMADA 2P+T 20A 250V, CONJUNTO MONTADO PARA EMBUTIR 4" X 2" (PLACA + SUPORTE + MODULO)</t>
  </si>
  <si>
    <t>TOMADAS (2 MODULOS) 2P+T 10A, 250V, CONJUNTO MONTADO PARA EMBUTIR 4" X 2" (PLACA + SUPORTE + MODULOS)</t>
  </si>
  <si>
    <t>TOPOGRAFO (HORISTA)</t>
  </si>
  <si>
    <t>TOPOGRAFO (MENSALISTA)</t>
  </si>
  <si>
    <t>TORNEIRA DE BOIA BALAO METALICO, VAZAO TOTAL, PARA CAIXA D'AGUA, AGUA QUENTE, ROSCA 1/2 ", COM HASTE, TORNEIRA E BALAO METALICOS</t>
  </si>
  <si>
    <t>TORNEIRA DE BOIA BALAO METALICO, VAZAO TOTAL, PARA CAIXA D'AGUA, AGUA QUENTE, ROSCA 3/4 ", COM HASTE, TORNEIRA E BALAO METALICOS</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</si>
  <si>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</si>
  <si>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</si>
  <si>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</si>
  <si>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</si>
  <si>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</si>
  <si>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</si>
  <si>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VAZAO TOTAL PARA CAIXA D'AGUA, AGUA FRIA, BITOLA 1/2", COM HASTE E TORNEIRA METALICOS E BALAO PLASTICO</t>
  </si>
  <si>
    <t>TORNEIRA DE BOIA VAZAO TOTAL PARA CAIXA D'AGUA, AGUA FRIA, BITOLA 1", COM HASTE E TORNEIRA METALICOS E BALAO PLASTICO</t>
  </si>
  <si>
    <t>TORNEIRA DE BOIA VAZAO TOTAL PARA CAIXA D'AGUA, AGUA FRIA, BITOLA 3/4", COM HASTE E TORNEIRA METALICOS E BALAO PLASTICO</t>
  </si>
  <si>
    <t>TORNEIRA DE MESA PARA LAVATORIO, METALICA CROMADA, COM MISTURADOR MONOCOMANDO, BICA BAIXA (REF 2875)</t>
  </si>
  <si>
    <t>270,63</t>
  </si>
  <si>
    <t>TORNEIRA DE MESA PARA LAVATORIO, METALICA CROMADA, COM SENSOR DE APROXIMACAO ELETRICO, BIVOLT</t>
  </si>
  <si>
    <t>TORNEIRA DE MESA/BANCADA, PARA LAVATORIO, FIXA, METALICA CROMADA, PADRAO POPULAR, 1/2 " OU 3/4 " (REF 1193)</t>
  </si>
  <si>
    <t>59,01</t>
  </si>
  <si>
    <t>TORNEIRA DE METAL AMARELO, PARA TANQUE / JARDIM, DE PAREDE, COM BICO PLASTICO, CANO CURTO, AREA EXTERNA, PADRAO POPULAR / USO GERAL, 1/2 " OU 3/4 " (REF 1128)</t>
  </si>
  <si>
    <t>TORNEIRA DE METAL AMARELO, PARA TANQUE / JARDIM, DE PAREDE, SEM BICO, CANO CURTO, PADRAO POPULAR / USO GERAL, 1/2 " OU 3/4 " (REF 1120)</t>
  </si>
  <si>
    <t>TORNEIRA ELETRICA DE PAREDE, BICA ALTA, PARA COZINHA, 5500 W (110/220 V)</t>
  </si>
  <si>
    <t>TORNEIRA METALICA CROMADA CANO CURTO, SEM BICO, SEM AREJADOR, DE PAREDE, PARA TANQUE E USO GERAL, 1/2 " OU 3/4 " (REF 1143)</t>
  </si>
  <si>
    <t>TORNEIRA METALICA CROMADA DE MESA PARA LAVATORIO, BICA ALTA, COM AREJADOR (REF 1195)</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</si>
  <si>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</si>
  <si>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</si>
  <si>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 (REF 1178)</t>
  </si>
  <si>
    <t>TORNEIRA METALICA CROMADA DE PAREDE, PARA COZINHA, BICA MOVEL, COM AREJADOR, 1/2 " OU 3/4 " (REF 1167 / 1168)</t>
  </si>
  <si>
    <t>TORNEIRA METALICA CROMADA PARA JARDIM / TANQUE, COM BICO PLASTICO, CANO LONGO, DE PAREDE, PADRAO POPULAR / USO GERAL , 1/2 " OU 3/4 " (REF 1153 / 1130)</t>
  </si>
  <si>
    <t>TORNEIRA METALICA CROMADA PARA TANQUE / JARDIM, SEM BICO , CANO LONGO, DE PAREDE, PADRAO POPULAR / USO GERAL, 1/2 " OU 3/4 " (REF 1126)</t>
  </si>
  <si>
    <t>TORNEIRA METALICA CROMADA, CANO CURTO, COM AREJADOR, SEM BICO PLASTICO, DE PAREDE, PARA USO GERAL, 1/2 " OU 3/4 " (REF 1152 / 1154)</t>
  </si>
  <si>
    <t>TORNEIRA METALICA CROMADA, DE MESA/BANCADA, PARA COZINHA, BICA MOVEL, COM AREJADOR, 1/2 " OU 3/4 " (REF 1167 / 1168)</t>
  </si>
  <si>
    <t>TORNEIRA METALICA CROMADA, RETA, DE PAREDE, PARA COZINHA, COM AREJADOR, PADRAO POPULAR, 1/2 " OU 3/4 " (REF 1159 / 1160)</t>
  </si>
  <si>
    <t>TORNEIRA METALICA CROMADA, RETA, DE PAREDE, PARA COZINHA, SEM BICO, SEM AREJADOR, PADRAO POPULAR, 1/2 " OU 3/4 " (REF 1158)</t>
  </si>
  <si>
    <t>68,96</t>
  </si>
  <si>
    <t>TORNEIRA PLASTICA DE BOIA CONVENCIONAL PARA CAIXA DE AGUA, AGUA FRIA,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</si>
  <si>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</si>
  <si>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</si>
  <si>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</si>
  <si>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</si>
  <si>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</si>
  <si>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</si>
  <si>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</si>
  <si>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</si>
  <si>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</si>
  <si>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</si>
  <si>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</si>
  <si>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</si>
  <si>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</si>
  <si>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</si>
  <si>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</si>
  <si>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 - ENCARGOS COMPLEMENTARES)</t>
  </si>
  <si>
    <t>TRANSPORTE - MENSALISTA (COLETADO CAIXA - ENCARGOS COMPLEMENTARES)</t>
  </si>
  <si>
    <t>TRATOR DE ESTEIRAS, POTENCIA BRUTA DE 133 HP, PESO OPERACIONAL DE 14 T, COM LAMINA COM CAPACIDADE DE 3,00 M3</t>
  </si>
  <si>
    <t>985.932,68</t>
  </si>
  <si>
    <t>TRATOR DE ESTEIRAS, POTENCIA BRUTA DE 347 HP, PESO OPERACIONAL DE 38,5 T, COM ESCARIFICADOR E LAMINA COM CAPACIDADE DE 4,70M3</t>
  </si>
  <si>
    <t>4.061.695,76</t>
  </si>
  <si>
    <t>TRATOR DE ESTEIRAS, POTENCIA DE 100 HP, PESO OPERACIONAL DE 9,4 T, COM LAMINA COM CAPACIDADE DE 2,19 M3</t>
  </si>
  <si>
    <t>956.498,80</t>
  </si>
  <si>
    <t>TRATOR DE ESTEIRAS, POTENCIA DE 150 HP, PESO OPERACIONAL DE 16,7 T, COM RODA MOTRIZ ELEVADA E LAMINA COM CONTATO DE 3,18M3</t>
  </si>
  <si>
    <t>1.240.000,00</t>
  </si>
  <si>
    <t>TRATOR DE ESTEIRAS, POTENCIA DE 170 HP, PESO OPERACIONAL DE 19 T, COM LAMINA COM CAPACIDADE DE 5,2 M3</t>
  </si>
  <si>
    <t>1.232.415,78</t>
  </si>
  <si>
    <t>TRATOR DE ESTEIRAS, POTENCIA DE 347 HP, PESO OPERACIONAL DE 38,5 T, COM LAMINA COM CAPACIDADE DE 8,70M3</t>
  </si>
  <si>
    <t>TRATOR DE ESTEIRAS, POTENCIA NO VOLANTE DE 200 HP, PESO OPERACIONAL DE 20,1 T, COM RODA MOTRIZ ELEVADA E LAMINA COM CAPACIDADE DE 3,89 M3</t>
  </si>
  <si>
    <t>1.826.705,75</t>
  </si>
  <si>
    <t>TRATOR DE ESTEIRAS, POTENCIA 125 HP, PESO OPERACIONAL DE 12,9 T, COM LAMINA COM CAPACIDADE DE 2,7 M3</t>
  </si>
  <si>
    <t>1.001.100,85</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</si>
  <si>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</si>
  <si>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</si>
  <si>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</si>
  <si>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</si>
  <si>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</si>
  <si>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</si>
  <si>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</si>
  <si>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</si>
  <si>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</si>
  <si>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</si>
  <si>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</si>
  <si>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</si>
  <si>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</si>
  <si>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TROLEY MANUAL CAPACIDADE 1 T</t>
  </si>
  <si>
    <t>TUBO / MANGUEIRA PRETA EM POLIETILENO, LINHA PESADA OU REFORCADA, TIPO ESPAGUETE, PARA INJECAO DE CALDA DE CIMENTO, D = 1/2", ESPESSURA 1,5 MM</t>
  </si>
  <si>
    <t>TUBO ACO CARBONO COM COSTURA, NBR 5580, CLASSE L, DN = 15 MM, E = 2,25 MM, 1,06 KG/M</t>
  </si>
  <si>
    <t>8,27</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</si>
  <si>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</si>
  <si>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</si>
  <si>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</si>
  <si>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</si>
  <si>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</si>
  <si>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</si>
  <si>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</si>
  <si>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</si>
  <si>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</si>
  <si>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</si>
  <si>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</si>
  <si>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</si>
  <si>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</si>
  <si>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*3,91 MM, SCHEDULE 80, *2,19 KG/M.</t>
  </si>
  <si>
    <t>TUBO ACO CARBONO SEM COSTURA 3", E= *5,49 MM, SCHEDULE 40, *11,28*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</si>
  <si>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</si>
  <si>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</si>
  <si>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</si>
  <si>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</si>
  <si>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</si>
  <si>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</si>
  <si>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</si>
  <si>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GALVANIZADO COM COSTURA, CLASSE LEVE, DN 100 MM ( 4"),  E = 3,75 MM,  *10,55* KG/M (NBR 5580)</t>
  </si>
  <si>
    <t>TUBO ACO GALVANIZADO COM COSTURA, CLASSE LEVE, DN 15 MM ( 1/2"),  E = 2,25 MM,  *1,2* KG/M (NBR 5580)</t>
  </si>
  <si>
    <t>22,61</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</si>
  <si>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</si>
  <si>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</si>
  <si>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</si>
  <si>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</si>
  <si>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</si>
  <si>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</si>
  <si>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</si>
  <si>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133,52</t>
  </si>
  <si>
    <t>TUBO ACO GALVANIZADO COM COSTURA, CLASSE MEDIA, DN 1.1/2", E = *3,25* MM, PESO *3,61* KG/M (NBR 5580)</t>
  </si>
  <si>
    <t>63,71</t>
  </si>
  <si>
    <t>TUBO ACO GALVANIZADO COM COSTURA, CLASSE MEDIA, DN 1.1/4", E = *3,25* MM, PESO *3,14* KG/M (NBR 5580)</t>
  </si>
  <si>
    <t>TUBO ACO GALVANIZADO COM COSTURA, CLASSE MEDIA, DN 1/2", E = *2,65* MM, PESO *1,22*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</si>
  <si>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</si>
  <si>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</si>
  <si>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</si>
  <si>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</si>
  <si>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</si>
  <si>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211,31</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</si>
  <si>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</si>
  <si>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</si>
  <si>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</si>
  <si>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</si>
  <si>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</si>
  <si>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135,99</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</si>
  <si>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</si>
  <si>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</si>
  <si>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</si>
  <si>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</si>
  <si>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</si>
  <si>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80,07</t>
  </si>
  <si>
    <t>TUBO CORRUGADO PEAD, PAREDE DUPLA, INTERNA LISA, JEI DN/DI 500 MM (DRENAGEM/ESGOTO)</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</si>
  <si>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</si>
  <si>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</si>
  <si>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</si>
  <si>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</si>
  <si>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</si>
  <si>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</si>
  <si>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</si>
  <si>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692,98</t>
  </si>
  <si>
    <t>TUBO CPVC SOLDAVEL, 35 MM, AGUA QUENTE PREDIAL (NBR 15884)</t>
  </si>
  <si>
    <t>TUBO CPVC, SOLDAVEL, 114 MM, AGUA QUENTE (NBR 15884)</t>
  </si>
  <si>
    <t>TUBO CPVC, SOLDAVEL, 15 MM, AGUA QUENTE PREDIAL (NBR 15884)</t>
  </si>
  <si>
    <t>16,02</t>
  </si>
  <si>
    <t>TUBO CPVC, SOLDAVEL, 42 MM, AGUA QUENTE PREDIAL (NBR 15884)</t>
  </si>
  <si>
    <t>TUBO CPVC, SOLDAVEL, 54 MM, AGUA QUENTE PREDIAL (NBR 15884)</t>
  </si>
  <si>
    <t>TUBO CPVC, SOLDAVEL, 73 MM, AGUA QUENTE PREDIAL (NBR 15884)</t>
  </si>
  <si>
    <t>114,20</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</si>
  <si>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</si>
  <si>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</si>
  <si>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</si>
  <si>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</si>
  <si>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</si>
  <si>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</si>
  <si>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</si>
  <si>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</si>
  <si>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</si>
  <si>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</si>
  <si>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</si>
  <si>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</si>
  <si>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</si>
  <si>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65,80</t>
  </si>
  <si>
    <t>TUBO DE COBRE CLASSE "A", DN = 1 " (28 MM), PARA INSTALACOES DE MEDIA PRESSAO PARA GASES COMBUSTIVEIS E MEDICINAIS</t>
  </si>
  <si>
    <t>TUBO DE COBRE CLASSE "A", DN = 1/2 " (15 MM), PARA INSTALACOES DE MEDIA PRESSAO PARA GASES COMBUSTIVEIS E MEDICINAIS</t>
  </si>
  <si>
    <t>53,94</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</si>
  <si>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</si>
  <si>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</si>
  <si>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</si>
  <si>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</si>
  <si>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</si>
  <si>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</si>
  <si>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</si>
  <si>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</si>
  <si>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</si>
  <si>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</si>
  <si>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</si>
  <si>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</si>
  <si>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</si>
  <si>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</si>
  <si>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</si>
  <si>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</si>
  <si>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</si>
  <si>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</si>
  <si>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</si>
  <si>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</si>
  <si>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</si>
  <si>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</si>
  <si>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</si>
  <si>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</si>
  <si>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33,84</t>
  </si>
  <si>
    <t>TUBO DE COBRE FLEXIVEL, D = 5/16 ", E = 0,79 MM, PARA AR-CONDICIONADO/ INSTALACOES GAS RESIDENCIAIS E COMERCIAIS</t>
  </si>
  <si>
    <t>27,06</t>
  </si>
  <si>
    <t>TUBO DE COBRE FLEXIVEL, D = 5/8 ", E = 0,79 MM, PARA AR-CONDICIONADO/ INSTALACOES GAS RESIDENCIAIS E COMERCIAIS</t>
  </si>
  <si>
    <t>TUBO DE COBRE, CLASSE "A", DN = 2" (54 MM), PARA INSTALACOES DE MEDIA PRESSAO PARA GASES COMBUSTIVEIS E MEDICINAIS</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</si>
  <si>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</si>
  <si>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</si>
  <si>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</si>
  <si>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</si>
  <si>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</si>
  <si>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</si>
  <si>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</si>
  <si>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</si>
  <si>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</si>
  <si>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</si>
  <si>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</si>
  <si>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</si>
  <si>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</si>
  <si>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</si>
  <si>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</si>
  <si>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</si>
  <si>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</si>
  <si>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</si>
  <si>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</si>
  <si>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</si>
  <si>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</si>
  <si>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</si>
  <si>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</si>
  <si>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</si>
  <si>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</si>
  <si>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</si>
  <si>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</si>
  <si>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</si>
  <si>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</si>
  <si>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183,82</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</si>
  <si>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</si>
  <si>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</si>
  <si>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</si>
  <si>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</si>
  <si>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</si>
  <si>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</si>
  <si>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</si>
  <si>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</si>
  <si>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</si>
  <si>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</si>
  <si>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</si>
  <si>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</si>
  <si>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</si>
  <si>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</si>
  <si>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</si>
  <si>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</si>
  <si>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</si>
  <si>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</si>
  <si>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</si>
  <si>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</si>
  <si>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</si>
  <si>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</si>
  <si>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</si>
  <si>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</si>
  <si>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</si>
  <si>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</si>
  <si>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</si>
  <si>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</si>
  <si>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</si>
  <si>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</si>
  <si>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</si>
  <si>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</si>
  <si>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</si>
  <si>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64,59</t>
  </si>
  <si>
    <t>TUBO DE CONCRETO SIMPLES PARA AGUAS PLUVIAIS, CLASSE PS2, COM ENCAIXE PONTA E BOLSA, DIAMETRO NOMINAL DE 500 MM</t>
  </si>
  <si>
    <t>91,60</t>
  </si>
  <si>
    <t>TUBO DE CONCRETO SIMPLES PARA AGUAS PLUVIAIS, CLASSE PS2, COM ENCAIXE PONTA E BOLSA, DIAMETRO NOMINAL DE 600 MM</t>
  </si>
  <si>
    <t>TUBO DE CONCRETO SIMPLES PARA ESGOTO SANITARIO, CLASSE ES, COM ENCAIXE PONTA E BOLSA, COM JUNTA ELASTICA, DIAMETRO NOMINAL DE 400 MM</t>
  </si>
  <si>
    <t>94,19</t>
  </si>
  <si>
    <t>TUBO DE CONCRETO SIMPLES PARA ESGOTO SANITARIO, CLASSE ES, COM ENCAIXE PONTA E BOLSA, COM JUNTA ELASTICA, DIAMETRO NOMINAL DE 500 MM</t>
  </si>
  <si>
    <t>114,38</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</si>
  <si>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</si>
  <si>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</si>
  <si>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</si>
  <si>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TIPO BENGALA, PARA LIGACAO CAIXA DE DESCARGA - EMBUTIR, PVC, 40 MM X 150 CM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</si>
  <si>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</si>
  <si>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</si>
  <si>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7,05</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</si>
  <si>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</si>
  <si>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</si>
  <si>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</si>
  <si>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</si>
  <si>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</si>
  <si>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</si>
  <si>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</si>
  <si>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3,50</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</si>
  <si>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</si>
  <si>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</si>
  <si>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</si>
  <si>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</si>
  <si>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 NBR 15561)</t>
  </si>
  <si>
    <t>TUBO DE POLIETILENO DE ALTA DENSIDADE, PEAD, PE-80, DE = 110 MM X 10,0 MM PAREDE, ( SDR 11 - PN 12,5 ) PARA REDE DE AGUA OU ESGOTO ( NBR 15561)</t>
  </si>
  <si>
    <t>TUBO DE POLIETILENO DE ALTA DENSIDADE, PEAD, PE-80, DE = 1200 MM X 37,2 MM PAREDE ( SDR 32,25 - PN 04 ) PARA REDE DE AGUA OU ESGOTO ( NBR 15561)</t>
  </si>
  <si>
    <t>TUBO DE POLIETILENO DE ALTA DENSIDADE, PEAD, PE-80, DE = 1400 MM X 42,9 MM PAREDE, (SDR 32,25 - PN 04 ) PARA REDE DE AGUA OU ESGOTO ( NBR 15561)</t>
  </si>
  <si>
    <t>TUBO DE POLIETILENO DE ALTA DENSIDADE, PEAD, PE-80, DE = 160 MM X 14,6 MM PAREDE, (SDR 11 - PN 12,5 ) PARA REDE DE AGUA OU ESGOTO ( NBR 15561)</t>
  </si>
  <si>
    <t>TUBO DE POLIETILENO DE ALTA DENSIDADE, PEAD, PE-80, DE = 1600 MM X 49,0 MM PAREDE, ( SDR 32,25 - PN 04 ) PARA REDE DE AGUA OU ESGOTO ( NBR 15561)</t>
  </si>
  <si>
    <t>TUBO DE POLIETILENO DE ALTA DENSIDADE, PEAD, PE-80, DE = 900 MM X 34,7 MM PAREDE, ( SDR 26 - PN 05 ) PARA REDE DE AGUA OU ESGOTO ( NBR 15561)</t>
  </si>
  <si>
    <t>TUBO DE POLIETILENO DE ALTA DENSIDADE, PEAD, PE-80, DE= 200 MM X 18,2 MM PAREDE, ( SDR 11 - PN 12,5 ) PARA REDE DE AGUA OU ESGOTO ( NBR 15561)</t>
  </si>
  <si>
    <t>TUBO DE POLIETILENO DE ALTA DENSIDADE, PEAD, PE-80, DE= 315 MM X 28,7 MM PAREDE, ( SDR 11 - PN 12,5 ) PARA REDE DE AGUA OU ESGOTO ( NBR 15561)</t>
  </si>
  <si>
    <t>TUBO DE POLIETILENO DE ALTA DENSIDADE, PEAD, PE-80, DE= 400 MM X 36,4 MM PAREDE, ( SDR 11 - PN 12,5 ) PARA REDE DE AGUA OU ESGOTO ( NBR 15561)</t>
  </si>
  <si>
    <t>TUBO DE POLIETILENO DE ALTA DENSIDADE, PEAD, PE-80, DE= 50 MM X 4,6 MM PAREDE, (SDR 11 - PN 12,5) PARA REDE DE AGUA OU ESGOTO ( NBR 15561)</t>
  </si>
  <si>
    <t>TUBO DE POLIETILENO DE ALTA DENSIDADE, PEAD, PE-80, DE= 500 MM X 45,5 MM PAREDE, ( SDR 11 - PN 12,5 ) PARA REDE DE AGUA OU ESGOTO ( NBR 15561)</t>
  </si>
  <si>
    <t>TUBO DE POLIETILENO DE ALTA DENSIDADE, PEAD, PE-80, DE= 630 MM X 57,3 MM PAREDE (SDR 11 - PN 12,5 ) PARA REDE DE AGUA OU ESGOTO ( NBR 15561)</t>
  </si>
  <si>
    <t>TUBO DE POLIETILENO DE ALTA DENSIDADE, PEAD, PE-80, DE= 730 MM X 34,1 MM PAREDE, ( SDR 21 - PN 06 ) PARA REDE DE AGUA OU ESGOTO ( NBR 15561)</t>
  </si>
  <si>
    <t>TUBO DE POLIETILENO DE ALTA DENSIDADE, PEAD, PE-80, DE= 75 MM X 6,9 MM PAREDE, ( SRD 11 - PN 12,5 ) PARA REDE DE AGUA OU ESGOTO ( NBR 15561)</t>
  </si>
  <si>
    <t>TUBO DE POLIETILENO DE ALTA DENSIDADE, PEAD, PE-80, DE= 800 MM X 30,8 MM PAREDE, ( SDR 26 - PN 05 ) PARA REDE DE AGUA OU ESGOTO ( NBR 15561)</t>
  </si>
  <si>
    <t>TUBO DE PVC, PBL, TIPO LEVE, DN = 250 MM,  PARA VENTILACAO</t>
  </si>
  <si>
    <t>TUBO DE PVC, PBL, TIPO LEVE, DN = 300 MM,  PARA VENTILACAO</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</si>
  <si>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</si>
  <si>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</si>
  <si>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</si>
  <si>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</si>
  <si>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</si>
  <si>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</si>
  <si>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(200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</si>
  <si>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</si>
  <si>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</si>
  <si>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65 MM, (2 1/2") PARA DRENAGEM - EM ROLO (NORMA DNIT 093/2006 - EM)</t>
  </si>
  <si>
    <t>TUBO MONOCAMADA PEX, DN 16 MM, PARA AGUA QUENTE E FRIA</t>
  </si>
  <si>
    <t>TUBO MONOCAMADA PEX, DN 20 MM, PARA AGUA QUENTE E FRIA</t>
  </si>
  <si>
    <t>TUBO MONOCAMADA PEX, DN 25 MM, PARA AGUA QUENTE E FRIA</t>
  </si>
  <si>
    <t>TUBO MONOCAMADA PEX, DN 32 MM, PARA AGUA QUENTE E FRIA</t>
  </si>
  <si>
    <t>TUBO MULTICAMADA PEX, DN 16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</si>
  <si>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</si>
  <si>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</si>
  <si>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</si>
  <si>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</si>
  <si>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</si>
  <si>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</si>
  <si>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</si>
  <si>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</si>
  <si>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41,41</t>
  </si>
  <si>
    <t>TUBO PPR, CLASSE PN 12, DN 75 MM</t>
  </si>
  <si>
    <t>TUBO PPR, CLASSE PN 12, DN 90 MM</t>
  </si>
  <si>
    <t>TUBO PPR, CLASSE PN 20, SOLDAVEL, DN 32 MM PARA AGUA FRIA OU QUENTE PREDIAL</t>
  </si>
  <si>
    <t>20,98</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</si>
  <si>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</si>
  <si>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</si>
  <si>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</si>
  <si>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</si>
  <si>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</si>
  <si>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</si>
  <si>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</si>
  <si>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83,90</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</si>
  <si>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</si>
  <si>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</si>
  <si>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</si>
  <si>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</si>
  <si>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39,63</t>
  </si>
  <si>
    <t>TUBO PVC  SERIE NORMAL, DN 40 MM, PARA ESGOTO  PREDIAL (NBR 5688)</t>
  </si>
  <si>
    <t>TUBO PVC CORRUGADO, PAREDE DUPLA, JE, DN 150 MM/ DE 160 MM, REDE COLETORA ESGOTO</t>
  </si>
  <si>
    <t>TUBO PVC CORRUGADO, PAREDE DUPLA, JE, DN 200 MM/ DE 200 MM, REDE COLETORA ESGOTO</t>
  </si>
  <si>
    <t>TUBO PVC CORRUGADO, PAREDE DUPLA, JE, DN 250 MM/ DE 250 MM, REDE COLETORA ESGOTO</t>
  </si>
  <si>
    <t>TUBO PVC CORRUGADO, PAREDE DUPLA, JE, DN 300 MM/ DE 315 MM , REDE COLETORA ESGOTO</t>
  </si>
  <si>
    <t>TUBO PVC CORRUGADO, PAREDE DUPLA, JE, DN 350 MM/ DE 355 MM, REDE COLETORA ESGOTO</t>
  </si>
  <si>
    <t>TUBO PVC CORRUGADO, PAREDE DUPLA, JE, DN 400 MM/ DE 400 MM, REDE COLETORA ESGOTO</t>
  </si>
  <si>
    <t>TUBO PVC DE REVESTIMENTO GEOMECANICO NERVURADO REFORCADO, DN = 150 MM, COMPRIMENTO = 2 M</t>
  </si>
  <si>
    <t>147,75</t>
  </si>
  <si>
    <t>TUBO PVC DE REVESTIMENTO GEOMECANICO NERVURADO REFORCADO, DN = 200 MM, COMPRIMENTO = 2 M</t>
  </si>
  <si>
    <t>262,74</t>
  </si>
  <si>
    <t>TUBO PVC DE REVESTIMENTO GEOMECANICO NERVURADO STANDARD, DN = 154 MM, COMPRIMENTO = 2 M</t>
  </si>
  <si>
    <t>115,12</t>
  </si>
  <si>
    <t>TUBO PVC DE REVESTIMENTO GEOMECANICO NERVURADO STANDARD, DN = 206 MM, COMPRIMENTO = 2 M</t>
  </si>
  <si>
    <t>199,62</t>
  </si>
  <si>
    <t>TUBO PVC DEFOFO, JEI, 1 MPA, DN 100 MM, PARA REDE DE AGUA (NBR 7665)</t>
  </si>
  <si>
    <t>43,32</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</si>
  <si>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</si>
  <si>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</si>
  <si>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</si>
  <si>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</si>
  <si>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427,06</t>
  </si>
  <si>
    <t>TUBO PVC PBA JEI, CLASSE 12, DN 100 MM, PARA REDE DE AGUA (NBR 5647)</t>
  </si>
  <si>
    <t>51,91</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</si>
  <si>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</si>
  <si>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</si>
  <si>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</si>
  <si>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</si>
  <si>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</si>
  <si>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</si>
  <si>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</si>
  <si>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</si>
  <si>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</si>
  <si>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</si>
  <si>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</si>
  <si>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RIGIDO, CORRUGADO, PERFURADO DN 100 MM, PARA DRENAGEM, SISTEMA IRRIGACAO</t>
  </si>
  <si>
    <t>59,35</t>
  </si>
  <si>
    <t>TUBO PVC, ROSCAVEL,  2 1/2", AGUA FRIA PREDIAL</t>
  </si>
  <si>
    <t>62,42</t>
  </si>
  <si>
    <t>TUBO PVC, ROSCAVEL,  2", PARA AGUA FRIA PREDIAL</t>
  </si>
  <si>
    <t>TUBO PVC, ROSCAVEL, 1 1/2",  AGUA FRIA PREDIAL</t>
  </si>
  <si>
    <t>TUBO PVC, ROSCAVEL, 1 1/4", AGUA FRIA PREDIAL</t>
  </si>
  <si>
    <t>TUBO PVC, ROSCAVEL, 1/2", AGUA FRIA PREDIAL</t>
  </si>
  <si>
    <t>TUBO PVC, ROSCAVEL, 1", AGUA FRIA PREDIAL</t>
  </si>
  <si>
    <t>TUBO PVC, SERIE R, DN 100 MM, PARA ESGOTO OU AGUAS PLUVIAIS PREDIAL (NBR 5688)</t>
  </si>
  <si>
    <t>60,30</t>
  </si>
  <si>
    <t>TUBO PVC, SERIE R, DN 40 MM, PARA ESGOTO OU AGUAS PLUVIAIS PREDIAL (NBR 5688)</t>
  </si>
  <si>
    <t>TUBO PVC, SERIE R, DN 50 MM, PARA ESGOTO OU AGUAS PLUVIAIS PREDIAL (NBR 5688)</t>
  </si>
  <si>
    <t>TUBO PVC, SERIE R, DN 75 MM, PARA ESGOTO OU AGUAS PLUVIAIS PREDIAL (NBR 5688)</t>
  </si>
  <si>
    <t>TUBO PVC, SOLDAVEL, DE 110 MM, AGUA FRIA (NBR-5648)</t>
  </si>
  <si>
    <t>TUBO PVC, SOLDAVEL, DE 20 MM, AGUA FRIA (NBR-5648)</t>
  </si>
  <si>
    <t>TUBO PVC, SOLDAVEL, DE 25 MM, AGUA FRIA (NBR-5648)</t>
  </si>
  <si>
    <t>TUBO PVC, SOLDAVEL, DE 32 MM, AGUA FRIA (NBR-5648)</t>
  </si>
  <si>
    <t>TUBO PVC, SOLDAVEL, DE 40 MM, AGUA FRIA (NBR-5648)</t>
  </si>
  <si>
    <t>TUBO PVC, SOLDAVEL, DE 50 MM, AGUA FRIA (NBR-5648)</t>
  </si>
  <si>
    <t>TUBO PVC, SOLDAVEL, DE 60 MM, AGUA FRIA (NBR-5648)</t>
  </si>
  <si>
    <t>TUBO PVC, SOLDAVEL, DE 75 MM, AGUA FRIA (NBR-5648)</t>
  </si>
  <si>
    <t>TUBO PVC, SOLDAVEL, DE 85 MM, AGUA FRIA (NBR-5648)</t>
  </si>
  <si>
    <t>59,49</t>
  </si>
  <si>
    <t>TUBO 26" EM CHAPA PRETA, E= 3/16", 147 KG/6 M</t>
  </si>
  <si>
    <t>TUBO 30" EM CHAPA PRETA, E= 1/4", 175 KG/6 M</t>
  </si>
  <si>
    <t>TUBO 30" EM CHAPA PRETA, E= 3/8", 177 KG/6 M</t>
  </si>
  <si>
    <t>UNIAO COM ASSENTO CONICO DE BRONZE, DIAMETRO 1/2"</t>
  </si>
  <si>
    <t>50,70</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</si>
  <si>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</si>
  <si>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</si>
  <si>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</si>
  <si>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</si>
  <si>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</si>
  <si>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</si>
  <si>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</si>
  <si>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</si>
  <si>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</si>
  <si>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</si>
  <si>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</si>
  <si>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</si>
  <si>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</si>
  <si>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</si>
  <si>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COM PARAFUSOS, DN 40 MM, PARA AGUA QUENTE PREDIAL</t>
  </si>
  <si>
    <t>152,17</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</si>
  <si>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</si>
  <si>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</si>
  <si>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</si>
  <si>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</si>
  <si>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62,13</t>
  </si>
  <si>
    <t>UNIAO DE FERRO GALVANIZADO, COM ROSCA BSP, COM ASSENTO PLANO, DE 1/2"</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</si>
  <si>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</si>
  <si>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</si>
  <si>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</si>
  <si>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</si>
  <si>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</si>
  <si>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</si>
  <si>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</si>
  <si>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</si>
  <si>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</si>
  <si>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PVC, ROSCAVEL 1/2",  AGUA FRIA PREDIAL</t>
  </si>
  <si>
    <t>UNIAO PVC, ROSCAVEL, 1 1/2",  AGUA FRIA PREDIAL</t>
  </si>
  <si>
    <t>33,13</t>
  </si>
  <si>
    <t>UNIAO PVC, ROSCAVEL, 1",  AGUA FRIA PREDIAL</t>
  </si>
  <si>
    <t>UNIAO PVC, ROSCAVEL, 3/4",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</si>
  <si>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</si>
  <si>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</si>
  <si>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</si>
  <si>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</si>
  <si>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</si>
  <si>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</si>
  <si>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</si>
  <si>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73,06</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</si>
  <si>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</si>
  <si>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</si>
  <si>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</si>
  <si>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</si>
  <si>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</si>
  <si>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</si>
  <si>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</si>
  <si>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</si>
  <si>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</si>
  <si>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</si>
  <si>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103,38</t>
  </si>
  <si>
    <t>UNIAO, CPVC, SOLDAVEL, 73 MM, PARA AGUA QUENTE PREDIAL</t>
  </si>
  <si>
    <t>UNIAO, CPVC, SOLDAVEL, 89 MM, PARA AGUA QUENTE PREDIAL</t>
  </si>
  <si>
    <t>USINA DE ASFALTO A FRIO, CAPACIDADE DE 30 A 40 T/H, ELETRICA, POTENCIA DE 30 CV</t>
  </si>
  <si>
    <t>116.611,15</t>
  </si>
  <si>
    <t>USINA DE ASFALTO A FRIO, CAPACIDADE DE 40 A 60 T/H, ELETRICA, POTENCIA DE 30 CV</t>
  </si>
  <si>
    <t>145.237,64</t>
  </si>
  <si>
    <t>USINA DE ASFALTO A QUENTE, FIXA, TIPO CONTRA FLUXO, CAPACIDADE DE 100 A 140 T/H, POTENCIA DE 280 KW, COM MISTURADOR EXTERNO ROTATIVO</t>
  </si>
  <si>
    <t>2.825.161,76</t>
  </si>
  <si>
    <t>USINA DE ASFALTO, GRAVIMETRICA, CAPACIDADE DE 150 T/H, POTENCIA DE 400  KW</t>
  </si>
  <si>
    <t>7.438.551,21</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</si>
  <si>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</si>
  <si>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</si>
  <si>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</si>
  <si>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</si>
  <si>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</si>
  <si>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</si>
  <si>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2.300.000,00</t>
  </si>
  <si>
    <t>USINA MISTURADORA DE SOLOS,  DOSADORES TRIPLOS, CALHA VIBRATORIA CAPACIDADE DE 200 A 500 T/H, POTENCIA DE 75 KW</t>
  </si>
  <si>
    <t>1.186.448,79</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</si>
  <si>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</si>
  <si>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</si>
  <si>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</si>
  <si>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ESCOAMENTO PARA TANQUE, EM METAL CROMADO, 1.1/2 ", SEM LADRAO, COM TAMPAO PLASTICO</t>
  </si>
  <si>
    <t>VALVULA DE ESFERA BRUTA EM BRONZE, BITOLA 1 " (REF 1552-B)</t>
  </si>
  <si>
    <t>128,40</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</si>
  <si>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</si>
  <si>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</si>
  <si>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</si>
  <si>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</si>
  <si>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</si>
  <si>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</si>
  <si>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</si>
  <si>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</si>
  <si>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</si>
  <si>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</si>
  <si>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</si>
  <si>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</si>
  <si>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</si>
  <si>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</si>
  <si>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</si>
  <si>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</si>
  <si>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</si>
  <si>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</si>
  <si>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</si>
  <si>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</si>
  <si>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</si>
  <si>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</si>
  <si>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</si>
  <si>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</si>
  <si>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</si>
  <si>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</si>
  <si>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</si>
  <si>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</si>
  <si>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</si>
  <si>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37,06</t>
  </si>
  <si>
    <t>VALVULA EM METAL CROMADO PARA PIA AMERICANA 3.1/2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</si>
  <si>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</si>
  <si>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</si>
  <si>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</si>
  <si>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</si>
  <si>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</si>
  <si>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</si>
  <si>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</si>
  <si>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</si>
  <si>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56,77</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</si>
  <si>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</si>
  <si>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</si>
  <si>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</si>
  <si>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</si>
  <si>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</si>
  <si>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</si>
  <si>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</si>
  <si>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MECANICA REBOCAVEL COM ESCOVA CILINDRICA LARGURA UTIL DE VARRIMENTO = 2,44M</t>
  </si>
  <si>
    <t>73.280,61</t>
  </si>
  <si>
    <t>VASSOURA 40 CM COM CABO</t>
  </si>
  <si>
    <t>VEDACAO DE CALHA, EM BORRACHA COR PRETA, MEDIDA ENTRE 119 E 170 MM, PARA DRENAGEM PLUVIAL PREDIAL</t>
  </si>
  <si>
    <t>VERGALHAO ZINCADO ROSCA TOTAL, 1/4 " (6,3 MM)</t>
  </si>
  <si>
    <t>VERNIZ A BASE RESINA ALQUIDICA COM POLIURETANO PARA MADEIRA, COM FILTRO SOLAR, BRILHANTE, USO INTERNO E EXTERNO</t>
  </si>
  <si>
    <t>VERNIZ MARITIMO PREMIUM PARA MADEIRA, COM FILTRO SOLAR, BRILHANTE, USO INTERNO E EXTERNO</t>
  </si>
  <si>
    <t>35,27</t>
  </si>
  <si>
    <t>VERNIZ TIPO COPAL PARA MADEIRA, BRILHANTE, USO INTERNO</t>
  </si>
  <si>
    <t>34,13</t>
  </si>
  <si>
    <t>VEU DE POLIESTER PARA IMPERMEABILIZACAO</t>
  </si>
  <si>
    <t>VEU DE VIDRO/VEU DE SUPERFICIE 30 A 35 G/M2</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</si>
  <si>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</si>
  <si>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</si>
  <si>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</si>
  <si>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</si>
  <si>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</si>
  <si>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</si>
  <si>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</si>
  <si>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</si>
  <si>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</si>
  <si>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</si>
  <si>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</si>
  <si>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 (HORISTA)</t>
  </si>
  <si>
    <t>VIDRACEIRO (MENSALISTA)</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</si>
  <si>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</si>
  <si>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</si>
  <si>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</si>
  <si>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</si>
  <si>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</si>
  <si>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</si>
  <si>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</si>
  <si>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188,20</t>
  </si>
  <si>
    <t>VIDRO LISO FUME E = 4MM - SEM COLOCACAO</t>
  </si>
  <si>
    <t>93,22</t>
  </si>
  <si>
    <t>VIDRO LISO FUME E = 6MM - SEM COLOCACAO</t>
  </si>
  <si>
    <t>100,63</t>
  </si>
  <si>
    <t>VIDRO LISO INCOLOR 10 MM - SEM COLOCACAO</t>
  </si>
  <si>
    <t>VIDRO LISO INCOLOR 2 A 3 MM - SEM COLOCACAO</t>
  </si>
  <si>
    <t>VIDRO LISO INCOLOR 4MM - SEM COLOCACAO</t>
  </si>
  <si>
    <t>VIDRO LISO INCOLOR 8MM  -  SEM COLOCACAO</t>
  </si>
  <si>
    <t>VIDRO PLANO ARAMADO E = 6 MM - SEM COLOCACAO</t>
  </si>
  <si>
    <t>VIDRO PLANO ARAMADO E = 7MM - SEM COLOCACAO</t>
  </si>
  <si>
    <t>180,62</t>
  </si>
  <si>
    <t>VIDRO TEMPERADO INCOLOR E = 6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</si>
  <si>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</si>
  <si>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</si>
  <si>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</si>
  <si>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</si>
  <si>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</si>
  <si>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</si>
  <si>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43,37</t>
  </si>
  <si>
    <t>VIGA DE ESCORAMAENTO H20, DE MADEIRA, PESO DE 5,00 A 5,20 KG/M, COM EXTREMIDADES PLASTICAS</t>
  </si>
  <si>
    <t>VIGIA DIURNO</t>
  </si>
  <si>
    <t>VIGIA DIURNO (MENSALISTA)</t>
  </si>
  <si>
    <t>VIGIA NOTURNO, HORA EFETIVAMENTE TRABALHADA DE 22 H AS 5 H (COM ADICIONAL NOTURNO)</t>
  </si>
  <si>
    <t>44,82</t>
  </si>
  <si>
    <t>49,77</t>
  </si>
  <si>
    <t>30,42</t>
  </si>
  <si>
    <t>36,73</t>
  </si>
  <si>
    <t>42,54</t>
  </si>
  <si>
    <t>54,19</t>
  </si>
  <si>
    <t>100,71</t>
  </si>
  <si>
    <t>128,50</t>
  </si>
  <si>
    <t>46,23</t>
  </si>
  <si>
    <t>52,88</t>
  </si>
  <si>
    <t>131,54</t>
  </si>
  <si>
    <t>26,05</t>
  </si>
  <si>
    <t>57,80</t>
  </si>
  <si>
    <t>28,51</t>
  </si>
  <si>
    <t>32,64</t>
  </si>
  <si>
    <t>45,68</t>
  </si>
  <si>
    <t>213,28</t>
  </si>
  <si>
    <t>153,45</t>
  </si>
  <si>
    <t>96,12</t>
  </si>
  <si>
    <t>34,61</t>
  </si>
  <si>
    <t>73,84</t>
  </si>
  <si>
    <t>146,98</t>
  </si>
  <si>
    <t>43,36</t>
  </si>
  <si>
    <t>85,69</t>
  </si>
  <si>
    <t>168,05</t>
  </si>
  <si>
    <t>175,79</t>
  </si>
  <si>
    <t>143,02</t>
  </si>
  <si>
    <t>24,09</t>
  </si>
  <si>
    <t>144,34</t>
  </si>
  <si>
    <t>133,42</t>
  </si>
  <si>
    <t>50,64</t>
  </si>
  <si>
    <t>4,26</t>
  </si>
  <si>
    <t>15,28</t>
  </si>
  <si>
    <t>308,22</t>
  </si>
  <si>
    <t>188,55</t>
  </si>
  <si>
    <t>133,32</t>
  </si>
  <si>
    <t>142,34</t>
  </si>
  <si>
    <t>72,88</t>
  </si>
  <si>
    <t>62,80</t>
  </si>
  <si>
    <t>130,43</t>
  </si>
  <si>
    <t>116,68</t>
  </si>
  <si>
    <t>129,47</t>
  </si>
  <si>
    <t>77,34</t>
  </si>
  <si>
    <t>135,01</t>
  </si>
  <si>
    <t>68,04</t>
  </si>
  <si>
    <t>51,96</t>
  </si>
  <si>
    <t>54,31</t>
  </si>
  <si>
    <t>76,84</t>
  </si>
  <si>
    <t>47,70</t>
  </si>
  <si>
    <t>190,02</t>
  </si>
  <si>
    <t>45,87</t>
  </si>
  <si>
    <t>57,34</t>
  </si>
  <si>
    <t>27,10</t>
  </si>
  <si>
    <t>39,36</t>
  </si>
  <si>
    <t>59,32</t>
  </si>
  <si>
    <t>73,20</t>
  </si>
  <si>
    <t>55,39</t>
  </si>
  <si>
    <t>77,09</t>
  </si>
  <si>
    <t>178,30</t>
  </si>
  <si>
    <t>53,18</t>
  </si>
  <si>
    <t>42,97</t>
  </si>
  <si>
    <t>53,78</t>
  </si>
  <si>
    <t>130,03</t>
  </si>
  <si>
    <t>49,15</t>
  </si>
  <si>
    <t>43,60</t>
  </si>
  <si>
    <t>73,40</t>
  </si>
  <si>
    <t>67,01</t>
  </si>
  <si>
    <t>79,50</t>
  </si>
  <si>
    <t>68,52</t>
  </si>
  <si>
    <t>68,94</t>
  </si>
  <si>
    <t>225,83</t>
  </si>
  <si>
    <t>93,77</t>
  </si>
  <si>
    <t>158,22</t>
  </si>
  <si>
    <t>0,96</t>
  </si>
  <si>
    <t>52,49</t>
  </si>
  <si>
    <t>31,13</t>
  </si>
  <si>
    <t>38,56</t>
  </si>
  <si>
    <t>3,19</t>
  </si>
  <si>
    <t>126,31</t>
  </si>
  <si>
    <t>38,32</t>
  </si>
  <si>
    <t>76,35</t>
  </si>
  <si>
    <t>27,69</t>
  </si>
  <si>
    <t>49,09</t>
  </si>
  <si>
    <t>1,75</t>
  </si>
  <si>
    <t>144,99</t>
  </si>
  <si>
    <t>46,69</t>
  </si>
  <si>
    <t>4,73</t>
  </si>
  <si>
    <t>8,77</t>
  </si>
  <si>
    <t>75,42</t>
  </si>
  <si>
    <t>0,92</t>
  </si>
  <si>
    <t>12,30</t>
  </si>
  <si>
    <t>9,87</t>
  </si>
  <si>
    <t>4,13</t>
  </si>
  <si>
    <t>60,90</t>
  </si>
  <si>
    <t>28,97</t>
  </si>
  <si>
    <t>138,00</t>
  </si>
  <si>
    <t>121,08</t>
  </si>
  <si>
    <t>31,80</t>
  </si>
  <si>
    <t>47,05</t>
  </si>
  <si>
    <t>53,79</t>
  </si>
  <si>
    <t>51,78</t>
  </si>
  <si>
    <t>7,46</t>
  </si>
  <si>
    <t>52,18</t>
  </si>
  <si>
    <t>145,21</t>
  </si>
  <si>
    <t>181,65</t>
  </si>
  <si>
    <t>297,54</t>
  </si>
  <si>
    <t>478,29</t>
  </si>
  <si>
    <t>15,45</t>
  </si>
  <si>
    <t>132,44</t>
  </si>
  <si>
    <t>100,39</t>
  </si>
  <si>
    <t>98,52</t>
  </si>
  <si>
    <t>63,07</t>
  </si>
  <si>
    <t>56,75</t>
  </si>
  <si>
    <t>33,96</t>
  </si>
  <si>
    <t>88,43</t>
  </si>
  <si>
    <t>88,83</t>
  </si>
  <si>
    <t>304,95</t>
  </si>
  <si>
    <t>132,12</t>
  </si>
  <si>
    <t>50,25</t>
  </si>
  <si>
    <t>28,02</t>
  </si>
  <si>
    <t>109,12</t>
  </si>
  <si>
    <t>71,58</t>
  </si>
  <si>
    <t>60,98</t>
  </si>
  <si>
    <t>177,96</t>
  </si>
  <si>
    <t>57,53</t>
  </si>
  <si>
    <t>75,70</t>
  </si>
  <si>
    <t>262,09</t>
  </si>
  <si>
    <t>226,86</t>
  </si>
  <si>
    <t>59,73</t>
  </si>
  <si>
    <t>484,28</t>
  </si>
  <si>
    <t>222,41</t>
  </si>
  <si>
    <t>32,85</t>
  </si>
  <si>
    <t>164,37</t>
  </si>
  <si>
    <t>135,83</t>
  </si>
  <si>
    <t>43,10</t>
  </si>
  <si>
    <t>56,54</t>
  </si>
  <si>
    <t>74,15</t>
  </si>
  <si>
    <t>59,10</t>
  </si>
  <si>
    <t>49,46</t>
  </si>
  <si>
    <t>53,61</t>
  </si>
  <si>
    <t>43,74</t>
  </si>
  <si>
    <t>97,75</t>
  </si>
  <si>
    <t>42,96</t>
  </si>
  <si>
    <t>64,95</t>
  </si>
  <si>
    <t>27,51</t>
  </si>
  <si>
    <t>15,09</t>
  </si>
  <si>
    <t>55,98</t>
  </si>
  <si>
    <t>34,49</t>
  </si>
  <si>
    <t>46,60</t>
  </si>
  <si>
    <t>85,10</t>
  </si>
  <si>
    <t>350,01</t>
  </si>
  <si>
    <t>784,21</t>
  </si>
  <si>
    <t>948,88</t>
  </si>
  <si>
    <t>58,21</t>
  </si>
  <si>
    <t>64,66</t>
  </si>
  <si>
    <t>71,16</t>
  </si>
  <si>
    <t>65,69</t>
  </si>
  <si>
    <t>136,50</t>
  </si>
  <si>
    <t>116,41</t>
  </si>
  <si>
    <t>230,46</t>
  </si>
  <si>
    <t>199,33</t>
  </si>
  <si>
    <t>13,16</t>
  </si>
  <si>
    <t>80,74</t>
  </si>
  <si>
    <t>244,88</t>
  </si>
  <si>
    <t>91,16</t>
  </si>
  <si>
    <t>144,73</t>
  </si>
  <si>
    <t>45,79</t>
  </si>
  <si>
    <t>222,39</t>
  </si>
  <si>
    <t>222,17</t>
  </si>
  <si>
    <t>80,70</t>
  </si>
  <si>
    <t>101,77</t>
  </si>
  <si>
    <t>81,56</t>
  </si>
  <si>
    <t>56,46</t>
  </si>
  <si>
    <t>80,25</t>
  </si>
  <si>
    <t>45,78</t>
  </si>
  <si>
    <t>83,45</t>
  </si>
  <si>
    <t>90,04</t>
  </si>
  <si>
    <t>209,19</t>
  </si>
  <si>
    <t>16,54</t>
  </si>
  <si>
    <t>264,64</t>
  </si>
  <si>
    <t>204,81</t>
  </si>
  <si>
    <t>228,27</t>
  </si>
  <si>
    <t>534,32</t>
  </si>
  <si>
    <t>202,11</t>
  </si>
  <si>
    <t>152,40</t>
  </si>
  <si>
    <t>14,86</t>
  </si>
  <si>
    <t>10,73</t>
  </si>
  <si>
    <t>12,65</t>
  </si>
  <si>
    <t>13,11</t>
  </si>
  <si>
    <t>18,06</t>
  </si>
  <si>
    <t>538,91</t>
  </si>
  <si>
    <t>501,90</t>
  </si>
  <si>
    <t>832,62</t>
  </si>
  <si>
    <t>768,83</t>
  </si>
  <si>
    <t>703,22</t>
  </si>
  <si>
    <t>47,44</t>
  </si>
  <si>
    <t>57,10</t>
  </si>
  <si>
    <t>42,11</t>
  </si>
  <si>
    <t>103,92</t>
  </si>
  <si>
    <t>95,14</t>
  </si>
  <si>
    <t>120,35</t>
  </si>
  <si>
    <t>50,89</t>
  </si>
  <si>
    <t>73,03</t>
  </si>
  <si>
    <t>96,93</t>
  </si>
  <si>
    <t>135,20</t>
  </si>
  <si>
    <t>169,20</t>
  </si>
  <si>
    <t>52,97</t>
  </si>
  <si>
    <t>54,24</t>
  </si>
  <si>
    <t>55,64</t>
  </si>
  <si>
    <t>50,68</t>
  </si>
  <si>
    <t>47,06</t>
  </si>
  <si>
    <t>145,43</t>
  </si>
  <si>
    <t>68,35</t>
  </si>
  <si>
    <t>68,17</t>
  </si>
  <si>
    <t>18,82</t>
  </si>
  <si>
    <t>19,96</t>
  </si>
  <si>
    <t>16,93</t>
  </si>
  <si>
    <t>16,35</t>
  </si>
  <si>
    <t>53,50</t>
  </si>
  <si>
    <t>33,92</t>
  </si>
  <si>
    <t>25,36</t>
  </si>
  <si>
    <t>31,74</t>
  </si>
  <si>
    <t>24,44</t>
  </si>
  <si>
    <t>32,95</t>
  </si>
  <si>
    <t>27,81</t>
  </si>
  <si>
    <t>27,37</t>
  </si>
  <si>
    <t>27,08</t>
  </si>
  <si>
    <t>26,67</t>
  </si>
  <si>
    <t>29,38</t>
  </si>
  <si>
    <t>77,37</t>
  </si>
  <si>
    <t>111,22</t>
  </si>
  <si>
    <t>113,65</t>
  </si>
  <si>
    <t>51,88</t>
  </si>
  <si>
    <t>63,25</t>
  </si>
  <si>
    <t>98,74</t>
  </si>
  <si>
    <t>41,82</t>
  </si>
  <si>
    <t>45,15</t>
  </si>
  <si>
    <t>45,97</t>
  </si>
  <si>
    <t>38,72</t>
  </si>
  <si>
    <t>67,42</t>
  </si>
  <si>
    <t>78,79</t>
  </si>
  <si>
    <t>57,03</t>
  </si>
  <si>
    <t>58,69</t>
  </si>
  <si>
    <t>63,58</t>
  </si>
  <si>
    <t>66,78</t>
  </si>
  <si>
    <t>61,48</t>
  </si>
  <si>
    <t>112,10</t>
  </si>
  <si>
    <t>53,14</t>
  </si>
  <si>
    <t>147,56</t>
  </si>
  <si>
    <t>127,55</t>
  </si>
  <si>
    <t>38,21</t>
  </si>
  <si>
    <t>96,96</t>
  </si>
  <si>
    <t>60,26</t>
  </si>
  <si>
    <t>846,70</t>
  </si>
  <si>
    <t>92,17</t>
  </si>
  <si>
    <t>141,71</t>
  </si>
  <si>
    <t>179,01</t>
  </si>
  <si>
    <t>158,64</t>
  </si>
  <si>
    <t>22,36</t>
  </si>
  <si>
    <t>46,65</t>
  </si>
  <si>
    <t>22,84</t>
  </si>
  <si>
    <t>34,95</t>
  </si>
  <si>
    <t>70,72</t>
  </si>
  <si>
    <t>7,93</t>
  </si>
  <si>
    <t>58,77</t>
  </si>
  <si>
    <t>10,32</t>
  </si>
  <si>
    <t>65,00</t>
  </si>
  <si>
    <t>33,15</t>
  </si>
  <si>
    <t>48,06</t>
  </si>
  <si>
    <t>57,75</t>
  </si>
  <si>
    <t>80,39</t>
  </si>
  <si>
    <t>176,61</t>
  </si>
  <si>
    <t>65,24</t>
  </si>
  <si>
    <t>15,67</t>
  </si>
  <si>
    <t>44,11</t>
  </si>
  <si>
    <t>35,23</t>
  </si>
  <si>
    <t>54,05</t>
  </si>
  <si>
    <t>162,05</t>
  </si>
  <si>
    <t>230,29</t>
  </si>
  <si>
    <t>20,40</t>
  </si>
  <si>
    <t>22,80</t>
  </si>
  <si>
    <t>285,98</t>
  </si>
  <si>
    <t>52,58</t>
  </si>
  <si>
    <t>66,60</t>
  </si>
  <si>
    <t>81,99</t>
  </si>
  <si>
    <t>110,00</t>
  </si>
  <si>
    <t>266,11</t>
  </si>
  <si>
    <t>131,52</t>
  </si>
  <si>
    <t>180,01</t>
  </si>
  <si>
    <t>67,61</t>
  </si>
  <si>
    <t>767,35</t>
  </si>
  <si>
    <t>46,80</t>
  </si>
  <si>
    <t>215,67</t>
  </si>
  <si>
    <t>68,66</t>
  </si>
  <si>
    <t>61,43</t>
  </si>
  <si>
    <t>22,95</t>
  </si>
  <si>
    <t>8,21</t>
  </si>
  <si>
    <t>9,96</t>
  </si>
  <si>
    <t>40,25</t>
  </si>
  <si>
    <t>45,48</t>
  </si>
  <si>
    <t>84,96</t>
  </si>
  <si>
    <t>34,24</t>
  </si>
  <si>
    <t>31,44</t>
  </si>
  <si>
    <t>75,16</t>
  </si>
  <si>
    <t>17,34</t>
  </si>
  <si>
    <t>20,99</t>
  </si>
  <si>
    <t>34,87</t>
  </si>
  <si>
    <t>75,83</t>
  </si>
  <si>
    <t>60,03</t>
  </si>
  <si>
    <t>77,38</t>
  </si>
  <si>
    <t>22,10</t>
  </si>
  <si>
    <t>77,79</t>
  </si>
  <si>
    <t>32,12</t>
  </si>
  <si>
    <t>161,70</t>
  </si>
  <si>
    <t>55,88</t>
  </si>
  <si>
    <t>52,22</t>
  </si>
  <si>
    <t>131,50</t>
  </si>
  <si>
    <t>44,49</t>
  </si>
  <si>
    <t>55,91</t>
  </si>
  <si>
    <t>55,94</t>
  </si>
  <si>
    <t>46,74</t>
  </si>
  <si>
    <t>77,27</t>
  </si>
  <si>
    <t>24,28</t>
  </si>
  <si>
    <t>69,79</t>
  </si>
  <si>
    <t>104,91</t>
  </si>
  <si>
    <t>144,00</t>
  </si>
  <si>
    <t>206,98</t>
  </si>
  <si>
    <t>101,15</t>
  </si>
  <si>
    <t>41,75</t>
  </si>
  <si>
    <t>118,79</t>
  </si>
  <si>
    <t>38,66</t>
  </si>
  <si>
    <t>141,14</t>
  </si>
  <si>
    <t>67,04</t>
  </si>
  <si>
    <t>87,31</t>
  </si>
  <si>
    <t>104,85</t>
  </si>
  <si>
    <t>207,36</t>
  </si>
  <si>
    <t>47,62</t>
  </si>
  <si>
    <t>29,09</t>
  </si>
  <si>
    <t>50,48</t>
  </si>
  <si>
    <t>35,33</t>
  </si>
  <si>
    <t>20,29</t>
  </si>
  <si>
    <t>26,32</t>
  </si>
  <si>
    <t>33,75</t>
  </si>
  <si>
    <t>25,54</t>
  </si>
  <si>
    <t>37,07</t>
  </si>
  <si>
    <t>35,49</t>
  </si>
  <si>
    <t>32,34</t>
  </si>
  <si>
    <t>101,28</t>
  </si>
  <si>
    <t>118,60</t>
  </si>
  <si>
    <t>83,03</t>
  </si>
  <si>
    <t>173,63</t>
  </si>
  <si>
    <t>87,34</t>
  </si>
  <si>
    <t>103,20</t>
  </si>
  <si>
    <t>27,05</t>
  </si>
  <si>
    <t>308,23</t>
  </si>
  <si>
    <t>152,69</t>
  </si>
  <si>
    <t>68,69</t>
  </si>
  <si>
    <t>132,45</t>
  </si>
  <si>
    <t>34,27</t>
  </si>
  <si>
    <t>42,72</t>
  </si>
  <si>
    <t>92,11</t>
  </si>
  <si>
    <t>50,56</t>
  </si>
  <si>
    <t>35,75</t>
  </si>
  <si>
    <t>58,27</t>
  </si>
  <si>
    <t>113,81</t>
  </si>
  <si>
    <t>317,55</t>
  </si>
  <si>
    <t>29,69</t>
  </si>
  <si>
    <t>24,68</t>
  </si>
  <si>
    <t>32,48</t>
  </si>
  <si>
    <t>27,42</t>
  </si>
  <si>
    <t>32,45</t>
  </si>
  <si>
    <t>40,33</t>
  </si>
  <si>
    <t>42,04</t>
  </si>
  <si>
    <t>51,14</t>
  </si>
  <si>
    <t>67,13</t>
  </si>
  <si>
    <t>178,42</t>
  </si>
  <si>
    <t>60,89</t>
  </si>
  <si>
    <t>290,38</t>
  </si>
  <si>
    <t>83,13</t>
  </si>
  <si>
    <t>27,54</t>
  </si>
  <si>
    <t>66,76</t>
  </si>
  <si>
    <t>29,34</t>
  </si>
  <si>
    <t>95,35</t>
  </si>
  <si>
    <t>19,17</t>
  </si>
  <si>
    <t>19,89</t>
  </si>
  <si>
    <t>55,25</t>
  </si>
  <si>
    <t>138,63</t>
  </si>
  <si>
    <t>5,93</t>
  </si>
  <si>
    <t>7,20</t>
  </si>
  <si>
    <t>8,89</t>
  </si>
  <si>
    <t>42,23</t>
  </si>
  <si>
    <t>39,01</t>
  </si>
  <si>
    <t>41,11</t>
  </si>
  <si>
    <t>104576</t>
  </si>
  <si>
    <t>LUVA DE REDUÇÃO, PARA INSTALAÇÕES EM PEX ÁGUA, DN 20 X 16 MM, COM ANEL DESLIZANTE - FORNECIMENTO E INSTALAÇÃO. AF_02/2023</t>
  </si>
  <si>
    <t>104577</t>
  </si>
  <si>
    <t>LUVA DE REDUÇÃO, PARA INSTALAÇÕES EM PEX ÁGUA, DN 25 X 16 MM, COM ANEL DESLIZANTE - FORNECIMENTO E INSTALAÇÃO. AF_02/2023</t>
  </si>
  <si>
    <t>104578</t>
  </si>
  <si>
    <t>LUVA DE REDUÇÃO, PARA INSTALAÇÕES EM PEX ÁGUA, DN 25 X 20 MM, COM ANEL DESLIZANTE - FORNECIMENTO E INSTALAÇÃO. AF_02/2023</t>
  </si>
  <si>
    <t>104579</t>
  </si>
  <si>
    <t>LUVA DE REDUÇÃO, PARA INSTALAÇÕES EM PEX ÁGUA, DN 32 X 25 MM, COM ANEL DESLIZANTE - FORNECIMENTO E INSTALAÇÃO. AF_02/2023</t>
  </si>
  <si>
    <t>104581</t>
  </si>
  <si>
    <t>LUVA , PARA INSTALAÇÕES EM PEX ÁGUA, DN 16 MM, COM ANEL DESLIZANTE - FORNECIMENTO E INSTALAÇÃO. AF_02/2023</t>
  </si>
  <si>
    <t>104582</t>
  </si>
  <si>
    <t>LUVA , PARA INSTALAÇÕES EM PEX ÁGUA, DN 20 MM, COM ANEL DESLIZANTE - FORNECIMENTO E INSTALAÇÃO. AF_02/2023</t>
  </si>
  <si>
    <t>104583</t>
  </si>
  <si>
    <t>LUVA , PARA INSTALAÇÕES EM PEX ÁGUA, DN 25 MM, COM ANEL DESLIZANTE - FORNECIMENTO E INSTALAÇÃO. AF_02/2023</t>
  </si>
  <si>
    <t>104584</t>
  </si>
  <si>
    <t>LUVA , PARA INSTALAÇÕES EM PEX ÁGUA, DN 32 MM, COM ANEL DESLIZANTE - FORNECIMENTO E INSTALAÇÃO. AF_02/2023</t>
  </si>
  <si>
    <t>31,81</t>
  </si>
  <si>
    <t>176,64</t>
  </si>
  <si>
    <t>59,22</t>
  </si>
  <si>
    <t>23,48</t>
  </si>
  <si>
    <t>56,40</t>
  </si>
  <si>
    <t>11,29</t>
  </si>
  <si>
    <t>38,98</t>
  </si>
  <si>
    <t>42,19</t>
  </si>
  <si>
    <t>46,02</t>
  </si>
  <si>
    <t>605,93</t>
  </si>
  <si>
    <t>410,01</t>
  </si>
  <si>
    <t>288,71</t>
  </si>
  <si>
    <t>242,12</t>
  </si>
  <si>
    <t>31,79</t>
  </si>
  <si>
    <t>37,01</t>
  </si>
  <si>
    <t>516,00</t>
  </si>
  <si>
    <t>97,73</t>
  </si>
  <si>
    <t>34,23</t>
  </si>
  <si>
    <t>163,27</t>
  </si>
  <si>
    <t>186,60</t>
  </si>
  <si>
    <t>72,73</t>
  </si>
  <si>
    <t>78,76</t>
  </si>
  <si>
    <t>26,57</t>
  </si>
  <si>
    <t>30,38</t>
  </si>
  <si>
    <t>28,27</t>
  </si>
  <si>
    <t>181,09</t>
  </si>
  <si>
    <t>102,27</t>
  </si>
  <si>
    <t>104668</t>
  </si>
  <si>
    <t>COMPOSIÇÃO PARAMÉTRICA DE INSTALAÇÃO DE TUBOS DE PVC SOLDÁVEL PARA ÁGUA FRIA, POR PAVIMENTO (PRUMADA COLETIVA), COM  CONEXÕES, CORTES E FIXAÇÕES, PARA PRÉDIO COM ATÉ 4 PAVIMENTOS, COM 4 APARTAMENTOS ALIMENTADOS POR PRUMADA E PAVIMENTO. AF_05/2023</t>
  </si>
  <si>
    <t>UNXPAV</t>
  </si>
  <si>
    <t>104669</t>
  </si>
  <si>
    <t>COMPOSIÇÃO PARAMÉTRICA DE INSTALAÇÃO DE TUBOS DE PVC SOLDÁVEL PARA ÁGUA FRIA, POR PAVIMENTO (PRUMADA COLETIVA), COM  CONEXÕES, CORTES E FIXAÇÕES, PARA PRÉDIO ENTRE 5 E 8 PAVIMENTOS, COM 4 APARTAMENTOS ALIMENTADOS POR PRUMADA E PAVIMENTO. AF_05/2023</t>
  </si>
  <si>
    <t>104670</t>
  </si>
  <si>
    <t>COMPOSIÇÃO PARAMÉTRICA DE INSTALAÇÃO DE TUBOS DE PVC SOLDÁVEL PARA ÁGUA FRIA, POR PAVIMENTO (PRUMADA COLETIVA), COM  CONEXÕES, CORTES E FIXAÇÕES, PARA PRÉDIO ENTRE 9 E 12 PAVIMENTOS, COM 4 APARTAMENTOS ALIMENTADOS POR PRUMADA E PAVIMENTO. AF_05/2023</t>
  </si>
  <si>
    <t>104675</t>
  </si>
  <si>
    <t>COMPOSIÇÃO PARAMÉTRICA DE INSTALAÇÃO DE TUBOS DE PVC, SÉRIE R, PARA COLETA DE ÁGUA PLUVIAL EM COBERTURA, INSTALADOS EM CONDUTORES VERTICAIS, POR PAVIMENTO, COM  CONEXÕES, CORTES E FIXAÇÕES, PARA PRÉDIO DE MÚLTIPLOS PAVIMENTOS. AF_05/2023</t>
  </si>
  <si>
    <t>M2XPAV</t>
  </si>
  <si>
    <t>355,16</t>
  </si>
  <si>
    <t>85,48</t>
  </si>
  <si>
    <t>COMPOSIÇÃO PARAMÉTRICA DE LIGAÇÃO PREDIAL DE ÁGUA, REDE DN 50 MM, RAMAL PREDIAL DE 20 MM, L = 2,0 M, LARGURA DA VALA = 0,65 M; COM COLAR DE TOMADA DE PVC; ESCAVAÇÃO MECANIZADA, PREPARO DE FUNDO DE VALA E REATERRO COMPACTADO. AF_06/2022</t>
  </si>
  <si>
    <t>COMPOSIÇÃO PARAMÉTRICA DE LIGAÇÃO PREDIAL DE ÁGUA, REDE DN 50 MM, RAMAL PREDIAL DE 20 MM, L = 4,0 M, LARGURA DA VALA = 0,65 M; COM COLAR DE TOMADA DE PVC; ESCAVAÇÃO MECANIZADA, PREPARO DE FUNDO DE VALA E REATERRO COMPACTADO. AF_06/2022</t>
  </si>
  <si>
    <t>COMPOSIÇÃO PARAMÉTRICA DE LIGAÇÃO PREDIAL DE ÁGUA, REDE DN 50 MM, RAMAL PREDIAL DE 20 MM, L = 6,0 M, LARGURA DA VALA = 0,65 M; COM COLAR DE TOMADA DE PVC; ESCAVAÇÃO MECANIZADA, PREPARO DE FUNDO DE VALA E REATERRO COMPACTADO. AF_06/2022</t>
  </si>
  <si>
    <t>COMPOSIÇÃO PARAMÉTRICA DE LIGAÇÃO PREDIAL DE ÁGUA, REDE DN 50 MM, RAMAL PREDIAL DE 20 MM, L = 2,0 M, LARGURA DA VALA = 0,65 M; COM COLAR DE TOMADA DE PVC; ESCAVAÇÃO MANUAL, PREPARO DE FUNDO DE VALA E REATERRO COMPACTADO. AF_06/2022</t>
  </si>
  <si>
    <t>COMPOSIÇÃO PARAMÉTRICA DE LIGAÇÃO PREDIAL DE ÁGUA, REDE DN 50 MM, RAMAL PREDIAL DE 20 MM, L = 4,0 M, LARGURA DA VALA = 0,65 M; COM COLAR DE TOMADA DE PVC; ESCAVAÇÃO MANUAL, PREPARO DE FUNDO DE VALA E REATERRO COMPACTADO. AF_06/2022</t>
  </si>
  <si>
    <t>COMPOSIÇÃO PARAMÉTRICA DE LIGAÇÃO PREDIAL DE ÁGUA, REDE DN 50 MM, RAMAL PREDIAL DE 20 MM, L = 6,0 M, LARGURA DA VALA = 0,65 M; COM COLAR DE TOMADA DE PVC; ESCAVAÇÃO MANUAL, PREPARO DE FUNDO DE VALA E REATERRO COMPACTADO. AF_06/2022</t>
  </si>
  <si>
    <t>68,02</t>
  </si>
  <si>
    <t>82,16</t>
  </si>
  <si>
    <t>COMPOSIÇÃO PARAMÉTRICA DE LIGAÇÃO PREDIAL DE ESGOTO, REDE DN 150 MM, COLETOR PREDIAL DN 100 MM, L = 2,0 M, LARGURA DA VALA = 0,65 M; COM SELIM E CURVA 90 GRAUS; ESCAVAÇÃO MECANIZADA, PREPARO DE FUNDO DE VALA E REATERRO COMPACTADO. AF_06/2022</t>
  </si>
  <si>
    <t>COMPOSIÇÃO PARAMÉTRICA DE LIGAÇÃO PREDIAL DE ESGOTO, REDE DN 150 MM, COLETOR PREDIAL DN 100 MM, L = 4,0 M, LARGURA DA VALA = 0,65 M; COM SELIM E CURVA 90 GRAUS; ESCAVAÇÃO MECANIZADA, PREPARO DE FUNDO DE VALA E REATERRO COMPACTADO. AF_06/2022</t>
  </si>
  <si>
    <t>COMPOSIÇÃO PARAMÉTRICA DE LIGAÇÃO PREDIAL DE ESGOTO, REDE DN 150 MM, COLETOR PREDIAL DN 100 MM, L = 6,0 M, LARGURA DA VALA = 0,65 M; COM SELIM E CURVA 90 GRAUS; ESCAVAÇÃO MECANIZADA, PREPARO DE FUNDO DE VALA E REATERRO COMPACTADO. AF_06/2022</t>
  </si>
  <si>
    <t>COMPOSIÇÃO PARAMÉTRICA DE LIGAÇÃO PREDIAL DE ESGOTO, REDE DN 150 MM, COLETOR PREDIAL DN 100 MM, L = 2,0 M, LARGURA DA VALA = 0,65 M; COM SELIM E CURVA 90 GRAUS; ESCAVAÇÃO MANUAL, PREPARO DE FUNDO DE VALA E REATERRO COMPACTADO. AF_06/2022</t>
  </si>
  <si>
    <t>COMPOSIÇÃO PARAMÉTRICA DE LIGAÇÃO PREDIAL DE ESGOTO, REDE DN 150 MM, COLETOR PREDIAL DN 100 MM, L = 4,0 M, LARGURA DA VALA = 0,65 M; COM SELIM E CURVA 90 GRAUS; ESCAVAÇÃO MANUAL, PREPARO DE FUNDO DE VALA E REATERRO COMPACTADO. AF_06/2022</t>
  </si>
  <si>
    <t>COMPOSIÇÃO PARAMÉTRICA DE LIGAÇÃO PREDIAL DE ESGOTO, REDE DN 150 MM, COLETOR PREDIAL DN 100 MM, L = 6,0 M, LARGURA DA VALA = 0,65 M; COM SELIM E CURVA 90 GRAUS; ESCAVAÇÃO MANUAL, PREPARO DE FUNDO DE VALA E REATERRO COMPACTADO. AF_06/2022</t>
  </si>
  <si>
    <t>19,02</t>
  </si>
  <si>
    <t>8,01</t>
  </si>
  <si>
    <t>20,28</t>
  </si>
  <si>
    <t>133,27</t>
  </si>
  <si>
    <t>14,19</t>
  </si>
  <si>
    <t>8,04</t>
  </si>
  <si>
    <t>150,17</t>
  </si>
  <si>
    <t>380,50</t>
  </si>
  <si>
    <t>57,89</t>
  </si>
  <si>
    <t>94,48</t>
  </si>
  <si>
    <t>90,01</t>
  </si>
  <si>
    <t>174,19</t>
  </si>
  <si>
    <t>55,37</t>
  </si>
  <si>
    <t>72,96</t>
  </si>
  <si>
    <t>74,73</t>
  </si>
  <si>
    <t>117,80</t>
  </si>
  <si>
    <t>PAREDE COM SISTEMA EM CHAPAS DE GESSO PARA DRYWALL, USO INTERNO, COM DUAS FACES SIMPLES E ESTRUTURA METÁLICA COM GUIAS SIMPLES, SEM VÃOS. AF_07/2023_PS</t>
  </si>
  <si>
    <t>PAREDE COM SISTEMA EM CHAPAS DE GESSO PARA DRYWALL, USO INTERNO, COM DUAS FACES SIMPLES E ESTRUTURA METÁLICA COM GUIAS SIMPLES PARA PAREDES COM ÁREA LÍQUIDA MAIOR OU IGUAL A 6 M2, COM VÃOS. AF_07/2023_PS</t>
  </si>
  <si>
    <t>94,84</t>
  </si>
  <si>
    <t>PAREDE COM SISTEMA EM CHAPAS DE GESSO PARA DRYWALL, USO INTERNO, COM DUAS FACES SIMPLES E ESTRUTURA METÁLICA COM GUIAS DUPLAS, SEM VÃOS. AF_07/2023_PS</t>
  </si>
  <si>
    <t>PAREDE COM SISTEMA EM CHAPAS DE GESSO PARA DRYWALL, USO INTERNO, COM DUAS FACES SIMPLES E ESTRUTURA METÁLICA COM GUIAS DUPLAS PARA PAREDES COM ÁREA LÍQUIDA MAIOR OU IGUAL A 6 M2, COM VÃOS. AF_07/2023_PS</t>
  </si>
  <si>
    <t>PAREDE COM SISTEMA EM CHAPAS DE GESSO PARA DRYWALL, USO INTERNO, COM UMA FACE SIMPLES E OUTRA FACE DUPLA E ESTRUTURA METÁLICA COM GUIAS SIMPLES, SEM VÃOS. AF_07/2023_PS</t>
  </si>
  <si>
    <t>PAREDE COM SISTEMA EM CHAPAS DE GESSO PARA DRYWALL, USO INTERNO, COM UMA FACE SIMPLES E OUTRA FACE DUPLA E ESTRUTURA METÁLICA COM GUIAS SIMPLES PARA PAREDES COM ÁREA LÍQUIDA MAIOR OU IGUAL A 6 M2, COM VÃOS. AF_07/2023_PS</t>
  </si>
  <si>
    <t>PAREDE COM SISTEMA EM CHAPAS DE GESSO PARA DRYWALL, USO INTERNO COM UMA FACE SIMPLES E OUTRA FACE DUPLA E ESTRUTURA METÁLICA COM GUIAS DUPLAS, SEM VÃOS. AF_07/2023_PS</t>
  </si>
  <si>
    <t>PAREDE COM SISTEMA EM CHAPAS DE GESSO PARA DRYWALL, USO INTERNO, COM UMA FACE SIMPLES E OUTRA FACE DUPLA E   ESTRUTURA METÁLICA COM GUIAS DUPLAS PARA PAREDES COM ÁREA LÍQUIDA MAIOR OU IGUAL A 6 M2, COM VÃOS. AF_07/2023_PS</t>
  </si>
  <si>
    <t>PAREDE COM SISTEMA EM CHAPAS DE GESSO PARA DRYWALL, USO INTERNO, COM DUAS FACES DUPLAS E ESTRUTURA METÁLICA COM GUIAS SIMPLES, SEM VÃOS. AF_07/2023_PS</t>
  </si>
  <si>
    <t>PAREDE COM SISTEMA EM CHAPAS DE GESSO PARA DRYWALL, USO INTERNO, COM DUAS FACES DUPLAS E ESTRUTURA METÁLICA COM GUIAS SIMPLES PARA PAREDES COM ÁREA LÍQUIDA MAIOR OU IGUAL A 6 M2, COM VÃOS. AF_07/2023_PS</t>
  </si>
  <si>
    <t>143,93</t>
  </si>
  <si>
    <t>PAREDE COM SISTEMA EM CHAPAS DE GESSO PARA DRYWALL, USO INTERNO COM DUAS FACES DUPLAS E ESTRUTURA METÁLICA COM GUIAS DUPLAS, SEM VÃOS. AF_07/2023_PS</t>
  </si>
  <si>
    <t>PAREDE COM SISTEMA EM CHAPAS DE GESSO PARA DRYWALL, USO INTERNO, COM DUAS FACES DUPLAS E ESTRUTURA METÁLICA COM GUIAS DUPLAS PARA PAREDES COM ÁREA LÍQUIDA MAIOR OU IGUAL A 6 M2, COM VÃOS. AF_07/2023_PS</t>
  </si>
  <si>
    <t>PAREDE COM SISTEMA EM CHAPAS DE GESSO PARA DRYWALL, USO INTERNO, COM UMA FACE SIMPLES E ESTRUTURA METÁLICA COM GUIAS SIMPLES, SEM VÃOS. AF_07/2023_PS</t>
  </si>
  <si>
    <t>PAREDE COM SISTEMA EM CHAPAS DE GESSO PARA DRYWALL, USO INTERNO, COM UMA FACE SIMPLES E ESTRUTURA METÁLICA COM GUIAS SIMPLES PARA PAREDES COM ÁREA LÍQUIDA MAIOR OU IGUAL A 6 M2, COM VÃOS. AF_07/2023_PS</t>
  </si>
  <si>
    <t>INSTALAÇÃO DE REFORÇO METÁLICO EM PAREDE DRYWALL. AF_07/2023</t>
  </si>
  <si>
    <t>INSTALAÇÃO DE REFORÇO DE MADEIRA EM PAREDE DRYWALL. AF_07/2023</t>
  </si>
  <si>
    <t>104718</t>
  </si>
  <si>
    <t>PAREDE COM SISTEMA EM CHAPAS DE GESSO PARA DRYWALL, USO INTERNO, COM DUAS FACES SIMPLES E ESTRUTURA METÁLICA COM GUIAS SIMPLES PARA PAREDES COM ÁREA LÍQUIDA MENOR QUE 6 M2, COM VÃOS. AF_07/2023_PS</t>
  </si>
  <si>
    <t>104719</t>
  </si>
  <si>
    <t>PAREDE COM SISTEMA EM CHAPAS DE GESSO PARA DRYWALL, USO INTERNO, COM DUAS FACES SIMPLES E ESTRUTURA METÁLICA COM GUIAS DUPLAS PARA PAREDES COM ÁREA LÍQUIDA MENOR QUE 6 M2, COM VÃOS. AF_07/2023_PS</t>
  </si>
  <si>
    <t>104720</t>
  </si>
  <si>
    <t>PAREDE COM SISTEMA EM CHAPAS DE GESSO PARA DRYWALL, USO INTERNO, COM UMA FACE SIMPLES E OUTRA FACE DUPLA E ESTRUTURA METÁLICA COM GUIAS SIMPLES PARA PAREDES COM ÁREA LÍQUIDA MENOR QUE 6 M2, COM VÃOS. AF_07/2023_PS</t>
  </si>
  <si>
    <t>104721</t>
  </si>
  <si>
    <t>PAREDE COM SISTEMA EM CHAPAS DE GESSO PARA DRYWALL, USO INTERNO, COM UMA FACE SIMPLES E OUTRA FACE DUPLA E ESTRUTURA METÁLICA COM GUIAS DUPLAS PARA PAREDES COM ÁREA LÍQUIDA MENOR QUE 6 M2, COM VÃOS. AF_07/2023_PS</t>
  </si>
  <si>
    <t>104722</t>
  </si>
  <si>
    <t>PAREDE COM SISTEMA EM CHAPAS DE GESSO PARA DRYWALL, USO INTERNO, COM DUAS FACES DUPLAS E ESTRUTURA METÁLICA COM GUIAS SIMPLES PARA PAREDES COM ÁREA LÍQUIDA MENOR QUE 6 M2, COM VÃOS. AF_07/2023_PS</t>
  </si>
  <si>
    <t>104723</t>
  </si>
  <si>
    <t>PAREDE COM SISTEMA EM CHAPAS DE GESSO PARA DRYWALL, USO INTERNO, COM DUAS FACES DUPLAS E ESTRUTURA METÁLICA COM GUIAS DUPLAS PARA PAREDES COM ÁREA LÍQUIDA MENOR QUE 6 M2, COM VÃOS. AF_07/2023_PS</t>
  </si>
  <si>
    <t>104724</t>
  </si>
  <si>
    <t>PAREDE COM SISTEMA EM CHAPAS DE GESSO PARA DRYWALL, USO INTERNO, COM UMA FACE SIMPLES E ESTRUTURA METÁLICA COM GUIAS SIMPLES PARA PAREDES COM ÁREA LÍQUIDA MENOR QUE 6 M2, COM VÃOS. AF_07/2023_PS</t>
  </si>
  <si>
    <t>85,99</t>
  </si>
  <si>
    <t>62,76</t>
  </si>
  <si>
    <t>316,53</t>
  </si>
  <si>
    <t>150,81</t>
  </si>
  <si>
    <t>41,28</t>
  </si>
  <si>
    <t>228,75</t>
  </si>
  <si>
    <t>109,17</t>
  </si>
  <si>
    <t>125,56</t>
  </si>
  <si>
    <t>73,44</t>
  </si>
  <si>
    <t>174,60</t>
  </si>
  <si>
    <t>26,11</t>
  </si>
  <si>
    <t>18,01</t>
  </si>
  <si>
    <t>20,33</t>
  </si>
  <si>
    <t>29,05</t>
  </si>
  <si>
    <t>27,86</t>
  </si>
  <si>
    <t>26,28</t>
  </si>
  <si>
    <t>26,19</t>
  </si>
  <si>
    <t>15,89</t>
  </si>
  <si>
    <t>24,79</t>
  </si>
  <si>
    <t>49,81</t>
  </si>
  <si>
    <t>57,56</t>
  </si>
  <si>
    <t>57,20</t>
  </si>
  <si>
    <t>134,05</t>
  </si>
  <si>
    <t>143,95</t>
  </si>
  <si>
    <t>38,84</t>
  </si>
  <si>
    <t>49,14</t>
  </si>
  <si>
    <t>95,01</t>
  </si>
  <si>
    <t>270,45</t>
  </si>
  <si>
    <t>226,60</t>
  </si>
  <si>
    <t>113,21</t>
  </si>
  <si>
    <t>54,25</t>
  </si>
  <si>
    <t>82,48</t>
  </si>
  <si>
    <t>96,07</t>
  </si>
  <si>
    <t>52,10</t>
  </si>
  <si>
    <t>48,29</t>
  </si>
  <si>
    <t>83,07</t>
  </si>
  <si>
    <t>65,91</t>
  </si>
  <si>
    <t>34,30</t>
  </si>
  <si>
    <t>85,27</t>
  </si>
  <si>
    <t>194,86</t>
  </si>
  <si>
    <t>52,86</t>
  </si>
  <si>
    <t>4,46</t>
  </si>
  <si>
    <t>73,25</t>
  </si>
  <si>
    <t>65,70</t>
  </si>
  <si>
    <t>41,62</t>
  </si>
  <si>
    <t>40,75</t>
  </si>
  <si>
    <t>56,39</t>
  </si>
  <si>
    <t>103,56</t>
  </si>
  <si>
    <t>119,94</t>
  </si>
  <si>
    <t>63,33</t>
  </si>
  <si>
    <t>71,68</t>
  </si>
  <si>
    <t>78,41</t>
  </si>
  <si>
    <t>77,65</t>
  </si>
  <si>
    <t>EMBOÇO OU MASSA ÚNICA EM ARGAMASSA TRAÇO 1:2:8, PREPARO MANUAL, APLICADA MANUALMENTE EM SUPERFÍCIES EXTERNAS DA SACADA, ESPESSURA MAIOR OU IGUAL A 50 MM, SEM USO DE TELA METÁLICA DE REFORÇO CONTRA FISSURAÇÃO. AF_08/2022</t>
  </si>
  <si>
    <t>124,51</t>
  </si>
  <si>
    <t>126,02</t>
  </si>
  <si>
    <t>43,65</t>
  </si>
  <si>
    <t>40,20</t>
  </si>
  <si>
    <t>70,32</t>
  </si>
  <si>
    <t>82,75</t>
  </si>
  <si>
    <t>127,90</t>
  </si>
  <si>
    <t>73,24</t>
  </si>
  <si>
    <t>68,49</t>
  </si>
  <si>
    <t>60,44</t>
  </si>
  <si>
    <t>59,23</t>
  </si>
  <si>
    <t>62,07</t>
  </si>
  <si>
    <t>256,93</t>
  </si>
  <si>
    <t>54,44</t>
  </si>
  <si>
    <t>75,50</t>
  </si>
  <si>
    <t>137,23</t>
  </si>
  <si>
    <t>48,98</t>
  </si>
  <si>
    <t>63,50</t>
  </si>
  <si>
    <t>31,14</t>
  </si>
  <si>
    <t>62,01</t>
  </si>
  <si>
    <t>7,84</t>
  </si>
  <si>
    <t>721,19</t>
  </si>
  <si>
    <t>78,57</t>
  </si>
  <si>
    <t>70,90</t>
  </si>
  <si>
    <t>107,02</t>
  </si>
  <si>
    <t>64,23</t>
  </si>
  <si>
    <t>77,50</t>
  </si>
  <si>
    <t>117,22</t>
  </si>
  <si>
    <t>166,09</t>
  </si>
  <si>
    <t>5,59</t>
  </si>
  <si>
    <t>23,73</t>
  </si>
  <si>
    <t>26,38</t>
  </si>
  <si>
    <t>32,78</t>
  </si>
  <si>
    <t>65,32</t>
  </si>
  <si>
    <t>59,63</t>
  </si>
  <si>
    <t>73,36</t>
  </si>
  <si>
    <t>255,11</t>
  </si>
  <si>
    <t>31,26</t>
  </si>
  <si>
    <t>48,66</t>
  </si>
  <si>
    <t>42,62</t>
  </si>
  <si>
    <t>45,06</t>
  </si>
  <si>
    <t>94,27</t>
  </si>
  <si>
    <t>42,41</t>
  </si>
  <si>
    <t>47,57</t>
  </si>
  <si>
    <t>147,87</t>
  </si>
  <si>
    <t>69,57</t>
  </si>
  <si>
    <t>46,67</t>
  </si>
  <si>
    <t>89,16</t>
  </si>
  <si>
    <t>104,89</t>
  </si>
  <si>
    <t>156,07</t>
  </si>
  <si>
    <t>45,41</t>
  </si>
  <si>
    <t>90,22</t>
  </si>
  <si>
    <t>141,08</t>
  </si>
  <si>
    <t>197,74</t>
  </si>
  <si>
    <t>114,98</t>
  </si>
  <si>
    <t>218,84</t>
  </si>
  <si>
    <t>110,67</t>
  </si>
  <si>
    <t>305,54</t>
  </si>
  <si>
    <t>135,53</t>
  </si>
  <si>
    <t>185,05</t>
  </si>
  <si>
    <t>230,87</t>
  </si>
  <si>
    <t>165,87</t>
  </si>
  <si>
    <t>58,89</t>
  </si>
  <si>
    <t>137,78</t>
  </si>
  <si>
    <t>72,01</t>
  </si>
  <si>
    <t>68,67</t>
  </si>
  <si>
    <t>66,51</t>
  </si>
  <si>
    <t>82,58</t>
  </si>
  <si>
    <t>53,45</t>
  </si>
  <si>
    <t>58,17</t>
  </si>
  <si>
    <t>147,93</t>
  </si>
  <si>
    <t>34,06</t>
  </si>
  <si>
    <t>62,84</t>
  </si>
  <si>
    <t>76,66</t>
  </si>
  <si>
    <t>43,66</t>
  </si>
  <si>
    <t>65,87</t>
  </si>
  <si>
    <t>58,67</t>
  </si>
  <si>
    <t>92,09</t>
  </si>
  <si>
    <t>90,39</t>
  </si>
  <si>
    <t>40,18</t>
  </si>
  <si>
    <t>944,04</t>
  </si>
  <si>
    <t>72,24</t>
  </si>
  <si>
    <t>91,46</t>
  </si>
  <si>
    <t>210,18</t>
  </si>
  <si>
    <t>215,82</t>
  </si>
  <si>
    <t>188,49</t>
  </si>
  <si>
    <t>167,86</t>
  </si>
  <si>
    <t>179,58</t>
  </si>
  <si>
    <t>207,81</t>
  </si>
  <si>
    <t>217,48</t>
  </si>
  <si>
    <t>207,47</t>
  </si>
  <si>
    <t>49,30</t>
  </si>
  <si>
    <t>101,72</t>
  </si>
  <si>
    <t>61,46</t>
  </si>
  <si>
    <t>49,93</t>
  </si>
  <si>
    <t>86,82</t>
  </si>
  <si>
    <t>79,65</t>
  </si>
  <si>
    <t>17,29</t>
  </si>
  <si>
    <t>39,62</t>
  </si>
  <si>
    <t>107,97</t>
  </si>
  <si>
    <t>48,48</t>
  </si>
  <si>
    <t>88,84</t>
  </si>
  <si>
    <t>85,49</t>
  </si>
  <si>
    <t>96,84</t>
  </si>
  <si>
    <t>632,27</t>
  </si>
  <si>
    <t>118,71</t>
  </si>
  <si>
    <t>137,77</t>
  </si>
  <si>
    <t>252,87</t>
  </si>
  <si>
    <t>58,75</t>
  </si>
  <si>
    <t>83,72</t>
  </si>
  <si>
    <t>161,81</t>
  </si>
  <si>
    <t>154,27</t>
  </si>
  <si>
    <t>83,94</t>
  </si>
  <si>
    <t>107,35</t>
  </si>
  <si>
    <t>249,04</t>
  </si>
  <si>
    <t>145,80</t>
  </si>
  <si>
    <t>242,56</t>
  </si>
  <si>
    <t>201,41</t>
  </si>
  <si>
    <t>183,68</t>
  </si>
  <si>
    <t>155,67</t>
  </si>
  <si>
    <t>42,74</t>
  </si>
  <si>
    <t>122,41</t>
  </si>
  <si>
    <t>123,21</t>
  </si>
  <si>
    <t>57,05</t>
  </si>
  <si>
    <t>44,58</t>
  </si>
  <si>
    <t>141,26</t>
  </si>
  <si>
    <t>157,13</t>
  </si>
  <si>
    <t>587,82</t>
  </si>
  <si>
    <t>39,45</t>
  </si>
  <si>
    <t>54,99</t>
  </si>
  <si>
    <t>54,35</t>
  </si>
  <si>
    <t>71,45</t>
  </si>
  <si>
    <t>42,26</t>
  </si>
  <si>
    <t>67,30</t>
  </si>
  <si>
    <t>52,68</t>
  </si>
  <si>
    <t>8,69</t>
  </si>
  <si>
    <t>47,85</t>
  </si>
  <si>
    <t>43,83</t>
  </si>
  <si>
    <t>62,87</t>
  </si>
  <si>
    <t>38,03</t>
  </si>
  <si>
    <t>221,78</t>
  </si>
  <si>
    <t>26,98</t>
  </si>
  <si>
    <t>36,10</t>
  </si>
  <si>
    <t>76,53</t>
  </si>
  <si>
    <t>93,75</t>
  </si>
  <si>
    <t>105,88</t>
  </si>
  <si>
    <t>122,80</t>
  </si>
  <si>
    <t>78,05</t>
  </si>
  <si>
    <t>198,10</t>
  </si>
  <si>
    <t>155,33</t>
  </si>
  <si>
    <t>12,01</t>
  </si>
  <si>
    <t>39,42</t>
  </si>
  <si>
    <t>86,22</t>
  </si>
  <si>
    <t>55,86</t>
  </si>
  <si>
    <t>35,93</t>
  </si>
  <si>
    <t>48,34</t>
  </si>
  <si>
    <t>26,06</t>
  </si>
  <si>
    <t>46,03</t>
  </si>
  <si>
    <t>52,84</t>
  </si>
  <si>
    <t>83,58</t>
  </si>
  <si>
    <t>67,39</t>
  </si>
  <si>
    <t>96,81</t>
  </si>
  <si>
    <t>77,96</t>
  </si>
  <si>
    <t>79,31</t>
  </si>
  <si>
    <t>132,39</t>
  </si>
  <si>
    <t>26,12</t>
  </si>
  <si>
    <t>236,23</t>
  </si>
  <si>
    <t>196,96</t>
  </si>
  <si>
    <t>7,65</t>
  </si>
  <si>
    <t>149,31</t>
  </si>
  <si>
    <t>143,55</t>
  </si>
  <si>
    <t>68,60</t>
  </si>
  <si>
    <t>61,15</t>
  </si>
  <si>
    <t>71,06</t>
  </si>
  <si>
    <t>1.310,76</t>
  </si>
  <si>
    <t>130,56</t>
  </si>
  <si>
    <t>67,40</t>
  </si>
  <si>
    <t>162,86</t>
  </si>
  <si>
    <t>35,48</t>
  </si>
  <si>
    <t>50,30</t>
  </si>
  <si>
    <t>33,52</t>
  </si>
  <si>
    <t>62,72</t>
  </si>
  <si>
    <t>32,21</t>
  </si>
  <si>
    <t>59,51</t>
  </si>
  <si>
    <t>66,73</t>
  </si>
  <si>
    <t>99,74</t>
  </si>
  <si>
    <t>74,43</t>
  </si>
  <si>
    <t>228,12</t>
  </si>
  <si>
    <t>109,11</t>
  </si>
  <si>
    <t>120,05</t>
  </si>
  <si>
    <t>106,51</t>
  </si>
  <si>
    <t>71,12</t>
  </si>
  <si>
    <t>81,21</t>
  </si>
  <si>
    <t>41,39</t>
  </si>
  <si>
    <t>58,19</t>
  </si>
  <si>
    <t>83,77</t>
  </si>
  <si>
    <t>45,43</t>
  </si>
  <si>
    <t>318,97</t>
  </si>
  <si>
    <t>53,76</t>
  </si>
  <si>
    <t>99,00</t>
  </si>
  <si>
    <t>82,36</t>
  </si>
  <si>
    <t>91,49</t>
  </si>
  <si>
    <t>110,24</t>
  </si>
  <si>
    <t>83,54</t>
  </si>
  <si>
    <t>134,07</t>
  </si>
  <si>
    <t>70,03</t>
  </si>
  <si>
    <t>47,74</t>
  </si>
  <si>
    <t>45,91</t>
  </si>
  <si>
    <t>44,63</t>
  </si>
  <si>
    <t>459,41</t>
  </si>
  <si>
    <t>24,56</t>
  </si>
  <si>
    <t>18,86</t>
  </si>
  <si>
    <t>5,63</t>
  </si>
  <si>
    <t>41,00</t>
  </si>
  <si>
    <t>81,52</t>
  </si>
  <si>
    <t>42,52</t>
  </si>
  <si>
    <t>66,47</t>
  </si>
  <si>
    <t>69,31</t>
  </si>
  <si>
    <t>42,88</t>
  </si>
  <si>
    <t>48,87</t>
  </si>
  <si>
    <t>29,96</t>
  </si>
  <si>
    <t>20,14</t>
  </si>
  <si>
    <t>60,45</t>
  </si>
  <si>
    <t>20,04</t>
  </si>
  <si>
    <t>22,01</t>
  </si>
  <si>
    <t>32,99</t>
  </si>
  <si>
    <t>280,01</t>
  </si>
  <si>
    <t>84,36</t>
  </si>
  <si>
    <t>195,97</t>
  </si>
  <si>
    <t>151,66</t>
  </si>
  <si>
    <t>25,95</t>
  </si>
  <si>
    <t>20,95</t>
  </si>
  <si>
    <t>28,36</t>
  </si>
  <si>
    <t>33,34</t>
  </si>
  <si>
    <t>18,10</t>
  </si>
  <si>
    <t>34,93</t>
  </si>
  <si>
    <t>24,55</t>
  </si>
  <si>
    <t>32,66</t>
  </si>
  <si>
    <t>19,82</t>
  </si>
  <si>
    <t>87,86</t>
  </si>
  <si>
    <t>32,28</t>
  </si>
  <si>
    <t>49,64</t>
  </si>
  <si>
    <t>35,68</t>
  </si>
  <si>
    <t>34,88</t>
  </si>
  <si>
    <t>44,57</t>
  </si>
  <si>
    <t>213,99</t>
  </si>
  <si>
    <t>48,77</t>
  </si>
  <si>
    <t>43,06</t>
  </si>
  <si>
    <t>92,77</t>
  </si>
  <si>
    <t>120,96</t>
  </si>
  <si>
    <t>177,46</t>
  </si>
  <si>
    <t>82,23</t>
  </si>
  <si>
    <t>112,25</t>
  </si>
  <si>
    <t>36,98</t>
  </si>
  <si>
    <t>78,92</t>
  </si>
  <si>
    <t>77,35</t>
  </si>
  <si>
    <t>153,25</t>
  </si>
  <si>
    <t>40,32</t>
  </si>
  <si>
    <t>62,78</t>
  </si>
  <si>
    <t>49,49</t>
  </si>
  <si>
    <t>191,37</t>
  </si>
  <si>
    <t>34,99</t>
  </si>
  <si>
    <t>91,78</t>
  </si>
  <si>
    <t>102,15</t>
  </si>
  <si>
    <t>130,98</t>
  </si>
  <si>
    <t>120,77</t>
  </si>
  <si>
    <t>151,24</t>
  </si>
  <si>
    <t>73,70</t>
  </si>
  <si>
    <t>50,34</t>
  </si>
  <si>
    <t>107,68</t>
  </si>
  <si>
    <t>74,13</t>
  </si>
  <si>
    <t>152,14</t>
  </si>
  <si>
    <t>64,33</t>
  </si>
  <si>
    <t>334,59</t>
  </si>
  <si>
    <t>53,51</t>
  </si>
  <si>
    <t>69,96</t>
  </si>
  <si>
    <t>52,02</t>
  </si>
  <si>
    <t>56,18</t>
  </si>
  <si>
    <t>63,04</t>
  </si>
  <si>
    <t>28,13</t>
  </si>
  <si>
    <t>60,60</t>
  </si>
  <si>
    <t>90,80</t>
  </si>
  <si>
    <t>93,29</t>
  </si>
  <si>
    <t>112,77</t>
  </si>
  <si>
    <t>158,67</t>
  </si>
  <si>
    <t>23,34</t>
  </si>
  <si>
    <t>26,07</t>
  </si>
  <si>
    <t>61,96</t>
  </si>
  <si>
    <t>180,79</t>
  </si>
  <si>
    <t>175,38</t>
  </si>
  <si>
    <t>84,83</t>
  </si>
  <si>
    <t>301,08</t>
  </si>
  <si>
    <t>712,92</t>
  </si>
  <si>
    <t>170,97</t>
  </si>
  <si>
    <t>485,03</t>
  </si>
  <si>
    <t>87,73</t>
  </si>
  <si>
    <t>108,12</t>
  </si>
  <si>
    <t>459,72</t>
  </si>
  <si>
    <t>35,26</t>
  </si>
  <si>
    <t>36,56</t>
  </si>
  <si>
    <t>40,50</t>
  </si>
  <si>
    <t>29,56</t>
  </si>
  <si>
    <t>36,58</t>
  </si>
  <si>
    <t>6,46</t>
  </si>
  <si>
    <t>19,83</t>
  </si>
  <si>
    <t>39,85</t>
  </si>
  <si>
    <t>31,88</t>
  </si>
  <si>
    <t>111,64</t>
  </si>
  <si>
    <t>140,22</t>
  </si>
  <si>
    <t>249,46</t>
  </si>
  <si>
    <t>31,00</t>
  </si>
  <si>
    <t>19,35</t>
  </si>
  <si>
    <t>312,73</t>
  </si>
  <si>
    <t>289,02</t>
  </si>
  <si>
    <t>61,21</t>
  </si>
  <si>
    <t>709,09</t>
  </si>
  <si>
    <t>357,44</t>
  </si>
  <si>
    <t>400,99</t>
  </si>
  <si>
    <t>776,72</t>
  </si>
  <si>
    <t>308,74</t>
  </si>
  <si>
    <t>50,43</t>
  </si>
  <si>
    <t>313,88</t>
  </si>
  <si>
    <t>52,36</t>
  </si>
  <si>
    <t>71,24</t>
  </si>
  <si>
    <t>168,53</t>
  </si>
  <si>
    <t>55,08</t>
  </si>
  <si>
    <t>119,23</t>
  </si>
  <si>
    <t>41,56</t>
  </si>
  <si>
    <t>227,44</t>
  </si>
  <si>
    <t>241,87</t>
  </si>
  <si>
    <t>641,83</t>
  </si>
  <si>
    <t>1.268,69</t>
  </si>
  <si>
    <t>277,32</t>
  </si>
  <si>
    <t>30,92</t>
  </si>
  <si>
    <t>31,27</t>
  </si>
  <si>
    <t>16,91</t>
  </si>
  <si>
    <t>146,97</t>
  </si>
  <si>
    <t>159,06</t>
  </si>
  <si>
    <t>89,53</t>
  </si>
  <si>
    <t>214,12</t>
  </si>
  <si>
    <t>96,72</t>
  </si>
  <si>
    <t>44,69</t>
  </si>
  <si>
    <t>16,81</t>
  </si>
  <si>
    <t>17,61</t>
  </si>
  <si>
    <t>21,52</t>
  </si>
  <si>
    <t>15,48</t>
  </si>
  <si>
    <t>121,13</t>
  </si>
  <si>
    <t>122,88</t>
  </si>
  <si>
    <t>114,72</t>
  </si>
  <si>
    <t>13,97</t>
  </si>
  <si>
    <t>2,29</t>
  </si>
  <si>
    <t>61,64</t>
  </si>
  <si>
    <t>96,43</t>
  </si>
  <si>
    <t>86,98</t>
  </si>
  <si>
    <t>153,34</t>
  </si>
  <si>
    <t>84,25</t>
  </si>
  <si>
    <t>86,40</t>
  </si>
  <si>
    <t>103,87</t>
  </si>
  <si>
    <t>162,02</t>
  </si>
  <si>
    <t>88,49</t>
  </si>
  <si>
    <t>88,45</t>
  </si>
  <si>
    <t>137,51</t>
  </si>
  <si>
    <t>136,47</t>
  </si>
  <si>
    <t>66,00</t>
  </si>
  <si>
    <t>79,71</t>
  </si>
  <si>
    <t>179,74</t>
  </si>
  <si>
    <t>236,97</t>
  </si>
  <si>
    <t>283,65</t>
  </si>
  <si>
    <t>89,27</t>
  </si>
  <si>
    <t>42,73</t>
  </si>
  <si>
    <t>63,48</t>
  </si>
  <si>
    <t>75,28</t>
  </si>
  <si>
    <t>174,30</t>
  </si>
  <si>
    <t>79,89</t>
  </si>
  <si>
    <t>116,05</t>
  </si>
  <si>
    <t>81,40</t>
  </si>
  <si>
    <t>110,36</t>
  </si>
  <si>
    <t>351,89</t>
  </si>
  <si>
    <t>102,05</t>
  </si>
  <si>
    <t>22,11</t>
  </si>
  <si>
    <t>42,77</t>
  </si>
  <si>
    <t>26,41</t>
  </si>
  <si>
    <t>31,69</t>
  </si>
  <si>
    <t>1,72</t>
  </si>
  <si>
    <t>49,01</t>
  </si>
  <si>
    <t>57,62</t>
  </si>
  <si>
    <t>149,58</t>
  </si>
  <si>
    <t>156,04</t>
  </si>
  <si>
    <t>37,89</t>
  </si>
  <si>
    <t>65,78</t>
  </si>
  <si>
    <t>229,39</t>
  </si>
  <si>
    <t>73,15</t>
  </si>
  <si>
    <t>58,87</t>
  </si>
  <si>
    <t>54,17</t>
  </si>
  <si>
    <t>62,08</t>
  </si>
  <si>
    <t>62,74</t>
  </si>
  <si>
    <t>163,65</t>
  </si>
  <si>
    <t>53,93</t>
  </si>
  <si>
    <t>49,02</t>
  </si>
  <si>
    <t>53,92</t>
  </si>
  <si>
    <t>39,30</t>
  </si>
  <si>
    <t>25,75</t>
  </si>
  <si>
    <t>64,05</t>
  </si>
  <si>
    <t>100,23</t>
  </si>
  <si>
    <t>91,10</t>
  </si>
  <si>
    <t>75,66</t>
  </si>
  <si>
    <t>82,74</t>
  </si>
  <si>
    <t>113,47</t>
  </si>
  <si>
    <t>83,80</t>
  </si>
  <si>
    <t>87,62</t>
  </si>
  <si>
    <t>174,22</t>
  </si>
  <si>
    <t>113,73</t>
  </si>
  <si>
    <t>131,74</t>
  </si>
  <si>
    <t>133,01</t>
  </si>
  <si>
    <t>43,03</t>
  </si>
  <si>
    <t>73,41</t>
  </si>
  <si>
    <t>78,73</t>
  </si>
  <si>
    <t>64,58</t>
  </si>
  <si>
    <t>71,79</t>
  </si>
  <si>
    <t>78,87</t>
  </si>
  <si>
    <t>110,37</t>
  </si>
  <si>
    <t>76,60</t>
  </si>
  <si>
    <t>118,77</t>
  </si>
  <si>
    <t>71,87</t>
  </si>
  <si>
    <t>58,99</t>
  </si>
  <si>
    <t>194,42</t>
  </si>
  <si>
    <t>50,24</t>
  </si>
  <si>
    <t>44,87</t>
  </si>
  <si>
    <t>31,96</t>
  </si>
  <si>
    <t>63,08</t>
  </si>
  <si>
    <t>72,76</t>
  </si>
  <si>
    <t>21,62</t>
  </si>
  <si>
    <t>778,41</t>
  </si>
  <si>
    <t>688,30</t>
  </si>
  <si>
    <t>3,95</t>
  </si>
  <si>
    <t>72,00</t>
  </si>
  <si>
    <t>3,79</t>
  </si>
  <si>
    <t>6,27</t>
  </si>
  <si>
    <t>68,22</t>
  </si>
  <si>
    <t>76,55</t>
  </si>
  <si>
    <t>179,59</t>
  </si>
  <si>
    <t>78,03</t>
  </si>
  <si>
    <t>Bucha de redução em ferro galvanizado 4” X 3”</t>
  </si>
  <si>
    <t>Difusor de ar retangular para insuflamento em uma direção 425X125mm</t>
  </si>
  <si>
    <t>Tubo de aço-carbono galvanizado 1/4”</t>
  </si>
  <si>
    <t>Tubo de aço-carbono galvanizado 1/2”</t>
  </si>
  <si>
    <t>Tubo de aço-carbono galvanizado 2”</t>
  </si>
  <si>
    <t>Tubo de aço-carbono galvanizado 3”</t>
  </si>
  <si>
    <t>Isolamento elastomérico para tubulações de cobre 3” / tubulações de ferro de 2 1/2"</t>
  </si>
  <si>
    <t>Isolamento elastomérico para tubulações de cobre 3 1/2” / tubulações de ferro de 3”</t>
  </si>
  <si>
    <t>Válvula de balanceamento e controle independente da pressão (PIBCV) 2 vias 1/4”</t>
  </si>
  <si>
    <t>Válvula de balanceamento e controle independente da pressão (PIBCV) 2 vias 1/2”</t>
  </si>
  <si>
    <t>Válvula de balanceamento e controle independente da pressão (PIBCV) 2 vias 2 1/2”</t>
  </si>
  <si>
    <t>Filtro em Y 1/4”</t>
  </si>
  <si>
    <t>Filtro em Y 1/2”</t>
  </si>
  <si>
    <t>Filtro em Y 2 1/2”</t>
  </si>
  <si>
    <t>Válvula de esfera em bronze 1/4”</t>
  </si>
  <si>
    <t>Válvula de esfera em bronze 2” - fornecimento e instalação</t>
  </si>
  <si>
    <t>Válvula de esfera em bronze 2 1/2” - fornecimento e instalação</t>
  </si>
  <si>
    <t>Válvula de esfera em bronze 3”</t>
  </si>
  <si>
    <t>Niple de redução de aço-carbono galvanizado 1 1/2” x 2”</t>
  </si>
  <si>
    <t>Niple de redução de aço-carbono galvanizado 2” x 2 1/2”</t>
  </si>
  <si>
    <t>Cobertura em estrutura metálica e policarbonato - CCPU</t>
  </si>
  <si>
    <t>Cobertura em estrutura metálica e telhamento - CCPU</t>
  </si>
  <si>
    <t>Mármore Rosa para piso e parede - CCPU</t>
  </si>
  <si>
    <t>Estrutura metálica em aço – CCPU</t>
  </si>
  <si>
    <t>Hidrante de sobrepor com acessórios</t>
  </si>
  <si>
    <t>Hidrante de recalque com acessórios</t>
  </si>
  <si>
    <t>Porta corta-fogo dupla (total 180x260cm) com acessórios - CCPU</t>
  </si>
  <si>
    <t>Painel de vidro temperado fixado em perfil metálico e acessórios - CCPU</t>
  </si>
  <si>
    <t>Porta de correr de vidro temperado e acessórios - CCPU</t>
  </si>
  <si>
    <t>Porta de abrir de vidro temperado com barras antipanico e acessórios - CCPU</t>
  </si>
  <si>
    <t>Janela de correr de vidro temperado e acessórios - CCPU</t>
  </si>
  <si>
    <t>Lixeira metálica dupla, capacidade de 60L - CCPU</t>
  </si>
  <si>
    <t>Tubo PVC soldável água fria DN 75mm – fornecimento e instalação</t>
  </si>
  <si>
    <t>Reparo estrutural em perfis de aço - CCPU</t>
  </si>
  <si>
    <t>Difusor de ar retangular para insuflamento em uma direção (fluxo na direção perpendicular às maiores arestas do retângulo), 425x125 mm. Ref.: Trox AT-AG.</t>
  </si>
  <si>
    <t>TUBO ACO CARBONO SEM COSTURA 1/4", E= *2,24 MM, SCHEDULE 40, *0,63 KG/M</t>
  </si>
  <si>
    <t>Isolamento elastomérico em formato de tubo ou coquilha de espessura M, próprio para tubulação ferro de diâmetro nominal 2 1/2". Ref.: AF/Armaflex M-76, K-Flex ST</t>
  </si>
  <si>
    <t>Isolamento elastomérico em formato de tubo ou coquilha de espessura M, próprio para tubulação ferro de diâmetro nominal 3". Ref.: AF/Armaflex M-89, K-Flex ST</t>
  </si>
  <si>
    <t>Válvula de balanceamento e controle (PIBCV) 2 vias, para controle on-off, diâmetro nominal 1/4". Ref.: IMI Hydronic Engineering TA-COMPACT-P, Honeywell VRN2C</t>
  </si>
  <si>
    <t>Válvula de balanceamento e controle (PIBCV) 2 vias, para controle on-off, diâmetro nominal 1/2". Ref.: IMI Hydronic Engineering TA-COMPACT-P, Honeywell VRN2C</t>
  </si>
  <si>
    <t>Filtro em Y 1/4", fabricado em bronze, extremidade com roscas, filtro em aço inoxidável, classe de pressão PN20 ou superior.</t>
  </si>
  <si>
    <t>Filtro em Y 1/2", fabricado em bronze, extremidade com roscas, filtro em aço inoxidável, classe de pressão PN20 ou superior.</t>
  </si>
  <si>
    <t>Filtro em Y 2 1/2", fabricado em bronze, extremidade com roscas, filtro em aço inoxidável, classe de pressão PN20 ou superior.</t>
  </si>
  <si>
    <t>VALVULA DE ESFERA BRUTA EM BRONZE, BITOLA 2 1/2 " (REF 1552-B)</t>
  </si>
  <si>
    <t>VALVULA DE ESFERA BRUTA EM BRONZE, BITOLA 3 " (REF 1552-B)</t>
  </si>
  <si>
    <t>VALVULA DE ESFERA BRUTA EM BRONZE, BITOLA 1/4 " (REF 1552-B)</t>
  </si>
  <si>
    <t>Mármore Rosa (Paraná, Tea, Marília ou similar), com 20 mm de espessura, para piso e parede</t>
  </si>
  <si>
    <t>Porta Corta-fogo, incluso batente e fechadura de sobrepor, medindo 2x90cm de largura, 260cm de altura e no mínimo 4cm de espessura, pintada (de fábrica) com tinta esmalte sintético ou eletrostática na cor chumbo ou vermelho.</t>
  </si>
  <si>
    <t>Tubo PVC soldável água fria DN 110mm – fornecimento e instalação</t>
  </si>
  <si>
    <t>Chapa perfurada #14 (2.00mm), de 1000x2000mm, com furos quadrados de tamanho máximo de 25 X 25mm e distância entre centros de 32mm</t>
  </si>
  <si>
    <t>PLACA DE POLICARBONATO COMPACTO, COR CRISTAL, COM ESPESSURA DE 10MM</t>
  </si>
  <si>
    <t>EMOP 14.005.0025-0</t>
  </si>
  <si>
    <t xml:space="preserve">Chapa de aço carbono espessura 2.65mm (#12) </t>
  </si>
  <si>
    <t>Ar-condicionado do tipo split cassete inverter com capacidade nominal mínima de 45.000 BTU/h</t>
  </si>
  <si>
    <t>MES DE COLETA: 08/2023</t>
  </si>
  <si>
    <t>LOCALIDADE: 0330 - RIO BRANCO</t>
  </si>
  <si>
    <t>ENCARGOS SOCIAIS (%) HORISTA 115,90  MENSALISTA  70,75</t>
  </si>
  <si>
    <t>266,54</t>
  </si>
  <si>
    <t>3,00</t>
  </si>
  <si>
    <t>115,69</t>
  </si>
  <si>
    <t>13,61</t>
  </si>
  <si>
    <t>37,42</t>
  </si>
  <si>
    <t>66,86</t>
  </si>
  <si>
    <t>53,62</t>
  </si>
  <si>
    <t>50,83</t>
  </si>
  <si>
    <t>7,31</t>
  </si>
  <si>
    <t>31,49</t>
  </si>
  <si>
    <t>32,60</t>
  </si>
  <si>
    <t>30,81</t>
  </si>
  <si>
    <t>250,94</t>
  </si>
  <si>
    <t>358,78</t>
  </si>
  <si>
    <t>453,68</t>
  </si>
  <si>
    <t>238,75</t>
  </si>
  <si>
    <t>338,30</t>
  </si>
  <si>
    <t>36,50</t>
  </si>
  <si>
    <t>127,24</t>
  </si>
  <si>
    <t>200,76</t>
  </si>
  <si>
    <t>45,49</t>
  </si>
  <si>
    <t>179,22</t>
  </si>
  <si>
    <t>39,57</t>
  </si>
  <si>
    <t>4.009,91</t>
  </si>
  <si>
    <t>5.022,52</t>
  </si>
  <si>
    <t>6.804,70</t>
  </si>
  <si>
    <t>8.070,46</t>
  </si>
  <si>
    <t>12,32</t>
  </si>
  <si>
    <t>2.148,08</t>
  </si>
  <si>
    <t>2.322,64</t>
  </si>
  <si>
    <t>2.604,85</t>
  </si>
  <si>
    <t>12,67</t>
  </si>
  <si>
    <t>2.207,54</t>
  </si>
  <si>
    <t>2.449,97</t>
  </si>
  <si>
    <t>8,94</t>
  </si>
  <si>
    <t>2,16</t>
  </si>
  <si>
    <t>132,13</t>
  </si>
  <si>
    <t>74,34</t>
  </si>
  <si>
    <t>106,24</t>
  </si>
  <si>
    <t>565,97</t>
  </si>
  <si>
    <t>7.199,00</t>
  </si>
  <si>
    <t>15,69</t>
  </si>
  <si>
    <t>2.730,97</t>
  </si>
  <si>
    <t>2,80</t>
  </si>
  <si>
    <t>33,44</t>
  </si>
  <si>
    <t>52,43</t>
  </si>
  <si>
    <t>26,21</t>
  </si>
  <si>
    <t>66,23</t>
  </si>
  <si>
    <t>108,49</t>
  </si>
  <si>
    <t>150,37</t>
  </si>
  <si>
    <t>13,15</t>
  </si>
  <si>
    <t>10,99</t>
  </si>
  <si>
    <t>147,82</t>
  </si>
  <si>
    <t>743,94</t>
  </si>
  <si>
    <t>1.172,59</t>
  </si>
  <si>
    <t>1.646,49</t>
  </si>
  <si>
    <t>153,91</t>
  </si>
  <si>
    <t>200,49</t>
  </si>
  <si>
    <t>83,97</t>
  </si>
  <si>
    <t>623,29</t>
  </si>
  <si>
    <t>2.149,76</t>
  </si>
  <si>
    <t>753,89</t>
  </si>
  <si>
    <t>1.012,60</t>
  </si>
  <si>
    <t>1.417,64</t>
  </si>
  <si>
    <t>182,26</t>
  </si>
  <si>
    <t>131,18</t>
  </si>
  <si>
    <t>440,48</t>
  </si>
  <si>
    <t>314,27</t>
  </si>
  <si>
    <t>243,02</t>
  </si>
  <si>
    <t>172,14</t>
  </si>
  <si>
    <t>231,52</t>
  </si>
  <si>
    <t>607,56</t>
  </si>
  <si>
    <t>434,69</t>
  </si>
  <si>
    <t>273,40</t>
  </si>
  <si>
    <t>577,18</t>
  </si>
  <si>
    <t>708,82</t>
  </si>
  <si>
    <t>992,35</t>
  </si>
  <si>
    <t>2.365,56</t>
  </si>
  <si>
    <t>2.666,85</t>
  </si>
  <si>
    <t>3.845,10</t>
  </si>
  <si>
    <t>4.100,00</t>
  </si>
  <si>
    <t>8.924,67</t>
  </si>
  <si>
    <t>11.206,13</t>
  </si>
  <si>
    <t>14.516,30</t>
  </si>
  <si>
    <t>5.550,48</t>
  </si>
  <si>
    <t>2.961,17</t>
  </si>
  <si>
    <t>4.395,95</t>
  </si>
  <si>
    <t>6.075,62</t>
  </si>
  <si>
    <t>2.644,58</t>
  </si>
  <si>
    <t>24.078,60</t>
  </si>
  <si>
    <t>11.400,48</t>
  </si>
  <si>
    <t>12.780,87</t>
  </si>
  <si>
    <t>14.439,67</t>
  </si>
  <si>
    <t>19.846,25</t>
  </si>
  <si>
    <t>6.988,15</t>
  </si>
  <si>
    <t>8.660,80</t>
  </si>
  <si>
    <t>12.869,75</t>
  </si>
  <si>
    <t>13.341,34</t>
  </si>
  <si>
    <t>15.310,16</t>
  </si>
  <si>
    <t>8.361,96</t>
  </si>
  <si>
    <t>9.004,01</t>
  </si>
  <si>
    <t>13.306,19</t>
  </si>
  <si>
    <t>15.393,96</t>
  </si>
  <si>
    <t>16.104,05</t>
  </si>
  <si>
    <t>2.376,53</t>
  </si>
  <si>
    <t>2.570,79</t>
  </si>
  <si>
    <t>3.419,51</t>
  </si>
  <si>
    <t>3.813,28</t>
  </si>
  <si>
    <t>4.479,25</t>
  </si>
  <si>
    <t>5.042,49</t>
  </si>
  <si>
    <t>2.035,90</t>
  </si>
  <si>
    <t>2.241,75</t>
  </si>
  <si>
    <t>6.370,64</t>
  </si>
  <si>
    <t>6.719,74</t>
  </si>
  <si>
    <t>8.917,16</t>
  </si>
  <si>
    <t>10.804,33</t>
  </si>
  <si>
    <t>12.153,07</t>
  </si>
  <si>
    <t>95.771,13</t>
  </si>
  <si>
    <t>29.976,16</t>
  </si>
  <si>
    <t>38.684,83</t>
  </si>
  <si>
    <t>56.283,39</t>
  </si>
  <si>
    <t>6.912,62</t>
  </si>
  <si>
    <t>1,70</t>
  </si>
  <si>
    <t>39,65</t>
  </si>
  <si>
    <t>32,29</t>
  </si>
  <si>
    <t>70,00</t>
  </si>
  <si>
    <t>70,91</t>
  </si>
  <si>
    <t>803,38</t>
  </si>
  <si>
    <t>1,18</t>
  </si>
  <si>
    <t>4,16</t>
  </si>
  <si>
    <t>2,41</t>
  </si>
  <si>
    <t>1.205,72</t>
  </si>
  <si>
    <t>730,33</t>
  </si>
  <si>
    <t>17,02</t>
  </si>
  <si>
    <t>36,18</t>
  </si>
  <si>
    <t>46,81</t>
  </si>
  <si>
    <t>71,52</t>
  </si>
  <si>
    <t>3.455,98</t>
  </si>
  <si>
    <t>81,15</t>
  </si>
  <si>
    <t>14.121,48</t>
  </si>
  <si>
    <t>114,94</t>
  </si>
  <si>
    <t>20.001,17</t>
  </si>
  <si>
    <t>115,26</t>
  </si>
  <si>
    <t>20.058,37</t>
  </si>
  <si>
    <t>26.518,96</t>
  </si>
  <si>
    <t>1,33</t>
  </si>
  <si>
    <t>1,49</t>
  </si>
  <si>
    <t>25,53</t>
  </si>
  <si>
    <t>3.677,83</t>
  </si>
  <si>
    <t>86,18</t>
  </si>
  <si>
    <t>67,26</t>
  </si>
  <si>
    <t>2.589,06</t>
  </si>
  <si>
    <t>2.617,13</t>
  </si>
  <si>
    <t>3.462,67</t>
  </si>
  <si>
    <t>2.788,62</t>
  </si>
  <si>
    <t>2.329,03</t>
  </si>
  <si>
    <t>2.349,84</t>
  </si>
  <si>
    <t>43,11</t>
  </si>
  <si>
    <t>7.504,94</t>
  </si>
  <si>
    <t>371,97</t>
  </si>
  <si>
    <t>514,90</t>
  </si>
  <si>
    <t>626,06</t>
  </si>
  <si>
    <t>560,98</t>
  </si>
  <si>
    <t>199,00</t>
  </si>
  <si>
    <t>218,67</t>
  </si>
  <si>
    <t>440,93</t>
  </si>
  <si>
    <t>19,42</t>
  </si>
  <si>
    <t>6,13</t>
  </si>
  <si>
    <t>258,07</t>
  </si>
  <si>
    <t>323,49</t>
  </si>
  <si>
    <t>728,99</t>
  </si>
  <si>
    <t>1.677,14</t>
  </si>
  <si>
    <t>902,13</t>
  </si>
  <si>
    <t>265,76</t>
  </si>
  <si>
    <t>353,39</t>
  </si>
  <si>
    <t>512,01</t>
  </si>
  <si>
    <t>259,78</t>
  </si>
  <si>
    <t>308,91</t>
  </si>
  <si>
    <t>721,88</t>
  </si>
  <si>
    <t>1.150,18</t>
  </si>
  <si>
    <t>1.441,11</t>
  </si>
  <si>
    <t>286,14</t>
  </si>
  <si>
    <t>729,94</t>
  </si>
  <si>
    <t>1.041,42</t>
  </si>
  <si>
    <t>1.148,80</t>
  </si>
  <si>
    <t>464,22</t>
  </si>
  <si>
    <t>708,99</t>
  </si>
  <si>
    <t>759,39</t>
  </si>
  <si>
    <t>33,91</t>
  </si>
  <si>
    <t>61,02</t>
  </si>
  <si>
    <t>120,83</t>
  </si>
  <si>
    <t>45,25</t>
  </si>
  <si>
    <t>323,31</t>
  </si>
  <si>
    <t>371,05</t>
  </si>
  <si>
    <t>401,46</t>
  </si>
  <si>
    <t>158,08</t>
  </si>
  <si>
    <t>168,56</t>
  </si>
  <si>
    <t>176,59</t>
  </si>
  <si>
    <t>161,24</t>
  </si>
  <si>
    <t>199,99</t>
  </si>
  <si>
    <t>276,78</t>
  </si>
  <si>
    <t>57,27</t>
  </si>
  <si>
    <t>616.250,00</t>
  </si>
  <si>
    <t>140,00</t>
  </si>
  <si>
    <t>86,70</t>
  </si>
  <si>
    <t>186,96</t>
  </si>
  <si>
    <t>108,38</t>
  </si>
  <si>
    <t>384,54</t>
  </si>
  <si>
    <t>6.228,63</t>
  </si>
  <si>
    <t>8.494,16</t>
  </si>
  <si>
    <t>7.791,06</t>
  </si>
  <si>
    <t>33.887,96</t>
  </si>
  <si>
    <t>7.125,97</t>
  </si>
  <si>
    <t>25.336,79</t>
  </si>
  <si>
    <t>30.794,76</t>
  </si>
  <si>
    <t>17,66</t>
  </si>
  <si>
    <t>3.074,28</t>
  </si>
  <si>
    <t>32,44</t>
  </si>
  <si>
    <t>3,06</t>
  </si>
  <si>
    <t>1,04</t>
  </si>
  <si>
    <t>127,17</t>
  </si>
  <si>
    <t>75,17</t>
  </si>
  <si>
    <t>97,35</t>
  </si>
  <si>
    <t>71,39</t>
  </si>
  <si>
    <t>90,62</t>
  </si>
  <si>
    <t>133,10</t>
  </si>
  <si>
    <t>203,89</t>
  </si>
  <si>
    <t>28,35</t>
  </si>
  <si>
    <t>227,04</t>
  </si>
  <si>
    <t>145,05</t>
  </si>
  <si>
    <t>141,90</t>
  </si>
  <si>
    <t>95,28</t>
  </si>
  <si>
    <t>95,95</t>
  </si>
  <si>
    <t>120,87</t>
  </si>
  <si>
    <t>BOLSA DE LIGACAO EM PVC FLEXIVEL PARA VASO SANITARIO 40 MM (1 1/2")</t>
  </si>
  <si>
    <t>337,28</t>
  </si>
  <si>
    <t>3.399,19</t>
  </si>
  <si>
    <t>2.858,11</t>
  </si>
  <si>
    <t>1.164,71</t>
  </si>
  <si>
    <t>16.829,95</t>
  </si>
  <si>
    <t>1.133,55</t>
  </si>
  <si>
    <t>1.768,99</t>
  </si>
  <si>
    <t>1.936,83</t>
  </si>
  <si>
    <t>1.910,79</t>
  </si>
  <si>
    <t>10.715,14</t>
  </si>
  <si>
    <t>4.968,53</t>
  </si>
  <si>
    <t>10.080,13</t>
  </si>
  <si>
    <t>2.048,36</t>
  </si>
  <si>
    <t>75.928,90</t>
  </si>
  <si>
    <t>81.348,41</t>
  </si>
  <si>
    <t>3.335,54</t>
  </si>
  <si>
    <t>4.795,85</t>
  </si>
  <si>
    <t>8.129,36</t>
  </si>
  <si>
    <t>7.718,18</t>
  </si>
  <si>
    <t>31.671,69</t>
  </si>
  <si>
    <t>11.648,26</t>
  </si>
  <si>
    <t>34.542,22</t>
  </si>
  <si>
    <t>15.684,37</t>
  </si>
  <si>
    <t>3.462,71</t>
  </si>
  <si>
    <t>4.182,50</t>
  </si>
  <si>
    <t>5.618,92</t>
  </si>
  <si>
    <t>31.368,75</t>
  </si>
  <si>
    <t>4.940,57</t>
  </si>
  <si>
    <t>7.842,18</t>
  </si>
  <si>
    <t>289.546,38</t>
  </si>
  <si>
    <t>116.632,27</t>
  </si>
  <si>
    <t>31,33</t>
  </si>
  <si>
    <t>70,08</t>
  </si>
  <si>
    <t>37,28</t>
  </si>
  <si>
    <t>5,47</t>
  </si>
  <si>
    <t>32,03</t>
  </si>
  <si>
    <t>140,76</t>
  </si>
  <si>
    <t>65,52</t>
  </si>
  <si>
    <t>63,69</t>
  </si>
  <si>
    <t>64,01</t>
  </si>
  <si>
    <t>121,06</t>
  </si>
  <si>
    <t>331,32</t>
  </si>
  <si>
    <t>350,07</t>
  </si>
  <si>
    <t>375,54</t>
  </si>
  <si>
    <t>51,33</t>
  </si>
  <si>
    <t>55,30</t>
  </si>
  <si>
    <t>49,40</t>
  </si>
  <si>
    <t>30,51</t>
  </si>
  <si>
    <t>61,37</t>
  </si>
  <si>
    <t>61,87</t>
  </si>
  <si>
    <t>49,95</t>
  </si>
  <si>
    <t>97,90</t>
  </si>
  <si>
    <t>100,27</t>
  </si>
  <si>
    <t>95,12</t>
  </si>
  <si>
    <t>32,87</t>
  </si>
  <si>
    <t>37,81</t>
  </si>
  <si>
    <t>67,87</t>
  </si>
  <si>
    <t>4,07</t>
  </si>
  <si>
    <t>8,66</t>
  </si>
  <si>
    <t>35,67</t>
  </si>
  <si>
    <t>51,85</t>
  </si>
  <si>
    <t>93,04</t>
  </si>
  <si>
    <t>87,95</t>
  </si>
  <si>
    <t>52,65</t>
  </si>
  <si>
    <t>57,77</t>
  </si>
  <si>
    <t>58,64</t>
  </si>
  <si>
    <t>58,60</t>
  </si>
  <si>
    <t>124,86</t>
  </si>
  <si>
    <t>248,61</t>
  </si>
  <si>
    <t>52,67</t>
  </si>
  <si>
    <t>144,77</t>
  </si>
  <si>
    <t>175,24</t>
  </si>
  <si>
    <t>202,75</t>
  </si>
  <si>
    <t>56,98</t>
  </si>
  <si>
    <t>75,27</t>
  </si>
  <si>
    <t>108,27</t>
  </si>
  <si>
    <t>128,73</t>
  </si>
  <si>
    <t>155,96</t>
  </si>
  <si>
    <t>191,57</t>
  </si>
  <si>
    <t>254,57</t>
  </si>
  <si>
    <t>330,30</t>
  </si>
  <si>
    <t>444,11</t>
  </si>
  <si>
    <t>54,20</t>
  </si>
  <si>
    <t>531,26</t>
  </si>
  <si>
    <t>75,82</t>
  </si>
  <si>
    <t>98,44</t>
  </si>
  <si>
    <t>117,20</t>
  </si>
  <si>
    <t>147,81</t>
  </si>
  <si>
    <t>178,57</t>
  </si>
  <si>
    <t>234,87</t>
  </si>
  <si>
    <t>73,76</t>
  </si>
  <si>
    <t>173,45</t>
  </si>
  <si>
    <t>215,95</t>
  </si>
  <si>
    <t>282,85</t>
  </si>
  <si>
    <t>70,49</t>
  </si>
  <si>
    <t>97,30</t>
  </si>
  <si>
    <t>130,44</t>
  </si>
  <si>
    <t>2,92</t>
  </si>
  <si>
    <t>20,52</t>
  </si>
  <si>
    <t>22,40</t>
  </si>
  <si>
    <t>29,93</t>
  </si>
  <si>
    <t>545,04</t>
  </si>
  <si>
    <t>96,02</t>
  </si>
  <si>
    <t>180,58</t>
  </si>
  <si>
    <t>272,50</t>
  </si>
  <si>
    <t>340,69</t>
  </si>
  <si>
    <t>3,34</t>
  </si>
  <si>
    <t>40,31</t>
  </si>
  <si>
    <t>8,38</t>
  </si>
  <si>
    <t>14,76</t>
  </si>
  <si>
    <t>74.370,78</t>
  </si>
  <si>
    <t>84.452,56</t>
  </si>
  <si>
    <t>55.762,93</t>
  </si>
  <si>
    <t>67.194,33</t>
  </si>
  <si>
    <t>1.054,04</t>
  </si>
  <si>
    <t>CAIBRO APARELHADO *6 X 8* CM, EM MACARANDUBA/MASSARANDUBA, ANGELIM OU EQUIVALENTE DA REGIAO</t>
  </si>
  <si>
    <t>CAIBRO APARELHADO *7,5 X 7,5* CM, EM MACARANDUBA/MASSARANDUBA, ANGELIM OU EQUIVALENTE DA REGIAO</t>
  </si>
  <si>
    <t>CAIBRO NAO APARELHADO *5 X 6* CM, EM MACARANDUBA/MASSARANDUBA, ANGELIM OU EQUIVALENTE DA REGIAO - BRUTA</t>
  </si>
  <si>
    <t>CAIBRO NAO APARELHADO *6 X 6* CM, EM MACARANDUBA/MASSARANDUBA, ANGELIM OU EQUIVALENTE DA REGIAO - BRUTA</t>
  </si>
  <si>
    <t>CAIBRO NAO APARELHADO, *6 X 8* CM, EM MACARANDUBA/MASSARANDUBA, ANGELIM OU EQUIVALENTE DA REGIAO - BRUTA</t>
  </si>
  <si>
    <t>4.840,82</t>
  </si>
  <si>
    <t>968,16</t>
  </si>
  <si>
    <t>7.295,06</t>
  </si>
  <si>
    <t>1.215,06</t>
  </si>
  <si>
    <t>11.524,37</t>
  </si>
  <si>
    <t>1.800,70</t>
  </si>
  <si>
    <t>451,31</t>
  </si>
  <si>
    <t>2.776,88</t>
  </si>
  <si>
    <t>3.458,32</t>
  </si>
  <si>
    <t>649,78</t>
  </si>
  <si>
    <t>628,40</t>
  </si>
  <si>
    <t>446,25</t>
  </si>
  <si>
    <t>1.030,02</t>
  </si>
  <si>
    <t>1.168,40</t>
  </si>
  <si>
    <t>2.014,25</t>
  </si>
  <si>
    <t>269,87</t>
  </si>
  <si>
    <t>417,43</t>
  </si>
  <si>
    <t>112,38</t>
  </si>
  <si>
    <t>121,51</t>
  </si>
  <si>
    <t>222,77</t>
  </si>
  <si>
    <t>389,85</t>
  </si>
  <si>
    <t>706,79</t>
  </si>
  <si>
    <t>1.265,75</t>
  </si>
  <si>
    <t>187,33</t>
  </si>
  <si>
    <t>344,28</t>
  </si>
  <si>
    <t>437,44</t>
  </si>
  <si>
    <t>96,92</t>
  </si>
  <si>
    <t>161,00</t>
  </si>
  <si>
    <t>311,88</t>
  </si>
  <si>
    <t>648,06</t>
  </si>
  <si>
    <t>1.021,71</t>
  </si>
  <si>
    <t>254,06</t>
  </si>
  <si>
    <t>269,99</t>
  </si>
  <si>
    <t>CAIXA DE DESCARGA PLASTICA PARA BACIA / VASO SANITARIO DE EMBUTIR, COM ESPELHO ACIONADOR EM PLASTICO, CAPACIDADE 6 A 10 LITROS, (COMPLETA - ACESSORIOS INCLUSOS)</t>
  </si>
  <si>
    <t>1.040,49</t>
  </si>
  <si>
    <t>CAIXA DE DESCARGA PLASTICA PARA BACIA / VASO SANITARIO, EXTERNA, CAPACIDADE 9 LITROS, PUXADOR FIO DE NYLON, NAO INCLUSO CANO, BOLSA, ENGATE</t>
  </si>
  <si>
    <t>47,07</t>
  </si>
  <si>
    <t>361,67</t>
  </si>
  <si>
    <t>296,95</t>
  </si>
  <si>
    <t>375,61</t>
  </si>
  <si>
    <t>311,10</t>
  </si>
  <si>
    <t>380,03</t>
  </si>
  <si>
    <t>41,65</t>
  </si>
  <si>
    <t>77,14</t>
  </si>
  <si>
    <t>65,82</t>
  </si>
  <si>
    <t>41,94</t>
  </si>
  <si>
    <t>228,57</t>
  </si>
  <si>
    <t>138,98</t>
  </si>
  <si>
    <t>77,42</t>
  </si>
  <si>
    <t>542,60</t>
  </si>
  <si>
    <t>36,61</t>
  </si>
  <si>
    <t>115,65</t>
  </si>
  <si>
    <t>172,98</t>
  </si>
  <si>
    <t>279,01</t>
  </si>
  <si>
    <t>353,63</t>
  </si>
  <si>
    <t>25,67</t>
  </si>
  <si>
    <t>84,28</t>
  </si>
  <si>
    <t>1.620,70</t>
  </si>
  <si>
    <t>69,77</t>
  </si>
  <si>
    <t>3.165,80</t>
  </si>
  <si>
    <t>256,11</t>
  </si>
  <si>
    <t>382,88</t>
  </si>
  <si>
    <t>770,22</t>
  </si>
  <si>
    <t>479,59</t>
  </si>
  <si>
    <t>3.012,07</t>
  </si>
  <si>
    <t>963,79</t>
  </si>
  <si>
    <t>305,44</t>
  </si>
  <si>
    <t>494,58</t>
  </si>
  <si>
    <t>123,53</t>
  </si>
  <si>
    <t>2.014,71</t>
  </si>
  <si>
    <t>3.380,02</t>
  </si>
  <si>
    <t>4.251,12</t>
  </si>
  <si>
    <t>78,63</t>
  </si>
  <si>
    <t>186,51</t>
  </si>
  <si>
    <t>567,05</t>
  </si>
  <si>
    <t>22,89</t>
  </si>
  <si>
    <t>96,30</t>
  </si>
  <si>
    <t>42,84</t>
  </si>
  <si>
    <t>3.130,20</t>
  </si>
  <si>
    <t>107,95</t>
  </si>
  <si>
    <t>42,36</t>
  </si>
  <si>
    <t>45,99</t>
  </si>
  <si>
    <t>74,62</t>
  </si>
  <si>
    <t>180,37</t>
  </si>
  <si>
    <t>275.290,00</t>
  </si>
  <si>
    <t>176,66</t>
  </si>
  <si>
    <t>5,54</t>
  </si>
  <si>
    <t>3,28</t>
  </si>
  <si>
    <t>83,04</t>
  </si>
  <si>
    <t>10,43</t>
  </si>
  <si>
    <t>CANTONEIRA EM ALUMINIO, ABAS IGUAIS, LARGURA DE 25,40 MM (1"), ESPESSURA DE 3,17 MM (1/8") E PESO LINEAR DE APROXIMADAMENTE 0,408 KG/M</t>
  </si>
  <si>
    <t>33,16</t>
  </si>
  <si>
    <t>CANTONEIRA EM ALUMINIO, ABAS IGUAIS, LARGURA DE 25,40 MM (1"), ESPESSURA DE 4,76 MM (3/16") E PESO LINEAR DE APROXIMADAMENTEO 0,593 KG/M</t>
  </si>
  <si>
    <t>CANTONEIRA EM ALUMINIO, ABAS IGUAIS, LARGURA DE 31,75 MM (1 1/4"), ESPESSURA DE 4,76 MM (3/16") E PESO LINEAR DE APROXIMADAMENTE 0,755 KG/M</t>
  </si>
  <si>
    <t>CANTONEIRA EM ALUMINIO, ABAS IGUAIS, LARGURA DE 38,10 MM (1 1/2"), ESPESSURA DE 4,76 MM (3/16") E PESO LINEAR DE APROXIMADAMENTE 0,915 KG/M</t>
  </si>
  <si>
    <t>CANTONEIRA EM ALUMINIO, ABAS IGUAIS, LARGURA DE 50,80 MM (2") , ESPESSURA DE 3,17 MM (1/8") E PESO LINEAR DE APROXIMADAMENTE 0,842 KG/M</t>
  </si>
  <si>
    <t>CANTONEIRA EM ALUMINIO, ABAS IGUAIS, LARGURA DE 50,80 MM (2"), ESPESSURA DE 6,35 MM (1/4") E PESO LINEAR DE APROXIMADAMENTE 1,630 KG/M</t>
  </si>
  <si>
    <t>49,71</t>
  </si>
  <si>
    <t>70,86</t>
  </si>
  <si>
    <t>118,53</t>
  </si>
  <si>
    <t>14,60</t>
  </si>
  <si>
    <t>320,37</t>
  </si>
  <si>
    <t>73,81</t>
  </si>
  <si>
    <t>129,42</t>
  </si>
  <si>
    <t>116,46</t>
  </si>
  <si>
    <t>165,02</t>
  </si>
  <si>
    <t>202,73</t>
  </si>
  <si>
    <t>207,02</t>
  </si>
  <si>
    <t>63,88</t>
  </si>
  <si>
    <t>108,76</t>
  </si>
  <si>
    <t>3.282,07</t>
  </si>
  <si>
    <t>3.254,32</t>
  </si>
  <si>
    <t>3.879,50</t>
  </si>
  <si>
    <t>272,94</t>
  </si>
  <si>
    <t>17.335,00</t>
  </si>
  <si>
    <t>23.517,41</t>
  </si>
  <si>
    <t>25.456,99</t>
  </si>
  <si>
    <t>27.396,57</t>
  </si>
  <si>
    <t>29.336,15</t>
  </si>
  <si>
    <t>33.457,76</t>
  </si>
  <si>
    <t>8.043,70</t>
  </si>
  <si>
    <t>137,76</t>
  </si>
  <si>
    <t>220,41</t>
  </si>
  <si>
    <t>264,36</t>
  </si>
  <si>
    <t>9.849,98</t>
  </si>
  <si>
    <t>868.129,34</t>
  </si>
  <si>
    <t>744.541,63</t>
  </si>
  <si>
    <t>753.584,52</t>
  </si>
  <si>
    <t>856.675,00</t>
  </si>
  <si>
    <t>1.050.496,86</t>
  </si>
  <si>
    <t>2.606,15</t>
  </si>
  <si>
    <t>6.291,10</t>
  </si>
  <si>
    <t>8.388,14</t>
  </si>
  <si>
    <t>1.461,87</t>
  </si>
  <si>
    <t>3.226,20</t>
  </si>
  <si>
    <t>1.545,39</t>
  </si>
  <si>
    <t>1.030,24</t>
  </si>
  <si>
    <t>14,75</t>
  </si>
  <si>
    <t>CHAPA DE LAMINADO MELAMINICO, LISO BRILHANTE, DE 1,25 X 3,08 METROS, ESPESSURA = 0,8 MILIMETROS</t>
  </si>
  <si>
    <t>CHAPA DE LAMINADO MELAMINICO, LISO FOSCO, DE 1,25 X 3,08 METROS, ESPESSURA = 0,8 MILIMETROS</t>
  </si>
  <si>
    <t>CHAPA DE LAMINADO MELAMINICO, TEXTURIZADO, DE 1,25 X 3,08 METROS, ESPESSURA = 0,8 MILIMETROS</t>
  </si>
  <si>
    <t>44,43</t>
  </si>
  <si>
    <t>80,98</t>
  </si>
  <si>
    <t>42,17</t>
  </si>
  <si>
    <t>57,12</t>
  </si>
  <si>
    <t>31,63</t>
  </si>
  <si>
    <t>38,69</t>
  </si>
  <si>
    <t>67,36</t>
  </si>
  <si>
    <t>101,39</t>
  </si>
  <si>
    <t>153,53</t>
  </si>
  <si>
    <t>119,17</t>
  </si>
  <si>
    <t>77,52</t>
  </si>
  <si>
    <t>96,05</t>
  </si>
  <si>
    <t>111,42</t>
  </si>
  <si>
    <t>160,50</t>
  </si>
  <si>
    <t>56,33</t>
  </si>
  <si>
    <t>64,10</t>
  </si>
  <si>
    <t>97,63</t>
  </si>
  <si>
    <t>CHUMBADOR DE ACO GALVANIZADO, 1" X 600 MM, PARA POSTES DE ACO COM BASE, INCLUSO PORCA E ARRUELA</t>
  </si>
  <si>
    <t>257,16</t>
  </si>
  <si>
    <t>25,39</t>
  </si>
  <si>
    <t>41,12</t>
  </si>
  <si>
    <t>139,85</t>
  </si>
  <si>
    <t>16,12</t>
  </si>
  <si>
    <t>20,17</t>
  </si>
  <si>
    <t>10.699,00</t>
  </si>
  <si>
    <t>8.981,73</t>
  </si>
  <si>
    <t>7.752,89</t>
  </si>
  <si>
    <t>5.993,28</t>
  </si>
  <si>
    <t>105.969,48</t>
  </si>
  <si>
    <t>13.951,58</t>
  </si>
  <si>
    <t>13.257,45</t>
  </si>
  <si>
    <t>110,43</t>
  </si>
  <si>
    <t>136,52</t>
  </si>
  <si>
    <t>164,72</t>
  </si>
  <si>
    <t>187,09</t>
  </si>
  <si>
    <t>222,48</t>
  </si>
  <si>
    <t>60,67</t>
  </si>
  <si>
    <t>70,79</t>
  </si>
  <si>
    <t>29,12</t>
  </si>
  <si>
    <t>1.243,40</t>
  </si>
  <si>
    <t>1.292,06</t>
  </si>
  <si>
    <t>1.306,57</t>
  </si>
  <si>
    <t>1.344,43</t>
  </si>
  <si>
    <t>1.201,59</t>
  </si>
  <si>
    <t>1.225,00</t>
  </si>
  <si>
    <t>1.074,12</t>
  </si>
  <si>
    <t>1.192,95</t>
  </si>
  <si>
    <t>1.105,00</t>
  </si>
  <si>
    <t>1.144,57</t>
  </si>
  <si>
    <t>1.311,67</t>
  </si>
  <si>
    <t>1.330,71</t>
  </si>
  <si>
    <t>1.230,83</t>
  </si>
  <si>
    <t>1.136,14</t>
  </si>
  <si>
    <t>1.179,86</t>
  </si>
  <si>
    <t>1.306,00</t>
  </si>
  <si>
    <t>1.174,02</t>
  </si>
  <si>
    <t>1.245,86</t>
  </si>
  <si>
    <t>1.314,90</t>
  </si>
  <si>
    <t>1.371,06</t>
  </si>
  <si>
    <t>1.211,88</t>
  </si>
  <si>
    <t>1.264,21</t>
  </si>
  <si>
    <t>1.404,77</t>
  </si>
  <si>
    <t>1.500,90</t>
  </si>
  <si>
    <t>1.605,05</t>
  </si>
  <si>
    <t>1.043,35</t>
  </si>
  <si>
    <t>1.060,40</t>
  </si>
  <si>
    <t>178,71</t>
  </si>
  <si>
    <t>35,06</t>
  </si>
  <si>
    <t>97,36</t>
  </si>
  <si>
    <t>162,20</t>
  </si>
  <si>
    <t>42,10</t>
  </si>
  <si>
    <t>194,26</t>
  </si>
  <si>
    <t>140,10</t>
  </si>
  <si>
    <t>192,25</t>
  </si>
  <si>
    <t>103,15</t>
  </si>
  <si>
    <t>30,71</t>
  </si>
  <si>
    <t>16,04</t>
  </si>
  <si>
    <t>47,43</t>
  </si>
  <si>
    <t>115,37</t>
  </si>
  <si>
    <t>86,71</t>
  </si>
  <si>
    <t>91,08</t>
  </si>
  <si>
    <t>109,82</t>
  </si>
  <si>
    <t>202,14</t>
  </si>
  <si>
    <t>46,42</t>
  </si>
  <si>
    <t>61,76</t>
  </si>
  <si>
    <t>CONECTOR, CPVC, SOLDAVEL, 114 MM X 4", PARA AGUA QUENTE</t>
  </si>
  <si>
    <t>1.854,18</t>
  </si>
  <si>
    <t>33,80</t>
  </si>
  <si>
    <t>54,09</t>
  </si>
  <si>
    <t>66,22</t>
  </si>
  <si>
    <t>CONECTOR, CPVC, SOLDAVEL, 54 MM X 2", PARA AGUA QUENTE</t>
  </si>
  <si>
    <t>107,93</t>
  </si>
  <si>
    <t>CONECTOR, CPVC, SOLDAVEL, 73 MM X 2 1/2", PARA AGUA QUENTE</t>
  </si>
  <si>
    <t>416,43</t>
  </si>
  <si>
    <t>CONECTOR, CPVC, SOLDAVEL, 89 MM X 3", PARA AGUA QUENTE</t>
  </si>
  <si>
    <t>604,74</t>
  </si>
  <si>
    <t>138,17</t>
  </si>
  <si>
    <t>90,90</t>
  </si>
  <si>
    <t>CONJUNTO DE LIGACAO AJUSTAVEL, PARA VASO / BACIA SANITARIA , EM PLASTICO BRANCO, COM TUBO, CANOPLA E ESPUDE</t>
  </si>
  <si>
    <t>CONJUNTO DE LIGACAO PARA VASO / BACIA SANITARIA, EM PLASTICO BRANCO, COM TUBO, CANOPLA E ANEL DE EXPANSAO (TUBO 1.1/2" X 20 CM)</t>
  </si>
  <si>
    <t>489,08</t>
  </si>
  <si>
    <t>1.892,45</t>
  </si>
  <si>
    <t>2.830,39</t>
  </si>
  <si>
    <t>197,69</t>
  </si>
  <si>
    <t>6.387,02</t>
  </si>
  <si>
    <t>416,44</t>
  </si>
  <si>
    <t>15.544,49</t>
  </si>
  <si>
    <t>796,02</t>
  </si>
  <si>
    <t>161,22</t>
  </si>
  <si>
    <t>4.883,01</t>
  </si>
  <si>
    <t>7.510,16</t>
  </si>
  <si>
    <t>343,24</t>
  </si>
  <si>
    <t>8.965,50</t>
  </si>
  <si>
    <t>613,88</t>
  </si>
  <si>
    <t>22.037,64</t>
  </si>
  <si>
    <t>1.152,76</t>
  </si>
  <si>
    <t>151,83</t>
  </si>
  <si>
    <t>1.584,07</t>
  </si>
  <si>
    <t>51,73</t>
  </si>
  <si>
    <t>161,40</t>
  </si>
  <si>
    <t>28.084,10</t>
  </si>
  <si>
    <t>623,17</t>
  </si>
  <si>
    <t>37,63</t>
  </si>
  <si>
    <t>15.162,58</t>
  </si>
  <si>
    <t>124.995,10</t>
  </si>
  <si>
    <t>728,37</t>
  </si>
  <si>
    <t>55,61</t>
  </si>
  <si>
    <t>88,28</t>
  </si>
  <si>
    <t>307,39</t>
  </si>
  <si>
    <t>294,77</t>
  </si>
  <si>
    <t>42,21</t>
  </si>
  <si>
    <t>42,20</t>
  </si>
  <si>
    <t>107,17</t>
  </si>
  <si>
    <t>60,53</t>
  </si>
  <si>
    <t>100,30</t>
  </si>
  <si>
    <t>146,64</t>
  </si>
  <si>
    <t>256,95</t>
  </si>
  <si>
    <t>117,76</t>
  </si>
  <si>
    <t>58,12</t>
  </si>
  <si>
    <t>179,11</t>
  </si>
  <si>
    <t>90,30</t>
  </si>
  <si>
    <t>49,62</t>
  </si>
  <si>
    <t>127,37</t>
  </si>
  <si>
    <t>242,22</t>
  </si>
  <si>
    <t>353,43</t>
  </si>
  <si>
    <t>903,35</t>
  </si>
  <si>
    <t>174,95</t>
  </si>
  <si>
    <t>167,94</t>
  </si>
  <si>
    <t>76,26</t>
  </si>
  <si>
    <t>190,54</t>
  </si>
  <si>
    <t>29,36</t>
  </si>
  <si>
    <t>273,47</t>
  </si>
  <si>
    <t>128,13</t>
  </si>
  <si>
    <t>211,99</t>
  </si>
  <si>
    <t>146,84</t>
  </si>
  <si>
    <t>192,82</t>
  </si>
  <si>
    <t>96,66</t>
  </si>
  <si>
    <t>77,71</t>
  </si>
  <si>
    <t>18,70</t>
  </si>
  <si>
    <t>94,39</t>
  </si>
  <si>
    <t>215,72</t>
  </si>
  <si>
    <t>14,13</t>
  </si>
  <si>
    <t>61,52</t>
  </si>
  <si>
    <t>78,81</t>
  </si>
  <si>
    <t>35,69</t>
  </si>
  <si>
    <t>67,34</t>
  </si>
  <si>
    <t>7,85</t>
  </si>
  <si>
    <t>126,66</t>
  </si>
  <si>
    <t>58,85</t>
  </si>
  <si>
    <t>13,77</t>
  </si>
  <si>
    <t>217,53</t>
  </si>
  <si>
    <t>47,49</t>
  </si>
  <si>
    <t>265,46</t>
  </si>
  <si>
    <t>140,49</t>
  </si>
  <si>
    <t>430,77</t>
  </si>
  <si>
    <t>300,96</t>
  </si>
  <si>
    <t>576,46</t>
  </si>
  <si>
    <t>24,99</t>
  </si>
  <si>
    <t>230,73</t>
  </si>
  <si>
    <t>6,59</t>
  </si>
  <si>
    <t>117,55</t>
  </si>
  <si>
    <t>9,01</t>
  </si>
  <si>
    <t>44,25</t>
  </si>
  <si>
    <t>249,43</t>
  </si>
  <si>
    <t>59,82</t>
  </si>
  <si>
    <t>17,89</t>
  </si>
  <si>
    <t>199,03</t>
  </si>
  <si>
    <t>289,46</t>
  </si>
  <si>
    <t>596,74</t>
  </si>
  <si>
    <t>178,16</t>
  </si>
  <si>
    <t>98,82</t>
  </si>
  <si>
    <t>89,73</t>
  </si>
  <si>
    <t>40,19</t>
  </si>
  <si>
    <t>254,88</t>
  </si>
  <si>
    <t>127,58</t>
  </si>
  <si>
    <t>28,32</t>
  </si>
  <si>
    <t>661,54</t>
  </si>
  <si>
    <t>CURVA 90 GRAUS DE BARRA CHATA EM ALUMINIO 3/4" X 1/4" X 300 MM</t>
  </si>
  <si>
    <t>63,26</t>
  </si>
  <si>
    <t>37,61</t>
  </si>
  <si>
    <t>228,08</t>
  </si>
  <si>
    <t>131,43</t>
  </si>
  <si>
    <t>24,93</t>
  </si>
  <si>
    <t>307,87</t>
  </si>
  <si>
    <t>622,11</t>
  </si>
  <si>
    <t>60,78</t>
  </si>
  <si>
    <t>208,38</t>
  </si>
  <si>
    <t>124,03</t>
  </si>
  <si>
    <t>21,86</t>
  </si>
  <si>
    <t>298,02</t>
  </si>
  <si>
    <t>597,48</t>
  </si>
  <si>
    <t>89,61</t>
  </si>
  <si>
    <t>284,13</t>
  </si>
  <si>
    <t>127,14</t>
  </si>
  <si>
    <t>370,05</t>
  </si>
  <si>
    <t>706,48</t>
  </si>
  <si>
    <t>1.767,20</t>
  </si>
  <si>
    <t>273,80</t>
  </si>
  <si>
    <t>139,41</t>
  </si>
  <si>
    <t>576,65</t>
  </si>
  <si>
    <t>41,10</t>
  </si>
  <si>
    <t>163,02</t>
  </si>
  <si>
    <t>16,15</t>
  </si>
  <si>
    <t>19,69</t>
  </si>
  <si>
    <t>27,32</t>
  </si>
  <si>
    <t>3.126,77</t>
  </si>
  <si>
    <t>4.951,76</t>
  </si>
  <si>
    <t>3.572,53</t>
  </si>
  <si>
    <t>3.878,39</t>
  </si>
  <si>
    <t>44,99</t>
  </si>
  <si>
    <t>20,51</t>
  </si>
  <si>
    <t>105,56</t>
  </si>
  <si>
    <t>606,10</t>
  </si>
  <si>
    <t>1.566,79</t>
  </si>
  <si>
    <t>1.232,52</t>
  </si>
  <si>
    <t>1.908,34</t>
  </si>
  <si>
    <t>4.458,49</t>
  </si>
  <si>
    <t>362,62</t>
  </si>
  <si>
    <t>411,38</t>
  </si>
  <si>
    <t>577,33</t>
  </si>
  <si>
    <t>966,82</t>
  </si>
  <si>
    <t>845,62</t>
  </si>
  <si>
    <t>1.566,96</t>
  </si>
  <si>
    <t>1.328,06</t>
  </si>
  <si>
    <t>2.187,30</t>
  </si>
  <si>
    <t>4.676,06</t>
  </si>
  <si>
    <t>54,26</t>
  </si>
  <si>
    <t>66,48</t>
  </si>
  <si>
    <t>65,98</t>
  </si>
  <si>
    <t>101,21</t>
  </si>
  <si>
    <t>32,22</t>
  </si>
  <si>
    <t>20,56</t>
  </si>
  <si>
    <t>82,30</t>
  </si>
  <si>
    <t>101,93</t>
  </si>
  <si>
    <t>181,18</t>
  </si>
  <si>
    <t>73,80</t>
  </si>
  <si>
    <t>90,68</t>
  </si>
  <si>
    <t>108,97</t>
  </si>
  <si>
    <t>189,34</t>
  </si>
  <si>
    <t>122,32</t>
  </si>
  <si>
    <t>130,39</t>
  </si>
  <si>
    <t>147,95</t>
  </si>
  <si>
    <t>278,50</t>
  </si>
  <si>
    <t>136,46</t>
  </si>
  <si>
    <t>140,68</t>
  </si>
  <si>
    <t>165,75</t>
  </si>
  <si>
    <t>342,02</t>
  </si>
  <si>
    <t>290,29</t>
  </si>
  <si>
    <t>145,75</t>
  </si>
  <si>
    <t>148,35</t>
  </si>
  <si>
    <t>270,51</t>
  </si>
  <si>
    <t>165,04</t>
  </si>
  <si>
    <t>303,05</t>
  </si>
  <si>
    <t>335,61</t>
  </si>
  <si>
    <t>166,06</t>
  </si>
  <si>
    <t>166,19</t>
  </si>
  <si>
    <t>181,17</t>
  </si>
  <si>
    <t>338,08</t>
  </si>
  <si>
    <t>543,66</t>
  </si>
  <si>
    <t>206,19</t>
  </si>
  <si>
    <t>241,61</t>
  </si>
  <si>
    <t>232,85</t>
  </si>
  <si>
    <t>539,44</t>
  </si>
  <si>
    <t>1.338,36</t>
  </si>
  <si>
    <t>1.143,22</t>
  </si>
  <si>
    <t>DOBRADEIRA ELETROMECANICA DE VERGALHAO, PARA ACO DE DIAMETRO ATE 1 1/2", MOTOR ELETRICO TRIFASICO, POTENCIA DE 3 HP ATE 5 HP</t>
  </si>
  <si>
    <t>132.474,70</t>
  </si>
  <si>
    <t>2.063,60</t>
  </si>
  <si>
    <t>107,89</t>
  </si>
  <si>
    <t>227,30</t>
  </si>
  <si>
    <t>108,26</t>
  </si>
  <si>
    <t>137.999,90</t>
  </si>
  <si>
    <t>33,87</t>
  </si>
  <si>
    <t>43,87</t>
  </si>
  <si>
    <t>52,04</t>
  </si>
  <si>
    <t>23,80</t>
  </si>
  <si>
    <t>31,55</t>
  </si>
  <si>
    <t>30,10</t>
  </si>
  <si>
    <t>67,08</t>
  </si>
  <si>
    <t>13,78</t>
  </si>
  <si>
    <t>62,65</t>
  </si>
  <si>
    <t>21,50</t>
  </si>
  <si>
    <t>62,90</t>
  </si>
  <si>
    <t>18,30</t>
  </si>
  <si>
    <t>3.970,97</t>
  </si>
  <si>
    <t>68.306,53</t>
  </si>
  <si>
    <t>321.585,81</t>
  </si>
  <si>
    <t>32,27</t>
  </si>
  <si>
    <t>14,88</t>
  </si>
  <si>
    <t>5.548,35</t>
  </si>
  <si>
    <t>110,10</t>
  </si>
  <si>
    <t>19.158,15</t>
  </si>
  <si>
    <t>125,30</t>
  </si>
  <si>
    <t>21.805,91</t>
  </si>
  <si>
    <t>171,31</t>
  </si>
  <si>
    <t>29.808,10</t>
  </si>
  <si>
    <t>111,70</t>
  </si>
  <si>
    <t>19.437,63</t>
  </si>
  <si>
    <t>21.929,49</t>
  </si>
  <si>
    <t>172,72</t>
  </si>
  <si>
    <t>30.052,27</t>
  </si>
  <si>
    <t>159,67</t>
  </si>
  <si>
    <t>27.786,55</t>
  </si>
  <si>
    <t>27.140,69</t>
  </si>
  <si>
    <t>67,62</t>
  </si>
  <si>
    <t>2.640.878,90</t>
  </si>
  <si>
    <t>1.774.128,90</t>
  </si>
  <si>
    <t>508,17</t>
  </si>
  <si>
    <t>1.439,15</t>
  </si>
  <si>
    <t>949.298,95</t>
  </si>
  <si>
    <t>860.216,91</t>
  </si>
  <si>
    <t>900.697,71</t>
  </si>
  <si>
    <t>772.473,73</t>
  </si>
  <si>
    <t>922.962,14</t>
  </si>
  <si>
    <t>708.413,93</t>
  </si>
  <si>
    <t>845.036,61</t>
  </si>
  <si>
    <t>809.615,92</t>
  </si>
  <si>
    <t>913.878,25</t>
  </si>
  <si>
    <t>76,86</t>
  </si>
  <si>
    <t>61,33</t>
  </si>
  <si>
    <t>223,42</t>
  </si>
  <si>
    <t>56,06</t>
  </si>
  <si>
    <t>60,92</t>
  </si>
  <si>
    <t>1.097,50</t>
  </si>
  <si>
    <t>716,66</t>
  </si>
  <si>
    <t>43,38</t>
  </si>
  <si>
    <t>595,95</t>
  </si>
  <si>
    <t>1.080,95</t>
  </si>
  <si>
    <t>1.480,47</t>
  </si>
  <si>
    <t>236,72</t>
  </si>
  <si>
    <t>345,36</t>
  </si>
  <si>
    <t>29,25</t>
  </si>
  <si>
    <t>41,97</t>
  </si>
  <si>
    <t>240,62</t>
  </si>
  <si>
    <t>761,53</t>
  </si>
  <si>
    <t>825,00</t>
  </si>
  <si>
    <t>380,76</t>
  </si>
  <si>
    <t>232,69</t>
  </si>
  <si>
    <t>275,00</t>
  </si>
  <si>
    <t>327,88</t>
  </si>
  <si>
    <t>319,94</t>
  </si>
  <si>
    <t>201,99</t>
  </si>
  <si>
    <t>263,02</t>
  </si>
  <si>
    <t>166,22</t>
  </si>
  <si>
    <t>87,27</t>
  </si>
  <si>
    <t>72,25</t>
  </si>
  <si>
    <t>110,88</t>
  </si>
  <si>
    <t>80,76</t>
  </si>
  <si>
    <t>47,14</t>
  </si>
  <si>
    <t>59,95</t>
  </si>
  <si>
    <t>118,61</t>
  </si>
  <si>
    <t>107,48</t>
  </si>
  <si>
    <t>77,92</t>
  </si>
  <si>
    <t>125,69</t>
  </si>
  <si>
    <t>119,62</t>
  </si>
  <si>
    <t>156,45</t>
  </si>
  <si>
    <t>56,19</t>
  </si>
  <si>
    <t>97,68</t>
  </si>
  <si>
    <t>1.913,63</t>
  </si>
  <si>
    <t>2.903,29</t>
  </si>
  <si>
    <t>4.974,60</t>
  </si>
  <si>
    <t>0,53</t>
  </si>
  <si>
    <t>41,77</t>
  </si>
  <si>
    <t>18,29</t>
  </si>
  <si>
    <t>30,04</t>
  </si>
  <si>
    <t>98,10</t>
  </si>
  <si>
    <t>196,10</t>
  </si>
  <si>
    <t>329,46</t>
  </si>
  <si>
    <t>110,33</t>
  </si>
  <si>
    <t>120,98</t>
  </si>
  <si>
    <t>129,76</t>
  </si>
  <si>
    <t>158,82</t>
  </si>
  <si>
    <t>240,00</t>
  </si>
  <si>
    <t>5.640,73</t>
  </si>
  <si>
    <t>1.723,28</t>
  </si>
  <si>
    <t>3.044,27</t>
  </si>
  <si>
    <t>11.897,80</t>
  </si>
  <si>
    <t>6.599.093,87</t>
  </si>
  <si>
    <t>2.824.973,66</t>
  </si>
  <si>
    <t>39,98</t>
  </si>
  <si>
    <t>22,70</t>
  </si>
  <si>
    <t>24,60</t>
  </si>
  <si>
    <t>54,16</t>
  </si>
  <si>
    <t>590,19</t>
  </si>
  <si>
    <t>1.620,86</t>
  </si>
  <si>
    <t>1.748,65</t>
  </si>
  <si>
    <t>1.923,64</t>
  </si>
  <si>
    <t>155,49</t>
  </si>
  <si>
    <t>168,24</t>
  </si>
  <si>
    <t>184,54</t>
  </si>
  <si>
    <t>557,34</t>
  </si>
  <si>
    <t>741,20</t>
  </si>
  <si>
    <t>1.039,12</t>
  </si>
  <si>
    <t>743,18</t>
  </si>
  <si>
    <t>864,23</t>
  </si>
  <si>
    <t>1.068,90</t>
  </si>
  <si>
    <t>1.374,56</t>
  </si>
  <si>
    <t>1.515,12</t>
  </si>
  <si>
    <t>774,10</t>
  </si>
  <si>
    <t>494,22</t>
  </si>
  <si>
    <t>519,55</t>
  </si>
  <si>
    <t>346,14</t>
  </si>
  <si>
    <t>431,60</t>
  </si>
  <si>
    <t>16,20</t>
  </si>
  <si>
    <t>7.093,57</t>
  </si>
  <si>
    <t>3.365,75</t>
  </si>
  <si>
    <t>1,35</t>
  </si>
  <si>
    <t>1.207,54</t>
  </si>
  <si>
    <t>9,78</t>
  </si>
  <si>
    <t>25,64</t>
  </si>
  <si>
    <t>700.825,00</t>
  </si>
  <si>
    <t>794.006,25</t>
  </si>
  <si>
    <t>1.474.962,50</t>
  </si>
  <si>
    <t>3.830,52</t>
  </si>
  <si>
    <t>175.593,06</t>
  </si>
  <si>
    <t>196.437,23</t>
  </si>
  <si>
    <t>126.839,51</t>
  </si>
  <si>
    <t>148.774,16</t>
  </si>
  <si>
    <t>181.199,30</t>
  </si>
  <si>
    <t>209.809,71</t>
  </si>
  <si>
    <t>112.953,92</t>
  </si>
  <si>
    <t>110.245,47</t>
  </si>
  <si>
    <t>158.425,40</t>
  </si>
  <si>
    <t>102.997,50</t>
  </si>
  <si>
    <t>86.011,13</t>
  </si>
  <si>
    <t>147.432,69</t>
  </si>
  <si>
    <t>131.265,90</t>
  </si>
  <si>
    <t>157.806,76</t>
  </si>
  <si>
    <t>92.762,03</t>
  </si>
  <si>
    <t>300,97</t>
  </si>
  <si>
    <t>264,46</t>
  </si>
  <si>
    <t>301,61</t>
  </si>
  <si>
    <t>2.532,19</t>
  </si>
  <si>
    <t>2.890,77</t>
  </si>
  <si>
    <t>5.033,27</t>
  </si>
  <si>
    <t>1.225.500,25</t>
  </si>
  <si>
    <t>2.356.731,25</t>
  </si>
  <si>
    <t>4.006.443,12</t>
  </si>
  <si>
    <t>245.543,75</t>
  </si>
  <si>
    <t>386.750,00</t>
  </si>
  <si>
    <t>1.432.250,00</t>
  </si>
  <si>
    <t>96.687,50</t>
  </si>
  <si>
    <t>136.000,00</t>
  </si>
  <si>
    <t>317.900,00</t>
  </si>
  <si>
    <t>35,64</t>
  </si>
  <si>
    <t>85,35</t>
  </si>
  <si>
    <t>57,68</t>
  </si>
  <si>
    <t>66,98</t>
  </si>
  <si>
    <t>3,13</t>
  </si>
  <si>
    <t>799,97</t>
  </si>
  <si>
    <t>481,33</t>
  </si>
  <si>
    <t>352,52</t>
  </si>
  <si>
    <t>1.125,38</t>
  </si>
  <si>
    <t>92,20</t>
  </si>
  <si>
    <t>98,97</t>
  </si>
  <si>
    <t>122,02</t>
  </si>
  <si>
    <t>1.816,88</t>
  </si>
  <si>
    <t>2.372,79</t>
  </si>
  <si>
    <t>3.095,78</t>
  </si>
  <si>
    <t>3.307,03</t>
  </si>
  <si>
    <t>36,82</t>
  </si>
  <si>
    <t>21,48</t>
  </si>
  <si>
    <t>37,31</t>
  </si>
  <si>
    <t>19,94</t>
  </si>
  <si>
    <t>21,81</t>
  </si>
  <si>
    <t>900,00</t>
  </si>
  <si>
    <t>96,54</t>
  </si>
  <si>
    <t>509,60</t>
  </si>
  <si>
    <t>867,65</t>
  </si>
  <si>
    <t>124,65</t>
  </si>
  <si>
    <t>179,90</t>
  </si>
  <si>
    <t>171,67</t>
  </si>
  <si>
    <t>325,00</t>
  </si>
  <si>
    <t>185,68</t>
  </si>
  <si>
    <t>993,55</t>
  </si>
  <si>
    <t>597,11</t>
  </si>
  <si>
    <t>332,50</t>
  </si>
  <si>
    <t>428,54</t>
  </si>
  <si>
    <t>518,86</t>
  </si>
  <si>
    <t>563,30</t>
  </si>
  <si>
    <t>309,99</t>
  </si>
  <si>
    <t>392,88</t>
  </si>
  <si>
    <t>241,55</t>
  </si>
  <si>
    <t>606,41</t>
  </si>
  <si>
    <t>1.345,94</t>
  </si>
  <si>
    <t>343,25</t>
  </si>
  <si>
    <t>244,85</t>
  </si>
  <si>
    <t>391,85</t>
  </si>
  <si>
    <t>482,84</t>
  </si>
  <si>
    <t>659,72</t>
  </si>
  <si>
    <t>2.593,29</t>
  </si>
  <si>
    <t>63,21</t>
  </si>
  <si>
    <t>159,73</t>
  </si>
  <si>
    <t>231,09</t>
  </si>
  <si>
    <t>266,92</t>
  </si>
  <si>
    <t>30,25</t>
  </si>
  <si>
    <t>77,28</t>
  </si>
  <si>
    <t>191,48</t>
  </si>
  <si>
    <t>35,59</t>
  </si>
  <si>
    <t>127,97</t>
  </si>
  <si>
    <t>278,90</t>
  </si>
  <si>
    <t>62,57</t>
  </si>
  <si>
    <t>6,38</t>
  </si>
  <si>
    <t>65,94</t>
  </si>
  <si>
    <t>2,24</t>
  </si>
  <si>
    <t>119,93</t>
  </si>
  <si>
    <t>74,41</t>
  </si>
  <si>
    <t>17,40</t>
  </si>
  <si>
    <t>77,57</t>
  </si>
  <si>
    <t>76,63</t>
  </si>
  <si>
    <t>94,58</t>
  </si>
  <si>
    <t>100,31</t>
  </si>
  <si>
    <t>62,81</t>
  </si>
  <si>
    <t>13,72</t>
  </si>
  <si>
    <t>118,01</t>
  </si>
  <si>
    <t>54,52</t>
  </si>
  <si>
    <t>69,76</t>
  </si>
  <si>
    <t>134,56</t>
  </si>
  <si>
    <t>37,18</t>
  </si>
  <si>
    <t>9,92</t>
  </si>
  <si>
    <t>149,06</t>
  </si>
  <si>
    <t>597,88</t>
  </si>
  <si>
    <t>748,55</t>
  </si>
  <si>
    <t>1.038,21</t>
  </si>
  <si>
    <t>1.371,30</t>
  </si>
  <si>
    <t>475,59</t>
  </si>
  <si>
    <t>522,37</t>
  </si>
  <si>
    <t>770,21</t>
  </si>
  <si>
    <t>637,21</t>
  </si>
  <si>
    <t>337,95</t>
  </si>
  <si>
    <t>162,95</t>
  </si>
  <si>
    <t>155,54</t>
  </si>
  <si>
    <t>51,52</t>
  </si>
  <si>
    <t>747,06</t>
  </si>
  <si>
    <t>609,71</t>
  </si>
  <si>
    <t>619,69</t>
  </si>
  <si>
    <t>630,20</t>
  </si>
  <si>
    <t>939,08</t>
  </si>
  <si>
    <t>674,33</t>
  </si>
  <si>
    <t>759,89</t>
  </si>
  <si>
    <t>835,87</t>
  </si>
  <si>
    <t>967,71</t>
  </si>
  <si>
    <t>874,10</t>
  </si>
  <si>
    <t>1.037,96</t>
  </si>
  <si>
    <t>1.132,50</t>
  </si>
  <si>
    <t>1.396,75</t>
  </si>
  <si>
    <t>1.100,94</t>
  </si>
  <si>
    <t>1.163,17</t>
  </si>
  <si>
    <t>1.416,59</t>
  </si>
  <si>
    <t>1.169,75</t>
  </si>
  <si>
    <t>78,53</t>
  </si>
  <si>
    <t>72,90</t>
  </si>
  <si>
    <t>73,33</t>
  </si>
  <si>
    <t>92,95</t>
  </si>
  <si>
    <t>100,00</t>
  </si>
  <si>
    <t>112,40</t>
  </si>
  <si>
    <t>114,34</t>
  </si>
  <si>
    <t>125,96</t>
  </si>
  <si>
    <t>145,34</t>
  </si>
  <si>
    <t>829,45</t>
  </si>
  <si>
    <t>1.413,75</t>
  </si>
  <si>
    <t>150,77</t>
  </si>
  <si>
    <t>176,04</t>
  </si>
  <si>
    <t>67,50</t>
  </si>
  <si>
    <t>199,94</t>
  </si>
  <si>
    <t>57,35</t>
  </si>
  <si>
    <t>60,00</t>
  </si>
  <si>
    <t>42,70</t>
  </si>
  <si>
    <t>49,12</t>
  </si>
  <si>
    <t>96,13</t>
  </si>
  <si>
    <t>2.959,00</t>
  </si>
  <si>
    <t>93,62</t>
  </si>
  <si>
    <t>103,45</t>
  </si>
  <si>
    <t>165,59</t>
  </si>
  <si>
    <t>463,41</t>
  </si>
  <si>
    <t>477,45</t>
  </si>
  <si>
    <t>148,97</t>
  </si>
  <si>
    <t>158,59</t>
  </si>
  <si>
    <t>177,59</t>
  </si>
  <si>
    <t>90,09</t>
  </si>
  <si>
    <t>308,45</t>
  </si>
  <si>
    <t>152,16</t>
  </si>
  <si>
    <t>2.146,87</t>
  </si>
  <si>
    <t>108,25</t>
  </si>
  <si>
    <t>55,03</t>
  </si>
  <si>
    <t>6.841,68</t>
  </si>
  <si>
    <t>1.131,51</t>
  </si>
  <si>
    <t>739,16</t>
  </si>
  <si>
    <t>1.118,75</t>
  </si>
  <si>
    <t>1.016,19</t>
  </si>
  <si>
    <t>895,00</t>
  </si>
  <si>
    <t>699,21</t>
  </si>
  <si>
    <t>LOCACAO DE CRUZETA, SIMPLES, PARA ESCORA METALICA, COMPRIMENTO ENTRE 50 A 60 CM, PARA ESCORA DE 1,80 A 3,20 METROS E TUBO EXTERNO ATE 48 MM DE DIAMETRO</t>
  </si>
  <si>
    <t>30,08</t>
  </si>
  <si>
    <t>642,75</t>
  </si>
  <si>
    <t>714,29</t>
  </si>
  <si>
    <t>829,70</t>
  </si>
  <si>
    <t>1.374,52</t>
  </si>
  <si>
    <t>214,66</t>
  </si>
  <si>
    <t>396,11</t>
  </si>
  <si>
    <t>438,48</t>
  </si>
  <si>
    <t>528,72</t>
  </si>
  <si>
    <t>20,77</t>
  </si>
  <si>
    <t>43,53</t>
  </si>
  <si>
    <t>218,45</t>
  </si>
  <si>
    <t>38,54</t>
  </si>
  <si>
    <t>163,54</t>
  </si>
  <si>
    <t>187,86</t>
  </si>
  <si>
    <t>377,79</t>
  </si>
  <si>
    <t>341,21</t>
  </si>
  <si>
    <t>152,83</t>
  </si>
  <si>
    <t>233,99</t>
  </si>
  <si>
    <t>84,11</t>
  </si>
  <si>
    <t>185,63</t>
  </si>
  <si>
    <t>331,11</t>
  </si>
  <si>
    <t>603,10</t>
  </si>
  <si>
    <t>827,76</t>
  </si>
  <si>
    <t>54,79</t>
  </si>
  <si>
    <t>33,28</t>
  </si>
  <si>
    <t>33,56</t>
  </si>
  <si>
    <t>46,13</t>
  </si>
  <si>
    <t>198,95</t>
  </si>
  <si>
    <t>83,46</t>
  </si>
  <si>
    <t>52,44</t>
  </si>
  <si>
    <t>75,32</t>
  </si>
  <si>
    <t>151,58</t>
  </si>
  <si>
    <t>276,16</t>
  </si>
  <si>
    <t>455,49</t>
  </si>
  <si>
    <t>19,98</t>
  </si>
  <si>
    <t>38,79</t>
  </si>
  <si>
    <t>178,99</t>
  </si>
  <si>
    <t>189,10</t>
  </si>
  <si>
    <t>93,99</t>
  </si>
  <si>
    <t>255,72</t>
  </si>
  <si>
    <t>139,36</t>
  </si>
  <si>
    <t>221,44</t>
  </si>
  <si>
    <t>46,49</t>
  </si>
  <si>
    <t>147,20</t>
  </si>
  <si>
    <t>73,26</t>
  </si>
  <si>
    <t>199,28</t>
  </si>
  <si>
    <t>18,19</t>
  </si>
  <si>
    <t>53,53</t>
  </si>
  <si>
    <t>87,50</t>
  </si>
  <si>
    <t>20,79</t>
  </si>
  <si>
    <t>72,45</t>
  </si>
  <si>
    <t>51,05</t>
  </si>
  <si>
    <t>33,01</t>
  </si>
  <si>
    <t>6,07</t>
  </si>
  <si>
    <t>19,34</t>
  </si>
  <si>
    <t>3.369,01</t>
  </si>
  <si>
    <t>24,21</t>
  </si>
  <si>
    <t>48,90</t>
  </si>
  <si>
    <t>129,73</t>
  </si>
  <si>
    <t>188,99</t>
  </si>
  <si>
    <t>1.315,34</t>
  </si>
  <si>
    <t>29,20</t>
  </si>
  <si>
    <t>480,00</t>
  </si>
  <si>
    <t>591,68</t>
  </si>
  <si>
    <t>736,63</t>
  </si>
  <si>
    <t>786,53</t>
  </si>
  <si>
    <t>710,49</t>
  </si>
  <si>
    <t>847,12</t>
  </si>
  <si>
    <t>855,44</t>
  </si>
  <si>
    <t>1.116,83</t>
  </si>
  <si>
    <t>952,87</t>
  </si>
  <si>
    <t>1.200,00</t>
  </si>
  <si>
    <t>1.459,00</t>
  </si>
  <si>
    <t>1.663,36</t>
  </si>
  <si>
    <t>579.269,27</t>
  </si>
  <si>
    <t>515.000,00</t>
  </si>
  <si>
    <t>114,55</t>
  </si>
  <si>
    <t>181,71</t>
  </si>
  <si>
    <t>20,07</t>
  </si>
  <si>
    <t>36,84</t>
  </si>
  <si>
    <t>38,11</t>
  </si>
  <si>
    <t>68,10</t>
  </si>
  <si>
    <t>31,50</t>
  </si>
  <si>
    <t>28,50</t>
  </si>
  <si>
    <t>41,24</t>
  </si>
  <si>
    <t>19.339,54</t>
  </si>
  <si>
    <t>436,80</t>
  </si>
  <si>
    <t>3.202,96</t>
  </si>
  <si>
    <t>34,31</t>
  </si>
  <si>
    <t>9.336,18</t>
  </si>
  <si>
    <t>17.406,16</t>
  </si>
  <si>
    <t>20.030,04</t>
  </si>
  <si>
    <t>18.918,07</t>
  </si>
  <si>
    <t>21.285,40</t>
  </si>
  <si>
    <t>39.166,60</t>
  </si>
  <si>
    <t>21.904,89</t>
  </si>
  <si>
    <t>21.492,04</t>
  </si>
  <si>
    <t>74,26</t>
  </si>
  <si>
    <t>41,52</t>
  </si>
  <si>
    <t>51,44</t>
  </si>
  <si>
    <t>410,60</t>
  </si>
  <si>
    <t>430,15</t>
  </si>
  <si>
    <t>416,36</t>
  </si>
  <si>
    <t>565,12</t>
  </si>
  <si>
    <t>4.920,82</t>
  </si>
  <si>
    <t>4.874,51</t>
  </si>
  <si>
    <t>3.574,87</t>
  </si>
  <si>
    <t>3.584,63</t>
  </si>
  <si>
    <t>12,00</t>
  </si>
  <si>
    <t>47,60</t>
  </si>
  <si>
    <t>35,02</t>
  </si>
  <si>
    <t>29,50</t>
  </si>
  <si>
    <t>67,35</t>
  </si>
  <si>
    <t>105,51</t>
  </si>
  <si>
    <t>71,62</t>
  </si>
  <si>
    <t>6.889,23</t>
  </si>
  <si>
    <t>20.394,65</t>
  </si>
  <si>
    <t>20,83</t>
  </si>
  <si>
    <t>740,65</t>
  </si>
  <si>
    <t>883,55</t>
  </si>
  <si>
    <t>976,52</t>
  </si>
  <si>
    <t>MICTORIO INDIVIDUAL, SIFONADO, DE LOUCA BRANCA, SEM COMPLEMENTOS</t>
  </si>
  <si>
    <t>346,47</t>
  </si>
  <si>
    <t>854,79</t>
  </si>
  <si>
    <t>15.608,76</t>
  </si>
  <si>
    <t>16.508,89</t>
  </si>
  <si>
    <t>19.643,36</t>
  </si>
  <si>
    <t>549,37</t>
  </si>
  <si>
    <t>242,78</t>
  </si>
  <si>
    <t>297,37</t>
  </si>
  <si>
    <t>78.130,48</t>
  </si>
  <si>
    <t>50,40</t>
  </si>
  <si>
    <t>145,88</t>
  </si>
  <si>
    <t>320,50</t>
  </si>
  <si>
    <t>266,33</t>
  </si>
  <si>
    <t>141,98</t>
  </si>
  <si>
    <t>205,57</t>
  </si>
  <si>
    <t>744,64</t>
  </si>
  <si>
    <t>2.926,87</t>
  </si>
  <si>
    <t>2.961,28</t>
  </si>
  <si>
    <t>3.685,62</t>
  </si>
  <si>
    <t>3.853,97</t>
  </si>
  <si>
    <t>10.297,09</t>
  </si>
  <si>
    <t>5.118,02</t>
  </si>
  <si>
    <t>4.810,33</t>
  </si>
  <si>
    <t>5.931,70</t>
  </si>
  <si>
    <t>4.176,50</t>
  </si>
  <si>
    <t>2.070,99</t>
  </si>
  <si>
    <t>1.706,10</t>
  </si>
  <si>
    <t>1.668,99</t>
  </si>
  <si>
    <t>3.591,47</t>
  </si>
  <si>
    <t>4.298,61</t>
  </si>
  <si>
    <t>11,91</t>
  </si>
  <si>
    <t>2.075,99</t>
  </si>
  <si>
    <t>3.222,03</t>
  </si>
  <si>
    <t>3.114,00</t>
  </si>
  <si>
    <t>97,15</t>
  </si>
  <si>
    <t>94,29</t>
  </si>
  <si>
    <t>27,44</t>
  </si>
  <si>
    <t>8,70</t>
  </si>
  <si>
    <t>287,35</t>
  </si>
  <si>
    <t>689,65</t>
  </si>
  <si>
    <t>212,64</t>
  </si>
  <si>
    <t>436,78</t>
  </si>
  <si>
    <t>431,03</t>
  </si>
  <si>
    <t>87,03</t>
  </si>
  <si>
    <t>140,11</t>
  </si>
  <si>
    <t>309,29</t>
  </si>
  <si>
    <t>513,90</t>
  </si>
  <si>
    <t>74,10</t>
  </si>
  <si>
    <t>135,34</t>
  </si>
  <si>
    <t>119,52</t>
  </si>
  <si>
    <t>56,95</t>
  </si>
  <si>
    <t>38,42</t>
  </si>
  <si>
    <t>93,70</t>
  </si>
  <si>
    <t>2.998,18</t>
  </si>
  <si>
    <t>82.545,86</t>
  </si>
  <si>
    <t>120.491,21</t>
  </si>
  <si>
    <t>145.814,09</t>
  </si>
  <si>
    <t>228.421,05</t>
  </si>
  <si>
    <t>66.002,80</t>
  </si>
  <si>
    <t>3.662,26</t>
  </si>
  <si>
    <t>3.190,19</t>
  </si>
  <si>
    <t>3.078,63</t>
  </si>
  <si>
    <t>3.303,36</t>
  </si>
  <si>
    <t>3.926,39</t>
  </si>
  <si>
    <t>24,72</t>
  </si>
  <si>
    <t>4.301,19</t>
  </si>
  <si>
    <t>2.961,26</t>
  </si>
  <si>
    <t>22,12</t>
  </si>
  <si>
    <t>3.851,43</t>
  </si>
  <si>
    <t>3.850,53</t>
  </si>
  <si>
    <t>2.755,64</t>
  </si>
  <si>
    <t>2.961,30</t>
  </si>
  <si>
    <t>3.993,31</t>
  </si>
  <si>
    <t>4.899,07</t>
  </si>
  <si>
    <t>3.716,40</t>
  </si>
  <si>
    <t>4.122,70</t>
  </si>
  <si>
    <t>23,68</t>
  </si>
  <si>
    <t>3.045,17</t>
  </si>
  <si>
    <t>3.281,62</t>
  </si>
  <si>
    <t>3.540,45</t>
  </si>
  <si>
    <t>559.440,00</t>
  </si>
  <si>
    <t>630.000,00</t>
  </si>
  <si>
    <t>873.599,95</t>
  </si>
  <si>
    <t>994.559,95</t>
  </si>
  <si>
    <t>580.439,97</t>
  </si>
  <si>
    <t>59,74</t>
  </si>
  <si>
    <t>46,39</t>
  </si>
  <si>
    <t>137,95</t>
  </si>
  <si>
    <t>156,09</t>
  </si>
  <si>
    <t>235,51</t>
  </si>
  <si>
    <t>223,23</t>
  </si>
  <si>
    <t>60,52</t>
  </si>
  <si>
    <t>4.841,38</t>
  </si>
  <si>
    <t>194,84</t>
  </si>
  <si>
    <t>353,76</t>
  </si>
  <si>
    <t>4,38</t>
  </si>
  <si>
    <t>PARAFUSO, AUTO ATARRACHANTE, CABECA CHATA, FENDA SIMPLES, 1/4" (6,35 MM) X 25 MM</t>
  </si>
  <si>
    <t>54,11</t>
  </si>
  <si>
    <t>214,19</t>
  </si>
  <si>
    <t>7.254,49</t>
  </si>
  <si>
    <t>284,17</t>
  </si>
  <si>
    <t>183,02</t>
  </si>
  <si>
    <t>309,12</t>
  </si>
  <si>
    <t>3.747,50</t>
  </si>
  <si>
    <t>33,30</t>
  </si>
  <si>
    <t>339,00</t>
  </si>
  <si>
    <t>907,87</t>
  </si>
  <si>
    <t>2.039,85</t>
  </si>
  <si>
    <t>3.199,79</t>
  </si>
  <si>
    <t>238,05</t>
  </si>
  <si>
    <t>272,76</t>
  </si>
  <si>
    <t>236,26</t>
  </si>
  <si>
    <t>237,50</t>
  </si>
  <si>
    <t>223,17</t>
  </si>
  <si>
    <t>221,24</t>
  </si>
  <si>
    <t>202,50</t>
  </si>
  <si>
    <t>218,21</t>
  </si>
  <si>
    <t>222,07</t>
  </si>
  <si>
    <t>256,23</t>
  </si>
  <si>
    <t>165,86</t>
  </si>
  <si>
    <t>177,12</t>
  </si>
  <si>
    <t>190,44</t>
  </si>
  <si>
    <t>263,61</t>
  </si>
  <si>
    <t>18.277,64</t>
  </si>
  <si>
    <t>313,77</t>
  </si>
  <si>
    <t>141,82</t>
  </si>
  <si>
    <t>PERFIL EM ALUMINIO, FORMATO U, ABAS IGUAIS, LARGURA DE 25,4 MM (1"), ESPESSURA DE 2,38 MM (3/32") E PESO LINEAR DE APROXIMADAMENTE 0,460 KG/M</t>
  </si>
  <si>
    <t>35,55</t>
  </si>
  <si>
    <t>8,57</t>
  </si>
  <si>
    <t>25,10</t>
  </si>
  <si>
    <t>14,61</t>
  </si>
  <si>
    <t>3.973.509,68</t>
  </si>
  <si>
    <t>6.178.647,77</t>
  </si>
  <si>
    <t>1.512.703,46</t>
  </si>
  <si>
    <t>62.872,02</t>
  </si>
  <si>
    <t>9.060,50</t>
  </si>
  <si>
    <t>28.363,31</t>
  </si>
  <si>
    <t>15.512,30</t>
  </si>
  <si>
    <t>829.856,31</t>
  </si>
  <si>
    <t>865.840,34</t>
  </si>
  <si>
    <t>100.870,38</t>
  </si>
  <si>
    <t>PILAR QUADRADO NAO APARELHADO *10 X 10* CM, EM MACARANDUBA/MASSARANDUBA, ANGELIM OU EQUIVALENTE DA REGIAO - BRUTA</t>
  </si>
  <si>
    <t>42,82</t>
  </si>
  <si>
    <t>PILAR QUADRADO NAO APARELHADO *15 X 15* CM, EM MACARANDUBA/MASSARANDUBA, ANGELIM OU EQUIVALENTE DA REGIAO - BRUTA</t>
  </si>
  <si>
    <t>90,88</t>
  </si>
  <si>
    <t>PILAR QUADRADO NAO APARELHADO *20 X 20* CM, EM MACARANDUBA/MASSARANDUBA, ANGELIM OU EQUIVALENTE DA REGIAO - BRUTA</t>
  </si>
  <si>
    <t>158,13</t>
  </si>
  <si>
    <t>30,66</t>
  </si>
  <si>
    <t>3.355,98</t>
  </si>
  <si>
    <t>435,61</t>
  </si>
  <si>
    <t>264,59</t>
  </si>
  <si>
    <t>424,05</t>
  </si>
  <si>
    <t>354,65</t>
  </si>
  <si>
    <t>49,90</t>
  </si>
  <si>
    <t>800,00</t>
  </si>
  <si>
    <t>603,77</t>
  </si>
  <si>
    <t>771,48</t>
  </si>
  <si>
    <t>872,11</t>
  </si>
  <si>
    <t>135,58</t>
  </si>
  <si>
    <t>213,02</t>
  </si>
  <si>
    <t>25,22</t>
  </si>
  <si>
    <t>160,12</t>
  </si>
  <si>
    <t>290,81</t>
  </si>
  <si>
    <t>277,01</t>
  </si>
  <si>
    <t>720,04</t>
  </si>
  <si>
    <t>641,09</t>
  </si>
  <si>
    <t>637,31</t>
  </si>
  <si>
    <t>729,67</t>
  </si>
  <si>
    <t>750,00</t>
  </si>
  <si>
    <t>48,49</t>
  </si>
  <si>
    <t>31,51</t>
  </si>
  <si>
    <t>34,07</t>
  </si>
  <si>
    <t>43,94</t>
  </si>
  <si>
    <t>51,38</t>
  </si>
  <si>
    <t>43,39</t>
  </si>
  <si>
    <t>25,49</t>
  </si>
  <si>
    <t>41,09</t>
  </si>
  <si>
    <t>PLACA ORIENTATIVA SOBRE EXERCICIOS, 2,00 M X 1,00 M ( CHAPA GALVANIZADA #20), ESTRUTURA EM TUBOS REDONDOS DE ACO CARBONO, PINTURA NO PROCESSO ELETROSTATICO, ADESIVO FRENTE E VERSO - PARA ACADEMIA AO AR LIVRE / ACADEMIA DA TERCEIRA IDADE - ATI</t>
  </si>
  <si>
    <t>204,49</t>
  </si>
  <si>
    <t>122,95</t>
  </si>
  <si>
    <t>165,55</t>
  </si>
  <si>
    <t>41,46</t>
  </si>
  <si>
    <t>58,05</t>
  </si>
  <si>
    <t>55,63</t>
  </si>
  <si>
    <t>3.168,16</t>
  </si>
  <si>
    <t>6.621,59</t>
  </si>
  <si>
    <t>74,49</t>
  </si>
  <si>
    <t>573,10</t>
  </si>
  <si>
    <t>170,33</t>
  </si>
  <si>
    <t>12,17</t>
  </si>
  <si>
    <t>2,95</t>
  </si>
  <si>
    <t>1.509,43</t>
  </si>
  <si>
    <t>394,83</t>
  </si>
  <si>
    <t>370,33</t>
  </si>
  <si>
    <t>292,05</t>
  </si>
  <si>
    <t>329,84</t>
  </si>
  <si>
    <t>322,20</t>
  </si>
  <si>
    <t>368,62</t>
  </si>
  <si>
    <t>639,34</t>
  </si>
  <si>
    <t>679,78</t>
  </si>
  <si>
    <t>608,90</t>
  </si>
  <si>
    <t>755,08</t>
  </si>
  <si>
    <t>612,24</t>
  </si>
  <si>
    <t>422,82</t>
  </si>
  <si>
    <t>774,26</t>
  </si>
  <si>
    <t>392,20</t>
  </si>
  <si>
    <t>393,40</t>
  </si>
  <si>
    <t>639,27</t>
  </si>
  <si>
    <t>802,85</t>
  </si>
  <si>
    <t>299,28</t>
  </si>
  <si>
    <t>202,03</t>
  </si>
  <si>
    <t>494,33</t>
  </si>
  <si>
    <t>410,55</t>
  </si>
  <si>
    <t>285,73</t>
  </si>
  <si>
    <t>223,36</t>
  </si>
  <si>
    <t>231,79</t>
  </si>
  <si>
    <t>246,40</t>
  </si>
  <si>
    <t>289,43</t>
  </si>
  <si>
    <t>268,68</t>
  </si>
  <si>
    <t>243,96</t>
  </si>
  <si>
    <t>257,21</t>
  </si>
  <si>
    <t>246,12</t>
  </si>
  <si>
    <t>268,40</t>
  </si>
  <si>
    <t>356,87</t>
  </si>
  <si>
    <t>501,13</t>
  </si>
  <si>
    <t>554,16</t>
  </si>
  <si>
    <t>583,23</t>
  </si>
  <si>
    <t>628,52</t>
  </si>
  <si>
    <t>567,70</t>
  </si>
  <si>
    <t>1.200,27</t>
  </si>
  <si>
    <t>644,63</t>
  </si>
  <si>
    <t>703,51</t>
  </si>
  <si>
    <t>612,07</t>
  </si>
  <si>
    <t>570,84</t>
  </si>
  <si>
    <t>748,43</t>
  </si>
  <si>
    <t>2.142,96</t>
  </si>
  <si>
    <t>2.960,38</t>
  </si>
  <si>
    <t>3.403,73</t>
  </si>
  <si>
    <t>7.651,54</t>
  </si>
  <si>
    <t>10.130,39</t>
  </si>
  <si>
    <t>14.532,89</t>
  </si>
  <si>
    <t>18.144,61</t>
  </si>
  <si>
    <t>27.626,27</t>
  </si>
  <si>
    <t>10.245,07</t>
  </si>
  <si>
    <t>14.357,27</t>
  </si>
  <si>
    <t>19.254,29</t>
  </si>
  <si>
    <t>24.621,95</t>
  </si>
  <si>
    <t>5.221,94</t>
  </si>
  <si>
    <t>31.654,09</t>
  </si>
  <si>
    <t>11.008,18</t>
  </si>
  <si>
    <t>16.880,64</t>
  </si>
  <si>
    <t>17.597,94</t>
  </si>
  <si>
    <t>28.754,44</t>
  </si>
  <si>
    <t>34.310,57</t>
  </si>
  <si>
    <t>1.846,26</t>
  </si>
  <si>
    <t>2.207,90</t>
  </si>
  <si>
    <t>4.480,75</t>
  </si>
  <si>
    <t>1.439,84</t>
  </si>
  <si>
    <t>1.949,27</t>
  </si>
  <si>
    <t>2.802,43</t>
  </si>
  <si>
    <t>5.192,83</t>
  </si>
  <si>
    <t>1.515,30</t>
  </si>
  <si>
    <t>6.846,52</t>
  </si>
  <si>
    <t>1.591,08</t>
  </si>
  <si>
    <t>9.216,78</t>
  </si>
  <si>
    <t>2.427,35</t>
  </si>
  <si>
    <t>3.431,66</t>
  </si>
  <si>
    <t>5.732,49</t>
  </si>
  <si>
    <t>2.006,71</t>
  </si>
  <si>
    <t>8.077,00</t>
  </si>
  <si>
    <t>2.719,57</t>
  </si>
  <si>
    <t>16.741,63</t>
  </si>
  <si>
    <t>3.741,79</t>
  </si>
  <si>
    <t>7.008,87</t>
  </si>
  <si>
    <t>11.237,71</t>
  </si>
  <si>
    <t>15.070,11</t>
  </si>
  <si>
    <t>3.177,50</t>
  </si>
  <si>
    <t>4.784,17</t>
  </si>
  <si>
    <t>13.852,62</t>
  </si>
  <si>
    <t>19.823,27</t>
  </si>
  <si>
    <t>1.018,86</t>
  </si>
  <si>
    <t>3.981,46</t>
  </si>
  <si>
    <t>1.262,94</t>
  </si>
  <si>
    <t>1.658,17</t>
  </si>
  <si>
    <t>2.463,00</t>
  </si>
  <si>
    <t>1.526,00</t>
  </si>
  <si>
    <t>2.130,38</t>
  </si>
  <si>
    <t>2.971,71</t>
  </si>
  <si>
    <t>4.051,78</t>
  </si>
  <si>
    <t>419,32</t>
  </si>
  <si>
    <t>PRANCHA APARELHADA *4 X 30* CM, EM MACARANDUBA/MASSARANDUBA, ANGELIM OU EQUIVALENTE DA REGIAO</t>
  </si>
  <si>
    <t>PRANCHA NAO APARELHADA *6 X 25* CM, EM MACARANDUBA/MASSARANDUBA, ANGELIM OU EQUIVALENTE DA REGIAO - BRUTA</t>
  </si>
  <si>
    <t>PRANCHA NAO APARELHADA *6 X 30* CM, EM MACARANDUBA/MASSARANDUBA, ANGELIM OU EQUIVALENTE DA REGIAO - BRUTA</t>
  </si>
  <si>
    <t>PRANCHA NAO APARELHADA *6 X 40* CM, EM MACARANDUBA/MASSARANDUBA, ANGELIM OU EQUIVALENTE DA REGIAO - BRUTA</t>
  </si>
  <si>
    <t>103,13</t>
  </si>
  <si>
    <t>PRANCHAO APARELHADO *7,5 X 23* CM, EM MACARANDUBA/MASSARANDUBA, ANGELIM OU EQUIVALENTE DA REGIAO</t>
  </si>
  <si>
    <t>68,75</t>
  </si>
  <si>
    <t>PRANCHAO APARELHADO *8 X 30* CM, EM MACARANDUBA/MASSARANDUBA, ANGELIM OU EQUIVALENTE DA REGIAO</t>
  </si>
  <si>
    <t>92,81</t>
  </si>
  <si>
    <t>PRANCHAO NAO APARELHADO *7,5 X 23* CM, EM MACARANDUBA/MASSARANDUBA, ANGELIM OU EQUIVALENTE DA REGIAO - BRUTA</t>
  </si>
  <si>
    <t>PRANCHAO NAO APARELHADO *8 X 30* CM, EM MACARANDUBA/MASSARANDUBA, ANGELIM OU EQUIVALENTE DA REGIAO - BRUTA</t>
  </si>
  <si>
    <t>669,77</t>
  </si>
  <si>
    <t>103,50</t>
  </si>
  <si>
    <t>31,54</t>
  </si>
  <si>
    <t>101.559,92</t>
  </si>
  <si>
    <t>134.617,17</t>
  </si>
  <si>
    <t>807,57</t>
  </si>
  <si>
    <t>59,66</t>
  </si>
  <si>
    <t>248,20</t>
  </si>
  <si>
    <t>81,43</t>
  </si>
  <si>
    <t>408,19</t>
  </si>
  <si>
    <t>572,03</t>
  </si>
  <si>
    <t>601,14</t>
  </si>
  <si>
    <t>844,27</t>
  </si>
  <si>
    <t>689,40</t>
  </si>
  <si>
    <t>1.455,55</t>
  </si>
  <si>
    <t>692,88</t>
  </si>
  <si>
    <t>1.011,58</t>
  </si>
  <si>
    <t>1.183,93</t>
  </si>
  <si>
    <t>1.180,03</t>
  </si>
  <si>
    <t>423,70</t>
  </si>
  <si>
    <t>529,43</t>
  </si>
  <si>
    <t>489,56</t>
  </si>
  <si>
    <t>713,46</t>
  </si>
  <si>
    <t>881,13</t>
  </si>
  <si>
    <t>1.059,14</t>
  </si>
  <si>
    <t>143,12</t>
  </si>
  <si>
    <t>265,16</t>
  </si>
  <si>
    <t>574,66</t>
  </si>
  <si>
    <t>449,26</t>
  </si>
  <si>
    <t>84,04</t>
  </si>
  <si>
    <t>87,04</t>
  </si>
  <si>
    <t>136,64</t>
  </si>
  <si>
    <t>234,38</t>
  </si>
  <si>
    <t>58,37</t>
  </si>
  <si>
    <t>123,26</t>
  </si>
  <si>
    <t>180,67</t>
  </si>
  <si>
    <t>252,04</t>
  </si>
  <si>
    <t>1.355,75</t>
  </si>
  <si>
    <t>2.758,72</t>
  </si>
  <si>
    <t>135,26</t>
  </si>
  <si>
    <t>REBITE DE REPUXO EM ALUMINIO VAZADO, DIAMETRO 3,2 X 8 MM DE COMPRIMENTO (1KG = 1025 UNIDADES)</t>
  </si>
  <si>
    <t>60,50</t>
  </si>
  <si>
    <t>48,32</t>
  </si>
  <si>
    <t>5.734.191,18</t>
  </si>
  <si>
    <t>111,71</t>
  </si>
  <si>
    <t>47,09</t>
  </si>
  <si>
    <t>15,46</t>
  </si>
  <si>
    <t>31,60</t>
  </si>
  <si>
    <t>79,95</t>
  </si>
  <si>
    <t>83,44</t>
  </si>
  <si>
    <t>173,04</t>
  </si>
  <si>
    <t>436,52</t>
  </si>
  <si>
    <t>91,58</t>
  </si>
  <si>
    <t>53,81</t>
  </si>
  <si>
    <t>25,70</t>
  </si>
  <si>
    <t>50,75</t>
  </si>
  <si>
    <t>6.038,89</t>
  </si>
  <si>
    <t>13.078,97</t>
  </si>
  <si>
    <t>164,12</t>
  </si>
  <si>
    <t>129,04</t>
  </si>
  <si>
    <t>368.780,48</t>
  </si>
  <si>
    <t>400.000,00</t>
  </si>
  <si>
    <t>414.634,12</t>
  </si>
  <si>
    <t>63,93</t>
  </si>
  <si>
    <t>46,25</t>
  </si>
  <si>
    <t>116,13</t>
  </si>
  <si>
    <t>RIPA APARELHADA *1,5 X 5* CM, EM MACARANDUBA/MASSARANDUBA, ANGELIM OU EQUIVALENTE DA REGIAO</t>
  </si>
  <si>
    <t>RIPA NAO APARELHADA *1 X 3* CM, EM MACARANDUBA/MASSARANDUBA, ANGELIM OU EQUIVALENTE DA REGIAO - BRUTA</t>
  </si>
  <si>
    <t>RIPA NAO APARELHADA, *1,5 X 5* CM, EM MACARANDUBA/MASSARANDUBA, ANGELIM OU EQUIVALENTE DA REGIAO - BRUTA</t>
  </si>
  <si>
    <t>89,29</t>
  </si>
  <si>
    <t>119,07</t>
  </si>
  <si>
    <t>29,85</t>
  </si>
  <si>
    <t>53,27</t>
  </si>
  <si>
    <t>24.258,80</t>
  </si>
  <si>
    <t>30,62</t>
  </si>
  <si>
    <t>80,53</t>
  </si>
  <si>
    <t>78,84</t>
  </si>
  <si>
    <t>SARRAFO APARELHADO *2 X 10* CM, EM MACARANDUBA/MASSARANDUBA, ANGELIM OU EQUIVALENTE DA REGIAO</t>
  </si>
  <si>
    <t>SARRAFO NAO APARELHADO *2,5 X 10* CM, EM MACARANDUBA/MASSARANDUBA, ANGELIM OU EQUIVALENTE DA REGIAO - BRUTA</t>
  </si>
  <si>
    <t>SARRAFO NAO APARELHADO *2,5 X 5* CM, EM MACARANDUBA/MASSARANDUBA, ANGELIM, PEROBA-ROSA OU EQUIVALENTE DA REGIAO - BRUTA</t>
  </si>
  <si>
    <t>4,25</t>
  </si>
  <si>
    <t>SARRAFO NAO APARELHADO *2,5 X 7* CM, EM MACARANDUBA/MASSARANDUBA, ANGELIM, PEROBA-ROSA OU EQUIVALENTE DA REGIAO - BRUTA</t>
  </si>
  <si>
    <t>776,64</t>
  </si>
  <si>
    <t>579,41</t>
  </si>
  <si>
    <t>87,51</t>
  </si>
  <si>
    <t>41,29</t>
  </si>
  <si>
    <t>187,56</t>
  </si>
  <si>
    <t>216.505,66</t>
  </si>
  <si>
    <t>254.569,93</t>
  </si>
  <si>
    <t>196.867,41</t>
  </si>
  <si>
    <t>1.651,44</t>
  </si>
  <si>
    <t>6.653,52</t>
  </si>
  <si>
    <t>113,61</t>
  </si>
  <si>
    <t>187,26</t>
  </si>
  <si>
    <t>189,55</t>
  </si>
  <si>
    <t>149,00</t>
  </si>
  <si>
    <t>157,80</t>
  </si>
  <si>
    <t>27,28</t>
  </si>
  <si>
    <t>46,14</t>
  </si>
  <si>
    <t>146,48</t>
  </si>
  <si>
    <t>231,97</t>
  </si>
  <si>
    <t>267,66</t>
  </si>
  <si>
    <t>4.061,20</t>
  </si>
  <si>
    <t>168,55</t>
  </si>
  <si>
    <t>72,98</t>
  </si>
  <si>
    <t>87,43</t>
  </si>
  <si>
    <t>39,55</t>
  </si>
  <si>
    <t>38,50</t>
  </si>
  <si>
    <t>26,82</t>
  </si>
  <si>
    <t>131,88</t>
  </si>
  <si>
    <t>21,92</t>
  </si>
  <si>
    <t>TABUA APARELHADA *2,5 X 15* CM, EM MACARANDUBA/MASSARANDUBA, ANGELIM OU EQUIVALENTE DA REGIAO</t>
  </si>
  <si>
    <t>102,75</t>
  </si>
  <si>
    <t>TABUA APARELHADA *2,5 X 25* CM, EM MACARANDUBA/MASSARANDUBA, ANGELIM OU EQUIVALENTE DA REGIAO</t>
  </si>
  <si>
    <t>TABUA APARELHADA *2,5 X 30* CM, EM MACARANDUBA/MASSARANDUBA, ANGELIM OU EQUIVALENTE DA REGIAO</t>
  </si>
  <si>
    <t>26,10</t>
  </si>
  <si>
    <t>120,97</t>
  </si>
  <si>
    <t>TABUA NAO APARELHADA *2,5 X 15* CM, EM MACARANDUBA/MASSARANDUBA, ANGELIM OU EQUIVALENTE DA REGIAO - BRUTA</t>
  </si>
  <si>
    <t>13,06</t>
  </si>
  <si>
    <t>TABUA NAO APARELHADA *2,5 X 20* CM, EM MACARANDUBA/MASSARANDUBA, ANGELIM OU EQUIVALENTE DA REGIAO - BRUTA</t>
  </si>
  <si>
    <t>TABUA NAO APARELHADA *2,5 X 30* CM, EM MACARANDUBA/MASSARANDUBA, ANGELIM OU EQUIVALENTE DA REGIAO - BRUTA</t>
  </si>
  <si>
    <t>195,27</t>
  </si>
  <si>
    <t>11.222,98</t>
  </si>
  <si>
    <t>812,02</t>
  </si>
  <si>
    <t>1.184,35</t>
  </si>
  <si>
    <t>1.953,31</t>
  </si>
  <si>
    <t>159,99</t>
  </si>
  <si>
    <t>247,27</t>
  </si>
  <si>
    <t>369,46</t>
  </si>
  <si>
    <t>734,64</t>
  </si>
  <si>
    <t>1.352,43</t>
  </si>
  <si>
    <t>2.375,57</t>
  </si>
  <si>
    <t>337,19</t>
  </si>
  <si>
    <t>518,45</t>
  </si>
  <si>
    <t>972,10</t>
  </si>
  <si>
    <t>1.495,61</t>
  </si>
  <si>
    <t>61,07</t>
  </si>
  <si>
    <t>81,92</t>
  </si>
  <si>
    <t>TAMPAO FOFO SIMPLES COM BASE / REQUADRO, CLASSE A15 CARGA MAX. 1,5 T, 300 X 300 MM (COM INSCRICAO EM RELEVO DO TIPO DE REDE)</t>
  </si>
  <si>
    <t>TAMPAO FOFO SIMPLES COM BASE / REQUADRO, CLASSE A15 CARGA MAX. 1,5 T, 400 X 400 MM (COM INSCRICAO EM RELEVO DO TIPO DE REDE)</t>
  </si>
  <si>
    <t>TAMPAO FOFO SIMPLES COM BASE / REQUADRO, CLASSE A15 CARGA MAX. 1,5 T, 400 X 600 MM (COM INSCRICAO EM RELEVO DO TIPO DE REDE)</t>
  </si>
  <si>
    <t>TAMPAO FOFO SIMPLES COM BASE / REQUADRO, CLASSE B125 CARGA MAX. 12,5 T, REDONDO, TAMPA 500 MM (COM INSCRICAO EM RELEVO DO TIPO DE REDE)</t>
  </si>
  <si>
    <t>TAMPAO FOFO SIMPLES COM BASE / REQUADRO, CLASSE B125 CARGA MAX. 12,5 T, REDONDO, TAMPA 600 MM (COM INSCRICAO EM RELEVO DO TIPO DE REDE)</t>
  </si>
  <si>
    <t>TAMPAO FOFO SIMPLES COM BASE / REQUADRO, CLASSE D400 CARGA MAX. 40 T, REDONDO, TAMPA 600 MM, REDE PLUVIAL/ESGOTO (COM INSCRICAO EM RELEVO DO TIPO DE REDE)</t>
  </si>
  <si>
    <t>TAMPAO FOFO SIMPLES COM BASE / REQUADRO, CLASSE D400 CARGA MAX. 40 T, REDONDO, TAMPA 900 MM (COM INSCRICAO EM RELEVO DO TIPO DE REDE)</t>
  </si>
  <si>
    <t>TAMPAO FOFO SIMPLES COM BASE / REQUADRO, R-2, CLASSE A15 CARGA MAX. 1,5 T, 550 X 1100 MM (COM INSCRICAO EM RELEVO DO TIPO DE REDE)</t>
  </si>
  <si>
    <t>530,30</t>
  </si>
  <si>
    <t>519,11</t>
  </si>
  <si>
    <t>381,15</t>
  </si>
  <si>
    <t>388,55</t>
  </si>
  <si>
    <t>476,08</t>
  </si>
  <si>
    <t>252,90</t>
  </si>
  <si>
    <t>320,06</t>
  </si>
  <si>
    <t>20,05</t>
  </si>
  <si>
    <t>322,70</t>
  </si>
  <si>
    <t>44,05</t>
  </si>
  <si>
    <t>56,59</t>
  </si>
  <si>
    <t>94,50</t>
  </si>
  <si>
    <t>258,36</t>
  </si>
  <si>
    <t>1.285,23</t>
  </si>
  <si>
    <t>375,71</t>
  </si>
  <si>
    <t>125,26</t>
  </si>
  <si>
    <t>65,97</t>
  </si>
  <si>
    <t>167,77</t>
  </si>
  <si>
    <t>309,30</t>
  </si>
  <si>
    <t>441,82</t>
  </si>
  <si>
    <t>1.035,57</t>
  </si>
  <si>
    <t>230,92</t>
  </si>
  <si>
    <t>48,93</t>
  </si>
  <si>
    <t>37,05</t>
  </si>
  <si>
    <t>135,39</t>
  </si>
  <si>
    <t>139,32</t>
  </si>
  <si>
    <t>194,74</t>
  </si>
  <si>
    <t>368,73</t>
  </si>
  <si>
    <t>32,58</t>
  </si>
  <si>
    <t>124,46</t>
  </si>
  <si>
    <t>167,31</t>
  </si>
  <si>
    <t>52,50</t>
  </si>
  <si>
    <t>68,43</t>
  </si>
  <si>
    <t>241,08</t>
  </si>
  <si>
    <t>39,34</t>
  </si>
  <si>
    <t>84,39</t>
  </si>
  <si>
    <t>113,25</t>
  </si>
  <si>
    <t>197,02</t>
  </si>
  <si>
    <t>67,48</t>
  </si>
  <si>
    <t>91,76</t>
  </si>
  <si>
    <t>11,33</t>
  </si>
  <si>
    <t>69,67</t>
  </si>
  <si>
    <t>43,23</t>
  </si>
  <si>
    <t>256,64</t>
  </si>
  <si>
    <t>137,75</t>
  </si>
  <si>
    <t>405,67</t>
  </si>
  <si>
    <t>650,31</t>
  </si>
  <si>
    <t>132,28</t>
  </si>
  <si>
    <t>101,52</t>
  </si>
  <si>
    <t>66,09</t>
  </si>
  <si>
    <t>424,39</t>
  </si>
  <si>
    <t>694,30</t>
  </si>
  <si>
    <t>185,35</t>
  </si>
  <si>
    <t>40,01</t>
  </si>
  <si>
    <t>87,48</t>
  </si>
  <si>
    <t>52,80</t>
  </si>
  <si>
    <t>87,15</t>
  </si>
  <si>
    <t>116,69</t>
  </si>
  <si>
    <t>207,12</t>
  </si>
  <si>
    <t>4.125,66</t>
  </si>
  <si>
    <t>3.573,60</t>
  </si>
  <si>
    <t>4.021,14</t>
  </si>
  <si>
    <t>4.459,58</t>
  </si>
  <si>
    <t>84,92</t>
  </si>
  <si>
    <t>30,44</t>
  </si>
  <si>
    <t>129,56</t>
  </si>
  <si>
    <t>1.380,22</t>
  </si>
  <si>
    <t>1.386,16</t>
  </si>
  <si>
    <t>219,93</t>
  </si>
  <si>
    <t>327,38</t>
  </si>
  <si>
    <t>412,74</t>
  </si>
  <si>
    <t>250,37</t>
  </si>
  <si>
    <t>462,70</t>
  </si>
  <si>
    <t>547,82</t>
  </si>
  <si>
    <t>29,27</t>
  </si>
  <si>
    <t>85,85</t>
  </si>
  <si>
    <t>167,06</t>
  </si>
  <si>
    <t>149,68</t>
  </si>
  <si>
    <t>168,51</t>
  </si>
  <si>
    <t>195,83</t>
  </si>
  <si>
    <t>276,47</t>
  </si>
  <si>
    <t>177,60</t>
  </si>
  <si>
    <t>197,92</t>
  </si>
  <si>
    <t>298,66</t>
  </si>
  <si>
    <t>363,85</t>
  </si>
  <si>
    <t>390,14</t>
  </si>
  <si>
    <t>416,33</t>
  </si>
  <si>
    <t>473,90</t>
  </si>
  <si>
    <t>520,70</t>
  </si>
  <si>
    <t>330,05</t>
  </si>
  <si>
    <t>549,47</t>
  </si>
  <si>
    <t>779,48</t>
  </si>
  <si>
    <t>962,18</t>
  </si>
  <si>
    <t>1.075,86</t>
  </si>
  <si>
    <t>1.234,18</t>
  </si>
  <si>
    <t>160,41</t>
  </si>
  <si>
    <t>147,35</t>
  </si>
  <si>
    <t>352,37</t>
  </si>
  <si>
    <t>445,16</t>
  </si>
  <si>
    <t>3.414,89</t>
  </si>
  <si>
    <t>142,18</t>
  </si>
  <si>
    <t>30,26</t>
  </si>
  <si>
    <t>69,72</t>
  </si>
  <si>
    <t>117,65</t>
  </si>
  <si>
    <t>1.224,61</t>
  </si>
  <si>
    <t>1.718,76</t>
  </si>
  <si>
    <t>146,65</t>
  </si>
  <si>
    <t>70,99</t>
  </si>
  <si>
    <t>1.533,36</t>
  </si>
  <si>
    <t>87,30</t>
  </si>
  <si>
    <t>77,21</t>
  </si>
  <si>
    <t>34,41</t>
  </si>
  <si>
    <t>36,86</t>
  </si>
  <si>
    <t>40,68</t>
  </si>
  <si>
    <t>33,49</t>
  </si>
  <si>
    <t>55,58</t>
  </si>
  <si>
    <t>5.221,53</t>
  </si>
  <si>
    <t>143,73</t>
  </si>
  <si>
    <t>117,92</t>
  </si>
  <si>
    <t>69,24</t>
  </si>
  <si>
    <t>184,41</t>
  </si>
  <si>
    <t>42,98</t>
  </si>
  <si>
    <t>78,59</t>
  </si>
  <si>
    <t>204,91</t>
  </si>
  <si>
    <t>1.360,91</t>
  </si>
  <si>
    <t>172,38</t>
  </si>
  <si>
    <t>87,33</t>
  </si>
  <si>
    <t>1.104,26</t>
  </si>
  <si>
    <t>31,07</t>
  </si>
  <si>
    <t>77,62</t>
  </si>
  <si>
    <t>58,78</t>
  </si>
  <si>
    <t>25,43</t>
  </si>
  <si>
    <t>115.906,07</t>
  </si>
  <si>
    <t>17.916,59</t>
  </si>
  <si>
    <t>8.218,62</t>
  </si>
  <si>
    <t>22.597,10</t>
  </si>
  <si>
    <t>146.559,18</t>
  </si>
  <si>
    <t>31.700,40</t>
  </si>
  <si>
    <t>10.038,46</t>
  </si>
  <si>
    <t>36.983,80</t>
  </si>
  <si>
    <t>11.212,54</t>
  </si>
  <si>
    <t>60.351,69</t>
  </si>
  <si>
    <t>14.500,00</t>
  </si>
  <si>
    <t>82.782,67</t>
  </si>
  <si>
    <t>307.752,03</t>
  </si>
  <si>
    <t>356.601,56</t>
  </si>
  <si>
    <t>105.026,47</t>
  </si>
  <si>
    <t>170.316,31</t>
  </si>
  <si>
    <t>261.345,00</t>
  </si>
  <si>
    <t>251.758,26</t>
  </si>
  <si>
    <t>280.884,79</t>
  </si>
  <si>
    <t>35,80</t>
  </si>
  <si>
    <t>655,66</t>
  </si>
  <si>
    <t>35,79</t>
  </si>
  <si>
    <t>75,95</t>
  </si>
  <si>
    <t>89,25</t>
  </si>
  <si>
    <t>2.062,40</t>
  </si>
  <si>
    <t>193,37</t>
  </si>
  <si>
    <t>119,35</t>
  </si>
  <si>
    <t>3.957,34</t>
  </si>
  <si>
    <t>2.192,95</t>
  </si>
  <si>
    <t>59,18</t>
  </si>
  <si>
    <t>74,56</t>
  </si>
  <si>
    <t>243,45</t>
  </si>
  <si>
    <t>354,23</t>
  </si>
  <si>
    <t>506,40</t>
  </si>
  <si>
    <t>555,66</t>
  </si>
  <si>
    <t>954,78</t>
  </si>
  <si>
    <t>625,49</t>
  </si>
  <si>
    <t>1.254,76</t>
  </si>
  <si>
    <t>725,71</t>
  </si>
  <si>
    <t>791,69</t>
  </si>
  <si>
    <t>941,78</t>
  </si>
  <si>
    <t>153,46</t>
  </si>
  <si>
    <t>31,34</t>
  </si>
  <si>
    <t>50,47</t>
  </si>
  <si>
    <t>105,89</t>
  </si>
  <si>
    <t>50,53</t>
  </si>
  <si>
    <t>90,42</t>
  </si>
  <si>
    <t>72,86</t>
  </si>
  <si>
    <t>121,68</t>
  </si>
  <si>
    <t>167,57</t>
  </si>
  <si>
    <t>250,89</t>
  </si>
  <si>
    <t>272,10</t>
  </si>
  <si>
    <t>134,55</t>
  </si>
  <si>
    <t>210,74</t>
  </si>
  <si>
    <t>324,37</t>
  </si>
  <si>
    <t>458,41</t>
  </si>
  <si>
    <t>533,87</t>
  </si>
  <si>
    <t>79,23</t>
  </si>
  <si>
    <t>470,63</t>
  </si>
  <si>
    <t>1.744,12</t>
  </si>
  <si>
    <t>314,93</t>
  </si>
  <si>
    <t>1.132,19</t>
  </si>
  <si>
    <t>2.410,48</t>
  </si>
  <si>
    <t>194,31</t>
  </si>
  <si>
    <t>696,08</t>
  </si>
  <si>
    <t>50,20</t>
  </si>
  <si>
    <t>475,13</t>
  </si>
  <si>
    <t>67,20</t>
  </si>
  <si>
    <t>249,65</t>
  </si>
  <si>
    <t>83,33</t>
  </si>
  <si>
    <t>98,85</t>
  </si>
  <si>
    <t>112,81</t>
  </si>
  <si>
    <t>15,17</t>
  </si>
  <si>
    <t>78,01</t>
  </si>
  <si>
    <t>135,00</t>
  </si>
  <si>
    <t>136,91</t>
  </si>
  <si>
    <t>74,91</t>
  </si>
  <si>
    <t>163,94</t>
  </si>
  <si>
    <t>301,78</t>
  </si>
  <si>
    <t>444,60</t>
  </si>
  <si>
    <t>674,12</t>
  </si>
  <si>
    <t>533,78</t>
  </si>
  <si>
    <t>28,31</t>
  </si>
  <si>
    <t>89,75</t>
  </si>
  <si>
    <t>121,20</t>
  </si>
  <si>
    <t>175,77</t>
  </si>
  <si>
    <t>247,63</t>
  </si>
  <si>
    <t>362,00</t>
  </si>
  <si>
    <t>118,90</t>
  </si>
  <si>
    <t>208,97</t>
  </si>
  <si>
    <t>171,97</t>
  </si>
  <si>
    <t>289,39</t>
  </si>
  <si>
    <t>375,47</t>
  </si>
  <si>
    <t>556,09</t>
  </si>
  <si>
    <t>85,82</t>
  </si>
  <si>
    <t>818,54</t>
  </si>
  <si>
    <t>56,11</t>
  </si>
  <si>
    <t>21,98</t>
  </si>
  <si>
    <t>233,27</t>
  </si>
  <si>
    <t>241,00</t>
  </si>
  <si>
    <t>469,84</t>
  </si>
  <si>
    <t>658,19</t>
  </si>
  <si>
    <t>701,73</t>
  </si>
  <si>
    <t>1.016,65</t>
  </si>
  <si>
    <t>2.817,14</t>
  </si>
  <si>
    <t>124,55</t>
  </si>
  <si>
    <t>328,48</t>
  </si>
  <si>
    <t>460,73</t>
  </si>
  <si>
    <t>516,42</t>
  </si>
  <si>
    <t>712,87</t>
  </si>
  <si>
    <t>757,42</t>
  </si>
  <si>
    <t>1.087,53</t>
  </si>
  <si>
    <t>3.159,32</t>
  </si>
  <si>
    <t>131,63</t>
  </si>
  <si>
    <t>209,10</t>
  </si>
  <si>
    <t>319,98</t>
  </si>
  <si>
    <t>465,79</t>
  </si>
  <si>
    <t>865,77</t>
  </si>
  <si>
    <t>1.046,83</t>
  </si>
  <si>
    <t>1.589,78</t>
  </si>
  <si>
    <t>192,39</t>
  </si>
  <si>
    <t>259,22</t>
  </si>
  <si>
    <t>313,90</t>
  </si>
  <si>
    <t>540,73</t>
  </si>
  <si>
    <t>563,41</t>
  </si>
  <si>
    <t>603,51</t>
  </si>
  <si>
    <t>943,74</t>
  </si>
  <si>
    <t>197,45</t>
  </si>
  <si>
    <t>202,52</t>
  </si>
  <si>
    <t>374,66</t>
  </si>
  <si>
    <t>600,47</t>
  </si>
  <si>
    <t>613,73</t>
  </si>
  <si>
    <t>930,58</t>
  </si>
  <si>
    <t>1.205,00</t>
  </si>
  <si>
    <t>238,97</t>
  </si>
  <si>
    <t>498,20</t>
  </si>
  <si>
    <t>527,56</t>
  </si>
  <si>
    <t>688,57</t>
  </si>
  <si>
    <t>754,39</t>
  </si>
  <si>
    <t>1.068,29</t>
  </si>
  <si>
    <t>82,51</t>
  </si>
  <si>
    <t>138,11</t>
  </si>
  <si>
    <t>51,81</t>
  </si>
  <si>
    <t>71,00</t>
  </si>
  <si>
    <t>124,87</t>
  </si>
  <si>
    <t>149,48</t>
  </si>
  <si>
    <t>83,47</t>
  </si>
  <si>
    <t>154,28</t>
  </si>
  <si>
    <t>134,32</t>
  </si>
  <si>
    <t>163,10</t>
  </si>
  <si>
    <t>220,67</t>
  </si>
  <si>
    <t>44,13</t>
  </si>
  <si>
    <t>TUBO DE DESCIDA EXTERNO, DE PVC, PARA CAIXA DE DESCARGA EXTERNA ALTA - DIAMETRO DE 40 MM E ALTURA DE APROXIMADAMENTE 1,55 M</t>
  </si>
  <si>
    <t>153,22</t>
  </si>
  <si>
    <t>3.732,64</t>
  </si>
  <si>
    <t>4.577,71</t>
  </si>
  <si>
    <t>5.305,95</t>
  </si>
  <si>
    <t>7.008,40</t>
  </si>
  <si>
    <t>1.242,22</t>
  </si>
  <si>
    <t>1.730,08</t>
  </si>
  <si>
    <t>2.463,54</t>
  </si>
  <si>
    <t>36,01</t>
  </si>
  <si>
    <t>46,17</t>
  </si>
  <si>
    <t>79,38</t>
  </si>
  <si>
    <t>239,62</t>
  </si>
  <si>
    <t>172,44</t>
  </si>
  <si>
    <t>6,55</t>
  </si>
  <si>
    <t>100,75</t>
  </si>
  <si>
    <t>157,83</t>
  </si>
  <si>
    <t>312,79</t>
  </si>
  <si>
    <t>413,15</t>
  </si>
  <si>
    <t>75,12</t>
  </si>
  <si>
    <t>342,58</t>
  </si>
  <si>
    <t>521,52</t>
  </si>
  <si>
    <t>740,56</t>
  </si>
  <si>
    <t>90,03</t>
  </si>
  <si>
    <t>107,99</t>
  </si>
  <si>
    <t>58,73</t>
  </si>
  <si>
    <t>72,19</t>
  </si>
  <si>
    <t>28,92</t>
  </si>
  <si>
    <t>28,25</t>
  </si>
  <si>
    <t>59,67</t>
  </si>
  <si>
    <t>23,40</t>
  </si>
  <si>
    <t>107,66</t>
  </si>
  <si>
    <t>49,45</t>
  </si>
  <si>
    <t>3.522,90</t>
  </si>
  <si>
    <t>4.490,86</t>
  </si>
  <si>
    <t>4.542,18</t>
  </si>
  <si>
    <t>62,05</t>
  </si>
  <si>
    <t>257,53</t>
  </si>
  <si>
    <t>165,30</t>
  </si>
  <si>
    <t>708,71</t>
  </si>
  <si>
    <t>92,79</t>
  </si>
  <si>
    <t>287,17</t>
  </si>
  <si>
    <t>231,92</t>
  </si>
  <si>
    <t>419,71</t>
  </si>
  <si>
    <t>530,18</t>
  </si>
  <si>
    <t>132,33</t>
  </si>
  <si>
    <t>95,54</t>
  </si>
  <si>
    <t>68,88</t>
  </si>
  <si>
    <t>55,34</t>
  </si>
  <si>
    <t>31,98</t>
  </si>
  <si>
    <t>259,61</t>
  </si>
  <si>
    <t>364,45</t>
  </si>
  <si>
    <t>11,28</t>
  </si>
  <si>
    <t>447,57</t>
  </si>
  <si>
    <t>30,41</t>
  </si>
  <si>
    <t>84,48</t>
  </si>
  <si>
    <t>172,05</t>
  </si>
  <si>
    <t>203,14</t>
  </si>
  <si>
    <t>95,78</t>
  </si>
  <si>
    <t>137,03</t>
  </si>
  <si>
    <t>60,47</t>
  </si>
  <si>
    <t>187,68</t>
  </si>
  <si>
    <t>285,79</t>
  </si>
  <si>
    <t>240,51</t>
  </si>
  <si>
    <t>279,40</t>
  </si>
  <si>
    <t>226,35</t>
  </si>
  <si>
    <t>46,87</t>
  </si>
  <si>
    <t>72,80</t>
  </si>
  <si>
    <t>135,28</t>
  </si>
  <si>
    <t>111,86</t>
  </si>
  <si>
    <t>104,83</t>
  </si>
  <si>
    <t>66,03</t>
  </si>
  <si>
    <t>302,81</t>
  </si>
  <si>
    <t>169,45</t>
  </si>
  <si>
    <t>59,72</t>
  </si>
  <si>
    <t>415,12</t>
  </si>
  <si>
    <t>730,58</t>
  </si>
  <si>
    <t>217,05</t>
  </si>
  <si>
    <t>194,21</t>
  </si>
  <si>
    <t>434,85</t>
  </si>
  <si>
    <t>304,08</t>
  </si>
  <si>
    <t>95,45</t>
  </si>
  <si>
    <t>600,62</t>
  </si>
  <si>
    <t>931,57</t>
  </si>
  <si>
    <t>115,55</t>
  </si>
  <si>
    <t>66,85</t>
  </si>
  <si>
    <t>269,78</t>
  </si>
  <si>
    <t>168,36</t>
  </si>
  <si>
    <t>61,19</t>
  </si>
  <si>
    <t>368,41</t>
  </si>
  <si>
    <t>639,40</t>
  </si>
  <si>
    <t>50,88</t>
  </si>
  <si>
    <t>62,39</t>
  </si>
  <si>
    <t>99,71</t>
  </si>
  <si>
    <t>66,84</t>
  </si>
  <si>
    <t>42,89</t>
  </si>
  <si>
    <t>30,63</t>
  </si>
  <si>
    <t>40,88</t>
  </si>
  <si>
    <t>36,35</t>
  </si>
  <si>
    <t>1.360,93</t>
  </si>
  <si>
    <t>1.479,28</t>
  </si>
  <si>
    <t>1.659,39</t>
  </si>
  <si>
    <t>3.570,00</t>
  </si>
  <si>
    <t>3.202,60</t>
  </si>
  <si>
    <t>3.901,15</t>
  </si>
  <si>
    <t>4.602.516,86</t>
  </si>
  <si>
    <t>1.937.606,18</t>
  </si>
  <si>
    <t>1.951.646,94</t>
  </si>
  <si>
    <t>2.364.441,27</t>
  </si>
  <si>
    <t>2.094.861,15</t>
  </si>
  <si>
    <t>3.051,93</t>
  </si>
  <si>
    <t>1.196,87</t>
  </si>
  <si>
    <t>1.041,66</t>
  </si>
  <si>
    <t>2.708,33</t>
  </si>
  <si>
    <t>3.166,66</t>
  </si>
  <si>
    <t>933,33</t>
  </si>
  <si>
    <t>291,66</t>
  </si>
  <si>
    <t>414,54</t>
  </si>
  <si>
    <t>672,91</t>
  </si>
  <si>
    <t>333,33</t>
  </si>
  <si>
    <t>500,00</t>
  </si>
  <si>
    <t>359,83</t>
  </si>
  <si>
    <t>625,00</t>
  </si>
  <si>
    <t>354,16</t>
  </si>
  <si>
    <t>516,66</t>
  </si>
  <si>
    <t>208,33</t>
  </si>
  <si>
    <t>645,83</t>
  </si>
  <si>
    <t>628,69</t>
  </si>
  <si>
    <t>370,97</t>
  </si>
  <si>
    <t>680,00</t>
  </si>
  <si>
    <t>792,36</t>
  </si>
  <si>
    <t>447,66</t>
  </si>
  <si>
    <t>604,79</t>
  </si>
  <si>
    <t>VIGA APARELHADA *6 X 12* CM, EM MACARANDUBA/MASSARANDUBA, ANGELIM OU EQUIVALENTE DA REGIAO</t>
  </si>
  <si>
    <t>VIGA APARELHADA *6 X 16* CM, EM MACARANDUBA/MASSARANDUBA, ANGELIM OU EQUIVALENTE DA REGIAO</t>
  </si>
  <si>
    <t>VIGA NAO APARELHADA *6 X 12* CM, EM MACARANDUBA/MASSARANDUBA, ANGELIM OU EQUIVALENTE DA REGIAO - BRUTA</t>
  </si>
  <si>
    <t>VIGA NAO APARELHADA *6 X 16* CM, EM MACARANDUBA/MASSARANDUBA, ANGELIM OU EQUIVALENTE DA REGIAO - BRUTA</t>
  </si>
  <si>
    <t>29,72</t>
  </si>
  <si>
    <t>VIGA NAO APARELHADA *6 X 20* CM, EM MACARANDUBA/MASSARANDUBA, ANGELIM OU EQUIVALENTE DA REGIAO - BRUTA</t>
  </si>
  <si>
    <t>VIGA NAO APARELHADA *8 X 16* CM EM MACARANDUBA/MASSARANDUBA, ANGELIM OU EQUIVALENTE DA REGIAO - BRUTA</t>
  </si>
  <si>
    <t>TOTAL DE INSUMOS : 4937</t>
  </si>
  <si>
    <t>53,11</t>
  </si>
  <si>
    <t>69,42</t>
  </si>
  <si>
    <t>32,59</t>
  </si>
  <si>
    <t>42,83</t>
  </si>
  <si>
    <t>51,70</t>
  </si>
  <si>
    <t>84,89</t>
  </si>
  <si>
    <t>95,96</t>
  </si>
  <si>
    <t>111,82</t>
  </si>
  <si>
    <t>123,38</t>
  </si>
  <si>
    <t>50,69</t>
  </si>
  <si>
    <t>59,69</t>
  </si>
  <si>
    <t>90,27</t>
  </si>
  <si>
    <t>99,64</t>
  </si>
  <si>
    <t>45,92</t>
  </si>
  <si>
    <t>87,41</t>
  </si>
  <si>
    <t>146,15</t>
  </si>
  <si>
    <t>346,89</t>
  </si>
  <si>
    <t>488,37</t>
  </si>
  <si>
    <t>570,31</t>
  </si>
  <si>
    <t>115,45</t>
  </si>
  <si>
    <t>182,71</t>
  </si>
  <si>
    <t>275,05</t>
  </si>
  <si>
    <t>469,35</t>
  </si>
  <si>
    <t>749,76</t>
  </si>
  <si>
    <t>44,71</t>
  </si>
  <si>
    <t>50,10</t>
  </si>
  <si>
    <t>55,50</t>
  </si>
  <si>
    <t>132,26</t>
  </si>
  <si>
    <t>206,80</t>
  </si>
  <si>
    <t>1.217,32</t>
  </si>
  <si>
    <t>28,53</t>
  </si>
  <si>
    <t>32,92</t>
  </si>
  <si>
    <t>1.874,19</t>
  </si>
  <si>
    <t>2.580,63</t>
  </si>
  <si>
    <t>49,63</t>
  </si>
  <si>
    <t>20,16</t>
  </si>
  <si>
    <t>98,62</t>
  </si>
  <si>
    <t>109,41</t>
  </si>
  <si>
    <t>125,67</t>
  </si>
  <si>
    <t>141,85</t>
  </si>
  <si>
    <t>230,44</t>
  </si>
  <si>
    <t>241,64</t>
  </si>
  <si>
    <t>425,36</t>
  </si>
  <si>
    <t>520,34</t>
  </si>
  <si>
    <t>678,75</t>
  </si>
  <si>
    <t>704,67</t>
  </si>
  <si>
    <t>1.041,54</t>
  </si>
  <si>
    <t>1.073,03</t>
  </si>
  <si>
    <t>25,58</t>
  </si>
  <si>
    <t>238,30</t>
  </si>
  <si>
    <t>251,42</t>
  </si>
  <si>
    <t>437,51</t>
  </si>
  <si>
    <t>534,55</t>
  </si>
  <si>
    <t>695,05</t>
  </si>
  <si>
    <t>723,16</t>
  </si>
  <si>
    <t>39,29</t>
  </si>
  <si>
    <t>1.062,36</t>
  </si>
  <si>
    <t>1.095,90</t>
  </si>
  <si>
    <t>48,45</t>
  </si>
  <si>
    <t>179,77</t>
  </si>
  <si>
    <t>216,10</t>
  </si>
  <si>
    <t>323,39</t>
  </si>
  <si>
    <t>425,67</t>
  </si>
  <si>
    <t>515,32</t>
  </si>
  <si>
    <t>592,73</t>
  </si>
  <si>
    <t>621,14</t>
  </si>
  <si>
    <t>228,25</t>
  </si>
  <si>
    <t>337,61</t>
  </si>
  <si>
    <t>442,21</t>
  </si>
  <si>
    <t>533,83</t>
  </si>
  <si>
    <t>613,26</t>
  </si>
  <si>
    <t>644,11</t>
  </si>
  <si>
    <t>51,49</t>
  </si>
  <si>
    <t>102,31</t>
  </si>
  <si>
    <t>137,21</t>
  </si>
  <si>
    <t>894,45</t>
  </si>
  <si>
    <t>1.278,24</t>
  </si>
  <si>
    <t>231,10</t>
  </si>
  <si>
    <t>61,27</t>
  </si>
  <si>
    <t>74,94</t>
  </si>
  <si>
    <t>89,38</t>
  </si>
  <si>
    <t>103,88</t>
  </si>
  <si>
    <t>138,71</t>
  </si>
  <si>
    <t>160,18</t>
  </si>
  <si>
    <t>921,48</t>
  </si>
  <si>
    <t>198,70</t>
  </si>
  <si>
    <t>1.311,28</t>
  </si>
  <si>
    <t>264,14</t>
  </si>
  <si>
    <t>153,67</t>
  </si>
  <si>
    <t>161,32</t>
  </si>
  <si>
    <t>113,12</t>
  </si>
  <si>
    <t>137,90</t>
  </si>
  <si>
    <t>191,40</t>
  </si>
  <si>
    <t>147,68</t>
  </si>
  <si>
    <t>203,55</t>
  </si>
  <si>
    <t>16,72</t>
  </si>
  <si>
    <t>40,84</t>
  </si>
  <si>
    <t>75,90</t>
  </si>
  <si>
    <t>86,30</t>
  </si>
  <si>
    <t>92,06</t>
  </si>
  <si>
    <t>101,36</t>
  </si>
  <si>
    <t>116,74</t>
  </si>
  <si>
    <t>126,04</t>
  </si>
  <si>
    <t>150,73</t>
  </si>
  <si>
    <t>98,86</t>
  </si>
  <si>
    <t>161,98</t>
  </si>
  <si>
    <t>183,90</t>
  </si>
  <si>
    <t>247,02</t>
  </si>
  <si>
    <t>268,95</t>
  </si>
  <si>
    <t>332,07</t>
  </si>
  <si>
    <t>353,99</t>
  </si>
  <si>
    <t>397,85</t>
  </si>
  <si>
    <t>482,91</t>
  </si>
  <si>
    <t>526,76</t>
  </si>
  <si>
    <t>611,80</t>
  </si>
  <si>
    <t>784,57</t>
  </si>
  <si>
    <t>60,43</t>
  </si>
  <si>
    <t>73,58</t>
  </si>
  <si>
    <t>106,48</t>
  </si>
  <si>
    <t>234,06</t>
  </si>
  <si>
    <t>266,93</t>
  </si>
  <si>
    <t>361,63</t>
  </si>
  <si>
    <t>394,51</t>
  </si>
  <si>
    <t>489,21</t>
  </si>
  <si>
    <t>522,08</t>
  </si>
  <si>
    <t>587,86</t>
  </si>
  <si>
    <t>715,43</t>
  </si>
  <si>
    <t>781,22</t>
  </si>
  <si>
    <t>908,78</t>
  </si>
  <si>
    <t>974,57</t>
  </si>
  <si>
    <t>1.167,92</t>
  </si>
  <si>
    <t>32,05</t>
  </si>
  <si>
    <t>36,42</t>
  </si>
  <si>
    <t>47,40</t>
  </si>
  <si>
    <t>89,92</t>
  </si>
  <si>
    <t>100,88</t>
  </si>
  <si>
    <t>132,46</t>
  </si>
  <si>
    <t>143,40</t>
  </si>
  <si>
    <t>174,97</t>
  </si>
  <si>
    <t>185,93</t>
  </si>
  <si>
    <t>207,85</t>
  </si>
  <si>
    <t>272,30</t>
  </si>
  <si>
    <t>314,77</t>
  </si>
  <si>
    <t>336,75</t>
  </si>
  <si>
    <t>401,21</t>
  </si>
  <si>
    <t>132,37</t>
  </si>
  <si>
    <t>283,36</t>
  </si>
  <si>
    <t>441,24</t>
  </si>
  <si>
    <t>1.082,02</t>
  </si>
  <si>
    <t>1.744,55</t>
  </si>
  <si>
    <t>3.060,62</t>
  </si>
  <si>
    <t>4.551,66</t>
  </si>
  <si>
    <t>2.997,64</t>
  </si>
  <si>
    <t>4.900,32</t>
  </si>
  <si>
    <t>5.404,77</t>
  </si>
  <si>
    <t>4.004,67</t>
  </si>
  <si>
    <t>1.991,37</t>
  </si>
  <si>
    <t>1.345,50</t>
  </si>
  <si>
    <t>39,35</t>
  </si>
  <si>
    <t>43,72</t>
  </si>
  <si>
    <t>48,97</t>
  </si>
  <si>
    <t>38,47</t>
  </si>
  <si>
    <t>55,97</t>
  </si>
  <si>
    <t>62,96</t>
  </si>
  <si>
    <t>78,70</t>
  </si>
  <si>
    <t>87,44</t>
  </si>
  <si>
    <t>97,94</t>
  </si>
  <si>
    <t>110,19</t>
  </si>
  <si>
    <t>124,18</t>
  </si>
  <si>
    <t>139,92</t>
  </si>
  <si>
    <t>255,93</t>
  </si>
  <si>
    <t>2.864,09</t>
  </si>
  <si>
    <t>1.626,30</t>
  </si>
  <si>
    <t>33,99</t>
  </si>
  <si>
    <t>2.304,42</t>
  </si>
  <si>
    <t>181,26</t>
  </si>
  <si>
    <t>213,81</t>
  </si>
  <si>
    <t>407,07</t>
  </si>
  <si>
    <t>412,34</t>
  </si>
  <si>
    <t>539,59</t>
  </si>
  <si>
    <t>1.150,41</t>
  </si>
  <si>
    <t>1.102,31</t>
  </si>
  <si>
    <t>911,81</t>
  </si>
  <si>
    <t>974,63</t>
  </si>
  <si>
    <t>632,00</t>
  </si>
  <si>
    <t>624,56</t>
  </si>
  <si>
    <t>1.048,45</t>
  </si>
  <si>
    <t>1.094,24</t>
  </si>
  <si>
    <t>6.162,20</t>
  </si>
  <si>
    <t>9.682,20</t>
  </si>
  <si>
    <t>306,70</t>
  </si>
  <si>
    <t>502,66</t>
  </si>
  <si>
    <t>940,99</t>
  </si>
  <si>
    <t>1.125,56</t>
  </si>
  <si>
    <t>149,84</t>
  </si>
  <si>
    <t>152,90</t>
  </si>
  <si>
    <t>132,50</t>
  </si>
  <si>
    <t>134,69</t>
  </si>
  <si>
    <t>177,04</t>
  </si>
  <si>
    <t>222,83</t>
  </si>
  <si>
    <t>152,91</t>
  </si>
  <si>
    <t>207,40</t>
  </si>
  <si>
    <t>211,88</t>
  </si>
  <si>
    <t>187,45</t>
  </si>
  <si>
    <t>190,15</t>
  </si>
  <si>
    <t>239,86</t>
  </si>
  <si>
    <t>298,41</t>
  </si>
  <si>
    <t>213,10</t>
  </si>
  <si>
    <t>260,21</t>
  </si>
  <si>
    <t>144,74</t>
  </si>
  <si>
    <t>191,24</t>
  </si>
  <si>
    <t>5.371,31</t>
  </si>
  <si>
    <t>8.158,62</t>
  </si>
  <si>
    <t>142,12</t>
  </si>
  <si>
    <t>129,88</t>
  </si>
  <si>
    <t>163,44</t>
  </si>
  <si>
    <t>212,03</t>
  </si>
  <si>
    <t>226,07</t>
  </si>
  <si>
    <t>404,95</t>
  </si>
  <si>
    <t>263,75</t>
  </si>
  <si>
    <t>250,61</t>
  </si>
  <si>
    <t>670,70</t>
  </si>
  <si>
    <t>163,42</t>
  </si>
  <si>
    <t>129,77</t>
  </si>
  <si>
    <t>142,28</t>
  </si>
  <si>
    <t>123,93</t>
  </si>
  <si>
    <t>212,89</t>
  </si>
  <si>
    <t>221,85</t>
  </si>
  <si>
    <t>336,39</t>
  </si>
  <si>
    <t>286,18</t>
  </si>
  <si>
    <t>254,41</t>
  </si>
  <si>
    <t>182,45</t>
  </si>
  <si>
    <t>225,24</t>
  </si>
  <si>
    <t>64,92</t>
  </si>
  <si>
    <t>269,85</t>
  </si>
  <si>
    <t>216,16</t>
  </si>
  <si>
    <t>296,60</t>
  </si>
  <si>
    <t>229,85</t>
  </si>
  <si>
    <t>192,72</t>
  </si>
  <si>
    <t>209,12</t>
  </si>
  <si>
    <t>166,65</t>
  </si>
  <si>
    <t>262,10</t>
  </si>
  <si>
    <t>23,50</t>
  </si>
  <si>
    <t>289,86</t>
  </si>
  <si>
    <t>98,24</t>
  </si>
  <si>
    <t>209,27</t>
  </si>
  <si>
    <t>253,78</t>
  </si>
  <si>
    <t>199,42</t>
  </si>
  <si>
    <t>187,37</t>
  </si>
  <si>
    <t>129,68</t>
  </si>
  <si>
    <t>619,43</t>
  </si>
  <si>
    <t>1.469,46</t>
  </si>
  <si>
    <t>1.272,17</t>
  </si>
  <si>
    <t>349,70</t>
  </si>
  <si>
    <t>343,18</t>
  </si>
  <si>
    <t>380,70</t>
  </si>
  <si>
    <t>137,11</t>
  </si>
  <si>
    <t>18,12</t>
  </si>
  <si>
    <t>685,86</t>
  </si>
  <si>
    <t>416,30</t>
  </si>
  <si>
    <t>161,87</t>
  </si>
  <si>
    <t>33,33</t>
  </si>
  <si>
    <t>206,74</t>
  </si>
  <si>
    <t>111,37</t>
  </si>
  <si>
    <t>272,97</t>
  </si>
  <si>
    <t>280,94</t>
  </si>
  <si>
    <t>27,88</t>
  </si>
  <si>
    <t>241,36</t>
  </si>
  <si>
    <t>498,49</t>
  </si>
  <si>
    <t>343,94</t>
  </si>
  <si>
    <t>433,12</t>
  </si>
  <si>
    <t>1.022,71</t>
  </si>
  <si>
    <t>100,12</t>
  </si>
  <si>
    <t>330,84</t>
  </si>
  <si>
    <t>280,52</t>
  </si>
  <si>
    <t>95,03</t>
  </si>
  <si>
    <t>17,13</t>
  </si>
  <si>
    <t>82,86</t>
  </si>
  <si>
    <t>189,93</t>
  </si>
  <si>
    <t>2.779,71</t>
  </si>
  <si>
    <t>237,75</t>
  </si>
  <si>
    <t>292,93</t>
  </si>
  <si>
    <t>225,89</t>
  </si>
  <si>
    <t>182,57</t>
  </si>
  <si>
    <t>109,87</t>
  </si>
  <si>
    <t>238,46</t>
  </si>
  <si>
    <t>32,52</t>
  </si>
  <si>
    <t>260,63</t>
  </si>
  <si>
    <t>255,64</t>
  </si>
  <si>
    <t>322,33</t>
  </si>
  <si>
    <t>183,47</t>
  </si>
  <si>
    <t>182,95</t>
  </si>
  <si>
    <t>138,37</t>
  </si>
  <si>
    <t>291,38</t>
  </si>
  <si>
    <t>138,89</t>
  </si>
  <si>
    <t>145,24</t>
  </si>
  <si>
    <t>223,13</t>
  </si>
  <si>
    <t>5.182,66</t>
  </si>
  <si>
    <t>6.888,88</t>
  </si>
  <si>
    <t>1,23</t>
  </si>
  <si>
    <t>84,35</t>
  </si>
  <si>
    <t>60,58</t>
  </si>
  <si>
    <t>153,97</t>
  </si>
  <si>
    <t>46,06</t>
  </si>
  <si>
    <t>77,13</t>
  </si>
  <si>
    <t>77,47</t>
  </si>
  <si>
    <t>203,88</t>
  </si>
  <si>
    <t>69,68</t>
  </si>
  <si>
    <t>55,36</t>
  </si>
  <si>
    <t>51,68</t>
  </si>
  <si>
    <t>69,09</t>
  </si>
  <si>
    <t>85,89</t>
  </si>
  <si>
    <t>76,08</t>
  </si>
  <si>
    <t>81,72</t>
  </si>
  <si>
    <t>66,77</t>
  </si>
  <si>
    <t>64,77</t>
  </si>
  <si>
    <t>198,38</t>
  </si>
  <si>
    <t>428,60</t>
  </si>
  <si>
    <t>130,89</t>
  </si>
  <si>
    <t>98,15</t>
  </si>
  <si>
    <t>81,04</t>
  </si>
  <si>
    <t>84,61</t>
  </si>
  <si>
    <t>287,90</t>
  </si>
  <si>
    <t>168,31</t>
  </si>
  <si>
    <t>69,41</t>
  </si>
  <si>
    <t>53,72</t>
  </si>
  <si>
    <t>64,26</t>
  </si>
  <si>
    <t>73,14</t>
  </si>
  <si>
    <t>436,97</t>
  </si>
  <si>
    <t>165,79</t>
  </si>
  <si>
    <t>247,71</t>
  </si>
  <si>
    <t>105,67</t>
  </si>
  <si>
    <t>42,68</t>
  </si>
  <si>
    <t>68,39</t>
  </si>
  <si>
    <t>80,37</t>
  </si>
  <si>
    <t>24,25</t>
  </si>
  <si>
    <t>94,24</t>
  </si>
  <si>
    <t>91,73</t>
  </si>
  <si>
    <t>75,36</t>
  </si>
  <si>
    <t>90,35</t>
  </si>
  <si>
    <t>61,42</t>
  </si>
  <si>
    <t>86,88</t>
  </si>
  <si>
    <t>213,01</t>
  </si>
  <si>
    <t>425,59</t>
  </si>
  <si>
    <t>45,33</t>
  </si>
  <si>
    <t>50,93</t>
  </si>
  <si>
    <t>24,75</t>
  </si>
  <si>
    <t>39,87</t>
  </si>
  <si>
    <t>152,03</t>
  </si>
  <si>
    <t>98,95</t>
  </si>
  <si>
    <t>74,87</t>
  </si>
  <si>
    <t>118,10</t>
  </si>
  <si>
    <t>104,20</t>
  </si>
  <si>
    <t>240,99</t>
  </si>
  <si>
    <t>46,41</t>
  </si>
  <si>
    <t>175,75</t>
  </si>
  <si>
    <t>78,20</t>
  </si>
  <si>
    <t>285,03</t>
  </si>
  <si>
    <t>99,21</t>
  </si>
  <si>
    <t>9,10</t>
  </si>
  <si>
    <t>90,57</t>
  </si>
  <si>
    <t>107,46</t>
  </si>
  <si>
    <t>112,58</t>
  </si>
  <si>
    <t>126,74</t>
  </si>
  <si>
    <t>213,86</t>
  </si>
  <si>
    <t>93,03</t>
  </si>
  <si>
    <t>50,80</t>
  </si>
  <si>
    <t>52,40</t>
  </si>
  <si>
    <t>197,97</t>
  </si>
  <si>
    <t>55,79</t>
  </si>
  <si>
    <t>1,95</t>
  </si>
  <si>
    <t>43,25</t>
  </si>
  <si>
    <t>54,07</t>
  </si>
  <si>
    <t>70,95</t>
  </si>
  <si>
    <t>86,84</t>
  </si>
  <si>
    <t>28,16</t>
  </si>
  <si>
    <t>235,32</t>
  </si>
  <si>
    <t>185,73</t>
  </si>
  <si>
    <t>308,17</t>
  </si>
  <si>
    <t>549,70</t>
  </si>
  <si>
    <t>491,16</t>
  </si>
  <si>
    <t>94,57</t>
  </si>
  <si>
    <t>267,78</t>
  </si>
  <si>
    <t>477,65</t>
  </si>
  <si>
    <t>418,68</t>
  </si>
  <si>
    <t>124,58</t>
  </si>
  <si>
    <t>27,68</t>
  </si>
  <si>
    <t>38,51</t>
  </si>
  <si>
    <t>66,17</t>
  </si>
  <si>
    <t>69,99</t>
  </si>
  <si>
    <t>226,10</t>
  </si>
  <si>
    <t>4,85</t>
  </si>
  <si>
    <t>211,78</t>
  </si>
  <si>
    <t>265,03</t>
  </si>
  <si>
    <t>132,93</t>
  </si>
  <si>
    <t>104,68</t>
  </si>
  <si>
    <t>146,05</t>
  </si>
  <si>
    <t>36,05</t>
  </si>
  <si>
    <t>44,28</t>
  </si>
  <si>
    <t>174,76</t>
  </si>
  <si>
    <t>91,50</t>
  </si>
  <si>
    <t>163,05</t>
  </si>
  <si>
    <t>157,60</t>
  </si>
  <si>
    <t>181,34</t>
  </si>
  <si>
    <t>148,76</t>
  </si>
  <si>
    <t>40,59</t>
  </si>
  <si>
    <t>334,76</t>
  </si>
  <si>
    <t>39,16</t>
  </si>
  <si>
    <t>44,35</t>
  </si>
  <si>
    <t>306,89</t>
  </si>
  <si>
    <t>329,32</t>
  </si>
  <si>
    <t>88,35</t>
  </si>
  <si>
    <t>412,11</t>
  </si>
  <si>
    <t>151,53</t>
  </si>
  <si>
    <t>74,54</t>
  </si>
  <si>
    <t>178,15</t>
  </si>
  <si>
    <t>36,34</t>
  </si>
  <si>
    <t>2.394,00</t>
  </si>
  <si>
    <t>124,82</t>
  </si>
  <si>
    <t>66,45</t>
  </si>
  <si>
    <t>63,97</t>
  </si>
  <si>
    <t>303,50</t>
  </si>
  <si>
    <t>5,16</t>
  </si>
  <si>
    <t>7,18</t>
  </si>
  <si>
    <t>54,59</t>
  </si>
  <si>
    <t>4.788,00</t>
  </si>
  <si>
    <t>104,88</t>
  </si>
  <si>
    <t>5.985,00</t>
  </si>
  <si>
    <t>199,50</t>
  </si>
  <si>
    <t>107,90</t>
  </si>
  <si>
    <t>114,10</t>
  </si>
  <si>
    <t>499,54</t>
  </si>
  <si>
    <t>102,80</t>
  </si>
  <si>
    <t>1.300,07</t>
  </si>
  <si>
    <t>419,81</t>
  </si>
  <si>
    <t>478,00</t>
  </si>
  <si>
    <t>534,42</t>
  </si>
  <si>
    <t>625,26</t>
  </si>
  <si>
    <t>68,30</t>
  </si>
  <si>
    <t>77,01</t>
  </si>
  <si>
    <t>20,24</t>
  </si>
  <si>
    <t>908,77</t>
  </si>
  <si>
    <t>1.116,07</t>
  </si>
  <si>
    <t>1.178,47</t>
  </si>
  <si>
    <t>1.310,96</t>
  </si>
  <si>
    <t>1.642,21</t>
  </si>
  <si>
    <t>2.049,57</t>
  </si>
  <si>
    <t>2.129,50</t>
  </si>
  <si>
    <t>2.312,18</t>
  </si>
  <si>
    <t>2.653,21</t>
  </si>
  <si>
    <t>2.744,75</t>
  </si>
  <si>
    <t>896,88</t>
  </si>
  <si>
    <t>1.095,23</t>
  </si>
  <si>
    <t>1.157,63</t>
  </si>
  <si>
    <t>1.299,06</t>
  </si>
  <si>
    <t>1.620,06</t>
  </si>
  <si>
    <t>2.019,40</t>
  </si>
  <si>
    <t>2.100,15</t>
  </si>
  <si>
    <t>2.261,99</t>
  </si>
  <si>
    <t>2.594,52</t>
  </si>
  <si>
    <t>2.672,86</t>
  </si>
  <si>
    <t>50,98</t>
  </si>
  <si>
    <t>48,14</t>
  </si>
  <si>
    <t>21,29</t>
  </si>
  <si>
    <t>18,34</t>
  </si>
  <si>
    <t>64,03</t>
  </si>
  <si>
    <t>66,29</t>
  </si>
  <si>
    <t>60,57</t>
  </si>
  <si>
    <t>168,02</t>
  </si>
  <si>
    <t>66,58</t>
  </si>
  <si>
    <t>193,02</t>
  </si>
  <si>
    <t>78,16</t>
  </si>
  <si>
    <t>117,00</t>
  </si>
  <si>
    <t>84,79</t>
  </si>
  <si>
    <t>172,12</t>
  </si>
  <si>
    <t>54,18</t>
  </si>
  <si>
    <t>174,87</t>
  </si>
  <si>
    <t>211,60</t>
  </si>
  <si>
    <t>247,95</t>
  </si>
  <si>
    <t>306,40</t>
  </si>
  <si>
    <t>153,09</t>
  </si>
  <si>
    <t>160,61</t>
  </si>
  <si>
    <t>155,31</t>
  </si>
  <si>
    <t>78,60</t>
  </si>
  <si>
    <t>43,45</t>
  </si>
  <si>
    <t>163,41</t>
  </si>
  <si>
    <t>56,86</t>
  </si>
  <si>
    <t>802,80</t>
  </si>
  <si>
    <t>953,63</t>
  </si>
  <si>
    <t>1.104,45</t>
  </si>
  <si>
    <t>1.390,16</t>
  </si>
  <si>
    <t>1.540,98</t>
  </si>
  <si>
    <t>1.728,16</t>
  </si>
  <si>
    <t>2.015,30</t>
  </si>
  <si>
    <t>2.231,05</t>
  </si>
  <si>
    <t>2.381,87</t>
  </si>
  <si>
    <t>2.570,88</t>
  </si>
  <si>
    <t>915,46</t>
  </si>
  <si>
    <t>1.066,28</t>
  </si>
  <si>
    <t>1.313,81</t>
  </si>
  <si>
    <t>1.464,63</t>
  </si>
  <si>
    <t>1.651,82</t>
  </si>
  <si>
    <t>1.862,60</t>
  </si>
  <si>
    <t>2.116,53</t>
  </si>
  <si>
    <t>2.267,35</t>
  </si>
  <si>
    <t>2.418,18</t>
  </si>
  <si>
    <t>941,37</t>
  </si>
  <si>
    <t>1.276,66</t>
  </si>
  <si>
    <t>1.340,11</t>
  </si>
  <si>
    <t>1.484,72</t>
  </si>
  <si>
    <t>1.846,39</t>
  </si>
  <si>
    <t>2.518,65</t>
  </si>
  <si>
    <t>2.597,61</t>
  </si>
  <si>
    <t>2.813,90</t>
  </si>
  <si>
    <t>3.223,59</t>
  </si>
  <si>
    <t>3.430,85</t>
  </si>
  <si>
    <t>917,58</t>
  </si>
  <si>
    <t>1.247,31</t>
  </si>
  <si>
    <t>1.546,29</t>
  </si>
  <si>
    <t>1.768,13</t>
  </si>
  <si>
    <t>2.384,56</t>
  </si>
  <si>
    <t>2.461,30</t>
  </si>
  <si>
    <t>2.633,14</t>
  </si>
  <si>
    <t>2.955,65</t>
  </si>
  <si>
    <t>2.899,65</t>
  </si>
  <si>
    <t>940,46</t>
  </si>
  <si>
    <t>26,68</t>
  </si>
  <si>
    <t>550,46</t>
  </si>
  <si>
    <t>83,10</t>
  </si>
  <si>
    <t>65,31</t>
  </si>
  <si>
    <t>63,41</t>
  </si>
  <si>
    <t>126,80</t>
  </si>
  <si>
    <t>104,69</t>
  </si>
  <si>
    <t>81,84</t>
  </si>
  <si>
    <t>147,30</t>
  </si>
  <si>
    <t>141,42</t>
  </si>
  <si>
    <t>89,15</t>
  </si>
  <si>
    <t>213,51</t>
  </si>
  <si>
    <t>245,58</t>
  </si>
  <si>
    <t>224,89</t>
  </si>
  <si>
    <t>281,16</t>
  </si>
  <si>
    <t>267,57</t>
  </si>
  <si>
    <t>256,96</t>
  </si>
  <si>
    <t>313,23</t>
  </si>
  <si>
    <t>293,37</t>
  </si>
  <si>
    <t>79,22</t>
  </si>
  <si>
    <t>156,90</t>
  </si>
  <si>
    <t>207,57</t>
  </si>
  <si>
    <t>50,42</t>
  </si>
  <si>
    <t>54,39</t>
  </si>
  <si>
    <t>100,34</t>
  </si>
  <si>
    <t>283,59</t>
  </si>
  <si>
    <t>107,33</t>
  </si>
  <si>
    <t>290,58</t>
  </si>
  <si>
    <t>56,49</t>
  </si>
  <si>
    <t>29,06</t>
  </si>
  <si>
    <t>843,48</t>
  </si>
  <si>
    <t>824,36</t>
  </si>
  <si>
    <t>1.010,83</t>
  </si>
  <si>
    <t>947,59</t>
  </si>
  <si>
    <t>1.106,77</t>
  </si>
  <si>
    <t>1.018,79</t>
  </si>
  <si>
    <t>1.143,77</t>
  </si>
  <si>
    <t>1.864,26</t>
  </si>
  <si>
    <t>2.283,92</t>
  </si>
  <si>
    <t>2.702,06</t>
  </si>
  <si>
    <t>658,65</t>
  </si>
  <si>
    <t>604,67</t>
  </si>
  <si>
    <t>276,56</t>
  </si>
  <si>
    <t>319,93</t>
  </si>
  <si>
    <t>372,20</t>
  </si>
  <si>
    <t>942,78</t>
  </si>
  <si>
    <t>141,87</t>
  </si>
  <si>
    <t>161,56</t>
  </si>
  <si>
    <t>182,08</t>
  </si>
  <si>
    <t>201,68</t>
  </si>
  <si>
    <t>154,73</t>
  </si>
  <si>
    <t>175,73</t>
  </si>
  <si>
    <t>196,44</t>
  </si>
  <si>
    <t>217,46</t>
  </si>
  <si>
    <t>169,48</t>
  </si>
  <si>
    <t>206,09</t>
  </si>
  <si>
    <t>184,20</t>
  </si>
  <si>
    <t>216,36</t>
  </si>
  <si>
    <t>226,18</t>
  </si>
  <si>
    <t>152,01</t>
  </si>
  <si>
    <t>172,01</t>
  </si>
  <si>
    <t>193,59</t>
  </si>
  <si>
    <t>213,73</t>
  </si>
  <si>
    <t>162,60</t>
  </si>
  <si>
    <t>184,14</t>
  </si>
  <si>
    <t>205,23</t>
  </si>
  <si>
    <t>227,09</t>
  </si>
  <si>
    <t>175,53</t>
  </si>
  <si>
    <t>178,50</t>
  </si>
  <si>
    <t>209,70</t>
  </si>
  <si>
    <t>189,85</t>
  </si>
  <si>
    <t>222,54</t>
  </si>
  <si>
    <t>248,87</t>
  </si>
  <si>
    <t>233,66</t>
  </si>
  <si>
    <t>224,45</t>
  </si>
  <si>
    <t>217,91</t>
  </si>
  <si>
    <t>212,75</t>
  </si>
  <si>
    <t>264,57</t>
  </si>
  <si>
    <t>248,44</t>
  </si>
  <si>
    <t>238,80</t>
  </si>
  <si>
    <t>231,96</t>
  </si>
  <si>
    <t>228,69</t>
  </si>
  <si>
    <t>213,52</t>
  </si>
  <si>
    <t>204,38</t>
  </si>
  <si>
    <t>195,94</t>
  </si>
  <si>
    <t>192,75</t>
  </si>
  <si>
    <t>244,39</t>
  </si>
  <si>
    <t>228,31</t>
  </si>
  <si>
    <t>218,71</t>
  </si>
  <si>
    <t>211,93</t>
  </si>
  <si>
    <t>200,37</t>
  </si>
  <si>
    <t>975,19</t>
  </si>
  <si>
    <t>577,16</t>
  </si>
  <si>
    <t>760,03</t>
  </si>
  <si>
    <t>461,51</t>
  </si>
  <si>
    <t>1.425,79</t>
  </si>
  <si>
    <t>125,90</t>
  </si>
  <si>
    <t>218,42</t>
  </si>
  <si>
    <t>122,79</t>
  </si>
  <si>
    <t>155,63</t>
  </si>
  <si>
    <t>156,29</t>
  </si>
  <si>
    <t>236,56</t>
  </si>
  <si>
    <t>295,15</t>
  </si>
  <si>
    <t>412,41</t>
  </si>
  <si>
    <t>626,56</t>
  </si>
  <si>
    <t>865,88</t>
  </si>
  <si>
    <t>1.140,78</t>
  </si>
  <si>
    <t>1.125,86</t>
  </si>
  <si>
    <t>2.669,12</t>
  </si>
  <si>
    <t>925,42</t>
  </si>
  <si>
    <t>2.304,88</t>
  </si>
  <si>
    <t>1.908,09</t>
  </si>
  <si>
    <t>3.523,41</t>
  </si>
  <si>
    <t>1.929,60</t>
  </si>
  <si>
    <t>3.408,37</t>
  </si>
  <si>
    <t>3.094,25</t>
  </si>
  <si>
    <t>5.374,45</t>
  </si>
  <si>
    <t>1.633,70</t>
  </si>
  <si>
    <t>3.565,25</t>
  </si>
  <si>
    <t>1.838,73</t>
  </si>
  <si>
    <t>3.246,08</t>
  </si>
  <si>
    <t>2.898,35</t>
  </si>
  <si>
    <t>5.376,29</t>
  </si>
  <si>
    <t>581,53</t>
  </si>
  <si>
    <t>734,97</t>
  </si>
  <si>
    <t>1.318,24</t>
  </si>
  <si>
    <t>1.833,40</t>
  </si>
  <si>
    <t>1.117,44</t>
  </si>
  <si>
    <t>2.383,54</t>
  </si>
  <si>
    <t>1.261,17</t>
  </si>
  <si>
    <t>541,08</t>
  </si>
  <si>
    <t>1.509,23</t>
  </si>
  <si>
    <t>3.504,26</t>
  </si>
  <si>
    <t>1.757,22</t>
  </si>
  <si>
    <t>989,55</t>
  </si>
  <si>
    <t>4.506,39</t>
  </si>
  <si>
    <t>2.129,36</t>
  </si>
  <si>
    <t>3.274,66</t>
  </si>
  <si>
    <t>1.605,81</t>
  </si>
  <si>
    <t>4.143,83</t>
  </si>
  <si>
    <t>1.918,37</t>
  </si>
  <si>
    <t>2.231,01</t>
  </si>
  <si>
    <t>2.543,58</t>
  </si>
  <si>
    <t>6.787,88</t>
  </si>
  <si>
    <t>2.856,24</t>
  </si>
  <si>
    <t>3.168,89</t>
  </si>
  <si>
    <t>8.535,39</t>
  </si>
  <si>
    <t>3.481,44</t>
  </si>
  <si>
    <t>5.165,82</t>
  </si>
  <si>
    <t>6.308,51</t>
  </si>
  <si>
    <t>7.422,05</t>
  </si>
  <si>
    <t>8.535,52</t>
  </si>
  <si>
    <t>9.649,16</t>
  </si>
  <si>
    <t>10.762,65</t>
  </si>
  <si>
    <t>3.821,94</t>
  </si>
  <si>
    <t>7.658,68</t>
  </si>
  <si>
    <t>2.884,16</t>
  </si>
  <si>
    <t>8.995,48</t>
  </si>
  <si>
    <t>3.196,72</t>
  </si>
  <si>
    <t>10.396,82</t>
  </si>
  <si>
    <t>3.509,37</t>
  </si>
  <si>
    <t>11.741,82</t>
  </si>
  <si>
    <t>13.086,85</t>
  </si>
  <si>
    <t>4.140,26</t>
  </si>
  <si>
    <t>10.732,24</t>
  </si>
  <si>
    <t>3.515,18</t>
  </si>
  <si>
    <t>12.378,84</t>
  </si>
  <si>
    <t>3.827,75</t>
  </si>
  <si>
    <t>14.025,41</t>
  </si>
  <si>
    <t>15.672,02</t>
  </si>
  <si>
    <t>4.458,64</t>
  </si>
  <si>
    <t>14.355,27</t>
  </si>
  <si>
    <t>4.146,09</t>
  </si>
  <si>
    <t>16.260,00</t>
  </si>
  <si>
    <t>18.164,75</t>
  </si>
  <si>
    <t>4.777,10</t>
  </si>
  <si>
    <t>18.494,71</t>
  </si>
  <si>
    <t>20.657,36</t>
  </si>
  <si>
    <t>5.095,50</t>
  </si>
  <si>
    <t>23.150,12</t>
  </si>
  <si>
    <t>5.357,02</t>
  </si>
  <si>
    <t>298,95</t>
  </si>
  <si>
    <t>1.022,59</t>
  </si>
  <si>
    <t>2.938,98</t>
  </si>
  <si>
    <t>7.661,58</t>
  </si>
  <si>
    <t>5.012,88</t>
  </si>
  <si>
    <t>5.882,02</t>
  </si>
  <si>
    <t>409,07</t>
  </si>
  <si>
    <t>1.442,84</t>
  </si>
  <si>
    <t>717,15</t>
  </si>
  <si>
    <t>2.146,09</t>
  </si>
  <si>
    <t>3.388,79</t>
  </si>
  <si>
    <t>1.647,86</t>
  </si>
  <si>
    <t>6.169,77</t>
  </si>
  <si>
    <t>984,02</t>
  </si>
  <si>
    <t>2.446,18</t>
  </si>
  <si>
    <t>4.367,03</t>
  </si>
  <si>
    <t>2.002,97</t>
  </si>
  <si>
    <t>3.202,34</t>
  </si>
  <si>
    <t>1.545,86</t>
  </si>
  <si>
    <t>7.258,30</t>
  </si>
  <si>
    <t>4.051,54</t>
  </si>
  <si>
    <t>1.845,95</t>
  </si>
  <si>
    <t>2.746,34</t>
  </si>
  <si>
    <t>4.900,65</t>
  </si>
  <si>
    <t>5.749,82</t>
  </si>
  <si>
    <t>576,36</t>
  </si>
  <si>
    <t>728,93</t>
  </si>
  <si>
    <t>8.346,75</t>
  </si>
  <si>
    <t>1.266,26</t>
  </si>
  <si>
    <t>1.741,26</t>
  </si>
  <si>
    <t>6.635,73</t>
  </si>
  <si>
    <t>1.107,29</t>
  </si>
  <si>
    <t>3.046,50</t>
  </si>
  <si>
    <t>406,61</t>
  </si>
  <si>
    <t>7.489,47</t>
  </si>
  <si>
    <t>2.292,47</t>
  </si>
  <si>
    <t>3.375,76</t>
  </si>
  <si>
    <t>1.174,48</t>
  </si>
  <si>
    <t>9.435,36</t>
  </si>
  <si>
    <t>1.433,07</t>
  </si>
  <si>
    <t>8.343,33</t>
  </si>
  <si>
    <t>12.106,72</t>
  </si>
  <si>
    <t>537,85</t>
  </si>
  <si>
    <t>3.346,57</t>
  </si>
  <si>
    <t>5.052,11</t>
  </si>
  <si>
    <t>2.835,14</t>
  </si>
  <si>
    <t>1.411,20</t>
  </si>
  <si>
    <t>10.523,84</t>
  </si>
  <si>
    <t>3.675,86</t>
  </si>
  <si>
    <t>3.670,83</t>
  </si>
  <si>
    <t>13.716,73</t>
  </si>
  <si>
    <t>3.975,86</t>
  </si>
  <si>
    <t>15.326,79</t>
  </si>
  <si>
    <t>7.489,67</t>
  </si>
  <si>
    <t>4.280,99</t>
  </si>
  <si>
    <t>14.039,61</t>
  </si>
  <si>
    <t>3.980,91</t>
  </si>
  <si>
    <t>15.902,44</t>
  </si>
  <si>
    <t>2.770,50</t>
  </si>
  <si>
    <t>17.765,31</t>
  </si>
  <si>
    <t>4.586,17</t>
  </si>
  <si>
    <t>18.088,26</t>
  </si>
  <si>
    <t>8.797,01</t>
  </si>
  <si>
    <t>20.203,71</t>
  </si>
  <si>
    <t>4.891,30</t>
  </si>
  <si>
    <t>22.642,26</t>
  </si>
  <si>
    <t>3.070,58</t>
  </si>
  <si>
    <t>297,85</t>
  </si>
  <si>
    <t>950,07</t>
  </si>
  <si>
    <t>10.168,86</t>
  </si>
  <si>
    <t>3.370,74</t>
  </si>
  <si>
    <t>11.484,40</t>
  </si>
  <si>
    <t>12.799,94</t>
  </si>
  <si>
    <t>10.496,69</t>
  </si>
  <si>
    <t>5.147,21</t>
  </si>
  <si>
    <t>1.573,89</t>
  </si>
  <si>
    <t>1.251,74</t>
  </si>
  <si>
    <t>564,16</t>
  </si>
  <si>
    <t>559,86</t>
  </si>
  <si>
    <t>572,15</t>
  </si>
  <si>
    <t>3.563,70</t>
  </si>
  <si>
    <t>1.976,98</t>
  </si>
  <si>
    <t>3.035,47</t>
  </si>
  <si>
    <t>2.989,66</t>
  </si>
  <si>
    <t>1.811,40</t>
  </si>
  <si>
    <t>50,84</t>
  </si>
  <si>
    <t>74,05</t>
  </si>
  <si>
    <t>77,78</t>
  </si>
  <si>
    <t>94,66</t>
  </si>
  <si>
    <t>136,31</t>
  </si>
  <si>
    <t>142,01</t>
  </si>
  <si>
    <t>167,00</t>
  </si>
  <si>
    <t>59,94</t>
  </si>
  <si>
    <t>56,27</t>
  </si>
  <si>
    <t>87,02</t>
  </si>
  <si>
    <t>98,53</t>
  </si>
  <si>
    <t>120,22</t>
  </si>
  <si>
    <t>131,73</t>
  </si>
  <si>
    <t>152,87</t>
  </si>
  <si>
    <t>164,38</t>
  </si>
  <si>
    <t>118,81</t>
  </si>
  <si>
    <t>321,18</t>
  </si>
  <si>
    <t>4.128,51</t>
  </si>
  <si>
    <t>5.162,89</t>
  </si>
  <si>
    <t>6.975,09</t>
  </si>
  <si>
    <t>8.351,19</t>
  </si>
  <si>
    <t>102,16</t>
  </si>
  <si>
    <t>1.355,62</t>
  </si>
  <si>
    <t>1.470,06</t>
  </si>
  <si>
    <t>3.061,02</t>
  </si>
  <si>
    <t>5.168,80</t>
  </si>
  <si>
    <t>7.809,77</t>
  </si>
  <si>
    <t>11.044,11</t>
  </si>
  <si>
    <t>19.272,19</t>
  </si>
  <si>
    <t>6.270,90</t>
  </si>
  <si>
    <t>9.472,02</t>
  </si>
  <si>
    <t>13.416,11</t>
  </si>
  <si>
    <t>23.448,78</t>
  </si>
  <si>
    <t>11.803,69</t>
  </si>
  <si>
    <t>16.639,05</t>
  </si>
  <si>
    <t>28.799,27</t>
  </si>
  <si>
    <t>3.754,59</t>
  </si>
  <si>
    <t>6.622,69</t>
  </si>
  <si>
    <t>10.667,38</t>
  </si>
  <si>
    <t>15.939,69</t>
  </si>
  <si>
    <t>30.580,34</t>
  </si>
  <si>
    <t>15.002,64</t>
  </si>
  <si>
    <t>22.487,59</t>
  </si>
  <si>
    <t>42.208,64</t>
  </si>
  <si>
    <t>19.353,06</t>
  </si>
  <si>
    <t>29.058,42</t>
  </si>
  <si>
    <t>54.029,71</t>
  </si>
  <si>
    <t>17.549,91</t>
  </si>
  <si>
    <t>27.678,85</t>
  </si>
  <si>
    <t>38.582,05</t>
  </si>
  <si>
    <t>55.307,59</t>
  </si>
  <si>
    <t>21.991,59</t>
  </si>
  <si>
    <t>33.827,89</t>
  </si>
  <si>
    <t>47.266,46</t>
  </si>
  <si>
    <t>67.028,63</t>
  </si>
  <si>
    <t>25.759,37</t>
  </si>
  <si>
    <t>40.041,26</t>
  </si>
  <si>
    <t>55.929,16</t>
  </si>
  <si>
    <t>79.559,43</t>
  </si>
  <si>
    <t>9.947,14</t>
  </si>
  <si>
    <t>15.008,02</t>
  </si>
  <si>
    <t>22.817,46</t>
  </si>
  <si>
    <t>34.613,42</t>
  </si>
  <si>
    <t>11.430,48</t>
  </si>
  <si>
    <t>17.123,97</t>
  </si>
  <si>
    <t>19.163,44</t>
  </si>
  <si>
    <t>25.489,54</t>
  </si>
  <si>
    <t>40.511,40</t>
  </si>
  <si>
    <t>12.837,34</t>
  </si>
  <si>
    <t>21.188,57</t>
  </si>
  <si>
    <t>28.075,58</t>
  </si>
  <si>
    <t>46.648,38</t>
  </si>
  <si>
    <t>37.008,92</t>
  </si>
  <si>
    <t>60.593,93</t>
  </si>
  <si>
    <t>81.941,34</t>
  </si>
  <si>
    <t>118.138,23</t>
  </si>
  <si>
    <t>39.340,68</t>
  </si>
  <si>
    <t>63.949,05</t>
  </si>
  <si>
    <t>90.692,81</t>
  </si>
  <si>
    <t>111.517,07</t>
  </si>
  <si>
    <t>40.184,16</t>
  </si>
  <si>
    <t>70.055,04</t>
  </si>
  <si>
    <t>98.224,78</t>
  </si>
  <si>
    <t>118.054,68</t>
  </si>
  <si>
    <t>62,49</t>
  </si>
  <si>
    <t>40,97</t>
  </si>
  <si>
    <t>86,97</t>
  </si>
  <si>
    <t>126,88</t>
  </si>
  <si>
    <t>65,75</t>
  </si>
  <si>
    <t>12,11</t>
  </si>
  <si>
    <t>966,33</t>
  </si>
  <si>
    <t>967,86</t>
  </si>
  <si>
    <t>998,01</t>
  </si>
  <si>
    <t>1.169,06</t>
  </si>
  <si>
    <t>1.230,66</t>
  </si>
  <si>
    <t>824,95</t>
  </si>
  <si>
    <t>831,59</t>
  </si>
  <si>
    <t>838,22</t>
  </si>
  <si>
    <t>844,87</t>
  </si>
  <si>
    <t>1.233,08</t>
  </si>
  <si>
    <t>1.271,19</t>
  </si>
  <si>
    <t>317,28</t>
  </si>
  <si>
    <t>361,53</t>
  </si>
  <si>
    <t>388,04</t>
  </si>
  <si>
    <t>480,74</t>
  </si>
  <si>
    <t>773,19</t>
  </si>
  <si>
    <t>150,66</t>
  </si>
  <si>
    <t>132,02</t>
  </si>
  <si>
    <t>883,37</t>
  </si>
  <si>
    <t>891,38</t>
  </si>
  <si>
    <t>938,18</t>
  </si>
  <si>
    <t>1.032,52</t>
  </si>
  <si>
    <t>1.243,12</t>
  </si>
  <si>
    <t>1.324,97</t>
  </si>
  <si>
    <t>751,35</t>
  </si>
  <si>
    <t>759,36</t>
  </si>
  <si>
    <t>787,52</t>
  </si>
  <si>
    <t>881,86</t>
  </si>
  <si>
    <t>1.092,46</t>
  </si>
  <si>
    <t>1.174,31</t>
  </si>
  <si>
    <t>375,41</t>
  </si>
  <si>
    <t>441,84</t>
  </si>
  <si>
    <t>492,49</t>
  </si>
  <si>
    <t>764,60</t>
  </si>
  <si>
    <t>773,24</t>
  </si>
  <si>
    <t>841,32</t>
  </si>
  <si>
    <t>893,61</t>
  </si>
  <si>
    <t>175,30</t>
  </si>
  <si>
    <t>264,31</t>
  </si>
  <si>
    <t>379,88</t>
  </si>
  <si>
    <t>407,46</t>
  </si>
  <si>
    <t>449,48</t>
  </si>
  <si>
    <t>599,66</t>
  </si>
  <si>
    <t>828,54</t>
  </si>
  <si>
    <t>92,00</t>
  </si>
  <si>
    <t>91,66</t>
  </si>
  <si>
    <t>767,09</t>
  </si>
  <si>
    <t>761,02</t>
  </si>
  <si>
    <t>802,65</t>
  </si>
  <si>
    <t>896,51</t>
  </si>
  <si>
    <t>1.107,59</t>
  </si>
  <si>
    <t>1.188,96</t>
  </si>
  <si>
    <t>675,43</t>
  </si>
  <si>
    <t>682,97</t>
  </si>
  <si>
    <t>710,65</t>
  </si>
  <si>
    <t>804,51</t>
  </si>
  <si>
    <t>1.015,59</t>
  </si>
  <si>
    <t>1.096,96</t>
  </si>
  <si>
    <t>688,68</t>
  </si>
  <si>
    <t>696,85</t>
  </si>
  <si>
    <t>764,45</t>
  </si>
  <si>
    <t>816,26</t>
  </si>
  <si>
    <t>776,07</t>
  </si>
  <si>
    <t>700,15</t>
  </si>
  <si>
    <t>805,29</t>
  </si>
  <si>
    <t>728,90</t>
  </si>
  <si>
    <t>848,96</t>
  </si>
  <si>
    <t>772,09</t>
  </si>
  <si>
    <t>999,14</t>
  </si>
  <si>
    <t>922,27</t>
  </si>
  <si>
    <t>1.228,02</t>
  </si>
  <si>
    <t>1.151,15</t>
  </si>
  <si>
    <t>1.097,53</t>
  </si>
  <si>
    <t>896,62</t>
  </si>
  <si>
    <t>780,34</t>
  </si>
  <si>
    <t>905,26</t>
  </si>
  <si>
    <t>937,31</t>
  </si>
  <si>
    <t>806,95</t>
  </si>
  <si>
    <t>991,98</t>
  </si>
  <si>
    <t>856,45</t>
  </si>
  <si>
    <t>1.044,27</t>
  </si>
  <si>
    <t>908,26</t>
  </si>
  <si>
    <t>908,09</t>
  </si>
  <si>
    <t>791,81</t>
  </si>
  <si>
    <t>999,62</t>
  </si>
  <si>
    <t>864,09</t>
  </si>
  <si>
    <t>1.149,80</t>
  </si>
  <si>
    <t>1.014,27</t>
  </si>
  <si>
    <t>1.378,68</t>
  </si>
  <si>
    <t>1.243,15</t>
  </si>
  <si>
    <t>52,15</t>
  </si>
  <si>
    <t>63,92</t>
  </si>
  <si>
    <t>69,81</t>
  </si>
  <si>
    <t>83,08</t>
  </si>
  <si>
    <t>838,80</t>
  </si>
  <si>
    <t>774,90</t>
  </si>
  <si>
    <t>353,70</t>
  </si>
  <si>
    <t>295,98</t>
  </si>
  <si>
    <t>435,30</t>
  </si>
  <si>
    <t>653,71</t>
  </si>
  <si>
    <t>339,59</t>
  </si>
  <si>
    <t>420,64</t>
  </si>
  <si>
    <t>503,72</t>
  </si>
  <si>
    <t>352,39</t>
  </si>
  <si>
    <t>664,42</t>
  </si>
  <si>
    <t>670,65</t>
  </si>
  <si>
    <t>629,08</t>
  </si>
  <si>
    <t>71,34</t>
  </si>
  <si>
    <t>65,20</t>
  </si>
  <si>
    <t>539,34</t>
  </si>
  <si>
    <t>468,79</t>
  </si>
  <si>
    <t>1.572,15</t>
  </si>
  <si>
    <t>97,57</t>
  </si>
  <si>
    <t>607,31</t>
  </si>
  <si>
    <t>518,83</t>
  </si>
  <si>
    <t>1.661,52</t>
  </si>
  <si>
    <t>830,49</t>
  </si>
  <si>
    <t>642,87</t>
  </si>
  <si>
    <t>848,71</t>
  </si>
  <si>
    <t>782,36</t>
  </si>
  <si>
    <t>713,10</t>
  </si>
  <si>
    <t>460,77</t>
  </si>
  <si>
    <t>816,98</t>
  </si>
  <si>
    <t>218,56</t>
  </si>
  <si>
    <t>81,90</t>
  </si>
  <si>
    <t>155,64</t>
  </si>
  <si>
    <t>196,39</t>
  </si>
  <si>
    <t>42,69</t>
  </si>
  <si>
    <t>260,65</t>
  </si>
  <si>
    <t>291,90</t>
  </si>
  <si>
    <t>375,23</t>
  </si>
  <si>
    <t>325,40</t>
  </si>
  <si>
    <t>393,57</t>
  </si>
  <si>
    <t>380,06</t>
  </si>
  <si>
    <t>525,90</t>
  </si>
  <si>
    <t>535,89</t>
  </si>
  <si>
    <t>250,23</t>
  </si>
  <si>
    <t>429,39</t>
  </si>
  <si>
    <t>460,64</t>
  </si>
  <si>
    <t>543,97</t>
  </si>
  <si>
    <t>463,16</t>
  </si>
  <si>
    <t>531,33</t>
  </si>
  <si>
    <t>486,74</t>
  </si>
  <si>
    <t>632,58</t>
  </si>
  <si>
    <t>614,96</t>
  </si>
  <si>
    <t>418,97</t>
  </si>
  <si>
    <t>796,50</t>
  </si>
  <si>
    <t>1.385,00</t>
  </si>
  <si>
    <t>2.874,72</t>
  </si>
  <si>
    <t>3.316,46</t>
  </si>
  <si>
    <t>496,74</t>
  </si>
  <si>
    <t>598,96</t>
  </si>
  <si>
    <t>733,75</t>
  </si>
  <si>
    <t>1.499,78</t>
  </si>
  <si>
    <t>3.009,96</t>
  </si>
  <si>
    <t>2.297,46</t>
  </si>
  <si>
    <t>4.605,03</t>
  </si>
  <si>
    <t>19,38</t>
  </si>
  <si>
    <t>606,06</t>
  </si>
  <si>
    <t>313,27</t>
  </si>
  <si>
    <t>444,23</t>
  </si>
  <si>
    <t>361,97</t>
  </si>
  <si>
    <t>494,20</t>
  </si>
  <si>
    <t>645,60</t>
  </si>
  <si>
    <t>1.553,75</t>
  </si>
  <si>
    <t>1.488,13</t>
  </si>
  <si>
    <t>1.406,52</t>
  </si>
  <si>
    <t>1.305,08</t>
  </si>
  <si>
    <t>1.266,63</t>
  </si>
  <si>
    <t>1.241,35</t>
  </si>
  <si>
    <t>1.215,49</t>
  </si>
  <si>
    <t>1.150,26</t>
  </si>
  <si>
    <t>2.061,78</t>
  </si>
  <si>
    <t>1.987,98</t>
  </si>
  <si>
    <t>1.894,52</t>
  </si>
  <si>
    <t>1.776,76</t>
  </si>
  <si>
    <t>1.769,59</t>
  </si>
  <si>
    <t>1.736,38</t>
  </si>
  <si>
    <t>1.699,26</t>
  </si>
  <si>
    <t>1.618,29</t>
  </si>
  <si>
    <t>1.191,08</t>
  </si>
  <si>
    <t>1.711,37</t>
  </si>
  <si>
    <t>40,04</t>
  </si>
  <si>
    <t>114,08</t>
  </si>
  <si>
    <t>226,83</t>
  </si>
  <si>
    <t>479,86</t>
  </si>
  <si>
    <t>833,67</t>
  </si>
  <si>
    <t>1.100,37</t>
  </si>
  <si>
    <t>1.304,05</t>
  </si>
  <si>
    <t>115,30</t>
  </si>
  <si>
    <t>149,50</t>
  </si>
  <si>
    <t>348,38</t>
  </si>
  <si>
    <t>99,03</t>
  </si>
  <si>
    <t>215,32</t>
  </si>
  <si>
    <t>445,53</t>
  </si>
  <si>
    <t>117,78</t>
  </si>
  <si>
    <t>516,68</t>
  </si>
  <si>
    <t>69,60</t>
  </si>
  <si>
    <t>131,87</t>
  </si>
  <si>
    <t>164,52</t>
  </si>
  <si>
    <t>94,11</t>
  </si>
  <si>
    <t>138,07</t>
  </si>
  <si>
    <t>182,03</t>
  </si>
  <si>
    <t>23,37</t>
  </si>
  <si>
    <t>801,89</t>
  </si>
  <si>
    <t>779,29</t>
  </si>
  <si>
    <t>371,81</t>
  </si>
  <si>
    <t>305,34</t>
  </si>
  <si>
    <t>356,35</t>
  </si>
  <si>
    <t>299,88</t>
  </si>
  <si>
    <t>116,44</t>
  </si>
  <si>
    <t>1.362,35</t>
  </si>
  <si>
    <t>278,49</t>
  </si>
  <si>
    <t>358,36</t>
  </si>
  <si>
    <t>435,05</t>
  </si>
  <si>
    <t>283,69</t>
  </si>
  <si>
    <t>110,61</t>
  </si>
  <si>
    <t>299,17</t>
  </si>
  <si>
    <t>517,56</t>
  </si>
  <si>
    <t>614,36</t>
  </si>
  <si>
    <t>288,99</t>
  </si>
  <si>
    <t>333,58</t>
  </si>
  <si>
    <t>228,35</t>
  </si>
  <si>
    <t>384,91</t>
  </si>
  <si>
    <t>467,42</t>
  </si>
  <si>
    <t>564,22</t>
  </si>
  <si>
    <t>181,96</t>
  </si>
  <si>
    <t>140,67</t>
  </si>
  <si>
    <t>203,22</t>
  </si>
  <si>
    <t>83,36</t>
  </si>
  <si>
    <t>89,82</t>
  </si>
  <si>
    <t>184,29</t>
  </si>
  <si>
    <t>126,91</t>
  </si>
  <si>
    <t>145,48</t>
  </si>
  <si>
    <t>90,56</t>
  </si>
  <si>
    <t>106,20</t>
  </si>
  <si>
    <t>73,72</t>
  </si>
  <si>
    <t>63,67</t>
  </si>
  <si>
    <t>60,22</t>
  </si>
  <si>
    <t>71,78</t>
  </si>
  <si>
    <t>69,01</t>
  </si>
  <si>
    <t>63,15</t>
  </si>
  <si>
    <t>251,13</t>
  </si>
  <si>
    <t>174,69</t>
  </si>
  <si>
    <t>135,85</t>
  </si>
  <si>
    <t>280,23</t>
  </si>
  <si>
    <t>320,94</t>
  </si>
  <si>
    <t>194,63</t>
  </si>
  <si>
    <t>237,81</t>
  </si>
  <si>
    <t>286,84</t>
  </si>
  <si>
    <t>157,61</t>
  </si>
  <si>
    <t>154,14</t>
  </si>
  <si>
    <t>204,94</t>
  </si>
  <si>
    <t>265,74</t>
  </si>
  <si>
    <t>127,89</t>
  </si>
  <si>
    <t>188,28</t>
  </si>
  <si>
    <t>119,21</t>
  </si>
  <si>
    <t>152,99</t>
  </si>
  <si>
    <t>139,06</t>
  </si>
  <si>
    <t>111,60</t>
  </si>
  <si>
    <t>127,86</t>
  </si>
  <si>
    <t>236,12</t>
  </si>
  <si>
    <t>106,33</t>
  </si>
  <si>
    <t>223,98</t>
  </si>
  <si>
    <t>68,86</t>
  </si>
  <si>
    <t>95,51</t>
  </si>
  <si>
    <t>281,68</t>
  </si>
  <si>
    <t>195,32</t>
  </si>
  <si>
    <t>140,06</t>
  </si>
  <si>
    <t>109,04</t>
  </si>
  <si>
    <t>103,97</t>
  </si>
  <si>
    <t>100,24</t>
  </si>
  <si>
    <t>61,85</t>
  </si>
  <si>
    <t>67,29</t>
  </si>
  <si>
    <t>93,06</t>
  </si>
  <si>
    <t>57,97</t>
  </si>
  <si>
    <t>86,73</t>
  </si>
  <si>
    <t>87,57</t>
  </si>
  <si>
    <t>83,75</t>
  </si>
  <si>
    <t>80,52</t>
  </si>
  <si>
    <t>74,11</t>
  </si>
  <si>
    <t>248,62</t>
  </si>
  <si>
    <t>198,26</t>
  </si>
  <si>
    <t>186,05</t>
  </si>
  <si>
    <t>218,59</t>
  </si>
  <si>
    <t>295,86</t>
  </si>
  <si>
    <t>159,58</t>
  </si>
  <si>
    <t>112,54</t>
  </si>
  <si>
    <t>189,53</t>
  </si>
  <si>
    <t>99,56</t>
  </si>
  <si>
    <t>79,47</t>
  </si>
  <si>
    <t>134,12</t>
  </si>
  <si>
    <t>188,42</t>
  </si>
  <si>
    <t>264,01</t>
  </si>
  <si>
    <t>129,36</t>
  </si>
  <si>
    <t>93,35</t>
  </si>
  <si>
    <t>228,21</t>
  </si>
  <si>
    <t>162,83</t>
  </si>
  <si>
    <t>173,61</t>
  </si>
  <si>
    <t>408,94</t>
  </si>
  <si>
    <t>346,31</t>
  </si>
  <si>
    <t>305,39</t>
  </si>
  <si>
    <t>287,36</t>
  </si>
  <si>
    <t>258,85</t>
  </si>
  <si>
    <t>228,90</t>
  </si>
  <si>
    <t>210,00</t>
  </si>
  <si>
    <t>258,60</t>
  </si>
  <si>
    <t>175,47</t>
  </si>
  <si>
    <t>233,41</t>
  </si>
  <si>
    <t>168,85</t>
  </si>
  <si>
    <t>186,92</t>
  </si>
  <si>
    <t>254,79</t>
  </si>
  <si>
    <t>175,32</t>
  </si>
  <si>
    <t>240,41</t>
  </si>
  <si>
    <t>252,20</t>
  </si>
  <si>
    <t>179,72</t>
  </si>
  <si>
    <t>200,79</t>
  </si>
  <si>
    <t>175,66</t>
  </si>
  <si>
    <t>257,56</t>
  </si>
  <si>
    <t>420,72</t>
  </si>
  <si>
    <t>360,91</t>
  </si>
  <si>
    <t>310,62</t>
  </si>
  <si>
    <t>291,64</t>
  </si>
  <si>
    <t>233,63</t>
  </si>
  <si>
    <t>212,61</t>
  </si>
  <si>
    <t>405,47</t>
  </si>
  <si>
    <t>337,47</t>
  </si>
  <si>
    <t>304,66</t>
  </si>
  <si>
    <t>283,55</t>
  </si>
  <si>
    <t>252,94</t>
  </si>
  <si>
    <t>205,49</t>
  </si>
  <si>
    <t>456,49</t>
  </si>
  <si>
    <t>381,38</t>
  </si>
  <si>
    <t>305,49</t>
  </si>
  <si>
    <t>284,03</t>
  </si>
  <si>
    <t>257,41</t>
  </si>
  <si>
    <t>224,53</t>
  </si>
  <si>
    <t>206,32</t>
  </si>
  <si>
    <t>423,85</t>
  </si>
  <si>
    <t>308,06</t>
  </si>
  <si>
    <t>283,67</t>
  </si>
  <si>
    <t>254,09</t>
  </si>
  <si>
    <t>224,02</t>
  </si>
  <si>
    <t>205,97</t>
  </si>
  <si>
    <t>465,72</t>
  </si>
  <si>
    <t>396,31</t>
  </si>
  <si>
    <t>298,61</t>
  </si>
  <si>
    <t>272,92</t>
  </si>
  <si>
    <t>248,14</t>
  </si>
  <si>
    <t>215,02</t>
  </si>
  <si>
    <t>393,20</t>
  </si>
  <si>
    <t>329,17</t>
  </si>
  <si>
    <t>287,13</t>
  </si>
  <si>
    <t>270,70</t>
  </si>
  <si>
    <t>242,37</t>
  </si>
  <si>
    <t>211,92</t>
  </si>
  <si>
    <t>195,09</t>
  </si>
  <si>
    <t>413,26</t>
  </si>
  <si>
    <t>352,81</t>
  </si>
  <si>
    <t>277,07</t>
  </si>
  <si>
    <t>260,35</t>
  </si>
  <si>
    <t>206,13</t>
  </si>
  <si>
    <t>187,44</t>
  </si>
  <si>
    <t>4.567,65</t>
  </si>
  <si>
    <t>5.395,90</t>
  </si>
  <si>
    <t>5.588,22</t>
  </si>
  <si>
    <t>5.742,70</t>
  </si>
  <si>
    <t>6.230,09</t>
  </si>
  <si>
    <t>6.383,49</t>
  </si>
  <si>
    <t>6.132,46</t>
  </si>
  <si>
    <t>5.507,99</t>
  </si>
  <si>
    <t>239,78</t>
  </si>
  <si>
    <t>171,99</t>
  </si>
  <si>
    <t>187,00</t>
  </si>
  <si>
    <t>243,37</t>
  </si>
  <si>
    <t>166,47</t>
  </si>
  <si>
    <t>218,08</t>
  </si>
  <si>
    <t>120,99</t>
  </si>
  <si>
    <t>80,57</t>
  </si>
  <si>
    <t>67,15</t>
  </si>
  <si>
    <t>15,55</t>
  </si>
  <si>
    <t>10,11</t>
  </si>
  <si>
    <t>22,76</t>
  </si>
  <si>
    <t>1.347,51</t>
  </si>
  <si>
    <t>1.222,02</t>
  </si>
  <si>
    <t>1.315,42</t>
  </si>
  <si>
    <t>780,36</t>
  </si>
  <si>
    <t>869,29</t>
  </si>
  <si>
    <t>980,83</t>
  </si>
  <si>
    <t>1.167,11</t>
  </si>
  <si>
    <t>762,85</t>
  </si>
  <si>
    <t>851,15</t>
  </si>
  <si>
    <t>968,93</t>
  </si>
  <si>
    <t>1.160,97</t>
  </si>
  <si>
    <t>550,10</t>
  </si>
  <si>
    <t>628,81</t>
  </si>
  <si>
    <t>699,93</t>
  </si>
  <si>
    <t>744,28</t>
  </si>
  <si>
    <t>776,24</t>
  </si>
  <si>
    <t>901,17</t>
  </si>
  <si>
    <t>549,34</t>
  </si>
  <si>
    <t>624,74</t>
  </si>
  <si>
    <t>691,12</t>
  </si>
  <si>
    <t>741,17</t>
  </si>
  <si>
    <t>773,09</t>
  </si>
  <si>
    <t>897,25</t>
  </si>
  <si>
    <t>604,84</t>
  </si>
  <si>
    <t>676,88</t>
  </si>
  <si>
    <t>992,40</t>
  </si>
  <si>
    <t>1.069,10</t>
  </si>
  <si>
    <t>1.477,86</t>
  </si>
  <si>
    <t>1.484,66</t>
  </si>
  <si>
    <t>1.438,71</t>
  </si>
  <si>
    <t>1.474,30</t>
  </si>
  <si>
    <t>1.433,32</t>
  </si>
  <si>
    <t>1.537,65</t>
  </si>
  <si>
    <t>1.477,96</t>
  </si>
  <si>
    <t>1.435,83</t>
  </si>
  <si>
    <t>1.556,77</t>
  </si>
  <si>
    <t>1.521,00</t>
  </si>
  <si>
    <t>1.526,25</t>
  </si>
  <si>
    <t>1.449,24</t>
  </si>
  <si>
    <t>886,18</t>
  </si>
  <si>
    <t>956,08</t>
  </si>
  <si>
    <t>1.039,42</t>
  </si>
  <si>
    <t>1.084,90</t>
  </si>
  <si>
    <t>1.146,31</t>
  </si>
  <si>
    <t>1.249,55</t>
  </si>
  <si>
    <t>887,35</t>
  </si>
  <si>
    <t>953,22</t>
  </si>
  <si>
    <t>1.032,54</t>
  </si>
  <si>
    <t>1.086,96</t>
  </si>
  <si>
    <t>1.146,24</t>
  </si>
  <si>
    <t>1.252,75</t>
  </si>
  <si>
    <t>950,08</t>
  </si>
  <si>
    <t>1.008,34</t>
  </si>
  <si>
    <t>766,40</t>
  </si>
  <si>
    <t>1.485,36</t>
  </si>
  <si>
    <t>1.449,32</t>
  </si>
  <si>
    <t>1.695,56</t>
  </si>
  <si>
    <t>255,05</t>
  </si>
  <si>
    <t>1.481,86</t>
  </si>
  <si>
    <t>1.393,13</t>
  </si>
  <si>
    <t>35,53</t>
  </si>
  <si>
    <t>1.411,21</t>
  </si>
  <si>
    <t>1.394,10</t>
  </si>
  <si>
    <t>1.742,46</t>
  </si>
  <si>
    <t>1.597,02</t>
  </si>
  <si>
    <t>1.660,82</t>
  </si>
  <si>
    <t>1.560,75</t>
  </si>
  <si>
    <t>1.603,90</t>
  </si>
  <si>
    <t>1.504,81</t>
  </si>
  <si>
    <t>1.710,38</t>
  </si>
  <si>
    <t>1.957,47</t>
  </si>
  <si>
    <t>1.408,83</t>
  </si>
  <si>
    <t>1.398,05</t>
  </si>
  <si>
    <t>1.451,14</t>
  </si>
  <si>
    <t>1.800,81</t>
  </si>
  <si>
    <t>1.591,69</t>
  </si>
  <si>
    <t>261,10</t>
  </si>
  <si>
    <t>239,35</t>
  </si>
  <si>
    <t>1.267,88</t>
  </si>
  <si>
    <t>631,70</t>
  </si>
  <si>
    <t>104,97</t>
  </si>
  <si>
    <t>62,83</t>
  </si>
  <si>
    <t>84,56</t>
  </si>
  <si>
    <t>98,41</t>
  </si>
  <si>
    <t>76,24</t>
  </si>
  <si>
    <t>65,65</t>
  </si>
  <si>
    <t>66,36</t>
  </si>
  <si>
    <t>48,60</t>
  </si>
  <si>
    <t>93,28</t>
  </si>
  <si>
    <t>3.540,54</t>
  </si>
  <si>
    <t>3.087,28</t>
  </si>
  <si>
    <t>2.642,61</t>
  </si>
  <si>
    <t>1.834,25</t>
  </si>
  <si>
    <t>3.514,98</t>
  </si>
  <si>
    <t>6.189,53</t>
  </si>
  <si>
    <t>3.275,63</t>
  </si>
  <si>
    <t>2.556,53</t>
  </si>
  <si>
    <t>238,94</t>
  </si>
  <si>
    <t>206,35</t>
  </si>
  <si>
    <t>267,80</t>
  </si>
  <si>
    <t>254,61</t>
  </si>
  <si>
    <t>247,90</t>
  </si>
  <si>
    <t>317,75</t>
  </si>
  <si>
    <t>307,08</t>
  </si>
  <si>
    <t>301,54</t>
  </si>
  <si>
    <t>369,33</t>
  </si>
  <si>
    <t>360,14</t>
  </si>
  <si>
    <t>355,25</t>
  </si>
  <si>
    <t>762,66</t>
  </si>
  <si>
    <t>775,61</t>
  </si>
  <si>
    <t>801,51</t>
  </si>
  <si>
    <t>827,42</t>
  </si>
  <si>
    <t>68,29</t>
  </si>
  <si>
    <t>157,59</t>
  </si>
  <si>
    <t>209,22</t>
  </si>
  <si>
    <t>18,53</t>
  </si>
  <si>
    <t>23,15</t>
  </si>
  <si>
    <t>21,72</t>
  </si>
  <si>
    <t>44,61</t>
  </si>
  <si>
    <t>1.370,29</t>
  </si>
  <si>
    <t>617,00</t>
  </si>
  <si>
    <t>695,58</t>
  </si>
  <si>
    <t>875,21</t>
  </si>
  <si>
    <t>2.447,55</t>
  </si>
  <si>
    <t>2.112,12</t>
  </si>
  <si>
    <t>1.321,35</t>
  </si>
  <si>
    <t>920,04</t>
  </si>
  <si>
    <t>757,09</t>
  </si>
  <si>
    <t>733,20</t>
  </si>
  <si>
    <t>2.176,23</t>
  </si>
  <si>
    <t>41,86</t>
  </si>
  <si>
    <t>54,01</t>
  </si>
  <si>
    <t>57,83</t>
  </si>
  <si>
    <t>42,64</t>
  </si>
  <si>
    <t>3.211,04</t>
  </si>
  <si>
    <t>4.790,98</t>
  </si>
  <si>
    <t>3.956,39</t>
  </si>
  <si>
    <t>4.194,35</t>
  </si>
  <si>
    <t>3.558,22</t>
  </si>
  <si>
    <t>3.525,49</t>
  </si>
  <si>
    <t>4.879,07</t>
  </si>
  <si>
    <t>3.417,83</t>
  </si>
  <si>
    <t>53,12</t>
  </si>
  <si>
    <t>46,36</t>
  </si>
  <si>
    <t>89,32</t>
  </si>
  <si>
    <t>155,42</t>
  </si>
  <si>
    <t>56,16</t>
  </si>
  <si>
    <t>56,43</t>
  </si>
  <si>
    <t>72,53</t>
  </si>
  <si>
    <t>89,36</t>
  </si>
  <si>
    <t>89,62</t>
  </si>
  <si>
    <t>106,50</t>
  </si>
  <si>
    <t>65,92</t>
  </si>
  <si>
    <t>82,94</t>
  </si>
  <si>
    <t>9,19</t>
  </si>
  <si>
    <t>13,79</t>
  </si>
  <si>
    <t>19,78</t>
  </si>
  <si>
    <t>21,63</t>
  </si>
  <si>
    <t>42,53</t>
  </si>
  <si>
    <t>4,83</t>
  </si>
  <si>
    <t>17,00</t>
  </si>
  <si>
    <t>40,22</t>
  </si>
  <si>
    <t>58,61</t>
  </si>
  <si>
    <t>81,32</t>
  </si>
  <si>
    <t>105,23</t>
  </si>
  <si>
    <t>165,71</t>
  </si>
  <si>
    <t>203,18</t>
  </si>
  <si>
    <t>269,22</t>
  </si>
  <si>
    <t>26,50</t>
  </si>
  <si>
    <t>17,80</t>
  </si>
  <si>
    <t>24,39</t>
  </si>
  <si>
    <t>27,76</t>
  </si>
  <si>
    <t>22,98</t>
  </si>
  <si>
    <t>50,99</t>
  </si>
  <si>
    <t>39,05</t>
  </si>
  <si>
    <t>56,84</t>
  </si>
  <si>
    <t>43,04</t>
  </si>
  <si>
    <t>229,02</t>
  </si>
  <si>
    <t>443,40</t>
  </si>
  <si>
    <t>865,84</t>
  </si>
  <si>
    <t>1.333,59</t>
  </si>
  <si>
    <t>172,51</t>
  </si>
  <si>
    <t>270,42</t>
  </si>
  <si>
    <t>523,12</t>
  </si>
  <si>
    <t>713,02</t>
  </si>
  <si>
    <t>833,78</t>
  </si>
  <si>
    <t>231,39</t>
  </si>
  <si>
    <t>440,66</t>
  </si>
  <si>
    <t>607,79</t>
  </si>
  <si>
    <t>706,27</t>
  </si>
  <si>
    <t>26,58</t>
  </si>
  <si>
    <t>59,39</t>
  </si>
  <si>
    <t>62,69</t>
  </si>
  <si>
    <t>68,61</t>
  </si>
  <si>
    <t>73,91</t>
  </si>
  <si>
    <t>74,19</t>
  </si>
  <si>
    <t>75,80</t>
  </si>
  <si>
    <t>83,16</t>
  </si>
  <si>
    <t>3.383,76</t>
  </si>
  <si>
    <t>6.527,45</t>
  </si>
  <si>
    <t>8.703,28</t>
  </si>
  <si>
    <t>2.051,22</t>
  </si>
  <si>
    <t>438,69</t>
  </si>
  <si>
    <t>594,99</t>
  </si>
  <si>
    <t>636,21</t>
  </si>
  <si>
    <t>732,76</t>
  </si>
  <si>
    <t>1.054,90</t>
  </si>
  <si>
    <t>1.499,10</t>
  </si>
  <si>
    <t>606,21</t>
  </si>
  <si>
    <t>94,95</t>
  </si>
  <si>
    <t>158,38</t>
  </si>
  <si>
    <t>436,67</t>
  </si>
  <si>
    <t>660,53</t>
  </si>
  <si>
    <t>1.060,67</t>
  </si>
  <si>
    <t>1.421,91</t>
  </si>
  <si>
    <t>2.281,15</t>
  </si>
  <si>
    <t>4.769,91</t>
  </si>
  <si>
    <t>170,54</t>
  </si>
  <si>
    <t>210,34</t>
  </si>
  <si>
    <t>439,21</t>
  </si>
  <si>
    <t>1.626,50</t>
  </si>
  <si>
    <t>102,82</t>
  </si>
  <si>
    <t>36,57</t>
  </si>
  <si>
    <t>47,95</t>
  </si>
  <si>
    <t>57,82</t>
  </si>
  <si>
    <t>70,56</t>
  </si>
  <si>
    <t>74,40</t>
  </si>
  <si>
    <t>80,82</t>
  </si>
  <si>
    <t>98,20</t>
  </si>
  <si>
    <t>85,42</t>
  </si>
  <si>
    <t>109,69</t>
  </si>
  <si>
    <t>28,76</t>
  </si>
  <si>
    <t>39,54</t>
  </si>
  <si>
    <t>50,81</t>
  </si>
  <si>
    <t>43,44</t>
  </si>
  <si>
    <t>31,87</t>
  </si>
  <si>
    <t>34,72</t>
  </si>
  <si>
    <t>56,26</t>
  </si>
  <si>
    <t>38,49</t>
  </si>
  <si>
    <t>44,19</t>
  </si>
  <si>
    <t>49,76</t>
  </si>
  <si>
    <t>55,46</t>
  </si>
  <si>
    <t>66,12</t>
  </si>
  <si>
    <t>74,67</t>
  </si>
  <si>
    <t>77,39</t>
  </si>
  <si>
    <t>85,94</t>
  </si>
  <si>
    <t>64,94</t>
  </si>
  <si>
    <t>76,21</t>
  </si>
  <si>
    <t>74,76</t>
  </si>
  <si>
    <t>110,76</t>
  </si>
  <si>
    <t>128,14</t>
  </si>
  <si>
    <t>61,24</t>
  </si>
  <si>
    <t>72,51</t>
  </si>
  <si>
    <t>56,34</t>
  </si>
  <si>
    <t>46,47</t>
  </si>
  <si>
    <t>57,74</t>
  </si>
  <si>
    <t>67,60</t>
  </si>
  <si>
    <t>85,14</t>
  </si>
  <si>
    <t>115,08</t>
  </si>
  <si>
    <t>157,24</t>
  </si>
  <si>
    <t>289,50</t>
  </si>
  <si>
    <t>97,27</t>
  </si>
  <si>
    <t>127,49</t>
  </si>
  <si>
    <t>128,78</t>
  </si>
  <si>
    <t>65,47</t>
  </si>
  <si>
    <t>26,69</t>
  </si>
  <si>
    <t>58,24</t>
  </si>
  <si>
    <t>54,66</t>
  </si>
  <si>
    <t>62,71</t>
  </si>
  <si>
    <t>62,38</t>
  </si>
  <si>
    <t>57,61</t>
  </si>
  <si>
    <t>230,17</t>
  </si>
  <si>
    <t>314,49</t>
  </si>
  <si>
    <t>112,89</t>
  </si>
  <si>
    <t>52,99</t>
  </si>
  <si>
    <t>1.401,73</t>
  </si>
  <si>
    <t>1.505,02</t>
  </si>
  <si>
    <t>1.540,55</t>
  </si>
  <si>
    <t>1.696,01</t>
  </si>
  <si>
    <t>1.390,09</t>
  </si>
  <si>
    <t>1.493,38</t>
  </si>
  <si>
    <t>1.528,91</t>
  </si>
  <si>
    <t>1.684,37</t>
  </si>
  <si>
    <t>1.651,62</t>
  </si>
  <si>
    <t>1.807,97</t>
  </si>
  <si>
    <t>1.861,75</t>
  </si>
  <si>
    <t>2.080,77</t>
  </si>
  <si>
    <t>1.648,88</t>
  </si>
  <si>
    <t>1.805,23</t>
  </si>
  <si>
    <t>1.859,01</t>
  </si>
  <si>
    <t>2.078,03</t>
  </si>
  <si>
    <t>1.765,67</t>
  </si>
  <si>
    <t>1.974,12</t>
  </si>
  <si>
    <t>2.045,83</t>
  </si>
  <si>
    <t>2.327,29</t>
  </si>
  <si>
    <t>1.884,21</t>
  </si>
  <si>
    <t>2.092,66</t>
  </si>
  <si>
    <t>2.164,37</t>
  </si>
  <si>
    <t>2.445,83</t>
  </si>
  <si>
    <t>764,11</t>
  </si>
  <si>
    <t>888,05</t>
  </si>
  <si>
    <t>930,69</t>
  </si>
  <si>
    <t>1.079,19</t>
  </si>
  <si>
    <t>752,47</t>
  </si>
  <si>
    <t>876,41</t>
  </si>
  <si>
    <t>919,05</t>
  </si>
  <si>
    <t>1.067,55</t>
  </si>
  <si>
    <t>1.029,54</t>
  </si>
  <si>
    <t>1.215,46</t>
  </si>
  <si>
    <t>1.279,41</t>
  </si>
  <si>
    <t>1.502,16</t>
  </si>
  <si>
    <t>1.026,80</t>
  </si>
  <si>
    <t>1.212,72</t>
  </si>
  <si>
    <t>1.276,67</t>
  </si>
  <si>
    <t>1.499,42</t>
  </si>
  <si>
    <t>1.160,75</t>
  </si>
  <si>
    <t>1.408,64</t>
  </si>
  <si>
    <t>1.493,91</t>
  </si>
  <si>
    <t>1.790,91</t>
  </si>
  <si>
    <t>1.279,29</t>
  </si>
  <si>
    <t>1.527,18</t>
  </si>
  <si>
    <t>1.612,45</t>
  </si>
  <si>
    <t>1.909,45</t>
  </si>
  <si>
    <t>127,39</t>
  </si>
  <si>
    <t>65,48</t>
  </si>
  <si>
    <t>85,83</t>
  </si>
  <si>
    <t>123,56</t>
  </si>
  <si>
    <t>31,18</t>
  </si>
  <si>
    <t>16,53</t>
  </si>
  <si>
    <t>38,18</t>
  </si>
  <si>
    <t>133,97</t>
  </si>
  <si>
    <t>170,77</t>
  </si>
  <si>
    <t>266,21</t>
  </si>
  <si>
    <t>149,36</t>
  </si>
  <si>
    <t>35,96</t>
  </si>
  <si>
    <t>107,19</t>
  </si>
  <si>
    <t>97,29</t>
  </si>
  <si>
    <t>53,05</t>
  </si>
  <si>
    <t>513,87</t>
  </si>
  <si>
    <t>275,65</t>
  </si>
  <si>
    <t>293,30</t>
  </si>
  <si>
    <t>474,75</t>
  </si>
  <si>
    <t>517,12</t>
  </si>
  <si>
    <t>607,36</t>
  </si>
  <si>
    <t>792,93</t>
  </si>
  <si>
    <t>908,34</t>
  </si>
  <si>
    <t>1.453,16</t>
  </si>
  <si>
    <t>707,12</t>
  </si>
  <si>
    <t>31,67</t>
  </si>
  <si>
    <t>397,64</t>
  </si>
  <si>
    <t>502,92</t>
  </si>
  <si>
    <t>552,39</t>
  </si>
  <si>
    <t>595,05</t>
  </si>
  <si>
    <t>576,92</t>
  </si>
  <si>
    <t>653,65</t>
  </si>
  <si>
    <t>602,87</t>
  </si>
  <si>
    <t>649,12</t>
  </si>
  <si>
    <t>653,56</t>
  </si>
  <si>
    <t>727,35</t>
  </si>
  <si>
    <t>705,68</t>
  </si>
  <si>
    <t>763,06</t>
  </si>
  <si>
    <t>771,18</t>
  </si>
  <si>
    <t>827,61</t>
  </si>
  <si>
    <t>772,99</t>
  </si>
  <si>
    <t>819,82</t>
  </si>
  <si>
    <t>827,70</t>
  </si>
  <si>
    <t>907,30</t>
  </si>
  <si>
    <t>991,71</t>
  </si>
  <si>
    <t>1.099,33</t>
  </si>
  <si>
    <t>1.137,59</t>
  </si>
  <si>
    <t>1.226,33</t>
  </si>
  <si>
    <t>551,78</t>
  </si>
  <si>
    <t>659,48</t>
  </si>
  <si>
    <t>851,35</t>
  </si>
  <si>
    <t>1.090,60</t>
  </si>
  <si>
    <t>1.702,49</t>
  </si>
  <si>
    <t>697,51</t>
  </si>
  <si>
    <t>1.136,04</t>
  </si>
  <si>
    <t>1.757,26</t>
  </si>
  <si>
    <t>715,34</t>
  </si>
  <si>
    <t>1.158,43</t>
  </si>
  <si>
    <t>1.786,42</t>
  </si>
  <si>
    <t>931,58</t>
  </si>
  <si>
    <t>1.180,28</t>
  </si>
  <si>
    <t>1.814,68</t>
  </si>
  <si>
    <t>970,92</t>
  </si>
  <si>
    <t>1.223,49</t>
  </si>
  <si>
    <t>1.873,74</t>
  </si>
  <si>
    <t>1.266,30</t>
  </si>
  <si>
    <t>1.943,74</t>
  </si>
  <si>
    <t>588,13</t>
  </si>
  <si>
    <t>2.880,08</t>
  </si>
  <si>
    <t>3.340,82</t>
  </si>
  <si>
    <t>2.532,72</t>
  </si>
  <si>
    <t>2.716,12</t>
  </si>
  <si>
    <t>321,68</t>
  </si>
  <si>
    <t>340,42</t>
  </si>
  <si>
    <t>91,17</t>
  </si>
  <si>
    <t>110,04</t>
  </si>
  <si>
    <t>117,69</t>
  </si>
  <si>
    <t>10.457,83</t>
  </si>
  <si>
    <t>11.644,32</t>
  </si>
  <si>
    <t>14.953,01</t>
  </si>
  <si>
    <t>18.390,88</t>
  </si>
  <si>
    <t>23.083,78</t>
  </si>
  <si>
    <t>32.233,15</t>
  </si>
  <si>
    <t>37.544,88</t>
  </si>
  <si>
    <t>49,33</t>
  </si>
  <si>
    <t>150,97</t>
  </si>
  <si>
    <t>60.845,81</t>
  </si>
  <si>
    <t>83.364,12</t>
  </si>
  <si>
    <t>116.574,28</t>
  </si>
  <si>
    <t>155,76</t>
  </si>
  <si>
    <t>338,01</t>
  </si>
  <si>
    <t>171,33</t>
  </si>
  <si>
    <t>297,03</t>
  </si>
  <si>
    <t>119,37</t>
  </si>
  <si>
    <t>322,36</t>
  </si>
  <si>
    <t>CORDOALHA DE COBRE NU 35 MM², NÃO ENTERRADA, COM ISOLADOR - FORNECIMENTO E INSTALAÇÃO. AF_08/2023</t>
  </si>
  <si>
    <t>68,07</t>
  </si>
  <si>
    <t>CORDOALHA DE COBRE NU 50 MM², NÃO ENTERRADA, COM ISOLADOR - FORNECIMENTO E INSTALAÇÃO. AF_08/2023</t>
  </si>
  <si>
    <t>88,92</t>
  </si>
  <si>
    <t>CORDOALHA DE COBRE NU 70 MM², NÃO ENTERRADA, COM ISOLADOR - FORNECIMENTO E INSTALAÇÃO. AF_08/2023</t>
  </si>
  <si>
    <t>110,99</t>
  </si>
  <si>
    <t>CORDOALHA DE COBRE NU 95 MM², NÃO ENTERRADA, COM ISOLADOR - FORNECIMENTO E INSTALAÇÃO. AF_08/2023</t>
  </si>
  <si>
    <t>148,24</t>
  </si>
  <si>
    <t>CORDOALHA DE COBRE NU 50 MM², ENTERRADA - FORNECIMENTO E INSTALAÇÃO. AF_08/2023</t>
  </si>
  <si>
    <t>61,23</t>
  </si>
  <si>
    <t>CORDOALHA DE COBRE NU 70 MM², ENTERRADA - FORNECIMENTO E INSTALAÇÃO. AF_08/2023</t>
  </si>
  <si>
    <t>CORDOALHA DE COBRE NU 95 MM², ENTERRADA - FORNECIMENTO E INSTALAÇÃO. AF_08/2023</t>
  </si>
  <si>
    <t>ELETRODUTO PVC RÍGIDO, DIÂMETRO 40MM, COM 3 METROS, PARA SPDA - FORNECIMENTO E INSTALAÇÃO. AF_08/2023</t>
  </si>
  <si>
    <t>HASTE DE ATERRAMENTO, DIÂMETRO 5/8", COM 3 METROS - FORNECIMENTO E INSTALAÇÃO. AF_08/2023</t>
  </si>
  <si>
    <t>68,37</t>
  </si>
  <si>
    <t>HASTE DE ATERRAMENTO, DIÂMETRO 3/4", COM 3 METROS - FORNECIMENTO E INSTALAÇÃO. AF_08/2023</t>
  </si>
  <si>
    <t>BASE METÁLICA PARA MASTRO 1 ½"  PARA SPDA - FORNECIMENTO E INSTALAÇÃO. AF_08/2023</t>
  </si>
  <si>
    <t>111,74</t>
  </si>
  <si>
    <t>MASTRO 1 ½", COM 3 METROS, PARA SPDA - FORNECIMENTO E INSTALAÇÃO. AF_08/2023</t>
  </si>
  <si>
    <t>161,49</t>
  </si>
  <si>
    <t>CAPTOR TIPO FRANKLIN PARA SPDA - FORNECIMENTO E INSTALAÇÃO. AF_08/2023</t>
  </si>
  <si>
    <t>SUPORTE ISOLADOR PARA FIXAÇÃO DA CORDOALHA DE COBRE EM ALVENARIA OU CONCRETO - FORNECIMENTO E INSTALAÇÃO. AF_08/2023</t>
  </si>
  <si>
    <t>104746</t>
  </si>
  <si>
    <t>MINI CAPTOR PARA SPDA - FORNECIMENTO E INSTALAÇÃO. AF_08/2023</t>
  </si>
  <si>
    <t>104749</t>
  </si>
  <si>
    <t>CONECTOR GRAMPO METÁLICO TIPO OLHAL, PARA SPDA, PARA HASTE DE ATERRAMENTO DE 3/4'' E CABOS DE 10 A 50 MM2 - FORNECIMENTO E INSTALAÇÃO. AF_08/2023</t>
  </si>
  <si>
    <t>104750</t>
  </si>
  <si>
    <t>CONECTOR GRAMPO METÁLICO TIPO OLHAL, PARA SPDA, PARA HASTE DE ATERRAMENTO DE 5/8'' E CABOS DE 10 A 50 MM2 - FORNECIMENTO E INSTALAÇÃO. AF_08/2023</t>
  </si>
  <si>
    <t>104751</t>
  </si>
  <si>
    <t>CONECTOR GRAMPO PARALELO METÁLICO, PARA SPDA, PARA CABOS DE 6 A 50 MM2 - FORNECIMENTO E INSTALAÇÃO. AF_08/2023</t>
  </si>
  <si>
    <t>104752</t>
  </si>
  <si>
    <t>CONECTOR SPLIT-BOLT, PARA SPDA, PARA CABOS ATÉ 35 MM2 - FORNECIMENTO E INSTALAÇÃO. AF_08/2023</t>
  </si>
  <si>
    <t>104753</t>
  </si>
  <si>
    <t>CONECTOR SPLIT-BOLT, PARA SPDA, PARA CABOS ATÉ 50 MM2 - FORNECIMENTO E INSTALAÇÃO. AF_08/2023</t>
  </si>
  <si>
    <t>104754</t>
  </si>
  <si>
    <t>CONECTOR SPLIT-BOLT, PARA SPDA, PARA CABOS ATÉ 70 MM2 - FORNECIMENTO E INSTALAÇÃO. AF_08/2023</t>
  </si>
  <si>
    <t>30,55</t>
  </si>
  <si>
    <t>104755</t>
  </si>
  <si>
    <t>CONECTOR SPLIT-BOLT, PARA SPDA, PARA CABOS ATÉ 95 MM2 - FORNECIMENTO E INSTALAÇÃO. AF_08/2023</t>
  </si>
  <si>
    <t>42,09</t>
  </si>
  <si>
    <t>3.218,80</t>
  </si>
  <si>
    <t>904,09</t>
  </si>
  <si>
    <t>1.508,14</t>
  </si>
  <si>
    <t>260,89</t>
  </si>
  <si>
    <t>781,80</t>
  </si>
  <si>
    <t>845,27</t>
  </si>
  <si>
    <t>252,96</t>
  </si>
  <si>
    <t>295,27</t>
  </si>
  <si>
    <t>348,15</t>
  </si>
  <si>
    <t>401,03</t>
  </si>
  <si>
    <t>2.037,91</t>
  </si>
  <si>
    <t>360,62</t>
  </si>
  <si>
    <t>460,50</t>
  </si>
  <si>
    <t>485,81</t>
  </si>
  <si>
    <t>3.524,87</t>
  </si>
  <si>
    <t>149,27</t>
  </si>
  <si>
    <t>22,78</t>
  </si>
  <si>
    <t>110,73</t>
  </si>
  <si>
    <t>31,75</t>
  </si>
  <si>
    <t>40,55</t>
  </si>
  <si>
    <t>524,10</t>
  </si>
  <si>
    <t>111,24</t>
  </si>
  <si>
    <t>472,41</t>
  </si>
  <si>
    <t>702,10</t>
  </si>
  <si>
    <t>363,97</t>
  </si>
  <si>
    <t>885,87</t>
  </si>
  <si>
    <t>2.825,64</t>
  </si>
  <si>
    <t>2.216,96</t>
  </si>
  <si>
    <t>2.422,81</t>
  </si>
  <si>
    <t>3.142,23</t>
  </si>
  <si>
    <t>2.557,59</t>
  </si>
  <si>
    <t>2.751,85</t>
  </si>
  <si>
    <t>4.585,28</t>
  </si>
  <si>
    <t>3.608,84</t>
  </si>
  <si>
    <t>4.002,61</t>
  </si>
  <si>
    <t>6.269,77</t>
  </si>
  <si>
    <t>4.673,40</t>
  </si>
  <si>
    <t>5.236,64</t>
  </si>
  <si>
    <t>11.668,53</t>
  </si>
  <si>
    <t>6.630,04</t>
  </si>
  <si>
    <t>13.053,41</t>
  </si>
  <si>
    <t>6.992,28</t>
  </si>
  <si>
    <t>7.185,16</t>
  </si>
  <si>
    <t>14.729,20</t>
  </si>
  <si>
    <t>9.206,69</t>
  </si>
  <si>
    <t>20.401,49</t>
  </si>
  <si>
    <t>11.359,57</t>
  </si>
  <si>
    <t>24.633,84</t>
  </si>
  <si>
    <t>12.708,31</t>
  </si>
  <si>
    <t>7.257,91</t>
  </si>
  <si>
    <t>8.631,72</t>
  </si>
  <si>
    <t>8.937,43</t>
  </si>
  <si>
    <t>9.280,64</t>
  </si>
  <si>
    <t>13.173,62</t>
  </si>
  <si>
    <t>13.610,06</t>
  </si>
  <si>
    <t>13.912,83</t>
  </si>
  <si>
    <t>15.965,45</t>
  </si>
  <si>
    <t>15.881,65</t>
  </si>
  <si>
    <t>16.675,54</t>
  </si>
  <si>
    <t>30.859,80</t>
  </si>
  <si>
    <t>39.577,46</t>
  </si>
  <si>
    <t>6.682,42</t>
  </si>
  <si>
    <t>12.136,56</t>
  </si>
  <si>
    <t>1.174,80</t>
  </si>
  <si>
    <t>3.730,31</t>
  </si>
  <si>
    <t>2.802,88</t>
  </si>
  <si>
    <t>2.570,37</t>
  </si>
  <si>
    <t>1.399,91</t>
  </si>
  <si>
    <t>18,18</t>
  </si>
  <si>
    <t>74,46</t>
  </si>
  <si>
    <t>37,76</t>
  </si>
  <si>
    <t>57,24</t>
  </si>
  <si>
    <t>71,71</t>
  </si>
  <si>
    <t>168,87</t>
  </si>
  <si>
    <t>264,32</t>
  </si>
  <si>
    <t>42,75</t>
  </si>
  <si>
    <t>41,73</t>
  </si>
  <si>
    <t>74,09</t>
  </si>
  <si>
    <t>95,56</t>
  </si>
  <si>
    <t>51,58</t>
  </si>
  <si>
    <t>65,51</t>
  </si>
  <si>
    <t>94,69</t>
  </si>
  <si>
    <t>127,47</t>
  </si>
  <si>
    <t>184,30</t>
  </si>
  <si>
    <t>258,84</t>
  </si>
  <si>
    <t>129,03</t>
  </si>
  <si>
    <t>146,13</t>
  </si>
  <si>
    <t>196,62</t>
  </si>
  <si>
    <t>243,65</t>
  </si>
  <si>
    <t>323,19</t>
  </si>
  <si>
    <t>399,68</t>
  </si>
  <si>
    <t>56,23</t>
  </si>
  <si>
    <t>70,37</t>
  </si>
  <si>
    <t>153,29</t>
  </si>
  <si>
    <t>72,65</t>
  </si>
  <si>
    <t>150,12</t>
  </si>
  <si>
    <t>173,33</t>
  </si>
  <si>
    <t>86,60</t>
  </si>
  <si>
    <t>140,64</t>
  </si>
  <si>
    <t>148,92</t>
  </si>
  <si>
    <t>228,54</t>
  </si>
  <si>
    <t>115,32</t>
  </si>
  <si>
    <t>149,53</t>
  </si>
  <si>
    <t>72,48</t>
  </si>
  <si>
    <t>130,59</t>
  </si>
  <si>
    <t>209,47</t>
  </si>
  <si>
    <t>84,53</t>
  </si>
  <si>
    <t>104,01</t>
  </si>
  <si>
    <t>109,61</t>
  </si>
  <si>
    <t>133,88</t>
  </si>
  <si>
    <t>212,76</t>
  </si>
  <si>
    <t>94,38</t>
  </si>
  <si>
    <t>93,64</t>
  </si>
  <si>
    <t>156,23</t>
  </si>
  <si>
    <t>195,37</t>
  </si>
  <si>
    <t>263,78</t>
  </si>
  <si>
    <t>361,41</t>
  </si>
  <si>
    <t>518,42</t>
  </si>
  <si>
    <t>61,65</t>
  </si>
  <si>
    <t>123,59</t>
  </si>
  <si>
    <t>57,59</t>
  </si>
  <si>
    <t>74,81</t>
  </si>
  <si>
    <t>288,52</t>
  </si>
  <si>
    <t>527,76</t>
  </si>
  <si>
    <t>106,31</t>
  </si>
  <si>
    <t>35,37</t>
  </si>
  <si>
    <t>36,14</t>
  </si>
  <si>
    <t>47,19</t>
  </si>
  <si>
    <t>141,30</t>
  </si>
  <si>
    <t>36,03</t>
  </si>
  <si>
    <t>53,97</t>
  </si>
  <si>
    <t>89,81</t>
  </si>
  <si>
    <t>200,66</t>
  </si>
  <si>
    <t>275,78</t>
  </si>
  <si>
    <t>31,93</t>
  </si>
  <si>
    <t>61,31</t>
  </si>
  <si>
    <t>94,05</t>
  </si>
  <si>
    <t>15,98</t>
  </si>
  <si>
    <t>117,85</t>
  </si>
  <si>
    <t>188,98</t>
  </si>
  <si>
    <t>249,22</t>
  </si>
  <si>
    <t>44,50</t>
  </si>
  <si>
    <t>74,30</t>
  </si>
  <si>
    <t>94,56</t>
  </si>
  <si>
    <t>142,25</t>
  </si>
  <si>
    <t>171,17</t>
  </si>
  <si>
    <t>185,36</t>
  </si>
  <si>
    <t>89,56</t>
  </si>
  <si>
    <t>123,70</t>
  </si>
  <si>
    <t>178,29</t>
  </si>
  <si>
    <t>299,35</t>
  </si>
  <si>
    <t>387,95</t>
  </si>
  <si>
    <t>93,55</t>
  </si>
  <si>
    <t>108,60</t>
  </si>
  <si>
    <t>148,51</t>
  </si>
  <si>
    <t>46,52</t>
  </si>
  <si>
    <t>55,69</t>
  </si>
  <si>
    <t>563,03</t>
  </si>
  <si>
    <t>34,54</t>
  </si>
  <si>
    <t>32,16</t>
  </si>
  <si>
    <t>41,84</t>
  </si>
  <si>
    <t>55,52</t>
  </si>
  <si>
    <t>199,67</t>
  </si>
  <si>
    <t>400,13</t>
  </si>
  <si>
    <t>214,67</t>
  </si>
  <si>
    <t>295,14</t>
  </si>
  <si>
    <t>380,07</t>
  </si>
  <si>
    <t>187,22</t>
  </si>
  <si>
    <t>404,89</t>
  </si>
  <si>
    <t>192,02</t>
  </si>
  <si>
    <t>219,43</t>
  </si>
  <si>
    <t>302,29</t>
  </si>
  <si>
    <t>389,60</t>
  </si>
  <si>
    <t>75,89</t>
  </si>
  <si>
    <t>111,59</t>
  </si>
  <si>
    <t>84,08</t>
  </si>
  <si>
    <t>60,86</t>
  </si>
  <si>
    <t>145,62</t>
  </si>
  <si>
    <t>30,11</t>
  </si>
  <si>
    <t>80,08</t>
  </si>
  <si>
    <t>72,21</t>
  </si>
  <si>
    <t>19,31</t>
  </si>
  <si>
    <t>25,59</t>
  </si>
  <si>
    <t>5,91</t>
  </si>
  <si>
    <t>50,54</t>
  </si>
  <si>
    <t>114,32</t>
  </si>
  <si>
    <t>90,64</t>
  </si>
  <si>
    <t>75,53</t>
  </si>
  <si>
    <t>111,12</t>
  </si>
  <si>
    <t>60,94</t>
  </si>
  <si>
    <t>40,12</t>
  </si>
  <si>
    <t>41,15</t>
  </si>
  <si>
    <t>43,48</t>
  </si>
  <si>
    <t>38,28</t>
  </si>
  <si>
    <t>35,41</t>
  </si>
  <si>
    <t>97,14</t>
  </si>
  <si>
    <t>80,18</t>
  </si>
  <si>
    <t>159,20</t>
  </si>
  <si>
    <t>40,27</t>
  </si>
  <si>
    <t>35,39</t>
  </si>
  <si>
    <t>47,08</t>
  </si>
  <si>
    <t>51,51</t>
  </si>
  <si>
    <t>142,78</t>
  </si>
  <si>
    <t>139,62</t>
  </si>
  <si>
    <t>167,36</t>
  </si>
  <si>
    <t>92,89</t>
  </si>
  <si>
    <t>183,49</t>
  </si>
  <si>
    <t>65,21</t>
  </si>
  <si>
    <t>216,82</t>
  </si>
  <si>
    <t>87,22</t>
  </si>
  <si>
    <t>65,83</t>
  </si>
  <si>
    <t>115,16</t>
  </si>
  <si>
    <t>134,71</t>
  </si>
  <si>
    <t>27,17</t>
  </si>
  <si>
    <t>35,35</t>
  </si>
  <si>
    <t>37,96</t>
  </si>
  <si>
    <t>73,67</t>
  </si>
  <si>
    <t>82,15</t>
  </si>
  <si>
    <t>96,37</t>
  </si>
  <si>
    <t>289,67</t>
  </si>
  <si>
    <t>64,49</t>
  </si>
  <si>
    <t>42,51</t>
  </si>
  <si>
    <t>92,43</t>
  </si>
  <si>
    <t>81,96</t>
  </si>
  <si>
    <t>278,54</t>
  </si>
  <si>
    <t>210,25</t>
  </si>
  <si>
    <t>24,64</t>
  </si>
  <si>
    <t>211,28</t>
  </si>
  <si>
    <t>53,59</t>
  </si>
  <si>
    <t>162,84</t>
  </si>
  <si>
    <t>62,58</t>
  </si>
  <si>
    <t>44,97</t>
  </si>
  <si>
    <t>80,17</t>
  </si>
  <si>
    <t>7,16</t>
  </si>
  <si>
    <t>41,90</t>
  </si>
  <si>
    <t>34,67</t>
  </si>
  <si>
    <t>49,86</t>
  </si>
  <si>
    <t>63,94</t>
  </si>
  <si>
    <t>41,71</t>
  </si>
  <si>
    <t>76,72</t>
  </si>
  <si>
    <t>216,20</t>
  </si>
  <si>
    <t>255,81</t>
  </si>
  <si>
    <t>43,80</t>
  </si>
  <si>
    <t>81,17</t>
  </si>
  <si>
    <t>61,82</t>
  </si>
  <si>
    <t>26,64</t>
  </si>
  <si>
    <t>20,21</t>
  </si>
  <si>
    <t>74,79</t>
  </si>
  <si>
    <t>48,37</t>
  </si>
  <si>
    <t>56,45</t>
  </si>
  <si>
    <t>50,17</t>
  </si>
  <si>
    <t>232,95</t>
  </si>
  <si>
    <t>155,62</t>
  </si>
  <si>
    <t>202,10</t>
  </si>
  <si>
    <t>209,63</t>
  </si>
  <si>
    <t>307,56</t>
  </si>
  <si>
    <t>72,07</t>
  </si>
  <si>
    <t>113,87</t>
  </si>
  <si>
    <t>246,28</t>
  </si>
  <si>
    <t>293,95</t>
  </si>
  <si>
    <t>34,18</t>
  </si>
  <si>
    <t>83,65</t>
  </si>
  <si>
    <t>120,89</t>
  </si>
  <si>
    <t>44,66</t>
  </si>
  <si>
    <t>105,41</t>
  </si>
  <si>
    <t>328,59</t>
  </si>
  <si>
    <t>59,77</t>
  </si>
  <si>
    <t>169,08</t>
  </si>
  <si>
    <t>84,00</t>
  </si>
  <si>
    <t>154,80</t>
  </si>
  <si>
    <t>403,91</t>
  </si>
  <si>
    <t>62,10</t>
  </si>
  <si>
    <t>93,38</t>
  </si>
  <si>
    <t>119,11</t>
  </si>
  <si>
    <t>128,20</t>
  </si>
  <si>
    <t>92,30</t>
  </si>
  <si>
    <t>144,36</t>
  </si>
  <si>
    <t>134,36</t>
  </si>
  <si>
    <t>175,04</t>
  </si>
  <si>
    <t>120,00</t>
  </si>
  <si>
    <t>184,17</t>
  </si>
  <si>
    <t>231,53</t>
  </si>
  <si>
    <t>31,97</t>
  </si>
  <si>
    <t>47,25</t>
  </si>
  <si>
    <t>94,78</t>
  </si>
  <si>
    <t>122,00</t>
  </si>
  <si>
    <t>131,09</t>
  </si>
  <si>
    <t>72,03</t>
  </si>
  <si>
    <t>92,22</t>
  </si>
  <si>
    <t>89,95</t>
  </si>
  <si>
    <t>146,50</t>
  </si>
  <si>
    <t>198,64</t>
  </si>
  <si>
    <t>179,37</t>
  </si>
  <si>
    <t>62,32</t>
  </si>
  <si>
    <t>119,88</t>
  </si>
  <si>
    <t>186,97</t>
  </si>
  <si>
    <t>237,30</t>
  </si>
  <si>
    <t>32,15</t>
  </si>
  <si>
    <t>37,17</t>
  </si>
  <si>
    <t>50,46</t>
  </si>
  <si>
    <t>105,83</t>
  </si>
  <si>
    <t>114,92</t>
  </si>
  <si>
    <t>44,33</t>
  </si>
  <si>
    <t>74,86</t>
  </si>
  <si>
    <t>72,59</t>
  </si>
  <si>
    <t>174,40</t>
  </si>
  <si>
    <t>155,13</t>
  </si>
  <si>
    <t>46,73</t>
  </si>
  <si>
    <t>59,64</t>
  </si>
  <si>
    <t>70,18</t>
  </si>
  <si>
    <t>159,24</t>
  </si>
  <si>
    <t>204,96</t>
  </si>
  <si>
    <t>48,04</t>
  </si>
  <si>
    <t>45,60</t>
  </si>
  <si>
    <t>61,70</t>
  </si>
  <si>
    <t>128,45</t>
  </si>
  <si>
    <t>197,23</t>
  </si>
  <si>
    <t>291,69</t>
  </si>
  <si>
    <t>77,69</t>
  </si>
  <si>
    <t>93,32</t>
  </si>
  <si>
    <t>198,63</t>
  </si>
  <si>
    <t>294,58</t>
  </si>
  <si>
    <t>83,24</t>
  </si>
  <si>
    <t>116,81</t>
  </si>
  <si>
    <t>184,72</t>
  </si>
  <si>
    <t>278,41</t>
  </si>
  <si>
    <t>135,74</t>
  </si>
  <si>
    <t>33,66</t>
  </si>
  <si>
    <t>42,35</t>
  </si>
  <si>
    <t>42,33</t>
  </si>
  <si>
    <t>99,10</t>
  </si>
  <si>
    <t>85,19</t>
  </si>
  <si>
    <t>122,46</t>
  </si>
  <si>
    <t>479,44</t>
  </si>
  <si>
    <t>527,40</t>
  </si>
  <si>
    <t>72,37</t>
  </si>
  <si>
    <t>604,33</t>
  </si>
  <si>
    <t>44,76</t>
  </si>
  <si>
    <t>758,43</t>
  </si>
  <si>
    <t>66,67</t>
  </si>
  <si>
    <t>1.051,35</t>
  </si>
  <si>
    <t>155,45</t>
  </si>
  <si>
    <t>1.387,55</t>
  </si>
  <si>
    <t>11,74</t>
  </si>
  <si>
    <t>26,62</t>
  </si>
  <si>
    <t>414,98</t>
  </si>
  <si>
    <t>481,77</t>
  </si>
  <si>
    <t>17,58</t>
  </si>
  <si>
    <t>529,55</t>
  </si>
  <si>
    <t>74,52</t>
  </si>
  <si>
    <t>29,67</t>
  </si>
  <si>
    <t>31,22</t>
  </si>
  <si>
    <t>483,50</t>
  </si>
  <si>
    <t>532,65</t>
  </si>
  <si>
    <t>82,93</t>
  </si>
  <si>
    <t>122,08</t>
  </si>
  <si>
    <t>49,84</t>
  </si>
  <si>
    <t>78,61</t>
  </si>
  <si>
    <t>114,78</t>
  </si>
  <si>
    <t>105,69</t>
  </si>
  <si>
    <t>71,67</t>
  </si>
  <si>
    <t>112,35</t>
  </si>
  <si>
    <t>122,35</t>
  </si>
  <si>
    <t>154,95</t>
  </si>
  <si>
    <t>154,68</t>
  </si>
  <si>
    <t>204,60</t>
  </si>
  <si>
    <t>265,45</t>
  </si>
  <si>
    <t>372,67</t>
  </si>
  <si>
    <t>122,50</t>
  </si>
  <si>
    <t>139,17</t>
  </si>
  <si>
    <t>341,61</t>
  </si>
  <si>
    <t>335,43</t>
  </si>
  <si>
    <t>769,03</t>
  </si>
  <si>
    <t>423,05</t>
  </si>
  <si>
    <t>644,17</t>
  </si>
  <si>
    <t>1.341,58</t>
  </si>
  <si>
    <t>38,00</t>
  </si>
  <si>
    <t>78,09</t>
  </si>
  <si>
    <t>114,76</t>
  </si>
  <si>
    <t>58,91</t>
  </si>
  <si>
    <t>119,16</t>
  </si>
  <si>
    <t>153,89</t>
  </si>
  <si>
    <t>276,98</t>
  </si>
  <si>
    <t>249,68</t>
  </si>
  <si>
    <t>62,85</t>
  </si>
  <si>
    <t>93,96</t>
  </si>
  <si>
    <t>163,30</t>
  </si>
  <si>
    <t>244,67</t>
  </si>
  <si>
    <t>214,96</t>
  </si>
  <si>
    <t>47,71</t>
  </si>
  <si>
    <t>70,74</t>
  </si>
  <si>
    <t>273,09</t>
  </si>
  <si>
    <t>380,93</t>
  </si>
  <si>
    <t>336,03</t>
  </si>
  <si>
    <t>71,28</t>
  </si>
  <si>
    <t>424,91</t>
  </si>
  <si>
    <t>620,92</t>
  </si>
  <si>
    <t>204,04</t>
  </si>
  <si>
    <t>1.870,36</t>
  </si>
  <si>
    <t>234,63</t>
  </si>
  <si>
    <t>89,26</t>
  </si>
  <si>
    <t>178,07</t>
  </si>
  <si>
    <t>214,78</t>
  </si>
  <si>
    <t>290,22</t>
  </si>
  <si>
    <t>18,59</t>
  </si>
  <si>
    <t>66,11</t>
  </si>
  <si>
    <t>110,74</t>
  </si>
  <si>
    <t>238,41</t>
  </si>
  <si>
    <t>289,81</t>
  </si>
  <si>
    <t>354,15</t>
  </si>
  <si>
    <t>48,89</t>
  </si>
  <si>
    <t>83,05</t>
  </si>
  <si>
    <t>48,46</t>
  </si>
  <si>
    <t>87,46</t>
  </si>
  <si>
    <t>260,90</t>
  </si>
  <si>
    <t>360,45</t>
  </si>
  <si>
    <t>475,83</t>
  </si>
  <si>
    <t>172,02</t>
  </si>
  <si>
    <t>62,21</t>
  </si>
  <si>
    <t>29,01</t>
  </si>
  <si>
    <t>51,40</t>
  </si>
  <si>
    <t>81,23</t>
  </si>
  <si>
    <t>89,78</t>
  </si>
  <si>
    <t>101,59</t>
  </si>
  <si>
    <t>50,97</t>
  </si>
  <si>
    <t>99,41</t>
  </si>
  <si>
    <t>109,27</t>
  </si>
  <si>
    <t>142,69</t>
  </si>
  <si>
    <t>276,61</t>
  </si>
  <si>
    <t>29,99</t>
  </si>
  <si>
    <t>99,49</t>
  </si>
  <si>
    <t>79,63</t>
  </si>
  <si>
    <t>96,56</t>
  </si>
  <si>
    <t>305,67</t>
  </si>
  <si>
    <t>107,13</t>
  </si>
  <si>
    <t>367,78</t>
  </si>
  <si>
    <t>65,58</t>
  </si>
  <si>
    <t>104,22</t>
  </si>
  <si>
    <t>188,29</t>
  </si>
  <si>
    <t>71,05</t>
  </si>
  <si>
    <t>113,17</t>
  </si>
  <si>
    <t>31,24</t>
  </si>
  <si>
    <t>44,85</t>
  </si>
  <si>
    <t>30,14</t>
  </si>
  <si>
    <t>53,99</t>
  </si>
  <si>
    <t>155,20</t>
  </si>
  <si>
    <t>174,17</t>
  </si>
  <si>
    <t>168,69</t>
  </si>
  <si>
    <t>200,00</t>
  </si>
  <si>
    <t>42,99</t>
  </si>
  <si>
    <t>90,69</t>
  </si>
  <si>
    <t>92,48</t>
  </si>
  <si>
    <t>106,18</t>
  </si>
  <si>
    <t>109,62</t>
  </si>
  <si>
    <t>121,59</t>
  </si>
  <si>
    <t>125,27</t>
  </si>
  <si>
    <t>165,85</t>
  </si>
  <si>
    <t>182,96</t>
  </si>
  <si>
    <t>108,07</t>
  </si>
  <si>
    <t>128,80</t>
  </si>
  <si>
    <t>228,28</t>
  </si>
  <si>
    <t>242,74</t>
  </si>
  <si>
    <t>299,18</t>
  </si>
  <si>
    <t>179,21</t>
  </si>
  <si>
    <t>191,04</t>
  </si>
  <si>
    <t>331,65</t>
  </si>
  <si>
    <t>725,45</t>
  </si>
  <si>
    <t>640,56</t>
  </si>
  <si>
    <t>286,44</t>
  </si>
  <si>
    <t>779,93</t>
  </si>
  <si>
    <t>49,70</t>
  </si>
  <si>
    <t>76,25</t>
  </si>
  <si>
    <t>94,15</t>
  </si>
  <si>
    <t>114,88</t>
  </si>
  <si>
    <t>174,84</t>
  </si>
  <si>
    <t>216,74</t>
  </si>
  <si>
    <t>233,56</t>
  </si>
  <si>
    <t>114,29</t>
  </si>
  <si>
    <t>158,37</t>
  </si>
  <si>
    <t>170,20</t>
  </si>
  <si>
    <t>295,45</t>
  </si>
  <si>
    <t>314,37</t>
  </si>
  <si>
    <t>711,66</t>
  </si>
  <si>
    <t>626,77</t>
  </si>
  <si>
    <t>86,58</t>
  </si>
  <si>
    <t>165,20</t>
  </si>
  <si>
    <t>478,81</t>
  </si>
  <si>
    <t>761,58</t>
  </si>
  <si>
    <t>45,53</t>
  </si>
  <si>
    <t>57,26</t>
  </si>
  <si>
    <t>106,58</t>
  </si>
  <si>
    <t>162,90</t>
  </si>
  <si>
    <t>204,80</t>
  </si>
  <si>
    <t>217,87</t>
  </si>
  <si>
    <t>274,31</t>
  </si>
  <si>
    <t>105,46</t>
  </si>
  <si>
    <t>145,91</t>
  </si>
  <si>
    <t>157,74</t>
  </si>
  <si>
    <t>296,37</t>
  </si>
  <si>
    <t>688,18</t>
  </si>
  <si>
    <t>603,29</t>
  </si>
  <si>
    <t>119,98</t>
  </si>
  <si>
    <t>153,40</t>
  </si>
  <si>
    <t>241,99</t>
  </si>
  <si>
    <t>458,36</t>
  </si>
  <si>
    <t>730,26</t>
  </si>
  <si>
    <t>78,44</t>
  </si>
  <si>
    <t>48,15</t>
  </si>
  <si>
    <t>42,24</t>
  </si>
  <si>
    <t>417,61</t>
  </si>
  <si>
    <t>488,64</t>
  </si>
  <si>
    <t>84,58</t>
  </si>
  <si>
    <t>539,61</t>
  </si>
  <si>
    <t>39,07</t>
  </si>
  <si>
    <t>31,15</t>
  </si>
  <si>
    <t>417,21</t>
  </si>
  <si>
    <t>485,49</t>
  </si>
  <si>
    <t>47,28</t>
  </si>
  <si>
    <t>79,53</t>
  </si>
  <si>
    <t>534,56</t>
  </si>
  <si>
    <t>46,04</t>
  </si>
  <si>
    <t>27,65</t>
  </si>
  <si>
    <t>10,25</t>
  </si>
  <si>
    <t>417,62</t>
  </si>
  <si>
    <t>15,70</t>
  </si>
  <si>
    <t>484,99</t>
  </si>
  <si>
    <t>46,78</t>
  </si>
  <si>
    <t>78,25</t>
  </si>
  <si>
    <t>533,28</t>
  </si>
  <si>
    <t>43,55</t>
  </si>
  <si>
    <t>10,14</t>
  </si>
  <si>
    <t>31,25</t>
  </si>
  <si>
    <t>21,53</t>
  </si>
  <si>
    <t>37,88</t>
  </si>
  <si>
    <t>43,14</t>
  </si>
  <si>
    <t>49,51</t>
  </si>
  <si>
    <t>77,02</t>
  </si>
  <si>
    <t>44,30</t>
  </si>
  <si>
    <t>46,83</t>
  </si>
  <si>
    <t>72,26</t>
  </si>
  <si>
    <t>150,27</t>
  </si>
  <si>
    <t>134,09</t>
  </si>
  <si>
    <t>76,16</t>
  </si>
  <si>
    <t>283,88</t>
  </si>
  <si>
    <t>92,40</t>
  </si>
  <si>
    <t>201,11</t>
  </si>
  <si>
    <t>153,70</t>
  </si>
  <si>
    <t>266,96</t>
  </si>
  <si>
    <t>199,70</t>
  </si>
  <si>
    <t>88,91</t>
  </si>
  <si>
    <t>150,06</t>
  </si>
  <si>
    <t>11,41</t>
  </si>
  <si>
    <t>43,84</t>
  </si>
  <si>
    <t>30,43</t>
  </si>
  <si>
    <t>355,31</t>
  </si>
  <si>
    <t>892,33</t>
  </si>
  <si>
    <t>300,21</t>
  </si>
  <si>
    <t>586,37</t>
  </si>
  <si>
    <t>821,45</t>
  </si>
  <si>
    <t>993,81</t>
  </si>
  <si>
    <t>267,69</t>
  </si>
  <si>
    <t>505,62</t>
  </si>
  <si>
    <t>718,46</t>
  </si>
  <si>
    <t>871,94</t>
  </si>
  <si>
    <t>181,24</t>
  </si>
  <si>
    <t>369,91</t>
  </si>
  <si>
    <t>647,35</t>
  </si>
  <si>
    <t>1.067,13</t>
  </si>
  <si>
    <t>307,85</t>
  </si>
  <si>
    <t>546,95</t>
  </si>
  <si>
    <t>186,03</t>
  </si>
  <si>
    <t>291,03</t>
  </si>
  <si>
    <t>565,76</t>
  </si>
  <si>
    <t>793,20</t>
  </si>
  <si>
    <t>957,27</t>
  </si>
  <si>
    <t>261,86</t>
  </si>
  <si>
    <t>492,65</t>
  </si>
  <si>
    <t>846,91</t>
  </si>
  <si>
    <t>9,66</t>
  </si>
  <si>
    <t>274,19</t>
  </si>
  <si>
    <t>422,75</t>
  </si>
  <si>
    <t>452,45</t>
  </si>
  <si>
    <t>1.038,27</t>
  </si>
  <si>
    <t>1.179,44</t>
  </si>
  <si>
    <t>2.028,10</t>
  </si>
  <si>
    <t>456,03</t>
  </si>
  <si>
    <t>655,03</t>
  </si>
  <si>
    <t>976,27</t>
  </si>
  <si>
    <t>1.225,22</t>
  </si>
  <si>
    <t>1.814,06</t>
  </si>
  <si>
    <t>3.316,42</t>
  </si>
  <si>
    <t>3.997,86</t>
  </si>
  <si>
    <t>5.380,36</t>
  </si>
  <si>
    <t>7.834,60</t>
  </si>
  <si>
    <t>12.063,91</t>
  </si>
  <si>
    <t>592,39</t>
  </si>
  <si>
    <t>828,58</t>
  </si>
  <si>
    <t>37,93</t>
  </si>
  <si>
    <t>99,13</t>
  </si>
  <si>
    <t>99,53</t>
  </si>
  <si>
    <t>699,36</t>
  </si>
  <si>
    <t>489,45</t>
  </si>
  <si>
    <t>633,58</t>
  </si>
  <si>
    <t>359,18</t>
  </si>
  <si>
    <t>52,17</t>
  </si>
  <si>
    <t>41,95</t>
  </si>
  <si>
    <t>474,05</t>
  </si>
  <si>
    <t>1.348,63</t>
  </si>
  <si>
    <t>1.041,70</t>
  </si>
  <si>
    <t>360,69</t>
  </si>
  <si>
    <t>585,08</t>
  </si>
  <si>
    <t>469,94</t>
  </si>
  <si>
    <t>219,39</t>
  </si>
  <si>
    <t>140,71</t>
  </si>
  <si>
    <t>314,03</t>
  </si>
  <si>
    <t>352,06</t>
  </si>
  <si>
    <t>145,55</t>
  </si>
  <si>
    <t>256,50</t>
  </si>
  <si>
    <t>824,88</t>
  </si>
  <si>
    <t>754,04</t>
  </si>
  <si>
    <t>738,34</t>
  </si>
  <si>
    <t>761,49</t>
  </si>
  <si>
    <t>553,05</t>
  </si>
  <si>
    <t>537,35</t>
  </si>
  <si>
    <t>688,26</t>
  </si>
  <si>
    <t>672,56</t>
  </si>
  <si>
    <t>422,78</t>
  </si>
  <si>
    <t>407,08</t>
  </si>
  <si>
    <t>413,86</t>
  </si>
  <si>
    <t>398,16</t>
  </si>
  <si>
    <t>484,70</t>
  </si>
  <si>
    <t>458,98</t>
  </si>
  <si>
    <t>450,06</t>
  </si>
  <si>
    <t>432,70</t>
  </si>
  <si>
    <t>203,49</t>
  </si>
  <si>
    <t>390,05</t>
  </si>
  <si>
    <t>901,76</t>
  </si>
  <si>
    <t>693,53</t>
  </si>
  <si>
    <t>230,49</t>
  </si>
  <si>
    <t>221,57</t>
  </si>
  <si>
    <t>1.160,35</t>
  </si>
  <si>
    <t>845,53</t>
  </si>
  <si>
    <t>1.699,90</t>
  </si>
  <si>
    <t>1.566,37</t>
  </si>
  <si>
    <t>292,84</t>
  </si>
  <si>
    <t>301,74</t>
  </si>
  <si>
    <t>739,08</t>
  </si>
  <si>
    <t>747,98</t>
  </si>
  <si>
    <t>55,45</t>
  </si>
  <si>
    <t>90,45</t>
  </si>
  <si>
    <t>69,74</t>
  </si>
  <si>
    <t>210,91</t>
  </si>
  <si>
    <t>534,77</t>
  </si>
  <si>
    <t>90,65</t>
  </si>
  <si>
    <t>240,58</t>
  </si>
  <si>
    <t>218,61</t>
  </si>
  <si>
    <t>1.123,19</t>
  </si>
  <si>
    <t>330,55</t>
  </si>
  <si>
    <t>664,02</t>
  </si>
  <si>
    <t>963,96</t>
  </si>
  <si>
    <t>92,63</t>
  </si>
  <si>
    <t>42,02</t>
  </si>
  <si>
    <t>538,18</t>
  </si>
  <si>
    <t>585,92</t>
  </si>
  <si>
    <t>496,95</t>
  </si>
  <si>
    <t>285,58</t>
  </si>
  <si>
    <t>301,32</t>
  </si>
  <si>
    <t>311,80</t>
  </si>
  <si>
    <t>319,83</t>
  </si>
  <si>
    <t>304,48</t>
  </si>
  <si>
    <t>328,13</t>
  </si>
  <si>
    <t>343,23</t>
  </si>
  <si>
    <t>352,66</t>
  </si>
  <si>
    <t>920,94</t>
  </si>
  <si>
    <t>632,54</t>
  </si>
  <si>
    <t>2.177,16</t>
  </si>
  <si>
    <t>2.999,40</t>
  </si>
  <si>
    <t>4.907,19</t>
  </si>
  <si>
    <t>6.695,42</t>
  </si>
  <si>
    <t>7.776,17</t>
  </si>
  <si>
    <t>9.312,46</t>
  </si>
  <si>
    <t>1.991,82</t>
  </si>
  <si>
    <t>4.429,74</t>
  </si>
  <si>
    <t>6.274,72</t>
  </si>
  <si>
    <t>8.794,98</t>
  </si>
  <si>
    <t>3.304,48</t>
  </si>
  <si>
    <t>5.039,00</t>
  </si>
  <si>
    <t>5.789,63</t>
  </si>
  <si>
    <t>8.055,12</t>
  </si>
  <si>
    <t>5.005,05</t>
  </si>
  <si>
    <t>6.658,50</t>
  </si>
  <si>
    <t>9.399,61</t>
  </si>
  <si>
    <t>12.689,19</t>
  </si>
  <si>
    <t>14.448,41</t>
  </si>
  <si>
    <t>15.656,14</t>
  </si>
  <si>
    <t>4.270,24</t>
  </si>
  <si>
    <t>6.806,74</t>
  </si>
  <si>
    <t>10.750,46</t>
  </si>
  <si>
    <t>14.078,64</t>
  </si>
  <si>
    <t>16.335,46</t>
  </si>
  <si>
    <t>19.301,11</t>
  </si>
  <si>
    <t>4.405,52</t>
  </si>
  <si>
    <t>7.781,96</t>
  </si>
  <si>
    <t>10.097,49</t>
  </si>
  <si>
    <t>15.029,11</t>
  </si>
  <si>
    <t>4.442,98</t>
  </si>
  <si>
    <t>5.851,53</t>
  </si>
  <si>
    <t>8.189,75</t>
  </si>
  <si>
    <t>11.073,92</t>
  </si>
  <si>
    <t>12.506,63</t>
  </si>
  <si>
    <t>13.371,69</t>
  </si>
  <si>
    <t>3.893,45</t>
  </si>
  <si>
    <t>6.181,87</t>
  </si>
  <si>
    <t>9.763,29</t>
  </si>
  <si>
    <t>12.786,16</t>
  </si>
  <si>
    <t>14.878,48</t>
  </si>
  <si>
    <t>17.585,66</t>
  </si>
  <si>
    <t>3.310,92</t>
  </si>
  <si>
    <t>5.656,12</t>
  </si>
  <si>
    <t>7.398,65</t>
  </si>
  <si>
    <t>10.923,21</t>
  </si>
  <si>
    <t>892,34</t>
  </si>
  <si>
    <t>375,21</t>
  </si>
  <si>
    <t>692,77</t>
  </si>
  <si>
    <t>133,91</t>
  </si>
  <si>
    <t>346,32</t>
  </si>
  <si>
    <t>33,42</t>
  </si>
  <si>
    <t>581,30</t>
  </si>
  <si>
    <t>300,29</t>
  </si>
  <si>
    <t>25,01</t>
  </si>
  <si>
    <t>95,00</t>
  </si>
  <si>
    <t>41,13</t>
  </si>
  <si>
    <t>56,05</t>
  </si>
  <si>
    <t>97,84</t>
  </si>
  <si>
    <t>192,28</t>
  </si>
  <si>
    <t>233,55</t>
  </si>
  <si>
    <t>467,04</t>
  </si>
  <si>
    <t>76,77</t>
  </si>
  <si>
    <t>104,75</t>
  </si>
  <si>
    <t>111,51</t>
  </si>
  <si>
    <t>132,42</t>
  </si>
  <si>
    <t>208,76</t>
  </si>
  <si>
    <t>40,90</t>
  </si>
  <si>
    <t>55,16</t>
  </si>
  <si>
    <t>98,89</t>
  </si>
  <si>
    <t>100,17</t>
  </si>
  <si>
    <t>136,05</t>
  </si>
  <si>
    <t>202,81</t>
  </si>
  <si>
    <t>318,48</t>
  </si>
  <si>
    <t>454,09</t>
  </si>
  <si>
    <t>624,67</t>
  </si>
  <si>
    <t>962,09</t>
  </si>
  <si>
    <t>73,17</t>
  </si>
  <si>
    <t>108,90</t>
  </si>
  <si>
    <t>126,71</t>
  </si>
  <si>
    <t>182,76</t>
  </si>
  <si>
    <t>392,46</t>
  </si>
  <si>
    <t>669,92</t>
  </si>
  <si>
    <t>317,78</t>
  </si>
  <si>
    <t>69,18</t>
  </si>
  <si>
    <t>117,44</t>
  </si>
  <si>
    <t>312,42</t>
  </si>
  <si>
    <t>427,14</t>
  </si>
  <si>
    <t>745,83</t>
  </si>
  <si>
    <t>259,66</t>
  </si>
  <si>
    <t>175,64</t>
  </si>
  <si>
    <t>38,35</t>
  </si>
  <si>
    <t>51,37</t>
  </si>
  <si>
    <t>20,22</t>
  </si>
  <si>
    <t>235,53</t>
  </si>
  <si>
    <t>247,88</t>
  </si>
  <si>
    <t>318,78</t>
  </si>
  <si>
    <t>496,07</t>
  </si>
  <si>
    <t>604,63</t>
  </si>
  <si>
    <t>781,06</t>
  </si>
  <si>
    <t>277,11</t>
  </si>
  <si>
    <t>409,30</t>
  </si>
  <si>
    <t>535,10</t>
  </si>
  <si>
    <t>203,70</t>
  </si>
  <si>
    <t>371,10</t>
  </si>
  <si>
    <t>553,00</t>
  </si>
  <si>
    <t>724,54</t>
  </si>
  <si>
    <t>598,14</t>
  </si>
  <si>
    <t>1.019,81</t>
  </si>
  <si>
    <t>1.486,16</t>
  </si>
  <si>
    <t>1.926,24</t>
  </si>
  <si>
    <t>743,42</t>
  </si>
  <si>
    <t>1.308,28</t>
  </si>
  <si>
    <t>1.924,04</t>
  </si>
  <si>
    <t>2.505,97</t>
  </si>
  <si>
    <t>420,08</t>
  </si>
  <si>
    <t>585,47</t>
  </si>
  <si>
    <t>835,91</t>
  </si>
  <si>
    <t>286,02</t>
  </si>
  <si>
    <t>544,46</t>
  </si>
  <si>
    <t>821,93</t>
  </si>
  <si>
    <t>1.081,92</t>
  </si>
  <si>
    <t>445,95</t>
  </si>
  <si>
    <t>666,19</t>
  </si>
  <si>
    <t>873,11</t>
  </si>
  <si>
    <t>307,67</t>
  </si>
  <si>
    <t>569,10</t>
  </si>
  <si>
    <t>854,17</t>
  </si>
  <si>
    <t>1.142,07</t>
  </si>
  <si>
    <t>111,18</t>
  </si>
  <si>
    <t>117,95</t>
  </si>
  <si>
    <t>156,17</t>
  </si>
  <si>
    <t>57,02</t>
  </si>
  <si>
    <t>91,34</t>
  </si>
  <si>
    <t>30,15</t>
  </si>
  <si>
    <t>2.446,94</t>
  </si>
  <si>
    <t>1.718,72</t>
  </si>
  <si>
    <t>1.349,70</t>
  </si>
  <si>
    <t>1.133,44</t>
  </si>
  <si>
    <t>1.566,56</t>
  </si>
  <si>
    <t>2.106,37</t>
  </si>
  <si>
    <t>1.298,48</t>
  </si>
  <si>
    <t>1.658,07</t>
  </si>
  <si>
    <t>2.107,15</t>
  </si>
  <si>
    <t>1.253,58</t>
  </si>
  <si>
    <t>2.033,78</t>
  </si>
  <si>
    <t>122,99</t>
  </si>
  <si>
    <t>3.570,50</t>
  </si>
  <si>
    <t>2.174,95</t>
  </si>
  <si>
    <t>126,59</t>
  </si>
  <si>
    <t>2.987,80</t>
  </si>
  <si>
    <t>129,69</t>
  </si>
  <si>
    <t>162,08</t>
  </si>
  <si>
    <t>10.251,44</t>
  </si>
  <si>
    <t>61,22</t>
  </si>
  <si>
    <t>94,51</t>
  </si>
  <si>
    <t>186,33</t>
  </si>
  <si>
    <t>3.284,06</t>
  </si>
  <si>
    <t>5.435,03</t>
  </si>
  <si>
    <t>7.216,16</t>
  </si>
  <si>
    <t>7.285,18</t>
  </si>
  <si>
    <t>10.959,18</t>
  </si>
  <si>
    <t>1.042,93</t>
  </si>
  <si>
    <t>472,27</t>
  </si>
  <si>
    <t>341,43</t>
  </si>
  <si>
    <t>373,50</t>
  </si>
  <si>
    <t>115,88</t>
  </si>
  <si>
    <t>479,91</t>
  </si>
  <si>
    <t>229,94</t>
  </si>
  <si>
    <t>113,53</t>
  </si>
  <si>
    <t>160,02</t>
  </si>
  <si>
    <t>240,45</t>
  </si>
  <si>
    <t>1.077,38</t>
  </si>
  <si>
    <t>395,28</t>
  </si>
  <si>
    <t>628,51</t>
  </si>
  <si>
    <t>310,44</t>
  </si>
  <si>
    <t>526,87</t>
  </si>
  <si>
    <t>107,09</t>
  </si>
  <si>
    <t>132,47</t>
  </si>
  <si>
    <t>139,75</t>
  </si>
  <si>
    <t>102,11</t>
  </si>
  <si>
    <t>561,56</t>
  </si>
  <si>
    <t>33,07</t>
  </si>
  <si>
    <t>37,20</t>
  </si>
  <si>
    <t>202,22</t>
  </si>
  <si>
    <t>265,72</t>
  </si>
  <si>
    <t>223,86</t>
  </si>
  <si>
    <t>346,51</t>
  </si>
  <si>
    <t>469,17</t>
  </si>
  <si>
    <t>73,85</t>
  </si>
  <si>
    <t>70,30</t>
  </si>
  <si>
    <t>181,25</t>
  </si>
  <si>
    <t>154,57</t>
  </si>
  <si>
    <t>302,63</t>
  </si>
  <si>
    <t>78,22</t>
  </si>
  <si>
    <t>95,88</t>
  </si>
  <si>
    <t>323,47</t>
  </si>
  <si>
    <t>490,83</t>
  </si>
  <si>
    <t>659,11</t>
  </si>
  <si>
    <t>448,04</t>
  </si>
  <si>
    <t>698,28</t>
  </si>
  <si>
    <t>950,94</t>
  </si>
  <si>
    <t>94,71</t>
  </si>
  <si>
    <t>132,95</t>
  </si>
  <si>
    <t>84,59</t>
  </si>
  <si>
    <t>268,72</t>
  </si>
  <si>
    <t>110,98</t>
  </si>
  <si>
    <t>175,91</t>
  </si>
  <si>
    <t>14,68</t>
  </si>
  <si>
    <t>19,66</t>
  </si>
  <si>
    <t>22,72</t>
  </si>
  <si>
    <t>27,43</t>
  </si>
  <si>
    <t>17,08</t>
  </si>
  <si>
    <t>34,80</t>
  </si>
  <si>
    <t>32,82</t>
  </si>
  <si>
    <t>151,90</t>
  </si>
  <si>
    <t>9,79</t>
  </si>
  <si>
    <t>13,75</t>
  </si>
  <si>
    <t>6,18</t>
  </si>
  <si>
    <t>ATERRO MECANIZADO DE VALA COM ESCAVADEIRA HIDRÁULICA (CAPACIDADE DA CAÇAMBA: 0,8 M³ / POTÊNCIA: 111 HP), LARGURA ATÉ 2,5 M, PROFUNDIDADE ATÉ 1,5 M, COM SOLO ARGILO-ARENOSO. AF_08/2023</t>
  </si>
  <si>
    <t>72,22</t>
  </si>
  <si>
    <t>ATERRO MECANIZADO DE VALA COM ESCAVADEIRA HIDRÁULICA (CAPACIDADE DA CAÇAMBA: 0,8 M³ / POTÊNCIA: 111 HP), LARGURA ATÉ 2,5 M, PROFUNDIDADE DE 1,5 A 3,0 M, COM SOLO ARGILO-ARENOSO. AF_08/2023</t>
  </si>
  <si>
    <t>ATERRO MECANIZADO DE VALA COM ESCAVADEIRA HIDRÁULICA (CAPACIDADE DA CAÇAMBA: 0,8 M³/POTÊNCIA: 111 HP), LARGURA ATÉ 2,5 M, PROFUNDIDADE DE 3,0 A 6,0 M, COM SOLO ARGILO-ARENOSO. AF_08/2023</t>
  </si>
  <si>
    <t>63,18</t>
  </si>
  <si>
    <t>ATERRO MECANIZADO DE VALA COM RETROESCAVADEIRA (CAPACIDADE DA CAÇAMBA DA RETRO: 0,26 M³ / POTÊNCIA: 88 HP), LARGURA ATÉ 1,5 M, PROFUNDIDADE ATÉ 1,5 M, COM SOLO ARGILO-ARENOSO. AF_08/2023</t>
  </si>
  <si>
    <t>66,57</t>
  </si>
  <si>
    <t>ATERRO MECANIZADO DE VALA COM RETROESCAVADEIRA (CAPACIDADE DA CAÇAMBA DA RETRO: 0,26 M³ / POTÊNCIA: 88 HP), LARGURA ATÉ 1,5 M, PROFUNDIDADE DE 1,5 A 3,0 M, COM SOLO ARGILO-ARENOSO. AF_08/2023</t>
  </si>
  <si>
    <t>61,63</t>
  </si>
  <si>
    <t>ATERRO MANUAL DE VALAS COM SOLO ARGILO-ARENOSO. AF_08/2023</t>
  </si>
  <si>
    <t>72,41</t>
  </si>
  <si>
    <t>ATERRO MECANIZADO DE VALA COM ESCAVADEIRA HIDRÁULICA (CAPACIDADE DA CAÇAMBA: 0,8 M³/POTÊNCIA: 111 HP), LARGURA ATÉ 2,5 M, PROFUNDIDADE ATÉ 1,5 M, COM AREIA PARA ATERRO. AF_08/2023</t>
  </si>
  <si>
    <t>70,13</t>
  </si>
  <si>
    <t>ATERRO MECANIZADO DE VALA COM ESCAVADEIRA HIDRÁULICA (CAPACIDADE DA CAÇAMBA: 0,8 M³/POTÊNCIA: 111 HP), LARGURA ATÉ 2,5 M, PROFUNDIDADE DE 1,5 A 3,0 M, COM AREIA PARA ATERRO. AF_08/2023</t>
  </si>
  <si>
    <t>ATERRO MECANIZADO DE VALA COM ESCAVADEIRA HIDRÁULICA (CAPACIDADE DA CAÇAMBA: 0,8 M³/POTÊNCIA: 111 HP), LARGURA ATÉ 2,5 M, PROFUNDIDADE DE 3,0 A 6,0 M, COM AREIA PARA ATERRO. AF_08/2023</t>
  </si>
  <si>
    <t>61,09</t>
  </si>
  <si>
    <t>ATERRO MECANIZADO DE VALA COM RETROESCAVADEIRA (CAPACIDADE DA CAÇAMBA DA RETRO: 0,26 M³/POTÊNCIA: 88 HP), LARGURA ATÉ 1,5 M, PROFUNDIDADE ATÉ 1,5 M, COM AREIA PARA ATERRO. AF_08/2023</t>
  </si>
  <si>
    <t>64,48</t>
  </si>
  <si>
    <t>ATERRO MECANIZADO DE VALA COM RETROESCAVADEIRA (CAPACIDADE DA CAÇAMBA DA RETRO: 0,26 M³/POTÊNCIA: 88 HP), LARGURA ATÉ 1,5 M, PROFUNDIDADE DE 1,5 A 3,0 M, COM AREIA PARA ATERRO. AF_08/2023</t>
  </si>
  <si>
    <t>59,54</t>
  </si>
  <si>
    <t>ATERRO MANUAL DE VALAS COM AREIA PARA ATERRO. AF_08/2023</t>
  </si>
  <si>
    <t>REATERRO MECANIZADO DE VALA COM ESCAVADEIRA HIDRÁULICA (CAPACIDADE DA CAÇAMBA: 0,8 M³/POTÊNCIA: 111 HP), LARGURA DE 1,5 A 2,5 M, PROFUNDIDADE ATÉ 1,5 M, COM SOLO (SEM SUBSTITUIÇÃO) DE 1ª CATEGORIA, COM COMPACTADOR DE SOLOS DE PERCUSSÃO. AF_08/2023</t>
  </si>
  <si>
    <t>REATERRO MECANIZADO DE VALA COM ESCAVADEIRA HIDRÁULICA (CAPACIDADE DA CAÇAMBA: 0,8 M³/POTÊNCIA: 111 HP), LARGURA ATÉ 1,5 M, PROFUNDIDADE DE 1,5 A 3,0 M, COM SOLO (SEM SUBSTITUIÇÃO) DE 1ª CATEGORIA, COM COMPACTADOR DE SOLOS DE PERCUSSÃO. AF_08/2023</t>
  </si>
  <si>
    <t>REATERRO MECANIZADO DE VALA COM ESCAVADEIRA HIDRÁULICA (CAPACIDADE DA CAÇAMBA: 0,8 M³/POTÊNCIA: 111 HP), LARGURA DE 1,5 A 2,5 M, PROFUNDIDADE DE 1,5 A 3,0 M, COM SOLO (SEM SUBSTITUIÇÃO) DE 1ª CATEGORIA, COM COMPACTADOR DE SOLOS DE PERCUSSÃO. AF_08/2023</t>
  </si>
  <si>
    <t>REATERRO MECANIZADO DE VALA COM ESCAVADEIRA HIDRÁULICA (CAPACIDADE DA CAÇAMBA: 0,8 M³/POTÊNCIA: 111 HP), LARGURA ATÉ 1,5 M, PROFUNDIDADE DE 3,0 A 6,0 M, COM SOLO (SEM SUBSTITUIÇÃO) DE 1ª CATEGORIA, COM COMPACTADOR DE SOLOS DE PERCUSSÃO. AF_08/2023</t>
  </si>
  <si>
    <t>REATERRO MECANIZADO DE VALA COM ESCAVADEIRA HIDRÁULICA (CAPACIDADE DA CAÇAMBA: 0,8 M³/POTÊNCIA: 111 HP), LARGURA DE 1,5 A 2,5 M, PROFUNDIDADE DE 3,0 A 6,0 M, COM SOLO (SEM SUBSTITUIÇÃO) DE 1ª CATEGORIA, COM COMPACTADOR DE SOLOS DE PERCUSSÃO. AF_08/2023</t>
  </si>
  <si>
    <t>REATERRO MECANIZADO DE VALA COM RETROESCAVADEIRA (CAPACIDADE   DA   CAÇAMBA   DA RETRO: 0,26 M³/POTÊNCIA: 88 HP), LARGURA ATÉ 0,8 M, PROFUNDIDADE ATÉ 1,5 M, COM SOLO (SEM SUBSTITUIÇÃO) DE 1ª CATEGORIA, COM COMPACTADOR DE SOLOS DE PERCUSSÃO. AF_08/2023</t>
  </si>
  <si>
    <t>REATERRO MECANIZADO DE VALA COM RETROESCAVADEIRA (CAPACIDADE   DA   CAÇAMBA   DA RETRO: 0,26 M³/POTÊNCIA: 88 HP), LARGURA DE 0,8 A 1,5 M, PROFUNDIDADE ATÉ 1,5 M, COM SOLO (SEM SUBSTITUIÇÃO) DE 1ª CATEGORIA, COM COMPACTADOR DE SOLOS DE PERCUSSÃO AF_08/2023</t>
  </si>
  <si>
    <t>REATERRO MECANIZADO DE VALA COM RETROESCAVADEIRA (CAPACIDADE   DA   CAÇAMBA   DA RETRO: 0,26 M³/POTÊNCIA: 88 HP), LARGURA ATÉ 0,8 M, PROFUNDIDADE DE 1,5 A 3,0 M, COM SOLO (SEM SUBSTITUIÇÃO) DE 1ª CATEGORIA, COM COMPACTADOR DE SOLOS DE PERCUSSÃO AF_08/2023</t>
  </si>
  <si>
    <t>REATERRO MECANIZADO DE VALA COM RETROESCAVADEIRA (CAPACIDADE   DA   CAÇAMBA   DA RETRO: 0,26 M³/POTÊNCIA: 88 HP), LARGURA DE 0,8 A 1,5 M, PROFUNDIDADE DE 1,5 A 3,0 M, COM SOLO (SEM SUBSTITUIÇÃO) DE 1ª CATEGORIA, COM COMPACTADOR DE SOLOS DE PERCUSSÃO. AF_08/2023</t>
  </si>
  <si>
    <t>REATERRO MANUAL DE VALAS, COM COMPACTADOR DE SOLOS DE PERCUSSÃO. AF_08/2023</t>
  </si>
  <si>
    <t>104728</t>
  </si>
  <si>
    <t>REATERRO MECANIZADO DE VALA COM ESCAVADEIRA HIDRÁULICA (CAPACIDADE DA CAÇAMBA: 0,8 M³/POTÊNCIA: 111 HP), LARGURA DE 1,5 A 2,5 M, PROFUNDIDADE ATÉ 1,5 M, COM SOLO (SEM SUBSTITUIÇÃO) DE 1ª CATEGORIA, COM PLACA VIBRATÓRIA. AF_08/2023</t>
  </si>
  <si>
    <t>104729</t>
  </si>
  <si>
    <t>REATERRO MECANIZADO DE VALA COM ESCAVADEIRA HIDRÁULICA (CAPACIDADE DA CAÇAMBA: 0,8 M³/POTÊNCIA: 111 HP), LARGURA ATÉ 1,5 M, PROFUNDIDADE DE 1,5 A 3,0 M, COM SOLO (SEM SUBSTITUIÇÃO) DE 1ª CATEGORIA, COM PLACA VIBRATÓRIA. AF_08/2023</t>
  </si>
  <si>
    <t>104730</t>
  </si>
  <si>
    <t>REATERRO MECANIZADO DE VALA COM ESCAVADEIRA HIDRÁULICA (CAPACIDADE DA CAÇAMBA: 0,8 M³/POTÊNCIA: 111 HP), LARGURA DE 1,5 A 2,5 M, PROFUNDIDADE DE 1,5 A 3,0 M, COM SOLO (SEM SUBSTITUIÇÃO) DE 1ª CATEGORIA, COM PLACA VIBRATÓRIA. AF_08/2023</t>
  </si>
  <si>
    <t>104731</t>
  </si>
  <si>
    <t>REATERRO MECANIZADO DE VALA COM ESCAVADEIRA HIDRÁULICA (CAPACIDADE DA CAÇAMBA: 0,8 M³/POTÊNCIA: 111 HP), LARGURA ATÉ 1,5 M, PROFUNDIDADE DE 3,0 A 6,0 M, COM SOLO (SEM SUBSTITUIÇÃO) DE 1ª CATEGORIA, COM PLACA VIBRATÓRIA. AF_08/2023</t>
  </si>
  <si>
    <t>104732</t>
  </si>
  <si>
    <t>REATERRO MECANIZADO DE VALA COM ESCAVADEIRA HIDRÁULICA (CAPACIDADE DA CAÇAMBA: 0,8 M³/POTÊNCIA: 111 HP), LARGURA DE 1,5 A 2,5 M, PROFUNDIDADE DE 3,0 A 6,0 M, COM SOLO (SEM SUBSTITUIÇÃO) DE 1ª CATEGORIA, COM PLACA VIBRATÓRIA. AF_08/2023</t>
  </si>
  <si>
    <t>104733</t>
  </si>
  <si>
    <t>REATERRO MECANIZADO DE VALA COM RETROESCAVADEIRA (CAPACIDADE   DA   CAÇAMBA   DA RETRO: 0,26 M³/POTÊNCIA: 88 HP), LARGURA ATÉ 0,8 M, PROFUNDIDADE ATÉ 1,5 M, COM SOLO (SEM SUBSTITUIÇÃO) DE 1ª CATEGORIA, COM PLACA VIBRATÓRIA. AF_08/2023</t>
  </si>
  <si>
    <t>104734</t>
  </si>
  <si>
    <t>REATERRO MECANIZADO DE VALA COM RETROESCAVADEIRA (CAPACIDADE   DA   CAÇAMBA   DA RETRO: 0,26 M³/POTÊNCIA: 88 HP), LARGURA DE 0,8 A 1,5 M, PROFUNDIDADE ATÉ 1,5 M, COM SOLO (SEM SUBSTITUIÇÃO) DE 1ª CATEGORIA, COM PLACA VIBRATÓRIA. AF_08/2023</t>
  </si>
  <si>
    <t>104735</t>
  </si>
  <si>
    <t>REATERRO MECANIZADO DE VALA COM RETROESCAVADEIRA (CAPACIDADE   DA   CAÇAMBA   DA RETRO: 0,26 M³/POTÊNCIA: 88 HP), LARGURA ATÉ 0,8 M, PROFUNDIDADE DE 1,5 A 3,0 M, COM SOLO (SEM SUBSTITUIÇÃO) DE 1ª CATEGORIA, COM PLACA VIBRATÓRIA. AF_08/2023</t>
  </si>
  <si>
    <t>104736</t>
  </si>
  <si>
    <t>REATERRO MECANIZADO DE VALA COM RETROESCAVADEIRA (CAPACIDADE   DA   CAÇAMBA   DA RETRO: 0,26 M³/POTÊNCIA: 88 HP), LARGURA DE 0,8 A 1,5 M, PROFUNDIDADE DE 1,5 A 3,0 M, COM SOLO (SEM SUBSTITUIÇÃO) DE 1ª CATEGORIA, COM PLACA VIBRATÓRIA. AF_08/2023</t>
  </si>
  <si>
    <t>104737</t>
  </si>
  <si>
    <t>REATERRO MANUAL DE VALAS, COM PLACA VIBRATÓRIA. AF_08/2023</t>
  </si>
  <si>
    <t>104738</t>
  </si>
  <si>
    <t>ATERRO MECANIZADO DE VALA COM MINICARREGADEIRA, COM SOLO ARGILO-ARENOSO. AF_08/2023</t>
  </si>
  <si>
    <t>104739</t>
  </si>
  <si>
    <t>ATERRO MECANIZADO DE VALA COM MINICARREGADEIRA, COM AREIA PARA ATERRO. AF_08/2023</t>
  </si>
  <si>
    <t>73,35</t>
  </si>
  <si>
    <t>104740</t>
  </si>
  <si>
    <t>REATERRO MECANIZADO DE VALA COM MINICARREGADEIRA, COM COMPACTADOR DE SOLOS DE PERCUSSÃO. AF_08/2023</t>
  </si>
  <si>
    <t>104741</t>
  </si>
  <si>
    <t>REATERRO MECANIZADO DE VALA COM MINICARREGADEIRA, COM PLACA VIBRATÓRIA. AF_08/2023</t>
  </si>
  <si>
    <t>104742</t>
  </si>
  <si>
    <t>COMPACTAÇÃO DE VALAS COM ROLO COMPRESSOR. AF_08/2023</t>
  </si>
  <si>
    <t>184,70</t>
  </si>
  <si>
    <t>432,09</t>
  </si>
  <si>
    <t>163,01</t>
  </si>
  <si>
    <t>410,39</t>
  </si>
  <si>
    <t>405,17</t>
  </si>
  <si>
    <t>364,71</t>
  </si>
  <si>
    <t>55,83</t>
  </si>
  <si>
    <t>82,72</t>
  </si>
  <si>
    <t>77,10</t>
  </si>
  <si>
    <t>109,25</t>
  </si>
  <si>
    <t>132,85</t>
  </si>
  <si>
    <t>134,58</t>
  </si>
  <si>
    <t>162,25</t>
  </si>
  <si>
    <t>163,51</t>
  </si>
  <si>
    <t>68,13</t>
  </si>
  <si>
    <t>69,28</t>
  </si>
  <si>
    <t>80,46</t>
  </si>
  <si>
    <t>91,71</t>
  </si>
  <si>
    <t>93,41</t>
  </si>
  <si>
    <t>89,46</t>
  </si>
  <si>
    <t>99,86</t>
  </si>
  <si>
    <t>100,68</t>
  </si>
  <si>
    <t>127,69</t>
  </si>
  <si>
    <t>128,65</t>
  </si>
  <si>
    <t>155,25</t>
  </si>
  <si>
    <t>156,46</t>
  </si>
  <si>
    <t>108,56</t>
  </si>
  <si>
    <t>109,38</t>
  </si>
  <si>
    <t>140,94</t>
  </si>
  <si>
    <t>173,24</t>
  </si>
  <si>
    <t>174,45</t>
  </si>
  <si>
    <t>150,86</t>
  </si>
  <si>
    <t>123,05</t>
  </si>
  <si>
    <t>152,95</t>
  </si>
  <si>
    <t>156,59</t>
  </si>
  <si>
    <t>188,33</t>
  </si>
  <si>
    <t>134,08</t>
  </si>
  <si>
    <t>165,11</t>
  </si>
  <si>
    <t>174,05</t>
  </si>
  <si>
    <t>206,96</t>
  </si>
  <si>
    <t>880,73</t>
  </si>
  <si>
    <t>894,68</t>
  </si>
  <si>
    <t>136,81</t>
  </si>
  <si>
    <t>180,27</t>
  </si>
  <si>
    <t>212,59</t>
  </si>
  <si>
    <t>177,74</t>
  </si>
  <si>
    <t>254,02</t>
  </si>
  <si>
    <t>218,68</t>
  </si>
  <si>
    <t>236,27</t>
  </si>
  <si>
    <t>262,16</t>
  </si>
  <si>
    <t>295,44</t>
  </si>
  <si>
    <t>91,12</t>
  </si>
  <si>
    <t>107,27</t>
  </si>
  <si>
    <t>700,32</t>
  </si>
  <si>
    <t>1.512,27</t>
  </si>
  <si>
    <t>1.307,38</t>
  </si>
  <si>
    <t>1.485,43</t>
  </si>
  <si>
    <t>1.290,29</t>
  </si>
  <si>
    <t>317,51</t>
  </si>
  <si>
    <t>341,42</t>
  </si>
  <si>
    <t>182,55</t>
  </si>
  <si>
    <t>268,31</t>
  </si>
  <si>
    <t>224,90</t>
  </si>
  <si>
    <t>310,67</t>
  </si>
  <si>
    <t>267,27</t>
  </si>
  <si>
    <t>135,42</t>
  </si>
  <si>
    <t>132,70</t>
  </si>
  <si>
    <t>185,96</t>
  </si>
  <si>
    <t>272,98</t>
  </si>
  <si>
    <t>43,73</t>
  </si>
  <si>
    <t>72,32</t>
  </si>
  <si>
    <t>99,62</t>
  </si>
  <si>
    <t>163,20</t>
  </si>
  <si>
    <t>336,86</t>
  </si>
  <si>
    <t>409,57</t>
  </si>
  <si>
    <t>463,27</t>
  </si>
  <si>
    <t>516,22</t>
  </si>
  <si>
    <t>378,38</t>
  </si>
  <si>
    <t>432,72</t>
  </si>
  <si>
    <t>486,34</t>
  </si>
  <si>
    <t>465,24</t>
  </si>
  <si>
    <t>205,16</t>
  </si>
  <si>
    <t>305,30</t>
  </si>
  <si>
    <t>219,73</t>
  </si>
  <si>
    <t>187,24</t>
  </si>
  <si>
    <t>334,72</t>
  </si>
  <si>
    <t>388,42</t>
  </si>
  <si>
    <t>441,37</t>
  </si>
  <si>
    <t>303,53</t>
  </si>
  <si>
    <t>357,87</t>
  </si>
  <si>
    <t>411,49</t>
  </si>
  <si>
    <t>390,39</t>
  </si>
  <si>
    <t>51,60</t>
  </si>
  <si>
    <t>80,62</t>
  </si>
  <si>
    <t>22,27</t>
  </si>
  <si>
    <t>30,78</t>
  </si>
  <si>
    <t>28,47</t>
  </si>
  <si>
    <t>32,32</t>
  </si>
  <si>
    <t>3.609,40</t>
  </si>
  <si>
    <t>2,39</t>
  </si>
  <si>
    <t>79,97</t>
  </si>
  <si>
    <t>137,35</t>
  </si>
  <si>
    <t>195,68</t>
  </si>
  <si>
    <t>252,53</t>
  </si>
  <si>
    <t>378,65</t>
  </si>
  <si>
    <t>488,91</t>
  </si>
  <si>
    <t>637,40</t>
  </si>
  <si>
    <t>258,38</t>
  </si>
  <si>
    <t>332,58</t>
  </si>
  <si>
    <t>216,80</t>
  </si>
  <si>
    <t>184,43</t>
  </si>
  <si>
    <t>331,79</t>
  </si>
  <si>
    <t>385,61</t>
  </si>
  <si>
    <t>438,45</t>
  </si>
  <si>
    <t>300,61</t>
  </si>
  <si>
    <t>357,24</t>
  </si>
  <si>
    <t>408,68</t>
  </si>
  <si>
    <t>221,30</t>
  </si>
  <si>
    <t>188,93</t>
  </si>
  <si>
    <t>236,82</t>
  </si>
  <si>
    <t>106,95</t>
  </si>
  <si>
    <t>133,81</t>
  </si>
  <si>
    <t>160,68</t>
  </si>
  <si>
    <t>120,30</t>
  </si>
  <si>
    <t>137,99</t>
  </si>
  <si>
    <t>162,22</t>
  </si>
  <si>
    <t>135,88</t>
  </si>
  <si>
    <t>135,84</t>
  </si>
  <si>
    <t>125,38</t>
  </si>
  <si>
    <t>243,76</t>
  </si>
  <si>
    <t>279,48</t>
  </si>
  <si>
    <t>314,48</t>
  </si>
  <si>
    <t>356,99</t>
  </si>
  <si>
    <t>404,52</t>
  </si>
  <si>
    <t>446,65</t>
  </si>
  <si>
    <t>335,55</t>
  </si>
  <si>
    <t>328,82</t>
  </si>
  <si>
    <t>272,42</t>
  </si>
  <si>
    <t>288,28</t>
  </si>
  <si>
    <t>64,56</t>
  </si>
  <si>
    <t>235,44</t>
  </si>
  <si>
    <t>249,56</t>
  </si>
  <si>
    <t>281,08</t>
  </si>
  <si>
    <t>267,34</t>
  </si>
  <si>
    <t>303,39</t>
  </si>
  <si>
    <t>344,51</t>
  </si>
  <si>
    <t>390,65</t>
  </si>
  <si>
    <t>113,57</t>
  </si>
  <si>
    <t>195,53</t>
  </si>
  <si>
    <t>229,23</t>
  </si>
  <si>
    <t>247,52</t>
  </si>
  <si>
    <t>290,91</t>
  </si>
  <si>
    <t>328,34</t>
  </si>
  <si>
    <t>352,99</t>
  </si>
  <si>
    <t>125,23</t>
  </si>
  <si>
    <t>113,95</t>
  </si>
  <si>
    <t>300,74</t>
  </si>
  <si>
    <t>100,79</t>
  </si>
  <si>
    <t>115,21</t>
  </si>
  <si>
    <t>3.249,43</t>
  </si>
  <si>
    <t>2.830,63</t>
  </si>
  <si>
    <t>365,62</t>
  </si>
  <si>
    <t>474,15</t>
  </si>
  <si>
    <t>624,37</t>
  </si>
  <si>
    <t>19,16</t>
  </si>
  <si>
    <t>28,41</t>
  </si>
  <si>
    <t>19,79</t>
  </si>
  <si>
    <t>12,33</t>
  </si>
  <si>
    <t>21,87</t>
  </si>
  <si>
    <t>25,91</t>
  </si>
  <si>
    <t>43,47</t>
  </si>
  <si>
    <t>74,75</t>
  </si>
  <si>
    <t>67,92</t>
  </si>
  <si>
    <t>121,29</t>
  </si>
  <si>
    <t>79,73</t>
  </si>
  <si>
    <t>73,32</t>
  </si>
  <si>
    <t>80,91</t>
  </si>
  <si>
    <t>139,20</t>
  </si>
  <si>
    <t>214,64</t>
  </si>
  <si>
    <t>201,20</t>
  </si>
  <si>
    <t>192,71</t>
  </si>
  <si>
    <t>246,70</t>
  </si>
  <si>
    <t>231,07</t>
  </si>
  <si>
    <t>79,08</t>
  </si>
  <si>
    <t>70,69</t>
  </si>
  <si>
    <t>156,42</t>
  </si>
  <si>
    <t>141,79</t>
  </si>
  <si>
    <t>252,26</t>
  </si>
  <si>
    <t>234,45</t>
  </si>
  <si>
    <t>99,22</t>
  </si>
  <si>
    <t>89,30</t>
  </si>
  <si>
    <t>84,66</t>
  </si>
  <si>
    <t>75,35</t>
  </si>
  <si>
    <t>66,64</t>
  </si>
  <si>
    <t>88,75</t>
  </si>
  <si>
    <t>257,37</t>
  </si>
  <si>
    <t>771,97</t>
  </si>
  <si>
    <t>941,60</t>
  </si>
  <si>
    <t>368,26</t>
  </si>
  <si>
    <t>137,70</t>
  </si>
  <si>
    <t>191,35</t>
  </si>
  <si>
    <t>153,41</t>
  </si>
  <si>
    <t>191,20</t>
  </si>
  <si>
    <t>283,75</t>
  </si>
  <si>
    <t>199,25</t>
  </si>
  <si>
    <t>236,98</t>
  </si>
  <si>
    <t>319,53</t>
  </si>
  <si>
    <t>488,56</t>
  </si>
  <si>
    <t>500,81</t>
  </si>
  <si>
    <t>142,38</t>
  </si>
  <si>
    <t>131,76</t>
  </si>
  <si>
    <t>781,50</t>
  </si>
  <si>
    <t>951,13</t>
  </si>
  <si>
    <t>105,55</t>
  </si>
  <si>
    <t>20,57</t>
  </si>
  <si>
    <t>1.011,45</t>
  </si>
  <si>
    <t>1.456,83</t>
  </si>
  <si>
    <t>89,28</t>
  </si>
  <si>
    <t>116,00</t>
  </si>
  <si>
    <t>135,96</t>
  </si>
  <si>
    <t>1.495,18</t>
  </si>
  <si>
    <t>257,22</t>
  </si>
  <si>
    <t>106,56</t>
  </si>
  <si>
    <t>144,71</t>
  </si>
  <si>
    <t>60,93</t>
  </si>
  <si>
    <t>165,53</t>
  </si>
  <si>
    <t>175,92</t>
  </si>
  <si>
    <t>160,34</t>
  </si>
  <si>
    <t>170,73</t>
  </si>
  <si>
    <t>63,86</t>
  </si>
  <si>
    <t>183,65</t>
  </si>
  <si>
    <t>195,56</t>
  </si>
  <si>
    <t>63,31</t>
  </si>
  <si>
    <t>212,58</t>
  </si>
  <si>
    <t>117,06</t>
  </si>
  <si>
    <t>146,76</t>
  </si>
  <si>
    <t>155,21</t>
  </si>
  <si>
    <t>55,07</t>
  </si>
  <si>
    <t>173,26</t>
  </si>
  <si>
    <t>67,73</t>
  </si>
  <si>
    <t>89,04</t>
  </si>
  <si>
    <t>94,42</t>
  </si>
  <si>
    <t>214,21</t>
  </si>
  <si>
    <t>226,12</t>
  </si>
  <si>
    <t>100,86</t>
  </si>
  <si>
    <t>231,31</t>
  </si>
  <si>
    <t>244,27</t>
  </si>
  <si>
    <t>105,90</t>
  </si>
  <si>
    <t>112,64</t>
  </si>
  <si>
    <t>262,62</t>
  </si>
  <si>
    <t>277,53</t>
  </si>
  <si>
    <t>57,29</t>
  </si>
  <si>
    <t>64,36</t>
  </si>
  <si>
    <t>21,33</t>
  </si>
  <si>
    <t>7,88</t>
  </si>
  <si>
    <t>25,34</t>
  </si>
  <si>
    <t>33,70</t>
  </si>
  <si>
    <t>42,50</t>
  </si>
  <si>
    <t>106,25</t>
  </si>
  <si>
    <t>105,21</t>
  </si>
  <si>
    <t>102,30</t>
  </si>
  <si>
    <t>64,86</t>
  </si>
  <si>
    <t>54,38</t>
  </si>
  <si>
    <t>107,59</t>
  </si>
  <si>
    <t>83,38</t>
  </si>
  <si>
    <t>168,99</t>
  </si>
  <si>
    <t>91,53</t>
  </si>
  <si>
    <t>186,14</t>
  </si>
  <si>
    <t>41,63</t>
  </si>
  <si>
    <t>124,76</t>
  </si>
  <si>
    <t>75,84</t>
  </si>
  <si>
    <t>73,48</t>
  </si>
  <si>
    <t>92,75</t>
  </si>
  <si>
    <t>153,50</t>
  </si>
  <si>
    <t>96,49</t>
  </si>
  <si>
    <t>101,14</t>
  </si>
  <si>
    <t>178,74</t>
  </si>
  <si>
    <t>123,03</t>
  </si>
  <si>
    <t>128,15</t>
  </si>
  <si>
    <t>74,18</t>
  </si>
  <si>
    <t>130,69</t>
  </si>
  <si>
    <t>91,36</t>
  </si>
  <si>
    <t>268,10</t>
  </si>
  <si>
    <t>186,16</t>
  </si>
  <si>
    <t>179,67</t>
  </si>
  <si>
    <t>275,01</t>
  </si>
  <si>
    <t>191,34</t>
  </si>
  <si>
    <t>265,87</t>
  </si>
  <si>
    <t>183,15</t>
  </si>
  <si>
    <t>200,86</t>
  </si>
  <si>
    <t>263,62</t>
  </si>
  <si>
    <t>188,26</t>
  </si>
  <si>
    <t>289,30</t>
  </si>
  <si>
    <t>280,76</t>
  </si>
  <si>
    <t>199,81</t>
  </si>
  <si>
    <t>296,24</t>
  </si>
  <si>
    <t>212,56</t>
  </si>
  <si>
    <t>203,27</t>
  </si>
  <si>
    <t>298,42</t>
  </si>
  <si>
    <t>222,08</t>
  </si>
  <si>
    <t>195,73</t>
  </si>
  <si>
    <t>222,49</t>
  </si>
  <si>
    <t>43,22</t>
  </si>
  <si>
    <t>85,06</t>
  </si>
  <si>
    <t>93,92</t>
  </si>
  <si>
    <t>70,22</t>
  </si>
  <si>
    <t>79,93</t>
  </si>
  <si>
    <t>96,98</t>
  </si>
  <si>
    <t>105,17</t>
  </si>
  <si>
    <t>124,44</t>
  </si>
  <si>
    <t>76,65</t>
  </si>
  <si>
    <t>94,02</t>
  </si>
  <si>
    <t>104,62</t>
  </si>
  <si>
    <t>55,23</t>
  </si>
  <si>
    <t>70,15</t>
  </si>
  <si>
    <t>138,12</t>
  </si>
  <si>
    <t>71,72</t>
  </si>
  <si>
    <t>165,13</t>
  </si>
  <si>
    <t>80,43</t>
  </si>
  <si>
    <t>86,26</t>
  </si>
  <si>
    <t>91,74</t>
  </si>
  <si>
    <t>181,90</t>
  </si>
  <si>
    <t>39,68</t>
  </si>
  <si>
    <t>42,45</t>
  </si>
  <si>
    <t>58,02</t>
  </si>
  <si>
    <t>122,12</t>
  </si>
  <si>
    <t>66,41</t>
  </si>
  <si>
    <t>147,36</t>
  </si>
  <si>
    <t>67,05</t>
  </si>
  <si>
    <t>67,53</t>
  </si>
  <si>
    <t>159,47</t>
  </si>
  <si>
    <t>70,54</t>
  </si>
  <si>
    <t>115,52</t>
  </si>
  <si>
    <t>73,52</t>
  </si>
  <si>
    <t>85,88</t>
  </si>
  <si>
    <t>89,55</t>
  </si>
  <si>
    <t>172,54</t>
  </si>
  <si>
    <t>196,37</t>
  </si>
  <si>
    <t>115,27</t>
  </si>
  <si>
    <t>51,24</t>
  </si>
  <si>
    <t>67,94</t>
  </si>
  <si>
    <t>262,69</t>
  </si>
  <si>
    <t>312,82</t>
  </si>
  <si>
    <t>75,26</t>
  </si>
  <si>
    <t>79,79</t>
  </si>
  <si>
    <t>78,48</t>
  </si>
  <si>
    <t>82,05</t>
  </si>
  <si>
    <t>88,24</t>
  </si>
  <si>
    <t>378,83</t>
  </si>
  <si>
    <t>453,20</t>
  </si>
  <si>
    <t>62,22</t>
  </si>
  <si>
    <t>102,66</t>
  </si>
  <si>
    <t>261,57</t>
  </si>
  <si>
    <t>383,51</t>
  </si>
  <si>
    <t>392,39</t>
  </si>
  <si>
    <t>209,60</t>
  </si>
  <si>
    <t>287,41</t>
  </si>
  <si>
    <t>FORRO EM MADEIRA PINUS, PARA AMBIENTES RESIDENCIAIS, INCLUSIVE ESTRUTURA UNIDIRECIONAL DE FIXAÇÃO. AF_08/2023_PS</t>
  </si>
  <si>
    <t>ACABAMENTOS PARA FORRO (RODA-FORRO EM MADEIRA PINUS). AF_08/2023</t>
  </si>
  <si>
    <t>104756</t>
  </si>
  <si>
    <t>FORRO EM MADEIRA PINUS, PARA AMBIENTES RESIDENCIAIS E COMERCIAIS, INCLUSIVE ESTRUTURA BIDIRECIONAL DE FIXAÇÃO. AF_08/2023</t>
  </si>
  <si>
    <t>187,32</t>
  </si>
  <si>
    <t>FORRO EM PLACAS DE GESSO, PARA AMBIENTES RESIDENCIAIS. AF_08/2023_PS</t>
  </si>
  <si>
    <t>55,13</t>
  </si>
  <si>
    <t>FORRO EM DRYWALL PARA AMBIENTES RESIDENCIAIS, INCLUSIVE ESTRUTURA UNIDIRECIONAL DE FIXAÇÃO. AF_08/2023_PS</t>
  </si>
  <si>
    <t>99,55</t>
  </si>
  <si>
    <t>FORRO EM PLACAS DE GESSO, PARA AMBIENTES COMERCIAIS. AF_08/2023_PS</t>
  </si>
  <si>
    <t>50,86</t>
  </si>
  <si>
    <t>FORRO EM DRYWALL, PARA AMBIENTES COMERCIAIS, INCLUSIVE ESTRUTURA BIRECIONAL DE FIXAÇÃO. AF_08/2023_PS</t>
  </si>
  <si>
    <t>104,66</t>
  </si>
  <si>
    <t>ACABAMENTOS PARA FORRO (MOLDURA DE GESSO). AF_08/2023</t>
  </si>
  <si>
    <t>ACABAMENTOS PARA FORRO (MOLDURA EM DRYWALL, COM LARGURA DE 15 CM). AF_08/2023_PS</t>
  </si>
  <si>
    <t>ACABAMENTOS PARA FORRO (SANCA DE GESSO, MONTADA NA OBRA). AF_08/2023_PS</t>
  </si>
  <si>
    <t>61,47</t>
  </si>
  <si>
    <t>FORRO EM RÉGUAS DE PVC, FRISADO, PARA AMBIENTES RESIDENCIAIS, INCLUSIVE ESTRUTURA UNIDIRECIONAL DE FIXAÇÃO. AF_08/2023_PS</t>
  </si>
  <si>
    <t>67,86</t>
  </si>
  <si>
    <t>FORRO EM RÉGUAS DE PVC, FRISADO, PARA AMBIENTES COMERCIAIS, INCLUSIVE ESTRUTURA BIDIRECIONAL DE FIXAÇÃO. AF_08/2023</t>
  </si>
  <si>
    <t>74,44</t>
  </si>
  <si>
    <t>ACABAMENTOS PARA FORRO (RODA-FORRO EM PERFIL METÁLICO E PLÁSTICO). AF_08/2023</t>
  </si>
  <si>
    <t>FORRO EM RÉGUAS DE PVC, LISO, PARA AMBIENTES RESIDENCIAIS, INCLUSIVE ESTRUTURA UNIDIRECIONAL DE FIXAÇÃO. AF_08/2023_PS</t>
  </si>
  <si>
    <t>FORRO EM RÉGUAS DE PVC, LISO, PARA AMBIENTES COMERCIAIS, INCLUSIVE ESTRUTURA BIDIRECIONAL DE FIXAÇÃO. AF_08/2023_PS</t>
  </si>
  <si>
    <t>83,42</t>
  </si>
  <si>
    <t>523,06</t>
  </si>
  <si>
    <t>516,90</t>
  </si>
  <si>
    <t>559,18</t>
  </si>
  <si>
    <t>552,34</t>
  </si>
  <si>
    <t>749,57</t>
  </si>
  <si>
    <t>733,97</t>
  </si>
  <si>
    <t>717,38</t>
  </si>
  <si>
    <t>708,56</t>
  </si>
  <si>
    <t>745,62</t>
  </si>
  <si>
    <t>696,24</t>
  </si>
  <si>
    <t>700,06</t>
  </si>
  <si>
    <t>674,01</t>
  </si>
  <si>
    <t>942,06</t>
  </si>
  <si>
    <t>542,72</t>
  </si>
  <si>
    <t>807,55</t>
  </si>
  <si>
    <t>798,23</t>
  </si>
  <si>
    <t>706,78</t>
  </si>
  <si>
    <t>708,08</t>
  </si>
  <si>
    <t>647,70</t>
  </si>
  <si>
    <t>637,25</t>
  </si>
  <si>
    <t>551,17</t>
  </si>
  <si>
    <t>540,33</t>
  </si>
  <si>
    <t>724,16</t>
  </si>
  <si>
    <t>716,48</t>
  </si>
  <si>
    <t>626,54</t>
  </si>
  <si>
    <t>612,30</t>
  </si>
  <si>
    <t>3.841,02</t>
  </si>
  <si>
    <t>3.847,16</t>
  </si>
  <si>
    <t>4.015,82</t>
  </si>
  <si>
    <t>4.016,46</t>
  </si>
  <si>
    <t>3.892,66</t>
  </si>
  <si>
    <t>3.905,07</t>
  </si>
  <si>
    <t>544,29</t>
  </si>
  <si>
    <t>487,65</t>
  </si>
  <si>
    <t>597,44</t>
  </si>
  <si>
    <t>533,20</t>
  </si>
  <si>
    <t>767,42</t>
  </si>
  <si>
    <t>709,65</t>
  </si>
  <si>
    <t>717,53</t>
  </si>
  <si>
    <t>681,23</t>
  </si>
  <si>
    <t>711,19</t>
  </si>
  <si>
    <t>713,77</t>
  </si>
  <si>
    <t>696,76</t>
  </si>
  <si>
    <t>667,76</t>
  </si>
  <si>
    <t>1.048,10</t>
  </si>
  <si>
    <t>932,14</t>
  </si>
  <si>
    <t>902,88</t>
  </si>
  <si>
    <t>868,95</t>
  </si>
  <si>
    <t>803,31</t>
  </si>
  <si>
    <t>758,19</t>
  </si>
  <si>
    <t>704,44</t>
  </si>
  <si>
    <t>674,54</t>
  </si>
  <si>
    <t>676,18</t>
  </si>
  <si>
    <t>605,08</t>
  </si>
  <si>
    <t>591,92</t>
  </si>
  <si>
    <t>522,70</t>
  </si>
  <si>
    <t>796,23</t>
  </si>
  <si>
    <t>723,97</t>
  </si>
  <si>
    <t>692,26</t>
  </si>
  <si>
    <t>659,02</t>
  </si>
  <si>
    <t>610,82</t>
  </si>
  <si>
    <t>586,96</t>
  </si>
  <si>
    <t>3.795,20</t>
  </si>
  <si>
    <t>3.769,00</t>
  </si>
  <si>
    <t>3.961,18</t>
  </si>
  <si>
    <t>3.922,48</t>
  </si>
  <si>
    <t>3.924,60</t>
  </si>
  <si>
    <t>3.856,54</t>
  </si>
  <si>
    <t>3.833,98</t>
  </si>
  <si>
    <t>613,14</t>
  </si>
  <si>
    <t>662,71</t>
  </si>
  <si>
    <t>838,41</t>
  </si>
  <si>
    <t>808,35</t>
  </si>
  <si>
    <t>839,95</t>
  </si>
  <si>
    <t>793,62</t>
  </si>
  <si>
    <t>773,45</t>
  </si>
  <si>
    <t>1.044,62</t>
  </si>
  <si>
    <t>896,20</t>
  </si>
  <si>
    <t>804,61</t>
  </si>
  <si>
    <t>741,83</t>
  </si>
  <si>
    <t>648,96</t>
  </si>
  <si>
    <t>826,18</t>
  </si>
  <si>
    <t>716,02</t>
  </si>
  <si>
    <t>3.917,60</t>
  </si>
  <si>
    <t>4.075,28</t>
  </si>
  <si>
    <t>3.976,64</t>
  </si>
  <si>
    <t>2.474,48</t>
  </si>
  <si>
    <t>2.478,11</t>
  </si>
  <si>
    <t>2.474,35</t>
  </si>
  <si>
    <t>2.869,80</t>
  </si>
  <si>
    <t>2.869,64</t>
  </si>
  <si>
    <t>2.869,28</t>
  </si>
  <si>
    <t>6.947,57</t>
  </si>
  <si>
    <t>6.983,56</t>
  </si>
  <si>
    <t>7.025,71</t>
  </si>
  <si>
    <t>7.698,01</t>
  </si>
  <si>
    <t>7.776,45</t>
  </si>
  <si>
    <t>7.851,24</t>
  </si>
  <si>
    <t>4.843,75</t>
  </si>
  <si>
    <t>4.883,85</t>
  </si>
  <si>
    <t>4.922,03</t>
  </si>
  <si>
    <t>2.668,49</t>
  </si>
  <si>
    <t>3.065,79</t>
  </si>
  <si>
    <t>8.009,42</t>
  </si>
  <si>
    <t>5.096,72</t>
  </si>
  <si>
    <t>7.200,39</t>
  </si>
  <si>
    <t>7.231,44</t>
  </si>
  <si>
    <t>2.524,09</t>
  </si>
  <si>
    <t>2.516,60</t>
  </si>
  <si>
    <t>1.315,00</t>
  </si>
  <si>
    <t>745,22</t>
  </si>
  <si>
    <t>821,64</t>
  </si>
  <si>
    <t>787,67</t>
  </si>
  <si>
    <t>869,23</t>
  </si>
  <si>
    <t>627,71</t>
  </si>
  <si>
    <t>746,39</t>
  </si>
  <si>
    <t>693,20</t>
  </si>
  <si>
    <t>1.152,55</t>
  </si>
  <si>
    <t>764,72</t>
  </si>
  <si>
    <t>729,66</t>
  </si>
  <si>
    <t>711,08</t>
  </si>
  <si>
    <t>901,08</t>
  </si>
  <si>
    <t>773,64</t>
  </si>
  <si>
    <t>671,28</t>
  </si>
  <si>
    <t>663,33</t>
  </si>
  <si>
    <t>643,53</t>
  </si>
  <si>
    <t>965,93</t>
  </si>
  <si>
    <t>1.016,60</t>
  </si>
  <si>
    <t>947,24</t>
  </si>
  <si>
    <t>932,38</t>
  </si>
  <si>
    <t>1.045,17</t>
  </si>
  <si>
    <t>807,38</t>
  </si>
  <si>
    <t>846,31</t>
  </si>
  <si>
    <t>801,96</t>
  </si>
  <si>
    <t>784,51</t>
  </si>
  <si>
    <t>895,38</t>
  </si>
  <si>
    <t>664,40</t>
  </si>
  <si>
    <t>736,73</t>
  </si>
  <si>
    <t>785,11</t>
  </si>
  <si>
    <t>663,87</t>
  </si>
  <si>
    <t>964,26</t>
  </si>
  <si>
    <t>807,10</t>
  </si>
  <si>
    <t>43,88</t>
  </si>
  <si>
    <t>1.250,00</t>
  </si>
  <si>
    <t>903,54</t>
  </si>
  <si>
    <t>472,47</t>
  </si>
  <si>
    <t>71,27</t>
  </si>
  <si>
    <t>35,87</t>
  </si>
  <si>
    <t>118,46</t>
  </si>
  <si>
    <t>68,91</t>
  </si>
  <si>
    <t>51,30</t>
  </si>
  <si>
    <t>79,59</t>
  </si>
  <si>
    <t>49,80</t>
  </si>
  <si>
    <t>126,69</t>
  </si>
  <si>
    <t>53,82</t>
  </si>
  <si>
    <t>221,95</t>
  </si>
  <si>
    <t>142,15</t>
  </si>
  <si>
    <t>615,87</t>
  </si>
  <si>
    <t>98,43</t>
  </si>
  <si>
    <t>146,96</t>
  </si>
  <si>
    <t>90,20</t>
  </si>
  <si>
    <t>53,34</t>
  </si>
  <si>
    <t>519,62</t>
  </si>
  <si>
    <t>257,66</t>
  </si>
  <si>
    <t>237,10</t>
  </si>
  <si>
    <t>111,54</t>
  </si>
  <si>
    <t>2,28</t>
  </si>
  <si>
    <t>69,93</t>
  </si>
  <si>
    <t>158,55</t>
  </si>
  <si>
    <t>127,11</t>
  </si>
  <si>
    <t>151,38</t>
  </si>
  <si>
    <t>270,75</t>
  </si>
  <si>
    <t>536,64</t>
  </si>
  <si>
    <t>193,56</t>
  </si>
  <si>
    <t>263,01</t>
  </si>
  <si>
    <t>52,31</t>
  </si>
  <si>
    <t>138,16</t>
  </si>
  <si>
    <t>564,26</t>
  </si>
  <si>
    <t>164,39</t>
  </si>
  <si>
    <t>44,07</t>
  </si>
  <si>
    <t>27,75</t>
  </si>
  <si>
    <t>44,92</t>
  </si>
  <si>
    <t>39,13</t>
  </si>
  <si>
    <t>29,66</t>
  </si>
  <si>
    <t>36,87</t>
  </si>
  <si>
    <t>65,93</t>
  </si>
  <si>
    <t>36,94</t>
  </si>
  <si>
    <t>191,47</t>
  </si>
  <si>
    <t>83,87</t>
  </si>
  <si>
    <t>79,68</t>
  </si>
  <si>
    <t>78,80</t>
  </si>
  <si>
    <t>79,24</t>
  </si>
  <si>
    <t>78,78</t>
  </si>
  <si>
    <t>150,20</t>
  </si>
  <si>
    <t>103,25</t>
  </si>
  <si>
    <t>104,34</t>
  </si>
  <si>
    <t>40,57</t>
  </si>
  <si>
    <t>176,95</t>
  </si>
  <si>
    <t>204,39</t>
  </si>
  <si>
    <t>180,51</t>
  </si>
  <si>
    <t>229,49</t>
  </si>
  <si>
    <t>460,90</t>
  </si>
  <si>
    <t>671,59</t>
  </si>
  <si>
    <t>254,89</t>
  </si>
  <si>
    <t>6.136,80</t>
  </si>
  <si>
    <t>6.479,97</t>
  </si>
  <si>
    <t>4.865,59</t>
  </si>
  <si>
    <t>5.234,16</t>
  </si>
  <si>
    <t>2.621,89</t>
  </si>
  <si>
    <t>4.097,33</t>
  </si>
  <si>
    <t>2.396,54</t>
  </si>
  <si>
    <t>2.550,18</t>
  </si>
  <si>
    <t>1.968,91</t>
  </si>
  <si>
    <t>2.826,88</t>
  </si>
  <si>
    <t>2.207,72</t>
  </si>
  <si>
    <t>4.102,01</t>
  </si>
  <si>
    <t>2.401,21</t>
  </si>
  <si>
    <t>2.554,85</t>
  </si>
  <si>
    <t>1.973,58</t>
  </si>
  <si>
    <t>2.831,55</t>
  </si>
  <si>
    <t>2.298,95</t>
  </si>
  <si>
    <t>1.243,10</t>
  </si>
  <si>
    <t>1.334,69</t>
  </si>
  <si>
    <t>1.290,14</t>
  </si>
  <si>
    <t>235,90</t>
  </si>
  <si>
    <t>227,75</t>
  </si>
  <si>
    <t>5.206,11</t>
  </si>
  <si>
    <t>162,14</t>
  </si>
  <si>
    <t>237,11</t>
  </si>
  <si>
    <t>256,99</t>
  </si>
  <si>
    <t>115,61</t>
  </si>
  <si>
    <t>309,64</t>
  </si>
  <si>
    <t>801,55</t>
  </si>
  <si>
    <t>1.254,53</t>
  </si>
  <si>
    <t>17,73</t>
  </si>
  <si>
    <t>26,96</t>
  </si>
  <si>
    <t>23,53</t>
  </si>
  <si>
    <t>MOTORISTA DE VEÍCULO LEVE COM ENCARGOS COMPLEMENTARES</t>
  </si>
  <si>
    <t>25,40</t>
  </si>
  <si>
    <t>101,99</t>
  </si>
  <si>
    <t>134,24</t>
  </si>
  <si>
    <t>111,44</t>
  </si>
  <si>
    <t>151,65</t>
  </si>
  <si>
    <t>144,27</t>
  </si>
  <si>
    <t>136,87</t>
  </si>
  <si>
    <t>4.023,77</t>
  </si>
  <si>
    <t>4.647,56</t>
  </si>
  <si>
    <t>3.071,17</t>
  </si>
  <si>
    <t>3.456,20</t>
  </si>
  <si>
    <t>3.720,41</t>
  </si>
  <si>
    <t>2.738,69</t>
  </si>
  <si>
    <t>2.768,60</t>
  </si>
  <si>
    <t>17.038,80</t>
  </si>
  <si>
    <t>2.640,37</t>
  </si>
  <si>
    <t>19.343,29</t>
  </si>
  <si>
    <t>26.308,01</t>
  </si>
  <si>
    <t>12.593,27</t>
  </si>
  <si>
    <t>17.734,47</t>
  </si>
  <si>
    <t>23.329,17</t>
  </si>
  <si>
    <t>5.324,76</t>
  </si>
  <si>
    <t>6.497,67</t>
  </si>
  <si>
    <t>4.892,04</t>
  </si>
  <si>
    <t>9,44</t>
  </si>
  <si>
    <t>192,18</t>
  </si>
  <si>
    <t>218,74</t>
  </si>
  <si>
    <t>299,01</t>
  </si>
  <si>
    <t>79,81</t>
  </si>
  <si>
    <t>113,37</t>
  </si>
  <si>
    <t>149,89</t>
  </si>
  <si>
    <t>99,27</t>
  </si>
  <si>
    <t>18,11</t>
  </si>
  <si>
    <t>19,70</t>
  </si>
  <si>
    <t>141,58</t>
  </si>
  <si>
    <t>101,38</t>
  </si>
  <si>
    <t>97,12</t>
  </si>
  <si>
    <t>178,61</t>
  </si>
  <si>
    <t>152,34</t>
  </si>
  <si>
    <t>171,87</t>
  </si>
  <si>
    <t>2.616,12</t>
  </si>
  <si>
    <t>24.622,93</t>
  </si>
  <si>
    <t>17.750,50</t>
  </si>
  <si>
    <t>17.239,40</t>
  </si>
  <si>
    <t>19.402,73</t>
  </si>
  <si>
    <t>3.888,34</t>
  </si>
  <si>
    <t>3.979,53</t>
  </si>
  <si>
    <t>61,39</t>
  </si>
  <si>
    <t>34,66</t>
  </si>
  <si>
    <t>83,28</t>
  </si>
  <si>
    <t>643,77</t>
  </si>
  <si>
    <t>93,86</t>
  </si>
  <si>
    <t>27,55</t>
  </si>
  <si>
    <t>34,63</t>
  </si>
  <si>
    <t>33,71</t>
  </si>
  <si>
    <t>45,65</t>
  </si>
  <si>
    <t>31,82</t>
  </si>
  <si>
    <t>30,61</t>
  </si>
  <si>
    <t>152,38</t>
  </si>
  <si>
    <t>3.128,53</t>
  </si>
  <si>
    <t>3.317,32</t>
  </si>
  <si>
    <t>3.299,99</t>
  </si>
  <si>
    <t>3.180,15</t>
  </si>
  <si>
    <t>3.537,67</t>
  </si>
  <si>
    <t>3.280,08</t>
  </si>
  <si>
    <t>3.357,13</t>
  </si>
  <si>
    <t>4.263,99</t>
  </si>
  <si>
    <t>4.239,58</t>
  </si>
  <si>
    <t>3.133,24</t>
  </si>
  <si>
    <t>3.160,90</t>
  </si>
  <si>
    <t>3.378,32</t>
  </si>
  <si>
    <t>3.459,53</t>
  </si>
  <si>
    <t>3.252,13</t>
  </si>
  <si>
    <t>2.405,23</t>
  </si>
  <si>
    <t>6.863,52</t>
  </si>
  <si>
    <t>4.271,57</t>
  </si>
  <si>
    <t>3.720,99</t>
  </si>
  <si>
    <t>3.981,17</t>
  </si>
  <si>
    <t>4.086,94</t>
  </si>
  <si>
    <t>4.062,79</t>
  </si>
  <si>
    <t>4.230,72</t>
  </si>
  <si>
    <t>3.301,12</t>
  </si>
  <si>
    <t>4.321,09</t>
  </si>
  <si>
    <t>4.759,82</t>
  </si>
  <si>
    <t>4.149,78</t>
  </si>
  <si>
    <t>26.454,60</t>
  </si>
  <si>
    <t>24.913,59</t>
  </si>
  <si>
    <t>23.808,04</t>
  </si>
  <si>
    <t>4.185,66</t>
  </si>
  <si>
    <t>3.971,64</t>
  </si>
  <si>
    <t>3.916,85</t>
  </si>
  <si>
    <t>3.503,69</t>
  </si>
  <si>
    <t>2.234,16</t>
  </si>
  <si>
    <t>4.362,03</t>
  </si>
  <si>
    <t>4.018,08</t>
  </si>
  <si>
    <t>5.259,77</t>
  </si>
  <si>
    <t>4.402,92</t>
  </si>
  <si>
    <t>3.839,66</t>
  </si>
  <si>
    <t>3.609,42</t>
  </si>
  <si>
    <t>4.451,87</t>
  </si>
  <si>
    <t>4.140,81</t>
  </si>
  <si>
    <t>4.751,62</t>
  </si>
  <si>
    <t>2.831,76</t>
  </si>
  <si>
    <t>3.821,69</t>
  </si>
  <si>
    <t>3.752,24</t>
  </si>
  <si>
    <t>2.966,67</t>
  </si>
  <si>
    <t>4.209,99</t>
  </si>
  <si>
    <t>3.801,19</t>
  </si>
  <si>
    <t>3.704,59</t>
  </si>
  <si>
    <t>3.899,19</t>
  </si>
  <si>
    <t>4.438,72</t>
  </si>
  <si>
    <t>4.772,69</t>
  </si>
  <si>
    <t>3.619,15</t>
  </si>
  <si>
    <t>4.394,88</t>
  </si>
  <si>
    <t>4.381,43</t>
  </si>
  <si>
    <t>3.430,90</t>
  </si>
  <si>
    <t>3.602,97</t>
  </si>
  <si>
    <t>4.496,67</t>
  </si>
  <si>
    <t>5.281,04</t>
  </si>
  <si>
    <t>4.256,87</t>
  </si>
  <si>
    <t>4.608,72</t>
  </si>
  <si>
    <t>3.675,60</t>
  </si>
  <si>
    <t>3.887,53</t>
  </si>
  <si>
    <t>4.104,50</t>
  </si>
  <si>
    <t>4.525,30</t>
  </si>
  <si>
    <t>4.286,71</t>
  </si>
  <si>
    <t>4.524,07</t>
  </si>
  <si>
    <t>4.437,05</t>
  </si>
  <si>
    <t>3.809,86</t>
  </si>
  <si>
    <t>3.447,32</t>
  </si>
  <si>
    <t>3.267,44</t>
  </si>
  <si>
    <t>4.422,78</t>
  </si>
  <si>
    <t>4.948,21</t>
  </si>
  <si>
    <t>3.474,38</t>
  </si>
  <si>
    <t>4.910,19</t>
  </si>
  <si>
    <t>4.195,06</t>
  </si>
  <si>
    <t>3.919,91</t>
  </si>
  <si>
    <t>3.241,93</t>
  </si>
  <si>
    <t>34,62</t>
  </si>
  <si>
    <t>51,47</t>
  </si>
  <si>
    <t>57,14</t>
  </si>
  <si>
    <t>74,68</t>
  </si>
  <si>
    <t>7,40</t>
  </si>
  <si>
    <t>31,48</t>
  </si>
  <si>
    <t>43,29</t>
  </si>
  <si>
    <t>49,17</t>
  </si>
  <si>
    <t>66,81</t>
  </si>
  <si>
    <t>78,56</t>
  </si>
  <si>
    <t>90,32</t>
  </si>
  <si>
    <t>102,08</t>
  </si>
  <si>
    <t>118,62</t>
  </si>
  <si>
    <t>130,88</t>
  </si>
  <si>
    <t>39,64</t>
  </si>
  <si>
    <t>63,61</t>
  </si>
  <si>
    <t>82,79</t>
  </si>
  <si>
    <t>95,94</t>
  </si>
  <si>
    <t>46,30</t>
  </si>
  <si>
    <t>87,85</t>
  </si>
  <si>
    <t>347,53</t>
  </si>
  <si>
    <t>570,90</t>
  </si>
  <si>
    <t>70,24</t>
  </si>
  <si>
    <t>183,33</t>
  </si>
  <si>
    <t>275,73</t>
  </si>
  <si>
    <t>354,51</t>
  </si>
  <si>
    <t>470,00</t>
  </si>
  <si>
    <t>750,63</t>
  </si>
  <si>
    <t>25,57</t>
  </si>
  <si>
    <t>55,43</t>
  </si>
  <si>
    <t>85,21</t>
  </si>
  <si>
    <t>132,36</t>
  </si>
  <si>
    <t>1.218,64</t>
  </si>
  <si>
    <t>1.876,10</t>
  </si>
  <si>
    <t>2.582,88</t>
  </si>
  <si>
    <t>109,03</t>
  </si>
  <si>
    <t>156,75</t>
  </si>
  <si>
    <t>192,48</t>
  </si>
  <si>
    <t>230,98</t>
  </si>
  <si>
    <t>242,35</t>
  </si>
  <si>
    <t>426,22</t>
  </si>
  <si>
    <t>521,35</t>
  </si>
  <si>
    <t>679,91</t>
  </si>
  <si>
    <t>705,98</t>
  </si>
  <si>
    <t>1.043,00</t>
  </si>
  <si>
    <t>1.074,65</t>
  </si>
  <si>
    <t>252,76</t>
  </si>
  <si>
    <t>439,13</t>
  </si>
  <si>
    <t>536,47</t>
  </si>
  <si>
    <t>697,25</t>
  </si>
  <si>
    <t>725,64</t>
  </si>
  <si>
    <t>1.065,13</t>
  </si>
  <si>
    <t>1.098,96</t>
  </si>
  <si>
    <t>327,95</t>
  </si>
  <si>
    <t>430,93</t>
  </si>
  <si>
    <t>521,34</t>
  </si>
  <si>
    <t>599,50</t>
  </si>
  <si>
    <t>628,73</t>
  </si>
  <si>
    <t>193,36</t>
  </si>
  <si>
    <t>232,88</t>
  </si>
  <si>
    <t>343,07</t>
  </si>
  <si>
    <t>448,51</t>
  </si>
  <si>
    <t>540,99</t>
  </si>
  <si>
    <t>621,34</t>
  </si>
  <si>
    <t>653,17</t>
  </si>
  <si>
    <t>42,48</t>
  </si>
  <si>
    <t>79,72</t>
  </si>
  <si>
    <t>124,95</t>
  </si>
  <si>
    <t>144,80</t>
  </si>
  <si>
    <t>903,97</t>
  </si>
  <si>
    <t>181,19</t>
  </si>
  <si>
    <t>1.291,05</t>
  </si>
  <si>
    <t>243,91</t>
  </si>
  <si>
    <t>79,57</t>
  </si>
  <si>
    <t>110,18</t>
  </si>
  <si>
    <t>127,98</t>
  </si>
  <si>
    <t>146,79</t>
  </si>
  <si>
    <t>169,24</t>
  </si>
  <si>
    <t>932,71</t>
  </si>
  <si>
    <t>209,93</t>
  </si>
  <si>
    <t>1.326,23</t>
  </si>
  <si>
    <t>279,09</t>
  </si>
  <si>
    <t>156,16</t>
  </si>
  <si>
    <t>164,31</t>
  </si>
  <si>
    <t>195,26</t>
  </si>
  <si>
    <t>123,76</t>
  </si>
  <si>
    <t>151,49</t>
  </si>
  <si>
    <t>208,18</t>
  </si>
  <si>
    <t>43,09</t>
  </si>
  <si>
    <t>61,57</t>
  </si>
  <si>
    <t>97,18</t>
  </si>
  <si>
    <t>123,24</t>
  </si>
  <si>
    <t>159,17</t>
  </si>
  <si>
    <t>169,94</t>
  </si>
  <si>
    <t>193,03</t>
  </si>
  <si>
    <t>259,51</t>
  </si>
  <si>
    <t>282,60</t>
  </si>
  <si>
    <t>349,05</t>
  </si>
  <si>
    <t>372,15</t>
  </si>
  <si>
    <t>418,33</t>
  </si>
  <si>
    <t>507,88</t>
  </si>
  <si>
    <t>554,05</t>
  </si>
  <si>
    <t>643,61</t>
  </si>
  <si>
    <t>689,79</t>
  </si>
  <si>
    <t>825,53</t>
  </si>
  <si>
    <t>63,02</t>
  </si>
  <si>
    <t>245,83</t>
  </si>
  <si>
    <t>280,46</t>
  </si>
  <si>
    <t>380,17</t>
  </si>
  <si>
    <t>414,80</t>
  </si>
  <si>
    <t>514,52</t>
  </si>
  <si>
    <t>549,14</t>
  </si>
  <si>
    <t>618,40</t>
  </si>
  <si>
    <t>752,72</t>
  </si>
  <si>
    <t>822,00</t>
  </si>
  <si>
    <t>956,33</t>
  </si>
  <si>
    <t>1.025,60</t>
  </si>
  <si>
    <t>1.229,19</t>
  </si>
  <si>
    <t>94,07</t>
  </si>
  <si>
    <t>105,60</t>
  </si>
  <si>
    <t>138,85</t>
  </si>
  <si>
    <t>150,38</t>
  </si>
  <si>
    <t>183,63</t>
  </si>
  <si>
    <t>195,15</t>
  </si>
  <si>
    <t>218,24</t>
  </si>
  <si>
    <t>263,03</t>
  </si>
  <si>
    <t>286,12</t>
  </si>
  <si>
    <t>421,86</t>
  </si>
  <si>
    <t>441,47</t>
  </si>
  <si>
    <t>1.082,22</t>
  </si>
  <si>
    <t>1.744,92</t>
  </si>
  <si>
    <t>3.061,19</t>
  </si>
  <si>
    <t>4.552,51</t>
  </si>
  <si>
    <t>2.998,85</t>
  </si>
  <si>
    <t>4.901,72</t>
  </si>
  <si>
    <t>5.406,36</t>
  </si>
  <si>
    <t>4.006,69</t>
  </si>
  <si>
    <t>1.993,81</t>
  </si>
  <si>
    <t>1.348,35</t>
  </si>
  <si>
    <t>43,75</t>
  </si>
  <si>
    <t>61,25</t>
  </si>
  <si>
    <t>69,03</t>
  </si>
  <si>
    <t>97,23</t>
  </si>
  <si>
    <t>122,52</t>
  </si>
  <si>
    <t>155,58</t>
  </si>
  <si>
    <t>39,12</t>
  </si>
  <si>
    <t>259,84</t>
  </si>
  <si>
    <t>2.871,92</t>
  </si>
  <si>
    <t>34,82</t>
  </si>
  <si>
    <t>61,06</t>
  </si>
  <si>
    <t>1.630,21</t>
  </si>
  <si>
    <t>34,38</t>
  </si>
  <si>
    <t>88,56</t>
  </si>
  <si>
    <t>2.308,33</t>
  </si>
  <si>
    <t>183,72</t>
  </si>
  <si>
    <t>216,27</t>
  </si>
  <si>
    <t>414,90</t>
  </si>
  <si>
    <t>420,17</t>
  </si>
  <si>
    <t>547,42</t>
  </si>
  <si>
    <t>1.197,02</t>
  </si>
  <si>
    <t>1.130,27</t>
  </si>
  <si>
    <t>932,35</t>
  </si>
  <si>
    <t>1.009,78</t>
  </si>
  <si>
    <t>649,38</t>
  </si>
  <si>
    <t>645,87</t>
  </si>
  <si>
    <t>1.077,29</t>
  </si>
  <si>
    <t>1.132,06</t>
  </si>
  <si>
    <t>6.208,86</t>
  </si>
  <si>
    <t>9.744,28</t>
  </si>
  <si>
    <t>313,81</t>
  </si>
  <si>
    <t>514,38</t>
  </si>
  <si>
    <t>963,27</t>
  </si>
  <si>
    <t>1.152,31</t>
  </si>
  <si>
    <t>152,73</t>
  </si>
  <si>
    <t>136,51</t>
  </si>
  <si>
    <t>229,75</t>
  </si>
  <si>
    <t>155,29</t>
  </si>
  <si>
    <t>192,43</t>
  </si>
  <si>
    <t>210,82</t>
  </si>
  <si>
    <t>189,20</t>
  </si>
  <si>
    <t>192,23</t>
  </si>
  <si>
    <t>245,17</t>
  </si>
  <si>
    <t>307,89</t>
  </si>
  <si>
    <t>266,65</t>
  </si>
  <si>
    <t>147,08</t>
  </si>
  <si>
    <t>103,31</t>
  </si>
  <si>
    <t>192,22</t>
  </si>
  <si>
    <t>5.399,64</t>
  </si>
  <si>
    <t>8.201,74</t>
  </si>
  <si>
    <t>216,13</t>
  </si>
  <si>
    <t>145,61</t>
  </si>
  <si>
    <t>165,89</t>
  </si>
  <si>
    <t>214,93</t>
  </si>
  <si>
    <t>209,78</t>
  </si>
  <si>
    <t>228,85</t>
  </si>
  <si>
    <t>408,28</t>
  </si>
  <si>
    <t>266,40</t>
  </si>
  <si>
    <t>253,26</t>
  </si>
  <si>
    <t>673,35</t>
  </si>
  <si>
    <t>133,26</t>
  </si>
  <si>
    <t>125,83</t>
  </si>
  <si>
    <t>224,63</t>
  </si>
  <si>
    <t>339,17</t>
  </si>
  <si>
    <t>185,45</t>
  </si>
  <si>
    <t>228,24</t>
  </si>
  <si>
    <t>272,63</t>
  </si>
  <si>
    <t>232,30</t>
  </si>
  <si>
    <t>195,62</t>
  </si>
  <si>
    <t>169,10</t>
  </si>
  <si>
    <t>264,88</t>
  </si>
  <si>
    <t>292,64</t>
  </si>
  <si>
    <t>101,05</t>
  </si>
  <si>
    <t>257,27</t>
  </si>
  <si>
    <t>622,76</t>
  </si>
  <si>
    <t>1.472,79</t>
  </si>
  <si>
    <t>1.275,50</t>
  </si>
  <si>
    <t>353,03</t>
  </si>
  <si>
    <t>212,33</t>
  </si>
  <si>
    <t>219,91</t>
  </si>
  <si>
    <t>346,08</t>
  </si>
  <si>
    <t>383,60</t>
  </si>
  <si>
    <t>139,34</t>
  </si>
  <si>
    <t>688,09</t>
  </si>
  <si>
    <t>418,53</t>
  </si>
  <si>
    <t>164,87</t>
  </si>
  <si>
    <t>133,98</t>
  </si>
  <si>
    <t>210,23</t>
  </si>
  <si>
    <t>275,75</t>
  </si>
  <si>
    <t>283,84</t>
  </si>
  <si>
    <t>243,89</t>
  </si>
  <si>
    <t>501,95</t>
  </si>
  <si>
    <t>346,72</t>
  </si>
  <si>
    <t>74,82</t>
  </si>
  <si>
    <t>436,58</t>
  </si>
  <si>
    <t>1.024,94</t>
  </si>
  <si>
    <t>333,98</t>
  </si>
  <si>
    <t>283,05</t>
  </si>
  <si>
    <t>2.790,16</t>
  </si>
  <si>
    <t>303,38</t>
  </si>
  <si>
    <t>113,01</t>
  </si>
  <si>
    <t>240,91</t>
  </si>
  <si>
    <t>264,12</t>
  </si>
  <si>
    <t>259,13</t>
  </si>
  <si>
    <t>186,12</t>
  </si>
  <si>
    <t>185,60</t>
  </si>
  <si>
    <t>141,02</t>
  </si>
  <si>
    <t>294,28</t>
  </si>
  <si>
    <t>141,54</t>
  </si>
  <si>
    <t>118,26</t>
  </si>
  <si>
    <t>225,58</t>
  </si>
  <si>
    <t>5.185,51</t>
  </si>
  <si>
    <t>6.891,73</t>
  </si>
  <si>
    <t>87,84</t>
  </si>
  <si>
    <t>59,87</t>
  </si>
  <si>
    <t>56,63</t>
  </si>
  <si>
    <t>63,03</t>
  </si>
  <si>
    <t>149,41</t>
  </si>
  <si>
    <t>157,30</t>
  </si>
  <si>
    <t>48,71</t>
  </si>
  <si>
    <t>79,78</t>
  </si>
  <si>
    <t>80,12</t>
  </si>
  <si>
    <t>206,53</t>
  </si>
  <si>
    <t>72,13</t>
  </si>
  <si>
    <t>57,31</t>
  </si>
  <si>
    <t>65,74</t>
  </si>
  <si>
    <t>71,65</t>
  </si>
  <si>
    <t>88,89</t>
  </si>
  <si>
    <t>61,28</t>
  </si>
  <si>
    <t>38,25</t>
  </si>
  <si>
    <t>201,71</t>
  </si>
  <si>
    <t>431,93</t>
  </si>
  <si>
    <t>379,17</t>
  </si>
  <si>
    <t>134,22</t>
  </si>
  <si>
    <t>101,29</t>
  </si>
  <si>
    <t>80,05</t>
  </si>
  <si>
    <t>290,13</t>
  </si>
  <si>
    <t>72,31</t>
  </si>
  <si>
    <t>93,94</t>
  </si>
  <si>
    <t>21,66</t>
  </si>
  <si>
    <t>86,55</t>
  </si>
  <si>
    <t>64,68</t>
  </si>
  <si>
    <t>168,93</t>
  </si>
  <si>
    <t>258,16</t>
  </si>
  <si>
    <t>116,12</t>
  </si>
  <si>
    <t>177,76</t>
  </si>
  <si>
    <t>82,82</t>
  </si>
  <si>
    <t>26,48</t>
  </si>
  <si>
    <t>95,22</t>
  </si>
  <si>
    <t>46,89</t>
  </si>
  <si>
    <t>78,26</t>
  </si>
  <si>
    <t>64,64</t>
  </si>
  <si>
    <t>93,53</t>
  </si>
  <si>
    <t>89,33</t>
  </si>
  <si>
    <t>215,86</t>
  </si>
  <si>
    <t>428,44</t>
  </si>
  <si>
    <t>434,26</t>
  </si>
  <si>
    <t>499,30</t>
  </si>
  <si>
    <t>562,36</t>
  </si>
  <si>
    <t>663,88</t>
  </si>
  <si>
    <t>92,74</t>
  </si>
  <si>
    <t>1.169,01</t>
  </si>
  <si>
    <t>1.231,41</t>
  </si>
  <si>
    <t>1.370,75</t>
  </si>
  <si>
    <t>1.727,65</t>
  </si>
  <si>
    <t>2.141,65</t>
  </si>
  <si>
    <t>2.221,58</t>
  </si>
  <si>
    <t>2.414,94</t>
  </si>
  <si>
    <t>2.781,63</t>
  </si>
  <si>
    <t>2.873,17</t>
  </si>
  <si>
    <t>936,99</t>
  </si>
  <si>
    <t>1.148,17</t>
  </si>
  <si>
    <t>1.210,57</t>
  </si>
  <si>
    <t>1.358,85</t>
  </si>
  <si>
    <t>1.705,50</t>
  </si>
  <si>
    <t>2.111,48</t>
  </si>
  <si>
    <t>2.192,23</t>
  </si>
  <si>
    <t>2.364,75</t>
  </si>
  <si>
    <t>2.722,94</t>
  </si>
  <si>
    <t>2.801,28</t>
  </si>
  <si>
    <t>35,99</t>
  </si>
  <si>
    <t>53,86</t>
  </si>
  <si>
    <t>51,75</t>
  </si>
  <si>
    <t>57,41</t>
  </si>
  <si>
    <t>168,71</t>
  </si>
  <si>
    <t>67,03</t>
  </si>
  <si>
    <t>193,30</t>
  </si>
  <si>
    <t>79,85</t>
  </si>
  <si>
    <t>103,94</t>
  </si>
  <si>
    <t>117,32</t>
  </si>
  <si>
    <t>114,06</t>
  </si>
  <si>
    <t>161,72</t>
  </si>
  <si>
    <t>85,45</t>
  </si>
  <si>
    <t>66,93</t>
  </si>
  <si>
    <t>90,40</t>
  </si>
  <si>
    <t>174,89</t>
  </si>
  <si>
    <t>184,57</t>
  </si>
  <si>
    <t>225,57</t>
  </si>
  <si>
    <t>154,36</t>
  </si>
  <si>
    <t>86,65</t>
  </si>
  <si>
    <t>55,32</t>
  </si>
  <si>
    <t>98,32</t>
  </si>
  <si>
    <t>156,69</t>
  </si>
  <si>
    <t>165,50</t>
  </si>
  <si>
    <t>84,03</t>
  </si>
  <si>
    <t>816,54</t>
  </si>
  <si>
    <t>967,37</t>
  </si>
  <si>
    <t>1.118,19</t>
  </si>
  <si>
    <t>1.410,18</t>
  </si>
  <si>
    <t>1.561,00</t>
  </si>
  <si>
    <t>1.752,37</t>
  </si>
  <si>
    <t>2.041,54</t>
  </si>
  <si>
    <t>2.264,05</t>
  </si>
  <si>
    <t>2.414,87</t>
  </si>
  <si>
    <t>2.603,88</t>
  </si>
  <si>
    <t>929,20</t>
  </si>
  <si>
    <t>1.080,02</t>
  </si>
  <si>
    <t>1.333,83</t>
  </si>
  <si>
    <t>1.484,65</t>
  </si>
  <si>
    <t>1.676,03</t>
  </si>
  <si>
    <t>1.888,84</t>
  </si>
  <si>
    <t>2.149,53</t>
  </si>
  <si>
    <t>2.300,35</t>
  </si>
  <si>
    <t>2.451,18</t>
  </si>
  <si>
    <t>981,48</t>
  </si>
  <si>
    <t>1.342,43</t>
  </si>
  <si>
    <t>1.405,88</t>
  </si>
  <si>
    <t>1.557,34</t>
  </si>
  <si>
    <t>1.944,67</t>
  </si>
  <si>
    <t>2.623,57</t>
  </si>
  <si>
    <t>2.702,53</t>
  </si>
  <si>
    <t>2.929,50</t>
  </si>
  <si>
    <t>3.364,85</t>
  </si>
  <si>
    <t>3.572,11</t>
  </si>
  <si>
    <t>957,69</t>
  </si>
  <si>
    <t>1.313,08</t>
  </si>
  <si>
    <t>1.376,53</t>
  </si>
  <si>
    <t>1.618,91</t>
  </si>
  <si>
    <t>1.866,41</t>
  </si>
  <si>
    <t>2.489,48</t>
  </si>
  <si>
    <t>2.566,22</t>
  </si>
  <si>
    <t>2.748,74</t>
  </si>
  <si>
    <t>3.096,91</t>
  </si>
  <si>
    <t>3.040,91</t>
  </si>
  <si>
    <t>941,32</t>
  </si>
  <si>
    <t>23,58</t>
  </si>
  <si>
    <t>115,46</t>
  </si>
  <si>
    <t>611,58</t>
  </si>
  <si>
    <t>66,24</t>
  </si>
  <si>
    <t>74,35</t>
  </si>
  <si>
    <t>144,55</t>
  </si>
  <si>
    <t>90,34</t>
  </si>
  <si>
    <t>147,03</t>
  </si>
  <si>
    <t>214,74</t>
  </si>
  <si>
    <t>246,69</t>
  </si>
  <si>
    <t>226,26</t>
  </si>
  <si>
    <t>282,96</t>
  </si>
  <si>
    <t>269,72</t>
  </si>
  <si>
    <t>258,22</t>
  </si>
  <si>
    <t>314,92</t>
  </si>
  <si>
    <t>36,44</t>
  </si>
  <si>
    <t>131,07</t>
  </si>
  <si>
    <t>64,50</t>
  </si>
  <si>
    <t>115,31</t>
  </si>
  <si>
    <t>158,25</t>
  </si>
  <si>
    <t>209,05</t>
  </si>
  <si>
    <t>57,65</t>
  </si>
  <si>
    <t>285,00</t>
  </si>
  <si>
    <t>110,50</t>
  </si>
  <si>
    <t>293,75</t>
  </si>
  <si>
    <t>57,52</t>
  </si>
  <si>
    <t>30,52</t>
  </si>
  <si>
    <t>858,67</t>
  </si>
  <si>
    <t>831,70</t>
  </si>
  <si>
    <t>1.029,13</t>
  </si>
  <si>
    <t>957,93</t>
  </si>
  <si>
    <t>1.126,86</t>
  </si>
  <si>
    <t>1.030,89</t>
  </si>
  <si>
    <t>1.158,79</t>
  </si>
  <si>
    <t>1.884,93</t>
  </si>
  <si>
    <t>2.307,76</t>
  </si>
  <si>
    <t>2.728,96</t>
  </si>
  <si>
    <t>669,24</t>
  </si>
  <si>
    <t>614,42</t>
  </si>
  <si>
    <t>281,56</t>
  </si>
  <si>
    <t>325,87</t>
  </si>
  <si>
    <t>379,25</t>
  </si>
  <si>
    <t>953,76</t>
  </si>
  <si>
    <t>144,52</t>
  </si>
  <si>
    <t>208,27</t>
  </si>
  <si>
    <t>158,78</t>
  </si>
  <si>
    <t>180,08</t>
  </si>
  <si>
    <t>204,68</t>
  </si>
  <si>
    <t>226,03</t>
  </si>
  <si>
    <t>202,41</t>
  </si>
  <si>
    <t>208,61</t>
  </si>
  <si>
    <t>187,53</t>
  </si>
  <si>
    <t>219,95</t>
  </si>
  <si>
    <t>198,68</t>
  </si>
  <si>
    <t>230,79</t>
  </si>
  <si>
    <t>155,59</t>
  </si>
  <si>
    <t>201,10</t>
  </si>
  <si>
    <t>167,45</t>
  </si>
  <si>
    <t>189,32</t>
  </si>
  <si>
    <t>214,39</t>
  </si>
  <si>
    <t>236,63</t>
  </si>
  <si>
    <t>177,99</t>
  </si>
  <si>
    <t>209,53</t>
  </si>
  <si>
    <t>181,27</t>
  </si>
  <si>
    <t>193,84</t>
  </si>
  <si>
    <t>226,82</t>
  </si>
  <si>
    <t>202,74</t>
  </si>
  <si>
    <t>235,60</t>
  </si>
  <si>
    <t>261,39</t>
  </si>
  <si>
    <t>244,81</t>
  </si>
  <si>
    <t>234,80</t>
  </si>
  <si>
    <t>227,72</t>
  </si>
  <si>
    <t>222,13</t>
  </si>
  <si>
    <t>259,77</t>
  </si>
  <si>
    <t>249,28</t>
  </si>
  <si>
    <t>236,09</t>
  </si>
  <si>
    <t>240,80</t>
  </si>
  <si>
    <t>224,24</t>
  </si>
  <si>
    <t>214,29</t>
  </si>
  <si>
    <t>205,09</t>
  </si>
  <si>
    <t>201,69</t>
  </si>
  <si>
    <t>256,72</t>
  </si>
  <si>
    <t>239,18</t>
  </si>
  <si>
    <t>221,42</t>
  </si>
  <si>
    <t>209,18</t>
  </si>
  <si>
    <t>34,73</t>
  </si>
  <si>
    <t>983,27</t>
  </si>
  <si>
    <t>583,45</t>
  </si>
  <si>
    <t>766,94</t>
  </si>
  <si>
    <t>467,08</t>
  </si>
  <si>
    <t>1.428,86</t>
  </si>
  <si>
    <t>51,26</t>
  </si>
  <si>
    <t>98,77</t>
  </si>
  <si>
    <t>128,49</t>
  </si>
  <si>
    <t>221,46</t>
  </si>
  <si>
    <t>69,43</t>
  </si>
  <si>
    <t>133,07</t>
  </si>
  <si>
    <t>126,25</t>
  </si>
  <si>
    <t>159,98</t>
  </si>
  <si>
    <t>160,65</t>
  </si>
  <si>
    <t>238,81</t>
  </si>
  <si>
    <t>297,48</t>
  </si>
  <si>
    <t>414,94</t>
  </si>
  <si>
    <t>645,25</t>
  </si>
  <si>
    <t>891,48</t>
  </si>
  <si>
    <t>1.173,32</t>
  </si>
  <si>
    <t>1.129,73</t>
  </si>
  <si>
    <t>2.725,98</t>
  </si>
  <si>
    <t>942,22</t>
  </si>
  <si>
    <t>2.389,20</t>
  </si>
  <si>
    <t>1.967,93</t>
  </si>
  <si>
    <t>3.632,12</t>
  </si>
  <si>
    <t>2.010,86</t>
  </si>
  <si>
    <t>3.552,99</t>
  </si>
  <si>
    <t>3.204,64</t>
  </si>
  <si>
    <t>5.562,74</t>
  </si>
  <si>
    <t>1.674,10</t>
  </si>
  <si>
    <t>3.649,26</t>
  </si>
  <si>
    <t>1.900,43</t>
  </si>
  <si>
    <t>3.359,78</t>
  </si>
  <si>
    <t>2.981,77</t>
  </si>
  <si>
    <t>5.528,87</t>
  </si>
  <si>
    <t>592,19</t>
  </si>
  <si>
    <t>746,85</t>
  </si>
  <si>
    <t>1.368,82</t>
  </si>
  <si>
    <t>1.907,68</t>
  </si>
  <si>
    <t>1.144,45</t>
  </si>
  <si>
    <t>2.476,37</t>
  </si>
  <si>
    <t>1.321,29</t>
  </si>
  <si>
    <t>545,26</t>
  </si>
  <si>
    <t>1.582,66</t>
  </si>
  <si>
    <t>726,10</t>
  </si>
  <si>
    <t>3.635,04</t>
  </si>
  <si>
    <t>1.843,93</t>
  </si>
  <si>
    <t>995,83</t>
  </si>
  <si>
    <t>4.668,42</t>
  </si>
  <si>
    <t>2.236,03</t>
  </si>
  <si>
    <t>3.385,26</t>
  </si>
  <si>
    <t>1.671,37</t>
  </si>
  <si>
    <t>4.282,54</t>
  </si>
  <si>
    <t>1.996,92</t>
  </si>
  <si>
    <t>2.322,58</t>
  </si>
  <si>
    <t>2.648,14</t>
  </si>
  <si>
    <t>7.010,96</t>
  </si>
  <si>
    <t>2.973,80</t>
  </si>
  <si>
    <t>3.299,45</t>
  </si>
  <si>
    <t>8.814,68</t>
  </si>
  <si>
    <t>3.624,99</t>
  </si>
  <si>
    <t>5.331,96</t>
  </si>
  <si>
    <t>6.507,92</t>
  </si>
  <si>
    <t>7.654,73</t>
  </si>
  <si>
    <t>8.801,46</t>
  </si>
  <si>
    <t>9.948,36</t>
  </si>
  <si>
    <t>11.095,12</t>
  </si>
  <si>
    <t>7.897,01</t>
  </si>
  <si>
    <t>3.002,77</t>
  </si>
  <si>
    <t>9.272,18</t>
  </si>
  <si>
    <t>3.328,32</t>
  </si>
  <si>
    <t>10.711,90</t>
  </si>
  <si>
    <t>3.653,97</t>
  </si>
  <si>
    <t>12.095,25</t>
  </si>
  <si>
    <t>13.478,67</t>
  </si>
  <si>
    <t>4.311,09</t>
  </si>
  <si>
    <t>11.044,68</t>
  </si>
  <si>
    <t>3.660,01</t>
  </si>
  <si>
    <t>12.734,91</t>
  </si>
  <si>
    <t>3.985,57</t>
  </si>
  <si>
    <t>14.425,11</t>
  </si>
  <si>
    <t>16.115,34</t>
  </si>
  <si>
    <t>4.642,68</t>
  </si>
  <si>
    <t>14.760,24</t>
  </si>
  <si>
    <t>4.317,13</t>
  </si>
  <si>
    <t>16.713,73</t>
  </si>
  <si>
    <t>18.667,26</t>
  </si>
  <si>
    <t>4.974,38</t>
  </si>
  <si>
    <t>19.002,48</t>
  </si>
  <si>
    <t>21.219,08</t>
  </si>
  <si>
    <t>5.305,98</t>
  </si>
  <si>
    <t>23.771,00</t>
  </si>
  <si>
    <t>5.578,61</t>
  </si>
  <si>
    <t>301,09</t>
  </si>
  <si>
    <t>1.069,83</t>
  </si>
  <si>
    <t>3.051,38</t>
  </si>
  <si>
    <t>7.912,79</t>
  </si>
  <si>
    <t>5.179,71</t>
  </si>
  <si>
    <t>6.076,99</t>
  </si>
  <si>
    <t>412,59</t>
  </si>
  <si>
    <t>1.471,00</t>
  </si>
  <si>
    <t>722,04</t>
  </si>
  <si>
    <t>2.237,27</t>
  </si>
  <si>
    <t>3.519,03</t>
  </si>
  <si>
    <t>1.734,06</t>
  </si>
  <si>
    <t>6.368,53</t>
  </si>
  <si>
    <t>990,28</t>
  </si>
  <si>
    <t>2.550,29</t>
  </si>
  <si>
    <t>4.528,41</t>
  </si>
  <si>
    <t>2.109,06</t>
  </si>
  <si>
    <t>3.312,61</t>
  </si>
  <si>
    <t>1.611,14</t>
  </si>
  <si>
    <t>7.490,22</t>
  </si>
  <si>
    <t>4.189,83</t>
  </si>
  <si>
    <t>1.924,15</t>
  </si>
  <si>
    <t>2.863,39</t>
  </si>
  <si>
    <t>5.066,96</t>
  </si>
  <si>
    <t>5.944,17</t>
  </si>
  <si>
    <t>586,99</t>
  </si>
  <si>
    <t>740,78</t>
  </si>
  <si>
    <t>8.611,80</t>
  </si>
  <si>
    <t>1.316,60</t>
  </si>
  <si>
    <t>1.815,11</t>
  </si>
  <si>
    <t>6.858,10</t>
  </si>
  <si>
    <t>1.134,26</t>
  </si>
  <si>
    <t>3.176,48</t>
  </si>
  <si>
    <t>410,12</t>
  </si>
  <si>
    <t>7.739,88</t>
  </si>
  <si>
    <t>2.384,87</t>
  </si>
  <si>
    <t>3.519,95</t>
  </si>
  <si>
    <t>1.234,20</t>
  </si>
  <si>
    <t>9.733,56</t>
  </si>
  <si>
    <t>1.465,64</t>
  </si>
  <si>
    <t>8.621,73</t>
  </si>
  <si>
    <t>12.461,53</t>
  </si>
  <si>
    <t>542,02</t>
  </si>
  <si>
    <t>3.489,49</t>
  </si>
  <si>
    <t>5.217,72</t>
  </si>
  <si>
    <t>2.947,06</t>
  </si>
  <si>
    <t>1.484,17</t>
  </si>
  <si>
    <t>10.855,20</t>
  </si>
  <si>
    <t>3.832,97</t>
  </si>
  <si>
    <t>3.827,72</t>
  </si>
  <si>
    <t>14.115,00</t>
  </si>
  <si>
    <t>4.145,93</t>
  </si>
  <si>
    <t>15.768,50</t>
  </si>
  <si>
    <t>7.727,21</t>
  </si>
  <si>
    <t>4.464,20</t>
  </si>
  <si>
    <t>14.443,11</t>
  </si>
  <si>
    <t>4.151,19</t>
  </si>
  <si>
    <t>16.354,51</t>
  </si>
  <si>
    <t>2.888,58</t>
  </si>
  <si>
    <t>18.265,96</t>
  </si>
  <si>
    <t>4.782,55</t>
  </si>
  <si>
    <t>18.594,14</t>
  </si>
  <si>
    <t>9.072,78</t>
  </si>
  <si>
    <t>20.763,31</t>
  </si>
  <si>
    <t>5.100,83</t>
  </si>
  <si>
    <t>23.260,77</t>
  </si>
  <si>
    <t>3.201,59</t>
  </si>
  <si>
    <t>299,98</t>
  </si>
  <si>
    <t>996,98</t>
  </si>
  <si>
    <t>10.482,88</t>
  </si>
  <si>
    <t>3.514,69</t>
  </si>
  <si>
    <t>11.836,63</t>
  </si>
  <si>
    <t>13.190,43</t>
  </si>
  <si>
    <t>10.808,03</t>
  </si>
  <si>
    <t>5.367,82</t>
  </si>
  <si>
    <t>1.624,22</t>
  </si>
  <si>
    <t>1.282,82</t>
  </si>
  <si>
    <t>588,45</t>
  </si>
  <si>
    <t>579,20</t>
  </si>
  <si>
    <t>3.680,12</t>
  </si>
  <si>
    <t>2.013,80</t>
  </si>
  <si>
    <t>3.088,42</t>
  </si>
  <si>
    <t>3.042,39</t>
  </si>
  <si>
    <t>56,08</t>
  </si>
  <si>
    <t>79,92</t>
  </si>
  <si>
    <t>138,57</t>
  </si>
  <si>
    <t>144,84</t>
  </si>
  <si>
    <t>169,71</t>
  </si>
  <si>
    <t>61,67</t>
  </si>
  <si>
    <t>65,86</t>
  </si>
  <si>
    <t>58,28</t>
  </si>
  <si>
    <t>89,37</t>
  </si>
  <si>
    <t>102,17</t>
  </si>
  <si>
    <t>168,38</t>
  </si>
  <si>
    <t>76,50</t>
  </si>
  <si>
    <t>88,55</t>
  </si>
  <si>
    <t>325,12</t>
  </si>
  <si>
    <t>4.135,40</t>
  </si>
  <si>
    <t>5.171,34</t>
  </si>
  <si>
    <t>6.985,00</t>
  </si>
  <si>
    <t>8.363,91</t>
  </si>
  <si>
    <t>106,77</t>
  </si>
  <si>
    <t>1.360,02</t>
  </si>
  <si>
    <t>1.501,35</t>
  </si>
  <si>
    <t>3.122,21</t>
  </si>
  <si>
    <t>5.268,81</t>
  </si>
  <si>
    <t>7.956,09</t>
  </si>
  <si>
    <t>11.244,70</t>
  </si>
  <si>
    <t>19.610,91</t>
  </si>
  <si>
    <t>6.391,39</t>
  </si>
  <si>
    <t>9.647,97</t>
  </si>
  <si>
    <t>13.657,38</t>
  </si>
  <si>
    <t>23.856,01</t>
  </si>
  <si>
    <t>12.019,18</t>
  </si>
  <si>
    <t>16.933,57</t>
  </si>
  <si>
    <t>29.291,49</t>
  </si>
  <si>
    <t>3.827,94</t>
  </si>
  <si>
    <t>6.744,51</t>
  </si>
  <si>
    <t>10.854,90</t>
  </si>
  <si>
    <t>16.208,93</t>
  </si>
  <si>
    <t>31.076,13</t>
  </si>
  <si>
    <t>15.257,92</t>
  </si>
  <si>
    <t>22.854,97</t>
  </si>
  <si>
    <t>42.870,32</t>
  </si>
  <si>
    <t>19.676,65</t>
  </si>
  <si>
    <t>29.524,71</t>
  </si>
  <si>
    <t>54.861,75</t>
  </si>
  <si>
    <t>17.918,68</t>
  </si>
  <si>
    <t>28.208,52</t>
  </si>
  <si>
    <t>39.295,22</t>
  </si>
  <si>
    <t>56.238,38</t>
  </si>
  <si>
    <t>22.448,16</t>
  </si>
  <si>
    <t>34.466,82</t>
  </si>
  <si>
    <t>48.131,07</t>
  </si>
  <si>
    <t>68.142,83</t>
  </si>
  <si>
    <t>26.275,45</t>
  </si>
  <si>
    <t>40.789,99</t>
  </si>
  <si>
    <t>56.942,46</t>
  </si>
  <si>
    <t>80.864,98</t>
  </si>
  <si>
    <t>10.128,06</t>
  </si>
  <si>
    <t>15.280,08</t>
  </si>
  <si>
    <t>23.230,51</t>
  </si>
  <si>
    <t>35.053,40</t>
  </si>
  <si>
    <t>11.638,47</t>
  </si>
  <si>
    <t>17.434,49</t>
  </si>
  <si>
    <t>19.481,02</t>
  </si>
  <si>
    <t>25.921,05</t>
  </si>
  <si>
    <t>40.964,85</t>
  </si>
  <si>
    <t>13.041,00</t>
  </si>
  <si>
    <t>21.507,32</t>
  </si>
  <si>
    <t>28.490,22</t>
  </si>
  <si>
    <t>47.213,42</t>
  </si>
  <si>
    <t>37.604,63</t>
  </si>
  <si>
    <t>61.503,93</t>
  </si>
  <si>
    <t>83.069,76</t>
  </si>
  <si>
    <t>119.716,92</t>
  </si>
  <si>
    <t>39.975,70</t>
  </si>
  <si>
    <t>64.902,13</t>
  </si>
  <si>
    <t>92.000,45</t>
  </si>
  <si>
    <t>113.091,61</t>
  </si>
  <si>
    <t>40.834,37</t>
  </si>
  <si>
    <t>71.104,50</t>
  </si>
  <si>
    <t>99.632,32</t>
  </si>
  <si>
    <t>119.727,29</t>
  </si>
  <si>
    <t>25,35</t>
  </si>
  <si>
    <t>41,43</t>
  </si>
  <si>
    <t>37,51</t>
  </si>
  <si>
    <t>78,06</t>
  </si>
  <si>
    <t>50,23</t>
  </si>
  <si>
    <t>66,66</t>
  </si>
  <si>
    <t>59,24</t>
  </si>
  <si>
    <t>132,92</t>
  </si>
  <si>
    <t>68,78</t>
  </si>
  <si>
    <t>47,93</t>
  </si>
  <si>
    <t>89,93</t>
  </si>
  <si>
    <t>25,41</t>
  </si>
  <si>
    <t>20,97</t>
  </si>
  <si>
    <t>967,98</t>
  </si>
  <si>
    <t>969,69</t>
  </si>
  <si>
    <t>1.000,00</t>
  </si>
  <si>
    <t>1.171,75</t>
  </si>
  <si>
    <t>1.234,01</t>
  </si>
  <si>
    <t>831,97</t>
  </si>
  <si>
    <t>839,33</t>
  </si>
  <si>
    <t>854,05</t>
  </si>
  <si>
    <t>1.242,62</t>
  </si>
  <si>
    <t>1.281,54</t>
  </si>
  <si>
    <t>238,08</t>
  </si>
  <si>
    <t>359,75</t>
  </si>
  <si>
    <t>366,62</t>
  </si>
  <si>
    <t>393,59</t>
  </si>
  <si>
    <t>486,76</t>
  </si>
  <si>
    <t>700,68</t>
  </si>
  <si>
    <t>781,55</t>
  </si>
  <si>
    <t>134,78</t>
  </si>
  <si>
    <t>910,33</t>
  </si>
  <si>
    <t>918,89</t>
  </si>
  <si>
    <t>967,05</t>
  </si>
  <si>
    <t>1.061,91</t>
  </si>
  <si>
    <t>1.274,14</t>
  </si>
  <si>
    <t>1.356,70</t>
  </si>
  <si>
    <t>775,55</t>
  </si>
  <si>
    <t>784,11</t>
  </si>
  <si>
    <t>812,78</t>
  </si>
  <si>
    <t>907,64</t>
  </si>
  <si>
    <t>1.119,87</t>
  </si>
  <si>
    <t>1.202,43</t>
  </si>
  <si>
    <t>373,00</t>
  </si>
  <si>
    <t>447,39</t>
  </si>
  <si>
    <t>498,51</t>
  </si>
  <si>
    <t>788,80</t>
  </si>
  <si>
    <t>797,99</t>
  </si>
  <si>
    <t>866,58</t>
  </si>
  <si>
    <t>919,39</t>
  </si>
  <si>
    <t>185,14</t>
  </si>
  <si>
    <t>281,65</t>
  </si>
  <si>
    <t>384,47</t>
  </si>
  <si>
    <t>412,55</t>
  </si>
  <si>
    <t>455,03</t>
  </si>
  <si>
    <t>605,21</t>
  </si>
  <si>
    <t>836,24</t>
  </si>
  <si>
    <t>95,61</t>
  </si>
  <si>
    <t>794,09</t>
  </si>
  <si>
    <t>831,55</t>
  </si>
  <si>
    <t>925,93</t>
  </si>
  <si>
    <t>1.138,64</t>
  </si>
  <si>
    <t>1.220,72</t>
  </si>
  <si>
    <t>699,67</t>
  </si>
  <si>
    <t>707,75</t>
  </si>
  <si>
    <t>735,94</t>
  </si>
  <si>
    <t>830,32</t>
  </si>
  <si>
    <t>1.043,03</t>
  </si>
  <si>
    <t>1.125,11</t>
  </si>
  <si>
    <t>721,63</t>
  </si>
  <si>
    <t>789,74</t>
  </si>
  <si>
    <t>842,07</t>
  </si>
  <si>
    <t>800,27</t>
  </si>
  <si>
    <t>724,39</t>
  </si>
  <si>
    <t>830,04</t>
  </si>
  <si>
    <t>753,68</t>
  </si>
  <si>
    <t>874,22</t>
  </si>
  <si>
    <t>797,38</t>
  </si>
  <si>
    <t>1.024,40</t>
  </si>
  <si>
    <t>947,56</t>
  </si>
  <si>
    <t>1.255,43</t>
  </si>
  <si>
    <t>1.178,59</t>
  </si>
  <si>
    <t>1.099,98</t>
  </si>
  <si>
    <t>923,58</t>
  </si>
  <si>
    <t>807,34</t>
  </si>
  <si>
    <t>932,77</t>
  </si>
  <si>
    <t>964,82</t>
  </si>
  <si>
    <t>834,49</t>
  </si>
  <si>
    <t>1.020,85</t>
  </si>
  <si>
    <t>885,35</t>
  </si>
  <si>
    <t>937,68</t>
  </si>
  <si>
    <t>935,05</t>
  </si>
  <si>
    <t>818,81</t>
  </si>
  <si>
    <t>1.028,49</t>
  </si>
  <si>
    <t>892,99</t>
  </si>
  <si>
    <t>1.178,67</t>
  </si>
  <si>
    <t>1.043,17</t>
  </si>
  <si>
    <t>1.409,70</t>
  </si>
  <si>
    <t>1.274,20</t>
  </si>
  <si>
    <t>856,88</t>
  </si>
  <si>
    <t>802,44</t>
  </si>
  <si>
    <t>359,93</t>
  </si>
  <si>
    <t>302,21</t>
  </si>
  <si>
    <t>441,53</t>
  </si>
  <si>
    <t>667,71</t>
  </si>
  <si>
    <t>348,55</t>
  </si>
  <si>
    <t>427,56</t>
  </si>
  <si>
    <t>510,64</t>
  </si>
  <si>
    <t>359,31</t>
  </si>
  <si>
    <t>666,34</t>
  </si>
  <si>
    <t>637,14</t>
  </si>
  <si>
    <t>73,88</t>
  </si>
  <si>
    <t>563,37</t>
  </si>
  <si>
    <t>494,00</t>
  </si>
  <si>
    <t>1.586,79</t>
  </si>
  <si>
    <t>101,70</t>
  </si>
  <si>
    <t>84,17</t>
  </si>
  <si>
    <t>644,43</t>
  </si>
  <si>
    <t>557,39</t>
  </si>
  <si>
    <t>1.675,29</t>
  </si>
  <si>
    <t>831,84</t>
  </si>
  <si>
    <t>644,32</t>
  </si>
  <si>
    <t>851,17</t>
  </si>
  <si>
    <t>785,84</t>
  </si>
  <si>
    <t>716,76</t>
  </si>
  <si>
    <t>461,83</t>
  </si>
  <si>
    <t>824,87</t>
  </si>
  <si>
    <t>227,31</t>
  </si>
  <si>
    <t>35,14</t>
  </si>
  <si>
    <t>159,69</t>
  </si>
  <si>
    <t>200,88</t>
  </si>
  <si>
    <t>263,45</t>
  </si>
  <si>
    <t>294,70</t>
  </si>
  <si>
    <t>378,03</t>
  </si>
  <si>
    <t>327,65</t>
  </si>
  <si>
    <t>395,82</t>
  </si>
  <si>
    <t>381,77</t>
  </si>
  <si>
    <t>527,61</t>
  </si>
  <si>
    <t>537,16</t>
  </si>
  <si>
    <t>642,95</t>
  </si>
  <si>
    <t>253,03</t>
  </si>
  <si>
    <t>432,79</t>
  </si>
  <si>
    <t>464,04</t>
  </si>
  <si>
    <t>547,37</t>
  </si>
  <si>
    <t>465,88</t>
  </si>
  <si>
    <t>534,05</t>
  </si>
  <si>
    <t>488,82</t>
  </si>
  <si>
    <t>634,66</t>
  </si>
  <si>
    <t>616,50</t>
  </si>
  <si>
    <t>712,03</t>
  </si>
  <si>
    <t>422,37</t>
  </si>
  <si>
    <t>799,22</t>
  </si>
  <si>
    <t>780,49</t>
  </si>
  <si>
    <t>1.392,23</t>
  </si>
  <si>
    <t>2.881,29</t>
  </si>
  <si>
    <t>3.322,48</t>
  </si>
  <si>
    <t>503,62</t>
  </si>
  <si>
    <t>605,51</t>
  </si>
  <si>
    <t>739,90</t>
  </si>
  <si>
    <t>1.508,12</t>
  </si>
  <si>
    <t>3.027,74</t>
  </si>
  <si>
    <t>2.311,57</t>
  </si>
  <si>
    <t>4.634,35</t>
  </si>
  <si>
    <t>612,52</t>
  </si>
  <si>
    <t>315,24</t>
  </si>
  <si>
    <t>446,86</t>
  </si>
  <si>
    <t>365,60</t>
  </si>
  <si>
    <t>498,44</t>
  </si>
  <si>
    <t>648,33</t>
  </si>
  <si>
    <t>1.624,26</t>
  </si>
  <si>
    <t>1.551,04</t>
  </si>
  <si>
    <t>1.458,76</t>
  </si>
  <si>
    <t>1.350,35</t>
  </si>
  <si>
    <t>1.287,00</t>
  </si>
  <si>
    <t>1.260,67</t>
  </si>
  <si>
    <t>1.233,06</t>
  </si>
  <si>
    <t>1.166,65</t>
  </si>
  <si>
    <t>2.120,99</t>
  </si>
  <si>
    <t>2.039,80</t>
  </si>
  <si>
    <t>1.936,01</t>
  </si>
  <si>
    <t>1.811,69</t>
  </si>
  <si>
    <t>1.777,87</t>
  </si>
  <si>
    <t>1.743,88</t>
  </si>
  <si>
    <t>1.705,42</t>
  </si>
  <si>
    <t>1.623,78</t>
  </si>
  <si>
    <t>1.232,82</t>
  </si>
  <si>
    <t>1.742,07</t>
  </si>
  <si>
    <t>68,72</t>
  </si>
  <si>
    <t>126,20</t>
  </si>
  <si>
    <t>228,39</t>
  </si>
  <si>
    <t>481,92</t>
  </si>
  <si>
    <t>836,26</t>
  </si>
  <si>
    <t>1.103,27</t>
  </si>
  <si>
    <t>1.306,54</t>
  </si>
  <si>
    <t>116,95</t>
  </si>
  <si>
    <t>350,70</t>
  </si>
  <si>
    <t>446,72</t>
  </si>
  <si>
    <t>120,73</t>
  </si>
  <si>
    <t>518,27</t>
  </si>
  <si>
    <t>100,91</t>
  </si>
  <si>
    <t>171,46</t>
  </si>
  <si>
    <t>104,09</t>
  </si>
  <si>
    <t>152,72</t>
  </si>
  <si>
    <t>201,35</t>
  </si>
  <si>
    <t>830,95</t>
  </si>
  <si>
    <t>805,76</t>
  </si>
  <si>
    <t>383,58</t>
  </si>
  <si>
    <t>309,52</t>
  </si>
  <si>
    <t>366,34</t>
  </si>
  <si>
    <t>303,45</t>
  </si>
  <si>
    <t>126,90</t>
  </si>
  <si>
    <t>1.364,29</t>
  </si>
  <si>
    <t>280,95</t>
  </si>
  <si>
    <t>361,18</t>
  </si>
  <si>
    <t>438,18</t>
  </si>
  <si>
    <t>287,26</t>
  </si>
  <si>
    <t>114,18</t>
  </si>
  <si>
    <t>302,74</t>
  </si>
  <si>
    <t>521,07</t>
  </si>
  <si>
    <t>618,15</t>
  </si>
  <si>
    <t>291,32</t>
  </si>
  <si>
    <t>336,16</t>
  </si>
  <si>
    <t>230,52</t>
  </si>
  <si>
    <t>310,75</t>
  </si>
  <si>
    <t>387,75</t>
  </si>
  <si>
    <t>470,64</t>
  </si>
  <si>
    <t>567,72</t>
  </si>
  <si>
    <t>186,66</t>
  </si>
  <si>
    <t>259,58</t>
  </si>
  <si>
    <t>144,41</t>
  </si>
  <si>
    <t>99,45</t>
  </si>
  <si>
    <t>146,35</t>
  </si>
  <si>
    <t>89,85</t>
  </si>
  <si>
    <t>37,46</t>
  </si>
  <si>
    <t>174,46</t>
  </si>
  <si>
    <t>112,13</t>
  </si>
  <si>
    <t>77,08</t>
  </si>
  <si>
    <t>92,28</t>
  </si>
  <si>
    <t>68,19</t>
  </si>
  <si>
    <t>82,27</t>
  </si>
  <si>
    <t>66,34</t>
  </si>
  <si>
    <t>60,19</t>
  </si>
  <si>
    <t>72,79</t>
  </si>
  <si>
    <t>54,58</t>
  </si>
  <si>
    <t>263,36</t>
  </si>
  <si>
    <t>184,13</t>
  </si>
  <si>
    <t>290,05</t>
  </si>
  <si>
    <t>331,03</t>
  </si>
  <si>
    <t>201,65</t>
  </si>
  <si>
    <t>246,33</t>
  </si>
  <si>
    <t>295,58</t>
  </si>
  <si>
    <t>161,09</t>
  </si>
  <si>
    <t>212,45</t>
  </si>
  <si>
    <t>273,49</t>
  </si>
  <si>
    <t>133,99</t>
  </si>
  <si>
    <t>195,14</t>
  </si>
  <si>
    <t>259,89</t>
  </si>
  <si>
    <t>123,85</t>
  </si>
  <si>
    <t>126,61</t>
  </si>
  <si>
    <t>158,75</t>
  </si>
  <si>
    <t>255,51</t>
  </si>
  <si>
    <t>105,13</t>
  </si>
  <si>
    <t>247,92</t>
  </si>
  <si>
    <t>95,68</t>
  </si>
  <si>
    <t>132,71</t>
  </si>
  <si>
    <t>241,47</t>
  </si>
  <si>
    <t>88,04</t>
  </si>
  <si>
    <t>107,74</t>
  </si>
  <si>
    <t>228,51</t>
  </si>
  <si>
    <t>71,59</t>
  </si>
  <si>
    <t>99,02</t>
  </si>
  <si>
    <t>295,36</t>
  </si>
  <si>
    <t>206,63</t>
  </si>
  <si>
    <t>120,43</t>
  </si>
  <si>
    <t>113,75</t>
  </si>
  <si>
    <t>77,93</t>
  </si>
  <si>
    <t>104,26</t>
  </si>
  <si>
    <t>70,27</t>
  </si>
  <si>
    <t>96,73</t>
  </si>
  <si>
    <t>64,30</t>
  </si>
  <si>
    <t>129,54</t>
  </si>
  <si>
    <t>90,76</t>
  </si>
  <si>
    <t>107,03</t>
  </si>
  <si>
    <t>90,44</t>
  </si>
  <si>
    <t>52,75</t>
  </si>
  <si>
    <t>256,12</t>
  </si>
  <si>
    <t>209,00</t>
  </si>
  <si>
    <t>195,76</t>
  </si>
  <si>
    <t>232,13</t>
  </si>
  <si>
    <t>312,85</t>
  </si>
  <si>
    <t>165,72</t>
  </si>
  <si>
    <t>202,54</t>
  </si>
  <si>
    <t>104,65</t>
  </si>
  <si>
    <t>85,07</t>
  </si>
  <si>
    <t>145,06</t>
  </si>
  <si>
    <t>72,89</t>
  </si>
  <si>
    <t>198,53</t>
  </si>
  <si>
    <t>282,48</t>
  </si>
  <si>
    <t>198,85</t>
  </si>
  <si>
    <t>100,28</t>
  </si>
  <si>
    <t>215,94</t>
  </si>
  <si>
    <t>231,16</t>
  </si>
  <si>
    <t>165,78</t>
  </si>
  <si>
    <t>176,83</t>
  </si>
  <si>
    <t>434,28</t>
  </si>
  <si>
    <t>366,44</t>
  </si>
  <si>
    <t>322,84</t>
  </si>
  <si>
    <t>301,38</t>
  </si>
  <si>
    <t>270,71</t>
  </si>
  <si>
    <t>220,42</t>
  </si>
  <si>
    <t>262,06</t>
  </si>
  <si>
    <t>178,93</t>
  </si>
  <si>
    <t>208,20</t>
  </si>
  <si>
    <t>236,96</t>
  </si>
  <si>
    <t>172,40</t>
  </si>
  <si>
    <t>190,42</t>
  </si>
  <si>
    <t>258,77</t>
  </si>
  <si>
    <t>179,30</t>
  </si>
  <si>
    <t>244,07</t>
  </si>
  <si>
    <t>255,50</t>
  </si>
  <si>
    <t>204,26</t>
  </si>
  <si>
    <t>260,86</t>
  </si>
  <si>
    <t>261,30</t>
  </si>
  <si>
    <t>445,49</t>
  </si>
  <si>
    <t>380,58</t>
  </si>
  <si>
    <t>328,61</t>
  </si>
  <si>
    <t>306,25</t>
  </si>
  <si>
    <t>279,14</t>
  </si>
  <si>
    <t>430,73</t>
  </si>
  <si>
    <t>357,43</t>
  </si>
  <si>
    <t>322,59</t>
  </si>
  <si>
    <t>298,00</t>
  </si>
  <si>
    <t>265,06</t>
  </si>
  <si>
    <t>233,57</t>
  </si>
  <si>
    <t>481,50</t>
  </si>
  <si>
    <t>323,88</t>
  </si>
  <si>
    <t>235,95</t>
  </si>
  <si>
    <t>217,17</t>
  </si>
  <si>
    <t>449,07</t>
  </si>
  <si>
    <t>371,77</t>
  </si>
  <si>
    <t>325,70</t>
  </si>
  <si>
    <t>297,80</t>
  </si>
  <si>
    <t>266,02</t>
  </si>
  <si>
    <t>235,04</t>
  </si>
  <si>
    <t>216,45</t>
  </si>
  <si>
    <t>490,57</t>
  </si>
  <si>
    <t>415,97</t>
  </si>
  <si>
    <t>316,92</t>
  </si>
  <si>
    <t>287,78</t>
  </si>
  <si>
    <t>260,51</t>
  </si>
  <si>
    <t>226,38</t>
  </si>
  <si>
    <t>416,11</t>
  </si>
  <si>
    <t>347,34</t>
  </si>
  <si>
    <t>283,09</t>
  </si>
  <si>
    <t>252,71</t>
  </si>
  <si>
    <t>221,41</t>
  </si>
  <si>
    <t>435,81</t>
  </si>
  <si>
    <t>370,75</t>
  </si>
  <si>
    <t>292,70</t>
  </si>
  <si>
    <t>273,11</t>
  </si>
  <si>
    <t>247,53</t>
  </si>
  <si>
    <t>215,81</t>
  </si>
  <si>
    <t>196,48</t>
  </si>
  <si>
    <t>4.707,97</t>
  </si>
  <si>
    <t>5.551,46</t>
  </si>
  <si>
    <t>5.749,18</t>
  </si>
  <si>
    <t>5.899,58</t>
  </si>
  <si>
    <t>6.438,97</t>
  </si>
  <si>
    <t>6.589,64</t>
  </si>
  <si>
    <t>6.329,08</t>
  </si>
  <si>
    <t>5.664,11</t>
  </si>
  <si>
    <t>243,09</t>
  </si>
  <si>
    <t>190,47</t>
  </si>
  <si>
    <t>246,94</t>
  </si>
  <si>
    <t>170,04</t>
  </si>
  <si>
    <t>221,69</t>
  </si>
  <si>
    <t>124,74</t>
  </si>
  <si>
    <t>20,37</t>
  </si>
  <si>
    <t>1.392,15</t>
  </si>
  <si>
    <t>1.252,53</t>
  </si>
  <si>
    <t>1.356,44</t>
  </si>
  <si>
    <t>788,43</t>
  </si>
  <si>
    <t>878,14</t>
  </si>
  <si>
    <t>989,67</t>
  </si>
  <si>
    <t>1.175,73</t>
  </si>
  <si>
    <t>770,65</t>
  </si>
  <si>
    <t>859,68</t>
  </si>
  <si>
    <t>977,46</t>
  </si>
  <si>
    <t>1.169,37</t>
  </si>
  <si>
    <t>558,24</t>
  </si>
  <si>
    <t>636,89</t>
  </si>
  <si>
    <t>708,74</t>
  </si>
  <si>
    <t>752,31</t>
  </si>
  <si>
    <t>909,64</t>
  </si>
  <si>
    <t>556,66</t>
  </si>
  <si>
    <t>631,78</t>
  </si>
  <si>
    <t>698,15</t>
  </si>
  <si>
    <t>748,04</t>
  </si>
  <si>
    <t>779,91</t>
  </si>
  <si>
    <t>904,29</t>
  </si>
  <si>
    <t>616,78</t>
  </si>
  <si>
    <t>688,67</t>
  </si>
  <si>
    <t>1.011,66</t>
  </si>
  <si>
    <t>1.097,09</t>
  </si>
  <si>
    <t>1.479,92</t>
  </si>
  <si>
    <t>1.487,46</t>
  </si>
  <si>
    <t>1.440,34</t>
  </si>
  <si>
    <t>1.477,04</t>
  </si>
  <si>
    <t>1.435,87</t>
  </si>
  <si>
    <t>1.541,63</t>
  </si>
  <si>
    <t>1.481,13</t>
  </si>
  <si>
    <t>1.438,66</t>
  </si>
  <si>
    <t>1.562,89</t>
  </si>
  <si>
    <t>1.523,05</t>
  </si>
  <si>
    <t>1.528,90</t>
  </si>
  <si>
    <t>1.452,10</t>
  </si>
  <si>
    <t>894,47</t>
  </si>
  <si>
    <t>964,32</t>
  </si>
  <si>
    <t>1.048,51</t>
  </si>
  <si>
    <t>1.092,71</t>
  </si>
  <si>
    <t>1.154,92</t>
  </si>
  <si>
    <t>1.257,36</t>
  </si>
  <si>
    <t>894,79</t>
  </si>
  <si>
    <t>960,42</t>
  </si>
  <si>
    <t>1.039,79</t>
  </si>
  <si>
    <t>1.093,89</t>
  </si>
  <si>
    <t>1.153,39</t>
  </si>
  <si>
    <t>1.259,90</t>
  </si>
  <si>
    <t>962,05</t>
  </si>
  <si>
    <t>1.020,19</t>
  </si>
  <si>
    <t>789,92</t>
  </si>
  <si>
    <t>1.492,25</t>
  </si>
  <si>
    <t>1.452,13</t>
  </si>
  <si>
    <t>1.723,45</t>
  </si>
  <si>
    <t>282,94</t>
  </si>
  <si>
    <t>1.486,38</t>
  </si>
  <si>
    <t>1.396,94</t>
  </si>
  <si>
    <t>1.417,17</t>
  </si>
  <si>
    <t>1.398,15</t>
  </si>
  <si>
    <t>1.775,18</t>
  </si>
  <si>
    <t>1.613,97</t>
  </si>
  <si>
    <t>1.684,56</t>
  </si>
  <si>
    <t>1.573,71</t>
  </si>
  <si>
    <t>1.622,26</t>
  </si>
  <si>
    <t>1.512,02</t>
  </si>
  <si>
    <t>1.739,80</t>
  </si>
  <si>
    <t>2.013,84</t>
  </si>
  <si>
    <t>1.414,53</t>
  </si>
  <si>
    <t>1.402,55</t>
  </si>
  <si>
    <t>1.461,88</t>
  </si>
  <si>
    <t>1.840,15</t>
  </si>
  <si>
    <t>1.608,12</t>
  </si>
  <si>
    <t>242,70</t>
  </si>
  <si>
    <t>1.308,13</t>
  </si>
  <si>
    <t>664,69</t>
  </si>
  <si>
    <t>37,37</t>
  </si>
  <si>
    <t>64,09</t>
  </si>
  <si>
    <t>87,32</t>
  </si>
  <si>
    <t>101,32</t>
  </si>
  <si>
    <t>78,83</t>
  </si>
  <si>
    <t>101,88</t>
  </si>
  <si>
    <t>60,54</t>
  </si>
  <si>
    <t>96,20</t>
  </si>
  <si>
    <t>59,36</t>
  </si>
  <si>
    <t>55,06</t>
  </si>
  <si>
    <t>3.760,30</t>
  </si>
  <si>
    <t>3.283,60</t>
  </si>
  <si>
    <t>2.790,31</t>
  </si>
  <si>
    <t>1.891,36</t>
  </si>
  <si>
    <t>3.690,52</t>
  </si>
  <si>
    <t>6.426,83</t>
  </si>
  <si>
    <t>3.431,72</t>
  </si>
  <si>
    <t>2.631,29</t>
  </si>
  <si>
    <t>240,76</t>
  </si>
  <si>
    <t>207,52</t>
  </si>
  <si>
    <t>198,67</t>
  </si>
  <si>
    <t>269,15</t>
  </si>
  <si>
    <t>255,60</t>
  </si>
  <si>
    <t>248,69</t>
  </si>
  <si>
    <t>318,94</t>
  </si>
  <si>
    <t>307,96</t>
  </si>
  <si>
    <t>302,27</t>
  </si>
  <si>
    <t>370,41</t>
  </si>
  <si>
    <t>360,99</t>
  </si>
  <si>
    <t>355,97</t>
  </si>
  <si>
    <t>783,16</t>
  </si>
  <si>
    <t>796,32</t>
  </si>
  <si>
    <t>809,49</t>
  </si>
  <si>
    <t>822,65</t>
  </si>
  <si>
    <t>848,98</t>
  </si>
  <si>
    <t>61,72</t>
  </si>
  <si>
    <t>72,84</t>
  </si>
  <si>
    <t>86,21</t>
  </si>
  <si>
    <t>162,93</t>
  </si>
  <si>
    <t>214,87</t>
  </si>
  <si>
    <t>16,14</t>
  </si>
  <si>
    <t>1.376,21</t>
  </si>
  <si>
    <t>714,93</t>
  </si>
  <si>
    <t>895,17</t>
  </si>
  <si>
    <t>2.505,38</t>
  </si>
  <si>
    <t>2.153,65</t>
  </si>
  <si>
    <t>1.357,72</t>
  </si>
  <si>
    <t>944,25</t>
  </si>
  <si>
    <t>775,90</t>
  </si>
  <si>
    <t>751,21</t>
  </si>
  <si>
    <t>2.213,29</t>
  </si>
  <si>
    <t>42,46</t>
  </si>
  <si>
    <t>32,23</t>
  </si>
  <si>
    <t>3.265,63</t>
  </si>
  <si>
    <t>4.938,40</t>
  </si>
  <si>
    <t>4.053,08</t>
  </si>
  <si>
    <t>4.303,60</t>
  </si>
  <si>
    <t>3.634,04</t>
  </si>
  <si>
    <t>3.583,94</t>
  </si>
  <si>
    <t>5.041,89</t>
  </si>
  <si>
    <t>3.473,92</t>
  </si>
  <si>
    <t>56,52</t>
  </si>
  <si>
    <t>51,32</t>
  </si>
  <si>
    <t>159,45</t>
  </si>
  <si>
    <t>157,07</t>
  </si>
  <si>
    <t>41,20</t>
  </si>
  <si>
    <t>58,20</t>
  </si>
  <si>
    <t>76,39</t>
  </si>
  <si>
    <t>93,37</t>
  </si>
  <si>
    <t>67,96</t>
  </si>
  <si>
    <t>44,70</t>
  </si>
  <si>
    <t>55,00</t>
  </si>
  <si>
    <t>83,96</t>
  </si>
  <si>
    <t>6,48</t>
  </si>
  <si>
    <t>42,56</t>
  </si>
  <si>
    <t>45,01</t>
  </si>
  <si>
    <t>25,06</t>
  </si>
  <si>
    <t>40,56</t>
  </si>
  <si>
    <t>105,82</t>
  </si>
  <si>
    <t>137,63</t>
  </si>
  <si>
    <t>166,53</t>
  </si>
  <si>
    <t>204,17</t>
  </si>
  <si>
    <t>270,44</t>
  </si>
  <si>
    <t>349,85</t>
  </si>
  <si>
    <t>33,25</t>
  </si>
  <si>
    <t>39,06</t>
  </si>
  <si>
    <t>53,87</t>
  </si>
  <si>
    <t>41,58</t>
  </si>
  <si>
    <t>20,49</t>
  </si>
  <si>
    <t>27,60</t>
  </si>
  <si>
    <t>33,18</t>
  </si>
  <si>
    <t>148,23</t>
  </si>
  <si>
    <t>232,77</t>
  </si>
  <si>
    <t>449,98</t>
  </si>
  <si>
    <t>876,86</t>
  </si>
  <si>
    <t>1.348,62</t>
  </si>
  <si>
    <t>285,74</t>
  </si>
  <si>
    <t>551,73</t>
  </si>
  <si>
    <t>751,96</t>
  </si>
  <si>
    <t>873,69</t>
  </si>
  <si>
    <t>243,33</t>
  </si>
  <si>
    <t>462,11</t>
  </si>
  <si>
    <t>637,60</t>
  </si>
  <si>
    <t>735,12</t>
  </si>
  <si>
    <t>29,54</t>
  </si>
  <si>
    <t>12,79</t>
  </si>
  <si>
    <t>69,91</t>
  </si>
  <si>
    <t>75,73</t>
  </si>
  <si>
    <t>74,70</t>
  </si>
  <si>
    <t>80,10</t>
  </si>
  <si>
    <t>91,20</t>
  </si>
  <si>
    <t>3.401,40</t>
  </si>
  <si>
    <t>6.553,91</t>
  </si>
  <si>
    <t>8.738,56</t>
  </si>
  <si>
    <t>2.055,31</t>
  </si>
  <si>
    <t>441,26</t>
  </si>
  <si>
    <t>602,34</t>
  </si>
  <si>
    <t>639,10</t>
  </si>
  <si>
    <t>736,23</t>
  </si>
  <si>
    <t>1.058,37</t>
  </si>
  <si>
    <t>1.502,57</t>
  </si>
  <si>
    <t>609,08</t>
  </si>
  <si>
    <t>75,05</t>
  </si>
  <si>
    <t>95,92</t>
  </si>
  <si>
    <t>162,16</t>
  </si>
  <si>
    <t>443,05</t>
  </si>
  <si>
    <t>666,91</t>
  </si>
  <si>
    <t>1.067,05</t>
  </si>
  <si>
    <t>1.428,29</t>
  </si>
  <si>
    <t>2.287,53</t>
  </si>
  <si>
    <t>4.776,29</t>
  </si>
  <si>
    <t>171,23</t>
  </si>
  <si>
    <t>441,16</t>
  </si>
  <si>
    <t>1.630,28</t>
  </si>
  <si>
    <t>38,73</t>
  </si>
  <si>
    <t>37,16</t>
  </si>
  <si>
    <t>49,05</t>
  </si>
  <si>
    <t>62,60</t>
  </si>
  <si>
    <t>67,76</t>
  </si>
  <si>
    <t>66,14</t>
  </si>
  <si>
    <t>86,43</t>
  </si>
  <si>
    <t>96,51</t>
  </si>
  <si>
    <t>85,24</t>
  </si>
  <si>
    <t>103,34</t>
  </si>
  <si>
    <t>89,74</t>
  </si>
  <si>
    <t>123,98</t>
  </si>
  <si>
    <t>110,80</t>
  </si>
  <si>
    <t>122,69</t>
  </si>
  <si>
    <t>53,17</t>
  </si>
  <si>
    <t>28,21</t>
  </si>
  <si>
    <t>70,10</t>
  </si>
  <si>
    <t>67,84</t>
  </si>
  <si>
    <t>71,18</t>
  </si>
  <si>
    <t>96,67</t>
  </si>
  <si>
    <t>116,32</t>
  </si>
  <si>
    <t>134,42</t>
  </si>
  <si>
    <t>54,29</t>
  </si>
  <si>
    <t>49,23</t>
  </si>
  <si>
    <t>61,12</t>
  </si>
  <si>
    <t>84,95</t>
  </si>
  <si>
    <t>66,28</t>
  </si>
  <si>
    <t>78,17</t>
  </si>
  <si>
    <t>86,49</t>
  </si>
  <si>
    <t>121,40</t>
  </si>
  <si>
    <t>158,77</t>
  </si>
  <si>
    <t>290,82</t>
  </si>
  <si>
    <t>99,24</t>
  </si>
  <si>
    <t>130,04</t>
  </si>
  <si>
    <t>144,14</t>
  </si>
  <si>
    <t>70,87</t>
  </si>
  <si>
    <t>26,72</t>
  </si>
  <si>
    <t>63,29</t>
  </si>
  <si>
    <t>233,23</t>
  </si>
  <si>
    <t>113,50</t>
  </si>
  <si>
    <t>1.443,88</t>
  </si>
  <si>
    <t>1.549,15</t>
  </si>
  <si>
    <t>1.581,82</t>
  </si>
  <si>
    <t>1.738,95</t>
  </si>
  <si>
    <t>1.430,37</t>
  </si>
  <si>
    <t>1.535,64</t>
  </si>
  <si>
    <t>1.568,31</t>
  </si>
  <si>
    <t>1.725,44</t>
  </si>
  <si>
    <t>1.696,78</t>
  </si>
  <si>
    <t>1.856,12</t>
  </si>
  <si>
    <t>1.905,57</t>
  </si>
  <si>
    <t>2.126,55</t>
  </si>
  <si>
    <t>1.692,56</t>
  </si>
  <si>
    <t>1.851,90</t>
  </si>
  <si>
    <t>1.901,35</t>
  </si>
  <si>
    <t>2.122,33</t>
  </si>
  <si>
    <t>1.813,79</t>
  </si>
  <si>
    <t>2.026,24</t>
  </si>
  <si>
    <t>2.092,18</t>
  </si>
  <si>
    <t>2.375,87</t>
  </si>
  <si>
    <t>1.930,90</t>
  </si>
  <si>
    <t>2.143,35</t>
  </si>
  <si>
    <t>2.209,29</t>
  </si>
  <si>
    <t>2.492,98</t>
  </si>
  <si>
    <t>782,28</t>
  </si>
  <si>
    <t>908,60</t>
  </si>
  <si>
    <t>947,81</t>
  </si>
  <si>
    <t>1.096,97</t>
  </si>
  <si>
    <t>768,77</t>
  </si>
  <si>
    <t>895,09</t>
  </si>
  <si>
    <t>934,30</t>
  </si>
  <si>
    <t>1.083,46</t>
  </si>
  <si>
    <t>1.051,07</t>
  </si>
  <si>
    <t>1.240,56</t>
  </si>
  <si>
    <t>1.299,36</t>
  </si>
  <si>
    <t>1.523,10</t>
  </si>
  <si>
    <t>1.046,86</t>
  </si>
  <si>
    <t>1.236,35</t>
  </si>
  <si>
    <t>1.295,15</t>
  </si>
  <si>
    <t>1.518,89</t>
  </si>
  <si>
    <t>1.185,63</t>
  </si>
  <si>
    <t>1.438,28</t>
  </si>
  <si>
    <t>1.516,69</t>
  </si>
  <si>
    <t>1.815,01</t>
  </si>
  <si>
    <t>1.302,75</t>
  </si>
  <si>
    <t>1.555,40</t>
  </si>
  <si>
    <t>1.633,81</t>
  </si>
  <si>
    <t>1.932,13</t>
  </si>
  <si>
    <t>40,14</t>
  </si>
  <si>
    <t>67,79</t>
  </si>
  <si>
    <t>112,80</t>
  </si>
  <si>
    <t>147,48</t>
  </si>
  <si>
    <t>30,99</t>
  </si>
  <si>
    <t>88,73</t>
  </si>
  <si>
    <t>127,42</t>
  </si>
  <si>
    <t>31,38</t>
  </si>
  <si>
    <t>98,37</t>
  </si>
  <si>
    <t>78,94</t>
  </si>
  <si>
    <t>102,46</t>
  </si>
  <si>
    <t>171,71</t>
  </si>
  <si>
    <t>267,15</t>
  </si>
  <si>
    <t>150,30</t>
  </si>
  <si>
    <t>82,22</t>
  </si>
  <si>
    <t>156,55</t>
  </si>
  <si>
    <t>97,43</t>
  </si>
  <si>
    <t>59,57</t>
  </si>
  <si>
    <t>61,30</t>
  </si>
  <si>
    <t>71,26</t>
  </si>
  <si>
    <t>518,38</t>
  </si>
  <si>
    <t>283,41</t>
  </si>
  <si>
    <t>295,06</t>
  </si>
  <si>
    <t>476,51</t>
  </si>
  <si>
    <t>518,88</t>
  </si>
  <si>
    <t>609,12</t>
  </si>
  <si>
    <t>794,69</t>
  </si>
  <si>
    <t>910,10</t>
  </si>
  <si>
    <t>1.454,92</t>
  </si>
  <si>
    <t>119,14</t>
  </si>
  <si>
    <t>712,70</t>
  </si>
  <si>
    <t>400,47</t>
  </si>
  <si>
    <t>199,21</t>
  </si>
  <si>
    <t>517,05</t>
  </si>
  <si>
    <t>567,57</t>
  </si>
  <si>
    <t>614,84</t>
  </si>
  <si>
    <t>592,62</t>
  </si>
  <si>
    <t>677,71</t>
  </si>
  <si>
    <t>619,23</t>
  </si>
  <si>
    <t>670,47</t>
  </si>
  <si>
    <t>671,13</t>
  </si>
  <si>
    <t>752,85</t>
  </si>
  <si>
    <t>724,62</t>
  </si>
  <si>
    <t>788,14</t>
  </si>
  <si>
    <t>795,18</t>
  </si>
  <si>
    <t>857,78</t>
  </si>
  <si>
    <t>794,86</t>
  </si>
  <si>
    <t>846,79</t>
  </si>
  <si>
    <t>851,21</t>
  </si>
  <si>
    <t>939,38</t>
  </si>
  <si>
    <t>1.020,16</t>
  </si>
  <si>
    <t>1.139,28</t>
  </si>
  <si>
    <t>1.173,28</t>
  </si>
  <si>
    <t>1.271,50</t>
  </si>
  <si>
    <t>563,59</t>
  </si>
  <si>
    <t>676,77</t>
  </si>
  <si>
    <t>876,83</t>
  </si>
  <si>
    <t>1.126,30</t>
  </si>
  <si>
    <t>1.764,86</t>
  </si>
  <si>
    <t>715,33</t>
  </si>
  <si>
    <t>1.173,18</t>
  </si>
  <si>
    <t>1.822,28</t>
  </si>
  <si>
    <t>733,41</t>
  </si>
  <si>
    <t>1.196,29</t>
  </si>
  <si>
    <t>1.852,95</t>
  </si>
  <si>
    <t>751,49</t>
  </si>
  <si>
    <t>958,88</t>
  </si>
  <si>
    <t>1.218,82</t>
  </si>
  <si>
    <t>1.882,67</t>
  </si>
  <si>
    <t>999,06</t>
  </si>
  <si>
    <t>1.263,40</t>
  </si>
  <si>
    <t>1.944,94</t>
  </si>
  <si>
    <t>1.307,57</t>
  </si>
  <si>
    <t>2.017,90</t>
  </si>
  <si>
    <t>600,08</t>
  </si>
  <si>
    <t>2.887,78</t>
  </si>
  <si>
    <t>3.351,79</t>
  </si>
  <si>
    <t>2.545,70</t>
  </si>
  <si>
    <t>2.732,37</t>
  </si>
  <si>
    <t>323,22</t>
  </si>
  <si>
    <t>341,96</t>
  </si>
  <si>
    <t>92,92</t>
  </si>
  <si>
    <t>112,08</t>
  </si>
  <si>
    <t>119,73</t>
  </si>
  <si>
    <t>10.500,26</t>
  </si>
  <si>
    <t>11.687,46</t>
  </si>
  <si>
    <t>14.997,40</t>
  </si>
  <si>
    <t>18.436,51</t>
  </si>
  <si>
    <t>23.130,14</t>
  </si>
  <si>
    <t>32.282,19</t>
  </si>
  <si>
    <t>37.595,57</t>
  </si>
  <si>
    <t>153,10</t>
  </si>
  <si>
    <t>60.897,26</t>
  </si>
  <si>
    <t>83.424,34</t>
  </si>
  <si>
    <t>116.643,20</t>
  </si>
  <si>
    <t>358,47</t>
  </si>
  <si>
    <t>125,73</t>
  </si>
  <si>
    <t>142,61</t>
  </si>
  <si>
    <t>338,12</t>
  </si>
  <si>
    <t>113,84</t>
  </si>
  <si>
    <t>80,94</t>
  </si>
  <si>
    <t>69,56</t>
  </si>
  <si>
    <t>117,43</t>
  </si>
  <si>
    <t>162,29</t>
  </si>
  <si>
    <t>3.429,85</t>
  </si>
  <si>
    <t>949,54</t>
  </si>
  <si>
    <t>1.522,48</t>
  </si>
  <si>
    <t>263,04</t>
  </si>
  <si>
    <t>783,95</t>
  </si>
  <si>
    <t>847,42</t>
  </si>
  <si>
    <t>297,42</t>
  </si>
  <si>
    <t>350,30</t>
  </si>
  <si>
    <t>403,18</t>
  </si>
  <si>
    <t>2.053,17</t>
  </si>
  <si>
    <t>365,72</t>
  </si>
  <si>
    <t>466,91</t>
  </si>
  <si>
    <t>486,48</t>
  </si>
  <si>
    <t>3.545,82</t>
  </si>
  <si>
    <t>111,65</t>
  </si>
  <si>
    <t>529,07</t>
  </si>
  <si>
    <t>115,58</t>
  </si>
  <si>
    <t>212,77</t>
  </si>
  <si>
    <t>331,04</t>
  </si>
  <si>
    <t>478,84</t>
  </si>
  <si>
    <t>728,96</t>
  </si>
  <si>
    <t>368,38</t>
  </si>
  <si>
    <t>893,13</t>
  </si>
  <si>
    <t>2.837,14</t>
  </si>
  <si>
    <t>2.228,46</t>
  </si>
  <si>
    <t>2.434,31</t>
  </si>
  <si>
    <t>3.153,73</t>
  </si>
  <si>
    <t>2.569,09</t>
  </si>
  <si>
    <t>2.763,35</t>
  </si>
  <si>
    <t>4.597,72</t>
  </si>
  <si>
    <t>3.621,28</t>
  </si>
  <si>
    <t>4.015,05</t>
  </si>
  <si>
    <t>6.282,75</t>
  </si>
  <si>
    <t>4.686,38</t>
  </si>
  <si>
    <t>5.249,62</t>
  </si>
  <si>
    <t>11.687,61</t>
  </si>
  <si>
    <t>6.649,12</t>
  </si>
  <si>
    <t>13.073,00</t>
  </si>
  <si>
    <t>7.011,87</t>
  </si>
  <si>
    <t>7.204,75</t>
  </si>
  <si>
    <t>14.750,70</t>
  </si>
  <si>
    <t>9.228,19</t>
  </si>
  <si>
    <t>20.429,46</t>
  </si>
  <si>
    <t>11.387,54</t>
  </si>
  <si>
    <t>24.661,81</t>
  </si>
  <si>
    <t>12.736,28</t>
  </si>
  <si>
    <t>7.277,48</t>
  </si>
  <si>
    <t>8.651,29</t>
  </si>
  <si>
    <t>8.957,79</t>
  </si>
  <si>
    <t>9.301,00</t>
  </si>
  <si>
    <t>13.197,06</t>
  </si>
  <si>
    <t>13.633,50</t>
  </si>
  <si>
    <t>13.942,93</t>
  </si>
  <si>
    <t>15.995,55</t>
  </si>
  <si>
    <t>15.911,75</t>
  </si>
  <si>
    <t>16.705,64</t>
  </si>
  <si>
    <t>30.897,05</t>
  </si>
  <si>
    <t>39.615,71</t>
  </si>
  <si>
    <t>48,81</t>
  </si>
  <si>
    <t>60,49</t>
  </si>
  <si>
    <t>7.031,00</t>
  </si>
  <si>
    <t>12.890,38</t>
  </si>
  <si>
    <t>635,82</t>
  </si>
  <si>
    <t>1.204,69</t>
  </si>
  <si>
    <t>3.789,71</t>
  </si>
  <si>
    <t>2.807,82</t>
  </si>
  <si>
    <t>62,63</t>
  </si>
  <si>
    <t>2.629,77</t>
  </si>
  <si>
    <t>1.404,86</t>
  </si>
  <si>
    <t>37,72</t>
  </si>
  <si>
    <t>32,79</t>
  </si>
  <si>
    <t>36,24</t>
  </si>
  <si>
    <t>48,19</t>
  </si>
  <si>
    <t>71,85</t>
  </si>
  <si>
    <t>58,70</t>
  </si>
  <si>
    <t>62,34</t>
  </si>
  <si>
    <t>71,88</t>
  </si>
  <si>
    <t>51,80</t>
  </si>
  <si>
    <t>127,87</t>
  </si>
  <si>
    <t>184,84</t>
  </si>
  <si>
    <t>259,49</t>
  </si>
  <si>
    <t>129,33</t>
  </si>
  <si>
    <t>146,49</t>
  </si>
  <si>
    <t>197,05</t>
  </si>
  <si>
    <t>244,17</t>
  </si>
  <si>
    <t>323,83</t>
  </si>
  <si>
    <t>400,42</t>
  </si>
  <si>
    <t>71,19</t>
  </si>
  <si>
    <t>137,09</t>
  </si>
  <si>
    <t>154,48</t>
  </si>
  <si>
    <t>152,84</t>
  </si>
  <si>
    <t>176,81</t>
  </si>
  <si>
    <t>151,77</t>
  </si>
  <si>
    <t>231,69</t>
  </si>
  <si>
    <t>97,61</t>
  </si>
  <si>
    <t>97,42</t>
  </si>
  <si>
    <t>131,34</t>
  </si>
  <si>
    <t>210,45</t>
  </si>
  <si>
    <t>85,55</t>
  </si>
  <si>
    <t>139,07</t>
  </si>
  <si>
    <t>101,10</t>
  </si>
  <si>
    <t>110,59</t>
  </si>
  <si>
    <t>109,75</t>
  </si>
  <si>
    <t>143,66</t>
  </si>
  <si>
    <t>75,87</t>
  </si>
  <si>
    <t>97,25</t>
  </si>
  <si>
    <t>96,38</t>
  </si>
  <si>
    <t>198,60</t>
  </si>
  <si>
    <t>267,01</t>
  </si>
  <si>
    <t>364,93</t>
  </si>
  <si>
    <t>521,94</t>
  </si>
  <si>
    <t>43,67</t>
  </si>
  <si>
    <t>63,10</t>
  </si>
  <si>
    <t>126,14</t>
  </si>
  <si>
    <t>58,36</t>
  </si>
  <si>
    <t>109,59</t>
  </si>
  <si>
    <t>291,23</t>
  </si>
  <si>
    <t>530,47</t>
  </si>
  <si>
    <t>106,92</t>
  </si>
  <si>
    <t>22,66</t>
  </si>
  <si>
    <t>60,77</t>
  </si>
  <si>
    <t>98,30</t>
  </si>
  <si>
    <t>142,97</t>
  </si>
  <si>
    <t>122,72</t>
  </si>
  <si>
    <t>202,55</t>
  </si>
  <si>
    <t>278,06</t>
  </si>
  <si>
    <t>47,00</t>
  </si>
  <si>
    <t>63,13</t>
  </si>
  <si>
    <t>136,27</t>
  </si>
  <si>
    <t>54,62</t>
  </si>
  <si>
    <t>252,63</t>
  </si>
  <si>
    <t>56,36</t>
  </si>
  <si>
    <t>94,83</t>
  </si>
  <si>
    <t>142,59</t>
  </si>
  <si>
    <t>171,57</t>
  </si>
  <si>
    <t>186,01</t>
  </si>
  <si>
    <t>123,96</t>
  </si>
  <si>
    <t>216,85</t>
  </si>
  <si>
    <t>299,79</t>
  </si>
  <si>
    <t>388,47</t>
  </si>
  <si>
    <t>69,25</t>
  </si>
  <si>
    <t>111,01</t>
  </si>
  <si>
    <t>581,48</t>
  </si>
  <si>
    <t>35,63</t>
  </si>
  <si>
    <t>47,99</t>
  </si>
  <si>
    <t>202,60</t>
  </si>
  <si>
    <t>404,08</t>
  </si>
  <si>
    <t>191,21</t>
  </si>
  <si>
    <t>387,99</t>
  </si>
  <si>
    <t>188,73</t>
  </si>
  <si>
    <t>409,39</t>
  </si>
  <si>
    <t>196,52</t>
  </si>
  <si>
    <t>223,93</t>
  </si>
  <si>
    <t>309,05</t>
  </si>
  <si>
    <t>398,62</t>
  </si>
  <si>
    <t>63,95</t>
  </si>
  <si>
    <t>58,14</t>
  </si>
  <si>
    <t>46,37</t>
  </si>
  <si>
    <t>86,48</t>
  </si>
  <si>
    <t>147,83</t>
  </si>
  <si>
    <t>167,11</t>
  </si>
  <si>
    <t>81,18</t>
  </si>
  <si>
    <t>19,93</t>
  </si>
  <si>
    <t>26,09</t>
  </si>
  <si>
    <t>6,24</t>
  </si>
  <si>
    <t>43,16</t>
  </si>
  <si>
    <t>115,19</t>
  </si>
  <si>
    <t>91,51</t>
  </si>
  <si>
    <t>76,40</t>
  </si>
  <si>
    <t>137,45</t>
  </si>
  <si>
    <t>96,33</t>
  </si>
  <si>
    <t>61,92</t>
  </si>
  <si>
    <t>41,76</t>
  </si>
  <si>
    <t>46,19</t>
  </si>
  <si>
    <t>43,89</t>
  </si>
  <si>
    <t>35,25</t>
  </si>
  <si>
    <t>59,91</t>
  </si>
  <si>
    <t>51,59</t>
  </si>
  <si>
    <t>80,92</t>
  </si>
  <si>
    <t>36,21</t>
  </si>
  <si>
    <t>36,67</t>
  </si>
  <si>
    <t>145,01</t>
  </si>
  <si>
    <t>169,59</t>
  </si>
  <si>
    <t>27,29</t>
  </si>
  <si>
    <t>55,01</t>
  </si>
  <si>
    <t>93,36</t>
  </si>
  <si>
    <t>184,08</t>
  </si>
  <si>
    <t>51,99</t>
  </si>
  <si>
    <t>88,38</t>
  </si>
  <si>
    <t>116,47</t>
  </si>
  <si>
    <t>27,72</t>
  </si>
  <si>
    <t>33,79</t>
  </si>
  <si>
    <t>46,21</t>
  </si>
  <si>
    <t>34,92</t>
  </si>
  <si>
    <t>42,31</t>
  </si>
  <si>
    <t>135,55</t>
  </si>
  <si>
    <t>291,15</t>
  </si>
  <si>
    <t>64,78</t>
  </si>
  <si>
    <t>65,09</t>
  </si>
  <si>
    <t>94,14</t>
  </si>
  <si>
    <t>105,37</t>
  </si>
  <si>
    <t>83,67</t>
  </si>
  <si>
    <t>88,41</t>
  </si>
  <si>
    <t>281,51</t>
  </si>
  <si>
    <t>212,81</t>
  </si>
  <si>
    <t>214,25</t>
  </si>
  <si>
    <t>165,40</t>
  </si>
  <si>
    <t>63,80</t>
  </si>
  <si>
    <t>25,18</t>
  </si>
  <si>
    <t>81,07</t>
  </si>
  <si>
    <t>104,86</t>
  </si>
  <si>
    <t>91,44</t>
  </si>
  <si>
    <t>217,22</t>
  </si>
  <si>
    <t>256,83</t>
  </si>
  <si>
    <t>48,24</t>
  </si>
  <si>
    <t>56,32</t>
  </si>
  <si>
    <t>40,52</t>
  </si>
  <si>
    <t>32,73</t>
  </si>
  <si>
    <t>82,20</t>
  </si>
  <si>
    <t>27,03</t>
  </si>
  <si>
    <t>148,25</t>
  </si>
  <si>
    <t>75,11</t>
  </si>
  <si>
    <t>49,74</t>
  </si>
  <si>
    <t>233,36</t>
  </si>
  <si>
    <t>178,53</t>
  </si>
  <si>
    <t>202,67</t>
  </si>
  <si>
    <t>247,41</t>
  </si>
  <si>
    <t>295,31</t>
  </si>
  <si>
    <t>117,36</t>
  </si>
  <si>
    <t>122,59</t>
  </si>
  <si>
    <t>40,62</t>
  </si>
  <si>
    <t>61,50</t>
  </si>
  <si>
    <t>329,91</t>
  </si>
  <si>
    <t>169,95</t>
  </si>
  <si>
    <t>85,11</t>
  </si>
  <si>
    <t>29,15</t>
  </si>
  <si>
    <t>44,12</t>
  </si>
  <si>
    <t>65,16</t>
  </si>
  <si>
    <t>65,14</t>
  </si>
  <si>
    <t>86,47</t>
  </si>
  <si>
    <t>96,69</t>
  </si>
  <si>
    <t>131,78</t>
  </si>
  <si>
    <t>96,87</t>
  </si>
  <si>
    <t>149,32</t>
  </si>
  <si>
    <t>199,68</t>
  </si>
  <si>
    <t>180,41</t>
  </si>
  <si>
    <t>126,09</t>
  </si>
  <si>
    <t>190,79</t>
  </si>
  <si>
    <t>238,69</t>
  </si>
  <si>
    <t>41,80</t>
  </si>
  <si>
    <t>43,51</t>
  </si>
  <si>
    <t>65,11</t>
  </si>
  <si>
    <t>98,26</t>
  </si>
  <si>
    <t>134,99</t>
  </si>
  <si>
    <t>66,20</t>
  </si>
  <si>
    <t>76,14</t>
  </si>
  <si>
    <t>96,78</t>
  </si>
  <si>
    <t>151,71</t>
  </si>
  <si>
    <t>204,50</t>
  </si>
  <si>
    <t>185,23</t>
  </si>
  <si>
    <t>125,95</t>
  </si>
  <si>
    <t>245,12</t>
  </si>
  <si>
    <t>33,64</t>
  </si>
  <si>
    <t>52,16</t>
  </si>
  <si>
    <t>107,88</t>
  </si>
  <si>
    <t>116,97</t>
  </si>
  <si>
    <t>46,59</t>
  </si>
  <si>
    <t>177,49</t>
  </si>
  <si>
    <t>49,56</t>
  </si>
  <si>
    <t>62,64</t>
  </si>
  <si>
    <t>100,13</t>
  </si>
  <si>
    <t>163,00</t>
  </si>
  <si>
    <t>209,07</t>
  </si>
  <si>
    <t>51,45</t>
  </si>
  <si>
    <t>25,56</t>
  </si>
  <si>
    <t>131,49</t>
  </si>
  <si>
    <t>200,54</t>
  </si>
  <si>
    <t>55,87</t>
  </si>
  <si>
    <t>131,44</t>
  </si>
  <si>
    <t>298,48</t>
  </si>
  <si>
    <t>47,21</t>
  </si>
  <si>
    <t>70,35</t>
  </si>
  <si>
    <t>45,88</t>
  </si>
  <si>
    <t>69,00</t>
  </si>
  <si>
    <t>101,01</t>
  </si>
  <si>
    <t>136,63</t>
  </si>
  <si>
    <t>35,97</t>
  </si>
  <si>
    <t>44,88</t>
  </si>
  <si>
    <t>68,95</t>
  </si>
  <si>
    <t>102,58</t>
  </si>
  <si>
    <t>142,53</t>
  </si>
  <si>
    <t>40,17</t>
  </si>
  <si>
    <t>87,07</t>
  </si>
  <si>
    <t>479,72</t>
  </si>
  <si>
    <t>41,51</t>
  </si>
  <si>
    <t>604,78</t>
  </si>
  <si>
    <t>45,31</t>
  </si>
  <si>
    <t>758,98</t>
  </si>
  <si>
    <t>1.052,07</t>
  </si>
  <si>
    <t>1.388,42</t>
  </si>
  <si>
    <t>415,45</t>
  </si>
  <si>
    <t>482,31</t>
  </si>
  <si>
    <t>44,10</t>
  </si>
  <si>
    <t>530,16</t>
  </si>
  <si>
    <t>75,13</t>
  </si>
  <si>
    <t>415,61</t>
  </si>
  <si>
    <t>484,23</t>
  </si>
  <si>
    <t>29,98</t>
  </si>
  <si>
    <t>533,60</t>
  </si>
  <si>
    <t>53,71</t>
  </si>
  <si>
    <t>79,17</t>
  </si>
  <si>
    <t>53,36</t>
  </si>
  <si>
    <t>83,76</t>
  </si>
  <si>
    <t>123,15</t>
  </si>
  <si>
    <t>271,95</t>
  </si>
  <si>
    <t>51,48</t>
  </si>
  <si>
    <t>116,83</t>
  </si>
  <si>
    <t>114,81</t>
  </si>
  <si>
    <t>158,03</t>
  </si>
  <si>
    <t>177,30</t>
  </si>
  <si>
    <t>98,67</t>
  </si>
  <si>
    <t>208,71</t>
  </si>
  <si>
    <t>180,50</t>
  </si>
  <si>
    <t>267,56</t>
  </si>
  <si>
    <t>374,78</t>
  </si>
  <si>
    <t>125,40</t>
  </si>
  <si>
    <t>286,55</t>
  </si>
  <si>
    <t>338,57</t>
  </si>
  <si>
    <t>772,17</t>
  </si>
  <si>
    <t>183,19</t>
  </si>
  <si>
    <t>426,92</t>
  </si>
  <si>
    <t>648,38</t>
  </si>
  <si>
    <t>1.345,79</t>
  </si>
  <si>
    <t>38,87</t>
  </si>
  <si>
    <t>60,27</t>
  </si>
  <si>
    <t>80,31</t>
  </si>
  <si>
    <t>79,61</t>
  </si>
  <si>
    <t>120,47</t>
  </si>
  <si>
    <t>81,68</t>
  </si>
  <si>
    <t>156,19</t>
  </si>
  <si>
    <t>115,07</t>
  </si>
  <si>
    <t>279,28</t>
  </si>
  <si>
    <t>26,36</t>
  </si>
  <si>
    <t>26,85</t>
  </si>
  <si>
    <t>36,77</t>
  </si>
  <si>
    <t>95,70</t>
  </si>
  <si>
    <t>142,45</t>
  </si>
  <si>
    <t>218,00</t>
  </si>
  <si>
    <t>48,56</t>
  </si>
  <si>
    <t>274,54</t>
  </si>
  <si>
    <t>382,38</t>
  </si>
  <si>
    <t>337,48</t>
  </si>
  <si>
    <t>24,96</t>
  </si>
  <si>
    <t>47,83</t>
  </si>
  <si>
    <t>425,72</t>
  </si>
  <si>
    <t>622,55</t>
  </si>
  <si>
    <t>205,67</t>
  </si>
  <si>
    <t>1.871,99</t>
  </si>
  <si>
    <t>37,98</t>
  </si>
  <si>
    <t>179,29</t>
  </si>
  <si>
    <t>292,66</t>
  </si>
  <si>
    <t>54,49</t>
  </si>
  <si>
    <t>112,36</t>
  </si>
  <si>
    <t>240,03</t>
  </si>
  <si>
    <t>293,08</t>
  </si>
  <si>
    <t>357,42</t>
  </si>
  <si>
    <t>83,78</t>
  </si>
  <si>
    <t>49,68</t>
  </si>
  <si>
    <t>88,68</t>
  </si>
  <si>
    <t>262,35</t>
  </si>
  <si>
    <t>361,90</t>
  </si>
  <si>
    <t>477,28</t>
  </si>
  <si>
    <t>172,83</t>
  </si>
  <si>
    <t>56,89</t>
  </si>
  <si>
    <t>83,32</t>
  </si>
  <si>
    <t>91,87</t>
  </si>
  <si>
    <t>308,54</t>
  </si>
  <si>
    <t>52,37</t>
  </si>
  <si>
    <t>79,45</t>
  </si>
  <si>
    <t>101,40</t>
  </si>
  <si>
    <t>28,74</t>
  </si>
  <si>
    <t>112,07</t>
  </si>
  <si>
    <t>146,01</t>
  </si>
  <si>
    <t>280,60</t>
  </si>
  <si>
    <t>101,55</t>
  </si>
  <si>
    <t>81,59</t>
  </si>
  <si>
    <t>54,69</t>
  </si>
  <si>
    <t>109,74</t>
  </si>
  <si>
    <t>138,60</t>
  </si>
  <si>
    <t>280,88</t>
  </si>
  <si>
    <t>369,65</t>
  </si>
  <si>
    <t>190,80</t>
  </si>
  <si>
    <t>117,47</t>
  </si>
  <si>
    <t>32,97</t>
  </si>
  <si>
    <t>45,74</t>
  </si>
  <si>
    <t>59,53</t>
  </si>
  <si>
    <t>17,17</t>
  </si>
  <si>
    <t>45,28</t>
  </si>
  <si>
    <t>157,27</t>
  </si>
  <si>
    <t>176,41</t>
  </si>
  <si>
    <t>64,88</t>
  </si>
  <si>
    <t>109,09</t>
  </si>
  <si>
    <t>112,53</t>
  </si>
  <si>
    <t>124,90</t>
  </si>
  <si>
    <t>128,58</t>
  </si>
  <si>
    <t>141,46</t>
  </si>
  <si>
    <t>169,74</t>
  </si>
  <si>
    <t>187,36</t>
  </si>
  <si>
    <t>132,66</t>
  </si>
  <si>
    <t>232,54</t>
  </si>
  <si>
    <t>247,40</t>
  </si>
  <si>
    <t>303,84</t>
  </si>
  <si>
    <t>184,99</t>
  </si>
  <si>
    <t>196,82</t>
  </si>
  <si>
    <t>319,12</t>
  </si>
  <si>
    <t>338,04</t>
  </si>
  <si>
    <t>732,45</t>
  </si>
  <si>
    <t>647,56</t>
  </si>
  <si>
    <t>294,14</t>
  </si>
  <si>
    <t>510,41</t>
  </si>
  <si>
    <t>789,27</t>
  </si>
  <si>
    <t>29,29</t>
  </si>
  <si>
    <t>51,15</t>
  </si>
  <si>
    <t>96,42</t>
  </si>
  <si>
    <t>117,15</t>
  </si>
  <si>
    <t>177,77</t>
  </si>
  <si>
    <t>219,67</t>
  </si>
  <si>
    <t>237,19</t>
  </si>
  <si>
    <t>293,63</t>
  </si>
  <si>
    <t>117,01</t>
  </si>
  <si>
    <t>161,76</t>
  </si>
  <si>
    <t>173,59</t>
  </si>
  <si>
    <t>299,87</t>
  </si>
  <si>
    <t>318,79</t>
  </si>
  <si>
    <t>717,08</t>
  </si>
  <si>
    <t>632,19</t>
  </si>
  <si>
    <t>130,80</t>
  </si>
  <si>
    <t>168,82</t>
  </si>
  <si>
    <t>263,13</t>
  </si>
  <si>
    <t>484,69</t>
  </si>
  <si>
    <t>206,37</t>
  </si>
  <si>
    <t>219,69</t>
  </si>
  <si>
    <t>276,13</t>
  </si>
  <si>
    <t>53,48</t>
  </si>
  <si>
    <t>107,16</t>
  </si>
  <si>
    <t>159,70</t>
  </si>
  <si>
    <t>279,80</t>
  </si>
  <si>
    <t>298,72</t>
  </si>
  <si>
    <t>690,92</t>
  </si>
  <si>
    <t>606,03</t>
  </si>
  <si>
    <t>121,97</t>
  </si>
  <si>
    <t>155,66</t>
  </si>
  <si>
    <t>244,60</t>
  </si>
  <si>
    <t>461,90</t>
  </si>
  <si>
    <t>733,93</t>
  </si>
  <si>
    <t>24,46</t>
  </si>
  <si>
    <t>46,28</t>
  </si>
  <si>
    <t>44,90</t>
  </si>
  <si>
    <t>418,37</t>
  </si>
  <si>
    <t>489,95</t>
  </si>
  <si>
    <t>51,74</t>
  </si>
  <si>
    <t>541,39</t>
  </si>
  <si>
    <t>37,43</t>
  </si>
  <si>
    <t>417,93</t>
  </si>
  <si>
    <t>486,46</t>
  </si>
  <si>
    <t>535,73</t>
  </si>
  <si>
    <t>31,05</t>
  </si>
  <si>
    <t>48,36</t>
  </si>
  <si>
    <t>25,47</t>
  </si>
  <si>
    <t>418,39</t>
  </si>
  <si>
    <t>485,90</t>
  </si>
  <si>
    <t>47,69</t>
  </si>
  <si>
    <t>22,15</t>
  </si>
  <si>
    <t>79,29</t>
  </si>
  <si>
    <t>30,35</t>
  </si>
  <si>
    <t>31,73</t>
  </si>
  <si>
    <t>45,24</t>
  </si>
  <si>
    <t>47,46</t>
  </si>
  <si>
    <t>135,32</t>
  </si>
  <si>
    <t>132,16</t>
  </si>
  <si>
    <t>159,90</t>
  </si>
  <si>
    <t>76,98</t>
  </si>
  <si>
    <t>98,57</t>
  </si>
  <si>
    <t>284,70</t>
  </si>
  <si>
    <t>93,12</t>
  </si>
  <si>
    <t>202,61</t>
  </si>
  <si>
    <t>268,60</t>
  </si>
  <si>
    <t>201,34</t>
  </si>
  <si>
    <t>152,54</t>
  </si>
  <si>
    <t>49,75</t>
  </si>
  <si>
    <t>191,96</t>
  </si>
  <si>
    <t>356,00</t>
  </si>
  <si>
    <t>460,71</t>
  </si>
  <si>
    <t>902,84</t>
  </si>
  <si>
    <t>617,35</t>
  </si>
  <si>
    <t>864,63</t>
  </si>
  <si>
    <t>1.040,69</t>
  </si>
  <si>
    <t>281,01</t>
  </si>
  <si>
    <t>529,62</t>
  </si>
  <si>
    <t>752,70</t>
  </si>
  <si>
    <t>908,25</t>
  </si>
  <si>
    <t>181,81</t>
  </si>
  <si>
    <t>390,56</t>
  </si>
  <si>
    <t>683,77</t>
  </si>
  <si>
    <t>1.126,89</t>
  </si>
  <si>
    <t>323,07</t>
  </si>
  <si>
    <t>574,61</t>
  </si>
  <si>
    <t>196,34</t>
  </si>
  <si>
    <t>307,31</t>
  </si>
  <si>
    <t>596,64</t>
  </si>
  <si>
    <t>1.003,97</t>
  </si>
  <si>
    <t>275,15</t>
  </si>
  <si>
    <t>516,59</t>
  </si>
  <si>
    <t>734,09</t>
  </si>
  <si>
    <t>883,11</t>
  </si>
  <si>
    <t>274,69</t>
  </si>
  <si>
    <t>423,37</t>
  </si>
  <si>
    <t>453,17</t>
  </si>
  <si>
    <t>1.039,22</t>
  </si>
  <si>
    <t>1.180,71</t>
  </si>
  <si>
    <t>2.029,69</t>
  </si>
  <si>
    <t>456,58</t>
  </si>
  <si>
    <t>655,63</t>
  </si>
  <si>
    <t>635,44</t>
  </si>
  <si>
    <t>977,21</t>
  </si>
  <si>
    <t>1.226,39</t>
  </si>
  <si>
    <t>1.815,60</t>
  </si>
  <si>
    <t>3.331,67</t>
  </si>
  <si>
    <t>4.013,11</t>
  </si>
  <si>
    <t>5.395,61</t>
  </si>
  <si>
    <t>7.849,85</t>
  </si>
  <si>
    <t>12.079,16</t>
  </si>
  <si>
    <t>603,79</t>
  </si>
  <si>
    <t>841,56</t>
  </si>
  <si>
    <t>38,95</t>
  </si>
  <si>
    <t>77,15</t>
  </si>
  <si>
    <t>705,70</t>
  </si>
  <si>
    <t>492,43</t>
  </si>
  <si>
    <t>637,18</t>
  </si>
  <si>
    <t>361,79</t>
  </si>
  <si>
    <t>158,07</t>
  </si>
  <si>
    <t>477,08</t>
  </si>
  <si>
    <t>1.354,69</t>
  </si>
  <si>
    <t>1.047,76</t>
  </si>
  <si>
    <t>364,23</t>
  </si>
  <si>
    <t>592,34</t>
  </si>
  <si>
    <t>477,20</t>
  </si>
  <si>
    <t>221,01</t>
  </si>
  <si>
    <t>143,59</t>
  </si>
  <si>
    <t>317,34</t>
  </si>
  <si>
    <t>146,99</t>
  </si>
  <si>
    <t>258,08</t>
  </si>
  <si>
    <t>47,91</t>
  </si>
  <si>
    <t>83,15</t>
  </si>
  <si>
    <t>81,27</t>
  </si>
  <si>
    <t>761,61</t>
  </si>
  <si>
    <t>745,91</t>
  </si>
  <si>
    <t>766,52</t>
  </si>
  <si>
    <t>557,43</t>
  </si>
  <si>
    <t>541,73</t>
  </si>
  <si>
    <t>693,09</t>
  </si>
  <si>
    <t>677,39</t>
  </si>
  <si>
    <t>426,79</t>
  </si>
  <si>
    <t>411,09</t>
  </si>
  <si>
    <t>417,70</t>
  </si>
  <si>
    <t>402,00</t>
  </si>
  <si>
    <t>488,25</t>
  </si>
  <si>
    <t>463,80</t>
  </si>
  <si>
    <t>454,71</t>
  </si>
  <si>
    <t>288,68</t>
  </si>
  <si>
    <t>435,85</t>
  </si>
  <si>
    <t>207,25</t>
  </si>
  <si>
    <t>354,42</t>
  </si>
  <si>
    <t>394,93</t>
  </si>
  <si>
    <t>911,29</t>
  </si>
  <si>
    <t>701,30</t>
  </si>
  <si>
    <t>233,67</t>
  </si>
  <si>
    <t>1.174,64</t>
  </si>
  <si>
    <t>857,41</t>
  </si>
  <si>
    <t>1.709,38</t>
  </si>
  <si>
    <t>1.576,67</t>
  </si>
  <si>
    <t>294,90</t>
  </si>
  <si>
    <t>303,80</t>
  </si>
  <si>
    <t>743,40</t>
  </si>
  <si>
    <t>752,30</t>
  </si>
  <si>
    <t>92,61</t>
  </si>
  <si>
    <t>217,40</t>
  </si>
  <si>
    <t>97,81</t>
  </si>
  <si>
    <t>536,83</t>
  </si>
  <si>
    <t>45,50</t>
  </si>
  <si>
    <t>91,18</t>
  </si>
  <si>
    <t>242,20</t>
  </si>
  <si>
    <t>220,20</t>
  </si>
  <si>
    <t>1.125,39</t>
  </si>
  <si>
    <t>331,73</t>
  </si>
  <si>
    <t>667,47</t>
  </si>
  <si>
    <t>971,19</t>
  </si>
  <si>
    <t>94,16</t>
  </si>
  <si>
    <t>43,64</t>
  </si>
  <si>
    <t>543,04</t>
  </si>
  <si>
    <t>590,78</t>
  </si>
  <si>
    <t>499,11</t>
  </si>
  <si>
    <t>288,82</t>
  </si>
  <si>
    <t>304,56</t>
  </si>
  <si>
    <t>315,04</t>
  </si>
  <si>
    <t>307,72</t>
  </si>
  <si>
    <t>331,37</t>
  </si>
  <si>
    <t>355,90</t>
  </si>
  <si>
    <t>925,25</t>
  </si>
  <si>
    <t>637,39</t>
  </si>
  <si>
    <t>2.205,35</t>
  </si>
  <si>
    <t>3.037,32</t>
  </si>
  <si>
    <t>4.947,41</t>
  </si>
  <si>
    <t>6.750,81</t>
  </si>
  <si>
    <t>7.835,43</t>
  </si>
  <si>
    <t>9.385,71</t>
  </si>
  <si>
    <t>2.024,80</t>
  </si>
  <si>
    <t>4.478,96</t>
  </si>
  <si>
    <t>6.346,42</t>
  </si>
  <si>
    <t>8.893,78</t>
  </si>
  <si>
    <t>3.336,69</t>
  </si>
  <si>
    <t>5.086,71</t>
  </si>
  <si>
    <t>5.839,74</t>
  </si>
  <si>
    <t>8.121,64</t>
  </si>
  <si>
    <t>5.214,92</t>
  </si>
  <si>
    <t>6.939,23</t>
  </si>
  <si>
    <t>9.797,82</t>
  </si>
  <si>
    <t>13.228,08</t>
  </si>
  <si>
    <t>15.063,23</t>
  </si>
  <si>
    <t>16.324,01</t>
  </si>
  <si>
    <t>4.448,41</t>
  </si>
  <si>
    <t>7.087,54</t>
  </si>
  <si>
    <t>11.188,31</t>
  </si>
  <si>
    <t>14.648,59</t>
  </si>
  <si>
    <t>16.993,45</t>
  </si>
  <si>
    <t>20.076,16</t>
  </si>
  <si>
    <t>4.584,85</t>
  </si>
  <si>
    <t>8.096,54</t>
  </si>
  <si>
    <t>10.504,43</t>
  </si>
  <si>
    <t>15.633,80</t>
  </si>
  <si>
    <t>4.608,41</t>
  </si>
  <si>
    <t>6.071,50</t>
  </si>
  <si>
    <t>8.500,86</t>
  </si>
  <si>
    <t>11.499,33</t>
  </si>
  <si>
    <t>12.987,15</t>
  </si>
  <si>
    <t>13.883,73</t>
  </si>
  <si>
    <t>4.035,11</t>
  </si>
  <si>
    <t>6.408,15</t>
  </si>
  <si>
    <t>10.120,53</t>
  </si>
  <si>
    <t>13.253,40</t>
  </si>
  <si>
    <t>15.422,05</t>
  </si>
  <si>
    <t>18.227,67</t>
  </si>
  <si>
    <t>3.423,49</t>
  </si>
  <si>
    <t>5.849,58</t>
  </si>
  <si>
    <t>7.654,25</t>
  </si>
  <si>
    <t>11.303,47</t>
  </si>
  <si>
    <t>936,95</t>
  </si>
  <si>
    <t>376,60</t>
  </si>
  <si>
    <t>93,78</t>
  </si>
  <si>
    <t>697,92</t>
  </si>
  <si>
    <t>111,77</t>
  </si>
  <si>
    <t>256,94</t>
  </si>
  <si>
    <t>349,25</t>
  </si>
  <si>
    <t>34,51</t>
  </si>
  <si>
    <t>36,66</t>
  </si>
  <si>
    <t>40,29</t>
  </si>
  <si>
    <t>590,53</t>
  </si>
  <si>
    <t>64,13</t>
  </si>
  <si>
    <t>25,38</t>
  </si>
  <si>
    <t>99,44</t>
  </si>
  <si>
    <t>470,45</t>
  </si>
  <si>
    <t>77,99</t>
  </si>
  <si>
    <t>106,22</t>
  </si>
  <si>
    <t>113,29</t>
  </si>
  <si>
    <t>34,26</t>
  </si>
  <si>
    <t>81,10</t>
  </si>
  <si>
    <t>164,74</t>
  </si>
  <si>
    <t>211,53</t>
  </si>
  <si>
    <t>41,42</t>
  </si>
  <si>
    <t>100,14</t>
  </si>
  <si>
    <t>151,28</t>
  </si>
  <si>
    <t>100,69</t>
  </si>
  <si>
    <t>136,76</t>
  </si>
  <si>
    <t>203,77</t>
  </si>
  <si>
    <t>229,46</t>
  </si>
  <si>
    <t>320,08</t>
  </si>
  <si>
    <t>456,23</t>
  </si>
  <si>
    <t>627,35</t>
  </si>
  <si>
    <t>965,50</t>
  </si>
  <si>
    <t>66,43</t>
  </si>
  <si>
    <t>109,86</t>
  </si>
  <si>
    <t>127,96</t>
  </si>
  <si>
    <t>184,36</t>
  </si>
  <si>
    <t>395,14</t>
  </si>
  <si>
    <t>673,33</t>
  </si>
  <si>
    <t>322,14</t>
  </si>
  <si>
    <t>82,19</t>
  </si>
  <si>
    <t>291,16</t>
  </si>
  <si>
    <t>62,33</t>
  </si>
  <si>
    <t>69,53</t>
  </si>
  <si>
    <t>118,06</t>
  </si>
  <si>
    <t>177,44</t>
  </si>
  <si>
    <t>313,49</t>
  </si>
  <si>
    <t>428,48</t>
  </si>
  <si>
    <t>747,54</t>
  </si>
  <si>
    <t>263,44</t>
  </si>
  <si>
    <t>177,78</t>
  </si>
  <si>
    <t>57,32</t>
  </si>
  <si>
    <t>84,73</t>
  </si>
  <si>
    <t>242,48</t>
  </si>
  <si>
    <t>255,92</t>
  </si>
  <si>
    <t>334,26</t>
  </si>
  <si>
    <t>522,58</t>
  </si>
  <si>
    <t>635,19</t>
  </si>
  <si>
    <t>812,52</t>
  </si>
  <si>
    <t>289,12</t>
  </si>
  <si>
    <t>558,22</t>
  </si>
  <si>
    <t>211,30</t>
  </si>
  <si>
    <t>384,61</t>
  </si>
  <si>
    <t>573,07</t>
  </si>
  <si>
    <t>750,67</t>
  </si>
  <si>
    <t>605,49</t>
  </si>
  <si>
    <t>1.032,69</t>
  </si>
  <si>
    <t>1.505,21</t>
  </si>
  <si>
    <t>1.951,03</t>
  </si>
  <si>
    <t>751,58</t>
  </si>
  <si>
    <t>1.322,78</t>
  </si>
  <si>
    <t>1.945,56</t>
  </si>
  <si>
    <t>2.533,99</t>
  </si>
  <si>
    <t>230,91</t>
  </si>
  <si>
    <t>432,90</t>
  </si>
  <si>
    <t>862,24</t>
  </si>
  <si>
    <t>293,91</t>
  </si>
  <si>
    <t>560,02</t>
  </si>
  <si>
    <t>845,80</t>
  </si>
  <si>
    <t>1.113,32</t>
  </si>
  <si>
    <t>242,23</t>
  </si>
  <si>
    <t>459,59</t>
  </si>
  <si>
    <t>687,14</t>
  </si>
  <si>
    <t>900,66</t>
  </si>
  <si>
    <t>315,91</t>
  </si>
  <si>
    <t>585,37</t>
  </si>
  <si>
    <t>879,15</t>
  </si>
  <si>
    <t>1.174,90</t>
  </si>
  <si>
    <t>113,32</t>
  </si>
  <si>
    <t>120,09</t>
  </si>
  <si>
    <t>133,47</t>
  </si>
  <si>
    <t>50,39</t>
  </si>
  <si>
    <t>101,68</t>
  </si>
  <si>
    <t>38,53</t>
  </si>
  <si>
    <t>2.530,51</t>
  </si>
  <si>
    <t>1.793,03</t>
  </si>
  <si>
    <t>1.417,36</t>
  </si>
  <si>
    <t>1.195,64</t>
  </si>
  <si>
    <t>39,48</t>
  </si>
  <si>
    <t>24,13</t>
  </si>
  <si>
    <t>1.569,59</t>
  </si>
  <si>
    <t>2.180,84</t>
  </si>
  <si>
    <t>1.350,30</t>
  </si>
  <si>
    <t>1.719,22</t>
  </si>
  <si>
    <t>2.185,13</t>
  </si>
  <si>
    <t>2.046,80</t>
  </si>
  <si>
    <t>136,01</t>
  </si>
  <si>
    <t>3.589,06</t>
  </si>
  <si>
    <t>2.188,39</t>
  </si>
  <si>
    <t>140,03</t>
  </si>
  <si>
    <t>3.001,59</t>
  </si>
  <si>
    <t>143,48</t>
  </si>
  <si>
    <t>10.270,00</t>
  </si>
  <si>
    <t>189,87</t>
  </si>
  <si>
    <t>67,98</t>
  </si>
  <si>
    <t>97,55</t>
  </si>
  <si>
    <t>206,62</t>
  </si>
  <si>
    <t>3.294,72</t>
  </si>
  <si>
    <t>5.437,96</t>
  </si>
  <si>
    <t>7.220,38</t>
  </si>
  <si>
    <t>7.305,06</t>
  </si>
  <si>
    <t>10.979,86</t>
  </si>
  <si>
    <t>1.106,91</t>
  </si>
  <si>
    <t>506,81</t>
  </si>
  <si>
    <t>363,71</t>
  </si>
  <si>
    <t>397,71</t>
  </si>
  <si>
    <t>509,48</t>
  </si>
  <si>
    <t>242,88</t>
  </si>
  <si>
    <t>141,47</t>
  </si>
  <si>
    <t>164,05</t>
  </si>
  <si>
    <t>245,44</t>
  </si>
  <si>
    <t>1.120,53</t>
  </si>
  <si>
    <t>414,08</t>
  </si>
  <si>
    <t>652,04</t>
  </si>
  <si>
    <t>213,85</t>
  </si>
  <si>
    <t>326,35</t>
  </si>
  <si>
    <t>552,45</t>
  </si>
  <si>
    <t>113,38</t>
  </si>
  <si>
    <t>139,26</t>
  </si>
  <si>
    <t>145,32</t>
  </si>
  <si>
    <t>579,57</t>
  </si>
  <si>
    <t>39,70</t>
  </si>
  <si>
    <t>16,70</t>
  </si>
  <si>
    <t>146,28</t>
  </si>
  <si>
    <t>213,56</t>
  </si>
  <si>
    <t>280,85</t>
  </si>
  <si>
    <t>375,22</t>
  </si>
  <si>
    <t>508,80</t>
  </si>
  <si>
    <t>182,19</t>
  </si>
  <si>
    <t>155,51</t>
  </si>
  <si>
    <t>304,09</t>
  </si>
  <si>
    <t>334,46</t>
  </si>
  <si>
    <t>508,29</t>
  </si>
  <si>
    <t>683,14</t>
  </si>
  <si>
    <t>1.009,91</t>
  </si>
  <si>
    <t>147,50</t>
  </si>
  <si>
    <t>298,26</t>
  </si>
  <si>
    <t>122,97</t>
  </si>
  <si>
    <t>183,17</t>
  </si>
  <si>
    <t>28,54</t>
  </si>
  <si>
    <t>24,03</t>
  </si>
  <si>
    <t>157,91</t>
  </si>
  <si>
    <t>79,91</t>
  </si>
  <si>
    <t>5,58</t>
  </si>
  <si>
    <t>73,04</t>
  </si>
  <si>
    <t>66,62</t>
  </si>
  <si>
    <t>67,38</t>
  </si>
  <si>
    <t>61,62</t>
  </si>
  <si>
    <t>60,10</t>
  </si>
  <si>
    <t>196,50</t>
  </si>
  <si>
    <t>446,57</t>
  </si>
  <si>
    <t>172,45</t>
  </si>
  <si>
    <t>422,51</t>
  </si>
  <si>
    <t>169,58</t>
  </si>
  <si>
    <t>413,39</t>
  </si>
  <si>
    <t>369,77</t>
  </si>
  <si>
    <t>140,16</t>
  </si>
  <si>
    <t>76,05</t>
  </si>
  <si>
    <t>92,88</t>
  </si>
  <si>
    <t>89,86</t>
  </si>
  <si>
    <t>81,75</t>
  </si>
  <si>
    <t>82,77</t>
  </si>
  <si>
    <t>116,70</t>
  </si>
  <si>
    <t>143,74</t>
  </si>
  <si>
    <t>175,25</t>
  </si>
  <si>
    <t>70,77</t>
  </si>
  <si>
    <t>81,53</t>
  </si>
  <si>
    <t>84,15</t>
  </si>
  <si>
    <t>91,29</t>
  </si>
  <si>
    <t>121,04</t>
  </si>
  <si>
    <t>155,55</t>
  </si>
  <si>
    <t>103,64</t>
  </si>
  <si>
    <t>131,58</t>
  </si>
  <si>
    <t>132,65</t>
  </si>
  <si>
    <t>161,01</t>
  </si>
  <si>
    <t>113,16</t>
  </si>
  <si>
    <t>145,97</t>
  </si>
  <si>
    <t>147,04</t>
  </si>
  <si>
    <t>178,94</t>
  </si>
  <si>
    <t>180,28</t>
  </si>
  <si>
    <t>155,27</t>
  </si>
  <si>
    <t>156,44</t>
  </si>
  <si>
    <t>160,22</t>
  </si>
  <si>
    <t>192,24</t>
  </si>
  <si>
    <t>137,20</t>
  </si>
  <si>
    <t>168,45</t>
  </si>
  <si>
    <t>179,23</t>
  </si>
  <si>
    <t>212,49</t>
  </si>
  <si>
    <t>315,90</t>
  </si>
  <si>
    <t>896,72</t>
  </si>
  <si>
    <t>910,75</t>
  </si>
  <si>
    <t>138,39</t>
  </si>
  <si>
    <t>182,13</t>
  </si>
  <si>
    <t>214,79</t>
  </si>
  <si>
    <t>179,60</t>
  </si>
  <si>
    <t>196,99</t>
  </si>
  <si>
    <t>223,34</t>
  </si>
  <si>
    <t>256,55</t>
  </si>
  <si>
    <t>220,82</t>
  </si>
  <si>
    <t>264,58</t>
  </si>
  <si>
    <t>298,30</t>
  </si>
  <si>
    <t>108,47</t>
  </si>
  <si>
    <t>1.520,69</t>
  </si>
  <si>
    <t>1.315,80</t>
  </si>
  <si>
    <t>1.501,68</t>
  </si>
  <si>
    <t>325,09</t>
  </si>
  <si>
    <t>356,20</t>
  </si>
  <si>
    <t>184,82</t>
  </si>
  <si>
    <t>271,21</t>
  </si>
  <si>
    <t>227,62</t>
  </si>
  <si>
    <t>314,01</t>
  </si>
  <si>
    <t>356,82</t>
  </si>
  <si>
    <t>136,99</t>
  </si>
  <si>
    <t>135,93</t>
  </si>
  <si>
    <t>190,20</t>
  </si>
  <si>
    <t>278,78</t>
  </si>
  <si>
    <t>46,38</t>
  </si>
  <si>
    <t>75,74</t>
  </si>
  <si>
    <t>109,94</t>
  </si>
  <si>
    <t>173,52</t>
  </si>
  <si>
    <t>232,73</t>
  </si>
  <si>
    <t>290,33</t>
  </si>
  <si>
    <t>347,18</t>
  </si>
  <si>
    <t>304,90</t>
  </si>
  <si>
    <t>272,41</t>
  </si>
  <si>
    <t>419,89</t>
  </si>
  <si>
    <t>473,59</t>
  </si>
  <si>
    <t>526,54</t>
  </si>
  <si>
    <t>388,70</t>
  </si>
  <si>
    <t>443,04</t>
  </si>
  <si>
    <t>496,66</t>
  </si>
  <si>
    <t>475,77</t>
  </si>
  <si>
    <t>89,40</t>
  </si>
  <si>
    <t>148,61</t>
  </si>
  <si>
    <t>206,20</t>
  </si>
  <si>
    <t>309,02</t>
  </si>
  <si>
    <t>220,78</t>
  </si>
  <si>
    <t>335,77</t>
  </si>
  <si>
    <t>389,47</t>
  </si>
  <si>
    <t>442,42</t>
  </si>
  <si>
    <t>304,58</t>
  </si>
  <si>
    <t>358,92</t>
  </si>
  <si>
    <t>412,54</t>
  </si>
  <si>
    <t>391,65</t>
  </si>
  <si>
    <t>54,50</t>
  </si>
  <si>
    <t>3.631,93</t>
  </si>
  <si>
    <t>80,51</t>
  </si>
  <si>
    <t>137,89</t>
  </si>
  <si>
    <t>196,25</t>
  </si>
  <si>
    <t>253,10</t>
  </si>
  <si>
    <t>379,26</t>
  </si>
  <si>
    <t>638,13</t>
  </si>
  <si>
    <t>258,91</t>
  </si>
  <si>
    <t>333,32</t>
  </si>
  <si>
    <t>217,67</t>
  </si>
  <si>
    <t>185,30</t>
  </si>
  <si>
    <t>332,66</t>
  </si>
  <si>
    <t>386,48</t>
  </si>
  <si>
    <t>439,32</t>
  </si>
  <si>
    <t>301,48</t>
  </si>
  <si>
    <t>358,13</t>
  </si>
  <si>
    <t>409,55</t>
  </si>
  <si>
    <t>237,31</t>
  </si>
  <si>
    <t>107,51</t>
  </si>
  <si>
    <t>121,96</t>
  </si>
  <si>
    <t>111,14</t>
  </si>
  <si>
    <t>163,66</t>
  </si>
  <si>
    <t>120,21</t>
  </si>
  <si>
    <t>108,82</t>
  </si>
  <si>
    <t>136,83</t>
  </si>
  <si>
    <t>164,49</t>
  </si>
  <si>
    <t>137,50</t>
  </si>
  <si>
    <t>151,30</t>
  </si>
  <si>
    <t>245,40</t>
  </si>
  <si>
    <t>281,23</t>
  </si>
  <si>
    <t>316,34</t>
  </si>
  <si>
    <t>358,95</t>
  </si>
  <si>
    <t>406,58</t>
  </si>
  <si>
    <t>448,90</t>
  </si>
  <si>
    <t>337,67</t>
  </si>
  <si>
    <t>330,87</t>
  </si>
  <si>
    <t>274,16</t>
  </si>
  <si>
    <t>290,59</t>
  </si>
  <si>
    <t>237,08</t>
  </si>
  <si>
    <t>251,23</t>
  </si>
  <si>
    <t>283,28</t>
  </si>
  <si>
    <t>269,06</t>
  </si>
  <si>
    <t>305,25</t>
  </si>
  <si>
    <t>392,72</t>
  </si>
  <si>
    <t>115,82</t>
  </si>
  <si>
    <t>196,80</t>
  </si>
  <si>
    <t>230,66</t>
  </si>
  <si>
    <t>292,58</t>
  </si>
  <si>
    <t>330,10</t>
  </si>
  <si>
    <t>354,82</t>
  </si>
  <si>
    <t>127,16</t>
  </si>
  <si>
    <t>304,55</t>
  </si>
  <si>
    <t>104,72</t>
  </si>
  <si>
    <t>131,00</t>
  </si>
  <si>
    <t>121,42</t>
  </si>
  <si>
    <t>3.253,65</t>
  </si>
  <si>
    <t>2.833,65</t>
  </si>
  <si>
    <t>365,83</t>
  </si>
  <si>
    <t>474,35</t>
  </si>
  <si>
    <t>624,70</t>
  </si>
  <si>
    <t>33,27</t>
  </si>
  <si>
    <t>25,55</t>
  </si>
  <si>
    <t>30,96</t>
  </si>
  <si>
    <t>36,32</t>
  </si>
  <si>
    <t>46,24</t>
  </si>
  <si>
    <t>47,29</t>
  </si>
  <si>
    <t>47,41</t>
  </si>
  <si>
    <t>46,91</t>
  </si>
  <si>
    <t>70,09</t>
  </si>
  <si>
    <t>117,08</t>
  </si>
  <si>
    <t>123,36</t>
  </si>
  <si>
    <t>88,44</t>
  </si>
  <si>
    <t>93,45</t>
  </si>
  <si>
    <t>82,68</t>
  </si>
  <si>
    <t>155,03</t>
  </si>
  <si>
    <t>130,97</t>
  </si>
  <si>
    <t>203,67</t>
  </si>
  <si>
    <t>194,39</t>
  </si>
  <si>
    <t>250,30</t>
  </si>
  <si>
    <t>233,72</t>
  </si>
  <si>
    <t>222,53</t>
  </si>
  <si>
    <t>80,63</t>
  </si>
  <si>
    <t>79,27</t>
  </si>
  <si>
    <t>159,57</t>
  </si>
  <si>
    <t>143,89</t>
  </si>
  <si>
    <t>256,13</t>
  </si>
  <si>
    <t>237,27</t>
  </si>
  <si>
    <t>223,33</t>
  </si>
  <si>
    <t>102,51</t>
  </si>
  <si>
    <t>92,59</t>
  </si>
  <si>
    <t>76,88</t>
  </si>
  <si>
    <t>67,75</t>
  </si>
  <si>
    <t>262,90</t>
  </si>
  <si>
    <t>216,37</t>
  </si>
  <si>
    <t>200,05</t>
  </si>
  <si>
    <t>776,42</t>
  </si>
  <si>
    <t>946,05</t>
  </si>
  <si>
    <t>369,81</t>
  </si>
  <si>
    <t>59,58</t>
  </si>
  <si>
    <t>56,85</t>
  </si>
  <si>
    <t>138,83</t>
  </si>
  <si>
    <t>68,42</t>
  </si>
  <si>
    <t>193,41</t>
  </si>
  <si>
    <t>210,75</t>
  </si>
  <si>
    <t>158,06</t>
  </si>
  <si>
    <t>199,47</t>
  </si>
  <si>
    <t>288,81</t>
  </si>
  <si>
    <t>98,27</t>
  </si>
  <si>
    <t>200,90</t>
  </si>
  <si>
    <t>237,62</t>
  </si>
  <si>
    <t>322,26</t>
  </si>
  <si>
    <t>491,29</t>
  </si>
  <si>
    <t>503,54</t>
  </si>
  <si>
    <t>135,79</t>
  </si>
  <si>
    <t>787,04</t>
  </si>
  <si>
    <t>956,67</t>
  </si>
  <si>
    <t>106,68</t>
  </si>
  <si>
    <t>46,46</t>
  </si>
  <si>
    <t>1.036,66</t>
  </si>
  <si>
    <t>1.465,23</t>
  </si>
  <si>
    <t>91,09</t>
  </si>
  <si>
    <t>112,18</t>
  </si>
  <si>
    <t>146,45</t>
  </si>
  <si>
    <t>136,37</t>
  </si>
  <si>
    <t>1.503,58</t>
  </si>
  <si>
    <t>265,70</t>
  </si>
  <si>
    <t>40,77</t>
  </si>
  <si>
    <t>101,60</t>
  </si>
  <si>
    <t>108,17</t>
  </si>
  <si>
    <t>137,61</t>
  </si>
  <si>
    <t>146,74</t>
  </si>
  <si>
    <t>63,06</t>
  </si>
  <si>
    <t>167,08</t>
  </si>
  <si>
    <t>52,62</t>
  </si>
  <si>
    <t>57,79</t>
  </si>
  <si>
    <t>173,03</t>
  </si>
  <si>
    <t>185,34</t>
  </si>
  <si>
    <t>198,20</t>
  </si>
  <si>
    <t>215,41</t>
  </si>
  <si>
    <t>113,30</t>
  </si>
  <si>
    <t>119,87</t>
  </si>
  <si>
    <t>64,72</t>
  </si>
  <si>
    <t>146,60</t>
  </si>
  <si>
    <t>155,73</t>
  </si>
  <si>
    <t>176,13</t>
  </si>
  <si>
    <t>187,35</t>
  </si>
  <si>
    <t>54,92</t>
  </si>
  <si>
    <t>59,30</t>
  </si>
  <si>
    <t>97,41</t>
  </si>
  <si>
    <t>216,53</t>
  </si>
  <si>
    <t>104,15</t>
  </si>
  <si>
    <t>233,87</t>
  </si>
  <si>
    <t>247,87</t>
  </si>
  <si>
    <t>109,05</t>
  </si>
  <si>
    <t>265,61</t>
  </si>
  <si>
    <t>281,71</t>
  </si>
  <si>
    <t>52,60</t>
  </si>
  <si>
    <t>59,86</t>
  </si>
  <si>
    <t>7,33</t>
  </si>
  <si>
    <t>33,63</t>
  </si>
  <si>
    <t>47,24</t>
  </si>
  <si>
    <t>38,39</t>
  </si>
  <si>
    <t>52,29</t>
  </si>
  <si>
    <t>107,98</t>
  </si>
  <si>
    <t>106,81</t>
  </si>
  <si>
    <t>61,95</t>
  </si>
  <si>
    <t>57,94</t>
  </si>
  <si>
    <t>110,83</t>
  </si>
  <si>
    <t>75,01</t>
  </si>
  <si>
    <t>146,16</t>
  </si>
  <si>
    <t>83,11</t>
  </si>
  <si>
    <t>88,61</t>
  </si>
  <si>
    <t>173,28</t>
  </si>
  <si>
    <t>97,31</t>
  </si>
  <si>
    <t>103,36</t>
  </si>
  <si>
    <t>190,93</t>
  </si>
  <si>
    <t>46,95</t>
  </si>
  <si>
    <t>127,75</t>
  </si>
  <si>
    <t>68,06</t>
  </si>
  <si>
    <t>73,19</t>
  </si>
  <si>
    <t>80,09</t>
  </si>
  <si>
    <t>79,56</t>
  </si>
  <si>
    <t>82,61</t>
  </si>
  <si>
    <t>126,41</t>
  </si>
  <si>
    <t>96,14</t>
  </si>
  <si>
    <t>159,97</t>
  </si>
  <si>
    <t>108,84</t>
  </si>
  <si>
    <t>185,31</t>
  </si>
  <si>
    <t>132,83</t>
  </si>
  <si>
    <t>138,49</t>
  </si>
  <si>
    <t>212,05</t>
  </si>
  <si>
    <t>79,84</t>
  </si>
  <si>
    <t>98,05</t>
  </si>
  <si>
    <t>173,44</t>
  </si>
  <si>
    <t>188,05</t>
  </si>
  <si>
    <t>262,27</t>
  </si>
  <si>
    <t>180,92</t>
  </si>
  <si>
    <t>277,86</t>
  </si>
  <si>
    <t>193,76</t>
  </si>
  <si>
    <t>267,86</t>
  </si>
  <si>
    <t>184,75</t>
  </si>
  <si>
    <t>281,43</t>
  </si>
  <si>
    <t>204,65</t>
  </si>
  <si>
    <t>266,52</t>
  </si>
  <si>
    <t>190,78</t>
  </si>
  <si>
    <t>292,14</t>
  </si>
  <si>
    <t>209,77</t>
  </si>
  <si>
    <t>282,77</t>
  </si>
  <si>
    <t>201,43</t>
  </si>
  <si>
    <t>299,61</t>
  </si>
  <si>
    <t>215,50</t>
  </si>
  <si>
    <t>288,33</t>
  </si>
  <si>
    <t>303,16</t>
  </si>
  <si>
    <t>226,40</t>
  </si>
  <si>
    <t>287,02</t>
  </si>
  <si>
    <t>211,26</t>
  </si>
  <si>
    <t>198,83</t>
  </si>
  <si>
    <t>226,74</t>
  </si>
  <si>
    <t>80,56</t>
  </si>
  <si>
    <t>65,04</t>
  </si>
  <si>
    <t>111,78</t>
  </si>
  <si>
    <t>81,51</t>
  </si>
  <si>
    <t>99,72</t>
  </si>
  <si>
    <t>107,52</t>
  </si>
  <si>
    <t>70,29</t>
  </si>
  <si>
    <t>141,88</t>
  </si>
  <si>
    <t>75,51</t>
  </si>
  <si>
    <t>78,39</t>
  </si>
  <si>
    <t>83,89</t>
  </si>
  <si>
    <t>97,51</t>
  </si>
  <si>
    <t>186,21</t>
  </si>
  <si>
    <t>93,17</t>
  </si>
  <si>
    <t>92,21</t>
  </si>
  <si>
    <t>61,36</t>
  </si>
  <si>
    <t>124,83</t>
  </si>
  <si>
    <t>64,84</t>
  </si>
  <si>
    <t>69,97</t>
  </si>
  <si>
    <t>69,90</t>
  </si>
  <si>
    <t>70,89</t>
  </si>
  <si>
    <t>162,28</t>
  </si>
  <si>
    <t>72,95</t>
  </si>
  <si>
    <t>76,00</t>
  </si>
  <si>
    <t>120,46</t>
  </si>
  <si>
    <t>96,06</t>
  </si>
  <si>
    <t>103,65</t>
  </si>
  <si>
    <t>128,07</t>
  </si>
  <si>
    <t>122,48</t>
  </si>
  <si>
    <t>33,93</t>
  </si>
  <si>
    <t>38,46</t>
  </si>
  <si>
    <t>267,04</t>
  </si>
  <si>
    <t>317,88</t>
  </si>
  <si>
    <t>82,28</t>
  </si>
  <si>
    <t>85,96</t>
  </si>
  <si>
    <t>84,60</t>
  </si>
  <si>
    <t>91,43</t>
  </si>
  <si>
    <t>383,32</t>
  </si>
  <si>
    <t>458,40</t>
  </si>
  <si>
    <t>78,52</t>
  </si>
  <si>
    <t>81,14</t>
  </si>
  <si>
    <t>105,48</t>
  </si>
  <si>
    <t>80,78</t>
  </si>
  <si>
    <t>265,31</t>
  </si>
  <si>
    <t>387,25</t>
  </si>
  <si>
    <t>275,20</t>
  </si>
  <si>
    <t>397,14</t>
  </si>
  <si>
    <t>28,57</t>
  </si>
  <si>
    <t>212,18</t>
  </si>
  <si>
    <t>288,59</t>
  </si>
  <si>
    <t>153,83</t>
  </si>
  <si>
    <t>43,57</t>
  </si>
  <si>
    <t>193,13</t>
  </si>
  <si>
    <t>101,90</t>
  </si>
  <si>
    <t>106,72</t>
  </si>
  <si>
    <t>38,92</t>
  </si>
  <si>
    <t>65,64</t>
  </si>
  <si>
    <t>78,51</t>
  </si>
  <si>
    <t>84,86</t>
  </si>
  <si>
    <t>19,77</t>
  </si>
  <si>
    <t>535,06</t>
  </si>
  <si>
    <t>527,05</t>
  </si>
  <si>
    <t>569,96</t>
  </si>
  <si>
    <t>561,43</t>
  </si>
  <si>
    <t>762,42</t>
  </si>
  <si>
    <t>743,23</t>
  </si>
  <si>
    <t>729,51</t>
  </si>
  <si>
    <t>718,51</t>
  </si>
  <si>
    <t>756,82</t>
  </si>
  <si>
    <t>706,83</t>
  </si>
  <si>
    <t>713,83</t>
  </si>
  <si>
    <t>683,35</t>
  </si>
  <si>
    <t>953,06</t>
  </si>
  <si>
    <t>552,44</t>
  </si>
  <si>
    <t>819,62</t>
  </si>
  <si>
    <t>808,06</t>
  </si>
  <si>
    <t>717,74</t>
  </si>
  <si>
    <t>718,26</t>
  </si>
  <si>
    <t>659,77</t>
  </si>
  <si>
    <t>647,37</t>
  </si>
  <si>
    <t>561,88</t>
  </si>
  <si>
    <t>549,12</t>
  </si>
  <si>
    <t>734,92</t>
  </si>
  <si>
    <t>725,32</t>
  </si>
  <si>
    <t>638,09</t>
  </si>
  <si>
    <t>621,13</t>
  </si>
  <si>
    <t>3.851,78</t>
  </si>
  <si>
    <t>3.856,10</t>
  </si>
  <si>
    <t>4.027,17</t>
  </si>
  <si>
    <t>4.025,10</t>
  </si>
  <si>
    <t>3.904,34</t>
  </si>
  <si>
    <t>3.913,23</t>
  </si>
  <si>
    <t>558,83</t>
  </si>
  <si>
    <t>495,37</t>
  </si>
  <si>
    <t>613,18</t>
  </si>
  <si>
    <t>541,30</t>
  </si>
  <si>
    <t>782,86</t>
  </si>
  <si>
    <t>717,85</t>
  </si>
  <si>
    <t>730,88</t>
  </si>
  <si>
    <t>690,05</t>
  </si>
  <si>
    <t>723,54</t>
  </si>
  <si>
    <t>722,22</t>
  </si>
  <si>
    <t>708,91</t>
  </si>
  <si>
    <t>678,18</t>
  </si>
  <si>
    <t>1.073,87</t>
  </si>
  <si>
    <t>910,93</t>
  </si>
  <si>
    <t>889,74</t>
  </si>
  <si>
    <t>816,21</t>
  </si>
  <si>
    <t>775,36</t>
  </si>
  <si>
    <t>716,37</t>
  </si>
  <si>
    <t>682,62</t>
  </si>
  <si>
    <t>692,86</t>
  </si>
  <si>
    <t>612,66</t>
  </si>
  <si>
    <t>607,88</t>
  </si>
  <si>
    <t>530,57</t>
  </si>
  <si>
    <t>816,47</t>
  </si>
  <si>
    <t>735,82</t>
  </si>
  <si>
    <t>699,74</t>
  </si>
  <si>
    <t>675,33</t>
  </si>
  <si>
    <t>621,23</t>
  </si>
  <si>
    <t>594,25</t>
  </si>
  <si>
    <t>3.808,57</t>
  </si>
  <si>
    <t>3.777,62</t>
  </si>
  <si>
    <t>3.978,34</t>
  </si>
  <si>
    <t>3.932,74</t>
  </si>
  <si>
    <t>3.931,83</t>
  </si>
  <si>
    <t>3.871,14</t>
  </si>
  <si>
    <t>3.841,58</t>
  </si>
  <si>
    <t>633,66</t>
  </si>
  <si>
    <t>683,87</t>
  </si>
  <si>
    <t>859,75</t>
  </si>
  <si>
    <t>829,86</t>
  </si>
  <si>
    <t>861,04</t>
  </si>
  <si>
    <t>814,84</t>
  </si>
  <si>
    <t>794,12</t>
  </si>
  <si>
    <t>1.066,76</t>
  </si>
  <si>
    <t>917,14</t>
  </si>
  <si>
    <t>825,70</t>
  </si>
  <si>
    <t>763,32</t>
  </si>
  <si>
    <t>669,48</t>
  </si>
  <si>
    <t>736,28</t>
  </si>
  <si>
    <t>3.937,84</t>
  </si>
  <si>
    <t>4.095,93</t>
  </si>
  <si>
    <t>3.996,61</t>
  </si>
  <si>
    <t>2.485,59</t>
  </si>
  <si>
    <t>2.486,82</t>
  </si>
  <si>
    <t>2.480,66</t>
  </si>
  <si>
    <t>2.883,05</t>
  </si>
  <si>
    <t>2.879,65</t>
  </si>
  <si>
    <t>2.876,68</t>
  </si>
  <si>
    <t>6.958,75</t>
  </si>
  <si>
    <t>6.992,20</t>
  </si>
  <si>
    <t>7.032,02</t>
  </si>
  <si>
    <t>7.712,50</t>
  </si>
  <si>
    <t>7.788,21</t>
  </si>
  <si>
    <t>7.860,32</t>
  </si>
  <si>
    <t>4.858,24</t>
  </si>
  <si>
    <t>4.895,61</t>
  </si>
  <si>
    <t>4.931,11</t>
  </si>
  <si>
    <t>2.692,41</t>
  </si>
  <si>
    <t>3.091,50</t>
  </si>
  <si>
    <t>8.039,40</t>
  </si>
  <si>
    <t>5.126,70</t>
  </si>
  <si>
    <t>7.216,02</t>
  </si>
  <si>
    <t>7.243,16</t>
  </si>
  <si>
    <t>2.534,65</t>
  </si>
  <si>
    <t>2.524,52</t>
  </si>
  <si>
    <t>1.329,71</t>
  </si>
  <si>
    <t>754,88</t>
  </si>
  <si>
    <t>838,32</t>
  </si>
  <si>
    <t>796,18</t>
  </si>
  <si>
    <t>885,51</t>
  </si>
  <si>
    <t>636,08</t>
  </si>
  <si>
    <t>762,14</t>
  </si>
  <si>
    <t>703,81</t>
  </si>
  <si>
    <t>1.169,80</t>
  </si>
  <si>
    <t>777,97</t>
  </si>
  <si>
    <t>738,40</t>
  </si>
  <si>
    <t>717,26</t>
  </si>
  <si>
    <t>781,73</t>
  </si>
  <si>
    <t>679,37</t>
  </si>
  <si>
    <t>723,38</t>
  </si>
  <si>
    <t>672,12</t>
  </si>
  <si>
    <t>649,42</t>
  </si>
  <si>
    <t>975,27</t>
  </si>
  <si>
    <t>1.034,33</t>
  </si>
  <si>
    <t>956,16</t>
  </si>
  <si>
    <t>938,96</t>
  </si>
  <si>
    <t>1.062,08</t>
  </si>
  <si>
    <t>816,12</t>
  </si>
  <si>
    <t>861,28</t>
  </si>
  <si>
    <t>811,43</t>
  </si>
  <si>
    <t>791,06</t>
  </si>
  <si>
    <t>911,63</t>
  </si>
  <si>
    <t>672,53</t>
  </si>
  <si>
    <t>744,38</t>
  </si>
  <si>
    <t>792,62</t>
  </si>
  <si>
    <t>670,95</t>
  </si>
  <si>
    <t>972,60</t>
  </si>
  <si>
    <t>48,43</t>
  </si>
  <si>
    <t>1.379,79</t>
  </si>
  <si>
    <t>997,35</t>
  </si>
  <si>
    <t>492,41</t>
  </si>
  <si>
    <t>26,22</t>
  </si>
  <si>
    <t>4,18</t>
  </si>
  <si>
    <t>78,67</t>
  </si>
  <si>
    <t>147,39</t>
  </si>
  <si>
    <t>60,08</t>
  </si>
  <si>
    <t>120,48</t>
  </si>
  <si>
    <t>128,53</t>
  </si>
  <si>
    <t>74,21</t>
  </si>
  <si>
    <t>55,59</t>
  </si>
  <si>
    <t>224,84</t>
  </si>
  <si>
    <t>145,04</t>
  </si>
  <si>
    <t>644,62</t>
  </si>
  <si>
    <t>53,03</t>
  </si>
  <si>
    <t>162,44</t>
  </si>
  <si>
    <t>99,70</t>
  </si>
  <si>
    <t>571,72</t>
  </si>
  <si>
    <t>281,92</t>
  </si>
  <si>
    <t>262,07</t>
  </si>
  <si>
    <t>123,17</t>
  </si>
  <si>
    <t>77,56</t>
  </si>
  <si>
    <t>175,84</t>
  </si>
  <si>
    <t>157,89</t>
  </si>
  <si>
    <t>287,24</t>
  </si>
  <si>
    <t>569,32</t>
  </si>
  <si>
    <t>275,76</t>
  </si>
  <si>
    <t>147,65</t>
  </si>
  <si>
    <t>585,04</t>
  </si>
  <si>
    <t>170,45</t>
  </si>
  <si>
    <t>4,33</t>
  </si>
  <si>
    <t>67,57</t>
  </si>
  <si>
    <t>48,80</t>
  </si>
  <si>
    <t>196,19</t>
  </si>
  <si>
    <t>150,61</t>
  </si>
  <si>
    <t>135,67</t>
  </si>
  <si>
    <t>99,33</t>
  </si>
  <si>
    <t>85,95</t>
  </si>
  <si>
    <t>82,24</t>
  </si>
  <si>
    <t>81,36</t>
  </si>
  <si>
    <t>81,34</t>
  </si>
  <si>
    <t>154,97</t>
  </si>
  <si>
    <t>108,44</t>
  </si>
  <si>
    <t>181,60</t>
  </si>
  <si>
    <t>209,04</t>
  </si>
  <si>
    <t>180,76</t>
  </si>
  <si>
    <t>231,25</t>
  </si>
  <si>
    <t>686,01</t>
  </si>
  <si>
    <t>255,40</t>
  </si>
  <si>
    <t>6.149,48</t>
  </si>
  <si>
    <t>6.485,17</t>
  </si>
  <si>
    <t>4.874,26</t>
  </si>
  <si>
    <t>5.240,83</t>
  </si>
  <si>
    <t>2.626,56</t>
  </si>
  <si>
    <t>4.106,09</t>
  </si>
  <si>
    <t>2.403,71</t>
  </si>
  <si>
    <t>2.557,35</t>
  </si>
  <si>
    <t>1.976,08</t>
  </si>
  <si>
    <t>2.834,05</t>
  </si>
  <si>
    <t>2.215,10</t>
  </si>
  <si>
    <t>4.113,12</t>
  </si>
  <si>
    <t>2.410,74</t>
  </si>
  <si>
    <t>2.564,38</t>
  </si>
  <si>
    <t>1.983,11</t>
  </si>
  <si>
    <t>2.841,08</t>
  </si>
  <si>
    <t>2.316,20</t>
  </si>
  <si>
    <t>1.247,07</t>
  </si>
  <si>
    <t>1.343,33</t>
  </si>
  <si>
    <t>1.293,94</t>
  </si>
  <si>
    <t>239,27</t>
  </si>
  <si>
    <t>5.247,58</t>
  </si>
  <si>
    <t>253,05</t>
  </si>
  <si>
    <t>115,15</t>
  </si>
  <si>
    <t>274,70</t>
  </si>
  <si>
    <t>120,12</t>
  </si>
  <si>
    <t>323,70</t>
  </si>
  <si>
    <t>835,53</t>
  </si>
  <si>
    <t>1.311,80</t>
  </si>
  <si>
    <t>30,53</t>
  </si>
  <si>
    <t>30,56</t>
  </si>
  <si>
    <t>155,65</t>
  </si>
  <si>
    <t>35,07</t>
  </si>
  <si>
    <t>129,17</t>
  </si>
  <si>
    <t>175,89</t>
  </si>
  <si>
    <t>42,94</t>
  </si>
  <si>
    <t>158,72</t>
  </si>
  <si>
    <t>4.508,44</t>
  </si>
  <si>
    <t>5.341,99</t>
  </si>
  <si>
    <t>3.509,66</t>
  </si>
  <si>
    <t>3.957,22</t>
  </si>
  <si>
    <t>4.264,31</t>
  </si>
  <si>
    <t>3.121,68</t>
  </si>
  <si>
    <t>3.156,45</t>
  </si>
  <si>
    <t>19.745,97</t>
  </si>
  <si>
    <t>3.007,39</t>
  </si>
  <si>
    <t>22.424,60</t>
  </si>
  <si>
    <t>30.520,10</t>
  </si>
  <si>
    <t>14.578,69</t>
  </si>
  <si>
    <t>20.554,59</t>
  </si>
  <si>
    <t>27.057,62</t>
  </si>
  <si>
    <t>6.112,73</t>
  </si>
  <si>
    <t>7.476,07</t>
  </si>
  <si>
    <t>5.626,16</t>
  </si>
  <si>
    <t>223,38</t>
  </si>
  <si>
    <t>254,25</t>
  </si>
  <si>
    <t>347,56</t>
  </si>
  <si>
    <t>92,93</t>
  </si>
  <si>
    <t>164,19</t>
  </si>
  <si>
    <t>117,48</t>
  </si>
  <si>
    <t>207,61</t>
  </si>
  <si>
    <t>177,07</t>
  </si>
  <si>
    <t>199,77</t>
  </si>
  <si>
    <t>2.979,20</t>
  </si>
  <si>
    <t>28.561,43</t>
  </si>
  <si>
    <t>20.573,22</t>
  </si>
  <si>
    <t>19.979,14</t>
  </si>
  <si>
    <t>22.493,70</t>
  </si>
  <si>
    <t>4.457,98</t>
  </si>
  <si>
    <t>4.563,98</t>
  </si>
  <si>
    <t>58,58</t>
  </si>
  <si>
    <t>25,04</t>
  </si>
  <si>
    <t>71,35</t>
  </si>
  <si>
    <t>38,26</t>
  </si>
  <si>
    <t>101,84</t>
  </si>
  <si>
    <t>273,77</t>
  </si>
  <si>
    <t>748,29</t>
  </si>
  <si>
    <t>109,10</t>
  </si>
  <si>
    <t>38,55</t>
  </si>
  <si>
    <t>78,07</t>
  </si>
  <si>
    <t>32,18</t>
  </si>
  <si>
    <t>43,69</t>
  </si>
  <si>
    <t>53,06</t>
  </si>
  <si>
    <t>31,10</t>
  </si>
  <si>
    <t>35,58</t>
  </si>
  <si>
    <t>176,74</t>
  </si>
  <si>
    <t>3.431,30</t>
  </si>
  <si>
    <t>3.651,30</t>
  </si>
  <si>
    <t>3.667,15</t>
  </si>
  <si>
    <t>3.491,31</t>
  </si>
  <si>
    <t>3.865,88</t>
  </si>
  <si>
    <t>3.607,45</t>
  </si>
  <si>
    <t>3.702,45</t>
  </si>
  <si>
    <t>4.751,12</t>
  </si>
  <si>
    <t>4.759,28</t>
  </si>
  <si>
    <t>3.436,78</t>
  </si>
  <si>
    <t>3.489,93</t>
  </si>
  <si>
    <t>3.865,15</t>
  </si>
  <si>
    <t>3.852,59</t>
  </si>
  <si>
    <t>3.580,41</t>
  </si>
  <si>
    <t>2.735,60</t>
  </si>
  <si>
    <t>7.918,68</t>
  </si>
  <si>
    <t>4.759,93</t>
  </si>
  <si>
    <t>4.156,50</t>
  </si>
  <si>
    <t>4.422,37</t>
  </si>
  <si>
    <t>4.550,72</t>
  </si>
  <si>
    <t>4.522,65</t>
  </si>
  <si>
    <t>4.717,85</t>
  </si>
  <si>
    <t>3.668,46</t>
  </si>
  <si>
    <t>4.818,04</t>
  </si>
  <si>
    <t>5.328,00</t>
  </si>
  <si>
    <t>4.639,36</t>
  </si>
  <si>
    <t>30.690,48</t>
  </si>
  <si>
    <t>28.899,28</t>
  </si>
  <si>
    <t>27.614,23</t>
  </si>
  <si>
    <t>4.660,07</t>
  </si>
  <si>
    <t>4.411,29</t>
  </si>
  <si>
    <t>4.384,15</t>
  </si>
  <si>
    <t>3.867,37</t>
  </si>
  <si>
    <t>2.535,24</t>
  </si>
  <si>
    <t>4.839,29</t>
  </si>
  <si>
    <t>4.470,69</t>
  </si>
  <si>
    <t>5.945,10</t>
  </si>
  <si>
    <t>4.913,16</t>
  </si>
  <si>
    <t>4.258,44</t>
  </si>
  <si>
    <t>4.026,82</t>
  </si>
  <si>
    <t>4.970,05</t>
  </si>
  <si>
    <t>4.644,47</t>
  </si>
  <si>
    <t>5.354,46</t>
  </si>
  <si>
    <t>3.122,90</t>
  </si>
  <si>
    <t>4.273,55</t>
  </si>
  <si>
    <t>4.192,83</t>
  </si>
  <si>
    <t>3.388,20</t>
  </si>
  <si>
    <t>4.724,89</t>
  </si>
  <si>
    <t>4.249,71</t>
  </si>
  <si>
    <t>4.137,42</t>
  </si>
  <si>
    <t>4.363,63</t>
  </si>
  <si>
    <t>4.990,75</t>
  </si>
  <si>
    <t>5.378,94</t>
  </si>
  <si>
    <t>4.038,11</t>
  </si>
  <si>
    <t>4.939,79</t>
  </si>
  <si>
    <t>4.924,17</t>
  </si>
  <si>
    <t>3.819,31</t>
  </si>
  <si>
    <t>4.019,32</t>
  </si>
  <si>
    <t>5.058,11</t>
  </si>
  <si>
    <t>5.969,82</t>
  </si>
  <si>
    <t>4.779,38</t>
  </si>
  <si>
    <t>5.188,35</t>
  </si>
  <si>
    <t>4.103,74</t>
  </si>
  <si>
    <t>4.350,08</t>
  </si>
  <si>
    <t>4.602,28</t>
  </si>
  <si>
    <t>5.054,85</t>
  </si>
  <si>
    <t>4.777,52</t>
  </si>
  <si>
    <t>5.012,43</t>
  </si>
  <si>
    <t>4.911,27</t>
  </si>
  <si>
    <t>4.259,79</t>
  </si>
  <si>
    <t>3.838,40</t>
  </si>
  <si>
    <t>3.598,21</t>
  </si>
  <si>
    <t>4.909,91</t>
  </si>
  <si>
    <t>5.520,64</t>
  </si>
  <si>
    <t>3.976,81</t>
  </si>
  <si>
    <t>5.538,77</t>
  </si>
  <si>
    <t>4.676,38</t>
  </si>
  <si>
    <t>4.351,17</t>
  </si>
  <si>
    <t>3.568,56</t>
  </si>
  <si>
    <t>Data: agosto de 2023</t>
  </si>
  <si>
    <t>Serviços de Apoio</t>
  </si>
  <si>
    <t>Serviços Contínuos</t>
  </si>
  <si>
    <t>Serviços Sob Demanda</t>
  </si>
  <si>
    <t>Compressor Scroll próprio para R-410A de Capacidade 4,5 TR para VRF Trane 4TVH0096BK0</t>
  </si>
  <si>
    <t>Contato auxiliar para contator tripolar</t>
  </si>
  <si>
    <t>Manutenção do Sistema de Ar-condicionado</t>
  </si>
  <si>
    <t>CÓD SINFRA</t>
  </si>
  <si>
    <t>02.01</t>
  </si>
  <si>
    <t>Materiais e Insumos</t>
  </si>
  <si>
    <t>03.01</t>
  </si>
  <si>
    <t>03.01.01</t>
  </si>
  <si>
    <t>03.01.02</t>
  </si>
  <si>
    <t>03.01.03</t>
  </si>
  <si>
    <t>03.01.04</t>
  </si>
  <si>
    <t>Sistema de Ponto Biométrico</t>
  </si>
  <si>
    <t>04.01</t>
  </si>
  <si>
    <t>Ferramentas</t>
  </si>
  <si>
    <t>05.01</t>
  </si>
  <si>
    <t>06.01</t>
  </si>
  <si>
    <t>FATOR DE UTILIZAÇÃO</t>
  </si>
  <si>
    <t>03.02</t>
  </si>
  <si>
    <t>03.02.01</t>
  </si>
  <si>
    <t>03.02.02</t>
  </si>
  <si>
    <t>03.02.03</t>
  </si>
  <si>
    <t>03.02.04</t>
  </si>
  <si>
    <t>03.02.05</t>
  </si>
  <si>
    <t>03.02.06</t>
  </si>
  <si>
    <t>03.02.07</t>
  </si>
  <si>
    <t>03.02.08</t>
  </si>
  <si>
    <t>03.02.09</t>
  </si>
  <si>
    <t>03.02.10</t>
  </si>
  <si>
    <t>03.02.11</t>
  </si>
  <si>
    <t>03.02.12</t>
  </si>
  <si>
    <t>03.02.13</t>
  </si>
  <si>
    <t>03.02.14</t>
  </si>
  <si>
    <t>03.02.15</t>
  </si>
  <si>
    <t>03.02.16</t>
  </si>
  <si>
    <t>03.02.17</t>
  </si>
  <si>
    <t>03.02.18</t>
  </si>
  <si>
    <t>03.02.19</t>
  </si>
  <si>
    <t>03.02.20</t>
  </si>
  <si>
    <t>03.02.21</t>
  </si>
  <si>
    <t>03.02.22</t>
  </si>
  <si>
    <t>02</t>
  </si>
  <si>
    <t>03</t>
  </si>
  <si>
    <t>04</t>
  </si>
  <si>
    <t>05</t>
  </si>
  <si>
    <t>06</t>
  </si>
  <si>
    <t>06.02</t>
  </si>
  <si>
    <t>06.03</t>
  </si>
  <si>
    <t>06.04</t>
  </si>
  <si>
    <t>06.05</t>
  </si>
  <si>
    <t>06.06</t>
  </si>
  <si>
    <t>06.07</t>
  </si>
  <si>
    <t>06.08</t>
  </si>
  <si>
    <t>06.09</t>
  </si>
  <si>
    <t>06.10</t>
  </si>
  <si>
    <t>06.11</t>
  </si>
  <si>
    <t>06.12</t>
  </si>
  <si>
    <t>06.13</t>
  </si>
  <si>
    <t>06.14</t>
  </si>
  <si>
    <t>06.15</t>
  </si>
  <si>
    <t>06.16</t>
  </si>
  <si>
    <t>06.17</t>
  </si>
  <si>
    <t>06.18</t>
  </si>
  <si>
    <t>06.19</t>
  </si>
  <si>
    <t>06.20</t>
  </si>
  <si>
    <t>06.21</t>
  </si>
  <si>
    <t>06.22</t>
  </si>
  <si>
    <t>06.23</t>
  </si>
  <si>
    <t>06.24</t>
  </si>
  <si>
    <t>06.25</t>
  </si>
  <si>
    <t>06.26</t>
  </si>
  <si>
    <t>06.27</t>
  </si>
  <si>
    <t>06.28</t>
  </si>
  <si>
    <t>06.29</t>
  </si>
  <si>
    <t>06.30</t>
  </si>
  <si>
    <t>06.31</t>
  </si>
  <si>
    <t>06.32</t>
  </si>
  <si>
    <t>06.33</t>
  </si>
  <si>
    <t>06.34</t>
  </si>
  <si>
    <t>06.35</t>
  </si>
  <si>
    <t>06.36</t>
  </si>
  <si>
    <t>06.37</t>
  </si>
  <si>
    <t>06.38</t>
  </si>
  <si>
    <t>06.39</t>
  </si>
  <si>
    <t>06.40</t>
  </si>
  <si>
    <t>06.41</t>
  </si>
  <si>
    <t>06.42</t>
  </si>
  <si>
    <t>06.43</t>
  </si>
  <si>
    <t>06.44</t>
  </si>
  <si>
    <t>06.45</t>
  </si>
  <si>
    <t>06.46</t>
  </si>
  <si>
    <t>06.47</t>
  </si>
  <si>
    <t>06.48</t>
  </si>
  <si>
    <t>06.49</t>
  </si>
  <si>
    <t>06.50</t>
  </si>
  <si>
    <t>06.51</t>
  </si>
  <si>
    <t>06.52</t>
  </si>
  <si>
    <t>06.53</t>
  </si>
  <si>
    <t>06.54</t>
  </si>
  <si>
    <t>06.55</t>
  </si>
  <si>
    <t>06.56</t>
  </si>
  <si>
    <t>06.57</t>
  </si>
  <si>
    <t>06.58</t>
  </si>
  <si>
    <t>06.59</t>
  </si>
  <si>
    <t>06.60</t>
  </si>
  <si>
    <t>06.61</t>
  </si>
  <si>
    <t>06.62</t>
  </si>
  <si>
    <t>06.63</t>
  </si>
  <si>
    <t>06.64</t>
  </si>
  <si>
    <t>06.65</t>
  </si>
  <si>
    <t>06.66</t>
  </si>
  <si>
    <t>06.67</t>
  </si>
  <si>
    <t>06.68</t>
  </si>
  <si>
    <t>06.69</t>
  </si>
  <si>
    <t>06.70</t>
  </si>
  <si>
    <t>06.71</t>
  </si>
  <si>
    <t>06.72</t>
  </si>
  <si>
    <t>06.73</t>
  </si>
  <si>
    <t>06.74</t>
  </si>
  <si>
    <t>06.75</t>
  </si>
  <si>
    <t>06.76</t>
  </si>
  <si>
    <t>06.77</t>
  </si>
  <si>
    <t>06.78</t>
  </si>
  <si>
    <t>06.79</t>
  </si>
  <si>
    <t>06.80</t>
  </si>
  <si>
    <t>06.81</t>
  </si>
  <si>
    <t>06.82</t>
  </si>
  <si>
    <t>06.83</t>
  </si>
  <si>
    <t>06.84</t>
  </si>
  <si>
    <t>06.85</t>
  </si>
  <si>
    <t>06.86</t>
  </si>
  <si>
    <t>06.87</t>
  </si>
  <si>
    <t>06.88</t>
  </si>
  <si>
    <t>06.89</t>
  </si>
  <si>
    <t>06.90</t>
  </si>
  <si>
    <t>06.91</t>
  </si>
  <si>
    <t>06.92</t>
  </si>
  <si>
    <t>06.93</t>
  </si>
  <si>
    <t>06.94</t>
  </si>
  <si>
    <t>06.95</t>
  </si>
  <si>
    <t>06.96</t>
  </si>
  <si>
    <t>06.97</t>
  </si>
  <si>
    <t>06.98</t>
  </si>
  <si>
    <t>06.99</t>
  </si>
  <si>
    <t>06.100</t>
  </si>
  <si>
    <t>06.101</t>
  </si>
  <si>
    <t>06.102</t>
  </si>
  <si>
    <t>06.103</t>
  </si>
  <si>
    <t>06.104</t>
  </si>
  <si>
    <t>06.105</t>
  </si>
  <si>
    <t>06.106</t>
  </si>
  <si>
    <t>06.107</t>
  </si>
  <si>
    <t>06.108</t>
  </si>
  <si>
    <t>06.109</t>
  </si>
  <si>
    <t>06.110</t>
  </si>
  <si>
    <t>06.111</t>
  </si>
  <si>
    <t>06.112</t>
  </si>
  <si>
    <t>06.113</t>
  </si>
  <si>
    <t>06.114</t>
  </si>
  <si>
    <t>06.115</t>
  </si>
  <si>
    <t>06.116</t>
  </si>
  <si>
    <t>06.117</t>
  </si>
  <si>
    <t>06.118</t>
  </si>
  <si>
    <t>06.119</t>
  </si>
  <si>
    <t>06.120</t>
  </si>
  <si>
    <t>06.121</t>
  </si>
  <si>
    <t>06.122</t>
  </si>
  <si>
    <t>06.123</t>
  </si>
  <si>
    <t>06.124</t>
  </si>
  <si>
    <t>06.125</t>
  </si>
  <si>
    <t>06.126</t>
  </si>
  <si>
    <t>06.127</t>
  </si>
  <si>
    <t>06.128</t>
  </si>
  <si>
    <t>06.129</t>
  </si>
  <si>
    <t>06.130</t>
  </si>
  <si>
    <t>06.131</t>
  </si>
  <si>
    <t>06.132</t>
  </si>
  <si>
    <t>06.133</t>
  </si>
  <si>
    <t>06.134</t>
  </si>
  <si>
    <t>06.135</t>
  </si>
  <si>
    <t>06.136</t>
  </si>
  <si>
    <t>06.137</t>
  </si>
  <si>
    <t>06.138</t>
  </si>
  <si>
    <t>06.139</t>
  </si>
  <si>
    <t>06.140</t>
  </si>
  <si>
    <t>06.141</t>
  </si>
  <si>
    <t>06.142</t>
  </si>
  <si>
    <t>06.143</t>
  </si>
  <si>
    <t>06.144</t>
  </si>
  <si>
    <t>06.145</t>
  </si>
  <si>
    <t>06.146</t>
  </si>
  <si>
    <t>06.147</t>
  </si>
  <si>
    <t>06.148</t>
  </si>
  <si>
    <t>06.149</t>
  </si>
  <si>
    <t>06.150</t>
  </si>
  <si>
    <t>06.151</t>
  </si>
  <si>
    <t>06.152</t>
  </si>
  <si>
    <t>06.153</t>
  </si>
  <si>
    <t>06.154</t>
  </si>
  <si>
    <t>06.155</t>
  </si>
  <si>
    <t>06.156</t>
  </si>
  <si>
    <t>06.157</t>
  </si>
  <si>
    <t>06.158</t>
  </si>
  <si>
    <t>06.159</t>
  </si>
  <si>
    <t>06.160</t>
  </si>
  <si>
    <t>06.161</t>
  </si>
  <si>
    <t>06.162</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</si>
  <si>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</si>
  <si>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</si>
  <si>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</si>
  <si>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</si>
  <si>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</si>
  <si>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</si>
  <si>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</si>
  <si>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</si>
  <si>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</si>
  <si>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</si>
  <si>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</si>
  <si>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</si>
  <si>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</si>
  <si>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</si>
  <si>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</si>
  <si>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</si>
  <si>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</si>
  <si>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</si>
  <si>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</si>
  <si>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</si>
  <si>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</si>
  <si>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</si>
  <si>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</si>
  <si>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</si>
  <si>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</si>
  <si>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</si>
  <si>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05.28</t>
  </si>
  <si>
    <t>05.29</t>
  </si>
  <si>
    <t>05.30</t>
  </si>
  <si>
    <t>05.31</t>
  </si>
  <si>
    <t>05.32</t>
  </si>
  <si>
    <t>05.33</t>
  </si>
  <si>
    <t>05.34</t>
  </si>
  <si>
    <t>05.35</t>
  </si>
  <si>
    <t>05.36</t>
  </si>
  <si>
    <t>05.37</t>
  </si>
  <si>
    <t>05.38</t>
  </si>
  <si>
    <t>05.39</t>
  </si>
  <si>
    <t>05.40</t>
  </si>
  <si>
    <t>05.41</t>
  </si>
  <si>
    <t>05.42</t>
  </si>
  <si>
    <t>05.43</t>
  </si>
  <si>
    <t>05.44</t>
  </si>
  <si>
    <t>05.45</t>
  </si>
  <si>
    <t>05.46</t>
  </si>
  <si>
    <t>05.47</t>
  </si>
  <si>
    <t>05.48</t>
  </si>
  <si>
    <t>05.49</t>
  </si>
  <si>
    <t>05.50</t>
  </si>
  <si>
    <t>05.51</t>
  </si>
  <si>
    <t>05.52</t>
  </si>
  <si>
    <t>05.53</t>
  </si>
  <si>
    <t>05.54</t>
  </si>
  <si>
    <t>05.55</t>
  </si>
  <si>
    <t>05.56</t>
  </si>
  <si>
    <t>05.57</t>
  </si>
  <si>
    <t>05.58</t>
  </si>
  <si>
    <t>05.59</t>
  </si>
  <si>
    <t>05.60</t>
  </si>
  <si>
    <t>05.61</t>
  </si>
  <si>
    <t>05.62</t>
  </si>
  <si>
    <t>05.63</t>
  </si>
  <si>
    <t>05.64</t>
  </si>
  <si>
    <t>05.65</t>
  </si>
  <si>
    <t>05.66</t>
  </si>
  <si>
    <t>05.67</t>
  </si>
  <si>
    <t>05.68</t>
  </si>
  <si>
    <t>05.69</t>
  </si>
  <si>
    <t>05.70</t>
  </si>
  <si>
    <t>05.71</t>
  </si>
  <si>
    <t>05.72</t>
  </si>
  <si>
    <t>05.73</t>
  </si>
  <si>
    <t>05.74</t>
  </si>
  <si>
    <t>05.75</t>
  </si>
  <si>
    <t>05.76</t>
  </si>
  <si>
    <t>05.77</t>
  </si>
  <si>
    <t>05.78</t>
  </si>
  <si>
    <t>05.79</t>
  </si>
  <si>
    <t>05.80</t>
  </si>
  <si>
    <t>05.81</t>
  </si>
  <si>
    <t>05.82</t>
  </si>
  <si>
    <t>05.83</t>
  </si>
  <si>
    <t>05.84</t>
  </si>
  <si>
    <t>05.85</t>
  </si>
  <si>
    <t>05.86</t>
  </si>
  <si>
    <t>05.87</t>
  </si>
  <si>
    <t>05.88</t>
  </si>
  <si>
    <t>05.89</t>
  </si>
  <si>
    <t>05.90</t>
  </si>
  <si>
    <t>05.91</t>
  </si>
  <si>
    <t>05.92</t>
  </si>
  <si>
    <t>05.93</t>
  </si>
  <si>
    <t>05.94</t>
  </si>
  <si>
    <t>05.95</t>
  </si>
  <si>
    <t>05.96</t>
  </si>
  <si>
    <t>05.97</t>
  </si>
  <si>
    <t>05.98</t>
  </si>
  <si>
    <t>05.99</t>
  </si>
  <si>
    <t>05.100</t>
  </si>
  <si>
    <t>05.101</t>
  </si>
  <si>
    <t>05.102</t>
  </si>
  <si>
    <t>05.103</t>
  </si>
  <si>
    <t>05.104</t>
  </si>
  <si>
    <t>05.105</t>
  </si>
  <si>
    <t>05.106</t>
  </si>
  <si>
    <t>05.107</t>
  </si>
  <si>
    <t>05.108</t>
  </si>
  <si>
    <t>05.109</t>
  </si>
  <si>
    <t>05.110</t>
  </si>
  <si>
    <t>05.111</t>
  </si>
  <si>
    <t>05.112</t>
  </si>
  <si>
    <t>05.113</t>
  </si>
  <si>
    <t>05.114</t>
  </si>
  <si>
    <t>05.115</t>
  </si>
  <si>
    <t>05.116</t>
  </si>
  <si>
    <t>05.117</t>
  </si>
  <si>
    <t>05.118</t>
  </si>
  <si>
    <t>05.119</t>
  </si>
  <si>
    <t>05.120</t>
  </si>
  <si>
    <t>05.121</t>
  </si>
  <si>
    <t>05.122</t>
  </si>
  <si>
    <t>05.123</t>
  </si>
  <si>
    <t>05.124</t>
  </si>
  <si>
    <t>05.125</t>
  </si>
  <si>
    <t>05.126</t>
  </si>
  <si>
    <t>05.127</t>
  </si>
  <si>
    <t>05.128</t>
  </si>
  <si>
    <t>05.129</t>
  </si>
  <si>
    <t>05.130</t>
  </si>
  <si>
    <t>05.131</t>
  </si>
  <si>
    <t>05.132</t>
  </si>
  <si>
    <t>05.133</t>
  </si>
  <si>
    <t>05.134</t>
  </si>
  <si>
    <t>05.135</t>
  </si>
  <si>
    <t>05.136</t>
  </si>
  <si>
    <t>05.137</t>
  </si>
  <si>
    <t>05.138</t>
  </si>
  <si>
    <t>05.139</t>
  </si>
  <si>
    <t>05.140</t>
  </si>
  <si>
    <t>05.141</t>
  </si>
  <si>
    <t>05.142</t>
  </si>
  <si>
    <t>05.143</t>
  </si>
  <si>
    <t>05.144</t>
  </si>
  <si>
    <t>05.145</t>
  </si>
  <si>
    <t>05.146</t>
  </si>
  <si>
    <t>05.147</t>
  </si>
  <si>
    <t>05.148</t>
  </si>
  <si>
    <t>05.149</t>
  </si>
  <si>
    <t>05.150</t>
  </si>
  <si>
    <t>05.151</t>
  </si>
  <si>
    <t>05.152</t>
  </si>
  <si>
    <t>05.153</t>
  </si>
  <si>
    <t>05.154</t>
  </si>
  <si>
    <t>05.155</t>
  </si>
  <si>
    <t>05.156</t>
  </si>
  <si>
    <t>05.157</t>
  </si>
  <si>
    <t>05.158</t>
  </si>
  <si>
    <t>05.159</t>
  </si>
  <si>
    <t>05.160</t>
  </si>
  <si>
    <t>05.161</t>
  </si>
  <si>
    <t>05.162</t>
  </si>
  <si>
    <t>05.163</t>
  </si>
  <si>
    <t>05.164</t>
  </si>
  <si>
    <t>05.165</t>
  </si>
  <si>
    <t>05.166</t>
  </si>
  <si>
    <t>05.167</t>
  </si>
  <si>
    <t>05.168</t>
  </si>
  <si>
    <t>05.169</t>
  </si>
  <si>
    <t>05.170</t>
  </si>
  <si>
    <t>05.171</t>
  </si>
  <si>
    <t>05.172</t>
  </si>
  <si>
    <t>05.173</t>
  </si>
  <si>
    <t>05.174</t>
  </si>
  <si>
    <t>05.175</t>
  </si>
  <si>
    <t>05.176</t>
  </si>
  <si>
    <t>05.177</t>
  </si>
  <si>
    <t>05.178</t>
  </si>
  <si>
    <t>05.179</t>
  </si>
  <si>
    <t>05.180</t>
  </si>
  <si>
    <t>05.181</t>
  </si>
  <si>
    <t>05.182</t>
  </si>
  <si>
    <t>05.183</t>
  </si>
  <si>
    <t>05.184</t>
  </si>
  <si>
    <t>05.185</t>
  </si>
  <si>
    <t>05.186</t>
  </si>
  <si>
    <t>05.187</t>
  </si>
  <si>
    <t>05.188</t>
  </si>
  <si>
    <t>05.189</t>
  </si>
  <si>
    <t>05.190</t>
  </si>
  <si>
    <t>05.191</t>
  </si>
  <si>
    <t>05.192</t>
  </si>
  <si>
    <t>05.193</t>
  </si>
  <si>
    <t>05.194</t>
  </si>
  <si>
    <t>05.195</t>
  </si>
  <si>
    <t>05.196</t>
  </si>
  <si>
    <t>05.197</t>
  </si>
  <si>
    <t>05.198</t>
  </si>
  <si>
    <t>05.199</t>
  </si>
  <si>
    <t>05.200</t>
  </si>
  <si>
    <t>05.201</t>
  </si>
  <si>
    <t>05.202</t>
  </si>
  <si>
    <t>05.203</t>
  </si>
  <si>
    <t>05.204</t>
  </si>
  <si>
    <t>05.205</t>
  </si>
  <si>
    <t>05.206</t>
  </si>
  <si>
    <t>05.207</t>
  </si>
  <si>
    <t>05.208</t>
  </si>
  <si>
    <t>05.209</t>
  </si>
  <si>
    <t>05.210</t>
  </si>
  <si>
    <t>05.211</t>
  </si>
  <si>
    <t>05.212</t>
  </si>
  <si>
    <t>05.213</t>
  </si>
  <si>
    <t>05.214</t>
  </si>
  <si>
    <t>05.215</t>
  </si>
  <si>
    <t>05.216</t>
  </si>
  <si>
    <t>05.217</t>
  </si>
  <si>
    <t>05.218</t>
  </si>
  <si>
    <t>05.219</t>
  </si>
  <si>
    <t>05.220</t>
  </si>
  <si>
    <t>05.221</t>
  </si>
  <si>
    <t>05.222</t>
  </si>
  <si>
    <t>05.223</t>
  </si>
  <si>
    <t>05.224</t>
  </si>
  <si>
    <t>05.225</t>
  </si>
  <si>
    <t>05.226</t>
  </si>
  <si>
    <t>05.227</t>
  </si>
  <si>
    <t>05.228</t>
  </si>
  <si>
    <t>05.229</t>
  </si>
  <si>
    <t>05.230</t>
  </si>
  <si>
    <t>05.231</t>
  </si>
  <si>
    <t>05.232</t>
  </si>
  <si>
    <t>05.233</t>
  </si>
  <si>
    <t>05.234</t>
  </si>
  <si>
    <t>05.235</t>
  </si>
  <si>
    <t>05.236</t>
  </si>
  <si>
    <t>05.237</t>
  </si>
  <si>
    <t>05.238</t>
  </si>
  <si>
    <t>05.239</t>
  </si>
  <si>
    <t>05.240</t>
  </si>
  <si>
    <t>05.241</t>
  </si>
  <si>
    <t>05.242</t>
  </si>
  <si>
    <t>05.243</t>
  </si>
  <si>
    <t>05.244</t>
  </si>
  <si>
    <t>05.245</t>
  </si>
  <si>
    <t>05.246</t>
  </si>
  <si>
    <t>05.247</t>
  </si>
  <si>
    <t>05.248</t>
  </si>
  <si>
    <t>05.249</t>
  </si>
  <si>
    <t>05.250</t>
  </si>
  <si>
    <t>05.251</t>
  </si>
  <si>
    <t>05.252</t>
  </si>
  <si>
    <t>05.253</t>
  </si>
  <si>
    <t>05.254</t>
  </si>
  <si>
    <t>05.255</t>
  </si>
  <si>
    <t>05.256</t>
  </si>
  <si>
    <t>05.257</t>
  </si>
  <si>
    <t>05.258</t>
  </si>
  <si>
    <t>05.259</t>
  </si>
  <si>
    <t>05.260</t>
  </si>
  <si>
    <t>05.261</t>
  </si>
  <si>
    <t>05.262</t>
  </si>
  <si>
    <t>05.263</t>
  </si>
  <si>
    <t>05.264</t>
  </si>
  <si>
    <t>05.265</t>
  </si>
  <si>
    <t>05.266</t>
  </si>
  <si>
    <t>05.267</t>
  </si>
  <si>
    <t>05.268</t>
  </si>
  <si>
    <t>05.269</t>
  </si>
  <si>
    <t>05.270</t>
  </si>
  <si>
    <t>05.271</t>
  </si>
  <si>
    <t>05.272</t>
  </si>
  <si>
    <t>05.273</t>
  </si>
  <si>
    <t>05.274</t>
  </si>
  <si>
    <t>05.275</t>
  </si>
  <si>
    <t>05.276</t>
  </si>
  <si>
    <t>05.277</t>
  </si>
  <si>
    <t>05.278</t>
  </si>
  <si>
    <t>05.279</t>
  </si>
  <si>
    <t>05.280</t>
  </si>
  <si>
    <t>05.281</t>
  </si>
  <si>
    <t>05.282</t>
  </si>
  <si>
    <t>05.283</t>
  </si>
  <si>
    <t>05.284</t>
  </si>
  <si>
    <t>05.285</t>
  </si>
  <si>
    <t>05.286</t>
  </si>
  <si>
    <t>05.287</t>
  </si>
  <si>
    <t>05.288</t>
  </si>
  <si>
    <t>05.289</t>
  </si>
  <si>
    <t>05.290</t>
  </si>
  <si>
    <t>05.291</t>
  </si>
  <si>
    <t>05.292</t>
  </si>
  <si>
    <t>05.293</t>
  </si>
  <si>
    <t>05.294</t>
  </si>
  <si>
    <t>05.295</t>
  </si>
  <si>
    <t>05.296</t>
  </si>
  <si>
    <t>05.297</t>
  </si>
  <si>
    <t>05.298</t>
  </si>
  <si>
    <t>05.299</t>
  </si>
  <si>
    <t>05.300</t>
  </si>
  <si>
    <t>05.301</t>
  </si>
  <si>
    <t>05.302</t>
  </si>
  <si>
    <t>05.303</t>
  </si>
  <si>
    <t>05.304</t>
  </si>
  <si>
    <t>05.305</t>
  </si>
  <si>
    <t>05.306</t>
  </si>
  <si>
    <t>05.307</t>
  </si>
  <si>
    <t>05.308</t>
  </si>
  <si>
    <t>05.309</t>
  </si>
  <si>
    <t>05.310</t>
  </si>
  <si>
    <t>05.311</t>
  </si>
  <si>
    <t>05.312</t>
  </si>
  <si>
    <t>05.313</t>
  </si>
  <si>
    <t>05.314</t>
  </si>
  <si>
    <t>05.315</t>
  </si>
  <si>
    <t>05.316</t>
  </si>
  <si>
    <t>05.317</t>
  </si>
  <si>
    <t>05.318</t>
  </si>
  <si>
    <t>05.319</t>
  </si>
  <si>
    <t>05.320</t>
  </si>
  <si>
    <t>05.321</t>
  </si>
  <si>
    <t>05.322</t>
  </si>
  <si>
    <t>05.323</t>
  </si>
  <si>
    <t>05.324</t>
  </si>
  <si>
    <t>05.325</t>
  </si>
  <si>
    <t>05.326</t>
  </si>
  <si>
    <t>05.327</t>
  </si>
  <si>
    <t>05.328</t>
  </si>
  <si>
    <t>05.329</t>
  </si>
  <si>
    <t>05.330</t>
  </si>
  <si>
    <t>05.331</t>
  </si>
  <si>
    <t>05.332</t>
  </si>
  <si>
    <t>05.333</t>
  </si>
  <si>
    <t>05.334</t>
  </si>
  <si>
    <t>05.335</t>
  </si>
  <si>
    <t>05.336</t>
  </si>
  <si>
    <t>05.337</t>
  </si>
  <si>
    <t>05.338</t>
  </si>
  <si>
    <t>05.339</t>
  </si>
  <si>
    <t>05.340</t>
  </si>
  <si>
    <t>05.341</t>
  </si>
  <si>
    <t>05.342</t>
  </si>
  <si>
    <t>05.343</t>
  </si>
  <si>
    <t>05.344</t>
  </si>
  <si>
    <t>05.345</t>
  </si>
  <si>
    <t>05.346</t>
  </si>
  <si>
    <t>05.347</t>
  </si>
  <si>
    <t>05.348</t>
  </si>
  <si>
    <t>05.349</t>
  </si>
  <si>
    <t>05.350</t>
  </si>
  <si>
    <t>05.351</t>
  </si>
  <si>
    <t>05.352</t>
  </si>
  <si>
    <t>05.353</t>
  </si>
  <si>
    <t>05.354</t>
  </si>
  <si>
    <t>05.355</t>
  </si>
  <si>
    <t>05.356</t>
  </si>
  <si>
    <t>05.357</t>
  </si>
  <si>
    <t>05.358</t>
  </si>
  <si>
    <t>05.359</t>
  </si>
  <si>
    <t>05.360</t>
  </si>
  <si>
    <t>05.361</t>
  </si>
  <si>
    <t>05.362</t>
  </si>
  <si>
    <t>05.363</t>
  </si>
  <si>
    <t>05.364</t>
  </si>
  <si>
    <t>05.365</t>
  </si>
  <si>
    <t>05.366</t>
  </si>
  <si>
    <t>05.367</t>
  </si>
  <si>
    <t>05.368</t>
  </si>
  <si>
    <t>05.369</t>
  </si>
  <si>
    <t>05.370</t>
  </si>
  <si>
    <t>05.371</t>
  </si>
  <si>
    <t>05.372</t>
  </si>
  <si>
    <t>05.373</t>
  </si>
  <si>
    <t>05.374</t>
  </si>
  <si>
    <t>05.375</t>
  </si>
  <si>
    <t>05.376</t>
  </si>
  <si>
    <t>05.377</t>
  </si>
  <si>
    <t>05.378</t>
  </si>
  <si>
    <t>05.379</t>
  </si>
  <si>
    <t>05.380</t>
  </si>
  <si>
    <t>05.381</t>
  </si>
  <si>
    <t>05.382</t>
  </si>
  <si>
    <t>05.383</t>
  </si>
  <si>
    <t>05.384</t>
  </si>
  <si>
    <t>05.385</t>
  </si>
  <si>
    <t>05.386</t>
  </si>
  <si>
    <t>05.387</t>
  </si>
  <si>
    <t>05.388</t>
  </si>
  <si>
    <t>05.389</t>
  </si>
  <si>
    <t>05.390</t>
  </si>
  <si>
    <t>05.391</t>
  </si>
  <si>
    <t>05.392</t>
  </si>
  <si>
    <t>05.393</t>
  </si>
  <si>
    <t>05.394</t>
  </si>
  <si>
    <t>05.395</t>
  </si>
  <si>
    <t>05.396</t>
  </si>
  <si>
    <t>05.397</t>
  </si>
  <si>
    <t>05.398</t>
  </si>
  <si>
    <t>05.399</t>
  </si>
  <si>
    <t>05.400</t>
  </si>
  <si>
    <t>05.401</t>
  </si>
  <si>
    <t>05.402</t>
  </si>
  <si>
    <t>05.403</t>
  </si>
  <si>
    <t>05.404</t>
  </si>
  <si>
    <t>05.405</t>
  </si>
  <si>
    <t>05.406</t>
  </si>
  <si>
    <t>05.407</t>
  </si>
  <si>
    <t>05.408</t>
  </si>
  <si>
    <t>05.409</t>
  </si>
  <si>
    <t>05.410</t>
  </si>
  <si>
    <t>05.411</t>
  </si>
  <si>
    <t>05.412</t>
  </si>
  <si>
    <t>05.413</t>
  </si>
  <si>
    <t>05.414</t>
  </si>
  <si>
    <t>05.415</t>
  </si>
  <si>
    <t>05.416</t>
  </si>
  <si>
    <t>05.417</t>
  </si>
  <si>
    <t>05.418</t>
  </si>
  <si>
    <t>05.419</t>
  </si>
  <si>
    <t>05.420</t>
  </si>
  <si>
    <t>05.421</t>
  </si>
  <si>
    <t>05.422</t>
  </si>
  <si>
    <t>05.423</t>
  </si>
  <si>
    <t>05.424</t>
  </si>
  <si>
    <t>05.425</t>
  </si>
  <si>
    <t>05.426</t>
  </si>
  <si>
    <t>05.427</t>
  </si>
  <si>
    <t>05.428</t>
  </si>
  <si>
    <t>05.429</t>
  </si>
  <si>
    <t>05.430</t>
  </si>
  <si>
    <t>05.431</t>
  </si>
  <si>
    <t>05.432</t>
  </si>
  <si>
    <t>05.433</t>
  </si>
  <si>
    <t>05.434</t>
  </si>
  <si>
    <t>05.435</t>
  </si>
  <si>
    <t>05.436</t>
  </si>
  <si>
    <t>05.437</t>
  </si>
  <si>
    <t>05.438</t>
  </si>
  <si>
    <t>05.439</t>
  </si>
  <si>
    <t>05.440</t>
  </si>
  <si>
    <t>05.441</t>
  </si>
  <si>
    <t>05.442</t>
  </si>
  <si>
    <t>05.443</t>
  </si>
  <si>
    <t>05.444</t>
  </si>
  <si>
    <t>05.445</t>
  </si>
  <si>
    <t>05.446</t>
  </si>
  <si>
    <t>05.447</t>
  </si>
  <si>
    <t>05.448</t>
  </si>
  <si>
    <t>05.449</t>
  </si>
  <si>
    <t>05.450</t>
  </si>
  <si>
    <t>05.451</t>
  </si>
  <si>
    <t>05.452</t>
  </si>
  <si>
    <t>05.453</t>
  </si>
  <si>
    <t>05.454</t>
  </si>
  <si>
    <t>05.455</t>
  </si>
  <si>
    <t>05.456</t>
  </si>
  <si>
    <t>05.457</t>
  </si>
  <si>
    <t>05.458</t>
  </si>
  <si>
    <t>05.459</t>
  </si>
  <si>
    <t>05.460</t>
  </si>
  <si>
    <t>05.461</t>
  </si>
  <si>
    <t>05.462</t>
  </si>
  <si>
    <t>05.463</t>
  </si>
  <si>
    <t>05.464</t>
  </si>
  <si>
    <t>05.465</t>
  </si>
  <si>
    <t>05.466</t>
  </si>
  <si>
    <t>05.467</t>
  </si>
  <si>
    <t>05.468</t>
  </si>
  <si>
    <t>05.469</t>
  </si>
  <si>
    <t>05.470</t>
  </si>
  <si>
    <t>05.471</t>
  </si>
  <si>
    <t>05.472</t>
  </si>
  <si>
    <t>05.473</t>
  </si>
  <si>
    <t>05.474</t>
  </si>
  <si>
    <t>05.475</t>
  </si>
  <si>
    <t>05.476</t>
  </si>
  <si>
    <t>Serviços de Ar Condicionado</t>
  </si>
  <si>
    <t>VALOR TOTAL DE DEPRECIAÇÃO PARA 30 MESES³</t>
  </si>
  <si>
    <t>100M</t>
  </si>
  <si>
    <t>FURO PARA TORNEIRA OU OUTROS ACESSORIOS EM BANCADA DE MARMORE/ GRANITO OU OUTRO TIPO DE PEDRA NATURAL</t>
  </si>
  <si>
    <t>RALO SECO CONICO, PVC, 100 X 40 MM, COM GRELHA REDONDA BRANCA</t>
  </si>
  <si>
    <t>TOMADA 2P+T 10A, 250V (APENAS MODULO)</t>
  </si>
  <si>
    <t>TOMADA 2P+T 20A, 250V (APENAS MODULO)</t>
  </si>
  <si>
    <t>BATENTE / PORTAL / ADUELA / MARCO EM MADEIRA MACICA COM REBAIXO, E = *3* CM, L = *14* CM, PARA PORTAS DE GIRO DE *60 CM A 120* CM X *210* CM, PINUS / EUCALIPTO / VIROLA OU EQUIVALENTE DA REGIAO (NAO INCLUI ALIZARES)</t>
  </si>
  <si>
    <t>GUARNICAO / ALIZAR / VISTA LISA EM MADEIRA MACICA, PARA PORTA , E = *1* CM, L = *5* CM, CEDRINHO / ANGELIM COMERCIAL / TAURI/ CURUPIXA / PEROBA / CUMARU OU EQUIVALENTE DA REGIAO</t>
  </si>
  <si>
    <t>DOBRADICA EM ACO/FERRO, 3 1/2" X 3", E= 1,9 A 2 MM, COM ANEL, CROMADO OU ZINCADO, TAMPA BOLA, COM PARAFUSOS</t>
  </si>
  <si>
    <t>310ML</t>
  </si>
  <si>
    <t>PAR</t>
  </si>
  <si>
    <t>ELETRODUTO/DUTO PEAD FLEXIVEL PAREDE SIMPLES, CORRUGACAO HELICOIDAL, COR PRETA, SEM ROSCA, DE 3", PARA CABEAMENTO SUBTERRANEO (NBR 15715)</t>
  </si>
  <si>
    <t>PISO EM GRANILITE, MARMORITE OU GRANITINA, AGREGADO COR PRETO, CINZA, PALHA OU BRANCO, E= *8* MM (INCLUSO EXECUCAO)</t>
  </si>
  <si>
    <t>MICROESFERAS DE VIDRO PARA SINALIZACAO HORIZONTAL VIARIA, TIPO II-A (DROP-ON) - NBR 16184</t>
  </si>
  <si>
    <t>TELA DE ACO SOLDADA NERVURADA, CA-60, Q-92, (1,48 KG/M2), DIAMETRO DO FIO = 4,2 MM, LARGURA = 2,45 X 60 M DE COMPRIMENTO, ESPACAMENTO DA MALHA = 15 X 15 CM</t>
  </si>
  <si>
    <t>GRANITO PARA BANCADA, POLIDO, TIPO ANDORINHA/ QUARTZ/ CASTELO/ CORUMBA OU OUTROS EQUIVALENTES DA REGIAO, E= *2,5* CM</t>
  </si>
  <si>
    <t>ELETRODUTO/DUTO PEAD FLEXIVEL PAREDE SIMPLES, CORRUGACAO HELICOIDAL, COR PRETA, SEM ROSCA, DE 2", PARA CABEAMENTO SUBTERRANEO (NBR 15715)</t>
  </si>
  <si>
    <t>POSTE CONICO CONTINUO EM ACO GALVANIZADO, CURVO, BRACO SIMPLES, ENGASTADO, H = 9 M, DIAMETRO INFERIOR = *135* MM</t>
  </si>
  <si>
    <t>CONDULETE DE ALUMINIO TIPO E, PARA ELETRODUTO ROSCAVEL DE 1 1/4", COM TAMPA CEGA</t>
  </si>
  <si>
    <t>POSTE CONICO CONTINUO EM ACO GALVANIZADO, RETO, FLANGEADO, H = 3 M, DIAMETRO INFERIOR = *95* MM</t>
  </si>
  <si>
    <t>POSTE CONICO CONTINUO EM ACO GALVANIZADO, CURVO, BRACO SIMPLES, FLANGEADO, H = 9 M, DIAMETRO INFERIOR = *135* MM</t>
  </si>
  <si>
    <t>POSTE CONICO CONTINUO EM ACO GALVANIZADO, CURVO, BRACO DUPLO, FLANGEADO, H = 9 M, DIAMETRO INFERIOR = *135* MM</t>
  </si>
  <si>
    <t>CAIXA DE INSPECAO PARA ATERRAMENTO E PARA RAIOS, EM POLIPROPILENO, DIAMETRO = 300 MM X ALTURA = 400 MM</t>
  </si>
  <si>
    <t>MEIO-FIO OU GUIA DE CONCRETO PRE-MOLDADO, TIPO CHAPEU PARA BOCA DE LOBO, DIMENSOES *1,20* X 0,15 X 0,30 M</t>
  </si>
  <si>
    <t>CAIXA DE GORDURA EM PVC, DIAMETRO MINIMO 300 MM, DIAMETRO DE SAIDA 100 MM, CAPACIDADE APROXIMADA 18 LITROS, COM TAMPA E CESTO</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</si>
  <si>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</si>
  <si>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</si>
  <si>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</si>
  <si>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</si>
  <si>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</si>
  <si>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</si>
  <si>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</si>
  <si>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PVC SERIE NORMAL, DN 100 MM, PARA ESGOTO PREDIAL (NBR 5688)</t>
  </si>
  <si>
    <t>TUBO PVC SERIE NORMAL, DN 150 MM, PARA ESGOTO PREDIAL (NBR 5688)</t>
  </si>
  <si>
    <t>TUBO PVC SERIE NORMAL, DN 40 MM, PARA ESGOTO PREDIAL (NBR 5688)</t>
  </si>
  <si>
    <t>TUBO PVC, ROSCAVEL, 1 1/2", AGUA FRIA PREDIAL</t>
  </si>
  <si>
    <t>TUBO PVC, ROSCAVEL, 2 1/2", AGUA FRIA PREDIAL</t>
  </si>
  <si>
    <t>TUBO PVC, ROSCAVEL, 2", PARA AGUA FRIA PREDIAL</t>
  </si>
  <si>
    <t>TUBO PVC ROSCAVEL, 3/4", AGUA FRIA PREDIAL</t>
  </si>
  <si>
    <t>LUVA PVC, ROSCAVEL, 1 1/2", AGUA FRIA PREDIAL</t>
  </si>
  <si>
    <t>UNIAO PVC, SOLDAVEL, 60 MM, PARA AGUA FRIA PREDIAL</t>
  </si>
  <si>
    <t>UNIAO PVC, SOLDAVEL, 85 MM, PARA AGUA FRIA PREDIAL</t>
  </si>
  <si>
    <t>TUBO ACO GALVANIZADO COM COSTURA, CLASSE LEVE, DN 40 MM ( 1 1/2"), E = 3,00 MM, *3,48* KG/M (NBR 5580)</t>
  </si>
  <si>
    <t>PASTILHA CERAMICA/PORCELANA, REVEST INT/EXT E PISCINA, CORES BRANCA OU FRIAS, SOLIDAS, SEM MESCLAGEM/MISTURA, ACABAMENTO LISO *2,5 X 2,5* CM</t>
  </si>
  <si>
    <t>DISCO DE LIXA PARA METAL, DIAMETRO = 180 MM, GRAO 120</t>
  </si>
  <si>
    <t>UNIAO PVC, SOLDAVEL, 25 MM, PARA AGUA FRIA PREDIAL</t>
  </si>
  <si>
    <t>UNIAO PVC, SOLDAVEL, 32 MM, PARA AGUA FRIA PREDIAL</t>
  </si>
  <si>
    <t>UNIAO PVC, SOLDAVEL, 40 MM, PARA AGUA FRIA PREDIAL</t>
  </si>
  <si>
    <t>UNIAO PVC, SOLDAVEL, 50 MM, PARA AGUA FRIA PREDIAL</t>
  </si>
  <si>
    <t>UNIAO PVC, SOLDAVEL, 75 MM, PARA AGUA FRIA PREDIAL</t>
  </si>
  <si>
    <t>ADAPTADOR PVC SOLDAVEL, COM FLANGES LIVRES, 75 MM X 2 1/2", PARA CAIXA D' AGUA</t>
  </si>
  <si>
    <t>CAP, PVC PBA, JE, DN 75 / DE 85 MM, PARA REDE DE AGUA (NBR 10351)</t>
  </si>
  <si>
    <t>CAP, PVC PBA, JE, DN 100 / DE 110 MM, PARA REDE DE AGUA (NBR 10351)</t>
  </si>
  <si>
    <t>UNIAO PVC, SOLDAVEL, 110 MM, PARA AGUA FRIA PREDIAL</t>
  </si>
  <si>
    <t>TE DE INSPECAO, PVC, 100 X 75 MM, SERIE NORMAL PARA ESGOTO PREDIAL</t>
  </si>
  <si>
    <t>PEDRA PORTUGUESA OU PETIT PAVE, BRANCA OU PRETA</t>
  </si>
  <si>
    <t>TUBO ACO GALVANIZADO COM COSTURA, CLASSE LEVE, DN 100 MM ( 4"), E = 3,75 MM, *10,55* KG/M (NBR 5580)</t>
  </si>
  <si>
    <t>TUBO ACO CARBONO SEM COSTURA 6", E= 7,11 MM, SCHEDULE 40, *28,26 KG/M</t>
  </si>
  <si>
    <t>06.163</t>
  </si>
  <si>
    <t>06.164</t>
  </si>
  <si>
    <t>Data: novembro de 2023</t>
  </si>
  <si>
    <t>Módulo supervisório e de Interface IHM – Carrier Pro-dialog Plus com Placa Carrier Sinoptico A2</t>
  </si>
  <si>
    <t>Sensor de temperatura 3000Ω (termistor) para água, Part nº York 025 29964 000 ou 025 52739 000</t>
  </si>
  <si>
    <t>Motobomba centrífuga de superfície monoestágio 7,5cv - trifásica – Combate a Incêndio - Fornecimento e instalação</t>
  </si>
  <si>
    <t>Motobomba centrífuga de superfície monoestágio 15cv - trifásica – Combate a Incêndio - Fornecimento e Instalação</t>
  </si>
  <si>
    <t>Motobomba Centrífuga Submersível 5cv – trifásica - Ø máx. sólidos ≥ 60mm - Fornecimento e instalação</t>
  </si>
  <si>
    <t>Porta de vidro de correr com caixilho em aço ou alumínio e acessórios - CCPU</t>
  </si>
  <si>
    <t>Registro de Gaveta Bruto em latão forjado 4” - Fornecimento e Instalação</t>
  </si>
  <si>
    <t>Registro de Gaveta Bruto em latão forjado 2 1/2” - Fornecimento e Instalação” - Fornecimento e Instalação</t>
  </si>
  <si>
    <t>% DE DEPRECIAÇÃO MENSAL</t>
  </si>
  <si>
    <t>VIDA ÚTIL (Anos)</t>
  </si>
  <si>
    <t>FATOR K ESTIMADO</t>
  </si>
  <si>
    <t>VALOR MENSAL DE DEPRECIAÇÃO</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</si>
</sst>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R$&quot;\ * #,##0.00_-;\-&quot;R$&quot;\ * #,##0.00_-;_-&quot;R$&quot;\ * &quot;-&quot;??_-;_-@_-"/>
    <numFmt numFmtId="43" formatCode="_-* #,##0.00_-;\-* #,##0.00_-;_-* &quot;-&quot;??_-;_-@_-"/>
    <numFmt numFmtId="164" formatCode="_-&quot;R$&quot;* #,##0.00_-;\-&quot;R$&quot;* #,##0.00_-;_-&quot;R$&quot;* &quot;-&quot;??_-;_-@_-"/>
    <numFmt numFmtId="166" formatCode="_(* #,##0.00_);_(* \(#,##0.00\);_(* \-??_);_(@_)"/>
    <numFmt numFmtId="167" formatCode="_(&quot;R$&quot;* #,##0.00_);_(&quot;R$&quot;* \(#,##0.00\);_(&quot;R$&quot;* &quot;-&quot;??_);_(@_)"/>
    <numFmt numFmtId="168" formatCode="0.0000"/>
    <numFmt numFmtId="170" formatCode="_(* #,##0.00_);_(* \(#,##0.00\);_(* &quot;-&quot;??_);_(@_)"/>
    <numFmt numFmtId="174" formatCode="#,##0.00;;"/>
    <numFmt numFmtId="175" formatCode="#,##0;;"/>
    <numFmt numFmtId="176" formatCode="&quot;R$&quot;\ #,##0.00;[Red]&quot;R$&quot;\ #,##0.00"/>
    <numFmt numFmtId="177" formatCode="0.0000%"/>
    <numFmt numFmtId="180" formatCode="_-[$R$-1ACDCB]\ * #,##0.00_-;\-[$R$-1ACDCB]\ * #,##0.00_-;_-[$R$-1ACDCB]\ * &quot;-&quot;??_-;_-@_-"/>
    <numFmt numFmtId="184" formatCode="0.000000%"/>
  </numFmts>
  <fonts count="40"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b/>
      <sz val="12"/>
      <color theme="0"/>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u/>
      <sz val="9"/>
      <color indexed="12"/>
      <name val="Arial"/>
      <family val="2"/>
    </font>
    <font>
      <sz val="11"/>
      <name val="Verdana"/>
      <family val="2"/>
    </font>
    <font>
      <sz val="11"/>
      <name val="Arial"/>
      <family val="2"/>
    </font>
    <font>
      <b/>
      <sz val="11"/>
      <color theme="0"/>
      <name val="Arial"/>
      <family val="2"/>
    </font>
    <font>
      <b/>
      <u/>
      <sz val="11"/>
      <color theme="1"/>
      <name val="Arial"/>
      <family val="2"/>
    </font>
    <font>
      <sz val="10"/>
      <name val="Calibri"/>
      <family val="2"/>
      <scheme val="minor"/>
    </font>
    <font>
      <b/>
      <sz val="16"/>
      <name val="Calibri"/>
      <family val="2"/>
      <scheme val="minor"/>
    </font>
    <font>
      <b/>
      <sz val="16"/>
      <color rgb="FFFF0000"/>
      <name val="Calibri"/>
      <family val="2"/>
      <scheme val="minor"/>
    </font>
    <font>
      <b/>
      <sz val="14"/>
      <color rgb="FFFF0000"/>
      <name val="Arial"/>
      <family val="2"/>
    </font>
    <font>
      <sz val="10"/>
      <name val="Courier New"/>
      <family val="3"/>
    </font>
    <font>
      <sz val="11"/>
      <name val="Calibri"/>
      <family val="2"/>
      <scheme val="minor"/>
    </font>
    <font>
      <b/>
      <sz val="11"/>
      <color theme="1"/>
      <name val="Calibri"/>
      <family val="2"/>
      <scheme val="minor"/>
    </font>
    <font>
      <sz val="12"/>
      <color theme="1"/>
      <name val="Arial"/>
      <family val="2"/>
    </font>
    <font>
      <sz val="10"/>
      <color theme="1"/>
      <name val="Arial"/>
      <family val="2"/>
    </font>
    <font>
      <i/>
      <sz val="11"/>
      <color theme="1"/>
      <name val="Calibri"/>
      <family val="2"/>
      <scheme val="minor"/>
    </font>
    <font>
      <b/>
      <u/>
      <sz val="11"/>
      <color theme="10"/>
      <name val="Calibri"/>
      <family val="2"/>
      <scheme val="minor"/>
    </font>
    <font>
      <sz val="10"/>
      <name val="Courier New"/>
      <family val="3"/>
    </font>
  </fonts>
  <fills count="11">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34998626667073579"/>
        <bgColor indexed="64"/>
      </patternFill>
    </fill>
    <fill>
      <patternFill patternType="solid">
        <fgColor theme="8" tint="0.39997558519241921"/>
        <bgColor indexed="64"/>
      </patternFill>
    </fill>
    <fill>
      <patternFill patternType="solid">
        <fgColor theme="8" tint="0.79998168889431442"/>
        <bgColor indexed="64"/>
      </patternFill>
    </fill>
  </fills>
  <borders count="3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auto="1"/>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s>
  <cellStyleXfs count="19">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6" fontId="2" fillId="0" borderId="0" applyFont="0" applyFill="0" applyAlignment="0" applyProtection="0"/>
    <xf numFmtId="167" fontId="2" fillId="0" borderId="0" applyFont="0" applyFill="0" applyBorder="0" applyAlignment="0" applyProtection="0"/>
    <xf numFmtId="0" fontId="9" fillId="0" borderId="0" applyNumberForma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2" fillId="0" borderId="0">
      <protection locked="0"/>
    </xf>
    <xf numFmtId="164" fontId="2" fillId="0" borderId="0" applyFont="0" applyFill="0" applyBorder="0" applyAlignment="0" applyProtection="0"/>
    <xf numFmtId="0" fontId="35" fillId="0" borderId="0"/>
    <xf numFmtId="43" fontId="35" fillId="0" borderId="0"/>
    <xf numFmtId="44" fontId="35" fillId="0" borderId="0"/>
    <xf numFmtId="9" fontId="35" fillId="0" borderId="0"/>
    <xf numFmtId="9" fontId="2" fillId="0" borderId="0" applyFont="0" applyFill="0" applyBorder="0" applyAlignment="0" applyProtection="0"/>
    <xf numFmtId="170" fontId="2"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cellStyleXfs>
  <cellXfs count="296">
    <xf numFmtId="0" fontId="0" fillId="0" borderId="0" xfId="0"/>
    <xf numFmtId="0" fontId="2" fillId="0" borderId="0" xfId="0" applyFont="1"/>
    <xf numFmtId="0" fontId="0" fillId="0" borderId="0" xfId="0" applyAlignment="1"/>
    <xf numFmtId="0" fontId="10" fillId="4" borderId="0" xfId="0" applyFont="1" applyFill="1" applyAlignment="1">
      <alignment horizontal="centerContinuous" vertical="distributed"/>
    </xf>
    <xf numFmtId="168" fontId="10" fillId="4" borderId="0" xfId="0" applyNumberFormat="1" applyFont="1" applyFill="1" applyAlignment="1">
      <alignment horizontal="centerContinuous" vertical="distributed"/>
    </xf>
    <xf numFmtId="0" fontId="10" fillId="0" borderId="0" xfId="0" applyFont="1" applyAlignment="1">
      <alignment horizontal="centerContinuous" vertical="distributed"/>
    </xf>
    <xf numFmtId="2" fontId="12" fillId="0" borderId="0" xfId="0" applyNumberFormat="1" applyFont="1" applyAlignment="1">
      <alignment horizontal="center" vertical="center" wrapText="1"/>
    </xf>
    <xf numFmtId="0" fontId="13" fillId="4" borderId="0" xfId="0" applyFont="1" applyFill="1" applyAlignment="1">
      <alignment horizontal="centerContinuous" vertical="center" wrapText="1"/>
    </xf>
    <xf numFmtId="0" fontId="14" fillId="4" borderId="0" xfId="0" applyFont="1" applyFill="1" applyAlignment="1">
      <alignment horizontal="centerContinuous" vertical="center" wrapText="1"/>
    </xf>
    <xf numFmtId="168" fontId="14" fillId="4" borderId="0" xfId="0" applyNumberFormat="1" applyFont="1" applyFill="1" applyAlignment="1">
      <alignment horizontal="centerContinuous" vertical="center" wrapText="1"/>
    </xf>
    <xf numFmtId="0" fontId="14" fillId="0" borderId="0" xfId="0" applyFont="1" applyAlignment="1">
      <alignment horizontal="centerContinuous" vertical="center" wrapText="1"/>
    </xf>
    <xf numFmtId="0" fontId="15" fillId="0" borderId="0" xfId="0" applyFont="1" applyAlignment="1">
      <alignment horizontal="centerContinuous" vertical="center" wrapText="1"/>
    </xf>
    <xf numFmtId="168" fontId="15" fillId="0" borderId="0" xfId="0" applyNumberFormat="1" applyFont="1" applyAlignment="1">
      <alignment horizontal="centerContinuous" vertical="center" wrapText="1"/>
    </xf>
    <xf numFmtId="0" fontId="20" fillId="0" borderId="0" xfId="0" applyFont="1" applyAlignment="1">
      <alignment vertical="center" wrapText="1"/>
    </xf>
    <xf numFmtId="168" fontId="20" fillId="0" borderId="0" xfId="0" applyNumberFormat="1" applyFont="1" applyAlignment="1">
      <alignment vertical="center" wrapText="1"/>
    </xf>
    <xf numFmtId="0" fontId="21" fillId="0" borderId="0" xfId="0" applyFont="1" applyAlignment="1">
      <alignment horizontal="center" vertical="center" wrapText="1"/>
    </xf>
    <xf numFmtId="2" fontId="20" fillId="0" borderId="0" xfId="0" applyNumberFormat="1" applyFont="1" applyAlignment="1">
      <alignment vertical="center" wrapText="1"/>
    </xf>
    <xf numFmtId="0" fontId="17" fillId="4" borderId="11" xfId="0" applyFont="1" applyFill="1" applyBorder="1" applyAlignment="1">
      <alignment horizontal="center" vertical="center" wrapText="1"/>
    </xf>
    <xf numFmtId="0" fontId="17" fillId="4" borderId="12" xfId="0" applyFont="1" applyFill="1" applyBorder="1" applyAlignment="1">
      <alignment horizontal="center" vertical="center" wrapText="1"/>
    </xf>
    <xf numFmtId="168" fontId="17" fillId="4" borderId="12" xfId="0" applyNumberFormat="1" applyFont="1" applyFill="1" applyBorder="1" applyAlignment="1">
      <alignment horizontal="center" vertical="center" wrapText="1"/>
    </xf>
    <xf numFmtId="0" fontId="17" fillId="4" borderId="13" xfId="0" applyFont="1" applyFill="1" applyBorder="1" applyAlignment="1">
      <alignment horizontal="center" vertical="center" wrapText="1"/>
    </xf>
    <xf numFmtId="0" fontId="17" fillId="0" borderId="14" xfId="0" applyFont="1" applyBorder="1" applyAlignment="1">
      <alignment horizontal="center" vertical="center" wrapText="1"/>
    </xf>
    <xf numFmtId="2" fontId="22" fillId="4" borderId="12" xfId="0" applyNumberFormat="1" applyFont="1" applyFill="1" applyBorder="1" applyAlignment="1">
      <alignment horizontal="center" vertical="center" wrapText="1"/>
    </xf>
    <xf numFmtId="0" fontId="3" fillId="0" borderId="10" xfId="3" applyFont="1" applyBorder="1" applyAlignment="1">
      <alignment horizontal="center" vertical="center" wrapText="1"/>
    </xf>
    <xf numFmtId="168" fontId="3" fillId="0" borderId="10" xfId="3" applyNumberFormat="1" applyFont="1" applyBorder="1" applyAlignment="1">
      <alignment vertical="center" wrapText="1"/>
    </xf>
    <xf numFmtId="0" fontId="3" fillId="0" borderId="10" xfId="3" applyFont="1" applyBorder="1" applyAlignment="1">
      <alignment vertical="center" wrapText="1"/>
    </xf>
    <xf numFmtId="0" fontId="3" fillId="0" borderId="6" xfId="3" applyFont="1" applyBorder="1" applyAlignment="1">
      <alignment vertical="center" wrapText="1"/>
    </xf>
    <xf numFmtId="0" fontId="3" fillId="0" borderId="0" xfId="3" applyFont="1" applyAlignment="1">
      <alignment vertical="center" wrapText="1"/>
    </xf>
    <xf numFmtId="167" fontId="2" fillId="0" borderId="0" xfId="5" applyFont="1" applyFill="1" applyBorder="1" applyAlignment="1" applyProtection="1">
      <alignment horizontal="center" vertical="center" wrapText="1"/>
    </xf>
    <xf numFmtId="0" fontId="2" fillId="0" borderId="0" xfId="3" applyAlignment="1">
      <alignment vertical="center" wrapText="1"/>
    </xf>
    <xf numFmtId="168" fontId="2" fillId="0" borderId="0" xfId="3" applyNumberFormat="1" applyAlignment="1">
      <alignment vertical="center" wrapText="1"/>
    </xf>
    <xf numFmtId="167" fontId="2" fillId="0" borderId="0" xfId="5" applyFont="1" applyBorder="1" applyAlignment="1" applyProtection="1">
      <alignment horizontal="center" vertical="center" wrapText="1"/>
    </xf>
    <xf numFmtId="167" fontId="2" fillId="0" borderId="21" xfId="5" applyFont="1" applyFill="1" applyBorder="1" applyAlignment="1" applyProtection="1">
      <alignment horizontal="center" vertical="center" wrapText="1"/>
    </xf>
    <xf numFmtId="0" fontId="2" fillId="0" borderId="0" xfId="0" applyFont="1" applyAlignment="1">
      <alignment horizontal="center" vertical="center" wrapText="1"/>
    </xf>
    <xf numFmtId="168" fontId="2" fillId="0" borderId="0" xfId="0" applyNumberFormat="1" applyFont="1" applyAlignment="1">
      <alignment horizontal="center" vertical="center" wrapText="1"/>
    </xf>
    <xf numFmtId="167" fontId="7" fillId="5" borderId="21" xfId="5" applyFont="1" applyFill="1" applyBorder="1" applyAlignment="1" applyProtection="1">
      <alignment horizontal="center" vertical="center" wrapText="1"/>
    </xf>
    <xf numFmtId="167" fontId="7" fillId="0" borderId="0" xfId="5" applyFont="1" applyFill="1" applyBorder="1" applyAlignment="1" applyProtection="1">
      <alignment horizontal="center" vertical="center" wrapText="1"/>
    </xf>
    <xf numFmtId="167" fontId="3" fillId="0" borderId="10" xfId="3" applyNumberFormat="1" applyFont="1" applyBorder="1" applyAlignment="1">
      <alignment vertical="center" wrapText="1"/>
    </xf>
    <xf numFmtId="167" fontId="2" fillId="0" borderId="0" xfId="5" applyFont="1" applyFill="1" applyBorder="1" applyAlignment="1" applyProtection="1">
      <alignment vertical="center" wrapText="1"/>
    </xf>
    <xf numFmtId="167" fontId="7" fillId="0" borderId="21" xfId="5" applyFont="1" applyFill="1" applyBorder="1" applyAlignment="1" applyProtection="1">
      <alignment horizontal="center" vertical="center" wrapText="1"/>
    </xf>
    <xf numFmtId="167" fontId="3" fillId="0" borderId="21" xfId="5" applyFont="1" applyFill="1" applyBorder="1" applyAlignment="1" applyProtection="1">
      <alignment horizontal="center" vertical="center" wrapText="1"/>
    </xf>
    <xf numFmtId="167" fontId="3" fillId="0" borderId="0" xfId="5" applyFont="1" applyFill="1" applyBorder="1" applyAlignment="1" applyProtection="1">
      <alignment horizontal="center" vertical="center" wrapText="1"/>
    </xf>
    <xf numFmtId="170" fontId="2" fillId="0" borderId="0" xfId="0" applyNumberFormat="1" applyFont="1" applyAlignment="1">
      <alignment horizontal="center" vertical="center" wrapText="1"/>
    </xf>
    <xf numFmtId="0" fontId="3" fillId="0" borderId="0" xfId="0" applyFont="1" applyAlignment="1">
      <alignment horizontal="center" vertical="center" wrapText="1"/>
    </xf>
    <xf numFmtId="167" fontId="3" fillId="0" borderId="10" xfId="3"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8" fontId="3" fillId="0" borderId="0" xfId="0" applyNumberFormat="1" applyFont="1" applyAlignment="1">
      <alignment horizontal="left" vertical="center" wrapText="1"/>
    </xf>
    <xf numFmtId="167" fontId="2" fillId="0" borderId="0" xfId="5" applyFont="1" applyBorder="1" applyAlignment="1" applyProtection="1">
      <alignment horizontal="center" vertical="center"/>
    </xf>
    <xf numFmtId="0" fontId="2" fillId="0" borderId="4" xfId="0" applyFont="1" applyBorder="1" applyAlignment="1">
      <alignment horizontal="center" vertical="center" wrapText="1"/>
    </xf>
    <xf numFmtId="167" fontId="5" fillId="0" borderId="21" xfId="5" applyFont="1" applyBorder="1" applyAlignment="1" applyProtection="1">
      <alignment horizontal="center" vertical="center" wrapText="1"/>
    </xf>
    <xf numFmtId="167" fontId="5" fillId="0" borderId="0" xfId="5" applyFont="1" applyFill="1" applyBorder="1" applyAlignment="1" applyProtection="1">
      <alignment horizontal="center" vertical="center" wrapText="1"/>
    </xf>
    <xf numFmtId="0" fontId="3" fillId="0" borderId="0" xfId="0" applyFont="1" applyAlignment="1">
      <alignment vertical="center" wrapText="1"/>
    </xf>
    <xf numFmtId="168" fontId="3" fillId="0" borderId="0" xfId="0" applyNumberFormat="1" applyFont="1" applyAlignment="1">
      <alignment vertical="center" wrapText="1"/>
    </xf>
    <xf numFmtId="167" fontId="3" fillId="0" borderId="0" xfId="0" applyNumberFormat="1" applyFont="1" applyAlignment="1">
      <alignment vertical="center" wrapText="1"/>
    </xf>
    <xf numFmtId="0" fontId="3" fillId="0" borderId="21" xfId="0" applyFont="1" applyBorder="1" applyAlignment="1">
      <alignment vertical="center" wrapText="1"/>
    </xf>
    <xf numFmtId="0" fontId="2" fillId="0" borderId="21" xfId="0" applyFont="1" applyBorder="1"/>
    <xf numFmtId="4" fontId="2" fillId="0" borderId="21"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8" fontId="2" fillId="0" borderId="4" xfId="0" applyNumberFormat="1" applyFont="1" applyBorder="1" applyAlignment="1">
      <alignment horizontal="center" vertical="center" wrapText="1"/>
    </xf>
    <xf numFmtId="167" fontId="2" fillId="0" borderId="4" xfId="5" applyFont="1" applyFill="1" applyBorder="1" applyAlignment="1" applyProtection="1">
      <alignment horizontal="center" vertical="center" wrapText="1"/>
    </xf>
    <xf numFmtId="167" fontId="2" fillId="0" borderId="4" xfId="5" applyFont="1" applyBorder="1" applyAlignment="1" applyProtection="1">
      <alignment horizontal="center" vertical="center" wrapText="1"/>
    </xf>
    <xf numFmtId="167" fontId="2" fillId="0" borderId="23" xfId="5" applyFont="1" applyFill="1" applyBorder="1" applyAlignment="1" applyProtection="1">
      <alignment horizontal="center" vertical="center" wrapText="1"/>
    </xf>
    <xf numFmtId="167" fontId="2" fillId="0" borderId="21" xfId="5" applyFont="1" applyBorder="1" applyAlignment="1" applyProtection="1">
      <alignment horizontal="center" vertical="center"/>
    </xf>
    <xf numFmtId="167" fontId="2" fillId="0" borderId="0" xfId="5" applyFont="1" applyFill="1" applyBorder="1" applyAlignment="1" applyProtection="1">
      <alignment horizontal="center" vertical="center"/>
    </xf>
    <xf numFmtId="167" fontId="2" fillId="0" borderId="0" xfId="0" applyNumberFormat="1" applyFont="1" applyAlignment="1">
      <alignment horizontal="center" vertical="center" wrapText="1"/>
    </xf>
    <xf numFmtId="167" fontId="2" fillId="0" borderId="4" xfId="5" applyFont="1" applyBorder="1" applyAlignment="1" applyProtection="1">
      <alignment horizontal="center" vertical="center"/>
    </xf>
    <xf numFmtId="167" fontId="2" fillId="0" borderId="23" xfId="5" applyFont="1" applyBorder="1" applyAlignment="1" applyProtection="1">
      <alignment horizontal="center" vertical="center"/>
    </xf>
    <xf numFmtId="0" fontId="13" fillId="4" borderId="0" xfId="0" applyFont="1" applyFill="1" applyAlignment="1" applyProtection="1">
      <alignment horizontal="centerContinuous" vertical="center"/>
      <protection locked="0"/>
    </xf>
    <xf numFmtId="0" fontId="0" fillId="0" borderId="0" xfId="0" applyProtection="1">
      <protection locked="0"/>
    </xf>
    <xf numFmtId="0" fontId="10" fillId="4" borderId="0" xfId="0" applyFont="1" applyFill="1" applyAlignment="1" applyProtection="1">
      <alignment horizontal="centerContinuous" vertical="center" wrapText="1"/>
      <protection locked="0"/>
    </xf>
    <xf numFmtId="0" fontId="18" fillId="6" borderId="4" xfId="0" applyFont="1" applyFill="1" applyBorder="1" applyAlignment="1" applyProtection="1">
      <alignment horizontal="center" vertical="center" wrapText="1"/>
      <protection locked="0"/>
    </xf>
    <xf numFmtId="0" fontId="18" fillId="6" borderId="0" xfId="0" applyFont="1" applyFill="1" applyAlignment="1" applyProtection="1">
      <alignment horizontal="center" vertical="center" wrapText="1"/>
      <protection locked="0"/>
    </xf>
    <xf numFmtId="10" fontId="2" fillId="0" borderId="8" xfId="0" applyNumberFormat="1" applyFont="1" applyBorder="1" applyAlignment="1" applyProtection="1">
      <alignment horizontal="center" vertical="center"/>
      <protection locked="0"/>
    </xf>
    <xf numFmtId="0" fontId="10" fillId="7" borderId="0" xfId="0" applyFont="1" applyFill="1" applyAlignment="1" applyProtection="1">
      <alignment horizontal="centerContinuous" vertical="center"/>
      <protection locked="0"/>
    </xf>
    <xf numFmtId="0" fontId="13" fillId="7" borderId="0" xfId="0" applyFont="1" applyFill="1" applyAlignment="1" applyProtection="1">
      <alignment horizontal="centerContinuous" vertical="center"/>
      <protection locked="0"/>
    </xf>
    <xf numFmtId="0" fontId="24" fillId="0" borderId="0" xfId="0" applyFont="1" applyAlignment="1" applyProtection="1">
      <alignment horizontal="centerContinuous" vertical="center" wrapText="1"/>
      <protection locked="0"/>
    </xf>
    <xf numFmtId="0" fontId="0" fillId="0" borderId="0" xfId="0" applyAlignment="1" applyProtection="1">
      <alignment horizontal="centerContinuous" vertical="center" wrapText="1"/>
      <protection locked="0"/>
    </xf>
    <xf numFmtId="0" fontId="11" fillId="7" borderId="2" xfId="0" applyFont="1" applyFill="1" applyBorder="1" applyAlignment="1" applyProtection="1">
      <alignment horizontal="center" vertical="center" wrapText="1"/>
      <protection locked="0"/>
    </xf>
    <xf numFmtId="0" fontId="11" fillId="7" borderId="3" xfId="0" applyFont="1" applyFill="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11" fillId="7" borderId="1" xfId="0" applyFont="1" applyFill="1"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7" xfId="0" applyBorder="1" applyAlignment="1" applyProtection="1">
      <alignment horizontal="left" vertical="center" wrapText="1"/>
      <protection locked="0"/>
    </xf>
    <xf numFmtId="4" fontId="0" fillId="0" borderId="8" xfId="0" applyNumberFormat="1" applyBorder="1" applyAlignment="1" applyProtection="1">
      <alignment horizontal="center" vertical="center" wrapText="1"/>
      <protection locked="0"/>
    </xf>
    <xf numFmtId="0" fontId="0" fillId="0" borderId="16" xfId="0" applyBorder="1" applyAlignment="1" applyProtection="1">
      <alignment horizontal="left" vertical="center" wrapText="1"/>
      <protection locked="0"/>
    </xf>
    <xf numFmtId="0" fontId="28" fillId="0" borderId="0" xfId="0" applyFont="1" applyAlignment="1" applyProtection="1">
      <alignment horizontal="center" vertical="center"/>
      <protection locked="0"/>
    </xf>
    <xf numFmtId="0" fontId="0" fillId="8" borderId="0" xfId="0" applyFill="1" applyAlignment="1" applyProtection="1">
      <alignment horizontal="center" vertical="center"/>
      <protection locked="0"/>
    </xf>
    <xf numFmtId="0" fontId="29" fillId="8" borderId="0" xfId="0" applyFont="1" applyFill="1" applyAlignment="1" applyProtection="1">
      <alignment horizontal="center" vertical="center" wrapText="1"/>
      <protection locked="0"/>
    </xf>
    <xf numFmtId="17" fontId="30" fillId="8" borderId="0" xfId="0" applyNumberFormat="1" applyFont="1" applyFill="1" applyAlignment="1" applyProtection="1">
      <alignment horizontal="center" vertical="center" wrapText="1"/>
      <protection locked="0"/>
    </xf>
    <xf numFmtId="0" fontId="30" fillId="8" borderId="0" xfId="0" applyFont="1" applyFill="1" applyAlignment="1" applyProtection="1">
      <alignment horizontal="center" vertical="center" wrapText="1"/>
      <protection locked="0"/>
    </xf>
    <xf numFmtId="0" fontId="31" fillId="3" borderId="0" xfId="0" applyFont="1" applyFill="1" applyAlignment="1" applyProtection="1">
      <alignment horizontal="center" vertical="center"/>
      <protection locked="0"/>
    </xf>
    <xf numFmtId="167" fontId="32" fillId="8" borderId="0" xfId="0" applyNumberFormat="1" applyFont="1" applyFill="1" applyAlignment="1">
      <alignment horizontal="center" vertical="center"/>
    </xf>
    <xf numFmtId="0" fontId="29" fillId="8" borderId="0" xfId="0" applyFont="1" applyFill="1" applyAlignment="1" applyProtection="1">
      <alignment horizontal="center" vertical="center"/>
      <protection locked="0"/>
    </xf>
    <xf numFmtId="167" fontId="33" fillId="8" borderId="0" xfId="0" applyNumberFormat="1" applyFont="1" applyFill="1" applyAlignment="1" applyProtection="1">
      <alignment horizontal="center" vertical="center"/>
      <protection locked="0"/>
    </xf>
    <xf numFmtId="0" fontId="0" fillId="0" borderId="0" xfId="0" applyAlignment="1">
      <alignment vertical="center"/>
    </xf>
    <xf numFmtId="167" fontId="0" fillId="8" borderId="0" xfId="0" applyNumberFormat="1" applyFill="1" applyAlignment="1">
      <alignment horizontal="center" vertical="center"/>
    </xf>
    <xf numFmtId="0" fontId="0" fillId="8" borderId="0" xfId="0" applyFill="1" applyAlignment="1">
      <alignment horizontal="center" vertical="center"/>
    </xf>
    <xf numFmtId="0" fontId="0" fillId="0" borderId="0" xfId="0" applyAlignment="1">
      <alignment horizontal="center" vertical="center"/>
    </xf>
    <xf numFmtId="0" fontId="0" fillId="0" borderId="0" xfId="0" applyAlignment="1">
      <alignment horizontal="right"/>
    </xf>
    <xf numFmtId="0" fontId="0" fillId="0" borderId="0" xfId="0" applyAlignment="1">
      <alignment horizontal="right" vertical="center"/>
    </xf>
    <xf numFmtId="167" fontId="0" fillId="8" borderId="0" xfId="0" applyNumberFormat="1" applyFill="1" applyAlignment="1">
      <alignment horizontal="right" vertical="center"/>
    </xf>
    <xf numFmtId="167" fontId="0" fillId="8" borderId="0" xfId="0" applyNumberFormat="1" applyFont="1" applyFill="1" applyAlignment="1">
      <alignment horizontal="center" vertical="center"/>
    </xf>
    <xf numFmtId="0" fontId="33" fillId="8" borderId="0" xfId="0" applyFont="1" applyFill="1" applyAlignment="1">
      <alignment horizontal="center" vertical="center"/>
    </xf>
    <xf numFmtId="0" fontId="0" fillId="0" borderId="0" xfId="0" applyAlignment="1" applyProtection="1">
      <alignment horizontal="left" vertical="center" wrapText="1"/>
      <protection locked="0"/>
    </xf>
    <xf numFmtId="0" fontId="14" fillId="4" borderId="0" xfId="0" applyFont="1" applyFill="1" applyAlignment="1">
      <alignment horizontal="centerContinuous" vertical="center"/>
    </xf>
    <xf numFmtId="0" fontId="15" fillId="0" borderId="0" xfId="0" applyFont="1" applyAlignment="1">
      <alignment horizontal="centerContinuous" vertical="center"/>
    </xf>
    <xf numFmtId="0" fontId="10" fillId="4" borderId="0" xfId="0" applyFont="1" applyFill="1" applyAlignment="1" applyProtection="1">
      <alignment horizontal="centerContinuous" vertical="center" wrapText="1"/>
    </xf>
    <xf numFmtId="167" fontId="2" fillId="0" borderId="8" xfId="5" applyFont="1" applyFill="1" applyBorder="1" applyAlignment="1" applyProtection="1">
      <alignment vertical="center" wrapText="1"/>
    </xf>
    <xf numFmtId="167" fontId="2" fillId="0" borderId="8" xfId="5" applyFont="1" applyFill="1" applyBorder="1" applyAlignment="1" applyProtection="1">
      <alignment horizontal="right" vertical="center" wrapText="1"/>
    </xf>
    <xf numFmtId="167" fontId="2" fillId="0" borderId="8" xfId="5" applyFont="1" applyFill="1" applyBorder="1" applyAlignment="1" applyProtection="1">
      <alignment horizontal="center" vertical="center" wrapText="1"/>
    </xf>
    <xf numFmtId="175" fontId="26" fillId="2" borderId="24" xfId="0" applyNumberFormat="1" applyFont="1" applyFill="1" applyBorder="1" applyAlignment="1" applyProtection="1">
      <alignment horizontal="center" wrapText="1"/>
    </xf>
    <xf numFmtId="0" fontId="9" fillId="0" borderId="0" xfId="6" applyNumberFormat="1" applyBorder="1" applyAlignment="1" applyProtection="1">
      <alignment horizontal="left" vertical="center" wrapText="1"/>
    </xf>
    <xf numFmtId="0" fontId="9" fillId="0" borderId="0" xfId="6" applyBorder="1" applyAlignment="1" applyProtection="1">
      <alignment wrapText="1"/>
    </xf>
    <xf numFmtId="0" fontId="6" fillId="0" borderId="5" xfId="3"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3" applyNumberFormat="1" applyAlignment="1">
      <alignment vertical="center" wrapText="1"/>
    </xf>
    <xf numFmtId="0" fontId="2" fillId="0" borderId="0" xfId="0" applyFont="1" applyAlignment="1">
      <alignment horizontal="left" vertical="center" wrapText="1"/>
    </xf>
    <xf numFmtId="0" fontId="23" fillId="0" borderId="0" xfId="6" applyNumberFormat="1" applyFont="1" applyFill="1" applyBorder="1" applyAlignment="1" applyProtection="1">
      <alignment horizontal="center" vertical="center" wrapText="1"/>
    </xf>
    <xf numFmtId="0" fontId="23" fillId="0" borderId="0" xfId="6" applyFont="1" applyBorder="1" applyAlignment="1" applyProtection="1">
      <alignment wrapText="1"/>
    </xf>
    <xf numFmtId="2" fontId="36" fillId="4" borderId="0" xfId="5" applyNumberFormat="1" applyFont="1" applyFill="1" applyBorder="1" applyAlignment="1" applyProtection="1">
      <alignment horizontal="center" vertical="center" wrapText="1"/>
    </xf>
    <xf numFmtId="0" fontId="2" fillId="0" borderId="0" xfId="0" applyFont="1" applyBorder="1" applyAlignment="1">
      <alignment horizontal="center" vertical="center"/>
    </xf>
    <xf numFmtId="0" fontId="2" fillId="0" borderId="0" xfId="3" applyBorder="1" applyAlignment="1">
      <alignment vertical="center" wrapText="1"/>
    </xf>
    <xf numFmtId="168" fontId="2" fillId="0" borderId="0" xfId="3" applyNumberFormat="1" applyBorder="1" applyAlignment="1">
      <alignment vertical="center" wrapText="1"/>
    </xf>
    <xf numFmtId="0" fontId="2" fillId="0" borderId="0" xfId="0" applyFont="1" applyBorder="1" applyAlignment="1">
      <alignment horizontal="center" vertical="center" wrapText="1"/>
    </xf>
    <xf numFmtId="168" fontId="2" fillId="0" borderId="0" xfId="0" applyNumberFormat="1" applyFont="1" applyBorder="1" applyAlignment="1">
      <alignment horizontal="center" vertical="center" wrapText="1"/>
    </xf>
    <xf numFmtId="170" fontId="2" fillId="0" borderId="0" xfId="0" applyNumberFormat="1" applyFont="1" applyBorder="1" applyAlignment="1">
      <alignment horizontal="center" vertical="center" wrapText="1"/>
    </xf>
    <xf numFmtId="170" fontId="2" fillId="0" borderId="4" xfId="0" applyNumberFormat="1" applyFont="1" applyBorder="1" applyAlignment="1">
      <alignment horizontal="center" vertical="center" wrapText="1"/>
    </xf>
    <xf numFmtId="0" fontId="2" fillId="0" borderId="0" xfId="3" applyFont="1" applyAlignment="1">
      <alignment vertical="center" wrapText="1"/>
    </xf>
    <xf numFmtId="168" fontId="2" fillId="0" borderId="0" xfId="3" applyNumberFormat="1" applyFont="1" applyAlignment="1">
      <alignment vertical="center" wrapText="1"/>
    </xf>
    <xf numFmtId="0" fontId="2" fillId="0" borderId="0" xfId="3" applyFont="1" applyBorder="1" applyAlignment="1">
      <alignment vertical="center" wrapText="1"/>
    </xf>
    <xf numFmtId="168" fontId="2" fillId="0" borderId="0" xfId="3" applyNumberFormat="1" applyFont="1" applyBorder="1" applyAlignment="1">
      <alignment vertical="center" wrapText="1"/>
    </xf>
    <xf numFmtId="0" fontId="2" fillId="0" borderId="0" xfId="0" applyFont="1" applyFill="1" applyAlignment="1">
      <alignment horizontal="center" vertical="center" wrapText="1"/>
    </xf>
    <xf numFmtId="0" fontId="20" fillId="0" borderId="0" xfId="0" applyFont="1" applyAlignment="1">
      <alignment vertical="center"/>
    </xf>
    <xf numFmtId="0" fontId="17" fillId="4" borderId="12" xfId="0" applyFont="1" applyFill="1" applyBorder="1" applyAlignment="1">
      <alignment horizontal="center" vertical="center"/>
    </xf>
    <xf numFmtId="0" fontId="0" fillId="8" borderId="0" xfId="0" applyFill="1" applyAlignment="1">
      <alignment horizontal="left" vertical="center"/>
    </xf>
    <xf numFmtId="0" fontId="38" fillId="0" borderId="0" xfId="6" applyFont="1" applyAlignment="1">
      <alignment horizontal="center" vertical="center" wrapText="1"/>
    </xf>
    <xf numFmtId="0" fontId="2" fillId="0" borderId="0" xfId="0" applyFont="1" applyFill="1" applyBorder="1" applyAlignment="1">
      <alignment horizontal="center" vertical="center" wrapText="1"/>
    </xf>
    <xf numFmtId="168" fontId="2" fillId="0" borderId="0" xfId="0" applyNumberFormat="1" applyFont="1" applyFill="1" applyAlignment="1">
      <alignment horizontal="center" vertical="center" wrapText="1"/>
    </xf>
    <xf numFmtId="0" fontId="0" fillId="0" borderId="0" xfId="0"/>
    <xf numFmtId="0" fontId="3" fillId="0" borderId="10" xfId="3" applyFont="1" applyBorder="1" applyAlignment="1">
      <alignment horizontal="center" vertical="center" wrapText="1"/>
    </xf>
    <xf numFmtId="168" fontId="3" fillId="0" borderId="10" xfId="3" applyNumberFormat="1" applyFont="1" applyBorder="1" applyAlignment="1">
      <alignment vertical="center" wrapText="1"/>
    </xf>
    <xf numFmtId="0" fontId="3" fillId="0" borderId="10" xfId="3" applyFont="1" applyBorder="1" applyAlignment="1">
      <alignment vertical="center" wrapText="1"/>
    </xf>
    <xf numFmtId="0" fontId="3" fillId="0" borderId="6" xfId="3" applyFont="1" applyBorder="1" applyAlignment="1">
      <alignment vertical="center" wrapText="1"/>
    </xf>
    <xf numFmtId="0" fontId="3" fillId="0" borderId="0" xfId="3" applyFont="1" applyAlignment="1">
      <alignment vertical="center" wrapText="1"/>
    </xf>
    <xf numFmtId="44" fontId="2" fillId="0" borderId="0" xfId="8" applyFont="1" applyFill="1" applyBorder="1" applyAlignment="1" applyProtection="1">
      <alignment horizontal="center" vertical="center" wrapText="1"/>
    </xf>
    <xf numFmtId="0" fontId="2" fillId="0" borderId="0" xfId="3" applyAlignment="1">
      <alignment vertical="center" wrapText="1"/>
    </xf>
    <xf numFmtId="168" fontId="2" fillId="0" borderId="0" xfId="3" applyNumberFormat="1" applyAlignment="1">
      <alignment vertical="center" wrapText="1"/>
    </xf>
    <xf numFmtId="44" fontId="2" fillId="0" borderId="0" xfId="8" applyFont="1" applyBorder="1" applyAlignment="1" applyProtection="1">
      <alignment horizontal="center" vertical="center" wrapText="1"/>
    </xf>
    <xf numFmtId="44" fontId="2" fillId="0" borderId="21" xfId="8" applyFont="1" applyFill="1" applyBorder="1" applyAlignment="1" applyProtection="1">
      <alignment horizontal="center" vertical="center" wrapText="1"/>
    </xf>
    <xf numFmtId="0" fontId="2" fillId="0" borderId="0" xfId="0" applyFont="1" applyAlignment="1">
      <alignment horizontal="center" vertical="center" wrapText="1"/>
    </xf>
    <xf numFmtId="168"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44" fontId="7" fillId="5" borderId="21" xfId="8" applyFont="1" applyFill="1" applyBorder="1" applyAlignment="1" applyProtection="1">
      <alignment horizontal="center" vertical="center" wrapText="1"/>
    </xf>
    <xf numFmtId="44" fontId="7" fillId="0" borderId="0" xfId="8" applyFont="1" applyFill="1" applyBorder="1" applyAlignment="1" applyProtection="1">
      <alignment horizontal="center" vertical="center" wrapText="1"/>
    </xf>
    <xf numFmtId="0" fontId="3" fillId="0" borderId="5" xfId="3" applyFont="1" applyBorder="1" applyAlignment="1">
      <alignment horizontal="center" vertical="center" wrapText="1"/>
    </xf>
    <xf numFmtId="44" fontId="3" fillId="0" borderId="10" xfId="3" applyNumberFormat="1" applyFont="1" applyBorder="1" applyAlignment="1">
      <alignment vertical="center" wrapText="1"/>
    </xf>
    <xf numFmtId="44" fontId="2" fillId="0" borderId="0" xfId="8" applyFont="1" applyFill="1" applyBorder="1" applyAlignment="1" applyProtection="1">
      <alignment vertical="center" wrapText="1"/>
    </xf>
    <xf numFmtId="43" fontId="2" fillId="0" borderId="0" xfId="0" applyNumberFormat="1" applyFont="1" applyAlignment="1">
      <alignment horizontal="center" vertical="center" wrapText="1"/>
    </xf>
    <xf numFmtId="0" fontId="2" fillId="0" borderId="4" xfId="0" applyFont="1" applyBorder="1" applyAlignment="1">
      <alignment horizontal="center" vertical="center" wrapText="1"/>
    </xf>
    <xf numFmtId="168" fontId="2" fillId="0" borderId="4" xfId="0" applyNumberFormat="1" applyFont="1" applyBorder="1" applyAlignment="1">
      <alignment horizontal="center" vertical="center" wrapText="1"/>
    </xf>
    <xf numFmtId="0" fontId="0" fillId="8" borderId="0" xfId="0" applyFill="1" applyAlignment="1" applyProtection="1">
      <alignment vertical="center"/>
      <protection locked="0"/>
    </xf>
    <xf numFmtId="0" fontId="3" fillId="0" borderId="22" xfId="3" applyFont="1" applyBorder="1" applyAlignment="1">
      <alignment horizontal="center" vertical="center" wrapText="1"/>
    </xf>
    <xf numFmtId="0" fontId="3" fillId="0" borderId="10" xfId="3" applyFont="1" applyFill="1" applyBorder="1" applyAlignment="1">
      <alignment horizontal="center" vertical="center" wrapText="1"/>
    </xf>
    <xf numFmtId="0" fontId="0" fillId="0" borderId="0" xfId="0"/>
    <xf numFmtId="0" fontId="39" fillId="0" borderId="0" xfId="0" applyFont="1" applyAlignment="1">
      <alignment horizontal="left"/>
    </xf>
    <xf numFmtId="0" fontId="39" fillId="0" borderId="0" xfId="0" applyFont="1" applyAlignment="1">
      <alignment horizontal="right"/>
    </xf>
    <xf numFmtId="4" fontId="0" fillId="0" borderId="17" xfId="0" applyNumberFormat="1" applyBorder="1" applyAlignment="1" applyProtection="1">
      <alignment horizontal="center" vertical="center" wrapText="1"/>
      <protection locked="0"/>
    </xf>
    <xf numFmtId="4" fontId="0" fillId="0" borderId="0" xfId="0" applyNumberFormat="1" applyAlignment="1" applyProtection="1">
      <alignment horizontal="center" vertical="center" wrapText="1"/>
      <protection locked="0"/>
    </xf>
    <xf numFmtId="180" fontId="0" fillId="0" borderId="9" xfId="0" applyNumberFormat="1" applyBorder="1" applyAlignment="1" applyProtection="1">
      <alignment horizontal="center" vertical="center" wrapText="1"/>
      <protection locked="0"/>
    </xf>
    <xf numFmtId="180" fontId="0" fillId="0" borderId="18" xfId="0" applyNumberFormat="1" applyBorder="1" applyAlignment="1" applyProtection="1">
      <alignment horizontal="center" vertical="center" wrapText="1"/>
      <protection locked="0"/>
    </xf>
    <xf numFmtId="180" fontId="0" fillId="0" borderId="0" xfId="0" applyNumberFormat="1" applyAlignment="1" applyProtection="1">
      <alignment horizontal="center" vertical="center" wrapText="1"/>
      <protection locked="0"/>
    </xf>
    <xf numFmtId="0" fontId="10" fillId="4" borderId="0" xfId="9" applyFont="1" applyFill="1" applyAlignment="1" applyProtection="1">
      <alignment horizontal="centerContinuous" vertical="center"/>
    </xf>
    <xf numFmtId="0" fontId="10" fillId="4" borderId="0" xfId="9" applyFont="1" applyFill="1" applyAlignment="1">
      <alignment horizontal="centerContinuous" vertical="center"/>
      <protection locked="0"/>
    </xf>
    <xf numFmtId="1" fontId="10" fillId="4" borderId="0" xfId="9" applyNumberFormat="1" applyFont="1" applyFill="1" applyAlignment="1">
      <alignment horizontal="centerContinuous" vertical="center"/>
      <protection locked="0"/>
    </xf>
    <xf numFmtId="10" fontId="10" fillId="4" borderId="0" xfId="15" applyNumberFormat="1" applyFont="1" applyFill="1" applyBorder="1" applyAlignment="1" applyProtection="1">
      <alignment horizontal="centerContinuous" vertical="center"/>
      <protection locked="0"/>
    </xf>
    <xf numFmtId="0" fontId="2" fillId="6" borderId="0" xfId="9" applyFill="1" applyAlignment="1">
      <alignment vertical="center" wrapText="1"/>
      <protection locked="0"/>
    </xf>
    <xf numFmtId="0" fontId="2" fillId="0" borderId="0" xfId="9">
      <protection locked="0"/>
    </xf>
    <xf numFmtId="0" fontId="2" fillId="0" borderId="0" xfId="9" applyAlignment="1">
      <alignment vertical="center" wrapText="1"/>
      <protection locked="0"/>
    </xf>
    <xf numFmtId="0" fontId="13" fillId="4" borderId="0" xfId="9" applyFont="1" applyFill="1" applyAlignment="1" applyProtection="1">
      <alignment horizontal="centerContinuous" vertical="center"/>
    </xf>
    <xf numFmtId="0" fontId="13" fillId="4" borderId="0" xfId="9" applyFont="1" applyFill="1" applyAlignment="1">
      <alignment horizontal="centerContinuous" vertical="center"/>
      <protection locked="0"/>
    </xf>
    <xf numFmtId="1" fontId="13" fillId="4" borderId="0" xfId="9" applyNumberFormat="1" applyFont="1" applyFill="1" applyAlignment="1">
      <alignment horizontal="centerContinuous" vertical="center"/>
      <protection locked="0"/>
    </xf>
    <xf numFmtId="10" fontId="13" fillId="4" borderId="0" xfId="15" applyNumberFormat="1" applyFont="1" applyFill="1" applyBorder="1" applyAlignment="1" applyProtection="1">
      <alignment horizontal="centerContinuous" vertical="center"/>
      <protection locked="0"/>
    </xf>
    <xf numFmtId="0" fontId="24" fillId="6" borderId="0" xfId="9" applyFont="1" applyFill="1" applyAlignment="1" applyProtection="1">
      <alignment horizontal="centerContinuous" vertical="center" wrapText="1"/>
    </xf>
    <xf numFmtId="0" fontId="24" fillId="6" borderId="0" xfId="9" applyFont="1" applyFill="1" applyAlignment="1">
      <alignment horizontal="centerContinuous" vertical="center" wrapText="1"/>
      <protection locked="0"/>
    </xf>
    <xf numFmtId="1" fontId="24" fillId="6" borderId="0" xfId="9" applyNumberFormat="1" applyFont="1" applyFill="1" applyAlignment="1">
      <alignment horizontal="centerContinuous" vertical="center" wrapText="1"/>
      <protection locked="0"/>
    </xf>
    <xf numFmtId="10" fontId="24" fillId="6" borderId="0" xfId="15" applyNumberFormat="1" applyFont="1" applyFill="1" applyBorder="1" applyAlignment="1" applyProtection="1">
      <alignment horizontal="centerContinuous" vertical="center" wrapText="1"/>
      <protection locked="0"/>
    </xf>
    <xf numFmtId="0" fontId="25" fillId="6" borderId="4" xfId="9" applyFont="1" applyFill="1" applyBorder="1" applyAlignment="1">
      <alignment horizontal="center" vertical="center" wrapText="1"/>
      <protection locked="0"/>
    </xf>
    <xf numFmtId="0" fontId="25" fillId="6" borderId="4" xfId="9" applyFont="1" applyFill="1" applyBorder="1" applyAlignment="1">
      <alignment vertical="center" wrapText="1"/>
      <protection locked="0"/>
    </xf>
    <xf numFmtId="1" fontId="25" fillId="6" borderId="4" xfId="9" applyNumberFormat="1" applyFont="1" applyFill="1" applyBorder="1" applyAlignment="1">
      <alignment vertical="center" wrapText="1"/>
      <protection locked="0"/>
    </xf>
    <xf numFmtId="10" fontId="25" fillId="6" borderId="4" xfId="15" applyNumberFormat="1" applyFont="1" applyFill="1" applyBorder="1" applyAlignment="1" applyProtection="1">
      <alignment vertical="center" wrapText="1"/>
      <protection locked="0"/>
    </xf>
    <xf numFmtId="0" fontId="25" fillId="6" borderId="0" xfId="9" applyFont="1" applyFill="1" applyAlignment="1">
      <alignment horizontal="center" vertical="center" wrapText="1"/>
      <protection locked="0"/>
    </xf>
    <xf numFmtId="0" fontId="25" fillId="0" borderId="0" xfId="9" applyFont="1" applyAlignment="1">
      <alignment horizontal="center" vertical="center" wrapText="1"/>
      <protection locked="0"/>
    </xf>
    <xf numFmtId="0" fontId="2" fillId="9" borderId="8" xfId="9" applyFill="1" applyBorder="1" applyAlignment="1" applyProtection="1">
      <alignment horizontal="center" vertical="center"/>
    </xf>
    <xf numFmtId="0" fontId="2" fillId="9" borderId="8" xfId="9" applyFill="1" applyBorder="1" applyAlignment="1" applyProtection="1">
      <alignment horizontal="center"/>
    </xf>
    <xf numFmtId="1" fontId="2" fillId="9" borderId="8" xfId="9" applyNumberFormat="1" applyFill="1" applyBorder="1" applyAlignment="1" applyProtection="1">
      <alignment horizontal="center"/>
    </xf>
    <xf numFmtId="10" fontId="0" fillId="9" borderId="8" xfId="15" applyNumberFormat="1" applyFont="1" applyFill="1" applyBorder="1" applyAlignment="1" applyProtection="1">
      <alignment horizontal="center"/>
    </xf>
    <xf numFmtId="44" fontId="2" fillId="9" borderId="8" xfId="9" applyNumberFormat="1" applyFill="1" applyBorder="1" applyAlignment="1" applyProtection="1">
      <alignment horizontal="center"/>
    </xf>
    <xf numFmtId="44" fontId="2" fillId="0" borderId="0" xfId="9" applyNumberFormat="1">
      <protection locked="0"/>
    </xf>
    <xf numFmtId="0" fontId="2" fillId="10" borderId="8" xfId="9" applyFill="1" applyBorder="1" applyAlignment="1" applyProtection="1">
      <alignment horizontal="center" vertical="center"/>
    </xf>
    <xf numFmtId="0" fontId="2" fillId="10" borderId="8" xfId="9" applyFill="1" applyBorder="1" applyAlignment="1" applyProtection="1">
      <alignment horizontal="center"/>
    </xf>
    <xf numFmtId="1" fontId="2" fillId="10" borderId="8" xfId="9" applyNumberFormat="1" applyFill="1" applyBorder="1" applyAlignment="1" applyProtection="1">
      <alignment horizontal="center"/>
    </xf>
    <xf numFmtId="10" fontId="0" fillId="10" borderId="8" xfId="15" applyNumberFormat="1" applyFont="1" applyFill="1" applyBorder="1" applyAlignment="1" applyProtection="1">
      <alignment horizontal="center"/>
    </xf>
    <xf numFmtId="44" fontId="2" fillId="10" borderId="8" xfId="9" applyNumberFormat="1" applyFill="1" applyBorder="1" applyAlignment="1" applyProtection="1">
      <alignment horizontal="center"/>
    </xf>
    <xf numFmtId="0" fontId="2" fillId="0" borderId="0" xfId="9" applyAlignment="1">
      <alignment horizontal="center" vertical="center" wrapText="1"/>
      <protection locked="0"/>
    </xf>
    <xf numFmtId="0" fontId="2" fillId="0" borderId="8" xfId="9" applyBorder="1" applyAlignment="1" applyProtection="1">
      <alignment horizontal="center" vertical="center"/>
    </xf>
    <xf numFmtId="4" fontId="2" fillId="0" borderId="8" xfId="4" applyNumberFormat="1" applyFont="1" applyFill="1" applyBorder="1" applyAlignment="1" applyProtection="1">
      <alignment horizontal="center" vertical="center" wrapText="1"/>
    </xf>
    <xf numFmtId="1" fontId="2" fillId="0" borderId="8" xfId="4" applyNumberFormat="1" applyFont="1" applyFill="1" applyBorder="1" applyAlignment="1" applyProtection="1">
      <alignment horizontal="center" vertical="center" wrapText="1"/>
    </xf>
    <xf numFmtId="10" fontId="2" fillId="0" borderId="8" xfId="15" applyNumberFormat="1" applyFont="1" applyFill="1" applyBorder="1" applyAlignment="1" applyProtection="1">
      <alignment horizontal="center" vertical="center" wrapText="1"/>
    </xf>
    <xf numFmtId="167" fontId="2" fillId="2" borderId="8" xfId="5" applyFont="1" applyFill="1" applyBorder="1" applyAlignment="1" applyProtection="1">
      <alignment vertical="center" wrapText="1"/>
    </xf>
    <xf numFmtId="176" fontId="8" fillId="2" borderId="4" xfId="16" applyNumberFormat="1" applyFont="1" applyFill="1" applyBorder="1" applyAlignment="1" applyProtection="1">
      <alignment horizontal="right" vertical="center" wrapText="1"/>
    </xf>
    <xf numFmtId="0" fontId="2" fillId="0" borderId="0" xfId="9" applyAlignment="1">
      <alignment horizontal="center" vertical="center"/>
      <protection locked="0"/>
    </xf>
    <xf numFmtId="2" fontId="3" fillId="0" borderId="0" xfId="16" applyNumberFormat="1" applyFont="1" applyAlignment="1" applyProtection="1">
      <alignment horizontal="right"/>
      <protection locked="0"/>
    </xf>
    <xf numFmtId="1" fontId="3" fillId="0" borderId="0" xfId="16" applyNumberFormat="1" applyFont="1" applyAlignment="1" applyProtection="1">
      <alignment horizontal="right"/>
      <protection locked="0"/>
    </xf>
    <xf numFmtId="10" fontId="3" fillId="0" borderId="0" xfId="15" applyNumberFormat="1" applyFont="1" applyAlignment="1" applyProtection="1">
      <alignment horizontal="right"/>
      <protection locked="0"/>
    </xf>
    <xf numFmtId="170" fontId="2" fillId="0" borderId="0" xfId="16" applyFont="1" applyProtection="1">
      <protection locked="0"/>
    </xf>
    <xf numFmtId="170" fontId="2" fillId="0" borderId="0" xfId="16" applyFont="1" applyAlignment="1" applyProtection="1">
      <alignment horizontal="right"/>
    </xf>
    <xf numFmtId="170" fontId="2" fillId="0" borderId="0" xfId="16" applyFont="1" applyProtection="1"/>
    <xf numFmtId="177" fontId="2" fillId="0" borderId="0" xfId="2" applyNumberFormat="1" applyFont="1" applyAlignment="1" applyProtection="1">
      <alignment horizontal="right"/>
    </xf>
    <xf numFmtId="0" fontId="2" fillId="0" borderId="8" xfId="9" applyBorder="1" applyAlignment="1" applyProtection="1">
      <alignment vertical="center" wrapText="1"/>
    </xf>
    <xf numFmtId="0" fontId="10" fillId="4" borderId="0" xfId="9" applyFont="1" applyFill="1" applyAlignment="1">
      <alignment horizontal="centerContinuous" vertical="center" wrapText="1"/>
      <protection locked="0"/>
    </xf>
    <xf numFmtId="0" fontId="13" fillId="4" borderId="0" xfId="9" applyFont="1" applyFill="1" applyAlignment="1">
      <alignment horizontal="centerContinuous" vertical="center" wrapText="1"/>
      <protection locked="0"/>
    </xf>
    <xf numFmtId="0" fontId="34" fillId="9" borderId="8" xfId="9" applyFont="1" applyFill="1" applyBorder="1" applyAlignment="1" applyProtection="1">
      <alignment horizontal="center" vertical="center" wrapText="1"/>
    </xf>
    <xf numFmtId="0" fontId="37" fillId="10" borderId="8" xfId="9" applyFont="1" applyFill="1" applyBorder="1" applyAlignment="1" applyProtection="1">
      <alignment horizontal="center" vertical="center" wrapText="1"/>
    </xf>
    <xf numFmtId="0" fontId="3" fillId="9" borderId="8" xfId="9" quotePrefix="1" applyFont="1" applyFill="1" applyBorder="1" applyAlignment="1" applyProtection="1">
      <alignment horizontal="center" vertical="center"/>
    </xf>
    <xf numFmtId="0" fontId="2" fillId="0" borderId="0" xfId="9" applyAlignment="1">
      <alignment horizontal="left" vertical="center" wrapText="1"/>
      <protection locked="0"/>
    </xf>
    <xf numFmtId="0" fontId="2" fillId="0" borderId="8" xfId="4" applyNumberFormat="1" applyFont="1" applyFill="1" applyBorder="1" applyAlignment="1" applyProtection="1">
      <alignment horizontal="center" vertical="center" wrapText="1"/>
    </xf>
    <xf numFmtId="184" fontId="2" fillId="0" borderId="0" xfId="2" applyNumberFormat="1" applyFont="1" applyProtection="1"/>
    <xf numFmtId="0" fontId="2" fillId="0" borderId="0" xfId="9" applyAlignment="1">
      <alignment horizontal="left" vertical="center" wrapText="1"/>
      <protection locked="0"/>
    </xf>
    <xf numFmtId="3" fontId="3" fillId="0" borderId="19" xfId="3" applyNumberFormat="1" applyFont="1" applyBorder="1" applyAlignment="1">
      <alignment horizontal="center" vertical="center"/>
    </xf>
    <xf numFmtId="0" fontId="3" fillId="0" borderId="15" xfId="3" applyFont="1" applyBorder="1" applyAlignment="1">
      <alignment horizontal="center" vertical="center"/>
    </xf>
    <xf numFmtId="0" fontId="3" fillId="0" borderId="22" xfId="3" applyFont="1" applyBorder="1" applyAlignment="1">
      <alignment horizontal="center" vertical="center"/>
    </xf>
    <xf numFmtId="0" fontId="3" fillId="0" borderId="20" xfId="3" applyFont="1" applyBorder="1" applyAlignment="1">
      <alignment horizontal="center" vertical="center" wrapText="1"/>
    </xf>
    <xf numFmtId="0" fontId="3" fillId="0" borderId="0" xfId="3" applyFont="1" applyAlignment="1">
      <alignment horizontal="center" vertical="center" wrapText="1"/>
    </xf>
    <xf numFmtId="0" fontId="3" fillId="0" borderId="4" xfId="3" applyFont="1" applyBorder="1" applyAlignment="1">
      <alignment horizontal="center" vertical="center" wrapText="1"/>
    </xf>
    <xf numFmtId="0" fontId="3" fillId="0" borderId="0" xfId="3" applyFont="1" applyBorder="1" applyAlignment="1">
      <alignment horizontal="center" vertical="center" wrapText="1"/>
    </xf>
    <xf numFmtId="3" fontId="3" fillId="0" borderId="19" xfId="3" applyNumberFormat="1" applyFont="1" applyFill="1" applyBorder="1" applyAlignment="1">
      <alignment horizontal="center" vertical="center"/>
    </xf>
    <xf numFmtId="0" fontId="3" fillId="0" borderId="15" xfId="3" applyFont="1" applyFill="1" applyBorder="1" applyAlignment="1">
      <alignment horizontal="center" vertical="center"/>
    </xf>
    <xf numFmtId="0" fontId="3" fillId="0" borderId="22" xfId="3" applyFont="1" applyFill="1" applyBorder="1" applyAlignment="1">
      <alignment horizontal="center" vertical="center"/>
    </xf>
    <xf numFmtId="0" fontId="3" fillId="0" borderId="20" xfId="3" applyFont="1" applyFill="1" applyBorder="1" applyAlignment="1">
      <alignment horizontal="center" vertical="center" wrapText="1"/>
    </xf>
    <xf numFmtId="0" fontId="3" fillId="0" borderId="0" xfId="3" applyFont="1" applyFill="1" applyAlignment="1">
      <alignment horizontal="center" vertical="center" wrapText="1"/>
    </xf>
    <xf numFmtId="0" fontId="3" fillId="0" borderId="4" xfId="3" applyFont="1" applyFill="1" applyBorder="1" applyAlignment="1">
      <alignment horizontal="center" vertical="center" wrapText="1"/>
    </xf>
    <xf numFmtId="3" fontId="3" fillId="0" borderId="15" xfId="3" applyNumberFormat="1" applyFont="1" applyFill="1" applyBorder="1" applyAlignment="1">
      <alignment horizontal="center" vertical="center"/>
    </xf>
    <xf numFmtId="3" fontId="3" fillId="0" borderId="22" xfId="3" applyNumberFormat="1" applyFont="1" applyFill="1" applyBorder="1" applyAlignment="1">
      <alignment horizontal="center" vertical="center"/>
    </xf>
    <xf numFmtId="3" fontId="3" fillId="0" borderId="15" xfId="3" applyNumberFormat="1" applyFont="1" applyBorder="1" applyAlignment="1">
      <alignment horizontal="center" vertical="center"/>
    </xf>
    <xf numFmtId="3" fontId="3" fillId="0" borderId="22" xfId="3" applyNumberFormat="1" applyFont="1" applyBorder="1" applyAlignment="1">
      <alignment horizontal="center" vertical="center"/>
    </xf>
    <xf numFmtId="0" fontId="3" fillId="0" borderId="0" xfId="3" applyFont="1" applyFill="1" applyBorder="1" applyAlignment="1">
      <alignment horizontal="center" vertical="center" wrapText="1"/>
    </xf>
    <xf numFmtId="3" fontId="3" fillId="0" borderId="19" xfId="3" applyNumberFormat="1" applyFont="1" applyBorder="1" applyAlignment="1">
      <alignment horizontal="center" vertical="center" wrapText="1"/>
    </xf>
    <xf numFmtId="0" fontId="3" fillId="0" borderId="15" xfId="3" applyFont="1" applyBorder="1" applyAlignment="1">
      <alignment horizontal="center" vertical="center" wrapText="1"/>
    </xf>
    <xf numFmtId="0" fontId="17" fillId="4" borderId="1" xfId="0" applyFont="1" applyFill="1" applyBorder="1" applyAlignment="1" applyProtection="1">
      <alignment horizontal="center" vertical="center" wrapText="1"/>
    </xf>
    <xf numFmtId="0" fontId="17" fillId="4" borderId="2" xfId="0" applyFont="1" applyFill="1" applyBorder="1" applyAlignment="1" applyProtection="1">
      <alignment horizontal="center" vertical="center" wrapText="1"/>
    </xf>
    <xf numFmtId="2" fontId="17" fillId="4" borderId="2" xfId="1" applyNumberFormat="1" applyFont="1" applyFill="1" applyBorder="1" applyAlignment="1" applyProtection="1">
      <alignment horizontal="center" vertical="center" wrapText="1"/>
    </xf>
    <xf numFmtId="43" fontId="17" fillId="4" borderId="2" xfId="1" applyFont="1" applyFill="1" applyBorder="1" applyAlignment="1" applyProtection="1">
      <alignment horizontal="center" vertical="center" wrapText="1"/>
    </xf>
    <xf numFmtId="2" fontId="17" fillId="4" borderId="3" xfId="1" applyNumberFormat="1" applyFont="1" applyFill="1" applyBorder="1" applyAlignment="1" applyProtection="1">
      <alignment horizontal="center" vertical="center" wrapText="1"/>
    </xf>
    <xf numFmtId="174" fontId="21" fillId="2" borderId="16" xfId="9" applyNumberFormat="1" applyFont="1" applyFill="1" applyBorder="1" applyAlignment="1" applyProtection="1">
      <alignment vertical="center" wrapText="1"/>
    </xf>
    <xf numFmtId="49" fontId="21" fillId="2" borderId="25" xfId="9" applyNumberFormat="1" applyFont="1" applyFill="1" applyBorder="1" applyAlignment="1" applyProtection="1">
      <alignment vertical="center" wrapText="1"/>
    </xf>
    <xf numFmtId="174" fontId="21" fillId="2" borderId="25" xfId="9" applyNumberFormat="1" applyFont="1" applyFill="1" applyBorder="1" applyAlignment="1" applyProtection="1">
      <alignment vertical="center" wrapText="1"/>
    </xf>
    <xf numFmtId="174" fontId="21" fillId="2" borderId="26" xfId="9" applyNumberFormat="1" applyFont="1" applyFill="1" applyBorder="1" applyAlignment="1" applyProtection="1">
      <alignment vertical="center" wrapText="1"/>
    </xf>
    <xf numFmtId="1" fontId="21" fillId="2" borderId="26" xfId="9" applyNumberFormat="1" applyFont="1" applyFill="1" applyBorder="1" applyAlignment="1" applyProtection="1">
      <alignment vertical="center" wrapText="1"/>
    </xf>
    <xf numFmtId="10" fontId="21" fillId="2" borderId="26" xfId="15" applyNumberFormat="1" applyFont="1" applyFill="1" applyBorder="1" applyAlignment="1" applyProtection="1">
      <alignment vertical="center" wrapText="1"/>
    </xf>
    <xf numFmtId="174" fontId="26" fillId="2" borderId="5" xfId="9" applyNumberFormat="1" applyFont="1" applyFill="1" applyBorder="1" applyAlignment="1" applyProtection="1">
      <alignment horizontal="centerContinuous" vertical="center" wrapText="1"/>
    </xf>
    <xf numFmtId="174" fontId="26" fillId="2" borderId="10" xfId="9" applyNumberFormat="1" applyFont="1" applyFill="1" applyBorder="1" applyAlignment="1" applyProtection="1">
      <alignment horizontal="centerContinuous" vertical="center" wrapText="1"/>
    </xf>
    <xf numFmtId="174" fontId="8" fillId="2" borderId="10" xfId="9" applyNumberFormat="1" applyFont="1" applyFill="1" applyBorder="1" applyAlignment="1" applyProtection="1">
      <alignment horizontal="centerContinuous" vertical="center" wrapText="1"/>
    </xf>
    <xf numFmtId="174" fontId="26" fillId="2" borderId="5" xfId="9" applyNumberFormat="1" applyFont="1" applyFill="1" applyBorder="1" applyAlignment="1" applyProtection="1">
      <alignment vertical="center" wrapText="1"/>
    </xf>
    <xf numFmtId="174" fontId="26" fillId="2" borderId="10" xfId="9" applyNumberFormat="1" applyFont="1" applyFill="1" applyBorder="1" applyAlignment="1" applyProtection="1">
      <alignment vertical="center" wrapText="1"/>
    </xf>
    <xf numFmtId="1" fontId="26" fillId="2" borderId="10" xfId="9" applyNumberFormat="1" applyFont="1" applyFill="1" applyBorder="1" applyAlignment="1" applyProtection="1">
      <alignment vertical="center" wrapText="1"/>
    </xf>
    <xf numFmtId="10" fontId="26" fillId="2" borderId="10" xfId="15" applyNumberFormat="1" applyFont="1" applyFill="1" applyBorder="1" applyAlignment="1" applyProtection="1">
      <alignment vertical="center" wrapText="1"/>
    </xf>
    <xf numFmtId="167" fontId="2" fillId="0" borderId="8" xfId="5" applyFont="1" applyFill="1" applyBorder="1" applyAlignment="1" applyProtection="1">
      <alignment vertical="center" wrapText="1"/>
      <protection locked="0"/>
    </xf>
    <xf numFmtId="10" fontId="2" fillId="0" borderId="8" xfId="15" applyNumberFormat="1" applyFont="1" applyFill="1" applyBorder="1" applyAlignment="1" applyProtection="1">
      <alignment horizontal="center" vertical="center" wrapText="1"/>
      <protection locked="0"/>
    </xf>
    <xf numFmtId="0" fontId="17" fillId="4" borderId="5" xfId="0" applyFont="1" applyFill="1" applyBorder="1" applyAlignment="1" applyProtection="1">
      <alignment horizontal="centerContinuous" vertical="center"/>
    </xf>
    <xf numFmtId="0" fontId="17" fillId="4" borderId="10" xfId="0" applyFont="1" applyFill="1" applyBorder="1" applyAlignment="1" applyProtection="1">
      <alignment horizontal="centerContinuous" vertical="center"/>
    </xf>
    <xf numFmtId="0" fontId="2" fillId="0" borderId="27" xfId="0" applyFont="1" applyBorder="1" applyAlignment="1" applyProtection="1">
      <alignment vertical="center"/>
    </xf>
    <xf numFmtId="0" fontId="11" fillId="0" borderId="28" xfId="0" applyFont="1" applyBorder="1" applyAlignment="1" applyProtection="1">
      <alignment horizontal="center" vertical="center" wrapText="1"/>
    </xf>
    <xf numFmtId="0" fontId="27" fillId="0" borderId="29" xfId="0" applyFont="1" applyBorder="1" applyAlignment="1" applyProtection="1">
      <alignment horizontal="center" vertical="center"/>
    </xf>
    <xf numFmtId="0" fontId="25" fillId="0" borderId="0" xfId="0" applyFont="1" applyAlignment="1" applyProtection="1">
      <alignment horizontal="center" vertical="center"/>
    </xf>
    <xf numFmtId="0" fontId="11" fillId="0" borderId="30" xfId="0" applyFont="1" applyBorder="1" applyAlignment="1" applyProtection="1">
      <alignment horizontal="center" vertical="center" wrapText="1"/>
    </xf>
    <xf numFmtId="0" fontId="21" fillId="0" borderId="31" xfId="0" applyFont="1" applyBorder="1" applyAlignment="1" applyProtection="1">
      <alignment horizontal="center" vertical="center"/>
    </xf>
    <xf numFmtId="0" fontId="11" fillId="0" borderId="32" xfId="0" applyFont="1" applyBorder="1" applyAlignment="1" applyProtection="1">
      <alignment horizontal="center" vertical="center" wrapText="1"/>
    </xf>
    <xf numFmtId="0" fontId="11" fillId="0" borderId="8" xfId="0" applyFont="1" applyBorder="1" applyAlignment="1" applyProtection="1">
      <alignment horizontal="center" vertical="center"/>
    </xf>
    <xf numFmtId="0" fontId="22" fillId="0" borderId="7" xfId="0" applyFont="1" applyBorder="1" applyAlignment="1" applyProtection="1">
      <alignment horizontal="center" vertical="center"/>
    </xf>
    <xf numFmtId="0" fontId="2" fillId="0" borderId="0" xfId="0" applyFont="1" applyAlignment="1" applyProtection="1">
      <alignment horizontal="center" vertical="center"/>
    </xf>
    <xf numFmtId="0" fontId="3" fillId="4" borderId="24" xfId="0" applyFont="1" applyFill="1" applyBorder="1" applyAlignment="1" applyProtection="1">
      <alignment horizontal="center" vertical="center" wrapText="1"/>
    </xf>
    <xf numFmtId="10" fontId="3" fillId="4" borderId="25" xfId="0" applyNumberFormat="1" applyFont="1" applyFill="1" applyBorder="1" applyAlignment="1" applyProtection="1">
      <alignment horizontal="center" vertical="center"/>
    </xf>
    <xf numFmtId="0" fontId="3" fillId="4" borderId="22" xfId="0" applyFont="1" applyFill="1" applyBorder="1" applyAlignment="1" applyProtection="1">
      <alignment horizontal="center" vertical="center"/>
    </xf>
    <xf numFmtId="0" fontId="2" fillId="0" borderId="15" xfId="0" applyFont="1" applyBorder="1" applyAlignment="1" applyProtection="1">
      <alignment vertical="center"/>
    </xf>
    <xf numFmtId="0" fontId="2" fillId="0" borderId="0" xfId="0" applyFont="1" applyAlignment="1" applyProtection="1">
      <alignment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Protection="1"/>
    <xf numFmtId="0" fontId="0" fillId="0" borderId="0" xfId="0" applyAlignment="1" applyProtection="1">
      <alignment horizontal="center"/>
    </xf>
    <xf numFmtId="0" fontId="16" fillId="0" borderId="0" xfId="0" applyFont="1" applyAlignment="1" applyProtection="1">
      <alignment horizontal="left"/>
    </xf>
  </cellXfs>
  <cellStyles count="19">
    <cellStyle name="Hiperlink" xfId="6" builtinId="8"/>
    <cellStyle name="Moeda 2" xfId="5"/>
    <cellStyle name="Moeda 2 2" xfId="8"/>
    <cellStyle name="Moeda 2 3" xfId="10"/>
    <cellStyle name="Moeda 3" xfId="13"/>
    <cellStyle name="Normal" xfId="0" builtinId="0"/>
    <cellStyle name="Normal 2" xfId="11"/>
    <cellStyle name="Normal 2 2" xfId="9"/>
    <cellStyle name="Normal_Composições" xfId="3"/>
    <cellStyle name="Porcentagem" xfId="2" builtinId="5"/>
    <cellStyle name="Porcentagem 2" xfId="14"/>
    <cellStyle name="Porcentagem 2 2" xfId="15"/>
    <cellStyle name="Separador de milhares_MODELO CÂMARA" xfId="4"/>
    <cellStyle name="Vírgula" xfId="1" builtinId="3"/>
    <cellStyle name="Vírgula 2" xfId="7"/>
    <cellStyle name="Vírgula 2 2 3" xfId="16"/>
    <cellStyle name="Vírgula 3" xfId="12"/>
    <cellStyle name="Vírgula 3 2" xfId="17"/>
    <cellStyle name="Vírgula 5" xfId="18"/>
  </cellStyles>
  <dxfs count="6518">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ill>
        <patternFill>
          <bgColor rgb="FFFF0000"/>
        </patternFill>
      </fill>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ill>
        <patternFill>
          <bgColor rgb="FFFF0000"/>
        </patternFill>
      </fill>
    </dxf>
    <dxf>
      <fill>
        <patternFill>
          <bgColor rgb="FFFF0000"/>
        </patternFill>
      </fill>
    </dxf>
    <dxf>
      <font>
        <color auto="1"/>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2" defaultPivotStyle="PivotStyleLight16"/>
  <colors>
    <mruColors>
      <color rgb="FFFF6D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186578</xdr:colOff>
      <xdr:row>4</xdr:row>
      <xdr:rowOff>264318</xdr:rowOff>
    </xdr:to>
    <xdr:sp macro="" textlink="">
      <xdr:nvSpPr>
        <xdr:cNvPr id="4124" name="CommandButton1" hidden="1">
          <a:extLst>
            <a:ext uri="{63B3BB69-23CF-44E3-9099-C40C66FF867C}">
              <a14:compatExt xmlns:a14="http://schemas.microsoft.com/office/drawing/2010/main" spid="_x0000_s4124"/>
            </a:ext>
            <a:ext uri="{FF2B5EF4-FFF2-40B4-BE49-F238E27FC236}">
              <a16:creationId xmlns:a16="http://schemas.microsoft.com/office/drawing/2014/main" xmlns="" id="{00000000-0008-0000-0300-00001C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11</xdr:col>
      <xdr:colOff>481853</xdr:colOff>
      <xdr:row>1</xdr:row>
      <xdr:rowOff>276225</xdr:rowOff>
    </xdr:to>
    <xdr:sp macro="" textlink="">
      <xdr:nvSpPr>
        <xdr:cNvPr id="4126" name="CommandButton2" hidden="1">
          <a:extLst>
            <a:ext uri="{63B3BB69-23CF-44E3-9099-C40C66FF867C}">
              <a14:compatExt xmlns:a14="http://schemas.microsoft.com/office/drawing/2010/main" spid="_x0000_s4126"/>
            </a:ext>
            <a:ext uri="{FF2B5EF4-FFF2-40B4-BE49-F238E27FC236}">
              <a16:creationId xmlns:a16="http://schemas.microsoft.com/office/drawing/2014/main" xmlns="" id="{00000000-0008-0000-0300-00001E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11</xdr:col>
      <xdr:colOff>481853</xdr:colOff>
      <xdr:row>4</xdr:row>
      <xdr:rowOff>140493</xdr:rowOff>
    </xdr:to>
    <xdr:sp macro="" textlink="">
      <xdr:nvSpPr>
        <xdr:cNvPr id="4127" name="CommandButton3" hidden="1">
          <a:extLst>
            <a:ext uri="{63B3BB69-23CF-44E3-9099-C40C66FF867C}">
              <a14:compatExt xmlns:a14="http://schemas.microsoft.com/office/drawing/2010/main" spid="_x0000_s4127"/>
            </a:ext>
            <a:ext uri="{FF2B5EF4-FFF2-40B4-BE49-F238E27FC236}">
              <a16:creationId xmlns:a16="http://schemas.microsoft.com/office/drawing/2014/main" xmlns="" id="{00000000-0008-0000-0300-00001F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486452</xdr:colOff>
      <xdr:row>36</xdr:row>
      <xdr:rowOff>26769</xdr:rowOff>
    </xdr:to>
    <xdr:pic>
      <xdr:nvPicPr>
        <xdr:cNvPr id="2" name="Imagem 1">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19050</xdr:colOff>
      <xdr:row>2</xdr:row>
      <xdr:rowOff>9525</xdr:rowOff>
    </xdr:from>
    <xdr:to>
      <xdr:col>5</xdr:col>
      <xdr:colOff>161925</xdr:colOff>
      <xdr:row>4</xdr:row>
      <xdr:rowOff>85725</xdr:rowOff>
    </xdr:to>
    <xdr:sp macro="" textlink="">
      <xdr:nvSpPr>
        <xdr:cNvPr id="2" name="AutoShape 2">
          <a:extLst>
            <a:ext uri="{FF2B5EF4-FFF2-40B4-BE49-F238E27FC236}">
              <a16:creationId xmlns:a16="http://schemas.microsoft.com/office/drawing/2014/main" xmlns="" id="{00000000-0008-0000-1000-000002000000}"/>
            </a:ext>
          </a:extLst>
        </xdr:cNvPr>
        <xdr:cNvSpPr>
          <a:spLocks noChangeAspect="1" noChangeArrowheads="1"/>
        </xdr:cNvSpPr>
      </xdr:nvSpPr>
      <xdr:spPr bwMode="auto">
        <a:xfrm>
          <a:off x="7829550" y="638175"/>
          <a:ext cx="1362075"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EORC/PESQUISAS%20DE%20PRE&#199;OS/2022/00200.006613-2022-18%20-%20Manuten&#231;&#227;o%20Hidrossanit&#225;ria/Mapa%20-%20manuten&#231;&#227;o%20hidrossanit&#225;ria=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tes"/>
      <sheetName val="Equipe"/>
      <sheetName val="Serviços"/>
      <sheetName val="Insumos"/>
      <sheetName val="Composições"/>
      <sheetName val="Comp.Aux1"/>
      <sheetName val="Comp.Aux2"/>
      <sheetName val="Orçamentária-RESUMO"/>
      <sheetName val="Orçamentária-TR"/>
      <sheetName val="Orçamentária"/>
      <sheetName val="BDI"/>
      <sheetName val="Custos Unitários"/>
      <sheetName val="ABC Serviços"/>
      <sheetName val="ABC Insumos"/>
      <sheetName val="Outras Tab"/>
      <sheetName val="Lista CPU"/>
      <sheetName val="AUX"/>
      <sheetName val="Orçamentária-base"/>
      <sheetName val="Serviços SINAPI"/>
      <sheetName val="Insumos SINAPI"/>
      <sheetName val="planilha auxiliar"/>
    </sheetNames>
    <sheetDataSet>
      <sheetData sheetId="0"/>
      <sheetData sheetId="1"/>
      <sheetData sheetId="2"/>
      <sheetData sheetId="3"/>
      <sheetData sheetId="4"/>
      <sheetData sheetId="5"/>
      <sheetData sheetId="6"/>
      <sheetData sheetId="7"/>
      <sheetData sheetId="8">
        <row r="459">
          <cell r="Q459">
            <v>1947.9</v>
          </cell>
        </row>
      </sheetData>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filterMode="1">
    <pageSetUpPr fitToPage="1"/>
  </sheetPr>
  <dimension ref="A1:J9471"/>
  <sheetViews>
    <sheetView zoomScale="80" zoomScaleNormal="80" workbookViewId="0">
      <pane ySplit="5" topLeftCell="A6" activePane="bottomLeft" state="frozen"/>
      <selection pane="bottomLeft" activeCell="J9491" sqref="J9491"/>
    </sheetView>
  </sheetViews>
  <sheetFormatPr defaultRowHeight="15" x14ac:dyDescent="0.25"/>
  <cols>
    <col min="1" max="1" width="14.7109375" customWidth="1"/>
    <col min="2" max="2" width="50.7109375" customWidth="1"/>
    <col min="3" max="3" width="65.7109375" style="2" customWidth="1"/>
    <col min="4" max="4" width="15.7109375" customWidth="1"/>
    <col min="5" max="5" width="20.7109375" customWidth="1"/>
    <col min="6" max="6" width="15.7109375" customWidth="1"/>
    <col min="7" max="8" width="17.7109375" customWidth="1"/>
    <col min="9" max="9" width="5.7109375" customWidth="1"/>
    <col min="10" max="10" width="14.42578125" customWidth="1"/>
  </cols>
  <sheetData>
    <row r="1" spans="1:10" ht="24.95" customHeight="1" x14ac:dyDescent="0.25">
      <c r="A1" s="3" t="e">
        <f>#REF!</f>
        <v>#REF!</v>
      </c>
      <c r="B1" s="3"/>
      <c r="C1" s="3"/>
      <c r="D1" s="3"/>
      <c r="E1" s="4"/>
      <c r="F1" s="3"/>
      <c r="G1" s="3"/>
      <c r="H1" s="3"/>
      <c r="I1" s="5"/>
      <c r="J1" s="6"/>
    </row>
    <row r="2" spans="1:10" ht="24.95" customHeight="1" x14ac:dyDescent="0.25">
      <c r="A2" s="7" t="s">
        <v>0</v>
      </c>
      <c r="B2" s="8"/>
      <c r="C2" s="109"/>
      <c r="D2" s="8"/>
      <c r="E2" s="9"/>
      <c r="F2" s="8"/>
      <c r="G2" s="8"/>
      <c r="H2" s="8"/>
      <c r="I2" s="10"/>
      <c r="J2" s="6"/>
    </row>
    <row r="3" spans="1:10" ht="20.100000000000001" customHeight="1" x14ac:dyDescent="0.25">
      <c r="A3" s="11" t="e">
        <f>#REF!</f>
        <v>#REF!</v>
      </c>
      <c r="B3" s="11"/>
      <c r="C3" s="110"/>
      <c r="D3" s="11"/>
      <c r="E3" s="12"/>
      <c r="F3" s="11"/>
      <c r="G3" s="11"/>
      <c r="H3" s="11"/>
      <c r="J3" s="6"/>
    </row>
    <row r="4" spans="1:10" ht="15.75" thickBot="1" x14ac:dyDescent="0.3">
      <c r="A4" s="13"/>
      <c r="B4" s="13"/>
      <c r="C4" s="138"/>
      <c r="D4" s="13"/>
      <c r="E4" s="14"/>
      <c r="F4" s="13"/>
      <c r="G4" s="15"/>
      <c r="H4" s="13"/>
      <c r="I4" s="13"/>
      <c r="J4" s="16"/>
    </row>
    <row r="5" spans="1:10" ht="30.75" thickBot="1" x14ac:dyDescent="0.3">
      <c r="A5" s="17" t="s">
        <v>1</v>
      </c>
      <c r="B5" s="18" t="s">
        <v>2</v>
      </c>
      <c r="C5" s="139" t="s">
        <v>3</v>
      </c>
      <c r="D5" s="18" t="s">
        <v>4</v>
      </c>
      <c r="E5" s="19" t="s">
        <v>5</v>
      </c>
      <c r="F5" s="18" t="s">
        <v>6</v>
      </c>
      <c r="G5" s="18" t="s">
        <v>7</v>
      </c>
      <c r="H5" s="20" t="s">
        <v>8</v>
      </c>
      <c r="I5" s="21"/>
      <c r="J5" s="22" t="s">
        <v>9</v>
      </c>
    </row>
    <row r="6" spans="1:10" ht="15.75" hidden="1" thickBot="1" x14ac:dyDescent="0.3">
      <c r="A6" s="234" t="s">
        <v>10</v>
      </c>
      <c r="B6" s="237" t="s">
        <v>1304</v>
      </c>
      <c r="C6" s="160"/>
      <c r="D6" s="23" t="s">
        <v>1305</v>
      </c>
      <c r="E6" s="24"/>
      <c r="F6" s="25" t="s">
        <v>418</v>
      </c>
      <c r="G6" s="25" t="str">
        <f>IF(ISNUMBER(F6),E6*F6,"")</f>
        <v/>
      </c>
      <c r="H6" s="26"/>
      <c r="I6" s="27"/>
      <c r="J6" s="125">
        <v>0</v>
      </c>
    </row>
    <row r="7" spans="1:10" ht="15.75" hidden="1" thickBot="1" x14ac:dyDescent="0.3">
      <c r="A7" s="235"/>
      <c r="B7" s="238"/>
      <c r="C7" s="151"/>
      <c r="D7" s="29"/>
      <c r="E7" s="30"/>
      <c r="F7" s="28" t="s">
        <v>418</v>
      </c>
      <c r="G7" s="31" t="str">
        <f>IF(ISNUMBER(F7),E7*F7,"")</f>
        <v/>
      </c>
      <c r="H7" s="32"/>
      <c r="I7" s="28"/>
      <c r="J7" s="125">
        <v>0</v>
      </c>
    </row>
    <row r="8" spans="1:10" ht="26.25" hidden="1" thickBot="1" x14ac:dyDescent="0.3">
      <c r="A8" s="235"/>
      <c r="B8" s="238"/>
      <c r="C8" s="155" t="s">
        <v>9891</v>
      </c>
      <c r="D8" s="155" t="s">
        <v>587</v>
      </c>
      <c r="E8" s="34">
        <v>1</v>
      </c>
      <c r="F8" s="28">
        <v>108.04349999999999</v>
      </c>
      <c r="G8" s="31">
        <f>IF(ISNUMBER(F8),E8*F8,"")</f>
        <v>108.04349999999999</v>
      </c>
      <c r="H8" s="35">
        <f>SUM(G8:G8)</f>
        <v>108.04349999999999</v>
      </c>
      <c r="I8" s="36"/>
      <c r="J8" s="125">
        <v>0</v>
      </c>
    </row>
    <row r="9" spans="1:10" ht="15.75" hidden="1" thickBot="1" x14ac:dyDescent="0.3">
      <c r="A9" s="236"/>
      <c r="B9" s="239"/>
      <c r="C9" s="155"/>
      <c r="D9" s="33"/>
      <c r="E9" s="34"/>
      <c r="F9" s="28" t="s">
        <v>418</v>
      </c>
      <c r="G9" s="31" t="str">
        <f>IF(ISNUMBER(F9),E9*F9,"")</f>
        <v/>
      </c>
      <c r="H9" s="32"/>
      <c r="I9" s="28"/>
      <c r="J9" s="125">
        <v>0</v>
      </c>
    </row>
    <row r="10" spans="1:10" ht="15.75" hidden="1" thickBot="1" x14ac:dyDescent="0.3">
      <c r="A10" s="252" t="s">
        <v>12</v>
      </c>
      <c r="B10" s="237" t="s">
        <v>1306</v>
      </c>
      <c r="C10" s="160"/>
      <c r="D10" s="23" t="s">
        <v>1305</v>
      </c>
      <c r="E10" s="24"/>
      <c r="F10" s="37" t="s">
        <v>418</v>
      </c>
      <c r="G10" s="25" t="str">
        <f>IF(ISNUMBER(F10),E10*F10,"")</f>
        <v/>
      </c>
      <c r="H10" s="26"/>
      <c r="I10" s="27"/>
      <c r="J10" s="125">
        <v>0</v>
      </c>
    </row>
    <row r="11" spans="1:10" ht="15.75" hidden="1" thickBot="1" x14ac:dyDescent="0.3">
      <c r="A11" s="253"/>
      <c r="B11" s="238"/>
      <c r="C11" s="151"/>
      <c r="D11" s="29"/>
      <c r="E11" s="30"/>
      <c r="F11" s="38" t="s">
        <v>418</v>
      </c>
      <c r="G11" s="28" t="str">
        <f>IF(ISNUMBER(F11),E11*F11,"")</f>
        <v/>
      </c>
      <c r="H11" s="32"/>
      <c r="I11" s="28"/>
      <c r="J11" s="125">
        <v>0</v>
      </c>
    </row>
    <row r="12" spans="1:10" ht="15.75" hidden="1" thickBot="1" x14ac:dyDescent="0.3">
      <c r="A12" s="253"/>
      <c r="B12" s="238"/>
      <c r="C12" s="155" t="s">
        <v>9896</v>
      </c>
      <c r="D12" s="155" t="s">
        <v>587</v>
      </c>
      <c r="E12" s="34">
        <v>1</v>
      </c>
      <c r="F12" s="28">
        <v>40.792999999999999</v>
      </c>
      <c r="G12" s="31">
        <f>IF(ISNUMBER(F12),E12*F12,"")</f>
        <v>40.792999999999999</v>
      </c>
      <c r="H12" s="35">
        <f>SUM(G12:G12)</f>
        <v>40.792999999999999</v>
      </c>
      <c r="I12" s="36"/>
      <c r="J12" s="125">
        <v>0</v>
      </c>
    </row>
    <row r="13" spans="1:10" ht="15.75" hidden="1" thickBot="1" x14ac:dyDescent="0.3">
      <c r="A13" s="253"/>
      <c r="B13" s="238"/>
      <c r="C13" s="155"/>
      <c r="D13" s="33"/>
      <c r="E13" s="34"/>
      <c r="F13" s="28" t="s">
        <v>418</v>
      </c>
      <c r="G13" s="28" t="str">
        <f>IF(ISNUMBER(F13),E13*F13,"")</f>
        <v/>
      </c>
      <c r="H13" s="32"/>
      <c r="I13" s="28"/>
      <c r="J13" s="125">
        <v>0</v>
      </c>
    </row>
    <row r="14" spans="1:10" ht="15.75" hidden="1" thickBot="1" x14ac:dyDescent="0.3">
      <c r="A14" s="234" t="s">
        <v>13</v>
      </c>
      <c r="B14" s="237" t="s">
        <v>1307</v>
      </c>
      <c r="C14" s="160"/>
      <c r="D14" s="23" t="s">
        <v>16</v>
      </c>
      <c r="E14" s="24"/>
      <c r="F14" s="37" t="s">
        <v>418</v>
      </c>
      <c r="G14" s="25" t="str">
        <f>IF(ISNUMBER(F14),E14*F14,"")</f>
        <v/>
      </c>
      <c r="H14" s="26"/>
      <c r="I14" s="27"/>
      <c r="J14" s="125">
        <v>0</v>
      </c>
    </row>
    <row r="15" spans="1:10" ht="15.75" hidden="1" thickBot="1" x14ac:dyDescent="0.3">
      <c r="A15" s="235"/>
      <c r="B15" s="238"/>
      <c r="C15" s="151"/>
      <c r="D15" s="29"/>
      <c r="E15" s="30"/>
      <c r="F15" s="38" t="s">
        <v>418</v>
      </c>
      <c r="G15" s="28" t="str">
        <f>IF(ISNUMBER(F15),E15*F15,"")</f>
        <v/>
      </c>
      <c r="H15" s="32"/>
      <c r="I15" s="28"/>
      <c r="J15" s="125">
        <v>0</v>
      </c>
    </row>
    <row r="16" spans="1:10" ht="26.25" hidden="1" thickBot="1" x14ac:dyDescent="0.3">
      <c r="A16" s="235"/>
      <c r="B16" s="238"/>
      <c r="C16" s="155" t="s">
        <v>656</v>
      </c>
      <c r="D16" s="155" t="s">
        <v>587</v>
      </c>
      <c r="E16" s="34">
        <v>16</v>
      </c>
      <c r="F16" s="28">
        <v>122.71149999999999</v>
      </c>
      <c r="G16" s="28">
        <f>IF(ISNUMBER(F16),E16*F16,"")</f>
        <v>1963.3839999999998</v>
      </c>
      <c r="H16" s="35">
        <f>SUM(G16:G16)</f>
        <v>1963.3839999999998</v>
      </c>
      <c r="I16" s="36"/>
      <c r="J16" s="125">
        <v>0</v>
      </c>
    </row>
    <row r="17" spans="1:10" ht="15.75" hidden="1" thickBot="1" x14ac:dyDescent="0.3">
      <c r="A17" s="236"/>
      <c r="B17" s="239"/>
      <c r="C17" s="155"/>
      <c r="D17" s="33"/>
      <c r="E17" s="34"/>
      <c r="F17" s="28" t="s">
        <v>418</v>
      </c>
      <c r="G17" s="28" t="str">
        <f>IF(ISNUMBER(F17),E17*F17,"")</f>
        <v/>
      </c>
      <c r="H17" s="32"/>
      <c r="I17" s="28"/>
      <c r="J17" s="125">
        <v>0</v>
      </c>
    </row>
    <row r="18" spans="1:10" ht="15.75" hidden="1" thickBot="1" x14ac:dyDescent="0.3">
      <c r="A18" s="234" t="s">
        <v>14</v>
      </c>
      <c r="B18" s="237" t="s">
        <v>1308</v>
      </c>
      <c r="C18" s="160"/>
      <c r="D18" s="23" t="s">
        <v>16</v>
      </c>
      <c r="E18" s="24"/>
      <c r="F18" s="37" t="s">
        <v>418</v>
      </c>
      <c r="G18" s="25" t="str">
        <f>IF(ISNUMBER(F18),E18*F18,"")</f>
        <v/>
      </c>
      <c r="H18" s="26"/>
      <c r="I18" s="27"/>
      <c r="J18" s="125">
        <v>0</v>
      </c>
    </row>
    <row r="19" spans="1:10" ht="15.75" hidden="1" thickBot="1" x14ac:dyDescent="0.3">
      <c r="A19" s="235"/>
      <c r="B19" s="238"/>
      <c r="C19" s="151"/>
      <c r="D19" s="29"/>
      <c r="E19" s="30"/>
      <c r="F19" s="38" t="s">
        <v>418</v>
      </c>
      <c r="G19" s="28" t="str">
        <f>IF(ISNUMBER(F19),E19*F19,"")</f>
        <v/>
      </c>
      <c r="H19" s="32"/>
      <c r="I19" s="28"/>
      <c r="J19" s="125">
        <v>0</v>
      </c>
    </row>
    <row r="20" spans="1:10" ht="15.75" hidden="1" thickBot="1" x14ac:dyDescent="0.3">
      <c r="A20" s="235"/>
      <c r="B20" s="238"/>
      <c r="C20" s="155" t="s">
        <v>1076</v>
      </c>
      <c r="D20" s="155" t="s">
        <v>587</v>
      </c>
      <c r="E20" s="34">
        <v>20</v>
      </c>
      <c r="F20" s="28">
        <v>122.9965</v>
      </c>
      <c r="G20" s="28">
        <f>IF(ISNUMBER(F20),E20*F20,"")</f>
        <v>2459.9299999999998</v>
      </c>
      <c r="H20" s="35">
        <f>SUM(G20:G21)</f>
        <v>2714.52</v>
      </c>
      <c r="I20" s="36"/>
      <c r="J20" s="125">
        <v>0</v>
      </c>
    </row>
    <row r="21" spans="1:10" ht="15.75" hidden="1" thickBot="1" x14ac:dyDescent="0.3">
      <c r="A21" s="235"/>
      <c r="B21" s="238"/>
      <c r="C21" s="155" t="s">
        <v>15</v>
      </c>
      <c r="D21" s="33" t="s">
        <v>16</v>
      </c>
      <c r="E21" s="34">
        <v>1</v>
      </c>
      <c r="F21" s="31">
        <v>254.59</v>
      </c>
      <c r="G21" s="28">
        <f>IF(ISNUMBER(F21),E21*F21,"")</f>
        <v>254.59</v>
      </c>
      <c r="H21" s="32"/>
      <c r="I21" s="28"/>
      <c r="J21" s="125">
        <v>0</v>
      </c>
    </row>
    <row r="22" spans="1:10" ht="15.75" hidden="1" thickBot="1" x14ac:dyDescent="0.3">
      <c r="A22" s="236"/>
      <c r="B22" s="239"/>
      <c r="C22" s="155"/>
      <c r="D22" s="33"/>
      <c r="E22" s="34"/>
      <c r="F22" s="28" t="s">
        <v>418</v>
      </c>
      <c r="G22" s="28" t="str">
        <f>IF(ISNUMBER(F22),E22*F22,"")</f>
        <v/>
      </c>
      <c r="H22" s="32"/>
      <c r="I22" s="28"/>
      <c r="J22" s="125">
        <v>0</v>
      </c>
    </row>
    <row r="23" spans="1:10" ht="15.75" hidden="1" thickBot="1" x14ac:dyDescent="0.3">
      <c r="A23" s="234" t="s">
        <v>17</v>
      </c>
      <c r="B23" s="237" t="s">
        <v>1309</v>
      </c>
      <c r="C23" s="160"/>
      <c r="D23" s="23" t="s">
        <v>81</v>
      </c>
      <c r="E23" s="24"/>
      <c r="F23" s="37" t="s">
        <v>418</v>
      </c>
      <c r="G23" s="25" t="str">
        <f>IF(ISNUMBER(F23),E23*F23,"")</f>
        <v/>
      </c>
      <c r="H23" s="26"/>
      <c r="I23" s="27"/>
      <c r="J23" s="125">
        <v>0</v>
      </c>
    </row>
    <row r="24" spans="1:10" ht="15.75" hidden="1" thickBot="1" x14ac:dyDescent="0.3">
      <c r="A24" s="235"/>
      <c r="B24" s="238"/>
      <c r="C24" s="151"/>
      <c r="D24" s="29"/>
      <c r="E24" s="30"/>
      <c r="F24" s="38" t="s">
        <v>418</v>
      </c>
      <c r="G24" s="28" t="str">
        <f>IF(ISNUMBER(F24),E24*F24,"")</f>
        <v/>
      </c>
      <c r="H24" s="32"/>
      <c r="I24" s="28"/>
      <c r="J24" s="125">
        <v>0</v>
      </c>
    </row>
    <row r="25" spans="1:10" ht="15.75" hidden="1" thickBot="1" x14ac:dyDescent="0.3">
      <c r="A25" s="235"/>
      <c r="B25" s="238"/>
      <c r="C25" s="155" t="s">
        <v>595</v>
      </c>
      <c r="D25" s="155" t="s">
        <v>587</v>
      </c>
      <c r="E25" s="34">
        <v>0.22500000000000001</v>
      </c>
      <c r="F25" s="28">
        <v>25.65</v>
      </c>
      <c r="G25" s="31">
        <f>IF(ISNUMBER(F25),E25*F25,"")</f>
        <v>5.7712500000000002</v>
      </c>
      <c r="H25" s="35">
        <f>SUM(G25:G26)</f>
        <v>50.384162000000003</v>
      </c>
      <c r="I25" s="36"/>
      <c r="J25" s="125">
        <v>0</v>
      </c>
    </row>
    <row r="26" spans="1:10" ht="15.75" hidden="1" thickBot="1" x14ac:dyDescent="0.3">
      <c r="A26" s="235"/>
      <c r="B26" s="238"/>
      <c r="C26" s="155" t="s">
        <v>588</v>
      </c>
      <c r="D26" s="155" t="s">
        <v>587</v>
      </c>
      <c r="E26" s="34">
        <v>2.3248000000000002</v>
      </c>
      <c r="F26" s="28">
        <v>19.189999999999998</v>
      </c>
      <c r="G26" s="31">
        <f>IF(ISNUMBER(F26),E26*F26,"")</f>
        <v>44.612912000000001</v>
      </c>
      <c r="H26" s="39"/>
      <c r="I26" s="36"/>
      <c r="J26" s="125">
        <v>0</v>
      </c>
    </row>
    <row r="27" spans="1:10" ht="15.75" hidden="1" thickBot="1" x14ac:dyDescent="0.3">
      <c r="A27" s="236"/>
      <c r="B27" s="239"/>
      <c r="C27" s="155"/>
      <c r="D27" s="33"/>
      <c r="E27" s="34"/>
      <c r="F27" s="28" t="s">
        <v>418</v>
      </c>
      <c r="G27" s="28" t="str">
        <f>IF(ISNUMBER(F27),E27*F27,"")</f>
        <v/>
      </c>
      <c r="H27" s="32"/>
      <c r="I27" s="28"/>
      <c r="J27" s="125">
        <v>0</v>
      </c>
    </row>
    <row r="28" spans="1:10" ht="15.75" hidden="1" thickBot="1" x14ac:dyDescent="0.3">
      <c r="A28" s="234" t="s">
        <v>18</v>
      </c>
      <c r="B28" s="237" t="s">
        <v>1310</v>
      </c>
      <c r="C28" s="160"/>
      <c r="D28" s="23" t="s">
        <v>81</v>
      </c>
      <c r="E28" s="24"/>
      <c r="F28" s="37" t="s">
        <v>418</v>
      </c>
      <c r="G28" s="25" t="str">
        <f>IF(ISNUMBER(F28),E28*F28,"")</f>
        <v/>
      </c>
      <c r="H28" s="26"/>
      <c r="I28" s="27"/>
      <c r="J28" s="125">
        <v>0</v>
      </c>
    </row>
    <row r="29" spans="1:10" ht="15.75" hidden="1" thickBot="1" x14ac:dyDescent="0.3">
      <c r="A29" s="235"/>
      <c r="B29" s="238"/>
      <c r="C29" s="151"/>
      <c r="D29" s="29"/>
      <c r="E29" s="30"/>
      <c r="F29" s="38" t="s">
        <v>418</v>
      </c>
      <c r="G29" s="28" t="str">
        <f>IF(ISNUMBER(F29),E29*F29,"")</f>
        <v/>
      </c>
      <c r="H29" s="32"/>
      <c r="I29" s="28"/>
      <c r="J29" s="125">
        <v>0</v>
      </c>
    </row>
    <row r="30" spans="1:10" ht="15.75" hidden="1" thickBot="1" x14ac:dyDescent="0.3">
      <c r="A30" s="235"/>
      <c r="B30" s="238"/>
      <c r="C30" s="155" t="s">
        <v>595</v>
      </c>
      <c r="D30" s="155" t="s">
        <v>587</v>
      </c>
      <c r="E30" s="34">
        <v>1.3</v>
      </c>
      <c r="F30" s="28">
        <v>25.65</v>
      </c>
      <c r="G30" s="31">
        <f>IF(ISNUMBER(F30),E30*F30,"")</f>
        <v>33.344999999999999</v>
      </c>
      <c r="H30" s="35">
        <f>SUM(G30:G31)</f>
        <v>282.81499999999994</v>
      </c>
      <c r="I30" s="36"/>
      <c r="J30" s="125">
        <v>0</v>
      </c>
    </row>
    <row r="31" spans="1:10" ht="15.75" hidden="1" thickBot="1" x14ac:dyDescent="0.3">
      <c r="A31" s="235"/>
      <c r="B31" s="238"/>
      <c r="C31" s="155" t="s">
        <v>588</v>
      </c>
      <c r="D31" s="155" t="s">
        <v>587</v>
      </c>
      <c r="E31" s="34">
        <v>13</v>
      </c>
      <c r="F31" s="28">
        <v>19.189999999999998</v>
      </c>
      <c r="G31" s="31">
        <f>IF(ISNUMBER(F31),E31*F31,"")</f>
        <v>249.46999999999997</v>
      </c>
      <c r="H31" s="32"/>
      <c r="I31" s="28"/>
      <c r="J31" s="125">
        <v>0</v>
      </c>
    </row>
    <row r="32" spans="1:10" ht="15.75" hidden="1" thickBot="1" x14ac:dyDescent="0.3">
      <c r="A32" s="236"/>
      <c r="B32" s="239"/>
      <c r="C32" s="155"/>
      <c r="D32" s="33"/>
      <c r="E32" s="34"/>
      <c r="F32" s="28" t="s">
        <v>418</v>
      </c>
      <c r="G32" s="28" t="str">
        <f>IF(ISNUMBER(F32),E32*F32,"")</f>
        <v/>
      </c>
      <c r="H32" s="32"/>
      <c r="I32" s="28"/>
      <c r="J32" s="125">
        <v>0</v>
      </c>
    </row>
    <row r="33" spans="1:10" ht="15.75" hidden="1" thickBot="1" x14ac:dyDescent="0.3">
      <c r="A33" s="241" t="s">
        <v>19</v>
      </c>
      <c r="B33" s="244" t="s">
        <v>1311</v>
      </c>
      <c r="C33" s="160"/>
      <c r="D33" s="23" t="s">
        <v>70</v>
      </c>
      <c r="E33" s="24"/>
      <c r="F33" s="37" t="s">
        <v>418</v>
      </c>
      <c r="G33" s="25" t="str">
        <f>IF(ISNUMBER(F33),E33*F33,"")</f>
        <v/>
      </c>
      <c r="H33" s="26"/>
      <c r="I33" s="27"/>
      <c r="J33" s="125">
        <v>0</v>
      </c>
    </row>
    <row r="34" spans="1:10" ht="15.75" hidden="1" thickBot="1" x14ac:dyDescent="0.3">
      <c r="A34" s="242"/>
      <c r="B34" s="245"/>
      <c r="C34" s="151"/>
      <c r="D34" s="29"/>
      <c r="E34" s="30"/>
      <c r="F34" s="38" t="s">
        <v>418</v>
      </c>
      <c r="G34" s="28" t="str">
        <f>IF(ISNUMBER(F34),E34*F34,"")</f>
        <v/>
      </c>
      <c r="H34" s="32"/>
      <c r="I34" s="28"/>
      <c r="J34" s="125">
        <v>0</v>
      </c>
    </row>
    <row r="35" spans="1:10" ht="15.75" hidden="1" thickBot="1" x14ac:dyDescent="0.3">
      <c r="A35" s="242"/>
      <c r="B35" s="245"/>
      <c r="C35" s="155" t="s">
        <v>588</v>
      </c>
      <c r="D35" s="155" t="s">
        <v>587</v>
      </c>
      <c r="E35" s="34">
        <v>1</v>
      </c>
      <c r="F35" s="28">
        <v>19.189999999999998</v>
      </c>
      <c r="G35" s="31">
        <f>IF(ISNUMBER(F35),E35*F35,"")</f>
        <v>19.189999999999998</v>
      </c>
      <c r="H35" s="35">
        <f>SUM(G35:G35)</f>
        <v>19.189999999999998</v>
      </c>
      <c r="I35" s="36"/>
      <c r="J35" s="125">
        <v>0</v>
      </c>
    </row>
    <row r="36" spans="1:10" ht="15.75" hidden="1" thickBot="1" x14ac:dyDescent="0.3">
      <c r="A36" s="243"/>
      <c r="B36" s="246"/>
      <c r="C36" s="155"/>
      <c r="D36" s="33"/>
      <c r="E36" s="34"/>
      <c r="F36" s="28" t="s">
        <v>418</v>
      </c>
      <c r="G36" s="28" t="str">
        <f>IF(ISNUMBER(F36),E36*F36,"")</f>
        <v/>
      </c>
      <c r="H36" s="32"/>
      <c r="I36" s="28"/>
      <c r="J36" s="125">
        <v>0</v>
      </c>
    </row>
    <row r="37" spans="1:10" ht="15.75" hidden="1" thickBot="1" x14ac:dyDescent="0.3">
      <c r="A37" s="234" t="s">
        <v>20</v>
      </c>
      <c r="B37" s="237" t="s">
        <v>1312</v>
      </c>
      <c r="C37" s="160"/>
      <c r="D37" s="23" t="s">
        <v>70</v>
      </c>
      <c r="E37" s="24"/>
      <c r="F37" s="37" t="s">
        <v>418</v>
      </c>
      <c r="G37" s="25" t="str">
        <f>IF(ISNUMBER(F37),E37*F37,"")</f>
        <v/>
      </c>
      <c r="H37" s="26"/>
      <c r="I37" s="27"/>
      <c r="J37" s="125">
        <v>0</v>
      </c>
    </row>
    <row r="38" spans="1:10" ht="15.75" hidden="1" thickBot="1" x14ac:dyDescent="0.3">
      <c r="A38" s="235"/>
      <c r="B38" s="238"/>
      <c r="C38" s="151"/>
      <c r="D38" s="29"/>
      <c r="E38" s="30"/>
      <c r="F38" s="38" t="s">
        <v>418</v>
      </c>
      <c r="G38" s="28" t="str">
        <f>IF(ISNUMBER(F38),E38*F38,"")</f>
        <v/>
      </c>
      <c r="H38" s="32"/>
      <c r="I38" s="28"/>
      <c r="J38" s="125">
        <v>0</v>
      </c>
    </row>
    <row r="39" spans="1:10" ht="26.25" hidden="1" thickBot="1" x14ac:dyDescent="0.3">
      <c r="A39" s="235"/>
      <c r="B39" s="238"/>
      <c r="C39" s="155" t="s">
        <v>863</v>
      </c>
      <c r="D39" s="155" t="s">
        <v>587</v>
      </c>
      <c r="E39" s="34">
        <v>0.1186</v>
      </c>
      <c r="F39" s="28">
        <v>21.593499999999999</v>
      </c>
      <c r="G39" s="31">
        <f>IF(ISNUMBER(F39),E39*F39,"")</f>
        <v>2.5609890999999996</v>
      </c>
      <c r="H39" s="35">
        <f>SUM(G39:G40)</f>
        <v>7.0303400999999992</v>
      </c>
      <c r="I39" s="36"/>
      <c r="J39" s="125">
        <v>0</v>
      </c>
    </row>
    <row r="40" spans="1:10" ht="15.75" hidden="1" thickBot="1" x14ac:dyDescent="0.3">
      <c r="A40" s="235"/>
      <c r="B40" s="238"/>
      <c r="C40" s="155" t="s">
        <v>588</v>
      </c>
      <c r="D40" s="155" t="s">
        <v>587</v>
      </c>
      <c r="E40" s="34">
        <v>0.2329</v>
      </c>
      <c r="F40" s="28">
        <v>19.189999999999998</v>
      </c>
      <c r="G40" s="31">
        <f>IF(ISNUMBER(F40),E40*F40,"")</f>
        <v>4.4693509999999996</v>
      </c>
      <c r="H40" s="40"/>
      <c r="I40" s="41"/>
      <c r="J40" s="125">
        <v>0</v>
      </c>
    </row>
    <row r="41" spans="1:10" ht="15.75" hidden="1" thickBot="1" x14ac:dyDescent="0.3">
      <c r="A41" s="236"/>
      <c r="B41" s="239"/>
      <c r="C41" s="155"/>
      <c r="D41" s="33"/>
      <c r="E41" s="34"/>
      <c r="F41" s="28" t="s">
        <v>418</v>
      </c>
      <c r="G41" s="28" t="str">
        <f>IF(ISNUMBER(F41),E41*F41,"")</f>
        <v/>
      </c>
      <c r="H41" s="32"/>
      <c r="I41" s="28"/>
      <c r="J41" s="125">
        <v>0</v>
      </c>
    </row>
    <row r="42" spans="1:10" ht="15.75" hidden="1" thickBot="1" x14ac:dyDescent="0.3">
      <c r="A42" s="234" t="s">
        <v>21</v>
      </c>
      <c r="B42" s="237" t="s">
        <v>13436</v>
      </c>
      <c r="C42" s="160"/>
      <c r="D42" s="23" t="s">
        <v>70</v>
      </c>
      <c r="E42" s="24"/>
      <c r="F42" s="37" t="s">
        <v>418</v>
      </c>
      <c r="G42" s="25" t="str">
        <f>IF(ISNUMBER(F42),E42*F42,"")</f>
        <v/>
      </c>
      <c r="H42" s="26"/>
      <c r="I42" s="27"/>
      <c r="J42" s="125">
        <v>0</v>
      </c>
    </row>
    <row r="43" spans="1:10" ht="15.75" hidden="1" thickBot="1" x14ac:dyDescent="0.3">
      <c r="A43" s="235"/>
      <c r="B43" s="238"/>
      <c r="C43" s="151"/>
      <c r="D43" s="29"/>
      <c r="E43" s="30"/>
      <c r="F43" s="38" t="s">
        <v>418</v>
      </c>
      <c r="G43" s="28" t="str">
        <f>IF(ISNUMBER(F43),E43*F43,"")</f>
        <v/>
      </c>
      <c r="H43" s="32"/>
      <c r="I43" s="28"/>
      <c r="J43" s="125">
        <v>0</v>
      </c>
    </row>
    <row r="44" spans="1:10" ht="26.25" hidden="1" thickBot="1" x14ac:dyDescent="0.3">
      <c r="A44" s="235"/>
      <c r="B44" s="238"/>
      <c r="C44" s="155" t="s">
        <v>863</v>
      </c>
      <c r="D44" s="155" t="s">
        <v>587</v>
      </c>
      <c r="E44" s="34">
        <v>2.58E-2</v>
      </c>
      <c r="F44" s="28">
        <v>21.593499999999999</v>
      </c>
      <c r="G44" s="31">
        <f>IF(ISNUMBER(F44),E44*F44,"")</f>
        <v>0.5571123</v>
      </c>
      <c r="H44" s="35">
        <f>SUM(G44:G45)</f>
        <v>1.5300452999999998</v>
      </c>
      <c r="I44" s="36"/>
      <c r="J44" s="125">
        <v>0</v>
      </c>
    </row>
    <row r="45" spans="1:10" ht="15.75" hidden="1" thickBot="1" x14ac:dyDescent="0.3">
      <c r="A45" s="235"/>
      <c r="B45" s="238"/>
      <c r="C45" s="155" t="s">
        <v>588</v>
      </c>
      <c r="D45" s="155" t="s">
        <v>587</v>
      </c>
      <c r="E45" s="34">
        <v>5.0700000000000002E-2</v>
      </c>
      <c r="F45" s="28">
        <v>19.189999999999998</v>
      </c>
      <c r="G45" s="31">
        <f>IF(ISNUMBER(F45),E45*F45,"")</f>
        <v>0.97293299999999994</v>
      </c>
      <c r="H45" s="32"/>
      <c r="I45" s="28"/>
      <c r="J45" s="125">
        <v>0</v>
      </c>
    </row>
    <row r="46" spans="1:10" ht="15.75" hidden="1" thickBot="1" x14ac:dyDescent="0.3">
      <c r="A46" s="236"/>
      <c r="B46" s="239"/>
      <c r="C46" s="155"/>
      <c r="D46" s="33"/>
      <c r="E46" s="34"/>
      <c r="F46" s="28" t="s">
        <v>418</v>
      </c>
      <c r="G46" s="28" t="str">
        <f>IF(ISNUMBER(F46),E46*F46,"")</f>
        <v/>
      </c>
      <c r="H46" s="32"/>
      <c r="I46" s="28"/>
      <c r="J46" s="125">
        <v>0</v>
      </c>
    </row>
    <row r="47" spans="1:10" ht="15.75" hidden="1" thickBot="1" x14ac:dyDescent="0.3">
      <c r="A47" s="234" t="s">
        <v>22</v>
      </c>
      <c r="B47" s="237" t="s">
        <v>1313</v>
      </c>
      <c r="C47" s="160"/>
      <c r="D47" s="23" t="s">
        <v>69</v>
      </c>
      <c r="E47" s="24"/>
      <c r="F47" s="37" t="s">
        <v>418</v>
      </c>
      <c r="G47" s="25" t="str">
        <f>IF(ISNUMBER(F47),E47*F47,"")</f>
        <v/>
      </c>
      <c r="H47" s="26"/>
      <c r="I47" s="27"/>
      <c r="J47" s="125">
        <v>0</v>
      </c>
    </row>
    <row r="48" spans="1:10" ht="15.75" hidden="1" thickBot="1" x14ac:dyDescent="0.3">
      <c r="A48" s="235"/>
      <c r="B48" s="238"/>
      <c r="C48" s="151"/>
      <c r="D48" s="29"/>
      <c r="E48" s="30"/>
      <c r="F48" s="38" t="s">
        <v>418</v>
      </c>
      <c r="G48" s="28" t="str">
        <f>IF(ISNUMBER(F48),E48*F48,"")</f>
        <v/>
      </c>
      <c r="H48" s="32"/>
      <c r="I48" s="28"/>
      <c r="J48" s="125">
        <v>0</v>
      </c>
    </row>
    <row r="49" spans="1:10" ht="15.75" hidden="1" thickBot="1" x14ac:dyDescent="0.3">
      <c r="A49" s="235"/>
      <c r="B49" s="238"/>
      <c r="C49" s="155" t="s">
        <v>1023</v>
      </c>
      <c r="D49" s="155" t="s">
        <v>587</v>
      </c>
      <c r="E49" s="34">
        <f>ROUND(0.0096*5,4)</f>
        <v>4.8000000000000001E-2</v>
      </c>
      <c r="F49" s="28">
        <v>25.954000000000001</v>
      </c>
      <c r="G49" s="31">
        <f>IF(ISNUMBER(F49),E49*F49,"")</f>
        <v>1.245792</v>
      </c>
      <c r="H49" s="35">
        <f>SUM(G49:G50)</f>
        <v>3.049652</v>
      </c>
      <c r="I49" s="36"/>
      <c r="J49" s="125">
        <v>0</v>
      </c>
    </row>
    <row r="50" spans="1:10" ht="15.75" hidden="1" thickBot="1" x14ac:dyDescent="0.3">
      <c r="A50" s="235"/>
      <c r="B50" s="238"/>
      <c r="C50" s="155" t="s">
        <v>588</v>
      </c>
      <c r="D50" s="155" t="s">
        <v>587</v>
      </c>
      <c r="E50" s="34">
        <f>ROUND(0.0188*5,4)</f>
        <v>9.4E-2</v>
      </c>
      <c r="F50" s="28">
        <v>19.189999999999998</v>
      </c>
      <c r="G50" s="31">
        <f>IF(ISNUMBER(F50),E50*F50,"")</f>
        <v>1.8038599999999998</v>
      </c>
      <c r="H50" s="32"/>
      <c r="I50" s="28"/>
      <c r="J50" s="125">
        <v>0</v>
      </c>
    </row>
    <row r="51" spans="1:10" ht="15.75" hidden="1" thickBot="1" x14ac:dyDescent="0.3">
      <c r="A51" s="236"/>
      <c r="B51" s="239"/>
      <c r="C51" s="155"/>
      <c r="D51" s="33"/>
      <c r="E51" s="34"/>
      <c r="F51" s="28" t="s">
        <v>418</v>
      </c>
      <c r="G51" s="28" t="str">
        <f>IF(ISNUMBER(F51),E51*F51,"")</f>
        <v/>
      </c>
      <c r="H51" s="32"/>
      <c r="I51" s="28"/>
      <c r="J51" s="125">
        <v>0</v>
      </c>
    </row>
    <row r="52" spans="1:10" ht="15.75" hidden="1" thickBot="1" x14ac:dyDescent="0.3">
      <c r="A52" s="234" t="s">
        <v>23</v>
      </c>
      <c r="B52" s="237" t="s">
        <v>20909</v>
      </c>
      <c r="C52" s="160"/>
      <c r="D52" s="23" t="s">
        <v>70</v>
      </c>
      <c r="E52" s="24"/>
      <c r="F52" s="37" t="s">
        <v>418</v>
      </c>
      <c r="G52" s="25" t="str">
        <f>IF(ISNUMBER(F52),E52*F52,"")</f>
        <v/>
      </c>
      <c r="H52" s="26"/>
      <c r="I52" s="27"/>
      <c r="J52" s="125">
        <v>0</v>
      </c>
    </row>
    <row r="53" spans="1:10" ht="15.75" hidden="1" thickBot="1" x14ac:dyDescent="0.3">
      <c r="A53" s="235"/>
      <c r="B53" s="238"/>
      <c r="C53" s="151"/>
      <c r="D53" s="29"/>
      <c r="E53" s="30"/>
      <c r="F53" s="38" t="s">
        <v>418</v>
      </c>
      <c r="G53" s="28" t="str">
        <f>IF(ISNUMBER(F53),E53*F53,"")</f>
        <v/>
      </c>
      <c r="H53" s="32"/>
      <c r="I53" s="28"/>
      <c r="J53" s="125">
        <v>0</v>
      </c>
    </row>
    <row r="54" spans="1:10" ht="26.25" hidden="1" thickBot="1" x14ac:dyDescent="0.3">
      <c r="A54" s="235"/>
      <c r="B54" s="238"/>
      <c r="C54" s="155" t="s">
        <v>975</v>
      </c>
      <c r="D54" s="155" t="s">
        <v>814</v>
      </c>
      <c r="E54" s="34">
        <v>6.9900000000000004E-2</v>
      </c>
      <c r="F54" s="31">
        <v>24.738</v>
      </c>
      <c r="G54" s="31">
        <f>IF(ISNUMBER(F54),E54*F54,"")</f>
        <v>1.7291862</v>
      </c>
      <c r="H54" s="35">
        <f>SUM(G54:G57)</f>
        <v>11.239026299999999</v>
      </c>
      <c r="I54" s="36"/>
      <c r="J54" s="125">
        <v>0</v>
      </c>
    </row>
    <row r="55" spans="1:10" ht="26.25" hidden="1" thickBot="1" x14ac:dyDescent="0.3">
      <c r="A55" s="235"/>
      <c r="B55" s="238"/>
      <c r="C55" s="155" t="s">
        <v>976</v>
      </c>
      <c r="D55" s="155" t="s">
        <v>816</v>
      </c>
      <c r="E55" s="34">
        <v>4.82E-2</v>
      </c>
      <c r="F55" s="31">
        <v>23.122999999999998</v>
      </c>
      <c r="G55" s="31">
        <f>IF(ISNUMBER(F55),E55*F55,"")</f>
        <v>1.1145285999999999</v>
      </c>
      <c r="H55" s="32"/>
      <c r="I55" s="28"/>
      <c r="J55" s="125">
        <v>0</v>
      </c>
    </row>
    <row r="56" spans="1:10" ht="15.75" hidden="1" thickBot="1" x14ac:dyDescent="0.3">
      <c r="A56" s="235"/>
      <c r="B56" s="238"/>
      <c r="C56" s="155" t="s">
        <v>1087</v>
      </c>
      <c r="D56" s="155" t="s">
        <v>587</v>
      </c>
      <c r="E56" s="34">
        <v>0.1055</v>
      </c>
      <c r="F56" s="28">
        <v>25.516999999999999</v>
      </c>
      <c r="G56" s="31">
        <f>IF(ISNUMBER(F56),E56*F56,"")</f>
        <v>2.6920435</v>
      </c>
      <c r="H56" s="32"/>
      <c r="I56" s="28"/>
      <c r="J56" s="125">
        <v>0</v>
      </c>
    </row>
    <row r="57" spans="1:10" ht="15.75" hidden="1" thickBot="1" x14ac:dyDescent="0.3">
      <c r="A57" s="235"/>
      <c r="B57" s="238"/>
      <c r="C57" s="155" t="s">
        <v>588</v>
      </c>
      <c r="D57" s="155" t="s">
        <v>587</v>
      </c>
      <c r="E57" s="34">
        <v>0.29720000000000002</v>
      </c>
      <c r="F57" s="28">
        <v>19.189999999999998</v>
      </c>
      <c r="G57" s="31">
        <f>IF(ISNUMBER(F57),E57*F57,"")</f>
        <v>5.7032679999999996</v>
      </c>
      <c r="H57" s="32"/>
      <c r="I57" s="28"/>
      <c r="J57" s="125">
        <v>0</v>
      </c>
    </row>
    <row r="58" spans="1:10" ht="15.75" hidden="1" thickBot="1" x14ac:dyDescent="0.3">
      <c r="A58" s="236"/>
      <c r="B58" s="239"/>
      <c r="C58" s="155"/>
      <c r="D58" s="33"/>
      <c r="E58" s="34"/>
      <c r="F58" s="28" t="s">
        <v>418</v>
      </c>
      <c r="G58" s="28" t="str">
        <f>IF(ISNUMBER(F58),E58*F58,"")</f>
        <v/>
      </c>
      <c r="H58" s="32"/>
      <c r="I58" s="28"/>
      <c r="J58" s="125">
        <v>0</v>
      </c>
    </row>
    <row r="59" spans="1:10" ht="15.75" hidden="1" thickBot="1" x14ac:dyDescent="0.3">
      <c r="A59" s="234" t="s">
        <v>24</v>
      </c>
      <c r="B59" s="237" t="s">
        <v>1314</v>
      </c>
      <c r="C59" s="160"/>
      <c r="D59" s="23" t="s">
        <v>70</v>
      </c>
      <c r="E59" s="24"/>
      <c r="F59" s="37" t="s">
        <v>418</v>
      </c>
      <c r="G59" s="25" t="str">
        <f>IF(ISNUMBER(F59),E59*F59,"")</f>
        <v/>
      </c>
      <c r="H59" s="26"/>
      <c r="I59" s="27"/>
      <c r="J59" s="125">
        <v>0</v>
      </c>
    </row>
    <row r="60" spans="1:10" ht="15.75" hidden="1" thickBot="1" x14ac:dyDescent="0.3">
      <c r="A60" s="235"/>
      <c r="B60" s="238"/>
      <c r="C60" s="151"/>
      <c r="D60" s="29"/>
      <c r="E60" s="30"/>
      <c r="F60" s="38" t="s">
        <v>418</v>
      </c>
      <c r="G60" s="28" t="str">
        <f>IF(ISNUMBER(F60),E60*F60,"")</f>
        <v/>
      </c>
      <c r="H60" s="32"/>
      <c r="I60" s="28"/>
      <c r="J60" s="125">
        <v>0</v>
      </c>
    </row>
    <row r="61" spans="1:10" ht="15.75" hidden="1" thickBot="1" x14ac:dyDescent="0.3">
      <c r="A61" s="235"/>
      <c r="B61" s="238"/>
      <c r="C61" s="155" t="s">
        <v>595</v>
      </c>
      <c r="D61" s="155" t="s">
        <v>587</v>
      </c>
      <c r="E61" s="34">
        <v>3.7400000000000003E-2</v>
      </c>
      <c r="F61" s="28">
        <v>25.65</v>
      </c>
      <c r="G61" s="31">
        <f>IF(ISNUMBER(F61),E61*F61,"")</f>
        <v>0.95931</v>
      </c>
      <c r="H61" s="35">
        <f>SUM(G61:G62)</f>
        <v>2.9800169999999997</v>
      </c>
      <c r="I61" s="36"/>
      <c r="J61" s="125">
        <v>0</v>
      </c>
    </row>
    <row r="62" spans="1:10" ht="15.75" hidden="1" thickBot="1" x14ac:dyDescent="0.3">
      <c r="A62" s="235"/>
      <c r="B62" s="238"/>
      <c r="C62" s="155" t="s">
        <v>588</v>
      </c>
      <c r="D62" s="155" t="s">
        <v>587</v>
      </c>
      <c r="E62" s="34">
        <v>0.1053</v>
      </c>
      <c r="F62" s="28">
        <v>19.189999999999998</v>
      </c>
      <c r="G62" s="31">
        <f>IF(ISNUMBER(F62),E62*F62,"")</f>
        <v>2.0207069999999998</v>
      </c>
      <c r="H62" s="32"/>
      <c r="I62" s="28"/>
      <c r="J62" s="125">
        <v>0</v>
      </c>
    </row>
    <row r="63" spans="1:10" ht="15.75" hidden="1" thickBot="1" x14ac:dyDescent="0.3">
      <c r="A63" s="236"/>
      <c r="B63" s="239"/>
      <c r="C63" s="155"/>
      <c r="D63" s="33"/>
      <c r="E63" s="34"/>
      <c r="F63" s="28" t="s">
        <v>418</v>
      </c>
      <c r="G63" s="28" t="str">
        <f>IF(ISNUMBER(F63),E63*F63,"")</f>
        <v/>
      </c>
      <c r="H63" s="32"/>
      <c r="I63" s="28"/>
      <c r="J63" s="125">
        <v>0</v>
      </c>
    </row>
    <row r="64" spans="1:10" ht="15.75" hidden="1" thickBot="1" x14ac:dyDescent="0.3">
      <c r="A64" s="234" t="s">
        <v>25</v>
      </c>
      <c r="B64" s="237" t="s">
        <v>1315</v>
      </c>
      <c r="C64" s="160"/>
      <c r="D64" s="23" t="s">
        <v>69</v>
      </c>
      <c r="E64" s="24"/>
      <c r="F64" s="37" t="s">
        <v>418</v>
      </c>
      <c r="G64" s="25" t="str">
        <f>IF(ISNUMBER(F64),E64*F64,"")</f>
        <v/>
      </c>
      <c r="H64" s="26"/>
      <c r="I64" s="27"/>
      <c r="J64" s="125">
        <v>0</v>
      </c>
    </row>
    <row r="65" spans="1:10" ht="15.75" hidden="1" thickBot="1" x14ac:dyDescent="0.3">
      <c r="A65" s="235"/>
      <c r="B65" s="238"/>
      <c r="C65" s="151"/>
      <c r="D65" s="29"/>
      <c r="E65" s="30"/>
      <c r="F65" s="38" t="s">
        <v>418</v>
      </c>
      <c r="G65" s="28" t="str">
        <f>IF(ISNUMBER(F65),E65*F65,"")</f>
        <v/>
      </c>
      <c r="H65" s="32"/>
      <c r="I65" s="28"/>
      <c r="J65" s="125">
        <v>0</v>
      </c>
    </row>
    <row r="66" spans="1:10" ht="26.25" hidden="1" thickBot="1" x14ac:dyDescent="0.3">
      <c r="A66" s="235"/>
      <c r="B66" s="238"/>
      <c r="C66" s="155" t="s">
        <v>825</v>
      </c>
      <c r="D66" s="155" t="s">
        <v>587</v>
      </c>
      <c r="E66" s="34">
        <v>7.1000000000000004E-3</v>
      </c>
      <c r="F66" s="28">
        <v>24.9375</v>
      </c>
      <c r="G66" s="31">
        <f>IF(ISNUMBER(F66),E66*F66,"")</f>
        <v>0.17705625</v>
      </c>
      <c r="H66" s="35">
        <f>SUM(G66:G67)</f>
        <v>0.44571624999999993</v>
      </c>
      <c r="I66" s="36"/>
      <c r="J66" s="125">
        <v>0</v>
      </c>
    </row>
    <row r="67" spans="1:10" ht="15.75" hidden="1" thickBot="1" x14ac:dyDescent="0.3">
      <c r="A67" s="235"/>
      <c r="B67" s="238"/>
      <c r="C67" s="155" t="s">
        <v>588</v>
      </c>
      <c r="D67" s="155" t="s">
        <v>587</v>
      </c>
      <c r="E67" s="34">
        <v>1.4E-2</v>
      </c>
      <c r="F67" s="28">
        <v>19.189999999999998</v>
      </c>
      <c r="G67" s="31">
        <f>IF(ISNUMBER(F67),E67*F67,"")</f>
        <v>0.26865999999999995</v>
      </c>
      <c r="H67" s="32"/>
      <c r="I67" s="28"/>
      <c r="J67" s="125">
        <v>0</v>
      </c>
    </row>
    <row r="68" spans="1:10" ht="15.75" hidden="1" thickBot="1" x14ac:dyDescent="0.3">
      <c r="A68" s="236"/>
      <c r="B68" s="239"/>
      <c r="C68" s="155"/>
      <c r="D68" s="33"/>
      <c r="E68" s="34"/>
      <c r="F68" s="28" t="s">
        <v>418</v>
      </c>
      <c r="G68" s="28" t="str">
        <f>IF(ISNUMBER(F68),E68*F68,"")</f>
        <v/>
      </c>
      <c r="H68" s="32"/>
      <c r="I68" s="28"/>
      <c r="J68" s="125">
        <v>0</v>
      </c>
    </row>
    <row r="69" spans="1:10" ht="15.75" hidden="1" thickBot="1" x14ac:dyDescent="0.3">
      <c r="A69" s="234" t="s">
        <v>26</v>
      </c>
      <c r="B69" s="237" t="s">
        <v>1316</v>
      </c>
      <c r="C69" s="160"/>
      <c r="D69" s="23" t="s">
        <v>81</v>
      </c>
      <c r="E69" s="24"/>
      <c r="F69" s="37" t="s">
        <v>418</v>
      </c>
      <c r="G69" s="25" t="str">
        <f>IF(ISNUMBER(F69),E69*F69,"")</f>
        <v/>
      </c>
      <c r="H69" s="26"/>
      <c r="I69" s="27"/>
      <c r="J69" s="125">
        <v>0</v>
      </c>
    </row>
    <row r="70" spans="1:10" ht="15.75" hidden="1" thickBot="1" x14ac:dyDescent="0.3">
      <c r="A70" s="235"/>
      <c r="B70" s="238"/>
      <c r="C70" s="151"/>
      <c r="D70" s="29"/>
      <c r="E70" s="30"/>
      <c r="F70" s="38" t="s">
        <v>418</v>
      </c>
      <c r="G70" s="28" t="str">
        <f>IF(ISNUMBER(F70),E70*F70,"")</f>
        <v/>
      </c>
      <c r="H70" s="32"/>
      <c r="I70" s="28"/>
      <c r="J70" s="125">
        <v>0</v>
      </c>
    </row>
    <row r="71" spans="1:10" ht="26.25" hidden="1" thickBot="1" x14ac:dyDescent="0.3">
      <c r="A71" s="235"/>
      <c r="B71" s="238"/>
      <c r="C71" s="155" t="s">
        <v>975</v>
      </c>
      <c r="D71" s="155" t="s">
        <v>814</v>
      </c>
      <c r="E71" s="34">
        <v>3.2467999999999999</v>
      </c>
      <c r="F71" s="31">
        <v>24.738</v>
      </c>
      <c r="G71" s="31">
        <f>IF(ISNUMBER(F71),E71*F71,"")</f>
        <v>80.319338399999992</v>
      </c>
      <c r="H71" s="35">
        <f>SUM(G71:G75)</f>
        <v>267.85446174999998</v>
      </c>
      <c r="I71" s="36"/>
      <c r="J71" s="125">
        <v>0</v>
      </c>
    </row>
    <row r="72" spans="1:10" ht="26.25" hidden="1" thickBot="1" x14ac:dyDescent="0.3">
      <c r="A72" s="235"/>
      <c r="B72" s="238"/>
      <c r="C72" s="155" t="s">
        <v>976</v>
      </c>
      <c r="D72" s="155" t="s">
        <v>816</v>
      </c>
      <c r="E72" s="34">
        <v>0.92020000000000002</v>
      </c>
      <c r="F72" s="31">
        <v>23.122999999999998</v>
      </c>
      <c r="G72" s="31">
        <f>IF(ISNUMBER(F72),E72*F72,"")</f>
        <v>21.277784599999997</v>
      </c>
      <c r="H72" s="32"/>
      <c r="I72" s="28"/>
      <c r="J72" s="125">
        <v>0</v>
      </c>
    </row>
    <row r="73" spans="1:10" ht="26.25" hidden="1" thickBot="1" x14ac:dyDescent="0.3">
      <c r="A73" s="235"/>
      <c r="B73" s="238"/>
      <c r="C73" s="155" t="s">
        <v>27</v>
      </c>
      <c r="D73" s="155" t="s">
        <v>774</v>
      </c>
      <c r="E73" s="34">
        <v>0.28349999999999997</v>
      </c>
      <c r="F73" s="31">
        <v>83.552499999999995</v>
      </c>
      <c r="G73" s="28">
        <f>IF(ISNUMBER(F73),E73*F73,"")</f>
        <v>23.687133749999997</v>
      </c>
      <c r="H73" s="32"/>
      <c r="I73" s="28"/>
      <c r="J73" s="125">
        <v>0</v>
      </c>
    </row>
    <row r="74" spans="1:10" ht="15.75" hidden="1" thickBot="1" x14ac:dyDescent="0.3">
      <c r="A74" s="235"/>
      <c r="B74" s="238"/>
      <c r="C74" s="155" t="s">
        <v>595</v>
      </c>
      <c r="D74" s="155" t="s">
        <v>587</v>
      </c>
      <c r="E74" s="34">
        <v>0.63660000000000005</v>
      </c>
      <c r="F74" s="28">
        <v>25.65</v>
      </c>
      <c r="G74" s="31">
        <f>IF(ISNUMBER(F74),E74*F74,"")</f>
        <v>16.328790000000001</v>
      </c>
      <c r="H74" s="32"/>
      <c r="I74" s="28"/>
      <c r="J74" s="125">
        <v>0</v>
      </c>
    </row>
    <row r="75" spans="1:10" ht="15.75" hidden="1" thickBot="1" x14ac:dyDescent="0.3">
      <c r="A75" s="235"/>
      <c r="B75" s="238"/>
      <c r="C75" s="155" t="s">
        <v>588</v>
      </c>
      <c r="D75" s="155" t="s">
        <v>587</v>
      </c>
      <c r="E75" s="34">
        <v>6.5785</v>
      </c>
      <c r="F75" s="28">
        <v>19.189999999999998</v>
      </c>
      <c r="G75" s="31">
        <f>IF(ISNUMBER(F75),E75*F75,"")</f>
        <v>126.24141499999999</v>
      </c>
      <c r="H75" s="32"/>
      <c r="I75" s="28"/>
      <c r="J75" s="125">
        <v>0</v>
      </c>
    </row>
    <row r="76" spans="1:10" ht="15.75" hidden="1" thickBot="1" x14ac:dyDescent="0.3">
      <c r="A76" s="236"/>
      <c r="B76" s="239"/>
      <c r="C76" s="155"/>
      <c r="D76" s="33"/>
      <c r="E76" s="34"/>
      <c r="F76" s="28" t="s">
        <v>418</v>
      </c>
      <c r="G76" s="28" t="str">
        <f>IF(ISNUMBER(F76),E76*F76,"")</f>
        <v/>
      </c>
      <c r="H76" s="32"/>
      <c r="I76" s="28"/>
      <c r="J76" s="125">
        <v>0</v>
      </c>
    </row>
    <row r="77" spans="1:10" ht="15.75" hidden="1" thickBot="1" x14ac:dyDescent="0.3">
      <c r="A77" s="252" t="s">
        <v>29</v>
      </c>
      <c r="B77" s="237" t="s">
        <v>1317</v>
      </c>
      <c r="C77" s="160"/>
      <c r="D77" s="23" t="s">
        <v>70</v>
      </c>
      <c r="E77" s="24"/>
      <c r="F77" s="37" t="s">
        <v>418</v>
      </c>
      <c r="G77" s="25" t="str">
        <f>IF(ISNUMBER(F77),E77*F77,"")</f>
        <v/>
      </c>
      <c r="H77" s="26"/>
      <c r="I77" s="27"/>
      <c r="J77" s="125">
        <v>0</v>
      </c>
    </row>
    <row r="78" spans="1:10" ht="15.75" hidden="1" thickBot="1" x14ac:dyDescent="0.3">
      <c r="A78" s="253"/>
      <c r="B78" s="238"/>
      <c r="C78" s="151"/>
      <c r="D78" s="29"/>
      <c r="E78" s="30"/>
      <c r="F78" s="38" t="s">
        <v>418</v>
      </c>
      <c r="G78" s="28" t="str">
        <f>IF(ISNUMBER(F78),E78*F78,"")</f>
        <v/>
      </c>
      <c r="H78" s="32"/>
      <c r="I78" s="28"/>
      <c r="J78" s="125">
        <v>0</v>
      </c>
    </row>
    <row r="79" spans="1:10" ht="15.75" hidden="1" thickBot="1" x14ac:dyDescent="0.3">
      <c r="A79" s="253"/>
      <c r="B79" s="238"/>
      <c r="C79" s="155" t="s">
        <v>586</v>
      </c>
      <c r="D79" s="155" t="s">
        <v>587</v>
      </c>
      <c r="E79" s="34">
        <v>0.35</v>
      </c>
      <c r="F79" s="28">
        <v>24.215499999999999</v>
      </c>
      <c r="G79" s="31">
        <f>IF(ISNUMBER(F79),E79*F79,"")</f>
        <v>8.4754249999999995</v>
      </c>
      <c r="H79" s="35">
        <f>SUM(G79:G80)</f>
        <v>15.191924999999998</v>
      </c>
      <c r="I79" s="36"/>
      <c r="J79" s="125">
        <v>0</v>
      </c>
    </row>
    <row r="80" spans="1:10" ht="15.75" hidden="1" thickBot="1" x14ac:dyDescent="0.3">
      <c r="A80" s="253"/>
      <c r="B80" s="238"/>
      <c r="C80" s="155" t="s">
        <v>588</v>
      </c>
      <c r="D80" s="155" t="s">
        <v>587</v>
      </c>
      <c r="E80" s="34">
        <v>0.35</v>
      </c>
      <c r="F80" s="28">
        <v>19.189999999999998</v>
      </c>
      <c r="G80" s="31">
        <f>IF(ISNUMBER(F80),E80*F80,"")</f>
        <v>6.716499999999999</v>
      </c>
      <c r="H80" s="40"/>
      <c r="I80" s="41"/>
      <c r="J80" s="125">
        <v>0</v>
      </c>
    </row>
    <row r="81" spans="1:10" ht="15.75" hidden="1" thickBot="1" x14ac:dyDescent="0.3">
      <c r="A81" s="253"/>
      <c r="B81" s="238"/>
      <c r="C81" s="155"/>
      <c r="D81" s="33"/>
      <c r="E81" s="34"/>
      <c r="F81" s="28" t="s">
        <v>418</v>
      </c>
      <c r="G81" s="28" t="str">
        <f>IF(ISNUMBER(F81),E81*F81,"")</f>
        <v/>
      </c>
      <c r="H81" s="32"/>
      <c r="I81" s="28"/>
      <c r="J81" s="125">
        <v>0</v>
      </c>
    </row>
    <row r="82" spans="1:10" ht="15.75" hidden="1" thickBot="1" x14ac:dyDescent="0.3">
      <c r="A82" s="234" t="s">
        <v>30</v>
      </c>
      <c r="B82" s="237" t="s">
        <v>1318</v>
      </c>
      <c r="C82" s="160"/>
      <c r="D82" s="23" t="s">
        <v>70</v>
      </c>
      <c r="E82" s="24"/>
      <c r="F82" s="37" t="s">
        <v>418</v>
      </c>
      <c r="G82" s="25" t="str">
        <f>IF(ISNUMBER(F82),E82*F82,"")</f>
        <v/>
      </c>
      <c r="H82" s="26"/>
      <c r="I82" s="27"/>
      <c r="J82" s="125">
        <v>0</v>
      </c>
    </row>
    <row r="83" spans="1:10" ht="15.75" hidden="1" thickBot="1" x14ac:dyDescent="0.3">
      <c r="A83" s="235"/>
      <c r="B83" s="238"/>
      <c r="C83" s="151"/>
      <c r="D83" s="29"/>
      <c r="E83" s="30"/>
      <c r="F83" s="38" t="s">
        <v>418</v>
      </c>
      <c r="G83" s="28" t="str">
        <f>IF(ISNUMBER(F83),E83*F83,"")</f>
        <v/>
      </c>
      <c r="H83" s="32"/>
      <c r="I83" s="28"/>
      <c r="J83" s="125">
        <v>0</v>
      </c>
    </row>
    <row r="84" spans="1:10" ht="15.75" hidden="1" thickBot="1" x14ac:dyDescent="0.3">
      <c r="A84" s="235"/>
      <c r="B84" s="238"/>
      <c r="C84" s="155" t="s">
        <v>595</v>
      </c>
      <c r="D84" s="155" t="s">
        <v>587</v>
      </c>
      <c r="E84" s="34">
        <v>0.15</v>
      </c>
      <c r="F84" s="28">
        <v>25.65</v>
      </c>
      <c r="G84" s="31">
        <f>IF(ISNUMBER(F84),E84*F84,"")</f>
        <v>3.8474999999999997</v>
      </c>
      <c r="H84" s="35">
        <f>SUM(G84:G85)</f>
        <v>23.037499999999998</v>
      </c>
      <c r="I84" s="36"/>
      <c r="J84" s="125">
        <v>0</v>
      </c>
    </row>
    <row r="85" spans="1:10" ht="15.75" hidden="1" thickBot="1" x14ac:dyDescent="0.3">
      <c r="A85" s="235"/>
      <c r="B85" s="238"/>
      <c r="C85" s="155" t="s">
        <v>588</v>
      </c>
      <c r="D85" s="155" t="s">
        <v>587</v>
      </c>
      <c r="E85" s="34">
        <v>1</v>
      </c>
      <c r="F85" s="28">
        <v>19.189999999999998</v>
      </c>
      <c r="G85" s="31">
        <f>IF(ISNUMBER(F85),E85*F85,"")</f>
        <v>19.189999999999998</v>
      </c>
      <c r="H85" s="32"/>
      <c r="I85" s="28"/>
      <c r="J85" s="125">
        <v>0</v>
      </c>
    </row>
    <row r="86" spans="1:10" ht="15.75" hidden="1" thickBot="1" x14ac:dyDescent="0.3">
      <c r="A86" s="236"/>
      <c r="B86" s="239"/>
      <c r="C86" s="155"/>
      <c r="D86" s="33"/>
      <c r="E86" s="34"/>
      <c r="F86" s="28" t="s">
        <v>418</v>
      </c>
      <c r="G86" s="28" t="str">
        <f>IF(ISNUMBER(F86),E86*F86,"")</f>
        <v/>
      </c>
      <c r="H86" s="32"/>
      <c r="I86" s="28"/>
      <c r="J86" s="125">
        <v>0</v>
      </c>
    </row>
    <row r="87" spans="1:10" ht="15.75" hidden="1" thickBot="1" x14ac:dyDescent="0.3">
      <c r="A87" s="234" t="s">
        <v>31</v>
      </c>
      <c r="B87" s="237" t="s">
        <v>1319</v>
      </c>
      <c r="C87" s="160"/>
      <c r="D87" s="23" t="s">
        <v>16</v>
      </c>
      <c r="E87" s="24"/>
      <c r="F87" s="37" t="s">
        <v>418</v>
      </c>
      <c r="G87" s="25" t="str">
        <f>IF(ISNUMBER(F87),E87*F87,"")</f>
        <v/>
      </c>
      <c r="H87" s="26"/>
      <c r="I87" s="27"/>
      <c r="J87" s="125">
        <v>0</v>
      </c>
    </row>
    <row r="88" spans="1:10" ht="15.75" hidden="1" thickBot="1" x14ac:dyDescent="0.3">
      <c r="A88" s="235"/>
      <c r="B88" s="238"/>
      <c r="C88" s="151"/>
      <c r="D88" s="29"/>
      <c r="E88" s="30"/>
      <c r="F88" s="38" t="s">
        <v>418</v>
      </c>
      <c r="G88" s="28" t="str">
        <f>IF(ISNUMBER(F88),E88*F88,"")</f>
        <v/>
      </c>
      <c r="H88" s="32"/>
      <c r="I88" s="28"/>
      <c r="J88" s="125">
        <v>0</v>
      </c>
    </row>
    <row r="89" spans="1:10" ht="15.75" hidden="1" thickBot="1" x14ac:dyDescent="0.3">
      <c r="A89" s="235"/>
      <c r="B89" s="238"/>
      <c r="C89" s="155" t="s">
        <v>595</v>
      </c>
      <c r="D89" s="155" t="s">
        <v>587</v>
      </c>
      <c r="E89" s="34">
        <f>0.08/2</f>
        <v>0.04</v>
      </c>
      <c r="F89" s="28">
        <v>25.65</v>
      </c>
      <c r="G89" s="31">
        <f>IF(ISNUMBER(F89),E89*F89,"")</f>
        <v>1.026</v>
      </c>
      <c r="H89" s="35">
        <f>SUM(G89:G90)</f>
        <v>8.702</v>
      </c>
      <c r="I89" s="36"/>
      <c r="J89" s="125">
        <v>0</v>
      </c>
    </row>
    <row r="90" spans="1:10" ht="15.75" hidden="1" thickBot="1" x14ac:dyDescent="0.3">
      <c r="A90" s="235"/>
      <c r="B90" s="238"/>
      <c r="C90" s="155" t="s">
        <v>588</v>
      </c>
      <c r="D90" s="155" t="s">
        <v>587</v>
      </c>
      <c r="E90" s="34">
        <f>0.8/2</f>
        <v>0.4</v>
      </c>
      <c r="F90" s="28">
        <v>19.189999999999998</v>
      </c>
      <c r="G90" s="31">
        <f>IF(ISNUMBER(F90),E90*F90,"")</f>
        <v>7.6759999999999993</v>
      </c>
      <c r="H90" s="32"/>
      <c r="I90" s="28"/>
      <c r="J90" s="125">
        <v>0</v>
      </c>
    </row>
    <row r="91" spans="1:10" ht="15.75" hidden="1" thickBot="1" x14ac:dyDescent="0.3">
      <c r="A91" s="235"/>
      <c r="B91" s="238"/>
      <c r="C91" s="155"/>
      <c r="D91" s="33"/>
      <c r="E91" s="34"/>
      <c r="F91" s="31" t="s">
        <v>418</v>
      </c>
      <c r="G91" s="31" t="str">
        <f>IF(ISNUMBER(F91),E91*F91,"")</f>
        <v/>
      </c>
      <c r="H91" s="32"/>
      <c r="I91" s="28"/>
      <c r="J91" s="125">
        <v>0</v>
      </c>
    </row>
    <row r="92" spans="1:10" ht="15.75" hidden="1" thickBot="1" x14ac:dyDescent="0.3">
      <c r="A92" s="234" t="s">
        <v>32</v>
      </c>
      <c r="B92" s="237" t="s">
        <v>1320</v>
      </c>
      <c r="C92" s="160"/>
      <c r="D92" s="23" t="s">
        <v>69</v>
      </c>
      <c r="E92" s="24"/>
      <c r="F92" s="37" t="s">
        <v>418</v>
      </c>
      <c r="G92" s="25" t="str">
        <f>IF(ISNUMBER(F92),E92*F92,"")</f>
        <v/>
      </c>
      <c r="H92" s="26"/>
      <c r="I92" s="27"/>
      <c r="J92" s="125">
        <v>0</v>
      </c>
    </row>
    <row r="93" spans="1:10" ht="15.75" hidden="1" thickBot="1" x14ac:dyDescent="0.3">
      <c r="A93" s="235"/>
      <c r="B93" s="238"/>
      <c r="C93" s="151"/>
      <c r="D93" s="29"/>
      <c r="E93" s="30"/>
      <c r="F93" s="38" t="s">
        <v>418</v>
      </c>
      <c r="G93" s="28" t="str">
        <f>IF(ISNUMBER(F93),E93*F93,"")</f>
        <v/>
      </c>
      <c r="H93" s="32"/>
      <c r="I93" s="28"/>
      <c r="J93" s="125">
        <v>0</v>
      </c>
    </row>
    <row r="94" spans="1:10" ht="15.75" hidden="1" thickBot="1" x14ac:dyDescent="0.3">
      <c r="A94" s="235"/>
      <c r="B94" s="238"/>
      <c r="C94" s="155" t="s">
        <v>1023</v>
      </c>
      <c r="D94" s="155" t="s">
        <v>587</v>
      </c>
      <c r="E94" s="34">
        <f>0.75*0.1</f>
        <v>7.5000000000000011E-2</v>
      </c>
      <c r="F94" s="28">
        <v>25.954000000000001</v>
      </c>
      <c r="G94" s="31">
        <f>IF(ISNUMBER(F94),E94*F94,"")</f>
        <v>1.9465500000000002</v>
      </c>
      <c r="H94" s="35">
        <f>SUM(G94:G95)</f>
        <v>4.8250500000000009</v>
      </c>
      <c r="I94" s="36"/>
      <c r="J94" s="125">
        <v>0</v>
      </c>
    </row>
    <row r="95" spans="1:10" ht="15.75" hidden="1" thickBot="1" x14ac:dyDescent="0.3">
      <c r="A95" s="235"/>
      <c r="B95" s="238"/>
      <c r="C95" s="155" t="s">
        <v>588</v>
      </c>
      <c r="D95" s="155" t="s">
        <v>587</v>
      </c>
      <c r="E95" s="34">
        <f>0.75*0.2</f>
        <v>0.15000000000000002</v>
      </c>
      <c r="F95" s="28">
        <v>19.189999999999998</v>
      </c>
      <c r="G95" s="31">
        <f>IF(ISNUMBER(F95),E95*F95,"")</f>
        <v>2.8785000000000003</v>
      </c>
      <c r="H95" s="32"/>
      <c r="I95" s="28"/>
      <c r="J95" s="125">
        <v>0</v>
      </c>
    </row>
    <row r="96" spans="1:10" ht="15.75" hidden="1" thickBot="1" x14ac:dyDescent="0.3">
      <c r="A96" s="236"/>
      <c r="B96" s="239"/>
      <c r="C96" s="155"/>
      <c r="D96" s="33"/>
      <c r="E96" s="34"/>
      <c r="F96" s="28" t="s">
        <v>418</v>
      </c>
      <c r="G96" s="28" t="str">
        <f>IF(ISNUMBER(F96),E96*F96,"")</f>
        <v/>
      </c>
      <c r="H96" s="32"/>
      <c r="I96" s="28"/>
      <c r="J96" s="125">
        <v>0</v>
      </c>
    </row>
    <row r="97" spans="1:10" ht="15.75" hidden="1" thickBot="1" x14ac:dyDescent="0.3">
      <c r="A97" s="234" t="s">
        <v>33</v>
      </c>
      <c r="B97" s="237" t="s">
        <v>1321</v>
      </c>
      <c r="C97" s="160"/>
      <c r="D97" s="23" t="s">
        <v>70</v>
      </c>
      <c r="E97" s="24"/>
      <c r="F97" s="37" t="s">
        <v>418</v>
      </c>
      <c r="G97" s="25" t="str">
        <f>IF(ISNUMBER(F97),E97*F97,"")</f>
        <v/>
      </c>
      <c r="H97" s="26"/>
      <c r="I97" s="27"/>
      <c r="J97" s="125">
        <v>0</v>
      </c>
    </row>
    <row r="98" spans="1:10" ht="15.75" hidden="1" thickBot="1" x14ac:dyDescent="0.3">
      <c r="A98" s="235"/>
      <c r="B98" s="238"/>
      <c r="C98" s="151"/>
      <c r="D98" s="29"/>
      <c r="E98" s="30"/>
      <c r="F98" s="38" t="s">
        <v>418</v>
      </c>
      <c r="G98" s="28" t="str">
        <f>IF(ISNUMBER(F98),E98*F98,"")</f>
        <v/>
      </c>
      <c r="H98" s="32"/>
      <c r="I98" s="28"/>
      <c r="J98" s="125">
        <v>0</v>
      </c>
    </row>
    <row r="99" spans="1:10" ht="15.75" hidden="1" thickBot="1" x14ac:dyDescent="0.3">
      <c r="A99" s="235"/>
      <c r="B99" s="238"/>
      <c r="C99" s="155" t="s">
        <v>595</v>
      </c>
      <c r="D99" s="155" t="s">
        <v>587</v>
      </c>
      <c r="E99" s="34">
        <v>0.01</v>
      </c>
      <c r="F99" s="28">
        <v>25.65</v>
      </c>
      <c r="G99" s="31">
        <f>IF(ISNUMBER(F99),E99*F99,"")</f>
        <v>0.25650000000000001</v>
      </c>
      <c r="H99" s="35">
        <f>SUM(G99:G100)</f>
        <v>2.1755</v>
      </c>
      <c r="I99" s="36"/>
      <c r="J99" s="125">
        <v>0</v>
      </c>
    </row>
    <row r="100" spans="1:10" ht="15.75" hidden="1" thickBot="1" x14ac:dyDescent="0.3">
      <c r="A100" s="235"/>
      <c r="B100" s="238"/>
      <c r="C100" s="155" t="s">
        <v>588</v>
      </c>
      <c r="D100" s="155" t="s">
        <v>587</v>
      </c>
      <c r="E100" s="34">
        <v>0.1</v>
      </c>
      <c r="F100" s="28">
        <v>19.189999999999998</v>
      </c>
      <c r="G100" s="31">
        <f>IF(ISNUMBER(F100),E100*F100,"")</f>
        <v>1.9189999999999998</v>
      </c>
      <c r="H100" s="32"/>
      <c r="I100" s="28"/>
      <c r="J100" s="125">
        <v>0</v>
      </c>
    </row>
    <row r="101" spans="1:10" ht="15.75" hidden="1" thickBot="1" x14ac:dyDescent="0.3">
      <c r="A101" s="236"/>
      <c r="B101" s="239"/>
      <c r="C101" s="155"/>
      <c r="D101" s="33"/>
      <c r="E101" s="34"/>
      <c r="F101" s="28" t="s">
        <v>418</v>
      </c>
      <c r="G101" s="28" t="str">
        <f>IF(ISNUMBER(F101),E101*F101,"")</f>
        <v/>
      </c>
      <c r="H101" s="32"/>
      <c r="I101" s="28"/>
      <c r="J101" s="125">
        <v>0</v>
      </c>
    </row>
    <row r="102" spans="1:10" ht="15.75" hidden="1" thickBot="1" x14ac:dyDescent="0.3">
      <c r="A102" s="234" t="s">
        <v>34</v>
      </c>
      <c r="B102" s="237" t="s">
        <v>1322</v>
      </c>
      <c r="C102" s="160"/>
      <c r="D102" s="23" t="s">
        <v>69</v>
      </c>
      <c r="E102" s="24"/>
      <c r="F102" s="37" t="s">
        <v>418</v>
      </c>
      <c r="G102" s="25" t="str">
        <f>IF(ISNUMBER(F102),E102*F102,"")</f>
        <v/>
      </c>
      <c r="H102" s="26"/>
      <c r="I102" s="27"/>
      <c r="J102" s="125">
        <v>0</v>
      </c>
    </row>
    <row r="103" spans="1:10" ht="15.75" hidden="1" thickBot="1" x14ac:dyDescent="0.3">
      <c r="A103" s="235"/>
      <c r="B103" s="238"/>
      <c r="C103" s="151"/>
      <c r="D103" s="29"/>
      <c r="E103" s="30"/>
      <c r="F103" s="38" t="s">
        <v>418</v>
      </c>
      <c r="G103" s="28" t="str">
        <f>IF(ISNUMBER(F103),E103*F103,"")</f>
        <v/>
      </c>
      <c r="H103" s="32"/>
      <c r="I103" s="28"/>
      <c r="J103" s="125">
        <v>0</v>
      </c>
    </row>
    <row r="104" spans="1:10" ht="15.75" hidden="1" thickBot="1" x14ac:dyDescent="0.3">
      <c r="A104" s="235"/>
      <c r="B104" s="238"/>
      <c r="C104" s="155" t="s">
        <v>1251</v>
      </c>
      <c r="D104" s="155" t="s">
        <v>587</v>
      </c>
      <c r="E104" s="34">
        <f>ROUND(1/6,4)</f>
        <v>0.16669999999999999</v>
      </c>
      <c r="F104" s="28">
        <v>19.731499999999997</v>
      </c>
      <c r="G104" s="31">
        <f>IF(ISNUMBER(F104),E104*F104,"")</f>
        <v>3.2892410499999993</v>
      </c>
      <c r="H104" s="35">
        <f>SUM(G104:G104)</f>
        <v>3.2892410499999993</v>
      </c>
      <c r="I104" s="36"/>
      <c r="J104" s="125">
        <v>0</v>
      </c>
    </row>
    <row r="105" spans="1:10" ht="15.75" hidden="1" thickBot="1" x14ac:dyDescent="0.3">
      <c r="A105" s="236"/>
      <c r="B105" s="239"/>
      <c r="C105" s="155"/>
      <c r="D105" s="33"/>
      <c r="E105" s="34"/>
      <c r="F105" s="28" t="s">
        <v>418</v>
      </c>
      <c r="G105" s="28" t="str">
        <f>IF(ISNUMBER(F105),E105*F105,"")</f>
        <v/>
      </c>
      <c r="H105" s="32"/>
      <c r="I105" s="28"/>
      <c r="J105" s="125">
        <v>0</v>
      </c>
    </row>
    <row r="106" spans="1:10" ht="15.75" hidden="1" thickBot="1" x14ac:dyDescent="0.3">
      <c r="A106" s="234" t="s">
        <v>35</v>
      </c>
      <c r="B106" s="237" t="s">
        <v>1323</v>
      </c>
      <c r="C106" s="160"/>
      <c r="D106" s="23" t="s">
        <v>16</v>
      </c>
      <c r="E106" s="24"/>
      <c r="F106" s="37" t="s">
        <v>418</v>
      </c>
      <c r="G106" s="25" t="str">
        <f>IF(ISNUMBER(F106),E106*F106,"")</f>
        <v/>
      </c>
      <c r="H106" s="26"/>
      <c r="I106" s="27"/>
      <c r="J106" s="125">
        <v>0</v>
      </c>
    </row>
    <row r="107" spans="1:10" ht="15.75" hidden="1" thickBot="1" x14ac:dyDescent="0.3">
      <c r="A107" s="235"/>
      <c r="B107" s="238"/>
      <c r="C107" s="151"/>
      <c r="D107" s="29"/>
      <c r="E107" s="30"/>
      <c r="F107" s="38" t="s">
        <v>418</v>
      </c>
      <c r="G107" s="28" t="str">
        <f>IF(ISNUMBER(F107),E107*F107,"")</f>
        <v/>
      </c>
      <c r="H107" s="32"/>
      <c r="I107" s="28"/>
      <c r="J107" s="125">
        <v>0</v>
      </c>
    </row>
    <row r="108" spans="1:10" ht="26.25" hidden="1" thickBot="1" x14ac:dyDescent="0.3">
      <c r="A108" s="235"/>
      <c r="B108" s="238"/>
      <c r="C108" s="155" t="s">
        <v>9741</v>
      </c>
      <c r="D108" s="155" t="s">
        <v>587</v>
      </c>
      <c r="E108" s="34">
        <v>0.6</v>
      </c>
      <c r="F108" s="28">
        <v>18.544</v>
      </c>
      <c r="G108" s="28">
        <f>IF(ISNUMBER(F108),E108*F108,"")</f>
        <v>11.1264</v>
      </c>
      <c r="H108" s="35">
        <f>SUM(G108:G109)</f>
        <v>22.6404</v>
      </c>
      <c r="I108" s="36"/>
      <c r="J108" s="125">
        <v>0</v>
      </c>
    </row>
    <row r="109" spans="1:10" ht="15.75" hidden="1" thickBot="1" x14ac:dyDescent="0.3">
      <c r="A109" s="235"/>
      <c r="B109" s="238"/>
      <c r="C109" s="155" t="s">
        <v>588</v>
      </c>
      <c r="D109" s="155" t="s">
        <v>587</v>
      </c>
      <c r="E109" s="34">
        <v>0.6</v>
      </c>
      <c r="F109" s="28">
        <v>19.189999999999998</v>
      </c>
      <c r="G109" s="28">
        <f>IF(ISNUMBER(F109),E109*F109,"")</f>
        <v>11.513999999999998</v>
      </c>
      <c r="H109" s="32"/>
      <c r="I109" s="28"/>
      <c r="J109" s="125">
        <v>0</v>
      </c>
    </row>
    <row r="110" spans="1:10" ht="15.75" hidden="1" thickBot="1" x14ac:dyDescent="0.3">
      <c r="A110" s="236"/>
      <c r="B110" s="239"/>
      <c r="C110" s="155"/>
      <c r="D110" s="33"/>
      <c r="E110" s="34"/>
      <c r="F110" s="28" t="s">
        <v>418</v>
      </c>
      <c r="G110" s="28" t="str">
        <f>IF(ISNUMBER(F110),E110*F110,"")</f>
        <v/>
      </c>
      <c r="H110" s="32"/>
      <c r="I110" s="28"/>
      <c r="J110" s="125">
        <v>0</v>
      </c>
    </row>
    <row r="111" spans="1:10" ht="15.75" hidden="1" thickBot="1" x14ac:dyDescent="0.3">
      <c r="A111" s="234" t="s">
        <v>36</v>
      </c>
      <c r="B111" s="237" t="s">
        <v>1324</v>
      </c>
      <c r="C111" s="160"/>
      <c r="D111" s="23" t="s">
        <v>70</v>
      </c>
      <c r="E111" s="24"/>
      <c r="F111" s="37" t="s">
        <v>418</v>
      </c>
      <c r="G111" s="25" t="str">
        <f>IF(ISNUMBER(F111),E111*F111,"")</f>
        <v/>
      </c>
      <c r="H111" s="26"/>
      <c r="I111" s="27"/>
      <c r="J111" s="125">
        <v>0</v>
      </c>
    </row>
    <row r="112" spans="1:10" ht="15.75" hidden="1" thickBot="1" x14ac:dyDescent="0.3">
      <c r="A112" s="235"/>
      <c r="B112" s="238"/>
      <c r="C112" s="151"/>
      <c r="D112" s="29"/>
      <c r="E112" s="30"/>
      <c r="F112" s="38" t="s">
        <v>418</v>
      </c>
      <c r="G112" s="28" t="str">
        <f>IF(ISNUMBER(F112),E112*F112,"")</f>
        <v/>
      </c>
      <c r="H112" s="32"/>
      <c r="I112" s="28"/>
      <c r="J112" s="125">
        <v>0</v>
      </c>
    </row>
    <row r="113" spans="1:10" ht="15.75" hidden="1" thickBot="1" x14ac:dyDescent="0.3">
      <c r="A113" s="235"/>
      <c r="B113" s="238"/>
      <c r="C113" s="155" t="s">
        <v>9784</v>
      </c>
      <c r="D113" s="155" t="s">
        <v>587</v>
      </c>
      <c r="E113" s="34">
        <v>0.6</v>
      </c>
      <c r="F113" s="28">
        <v>25.516999999999999</v>
      </c>
      <c r="G113" s="31">
        <f>IF(ISNUMBER(F113),E113*F113,"")</f>
        <v>15.310199999999998</v>
      </c>
      <c r="H113" s="35">
        <f>SUM(G113:G114)</f>
        <v>38.338199999999993</v>
      </c>
      <c r="I113" s="36"/>
      <c r="J113" s="125">
        <v>0</v>
      </c>
    </row>
    <row r="114" spans="1:10" ht="15.75" hidden="1" thickBot="1" x14ac:dyDescent="0.3">
      <c r="A114" s="235"/>
      <c r="B114" s="238"/>
      <c r="C114" s="155" t="s">
        <v>588</v>
      </c>
      <c r="D114" s="155" t="s">
        <v>587</v>
      </c>
      <c r="E114" s="34">
        <v>1.2</v>
      </c>
      <c r="F114" s="28">
        <v>19.189999999999998</v>
      </c>
      <c r="G114" s="31">
        <f>IF(ISNUMBER(F114),E114*F114,"")</f>
        <v>23.027999999999995</v>
      </c>
      <c r="H114" s="32"/>
      <c r="I114" s="28"/>
      <c r="J114" s="125">
        <v>0</v>
      </c>
    </row>
    <row r="115" spans="1:10" ht="15.75" hidden="1" thickBot="1" x14ac:dyDescent="0.3">
      <c r="A115" s="236"/>
      <c r="B115" s="239"/>
      <c r="C115" s="155"/>
      <c r="D115" s="33"/>
      <c r="E115" s="34"/>
      <c r="F115" s="28" t="s">
        <v>418</v>
      </c>
      <c r="G115" s="28" t="str">
        <f>IF(ISNUMBER(F115),E115*F115,"")</f>
        <v/>
      </c>
      <c r="H115" s="32"/>
      <c r="I115" s="28"/>
      <c r="J115" s="125">
        <v>0</v>
      </c>
    </row>
    <row r="116" spans="1:10" ht="15.75" hidden="1" thickBot="1" x14ac:dyDescent="0.3">
      <c r="A116" s="234" t="s">
        <v>37</v>
      </c>
      <c r="B116" s="237" t="s">
        <v>1325</v>
      </c>
      <c r="C116" s="160"/>
      <c r="D116" s="23" t="s">
        <v>70</v>
      </c>
      <c r="E116" s="24"/>
      <c r="F116" s="37" t="s">
        <v>418</v>
      </c>
      <c r="G116" s="25" t="str">
        <f>IF(ISNUMBER(F116),E116*F116,"")</f>
        <v/>
      </c>
      <c r="H116" s="26"/>
      <c r="I116" s="27"/>
      <c r="J116" s="125">
        <v>0</v>
      </c>
    </row>
    <row r="117" spans="1:10" ht="15.75" hidden="1" thickBot="1" x14ac:dyDescent="0.3">
      <c r="A117" s="235"/>
      <c r="B117" s="238"/>
      <c r="C117" s="151"/>
      <c r="D117" s="29"/>
      <c r="E117" s="30"/>
      <c r="F117" s="38" t="s">
        <v>418</v>
      </c>
      <c r="G117" s="28" t="str">
        <f>IF(ISNUMBER(F117),E117*F117,"")</f>
        <v/>
      </c>
      <c r="H117" s="32"/>
      <c r="I117" s="28"/>
      <c r="J117" s="125">
        <v>0</v>
      </c>
    </row>
    <row r="118" spans="1:10" ht="26.25" hidden="1" thickBot="1" x14ac:dyDescent="0.3">
      <c r="A118" s="235"/>
      <c r="B118" s="238"/>
      <c r="C118" s="155" t="s">
        <v>863</v>
      </c>
      <c r="D118" s="155" t="s">
        <v>587</v>
      </c>
      <c r="E118" s="34">
        <v>0.1186</v>
      </c>
      <c r="F118" s="28">
        <v>21.593499999999999</v>
      </c>
      <c r="G118" s="28">
        <f>IF(ISNUMBER(F118),E118*F118,"")</f>
        <v>2.5609890999999996</v>
      </c>
      <c r="H118" s="35">
        <f>SUM(G118:G119)</f>
        <v>7.0303400999999992</v>
      </c>
      <c r="I118" s="36"/>
      <c r="J118" s="125">
        <v>0</v>
      </c>
    </row>
    <row r="119" spans="1:10" ht="15.75" hidden="1" thickBot="1" x14ac:dyDescent="0.3">
      <c r="A119" s="235"/>
      <c r="B119" s="238"/>
      <c r="C119" s="155" t="s">
        <v>588</v>
      </c>
      <c r="D119" s="155" t="s">
        <v>587</v>
      </c>
      <c r="E119" s="34">
        <v>0.2329</v>
      </c>
      <c r="F119" s="28">
        <v>19.189999999999998</v>
      </c>
      <c r="G119" s="28">
        <f>IF(ISNUMBER(F119),E119*F119,"")</f>
        <v>4.4693509999999996</v>
      </c>
      <c r="H119" s="32"/>
      <c r="I119" s="28"/>
      <c r="J119" s="125">
        <v>0</v>
      </c>
    </row>
    <row r="120" spans="1:10" ht="15.75" hidden="1" thickBot="1" x14ac:dyDescent="0.3">
      <c r="A120" s="236"/>
      <c r="B120" s="239"/>
      <c r="C120" s="155"/>
      <c r="D120" s="33"/>
      <c r="E120" s="34"/>
      <c r="F120" s="28" t="s">
        <v>418</v>
      </c>
      <c r="G120" s="28" t="str">
        <f>IF(ISNUMBER(F120),E120*F120,"")</f>
        <v/>
      </c>
      <c r="H120" s="32"/>
      <c r="I120" s="28"/>
      <c r="J120" s="125">
        <v>0</v>
      </c>
    </row>
    <row r="121" spans="1:10" ht="15.75" hidden="1" thickBot="1" x14ac:dyDescent="0.3">
      <c r="A121" s="234" t="s">
        <v>38</v>
      </c>
      <c r="B121" s="237" t="s">
        <v>1326</v>
      </c>
      <c r="C121" s="160"/>
      <c r="D121" s="23" t="s">
        <v>69</v>
      </c>
      <c r="E121" s="24"/>
      <c r="F121" s="37" t="s">
        <v>418</v>
      </c>
      <c r="G121" s="25" t="str">
        <f>IF(ISNUMBER(F121),E121*F121,"")</f>
        <v/>
      </c>
      <c r="H121" s="26"/>
      <c r="I121" s="27"/>
      <c r="J121" s="125">
        <v>0</v>
      </c>
    </row>
    <row r="122" spans="1:10" ht="15.75" hidden="1" thickBot="1" x14ac:dyDescent="0.3">
      <c r="A122" s="235"/>
      <c r="B122" s="238"/>
      <c r="C122" s="151"/>
      <c r="D122" s="29"/>
      <c r="E122" s="30"/>
      <c r="F122" s="38" t="s">
        <v>418</v>
      </c>
      <c r="G122" s="28" t="str">
        <f>IF(ISNUMBER(F122),E122*F122,"")</f>
        <v/>
      </c>
      <c r="H122" s="32"/>
      <c r="I122" s="28"/>
      <c r="J122" s="125">
        <v>0</v>
      </c>
    </row>
    <row r="123" spans="1:10" ht="26.25" hidden="1" thickBot="1" x14ac:dyDescent="0.3">
      <c r="A123" s="235"/>
      <c r="B123" s="238"/>
      <c r="C123" s="155" t="s">
        <v>825</v>
      </c>
      <c r="D123" s="155" t="s">
        <v>587</v>
      </c>
      <c r="E123" s="34">
        <v>0.17499999999999999</v>
      </c>
      <c r="F123" s="28">
        <v>24.9375</v>
      </c>
      <c r="G123" s="31">
        <f>IF(ISNUMBER(F123),E123*F123,"")</f>
        <v>4.3640624999999993</v>
      </c>
      <c r="H123" s="35">
        <f>SUM(G123:G124)</f>
        <v>10.121062499999997</v>
      </c>
      <c r="I123" s="36"/>
      <c r="J123" s="125">
        <v>0</v>
      </c>
    </row>
    <row r="124" spans="1:10" ht="15.75" hidden="1" thickBot="1" x14ac:dyDescent="0.3">
      <c r="A124" s="235"/>
      <c r="B124" s="238"/>
      <c r="C124" s="155" t="s">
        <v>588</v>
      </c>
      <c r="D124" s="155" t="s">
        <v>587</v>
      </c>
      <c r="E124" s="34">
        <v>0.3</v>
      </c>
      <c r="F124" s="28">
        <v>19.189999999999998</v>
      </c>
      <c r="G124" s="31">
        <f>IF(ISNUMBER(F124),E124*F124,"")</f>
        <v>5.7569999999999988</v>
      </c>
      <c r="H124" s="32"/>
      <c r="I124" s="28"/>
      <c r="J124" s="125">
        <v>0</v>
      </c>
    </row>
    <row r="125" spans="1:10" ht="15.75" hidden="1" thickBot="1" x14ac:dyDescent="0.3">
      <c r="A125" s="236"/>
      <c r="B125" s="239"/>
      <c r="C125" s="155"/>
      <c r="D125" s="33"/>
      <c r="E125" s="34"/>
      <c r="F125" s="28" t="s">
        <v>418</v>
      </c>
      <c r="G125" s="28" t="str">
        <f>IF(ISNUMBER(F125),E125*F125,"")</f>
        <v/>
      </c>
      <c r="H125" s="32"/>
      <c r="I125" s="28"/>
      <c r="J125" s="125">
        <v>0</v>
      </c>
    </row>
    <row r="126" spans="1:10" ht="15.75" hidden="1" thickBot="1" x14ac:dyDescent="0.3">
      <c r="A126" s="234" t="s">
        <v>39</v>
      </c>
      <c r="B126" s="237" t="s">
        <v>1327</v>
      </c>
      <c r="C126" s="160"/>
      <c r="D126" s="23" t="s">
        <v>70</v>
      </c>
      <c r="E126" s="24"/>
      <c r="F126" s="37" t="s">
        <v>418</v>
      </c>
      <c r="G126" s="25" t="str">
        <f>IF(ISNUMBER(F126),E126*F126,"")</f>
        <v/>
      </c>
      <c r="H126" s="26"/>
      <c r="I126" s="27"/>
      <c r="J126" s="125">
        <v>0</v>
      </c>
    </row>
    <row r="127" spans="1:10" ht="15.75" hidden="1" thickBot="1" x14ac:dyDescent="0.3">
      <c r="A127" s="235"/>
      <c r="B127" s="238"/>
      <c r="C127" s="151"/>
      <c r="D127" s="29"/>
      <c r="E127" s="30"/>
      <c r="F127" s="38" t="s">
        <v>418</v>
      </c>
      <c r="G127" s="28" t="str">
        <f>IF(ISNUMBER(F127),E127*F127,"")</f>
        <v/>
      </c>
      <c r="H127" s="32"/>
      <c r="I127" s="28"/>
      <c r="J127" s="125">
        <v>0</v>
      </c>
    </row>
    <row r="128" spans="1:10" ht="15.75" hidden="1" thickBot="1" x14ac:dyDescent="0.3">
      <c r="A128" s="235"/>
      <c r="B128" s="238"/>
      <c r="C128" s="155" t="s">
        <v>595</v>
      </c>
      <c r="D128" s="155" t="s">
        <v>587</v>
      </c>
      <c r="E128" s="34">
        <v>0.05</v>
      </c>
      <c r="F128" s="28">
        <v>25.65</v>
      </c>
      <c r="G128" s="31">
        <f>IF(ISNUMBER(F128),E128*F128,"")</f>
        <v>1.2825</v>
      </c>
      <c r="H128" s="35">
        <f>SUM(G128:G129)</f>
        <v>10.8775</v>
      </c>
      <c r="I128" s="36"/>
      <c r="J128" s="125">
        <v>0</v>
      </c>
    </row>
    <row r="129" spans="1:10" ht="15.75" hidden="1" thickBot="1" x14ac:dyDescent="0.3">
      <c r="A129" s="235"/>
      <c r="B129" s="238"/>
      <c r="C129" s="155" t="s">
        <v>588</v>
      </c>
      <c r="D129" s="155" t="s">
        <v>587</v>
      </c>
      <c r="E129" s="34">
        <v>0.5</v>
      </c>
      <c r="F129" s="28">
        <v>19.189999999999998</v>
      </c>
      <c r="G129" s="31">
        <f>IF(ISNUMBER(F129),E129*F129,"")</f>
        <v>9.5949999999999989</v>
      </c>
      <c r="H129" s="40"/>
      <c r="I129" s="41"/>
      <c r="J129" s="125">
        <v>0</v>
      </c>
    </row>
    <row r="130" spans="1:10" ht="15.75" hidden="1" thickBot="1" x14ac:dyDescent="0.3">
      <c r="A130" s="236"/>
      <c r="B130" s="239"/>
      <c r="C130" s="155"/>
      <c r="D130" s="33"/>
      <c r="E130" s="34"/>
      <c r="F130" s="28" t="s">
        <v>418</v>
      </c>
      <c r="G130" s="28" t="str">
        <f>IF(ISNUMBER(F130),E130*F130,"")</f>
        <v/>
      </c>
      <c r="H130" s="32"/>
      <c r="I130" s="28"/>
      <c r="J130" s="125">
        <v>0</v>
      </c>
    </row>
    <row r="131" spans="1:10" ht="15.75" hidden="1" thickBot="1" x14ac:dyDescent="0.3">
      <c r="A131" s="234" t="s">
        <v>40</v>
      </c>
      <c r="B131" s="237" t="s">
        <v>1328</v>
      </c>
      <c r="C131" s="160"/>
      <c r="D131" s="23" t="s">
        <v>16</v>
      </c>
      <c r="E131" s="24"/>
      <c r="F131" s="37" t="s">
        <v>418</v>
      </c>
      <c r="G131" s="25" t="str">
        <f>IF(ISNUMBER(F131),E131*F131,"")</f>
        <v/>
      </c>
      <c r="H131" s="26"/>
      <c r="I131" s="27"/>
      <c r="J131" s="125">
        <v>0</v>
      </c>
    </row>
    <row r="132" spans="1:10" ht="15.75" hidden="1" thickBot="1" x14ac:dyDescent="0.3">
      <c r="A132" s="235"/>
      <c r="B132" s="238"/>
      <c r="C132" s="151"/>
      <c r="D132" s="29"/>
      <c r="E132" s="30"/>
      <c r="F132" s="38" t="s">
        <v>418</v>
      </c>
      <c r="G132" s="28" t="str">
        <f>IF(ISNUMBER(F132),E132*F132,"")</f>
        <v/>
      </c>
      <c r="H132" s="32"/>
      <c r="I132" s="28"/>
      <c r="J132" s="125">
        <v>0</v>
      </c>
    </row>
    <row r="133" spans="1:10" ht="15.75" hidden="1" thickBot="1" x14ac:dyDescent="0.3">
      <c r="A133" s="235"/>
      <c r="B133" s="238"/>
      <c r="C133" s="155" t="s">
        <v>1023</v>
      </c>
      <c r="D133" s="155" t="s">
        <v>587</v>
      </c>
      <c r="E133" s="34">
        <v>0.3</v>
      </c>
      <c r="F133" s="28">
        <v>25.954000000000001</v>
      </c>
      <c r="G133" s="28">
        <f>IF(ISNUMBER(F133),E133*F133,"")</f>
        <v>7.7862</v>
      </c>
      <c r="H133" s="35">
        <f>SUM(G133:G133)</f>
        <v>7.7862</v>
      </c>
      <c r="I133" s="36"/>
      <c r="J133" s="125">
        <v>0</v>
      </c>
    </row>
    <row r="134" spans="1:10" ht="15.75" hidden="1" thickBot="1" x14ac:dyDescent="0.3">
      <c r="A134" s="236"/>
      <c r="B134" s="239"/>
      <c r="C134" s="155"/>
      <c r="D134" s="33"/>
      <c r="E134" s="34"/>
      <c r="F134" s="28" t="s">
        <v>418</v>
      </c>
      <c r="G134" s="28" t="str">
        <f>IF(ISNUMBER(F134),E134*F134,"")</f>
        <v/>
      </c>
      <c r="H134" s="32"/>
      <c r="I134" s="28"/>
      <c r="J134" s="125">
        <v>0</v>
      </c>
    </row>
    <row r="135" spans="1:10" ht="15.75" hidden="1" thickBot="1" x14ac:dyDescent="0.3">
      <c r="A135" s="234" t="s">
        <v>41</v>
      </c>
      <c r="B135" s="237" t="s">
        <v>1329</v>
      </c>
      <c r="C135" s="160"/>
      <c r="D135" s="23" t="s">
        <v>16</v>
      </c>
      <c r="E135" s="24"/>
      <c r="F135" s="37" t="s">
        <v>418</v>
      </c>
      <c r="G135" s="25" t="str">
        <f>IF(ISNUMBER(F135),E135*F135,"")</f>
        <v/>
      </c>
      <c r="H135" s="26"/>
      <c r="I135" s="27"/>
      <c r="J135" s="125">
        <v>0</v>
      </c>
    </row>
    <row r="136" spans="1:10" ht="15.75" hidden="1" thickBot="1" x14ac:dyDescent="0.3">
      <c r="A136" s="235"/>
      <c r="B136" s="238"/>
      <c r="C136" s="151"/>
      <c r="D136" s="29"/>
      <c r="E136" s="30"/>
      <c r="F136" s="38" t="s">
        <v>418</v>
      </c>
      <c r="G136" s="28" t="str">
        <f>IF(ISNUMBER(F136),E136*F136,"")</f>
        <v/>
      </c>
      <c r="H136" s="32"/>
      <c r="I136" s="28"/>
      <c r="J136" s="125">
        <v>0</v>
      </c>
    </row>
    <row r="137" spans="1:10" ht="15.75" hidden="1" thickBot="1" x14ac:dyDescent="0.3">
      <c r="A137" s="235"/>
      <c r="B137" s="238"/>
      <c r="C137" s="155" t="s">
        <v>586</v>
      </c>
      <c r="D137" s="155" t="s">
        <v>587</v>
      </c>
      <c r="E137" s="34">
        <f>0.25</f>
        <v>0.25</v>
      </c>
      <c r="F137" s="28">
        <v>24.215499999999999</v>
      </c>
      <c r="G137" s="31">
        <f>IF(ISNUMBER(F137),E137*F137,"")</f>
        <v>6.0538749999999997</v>
      </c>
      <c r="H137" s="35">
        <f>SUM(G137:G137)</f>
        <v>6.0538749999999997</v>
      </c>
      <c r="I137" s="36"/>
      <c r="J137" s="125">
        <v>0</v>
      </c>
    </row>
    <row r="138" spans="1:10" ht="15.75" hidden="1" thickBot="1" x14ac:dyDescent="0.3">
      <c r="A138" s="235"/>
      <c r="B138" s="238"/>
      <c r="C138" s="155"/>
      <c r="D138" s="33"/>
      <c r="E138" s="34"/>
      <c r="F138" s="28" t="s">
        <v>418</v>
      </c>
      <c r="G138" s="28" t="str">
        <f>IF(ISNUMBER(F138),E138*F138,"")</f>
        <v/>
      </c>
      <c r="H138" s="32"/>
      <c r="I138" s="28"/>
      <c r="J138" s="125">
        <v>0</v>
      </c>
    </row>
    <row r="139" spans="1:10" ht="15.75" hidden="1" thickBot="1" x14ac:dyDescent="0.3">
      <c r="A139" s="234" t="s">
        <v>42</v>
      </c>
      <c r="B139" s="237" t="s">
        <v>13437</v>
      </c>
      <c r="C139" s="160"/>
      <c r="D139" s="23" t="s">
        <v>16</v>
      </c>
      <c r="E139" s="24"/>
      <c r="F139" s="37" t="s">
        <v>418</v>
      </c>
      <c r="G139" s="25" t="str">
        <f>IF(ISNUMBER(F139),E139*F139,"")</f>
        <v/>
      </c>
      <c r="H139" s="26"/>
      <c r="I139" s="27"/>
      <c r="J139" s="125">
        <v>0</v>
      </c>
    </row>
    <row r="140" spans="1:10" ht="15.75" hidden="1" thickBot="1" x14ac:dyDescent="0.3">
      <c r="A140" s="235"/>
      <c r="B140" s="238"/>
      <c r="C140" s="151"/>
      <c r="D140" s="29"/>
      <c r="E140" s="30"/>
      <c r="F140" s="38" t="s">
        <v>418</v>
      </c>
      <c r="G140" s="28" t="str">
        <f>IF(ISNUMBER(F140),E140*F140,"")</f>
        <v/>
      </c>
      <c r="H140" s="32"/>
      <c r="I140" s="28"/>
      <c r="J140" s="125">
        <v>0</v>
      </c>
    </row>
    <row r="141" spans="1:10" ht="15.75" hidden="1" thickBot="1" x14ac:dyDescent="0.3">
      <c r="A141" s="235"/>
      <c r="B141" s="238"/>
      <c r="C141" s="155" t="s">
        <v>595</v>
      </c>
      <c r="D141" s="155" t="s">
        <v>587</v>
      </c>
      <c r="E141" s="34">
        <v>0.13150000000000001</v>
      </c>
      <c r="F141" s="28">
        <v>25.65</v>
      </c>
      <c r="G141" s="31">
        <f>IF(ISNUMBER(F141),E141*F141,"")</f>
        <v>3.3729749999999998</v>
      </c>
      <c r="H141" s="35">
        <f>SUM(G141:G142)</f>
        <v>8.3278329999999983</v>
      </c>
      <c r="I141" s="36"/>
      <c r="J141" s="125">
        <v>0</v>
      </c>
    </row>
    <row r="142" spans="1:10" ht="15.75" hidden="1" thickBot="1" x14ac:dyDescent="0.3">
      <c r="A142" s="235"/>
      <c r="B142" s="238"/>
      <c r="C142" s="155" t="s">
        <v>588</v>
      </c>
      <c r="D142" s="155" t="s">
        <v>587</v>
      </c>
      <c r="E142" s="34">
        <v>0.25819999999999999</v>
      </c>
      <c r="F142" s="28">
        <v>19.189999999999998</v>
      </c>
      <c r="G142" s="31">
        <f>IF(ISNUMBER(F142),E142*F142,"")</f>
        <v>4.9548579999999989</v>
      </c>
      <c r="H142" s="40"/>
      <c r="I142" s="41"/>
      <c r="J142" s="125">
        <v>0</v>
      </c>
    </row>
    <row r="143" spans="1:10" ht="15.75" hidden="1" thickBot="1" x14ac:dyDescent="0.3">
      <c r="A143" s="236"/>
      <c r="B143" s="239"/>
      <c r="C143" s="155"/>
      <c r="D143" s="33"/>
      <c r="E143" s="34"/>
      <c r="F143" s="28" t="s">
        <v>418</v>
      </c>
      <c r="G143" s="28" t="str">
        <f>IF(ISNUMBER(F143),E143*F143,"")</f>
        <v/>
      </c>
      <c r="H143" s="32"/>
      <c r="I143" s="28"/>
      <c r="J143" s="125">
        <v>0</v>
      </c>
    </row>
    <row r="144" spans="1:10" ht="15.75" hidden="1" thickBot="1" x14ac:dyDescent="0.3">
      <c r="A144" s="234" t="s">
        <v>43</v>
      </c>
      <c r="B144" s="237" t="s">
        <v>20007</v>
      </c>
      <c r="C144" s="160"/>
      <c r="D144" s="23" t="s">
        <v>70</v>
      </c>
      <c r="E144" s="24"/>
      <c r="F144" s="37" t="s">
        <v>418</v>
      </c>
      <c r="G144" s="25" t="str">
        <f>IF(ISNUMBER(F144),E144*F144,"")</f>
        <v/>
      </c>
      <c r="H144" s="26"/>
      <c r="I144" s="27"/>
      <c r="J144" s="125">
        <v>0</v>
      </c>
    </row>
    <row r="145" spans="1:10" ht="15.75" hidden="1" thickBot="1" x14ac:dyDescent="0.3">
      <c r="A145" s="235"/>
      <c r="B145" s="238"/>
      <c r="C145" s="151"/>
      <c r="D145" s="29"/>
      <c r="E145" s="30"/>
      <c r="F145" s="38" t="s">
        <v>418</v>
      </c>
      <c r="G145" s="28" t="str">
        <f>IF(ISNUMBER(F145),E145*F145,"")</f>
        <v/>
      </c>
      <c r="H145" s="32"/>
      <c r="I145" s="28"/>
      <c r="J145" s="125">
        <v>0</v>
      </c>
    </row>
    <row r="146" spans="1:10" ht="15.75" hidden="1" thickBot="1" x14ac:dyDescent="0.3">
      <c r="A146" s="235"/>
      <c r="B146" s="238"/>
      <c r="C146" s="155" t="s">
        <v>595</v>
      </c>
      <c r="D146" s="155" t="s">
        <v>587</v>
      </c>
      <c r="E146" s="34">
        <v>0.09</v>
      </c>
      <c r="F146" s="28">
        <v>25.65</v>
      </c>
      <c r="G146" s="31">
        <f>IF(ISNUMBER(F146),E146*F146,"")</f>
        <v>2.3085</v>
      </c>
      <c r="H146" s="35">
        <f>SUM(G146:G147)</f>
        <v>19.579499999999996</v>
      </c>
      <c r="I146" s="36"/>
      <c r="J146" s="125">
        <v>0</v>
      </c>
    </row>
    <row r="147" spans="1:10" ht="15.75" hidden="1" thickBot="1" x14ac:dyDescent="0.3">
      <c r="A147" s="235"/>
      <c r="B147" s="238"/>
      <c r="C147" s="155" t="s">
        <v>588</v>
      </c>
      <c r="D147" s="155" t="s">
        <v>587</v>
      </c>
      <c r="E147" s="34">
        <v>0.9</v>
      </c>
      <c r="F147" s="28">
        <v>19.189999999999998</v>
      </c>
      <c r="G147" s="31">
        <f>IF(ISNUMBER(F147),E147*F147,"")</f>
        <v>17.270999999999997</v>
      </c>
      <c r="H147" s="32"/>
      <c r="I147" s="28"/>
      <c r="J147" s="125">
        <v>0</v>
      </c>
    </row>
    <row r="148" spans="1:10" ht="15.75" hidden="1" thickBot="1" x14ac:dyDescent="0.3">
      <c r="A148" s="236"/>
      <c r="B148" s="239"/>
      <c r="C148" s="155"/>
      <c r="D148" s="33"/>
      <c r="E148" s="34"/>
      <c r="F148" s="28" t="s">
        <v>418</v>
      </c>
      <c r="G148" s="28" t="str">
        <f>IF(ISNUMBER(F148),E148*F148,"")</f>
        <v/>
      </c>
      <c r="H148" s="32"/>
      <c r="I148" s="28"/>
      <c r="J148" s="125">
        <v>0</v>
      </c>
    </row>
    <row r="149" spans="1:10" ht="15.75" hidden="1" thickBot="1" x14ac:dyDescent="0.3">
      <c r="A149" s="234" t="s">
        <v>44</v>
      </c>
      <c r="B149" s="237" t="s">
        <v>1330</v>
      </c>
      <c r="C149" s="160"/>
      <c r="D149" s="23" t="s">
        <v>16</v>
      </c>
      <c r="E149" s="24"/>
      <c r="F149" s="37" t="s">
        <v>418</v>
      </c>
      <c r="G149" s="25" t="str">
        <f>IF(ISNUMBER(F149),E149*F149,"")</f>
        <v/>
      </c>
      <c r="H149" s="26"/>
      <c r="I149" s="27"/>
      <c r="J149" s="125">
        <v>0</v>
      </c>
    </row>
    <row r="150" spans="1:10" ht="15.75" hidden="1" thickBot="1" x14ac:dyDescent="0.3">
      <c r="A150" s="235"/>
      <c r="B150" s="238"/>
      <c r="C150" s="151"/>
      <c r="D150" s="29"/>
      <c r="E150" s="30"/>
      <c r="F150" s="38" t="s">
        <v>418</v>
      </c>
      <c r="G150" s="28" t="str">
        <f>IF(ISNUMBER(F150),E150*F150,"")</f>
        <v/>
      </c>
      <c r="H150" s="32"/>
      <c r="I150" s="28"/>
      <c r="J150" s="125">
        <v>0</v>
      </c>
    </row>
    <row r="151" spans="1:10" ht="26.25" hidden="1" thickBot="1" x14ac:dyDescent="0.3">
      <c r="A151" s="235"/>
      <c r="B151" s="238"/>
      <c r="C151" s="155" t="s">
        <v>825</v>
      </c>
      <c r="D151" s="155" t="s">
        <v>587</v>
      </c>
      <c r="E151" s="34">
        <v>0.17549999999999999</v>
      </c>
      <c r="F151" s="28">
        <v>24.9375</v>
      </c>
      <c r="G151" s="31">
        <f>IF(ISNUMBER(F151),E151*F151,"")</f>
        <v>4.3765312499999993</v>
      </c>
      <c r="H151" s="35">
        <f>SUM(G151:G152)</f>
        <v>10.993243249999999</v>
      </c>
      <c r="I151" s="36"/>
      <c r="J151" s="125">
        <v>0</v>
      </c>
    </row>
    <row r="152" spans="1:10" ht="15.75" hidden="1" thickBot="1" x14ac:dyDescent="0.3">
      <c r="A152" s="235"/>
      <c r="B152" s="238"/>
      <c r="C152" s="155" t="s">
        <v>588</v>
      </c>
      <c r="D152" s="155" t="s">
        <v>587</v>
      </c>
      <c r="E152" s="34">
        <v>0.3448</v>
      </c>
      <c r="F152" s="28">
        <v>19.189999999999998</v>
      </c>
      <c r="G152" s="31">
        <f>IF(ISNUMBER(F152),E152*F152,"")</f>
        <v>6.6167119999999988</v>
      </c>
      <c r="H152" s="39"/>
      <c r="I152" s="36"/>
      <c r="J152" s="125">
        <v>0</v>
      </c>
    </row>
    <row r="153" spans="1:10" ht="15.75" hidden="1" thickBot="1" x14ac:dyDescent="0.3">
      <c r="A153" s="236"/>
      <c r="B153" s="239"/>
      <c r="C153" s="155"/>
      <c r="D153" s="33"/>
      <c r="E153" s="34"/>
      <c r="F153" s="28" t="s">
        <v>418</v>
      </c>
      <c r="G153" s="28" t="str">
        <f>IF(ISNUMBER(F153),E153*F153,"")</f>
        <v/>
      </c>
      <c r="H153" s="32"/>
      <c r="I153" s="28"/>
      <c r="J153" s="125">
        <v>0</v>
      </c>
    </row>
    <row r="154" spans="1:10" ht="15.75" hidden="1" thickBot="1" x14ac:dyDescent="0.3">
      <c r="A154" s="234" t="s">
        <v>45</v>
      </c>
      <c r="B154" s="237" t="s">
        <v>1331</v>
      </c>
      <c r="C154" s="160"/>
      <c r="D154" s="23" t="s">
        <v>16</v>
      </c>
      <c r="E154" s="24"/>
      <c r="F154" s="37" t="s">
        <v>418</v>
      </c>
      <c r="G154" s="25" t="str">
        <f>IF(ISNUMBER(F154),E154*F154,"")</f>
        <v/>
      </c>
      <c r="H154" s="26"/>
      <c r="I154" s="27"/>
      <c r="J154" s="125">
        <v>0</v>
      </c>
    </row>
    <row r="155" spans="1:10" ht="15.75" hidden="1" thickBot="1" x14ac:dyDescent="0.3">
      <c r="A155" s="249"/>
      <c r="B155" s="238"/>
      <c r="C155" s="151"/>
      <c r="D155" s="29"/>
      <c r="E155" s="30"/>
      <c r="F155" s="38" t="s">
        <v>418</v>
      </c>
      <c r="G155" s="28" t="str">
        <f>IF(ISNUMBER(F155),E155*F155,"")</f>
        <v/>
      </c>
      <c r="H155" s="32"/>
      <c r="I155" s="28"/>
      <c r="J155" s="125">
        <v>0</v>
      </c>
    </row>
    <row r="156" spans="1:10" ht="15.75" hidden="1" thickBot="1" x14ac:dyDescent="0.3">
      <c r="A156" s="249"/>
      <c r="B156" s="238"/>
      <c r="C156" s="155" t="s">
        <v>1023</v>
      </c>
      <c r="D156" s="155" t="s">
        <v>587</v>
      </c>
      <c r="E156" s="34">
        <f>0.0183*5</f>
        <v>9.1499999999999998E-2</v>
      </c>
      <c r="F156" s="28">
        <v>25.954000000000001</v>
      </c>
      <c r="G156" s="31">
        <f>IF(ISNUMBER(F156),E156*F156,"")</f>
        <v>2.3747910000000001</v>
      </c>
      <c r="H156" s="35">
        <f>SUM(G156:G157)</f>
        <v>5.8193959999999993</v>
      </c>
      <c r="I156" s="36"/>
      <c r="J156" s="125">
        <v>0</v>
      </c>
    </row>
    <row r="157" spans="1:10" ht="15.75" hidden="1" thickBot="1" x14ac:dyDescent="0.3">
      <c r="A157" s="249"/>
      <c r="B157" s="238"/>
      <c r="C157" s="155" t="s">
        <v>588</v>
      </c>
      <c r="D157" s="155" t="s">
        <v>587</v>
      </c>
      <c r="E157" s="34">
        <f>0.0359*5</f>
        <v>0.17949999999999999</v>
      </c>
      <c r="F157" s="28">
        <v>19.189999999999998</v>
      </c>
      <c r="G157" s="31">
        <f>IF(ISNUMBER(F157),E157*F157,"")</f>
        <v>3.4446049999999993</v>
      </c>
      <c r="H157" s="40"/>
      <c r="I157" s="41"/>
      <c r="J157" s="125">
        <v>0</v>
      </c>
    </row>
    <row r="158" spans="1:10" ht="15.75" hidden="1" thickBot="1" x14ac:dyDescent="0.3">
      <c r="A158" s="249"/>
      <c r="B158" s="238"/>
      <c r="C158" s="155"/>
      <c r="D158" s="33"/>
      <c r="E158" s="34"/>
      <c r="F158" s="28" t="s">
        <v>418</v>
      </c>
      <c r="G158" s="28" t="str">
        <f>IF(ISNUMBER(F158),E158*F158,"")</f>
        <v/>
      </c>
      <c r="H158" s="32"/>
      <c r="I158" s="28"/>
      <c r="J158" s="125">
        <v>0</v>
      </c>
    </row>
    <row r="159" spans="1:10" ht="15.75" hidden="1" thickBot="1" x14ac:dyDescent="0.3">
      <c r="A159" s="249"/>
      <c r="B159" s="238"/>
      <c r="C159" s="43" t="s">
        <v>46</v>
      </c>
      <c r="D159" s="33"/>
      <c r="E159" s="34"/>
      <c r="F159" s="28" t="s">
        <v>418</v>
      </c>
      <c r="G159" s="28" t="str">
        <f>IF(ISNUMBER(F159),E159*F159,"")</f>
        <v/>
      </c>
      <c r="H159" s="32"/>
      <c r="I159" s="28"/>
      <c r="J159" s="125">
        <v>0</v>
      </c>
    </row>
    <row r="160" spans="1:10" ht="15.75" hidden="1" thickBot="1" x14ac:dyDescent="0.3">
      <c r="A160" s="250"/>
      <c r="B160" s="239"/>
      <c r="C160" s="155"/>
      <c r="D160" s="33"/>
      <c r="E160" s="34"/>
      <c r="F160" s="28" t="s">
        <v>418</v>
      </c>
      <c r="G160" s="28" t="str">
        <f>IF(ISNUMBER(F160),E160*F160,"")</f>
        <v/>
      </c>
      <c r="H160" s="32"/>
      <c r="I160" s="28"/>
      <c r="J160" s="125">
        <v>0</v>
      </c>
    </row>
    <row r="161" spans="1:10" ht="15.75" hidden="1" thickBot="1" x14ac:dyDescent="0.3">
      <c r="A161" s="234" t="s">
        <v>47</v>
      </c>
      <c r="B161" s="237" t="s">
        <v>1332</v>
      </c>
      <c r="C161" s="160"/>
      <c r="D161" s="23" t="s">
        <v>16</v>
      </c>
      <c r="E161" s="24"/>
      <c r="F161" s="37" t="s">
        <v>418</v>
      </c>
      <c r="G161" s="25" t="str">
        <f>IF(ISNUMBER(F161),E161*F161,"")</f>
        <v/>
      </c>
      <c r="H161" s="26"/>
      <c r="I161" s="27"/>
      <c r="J161" s="125">
        <v>0</v>
      </c>
    </row>
    <row r="162" spans="1:10" ht="15.75" hidden="1" thickBot="1" x14ac:dyDescent="0.3">
      <c r="A162" s="235"/>
      <c r="B162" s="238"/>
      <c r="C162" s="151"/>
      <c r="D162" s="29"/>
      <c r="E162" s="30"/>
      <c r="F162" s="38" t="s">
        <v>418</v>
      </c>
      <c r="G162" s="28" t="str">
        <f>IF(ISNUMBER(F162),E162*F162,"")</f>
        <v/>
      </c>
      <c r="H162" s="32"/>
      <c r="I162" s="28"/>
      <c r="J162" s="125">
        <v>0</v>
      </c>
    </row>
    <row r="163" spans="1:10" ht="26.25" hidden="1" thickBot="1" x14ac:dyDescent="0.3">
      <c r="A163" s="235"/>
      <c r="B163" s="238"/>
      <c r="C163" s="155" t="s">
        <v>825</v>
      </c>
      <c r="D163" s="155" t="s">
        <v>587</v>
      </c>
      <c r="E163" s="34">
        <v>0.128</v>
      </c>
      <c r="F163" s="28">
        <v>24.9375</v>
      </c>
      <c r="G163" s="31">
        <f>IF(ISNUMBER(F163),E163*F163,"")</f>
        <v>3.1920000000000002</v>
      </c>
      <c r="H163" s="35">
        <f>SUM(G163:G164)</f>
        <v>8.0163659999999997</v>
      </c>
      <c r="I163" s="36"/>
      <c r="J163" s="125">
        <v>0</v>
      </c>
    </row>
    <row r="164" spans="1:10" ht="15.75" hidden="1" thickBot="1" x14ac:dyDescent="0.3">
      <c r="A164" s="235"/>
      <c r="B164" s="238"/>
      <c r="C164" s="155" t="s">
        <v>588</v>
      </c>
      <c r="D164" s="155" t="s">
        <v>587</v>
      </c>
      <c r="E164" s="34">
        <v>0.25140000000000001</v>
      </c>
      <c r="F164" s="28">
        <v>19.189999999999998</v>
      </c>
      <c r="G164" s="31">
        <f>IF(ISNUMBER(F164),E164*F164,"")</f>
        <v>4.8243659999999995</v>
      </c>
      <c r="H164" s="39"/>
      <c r="I164" s="36"/>
      <c r="J164" s="125">
        <v>0</v>
      </c>
    </row>
    <row r="165" spans="1:10" ht="15.75" hidden="1" thickBot="1" x14ac:dyDescent="0.3">
      <c r="A165" s="236"/>
      <c r="B165" s="239"/>
      <c r="C165" s="155"/>
      <c r="D165" s="33"/>
      <c r="E165" s="34"/>
      <c r="F165" s="28" t="s">
        <v>418</v>
      </c>
      <c r="G165" s="28" t="str">
        <f>IF(ISNUMBER(F165),E165*F165,"")</f>
        <v/>
      </c>
      <c r="H165" s="32"/>
      <c r="I165" s="28"/>
      <c r="J165" s="125">
        <v>0</v>
      </c>
    </row>
    <row r="166" spans="1:10" ht="15.75" hidden="1" thickBot="1" x14ac:dyDescent="0.3">
      <c r="A166" s="234" t="s">
        <v>48</v>
      </c>
      <c r="B166" s="237" t="s">
        <v>20910</v>
      </c>
      <c r="C166" s="160"/>
      <c r="D166" s="23" t="s">
        <v>70</v>
      </c>
      <c r="E166" s="24"/>
      <c r="F166" s="37" t="s">
        <v>418</v>
      </c>
      <c r="G166" s="25" t="str">
        <f>IF(ISNUMBER(F166),E166*F166,"")</f>
        <v/>
      </c>
      <c r="H166" s="26"/>
      <c r="I166" s="27"/>
      <c r="J166" s="125">
        <v>0</v>
      </c>
    </row>
    <row r="167" spans="1:10" ht="15.75" hidden="1" thickBot="1" x14ac:dyDescent="0.3">
      <c r="A167" s="235"/>
      <c r="B167" s="238"/>
      <c r="C167" s="151"/>
      <c r="D167" s="29"/>
      <c r="E167" s="30"/>
      <c r="F167" s="38" t="s">
        <v>418</v>
      </c>
      <c r="G167" s="28" t="str">
        <f>IF(ISNUMBER(F167),E167*F167,"")</f>
        <v/>
      </c>
      <c r="H167" s="32"/>
      <c r="I167" s="28"/>
      <c r="J167" s="125">
        <v>0</v>
      </c>
    </row>
    <row r="168" spans="1:10" ht="15.75" hidden="1" thickBot="1" x14ac:dyDescent="0.3">
      <c r="A168" s="235"/>
      <c r="B168" s="238"/>
      <c r="C168" s="155" t="s">
        <v>588</v>
      </c>
      <c r="D168" s="155" t="s">
        <v>587</v>
      </c>
      <c r="E168" s="34">
        <v>0.33800000000000002</v>
      </c>
      <c r="F168" s="28">
        <v>19.189999999999998</v>
      </c>
      <c r="G168" s="31">
        <f>IF(ISNUMBER(F168),E168*F168,"")</f>
        <v>6.4862199999999994</v>
      </c>
      <c r="H168" s="35">
        <f>SUM(G168:G169)</f>
        <v>14.585919999999998</v>
      </c>
      <c r="I168" s="36"/>
      <c r="J168" s="125">
        <v>0</v>
      </c>
    </row>
    <row r="169" spans="1:10" ht="15.75" hidden="1" thickBot="1" x14ac:dyDescent="0.3">
      <c r="A169" s="235"/>
      <c r="B169" s="238"/>
      <c r="C169" s="155" t="s">
        <v>9864</v>
      </c>
      <c r="D169" s="155" t="s">
        <v>587</v>
      </c>
      <c r="E169" s="34">
        <v>0.34799999999999998</v>
      </c>
      <c r="F169" s="28">
        <v>23.274999999999999</v>
      </c>
      <c r="G169" s="31">
        <f>IF(ISNUMBER(F169),E169*F169,"")</f>
        <v>8.0996999999999986</v>
      </c>
      <c r="H169" s="32"/>
      <c r="I169" s="28"/>
      <c r="J169" s="125">
        <v>0</v>
      </c>
    </row>
    <row r="170" spans="1:10" ht="15.75" hidden="1" thickBot="1" x14ac:dyDescent="0.3">
      <c r="A170" s="236"/>
      <c r="B170" s="239"/>
      <c r="C170" s="155"/>
      <c r="D170" s="33"/>
      <c r="E170" s="34"/>
      <c r="F170" s="28" t="s">
        <v>418</v>
      </c>
      <c r="G170" s="28" t="str">
        <f>IF(ISNUMBER(F170),E170*F170,"")</f>
        <v/>
      </c>
      <c r="H170" s="32"/>
      <c r="I170" s="28"/>
      <c r="J170" s="125">
        <v>0</v>
      </c>
    </row>
    <row r="171" spans="1:10" ht="15.75" hidden="1" thickBot="1" x14ac:dyDescent="0.3">
      <c r="A171" s="234" t="s">
        <v>49</v>
      </c>
      <c r="B171" s="237" t="s">
        <v>1333</v>
      </c>
      <c r="C171" s="160"/>
      <c r="D171" s="23" t="s">
        <v>70</v>
      </c>
      <c r="E171" s="24"/>
      <c r="F171" s="37" t="s">
        <v>418</v>
      </c>
      <c r="G171" s="25" t="str">
        <f>IF(ISNUMBER(F171),E171*F171,"")</f>
        <v/>
      </c>
      <c r="H171" s="26"/>
      <c r="I171" s="27"/>
      <c r="J171" s="125">
        <v>0</v>
      </c>
    </row>
    <row r="172" spans="1:10" ht="15.75" hidden="1" thickBot="1" x14ac:dyDescent="0.3">
      <c r="A172" s="235"/>
      <c r="B172" s="238"/>
      <c r="C172" s="151"/>
      <c r="D172" s="29"/>
      <c r="E172" s="30"/>
      <c r="F172" s="38" t="s">
        <v>418</v>
      </c>
      <c r="G172" s="28" t="str">
        <f>IF(ISNUMBER(F172),E172*F172,"")</f>
        <v/>
      </c>
      <c r="H172" s="32"/>
      <c r="I172" s="28"/>
      <c r="J172" s="125">
        <v>0</v>
      </c>
    </row>
    <row r="173" spans="1:10" ht="15.75" hidden="1" thickBot="1" x14ac:dyDescent="0.3">
      <c r="A173" s="235"/>
      <c r="B173" s="238"/>
      <c r="C173" s="155" t="s">
        <v>9864</v>
      </c>
      <c r="D173" s="155" t="s">
        <v>587</v>
      </c>
      <c r="E173" s="34">
        <v>0.4</v>
      </c>
      <c r="F173" s="28">
        <v>23.274999999999999</v>
      </c>
      <c r="G173" s="31">
        <f>IF(ISNUMBER(F173),E173*F173,"")</f>
        <v>9.31</v>
      </c>
      <c r="H173" s="35">
        <f>SUM(G173:G173)</f>
        <v>9.31</v>
      </c>
      <c r="I173" s="36"/>
      <c r="J173" s="125">
        <v>0</v>
      </c>
    </row>
    <row r="174" spans="1:10" ht="15.75" hidden="1" thickBot="1" x14ac:dyDescent="0.3">
      <c r="A174" s="236"/>
      <c r="B174" s="239"/>
      <c r="C174" s="155"/>
      <c r="D174" s="33"/>
      <c r="E174" s="34"/>
      <c r="F174" s="28" t="s">
        <v>418</v>
      </c>
      <c r="G174" s="28" t="str">
        <f>IF(ISNUMBER(F174),E174*F174,"")</f>
        <v/>
      </c>
      <c r="H174" s="32"/>
      <c r="I174" s="28"/>
      <c r="J174" s="125">
        <v>0</v>
      </c>
    </row>
    <row r="175" spans="1:10" ht="15.75" hidden="1" thickBot="1" x14ac:dyDescent="0.3">
      <c r="A175" s="234" t="s">
        <v>50</v>
      </c>
      <c r="B175" s="237" t="s">
        <v>1334</v>
      </c>
      <c r="C175" s="160"/>
      <c r="D175" s="23" t="s">
        <v>69</v>
      </c>
      <c r="E175" s="24"/>
      <c r="F175" s="37" t="s">
        <v>418</v>
      </c>
      <c r="G175" s="25" t="str">
        <f>IF(ISNUMBER(F175),E175*F175,"")</f>
        <v/>
      </c>
      <c r="H175" s="26"/>
      <c r="I175" s="27"/>
      <c r="J175" s="125">
        <v>0</v>
      </c>
    </row>
    <row r="176" spans="1:10" ht="15.75" hidden="1" thickBot="1" x14ac:dyDescent="0.3">
      <c r="A176" s="235"/>
      <c r="B176" s="238"/>
      <c r="C176" s="151"/>
      <c r="D176" s="29"/>
      <c r="E176" s="30"/>
      <c r="F176" s="38" t="s">
        <v>418</v>
      </c>
      <c r="G176" s="28" t="str">
        <f>IF(ISNUMBER(F176),E176*F176,"")</f>
        <v/>
      </c>
      <c r="H176" s="32"/>
      <c r="I176" s="28"/>
      <c r="J176" s="125">
        <v>0</v>
      </c>
    </row>
    <row r="177" spans="1:10" ht="15.75" hidden="1" thickBot="1" x14ac:dyDescent="0.3">
      <c r="A177" s="235"/>
      <c r="B177" s="238"/>
      <c r="C177" s="155" t="s">
        <v>1251</v>
      </c>
      <c r="D177" s="155" t="s">
        <v>587</v>
      </c>
      <c r="E177" s="34">
        <f>ROUND(1/6,4)</f>
        <v>0.16669999999999999</v>
      </c>
      <c r="F177" s="28">
        <v>19.731499999999997</v>
      </c>
      <c r="G177" s="31">
        <f>IF(ISNUMBER(F177),E177*F177,"")</f>
        <v>3.2892410499999993</v>
      </c>
      <c r="H177" s="35">
        <f>SUM(G177:G177)</f>
        <v>3.2892410499999993</v>
      </c>
      <c r="I177" s="36"/>
      <c r="J177" s="125">
        <v>0</v>
      </c>
    </row>
    <row r="178" spans="1:10" ht="15.75" hidden="1" thickBot="1" x14ac:dyDescent="0.3">
      <c r="A178" s="236"/>
      <c r="B178" s="239"/>
      <c r="C178" s="155"/>
      <c r="D178" s="33"/>
      <c r="E178" s="34"/>
      <c r="F178" s="28" t="s">
        <v>418</v>
      </c>
      <c r="G178" s="28" t="str">
        <f>IF(ISNUMBER(F178),E178*F178,"")</f>
        <v/>
      </c>
      <c r="H178" s="32"/>
      <c r="I178" s="28"/>
      <c r="J178" s="125">
        <v>0</v>
      </c>
    </row>
    <row r="179" spans="1:10" ht="15.75" hidden="1" thickBot="1" x14ac:dyDescent="0.3">
      <c r="A179" s="234" t="s">
        <v>51</v>
      </c>
      <c r="B179" s="237" t="s">
        <v>1335</v>
      </c>
      <c r="C179" s="160"/>
      <c r="D179" s="23" t="s">
        <v>70</v>
      </c>
      <c r="E179" s="24"/>
      <c r="F179" s="37" t="s">
        <v>418</v>
      </c>
      <c r="G179" s="25" t="str">
        <f>IF(ISNUMBER(F179),E179*F179,"")</f>
        <v/>
      </c>
      <c r="H179" s="26"/>
      <c r="I179" s="27"/>
      <c r="J179" s="125">
        <v>0</v>
      </c>
    </row>
    <row r="180" spans="1:10" ht="15.75" hidden="1" thickBot="1" x14ac:dyDescent="0.3">
      <c r="A180" s="235"/>
      <c r="B180" s="238"/>
      <c r="C180" s="151"/>
      <c r="D180" s="29"/>
      <c r="E180" s="30"/>
      <c r="F180" s="38" t="s">
        <v>418</v>
      </c>
      <c r="G180" s="28" t="str">
        <f>IF(ISNUMBER(F180),E180*F180,"")</f>
        <v/>
      </c>
      <c r="H180" s="32"/>
      <c r="I180" s="28"/>
      <c r="J180" s="125">
        <v>0</v>
      </c>
    </row>
    <row r="181" spans="1:10" ht="15.75" hidden="1" thickBot="1" x14ac:dyDescent="0.3">
      <c r="A181" s="235"/>
      <c r="B181" s="238"/>
      <c r="C181" s="155" t="s">
        <v>588</v>
      </c>
      <c r="D181" s="155" t="s">
        <v>587</v>
      </c>
      <c r="E181" s="34">
        <v>0.4</v>
      </c>
      <c r="F181" s="28">
        <v>19.189999999999998</v>
      </c>
      <c r="G181" s="31">
        <f>IF(ISNUMBER(F181),E181*F181,"")</f>
        <v>7.6759999999999993</v>
      </c>
      <c r="H181" s="35">
        <f>SUM(G181:G181)</f>
        <v>7.6759999999999993</v>
      </c>
      <c r="I181" s="36"/>
      <c r="J181" s="125">
        <v>0</v>
      </c>
    </row>
    <row r="182" spans="1:10" ht="15.75" hidden="1" thickBot="1" x14ac:dyDescent="0.3">
      <c r="A182" s="236"/>
      <c r="B182" s="239"/>
      <c r="C182" s="155"/>
      <c r="D182" s="33"/>
      <c r="E182" s="34"/>
      <c r="F182" s="28" t="s">
        <v>418</v>
      </c>
      <c r="G182" s="28" t="str">
        <f>IF(ISNUMBER(F182),E182*F182,"")</f>
        <v/>
      </c>
      <c r="H182" s="32"/>
      <c r="I182" s="28"/>
      <c r="J182" s="125">
        <v>0</v>
      </c>
    </row>
    <row r="183" spans="1:10" ht="15.75" hidden="1" thickBot="1" x14ac:dyDescent="0.3">
      <c r="A183" s="234" t="s">
        <v>52</v>
      </c>
      <c r="B183" s="237" t="s">
        <v>20911</v>
      </c>
      <c r="C183" s="160"/>
      <c r="D183" s="23" t="s">
        <v>70</v>
      </c>
      <c r="E183" s="24"/>
      <c r="F183" s="37" t="s">
        <v>418</v>
      </c>
      <c r="G183" s="25" t="str">
        <f>IF(ISNUMBER(F183),E183*F183,"")</f>
        <v/>
      </c>
      <c r="H183" s="26"/>
      <c r="I183" s="27"/>
      <c r="J183" s="125">
        <v>0</v>
      </c>
    </row>
    <row r="184" spans="1:10" ht="15.75" hidden="1" thickBot="1" x14ac:dyDescent="0.3">
      <c r="A184" s="235"/>
      <c r="B184" s="238"/>
      <c r="C184" s="151"/>
      <c r="D184" s="29"/>
      <c r="E184" s="30"/>
      <c r="F184" s="38" t="s">
        <v>418</v>
      </c>
      <c r="G184" s="28" t="str">
        <f>IF(ISNUMBER(F184),E184*F184,"")</f>
        <v/>
      </c>
      <c r="H184" s="32"/>
      <c r="I184" s="28"/>
      <c r="J184" s="125">
        <v>0</v>
      </c>
    </row>
    <row r="185" spans="1:10" ht="26.25" hidden="1" thickBot="1" x14ac:dyDescent="0.3">
      <c r="A185" s="235"/>
      <c r="B185" s="238"/>
      <c r="C185" s="155" t="s">
        <v>863</v>
      </c>
      <c r="D185" s="155" t="s">
        <v>587</v>
      </c>
      <c r="E185" s="34">
        <f>0.0258*3</f>
        <v>7.7399999999999997E-2</v>
      </c>
      <c r="F185" s="28">
        <v>21.593499999999999</v>
      </c>
      <c r="G185" s="31">
        <f>IF(ISNUMBER(F185),E185*F185,"")</f>
        <v>1.6713368999999998</v>
      </c>
      <c r="H185" s="35">
        <f>SUM(G185:G186)</f>
        <v>4.5901358999999999</v>
      </c>
      <c r="I185" s="36"/>
      <c r="J185" s="125">
        <v>0</v>
      </c>
    </row>
    <row r="186" spans="1:10" ht="15.75" hidden="1" thickBot="1" x14ac:dyDescent="0.3">
      <c r="A186" s="235"/>
      <c r="B186" s="238"/>
      <c r="C186" s="155" t="s">
        <v>588</v>
      </c>
      <c r="D186" s="155" t="s">
        <v>587</v>
      </c>
      <c r="E186" s="34">
        <f>0.0507*3</f>
        <v>0.15210000000000001</v>
      </c>
      <c r="F186" s="28">
        <v>19.189999999999998</v>
      </c>
      <c r="G186" s="31">
        <f>IF(ISNUMBER(F186),E186*F186,"")</f>
        <v>2.9187989999999999</v>
      </c>
      <c r="H186" s="32"/>
      <c r="I186" s="28"/>
      <c r="J186" s="125">
        <v>0</v>
      </c>
    </row>
    <row r="187" spans="1:10" ht="15.75" hidden="1" thickBot="1" x14ac:dyDescent="0.3">
      <c r="A187" s="235"/>
      <c r="B187" s="238"/>
      <c r="C187" s="155"/>
      <c r="D187" s="33"/>
      <c r="E187" s="34"/>
      <c r="F187" s="28" t="s">
        <v>418</v>
      </c>
      <c r="G187" s="31" t="str">
        <f>IF(ISNUMBER(F187),E187*F187,"")</f>
        <v/>
      </c>
      <c r="H187" s="32"/>
      <c r="I187" s="28"/>
      <c r="J187" s="125">
        <v>0</v>
      </c>
    </row>
    <row r="188" spans="1:10" ht="15.75" hidden="1" thickBot="1" x14ac:dyDescent="0.3">
      <c r="A188" s="235"/>
      <c r="B188" s="238"/>
      <c r="C188" s="43" t="s">
        <v>53</v>
      </c>
      <c r="D188" s="33"/>
      <c r="E188" s="34"/>
      <c r="F188" s="28" t="s">
        <v>418</v>
      </c>
      <c r="G188" s="31" t="str">
        <f>IF(ISNUMBER(F188),E188*F188,"")</f>
        <v/>
      </c>
      <c r="H188" s="32"/>
      <c r="I188" s="28"/>
      <c r="J188" s="125">
        <v>0</v>
      </c>
    </row>
    <row r="189" spans="1:10" ht="15.75" hidden="1" thickBot="1" x14ac:dyDescent="0.3">
      <c r="A189" s="236"/>
      <c r="B189" s="239"/>
      <c r="C189" s="155"/>
      <c r="D189" s="33"/>
      <c r="E189" s="34"/>
      <c r="F189" s="28" t="s">
        <v>418</v>
      </c>
      <c r="G189" s="28" t="str">
        <f>IF(ISNUMBER(F189),E189*F189,"")</f>
        <v/>
      </c>
      <c r="H189" s="32"/>
      <c r="I189" s="28"/>
      <c r="J189" s="125">
        <v>0</v>
      </c>
    </row>
    <row r="190" spans="1:10" ht="15.75" hidden="1" thickBot="1" x14ac:dyDescent="0.3">
      <c r="A190" s="234" t="s">
        <v>54</v>
      </c>
      <c r="B190" s="237" t="s">
        <v>1336</v>
      </c>
      <c r="C190" s="160"/>
      <c r="D190" s="23" t="s">
        <v>16</v>
      </c>
      <c r="E190" s="24"/>
      <c r="F190" s="37" t="s">
        <v>418</v>
      </c>
      <c r="G190" s="25" t="str">
        <f>IF(ISNUMBER(F190),E190*F190,"")</f>
        <v/>
      </c>
      <c r="H190" s="26"/>
      <c r="I190" s="27"/>
      <c r="J190" s="125">
        <v>0</v>
      </c>
    </row>
    <row r="191" spans="1:10" ht="15.75" hidden="1" thickBot="1" x14ac:dyDescent="0.3">
      <c r="A191" s="235"/>
      <c r="B191" s="238"/>
      <c r="C191" s="151"/>
      <c r="D191" s="29"/>
      <c r="E191" s="30"/>
      <c r="F191" s="38" t="s">
        <v>418</v>
      </c>
      <c r="G191" s="28" t="str">
        <f>IF(ISNUMBER(F191),E191*F191,"")</f>
        <v/>
      </c>
      <c r="H191" s="32"/>
      <c r="I191" s="28"/>
      <c r="J191" s="125">
        <v>0</v>
      </c>
    </row>
    <row r="192" spans="1:10" ht="15.75" hidden="1" thickBot="1" x14ac:dyDescent="0.3">
      <c r="A192" s="235"/>
      <c r="B192" s="238"/>
      <c r="C192" s="155" t="s">
        <v>1022</v>
      </c>
      <c r="D192" s="155" t="s">
        <v>587</v>
      </c>
      <c r="E192" s="34">
        <v>0.5</v>
      </c>
      <c r="F192" s="28">
        <v>19.522500000000001</v>
      </c>
      <c r="G192" s="31">
        <f>IF(ISNUMBER(F192),E192*F192,"")</f>
        <v>9.7612500000000004</v>
      </c>
      <c r="H192" s="35">
        <f>SUM(G192:G195)</f>
        <v>67.578249999999997</v>
      </c>
      <c r="I192" s="36"/>
      <c r="J192" s="125">
        <v>0</v>
      </c>
    </row>
    <row r="193" spans="1:10" ht="15.75" hidden="1" thickBot="1" x14ac:dyDescent="0.3">
      <c r="A193" s="235"/>
      <c r="B193" s="238"/>
      <c r="C193" s="155" t="s">
        <v>1023</v>
      </c>
      <c r="D193" s="155" t="s">
        <v>587</v>
      </c>
      <c r="E193" s="34">
        <v>0.5</v>
      </c>
      <c r="F193" s="28">
        <v>25.954000000000001</v>
      </c>
      <c r="G193" s="31">
        <f>IF(ISNUMBER(F193),E193*F193,"")</f>
        <v>12.977</v>
      </c>
      <c r="H193" s="32"/>
      <c r="I193" s="28"/>
      <c r="J193" s="125">
        <v>0</v>
      </c>
    </row>
    <row r="194" spans="1:10" ht="15.75" hidden="1" thickBot="1" x14ac:dyDescent="0.3">
      <c r="A194" s="235"/>
      <c r="B194" s="238"/>
      <c r="C194" s="155" t="s">
        <v>595</v>
      </c>
      <c r="D194" s="155" t="s">
        <v>587</v>
      </c>
      <c r="E194" s="34">
        <v>1</v>
      </c>
      <c r="F194" s="28">
        <v>25.65</v>
      </c>
      <c r="G194" s="31">
        <f>IF(ISNUMBER(F194),E194*F194,"")</f>
        <v>25.65</v>
      </c>
      <c r="H194" s="32"/>
      <c r="I194" s="28"/>
      <c r="J194" s="125">
        <v>0</v>
      </c>
    </row>
    <row r="195" spans="1:10" ht="15.75" hidden="1" thickBot="1" x14ac:dyDescent="0.3">
      <c r="A195" s="235"/>
      <c r="B195" s="238"/>
      <c r="C195" s="155" t="s">
        <v>588</v>
      </c>
      <c r="D195" s="155" t="s">
        <v>587</v>
      </c>
      <c r="E195" s="34">
        <v>1</v>
      </c>
      <c r="F195" s="28">
        <v>19.189999999999998</v>
      </c>
      <c r="G195" s="31">
        <f>IF(ISNUMBER(F195),E195*F195,"")</f>
        <v>19.189999999999998</v>
      </c>
      <c r="H195" s="32"/>
      <c r="I195" s="28"/>
      <c r="J195" s="125">
        <v>0</v>
      </c>
    </row>
    <row r="196" spans="1:10" ht="15.75" hidden="1" thickBot="1" x14ac:dyDescent="0.3">
      <c r="A196" s="236"/>
      <c r="B196" s="239"/>
      <c r="C196" s="155"/>
      <c r="D196" s="33"/>
      <c r="E196" s="34"/>
      <c r="F196" s="28" t="s">
        <v>418</v>
      </c>
      <c r="G196" s="28" t="str">
        <f>IF(ISNUMBER(F196),E196*F196,"")</f>
        <v/>
      </c>
      <c r="H196" s="32"/>
      <c r="I196" s="28"/>
      <c r="J196" s="125">
        <v>0</v>
      </c>
    </row>
    <row r="197" spans="1:10" ht="15.75" hidden="1" thickBot="1" x14ac:dyDescent="0.3">
      <c r="A197" s="234" t="s">
        <v>55</v>
      </c>
      <c r="B197" s="237" t="s">
        <v>1337</v>
      </c>
      <c r="C197" s="160"/>
      <c r="D197" s="23" t="s">
        <v>70</v>
      </c>
      <c r="E197" s="24"/>
      <c r="F197" s="37" t="s">
        <v>418</v>
      </c>
      <c r="G197" s="25" t="str">
        <f>IF(ISNUMBER(F197),E197*F197,"")</f>
        <v/>
      </c>
      <c r="H197" s="26"/>
      <c r="I197" s="27"/>
      <c r="J197" s="125">
        <v>0</v>
      </c>
    </row>
    <row r="198" spans="1:10" ht="15.75" hidden="1" thickBot="1" x14ac:dyDescent="0.3">
      <c r="A198" s="235"/>
      <c r="B198" s="238"/>
      <c r="C198" s="151"/>
      <c r="D198" s="29"/>
      <c r="E198" s="30"/>
      <c r="F198" s="38" t="s">
        <v>418</v>
      </c>
      <c r="G198" s="28" t="str">
        <f>IF(ISNUMBER(F198),E198*F198,"")</f>
        <v/>
      </c>
      <c r="H198" s="32"/>
      <c r="I198" s="28"/>
      <c r="J198" s="125">
        <v>0</v>
      </c>
    </row>
    <row r="199" spans="1:10" ht="15.75" hidden="1" thickBot="1" x14ac:dyDescent="0.3">
      <c r="A199" s="235"/>
      <c r="B199" s="238"/>
      <c r="C199" s="155" t="s">
        <v>588</v>
      </c>
      <c r="D199" s="155" t="s">
        <v>587</v>
      </c>
      <c r="E199" s="34">
        <v>0.2</v>
      </c>
      <c r="F199" s="28">
        <v>19.189999999999998</v>
      </c>
      <c r="G199" s="31">
        <f>IF(ISNUMBER(F199),E199*F199,"")</f>
        <v>3.8379999999999996</v>
      </c>
      <c r="H199" s="35">
        <f>SUM(G199:G199)</f>
        <v>3.8379999999999996</v>
      </c>
      <c r="I199" s="36"/>
      <c r="J199" s="125">
        <v>0</v>
      </c>
    </row>
    <row r="200" spans="1:10" ht="15.75" hidden="1" thickBot="1" x14ac:dyDescent="0.3">
      <c r="A200" s="236"/>
      <c r="B200" s="239"/>
      <c r="C200" s="155"/>
      <c r="D200" s="33"/>
      <c r="E200" s="34"/>
      <c r="F200" s="28" t="s">
        <v>418</v>
      </c>
      <c r="G200" s="28" t="str">
        <f>IF(ISNUMBER(F200),E200*F200,"")</f>
        <v/>
      </c>
      <c r="H200" s="32"/>
      <c r="I200" s="28"/>
      <c r="J200" s="125">
        <v>0</v>
      </c>
    </row>
    <row r="201" spans="1:10" ht="15.75" hidden="1" thickBot="1" x14ac:dyDescent="0.3">
      <c r="A201" s="234" t="s">
        <v>56</v>
      </c>
      <c r="B201" s="237" t="s">
        <v>1338</v>
      </c>
      <c r="C201" s="160"/>
      <c r="D201" s="23" t="s">
        <v>69</v>
      </c>
      <c r="E201" s="24"/>
      <c r="F201" s="37" t="s">
        <v>418</v>
      </c>
      <c r="G201" s="25" t="str">
        <f>IF(ISNUMBER(F201),E201*F201,"")</f>
        <v/>
      </c>
      <c r="H201" s="26"/>
      <c r="I201" s="27"/>
      <c r="J201" s="125">
        <v>0</v>
      </c>
    </row>
    <row r="202" spans="1:10" ht="15.75" hidden="1" thickBot="1" x14ac:dyDescent="0.3">
      <c r="A202" s="235"/>
      <c r="B202" s="238"/>
      <c r="C202" s="151"/>
      <c r="D202" s="29"/>
      <c r="E202" s="30"/>
      <c r="F202" s="38" t="s">
        <v>418</v>
      </c>
      <c r="G202" s="28" t="str">
        <f>IF(ISNUMBER(F202),E202*F202,"")</f>
        <v/>
      </c>
      <c r="H202" s="32"/>
      <c r="I202" s="28"/>
      <c r="J202" s="125">
        <v>0</v>
      </c>
    </row>
    <row r="203" spans="1:10" ht="15.75" hidden="1" thickBot="1" x14ac:dyDescent="0.3">
      <c r="A203" s="235"/>
      <c r="B203" s="238"/>
      <c r="C203" s="155" t="s">
        <v>588</v>
      </c>
      <c r="D203" s="155" t="s">
        <v>587</v>
      </c>
      <c r="E203" s="34">
        <f>0.437*0.6</f>
        <v>0.26219999999999999</v>
      </c>
      <c r="F203" s="28">
        <v>19.189999999999998</v>
      </c>
      <c r="G203" s="31">
        <f>IF(ISNUMBER(F203),E203*F203,"")</f>
        <v>5.031617999999999</v>
      </c>
      <c r="H203" s="35">
        <f>SUM(G203:G203)</f>
        <v>5.031617999999999</v>
      </c>
      <c r="I203" s="36"/>
      <c r="J203" s="125">
        <v>0</v>
      </c>
    </row>
    <row r="204" spans="1:10" ht="15.75" hidden="1" thickBot="1" x14ac:dyDescent="0.3">
      <c r="A204" s="235"/>
      <c r="B204" s="238"/>
      <c r="C204" s="155"/>
      <c r="D204" s="33"/>
      <c r="E204" s="34"/>
      <c r="F204" s="28" t="s">
        <v>418</v>
      </c>
      <c r="G204" s="31" t="str">
        <f>IF(ISNUMBER(F204),E204*F204,"")</f>
        <v/>
      </c>
      <c r="H204" s="32"/>
      <c r="I204" s="28"/>
      <c r="J204" s="125">
        <v>0</v>
      </c>
    </row>
    <row r="205" spans="1:10" ht="15.75" hidden="1" thickBot="1" x14ac:dyDescent="0.3">
      <c r="A205" s="234" t="s">
        <v>57</v>
      </c>
      <c r="B205" s="237" t="s">
        <v>1339</v>
      </c>
      <c r="C205" s="160"/>
      <c r="D205" s="23" t="s">
        <v>70</v>
      </c>
      <c r="E205" s="24"/>
      <c r="F205" s="37" t="s">
        <v>418</v>
      </c>
      <c r="G205" s="25" t="str">
        <f>IF(ISNUMBER(F205),E205*F205,"")</f>
        <v/>
      </c>
      <c r="H205" s="26"/>
      <c r="I205" s="27"/>
      <c r="J205" s="125">
        <v>0</v>
      </c>
    </row>
    <row r="206" spans="1:10" ht="15.75" hidden="1" thickBot="1" x14ac:dyDescent="0.3">
      <c r="A206" s="235"/>
      <c r="B206" s="238"/>
      <c r="C206" s="151"/>
      <c r="D206" s="29"/>
      <c r="E206" s="30"/>
      <c r="F206" s="38" t="s">
        <v>418</v>
      </c>
      <c r="G206" s="28" t="str">
        <f>IF(ISNUMBER(F206),E206*F206,"")</f>
        <v/>
      </c>
      <c r="H206" s="32"/>
      <c r="I206" s="28"/>
      <c r="J206" s="125">
        <v>0</v>
      </c>
    </row>
    <row r="207" spans="1:10" ht="15.75" hidden="1" thickBot="1" x14ac:dyDescent="0.3">
      <c r="A207" s="235"/>
      <c r="B207" s="238"/>
      <c r="C207" s="155" t="s">
        <v>871</v>
      </c>
      <c r="D207" s="155" t="s">
        <v>587</v>
      </c>
      <c r="E207" s="34">
        <v>0.25</v>
      </c>
      <c r="F207" s="28">
        <v>25.289000000000001</v>
      </c>
      <c r="G207" s="28">
        <f>IF(ISNUMBER(F207),E207*F207,"")</f>
        <v>6.3222500000000004</v>
      </c>
      <c r="H207" s="35">
        <f>SUM(G207:G208)</f>
        <v>6.8020000000000005</v>
      </c>
      <c r="I207" s="36"/>
      <c r="J207" s="125">
        <v>0</v>
      </c>
    </row>
    <row r="208" spans="1:10" ht="15.75" hidden="1" thickBot="1" x14ac:dyDescent="0.3">
      <c r="A208" s="235"/>
      <c r="B208" s="238"/>
      <c r="C208" s="155" t="s">
        <v>588</v>
      </c>
      <c r="D208" s="155" t="s">
        <v>587</v>
      </c>
      <c r="E208" s="34">
        <v>2.5000000000000001E-2</v>
      </c>
      <c r="F208" s="28">
        <v>19.189999999999998</v>
      </c>
      <c r="G208" s="31">
        <f>IF(ISNUMBER(F208),E208*F208,"")</f>
        <v>0.47974999999999995</v>
      </c>
      <c r="H208" s="32"/>
      <c r="I208" s="28"/>
      <c r="J208" s="125">
        <v>0</v>
      </c>
    </row>
    <row r="209" spans="1:10" ht="15.75" hidden="1" thickBot="1" x14ac:dyDescent="0.3">
      <c r="A209" s="236"/>
      <c r="B209" s="239"/>
      <c r="C209" s="155"/>
      <c r="D209" s="33"/>
      <c r="E209" s="34"/>
      <c r="F209" s="28" t="s">
        <v>418</v>
      </c>
      <c r="G209" s="28" t="str">
        <f>IF(ISNUMBER(F209),E209*F209,"")</f>
        <v/>
      </c>
      <c r="H209" s="32"/>
      <c r="I209" s="28"/>
      <c r="J209" s="125">
        <v>0</v>
      </c>
    </row>
    <row r="210" spans="1:10" ht="15.75" hidden="1" thickBot="1" x14ac:dyDescent="0.3">
      <c r="A210" s="234" t="s">
        <v>58</v>
      </c>
      <c r="B210" s="237" t="s">
        <v>1340</v>
      </c>
      <c r="C210" s="160"/>
      <c r="D210" s="23" t="s">
        <v>69</v>
      </c>
      <c r="E210" s="24"/>
      <c r="F210" s="37" t="s">
        <v>418</v>
      </c>
      <c r="G210" s="25" t="str">
        <f>IF(ISNUMBER(F210),E210*F210,"")</f>
        <v/>
      </c>
      <c r="H210" s="26"/>
      <c r="I210" s="27"/>
      <c r="J210" s="125">
        <v>0</v>
      </c>
    </row>
    <row r="211" spans="1:10" ht="15.75" hidden="1" thickBot="1" x14ac:dyDescent="0.3">
      <c r="A211" s="235"/>
      <c r="B211" s="238"/>
      <c r="C211" s="151"/>
      <c r="D211" s="29"/>
      <c r="E211" s="30"/>
      <c r="F211" s="38" t="s">
        <v>418</v>
      </c>
      <c r="G211" s="28" t="str">
        <f>IF(ISNUMBER(F211),E211*F211,"")</f>
        <v/>
      </c>
      <c r="H211" s="32"/>
      <c r="I211" s="28"/>
      <c r="J211" s="125">
        <v>0</v>
      </c>
    </row>
    <row r="212" spans="1:10" ht="15.75" hidden="1" thickBot="1" x14ac:dyDescent="0.3">
      <c r="A212" s="235"/>
      <c r="B212" s="238"/>
      <c r="C212" s="155" t="s">
        <v>588</v>
      </c>
      <c r="D212" s="155" t="s">
        <v>587</v>
      </c>
      <c r="E212" s="34">
        <v>0.55000000000000004</v>
      </c>
      <c r="F212" s="28">
        <v>19.189999999999998</v>
      </c>
      <c r="G212" s="31">
        <f>IF(ISNUMBER(F212),E212*F212,"")</f>
        <v>10.554499999999999</v>
      </c>
      <c r="H212" s="35">
        <f>SUM(G212:G212)</f>
        <v>10.554499999999999</v>
      </c>
      <c r="I212" s="36"/>
      <c r="J212" s="125">
        <v>0</v>
      </c>
    </row>
    <row r="213" spans="1:10" ht="15.75" hidden="1" thickBot="1" x14ac:dyDescent="0.3">
      <c r="A213" s="236"/>
      <c r="B213" s="239"/>
      <c r="C213" s="155"/>
      <c r="D213" s="33"/>
      <c r="E213" s="34"/>
      <c r="F213" s="28" t="s">
        <v>418</v>
      </c>
      <c r="G213" s="28" t="str">
        <f>IF(ISNUMBER(F213),E213*F213,"")</f>
        <v/>
      </c>
      <c r="H213" s="32"/>
      <c r="I213" s="28"/>
      <c r="J213" s="125">
        <v>0</v>
      </c>
    </row>
    <row r="214" spans="1:10" ht="15.75" hidden="1" thickBot="1" x14ac:dyDescent="0.3">
      <c r="A214" s="234" t="s">
        <v>59</v>
      </c>
      <c r="B214" s="237" t="s">
        <v>1341</v>
      </c>
      <c r="C214" s="160"/>
      <c r="D214" s="23" t="s">
        <v>16</v>
      </c>
      <c r="E214" s="24"/>
      <c r="F214" s="37" t="s">
        <v>418</v>
      </c>
      <c r="G214" s="25" t="str">
        <f>IF(ISNUMBER(F214),E214*F214,"")</f>
        <v/>
      </c>
      <c r="H214" s="26"/>
      <c r="I214" s="27"/>
      <c r="J214" s="125">
        <v>0</v>
      </c>
    </row>
    <row r="215" spans="1:10" ht="15.75" hidden="1" thickBot="1" x14ac:dyDescent="0.3">
      <c r="A215" s="235"/>
      <c r="B215" s="238"/>
      <c r="C215" s="151"/>
      <c r="D215" s="29"/>
      <c r="E215" s="30"/>
      <c r="F215" s="38" t="s">
        <v>418</v>
      </c>
      <c r="G215" s="28" t="str">
        <f>IF(ISNUMBER(F215),E215*F215,"")</f>
        <v/>
      </c>
      <c r="H215" s="32"/>
      <c r="I215" s="28"/>
      <c r="J215" s="125">
        <v>0</v>
      </c>
    </row>
    <row r="216" spans="1:10" ht="26.25" hidden="1" thickBot="1" x14ac:dyDescent="0.3">
      <c r="A216" s="235"/>
      <c r="B216" s="238"/>
      <c r="C216" s="155" t="s">
        <v>460</v>
      </c>
      <c r="D216" s="155" t="s">
        <v>587</v>
      </c>
      <c r="E216" s="34">
        <v>1</v>
      </c>
      <c r="F216" s="28">
        <v>27.113</v>
      </c>
      <c r="G216" s="28">
        <f>IF(ISNUMBER(F216),E216*F216,"")</f>
        <v>27.113</v>
      </c>
      <c r="H216" s="35">
        <f>SUM(G216:G217)</f>
        <v>45.656999999999996</v>
      </c>
      <c r="I216" s="36"/>
      <c r="J216" s="125">
        <v>0</v>
      </c>
    </row>
    <row r="217" spans="1:10" ht="26.25" hidden="1" thickBot="1" x14ac:dyDescent="0.3">
      <c r="A217" s="235"/>
      <c r="B217" s="238"/>
      <c r="C217" s="155" t="s">
        <v>9741</v>
      </c>
      <c r="D217" s="155" t="s">
        <v>587</v>
      </c>
      <c r="E217" s="34">
        <v>1</v>
      </c>
      <c r="F217" s="28">
        <v>18.544</v>
      </c>
      <c r="G217" s="31">
        <f>IF(ISNUMBER(F217),E217*F217,"")</f>
        <v>18.544</v>
      </c>
      <c r="H217" s="32"/>
      <c r="I217" s="28"/>
      <c r="J217" s="125">
        <v>0</v>
      </c>
    </row>
    <row r="218" spans="1:10" ht="15.75" hidden="1" thickBot="1" x14ac:dyDescent="0.3">
      <c r="A218" s="236"/>
      <c r="B218" s="239"/>
      <c r="C218" s="155"/>
      <c r="D218" s="33"/>
      <c r="E218" s="34"/>
      <c r="F218" s="28" t="s">
        <v>418</v>
      </c>
      <c r="G218" s="28" t="str">
        <f>IF(ISNUMBER(F218),E218*F218,"")</f>
        <v/>
      </c>
      <c r="H218" s="32"/>
      <c r="I218" s="28"/>
      <c r="J218" s="125">
        <v>0</v>
      </c>
    </row>
    <row r="219" spans="1:10" ht="15.75" hidden="1" thickBot="1" x14ac:dyDescent="0.3">
      <c r="A219" s="234" t="s">
        <v>60</v>
      </c>
      <c r="B219" s="237" t="s">
        <v>1342</v>
      </c>
      <c r="C219" s="160"/>
      <c r="D219" s="23" t="s">
        <v>70</v>
      </c>
      <c r="E219" s="24"/>
      <c r="F219" s="37" t="s">
        <v>418</v>
      </c>
      <c r="G219" s="25" t="str">
        <f>IF(ISNUMBER(F219),E219*F219,"")</f>
        <v/>
      </c>
      <c r="H219" s="26"/>
      <c r="I219" s="27"/>
      <c r="J219" s="125">
        <v>0</v>
      </c>
    </row>
    <row r="220" spans="1:10" ht="15.75" hidden="1" thickBot="1" x14ac:dyDescent="0.3">
      <c r="A220" s="235"/>
      <c r="B220" s="238"/>
      <c r="C220" s="151"/>
      <c r="D220" s="29"/>
      <c r="E220" s="30"/>
      <c r="F220" s="38" t="s">
        <v>418</v>
      </c>
      <c r="G220" s="28" t="str">
        <f>IF(ISNUMBER(F220),E220*F220,"")</f>
        <v/>
      </c>
      <c r="H220" s="32"/>
      <c r="I220" s="28"/>
      <c r="J220" s="125">
        <v>0</v>
      </c>
    </row>
    <row r="221" spans="1:10" ht="15.75" hidden="1" thickBot="1" x14ac:dyDescent="0.3">
      <c r="A221" s="235"/>
      <c r="B221" s="238"/>
      <c r="C221" s="155" t="s">
        <v>588</v>
      </c>
      <c r="D221" s="155" t="s">
        <v>587</v>
      </c>
      <c r="E221" s="34">
        <v>0.39</v>
      </c>
      <c r="F221" s="28">
        <v>19.189999999999998</v>
      </c>
      <c r="G221" s="31">
        <f>IF(ISNUMBER(F221),E221*F221,"")</f>
        <v>7.4840999999999998</v>
      </c>
      <c r="H221" s="35">
        <f>SUM(G221:G222)</f>
        <v>16.817374999999998</v>
      </c>
      <c r="I221" s="36"/>
      <c r="J221" s="125">
        <v>0</v>
      </c>
    </row>
    <row r="222" spans="1:10" ht="15.75" hidden="1" thickBot="1" x14ac:dyDescent="0.3">
      <c r="A222" s="235"/>
      <c r="B222" s="238"/>
      <c r="C222" s="155" t="s">
        <v>9864</v>
      </c>
      <c r="D222" s="155" t="s">
        <v>587</v>
      </c>
      <c r="E222" s="34">
        <v>0.40100000000000002</v>
      </c>
      <c r="F222" s="28">
        <v>23.274999999999999</v>
      </c>
      <c r="G222" s="31">
        <f>IF(ISNUMBER(F222),E222*F222,"")</f>
        <v>9.3332750000000004</v>
      </c>
      <c r="H222" s="32"/>
      <c r="I222" s="28"/>
      <c r="J222" s="125">
        <v>0</v>
      </c>
    </row>
    <row r="223" spans="1:10" ht="15.75" hidden="1" thickBot="1" x14ac:dyDescent="0.3">
      <c r="A223" s="236"/>
      <c r="B223" s="239"/>
      <c r="C223" s="155"/>
      <c r="D223" s="33"/>
      <c r="E223" s="34"/>
      <c r="F223" s="28" t="s">
        <v>418</v>
      </c>
      <c r="G223" s="28" t="str">
        <f>IF(ISNUMBER(F223),E223*F223,"")</f>
        <v/>
      </c>
      <c r="H223" s="32"/>
      <c r="I223" s="28"/>
      <c r="J223" s="125">
        <v>0</v>
      </c>
    </row>
    <row r="224" spans="1:10" ht="15.75" hidden="1" thickBot="1" x14ac:dyDescent="0.3">
      <c r="A224" s="252" t="s">
        <v>61</v>
      </c>
      <c r="B224" s="237" t="s">
        <v>1343</v>
      </c>
      <c r="C224" s="160"/>
      <c r="D224" s="23" t="s">
        <v>81</v>
      </c>
      <c r="E224" s="24"/>
      <c r="F224" s="37" t="s">
        <v>418</v>
      </c>
      <c r="G224" s="25" t="str">
        <f>IF(ISNUMBER(F224),E224*F224,"")</f>
        <v/>
      </c>
      <c r="H224" s="26"/>
      <c r="I224" s="27"/>
      <c r="J224" s="125">
        <v>0</v>
      </c>
    </row>
    <row r="225" spans="1:10" ht="15.75" hidden="1" thickBot="1" x14ac:dyDescent="0.3">
      <c r="A225" s="253"/>
      <c r="B225" s="238"/>
      <c r="C225" s="151"/>
      <c r="D225" s="29"/>
      <c r="E225" s="30"/>
      <c r="F225" s="38" t="s">
        <v>418</v>
      </c>
      <c r="G225" s="28" t="str">
        <f>IF(ISNUMBER(F225),E225*F225,"")</f>
        <v/>
      </c>
      <c r="H225" s="32"/>
      <c r="I225" s="28"/>
      <c r="J225" s="125">
        <v>0</v>
      </c>
    </row>
    <row r="226" spans="1:10" ht="15.75" hidden="1" thickBot="1" x14ac:dyDescent="0.3">
      <c r="A226" s="253"/>
      <c r="B226" s="238"/>
      <c r="C226" s="155" t="s">
        <v>588</v>
      </c>
      <c r="D226" s="155" t="s">
        <v>587</v>
      </c>
      <c r="E226" s="34">
        <v>1</v>
      </c>
      <c r="F226" s="28">
        <v>19.189999999999998</v>
      </c>
      <c r="G226" s="31">
        <f>IF(ISNUMBER(F226),E226*F226,"")</f>
        <v>19.189999999999998</v>
      </c>
      <c r="H226" s="35">
        <f>SUM(G226:G226)</f>
        <v>19.189999999999998</v>
      </c>
      <c r="I226" s="36"/>
      <c r="J226" s="125">
        <v>0</v>
      </c>
    </row>
    <row r="227" spans="1:10" ht="15.75" hidden="1" thickBot="1" x14ac:dyDescent="0.3">
      <c r="A227" s="253"/>
      <c r="B227" s="238"/>
      <c r="C227" s="155"/>
      <c r="D227" s="33"/>
      <c r="E227" s="34"/>
      <c r="F227" s="28" t="s">
        <v>418</v>
      </c>
      <c r="G227" s="28" t="str">
        <f>IF(ISNUMBER(F227),E227*F227,"")</f>
        <v/>
      </c>
      <c r="H227" s="32"/>
      <c r="I227" s="28"/>
      <c r="J227" s="125">
        <v>0</v>
      </c>
    </row>
    <row r="228" spans="1:10" ht="15.75" hidden="1" thickBot="1" x14ac:dyDescent="0.3">
      <c r="A228" s="252" t="s">
        <v>62</v>
      </c>
      <c r="B228" s="237" t="s">
        <v>1344</v>
      </c>
      <c r="C228" s="160"/>
      <c r="D228" s="23" t="s">
        <v>1345</v>
      </c>
      <c r="E228" s="24"/>
      <c r="F228" s="37" t="s">
        <v>418</v>
      </c>
      <c r="G228" s="25" t="str">
        <f>IF(ISNUMBER(F228),E228*F228,"")</f>
        <v/>
      </c>
      <c r="H228" s="26"/>
      <c r="I228" s="27"/>
      <c r="J228" s="125">
        <v>0</v>
      </c>
    </row>
    <row r="229" spans="1:10" ht="15.75" hidden="1" thickBot="1" x14ac:dyDescent="0.3">
      <c r="A229" s="253"/>
      <c r="B229" s="238"/>
      <c r="C229" s="151"/>
      <c r="D229" s="29"/>
      <c r="E229" s="30"/>
      <c r="F229" s="38" t="s">
        <v>418</v>
      </c>
      <c r="G229" s="28" t="str">
        <f>IF(ISNUMBER(F229),E229*F229,"")</f>
        <v/>
      </c>
      <c r="H229" s="32"/>
      <c r="I229" s="28"/>
      <c r="J229" s="125">
        <v>0</v>
      </c>
    </row>
    <row r="230" spans="1:10" ht="64.5" hidden="1" thickBot="1" x14ac:dyDescent="0.3">
      <c r="A230" s="253"/>
      <c r="B230" s="238"/>
      <c r="C230" s="155" t="s">
        <v>26053</v>
      </c>
      <c r="D230" s="155" t="s">
        <v>63</v>
      </c>
      <c r="E230" s="34">
        <v>1</v>
      </c>
      <c r="F230" s="28">
        <v>18.315999999999999</v>
      </c>
      <c r="G230" s="31">
        <f>IF(ISNUMBER(F230),E230*F230,"")</f>
        <v>18.315999999999999</v>
      </c>
      <c r="H230" s="35">
        <f>SUM(G230:G230)</f>
        <v>18.315999999999999</v>
      </c>
      <c r="I230" s="36"/>
      <c r="J230" s="125">
        <v>0</v>
      </c>
    </row>
    <row r="231" spans="1:10" ht="15.75" hidden="1" thickBot="1" x14ac:dyDescent="0.3">
      <c r="A231" s="253"/>
      <c r="B231" s="238"/>
      <c r="C231" s="155"/>
      <c r="D231" s="33"/>
      <c r="E231" s="34"/>
      <c r="F231" s="28" t="s">
        <v>418</v>
      </c>
      <c r="G231" s="28" t="str">
        <f>IF(ISNUMBER(F231),E231*F231,"")</f>
        <v/>
      </c>
      <c r="H231" s="32"/>
      <c r="I231" s="28"/>
      <c r="J231" s="125">
        <v>0</v>
      </c>
    </row>
    <row r="232" spans="1:10" ht="15.75" hidden="1" thickBot="1" x14ac:dyDescent="0.3">
      <c r="A232" s="234" t="s">
        <v>64</v>
      </c>
      <c r="B232" s="237" t="s">
        <v>1346</v>
      </c>
      <c r="C232" s="160"/>
      <c r="D232" s="23" t="s">
        <v>1347</v>
      </c>
      <c r="E232" s="24"/>
      <c r="F232" s="37" t="s">
        <v>418</v>
      </c>
      <c r="G232" s="25" t="str">
        <f>IF(ISNUMBER(F232),E232*F232,"")</f>
        <v/>
      </c>
      <c r="H232" s="26"/>
      <c r="I232" s="27"/>
      <c r="J232" s="125">
        <v>0</v>
      </c>
    </row>
    <row r="233" spans="1:10" ht="15.75" hidden="1" thickBot="1" x14ac:dyDescent="0.3">
      <c r="A233" s="235"/>
      <c r="B233" s="238"/>
      <c r="C233" s="151"/>
      <c r="D233" s="29"/>
      <c r="E233" s="30"/>
      <c r="F233" s="38" t="s">
        <v>418</v>
      </c>
      <c r="G233" s="28" t="str">
        <f>IF(ISNUMBER(F233),E233*F233,"")</f>
        <v/>
      </c>
      <c r="H233" s="32"/>
      <c r="I233" s="28"/>
      <c r="J233" s="125">
        <v>0</v>
      </c>
    </row>
    <row r="234" spans="1:10" ht="64.5" hidden="1" thickBot="1" x14ac:dyDescent="0.3">
      <c r="A234" s="235"/>
      <c r="B234" s="238"/>
      <c r="C234" s="155" t="s">
        <v>26054</v>
      </c>
      <c r="D234" s="155" t="s">
        <v>65</v>
      </c>
      <c r="E234" s="34">
        <v>1</v>
      </c>
      <c r="F234" s="28">
        <v>24.424499999999998</v>
      </c>
      <c r="G234" s="28">
        <f>IF(ISNUMBER(F234),E234*F234,"")</f>
        <v>24.424499999999998</v>
      </c>
      <c r="H234" s="35">
        <f>SUM(G234:G234)</f>
        <v>24.424499999999998</v>
      </c>
      <c r="I234" s="36"/>
      <c r="J234" s="125">
        <v>0</v>
      </c>
    </row>
    <row r="235" spans="1:10" ht="15.75" hidden="1" thickBot="1" x14ac:dyDescent="0.3">
      <c r="A235" s="236"/>
      <c r="B235" s="239"/>
      <c r="C235" s="155"/>
      <c r="D235" s="33"/>
      <c r="E235" s="34"/>
      <c r="F235" s="28" t="s">
        <v>418</v>
      </c>
      <c r="G235" s="28" t="str">
        <f>IF(ISNUMBER(F235),E235*F235,"")</f>
        <v/>
      </c>
      <c r="H235" s="32"/>
      <c r="I235" s="28"/>
      <c r="J235" s="125">
        <v>0</v>
      </c>
    </row>
    <row r="236" spans="1:10" ht="15.75" hidden="1" thickBot="1" x14ac:dyDescent="0.3">
      <c r="A236" s="252" t="s">
        <v>66</v>
      </c>
      <c r="B236" s="237" t="s">
        <v>1348</v>
      </c>
      <c r="C236" s="160"/>
      <c r="D236" s="23" t="s">
        <v>69</v>
      </c>
      <c r="E236" s="24"/>
      <c r="F236" s="37" t="s">
        <v>418</v>
      </c>
      <c r="G236" s="25" t="str">
        <f>IF(ISNUMBER(F236),E236*F236,"")</f>
        <v/>
      </c>
      <c r="H236" s="26"/>
      <c r="I236" s="27"/>
      <c r="J236" s="125">
        <v>0</v>
      </c>
    </row>
    <row r="237" spans="1:10" ht="15.75" hidden="1" thickBot="1" x14ac:dyDescent="0.3">
      <c r="A237" s="253"/>
      <c r="B237" s="238"/>
      <c r="C237" s="151"/>
      <c r="D237" s="29"/>
      <c r="E237" s="30"/>
      <c r="F237" s="38" t="s">
        <v>418</v>
      </c>
      <c r="G237" s="28" t="str">
        <f>IF(ISNUMBER(F237),E237*F237,"")</f>
        <v/>
      </c>
      <c r="H237" s="32"/>
      <c r="I237" s="28"/>
      <c r="J237" s="125">
        <v>0</v>
      </c>
    </row>
    <row r="238" spans="1:10" ht="26.25" hidden="1" thickBot="1" x14ac:dyDescent="0.3">
      <c r="A238" s="253"/>
      <c r="B238" s="238"/>
      <c r="C238" s="155" t="s">
        <v>67</v>
      </c>
      <c r="D238" s="155" t="s">
        <v>38823</v>
      </c>
      <c r="E238" s="34">
        <v>0.01</v>
      </c>
      <c r="F238" s="28">
        <v>592.01149999999996</v>
      </c>
      <c r="G238" s="31">
        <f>IF(ISNUMBER(F238),E238*F238,"")</f>
        <v>5.920115</v>
      </c>
      <c r="H238" s="35">
        <f>SUM(G238:G238)</f>
        <v>5.920115</v>
      </c>
      <c r="I238" s="36"/>
      <c r="J238" s="125">
        <v>0</v>
      </c>
    </row>
    <row r="239" spans="1:10" ht="15.75" hidden="1" thickBot="1" x14ac:dyDescent="0.3">
      <c r="A239" s="253"/>
      <c r="B239" s="238"/>
      <c r="C239" s="155"/>
      <c r="D239" s="33"/>
      <c r="E239" s="34"/>
      <c r="F239" s="28" t="s">
        <v>418</v>
      </c>
      <c r="G239" s="28" t="str">
        <f>IF(ISNUMBER(F239),E239*F239,"")</f>
        <v/>
      </c>
      <c r="H239" s="32"/>
      <c r="I239" s="28"/>
      <c r="J239" s="125">
        <v>0</v>
      </c>
    </row>
    <row r="240" spans="1:10" ht="15.75" hidden="1" thickBot="1" x14ac:dyDescent="0.3">
      <c r="A240" s="234" t="s">
        <v>68</v>
      </c>
      <c r="B240" s="237" t="s">
        <v>1351</v>
      </c>
      <c r="C240" s="160"/>
      <c r="D240" s="23" t="s">
        <v>70</v>
      </c>
      <c r="E240" s="24"/>
      <c r="F240" s="44" t="s">
        <v>418</v>
      </c>
      <c r="G240" s="25" t="str">
        <f>IF(ISNUMBER(F240),E240*F240,"")</f>
        <v/>
      </c>
      <c r="H240" s="26"/>
      <c r="I240" s="27"/>
      <c r="J240" s="125">
        <v>0</v>
      </c>
    </row>
    <row r="241" spans="1:10" ht="15.75" hidden="1" thickBot="1" x14ac:dyDescent="0.3">
      <c r="A241" s="235"/>
      <c r="B241" s="238"/>
      <c r="C241" s="151"/>
      <c r="D241" s="29"/>
      <c r="E241" s="30"/>
      <c r="F241" s="28" t="s">
        <v>418</v>
      </c>
      <c r="G241" s="28" t="str">
        <f>IF(ISNUMBER(F241),E241*F241,"")</f>
        <v/>
      </c>
      <c r="H241" s="32"/>
      <c r="I241" s="28"/>
      <c r="J241" s="125">
        <v>0</v>
      </c>
    </row>
    <row r="242" spans="1:10" ht="15.75" hidden="1" thickBot="1" x14ac:dyDescent="0.3">
      <c r="A242" s="235"/>
      <c r="B242" s="238"/>
      <c r="C242" s="155" t="s">
        <v>588</v>
      </c>
      <c r="D242" s="155" t="s">
        <v>587</v>
      </c>
      <c r="E242" s="34">
        <v>0.15</v>
      </c>
      <c r="F242" s="28">
        <v>19.189999999999998</v>
      </c>
      <c r="G242" s="28">
        <f>IF(ISNUMBER(F242),E242*F242,"")</f>
        <v>2.8784999999999994</v>
      </c>
      <c r="H242" s="35">
        <f>SUM(G242:G246)</f>
        <v>23.589924999999997</v>
      </c>
      <c r="I242" s="36"/>
      <c r="J242" s="125">
        <v>0</v>
      </c>
    </row>
    <row r="243" spans="1:10" ht="15.75" hidden="1" thickBot="1" x14ac:dyDescent="0.3">
      <c r="A243" s="235"/>
      <c r="B243" s="238"/>
      <c r="C243" s="155" t="s">
        <v>871</v>
      </c>
      <c r="D243" s="155" t="s">
        <v>587</v>
      </c>
      <c r="E243" s="34">
        <v>0.3</v>
      </c>
      <c r="F243" s="28">
        <v>25.289000000000001</v>
      </c>
      <c r="G243" s="28">
        <f>IF(ISNUMBER(F243),E243*F243,"")</f>
        <v>7.5867000000000004</v>
      </c>
      <c r="H243" s="32"/>
      <c r="I243" s="28"/>
      <c r="J243" s="125">
        <v>0</v>
      </c>
    </row>
    <row r="244" spans="1:10" ht="26.25" hidden="1" thickBot="1" x14ac:dyDescent="0.3">
      <c r="A244" s="235"/>
      <c r="B244" s="238"/>
      <c r="C244" s="155" t="s">
        <v>11621</v>
      </c>
      <c r="D244" s="155" t="s">
        <v>385</v>
      </c>
      <c r="E244" s="34">
        <v>1.5</v>
      </c>
      <c r="F244" s="31">
        <v>5.548</v>
      </c>
      <c r="G244" s="28">
        <f>IF(ISNUMBER(F244),E244*F244,"")</f>
        <v>8.3219999999999992</v>
      </c>
      <c r="H244" s="32"/>
      <c r="I244" s="28"/>
      <c r="J244" s="125">
        <v>0</v>
      </c>
    </row>
    <row r="245" spans="1:10" ht="15.75" hidden="1" thickBot="1" x14ac:dyDescent="0.3">
      <c r="A245" s="235"/>
      <c r="B245" s="238"/>
      <c r="C245" s="155" t="s">
        <v>27106</v>
      </c>
      <c r="D245" s="155" t="s">
        <v>774</v>
      </c>
      <c r="E245" s="34">
        <v>0.1</v>
      </c>
      <c r="F245" s="31">
        <v>19.95</v>
      </c>
      <c r="G245" s="28">
        <f>IF(ISNUMBER(F245),E245*F245,"")</f>
        <v>1.9950000000000001</v>
      </c>
      <c r="H245" s="32"/>
      <c r="I245" s="28"/>
      <c r="J245" s="125">
        <v>0</v>
      </c>
    </row>
    <row r="246" spans="1:10" ht="26.25" hidden="1" thickBot="1" x14ac:dyDescent="0.3">
      <c r="A246" s="235"/>
      <c r="B246" s="238"/>
      <c r="C246" s="155" t="s">
        <v>10288</v>
      </c>
      <c r="D246" s="155" t="s">
        <v>385</v>
      </c>
      <c r="E246" s="34">
        <v>1.1499999999999999</v>
      </c>
      <c r="F246" s="31">
        <v>2.4414999999999996</v>
      </c>
      <c r="G246" s="28">
        <f>IF(ISNUMBER(F246),E246*F246,"")</f>
        <v>2.8077249999999991</v>
      </c>
      <c r="H246" s="32"/>
      <c r="I246" s="28"/>
      <c r="J246" s="125">
        <v>0</v>
      </c>
    </row>
    <row r="247" spans="1:10" ht="15.75" hidden="1" thickBot="1" x14ac:dyDescent="0.3">
      <c r="A247" s="236"/>
      <c r="B247" s="239"/>
      <c r="C247" s="155"/>
      <c r="D247" s="33"/>
      <c r="E247" s="34"/>
      <c r="F247" s="28" t="s">
        <v>418</v>
      </c>
      <c r="G247" s="28" t="str">
        <f>IF(ISNUMBER(F247),E247*F247,"")</f>
        <v/>
      </c>
      <c r="H247" s="32"/>
      <c r="I247" s="28"/>
      <c r="J247" s="125">
        <v>0</v>
      </c>
    </row>
    <row r="248" spans="1:10" ht="15.75" hidden="1" thickBot="1" x14ac:dyDescent="0.3">
      <c r="A248" s="234" t="s">
        <v>71</v>
      </c>
      <c r="B248" s="237" t="s">
        <v>20912</v>
      </c>
      <c r="C248" s="160"/>
      <c r="D248" s="23" t="s">
        <v>70</v>
      </c>
      <c r="E248" s="24"/>
      <c r="F248" s="37" t="s">
        <v>418</v>
      </c>
      <c r="G248" s="25" t="str">
        <f>IF(ISNUMBER(F248),E248*F248,"")</f>
        <v/>
      </c>
      <c r="H248" s="26"/>
      <c r="I248" s="27"/>
      <c r="J248" s="125">
        <v>0</v>
      </c>
    </row>
    <row r="249" spans="1:10" ht="15.75" hidden="1" thickBot="1" x14ac:dyDescent="0.3">
      <c r="A249" s="235"/>
      <c r="B249" s="238"/>
      <c r="C249" s="151"/>
      <c r="D249" s="29"/>
      <c r="E249" s="30"/>
      <c r="F249" s="38" t="s">
        <v>418</v>
      </c>
      <c r="G249" s="28" t="str">
        <f>IF(ISNUMBER(F249),E249*F249,"")</f>
        <v/>
      </c>
      <c r="H249" s="32"/>
      <c r="I249" s="28"/>
      <c r="J249" s="125">
        <v>0</v>
      </c>
    </row>
    <row r="250" spans="1:10" ht="15.75" hidden="1" thickBot="1" x14ac:dyDescent="0.3">
      <c r="A250" s="235"/>
      <c r="B250" s="238"/>
      <c r="C250" s="155" t="s">
        <v>871</v>
      </c>
      <c r="D250" s="155" t="s">
        <v>587</v>
      </c>
      <c r="E250" s="34">
        <v>0.4</v>
      </c>
      <c r="F250" s="28">
        <v>25.289000000000001</v>
      </c>
      <c r="G250" s="28">
        <f>IF(ISNUMBER(F250),E250*F250,"")</f>
        <v>10.115600000000001</v>
      </c>
      <c r="H250" s="35">
        <f>SUM(G250:G261)</f>
        <v>65.68194075000001</v>
      </c>
      <c r="I250" s="36"/>
      <c r="J250" s="125">
        <v>0</v>
      </c>
    </row>
    <row r="251" spans="1:10" ht="15.75" hidden="1" thickBot="1" x14ac:dyDescent="0.3">
      <c r="A251" s="235"/>
      <c r="B251" s="238"/>
      <c r="C251" s="155" t="s">
        <v>588</v>
      </c>
      <c r="D251" s="155" t="s">
        <v>587</v>
      </c>
      <c r="E251" s="34">
        <v>0.4</v>
      </c>
      <c r="F251" s="28">
        <v>19.189999999999998</v>
      </c>
      <c r="G251" s="28">
        <f>IF(ISNUMBER(F251),E251*F251,"")</f>
        <v>7.6759999999999993</v>
      </c>
      <c r="H251" s="32"/>
      <c r="I251" s="28"/>
      <c r="J251" s="125">
        <v>0</v>
      </c>
    </row>
    <row r="252" spans="1:10" ht="15.75" hidden="1" thickBot="1" x14ac:dyDescent="0.3">
      <c r="A252" s="235"/>
      <c r="B252" s="238"/>
      <c r="C252" s="155" t="s">
        <v>72</v>
      </c>
      <c r="D252" s="33" t="s">
        <v>70</v>
      </c>
      <c r="E252" s="34">
        <v>1.1000000000000001</v>
      </c>
      <c r="F252" s="28">
        <v>0.95</v>
      </c>
      <c r="G252" s="28">
        <f>IF(ISNUMBER(F252),E252*F252,"")</f>
        <v>1.0449999999999999</v>
      </c>
      <c r="H252" s="32"/>
      <c r="I252" s="28"/>
      <c r="J252" s="125">
        <v>0</v>
      </c>
    </row>
    <row r="253" spans="1:10" ht="26.25" hidden="1" thickBot="1" x14ac:dyDescent="0.3">
      <c r="A253" s="235"/>
      <c r="B253" s="238"/>
      <c r="C253" s="155" t="s">
        <v>11621</v>
      </c>
      <c r="D253" s="155" t="s">
        <v>385</v>
      </c>
      <c r="E253" s="34">
        <v>1.6</v>
      </c>
      <c r="F253" s="31">
        <v>5.548</v>
      </c>
      <c r="G253" s="28">
        <f>IF(ISNUMBER(F253),E253*F253,"")</f>
        <v>8.8768000000000011</v>
      </c>
      <c r="H253" s="32"/>
      <c r="I253" s="28"/>
      <c r="J253" s="125">
        <v>0</v>
      </c>
    </row>
    <row r="254" spans="1:10" ht="39" hidden="1" thickBot="1" x14ac:dyDescent="0.3">
      <c r="A254" s="235"/>
      <c r="B254" s="238"/>
      <c r="C254" s="155" t="s">
        <v>31143</v>
      </c>
      <c r="D254" s="155" t="s">
        <v>385</v>
      </c>
      <c r="E254" s="34">
        <v>1.65</v>
      </c>
      <c r="F254" s="31">
        <v>7.5430000000000001</v>
      </c>
      <c r="G254" s="28">
        <f>IF(ISNUMBER(F254),E254*F254,"")</f>
        <v>12.44595</v>
      </c>
      <c r="H254" s="32"/>
      <c r="I254" s="28"/>
      <c r="J254" s="125">
        <v>0</v>
      </c>
    </row>
    <row r="255" spans="1:10" ht="39" hidden="1" thickBot="1" x14ac:dyDescent="0.3">
      <c r="A255" s="235"/>
      <c r="B255" s="238"/>
      <c r="C255" s="155" t="s">
        <v>31185</v>
      </c>
      <c r="D255" s="155" t="s">
        <v>385</v>
      </c>
      <c r="E255" s="34">
        <v>0.5</v>
      </c>
      <c r="F255" s="31">
        <v>22.04</v>
      </c>
      <c r="G255" s="28">
        <f>IF(ISNUMBER(F255),E255*F255,"")</f>
        <v>11.02</v>
      </c>
      <c r="H255" s="32"/>
      <c r="I255" s="28"/>
      <c r="J255" s="125">
        <v>0</v>
      </c>
    </row>
    <row r="256" spans="1:10" ht="15.75" hidden="1" thickBot="1" x14ac:dyDescent="0.3">
      <c r="A256" s="235"/>
      <c r="B256" s="238"/>
      <c r="C256" s="155" t="s">
        <v>74</v>
      </c>
      <c r="D256" s="155" t="s">
        <v>774</v>
      </c>
      <c r="E256" s="34">
        <v>0.1</v>
      </c>
      <c r="F256" s="31">
        <v>20.291999999999998</v>
      </c>
      <c r="G256" s="28">
        <f>IF(ISNUMBER(F256),E256*F256,"")</f>
        <v>2.0291999999999999</v>
      </c>
      <c r="H256" s="32"/>
      <c r="I256" s="28"/>
      <c r="J256" s="125">
        <v>0</v>
      </c>
    </row>
    <row r="257" spans="1:10" ht="15.75" hidden="1" thickBot="1" x14ac:dyDescent="0.3">
      <c r="A257" s="235"/>
      <c r="B257" s="238"/>
      <c r="C257" s="155" t="s">
        <v>10181</v>
      </c>
      <c r="D257" s="155" t="s">
        <v>587</v>
      </c>
      <c r="E257" s="34">
        <v>1.5E-3</v>
      </c>
      <c r="F257" s="31">
        <v>20.5105</v>
      </c>
      <c r="G257" s="28">
        <f>IF(ISNUMBER(F257),E257*F257,"")</f>
        <v>3.0765750000000001E-2</v>
      </c>
      <c r="H257" s="32"/>
      <c r="I257" s="28"/>
      <c r="J257" s="125">
        <v>0</v>
      </c>
    </row>
    <row r="258" spans="1:10" ht="15.75" hidden="1" thickBot="1" x14ac:dyDescent="0.3">
      <c r="A258" s="235"/>
      <c r="B258" s="238"/>
      <c r="C258" s="155" t="s">
        <v>962</v>
      </c>
      <c r="D258" s="155" t="s">
        <v>587</v>
      </c>
      <c r="E258" s="34">
        <v>0.4</v>
      </c>
      <c r="F258" s="31">
        <v>26.799499999999998</v>
      </c>
      <c r="G258" s="28">
        <f>IF(ISNUMBER(F258),E258*F258,"")</f>
        <v>10.719799999999999</v>
      </c>
      <c r="H258" s="32"/>
      <c r="I258" s="28"/>
      <c r="J258" s="125">
        <v>0</v>
      </c>
    </row>
    <row r="259" spans="1:10" ht="15.75" hidden="1" thickBot="1" x14ac:dyDescent="0.3">
      <c r="A259" s="235"/>
      <c r="B259" s="238"/>
      <c r="C259" s="155" t="s">
        <v>75</v>
      </c>
      <c r="D259" s="33" t="s">
        <v>76</v>
      </c>
      <c r="E259" s="34">
        <v>2.2499999999999999E-2</v>
      </c>
      <c r="F259" s="31">
        <v>0.95</v>
      </c>
      <c r="G259" s="28">
        <f>IF(ISNUMBER(F259),E259*F259,"")</f>
        <v>2.1374999999999998E-2</v>
      </c>
      <c r="H259" s="32"/>
      <c r="I259" s="28"/>
      <c r="J259" s="125">
        <v>0</v>
      </c>
    </row>
    <row r="260" spans="1:10" ht="15.75" hidden="1" thickBot="1" x14ac:dyDescent="0.3">
      <c r="A260" s="235"/>
      <c r="B260" s="238"/>
      <c r="C260" s="155" t="s">
        <v>24314</v>
      </c>
      <c r="D260" s="155" t="s">
        <v>774</v>
      </c>
      <c r="E260" s="34">
        <v>0.6</v>
      </c>
      <c r="F260" s="31">
        <v>2.8119999999999998</v>
      </c>
      <c r="G260" s="28">
        <f>IF(ISNUMBER(F260),E260*F260,"")</f>
        <v>1.6871999999999998</v>
      </c>
      <c r="H260" s="32"/>
      <c r="I260" s="28"/>
      <c r="J260" s="125">
        <v>0</v>
      </c>
    </row>
    <row r="261" spans="1:10" ht="15.75" hidden="1" thickBot="1" x14ac:dyDescent="0.3">
      <c r="A261" s="235"/>
      <c r="B261" s="238"/>
      <c r="C261" s="155" t="s">
        <v>77</v>
      </c>
      <c r="D261" s="33" t="s">
        <v>28</v>
      </c>
      <c r="E261" s="34">
        <v>1.4999999999999999E-2</v>
      </c>
      <c r="F261" s="31">
        <v>0.95</v>
      </c>
      <c r="G261" s="28">
        <f>IF(ISNUMBER(F261),E261*F261,"")</f>
        <v>1.4249999999999999E-2</v>
      </c>
      <c r="H261" s="32"/>
      <c r="I261" s="28"/>
      <c r="J261" s="125">
        <v>0</v>
      </c>
    </row>
    <row r="262" spans="1:10" ht="15.75" hidden="1" thickBot="1" x14ac:dyDescent="0.3">
      <c r="A262" s="236"/>
      <c r="B262" s="239"/>
      <c r="C262" s="155"/>
      <c r="D262" s="33"/>
      <c r="E262" s="34"/>
      <c r="F262" s="28" t="s">
        <v>418</v>
      </c>
      <c r="G262" s="28" t="str">
        <f>IF(ISNUMBER(F262),E262*F262,"")</f>
        <v/>
      </c>
      <c r="H262" s="32"/>
      <c r="I262" s="28"/>
      <c r="J262" s="125">
        <v>0</v>
      </c>
    </row>
    <row r="263" spans="1:10" ht="15.75" hidden="1" thickBot="1" x14ac:dyDescent="0.3">
      <c r="A263" s="234" t="s">
        <v>78</v>
      </c>
      <c r="B263" s="237" t="s">
        <v>20913</v>
      </c>
      <c r="C263" s="160"/>
      <c r="D263" s="23" t="s">
        <v>70</v>
      </c>
      <c r="E263" s="24"/>
      <c r="F263" s="37" t="s">
        <v>418</v>
      </c>
      <c r="G263" s="25" t="str">
        <f>IF(ISNUMBER(F263),E263*F263,"")</f>
        <v/>
      </c>
      <c r="H263" s="26"/>
      <c r="I263" s="27"/>
      <c r="J263" s="125">
        <v>0</v>
      </c>
    </row>
    <row r="264" spans="1:10" ht="15.75" hidden="1" thickBot="1" x14ac:dyDescent="0.3">
      <c r="A264" s="235"/>
      <c r="B264" s="238"/>
      <c r="C264" s="151"/>
      <c r="D264" s="29"/>
      <c r="E264" s="30"/>
      <c r="F264" s="38" t="s">
        <v>418</v>
      </c>
      <c r="G264" s="28" t="str">
        <f>IF(ISNUMBER(F264),E264*F264,"")</f>
        <v/>
      </c>
      <c r="H264" s="32"/>
      <c r="I264" s="28"/>
      <c r="J264" s="125">
        <v>0</v>
      </c>
    </row>
    <row r="265" spans="1:10" ht="15.75" hidden="1" thickBot="1" x14ac:dyDescent="0.3">
      <c r="A265" s="235"/>
      <c r="B265" s="238"/>
      <c r="C265" s="155" t="s">
        <v>588</v>
      </c>
      <c r="D265" s="155" t="s">
        <v>587</v>
      </c>
      <c r="E265" s="34">
        <v>2.5000000000000001E-2</v>
      </c>
      <c r="F265" s="28">
        <v>19.189999999999998</v>
      </c>
      <c r="G265" s="28">
        <f>IF(ISNUMBER(F265),E265*F265,"")</f>
        <v>0.47974999999999995</v>
      </c>
      <c r="H265" s="35">
        <f>SUM(G265:G266)</f>
        <v>2.34118</v>
      </c>
      <c r="I265" s="36"/>
      <c r="J265" s="125">
        <v>0</v>
      </c>
    </row>
    <row r="266" spans="1:10" ht="15.75" hidden="1" thickBot="1" x14ac:dyDescent="0.3">
      <c r="A266" s="235"/>
      <c r="B266" s="238"/>
      <c r="C266" s="155" t="s">
        <v>588</v>
      </c>
      <c r="D266" s="155" t="s">
        <v>587</v>
      </c>
      <c r="E266" s="34">
        <v>9.7000000000000003E-2</v>
      </c>
      <c r="F266" s="28">
        <v>19.189999999999998</v>
      </c>
      <c r="G266" s="28">
        <f>IF(ISNUMBER(F266),E266*F266,"")</f>
        <v>1.8614299999999999</v>
      </c>
      <c r="H266" s="32"/>
      <c r="I266" s="36"/>
      <c r="J266" s="125">
        <v>0</v>
      </c>
    </row>
    <row r="267" spans="1:10" ht="15.75" hidden="1" thickBot="1" x14ac:dyDescent="0.3">
      <c r="A267" s="236"/>
      <c r="B267" s="239"/>
      <c r="C267" s="155"/>
      <c r="D267" s="33"/>
      <c r="E267" s="34"/>
      <c r="F267" s="28" t="s">
        <v>418</v>
      </c>
      <c r="G267" s="28" t="str">
        <f>IF(ISNUMBER(F267),E267*F267,"")</f>
        <v/>
      </c>
      <c r="H267" s="32"/>
      <c r="I267" s="28"/>
      <c r="J267" s="125">
        <v>0</v>
      </c>
    </row>
    <row r="268" spans="1:10" ht="15.75" hidden="1" thickBot="1" x14ac:dyDescent="0.3">
      <c r="A268" s="234" t="s">
        <v>79</v>
      </c>
      <c r="B268" s="237" t="s">
        <v>1356</v>
      </c>
      <c r="C268" s="160"/>
      <c r="D268" s="23" t="s">
        <v>69</v>
      </c>
      <c r="E268" s="24"/>
      <c r="F268" s="37" t="s">
        <v>418</v>
      </c>
      <c r="G268" s="25" t="str">
        <f>IF(ISNUMBER(F268),E268*F268,"")</f>
        <v/>
      </c>
      <c r="H268" s="26"/>
      <c r="I268" s="27"/>
      <c r="J268" s="125">
        <v>0</v>
      </c>
    </row>
    <row r="269" spans="1:10" ht="15.75" hidden="1" thickBot="1" x14ac:dyDescent="0.3">
      <c r="A269" s="235"/>
      <c r="B269" s="238"/>
      <c r="C269" s="151"/>
      <c r="D269" s="29"/>
      <c r="E269" s="30"/>
      <c r="F269" s="38" t="s">
        <v>418</v>
      </c>
      <c r="G269" s="28" t="str">
        <f>IF(ISNUMBER(F269),E269*F269,"")</f>
        <v/>
      </c>
      <c r="H269" s="32"/>
      <c r="I269" s="28"/>
      <c r="J269" s="125">
        <v>0</v>
      </c>
    </row>
    <row r="270" spans="1:10" ht="15.75" hidden="1" thickBot="1" x14ac:dyDescent="0.3">
      <c r="A270" s="235"/>
      <c r="B270" s="238"/>
      <c r="C270" s="155" t="s">
        <v>1022</v>
      </c>
      <c r="D270" s="155" t="s">
        <v>587</v>
      </c>
      <c r="E270" s="34">
        <v>3.4000000000000002E-2</v>
      </c>
      <c r="F270" s="28">
        <v>19.522500000000001</v>
      </c>
      <c r="G270" s="28">
        <f>IF(ISNUMBER(F270),E270*F270,"")</f>
        <v>0.66376500000000005</v>
      </c>
      <c r="H270" s="35">
        <f>SUM(G270:G274)</f>
        <v>19.785262465388502</v>
      </c>
      <c r="I270" s="36"/>
      <c r="J270" s="125">
        <v>0</v>
      </c>
    </row>
    <row r="271" spans="1:10" ht="15.75" hidden="1" thickBot="1" x14ac:dyDescent="0.3">
      <c r="A271" s="235"/>
      <c r="B271" s="238"/>
      <c r="C271" s="155" t="s">
        <v>1023</v>
      </c>
      <c r="D271" s="155" t="s">
        <v>587</v>
      </c>
      <c r="E271" s="34">
        <v>0.216</v>
      </c>
      <c r="F271" s="28">
        <v>25.954000000000001</v>
      </c>
      <c r="G271" s="28">
        <f>IF(ISNUMBER(F271),E271*F271,"")</f>
        <v>5.6060639999999999</v>
      </c>
      <c r="H271" s="32"/>
      <c r="I271" s="28"/>
      <c r="J271" s="125">
        <v>0</v>
      </c>
    </row>
    <row r="272" spans="1:10" ht="26.25" hidden="1" thickBot="1" x14ac:dyDescent="0.3">
      <c r="A272" s="235"/>
      <c r="B272" s="238"/>
      <c r="C272" s="155" t="s">
        <v>824</v>
      </c>
      <c r="D272" s="155" t="s">
        <v>587</v>
      </c>
      <c r="E272" s="34">
        <v>5.5E-2</v>
      </c>
      <c r="F272" s="28">
        <v>18.6295</v>
      </c>
      <c r="G272" s="28">
        <f>IF(ISNUMBER(F272),E272*F272,"")</f>
        <v>1.0246225</v>
      </c>
      <c r="H272" s="32"/>
      <c r="I272" s="28"/>
      <c r="J272" s="125">
        <v>0</v>
      </c>
    </row>
    <row r="273" spans="1:10" ht="26.25" hidden="1" thickBot="1" x14ac:dyDescent="0.3">
      <c r="A273" s="235"/>
      <c r="B273" s="238"/>
      <c r="C273" s="155" t="s">
        <v>825</v>
      </c>
      <c r="D273" s="155" t="s">
        <v>587</v>
      </c>
      <c r="E273" s="34">
        <v>0.39100000000000001</v>
      </c>
      <c r="F273" s="28">
        <v>24.9375</v>
      </c>
      <c r="G273" s="28">
        <f>IF(ISNUMBER(F273),E273*F273,"")</f>
        <v>9.7505625000000009</v>
      </c>
      <c r="H273" s="32"/>
      <c r="I273" s="28"/>
      <c r="J273" s="125">
        <v>0</v>
      </c>
    </row>
    <row r="274" spans="1:10" ht="26.25" hidden="1" thickBot="1" x14ac:dyDescent="0.3">
      <c r="A274" s="235"/>
      <c r="B274" s="238"/>
      <c r="C274" s="155" t="s">
        <v>80</v>
      </c>
      <c r="D274" s="155" t="s">
        <v>85</v>
      </c>
      <c r="E274" s="34">
        <v>3.0000000000000001E-3</v>
      </c>
      <c r="F274" s="31">
        <v>913.4161551295</v>
      </c>
      <c r="G274" s="31">
        <f>IF(ISNUMBER(F274),E274*F274,"")</f>
        <v>2.7402484653885</v>
      </c>
      <c r="H274" s="32"/>
      <c r="I274" s="28"/>
      <c r="J274" s="125">
        <v>0</v>
      </c>
    </row>
    <row r="275" spans="1:10" ht="15.75" hidden="1" thickBot="1" x14ac:dyDescent="0.3">
      <c r="A275" s="236"/>
      <c r="B275" s="239"/>
      <c r="C275" s="155"/>
      <c r="D275" s="33"/>
      <c r="E275" s="34"/>
      <c r="F275" s="28" t="s">
        <v>418</v>
      </c>
      <c r="G275" s="28" t="str">
        <f>IF(ISNUMBER(F275),E275*F275,"")</f>
        <v/>
      </c>
      <c r="H275" s="32"/>
      <c r="I275" s="28"/>
      <c r="J275" s="125">
        <v>0</v>
      </c>
    </row>
    <row r="276" spans="1:10" ht="15.75" hidden="1" thickBot="1" x14ac:dyDescent="0.3">
      <c r="A276" s="234" t="s">
        <v>82</v>
      </c>
      <c r="B276" s="237" t="s">
        <v>19672</v>
      </c>
      <c r="C276" s="160"/>
      <c r="D276" s="23" t="s">
        <v>16</v>
      </c>
      <c r="E276" s="24"/>
      <c r="F276" s="37" t="s">
        <v>418</v>
      </c>
      <c r="G276" s="25" t="str">
        <f>IF(ISNUMBER(F276),E276*F276,"")</f>
        <v/>
      </c>
      <c r="H276" s="26"/>
      <c r="I276" s="27"/>
      <c r="J276" s="125">
        <v>0</v>
      </c>
    </row>
    <row r="277" spans="1:10" ht="15.75" hidden="1" thickBot="1" x14ac:dyDescent="0.3">
      <c r="A277" s="235"/>
      <c r="B277" s="238"/>
      <c r="C277" s="151"/>
      <c r="D277" s="29"/>
      <c r="E277" s="30"/>
      <c r="F277" s="38" t="s">
        <v>418</v>
      </c>
      <c r="G277" s="28" t="str">
        <f>IF(ISNUMBER(F277),E277*F277,"")</f>
        <v/>
      </c>
      <c r="H277" s="32"/>
      <c r="I277" s="28"/>
      <c r="J277" s="125">
        <v>0</v>
      </c>
    </row>
    <row r="278" spans="1:10" ht="26.25" hidden="1" thickBot="1" x14ac:dyDescent="0.3">
      <c r="A278" s="235"/>
      <c r="B278" s="238"/>
      <c r="C278" s="155" t="s">
        <v>975</v>
      </c>
      <c r="D278" s="155" t="s">
        <v>814</v>
      </c>
      <c r="E278" s="34">
        <v>0.58699999999999997</v>
      </c>
      <c r="F278" s="31">
        <v>24.738</v>
      </c>
      <c r="G278" s="31">
        <f>IF(ISNUMBER(F278),E278*F278,"")</f>
        <v>14.521205999999999</v>
      </c>
      <c r="H278" s="35">
        <f>SUM(G278:G281)</f>
        <v>96.616006999999996</v>
      </c>
      <c r="I278" s="36"/>
      <c r="J278" s="125">
        <v>0</v>
      </c>
    </row>
    <row r="279" spans="1:10" ht="26.25" hidden="1" thickBot="1" x14ac:dyDescent="0.3">
      <c r="A279" s="235"/>
      <c r="B279" s="238"/>
      <c r="C279" s="155" t="s">
        <v>976</v>
      </c>
      <c r="D279" s="155" t="s">
        <v>816</v>
      </c>
      <c r="E279" s="34">
        <v>1.29</v>
      </c>
      <c r="F279" s="31">
        <v>23.122999999999998</v>
      </c>
      <c r="G279" s="31">
        <f>IF(ISNUMBER(F279),E279*F279,"")</f>
        <v>29.828669999999999</v>
      </c>
      <c r="H279" s="32"/>
      <c r="I279" s="28"/>
      <c r="J279" s="125">
        <v>0</v>
      </c>
    </row>
    <row r="280" spans="1:10" ht="26.25" hidden="1" thickBot="1" x14ac:dyDescent="0.3">
      <c r="A280" s="235"/>
      <c r="B280" s="238"/>
      <c r="C280" s="155" t="s">
        <v>824</v>
      </c>
      <c r="D280" s="155" t="s">
        <v>587</v>
      </c>
      <c r="E280" s="34">
        <v>0.29299999999999998</v>
      </c>
      <c r="F280" s="28">
        <v>18.6295</v>
      </c>
      <c r="G280" s="31">
        <f>IF(ISNUMBER(F280),E280*F280,"")</f>
        <v>5.4584434999999996</v>
      </c>
      <c r="H280" s="32"/>
      <c r="I280" s="28"/>
      <c r="J280" s="125">
        <v>0</v>
      </c>
    </row>
    <row r="281" spans="1:10" ht="26.25" hidden="1" thickBot="1" x14ac:dyDescent="0.3">
      <c r="A281" s="235"/>
      <c r="B281" s="238"/>
      <c r="C281" s="155" t="s">
        <v>825</v>
      </c>
      <c r="D281" s="155" t="s">
        <v>587</v>
      </c>
      <c r="E281" s="34">
        <v>1.877</v>
      </c>
      <c r="F281" s="28">
        <v>24.9375</v>
      </c>
      <c r="G281" s="31">
        <f>IF(ISNUMBER(F281),E281*F281,"")</f>
        <v>46.8076875</v>
      </c>
      <c r="H281" s="32"/>
      <c r="I281" s="28"/>
      <c r="J281" s="125">
        <v>0</v>
      </c>
    </row>
    <row r="282" spans="1:10" ht="15.75" hidden="1" thickBot="1" x14ac:dyDescent="0.3">
      <c r="A282" s="236"/>
      <c r="B282" s="239"/>
      <c r="C282" s="155"/>
      <c r="D282" s="33"/>
      <c r="E282" s="34"/>
      <c r="F282" s="28" t="s">
        <v>418</v>
      </c>
      <c r="G282" s="28" t="str">
        <f>IF(ISNUMBER(F282),E282*F282,"")</f>
        <v/>
      </c>
      <c r="H282" s="32"/>
      <c r="I282" s="28"/>
      <c r="J282" s="125">
        <v>0</v>
      </c>
    </row>
    <row r="283" spans="1:10" ht="15.75" hidden="1" thickBot="1" x14ac:dyDescent="0.3">
      <c r="A283" s="234" t="s">
        <v>83</v>
      </c>
      <c r="B283" s="237" t="s">
        <v>19673</v>
      </c>
      <c r="C283" s="160"/>
      <c r="D283" s="23" t="s">
        <v>16</v>
      </c>
      <c r="E283" s="24"/>
      <c r="F283" s="37" t="s">
        <v>418</v>
      </c>
      <c r="G283" s="25" t="str">
        <f>IF(ISNUMBER(F283),E283*F283,"")</f>
        <v/>
      </c>
      <c r="H283" s="26"/>
      <c r="I283" s="27"/>
      <c r="J283" s="125">
        <v>0</v>
      </c>
    </row>
    <row r="284" spans="1:10" ht="15.75" hidden="1" thickBot="1" x14ac:dyDescent="0.3">
      <c r="A284" s="235"/>
      <c r="B284" s="238"/>
      <c r="C284" s="151"/>
      <c r="D284" s="29"/>
      <c r="E284" s="30"/>
      <c r="F284" s="38" t="s">
        <v>418</v>
      </c>
      <c r="G284" s="28" t="str">
        <f>IF(ISNUMBER(F284),E284*F284,"")</f>
        <v/>
      </c>
      <c r="H284" s="32"/>
      <c r="I284" s="28"/>
      <c r="J284" s="125">
        <v>0</v>
      </c>
    </row>
    <row r="285" spans="1:10" ht="26.25" hidden="1" thickBot="1" x14ac:dyDescent="0.3">
      <c r="A285" s="235"/>
      <c r="B285" s="238"/>
      <c r="C285" s="155" t="s">
        <v>975</v>
      </c>
      <c r="D285" s="155" t="s">
        <v>814</v>
      </c>
      <c r="E285" s="34">
        <v>0.75</v>
      </c>
      <c r="F285" s="31">
        <v>24.738</v>
      </c>
      <c r="G285" s="31">
        <f>IF(ISNUMBER(F285),E285*F285,"")</f>
        <v>18.5535</v>
      </c>
      <c r="H285" s="35">
        <f>SUM(G285:G288)</f>
        <v>123.39833099999998</v>
      </c>
      <c r="I285" s="36"/>
      <c r="J285" s="125">
        <v>0</v>
      </c>
    </row>
    <row r="286" spans="1:10" ht="26.25" hidden="1" thickBot="1" x14ac:dyDescent="0.3">
      <c r="A286" s="235"/>
      <c r="B286" s="238"/>
      <c r="C286" s="155" t="s">
        <v>976</v>
      </c>
      <c r="D286" s="155" t="s">
        <v>816</v>
      </c>
      <c r="E286" s="34">
        <v>1.647</v>
      </c>
      <c r="F286" s="31">
        <v>23.122999999999998</v>
      </c>
      <c r="G286" s="31">
        <f>IF(ISNUMBER(F286),E286*F286,"")</f>
        <v>38.083580999999995</v>
      </c>
      <c r="H286" s="32"/>
      <c r="I286" s="28"/>
      <c r="J286" s="125">
        <v>0</v>
      </c>
    </row>
    <row r="287" spans="1:10" ht="26.25" hidden="1" thickBot="1" x14ac:dyDescent="0.3">
      <c r="A287" s="235"/>
      <c r="B287" s="238"/>
      <c r="C287" s="155" t="s">
        <v>824</v>
      </c>
      <c r="D287" s="155" t="s">
        <v>587</v>
      </c>
      <c r="E287" s="34">
        <v>0.375</v>
      </c>
      <c r="F287" s="28">
        <v>18.6295</v>
      </c>
      <c r="G287" s="31">
        <f>IF(ISNUMBER(F287),E287*F287,"")</f>
        <v>6.9860625000000001</v>
      </c>
      <c r="H287" s="32"/>
      <c r="I287" s="28"/>
      <c r="J287" s="125">
        <v>0</v>
      </c>
    </row>
    <row r="288" spans="1:10" ht="26.25" hidden="1" thickBot="1" x14ac:dyDescent="0.3">
      <c r="A288" s="235"/>
      <c r="B288" s="238"/>
      <c r="C288" s="155" t="s">
        <v>825</v>
      </c>
      <c r="D288" s="155" t="s">
        <v>587</v>
      </c>
      <c r="E288" s="34">
        <v>2.3969999999999998</v>
      </c>
      <c r="F288" s="28">
        <v>24.9375</v>
      </c>
      <c r="G288" s="31">
        <f>IF(ISNUMBER(F288),E288*F288,"")</f>
        <v>59.775187499999994</v>
      </c>
      <c r="H288" s="32"/>
      <c r="I288" s="28"/>
      <c r="J288" s="125">
        <v>0</v>
      </c>
    </row>
    <row r="289" spans="1:10" ht="15.75" hidden="1" thickBot="1" x14ac:dyDescent="0.3">
      <c r="A289" s="236"/>
      <c r="B289" s="239"/>
      <c r="C289" s="155"/>
      <c r="D289" s="33"/>
      <c r="E289" s="34"/>
      <c r="F289" s="28" t="s">
        <v>418</v>
      </c>
      <c r="G289" s="28" t="str">
        <f>IF(ISNUMBER(F289),E289*F289,"")</f>
        <v/>
      </c>
      <c r="H289" s="32"/>
      <c r="I289" s="28"/>
      <c r="J289" s="125">
        <v>0</v>
      </c>
    </row>
    <row r="290" spans="1:10" ht="15.75" hidden="1" thickBot="1" x14ac:dyDescent="0.3">
      <c r="A290" s="234" t="s">
        <v>84</v>
      </c>
      <c r="B290" s="237" t="s">
        <v>1357</v>
      </c>
      <c r="C290" s="160"/>
      <c r="D290" s="23" t="s">
        <v>81</v>
      </c>
      <c r="E290" s="24"/>
      <c r="F290" s="37" t="s">
        <v>418</v>
      </c>
      <c r="G290" s="25" t="str">
        <f>IF(ISNUMBER(F290),E290*F290,"")</f>
        <v/>
      </c>
      <c r="H290" s="26"/>
      <c r="I290" s="27"/>
      <c r="J290" s="125">
        <v>0</v>
      </c>
    </row>
    <row r="291" spans="1:10" ht="15.75" hidden="1" thickBot="1" x14ac:dyDescent="0.3">
      <c r="A291" s="235"/>
      <c r="B291" s="238"/>
      <c r="C291" s="151"/>
      <c r="D291" s="29"/>
      <c r="E291" s="30"/>
      <c r="F291" s="38" t="s">
        <v>418</v>
      </c>
      <c r="G291" s="28" t="str">
        <f>IF(ISNUMBER(F291),E291*F291,"")</f>
        <v/>
      </c>
      <c r="H291" s="32"/>
      <c r="I291" s="28"/>
      <c r="J291" s="125">
        <v>0</v>
      </c>
    </row>
    <row r="292" spans="1:10" ht="26.25" hidden="1" thickBot="1" x14ac:dyDescent="0.3">
      <c r="A292" s="235"/>
      <c r="B292" s="238"/>
      <c r="C292" s="155" t="s">
        <v>15591</v>
      </c>
      <c r="D292" s="155" t="s">
        <v>85</v>
      </c>
      <c r="E292" s="34">
        <v>1</v>
      </c>
      <c r="F292" s="28">
        <v>268.81960949999996</v>
      </c>
      <c r="G292" s="31">
        <f>IF(ISNUMBER(F292),E292*F292,"")</f>
        <v>268.81960949999996</v>
      </c>
      <c r="H292" s="35">
        <f>SUM(G292:G301)</f>
        <v>967.22991243103002</v>
      </c>
      <c r="I292" s="36"/>
      <c r="J292" s="125">
        <v>0</v>
      </c>
    </row>
    <row r="293" spans="1:10" ht="26.25" hidden="1" thickBot="1" x14ac:dyDescent="0.3">
      <c r="A293" s="235"/>
      <c r="B293" s="238"/>
      <c r="C293" s="155" t="s">
        <v>23674</v>
      </c>
      <c r="D293" s="155" t="s">
        <v>85</v>
      </c>
      <c r="E293" s="34">
        <v>0.80459999999999998</v>
      </c>
      <c r="F293" s="31">
        <v>66.5</v>
      </c>
      <c r="G293" s="31">
        <f>IF(ISNUMBER(F293),E293*F293,"")</f>
        <v>53.505899999999997</v>
      </c>
      <c r="H293" s="32"/>
      <c r="I293" s="28"/>
      <c r="J293" s="125">
        <v>0</v>
      </c>
    </row>
    <row r="294" spans="1:10" ht="15.75" hidden="1" thickBot="1" x14ac:dyDescent="0.3">
      <c r="A294" s="235"/>
      <c r="B294" s="238"/>
      <c r="C294" s="155" t="s">
        <v>24537</v>
      </c>
      <c r="D294" s="155" t="s">
        <v>774</v>
      </c>
      <c r="E294" s="34">
        <v>273.06299999999999</v>
      </c>
      <c r="F294" s="31">
        <v>1.254</v>
      </c>
      <c r="G294" s="31">
        <f>IF(ISNUMBER(F294),E294*F294,"")</f>
        <v>342.42100199999999</v>
      </c>
      <c r="H294" s="32"/>
      <c r="I294" s="28"/>
      <c r="J294" s="125">
        <v>0</v>
      </c>
    </row>
    <row r="295" spans="1:10" ht="26.25" hidden="1" thickBot="1" x14ac:dyDescent="0.3">
      <c r="A295" s="235"/>
      <c r="B295" s="238"/>
      <c r="C295" s="155" t="s">
        <v>26789</v>
      </c>
      <c r="D295" s="155" t="s">
        <v>85</v>
      </c>
      <c r="E295" s="34">
        <v>0.57920000000000005</v>
      </c>
      <c r="F295" s="31">
        <v>224.44699999999997</v>
      </c>
      <c r="G295" s="31">
        <f>IF(ISNUMBER(F295),E295*F295,"")</f>
        <v>129.99970239999999</v>
      </c>
      <c r="H295" s="32"/>
      <c r="I295" s="28"/>
      <c r="J295" s="125">
        <v>0</v>
      </c>
    </row>
    <row r="296" spans="1:10" ht="15.75" hidden="1" thickBot="1" x14ac:dyDescent="0.3">
      <c r="A296" s="235"/>
      <c r="B296" s="238"/>
      <c r="C296" s="155" t="s">
        <v>588</v>
      </c>
      <c r="D296" s="155" t="s">
        <v>587</v>
      </c>
      <c r="E296" s="156">
        <v>2.3275000000000001</v>
      </c>
      <c r="F296" s="28">
        <v>19.189999999999998</v>
      </c>
      <c r="G296" s="31">
        <f>IF(ISNUMBER(F296),E296*F296,"")</f>
        <v>44.664724999999997</v>
      </c>
      <c r="H296" s="32"/>
      <c r="I296" s="28"/>
      <c r="J296" s="125">
        <v>0</v>
      </c>
    </row>
    <row r="297" spans="1:10" ht="26.25" hidden="1" thickBot="1" x14ac:dyDescent="0.3">
      <c r="A297" s="235"/>
      <c r="B297" s="238"/>
      <c r="C297" s="155" t="s">
        <v>1294</v>
      </c>
      <c r="D297" s="155" t="s">
        <v>587</v>
      </c>
      <c r="E297" s="34">
        <v>1.4695</v>
      </c>
      <c r="F297" s="28">
        <v>22.182500000000001</v>
      </c>
      <c r="G297" s="31">
        <f>IF(ISNUMBER(F297),E297*F297,"")</f>
        <v>32.597183749999999</v>
      </c>
      <c r="H297" s="32"/>
      <c r="I297" s="28"/>
      <c r="J297" s="125">
        <v>0</v>
      </c>
    </row>
    <row r="298" spans="1:10" ht="39" hidden="1" thickBot="1" x14ac:dyDescent="0.3">
      <c r="A298" s="235"/>
      <c r="B298" s="238"/>
      <c r="C298" s="155" t="s">
        <v>21612</v>
      </c>
      <c r="D298" s="155" t="s">
        <v>814</v>
      </c>
      <c r="E298" s="34">
        <v>0.75629999999999997</v>
      </c>
      <c r="F298" s="31">
        <v>2.0804999999999998</v>
      </c>
      <c r="G298" s="31">
        <f>IF(ISNUMBER(F298),E298*F298,"")</f>
        <v>1.5734821499999998</v>
      </c>
      <c r="H298" s="32"/>
      <c r="I298" s="28"/>
      <c r="J298" s="125">
        <v>0</v>
      </c>
    </row>
    <row r="299" spans="1:10" ht="39" hidden="1" thickBot="1" x14ac:dyDescent="0.3">
      <c r="A299" s="235"/>
      <c r="B299" s="238"/>
      <c r="C299" s="155" t="s">
        <v>21639</v>
      </c>
      <c r="D299" s="155" t="s">
        <v>816</v>
      </c>
      <c r="E299" s="34">
        <v>0.71309999999999996</v>
      </c>
      <c r="F299" s="31">
        <v>0.437</v>
      </c>
      <c r="G299" s="31">
        <f>IF(ISNUMBER(F299),E299*F299,"")</f>
        <v>0.31162469999999998</v>
      </c>
      <c r="H299" s="32"/>
      <c r="I299" s="28"/>
      <c r="J299" s="125">
        <v>0</v>
      </c>
    </row>
    <row r="300" spans="1:10" ht="51.75" hidden="1" thickBot="1" x14ac:dyDescent="0.3">
      <c r="A300" s="235"/>
      <c r="B300" s="238"/>
      <c r="C300" s="155" t="s">
        <v>10661</v>
      </c>
      <c r="D300" s="155" t="s">
        <v>85</v>
      </c>
      <c r="E300" s="34">
        <f>1*(E293+E295)</f>
        <v>1.3837999999999999</v>
      </c>
      <c r="F300" s="31">
        <v>8.6578848500000003</v>
      </c>
      <c r="G300" s="31">
        <f>IF(ISNUMBER(F300),E300*F300,"")</f>
        <v>11.98078105543</v>
      </c>
      <c r="H300" s="32"/>
      <c r="I300" s="28"/>
      <c r="J300" s="125">
        <v>0</v>
      </c>
    </row>
    <row r="301" spans="1:10" ht="39" hidden="1" thickBot="1" x14ac:dyDescent="0.3">
      <c r="A301" s="235"/>
      <c r="B301" s="238"/>
      <c r="C301" s="155" t="s">
        <v>10602</v>
      </c>
      <c r="D301" s="155" t="s">
        <v>1292</v>
      </c>
      <c r="E301" s="34">
        <f>(E293+E295)*20</f>
        <v>27.675999999999998</v>
      </c>
      <c r="F301" s="31">
        <v>2.9395830999999997</v>
      </c>
      <c r="G301" s="31">
        <f>IF(ISNUMBER(F301),E301*F301,"")</f>
        <v>81.355901875599983</v>
      </c>
      <c r="H301" s="32"/>
      <c r="I301" s="28"/>
      <c r="J301" s="125">
        <v>0</v>
      </c>
    </row>
    <row r="302" spans="1:10" ht="15.75" hidden="1" thickBot="1" x14ac:dyDescent="0.3">
      <c r="A302" s="235"/>
      <c r="B302" s="238"/>
      <c r="C302" s="46"/>
      <c r="D302" s="42"/>
      <c r="E302" s="34"/>
      <c r="F302" s="31" t="s">
        <v>418</v>
      </c>
      <c r="G302" s="31" t="str">
        <f>IF(ISNUMBER(F302),E302*F302,"")</f>
        <v/>
      </c>
      <c r="H302" s="32"/>
      <c r="I302" s="28"/>
      <c r="J302" s="125">
        <v>0</v>
      </c>
    </row>
    <row r="303" spans="1:10" ht="26.25" hidden="1" thickBot="1" x14ac:dyDescent="0.3">
      <c r="A303" s="235"/>
      <c r="B303" s="238"/>
      <c r="C303" s="43" t="s">
        <v>86</v>
      </c>
      <c r="D303" s="42"/>
      <c r="E303" s="34"/>
      <c r="F303" s="31" t="s">
        <v>418</v>
      </c>
      <c r="G303" s="31" t="str">
        <f>IF(ISNUMBER(F303),E303*F303,"")</f>
        <v/>
      </c>
      <c r="H303" s="32"/>
      <c r="I303" s="28"/>
      <c r="J303" s="125">
        <v>0</v>
      </c>
    </row>
    <row r="304" spans="1:10" ht="15.75" hidden="1" thickBot="1" x14ac:dyDescent="0.3">
      <c r="A304" s="236"/>
      <c r="B304" s="239"/>
      <c r="C304" s="155"/>
      <c r="D304" s="33"/>
      <c r="E304" s="34"/>
      <c r="F304" s="28" t="s">
        <v>418</v>
      </c>
      <c r="G304" s="28" t="str">
        <f>IF(ISNUMBER(F304),E304*F304,"")</f>
        <v/>
      </c>
      <c r="H304" s="32"/>
      <c r="I304" s="28"/>
      <c r="J304" s="125">
        <v>0</v>
      </c>
    </row>
    <row r="305" spans="1:10" ht="15.75" hidden="1" thickBot="1" x14ac:dyDescent="0.3">
      <c r="A305" s="234" t="s">
        <v>87</v>
      </c>
      <c r="B305" s="237" t="s">
        <v>19674</v>
      </c>
      <c r="C305" s="160"/>
      <c r="D305" s="23" t="s">
        <v>81</v>
      </c>
      <c r="E305" s="24"/>
      <c r="F305" s="37" t="s">
        <v>418</v>
      </c>
      <c r="G305" s="25" t="str">
        <f>IF(ISNUMBER(F305),E305*F305,"")</f>
        <v/>
      </c>
      <c r="H305" s="26"/>
      <c r="I305" s="27"/>
      <c r="J305" s="125">
        <v>0</v>
      </c>
    </row>
    <row r="306" spans="1:10" ht="15.75" hidden="1" thickBot="1" x14ac:dyDescent="0.3">
      <c r="A306" s="235"/>
      <c r="B306" s="238"/>
      <c r="C306" s="151"/>
      <c r="D306" s="29"/>
      <c r="E306" s="30"/>
      <c r="F306" s="38" t="s">
        <v>418</v>
      </c>
      <c r="G306" s="28" t="str">
        <f>IF(ISNUMBER(F306),E306*F306,"")</f>
        <v/>
      </c>
      <c r="H306" s="32"/>
      <c r="I306" s="28"/>
      <c r="J306" s="125">
        <v>0</v>
      </c>
    </row>
    <row r="307" spans="1:10" ht="26.25" hidden="1" thickBot="1" x14ac:dyDescent="0.3">
      <c r="A307" s="235"/>
      <c r="B307" s="238"/>
      <c r="C307" s="155" t="s">
        <v>15591</v>
      </c>
      <c r="D307" s="155" t="s">
        <v>85</v>
      </c>
      <c r="E307" s="34">
        <v>1</v>
      </c>
      <c r="F307" s="28">
        <v>268.81960949999996</v>
      </c>
      <c r="G307" s="31">
        <f>IF(ISNUMBER(F307),E307*F307,"")</f>
        <v>268.81960949999996</v>
      </c>
      <c r="H307" s="35">
        <f>SUM(G307:G316)</f>
        <v>1072.344052468655</v>
      </c>
      <c r="I307" s="36"/>
      <c r="J307" s="125">
        <v>0</v>
      </c>
    </row>
    <row r="308" spans="1:10" ht="26.25" hidden="1" thickBot="1" x14ac:dyDescent="0.3">
      <c r="A308" s="235"/>
      <c r="B308" s="238"/>
      <c r="C308" s="155" t="s">
        <v>23674</v>
      </c>
      <c r="D308" s="155" t="s">
        <v>85</v>
      </c>
      <c r="E308" s="34">
        <v>0.72289999999999999</v>
      </c>
      <c r="F308" s="31">
        <v>66.5</v>
      </c>
      <c r="G308" s="28">
        <f>IF(ISNUMBER(F308),E308*F308,"")</f>
        <v>48.072850000000003</v>
      </c>
      <c r="H308" s="32"/>
      <c r="I308" s="28"/>
      <c r="J308" s="125">
        <v>0</v>
      </c>
    </row>
    <row r="309" spans="1:10" ht="15.75" hidden="1" thickBot="1" x14ac:dyDescent="0.3">
      <c r="A309" s="235"/>
      <c r="B309" s="238"/>
      <c r="C309" s="155" t="s">
        <v>24537</v>
      </c>
      <c r="D309" s="155" t="s">
        <v>774</v>
      </c>
      <c r="E309" s="34">
        <v>362.65789999999998</v>
      </c>
      <c r="F309" s="31">
        <v>1.254</v>
      </c>
      <c r="G309" s="28">
        <f>IF(ISNUMBER(F309),E309*F309,"")</f>
        <v>454.77300659999997</v>
      </c>
      <c r="H309" s="32"/>
      <c r="I309" s="28"/>
      <c r="J309" s="125">
        <v>0</v>
      </c>
    </row>
    <row r="310" spans="1:10" ht="26.25" hidden="1" thickBot="1" x14ac:dyDescent="0.3">
      <c r="A310" s="235"/>
      <c r="B310" s="238"/>
      <c r="C310" s="155" t="s">
        <v>26789</v>
      </c>
      <c r="D310" s="155" t="s">
        <v>85</v>
      </c>
      <c r="E310" s="34">
        <v>0.59340000000000004</v>
      </c>
      <c r="F310" s="31">
        <v>224.44699999999997</v>
      </c>
      <c r="G310" s="28">
        <f>IF(ISNUMBER(F310),E310*F310,"")</f>
        <v>133.1868498</v>
      </c>
      <c r="H310" s="32"/>
      <c r="I310" s="28"/>
      <c r="J310" s="125">
        <v>0</v>
      </c>
    </row>
    <row r="311" spans="1:10" ht="15.75" hidden="1" thickBot="1" x14ac:dyDescent="0.3">
      <c r="A311" s="235"/>
      <c r="B311" s="238"/>
      <c r="C311" s="155" t="s">
        <v>588</v>
      </c>
      <c r="D311" s="155" t="s">
        <v>587</v>
      </c>
      <c r="E311" s="34">
        <v>2.3117000000000001</v>
      </c>
      <c r="F311" s="28">
        <v>19.189999999999998</v>
      </c>
      <c r="G311" s="28">
        <f>IF(ISNUMBER(F311),E311*F311,"")</f>
        <v>44.361522999999998</v>
      </c>
      <c r="H311" s="32"/>
      <c r="I311" s="28"/>
      <c r="J311" s="125">
        <v>0</v>
      </c>
    </row>
    <row r="312" spans="1:10" ht="26.25" hidden="1" thickBot="1" x14ac:dyDescent="0.3">
      <c r="A312" s="235"/>
      <c r="B312" s="238"/>
      <c r="C312" s="155" t="s">
        <v>1294</v>
      </c>
      <c r="D312" s="155" t="s">
        <v>587</v>
      </c>
      <c r="E312" s="34">
        <v>1.4637</v>
      </c>
      <c r="F312" s="28">
        <v>22.182500000000001</v>
      </c>
      <c r="G312" s="28">
        <f>IF(ISNUMBER(F312),E312*F312,"")</f>
        <v>32.468525249999999</v>
      </c>
      <c r="H312" s="32"/>
      <c r="I312" s="28"/>
      <c r="J312" s="125">
        <v>0</v>
      </c>
    </row>
    <row r="313" spans="1:10" ht="39" hidden="1" thickBot="1" x14ac:dyDescent="0.3">
      <c r="A313" s="235"/>
      <c r="B313" s="238"/>
      <c r="C313" s="155" t="s">
        <v>21612</v>
      </c>
      <c r="D313" s="155" t="s">
        <v>814</v>
      </c>
      <c r="E313" s="34">
        <v>0.75339999999999996</v>
      </c>
      <c r="F313" s="31">
        <v>2.0804999999999998</v>
      </c>
      <c r="G313" s="28">
        <f>IF(ISNUMBER(F313),E313*F313,"")</f>
        <v>1.5674486999999997</v>
      </c>
      <c r="H313" s="32"/>
      <c r="I313" s="28"/>
      <c r="J313" s="125">
        <v>0</v>
      </c>
    </row>
    <row r="314" spans="1:10" ht="39" hidden="1" thickBot="1" x14ac:dyDescent="0.3">
      <c r="A314" s="235"/>
      <c r="B314" s="238"/>
      <c r="C314" s="155" t="s">
        <v>21639</v>
      </c>
      <c r="D314" s="155" t="s">
        <v>816</v>
      </c>
      <c r="E314" s="34">
        <v>0.71030000000000004</v>
      </c>
      <c r="F314" s="31">
        <v>0.437</v>
      </c>
      <c r="G314" s="28">
        <f>IF(ISNUMBER(F314),E314*F314,"")</f>
        <v>0.31040110000000004</v>
      </c>
      <c r="H314" s="32"/>
      <c r="I314" s="28"/>
      <c r="J314" s="125">
        <v>0</v>
      </c>
    </row>
    <row r="315" spans="1:10" ht="51.75" hidden="1" thickBot="1" x14ac:dyDescent="0.3">
      <c r="A315" s="235"/>
      <c r="B315" s="238"/>
      <c r="C315" s="155" t="s">
        <v>10661</v>
      </c>
      <c r="D315" s="155" t="s">
        <v>85</v>
      </c>
      <c r="E315" s="34">
        <f>1*(E308+E310)</f>
        <v>1.3163</v>
      </c>
      <c r="F315" s="31">
        <v>8.6578848500000003</v>
      </c>
      <c r="G315" s="31">
        <f>IF(ISNUMBER(F315),E315*F315,"")</f>
        <v>11.396373828055001</v>
      </c>
      <c r="H315" s="32"/>
      <c r="I315" s="28"/>
      <c r="J315" s="125">
        <v>0</v>
      </c>
    </row>
    <row r="316" spans="1:10" ht="39" hidden="1" thickBot="1" x14ac:dyDescent="0.3">
      <c r="A316" s="235"/>
      <c r="B316" s="238"/>
      <c r="C316" s="155" t="s">
        <v>10602</v>
      </c>
      <c r="D316" s="155" t="s">
        <v>1292</v>
      </c>
      <c r="E316" s="34">
        <f>(E308+E310)*20</f>
        <v>26.326000000000001</v>
      </c>
      <c r="F316" s="31">
        <v>2.9395830999999997</v>
      </c>
      <c r="G316" s="31">
        <f>IF(ISNUMBER(F316),E316*F316,"")</f>
        <v>77.387464690599998</v>
      </c>
      <c r="H316" s="32"/>
      <c r="I316" s="28"/>
      <c r="J316" s="125">
        <v>0</v>
      </c>
    </row>
    <row r="317" spans="1:10" ht="15.75" hidden="1" thickBot="1" x14ac:dyDescent="0.3">
      <c r="A317" s="235"/>
      <c r="B317" s="238"/>
      <c r="C317" s="46"/>
      <c r="D317" s="42"/>
      <c r="E317" s="34"/>
      <c r="F317" s="31" t="s">
        <v>418</v>
      </c>
      <c r="G317" s="31" t="str">
        <f>IF(ISNUMBER(F317),E317*F317,"")</f>
        <v/>
      </c>
      <c r="H317" s="32"/>
      <c r="I317" s="28"/>
      <c r="J317" s="125">
        <v>0</v>
      </c>
    </row>
    <row r="318" spans="1:10" ht="26.25" hidden="1" thickBot="1" x14ac:dyDescent="0.3">
      <c r="A318" s="235"/>
      <c r="B318" s="238"/>
      <c r="C318" s="43" t="s">
        <v>86</v>
      </c>
      <c r="D318" s="42"/>
      <c r="E318" s="34"/>
      <c r="F318" s="31" t="s">
        <v>418</v>
      </c>
      <c r="G318" s="31" t="str">
        <f>IF(ISNUMBER(F318),E318*F318,"")</f>
        <v/>
      </c>
      <c r="H318" s="32"/>
      <c r="I318" s="28"/>
      <c r="J318" s="125">
        <v>0</v>
      </c>
    </row>
    <row r="319" spans="1:10" ht="15.75" hidden="1" thickBot="1" x14ac:dyDescent="0.3">
      <c r="A319" s="236"/>
      <c r="B319" s="239"/>
      <c r="C319" s="155"/>
      <c r="D319" s="33"/>
      <c r="E319" s="34"/>
      <c r="F319" s="28" t="s">
        <v>418</v>
      </c>
      <c r="G319" s="28" t="str">
        <f>IF(ISNUMBER(F319),E319*F319,"")</f>
        <v/>
      </c>
      <c r="H319" s="32"/>
      <c r="I319" s="28"/>
      <c r="J319" s="125">
        <v>0</v>
      </c>
    </row>
    <row r="320" spans="1:10" ht="15.75" hidden="1" thickBot="1" x14ac:dyDescent="0.3">
      <c r="A320" s="234" t="s">
        <v>88</v>
      </c>
      <c r="B320" s="237" t="s">
        <v>1358</v>
      </c>
      <c r="C320" s="160"/>
      <c r="D320" s="23" t="s">
        <v>1345</v>
      </c>
      <c r="E320" s="24"/>
      <c r="F320" s="37" t="s">
        <v>418</v>
      </c>
      <c r="G320" s="25" t="str">
        <f>IF(ISNUMBER(F320),E320*F320,"")</f>
        <v/>
      </c>
      <c r="H320" s="26"/>
      <c r="I320" s="27"/>
      <c r="J320" s="125">
        <v>0</v>
      </c>
    </row>
    <row r="321" spans="1:10" ht="15.75" hidden="1" thickBot="1" x14ac:dyDescent="0.3">
      <c r="A321" s="235"/>
      <c r="B321" s="238"/>
      <c r="C321" s="151"/>
      <c r="D321" s="29"/>
      <c r="E321" s="30"/>
      <c r="F321" s="28" t="s">
        <v>418</v>
      </c>
      <c r="G321" s="28" t="str">
        <f>IF(ISNUMBER(F321),E321*F321,"")</f>
        <v/>
      </c>
      <c r="H321" s="32"/>
      <c r="I321" s="28"/>
      <c r="J321" s="125">
        <v>0</v>
      </c>
    </row>
    <row r="322" spans="1:10" ht="39" hidden="1" thickBot="1" x14ac:dyDescent="0.3">
      <c r="A322" s="235"/>
      <c r="B322" s="238"/>
      <c r="C322" s="155" t="s">
        <v>26067</v>
      </c>
      <c r="D322" s="155" t="s">
        <v>16405</v>
      </c>
      <c r="E322" s="34">
        <v>0.85</v>
      </c>
      <c r="F322" s="28">
        <v>21.669499999999999</v>
      </c>
      <c r="G322" s="28">
        <f>IF(ISNUMBER(F322),E322*F322,"")</f>
        <v>18.419074999999999</v>
      </c>
      <c r="H322" s="35">
        <f>SUM(G322:G324)</f>
        <v>29.395375000000001</v>
      </c>
      <c r="I322" s="36"/>
      <c r="J322" s="125">
        <v>0</v>
      </c>
    </row>
    <row r="323" spans="1:10" ht="15.75" hidden="1" thickBot="1" x14ac:dyDescent="0.3">
      <c r="A323" s="235"/>
      <c r="B323" s="238"/>
      <c r="C323" s="155" t="s">
        <v>662</v>
      </c>
      <c r="D323" s="155" t="s">
        <v>587</v>
      </c>
      <c r="E323" s="34">
        <v>0.2</v>
      </c>
      <c r="F323" s="28">
        <v>24.367499999999996</v>
      </c>
      <c r="G323" s="28">
        <f>IF(ISNUMBER(F323),E323*F323,"")</f>
        <v>4.8734999999999999</v>
      </c>
      <c r="H323" s="32"/>
      <c r="I323" s="28"/>
      <c r="J323" s="125">
        <v>0</v>
      </c>
    </row>
    <row r="324" spans="1:10" ht="26.25" hidden="1" thickBot="1" x14ac:dyDescent="0.3">
      <c r="A324" s="235"/>
      <c r="B324" s="238"/>
      <c r="C324" s="155" t="s">
        <v>11621</v>
      </c>
      <c r="D324" s="155" t="s">
        <v>385</v>
      </c>
      <c r="E324" s="34">
        <v>1.1000000000000001</v>
      </c>
      <c r="F324" s="28">
        <v>5.548</v>
      </c>
      <c r="G324" s="28">
        <f>IF(ISNUMBER(F324),E324*F324,"")</f>
        <v>6.1028000000000002</v>
      </c>
      <c r="H324" s="32"/>
      <c r="I324" s="28"/>
      <c r="J324" s="125">
        <v>0</v>
      </c>
    </row>
    <row r="325" spans="1:10" ht="15.75" hidden="1" thickBot="1" x14ac:dyDescent="0.3">
      <c r="A325" s="235"/>
      <c r="B325" s="238"/>
      <c r="C325" s="155"/>
      <c r="D325" s="33"/>
      <c r="E325" s="34"/>
      <c r="F325" s="28" t="s">
        <v>418</v>
      </c>
      <c r="G325" s="28" t="str">
        <f>IF(ISNUMBER(F325),E325*F325,"")</f>
        <v/>
      </c>
      <c r="H325" s="32"/>
      <c r="I325" s="28"/>
      <c r="J325" s="125">
        <v>0</v>
      </c>
    </row>
    <row r="326" spans="1:10" ht="15.75" hidden="1" thickBot="1" x14ac:dyDescent="0.3">
      <c r="A326" s="234" t="s">
        <v>90</v>
      </c>
      <c r="B326" s="237" t="s">
        <v>1359</v>
      </c>
      <c r="C326" s="160"/>
      <c r="D326" s="23" t="s">
        <v>28</v>
      </c>
      <c r="E326" s="24"/>
      <c r="F326" s="37" t="s">
        <v>418</v>
      </c>
      <c r="G326" s="25" t="str">
        <f>IF(ISNUMBER(F326),E326*F326,"")</f>
        <v/>
      </c>
      <c r="H326" s="26"/>
      <c r="I326" s="27"/>
      <c r="J326" s="125">
        <v>0</v>
      </c>
    </row>
    <row r="327" spans="1:10" ht="15.75" hidden="1" thickBot="1" x14ac:dyDescent="0.3">
      <c r="A327" s="235"/>
      <c r="B327" s="238"/>
      <c r="C327" s="151"/>
      <c r="D327" s="29"/>
      <c r="E327" s="30"/>
      <c r="F327" s="38" t="s">
        <v>418</v>
      </c>
      <c r="G327" s="28" t="str">
        <f>IF(ISNUMBER(F327),E327*F327,"")</f>
        <v/>
      </c>
      <c r="H327" s="32"/>
      <c r="I327" s="28"/>
      <c r="J327" s="125">
        <v>0</v>
      </c>
    </row>
    <row r="328" spans="1:10" ht="39" hidden="1" thickBot="1" x14ac:dyDescent="0.3">
      <c r="A328" s="235"/>
      <c r="B328" s="238"/>
      <c r="C328" s="155" t="s">
        <v>18455</v>
      </c>
      <c r="D328" s="155" t="s">
        <v>870</v>
      </c>
      <c r="E328" s="34">
        <v>0.23880000000000001</v>
      </c>
      <c r="F328" s="31">
        <v>9.4365751499999995</v>
      </c>
      <c r="G328" s="31">
        <f>IF(ISNUMBER(F328),E328*F328,"")</f>
        <v>2.2534541458200001</v>
      </c>
      <c r="H328" s="35">
        <f>SUM(G328:G332)</f>
        <v>29.77739824091579</v>
      </c>
      <c r="I328" s="36"/>
      <c r="J328" s="125">
        <v>0</v>
      </c>
    </row>
    <row r="329" spans="1:10" ht="39" hidden="1" thickBot="1" x14ac:dyDescent="0.3">
      <c r="A329" s="235"/>
      <c r="B329" s="238"/>
      <c r="C329" s="155" t="s">
        <v>18463</v>
      </c>
      <c r="D329" s="155" t="s">
        <v>870</v>
      </c>
      <c r="E329" s="34">
        <v>0.47760000000000002</v>
      </c>
      <c r="F329" s="31">
        <v>9.2992992000000001</v>
      </c>
      <c r="G329" s="31">
        <f>IF(ISNUMBER(F329),E329*F329,"")</f>
        <v>4.4413452979199999</v>
      </c>
      <c r="H329" s="32"/>
      <c r="I329" s="28"/>
      <c r="J329" s="125">
        <v>0</v>
      </c>
    </row>
    <row r="330" spans="1:10" ht="51.75" hidden="1" thickBot="1" x14ac:dyDescent="0.3">
      <c r="A330" s="235"/>
      <c r="B330" s="238"/>
      <c r="C330" s="155" t="s">
        <v>19347</v>
      </c>
      <c r="D330" s="155" t="s">
        <v>774</v>
      </c>
      <c r="E330" s="34">
        <v>0.68610000000000004</v>
      </c>
      <c r="F330" s="31">
        <v>17.820720795929997</v>
      </c>
      <c r="G330" s="31">
        <f>IF(ISNUMBER(F330),E330*F330,"")</f>
        <v>12.226796538087571</v>
      </c>
      <c r="H330" s="32"/>
      <c r="I330" s="28"/>
      <c r="J330" s="125">
        <v>0</v>
      </c>
    </row>
    <row r="331" spans="1:10" ht="51.75" hidden="1" thickBot="1" x14ac:dyDescent="0.3">
      <c r="A331" s="235"/>
      <c r="B331" s="238"/>
      <c r="C331" s="155" t="s">
        <v>18633</v>
      </c>
      <c r="D331" s="155" t="s">
        <v>774</v>
      </c>
      <c r="E331" s="34">
        <v>0.37240000000000001</v>
      </c>
      <c r="F331" s="31">
        <v>17.741272240545001</v>
      </c>
      <c r="G331" s="31">
        <f>IF(ISNUMBER(F331),E331*F331,"")</f>
        <v>6.6068497823789585</v>
      </c>
      <c r="H331" s="32"/>
      <c r="I331" s="28"/>
      <c r="J331" s="125">
        <v>0</v>
      </c>
    </row>
    <row r="332" spans="1:10" ht="64.5" hidden="1" thickBot="1" x14ac:dyDescent="0.3">
      <c r="A332" s="235"/>
      <c r="B332" s="238"/>
      <c r="C332" s="155" t="s">
        <v>19350</v>
      </c>
      <c r="D332" s="155" t="s">
        <v>774</v>
      </c>
      <c r="E332" s="34">
        <v>0.18959999999999999</v>
      </c>
      <c r="F332" s="31">
        <v>22.410086902475001</v>
      </c>
      <c r="G332" s="31">
        <f>IF(ISNUMBER(F332),E332*F332,"")</f>
        <v>4.2489524767092597</v>
      </c>
      <c r="H332" s="32"/>
      <c r="I332" s="28"/>
      <c r="J332" s="125">
        <v>0</v>
      </c>
    </row>
    <row r="333" spans="1:10" ht="15.75" hidden="1" thickBot="1" x14ac:dyDescent="0.3">
      <c r="A333" s="236"/>
      <c r="B333" s="239"/>
      <c r="C333" s="155"/>
      <c r="D333" s="33"/>
      <c r="E333" s="34"/>
      <c r="F333" s="28" t="s">
        <v>418</v>
      </c>
      <c r="G333" s="28" t="str">
        <f>IF(ISNUMBER(F333),E333*F333,"")</f>
        <v/>
      </c>
      <c r="H333" s="32"/>
      <c r="I333" s="28"/>
      <c r="J333" s="125">
        <v>0</v>
      </c>
    </row>
    <row r="334" spans="1:10" ht="15.75" hidden="1" thickBot="1" x14ac:dyDescent="0.3">
      <c r="A334" s="234" t="s">
        <v>94</v>
      </c>
      <c r="B334" s="237" t="s">
        <v>1360</v>
      </c>
      <c r="C334" s="160"/>
      <c r="D334" s="23" t="s">
        <v>70</v>
      </c>
      <c r="E334" s="24"/>
      <c r="F334" s="37" t="s">
        <v>418</v>
      </c>
      <c r="G334" s="25" t="str">
        <f>IF(ISNUMBER(F334),E334*F334,"")</f>
        <v/>
      </c>
      <c r="H334" s="26"/>
      <c r="I334" s="27"/>
      <c r="J334" s="125">
        <v>0</v>
      </c>
    </row>
    <row r="335" spans="1:10" ht="15.75" hidden="1" thickBot="1" x14ac:dyDescent="0.3">
      <c r="A335" s="235"/>
      <c r="B335" s="238"/>
      <c r="C335" s="151"/>
      <c r="D335" s="29"/>
      <c r="E335" s="30"/>
      <c r="F335" s="38" t="s">
        <v>418</v>
      </c>
      <c r="G335" s="28" t="str">
        <f>IF(ISNUMBER(F335),E335*F335,"")</f>
        <v/>
      </c>
      <c r="H335" s="32"/>
      <c r="I335" s="28"/>
      <c r="J335" s="125">
        <v>0</v>
      </c>
    </row>
    <row r="336" spans="1:10" ht="26.25" hidden="1" thickBot="1" x14ac:dyDescent="0.3">
      <c r="A336" s="235"/>
      <c r="B336" s="238"/>
      <c r="C336" s="155" t="s">
        <v>1014</v>
      </c>
      <c r="D336" s="155" t="s">
        <v>76</v>
      </c>
      <c r="E336" s="34">
        <v>0.01</v>
      </c>
      <c r="F336" s="31">
        <v>7.8564999999999996</v>
      </c>
      <c r="G336" s="31">
        <f>IF(ISNUMBER(F336),E336*F336,"")</f>
        <v>7.8564999999999996E-2</v>
      </c>
      <c r="H336" s="35">
        <f>SUM(G336:G342)</f>
        <v>191.70021091500001</v>
      </c>
      <c r="I336" s="36"/>
      <c r="J336" s="125">
        <v>0</v>
      </c>
    </row>
    <row r="337" spans="1:10" ht="39" hidden="1" thickBot="1" x14ac:dyDescent="0.3">
      <c r="A337" s="235"/>
      <c r="B337" s="238"/>
      <c r="C337" s="155" t="s">
        <v>31184</v>
      </c>
      <c r="D337" s="155" t="s">
        <v>385</v>
      </c>
      <c r="E337" s="34">
        <v>0.47399999999999998</v>
      </c>
      <c r="F337" s="31">
        <v>15.095499999999999</v>
      </c>
      <c r="G337" s="31">
        <f>IF(ISNUMBER(F337),E337*F337,"")</f>
        <v>7.1552669999999994</v>
      </c>
      <c r="H337" s="32"/>
      <c r="I337" s="28"/>
      <c r="J337" s="125">
        <v>0</v>
      </c>
    </row>
    <row r="338" spans="1:10" ht="15.75" hidden="1" thickBot="1" x14ac:dyDescent="0.3">
      <c r="A338" s="235"/>
      <c r="B338" s="238"/>
      <c r="C338" s="155" t="s">
        <v>10277</v>
      </c>
      <c r="D338" s="155" t="s">
        <v>774</v>
      </c>
      <c r="E338" s="34">
        <v>4.9000000000000002E-2</v>
      </c>
      <c r="F338" s="31">
        <v>25.051500000000001</v>
      </c>
      <c r="G338" s="31">
        <f>IF(ISNUMBER(F338),E338*F338,"")</f>
        <v>1.2275235</v>
      </c>
      <c r="H338" s="32"/>
      <c r="I338" s="28"/>
      <c r="J338" s="125">
        <v>0</v>
      </c>
    </row>
    <row r="339" spans="1:10" ht="15.75" hidden="1" thickBot="1" x14ac:dyDescent="0.3">
      <c r="A339" s="235"/>
      <c r="B339" s="238"/>
      <c r="C339" s="155" t="s">
        <v>662</v>
      </c>
      <c r="D339" s="155" t="s">
        <v>587</v>
      </c>
      <c r="E339" s="34">
        <v>0.20499999999999999</v>
      </c>
      <c r="F339" s="28">
        <v>24.367499999999996</v>
      </c>
      <c r="G339" s="31">
        <f>IF(ISNUMBER(F339),E339*F339,"")</f>
        <v>4.9953374999999989</v>
      </c>
      <c r="H339" s="32"/>
      <c r="I339" s="28"/>
      <c r="J339" s="125">
        <v>0</v>
      </c>
    </row>
    <row r="340" spans="1:10" ht="15.75" hidden="1" thickBot="1" x14ac:dyDescent="0.3">
      <c r="A340" s="235"/>
      <c r="B340" s="238"/>
      <c r="C340" s="155" t="s">
        <v>871</v>
      </c>
      <c r="D340" s="155" t="s">
        <v>587</v>
      </c>
      <c r="E340" s="34">
        <v>1.1200000000000001</v>
      </c>
      <c r="F340" s="28">
        <v>25.289000000000001</v>
      </c>
      <c r="G340" s="31">
        <f>IF(ISNUMBER(F340),E340*F340,"")</f>
        <v>28.323680000000003</v>
      </c>
      <c r="H340" s="32"/>
      <c r="I340" s="28"/>
      <c r="J340" s="125">
        <v>0</v>
      </c>
    </row>
    <row r="341" spans="1:10" ht="26.25" hidden="1" thickBot="1" x14ac:dyDescent="0.3">
      <c r="A341" s="235"/>
      <c r="B341" s="238"/>
      <c r="C341" s="155" t="s">
        <v>11350</v>
      </c>
      <c r="D341" s="155" t="s">
        <v>870</v>
      </c>
      <c r="E341" s="34">
        <v>0.621</v>
      </c>
      <c r="F341" s="31">
        <v>137.22706300000002</v>
      </c>
      <c r="G341" s="31">
        <f>IF(ISNUMBER(F341),E341*F341,"")</f>
        <v>85.218006123000009</v>
      </c>
      <c r="H341" s="32"/>
      <c r="I341" s="28"/>
      <c r="J341" s="125">
        <v>0</v>
      </c>
    </row>
    <row r="342" spans="1:10" ht="26.25" hidden="1" thickBot="1" x14ac:dyDescent="0.3">
      <c r="A342" s="235"/>
      <c r="B342" s="238"/>
      <c r="C342" s="155" t="s">
        <v>11357</v>
      </c>
      <c r="D342" s="155" t="s">
        <v>385</v>
      </c>
      <c r="E342" s="34">
        <v>1.8160000000000001</v>
      </c>
      <c r="F342" s="31">
        <v>35.628762000000002</v>
      </c>
      <c r="G342" s="31">
        <f>IF(ISNUMBER(F342),E342*F342,"")</f>
        <v>64.701831792000007</v>
      </c>
      <c r="H342" s="32"/>
      <c r="I342" s="28"/>
      <c r="J342" s="125">
        <v>0</v>
      </c>
    </row>
    <row r="343" spans="1:10" ht="15.75" hidden="1" thickBot="1" x14ac:dyDescent="0.3">
      <c r="A343" s="236"/>
      <c r="B343" s="239"/>
      <c r="C343" s="155"/>
      <c r="D343" s="33"/>
      <c r="E343" s="34"/>
      <c r="F343" s="28" t="s">
        <v>418</v>
      </c>
      <c r="G343" s="28" t="str">
        <f>IF(ISNUMBER(F343),E343*F343,"")</f>
        <v/>
      </c>
      <c r="H343" s="32"/>
      <c r="I343" s="28"/>
      <c r="J343" s="125">
        <v>0</v>
      </c>
    </row>
    <row r="344" spans="1:10" ht="15.75" hidden="1" thickBot="1" x14ac:dyDescent="0.3">
      <c r="A344" s="234" t="s">
        <v>95</v>
      </c>
      <c r="B344" s="237" t="s">
        <v>1361</v>
      </c>
      <c r="C344" s="160"/>
      <c r="D344" s="23" t="s">
        <v>69</v>
      </c>
      <c r="E344" s="24"/>
      <c r="F344" s="37" t="s">
        <v>418</v>
      </c>
      <c r="G344" s="25" t="str">
        <f>IF(ISNUMBER(F344),E344*F344,"")</f>
        <v/>
      </c>
      <c r="H344" s="26"/>
      <c r="I344" s="27"/>
      <c r="J344" s="125">
        <v>0</v>
      </c>
    </row>
    <row r="345" spans="1:10" ht="15.75" hidden="1" thickBot="1" x14ac:dyDescent="0.3">
      <c r="A345" s="249"/>
      <c r="B345" s="238"/>
      <c r="C345" s="151"/>
      <c r="D345" s="29"/>
      <c r="E345" s="30"/>
      <c r="F345" s="38" t="s">
        <v>418</v>
      </c>
      <c r="G345" s="28" t="str">
        <f>IF(ISNUMBER(F345),E345*F345,"")</f>
        <v/>
      </c>
      <c r="H345" s="32"/>
      <c r="I345" s="28"/>
      <c r="J345" s="125">
        <v>0</v>
      </c>
    </row>
    <row r="346" spans="1:10" ht="15.75" hidden="1" thickBot="1" x14ac:dyDescent="0.3">
      <c r="A346" s="249"/>
      <c r="B346" s="238"/>
      <c r="C346" s="155" t="s">
        <v>588</v>
      </c>
      <c r="D346" s="155" t="s">
        <v>587</v>
      </c>
      <c r="E346" s="34">
        <v>0.4</v>
      </c>
      <c r="F346" s="28">
        <v>19.189999999999998</v>
      </c>
      <c r="G346" s="31">
        <f>IF(ISNUMBER(F346),E346*F346,"")</f>
        <v>7.6759999999999993</v>
      </c>
      <c r="H346" s="35">
        <f>SUM(G346:G354)</f>
        <v>29.472030937</v>
      </c>
      <c r="I346" s="36"/>
      <c r="J346" s="125">
        <v>0</v>
      </c>
    </row>
    <row r="347" spans="1:10" ht="15.75" hidden="1" thickBot="1" x14ac:dyDescent="0.3">
      <c r="A347" s="249"/>
      <c r="B347" s="238"/>
      <c r="C347" s="155" t="s">
        <v>595</v>
      </c>
      <c r="D347" s="155" t="s">
        <v>587</v>
      </c>
      <c r="E347" s="34">
        <v>0.3</v>
      </c>
      <c r="F347" s="28">
        <v>25.65</v>
      </c>
      <c r="G347" s="31">
        <f>IF(ISNUMBER(F347),E347*F347,"")</f>
        <v>7.6949999999999994</v>
      </c>
      <c r="H347" s="32"/>
      <c r="I347" s="28"/>
      <c r="J347" s="125">
        <v>0</v>
      </c>
    </row>
    <row r="348" spans="1:10" ht="26.25" hidden="1" thickBot="1" x14ac:dyDescent="0.3">
      <c r="A348" s="249"/>
      <c r="B348" s="238"/>
      <c r="C348" s="155" t="s">
        <v>23674</v>
      </c>
      <c r="D348" s="155" t="s">
        <v>85</v>
      </c>
      <c r="E348" s="34">
        <v>0.01</v>
      </c>
      <c r="F348" s="31">
        <v>66.5</v>
      </c>
      <c r="G348" s="31">
        <f>IF(ISNUMBER(F348),E348*F348,"")</f>
        <v>0.66500000000000004</v>
      </c>
      <c r="H348" s="32"/>
      <c r="I348" s="28"/>
      <c r="J348" s="125">
        <v>0</v>
      </c>
    </row>
    <row r="349" spans="1:10" ht="26.25" hidden="1" thickBot="1" x14ac:dyDescent="0.3">
      <c r="A349" s="249"/>
      <c r="B349" s="238"/>
      <c r="C349" s="155" t="s">
        <v>26790</v>
      </c>
      <c r="D349" s="155" t="s">
        <v>85</v>
      </c>
      <c r="E349" s="34">
        <v>0.01</v>
      </c>
      <c r="F349" s="31">
        <v>225.625</v>
      </c>
      <c r="G349" s="31">
        <f>IF(ISNUMBER(F349),E349*F349,"")</f>
        <v>2.2562500000000001</v>
      </c>
      <c r="H349" s="32"/>
      <c r="I349" s="28"/>
      <c r="J349" s="125">
        <v>0</v>
      </c>
    </row>
    <row r="350" spans="1:10" ht="15.75" hidden="1" thickBot="1" x14ac:dyDescent="0.3">
      <c r="A350" s="249"/>
      <c r="B350" s="238"/>
      <c r="C350" s="155" t="s">
        <v>24537</v>
      </c>
      <c r="D350" s="155" t="s">
        <v>774</v>
      </c>
      <c r="E350" s="34">
        <v>2.0099999999999998</v>
      </c>
      <c r="F350" s="31">
        <v>1.254</v>
      </c>
      <c r="G350" s="31">
        <f>IF(ISNUMBER(F350),E350*F350,"")</f>
        <v>2.5205399999999996</v>
      </c>
      <c r="H350" s="32"/>
      <c r="I350" s="28"/>
      <c r="J350" s="125">
        <v>0</v>
      </c>
    </row>
    <row r="351" spans="1:10" ht="15.75" hidden="1" thickBot="1" x14ac:dyDescent="0.3">
      <c r="A351" s="249"/>
      <c r="B351" s="238"/>
      <c r="C351" s="155" t="s">
        <v>96</v>
      </c>
      <c r="D351" s="42" t="s">
        <v>97</v>
      </c>
      <c r="E351" s="34">
        <v>2.5</v>
      </c>
      <c r="F351" s="28">
        <v>0.95</v>
      </c>
      <c r="G351" s="31">
        <f>IF(ISNUMBER(F351),E351*F351,"")</f>
        <v>2.375</v>
      </c>
      <c r="H351" s="32"/>
      <c r="I351" s="28"/>
      <c r="J351" s="125">
        <v>0</v>
      </c>
    </row>
    <row r="352" spans="1:10" ht="15.75" hidden="1" thickBot="1" x14ac:dyDescent="0.3">
      <c r="A352" s="249"/>
      <c r="B352" s="238"/>
      <c r="C352" s="155" t="s">
        <v>23416</v>
      </c>
      <c r="D352" s="155" t="s">
        <v>774</v>
      </c>
      <c r="E352" s="34">
        <v>0.5</v>
      </c>
      <c r="F352" s="31">
        <v>9.8704999999999998</v>
      </c>
      <c r="G352" s="31">
        <f>IF(ISNUMBER(F352),E352*F352,"")</f>
        <v>4.9352499999999999</v>
      </c>
      <c r="H352" s="32"/>
      <c r="I352" s="28"/>
      <c r="J352" s="125">
        <v>0</v>
      </c>
    </row>
    <row r="353" spans="1:10" ht="51.75" hidden="1" thickBot="1" x14ac:dyDescent="0.3">
      <c r="A353" s="249"/>
      <c r="B353" s="238"/>
      <c r="C353" s="155" t="s">
        <v>10661</v>
      </c>
      <c r="D353" s="155" t="s">
        <v>85</v>
      </c>
      <c r="E353" s="34">
        <f>1*(E348+E349)</f>
        <v>0.02</v>
      </c>
      <c r="F353" s="31">
        <v>8.6578848500000003</v>
      </c>
      <c r="G353" s="31">
        <f>IF(ISNUMBER(F353),E353*F353,"")</f>
        <v>0.173157697</v>
      </c>
      <c r="H353" s="32"/>
      <c r="I353" s="28"/>
      <c r="J353" s="125">
        <v>0</v>
      </c>
    </row>
    <row r="354" spans="1:10" ht="39" hidden="1" thickBot="1" x14ac:dyDescent="0.3">
      <c r="A354" s="249"/>
      <c r="B354" s="238"/>
      <c r="C354" s="155" t="s">
        <v>10602</v>
      </c>
      <c r="D354" s="155" t="s">
        <v>1292</v>
      </c>
      <c r="E354" s="34">
        <f>(E348+E349)*20</f>
        <v>0.4</v>
      </c>
      <c r="F354" s="31">
        <v>2.9395830999999997</v>
      </c>
      <c r="G354" s="31">
        <f>IF(ISNUMBER(F354),E354*F354,"")</f>
        <v>1.17583324</v>
      </c>
      <c r="H354" s="32"/>
      <c r="I354" s="28"/>
      <c r="J354" s="125">
        <v>0</v>
      </c>
    </row>
    <row r="355" spans="1:10" ht="15.75" hidden="1" thickBot="1" x14ac:dyDescent="0.3">
      <c r="A355" s="249"/>
      <c r="B355" s="238"/>
      <c r="C355" s="46"/>
      <c r="D355" s="42"/>
      <c r="E355" s="34"/>
      <c r="F355" s="31" t="s">
        <v>418</v>
      </c>
      <c r="G355" s="31" t="str">
        <f>IF(ISNUMBER(F355),E355*F355,"")</f>
        <v/>
      </c>
      <c r="H355" s="32"/>
      <c r="I355" s="28"/>
      <c r="J355" s="125">
        <v>0</v>
      </c>
    </row>
    <row r="356" spans="1:10" ht="26.25" hidden="1" thickBot="1" x14ac:dyDescent="0.3">
      <c r="A356" s="249"/>
      <c r="B356" s="238"/>
      <c r="C356" s="43" t="s">
        <v>86</v>
      </c>
      <c r="D356" s="42"/>
      <c r="E356" s="34"/>
      <c r="F356" s="31" t="s">
        <v>418</v>
      </c>
      <c r="G356" s="31" t="str">
        <f>IF(ISNUMBER(F356),E356*F356,"")</f>
        <v/>
      </c>
      <c r="H356" s="32"/>
      <c r="I356" s="28"/>
      <c r="J356" s="125">
        <v>0</v>
      </c>
    </row>
    <row r="357" spans="1:10" ht="15.75" hidden="1" thickBot="1" x14ac:dyDescent="0.3">
      <c r="A357" s="250"/>
      <c r="B357" s="239"/>
      <c r="C357" s="155"/>
      <c r="D357" s="33"/>
      <c r="E357" s="34"/>
      <c r="F357" s="28" t="s">
        <v>418</v>
      </c>
      <c r="G357" s="28" t="str">
        <f>IF(ISNUMBER(F357),E357*F357,"")</f>
        <v/>
      </c>
      <c r="H357" s="32"/>
      <c r="I357" s="28"/>
      <c r="J357" s="125">
        <v>0</v>
      </c>
    </row>
    <row r="358" spans="1:10" ht="15.75" hidden="1" thickBot="1" x14ac:dyDescent="0.3">
      <c r="A358" s="234" t="s">
        <v>99</v>
      </c>
      <c r="B358" s="237" t="s">
        <v>1362</v>
      </c>
      <c r="C358" s="160"/>
      <c r="D358" s="23" t="s">
        <v>70</v>
      </c>
      <c r="E358" s="24"/>
      <c r="F358" s="37" t="s">
        <v>418</v>
      </c>
      <c r="G358" s="25" t="str">
        <f>IF(ISNUMBER(F358),E358*F358,"")</f>
        <v/>
      </c>
      <c r="H358" s="26"/>
      <c r="I358" s="27"/>
      <c r="J358" s="125">
        <v>0</v>
      </c>
    </row>
    <row r="359" spans="1:10" ht="15.75" hidden="1" thickBot="1" x14ac:dyDescent="0.3">
      <c r="A359" s="235"/>
      <c r="B359" s="238"/>
      <c r="C359" s="151"/>
      <c r="D359" s="29"/>
      <c r="E359" s="30"/>
      <c r="F359" s="38" t="s">
        <v>418</v>
      </c>
      <c r="G359" s="28" t="str">
        <f>IF(ISNUMBER(F359),E359*F359,"")</f>
        <v/>
      </c>
      <c r="H359" s="32"/>
      <c r="I359" s="28"/>
      <c r="J359" s="125">
        <v>0</v>
      </c>
    </row>
    <row r="360" spans="1:10" ht="26.25" hidden="1" thickBot="1" x14ac:dyDescent="0.3">
      <c r="A360" s="235"/>
      <c r="B360" s="238"/>
      <c r="C360" s="155" t="s">
        <v>23686</v>
      </c>
      <c r="D360" s="155" t="s">
        <v>774</v>
      </c>
      <c r="E360" s="34">
        <v>3.2</v>
      </c>
      <c r="F360" s="31">
        <v>3.7524999999999999</v>
      </c>
      <c r="G360" s="28">
        <f>IF(ISNUMBER(F360),E360*F360,"")</f>
        <v>12.008000000000001</v>
      </c>
      <c r="H360" s="35">
        <f>SUM(G360:G362)</f>
        <v>26.713354000000002</v>
      </c>
      <c r="I360" s="36"/>
      <c r="J360" s="125">
        <v>0</v>
      </c>
    </row>
    <row r="361" spans="1:10" ht="15.75" hidden="1" thickBot="1" x14ac:dyDescent="0.3">
      <c r="A361" s="235"/>
      <c r="B361" s="238"/>
      <c r="C361" s="155" t="s">
        <v>1251</v>
      </c>
      <c r="D361" s="155" t="s">
        <v>587</v>
      </c>
      <c r="E361" s="34">
        <v>0.108</v>
      </c>
      <c r="F361" s="28">
        <v>19.731499999999997</v>
      </c>
      <c r="G361" s="28">
        <f>IF(ISNUMBER(F361),E361*F361,"")</f>
        <v>2.1310019999999996</v>
      </c>
      <c r="H361" s="32"/>
      <c r="I361" s="28"/>
      <c r="J361" s="125">
        <v>0</v>
      </c>
    </row>
    <row r="362" spans="1:10" ht="15.75" hidden="1" thickBot="1" x14ac:dyDescent="0.3">
      <c r="A362" s="235"/>
      <c r="B362" s="238"/>
      <c r="C362" s="155" t="s">
        <v>889</v>
      </c>
      <c r="D362" s="155" t="s">
        <v>587</v>
      </c>
      <c r="E362" s="34">
        <v>0.53200000000000003</v>
      </c>
      <c r="F362" s="28">
        <v>23.635999999999999</v>
      </c>
      <c r="G362" s="28">
        <f>IF(ISNUMBER(F362),E362*F362,"")</f>
        <v>12.574352000000001</v>
      </c>
      <c r="H362" s="32"/>
      <c r="I362" s="28"/>
      <c r="J362" s="125">
        <v>0</v>
      </c>
    </row>
    <row r="363" spans="1:10" ht="15.75" hidden="1" thickBot="1" x14ac:dyDescent="0.3">
      <c r="A363" s="236"/>
      <c r="B363" s="239"/>
      <c r="C363" s="155"/>
      <c r="D363" s="33"/>
      <c r="E363" s="34"/>
      <c r="F363" s="28" t="s">
        <v>418</v>
      </c>
      <c r="G363" s="28" t="str">
        <f>IF(ISNUMBER(F363),E363*F363,"")</f>
        <v/>
      </c>
      <c r="H363" s="32"/>
      <c r="I363" s="28"/>
      <c r="J363" s="125">
        <v>0</v>
      </c>
    </row>
    <row r="364" spans="1:10" ht="15.75" hidden="1" thickBot="1" x14ac:dyDescent="0.3">
      <c r="A364" s="234" t="s">
        <v>100</v>
      </c>
      <c r="B364" s="237" t="s">
        <v>1363</v>
      </c>
      <c r="C364" s="160"/>
      <c r="D364" s="23" t="s">
        <v>70</v>
      </c>
      <c r="E364" s="24"/>
      <c r="F364" s="37" t="s">
        <v>418</v>
      </c>
      <c r="G364" s="25" t="str">
        <f>IF(ISNUMBER(F364),E364*F364,"")</f>
        <v/>
      </c>
      <c r="H364" s="26"/>
      <c r="I364" s="27"/>
      <c r="J364" s="125">
        <v>0</v>
      </c>
    </row>
    <row r="365" spans="1:10" ht="15.75" hidden="1" thickBot="1" x14ac:dyDescent="0.3">
      <c r="A365" s="235"/>
      <c r="B365" s="238"/>
      <c r="C365" s="151"/>
      <c r="D365" s="29"/>
      <c r="E365" s="30"/>
      <c r="F365" s="38" t="s">
        <v>418</v>
      </c>
      <c r="G365" s="28" t="str">
        <f>IF(ISNUMBER(F365),E365*F365,"")</f>
        <v/>
      </c>
      <c r="H365" s="32"/>
      <c r="I365" s="28"/>
      <c r="J365" s="125">
        <v>0</v>
      </c>
    </row>
    <row r="366" spans="1:10" ht="26.25" hidden="1" thickBot="1" x14ac:dyDescent="0.3">
      <c r="A366" s="235"/>
      <c r="B366" s="238"/>
      <c r="C366" s="155" t="s">
        <v>23847</v>
      </c>
      <c r="D366" s="155" t="s">
        <v>205</v>
      </c>
      <c r="E366" s="34">
        <v>28.31</v>
      </c>
      <c r="F366" s="31">
        <v>0.71249999999999991</v>
      </c>
      <c r="G366" s="31">
        <f>IF(ISNUMBER(F366),E366*F366,"")</f>
        <v>20.170874999999995</v>
      </c>
      <c r="H366" s="35">
        <f>SUM(G366:G371)</f>
        <v>85.196227653048595</v>
      </c>
      <c r="I366" s="36"/>
      <c r="J366" s="125">
        <v>0</v>
      </c>
    </row>
    <row r="367" spans="1:10" ht="26.25" hidden="1" thickBot="1" x14ac:dyDescent="0.3">
      <c r="A367" s="235"/>
      <c r="B367" s="238"/>
      <c r="C367" s="155" t="s">
        <v>27698</v>
      </c>
      <c r="D367" s="155" t="s">
        <v>385</v>
      </c>
      <c r="E367" s="34">
        <v>0.42</v>
      </c>
      <c r="F367" s="31">
        <v>2.0044999999999997</v>
      </c>
      <c r="G367" s="31">
        <f>IF(ISNUMBER(F367),E367*F367,"")</f>
        <v>0.84188999999999981</v>
      </c>
      <c r="H367" s="32"/>
      <c r="I367" s="28"/>
      <c r="J367" s="125">
        <v>0</v>
      </c>
    </row>
    <row r="368" spans="1:10" ht="15.75" hidden="1" thickBot="1" x14ac:dyDescent="0.3">
      <c r="A368" s="235"/>
      <c r="B368" s="238"/>
      <c r="C368" s="155" t="s">
        <v>26867</v>
      </c>
      <c r="D368" s="155" t="s">
        <v>1113</v>
      </c>
      <c r="E368" s="34">
        <v>5.0000000000000001E-3</v>
      </c>
      <c r="F368" s="31">
        <v>36.802999999999997</v>
      </c>
      <c r="G368" s="31">
        <f>IF(ISNUMBER(F368),E368*F368,"")</f>
        <v>0.18401499999999998</v>
      </c>
      <c r="H368" s="32"/>
      <c r="I368" s="28"/>
      <c r="J368" s="125">
        <v>0</v>
      </c>
    </row>
    <row r="369" spans="1:10" ht="51.75" hidden="1" thickBot="1" x14ac:dyDescent="0.3">
      <c r="A369" s="235"/>
      <c r="B369" s="238"/>
      <c r="C369" s="155" t="s">
        <v>101</v>
      </c>
      <c r="D369" s="155" t="s">
        <v>85</v>
      </c>
      <c r="E369" s="34">
        <v>9.1000000000000004E-3</v>
      </c>
      <c r="F369" s="31">
        <v>797.25248934599983</v>
      </c>
      <c r="G369" s="31">
        <f>IF(ISNUMBER(F369),E369*F369,"")</f>
        <v>7.2549976530485987</v>
      </c>
      <c r="H369" s="32"/>
      <c r="I369" s="28"/>
      <c r="J369" s="125">
        <v>0</v>
      </c>
    </row>
    <row r="370" spans="1:10" ht="15.75" hidden="1" thickBot="1" x14ac:dyDescent="0.3">
      <c r="A370" s="235"/>
      <c r="B370" s="238"/>
      <c r="C370" s="155" t="s">
        <v>595</v>
      </c>
      <c r="D370" s="155" t="s">
        <v>587</v>
      </c>
      <c r="E370" s="34">
        <v>1.61</v>
      </c>
      <c r="F370" s="28">
        <v>25.65</v>
      </c>
      <c r="G370" s="28">
        <f>IF(ISNUMBER(F370),E370*F370,"")</f>
        <v>41.296500000000002</v>
      </c>
      <c r="H370" s="32"/>
      <c r="I370" s="28"/>
      <c r="J370" s="125">
        <v>0</v>
      </c>
    </row>
    <row r="371" spans="1:10" ht="15.75" hidden="1" thickBot="1" x14ac:dyDescent="0.3">
      <c r="A371" s="235"/>
      <c r="B371" s="238"/>
      <c r="C371" s="155" t="s">
        <v>588</v>
      </c>
      <c r="D371" s="155" t="s">
        <v>587</v>
      </c>
      <c r="E371" s="34">
        <v>0.80500000000000005</v>
      </c>
      <c r="F371" s="28">
        <v>19.189999999999998</v>
      </c>
      <c r="G371" s="28">
        <f>IF(ISNUMBER(F371),E371*F371,"")</f>
        <v>15.447949999999999</v>
      </c>
      <c r="H371" s="32"/>
      <c r="I371" s="28"/>
      <c r="J371" s="125">
        <v>0</v>
      </c>
    </row>
    <row r="372" spans="1:10" ht="15.75" hidden="1" thickBot="1" x14ac:dyDescent="0.3">
      <c r="A372" s="236"/>
      <c r="B372" s="239"/>
      <c r="C372" s="155"/>
      <c r="D372" s="33"/>
      <c r="E372" s="34"/>
      <c r="F372" s="28" t="s">
        <v>418</v>
      </c>
      <c r="G372" s="28" t="str">
        <f>IF(ISNUMBER(F372),E372*F372,"")</f>
        <v/>
      </c>
      <c r="H372" s="32"/>
      <c r="I372" s="28"/>
      <c r="J372" s="125">
        <v>0</v>
      </c>
    </row>
    <row r="373" spans="1:10" ht="15.75" hidden="1" thickBot="1" x14ac:dyDescent="0.3">
      <c r="A373" s="234" t="s">
        <v>102</v>
      </c>
      <c r="B373" s="237" t="s">
        <v>1364</v>
      </c>
      <c r="C373" s="160"/>
      <c r="D373" s="23" t="s">
        <v>70</v>
      </c>
      <c r="E373" s="24"/>
      <c r="F373" s="37" t="s">
        <v>418</v>
      </c>
      <c r="G373" s="25" t="str">
        <f>IF(ISNUMBER(F373),E373*F373,"")</f>
        <v/>
      </c>
      <c r="H373" s="26"/>
      <c r="I373" s="27"/>
      <c r="J373" s="125">
        <v>0</v>
      </c>
    </row>
    <row r="374" spans="1:10" ht="15.75" hidden="1" thickBot="1" x14ac:dyDescent="0.3">
      <c r="A374" s="235"/>
      <c r="B374" s="238"/>
      <c r="C374" s="151"/>
      <c r="D374" s="29"/>
      <c r="E374" s="30"/>
      <c r="F374" s="38" t="s">
        <v>418</v>
      </c>
      <c r="G374" s="28" t="str">
        <f>IF(ISNUMBER(F374),E374*F374,"")</f>
        <v/>
      </c>
      <c r="H374" s="32"/>
      <c r="I374" s="28"/>
      <c r="J374" s="125">
        <v>0</v>
      </c>
    </row>
    <row r="375" spans="1:10" ht="26.25" hidden="1" thickBot="1" x14ac:dyDescent="0.3">
      <c r="A375" s="235"/>
      <c r="B375" s="238"/>
      <c r="C375" s="155" t="s">
        <v>26866</v>
      </c>
      <c r="D375" s="155" t="s">
        <v>1113</v>
      </c>
      <c r="E375" s="156">
        <v>2.4799999999999999E-2</v>
      </c>
      <c r="F375" s="31">
        <v>42.797499999999992</v>
      </c>
      <c r="G375" s="31">
        <f>IF(ISNUMBER(F375),E375*F375,"")</f>
        <v>1.0613779999999997</v>
      </c>
      <c r="H375" s="35">
        <f>SUM(G375:G385)</f>
        <v>87.61143294999998</v>
      </c>
      <c r="I375" s="36"/>
      <c r="J375" s="125">
        <v>0</v>
      </c>
    </row>
    <row r="376" spans="1:10" ht="26.25" hidden="1" thickBot="1" x14ac:dyDescent="0.3">
      <c r="A376" s="235"/>
      <c r="B376" s="238"/>
      <c r="C376" s="155" t="s">
        <v>11619</v>
      </c>
      <c r="D376" s="155" t="s">
        <v>870</v>
      </c>
      <c r="E376" s="156">
        <v>1.0529999999999999</v>
      </c>
      <c r="F376" s="31">
        <v>32.366500000000002</v>
      </c>
      <c r="G376" s="31">
        <f>IF(ISNUMBER(F376),E376*F376,"")</f>
        <v>34.0819245</v>
      </c>
      <c r="H376" s="40"/>
      <c r="I376" s="41"/>
      <c r="J376" s="125">
        <v>0</v>
      </c>
    </row>
    <row r="377" spans="1:10" ht="26.25" hidden="1" thickBot="1" x14ac:dyDescent="0.3">
      <c r="A377" s="235"/>
      <c r="B377" s="238"/>
      <c r="C377" s="155" t="s">
        <v>26835</v>
      </c>
      <c r="D377" s="155" t="s">
        <v>385</v>
      </c>
      <c r="E377" s="156">
        <v>0.76239999999999997</v>
      </c>
      <c r="F377" s="31">
        <v>11.4095</v>
      </c>
      <c r="G377" s="31">
        <f>IF(ISNUMBER(F377),E377*F377,"")</f>
        <v>8.6986027999999997</v>
      </c>
      <c r="H377" s="40"/>
      <c r="I377" s="41"/>
      <c r="J377" s="125">
        <v>0</v>
      </c>
    </row>
    <row r="378" spans="1:10" ht="26.25" hidden="1" thickBot="1" x14ac:dyDescent="0.3">
      <c r="A378" s="235"/>
      <c r="B378" s="238"/>
      <c r="C378" s="155" t="s">
        <v>26839</v>
      </c>
      <c r="D378" s="155" t="s">
        <v>385</v>
      </c>
      <c r="E378" s="156">
        <v>2.0005999999999999</v>
      </c>
      <c r="F378" s="31">
        <v>12.938999999999998</v>
      </c>
      <c r="G378" s="31">
        <f>IF(ISNUMBER(F378),E378*F378,"")</f>
        <v>25.885763399999995</v>
      </c>
      <c r="H378" s="40"/>
      <c r="I378" s="41"/>
      <c r="J378" s="125">
        <v>0</v>
      </c>
    </row>
    <row r="379" spans="1:10" ht="26.25" hidden="1" thickBot="1" x14ac:dyDescent="0.3">
      <c r="A379" s="235"/>
      <c r="B379" s="238"/>
      <c r="C379" s="155" t="s">
        <v>25508</v>
      </c>
      <c r="D379" s="155" t="s">
        <v>385</v>
      </c>
      <c r="E379" s="156">
        <v>1.2513000000000001</v>
      </c>
      <c r="F379" s="31">
        <v>0.50349999999999995</v>
      </c>
      <c r="G379" s="31">
        <f>IF(ISNUMBER(F379),E379*F379,"")</f>
        <v>0.63002954999999994</v>
      </c>
      <c r="H379" s="40"/>
      <c r="I379" s="41"/>
      <c r="J379" s="125">
        <v>0</v>
      </c>
    </row>
    <row r="380" spans="1:10" ht="26.25" hidden="1" thickBot="1" x14ac:dyDescent="0.3">
      <c r="A380" s="235"/>
      <c r="B380" s="238"/>
      <c r="C380" s="155" t="s">
        <v>25509</v>
      </c>
      <c r="D380" s="155" t="s">
        <v>385</v>
      </c>
      <c r="E380" s="156">
        <v>0.74070000000000003</v>
      </c>
      <c r="F380" s="31">
        <v>4.484</v>
      </c>
      <c r="G380" s="31">
        <f>IF(ISNUMBER(F380),E380*F380,"")</f>
        <v>3.3212988000000001</v>
      </c>
      <c r="H380" s="40"/>
      <c r="I380" s="41"/>
      <c r="J380" s="125">
        <v>0</v>
      </c>
    </row>
    <row r="381" spans="1:10" ht="39" hidden="1" thickBot="1" x14ac:dyDescent="0.3">
      <c r="A381" s="235"/>
      <c r="B381" s="238"/>
      <c r="C381" s="155" t="s">
        <v>11617</v>
      </c>
      <c r="D381" s="155" t="s">
        <v>774</v>
      </c>
      <c r="E381" s="156">
        <v>0.54890000000000005</v>
      </c>
      <c r="F381" s="31">
        <v>5.6050000000000004</v>
      </c>
      <c r="G381" s="31">
        <f>IF(ISNUMBER(F381),E381*F381,"")</f>
        <v>3.0765845000000005</v>
      </c>
      <c r="H381" s="40"/>
      <c r="I381" s="41"/>
      <c r="J381" s="125">
        <v>0</v>
      </c>
    </row>
    <row r="382" spans="1:10" ht="26.25" hidden="1" thickBot="1" x14ac:dyDescent="0.3">
      <c r="A382" s="235"/>
      <c r="B382" s="238"/>
      <c r="C382" s="155" t="s">
        <v>26711</v>
      </c>
      <c r="D382" s="155" t="s">
        <v>205</v>
      </c>
      <c r="E382" s="156">
        <v>10.093400000000001</v>
      </c>
      <c r="F382" s="31">
        <v>0.11399999999999999</v>
      </c>
      <c r="G382" s="31">
        <f>IF(ISNUMBER(F382),E382*F382,"")</f>
        <v>1.1506476000000001</v>
      </c>
      <c r="H382" s="40"/>
      <c r="I382" s="41"/>
      <c r="J382" s="125">
        <v>0</v>
      </c>
    </row>
    <row r="383" spans="1:10" ht="26.25" hidden="1" thickBot="1" x14ac:dyDescent="0.3">
      <c r="A383" s="235"/>
      <c r="B383" s="238"/>
      <c r="C383" s="155" t="s">
        <v>26718</v>
      </c>
      <c r="D383" s="155" t="s">
        <v>205</v>
      </c>
      <c r="E383" s="156">
        <v>0.4803</v>
      </c>
      <c r="F383" s="31">
        <v>0.26600000000000001</v>
      </c>
      <c r="G383" s="31">
        <f>IF(ISNUMBER(F383),E383*F383,"")</f>
        <v>0.12775980000000001</v>
      </c>
      <c r="H383" s="40"/>
      <c r="I383" s="41"/>
      <c r="J383" s="125">
        <v>0</v>
      </c>
    </row>
    <row r="384" spans="1:10" ht="26.25" hidden="1" thickBot="1" x14ac:dyDescent="0.3">
      <c r="A384" s="235"/>
      <c r="B384" s="238"/>
      <c r="C384" s="155" t="s">
        <v>863</v>
      </c>
      <c r="D384" s="155" t="s">
        <v>587</v>
      </c>
      <c r="E384" s="156">
        <v>0.34399999999999997</v>
      </c>
      <c r="F384" s="28">
        <v>21.593499999999999</v>
      </c>
      <c r="G384" s="31">
        <f>IF(ISNUMBER(F384),E384*F384,"")</f>
        <v>7.4281639999999989</v>
      </c>
      <c r="H384" s="40"/>
      <c r="I384" s="41"/>
      <c r="J384" s="125">
        <v>0</v>
      </c>
    </row>
    <row r="385" spans="1:10" ht="15.75" hidden="1" thickBot="1" x14ac:dyDescent="0.3">
      <c r="A385" s="235"/>
      <c r="B385" s="238"/>
      <c r="C385" s="155" t="s">
        <v>588</v>
      </c>
      <c r="D385" s="155" t="s">
        <v>587</v>
      </c>
      <c r="E385" s="156">
        <v>0.112</v>
      </c>
      <c r="F385" s="28">
        <v>19.189999999999998</v>
      </c>
      <c r="G385" s="31">
        <f>IF(ISNUMBER(F385),E385*F385,"")</f>
        <v>2.1492799999999996</v>
      </c>
      <c r="H385" s="40"/>
      <c r="I385" s="41"/>
      <c r="J385" s="125">
        <v>0</v>
      </c>
    </row>
    <row r="386" spans="1:10" ht="15.75" hidden="1" thickBot="1" x14ac:dyDescent="0.3">
      <c r="A386" s="236"/>
      <c r="B386" s="239"/>
      <c r="C386" s="155"/>
      <c r="D386" s="33"/>
      <c r="E386" s="34"/>
      <c r="F386" s="28" t="s">
        <v>418</v>
      </c>
      <c r="G386" s="28" t="str">
        <f>IF(ISNUMBER(F386),E386*F386,"")</f>
        <v/>
      </c>
      <c r="H386" s="32"/>
      <c r="I386" s="28"/>
      <c r="J386" s="125">
        <v>0</v>
      </c>
    </row>
    <row r="387" spans="1:10" ht="15.75" hidden="1" thickBot="1" x14ac:dyDescent="0.3">
      <c r="A387" s="234" t="s">
        <v>103</v>
      </c>
      <c r="B387" s="237" t="s">
        <v>1365</v>
      </c>
      <c r="C387" s="160"/>
      <c r="D387" s="23" t="s">
        <v>69</v>
      </c>
      <c r="E387" s="24"/>
      <c r="F387" s="37" t="s">
        <v>418</v>
      </c>
      <c r="G387" s="25" t="str">
        <f>IF(ISNUMBER(F387),E387*F387,"")</f>
        <v/>
      </c>
      <c r="H387" s="26"/>
      <c r="I387" s="27"/>
      <c r="J387" s="125">
        <v>0</v>
      </c>
    </row>
    <row r="388" spans="1:10" ht="15.75" hidden="1" thickBot="1" x14ac:dyDescent="0.3">
      <c r="A388" s="235"/>
      <c r="B388" s="238"/>
      <c r="C388" s="151"/>
      <c r="D388" s="29"/>
      <c r="E388" s="30"/>
      <c r="F388" s="38" t="s">
        <v>418</v>
      </c>
      <c r="G388" s="28" t="str">
        <f>IF(ISNUMBER(F388),E388*F388,"")</f>
        <v/>
      </c>
      <c r="H388" s="32"/>
      <c r="I388" s="28"/>
      <c r="J388" s="125">
        <v>0</v>
      </c>
    </row>
    <row r="389" spans="1:10" ht="15.75" hidden="1" thickBot="1" x14ac:dyDescent="0.3">
      <c r="A389" s="235"/>
      <c r="B389" s="238"/>
      <c r="C389" s="155" t="s">
        <v>10396</v>
      </c>
      <c r="D389" s="155" t="s">
        <v>205</v>
      </c>
      <c r="E389" s="34">
        <v>11.2</v>
      </c>
      <c r="F389" s="31">
        <v>0.60799999999999998</v>
      </c>
      <c r="G389" s="28">
        <f>IF(ISNUMBER(F389),E389*F389,"")</f>
        <v>6.8095999999999997</v>
      </c>
      <c r="H389" s="35">
        <f>SUM(G389:G392)</f>
        <v>26.318376977471601</v>
      </c>
      <c r="I389" s="36"/>
      <c r="J389" s="125">
        <v>0</v>
      </c>
    </row>
    <row r="390" spans="1:10" ht="51.75" hidden="1" thickBot="1" x14ac:dyDescent="0.3">
      <c r="A390" s="235"/>
      <c r="B390" s="238"/>
      <c r="C390" s="155" t="s">
        <v>104</v>
      </c>
      <c r="D390" s="155" t="s">
        <v>85</v>
      </c>
      <c r="E390" s="34">
        <v>5.1999999999999998E-3</v>
      </c>
      <c r="F390" s="31">
        <v>751.11288028299998</v>
      </c>
      <c r="G390" s="28">
        <f>IF(ISNUMBER(F390),E390*F390,"")</f>
        <v>3.9057869774715996</v>
      </c>
      <c r="H390" s="40"/>
      <c r="I390" s="41"/>
      <c r="J390" s="125">
        <v>0</v>
      </c>
    </row>
    <row r="391" spans="1:10" ht="15.75" hidden="1" thickBot="1" x14ac:dyDescent="0.3">
      <c r="A391" s="235"/>
      <c r="B391" s="238"/>
      <c r="C391" s="155" t="s">
        <v>595</v>
      </c>
      <c r="D391" s="155" t="s">
        <v>587</v>
      </c>
      <c r="E391" s="34">
        <v>0.52900000000000003</v>
      </c>
      <c r="F391" s="28">
        <v>25.65</v>
      </c>
      <c r="G391" s="28">
        <f>IF(ISNUMBER(F391),E391*F391,"")</f>
        <v>13.568849999999999</v>
      </c>
      <c r="H391" s="40"/>
      <c r="I391" s="41"/>
      <c r="J391" s="125">
        <v>0</v>
      </c>
    </row>
    <row r="392" spans="1:10" ht="15.75" hidden="1" thickBot="1" x14ac:dyDescent="0.3">
      <c r="A392" s="235"/>
      <c r="B392" s="238"/>
      <c r="C392" s="155" t="s">
        <v>588</v>
      </c>
      <c r="D392" s="155" t="s">
        <v>587</v>
      </c>
      <c r="E392" s="34">
        <v>0.106</v>
      </c>
      <c r="F392" s="28">
        <v>19.189999999999998</v>
      </c>
      <c r="G392" s="28">
        <f>IF(ISNUMBER(F392),E392*F392,"")</f>
        <v>2.0341399999999998</v>
      </c>
      <c r="H392" s="40"/>
      <c r="I392" s="41"/>
      <c r="J392" s="125">
        <v>0</v>
      </c>
    </row>
    <row r="393" spans="1:10" ht="15.75" hidden="1" thickBot="1" x14ac:dyDescent="0.3">
      <c r="A393" s="235"/>
      <c r="B393" s="238"/>
      <c r="C393" s="155"/>
      <c r="D393" s="42"/>
      <c r="E393" s="34"/>
      <c r="F393" s="31" t="s">
        <v>418</v>
      </c>
      <c r="G393" s="31" t="str">
        <f>IF(ISNUMBER(F393),E393*F393,"")</f>
        <v/>
      </c>
      <c r="H393" s="40"/>
      <c r="I393" s="41"/>
      <c r="J393" s="125">
        <v>0</v>
      </c>
    </row>
    <row r="394" spans="1:10" ht="15.75" hidden="1" thickBot="1" x14ac:dyDescent="0.3">
      <c r="A394" s="234" t="s">
        <v>105</v>
      </c>
      <c r="B394" s="237" t="s">
        <v>1366</v>
      </c>
      <c r="C394" s="160"/>
      <c r="D394" s="23" t="s">
        <v>70</v>
      </c>
      <c r="E394" s="24"/>
      <c r="F394" s="37" t="s">
        <v>418</v>
      </c>
      <c r="G394" s="25" t="str">
        <f>IF(ISNUMBER(F394),E394*F394,"")</f>
        <v/>
      </c>
      <c r="H394" s="26"/>
      <c r="I394" s="27"/>
      <c r="J394" s="125">
        <v>0</v>
      </c>
    </row>
    <row r="395" spans="1:10" ht="15.75" hidden="1" thickBot="1" x14ac:dyDescent="0.3">
      <c r="A395" s="235"/>
      <c r="B395" s="238"/>
      <c r="C395" s="151"/>
      <c r="D395" s="29"/>
      <c r="E395" s="30"/>
      <c r="F395" s="38" t="s">
        <v>418</v>
      </c>
      <c r="G395" s="28" t="str">
        <f>IF(ISNUMBER(F395),E395*F395,"")</f>
        <v/>
      </c>
      <c r="H395" s="32"/>
      <c r="I395" s="28"/>
      <c r="J395" s="125">
        <v>0</v>
      </c>
    </row>
    <row r="396" spans="1:10" ht="26.25" hidden="1" thickBot="1" x14ac:dyDescent="0.3">
      <c r="A396" s="235"/>
      <c r="B396" s="238"/>
      <c r="C396" s="155" t="s">
        <v>26866</v>
      </c>
      <c r="D396" s="155" t="s">
        <v>1113</v>
      </c>
      <c r="E396" s="156">
        <v>2.4799999999999999E-2</v>
      </c>
      <c r="F396" s="31">
        <v>42.797499999999992</v>
      </c>
      <c r="G396" s="28">
        <f>IF(ISNUMBER(F396),E396*F396,"")</f>
        <v>1.0613779999999997</v>
      </c>
      <c r="H396" s="35">
        <f>SUM(G396:G406)</f>
        <v>131.52652244999999</v>
      </c>
      <c r="I396" s="36"/>
      <c r="J396" s="125">
        <v>0</v>
      </c>
    </row>
    <row r="397" spans="1:10" ht="26.25" hidden="1" thickBot="1" x14ac:dyDescent="0.3">
      <c r="A397" s="235"/>
      <c r="B397" s="238"/>
      <c r="C397" s="155" t="s">
        <v>11619</v>
      </c>
      <c r="D397" s="155" t="s">
        <v>870</v>
      </c>
      <c r="E397" s="156">
        <v>2.1059999999999999</v>
      </c>
      <c r="F397" s="31">
        <v>32.366500000000002</v>
      </c>
      <c r="G397" s="28">
        <f>IF(ISNUMBER(F397),E397*F397,"")</f>
        <v>68.163848999999999</v>
      </c>
      <c r="H397" s="32"/>
      <c r="I397" s="28"/>
      <c r="J397" s="125">
        <v>0</v>
      </c>
    </row>
    <row r="398" spans="1:10" ht="26.25" hidden="1" thickBot="1" x14ac:dyDescent="0.3">
      <c r="A398" s="235"/>
      <c r="B398" s="238"/>
      <c r="C398" s="155" t="s">
        <v>26835</v>
      </c>
      <c r="D398" s="155" t="s">
        <v>385</v>
      </c>
      <c r="E398" s="156">
        <v>0.76239999999999997</v>
      </c>
      <c r="F398" s="31">
        <v>11.4095</v>
      </c>
      <c r="G398" s="28">
        <f>IF(ISNUMBER(F398),E398*F398,"")</f>
        <v>8.6986027999999997</v>
      </c>
      <c r="H398" s="32"/>
      <c r="I398" s="28"/>
      <c r="J398" s="125">
        <v>0</v>
      </c>
    </row>
    <row r="399" spans="1:10" ht="26.25" hidden="1" thickBot="1" x14ac:dyDescent="0.3">
      <c r="A399" s="235"/>
      <c r="B399" s="238"/>
      <c r="C399" s="155" t="s">
        <v>26839</v>
      </c>
      <c r="D399" s="155" t="s">
        <v>385</v>
      </c>
      <c r="E399" s="156">
        <v>2.0005999999999999</v>
      </c>
      <c r="F399" s="31">
        <v>12.938999999999998</v>
      </c>
      <c r="G399" s="28">
        <f>IF(ISNUMBER(F399),E399*F399,"")</f>
        <v>25.885763399999995</v>
      </c>
      <c r="H399" s="32"/>
      <c r="I399" s="28"/>
      <c r="J399" s="125">
        <v>0</v>
      </c>
    </row>
    <row r="400" spans="1:10" ht="26.25" hidden="1" thickBot="1" x14ac:dyDescent="0.3">
      <c r="A400" s="235"/>
      <c r="B400" s="238"/>
      <c r="C400" s="155" t="s">
        <v>25508</v>
      </c>
      <c r="D400" s="155" t="s">
        <v>385</v>
      </c>
      <c r="E400" s="156">
        <v>2.5026999999999999</v>
      </c>
      <c r="F400" s="31">
        <v>0.50349999999999995</v>
      </c>
      <c r="G400" s="28">
        <f>IF(ISNUMBER(F400),E400*F400,"")</f>
        <v>1.2601094499999999</v>
      </c>
      <c r="H400" s="32"/>
      <c r="I400" s="28"/>
      <c r="J400" s="125">
        <v>0</v>
      </c>
    </row>
    <row r="401" spans="1:10" ht="26.25" hidden="1" thickBot="1" x14ac:dyDescent="0.3">
      <c r="A401" s="235"/>
      <c r="B401" s="238"/>
      <c r="C401" s="155" t="s">
        <v>25509</v>
      </c>
      <c r="D401" s="155" t="s">
        <v>385</v>
      </c>
      <c r="E401" s="156">
        <v>0.74070000000000003</v>
      </c>
      <c r="F401" s="31">
        <v>4.484</v>
      </c>
      <c r="G401" s="28">
        <f>IF(ISNUMBER(F401),E401*F401,"")</f>
        <v>3.3212988000000001</v>
      </c>
      <c r="H401" s="32"/>
      <c r="I401" s="28"/>
      <c r="J401" s="125">
        <v>0</v>
      </c>
    </row>
    <row r="402" spans="1:10" ht="39" hidden="1" thickBot="1" x14ac:dyDescent="0.3">
      <c r="A402" s="235"/>
      <c r="B402" s="238"/>
      <c r="C402" s="155" t="s">
        <v>11617</v>
      </c>
      <c r="D402" s="155" t="s">
        <v>774</v>
      </c>
      <c r="E402" s="156">
        <v>1.0978000000000001</v>
      </c>
      <c r="F402" s="31">
        <v>5.6050000000000004</v>
      </c>
      <c r="G402" s="28">
        <f>IF(ISNUMBER(F402),E402*F402,"")</f>
        <v>6.153169000000001</v>
      </c>
      <c r="H402" s="32"/>
      <c r="I402" s="28"/>
      <c r="J402" s="125">
        <v>0</v>
      </c>
    </row>
    <row r="403" spans="1:10" ht="26.25" hidden="1" thickBot="1" x14ac:dyDescent="0.3">
      <c r="A403" s="235"/>
      <c r="B403" s="238"/>
      <c r="C403" s="155" t="s">
        <v>26711</v>
      </c>
      <c r="D403" s="155" t="s">
        <v>205</v>
      </c>
      <c r="E403" s="156">
        <v>20.186800000000002</v>
      </c>
      <c r="F403" s="31">
        <v>0.11399999999999999</v>
      </c>
      <c r="G403" s="28">
        <f>IF(ISNUMBER(F403),E403*F403,"")</f>
        <v>2.3012952000000002</v>
      </c>
      <c r="H403" s="32"/>
      <c r="I403" s="28"/>
      <c r="J403" s="125">
        <v>0</v>
      </c>
    </row>
    <row r="404" spans="1:10" ht="26.25" hidden="1" thickBot="1" x14ac:dyDescent="0.3">
      <c r="A404" s="235"/>
      <c r="B404" s="238"/>
      <c r="C404" s="155" t="s">
        <v>26718</v>
      </c>
      <c r="D404" s="155" t="s">
        <v>205</v>
      </c>
      <c r="E404" s="156">
        <v>0.4803</v>
      </c>
      <c r="F404" s="31">
        <v>0.26600000000000001</v>
      </c>
      <c r="G404" s="28">
        <f>IF(ISNUMBER(F404),E404*F404,"")</f>
        <v>0.12775980000000001</v>
      </c>
      <c r="H404" s="32"/>
      <c r="I404" s="28"/>
      <c r="J404" s="125">
        <v>0</v>
      </c>
    </row>
    <row r="405" spans="1:10" ht="26.25" hidden="1" thickBot="1" x14ac:dyDescent="0.3">
      <c r="A405" s="235"/>
      <c r="B405" s="238"/>
      <c r="C405" s="155" t="s">
        <v>863</v>
      </c>
      <c r="D405" s="155" t="s">
        <v>587</v>
      </c>
      <c r="E405" s="156">
        <v>0.52200000000000002</v>
      </c>
      <c r="F405" s="28">
        <v>21.593499999999999</v>
      </c>
      <c r="G405" s="28">
        <f>IF(ISNUMBER(F405),E405*F405,"")</f>
        <v>11.271806999999999</v>
      </c>
      <c r="H405" s="32"/>
      <c r="I405" s="28"/>
      <c r="J405" s="125">
        <v>0</v>
      </c>
    </row>
    <row r="406" spans="1:10" ht="15.75" hidden="1" thickBot="1" x14ac:dyDescent="0.3">
      <c r="A406" s="235"/>
      <c r="B406" s="238"/>
      <c r="C406" s="155" t="s">
        <v>588</v>
      </c>
      <c r="D406" s="155" t="s">
        <v>587</v>
      </c>
      <c r="E406" s="156">
        <v>0.17100000000000001</v>
      </c>
      <c r="F406" s="28">
        <v>19.189999999999998</v>
      </c>
      <c r="G406" s="28">
        <f>IF(ISNUMBER(F406),E406*F406,"")</f>
        <v>3.2814899999999998</v>
      </c>
      <c r="H406" s="32"/>
      <c r="I406" s="28"/>
      <c r="J406" s="125">
        <v>0</v>
      </c>
    </row>
    <row r="407" spans="1:10" ht="15.75" hidden="1" thickBot="1" x14ac:dyDescent="0.3">
      <c r="A407" s="236"/>
      <c r="B407" s="239"/>
      <c r="C407" s="155"/>
      <c r="D407" s="33"/>
      <c r="E407" s="34"/>
      <c r="F407" s="28" t="s">
        <v>418</v>
      </c>
      <c r="G407" s="28" t="str">
        <f>IF(ISNUMBER(F407),E407*F407,"")</f>
        <v/>
      </c>
      <c r="H407" s="32"/>
      <c r="I407" s="28"/>
      <c r="J407" s="125">
        <v>0</v>
      </c>
    </row>
    <row r="408" spans="1:10" ht="15.75" hidden="1" thickBot="1" x14ac:dyDescent="0.3">
      <c r="A408" s="234" t="s">
        <v>106</v>
      </c>
      <c r="B408" s="237" t="s">
        <v>1367</v>
      </c>
      <c r="C408" s="160"/>
      <c r="D408" s="23" t="s">
        <v>70</v>
      </c>
      <c r="E408" s="24"/>
      <c r="F408" s="37" t="s">
        <v>418</v>
      </c>
      <c r="G408" s="25" t="str">
        <f>IF(ISNUMBER(F408),E408*F408,"")</f>
        <v/>
      </c>
      <c r="H408" s="26"/>
      <c r="I408" s="27"/>
      <c r="J408" s="125">
        <v>0</v>
      </c>
    </row>
    <row r="409" spans="1:10" ht="15.75" hidden="1" thickBot="1" x14ac:dyDescent="0.3">
      <c r="A409" s="235"/>
      <c r="B409" s="238"/>
      <c r="C409" s="151"/>
      <c r="D409" s="29"/>
      <c r="E409" s="30"/>
      <c r="F409" s="38" t="s">
        <v>418</v>
      </c>
      <c r="G409" s="28" t="str">
        <f>IF(ISNUMBER(F409),E409*F409,"")</f>
        <v/>
      </c>
      <c r="H409" s="32"/>
      <c r="I409" s="28"/>
      <c r="J409" s="125">
        <v>0</v>
      </c>
    </row>
    <row r="410" spans="1:10" ht="26.25" hidden="1" thickBot="1" x14ac:dyDescent="0.3">
      <c r="A410" s="235"/>
      <c r="B410" s="238"/>
      <c r="C410" s="155" t="s">
        <v>25508</v>
      </c>
      <c r="D410" s="155" t="s">
        <v>385</v>
      </c>
      <c r="E410" s="156">
        <v>1.2513000000000001</v>
      </c>
      <c r="F410" s="31">
        <v>0.50349999999999995</v>
      </c>
      <c r="G410" s="28">
        <f>IF(ISNUMBER(F410),E410*F410,"")</f>
        <v>0.63002954999999994</v>
      </c>
      <c r="H410" s="35">
        <f>SUM(G410:G413)</f>
        <v>7.6871647166666666</v>
      </c>
      <c r="I410" s="36"/>
      <c r="J410" s="125">
        <v>0</v>
      </c>
    </row>
    <row r="411" spans="1:10" ht="39" hidden="1" thickBot="1" x14ac:dyDescent="0.3">
      <c r="A411" s="235"/>
      <c r="B411" s="238"/>
      <c r="C411" s="155" t="s">
        <v>11617</v>
      </c>
      <c r="D411" s="155" t="s">
        <v>774</v>
      </c>
      <c r="E411" s="156">
        <v>0.54890000000000005</v>
      </c>
      <c r="F411" s="31">
        <v>5.6050000000000004</v>
      </c>
      <c r="G411" s="28">
        <f>IF(ISNUMBER(F411),E411*F411,"")</f>
        <v>3.0765845000000005</v>
      </c>
      <c r="H411" s="40"/>
      <c r="I411" s="41"/>
      <c r="J411" s="125">
        <v>0</v>
      </c>
    </row>
    <row r="412" spans="1:10" ht="26.25" hidden="1" thickBot="1" x14ac:dyDescent="0.3">
      <c r="A412" s="235"/>
      <c r="B412" s="238"/>
      <c r="C412" s="155" t="s">
        <v>863</v>
      </c>
      <c r="D412" s="155" t="s">
        <v>587</v>
      </c>
      <c r="E412" s="156">
        <f>0.344/3</f>
        <v>0.11466666666666665</v>
      </c>
      <c r="F412" s="28">
        <v>21.593499999999999</v>
      </c>
      <c r="G412" s="28">
        <f>IF(ISNUMBER(F412),E412*F412,"")</f>
        <v>2.4760546666666663</v>
      </c>
      <c r="H412" s="40"/>
      <c r="I412" s="41"/>
      <c r="J412" s="125">
        <v>0</v>
      </c>
    </row>
    <row r="413" spans="1:10" ht="15.75" hidden="1" thickBot="1" x14ac:dyDescent="0.3">
      <c r="A413" s="235"/>
      <c r="B413" s="238"/>
      <c r="C413" s="155" t="s">
        <v>588</v>
      </c>
      <c r="D413" s="155" t="s">
        <v>587</v>
      </c>
      <c r="E413" s="156">
        <f>ROUND(0.112*0.7,4)</f>
        <v>7.8399999999999997E-2</v>
      </c>
      <c r="F413" s="28">
        <v>19.189999999999998</v>
      </c>
      <c r="G413" s="28">
        <f>IF(ISNUMBER(F413),E413*F413,"")</f>
        <v>1.5044959999999998</v>
      </c>
      <c r="H413" s="40"/>
      <c r="I413" s="41"/>
      <c r="J413" s="125">
        <v>0</v>
      </c>
    </row>
    <row r="414" spans="1:10" ht="15.75" hidden="1" thickBot="1" x14ac:dyDescent="0.3">
      <c r="A414" s="235"/>
      <c r="B414" s="238"/>
      <c r="C414" s="155"/>
      <c r="D414" s="42"/>
      <c r="E414" s="34"/>
      <c r="F414" s="31" t="s">
        <v>418</v>
      </c>
      <c r="G414" s="31" t="str">
        <f>IF(ISNUMBER(F414),E414*F414,"")</f>
        <v/>
      </c>
      <c r="H414" s="40"/>
      <c r="I414" s="41"/>
      <c r="J414" s="125">
        <v>0</v>
      </c>
    </row>
    <row r="415" spans="1:10" ht="15.75" hidden="1" thickBot="1" x14ac:dyDescent="0.3">
      <c r="A415" s="234" t="s">
        <v>107</v>
      </c>
      <c r="B415" s="237" t="s">
        <v>1368</v>
      </c>
      <c r="C415" s="160"/>
      <c r="D415" s="23" t="s">
        <v>70</v>
      </c>
      <c r="E415" s="24"/>
      <c r="F415" s="37" t="s">
        <v>418</v>
      </c>
      <c r="G415" s="25" t="str">
        <f>IF(ISNUMBER(F415),E415*F415,"")</f>
        <v/>
      </c>
      <c r="H415" s="26"/>
      <c r="I415" s="27"/>
      <c r="J415" s="125">
        <v>0</v>
      </c>
    </row>
    <row r="416" spans="1:10" ht="15.75" hidden="1" thickBot="1" x14ac:dyDescent="0.3">
      <c r="A416" s="235"/>
      <c r="B416" s="238"/>
      <c r="C416" s="151"/>
      <c r="D416" s="29"/>
      <c r="E416" s="30"/>
      <c r="F416" s="38" t="s">
        <v>418</v>
      </c>
      <c r="G416" s="28" t="str">
        <f>IF(ISNUMBER(F416),E416*F416,"")</f>
        <v/>
      </c>
      <c r="H416" s="32"/>
      <c r="I416" s="28"/>
      <c r="J416" s="125">
        <v>0</v>
      </c>
    </row>
    <row r="417" spans="1:10" ht="26.25" hidden="1" thickBot="1" x14ac:dyDescent="0.3">
      <c r="A417" s="235"/>
      <c r="B417" s="238"/>
      <c r="C417" s="155" t="s">
        <v>27698</v>
      </c>
      <c r="D417" s="155" t="s">
        <v>385</v>
      </c>
      <c r="E417" s="34">
        <v>0.42</v>
      </c>
      <c r="F417" s="31">
        <v>2.0044999999999997</v>
      </c>
      <c r="G417" s="31">
        <f>IF(ISNUMBER(F417),E417*F417,"")</f>
        <v>0.84188999999999981</v>
      </c>
      <c r="H417" s="35">
        <f>SUM(G417:G425)</f>
        <v>87.161888912268196</v>
      </c>
      <c r="I417" s="36"/>
      <c r="J417" s="125">
        <v>0</v>
      </c>
    </row>
    <row r="418" spans="1:10" ht="15.75" hidden="1" thickBot="1" x14ac:dyDescent="0.3">
      <c r="A418" s="235"/>
      <c r="B418" s="238"/>
      <c r="C418" s="155" t="s">
        <v>26867</v>
      </c>
      <c r="D418" s="155" t="s">
        <v>1113</v>
      </c>
      <c r="E418" s="34">
        <v>5.0000000000000001E-3</v>
      </c>
      <c r="F418" s="31">
        <v>36.802999999999997</v>
      </c>
      <c r="G418" s="31">
        <f>IF(ISNUMBER(F418),E418*F418,"")</f>
        <v>0.18401499999999998</v>
      </c>
      <c r="H418" s="32"/>
      <c r="I418" s="28"/>
      <c r="J418" s="125">
        <v>0</v>
      </c>
    </row>
    <row r="419" spans="1:10" ht="26.25" hidden="1" thickBot="1" x14ac:dyDescent="0.3">
      <c r="A419" s="235"/>
      <c r="B419" s="238"/>
      <c r="C419" s="155" t="s">
        <v>23844</v>
      </c>
      <c r="D419" s="155" t="s">
        <v>205</v>
      </c>
      <c r="E419" s="34">
        <v>13.6</v>
      </c>
      <c r="F419" s="31">
        <v>1.843</v>
      </c>
      <c r="G419" s="31">
        <f>IF(ISNUMBER(F419),E419*F419,"")</f>
        <v>25.064799999999998</v>
      </c>
      <c r="H419" s="32"/>
      <c r="I419" s="28"/>
      <c r="J419" s="125">
        <v>0</v>
      </c>
    </row>
    <row r="420" spans="1:10" ht="51.75" hidden="1" thickBot="1" x14ac:dyDescent="0.3">
      <c r="A420" s="235"/>
      <c r="B420" s="238"/>
      <c r="C420" s="155" t="s">
        <v>101</v>
      </c>
      <c r="D420" s="155" t="s">
        <v>85</v>
      </c>
      <c r="E420" s="34">
        <v>1.04E-2</v>
      </c>
      <c r="F420" s="31">
        <v>797.25248934599983</v>
      </c>
      <c r="G420" s="31">
        <f>IF(ISNUMBER(F420),E420*F420,"")</f>
        <v>8.2914258891983987</v>
      </c>
      <c r="H420" s="32"/>
      <c r="I420" s="28"/>
      <c r="J420" s="125">
        <v>0</v>
      </c>
    </row>
    <row r="421" spans="1:10" ht="15.75" hidden="1" thickBot="1" x14ac:dyDescent="0.3">
      <c r="A421" s="235"/>
      <c r="B421" s="238"/>
      <c r="C421" s="155" t="s">
        <v>595</v>
      </c>
      <c r="D421" s="155" t="s">
        <v>587</v>
      </c>
      <c r="E421" s="34">
        <v>0.59</v>
      </c>
      <c r="F421" s="28">
        <v>25.65</v>
      </c>
      <c r="G421" s="31">
        <f>IF(ISNUMBER(F421),E421*F421,"")</f>
        <v>15.133499999999998</v>
      </c>
      <c r="H421" s="32"/>
      <c r="I421" s="28"/>
      <c r="J421" s="125">
        <v>0</v>
      </c>
    </row>
    <row r="422" spans="1:10" ht="15.75" hidden="1" thickBot="1" x14ac:dyDescent="0.3">
      <c r="A422" s="235"/>
      <c r="B422" s="238"/>
      <c r="C422" s="155" t="s">
        <v>588</v>
      </c>
      <c r="D422" s="155" t="s">
        <v>587</v>
      </c>
      <c r="E422" s="34">
        <v>0.29499999999999998</v>
      </c>
      <c r="F422" s="28">
        <v>19.189999999999998</v>
      </c>
      <c r="G422" s="31">
        <f>IF(ISNUMBER(F422),E422*F422,"")</f>
        <v>5.6610499999999995</v>
      </c>
      <c r="H422" s="32"/>
      <c r="I422" s="28"/>
      <c r="J422" s="125">
        <v>0</v>
      </c>
    </row>
    <row r="423" spans="1:10" ht="51.75" hidden="1" thickBot="1" x14ac:dyDescent="0.3">
      <c r="A423" s="235"/>
      <c r="B423" s="238"/>
      <c r="C423" s="155" t="s">
        <v>101</v>
      </c>
      <c r="D423" s="155" t="s">
        <v>85</v>
      </c>
      <c r="E423" s="34">
        <v>2.1299999999999999E-2</v>
      </c>
      <c r="F423" s="31">
        <v>797.25248934599983</v>
      </c>
      <c r="G423" s="31">
        <f>IF(ISNUMBER(F423),E423*F423,"")</f>
        <v>16.981478023069798</v>
      </c>
      <c r="H423" s="32"/>
      <c r="I423" s="28"/>
      <c r="J423" s="125">
        <v>0</v>
      </c>
    </row>
    <row r="424" spans="1:10" ht="15.75" hidden="1" thickBot="1" x14ac:dyDescent="0.3">
      <c r="A424" s="235"/>
      <c r="B424" s="238"/>
      <c r="C424" s="155" t="s">
        <v>595</v>
      </c>
      <c r="D424" s="155" t="s">
        <v>587</v>
      </c>
      <c r="E424" s="34">
        <v>0.46</v>
      </c>
      <c r="F424" s="28">
        <v>25.65</v>
      </c>
      <c r="G424" s="31">
        <f>IF(ISNUMBER(F424),E424*F424,"")</f>
        <v>11.798999999999999</v>
      </c>
      <c r="H424" s="32"/>
      <c r="I424" s="28"/>
      <c r="J424" s="125">
        <v>0</v>
      </c>
    </row>
    <row r="425" spans="1:10" ht="15.75" hidden="1" thickBot="1" x14ac:dyDescent="0.3">
      <c r="A425" s="235"/>
      <c r="B425" s="238"/>
      <c r="C425" s="155" t="s">
        <v>588</v>
      </c>
      <c r="D425" s="155" t="s">
        <v>587</v>
      </c>
      <c r="E425" s="34">
        <v>0.16700000000000001</v>
      </c>
      <c r="F425" s="28">
        <v>19.189999999999998</v>
      </c>
      <c r="G425" s="31">
        <f>IF(ISNUMBER(F425),E425*F425,"")</f>
        <v>3.2047299999999996</v>
      </c>
      <c r="H425" s="32"/>
      <c r="I425" s="28"/>
      <c r="J425" s="125">
        <v>0</v>
      </c>
    </row>
    <row r="426" spans="1:10" ht="15.75" hidden="1" thickBot="1" x14ac:dyDescent="0.3">
      <c r="A426" s="236"/>
      <c r="B426" s="239"/>
      <c r="C426" s="155"/>
      <c r="D426" s="33"/>
      <c r="E426" s="34"/>
      <c r="F426" s="28" t="s">
        <v>418</v>
      </c>
      <c r="G426" s="28" t="str">
        <f>IF(ISNUMBER(F426),E426*F426,"")</f>
        <v/>
      </c>
      <c r="H426" s="32"/>
      <c r="I426" s="28"/>
      <c r="J426" s="125">
        <v>0</v>
      </c>
    </row>
    <row r="427" spans="1:10" ht="15.75" hidden="1" thickBot="1" x14ac:dyDescent="0.3">
      <c r="A427" s="234" t="s">
        <v>108</v>
      </c>
      <c r="B427" s="237" t="s">
        <v>1369</v>
      </c>
      <c r="C427" s="160"/>
      <c r="D427" s="23" t="s">
        <v>70</v>
      </c>
      <c r="E427" s="24"/>
      <c r="F427" s="37" t="s">
        <v>418</v>
      </c>
      <c r="G427" s="25" t="str">
        <f>IF(ISNUMBER(F427),E427*F427,"")</f>
        <v/>
      </c>
      <c r="H427" s="26"/>
      <c r="I427" s="27"/>
      <c r="J427" s="125">
        <v>0</v>
      </c>
    </row>
    <row r="428" spans="1:10" ht="15.75" hidden="1" thickBot="1" x14ac:dyDescent="0.3">
      <c r="A428" s="235"/>
      <c r="B428" s="238"/>
      <c r="C428" s="151"/>
      <c r="D428" s="29"/>
      <c r="E428" s="30"/>
      <c r="F428" s="38" t="s">
        <v>418</v>
      </c>
      <c r="G428" s="28" t="str">
        <f>IF(ISNUMBER(F428),E428*F428,"")</f>
        <v/>
      </c>
      <c r="H428" s="32"/>
      <c r="I428" s="28"/>
      <c r="J428" s="125">
        <v>0</v>
      </c>
    </row>
    <row r="429" spans="1:10" ht="39" hidden="1" thickBot="1" x14ac:dyDescent="0.3">
      <c r="A429" s="235"/>
      <c r="B429" s="238"/>
      <c r="C429" s="155" t="s">
        <v>109</v>
      </c>
      <c r="D429" s="155" t="s">
        <v>85</v>
      </c>
      <c r="E429" s="34">
        <v>3.3999999999999998E-3</v>
      </c>
      <c r="F429" s="31">
        <v>4650.8408050000007</v>
      </c>
      <c r="G429" s="31">
        <f>IF(ISNUMBER(F429),E429*F429,"")</f>
        <v>15.812858737000001</v>
      </c>
      <c r="H429" s="35">
        <f>SUM(G429:G431)</f>
        <v>20.067167737000002</v>
      </c>
      <c r="I429" s="36"/>
      <c r="J429" s="125">
        <v>0</v>
      </c>
    </row>
    <row r="430" spans="1:10" ht="15.75" hidden="1" thickBot="1" x14ac:dyDescent="0.3">
      <c r="A430" s="235"/>
      <c r="B430" s="238"/>
      <c r="C430" s="155" t="s">
        <v>595</v>
      </c>
      <c r="D430" s="155" t="s">
        <v>587</v>
      </c>
      <c r="E430" s="34">
        <v>0.1295</v>
      </c>
      <c r="F430" s="28">
        <v>25.65</v>
      </c>
      <c r="G430" s="31">
        <f>IF(ISNUMBER(F430),E430*F430,"")</f>
        <v>3.3216749999999999</v>
      </c>
      <c r="H430" s="32"/>
      <c r="I430" s="28"/>
      <c r="J430" s="125">
        <v>0</v>
      </c>
    </row>
    <row r="431" spans="1:10" ht="15.75" hidden="1" thickBot="1" x14ac:dyDescent="0.3">
      <c r="A431" s="235"/>
      <c r="B431" s="238"/>
      <c r="C431" s="155" t="s">
        <v>588</v>
      </c>
      <c r="D431" s="155" t="s">
        <v>587</v>
      </c>
      <c r="E431" s="34">
        <v>4.8599999999999997E-2</v>
      </c>
      <c r="F431" s="28">
        <v>19.189999999999998</v>
      </c>
      <c r="G431" s="31">
        <f>IF(ISNUMBER(F431),E431*F431,"")</f>
        <v>0.93263399999999985</v>
      </c>
      <c r="H431" s="32"/>
      <c r="I431" s="28"/>
      <c r="J431" s="125">
        <v>0</v>
      </c>
    </row>
    <row r="432" spans="1:10" ht="15.75" hidden="1" thickBot="1" x14ac:dyDescent="0.3">
      <c r="A432" s="236"/>
      <c r="B432" s="239"/>
      <c r="C432" s="155"/>
      <c r="D432" s="33"/>
      <c r="E432" s="34"/>
      <c r="F432" s="28" t="s">
        <v>418</v>
      </c>
      <c r="G432" s="28" t="str">
        <f>IF(ISNUMBER(F432),E432*F432,"")</f>
        <v/>
      </c>
      <c r="H432" s="32"/>
      <c r="I432" s="28"/>
      <c r="J432" s="125">
        <v>0</v>
      </c>
    </row>
    <row r="433" spans="1:10" ht="15.75" hidden="1" thickBot="1" x14ac:dyDescent="0.3">
      <c r="A433" s="234" t="s">
        <v>110</v>
      </c>
      <c r="B433" s="237" t="s">
        <v>1370</v>
      </c>
      <c r="C433" s="160"/>
      <c r="D433" s="23" t="s">
        <v>70</v>
      </c>
      <c r="E433" s="24"/>
      <c r="F433" s="37" t="s">
        <v>418</v>
      </c>
      <c r="G433" s="25" t="str">
        <f>IF(ISNUMBER(F433),E433*F433,"")</f>
        <v/>
      </c>
      <c r="H433" s="26"/>
      <c r="I433" s="27"/>
      <c r="J433" s="125">
        <v>0</v>
      </c>
    </row>
    <row r="434" spans="1:10" ht="15.75" hidden="1" thickBot="1" x14ac:dyDescent="0.3">
      <c r="A434" s="235"/>
      <c r="B434" s="238"/>
      <c r="C434" s="151"/>
      <c r="D434" s="29"/>
      <c r="E434" s="30"/>
      <c r="F434" s="38" t="s">
        <v>418</v>
      </c>
      <c r="G434" s="28" t="str">
        <f>IF(ISNUMBER(F434),E434*F434,"")</f>
        <v/>
      </c>
      <c r="H434" s="32"/>
      <c r="I434" s="28"/>
      <c r="J434" s="125">
        <v>0</v>
      </c>
    </row>
    <row r="435" spans="1:10" ht="39" hidden="1" thickBot="1" x14ac:dyDescent="0.3">
      <c r="A435" s="235"/>
      <c r="B435" s="238"/>
      <c r="C435" s="155" t="s">
        <v>111</v>
      </c>
      <c r="D435" s="155" t="s">
        <v>85</v>
      </c>
      <c r="E435" s="34">
        <v>3.7000000000000002E-3</v>
      </c>
      <c r="F435" s="31">
        <v>868.17702403900012</v>
      </c>
      <c r="G435" s="31">
        <f>IF(ISNUMBER(F435),E435*F435,"")</f>
        <v>3.2122549889443004</v>
      </c>
      <c r="H435" s="35">
        <f>SUM(G435:G437)</f>
        <v>5.4483649889443004</v>
      </c>
      <c r="I435" s="36"/>
      <c r="J435" s="125">
        <v>0</v>
      </c>
    </row>
    <row r="436" spans="1:10" ht="15.75" hidden="1" thickBot="1" x14ac:dyDescent="0.3">
      <c r="A436" s="235"/>
      <c r="B436" s="238"/>
      <c r="C436" s="155" t="s">
        <v>595</v>
      </c>
      <c r="D436" s="155" t="s">
        <v>587</v>
      </c>
      <c r="E436" s="34">
        <v>6.8099999999999994E-2</v>
      </c>
      <c r="F436" s="28">
        <v>25.65</v>
      </c>
      <c r="G436" s="28">
        <f>IF(ISNUMBER(F436),E436*F436,"")</f>
        <v>1.7467649999999997</v>
      </c>
      <c r="H436" s="32"/>
      <c r="I436" s="28"/>
      <c r="J436" s="125">
        <v>0</v>
      </c>
    </row>
    <row r="437" spans="1:10" ht="15.75" hidden="1" thickBot="1" x14ac:dyDescent="0.3">
      <c r="A437" s="235"/>
      <c r="B437" s="238"/>
      <c r="C437" s="155" t="s">
        <v>588</v>
      </c>
      <c r="D437" s="155" t="s">
        <v>587</v>
      </c>
      <c r="E437" s="34">
        <v>2.5499999999999998E-2</v>
      </c>
      <c r="F437" s="28">
        <v>19.189999999999998</v>
      </c>
      <c r="G437" s="28">
        <f>IF(ISNUMBER(F437),E437*F437,"")</f>
        <v>0.48934499999999992</v>
      </c>
      <c r="H437" s="32"/>
      <c r="I437" s="28"/>
      <c r="J437" s="125">
        <v>0</v>
      </c>
    </row>
    <row r="438" spans="1:10" ht="15.75" hidden="1" thickBot="1" x14ac:dyDescent="0.3">
      <c r="A438" s="236"/>
      <c r="B438" s="239"/>
      <c r="C438" s="155"/>
      <c r="D438" s="33"/>
      <c r="E438" s="34"/>
      <c r="F438" s="28" t="s">
        <v>418</v>
      </c>
      <c r="G438" s="28" t="str">
        <f>IF(ISNUMBER(F438),E438*F438,"")</f>
        <v/>
      </c>
      <c r="H438" s="32"/>
      <c r="I438" s="28"/>
      <c r="J438" s="125">
        <v>0</v>
      </c>
    </row>
    <row r="439" spans="1:10" ht="15.75" hidden="1" thickBot="1" x14ac:dyDescent="0.3">
      <c r="A439" s="234" t="s">
        <v>112</v>
      </c>
      <c r="B439" s="237" t="s">
        <v>20914</v>
      </c>
      <c r="C439" s="160"/>
      <c r="D439" s="23" t="s">
        <v>70</v>
      </c>
      <c r="E439" s="24"/>
      <c r="F439" s="37" t="s">
        <v>418</v>
      </c>
      <c r="G439" s="25" t="str">
        <f>IF(ISNUMBER(F439),E439*F439,"")</f>
        <v/>
      </c>
      <c r="H439" s="26"/>
      <c r="I439" s="27"/>
      <c r="J439" s="125">
        <v>0</v>
      </c>
    </row>
    <row r="440" spans="1:10" ht="15.75" hidden="1" thickBot="1" x14ac:dyDescent="0.3">
      <c r="A440" s="249"/>
      <c r="B440" s="238"/>
      <c r="C440" s="151"/>
      <c r="D440" s="29"/>
      <c r="E440" s="30"/>
      <c r="F440" s="38" t="s">
        <v>418</v>
      </c>
      <c r="G440" s="28" t="str">
        <f>IF(ISNUMBER(F440),E440*F440,"")</f>
        <v/>
      </c>
      <c r="H440" s="32"/>
      <c r="I440" s="28"/>
      <c r="J440" s="125">
        <v>0</v>
      </c>
    </row>
    <row r="441" spans="1:10" ht="15.75" hidden="1" thickBot="1" x14ac:dyDescent="0.3">
      <c r="A441" s="249"/>
      <c r="B441" s="238"/>
      <c r="C441" s="155" t="s">
        <v>1114</v>
      </c>
      <c r="D441" s="155" t="s">
        <v>587</v>
      </c>
      <c r="E441" s="34">
        <v>0.32979000000000003</v>
      </c>
      <c r="F441" s="28">
        <v>24.9375</v>
      </c>
      <c r="G441" s="28">
        <f>IF(ISNUMBER(F441),E441*F441,"")</f>
        <v>8.2241381250000014</v>
      </c>
      <c r="H441" s="35">
        <f>SUM(G441:G443)</f>
        <v>10.228149825000001</v>
      </c>
      <c r="I441" s="36"/>
      <c r="J441" s="125">
        <v>0</v>
      </c>
    </row>
    <row r="442" spans="1:10" ht="15.75" hidden="1" thickBot="1" x14ac:dyDescent="0.3">
      <c r="A442" s="249"/>
      <c r="B442" s="238"/>
      <c r="C442" s="155" t="s">
        <v>588</v>
      </c>
      <c r="D442" s="155" t="s">
        <v>587</v>
      </c>
      <c r="E442" s="34">
        <v>0.10443</v>
      </c>
      <c r="F442" s="28">
        <v>19.189999999999998</v>
      </c>
      <c r="G442" s="28">
        <f>IF(ISNUMBER(F442),E442*F442,"")</f>
        <v>2.0040116999999995</v>
      </c>
      <c r="H442" s="32"/>
      <c r="I442" s="28"/>
      <c r="J442" s="125">
        <v>0</v>
      </c>
    </row>
    <row r="443" spans="1:10" ht="15.75" hidden="1" thickBot="1" x14ac:dyDescent="0.3">
      <c r="A443" s="249"/>
      <c r="B443" s="238"/>
      <c r="C443" s="155" t="s">
        <v>113</v>
      </c>
      <c r="D443" s="33" t="s">
        <v>28</v>
      </c>
      <c r="E443" s="34">
        <f>0.75</f>
        <v>0.75</v>
      </c>
      <c r="F443" s="28" t="s">
        <v>418</v>
      </c>
      <c r="G443" s="28" t="str">
        <f>IF(ISNUMBER(F443),E443*F443,"")</f>
        <v/>
      </c>
      <c r="H443" s="32"/>
      <c r="I443" s="28"/>
      <c r="J443" s="125">
        <v>0</v>
      </c>
    </row>
    <row r="444" spans="1:10" ht="15.75" hidden="1" thickBot="1" x14ac:dyDescent="0.3">
      <c r="A444" s="249"/>
      <c r="B444" s="238"/>
      <c r="C444" s="155"/>
      <c r="D444" s="33"/>
      <c r="E444" s="34"/>
      <c r="F444" s="28" t="s">
        <v>418</v>
      </c>
      <c r="G444" s="28" t="str">
        <f>IF(ISNUMBER(F444),E444*F444,"")</f>
        <v/>
      </c>
      <c r="H444" s="32"/>
      <c r="I444" s="28"/>
      <c r="J444" s="125">
        <v>0</v>
      </c>
    </row>
    <row r="445" spans="1:10" ht="26.25" hidden="1" thickBot="1" x14ac:dyDescent="0.3">
      <c r="A445" s="249"/>
      <c r="B445" s="238"/>
      <c r="C445" s="47" t="s">
        <v>20903</v>
      </c>
      <c r="D445" s="47"/>
      <c r="E445" s="48"/>
      <c r="F445" s="31" t="s">
        <v>418</v>
      </c>
      <c r="G445" s="28" t="str">
        <f>IF(ISNUMBER(F445),E445*F445,"")</f>
        <v/>
      </c>
      <c r="H445" s="32"/>
      <c r="I445" s="28"/>
      <c r="J445" s="125">
        <v>0</v>
      </c>
    </row>
    <row r="446" spans="1:10" ht="15.75" hidden="1" thickBot="1" x14ac:dyDescent="0.3">
      <c r="A446" s="250"/>
      <c r="B446" s="239"/>
      <c r="C446" s="155"/>
      <c r="D446" s="33"/>
      <c r="E446" s="34"/>
      <c r="F446" s="28" t="s">
        <v>418</v>
      </c>
      <c r="G446" s="28" t="str">
        <f>IF(ISNUMBER(F446),E446*F446,"")</f>
        <v/>
      </c>
      <c r="H446" s="32"/>
      <c r="I446" s="28"/>
      <c r="J446" s="125">
        <v>0</v>
      </c>
    </row>
    <row r="447" spans="1:10" ht="15.75" hidden="1" thickBot="1" x14ac:dyDescent="0.3">
      <c r="A447" s="234" t="s">
        <v>114</v>
      </c>
      <c r="B447" s="237" t="s">
        <v>19675</v>
      </c>
      <c r="C447" s="160"/>
      <c r="D447" s="23" t="s">
        <v>70</v>
      </c>
      <c r="E447" s="24"/>
      <c r="F447" s="37" t="s">
        <v>418</v>
      </c>
      <c r="G447" s="25" t="str">
        <f>IF(ISNUMBER(F447),E447*F447,"")</f>
        <v/>
      </c>
      <c r="H447" s="26"/>
      <c r="I447" s="27"/>
      <c r="J447" s="125">
        <v>0</v>
      </c>
    </row>
    <row r="448" spans="1:10" ht="15.75" hidden="1" thickBot="1" x14ac:dyDescent="0.3">
      <c r="A448" s="235"/>
      <c r="B448" s="238"/>
      <c r="C448" s="151"/>
      <c r="D448" s="29"/>
      <c r="E448" s="30"/>
      <c r="F448" s="38" t="s">
        <v>418</v>
      </c>
      <c r="G448" s="28" t="str">
        <f>IF(ISNUMBER(F448),E448*F448,"")</f>
        <v/>
      </c>
      <c r="H448" s="32"/>
      <c r="I448" s="28"/>
      <c r="J448" s="125">
        <v>0</v>
      </c>
    </row>
    <row r="449" spans="1:10" ht="26.25" hidden="1" thickBot="1" x14ac:dyDescent="0.3">
      <c r="A449" s="235"/>
      <c r="B449" s="238"/>
      <c r="C449" s="155" t="s">
        <v>23680</v>
      </c>
      <c r="D449" s="155" t="s">
        <v>774</v>
      </c>
      <c r="E449" s="34">
        <f>1890*0.02</f>
        <v>37.800000000000004</v>
      </c>
      <c r="F449" s="31">
        <v>1.2255</v>
      </c>
      <c r="G449" s="28">
        <f>IF(ISNUMBER(F449),E449*F449,"")</f>
        <v>46.323900000000009</v>
      </c>
      <c r="H449" s="35">
        <f>SUM(G449:G452)</f>
        <v>65.217462000000012</v>
      </c>
      <c r="I449" s="36"/>
      <c r="J449" s="125">
        <v>0</v>
      </c>
    </row>
    <row r="450" spans="1:10" ht="15.75" hidden="1" thickBot="1" x14ac:dyDescent="0.3">
      <c r="A450" s="235"/>
      <c r="B450" s="238"/>
      <c r="C450" s="155" t="s">
        <v>588</v>
      </c>
      <c r="D450" s="155" t="s">
        <v>587</v>
      </c>
      <c r="E450" s="34">
        <f>12.59*0.02</f>
        <v>0.25180000000000002</v>
      </c>
      <c r="F450" s="28">
        <v>19.189999999999998</v>
      </c>
      <c r="G450" s="28">
        <f>IF(ISNUMBER(F450),E450*F450,"")</f>
        <v>4.8320419999999995</v>
      </c>
      <c r="H450" s="40"/>
      <c r="I450" s="41"/>
      <c r="J450" s="125">
        <v>0</v>
      </c>
    </row>
    <row r="451" spans="1:10" ht="15.75" hidden="1" thickBot="1" x14ac:dyDescent="0.3">
      <c r="A451" s="235"/>
      <c r="B451" s="238"/>
      <c r="C451" s="155" t="s">
        <v>595</v>
      </c>
      <c r="D451" s="155" t="s">
        <v>587</v>
      </c>
      <c r="E451" s="34">
        <v>0.43</v>
      </c>
      <c r="F451" s="28">
        <v>25.65</v>
      </c>
      <c r="G451" s="28">
        <f>IF(ISNUMBER(F451),E451*F451,"")</f>
        <v>11.029499999999999</v>
      </c>
      <c r="H451" s="32"/>
      <c r="I451" s="28"/>
      <c r="J451" s="125">
        <v>0</v>
      </c>
    </row>
    <row r="452" spans="1:10" ht="15.75" hidden="1" thickBot="1" x14ac:dyDescent="0.3">
      <c r="A452" s="235"/>
      <c r="B452" s="238"/>
      <c r="C452" s="155" t="s">
        <v>588</v>
      </c>
      <c r="D452" s="155" t="s">
        <v>587</v>
      </c>
      <c r="E452" s="34">
        <f>0.158</f>
        <v>0.158</v>
      </c>
      <c r="F452" s="28">
        <v>19.189999999999998</v>
      </c>
      <c r="G452" s="28">
        <f>IF(ISNUMBER(F452),E452*F452,"")</f>
        <v>3.0320199999999997</v>
      </c>
      <c r="H452" s="32"/>
      <c r="I452" s="28"/>
      <c r="J452" s="125">
        <v>0</v>
      </c>
    </row>
    <row r="453" spans="1:10" ht="15.75" hidden="1" thickBot="1" x14ac:dyDescent="0.3">
      <c r="A453" s="235"/>
      <c r="B453" s="238"/>
      <c r="C453" s="155"/>
      <c r="D453" s="33"/>
      <c r="E453" s="34"/>
      <c r="F453" s="28" t="s">
        <v>418</v>
      </c>
      <c r="G453" s="28" t="str">
        <f>IF(ISNUMBER(F453),E453*F453,"")</f>
        <v/>
      </c>
      <c r="H453" s="32"/>
      <c r="I453" s="28"/>
      <c r="J453" s="125">
        <v>0</v>
      </c>
    </row>
    <row r="454" spans="1:10" ht="51.75" hidden="1" thickBot="1" x14ac:dyDescent="0.3">
      <c r="A454" s="235"/>
      <c r="B454" s="238"/>
      <c r="C454" s="47" t="s">
        <v>115</v>
      </c>
      <c r="D454" s="33"/>
      <c r="E454" s="34"/>
      <c r="F454" s="28" t="s">
        <v>418</v>
      </c>
      <c r="G454" s="28" t="str">
        <f>IF(ISNUMBER(F454),E454*F454,"")</f>
        <v/>
      </c>
      <c r="H454" s="32"/>
      <c r="I454" s="28"/>
      <c r="J454" s="125">
        <v>0</v>
      </c>
    </row>
    <row r="455" spans="1:10" ht="30.75" hidden="1" thickBot="1" x14ac:dyDescent="0.3">
      <c r="A455" s="235"/>
      <c r="B455" s="238"/>
      <c r="C455" s="116" t="s">
        <v>116</v>
      </c>
      <c r="D455" s="33"/>
      <c r="E455" s="34"/>
      <c r="F455" s="28" t="s">
        <v>418</v>
      </c>
      <c r="G455" s="28" t="str">
        <f>IF(ISNUMBER(F455),E455*F455,"")</f>
        <v/>
      </c>
      <c r="H455" s="32"/>
      <c r="I455" s="28"/>
      <c r="J455" s="125">
        <v>0</v>
      </c>
    </row>
    <row r="456" spans="1:10" ht="15.75" hidden="1" thickBot="1" x14ac:dyDescent="0.3">
      <c r="A456" s="236"/>
      <c r="B456" s="239"/>
      <c r="C456" s="155"/>
      <c r="D456" s="33"/>
      <c r="E456" s="34"/>
      <c r="F456" s="28" t="s">
        <v>418</v>
      </c>
      <c r="G456" s="28" t="str">
        <f>IF(ISNUMBER(F456),E456*F456,"")</f>
        <v/>
      </c>
      <c r="H456" s="32"/>
      <c r="I456" s="28"/>
      <c r="J456" s="125">
        <v>0</v>
      </c>
    </row>
    <row r="457" spans="1:10" ht="15.75" hidden="1" thickBot="1" x14ac:dyDescent="0.3">
      <c r="A457" s="234" t="s">
        <v>117</v>
      </c>
      <c r="B457" s="237" t="s">
        <v>19676</v>
      </c>
      <c r="C457" s="160"/>
      <c r="D457" s="23" t="s">
        <v>70</v>
      </c>
      <c r="E457" s="24"/>
      <c r="F457" s="37" t="s">
        <v>418</v>
      </c>
      <c r="G457" s="25" t="str">
        <f>IF(ISNUMBER(F457),E457*F457,"")</f>
        <v/>
      </c>
      <c r="H457" s="26"/>
      <c r="I457" s="27"/>
      <c r="J457" s="125">
        <v>0</v>
      </c>
    </row>
    <row r="458" spans="1:10" ht="15.75" hidden="1" thickBot="1" x14ac:dyDescent="0.3">
      <c r="A458" s="235"/>
      <c r="B458" s="238"/>
      <c r="C458" s="151"/>
      <c r="D458" s="29"/>
      <c r="E458" s="30"/>
      <c r="F458" s="38" t="s">
        <v>418</v>
      </c>
      <c r="G458" s="28" t="str">
        <f>IF(ISNUMBER(F458),E458*F458,"")</f>
        <v/>
      </c>
      <c r="H458" s="32"/>
      <c r="I458" s="28"/>
      <c r="J458" s="125">
        <v>0</v>
      </c>
    </row>
    <row r="459" spans="1:10" ht="26.25" hidden="1" thickBot="1" x14ac:dyDescent="0.3">
      <c r="A459" s="235"/>
      <c r="B459" s="238"/>
      <c r="C459" s="155" t="s">
        <v>23680</v>
      </c>
      <c r="D459" s="155" t="s">
        <v>774</v>
      </c>
      <c r="E459" s="34">
        <f>1890*0.005</f>
        <v>9.4500000000000011</v>
      </c>
      <c r="F459" s="31">
        <v>1.2255</v>
      </c>
      <c r="G459" s="28">
        <f>IF(ISNUMBER(F459),E459*F459,"")</f>
        <v>11.580975000000002</v>
      </c>
      <c r="H459" s="35">
        <f>SUM(G459:G462)</f>
        <v>19.886397500000001</v>
      </c>
      <c r="I459" s="36"/>
      <c r="J459" s="125">
        <v>0</v>
      </c>
    </row>
    <row r="460" spans="1:10" ht="15.75" hidden="1" thickBot="1" x14ac:dyDescent="0.3">
      <c r="A460" s="235"/>
      <c r="B460" s="238"/>
      <c r="C460" s="155" t="s">
        <v>588</v>
      </c>
      <c r="D460" s="155" t="s">
        <v>587</v>
      </c>
      <c r="E460" s="34">
        <f>12.59*0.005</f>
        <v>6.2950000000000006E-2</v>
      </c>
      <c r="F460" s="28">
        <v>19.189999999999998</v>
      </c>
      <c r="G460" s="28">
        <f>IF(ISNUMBER(F460),E460*F460,"")</f>
        <v>1.2080104999999999</v>
      </c>
      <c r="H460" s="32"/>
      <c r="I460" s="28"/>
      <c r="J460" s="125">
        <v>0</v>
      </c>
    </row>
    <row r="461" spans="1:10" ht="15.75" hidden="1" thickBot="1" x14ac:dyDescent="0.3">
      <c r="A461" s="235"/>
      <c r="B461" s="238"/>
      <c r="C461" s="155" t="s">
        <v>595</v>
      </c>
      <c r="D461" s="155" t="s">
        <v>587</v>
      </c>
      <c r="E461" s="34">
        <f>0.31*0.7</f>
        <v>0.217</v>
      </c>
      <c r="F461" s="28">
        <v>25.65</v>
      </c>
      <c r="G461" s="28">
        <f>IF(ISNUMBER(F461),E461*F461,"")</f>
        <v>5.5660499999999997</v>
      </c>
      <c r="H461" s="32"/>
      <c r="I461" s="28"/>
      <c r="J461" s="125">
        <v>0</v>
      </c>
    </row>
    <row r="462" spans="1:10" ht="15.75" hidden="1" thickBot="1" x14ac:dyDescent="0.3">
      <c r="A462" s="235"/>
      <c r="B462" s="238"/>
      <c r="C462" s="155" t="s">
        <v>588</v>
      </c>
      <c r="D462" s="155" t="s">
        <v>587</v>
      </c>
      <c r="E462" s="34">
        <f>0.114*0.7</f>
        <v>7.9799999999999996E-2</v>
      </c>
      <c r="F462" s="28">
        <v>19.189999999999998</v>
      </c>
      <c r="G462" s="28">
        <f>IF(ISNUMBER(F462),E462*F462,"")</f>
        <v>1.5313619999999997</v>
      </c>
      <c r="H462" s="32"/>
      <c r="I462" s="28"/>
      <c r="J462" s="125">
        <v>0</v>
      </c>
    </row>
    <row r="463" spans="1:10" ht="15.75" hidden="1" thickBot="1" x14ac:dyDescent="0.3">
      <c r="A463" s="236"/>
      <c r="B463" s="239"/>
      <c r="C463" s="155"/>
      <c r="D463" s="33"/>
      <c r="E463" s="34"/>
      <c r="F463" s="28" t="s">
        <v>418</v>
      </c>
      <c r="G463" s="28" t="str">
        <f>IF(ISNUMBER(F463),E463*F463,"")</f>
        <v/>
      </c>
      <c r="H463" s="32"/>
      <c r="I463" s="28"/>
      <c r="J463" s="125">
        <v>0</v>
      </c>
    </row>
    <row r="464" spans="1:10" ht="15.75" hidden="1" thickBot="1" x14ac:dyDescent="0.3">
      <c r="A464" s="234" t="s">
        <v>118</v>
      </c>
      <c r="B464" s="237" t="s">
        <v>20915</v>
      </c>
      <c r="C464" s="160"/>
      <c r="D464" s="23" t="s">
        <v>69</v>
      </c>
      <c r="E464" s="24"/>
      <c r="F464" s="37" t="s">
        <v>418</v>
      </c>
      <c r="G464" s="25" t="str">
        <f>IF(ISNUMBER(F464),E464*F464,"")</f>
        <v/>
      </c>
      <c r="H464" s="26"/>
      <c r="I464" s="27"/>
      <c r="J464" s="125">
        <v>0</v>
      </c>
    </row>
    <row r="465" spans="1:10" ht="15.75" hidden="1" thickBot="1" x14ac:dyDescent="0.3">
      <c r="A465" s="235"/>
      <c r="B465" s="238"/>
      <c r="C465" s="151"/>
      <c r="D465" s="29"/>
      <c r="E465" s="30"/>
      <c r="F465" s="38" t="s">
        <v>418</v>
      </c>
      <c r="G465" s="28" t="str">
        <f>IF(ISNUMBER(F465),E465*F465,"")</f>
        <v/>
      </c>
      <c r="H465" s="32"/>
      <c r="I465" s="28"/>
      <c r="J465" s="125">
        <v>0</v>
      </c>
    </row>
    <row r="466" spans="1:10" ht="15.75" hidden="1" thickBot="1" x14ac:dyDescent="0.3">
      <c r="A466" s="235"/>
      <c r="B466" s="238"/>
      <c r="C466" s="155" t="s">
        <v>588</v>
      </c>
      <c r="D466" s="155" t="s">
        <v>587</v>
      </c>
      <c r="E466" s="34">
        <v>0.6</v>
      </c>
      <c r="F466" s="28">
        <v>19.189999999999998</v>
      </c>
      <c r="G466" s="31">
        <f>IF(ISNUMBER(F466),E466*F466,"")</f>
        <v>11.513999999999998</v>
      </c>
      <c r="H466" s="35">
        <f>SUM(G466:G470)</f>
        <v>17.065423799999998</v>
      </c>
      <c r="I466" s="36"/>
      <c r="J466" s="125">
        <v>0</v>
      </c>
    </row>
    <row r="467" spans="1:10" ht="15.75" hidden="1" thickBot="1" x14ac:dyDescent="0.3">
      <c r="A467" s="235"/>
      <c r="B467" s="238"/>
      <c r="C467" s="155" t="s">
        <v>595</v>
      </c>
      <c r="D467" s="155" t="s">
        <v>587</v>
      </c>
      <c r="E467" s="34">
        <v>0.155</v>
      </c>
      <c r="F467" s="28">
        <v>25.65</v>
      </c>
      <c r="G467" s="31">
        <f>IF(ISNUMBER(F467),E467*F467,"")</f>
        <v>3.9757499999999997</v>
      </c>
      <c r="H467" s="32"/>
      <c r="I467" s="28"/>
      <c r="J467" s="125">
        <v>0</v>
      </c>
    </row>
    <row r="468" spans="1:10" ht="15.75" hidden="1" thickBot="1" x14ac:dyDescent="0.3">
      <c r="A468" s="235"/>
      <c r="B468" s="238"/>
      <c r="C468" s="155" t="s">
        <v>119</v>
      </c>
      <c r="D468" s="42" t="s">
        <v>69</v>
      </c>
      <c r="E468" s="34">
        <v>1.05</v>
      </c>
      <c r="F468" s="31">
        <v>0.95</v>
      </c>
      <c r="G468" s="31">
        <f>IF(ISNUMBER(F468),E468*F468,"")</f>
        <v>0.99749999999999994</v>
      </c>
      <c r="H468" s="32"/>
      <c r="I468" s="28"/>
      <c r="J468" s="125">
        <v>0</v>
      </c>
    </row>
    <row r="469" spans="1:10" ht="15.75" hidden="1" thickBot="1" x14ac:dyDescent="0.3">
      <c r="A469" s="235"/>
      <c r="B469" s="238"/>
      <c r="C469" s="155" t="s">
        <v>27271</v>
      </c>
      <c r="D469" s="155" t="s">
        <v>76</v>
      </c>
      <c r="E469" s="34">
        <f>ROUND(1*0.15/(165/18),4)</f>
        <v>1.6400000000000001E-2</v>
      </c>
      <c r="F469" s="31">
        <v>35.2545</v>
      </c>
      <c r="G469" s="31">
        <f>IF(ISNUMBER(F469),E469*F469,"")</f>
        <v>0.57817380000000007</v>
      </c>
      <c r="H469" s="32"/>
      <c r="I469" s="28"/>
      <c r="J469" s="125">
        <v>0</v>
      </c>
    </row>
    <row r="470" spans="1:10" ht="15.75" hidden="1" thickBot="1" x14ac:dyDescent="0.3">
      <c r="A470" s="235"/>
      <c r="B470" s="238"/>
      <c r="C470" s="155" t="s">
        <v>121</v>
      </c>
      <c r="D470" s="42" t="s">
        <v>14593</v>
      </c>
      <c r="E470" s="34">
        <v>0.4</v>
      </c>
      <c r="F470" s="31" t="s">
        <v>418</v>
      </c>
      <c r="G470" s="31" t="str">
        <f>IF(ISNUMBER(F470),E470*F470,"")</f>
        <v/>
      </c>
      <c r="H470" s="32"/>
      <c r="I470" s="28"/>
      <c r="J470" s="125">
        <v>0</v>
      </c>
    </row>
    <row r="471" spans="1:10" ht="15.75" hidden="1" thickBot="1" x14ac:dyDescent="0.3">
      <c r="A471" s="235"/>
      <c r="B471" s="238"/>
      <c r="C471" s="155"/>
      <c r="D471" s="42"/>
      <c r="E471" s="34"/>
      <c r="F471" s="31" t="s">
        <v>418</v>
      </c>
      <c r="G471" s="31" t="str">
        <f>IF(ISNUMBER(F471),E471*F471,"")</f>
        <v/>
      </c>
      <c r="H471" s="32"/>
      <c r="I471" s="28"/>
      <c r="J471" s="125">
        <v>0</v>
      </c>
    </row>
    <row r="472" spans="1:10" ht="51.75" hidden="1" thickBot="1" x14ac:dyDescent="0.3">
      <c r="A472" s="235"/>
      <c r="B472" s="238"/>
      <c r="C472" s="47" t="s">
        <v>14594</v>
      </c>
      <c r="D472" s="42"/>
      <c r="E472" s="34"/>
      <c r="F472" s="31" t="s">
        <v>418</v>
      </c>
      <c r="G472" s="31" t="str">
        <f>IF(ISNUMBER(F472),E472*F472,"")</f>
        <v/>
      </c>
      <c r="H472" s="32"/>
      <c r="I472" s="28"/>
      <c r="J472" s="125">
        <v>0</v>
      </c>
    </row>
    <row r="473" spans="1:10" ht="30.75" hidden="1" thickBot="1" x14ac:dyDescent="0.3">
      <c r="A473" s="235"/>
      <c r="B473" s="238"/>
      <c r="C473" s="117" t="s">
        <v>14595</v>
      </c>
      <c r="D473" s="42"/>
      <c r="E473" s="34"/>
      <c r="F473" s="31" t="s">
        <v>418</v>
      </c>
      <c r="G473" s="31" t="str">
        <f>IF(ISNUMBER(F473),E473*F473,"")</f>
        <v/>
      </c>
      <c r="H473" s="32"/>
      <c r="I473" s="28"/>
      <c r="J473" s="125">
        <v>0</v>
      </c>
    </row>
    <row r="474" spans="1:10" ht="30.75" hidden="1" thickBot="1" x14ac:dyDescent="0.3">
      <c r="A474" s="235"/>
      <c r="B474" s="238"/>
      <c r="C474" s="117" t="s">
        <v>122</v>
      </c>
      <c r="D474" s="42"/>
      <c r="E474" s="34"/>
      <c r="F474" s="31" t="s">
        <v>418</v>
      </c>
      <c r="G474" s="31" t="str">
        <f>IF(ISNUMBER(F474),E474*F474,"")</f>
        <v/>
      </c>
      <c r="H474" s="32"/>
      <c r="I474" s="28"/>
      <c r="J474" s="125">
        <v>0</v>
      </c>
    </row>
    <row r="475" spans="1:10" ht="15.75" hidden="1" thickBot="1" x14ac:dyDescent="0.3">
      <c r="A475" s="236"/>
      <c r="B475" s="239"/>
      <c r="C475" s="155"/>
      <c r="D475" s="33"/>
      <c r="E475" s="34"/>
      <c r="F475" s="28" t="s">
        <v>418</v>
      </c>
      <c r="G475" s="28" t="str">
        <f>IF(ISNUMBER(F475),E475*F475,"")</f>
        <v/>
      </c>
      <c r="H475" s="32"/>
      <c r="I475" s="28"/>
      <c r="J475" s="125">
        <v>0</v>
      </c>
    </row>
    <row r="476" spans="1:10" ht="15.75" hidden="1" thickBot="1" x14ac:dyDescent="0.3">
      <c r="A476" s="234" t="s">
        <v>123</v>
      </c>
      <c r="B476" s="237" t="s">
        <v>1371</v>
      </c>
      <c r="C476" s="160"/>
      <c r="D476" s="23" t="s">
        <v>70</v>
      </c>
      <c r="E476" s="24"/>
      <c r="F476" s="37" t="s">
        <v>418</v>
      </c>
      <c r="G476" s="25" t="str">
        <f>IF(ISNUMBER(F476),E476*F476,"")</f>
        <v/>
      </c>
      <c r="H476" s="26"/>
      <c r="I476" s="27"/>
      <c r="J476" s="125">
        <v>0</v>
      </c>
    </row>
    <row r="477" spans="1:10" ht="15.75" hidden="1" thickBot="1" x14ac:dyDescent="0.3">
      <c r="A477" s="235"/>
      <c r="B477" s="238"/>
      <c r="C477" s="151"/>
      <c r="D477" s="29"/>
      <c r="E477" s="30"/>
      <c r="F477" s="38" t="s">
        <v>418</v>
      </c>
      <c r="G477" s="28" t="str">
        <f>IF(ISNUMBER(F477),E477*F477,"")</f>
        <v/>
      </c>
      <c r="H477" s="32"/>
      <c r="I477" s="28"/>
      <c r="J477" s="125">
        <v>0</v>
      </c>
    </row>
    <row r="478" spans="1:10" ht="15.75" hidden="1" thickBot="1" x14ac:dyDescent="0.3">
      <c r="A478" s="235"/>
      <c r="B478" s="238"/>
      <c r="C478" s="155" t="s">
        <v>962</v>
      </c>
      <c r="D478" s="155" t="s">
        <v>587</v>
      </c>
      <c r="E478" s="34">
        <v>0.106</v>
      </c>
      <c r="F478" s="28">
        <v>26.799499999999998</v>
      </c>
      <c r="G478" s="31">
        <f>IF(ISNUMBER(F478),E478*F478,"")</f>
        <v>2.8407469999999999</v>
      </c>
      <c r="H478" s="35">
        <f>SUM(G478:G480)</f>
        <v>3.3588769999999997</v>
      </c>
      <c r="I478" s="36"/>
      <c r="J478" s="125">
        <v>0</v>
      </c>
    </row>
    <row r="479" spans="1:10" ht="15.75" hidden="1" thickBot="1" x14ac:dyDescent="0.3">
      <c r="A479" s="235"/>
      <c r="B479" s="238"/>
      <c r="C479" s="155" t="s">
        <v>588</v>
      </c>
      <c r="D479" s="155" t="s">
        <v>587</v>
      </c>
      <c r="E479" s="34">
        <v>2.7E-2</v>
      </c>
      <c r="F479" s="28">
        <v>19.189999999999998</v>
      </c>
      <c r="G479" s="31">
        <f>IF(ISNUMBER(F479),E479*F479,"")</f>
        <v>0.51812999999999998</v>
      </c>
      <c r="H479" s="32"/>
      <c r="I479" s="28"/>
      <c r="J479" s="125">
        <v>0</v>
      </c>
    </row>
    <row r="480" spans="1:10" ht="15.75" hidden="1" thickBot="1" x14ac:dyDescent="0.3">
      <c r="A480" s="235"/>
      <c r="B480" s="238"/>
      <c r="C480" s="155" t="s">
        <v>124</v>
      </c>
      <c r="D480" s="45" t="s">
        <v>76</v>
      </c>
      <c r="E480" s="34">
        <v>0.16</v>
      </c>
      <c r="F480" s="31" t="s">
        <v>418</v>
      </c>
      <c r="G480" s="31" t="str">
        <f>IF(ISNUMBER(F480),E480*F480,"")</f>
        <v/>
      </c>
      <c r="H480" s="32"/>
      <c r="I480" s="28"/>
      <c r="J480" s="125">
        <v>0</v>
      </c>
    </row>
    <row r="481" spans="1:10" ht="15.75" hidden="1" thickBot="1" x14ac:dyDescent="0.3">
      <c r="A481" s="236"/>
      <c r="B481" s="239"/>
      <c r="C481" s="155"/>
      <c r="D481" s="33"/>
      <c r="E481" s="34"/>
      <c r="F481" s="28" t="s">
        <v>418</v>
      </c>
      <c r="G481" s="28" t="str">
        <f>IF(ISNUMBER(F481),E481*F481,"")</f>
        <v/>
      </c>
      <c r="H481" s="32"/>
      <c r="I481" s="28"/>
      <c r="J481" s="125">
        <v>0</v>
      </c>
    </row>
    <row r="482" spans="1:10" ht="15.75" hidden="1" thickBot="1" x14ac:dyDescent="0.3">
      <c r="A482" s="234" t="s">
        <v>125</v>
      </c>
      <c r="B482" s="237" t="s">
        <v>13438</v>
      </c>
      <c r="C482" s="160"/>
      <c r="D482" s="23" t="s">
        <v>70</v>
      </c>
      <c r="E482" s="24"/>
      <c r="F482" s="37" t="s">
        <v>418</v>
      </c>
      <c r="G482" s="25" t="str">
        <f>IF(ISNUMBER(F482),E482*F482,"")</f>
        <v/>
      </c>
      <c r="H482" s="26"/>
      <c r="I482" s="27"/>
      <c r="J482" s="125">
        <v>0</v>
      </c>
    </row>
    <row r="483" spans="1:10" ht="15.75" hidden="1" thickBot="1" x14ac:dyDescent="0.3">
      <c r="A483" s="235"/>
      <c r="B483" s="238"/>
      <c r="C483" s="151"/>
      <c r="D483" s="29"/>
      <c r="E483" s="30"/>
      <c r="F483" s="38" t="s">
        <v>418</v>
      </c>
      <c r="G483" s="28" t="str">
        <f>IF(ISNUMBER(F483),E483*F483,"")</f>
        <v/>
      </c>
      <c r="H483" s="32"/>
      <c r="I483" s="28"/>
      <c r="J483" s="125">
        <v>0</v>
      </c>
    </row>
    <row r="484" spans="1:10" ht="15.75" hidden="1" thickBot="1" x14ac:dyDescent="0.3">
      <c r="A484" s="235"/>
      <c r="B484" s="238"/>
      <c r="C484" s="155" t="s">
        <v>962</v>
      </c>
      <c r="D484" s="155" t="s">
        <v>587</v>
      </c>
      <c r="E484" s="34">
        <f>2*0.2149</f>
        <v>0.42980000000000002</v>
      </c>
      <c r="F484" s="28">
        <v>26.799499999999998</v>
      </c>
      <c r="G484" s="31">
        <f>IF(ISNUMBER(F484),E484*F484,"")</f>
        <v>11.5184251</v>
      </c>
      <c r="H484" s="35">
        <f>SUM(G484:G485)</f>
        <v>11.5184251</v>
      </c>
      <c r="I484" s="36"/>
      <c r="J484" s="125">
        <v>0</v>
      </c>
    </row>
    <row r="485" spans="1:10" ht="15.75" hidden="1" thickBot="1" x14ac:dyDescent="0.3">
      <c r="A485" s="235"/>
      <c r="B485" s="238"/>
      <c r="C485" s="155" t="s">
        <v>126</v>
      </c>
      <c r="D485" s="45" t="s">
        <v>76</v>
      </c>
      <c r="E485" s="34">
        <f>2*(3.6/45)</f>
        <v>0.16</v>
      </c>
      <c r="F485" s="31" t="s">
        <v>418</v>
      </c>
      <c r="G485" s="31" t="str">
        <f>IF(ISNUMBER(F485),E485*F485,"")</f>
        <v/>
      </c>
      <c r="H485" s="32"/>
      <c r="I485" s="28"/>
      <c r="J485" s="125">
        <v>0</v>
      </c>
    </row>
    <row r="486" spans="1:10" ht="15.75" hidden="1" thickBot="1" x14ac:dyDescent="0.3">
      <c r="A486" s="235"/>
      <c r="B486" s="238"/>
      <c r="C486" s="155"/>
      <c r="D486" s="42"/>
      <c r="E486" s="34"/>
      <c r="F486" s="31" t="s">
        <v>418</v>
      </c>
      <c r="G486" s="31" t="str">
        <f>IF(ISNUMBER(F486),E486*F486,"")</f>
        <v/>
      </c>
      <c r="H486" s="32"/>
      <c r="I486" s="28"/>
      <c r="J486" s="125">
        <v>0</v>
      </c>
    </row>
    <row r="487" spans="1:10" ht="26.25" hidden="1" thickBot="1" x14ac:dyDescent="0.3">
      <c r="A487" s="235"/>
      <c r="B487" s="238"/>
      <c r="C487" s="47" t="s">
        <v>127</v>
      </c>
      <c r="D487" s="42"/>
      <c r="E487" s="34"/>
      <c r="F487" s="31" t="s">
        <v>418</v>
      </c>
      <c r="G487" s="31" t="str">
        <f>IF(ISNUMBER(F487),E487*F487,"")</f>
        <v/>
      </c>
      <c r="H487" s="32"/>
      <c r="I487" s="28"/>
      <c r="J487" s="125">
        <v>0</v>
      </c>
    </row>
    <row r="488" spans="1:10" ht="30.75" hidden="1" thickBot="1" x14ac:dyDescent="0.3">
      <c r="A488" s="235"/>
      <c r="B488" s="238"/>
      <c r="C488" s="117" t="s">
        <v>128</v>
      </c>
      <c r="D488" s="42"/>
      <c r="E488" s="34"/>
      <c r="F488" s="31" t="s">
        <v>418</v>
      </c>
      <c r="G488" s="31" t="str">
        <f>IF(ISNUMBER(F488),E488*F488,"")</f>
        <v/>
      </c>
      <c r="H488" s="32"/>
      <c r="I488" s="28"/>
      <c r="J488" s="125">
        <v>0</v>
      </c>
    </row>
    <row r="489" spans="1:10" ht="30.75" hidden="1" thickBot="1" x14ac:dyDescent="0.3">
      <c r="A489" s="236"/>
      <c r="B489" s="239"/>
      <c r="C489" s="117" t="s">
        <v>129</v>
      </c>
      <c r="D489" s="33"/>
      <c r="E489" s="34"/>
      <c r="F489" s="28" t="s">
        <v>418</v>
      </c>
      <c r="G489" s="28" t="str">
        <f>IF(ISNUMBER(F489),E489*F489,"")</f>
        <v/>
      </c>
      <c r="H489" s="32"/>
      <c r="I489" s="28"/>
      <c r="J489" s="125">
        <v>0</v>
      </c>
    </row>
    <row r="490" spans="1:10" ht="15.75" hidden="1" thickBot="1" x14ac:dyDescent="0.3">
      <c r="A490" s="234" t="s">
        <v>130</v>
      </c>
      <c r="B490" s="237" t="s">
        <v>1372</v>
      </c>
      <c r="C490" s="160"/>
      <c r="D490" s="23" t="s">
        <v>70</v>
      </c>
      <c r="E490" s="24"/>
      <c r="F490" s="37" t="s">
        <v>418</v>
      </c>
      <c r="G490" s="25" t="str">
        <f>IF(ISNUMBER(F490),E490*F490,"")</f>
        <v/>
      </c>
      <c r="H490" s="26"/>
      <c r="I490" s="27"/>
      <c r="J490" s="125">
        <v>0</v>
      </c>
    </row>
    <row r="491" spans="1:10" ht="15.75" hidden="1" thickBot="1" x14ac:dyDescent="0.3">
      <c r="A491" s="235"/>
      <c r="B491" s="238"/>
      <c r="C491" s="151"/>
      <c r="D491" s="29"/>
      <c r="E491" s="30"/>
      <c r="F491" s="38" t="s">
        <v>418</v>
      </c>
      <c r="G491" s="28" t="str">
        <f>IF(ISNUMBER(F491),E491*F491,"")</f>
        <v/>
      </c>
      <c r="H491" s="32"/>
      <c r="I491" s="28"/>
      <c r="J491" s="125">
        <v>0</v>
      </c>
    </row>
    <row r="492" spans="1:10" ht="26.25" hidden="1" thickBot="1" x14ac:dyDescent="0.3">
      <c r="A492" s="235"/>
      <c r="B492" s="238"/>
      <c r="C492" s="155" t="s">
        <v>26049</v>
      </c>
      <c r="D492" s="155" t="s">
        <v>205</v>
      </c>
      <c r="E492" s="34">
        <v>0.1</v>
      </c>
      <c r="F492" s="31">
        <v>1.1875</v>
      </c>
      <c r="G492" s="31">
        <f>IF(ISNUMBER(F492),E492*F492,"")</f>
        <v>0.11875000000000001</v>
      </c>
      <c r="H492" s="35">
        <f>SUM(G492:G495)</f>
        <v>20.466302200000001</v>
      </c>
      <c r="I492" s="36"/>
      <c r="J492" s="125">
        <v>0</v>
      </c>
    </row>
    <row r="493" spans="1:10" ht="15.75" hidden="1" thickBot="1" x14ac:dyDescent="0.3">
      <c r="A493" s="235"/>
      <c r="B493" s="238"/>
      <c r="C493" s="155" t="s">
        <v>26446</v>
      </c>
      <c r="D493" s="155" t="s">
        <v>774</v>
      </c>
      <c r="E493" s="34">
        <v>1.5518400000000001</v>
      </c>
      <c r="F493" s="31">
        <v>6.3174999999999999</v>
      </c>
      <c r="G493" s="31">
        <f>IF(ISNUMBER(F493),E493*F493,"")</f>
        <v>9.8037492000000004</v>
      </c>
      <c r="H493" s="32"/>
      <c r="I493" s="28"/>
      <c r="J493" s="125">
        <v>0</v>
      </c>
    </row>
    <row r="494" spans="1:10" ht="15.75" hidden="1" thickBot="1" x14ac:dyDescent="0.3">
      <c r="A494" s="235"/>
      <c r="B494" s="238"/>
      <c r="C494" s="155" t="s">
        <v>962</v>
      </c>
      <c r="D494" s="155" t="s">
        <v>587</v>
      </c>
      <c r="E494" s="34">
        <v>0.33400000000000002</v>
      </c>
      <c r="F494" s="28">
        <v>26.799499999999998</v>
      </c>
      <c r="G494" s="31">
        <f>IF(ISNUMBER(F494),E494*F494,"")</f>
        <v>8.9510330000000007</v>
      </c>
      <c r="H494" s="32"/>
      <c r="I494" s="28"/>
      <c r="J494" s="125">
        <v>0</v>
      </c>
    </row>
    <row r="495" spans="1:10" ht="15.75" hidden="1" thickBot="1" x14ac:dyDescent="0.3">
      <c r="A495" s="235"/>
      <c r="B495" s="238"/>
      <c r="C495" s="155" t="s">
        <v>588</v>
      </c>
      <c r="D495" s="155" t="s">
        <v>587</v>
      </c>
      <c r="E495" s="34">
        <v>8.3000000000000004E-2</v>
      </c>
      <c r="F495" s="28">
        <v>19.189999999999998</v>
      </c>
      <c r="G495" s="31">
        <f>IF(ISNUMBER(F495),E495*F495,"")</f>
        <v>1.5927699999999998</v>
      </c>
      <c r="H495" s="32"/>
      <c r="I495" s="28"/>
      <c r="J495" s="125">
        <v>0</v>
      </c>
    </row>
    <row r="496" spans="1:10" ht="15.75" hidden="1" thickBot="1" x14ac:dyDescent="0.3">
      <c r="A496" s="236"/>
      <c r="B496" s="239"/>
      <c r="C496" s="155"/>
      <c r="D496" s="33"/>
      <c r="E496" s="34"/>
      <c r="F496" s="28" t="s">
        <v>418</v>
      </c>
      <c r="G496" s="28" t="str">
        <f>IF(ISNUMBER(F496),E496*F496,"")</f>
        <v/>
      </c>
      <c r="H496" s="32"/>
      <c r="I496" s="28"/>
      <c r="J496" s="125">
        <v>0</v>
      </c>
    </row>
    <row r="497" spans="1:10" ht="15.75" hidden="1" thickBot="1" x14ac:dyDescent="0.3">
      <c r="A497" s="234" t="s">
        <v>131</v>
      </c>
      <c r="B497" s="237" t="s">
        <v>1373</v>
      </c>
      <c r="C497" s="160"/>
      <c r="D497" s="23" t="s">
        <v>70</v>
      </c>
      <c r="E497" s="24"/>
      <c r="F497" s="37" t="s">
        <v>418</v>
      </c>
      <c r="G497" s="25" t="str">
        <f>IF(ISNUMBER(F497),E497*F497,"")</f>
        <v/>
      </c>
      <c r="H497" s="26"/>
      <c r="I497" s="27"/>
      <c r="J497" s="125">
        <v>0</v>
      </c>
    </row>
    <row r="498" spans="1:10" ht="15.75" hidden="1" thickBot="1" x14ac:dyDescent="0.3">
      <c r="A498" s="235"/>
      <c r="B498" s="238"/>
      <c r="C498" s="151"/>
      <c r="D498" s="29"/>
      <c r="E498" s="30"/>
      <c r="F498" s="38" t="s">
        <v>418</v>
      </c>
      <c r="G498" s="28" t="str">
        <f>IF(ISNUMBER(F498),E498*F498,"")</f>
        <v/>
      </c>
      <c r="H498" s="32"/>
      <c r="I498" s="28"/>
      <c r="J498" s="125">
        <v>0</v>
      </c>
    </row>
    <row r="499" spans="1:10" ht="26.25" hidden="1" thickBot="1" x14ac:dyDescent="0.3">
      <c r="A499" s="235"/>
      <c r="B499" s="238"/>
      <c r="C499" s="155" t="s">
        <v>26049</v>
      </c>
      <c r="D499" s="155" t="s">
        <v>205</v>
      </c>
      <c r="E499" s="34">
        <v>8.0199999999999994E-2</v>
      </c>
      <c r="F499" s="31">
        <v>1.1875</v>
      </c>
      <c r="G499" s="31">
        <f>IF(ISNUMBER(F499),E499*F499,"")</f>
        <v>9.5237499999999989E-2</v>
      </c>
      <c r="H499" s="35">
        <f>SUM(G499:G502)</f>
        <v>16.784647499999998</v>
      </c>
      <c r="I499" s="36"/>
      <c r="J499" s="125">
        <v>0</v>
      </c>
    </row>
    <row r="500" spans="1:10" ht="15.75" hidden="1" thickBot="1" x14ac:dyDescent="0.3">
      <c r="A500" s="235"/>
      <c r="B500" s="238"/>
      <c r="C500" s="155" t="s">
        <v>26447</v>
      </c>
      <c r="D500" s="155" t="s">
        <v>774</v>
      </c>
      <c r="E500" s="34">
        <v>1.3389</v>
      </c>
      <c r="F500" s="31">
        <v>3.5150000000000001</v>
      </c>
      <c r="G500" s="31">
        <f>IF(ISNUMBER(F500),E500*F500,"")</f>
        <v>4.7062334999999997</v>
      </c>
      <c r="H500" s="32"/>
      <c r="I500" s="28"/>
      <c r="J500" s="125">
        <v>0</v>
      </c>
    </row>
    <row r="501" spans="1:10" ht="15.75" hidden="1" thickBot="1" x14ac:dyDescent="0.3">
      <c r="A501" s="235"/>
      <c r="B501" s="238"/>
      <c r="C501" s="155" t="s">
        <v>962</v>
      </c>
      <c r="D501" s="155" t="s">
        <v>587</v>
      </c>
      <c r="E501" s="34">
        <v>0.36099999999999999</v>
      </c>
      <c r="F501" s="28">
        <v>26.799499999999998</v>
      </c>
      <c r="G501" s="31">
        <f>IF(ISNUMBER(F501),E501*F501,"")</f>
        <v>9.6746194999999986</v>
      </c>
      <c r="H501" s="32"/>
      <c r="I501" s="28"/>
      <c r="J501" s="125">
        <v>0</v>
      </c>
    </row>
    <row r="502" spans="1:10" ht="15.75" hidden="1" thickBot="1" x14ac:dyDescent="0.3">
      <c r="A502" s="235"/>
      <c r="B502" s="238"/>
      <c r="C502" s="155" t="s">
        <v>588</v>
      </c>
      <c r="D502" s="155" t="s">
        <v>587</v>
      </c>
      <c r="E502" s="34">
        <v>0.1203</v>
      </c>
      <c r="F502" s="28">
        <v>19.189999999999998</v>
      </c>
      <c r="G502" s="31">
        <f>IF(ISNUMBER(F502),E502*F502,"")</f>
        <v>2.308557</v>
      </c>
      <c r="H502" s="32"/>
      <c r="I502" s="28"/>
      <c r="J502" s="125">
        <v>0</v>
      </c>
    </row>
    <row r="503" spans="1:10" ht="15.75" hidden="1" thickBot="1" x14ac:dyDescent="0.3">
      <c r="A503" s="236"/>
      <c r="B503" s="239"/>
      <c r="C503" s="155"/>
      <c r="D503" s="33"/>
      <c r="E503" s="34"/>
      <c r="F503" s="28" t="s">
        <v>418</v>
      </c>
      <c r="G503" s="28" t="str">
        <f>IF(ISNUMBER(F503),E503*F503,"")</f>
        <v/>
      </c>
      <c r="H503" s="32"/>
      <c r="I503" s="28"/>
      <c r="J503" s="125">
        <v>0</v>
      </c>
    </row>
    <row r="504" spans="1:10" ht="15.75" hidden="1" thickBot="1" x14ac:dyDescent="0.3">
      <c r="A504" s="234" t="s">
        <v>132</v>
      </c>
      <c r="B504" s="237" t="s">
        <v>1374</v>
      </c>
      <c r="C504" s="160"/>
      <c r="D504" s="23" t="s">
        <v>70</v>
      </c>
      <c r="E504" s="24"/>
      <c r="F504" s="37" t="s">
        <v>418</v>
      </c>
      <c r="G504" s="25" t="str">
        <f>IF(ISNUMBER(F504),E504*F504,"")</f>
        <v/>
      </c>
      <c r="H504" s="26"/>
      <c r="I504" s="27"/>
      <c r="J504" s="125">
        <v>0</v>
      </c>
    </row>
    <row r="505" spans="1:10" ht="15.75" hidden="1" thickBot="1" x14ac:dyDescent="0.3">
      <c r="A505" s="235"/>
      <c r="B505" s="238"/>
      <c r="C505" s="151"/>
      <c r="D505" s="29"/>
      <c r="E505" s="30"/>
      <c r="F505" s="38" t="s">
        <v>418</v>
      </c>
      <c r="G505" s="28" t="str">
        <f>IF(ISNUMBER(F505),E505*F505,"")</f>
        <v/>
      </c>
      <c r="H505" s="32"/>
      <c r="I505" s="28"/>
      <c r="J505" s="125">
        <v>0</v>
      </c>
    </row>
    <row r="506" spans="1:10" ht="15.75" hidden="1" thickBot="1" x14ac:dyDescent="0.3">
      <c r="A506" s="235"/>
      <c r="B506" s="238"/>
      <c r="C506" s="155" t="s">
        <v>962</v>
      </c>
      <c r="D506" s="155" t="s">
        <v>587</v>
      </c>
      <c r="E506" s="34">
        <v>0.16309999999999999</v>
      </c>
      <c r="F506" s="28">
        <v>26.799499999999998</v>
      </c>
      <c r="G506" s="31">
        <f>IF(ISNUMBER(F506),E506*F506,"")</f>
        <v>4.3709984499999992</v>
      </c>
      <c r="H506" s="35">
        <f>SUM(G506:G508)</f>
        <v>12.684776199999998</v>
      </c>
      <c r="I506" s="36"/>
      <c r="J506" s="125">
        <v>0</v>
      </c>
    </row>
    <row r="507" spans="1:10" ht="15.75" hidden="1" thickBot="1" x14ac:dyDescent="0.3">
      <c r="A507" s="235"/>
      <c r="B507" s="238"/>
      <c r="C507" s="155" t="s">
        <v>588</v>
      </c>
      <c r="D507" s="155" t="s">
        <v>587</v>
      </c>
      <c r="E507" s="34">
        <v>5.4399999999999997E-2</v>
      </c>
      <c r="F507" s="28">
        <v>19.189999999999998</v>
      </c>
      <c r="G507" s="31">
        <f>IF(ISNUMBER(F507),E507*F507,"")</f>
        <v>1.0439359999999998</v>
      </c>
      <c r="H507" s="32"/>
      <c r="I507" s="28"/>
      <c r="J507" s="125">
        <v>0</v>
      </c>
    </row>
    <row r="508" spans="1:10" ht="15.75" hidden="1" thickBot="1" x14ac:dyDescent="0.3">
      <c r="A508" s="235"/>
      <c r="B508" s="238"/>
      <c r="C508" s="155" t="s">
        <v>27846</v>
      </c>
      <c r="D508" s="155" t="s">
        <v>76</v>
      </c>
      <c r="E508" s="34">
        <v>0.22850000000000001</v>
      </c>
      <c r="F508" s="31">
        <v>31.8155</v>
      </c>
      <c r="G508" s="31">
        <f>IF(ISNUMBER(F508),E508*F508,"")</f>
        <v>7.2698417500000003</v>
      </c>
      <c r="H508" s="32"/>
      <c r="I508" s="28"/>
      <c r="J508" s="125">
        <v>0</v>
      </c>
    </row>
    <row r="509" spans="1:10" ht="15.75" hidden="1" thickBot="1" x14ac:dyDescent="0.3">
      <c r="A509" s="236"/>
      <c r="B509" s="239"/>
      <c r="C509" s="155"/>
      <c r="D509" s="33"/>
      <c r="E509" s="34"/>
      <c r="F509" s="28" t="s">
        <v>418</v>
      </c>
      <c r="G509" s="28" t="str">
        <f>IF(ISNUMBER(F509),E509*F509,"")</f>
        <v/>
      </c>
      <c r="H509" s="32"/>
      <c r="I509" s="28"/>
      <c r="J509" s="125">
        <v>0</v>
      </c>
    </row>
    <row r="510" spans="1:10" ht="15.75" hidden="1" thickBot="1" x14ac:dyDescent="0.3">
      <c r="A510" s="234" t="s">
        <v>133</v>
      </c>
      <c r="B510" s="237" t="s">
        <v>1375</v>
      </c>
      <c r="C510" s="160"/>
      <c r="D510" s="23" t="s">
        <v>70</v>
      </c>
      <c r="E510" s="24"/>
      <c r="F510" s="37" t="s">
        <v>418</v>
      </c>
      <c r="G510" s="25" t="str">
        <f>IF(ISNUMBER(F510),E510*F510,"")</f>
        <v/>
      </c>
      <c r="H510" s="26"/>
      <c r="I510" s="27"/>
      <c r="J510" s="125">
        <v>0</v>
      </c>
    </row>
    <row r="511" spans="1:10" ht="15.75" hidden="1" thickBot="1" x14ac:dyDescent="0.3">
      <c r="A511" s="235"/>
      <c r="B511" s="238"/>
      <c r="C511" s="151"/>
      <c r="D511" s="29"/>
      <c r="E511" s="30"/>
      <c r="F511" s="38" t="s">
        <v>418</v>
      </c>
      <c r="G511" s="28" t="str">
        <f>IF(ISNUMBER(F511),E511*F511,"")</f>
        <v/>
      </c>
      <c r="H511" s="32"/>
      <c r="I511" s="28"/>
      <c r="J511" s="125">
        <v>0</v>
      </c>
    </row>
    <row r="512" spans="1:10" ht="15.75" hidden="1" thickBot="1" x14ac:dyDescent="0.3">
      <c r="A512" s="235"/>
      <c r="B512" s="238"/>
      <c r="C512" s="155" t="s">
        <v>134</v>
      </c>
      <c r="D512" s="45" t="s">
        <v>76</v>
      </c>
      <c r="E512" s="34">
        <f>ROUND(3*3.6/100,4)</f>
        <v>0.108</v>
      </c>
      <c r="F512" s="31" t="s">
        <v>418</v>
      </c>
      <c r="G512" s="28" t="str">
        <f>IF(ISNUMBER(F512),E512*F512,"")</f>
        <v/>
      </c>
      <c r="H512" s="35">
        <f>SUM(G512:G513)</f>
        <v>18.963326199999997</v>
      </c>
      <c r="I512" s="36"/>
      <c r="J512" s="125">
        <v>0</v>
      </c>
    </row>
    <row r="513" spans="1:10" ht="15.75" hidden="1" thickBot="1" x14ac:dyDescent="0.3">
      <c r="A513" s="235"/>
      <c r="B513" s="238"/>
      <c r="C513" s="155" t="s">
        <v>962</v>
      </c>
      <c r="D513" s="155" t="s">
        <v>587</v>
      </c>
      <c r="E513" s="34">
        <v>0.70760000000000001</v>
      </c>
      <c r="F513" s="28">
        <v>26.799499999999998</v>
      </c>
      <c r="G513" s="28">
        <f>IF(ISNUMBER(F513),E513*F513,"")</f>
        <v>18.963326199999997</v>
      </c>
      <c r="H513" s="32"/>
      <c r="I513" s="28"/>
      <c r="J513" s="125">
        <v>0</v>
      </c>
    </row>
    <row r="514" spans="1:10" ht="15.75" hidden="1" thickBot="1" x14ac:dyDescent="0.3">
      <c r="A514" s="235"/>
      <c r="B514" s="238"/>
      <c r="C514" s="155"/>
      <c r="D514" s="33"/>
      <c r="E514" s="34"/>
      <c r="F514" s="28" t="s">
        <v>418</v>
      </c>
      <c r="G514" s="28"/>
      <c r="H514" s="32"/>
      <c r="I514" s="28"/>
      <c r="J514" s="125">
        <v>0</v>
      </c>
    </row>
    <row r="515" spans="1:10" ht="39" hidden="1" thickBot="1" x14ac:dyDescent="0.3">
      <c r="A515" s="235"/>
      <c r="B515" s="238"/>
      <c r="C515" s="47" t="s">
        <v>10306</v>
      </c>
      <c r="D515" s="33"/>
      <c r="E515" s="34"/>
      <c r="F515" s="28" t="s">
        <v>418</v>
      </c>
      <c r="G515" s="28"/>
      <c r="H515" s="32"/>
      <c r="I515" s="28"/>
      <c r="J515" s="125">
        <v>0</v>
      </c>
    </row>
    <row r="516" spans="1:10" ht="15.75" hidden="1" thickBot="1" x14ac:dyDescent="0.3">
      <c r="A516" s="236"/>
      <c r="B516" s="239"/>
      <c r="C516" s="155"/>
      <c r="D516" s="33"/>
      <c r="E516" s="34"/>
      <c r="F516" s="28" t="s">
        <v>418</v>
      </c>
      <c r="G516" s="28" t="str">
        <f>IF(ISNUMBER(F516),E516*F516,"")</f>
        <v/>
      </c>
      <c r="H516" s="32"/>
      <c r="I516" s="28"/>
      <c r="J516" s="125">
        <v>0</v>
      </c>
    </row>
    <row r="517" spans="1:10" ht="15.75" hidden="1" thickBot="1" x14ac:dyDescent="0.3">
      <c r="A517" s="234" t="s">
        <v>135</v>
      </c>
      <c r="B517" s="237" t="s">
        <v>1376</v>
      </c>
      <c r="C517" s="160"/>
      <c r="D517" s="23" t="s">
        <v>70</v>
      </c>
      <c r="E517" s="24"/>
      <c r="F517" s="37" t="s">
        <v>418</v>
      </c>
      <c r="G517" s="25" t="str">
        <f>IF(ISNUMBER(F517),E517*F517,"")</f>
        <v/>
      </c>
      <c r="H517" s="26"/>
      <c r="I517" s="27"/>
      <c r="J517" s="125">
        <v>0</v>
      </c>
    </row>
    <row r="518" spans="1:10" ht="15.75" hidden="1" thickBot="1" x14ac:dyDescent="0.3">
      <c r="A518" s="235"/>
      <c r="B518" s="238"/>
      <c r="C518" s="151"/>
      <c r="D518" s="29"/>
      <c r="E518" s="30"/>
      <c r="F518" s="38" t="s">
        <v>418</v>
      </c>
      <c r="G518" s="28" t="str">
        <f>IF(ISNUMBER(F518),E518*F518,"")</f>
        <v/>
      </c>
      <c r="H518" s="32"/>
      <c r="I518" s="28"/>
      <c r="J518" s="125">
        <v>0</v>
      </c>
    </row>
    <row r="519" spans="1:10" ht="15.75" hidden="1" thickBot="1" x14ac:dyDescent="0.3">
      <c r="A519" s="235"/>
      <c r="B519" s="238"/>
      <c r="C519" s="155" t="s">
        <v>962</v>
      </c>
      <c r="D519" s="155" t="s">
        <v>587</v>
      </c>
      <c r="E519" s="34">
        <v>0.57079999999999997</v>
      </c>
      <c r="F519" s="28">
        <v>26.799499999999998</v>
      </c>
      <c r="G519" s="31">
        <f>IF(ISNUMBER(F519),E519*F519,"")</f>
        <v>15.297154599999999</v>
      </c>
      <c r="H519" s="35">
        <f>SUM(G519:G520)</f>
        <v>15.297154599999999</v>
      </c>
      <c r="I519" s="36"/>
      <c r="J519" s="125">
        <v>0</v>
      </c>
    </row>
    <row r="520" spans="1:10" ht="15.75" hidden="1" thickBot="1" x14ac:dyDescent="0.3">
      <c r="A520" s="235"/>
      <c r="B520" s="238"/>
      <c r="C520" s="155" t="s">
        <v>136</v>
      </c>
      <c r="D520" s="45" t="s">
        <v>76</v>
      </c>
      <c r="E520" s="34">
        <f>ROUND(3*3.6/75,4)</f>
        <v>0.14399999999999999</v>
      </c>
      <c r="F520" s="31" t="s">
        <v>418</v>
      </c>
      <c r="G520" s="31" t="str">
        <f>IF(ISNUMBER(F520),E520*F520,"")</f>
        <v/>
      </c>
      <c r="H520" s="32"/>
      <c r="I520" s="28"/>
      <c r="J520" s="125">
        <v>0</v>
      </c>
    </row>
    <row r="521" spans="1:10" ht="15.75" hidden="1" thickBot="1" x14ac:dyDescent="0.3">
      <c r="A521" s="235"/>
      <c r="B521" s="238"/>
      <c r="C521" s="155"/>
      <c r="D521" s="45"/>
      <c r="E521" s="34"/>
      <c r="F521" s="31" t="s">
        <v>418</v>
      </c>
      <c r="G521" s="31"/>
      <c r="H521" s="32"/>
      <c r="I521" s="28"/>
      <c r="J521" s="125">
        <v>0</v>
      </c>
    </row>
    <row r="522" spans="1:10" ht="39" hidden="1" thickBot="1" x14ac:dyDescent="0.3">
      <c r="A522" s="235"/>
      <c r="B522" s="238"/>
      <c r="C522" s="47" t="s">
        <v>10305</v>
      </c>
      <c r="D522" s="45"/>
      <c r="E522" s="34"/>
      <c r="F522" s="31" t="s">
        <v>418</v>
      </c>
      <c r="G522" s="31"/>
      <c r="H522" s="32"/>
      <c r="I522" s="28"/>
      <c r="J522" s="125">
        <v>0</v>
      </c>
    </row>
    <row r="523" spans="1:10" ht="15.75" hidden="1" thickBot="1" x14ac:dyDescent="0.3">
      <c r="A523" s="236"/>
      <c r="B523" s="239"/>
      <c r="C523" s="155"/>
      <c r="D523" s="33"/>
      <c r="E523" s="34"/>
      <c r="F523" s="28" t="s">
        <v>418</v>
      </c>
      <c r="G523" s="28" t="str">
        <f>IF(ISNUMBER(F523),E523*F523,"")</f>
        <v/>
      </c>
      <c r="H523" s="32"/>
      <c r="I523" s="28"/>
      <c r="J523" s="125">
        <v>0</v>
      </c>
    </row>
    <row r="524" spans="1:10" ht="15.75" hidden="1" thickBot="1" x14ac:dyDescent="0.3">
      <c r="A524" s="234" t="s">
        <v>137</v>
      </c>
      <c r="B524" s="237" t="s">
        <v>1377</v>
      </c>
      <c r="C524" s="160"/>
      <c r="D524" s="23" t="s">
        <v>70</v>
      </c>
      <c r="E524" s="24"/>
      <c r="F524" s="37" t="s">
        <v>418</v>
      </c>
      <c r="G524" s="25" t="str">
        <f>IF(ISNUMBER(F524),E524*F524,"")</f>
        <v/>
      </c>
      <c r="H524" s="26"/>
      <c r="I524" s="27"/>
      <c r="J524" s="125">
        <v>0</v>
      </c>
    </row>
    <row r="525" spans="1:10" ht="15.75" hidden="1" thickBot="1" x14ac:dyDescent="0.3">
      <c r="A525" s="235"/>
      <c r="B525" s="238"/>
      <c r="C525" s="151"/>
      <c r="D525" s="29"/>
      <c r="E525" s="30"/>
      <c r="F525" s="38" t="s">
        <v>418</v>
      </c>
      <c r="G525" s="28" t="str">
        <f>IF(ISNUMBER(F525),E525*F525,"")</f>
        <v/>
      </c>
      <c r="H525" s="32"/>
      <c r="I525" s="28"/>
      <c r="J525" s="125">
        <v>0</v>
      </c>
    </row>
    <row r="526" spans="1:10" ht="15.75" hidden="1" thickBot="1" x14ac:dyDescent="0.3">
      <c r="A526" s="235"/>
      <c r="B526" s="238"/>
      <c r="C526" s="155" t="s">
        <v>962</v>
      </c>
      <c r="D526" s="155" t="s">
        <v>587</v>
      </c>
      <c r="E526" s="34">
        <v>0.22700000000000001</v>
      </c>
      <c r="F526" s="28">
        <v>26.799499999999998</v>
      </c>
      <c r="G526" s="31">
        <f>IF(ISNUMBER(F526),E526*F526,"")</f>
        <v>6.0834865000000002</v>
      </c>
      <c r="H526" s="35">
        <f>SUM(G526:G528)</f>
        <v>14.806011250000001</v>
      </c>
      <c r="I526" s="36"/>
      <c r="J526" s="125">
        <v>0</v>
      </c>
    </row>
    <row r="527" spans="1:10" ht="15.75" hidden="1" thickBot="1" x14ac:dyDescent="0.3">
      <c r="A527" s="235"/>
      <c r="B527" s="238"/>
      <c r="C527" s="155" t="s">
        <v>588</v>
      </c>
      <c r="D527" s="155" t="s">
        <v>587</v>
      </c>
      <c r="E527" s="34">
        <v>7.5700000000000003E-2</v>
      </c>
      <c r="F527" s="28">
        <v>19.189999999999998</v>
      </c>
      <c r="G527" s="31">
        <f>IF(ISNUMBER(F527),E527*F527,"")</f>
        <v>1.4526829999999999</v>
      </c>
      <c r="H527" s="32"/>
      <c r="I527" s="28"/>
      <c r="J527" s="125">
        <v>0</v>
      </c>
    </row>
    <row r="528" spans="1:10" ht="15.75" hidden="1" thickBot="1" x14ac:dyDescent="0.3">
      <c r="A528" s="235"/>
      <c r="B528" s="238"/>
      <c r="C528" s="155" t="s">
        <v>27846</v>
      </c>
      <c r="D528" s="155" t="s">
        <v>76</v>
      </c>
      <c r="E528" s="34">
        <v>0.22850000000000001</v>
      </c>
      <c r="F528" s="31">
        <v>31.8155</v>
      </c>
      <c r="G528" s="31">
        <f>IF(ISNUMBER(F528),E528*F528,"")</f>
        <v>7.2698417500000003</v>
      </c>
      <c r="H528" s="32"/>
      <c r="I528" s="28"/>
      <c r="J528" s="125">
        <v>0</v>
      </c>
    </row>
    <row r="529" spans="1:10" ht="15.75" hidden="1" thickBot="1" x14ac:dyDescent="0.3">
      <c r="A529" s="236"/>
      <c r="B529" s="239"/>
      <c r="C529" s="155"/>
      <c r="D529" s="33"/>
      <c r="E529" s="34"/>
      <c r="F529" s="28" t="s">
        <v>418</v>
      </c>
      <c r="G529" s="28" t="str">
        <f>IF(ISNUMBER(F529),E529*F529,"")</f>
        <v/>
      </c>
      <c r="H529" s="32"/>
      <c r="I529" s="28"/>
      <c r="J529" s="125">
        <v>0</v>
      </c>
    </row>
    <row r="530" spans="1:10" ht="15.75" hidden="1" thickBot="1" x14ac:dyDescent="0.3">
      <c r="A530" s="234" t="s">
        <v>138</v>
      </c>
      <c r="B530" s="237" t="s">
        <v>1378</v>
      </c>
      <c r="C530" s="160"/>
      <c r="D530" s="23" t="s">
        <v>70</v>
      </c>
      <c r="E530" s="24"/>
      <c r="F530" s="37" t="s">
        <v>418</v>
      </c>
      <c r="G530" s="25" t="str">
        <f>IF(ISNUMBER(F530),E530*F530,"")</f>
        <v/>
      </c>
      <c r="H530" s="26"/>
      <c r="I530" s="27"/>
      <c r="J530" s="125">
        <v>0</v>
      </c>
    </row>
    <row r="531" spans="1:10" ht="15.75" hidden="1" thickBot="1" x14ac:dyDescent="0.3">
      <c r="A531" s="235"/>
      <c r="B531" s="238"/>
      <c r="C531" s="151"/>
      <c r="D531" s="29"/>
      <c r="E531" s="30"/>
      <c r="F531" s="38" t="s">
        <v>418</v>
      </c>
      <c r="G531" s="28" t="str">
        <f>IF(ISNUMBER(F531),E531*F531,"")</f>
        <v/>
      </c>
      <c r="H531" s="32"/>
      <c r="I531" s="28"/>
      <c r="J531" s="125">
        <v>0</v>
      </c>
    </row>
    <row r="532" spans="1:10" ht="26.25" hidden="1" thickBot="1" x14ac:dyDescent="0.3">
      <c r="A532" s="235"/>
      <c r="B532" s="238"/>
      <c r="C532" s="155" t="s">
        <v>139</v>
      </c>
      <c r="D532" s="155" t="s">
        <v>870</v>
      </c>
      <c r="E532" s="34">
        <v>1.0798000000000001</v>
      </c>
      <c r="F532" s="31">
        <v>60.733499999999999</v>
      </c>
      <c r="G532" s="31">
        <f>IF(ISNUMBER(F532),E532*F532,"")</f>
        <v>65.580033300000011</v>
      </c>
      <c r="H532" s="35">
        <f>SUM(G532:G536)</f>
        <v>105.08490930000001</v>
      </c>
      <c r="I532" s="36"/>
      <c r="J532" s="125">
        <v>0</v>
      </c>
    </row>
    <row r="533" spans="1:10" ht="15.75" hidden="1" thickBot="1" x14ac:dyDescent="0.3">
      <c r="A533" s="235"/>
      <c r="B533" s="238"/>
      <c r="C533" s="155" t="s">
        <v>23677</v>
      </c>
      <c r="D533" s="155" t="s">
        <v>774</v>
      </c>
      <c r="E533" s="34">
        <v>6.85</v>
      </c>
      <c r="F533" s="31">
        <v>2.0804999999999998</v>
      </c>
      <c r="G533" s="31">
        <f>IF(ISNUMBER(F533),E533*F533,"")</f>
        <v>14.251424999999998</v>
      </c>
      <c r="H533" s="32"/>
      <c r="I533" s="28"/>
      <c r="J533" s="125">
        <v>0</v>
      </c>
    </row>
    <row r="534" spans="1:10" ht="15.75" hidden="1" thickBot="1" x14ac:dyDescent="0.3">
      <c r="A534" s="235"/>
      <c r="B534" s="238"/>
      <c r="C534" s="155" t="s">
        <v>27268</v>
      </c>
      <c r="D534" s="155" t="s">
        <v>774</v>
      </c>
      <c r="E534" s="34">
        <v>0.22</v>
      </c>
      <c r="F534" s="31">
        <v>6.5739999999999998</v>
      </c>
      <c r="G534" s="31">
        <f>IF(ISNUMBER(F534),E534*F534,"")</f>
        <v>1.44628</v>
      </c>
      <c r="H534" s="32"/>
      <c r="I534" s="28"/>
      <c r="J534" s="125">
        <v>0</v>
      </c>
    </row>
    <row r="535" spans="1:10" ht="15.75" hidden="1" thickBot="1" x14ac:dyDescent="0.3">
      <c r="A535" s="235"/>
      <c r="B535" s="238"/>
      <c r="C535" s="155" t="s">
        <v>1087</v>
      </c>
      <c r="D535" s="155" t="s">
        <v>587</v>
      </c>
      <c r="E535" s="34">
        <v>0.69699999999999995</v>
      </c>
      <c r="F535" s="28">
        <v>25.516999999999999</v>
      </c>
      <c r="G535" s="31">
        <f>IF(ISNUMBER(F535),E535*F535,"")</f>
        <v>17.785349</v>
      </c>
      <c r="H535" s="32"/>
      <c r="I535" s="28"/>
      <c r="J535" s="125">
        <v>0</v>
      </c>
    </row>
    <row r="536" spans="1:10" ht="15.75" hidden="1" thickBot="1" x14ac:dyDescent="0.3">
      <c r="A536" s="235"/>
      <c r="B536" s="238"/>
      <c r="C536" s="155" t="s">
        <v>588</v>
      </c>
      <c r="D536" s="155" t="s">
        <v>587</v>
      </c>
      <c r="E536" s="34">
        <v>0.31380000000000002</v>
      </c>
      <c r="F536" s="28">
        <v>19.189999999999998</v>
      </c>
      <c r="G536" s="31">
        <f>IF(ISNUMBER(F536),E536*F536,"")</f>
        <v>6.0218219999999993</v>
      </c>
      <c r="H536" s="32"/>
      <c r="I536" s="28"/>
      <c r="J536" s="125">
        <v>0</v>
      </c>
    </row>
    <row r="537" spans="1:10" ht="15.75" hidden="1" thickBot="1" x14ac:dyDescent="0.3">
      <c r="A537" s="236"/>
      <c r="B537" s="239"/>
      <c r="C537" s="155"/>
      <c r="D537" s="33"/>
      <c r="E537" s="34"/>
      <c r="F537" s="28" t="s">
        <v>418</v>
      </c>
      <c r="G537" s="28" t="str">
        <f>IF(ISNUMBER(F537),E537*F537,"")</f>
        <v/>
      </c>
      <c r="H537" s="32"/>
      <c r="I537" s="28"/>
      <c r="J537" s="125">
        <v>0</v>
      </c>
    </row>
    <row r="538" spans="1:10" ht="15.75" hidden="1" thickBot="1" x14ac:dyDescent="0.3">
      <c r="A538" s="234" t="s">
        <v>140</v>
      </c>
      <c r="B538" s="237" t="s">
        <v>1379</v>
      </c>
      <c r="C538" s="160"/>
      <c r="D538" s="23" t="s">
        <v>70</v>
      </c>
      <c r="E538" s="24"/>
      <c r="F538" s="37" t="s">
        <v>418</v>
      </c>
      <c r="G538" s="25" t="str">
        <f>IF(ISNUMBER(F538),E538*F538,"")</f>
        <v/>
      </c>
      <c r="H538" s="26"/>
      <c r="I538" s="27"/>
      <c r="J538" s="125">
        <v>0</v>
      </c>
    </row>
    <row r="539" spans="1:10" ht="15.75" hidden="1" thickBot="1" x14ac:dyDescent="0.3">
      <c r="A539" s="235"/>
      <c r="B539" s="238"/>
      <c r="C539" s="151"/>
      <c r="D539" s="29"/>
      <c r="E539" s="30"/>
      <c r="F539" s="38" t="s">
        <v>418</v>
      </c>
      <c r="G539" s="28" t="str">
        <f>IF(ISNUMBER(F539),E539*F539,"")</f>
        <v/>
      </c>
      <c r="H539" s="32"/>
      <c r="I539" s="28"/>
      <c r="J539" s="125">
        <v>0</v>
      </c>
    </row>
    <row r="540" spans="1:10" ht="26.25" hidden="1" thickBot="1" x14ac:dyDescent="0.3">
      <c r="A540" s="235"/>
      <c r="B540" s="238"/>
      <c r="C540" s="155" t="s">
        <v>141</v>
      </c>
      <c r="D540" s="155" t="s">
        <v>85</v>
      </c>
      <c r="E540" s="34">
        <v>5.2999999999999999E-2</v>
      </c>
      <c r="F540" s="31">
        <v>962.34900824750002</v>
      </c>
      <c r="G540" s="31">
        <f>IF(ISNUMBER(F540),E540*F540,"")</f>
        <v>51.0044974371175</v>
      </c>
      <c r="H540" s="35">
        <f>SUM(G540:G544)</f>
        <v>64.759547437117504</v>
      </c>
      <c r="I540" s="36"/>
      <c r="J540" s="125">
        <v>0</v>
      </c>
    </row>
    <row r="541" spans="1:10" ht="15.75" hidden="1" thickBot="1" x14ac:dyDescent="0.3">
      <c r="A541" s="235"/>
      <c r="B541" s="238"/>
      <c r="C541" s="155" t="s">
        <v>595</v>
      </c>
      <c r="D541" s="155" t="s">
        <v>587</v>
      </c>
      <c r="E541" s="34">
        <v>0.27100000000000002</v>
      </c>
      <c r="F541" s="28">
        <v>25.65</v>
      </c>
      <c r="G541" s="31">
        <f>IF(ISNUMBER(F541),E541*F541,"")</f>
        <v>6.9511500000000002</v>
      </c>
      <c r="H541" s="32"/>
      <c r="I541" s="28"/>
      <c r="J541" s="125">
        <v>0</v>
      </c>
    </row>
    <row r="542" spans="1:10" ht="15.75" hidden="1" thickBot="1" x14ac:dyDescent="0.3">
      <c r="A542" s="235"/>
      <c r="B542" s="238"/>
      <c r="C542" s="155" t="s">
        <v>588</v>
      </c>
      <c r="D542" s="155" t="s">
        <v>587</v>
      </c>
      <c r="E542" s="34">
        <v>0.13600000000000001</v>
      </c>
      <c r="F542" s="28">
        <v>19.189999999999998</v>
      </c>
      <c r="G542" s="31">
        <f>IF(ISNUMBER(F542),E542*F542,"")</f>
        <v>2.6098399999999997</v>
      </c>
      <c r="H542" s="32"/>
      <c r="I542" s="28"/>
      <c r="J542" s="125">
        <v>0</v>
      </c>
    </row>
    <row r="543" spans="1:10" ht="15.75" hidden="1" thickBot="1" x14ac:dyDescent="0.3">
      <c r="A543" s="235"/>
      <c r="B543" s="238"/>
      <c r="C543" s="155" t="s">
        <v>24537</v>
      </c>
      <c r="D543" s="155" t="s">
        <v>774</v>
      </c>
      <c r="E543" s="34">
        <v>0.5</v>
      </c>
      <c r="F543" s="31">
        <v>1.254</v>
      </c>
      <c r="G543" s="31">
        <f>IF(ISNUMBER(F543),E543*F543,"")</f>
        <v>0.627</v>
      </c>
      <c r="H543" s="32"/>
      <c r="I543" s="28"/>
      <c r="J543" s="125">
        <v>0</v>
      </c>
    </row>
    <row r="544" spans="1:10" ht="26.25" hidden="1" thickBot="1" x14ac:dyDescent="0.3">
      <c r="A544" s="235"/>
      <c r="B544" s="238"/>
      <c r="C544" s="155" t="s">
        <v>23492</v>
      </c>
      <c r="D544" s="155" t="s">
        <v>76</v>
      </c>
      <c r="E544" s="34">
        <v>0.21</v>
      </c>
      <c r="F544" s="31">
        <v>16.985999999999997</v>
      </c>
      <c r="G544" s="31">
        <f>IF(ISNUMBER(F544),E544*F544,"")</f>
        <v>3.5670599999999992</v>
      </c>
      <c r="H544" s="32"/>
      <c r="I544" s="28"/>
      <c r="J544" s="125">
        <v>0</v>
      </c>
    </row>
    <row r="545" spans="1:10" ht="15.75" hidden="1" thickBot="1" x14ac:dyDescent="0.3">
      <c r="A545" s="236"/>
      <c r="B545" s="239"/>
      <c r="C545" s="155"/>
      <c r="D545" s="33"/>
      <c r="E545" s="34"/>
      <c r="F545" s="28" t="s">
        <v>418</v>
      </c>
      <c r="G545" s="28" t="str">
        <f>IF(ISNUMBER(F545),E545*F545,"")</f>
        <v/>
      </c>
      <c r="H545" s="32"/>
      <c r="I545" s="28"/>
      <c r="J545" s="125">
        <v>0</v>
      </c>
    </row>
    <row r="546" spans="1:10" ht="15.75" hidden="1" thickBot="1" x14ac:dyDescent="0.3">
      <c r="A546" s="234" t="s">
        <v>142</v>
      </c>
      <c r="B546" s="237" t="s">
        <v>19677</v>
      </c>
      <c r="C546" s="160"/>
      <c r="D546" s="23" t="s">
        <v>70</v>
      </c>
      <c r="E546" s="24"/>
      <c r="F546" s="37" t="s">
        <v>418</v>
      </c>
      <c r="G546" s="25" t="str">
        <f>IF(ISNUMBER(F546),E546*F546,"")</f>
        <v/>
      </c>
      <c r="H546" s="26"/>
      <c r="I546" s="27"/>
      <c r="J546" s="125">
        <v>0</v>
      </c>
    </row>
    <row r="547" spans="1:10" ht="15.75" hidden="1" thickBot="1" x14ac:dyDescent="0.3">
      <c r="A547" s="235"/>
      <c r="B547" s="238"/>
      <c r="C547" s="151"/>
      <c r="D547" s="29"/>
      <c r="E547" s="30"/>
      <c r="F547" s="38" t="s">
        <v>418</v>
      </c>
      <c r="G547" s="28" t="str">
        <f>IF(ISNUMBER(F547),E547*F547,"")</f>
        <v/>
      </c>
      <c r="H547" s="32"/>
      <c r="I547" s="28"/>
      <c r="J547" s="125">
        <v>0</v>
      </c>
    </row>
    <row r="548" spans="1:10" ht="15.75" hidden="1" thickBot="1" x14ac:dyDescent="0.3">
      <c r="A548" s="235"/>
      <c r="B548" s="238"/>
      <c r="C548" s="155" t="s">
        <v>24537</v>
      </c>
      <c r="D548" s="155" t="s">
        <v>774</v>
      </c>
      <c r="E548" s="34">
        <v>0.5</v>
      </c>
      <c r="F548" s="31">
        <v>1.254</v>
      </c>
      <c r="G548" s="31">
        <f>IF(ISNUMBER(F548),E548*F548,"")</f>
        <v>0.627</v>
      </c>
      <c r="H548" s="35">
        <f>SUM(G548:G552)</f>
        <v>41.569309255672501</v>
      </c>
      <c r="I548" s="36"/>
      <c r="J548" s="125">
        <v>0</v>
      </c>
    </row>
    <row r="549" spans="1:10" ht="26.25" hidden="1" thickBot="1" x14ac:dyDescent="0.3">
      <c r="A549" s="235"/>
      <c r="B549" s="238"/>
      <c r="C549" s="155" t="s">
        <v>23492</v>
      </c>
      <c r="D549" s="155" t="s">
        <v>76</v>
      </c>
      <c r="E549" s="34">
        <v>0.21</v>
      </c>
      <c r="F549" s="31">
        <v>16.985999999999997</v>
      </c>
      <c r="G549" s="31">
        <f>IF(ISNUMBER(F549),E549*F549,"")</f>
        <v>3.5670599999999992</v>
      </c>
      <c r="H549" s="32"/>
      <c r="I549" s="28"/>
      <c r="J549" s="125">
        <v>0</v>
      </c>
    </row>
    <row r="550" spans="1:10" ht="26.25" hidden="1" thickBot="1" x14ac:dyDescent="0.3">
      <c r="A550" s="235"/>
      <c r="B550" s="238"/>
      <c r="C550" s="155" t="s">
        <v>141</v>
      </c>
      <c r="D550" s="155" t="s">
        <v>85</v>
      </c>
      <c r="E550" s="34">
        <v>3.1E-2</v>
      </c>
      <c r="F550" s="31">
        <v>962.34900824750002</v>
      </c>
      <c r="G550" s="31">
        <f>IF(ISNUMBER(F550),E550*F550,"")</f>
        <v>29.832819255672501</v>
      </c>
      <c r="H550" s="32"/>
      <c r="I550" s="28"/>
      <c r="J550" s="125">
        <v>0</v>
      </c>
    </row>
    <row r="551" spans="1:10" ht="15.75" hidden="1" thickBot="1" x14ac:dyDescent="0.3">
      <c r="A551" s="235"/>
      <c r="B551" s="238"/>
      <c r="C551" s="155" t="s">
        <v>595</v>
      </c>
      <c r="D551" s="155" t="s">
        <v>587</v>
      </c>
      <c r="E551" s="34">
        <v>0.214</v>
      </c>
      <c r="F551" s="28">
        <v>25.65</v>
      </c>
      <c r="G551" s="31">
        <f>IF(ISNUMBER(F551),E551*F551,"")</f>
        <v>5.4890999999999996</v>
      </c>
      <c r="H551" s="32"/>
      <c r="I551" s="28"/>
      <c r="J551" s="125">
        <v>0</v>
      </c>
    </row>
    <row r="552" spans="1:10" ht="15.75" hidden="1" thickBot="1" x14ac:dyDescent="0.3">
      <c r="A552" s="235"/>
      <c r="B552" s="238"/>
      <c r="C552" s="155" t="s">
        <v>588</v>
      </c>
      <c r="D552" s="155" t="s">
        <v>587</v>
      </c>
      <c r="E552" s="34">
        <v>0.107</v>
      </c>
      <c r="F552" s="28">
        <v>19.189999999999998</v>
      </c>
      <c r="G552" s="31">
        <f>IF(ISNUMBER(F552),E552*F552,"")</f>
        <v>2.0533299999999999</v>
      </c>
      <c r="H552" s="32"/>
      <c r="I552" s="28"/>
      <c r="J552" s="125">
        <v>0</v>
      </c>
    </row>
    <row r="553" spans="1:10" ht="15.75" hidden="1" thickBot="1" x14ac:dyDescent="0.3">
      <c r="A553" s="236"/>
      <c r="B553" s="239"/>
      <c r="C553" s="155"/>
      <c r="D553" s="33"/>
      <c r="E553" s="34"/>
      <c r="F553" s="28" t="s">
        <v>418</v>
      </c>
      <c r="G553" s="28" t="str">
        <f>IF(ISNUMBER(F553),E553*F553,"")</f>
        <v/>
      </c>
      <c r="H553" s="32"/>
      <c r="I553" s="28"/>
      <c r="J553" s="125">
        <v>0</v>
      </c>
    </row>
    <row r="554" spans="1:10" ht="15.75" hidden="1" thickBot="1" x14ac:dyDescent="0.3">
      <c r="A554" s="234" t="s">
        <v>143</v>
      </c>
      <c r="B554" s="237" t="s">
        <v>1380</v>
      </c>
      <c r="C554" s="160"/>
      <c r="D554" s="23" t="s">
        <v>70</v>
      </c>
      <c r="E554" s="24"/>
      <c r="F554" s="37" t="s">
        <v>418</v>
      </c>
      <c r="G554" s="25" t="str">
        <f>IF(ISNUMBER(F554),E554*F554,"")</f>
        <v/>
      </c>
      <c r="H554" s="26"/>
      <c r="I554" s="27"/>
      <c r="J554" s="125">
        <v>0</v>
      </c>
    </row>
    <row r="555" spans="1:10" ht="15.75" hidden="1" thickBot="1" x14ac:dyDescent="0.3">
      <c r="A555" s="235"/>
      <c r="B555" s="238"/>
      <c r="C555" s="151"/>
      <c r="D555" s="29"/>
      <c r="E555" s="30"/>
      <c r="F555" s="38" t="s">
        <v>418</v>
      </c>
      <c r="G555" s="28" t="str">
        <f>IF(ISNUMBER(F555),E555*F555,"")</f>
        <v/>
      </c>
      <c r="H555" s="32"/>
      <c r="I555" s="28"/>
      <c r="J555" s="125">
        <v>0</v>
      </c>
    </row>
    <row r="556" spans="1:10" ht="15.75" hidden="1" thickBot="1" x14ac:dyDescent="0.3">
      <c r="A556" s="235"/>
      <c r="B556" s="238"/>
      <c r="C556" s="155" t="s">
        <v>23678</v>
      </c>
      <c r="D556" s="155" t="s">
        <v>774</v>
      </c>
      <c r="E556" s="34">
        <v>8.6199999999999992</v>
      </c>
      <c r="F556" s="31">
        <v>3.4390000000000001</v>
      </c>
      <c r="G556" s="31">
        <f>IF(ISNUMBER(F556),E556*F556,"")</f>
        <v>29.644179999999999</v>
      </c>
      <c r="H556" s="35">
        <f>SUM(G556:G560)</f>
        <v>72.277596000000003</v>
      </c>
      <c r="I556" s="36"/>
      <c r="J556" s="125">
        <v>0</v>
      </c>
    </row>
    <row r="557" spans="1:10" ht="15.75" hidden="1" thickBot="1" x14ac:dyDescent="0.3">
      <c r="A557" s="235"/>
      <c r="B557" s="238"/>
      <c r="C557" s="155" t="s">
        <v>9784</v>
      </c>
      <c r="D557" s="155" t="s">
        <v>587</v>
      </c>
      <c r="E557" s="34">
        <v>1.1879999999999999</v>
      </c>
      <c r="F557" s="28">
        <v>25.516999999999999</v>
      </c>
      <c r="G557" s="31">
        <f>IF(ISNUMBER(F557),E557*F557,"")</f>
        <v>30.314195999999999</v>
      </c>
      <c r="H557" s="32"/>
      <c r="I557" s="28"/>
      <c r="J557" s="125">
        <v>0</v>
      </c>
    </row>
    <row r="558" spans="1:10" ht="15.75" hidden="1" thickBot="1" x14ac:dyDescent="0.3">
      <c r="A558" s="235"/>
      <c r="B558" s="238"/>
      <c r="C558" s="155" t="s">
        <v>588</v>
      </c>
      <c r="D558" s="155" t="s">
        <v>587</v>
      </c>
      <c r="E558" s="34">
        <v>0.59399999999999997</v>
      </c>
      <c r="F558" s="28">
        <v>19.189999999999998</v>
      </c>
      <c r="G558" s="31">
        <f>IF(ISNUMBER(F558),E558*F558,"")</f>
        <v>11.398859999999997</v>
      </c>
      <c r="H558" s="32"/>
      <c r="I558" s="28"/>
      <c r="J558" s="125">
        <v>0</v>
      </c>
    </row>
    <row r="559" spans="1:10" ht="15.75" hidden="1" thickBot="1" x14ac:dyDescent="0.3">
      <c r="A559" s="235"/>
      <c r="B559" s="238"/>
      <c r="C559" s="155" t="s">
        <v>27268</v>
      </c>
      <c r="D559" s="155" t="s">
        <v>774</v>
      </c>
      <c r="E559" s="34">
        <v>0.14000000000000001</v>
      </c>
      <c r="F559" s="31">
        <v>6.5739999999999998</v>
      </c>
      <c r="G559" s="31">
        <f>IF(ISNUMBER(F559),E559*F559,"")</f>
        <v>0.92036000000000007</v>
      </c>
      <c r="H559" s="32"/>
      <c r="I559" s="28"/>
      <c r="J559" s="125">
        <v>0</v>
      </c>
    </row>
    <row r="560" spans="1:10" ht="15.75" hidden="1" thickBot="1" x14ac:dyDescent="0.3">
      <c r="A560" s="235"/>
      <c r="B560" s="238"/>
      <c r="C560" s="155" t="s">
        <v>144</v>
      </c>
      <c r="D560" s="33" t="s">
        <v>70</v>
      </c>
      <c r="E560" s="34">
        <v>1.1599999999999999</v>
      </c>
      <c r="F560" s="31" t="s">
        <v>418</v>
      </c>
      <c r="G560" s="49" t="str">
        <f>IF(ISNUMBER(F560),E560*F560,"")</f>
        <v/>
      </c>
      <c r="H560" s="32"/>
      <c r="I560" s="28"/>
      <c r="J560" s="125">
        <v>0</v>
      </c>
    </row>
    <row r="561" spans="1:10" ht="15.75" hidden="1" thickBot="1" x14ac:dyDescent="0.3">
      <c r="A561" s="236"/>
      <c r="B561" s="239"/>
      <c r="C561" s="155"/>
      <c r="D561" s="33"/>
      <c r="E561" s="34"/>
      <c r="F561" s="28" t="s">
        <v>418</v>
      </c>
      <c r="G561" s="28" t="str">
        <f>IF(ISNUMBER(F561),E561*F561,"")</f>
        <v/>
      </c>
      <c r="H561" s="32"/>
      <c r="I561" s="28"/>
      <c r="J561" s="125">
        <v>0</v>
      </c>
    </row>
    <row r="562" spans="1:10" ht="15.75" hidden="1" thickBot="1" x14ac:dyDescent="0.3">
      <c r="A562" s="234" t="s">
        <v>145</v>
      </c>
      <c r="B562" s="237" t="s">
        <v>1381</v>
      </c>
      <c r="C562" s="160"/>
      <c r="D562" s="23" t="s">
        <v>70</v>
      </c>
      <c r="E562" s="24"/>
      <c r="F562" s="37" t="s">
        <v>418</v>
      </c>
      <c r="G562" s="25" t="str">
        <f>IF(ISNUMBER(F562),E562*F562,"")</f>
        <v/>
      </c>
      <c r="H562" s="26"/>
      <c r="I562" s="27"/>
      <c r="J562" s="125">
        <v>0</v>
      </c>
    </row>
    <row r="563" spans="1:10" ht="15.75" hidden="1" thickBot="1" x14ac:dyDescent="0.3">
      <c r="A563" s="235"/>
      <c r="B563" s="238"/>
      <c r="C563" s="151"/>
      <c r="D563" s="29"/>
      <c r="E563" s="30"/>
      <c r="F563" s="38" t="s">
        <v>418</v>
      </c>
      <c r="G563" s="28" t="str">
        <f>IF(ISNUMBER(F563),E563*F563,"")</f>
        <v/>
      </c>
      <c r="H563" s="32"/>
      <c r="I563" s="28"/>
      <c r="J563" s="125">
        <v>0</v>
      </c>
    </row>
    <row r="564" spans="1:10" ht="26.25" hidden="1" thickBot="1" x14ac:dyDescent="0.3">
      <c r="A564" s="235"/>
      <c r="B564" s="238"/>
      <c r="C564" s="155" t="s">
        <v>146</v>
      </c>
      <c r="D564" s="33" t="s">
        <v>69</v>
      </c>
      <c r="E564" s="34">
        <f>ROUND(1.04/0.07,4)</f>
        <v>14.857100000000001</v>
      </c>
      <c r="F564" s="31" t="s">
        <v>418</v>
      </c>
      <c r="G564" s="31" t="str">
        <f>IF(ISNUMBER(F564),E564*F564,"")</f>
        <v/>
      </c>
      <c r="H564" s="35">
        <f>SUM(G564:G568)</f>
        <v>142.593176</v>
      </c>
      <c r="I564" s="36"/>
      <c r="J564" s="125">
        <v>0</v>
      </c>
    </row>
    <row r="565" spans="1:10" ht="15.75" hidden="1" thickBot="1" x14ac:dyDescent="0.3">
      <c r="A565" s="235"/>
      <c r="B565" s="238"/>
      <c r="C565" s="155" t="s">
        <v>23678</v>
      </c>
      <c r="D565" s="155" t="s">
        <v>774</v>
      </c>
      <c r="E565" s="34">
        <f>ROUND(0.8614/0.1,4)</f>
        <v>8.6140000000000008</v>
      </c>
      <c r="F565" s="31">
        <v>3.4390000000000001</v>
      </c>
      <c r="G565" s="31">
        <f>IF(ISNUMBER(F565),E565*F565,"")</f>
        <v>29.623546000000005</v>
      </c>
      <c r="H565" s="40"/>
      <c r="I565" s="41"/>
      <c r="J565" s="125">
        <v>0</v>
      </c>
    </row>
    <row r="566" spans="1:10" ht="15.75" hidden="1" thickBot="1" x14ac:dyDescent="0.3">
      <c r="A566" s="235"/>
      <c r="B566" s="238"/>
      <c r="C566" s="155" t="s">
        <v>9784</v>
      </c>
      <c r="D566" s="155" t="s">
        <v>587</v>
      </c>
      <c r="E566" s="34">
        <f>0.299/0.1</f>
        <v>2.9899999999999998</v>
      </c>
      <c r="F566" s="28">
        <v>25.516999999999999</v>
      </c>
      <c r="G566" s="31">
        <f>IF(ISNUMBER(F566),E566*F566,"")</f>
        <v>76.295829999999995</v>
      </c>
      <c r="H566" s="32"/>
      <c r="I566" s="28"/>
      <c r="J566" s="125">
        <v>0</v>
      </c>
    </row>
    <row r="567" spans="1:10" ht="15.75" hidden="1" thickBot="1" x14ac:dyDescent="0.3">
      <c r="A567" s="235"/>
      <c r="B567" s="238"/>
      <c r="C567" s="155" t="s">
        <v>588</v>
      </c>
      <c r="D567" s="155" t="s">
        <v>587</v>
      </c>
      <c r="E567" s="34">
        <f>0.15/0.1</f>
        <v>1.4999999999999998</v>
      </c>
      <c r="F567" s="28">
        <v>19.189999999999998</v>
      </c>
      <c r="G567" s="31">
        <f>IF(ISNUMBER(F567),E567*F567,"")</f>
        <v>28.784999999999993</v>
      </c>
      <c r="H567" s="32"/>
      <c r="I567" s="28"/>
      <c r="J567" s="125">
        <v>0</v>
      </c>
    </row>
    <row r="568" spans="1:10" ht="15.75" hidden="1" thickBot="1" x14ac:dyDescent="0.3">
      <c r="A568" s="235"/>
      <c r="B568" s="238"/>
      <c r="C568" s="155" t="s">
        <v>27268</v>
      </c>
      <c r="D568" s="155" t="s">
        <v>774</v>
      </c>
      <c r="E568" s="34">
        <f>0.12/0.1</f>
        <v>1.2</v>
      </c>
      <c r="F568" s="31">
        <v>6.5739999999999998</v>
      </c>
      <c r="G568" s="31">
        <f>IF(ISNUMBER(F568),E568*F568,"")</f>
        <v>7.8887999999999998</v>
      </c>
      <c r="H568" s="32"/>
      <c r="I568" s="28"/>
      <c r="J568" s="125">
        <v>0</v>
      </c>
    </row>
    <row r="569" spans="1:10" ht="15.75" hidden="1" thickBot="1" x14ac:dyDescent="0.3">
      <c r="A569" s="235"/>
      <c r="B569" s="238"/>
      <c r="C569" s="155"/>
      <c r="D569" s="33"/>
      <c r="E569" s="34"/>
      <c r="F569" s="31" t="s">
        <v>418</v>
      </c>
      <c r="G569" s="31" t="str">
        <f>IF(ISNUMBER(F569),E569*F569,"")</f>
        <v/>
      </c>
      <c r="H569" s="32"/>
      <c r="I569" s="28"/>
      <c r="J569" s="125">
        <v>0</v>
      </c>
    </row>
    <row r="570" spans="1:10" ht="26.25" hidden="1" thickBot="1" x14ac:dyDescent="0.3">
      <c r="A570" s="235"/>
      <c r="B570" s="238"/>
      <c r="C570" s="43" t="s">
        <v>147</v>
      </c>
      <c r="D570" s="33"/>
      <c r="E570" s="34"/>
      <c r="F570" s="31" t="s">
        <v>418</v>
      </c>
      <c r="G570" s="31" t="str">
        <f>IF(ISNUMBER(F570),E570*F570,"")</f>
        <v/>
      </c>
      <c r="H570" s="32"/>
      <c r="I570" s="28"/>
      <c r="J570" s="125">
        <v>0</v>
      </c>
    </row>
    <row r="571" spans="1:10" ht="15.75" hidden="1" thickBot="1" x14ac:dyDescent="0.3">
      <c r="A571" s="236"/>
      <c r="B571" s="239"/>
      <c r="C571" s="155"/>
      <c r="D571" s="33"/>
      <c r="E571" s="34"/>
      <c r="F571" s="28" t="s">
        <v>418</v>
      </c>
      <c r="G571" s="28" t="str">
        <f>IF(ISNUMBER(F571),E571*F571,"")</f>
        <v/>
      </c>
      <c r="H571" s="32"/>
      <c r="I571" s="28"/>
      <c r="J571" s="125">
        <v>0</v>
      </c>
    </row>
    <row r="572" spans="1:10" ht="15.75" hidden="1" thickBot="1" x14ac:dyDescent="0.3">
      <c r="A572" s="234" t="s">
        <v>148</v>
      </c>
      <c r="B572" s="237" t="s">
        <v>1382</v>
      </c>
      <c r="C572" s="160"/>
      <c r="D572" s="23" t="s">
        <v>70</v>
      </c>
      <c r="E572" s="24"/>
      <c r="F572" s="37" t="s">
        <v>418</v>
      </c>
      <c r="G572" s="25" t="str">
        <f>IF(ISNUMBER(F572),E572*F572,"")</f>
        <v/>
      </c>
      <c r="H572" s="26"/>
      <c r="I572" s="27"/>
      <c r="J572" s="125">
        <v>0</v>
      </c>
    </row>
    <row r="573" spans="1:10" ht="15.75" hidden="1" thickBot="1" x14ac:dyDescent="0.3">
      <c r="A573" s="235"/>
      <c r="B573" s="238"/>
      <c r="C573" s="151"/>
      <c r="D573" s="29"/>
      <c r="E573" s="30"/>
      <c r="F573" s="38" t="s">
        <v>418</v>
      </c>
      <c r="G573" s="28" t="str">
        <f>IF(ISNUMBER(F573),E573*F573,"")</f>
        <v/>
      </c>
      <c r="H573" s="32"/>
      <c r="I573" s="28"/>
      <c r="J573" s="125">
        <v>0</v>
      </c>
    </row>
    <row r="574" spans="1:10" ht="26.25" hidden="1" thickBot="1" x14ac:dyDescent="0.3">
      <c r="A574" s="235"/>
      <c r="B574" s="238"/>
      <c r="C574" s="155" t="s">
        <v>149</v>
      </c>
      <c r="D574" s="33" t="s">
        <v>69</v>
      </c>
      <c r="E574" s="34">
        <f>ROUND(1/0.15,4)</f>
        <v>6.6666999999999996</v>
      </c>
      <c r="F574" s="31" t="s">
        <v>418</v>
      </c>
      <c r="G574" s="31" t="str">
        <f>IF(ISNUMBER(F574),E574*F574,"")</f>
        <v/>
      </c>
      <c r="H574" s="35">
        <f>SUM(G574:G577)</f>
        <v>157.55404390000001</v>
      </c>
      <c r="I574" s="36"/>
      <c r="J574" s="125">
        <v>0</v>
      </c>
    </row>
    <row r="575" spans="1:10" ht="15.75" hidden="1" thickBot="1" x14ac:dyDescent="0.3">
      <c r="A575" s="235"/>
      <c r="B575" s="238"/>
      <c r="C575" s="155" t="s">
        <v>23678</v>
      </c>
      <c r="D575" s="155" t="s">
        <v>774</v>
      </c>
      <c r="E575" s="34">
        <f>1.29/0.15</f>
        <v>8.6000000000000014</v>
      </c>
      <c r="F575" s="31">
        <v>3.4390000000000001</v>
      </c>
      <c r="G575" s="31">
        <f>IF(ISNUMBER(F575),E575*F575,"")</f>
        <v>29.575400000000005</v>
      </c>
      <c r="H575" s="32"/>
      <c r="I575" s="28"/>
      <c r="J575" s="125">
        <v>0</v>
      </c>
    </row>
    <row r="576" spans="1:10" ht="15.75" hidden="1" thickBot="1" x14ac:dyDescent="0.3">
      <c r="A576" s="235"/>
      <c r="B576" s="238"/>
      <c r="C576" s="155" t="s">
        <v>9784</v>
      </c>
      <c r="D576" s="155" t="s">
        <v>587</v>
      </c>
      <c r="E576" s="34">
        <f>ROUND(0.547/0.15,4)</f>
        <v>3.6467000000000001</v>
      </c>
      <c r="F576" s="28">
        <v>25.516999999999999</v>
      </c>
      <c r="G576" s="31">
        <f>IF(ISNUMBER(F576),E576*F576,"")</f>
        <v>93.052843899999999</v>
      </c>
      <c r="H576" s="32"/>
      <c r="I576" s="28"/>
      <c r="J576" s="125">
        <v>0</v>
      </c>
    </row>
    <row r="577" spans="1:10" ht="15.75" hidden="1" thickBot="1" x14ac:dyDescent="0.3">
      <c r="A577" s="235"/>
      <c r="B577" s="238"/>
      <c r="C577" s="155" t="s">
        <v>588</v>
      </c>
      <c r="D577" s="155" t="s">
        <v>587</v>
      </c>
      <c r="E577" s="34">
        <f>ROUND(0.273/0.15,4)</f>
        <v>1.82</v>
      </c>
      <c r="F577" s="28">
        <v>19.189999999999998</v>
      </c>
      <c r="G577" s="31">
        <f>IF(ISNUMBER(F577),E577*F577,"")</f>
        <v>34.925799999999995</v>
      </c>
      <c r="H577" s="32"/>
      <c r="I577" s="28"/>
      <c r="J577" s="125">
        <v>0</v>
      </c>
    </row>
    <row r="578" spans="1:10" ht="15.75" hidden="1" thickBot="1" x14ac:dyDescent="0.3">
      <c r="A578" s="235"/>
      <c r="B578" s="238"/>
      <c r="C578" s="155"/>
      <c r="D578" s="33"/>
      <c r="E578" s="34"/>
      <c r="F578" s="28" t="s">
        <v>418</v>
      </c>
      <c r="G578" s="31" t="str">
        <f>IF(ISNUMBER(F578),E578*F578,"")</f>
        <v/>
      </c>
      <c r="H578" s="32"/>
      <c r="I578" s="28"/>
      <c r="J578" s="125">
        <v>0</v>
      </c>
    </row>
    <row r="579" spans="1:10" ht="26.25" hidden="1" thickBot="1" x14ac:dyDescent="0.3">
      <c r="A579" s="235"/>
      <c r="B579" s="238"/>
      <c r="C579" s="43" t="s">
        <v>150</v>
      </c>
      <c r="D579" s="33"/>
      <c r="E579" s="34"/>
      <c r="F579" s="28" t="s">
        <v>418</v>
      </c>
      <c r="G579" s="31" t="str">
        <f>IF(ISNUMBER(F579),E579*F579,"")</f>
        <v/>
      </c>
      <c r="H579" s="32"/>
      <c r="I579" s="28"/>
      <c r="J579" s="125">
        <v>0</v>
      </c>
    </row>
    <row r="580" spans="1:10" ht="15.75" hidden="1" thickBot="1" x14ac:dyDescent="0.3">
      <c r="A580" s="236"/>
      <c r="B580" s="239"/>
      <c r="C580" s="155"/>
      <c r="D580" s="33"/>
      <c r="E580" s="34"/>
      <c r="F580" s="28" t="s">
        <v>418</v>
      </c>
      <c r="G580" s="28" t="str">
        <f>IF(ISNUMBER(F580),E580*F580,"")</f>
        <v/>
      </c>
      <c r="H580" s="32"/>
      <c r="I580" s="28"/>
      <c r="J580" s="125">
        <v>0</v>
      </c>
    </row>
    <row r="581" spans="1:10" ht="15.75" hidden="1" thickBot="1" x14ac:dyDescent="0.3">
      <c r="A581" s="234" t="s">
        <v>151</v>
      </c>
      <c r="B581" s="237" t="s">
        <v>1383</v>
      </c>
      <c r="C581" s="160"/>
      <c r="D581" s="23" t="s">
        <v>70</v>
      </c>
      <c r="E581" s="24"/>
      <c r="F581" s="37" t="s">
        <v>418</v>
      </c>
      <c r="G581" s="25" t="str">
        <f>IF(ISNUMBER(F581),E581*F581,"")</f>
        <v/>
      </c>
      <c r="H581" s="26"/>
      <c r="I581" s="27"/>
      <c r="J581" s="125">
        <v>0</v>
      </c>
    </row>
    <row r="582" spans="1:10" ht="15.75" hidden="1" thickBot="1" x14ac:dyDescent="0.3">
      <c r="A582" s="235"/>
      <c r="B582" s="238"/>
      <c r="C582" s="151"/>
      <c r="D582" s="29"/>
      <c r="E582" s="30"/>
      <c r="F582" s="38" t="s">
        <v>418</v>
      </c>
      <c r="G582" s="28" t="str">
        <f>IF(ISNUMBER(F582),E582*F582,"")</f>
        <v/>
      </c>
      <c r="H582" s="32"/>
      <c r="I582" s="28"/>
      <c r="J582" s="125">
        <v>0</v>
      </c>
    </row>
    <row r="583" spans="1:10" ht="15.75" hidden="1" thickBot="1" x14ac:dyDescent="0.3">
      <c r="A583" s="235"/>
      <c r="B583" s="238"/>
      <c r="C583" s="155" t="s">
        <v>23678</v>
      </c>
      <c r="D583" s="155" t="s">
        <v>774</v>
      </c>
      <c r="E583" s="34">
        <v>8.6199999999999992</v>
      </c>
      <c r="F583" s="31">
        <v>3.4390000000000001</v>
      </c>
      <c r="G583" s="31">
        <f>IF(ISNUMBER(F583),E583*F583,"")</f>
        <v>29.644179999999999</v>
      </c>
      <c r="H583" s="35">
        <f>SUM(G583:G587)</f>
        <v>72.277596000000003</v>
      </c>
      <c r="I583" s="36"/>
      <c r="J583" s="125">
        <v>0</v>
      </c>
    </row>
    <row r="584" spans="1:10" ht="15.75" hidden="1" thickBot="1" x14ac:dyDescent="0.3">
      <c r="A584" s="235"/>
      <c r="B584" s="238"/>
      <c r="C584" s="155" t="s">
        <v>9784</v>
      </c>
      <c r="D584" s="155" t="s">
        <v>587</v>
      </c>
      <c r="E584" s="34">
        <v>1.1879999999999999</v>
      </c>
      <c r="F584" s="28">
        <v>25.516999999999999</v>
      </c>
      <c r="G584" s="31">
        <f>IF(ISNUMBER(F584),E584*F584,"")</f>
        <v>30.314195999999999</v>
      </c>
      <c r="H584" s="32"/>
      <c r="I584" s="28"/>
      <c r="J584" s="125">
        <v>0</v>
      </c>
    </row>
    <row r="585" spans="1:10" ht="15.75" hidden="1" thickBot="1" x14ac:dyDescent="0.3">
      <c r="A585" s="235"/>
      <c r="B585" s="238"/>
      <c r="C585" s="155" t="s">
        <v>588</v>
      </c>
      <c r="D585" s="155" t="s">
        <v>587</v>
      </c>
      <c r="E585" s="34">
        <v>0.59399999999999997</v>
      </c>
      <c r="F585" s="28">
        <v>19.189999999999998</v>
      </c>
      <c r="G585" s="31">
        <f>IF(ISNUMBER(F585),E585*F585,"")</f>
        <v>11.398859999999997</v>
      </c>
      <c r="H585" s="32"/>
      <c r="I585" s="28"/>
      <c r="J585" s="125">
        <v>0</v>
      </c>
    </row>
    <row r="586" spans="1:10" ht="15.75" hidden="1" thickBot="1" x14ac:dyDescent="0.3">
      <c r="A586" s="235"/>
      <c r="B586" s="238"/>
      <c r="C586" s="155" t="s">
        <v>27268</v>
      </c>
      <c r="D586" s="155" t="s">
        <v>774</v>
      </c>
      <c r="E586" s="34">
        <v>0.14000000000000001</v>
      </c>
      <c r="F586" s="31">
        <v>6.5739999999999998</v>
      </c>
      <c r="G586" s="31">
        <f>IF(ISNUMBER(F586),E586*F586,"")</f>
        <v>0.92036000000000007</v>
      </c>
      <c r="H586" s="32"/>
      <c r="I586" s="28"/>
      <c r="J586" s="125">
        <v>0</v>
      </c>
    </row>
    <row r="587" spans="1:10" ht="15.75" hidden="1" thickBot="1" x14ac:dyDescent="0.3">
      <c r="A587" s="235"/>
      <c r="B587" s="238"/>
      <c r="C587" s="155" t="s">
        <v>152</v>
      </c>
      <c r="D587" s="33" t="s">
        <v>70</v>
      </c>
      <c r="E587" s="34">
        <v>1.1599999999999999</v>
      </c>
      <c r="F587" s="31" t="s">
        <v>418</v>
      </c>
      <c r="G587" s="49" t="str">
        <f>IF(ISNUMBER(F587),E587*F587,"")</f>
        <v/>
      </c>
      <c r="H587" s="32"/>
      <c r="I587" s="28"/>
      <c r="J587" s="125">
        <v>0</v>
      </c>
    </row>
    <row r="588" spans="1:10" ht="15.75" hidden="1" thickBot="1" x14ac:dyDescent="0.3">
      <c r="A588" s="236"/>
      <c r="B588" s="239"/>
      <c r="C588" s="155"/>
      <c r="D588" s="33"/>
      <c r="E588" s="34"/>
      <c r="F588" s="28" t="s">
        <v>418</v>
      </c>
      <c r="G588" s="28" t="str">
        <f>IF(ISNUMBER(F588),E588*F588,"")</f>
        <v/>
      </c>
      <c r="H588" s="32"/>
      <c r="I588" s="28"/>
      <c r="J588" s="125">
        <v>0</v>
      </c>
    </row>
    <row r="589" spans="1:10" ht="15.75" hidden="1" thickBot="1" x14ac:dyDescent="0.3">
      <c r="A589" s="234" t="s">
        <v>153</v>
      </c>
      <c r="B589" s="237" t="s">
        <v>1384</v>
      </c>
      <c r="C589" s="160"/>
      <c r="D589" s="23" t="s">
        <v>70</v>
      </c>
      <c r="E589" s="24"/>
      <c r="F589" s="37" t="s">
        <v>418</v>
      </c>
      <c r="G589" s="25" t="str">
        <f>IF(ISNUMBER(F589),E589*F589,"")</f>
        <v/>
      </c>
      <c r="H589" s="26"/>
      <c r="I589" s="27"/>
      <c r="J589" s="125">
        <v>0</v>
      </c>
    </row>
    <row r="590" spans="1:10" ht="15.75" hidden="1" thickBot="1" x14ac:dyDescent="0.3">
      <c r="A590" s="235"/>
      <c r="B590" s="238"/>
      <c r="C590" s="151"/>
      <c r="D590" s="29"/>
      <c r="E590" s="30"/>
      <c r="F590" s="38" t="s">
        <v>418</v>
      </c>
      <c r="G590" s="28" t="str">
        <f>IF(ISNUMBER(F590),E590*F590,"")</f>
        <v/>
      </c>
      <c r="H590" s="32"/>
      <c r="I590" s="28"/>
      <c r="J590" s="125">
        <v>0</v>
      </c>
    </row>
    <row r="591" spans="1:10" ht="26.25" hidden="1" thickBot="1" x14ac:dyDescent="0.3">
      <c r="A591" s="235"/>
      <c r="B591" s="238"/>
      <c r="C591" s="155" t="s">
        <v>154</v>
      </c>
      <c r="D591" s="33" t="s">
        <v>69</v>
      </c>
      <c r="E591" s="34">
        <f>ROUND(1.04/0.07,2)</f>
        <v>14.86</v>
      </c>
      <c r="F591" s="31" t="s">
        <v>418</v>
      </c>
      <c r="G591" s="31" t="str">
        <f>IF(ISNUMBER(F591),E591*F591,"")</f>
        <v/>
      </c>
      <c r="H591" s="35">
        <f>SUM(G591:G595)</f>
        <v>142.593176</v>
      </c>
      <c r="I591" s="36"/>
      <c r="J591" s="125">
        <v>0</v>
      </c>
    </row>
    <row r="592" spans="1:10" ht="15.75" hidden="1" thickBot="1" x14ac:dyDescent="0.3">
      <c r="A592" s="235"/>
      <c r="B592" s="238"/>
      <c r="C592" s="155" t="s">
        <v>23678</v>
      </c>
      <c r="D592" s="155" t="s">
        <v>774</v>
      </c>
      <c r="E592" s="34">
        <f>ROUND(0.8614/0.1,4)</f>
        <v>8.6140000000000008</v>
      </c>
      <c r="F592" s="31">
        <v>3.4390000000000001</v>
      </c>
      <c r="G592" s="31">
        <f>IF(ISNUMBER(F592),E592*F592,"")</f>
        <v>29.623546000000005</v>
      </c>
      <c r="H592" s="32"/>
      <c r="I592" s="28"/>
      <c r="J592" s="125">
        <v>0</v>
      </c>
    </row>
    <row r="593" spans="1:10" ht="15.75" hidden="1" thickBot="1" x14ac:dyDescent="0.3">
      <c r="A593" s="235"/>
      <c r="B593" s="238"/>
      <c r="C593" s="155" t="s">
        <v>9784</v>
      </c>
      <c r="D593" s="155" t="s">
        <v>587</v>
      </c>
      <c r="E593" s="34">
        <f>0.299/0.1</f>
        <v>2.9899999999999998</v>
      </c>
      <c r="F593" s="28">
        <v>25.516999999999999</v>
      </c>
      <c r="G593" s="31">
        <f>IF(ISNUMBER(F593),E593*F593,"")</f>
        <v>76.295829999999995</v>
      </c>
      <c r="H593" s="32"/>
      <c r="I593" s="28"/>
      <c r="J593" s="125">
        <v>0</v>
      </c>
    </row>
    <row r="594" spans="1:10" ht="15.75" hidden="1" thickBot="1" x14ac:dyDescent="0.3">
      <c r="A594" s="235"/>
      <c r="B594" s="238"/>
      <c r="C594" s="155" t="s">
        <v>588</v>
      </c>
      <c r="D594" s="155" t="s">
        <v>587</v>
      </c>
      <c r="E594" s="34">
        <f>0.15/0.1</f>
        <v>1.4999999999999998</v>
      </c>
      <c r="F594" s="28">
        <v>19.189999999999998</v>
      </c>
      <c r="G594" s="31">
        <f>IF(ISNUMBER(F594),E594*F594,"")</f>
        <v>28.784999999999993</v>
      </c>
      <c r="H594" s="32"/>
      <c r="I594" s="28"/>
      <c r="J594" s="125">
        <v>0</v>
      </c>
    </row>
    <row r="595" spans="1:10" ht="15.75" hidden="1" thickBot="1" x14ac:dyDescent="0.3">
      <c r="A595" s="235"/>
      <c r="B595" s="238"/>
      <c r="C595" s="155" t="s">
        <v>27268</v>
      </c>
      <c r="D595" s="155" t="s">
        <v>774</v>
      </c>
      <c r="E595" s="34">
        <f>0.12/0.1</f>
        <v>1.2</v>
      </c>
      <c r="F595" s="31">
        <v>6.5739999999999998</v>
      </c>
      <c r="G595" s="31">
        <f>IF(ISNUMBER(F595),E595*F595,"")</f>
        <v>7.8887999999999998</v>
      </c>
      <c r="H595" s="32"/>
      <c r="I595" s="28"/>
      <c r="J595" s="125">
        <v>0</v>
      </c>
    </row>
    <row r="596" spans="1:10" ht="15.75" hidden="1" thickBot="1" x14ac:dyDescent="0.3">
      <c r="A596" s="235"/>
      <c r="B596" s="238"/>
      <c r="C596" s="155"/>
      <c r="D596" s="33"/>
      <c r="E596" s="34"/>
      <c r="F596" s="31" t="s">
        <v>418</v>
      </c>
      <c r="G596" s="31" t="str">
        <f>IF(ISNUMBER(F596),E596*F596,"")</f>
        <v/>
      </c>
      <c r="H596" s="32"/>
      <c r="I596" s="28"/>
      <c r="J596" s="125">
        <v>0</v>
      </c>
    </row>
    <row r="597" spans="1:10" ht="26.25" hidden="1" thickBot="1" x14ac:dyDescent="0.3">
      <c r="A597" s="235"/>
      <c r="B597" s="238"/>
      <c r="C597" s="43" t="s">
        <v>147</v>
      </c>
      <c r="D597" s="33"/>
      <c r="E597" s="34"/>
      <c r="F597" s="31" t="s">
        <v>418</v>
      </c>
      <c r="G597" s="31" t="str">
        <f>IF(ISNUMBER(F597),E597*F597,"")</f>
        <v/>
      </c>
      <c r="H597" s="32"/>
      <c r="I597" s="28"/>
      <c r="J597" s="125">
        <v>0</v>
      </c>
    </row>
    <row r="598" spans="1:10" ht="15.75" hidden="1" thickBot="1" x14ac:dyDescent="0.3">
      <c r="A598" s="236"/>
      <c r="B598" s="239"/>
      <c r="C598" s="155"/>
      <c r="D598" s="33"/>
      <c r="E598" s="34"/>
      <c r="F598" s="28" t="s">
        <v>418</v>
      </c>
      <c r="G598" s="28" t="str">
        <f>IF(ISNUMBER(F598),E598*F598,"")</f>
        <v/>
      </c>
      <c r="H598" s="32"/>
      <c r="I598" s="28"/>
      <c r="J598" s="125">
        <v>0</v>
      </c>
    </row>
    <row r="599" spans="1:10" ht="15.75" hidden="1" thickBot="1" x14ac:dyDescent="0.3">
      <c r="A599" s="234" t="s">
        <v>155</v>
      </c>
      <c r="B599" s="237" t="s">
        <v>1385</v>
      </c>
      <c r="C599" s="160"/>
      <c r="D599" s="23" t="s">
        <v>70</v>
      </c>
      <c r="E599" s="24"/>
      <c r="F599" s="37" t="s">
        <v>418</v>
      </c>
      <c r="G599" s="25" t="str">
        <f>IF(ISNUMBER(F599),E599*F599,"")</f>
        <v/>
      </c>
      <c r="H599" s="26"/>
      <c r="I599" s="27"/>
      <c r="J599" s="125">
        <v>0</v>
      </c>
    </row>
    <row r="600" spans="1:10" ht="15.75" hidden="1" thickBot="1" x14ac:dyDescent="0.3">
      <c r="A600" s="235"/>
      <c r="B600" s="238"/>
      <c r="C600" s="151"/>
      <c r="D600" s="29"/>
      <c r="E600" s="30"/>
      <c r="F600" s="38" t="s">
        <v>418</v>
      </c>
      <c r="G600" s="28" t="str">
        <f>IF(ISNUMBER(F600),E600*F600,"")</f>
        <v/>
      </c>
      <c r="H600" s="32"/>
      <c r="I600" s="28"/>
      <c r="J600" s="125">
        <v>0</v>
      </c>
    </row>
    <row r="601" spans="1:10" ht="26.25" hidden="1" thickBot="1" x14ac:dyDescent="0.3">
      <c r="A601" s="235"/>
      <c r="B601" s="238"/>
      <c r="C601" s="155" t="s">
        <v>156</v>
      </c>
      <c r="D601" s="33" t="s">
        <v>69</v>
      </c>
      <c r="E601" s="34">
        <f>ROUND(1/0.15,4)</f>
        <v>6.6666999999999996</v>
      </c>
      <c r="F601" s="31" t="s">
        <v>418</v>
      </c>
      <c r="G601" s="31" t="str">
        <f>IF(ISNUMBER(F601),E601*F601,"")</f>
        <v/>
      </c>
      <c r="H601" s="35">
        <f>SUM(G601:G604)</f>
        <v>157.55404390000001</v>
      </c>
      <c r="I601" s="36"/>
      <c r="J601" s="125">
        <v>0</v>
      </c>
    </row>
    <row r="602" spans="1:10" ht="15.75" hidden="1" thickBot="1" x14ac:dyDescent="0.3">
      <c r="A602" s="235"/>
      <c r="B602" s="238"/>
      <c r="C602" s="155" t="s">
        <v>23678</v>
      </c>
      <c r="D602" s="155" t="s">
        <v>774</v>
      </c>
      <c r="E602" s="34">
        <f>ROUND(1.29/0.15,4)</f>
        <v>8.6</v>
      </c>
      <c r="F602" s="31">
        <v>3.4390000000000001</v>
      </c>
      <c r="G602" s="31">
        <f>IF(ISNUMBER(F602),E602*F602,"")</f>
        <v>29.575399999999998</v>
      </c>
      <c r="H602" s="32"/>
      <c r="I602" s="28"/>
      <c r="J602" s="125">
        <v>0</v>
      </c>
    </row>
    <row r="603" spans="1:10" ht="15.75" hidden="1" thickBot="1" x14ac:dyDescent="0.3">
      <c r="A603" s="235"/>
      <c r="B603" s="238"/>
      <c r="C603" s="155" t="s">
        <v>9784</v>
      </c>
      <c r="D603" s="155" t="s">
        <v>587</v>
      </c>
      <c r="E603" s="34">
        <f>ROUND(0.547/0.15,4)</f>
        <v>3.6467000000000001</v>
      </c>
      <c r="F603" s="28">
        <v>25.516999999999999</v>
      </c>
      <c r="G603" s="31">
        <f>IF(ISNUMBER(F603),E603*F603,"")</f>
        <v>93.052843899999999</v>
      </c>
      <c r="H603" s="32"/>
      <c r="I603" s="28"/>
      <c r="J603" s="125">
        <v>0</v>
      </c>
    </row>
    <row r="604" spans="1:10" ht="15.75" hidden="1" thickBot="1" x14ac:dyDescent="0.3">
      <c r="A604" s="235"/>
      <c r="B604" s="238"/>
      <c r="C604" s="155" t="s">
        <v>588</v>
      </c>
      <c r="D604" s="155" t="s">
        <v>587</v>
      </c>
      <c r="E604" s="34">
        <f>ROUND(0.273/0.15,4)</f>
        <v>1.82</v>
      </c>
      <c r="F604" s="28">
        <v>19.189999999999998</v>
      </c>
      <c r="G604" s="31">
        <f>IF(ISNUMBER(F604),E604*F604,"")</f>
        <v>34.925799999999995</v>
      </c>
      <c r="H604" s="32"/>
      <c r="I604" s="28"/>
      <c r="J604" s="125">
        <v>0</v>
      </c>
    </row>
    <row r="605" spans="1:10" ht="15.75" hidden="1" thickBot="1" x14ac:dyDescent="0.3">
      <c r="A605" s="235"/>
      <c r="B605" s="238"/>
      <c r="C605" s="155"/>
      <c r="D605" s="33"/>
      <c r="E605" s="34"/>
      <c r="F605" s="28" t="s">
        <v>418</v>
      </c>
      <c r="G605" s="31" t="str">
        <f>IF(ISNUMBER(F605),E605*F605,"")</f>
        <v/>
      </c>
      <c r="H605" s="32"/>
      <c r="I605" s="28"/>
      <c r="J605" s="125">
        <v>0</v>
      </c>
    </row>
    <row r="606" spans="1:10" ht="26.25" hidden="1" thickBot="1" x14ac:dyDescent="0.3">
      <c r="A606" s="235"/>
      <c r="B606" s="238"/>
      <c r="C606" s="43" t="s">
        <v>150</v>
      </c>
      <c r="D606" s="33"/>
      <c r="E606" s="34"/>
      <c r="F606" s="28" t="s">
        <v>418</v>
      </c>
      <c r="G606" s="31" t="str">
        <f>IF(ISNUMBER(F606),E606*F606,"")</f>
        <v/>
      </c>
      <c r="H606" s="32"/>
      <c r="I606" s="28"/>
      <c r="J606" s="125">
        <v>0</v>
      </c>
    </row>
    <row r="607" spans="1:10" ht="15.75" hidden="1" thickBot="1" x14ac:dyDescent="0.3">
      <c r="A607" s="236"/>
      <c r="B607" s="239"/>
      <c r="C607" s="155"/>
      <c r="D607" s="33"/>
      <c r="E607" s="34"/>
      <c r="F607" s="28" t="s">
        <v>418</v>
      </c>
      <c r="G607" s="28" t="str">
        <f>IF(ISNUMBER(F607),E607*F607,"")</f>
        <v/>
      </c>
      <c r="H607" s="32"/>
      <c r="I607" s="28"/>
      <c r="J607" s="125">
        <v>0</v>
      </c>
    </row>
    <row r="608" spans="1:10" ht="15.75" hidden="1" thickBot="1" x14ac:dyDescent="0.3">
      <c r="A608" s="234" t="s">
        <v>157</v>
      </c>
      <c r="B608" s="237" t="s">
        <v>1386</v>
      </c>
      <c r="C608" s="160"/>
      <c r="D608" s="23" t="s">
        <v>69</v>
      </c>
      <c r="E608" s="24"/>
      <c r="F608" s="37" t="s">
        <v>418</v>
      </c>
      <c r="G608" s="25" t="str">
        <f>IF(ISNUMBER(F608),E608*F608,"")</f>
        <v/>
      </c>
      <c r="H608" s="26"/>
      <c r="I608" s="27"/>
      <c r="J608" s="125">
        <v>0</v>
      </c>
    </row>
    <row r="609" spans="1:10" ht="15.75" hidden="1" thickBot="1" x14ac:dyDescent="0.3">
      <c r="A609" s="235"/>
      <c r="B609" s="238"/>
      <c r="C609" s="151"/>
      <c r="D609" s="29"/>
      <c r="E609" s="30"/>
      <c r="F609" s="38" t="s">
        <v>418</v>
      </c>
      <c r="G609" s="28" t="str">
        <f>IF(ISNUMBER(F609),E609*F609,"")</f>
        <v/>
      </c>
      <c r="H609" s="32"/>
      <c r="I609" s="28"/>
      <c r="J609" s="125">
        <v>0</v>
      </c>
    </row>
    <row r="610" spans="1:10" ht="15.75" hidden="1" thickBot="1" x14ac:dyDescent="0.3">
      <c r="A610" s="235"/>
      <c r="B610" s="238"/>
      <c r="C610" s="155" t="s">
        <v>1103</v>
      </c>
      <c r="D610" s="155" t="s">
        <v>774</v>
      </c>
      <c r="E610" s="34">
        <v>4.0300000000000002E-2</v>
      </c>
      <c r="F610" s="28">
        <v>39.063999999999993</v>
      </c>
      <c r="G610" s="31">
        <f>IF(ISNUMBER(F610),E610*F610,"")</f>
        <v>1.5742791999999999</v>
      </c>
      <c r="H610" s="35">
        <f>SUM(G610:G612)</f>
        <v>13.672196700000001</v>
      </c>
      <c r="I610" s="36"/>
      <c r="J610" s="125">
        <v>0</v>
      </c>
    </row>
    <row r="611" spans="1:10" ht="15.75" hidden="1" thickBot="1" x14ac:dyDescent="0.3">
      <c r="A611" s="235"/>
      <c r="B611" s="238"/>
      <c r="C611" s="155" t="s">
        <v>588</v>
      </c>
      <c r="D611" s="155" t="s">
        <v>587</v>
      </c>
      <c r="E611" s="34">
        <v>0.15140000000000001</v>
      </c>
      <c r="F611" s="31">
        <v>19.189999999999998</v>
      </c>
      <c r="G611" s="31">
        <f>IF(ISNUMBER(F611),E611*F611,"")</f>
        <v>2.9053659999999999</v>
      </c>
      <c r="H611" s="32"/>
      <c r="I611" s="28"/>
      <c r="J611" s="125">
        <v>0</v>
      </c>
    </row>
    <row r="612" spans="1:10" ht="15.75" hidden="1" thickBot="1" x14ac:dyDescent="0.3">
      <c r="A612" s="235"/>
      <c r="B612" s="238"/>
      <c r="C612" s="155" t="s">
        <v>1078</v>
      </c>
      <c r="D612" s="155" t="s">
        <v>587</v>
      </c>
      <c r="E612" s="34">
        <v>0.36349999999999999</v>
      </c>
      <c r="F612" s="31">
        <v>25.289000000000001</v>
      </c>
      <c r="G612" s="31">
        <f>IF(ISNUMBER(F612),E612*F612,"")</f>
        <v>9.1925515000000004</v>
      </c>
      <c r="H612" s="32"/>
      <c r="I612" s="28"/>
      <c r="J612" s="125">
        <v>0</v>
      </c>
    </row>
    <row r="613" spans="1:10" ht="15.75" hidden="1" thickBot="1" x14ac:dyDescent="0.3">
      <c r="A613" s="235"/>
      <c r="B613" s="238"/>
      <c r="C613" s="155"/>
      <c r="D613" s="33"/>
      <c r="E613" s="34"/>
      <c r="F613" s="28" t="s">
        <v>418</v>
      </c>
      <c r="G613" s="28" t="str">
        <f>IF(ISNUMBER(F613),E613*F613,"")</f>
        <v/>
      </c>
      <c r="H613" s="32"/>
      <c r="I613" s="28"/>
      <c r="J613" s="125">
        <v>0</v>
      </c>
    </row>
    <row r="614" spans="1:10" ht="15.75" hidden="1" thickBot="1" x14ac:dyDescent="0.3">
      <c r="A614" s="234" t="s">
        <v>158</v>
      </c>
      <c r="B614" s="237" t="s">
        <v>1387</v>
      </c>
      <c r="C614" s="160"/>
      <c r="D614" s="23" t="s">
        <v>70</v>
      </c>
      <c r="E614" s="24"/>
      <c r="F614" s="37" t="s">
        <v>418</v>
      </c>
      <c r="G614" s="25" t="str">
        <f>IF(ISNUMBER(F614),E614*F614,"")</f>
        <v/>
      </c>
      <c r="H614" s="26"/>
      <c r="I614" s="27"/>
      <c r="J614" s="125">
        <v>0</v>
      </c>
    </row>
    <row r="615" spans="1:10" ht="15.75" hidden="1" thickBot="1" x14ac:dyDescent="0.3">
      <c r="A615" s="235"/>
      <c r="B615" s="238"/>
      <c r="C615" s="151"/>
      <c r="D615" s="29"/>
      <c r="E615" s="30"/>
      <c r="F615" s="38" t="s">
        <v>418</v>
      </c>
      <c r="G615" s="28" t="str">
        <f>IF(ISNUMBER(F615),E615*F615,"")</f>
        <v/>
      </c>
      <c r="H615" s="32"/>
      <c r="I615" s="28"/>
      <c r="J615" s="125">
        <v>0</v>
      </c>
    </row>
    <row r="616" spans="1:10" ht="15.75" hidden="1" thickBot="1" x14ac:dyDescent="0.3">
      <c r="A616" s="235"/>
      <c r="B616" s="238"/>
      <c r="C616" s="155" t="s">
        <v>23678</v>
      </c>
      <c r="D616" s="155" t="s">
        <v>774</v>
      </c>
      <c r="E616" s="34">
        <v>8.6199999999999992</v>
      </c>
      <c r="F616" s="31">
        <v>3.4390000000000001</v>
      </c>
      <c r="G616" s="31">
        <f>IF(ISNUMBER(F616),E616*F616,"")</f>
        <v>29.644179999999999</v>
      </c>
      <c r="H616" s="35">
        <f>SUM(G616:G620)</f>
        <v>72.277596000000003</v>
      </c>
      <c r="I616" s="36"/>
      <c r="J616" s="125">
        <v>0</v>
      </c>
    </row>
    <row r="617" spans="1:10" ht="15.75" hidden="1" thickBot="1" x14ac:dyDescent="0.3">
      <c r="A617" s="235"/>
      <c r="B617" s="238"/>
      <c r="C617" s="155" t="s">
        <v>9784</v>
      </c>
      <c r="D617" s="155" t="s">
        <v>587</v>
      </c>
      <c r="E617" s="34">
        <v>1.1879999999999999</v>
      </c>
      <c r="F617" s="28">
        <v>25.516999999999999</v>
      </c>
      <c r="G617" s="31">
        <f>IF(ISNUMBER(F617),E617*F617,"")</f>
        <v>30.314195999999999</v>
      </c>
      <c r="H617" s="32"/>
      <c r="I617" s="28"/>
      <c r="J617" s="125">
        <v>0</v>
      </c>
    </row>
    <row r="618" spans="1:10" ht="15.75" hidden="1" thickBot="1" x14ac:dyDescent="0.3">
      <c r="A618" s="235"/>
      <c r="B618" s="238"/>
      <c r="C618" s="155" t="s">
        <v>588</v>
      </c>
      <c r="D618" s="155" t="s">
        <v>587</v>
      </c>
      <c r="E618" s="34">
        <v>0.59399999999999997</v>
      </c>
      <c r="F618" s="28">
        <v>19.189999999999998</v>
      </c>
      <c r="G618" s="31">
        <f>IF(ISNUMBER(F618),E618*F618,"")</f>
        <v>11.398859999999997</v>
      </c>
      <c r="H618" s="32"/>
      <c r="I618" s="28"/>
      <c r="J618" s="125">
        <v>0</v>
      </c>
    </row>
    <row r="619" spans="1:10" ht="15.75" hidden="1" thickBot="1" x14ac:dyDescent="0.3">
      <c r="A619" s="235"/>
      <c r="B619" s="238"/>
      <c r="C619" s="155" t="s">
        <v>27268</v>
      </c>
      <c r="D619" s="155" t="s">
        <v>774</v>
      </c>
      <c r="E619" s="34">
        <v>0.14000000000000001</v>
      </c>
      <c r="F619" s="31">
        <v>6.5739999999999998</v>
      </c>
      <c r="G619" s="31">
        <f>IF(ISNUMBER(F619),E619*F619,"")</f>
        <v>0.92036000000000007</v>
      </c>
      <c r="H619" s="32"/>
      <c r="I619" s="28"/>
      <c r="J619" s="125">
        <v>0</v>
      </c>
    </row>
    <row r="620" spans="1:10" ht="15.75" hidden="1" thickBot="1" x14ac:dyDescent="0.3">
      <c r="A620" s="235"/>
      <c r="B620" s="238"/>
      <c r="C620" s="155" t="s">
        <v>159</v>
      </c>
      <c r="D620" s="33" t="s">
        <v>70</v>
      </c>
      <c r="E620" s="34">
        <v>1.1599999999999999</v>
      </c>
      <c r="F620" s="31" t="s">
        <v>418</v>
      </c>
      <c r="G620" s="49" t="str">
        <f>IF(ISNUMBER(F620),E620*F620,"")</f>
        <v/>
      </c>
      <c r="H620" s="32"/>
      <c r="I620" s="28"/>
      <c r="J620" s="125">
        <v>0</v>
      </c>
    </row>
    <row r="621" spans="1:10" ht="15.75" hidden="1" thickBot="1" x14ac:dyDescent="0.3">
      <c r="A621" s="236"/>
      <c r="B621" s="239"/>
      <c r="C621" s="155"/>
      <c r="D621" s="33"/>
      <c r="E621" s="34"/>
      <c r="F621" s="28" t="s">
        <v>418</v>
      </c>
      <c r="G621" s="28" t="str">
        <f>IF(ISNUMBER(F621),E621*F621,"")</f>
        <v/>
      </c>
      <c r="H621" s="32"/>
      <c r="I621" s="28"/>
      <c r="J621" s="125">
        <v>0</v>
      </c>
    </row>
    <row r="622" spans="1:10" ht="15.75" hidden="1" thickBot="1" x14ac:dyDescent="0.3">
      <c r="A622" s="234" t="s">
        <v>160</v>
      </c>
      <c r="B622" s="237" t="s">
        <v>1388</v>
      </c>
      <c r="C622" s="160"/>
      <c r="D622" s="23" t="s">
        <v>70</v>
      </c>
      <c r="E622" s="24"/>
      <c r="F622" s="37" t="s">
        <v>418</v>
      </c>
      <c r="G622" s="25" t="str">
        <f>IF(ISNUMBER(F622),E622*F622,"")</f>
        <v/>
      </c>
      <c r="H622" s="26"/>
      <c r="I622" s="27"/>
      <c r="J622" s="125">
        <v>0</v>
      </c>
    </row>
    <row r="623" spans="1:10" ht="15.75" hidden="1" thickBot="1" x14ac:dyDescent="0.3">
      <c r="A623" s="235"/>
      <c r="B623" s="238"/>
      <c r="C623" s="151"/>
      <c r="D623" s="29"/>
      <c r="E623" s="30"/>
      <c r="F623" s="38" t="s">
        <v>418</v>
      </c>
      <c r="G623" s="28" t="str">
        <f>IF(ISNUMBER(F623),E623*F623,"")</f>
        <v/>
      </c>
      <c r="H623" s="32"/>
      <c r="I623" s="28"/>
      <c r="J623" s="125">
        <v>0</v>
      </c>
    </row>
    <row r="624" spans="1:10" ht="15.75" hidden="1" thickBot="1" x14ac:dyDescent="0.3">
      <c r="A624" s="235"/>
      <c r="B624" s="238"/>
      <c r="C624" s="155" t="s">
        <v>23678</v>
      </c>
      <c r="D624" s="155" t="s">
        <v>774</v>
      </c>
      <c r="E624" s="34">
        <v>8.6199999999999992</v>
      </c>
      <c r="F624" s="31">
        <v>3.4390000000000001</v>
      </c>
      <c r="G624" s="31">
        <f>IF(ISNUMBER(F624),E624*F624,"")</f>
        <v>29.644179999999999</v>
      </c>
      <c r="H624" s="35">
        <f>SUM(G624:G628)</f>
        <v>72.277596000000003</v>
      </c>
      <c r="I624" s="36"/>
      <c r="J624" s="125">
        <v>0</v>
      </c>
    </row>
    <row r="625" spans="1:10" ht="15.75" hidden="1" thickBot="1" x14ac:dyDescent="0.3">
      <c r="A625" s="235"/>
      <c r="B625" s="238"/>
      <c r="C625" s="155" t="s">
        <v>9784</v>
      </c>
      <c r="D625" s="155" t="s">
        <v>587</v>
      </c>
      <c r="E625" s="34">
        <v>1.1879999999999999</v>
      </c>
      <c r="F625" s="28">
        <v>25.516999999999999</v>
      </c>
      <c r="G625" s="31">
        <f>IF(ISNUMBER(F625),E625*F625,"")</f>
        <v>30.314195999999999</v>
      </c>
      <c r="H625" s="32"/>
      <c r="I625" s="28"/>
      <c r="J625" s="125">
        <v>0</v>
      </c>
    </row>
    <row r="626" spans="1:10" ht="15.75" hidden="1" thickBot="1" x14ac:dyDescent="0.3">
      <c r="A626" s="235"/>
      <c r="B626" s="238"/>
      <c r="C626" s="155" t="s">
        <v>588</v>
      </c>
      <c r="D626" s="155" t="s">
        <v>587</v>
      </c>
      <c r="E626" s="34">
        <v>0.59399999999999997</v>
      </c>
      <c r="F626" s="28">
        <v>19.189999999999998</v>
      </c>
      <c r="G626" s="31">
        <f>IF(ISNUMBER(F626),E626*F626,"")</f>
        <v>11.398859999999997</v>
      </c>
      <c r="H626" s="32"/>
      <c r="I626" s="28"/>
      <c r="J626" s="125">
        <v>0</v>
      </c>
    </row>
    <row r="627" spans="1:10" ht="15.75" hidden="1" thickBot="1" x14ac:dyDescent="0.3">
      <c r="A627" s="235"/>
      <c r="B627" s="238"/>
      <c r="C627" s="155" t="s">
        <v>27268</v>
      </c>
      <c r="D627" s="155" t="s">
        <v>774</v>
      </c>
      <c r="E627" s="34">
        <v>0.14000000000000001</v>
      </c>
      <c r="F627" s="31">
        <v>6.5739999999999998</v>
      </c>
      <c r="G627" s="31">
        <f>IF(ISNUMBER(F627),E627*F627,"")</f>
        <v>0.92036000000000007</v>
      </c>
      <c r="H627" s="32"/>
      <c r="I627" s="28"/>
      <c r="J627" s="125">
        <v>0</v>
      </c>
    </row>
    <row r="628" spans="1:10" ht="15.75" hidden="1" thickBot="1" x14ac:dyDescent="0.3">
      <c r="A628" s="235"/>
      <c r="B628" s="238"/>
      <c r="C628" s="155" t="s">
        <v>161</v>
      </c>
      <c r="D628" s="33" t="s">
        <v>70</v>
      </c>
      <c r="E628" s="34">
        <v>1.1599999999999999</v>
      </c>
      <c r="F628" s="31" t="s">
        <v>418</v>
      </c>
      <c r="G628" s="49" t="str">
        <f>IF(ISNUMBER(F628),E628*F628,"")</f>
        <v/>
      </c>
      <c r="H628" s="32"/>
      <c r="I628" s="28"/>
      <c r="J628" s="125">
        <v>0</v>
      </c>
    </row>
    <row r="629" spans="1:10" ht="15.75" hidden="1" thickBot="1" x14ac:dyDescent="0.3">
      <c r="A629" s="236"/>
      <c r="B629" s="239"/>
      <c r="C629" s="155"/>
      <c r="D629" s="33"/>
      <c r="E629" s="34"/>
      <c r="F629" s="28" t="s">
        <v>418</v>
      </c>
      <c r="G629" s="28" t="str">
        <f>IF(ISNUMBER(F629),E629*F629,"")</f>
        <v/>
      </c>
      <c r="H629" s="32"/>
      <c r="I629" s="28"/>
      <c r="J629" s="125">
        <v>0</v>
      </c>
    </row>
    <row r="630" spans="1:10" ht="15.75" hidden="1" thickBot="1" x14ac:dyDescent="0.3">
      <c r="A630" s="234" t="s">
        <v>162</v>
      </c>
      <c r="B630" s="237" t="s">
        <v>1389</v>
      </c>
      <c r="C630" s="160"/>
      <c r="D630" s="23" t="s">
        <v>69</v>
      </c>
      <c r="E630" s="24"/>
      <c r="F630" s="37" t="s">
        <v>418</v>
      </c>
      <c r="G630" s="25" t="str">
        <f>IF(ISNUMBER(F630),E630*F630,"")</f>
        <v/>
      </c>
      <c r="H630" s="26"/>
      <c r="I630" s="27"/>
      <c r="J630" s="125">
        <v>0</v>
      </c>
    </row>
    <row r="631" spans="1:10" ht="15.75" hidden="1" thickBot="1" x14ac:dyDescent="0.3">
      <c r="A631" s="235"/>
      <c r="B631" s="238"/>
      <c r="C631" s="151"/>
      <c r="D631" s="29"/>
      <c r="E631" s="30"/>
      <c r="F631" s="38" t="s">
        <v>418</v>
      </c>
      <c r="G631" s="28" t="str">
        <f>IF(ISNUMBER(F631),E631*F631,"")</f>
        <v/>
      </c>
      <c r="H631" s="32"/>
      <c r="I631" s="28"/>
      <c r="J631" s="125">
        <v>0</v>
      </c>
    </row>
    <row r="632" spans="1:10" ht="26.25" hidden="1" thickBot="1" x14ac:dyDescent="0.3">
      <c r="A632" s="235"/>
      <c r="B632" s="238"/>
      <c r="C632" s="155" t="s">
        <v>10281</v>
      </c>
      <c r="D632" s="155" t="s">
        <v>385</v>
      </c>
      <c r="E632" s="34">
        <v>1.0349999999999999</v>
      </c>
      <c r="F632" s="28">
        <v>6.8874999999999993</v>
      </c>
      <c r="G632" s="31">
        <f>IF(ISNUMBER(F632),E632*F632,"")</f>
        <v>7.1285624999999984</v>
      </c>
      <c r="H632" s="35">
        <f>SUM(G632:G635)</f>
        <v>20.800759199999998</v>
      </c>
      <c r="I632" s="36"/>
      <c r="J632" s="125">
        <v>0</v>
      </c>
    </row>
    <row r="633" spans="1:10" ht="15.75" hidden="1" thickBot="1" x14ac:dyDescent="0.3">
      <c r="A633" s="235"/>
      <c r="B633" s="238"/>
      <c r="C633" s="155" t="s">
        <v>1103</v>
      </c>
      <c r="D633" s="155" t="s">
        <v>774</v>
      </c>
      <c r="E633" s="34">
        <v>4.0300000000000002E-2</v>
      </c>
      <c r="F633" s="28">
        <v>39.063999999999993</v>
      </c>
      <c r="G633" s="31">
        <f>IF(ISNUMBER(F633),E633*F633,"")</f>
        <v>1.5742791999999999</v>
      </c>
      <c r="H633" s="32"/>
      <c r="I633" s="28"/>
      <c r="J633" s="125">
        <v>0</v>
      </c>
    </row>
    <row r="634" spans="1:10" ht="15.75" hidden="1" thickBot="1" x14ac:dyDescent="0.3">
      <c r="A634" s="235"/>
      <c r="B634" s="238"/>
      <c r="C634" s="155" t="s">
        <v>588</v>
      </c>
      <c r="D634" s="155" t="s">
        <v>587</v>
      </c>
      <c r="E634" s="34">
        <v>0.15140000000000001</v>
      </c>
      <c r="F634" s="31">
        <v>19.189999999999998</v>
      </c>
      <c r="G634" s="31">
        <f>IF(ISNUMBER(F634),E634*F634,"")</f>
        <v>2.9053659999999999</v>
      </c>
      <c r="H634" s="32"/>
      <c r="I634" s="28"/>
      <c r="J634" s="125">
        <v>0</v>
      </c>
    </row>
    <row r="635" spans="1:10" ht="15.75" hidden="1" thickBot="1" x14ac:dyDescent="0.3">
      <c r="A635" s="235"/>
      <c r="B635" s="238"/>
      <c r="C635" s="155" t="s">
        <v>1078</v>
      </c>
      <c r="D635" s="155" t="s">
        <v>587</v>
      </c>
      <c r="E635" s="34">
        <v>0.36349999999999999</v>
      </c>
      <c r="F635" s="31">
        <v>25.289000000000001</v>
      </c>
      <c r="G635" s="31">
        <f>IF(ISNUMBER(F635),E635*F635,"")</f>
        <v>9.1925515000000004</v>
      </c>
      <c r="H635" s="32"/>
      <c r="I635" s="28"/>
      <c r="J635" s="125">
        <v>0</v>
      </c>
    </row>
    <row r="636" spans="1:10" ht="15.75" hidden="1" thickBot="1" x14ac:dyDescent="0.3">
      <c r="A636" s="236"/>
      <c r="B636" s="239"/>
      <c r="C636" s="155"/>
      <c r="D636" s="33"/>
      <c r="E636" s="34"/>
      <c r="F636" s="28" t="s">
        <v>418</v>
      </c>
      <c r="G636" s="28" t="str">
        <f>IF(ISNUMBER(F636),E636*F636,"")</f>
        <v/>
      </c>
      <c r="H636" s="32"/>
      <c r="I636" s="28"/>
      <c r="J636" s="125">
        <v>0</v>
      </c>
    </row>
    <row r="637" spans="1:10" ht="15.75" hidden="1" thickBot="1" x14ac:dyDescent="0.3">
      <c r="A637" s="234" t="s">
        <v>163</v>
      </c>
      <c r="B637" s="237" t="s">
        <v>1390</v>
      </c>
      <c r="C637" s="160"/>
      <c r="D637" s="23" t="s">
        <v>69</v>
      </c>
      <c r="E637" s="24"/>
      <c r="F637" s="37" t="s">
        <v>418</v>
      </c>
      <c r="G637" s="25" t="str">
        <f>IF(ISNUMBER(F637),E637*F637,"")</f>
        <v/>
      </c>
      <c r="H637" s="26"/>
      <c r="I637" s="27"/>
      <c r="J637" s="125">
        <v>0</v>
      </c>
    </row>
    <row r="638" spans="1:10" ht="15.75" hidden="1" thickBot="1" x14ac:dyDescent="0.3">
      <c r="A638" s="235"/>
      <c r="B638" s="238"/>
      <c r="C638" s="151"/>
      <c r="D638" s="29"/>
      <c r="E638" s="30"/>
      <c r="F638" s="38" t="s">
        <v>418</v>
      </c>
      <c r="G638" s="28" t="str">
        <f>IF(ISNUMBER(F638),E638*F638,"")</f>
        <v/>
      </c>
      <c r="H638" s="32"/>
      <c r="I638" s="28"/>
      <c r="J638" s="125">
        <v>0</v>
      </c>
    </row>
    <row r="639" spans="1:10" ht="15.75" hidden="1" thickBot="1" x14ac:dyDescent="0.3">
      <c r="A639" s="235"/>
      <c r="B639" s="238"/>
      <c r="C639" s="155" t="s">
        <v>9784</v>
      </c>
      <c r="D639" s="155" t="s">
        <v>587</v>
      </c>
      <c r="E639" s="34">
        <v>2</v>
      </c>
      <c r="F639" s="28">
        <v>25.516999999999999</v>
      </c>
      <c r="G639" s="31">
        <f>IF(ISNUMBER(F639),E639*F639,"")</f>
        <v>51.033999999999999</v>
      </c>
      <c r="H639" s="35">
        <f>SUM(G639:G639)</f>
        <v>51.033999999999999</v>
      </c>
      <c r="I639" s="36"/>
      <c r="J639" s="125">
        <v>0</v>
      </c>
    </row>
    <row r="640" spans="1:10" ht="15.75" hidden="1" thickBot="1" x14ac:dyDescent="0.3">
      <c r="A640" s="236"/>
      <c r="B640" s="239"/>
      <c r="C640" s="164"/>
      <c r="D640" s="33"/>
      <c r="E640" s="34"/>
      <c r="F640" s="28" t="s">
        <v>418</v>
      </c>
      <c r="G640" s="28" t="str">
        <f>IF(ISNUMBER(F640),E640*F640,"")</f>
        <v/>
      </c>
      <c r="H640" s="32"/>
      <c r="I640" s="28"/>
      <c r="J640" s="125">
        <v>0</v>
      </c>
    </row>
    <row r="641" spans="1:10" ht="15.75" hidden="1" thickBot="1" x14ac:dyDescent="0.3">
      <c r="A641" s="234" t="s">
        <v>164</v>
      </c>
      <c r="B641" s="237" t="s">
        <v>1391</v>
      </c>
      <c r="C641" s="160"/>
      <c r="D641" s="23" t="s">
        <v>69</v>
      </c>
      <c r="E641" s="24"/>
      <c r="F641" s="37" t="s">
        <v>418</v>
      </c>
      <c r="G641" s="25" t="str">
        <f>IF(ISNUMBER(F641),E641*F641,"")</f>
        <v/>
      </c>
      <c r="H641" s="26"/>
      <c r="I641" s="27"/>
      <c r="J641" s="125">
        <v>0</v>
      </c>
    </row>
    <row r="642" spans="1:10" ht="15.75" hidden="1" thickBot="1" x14ac:dyDescent="0.3">
      <c r="A642" s="235"/>
      <c r="B642" s="238"/>
      <c r="C642" s="151"/>
      <c r="D642" s="29"/>
      <c r="E642" s="30"/>
      <c r="F642" s="38" t="s">
        <v>418</v>
      </c>
      <c r="G642" s="28" t="str">
        <f>IF(ISNUMBER(F642),E642*F642,"")</f>
        <v/>
      </c>
      <c r="H642" s="32"/>
      <c r="I642" s="28"/>
      <c r="J642" s="125">
        <v>0</v>
      </c>
    </row>
    <row r="643" spans="1:10" ht="15.75" hidden="1" thickBot="1" x14ac:dyDescent="0.3">
      <c r="A643" s="235"/>
      <c r="B643" s="238"/>
      <c r="C643" s="155" t="s">
        <v>9784</v>
      </c>
      <c r="D643" s="155" t="s">
        <v>587</v>
      </c>
      <c r="E643" s="34">
        <v>1.75</v>
      </c>
      <c r="F643" s="28">
        <v>25.516999999999999</v>
      </c>
      <c r="G643" s="31">
        <f>IF(ISNUMBER(F643),E643*F643,"")</f>
        <v>44.65475</v>
      </c>
      <c r="H643" s="35">
        <f>SUM(G643:G643)</f>
        <v>44.65475</v>
      </c>
      <c r="I643" s="36"/>
      <c r="J643" s="125">
        <v>0</v>
      </c>
    </row>
    <row r="644" spans="1:10" ht="15.75" hidden="1" thickBot="1" x14ac:dyDescent="0.3">
      <c r="A644" s="236"/>
      <c r="B644" s="239"/>
      <c r="C644" s="164"/>
      <c r="D644" s="33"/>
      <c r="E644" s="34"/>
      <c r="F644" s="28" t="s">
        <v>418</v>
      </c>
      <c r="G644" s="28" t="str">
        <f>IF(ISNUMBER(F644),E644*F644,"")</f>
        <v/>
      </c>
      <c r="H644" s="32"/>
      <c r="I644" s="28"/>
      <c r="J644" s="125">
        <v>0</v>
      </c>
    </row>
    <row r="645" spans="1:10" ht="15.75" hidden="1" thickBot="1" x14ac:dyDescent="0.3">
      <c r="A645" s="234" t="s">
        <v>165</v>
      </c>
      <c r="B645" s="237" t="s">
        <v>1392</v>
      </c>
      <c r="C645" s="160"/>
      <c r="D645" s="23" t="s">
        <v>69</v>
      </c>
      <c r="E645" s="24"/>
      <c r="F645" s="37" t="s">
        <v>418</v>
      </c>
      <c r="G645" s="25" t="str">
        <f>IF(ISNUMBER(F645),E645*F645,"")</f>
        <v/>
      </c>
      <c r="H645" s="26"/>
      <c r="I645" s="27"/>
      <c r="J645" s="125">
        <v>0</v>
      </c>
    </row>
    <row r="646" spans="1:10" ht="15.75" hidden="1" thickBot="1" x14ac:dyDescent="0.3">
      <c r="A646" s="235"/>
      <c r="B646" s="238"/>
      <c r="C646" s="151"/>
      <c r="D646" s="29"/>
      <c r="E646" s="30"/>
      <c r="F646" s="38" t="s">
        <v>418</v>
      </c>
      <c r="G646" s="28" t="str">
        <f>IF(ISNUMBER(F646),E646*F646,"")</f>
        <v/>
      </c>
      <c r="H646" s="32"/>
      <c r="I646" s="28"/>
      <c r="J646" s="125">
        <v>0</v>
      </c>
    </row>
    <row r="647" spans="1:10" ht="15.75" hidden="1" thickBot="1" x14ac:dyDescent="0.3">
      <c r="A647" s="235"/>
      <c r="B647" s="238"/>
      <c r="C647" s="155" t="s">
        <v>9784</v>
      </c>
      <c r="D647" s="155" t="s">
        <v>587</v>
      </c>
      <c r="E647" s="34">
        <v>1</v>
      </c>
      <c r="F647" s="28">
        <v>25.516999999999999</v>
      </c>
      <c r="G647" s="31">
        <f>IF(ISNUMBER(F647),E647*F647,"")</f>
        <v>25.516999999999999</v>
      </c>
      <c r="H647" s="35">
        <f>SUM(G647:G647)</f>
        <v>25.516999999999999</v>
      </c>
      <c r="I647" s="36"/>
      <c r="J647" s="125">
        <v>0</v>
      </c>
    </row>
    <row r="648" spans="1:10" ht="15.75" hidden="1" thickBot="1" x14ac:dyDescent="0.3">
      <c r="A648" s="236"/>
      <c r="B648" s="239"/>
      <c r="C648" s="164"/>
      <c r="D648" s="33"/>
      <c r="E648" s="34"/>
      <c r="F648" s="28" t="s">
        <v>418</v>
      </c>
      <c r="G648" s="28" t="str">
        <f>IF(ISNUMBER(F648),E648*F648,"")</f>
        <v/>
      </c>
      <c r="H648" s="32"/>
      <c r="I648" s="28"/>
      <c r="J648" s="125">
        <v>0</v>
      </c>
    </row>
    <row r="649" spans="1:10" ht="15.75" hidden="1" thickBot="1" x14ac:dyDescent="0.3">
      <c r="A649" s="234" t="s">
        <v>166</v>
      </c>
      <c r="B649" s="237" t="s">
        <v>1393</v>
      </c>
      <c r="C649" s="160"/>
      <c r="D649" s="23" t="s">
        <v>69</v>
      </c>
      <c r="E649" s="24"/>
      <c r="F649" s="37" t="s">
        <v>418</v>
      </c>
      <c r="G649" s="25" t="str">
        <f>IF(ISNUMBER(F649),E649*F649,"")</f>
        <v/>
      </c>
      <c r="H649" s="26"/>
      <c r="I649" s="27"/>
      <c r="J649" s="125">
        <v>0</v>
      </c>
    </row>
    <row r="650" spans="1:10" ht="15.75" hidden="1" thickBot="1" x14ac:dyDescent="0.3">
      <c r="A650" s="235"/>
      <c r="B650" s="238"/>
      <c r="C650" s="151"/>
      <c r="D650" s="29"/>
      <c r="E650" s="30"/>
      <c r="F650" s="38" t="s">
        <v>418</v>
      </c>
      <c r="G650" s="28" t="str">
        <f>IF(ISNUMBER(F650),E650*F650,"")</f>
        <v/>
      </c>
      <c r="H650" s="32"/>
      <c r="I650" s="28"/>
      <c r="J650" s="125">
        <v>0</v>
      </c>
    </row>
    <row r="651" spans="1:10" ht="15.75" hidden="1" thickBot="1" x14ac:dyDescent="0.3">
      <c r="A651" s="235"/>
      <c r="B651" s="238"/>
      <c r="C651" s="155" t="s">
        <v>9784</v>
      </c>
      <c r="D651" s="155" t="s">
        <v>587</v>
      </c>
      <c r="E651" s="34">
        <v>1.25</v>
      </c>
      <c r="F651" s="28">
        <v>25.516999999999999</v>
      </c>
      <c r="G651" s="31">
        <f>IF(ISNUMBER(F651),E651*F651,"")</f>
        <v>31.896249999999998</v>
      </c>
      <c r="H651" s="35">
        <f>SUM(G651:G651)</f>
        <v>31.896249999999998</v>
      </c>
      <c r="I651" s="36"/>
      <c r="J651" s="125">
        <v>0</v>
      </c>
    </row>
    <row r="652" spans="1:10" ht="15.75" hidden="1" thickBot="1" x14ac:dyDescent="0.3">
      <c r="A652" s="236"/>
      <c r="B652" s="239"/>
      <c r="C652" s="164"/>
      <c r="D652" s="33"/>
      <c r="E652" s="34"/>
      <c r="F652" s="28" t="s">
        <v>418</v>
      </c>
      <c r="G652" s="28" t="str">
        <f>IF(ISNUMBER(F652),E652*F652,"")</f>
        <v/>
      </c>
      <c r="H652" s="32"/>
      <c r="I652" s="28"/>
      <c r="J652" s="125">
        <v>0</v>
      </c>
    </row>
    <row r="653" spans="1:10" ht="15.75" hidden="1" thickBot="1" x14ac:dyDescent="0.3">
      <c r="A653" s="234" t="s">
        <v>167</v>
      </c>
      <c r="B653" s="237" t="s">
        <v>1394</v>
      </c>
      <c r="C653" s="160"/>
      <c r="D653" s="23" t="s">
        <v>16</v>
      </c>
      <c r="E653" s="24"/>
      <c r="F653" s="37" t="s">
        <v>418</v>
      </c>
      <c r="G653" s="25" t="str">
        <f>IF(ISNUMBER(F653),E653*F653,"")</f>
        <v/>
      </c>
      <c r="H653" s="26"/>
      <c r="I653" s="27"/>
      <c r="J653" s="125">
        <v>0</v>
      </c>
    </row>
    <row r="654" spans="1:10" ht="15.75" hidden="1" thickBot="1" x14ac:dyDescent="0.3">
      <c r="A654" s="235"/>
      <c r="B654" s="238"/>
      <c r="C654" s="151"/>
      <c r="D654" s="29"/>
      <c r="E654" s="30"/>
      <c r="F654" s="38" t="s">
        <v>418</v>
      </c>
      <c r="G654" s="28" t="str">
        <f>IF(ISNUMBER(F654),E654*F654,"")</f>
        <v/>
      </c>
      <c r="H654" s="32"/>
      <c r="I654" s="28"/>
      <c r="J654" s="125">
        <v>0</v>
      </c>
    </row>
    <row r="655" spans="1:10" ht="26.25" hidden="1" thickBot="1" x14ac:dyDescent="0.3">
      <c r="A655" s="235"/>
      <c r="B655" s="238"/>
      <c r="C655" s="155" t="s">
        <v>168</v>
      </c>
      <c r="D655" s="155" t="s">
        <v>205</v>
      </c>
      <c r="E655" s="34">
        <v>1</v>
      </c>
      <c r="F655" s="28">
        <v>253.21299999999999</v>
      </c>
      <c r="G655" s="31">
        <f>IF(ISNUMBER(F655),E655*F655,"")</f>
        <v>253.21299999999999</v>
      </c>
      <c r="H655" s="35">
        <f>SUM(G655:G655)</f>
        <v>253.21299999999999</v>
      </c>
      <c r="I655" s="36"/>
      <c r="J655" s="125">
        <v>0</v>
      </c>
    </row>
    <row r="656" spans="1:10" ht="15.75" hidden="1" thickBot="1" x14ac:dyDescent="0.3">
      <c r="A656" s="236"/>
      <c r="B656" s="239"/>
      <c r="C656" s="164"/>
      <c r="D656" s="33"/>
      <c r="E656" s="34"/>
      <c r="F656" s="28" t="s">
        <v>418</v>
      </c>
      <c r="G656" s="28" t="str">
        <f>IF(ISNUMBER(F656),E656*F656,"")</f>
        <v/>
      </c>
      <c r="H656" s="32"/>
      <c r="I656" s="28"/>
      <c r="J656" s="125">
        <v>0</v>
      </c>
    </row>
    <row r="657" spans="1:10" ht="15.75" hidden="1" thickBot="1" x14ac:dyDescent="0.3">
      <c r="A657" s="234" t="s">
        <v>169</v>
      </c>
      <c r="B657" s="237" t="s">
        <v>1395</v>
      </c>
      <c r="C657" s="167"/>
      <c r="D657" s="23" t="s">
        <v>16</v>
      </c>
      <c r="E657" s="24"/>
      <c r="F657" s="37" t="s">
        <v>418</v>
      </c>
      <c r="G657" s="25" t="str">
        <f>IF(ISNUMBER(F657),E657*F657,"")</f>
        <v/>
      </c>
      <c r="H657" s="26"/>
      <c r="I657" s="27"/>
      <c r="J657" s="125">
        <v>0</v>
      </c>
    </row>
    <row r="658" spans="1:10" ht="15.75" hidden="1" thickBot="1" x14ac:dyDescent="0.3">
      <c r="A658" s="235"/>
      <c r="B658" s="238"/>
      <c r="C658" s="151"/>
      <c r="D658" s="29"/>
      <c r="E658" s="30"/>
      <c r="F658" s="38" t="s">
        <v>418</v>
      </c>
      <c r="G658" s="28" t="str">
        <f>IF(ISNUMBER(F658),E658*F658,"")</f>
        <v/>
      </c>
      <c r="H658" s="32"/>
      <c r="I658" s="28"/>
      <c r="J658" s="125">
        <v>0</v>
      </c>
    </row>
    <row r="659" spans="1:10" ht="26.25" hidden="1" thickBot="1" x14ac:dyDescent="0.3">
      <c r="A659" s="235"/>
      <c r="B659" s="238"/>
      <c r="C659" s="155" t="s">
        <v>38824</v>
      </c>
      <c r="D659" s="155" t="s">
        <v>205</v>
      </c>
      <c r="E659" s="34">
        <v>1</v>
      </c>
      <c r="F659" s="28">
        <v>37.980999999999995</v>
      </c>
      <c r="G659" s="31">
        <f>IF(ISNUMBER(F659),E659*F659,"")</f>
        <v>37.980999999999995</v>
      </c>
      <c r="H659" s="35">
        <f>SUM(G659:G659)</f>
        <v>37.980999999999995</v>
      </c>
      <c r="I659" s="36"/>
      <c r="J659" s="125">
        <v>0</v>
      </c>
    </row>
    <row r="660" spans="1:10" ht="15.75" hidden="1" thickBot="1" x14ac:dyDescent="0.3">
      <c r="A660" s="236"/>
      <c r="B660" s="239"/>
      <c r="C660" s="155"/>
      <c r="D660" s="33"/>
      <c r="E660" s="34"/>
      <c r="F660" s="28" t="s">
        <v>418</v>
      </c>
      <c r="G660" s="28" t="str">
        <f>IF(ISNUMBER(F660),E660*F660,"")</f>
        <v/>
      </c>
      <c r="H660" s="32"/>
      <c r="I660" s="28"/>
      <c r="J660" s="125">
        <v>0</v>
      </c>
    </row>
    <row r="661" spans="1:10" ht="15.75" hidden="1" thickBot="1" x14ac:dyDescent="0.3">
      <c r="A661" s="234" t="s">
        <v>171</v>
      </c>
      <c r="B661" s="237" t="s">
        <v>19678</v>
      </c>
      <c r="C661" s="160"/>
      <c r="D661" s="23" t="s">
        <v>70</v>
      </c>
      <c r="E661" s="24"/>
      <c r="F661" s="37" t="s">
        <v>418</v>
      </c>
      <c r="G661" s="25" t="str">
        <f>IF(ISNUMBER(F661),E661*F661,"")</f>
        <v/>
      </c>
      <c r="H661" s="26"/>
      <c r="I661" s="27"/>
      <c r="J661" s="125">
        <v>0</v>
      </c>
    </row>
    <row r="662" spans="1:10" ht="15.75" hidden="1" thickBot="1" x14ac:dyDescent="0.3">
      <c r="A662" s="235"/>
      <c r="B662" s="238"/>
      <c r="C662" s="151"/>
      <c r="D662" s="29"/>
      <c r="E662" s="30"/>
      <c r="F662" s="38" t="s">
        <v>418</v>
      </c>
      <c r="G662" s="28" t="str">
        <f>IF(ISNUMBER(F662),E662*F662,"")</f>
        <v/>
      </c>
      <c r="H662" s="32"/>
      <c r="I662" s="28"/>
      <c r="J662" s="125">
        <v>0</v>
      </c>
    </row>
    <row r="663" spans="1:10" ht="26.25" hidden="1" thickBot="1" x14ac:dyDescent="0.3">
      <c r="A663" s="235"/>
      <c r="B663" s="238"/>
      <c r="C663" s="155" t="s">
        <v>172</v>
      </c>
      <c r="D663" s="33" t="s">
        <v>69</v>
      </c>
      <c r="E663" s="34">
        <f>ROUND(1.04/0.15,4)</f>
        <v>6.9333</v>
      </c>
      <c r="F663" s="31" t="s">
        <v>418</v>
      </c>
      <c r="G663" s="31" t="str">
        <f>IF(ISNUMBER(F663),E663*F663,"")</f>
        <v/>
      </c>
      <c r="H663" s="35">
        <f>SUM(G663:G667)</f>
        <v>95.061381399999988</v>
      </c>
      <c r="I663" s="36"/>
      <c r="J663" s="125">
        <v>0</v>
      </c>
    </row>
    <row r="664" spans="1:10" ht="15.75" hidden="1" thickBot="1" x14ac:dyDescent="0.3">
      <c r="A664" s="235"/>
      <c r="B664" s="238"/>
      <c r="C664" s="155" t="s">
        <v>23678</v>
      </c>
      <c r="D664" s="155" t="s">
        <v>774</v>
      </c>
      <c r="E664" s="34">
        <f>ROUND(0.8614/0.15,4)</f>
        <v>5.7427000000000001</v>
      </c>
      <c r="F664" s="31">
        <v>3.4390000000000001</v>
      </c>
      <c r="G664" s="31">
        <f>IF(ISNUMBER(F664),E664*F664,"")</f>
        <v>19.749145300000002</v>
      </c>
      <c r="H664" s="32"/>
      <c r="I664" s="28"/>
      <c r="J664" s="125">
        <v>0</v>
      </c>
    </row>
    <row r="665" spans="1:10" ht="15.75" hidden="1" thickBot="1" x14ac:dyDescent="0.3">
      <c r="A665" s="235"/>
      <c r="B665" s="238"/>
      <c r="C665" s="155" t="s">
        <v>9784</v>
      </c>
      <c r="D665" s="155" t="s">
        <v>587</v>
      </c>
      <c r="E665" s="34">
        <f>ROUND(0.299/0.15,4)</f>
        <v>1.9933000000000001</v>
      </c>
      <c r="F665" s="28">
        <v>25.516999999999999</v>
      </c>
      <c r="G665" s="31">
        <f>IF(ISNUMBER(F665),E665*F665,"")</f>
        <v>50.863036100000002</v>
      </c>
      <c r="H665" s="32"/>
      <c r="I665" s="28"/>
      <c r="J665" s="125">
        <v>0</v>
      </c>
    </row>
    <row r="666" spans="1:10" ht="15.75" hidden="1" thickBot="1" x14ac:dyDescent="0.3">
      <c r="A666" s="235"/>
      <c r="B666" s="238"/>
      <c r="C666" s="155" t="s">
        <v>588</v>
      </c>
      <c r="D666" s="155" t="s">
        <v>587</v>
      </c>
      <c r="E666" s="34">
        <f>0.15/0.15</f>
        <v>1</v>
      </c>
      <c r="F666" s="28">
        <v>19.189999999999998</v>
      </c>
      <c r="G666" s="31">
        <f>IF(ISNUMBER(F666),E666*F666,"")</f>
        <v>19.189999999999998</v>
      </c>
      <c r="H666" s="32"/>
      <c r="I666" s="28"/>
      <c r="J666" s="125">
        <v>0</v>
      </c>
    </row>
    <row r="667" spans="1:10" ht="15.75" hidden="1" thickBot="1" x14ac:dyDescent="0.3">
      <c r="A667" s="235"/>
      <c r="B667" s="238"/>
      <c r="C667" s="155" t="s">
        <v>27268</v>
      </c>
      <c r="D667" s="155" t="s">
        <v>774</v>
      </c>
      <c r="E667" s="34">
        <f>0.12/0.15</f>
        <v>0.8</v>
      </c>
      <c r="F667" s="31">
        <v>6.5739999999999998</v>
      </c>
      <c r="G667" s="31">
        <f>IF(ISNUMBER(F667),E667*F667,"")</f>
        <v>5.2591999999999999</v>
      </c>
      <c r="H667" s="32"/>
      <c r="I667" s="28"/>
      <c r="J667" s="125">
        <v>0</v>
      </c>
    </row>
    <row r="668" spans="1:10" ht="15.75" hidden="1" thickBot="1" x14ac:dyDescent="0.3">
      <c r="A668" s="235"/>
      <c r="B668" s="238"/>
      <c r="C668" s="155"/>
      <c r="D668" s="33"/>
      <c r="E668" s="34"/>
      <c r="F668" s="31" t="s">
        <v>418</v>
      </c>
      <c r="G668" s="31" t="str">
        <f>IF(ISNUMBER(F668),E668*F668,"")</f>
        <v/>
      </c>
      <c r="H668" s="32"/>
      <c r="I668" s="28"/>
      <c r="J668" s="125">
        <v>0</v>
      </c>
    </row>
    <row r="669" spans="1:10" ht="15.75" hidden="1" thickBot="1" x14ac:dyDescent="0.3">
      <c r="A669" s="234" t="s">
        <v>173</v>
      </c>
      <c r="B669" s="237" t="s">
        <v>19679</v>
      </c>
      <c r="C669" s="160"/>
      <c r="D669" s="23" t="s">
        <v>70</v>
      </c>
      <c r="E669" s="24"/>
      <c r="F669" s="37" t="s">
        <v>418</v>
      </c>
      <c r="G669" s="25" t="str">
        <f>IF(ISNUMBER(F669),E669*F669,"")</f>
        <v/>
      </c>
      <c r="H669" s="26"/>
      <c r="I669" s="27"/>
      <c r="J669" s="125">
        <v>0</v>
      </c>
    </row>
    <row r="670" spans="1:10" ht="15.75" hidden="1" thickBot="1" x14ac:dyDescent="0.3">
      <c r="A670" s="235"/>
      <c r="B670" s="238"/>
      <c r="C670" s="151"/>
      <c r="D670" s="29"/>
      <c r="E670" s="30"/>
      <c r="F670" s="38" t="s">
        <v>418</v>
      </c>
      <c r="G670" s="28" t="str">
        <f>IF(ISNUMBER(F670),E670*F670,"")</f>
        <v/>
      </c>
      <c r="H670" s="32"/>
      <c r="I670" s="28"/>
      <c r="J670" s="125">
        <v>0</v>
      </c>
    </row>
    <row r="671" spans="1:10" ht="15.75" hidden="1" thickBot="1" x14ac:dyDescent="0.3">
      <c r="A671" s="235"/>
      <c r="B671" s="238"/>
      <c r="C671" s="155" t="s">
        <v>10274</v>
      </c>
      <c r="D671" s="155" t="s">
        <v>774</v>
      </c>
      <c r="E671" s="34">
        <f>ROUND(0.5228/(1.5*0.6),4)</f>
        <v>0.58089999999999997</v>
      </c>
      <c r="F671" s="49">
        <v>39.444000000000003</v>
      </c>
      <c r="G671" s="49">
        <f>IF(ISNUMBER(F671),E671*F671,"")</f>
        <v>22.913019600000002</v>
      </c>
      <c r="H671" s="35">
        <f>SUM(G671:G677)</f>
        <v>148.98495745</v>
      </c>
      <c r="I671" s="36"/>
      <c r="J671" s="125">
        <v>0</v>
      </c>
    </row>
    <row r="672" spans="1:10" ht="39" hidden="1" thickBot="1" x14ac:dyDescent="0.3">
      <c r="A672" s="235"/>
      <c r="B672" s="238"/>
      <c r="C672" s="155" t="s">
        <v>996</v>
      </c>
      <c r="D672" s="155" t="s">
        <v>205</v>
      </c>
      <c r="E672" s="34">
        <f>ROUND(6/(1.5*0.6),4)</f>
        <v>6.6666999999999996</v>
      </c>
      <c r="F672" s="49">
        <v>0.57950000000000002</v>
      </c>
      <c r="G672" s="49">
        <f>IF(ISNUMBER(F672),E672*F672,"")</f>
        <v>3.8633526499999999</v>
      </c>
      <c r="H672" s="65"/>
      <c r="I672" s="66"/>
      <c r="J672" s="125">
        <v>0</v>
      </c>
    </row>
    <row r="673" spans="1:10" ht="26.25" hidden="1" thickBot="1" x14ac:dyDescent="0.3">
      <c r="A673" s="235"/>
      <c r="B673" s="238"/>
      <c r="C673" s="155" t="s">
        <v>174</v>
      </c>
      <c r="D673" s="33" t="s">
        <v>870</v>
      </c>
      <c r="E673" s="34">
        <f>ROUND(1.005/(1.5*0.6),4)</f>
        <v>1.1167</v>
      </c>
      <c r="F673" s="49" t="s">
        <v>418</v>
      </c>
      <c r="G673" s="49" t="str">
        <f>IF(ISNUMBER(F673),E673*F673,"")</f>
        <v/>
      </c>
      <c r="H673" s="65"/>
      <c r="I673" s="66"/>
      <c r="J673" s="125">
        <v>0</v>
      </c>
    </row>
    <row r="674" spans="1:10" ht="15.75" hidden="1" thickBot="1" x14ac:dyDescent="0.3">
      <c r="A674" s="235"/>
      <c r="B674" s="238"/>
      <c r="C674" s="155" t="s">
        <v>10395</v>
      </c>
      <c r="D674" s="155" t="s">
        <v>774</v>
      </c>
      <c r="E674" s="34">
        <f>ROUND(0.0211/(1.5*0.6),4)</f>
        <v>2.3400000000000001E-2</v>
      </c>
      <c r="F674" s="49">
        <v>138.6335</v>
      </c>
      <c r="G674" s="49">
        <f>IF(ISNUMBER(F674),E674*F674,"")</f>
        <v>3.2440239000000002</v>
      </c>
      <c r="H674" s="65"/>
      <c r="I674" s="66"/>
      <c r="J674" s="125">
        <v>0</v>
      </c>
    </row>
    <row r="675" spans="1:10" ht="26.25" hidden="1" thickBot="1" x14ac:dyDescent="0.3">
      <c r="A675" s="235"/>
      <c r="B675" s="238"/>
      <c r="C675" s="155" t="s">
        <v>10283</v>
      </c>
      <c r="D675" s="155" t="s">
        <v>205</v>
      </c>
      <c r="E675" s="34">
        <f>ROUND(2/(1.5*0.6),4)</f>
        <v>2.2222</v>
      </c>
      <c r="F675" s="49">
        <v>25.032499999999999</v>
      </c>
      <c r="G675" s="49">
        <f>IF(ISNUMBER(F675),E675*F675,"")</f>
        <v>55.627221499999997</v>
      </c>
      <c r="H675" s="65"/>
      <c r="I675" s="66"/>
      <c r="J675" s="125">
        <v>0</v>
      </c>
    </row>
    <row r="676" spans="1:10" ht="15.75" hidden="1" thickBot="1" x14ac:dyDescent="0.3">
      <c r="A676" s="235"/>
      <c r="B676" s="238"/>
      <c r="C676" s="155" t="s">
        <v>9784</v>
      </c>
      <c r="D676" s="155" t="s">
        <v>587</v>
      </c>
      <c r="E676" s="34">
        <f>ROUND(1.4944/(1.5*0.6),4)</f>
        <v>1.6604000000000001</v>
      </c>
      <c r="F676" s="49">
        <v>25.516999999999999</v>
      </c>
      <c r="G676" s="49">
        <f>IF(ISNUMBER(F676),E676*F676,"")</f>
        <v>42.368426800000002</v>
      </c>
      <c r="H676" s="65"/>
      <c r="I676" s="66"/>
      <c r="J676" s="125">
        <v>0</v>
      </c>
    </row>
    <row r="677" spans="1:10" ht="15.75" hidden="1" thickBot="1" x14ac:dyDescent="0.3">
      <c r="A677" s="235"/>
      <c r="B677" s="238"/>
      <c r="C677" s="155" t="s">
        <v>588</v>
      </c>
      <c r="D677" s="155" t="s">
        <v>587</v>
      </c>
      <c r="E677" s="34">
        <f>ROUND(0.9834/(1.5*0.6),4)</f>
        <v>1.0927</v>
      </c>
      <c r="F677" s="49">
        <v>19.189999999999998</v>
      </c>
      <c r="G677" s="49">
        <f>IF(ISNUMBER(F677),E677*F677,"")</f>
        <v>20.968912999999997</v>
      </c>
      <c r="H677" s="65"/>
      <c r="I677" s="66"/>
      <c r="J677" s="125">
        <v>0</v>
      </c>
    </row>
    <row r="678" spans="1:10" ht="15.75" hidden="1" thickBot="1" x14ac:dyDescent="0.3">
      <c r="A678" s="235"/>
      <c r="B678" s="238"/>
      <c r="C678" s="155"/>
      <c r="D678" s="33"/>
      <c r="E678" s="34"/>
      <c r="F678" s="28" t="s">
        <v>418</v>
      </c>
      <c r="G678" s="31" t="str">
        <f>IF(ISNUMBER(F678),E678*F678,"")</f>
        <v/>
      </c>
      <c r="H678" s="32"/>
      <c r="I678" s="28"/>
      <c r="J678" s="125">
        <v>0</v>
      </c>
    </row>
    <row r="679" spans="1:10" ht="15.75" hidden="1" thickBot="1" x14ac:dyDescent="0.3">
      <c r="A679" s="234" t="s">
        <v>175</v>
      </c>
      <c r="B679" s="237" t="s">
        <v>19680</v>
      </c>
      <c r="C679" s="160"/>
      <c r="D679" s="23" t="s">
        <v>70</v>
      </c>
      <c r="E679" s="24"/>
      <c r="F679" s="37" t="s">
        <v>418</v>
      </c>
      <c r="G679" s="25" t="str">
        <f>IF(ISNUMBER(F679),E679*F679,"")</f>
        <v/>
      </c>
      <c r="H679" s="26"/>
      <c r="I679" s="27"/>
      <c r="J679" s="125">
        <v>0</v>
      </c>
    </row>
    <row r="680" spans="1:10" ht="15.75" hidden="1" thickBot="1" x14ac:dyDescent="0.3">
      <c r="A680" s="235"/>
      <c r="B680" s="238"/>
      <c r="C680" s="151"/>
      <c r="D680" s="29"/>
      <c r="E680" s="30"/>
      <c r="F680" s="38" t="s">
        <v>418</v>
      </c>
      <c r="G680" s="28" t="str">
        <f>IF(ISNUMBER(F680),E680*F680,"")</f>
        <v/>
      </c>
      <c r="H680" s="32"/>
      <c r="I680" s="28"/>
      <c r="J680" s="125">
        <v>0</v>
      </c>
    </row>
    <row r="681" spans="1:10" ht="26.25" hidden="1" thickBot="1" x14ac:dyDescent="0.3">
      <c r="A681" s="235"/>
      <c r="B681" s="238"/>
      <c r="C681" s="155" t="s">
        <v>652</v>
      </c>
      <c r="D681" s="155" t="s">
        <v>774</v>
      </c>
      <c r="E681" s="34">
        <v>0.53</v>
      </c>
      <c r="F681" s="31">
        <v>51.841499999999996</v>
      </c>
      <c r="G681" s="31">
        <f>IF(ISNUMBER(F681),E681*F681,"")</f>
        <v>27.475995000000001</v>
      </c>
      <c r="H681" s="35">
        <f>SUM(G681:G687)</f>
        <v>109.66886449999998</v>
      </c>
      <c r="I681" s="36"/>
      <c r="J681" s="125">
        <v>0</v>
      </c>
    </row>
    <row r="682" spans="1:10" ht="26.25" hidden="1" thickBot="1" x14ac:dyDescent="0.3">
      <c r="A682" s="235"/>
      <c r="B682" s="238"/>
      <c r="C682" s="155" t="s">
        <v>13532</v>
      </c>
      <c r="D682" s="33" t="s">
        <v>870</v>
      </c>
      <c r="E682" s="34">
        <v>1.05</v>
      </c>
      <c r="F682" s="31" t="s">
        <v>418</v>
      </c>
      <c r="G682" s="31" t="str">
        <f>IF(ISNUMBER(F682),E682*F682,"")</f>
        <v/>
      </c>
      <c r="H682" s="32"/>
      <c r="I682" s="28"/>
      <c r="J682" s="125">
        <v>0</v>
      </c>
    </row>
    <row r="683" spans="1:10" ht="15.75" hidden="1" thickBot="1" x14ac:dyDescent="0.3">
      <c r="A683" s="235"/>
      <c r="B683" s="238"/>
      <c r="C683" s="155" t="s">
        <v>23679</v>
      </c>
      <c r="D683" s="155" t="s">
        <v>774</v>
      </c>
      <c r="E683" s="34">
        <v>0.97</v>
      </c>
      <c r="F683" s="28">
        <v>3.952</v>
      </c>
      <c r="G683" s="31">
        <f>IF(ISNUMBER(F683),E683*F683,"")</f>
        <v>3.83344</v>
      </c>
      <c r="H683" s="32"/>
      <c r="I683" s="28"/>
      <c r="J683" s="125">
        <v>0</v>
      </c>
    </row>
    <row r="684" spans="1:10" ht="15.75" hidden="1" thickBot="1" x14ac:dyDescent="0.3">
      <c r="A684" s="235"/>
      <c r="B684" s="238"/>
      <c r="C684" s="155" t="s">
        <v>9784</v>
      </c>
      <c r="D684" s="155" t="s">
        <v>587</v>
      </c>
      <c r="E684" s="34">
        <v>1.405</v>
      </c>
      <c r="F684" s="28">
        <v>25.516999999999999</v>
      </c>
      <c r="G684" s="31">
        <f>IF(ISNUMBER(F684),E684*F684,"")</f>
        <v>35.851385000000001</v>
      </c>
      <c r="H684" s="32"/>
      <c r="I684" s="28"/>
      <c r="J684" s="125">
        <v>0</v>
      </c>
    </row>
    <row r="685" spans="1:10" ht="15.75" hidden="1" thickBot="1" x14ac:dyDescent="0.3">
      <c r="A685" s="235"/>
      <c r="B685" s="238"/>
      <c r="C685" s="155" t="s">
        <v>588</v>
      </c>
      <c r="D685" s="155" t="s">
        <v>587</v>
      </c>
      <c r="E685" s="34">
        <v>0.70199999999999996</v>
      </c>
      <c r="F685" s="28">
        <v>19.189999999999998</v>
      </c>
      <c r="G685" s="31">
        <f>IF(ISNUMBER(F685),E685*F685,"")</f>
        <v>13.471379999999998</v>
      </c>
      <c r="H685" s="32"/>
      <c r="I685" s="28"/>
      <c r="J685" s="125">
        <v>0</v>
      </c>
    </row>
    <row r="686" spans="1:10" ht="26.25" hidden="1" thickBot="1" x14ac:dyDescent="0.3">
      <c r="A686" s="235"/>
      <c r="B686" s="238"/>
      <c r="C686" s="155" t="s">
        <v>1018</v>
      </c>
      <c r="D686" s="155" t="s">
        <v>814</v>
      </c>
      <c r="E686" s="34">
        <v>8.8999999999999996E-2</v>
      </c>
      <c r="F686" s="28">
        <v>21.992499999999996</v>
      </c>
      <c r="G686" s="31">
        <f>IF(ISNUMBER(F686),E686*F686,"")</f>
        <v>1.9573324999999995</v>
      </c>
      <c r="H686" s="32"/>
      <c r="I686" s="28"/>
      <c r="J686" s="125">
        <v>0</v>
      </c>
    </row>
    <row r="687" spans="1:10" ht="26.25" hidden="1" thickBot="1" x14ac:dyDescent="0.3">
      <c r="A687" s="235"/>
      <c r="B687" s="238"/>
      <c r="C687" s="155" t="s">
        <v>1019</v>
      </c>
      <c r="D687" s="155" t="s">
        <v>816</v>
      </c>
      <c r="E687" s="34">
        <v>1.3160000000000001</v>
      </c>
      <c r="F687" s="31">
        <v>20.576999999999998</v>
      </c>
      <c r="G687" s="31">
        <f>IF(ISNUMBER(F687),E687*F687,"")</f>
        <v>27.079331999999997</v>
      </c>
      <c r="H687" s="32"/>
      <c r="I687" s="28"/>
      <c r="J687" s="125">
        <v>0</v>
      </c>
    </row>
    <row r="688" spans="1:10" ht="15.75" hidden="1" thickBot="1" x14ac:dyDescent="0.3">
      <c r="A688" s="235"/>
      <c r="B688" s="238"/>
      <c r="C688" s="155"/>
      <c r="D688" s="33"/>
      <c r="E688" s="34"/>
      <c r="F688" s="31" t="s">
        <v>418</v>
      </c>
      <c r="G688" s="31" t="str">
        <f>IF(ISNUMBER(F688),E688*F688,"")</f>
        <v/>
      </c>
      <c r="H688" s="32"/>
      <c r="I688" s="28"/>
      <c r="J688" s="125">
        <v>0</v>
      </c>
    </row>
    <row r="689" spans="1:10" ht="15.75" hidden="1" thickBot="1" x14ac:dyDescent="0.3">
      <c r="A689" s="234" t="s">
        <v>177</v>
      </c>
      <c r="B689" s="237" t="s">
        <v>19681</v>
      </c>
      <c r="C689" s="160"/>
      <c r="D689" s="23" t="s">
        <v>70</v>
      </c>
      <c r="E689" s="24"/>
      <c r="F689" s="37" t="s">
        <v>418</v>
      </c>
      <c r="G689" s="25" t="str">
        <f>IF(ISNUMBER(F689),E689*F689,"")</f>
        <v/>
      </c>
      <c r="H689" s="26"/>
      <c r="I689" s="27"/>
      <c r="J689" s="125">
        <v>0</v>
      </c>
    </row>
    <row r="690" spans="1:10" ht="15.75" hidden="1" thickBot="1" x14ac:dyDescent="0.3">
      <c r="A690" s="235"/>
      <c r="B690" s="238"/>
      <c r="C690" s="151"/>
      <c r="D690" s="29"/>
      <c r="E690" s="30"/>
      <c r="F690" s="38" t="s">
        <v>418</v>
      </c>
      <c r="G690" s="28" t="str">
        <f>IF(ISNUMBER(F690),E690*F690,"")</f>
        <v/>
      </c>
      <c r="H690" s="32"/>
      <c r="I690" s="28"/>
      <c r="J690" s="125">
        <v>0</v>
      </c>
    </row>
    <row r="691" spans="1:10" ht="26.25" hidden="1" thickBot="1" x14ac:dyDescent="0.3">
      <c r="A691" s="235"/>
      <c r="B691" s="238"/>
      <c r="C691" s="155" t="s">
        <v>178</v>
      </c>
      <c r="D691" s="33" t="s">
        <v>69</v>
      </c>
      <c r="E691" s="34">
        <f>ROUND(1.04/0.15,4)</f>
        <v>6.9333</v>
      </c>
      <c r="F691" s="31" t="s">
        <v>418</v>
      </c>
      <c r="G691" s="28" t="str">
        <f>IF(ISNUMBER(F691),E691*F691,"")</f>
        <v/>
      </c>
      <c r="H691" s="35">
        <f>SUM(G691:G695)</f>
        <v>95.061381399999988</v>
      </c>
      <c r="I691" s="36"/>
      <c r="J691" s="125">
        <v>0</v>
      </c>
    </row>
    <row r="692" spans="1:10" ht="15.75" hidden="1" thickBot="1" x14ac:dyDescent="0.3">
      <c r="A692" s="235"/>
      <c r="B692" s="238"/>
      <c r="C692" s="155" t="s">
        <v>23678</v>
      </c>
      <c r="D692" s="155" t="s">
        <v>774</v>
      </c>
      <c r="E692" s="34">
        <f>ROUND(0.8614/0.15,4)</f>
        <v>5.7427000000000001</v>
      </c>
      <c r="F692" s="31">
        <v>3.4390000000000001</v>
      </c>
      <c r="G692" s="31">
        <f>IF(ISNUMBER(F692),E692*F692,"")</f>
        <v>19.749145300000002</v>
      </c>
      <c r="H692" s="32"/>
      <c r="I692" s="28"/>
      <c r="J692" s="125">
        <v>0</v>
      </c>
    </row>
    <row r="693" spans="1:10" ht="15.75" hidden="1" thickBot="1" x14ac:dyDescent="0.3">
      <c r="A693" s="235"/>
      <c r="B693" s="238"/>
      <c r="C693" s="155" t="s">
        <v>9784</v>
      </c>
      <c r="D693" s="155" t="s">
        <v>587</v>
      </c>
      <c r="E693" s="34">
        <f>ROUND(0.299/0.15,4)</f>
        <v>1.9933000000000001</v>
      </c>
      <c r="F693" s="31">
        <v>25.516999999999999</v>
      </c>
      <c r="G693" s="31">
        <f>IF(ISNUMBER(F693),E693*F693,"")</f>
        <v>50.863036100000002</v>
      </c>
      <c r="H693" s="32"/>
      <c r="I693" s="28"/>
      <c r="J693" s="125">
        <v>0</v>
      </c>
    </row>
    <row r="694" spans="1:10" ht="15.75" hidden="1" thickBot="1" x14ac:dyDescent="0.3">
      <c r="A694" s="235"/>
      <c r="B694" s="238"/>
      <c r="C694" s="155" t="s">
        <v>588</v>
      </c>
      <c r="D694" s="155" t="s">
        <v>587</v>
      </c>
      <c r="E694" s="34">
        <f>0.15/0.15</f>
        <v>1</v>
      </c>
      <c r="F694" s="31">
        <v>19.189999999999998</v>
      </c>
      <c r="G694" s="31">
        <f>IF(ISNUMBER(F694),E694*F694,"")</f>
        <v>19.189999999999998</v>
      </c>
      <c r="H694" s="32"/>
      <c r="I694" s="28"/>
      <c r="J694" s="125">
        <v>0</v>
      </c>
    </row>
    <row r="695" spans="1:10" ht="15.75" hidden="1" thickBot="1" x14ac:dyDescent="0.3">
      <c r="A695" s="235"/>
      <c r="B695" s="238"/>
      <c r="C695" s="155" t="s">
        <v>27268</v>
      </c>
      <c r="D695" s="155" t="s">
        <v>774</v>
      </c>
      <c r="E695" s="34">
        <f>0.12/0.15</f>
        <v>0.8</v>
      </c>
      <c r="F695" s="31">
        <v>6.5739999999999998</v>
      </c>
      <c r="G695" s="31">
        <f>IF(ISNUMBER(F695),E695*F695,"")</f>
        <v>5.2591999999999999</v>
      </c>
      <c r="H695" s="32"/>
      <c r="I695" s="28"/>
      <c r="J695" s="125">
        <v>0</v>
      </c>
    </row>
    <row r="696" spans="1:10" ht="15.75" hidden="1" thickBot="1" x14ac:dyDescent="0.3">
      <c r="A696" s="235"/>
      <c r="B696" s="238"/>
      <c r="C696" s="155"/>
      <c r="D696" s="33"/>
      <c r="E696" s="34"/>
      <c r="F696" s="31" t="s">
        <v>418</v>
      </c>
      <c r="G696" s="31" t="str">
        <f>IF(ISNUMBER(F696),E696*F696,"")</f>
        <v/>
      </c>
      <c r="H696" s="32"/>
      <c r="I696" s="28"/>
      <c r="J696" s="125">
        <v>0</v>
      </c>
    </row>
    <row r="697" spans="1:10" ht="15.75" hidden="1" thickBot="1" x14ac:dyDescent="0.3">
      <c r="A697" s="234" t="s">
        <v>179</v>
      </c>
      <c r="B697" s="237" t="s">
        <v>19682</v>
      </c>
      <c r="C697" s="160"/>
      <c r="D697" s="23" t="s">
        <v>70</v>
      </c>
      <c r="E697" s="24"/>
      <c r="F697" s="37" t="s">
        <v>418</v>
      </c>
      <c r="G697" s="25" t="str">
        <f>IF(ISNUMBER(F697),E697*F697,"")</f>
        <v/>
      </c>
      <c r="H697" s="26"/>
      <c r="I697" s="27"/>
      <c r="J697" s="125">
        <v>0</v>
      </c>
    </row>
    <row r="698" spans="1:10" ht="15.75" hidden="1" thickBot="1" x14ac:dyDescent="0.3">
      <c r="A698" s="235"/>
      <c r="B698" s="238"/>
      <c r="C698" s="151"/>
      <c r="D698" s="29"/>
      <c r="E698" s="30"/>
      <c r="F698" s="38" t="s">
        <v>418</v>
      </c>
      <c r="G698" s="28" t="str">
        <f>IF(ISNUMBER(F698),E698*F698,"")</f>
        <v/>
      </c>
      <c r="H698" s="32"/>
      <c r="I698" s="28"/>
      <c r="J698" s="125">
        <v>0</v>
      </c>
    </row>
    <row r="699" spans="1:10" ht="15.75" hidden="1" thickBot="1" x14ac:dyDescent="0.3">
      <c r="A699" s="235"/>
      <c r="B699" s="238"/>
      <c r="C699" s="155" t="s">
        <v>10274</v>
      </c>
      <c r="D699" s="155" t="s">
        <v>774</v>
      </c>
      <c r="E699" s="34">
        <f>ROUND(0.5228/(1.5*0.6),4)</f>
        <v>0.58089999999999997</v>
      </c>
      <c r="F699" s="49">
        <v>39.444000000000003</v>
      </c>
      <c r="G699" s="49">
        <f>IF(ISNUMBER(F699),E699*F699,"")</f>
        <v>22.913019600000002</v>
      </c>
      <c r="H699" s="35">
        <f>SUM(G699:G705)</f>
        <v>148.98495745</v>
      </c>
      <c r="I699" s="36"/>
      <c r="J699" s="125">
        <v>0</v>
      </c>
    </row>
    <row r="700" spans="1:10" ht="39" hidden="1" thickBot="1" x14ac:dyDescent="0.3">
      <c r="A700" s="235"/>
      <c r="B700" s="238"/>
      <c r="C700" s="155" t="s">
        <v>996</v>
      </c>
      <c r="D700" s="155" t="s">
        <v>205</v>
      </c>
      <c r="E700" s="34">
        <f>ROUND(6/(1.5*0.6),4)</f>
        <v>6.6666999999999996</v>
      </c>
      <c r="F700" s="49">
        <v>0.57950000000000002</v>
      </c>
      <c r="G700" s="49">
        <f>IF(ISNUMBER(F700),E700*F700,"")</f>
        <v>3.8633526499999999</v>
      </c>
      <c r="H700" s="65"/>
      <c r="I700" s="66"/>
      <c r="J700" s="125">
        <v>0</v>
      </c>
    </row>
    <row r="701" spans="1:10" ht="26.25" hidden="1" thickBot="1" x14ac:dyDescent="0.3">
      <c r="A701" s="235"/>
      <c r="B701" s="238"/>
      <c r="C701" s="155" t="s">
        <v>180</v>
      </c>
      <c r="D701" s="33" t="s">
        <v>870</v>
      </c>
      <c r="E701" s="34">
        <f>ROUND(1.005/(1.5*0.6),4)</f>
        <v>1.1167</v>
      </c>
      <c r="F701" s="49" t="s">
        <v>418</v>
      </c>
      <c r="G701" s="49" t="str">
        <f>IF(ISNUMBER(F701),E701*F701,"")</f>
        <v/>
      </c>
      <c r="H701" s="65"/>
      <c r="I701" s="66"/>
      <c r="J701" s="125">
        <v>0</v>
      </c>
    </row>
    <row r="702" spans="1:10" ht="15.75" hidden="1" thickBot="1" x14ac:dyDescent="0.3">
      <c r="A702" s="235"/>
      <c r="B702" s="238"/>
      <c r="C702" s="155" t="s">
        <v>10395</v>
      </c>
      <c r="D702" s="155" t="s">
        <v>774</v>
      </c>
      <c r="E702" s="34">
        <f>ROUND(0.0211/(1.5*0.6),4)</f>
        <v>2.3400000000000001E-2</v>
      </c>
      <c r="F702" s="49">
        <v>138.6335</v>
      </c>
      <c r="G702" s="49">
        <f>IF(ISNUMBER(F702),E702*F702,"")</f>
        <v>3.2440239000000002</v>
      </c>
      <c r="H702" s="65"/>
      <c r="I702" s="66"/>
      <c r="J702" s="125">
        <v>0</v>
      </c>
    </row>
    <row r="703" spans="1:10" ht="26.25" hidden="1" thickBot="1" x14ac:dyDescent="0.3">
      <c r="A703" s="235"/>
      <c r="B703" s="238"/>
      <c r="C703" s="155" t="s">
        <v>10283</v>
      </c>
      <c r="D703" s="155" t="s">
        <v>205</v>
      </c>
      <c r="E703" s="34">
        <f>ROUND(2/(1.5*0.6),4)</f>
        <v>2.2222</v>
      </c>
      <c r="F703" s="49">
        <v>25.032499999999999</v>
      </c>
      <c r="G703" s="49">
        <f>IF(ISNUMBER(F703),E703*F703,"")</f>
        <v>55.627221499999997</v>
      </c>
      <c r="H703" s="65"/>
      <c r="I703" s="66"/>
      <c r="J703" s="125">
        <v>0</v>
      </c>
    </row>
    <row r="704" spans="1:10" ht="15.75" hidden="1" thickBot="1" x14ac:dyDescent="0.3">
      <c r="A704" s="235"/>
      <c r="B704" s="238"/>
      <c r="C704" s="155" t="s">
        <v>9784</v>
      </c>
      <c r="D704" s="155" t="s">
        <v>587</v>
      </c>
      <c r="E704" s="34">
        <f>ROUND(1.4944/(1.5*0.6),4)</f>
        <v>1.6604000000000001</v>
      </c>
      <c r="F704" s="49">
        <v>25.516999999999999</v>
      </c>
      <c r="G704" s="49">
        <f>IF(ISNUMBER(F704),E704*F704,"")</f>
        <v>42.368426800000002</v>
      </c>
      <c r="H704" s="65"/>
      <c r="I704" s="66"/>
      <c r="J704" s="125">
        <v>0</v>
      </c>
    </row>
    <row r="705" spans="1:10" ht="15.75" hidden="1" thickBot="1" x14ac:dyDescent="0.3">
      <c r="A705" s="235"/>
      <c r="B705" s="238"/>
      <c r="C705" s="155" t="s">
        <v>588</v>
      </c>
      <c r="D705" s="155" t="s">
        <v>587</v>
      </c>
      <c r="E705" s="34">
        <f>ROUND(0.9834/(1.5*0.6),4)</f>
        <v>1.0927</v>
      </c>
      <c r="F705" s="49">
        <v>19.189999999999998</v>
      </c>
      <c r="G705" s="49">
        <f>IF(ISNUMBER(F705),E705*F705,"")</f>
        <v>20.968912999999997</v>
      </c>
      <c r="H705" s="65"/>
      <c r="I705" s="66"/>
      <c r="J705" s="125">
        <v>0</v>
      </c>
    </row>
    <row r="706" spans="1:10" ht="15.75" hidden="1" thickBot="1" x14ac:dyDescent="0.3">
      <c r="A706" s="235"/>
      <c r="B706" s="238"/>
      <c r="C706" s="155"/>
      <c r="D706" s="33"/>
      <c r="E706" s="34"/>
      <c r="F706" s="28" t="s">
        <v>418</v>
      </c>
      <c r="G706" s="31" t="str">
        <f>IF(ISNUMBER(F706),E706*F706,"")</f>
        <v/>
      </c>
      <c r="H706" s="32"/>
      <c r="I706" s="28"/>
      <c r="J706" s="125">
        <v>0</v>
      </c>
    </row>
    <row r="707" spans="1:10" ht="15.75" hidden="1" thickBot="1" x14ac:dyDescent="0.3">
      <c r="A707" s="234" t="s">
        <v>181</v>
      </c>
      <c r="B707" s="237" t="s">
        <v>1396</v>
      </c>
      <c r="C707" s="160"/>
      <c r="D707" s="23" t="s">
        <v>70</v>
      </c>
      <c r="E707" s="24"/>
      <c r="F707" s="37" t="s">
        <v>418</v>
      </c>
      <c r="G707" s="25" t="str">
        <f>IF(ISNUMBER(F707),E707*F707,"")</f>
        <v/>
      </c>
      <c r="H707" s="26"/>
      <c r="I707" s="27"/>
      <c r="J707" s="125">
        <v>0</v>
      </c>
    </row>
    <row r="708" spans="1:10" ht="15.75" hidden="1" thickBot="1" x14ac:dyDescent="0.3">
      <c r="A708" s="235"/>
      <c r="B708" s="238"/>
      <c r="C708" s="151"/>
      <c r="D708" s="29"/>
      <c r="E708" s="30"/>
      <c r="F708" s="38" t="s">
        <v>418</v>
      </c>
      <c r="G708" s="28" t="str">
        <f>IF(ISNUMBER(F708),E708*F708,"")</f>
        <v/>
      </c>
      <c r="H708" s="32"/>
      <c r="I708" s="28"/>
      <c r="J708" s="125">
        <v>0</v>
      </c>
    </row>
    <row r="709" spans="1:10" ht="15.75" hidden="1" thickBot="1" x14ac:dyDescent="0.3">
      <c r="A709" s="235"/>
      <c r="B709" s="238"/>
      <c r="C709" s="155" t="s">
        <v>10274</v>
      </c>
      <c r="D709" s="155" t="s">
        <v>774</v>
      </c>
      <c r="E709" s="34">
        <f>ROUND(0.5228/(1.5*0.6),4)</f>
        <v>0.58089999999999997</v>
      </c>
      <c r="F709" s="49">
        <v>39.444000000000003</v>
      </c>
      <c r="G709" s="49">
        <f>IF(ISNUMBER(F709),E709*F709,"")</f>
        <v>22.913019600000002</v>
      </c>
      <c r="H709" s="35">
        <f>SUM(G709:G714)</f>
        <v>148.98495745</v>
      </c>
      <c r="I709" s="36"/>
      <c r="J709" s="125">
        <v>0</v>
      </c>
    </row>
    <row r="710" spans="1:10" ht="39" hidden="1" thickBot="1" x14ac:dyDescent="0.3">
      <c r="A710" s="235"/>
      <c r="B710" s="238"/>
      <c r="C710" s="155" t="s">
        <v>996</v>
      </c>
      <c r="D710" s="155" t="s">
        <v>205</v>
      </c>
      <c r="E710" s="34">
        <f>ROUND(6/(1.5*0.6),4)</f>
        <v>6.6666999999999996</v>
      </c>
      <c r="F710" s="49">
        <v>0.57950000000000002</v>
      </c>
      <c r="G710" s="49">
        <f>IF(ISNUMBER(F710),E710*F710,"")</f>
        <v>3.8633526499999999</v>
      </c>
      <c r="H710" s="65"/>
      <c r="I710" s="66"/>
      <c r="J710" s="125">
        <v>0</v>
      </c>
    </row>
    <row r="711" spans="1:10" ht="15.75" hidden="1" thickBot="1" x14ac:dyDescent="0.3">
      <c r="A711" s="235"/>
      <c r="B711" s="238"/>
      <c r="C711" s="155" t="s">
        <v>10395</v>
      </c>
      <c r="D711" s="155" t="s">
        <v>774</v>
      </c>
      <c r="E711" s="34">
        <f>ROUND(0.0211/(1.5*0.6),4)</f>
        <v>2.3400000000000001E-2</v>
      </c>
      <c r="F711" s="49">
        <v>138.6335</v>
      </c>
      <c r="G711" s="49">
        <f>IF(ISNUMBER(F711),E711*F711,"")</f>
        <v>3.2440239000000002</v>
      </c>
      <c r="H711" s="65"/>
      <c r="I711" s="66"/>
      <c r="J711" s="125">
        <v>0</v>
      </c>
    </row>
    <row r="712" spans="1:10" ht="26.25" hidden="1" thickBot="1" x14ac:dyDescent="0.3">
      <c r="A712" s="235"/>
      <c r="B712" s="238"/>
      <c r="C712" s="155" t="s">
        <v>10283</v>
      </c>
      <c r="D712" s="155" t="s">
        <v>205</v>
      </c>
      <c r="E712" s="34">
        <f>ROUND(2/(1.5*0.6),4)</f>
        <v>2.2222</v>
      </c>
      <c r="F712" s="49">
        <v>25.032499999999999</v>
      </c>
      <c r="G712" s="49">
        <f>IF(ISNUMBER(F712),E712*F712,"")</f>
        <v>55.627221499999997</v>
      </c>
      <c r="H712" s="65"/>
      <c r="I712" s="66"/>
      <c r="J712" s="125">
        <v>0</v>
      </c>
    </row>
    <row r="713" spans="1:10" ht="15.75" hidden="1" thickBot="1" x14ac:dyDescent="0.3">
      <c r="A713" s="235"/>
      <c r="B713" s="238"/>
      <c r="C713" s="155" t="s">
        <v>9784</v>
      </c>
      <c r="D713" s="155" t="s">
        <v>587</v>
      </c>
      <c r="E713" s="34">
        <f>ROUND(1.4944/(1.5*0.6),4)</f>
        <v>1.6604000000000001</v>
      </c>
      <c r="F713" s="49">
        <v>25.516999999999999</v>
      </c>
      <c r="G713" s="49">
        <f>IF(ISNUMBER(F713),E713*F713,"")</f>
        <v>42.368426800000002</v>
      </c>
      <c r="H713" s="65"/>
      <c r="I713" s="66"/>
      <c r="J713" s="125">
        <v>0</v>
      </c>
    </row>
    <row r="714" spans="1:10" ht="15.75" hidden="1" thickBot="1" x14ac:dyDescent="0.3">
      <c r="A714" s="235"/>
      <c r="B714" s="238"/>
      <c r="C714" s="155" t="s">
        <v>588</v>
      </c>
      <c r="D714" s="155" t="s">
        <v>587</v>
      </c>
      <c r="E714" s="34">
        <f>ROUND(0.9834/(1.5*0.6),4)</f>
        <v>1.0927</v>
      </c>
      <c r="F714" s="49">
        <v>19.189999999999998</v>
      </c>
      <c r="G714" s="49">
        <f>IF(ISNUMBER(F714),E714*F714,"")</f>
        <v>20.968912999999997</v>
      </c>
      <c r="H714" s="65"/>
      <c r="I714" s="66"/>
      <c r="J714" s="125">
        <v>0</v>
      </c>
    </row>
    <row r="715" spans="1:10" ht="15.75" hidden="1" thickBot="1" x14ac:dyDescent="0.3">
      <c r="A715" s="236"/>
      <c r="B715" s="239"/>
      <c r="C715" s="155"/>
      <c r="D715" s="33"/>
      <c r="E715" s="34"/>
      <c r="F715" s="28" t="s">
        <v>418</v>
      </c>
      <c r="G715" s="28" t="str">
        <f>IF(ISNUMBER(F715),E715*F715,"")</f>
        <v/>
      </c>
      <c r="H715" s="32"/>
      <c r="I715" s="28"/>
      <c r="J715" s="125">
        <v>0</v>
      </c>
    </row>
    <row r="716" spans="1:10" ht="15.75" hidden="1" thickBot="1" x14ac:dyDescent="0.3">
      <c r="A716" s="234" t="s">
        <v>182</v>
      </c>
      <c r="B716" s="237" t="s">
        <v>13439</v>
      </c>
      <c r="C716" s="160"/>
      <c r="D716" s="23" t="s">
        <v>70</v>
      </c>
      <c r="E716" s="24"/>
      <c r="F716" s="37" t="s">
        <v>418</v>
      </c>
      <c r="G716" s="25" t="str">
        <f>IF(ISNUMBER(F716),E716*F716,"")</f>
        <v/>
      </c>
      <c r="H716" s="26"/>
      <c r="I716" s="27"/>
      <c r="J716" s="125">
        <v>0</v>
      </c>
    </row>
    <row r="717" spans="1:10" ht="15.75" hidden="1" thickBot="1" x14ac:dyDescent="0.3">
      <c r="A717" s="235"/>
      <c r="B717" s="238"/>
      <c r="C717" s="151"/>
      <c r="D717" s="29"/>
      <c r="E717" s="30"/>
      <c r="F717" s="38" t="s">
        <v>418</v>
      </c>
      <c r="G717" s="28" t="str">
        <f>IF(ISNUMBER(F717),E717*F717,"")</f>
        <v/>
      </c>
      <c r="H717" s="32"/>
      <c r="I717" s="28"/>
      <c r="J717" s="125">
        <v>0</v>
      </c>
    </row>
    <row r="718" spans="1:10" ht="15.75" hidden="1" thickBot="1" x14ac:dyDescent="0.3">
      <c r="A718" s="235"/>
      <c r="B718" s="238"/>
      <c r="C718" s="155" t="s">
        <v>23678</v>
      </c>
      <c r="D718" s="155" t="s">
        <v>774</v>
      </c>
      <c r="E718" s="34">
        <f>0.8614</f>
        <v>0.86140000000000005</v>
      </c>
      <c r="F718" s="31">
        <v>3.4390000000000001</v>
      </c>
      <c r="G718" s="31">
        <f>IF(ISNUMBER(F718),E718*F718,"")</f>
        <v>2.9623546000000003</v>
      </c>
      <c r="H718" s="35">
        <f>SUM(G718:G721)</f>
        <v>14.259317599999999</v>
      </c>
      <c r="I718" s="36"/>
      <c r="J718" s="125">
        <v>0</v>
      </c>
    </row>
    <row r="719" spans="1:10" ht="15.75" hidden="1" thickBot="1" x14ac:dyDescent="0.3">
      <c r="A719" s="235"/>
      <c r="B719" s="238"/>
      <c r="C719" s="155" t="s">
        <v>9784</v>
      </c>
      <c r="D719" s="155" t="s">
        <v>587</v>
      </c>
      <c r="E719" s="34">
        <f>0.299</f>
        <v>0.29899999999999999</v>
      </c>
      <c r="F719" s="28">
        <v>25.516999999999999</v>
      </c>
      <c r="G719" s="31">
        <f>IF(ISNUMBER(F719),E719*F719,"")</f>
        <v>7.6295829999999993</v>
      </c>
      <c r="H719" s="32"/>
      <c r="I719" s="28"/>
      <c r="J719" s="125">
        <v>0</v>
      </c>
    </row>
    <row r="720" spans="1:10" ht="15.75" hidden="1" thickBot="1" x14ac:dyDescent="0.3">
      <c r="A720" s="235"/>
      <c r="B720" s="238"/>
      <c r="C720" s="155" t="s">
        <v>588</v>
      </c>
      <c r="D720" s="155" t="s">
        <v>587</v>
      </c>
      <c r="E720" s="34">
        <f>0.15</f>
        <v>0.15</v>
      </c>
      <c r="F720" s="28">
        <v>19.189999999999998</v>
      </c>
      <c r="G720" s="31">
        <f>IF(ISNUMBER(F720),E720*F720,"")</f>
        <v>2.8784999999999994</v>
      </c>
      <c r="H720" s="32"/>
      <c r="I720" s="28"/>
      <c r="J720" s="125">
        <v>0</v>
      </c>
    </row>
    <row r="721" spans="1:10" ht="15.75" hidden="1" thickBot="1" x14ac:dyDescent="0.3">
      <c r="A721" s="235"/>
      <c r="B721" s="238"/>
      <c r="C721" s="155" t="s">
        <v>27268</v>
      </c>
      <c r="D721" s="155" t="s">
        <v>774</v>
      </c>
      <c r="E721" s="34">
        <f>0.12</f>
        <v>0.12</v>
      </c>
      <c r="F721" s="31">
        <v>6.5739999999999998</v>
      </c>
      <c r="G721" s="31">
        <f>IF(ISNUMBER(F721),E721*F721,"")</f>
        <v>0.78887999999999991</v>
      </c>
      <c r="H721" s="32"/>
      <c r="I721" s="28"/>
      <c r="J721" s="125">
        <v>0</v>
      </c>
    </row>
    <row r="722" spans="1:10" ht="15.75" hidden="1" thickBot="1" x14ac:dyDescent="0.3">
      <c r="A722" s="236"/>
      <c r="B722" s="239"/>
      <c r="C722" s="155"/>
      <c r="D722" s="33"/>
      <c r="E722" s="34"/>
      <c r="F722" s="28" t="s">
        <v>418</v>
      </c>
      <c r="G722" s="28" t="str">
        <f>IF(ISNUMBER(F722),E722*F722,"")</f>
        <v/>
      </c>
      <c r="H722" s="32"/>
      <c r="I722" s="28"/>
      <c r="J722" s="125">
        <v>0</v>
      </c>
    </row>
    <row r="723" spans="1:10" ht="15.75" hidden="1" thickBot="1" x14ac:dyDescent="0.3">
      <c r="A723" s="234" t="s">
        <v>183</v>
      </c>
      <c r="B723" s="237" t="s">
        <v>1397</v>
      </c>
      <c r="C723" s="160"/>
      <c r="D723" s="23" t="s">
        <v>70</v>
      </c>
      <c r="E723" s="24"/>
      <c r="F723" s="37" t="s">
        <v>418</v>
      </c>
      <c r="G723" s="25" t="str">
        <f>IF(ISNUMBER(F723),E723*F723,"")</f>
        <v/>
      </c>
      <c r="H723" s="26"/>
      <c r="I723" s="27"/>
      <c r="J723" s="125">
        <v>0</v>
      </c>
    </row>
    <row r="724" spans="1:10" ht="15.75" hidden="1" thickBot="1" x14ac:dyDescent="0.3">
      <c r="A724" s="235"/>
      <c r="B724" s="238"/>
      <c r="C724" s="151"/>
      <c r="D724" s="29"/>
      <c r="E724" s="30"/>
      <c r="F724" s="38" t="s">
        <v>418</v>
      </c>
      <c r="G724" s="28" t="str">
        <f>IF(ISNUMBER(F724),E724*F724,"")</f>
        <v/>
      </c>
      <c r="H724" s="32"/>
      <c r="I724" s="28"/>
      <c r="J724" s="125">
        <v>0</v>
      </c>
    </row>
    <row r="725" spans="1:10" ht="15.75" hidden="1" thickBot="1" x14ac:dyDescent="0.3">
      <c r="A725" s="235"/>
      <c r="B725" s="238"/>
      <c r="C725" s="155" t="s">
        <v>9784</v>
      </c>
      <c r="D725" s="155" t="s">
        <v>587</v>
      </c>
      <c r="E725" s="34">
        <v>1.1879999999999999</v>
      </c>
      <c r="F725" s="28">
        <v>25.516999999999999</v>
      </c>
      <c r="G725" s="31">
        <f>IF(ISNUMBER(F725),E725*F725,"")</f>
        <v>30.314195999999999</v>
      </c>
      <c r="H725" s="35">
        <f>SUM(G725:G727)</f>
        <v>71.357236</v>
      </c>
      <c r="I725" s="36"/>
      <c r="J725" s="125">
        <v>0</v>
      </c>
    </row>
    <row r="726" spans="1:10" ht="15.75" hidden="1" thickBot="1" x14ac:dyDescent="0.3">
      <c r="A726" s="235"/>
      <c r="B726" s="238"/>
      <c r="C726" s="155" t="s">
        <v>588</v>
      </c>
      <c r="D726" s="155" t="s">
        <v>587</v>
      </c>
      <c r="E726" s="34">
        <v>0.59399999999999997</v>
      </c>
      <c r="F726" s="28">
        <v>19.189999999999998</v>
      </c>
      <c r="G726" s="31">
        <f>IF(ISNUMBER(F726),E726*F726,"")</f>
        <v>11.398859999999997</v>
      </c>
      <c r="H726" s="32"/>
      <c r="I726" s="28"/>
      <c r="J726" s="125">
        <v>0</v>
      </c>
    </row>
    <row r="727" spans="1:10" ht="15.75" hidden="1" thickBot="1" x14ac:dyDescent="0.3">
      <c r="A727" s="235"/>
      <c r="B727" s="238"/>
      <c r="C727" s="155" t="s">
        <v>23678</v>
      </c>
      <c r="D727" s="155" t="s">
        <v>774</v>
      </c>
      <c r="E727" s="34">
        <v>8.6199999999999992</v>
      </c>
      <c r="F727" s="31">
        <v>3.4390000000000001</v>
      </c>
      <c r="G727" s="31">
        <f>IF(ISNUMBER(F727),E727*F727,"")</f>
        <v>29.644179999999999</v>
      </c>
      <c r="H727" s="32"/>
      <c r="I727" s="28"/>
      <c r="J727" s="125">
        <v>0</v>
      </c>
    </row>
    <row r="728" spans="1:10" ht="15.75" hidden="1" thickBot="1" x14ac:dyDescent="0.3">
      <c r="A728" s="236"/>
      <c r="B728" s="239"/>
      <c r="C728" s="155"/>
      <c r="D728" s="33"/>
      <c r="E728" s="34"/>
      <c r="F728" s="28" t="s">
        <v>418</v>
      </c>
      <c r="G728" s="28" t="str">
        <f>IF(ISNUMBER(F728),E728*F728,"")</f>
        <v/>
      </c>
      <c r="H728" s="32"/>
      <c r="I728" s="28"/>
      <c r="J728" s="125">
        <v>0</v>
      </c>
    </row>
    <row r="729" spans="1:10" ht="15.75" hidden="1" thickBot="1" x14ac:dyDescent="0.3">
      <c r="A729" s="234" t="s">
        <v>184</v>
      </c>
      <c r="B729" s="237" t="s">
        <v>19683</v>
      </c>
      <c r="C729" s="160"/>
      <c r="D729" s="23" t="s">
        <v>70</v>
      </c>
      <c r="E729" s="24"/>
      <c r="F729" s="37" t="s">
        <v>418</v>
      </c>
      <c r="G729" s="25" t="str">
        <f>IF(ISNUMBER(F729),E729*F729,"")</f>
        <v/>
      </c>
      <c r="H729" s="26"/>
      <c r="I729" s="27"/>
      <c r="J729" s="125">
        <v>0</v>
      </c>
    </row>
    <row r="730" spans="1:10" ht="15.75" hidden="1" thickBot="1" x14ac:dyDescent="0.3">
      <c r="A730" s="235"/>
      <c r="B730" s="238"/>
      <c r="C730" s="151"/>
      <c r="D730" s="29"/>
      <c r="E730" s="30"/>
      <c r="F730" s="38" t="s">
        <v>418</v>
      </c>
      <c r="G730" s="28" t="str">
        <f>IF(ISNUMBER(F730),E730*F730,"")</f>
        <v/>
      </c>
      <c r="H730" s="32"/>
      <c r="I730" s="28"/>
      <c r="J730" s="125">
        <v>0</v>
      </c>
    </row>
    <row r="731" spans="1:10" ht="26.25" hidden="1" thickBot="1" x14ac:dyDescent="0.3">
      <c r="A731" s="235"/>
      <c r="B731" s="238"/>
      <c r="C731" s="155" t="s">
        <v>185</v>
      </c>
      <c r="D731" s="33" t="s">
        <v>69</v>
      </c>
      <c r="E731" s="156">
        <f>ROUND(1.04/0.15,4)</f>
        <v>6.9333</v>
      </c>
      <c r="F731" s="31" t="s">
        <v>418</v>
      </c>
      <c r="G731" s="31" t="str">
        <f>IF(ISNUMBER(F731),E731*F731,"")</f>
        <v/>
      </c>
      <c r="H731" s="35">
        <f>SUM(G731:G735)</f>
        <v>95.061381399999988</v>
      </c>
      <c r="I731" s="36"/>
      <c r="J731" s="125">
        <v>0</v>
      </c>
    </row>
    <row r="732" spans="1:10" ht="15.75" hidden="1" thickBot="1" x14ac:dyDescent="0.3">
      <c r="A732" s="235"/>
      <c r="B732" s="238"/>
      <c r="C732" s="155" t="s">
        <v>23678</v>
      </c>
      <c r="D732" s="155" t="s">
        <v>774</v>
      </c>
      <c r="E732" s="156">
        <f>ROUND(0.8614/0.15,4)</f>
        <v>5.7427000000000001</v>
      </c>
      <c r="F732" s="31">
        <v>3.4390000000000001</v>
      </c>
      <c r="G732" s="31">
        <f>IF(ISNUMBER(F732),E732*F732,"")</f>
        <v>19.749145300000002</v>
      </c>
      <c r="H732" s="32"/>
      <c r="I732" s="28"/>
      <c r="J732" s="125">
        <v>0</v>
      </c>
    </row>
    <row r="733" spans="1:10" ht="15.75" hidden="1" thickBot="1" x14ac:dyDescent="0.3">
      <c r="A733" s="235"/>
      <c r="B733" s="238"/>
      <c r="C733" s="155" t="s">
        <v>9784</v>
      </c>
      <c r="D733" s="155" t="s">
        <v>587</v>
      </c>
      <c r="E733" s="156">
        <f>ROUND(0.299/0.15,4)</f>
        <v>1.9933000000000001</v>
      </c>
      <c r="F733" s="28">
        <v>25.516999999999999</v>
      </c>
      <c r="G733" s="31">
        <f>IF(ISNUMBER(F733),E733*F733,"")</f>
        <v>50.863036100000002</v>
      </c>
      <c r="H733" s="32"/>
      <c r="I733" s="28"/>
      <c r="J733" s="125">
        <v>0</v>
      </c>
    </row>
    <row r="734" spans="1:10" ht="15.75" hidden="1" thickBot="1" x14ac:dyDescent="0.3">
      <c r="A734" s="235"/>
      <c r="B734" s="238"/>
      <c r="C734" s="155" t="s">
        <v>588</v>
      </c>
      <c r="D734" s="155" t="s">
        <v>587</v>
      </c>
      <c r="E734" s="156">
        <f>0.15/0.15</f>
        <v>1</v>
      </c>
      <c r="F734" s="28">
        <v>19.189999999999998</v>
      </c>
      <c r="G734" s="31">
        <f>IF(ISNUMBER(F734),E734*F734,"")</f>
        <v>19.189999999999998</v>
      </c>
      <c r="H734" s="32"/>
      <c r="I734" s="28"/>
      <c r="J734" s="125">
        <v>0</v>
      </c>
    </row>
    <row r="735" spans="1:10" ht="15.75" hidden="1" thickBot="1" x14ac:dyDescent="0.3">
      <c r="A735" s="235"/>
      <c r="B735" s="238"/>
      <c r="C735" s="155" t="s">
        <v>27268</v>
      </c>
      <c r="D735" s="155" t="s">
        <v>774</v>
      </c>
      <c r="E735" s="156">
        <f>0.12/0.15</f>
        <v>0.8</v>
      </c>
      <c r="F735" s="31">
        <v>6.5739999999999998</v>
      </c>
      <c r="G735" s="31">
        <f>IF(ISNUMBER(F735),E735*F735,"")</f>
        <v>5.2591999999999999</v>
      </c>
      <c r="H735" s="32"/>
      <c r="I735" s="28"/>
      <c r="J735" s="125">
        <v>0</v>
      </c>
    </row>
    <row r="736" spans="1:10" ht="15.75" hidden="1" thickBot="1" x14ac:dyDescent="0.3">
      <c r="A736" s="235"/>
      <c r="B736" s="238"/>
      <c r="C736" s="155"/>
      <c r="D736" s="33"/>
      <c r="E736" s="34"/>
      <c r="F736" s="31" t="s">
        <v>418</v>
      </c>
      <c r="G736" s="31" t="str">
        <f>IF(ISNUMBER(F736),E736*F736,"")</f>
        <v/>
      </c>
      <c r="H736" s="32"/>
      <c r="I736" s="28"/>
      <c r="J736" s="125">
        <v>0</v>
      </c>
    </row>
    <row r="737" spans="1:10" ht="15.75" hidden="1" thickBot="1" x14ac:dyDescent="0.3">
      <c r="A737" s="234" t="s">
        <v>186</v>
      </c>
      <c r="B737" s="237" t="s">
        <v>1398</v>
      </c>
      <c r="C737" s="160"/>
      <c r="D737" s="23" t="s">
        <v>70</v>
      </c>
      <c r="E737" s="24"/>
      <c r="F737" s="37" t="s">
        <v>418</v>
      </c>
      <c r="G737" s="25" t="str">
        <f>IF(ISNUMBER(F737),E737*F737,"")</f>
        <v/>
      </c>
      <c r="H737" s="26"/>
      <c r="I737" s="27"/>
      <c r="J737" s="125">
        <v>0</v>
      </c>
    </row>
    <row r="738" spans="1:10" ht="15.75" hidden="1" thickBot="1" x14ac:dyDescent="0.3">
      <c r="A738" s="235"/>
      <c r="B738" s="238"/>
      <c r="C738" s="151"/>
      <c r="D738" s="29"/>
      <c r="E738" s="30"/>
      <c r="F738" s="38" t="s">
        <v>418</v>
      </c>
      <c r="G738" s="28" t="str">
        <f>IF(ISNUMBER(F738),E738*F738,"")</f>
        <v/>
      </c>
      <c r="H738" s="32"/>
      <c r="I738" s="28"/>
      <c r="J738" s="125">
        <v>0</v>
      </c>
    </row>
    <row r="739" spans="1:10" ht="26.25" hidden="1" thickBot="1" x14ac:dyDescent="0.3">
      <c r="A739" s="235"/>
      <c r="B739" s="238"/>
      <c r="C739" s="155" t="s">
        <v>187</v>
      </c>
      <c r="D739" s="42" t="s">
        <v>70</v>
      </c>
      <c r="E739" s="34">
        <v>1</v>
      </c>
      <c r="F739" s="28">
        <v>0.95</v>
      </c>
      <c r="G739" s="31">
        <f>IF(ISNUMBER(F739),E739*F739,"")</f>
        <v>0.95</v>
      </c>
      <c r="H739" s="35">
        <f>SUM(G739:G739)</f>
        <v>0.95</v>
      </c>
      <c r="I739" s="36"/>
      <c r="J739" s="125">
        <v>0</v>
      </c>
    </row>
    <row r="740" spans="1:10" ht="15.75" hidden="1" thickBot="1" x14ac:dyDescent="0.3">
      <c r="A740" s="236"/>
      <c r="B740" s="239"/>
      <c r="C740" s="155"/>
      <c r="D740" s="33"/>
      <c r="E740" s="34"/>
      <c r="F740" s="28" t="s">
        <v>418</v>
      </c>
      <c r="G740" s="28" t="str">
        <f>IF(ISNUMBER(F740),E740*F740,"")</f>
        <v/>
      </c>
      <c r="H740" s="32"/>
      <c r="I740" s="28"/>
      <c r="J740" s="125">
        <v>0</v>
      </c>
    </row>
    <row r="741" spans="1:10" ht="15.75" hidden="1" thickBot="1" x14ac:dyDescent="0.3">
      <c r="A741" s="234" t="s">
        <v>189</v>
      </c>
      <c r="B741" s="237" t="s">
        <v>1399</v>
      </c>
      <c r="C741" s="160"/>
      <c r="D741" s="23" t="s">
        <v>70</v>
      </c>
      <c r="E741" s="24"/>
      <c r="F741" s="37" t="s">
        <v>418</v>
      </c>
      <c r="G741" s="25" t="str">
        <f>IF(ISNUMBER(F741),E741*F741,"")</f>
        <v/>
      </c>
      <c r="H741" s="26"/>
      <c r="I741" s="27"/>
      <c r="J741" s="125">
        <v>0</v>
      </c>
    </row>
    <row r="742" spans="1:10" ht="15.75" hidden="1" thickBot="1" x14ac:dyDescent="0.3">
      <c r="A742" s="235"/>
      <c r="B742" s="238"/>
      <c r="C742" s="151"/>
      <c r="D742" s="29"/>
      <c r="E742" s="30"/>
      <c r="F742" s="38" t="s">
        <v>418</v>
      </c>
      <c r="G742" s="28" t="str">
        <f>IF(ISNUMBER(F742),E742*F742,"")</f>
        <v/>
      </c>
      <c r="H742" s="32"/>
      <c r="I742" s="28"/>
      <c r="J742" s="125">
        <v>0</v>
      </c>
    </row>
    <row r="743" spans="1:10" ht="26.25" hidden="1" thickBot="1" x14ac:dyDescent="0.3">
      <c r="A743" s="235"/>
      <c r="B743" s="238"/>
      <c r="C743" s="155" t="s">
        <v>26844</v>
      </c>
      <c r="D743" s="155" t="s">
        <v>385</v>
      </c>
      <c r="E743" s="34">
        <f>2*(1.5+0.67)</f>
        <v>4.34</v>
      </c>
      <c r="F743" s="31">
        <v>7.0489999999999995</v>
      </c>
      <c r="G743" s="31">
        <f>IF(ISNUMBER(F743),E743*F743,"")</f>
        <v>30.592659999999995</v>
      </c>
      <c r="H743" s="35">
        <f>SUM(G743:G746)</f>
        <v>74.720159999999993</v>
      </c>
      <c r="I743" s="36"/>
      <c r="J743" s="125">
        <v>0</v>
      </c>
    </row>
    <row r="744" spans="1:10" ht="15.75" hidden="1" thickBot="1" x14ac:dyDescent="0.3">
      <c r="A744" s="235"/>
      <c r="B744" s="238"/>
      <c r="C744" s="155" t="s">
        <v>190</v>
      </c>
      <c r="D744" s="42" t="s">
        <v>70</v>
      </c>
      <c r="E744" s="34">
        <f>0.36/0.6/0.6</f>
        <v>1</v>
      </c>
      <c r="F744" s="31" t="s">
        <v>418</v>
      </c>
      <c r="G744" s="31" t="str">
        <f>IF(ISNUMBER(F744),E744*F744,"")</f>
        <v/>
      </c>
      <c r="H744" s="32"/>
      <c r="I744" s="28"/>
      <c r="J744" s="125">
        <v>0</v>
      </c>
    </row>
    <row r="745" spans="1:10" ht="15.75" hidden="1" thickBot="1" x14ac:dyDescent="0.3">
      <c r="A745" s="235"/>
      <c r="B745" s="238"/>
      <c r="C745" s="155" t="s">
        <v>1114</v>
      </c>
      <c r="D745" s="155" t="s">
        <v>587</v>
      </c>
      <c r="E745" s="34">
        <v>1</v>
      </c>
      <c r="F745" s="28">
        <v>24.9375</v>
      </c>
      <c r="G745" s="31">
        <f>IF(ISNUMBER(F745),E745*F745,"")</f>
        <v>24.9375</v>
      </c>
      <c r="H745" s="32"/>
      <c r="I745" s="28"/>
      <c r="J745" s="125">
        <v>0</v>
      </c>
    </row>
    <row r="746" spans="1:10" ht="15.75" hidden="1" thickBot="1" x14ac:dyDescent="0.3">
      <c r="A746" s="235"/>
      <c r="B746" s="238"/>
      <c r="C746" s="155" t="s">
        <v>588</v>
      </c>
      <c r="D746" s="155" t="s">
        <v>587</v>
      </c>
      <c r="E746" s="34">
        <v>1</v>
      </c>
      <c r="F746" s="28">
        <v>19.189999999999998</v>
      </c>
      <c r="G746" s="31">
        <f>IF(ISNUMBER(F746),E746*F746,"")</f>
        <v>19.189999999999998</v>
      </c>
      <c r="H746" s="32"/>
      <c r="I746" s="28"/>
      <c r="J746" s="125">
        <v>0</v>
      </c>
    </row>
    <row r="747" spans="1:10" ht="15.75" hidden="1" thickBot="1" x14ac:dyDescent="0.3">
      <c r="A747" s="236"/>
      <c r="B747" s="239"/>
      <c r="C747" s="155"/>
      <c r="D747" s="33"/>
      <c r="E747" s="34"/>
      <c r="F747" s="28" t="s">
        <v>418</v>
      </c>
      <c r="G747" s="28" t="str">
        <f>IF(ISNUMBER(F747),E747*F747,"")</f>
        <v/>
      </c>
      <c r="H747" s="32"/>
      <c r="I747" s="28"/>
      <c r="J747" s="125">
        <v>0</v>
      </c>
    </row>
    <row r="748" spans="1:10" ht="15.75" hidden="1" thickBot="1" x14ac:dyDescent="0.3">
      <c r="A748" s="234" t="s">
        <v>191</v>
      </c>
      <c r="B748" s="237" t="s">
        <v>19684</v>
      </c>
      <c r="C748" s="160"/>
      <c r="D748" s="23" t="s">
        <v>70</v>
      </c>
      <c r="E748" s="24"/>
      <c r="F748" s="37" t="s">
        <v>418</v>
      </c>
      <c r="G748" s="25" t="str">
        <f>IF(ISNUMBER(F748),E748*F748,"")</f>
        <v/>
      </c>
      <c r="H748" s="26"/>
      <c r="I748" s="27"/>
      <c r="J748" s="125">
        <v>0</v>
      </c>
    </row>
    <row r="749" spans="1:10" ht="15.75" hidden="1" thickBot="1" x14ac:dyDescent="0.3">
      <c r="A749" s="235"/>
      <c r="B749" s="238"/>
      <c r="C749" s="151"/>
      <c r="D749" s="29"/>
      <c r="E749" s="30"/>
      <c r="F749" s="38" t="s">
        <v>418</v>
      </c>
      <c r="G749" s="28" t="str">
        <f>IF(ISNUMBER(F749),E749*F749,"")</f>
        <v/>
      </c>
      <c r="H749" s="32"/>
      <c r="I749" s="28"/>
      <c r="J749" s="125">
        <v>0</v>
      </c>
    </row>
    <row r="750" spans="1:10" ht="26.25" hidden="1" thickBot="1" x14ac:dyDescent="0.3">
      <c r="A750" s="235"/>
      <c r="B750" s="238"/>
      <c r="C750" s="155" t="s">
        <v>25541</v>
      </c>
      <c r="D750" s="155" t="s">
        <v>870</v>
      </c>
      <c r="E750" s="34">
        <v>1.0363</v>
      </c>
      <c r="F750" s="31">
        <v>21.450999999999997</v>
      </c>
      <c r="G750" s="28">
        <f>IF(ISNUMBER(F750),E750*F750,"")</f>
        <v>22.229671299999996</v>
      </c>
      <c r="H750" s="35">
        <f>SUM(G750:G757)</f>
        <v>72.640173950000005</v>
      </c>
      <c r="I750" s="36"/>
      <c r="J750" s="125">
        <v>0</v>
      </c>
    </row>
    <row r="751" spans="1:10" ht="39" hidden="1" thickBot="1" x14ac:dyDescent="0.3">
      <c r="A751" s="235"/>
      <c r="B751" s="238"/>
      <c r="C751" s="155" t="s">
        <v>26827</v>
      </c>
      <c r="D751" s="155" t="s">
        <v>385</v>
      </c>
      <c r="E751" s="34">
        <v>3.5470000000000002</v>
      </c>
      <c r="F751" s="31">
        <v>8.3885000000000005</v>
      </c>
      <c r="G751" s="28">
        <f>IF(ISNUMBER(F751),E751*F751,"")</f>
        <v>29.754009500000002</v>
      </c>
      <c r="H751" s="32"/>
      <c r="I751" s="28"/>
      <c r="J751" s="125">
        <v>0</v>
      </c>
    </row>
    <row r="752" spans="1:10" ht="39" hidden="1" thickBot="1" x14ac:dyDescent="0.3">
      <c r="A752" s="235"/>
      <c r="B752" s="238"/>
      <c r="C752" s="155" t="s">
        <v>26813</v>
      </c>
      <c r="D752" s="155" t="s">
        <v>205</v>
      </c>
      <c r="E752" s="34">
        <v>1.2266999999999999</v>
      </c>
      <c r="F752" s="31">
        <v>3.1635</v>
      </c>
      <c r="G752" s="28">
        <f>IF(ISNUMBER(F752),E752*F752,"")</f>
        <v>3.8806654499999995</v>
      </c>
      <c r="H752" s="32"/>
      <c r="I752" s="28"/>
      <c r="J752" s="125">
        <v>0</v>
      </c>
    </row>
    <row r="753" spans="1:10" ht="26.25" hidden="1" thickBot="1" x14ac:dyDescent="0.3">
      <c r="A753" s="235"/>
      <c r="B753" s="238"/>
      <c r="C753" s="155" t="s">
        <v>26718</v>
      </c>
      <c r="D753" s="155" t="s">
        <v>205</v>
      </c>
      <c r="E753" s="34">
        <v>2.2134</v>
      </c>
      <c r="F753" s="31">
        <v>0.26600000000000001</v>
      </c>
      <c r="G753" s="28">
        <f>IF(ISNUMBER(F753),E753*F753,"")</f>
        <v>0.58876440000000008</v>
      </c>
      <c r="H753" s="32"/>
      <c r="I753" s="28"/>
      <c r="J753" s="125">
        <v>0</v>
      </c>
    </row>
    <row r="754" spans="1:10" ht="26.25" hidden="1" thickBot="1" x14ac:dyDescent="0.3">
      <c r="A754" s="235"/>
      <c r="B754" s="238"/>
      <c r="C754" s="155" t="s">
        <v>193</v>
      </c>
      <c r="D754" s="155" t="s">
        <v>1113</v>
      </c>
      <c r="E754" s="34">
        <v>1.23E-2</v>
      </c>
      <c r="F754" s="31">
        <v>29.981999999999996</v>
      </c>
      <c r="G754" s="28">
        <f>IF(ISNUMBER(F754),E754*F754,"")</f>
        <v>0.36877859999999996</v>
      </c>
      <c r="H754" s="32"/>
      <c r="I754" s="28"/>
      <c r="J754" s="125">
        <v>0</v>
      </c>
    </row>
    <row r="755" spans="1:10" ht="26.25" hidden="1" thickBot="1" x14ac:dyDescent="0.3">
      <c r="A755" s="235"/>
      <c r="B755" s="238"/>
      <c r="C755" s="155" t="s">
        <v>30860</v>
      </c>
      <c r="D755" s="155" t="s">
        <v>1113</v>
      </c>
      <c r="E755" s="34">
        <v>3.3599999999999998E-2</v>
      </c>
      <c r="F755" s="31">
        <v>51.404499999999999</v>
      </c>
      <c r="G755" s="28">
        <f>IF(ISNUMBER(F755),E755*F755,"")</f>
        <v>1.7271911999999998</v>
      </c>
      <c r="H755" s="32"/>
      <c r="I755" s="28"/>
      <c r="J755" s="125">
        <v>0</v>
      </c>
    </row>
    <row r="756" spans="1:10" ht="26.25" hidden="1" thickBot="1" x14ac:dyDescent="0.3">
      <c r="A756" s="235"/>
      <c r="B756" s="238"/>
      <c r="C756" s="155" t="s">
        <v>192</v>
      </c>
      <c r="D756" s="155" t="s">
        <v>774</v>
      </c>
      <c r="E756" s="34">
        <v>3.6999999999999998E-2</v>
      </c>
      <c r="F756" s="31">
        <v>30.675499999999996</v>
      </c>
      <c r="G756" s="28">
        <f>IF(ISNUMBER(F756),E756*F756,"")</f>
        <v>1.1349934999999998</v>
      </c>
      <c r="H756" s="32"/>
      <c r="I756" s="28"/>
      <c r="J756" s="125">
        <v>0</v>
      </c>
    </row>
    <row r="757" spans="1:10" ht="26.25" hidden="1" thickBot="1" x14ac:dyDescent="0.3">
      <c r="A757" s="235"/>
      <c r="B757" s="238"/>
      <c r="C757" s="155" t="s">
        <v>863</v>
      </c>
      <c r="D757" s="155" t="s">
        <v>587</v>
      </c>
      <c r="E757" s="34">
        <v>0.6</v>
      </c>
      <c r="F757" s="28">
        <v>21.593499999999999</v>
      </c>
      <c r="G757" s="28">
        <f>IF(ISNUMBER(F757),E757*F757,"")</f>
        <v>12.956099999999999</v>
      </c>
      <c r="H757" s="32"/>
      <c r="I757" s="28"/>
      <c r="J757" s="125">
        <v>0</v>
      </c>
    </row>
    <row r="758" spans="1:10" ht="15.75" hidden="1" thickBot="1" x14ac:dyDescent="0.3">
      <c r="A758" s="236"/>
      <c r="B758" s="239"/>
      <c r="C758" s="155"/>
      <c r="D758" s="33"/>
      <c r="E758" s="34"/>
      <c r="F758" s="28" t="s">
        <v>418</v>
      </c>
      <c r="G758" s="28" t="str">
        <f>IF(ISNUMBER(F758),E758*F758,"")</f>
        <v/>
      </c>
      <c r="H758" s="32"/>
      <c r="I758" s="28"/>
      <c r="J758" s="125">
        <v>0</v>
      </c>
    </row>
    <row r="759" spans="1:10" ht="15.75" hidden="1" thickBot="1" x14ac:dyDescent="0.3">
      <c r="A759" s="234" t="s">
        <v>194</v>
      </c>
      <c r="B759" s="237" t="s">
        <v>19685</v>
      </c>
      <c r="C759" s="160"/>
      <c r="D759" s="23" t="s">
        <v>70</v>
      </c>
      <c r="E759" s="24"/>
      <c r="F759" s="37" t="s">
        <v>418</v>
      </c>
      <c r="G759" s="25" t="str">
        <f>IF(ISNUMBER(F759),E759*F759,"")</f>
        <v/>
      </c>
      <c r="H759" s="26"/>
      <c r="I759" s="27"/>
      <c r="J759" s="125">
        <v>0</v>
      </c>
    </row>
    <row r="760" spans="1:10" ht="15.75" hidden="1" thickBot="1" x14ac:dyDescent="0.3">
      <c r="A760" s="235"/>
      <c r="B760" s="238"/>
      <c r="C760" s="151"/>
      <c r="D760" s="29"/>
      <c r="E760" s="30"/>
      <c r="F760" s="38" t="s">
        <v>418</v>
      </c>
      <c r="G760" s="28" t="str">
        <f>IF(ISNUMBER(F760),E760*F760,"")</f>
        <v/>
      </c>
      <c r="H760" s="32"/>
      <c r="I760" s="28"/>
      <c r="J760" s="125">
        <v>0</v>
      </c>
    </row>
    <row r="761" spans="1:10" ht="26.25" hidden="1" thickBot="1" x14ac:dyDescent="0.3">
      <c r="A761" s="235"/>
      <c r="B761" s="238"/>
      <c r="C761" s="155" t="s">
        <v>25541</v>
      </c>
      <c r="D761" s="155" t="s">
        <v>870</v>
      </c>
      <c r="E761" s="34">
        <v>1.0363</v>
      </c>
      <c r="F761" s="31">
        <v>21.450999999999997</v>
      </c>
      <c r="G761" s="28">
        <f>IF(ISNUMBER(F761),E761*F761,"")</f>
        <v>22.229671299999996</v>
      </c>
      <c r="H761" s="35">
        <f>SUM(G761:G763)</f>
        <v>26.705265699999995</v>
      </c>
      <c r="I761" s="36"/>
      <c r="J761" s="125">
        <v>0</v>
      </c>
    </row>
    <row r="762" spans="1:10" ht="26.25" hidden="1" thickBot="1" x14ac:dyDescent="0.3">
      <c r="A762" s="235"/>
      <c r="B762" s="238"/>
      <c r="C762" s="155" t="s">
        <v>26718</v>
      </c>
      <c r="D762" s="155" t="s">
        <v>205</v>
      </c>
      <c r="E762" s="34">
        <v>2.2134</v>
      </c>
      <c r="F762" s="31">
        <v>0.26600000000000001</v>
      </c>
      <c r="G762" s="31">
        <f>IF(ISNUMBER(F762),E762*F762,"")</f>
        <v>0.58876440000000008</v>
      </c>
      <c r="H762" s="39"/>
      <c r="I762" s="36"/>
      <c r="J762" s="125">
        <v>0</v>
      </c>
    </row>
    <row r="763" spans="1:10" ht="26.25" hidden="1" thickBot="1" x14ac:dyDescent="0.3">
      <c r="A763" s="235"/>
      <c r="B763" s="238"/>
      <c r="C763" s="155" t="s">
        <v>863</v>
      </c>
      <c r="D763" s="155" t="s">
        <v>587</v>
      </c>
      <c r="E763" s="34">
        <f>ROUND(0.6*0.3,4)</f>
        <v>0.18</v>
      </c>
      <c r="F763" s="28">
        <v>21.593499999999999</v>
      </c>
      <c r="G763" s="31">
        <f>IF(ISNUMBER(F763),E763*F763,"")</f>
        <v>3.8868299999999998</v>
      </c>
      <c r="H763" s="32"/>
      <c r="I763" s="28"/>
      <c r="J763" s="125">
        <v>0</v>
      </c>
    </row>
    <row r="764" spans="1:10" ht="15.75" hidden="1" thickBot="1" x14ac:dyDescent="0.3">
      <c r="A764" s="236"/>
      <c r="B764" s="239"/>
      <c r="C764" s="155"/>
      <c r="D764" s="33"/>
      <c r="E764" s="34"/>
      <c r="F764" s="28" t="s">
        <v>418</v>
      </c>
      <c r="G764" s="28" t="str">
        <f>IF(ISNUMBER(F764),E764*F764,"")</f>
        <v/>
      </c>
      <c r="H764" s="32"/>
      <c r="I764" s="28"/>
      <c r="J764" s="125">
        <v>0</v>
      </c>
    </row>
    <row r="765" spans="1:10" ht="15.75" hidden="1" thickBot="1" x14ac:dyDescent="0.3">
      <c r="A765" s="234" t="s">
        <v>195</v>
      </c>
      <c r="B765" s="237" t="s">
        <v>1400</v>
      </c>
      <c r="C765" s="160"/>
      <c r="D765" s="23" t="s">
        <v>70</v>
      </c>
      <c r="E765" s="24"/>
      <c r="F765" s="37" t="s">
        <v>418</v>
      </c>
      <c r="G765" s="25" t="str">
        <f>IF(ISNUMBER(F765),E765*F765,"")</f>
        <v/>
      </c>
      <c r="H765" s="26"/>
      <c r="I765" s="27"/>
      <c r="J765" s="125">
        <v>0</v>
      </c>
    </row>
    <row r="766" spans="1:10" ht="15.75" hidden="1" thickBot="1" x14ac:dyDescent="0.3">
      <c r="A766" s="249"/>
      <c r="B766" s="238"/>
      <c r="C766" s="151"/>
      <c r="D766" s="29"/>
      <c r="E766" s="30"/>
      <c r="F766" s="38" t="s">
        <v>418</v>
      </c>
      <c r="G766" s="28" t="str">
        <f>IF(ISNUMBER(F766),E766*F766,"")</f>
        <v/>
      </c>
      <c r="H766" s="32"/>
      <c r="I766" s="28"/>
      <c r="J766" s="125">
        <v>0</v>
      </c>
    </row>
    <row r="767" spans="1:10" ht="15.75" hidden="1" thickBot="1" x14ac:dyDescent="0.3">
      <c r="A767" s="249"/>
      <c r="B767" s="238"/>
      <c r="C767" s="155" t="s">
        <v>196</v>
      </c>
      <c r="D767" s="42" t="s">
        <v>70</v>
      </c>
      <c r="E767" s="156">
        <v>1.0363</v>
      </c>
      <c r="F767" s="31" t="s">
        <v>418</v>
      </c>
      <c r="G767" s="28" t="str">
        <f>IF(ISNUMBER(F767),E767*F767,"")</f>
        <v/>
      </c>
      <c r="H767" s="35">
        <f>SUM(G767:G774)</f>
        <v>50.410502650000005</v>
      </c>
      <c r="I767" s="36"/>
      <c r="J767" s="125">
        <v>0</v>
      </c>
    </row>
    <row r="768" spans="1:10" ht="39" hidden="1" thickBot="1" x14ac:dyDescent="0.3">
      <c r="A768" s="249"/>
      <c r="B768" s="238"/>
      <c r="C768" s="155" t="s">
        <v>26827</v>
      </c>
      <c r="D768" s="155" t="s">
        <v>385</v>
      </c>
      <c r="E768" s="156">
        <v>3.5470000000000002</v>
      </c>
      <c r="F768" s="31">
        <v>8.3885000000000005</v>
      </c>
      <c r="G768" s="28">
        <f>IF(ISNUMBER(F768),E768*F768,"")</f>
        <v>29.754009500000002</v>
      </c>
      <c r="H768" s="32"/>
      <c r="I768" s="28"/>
      <c r="J768" s="125">
        <v>0</v>
      </c>
    </row>
    <row r="769" spans="1:10" ht="39" hidden="1" thickBot="1" x14ac:dyDescent="0.3">
      <c r="A769" s="249"/>
      <c r="B769" s="238"/>
      <c r="C769" s="155" t="s">
        <v>26813</v>
      </c>
      <c r="D769" s="155" t="s">
        <v>205</v>
      </c>
      <c r="E769" s="156">
        <v>1.2266999999999999</v>
      </c>
      <c r="F769" s="31">
        <v>3.1635</v>
      </c>
      <c r="G769" s="28">
        <f>IF(ISNUMBER(F769),E769*F769,"")</f>
        <v>3.8806654499999995</v>
      </c>
      <c r="H769" s="32"/>
      <c r="I769" s="28"/>
      <c r="J769" s="125">
        <v>0</v>
      </c>
    </row>
    <row r="770" spans="1:10" ht="26.25" hidden="1" thickBot="1" x14ac:dyDescent="0.3">
      <c r="A770" s="249"/>
      <c r="B770" s="238"/>
      <c r="C770" s="155" t="s">
        <v>26718</v>
      </c>
      <c r="D770" s="155" t="s">
        <v>205</v>
      </c>
      <c r="E770" s="156">
        <v>2.2134</v>
      </c>
      <c r="F770" s="31">
        <v>0.26600000000000001</v>
      </c>
      <c r="G770" s="28">
        <f>IF(ISNUMBER(F770),E770*F770,"")</f>
        <v>0.58876440000000008</v>
      </c>
      <c r="H770" s="32"/>
      <c r="I770" s="28"/>
      <c r="J770" s="125">
        <v>0</v>
      </c>
    </row>
    <row r="771" spans="1:10" ht="26.25" hidden="1" thickBot="1" x14ac:dyDescent="0.3">
      <c r="A771" s="249"/>
      <c r="B771" s="238"/>
      <c r="C771" s="155" t="s">
        <v>193</v>
      </c>
      <c r="D771" s="155" t="s">
        <v>1113</v>
      </c>
      <c r="E771" s="156">
        <v>1.23E-2</v>
      </c>
      <c r="F771" s="31">
        <v>29.981999999999996</v>
      </c>
      <c r="G771" s="28">
        <f>IF(ISNUMBER(F771),E771*F771,"")</f>
        <v>0.36877859999999996</v>
      </c>
      <c r="H771" s="32"/>
      <c r="I771" s="28"/>
      <c r="J771" s="125">
        <v>0</v>
      </c>
    </row>
    <row r="772" spans="1:10" ht="26.25" hidden="1" thickBot="1" x14ac:dyDescent="0.3">
      <c r="A772" s="249"/>
      <c r="B772" s="238"/>
      <c r="C772" s="155" t="s">
        <v>30860</v>
      </c>
      <c r="D772" s="155" t="s">
        <v>1113</v>
      </c>
      <c r="E772" s="156">
        <v>3.3599999999999998E-2</v>
      </c>
      <c r="F772" s="31">
        <v>51.404499999999999</v>
      </c>
      <c r="G772" s="28">
        <f>IF(ISNUMBER(F772),E772*F772,"")</f>
        <v>1.7271911999999998</v>
      </c>
      <c r="H772" s="32"/>
      <c r="I772" s="28"/>
      <c r="J772" s="125">
        <v>0</v>
      </c>
    </row>
    <row r="773" spans="1:10" ht="26.25" hidden="1" thickBot="1" x14ac:dyDescent="0.3">
      <c r="A773" s="249"/>
      <c r="B773" s="238"/>
      <c r="C773" s="155" t="s">
        <v>192</v>
      </c>
      <c r="D773" s="155" t="s">
        <v>774</v>
      </c>
      <c r="E773" s="156">
        <v>3.6999999999999998E-2</v>
      </c>
      <c r="F773" s="31">
        <v>30.675499999999996</v>
      </c>
      <c r="G773" s="28">
        <f>IF(ISNUMBER(F773),E773*F773,"")</f>
        <v>1.1349934999999998</v>
      </c>
      <c r="H773" s="32"/>
      <c r="I773" s="28"/>
      <c r="J773" s="125">
        <v>0</v>
      </c>
    </row>
    <row r="774" spans="1:10" ht="26.25" hidden="1" thickBot="1" x14ac:dyDescent="0.3">
      <c r="A774" s="249"/>
      <c r="B774" s="238"/>
      <c r="C774" s="155" t="s">
        <v>863</v>
      </c>
      <c r="D774" s="155" t="s">
        <v>587</v>
      </c>
      <c r="E774" s="156">
        <v>0.6</v>
      </c>
      <c r="F774" s="28">
        <v>21.593499999999999</v>
      </c>
      <c r="G774" s="28">
        <f>IF(ISNUMBER(F774),E774*F774,"")</f>
        <v>12.956099999999999</v>
      </c>
      <c r="H774" s="32"/>
      <c r="I774" s="28"/>
      <c r="J774" s="125">
        <v>0</v>
      </c>
    </row>
    <row r="775" spans="1:10" ht="15.75" hidden="1" thickBot="1" x14ac:dyDescent="0.3">
      <c r="A775" s="250"/>
      <c r="B775" s="239"/>
      <c r="C775" s="155"/>
      <c r="D775" s="33"/>
      <c r="E775" s="34"/>
      <c r="F775" s="28" t="s">
        <v>418</v>
      </c>
      <c r="G775" s="28" t="str">
        <f>IF(ISNUMBER(F775),E775*F775,"")</f>
        <v/>
      </c>
      <c r="H775" s="32"/>
      <c r="I775" s="28"/>
      <c r="J775" s="125">
        <v>0</v>
      </c>
    </row>
    <row r="776" spans="1:10" ht="15.75" hidden="1" thickBot="1" x14ac:dyDescent="0.3">
      <c r="A776" s="234" t="s">
        <v>197</v>
      </c>
      <c r="B776" s="237" t="s">
        <v>1401</v>
      </c>
      <c r="C776" s="160"/>
      <c r="D776" s="23" t="s">
        <v>70</v>
      </c>
      <c r="E776" s="24"/>
      <c r="F776" s="37" t="s">
        <v>418</v>
      </c>
      <c r="G776" s="25" t="str">
        <f>IF(ISNUMBER(F776),E776*F776,"")</f>
        <v/>
      </c>
      <c r="H776" s="26"/>
      <c r="I776" s="27"/>
      <c r="J776" s="125">
        <v>0</v>
      </c>
    </row>
    <row r="777" spans="1:10" ht="15.75" hidden="1" thickBot="1" x14ac:dyDescent="0.3">
      <c r="A777" s="249"/>
      <c r="B777" s="238"/>
      <c r="C777" s="151"/>
      <c r="D777" s="29"/>
      <c r="E777" s="30"/>
      <c r="F777" s="38" t="s">
        <v>418</v>
      </c>
      <c r="G777" s="28" t="str">
        <f>IF(ISNUMBER(F777),E777*F777,"")</f>
        <v/>
      </c>
      <c r="H777" s="32"/>
      <c r="I777" s="28"/>
      <c r="J777" s="125">
        <v>0</v>
      </c>
    </row>
    <row r="778" spans="1:10" ht="26.25" hidden="1" thickBot="1" x14ac:dyDescent="0.3">
      <c r="A778" s="249"/>
      <c r="B778" s="238"/>
      <c r="C778" s="155" t="s">
        <v>9741</v>
      </c>
      <c r="D778" s="155" t="s">
        <v>587</v>
      </c>
      <c r="E778" s="34">
        <v>0.5</v>
      </c>
      <c r="F778" s="31">
        <v>18.544</v>
      </c>
      <c r="G778" s="28">
        <f>IF(ISNUMBER(F778),E778*F778,"")</f>
        <v>9.2720000000000002</v>
      </c>
      <c r="H778" s="35">
        <f>SUM(G778:G781)</f>
        <v>20.068750000000001</v>
      </c>
      <c r="I778" s="36"/>
      <c r="J778" s="125">
        <v>0</v>
      </c>
    </row>
    <row r="779" spans="1:10" ht="26.25" hidden="1" thickBot="1" x14ac:dyDescent="0.3">
      <c r="A779" s="249"/>
      <c r="B779" s="238"/>
      <c r="C779" s="155" t="s">
        <v>863</v>
      </c>
      <c r="D779" s="155" t="s">
        <v>587</v>
      </c>
      <c r="E779" s="34">
        <v>0.5</v>
      </c>
      <c r="F779" s="31">
        <v>21.593499999999999</v>
      </c>
      <c r="G779" s="28">
        <f>IF(ISNUMBER(F779),E779*F779,"")</f>
        <v>10.796749999999999</v>
      </c>
      <c r="H779" s="32"/>
      <c r="I779" s="28"/>
      <c r="J779" s="125">
        <v>0</v>
      </c>
    </row>
    <row r="780" spans="1:10" ht="15.75" hidden="1" thickBot="1" x14ac:dyDescent="0.3">
      <c r="A780" s="249"/>
      <c r="B780" s="238"/>
      <c r="C780" s="157" t="s">
        <v>198</v>
      </c>
      <c r="D780" s="33" t="s">
        <v>70</v>
      </c>
      <c r="E780" s="34">
        <v>1</v>
      </c>
      <c r="F780" s="31" t="s">
        <v>418</v>
      </c>
      <c r="G780" s="28" t="str">
        <f>IF(ISNUMBER(F780),E780*F780,"")</f>
        <v/>
      </c>
      <c r="H780" s="32"/>
      <c r="I780" s="28"/>
      <c r="J780" s="125">
        <v>0</v>
      </c>
    </row>
    <row r="781" spans="1:10" ht="15.75" hidden="1" thickBot="1" x14ac:dyDescent="0.3">
      <c r="A781" s="249"/>
      <c r="B781" s="238"/>
      <c r="C781" s="157" t="s">
        <v>199</v>
      </c>
      <c r="D781" s="33" t="s">
        <v>70</v>
      </c>
      <c r="E781" s="34">
        <v>1</v>
      </c>
      <c r="F781" s="31" t="s">
        <v>418</v>
      </c>
      <c r="G781" s="28" t="str">
        <f>IF(ISNUMBER(F781),E781*F781,"")</f>
        <v/>
      </c>
      <c r="H781" s="32"/>
      <c r="I781" s="28"/>
      <c r="J781" s="125">
        <v>0</v>
      </c>
    </row>
    <row r="782" spans="1:10" ht="15.75" hidden="1" thickBot="1" x14ac:dyDescent="0.3">
      <c r="A782" s="250"/>
      <c r="B782" s="239"/>
      <c r="C782" s="155"/>
      <c r="D782" s="33"/>
      <c r="E782" s="34"/>
      <c r="F782" s="28" t="s">
        <v>418</v>
      </c>
      <c r="G782" s="28" t="str">
        <f>IF(ISNUMBER(F782),E782*F782,"")</f>
        <v/>
      </c>
      <c r="H782" s="32"/>
      <c r="I782" s="28"/>
      <c r="J782" s="125">
        <v>0</v>
      </c>
    </row>
    <row r="783" spans="1:10" ht="15.75" hidden="1" thickBot="1" x14ac:dyDescent="0.3">
      <c r="A783" s="234" t="s">
        <v>200</v>
      </c>
      <c r="B783" s="237" t="s">
        <v>1402</v>
      </c>
      <c r="C783" s="160"/>
      <c r="D783" s="23" t="s">
        <v>70</v>
      </c>
      <c r="E783" s="24"/>
      <c r="F783" s="37" t="s">
        <v>418</v>
      </c>
      <c r="G783" s="25" t="str">
        <f>IF(ISNUMBER(F783),E783*F783,"")</f>
        <v/>
      </c>
      <c r="H783" s="26"/>
      <c r="I783" s="27"/>
      <c r="J783" s="125">
        <v>0</v>
      </c>
    </row>
    <row r="784" spans="1:10" ht="15.75" hidden="1" thickBot="1" x14ac:dyDescent="0.3">
      <c r="A784" s="235"/>
      <c r="B784" s="238"/>
      <c r="C784" s="151"/>
      <c r="D784" s="29"/>
      <c r="E784" s="30"/>
      <c r="F784" s="38" t="s">
        <v>418</v>
      </c>
      <c r="G784" s="28" t="str">
        <f>IF(ISNUMBER(F784),E784*F784,"")</f>
        <v/>
      </c>
      <c r="H784" s="32"/>
      <c r="I784" s="28"/>
      <c r="J784" s="125">
        <v>0</v>
      </c>
    </row>
    <row r="785" spans="1:10" ht="26.25" hidden="1" thickBot="1" x14ac:dyDescent="0.3">
      <c r="A785" s="235"/>
      <c r="B785" s="238"/>
      <c r="C785" s="155" t="s">
        <v>11619</v>
      </c>
      <c r="D785" s="155" t="s">
        <v>870</v>
      </c>
      <c r="E785" s="34">
        <v>1.0838000000000001</v>
      </c>
      <c r="F785" s="31">
        <v>32.366500000000002</v>
      </c>
      <c r="G785" s="31">
        <f>IF(ISNUMBER(F785),E785*F785,"")</f>
        <v>35.078812700000007</v>
      </c>
      <c r="H785" s="35">
        <f>SUM(G785:G795)</f>
        <v>101.44567305000001</v>
      </c>
      <c r="I785" s="36"/>
      <c r="J785" s="125">
        <v>0</v>
      </c>
    </row>
    <row r="786" spans="1:10" ht="39" hidden="1" thickBot="1" x14ac:dyDescent="0.3">
      <c r="A786" s="235"/>
      <c r="B786" s="238"/>
      <c r="C786" s="155" t="s">
        <v>26827</v>
      </c>
      <c r="D786" s="155" t="s">
        <v>385</v>
      </c>
      <c r="E786" s="34">
        <v>3.5470000000000002</v>
      </c>
      <c r="F786" s="31">
        <v>8.3885000000000005</v>
      </c>
      <c r="G786" s="31">
        <f>IF(ISNUMBER(F786),E786*F786,"")</f>
        <v>29.754009500000002</v>
      </c>
      <c r="H786" s="40"/>
      <c r="I786" s="41"/>
      <c r="J786" s="125">
        <v>0</v>
      </c>
    </row>
    <row r="787" spans="1:10" ht="39" hidden="1" thickBot="1" x14ac:dyDescent="0.3">
      <c r="A787" s="235"/>
      <c r="B787" s="238"/>
      <c r="C787" s="155" t="s">
        <v>26813</v>
      </c>
      <c r="D787" s="155" t="s">
        <v>205</v>
      </c>
      <c r="E787" s="34">
        <v>1.2266999999999999</v>
      </c>
      <c r="F787" s="31">
        <v>3.1635</v>
      </c>
      <c r="G787" s="31">
        <f>IF(ISNUMBER(F787),E787*F787,"")</f>
        <v>3.8806654499999995</v>
      </c>
      <c r="H787" s="40"/>
      <c r="I787" s="41"/>
      <c r="J787" s="125">
        <v>0</v>
      </c>
    </row>
    <row r="788" spans="1:10" ht="26.25" hidden="1" thickBot="1" x14ac:dyDescent="0.3">
      <c r="A788" s="235"/>
      <c r="B788" s="238"/>
      <c r="C788" s="155" t="s">
        <v>25509</v>
      </c>
      <c r="D788" s="155" t="s">
        <v>385</v>
      </c>
      <c r="E788" s="34">
        <v>1.4276</v>
      </c>
      <c r="F788" s="31">
        <v>4.484</v>
      </c>
      <c r="G788" s="31">
        <f>IF(ISNUMBER(F788),E788*F788,"")</f>
        <v>6.4013583999999994</v>
      </c>
      <c r="H788" s="40"/>
      <c r="I788" s="41"/>
      <c r="J788" s="125">
        <v>0</v>
      </c>
    </row>
    <row r="789" spans="1:10" ht="39" hidden="1" thickBot="1" x14ac:dyDescent="0.3">
      <c r="A789" s="235"/>
      <c r="B789" s="238"/>
      <c r="C789" s="155" t="s">
        <v>11617</v>
      </c>
      <c r="D789" s="155" t="s">
        <v>774</v>
      </c>
      <c r="E789" s="34">
        <v>0.69259999999999999</v>
      </c>
      <c r="F789" s="31">
        <v>5.6050000000000004</v>
      </c>
      <c r="G789" s="31">
        <f>IF(ISNUMBER(F789),E789*F789,"")</f>
        <v>3.8820230000000002</v>
      </c>
      <c r="H789" s="40"/>
      <c r="I789" s="41"/>
      <c r="J789" s="125">
        <v>0</v>
      </c>
    </row>
    <row r="790" spans="1:10" ht="26.25" hidden="1" thickBot="1" x14ac:dyDescent="0.3">
      <c r="A790" s="235"/>
      <c r="B790" s="238"/>
      <c r="C790" s="155" t="s">
        <v>26711</v>
      </c>
      <c r="D790" s="155" t="s">
        <v>205</v>
      </c>
      <c r="E790" s="34">
        <v>9.6469000000000005</v>
      </c>
      <c r="F790" s="31">
        <v>0.11399999999999999</v>
      </c>
      <c r="G790" s="31">
        <f>IF(ISNUMBER(F790),E790*F790,"")</f>
        <v>1.0997466</v>
      </c>
      <c r="H790" s="40"/>
      <c r="I790" s="41"/>
      <c r="J790" s="125">
        <v>0</v>
      </c>
    </row>
    <row r="791" spans="1:10" ht="26.25" hidden="1" thickBot="1" x14ac:dyDescent="0.3">
      <c r="A791" s="235"/>
      <c r="B791" s="238"/>
      <c r="C791" s="155" t="s">
        <v>26718</v>
      </c>
      <c r="D791" s="155" t="s">
        <v>205</v>
      </c>
      <c r="E791" s="34">
        <v>1.2266999999999999</v>
      </c>
      <c r="F791" s="31">
        <v>0.26600000000000001</v>
      </c>
      <c r="G791" s="31">
        <f>IF(ISNUMBER(F791),E791*F791,"")</f>
        <v>0.32630219999999999</v>
      </c>
      <c r="H791" s="40"/>
      <c r="I791" s="41"/>
      <c r="J791" s="125">
        <v>0</v>
      </c>
    </row>
    <row r="792" spans="1:10" ht="26.25" hidden="1" thickBot="1" x14ac:dyDescent="0.3">
      <c r="A792" s="235"/>
      <c r="B792" s="238"/>
      <c r="C792" s="155" t="s">
        <v>193</v>
      </c>
      <c r="D792" s="155" t="s">
        <v>1113</v>
      </c>
      <c r="E792" s="34">
        <v>1.23E-2</v>
      </c>
      <c r="F792" s="31">
        <v>29.981999999999996</v>
      </c>
      <c r="G792" s="31">
        <f>IF(ISNUMBER(F792),E792*F792,"")</f>
        <v>0.36877859999999996</v>
      </c>
      <c r="H792" s="40"/>
      <c r="I792" s="41"/>
      <c r="J792" s="125">
        <v>0</v>
      </c>
    </row>
    <row r="793" spans="1:10" ht="26.25" hidden="1" thickBot="1" x14ac:dyDescent="0.3">
      <c r="A793" s="235"/>
      <c r="B793" s="238"/>
      <c r="C793" s="155" t="s">
        <v>192</v>
      </c>
      <c r="D793" s="155" t="s">
        <v>774</v>
      </c>
      <c r="E793" s="34">
        <v>3.6999999999999998E-2</v>
      </c>
      <c r="F793" s="31">
        <v>30.675499999999996</v>
      </c>
      <c r="G793" s="31">
        <f>IF(ISNUMBER(F793),E793*F793,"")</f>
        <v>1.1349934999999998</v>
      </c>
      <c r="H793" s="40"/>
      <c r="I793" s="41"/>
      <c r="J793" s="125">
        <v>0</v>
      </c>
    </row>
    <row r="794" spans="1:10" ht="26.25" hidden="1" thickBot="1" x14ac:dyDescent="0.3">
      <c r="A794" s="235"/>
      <c r="B794" s="238"/>
      <c r="C794" s="155" t="s">
        <v>863</v>
      </c>
      <c r="D794" s="155" t="s">
        <v>587</v>
      </c>
      <c r="E794" s="34">
        <v>0.47860000000000003</v>
      </c>
      <c r="F794" s="28">
        <v>21.593499999999999</v>
      </c>
      <c r="G794" s="31">
        <f>IF(ISNUMBER(F794),E794*F794,"")</f>
        <v>10.3346491</v>
      </c>
      <c r="H794" s="40"/>
      <c r="I794" s="41"/>
      <c r="J794" s="125">
        <v>0</v>
      </c>
    </row>
    <row r="795" spans="1:10" ht="15.75" hidden="1" thickBot="1" x14ac:dyDescent="0.3">
      <c r="A795" s="235"/>
      <c r="B795" s="238"/>
      <c r="C795" s="155" t="s">
        <v>588</v>
      </c>
      <c r="D795" s="155" t="s">
        <v>587</v>
      </c>
      <c r="E795" s="34">
        <v>0.47860000000000003</v>
      </c>
      <c r="F795" s="28">
        <v>19.189999999999998</v>
      </c>
      <c r="G795" s="31">
        <f>IF(ISNUMBER(F795),E795*F795,"")</f>
        <v>9.1843339999999998</v>
      </c>
      <c r="H795" s="40"/>
      <c r="I795" s="41"/>
      <c r="J795" s="125">
        <v>0</v>
      </c>
    </row>
    <row r="796" spans="1:10" ht="15.75" hidden="1" thickBot="1" x14ac:dyDescent="0.3">
      <c r="A796" s="236"/>
      <c r="B796" s="239"/>
      <c r="C796" s="155"/>
      <c r="D796" s="33"/>
      <c r="E796" s="34"/>
      <c r="F796" s="28" t="s">
        <v>418</v>
      </c>
      <c r="G796" s="28" t="str">
        <f>IF(ISNUMBER(F796),E796*F796,"")</f>
        <v/>
      </c>
      <c r="H796" s="32"/>
      <c r="I796" s="28"/>
      <c r="J796" s="125">
        <v>0</v>
      </c>
    </row>
    <row r="797" spans="1:10" ht="15.75" hidden="1" thickBot="1" x14ac:dyDescent="0.3">
      <c r="A797" s="234" t="s">
        <v>201</v>
      </c>
      <c r="B797" s="237" t="s">
        <v>1403</v>
      </c>
      <c r="C797" s="160"/>
      <c r="D797" s="23" t="s">
        <v>70</v>
      </c>
      <c r="E797" s="24"/>
      <c r="F797" s="37" t="s">
        <v>418</v>
      </c>
      <c r="G797" s="25" t="str">
        <f>IF(ISNUMBER(F797),E797*F797,"")</f>
        <v/>
      </c>
      <c r="H797" s="26"/>
      <c r="I797" s="27"/>
      <c r="J797" s="125">
        <v>0</v>
      </c>
    </row>
    <row r="798" spans="1:10" ht="15.75" hidden="1" thickBot="1" x14ac:dyDescent="0.3">
      <c r="A798" s="235"/>
      <c r="B798" s="238"/>
      <c r="C798" s="151"/>
      <c r="D798" s="29"/>
      <c r="E798" s="30"/>
      <c r="F798" s="38" t="s">
        <v>418</v>
      </c>
      <c r="G798" s="28" t="str">
        <f>IF(ISNUMBER(F798),E798*F798,"")</f>
        <v/>
      </c>
      <c r="H798" s="32"/>
      <c r="I798" s="28"/>
      <c r="J798" s="125">
        <v>0</v>
      </c>
    </row>
    <row r="799" spans="1:10" ht="26.25" hidden="1" thickBot="1" x14ac:dyDescent="0.3">
      <c r="A799" s="235"/>
      <c r="B799" s="238"/>
      <c r="C799" s="155" t="s">
        <v>11619</v>
      </c>
      <c r="D799" s="155" t="s">
        <v>870</v>
      </c>
      <c r="E799" s="34">
        <v>1.0966</v>
      </c>
      <c r="F799" s="31">
        <v>32.366500000000002</v>
      </c>
      <c r="G799" s="31">
        <f>IF(ISNUMBER(F799),E799*F799,"")</f>
        <v>35.493103900000001</v>
      </c>
      <c r="H799" s="35">
        <f>SUM(G799:G805)</f>
        <v>66.721517200000008</v>
      </c>
      <c r="I799" s="36"/>
      <c r="J799" s="125">
        <v>0</v>
      </c>
    </row>
    <row r="800" spans="1:10" ht="26.25" hidden="1" thickBot="1" x14ac:dyDescent="0.3">
      <c r="A800" s="235"/>
      <c r="B800" s="238"/>
      <c r="C800" s="155" t="s">
        <v>25509</v>
      </c>
      <c r="D800" s="155" t="s">
        <v>385</v>
      </c>
      <c r="E800" s="156">
        <v>1.4276</v>
      </c>
      <c r="F800" s="31">
        <v>4.484</v>
      </c>
      <c r="G800" s="31">
        <f>IF(ISNUMBER(F800),E800*F800,"")</f>
        <v>6.4013583999999994</v>
      </c>
      <c r="H800" s="40"/>
      <c r="I800" s="41"/>
      <c r="J800" s="125">
        <v>0</v>
      </c>
    </row>
    <row r="801" spans="1:10" ht="39" hidden="1" thickBot="1" x14ac:dyDescent="0.3">
      <c r="A801" s="235"/>
      <c r="B801" s="238"/>
      <c r="C801" s="155" t="s">
        <v>11617</v>
      </c>
      <c r="D801" s="155" t="s">
        <v>774</v>
      </c>
      <c r="E801" s="156">
        <v>0.69259999999999999</v>
      </c>
      <c r="F801" s="31">
        <v>5.6050000000000004</v>
      </c>
      <c r="G801" s="31">
        <f>IF(ISNUMBER(F801),E801*F801,"")</f>
        <v>3.8820230000000002</v>
      </c>
      <c r="H801" s="40"/>
      <c r="I801" s="41"/>
      <c r="J801" s="125">
        <v>0</v>
      </c>
    </row>
    <row r="802" spans="1:10" ht="26.25" hidden="1" thickBot="1" x14ac:dyDescent="0.3">
      <c r="A802" s="235"/>
      <c r="B802" s="238"/>
      <c r="C802" s="155" t="s">
        <v>26711</v>
      </c>
      <c r="D802" s="155" t="s">
        <v>205</v>
      </c>
      <c r="E802" s="156">
        <v>9.6469000000000005</v>
      </c>
      <c r="F802" s="31">
        <v>0.11399999999999999</v>
      </c>
      <c r="G802" s="31">
        <f>IF(ISNUMBER(F802),E802*F802,"")</f>
        <v>1.0997466</v>
      </c>
      <c r="H802" s="40"/>
      <c r="I802" s="41"/>
      <c r="J802" s="125">
        <v>0</v>
      </c>
    </row>
    <row r="803" spans="1:10" ht="26.25" hidden="1" thickBot="1" x14ac:dyDescent="0.3">
      <c r="A803" s="235"/>
      <c r="B803" s="238"/>
      <c r="C803" s="155" t="s">
        <v>26718</v>
      </c>
      <c r="D803" s="155" t="s">
        <v>205</v>
      </c>
      <c r="E803" s="156">
        <v>1.2266999999999999</v>
      </c>
      <c r="F803" s="31">
        <v>0.26600000000000001</v>
      </c>
      <c r="G803" s="31">
        <f>IF(ISNUMBER(F803),E803*F803,"")</f>
        <v>0.32630219999999999</v>
      </c>
      <c r="H803" s="40"/>
      <c r="I803" s="41"/>
      <c r="J803" s="125">
        <v>0</v>
      </c>
    </row>
    <row r="804" spans="1:10" ht="26.25" hidden="1" thickBot="1" x14ac:dyDescent="0.3">
      <c r="A804" s="235"/>
      <c r="B804" s="238"/>
      <c r="C804" s="155" t="s">
        <v>863</v>
      </c>
      <c r="D804" s="155" t="s">
        <v>587</v>
      </c>
      <c r="E804" s="156">
        <v>0.47860000000000003</v>
      </c>
      <c r="F804" s="28">
        <v>21.593499999999999</v>
      </c>
      <c r="G804" s="31">
        <f>IF(ISNUMBER(F804),E804*F804,"")</f>
        <v>10.3346491</v>
      </c>
      <c r="H804" s="40"/>
      <c r="I804" s="41"/>
      <c r="J804" s="125">
        <v>0</v>
      </c>
    </row>
    <row r="805" spans="1:10" ht="15.75" hidden="1" thickBot="1" x14ac:dyDescent="0.3">
      <c r="A805" s="235"/>
      <c r="B805" s="238"/>
      <c r="C805" s="155" t="s">
        <v>588</v>
      </c>
      <c r="D805" s="155" t="s">
        <v>587</v>
      </c>
      <c r="E805" s="156">
        <v>0.47860000000000003</v>
      </c>
      <c r="F805" s="28">
        <v>19.189999999999998</v>
      </c>
      <c r="G805" s="31">
        <f>IF(ISNUMBER(F805),E805*F805,"")</f>
        <v>9.1843339999999998</v>
      </c>
      <c r="H805" s="40"/>
      <c r="I805" s="41"/>
      <c r="J805" s="125">
        <v>0</v>
      </c>
    </row>
    <row r="806" spans="1:10" ht="15.75" hidden="1" thickBot="1" x14ac:dyDescent="0.3">
      <c r="A806" s="236"/>
      <c r="B806" s="239"/>
      <c r="C806" s="155"/>
      <c r="D806" s="33"/>
      <c r="E806" s="34"/>
      <c r="F806" s="28" t="s">
        <v>418</v>
      </c>
      <c r="G806" s="28" t="str">
        <f>IF(ISNUMBER(F806),E806*F806,"")</f>
        <v/>
      </c>
      <c r="H806" s="32"/>
      <c r="I806" s="28"/>
      <c r="J806" s="125">
        <v>0</v>
      </c>
    </row>
    <row r="807" spans="1:10" ht="15.75" hidden="1" thickBot="1" x14ac:dyDescent="0.3">
      <c r="A807" s="234" t="s">
        <v>202</v>
      </c>
      <c r="B807" s="237" t="s">
        <v>1404</v>
      </c>
      <c r="C807" s="160"/>
      <c r="D807" s="23" t="s">
        <v>70</v>
      </c>
      <c r="E807" s="24"/>
      <c r="F807" s="37" t="s">
        <v>418</v>
      </c>
      <c r="G807" s="25" t="str">
        <f>IF(ISNUMBER(F807),E807*F807,"")</f>
        <v/>
      </c>
      <c r="H807" s="26"/>
      <c r="I807" s="27"/>
      <c r="J807" s="125">
        <v>0</v>
      </c>
    </row>
    <row r="808" spans="1:10" ht="15.75" hidden="1" thickBot="1" x14ac:dyDescent="0.3">
      <c r="A808" s="235"/>
      <c r="B808" s="238"/>
      <c r="C808" s="151"/>
      <c r="D808" s="29"/>
      <c r="E808" s="30"/>
      <c r="F808" s="38" t="s">
        <v>418</v>
      </c>
      <c r="G808" s="28" t="str">
        <f>IF(ISNUMBER(F808),E808*F808,"")</f>
        <v/>
      </c>
      <c r="H808" s="32"/>
      <c r="I808" s="28"/>
      <c r="J808" s="125">
        <v>0</v>
      </c>
    </row>
    <row r="809" spans="1:10" ht="39" hidden="1" thickBot="1" x14ac:dyDescent="0.3">
      <c r="A809" s="235"/>
      <c r="B809" s="238"/>
      <c r="C809" s="155" t="s">
        <v>203</v>
      </c>
      <c r="D809" s="155" t="s">
        <v>870</v>
      </c>
      <c r="E809" s="34">
        <v>1</v>
      </c>
      <c r="F809" s="31">
        <v>114.931</v>
      </c>
      <c r="G809" s="31">
        <f>IF(ISNUMBER(F809),E809*F809,"")</f>
        <v>114.931</v>
      </c>
      <c r="H809" s="35">
        <f>SUM(G809:G809)</f>
        <v>114.931</v>
      </c>
      <c r="I809" s="36"/>
      <c r="J809" s="125">
        <v>0</v>
      </c>
    </row>
    <row r="810" spans="1:10" ht="15.75" hidden="1" thickBot="1" x14ac:dyDescent="0.3">
      <c r="A810" s="236"/>
      <c r="B810" s="239"/>
      <c r="C810" s="155"/>
      <c r="D810" s="33"/>
      <c r="E810" s="34"/>
      <c r="F810" s="28" t="s">
        <v>418</v>
      </c>
      <c r="G810" s="28" t="str">
        <f>IF(ISNUMBER(F810),E810*F810,"")</f>
        <v/>
      </c>
      <c r="H810" s="32"/>
      <c r="I810" s="28"/>
      <c r="J810" s="125">
        <v>0</v>
      </c>
    </row>
    <row r="811" spans="1:10" ht="15.75" hidden="1" thickBot="1" x14ac:dyDescent="0.3">
      <c r="A811" s="234" t="s">
        <v>204</v>
      </c>
      <c r="B811" s="237" t="s">
        <v>1405</v>
      </c>
      <c r="C811" s="160"/>
      <c r="D811" s="23" t="s">
        <v>70</v>
      </c>
      <c r="E811" s="24"/>
      <c r="F811" s="37" t="s">
        <v>418</v>
      </c>
      <c r="G811" s="25" t="str">
        <f>IF(ISNUMBER(F811),E811*F811,"")</f>
        <v/>
      </c>
      <c r="H811" s="26"/>
      <c r="I811" s="27"/>
      <c r="J811" s="125">
        <v>0</v>
      </c>
    </row>
    <row r="812" spans="1:10" ht="15.75" hidden="1" thickBot="1" x14ac:dyDescent="0.3">
      <c r="A812" s="235"/>
      <c r="B812" s="238"/>
      <c r="C812" s="151"/>
      <c r="D812" s="29"/>
      <c r="E812" s="30"/>
      <c r="F812" s="38" t="s">
        <v>418</v>
      </c>
      <c r="G812" s="28" t="str">
        <f>IF(ISNUMBER(F812),E812*F812,"")</f>
        <v/>
      </c>
      <c r="H812" s="32"/>
      <c r="I812" s="28"/>
      <c r="J812" s="125">
        <v>0</v>
      </c>
    </row>
    <row r="813" spans="1:10" ht="15.75" hidden="1" thickBot="1" x14ac:dyDescent="0.3">
      <c r="A813" s="235"/>
      <c r="B813" s="238"/>
      <c r="C813" s="155" t="s">
        <v>1251</v>
      </c>
      <c r="D813" s="155" t="s">
        <v>587</v>
      </c>
      <c r="E813" s="34">
        <f>1.2/4</f>
        <v>0.3</v>
      </c>
      <c r="F813" s="28">
        <v>19.731499999999997</v>
      </c>
      <c r="G813" s="28">
        <f>IF(ISNUMBER(F813),E813*F813,"")</f>
        <v>5.9194499999999985</v>
      </c>
      <c r="H813" s="35">
        <f>SUM(G813:G814)</f>
        <v>31.521949999999997</v>
      </c>
      <c r="I813" s="36"/>
      <c r="J813" s="125">
        <v>0</v>
      </c>
    </row>
    <row r="814" spans="1:10" ht="26.25" hidden="1" thickBot="1" x14ac:dyDescent="0.3">
      <c r="A814" s="235"/>
      <c r="B814" s="238"/>
      <c r="C814" s="155" t="s">
        <v>26928</v>
      </c>
      <c r="D814" s="155" t="s">
        <v>205</v>
      </c>
      <c r="E814" s="34">
        <v>1</v>
      </c>
      <c r="F814" s="31">
        <v>25.602499999999999</v>
      </c>
      <c r="G814" s="28">
        <f>IF(ISNUMBER(F814),E814*F814,"")</f>
        <v>25.602499999999999</v>
      </c>
      <c r="H814" s="32"/>
      <c r="I814" s="28"/>
      <c r="J814" s="125">
        <v>0</v>
      </c>
    </row>
    <row r="815" spans="1:10" ht="15.75" hidden="1" thickBot="1" x14ac:dyDescent="0.3">
      <c r="A815" s="236"/>
      <c r="B815" s="239"/>
      <c r="C815" s="155"/>
      <c r="D815" s="33"/>
      <c r="E815" s="34"/>
      <c r="F815" s="28" t="s">
        <v>418</v>
      </c>
      <c r="G815" s="28" t="str">
        <f>IF(ISNUMBER(F815),E815*F815,"")</f>
        <v/>
      </c>
      <c r="H815" s="32"/>
      <c r="I815" s="28"/>
      <c r="J815" s="125">
        <v>0</v>
      </c>
    </row>
    <row r="816" spans="1:10" ht="15.75" hidden="1" thickBot="1" x14ac:dyDescent="0.3">
      <c r="A816" s="234" t="s">
        <v>206</v>
      </c>
      <c r="B816" s="237" t="s">
        <v>1406</v>
      </c>
      <c r="C816" s="160"/>
      <c r="D816" s="23" t="s">
        <v>70</v>
      </c>
      <c r="E816" s="24"/>
      <c r="F816" s="37" t="s">
        <v>418</v>
      </c>
      <c r="G816" s="25" t="str">
        <f>IF(ISNUMBER(F816),E816*F816,"")</f>
        <v/>
      </c>
      <c r="H816" s="26"/>
      <c r="I816" s="27"/>
      <c r="J816" s="125">
        <v>0</v>
      </c>
    </row>
    <row r="817" spans="1:10" ht="15.75" hidden="1" thickBot="1" x14ac:dyDescent="0.3">
      <c r="A817" s="235"/>
      <c r="B817" s="238"/>
      <c r="C817" s="151"/>
      <c r="D817" s="29"/>
      <c r="E817" s="30"/>
      <c r="F817" s="38" t="s">
        <v>418</v>
      </c>
      <c r="G817" s="28" t="str">
        <f>IF(ISNUMBER(F817),E817*F817,"")</f>
        <v/>
      </c>
      <c r="H817" s="32"/>
      <c r="I817" s="28"/>
      <c r="J817" s="125">
        <v>0</v>
      </c>
    </row>
    <row r="818" spans="1:10" ht="26.25" hidden="1" thickBot="1" x14ac:dyDescent="0.3">
      <c r="A818" s="235"/>
      <c r="B818" s="238"/>
      <c r="C818" s="155" t="s">
        <v>863</v>
      </c>
      <c r="D818" s="155" t="s">
        <v>587</v>
      </c>
      <c r="E818" s="34">
        <f>ROUND(0.6*0.3,4)</f>
        <v>0.18</v>
      </c>
      <c r="F818" s="28">
        <v>21.593499999999999</v>
      </c>
      <c r="G818" s="28">
        <f>IF(ISNUMBER(F818),E818*F818,"")</f>
        <v>3.8868299999999998</v>
      </c>
      <c r="H818" s="35">
        <f>SUM(G818:G818)</f>
        <v>3.8868299999999998</v>
      </c>
      <c r="I818" s="36"/>
      <c r="J818" s="125">
        <v>0</v>
      </c>
    </row>
    <row r="819" spans="1:10" ht="15.75" hidden="1" thickBot="1" x14ac:dyDescent="0.3">
      <c r="A819" s="236"/>
      <c r="B819" s="239"/>
      <c r="C819" s="155"/>
      <c r="D819" s="33"/>
      <c r="E819" s="34"/>
      <c r="F819" s="28" t="s">
        <v>418</v>
      </c>
      <c r="G819" s="28" t="str">
        <f>IF(ISNUMBER(F819),E819*F819,"")</f>
        <v/>
      </c>
      <c r="H819" s="32"/>
      <c r="I819" s="28"/>
      <c r="J819" s="125">
        <v>0</v>
      </c>
    </row>
    <row r="820" spans="1:10" ht="15.75" hidden="1" thickBot="1" x14ac:dyDescent="0.3">
      <c r="A820" s="234" t="s">
        <v>207</v>
      </c>
      <c r="B820" s="237" t="s">
        <v>1407</v>
      </c>
      <c r="C820" s="160"/>
      <c r="D820" s="23" t="s">
        <v>70</v>
      </c>
      <c r="E820" s="24"/>
      <c r="F820" s="37" t="s">
        <v>418</v>
      </c>
      <c r="G820" s="25" t="str">
        <f>IF(ISNUMBER(F820),E820*F820,"")</f>
        <v/>
      </c>
      <c r="H820" s="26"/>
      <c r="I820" s="27"/>
      <c r="J820" s="125">
        <v>0</v>
      </c>
    </row>
    <row r="821" spans="1:10" ht="15.75" hidden="1" thickBot="1" x14ac:dyDescent="0.3">
      <c r="A821" s="235"/>
      <c r="B821" s="238"/>
      <c r="C821" s="151"/>
      <c r="D821" s="29"/>
      <c r="E821" s="30"/>
      <c r="F821" s="38" t="s">
        <v>418</v>
      </c>
      <c r="G821" s="28" t="str">
        <f>IF(ISNUMBER(F821),E821*F821,"")</f>
        <v/>
      </c>
      <c r="H821" s="32"/>
      <c r="I821" s="28"/>
      <c r="J821" s="125">
        <v>0</v>
      </c>
    </row>
    <row r="822" spans="1:10" ht="15.75" hidden="1" thickBot="1" x14ac:dyDescent="0.3">
      <c r="A822" s="235"/>
      <c r="B822" s="238"/>
      <c r="C822" s="155" t="s">
        <v>1251</v>
      </c>
      <c r="D822" s="155" t="s">
        <v>587</v>
      </c>
      <c r="E822" s="34">
        <v>1.2</v>
      </c>
      <c r="F822" s="28">
        <v>19.731499999999997</v>
      </c>
      <c r="G822" s="28">
        <f>IF(ISNUMBER(F822),E822*F822,"")</f>
        <v>23.677799999999994</v>
      </c>
      <c r="H822" s="35">
        <f>SUM(G822:G823)</f>
        <v>49.589999999999989</v>
      </c>
      <c r="I822" s="36"/>
      <c r="J822" s="125">
        <v>0</v>
      </c>
    </row>
    <row r="823" spans="1:10" ht="26.25" hidden="1" thickBot="1" x14ac:dyDescent="0.3">
      <c r="A823" s="235"/>
      <c r="B823" s="238"/>
      <c r="C823" s="155" t="s">
        <v>863</v>
      </c>
      <c r="D823" s="155" t="s">
        <v>587</v>
      </c>
      <c r="E823" s="34">
        <v>1.2</v>
      </c>
      <c r="F823" s="28">
        <v>21.593499999999999</v>
      </c>
      <c r="G823" s="28">
        <f>IF(ISNUMBER(F823),E823*F823,"")</f>
        <v>25.912199999999999</v>
      </c>
      <c r="H823" s="32"/>
      <c r="I823" s="28"/>
      <c r="J823" s="125">
        <v>0</v>
      </c>
    </row>
    <row r="824" spans="1:10" ht="15.75" hidden="1" thickBot="1" x14ac:dyDescent="0.3">
      <c r="A824" s="236"/>
      <c r="B824" s="239"/>
      <c r="C824" s="155"/>
      <c r="D824" s="33"/>
      <c r="E824" s="34"/>
      <c r="F824" s="28" t="s">
        <v>418</v>
      </c>
      <c r="G824" s="28" t="str">
        <f>IF(ISNUMBER(F824),E824*F824,"")</f>
        <v/>
      </c>
      <c r="H824" s="32"/>
      <c r="I824" s="28"/>
      <c r="J824" s="125">
        <v>0</v>
      </c>
    </row>
    <row r="825" spans="1:10" ht="15.75" hidden="1" thickBot="1" x14ac:dyDescent="0.3">
      <c r="A825" s="234" t="s">
        <v>208</v>
      </c>
      <c r="B825" s="237" t="s">
        <v>1408</v>
      </c>
      <c r="C825" s="160"/>
      <c r="D825" s="23" t="s">
        <v>69</v>
      </c>
      <c r="E825" s="24"/>
      <c r="F825" s="37" t="s">
        <v>418</v>
      </c>
      <c r="G825" s="25" t="str">
        <f>IF(ISNUMBER(F825),E825*F825,"")</f>
        <v/>
      </c>
      <c r="H825" s="26"/>
      <c r="I825" s="27"/>
      <c r="J825" s="125">
        <v>0</v>
      </c>
    </row>
    <row r="826" spans="1:10" ht="15.75" hidden="1" thickBot="1" x14ac:dyDescent="0.3">
      <c r="A826" s="235"/>
      <c r="B826" s="238"/>
      <c r="C826" s="151"/>
      <c r="D826" s="29"/>
      <c r="E826" s="30"/>
      <c r="F826" s="38" t="s">
        <v>418</v>
      </c>
      <c r="G826" s="28" t="str">
        <f>IF(ISNUMBER(F826),E826*F826,"")</f>
        <v/>
      </c>
      <c r="H826" s="32"/>
      <c r="I826" s="28"/>
      <c r="J826" s="125">
        <v>0</v>
      </c>
    </row>
    <row r="827" spans="1:10" ht="39" hidden="1" thickBot="1" x14ac:dyDescent="0.3">
      <c r="A827" s="235"/>
      <c r="B827" s="238"/>
      <c r="C827" s="155" t="s">
        <v>26843</v>
      </c>
      <c r="D827" s="155" t="s">
        <v>385</v>
      </c>
      <c r="E827" s="34">
        <v>1.1512</v>
      </c>
      <c r="F827" s="31">
        <v>8.1415000000000006</v>
      </c>
      <c r="G827" s="31">
        <f>IF(ISNUMBER(F827),E827*F827,"")</f>
        <v>9.3724948000000001</v>
      </c>
      <c r="H827" s="35">
        <f>SUM(G827:G830)</f>
        <v>15.756361800000001</v>
      </c>
      <c r="I827" s="36"/>
      <c r="J827" s="125">
        <v>0</v>
      </c>
    </row>
    <row r="828" spans="1:10" ht="26.25" hidden="1" thickBot="1" x14ac:dyDescent="0.3">
      <c r="A828" s="235"/>
      <c r="B828" s="238"/>
      <c r="C828" s="155" t="s">
        <v>26718</v>
      </c>
      <c r="D828" s="155" t="s">
        <v>205</v>
      </c>
      <c r="E828" s="34">
        <v>0.69299999999999995</v>
      </c>
      <c r="F828" s="31">
        <v>0.26600000000000001</v>
      </c>
      <c r="G828" s="31">
        <f>IF(ISNUMBER(F828),E828*F828,"")</f>
        <v>0.184338</v>
      </c>
      <c r="H828" s="51"/>
      <c r="I828" s="52"/>
      <c r="J828" s="125">
        <v>0</v>
      </c>
    </row>
    <row r="829" spans="1:10" ht="26.25" hidden="1" thickBot="1" x14ac:dyDescent="0.3">
      <c r="A829" s="235"/>
      <c r="B829" s="238"/>
      <c r="C829" s="155" t="s">
        <v>30860</v>
      </c>
      <c r="D829" s="155" t="s">
        <v>1113</v>
      </c>
      <c r="E829" s="34">
        <v>3.1800000000000002E-2</v>
      </c>
      <c r="F829" s="31">
        <v>51.404499999999999</v>
      </c>
      <c r="G829" s="31">
        <f>IF(ISNUMBER(F829),E829*F829,"")</f>
        <v>1.6346631</v>
      </c>
      <c r="H829" s="51"/>
      <c r="I829" s="52"/>
      <c r="J829" s="125">
        <v>0</v>
      </c>
    </row>
    <row r="830" spans="1:10" ht="26.25" hidden="1" thickBot="1" x14ac:dyDescent="0.3">
      <c r="A830" s="235"/>
      <c r="B830" s="238"/>
      <c r="C830" s="155" t="s">
        <v>863</v>
      </c>
      <c r="D830" s="155" t="s">
        <v>587</v>
      </c>
      <c r="E830" s="34">
        <v>0.2114</v>
      </c>
      <c r="F830" s="28">
        <v>21.593499999999999</v>
      </c>
      <c r="G830" s="31">
        <f>IF(ISNUMBER(F830),E830*F830,"")</f>
        <v>4.5648659</v>
      </c>
      <c r="H830" s="51"/>
      <c r="I830" s="52"/>
      <c r="J830" s="125">
        <v>0</v>
      </c>
    </row>
    <row r="831" spans="1:10" ht="15.75" hidden="1" thickBot="1" x14ac:dyDescent="0.3">
      <c r="A831" s="236"/>
      <c r="B831" s="239"/>
      <c r="C831" s="155"/>
      <c r="D831" s="33"/>
      <c r="E831" s="34"/>
      <c r="F831" s="28" t="s">
        <v>418</v>
      </c>
      <c r="G831" s="31" t="str">
        <f>IF(ISNUMBER(F831),E831*F831,"")</f>
        <v/>
      </c>
      <c r="H831" s="32"/>
      <c r="I831" s="28"/>
      <c r="J831" s="125">
        <v>0</v>
      </c>
    </row>
    <row r="832" spans="1:10" ht="15.75" hidden="1" thickBot="1" x14ac:dyDescent="0.3">
      <c r="A832" s="234" t="s">
        <v>209</v>
      </c>
      <c r="B832" s="237" t="s">
        <v>1409</v>
      </c>
      <c r="C832" s="160"/>
      <c r="D832" s="23" t="s">
        <v>70</v>
      </c>
      <c r="E832" s="24"/>
      <c r="F832" s="37" t="s">
        <v>418</v>
      </c>
      <c r="G832" s="25" t="str">
        <f>IF(ISNUMBER(F832),E832*F832,"")</f>
        <v/>
      </c>
      <c r="H832" s="26"/>
      <c r="I832" s="27"/>
      <c r="J832" s="125">
        <v>0</v>
      </c>
    </row>
    <row r="833" spans="1:10" ht="15.75" hidden="1" thickBot="1" x14ac:dyDescent="0.3">
      <c r="A833" s="235"/>
      <c r="B833" s="238"/>
      <c r="C833" s="151"/>
      <c r="D833" s="29"/>
      <c r="E833" s="30"/>
      <c r="F833" s="38" t="s">
        <v>418</v>
      </c>
      <c r="G833" s="28" t="str">
        <f>IF(ISNUMBER(F833),E833*F833,"")</f>
        <v/>
      </c>
      <c r="H833" s="32"/>
      <c r="I833" s="28"/>
      <c r="J833" s="125">
        <v>0</v>
      </c>
    </row>
    <row r="834" spans="1:10" ht="15.75" hidden="1" thickBot="1" x14ac:dyDescent="0.3">
      <c r="A834" s="235"/>
      <c r="B834" s="238"/>
      <c r="C834" s="155" t="s">
        <v>588</v>
      </c>
      <c r="D834" s="155" t="s">
        <v>587</v>
      </c>
      <c r="E834" s="34">
        <v>0.1</v>
      </c>
      <c r="F834" s="28">
        <v>19.189999999999998</v>
      </c>
      <c r="G834" s="31">
        <f>IF(ISNUMBER(F834),E834*F834,"")</f>
        <v>1.9189999999999998</v>
      </c>
      <c r="H834" s="35">
        <f>SUM(G834:G836)</f>
        <v>8.8055500000000002</v>
      </c>
      <c r="I834" s="36"/>
      <c r="J834" s="125">
        <v>0</v>
      </c>
    </row>
    <row r="835" spans="1:10" ht="15.75" hidden="1" thickBot="1" x14ac:dyDescent="0.3">
      <c r="A835" s="235"/>
      <c r="B835" s="238"/>
      <c r="C835" s="155" t="s">
        <v>595</v>
      </c>
      <c r="D835" s="155" t="s">
        <v>587</v>
      </c>
      <c r="E835" s="34">
        <v>0.1</v>
      </c>
      <c r="F835" s="28">
        <v>25.65</v>
      </c>
      <c r="G835" s="31">
        <f>IF(ISNUMBER(F835),E835*F835,"")</f>
        <v>2.5649999999999999</v>
      </c>
      <c r="H835" s="32"/>
      <c r="I835" s="28"/>
      <c r="J835" s="125">
        <v>0</v>
      </c>
    </row>
    <row r="836" spans="1:10" ht="15.75" hidden="1" thickBot="1" x14ac:dyDescent="0.3">
      <c r="A836" s="235"/>
      <c r="B836" s="238"/>
      <c r="C836" s="155" t="s">
        <v>23483</v>
      </c>
      <c r="D836" s="155" t="s">
        <v>774</v>
      </c>
      <c r="E836" s="34">
        <v>0.1</v>
      </c>
      <c r="F836" s="31">
        <v>43.215499999999999</v>
      </c>
      <c r="G836" s="28">
        <f>IF(ISNUMBER(F836),E836*F836,"")</f>
        <v>4.3215500000000002</v>
      </c>
      <c r="H836" s="32"/>
      <c r="I836" s="28"/>
      <c r="J836" s="125">
        <v>0</v>
      </c>
    </row>
    <row r="837" spans="1:10" ht="15.75" hidden="1" thickBot="1" x14ac:dyDescent="0.3">
      <c r="A837" s="236"/>
      <c r="B837" s="239"/>
      <c r="C837" s="155"/>
      <c r="D837" s="33"/>
      <c r="E837" s="34"/>
      <c r="F837" s="28" t="s">
        <v>418</v>
      </c>
      <c r="G837" s="28" t="str">
        <f>IF(ISNUMBER(F837),E837*F837,"")</f>
        <v/>
      </c>
      <c r="H837" s="32"/>
      <c r="I837" s="28"/>
      <c r="J837" s="125">
        <v>0</v>
      </c>
    </row>
    <row r="838" spans="1:10" ht="15.75" hidden="1" thickBot="1" x14ac:dyDescent="0.3">
      <c r="A838" s="234" t="s">
        <v>210</v>
      </c>
      <c r="B838" s="237" t="s">
        <v>211</v>
      </c>
      <c r="C838" s="160"/>
      <c r="D838" s="23" t="s">
        <v>69</v>
      </c>
      <c r="E838" s="24"/>
      <c r="F838" s="37" t="s">
        <v>418</v>
      </c>
      <c r="G838" s="25" t="str">
        <f>IF(ISNUMBER(F838),E838*F838,"")</f>
        <v/>
      </c>
      <c r="H838" s="26"/>
      <c r="I838" s="27"/>
      <c r="J838" s="125">
        <v>0</v>
      </c>
    </row>
    <row r="839" spans="1:10" ht="15.75" hidden="1" thickBot="1" x14ac:dyDescent="0.3">
      <c r="A839" s="249"/>
      <c r="B839" s="238"/>
      <c r="C839" s="151"/>
      <c r="D839" s="29"/>
      <c r="E839" s="30"/>
      <c r="F839" s="38" t="s">
        <v>418</v>
      </c>
      <c r="G839" s="28" t="str">
        <f>IF(ISNUMBER(F839),E839*F839,"")</f>
        <v/>
      </c>
      <c r="H839" s="32"/>
      <c r="I839" s="28"/>
      <c r="J839" s="125">
        <v>0</v>
      </c>
    </row>
    <row r="840" spans="1:10" ht="15.75" hidden="1" thickBot="1" x14ac:dyDescent="0.3">
      <c r="A840" s="249"/>
      <c r="B840" s="238"/>
      <c r="C840" s="155" t="s">
        <v>9864</v>
      </c>
      <c r="D840" s="155" t="s">
        <v>587</v>
      </c>
      <c r="E840" s="34">
        <v>0.25</v>
      </c>
      <c r="F840" s="28">
        <v>23.274999999999999</v>
      </c>
      <c r="G840" s="31">
        <f>IF(ISNUMBER(F840),E840*F840,"")</f>
        <v>5.8187499999999996</v>
      </c>
      <c r="H840" s="35">
        <f>SUM(G840:G841)</f>
        <v>5.8187499999999996</v>
      </c>
      <c r="I840" s="36"/>
      <c r="J840" s="125">
        <v>0</v>
      </c>
    </row>
    <row r="841" spans="1:10" ht="15.75" hidden="1" thickBot="1" x14ac:dyDescent="0.3">
      <c r="A841" s="249"/>
      <c r="B841" s="238"/>
      <c r="C841" s="155" t="s">
        <v>211</v>
      </c>
      <c r="D841" s="42" t="s">
        <v>69</v>
      </c>
      <c r="E841" s="34">
        <v>1.05</v>
      </c>
      <c r="F841" s="31" t="s">
        <v>418</v>
      </c>
      <c r="G841" s="31" t="str">
        <f>IF(ISNUMBER(F841),E841*F841,"")</f>
        <v/>
      </c>
      <c r="H841" s="32"/>
      <c r="I841" s="28"/>
      <c r="J841" s="125">
        <v>0</v>
      </c>
    </row>
    <row r="842" spans="1:10" ht="15.75" hidden="1" thickBot="1" x14ac:dyDescent="0.3">
      <c r="A842" s="250"/>
      <c r="B842" s="239"/>
      <c r="C842" s="155"/>
      <c r="D842" s="42"/>
      <c r="E842" s="34"/>
      <c r="F842" s="31" t="s">
        <v>418</v>
      </c>
      <c r="G842" s="31" t="str">
        <f>IF(ISNUMBER(F842),E842*F842,"")</f>
        <v/>
      </c>
      <c r="H842" s="32"/>
      <c r="I842" s="28"/>
      <c r="J842" s="125">
        <v>0</v>
      </c>
    </row>
    <row r="843" spans="1:10" ht="15.75" hidden="1" thickBot="1" x14ac:dyDescent="0.3">
      <c r="A843" s="234" t="s">
        <v>212</v>
      </c>
      <c r="B843" s="237" t="s">
        <v>1410</v>
      </c>
      <c r="C843" s="160"/>
      <c r="D843" s="23" t="s">
        <v>69</v>
      </c>
      <c r="E843" s="24"/>
      <c r="F843" s="37" t="s">
        <v>418</v>
      </c>
      <c r="G843" s="25" t="str">
        <f>IF(ISNUMBER(F843),E843*F843,"")</f>
        <v/>
      </c>
      <c r="H843" s="26"/>
      <c r="I843" s="27"/>
      <c r="J843" s="125">
        <v>0</v>
      </c>
    </row>
    <row r="844" spans="1:10" ht="15.75" hidden="1" thickBot="1" x14ac:dyDescent="0.3">
      <c r="A844" s="249"/>
      <c r="B844" s="238"/>
      <c r="C844" s="151"/>
      <c r="D844" s="29"/>
      <c r="E844" s="30"/>
      <c r="F844" s="38" t="s">
        <v>418</v>
      </c>
      <c r="G844" s="28" t="str">
        <f>IF(ISNUMBER(F844),E844*F844,"")</f>
        <v/>
      </c>
      <c r="H844" s="32"/>
      <c r="I844" s="28"/>
      <c r="J844" s="125">
        <v>0</v>
      </c>
    </row>
    <row r="845" spans="1:10" ht="15.75" hidden="1" thickBot="1" x14ac:dyDescent="0.3">
      <c r="A845" s="249"/>
      <c r="B845" s="238"/>
      <c r="C845" s="155" t="s">
        <v>9864</v>
      </c>
      <c r="D845" s="155" t="s">
        <v>587</v>
      </c>
      <c r="E845" s="34">
        <v>0.5</v>
      </c>
      <c r="F845" s="28">
        <v>23.274999999999999</v>
      </c>
      <c r="G845" s="31">
        <f>IF(ISNUMBER(F845),E845*F845,"")</f>
        <v>11.637499999999999</v>
      </c>
      <c r="H845" s="35">
        <f>SUM(G845:G847)</f>
        <v>25.503699999999998</v>
      </c>
      <c r="I845" s="36"/>
      <c r="J845" s="125">
        <v>0</v>
      </c>
    </row>
    <row r="846" spans="1:10" ht="15.75" hidden="1" thickBot="1" x14ac:dyDescent="0.3">
      <c r="A846" s="249"/>
      <c r="B846" s="238"/>
      <c r="C846" s="155" t="s">
        <v>588</v>
      </c>
      <c r="D846" s="155" t="s">
        <v>587</v>
      </c>
      <c r="E846" s="34">
        <f>E845/2</f>
        <v>0.25</v>
      </c>
      <c r="F846" s="31">
        <v>19.189999999999998</v>
      </c>
      <c r="G846" s="28">
        <f>IF(ISNUMBER(F846),E846*F846,"")</f>
        <v>4.7974999999999994</v>
      </c>
      <c r="H846" s="32"/>
      <c r="I846" s="28"/>
      <c r="J846" s="125">
        <v>0</v>
      </c>
    </row>
    <row r="847" spans="1:10" ht="15.75" hidden="1" thickBot="1" x14ac:dyDescent="0.3">
      <c r="A847" s="249"/>
      <c r="B847" s="238"/>
      <c r="C847" s="155" t="s">
        <v>26453</v>
      </c>
      <c r="D847" s="155" t="s">
        <v>774</v>
      </c>
      <c r="E847" s="34">
        <v>0.6</v>
      </c>
      <c r="F847" s="31">
        <v>15.1145</v>
      </c>
      <c r="G847" s="28">
        <f>IF(ISNUMBER(F847),E847*F847,"")</f>
        <v>9.0686999999999998</v>
      </c>
      <c r="H847" s="32"/>
      <c r="I847" s="28"/>
      <c r="J847" s="125">
        <v>0</v>
      </c>
    </row>
    <row r="848" spans="1:10" ht="15.75" hidden="1" thickBot="1" x14ac:dyDescent="0.3">
      <c r="A848" s="250"/>
      <c r="B848" s="239"/>
      <c r="C848" s="155"/>
      <c r="D848" s="33"/>
      <c r="E848" s="34"/>
      <c r="F848" s="28" t="s">
        <v>418</v>
      </c>
      <c r="G848" s="28" t="str">
        <f>IF(ISNUMBER(F848),E848*F848,"")</f>
        <v/>
      </c>
      <c r="H848" s="32"/>
      <c r="I848" s="28"/>
      <c r="J848" s="125">
        <v>0</v>
      </c>
    </row>
    <row r="849" spans="1:10" ht="15.75" hidden="1" thickBot="1" x14ac:dyDescent="0.3">
      <c r="A849" s="234" t="s">
        <v>213</v>
      </c>
      <c r="B849" s="237" t="s">
        <v>19688</v>
      </c>
      <c r="C849" s="160"/>
      <c r="D849" s="23" t="s">
        <v>70</v>
      </c>
      <c r="E849" s="24"/>
      <c r="F849" s="37" t="s">
        <v>418</v>
      </c>
      <c r="G849" s="25" t="str">
        <f>IF(ISNUMBER(F849),E849*F849,"")</f>
        <v/>
      </c>
      <c r="H849" s="26"/>
      <c r="I849" s="27"/>
      <c r="J849" s="125">
        <v>0</v>
      </c>
    </row>
    <row r="850" spans="1:10" ht="15.75" hidden="1" thickBot="1" x14ac:dyDescent="0.3">
      <c r="A850" s="235"/>
      <c r="B850" s="238"/>
      <c r="C850" s="151"/>
      <c r="D850" s="29"/>
      <c r="E850" s="30"/>
      <c r="F850" s="38" t="s">
        <v>418</v>
      </c>
      <c r="G850" s="28" t="str">
        <f>IF(ISNUMBER(F850),E850*F850,"")</f>
        <v/>
      </c>
      <c r="H850" s="32"/>
      <c r="I850" s="28"/>
      <c r="J850" s="125">
        <v>0</v>
      </c>
    </row>
    <row r="851" spans="1:10" ht="15.75" hidden="1" thickBot="1" x14ac:dyDescent="0.3">
      <c r="A851" s="235"/>
      <c r="B851" s="238"/>
      <c r="C851" s="155" t="s">
        <v>214</v>
      </c>
      <c r="D851" s="42" t="s">
        <v>70</v>
      </c>
      <c r="E851" s="34">
        <v>1</v>
      </c>
      <c r="F851" s="28">
        <v>0.95</v>
      </c>
      <c r="G851" s="31">
        <f>IF(ISNUMBER(F851),E851*F851,"")</f>
        <v>0.95</v>
      </c>
      <c r="H851" s="35">
        <f>SUM(G851:G853)</f>
        <v>107.1125</v>
      </c>
      <c r="I851" s="36"/>
      <c r="J851" s="125">
        <v>0</v>
      </c>
    </row>
    <row r="852" spans="1:10" ht="15.75" hidden="1" thickBot="1" x14ac:dyDescent="0.3">
      <c r="A852" s="235"/>
      <c r="B852" s="238"/>
      <c r="C852" s="155" t="s">
        <v>588</v>
      </c>
      <c r="D852" s="155" t="s">
        <v>587</v>
      </c>
      <c r="E852" s="34">
        <v>2.5</v>
      </c>
      <c r="F852" s="28">
        <v>19.189999999999998</v>
      </c>
      <c r="G852" s="31">
        <f>IF(ISNUMBER(F852),E852*F852,"")</f>
        <v>47.974999999999994</v>
      </c>
      <c r="H852" s="32"/>
      <c r="I852" s="28"/>
      <c r="J852" s="125">
        <v>0</v>
      </c>
    </row>
    <row r="853" spans="1:10" ht="15.75" hidden="1" thickBot="1" x14ac:dyDescent="0.3">
      <c r="A853" s="235"/>
      <c r="B853" s="238"/>
      <c r="C853" s="155" t="s">
        <v>9864</v>
      </c>
      <c r="D853" s="155" t="s">
        <v>587</v>
      </c>
      <c r="E853" s="34">
        <v>2.5</v>
      </c>
      <c r="F853" s="28">
        <v>23.274999999999999</v>
      </c>
      <c r="G853" s="31">
        <f>IF(ISNUMBER(F853),E853*F853,"")</f>
        <v>58.1875</v>
      </c>
      <c r="H853" s="32"/>
      <c r="I853" s="28"/>
      <c r="J853" s="125">
        <v>0</v>
      </c>
    </row>
    <row r="854" spans="1:10" ht="15.75" hidden="1" thickBot="1" x14ac:dyDescent="0.3">
      <c r="A854" s="236"/>
      <c r="B854" s="239"/>
      <c r="C854" s="155"/>
      <c r="D854" s="33"/>
      <c r="E854" s="34"/>
      <c r="F854" s="28" t="s">
        <v>418</v>
      </c>
      <c r="G854" s="28" t="str">
        <f>IF(ISNUMBER(F854),E854*F854,"")</f>
        <v/>
      </c>
      <c r="H854" s="32"/>
      <c r="I854" s="28"/>
      <c r="J854" s="125">
        <v>0</v>
      </c>
    </row>
    <row r="855" spans="1:10" ht="15.75" hidden="1" thickBot="1" x14ac:dyDescent="0.3">
      <c r="A855" s="234" t="s">
        <v>216</v>
      </c>
      <c r="B855" s="237" t="s">
        <v>1411</v>
      </c>
      <c r="C855" s="160"/>
      <c r="D855" s="23" t="s">
        <v>70</v>
      </c>
      <c r="E855" s="24"/>
      <c r="F855" s="37" t="s">
        <v>418</v>
      </c>
      <c r="G855" s="25" t="str">
        <f>IF(ISNUMBER(F855),E855*F855,"")</f>
        <v/>
      </c>
      <c r="H855" s="26"/>
      <c r="I855" s="27"/>
      <c r="J855" s="125">
        <v>0</v>
      </c>
    </row>
    <row r="856" spans="1:10" ht="15.75" hidden="1" thickBot="1" x14ac:dyDescent="0.3">
      <c r="A856" s="235"/>
      <c r="B856" s="238"/>
      <c r="C856" s="151"/>
      <c r="D856" s="29"/>
      <c r="E856" s="30"/>
      <c r="F856" s="38" t="s">
        <v>418</v>
      </c>
      <c r="G856" s="28" t="str">
        <f>IF(ISNUMBER(F856),E856*F856,"")</f>
        <v/>
      </c>
      <c r="H856" s="32"/>
      <c r="I856" s="28"/>
      <c r="J856" s="125">
        <v>0</v>
      </c>
    </row>
    <row r="857" spans="1:10" ht="15.75" hidden="1" thickBot="1" x14ac:dyDescent="0.3">
      <c r="A857" s="235"/>
      <c r="B857" s="238"/>
      <c r="C857" s="155" t="s">
        <v>9864</v>
      </c>
      <c r="D857" s="155" t="s">
        <v>587</v>
      </c>
      <c r="E857" s="34">
        <v>1</v>
      </c>
      <c r="F857" s="28">
        <v>23.274999999999999</v>
      </c>
      <c r="G857" s="31">
        <f>IF(ISNUMBER(F857),E857*F857,"")</f>
        <v>23.274999999999999</v>
      </c>
      <c r="H857" s="35">
        <f>SUM(G857:G858)</f>
        <v>53.503999999999998</v>
      </c>
      <c r="I857" s="36"/>
      <c r="J857" s="125">
        <v>0</v>
      </c>
    </row>
    <row r="858" spans="1:10" ht="15.75" hidden="1" thickBot="1" x14ac:dyDescent="0.3">
      <c r="A858" s="235"/>
      <c r="B858" s="238"/>
      <c r="C858" s="155" t="s">
        <v>26453</v>
      </c>
      <c r="D858" s="155" t="s">
        <v>774</v>
      </c>
      <c r="E858" s="34">
        <v>2</v>
      </c>
      <c r="F858" s="31">
        <v>15.1145</v>
      </c>
      <c r="G858" s="31">
        <f>IF(ISNUMBER(F858),E858*F858,"")</f>
        <v>30.228999999999999</v>
      </c>
      <c r="H858" s="32"/>
      <c r="I858" s="28"/>
      <c r="J858" s="125">
        <v>0</v>
      </c>
    </row>
    <row r="859" spans="1:10" ht="15.75" hidden="1" thickBot="1" x14ac:dyDescent="0.3">
      <c r="A859" s="235"/>
      <c r="B859" s="238"/>
      <c r="C859" s="155"/>
      <c r="D859" s="42"/>
      <c r="E859" s="34"/>
      <c r="F859" s="31" t="s">
        <v>418</v>
      </c>
      <c r="G859" s="31" t="str">
        <f>IF(ISNUMBER(F859),E859*F859,"")</f>
        <v/>
      </c>
      <c r="H859" s="32"/>
      <c r="I859" s="28"/>
      <c r="J859" s="125">
        <v>0</v>
      </c>
    </row>
    <row r="860" spans="1:10" ht="15.75" hidden="1" thickBot="1" x14ac:dyDescent="0.3">
      <c r="A860" s="234" t="s">
        <v>217</v>
      </c>
      <c r="B860" s="237" t="s">
        <v>20916</v>
      </c>
      <c r="C860" s="160"/>
      <c r="D860" s="23" t="s">
        <v>69</v>
      </c>
      <c r="E860" s="24"/>
      <c r="F860" s="37" t="s">
        <v>418</v>
      </c>
      <c r="G860" s="25" t="str">
        <f>IF(ISNUMBER(F860),E860*F860,"")</f>
        <v/>
      </c>
      <c r="H860" s="26"/>
      <c r="I860" s="27"/>
      <c r="J860" s="125">
        <v>0</v>
      </c>
    </row>
    <row r="861" spans="1:10" ht="15.75" hidden="1" thickBot="1" x14ac:dyDescent="0.3">
      <c r="A861" s="249"/>
      <c r="B861" s="238"/>
      <c r="C861" s="151"/>
      <c r="D861" s="29"/>
      <c r="E861" s="30"/>
      <c r="F861" s="38" t="s">
        <v>418</v>
      </c>
      <c r="G861" s="28" t="str">
        <f>IF(ISNUMBER(F861),E861*F861,"")</f>
        <v/>
      </c>
      <c r="H861" s="32"/>
      <c r="I861" s="28"/>
      <c r="J861" s="125">
        <v>0</v>
      </c>
    </row>
    <row r="862" spans="1:10" ht="15.75" hidden="1" thickBot="1" x14ac:dyDescent="0.3">
      <c r="A862" s="249"/>
      <c r="B862" s="238"/>
      <c r="C862" s="155" t="s">
        <v>9864</v>
      </c>
      <c r="D862" s="155" t="s">
        <v>587</v>
      </c>
      <c r="E862" s="34">
        <v>0.3</v>
      </c>
      <c r="F862" s="28">
        <v>23.274999999999999</v>
      </c>
      <c r="G862" s="28">
        <f>IF(ISNUMBER(F862),E862*F862,"")</f>
        <v>6.982499999999999</v>
      </c>
      <c r="H862" s="35">
        <f>SUM(G862:G864)</f>
        <v>21.377302799999995</v>
      </c>
      <c r="I862" s="36"/>
      <c r="J862" s="125">
        <v>0</v>
      </c>
    </row>
    <row r="863" spans="1:10" ht="15.75" hidden="1" thickBot="1" x14ac:dyDescent="0.3">
      <c r="A863" s="249"/>
      <c r="B863" s="238"/>
      <c r="C863" s="155" t="s">
        <v>588</v>
      </c>
      <c r="D863" s="155" t="s">
        <v>587</v>
      </c>
      <c r="E863" s="34">
        <v>0.3</v>
      </c>
      <c r="F863" s="31">
        <v>19.189999999999998</v>
      </c>
      <c r="G863" s="28">
        <f>IF(ISNUMBER(F863),E863*F863,"")</f>
        <v>5.7569999999999988</v>
      </c>
      <c r="H863" s="32"/>
      <c r="I863" s="28"/>
      <c r="J863" s="125">
        <v>0</v>
      </c>
    </row>
    <row r="864" spans="1:10" ht="15.75" hidden="1" thickBot="1" x14ac:dyDescent="0.3">
      <c r="A864" s="249"/>
      <c r="B864" s="238"/>
      <c r="C864" s="155" t="s">
        <v>27384</v>
      </c>
      <c r="D864" s="155" t="s">
        <v>205</v>
      </c>
      <c r="E864" s="34">
        <f>ROUND(1/3,4)</f>
        <v>0.33329999999999999</v>
      </c>
      <c r="F864" s="31">
        <v>25.916</v>
      </c>
      <c r="G864" s="28">
        <f>IF(ISNUMBER(F864),E864*F864,"")</f>
        <v>8.6378027999999993</v>
      </c>
      <c r="H864" s="32"/>
      <c r="I864" s="28"/>
      <c r="J864" s="125">
        <v>0</v>
      </c>
    </row>
    <row r="865" spans="1:10" ht="15.75" hidden="1" thickBot="1" x14ac:dyDescent="0.3">
      <c r="A865" s="249"/>
      <c r="B865" s="238"/>
      <c r="C865" s="155"/>
      <c r="D865" s="42"/>
      <c r="E865" s="34"/>
      <c r="F865" s="28" t="s">
        <v>418</v>
      </c>
      <c r="G865" s="28" t="str">
        <f>IF(ISNUMBER(F865),E865*F865,"")</f>
        <v/>
      </c>
      <c r="H865" s="32"/>
      <c r="I865" s="28"/>
      <c r="J865" s="125">
        <v>0</v>
      </c>
    </row>
    <row r="866" spans="1:10" ht="26.25" hidden="1" thickBot="1" x14ac:dyDescent="0.3">
      <c r="A866" s="249"/>
      <c r="B866" s="238"/>
      <c r="C866" s="53" t="s">
        <v>218</v>
      </c>
      <c r="D866" s="53"/>
      <c r="E866" s="54"/>
      <c r="F866" s="55" t="s">
        <v>418</v>
      </c>
      <c r="G866" s="53" t="str">
        <f>IF(ISNUMBER(F866),E866*F866,"")</f>
        <v/>
      </c>
      <c r="H866" s="56"/>
      <c r="I866" s="53"/>
      <c r="J866" s="125">
        <v>0</v>
      </c>
    </row>
    <row r="867" spans="1:10" ht="15.75" hidden="1" thickBot="1" x14ac:dyDescent="0.3">
      <c r="A867" s="250"/>
      <c r="B867" s="239"/>
      <c r="C867" s="155"/>
      <c r="D867" s="33"/>
      <c r="E867" s="34"/>
      <c r="F867" s="28" t="s">
        <v>418</v>
      </c>
      <c r="G867" s="28" t="str">
        <f>IF(ISNUMBER(F867),E867*F867,"")</f>
        <v/>
      </c>
      <c r="H867" s="32"/>
      <c r="I867" s="28"/>
      <c r="J867" s="125">
        <v>0</v>
      </c>
    </row>
    <row r="868" spans="1:10" ht="15.75" hidden="1" thickBot="1" x14ac:dyDescent="0.3">
      <c r="A868" s="234" t="s">
        <v>219</v>
      </c>
      <c r="B868" s="237" t="s">
        <v>19686</v>
      </c>
      <c r="C868" s="160"/>
      <c r="D868" s="23" t="s">
        <v>70</v>
      </c>
      <c r="E868" s="24"/>
      <c r="F868" s="37" t="s">
        <v>418</v>
      </c>
      <c r="G868" s="25" t="str">
        <f>IF(ISNUMBER(F868),E868*F868,"")</f>
        <v/>
      </c>
      <c r="H868" s="26"/>
      <c r="I868" s="27"/>
      <c r="J868" s="125">
        <v>0</v>
      </c>
    </row>
    <row r="869" spans="1:10" ht="15.75" hidden="1" thickBot="1" x14ac:dyDescent="0.3">
      <c r="A869" s="249"/>
      <c r="B869" s="238"/>
      <c r="C869" s="151"/>
      <c r="D869" s="29"/>
      <c r="E869" s="30"/>
      <c r="F869" s="38" t="s">
        <v>418</v>
      </c>
      <c r="G869" s="28" t="str">
        <f>IF(ISNUMBER(F869),E869*F869,"")</f>
        <v/>
      </c>
      <c r="H869" s="32"/>
      <c r="I869" s="28"/>
      <c r="J869" s="125">
        <v>0</v>
      </c>
    </row>
    <row r="870" spans="1:10" ht="15.75" hidden="1" thickBot="1" x14ac:dyDescent="0.3">
      <c r="A870" s="249"/>
      <c r="B870" s="238"/>
      <c r="C870" s="155" t="s">
        <v>28452</v>
      </c>
      <c r="D870" s="155" t="s">
        <v>870</v>
      </c>
      <c r="E870" s="34">
        <v>1</v>
      </c>
      <c r="F870" s="28">
        <v>237.5</v>
      </c>
      <c r="G870" s="31">
        <f>IF(ISNUMBER(F870),E870*F870,"")</f>
        <v>237.5</v>
      </c>
      <c r="H870" s="35">
        <f>SUM(G870:G874)</f>
        <v>279.98253699999998</v>
      </c>
      <c r="I870" s="36"/>
      <c r="J870" s="125">
        <v>0</v>
      </c>
    </row>
    <row r="871" spans="1:10" ht="15.75" hidden="1" thickBot="1" x14ac:dyDescent="0.3">
      <c r="A871" s="249"/>
      <c r="B871" s="238"/>
      <c r="C871" s="155" t="s">
        <v>10278</v>
      </c>
      <c r="D871" s="155" t="s">
        <v>774</v>
      </c>
      <c r="E871" s="34">
        <v>3.3000000000000002E-2</v>
      </c>
      <c r="F871" s="31">
        <v>22.818999999999999</v>
      </c>
      <c r="G871" s="31">
        <f>IF(ISNUMBER(F871),E871*F871,"")</f>
        <v>0.753027</v>
      </c>
      <c r="H871" s="32"/>
      <c r="I871" s="28"/>
      <c r="J871" s="125">
        <v>0</v>
      </c>
    </row>
    <row r="872" spans="1:10" ht="15.75" hidden="1" thickBot="1" x14ac:dyDescent="0.3">
      <c r="A872" s="249"/>
      <c r="B872" s="238"/>
      <c r="C872" s="155" t="s">
        <v>27384</v>
      </c>
      <c r="D872" s="155" t="s">
        <v>205</v>
      </c>
      <c r="E872" s="34">
        <v>0.56499999999999995</v>
      </c>
      <c r="F872" s="31">
        <v>25.916</v>
      </c>
      <c r="G872" s="31">
        <f>IF(ISNUMBER(F872),E872*F872,"")</f>
        <v>14.642539999999999</v>
      </c>
      <c r="H872" s="32"/>
      <c r="I872" s="28"/>
      <c r="J872" s="125">
        <v>0</v>
      </c>
    </row>
    <row r="873" spans="1:10" ht="15.75" hidden="1" thickBot="1" x14ac:dyDescent="0.3">
      <c r="A873" s="249"/>
      <c r="B873" s="238"/>
      <c r="C873" s="155" t="s">
        <v>588</v>
      </c>
      <c r="D873" s="155" t="s">
        <v>587</v>
      </c>
      <c r="E873" s="34">
        <v>0.628</v>
      </c>
      <c r="F873" s="31">
        <v>19.189999999999998</v>
      </c>
      <c r="G873" s="31">
        <f>IF(ISNUMBER(F873),E873*F873,"")</f>
        <v>12.051319999999999</v>
      </c>
      <c r="H873" s="32"/>
      <c r="I873" s="28"/>
      <c r="J873" s="125">
        <v>0</v>
      </c>
    </row>
    <row r="874" spans="1:10" ht="15.75" hidden="1" thickBot="1" x14ac:dyDescent="0.3">
      <c r="A874" s="249"/>
      <c r="B874" s="238"/>
      <c r="C874" s="155" t="s">
        <v>9864</v>
      </c>
      <c r="D874" s="155" t="s">
        <v>587</v>
      </c>
      <c r="E874" s="34">
        <v>0.64600000000000002</v>
      </c>
      <c r="F874" s="31">
        <v>23.274999999999999</v>
      </c>
      <c r="G874" s="31">
        <f>IF(ISNUMBER(F874),E874*F874,"")</f>
        <v>15.03565</v>
      </c>
      <c r="H874" s="32"/>
      <c r="I874" s="28"/>
      <c r="J874" s="125">
        <v>0</v>
      </c>
    </row>
    <row r="875" spans="1:10" ht="15.75" hidden="1" thickBot="1" x14ac:dyDescent="0.3">
      <c r="A875" s="250"/>
      <c r="B875" s="239"/>
      <c r="C875" s="155"/>
      <c r="D875" s="33"/>
      <c r="E875" s="34"/>
      <c r="F875" s="28" t="s">
        <v>418</v>
      </c>
      <c r="G875" s="28" t="str">
        <f>IF(ISNUMBER(F875),E875*F875,"")</f>
        <v/>
      </c>
      <c r="H875" s="32"/>
      <c r="I875" s="28"/>
      <c r="J875" s="125">
        <v>0</v>
      </c>
    </row>
    <row r="876" spans="1:10" ht="15.75" hidden="1" thickBot="1" x14ac:dyDescent="0.3">
      <c r="A876" s="234" t="s">
        <v>220</v>
      </c>
      <c r="B876" s="237" t="s">
        <v>19687</v>
      </c>
      <c r="C876" s="160"/>
      <c r="D876" s="23" t="s">
        <v>70</v>
      </c>
      <c r="E876" s="24"/>
      <c r="F876" s="37" t="s">
        <v>418</v>
      </c>
      <c r="G876" s="25" t="str">
        <f>IF(ISNUMBER(F876),E876*F876,"")</f>
        <v/>
      </c>
      <c r="H876" s="26"/>
      <c r="I876" s="27"/>
      <c r="J876" s="125">
        <v>0</v>
      </c>
    </row>
    <row r="877" spans="1:10" ht="15.75" hidden="1" thickBot="1" x14ac:dyDescent="0.3">
      <c r="A877" s="249"/>
      <c r="B877" s="238"/>
      <c r="C877" s="151"/>
      <c r="D877" s="29"/>
      <c r="E877" s="30"/>
      <c r="F877" s="38" t="s">
        <v>418</v>
      </c>
      <c r="G877" s="28" t="str">
        <f>IF(ISNUMBER(F877),E877*F877,"")</f>
        <v/>
      </c>
      <c r="H877" s="32"/>
      <c r="I877" s="28"/>
      <c r="J877" s="125">
        <v>0</v>
      </c>
    </row>
    <row r="878" spans="1:10" ht="15.75" hidden="1" thickBot="1" x14ac:dyDescent="0.3">
      <c r="A878" s="249"/>
      <c r="B878" s="238"/>
      <c r="C878" s="155" t="s">
        <v>221</v>
      </c>
      <c r="D878" s="155" t="s">
        <v>870</v>
      </c>
      <c r="E878" s="34">
        <v>1</v>
      </c>
      <c r="F878" s="28">
        <v>336.452</v>
      </c>
      <c r="G878" s="28">
        <f>IF(ISNUMBER(F878),E878*F878,"")</f>
        <v>336.452</v>
      </c>
      <c r="H878" s="35">
        <f>SUM(G878:G882)</f>
        <v>362.70333099999993</v>
      </c>
      <c r="I878" s="36"/>
      <c r="J878" s="125">
        <v>0</v>
      </c>
    </row>
    <row r="879" spans="1:10" ht="15.75" hidden="1" thickBot="1" x14ac:dyDescent="0.3">
      <c r="A879" s="249"/>
      <c r="B879" s="238"/>
      <c r="C879" s="155" t="s">
        <v>10278</v>
      </c>
      <c r="D879" s="155" t="s">
        <v>774</v>
      </c>
      <c r="E879" s="34">
        <v>2.1000000000000001E-2</v>
      </c>
      <c r="F879" s="31">
        <v>22.818999999999999</v>
      </c>
      <c r="G879" s="28">
        <f>IF(ISNUMBER(F879),E879*F879,"")</f>
        <v>0.47919899999999999</v>
      </c>
      <c r="H879" s="32"/>
      <c r="I879" s="28"/>
      <c r="J879" s="125">
        <v>0</v>
      </c>
    </row>
    <row r="880" spans="1:10" ht="15.75" hidden="1" thickBot="1" x14ac:dyDescent="0.3">
      <c r="A880" s="249"/>
      <c r="B880" s="238"/>
      <c r="C880" s="155" t="s">
        <v>27384</v>
      </c>
      <c r="D880" s="155" t="s">
        <v>205</v>
      </c>
      <c r="E880" s="34">
        <v>0.35699999999999998</v>
      </c>
      <c r="F880" s="31">
        <v>25.916</v>
      </c>
      <c r="G880" s="28">
        <f>IF(ISNUMBER(F880),E880*F880,"")</f>
        <v>9.2520120000000006</v>
      </c>
      <c r="H880" s="32"/>
      <c r="I880" s="28"/>
      <c r="J880" s="125">
        <v>0</v>
      </c>
    </row>
    <row r="881" spans="1:10" ht="15.75" hidden="1" thickBot="1" x14ac:dyDescent="0.3">
      <c r="A881" s="249"/>
      <c r="B881" s="238"/>
      <c r="C881" s="155" t="s">
        <v>588</v>
      </c>
      <c r="D881" s="155" t="s">
        <v>587</v>
      </c>
      <c r="E881" s="34">
        <v>0.38300000000000001</v>
      </c>
      <c r="F881" s="31">
        <v>19.189999999999998</v>
      </c>
      <c r="G881" s="28">
        <f>IF(ISNUMBER(F881),E881*F881,"")</f>
        <v>7.3497699999999995</v>
      </c>
      <c r="H881" s="32"/>
      <c r="I881" s="28"/>
      <c r="J881" s="125">
        <v>0</v>
      </c>
    </row>
    <row r="882" spans="1:10" ht="15.75" hidden="1" thickBot="1" x14ac:dyDescent="0.3">
      <c r="A882" s="249"/>
      <c r="B882" s="238"/>
      <c r="C882" s="155" t="s">
        <v>9864</v>
      </c>
      <c r="D882" s="155" t="s">
        <v>587</v>
      </c>
      <c r="E882" s="34">
        <v>0.39400000000000002</v>
      </c>
      <c r="F882" s="31">
        <v>23.274999999999999</v>
      </c>
      <c r="G882" s="28">
        <f>IF(ISNUMBER(F882),E882*F882,"")</f>
        <v>9.1703499999999991</v>
      </c>
      <c r="H882" s="32"/>
      <c r="I882" s="28"/>
      <c r="J882" s="125">
        <v>0</v>
      </c>
    </row>
    <row r="883" spans="1:10" ht="15.75" hidden="1" thickBot="1" x14ac:dyDescent="0.3">
      <c r="A883" s="250"/>
      <c r="B883" s="239"/>
      <c r="C883" s="155"/>
      <c r="D883" s="33"/>
      <c r="E883" s="34"/>
      <c r="F883" s="28" t="s">
        <v>418</v>
      </c>
      <c r="G883" s="28" t="str">
        <f>IF(ISNUMBER(F883),E883*F883,"")</f>
        <v/>
      </c>
      <c r="H883" s="32"/>
      <c r="I883" s="28"/>
      <c r="J883" s="125">
        <v>0</v>
      </c>
    </row>
    <row r="884" spans="1:10" ht="15.75" hidden="1" thickBot="1" x14ac:dyDescent="0.3">
      <c r="A884" s="234" t="s">
        <v>222</v>
      </c>
      <c r="B884" s="237" t="s">
        <v>1412</v>
      </c>
      <c r="C884" s="160"/>
      <c r="D884" s="23" t="s">
        <v>70</v>
      </c>
      <c r="E884" s="24"/>
      <c r="F884" s="37" t="s">
        <v>418</v>
      </c>
      <c r="G884" s="25" t="str">
        <f>IF(ISNUMBER(F884),E884*F884,"")</f>
        <v/>
      </c>
      <c r="H884" s="26"/>
      <c r="I884" s="27"/>
      <c r="J884" s="125">
        <v>0</v>
      </c>
    </row>
    <row r="885" spans="1:10" ht="15.75" hidden="1" thickBot="1" x14ac:dyDescent="0.3">
      <c r="A885" s="235"/>
      <c r="B885" s="238"/>
      <c r="C885" s="151"/>
      <c r="D885" s="29"/>
      <c r="E885" s="30"/>
      <c r="F885" s="38" t="s">
        <v>418</v>
      </c>
      <c r="G885" s="28" t="str">
        <f>IF(ISNUMBER(F885),E885*F885,"")</f>
        <v/>
      </c>
      <c r="H885" s="32"/>
      <c r="I885" s="28"/>
      <c r="J885" s="125">
        <v>0</v>
      </c>
    </row>
    <row r="886" spans="1:10" ht="15.75" hidden="1" thickBot="1" x14ac:dyDescent="0.3">
      <c r="A886" s="235"/>
      <c r="B886" s="238"/>
      <c r="C886" s="155" t="s">
        <v>9864</v>
      </c>
      <c r="D886" s="155" t="s">
        <v>587</v>
      </c>
      <c r="E886" s="34">
        <f>2.2/2</f>
        <v>1.1000000000000001</v>
      </c>
      <c r="F886" s="28">
        <v>23.274999999999999</v>
      </c>
      <c r="G886" s="31">
        <f>IF(ISNUMBER(F886),E886*F886,"")</f>
        <v>25.602499999999999</v>
      </c>
      <c r="H886" s="35">
        <f>SUM(G886:G887)</f>
        <v>46.711500000000001</v>
      </c>
      <c r="I886" s="36"/>
      <c r="J886" s="125">
        <v>0</v>
      </c>
    </row>
    <row r="887" spans="1:10" ht="15.75" hidden="1" thickBot="1" x14ac:dyDescent="0.3">
      <c r="A887" s="235"/>
      <c r="B887" s="238"/>
      <c r="C887" s="155" t="s">
        <v>588</v>
      </c>
      <c r="D887" s="155" t="s">
        <v>587</v>
      </c>
      <c r="E887" s="34">
        <f>2.2/2</f>
        <v>1.1000000000000001</v>
      </c>
      <c r="F887" s="28">
        <v>19.189999999999998</v>
      </c>
      <c r="G887" s="31">
        <f>IF(ISNUMBER(F887),E887*F887,"")</f>
        <v>21.108999999999998</v>
      </c>
      <c r="H887" s="32"/>
      <c r="I887" s="28"/>
      <c r="J887" s="125">
        <v>0</v>
      </c>
    </row>
    <row r="888" spans="1:10" ht="15.75" hidden="1" thickBot="1" x14ac:dyDescent="0.3">
      <c r="A888" s="236"/>
      <c r="B888" s="239"/>
      <c r="C888" s="155"/>
      <c r="D888" s="33"/>
      <c r="E888" s="34"/>
      <c r="F888" s="28" t="s">
        <v>418</v>
      </c>
      <c r="G888" s="28" t="str">
        <f>IF(ISNUMBER(F888),E888*F888,"")</f>
        <v/>
      </c>
      <c r="H888" s="32"/>
      <c r="I888" s="28"/>
      <c r="J888" s="125">
        <v>0</v>
      </c>
    </row>
    <row r="889" spans="1:10" ht="15.75" hidden="1" thickBot="1" x14ac:dyDescent="0.3">
      <c r="A889" s="234" t="s">
        <v>223</v>
      </c>
      <c r="B889" s="237" t="s">
        <v>1413</v>
      </c>
      <c r="C889" s="160"/>
      <c r="D889" s="23" t="s">
        <v>16</v>
      </c>
      <c r="E889" s="24"/>
      <c r="F889" s="37" t="s">
        <v>418</v>
      </c>
      <c r="G889" s="25" t="str">
        <f>IF(ISNUMBER(F889),E889*F889,"")</f>
        <v/>
      </c>
      <c r="H889" s="26"/>
      <c r="I889" s="27"/>
      <c r="J889" s="125">
        <v>0</v>
      </c>
    </row>
    <row r="890" spans="1:10" ht="15.75" hidden="1" thickBot="1" x14ac:dyDescent="0.3">
      <c r="A890" s="235"/>
      <c r="B890" s="238"/>
      <c r="C890" s="151"/>
      <c r="D890" s="29"/>
      <c r="E890" s="30"/>
      <c r="F890" s="38" t="s">
        <v>418</v>
      </c>
      <c r="G890" s="28" t="str">
        <f>IF(ISNUMBER(F890),E890*F890,"")</f>
        <v/>
      </c>
      <c r="H890" s="32"/>
      <c r="I890" s="28"/>
      <c r="J890" s="125">
        <v>0</v>
      </c>
    </row>
    <row r="891" spans="1:10" ht="15.75" hidden="1" thickBot="1" x14ac:dyDescent="0.3">
      <c r="A891" s="235"/>
      <c r="B891" s="238"/>
      <c r="C891" s="155" t="s">
        <v>9864</v>
      </c>
      <c r="D891" s="155" t="s">
        <v>587</v>
      </c>
      <c r="E891" s="34">
        <v>1.8180000000000001</v>
      </c>
      <c r="F891" s="28">
        <v>23.274999999999999</v>
      </c>
      <c r="G891" s="31">
        <f>IF(ISNUMBER(F891),E891*F891,"")</f>
        <v>42.313949999999998</v>
      </c>
      <c r="H891" s="35">
        <f>SUM(G891:G894)</f>
        <v>76.222679999999997</v>
      </c>
      <c r="I891" s="36"/>
      <c r="J891" s="125">
        <v>0</v>
      </c>
    </row>
    <row r="892" spans="1:10" ht="15.75" hidden="1" thickBot="1" x14ac:dyDescent="0.3">
      <c r="A892" s="235"/>
      <c r="B892" s="238"/>
      <c r="C892" s="155" t="s">
        <v>588</v>
      </c>
      <c r="D892" s="155" t="s">
        <v>587</v>
      </c>
      <c r="E892" s="34">
        <v>1.7669999999999999</v>
      </c>
      <c r="F892" s="28">
        <v>19.189999999999998</v>
      </c>
      <c r="G892" s="31">
        <f>IF(ISNUMBER(F892),E892*F892,"")</f>
        <v>33.908729999999991</v>
      </c>
      <c r="H892" s="40"/>
      <c r="I892" s="41"/>
      <c r="J892" s="125">
        <v>0</v>
      </c>
    </row>
    <row r="893" spans="1:10" ht="39" hidden="1" thickBot="1" x14ac:dyDescent="0.3">
      <c r="A893" s="235"/>
      <c r="B893" s="238"/>
      <c r="C893" s="155" t="s">
        <v>13538</v>
      </c>
      <c r="D893" s="33" t="s">
        <v>16</v>
      </c>
      <c r="E893" s="34">
        <v>1</v>
      </c>
      <c r="F893" s="28" t="s">
        <v>418</v>
      </c>
      <c r="G893" s="28" t="str">
        <f>IF(ISNUMBER(F893),E893*F893,"")</f>
        <v/>
      </c>
      <c r="H893" s="32"/>
      <c r="I893" s="28"/>
      <c r="J893" s="125">
        <v>0</v>
      </c>
    </row>
    <row r="894" spans="1:10" ht="15.75" hidden="1" thickBot="1" x14ac:dyDescent="0.3">
      <c r="A894" s="235"/>
      <c r="B894" s="238"/>
      <c r="C894" s="155" t="s">
        <v>13539</v>
      </c>
      <c r="D894" s="33" t="s">
        <v>16</v>
      </c>
      <c r="E894" s="34">
        <v>1</v>
      </c>
      <c r="F894" s="28" t="s">
        <v>418</v>
      </c>
      <c r="G894" s="28" t="str">
        <f>IF(ISNUMBER(F894),E894*F894,"")</f>
        <v/>
      </c>
      <c r="H894" s="32"/>
      <c r="I894" s="28"/>
      <c r="J894" s="125">
        <v>0</v>
      </c>
    </row>
    <row r="895" spans="1:10" ht="15.75" hidden="1" thickBot="1" x14ac:dyDescent="0.3">
      <c r="A895" s="236"/>
      <c r="B895" s="239"/>
      <c r="C895" s="155"/>
      <c r="D895" s="33"/>
      <c r="E895" s="34"/>
      <c r="F895" s="28" t="s">
        <v>418</v>
      </c>
      <c r="G895" s="28" t="str">
        <f>IF(ISNUMBER(F895),E895*F895,"")</f>
        <v/>
      </c>
      <c r="H895" s="32"/>
      <c r="I895" s="28"/>
      <c r="J895" s="125">
        <v>0</v>
      </c>
    </row>
    <row r="896" spans="1:10" ht="15.75" hidden="1" thickBot="1" x14ac:dyDescent="0.3">
      <c r="A896" s="234" t="s">
        <v>224</v>
      </c>
      <c r="B896" s="237" t="s">
        <v>1414</v>
      </c>
      <c r="C896" s="160"/>
      <c r="D896" s="23" t="s">
        <v>69</v>
      </c>
      <c r="E896" s="24"/>
      <c r="F896" s="37" t="s">
        <v>418</v>
      </c>
      <c r="G896" s="25" t="str">
        <f>IF(ISNUMBER(F896),E896*F896,"")</f>
        <v/>
      </c>
      <c r="H896" s="26"/>
      <c r="I896" s="27"/>
      <c r="J896" s="125">
        <v>0</v>
      </c>
    </row>
    <row r="897" spans="1:10" ht="15.75" hidden="1" thickBot="1" x14ac:dyDescent="0.3">
      <c r="A897" s="235"/>
      <c r="B897" s="238"/>
      <c r="C897" s="151"/>
      <c r="D897" s="29"/>
      <c r="E897" s="30"/>
      <c r="F897" s="38" t="s">
        <v>418</v>
      </c>
      <c r="G897" s="28" t="str">
        <f>IF(ISNUMBER(F897),E897*F897,"")</f>
        <v/>
      </c>
      <c r="H897" s="32"/>
      <c r="I897" s="28"/>
      <c r="J897" s="125">
        <v>0</v>
      </c>
    </row>
    <row r="898" spans="1:10" ht="15.75" hidden="1" thickBot="1" x14ac:dyDescent="0.3">
      <c r="A898" s="235"/>
      <c r="B898" s="238"/>
      <c r="C898" s="155" t="s">
        <v>1251</v>
      </c>
      <c r="D898" s="155" t="s">
        <v>587</v>
      </c>
      <c r="E898" s="34">
        <f>ROUND(1/3,4)</f>
        <v>0.33329999999999999</v>
      </c>
      <c r="F898" s="28">
        <v>19.731499999999997</v>
      </c>
      <c r="G898" s="31">
        <f>IF(ISNUMBER(F898),E898*F898,"")</f>
        <v>6.5765089499999982</v>
      </c>
      <c r="H898" s="35">
        <f>SUM(G898:G898)</f>
        <v>6.5765089499999982</v>
      </c>
      <c r="I898" s="36"/>
      <c r="J898" s="125">
        <v>0</v>
      </c>
    </row>
    <row r="899" spans="1:10" ht="15.75" hidden="1" thickBot="1" x14ac:dyDescent="0.3">
      <c r="A899" s="236"/>
      <c r="B899" s="239"/>
      <c r="C899" s="155"/>
      <c r="D899" s="33"/>
      <c r="E899" s="34"/>
      <c r="F899" s="28" t="s">
        <v>418</v>
      </c>
      <c r="G899" s="28" t="str">
        <f>IF(ISNUMBER(F899),E899*F899,"")</f>
        <v/>
      </c>
      <c r="H899" s="32"/>
      <c r="I899" s="28"/>
      <c r="J899" s="125">
        <v>0</v>
      </c>
    </row>
    <row r="900" spans="1:10" ht="15.75" hidden="1" thickBot="1" x14ac:dyDescent="0.3">
      <c r="A900" s="234" t="s">
        <v>225</v>
      </c>
      <c r="B900" s="237" t="s">
        <v>1415</v>
      </c>
      <c r="C900" s="160"/>
      <c r="D900" s="23" t="s">
        <v>16</v>
      </c>
      <c r="E900" s="24"/>
      <c r="F900" s="37" t="s">
        <v>418</v>
      </c>
      <c r="G900" s="25" t="str">
        <f>IF(ISNUMBER(F900),E900*F900,"")</f>
        <v/>
      </c>
      <c r="H900" s="26"/>
      <c r="I900" s="27"/>
      <c r="J900" s="125">
        <v>0</v>
      </c>
    </row>
    <row r="901" spans="1:10" ht="15.75" hidden="1" thickBot="1" x14ac:dyDescent="0.3">
      <c r="A901" s="235"/>
      <c r="B901" s="238"/>
      <c r="C901" s="151"/>
      <c r="D901" s="29"/>
      <c r="E901" s="30"/>
      <c r="F901" s="38" t="s">
        <v>418</v>
      </c>
      <c r="G901" s="28" t="str">
        <f>IF(ISNUMBER(F901),E901*F901,"")</f>
        <v/>
      </c>
      <c r="H901" s="32"/>
      <c r="I901" s="28"/>
      <c r="J901" s="125">
        <v>0</v>
      </c>
    </row>
    <row r="902" spans="1:10" ht="26.25" hidden="1" thickBot="1" x14ac:dyDescent="0.3">
      <c r="A902" s="235"/>
      <c r="B902" s="238"/>
      <c r="C902" s="155" t="s">
        <v>825</v>
      </c>
      <c r="D902" s="155" t="s">
        <v>587</v>
      </c>
      <c r="E902" s="34">
        <v>0.2</v>
      </c>
      <c r="F902" s="28">
        <v>24.9375</v>
      </c>
      <c r="G902" s="31">
        <f>IF(ISNUMBER(F902),E902*F902,"")</f>
        <v>4.9875000000000007</v>
      </c>
      <c r="H902" s="35">
        <f>SUM(G902:G904)</f>
        <v>15.4565</v>
      </c>
      <c r="I902" s="36"/>
      <c r="J902" s="125">
        <v>0</v>
      </c>
    </row>
    <row r="903" spans="1:10" ht="26.25" hidden="1" thickBot="1" x14ac:dyDescent="0.3">
      <c r="A903" s="235"/>
      <c r="B903" s="238"/>
      <c r="C903" s="155" t="s">
        <v>23586</v>
      </c>
      <c r="D903" s="155" t="s">
        <v>205</v>
      </c>
      <c r="E903" s="34">
        <v>1</v>
      </c>
      <c r="F903" s="31">
        <v>10.468999999999999</v>
      </c>
      <c r="G903" s="49">
        <f>IF(ISNUMBER(F903),E903*F903,"")</f>
        <v>10.468999999999999</v>
      </c>
      <c r="H903" s="32"/>
      <c r="I903" s="28"/>
      <c r="J903" s="125">
        <v>0</v>
      </c>
    </row>
    <row r="904" spans="1:10" ht="26.25" hidden="1" thickBot="1" x14ac:dyDescent="0.3">
      <c r="A904" s="235"/>
      <c r="B904" s="238"/>
      <c r="C904" s="155" t="s">
        <v>226</v>
      </c>
      <c r="D904" s="33" t="s">
        <v>16</v>
      </c>
      <c r="E904" s="34">
        <v>1</v>
      </c>
      <c r="F904" s="31" t="s">
        <v>418</v>
      </c>
      <c r="G904" s="28" t="str">
        <f>IF(ISNUMBER(F904),E904*F904,"")</f>
        <v/>
      </c>
      <c r="H904" s="32"/>
      <c r="I904" s="28"/>
      <c r="J904" s="125">
        <v>0</v>
      </c>
    </row>
    <row r="905" spans="1:10" ht="15.75" hidden="1" thickBot="1" x14ac:dyDescent="0.3">
      <c r="A905" s="236"/>
      <c r="B905" s="239"/>
      <c r="C905" s="155"/>
      <c r="D905" s="33"/>
      <c r="E905" s="34"/>
      <c r="F905" s="28" t="s">
        <v>418</v>
      </c>
      <c r="G905" s="28" t="str">
        <f>IF(ISNUMBER(F905),E905*F905,"")</f>
        <v/>
      </c>
      <c r="H905" s="32"/>
      <c r="I905" s="28"/>
      <c r="J905" s="125">
        <v>0</v>
      </c>
    </row>
    <row r="906" spans="1:10" ht="15.75" hidden="1" thickBot="1" x14ac:dyDescent="0.3">
      <c r="A906" s="234" t="s">
        <v>227</v>
      </c>
      <c r="B906" s="237" t="s">
        <v>19689</v>
      </c>
      <c r="C906" s="160"/>
      <c r="D906" s="23" t="s">
        <v>69</v>
      </c>
      <c r="E906" s="24"/>
      <c r="F906" s="37" t="s">
        <v>418</v>
      </c>
      <c r="G906" s="25" t="str">
        <f>IF(ISNUMBER(F906),E906*F906,"")</f>
        <v/>
      </c>
      <c r="H906" s="26"/>
      <c r="I906" s="27"/>
      <c r="J906" s="125">
        <v>0</v>
      </c>
    </row>
    <row r="907" spans="1:10" ht="15.75" hidden="1" thickBot="1" x14ac:dyDescent="0.3">
      <c r="A907" s="235"/>
      <c r="B907" s="238"/>
      <c r="C907" s="151"/>
      <c r="D907" s="29"/>
      <c r="E907" s="30"/>
      <c r="F907" s="38" t="s">
        <v>418</v>
      </c>
      <c r="G907" s="28" t="str">
        <f>IF(ISNUMBER(F907),E907*F907,"")</f>
        <v/>
      </c>
      <c r="H907" s="32"/>
      <c r="I907" s="28"/>
      <c r="J907" s="125">
        <v>0</v>
      </c>
    </row>
    <row r="908" spans="1:10" ht="26.25" hidden="1" thickBot="1" x14ac:dyDescent="0.3">
      <c r="A908" s="235"/>
      <c r="B908" s="238"/>
      <c r="C908" s="155" t="s">
        <v>28266</v>
      </c>
      <c r="D908" s="155" t="s">
        <v>385</v>
      </c>
      <c r="E908" s="34">
        <v>1.0353000000000001</v>
      </c>
      <c r="F908" s="31">
        <v>26.837499999999999</v>
      </c>
      <c r="G908" s="31">
        <f>IF(ISNUMBER(F908),E908*F908,"")</f>
        <v>27.784863750000003</v>
      </c>
      <c r="H908" s="35">
        <f>SUM(G908:G911)</f>
        <v>45.36516855</v>
      </c>
      <c r="I908" s="36"/>
      <c r="J908" s="125">
        <v>0</v>
      </c>
    </row>
    <row r="909" spans="1:10" ht="15.75" hidden="1" thickBot="1" x14ac:dyDescent="0.3">
      <c r="A909" s="235"/>
      <c r="B909" s="238"/>
      <c r="C909" s="155" t="s">
        <v>26048</v>
      </c>
      <c r="D909" s="155" t="s">
        <v>205</v>
      </c>
      <c r="E909" s="34">
        <v>2.24E-2</v>
      </c>
      <c r="F909" s="31">
        <v>2.1849999999999996</v>
      </c>
      <c r="G909" s="31">
        <f>IF(ISNUMBER(F909),E909*F909,"")</f>
        <v>4.8943999999999988E-2</v>
      </c>
      <c r="H909" s="40"/>
      <c r="I909" s="41"/>
      <c r="J909" s="125">
        <v>0</v>
      </c>
    </row>
    <row r="910" spans="1:10" ht="26.25" hidden="1" thickBot="1" x14ac:dyDescent="0.3">
      <c r="A910" s="235"/>
      <c r="B910" s="238"/>
      <c r="C910" s="155" t="s">
        <v>824</v>
      </c>
      <c r="D910" s="155" t="s">
        <v>587</v>
      </c>
      <c r="E910" s="34">
        <v>0.40239999999999998</v>
      </c>
      <c r="F910" s="31">
        <v>18.6295</v>
      </c>
      <c r="G910" s="31">
        <f>IF(ISNUMBER(F910),E910*F910,"")</f>
        <v>7.4965107999999994</v>
      </c>
      <c r="H910" s="40"/>
      <c r="I910" s="41"/>
      <c r="J910" s="125">
        <v>0</v>
      </c>
    </row>
    <row r="911" spans="1:10" ht="26.25" hidden="1" thickBot="1" x14ac:dyDescent="0.3">
      <c r="A911" s="235"/>
      <c r="B911" s="238"/>
      <c r="C911" s="155" t="s">
        <v>825</v>
      </c>
      <c r="D911" s="155" t="s">
        <v>587</v>
      </c>
      <c r="E911" s="34">
        <v>0.40239999999999998</v>
      </c>
      <c r="F911" s="31">
        <v>24.9375</v>
      </c>
      <c r="G911" s="31">
        <f>IF(ISNUMBER(F911),E911*F911,"")</f>
        <v>10.034849999999999</v>
      </c>
      <c r="H911" s="40"/>
      <c r="I911" s="41"/>
      <c r="J911" s="125">
        <v>0</v>
      </c>
    </row>
    <row r="912" spans="1:10" ht="15.75" hidden="1" thickBot="1" x14ac:dyDescent="0.3">
      <c r="A912" s="236"/>
      <c r="B912" s="239"/>
      <c r="C912" s="155"/>
      <c r="D912" s="33"/>
      <c r="E912" s="34"/>
      <c r="F912" s="28" t="s">
        <v>418</v>
      </c>
      <c r="G912" s="28" t="str">
        <f>IF(ISNUMBER(F912),E912*F912,"")</f>
        <v/>
      </c>
      <c r="H912" s="32"/>
      <c r="I912" s="28"/>
      <c r="J912" s="125">
        <v>0</v>
      </c>
    </row>
    <row r="913" spans="1:10" ht="15.75" hidden="1" thickBot="1" x14ac:dyDescent="0.3">
      <c r="A913" s="234" t="s">
        <v>228</v>
      </c>
      <c r="B913" s="237" t="s">
        <v>19690</v>
      </c>
      <c r="C913" s="160"/>
      <c r="D913" s="23" t="s">
        <v>69</v>
      </c>
      <c r="E913" s="24"/>
      <c r="F913" s="37" t="s">
        <v>418</v>
      </c>
      <c r="G913" s="25" t="str">
        <f>IF(ISNUMBER(F913),E913*F913,"")</f>
        <v/>
      </c>
      <c r="H913" s="26"/>
      <c r="I913" s="27"/>
      <c r="J913" s="125">
        <v>0</v>
      </c>
    </row>
    <row r="914" spans="1:10" ht="15.75" hidden="1" thickBot="1" x14ac:dyDescent="0.3">
      <c r="A914" s="235"/>
      <c r="B914" s="238"/>
      <c r="C914" s="151"/>
      <c r="D914" s="29"/>
      <c r="E914" s="30"/>
      <c r="F914" s="38" t="s">
        <v>418</v>
      </c>
      <c r="G914" s="28" t="str">
        <f>IF(ISNUMBER(F914),E914*F914,"")</f>
        <v/>
      </c>
      <c r="H914" s="32"/>
      <c r="I914" s="28"/>
      <c r="J914" s="125">
        <v>0</v>
      </c>
    </row>
    <row r="915" spans="1:10" ht="26.25" hidden="1" thickBot="1" x14ac:dyDescent="0.3">
      <c r="A915" s="235"/>
      <c r="B915" s="238"/>
      <c r="C915" s="155" t="s">
        <v>28268</v>
      </c>
      <c r="D915" s="155" t="s">
        <v>385</v>
      </c>
      <c r="E915" s="34">
        <v>1.0349999999999999</v>
      </c>
      <c r="F915" s="31">
        <v>8.702</v>
      </c>
      <c r="G915" s="31">
        <f>IF(ISNUMBER(F915),E915*F915,"")</f>
        <v>9.00657</v>
      </c>
      <c r="H915" s="35">
        <f>SUM(G915:G918)</f>
        <v>15.4854731</v>
      </c>
      <c r="I915" s="36"/>
      <c r="J915" s="125">
        <v>0</v>
      </c>
    </row>
    <row r="916" spans="1:10" ht="15.75" hidden="1" thickBot="1" x14ac:dyDescent="0.3">
      <c r="A916" s="235"/>
      <c r="B916" s="238"/>
      <c r="C916" s="155" t="s">
        <v>26048</v>
      </c>
      <c r="D916" s="155" t="s">
        <v>205</v>
      </c>
      <c r="E916" s="34">
        <v>8.2000000000000007E-3</v>
      </c>
      <c r="F916" s="31">
        <v>2.1849999999999996</v>
      </c>
      <c r="G916" s="31">
        <f>IF(ISNUMBER(F916),E916*F916,"")</f>
        <v>1.7916999999999999E-2</v>
      </c>
      <c r="H916" s="32"/>
      <c r="I916" s="28"/>
      <c r="J916" s="125">
        <v>0</v>
      </c>
    </row>
    <row r="917" spans="1:10" ht="26.25" hidden="1" thickBot="1" x14ac:dyDescent="0.3">
      <c r="A917" s="235"/>
      <c r="B917" s="238"/>
      <c r="C917" s="155" t="s">
        <v>824</v>
      </c>
      <c r="D917" s="155" t="s">
        <v>587</v>
      </c>
      <c r="E917" s="34">
        <v>0.14829999999999999</v>
      </c>
      <c r="F917" s="28">
        <v>18.6295</v>
      </c>
      <c r="G917" s="31">
        <f>IF(ISNUMBER(F917),E917*F917,"")</f>
        <v>2.7627548499999999</v>
      </c>
      <c r="H917" s="32"/>
      <c r="I917" s="28"/>
      <c r="J917" s="125">
        <v>0</v>
      </c>
    </row>
    <row r="918" spans="1:10" ht="26.25" hidden="1" thickBot="1" x14ac:dyDescent="0.3">
      <c r="A918" s="235"/>
      <c r="B918" s="238"/>
      <c r="C918" s="155" t="s">
        <v>825</v>
      </c>
      <c r="D918" s="155" t="s">
        <v>587</v>
      </c>
      <c r="E918" s="34">
        <v>0.14829999999999999</v>
      </c>
      <c r="F918" s="28">
        <v>24.9375</v>
      </c>
      <c r="G918" s="31">
        <f>IF(ISNUMBER(F918),E918*F918,"")</f>
        <v>3.6982312499999996</v>
      </c>
      <c r="H918" s="32"/>
      <c r="I918" s="28"/>
      <c r="J918" s="125">
        <v>0</v>
      </c>
    </row>
    <row r="919" spans="1:10" ht="15.75" hidden="1" thickBot="1" x14ac:dyDescent="0.3">
      <c r="A919" s="236"/>
      <c r="B919" s="239"/>
      <c r="C919" s="155"/>
      <c r="D919" s="33"/>
      <c r="E919" s="34"/>
      <c r="F919" s="28" t="s">
        <v>418</v>
      </c>
      <c r="G919" s="28" t="str">
        <f>IF(ISNUMBER(F919),E919*F919,"")</f>
        <v/>
      </c>
      <c r="H919" s="32"/>
      <c r="I919" s="28"/>
      <c r="J919" s="125">
        <v>0</v>
      </c>
    </row>
    <row r="920" spans="1:10" ht="15.75" hidden="1" thickBot="1" x14ac:dyDescent="0.3">
      <c r="A920" s="234" t="s">
        <v>229</v>
      </c>
      <c r="B920" s="237" t="s">
        <v>19691</v>
      </c>
      <c r="C920" s="160"/>
      <c r="D920" s="23" t="s">
        <v>69</v>
      </c>
      <c r="E920" s="24"/>
      <c r="F920" s="37" t="s">
        <v>418</v>
      </c>
      <c r="G920" s="25" t="str">
        <f>IF(ISNUMBER(F920),E920*F920,"")</f>
        <v/>
      </c>
      <c r="H920" s="26"/>
      <c r="I920" s="27"/>
      <c r="J920" s="125">
        <v>0</v>
      </c>
    </row>
    <row r="921" spans="1:10" ht="15.75" hidden="1" thickBot="1" x14ac:dyDescent="0.3">
      <c r="A921" s="235"/>
      <c r="B921" s="238"/>
      <c r="C921" s="151"/>
      <c r="D921" s="29"/>
      <c r="E921" s="30"/>
      <c r="F921" s="38" t="s">
        <v>418</v>
      </c>
      <c r="G921" s="28" t="str">
        <f>IF(ISNUMBER(F921),E921*F921,"")</f>
        <v/>
      </c>
      <c r="H921" s="32"/>
      <c r="I921" s="28"/>
      <c r="J921" s="125">
        <v>0</v>
      </c>
    </row>
    <row r="922" spans="1:10" ht="26.25" hidden="1" thickBot="1" x14ac:dyDescent="0.3">
      <c r="A922" s="235"/>
      <c r="B922" s="238"/>
      <c r="C922" s="155" t="s">
        <v>28269</v>
      </c>
      <c r="D922" s="155" t="s">
        <v>385</v>
      </c>
      <c r="E922" s="34">
        <v>1.0353000000000001</v>
      </c>
      <c r="F922" s="31">
        <v>12.254999999999999</v>
      </c>
      <c r="G922" s="31">
        <f>IF(ISNUMBER(F922),E922*F922,"")</f>
        <v>12.6876015</v>
      </c>
      <c r="H922" s="35">
        <f>SUM(G922:G925)</f>
        <v>20.975203899999997</v>
      </c>
      <c r="I922" s="36"/>
      <c r="J922" s="125">
        <v>0</v>
      </c>
    </row>
    <row r="923" spans="1:10" ht="15.75" hidden="1" thickBot="1" x14ac:dyDescent="0.3">
      <c r="A923" s="235"/>
      <c r="B923" s="238"/>
      <c r="C923" s="155" t="s">
        <v>26048</v>
      </c>
      <c r="D923" s="155" t="s">
        <v>205</v>
      </c>
      <c r="E923" s="34">
        <v>1.0500000000000001E-2</v>
      </c>
      <c r="F923" s="31">
        <v>2.1849999999999996</v>
      </c>
      <c r="G923" s="31">
        <f>IF(ISNUMBER(F923),E923*F923,"")</f>
        <v>2.2942499999999998E-2</v>
      </c>
      <c r="H923" s="32"/>
      <c r="I923" s="28"/>
      <c r="J923" s="125">
        <v>0</v>
      </c>
    </row>
    <row r="924" spans="1:10" ht="26.25" hidden="1" thickBot="1" x14ac:dyDescent="0.3">
      <c r="A924" s="235"/>
      <c r="B924" s="238"/>
      <c r="C924" s="155" t="s">
        <v>824</v>
      </c>
      <c r="D924" s="155" t="s">
        <v>587</v>
      </c>
      <c r="E924" s="34">
        <v>0.18970000000000001</v>
      </c>
      <c r="F924" s="31">
        <v>18.6295</v>
      </c>
      <c r="G924" s="31">
        <f>IF(ISNUMBER(F924),E924*F924,"")</f>
        <v>3.5340161500000002</v>
      </c>
      <c r="H924" s="32"/>
      <c r="I924" s="28"/>
      <c r="J924" s="125">
        <v>0</v>
      </c>
    </row>
    <row r="925" spans="1:10" ht="26.25" hidden="1" thickBot="1" x14ac:dyDescent="0.3">
      <c r="A925" s="235"/>
      <c r="B925" s="238"/>
      <c r="C925" s="155" t="s">
        <v>825</v>
      </c>
      <c r="D925" s="155" t="s">
        <v>587</v>
      </c>
      <c r="E925" s="34">
        <v>0.18970000000000001</v>
      </c>
      <c r="F925" s="31">
        <v>24.9375</v>
      </c>
      <c r="G925" s="31">
        <f>IF(ISNUMBER(F925),E925*F925,"")</f>
        <v>4.7306437500000005</v>
      </c>
      <c r="H925" s="32"/>
      <c r="I925" s="28"/>
      <c r="J925" s="125">
        <v>0</v>
      </c>
    </row>
    <row r="926" spans="1:10" ht="15.75" hidden="1" thickBot="1" x14ac:dyDescent="0.3">
      <c r="A926" s="236"/>
      <c r="B926" s="239"/>
      <c r="C926" s="155"/>
      <c r="D926" s="33"/>
      <c r="E926" s="34"/>
      <c r="F926" s="28" t="s">
        <v>418</v>
      </c>
      <c r="G926" s="28" t="str">
        <f>IF(ISNUMBER(F926),E926*F926,"")</f>
        <v/>
      </c>
      <c r="H926" s="32"/>
      <c r="I926" s="28"/>
      <c r="J926" s="125">
        <v>0</v>
      </c>
    </row>
    <row r="927" spans="1:10" ht="15.75" hidden="1" thickBot="1" x14ac:dyDescent="0.3">
      <c r="A927" s="234" t="s">
        <v>230</v>
      </c>
      <c r="B927" s="237" t="s">
        <v>19692</v>
      </c>
      <c r="C927" s="160"/>
      <c r="D927" s="23" t="s">
        <v>69</v>
      </c>
      <c r="E927" s="24"/>
      <c r="F927" s="37" t="s">
        <v>418</v>
      </c>
      <c r="G927" s="25" t="str">
        <f>IF(ISNUMBER(F927),E927*F927,"")</f>
        <v/>
      </c>
      <c r="H927" s="26"/>
      <c r="I927" s="27"/>
      <c r="J927" s="125">
        <v>0</v>
      </c>
    </row>
    <row r="928" spans="1:10" ht="15.75" hidden="1" thickBot="1" x14ac:dyDescent="0.3">
      <c r="A928" s="235"/>
      <c r="B928" s="238"/>
      <c r="C928" s="151"/>
      <c r="D928" s="29"/>
      <c r="E928" s="30"/>
      <c r="F928" s="38" t="s">
        <v>418</v>
      </c>
      <c r="G928" s="28" t="str">
        <f>IF(ISNUMBER(F928),E928*F928,"")</f>
        <v/>
      </c>
      <c r="H928" s="32"/>
      <c r="I928" s="28"/>
      <c r="J928" s="125">
        <v>0</v>
      </c>
    </row>
    <row r="929" spans="1:10" ht="26.25" hidden="1" thickBot="1" x14ac:dyDescent="0.3">
      <c r="A929" s="235"/>
      <c r="B929" s="238"/>
      <c r="C929" s="155" t="s">
        <v>28270</v>
      </c>
      <c r="D929" s="155" t="s">
        <v>385</v>
      </c>
      <c r="E929" s="156">
        <v>1.0353000000000001</v>
      </c>
      <c r="F929" s="31">
        <v>22.229999999999997</v>
      </c>
      <c r="G929" s="31">
        <f>IF(ISNUMBER(F929),E929*F929,"")</f>
        <v>23.014718999999999</v>
      </c>
      <c r="H929" s="35">
        <f>SUM(G929:G932)</f>
        <v>35.854675799999995</v>
      </c>
      <c r="I929" s="36"/>
      <c r="J929" s="125">
        <v>0</v>
      </c>
    </row>
    <row r="930" spans="1:10" ht="15.75" hidden="1" thickBot="1" x14ac:dyDescent="0.3">
      <c r="A930" s="235"/>
      <c r="B930" s="238"/>
      <c r="C930" s="155" t="s">
        <v>26048</v>
      </c>
      <c r="D930" s="155" t="s">
        <v>205</v>
      </c>
      <c r="E930" s="34">
        <v>1.6299999999999999E-2</v>
      </c>
      <c r="F930" s="31">
        <v>2.1849999999999996</v>
      </c>
      <c r="G930" s="31">
        <f>IF(ISNUMBER(F930),E930*F930,"")</f>
        <v>3.5615499999999987E-2</v>
      </c>
      <c r="H930" s="40"/>
      <c r="I930" s="41"/>
      <c r="J930" s="125">
        <v>0</v>
      </c>
    </row>
    <row r="931" spans="1:10" ht="26.25" hidden="1" thickBot="1" x14ac:dyDescent="0.3">
      <c r="A931" s="235"/>
      <c r="B931" s="238"/>
      <c r="C931" s="155" t="s">
        <v>824</v>
      </c>
      <c r="D931" s="155" t="s">
        <v>587</v>
      </c>
      <c r="E931" s="34">
        <v>0.29389999999999999</v>
      </c>
      <c r="F931" s="28">
        <v>18.6295</v>
      </c>
      <c r="G931" s="31">
        <f>IF(ISNUMBER(F931),E931*F931,"")</f>
        <v>5.4752100500000003</v>
      </c>
      <c r="H931" s="40"/>
      <c r="I931" s="41"/>
      <c r="J931" s="125">
        <v>0</v>
      </c>
    </row>
    <row r="932" spans="1:10" ht="26.25" hidden="1" thickBot="1" x14ac:dyDescent="0.3">
      <c r="A932" s="235"/>
      <c r="B932" s="238"/>
      <c r="C932" s="155" t="s">
        <v>825</v>
      </c>
      <c r="D932" s="155" t="s">
        <v>587</v>
      </c>
      <c r="E932" s="34">
        <v>0.29389999999999999</v>
      </c>
      <c r="F932" s="28">
        <v>24.9375</v>
      </c>
      <c r="G932" s="31">
        <f>IF(ISNUMBER(F932),E932*F932,"")</f>
        <v>7.3291312499999997</v>
      </c>
      <c r="H932" s="40"/>
      <c r="I932" s="41"/>
      <c r="J932" s="125">
        <v>0</v>
      </c>
    </row>
    <row r="933" spans="1:10" ht="15.75" hidden="1" thickBot="1" x14ac:dyDescent="0.3">
      <c r="A933" s="236"/>
      <c r="B933" s="239"/>
      <c r="C933" s="155"/>
      <c r="D933" s="33"/>
      <c r="E933" s="34"/>
      <c r="F933" s="28" t="s">
        <v>418</v>
      </c>
      <c r="G933" s="28" t="str">
        <f>IF(ISNUMBER(F933),E933*F933,"")</f>
        <v/>
      </c>
      <c r="H933" s="32"/>
      <c r="I933" s="28"/>
      <c r="J933" s="125">
        <v>0</v>
      </c>
    </row>
    <row r="934" spans="1:10" ht="15.75" hidden="1" thickBot="1" x14ac:dyDescent="0.3">
      <c r="A934" s="234" t="s">
        <v>231</v>
      </c>
      <c r="B934" s="237" t="s">
        <v>19629</v>
      </c>
      <c r="C934" s="160"/>
      <c r="D934" s="23" t="s">
        <v>69</v>
      </c>
      <c r="E934" s="24"/>
      <c r="F934" s="37" t="s">
        <v>418</v>
      </c>
      <c r="G934" s="25" t="str">
        <f>IF(ISNUMBER(F934),E934*F934,"")</f>
        <v/>
      </c>
      <c r="H934" s="26"/>
      <c r="I934" s="27"/>
      <c r="J934" s="125">
        <v>0</v>
      </c>
    </row>
    <row r="935" spans="1:10" ht="15.75" hidden="1" thickBot="1" x14ac:dyDescent="0.3">
      <c r="A935" s="235"/>
      <c r="B935" s="238"/>
      <c r="C935" s="151"/>
      <c r="D935" s="29"/>
      <c r="E935" s="30"/>
      <c r="F935" s="38" t="s">
        <v>418</v>
      </c>
      <c r="G935" s="28" t="str">
        <f>IF(ISNUMBER(F935),E935*F935,"")</f>
        <v/>
      </c>
      <c r="H935" s="32"/>
      <c r="I935" s="28"/>
      <c r="J935" s="125">
        <v>0</v>
      </c>
    </row>
    <row r="936" spans="1:10" ht="15.75" hidden="1" thickBot="1" x14ac:dyDescent="0.3">
      <c r="A936" s="235"/>
      <c r="B936" s="238"/>
      <c r="C936" s="155" t="s">
        <v>28273</v>
      </c>
      <c r="D936" s="155" t="s">
        <v>385</v>
      </c>
      <c r="E936" s="34">
        <v>1.0492999999999999</v>
      </c>
      <c r="F936" s="31">
        <v>4.6360000000000001</v>
      </c>
      <c r="G936" s="31">
        <f>IF(ISNUMBER(F936),E936*F936,"")</f>
        <v>4.8645547999999996</v>
      </c>
      <c r="H936" s="35">
        <f>SUM(G936:G939)</f>
        <v>5.7239437999999998</v>
      </c>
      <c r="I936" s="36"/>
      <c r="J936" s="125">
        <v>0</v>
      </c>
    </row>
    <row r="937" spans="1:10" s="144" customFormat="1" ht="15.75" hidden="1" thickBot="1" x14ac:dyDescent="0.3">
      <c r="A937" s="235"/>
      <c r="B937" s="238"/>
      <c r="C937" s="155" t="s">
        <v>26048</v>
      </c>
      <c r="D937" s="155" t="s">
        <v>205</v>
      </c>
      <c r="E937" s="156">
        <v>4.4999999999999997E-3</v>
      </c>
      <c r="F937" s="31">
        <v>2.1849999999999996</v>
      </c>
      <c r="G937" s="31">
        <f>IF(ISNUMBER(F937),E937*F937,"")</f>
        <v>9.8324999999999975E-3</v>
      </c>
      <c r="H937" s="32"/>
      <c r="I937" s="28"/>
      <c r="J937" s="125">
        <v>0</v>
      </c>
    </row>
    <row r="938" spans="1:10" ht="26.25" hidden="1" thickBot="1" x14ac:dyDescent="0.3">
      <c r="A938" s="235"/>
      <c r="B938" s="238"/>
      <c r="C938" s="155" t="s">
        <v>824</v>
      </c>
      <c r="D938" s="155" t="s">
        <v>587</v>
      </c>
      <c r="E938" s="34">
        <v>1.95E-2</v>
      </c>
      <c r="F938" s="28">
        <v>18.6295</v>
      </c>
      <c r="G938" s="31">
        <f>IF(ISNUMBER(F938),E938*F938,"")</f>
        <v>0.36327524999999999</v>
      </c>
      <c r="H938" s="32"/>
      <c r="I938" s="28"/>
      <c r="J938" s="125">
        <v>0</v>
      </c>
    </row>
    <row r="939" spans="1:10" ht="26.25" hidden="1" thickBot="1" x14ac:dyDescent="0.3">
      <c r="A939" s="235"/>
      <c r="B939" s="238"/>
      <c r="C939" s="155" t="s">
        <v>825</v>
      </c>
      <c r="D939" s="155" t="s">
        <v>587</v>
      </c>
      <c r="E939" s="156">
        <v>1.95E-2</v>
      </c>
      <c r="F939" s="28">
        <v>24.9375</v>
      </c>
      <c r="G939" s="31">
        <f>IF(ISNUMBER(F939),E939*F939,"")</f>
        <v>0.48628125</v>
      </c>
      <c r="H939" s="32"/>
      <c r="I939" s="28"/>
      <c r="J939" s="125">
        <v>0</v>
      </c>
    </row>
    <row r="940" spans="1:10" ht="15.75" hidden="1" thickBot="1" x14ac:dyDescent="0.3">
      <c r="A940" s="236"/>
      <c r="B940" s="239"/>
      <c r="C940" s="155"/>
      <c r="D940" s="33"/>
      <c r="E940" s="34"/>
      <c r="F940" s="28" t="s">
        <v>418</v>
      </c>
      <c r="G940" s="28" t="str">
        <f>IF(ISNUMBER(F940),E940*F940,"")</f>
        <v/>
      </c>
      <c r="H940" s="32"/>
      <c r="I940" s="28"/>
      <c r="J940" s="125">
        <v>0</v>
      </c>
    </row>
    <row r="941" spans="1:10" ht="15.75" hidden="1" thickBot="1" x14ac:dyDescent="0.3">
      <c r="A941" s="234" t="s">
        <v>232</v>
      </c>
      <c r="B941" s="237" t="s">
        <v>19630</v>
      </c>
      <c r="C941" s="160"/>
      <c r="D941" s="23" t="s">
        <v>69</v>
      </c>
      <c r="E941" s="24"/>
      <c r="F941" s="37" t="s">
        <v>418</v>
      </c>
      <c r="G941" s="25" t="str">
        <f>IF(ISNUMBER(F941),E941*F941,"")</f>
        <v/>
      </c>
      <c r="H941" s="26"/>
      <c r="I941" s="27"/>
      <c r="J941" s="125">
        <v>0</v>
      </c>
    </row>
    <row r="942" spans="1:10" ht="15.75" hidden="1" thickBot="1" x14ac:dyDescent="0.3">
      <c r="A942" s="235"/>
      <c r="B942" s="238"/>
      <c r="C942" s="151"/>
      <c r="D942" s="29"/>
      <c r="E942" s="30"/>
      <c r="F942" s="38" t="s">
        <v>418</v>
      </c>
      <c r="G942" s="28" t="str">
        <f>IF(ISNUMBER(F942),E942*F942,"")</f>
        <v/>
      </c>
      <c r="H942" s="32"/>
      <c r="I942" s="28"/>
      <c r="J942" s="125">
        <v>0</v>
      </c>
    </row>
    <row r="943" spans="1:10" ht="15.75" hidden="1" thickBot="1" x14ac:dyDescent="0.3">
      <c r="A943" s="235"/>
      <c r="B943" s="238"/>
      <c r="C943" s="155" t="s">
        <v>28274</v>
      </c>
      <c r="D943" s="155" t="s">
        <v>385</v>
      </c>
      <c r="E943" s="34">
        <v>1.0609999999999999</v>
      </c>
      <c r="F943" s="31">
        <v>10.003499999999999</v>
      </c>
      <c r="G943" s="31">
        <f>IF(ISNUMBER(F943),E943*F943,"")</f>
        <v>10.613713499999998</v>
      </c>
      <c r="H943" s="35">
        <f>SUM(G943:G945)</f>
        <v>11.485053499999998</v>
      </c>
      <c r="I943" s="36"/>
      <c r="J943" s="125">
        <v>0</v>
      </c>
    </row>
    <row r="944" spans="1:10" ht="26.25" hidden="1" thickBot="1" x14ac:dyDescent="0.3">
      <c r="A944" s="235"/>
      <c r="B944" s="238"/>
      <c r="C944" s="155" t="s">
        <v>824</v>
      </c>
      <c r="D944" s="155" t="s">
        <v>587</v>
      </c>
      <c r="E944" s="34">
        <v>0.02</v>
      </c>
      <c r="F944" s="28">
        <v>18.6295</v>
      </c>
      <c r="G944" s="31">
        <f>IF(ISNUMBER(F944),E944*F944,"")</f>
        <v>0.37259000000000003</v>
      </c>
      <c r="H944" s="32"/>
      <c r="I944" s="28"/>
      <c r="J944" s="125">
        <v>0</v>
      </c>
    </row>
    <row r="945" spans="1:10" ht="26.25" hidden="1" thickBot="1" x14ac:dyDescent="0.3">
      <c r="A945" s="235"/>
      <c r="B945" s="238"/>
      <c r="C945" s="155" t="s">
        <v>825</v>
      </c>
      <c r="D945" s="155" t="s">
        <v>587</v>
      </c>
      <c r="E945" s="34">
        <v>0.02</v>
      </c>
      <c r="F945" s="28">
        <v>24.9375</v>
      </c>
      <c r="G945" s="31">
        <f>IF(ISNUMBER(F945),E945*F945,"")</f>
        <v>0.49875000000000003</v>
      </c>
      <c r="H945" s="32"/>
      <c r="I945" s="28"/>
      <c r="J945" s="125">
        <v>0</v>
      </c>
    </row>
    <row r="946" spans="1:10" ht="15.75" hidden="1" thickBot="1" x14ac:dyDescent="0.3">
      <c r="A946" s="236"/>
      <c r="B946" s="239"/>
      <c r="C946" s="155"/>
      <c r="D946" s="33"/>
      <c r="E946" s="34"/>
      <c r="F946" s="28" t="s">
        <v>418</v>
      </c>
      <c r="G946" s="28" t="str">
        <f>IF(ISNUMBER(F946),E946*F946,"")</f>
        <v/>
      </c>
      <c r="H946" s="32"/>
      <c r="I946" s="28"/>
      <c r="J946" s="125">
        <v>0</v>
      </c>
    </row>
    <row r="947" spans="1:10" ht="15.75" hidden="1" thickBot="1" x14ac:dyDescent="0.3">
      <c r="A947" s="234" t="s">
        <v>233</v>
      </c>
      <c r="B947" s="237" t="s">
        <v>19631</v>
      </c>
      <c r="C947" s="160"/>
      <c r="D947" s="23" t="s">
        <v>69</v>
      </c>
      <c r="E947" s="24"/>
      <c r="F947" s="37" t="s">
        <v>418</v>
      </c>
      <c r="G947" s="25" t="str">
        <f>IF(ISNUMBER(F947),E947*F947,"")</f>
        <v/>
      </c>
      <c r="H947" s="26"/>
      <c r="I947" s="27"/>
      <c r="J947" s="125">
        <v>0</v>
      </c>
    </row>
    <row r="948" spans="1:10" ht="15.75" hidden="1" thickBot="1" x14ac:dyDescent="0.3">
      <c r="A948" s="235"/>
      <c r="B948" s="238"/>
      <c r="C948" s="151"/>
      <c r="D948" s="29"/>
      <c r="E948" s="30"/>
      <c r="F948" s="38" t="s">
        <v>418</v>
      </c>
      <c r="G948" s="28" t="str">
        <f>IF(ISNUMBER(F948),E948*F948,"")</f>
        <v/>
      </c>
      <c r="H948" s="32"/>
      <c r="I948" s="28"/>
      <c r="J948" s="125">
        <v>0</v>
      </c>
    </row>
    <row r="949" spans="1:10" ht="15.75" hidden="1" thickBot="1" x14ac:dyDescent="0.3">
      <c r="A949" s="235"/>
      <c r="B949" s="238"/>
      <c r="C949" s="155" t="s">
        <v>28275</v>
      </c>
      <c r="D949" s="155" t="s">
        <v>385</v>
      </c>
      <c r="E949" s="34">
        <v>1.0609999999999999</v>
      </c>
      <c r="F949" s="31">
        <v>15.712999999999999</v>
      </c>
      <c r="G949" s="31">
        <f>IF(ISNUMBER(F949),E949*F949,"")</f>
        <v>16.671492999999998</v>
      </c>
      <c r="H949" s="35">
        <f>SUM(G949:G952)</f>
        <v>17.734580999999999</v>
      </c>
      <c r="I949" s="36"/>
      <c r="J949" s="125">
        <v>0</v>
      </c>
    </row>
    <row r="950" spans="1:10" ht="15.75" hidden="1" thickBot="1" x14ac:dyDescent="0.3">
      <c r="A950" s="235"/>
      <c r="B950" s="238"/>
      <c r="C950" s="155" t="s">
        <v>26048</v>
      </c>
      <c r="D950" s="155" t="s">
        <v>205</v>
      </c>
      <c r="E950" s="34">
        <v>8.0000000000000002E-3</v>
      </c>
      <c r="F950" s="31">
        <v>2.1849999999999996</v>
      </c>
      <c r="G950" s="31">
        <f>IF(ISNUMBER(F950),E950*F950,"")</f>
        <v>1.7479999999999996E-2</v>
      </c>
      <c r="H950" s="32"/>
      <c r="I950" s="28"/>
      <c r="J950" s="125">
        <v>0</v>
      </c>
    </row>
    <row r="951" spans="1:10" ht="26.25" hidden="1" thickBot="1" x14ac:dyDescent="0.3">
      <c r="A951" s="235"/>
      <c r="B951" s="238"/>
      <c r="C951" s="155" t="s">
        <v>824</v>
      </c>
      <c r="D951" s="155" t="s">
        <v>587</v>
      </c>
      <c r="E951" s="34">
        <v>2.4E-2</v>
      </c>
      <c r="F951" s="28">
        <v>18.6295</v>
      </c>
      <c r="G951" s="31">
        <f>IF(ISNUMBER(F951),E951*F951,"")</f>
        <v>0.44710800000000001</v>
      </c>
      <c r="H951" s="32"/>
      <c r="I951" s="28"/>
      <c r="J951" s="125">
        <v>0</v>
      </c>
    </row>
    <row r="952" spans="1:10" ht="26.25" hidden="1" thickBot="1" x14ac:dyDescent="0.3">
      <c r="A952" s="235"/>
      <c r="B952" s="238"/>
      <c r="C952" s="155" t="s">
        <v>825</v>
      </c>
      <c r="D952" s="155" t="s">
        <v>587</v>
      </c>
      <c r="E952" s="34">
        <v>2.4E-2</v>
      </c>
      <c r="F952" s="28">
        <v>24.9375</v>
      </c>
      <c r="G952" s="31">
        <f>IF(ISNUMBER(F952),E952*F952,"")</f>
        <v>0.59850000000000003</v>
      </c>
      <c r="H952" s="32"/>
      <c r="I952" s="28"/>
      <c r="J952" s="125">
        <v>0</v>
      </c>
    </row>
    <row r="953" spans="1:10" ht="15.75" hidden="1" thickBot="1" x14ac:dyDescent="0.3">
      <c r="A953" s="236"/>
      <c r="B953" s="239"/>
      <c r="C953" s="155"/>
      <c r="D953" s="33"/>
      <c r="E953" s="34"/>
      <c r="F953" s="28" t="s">
        <v>418</v>
      </c>
      <c r="G953" s="28" t="str">
        <f>IF(ISNUMBER(F953),E953*F953,"")</f>
        <v/>
      </c>
      <c r="H953" s="32"/>
      <c r="I953" s="28"/>
      <c r="J953" s="125">
        <v>0</v>
      </c>
    </row>
    <row r="954" spans="1:10" ht="15.75" hidden="1" thickBot="1" x14ac:dyDescent="0.3">
      <c r="A954" s="234" t="s">
        <v>234</v>
      </c>
      <c r="B954" s="237" t="s">
        <v>19632</v>
      </c>
      <c r="C954" s="160"/>
      <c r="D954" s="23" t="s">
        <v>69</v>
      </c>
      <c r="E954" s="24"/>
      <c r="F954" s="37" t="s">
        <v>418</v>
      </c>
      <c r="G954" s="25" t="str">
        <f>IF(ISNUMBER(F954),E954*F954,"")</f>
        <v/>
      </c>
      <c r="H954" s="26"/>
      <c r="I954" s="27"/>
      <c r="J954" s="125">
        <v>0</v>
      </c>
    </row>
    <row r="955" spans="1:10" ht="15.75" hidden="1" thickBot="1" x14ac:dyDescent="0.3">
      <c r="A955" s="235"/>
      <c r="B955" s="238"/>
      <c r="C955" s="151"/>
      <c r="D955" s="29"/>
      <c r="E955" s="30"/>
      <c r="F955" s="38" t="s">
        <v>418</v>
      </c>
      <c r="G955" s="28" t="str">
        <f>IF(ISNUMBER(F955),E955*F955,"")</f>
        <v/>
      </c>
      <c r="H955" s="32"/>
      <c r="I955" s="28"/>
      <c r="J955" s="125">
        <v>0</v>
      </c>
    </row>
    <row r="956" spans="1:10" ht="15.75" hidden="1" thickBot="1" x14ac:dyDescent="0.3">
      <c r="A956" s="235"/>
      <c r="B956" s="238"/>
      <c r="C956" s="155" t="s">
        <v>28276</v>
      </c>
      <c r="D956" s="155" t="s">
        <v>385</v>
      </c>
      <c r="E956" s="34">
        <v>1.0609999999999999</v>
      </c>
      <c r="F956" s="31">
        <v>17.233000000000001</v>
      </c>
      <c r="G956" s="31">
        <f>IF(ISNUMBER(F956),E956*F956,"")</f>
        <v>18.284213000000001</v>
      </c>
      <c r="H956" s="35">
        <f>SUM(G956:G959)</f>
        <v>19.569506000000004</v>
      </c>
      <c r="I956" s="36"/>
      <c r="J956" s="125">
        <v>0</v>
      </c>
    </row>
    <row r="957" spans="1:10" ht="15.75" hidden="1" thickBot="1" x14ac:dyDescent="0.3">
      <c r="A957" s="235"/>
      <c r="B957" s="238"/>
      <c r="C957" s="155" t="s">
        <v>26048</v>
      </c>
      <c r="D957" s="155" t="s">
        <v>205</v>
      </c>
      <c r="E957" s="34">
        <v>0.01</v>
      </c>
      <c r="F957" s="31">
        <v>2.1849999999999996</v>
      </c>
      <c r="G957" s="31">
        <f>IF(ISNUMBER(F957),E957*F957,"")</f>
        <v>2.1849999999999998E-2</v>
      </c>
      <c r="H957" s="32"/>
      <c r="I957" s="28"/>
      <c r="J957" s="125">
        <v>0</v>
      </c>
    </row>
    <row r="958" spans="1:10" ht="26.25" hidden="1" thickBot="1" x14ac:dyDescent="0.3">
      <c r="A958" s="235"/>
      <c r="B958" s="238"/>
      <c r="C958" s="155" t="s">
        <v>824</v>
      </c>
      <c r="D958" s="155" t="s">
        <v>587</v>
      </c>
      <c r="E958" s="34">
        <v>2.9000000000000001E-2</v>
      </c>
      <c r="F958" s="28">
        <v>18.6295</v>
      </c>
      <c r="G958" s="31">
        <f>IF(ISNUMBER(F958),E958*F958,"")</f>
        <v>0.5402555</v>
      </c>
      <c r="H958" s="32"/>
      <c r="I958" s="28"/>
      <c r="J958" s="125">
        <v>0</v>
      </c>
    </row>
    <row r="959" spans="1:10" ht="26.25" hidden="1" thickBot="1" x14ac:dyDescent="0.3">
      <c r="A959" s="235"/>
      <c r="B959" s="238"/>
      <c r="C959" s="155" t="s">
        <v>825</v>
      </c>
      <c r="D959" s="155" t="s">
        <v>587</v>
      </c>
      <c r="E959" s="34">
        <v>2.9000000000000001E-2</v>
      </c>
      <c r="F959" s="28">
        <v>24.9375</v>
      </c>
      <c r="G959" s="31">
        <f>IF(ISNUMBER(F959),E959*F959,"")</f>
        <v>0.72318749999999998</v>
      </c>
      <c r="H959" s="32"/>
      <c r="I959" s="28"/>
      <c r="J959" s="125">
        <v>0</v>
      </c>
    </row>
    <row r="960" spans="1:10" ht="15.75" hidden="1" thickBot="1" x14ac:dyDescent="0.3">
      <c r="A960" s="236"/>
      <c r="B960" s="239"/>
      <c r="C960" s="155"/>
      <c r="D960" s="33"/>
      <c r="E960" s="34"/>
      <c r="F960" s="28" t="s">
        <v>418</v>
      </c>
      <c r="G960" s="28" t="str">
        <f>IF(ISNUMBER(F960),E960*F960,"")</f>
        <v/>
      </c>
      <c r="H960" s="32"/>
      <c r="I960" s="28"/>
      <c r="J960" s="125">
        <v>0</v>
      </c>
    </row>
    <row r="961" spans="1:10" ht="15.75" hidden="1" thickBot="1" x14ac:dyDescent="0.3">
      <c r="A961" s="234" t="s">
        <v>235</v>
      </c>
      <c r="B961" s="237" t="s">
        <v>1416</v>
      </c>
      <c r="C961" s="160"/>
      <c r="D961" s="23" t="s">
        <v>16</v>
      </c>
      <c r="E961" s="24"/>
      <c r="F961" s="37" t="s">
        <v>418</v>
      </c>
      <c r="G961" s="25" t="str">
        <f>IF(ISNUMBER(F961),E961*F961,"")</f>
        <v/>
      </c>
      <c r="H961" s="26"/>
      <c r="I961" s="27"/>
      <c r="J961" s="125">
        <v>0</v>
      </c>
    </row>
    <row r="962" spans="1:10" ht="15.75" hidden="1" thickBot="1" x14ac:dyDescent="0.3">
      <c r="A962" s="235"/>
      <c r="B962" s="238"/>
      <c r="C962" s="151"/>
      <c r="D962" s="29"/>
      <c r="E962" s="30"/>
      <c r="F962" s="38" t="s">
        <v>418</v>
      </c>
      <c r="G962" s="28" t="str">
        <f>IF(ISNUMBER(F962),E962*F962,"")</f>
        <v/>
      </c>
      <c r="H962" s="32"/>
      <c r="I962" s="28"/>
      <c r="J962" s="125">
        <v>0</v>
      </c>
    </row>
    <row r="963" spans="1:10" ht="26.25" hidden="1" thickBot="1" x14ac:dyDescent="0.3">
      <c r="A963" s="235"/>
      <c r="B963" s="238"/>
      <c r="C963" s="155" t="s">
        <v>236</v>
      </c>
      <c r="D963" s="42" t="s">
        <v>97</v>
      </c>
      <c r="E963" s="34">
        <v>1</v>
      </c>
      <c r="F963" s="31" t="s">
        <v>418</v>
      </c>
      <c r="G963" s="31" t="str">
        <f>IF(ISNUMBER(F963),E963*F963,"")</f>
        <v/>
      </c>
      <c r="H963" s="35">
        <f>SUM(G963:G966)</f>
        <v>9.8189853000000014</v>
      </c>
      <c r="I963" s="36"/>
      <c r="J963" s="125">
        <v>0</v>
      </c>
    </row>
    <row r="964" spans="1:10" ht="15.75" hidden="1" thickBot="1" x14ac:dyDescent="0.3">
      <c r="A964" s="235"/>
      <c r="B964" s="238"/>
      <c r="C964" s="155" t="s">
        <v>237</v>
      </c>
      <c r="D964" s="155" t="s">
        <v>205</v>
      </c>
      <c r="E964" s="34">
        <v>1.06E-2</v>
      </c>
      <c r="F964" s="31">
        <v>17.166499999999999</v>
      </c>
      <c r="G964" s="31">
        <f>IF(ISNUMBER(F964),E964*F964,"")</f>
        <v>0.18196489999999998</v>
      </c>
      <c r="H964" s="32"/>
      <c r="I964" s="28"/>
      <c r="J964" s="125">
        <v>0</v>
      </c>
    </row>
    <row r="965" spans="1:10" ht="26.25" hidden="1" thickBot="1" x14ac:dyDescent="0.3">
      <c r="A965" s="235"/>
      <c r="B965" s="238"/>
      <c r="C965" s="155" t="s">
        <v>825</v>
      </c>
      <c r="D965" s="155" t="s">
        <v>587</v>
      </c>
      <c r="E965" s="34">
        <v>0.22120000000000001</v>
      </c>
      <c r="F965" s="28">
        <v>24.9375</v>
      </c>
      <c r="G965" s="31">
        <f>IF(ISNUMBER(F965),E965*F965,"")</f>
        <v>5.5161750000000005</v>
      </c>
      <c r="H965" s="32"/>
      <c r="I965" s="28"/>
      <c r="J965" s="125">
        <v>0</v>
      </c>
    </row>
    <row r="966" spans="1:10" ht="26.25" hidden="1" thickBot="1" x14ac:dyDescent="0.3">
      <c r="A966" s="235"/>
      <c r="B966" s="238"/>
      <c r="C966" s="155" t="s">
        <v>824</v>
      </c>
      <c r="D966" s="155" t="s">
        <v>587</v>
      </c>
      <c r="E966" s="34">
        <v>0.22120000000000001</v>
      </c>
      <c r="F966" s="28">
        <v>18.6295</v>
      </c>
      <c r="G966" s="31">
        <f>IF(ISNUMBER(F966),E966*F966,"")</f>
        <v>4.1208454000000003</v>
      </c>
      <c r="H966" s="32"/>
      <c r="I966" s="28"/>
      <c r="J966" s="125">
        <v>0</v>
      </c>
    </row>
    <row r="967" spans="1:10" ht="15.75" hidden="1" thickBot="1" x14ac:dyDescent="0.3">
      <c r="A967" s="236"/>
      <c r="B967" s="239"/>
      <c r="C967" s="155"/>
      <c r="D967" s="33"/>
      <c r="E967" s="34"/>
      <c r="F967" s="28" t="s">
        <v>418</v>
      </c>
      <c r="G967" s="28" t="str">
        <f>IF(ISNUMBER(F967),E967*F967,"")</f>
        <v/>
      </c>
      <c r="H967" s="32"/>
      <c r="I967" s="28"/>
      <c r="J967" s="125">
        <v>0</v>
      </c>
    </row>
    <row r="968" spans="1:10" ht="15.75" hidden="1" thickBot="1" x14ac:dyDescent="0.3">
      <c r="A968" s="234" t="s">
        <v>238</v>
      </c>
      <c r="B968" s="237" t="s">
        <v>15216</v>
      </c>
      <c r="C968" s="160"/>
      <c r="D968" s="23" t="s">
        <v>16</v>
      </c>
      <c r="E968" s="24"/>
      <c r="F968" s="37" t="s">
        <v>418</v>
      </c>
      <c r="G968" s="25" t="str">
        <f>IF(ISNUMBER(F968),E968*F968,"")</f>
        <v/>
      </c>
      <c r="H968" s="26"/>
      <c r="I968" s="27"/>
      <c r="J968" s="125">
        <v>0</v>
      </c>
    </row>
    <row r="969" spans="1:10" ht="15.75" hidden="1" thickBot="1" x14ac:dyDescent="0.3">
      <c r="A969" s="235"/>
      <c r="B969" s="238"/>
      <c r="C969" s="151"/>
      <c r="D969" s="29"/>
      <c r="E969" s="30"/>
      <c r="F969" s="38" t="s">
        <v>418</v>
      </c>
      <c r="G969" s="28" t="str">
        <f>IF(ISNUMBER(F969),E969*F969,"")</f>
        <v/>
      </c>
      <c r="H969" s="32"/>
      <c r="I969" s="28"/>
      <c r="J969" s="125">
        <v>0</v>
      </c>
    </row>
    <row r="970" spans="1:10" ht="15.75" hidden="1" thickBot="1" x14ac:dyDescent="0.3">
      <c r="A970" s="235"/>
      <c r="B970" s="238"/>
      <c r="C970" s="155" t="s">
        <v>23487</v>
      </c>
      <c r="D970" s="155" t="s">
        <v>205</v>
      </c>
      <c r="E970" s="34">
        <v>6.6799999999999998E-2</v>
      </c>
      <c r="F970" s="28">
        <v>73.311499999999995</v>
      </c>
      <c r="G970" s="31">
        <f>IF(ISNUMBER(F970),E970*F970,"")</f>
        <v>4.8972081999999997</v>
      </c>
      <c r="H970" s="35">
        <f>SUM(G970:G975)</f>
        <v>96.707452099999998</v>
      </c>
      <c r="I970" s="36"/>
      <c r="J970" s="125">
        <v>0</v>
      </c>
    </row>
    <row r="971" spans="1:10" ht="26.25" hidden="1" thickBot="1" x14ac:dyDescent="0.3">
      <c r="A971" s="235"/>
      <c r="B971" s="238"/>
      <c r="C971" s="155" t="s">
        <v>24309</v>
      </c>
      <c r="D971" s="155" t="s">
        <v>205</v>
      </c>
      <c r="E971" s="34">
        <v>1</v>
      </c>
      <c r="F971" s="28">
        <v>62.319999999999993</v>
      </c>
      <c r="G971" s="31">
        <f>IF(ISNUMBER(F971),E971*F971,"")</f>
        <v>62.319999999999993</v>
      </c>
      <c r="H971" s="32"/>
      <c r="I971" s="28"/>
      <c r="J971" s="125">
        <v>0</v>
      </c>
    </row>
    <row r="972" spans="1:10" ht="26.25" hidden="1" thickBot="1" x14ac:dyDescent="0.3">
      <c r="A972" s="235"/>
      <c r="B972" s="238"/>
      <c r="C972" s="155" t="s">
        <v>27400</v>
      </c>
      <c r="D972" s="155" t="s">
        <v>205</v>
      </c>
      <c r="E972" s="34">
        <v>0.104</v>
      </c>
      <c r="F972" s="31">
        <v>83.058500000000009</v>
      </c>
      <c r="G972" s="31">
        <f>IF(ISNUMBER(F972),E972*F972,"")</f>
        <v>8.638084000000001</v>
      </c>
      <c r="H972" s="32"/>
      <c r="I972" s="28"/>
      <c r="J972" s="125">
        <v>0</v>
      </c>
    </row>
    <row r="973" spans="1:10" ht="15.75" hidden="1" thickBot="1" x14ac:dyDescent="0.3">
      <c r="A973" s="235"/>
      <c r="B973" s="238"/>
      <c r="C973" s="155" t="s">
        <v>26048</v>
      </c>
      <c r="D973" s="155" t="s">
        <v>205</v>
      </c>
      <c r="E973" s="34">
        <v>1.84E-2</v>
      </c>
      <c r="F973" s="31">
        <v>2.1849999999999996</v>
      </c>
      <c r="G973" s="31">
        <f>IF(ISNUMBER(F973),E973*F973,"")</f>
        <v>4.020399999999999E-2</v>
      </c>
      <c r="H973" s="32"/>
      <c r="I973" s="28"/>
      <c r="J973" s="125">
        <v>0</v>
      </c>
    </row>
    <row r="974" spans="1:10" ht="26.25" hidden="1" thickBot="1" x14ac:dyDescent="0.3">
      <c r="A974" s="235"/>
      <c r="B974" s="238"/>
      <c r="C974" s="155" t="s">
        <v>824</v>
      </c>
      <c r="D974" s="155" t="s">
        <v>587</v>
      </c>
      <c r="E974" s="34">
        <v>0.47770000000000001</v>
      </c>
      <c r="F974" s="31">
        <v>18.6295</v>
      </c>
      <c r="G974" s="31">
        <f>IF(ISNUMBER(F974),E974*F974,"")</f>
        <v>8.8993121500000001</v>
      </c>
      <c r="H974" s="32"/>
      <c r="I974" s="28"/>
      <c r="J974" s="125">
        <v>0</v>
      </c>
    </row>
    <row r="975" spans="1:10" ht="26.25" hidden="1" thickBot="1" x14ac:dyDescent="0.3">
      <c r="A975" s="235"/>
      <c r="B975" s="238"/>
      <c r="C975" s="155" t="s">
        <v>825</v>
      </c>
      <c r="D975" s="155" t="s">
        <v>587</v>
      </c>
      <c r="E975" s="34">
        <v>0.47770000000000001</v>
      </c>
      <c r="F975" s="31">
        <v>24.9375</v>
      </c>
      <c r="G975" s="31">
        <f>IF(ISNUMBER(F975),E975*F975,"")</f>
        <v>11.912643750000001</v>
      </c>
      <c r="H975" s="32"/>
      <c r="I975" s="28"/>
      <c r="J975" s="125">
        <v>0</v>
      </c>
    </row>
    <row r="976" spans="1:10" ht="15.75" hidden="1" thickBot="1" x14ac:dyDescent="0.3">
      <c r="A976" s="236"/>
      <c r="B976" s="239"/>
      <c r="C976" s="155"/>
      <c r="D976" s="33"/>
      <c r="E976" s="34"/>
      <c r="F976" s="28" t="s">
        <v>418</v>
      </c>
      <c r="G976" s="28" t="str">
        <f>IF(ISNUMBER(F976),E976*F976,"")</f>
        <v/>
      </c>
      <c r="H976" s="32"/>
      <c r="I976" s="28"/>
      <c r="J976" s="125">
        <v>0</v>
      </c>
    </row>
    <row r="977" spans="1:10" ht="15.75" hidden="1" thickBot="1" x14ac:dyDescent="0.3">
      <c r="A977" s="234" t="s">
        <v>239</v>
      </c>
      <c r="B977" s="237" t="s">
        <v>15217</v>
      </c>
      <c r="C977" s="160"/>
      <c r="D977" s="23" t="s">
        <v>16</v>
      </c>
      <c r="E977" s="24"/>
      <c r="F977" s="37" t="s">
        <v>418</v>
      </c>
      <c r="G977" s="25" t="str">
        <f>IF(ISNUMBER(F977),E977*F977,"")</f>
        <v/>
      </c>
      <c r="H977" s="26"/>
      <c r="I977" s="27"/>
      <c r="J977" s="125">
        <v>0</v>
      </c>
    </row>
    <row r="978" spans="1:10" ht="15.75" hidden="1" thickBot="1" x14ac:dyDescent="0.3">
      <c r="A978" s="235"/>
      <c r="B978" s="238"/>
      <c r="C978" s="151"/>
      <c r="D978" s="29"/>
      <c r="E978" s="30"/>
      <c r="F978" s="38" t="s">
        <v>418</v>
      </c>
      <c r="G978" s="28" t="str">
        <f>IF(ISNUMBER(F978),E978*F978,"")</f>
        <v/>
      </c>
      <c r="H978" s="32"/>
      <c r="I978" s="28"/>
      <c r="J978" s="125">
        <v>0</v>
      </c>
    </row>
    <row r="979" spans="1:10" ht="15.75" hidden="1" thickBot="1" x14ac:dyDescent="0.3">
      <c r="A979" s="235"/>
      <c r="B979" s="238"/>
      <c r="C979" s="155" t="s">
        <v>23487</v>
      </c>
      <c r="D979" s="155" t="s">
        <v>205</v>
      </c>
      <c r="E979" s="34">
        <v>6.6799999999999998E-2</v>
      </c>
      <c r="F979" s="28">
        <v>73.311499999999995</v>
      </c>
      <c r="G979" s="28">
        <f>IF(ISNUMBER(F979),E979*F979,"")</f>
        <v>4.8972081999999997</v>
      </c>
      <c r="H979" s="35">
        <f>SUM(G979:G984)</f>
        <v>125.8724521</v>
      </c>
      <c r="I979" s="36"/>
      <c r="J979" s="125">
        <v>0</v>
      </c>
    </row>
    <row r="980" spans="1:10" ht="26.25" hidden="1" thickBot="1" x14ac:dyDescent="0.3">
      <c r="A980" s="235"/>
      <c r="B980" s="238"/>
      <c r="C980" s="155" t="s">
        <v>24308</v>
      </c>
      <c r="D980" s="155" t="s">
        <v>205</v>
      </c>
      <c r="E980" s="34">
        <v>1</v>
      </c>
      <c r="F980" s="28">
        <v>91.484999999999999</v>
      </c>
      <c r="G980" s="28">
        <f>IF(ISNUMBER(F980),E980*F980,"")</f>
        <v>91.484999999999999</v>
      </c>
      <c r="H980" s="32"/>
      <c r="I980" s="28"/>
      <c r="J980" s="125">
        <v>0</v>
      </c>
    </row>
    <row r="981" spans="1:10" ht="26.25" hidden="1" thickBot="1" x14ac:dyDescent="0.3">
      <c r="A981" s="235"/>
      <c r="B981" s="238"/>
      <c r="C981" s="155" t="s">
        <v>27400</v>
      </c>
      <c r="D981" s="155" t="s">
        <v>205</v>
      </c>
      <c r="E981" s="34">
        <v>0.104</v>
      </c>
      <c r="F981" s="31">
        <v>83.058500000000009</v>
      </c>
      <c r="G981" s="28">
        <f>IF(ISNUMBER(F981),E981*F981,"")</f>
        <v>8.638084000000001</v>
      </c>
      <c r="H981" s="32"/>
      <c r="I981" s="28"/>
      <c r="J981" s="125">
        <v>0</v>
      </c>
    </row>
    <row r="982" spans="1:10" ht="15.75" hidden="1" thickBot="1" x14ac:dyDescent="0.3">
      <c r="A982" s="235"/>
      <c r="B982" s="238"/>
      <c r="C982" s="155" t="s">
        <v>26048</v>
      </c>
      <c r="D982" s="155" t="s">
        <v>205</v>
      </c>
      <c r="E982" s="34">
        <v>1.84E-2</v>
      </c>
      <c r="F982" s="31">
        <v>2.1849999999999996</v>
      </c>
      <c r="G982" s="28">
        <f>IF(ISNUMBER(F982),E982*F982,"")</f>
        <v>4.020399999999999E-2</v>
      </c>
      <c r="H982" s="32"/>
      <c r="I982" s="28"/>
      <c r="J982" s="125">
        <v>0</v>
      </c>
    </row>
    <row r="983" spans="1:10" ht="26.25" hidden="1" thickBot="1" x14ac:dyDescent="0.3">
      <c r="A983" s="235"/>
      <c r="B983" s="238"/>
      <c r="C983" s="155" t="s">
        <v>824</v>
      </c>
      <c r="D983" s="155" t="s">
        <v>587</v>
      </c>
      <c r="E983" s="34">
        <v>0.47770000000000001</v>
      </c>
      <c r="F983" s="31">
        <v>18.6295</v>
      </c>
      <c r="G983" s="28">
        <f>IF(ISNUMBER(F983),E983*F983,"")</f>
        <v>8.8993121500000001</v>
      </c>
      <c r="H983" s="32"/>
      <c r="I983" s="28"/>
      <c r="J983" s="125">
        <v>0</v>
      </c>
    </row>
    <row r="984" spans="1:10" ht="26.25" hidden="1" thickBot="1" x14ac:dyDescent="0.3">
      <c r="A984" s="235"/>
      <c r="B984" s="238"/>
      <c r="C984" s="155" t="s">
        <v>825</v>
      </c>
      <c r="D984" s="155" t="s">
        <v>587</v>
      </c>
      <c r="E984" s="34">
        <v>0.47770000000000001</v>
      </c>
      <c r="F984" s="31">
        <v>24.9375</v>
      </c>
      <c r="G984" s="28">
        <f>IF(ISNUMBER(F984),E984*F984,"")</f>
        <v>11.912643750000001</v>
      </c>
      <c r="H984" s="32"/>
      <c r="I984" s="28"/>
      <c r="J984" s="125">
        <v>0</v>
      </c>
    </row>
    <row r="985" spans="1:10" ht="15.75" hidden="1" thickBot="1" x14ac:dyDescent="0.3">
      <c r="A985" s="236"/>
      <c r="B985" s="239"/>
      <c r="C985" s="155"/>
      <c r="D985" s="33"/>
      <c r="E985" s="34"/>
      <c r="F985" s="28" t="s">
        <v>418</v>
      </c>
      <c r="G985" s="28" t="str">
        <f>IF(ISNUMBER(F985),E985*F985,"")</f>
        <v/>
      </c>
      <c r="H985" s="32"/>
      <c r="I985" s="28"/>
      <c r="J985" s="125">
        <v>0</v>
      </c>
    </row>
    <row r="986" spans="1:10" ht="15.75" hidden="1" thickBot="1" x14ac:dyDescent="0.3">
      <c r="A986" s="234" t="s">
        <v>240</v>
      </c>
      <c r="B986" s="237" t="s">
        <v>19693</v>
      </c>
      <c r="C986" s="160"/>
      <c r="D986" s="23" t="s">
        <v>16</v>
      </c>
      <c r="E986" s="24"/>
      <c r="F986" s="37" t="s">
        <v>418</v>
      </c>
      <c r="G986" s="25" t="str">
        <f>IF(ISNUMBER(F986),E986*F986,"")</f>
        <v/>
      </c>
      <c r="H986" s="26"/>
      <c r="I986" s="27"/>
      <c r="J986" s="125">
        <v>0</v>
      </c>
    </row>
    <row r="987" spans="1:10" ht="15.75" hidden="1" thickBot="1" x14ac:dyDescent="0.3">
      <c r="A987" s="235"/>
      <c r="B987" s="238"/>
      <c r="C987" s="151"/>
      <c r="D987" s="29"/>
      <c r="E987" s="30"/>
      <c r="F987" s="38" t="s">
        <v>418</v>
      </c>
      <c r="G987" s="28" t="str">
        <f>IF(ISNUMBER(F987),E987*F987,"")</f>
        <v/>
      </c>
      <c r="H987" s="32"/>
      <c r="I987" s="28"/>
      <c r="J987" s="125">
        <v>0</v>
      </c>
    </row>
    <row r="988" spans="1:10" ht="26.25" hidden="1" thickBot="1" x14ac:dyDescent="0.3">
      <c r="A988" s="235"/>
      <c r="B988" s="238"/>
      <c r="C988" s="155" t="s">
        <v>241</v>
      </c>
      <c r="D988" s="42" t="s">
        <v>97</v>
      </c>
      <c r="E988" s="34">
        <v>1</v>
      </c>
      <c r="F988" s="31" t="s">
        <v>418</v>
      </c>
      <c r="G988" s="31" t="str">
        <f>IF(ISNUMBER(F988),E988*F988,"")</f>
        <v/>
      </c>
      <c r="H988" s="35">
        <f>SUM(G988:G989)</f>
        <v>2.8784999999999994</v>
      </c>
      <c r="I988" s="36"/>
      <c r="J988" s="125">
        <v>0</v>
      </c>
    </row>
    <row r="989" spans="1:10" ht="15.75" hidden="1" thickBot="1" x14ac:dyDescent="0.3">
      <c r="A989" s="235"/>
      <c r="B989" s="238"/>
      <c r="C989" s="155" t="s">
        <v>588</v>
      </c>
      <c r="D989" s="155" t="s">
        <v>587</v>
      </c>
      <c r="E989" s="34">
        <v>0.15</v>
      </c>
      <c r="F989" s="28">
        <v>19.189999999999998</v>
      </c>
      <c r="G989" s="31">
        <f>IF(ISNUMBER(F989),E989*F989,"")</f>
        <v>2.8784999999999994</v>
      </c>
      <c r="H989" s="32"/>
      <c r="I989" s="28"/>
      <c r="J989" s="125">
        <v>0</v>
      </c>
    </row>
    <row r="990" spans="1:10" ht="15.75" hidden="1" thickBot="1" x14ac:dyDescent="0.3">
      <c r="A990" s="236"/>
      <c r="B990" s="239"/>
      <c r="C990" s="155"/>
      <c r="D990" s="33"/>
      <c r="E990" s="34"/>
      <c r="F990" s="28" t="s">
        <v>418</v>
      </c>
      <c r="G990" s="28" t="str">
        <f>IF(ISNUMBER(F990),E990*F990,"")</f>
        <v/>
      </c>
      <c r="H990" s="32"/>
      <c r="I990" s="28"/>
      <c r="J990" s="125">
        <v>0</v>
      </c>
    </row>
    <row r="991" spans="1:10" ht="15.75" hidden="1" thickBot="1" x14ac:dyDescent="0.3">
      <c r="A991" s="234" t="s">
        <v>242</v>
      </c>
      <c r="B991" s="237" t="s">
        <v>19694</v>
      </c>
      <c r="C991" s="160"/>
      <c r="D991" s="23" t="s">
        <v>16</v>
      </c>
      <c r="E991" s="24"/>
      <c r="F991" s="37" t="s">
        <v>418</v>
      </c>
      <c r="G991" s="25" t="str">
        <f>IF(ISNUMBER(F991),E991*F991,"")</f>
        <v/>
      </c>
      <c r="H991" s="26"/>
      <c r="I991" s="27"/>
      <c r="J991" s="125">
        <v>0</v>
      </c>
    </row>
    <row r="992" spans="1:10" ht="15.75" hidden="1" thickBot="1" x14ac:dyDescent="0.3">
      <c r="A992" s="235"/>
      <c r="B992" s="238"/>
      <c r="C992" s="151"/>
      <c r="D992" s="29"/>
      <c r="E992" s="30"/>
      <c r="F992" s="38" t="s">
        <v>418</v>
      </c>
      <c r="G992" s="28" t="str">
        <f>IF(ISNUMBER(F992),E992*F992,"")</f>
        <v/>
      </c>
      <c r="H992" s="32"/>
      <c r="I992" s="28"/>
      <c r="J992" s="125">
        <v>0</v>
      </c>
    </row>
    <row r="993" spans="1:10" ht="26.25" hidden="1" thickBot="1" x14ac:dyDescent="0.3">
      <c r="A993" s="235"/>
      <c r="B993" s="238"/>
      <c r="C993" s="155" t="s">
        <v>243</v>
      </c>
      <c r="D993" s="42" t="s">
        <v>97</v>
      </c>
      <c r="E993" s="34">
        <v>1</v>
      </c>
      <c r="F993" s="31" t="s">
        <v>418</v>
      </c>
      <c r="G993" s="31" t="str">
        <f>IF(ISNUMBER(F993),E993*F993,"")</f>
        <v/>
      </c>
      <c r="H993" s="35">
        <f>SUM(G993:G994)</f>
        <v>2.8784999999999994</v>
      </c>
      <c r="I993" s="36"/>
      <c r="J993" s="125">
        <v>0</v>
      </c>
    </row>
    <row r="994" spans="1:10" ht="15.75" hidden="1" thickBot="1" x14ac:dyDescent="0.3">
      <c r="A994" s="235"/>
      <c r="B994" s="238"/>
      <c r="C994" s="155" t="s">
        <v>588</v>
      </c>
      <c r="D994" s="155" t="s">
        <v>587</v>
      </c>
      <c r="E994" s="34">
        <v>0.15</v>
      </c>
      <c r="F994" s="28">
        <v>19.189999999999998</v>
      </c>
      <c r="G994" s="31">
        <f>IF(ISNUMBER(F994),E994*F994,"")</f>
        <v>2.8784999999999994</v>
      </c>
      <c r="H994" s="32"/>
      <c r="I994" s="28"/>
      <c r="J994" s="125">
        <v>0</v>
      </c>
    </row>
    <row r="995" spans="1:10" ht="15.75" hidden="1" thickBot="1" x14ac:dyDescent="0.3">
      <c r="A995" s="236"/>
      <c r="B995" s="239"/>
      <c r="C995" s="155"/>
      <c r="D995" s="33"/>
      <c r="E995" s="34"/>
      <c r="F995" s="28" t="s">
        <v>418</v>
      </c>
      <c r="G995" s="28" t="str">
        <f>IF(ISNUMBER(F995),E995*F995,"")</f>
        <v/>
      </c>
      <c r="H995" s="32"/>
      <c r="I995" s="28"/>
      <c r="J995" s="125">
        <v>0</v>
      </c>
    </row>
    <row r="996" spans="1:10" ht="15.75" hidden="1" thickBot="1" x14ac:dyDescent="0.3">
      <c r="A996" s="234" t="s">
        <v>244</v>
      </c>
      <c r="B996" s="237" t="s">
        <v>19695</v>
      </c>
      <c r="C996" s="160"/>
      <c r="D996" s="23" t="s">
        <v>16</v>
      </c>
      <c r="E996" s="24"/>
      <c r="F996" s="37" t="s">
        <v>418</v>
      </c>
      <c r="G996" s="25" t="str">
        <f>IF(ISNUMBER(F996),E996*F996,"")</f>
        <v/>
      </c>
      <c r="H996" s="26"/>
      <c r="I996" s="27"/>
      <c r="J996" s="125">
        <v>0</v>
      </c>
    </row>
    <row r="997" spans="1:10" ht="15.75" hidden="1" thickBot="1" x14ac:dyDescent="0.3">
      <c r="A997" s="235"/>
      <c r="B997" s="238"/>
      <c r="C997" s="151"/>
      <c r="D997" s="29"/>
      <c r="E997" s="30"/>
      <c r="F997" s="38" t="s">
        <v>418</v>
      </c>
      <c r="G997" s="28" t="str">
        <f>IF(ISNUMBER(F997),E997*F997,"")</f>
        <v/>
      </c>
      <c r="H997" s="32"/>
      <c r="I997" s="28"/>
      <c r="J997" s="125">
        <v>0</v>
      </c>
    </row>
    <row r="998" spans="1:10" ht="15.75" hidden="1" thickBot="1" x14ac:dyDescent="0.3">
      <c r="A998" s="235"/>
      <c r="B998" s="238"/>
      <c r="C998" s="155" t="s">
        <v>23487</v>
      </c>
      <c r="D998" s="155" t="s">
        <v>205</v>
      </c>
      <c r="E998" s="34">
        <v>4.8999999999999998E-3</v>
      </c>
      <c r="F998" s="28">
        <v>73.311499999999995</v>
      </c>
      <c r="G998" s="31">
        <f>IF(ISNUMBER(F998),E998*F998,"")</f>
        <v>0.35922634999999997</v>
      </c>
      <c r="H998" s="35">
        <f>SUM(G998:G1003)</f>
        <v>16.8270935</v>
      </c>
      <c r="I998" s="36"/>
      <c r="J998" s="125">
        <v>0</v>
      </c>
    </row>
    <row r="999" spans="1:10" ht="26.25" hidden="1" thickBot="1" x14ac:dyDescent="0.3">
      <c r="A999" s="235"/>
      <c r="B999" s="238"/>
      <c r="C999" s="155" t="s">
        <v>38825</v>
      </c>
      <c r="D999" s="155" t="s">
        <v>205</v>
      </c>
      <c r="E999" s="34">
        <v>1</v>
      </c>
      <c r="F999" s="28">
        <v>8.5689999999999991</v>
      </c>
      <c r="G999" s="31">
        <f>IF(ISNUMBER(F999),E999*F999,"")</f>
        <v>8.5689999999999991</v>
      </c>
      <c r="H999" s="32"/>
      <c r="I999" s="28"/>
      <c r="J999" s="125">
        <v>0</v>
      </c>
    </row>
    <row r="1000" spans="1:10" ht="26.25" hidden="1" thickBot="1" x14ac:dyDescent="0.3">
      <c r="A1000" s="235"/>
      <c r="B1000" s="238"/>
      <c r="C1000" s="155" t="s">
        <v>27400</v>
      </c>
      <c r="D1000" s="155" t="s">
        <v>205</v>
      </c>
      <c r="E1000" s="34">
        <v>7.4999999999999997E-3</v>
      </c>
      <c r="F1000" s="31">
        <v>83.058500000000009</v>
      </c>
      <c r="G1000" s="31">
        <f>IF(ISNUMBER(F1000),E1000*F1000,"")</f>
        <v>0.6229387500000001</v>
      </c>
      <c r="H1000" s="32"/>
      <c r="I1000" s="28"/>
      <c r="J1000" s="125">
        <v>0</v>
      </c>
    </row>
    <row r="1001" spans="1:10" ht="15.75" hidden="1" thickBot="1" x14ac:dyDescent="0.3">
      <c r="A1001" s="235"/>
      <c r="B1001" s="238"/>
      <c r="C1001" s="155" t="s">
        <v>26048</v>
      </c>
      <c r="D1001" s="155" t="s">
        <v>205</v>
      </c>
      <c r="E1001" s="34">
        <v>3.5999999999999997E-2</v>
      </c>
      <c r="F1001" s="31">
        <v>2.1849999999999996</v>
      </c>
      <c r="G1001" s="31">
        <f>IF(ISNUMBER(F1001),E1001*F1001,"")</f>
        <v>7.865999999999998E-2</v>
      </c>
      <c r="H1001" s="32"/>
      <c r="I1001" s="28"/>
      <c r="J1001" s="125">
        <v>0</v>
      </c>
    </row>
    <row r="1002" spans="1:10" ht="26.25" hidden="1" thickBot="1" x14ac:dyDescent="0.3">
      <c r="A1002" s="235"/>
      <c r="B1002" s="238"/>
      <c r="C1002" s="155" t="s">
        <v>824</v>
      </c>
      <c r="D1002" s="155" t="s">
        <v>587</v>
      </c>
      <c r="E1002" s="34">
        <v>0.16520000000000001</v>
      </c>
      <c r="F1002" s="31">
        <v>18.6295</v>
      </c>
      <c r="G1002" s="31">
        <f>IF(ISNUMBER(F1002),E1002*F1002,"")</f>
        <v>3.0775934000000005</v>
      </c>
      <c r="H1002" s="32"/>
      <c r="I1002" s="28"/>
      <c r="J1002" s="125">
        <v>0</v>
      </c>
    </row>
    <row r="1003" spans="1:10" ht="26.25" hidden="1" thickBot="1" x14ac:dyDescent="0.3">
      <c r="A1003" s="235"/>
      <c r="B1003" s="238"/>
      <c r="C1003" s="155" t="s">
        <v>825</v>
      </c>
      <c r="D1003" s="155" t="s">
        <v>587</v>
      </c>
      <c r="E1003" s="34">
        <v>0.16520000000000001</v>
      </c>
      <c r="F1003" s="31">
        <v>24.9375</v>
      </c>
      <c r="G1003" s="31">
        <f>IF(ISNUMBER(F1003),E1003*F1003,"")</f>
        <v>4.119675</v>
      </c>
      <c r="H1003" s="32"/>
      <c r="I1003" s="28"/>
      <c r="J1003" s="125">
        <v>0</v>
      </c>
    </row>
    <row r="1004" spans="1:10" ht="15.75" hidden="1" thickBot="1" x14ac:dyDescent="0.3">
      <c r="A1004" s="236"/>
      <c r="B1004" s="239"/>
      <c r="C1004" s="155"/>
      <c r="D1004" s="33"/>
      <c r="E1004" s="34"/>
      <c r="F1004" s="28" t="s">
        <v>418</v>
      </c>
      <c r="G1004" s="28" t="str">
        <f>IF(ISNUMBER(F1004),E1004*F1004,"")</f>
        <v/>
      </c>
      <c r="H1004" s="32"/>
      <c r="I1004" s="28"/>
      <c r="J1004" s="125">
        <v>0</v>
      </c>
    </row>
    <row r="1005" spans="1:10" ht="15.75" hidden="1" thickBot="1" x14ac:dyDescent="0.3">
      <c r="A1005" s="234" t="s">
        <v>245</v>
      </c>
      <c r="B1005" s="237" t="s">
        <v>13440</v>
      </c>
      <c r="C1005" s="160"/>
      <c r="D1005" s="23" t="s">
        <v>16</v>
      </c>
      <c r="E1005" s="24"/>
      <c r="F1005" s="37" t="s">
        <v>418</v>
      </c>
      <c r="G1005" s="25" t="str">
        <f>IF(ISNUMBER(F1005),E1005*F1005,"")</f>
        <v/>
      </c>
      <c r="H1005" s="26"/>
      <c r="I1005" s="27"/>
      <c r="J1005" s="125">
        <v>0</v>
      </c>
    </row>
    <row r="1006" spans="1:10" ht="15.75" hidden="1" thickBot="1" x14ac:dyDescent="0.3">
      <c r="A1006" s="235"/>
      <c r="B1006" s="238"/>
      <c r="C1006" s="151"/>
      <c r="D1006" s="29"/>
      <c r="E1006" s="30"/>
      <c r="F1006" s="38" t="s">
        <v>418</v>
      </c>
      <c r="G1006" s="28" t="str">
        <f>IF(ISNUMBER(F1006),E1006*F1006,"")</f>
        <v/>
      </c>
      <c r="H1006" s="32"/>
      <c r="I1006" s="28"/>
      <c r="J1006" s="125">
        <v>0</v>
      </c>
    </row>
    <row r="1007" spans="1:10" ht="26.25" hidden="1" thickBot="1" x14ac:dyDescent="0.3">
      <c r="A1007" s="235"/>
      <c r="B1007" s="238"/>
      <c r="C1007" s="155" t="s">
        <v>246</v>
      </c>
      <c r="D1007" s="42" t="s">
        <v>97</v>
      </c>
      <c r="E1007" s="34">
        <v>1</v>
      </c>
      <c r="F1007" s="31" t="s">
        <v>418</v>
      </c>
      <c r="G1007" s="31" t="str">
        <f>IF(ISNUMBER(F1007),E1007*F1007,"")</f>
        <v/>
      </c>
      <c r="H1007" s="35">
        <f>SUM(G1007:G1008)</f>
        <v>1.9189999999999998</v>
      </c>
      <c r="I1007" s="36"/>
      <c r="J1007" s="125">
        <v>0</v>
      </c>
    </row>
    <row r="1008" spans="1:10" ht="15.75" hidden="1" thickBot="1" x14ac:dyDescent="0.3">
      <c r="A1008" s="235"/>
      <c r="B1008" s="238"/>
      <c r="C1008" s="155" t="s">
        <v>588</v>
      </c>
      <c r="D1008" s="155" t="s">
        <v>587</v>
      </c>
      <c r="E1008" s="34">
        <v>0.1</v>
      </c>
      <c r="F1008" s="28">
        <v>19.189999999999998</v>
      </c>
      <c r="G1008" s="31">
        <f>IF(ISNUMBER(F1008),E1008*F1008,"")</f>
        <v>1.9189999999999998</v>
      </c>
      <c r="H1008" s="32"/>
      <c r="I1008" s="28"/>
      <c r="J1008" s="125">
        <v>0</v>
      </c>
    </row>
    <row r="1009" spans="1:10" ht="15.75" hidden="1" thickBot="1" x14ac:dyDescent="0.3">
      <c r="A1009" s="236"/>
      <c r="B1009" s="239"/>
      <c r="C1009" s="155"/>
      <c r="D1009" s="33"/>
      <c r="E1009" s="34"/>
      <c r="F1009" s="28" t="s">
        <v>418</v>
      </c>
      <c r="G1009" s="28" t="str">
        <f>IF(ISNUMBER(F1009),E1009*F1009,"")</f>
        <v/>
      </c>
      <c r="H1009" s="32"/>
      <c r="I1009" s="28"/>
      <c r="J1009" s="125">
        <v>0</v>
      </c>
    </row>
    <row r="1010" spans="1:10" ht="15.75" hidden="1" thickBot="1" x14ac:dyDescent="0.3">
      <c r="A1010" s="234" t="s">
        <v>247</v>
      </c>
      <c r="B1010" s="237" t="s">
        <v>1417</v>
      </c>
      <c r="C1010" s="160"/>
      <c r="D1010" s="23" t="s">
        <v>16</v>
      </c>
      <c r="E1010" s="24"/>
      <c r="F1010" s="37" t="s">
        <v>418</v>
      </c>
      <c r="G1010" s="25" t="str">
        <f>IF(ISNUMBER(F1010),E1010*F1010,"")</f>
        <v/>
      </c>
      <c r="H1010" s="26"/>
      <c r="I1010" s="27"/>
      <c r="J1010" s="125">
        <v>0</v>
      </c>
    </row>
    <row r="1011" spans="1:10" ht="15.75" hidden="1" thickBot="1" x14ac:dyDescent="0.3">
      <c r="A1011" s="235"/>
      <c r="B1011" s="238"/>
      <c r="C1011" s="151"/>
      <c r="D1011" s="29"/>
      <c r="E1011" s="30"/>
      <c r="F1011" s="38" t="s">
        <v>418</v>
      </c>
      <c r="G1011" s="28" t="str">
        <f>IF(ISNUMBER(F1011),E1011*F1011,"")</f>
        <v/>
      </c>
      <c r="H1011" s="32"/>
      <c r="I1011" s="28"/>
      <c r="J1011" s="125">
        <v>0</v>
      </c>
    </row>
    <row r="1012" spans="1:10" ht="26.25" hidden="1" thickBot="1" x14ac:dyDescent="0.3">
      <c r="A1012" s="235"/>
      <c r="B1012" s="238"/>
      <c r="C1012" s="155" t="s">
        <v>23762</v>
      </c>
      <c r="D1012" s="155" t="s">
        <v>205</v>
      </c>
      <c r="E1012" s="34">
        <v>1</v>
      </c>
      <c r="F1012" s="31">
        <v>189.04999999999998</v>
      </c>
      <c r="G1012" s="31">
        <f>IF(ISNUMBER(F1012),E1012*F1012,"")</f>
        <v>189.04999999999998</v>
      </c>
      <c r="H1012" s="35">
        <f>SUM(G1012:G1018)</f>
        <v>280.17146635</v>
      </c>
      <c r="I1012" s="36"/>
      <c r="J1012" s="125">
        <v>0</v>
      </c>
    </row>
    <row r="1013" spans="1:10" ht="26.25" hidden="1" thickBot="1" x14ac:dyDescent="0.3">
      <c r="A1013" s="235"/>
      <c r="B1013" s="238"/>
      <c r="C1013" s="155" t="s">
        <v>226</v>
      </c>
      <c r="D1013" s="33" t="s">
        <v>16</v>
      </c>
      <c r="E1013" s="34">
        <v>1</v>
      </c>
      <c r="F1013" s="31" t="s">
        <v>418</v>
      </c>
      <c r="G1013" s="31" t="str">
        <f>IF(ISNUMBER(F1013),E1013*F1013,"")</f>
        <v/>
      </c>
      <c r="H1013" s="32"/>
      <c r="I1013" s="28"/>
      <c r="J1013" s="125">
        <v>0</v>
      </c>
    </row>
    <row r="1014" spans="1:10" ht="39" hidden="1" thickBot="1" x14ac:dyDescent="0.3">
      <c r="A1014" s="235"/>
      <c r="B1014" s="238"/>
      <c r="C1014" s="155" t="s">
        <v>26738</v>
      </c>
      <c r="D1014" s="155" t="s">
        <v>205</v>
      </c>
      <c r="E1014" s="34">
        <v>2</v>
      </c>
      <c r="F1014" s="31">
        <v>24.671499999999998</v>
      </c>
      <c r="G1014" s="31">
        <f>IF(ISNUMBER(F1014),E1014*F1014,"")</f>
        <v>49.342999999999996</v>
      </c>
      <c r="H1014" s="32"/>
      <c r="I1014" s="28"/>
      <c r="J1014" s="125">
        <v>0</v>
      </c>
    </row>
    <row r="1015" spans="1:10" ht="26.25" hidden="1" thickBot="1" x14ac:dyDescent="0.3">
      <c r="A1015" s="235"/>
      <c r="B1015" s="238"/>
      <c r="C1015" s="155" t="s">
        <v>23586</v>
      </c>
      <c r="D1015" s="155" t="s">
        <v>205</v>
      </c>
      <c r="E1015" s="34">
        <v>1</v>
      </c>
      <c r="F1015" s="31">
        <v>10.468999999999999</v>
      </c>
      <c r="G1015" s="49">
        <f>IF(ISNUMBER(F1015),E1015*F1015,"")</f>
        <v>10.468999999999999</v>
      </c>
      <c r="H1015" s="32"/>
      <c r="I1015" s="28"/>
      <c r="J1015" s="125">
        <v>0</v>
      </c>
    </row>
    <row r="1016" spans="1:10" ht="15.75" hidden="1" thickBot="1" x14ac:dyDescent="0.3">
      <c r="A1016" s="235"/>
      <c r="B1016" s="238"/>
      <c r="C1016" s="155" t="s">
        <v>10395</v>
      </c>
      <c r="D1016" s="155" t="s">
        <v>774</v>
      </c>
      <c r="E1016" s="34">
        <v>8.8099999999999998E-2</v>
      </c>
      <c r="F1016" s="31">
        <v>138.6335</v>
      </c>
      <c r="G1016" s="31">
        <f>IF(ISNUMBER(F1016),E1016*F1016,"")</f>
        <v>12.213611349999999</v>
      </c>
      <c r="H1016" s="32"/>
      <c r="I1016" s="28"/>
      <c r="J1016" s="125">
        <v>0</v>
      </c>
    </row>
    <row r="1017" spans="1:10" ht="26.25" hidden="1" thickBot="1" x14ac:dyDescent="0.3">
      <c r="A1017" s="235"/>
      <c r="B1017" s="238"/>
      <c r="C1017" s="155" t="s">
        <v>825</v>
      </c>
      <c r="D1017" s="155" t="s">
        <v>587</v>
      </c>
      <c r="E1017" s="34">
        <v>0.49680000000000002</v>
      </c>
      <c r="F1017" s="28">
        <v>24.9375</v>
      </c>
      <c r="G1017" s="31">
        <f>IF(ISNUMBER(F1017),E1017*F1017,"")</f>
        <v>12.388950000000001</v>
      </c>
      <c r="H1017" s="32"/>
      <c r="I1017" s="28"/>
      <c r="J1017" s="125">
        <v>0</v>
      </c>
    </row>
    <row r="1018" spans="1:10" ht="15.75" hidden="1" thickBot="1" x14ac:dyDescent="0.3">
      <c r="A1018" s="235"/>
      <c r="B1018" s="238"/>
      <c r="C1018" s="155" t="s">
        <v>588</v>
      </c>
      <c r="D1018" s="155" t="s">
        <v>587</v>
      </c>
      <c r="E1018" s="34">
        <v>0.34949999999999998</v>
      </c>
      <c r="F1018" s="28">
        <v>19.189999999999998</v>
      </c>
      <c r="G1018" s="31">
        <f>IF(ISNUMBER(F1018),E1018*F1018,"")</f>
        <v>6.706904999999999</v>
      </c>
      <c r="H1018" s="32"/>
      <c r="I1018" s="28"/>
      <c r="J1018" s="125">
        <v>0</v>
      </c>
    </row>
    <row r="1019" spans="1:10" ht="15.75" hidden="1" thickBot="1" x14ac:dyDescent="0.3">
      <c r="A1019" s="236"/>
      <c r="B1019" s="239"/>
      <c r="C1019" s="155"/>
      <c r="D1019" s="33"/>
      <c r="E1019" s="34"/>
      <c r="F1019" s="28" t="s">
        <v>418</v>
      </c>
      <c r="G1019" s="28" t="str">
        <f>IF(ISNUMBER(F1019),E1019*F1019,"")</f>
        <v/>
      </c>
      <c r="H1019" s="32"/>
      <c r="I1019" s="28"/>
      <c r="J1019" s="125">
        <v>0</v>
      </c>
    </row>
    <row r="1020" spans="1:10" ht="15.75" hidden="1" thickBot="1" x14ac:dyDescent="0.3">
      <c r="A1020" s="234" t="s">
        <v>248</v>
      </c>
      <c r="B1020" s="237" t="s">
        <v>1418</v>
      </c>
      <c r="C1020" s="160"/>
      <c r="D1020" s="23" t="s">
        <v>16</v>
      </c>
      <c r="E1020" s="24"/>
      <c r="F1020" s="37" t="s">
        <v>418</v>
      </c>
      <c r="G1020" s="25" t="str">
        <f>IF(ISNUMBER(F1020),E1020*F1020,"")</f>
        <v/>
      </c>
      <c r="H1020" s="26"/>
      <c r="I1020" s="27"/>
      <c r="J1020" s="125">
        <v>0</v>
      </c>
    </row>
    <row r="1021" spans="1:10" ht="15.75" hidden="1" thickBot="1" x14ac:dyDescent="0.3">
      <c r="A1021" s="235"/>
      <c r="B1021" s="238"/>
      <c r="C1021" s="151"/>
      <c r="D1021" s="29"/>
      <c r="E1021" s="30"/>
      <c r="F1021" s="38" t="s">
        <v>418</v>
      </c>
      <c r="G1021" s="28" t="str">
        <f>IF(ISNUMBER(F1021),E1021*F1021,"")</f>
        <v/>
      </c>
      <c r="H1021" s="32"/>
      <c r="I1021" s="28"/>
      <c r="J1021" s="125">
        <v>0</v>
      </c>
    </row>
    <row r="1022" spans="1:10" ht="26.25" hidden="1" thickBot="1" x14ac:dyDescent="0.3">
      <c r="A1022" s="235"/>
      <c r="B1022" s="238"/>
      <c r="C1022" s="155" t="s">
        <v>249</v>
      </c>
      <c r="D1022" s="42" t="s">
        <v>97</v>
      </c>
      <c r="E1022" s="34">
        <v>1</v>
      </c>
      <c r="F1022" s="31" t="s">
        <v>418</v>
      </c>
      <c r="G1022" s="31" t="str">
        <f>IF(ISNUMBER(F1022),E1022*F1022,"")</f>
        <v/>
      </c>
      <c r="H1022" s="35">
        <f>SUM(G1022:G1027)</f>
        <v>91.121466349999992</v>
      </c>
      <c r="I1022" s="36"/>
      <c r="J1022" s="125">
        <v>0</v>
      </c>
    </row>
    <row r="1023" spans="1:10" ht="39" hidden="1" thickBot="1" x14ac:dyDescent="0.3">
      <c r="A1023" s="235"/>
      <c r="B1023" s="238"/>
      <c r="C1023" s="155" t="s">
        <v>26738</v>
      </c>
      <c r="D1023" s="155" t="s">
        <v>205</v>
      </c>
      <c r="E1023" s="34">
        <v>2</v>
      </c>
      <c r="F1023" s="31">
        <v>24.671499999999998</v>
      </c>
      <c r="G1023" s="31">
        <f>IF(ISNUMBER(F1023),E1023*F1023,"")</f>
        <v>49.342999999999996</v>
      </c>
      <c r="H1023" s="32"/>
      <c r="I1023" s="28"/>
      <c r="J1023" s="125">
        <v>0</v>
      </c>
    </row>
    <row r="1024" spans="1:10" ht="26.25" hidden="1" thickBot="1" x14ac:dyDescent="0.3">
      <c r="A1024" s="235"/>
      <c r="B1024" s="238"/>
      <c r="C1024" s="155" t="s">
        <v>23586</v>
      </c>
      <c r="D1024" s="155" t="s">
        <v>205</v>
      </c>
      <c r="E1024" s="34">
        <v>1</v>
      </c>
      <c r="F1024" s="31">
        <v>10.468999999999999</v>
      </c>
      <c r="G1024" s="49">
        <f>IF(ISNUMBER(F1024),E1024*F1024,"")</f>
        <v>10.468999999999999</v>
      </c>
      <c r="H1024" s="32"/>
      <c r="I1024" s="28"/>
      <c r="J1024" s="125">
        <v>0</v>
      </c>
    </row>
    <row r="1025" spans="1:10" ht="15.75" hidden="1" thickBot="1" x14ac:dyDescent="0.3">
      <c r="A1025" s="235"/>
      <c r="B1025" s="238"/>
      <c r="C1025" s="155" t="s">
        <v>10395</v>
      </c>
      <c r="D1025" s="155" t="s">
        <v>774</v>
      </c>
      <c r="E1025" s="34">
        <v>8.8099999999999998E-2</v>
      </c>
      <c r="F1025" s="31">
        <v>138.6335</v>
      </c>
      <c r="G1025" s="31">
        <f>IF(ISNUMBER(F1025),E1025*F1025,"")</f>
        <v>12.213611349999999</v>
      </c>
      <c r="H1025" s="32"/>
      <c r="I1025" s="28"/>
      <c r="J1025" s="125">
        <v>0</v>
      </c>
    </row>
    <row r="1026" spans="1:10" ht="26.25" hidden="1" thickBot="1" x14ac:dyDescent="0.3">
      <c r="A1026" s="235"/>
      <c r="B1026" s="238"/>
      <c r="C1026" s="155" t="s">
        <v>825</v>
      </c>
      <c r="D1026" s="155" t="s">
        <v>587</v>
      </c>
      <c r="E1026" s="34">
        <v>0.49680000000000002</v>
      </c>
      <c r="F1026" s="28">
        <v>24.9375</v>
      </c>
      <c r="G1026" s="31">
        <f>IF(ISNUMBER(F1026),E1026*F1026,"")</f>
        <v>12.388950000000001</v>
      </c>
      <c r="H1026" s="32"/>
      <c r="I1026" s="28"/>
      <c r="J1026" s="125">
        <v>0</v>
      </c>
    </row>
    <row r="1027" spans="1:10" ht="15.75" hidden="1" thickBot="1" x14ac:dyDescent="0.3">
      <c r="A1027" s="235"/>
      <c r="B1027" s="238"/>
      <c r="C1027" s="155" t="s">
        <v>588</v>
      </c>
      <c r="D1027" s="155" t="s">
        <v>587</v>
      </c>
      <c r="E1027" s="34">
        <v>0.34949999999999998</v>
      </c>
      <c r="F1027" s="28">
        <v>19.189999999999998</v>
      </c>
      <c r="G1027" s="31">
        <f>IF(ISNUMBER(F1027),E1027*F1027,"")</f>
        <v>6.706904999999999</v>
      </c>
      <c r="H1027" s="32"/>
      <c r="I1027" s="28"/>
      <c r="J1027" s="125">
        <v>0</v>
      </c>
    </row>
    <row r="1028" spans="1:10" ht="15.75" hidden="1" thickBot="1" x14ac:dyDescent="0.3">
      <c r="A1028" s="236"/>
      <c r="B1028" s="239"/>
      <c r="C1028" s="155"/>
      <c r="D1028" s="33"/>
      <c r="E1028" s="34"/>
      <c r="F1028" s="28" t="s">
        <v>418</v>
      </c>
      <c r="G1028" s="28" t="str">
        <f>IF(ISNUMBER(F1028),E1028*F1028,"")</f>
        <v/>
      </c>
      <c r="H1028" s="32"/>
      <c r="I1028" s="28"/>
      <c r="J1028" s="125">
        <v>0</v>
      </c>
    </row>
    <row r="1029" spans="1:10" ht="15.75" hidden="1" thickBot="1" x14ac:dyDescent="0.3">
      <c r="A1029" s="234" t="s">
        <v>250</v>
      </c>
      <c r="B1029" s="237" t="s">
        <v>1419</v>
      </c>
      <c r="C1029" s="160"/>
      <c r="D1029" s="23" t="s">
        <v>16</v>
      </c>
      <c r="E1029" s="24"/>
      <c r="F1029" s="37" t="s">
        <v>418</v>
      </c>
      <c r="G1029" s="25" t="str">
        <f>IF(ISNUMBER(F1029),E1029*F1029,"")</f>
        <v/>
      </c>
      <c r="H1029" s="26"/>
      <c r="I1029" s="27"/>
      <c r="J1029" s="125">
        <v>0</v>
      </c>
    </row>
    <row r="1030" spans="1:10" ht="15.75" hidden="1" thickBot="1" x14ac:dyDescent="0.3">
      <c r="A1030" s="235"/>
      <c r="B1030" s="238"/>
      <c r="C1030" s="151"/>
      <c r="D1030" s="29"/>
      <c r="E1030" s="30"/>
      <c r="F1030" s="38" t="s">
        <v>418</v>
      </c>
      <c r="G1030" s="28" t="str">
        <f>IF(ISNUMBER(F1030),E1030*F1030,"")</f>
        <v/>
      </c>
      <c r="H1030" s="32"/>
      <c r="I1030" s="28"/>
      <c r="J1030" s="125">
        <v>0</v>
      </c>
    </row>
    <row r="1031" spans="1:10" ht="15.75" hidden="1" thickBot="1" x14ac:dyDescent="0.3">
      <c r="A1031" s="235"/>
      <c r="B1031" s="238"/>
      <c r="C1031" s="155" t="s">
        <v>251</v>
      </c>
      <c r="D1031" s="42" t="s">
        <v>97</v>
      </c>
      <c r="E1031" s="34">
        <v>1</v>
      </c>
      <c r="F1031" s="31" t="s">
        <v>418</v>
      </c>
      <c r="G1031" s="31" t="str">
        <f>IF(ISNUMBER(F1031),E1031*F1031,"")</f>
        <v/>
      </c>
      <c r="H1031" s="35">
        <f>SUM(G1031:G1034)</f>
        <v>47.487346000000002</v>
      </c>
      <c r="I1031" s="36"/>
      <c r="J1031" s="125">
        <v>0</v>
      </c>
    </row>
    <row r="1032" spans="1:10" ht="15.75" hidden="1" thickBot="1" x14ac:dyDescent="0.3">
      <c r="A1032" s="235"/>
      <c r="B1032" s="238"/>
      <c r="C1032" s="155" t="s">
        <v>10274</v>
      </c>
      <c r="D1032" s="155" t="s">
        <v>774</v>
      </c>
      <c r="E1032" s="34">
        <v>0.52710000000000001</v>
      </c>
      <c r="F1032" s="31">
        <v>39.444000000000003</v>
      </c>
      <c r="G1032" s="31">
        <f>IF(ISNUMBER(F1032),E1032*F1032,"")</f>
        <v>20.790932400000003</v>
      </c>
      <c r="H1032" s="32"/>
      <c r="I1032" s="28"/>
      <c r="J1032" s="125">
        <v>0</v>
      </c>
    </row>
    <row r="1033" spans="1:10" ht="15.75" hidden="1" thickBot="1" x14ac:dyDescent="0.3">
      <c r="A1033" s="235"/>
      <c r="B1033" s="238"/>
      <c r="C1033" s="155" t="s">
        <v>588</v>
      </c>
      <c r="D1033" s="155" t="s">
        <v>587</v>
      </c>
      <c r="E1033" s="34">
        <v>0.26650000000000001</v>
      </c>
      <c r="F1033" s="28">
        <v>19.189999999999998</v>
      </c>
      <c r="G1033" s="31">
        <f>IF(ISNUMBER(F1033),E1033*F1033,"")</f>
        <v>5.1141350000000001</v>
      </c>
      <c r="H1033" s="32"/>
      <c r="I1033" s="28"/>
      <c r="J1033" s="125">
        <v>0</v>
      </c>
    </row>
    <row r="1034" spans="1:10" ht="15.75" hidden="1" thickBot="1" x14ac:dyDescent="0.3">
      <c r="A1034" s="235"/>
      <c r="B1034" s="238"/>
      <c r="C1034" s="155" t="s">
        <v>9784</v>
      </c>
      <c r="D1034" s="155" t="s">
        <v>587</v>
      </c>
      <c r="E1034" s="34">
        <v>0.8458</v>
      </c>
      <c r="F1034" s="28">
        <v>25.516999999999999</v>
      </c>
      <c r="G1034" s="31">
        <f>IF(ISNUMBER(F1034),E1034*F1034,"")</f>
        <v>21.582278599999999</v>
      </c>
      <c r="H1034" s="32"/>
      <c r="I1034" s="28"/>
      <c r="J1034" s="125">
        <v>0</v>
      </c>
    </row>
    <row r="1035" spans="1:10" ht="15.75" hidden="1" thickBot="1" x14ac:dyDescent="0.3">
      <c r="A1035" s="236"/>
      <c r="B1035" s="239"/>
      <c r="C1035" s="155"/>
      <c r="D1035" s="33"/>
      <c r="E1035" s="34"/>
      <c r="F1035" s="28" t="s">
        <v>418</v>
      </c>
      <c r="G1035" s="28" t="str">
        <f>IF(ISNUMBER(F1035),E1035*F1035,"")</f>
        <v/>
      </c>
      <c r="H1035" s="32"/>
      <c r="I1035" s="28"/>
      <c r="J1035" s="125">
        <v>0</v>
      </c>
    </row>
    <row r="1036" spans="1:10" ht="15.75" hidden="1" thickBot="1" x14ac:dyDescent="0.3">
      <c r="A1036" s="234" t="s">
        <v>252</v>
      </c>
      <c r="B1036" s="237" t="s">
        <v>13441</v>
      </c>
      <c r="C1036" s="160"/>
      <c r="D1036" s="23" t="s">
        <v>16</v>
      </c>
      <c r="E1036" s="24"/>
      <c r="F1036" s="37" t="s">
        <v>418</v>
      </c>
      <c r="G1036" s="25" t="str">
        <f>IF(ISNUMBER(F1036),E1036*F1036,"")</f>
        <v/>
      </c>
      <c r="H1036" s="26"/>
      <c r="I1036" s="27"/>
      <c r="J1036" s="125">
        <v>0</v>
      </c>
    </row>
    <row r="1037" spans="1:10" ht="15.75" hidden="1" thickBot="1" x14ac:dyDescent="0.3">
      <c r="A1037" s="235"/>
      <c r="B1037" s="238"/>
      <c r="C1037" s="151"/>
      <c r="D1037" s="29"/>
      <c r="E1037" s="30"/>
      <c r="F1037" s="38" t="s">
        <v>418</v>
      </c>
      <c r="G1037" s="28" t="str">
        <f>IF(ISNUMBER(F1037),E1037*F1037,"")</f>
        <v/>
      </c>
      <c r="H1037" s="32"/>
      <c r="I1037" s="28"/>
      <c r="J1037" s="125">
        <v>0</v>
      </c>
    </row>
    <row r="1038" spans="1:10" ht="39" hidden="1" thickBot="1" x14ac:dyDescent="0.3">
      <c r="A1038" s="235"/>
      <c r="B1038" s="238"/>
      <c r="C1038" s="155" t="s">
        <v>253</v>
      </c>
      <c r="D1038" s="42" t="s">
        <v>97</v>
      </c>
      <c r="E1038" s="34">
        <v>1</v>
      </c>
      <c r="F1038" s="31" t="s">
        <v>418</v>
      </c>
      <c r="G1038" s="31" t="str">
        <f>IF(ISNUMBER(F1038),E1038*F1038,"")</f>
        <v/>
      </c>
      <c r="H1038" s="35">
        <f>SUM(G1038:G1041)</f>
        <v>26.798637399999997</v>
      </c>
      <c r="I1038" s="36"/>
      <c r="J1038" s="125">
        <v>0</v>
      </c>
    </row>
    <row r="1039" spans="1:10" ht="15.75" hidden="1" thickBot="1" x14ac:dyDescent="0.3">
      <c r="A1039" s="235"/>
      <c r="B1039" s="238"/>
      <c r="C1039" s="155" t="s">
        <v>10274</v>
      </c>
      <c r="D1039" s="155" t="s">
        <v>774</v>
      </c>
      <c r="E1039" s="34">
        <v>0.2974</v>
      </c>
      <c r="F1039" s="31">
        <v>39.444000000000003</v>
      </c>
      <c r="G1039" s="31">
        <f>IF(ISNUMBER(F1039),E1039*F1039,"")</f>
        <v>11.730645600000001</v>
      </c>
      <c r="H1039" s="32"/>
      <c r="I1039" s="28"/>
      <c r="J1039" s="125">
        <v>0</v>
      </c>
    </row>
    <row r="1040" spans="1:10" ht="15.75" hidden="1" thickBot="1" x14ac:dyDescent="0.3">
      <c r="A1040" s="235"/>
      <c r="B1040" s="238"/>
      <c r="C1040" s="155" t="s">
        <v>9784</v>
      </c>
      <c r="D1040" s="155" t="s">
        <v>587</v>
      </c>
      <c r="E1040" s="34">
        <v>0.47739999999999999</v>
      </c>
      <c r="F1040" s="28">
        <v>25.516999999999999</v>
      </c>
      <c r="G1040" s="31">
        <f>IF(ISNUMBER(F1040),E1040*F1040,"")</f>
        <v>12.181815799999999</v>
      </c>
      <c r="H1040" s="32"/>
      <c r="I1040" s="28"/>
      <c r="J1040" s="125">
        <v>0</v>
      </c>
    </row>
    <row r="1041" spans="1:10" ht="15.75" hidden="1" thickBot="1" x14ac:dyDescent="0.3">
      <c r="A1041" s="235"/>
      <c r="B1041" s="238"/>
      <c r="C1041" s="155" t="s">
        <v>588</v>
      </c>
      <c r="D1041" s="155" t="s">
        <v>587</v>
      </c>
      <c r="E1041" s="34">
        <v>0.15040000000000001</v>
      </c>
      <c r="F1041" s="28">
        <v>19.189999999999998</v>
      </c>
      <c r="G1041" s="31">
        <f>IF(ISNUMBER(F1041),E1041*F1041,"")</f>
        <v>2.8861759999999999</v>
      </c>
      <c r="H1041" s="32"/>
      <c r="I1041" s="28"/>
      <c r="J1041" s="125">
        <v>0</v>
      </c>
    </row>
    <row r="1042" spans="1:10" ht="15.75" hidden="1" thickBot="1" x14ac:dyDescent="0.3">
      <c r="A1042" s="236"/>
      <c r="B1042" s="239"/>
      <c r="C1042" s="155"/>
      <c r="D1042" s="33"/>
      <c r="E1042" s="34"/>
      <c r="F1042" s="28" t="s">
        <v>418</v>
      </c>
      <c r="G1042" s="28" t="str">
        <f>IF(ISNUMBER(F1042),E1042*F1042,"")</f>
        <v/>
      </c>
      <c r="H1042" s="32"/>
      <c r="I1042" s="28"/>
      <c r="J1042" s="125">
        <v>0</v>
      </c>
    </row>
    <row r="1043" spans="1:10" ht="15.75" hidden="1" thickBot="1" x14ac:dyDescent="0.3">
      <c r="A1043" s="234" t="s">
        <v>254</v>
      </c>
      <c r="B1043" s="237" t="s">
        <v>1420</v>
      </c>
      <c r="C1043" s="160"/>
      <c r="D1043" s="23" t="s">
        <v>16</v>
      </c>
      <c r="E1043" s="24"/>
      <c r="F1043" s="37" t="s">
        <v>418</v>
      </c>
      <c r="G1043" s="25" t="str">
        <f>IF(ISNUMBER(F1043),E1043*F1043,"")</f>
        <v/>
      </c>
      <c r="H1043" s="26"/>
      <c r="I1043" s="27"/>
      <c r="J1043" s="125">
        <v>0</v>
      </c>
    </row>
    <row r="1044" spans="1:10" ht="15.75" hidden="1" thickBot="1" x14ac:dyDescent="0.3">
      <c r="A1044" s="235"/>
      <c r="B1044" s="238"/>
      <c r="C1044" s="151"/>
      <c r="D1044" s="29"/>
      <c r="E1044" s="30"/>
      <c r="F1044" s="38" t="s">
        <v>418</v>
      </c>
      <c r="G1044" s="28" t="str">
        <f>IF(ISNUMBER(F1044),E1044*F1044,"")</f>
        <v/>
      </c>
      <c r="H1044" s="32"/>
      <c r="I1044" s="28"/>
      <c r="J1044" s="125">
        <v>0</v>
      </c>
    </row>
    <row r="1045" spans="1:10" ht="15.75" hidden="1" thickBot="1" x14ac:dyDescent="0.3">
      <c r="A1045" s="235"/>
      <c r="B1045" s="238"/>
      <c r="C1045" s="155" t="s">
        <v>255</v>
      </c>
      <c r="D1045" s="42" t="s">
        <v>97</v>
      </c>
      <c r="E1045" s="34">
        <v>1</v>
      </c>
      <c r="F1045" s="31" t="s">
        <v>418</v>
      </c>
      <c r="G1045" s="31" t="str">
        <f>IF(ISNUMBER(F1045),E1045*F1045,"")</f>
        <v/>
      </c>
      <c r="H1045" s="35">
        <f>SUM(G1045:G1048)</f>
        <v>47.487346000000002</v>
      </c>
      <c r="I1045" s="36"/>
      <c r="J1045" s="125">
        <v>0</v>
      </c>
    </row>
    <row r="1046" spans="1:10" ht="15.75" hidden="1" thickBot="1" x14ac:dyDescent="0.3">
      <c r="A1046" s="235"/>
      <c r="B1046" s="238"/>
      <c r="C1046" s="155" t="s">
        <v>10274</v>
      </c>
      <c r="D1046" s="155" t="s">
        <v>774</v>
      </c>
      <c r="E1046" s="34">
        <v>0.52710000000000001</v>
      </c>
      <c r="F1046" s="31">
        <v>39.444000000000003</v>
      </c>
      <c r="G1046" s="31">
        <f>IF(ISNUMBER(F1046),E1046*F1046,"")</f>
        <v>20.790932400000003</v>
      </c>
      <c r="H1046" s="32"/>
      <c r="I1046" s="28"/>
      <c r="J1046" s="125">
        <v>0</v>
      </c>
    </row>
    <row r="1047" spans="1:10" ht="15.75" hidden="1" thickBot="1" x14ac:dyDescent="0.3">
      <c r="A1047" s="235"/>
      <c r="B1047" s="238"/>
      <c r="C1047" s="155" t="s">
        <v>588</v>
      </c>
      <c r="D1047" s="155" t="s">
        <v>587</v>
      </c>
      <c r="E1047" s="34">
        <v>0.26650000000000001</v>
      </c>
      <c r="F1047" s="28">
        <v>19.189999999999998</v>
      </c>
      <c r="G1047" s="31">
        <f>IF(ISNUMBER(F1047),E1047*F1047,"")</f>
        <v>5.1141350000000001</v>
      </c>
      <c r="H1047" s="32"/>
      <c r="I1047" s="28"/>
      <c r="J1047" s="125">
        <v>0</v>
      </c>
    </row>
    <row r="1048" spans="1:10" ht="15.75" hidden="1" thickBot="1" x14ac:dyDescent="0.3">
      <c r="A1048" s="235"/>
      <c r="B1048" s="238"/>
      <c r="C1048" s="155" t="s">
        <v>9784</v>
      </c>
      <c r="D1048" s="155" t="s">
        <v>587</v>
      </c>
      <c r="E1048" s="34">
        <v>0.8458</v>
      </c>
      <c r="F1048" s="28">
        <v>25.516999999999999</v>
      </c>
      <c r="G1048" s="31">
        <f>IF(ISNUMBER(F1048),E1048*F1048,"")</f>
        <v>21.582278599999999</v>
      </c>
      <c r="H1048" s="32"/>
      <c r="I1048" s="28"/>
      <c r="J1048" s="125">
        <v>0</v>
      </c>
    </row>
    <row r="1049" spans="1:10" ht="15.75" hidden="1" thickBot="1" x14ac:dyDescent="0.3">
      <c r="A1049" s="236"/>
      <c r="B1049" s="239"/>
      <c r="C1049" s="155"/>
      <c r="D1049" s="33"/>
      <c r="E1049" s="34"/>
      <c r="F1049" s="28" t="s">
        <v>418</v>
      </c>
      <c r="G1049" s="28" t="str">
        <f>IF(ISNUMBER(F1049),E1049*F1049,"")</f>
        <v/>
      </c>
      <c r="H1049" s="32"/>
      <c r="I1049" s="28"/>
      <c r="J1049" s="125">
        <v>0</v>
      </c>
    </row>
    <row r="1050" spans="1:10" ht="15.75" hidden="1" thickBot="1" x14ac:dyDescent="0.3">
      <c r="A1050" s="234" t="s">
        <v>256</v>
      </c>
      <c r="B1050" s="237" t="s">
        <v>1421</v>
      </c>
      <c r="C1050" s="160"/>
      <c r="D1050" s="23" t="s">
        <v>16</v>
      </c>
      <c r="E1050" s="24"/>
      <c r="F1050" s="37" t="s">
        <v>418</v>
      </c>
      <c r="G1050" s="25" t="str">
        <f>IF(ISNUMBER(F1050),E1050*F1050,"")</f>
        <v/>
      </c>
      <c r="H1050" s="26"/>
      <c r="I1050" s="27"/>
      <c r="J1050" s="125">
        <v>0</v>
      </c>
    </row>
    <row r="1051" spans="1:10" ht="15.75" hidden="1" thickBot="1" x14ac:dyDescent="0.3">
      <c r="A1051" s="235"/>
      <c r="B1051" s="238"/>
      <c r="C1051" s="151"/>
      <c r="D1051" s="29"/>
      <c r="E1051" s="30"/>
      <c r="F1051" s="38" t="s">
        <v>418</v>
      </c>
      <c r="G1051" s="28" t="str">
        <f>IF(ISNUMBER(F1051),E1051*F1051,"")</f>
        <v/>
      </c>
      <c r="H1051" s="32"/>
      <c r="I1051" s="28"/>
      <c r="J1051" s="125">
        <v>0</v>
      </c>
    </row>
    <row r="1052" spans="1:10" ht="39" hidden="1" thickBot="1" x14ac:dyDescent="0.3">
      <c r="A1052" s="235"/>
      <c r="B1052" s="238"/>
      <c r="C1052" s="155" t="s">
        <v>26739</v>
      </c>
      <c r="D1052" s="155" t="s">
        <v>205</v>
      </c>
      <c r="E1052" s="34">
        <v>2</v>
      </c>
      <c r="F1052" s="31">
        <v>18.297000000000001</v>
      </c>
      <c r="G1052" s="31">
        <f>IF(ISNUMBER(F1052),E1052*F1052,"")</f>
        <v>36.594000000000001</v>
      </c>
      <c r="H1052" s="35">
        <f>SUM(G1052:G1055)</f>
        <v>54.078504899999999</v>
      </c>
      <c r="I1052" s="36"/>
      <c r="J1052" s="125">
        <v>0</v>
      </c>
    </row>
    <row r="1053" spans="1:10" ht="15.75" hidden="1" thickBot="1" x14ac:dyDescent="0.3">
      <c r="A1053" s="235"/>
      <c r="B1053" s="238"/>
      <c r="C1053" s="155" t="s">
        <v>10395</v>
      </c>
      <c r="D1053" s="155" t="s">
        <v>774</v>
      </c>
      <c r="E1053" s="34">
        <v>3.04E-2</v>
      </c>
      <c r="F1053" s="31">
        <v>138.6335</v>
      </c>
      <c r="G1053" s="31">
        <f>IF(ISNUMBER(F1053),E1053*F1053,"")</f>
        <v>4.2144583999999998</v>
      </c>
      <c r="H1053" s="32"/>
      <c r="I1053" s="28"/>
      <c r="J1053" s="125">
        <v>0</v>
      </c>
    </row>
    <row r="1054" spans="1:10" ht="26.25" hidden="1" thickBot="1" x14ac:dyDescent="0.3">
      <c r="A1054" s="235"/>
      <c r="B1054" s="238"/>
      <c r="C1054" s="155" t="s">
        <v>825</v>
      </c>
      <c r="D1054" s="155" t="s">
        <v>587</v>
      </c>
      <c r="E1054" s="34">
        <v>0.38700000000000001</v>
      </c>
      <c r="F1054" s="28">
        <v>24.9375</v>
      </c>
      <c r="G1054" s="31">
        <f>IF(ISNUMBER(F1054),E1054*F1054,"")</f>
        <v>9.6508125000000007</v>
      </c>
      <c r="H1054" s="32"/>
      <c r="I1054" s="28"/>
      <c r="J1054" s="125">
        <v>0</v>
      </c>
    </row>
    <row r="1055" spans="1:10" ht="15.75" hidden="1" thickBot="1" x14ac:dyDescent="0.3">
      <c r="A1055" s="235"/>
      <c r="B1055" s="238"/>
      <c r="C1055" s="155" t="s">
        <v>588</v>
      </c>
      <c r="D1055" s="155" t="s">
        <v>587</v>
      </c>
      <c r="E1055" s="34">
        <v>0.18859999999999999</v>
      </c>
      <c r="F1055" s="28">
        <v>19.189999999999998</v>
      </c>
      <c r="G1055" s="31">
        <f>IF(ISNUMBER(F1055),E1055*F1055,"")</f>
        <v>3.6192339999999992</v>
      </c>
      <c r="H1055" s="32"/>
      <c r="I1055" s="28"/>
      <c r="J1055" s="125">
        <v>0</v>
      </c>
    </row>
    <row r="1056" spans="1:10" ht="15.75" hidden="1" thickBot="1" x14ac:dyDescent="0.3">
      <c r="A1056" s="235"/>
      <c r="B1056" s="238"/>
      <c r="C1056" s="155"/>
      <c r="D1056" s="42"/>
      <c r="E1056" s="34"/>
      <c r="F1056" s="31" t="s">
        <v>418</v>
      </c>
      <c r="G1056" s="31" t="str">
        <f>IF(ISNUMBER(F1056),E1056*F1056,"")</f>
        <v/>
      </c>
      <c r="H1056" s="32"/>
      <c r="I1056" s="28"/>
      <c r="J1056" s="125">
        <v>0</v>
      </c>
    </row>
    <row r="1057" spans="1:10" ht="15.75" hidden="1" thickBot="1" x14ac:dyDescent="0.3">
      <c r="A1057" s="234" t="s">
        <v>257</v>
      </c>
      <c r="B1057" s="237" t="s">
        <v>1422</v>
      </c>
      <c r="C1057" s="160"/>
      <c r="D1057" s="23" t="s">
        <v>16</v>
      </c>
      <c r="E1057" s="24"/>
      <c r="F1057" s="37" t="s">
        <v>418</v>
      </c>
      <c r="G1057" s="25" t="str">
        <f>IF(ISNUMBER(F1057),E1057*F1057,"")</f>
        <v/>
      </c>
      <c r="H1057" s="26"/>
      <c r="I1057" s="27"/>
      <c r="J1057" s="125">
        <v>0</v>
      </c>
    </row>
    <row r="1058" spans="1:10" ht="15.75" hidden="1" thickBot="1" x14ac:dyDescent="0.3">
      <c r="A1058" s="235"/>
      <c r="B1058" s="238"/>
      <c r="C1058" s="151"/>
      <c r="D1058" s="29"/>
      <c r="E1058" s="30"/>
      <c r="F1058" s="38" t="s">
        <v>418</v>
      </c>
      <c r="G1058" s="28" t="str">
        <f>IF(ISNUMBER(F1058),E1058*F1058,"")</f>
        <v/>
      </c>
      <c r="H1058" s="32"/>
      <c r="I1058" s="28"/>
      <c r="J1058" s="125">
        <v>0</v>
      </c>
    </row>
    <row r="1059" spans="1:10" ht="39" hidden="1" thickBot="1" x14ac:dyDescent="0.3">
      <c r="A1059" s="235"/>
      <c r="B1059" s="238"/>
      <c r="C1059" s="155" t="s">
        <v>26739</v>
      </c>
      <c r="D1059" s="155" t="s">
        <v>205</v>
      </c>
      <c r="E1059" s="34">
        <v>2</v>
      </c>
      <c r="F1059" s="31">
        <v>18.297000000000001</v>
      </c>
      <c r="G1059" s="28">
        <f>IF(ISNUMBER(F1059),E1059*F1059,"")</f>
        <v>36.594000000000001</v>
      </c>
      <c r="H1059" s="35">
        <f>SUM(G1059:G1062)</f>
        <v>52.396086249999996</v>
      </c>
      <c r="I1059" s="36"/>
      <c r="J1059" s="125">
        <v>0</v>
      </c>
    </row>
    <row r="1060" spans="1:10" ht="15.75" hidden="1" thickBot="1" x14ac:dyDescent="0.3">
      <c r="A1060" s="235"/>
      <c r="B1060" s="238"/>
      <c r="C1060" s="155" t="s">
        <v>25517</v>
      </c>
      <c r="D1060" s="155" t="s">
        <v>205</v>
      </c>
      <c r="E1060" s="34">
        <v>3.6499999999999998E-2</v>
      </c>
      <c r="F1060" s="31">
        <v>4.6550000000000002</v>
      </c>
      <c r="G1060" s="28">
        <f>IF(ISNUMBER(F1060),E1060*F1060,"")</f>
        <v>0.16990749999999999</v>
      </c>
      <c r="H1060" s="32"/>
      <c r="I1060" s="28"/>
      <c r="J1060" s="125">
        <v>0</v>
      </c>
    </row>
    <row r="1061" spans="1:10" ht="15.75" hidden="1" thickBot="1" x14ac:dyDescent="0.3">
      <c r="A1061" s="235"/>
      <c r="B1061" s="238"/>
      <c r="C1061" s="155" t="s">
        <v>588</v>
      </c>
      <c r="D1061" s="155" t="s">
        <v>587</v>
      </c>
      <c r="E1061" s="34">
        <f>ROUND(0.3179/2,4)</f>
        <v>0.159</v>
      </c>
      <c r="F1061" s="28">
        <v>19.189999999999998</v>
      </c>
      <c r="G1061" s="31">
        <f>IF(ISNUMBER(F1061),E1061*F1061,"")</f>
        <v>3.0512099999999998</v>
      </c>
      <c r="H1061" s="32"/>
      <c r="I1061" s="28"/>
      <c r="J1061" s="125">
        <v>0</v>
      </c>
    </row>
    <row r="1062" spans="1:10" ht="26.25" hidden="1" thickBot="1" x14ac:dyDescent="0.3">
      <c r="A1062" s="235"/>
      <c r="B1062" s="238"/>
      <c r="C1062" s="155" t="s">
        <v>825</v>
      </c>
      <c r="D1062" s="155" t="s">
        <v>587</v>
      </c>
      <c r="E1062" s="34">
        <f>1.009/2</f>
        <v>0.50449999999999995</v>
      </c>
      <c r="F1062" s="28">
        <v>24.9375</v>
      </c>
      <c r="G1062" s="31">
        <f>IF(ISNUMBER(F1062),E1062*F1062,"")</f>
        <v>12.580968749999998</v>
      </c>
      <c r="H1062" s="32"/>
      <c r="I1062" s="28"/>
      <c r="J1062" s="125">
        <v>0</v>
      </c>
    </row>
    <row r="1063" spans="1:10" ht="15.75" hidden="1" thickBot="1" x14ac:dyDescent="0.3">
      <c r="A1063" s="235"/>
      <c r="B1063" s="238"/>
      <c r="C1063" s="155"/>
      <c r="D1063" s="42"/>
      <c r="E1063" s="34"/>
      <c r="F1063" s="31" t="s">
        <v>418</v>
      </c>
      <c r="G1063" s="31" t="str">
        <f>IF(ISNUMBER(F1063),E1063*F1063,"")</f>
        <v/>
      </c>
      <c r="H1063" s="32"/>
      <c r="I1063" s="28"/>
      <c r="J1063" s="125">
        <v>0</v>
      </c>
    </row>
    <row r="1064" spans="1:10" ht="26.25" hidden="1" thickBot="1" x14ac:dyDescent="0.3">
      <c r="A1064" s="235"/>
      <c r="B1064" s="238"/>
      <c r="C1064" s="47" t="s">
        <v>258</v>
      </c>
      <c r="D1064" s="42"/>
      <c r="E1064" s="34"/>
      <c r="F1064" s="31" t="s">
        <v>418</v>
      </c>
      <c r="G1064" s="31" t="str">
        <f>IF(ISNUMBER(F1064),E1064*F1064,"")</f>
        <v/>
      </c>
      <c r="H1064" s="32"/>
      <c r="I1064" s="28"/>
      <c r="J1064" s="125">
        <v>0</v>
      </c>
    </row>
    <row r="1065" spans="1:10" ht="15.75" hidden="1" thickBot="1" x14ac:dyDescent="0.3">
      <c r="A1065" s="235"/>
      <c r="B1065" s="238"/>
      <c r="C1065" s="155"/>
      <c r="D1065" s="33"/>
      <c r="E1065" s="34"/>
      <c r="F1065" s="31" t="s">
        <v>418</v>
      </c>
      <c r="G1065" s="31" t="str">
        <f>IF(ISNUMBER(F1065),E1065*F1065,"")</f>
        <v/>
      </c>
      <c r="H1065" s="32"/>
      <c r="I1065" s="28"/>
      <c r="J1065" s="125">
        <v>0</v>
      </c>
    </row>
    <row r="1066" spans="1:10" ht="15.75" hidden="1" thickBot="1" x14ac:dyDescent="0.3">
      <c r="A1066" s="234" t="s">
        <v>259</v>
      </c>
      <c r="B1066" s="237" t="s">
        <v>1423</v>
      </c>
      <c r="C1066" s="160"/>
      <c r="D1066" s="23" t="s">
        <v>16</v>
      </c>
      <c r="E1066" s="24"/>
      <c r="F1066" s="37" t="s">
        <v>418</v>
      </c>
      <c r="G1066" s="25" t="str">
        <f>IF(ISNUMBER(F1066),E1066*F1066,"")</f>
        <v/>
      </c>
      <c r="H1066" s="26"/>
      <c r="I1066" s="27"/>
      <c r="J1066" s="125">
        <v>0</v>
      </c>
    </row>
    <row r="1067" spans="1:10" ht="15.75" hidden="1" thickBot="1" x14ac:dyDescent="0.3">
      <c r="A1067" s="235"/>
      <c r="B1067" s="238"/>
      <c r="C1067" s="151"/>
      <c r="D1067" s="29"/>
      <c r="E1067" s="30"/>
      <c r="F1067" s="38" t="s">
        <v>418</v>
      </c>
      <c r="G1067" s="28" t="str">
        <f>IF(ISNUMBER(F1067),E1067*F1067,"")</f>
        <v/>
      </c>
      <c r="H1067" s="32"/>
      <c r="I1067" s="28"/>
      <c r="J1067" s="125">
        <v>0</v>
      </c>
    </row>
    <row r="1068" spans="1:10" ht="39" hidden="1" thickBot="1" x14ac:dyDescent="0.3">
      <c r="A1068" s="235"/>
      <c r="B1068" s="238"/>
      <c r="C1068" s="155" t="s">
        <v>26738</v>
      </c>
      <c r="D1068" s="155" t="s">
        <v>205</v>
      </c>
      <c r="E1068" s="34">
        <v>2</v>
      </c>
      <c r="F1068" s="31">
        <v>24.671499999999998</v>
      </c>
      <c r="G1068" s="31">
        <f>IF(ISNUMBER(F1068),E1068*F1068,"")</f>
        <v>49.342999999999996</v>
      </c>
      <c r="H1068" s="35">
        <f>SUM(G1068:G1072)</f>
        <v>91.121466349999992</v>
      </c>
      <c r="I1068" s="36"/>
      <c r="J1068" s="125">
        <v>0</v>
      </c>
    </row>
    <row r="1069" spans="1:10" ht="26.25" hidden="1" thickBot="1" x14ac:dyDescent="0.3">
      <c r="A1069" s="235"/>
      <c r="B1069" s="238"/>
      <c r="C1069" s="155" t="s">
        <v>23586</v>
      </c>
      <c r="D1069" s="155" t="s">
        <v>205</v>
      </c>
      <c r="E1069" s="34">
        <v>1</v>
      </c>
      <c r="F1069" s="31">
        <v>10.468999999999999</v>
      </c>
      <c r="G1069" s="49">
        <f>IF(ISNUMBER(F1069),E1069*F1069,"")</f>
        <v>10.468999999999999</v>
      </c>
      <c r="H1069" s="32"/>
      <c r="I1069" s="28"/>
      <c r="J1069" s="125">
        <v>0</v>
      </c>
    </row>
    <row r="1070" spans="1:10" ht="15.75" hidden="1" thickBot="1" x14ac:dyDescent="0.3">
      <c r="A1070" s="235"/>
      <c r="B1070" s="238"/>
      <c r="C1070" s="155" t="s">
        <v>10395</v>
      </c>
      <c r="D1070" s="155" t="s">
        <v>774</v>
      </c>
      <c r="E1070" s="34">
        <v>8.8099999999999998E-2</v>
      </c>
      <c r="F1070" s="31">
        <v>138.6335</v>
      </c>
      <c r="G1070" s="31">
        <f>IF(ISNUMBER(F1070),E1070*F1070,"")</f>
        <v>12.213611349999999</v>
      </c>
      <c r="H1070" s="32"/>
      <c r="I1070" s="28"/>
      <c r="J1070" s="125">
        <v>0</v>
      </c>
    </row>
    <row r="1071" spans="1:10" ht="26.25" hidden="1" thickBot="1" x14ac:dyDescent="0.3">
      <c r="A1071" s="235"/>
      <c r="B1071" s="238"/>
      <c r="C1071" s="155" t="s">
        <v>825</v>
      </c>
      <c r="D1071" s="155" t="s">
        <v>587</v>
      </c>
      <c r="E1071" s="34">
        <v>0.49680000000000002</v>
      </c>
      <c r="F1071" s="28">
        <v>24.9375</v>
      </c>
      <c r="G1071" s="31">
        <f>IF(ISNUMBER(F1071),E1071*F1071,"")</f>
        <v>12.388950000000001</v>
      </c>
      <c r="H1071" s="32"/>
      <c r="I1071" s="28"/>
      <c r="J1071" s="125">
        <v>0</v>
      </c>
    </row>
    <row r="1072" spans="1:10" ht="15.75" hidden="1" thickBot="1" x14ac:dyDescent="0.3">
      <c r="A1072" s="235"/>
      <c r="B1072" s="238"/>
      <c r="C1072" s="155" t="s">
        <v>588</v>
      </c>
      <c r="D1072" s="155" t="s">
        <v>587</v>
      </c>
      <c r="E1072" s="34">
        <v>0.34949999999999998</v>
      </c>
      <c r="F1072" s="28">
        <v>19.189999999999998</v>
      </c>
      <c r="G1072" s="31">
        <f>IF(ISNUMBER(F1072),E1072*F1072,"")</f>
        <v>6.706904999999999</v>
      </c>
      <c r="H1072" s="32"/>
      <c r="I1072" s="28"/>
      <c r="J1072" s="125">
        <v>0</v>
      </c>
    </row>
    <row r="1073" spans="1:10" ht="15.75" hidden="1" thickBot="1" x14ac:dyDescent="0.3">
      <c r="A1073" s="235"/>
      <c r="B1073" s="238"/>
      <c r="C1073" s="155"/>
      <c r="D1073" s="33"/>
      <c r="E1073" s="34"/>
      <c r="F1073" s="28" t="s">
        <v>418</v>
      </c>
      <c r="G1073" s="31" t="str">
        <f>IF(ISNUMBER(F1073),E1073*F1073,"")</f>
        <v/>
      </c>
      <c r="H1073" s="32"/>
      <c r="I1073" s="28"/>
      <c r="J1073" s="125">
        <v>0</v>
      </c>
    </row>
    <row r="1074" spans="1:10" ht="15.75" hidden="1" thickBot="1" x14ac:dyDescent="0.3">
      <c r="A1074" s="234" t="s">
        <v>260</v>
      </c>
      <c r="B1074" s="237" t="s">
        <v>1424</v>
      </c>
      <c r="C1074" s="160"/>
      <c r="D1074" s="23" t="s">
        <v>16</v>
      </c>
      <c r="E1074" s="24"/>
      <c r="F1074" s="37" t="s">
        <v>418</v>
      </c>
      <c r="G1074" s="25" t="str">
        <f>IF(ISNUMBER(F1074),E1074*F1074,"")</f>
        <v/>
      </c>
      <c r="H1074" s="26"/>
      <c r="I1074" s="27"/>
      <c r="J1074" s="125">
        <v>0</v>
      </c>
    </row>
    <row r="1075" spans="1:10" ht="15.75" hidden="1" thickBot="1" x14ac:dyDescent="0.3">
      <c r="A1075" s="235"/>
      <c r="B1075" s="238"/>
      <c r="C1075" s="151"/>
      <c r="D1075" s="29"/>
      <c r="E1075" s="30"/>
      <c r="F1075" s="38" t="s">
        <v>418</v>
      </c>
      <c r="G1075" s="28" t="str">
        <f>IF(ISNUMBER(F1075),E1075*F1075,"")</f>
        <v/>
      </c>
      <c r="H1075" s="32"/>
      <c r="I1075" s="28"/>
      <c r="J1075" s="125">
        <v>0</v>
      </c>
    </row>
    <row r="1076" spans="1:10" ht="26.25" hidden="1" thickBot="1" x14ac:dyDescent="0.3">
      <c r="A1076" s="235"/>
      <c r="B1076" s="238"/>
      <c r="C1076" s="155" t="s">
        <v>26035</v>
      </c>
      <c r="D1076" s="155" t="s">
        <v>205</v>
      </c>
      <c r="E1076" s="34">
        <v>1</v>
      </c>
      <c r="F1076" s="31">
        <v>85.585499999999996</v>
      </c>
      <c r="G1076" s="31">
        <f>IF(ISNUMBER(F1076),E1076*F1076,"")</f>
        <v>85.585499999999996</v>
      </c>
      <c r="H1076" s="35">
        <f>SUM(G1076:G1080)</f>
        <v>139.66400490000001</v>
      </c>
      <c r="I1076" s="36"/>
      <c r="J1076" s="125">
        <v>0</v>
      </c>
    </row>
    <row r="1077" spans="1:10" ht="39" hidden="1" thickBot="1" x14ac:dyDescent="0.3">
      <c r="A1077" s="235"/>
      <c r="B1077" s="238"/>
      <c r="C1077" s="155" t="s">
        <v>26739</v>
      </c>
      <c r="D1077" s="155" t="s">
        <v>205</v>
      </c>
      <c r="E1077" s="34">
        <v>2</v>
      </c>
      <c r="F1077" s="31">
        <v>18.297000000000001</v>
      </c>
      <c r="G1077" s="31">
        <f>IF(ISNUMBER(F1077),E1077*F1077,"")</f>
        <v>36.594000000000001</v>
      </c>
      <c r="H1077" s="32"/>
      <c r="I1077" s="28"/>
      <c r="J1077" s="125">
        <v>0</v>
      </c>
    </row>
    <row r="1078" spans="1:10" ht="15.75" hidden="1" thickBot="1" x14ac:dyDescent="0.3">
      <c r="A1078" s="235"/>
      <c r="B1078" s="238"/>
      <c r="C1078" s="155" t="s">
        <v>10395</v>
      </c>
      <c r="D1078" s="155" t="s">
        <v>774</v>
      </c>
      <c r="E1078" s="34">
        <v>3.04E-2</v>
      </c>
      <c r="F1078" s="31">
        <v>138.6335</v>
      </c>
      <c r="G1078" s="31">
        <f>IF(ISNUMBER(F1078),E1078*F1078,"")</f>
        <v>4.2144583999999998</v>
      </c>
      <c r="H1078" s="32"/>
      <c r="I1078" s="28"/>
      <c r="J1078" s="125">
        <v>0</v>
      </c>
    </row>
    <row r="1079" spans="1:10" ht="26.25" hidden="1" thickBot="1" x14ac:dyDescent="0.3">
      <c r="A1079" s="235"/>
      <c r="B1079" s="238"/>
      <c r="C1079" s="155" t="s">
        <v>825</v>
      </c>
      <c r="D1079" s="155" t="s">
        <v>587</v>
      </c>
      <c r="E1079" s="34">
        <v>0.38700000000000001</v>
      </c>
      <c r="F1079" s="28">
        <v>24.9375</v>
      </c>
      <c r="G1079" s="31">
        <f>IF(ISNUMBER(F1079),E1079*F1079,"")</f>
        <v>9.6508125000000007</v>
      </c>
      <c r="H1079" s="32"/>
      <c r="I1079" s="28"/>
      <c r="J1079" s="125">
        <v>0</v>
      </c>
    </row>
    <row r="1080" spans="1:10" ht="15.75" hidden="1" thickBot="1" x14ac:dyDescent="0.3">
      <c r="A1080" s="235"/>
      <c r="B1080" s="238"/>
      <c r="C1080" s="155" t="s">
        <v>588</v>
      </c>
      <c r="D1080" s="155" t="s">
        <v>587</v>
      </c>
      <c r="E1080" s="34">
        <v>0.18859999999999999</v>
      </c>
      <c r="F1080" s="28">
        <v>19.189999999999998</v>
      </c>
      <c r="G1080" s="31">
        <f>IF(ISNUMBER(F1080),E1080*F1080,"")</f>
        <v>3.6192339999999992</v>
      </c>
      <c r="H1080" s="32"/>
      <c r="I1080" s="28"/>
      <c r="J1080" s="125">
        <v>0</v>
      </c>
    </row>
    <row r="1081" spans="1:10" ht="15.75" hidden="1" thickBot="1" x14ac:dyDescent="0.3">
      <c r="A1081" s="236"/>
      <c r="B1081" s="239"/>
      <c r="C1081" s="155"/>
      <c r="D1081" s="33"/>
      <c r="E1081" s="34"/>
      <c r="F1081" s="28" t="s">
        <v>418</v>
      </c>
      <c r="G1081" s="28" t="str">
        <f>IF(ISNUMBER(F1081),E1081*F1081,"")</f>
        <v/>
      </c>
      <c r="H1081" s="32"/>
      <c r="I1081" s="28"/>
      <c r="J1081" s="125">
        <v>0</v>
      </c>
    </row>
    <row r="1082" spans="1:10" ht="15.75" hidden="1" thickBot="1" x14ac:dyDescent="0.3">
      <c r="A1082" s="234" t="s">
        <v>261</v>
      </c>
      <c r="B1082" s="237" t="s">
        <v>1425</v>
      </c>
      <c r="C1082" s="160"/>
      <c r="D1082" s="23" t="s">
        <v>16</v>
      </c>
      <c r="E1082" s="24"/>
      <c r="F1082" s="37" t="s">
        <v>418</v>
      </c>
      <c r="G1082" s="25" t="str">
        <f>IF(ISNUMBER(F1082),E1082*F1082,"")</f>
        <v/>
      </c>
      <c r="H1082" s="26"/>
      <c r="I1082" s="27"/>
      <c r="J1082" s="125">
        <v>0</v>
      </c>
    </row>
    <row r="1083" spans="1:10" ht="15.75" hidden="1" thickBot="1" x14ac:dyDescent="0.3">
      <c r="A1083" s="235"/>
      <c r="B1083" s="238"/>
      <c r="C1083" s="151"/>
      <c r="D1083" s="29"/>
      <c r="E1083" s="30"/>
      <c r="F1083" s="38" t="s">
        <v>418</v>
      </c>
      <c r="G1083" s="28" t="str">
        <f>IF(ISNUMBER(F1083),E1083*F1083,"")</f>
        <v/>
      </c>
      <c r="H1083" s="32"/>
      <c r="I1083" s="28"/>
      <c r="J1083" s="125">
        <v>0</v>
      </c>
    </row>
    <row r="1084" spans="1:10" ht="26.25" hidden="1" thickBot="1" x14ac:dyDescent="0.3">
      <c r="A1084" s="235"/>
      <c r="B1084" s="238"/>
      <c r="C1084" s="155" t="s">
        <v>30763</v>
      </c>
      <c r="D1084" s="155" t="s">
        <v>205</v>
      </c>
      <c r="E1084" s="34">
        <v>1</v>
      </c>
      <c r="F1084" s="31">
        <v>329.1465</v>
      </c>
      <c r="G1084" s="31">
        <f>IF(ISNUMBER(F1084),E1084*F1084,"")</f>
        <v>329.1465</v>
      </c>
      <c r="H1084" s="35">
        <f>SUM(G1084:G1088)</f>
        <v>381.54258625000006</v>
      </c>
      <c r="I1084" s="36"/>
      <c r="J1084" s="125">
        <v>0</v>
      </c>
    </row>
    <row r="1085" spans="1:10" ht="39" hidden="1" thickBot="1" x14ac:dyDescent="0.3">
      <c r="A1085" s="235"/>
      <c r="B1085" s="238"/>
      <c r="C1085" s="155" t="s">
        <v>26739</v>
      </c>
      <c r="D1085" s="155" t="s">
        <v>205</v>
      </c>
      <c r="E1085" s="34">
        <v>2</v>
      </c>
      <c r="F1085" s="31">
        <v>18.297000000000001</v>
      </c>
      <c r="G1085" s="28">
        <f>IF(ISNUMBER(F1085),E1085*F1085,"")</f>
        <v>36.594000000000001</v>
      </c>
      <c r="H1085" s="32"/>
      <c r="I1085" s="28"/>
      <c r="J1085" s="125">
        <v>0</v>
      </c>
    </row>
    <row r="1086" spans="1:10" ht="15.75" hidden="1" thickBot="1" x14ac:dyDescent="0.3">
      <c r="A1086" s="235"/>
      <c r="B1086" s="238"/>
      <c r="C1086" s="155" t="s">
        <v>25517</v>
      </c>
      <c r="D1086" s="155" t="s">
        <v>205</v>
      </c>
      <c r="E1086" s="34">
        <v>3.6499999999999998E-2</v>
      </c>
      <c r="F1086" s="31">
        <v>4.6550000000000002</v>
      </c>
      <c r="G1086" s="28">
        <f>IF(ISNUMBER(F1086),E1086*F1086,"")</f>
        <v>0.16990749999999999</v>
      </c>
      <c r="H1086" s="32"/>
      <c r="I1086" s="28"/>
      <c r="J1086" s="125">
        <v>0</v>
      </c>
    </row>
    <row r="1087" spans="1:10" ht="15.75" hidden="1" thickBot="1" x14ac:dyDescent="0.3">
      <c r="A1087" s="235"/>
      <c r="B1087" s="238"/>
      <c r="C1087" s="155" t="s">
        <v>588</v>
      </c>
      <c r="D1087" s="155" t="s">
        <v>587</v>
      </c>
      <c r="E1087" s="34">
        <f>ROUND(0.3179/2,4)</f>
        <v>0.159</v>
      </c>
      <c r="F1087" s="28">
        <v>19.189999999999998</v>
      </c>
      <c r="G1087" s="31">
        <f>IF(ISNUMBER(F1087),E1087*F1087,"")</f>
        <v>3.0512099999999998</v>
      </c>
      <c r="H1087" s="32"/>
      <c r="I1087" s="28"/>
      <c r="J1087" s="125">
        <v>0</v>
      </c>
    </row>
    <row r="1088" spans="1:10" ht="26.25" hidden="1" thickBot="1" x14ac:dyDescent="0.3">
      <c r="A1088" s="235"/>
      <c r="B1088" s="238"/>
      <c r="C1088" s="155" t="s">
        <v>825</v>
      </c>
      <c r="D1088" s="155" t="s">
        <v>587</v>
      </c>
      <c r="E1088" s="34">
        <f>1.009/2</f>
        <v>0.50449999999999995</v>
      </c>
      <c r="F1088" s="28">
        <v>24.9375</v>
      </c>
      <c r="G1088" s="31">
        <f>IF(ISNUMBER(F1088),E1088*F1088,"")</f>
        <v>12.580968749999998</v>
      </c>
      <c r="H1088" s="32"/>
      <c r="I1088" s="28"/>
      <c r="J1088" s="125">
        <v>0</v>
      </c>
    </row>
    <row r="1089" spans="1:10" ht="15.75" hidden="1" thickBot="1" x14ac:dyDescent="0.3">
      <c r="A1089" s="235"/>
      <c r="B1089" s="238"/>
      <c r="C1089" s="155"/>
      <c r="D1089" s="42"/>
      <c r="E1089" s="34"/>
      <c r="F1089" s="31" t="s">
        <v>418</v>
      </c>
      <c r="G1089" s="31" t="str">
        <f>IF(ISNUMBER(F1089),E1089*F1089,"")</f>
        <v/>
      </c>
      <c r="H1089" s="32"/>
      <c r="I1089" s="28"/>
      <c r="J1089" s="125">
        <v>0</v>
      </c>
    </row>
    <row r="1090" spans="1:10" ht="26.25" hidden="1" thickBot="1" x14ac:dyDescent="0.3">
      <c r="A1090" s="235"/>
      <c r="B1090" s="238"/>
      <c r="C1090" s="47" t="s">
        <v>258</v>
      </c>
      <c r="D1090" s="42"/>
      <c r="E1090" s="34"/>
      <c r="F1090" s="31" t="s">
        <v>418</v>
      </c>
      <c r="G1090" s="31" t="str">
        <f>IF(ISNUMBER(F1090),E1090*F1090,"")</f>
        <v/>
      </c>
      <c r="H1090" s="32"/>
      <c r="I1090" s="28"/>
      <c r="J1090" s="125">
        <v>0</v>
      </c>
    </row>
    <row r="1091" spans="1:10" ht="15.75" hidden="1" thickBot="1" x14ac:dyDescent="0.3">
      <c r="A1091" s="235"/>
      <c r="B1091" s="238"/>
      <c r="C1091" s="155"/>
      <c r="D1091" s="42"/>
      <c r="E1091" s="34"/>
      <c r="F1091" s="31" t="s">
        <v>418</v>
      </c>
      <c r="G1091" s="31" t="str">
        <f>IF(ISNUMBER(F1091),E1091*F1091,"")</f>
        <v/>
      </c>
      <c r="H1091" s="32"/>
      <c r="I1091" s="28"/>
      <c r="J1091" s="125">
        <v>0</v>
      </c>
    </row>
    <row r="1092" spans="1:10" ht="15.75" hidden="1" thickBot="1" x14ac:dyDescent="0.3">
      <c r="A1092" s="234" t="s">
        <v>262</v>
      </c>
      <c r="B1092" s="237" t="s">
        <v>13442</v>
      </c>
      <c r="C1092" s="160"/>
      <c r="D1092" s="23" t="s">
        <v>16</v>
      </c>
      <c r="E1092" s="24"/>
      <c r="F1092" s="37" t="s">
        <v>418</v>
      </c>
      <c r="G1092" s="25" t="str">
        <f>IF(ISNUMBER(F1092),E1092*F1092,"")</f>
        <v/>
      </c>
      <c r="H1092" s="26"/>
      <c r="I1092" s="27"/>
      <c r="J1092" s="125">
        <v>0</v>
      </c>
    </row>
    <row r="1093" spans="1:10" ht="15.75" hidden="1" thickBot="1" x14ac:dyDescent="0.3">
      <c r="A1093" s="235"/>
      <c r="B1093" s="238"/>
      <c r="C1093" s="151"/>
      <c r="D1093" s="29"/>
      <c r="E1093" s="30"/>
      <c r="F1093" s="38" t="s">
        <v>418</v>
      </c>
      <c r="G1093" s="28" t="str">
        <f>IF(ISNUMBER(F1093),E1093*F1093,"")</f>
        <v/>
      </c>
      <c r="H1093" s="32"/>
      <c r="I1093" s="28"/>
      <c r="J1093" s="125">
        <v>0</v>
      </c>
    </row>
    <row r="1094" spans="1:10" ht="26.25" hidden="1" thickBot="1" x14ac:dyDescent="0.3">
      <c r="A1094" s="235"/>
      <c r="B1094" s="238"/>
      <c r="C1094" s="155" t="s">
        <v>263</v>
      </c>
      <c r="D1094" s="42" t="s">
        <v>97</v>
      </c>
      <c r="E1094" s="34">
        <v>1</v>
      </c>
      <c r="F1094" s="31" t="s">
        <v>418</v>
      </c>
      <c r="G1094" s="31" t="str">
        <f>IF(ISNUMBER(F1094),E1094*F1094,"")</f>
        <v/>
      </c>
      <c r="H1094" s="35">
        <f>SUM(G1094:G1098)</f>
        <v>105.72116800000001</v>
      </c>
      <c r="I1094" s="36"/>
      <c r="J1094" s="125">
        <v>0</v>
      </c>
    </row>
    <row r="1095" spans="1:10" ht="39" hidden="1" thickBot="1" x14ac:dyDescent="0.3">
      <c r="A1095" s="235"/>
      <c r="B1095" s="238"/>
      <c r="C1095" s="155" t="s">
        <v>26739</v>
      </c>
      <c r="D1095" s="155" t="s">
        <v>205</v>
      </c>
      <c r="E1095" s="34">
        <v>4</v>
      </c>
      <c r="F1095" s="31">
        <v>18.297000000000001</v>
      </c>
      <c r="G1095" s="31">
        <f>IF(ISNUMBER(F1095),E1095*F1095,"")</f>
        <v>73.188000000000002</v>
      </c>
      <c r="H1095" s="32"/>
      <c r="I1095" s="28"/>
      <c r="J1095" s="125">
        <v>0</v>
      </c>
    </row>
    <row r="1096" spans="1:10" ht="15.75" hidden="1" thickBot="1" x14ac:dyDescent="0.3">
      <c r="A1096" s="235"/>
      <c r="B1096" s="238"/>
      <c r="C1096" s="155" t="s">
        <v>10395</v>
      </c>
      <c r="D1096" s="155" t="s">
        <v>774</v>
      </c>
      <c r="E1096" s="34">
        <v>3.9E-2</v>
      </c>
      <c r="F1096" s="31">
        <v>138.6335</v>
      </c>
      <c r="G1096" s="31">
        <f>IF(ISNUMBER(F1096),E1096*F1096,"")</f>
        <v>5.4067065000000003</v>
      </c>
      <c r="H1096" s="32"/>
      <c r="I1096" s="28"/>
      <c r="J1096" s="125">
        <v>0</v>
      </c>
    </row>
    <row r="1097" spans="1:10" ht="26.25" hidden="1" thickBot="1" x14ac:dyDescent="0.3">
      <c r="A1097" s="235"/>
      <c r="B1097" s="238"/>
      <c r="C1097" s="155" t="s">
        <v>825</v>
      </c>
      <c r="D1097" s="155" t="s">
        <v>587</v>
      </c>
      <c r="E1097" s="34">
        <v>0.8226</v>
      </c>
      <c r="F1097" s="28">
        <v>24.9375</v>
      </c>
      <c r="G1097" s="31">
        <f>IF(ISNUMBER(F1097),E1097*F1097,"")</f>
        <v>20.5135875</v>
      </c>
      <c r="H1097" s="32"/>
      <c r="I1097" s="28"/>
      <c r="J1097" s="125">
        <v>0</v>
      </c>
    </row>
    <row r="1098" spans="1:10" ht="15.75" hidden="1" thickBot="1" x14ac:dyDescent="0.3">
      <c r="A1098" s="235"/>
      <c r="B1098" s="238"/>
      <c r="C1098" s="155" t="s">
        <v>588</v>
      </c>
      <c r="D1098" s="155" t="s">
        <v>587</v>
      </c>
      <c r="E1098" s="34">
        <v>0.34460000000000002</v>
      </c>
      <c r="F1098" s="28">
        <v>19.189999999999998</v>
      </c>
      <c r="G1098" s="31">
        <f>IF(ISNUMBER(F1098),E1098*F1098,"")</f>
        <v>6.6128739999999997</v>
      </c>
      <c r="H1098" s="32"/>
      <c r="I1098" s="28"/>
      <c r="J1098" s="125">
        <v>0</v>
      </c>
    </row>
    <row r="1099" spans="1:10" ht="15.75" hidden="1" thickBot="1" x14ac:dyDescent="0.3">
      <c r="A1099" s="236"/>
      <c r="B1099" s="239"/>
      <c r="C1099" s="155"/>
      <c r="D1099" s="33"/>
      <c r="E1099" s="34"/>
      <c r="F1099" s="28" t="s">
        <v>418</v>
      </c>
      <c r="G1099" s="28" t="str">
        <f>IF(ISNUMBER(F1099),E1099*F1099,"")</f>
        <v/>
      </c>
      <c r="H1099" s="32"/>
      <c r="I1099" s="28"/>
      <c r="J1099" s="125">
        <v>0</v>
      </c>
    </row>
    <row r="1100" spans="1:10" ht="15.75" hidden="1" thickBot="1" x14ac:dyDescent="0.3">
      <c r="A1100" s="234" t="s">
        <v>264</v>
      </c>
      <c r="B1100" s="237" t="s">
        <v>13443</v>
      </c>
      <c r="C1100" s="160"/>
      <c r="D1100" s="23" t="s">
        <v>16</v>
      </c>
      <c r="E1100" s="24"/>
      <c r="F1100" s="37" t="s">
        <v>418</v>
      </c>
      <c r="G1100" s="25" t="str">
        <f>IF(ISNUMBER(F1100),E1100*F1100,"")</f>
        <v/>
      </c>
      <c r="H1100" s="26"/>
      <c r="I1100" s="27"/>
      <c r="J1100" s="125">
        <v>0</v>
      </c>
    </row>
    <row r="1101" spans="1:10" ht="15.75" hidden="1" thickBot="1" x14ac:dyDescent="0.3">
      <c r="A1101" s="235"/>
      <c r="B1101" s="238"/>
      <c r="C1101" s="151"/>
      <c r="D1101" s="29"/>
      <c r="E1101" s="30"/>
      <c r="F1101" s="38" t="s">
        <v>418</v>
      </c>
      <c r="G1101" s="28" t="str">
        <f>IF(ISNUMBER(F1101),E1101*F1101,"")</f>
        <v/>
      </c>
      <c r="H1101" s="32"/>
      <c r="I1101" s="28"/>
      <c r="J1101" s="125">
        <v>0</v>
      </c>
    </row>
    <row r="1102" spans="1:10" ht="26.25" hidden="1" thickBot="1" x14ac:dyDescent="0.3">
      <c r="A1102" s="235"/>
      <c r="B1102" s="238"/>
      <c r="C1102" s="155" t="s">
        <v>265</v>
      </c>
      <c r="D1102" s="42" t="s">
        <v>97</v>
      </c>
      <c r="E1102" s="34">
        <v>1</v>
      </c>
      <c r="F1102" s="31" t="s">
        <v>418</v>
      </c>
      <c r="G1102" s="31" t="str">
        <f>IF(ISNUMBER(F1102),E1102*F1102,"")</f>
        <v/>
      </c>
      <c r="H1102" s="35">
        <f>SUM(G1102:G1103)</f>
        <v>1.9950000000000001</v>
      </c>
      <c r="I1102" s="36"/>
      <c r="J1102" s="125">
        <v>0</v>
      </c>
    </row>
    <row r="1103" spans="1:10" ht="26.25" hidden="1" thickBot="1" x14ac:dyDescent="0.3">
      <c r="A1103" s="235"/>
      <c r="B1103" s="238"/>
      <c r="C1103" s="155" t="s">
        <v>825</v>
      </c>
      <c r="D1103" s="155" t="s">
        <v>587</v>
      </c>
      <c r="E1103" s="34">
        <v>0.08</v>
      </c>
      <c r="F1103" s="28">
        <v>24.9375</v>
      </c>
      <c r="G1103" s="31">
        <f>IF(ISNUMBER(F1103),E1103*F1103,"")</f>
        <v>1.9950000000000001</v>
      </c>
      <c r="H1103" s="32"/>
      <c r="I1103" s="28"/>
      <c r="J1103" s="125">
        <v>0</v>
      </c>
    </row>
    <row r="1104" spans="1:10" ht="15.75" hidden="1" thickBot="1" x14ac:dyDescent="0.3">
      <c r="A1104" s="236"/>
      <c r="B1104" s="239"/>
      <c r="C1104" s="47"/>
      <c r="D1104" s="33"/>
      <c r="E1104" s="34"/>
      <c r="F1104" s="28" t="s">
        <v>418</v>
      </c>
      <c r="G1104" s="28" t="str">
        <f>IF(ISNUMBER(F1104),E1104*F1104,"")</f>
        <v/>
      </c>
      <c r="H1104" s="32"/>
      <c r="I1104" s="28"/>
      <c r="J1104" s="125">
        <v>0</v>
      </c>
    </row>
    <row r="1105" spans="1:10" ht="15.75" hidden="1" thickBot="1" x14ac:dyDescent="0.3">
      <c r="A1105" s="234" t="s">
        <v>266</v>
      </c>
      <c r="B1105" s="237" t="s">
        <v>13444</v>
      </c>
      <c r="C1105" s="160"/>
      <c r="D1105" s="23" t="s">
        <v>16</v>
      </c>
      <c r="E1105" s="24"/>
      <c r="F1105" s="37" t="s">
        <v>418</v>
      </c>
      <c r="G1105" s="25" t="str">
        <f>IF(ISNUMBER(F1105),E1105*F1105,"")</f>
        <v/>
      </c>
      <c r="H1105" s="26"/>
      <c r="I1105" s="27"/>
      <c r="J1105" s="125">
        <v>0</v>
      </c>
    </row>
    <row r="1106" spans="1:10" ht="15.75" hidden="1" thickBot="1" x14ac:dyDescent="0.3">
      <c r="A1106" s="235"/>
      <c r="B1106" s="238"/>
      <c r="C1106" s="151"/>
      <c r="D1106" s="29"/>
      <c r="E1106" s="30"/>
      <c r="F1106" s="38" t="s">
        <v>418</v>
      </c>
      <c r="G1106" s="28" t="str">
        <f>IF(ISNUMBER(F1106),E1106*F1106,"")</f>
        <v/>
      </c>
      <c r="H1106" s="32"/>
      <c r="I1106" s="28"/>
      <c r="J1106" s="125">
        <v>0</v>
      </c>
    </row>
    <row r="1107" spans="1:10" ht="26.25" hidden="1" thickBot="1" x14ac:dyDescent="0.3">
      <c r="A1107" s="235"/>
      <c r="B1107" s="238"/>
      <c r="C1107" s="155" t="s">
        <v>267</v>
      </c>
      <c r="D1107" s="42" t="s">
        <v>97</v>
      </c>
      <c r="E1107" s="34">
        <v>1</v>
      </c>
      <c r="F1107" s="31" t="s">
        <v>418</v>
      </c>
      <c r="G1107" s="31" t="str">
        <f>IF(ISNUMBER(F1107),E1107*F1107,"")</f>
        <v/>
      </c>
      <c r="H1107" s="35">
        <f>SUM(G1107:G1108)</f>
        <v>1.9950000000000001</v>
      </c>
      <c r="I1107" s="36"/>
      <c r="J1107" s="125">
        <v>0</v>
      </c>
    </row>
    <row r="1108" spans="1:10" ht="26.25" hidden="1" thickBot="1" x14ac:dyDescent="0.3">
      <c r="A1108" s="235"/>
      <c r="B1108" s="238"/>
      <c r="C1108" s="155" t="s">
        <v>825</v>
      </c>
      <c r="D1108" s="155" t="s">
        <v>587</v>
      </c>
      <c r="E1108" s="34">
        <v>0.08</v>
      </c>
      <c r="F1108" s="28">
        <v>24.9375</v>
      </c>
      <c r="G1108" s="31">
        <f>IF(ISNUMBER(F1108),E1108*F1108,"")</f>
        <v>1.9950000000000001</v>
      </c>
      <c r="H1108" s="32"/>
      <c r="I1108" s="28"/>
      <c r="J1108" s="125">
        <v>0</v>
      </c>
    </row>
    <row r="1109" spans="1:10" ht="15.75" hidden="1" thickBot="1" x14ac:dyDescent="0.3">
      <c r="A1109" s="236"/>
      <c r="B1109" s="239"/>
      <c r="C1109" s="155"/>
      <c r="D1109" s="33"/>
      <c r="E1109" s="34"/>
      <c r="F1109" s="28" t="s">
        <v>418</v>
      </c>
      <c r="G1109" s="28" t="str">
        <f>IF(ISNUMBER(F1109),E1109*F1109,"")</f>
        <v/>
      </c>
      <c r="H1109" s="32"/>
      <c r="I1109" s="28"/>
      <c r="J1109" s="125">
        <v>0</v>
      </c>
    </row>
    <row r="1110" spans="1:10" ht="15.75" hidden="1" thickBot="1" x14ac:dyDescent="0.3">
      <c r="A1110" s="234" t="s">
        <v>268</v>
      </c>
      <c r="B1110" s="237" t="s">
        <v>13445</v>
      </c>
      <c r="C1110" s="160"/>
      <c r="D1110" s="23" t="s">
        <v>16</v>
      </c>
      <c r="E1110" s="24"/>
      <c r="F1110" s="37" t="s">
        <v>418</v>
      </c>
      <c r="G1110" s="25" t="str">
        <f>IF(ISNUMBER(F1110),E1110*F1110,"")</f>
        <v/>
      </c>
      <c r="H1110" s="26"/>
      <c r="I1110" s="27"/>
      <c r="J1110" s="125">
        <v>0</v>
      </c>
    </row>
    <row r="1111" spans="1:10" ht="15.75" hidden="1" thickBot="1" x14ac:dyDescent="0.3">
      <c r="A1111" s="235"/>
      <c r="B1111" s="238"/>
      <c r="C1111" s="151"/>
      <c r="D1111" s="29"/>
      <c r="E1111" s="30"/>
      <c r="F1111" s="38" t="s">
        <v>418</v>
      </c>
      <c r="G1111" s="28" t="str">
        <f>IF(ISNUMBER(F1111),E1111*F1111,"")</f>
        <v/>
      </c>
      <c r="H1111" s="32"/>
      <c r="I1111" s="28"/>
      <c r="J1111" s="125">
        <v>0</v>
      </c>
    </row>
    <row r="1112" spans="1:10" ht="26.25" hidden="1" thickBot="1" x14ac:dyDescent="0.3">
      <c r="A1112" s="235"/>
      <c r="B1112" s="238"/>
      <c r="C1112" s="155" t="s">
        <v>269</v>
      </c>
      <c r="D1112" s="42" t="s">
        <v>97</v>
      </c>
      <c r="E1112" s="34">
        <v>1</v>
      </c>
      <c r="F1112" s="31" t="s">
        <v>418</v>
      </c>
      <c r="G1112" s="31" t="str">
        <f>IF(ISNUMBER(F1112),E1112*F1112,"")</f>
        <v/>
      </c>
      <c r="H1112" s="35">
        <f>SUM(G1112:G1114)</f>
        <v>21.7835</v>
      </c>
      <c r="I1112" s="36"/>
      <c r="J1112" s="125">
        <v>0</v>
      </c>
    </row>
    <row r="1113" spans="1:10" ht="26.25" hidden="1" thickBot="1" x14ac:dyDescent="0.3">
      <c r="A1113" s="235"/>
      <c r="B1113" s="238"/>
      <c r="C1113" s="155" t="s">
        <v>825</v>
      </c>
      <c r="D1113" s="155" t="s">
        <v>587</v>
      </c>
      <c r="E1113" s="34">
        <v>0.5</v>
      </c>
      <c r="F1113" s="28">
        <v>24.9375</v>
      </c>
      <c r="G1113" s="31">
        <f>IF(ISNUMBER(F1113),E1113*F1113,"")</f>
        <v>12.46875</v>
      </c>
      <c r="H1113" s="32"/>
      <c r="I1113" s="28"/>
      <c r="J1113" s="125">
        <v>0</v>
      </c>
    </row>
    <row r="1114" spans="1:10" ht="26.25" hidden="1" thickBot="1" x14ac:dyDescent="0.3">
      <c r="A1114" s="235"/>
      <c r="B1114" s="238"/>
      <c r="C1114" s="155" t="s">
        <v>824</v>
      </c>
      <c r="D1114" s="155" t="s">
        <v>587</v>
      </c>
      <c r="E1114" s="34">
        <v>0.5</v>
      </c>
      <c r="F1114" s="28">
        <v>18.6295</v>
      </c>
      <c r="G1114" s="31">
        <f>IF(ISNUMBER(F1114),E1114*F1114,"")</f>
        <v>9.3147500000000001</v>
      </c>
      <c r="H1114" s="32"/>
      <c r="I1114" s="28"/>
      <c r="J1114" s="125">
        <v>0</v>
      </c>
    </row>
    <row r="1115" spans="1:10" ht="15.75" hidden="1" thickBot="1" x14ac:dyDescent="0.3">
      <c r="A1115" s="236"/>
      <c r="B1115" s="239"/>
      <c r="C1115" s="155"/>
      <c r="D1115" s="33"/>
      <c r="E1115" s="34"/>
      <c r="F1115" s="28" t="s">
        <v>418</v>
      </c>
      <c r="G1115" s="28" t="str">
        <f>IF(ISNUMBER(F1115),E1115*F1115,"")</f>
        <v/>
      </c>
      <c r="H1115" s="32"/>
      <c r="I1115" s="28"/>
      <c r="J1115" s="125">
        <v>0</v>
      </c>
    </row>
    <row r="1116" spans="1:10" ht="15.75" hidden="1" thickBot="1" x14ac:dyDescent="0.3">
      <c r="A1116" s="234" t="s">
        <v>270</v>
      </c>
      <c r="B1116" s="237" t="s">
        <v>1426</v>
      </c>
      <c r="C1116" s="160"/>
      <c r="D1116" s="23" t="s">
        <v>16</v>
      </c>
      <c r="E1116" s="24"/>
      <c r="F1116" s="37" t="s">
        <v>418</v>
      </c>
      <c r="G1116" s="25" t="str">
        <f>IF(ISNUMBER(F1116),E1116*F1116,"")</f>
        <v/>
      </c>
      <c r="H1116" s="26"/>
      <c r="I1116" s="27"/>
      <c r="J1116" s="125">
        <v>0</v>
      </c>
    </row>
    <row r="1117" spans="1:10" ht="15.75" hidden="1" thickBot="1" x14ac:dyDescent="0.3">
      <c r="A1117" s="235"/>
      <c r="B1117" s="238"/>
      <c r="C1117" s="151"/>
      <c r="D1117" s="29"/>
      <c r="E1117" s="30"/>
      <c r="F1117" s="38" t="s">
        <v>418</v>
      </c>
      <c r="G1117" s="28" t="str">
        <f>IF(ISNUMBER(F1117),E1117*F1117,"")</f>
        <v/>
      </c>
      <c r="H1117" s="32"/>
      <c r="I1117" s="28"/>
      <c r="J1117" s="125">
        <v>0</v>
      </c>
    </row>
    <row r="1118" spans="1:10" ht="26.25" hidden="1" thickBot="1" x14ac:dyDescent="0.3">
      <c r="A1118" s="235"/>
      <c r="B1118" s="238"/>
      <c r="C1118" s="155" t="s">
        <v>825</v>
      </c>
      <c r="D1118" s="155" t="s">
        <v>587</v>
      </c>
      <c r="E1118" s="34">
        <v>0.16209999999999999</v>
      </c>
      <c r="F1118" s="28">
        <v>24.9375</v>
      </c>
      <c r="G1118" s="31">
        <f>IF(ISNUMBER(F1118),E1118*F1118,"")</f>
        <v>4.0423687499999996</v>
      </c>
      <c r="H1118" s="35">
        <f>SUM(G1118:G1119)</f>
        <v>4.4652583999999997</v>
      </c>
      <c r="I1118" s="36"/>
      <c r="J1118" s="125">
        <v>0</v>
      </c>
    </row>
    <row r="1119" spans="1:10" ht="26.25" hidden="1" thickBot="1" x14ac:dyDescent="0.3">
      <c r="A1119" s="235"/>
      <c r="B1119" s="238"/>
      <c r="C1119" s="155" t="s">
        <v>824</v>
      </c>
      <c r="D1119" s="155" t="s">
        <v>587</v>
      </c>
      <c r="E1119" s="34">
        <v>2.2700000000000001E-2</v>
      </c>
      <c r="F1119" s="28">
        <v>18.6295</v>
      </c>
      <c r="G1119" s="31">
        <f>IF(ISNUMBER(F1119),E1119*F1119,"")</f>
        <v>0.42288965000000001</v>
      </c>
      <c r="H1119" s="40"/>
      <c r="I1119" s="41"/>
      <c r="J1119" s="125">
        <v>0</v>
      </c>
    </row>
    <row r="1120" spans="1:10" ht="15.75" hidden="1" thickBot="1" x14ac:dyDescent="0.3">
      <c r="A1120" s="236"/>
      <c r="B1120" s="239"/>
      <c r="C1120" s="155"/>
      <c r="D1120" s="33"/>
      <c r="E1120" s="34"/>
      <c r="F1120" s="28" t="s">
        <v>418</v>
      </c>
      <c r="G1120" s="28" t="str">
        <f>IF(ISNUMBER(F1120),E1120*F1120,"")</f>
        <v/>
      </c>
      <c r="H1120" s="32"/>
      <c r="I1120" s="28"/>
      <c r="J1120" s="125">
        <v>0</v>
      </c>
    </row>
    <row r="1121" spans="1:10" ht="15.75" hidden="1" thickBot="1" x14ac:dyDescent="0.3">
      <c r="A1121" s="234" t="s">
        <v>271</v>
      </c>
      <c r="B1121" s="237" t="s">
        <v>13446</v>
      </c>
      <c r="C1121" s="160"/>
      <c r="D1121" s="23" t="s">
        <v>16</v>
      </c>
      <c r="E1121" s="24"/>
      <c r="F1121" s="37" t="s">
        <v>418</v>
      </c>
      <c r="G1121" s="25" t="str">
        <f>IF(ISNUMBER(F1121),E1121*F1121,"")</f>
        <v/>
      </c>
      <c r="H1121" s="26"/>
      <c r="I1121" s="27"/>
      <c r="J1121" s="125">
        <v>0</v>
      </c>
    </row>
    <row r="1122" spans="1:10" ht="15.75" hidden="1" thickBot="1" x14ac:dyDescent="0.3">
      <c r="A1122" s="235"/>
      <c r="B1122" s="238"/>
      <c r="C1122" s="151"/>
      <c r="D1122" s="29"/>
      <c r="E1122" s="30"/>
      <c r="F1122" s="38" t="s">
        <v>418</v>
      </c>
      <c r="G1122" s="28" t="str">
        <f>IF(ISNUMBER(F1122),E1122*F1122,"")</f>
        <v/>
      </c>
      <c r="H1122" s="32"/>
      <c r="I1122" s="28"/>
      <c r="J1122" s="125">
        <v>0</v>
      </c>
    </row>
    <row r="1123" spans="1:10" ht="15.75" hidden="1" thickBot="1" x14ac:dyDescent="0.3">
      <c r="A1123" s="235"/>
      <c r="B1123" s="238"/>
      <c r="C1123" s="155" t="s">
        <v>25298</v>
      </c>
      <c r="D1123" s="155" t="s">
        <v>205</v>
      </c>
      <c r="E1123" s="34">
        <v>1</v>
      </c>
      <c r="F1123" s="31">
        <v>35.529999999999994</v>
      </c>
      <c r="G1123" s="31">
        <f>IF(ISNUMBER(F1123),E1123*F1123,"")</f>
        <v>35.529999999999994</v>
      </c>
      <c r="H1123" s="35">
        <f>SUM(G1123:G1126)</f>
        <v>40.311587499999995</v>
      </c>
      <c r="I1123" s="36"/>
      <c r="J1123" s="125">
        <v>0</v>
      </c>
    </row>
    <row r="1124" spans="1:10" ht="15.75" hidden="1" thickBot="1" x14ac:dyDescent="0.3">
      <c r="A1124" s="235"/>
      <c r="B1124" s="238"/>
      <c r="C1124" s="155" t="s">
        <v>25517</v>
      </c>
      <c r="D1124" s="155" t="s">
        <v>205</v>
      </c>
      <c r="E1124" s="34">
        <v>1.7500000000000002E-2</v>
      </c>
      <c r="F1124" s="31">
        <v>4.6550000000000002</v>
      </c>
      <c r="G1124" s="31">
        <f>IF(ISNUMBER(F1124),E1124*F1124,"")</f>
        <v>8.1462500000000007E-2</v>
      </c>
      <c r="H1124" s="32"/>
      <c r="I1124" s="28"/>
      <c r="J1124" s="125">
        <v>0</v>
      </c>
    </row>
    <row r="1125" spans="1:10" ht="26.25" hidden="1" thickBot="1" x14ac:dyDescent="0.3">
      <c r="A1125" s="235"/>
      <c r="B1125" s="238"/>
      <c r="C1125" s="155" t="s">
        <v>825</v>
      </c>
      <c r="D1125" s="155" t="s">
        <v>587</v>
      </c>
      <c r="E1125" s="34">
        <v>0.15</v>
      </c>
      <c r="F1125" s="28">
        <v>24.9375</v>
      </c>
      <c r="G1125" s="31">
        <f>IF(ISNUMBER(F1125),E1125*F1125,"")</f>
        <v>3.7406249999999996</v>
      </c>
      <c r="H1125" s="32"/>
      <c r="I1125" s="28"/>
      <c r="J1125" s="125">
        <v>0</v>
      </c>
    </row>
    <row r="1126" spans="1:10" ht="15.75" hidden="1" thickBot="1" x14ac:dyDescent="0.3">
      <c r="A1126" s="235"/>
      <c r="B1126" s="238"/>
      <c r="C1126" s="155" t="s">
        <v>588</v>
      </c>
      <c r="D1126" s="155" t="s">
        <v>587</v>
      </c>
      <c r="E1126" s="34">
        <v>0.05</v>
      </c>
      <c r="F1126" s="28">
        <v>19.189999999999998</v>
      </c>
      <c r="G1126" s="31">
        <f>IF(ISNUMBER(F1126),E1126*F1126,"")</f>
        <v>0.95949999999999991</v>
      </c>
      <c r="H1126" s="32"/>
      <c r="I1126" s="28"/>
      <c r="J1126" s="125">
        <v>0</v>
      </c>
    </row>
    <row r="1127" spans="1:10" ht="15.75" hidden="1" thickBot="1" x14ac:dyDescent="0.3">
      <c r="A1127" s="236"/>
      <c r="B1127" s="239"/>
      <c r="C1127" s="155"/>
      <c r="D1127" s="33"/>
      <c r="E1127" s="34"/>
      <c r="F1127" s="28" t="s">
        <v>418</v>
      </c>
      <c r="G1127" s="28" t="str">
        <f>IF(ISNUMBER(F1127),E1127*F1127,"")</f>
        <v/>
      </c>
      <c r="H1127" s="32"/>
      <c r="I1127" s="28"/>
      <c r="J1127" s="125">
        <v>0</v>
      </c>
    </row>
    <row r="1128" spans="1:10" ht="15.75" hidden="1" thickBot="1" x14ac:dyDescent="0.3">
      <c r="A1128" s="234" t="s">
        <v>272</v>
      </c>
      <c r="B1128" s="237" t="s">
        <v>13447</v>
      </c>
      <c r="C1128" s="160"/>
      <c r="D1128" s="23" t="s">
        <v>16</v>
      </c>
      <c r="E1128" s="24"/>
      <c r="F1128" s="37" t="s">
        <v>418</v>
      </c>
      <c r="G1128" s="25" t="str">
        <f>IF(ISNUMBER(F1128),E1128*F1128,"")</f>
        <v/>
      </c>
      <c r="H1128" s="26"/>
      <c r="I1128" s="27"/>
      <c r="J1128" s="125">
        <v>0</v>
      </c>
    </row>
    <row r="1129" spans="1:10" ht="15.75" hidden="1" thickBot="1" x14ac:dyDescent="0.3">
      <c r="A1129" s="235"/>
      <c r="B1129" s="238"/>
      <c r="C1129" s="151"/>
      <c r="D1129" s="29"/>
      <c r="E1129" s="30"/>
      <c r="F1129" s="38" t="s">
        <v>418</v>
      </c>
      <c r="G1129" s="28" t="str">
        <f>IF(ISNUMBER(F1129),E1129*F1129,"")</f>
        <v/>
      </c>
      <c r="H1129" s="32"/>
      <c r="I1129" s="28"/>
      <c r="J1129" s="125">
        <v>0</v>
      </c>
    </row>
    <row r="1130" spans="1:10" ht="26.25" hidden="1" thickBot="1" x14ac:dyDescent="0.3">
      <c r="A1130" s="235"/>
      <c r="B1130" s="238"/>
      <c r="C1130" s="155" t="s">
        <v>273</v>
      </c>
      <c r="D1130" s="42" t="s">
        <v>97</v>
      </c>
      <c r="E1130" s="34">
        <v>1</v>
      </c>
      <c r="F1130" s="31" t="s">
        <v>418</v>
      </c>
      <c r="G1130" s="31" t="str">
        <f>IF(ISNUMBER(F1130),E1130*F1130,"")</f>
        <v/>
      </c>
      <c r="H1130" s="35">
        <f>SUM(G1130:G1133)</f>
        <v>8.6266365</v>
      </c>
      <c r="I1130" s="36"/>
      <c r="J1130" s="125">
        <v>0</v>
      </c>
    </row>
    <row r="1131" spans="1:10" ht="15.75" hidden="1" thickBot="1" x14ac:dyDescent="0.3">
      <c r="A1131" s="235"/>
      <c r="B1131" s="238"/>
      <c r="C1131" s="155" t="s">
        <v>25517</v>
      </c>
      <c r="D1131" s="155" t="s">
        <v>205</v>
      </c>
      <c r="E1131" s="34">
        <v>3.32E-2</v>
      </c>
      <c r="F1131" s="31">
        <v>4.6550000000000002</v>
      </c>
      <c r="G1131" s="31">
        <f>IF(ISNUMBER(F1131),E1131*F1131,"")</f>
        <v>0.15454600000000002</v>
      </c>
      <c r="H1131" s="32"/>
      <c r="I1131" s="28"/>
      <c r="J1131" s="125">
        <v>0</v>
      </c>
    </row>
    <row r="1132" spans="1:10" ht="15.75" hidden="1" thickBot="1" x14ac:dyDescent="0.3">
      <c r="A1132" s="235"/>
      <c r="B1132" s="238"/>
      <c r="C1132" s="155" t="s">
        <v>588</v>
      </c>
      <c r="D1132" s="155" t="s">
        <v>587</v>
      </c>
      <c r="E1132" s="34">
        <v>8.6199999999999999E-2</v>
      </c>
      <c r="F1132" s="28">
        <v>19.189999999999998</v>
      </c>
      <c r="G1132" s="31">
        <f>IF(ISNUMBER(F1132),E1132*F1132,"")</f>
        <v>1.6541779999999997</v>
      </c>
      <c r="H1132" s="32"/>
      <c r="I1132" s="28"/>
      <c r="J1132" s="125">
        <v>0</v>
      </c>
    </row>
    <row r="1133" spans="1:10" ht="26.25" hidden="1" thickBot="1" x14ac:dyDescent="0.3">
      <c r="A1133" s="235"/>
      <c r="B1133" s="238"/>
      <c r="C1133" s="155" t="s">
        <v>825</v>
      </c>
      <c r="D1133" s="155" t="s">
        <v>587</v>
      </c>
      <c r="E1133" s="34">
        <v>0.27339999999999998</v>
      </c>
      <c r="F1133" s="28">
        <v>24.9375</v>
      </c>
      <c r="G1133" s="31">
        <f>IF(ISNUMBER(F1133),E1133*F1133,"")</f>
        <v>6.8179124999999994</v>
      </c>
      <c r="H1133" s="32"/>
      <c r="I1133" s="28"/>
      <c r="J1133" s="125">
        <v>0</v>
      </c>
    </row>
    <row r="1134" spans="1:10" ht="15.75" hidden="1" thickBot="1" x14ac:dyDescent="0.3">
      <c r="A1134" s="236"/>
      <c r="B1134" s="239"/>
      <c r="C1134" s="155"/>
      <c r="D1134" s="33"/>
      <c r="E1134" s="34"/>
      <c r="F1134" s="28" t="s">
        <v>418</v>
      </c>
      <c r="G1134" s="28" t="str">
        <f>IF(ISNUMBER(F1134),E1134*F1134,"")</f>
        <v/>
      </c>
      <c r="H1134" s="32"/>
      <c r="I1134" s="28"/>
      <c r="J1134" s="125">
        <v>0</v>
      </c>
    </row>
    <row r="1135" spans="1:10" ht="15.75" hidden="1" thickBot="1" x14ac:dyDescent="0.3">
      <c r="A1135" s="234" t="s">
        <v>274</v>
      </c>
      <c r="B1135" s="237" t="s">
        <v>1427</v>
      </c>
      <c r="C1135" s="160"/>
      <c r="D1135" s="23" t="s">
        <v>16</v>
      </c>
      <c r="E1135" s="24"/>
      <c r="F1135" s="37" t="s">
        <v>418</v>
      </c>
      <c r="G1135" s="25" t="str">
        <f>IF(ISNUMBER(F1135),E1135*F1135,"")</f>
        <v/>
      </c>
      <c r="H1135" s="26"/>
      <c r="I1135" s="27"/>
      <c r="J1135" s="125">
        <v>0</v>
      </c>
    </row>
    <row r="1136" spans="1:10" ht="15.75" hidden="1" thickBot="1" x14ac:dyDescent="0.3">
      <c r="A1136" s="235"/>
      <c r="B1136" s="238"/>
      <c r="C1136" s="151"/>
      <c r="D1136" s="29"/>
      <c r="E1136" s="30"/>
      <c r="F1136" s="38" t="s">
        <v>418</v>
      </c>
      <c r="G1136" s="28" t="str">
        <f>IF(ISNUMBER(F1136),E1136*F1136,"")</f>
        <v/>
      </c>
      <c r="H1136" s="32"/>
      <c r="I1136" s="28"/>
      <c r="J1136" s="125">
        <v>0</v>
      </c>
    </row>
    <row r="1137" spans="1:10" ht="15.75" hidden="1" thickBot="1" x14ac:dyDescent="0.3">
      <c r="A1137" s="235"/>
      <c r="B1137" s="238"/>
      <c r="C1137" s="155" t="s">
        <v>27376</v>
      </c>
      <c r="D1137" s="155" t="s">
        <v>205</v>
      </c>
      <c r="E1137" s="34">
        <v>1</v>
      </c>
      <c r="F1137" s="31">
        <v>141.54999999999998</v>
      </c>
      <c r="G1137" s="31">
        <f>IF(ISNUMBER(F1137),E1137*F1137,"")</f>
        <v>141.54999999999998</v>
      </c>
      <c r="H1137" s="35">
        <f>SUM(G1137:G1140)</f>
        <v>150.1766365</v>
      </c>
      <c r="I1137" s="36"/>
      <c r="J1137" s="125">
        <v>0</v>
      </c>
    </row>
    <row r="1138" spans="1:10" ht="15.75" hidden="1" thickBot="1" x14ac:dyDescent="0.3">
      <c r="A1138" s="235"/>
      <c r="B1138" s="238"/>
      <c r="C1138" s="155" t="s">
        <v>25517</v>
      </c>
      <c r="D1138" s="155" t="s">
        <v>205</v>
      </c>
      <c r="E1138" s="34">
        <v>3.32E-2</v>
      </c>
      <c r="F1138" s="31">
        <v>4.6550000000000002</v>
      </c>
      <c r="G1138" s="31">
        <f>IF(ISNUMBER(F1138),E1138*F1138,"")</f>
        <v>0.15454600000000002</v>
      </c>
      <c r="H1138" s="32"/>
      <c r="I1138" s="28"/>
      <c r="J1138" s="125">
        <v>0</v>
      </c>
    </row>
    <row r="1139" spans="1:10" ht="26.25" hidden="1" thickBot="1" x14ac:dyDescent="0.3">
      <c r="A1139" s="235"/>
      <c r="B1139" s="238"/>
      <c r="C1139" s="155" t="s">
        <v>825</v>
      </c>
      <c r="D1139" s="155" t="s">
        <v>587</v>
      </c>
      <c r="E1139" s="34">
        <v>0.27339999999999998</v>
      </c>
      <c r="F1139" s="28">
        <v>24.9375</v>
      </c>
      <c r="G1139" s="31">
        <f>IF(ISNUMBER(F1139),E1139*F1139,"")</f>
        <v>6.8179124999999994</v>
      </c>
      <c r="H1139" s="32"/>
      <c r="I1139" s="28"/>
      <c r="J1139" s="125">
        <v>0</v>
      </c>
    </row>
    <row r="1140" spans="1:10" ht="15.75" hidden="1" thickBot="1" x14ac:dyDescent="0.3">
      <c r="A1140" s="235"/>
      <c r="B1140" s="238"/>
      <c r="C1140" s="155" t="s">
        <v>588</v>
      </c>
      <c r="D1140" s="155" t="s">
        <v>587</v>
      </c>
      <c r="E1140" s="34">
        <v>8.6199999999999999E-2</v>
      </c>
      <c r="F1140" s="28">
        <v>19.189999999999998</v>
      </c>
      <c r="G1140" s="31">
        <f>IF(ISNUMBER(F1140),E1140*F1140,"")</f>
        <v>1.6541779999999997</v>
      </c>
      <c r="H1140" s="32"/>
      <c r="I1140" s="28"/>
      <c r="J1140" s="125">
        <v>0</v>
      </c>
    </row>
    <row r="1141" spans="1:10" ht="15.75" hidden="1" thickBot="1" x14ac:dyDescent="0.3">
      <c r="A1141" s="236"/>
      <c r="B1141" s="239"/>
      <c r="C1141" s="155"/>
      <c r="D1141" s="33"/>
      <c r="E1141" s="34"/>
      <c r="F1141" s="28" t="s">
        <v>418</v>
      </c>
      <c r="G1141" s="28" t="str">
        <f>IF(ISNUMBER(F1141),E1141*F1141,"")</f>
        <v/>
      </c>
      <c r="H1141" s="32"/>
      <c r="I1141" s="28"/>
      <c r="J1141" s="125">
        <v>0</v>
      </c>
    </row>
    <row r="1142" spans="1:10" ht="15.75" hidden="1" thickBot="1" x14ac:dyDescent="0.3">
      <c r="A1142" s="234" t="s">
        <v>275</v>
      </c>
      <c r="B1142" s="237" t="s">
        <v>13448</v>
      </c>
      <c r="C1142" s="160"/>
      <c r="D1142" s="23" t="s">
        <v>16</v>
      </c>
      <c r="E1142" s="24"/>
      <c r="F1142" s="37" t="s">
        <v>418</v>
      </c>
      <c r="G1142" s="25" t="str">
        <f>IF(ISNUMBER(F1142),E1142*F1142,"")</f>
        <v/>
      </c>
      <c r="H1142" s="26"/>
      <c r="I1142" s="27"/>
      <c r="J1142" s="125">
        <v>0</v>
      </c>
    </row>
    <row r="1143" spans="1:10" ht="15.75" hidden="1" thickBot="1" x14ac:dyDescent="0.3">
      <c r="A1143" s="235"/>
      <c r="B1143" s="238"/>
      <c r="C1143" s="151"/>
      <c r="D1143" s="29"/>
      <c r="E1143" s="30"/>
      <c r="F1143" s="38" t="s">
        <v>418</v>
      </c>
      <c r="G1143" s="28" t="str">
        <f>IF(ISNUMBER(F1143),E1143*F1143,"")</f>
        <v/>
      </c>
      <c r="H1143" s="32"/>
      <c r="I1143" s="28"/>
      <c r="J1143" s="125">
        <v>0</v>
      </c>
    </row>
    <row r="1144" spans="1:10" ht="15.75" hidden="1" thickBot="1" x14ac:dyDescent="0.3">
      <c r="A1144" s="235"/>
      <c r="B1144" s="238"/>
      <c r="C1144" s="155" t="s">
        <v>25517</v>
      </c>
      <c r="D1144" s="155" t="s">
        <v>205</v>
      </c>
      <c r="E1144" s="34">
        <v>3.32E-2</v>
      </c>
      <c r="F1144" s="31">
        <v>4.6550000000000002</v>
      </c>
      <c r="G1144" s="31">
        <f>IF(ISNUMBER(F1144),E1144*F1144,"")</f>
        <v>0.15454600000000002</v>
      </c>
      <c r="H1144" s="35">
        <f>SUM(G1144:G1147)</f>
        <v>158.53663649999999</v>
      </c>
      <c r="I1144" s="36"/>
      <c r="J1144" s="125">
        <v>0</v>
      </c>
    </row>
    <row r="1145" spans="1:10" ht="15.75" hidden="1" thickBot="1" x14ac:dyDescent="0.3">
      <c r="A1145" s="235"/>
      <c r="B1145" s="238"/>
      <c r="C1145" s="155" t="s">
        <v>588</v>
      </c>
      <c r="D1145" s="155" t="s">
        <v>587</v>
      </c>
      <c r="E1145" s="34">
        <v>8.6199999999999999E-2</v>
      </c>
      <c r="F1145" s="28">
        <v>19.189999999999998</v>
      </c>
      <c r="G1145" s="31">
        <f>IF(ISNUMBER(F1145),E1145*F1145,"")</f>
        <v>1.6541779999999997</v>
      </c>
      <c r="H1145" s="40"/>
      <c r="I1145" s="41"/>
      <c r="J1145" s="125">
        <v>0</v>
      </c>
    </row>
    <row r="1146" spans="1:10" ht="26.25" hidden="1" thickBot="1" x14ac:dyDescent="0.3">
      <c r="A1146" s="235"/>
      <c r="B1146" s="238"/>
      <c r="C1146" s="155" t="s">
        <v>825</v>
      </c>
      <c r="D1146" s="155" t="s">
        <v>587</v>
      </c>
      <c r="E1146" s="34">
        <v>0.27339999999999998</v>
      </c>
      <c r="F1146" s="28">
        <v>24.9375</v>
      </c>
      <c r="G1146" s="31">
        <f>IF(ISNUMBER(F1146),E1146*F1146,"")</f>
        <v>6.8179124999999994</v>
      </c>
      <c r="H1146" s="32"/>
      <c r="I1146" s="28"/>
      <c r="J1146" s="125">
        <v>0</v>
      </c>
    </row>
    <row r="1147" spans="1:10" ht="15.75" hidden="1" thickBot="1" x14ac:dyDescent="0.3">
      <c r="A1147" s="235"/>
      <c r="B1147" s="238"/>
      <c r="C1147" s="155" t="s">
        <v>27377</v>
      </c>
      <c r="D1147" s="155" t="s">
        <v>205</v>
      </c>
      <c r="E1147" s="34">
        <v>1</v>
      </c>
      <c r="F1147" s="31">
        <v>149.91</v>
      </c>
      <c r="G1147" s="28">
        <f>IF(ISNUMBER(F1147),E1147*F1147,"")</f>
        <v>149.91</v>
      </c>
      <c r="H1147" s="32"/>
      <c r="I1147" s="28"/>
      <c r="J1147" s="125">
        <v>0</v>
      </c>
    </row>
    <row r="1148" spans="1:10" ht="15.75" hidden="1" thickBot="1" x14ac:dyDescent="0.3">
      <c r="A1148" s="236"/>
      <c r="B1148" s="239"/>
      <c r="C1148" s="155"/>
      <c r="D1148" s="33"/>
      <c r="E1148" s="34"/>
      <c r="F1148" s="28" t="s">
        <v>418</v>
      </c>
      <c r="G1148" s="28" t="str">
        <f>IF(ISNUMBER(F1148),E1148*F1148,"")</f>
        <v/>
      </c>
      <c r="H1148" s="32"/>
      <c r="I1148" s="28"/>
      <c r="J1148" s="125">
        <v>0</v>
      </c>
    </row>
    <row r="1149" spans="1:10" ht="15.75" hidden="1" thickBot="1" x14ac:dyDescent="0.3">
      <c r="A1149" s="234" t="s">
        <v>276</v>
      </c>
      <c r="B1149" s="237" t="s">
        <v>1428</v>
      </c>
      <c r="C1149" s="160"/>
      <c r="D1149" s="23" t="s">
        <v>16</v>
      </c>
      <c r="E1149" s="24"/>
      <c r="F1149" s="37" t="s">
        <v>418</v>
      </c>
      <c r="G1149" s="25" t="str">
        <f>IF(ISNUMBER(F1149),E1149*F1149,"")</f>
        <v/>
      </c>
      <c r="H1149" s="26"/>
      <c r="I1149" s="27"/>
      <c r="J1149" s="125">
        <v>0</v>
      </c>
    </row>
    <row r="1150" spans="1:10" ht="15.75" hidden="1" thickBot="1" x14ac:dyDescent="0.3">
      <c r="A1150" s="235"/>
      <c r="B1150" s="238"/>
      <c r="C1150" s="151"/>
      <c r="D1150" s="29"/>
      <c r="E1150" s="30"/>
      <c r="F1150" s="38" t="s">
        <v>418</v>
      </c>
      <c r="G1150" s="28" t="str">
        <f>IF(ISNUMBER(F1150),E1150*F1150,"")</f>
        <v/>
      </c>
      <c r="H1150" s="32"/>
      <c r="I1150" s="28"/>
      <c r="J1150" s="125">
        <v>0</v>
      </c>
    </row>
    <row r="1151" spans="1:10" ht="15.75" hidden="1" thickBot="1" x14ac:dyDescent="0.3">
      <c r="A1151" s="235"/>
      <c r="B1151" s="238"/>
      <c r="C1151" s="155" t="s">
        <v>277</v>
      </c>
      <c r="D1151" s="42" t="s">
        <v>97</v>
      </c>
      <c r="E1151" s="34">
        <v>1</v>
      </c>
      <c r="F1151" s="31" t="s">
        <v>418</v>
      </c>
      <c r="G1151" s="31" t="str">
        <f>IF(ISNUMBER(F1151),E1151*F1151,"")</f>
        <v/>
      </c>
      <c r="H1151" s="35">
        <f>SUM(G1151:G1154)</f>
        <v>5.2623112499999998</v>
      </c>
      <c r="I1151" s="36"/>
      <c r="J1151" s="125">
        <v>0</v>
      </c>
    </row>
    <row r="1152" spans="1:10" ht="15.75" hidden="1" thickBot="1" x14ac:dyDescent="0.3">
      <c r="A1152" s="235"/>
      <c r="B1152" s="238"/>
      <c r="C1152" s="155" t="s">
        <v>25517</v>
      </c>
      <c r="D1152" s="155" t="s">
        <v>205</v>
      </c>
      <c r="E1152" s="34">
        <v>2.1000000000000001E-2</v>
      </c>
      <c r="F1152" s="31">
        <v>4.6550000000000002</v>
      </c>
      <c r="G1152" s="31">
        <f>IF(ISNUMBER(F1152),E1152*F1152,"")</f>
        <v>9.7755000000000009E-2</v>
      </c>
      <c r="H1152" s="32"/>
      <c r="I1152" s="28"/>
      <c r="J1152" s="125">
        <v>0</v>
      </c>
    </row>
    <row r="1153" spans="1:10" ht="26.25" hidden="1" thickBot="1" x14ac:dyDescent="0.3">
      <c r="A1153" s="235"/>
      <c r="B1153" s="238"/>
      <c r="C1153" s="155" t="s">
        <v>825</v>
      </c>
      <c r="D1153" s="155" t="s">
        <v>587</v>
      </c>
      <c r="E1153" s="34">
        <v>0.16669999999999999</v>
      </c>
      <c r="F1153" s="28">
        <v>24.9375</v>
      </c>
      <c r="G1153" s="31">
        <f>IF(ISNUMBER(F1153),E1153*F1153,"")</f>
        <v>4.1570812500000001</v>
      </c>
      <c r="H1153" s="32"/>
      <c r="I1153" s="28"/>
      <c r="J1153" s="125">
        <v>0</v>
      </c>
    </row>
    <row r="1154" spans="1:10" ht="15.75" hidden="1" thickBot="1" x14ac:dyDescent="0.3">
      <c r="A1154" s="235"/>
      <c r="B1154" s="238"/>
      <c r="C1154" s="155" t="s">
        <v>588</v>
      </c>
      <c r="D1154" s="155" t="s">
        <v>587</v>
      </c>
      <c r="E1154" s="34">
        <v>5.2499999999999998E-2</v>
      </c>
      <c r="F1154" s="28">
        <v>19.189999999999998</v>
      </c>
      <c r="G1154" s="31">
        <f>IF(ISNUMBER(F1154),E1154*F1154,"")</f>
        <v>1.0074749999999999</v>
      </c>
      <c r="H1154" s="32"/>
      <c r="I1154" s="28"/>
      <c r="J1154" s="125">
        <v>0</v>
      </c>
    </row>
    <row r="1155" spans="1:10" ht="15.75" hidden="1" thickBot="1" x14ac:dyDescent="0.3">
      <c r="A1155" s="236"/>
      <c r="B1155" s="239"/>
      <c r="C1155" s="155"/>
      <c r="D1155" s="33"/>
      <c r="E1155" s="34"/>
      <c r="F1155" s="28" t="s">
        <v>418</v>
      </c>
      <c r="G1155" s="28" t="str">
        <f>IF(ISNUMBER(F1155),E1155*F1155,"")</f>
        <v/>
      </c>
      <c r="H1155" s="32"/>
      <c r="I1155" s="28"/>
      <c r="J1155" s="125">
        <v>0</v>
      </c>
    </row>
    <row r="1156" spans="1:10" ht="15.75" hidden="1" thickBot="1" x14ac:dyDescent="0.3">
      <c r="A1156" s="234" t="s">
        <v>278</v>
      </c>
      <c r="B1156" s="237" t="s">
        <v>13449</v>
      </c>
      <c r="C1156" s="160"/>
      <c r="D1156" s="23" t="s">
        <v>16</v>
      </c>
      <c r="E1156" s="24"/>
      <c r="F1156" s="37" t="s">
        <v>418</v>
      </c>
      <c r="G1156" s="25" t="str">
        <f>IF(ISNUMBER(F1156),E1156*F1156,"")</f>
        <v/>
      </c>
      <c r="H1156" s="26"/>
      <c r="I1156" s="27"/>
      <c r="J1156" s="125">
        <v>0</v>
      </c>
    </row>
    <row r="1157" spans="1:10" ht="15.75" hidden="1" thickBot="1" x14ac:dyDescent="0.3">
      <c r="A1157" s="235"/>
      <c r="B1157" s="238"/>
      <c r="C1157" s="151"/>
      <c r="D1157" s="29"/>
      <c r="E1157" s="30"/>
      <c r="F1157" s="38" t="s">
        <v>418</v>
      </c>
      <c r="G1157" s="28" t="str">
        <f>IF(ISNUMBER(F1157),E1157*F1157,"")</f>
        <v/>
      </c>
      <c r="H1157" s="32"/>
      <c r="I1157" s="28"/>
      <c r="J1157" s="125">
        <v>0</v>
      </c>
    </row>
    <row r="1158" spans="1:10" ht="26.25" hidden="1" thickBot="1" x14ac:dyDescent="0.3">
      <c r="A1158" s="235"/>
      <c r="B1158" s="238"/>
      <c r="C1158" s="155" t="s">
        <v>279</v>
      </c>
      <c r="D1158" s="42" t="s">
        <v>97</v>
      </c>
      <c r="E1158" s="34">
        <v>1</v>
      </c>
      <c r="F1158" s="31" t="s">
        <v>418</v>
      </c>
      <c r="G1158" s="31" t="str">
        <f>IF(ISNUMBER(F1158),E1158*F1158,"")</f>
        <v/>
      </c>
      <c r="H1158" s="35">
        <f>SUM(G1158:G1161)</f>
        <v>5.2623112499999998</v>
      </c>
      <c r="I1158" s="36"/>
      <c r="J1158" s="125">
        <v>0</v>
      </c>
    </row>
    <row r="1159" spans="1:10" ht="15.75" hidden="1" thickBot="1" x14ac:dyDescent="0.3">
      <c r="A1159" s="235"/>
      <c r="B1159" s="238"/>
      <c r="C1159" s="155" t="s">
        <v>25517</v>
      </c>
      <c r="D1159" s="155" t="s">
        <v>205</v>
      </c>
      <c r="E1159" s="34">
        <v>2.1000000000000001E-2</v>
      </c>
      <c r="F1159" s="31">
        <v>4.6550000000000002</v>
      </c>
      <c r="G1159" s="31">
        <f>IF(ISNUMBER(F1159),E1159*F1159,"")</f>
        <v>9.7755000000000009E-2</v>
      </c>
      <c r="H1159" s="32"/>
      <c r="I1159" s="28"/>
      <c r="J1159" s="125">
        <v>0</v>
      </c>
    </row>
    <row r="1160" spans="1:10" ht="26.25" hidden="1" thickBot="1" x14ac:dyDescent="0.3">
      <c r="A1160" s="235"/>
      <c r="B1160" s="238"/>
      <c r="C1160" s="155" t="s">
        <v>825</v>
      </c>
      <c r="D1160" s="155" t="s">
        <v>587</v>
      </c>
      <c r="E1160" s="34">
        <v>0.16669999999999999</v>
      </c>
      <c r="F1160" s="28">
        <v>24.9375</v>
      </c>
      <c r="G1160" s="31">
        <f>IF(ISNUMBER(F1160),E1160*F1160,"")</f>
        <v>4.1570812500000001</v>
      </c>
      <c r="H1160" s="32"/>
      <c r="I1160" s="28"/>
      <c r="J1160" s="125">
        <v>0</v>
      </c>
    </row>
    <row r="1161" spans="1:10" ht="15.75" hidden="1" thickBot="1" x14ac:dyDescent="0.3">
      <c r="A1161" s="235"/>
      <c r="B1161" s="238"/>
      <c r="C1161" s="155" t="s">
        <v>588</v>
      </c>
      <c r="D1161" s="155" t="s">
        <v>587</v>
      </c>
      <c r="E1161" s="34">
        <v>5.2499999999999998E-2</v>
      </c>
      <c r="F1161" s="28">
        <v>19.189999999999998</v>
      </c>
      <c r="G1161" s="31">
        <f>IF(ISNUMBER(F1161),E1161*F1161,"")</f>
        <v>1.0074749999999999</v>
      </c>
      <c r="H1161" s="32"/>
      <c r="I1161" s="28"/>
      <c r="J1161" s="125">
        <v>0</v>
      </c>
    </row>
    <row r="1162" spans="1:10" ht="15.75" hidden="1" thickBot="1" x14ac:dyDescent="0.3">
      <c r="A1162" s="236"/>
      <c r="B1162" s="239"/>
      <c r="C1162" s="155"/>
      <c r="D1162" s="33"/>
      <c r="E1162" s="34"/>
      <c r="F1162" s="28" t="s">
        <v>418</v>
      </c>
      <c r="G1162" s="28" t="str">
        <f>IF(ISNUMBER(F1162),E1162*F1162,"")</f>
        <v/>
      </c>
      <c r="H1162" s="32"/>
      <c r="I1162" s="28"/>
      <c r="J1162" s="125">
        <v>0</v>
      </c>
    </row>
    <row r="1163" spans="1:10" ht="15.75" hidden="1" thickBot="1" x14ac:dyDescent="0.3">
      <c r="A1163" s="234" t="s">
        <v>280</v>
      </c>
      <c r="B1163" s="237" t="s">
        <v>1429</v>
      </c>
      <c r="C1163" s="160"/>
      <c r="D1163" s="23" t="s">
        <v>16</v>
      </c>
      <c r="E1163" s="24"/>
      <c r="F1163" s="37" t="s">
        <v>418</v>
      </c>
      <c r="G1163" s="25" t="str">
        <f>IF(ISNUMBER(F1163),E1163*F1163,"")</f>
        <v/>
      </c>
      <c r="H1163" s="26"/>
      <c r="I1163" s="27"/>
      <c r="J1163" s="125">
        <v>0</v>
      </c>
    </row>
    <row r="1164" spans="1:10" ht="15.75" hidden="1" thickBot="1" x14ac:dyDescent="0.3">
      <c r="A1164" s="235"/>
      <c r="B1164" s="238"/>
      <c r="C1164" s="151"/>
      <c r="D1164" s="29"/>
      <c r="E1164" s="30"/>
      <c r="F1164" s="38" t="s">
        <v>418</v>
      </c>
      <c r="G1164" s="28" t="str">
        <f>IF(ISNUMBER(F1164),E1164*F1164,"")</f>
        <v/>
      </c>
      <c r="H1164" s="32"/>
      <c r="I1164" s="28"/>
      <c r="J1164" s="125">
        <v>0</v>
      </c>
    </row>
    <row r="1165" spans="1:10" ht="26.25" hidden="1" thickBot="1" x14ac:dyDescent="0.3">
      <c r="A1165" s="235"/>
      <c r="B1165" s="238"/>
      <c r="C1165" s="155" t="s">
        <v>281</v>
      </c>
      <c r="D1165" s="42" t="s">
        <v>97</v>
      </c>
      <c r="E1165" s="34">
        <v>1</v>
      </c>
      <c r="F1165" s="31" t="s">
        <v>418</v>
      </c>
      <c r="G1165" s="31" t="str">
        <f>IF(ISNUMBER(F1165),E1165*F1165,"")</f>
        <v/>
      </c>
      <c r="H1165" s="35">
        <f>SUM(G1165:G1168)</f>
        <v>3.0732119999999998</v>
      </c>
      <c r="I1165" s="36"/>
      <c r="J1165" s="125">
        <v>0</v>
      </c>
    </row>
    <row r="1166" spans="1:10" ht="15.75" hidden="1" thickBot="1" x14ac:dyDescent="0.3">
      <c r="A1166" s="235"/>
      <c r="B1166" s="238"/>
      <c r="C1166" s="155" t="s">
        <v>25517</v>
      </c>
      <c r="D1166" s="155" t="s">
        <v>205</v>
      </c>
      <c r="E1166" s="34">
        <v>2.1000000000000001E-2</v>
      </c>
      <c r="F1166" s="31">
        <v>4.6550000000000002</v>
      </c>
      <c r="G1166" s="31">
        <f>IF(ISNUMBER(F1166),E1166*F1166,"")</f>
        <v>9.7755000000000009E-2</v>
      </c>
      <c r="H1166" s="32"/>
      <c r="I1166" s="28"/>
      <c r="J1166" s="125">
        <v>0</v>
      </c>
    </row>
    <row r="1167" spans="1:10" ht="26.25" hidden="1" thickBot="1" x14ac:dyDescent="0.3">
      <c r="A1167" s="235"/>
      <c r="B1167" s="238"/>
      <c r="C1167" s="155" t="s">
        <v>825</v>
      </c>
      <c r="D1167" s="155" t="s">
        <v>587</v>
      </c>
      <c r="E1167" s="34">
        <v>9.6000000000000002E-2</v>
      </c>
      <c r="F1167" s="28">
        <v>24.9375</v>
      </c>
      <c r="G1167" s="31">
        <f>IF(ISNUMBER(F1167),E1167*F1167,"")</f>
        <v>2.3940000000000001</v>
      </c>
      <c r="H1167" s="32"/>
      <c r="I1167" s="28"/>
      <c r="J1167" s="125">
        <v>0</v>
      </c>
    </row>
    <row r="1168" spans="1:10" ht="15.75" hidden="1" thickBot="1" x14ac:dyDescent="0.3">
      <c r="A1168" s="235"/>
      <c r="B1168" s="238"/>
      <c r="C1168" s="155" t="s">
        <v>588</v>
      </c>
      <c r="D1168" s="155" t="s">
        <v>587</v>
      </c>
      <c r="E1168" s="34">
        <v>3.0300000000000001E-2</v>
      </c>
      <c r="F1168" s="28">
        <v>19.189999999999998</v>
      </c>
      <c r="G1168" s="31">
        <f>IF(ISNUMBER(F1168),E1168*F1168,"")</f>
        <v>0.58145699999999989</v>
      </c>
      <c r="H1168" s="32"/>
      <c r="I1168" s="28"/>
      <c r="J1168" s="125">
        <v>0</v>
      </c>
    </row>
    <row r="1169" spans="1:10" ht="15.75" hidden="1" thickBot="1" x14ac:dyDescent="0.3">
      <c r="A1169" s="236"/>
      <c r="B1169" s="239"/>
      <c r="C1169" s="155"/>
      <c r="D1169" s="33"/>
      <c r="E1169" s="34"/>
      <c r="F1169" s="28" t="s">
        <v>418</v>
      </c>
      <c r="G1169" s="28" t="str">
        <f>IF(ISNUMBER(F1169),E1169*F1169,"")</f>
        <v/>
      </c>
      <c r="H1169" s="32"/>
      <c r="I1169" s="28"/>
      <c r="J1169" s="125">
        <v>0</v>
      </c>
    </row>
    <row r="1170" spans="1:10" ht="15.75" hidden="1" thickBot="1" x14ac:dyDescent="0.3">
      <c r="A1170" s="234" t="s">
        <v>282</v>
      </c>
      <c r="B1170" s="237" t="s">
        <v>13450</v>
      </c>
      <c r="C1170" s="160"/>
      <c r="D1170" s="23" t="s">
        <v>16</v>
      </c>
      <c r="E1170" s="24"/>
      <c r="F1170" s="37" t="s">
        <v>418</v>
      </c>
      <c r="G1170" s="25" t="str">
        <f>IF(ISNUMBER(F1170),E1170*F1170,"")</f>
        <v/>
      </c>
      <c r="H1170" s="26"/>
      <c r="I1170" s="27"/>
      <c r="J1170" s="125">
        <v>0</v>
      </c>
    </row>
    <row r="1171" spans="1:10" ht="15.75" hidden="1" thickBot="1" x14ac:dyDescent="0.3">
      <c r="A1171" s="235"/>
      <c r="B1171" s="238"/>
      <c r="C1171" s="151"/>
      <c r="D1171" s="29"/>
      <c r="E1171" s="30"/>
      <c r="F1171" s="38" t="s">
        <v>418</v>
      </c>
      <c r="G1171" s="28" t="str">
        <f>IF(ISNUMBER(F1171),E1171*F1171,"")</f>
        <v/>
      </c>
      <c r="H1171" s="32"/>
      <c r="I1171" s="28"/>
      <c r="J1171" s="125">
        <v>0</v>
      </c>
    </row>
    <row r="1172" spans="1:10" ht="26.25" hidden="1" thickBot="1" x14ac:dyDescent="0.3">
      <c r="A1172" s="235"/>
      <c r="B1172" s="238"/>
      <c r="C1172" s="155" t="s">
        <v>283</v>
      </c>
      <c r="D1172" s="42" t="s">
        <v>97</v>
      </c>
      <c r="E1172" s="34">
        <v>1</v>
      </c>
      <c r="F1172" s="31" t="s">
        <v>418</v>
      </c>
      <c r="G1172" s="31" t="str">
        <f>IF(ISNUMBER(F1172),E1172*F1172,"")</f>
        <v/>
      </c>
      <c r="H1172" s="35">
        <f>SUM(G1172:G1175)</f>
        <v>3.0732119999999998</v>
      </c>
      <c r="I1172" s="36"/>
      <c r="J1172" s="125">
        <v>0</v>
      </c>
    </row>
    <row r="1173" spans="1:10" ht="15.75" hidden="1" thickBot="1" x14ac:dyDescent="0.3">
      <c r="A1173" s="235"/>
      <c r="B1173" s="238"/>
      <c r="C1173" s="155" t="s">
        <v>25517</v>
      </c>
      <c r="D1173" s="155" t="s">
        <v>205</v>
      </c>
      <c r="E1173" s="34">
        <v>2.1000000000000001E-2</v>
      </c>
      <c r="F1173" s="31">
        <v>4.6550000000000002</v>
      </c>
      <c r="G1173" s="31">
        <f>IF(ISNUMBER(F1173),E1173*F1173,"")</f>
        <v>9.7755000000000009E-2</v>
      </c>
      <c r="H1173" s="32"/>
      <c r="I1173" s="28"/>
      <c r="J1173" s="125">
        <v>0</v>
      </c>
    </row>
    <row r="1174" spans="1:10" ht="26.25" hidden="1" thickBot="1" x14ac:dyDescent="0.3">
      <c r="A1174" s="235"/>
      <c r="B1174" s="238"/>
      <c r="C1174" s="155" t="s">
        <v>825</v>
      </c>
      <c r="D1174" s="155" t="s">
        <v>587</v>
      </c>
      <c r="E1174" s="34">
        <v>9.6000000000000002E-2</v>
      </c>
      <c r="F1174" s="28">
        <v>24.9375</v>
      </c>
      <c r="G1174" s="31">
        <f>IF(ISNUMBER(F1174),E1174*F1174,"")</f>
        <v>2.3940000000000001</v>
      </c>
      <c r="H1174" s="32"/>
      <c r="I1174" s="28"/>
      <c r="J1174" s="125">
        <v>0</v>
      </c>
    </row>
    <row r="1175" spans="1:10" ht="15.75" hidden="1" thickBot="1" x14ac:dyDescent="0.3">
      <c r="A1175" s="235"/>
      <c r="B1175" s="238"/>
      <c r="C1175" s="155" t="s">
        <v>588</v>
      </c>
      <c r="D1175" s="155" t="s">
        <v>587</v>
      </c>
      <c r="E1175" s="34">
        <v>3.0300000000000001E-2</v>
      </c>
      <c r="F1175" s="28">
        <v>19.189999999999998</v>
      </c>
      <c r="G1175" s="31">
        <f>IF(ISNUMBER(F1175),E1175*F1175,"")</f>
        <v>0.58145699999999989</v>
      </c>
      <c r="H1175" s="32"/>
      <c r="I1175" s="28"/>
      <c r="J1175" s="125">
        <v>0</v>
      </c>
    </row>
    <row r="1176" spans="1:10" ht="15.75" hidden="1" thickBot="1" x14ac:dyDescent="0.3">
      <c r="A1176" s="236"/>
      <c r="B1176" s="239"/>
      <c r="C1176" s="155"/>
      <c r="D1176" s="33"/>
      <c r="E1176" s="34"/>
      <c r="F1176" s="28" t="s">
        <v>418</v>
      </c>
      <c r="G1176" s="28" t="str">
        <f>IF(ISNUMBER(F1176),E1176*F1176,"")</f>
        <v/>
      </c>
      <c r="H1176" s="32"/>
      <c r="I1176" s="28"/>
      <c r="J1176" s="125">
        <v>0</v>
      </c>
    </row>
    <row r="1177" spans="1:10" ht="15.75" hidden="1" thickBot="1" x14ac:dyDescent="0.3">
      <c r="A1177" s="234" t="s">
        <v>284</v>
      </c>
      <c r="B1177" s="237" t="s">
        <v>13451</v>
      </c>
      <c r="C1177" s="160"/>
      <c r="D1177" s="23" t="s">
        <v>16</v>
      </c>
      <c r="E1177" s="24"/>
      <c r="F1177" s="37" t="s">
        <v>418</v>
      </c>
      <c r="G1177" s="25" t="str">
        <f>IF(ISNUMBER(F1177),E1177*F1177,"")</f>
        <v/>
      </c>
      <c r="H1177" s="26"/>
      <c r="I1177" s="27"/>
      <c r="J1177" s="125">
        <v>0</v>
      </c>
    </row>
    <row r="1178" spans="1:10" ht="15.75" hidden="1" thickBot="1" x14ac:dyDescent="0.3">
      <c r="A1178" s="235"/>
      <c r="B1178" s="238"/>
      <c r="C1178" s="151"/>
      <c r="D1178" s="29"/>
      <c r="E1178" s="30"/>
      <c r="F1178" s="38" t="s">
        <v>418</v>
      </c>
      <c r="G1178" s="28" t="str">
        <f>IF(ISNUMBER(F1178),E1178*F1178,"")</f>
        <v/>
      </c>
      <c r="H1178" s="32"/>
      <c r="I1178" s="28"/>
      <c r="J1178" s="125">
        <v>0</v>
      </c>
    </row>
    <row r="1179" spans="1:10" ht="26.25" hidden="1" thickBot="1" x14ac:dyDescent="0.3">
      <c r="A1179" s="235"/>
      <c r="B1179" s="238"/>
      <c r="C1179" s="155" t="s">
        <v>285</v>
      </c>
      <c r="D1179" s="42" t="s">
        <v>97</v>
      </c>
      <c r="E1179" s="34">
        <v>1</v>
      </c>
      <c r="F1179" s="31" t="s">
        <v>418</v>
      </c>
      <c r="G1179" s="31" t="str">
        <f>IF(ISNUMBER(F1179),E1179*F1179,"")</f>
        <v/>
      </c>
      <c r="H1179" s="35">
        <f>SUM(G1179:G1182)</f>
        <v>3.0732119999999998</v>
      </c>
      <c r="I1179" s="36"/>
      <c r="J1179" s="125">
        <v>0</v>
      </c>
    </row>
    <row r="1180" spans="1:10" ht="15.75" hidden="1" thickBot="1" x14ac:dyDescent="0.3">
      <c r="A1180" s="235"/>
      <c r="B1180" s="238"/>
      <c r="C1180" s="155" t="s">
        <v>25517</v>
      </c>
      <c r="D1180" s="155" t="s">
        <v>205</v>
      </c>
      <c r="E1180" s="34">
        <v>2.1000000000000001E-2</v>
      </c>
      <c r="F1180" s="31">
        <v>4.6550000000000002</v>
      </c>
      <c r="G1180" s="31">
        <f>IF(ISNUMBER(F1180),E1180*F1180,"")</f>
        <v>9.7755000000000009E-2</v>
      </c>
      <c r="H1180" s="32"/>
      <c r="I1180" s="28"/>
      <c r="J1180" s="125">
        <v>0</v>
      </c>
    </row>
    <row r="1181" spans="1:10" ht="26.25" hidden="1" thickBot="1" x14ac:dyDescent="0.3">
      <c r="A1181" s="235"/>
      <c r="B1181" s="238"/>
      <c r="C1181" s="155" t="s">
        <v>825</v>
      </c>
      <c r="D1181" s="155" t="s">
        <v>587</v>
      </c>
      <c r="E1181" s="34">
        <v>9.6000000000000002E-2</v>
      </c>
      <c r="F1181" s="28">
        <v>24.9375</v>
      </c>
      <c r="G1181" s="31">
        <f>IF(ISNUMBER(F1181),E1181*F1181,"")</f>
        <v>2.3940000000000001</v>
      </c>
      <c r="H1181" s="32"/>
      <c r="I1181" s="28"/>
      <c r="J1181" s="125">
        <v>0</v>
      </c>
    </row>
    <row r="1182" spans="1:10" ht="15.75" hidden="1" thickBot="1" x14ac:dyDescent="0.3">
      <c r="A1182" s="235"/>
      <c r="B1182" s="238"/>
      <c r="C1182" s="155" t="s">
        <v>588</v>
      </c>
      <c r="D1182" s="155" t="s">
        <v>587</v>
      </c>
      <c r="E1182" s="34">
        <v>3.0300000000000001E-2</v>
      </c>
      <c r="F1182" s="28">
        <v>19.189999999999998</v>
      </c>
      <c r="G1182" s="31">
        <f>IF(ISNUMBER(F1182),E1182*F1182,"")</f>
        <v>0.58145699999999989</v>
      </c>
      <c r="H1182" s="32"/>
      <c r="I1182" s="28"/>
      <c r="J1182" s="125">
        <v>0</v>
      </c>
    </row>
    <row r="1183" spans="1:10" ht="15.75" hidden="1" thickBot="1" x14ac:dyDescent="0.3">
      <c r="A1183" s="236"/>
      <c r="B1183" s="239"/>
      <c r="C1183" s="155"/>
      <c r="D1183" s="33"/>
      <c r="E1183" s="34"/>
      <c r="F1183" s="28" t="s">
        <v>418</v>
      </c>
      <c r="G1183" s="28" t="str">
        <f>IF(ISNUMBER(F1183),E1183*F1183,"")</f>
        <v/>
      </c>
      <c r="H1183" s="32"/>
      <c r="I1183" s="28"/>
      <c r="J1183" s="125">
        <v>0</v>
      </c>
    </row>
    <row r="1184" spans="1:10" ht="15.75" hidden="1" thickBot="1" x14ac:dyDescent="0.3">
      <c r="A1184" s="234" t="s">
        <v>286</v>
      </c>
      <c r="B1184" s="237" t="s">
        <v>1430</v>
      </c>
      <c r="C1184" s="160"/>
      <c r="D1184" s="23" t="s">
        <v>16</v>
      </c>
      <c r="E1184" s="24"/>
      <c r="F1184" s="37" t="s">
        <v>418</v>
      </c>
      <c r="G1184" s="25" t="str">
        <f>IF(ISNUMBER(F1184),E1184*F1184,"")</f>
        <v/>
      </c>
      <c r="H1184" s="26"/>
      <c r="I1184" s="27"/>
      <c r="J1184" s="125">
        <v>0</v>
      </c>
    </row>
    <row r="1185" spans="1:10" ht="15.75" hidden="1" thickBot="1" x14ac:dyDescent="0.3">
      <c r="A1185" s="235"/>
      <c r="B1185" s="238"/>
      <c r="C1185" s="151"/>
      <c r="D1185" s="29"/>
      <c r="E1185" s="30"/>
      <c r="F1185" s="38" t="s">
        <v>418</v>
      </c>
      <c r="G1185" s="28" t="str">
        <f>IF(ISNUMBER(F1185),E1185*F1185,"")</f>
        <v/>
      </c>
      <c r="H1185" s="32"/>
      <c r="I1185" s="28"/>
      <c r="J1185" s="125">
        <v>0</v>
      </c>
    </row>
    <row r="1186" spans="1:10" ht="26.25" hidden="1" thickBot="1" x14ac:dyDescent="0.3">
      <c r="A1186" s="235"/>
      <c r="B1186" s="238"/>
      <c r="C1186" s="155" t="s">
        <v>27895</v>
      </c>
      <c r="D1186" s="155" t="s">
        <v>205</v>
      </c>
      <c r="E1186" s="34">
        <v>1</v>
      </c>
      <c r="F1186" s="31">
        <v>87.171999999999997</v>
      </c>
      <c r="G1186" s="31">
        <f>IF(ISNUMBER(F1186),E1186*F1186,"")</f>
        <v>87.171999999999997</v>
      </c>
      <c r="H1186" s="35">
        <f>SUM(G1186:G1189)</f>
        <v>90.245212000000009</v>
      </c>
      <c r="I1186" s="36"/>
      <c r="J1186" s="125">
        <v>0</v>
      </c>
    </row>
    <row r="1187" spans="1:10" ht="15.75" hidden="1" thickBot="1" x14ac:dyDescent="0.3">
      <c r="A1187" s="235"/>
      <c r="B1187" s="238"/>
      <c r="C1187" s="155" t="s">
        <v>25517</v>
      </c>
      <c r="D1187" s="155" t="s">
        <v>205</v>
      </c>
      <c r="E1187" s="34">
        <v>2.1000000000000001E-2</v>
      </c>
      <c r="F1187" s="31">
        <v>4.6550000000000002</v>
      </c>
      <c r="G1187" s="31">
        <f>IF(ISNUMBER(F1187),E1187*F1187,"")</f>
        <v>9.7755000000000009E-2</v>
      </c>
      <c r="H1187" s="32"/>
      <c r="I1187" s="28"/>
      <c r="J1187" s="125">
        <v>0</v>
      </c>
    </row>
    <row r="1188" spans="1:10" ht="26.25" hidden="1" thickBot="1" x14ac:dyDescent="0.3">
      <c r="A1188" s="235"/>
      <c r="B1188" s="238"/>
      <c r="C1188" s="155" t="s">
        <v>825</v>
      </c>
      <c r="D1188" s="155" t="s">
        <v>587</v>
      </c>
      <c r="E1188" s="34">
        <v>9.6000000000000002E-2</v>
      </c>
      <c r="F1188" s="28">
        <v>24.9375</v>
      </c>
      <c r="G1188" s="31">
        <f>IF(ISNUMBER(F1188),E1188*F1188,"")</f>
        <v>2.3940000000000001</v>
      </c>
      <c r="H1188" s="32"/>
      <c r="I1188" s="28"/>
      <c r="J1188" s="125">
        <v>0</v>
      </c>
    </row>
    <row r="1189" spans="1:10" ht="15.75" hidden="1" thickBot="1" x14ac:dyDescent="0.3">
      <c r="A1189" s="235"/>
      <c r="B1189" s="238"/>
      <c r="C1189" s="155" t="s">
        <v>588</v>
      </c>
      <c r="D1189" s="155" t="s">
        <v>587</v>
      </c>
      <c r="E1189" s="34">
        <v>3.0300000000000001E-2</v>
      </c>
      <c r="F1189" s="28">
        <v>19.189999999999998</v>
      </c>
      <c r="G1189" s="31">
        <f>IF(ISNUMBER(F1189),E1189*F1189,"")</f>
        <v>0.58145699999999989</v>
      </c>
      <c r="H1189" s="32"/>
      <c r="I1189" s="28"/>
      <c r="J1189" s="125">
        <v>0</v>
      </c>
    </row>
    <row r="1190" spans="1:10" ht="15.75" hidden="1" thickBot="1" x14ac:dyDescent="0.3">
      <c r="A1190" s="236"/>
      <c r="B1190" s="239"/>
      <c r="C1190" s="155"/>
      <c r="D1190" s="33"/>
      <c r="E1190" s="34"/>
      <c r="F1190" s="28" t="s">
        <v>418</v>
      </c>
      <c r="G1190" s="28" t="str">
        <f>IF(ISNUMBER(F1190),E1190*F1190,"")</f>
        <v/>
      </c>
      <c r="H1190" s="32"/>
      <c r="I1190" s="28"/>
      <c r="J1190" s="125">
        <v>0</v>
      </c>
    </row>
    <row r="1191" spans="1:10" ht="15.75" hidden="1" thickBot="1" x14ac:dyDescent="0.3">
      <c r="A1191" s="234" t="s">
        <v>287</v>
      </c>
      <c r="B1191" s="237" t="s">
        <v>13452</v>
      </c>
      <c r="C1191" s="160"/>
      <c r="D1191" s="23" t="s">
        <v>16</v>
      </c>
      <c r="E1191" s="24"/>
      <c r="F1191" s="37" t="s">
        <v>418</v>
      </c>
      <c r="G1191" s="25" t="str">
        <f>IF(ISNUMBER(F1191),E1191*F1191,"")</f>
        <v/>
      </c>
      <c r="H1191" s="26"/>
      <c r="I1191" s="27"/>
      <c r="J1191" s="125">
        <v>0</v>
      </c>
    </row>
    <row r="1192" spans="1:10" ht="15.75" hidden="1" thickBot="1" x14ac:dyDescent="0.3">
      <c r="A1192" s="235"/>
      <c r="B1192" s="238"/>
      <c r="C1192" s="151"/>
      <c r="D1192" s="29"/>
      <c r="E1192" s="30"/>
      <c r="F1192" s="38" t="s">
        <v>418</v>
      </c>
      <c r="G1192" s="28" t="str">
        <f>IF(ISNUMBER(F1192),E1192*F1192,"")</f>
        <v/>
      </c>
      <c r="H1192" s="32"/>
      <c r="I1192" s="28"/>
      <c r="J1192" s="125">
        <v>0</v>
      </c>
    </row>
    <row r="1193" spans="1:10" ht="26.25" hidden="1" thickBot="1" x14ac:dyDescent="0.3">
      <c r="A1193" s="235"/>
      <c r="B1193" s="238"/>
      <c r="C1193" s="155" t="s">
        <v>288</v>
      </c>
      <c r="D1193" s="42" t="s">
        <v>97</v>
      </c>
      <c r="E1193" s="34">
        <v>1</v>
      </c>
      <c r="F1193" s="31" t="s">
        <v>418</v>
      </c>
      <c r="G1193" s="31" t="str">
        <f>IF(ISNUMBER(F1193),E1193*F1193,"")</f>
        <v/>
      </c>
      <c r="H1193" s="35">
        <f>SUM(G1193:G1196)</f>
        <v>3.7047530000000002</v>
      </c>
      <c r="I1193" s="36"/>
      <c r="J1193" s="125">
        <v>0</v>
      </c>
    </row>
    <row r="1194" spans="1:10" ht="15.75" hidden="1" thickBot="1" x14ac:dyDescent="0.3">
      <c r="A1194" s="235"/>
      <c r="B1194" s="238"/>
      <c r="C1194" s="155" t="s">
        <v>25517</v>
      </c>
      <c r="D1194" s="155" t="s">
        <v>205</v>
      </c>
      <c r="E1194" s="34">
        <v>2.1000000000000001E-2</v>
      </c>
      <c r="F1194" s="31">
        <v>4.6550000000000002</v>
      </c>
      <c r="G1194" s="31">
        <f>IF(ISNUMBER(F1194),E1194*F1194,"")</f>
        <v>9.7755000000000009E-2</v>
      </c>
      <c r="H1194" s="32"/>
      <c r="I1194" s="28"/>
      <c r="J1194" s="125">
        <v>0</v>
      </c>
    </row>
    <row r="1195" spans="1:10" ht="26.25" hidden="1" thickBot="1" x14ac:dyDescent="0.3">
      <c r="A1195" s="235"/>
      <c r="B1195" s="238"/>
      <c r="C1195" s="155" t="s">
        <v>825</v>
      </c>
      <c r="D1195" s="155" t="s">
        <v>587</v>
      </c>
      <c r="E1195" s="34">
        <v>0.1164</v>
      </c>
      <c r="F1195" s="28">
        <v>24.9375</v>
      </c>
      <c r="G1195" s="31">
        <f>IF(ISNUMBER(F1195),E1195*F1195,"")</f>
        <v>2.9027250000000002</v>
      </c>
      <c r="H1195" s="32"/>
      <c r="I1195" s="28"/>
      <c r="J1195" s="125">
        <v>0</v>
      </c>
    </row>
    <row r="1196" spans="1:10" ht="15.75" hidden="1" thickBot="1" x14ac:dyDescent="0.3">
      <c r="A1196" s="235"/>
      <c r="B1196" s="238"/>
      <c r="C1196" s="155" t="s">
        <v>588</v>
      </c>
      <c r="D1196" s="155" t="s">
        <v>587</v>
      </c>
      <c r="E1196" s="34">
        <v>3.6700000000000003E-2</v>
      </c>
      <c r="F1196" s="28">
        <v>19.189999999999998</v>
      </c>
      <c r="G1196" s="31">
        <f>IF(ISNUMBER(F1196),E1196*F1196,"")</f>
        <v>0.70427300000000004</v>
      </c>
      <c r="H1196" s="32"/>
      <c r="I1196" s="28"/>
      <c r="J1196" s="125">
        <v>0</v>
      </c>
    </row>
    <row r="1197" spans="1:10" ht="15.75" hidden="1" thickBot="1" x14ac:dyDescent="0.3">
      <c r="A1197" s="236"/>
      <c r="B1197" s="239"/>
      <c r="C1197" s="155"/>
      <c r="D1197" s="33"/>
      <c r="E1197" s="34"/>
      <c r="F1197" s="28" t="s">
        <v>418</v>
      </c>
      <c r="G1197" s="28" t="str">
        <f>IF(ISNUMBER(F1197),E1197*F1197,"")</f>
        <v/>
      </c>
      <c r="H1197" s="32"/>
      <c r="I1197" s="28"/>
      <c r="J1197" s="125">
        <v>0</v>
      </c>
    </row>
    <row r="1198" spans="1:10" ht="15.75" hidden="1" thickBot="1" x14ac:dyDescent="0.3">
      <c r="A1198" s="234" t="s">
        <v>289</v>
      </c>
      <c r="B1198" s="237" t="s">
        <v>13453</v>
      </c>
      <c r="C1198" s="160"/>
      <c r="D1198" s="23" t="s">
        <v>16</v>
      </c>
      <c r="E1198" s="24"/>
      <c r="F1198" s="37" t="s">
        <v>418</v>
      </c>
      <c r="G1198" s="25" t="str">
        <f>IF(ISNUMBER(F1198),E1198*F1198,"")</f>
        <v/>
      </c>
      <c r="H1198" s="26"/>
      <c r="I1198" s="27"/>
      <c r="J1198" s="125">
        <v>0</v>
      </c>
    </row>
    <row r="1199" spans="1:10" ht="15.75" hidden="1" thickBot="1" x14ac:dyDescent="0.3">
      <c r="A1199" s="235"/>
      <c r="B1199" s="238"/>
      <c r="C1199" s="151"/>
      <c r="D1199" s="29"/>
      <c r="E1199" s="30"/>
      <c r="F1199" s="38" t="s">
        <v>418</v>
      </c>
      <c r="G1199" s="28" t="str">
        <f>IF(ISNUMBER(F1199),E1199*F1199,"")</f>
        <v/>
      </c>
      <c r="H1199" s="32"/>
      <c r="I1199" s="28"/>
      <c r="J1199" s="125">
        <v>0</v>
      </c>
    </row>
    <row r="1200" spans="1:10" ht="15.75" hidden="1" thickBot="1" x14ac:dyDescent="0.3">
      <c r="A1200" s="235"/>
      <c r="B1200" s="238"/>
      <c r="C1200" s="155" t="s">
        <v>25517</v>
      </c>
      <c r="D1200" s="155" t="s">
        <v>205</v>
      </c>
      <c r="E1200" s="34">
        <v>2.1000000000000001E-2</v>
      </c>
      <c r="F1200" s="31">
        <v>4.6550000000000002</v>
      </c>
      <c r="G1200" s="31">
        <f>IF(ISNUMBER(F1200),E1200*F1200,"")</f>
        <v>9.7755000000000009E-2</v>
      </c>
      <c r="H1200" s="35">
        <f>SUM(G1200:G1203)</f>
        <v>39.688762750000002</v>
      </c>
      <c r="I1200" s="36"/>
      <c r="J1200" s="125">
        <v>0</v>
      </c>
    </row>
    <row r="1201" spans="1:10" ht="26.25" hidden="1" thickBot="1" x14ac:dyDescent="0.3">
      <c r="A1201" s="235"/>
      <c r="B1201" s="238"/>
      <c r="C1201" s="155" t="s">
        <v>825</v>
      </c>
      <c r="D1201" s="155" t="s">
        <v>587</v>
      </c>
      <c r="E1201" s="34">
        <v>0.1525</v>
      </c>
      <c r="F1201" s="28">
        <v>24.9375</v>
      </c>
      <c r="G1201" s="31">
        <f>IF(ISNUMBER(F1201),E1201*F1201,"")</f>
        <v>3.8029687499999998</v>
      </c>
      <c r="H1201" s="32"/>
      <c r="I1201" s="28"/>
      <c r="J1201" s="125">
        <v>0</v>
      </c>
    </row>
    <row r="1202" spans="1:10" ht="15.75" hidden="1" thickBot="1" x14ac:dyDescent="0.3">
      <c r="A1202" s="235"/>
      <c r="B1202" s="238"/>
      <c r="C1202" s="155" t="s">
        <v>588</v>
      </c>
      <c r="D1202" s="155" t="s">
        <v>587</v>
      </c>
      <c r="E1202" s="34">
        <v>4.8099999999999997E-2</v>
      </c>
      <c r="F1202" s="28">
        <v>19.189999999999998</v>
      </c>
      <c r="G1202" s="31">
        <f>IF(ISNUMBER(F1202),E1202*F1202,"")</f>
        <v>0.92303899999999983</v>
      </c>
      <c r="H1202" s="32"/>
      <c r="I1202" s="28"/>
      <c r="J1202" s="125">
        <v>0</v>
      </c>
    </row>
    <row r="1203" spans="1:10" ht="39" hidden="1" thickBot="1" x14ac:dyDescent="0.3">
      <c r="A1203" s="235"/>
      <c r="B1203" s="238"/>
      <c r="C1203" s="155" t="s">
        <v>27898</v>
      </c>
      <c r="D1203" s="155" t="s">
        <v>205</v>
      </c>
      <c r="E1203" s="34">
        <v>1</v>
      </c>
      <c r="F1203" s="31">
        <v>34.865000000000002</v>
      </c>
      <c r="G1203" s="28">
        <f>IF(ISNUMBER(F1203),E1203*F1203,"")</f>
        <v>34.865000000000002</v>
      </c>
      <c r="H1203" s="32"/>
      <c r="I1203" s="28"/>
      <c r="J1203" s="125">
        <v>0</v>
      </c>
    </row>
    <row r="1204" spans="1:10" ht="15.75" hidden="1" thickBot="1" x14ac:dyDescent="0.3">
      <c r="A1204" s="236"/>
      <c r="B1204" s="239"/>
      <c r="C1204" s="155"/>
      <c r="D1204" s="33"/>
      <c r="E1204" s="34"/>
      <c r="F1204" s="28" t="s">
        <v>418</v>
      </c>
      <c r="G1204" s="28" t="str">
        <f>IF(ISNUMBER(F1204),E1204*F1204,"")</f>
        <v/>
      </c>
      <c r="H1204" s="32"/>
      <c r="I1204" s="28"/>
      <c r="J1204" s="125">
        <v>0</v>
      </c>
    </row>
    <row r="1205" spans="1:10" ht="15.75" hidden="1" thickBot="1" x14ac:dyDescent="0.3">
      <c r="A1205" s="234" t="s">
        <v>290</v>
      </c>
      <c r="B1205" s="237" t="s">
        <v>13492</v>
      </c>
      <c r="C1205" s="160"/>
      <c r="D1205" s="23" t="s">
        <v>16</v>
      </c>
      <c r="E1205" s="24"/>
      <c r="F1205" s="37" t="s">
        <v>418</v>
      </c>
      <c r="G1205" s="25" t="str">
        <f>IF(ISNUMBER(F1205),E1205*F1205,"")</f>
        <v/>
      </c>
      <c r="H1205" s="26"/>
      <c r="I1205" s="27"/>
      <c r="J1205" s="125">
        <v>0</v>
      </c>
    </row>
    <row r="1206" spans="1:10" ht="15.75" hidden="1" thickBot="1" x14ac:dyDescent="0.3">
      <c r="A1206" s="235"/>
      <c r="B1206" s="238"/>
      <c r="C1206" s="151"/>
      <c r="D1206" s="29"/>
      <c r="E1206" s="30"/>
      <c r="F1206" s="38" t="s">
        <v>418</v>
      </c>
      <c r="G1206" s="28" t="str">
        <f>IF(ISNUMBER(F1206),E1206*F1206,"")</f>
        <v/>
      </c>
      <c r="H1206" s="32"/>
      <c r="I1206" s="28"/>
      <c r="J1206" s="125">
        <v>0</v>
      </c>
    </row>
    <row r="1207" spans="1:10" ht="26.25" hidden="1" thickBot="1" x14ac:dyDescent="0.3">
      <c r="A1207" s="235"/>
      <c r="B1207" s="238"/>
      <c r="C1207" s="137" t="s">
        <v>14325</v>
      </c>
      <c r="D1207" s="42" t="s">
        <v>97</v>
      </c>
      <c r="E1207" s="34">
        <v>1</v>
      </c>
      <c r="F1207" s="31" t="s">
        <v>418</v>
      </c>
      <c r="G1207" s="31" t="str">
        <f>IF(ISNUMBER(F1207),E1207*F1207,"")</f>
        <v/>
      </c>
      <c r="H1207" s="35">
        <f>SUM(G1207:G1209)</f>
        <v>21.7835</v>
      </c>
      <c r="I1207" s="36"/>
      <c r="J1207" s="125">
        <v>0</v>
      </c>
    </row>
    <row r="1208" spans="1:10" ht="26.25" hidden="1" thickBot="1" x14ac:dyDescent="0.3">
      <c r="A1208" s="235"/>
      <c r="B1208" s="238"/>
      <c r="C1208" s="155" t="s">
        <v>824</v>
      </c>
      <c r="D1208" s="155" t="s">
        <v>587</v>
      </c>
      <c r="E1208" s="34">
        <v>0.5</v>
      </c>
      <c r="F1208" s="28">
        <v>18.6295</v>
      </c>
      <c r="G1208" s="31">
        <f>IF(ISNUMBER(F1208),E1208*F1208,"")</f>
        <v>9.3147500000000001</v>
      </c>
      <c r="H1208" s="32"/>
      <c r="I1208" s="28"/>
      <c r="J1208" s="125">
        <v>0</v>
      </c>
    </row>
    <row r="1209" spans="1:10" ht="26.25" hidden="1" thickBot="1" x14ac:dyDescent="0.3">
      <c r="A1209" s="235"/>
      <c r="B1209" s="238"/>
      <c r="C1209" s="155" t="s">
        <v>825</v>
      </c>
      <c r="D1209" s="155" t="s">
        <v>587</v>
      </c>
      <c r="E1209" s="34">
        <v>0.5</v>
      </c>
      <c r="F1209" s="28">
        <v>24.9375</v>
      </c>
      <c r="G1209" s="31">
        <f>IF(ISNUMBER(F1209),E1209*F1209,"")</f>
        <v>12.46875</v>
      </c>
      <c r="H1209" s="32"/>
      <c r="I1209" s="28"/>
      <c r="J1209" s="125">
        <v>0</v>
      </c>
    </row>
    <row r="1210" spans="1:10" ht="15.75" hidden="1" thickBot="1" x14ac:dyDescent="0.3">
      <c r="A1210" s="236"/>
      <c r="B1210" s="239"/>
      <c r="C1210" s="155"/>
      <c r="D1210" s="33"/>
      <c r="E1210" s="34"/>
      <c r="F1210" s="28" t="s">
        <v>418</v>
      </c>
      <c r="G1210" s="28" t="str">
        <f>IF(ISNUMBER(F1210),E1210*F1210,"")</f>
        <v/>
      </c>
      <c r="H1210" s="32"/>
      <c r="I1210" s="28"/>
      <c r="J1210" s="125">
        <v>0</v>
      </c>
    </row>
    <row r="1211" spans="1:10" ht="15.75" hidden="1" thickBot="1" x14ac:dyDescent="0.3">
      <c r="A1211" s="234" t="s">
        <v>291</v>
      </c>
      <c r="B1211" s="237" t="s">
        <v>13493</v>
      </c>
      <c r="C1211" s="160"/>
      <c r="D1211" s="23" t="s">
        <v>16</v>
      </c>
      <c r="E1211" s="24"/>
      <c r="F1211" s="37" t="s">
        <v>418</v>
      </c>
      <c r="G1211" s="25" t="str">
        <f>IF(ISNUMBER(F1211),E1211*F1211,"")</f>
        <v/>
      </c>
      <c r="H1211" s="26"/>
      <c r="I1211" s="27"/>
      <c r="J1211" s="125">
        <v>0</v>
      </c>
    </row>
    <row r="1212" spans="1:10" ht="15.75" hidden="1" thickBot="1" x14ac:dyDescent="0.3">
      <c r="A1212" s="235"/>
      <c r="B1212" s="238"/>
      <c r="C1212" s="151"/>
      <c r="D1212" s="29"/>
      <c r="E1212" s="30"/>
      <c r="F1212" s="38" t="s">
        <v>418</v>
      </c>
      <c r="G1212" s="28" t="str">
        <f>IF(ISNUMBER(F1212),E1212*F1212,"")</f>
        <v/>
      </c>
      <c r="H1212" s="32"/>
      <c r="I1212" s="28"/>
      <c r="J1212" s="125">
        <v>0</v>
      </c>
    </row>
    <row r="1213" spans="1:10" ht="15.75" hidden="1" thickBot="1" x14ac:dyDescent="0.3">
      <c r="A1213" s="235"/>
      <c r="B1213" s="238"/>
      <c r="C1213" s="137" t="s">
        <v>14323</v>
      </c>
      <c r="D1213" s="42" t="s">
        <v>205</v>
      </c>
      <c r="E1213" s="34">
        <v>1</v>
      </c>
      <c r="F1213" s="31" t="s">
        <v>418</v>
      </c>
      <c r="G1213" s="31" t="str">
        <f>IF(ISNUMBER(F1213),E1213*F1213,"")</f>
        <v/>
      </c>
      <c r="H1213" s="35">
        <f>SUM(G1213:G1215)</f>
        <v>21.7835</v>
      </c>
      <c r="I1213" s="36"/>
      <c r="J1213" s="125">
        <v>0</v>
      </c>
    </row>
    <row r="1214" spans="1:10" ht="26.25" hidden="1" thickBot="1" x14ac:dyDescent="0.3">
      <c r="A1214" s="235"/>
      <c r="B1214" s="238"/>
      <c r="C1214" s="155" t="s">
        <v>824</v>
      </c>
      <c r="D1214" s="155" t="s">
        <v>587</v>
      </c>
      <c r="E1214" s="34">
        <v>0.5</v>
      </c>
      <c r="F1214" s="28">
        <v>18.6295</v>
      </c>
      <c r="G1214" s="31">
        <f>IF(ISNUMBER(F1214),E1214*F1214,"")</f>
        <v>9.3147500000000001</v>
      </c>
      <c r="H1214" s="32"/>
      <c r="I1214" s="28"/>
      <c r="J1214" s="125">
        <v>0</v>
      </c>
    </row>
    <row r="1215" spans="1:10" ht="26.25" hidden="1" thickBot="1" x14ac:dyDescent="0.3">
      <c r="A1215" s="235"/>
      <c r="B1215" s="238"/>
      <c r="C1215" s="155" t="s">
        <v>825</v>
      </c>
      <c r="D1215" s="155" t="s">
        <v>587</v>
      </c>
      <c r="E1215" s="34">
        <v>0.5</v>
      </c>
      <c r="F1215" s="28">
        <v>24.9375</v>
      </c>
      <c r="G1215" s="31">
        <f>IF(ISNUMBER(F1215),E1215*F1215,"")</f>
        <v>12.46875</v>
      </c>
      <c r="H1215" s="32"/>
      <c r="I1215" s="28"/>
      <c r="J1215" s="125">
        <v>0</v>
      </c>
    </row>
    <row r="1216" spans="1:10" ht="15.75" hidden="1" thickBot="1" x14ac:dyDescent="0.3">
      <c r="A1216" s="236"/>
      <c r="B1216" s="239"/>
      <c r="C1216" s="155"/>
      <c r="D1216" s="33"/>
      <c r="E1216" s="34"/>
      <c r="F1216" s="28" t="s">
        <v>418</v>
      </c>
      <c r="G1216" s="28" t="str">
        <f>IF(ISNUMBER(F1216),E1216*F1216,"")</f>
        <v/>
      </c>
      <c r="H1216" s="32"/>
      <c r="I1216" s="28"/>
      <c r="J1216" s="125">
        <v>0</v>
      </c>
    </row>
    <row r="1217" spans="1:10" ht="15.75" hidden="1" thickBot="1" x14ac:dyDescent="0.3">
      <c r="A1217" s="234" t="s">
        <v>292</v>
      </c>
      <c r="B1217" s="237" t="s">
        <v>13494</v>
      </c>
      <c r="C1217" s="160"/>
      <c r="D1217" s="23" t="s">
        <v>16</v>
      </c>
      <c r="E1217" s="24"/>
      <c r="F1217" s="37" t="s">
        <v>418</v>
      </c>
      <c r="G1217" s="25" t="str">
        <f>IF(ISNUMBER(F1217),E1217*F1217,"")</f>
        <v/>
      </c>
      <c r="H1217" s="26"/>
      <c r="I1217" s="27"/>
      <c r="J1217" s="125">
        <v>0</v>
      </c>
    </row>
    <row r="1218" spans="1:10" ht="15.75" hidden="1" thickBot="1" x14ac:dyDescent="0.3">
      <c r="A1218" s="235"/>
      <c r="B1218" s="238"/>
      <c r="C1218" s="151"/>
      <c r="D1218" s="29"/>
      <c r="E1218" s="30"/>
      <c r="F1218" s="38" t="s">
        <v>418</v>
      </c>
      <c r="G1218" s="28" t="str">
        <f>IF(ISNUMBER(F1218),E1218*F1218,"")</f>
        <v/>
      </c>
      <c r="H1218" s="32"/>
      <c r="I1218" s="28"/>
      <c r="J1218" s="125">
        <v>0</v>
      </c>
    </row>
    <row r="1219" spans="1:10" ht="26.25" hidden="1" thickBot="1" x14ac:dyDescent="0.3">
      <c r="A1219" s="235"/>
      <c r="B1219" s="238"/>
      <c r="C1219" s="137" t="s">
        <v>14324</v>
      </c>
      <c r="D1219" s="42" t="s">
        <v>97</v>
      </c>
      <c r="E1219" s="34">
        <v>1</v>
      </c>
      <c r="F1219" s="31" t="s">
        <v>418</v>
      </c>
      <c r="G1219" s="31" t="str">
        <f>IF(ISNUMBER(F1219),E1219*F1219,"")</f>
        <v/>
      </c>
      <c r="H1219" s="35">
        <f>SUM(G1219:G1221)</f>
        <v>21.7835</v>
      </c>
      <c r="I1219" s="36"/>
      <c r="J1219" s="125">
        <v>0</v>
      </c>
    </row>
    <row r="1220" spans="1:10" ht="26.25" hidden="1" thickBot="1" x14ac:dyDescent="0.3">
      <c r="A1220" s="235"/>
      <c r="B1220" s="238"/>
      <c r="C1220" s="155" t="s">
        <v>824</v>
      </c>
      <c r="D1220" s="155" t="s">
        <v>587</v>
      </c>
      <c r="E1220" s="34">
        <v>0.5</v>
      </c>
      <c r="F1220" s="28">
        <v>18.6295</v>
      </c>
      <c r="G1220" s="31">
        <f>IF(ISNUMBER(F1220),E1220*F1220,"")</f>
        <v>9.3147500000000001</v>
      </c>
      <c r="H1220" s="32"/>
      <c r="I1220" s="28"/>
      <c r="J1220" s="125">
        <v>0</v>
      </c>
    </row>
    <row r="1221" spans="1:10" ht="26.25" hidden="1" thickBot="1" x14ac:dyDescent="0.3">
      <c r="A1221" s="235"/>
      <c r="B1221" s="238"/>
      <c r="C1221" s="155" t="s">
        <v>825</v>
      </c>
      <c r="D1221" s="155" t="s">
        <v>587</v>
      </c>
      <c r="E1221" s="34">
        <v>0.5</v>
      </c>
      <c r="F1221" s="28">
        <v>24.9375</v>
      </c>
      <c r="G1221" s="31">
        <f>IF(ISNUMBER(F1221),E1221*F1221,"")</f>
        <v>12.46875</v>
      </c>
      <c r="H1221" s="32"/>
      <c r="I1221" s="28"/>
      <c r="J1221" s="125">
        <v>0</v>
      </c>
    </row>
    <row r="1222" spans="1:10" ht="15.75" hidden="1" thickBot="1" x14ac:dyDescent="0.3">
      <c r="A1222" s="236"/>
      <c r="B1222" s="239"/>
      <c r="C1222" s="155"/>
      <c r="D1222" s="33"/>
      <c r="E1222" s="34"/>
      <c r="F1222" s="28" t="s">
        <v>418</v>
      </c>
      <c r="G1222" s="28" t="str">
        <f>IF(ISNUMBER(F1222),E1222*F1222,"")</f>
        <v/>
      </c>
      <c r="H1222" s="32"/>
      <c r="I1222" s="28"/>
      <c r="J1222" s="125">
        <v>0</v>
      </c>
    </row>
    <row r="1223" spans="1:10" ht="15.75" hidden="1" thickBot="1" x14ac:dyDescent="0.3">
      <c r="A1223" s="234" t="s">
        <v>293</v>
      </c>
      <c r="B1223" s="237" t="s">
        <v>13495</v>
      </c>
      <c r="C1223" s="160"/>
      <c r="D1223" s="23" t="s">
        <v>16</v>
      </c>
      <c r="E1223" s="24"/>
      <c r="F1223" s="37" t="s">
        <v>418</v>
      </c>
      <c r="G1223" s="25" t="str">
        <f>IF(ISNUMBER(F1223),E1223*F1223,"")</f>
        <v/>
      </c>
      <c r="H1223" s="26"/>
      <c r="I1223" s="27"/>
      <c r="J1223" s="125">
        <v>0</v>
      </c>
    </row>
    <row r="1224" spans="1:10" ht="15.75" hidden="1" thickBot="1" x14ac:dyDescent="0.3">
      <c r="A1224" s="235"/>
      <c r="B1224" s="238"/>
      <c r="C1224" s="151"/>
      <c r="D1224" s="29"/>
      <c r="E1224" s="30"/>
      <c r="F1224" s="38" t="s">
        <v>418</v>
      </c>
      <c r="G1224" s="28" t="str">
        <f>IF(ISNUMBER(F1224),E1224*F1224,"")</f>
        <v/>
      </c>
      <c r="H1224" s="32"/>
      <c r="I1224" s="28"/>
      <c r="J1224" s="125">
        <v>0</v>
      </c>
    </row>
    <row r="1225" spans="1:10" ht="15.75" hidden="1" thickBot="1" x14ac:dyDescent="0.3">
      <c r="A1225" s="235"/>
      <c r="B1225" s="238"/>
      <c r="C1225" s="137" t="s">
        <v>14323</v>
      </c>
      <c r="D1225" s="42" t="s">
        <v>97</v>
      </c>
      <c r="E1225" s="34">
        <v>1</v>
      </c>
      <c r="F1225" s="31" t="s">
        <v>418</v>
      </c>
      <c r="G1225" s="31" t="str">
        <f>IF(ISNUMBER(F1225),E1225*F1225,"")</f>
        <v/>
      </c>
      <c r="H1225" s="35">
        <f>SUM(G1225:G1227)</f>
        <v>21.7835</v>
      </c>
      <c r="I1225" s="36"/>
      <c r="J1225" s="125">
        <v>0</v>
      </c>
    </row>
    <row r="1226" spans="1:10" ht="26.25" hidden="1" thickBot="1" x14ac:dyDescent="0.3">
      <c r="A1226" s="235"/>
      <c r="B1226" s="238"/>
      <c r="C1226" s="155" t="s">
        <v>824</v>
      </c>
      <c r="D1226" s="155" t="s">
        <v>587</v>
      </c>
      <c r="E1226" s="34">
        <v>0.5</v>
      </c>
      <c r="F1226" s="28">
        <v>18.6295</v>
      </c>
      <c r="G1226" s="31">
        <f>IF(ISNUMBER(F1226),E1226*F1226,"")</f>
        <v>9.3147500000000001</v>
      </c>
      <c r="H1226" s="32"/>
      <c r="I1226" s="28"/>
      <c r="J1226" s="125">
        <v>0</v>
      </c>
    </row>
    <row r="1227" spans="1:10" ht="26.25" hidden="1" thickBot="1" x14ac:dyDescent="0.3">
      <c r="A1227" s="235"/>
      <c r="B1227" s="238"/>
      <c r="C1227" s="155" t="s">
        <v>825</v>
      </c>
      <c r="D1227" s="155" t="s">
        <v>587</v>
      </c>
      <c r="E1227" s="34">
        <v>0.5</v>
      </c>
      <c r="F1227" s="28">
        <v>24.9375</v>
      </c>
      <c r="G1227" s="31">
        <f>IF(ISNUMBER(F1227),E1227*F1227,"")</f>
        <v>12.46875</v>
      </c>
      <c r="H1227" s="32"/>
      <c r="I1227" s="28"/>
      <c r="J1227" s="125">
        <v>0</v>
      </c>
    </row>
    <row r="1228" spans="1:10" ht="15.75" hidden="1" thickBot="1" x14ac:dyDescent="0.3">
      <c r="A1228" s="236"/>
      <c r="B1228" s="239"/>
      <c r="C1228" s="155"/>
      <c r="D1228" s="33"/>
      <c r="E1228" s="34"/>
      <c r="F1228" s="28" t="s">
        <v>418</v>
      </c>
      <c r="G1228" s="28" t="str">
        <f>IF(ISNUMBER(F1228),E1228*F1228,"")</f>
        <v/>
      </c>
      <c r="H1228" s="32"/>
      <c r="I1228" s="28"/>
      <c r="J1228" s="125">
        <v>0</v>
      </c>
    </row>
    <row r="1229" spans="1:10" ht="15.75" hidden="1" thickBot="1" x14ac:dyDescent="0.3">
      <c r="A1229" s="234" t="s">
        <v>294</v>
      </c>
      <c r="B1229" s="237" t="s">
        <v>13496</v>
      </c>
      <c r="C1229" s="160"/>
      <c r="D1229" s="23" t="s">
        <v>16</v>
      </c>
      <c r="E1229" s="24"/>
      <c r="F1229" s="37" t="s">
        <v>418</v>
      </c>
      <c r="G1229" s="25" t="str">
        <f>IF(ISNUMBER(F1229),E1229*F1229,"")</f>
        <v/>
      </c>
      <c r="H1229" s="26"/>
      <c r="I1229" s="27"/>
      <c r="J1229" s="125">
        <v>0</v>
      </c>
    </row>
    <row r="1230" spans="1:10" ht="15.75" hidden="1" thickBot="1" x14ac:dyDescent="0.3">
      <c r="A1230" s="235"/>
      <c r="B1230" s="238"/>
      <c r="C1230" s="151"/>
      <c r="D1230" s="29"/>
      <c r="E1230" s="30"/>
      <c r="F1230" s="38" t="s">
        <v>418</v>
      </c>
      <c r="G1230" s="28" t="str">
        <f>IF(ISNUMBER(F1230),E1230*F1230,"")</f>
        <v/>
      </c>
      <c r="H1230" s="32"/>
      <c r="I1230" s="28"/>
      <c r="J1230" s="125">
        <v>0</v>
      </c>
    </row>
    <row r="1231" spans="1:10" ht="15.75" hidden="1" thickBot="1" x14ac:dyDescent="0.3">
      <c r="A1231" s="235"/>
      <c r="B1231" s="238"/>
      <c r="C1231" s="155" t="s">
        <v>28394</v>
      </c>
      <c r="D1231" s="155" t="s">
        <v>205</v>
      </c>
      <c r="E1231" s="34">
        <v>1</v>
      </c>
      <c r="F1231" s="31">
        <v>35.387499999999996</v>
      </c>
      <c r="G1231" s="31">
        <f>IF(ISNUMBER(F1231),E1231*F1231,"")</f>
        <v>35.387499999999996</v>
      </c>
      <c r="H1231" s="35">
        <f>SUM(G1231:G1234)</f>
        <v>41.001676999999994</v>
      </c>
      <c r="I1231" s="36"/>
      <c r="J1231" s="125">
        <v>0</v>
      </c>
    </row>
    <row r="1232" spans="1:10" ht="15.75" hidden="1" thickBot="1" x14ac:dyDescent="0.3">
      <c r="A1232" s="235"/>
      <c r="B1232" s="238"/>
      <c r="C1232" s="155" t="s">
        <v>25517</v>
      </c>
      <c r="D1232" s="155" t="s">
        <v>205</v>
      </c>
      <c r="E1232" s="34">
        <v>4.8000000000000001E-2</v>
      </c>
      <c r="F1232" s="31">
        <v>4.6550000000000002</v>
      </c>
      <c r="G1232" s="31">
        <f>IF(ISNUMBER(F1232),E1232*F1232,"")</f>
        <v>0.22344000000000003</v>
      </c>
      <c r="H1232" s="32"/>
      <c r="I1232" s="28"/>
      <c r="J1232" s="125">
        <v>0</v>
      </c>
    </row>
    <row r="1233" spans="1:10" ht="26.25" hidden="1" thickBot="1" x14ac:dyDescent="0.3">
      <c r="A1233" s="235"/>
      <c r="B1233" s="238"/>
      <c r="C1233" s="155" t="s">
        <v>825</v>
      </c>
      <c r="D1233" s="155" t="s">
        <v>587</v>
      </c>
      <c r="E1233" s="34">
        <v>0.17399999999999999</v>
      </c>
      <c r="F1233" s="28">
        <v>24.9375</v>
      </c>
      <c r="G1233" s="31">
        <f>IF(ISNUMBER(F1233),E1233*F1233,"")</f>
        <v>4.3391250000000001</v>
      </c>
      <c r="H1233" s="32"/>
      <c r="I1233" s="28"/>
      <c r="J1233" s="125">
        <v>0</v>
      </c>
    </row>
    <row r="1234" spans="1:10" ht="15.75" hidden="1" thickBot="1" x14ac:dyDescent="0.3">
      <c r="A1234" s="235"/>
      <c r="B1234" s="238"/>
      <c r="C1234" s="155" t="s">
        <v>588</v>
      </c>
      <c r="D1234" s="155" t="s">
        <v>587</v>
      </c>
      <c r="E1234" s="34">
        <v>5.4800000000000001E-2</v>
      </c>
      <c r="F1234" s="28">
        <v>19.189999999999998</v>
      </c>
      <c r="G1234" s="31">
        <f>IF(ISNUMBER(F1234),E1234*F1234,"")</f>
        <v>1.051612</v>
      </c>
      <c r="H1234" s="32"/>
      <c r="I1234" s="28"/>
      <c r="J1234" s="125">
        <v>0</v>
      </c>
    </row>
    <row r="1235" spans="1:10" ht="15.75" hidden="1" thickBot="1" x14ac:dyDescent="0.3">
      <c r="A1235" s="236"/>
      <c r="B1235" s="239"/>
      <c r="C1235" s="155"/>
      <c r="D1235" s="33"/>
      <c r="E1235" s="34"/>
      <c r="F1235" s="28" t="s">
        <v>418</v>
      </c>
      <c r="G1235" s="28" t="str">
        <f>IF(ISNUMBER(F1235),E1235*F1235,"")</f>
        <v/>
      </c>
      <c r="H1235" s="32"/>
      <c r="I1235" s="28"/>
      <c r="J1235" s="125">
        <v>0</v>
      </c>
    </row>
    <row r="1236" spans="1:10" ht="15.75" hidden="1" thickBot="1" x14ac:dyDescent="0.3">
      <c r="A1236" s="234" t="s">
        <v>295</v>
      </c>
      <c r="B1236" s="237" t="s">
        <v>13454</v>
      </c>
      <c r="C1236" s="160"/>
      <c r="D1236" s="23" t="s">
        <v>16</v>
      </c>
      <c r="E1236" s="24"/>
      <c r="F1236" s="37" t="s">
        <v>418</v>
      </c>
      <c r="G1236" s="25" t="str">
        <f>IF(ISNUMBER(F1236),E1236*F1236,"")</f>
        <v/>
      </c>
      <c r="H1236" s="26"/>
      <c r="I1236" s="27"/>
      <c r="J1236" s="125">
        <v>0</v>
      </c>
    </row>
    <row r="1237" spans="1:10" ht="15.75" hidden="1" thickBot="1" x14ac:dyDescent="0.3">
      <c r="A1237" s="235"/>
      <c r="B1237" s="238"/>
      <c r="C1237" s="151"/>
      <c r="D1237" s="29"/>
      <c r="E1237" s="30"/>
      <c r="F1237" s="38" t="s">
        <v>418</v>
      </c>
      <c r="G1237" s="28" t="str">
        <f>IF(ISNUMBER(F1237),E1237*F1237,"")</f>
        <v/>
      </c>
      <c r="H1237" s="32"/>
      <c r="I1237" s="28"/>
      <c r="J1237" s="125">
        <v>0</v>
      </c>
    </row>
    <row r="1238" spans="1:10" ht="15.75" hidden="1" thickBot="1" x14ac:dyDescent="0.3">
      <c r="A1238" s="235"/>
      <c r="B1238" s="238"/>
      <c r="C1238" s="155" t="s">
        <v>25517</v>
      </c>
      <c r="D1238" s="155" t="s">
        <v>205</v>
      </c>
      <c r="E1238" s="34">
        <v>3.32E-2</v>
      </c>
      <c r="F1238" s="31">
        <v>4.6550000000000002</v>
      </c>
      <c r="G1238" s="31">
        <f>IF(ISNUMBER(F1238),E1238*F1238,"")</f>
        <v>0.15454600000000002</v>
      </c>
      <c r="H1238" s="35">
        <f>SUM(G1238:G1241)</f>
        <v>48.497917999999999</v>
      </c>
      <c r="I1238" s="36"/>
      <c r="J1238" s="125">
        <v>0</v>
      </c>
    </row>
    <row r="1239" spans="1:10" ht="26.25" hidden="1" thickBot="1" x14ac:dyDescent="0.3">
      <c r="A1239" s="235"/>
      <c r="B1239" s="238"/>
      <c r="C1239" s="155" t="s">
        <v>28363</v>
      </c>
      <c r="D1239" s="155" t="s">
        <v>205</v>
      </c>
      <c r="E1239" s="34">
        <v>1</v>
      </c>
      <c r="F1239" s="31">
        <v>44.526499999999999</v>
      </c>
      <c r="G1239" s="31">
        <f>IF(ISNUMBER(F1239),E1239*F1239,"")</f>
        <v>44.526499999999999</v>
      </c>
      <c r="H1239" s="32"/>
      <c r="I1239" s="28"/>
      <c r="J1239" s="125">
        <v>0</v>
      </c>
    </row>
    <row r="1240" spans="1:10" ht="26.25" hidden="1" thickBot="1" x14ac:dyDescent="0.3">
      <c r="A1240" s="235"/>
      <c r="B1240" s="238"/>
      <c r="C1240" s="155" t="s">
        <v>825</v>
      </c>
      <c r="D1240" s="155" t="s">
        <v>587</v>
      </c>
      <c r="E1240" s="34">
        <v>0.1232</v>
      </c>
      <c r="F1240" s="28">
        <v>24.9375</v>
      </c>
      <c r="G1240" s="31">
        <f>IF(ISNUMBER(F1240),E1240*F1240,"")</f>
        <v>3.0723000000000003</v>
      </c>
      <c r="H1240" s="32"/>
      <c r="I1240" s="28"/>
      <c r="J1240" s="125">
        <v>0</v>
      </c>
    </row>
    <row r="1241" spans="1:10" ht="15.75" hidden="1" thickBot="1" x14ac:dyDescent="0.3">
      <c r="A1241" s="235"/>
      <c r="B1241" s="238"/>
      <c r="C1241" s="155" t="s">
        <v>588</v>
      </c>
      <c r="D1241" s="155" t="s">
        <v>587</v>
      </c>
      <c r="E1241" s="34">
        <v>3.8800000000000001E-2</v>
      </c>
      <c r="F1241" s="28">
        <v>19.189999999999998</v>
      </c>
      <c r="G1241" s="31">
        <f>IF(ISNUMBER(F1241),E1241*F1241,"")</f>
        <v>0.7445719999999999</v>
      </c>
      <c r="H1241" s="32"/>
      <c r="I1241" s="28"/>
      <c r="J1241" s="125">
        <v>0</v>
      </c>
    </row>
    <row r="1242" spans="1:10" ht="15.75" hidden="1" thickBot="1" x14ac:dyDescent="0.3">
      <c r="A1242" s="236"/>
      <c r="B1242" s="239"/>
      <c r="C1242" s="155"/>
      <c r="D1242" s="33"/>
      <c r="E1242" s="34"/>
      <c r="F1242" s="28" t="s">
        <v>418</v>
      </c>
      <c r="G1242" s="28" t="str">
        <f>IF(ISNUMBER(F1242),E1242*F1242,"")</f>
        <v/>
      </c>
      <c r="H1242" s="32"/>
      <c r="I1242" s="28"/>
      <c r="J1242" s="125">
        <v>0</v>
      </c>
    </row>
    <row r="1243" spans="1:10" ht="15.75" hidden="1" thickBot="1" x14ac:dyDescent="0.3">
      <c r="A1243" s="234" t="s">
        <v>296</v>
      </c>
      <c r="B1243" s="237" t="s">
        <v>1431</v>
      </c>
      <c r="C1243" s="160"/>
      <c r="D1243" s="23" t="s">
        <v>16</v>
      </c>
      <c r="E1243" s="24"/>
      <c r="F1243" s="37" t="s">
        <v>418</v>
      </c>
      <c r="G1243" s="25" t="str">
        <f>IF(ISNUMBER(F1243),E1243*F1243,"")</f>
        <v/>
      </c>
      <c r="H1243" s="26"/>
      <c r="I1243" s="27"/>
      <c r="J1243" s="125">
        <v>0</v>
      </c>
    </row>
    <row r="1244" spans="1:10" ht="15.75" hidden="1" thickBot="1" x14ac:dyDescent="0.3">
      <c r="A1244" s="235"/>
      <c r="B1244" s="238"/>
      <c r="C1244" s="151"/>
      <c r="D1244" s="29"/>
      <c r="E1244" s="30"/>
      <c r="F1244" s="38" t="s">
        <v>418</v>
      </c>
      <c r="G1244" s="28" t="str">
        <f>IF(ISNUMBER(F1244),E1244*F1244,"")</f>
        <v/>
      </c>
      <c r="H1244" s="32"/>
      <c r="I1244" s="28"/>
      <c r="J1244" s="125">
        <v>0</v>
      </c>
    </row>
    <row r="1245" spans="1:10" ht="26.25" hidden="1" thickBot="1" x14ac:dyDescent="0.3">
      <c r="A1245" s="235"/>
      <c r="B1245" s="238"/>
      <c r="C1245" s="155" t="s">
        <v>28360</v>
      </c>
      <c r="D1245" s="155" t="s">
        <v>205</v>
      </c>
      <c r="E1245" s="34">
        <v>1</v>
      </c>
      <c r="F1245" s="31">
        <v>228.48449999999997</v>
      </c>
      <c r="G1245" s="28">
        <f>IF(ISNUMBER(F1245),E1245*F1245,"")</f>
        <v>228.48449999999997</v>
      </c>
      <c r="H1245" s="35">
        <f>SUM(G1245:G1248)</f>
        <v>269.10921509999997</v>
      </c>
      <c r="I1245" s="36"/>
      <c r="J1245" s="125">
        <v>0</v>
      </c>
    </row>
    <row r="1246" spans="1:10" ht="15.75" hidden="1" thickBot="1" x14ac:dyDescent="0.3">
      <c r="A1246" s="235"/>
      <c r="B1246" s="238"/>
      <c r="C1246" s="155" t="s">
        <v>237</v>
      </c>
      <c r="D1246" s="155" t="s">
        <v>205</v>
      </c>
      <c r="E1246" s="34">
        <v>1.9199999999999998E-2</v>
      </c>
      <c r="F1246" s="31">
        <v>17.166499999999999</v>
      </c>
      <c r="G1246" s="28">
        <f>IF(ISNUMBER(F1246),E1246*F1246,"")</f>
        <v>0.32959679999999997</v>
      </c>
      <c r="H1246" s="32"/>
      <c r="I1246" s="28"/>
      <c r="J1246" s="125">
        <v>0</v>
      </c>
    </row>
    <row r="1247" spans="1:10" ht="26.25" hidden="1" thickBot="1" x14ac:dyDescent="0.3">
      <c r="A1247" s="235"/>
      <c r="B1247" s="238"/>
      <c r="C1247" s="155" t="s">
        <v>824</v>
      </c>
      <c r="D1247" s="155" t="s">
        <v>587</v>
      </c>
      <c r="E1247" s="34">
        <v>0.92490000000000006</v>
      </c>
      <c r="F1247" s="28">
        <v>18.6295</v>
      </c>
      <c r="G1247" s="28">
        <f>IF(ISNUMBER(F1247),E1247*F1247,"")</f>
        <v>17.230424550000002</v>
      </c>
      <c r="H1247" s="32"/>
      <c r="I1247" s="28"/>
      <c r="J1247" s="125">
        <v>0</v>
      </c>
    </row>
    <row r="1248" spans="1:10" ht="26.25" hidden="1" thickBot="1" x14ac:dyDescent="0.3">
      <c r="A1248" s="235"/>
      <c r="B1248" s="238"/>
      <c r="C1248" s="155" t="s">
        <v>825</v>
      </c>
      <c r="D1248" s="155" t="s">
        <v>587</v>
      </c>
      <c r="E1248" s="34">
        <v>0.92490000000000006</v>
      </c>
      <c r="F1248" s="28">
        <v>24.9375</v>
      </c>
      <c r="G1248" s="31">
        <f>IF(ISNUMBER(F1248),E1248*F1248,"")</f>
        <v>23.06469375</v>
      </c>
      <c r="H1248" s="32"/>
      <c r="I1248" s="28"/>
      <c r="J1248" s="125">
        <v>0</v>
      </c>
    </row>
    <row r="1249" spans="1:10" ht="15.75" hidden="1" thickBot="1" x14ac:dyDescent="0.3">
      <c r="A1249" s="236"/>
      <c r="B1249" s="239"/>
      <c r="C1249" s="155"/>
      <c r="D1249" s="33"/>
      <c r="E1249" s="34"/>
      <c r="F1249" s="28" t="s">
        <v>418</v>
      </c>
      <c r="G1249" s="28" t="str">
        <f>IF(ISNUMBER(F1249),E1249*F1249,"")</f>
        <v/>
      </c>
      <c r="H1249" s="32"/>
      <c r="I1249" s="28"/>
      <c r="J1249" s="125">
        <v>0</v>
      </c>
    </row>
    <row r="1250" spans="1:10" ht="15.75" hidden="1" thickBot="1" x14ac:dyDescent="0.3">
      <c r="A1250" s="234" t="s">
        <v>297</v>
      </c>
      <c r="B1250" s="237" t="s">
        <v>1432</v>
      </c>
      <c r="C1250" s="160"/>
      <c r="D1250" s="23" t="s">
        <v>16</v>
      </c>
      <c r="E1250" s="24"/>
      <c r="F1250" s="37" t="s">
        <v>418</v>
      </c>
      <c r="G1250" s="25" t="str">
        <f>IF(ISNUMBER(F1250),E1250*F1250,"")</f>
        <v/>
      </c>
      <c r="H1250" s="26"/>
      <c r="I1250" s="27"/>
      <c r="J1250" s="125">
        <v>0</v>
      </c>
    </row>
    <row r="1251" spans="1:10" ht="15.75" hidden="1" thickBot="1" x14ac:dyDescent="0.3">
      <c r="A1251" s="235"/>
      <c r="B1251" s="238"/>
      <c r="C1251" s="151"/>
      <c r="D1251" s="29"/>
      <c r="E1251" s="30"/>
      <c r="F1251" s="38" t="s">
        <v>418</v>
      </c>
      <c r="G1251" s="28" t="str">
        <f>IF(ISNUMBER(F1251),E1251*F1251,"")</f>
        <v/>
      </c>
      <c r="H1251" s="32"/>
      <c r="I1251" s="28"/>
      <c r="J1251" s="125">
        <v>0</v>
      </c>
    </row>
    <row r="1252" spans="1:10" ht="15.75" hidden="1" thickBot="1" x14ac:dyDescent="0.3">
      <c r="A1252" s="235"/>
      <c r="B1252" s="238"/>
      <c r="C1252" s="155" t="s">
        <v>1023</v>
      </c>
      <c r="D1252" s="155" t="s">
        <v>587</v>
      </c>
      <c r="E1252" s="34">
        <v>0.28999999999999998</v>
      </c>
      <c r="F1252" s="28">
        <v>25.954000000000001</v>
      </c>
      <c r="G1252" s="28">
        <f>IF(ISNUMBER(F1252),E1252*F1252,"")</f>
        <v>7.5266599999999997</v>
      </c>
      <c r="H1252" s="35">
        <f>SUM(G1252:G1254)</f>
        <v>13.188185000000001</v>
      </c>
      <c r="I1252" s="36"/>
      <c r="J1252" s="125">
        <v>0</v>
      </c>
    </row>
    <row r="1253" spans="1:10" ht="15.75" hidden="1" thickBot="1" x14ac:dyDescent="0.3">
      <c r="A1253" s="235"/>
      <c r="B1253" s="238"/>
      <c r="C1253" s="155" t="s">
        <v>1022</v>
      </c>
      <c r="D1253" s="155" t="s">
        <v>587</v>
      </c>
      <c r="E1253" s="34">
        <v>0.28999999999999998</v>
      </c>
      <c r="F1253" s="28">
        <v>19.522500000000001</v>
      </c>
      <c r="G1253" s="28">
        <f>IF(ISNUMBER(F1253),E1253*F1253,"")</f>
        <v>5.6615250000000001</v>
      </c>
      <c r="H1253" s="32"/>
      <c r="I1253" s="28"/>
      <c r="J1253" s="125">
        <v>0</v>
      </c>
    </row>
    <row r="1254" spans="1:10" ht="26.25" hidden="1" thickBot="1" x14ac:dyDescent="0.3">
      <c r="A1254" s="235"/>
      <c r="B1254" s="238"/>
      <c r="C1254" s="155" t="s">
        <v>298</v>
      </c>
      <c r="D1254" s="33" t="s">
        <v>97</v>
      </c>
      <c r="E1254" s="34">
        <v>1</v>
      </c>
      <c r="F1254" s="31" t="s">
        <v>418</v>
      </c>
      <c r="G1254" s="28" t="str">
        <f>IF(ISNUMBER(F1254),E1254*F1254,"")</f>
        <v/>
      </c>
      <c r="H1254" s="32"/>
      <c r="I1254" s="28"/>
      <c r="J1254" s="125">
        <v>0</v>
      </c>
    </row>
    <row r="1255" spans="1:10" ht="15.75" hidden="1" thickBot="1" x14ac:dyDescent="0.3">
      <c r="A1255" s="236"/>
      <c r="B1255" s="239"/>
      <c r="C1255" s="155"/>
      <c r="D1255" s="33"/>
      <c r="E1255" s="34"/>
      <c r="F1255" s="28" t="s">
        <v>418</v>
      </c>
      <c r="G1255" s="28" t="str">
        <f>IF(ISNUMBER(F1255),E1255*F1255,"")</f>
        <v/>
      </c>
      <c r="H1255" s="32"/>
      <c r="I1255" s="28"/>
      <c r="J1255" s="125">
        <v>0</v>
      </c>
    </row>
    <row r="1256" spans="1:10" ht="15.75" hidden="1" thickBot="1" x14ac:dyDescent="0.3">
      <c r="A1256" s="234" t="s">
        <v>299</v>
      </c>
      <c r="B1256" s="237" t="s">
        <v>19696</v>
      </c>
      <c r="C1256" s="160"/>
      <c r="D1256" s="23" t="s">
        <v>16</v>
      </c>
      <c r="E1256" s="24"/>
      <c r="F1256" s="37" t="s">
        <v>418</v>
      </c>
      <c r="G1256" s="25" t="str">
        <f>IF(ISNUMBER(F1256),E1256*F1256,"")</f>
        <v/>
      </c>
      <c r="H1256" s="26"/>
      <c r="I1256" s="27"/>
      <c r="J1256" s="125">
        <v>0</v>
      </c>
    </row>
    <row r="1257" spans="1:10" ht="15.75" hidden="1" thickBot="1" x14ac:dyDescent="0.3">
      <c r="A1257" s="235"/>
      <c r="B1257" s="238"/>
      <c r="C1257" s="151"/>
      <c r="D1257" s="29"/>
      <c r="E1257" s="30"/>
      <c r="F1257" s="38" t="s">
        <v>418</v>
      </c>
      <c r="G1257" s="28" t="str">
        <f>IF(ISNUMBER(F1257),E1257*F1257,"")</f>
        <v/>
      </c>
      <c r="H1257" s="32"/>
      <c r="I1257" s="28"/>
      <c r="J1257" s="125">
        <v>0</v>
      </c>
    </row>
    <row r="1258" spans="1:10" ht="26.25" hidden="1" thickBot="1" x14ac:dyDescent="0.3">
      <c r="A1258" s="235"/>
      <c r="B1258" s="238"/>
      <c r="C1258" s="155" t="s">
        <v>300</v>
      </c>
      <c r="D1258" s="42" t="s">
        <v>97</v>
      </c>
      <c r="E1258" s="34">
        <v>1</v>
      </c>
      <c r="F1258" s="31" t="s">
        <v>418</v>
      </c>
      <c r="G1258" s="31" t="str">
        <f>IF(ISNUMBER(F1258),E1258*F1258,"")</f>
        <v/>
      </c>
      <c r="H1258" s="35">
        <f>SUM(G1258:G1261)</f>
        <v>49.000999999999998</v>
      </c>
      <c r="I1258" s="36"/>
      <c r="J1258" s="125">
        <v>0</v>
      </c>
    </row>
    <row r="1259" spans="1:10" ht="39" hidden="1" thickBot="1" x14ac:dyDescent="0.3">
      <c r="A1259" s="235"/>
      <c r="B1259" s="238"/>
      <c r="C1259" s="155" t="s">
        <v>23961</v>
      </c>
      <c r="D1259" s="155" t="s">
        <v>205</v>
      </c>
      <c r="E1259" s="34">
        <v>6</v>
      </c>
      <c r="F1259" s="31">
        <v>0.69350000000000001</v>
      </c>
      <c r="G1259" s="31">
        <f>IF(ISNUMBER(F1259),E1259*F1259,"")</f>
        <v>4.1609999999999996</v>
      </c>
      <c r="H1259" s="32"/>
      <c r="I1259" s="28"/>
      <c r="J1259" s="125">
        <v>0</v>
      </c>
    </row>
    <row r="1260" spans="1:10" ht="15.75" hidden="1" thickBot="1" x14ac:dyDescent="0.3">
      <c r="A1260" s="235"/>
      <c r="B1260" s="238"/>
      <c r="C1260" s="155" t="s">
        <v>595</v>
      </c>
      <c r="D1260" s="155" t="s">
        <v>587</v>
      </c>
      <c r="E1260" s="34">
        <v>1</v>
      </c>
      <c r="F1260" s="28">
        <v>25.65</v>
      </c>
      <c r="G1260" s="31">
        <f>IF(ISNUMBER(F1260),E1260*F1260,"")</f>
        <v>25.65</v>
      </c>
      <c r="H1260" s="32"/>
      <c r="I1260" s="28"/>
      <c r="J1260" s="125">
        <v>0</v>
      </c>
    </row>
    <row r="1261" spans="1:10" ht="15.75" hidden="1" thickBot="1" x14ac:dyDescent="0.3">
      <c r="A1261" s="235"/>
      <c r="B1261" s="238"/>
      <c r="C1261" s="155" t="s">
        <v>588</v>
      </c>
      <c r="D1261" s="155" t="s">
        <v>587</v>
      </c>
      <c r="E1261" s="34">
        <v>1</v>
      </c>
      <c r="F1261" s="28">
        <v>19.189999999999998</v>
      </c>
      <c r="G1261" s="31">
        <f>IF(ISNUMBER(F1261),E1261*F1261,"")</f>
        <v>19.189999999999998</v>
      </c>
      <c r="H1261" s="32"/>
      <c r="I1261" s="28"/>
      <c r="J1261" s="125">
        <v>0</v>
      </c>
    </row>
    <row r="1262" spans="1:10" ht="15.75" hidden="1" thickBot="1" x14ac:dyDescent="0.3">
      <c r="A1262" s="236"/>
      <c r="B1262" s="239"/>
      <c r="C1262" s="155"/>
      <c r="D1262" s="33"/>
      <c r="E1262" s="34"/>
      <c r="F1262" s="28" t="s">
        <v>418</v>
      </c>
      <c r="G1262" s="28" t="str">
        <f>IF(ISNUMBER(F1262),E1262*F1262,"")</f>
        <v/>
      </c>
      <c r="H1262" s="32"/>
      <c r="I1262" s="28"/>
      <c r="J1262" s="125">
        <v>0</v>
      </c>
    </row>
    <row r="1263" spans="1:10" ht="15.75" hidden="1" thickBot="1" x14ac:dyDescent="0.3">
      <c r="A1263" s="234" t="s">
        <v>301</v>
      </c>
      <c r="B1263" s="237" t="s">
        <v>19697</v>
      </c>
      <c r="C1263" s="160"/>
      <c r="D1263" s="23" t="s">
        <v>16</v>
      </c>
      <c r="E1263" s="24"/>
      <c r="F1263" s="37" t="s">
        <v>418</v>
      </c>
      <c r="G1263" s="25" t="str">
        <f>IF(ISNUMBER(F1263),E1263*F1263,"")</f>
        <v/>
      </c>
      <c r="H1263" s="26"/>
      <c r="I1263" s="27"/>
      <c r="J1263" s="125">
        <v>0</v>
      </c>
    </row>
    <row r="1264" spans="1:10" ht="15.75" hidden="1" thickBot="1" x14ac:dyDescent="0.3">
      <c r="A1264" s="235"/>
      <c r="B1264" s="238"/>
      <c r="C1264" s="151"/>
      <c r="D1264" s="29"/>
      <c r="E1264" s="30"/>
      <c r="F1264" s="38" t="s">
        <v>418</v>
      </c>
      <c r="G1264" s="28" t="str">
        <f>IF(ISNUMBER(F1264),E1264*F1264,"")</f>
        <v/>
      </c>
      <c r="H1264" s="32"/>
      <c r="I1264" s="28"/>
      <c r="J1264" s="125">
        <v>0</v>
      </c>
    </row>
    <row r="1265" spans="1:10" ht="26.25" hidden="1" thickBot="1" x14ac:dyDescent="0.3">
      <c r="A1265" s="235"/>
      <c r="B1265" s="238"/>
      <c r="C1265" s="155" t="s">
        <v>302</v>
      </c>
      <c r="D1265" s="42" t="s">
        <v>97</v>
      </c>
      <c r="E1265" s="34">
        <v>1</v>
      </c>
      <c r="F1265" s="31" t="s">
        <v>418</v>
      </c>
      <c r="G1265" s="31" t="str">
        <f>IF(ISNUMBER(F1265),E1265*F1265,"")</f>
        <v/>
      </c>
      <c r="H1265" s="35">
        <f>SUM(G1265:G1268)</f>
        <v>49.000999999999998</v>
      </c>
      <c r="I1265" s="36"/>
      <c r="J1265" s="125">
        <v>0</v>
      </c>
    </row>
    <row r="1266" spans="1:10" ht="39" hidden="1" thickBot="1" x14ac:dyDescent="0.3">
      <c r="A1266" s="235"/>
      <c r="B1266" s="238"/>
      <c r="C1266" s="155" t="s">
        <v>23961</v>
      </c>
      <c r="D1266" s="155" t="s">
        <v>205</v>
      </c>
      <c r="E1266" s="34">
        <v>6</v>
      </c>
      <c r="F1266" s="31">
        <v>0.69350000000000001</v>
      </c>
      <c r="G1266" s="31">
        <f>IF(ISNUMBER(F1266),E1266*F1266,"")</f>
        <v>4.1609999999999996</v>
      </c>
      <c r="H1266" s="32"/>
      <c r="I1266" s="28"/>
      <c r="J1266" s="125">
        <v>0</v>
      </c>
    </row>
    <row r="1267" spans="1:10" ht="15.75" hidden="1" thickBot="1" x14ac:dyDescent="0.3">
      <c r="A1267" s="235"/>
      <c r="B1267" s="238"/>
      <c r="C1267" s="155" t="s">
        <v>595</v>
      </c>
      <c r="D1267" s="155" t="s">
        <v>587</v>
      </c>
      <c r="E1267" s="34">
        <v>1</v>
      </c>
      <c r="F1267" s="28">
        <v>25.65</v>
      </c>
      <c r="G1267" s="31">
        <f>IF(ISNUMBER(F1267),E1267*F1267,"")</f>
        <v>25.65</v>
      </c>
      <c r="H1267" s="32"/>
      <c r="I1267" s="28"/>
      <c r="J1267" s="125">
        <v>0</v>
      </c>
    </row>
    <row r="1268" spans="1:10" ht="15.75" hidden="1" thickBot="1" x14ac:dyDescent="0.3">
      <c r="A1268" s="235"/>
      <c r="B1268" s="238"/>
      <c r="C1268" s="155" t="s">
        <v>588</v>
      </c>
      <c r="D1268" s="155" t="s">
        <v>587</v>
      </c>
      <c r="E1268" s="34">
        <v>1</v>
      </c>
      <c r="F1268" s="28">
        <v>19.189999999999998</v>
      </c>
      <c r="G1268" s="31">
        <f>IF(ISNUMBER(F1268),E1268*F1268,"")</f>
        <v>19.189999999999998</v>
      </c>
      <c r="H1268" s="32"/>
      <c r="I1268" s="28"/>
      <c r="J1268" s="125">
        <v>0</v>
      </c>
    </row>
    <row r="1269" spans="1:10" ht="15.75" hidden="1" thickBot="1" x14ac:dyDescent="0.3">
      <c r="A1269" s="236"/>
      <c r="B1269" s="239"/>
      <c r="C1269" s="155"/>
      <c r="D1269" s="33"/>
      <c r="E1269" s="34"/>
      <c r="F1269" s="28" t="s">
        <v>418</v>
      </c>
      <c r="G1269" s="28" t="str">
        <f>IF(ISNUMBER(F1269),E1269*F1269,"")</f>
        <v/>
      </c>
      <c r="H1269" s="32"/>
      <c r="I1269" s="28"/>
      <c r="J1269" s="125">
        <v>0</v>
      </c>
    </row>
    <row r="1270" spans="1:10" ht="15.75" hidden="1" thickBot="1" x14ac:dyDescent="0.3">
      <c r="A1270" s="234" t="s">
        <v>303</v>
      </c>
      <c r="B1270" s="237" t="s">
        <v>19698</v>
      </c>
      <c r="C1270" s="160"/>
      <c r="D1270" s="23" t="s">
        <v>16</v>
      </c>
      <c r="E1270" s="24"/>
      <c r="F1270" s="37" t="s">
        <v>418</v>
      </c>
      <c r="G1270" s="25" t="str">
        <f>IF(ISNUMBER(F1270),E1270*F1270,"")</f>
        <v/>
      </c>
      <c r="H1270" s="26"/>
      <c r="I1270" s="27"/>
      <c r="J1270" s="125">
        <v>0</v>
      </c>
    </row>
    <row r="1271" spans="1:10" ht="15.75" hidden="1" thickBot="1" x14ac:dyDescent="0.3">
      <c r="A1271" s="235"/>
      <c r="B1271" s="238"/>
      <c r="C1271" s="151"/>
      <c r="D1271" s="29"/>
      <c r="E1271" s="30"/>
      <c r="F1271" s="38" t="s">
        <v>418</v>
      </c>
      <c r="G1271" s="28" t="str">
        <f>IF(ISNUMBER(F1271),E1271*F1271,"")</f>
        <v/>
      </c>
      <c r="H1271" s="32"/>
      <c r="I1271" s="28"/>
      <c r="J1271" s="125">
        <v>0</v>
      </c>
    </row>
    <row r="1272" spans="1:10" ht="26.25" hidden="1" thickBot="1" x14ac:dyDescent="0.3">
      <c r="A1272" s="235"/>
      <c r="B1272" s="238"/>
      <c r="C1272" s="155" t="s">
        <v>304</v>
      </c>
      <c r="D1272" s="42" t="s">
        <v>97</v>
      </c>
      <c r="E1272" s="34">
        <v>1</v>
      </c>
      <c r="F1272" s="31" t="s">
        <v>418</v>
      </c>
      <c r="G1272" s="31" t="str">
        <f>IF(ISNUMBER(F1272),E1272*F1272,"")</f>
        <v/>
      </c>
      <c r="H1272" s="35">
        <f>SUM(G1272:G1275)</f>
        <v>49.000999999999998</v>
      </c>
      <c r="I1272" s="36"/>
      <c r="J1272" s="125">
        <v>0</v>
      </c>
    </row>
    <row r="1273" spans="1:10" ht="39" hidden="1" thickBot="1" x14ac:dyDescent="0.3">
      <c r="A1273" s="235"/>
      <c r="B1273" s="238"/>
      <c r="C1273" s="155" t="s">
        <v>23961</v>
      </c>
      <c r="D1273" s="155" t="s">
        <v>205</v>
      </c>
      <c r="E1273" s="34">
        <v>6</v>
      </c>
      <c r="F1273" s="31">
        <v>0.69350000000000001</v>
      </c>
      <c r="G1273" s="31">
        <f>IF(ISNUMBER(F1273),E1273*F1273,"")</f>
        <v>4.1609999999999996</v>
      </c>
      <c r="H1273" s="32"/>
      <c r="I1273" s="28"/>
      <c r="J1273" s="125">
        <v>0</v>
      </c>
    </row>
    <row r="1274" spans="1:10" ht="15.75" hidden="1" thickBot="1" x14ac:dyDescent="0.3">
      <c r="A1274" s="235"/>
      <c r="B1274" s="238"/>
      <c r="C1274" s="155" t="s">
        <v>595</v>
      </c>
      <c r="D1274" s="155" t="s">
        <v>587</v>
      </c>
      <c r="E1274" s="34">
        <v>1</v>
      </c>
      <c r="F1274" s="28">
        <v>25.65</v>
      </c>
      <c r="G1274" s="31">
        <f>IF(ISNUMBER(F1274),E1274*F1274,"")</f>
        <v>25.65</v>
      </c>
      <c r="H1274" s="32"/>
      <c r="I1274" s="28"/>
      <c r="J1274" s="125">
        <v>0</v>
      </c>
    </row>
    <row r="1275" spans="1:10" ht="15.75" hidden="1" thickBot="1" x14ac:dyDescent="0.3">
      <c r="A1275" s="235"/>
      <c r="B1275" s="238"/>
      <c r="C1275" s="155" t="s">
        <v>588</v>
      </c>
      <c r="D1275" s="155" t="s">
        <v>587</v>
      </c>
      <c r="E1275" s="34">
        <v>1</v>
      </c>
      <c r="F1275" s="28">
        <v>19.189999999999998</v>
      </c>
      <c r="G1275" s="31">
        <f>IF(ISNUMBER(F1275),E1275*F1275,"")</f>
        <v>19.189999999999998</v>
      </c>
      <c r="H1275" s="32"/>
      <c r="I1275" s="28"/>
      <c r="J1275" s="125">
        <v>0</v>
      </c>
    </row>
    <row r="1276" spans="1:10" ht="15.75" hidden="1" thickBot="1" x14ac:dyDescent="0.3">
      <c r="A1276" s="236"/>
      <c r="B1276" s="239"/>
      <c r="C1276" s="155"/>
      <c r="D1276" s="33"/>
      <c r="E1276" s="34"/>
      <c r="F1276" s="28" t="s">
        <v>418</v>
      </c>
      <c r="G1276" s="28" t="str">
        <f>IF(ISNUMBER(F1276),E1276*F1276,"")</f>
        <v/>
      </c>
      <c r="H1276" s="32"/>
      <c r="I1276" s="28"/>
      <c r="J1276" s="125">
        <v>0</v>
      </c>
    </row>
    <row r="1277" spans="1:10" ht="15.75" hidden="1" thickBot="1" x14ac:dyDescent="0.3">
      <c r="A1277" s="234" t="s">
        <v>305</v>
      </c>
      <c r="B1277" s="237" t="s">
        <v>19699</v>
      </c>
      <c r="C1277" s="160"/>
      <c r="D1277" s="23" t="s">
        <v>16</v>
      </c>
      <c r="E1277" s="24"/>
      <c r="F1277" s="37" t="s">
        <v>418</v>
      </c>
      <c r="G1277" s="25" t="str">
        <f>IF(ISNUMBER(F1277),E1277*F1277,"")</f>
        <v/>
      </c>
      <c r="H1277" s="26"/>
      <c r="I1277" s="27"/>
      <c r="J1277" s="125">
        <v>0</v>
      </c>
    </row>
    <row r="1278" spans="1:10" ht="15.75" hidden="1" thickBot="1" x14ac:dyDescent="0.3">
      <c r="A1278" s="235"/>
      <c r="B1278" s="238"/>
      <c r="C1278" s="151"/>
      <c r="D1278" s="29"/>
      <c r="E1278" s="30"/>
      <c r="F1278" s="38" t="s">
        <v>418</v>
      </c>
      <c r="G1278" s="28" t="str">
        <f>IF(ISNUMBER(F1278),E1278*F1278,"")</f>
        <v/>
      </c>
      <c r="H1278" s="32"/>
      <c r="I1278" s="28"/>
      <c r="J1278" s="125">
        <v>0</v>
      </c>
    </row>
    <row r="1279" spans="1:10" ht="15.75" hidden="1" thickBot="1" x14ac:dyDescent="0.3">
      <c r="A1279" s="235"/>
      <c r="B1279" s="238"/>
      <c r="C1279" s="155" t="s">
        <v>595</v>
      </c>
      <c r="D1279" s="155" t="s">
        <v>587</v>
      </c>
      <c r="E1279" s="34">
        <v>1</v>
      </c>
      <c r="F1279" s="28">
        <v>25.65</v>
      </c>
      <c r="G1279" s="31">
        <f>IF(ISNUMBER(F1279),E1279*F1279,"")</f>
        <v>25.65</v>
      </c>
      <c r="H1279" s="35">
        <f>SUM(G1279:G1282)</f>
        <v>49.000999999999998</v>
      </c>
      <c r="I1279" s="36"/>
      <c r="J1279" s="125">
        <v>0</v>
      </c>
    </row>
    <row r="1280" spans="1:10" ht="15.75" hidden="1" thickBot="1" x14ac:dyDescent="0.3">
      <c r="A1280" s="235"/>
      <c r="B1280" s="238"/>
      <c r="C1280" s="155" t="s">
        <v>588</v>
      </c>
      <c r="D1280" s="155" t="s">
        <v>587</v>
      </c>
      <c r="E1280" s="34">
        <v>1</v>
      </c>
      <c r="F1280" s="28">
        <v>19.189999999999998</v>
      </c>
      <c r="G1280" s="31">
        <f>IF(ISNUMBER(F1280),E1280*F1280,"")</f>
        <v>19.189999999999998</v>
      </c>
      <c r="H1280" s="32"/>
      <c r="I1280" s="28"/>
      <c r="J1280" s="125">
        <v>0</v>
      </c>
    </row>
    <row r="1281" spans="1:10" ht="26.25" hidden="1" thickBot="1" x14ac:dyDescent="0.3">
      <c r="A1281" s="235"/>
      <c r="B1281" s="238"/>
      <c r="C1281" s="155" t="s">
        <v>306</v>
      </c>
      <c r="D1281" s="33" t="s">
        <v>16</v>
      </c>
      <c r="E1281" s="34">
        <v>1</v>
      </c>
      <c r="F1281" s="31" t="s">
        <v>418</v>
      </c>
      <c r="G1281" s="28" t="str">
        <f>IF(ISNUMBER(F1281),E1281*F1281,"")</f>
        <v/>
      </c>
      <c r="H1281" s="32"/>
      <c r="I1281" s="28"/>
      <c r="J1281" s="125">
        <v>0</v>
      </c>
    </row>
    <row r="1282" spans="1:10" ht="39" hidden="1" thickBot="1" x14ac:dyDescent="0.3">
      <c r="A1282" s="235"/>
      <c r="B1282" s="238"/>
      <c r="C1282" s="155" t="s">
        <v>23961</v>
      </c>
      <c r="D1282" s="155" t="s">
        <v>205</v>
      </c>
      <c r="E1282" s="34">
        <v>6</v>
      </c>
      <c r="F1282" s="31">
        <v>0.69350000000000001</v>
      </c>
      <c r="G1282" s="31">
        <f>IF(ISNUMBER(F1282),E1282*F1282,"")</f>
        <v>4.1609999999999996</v>
      </c>
      <c r="H1282" s="32"/>
      <c r="I1282" s="28"/>
      <c r="J1282" s="125">
        <v>0</v>
      </c>
    </row>
    <row r="1283" spans="1:10" ht="15.75" hidden="1" thickBot="1" x14ac:dyDescent="0.3">
      <c r="A1283" s="236"/>
      <c r="B1283" s="239"/>
      <c r="C1283" s="155"/>
      <c r="D1283" s="33"/>
      <c r="E1283" s="34"/>
      <c r="F1283" s="28" t="s">
        <v>418</v>
      </c>
      <c r="G1283" s="28" t="str">
        <f>IF(ISNUMBER(F1283),E1283*F1283,"")</f>
        <v/>
      </c>
      <c r="H1283" s="32"/>
      <c r="I1283" s="28"/>
      <c r="J1283" s="125">
        <v>0</v>
      </c>
    </row>
    <row r="1284" spans="1:10" ht="15.75" hidden="1" thickBot="1" x14ac:dyDescent="0.3">
      <c r="A1284" s="234" t="s">
        <v>307</v>
      </c>
      <c r="B1284" s="237" t="s">
        <v>1433</v>
      </c>
      <c r="C1284" s="160"/>
      <c r="D1284" s="23" t="s">
        <v>16</v>
      </c>
      <c r="E1284" s="24"/>
      <c r="F1284" s="37" t="s">
        <v>418</v>
      </c>
      <c r="G1284" s="25" t="str">
        <f>IF(ISNUMBER(F1284),E1284*F1284,"")</f>
        <v/>
      </c>
      <c r="H1284" s="26"/>
      <c r="I1284" s="27"/>
      <c r="J1284" s="125">
        <v>0</v>
      </c>
    </row>
    <row r="1285" spans="1:10" ht="15.75" hidden="1" thickBot="1" x14ac:dyDescent="0.3">
      <c r="A1285" s="235"/>
      <c r="B1285" s="238"/>
      <c r="C1285" s="151"/>
      <c r="D1285" s="29"/>
      <c r="E1285" s="30"/>
      <c r="F1285" s="38" t="s">
        <v>418</v>
      </c>
      <c r="G1285" s="28" t="str">
        <f>IF(ISNUMBER(F1285),E1285*F1285,"")</f>
        <v/>
      </c>
      <c r="H1285" s="32"/>
      <c r="I1285" s="28"/>
      <c r="J1285" s="125">
        <v>0</v>
      </c>
    </row>
    <row r="1286" spans="1:10" ht="26.25" hidden="1" thickBot="1" x14ac:dyDescent="0.3">
      <c r="A1286" s="235"/>
      <c r="B1286" s="238"/>
      <c r="C1286" s="155" t="s">
        <v>308</v>
      </c>
      <c r="D1286" s="42" t="s">
        <v>97</v>
      </c>
      <c r="E1286" s="34">
        <v>1</v>
      </c>
      <c r="F1286" s="31" t="s">
        <v>418</v>
      </c>
      <c r="G1286" s="31" t="str">
        <f>IF(ISNUMBER(F1286),E1286*F1286,"")</f>
        <v/>
      </c>
      <c r="H1286" s="35">
        <f>SUM(G1286:G1290)</f>
        <v>54.078504899999999</v>
      </c>
      <c r="I1286" s="36"/>
      <c r="J1286" s="125">
        <v>0</v>
      </c>
    </row>
    <row r="1287" spans="1:10" ht="39" hidden="1" thickBot="1" x14ac:dyDescent="0.3">
      <c r="A1287" s="235"/>
      <c r="B1287" s="238"/>
      <c r="C1287" s="155" t="s">
        <v>26739</v>
      </c>
      <c r="D1287" s="155" t="s">
        <v>205</v>
      </c>
      <c r="E1287" s="34">
        <v>2</v>
      </c>
      <c r="F1287" s="31">
        <v>18.297000000000001</v>
      </c>
      <c r="G1287" s="31">
        <f>IF(ISNUMBER(F1287),E1287*F1287,"")</f>
        <v>36.594000000000001</v>
      </c>
      <c r="H1287" s="32"/>
      <c r="I1287" s="28"/>
      <c r="J1287" s="125">
        <v>0</v>
      </c>
    </row>
    <row r="1288" spans="1:10" ht="15.75" hidden="1" thickBot="1" x14ac:dyDescent="0.3">
      <c r="A1288" s="235"/>
      <c r="B1288" s="238"/>
      <c r="C1288" s="155" t="s">
        <v>10395</v>
      </c>
      <c r="D1288" s="155" t="s">
        <v>774</v>
      </c>
      <c r="E1288" s="34">
        <v>3.04E-2</v>
      </c>
      <c r="F1288" s="31">
        <v>138.6335</v>
      </c>
      <c r="G1288" s="31">
        <f>IF(ISNUMBER(F1288),E1288*F1288,"")</f>
        <v>4.2144583999999998</v>
      </c>
      <c r="H1288" s="32"/>
      <c r="I1288" s="28"/>
      <c r="J1288" s="125">
        <v>0</v>
      </c>
    </row>
    <row r="1289" spans="1:10" ht="26.25" hidden="1" thickBot="1" x14ac:dyDescent="0.3">
      <c r="A1289" s="235"/>
      <c r="B1289" s="238"/>
      <c r="C1289" s="155" t="s">
        <v>825</v>
      </c>
      <c r="D1289" s="155" t="s">
        <v>587</v>
      </c>
      <c r="E1289" s="34">
        <v>0.38700000000000001</v>
      </c>
      <c r="F1289" s="28">
        <v>24.9375</v>
      </c>
      <c r="G1289" s="31">
        <f>IF(ISNUMBER(F1289),E1289*F1289,"")</f>
        <v>9.6508125000000007</v>
      </c>
      <c r="H1289" s="32"/>
      <c r="I1289" s="28"/>
      <c r="J1289" s="125">
        <v>0</v>
      </c>
    </row>
    <row r="1290" spans="1:10" ht="15.75" hidden="1" thickBot="1" x14ac:dyDescent="0.3">
      <c r="A1290" s="235"/>
      <c r="B1290" s="238"/>
      <c r="C1290" s="155" t="s">
        <v>588</v>
      </c>
      <c r="D1290" s="155" t="s">
        <v>587</v>
      </c>
      <c r="E1290" s="34">
        <v>0.18859999999999999</v>
      </c>
      <c r="F1290" s="28">
        <v>19.189999999999998</v>
      </c>
      <c r="G1290" s="31">
        <f>IF(ISNUMBER(F1290),E1290*F1290,"")</f>
        <v>3.6192339999999992</v>
      </c>
      <c r="H1290" s="32"/>
      <c r="I1290" s="28"/>
      <c r="J1290" s="125">
        <v>0</v>
      </c>
    </row>
    <row r="1291" spans="1:10" ht="15.75" hidden="1" thickBot="1" x14ac:dyDescent="0.3">
      <c r="A1291" s="236"/>
      <c r="B1291" s="239"/>
      <c r="C1291" s="155"/>
      <c r="D1291" s="33"/>
      <c r="E1291" s="34"/>
      <c r="F1291" s="28" t="s">
        <v>418</v>
      </c>
      <c r="G1291" s="28" t="str">
        <f>IF(ISNUMBER(F1291),E1291*F1291,"")</f>
        <v/>
      </c>
      <c r="H1291" s="32"/>
      <c r="I1291" s="28"/>
      <c r="J1291" s="125">
        <v>0</v>
      </c>
    </row>
    <row r="1292" spans="1:10" ht="15.75" hidden="1" thickBot="1" x14ac:dyDescent="0.3">
      <c r="A1292" s="234" t="s">
        <v>309</v>
      </c>
      <c r="B1292" s="237" t="s">
        <v>1434</v>
      </c>
      <c r="C1292" s="160"/>
      <c r="D1292" s="23" t="s">
        <v>16</v>
      </c>
      <c r="E1292" s="24"/>
      <c r="F1292" s="37" t="s">
        <v>418</v>
      </c>
      <c r="G1292" s="25" t="str">
        <f>IF(ISNUMBER(F1292),E1292*F1292,"")</f>
        <v/>
      </c>
      <c r="H1292" s="26"/>
      <c r="I1292" s="27"/>
      <c r="J1292" s="125">
        <v>0</v>
      </c>
    </row>
    <row r="1293" spans="1:10" ht="15.75" hidden="1" thickBot="1" x14ac:dyDescent="0.3">
      <c r="A1293" s="235"/>
      <c r="B1293" s="238"/>
      <c r="C1293" s="151"/>
      <c r="D1293" s="29"/>
      <c r="E1293" s="30"/>
      <c r="F1293" s="38" t="s">
        <v>418</v>
      </c>
      <c r="G1293" s="28" t="str">
        <f>IF(ISNUMBER(F1293),E1293*F1293,"")</f>
        <v/>
      </c>
      <c r="H1293" s="32"/>
      <c r="I1293" s="28"/>
      <c r="J1293" s="125">
        <v>0</v>
      </c>
    </row>
    <row r="1294" spans="1:10" ht="26.25" hidden="1" thickBot="1" x14ac:dyDescent="0.3">
      <c r="A1294" s="235"/>
      <c r="B1294" s="238"/>
      <c r="C1294" s="155" t="s">
        <v>825</v>
      </c>
      <c r="D1294" s="155" t="s">
        <v>587</v>
      </c>
      <c r="E1294" s="34">
        <v>1.4666999999999999</v>
      </c>
      <c r="F1294" s="28">
        <v>24.9375</v>
      </c>
      <c r="G1294" s="31">
        <f>IF(ISNUMBER(F1294),E1294*F1294,"")</f>
        <v>36.57583125</v>
      </c>
      <c r="H1294" s="35">
        <f>SUM(G1294:G1299)</f>
        <v>170.86961535</v>
      </c>
      <c r="I1294" s="36"/>
      <c r="J1294" s="125">
        <v>0</v>
      </c>
    </row>
    <row r="1295" spans="1:10" ht="15.75" hidden="1" thickBot="1" x14ac:dyDescent="0.3">
      <c r="A1295" s="235"/>
      <c r="B1295" s="238"/>
      <c r="C1295" s="155" t="s">
        <v>588</v>
      </c>
      <c r="D1295" s="155" t="s">
        <v>587</v>
      </c>
      <c r="E1295" s="34">
        <v>0.65169999999999995</v>
      </c>
      <c r="F1295" s="28">
        <v>19.189999999999998</v>
      </c>
      <c r="G1295" s="31">
        <f>IF(ISNUMBER(F1295),E1295*F1295,"")</f>
        <v>12.506122999999997</v>
      </c>
      <c r="H1295" s="32"/>
      <c r="I1295" s="28"/>
      <c r="J1295" s="125">
        <v>0</v>
      </c>
    </row>
    <row r="1296" spans="1:10" ht="26.25" hidden="1" thickBot="1" x14ac:dyDescent="0.3">
      <c r="A1296" s="235"/>
      <c r="B1296" s="238"/>
      <c r="C1296" s="155" t="s">
        <v>308</v>
      </c>
      <c r="D1296" s="42" t="s">
        <v>97</v>
      </c>
      <c r="E1296" s="34">
        <v>1</v>
      </c>
      <c r="F1296" s="31" t="s">
        <v>418</v>
      </c>
      <c r="G1296" s="31" t="str">
        <f>IF(ISNUMBER(F1296),E1296*F1296,"")</f>
        <v/>
      </c>
      <c r="H1296" s="32"/>
      <c r="I1296" s="28"/>
      <c r="J1296" s="125">
        <v>0</v>
      </c>
    </row>
    <row r="1297" spans="1:10" ht="39" hidden="1" thickBot="1" x14ac:dyDescent="0.3">
      <c r="A1297" s="235"/>
      <c r="B1297" s="238"/>
      <c r="C1297" s="155" t="s">
        <v>26739</v>
      </c>
      <c r="D1297" s="155" t="s">
        <v>205</v>
      </c>
      <c r="E1297" s="34">
        <v>6</v>
      </c>
      <c r="F1297" s="31">
        <v>18.297000000000001</v>
      </c>
      <c r="G1297" s="31">
        <f>IF(ISNUMBER(F1297),E1297*F1297,"")</f>
        <v>109.78200000000001</v>
      </c>
      <c r="H1297" s="32"/>
      <c r="I1297" s="28"/>
      <c r="J1297" s="125">
        <v>0</v>
      </c>
    </row>
    <row r="1298" spans="1:10" ht="15.75" hidden="1" thickBot="1" x14ac:dyDescent="0.3">
      <c r="A1298" s="235"/>
      <c r="B1298" s="238"/>
      <c r="C1298" s="155" t="s">
        <v>10395</v>
      </c>
      <c r="D1298" s="155" t="s">
        <v>774</v>
      </c>
      <c r="E1298" s="34">
        <v>8.6599999999999996E-2</v>
      </c>
      <c r="F1298" s="31">
        <v>138.6335</v>
      </c>
      <c r="G1298" s="31">
        <f>IF(ISNUMBER(F1298),E1298*F1298,"")</f>
        <v>12.005661099999999</v>
      </c>
      <c r="H1298" s="32"/>
      <c r="I1298" s="28"/>
      <c r="J1298" s="125">
        <v>0</v>
      </c>
    </row>
    <row r="1299" spans="1:10" ht="26.25" hidden="1" thickBot="1" x14ac:dyDescent="0.3">
      <c r="A1299" s="235"/>
      <c r="B1299" s="238"/>
      <c r="C1299" s="155" t="s">
        <v>310</v>
      </c>
      <c r="D1299" s="33" t="s">
        <v>16</v>
      </c>
      <c r="E1299" s="34">
        <v>1</v>
      </c>
      <c r="F1299" s="31" t="s">
        <v>418</v>
      </c>
      <c r="G1299" s="28" t="str">
        <f>IF(ISNUMBER(F1299),E1299*F1299,"")</f>
        <v/>
      </c>
      <c r="H1299" s="32"/>
      <c r="I1299" s="28"/>
      <c r="J1299" s="125">
        <v>0</v>
      </c>
    </row>
    <row r="1300" spans="1:10" ht="15.75" hidden="1" thickBot="1" x14ac:dyDescent="0.3">
      <c r="A1300" s="235"/>
      <c r="B1300" s="238"/>
      <c r="C1300" s="155"/>
      <c r="D1300" s="33"/>
      <c r="E1300" s="34"/>
      <c r="F1300" s="31" t="s">
        <v>418</v>
      </c>
      <c r="G1300" s="28" t="str">
        <f>IF(ISNUMBER(F1300),E1300*F1300,"")</f>
        <v/>
      </c>
      <c r="H1300" s="32"/>
      <c r="I1300" s="28"/>
      <c r="J1300" s="125">
        <v>0</v>
      </c>
    </row>
    <row r="1301" spans="1:10" ht="15.75" hidden="1" thickBot="1" x14ac:dyDescent="0.3">
      <c r="A1301" s="234" t="s">
        <v>311</v>
      </c>
      <c r="B1301" s="237" t="s">
        <v>13455</v>
      </c>
      <c r="C1301" s="160"/>
      <c r="D1301" s="23" t="s">
        <v>16</v>
      </c>
      <c r="E1301" s="24"/>
      <c r="F1301" s="37" t="s">
        <v>418</v>
      </c>
      <c r="G1301" s="25" t="str">
        <f>IF(ISNUMBER(F1301),E1301*F1301,"")</f>
        <v/>
      </c>
      <c r="H1301" s="26"/>
      <c r="I1301" s="27"/>
      <c r="J1301" s="125">
        <v>0</v>
      </c>
    </row>
    <row r="1302" spans="1:10" ht="15.75" hidden="1" thickBot="1" x14ac:dyDescent="0.3">
      <c r="A1302" s="235"/>
      <c r="B1302" s="238"/>
      <c r="C1302" s="151"/>
      <c r="D1302" s="29"/>
      <c r="E1302" s="30"/>
      <c r="F1302" s="38" t="s">
        <v>418</v>
      </c>
      <c r="G1302" s="28" t="str">
        <f>IF(ISNUMBER(F1302),E1302*F1302,"")</f>
        <v/>
      </c>
      <c r="H1302" s="32"/>
      <c r="I1302" s="28"/>
      <c r="J1302" s="125">
        <v>0</v>
      </c>
    </row>
    <row r="1303" spans="1:10" ht="15.75" hidden="1" thickBot="1" x14ac:dyDescent="0.3">
      <c r="A1303" s="235"/>
      <c r="B1303" s="238"/>
      <c r="C1303" s="155" t="s">
        <v>312</v>
      </c>
      <c r="D1303" s="42" t="s">
        <v>97</v>
      </c>
      <c r="E1303" s="34">
        <v>1</v>
      </c>
      <c r="F1303" s="31" t="s">
        <v>418</v>
      </c>
      <c r="G1303" s="31" t="str">
        <f>IF(ISNUMBER(F1303),E1303*F1303,"")</f>
        <v/>
      </c>
      <c r="H1303" s="35">
        <f>SUM(G1303:G1305)</f>
        <v>9.7965614999999993</v>
      </c>
      <c r="I1303" s="36"/>
      <c r="J1303" s="125">
        <v>0</v>
      </c>
    </row>
    <row r="1304" spans="1:10" ht="26.25" hidden="1" thickBot="1" x14ac:dyDescent="0.3">
      <c r="A1304" s="235"/>
      <c r="B1304" s="238"/>
      <c r="C1304" s="155" t="s">
        <v>825</v>
      </c>
      <c r="D1304" s="155" t="s">
        <v>587</v>
      </c>
      <c r="E1304" s="34">
        <v>0.31619999999999998</v>
      </c>
      <c r="F1304" s="28">
        <v>24.9375</v>
      </c>
      <c r="G1304" s="31">
        <f>IF(ISNUMBER(F1304),E1304*F1304,"")</f>
        <v>7.8852374999999997</v>
      </c>
      <c r="H1304" s="32"/>
      <c r="I1304" s="28"/>
      <c r="J1304" s="125">
        <v>0</v>
      </c>
    </row>
    <row r="1305" spans="1:10" ht="15.75" hidden="1" thickBot="1" x14ac:dyDescent="0.3">
      <c r="A1305" s="235"/>
      <c r="B1305" s="238"/>
      <c r="C1305" s="155" t="s">
        <v>588</v>
      </c>
      <c r="D1305" s="155" t="s">
        <v>587</v>
      </c>
      <c r="E1305" s="34">
        <v>9.9599999999999994E-2</v>
      </c>
      <c r="F1305" s="28">
        <v>19.189999999999998</v>
      </c>
      <c r="G1305" s="31">
        <f>IF(ISNUMBER(F1305),E1305*F1305,"")</f>
        <v>1.9113239999999996</v>
      </c>
      <c r="H1305" s="32"/>
      <c r="I1305" s="28"/>
      <c r="J1305" s="125">
        <v>0</v>
      </c>
    </row>
    <row r="1306" spans="1:10" ht="15.75" hidden="1" thickBot="1" x14ac:dyDescent="0.3">
      <c r="A1306" s="236"/>
      <c r="B1306" s="239"/>
      <c r="C1306" s="155"/>
      <c r="D1306" s="33"/>
      <c r="E1306" s="34"/>
      <c r="F1306" s="28" t="s">
        <v>418</v>
      </c>
      <c r="G1306" s="28" t="str">
        <f>IF(ISNUMBER(F1306),E1306*F1306,"")</f>
        <v/>
      </c>
      <c r="H1306" s="32"/>
      <c r="I1306" s="28"/>
      <c r="J1306" s="125">
        <v>0</v>
      </c>
    </row>
    <row r="1307" spans="1:10" ht="15.75" hidden="1" thickBot="1" x14ac:dyDescent="0.3">
      <c r="A1307" s="234" t="s">
        <v>313</v>
      </c>
      <c r="B1307" s="237" t="s">
        <v>13456</v>
      </c>
      <c r="C1307" s="160"/>
      <c r="D1307" s="23" t="s">
        <v>16</v>
      </c>
      <c r="E1307" s="24"/>
      <c r="F1307" s="37" t="s">
        <v>418</v>
      </c>
      <c r="G1307" s="25" t="str">
        <f>IF(ISNUMBER(F1307),E1307*F1307,"")</f>
        <v/>
      </c>
      <c r="H1307" s="26"/>
      <c r="I1307" s="27"/>
      <c r="J1307" s="125">
        <v>0</v>
      </c>
    </row>
    <row r="1308" spans="1:10" ht="15.75" hidden="1" thickBot="1" x14ac:dyDescent="0.3">
      <c r="A1308" s="235"/>
      <c r="B1308" s="238"/>
      <c r="C1308" s="151"/>
      <c r="D1308" s="29"/>
      <c r="E1308" s="30"/>
      <c r="F1308" s="38" t="s">
        <v>418</v>
      </c>
      <c r="G1308" s="28" t="str">
        <f>IF(ISNUMBER(F1308),E1308*F1308,"")</f>
        <v/>
      </c>
      <c r="H1308" s="32"/>
      <c r="I1308" s="28"/>
      <c r="J1308" s="125">
        <v>0</v>
      </c>
    </row>
    <row r="1309" spans="1:10" ht="15.75" hidden="1" thickBot="1" x14ac:dyDescent="0.3">
      <c r="A1309" s="235"/>
      <c r="B1309" s="238"/>
      <c r="C1309" s="155" t="s">
        <v>314</v>
      </c>
      <c r="D1309" s="42" t="s">
        <v>97</v>
      </c>
      <c r="E1309" s="34">
        <v>1</v>
      </c>
      <c r="F1309" s="31" t="s">
        <v>418</v>
      </c>
      <c r="G1309" s="31" t="str">
        <f>IF(ISNUMBER(F1309),E1309*F1309,"")</f>
        <v/>
      </c>
      <c r="H1309" s="35">
        <f>SUM(G1309:G1311)</f>
        <v>9.7965614999999993</v>
      </c>
      <c r="I1309" s="36"/>
      <c r="J1309" s="125">
        <v>0</v>
      </c>
    </row>
    <row r="1310" spans="1:10" ht="26.25" hidden="1" thickBot="1" x14ac:dyDescent="0.3">
      <c r="A1310" s="235"/>
      <c r="B1310" s="238"/>
      <c r="C1310" s="155" t="s">
        <v>825</v>
      </c>
      <c r="D1310" s="155" t="s">
        <v>587</v>
      </c>
      <c r="E1310" s="34">
        <v>0.31619999999999998</v>
      </c>
      <c r="F1310" s="28">
        <v>24.9375</v>
      </c>
      <c r="G1310" s="31">
        <f>IF(ISNUMBER(F1310),E1310*F1310,"")</f>
        <v>7.8852374999999997</v>
      </c>
      <c r="H1310" s="32"/>
      <c r="I1310" s="28"/>
      <c r="J1310" s="125">
        <v>0</v>
      </c>
    </row>
    <row r="1311" spans="1:10" ht="15.75" hidden="1" thickBot="1" x14ac:dyDescent="0.3">
      <c r="A1311" s="235"/>
      <c r="B1311" s="238"/>
      <c r="C1311" s="155" t="s">
        <v>588</v>
      </c>
      <c r="D1311" s="155" t="s">
        <v>587</v>
      </c>
      <c r="E1311" s="34">
        <v>9.9599999999999994E-2</v>
      </c>
      <c r="F1311" s="28">
        <v>19.189999999999998</v>
      </c>
      <c r="G1311" s="31">
        <f>IF(ISNUMBER(F1311),E1311*F1311,"")</f>
        <v>1.9113239999999996</v>
      </c>
      <c r="H1311" s="32"/>
      <c r="I1311" s="28"/>
      <c r="J1311" s="125">
        <v>0</v>
      </c>
    </row>
    <row r="1312" spans="1:10" ht="15.75" hidden="1" thickBot="1" x14ac:dyDescent="0.3">
      <c r="A1312" s="236"/>
      <c r="B1312" s="239"/>
      <c r="C1312" s="155"/>
      <c r="D1312" s="33"/>
      <c r="E1312" s="34"/>
      <c r="F1312" s="28" t="s">
        <v>418</v>
      </c>
      <c r="G1312" s="28" t="str">
        <f>IF(ISNUMBER(F1312),E1312*F1312,"")</f>
        <v/>
      </c>
      <c r="H1312" s="32"/>
      <c r="I1312" s="28"/>
      <c r="J1312" s="125">
        <v>0</v>
      </c>
    </row>
    <row r="1313" spans="1:10" ht="15.75" hidden="1" thickBot="1" x14ac:dyDescent="0.3">
      <c r="A1313" s="234" t="s">
        <v>315</v>
      </c>
      <c r="B1313" s="237" t="s">
        <v>13457</v>
      </c>
      <c r="C1313" s="160"/>
      <c r="D1313" s="23" t="s">
        <v>16</v>
      </c>
      <c r="E1313" s="24"/>
      <c r="F1313" s="37" t="s">
        <v>418</v>
      </c>
      <c r="G1313" s="25" t="str">
        <f>IF(ISNUMBER(F1313),E1313*F1313,"")</f>
        <v/>
      </c>
      <c r="H1313" s="26"/>
      <c r="I1313" s="27"/>
      <c r="J1313" s="125">
        <v>0</v>
      </c>
    </row>
    <row r="1314" spans="1:10" ht="15.75" hidden="1" thickBot="1" x14ac:dyDescent="0.3">
      <c r="A1314" s="235"/>
      <c r="B1314" s="238"/>
      <c r="C1314" s="151"/>
      <c r="D1314" s="29"/>
      <c r="E1314" s="30"/>
      <c r="F1314" s="38" t="s">
        <v>418</v>
      </c>
      <c r="G1314" s="28" t="str">
        <f>IF(ISNUMBER(F1314),E1314*F1314,"")</f>
        <v/>
      </c>
      <c r="H1314" s="32"/>
      <c r="I1314" s="28"/>
      <c r="J1314" s="125">
        <v>0</v>
      </c>
    </row>
    <row r="1315" spans="1:10" ht="26.25" hidden="1" thickBot="1" x14ac:dyDescent="0.3">
      <c r="A1315" s="235"/>
      <c r="B1315" s="238"/>
      <c r="C1315" s="155" t="s">
        <v>316</v>
      </c>
      <c r="D1315" s="42" t="s">
        <v>97</v>
      </c>
      <c r="E1315" s="34">
        <v>1</v>
      </c>
      <c r="F1315" s="31" t="s">
        <v>418</v>
      </c>
      <c r="G1315" s="31" t="str">
        <f>IF(ISNUMBER(F1315),E1315*F1315,"")</f>
        <v/>
      </c>
      <c r="H1315" s="35">
        <f>SUM(G1315:G1317)</f>
        <v>9.7965614999999993</v>
      </c>
      <c r="I1315" s="36"/>
      <c r="J1315" s="125">
        <v>0</v>
      </c>
    </row>
    <row r="1316" spans="1:10" ht="26.25" hidden="1" thickBot="1" x14ac:dyDescent="0.3">
      <c r="A1316" s="235"/>
      <c r="B1316" s="238"/>
      <c r="C1316" s="155" t="s">
        <v>825</v>
      </c>
      <c r="D1316" s="155" t="s">
        <v>587</v>
      </c>
      <c r="E1316" s="34">
        <v>0.31619999999999998</v>
      </c>
      <c r="F1316" s="28">
        <v>24.9375</v>
      </c>
      <c r="G1316" s="31">
        <f>IF(ISNUMBER(F1316),E1316*F1316,"")</f>
        <v>7.8852374999999997</v>
      </c>
      <c r="H1316" s="32"/>
      <c r="I1316" s="28"/>
      <c r="J1316" s="125">
        <v>0</v>
      </c>
    </row>
    <row r="1317" spans="1:10" ht="15.75" hidden="1" thickBot="1" x14ac:dyDescent="0.3">
      <c r="A1317" s="235"/>
      <c r="B1317" s="238"/>
      <c r="C1317" s="155" t="s">
        <v>588</v>
      </c>
      <c r="D1317" s="155" t="s">
        <v>587</v>
      </c>
      <c r="E1317" s="34">
        <v>9.9599999999999994E-2</v>
      </c>
      <c r="F1317" s="28">
        <v>19.189999999999998</v>
      </c>
      <c r="G1317" s="31">
        <f>IF(ISNUMBER(F1317),E1317*F1317,"")</f>
        <v>1.9113239999999996</v>
      </c>
      <c r="H1317" s="32"/>
      <c r="I1317" s="28"/>
      <c r="J1317" s="125">
        <v>0</v>
      </c>
    </row>
    <row r="1318" spans="1:10" ht="15.75" hidden="1" thickBot="1" x14ac:dyDescent="0.3">
      <c r="A1318" s="236"/>
      <c r="B1318" s="239"/>
      <c r="C1318" s="155"/>
      <c r="D1318" s="33"/>
      <c r="E1318" s="34"/>
      <c r="F1318" s="28" t="s">
        <v>418</v>
      </c>
      <c r="G1318" s="28" t="str">
        <f>IF(ISNUMBER(F1318),E1318*F1318,"")</f>
        <v/>
      </c>
      <c r="H1318" s="32"/>
      <c r="I1318" s="28"/>
      <c r="J1318" s="125">
        <v>0</v>
      </c>
    </row>
    <row r="1319" spans="1:10" ht="15.75" hidden="1" thickBot="1" x14ac:dyDescent="0.3">
      <c r="A1319" s="234" t="s">
        <v>317</v>
      </c>
      <c r="B1319" s="237" t="s">
        <v>13458</v>
      </c>
      <c r="C1319" s="160"/>
      <c r="D1319" s="23" t="s">
        <v>16</v>
      </c>
      <c r="E1319" s="24"/>
      <c r="F1319" s="37" t="s">
        <v>418</v>
      </c>
      <c r="G1319" s="25" t="str">
        <f>IF(ISNUMBER(F1319),E1319*F1319,"")</f>
        <v/>
      </c>
      <c r="H1319" s="26"/>
      <c r="I1319" s="27"/>
      <c r="J1319" s="125">
        <v>0</v>
      </c>
    </row>
    <row r="1320" spans="1:10" ht="15.75" hidden="1" thickBot="1" x14ac:dyDescent="0.3">
      <c r="A1320" s="235"/>
      <c r="B1320" s="238"/>
      <c r="C1320" s="151"/>
      <c r="D1320" s="29"/>
      <c r="E1320" s="30"/>
      <c r="F1320" s="38" t="s">
        <v>418</v>
      </c>
      <c r="G1320" s="28" t="str">
        <f>IF(ISNUMBER(F1320),E1320*F1320,"")</f>
        <v/>
      </c>
      <c r="H1320" s="32"/>
      <c r="I1320" s="28"/>
      <c r="J1320" s="125">
        <v>0</v>
      </c>
    </row>
    <row r="1321" spans="1:10" ht="26.25" hidden="1" thickBot="1" x14ac:dyDescent="0.3">
      <c r="A1321" s="235"/>
      <c r="B1321" s="238"/>
      <c r="C1321" s="155" t="s">
        <v>318</v>
      </c>
      <c r="D1321" s="42" t="s">
        <v>97</v>
      </c>
      <c r="E1321" s="34">
        <v>1</v>
      </c>
      <c r="F1321" s="31" t="s">
        <v>418</v>
      </c>
      <c r="G1321" s="31" t="str">
        <f>IF(ISNUMBER(F1321),E1321*F1321,"")</f>
        <v/>
      </c>
      <c r="H1321" s="35">
        <f>SUM(G1321:G1323)</f>
        <v>19.590629249999999</v>
      </c>
      <c r="I1321" s="36"/>
      <c r="J1321" s="125">
        <v>0</v>
      </c>
    </row>
    <row r="1322" spans="1:10" ht="26.25" hidden="1" thickBot="1" x14ac:dyDescent="0.3">
      <c r="A1322" s="235"/>
      <c r="B1322" s="238"/>
      <c r="C1322" s="155" t="s">
        <v>825</v>
      </c>
      <c r="D1322" s="155" t="s">
        <v>587</v>
      </c>
      <c r="E1322" s="34">
        <v>0.63229999999999997</v>
      </c>
      <c r="F1322" s="28">
        <v>24.9375</v>
      </c>
      <c r="G1322" s="31">
        <f>IF(ISNUMBER(F1322),E1322*F1322,"")</f>
        <v>15.76798125</v>
      </c>
      <c r="H1322" s="32"/>
      <c r="I1322" s="28"/>
      <c r="J1322" s="125">
        <v>0</v>
      </c>
    </row>
    <row r="1323" spans="1:10" ht="15.75" hidden="1" thickBot="1" x14ac:dyDescent="0.3">
      <c r="A1323" s="235"/>
      <c r="B1323" s="238"/>
      <c r="C1323" s="155" t="s">
        <v>588</v>
      </c>
      <c r="D1323" s="155" t="s">
        <v>587</v>
      </c>
      <c r="E1323" s="34">
        <v>0.19919999999999999</v>
      </c>
      <c r="F1323" s="28">
        <v>19.189999999999998</v>
      </c>
      <c r="G1323" s="31">
        <f>IF(ISNUMBER(F1323),E1323*F1323,"")</f>
        <v>3.8226479999999992</v>
      </c>
      <c r="H1323" s="32"/>
      <c r="I1323" s="28"/>
      <c r="J1323" s="125">
        <v>0</v>
      </c>
    </row>
    <row r="1324" spans="1:10" ht="15.75" hidden="1" thickBot="1" x14ac:dyDescent="0.3">
      <c r="A1324" s="236"/>
      <c r="B1324" s="239"/>
      <c r="C1324" s="155"/>
      <c r="D1324" s="33"/>
      <c r="E1324" s="34"/>
      <c r="F1324" s="28" t="s">
        <v>418</v>
      </c>
      <c r="G1324" s="28" t="str">
        <f>IF(ISNUMBER(F1324),E1324*F1324,"")</f>
        <v/>
      </c>
      <c r="H1324" s="32"/>
      <c r="I1324" s="28"/>
      <c r="J1324" s="125">
        <v>0</v>
      </c>
    </row>
    <row r="1325" spans="1:10" ht="15.75" hidden="1" thickBot="1" x14ac:dyDescent="0.3">
      <c r="A1325" s="234" t="s">
        <v>319</v>
      </c>
      <c r="B1325" s="237" t="s">
        <v>19700</v>
      </c>
      <c r="C1325" s="160"/>
      <c r="D1325" s="23" t="s">
        <v>16</v>
      </c>
      <c r="E1325" s="24"/>
      <c r="F1325" s="37" t="s">
        <v>418</v>
      </c>
      <c r="G1325" s="25" t="str">
        <f>IF(ISNUMBER(F1325),E1325*F1325,"")</f>
        <v/>
      </c>
      <c r="H1325" s="26"/>
      <c r="I1325" s="27"/>
      <c r="J1325" s="125">
        <v>0</v>
      </c>
    </row>
    <row r="1326" spans="1:10" ht="15.75" hidden="1" thickBot="1" x14ac:dyDescent="0.3">
      <c r="A1326" s="235"/>
      <c r="B1326" s="238"/>
      <c r="C1326" s="151"/>
      <c r="D1326" s="29"/>
      <c r="E1326" s="30"/>
      <c r="F1326" s="38" t="s">
        <v>418</v>
      </c>
      <c r="G1326" s="28" t="str">
        <f>IF(ISNUMBER(F1326),E1326*F1326,"")</f>
        <v/>
      </c>
      <c r="H1326" s="32"/>
      <c r="I1326" s="28"/>
      <c r="J1326" s="125">
        <v>0</v>
      </c>
    </row>
    <row r="1327" spans="1:10" ht="15.75" hidden="1" thickBot="1" x14ac:dyDescent="0.3">
      <c r="A1327" s="235"/>
      <c r="B1327" s="238"/>
      <c r="C1327" s="155" t="s">
        <v>1022</v>
      </c>
      <c r="D1327" s="155" t="s">
        <v>587</v>
      </c>
      <c r="E1327" s="34">
        <v>0.14499999999999999</v>
      </c>
      <c r="F1327" s="28">
        <v>19.522500000000001</v>
      </c>
      <c r="G1327" s="31">
        <f>IF(ISNUMBER(F1327),E1327*F1327,"")</f>
        <v>2.8307625000000001</v>
      </c>
      <c r="H1327" s="35">
        <f>SUM(G1327:G1330)</f>
        <v>9.3636670396165513</v>
      </c>
      <c r="I1327" s="36"/>
      <c r="J1327" s="125">
        <v>0</v>
      </c>
    </row>
    <row r="1328" spans="1:10" ht="15.75" hidden="1" thickBot="1" x14ac:dyDescent="0.3">
      <c r="A1328" s="235"/>
      <c r="B1328" s="238"/>
      <c r="C1328" s="155" t="s">
        <v>1023</v>
      </c>
      <c r="D1328" s="155" t="s">
        <v>587</v>
      </c>
      <c r="E1328" s="34">
        <v>0.14499999999999999</v>
      </c>
      <c r="F1328" s="28">
        <v>25.954000000000001</v>
      </c>
      <c r="G1328" s="31">
        <f>IF(ISNUMBER(F1328),E1328*F1328,"")</f>
        <v>3.7633299999999998</v>
      </c>
      <c r="H1328" s="32"/>
      <c r="I1328" s="28"/>
      <c r="J1328" s="125">
        <v>0</v>
      </c>
    </row>
    <row r="1329" spans="1:10" ht="26.25" hidden="1" thickBot="1" x14ac:dyDescent="0.3">
      <c r="A1329" s="235"/>
      <c r="B1329" s="238"/>
      <c r="C1329" s="155" t="s">
        <v>80</v>
      </c>
      <c r="D1329" s="155" t="s">
        <v>85</v>
      </c>
      <c r="E1329" s="34">
        <v>8.9999999999999998E-4</v>
      </c>
      <c r="F1329" s="31">
        <v>913.4161551295</v>
      </c>
      <c r="G1329" s="31">
        <f>IF(ISNUMBER(F1329),E1329*F1329,"")</f>
        <v>0.82207453961654997</v>
      </c>
      <c r="H1329" s="32"/>
      <c r="I1329" s="28"/>
      <c r="J1329" s="125">
        <v>0</v>
      </c>
    </row>
    <row r="1330" spans="1:10" ht="26.25" hidden="1" thickBot="1" x14ac:dyDescent="0.3">
      <c r="A1330" s="235"/>
      <c r="B1330" s="238"/>
      <c r="C1330" s="155" t="s">
        <v>24290</v>
      </c>
      <c r="D1330" s="155" t="s">
        <v>205</v>
      </c>
      <c r="E1330" s="34">
        <v>1</v>
      </c>
      <c r="F1330" s="31">
        <v>1.9474999999999998</v>
      </c>
      <c r="G1330" s="28">
        <f>IF(ISNUMBER(F1330),E1330*F1330,"")</f>
        <v>1.9474999999999998</v>
      </c>
      <c r="H1330" s="32"/>
      <c r="I1330" s="28"/>
      <c r="J1330" s="125">
        <v>0</v>
      </c>
    </row>
    <row r="1331" spans="1:10" ht="15.75" hidden="1" thickBot="1" x14ac:dyDescent="0.3">
      <c r="A1331" s="236"/>
      <c r="B1331" s="239"/>
      <c r="C1331" s="155"/>
      <c r="D1331" s="33"/>
      <c r="E1331" s="34"/>
      <c r="F1331" s="28" t="s">
        <v>418</v>
      </c>
      <c r="G1331" s="28" t="str">
        <f>IF(ISNUMBER(F1331),E1331*F1331,"")</f>
        <v/>
      </c>
      <c r="H1331" s="32"/>
      <c r="I1331" s="28"/>
      <c r="J1331" s="125">
        <v>0</v>
      </c>
    </row>
    <row r="1332" spans="1:10" ht="15.75" hidden="1" thickBot="1" x14ac:dyDescent="0.3">
      <c r="A1332" s="234" t="s">
        <v>320</v>
      </c>
      <c r="B1332" s="237" t="s">
        <v>19701</v>
      </c>
      <c r="C1332" s="160"/>
      <c r="D1332" s="23" t="s">
        <v>16</v>
      </c>
      <c r="E1332" s="24"/>
      <c r="F1332" s="37" t="s">
        <v>418</v>
      </c>
      <c r="G1332" s="25" t="str">
        <f>IF(ISNUMBER(F1332),E1332*F1332,"")</f>
        <v/>
      </c>
      <c r="H1332" s="26"/>
      <c r="I1332" s="27"/>
      <c r="J1332" s="125">
        <v>0</v>
      </c>
    </row>
    <row r="1333" spans="1:10" ht="15.75" hidden="1" thickBot="1" x14ac:dyDescent="0.3">
      <c r="A1333" s="235"/>
      <c r="B1333" s="238"/>
      <c r="C1333" s="151"/>
      <c r="D1333" s="29"/>
      <c r="E1333" s="30"/>
      <c r="F1333" s="38" t="s">
        <v>418</v>
      </c>
      <c r="G1333" s="28" t="str">
        <f>IF(ISNUMBER(F1333),E1333*F1333,"")</f>
        <v/>
      </c>
      <c r="H1333" s="32"/>
      <c r="I1333" s="28"/>
      <c r="J1333" s="125">
        <v>0</v>
      </c>
    </row>
    <row r="1334" spans="1:10" ht="15.75" hidden="1" thickBot="1" x14ac:dyDescent="0.3">
      <c r="A1334" s="235"/>
      <c r="B1334" s="238"/>
      <c r="C1334" s="155" t="s">
        <v>1022</v>
      </c>
      <c r="D1334" s="155" t="s">
        <v>587</v>
      </c>
      <c r="E1334" s="34">
        <v>0.14499999999999999</v>
      </c>
      <c r="F1334" s="28">
        <v>19.522500000000001</v>
      </c>
      <c r="G1334" s="31">
        <f>IF(ISNUMBER(F1334),E1334*F1334,"")</f>
        <v>2.8307625000000001</v>
      </c>
      <c r="H1334" s="35">
        <f>SUM(G1334:G1336)</f>
        <v>6.5940925000000004</v>
      </c>
      <c r="I1334" s="36"/>
      <c r="J1334" s="125">
        <v>0</v>
      </c>
    </row>
    <row r="1335" spans="1:10" ht="15.75" hidden="1" thickBot="1" x14ac:dyDescent="0.3">
      <c r="A1335" s="235"/>
      <c r="B1335" s="238"/>
      <c r="C1335" s="155" t="s">
        <v>1023</v>
      </c>
      <c r="D1335" s="155" t="s">
        <v>587</v>
      </c>
      <c r="E1335" s="34">
        <v>0.14499999999999999</v>
      </c>
      <c r="F1335" s="28">
        <v>25.954000000000001</v>
      </c>
      <c r="G1335" s="31">
        <f>IF(ISNUMBER(F1335),E1335*F1335,"")</f>
        <v>3.7633299999999998</v>
      </c>
      <c r="H1335" s="32"/>
      <c r="I1335" s="28"/>
      <c r="J1335" s="125">
        <v>0</v>
      </c>
    </row>
    <row r="1336" spans="1:10" ht="15.75" hidden="1" thickBot="1" x14ac:dyDescent="0.3">
      <c r="A1336" s="235"/>
      <c r="B1336" s="238"/>
      <c r="C1336" s="155" t="s">
        <v>321</v>
      </c>
      <c r="D1336" s="33" t="s">
        <v>16</v>
      </c>
      <c r="E1336" s="34">
        <v>1</v>
      </c>
      <c r="F1336" s="31" t="s">
        <v>418</v>
      </c>
      <c r="G1336" s="28" t="str">
        <f>IF(ISNUMBER(F1336),E1336*F1336,"")</f>
        <v/>
      </c>
      <c r="H1336" s="32"/>
      <c r="I1336" s="28"/>
      <c r="J1336" s="125">
        <v>0</v>
      </c>
    </row>
    <row r="1337" spans="1:10" ht="15.75" hidden="1" thickBot="1" x14ac:dyDescent="0.3">
      <c r="A1337" s="236"/>
      <c r="B1337" s="239"/>
      <c r="C1337" s="155"/>
      <c r="D1337" s="33"/>
      <c r="E1337" s="34"/>
      <c r="F1337" s="28" t="s">
        <v>418</v>
      </c>
      <c r="G1337" s="28" t="str">
        <f>IF(ISNUMBER(F1337),E1337*F1337,"")</f>
        <v/>
      </c>
      <c r="H1337" s="32"/>
      <c r="I1337" s="28"/>
      <c r="J1337" s="125">
        <v>0</v>
      </c>
    </row>
    <row r="1338" spans="1:10" ht="15.75" hidden="1" thickBot="1" x14ac:dyDescent="0.3">
      <c r="A1338" s="234" t="s">
        <v>322</v>
      </c>
      <c r="B1338" s="237" t="s">
        <v>19702</v>
      </c>
      <c r="C1338" s="160"/>
      <c r="D1338" s="23" t="s">
        <v>16</v>
      </c>
      <c r="E1338" s="24"/>
      <c r="F1338" s="37" t="s">
        <v>418</v>
      </c>
      <c r="G1338" s="25" t="str">
        <f>IF(ISNUMBER(F1338),E1338*F1338,"")</f>
        <v/>
      </c>
      <c r="H1338" s="26"/>
      <c r="I1338" s="27"/>
      <c r="J1338" s="125">
        <v>0</v>
      </c>
    </row>
    <row r="1339" spans="1:10" ht="15.75" hidden="1" thickBot="1" x14ac:dyDescent="0.3">
      <c r="A1339" s="235"/>
      <c r="B1339" s="238"/>
      <c r="C1339" s="151"/>
      <c r="D1339" s="29"/>
      <c r="E1339" s="30"/>
      <c r="F1339" s="38" t="s">
        <v>418</v>
      </c>
      <c r="G1339" s="28" t="str">
        <f>IF(ISNUMBER(F1339),E1339*F1339,"")</f>
        <v/>
      </c>
      <c r="H1339" s="32"/>
      <c r="I1339" s="28"/>
      <c r="J1339" s="125">
        <v>0</v>
      </c>
    </row>
    <row r="1340" spans="1:10" ht="15.75" hidden="1" thickBot="1" x14ac:dyDescent="0.3">
      <c r="A1340" s="235"/>
      <c r="B1340" s="238"/>
      <c r="C1340" s="155" t="s">
        <v>1022</v>
      </c>
      <c r="D1340" s="155" t="s">
        <v>587</v>
      </c>
      <c r="E1340" s="34">
        <v>0.16900000000000001</v>
      </c>
      <c r="F1340" s="28">
        <v>19.522500000000001</v>
      </c>
      <c r="G1340" s="31">
        <f>IF(ISNUMBER(F1340),E1340*F1340,"")</f>
        <v>3.2993025000000005</v>
      </c>
      <c r="H1340" s="35">
        <f>SUM(G1340:G1343)</f>
        <v>12.657627886155401</v>
      </c>
      <c r="I1340" s="36"/>
      <c r="J1340" s="125">
        <v>0</v>
      </c>
    </row>
    <row r="1341" spans="1:10" ht="15.75" hidden="1" thickBot="1" x14ac:dyDescent="0.3">
      <c r="A1341" s="235"/>
      <c r="B1341" s="238"/>
      <c r="C1341" s="155" t="s">
        <v>1023</v>
      </c>
      <c r="D1341" s="155" t="s">
        <v>587</v>
      </c>
      <c r="E1341" s="34">
        <v>0.16900000000000001</v>
      </c>
      <c r="F1341" s="28">
        <v>25.954000000000001</v>
      </c>
      <c r="G1341" s="31">
        <f>IF(ISNUMBER(F1341),E1341*F1341,"")</f>
        <v>4.3862260000000006</v>
      </c>
      <c r="H1341" s="32"/>
      <c r="I1341" s="28"/>
      <c r="J1341" s="125">
        <v>0</v>
      </c>
    </row>
    <row r="1342" spans="1:10" ht="26.25" hidden="1" thickBot="1" x14ac:dyDescent="0.3">
      <c r="A1342" s="235"/>
      <c r="B1342" s="238"/>
      <c r="C1342" s="155" t="s">
        <v>80</v>
      </c>
      <c r="D1342" s="155" t="s">
        <v>85</v>
      </c>
      <c r="E1342" s="34">
        <v>1.1999999999999999E-3</v>
      </c>
      <c r="F1342" s="31">
        <v>913.4161551295</v>
      </c>
      <c r="G1342" s="31">
        <f>IF(ISNUMBER(F1342),E1342*F1342,"")</f>
        <v>1.0960993861553998</v>
      </c>
      <c r="H1342" s="32"/>
      <c r="I1342" s="28"/>
      <c r="J1342" s="125">
        <v>0</v>
      </c>
    </row>
    <row r="1343" spans="1:10" ht="26.25" hidden="1" thickBot="1" x14ac:dyDescent="0.3">
      <c r="A1343" s="235"/>
      <c r="B1343" s="238"/>
      <c r="C1343" s="155" t="s">
        <v>24292</v>
      </c>
      <c r="D1343" s="155" t="s">
        <v>205</v>
      </c>
      <c r="E1343" s="34">
        <v>1</v>
      </c>
      <c r="F1343" s="31">
        <v>3.8759999999999999</v>
      </c>
      <c r="G1343" s="28">
        <f>IF(ISNUMBER(F1343),E1343*F1343,"")</f>
        <v>3.8759999999999999</v>
      </c>
      <c r="H1343" s="32"/>
      <c r="I1343" s="28"/>
      <c r="J1343" s="125">
        <v>0</v>
      </c>
    </row>
    <row r="1344" spans="1:10" ht="15.75" hidden="1" thickBot="1" x14ac:dyDescent="0.3">
      <c r="A1344" s="236"/>
      <c r="B1344" s="239"/>
      <c r="C1344" s="155"/>
      <c r="D1344" s="33"/>
      <c r="E1344" s="34"/>
      <c r="F1344" s="28" t="s">
        <v>418</v>
      </c>
      <c r="G1344" s="28" t="str">
        <f>IF(ISNUMBER(F1344),E1344*F1344,"")</f>
        <v/>
      </c>
      <c r="H1344" s="32"/>
      <c r="I1344" s="28"/>
      <c r="J1344" s="125">
        <v>0</v>
      </c>
    </row>
    <row r="1345" spans="1:10" ht="15.75" hidden="1" thickBot="1" x14ac:dyDescent="0.3">
      <c r="A1345" s="234" t="s">
        <v>323</v>
      </c>
      <c r="B1345" s="237" t="s">
        <v>19703</v>
      </c>
      <c r="C1345" s="160"/>
      <c r="D1345" s="23" t="s">
        <v>16</v>
      </c>
      <c r="E1345" s="24"/>
      <c r="F1345" s="37" t="s">
        <v>418</v>
      </c>
      <c r="G1345" s="25" t="str">
        <f>IF(ISNUMBER(F1345),E1345*F1345,"")</f>
        <v/>
      </c>
      <c r="H1345" s="26"/>
      <c r="I1345" s="27"/>
      <c r="J1345" s="125">
        <v>0</v>
      </c>
    </row>
    <row r="1346" spans="1:10" ht="15.75" hidden="1" thickBot="1" x14ac:dyDescent="0.3">
      <c r="A1346" s="235"/>
      <c r="B1346" s="238"/>
      <c r="C1346" s="151"/>
      <c r="D1346" s="29"/>
      <c r="E1346" s="30"/>
      <c r="F1346" s="38" t="s">
        <v>418</v>
      </c>
      <c r="G1346" s="28" t="str">
        <f>IF(ISNUMBER(F1346),E1346*F1346,"")</f>
        <v/>
      </c>
      <c r="H1346" s="32"/>
      <c r="I1346" s="28"/>
      <c r="J1346" s="125">
        <v>0</v>
      </c>
    </row>
    <row r="1347" spans="1:10" ht="15.75" hidden="1" thickBot="1" x14ac:dyDescent="0.3">
      <c r="A1347" s="235"/>
      <c r="B1347" s="238"/>
      <c r="C1347" s="155" t="s">
        <v>1022</v>
      </c>
      <c r="D1347" s="155" t="s">
        <v>587</v>
      </c>
      <c r="E1347" s="156">
        <v>0.16900000000000001</v>
      </c>
      <c r="F1347" s="28">
        <v>19.522500000000001</v>
      </c>
      <c r="G1347" s="31">
        <f>IF(ISNUMBER(F1347),E1347*F1347,"")</f>
        <v>3.2993025000000005</v>
      </c>
      <c r="H1347" s="35">
        <f>SUM(G1347:G1349)</f>
        <v>7.6855285000000011</v>
      </c>
      <c r="I1347" s="36"/>
      <c r="J1347" s="125">
        <v>0</v>
      </c>
    </row>
    <row r="1348" spans="1:10" ht="15.75" hidden="1" thickBot="1" x14ac:dyDescent="0.3">
      <c r="A1348" s="235"/>
      <c r="B1348" s="238"/>
      <c r="C1348" s="155" t="s">
        <v>1023</v>
      </c>
      <c r="D1348" s="155" t="s">
        <v>587</v>
      </c>
      <c r="E1348" s="156">
        <v>0.16900000000000001</v>
      </c>
      <c r="F1348" s="28">
        <v>25.954000000000001</v>
      </c>
      <c r="G1348" s="31">
        <f>IF(ISNUMBER(F1348),E1348*F1348,"")</f>
        <v>4.3862260000000006</v>
      </c>
      <c r="H1348" s="32"/>
      <c r="I1348" s="28"/>
      <c r="J1348" s="125">
        <v>0</v>
      </c>
    </row>
    <row r="1349" spans="1:10" ht="15.75" hidden="1" thickBot="1" x14ac:dyDescent="0.3">
      <c r="A1349" s="235"/>
      <c r="B1349" s="238"/>
      <c r="C1349" s="155" t="s">
        <v>324</v>
      </c>
      <c r="D1349" s="33" t="s">
        <v>16</v>
      </c>
      <c r="E1349" s="34">
        <v>1</v>
      </c>
      <c r="F1349" s="31" t="s">
        <v>418</v>
      </c>
      <c r="G1349" s="28" t="str">
        <f>IF(ISNUMBER(F1349),E1349*F1349,"")</f>
        <v/>
      </c>
      <c r="H1349" s="32"/>
      <c r="I1349" s="28"/>
      <c r="J1349" s="125">
        <v>0</v>
      </c>
    </row>
    <row r="1350" spans="1:10" ht="15.75" hidden="1" thickBot="1" x14ac:dyDescent="0.3">
      <c r="A1350" s="236"/>
      <c r="B1350" s="239"/>
      <c r="C1350" s="155"/>
      <c r="D1350" s="33"/>
      <c r="E1350" s="34"/>
      <c r="F1350" s="28" t="s">
        <v>418</v>
      </c>
      <c r="G1350" s="28" t="str">
        <f>IF(ISNUMBER(F1350),E1350*F1350,"")</f>
        <v/>
      </c>
      <c r="H1350" s="32"/>
      <c r="I1350" s="28"/>
      <c r="J1350" s="125">
        <v>0</v>
      </c>
    </row>
    <row r="1351" spans="1:10" ht="15.75" hidden="1" thickBot="1" x14ac:dyDescent="0.3">
      <c r="A1351" s="234" t="s">
        <v>325</v>
      </c>
      <c r="B1351" s="237" t="s">
        <v>19704</v>
      </c>
      <c r="C1351" s="160"/>
      <c r="D1351" s="23" t="s">
        <v>16</v>
      </c>
      <c r="E1351" s="24"/>
      <c r="F1351" s="37" t="s">
        <v>418</v>
      </c>
      <c r="G1351" s="25" t="str">
        <f>IF(ISNUMBER(F1351),E1351*F1351,"")</f>
        <v/>
      </c>
      <c r="H1351" s="26"/>
      <c r="I1351" s="27"/>
      <c r="J1351" s="125">
        <v>0</v>
      </c>
    </row>
    <row r="1352" spans="1:10" ht="15.75" hidden="1" thickBot="1" x14ac:dyDescent="0.3">
      <c r="A1352" s="235"/>
      <c r="B1352" s="238"/>
      <c r="C1352" s="151"/>
      <c r="D1352" s="29"/>
      <c r="E1352" s="30"/>
      <c r="F1352" s="38" t="s">
        <v>418</v>
      </c>
      <c r="G1352" s="28" t="str">
        <f>IF(ISNUMBER(F1352),E1352*F1352,"")</f>
        <v/>
      </c>
      <c r="H1352" s="32"/>
      <c r="I1352" s="28"/>
      <c r="J1352" s="125">
        <v>0</v>
      </c>
    </row>
    <row r="1353" spans="1:10" ht="15.75" hidden="1" thickBot="1" x14ac:dyDescent="0.3">
      <c r="A1353" s="235"/>
      <c r="B1353" s="238"/>
      <c r="C1353" s="155" t="s">
        <v>1022</v>
      </c>
      <c r="D1353" s="155" t="s">
        <v>587</v>
      </c>
      <c r="E1353" s="34">
        <v>0.34599999999999997</v>
      </c>
      <c r="F1353" s="28">
        <v>19.522500000000001</v>
      </c>
      <c r="G1353" s="31">
        <f>IF(ISNUMBER(F1353),E1353*F1353,"")</f>
        <v>6.754785</v>
      </c>
      <c r="H1353" s="35">
        <f>SUM(G1353:G1355)</f>
        <v>15.734869</v>
      </c>
      <c r="I1353" s="36"/>
      <c r="J1353" s="125">
        <v>0</v>
      </c>
    </row>
    <row r="1354" spans="1:10" ht="15.75" hidden="1" thickBot="1" x14ac:dyDescent="0.3">
      <c r="A1354" s="235"/>
      <c r="B1354" s="238"/>
      <c r="C1354" s="155" t="s">
        <v>1023</v>
      </c>
      <c r="D1354" s="155" t="s">
        <v>587</v>
      </c>
      <c r="E1354" s="34">
        <v>0.34599999999999997</v>
      </c>
      <c r="F1354" s="28">
        <v>25.954000000000001</v>
      </c>
      <c r="G1354" s="31">
        <f>IF(ISNUMBER(F1354),E1354*F1354,"")</f>
        <v>8.9800839999999997</v>
      </c>
      <c r="H1354" s="32"/>
      <c r="I1354" s="28"/>
      <c r="J1354" s="125">
        <v>0</v>
      </c>
    </row>
    <row r="1355" spans="1:10" ht="15.75" hidden="1" thickBot="1" x14ac:dyDescent="0.3">
      <c r="A1355" s="235"/>
      <c r="B1355" s="238"/>
      <c r="C1355" s="155" t="s">
        <v>326</v>
      </c>
      <c r="D1355" s="33" t="s">
        <v>69</v>
      </c>
      <c r="E1355" s="34">
        <v>1</v>
      </c>
      <c r="F1355" s="31" t="s">
        <v>418</v>
      </c>
      <c r="G1355" s="31" t="str">
        <f>IF(ISNUMBER(F1355),E1355*F1355,"")</f>
        <v/>
      </c>
      <c r="H1355" s="32"/>
      <c r="I1355" s="28"/>
      <c r="J1355" s="125">
        <v>0</v>
      </c>
    </row>
    <row r="1356" spans="1:10" ht="15.75" hidden="1" thickBot="1" x14ac:dyDescent="0.3">
      <c r="A1356" s="236"/>
      <c r="B1356" s="239"/>
      <c r="C1356" s="155"/>
      <c r="D1356" s="33"/>
      <c r="E1356" s="34"/>
      <c r="F1356" s="28" t="s">
        <v>418</v>
      </c>
      <c r="G1356" s="28" t="str">
        <f>IF(ISNUMBER(F1356),E1356*F1356,"")</f>
        <v/>
      </c>
      <c r="H1356" s="32"/>
      <c r="I1356" s="28"/>
      <c r="J1356" s="125">
        <v>0</v>
      </c>
    </row>
    <row r="1357" spans="1:10" ht="15.75" hidden="1" thickBot="1" x14ac:dyDescent="0.3">
      <c r="A1357" s="234" t="s">
        <v>327</v>
      </c>
      <c r="B1357" s="237" t="s">
        <v>19705</v>
      </c>
      <c r="C1357" s="160"/>
      <c r="D1357" s="23" t="s">
        <v>16</v>
      </c>
      <c r="E1357" s="24"/>
      <c r="F1357" s="37" t="s">
        <v>418</v>
      </c>
      <c r="G1357" s="25" t="str">
        <f>IF(ISNUMBER(F1357),E1357*F1357,"")</f>
        <v/>
      </c>
      <c r="H1357" s="26"/>
      <c r="I1357" s="27"/>
      <c r="J1357" s="125">
        <v>0</v>
      </c>
    </row>
    <row r="1358" spans="1:10" ht="15.75" hidden="1" thickBot="1" x14ac:dyDescent="0.3">
      <c r="A1358" s="235"/>
      <c r="B1358" s="238"/>
      <c r="C1358" s="151"/>
      <c r="D1358" s="29"/>
      <c r="E1358" s="30"/>
      <c r="F1358" s="38" t="s">
        <v>418</v>
      </c>
      <c r="G1358" s="28" t="str">
        <f>IF(ISNUMBER(F1358),E1358*F1358,"")</f>
        <v/>
      </c>
      <c r="H1358" s="32"/>
      <c r="I1358" s="28"/>
      <c r="J1358" s="125">
        <v>0</v>
      </c>
    </row>
    <row r="1359" spans="1:10" ht="15.75" hidden="1" thickBot="1" x14ac:dyDescent="0.3">
      <c r="A1359" s="235"/>
      <c r="B1359" s="238"/>
      <c r="C1359" s="155" t="s">
        <v>1022</v>
      </c>
      <c r="D1359" s="155" t="s">
        <v>587</v>
      </c>
      <c r="E1359" s="34">
        <v>0.34599999999999997</v>
      </c>
      <c r="F1359" s="28">
        <v>19.522500000000001</v>
      </c>
      <c r="G1359" s="31">
        <f>IF(ISNUMBER(F1359),E1359*F1359,"")</f>
        <v>6.754785</v>
      </c>
      <c r="H1359" s="35">
        <f>SUM(G1359:G1362)</f>
        <v>15.734869</v>
      </c>
      <c r="I1359" s="36"/>
      <c r="J1359" s="125">
        <v>0</v>
      </c>
    </row>
    <row r="1360" spans="1:10" ht="15.75" hidden="1" thickBot="1" x14ac:dyDescent="0.3">
      <c r="A1360" s="235"/>
      <c r="B1360" s="238"/>
      <c r="C1360" s="155" t="s">
        <v>1023</v>
      </c>
      <c r="D1360" s="155" t="s">
        <v>587</v>
      </c>
      <c r="E1360" s="34">
        <v>0.34599999999999997</v>
      </c>
      <c r="F1360" s="28">
        <v>25.954000000000001</v>
      </c>
      <c r="G1360" s="31">
        <f>IF(ISNUMBER(F1360),E1360*F1360,"")</f>
        <v>8.9800839999999997</v>
      </c>
      <c r="H1360" s="32"/>
      <c r="I1360" s="28"/>
      <c r="J1360" s="125">
        <v>0</v>
      </c>
    </row>
    <row r="1361" spans="1:10" ht="15.75" hidden="1" thickBot="1" x14ac:dyDescent="0.3">
      <c r="A1361" s="235"/>
      <c r="B1361" s="238"/>
      <c r="C1361" s="155" t="s">
        <v>328</v>
      </c>
      <c r="D1361" s="33" t="s">
        <v>69</v>
      </c>
      <c r="E1361" s="34">
        <v>1</v>
      </c>
      <c r="F1361" s="31" t="s">
        <v>418</v>
      </c>
      <c r="G1361" s="31" t="str">
        <f>IF(ISNUMBER(F1361),E1361*F1361,"")</f>
        <v/>
      </c>
      <c r="H1361" s="32"/>
      <c r="I1361" s="28"/>
      <c r="J1361" s="125">
        <v>0</v>
      </c>
    </row>
    <row r="1362" spans="1:10" ht="15.75" hidden="1" thickBot="1" x14ac:dyDescent="0.3">
      <c r="A1362" s="235"/>
      <c r="B1362" s="238"/>
      <c r="C1362" s="155" t="s">
        <v>14596</v>
      </c>
      <c r="D1362" s="33" t="s">
        <v>16</v>
      </c>
      <c r="E1362" s="34">
        <v>2</v>
      </c>
      <c r="F1362" s="31" t="s">
        <v>418</v>
      </c>
      <c r="G1362" s="31" t="str">
        <f>IF(ISNUMBER(F1362),E1362*F1362,"")</f>
        <v/>
      </c>
      <c r="H1362" s="32"/>
      <c r="I1362" s="28"/>
      <c r="J1362" s="125">
        <v>0</v>
      </c>
    </row>
    <row r="1363" spans="1:10" ht="15.75" hidden="1" thickBot="1" x14ac:dyDescent="0.3">
      <c r="A1363" s="236"/>
      <c r="B1363" s="239"/>
      <c r="C1363" s="155"/>
      <c r="D1363" s="33"/>
      <c r="E1363" s="34"/>
      <c r="F1363" s="28" t="s">
        <v>418</v>
      </c>
      <c r="G1363" s="28" t="str">
        <f>IF(ISNUMBER(F1363),E1363*F1363,"")</f>
        <v/>
      </c>
      <c r="H1363" s="32"/>
      <c r="I1363" s="28"/>
      <c r="J1363" s="125">
        <v>0</v>
      </c>
    </row>
    <row r="1364" spans="1:10" ht="15.75" hidden="1" thickBot="1" x14ac:dyDescent="0.3">
      <c r="A1364" s="234" t="s">
        <v>329</v>
      </c>
      <c r="B1364" s="237" t="s">
        <v>19706</v>
      </c>
      <c r="C1364" s="160"/>
      <c r="D1364" s="23" t="s">
        <v>16</v>
      </c>
      <c r="E1364" s="24"/>
      <c r="F1364" s="37" t="s">
        <v>418</v>
      </c>
      <c r="G1364" s="25" t="str">
        <f>IF(ISNUMBER(F1364),E1364*F1364,"")</f>
        <v/>
      </c>
      <c r="H1364" s="26"/>
      <c r="I1364" s="27"/>
      <c r="J1364" s="125">
        <v>0</v>
      </c>
    </row>
    <row r="1365" spans="1:10" ht="15.75" hidden="1" thickBot="1" x14ac:dyDescent="0.3">
      <c r="A1365" s="235"/>
      <c r="B1365" s="238"/>
      <c r="C1365" s="151"/>
      <c r="D1365" s="29"/>
      <c r="E1365" s="30"/>
      <c r="F1365" s="38" t="s">
        <v>418</v>
      </c>
      <c r="G1365" s="28" t="str">
        <f>IF(ISNUMBER(F1365),E1365*F1365,"")</f>
        <v/>
      </c>
      <c r="H1365" s="32"/>
      <c r="I1365" s="28"/>
      <c r="J1365" s="125">
        <v>0</v>
      </c>
    </row>
    <row r="1366" spans="1:10" ht="15.75" hidden="1" thickBot="1" x14ac:dyDescent="0.3">
      <c r="A1366" s="235"/>
      <c r="B1366" s="238"/>
      <c r="C1366" s="155" t="s">
        <v>1023</v>
      </c>
      <c r="D1366" s="155" t="s">
        <v>587</v>
      </c>
      <c r="E1366" s="34">
        <v>0.34599999999999997</v>
      </c>
      <c r="F1366" s="28">
        <v>25.954000000000001</v>
      </c>
      <c r="G1366" s="31">
        <f>IF(ISNUMBER(F1366),E1366*F1366,"")</f>
        <v>8.9800839999999997</v>
      </c>
      <c r="H1366" s="35">
        <f>SUM(G1366:G1368)</f>
        <v>55.462823999999998</v>
      </c>
      <c r="I1366" s="36"/>
      <c r="J1366" s="125">
        <v>0</v>
      </c>
    </row>
    <row r="1367" spans="1:10" ht="15.75" hidden="1" thickBot="1" x14ac:dyDescent="0.3">
      <c r="A1367" s="235"/>
      <c r="B1367" s="238"/>
      <c r="C1367" s="155" t="s">
        <v>588</v>
      </c>
      <c r="D1367" s="155" t="s">
        <v>587</v>
      </c>
      <c r="E1367" s="34">
        <v>0.34599999999999997</v>
      </c>
      <c r="F1367" s="28">
        <v>19.189999999999998</v>
      </c>
      <c r="G1367" s="31">
        <f>IF(ISNUMBER(F1367),E1367*F1367,"")</f>
        <v>6.6397399999999989</v>
      </c>
      <c r="H1367" s="32"/>
      <c r="I1367" s="28"/>
      <c r="J1367" s="125">
        <v>0</v>
      </c>
    </row>
    <row r="1368" spans="1:10" ht="26.25" hidden="1" thickBot="1" x14ac:dyDescent="0.3">
      <c r="A1368" s="235"/>
      <c r="B1368" s="238"/>
      <c r="C1368" s="155" t="s">
        <v>330</v>
      </c>
      <c r="D1368" s="155" t="s">
        <v>205</v>
      </c>
      <c r="E1368" s="34">
        <v>1</v>
      </c>
      <c r="F1368" s="31">
        <v>39.842999999999996</v>
      </c>
      <c r="G1368" s="28">
        <f>IF(ISNUMBER(F1368),E1368*F1368,"")</f>
        <v>39.842999999999996</v>
      </c>
      <c r="H1368" s="32"/>
      <c r="I1368" s="28"/>
      <c r="J1368" s="125">
        <v>0</v>
      </c>
    </row>
    <row r="1369" spans="1:10" ht="15.75" hidden="1" thickBot="1" x14ac:dyDescent="0.3">
      <c r="A1369" s="236"/>
      <c r="B1369" s="239"/>
      <c r="C1369" s="155"/>
      <c r="D1369" s="33"/>
      <c r="E1369" s="34"/>
      <c r="F1369" s="28" t="s">
        <v>418</v>
      </c>
      <c r="G1369" s="28" t="str">
        <f>IF(ISNUMBER(F1369),E1369*F1369,"")</f>
        <v/>
      </c>
      <c r="H1369" s="32"/>
      <c r="I1369" s="28"/>
      <c r="J1369" s="125">
        <v>0</v>
      </c>
    </row>
    <row r="1370" spans="1:10" ht="15.75" hidden="1" thickBot="1" x14ac:dyDescent="0.3">
      <c r="A1370" s="234" t="s">
        <v>331</v>
      </c>
      <c r="B1370" s="237" t="s">
        <v>1435</v>
      </c>
      <c r="C1370" s="160"/>
      <c r="D1370" s="23" t="s">
        <v>16</v>
      </c>
      <c r="E1370" s="24"/>
      <c r="F1370" s="37" t="s">
        <v>418</v>
      </c>
      <c r="G1370" s="25" t="str">
        <f>IF(ISNUMBER(F1370),E1370*F1370,"")</f>
        <v/>
      </c>
      <c r="H1370" s="26"/>
      <c r="I1370" s="27"/>
      <c r="J1370" s="125">
        <v>0</v>
      </c>
    </row>
    <row r="1371" spans="1:10" ht="15.75" hidden="1" thickBot="1" x14ac:dyDescent="0.3">
      <c r="A1371" s="235"/>
      <c r="B1371" s="238"/>
      <c r="C1371" s="151"/>
      <c r="D1371" s="29"/>
      <c r="E1371" s="30"/>
      <c r="F1371" s="38" t="s">
        <v>418</v>
      </c>
      <c r="G1371" s="28" t="str">
        <f>IF(ISNUMBER(F1371),E1371*F1371,"")</f>
        <v/>
      </c>
      <c r="H1371" s="32"/>
      <c r="I1371" s="28"/>
      <c r="J1371" s="125">
        <v>0</v>
      </c>
    </row>
    <row r="1372" spans="1:10" ht="15.75" hidden="1" thickBot="1" x14ac:dyDescent="0.3">
      <c r="A1372" s="235"/>
      <c r="B1372" s="238"/>
      <c r="C1372" s="155" t="s">
        <v>1023</v>
      </c>
      <c r="D1372" s="155" t="s">
        <v>587</v>
      </c>
      <c r="E1372" s="34">
        <v>0.34599999999999997</v>
      </c>
      <c r="F1372" s="28">
        <v>25.954000000000001</v>
      </c>
      <c r="G1372" s="28">
        <f>IF(ISNUMBER(F1372),E1372*F1372,"")</f>
        <v>8.9800839999999997</v>
      </c>
      <c r="H1372" s="35">
        <f>SUM(G1372:G1374)</f>
        <v>15.734869</v>
      </c>
      <c r="I1372" s="36"/>
      <c r="J1372" s="125">
        <v>0</v>
      </c>
    </row>
    <row r="1373" spans="1:10" ht="15.75" hidden="1" thickBot="1" x14ac:dyDescent="0.3">
      <c r="A1373" s="235"/>
      <c r="B1373" s="238"/>
      <c r="C1373" s="155" t="s">
        <v>1022</v>
      </c>
      <c r="D1373" s="155" t="s">
        <v>587</v>
      </c>
      <c r="E1373" s="34">
        <v>0.34599999999999997</v>
      </c>
      <c r="F1373" s="28">
        <v>19.522500000000001</v>
      </c>
      <c r="G1373" s="28">
        <f>IF(ISNUMBER(F1373),E1373*F1373,"")</f>
        <v>6.754785</v>
      </c>
      <c r="H1373" s="32"/>
      <c r="I1373" s="28"/>
      <c r="J1373" s="125">
        <v>0</v>
      </c>
    </row>
    <row r="1374" spans="1:10" ht="26.25" hidden="1" thickBot="1" x14ac:dyDescent="0.3">
      <c r="A1374" s="235"/>
      <c r="B1374" s="238"/>
      <c r="C1374" s="155" t="s">
        <v>332</v>
      </c>
      <c r="D1374" s="42" t="s">
        <v>16</v>
      </c>
      <c r="E1374" s="34">
        <v>1</v>
      </c>
      <c r="F1374" s="31" t="s">
        <v>418</v>
      </c>
      <c r="G1374" s="28" t="str">
        <f>IF(ISNUMBER(F1374),E1374*F1374,"")</f>
        <v/>
      </c>
      <c r="H1374" s="32"/>
      <c r="I1374" s="28"/>
      <c r="J1374" s="125">
        <v>0</v>
      </c>
    </row>
    <row r="1375" spans="1:10" ht="15.75" hidden="1" thickBot="1" x14ac:dyDescent="0.3">
      <c r="A1375" s="235"/>
      <c r="B1375" s="238"/>
      <c r="C1375" s="155"/>
      <c r="D1375" s="42"/>
      <c r="E1375" s="34"/>
      <c r="F1375" s="31" t="s">
        <v>418</v>
      </c>
      <c r="G1375" s="28" t="str">
        <f>IF(ISNUMBER(F1375),E1375*F1375,"")</f>
        <v/>
      </c>
      <c r="H1375" s="32"/>
      <c r="I1375" s="28"/>
      <c r="J1375" s="125">
        <v>0</v>
      </c>
    </row>
    <row r="1376" spans="1:10" ht="15.75" hidden="1" thickBot="1" x14ac:dyDescent="0.3">
      <c r="A1376" s="234" t="s">
        <v>333</v>
      </c>
      <c r="B1376" s="237" t="s">
        <v>19707</v>
      </c>
      <c r="C1376" s="160"/>
      <c r="D1376" s="23" t="s">
        <v>69</v>
      </c>
      <c r="E1376" s="24"/>
      <c r="F1376" s="37" t="s">
        <v>418</v>
      </c>
      <c r="G1376" s="25" t="str">
        <f>IF(ISNUMBER(F1376),E1376*F1376,"")</f>
        <v/>
      </c>
      <c r="H1376" s="26"/>
      <c r="I1376" s="27"/>
      <c r="J1376" s="125">
        <v>0</v>
      </c>
    </row>
    <row r="1377" spans="1:10" ht="15.75" hidden="1" thickBot="1" x14ac:dyDescent="0.3">
      <c r="A1377" s="235"/>
      <c r="B1377" s="238"/>
      <c r="C1377" s="151"/>
      <c r="D1377" s="29"/>
      <c r="E1377" s="30"/>
      <c r="F1377" s="38" t="s">
        <v>418</v>
      </c>
      <c r="G1377" s="28" t="str">
        <f>IF(ISNUMBER(F1377),E1377*F1377,"")</f>
        <v/>
      </c>
      <c r="H1377" s="32"/>
      <c r="I1377" s="28"/>
      <c r="J1377" s="125">
        <v>0</v>
      </c>
    </row>
    <row r="1378" spans="1:10" ht="26.25" hidden="1" thickBot="1" x14ac:dyDescent="0.3">
      <c r="A1378" s="235"/>
      <c r="B1378" s="238"/>
      <c r="C1378" s="155" t="s">
        <v>334</v>
      </c>
      <c r="D1378" s="33" t="s">
        <v>69</v>
      </c>
      <c r="E1378" s="34">
        <v>1.1499999999999999</v>
      </c>
      <c r="F1378" s="31" t="s">
        <v>418</v>
      </c>
      <c r="G1378" s="31" t="str">
        <f>IF(ISNUMBER(F1378),E1378*F1378,"")</f>
        <v/>
      </c>
      <c r="H1378" s="35">
        <f>SUM(G1378:G1380)</f>
        <v>8.1857699999999998</v>
      </c>
      <c r="I1378" s="36"/>
      <c r="J1378" s="125">
        <v>0</v>
      </c>
    </row>
    <row r="1379" spans="1:10" ht="15.75" hidden="1" thickBot="1" x14ac:dyDescent="0.3">
      <c r="A1379" s="235"/>
      <c r="B1379" s="238"/>
      <c r="C1379" s="155" t="s">
        <v>1022</v>
      </c>
      <c r="D1379" s="155" t="s">
        <v>587</v>
      </c>
      <c r="E1379" s="34">
        <v>0.18</v>
      </c>
      <c r="F1379" s="28">
        <v>19.522500000000001</v>
      </c>
      <c r="G1379" s="31">
        <f>IF(ISNUMBER(F1379),E1379*F1379,"")</f>
        <v>3.5140500000000001</v>
      </c>
      <c r="H1379" s="32"/>
      <c r="I1379" s="28"/>
      <c r="J1379" s="125">
        <v>0</v>
      </c>
    </row>
    <row r="1380" spans="1:10" ht="15.75" hidden="1" thickBot="1" x14ac:dyDescent="0.3">
      <c r="A1380" s="235"/>
      <c r="B1380" s="238"/>
      <c r="C1380" s="155" t="s">
        <v>1023</v>
      </c>
      <c r="D1380" s="155" t="s">
        <v>587</v>
      </c>
      <c r="E1380" s="34">
        <v>0.18</v>
      </c>
      <c r="F1380" s="28">
        <v>25.954000000000001</v>
      </c>
      <c r="G1380" s="31">
        <f>IF(ISNUMBER(F1380),E1380*F1380,"")</f>
        <v>4.6717199999999997</v>
      </c>
      <c r="H1380" s="32"/>
      <c r="I1380" s="28"/>
      <c r="J1380" s="125">
        <v>0</v>
      </c>
    </row>
    <row r="1381" spans="1:10" ht="15.75" hidden="1" thickBot="1" x14ac:dyDescent="0.3">
      <c r="A1381" s="236"/>
      <c r="B1381" s="239"/>
      <c r="C1381" s="155"/>
      <c r="D1381" s="33"/>
      <c r="E1381" s="34"/>
      <c r="F1381" s="28" t="s">
        <v>418</v>
      </c>
      <c r="G1381" s="28" t="str">
        <f>IF(ISNUMBER(F1381),E1381*F1381,"")</f>
        <v/>
      </c>
      <c r="H1381" s="32"/>
      <c r="I1381" s="28"/>
      <c r="J1381" s="125">
        <v>0</v>
      </c>
    </row>
    <row r="1382" spans="1:10" ht="15.75" hidden="1" thickBot="1" x14ac:dyDescent="0.3">
      <c r="A1382" s="234" t="s">
        <v>335</v>
      </c>
      <c r="B1382" s="237" t="s">
        <v>13497</v>
      </c>
      <c r="C1382" s="160"/>
      <c r="D1382" s="23" t="s">
        <v>16</v>
      </c>
      <c r="E1382" s="24"/>
      <c r="F1382" s="37" t="s">
        <v>418</v>
      </c>
      <c r="G1382" s="25" t="str">
        <f>IF(ISNUMBER(F1382),E1382*F1382,"")</f>
        <v/>
      </c>
      <c r="H1382" s="26"/>
      <c r="I1382" s="27"/>
      <c r="J1382" s="125">
        <v>0</v>
      </c>
    </row>
    <row r="1383" spans="1:10" ht="15.75" hidden="1" thickBot="1" x14ac:dyDescent="0.3">
      <c r="A1383" s="235"/>
      <c r="B1383" s="238"/>
      <c r="C1383" s="151"/>
      <c r="D1383" s="29"/>
      <c r="E1383" s="30"/>
      <c r="F1383" s="38" t="s">
        <v>418</v>
      </c>
      <c r="G1383" s="28" t="str">
        <f>IF(ISNUMBER(F1383),E1383*F1383,"")</f>
        <v/>
      </c>
      <c r="H1383" s="32"/>
      <c r="I1383" s="28"/>
      <c r="J1383" s="125">
        <v>0</v>
      </c>
    </row>
    <row r="1384" spans="1:10" ht="15.75" hidden="1" thickBot="1" x14ac:dyDescent="0.3">
      <c r="A1384" s="235"/>
      <c r="B1384" s="238"/>
      <c r="C1384" s="155" t="s">
        <v>1022</v>
      </c>
      <c r="D1384" s="155" t="s">
        <v>587</v>
      </c>
      <c r="E1384" s="34">
        <v>0.52539999999999998</v>
      </c>
      <c r="F1384" s="28">
        <v>19.522500000000001</v>
      </c>
      <c r="G1384" s="31">
        <f>IF(ISNUMBER(F1384),E1384*F1384,"")</f>
        <v>10.2571215</v>
      </c>
      <c r="H1384" s="35">
        <f>SUM(G1384:G1387)</f>
        <v>39.511353099999994</v>
      </c>
      <c r="I1384" s="36"/>
      <c r="J1384" s="125">
        <v>0</v>
      </c>
    </row>
    <row r="1385" spans="1:10" ht="15.75" hidden="1" thickBot="1" x14ac:dyDescent="0.3">
      <c r="A1385" s="235"/>
      <c r="B1385" s="238"/>
      <c r="C1385" s="155" t="s">
        <v>1023</v>
      </c>
      <c r="D1385" s="155" t="s">
        <v>587</v>
      </c>
      <c r="E1385" s="156">
        <v>0.52539999999999998</v>
      </c>
      <c r="F1385" s="28">
        <v>25.954000000000001</v>
      </c>
      <c r="G1385" s="31">
        <f>IF(ISNUMBER(F1385),E1385*F1385,"")</f>
        <v>13.6362316</v>
      </c>
      <c r="H1385" s="32"/>
      <c r="I1385" s="28"/>
      <c r="J1385" s="125">
        <v>0</v>
      </c>
    </row>
    <row r="1386" spans="1:10" ht="39" hidden="1" thickBot="1" x14ac:dyDescent="0.3">
      <c r="A1386" s="235"/>
      <c r="B1386" s="238"/>
      <c r="C1386" s="155" t="s">
        <v>23958</v>
      </c>
      <c r="D1386" s="155" t="s">
        <v>205</v>
      </c>
      <c r="E1386" s="34">
        <v>2</v>
      </c>
      <c r="F1386" s="31">
        <v>0.19</v>
      </c>
      <c r="G1386" s="31">
        <f>IF(ISNUMBER(F1386),E1386*F1386,"")</f>
        <v>0.38</v>
      </c>
      <c r="H1386" s="32"/>
      <c r="I1386" s="28"/>
      <c r="J1386" s="125">
        <v>0</v>
      </c>
    </row>
    <row r="1387" spans="1:10" ht="26.25" hidden="1" thickBot="1" x14ac:dyDescent="0.3">
      <c r="A1387" s="235"/>
      <c r="B1387" s="238"/>
      <c r="C1387" s="155" t="s">
        <v>24663</v>
      </c>
      <c r="D1387" s="155" t="s">
        <v>205</v>
      </c>
      <c r="E1387" s="34">
        <v>1</v>
      </c>
      <c r="F1387" s="31">
        <v>15.237999999999998</v>
      </c>
      <c r="G1387" s="28">
        <f>IF(ISNUMBER(F1387),E1387*F1387,"")</f>
        <v>15.237999999999998</v>
      </c>
      <c r="H1387" s="32"/>
      <c r="I1387" s="28"/>
      <c r="J1387" s="125">
        <v>0</v>
      </c>
    </row>
    <row r="1388" spans="1:10" ht="15.75" hidden="1" thickBot="1" x14ac:dyDescent="0.3">
      <c r="A1388" s="236"/>
      <c r="B1388" s="239"/>
      <c r="C1388" s="155"/>
      <c r="D1388" s="33"/>
      <c r="E1388" s="34"/>
      <c r="F1388" s="28" t="s">
        <v>418</v>
      </c>
      <c r="G1388" s="28" t="str">
        <f>IF(ISNUMBER(F1388),E1388*F1388,"")</f>
        <v/>
      </c>
      <c r="H1388" s="32"/>
      <c r="I1388" s="28"/>
      <c r="J1388" s="125">
        <v>0</v>
      </c>
    </row>
    <row r="1389" spans="1:10" ht="15.75" hidden="1" thickBot="1" x14ac:dyDescent="0.3">
      <c r="A1389" s="234" t="s">
        <v>336</v>
      </c>
      <c r="B1389" s="237" t="s">
        <v>19708</v>
      </c>
      <c r="C1389" s="160"/>
      <c r="D1389" s="23" t="s">
        <v>69</v>
      </c>
      <c r="E1389" s="24"/>
      <c r="F1389" s="37" t="s">
        <v>418</v>
      </c>
      <c r="G1389" s="25" t="str">
        <f>IF(ISNUMBER(F1389),E1389*F1389,"")</f>
        <v/>
      </c>
      <c r="H1389" s="26"/>
      <c r="I1389" s="27"/>
      <c r="J1389" s="125">
        <v>0</v>
      </c>
    </row>
    <row r="1390" spans="1:10" ht="15.75" hidden="1" thickBot="1" x14ac:dyDescent="0.3">
      <c r="A1390" s="235"/>
      <c r="B1390" s="238"/>
      <c r="C1390" s="151"/>
      <c r="D1390" s="29"/>
      <c r="E1390" s="30"/>
      <c r="F1390" s="38" t="s">
        <v>418</v>
      </c>
      <c r="G1390" s="28" t="str">
        <f>IF(ISNUMBER(F1390),E1390*F1390,"")</f>
        <v/>
      </c>
      <c r="H1390" s="32"/>
      <c r="I1390" s="28"/>
      <c r="J1390" s="125">
        <v>0</v>
      </c>
    </row>
    <row r="1391" spans="1:10" ht="15.75" hidden="1" thickBot="1" x14ac:dyDescent="0.3">
      <c r="A1391" s="235"/>
      <c r="B1391" s="238"/>
      <c r="C1391" s="155" t="s">
        <v>1023</v>
      </c>
      <c r="D1391" s="155" t="s">
        <v>587</v>
      </c>
      <c r="E1391" s="34">
        <v>0.45</v>
      </c>
      <c r="F1391" s="28">
        <v>25.954000000000001</v>
      </c>
      <c r="G1391" s="28">
        <f>IF(ISNUMBER(F1391),E1391*F1391,"")</f>
        <v>11.679300000000001</v>
      </c>
      <c r="H1391" s="35">
        <f>SUM(G1391:G1402)</f>
        <v>31.43802225000001</v>
      </c>
      <c r="I1391" s="36"/>
      <c r="J1391" s="125">
        <v>0</v>
      </c>
    </row>
    <row r="1392" spans="1:10" ht="15.75" hidden="1" thickBot="1" x14ac:dyDescent="0.3">
      <c r="A1392" s="235"/>
      <c r="B1392" s="238"/>
      <c r="C1392" s="155" t="s">
        <v>1022</v>
      </c>
      <c r="D1392" s="155" t="s">
        <v>587</v>
      </c>
      <c r="E1392" s="34">
        <v>0.45</v>
      </c>
      <c r="F1392" s="28">
        <v>19.522500000000001</v>
      </c>
      <c r="G1392" s="28">
        <f>IF(ISNUMBER(F1392),E1392*F1392,"")</f>
        <v>8.7851250000000007</v>
      </c>
      <c r="H1392" s="32"/>
      <c r="I1392" s="28"/>
      <c r="J1392" s="125">
        <v>0</v>
      </c>
    </row>
    <row r="1393" spans="1:10" ht="26.25" hidden="1" thickBot="1" x14ac:dyDescent="0.3">
      <c r="A1393" s="235"/>
      <c r="B1393" s="238"/>
      <c r="C1393" s="155" t="s">
        <v>337</v>
      </c>
      <c r="D1393" s="33" t="s">
        <v>97</v>
      </c>
      <c r="E1393" s="34">
        <v>0.67</v>
      </c>
      <c r="F1393" s="28">
        <v>0.95</v>
      </c>
      <c r="G1393" s="28">
        <f>IF(ISNUMBER(F1393),E1393*F1393,"")</f>
        <v>0.63649999999999995</v>
      </c>
      <c r="H1393" s="57"/>
      <c r="I1393" s="1"/>
      <c r="J1393" s="125">
        <v>0</v>
      </c>
    </row>
    <row r="1394" spans="1:10" ht="26.25" hidden="1" thickBot="1" x14ac:dyDescent="0.3">
      <c r="A1394" s="235"/>
      <c r="B1394" s="238"/>
      <c r="C1394" s="155" t="s">
        <v>339</v>
      </c>
      <c r="D1394" s="33" t="s">
        <v>69</v>
      </c>
      <c r="E1394" s="34">
        <v>1.05</v>
      </c>
      <c r="F1394" s="31" t="s">
        <v>418</v>
      </c>
      <c r="G1394" s="28" t="str">
        <f>IF(ISNUMBER(F1394),E1394*F1394,"")</f>
        <v/>
      </c>
      <c r="H1394" s="32"/>
      <c r="I1394" s="28"/>
      <c r="J1394" s="125">
        <v>0</v>
      </c>
    </row>
    <row r="1395" spans="1:10" ht="15.75" hidden="1" thickBot="1" x14ac:dyDescent="0.3">
      <c r="A1395" s="235"/>
      <c r="B1395" s="238"/>
      <c r="C1395" s="155" t="s">
        <v>340</v>
      </c>
      <c r="D1395" s="33" t="s">
        <v>69</v>
      </c>
      <c r="E1395" s="34">
        <v>0.8</v>
      </c>
      <c r="F1395" s="28">
        <v>0.95</v>
      </c>
      <c r="G1395" s="28">
        <f>IF(ISNUMBER(F1395),E1395*F1395,"")</f>
        <v>0.76</v>
      </c>
      <c r="H1395" s="32"/>
      <c r="I1395" s="28"/>
      <c r="J1395" s="125">
        <v>0</v>
      </c>
    </row>
    <row r="1396" spans="1:10" ht="15.75" hidden="1" thickBot="1" x14ac:dyDescent="0.3">
      <c r="A1396" s="235"/>
      <c r="B1396" s="238"/>
      <c r="C1396" s="155" t="s">
        <v>341</v>
      </c>
      <c r="D1396" s="155" t="s">
        <v>205</v>
      </c>
      <c r="E1396" s="34">
        <v>4.0033000000000003</v>
      </c>
      <c r="F1396" s="31">
        <v>0.33249999999999996</v>
      </c>
      <c r="G1396" s="28">
        <f>IF(ISNUMBER(F1396),E1396*F1396,"")</f>
        <v>1.33109725</v>
      </c>
      <c r="H1396" s="32"/>
      <c r="I1396" s="28"/>
      <c r="J1396" s="125">
        <v>0</v>
      </c>
    </row>
    <row r="1397" spans="1:10" ht="15.75" hidden="1" thickBot="1" x14ac:dyDescent="0.3">
      <c r="A1397" s="235"/>
      <c r="B1397" s="238"/>
      <c r="C1397" s="155" t="s">
        <v>342</v>
      </c>
      <c r="D1397" s="33" t="s">
        <v>97</v>
      </c>
      <c r="E1397" s="34">
        <v>4.0033000000000003</v>
      </c>
      <c r="F1397" s="28">
        <v>0.95</v>
      </c>
      <c r="G1397" s="28">
        <f>IF(ISNUMBER(F1397),E1397*F1397,"")</f>
        <v>3.8031350000000002</v>
      </c>
      <c r="H1397" s="32"/>
      <c r="I1397" s="28"/>
      <c r="J1397" s="125">
        <v>0</v>
      </c>
    </row>
    <row r="1398" spans="1:10" ht="15.75" hidden="1" thickBot="1" x14ac:dyDescent="0.3">
      <c r="A1398" s="235"/>
      <c r="B1398" s="238"/>
      <c r="C1398" s="155" t="s">
        <v>343</v>
      </c>
      <c r="D1398" s="33" t="s">
        <v>97</v>
      </c>
      <c r="E1398" s="34">
        <v>0.67</v>
      </c>
      <c r="F1398" s="28">
        <v>0.95</v>
      </c>
      <c r="G1398" s="28">
        <f>IF(ISNUMBER(F1398),E1398*F1398,"")</f>
        <v>0.63649999999999995</v>
      </c>
      <c r="H1398" s="32"/>
      <c r="I1398" s="28"/>
      <c r="J1398" s="125">
        <v>0</v>
      </c>
    </row>
    <row r="1399" spans="1:10" ht="15.75" hidden="1" thickBot="1" x14ac:dyDescent="0.3">
      <c r="A1399" s="235"/>
      <c r="B1399" s="238"/>
      <c r="C1399" s="155" t="s">
        <v>344</v>
      </c>
      <c r="D1399" s="33" t="s">
        <v>97</v>
      </c>
      <c r="E1399" s="156">
        <v>0.67</v>
      </c>
      <c r="F1399" s="28">
        <v>0.95</v>
      </c>
      <c r="G1399" s="28">
        <f>IF(ISNUMBER(F1399),E1399*F1399,"")</f>
        <v>0.63649999999999995</v>
      </c>
      <c r="H1399" s="32"/>
      <c r="I1399" s="28"/>
      <c r="J1399" s="125">
        <v>0</v>
      </c>
    </row>
    <row r="1400" spans="1:10" ht="15.75" hidden="1" thickBot="1" x14ac:dyDescent="0.3">
      <c r="A1400" s="235"/>
      <c r="B1400" s="238"/>
      <c r="C1400" s="155" t="s">
        <v>345</v>
      </c>
      <c r="D1400" s="33" t="s">
        <v>16</v>
      </c>
      <c r="E1400" s="34">
        <v>2.67</v>
      </c>
      <c r="F1400" s="28">
        <v>0.95</v>
      </c>
      <c r="G1400" s="28">
        <f>IF(ISNUMBER(F1400),E1400*F1400,"")</f>
        <v>2.5364999999999998</v>
      </c>
      <c r="H1400" s="32"/>
      <c r="I1400" s="28"/>
      <c r="J1400" s="125">
        <v>0</v>
      </c>
    </row>
    <row r="1401" spans="1:10" ht="15.75" hidden="1" thickBot="1" x14ac:dyDescent="0.3">
      <c r="A1401" s="235"/>
      <c r="B1401" s="238"/>
      <c r="C1401" s="155" t="s">
        <v>346</v>
      </c>
      <c r="D1401" s="33" t="s">
        <v>97</v>
      </c>
      <c r="E1401" s="34">
        <v>0.66669999999999996</v>
      </c>
      <c r="F1401" s="28">
        <v>0.95</v>
      </c>
      <c r="G1401" s="28">
        <f>IF(ISNUMBER(F1401),E1401*F1401,"")</f>
        <v>0.63336499999999996</v>
      </c>
      <c r="H1401" s="32"/>
      <c r="I1401" s="28"/>
      <c r="J1401" s="125">
        <v>0</v>
      </c>
    </row>
    <row r="1402" spans="1:10" ht="26.25" hidden="1" thickBot="1" x14ac:dyDescent="0.3">
      <c r="A1402" s="235"/>
      <c r="B1402" s="238"/>
      <c r="C1402" s="155" t="s">
        <v>347</v>
      </c>
      <c r="D1402" s="33" t="s">
        <v>69</v>
      </c>
      <c r="E1402" s="34">
        <v>1.05</v>
      </c>
      <c r="F1402" s="31" t="s">
        <v>418</v>
      </c>
      <c r="G1402" s="28" t="str">
        <f>IF(ISNUMBER(F1402),E1402*F1402,"")</f>
        <v/>
      </c>
      <c r="H1402" s="32"/>
      <c r="I1402" s="28"/>
      <c r="J1402" s="125">
        <v>0</v>
      </c>
    </row>
    <row r="1403" spans="1:10" ht="15.75" hidden="1" thickBot="1" x14ac:dyDescent="0.3">
      <c r="A1403" s="236"/>
      <c r="B1403" s="239"/>
      <c r="C1403" s="155"/>
      <c r="D1403" s="33"/>
      <c r="E1403" s="34"/>
      <c r="F1403" s="28" t="s">
        <v>418</v>
      </c>
      <c r="G1403" s="28" t="str">
        <f>IF(ISNUMBER(F1403),E1403*F1403,"")</f>
        <v/>
      </c>
      <c r="H1403" s="32"/>
      <c r="I1403" s="28"/>
      <c r="J1403" s="125">
        <v>0</v>
      </c>
    </row>
    <row r="1404" spans="1:10" ht="15.75" hidden="1" thickBot="1" x14ac:dyDescent="0.3">
      <c r="A1404" s="234" t="s">
        <v>348</v>
      </c>
      <c r="B1404" s="237" t="s">
        <v>19709</v>
      </c>
      <c r="C1404" s="160"/>
      <c r="D1404" s="23" t="s">
        <v>69</v>
      </c>
      <c r="E1404" s="24"/>
      <c r="F1404" s="37" t="s">
        <v>418</v>
      </c>
      <c r="G1404" s="25" t="str">
        <f>IF(ISNUMBER(F1404),E1404*F1404,"")</f>
        <v/>
      </c>
      <c r="H1404" s="26"/>
      <c r="I1404" s="27"/>
      <c r="J1404" s="125">
        <v>0</v>
      </c>
    </row>
    <row r="1405" spans="1:10" ht="15.75" hidden="1" thickBot="1" x14ac:dyDescent="0.3">
      <c r="A1405" s="235"/>
      <c r="B1405" s="238"/>
      <c r="C1405" s="151"/>
      <c r="D1405" s="29"/>
      <c r="E1405" s="30"/>
      <c r="F1405" s="38" t="s">
        <v>418</v>
      </c>
      <c r="G1405" s="28" t="str">
        <f>IF(ISNUMBER(F1405),E1405*F1405,"")</f>
        <v/>
      </c>
      <c r="H1405" s="32"/>
      <c r="I1405" s="28"/>
      <c r="J1405" s="125">
        <v>0</v>
      </c>
    </row>
    <row r="1406" spans="1:10" ht="15.75" hidden="1" thickBot="1" x14ac:dyDescent="0.3">
      <c r="A1406" s="235"/>
      <c r="B1406" s="238"/>
      <c r="C1406" s="155" t="s">
        <v>1023</v>
      </c>
      <c r="D1406" s="155" t="s">
        <v>587</v>
      </c>
      <c r="E1406" s="34">
        <v>0.6</v>
      </c>
      <c r="F1406" s="28">
        <v>25.954000000000001</v>
      </c>
      <c r="G1406" s="28">
        <f>IF(ISNUMBER(F1406),E1406*F1406,"")</f>
        <v>15.5724</v>
      </c>
      <c r="H1406" s="35">
        <f>SUM(G1406:G1417)</f>
        <v>41.996122749999991</v>
      </c>
      <c r="I1406" s="36"/>
      <c r="J1406" s="125">
        <v>0</v>
      </c>
    </row>
    <row r="1407" spans="1:10" ht="15.75" hidden="1" thickBot="1" x14ac:dyDescent="0.3">
      <c r="A1407" s="235"/>
      <c r="B1407" s="238"/>
      <c r="C1407" s="155" t="s">
        <v>1022</v>
      </c>
      <c r="D1407" s="155" t="s">
        <v>587</v>
      </c>
      <c r="E1407" s="34">
        <v>0.6</v>
      </c>
      <c r="F1407" s="28">
        <v>19.522500000000001</v>
      </c>
      <c r="G1407" s="28">
        <f>IF(ISNUMBER(F1407),E1407*F1407,"")</f>
        <v>11.7135</v>
      </c>
      <c r="H1407" s="32"/>
      <c r="I1407" s="28"/>
      <c r="J1407" s="125">
        <v>0</v>
      </c>
    </row>
    <row r="1408" spans="1:10" ht="26.25" hidden="1" thickBot="1" x14ac:dyDescent="0.3">
      <c r="A1408" s="235"/>
      <c r="B1408" s="238"/>
      <c r="C1408" s="155" t="s">
        <v>337</v>
      </c>
      <c r="D1408" s="33" t="s">
        <v>97</v>
      </c>
      <c r="E1408" s="34">
        <v>1.3332999999999999</v>
      </c>
      <c r="F1408" s="28">
        <v>0.95</v>
      </c>
      <c r="G1408" s="28">
        <f>IF(ISNUMBER(F1408),E1408*F1408,"")</f>
        <v>1.266635</v>
      </c>
      <c r="H1408" s="57"/>
      <c r="I1408" s="1"/>
      <c r="J1408" s="125">
        <v>0</v>
      </c>
    </row>
    <row r="1409" spans="1:10" ht="26.25" hidden="1" thickBot="1" x14ac:dyDescent="0.3">
      <c r="A1409" s="235"/>
      <c r="B1409" s="238"/>
      <c r="C1409" s="155" t="s">
        <v>350</v>
      </c>
      <c r="D1409" s="33" t="s">
        <v>69</v>
      </c>
      <c r="E1409" s="34">
        <v>1.05</v>
      </c>
      <c r="F1409" s="31" t="s">
        <v>418</v>
      </c>
      <c r="G1409" s="28" t="str">
        <f>IF(ISNUMBER(F1409),E1409*F1409,"")</f>
        <v/>
      </c>
      <c r="H1409" s="32"/>
      <c r="I1409" s="28"/>
      <c r="J1409" s="125">
        <v>0</v>
      </c>
    </row>
    <row r="1410" spans="1:10" ht="15.75" hidden="1" thickBot="1" x14ac:dyDescent="0.3">
      <c r="A1410" s="235"/>
      <c r="B1410" s="238"/>
      <c r="C1410" s="155" t="s">
        <v>340</v>
      </c>
      <c r="D1410" s="33" t="s">
        <v>69</v>
      </c>
      <c r="E1410" s="34">
        <v>1.6</v>
      </c>
      <c r="F1410" s="28">
        <v>0.95</v>
      </c>
      <c r="G1410" s="28">
        <f>IF(ISNUMBER(F1410),E1410*F1410,"")</f>
        <v>1.52</v>
      </c>
      <c r="H1410" s="32"/>
      <c r="I1410" s="28"/>
      <c r="J1410" s="125">
        <v>0</v>
      </c>
    </row>
    <row r="1411" spans="1:10" ht="15.75" hidden="1" thickBot="1" x14ac:dyDescent="0.3">
      <c r="A1411" s="235"/>
      <c r="B1411" s="238"/>
      <c r="C1411" s="155" t="s">
        <v>341</v>
      </c>
      <c r="D1411" s="155" t="s">
        <v>205</v>
      </c>
      <c r="E1411" s="34">
        <v>5.3367000000000004</v>
      </c>
      <c r="F1411" s="31">
        <v>0.33249999999999996</v>
      </c>
      <c r="G1411" s="28">
        <f>IF(ISNUMBER(F1411),E1411*F1411,"")</f>
        <v>1.77445275</v>
      </c>
      <c r="H1411" s="32"/>
      <c r="I1411" s="28"/>
      <c r="J1411" s="125">
        <v>0</v>
      </c>
    </row>
    <row r="1412" spans="1:10" ht="15.75" hidden="1" thickBot="1" x14ac:dyDescent="0.3">
      <c r="A1412" s="235"/>
      <c r="B1412" s="238"/>
      <c r="C1412" s="155" t="s">
        <v>342</v>
      </c>
      <c r="D1412" s="33" t="s">
        <v>97</v>
      </c>
      <c r="E1412" s="34">
        <v>5.34</v>
      </c>
      <c r="F1412" s="28">
        <v>0.95</v>
      </c>
      <c r="G1412" s="28">
        <f>IF(ISNUMBER(F1412),E1412*F1412,"")</f>
        <v>5.0729999999999995</v>
      </c>
      <c r="H1412" s="32"/>
      <c r="I1412" s="28"/>
      <c r="J1412" s="125">
        <v>0</v>
      </c>
    </row>
    <row r="1413" spans="1:10" ht="15.75" hidden="1" thickBot="1" x14ac:dyDescent="0.3">
      <c r="A1413" s="235"/>
      <c r="B1413" s="238"/>
      <c r="C1413" s="155" t="s">
        <v>351</v>
      </c>
      <c r="D1413" s="33" t="s">
        <v>97</v>
      </c>
      <c r="E1413" s="34">
        <v>0.67</v>
      </c>
      <c r="F1413" s="28">
        <v>0.95</v>
      </c>
      <c r="G1413" s="28">
        <f>IF(ISNUMBER(F1413),E1413*F1413,"")</f>
        <v>0.63649999999999995</v>
      </c>
      <c r="H1413" s="32"/>
      <c r="I1413" s="28"/>
      <c r="J1413" s="125">
        <v>0</v>
      </c>
    </row>
    <row r="1414" spans="1:10" ht="15.75" hidden="1" thickBot="1" x14ac:dyDescent="0.3">
      <c r="A1414" s="235"/>
      <c r="B1414" s="238"/>
      <c r="C1414" s="155" t="s">
        <v>344</v>
      </c>
      <c r="D1414" s="33" t="s">
        <v>97</v>
      </c>
      <c r="E1414" s="34">
        <v>1.3332999999999999</v>
      </c>
      <c r="F1414" s="28">
        <v>0.95</v>
      </c>
      <c r="G1414" s="28">
        <f>IF(ISNUMBER(F1414),E1414*F1414,"")</f>
        <v>1.266635</v>
      </c>
      <c r="H1414" s="32"/>
      <c r="I1414" s="28"/>
      <c r="J1414" s="125">
        <v>0</v>
      </c>
    </row>
    <row r="1415" spans="1:10" ht="15.75" hidden="1" thickBot="1" x14ac:dyDescent="0.3">
      <c r="A1415" s="235"/>
      <c r="B1415" s="238"/>
      <c r="C1415" s="155" t="s">
        <v>345</v>
      </c>
      <c r="D1415" s="33" t="s">
        <v>16</v>
      </c>
      <c r="E1415" s="34">
        <v>2.67</v>
      </c>
      <c r="F1415" s="28">
        <v>0.95</v>
      </c>
      <c r="G1415" s="28">
        <f>IF(ISNUMBER(F1415),E1415*F1415,"")</f>
        <v>2.5364999999999998</v>
      </c>
      <c r="H1415" s="32"/>
      <c r="I1415" s="28"/>
      <c r="J1415" s="125">
        <v>0</v>
      </c>
    </row>
    <row r="1416" spans="1:10" ht="15.75" hidden="1" thickBot="1" x14ac:dyDescent="0.3">
      <c r="A1416" s="235"/>
      <c r="B1416" s="238"/>
      <c r="C1416" s="155" t="s">
        <v>352</v>
      </c>
      <c r="D1416" s="33" t="s">
        <v>97</v>
      </c>
      <c r="E1416" s="34">
        <v>0.67</v>
      </c>
      <c r="F1416" s="28">
        <v>0.95</v>
      </c>
      <c r="G1416" s="28">
        <f>IF(ISNUMBER(F1416),E1416*F1416,"")</f>
        <v>0.63649999999999995</v>
      </c>
      <c r="H1416" s="32"/>
      <c r="I1416" s="28"/>
      <c r="J1416" s="125">
        <v>0</v>
      </c>
    </row>
    <row r="1417" spans="1:10" ht="26.25" hidden="1" thickBot="1" x14ac:dyDescent="0.3">
      <c r="A1417" s="235"/>
      <c r="B1417" s="238"/>
      <c r="C1417" s="155" t="s">
        <v>353</v>
      </c>
      <c r="D1417" s="33" t="s">
        <v>69</v>
      </c>
      <c r="E1417" s="34">
        <v>1.05</v>
      </c>
      <c r="F1417" s="31" t="s">
        <v>418</v>
      </c>
      <c r="G1417" s="28" t="str">
        <f>IF(ISNUMBER(F1417),E1417*F1417,"")</f>
        <v/>
      </c>
      <c r="H1417" s="32"/>
      <c r="I1417" s="28"/>
      <c r="J1417" s="125">
        <v>0</v>
      </c>
    </row>
    <row r="1418" spans="1:10" ht="15.75" hidden="1" thickBot="1" x14ac:dyDescent="0.3">
      <c r="A1418" s="236"/>
      <c r="B1418" s="239"/>
      <c r="C1418" s="155"/>
      <c r="D1418" s="33"/>
      <c r="E1418" s="34"/>
      <c r="F1418" s="28" t="s">
        <v>418</v>
      </c>
      <c r="G1418" s="28" t="str">
        <f>IF(ISNUMBER(F1418),E1418*F1418,"")</f>
        <v/>
      </c>
      <c r="H1418" s="32"/>
      <c r="I1418" s="28"/>
      <c r="J1418" s="125">
        <v>0</v>
      </c>
    </row>
    <row r="1419" spans="1:10" ht="15.75" hidden="1" thickBot="1" x14ac:dyDescent="0.3">
      <c r="A1419" s="234" t="s">
        <v>354</v>
      </c>
      <c r="B1419" s="237" t="s">
        <v>19710</v>
      </c>
      <c r="C1419" s="160"/>
      <c r="D1419" s="23" t="s">
        <v>69</v>
      </c>
      <c r="E1419" s="24"/>
      <c r="F1419" s="37" t="s">
        <v>418</v>
      </c>
      <c r="G1419" s="25" t="str">
        <f>IF(ISNUMBER(F1419),E1419*F1419,"")</f>
        <v/>
      </c>
      <c r="H1419" s="26"/>
      <c r="I1419" s="27"/>
      <c r="J1419" s="125">
        <v>0</v>
      </c>
    </row>
    <row r="1420" spans="1:10" ht="15.75" hidden="1" thickBot="1" x14ac:dyDescent="0.3">
      <c r="A1420" s="235"/>
      <c r="B1420" s="238"/>
      <c r="C1420" s="151"/>
      <c r="D1420" s="29"/>
      <c r="E1420" s="30"/>
      <c r="F1420" s="38" t="s">
        <v>418</v>
      </c>
      <c r="G1420" s="28" t="str">
        <f>IF(ISNUMBER(F1420),E1420*F1420,"")</f>
        <v/>
      </c>
      <c r="H1420" s="32"/>
      <c r="I1420" s="28"/>
      <c r="J1420" s="125">
        <v>0</v>
      </c>
    </row>
    <row r="1421" spans="1:10" ht="15.75" hidden="1" thickBot="1" x14ac:dyDescent="0.3">
      <c r="A1421" s="235"/>
      <c r="B1421" s="238"/>
      <c r="C1421" s="155" t="s">
        <v>1023</v>
      </c>
      <c r="D1421" s="155" t="s">
        <v>587</v>
      </c>
      <c r="E1421" s="34">
        <v>0.5</v>
      </c>
      <c r="F1421" s="28">
        <v>25.954000000000001</v>
      </c>
      <c r="G1421" s="28">
        <f>IF(ISNUMBER(F1421),E1421*F1421,"")</f>
        <v>12.977</v>
      </c>
      <c r="H1421" s="35">
        <f>SUM(G1421:G1432)</f>
        <v>37.448472749999993</v>
      </c>
      <c r="I1421" s="36"/>
      <c r="J1421" s="125">
        <v>0</v>
      </c>
    </row>
    <row r="1422" spans="1:10" ht="15.75" hidden="1" thickBot="1" x14ac:dyDescent="0.3">
      <c r="A1422" s="235"/>
      <c r="B1422" s="238"/>
      <c r="C1422" s="155" t="s">
        <v>1022</v>
      </c>
      <c r="D1422" s="155" t="s">
        <v>587</v>
      </c>
      <c r="E1422" s="34">
        <v>0.5</v>
      </c>
      <c r="F1422" s="28">
        <v>19.522500000000001</v>
      </c>
      <c r="G1422" s="28">
        <f>IF(ISNUMBER(F1422),E1422*F1422,"")</f>
        <v>9.7612500000000004</v>
      </c>
      <c r="H1422" s="32"/>
      <c r="I1422" s="28"/>
      <c r="J1422" s="125">
        <v>0</v>
      </c>
    </row>
    <row r="1423" spans="1:10" ht="26.25" hidden="1" thickBot="1" x14ac:dyDescent="0.3">
      <c r="A1423" s="235"/>
      <c r="B1423" s="238"/>
      <c r="C1423" s="155" t="s">
        <v>337</v>
      </c>
      <c r="D1423" s="33" t="s">
        <v>97</v>
      </c>
      <c r="E1423" s="34">
        <v>1.3332999999999999</v>
      </c>
      <c r="F1423" s="28">
        <v>0.95</v>
      </c>
      <c r="G1423" s="28">
        <f>IF(ISNUMBER(F1423),E1423*F1423,"")</f>
        <v>1.266635</v>
      </c>
      <c r="H1423" s="57"/>
      <c r="I1423" s="1"/>
      <c r="J1423" s="125">
        <v>0</v>
      </c>
    </row>
    <row r="1424" spans="1:10" ht="26.25" hidden="1" thickBot="1" x14ac:dyDescent="0.3">
      <c r="A1424" s="235"/>
      <c r="B1424" s="238"/>
      <c r="C1424" s="155" t="s">
        <v>356</v>
      </c>
      <c r="D1424" s="33" t="s">
        <v>69</v>
      </c>
      <c r="E1424" s="34">
        <v>1.05</v>
      </c>
      <c r="F1424" s="31" t="s">
        <v>418</v>
      </c>
      <c r="G1424" s="28" t="str">
        <f>IF(ISNUMBER(F1424),E1424*F1424,"")</f>
        <v/>
      </c>
      <c r="H1424" s="32"/>
      <c r="I1424" s="28"/>
      <c r="J1424" s="125">
        <v>0</v>
      </c>
    </row>
    <row r="1425" spans="1:10" ht="15.75" hidden="1" thickBot="1" x14ac:dyDescent="0.3">
      <c r="A1425" s="235"/>
      <c r="B1425" s="238"/>
      <c r="C1425" s="155" t="s">
        <v>340</v>
      </c>
      <c r="D1425" s="33" t="s">
        <v>69</v>
      </c>
      <c r="E1425" s="34">
        <v>1.6</v>
      </c>
      <c r="F1425" s="28">
        <v>0.95</v>
      </c>
      <c r="G1425" s="28">
        <f>IF(ISNUMBER(F1425),E1425*F1425,"")</f>
        <v>1.52</v>
      </c>
      <c r="H1425" s="32"/>
      <c r="I1425" s="28"/>
      <c r="J1425" s="125">
        <v>0</v>
      </c>
    </row>
    <row r="1426" spans="1:10" ht="15.75" hidden="1" thickBot="1" x14ac:dyDescent="0.3">
      <c r="A1426" s="235"/>
      <c r="B1426" s="238"/>
      <c r="C1426" s="155" t="s">
        <v>341</v>
      </c>
      <c r="D1426" s="155" t="s">
        <v>205</v>
      </c>
      <c r="E1426" s="34">
        <v>5.3367000000000004</v>
      </c>
      <c r="F1426" s="31">
        <v>0.33249999999999996</v>
      </c>
      <c r="G1426" s="28">
        <f>IF(ISNUMBER(F1426),E1426*F1426,"")</f>
        <v>1.77445275</v>
      </c>
      <c r="H1426" s="32"/>
      <c r="I1426" s="28"/>
      <c r="J1426" s="125">
        <v>0</v>
      </c>
    </row>
    <row r="1427" spans="1:10" ht="15.75" hidden="1" thickBot="1" x14ac:dyDescent="0.3">
      <c r="A1427" s="235"/>
      <c r="B1427" s="238"/>
      <c r="C1427" s="155" t="s">
        <v>342</v>
      </c>
      <c r="D1427" s="33" t="s">
        <v>97</v>
      </c>
      <c r="E1427" s="34">
        <v>5.34</v>
      </c>
      <c r="F1427" s="28">
        <v>0.95</v>
      </c>
      <c r="G1427" s="28">
        <f>IF(ISNUMBER(F1427),E1427*F1427,"")</f>
        <v>5.0729999999999995</v>
      </c>
      <c r="H1427" s="32"/>
      <c r="I1427" s="28"/>
      <c r="J1427" s="125">
        <v>0</v>
      </c>
    </row>
    <row r="1428" spans="1:10" ht="15.75" hidden="1" thickBot="1" x14ac:dyDescent="0.3">
      <c r="A1428" s="235"/>
      <c r="B1428" s="238"/>
      <c r="C1428" s="155" t="s">
        <v>357</v>
      </c>
      <c r="D1428" s="33" t="s">
        <v>97</v>
      </c>
      <c r="E1428" s="34">
        <v>0.67</v>
      </c>
      <c r="F1428" s="28">
        <v>0.95</v>
      </c>
      <c r="G1428" s="28">
        <f>IF(ISNUMBER(F1428),E1428*F1428,"")</f>
        <v>0.63649999999999995</v>
      </c>
      <c r="H1428" s="32"/>
      <c r="I1428" s="28"/>
      <c r="J1428" s="125">
        <v>0</v>
      </c>
    </row>
    <row r="1429" spans="1:10" ht="15.75" hidden="1" thickBot="1" x14ac:dyDescent="0.3">
      <c r="A1429" s="235"/>
      <c r="B1429" s="238"/>
      <c r="C1429" s="155" t="s">
        <v>344</v>
      </c>
      <c r="D1429" s="33" t="s">
        <v>97</v>
      </c>
      <c r="E1429" s="34">
        <v>1.3332999999999999</v>
      </c>
      <c r="F1429" s="28">
        <v>0.95</v>
      </c>
      <c r="G1429" s="28">
        <f>IF(ISNUMBER(F1429),E1429*F1429,"")</f>
        <v>1.266635</v>
      </c>
      <c r="H1429" s="32"/>
      <c r="I1429" s="28"/>
      <c r="J1429" s="125">
        <v>0</v>
      </c>
    </row>
    <row r="1430" spans="1:10" ht="15.75" hidden="1" thickBot="1" x14ac:dyDescent="0.3">
      <c r="A1430" s="235"/>
      <c r="B1430" s="238"/>
      <c r="C1430" s="155" t="s">
        <v>345</v>
      </c>
      <c r="D1430" s="33" t="s">
        <v>16</v>
      </c>
      <c r="E1430" s="34">
        <v>2.67</v>
      </c>
      <c r="F1430" s="28">
        <v>0.95</v>
      </c>
      <c r="G1430" s="28">
        <f>IF(ISNUMBER(F1430),E1430*F1430,"")</f>
        <v>2.5364999999999998</v>
      </c>
      <c r="H1430" s="32"/>
      <c r="I1430" s="28"/>
      <c r="J1430" s="125">
        <v>0</v>
      </c>
    </row>
    <row r="1431" spans="1:10" ht="15.75" hidden="1" thickBot="1" x14ac:dyDescent="0.3">
      <c r="A1431" s="235"/>
      <c r="B1431" s="238"/>
      <c r="C1431" s="155" t="s">
        <v>346</v>
      </c>
      <c r="D1431" s="33" t="s">
        <v>97</v>
      </c>
      <c r="E1431" s="34">
        <v>0.67</v>
      </c>
      <c r="F1431" s="28">
        <v>0.95</v>
      </c>
      <c r="G1431" s="28">
        <f>IF(ISNUMBER(F1431),E1431*F1431,"")</f>
        <v>0.63649999999999995</v>
      </c>
      <c r="H1431" s="32"/>
      <c r="I1431" s="28"/>
      <c r="J1431" s="125">
        <v>0</v>
      </c>
    </row>
    <row r="1432" spans="1:10" ht="26.25" hidden="1" thickBot="1" x14ac:dyDescent="0.3">
      <c r="A1432" s="235"/>
      <c r="B1432" s="238"/>
      <c r="C1432" s="155" t="s">
        <v>353</v>
      </c>
      <c r="D1432" s="33" t="s">
        <v>69</v>
      </c>
      <c r="E1432" s="34">
        <v>1.05</v>
      </c>
      <c r="F1432" s="31" t="s">
        <v>418</v>
      </c>
      <c r="G1432" s="28" t="str">
        <f>IF(ISNUMBER(F1432),E1432*F1432,"")</f>
        <v/>
      </c>
      <c r="H1432" s="32"/>
      <c r="I1432" s="28"/>
      <c r="J1432" s="125">
        <v>0</v>
      </c>
    </row>
    <row r="1433" spans="1:10" ht="15.75" hidden="1" thickBot="1" x14ac:dyDescent="0.3">
      <c r="A1433" s="236"/>
      <c r="B1433" s="239"/>
      <c r="C1433" s="155"/>
      <c r="D1433" s="33"/>
      <c r="E1433" s="34"/>
      <c r="F1433" s="28" t="s">
        <v>418</v>
      </c>
      <c r="G1433" s="28" t="str">
        <f>IF(ISNUMBER(F1433),E1433*F1433,"")</f>
        <v/>
      </c>
      <c r="H1433" s="32"/>
      <c r="I1433" s="28"/>
      <c r="J1433" s="125">
        <v>0</v>
      </c>
    </row>
    <row r="1434" spans="1:10" ht="15.75" hidden="1" thickBot="1" x14ac:dyDescent="0.3">
      <c r="A1434" s="234" t="s">
        <v>358</v>
      </c>
      <c r="B1434" s="237" t="s">
        <v>19711</v>
      </c>
      <c r="C1434" s="160"/>
      <c r="D1434" s="23" t="s">
        <v>69</v>
      </c>
      <c r="E1434" s="24"/>
      <c r="F1434" s="37" t="s">
        <v>418</v>
      </c>
      <c r="G1434" s="25" t="str">
        <f>IF(ISNUMBER(F1434),E1434*F1434,"")</f>
        <v/>
      </c>
      <c r="H1434" s="26"/>
      <c r="I1434" s="27"/>
      <c r="J1434" s="125">
        <v>0</v>
      </c>
    </row>
    <row r="1435" spans="1:10" ht="15.75" hidden="1" thickBot="1" x14ac:dyDescent="0.3">
      <c r="A1435" s="235"/>
      <c r="B1435" s="238"/>
      <c r="C1435" s="151"/>
      <c r="D1435" s="29"/>
      <c r="E1435" s="30"/>
      <c r="F1435" s="38" t="s">
        <v>418</v>
      </c>
      <c r="G1435" s="28" t="str">
        <f>IF(ISNUMBER(F1435),E1435*F1435,"")</f>
        <v/>
      </c>
      <c r="H1435" s="32"/>
      <c r="I1435" s="28"/>
      <c r="J1435" s="125">
        <v>0</v>
      </c>
    </row>
    <row r="1436" spans="1:10" ht="15.75" hidden="1" thickBot="1" x14ac:dyDescent="0.3">
      <c r="A1436" s="235"/>
      <c r="B1436" s="238"/>
      <c r="C1436" s="155" t="s">
        <v>1023</v>
      </c>
      <c r="D1436" s="155" t="s">
        <v>587</v>
      </c>
      <c r="E1436" s="34">
        <v>0.65</v>
      </c>
      <c r="F1436" s="28">
        <v>25.954000000000001</v>
      </c>
      <c r="G1436" s="28">
        <f>IF(ISNUMBER(F1436),E1436*F1436,"")</f>
        <v>16.870100000000001</v>
      </c>
      <c r="H1436" s="35">
        <f>SUM(G1436:G1447)</f>
        <v>44.26994775</v>
      </c>
      <c r="I1436" s="36"/>
      <c r="J1436" s="125">
        <v>0</v>
      </c>
    </row>
    <row r="1437" spans="1:10" ht="15.75" hidden="1" thickBot="1" x14ac:dyDescent="0.3">
      <c r="A1437" s="235"/>
      <c r="B1437" s="238"/>
      <c r="C1437" s="155" t="s">
        <v>1022</v>
      </c>
      <c r="D1437" s="155" t="s">
        <v>587</v>
      </c>
      <c r="E1437" s="34">
        <v>0.65</v>
      </c>
      <c r="F1437" s="28">
        <v>19.522500000000001</v>
      </c>
      <c r="G1437" s="28">
        <f>IF(ISNUMBER(F1437),E1437*F1437,"")</f>
        <v>12.689625000000001</v>
      </c>
      <c r="H1437" s="32"/>
      <c r="I1437" s="28"/>
      <c r="J1437" s="125">
        <v>0</v>
      </c>
    </row>
    <row r="1438" spans="1:10" ht="26.25" hidden="1" thickBot="1" x14ac:dyDescent="0.3">
      <c r="A1438" s="235"/>
      <c r="B1438" s="238"/>
      <c r="C1438" s="155" t="s">
        <v>337</v>
      </c>
      <c r="D1438" s="33" t="s">
        <v>97</v>
      </c>
      <c r="E1438" s="34">
        <v>1.3332999999999999</v>
      </c>
      <c r="F1438" s="28">
        <v>0.95</v>
      </c>
      <c r="G1438" s="28">
        <f>IF(ISNUMBER(F1438),E1438*F1438,"")</f>
        <v>1.266635</v>
      </c>
      <c r="H1438" s="57"/>
      <c r="I1438" s="1"/>
      <c r="J1438" s="125">
        <v>0</v>
      </c>
    </row>
    <row r="1439" spans="1:10" ht="26.25" hidden="1" thickBot="1" x14ac:dyDescent="0.3">
      <c r="A1439" s="235"/>
      <c r="B1439" s="238"/>
      <c r="C1439" s="155" t="s">
        <v>360</v>
      </c>
      <c r="D1439" s="33" t="s">
        <v>69</v>
      </c>
      <c r="E1439" s="34">
        <v>1.05</v>
      </c>
      <c r="F1439" s="31" t="s">
        <v>418</v>
      </c>
      <c r="G1439" s="28" t="str">
        <f>IF(ISNUMBER(F1439),E1439*F1439,"")</f>
        <v/>
      </c>
      <c r="H1439" s="32"/>
      <c r="I1439" s="28"/>
      <c r="J1439" s="125">
        <v>0</v>
      </c>
    </row>
    <row r="1440" spans="1:10" ht="15.75" hidden="1" thickBot="1" x14ac:dyDescent="0.3">
      <c r="A1440" s="235"/>
      <c r="B1440" s="238"/>
      <c r="C1440" s="155" t="s">
        <v>340</v>
      </c>
      <c r="D1440" s="33" t="s">
        <v>69</v>
      </c>
      <c r="E1440" s="34">
        <v>1.6</v>
      </c>
      <c r="F1440" s="28">
        <v>0.95</v>
      </c>
      <c r="G1440" s="28">
        <f>IF(ISNUMBER(F1440),E1440*F1440,"")</f>
        <v>1.52</v>
      </c>
      <c r="H1440" s="32"/>
      <c r="I1440" s="28"/>
      <c r="J1440" s="125">
        <v>0</v>
      </c>
    </row>
    <row r="1441" spans="1:10" ht="15.75" hidden="1" thickBot="1" x14ac:dyDescent="0.3">
      <c r="A1441" s="235"/>
      <c r="B1441" s="238"/>
      <c r="C1441" s="155" t="s">
        <v>341</v>
      </c>
      <c r="D1441" s="155" t="s">
        <v>205</v>
      </c>
      <c r="E1441" s="34">
        <v>5.3367000000000004</v>
      </c>
      <c r="F1441" s="31">
        <v>0.33249999999999996</v>
      </c>
      <c r="G1441" s="28">
        <f>IF(ISNUMBER(F1441),E1441*F1441,"")</f>
        <v>1.77445275</v>
      </c>
      <c r="H1441" s="32"/>
      <c r="I1441" s="28"/>
      <c r="J1441" s="125">
        <v>0</v>
      </c>
    </row>
    <row r="1442" spans="1:10" ht="15.75" hidden="1" thickBot="1" x14ac:dyDescent="0.3">
      <c r="A1442" s="235"/>
      <c r="B1442" s="238"/>
      <c r="C1442" s="155" t="s">
        <v>342</v>
      </c>
      <c r="D1442" s="33" t="s">
        <v>97</v>
      </c>
      <c r="E1442" s="34">
        <v>5.34</v>
      </c>
      <c r="F1442" s="28">
        <v>0.95</v>
      </c>
      <c r="G1442" s="28">
        <f>IF(ISNUMBER(F1442),E1442*F1442,"")</f>
        <v>5.0729999999999995</v>
      </c>
      <c r="H1442" s="32"/>
      <c r="I1442" s="28"/>
      <c r="J1442" s="125">
        <v>0</v>
      </c>
    </row>
    <row r="1443" spans="1:10" ht="15.75" hidden="1" thickBot="1" x14ac:dyDescent="0.3">
      <c r="A1443" s="235"/>
      <c r="B1443" s="238"/>
      <c r="C1443" s="155" t="s">
        <v>361</v>
      </c>
      <c r="D1443" s="33" t="s">
        <v>97</v>
      </c>
      <c r="E1443" s="34">
        <v>0.67</v>
      </c>
      <c r="F1443" s="28">
        <v>0.95</v>
      </c>
      <c r="G1443" s="28">
        <f>IF(ISNUMBER(F1443),E1443*F1443,"")</f>
        <v>0.63649999999999995</v>
      </c>
      <c r="H1443" s="32"/>
      <c r="I1443" s="28"/>
      <c r="J1443" s="125">
        <v>0</v>
      </c>
    </row>
    <row r="1444" spans="1:10" ht="15.75" hidden="1" thickBot="1" x14ac:dyDescent="0.3">
      <c r="A1444" s="235"/>
      <c r="B1444" s="238"/>
      <c r="C1444" s="155" t="s">
        <v>344</v>
      </c>
      <c r="D1444" s="33" t="s">
        <v>97</v>
      </c>
      <c r="E1444" s="34">
        <v>1.3332999999999999</v>
      </c>
      <c r="F1444" s="28">
        <v>0.95</v>
      </c>
      <c r="G1444" s="28">
        <f>IF(ISNUMBER(F1444),E1444*F1444,"")</f>
        <v>1.266635</v>
      </c>
      <c r="H1444" s="32"/>
      <c r="I1444" s="28"/>
      <c r="J1444" s="125">
        <v>0</v>
      </c>
    </row>
    <row r="1445" spans="1:10" ht="15.75" hidden="1" thickBot="1" x14ac:dyDescent="0.3">
      <c r="A1445" s="235"/>
      <c r="B1445" s="238"/>
      <c r="C1445" s="155" t="s">
        <v>345</v>
      </c>
      <c r="D1445" s="33" t="s">
        <v>16</v>
      </c>
      <c r="E1445" s="34">
        <v>2.67</v>
      </c>
      <c r="F1445" s="28">
        <v>0.95</v>
      </c>
      <c r="G1445" s="28">
        <f>IF(ISNUMBER(F1445),E1445*F1445,"")</f>
        <v>2.5364999999999998</v>
      </c>
      <c r="H1445" s="32"/>
      <c r="I1445" s="28"/>
      <c r="J1445" s="125">
        <v>0</v>
      </c>
    </row>
    <row r="1446" spans="1:10" ht="15.75" hidden="1" thickBot="1" x14ac:dyDescent="0.3">
      <c r="A1446" s="235"/>
      <c r="B1446" s="238"/>
      <c r="C1446" s="155" t="s">
        <v>352</v>
      </c>
      <c r="D1446" s="33" t="s">
        <v>97</v>
      </c>
      <c r="E1446" s="34">
        <v>0.67</v>
      </c>
      <c r="F1446" s="28">
        <v>0.95</v>
      </c>
      <c r="G1446" s="28">
        <f>IF(ISNUMBER(F1446),E1446*F1446,"")</f>
        <v>0.63649999999999995</v>
      </c>
      <c r="H1446" s="32"/>
      <c r="I1446" s="28"/>
      <c r="J1446" s="125">
        <v>0</v>
      </c>
    </row>
    <row r="1447" spans="1:10" ht="26.25" hidden="1" thickBot="1" x14ac:dyDescent="0.3">
      <c r="A1447" s="235"/>
      <c r="B1447" s="238"/>
      <c r="C1447" s="155" t="s">
        <v>362</v>
      </c>
      <c r="D1447" s="33" t="s">
        <v>69</v>
      </c>
      <c r="E1447" s="34">
        <v>1.05</v>
      </c>
      <c r="F1447" s="31" t="s">
        <v>418</v>
      </c>
      <c r="G1447" s="28" t="str">
        <f>IF(ISNUMBER(F1447),E1447*F1447,"")</f>
        <v/>
      </c>
      <c r="H1447" s="32"/>
      <c r="I1447" s="28"/>
      <c r="J1447" s="125">
        <v>0</v>
      </c>
    </row>
    <row r="1448" spans="1:10" ht="15.75" hidden="1" thickBot="1" x14ac:dyDescent="0.3">
      <c r="A1448" s="236"/>
      <c r="B1448" s="239"/>
      <c r="C1448" s="155"/>
      <c r="D1448" s="33"/>
      <c r="E1448" s="34"/>
      <c r="F1448" s="28" t="s">
        <v>418</v>
      </c>
      <c r="G1448" s="28" t="str">
        <f>IF(ISNUMBER(F1448),E1448*F1448,"")</f>
        <v/>
      </c>
      <c r="H1448" s="32"/>
      <c r="I1448" s="28"/>
      <c r="J1448" s="125">
        <v>0</v>
      </c>
    </row>
    <row r="1449" spans="1:10" ht="15.75" hidden="1" thickBot="1" x14ac:dyDescent="0.3">
      <c r="A1449" s="234" t="s">
        <v>363</v>
      </c>
      <c r="B1449" s="237" t="s">
        <v>19712</v>
      </c>
      <c r="C1449" s="160"/>
      <c r="D1449" s="23" t="s">
        <v>69</v>
      </c>
      <c r="E1449" s="24"/>
      <c r="F1449" s="37" t="s">
        <v>418</v>
      </c>
      <c r="G1449" s="25" t="str">
        <f>IF(ISNUMBER(F1449),E1449*F1449,"")</f>
        <v/>
      </c>
      <c r="H1449" s="26"/>
      <c r="I1449" s="27"/>
      <c r="J1449" s="125">
        <v>0</v>
      </c>
    </row>
    <row r="1450" spans="1:10" ht="15.75" hidden="1" thickBot="1" x14ac:dyDescent="0.3">
      <c r="A1450" s="235"/>
      <c r="B1450" s="238"/>
      <c r="C1450" s="151"/>
      <c r="D1450" s="29"/>
      <c r="E1450" s="30"/>
      <c r="F1450" s="38" t="s">
        <v>418</v>
      </c>
      <c r="G1450" s="28" t="str">
        <f>IF(ISNUMBER(F1450),E1450*F1450,"")</f>
        <v/>
      </c>
      <c r="H1450" s="32"/>
      <c r="I1450" s="28"/>
      <c r="J1450" s="125">
        <v>0</v>
      </c>
    </row>
    <row r="1451" spans="1:10" ht="15.75" hidden="1" thickBot="1" x14ac:dyDescent="0.3">
      <c r="A1451" s="235"/>
      <c r="B1451" s="238"/>
      <c r="C1451" s="155" t="s">
        <v>1023</v>
      </c>
      <c r="D1451" s="155" t="s">
        <v>587</v>
      </c>
      <c r="E1451" s="34">
        <v>0.55000000000000004</v>
      </c>
      <c r="F1451" s="28">
        <v>25.954000000000001</v>
      </c>
      <c r="G1451" s="28">
        <f>IF(ISNUMBER(F1451),E1451*F1451,"")</f>
        <v>14.274700000000001</v>
      </c>
      <c r="H1451" s="35">
        <f>SUM(G1451:G1462)</f>
        <v>39.722297749999996</v>
      </c>
      <c r="I1451" s="36"/>
      <c r="J1451" s="125">
        <v>0</v>
      </c>
    </row>
    <row r="1452" spans="1:10" ht="15.75" hidden="1" thickBot="1" x14ac:dyDescent="0.3">
      <c r="A1452" s="235"/>
      <c r="B1452" s="238"/>
      <c r="C1452" s="155" t="s">
        <v>1022</v>
      </c>
      <c r="D1452" s="155" t="s">
        <v>587</v>
      </c>
      <c r="E1452" s="34">
        <v>0.55000000000000004</v>
      </c>
      <c r="F1452" s="28">
        <v>19.522500000000001</v>
      </c>
      <c r="G1452" s="28">
        <f>IF(ISNUMBER(F1452),E1452*F1452,"")</f>
        <v>10.737375000000002</v>
      </c>
      <c r="H1452" s="32"/>
      <c r="I1452" s="28"/>
      <c r="J1452" s="125">
        <v>0</v>
      </c>
    </row>
    <row r="1453" spans="1:10" ht="26.25" hidden="1" thickBot="1" x14ac:dyDescent="0.3">
      <c r="A1453" s="235"/>
      <c r="B1453" s="238"/>
      <c r="C1453" s="155" t="s">
        <v>337</v>
      </c>
      <c r="D1453" s="33" t="s">
        <v>97</v>
      </c>
      <c r="E1453" s="34">
        <v>1.3332999999999999</v>
      </c>
      <c r="F1453" s="28">
        <v>0.95</v>
      </c>
      <c r="G1453" s="28">
        <f>IF(ISNUMBER(F1453),E1453*F1453,"")</f>
        <v>1.266635</v>
      </c>
      <c r="H1453" s="57"/>
      <c r="I1453" s="1"/>
      <c r="J1453" s="125">
        <v>0</v>
      </c>
    </row>
    <row r="1454" spans="1:10" ht="26.25" hidden="1" thickBot="1" x14ac:dyDescent="0.3">
      <c r="A1454" s="235"/>
      <c r="B1454" s="238"/>
      <c r="C1454" s="155" t="s">
        <v>365</v>
      </c>
      <c r="D1454" s="33" t="s">
        <v>69</v>
      </c>
      <c r="E1454" s="34">
        <v>1.05</v>
      </c>
      <c r="F1454" s="31" t="s">
        <v>418</v>
      </c>
      <c r="G1454" s="28" t="str">
        <f>IF(ISNUMBER(F1454),E1454*F1454,"")</f>
        <v/>
      </c>
      <c r="H1454" s="32"/>
      <c r="I1454" s="28"/>
      <c r="J1454" s="125">
        <v>0</v>
      </c>
    </row>
    <row r="1455" spans="1:10" ht="15.75" hidden="1" thickBot="1" x14ac:dyDescent="0.3">
      <c r="A1455" s="235"/>
      <c r="B1455" s="238"/>
      <c r="C1455" s="155" t="s">
        <v>340</v>
      </c>
      <c r="D1455" s="33" t="s">
        <v>69</v>
      </c>
      <c r="E1455" s="34">
        <v>1.6</v>
      </c>
      <c r="F1455" s="28">
        <v>0.95</v>
      </c>
      <c r="G1455" s="28">
        <f>IF(ISNUMBER(F1455),E1455*F1455,"")</f>
        <v>1.52</v>
      </c>
      <c r="H1455" s="32"/>
      <c r="I1455" s="28"/>
      <c r="J1455" s="125">
        <v>0</v>
      </c>
    </row>
    <row r="1456" spans="1:10" ht="15.75" hidden="1" thickBot="1" x14ac:dyDescent="0.3">
      <c r="A1456" s="235"/>
      <c r="B1456" s="238"/>
      <c r="C1456" s="155" t="s">
        <v>341</v>
      </c>
      <c r="D1456" s="155" t="s">
        <v>205</v>
      </c>
      <c r="E1456" s="34">
        <v>5.3367000000000004</v>
      </c>
      <c r="F1456" s="31">
        <v>0.33249999999999996</v>
      </c>
      <c r="G1456" s="28">
        <f>IF(ISNUMBER(F1456),E1456*F1456,"")</f>
        <v>1.77445275</v>
      </c>
      <c r="H1456" s="32"/>
      <c r="I1456" s="28"/>
      <c r="J1456" s="125">
        <v>0</v>
      </c>
    </row>
    <row r="1457" spans="1:10" ht="15.75" hidden="1" thickBot="1" x14ac:dyDescent="0.3">
      <c r="A1457" s="235"/>
      <c r="B1457" s="238"/>
      <c r="C1457" s="155" t="s">
        <v>342</v>
      </c>
      <c r="D1457" s="33" t="s">
        <v>97</v>
      </c>
      <c r="E1457" s="34">
        <v>5.34</v>
      </c>
      <c r="F1457" s="28">
        <v>0.95</v>
      </c>
      <c r="G1457" s="28">
        <f>IF(ISNUMBER(F1457),E1457*F1457,"")</f>
        <v>5.0729999999999995</v>
      </c>
      <c r="H1457" s="32"/>
      <c r="I1457" s="28"/>
      <c r="J1457" s="125">
        <v>0</v>
      </c>
    </row>
    <row r="1458" spans="1:10" ht="15.75" hidden="1" thickBot="1" x14ac:dyDescent="0.3">
      <c r="A1458" s="235"/>
      <c r="B1458" s="238"/>
      <c r="C1458" s="155" t="s">
        <v>366</v>
      </c>
      <c r="D1458" s="33" t="s">
        <v>97</v>
      </c>
      <c r="E1458" s="34">
        <v>0.67</v>
      </c>
      <c r="F1458" s="28">
        <v>0.95</v>
      </c>
      <c r="G1458" s="28">
        <f>IF(ISNUMBER(F1458),E1458*F1458,"")</f>
        <v>0.63649999999999995</v>
      </c>
      <c r="H1458" s="32"/>
      <c r="I1458" s="28"/>
      <c r="J1458" s="125">
        <v>0</v>
      </c>
    </row>
    <row r="1459" spans="1:10" ht="15.75" hidden="1" thickBot="1" x14ac:dyDescent="0.3">
      <c r="A1459" s="235"/>
      <c r="B1459" s="238"/>
      <c r="C1459" s="155" t="s">
        <v>344</v>
      </c>
      <c r="D1459" s="33" t="s">
        <v>97</v>
      </c>
      <c r="E1459" s="34">
        <v>1.3332999999999999</v>
      </c>
      <c r="F1459" s="28">
        <v>0.95</v>
      </c>
      <c r="G1459" s="28">
        <f>IF(ISNUMBER(F1459),E1459*F1459,"")</f>
        <v>1.266635</v>
      </c>
      <c r="H1459" s="32"/>
      <c r="I1459" s="28"/>
      <c r="J1459" s="125">
        <v>0</v>
      </c>
    </row>
    <row r="1460" spans="1:10" ht="15.75" hidden="1" thickBot="1" x14ac:dyDescent="0.3">
      <c r="A1460" s="235"/>
      <c r="B1460" s="238"/>
      <c r="C1460" s="155" t="s">
        <v>345</v>
      </c>
      <c r="D1460" s="33" t="s">
        <v>16</v>
      </c>
      <c r="E1460" s="34">
        <v>2.67</v>
      </c>
      <c r="F1460" s="28">
        <v>0.95</v>
      </c>
      <c r="G1460" s="28">
        <f>IF(ISNUMBER(F1460),E1460*F1460,"")</f>
        <v>2.5364999999999998</v>
      </c>
      <c r="H1460" s="32"/>
      <c r="I1460" s="28"/>
      <c r="J1460" s="125">
        <v>0</v>
      </c>
    </row>
    <row r="1461" spans="1:10" ht="15.75" hidden="1" thickBot="1" x14ac:dyDescent="0.3">
      <c r="A1461" s="235"/>
      <c r="B1461" s="238"/>
      <c r="C1461" s="155" t="s">
        <v>346</v>
      </c>
      <c r="D1461" s="33" t="s">
        <v>97</v>
      </c>
      <c r="E1461" s="34">
        <v>0.67</v>
      </c>
      <c r="F1461" s="28">
        <v>0.95</v>
      </c>
      <c r="G1461" s="28">
        <f>IF(ISNUMBER(F1461),E1461*F1461,"")</f>
        <v>0.63649999999999995</v>
      </c>
      <c r="H1461" s="32"/>
      <c r="I1461" s="28"/>
      <c r="J1461" s="125">
        <v>0</v>
      </c>
    </row>
    <row r="1462" spans="1:10" ht="26.25" hidden="1" thickBot="1" x14ac:dyDescent="0.3">
      <c r="A1462" s="235"/>
      <c r="B1462" s="238"/>
      <c r="C1462" s="155" t="s">
        <v>362</v>
      </c>
      <c r="D1462" s="33" t="s">
        <v>69</v>
      </c>
      <c r="E1462" s="34">
        <v>1.05</v>
      </c>
      <c r="F1462" s="31" t="s">
        <v>418</v>
      </c>
      <c r="G1462" s="28" t="str">
        <f>IF(ISNUMBER(F1462),E1462*F1462,"")</f>
        <v/>
      </c>
      <c r="H1462" s="32"/>
      <c r="I1462" s="28"/>
      <c r="J1462" s="125">
        <v>0</v>
      </c>
    </row>
    <row r="1463" spans="1:10" ht="15.75" hidden="1" thickBot="1" x14ac:dyDescent="0.3">
      <c r="A1463" s="236"/>
      <c r="B1463" s="239"/>
      <c r="C1463" s="155"/>
      <c r="D1463" s="33"/>
      <c r="E1463" s="34"/>
      <c r="F1463" s="28" t="s">
        <v>418</v>
      </c>
      <c r="G1463" s="28" t="str">
        <f>IF(ISNUMBER(F1463),E1463*F1463,"")</f>
        <v/>
      </c>
      <c r="H1463" s="32"/>
      <c r="I1463" s="28"/>
      <c r="J1463" s="125">
        <v>0</v>
      </c>
    </row>
    <row r="1464" spans="1:10" ht="15.75" hidden="1" thickBot="1" x14ac:dyDescent="0.3">
      <c r="A1464" s="234" t="s">
        <v>367</v>
      </c>
      <c r="B1464" s="237" t="s">
        <v>19713</v>
      </c>
      <c r="C1464" s="160"/>
      <c r="D1464" s="23" t="s">
        <v>69</v>
      </c>
      <c r="E1464" s="24"/>
      <c r="F1464" s="37" t="s">
        <v>418</v>
      </c>
      <c r="G1464" s="25" t="str">
        <f>IF(ISNUMBER(F1464),E1464*F1464,"")</f>
        <v/>
      </c>
      <c r="H1464" s="26"/>
      <c r="I1464" s="27"/>
      <c r="J1464" s="125">
        <v>0</v>
      </c>
    </row>
    <row r="1465" spans="1:10" ht="15.75" hidden="1" thickBot="1" x14ac:dyDescent="0.3">
      <c r="A1465" s="235"/>
      <c r="B1465" s="238"/>
      <c r="C1465" s="151"/>
      <c r="D1465" s="29"/>
      <c r="E1465" s="30"/>
      <c r="F1465" s="38" t="s">
        <v>418</v>
      </c>
      <c r="G1465" s="28" t="str">
        <f>IF(ISNUMBER(F1465),E1465*F1465,"")</f>
        <v/>
      </c>
      <c r="H1465" s="32"/>
      <c r="I1465" s="28"/>
      <c r="J1465" s="125">
        <v>0</v>
      </c>
    </row>
    <row r="1466" spans="1:10" ht="15.75" hidden="1" thickBot="1" x14ac:dyDescent="0.3">
      <c r="A1466" s="235"/>
      <c r="B1466" s="238"/>
      <c r="C1466" s="155" t="s">
        <v>1023</v>
      </c>
      <c r="D1466" s="155" t="s">
        <v>587</v>
      </c>
      <c r="E1466" s="34">
        <v>0.55000000000000004</v>
      </c>
      <c r="F1466" s="28">
        <v>25.954000000000001</v>
      </c>
      <c r="G1466" s="28">
        <f>IF(ISNUMBER(F1466),E1466*F1466,"")</f>
        <v>14.274700000000001</v>
      </c>
      <c r="H1466" s="35">
        <f>SUM(G1466:G1477)</f>
        <v>39.722297749999996</v>
      </c>
      <c r="I1466" s="36"/>
      <c r="J1466" s="125">
        <v>0</v>
      </c>
    </row>
    <row r="1467" spans="1:10" ht="15.75" hidden="1" thickBot="1" x14ac:dyDescent="0.3">
      <c r="A1467" s="235"/>
      <c r="B1467" s="238"/>
      <c r="C1467" s="155" t="s">
        <v>1022</v>
      </c>
      <c r="D1467" s="155" t="s">
        <v>587</v>
      </c>
      <c r="E1467" s="34">
        <v>0.55000000000000004</v>
      </c>
      <c r="F1467" s="28">
        <v>19.522500000000001</v>
      </c>
      <c r="G1467" s="28">
        <f>IF(ISNUMBER(F1467),E1467*F1467,"")</f>
        <v>10.737375000000002</v>
      </c>
      <c r="H1467" s="32"/>
      <c r="I1467" s="28"/>
      <c r="J1467" s="125">
        <v>0</v>
      </c>
    </row>
    <row r="1468" spans="1:10" ht="26.25" hidden="1" thickBot="1" x14ac:dyDescent="0.3">
      <c r="A1468" s="235"/>
      <c r="B1468" s="238"/>
      <c r="C1468" s="155" t="s">
        <v>337</v>
      </c>
      <c r="D1468" s="33" t="s">
        <v>97</v>
      </c>
      <c r="E1468" s="34">
        <v>1.3332999999999999</v>
      </c>
      <c r="F1468" s="28">
        <v>0.95</v>
      </c>
      <c r="G1468" s="28">
        <f>IF(ISNUMBER(F1468),E1468*F1468,"")</f>
        <v>1.266635</v>
      </c>
      <c r="H1468" s="57"/>
      <c r="I1468" s="1"/>
      <c r="J1468" s="125">
        <v>0</v>
      </c>
    </row>
    <row r="1469" spans="1:10" ht="26.25" hidden="1" thickBot="1" x14ac:dyDescent="0.3">
      <c r="A1469" s="235"/>
      <c r="B1469" s="238"/>
      <c r="C1469" s="155" t="s">
        <v>369</v>
      </c>
      <c r="D1469" s="33" t="s">
        <v>69</v>
      </c>
      <c r="E1469" s="34">
        <v>1.05</v>
      </c>
      <c r="F1469" s="31" t="s">
        <v>418</v>
      </c>
      <c r="G1469" s="28" t="str">
        <f>IF(ISNUMBER(F1469),E1469*F1469,"")</f>
        <v/>
      </c>
      <c r="H1469" s="32"/>
      <c r="I1469" s="28"/>
      <c r="J1469" s="125">
        <v>0</v>
      </c>
    </row>
    <row r="1470" spans="1:10" ht="15.75" hidden="1" thickBot="1" x14ac:dyDescent="0.3">
      <c r="A1470" s="235"/>
      <c r="B1470" s="238"/>
      <c r="C1470" s="155" t="s">
        <v>340</v>
      </c>
      <c r="D1470" s="33" t="s">
        <v>69</v>
      </c>
      <c r="E1470" s="34">
        <v>1.6</v>
      </c>
      <c r="F1470" s="28">
        <v>0.95</v>
      </c>
      <c r="G1470" s="28">
        <f>IF(ISNUMBER(F1470),E1470*F1470,"")</f>
        <v>1.52</v>
      </c>
      <c r="H1470" s="32"/>
      <c r="I1470" s="28"/>
      <c r="J1470" s="125">
        <v>0</v>
      </c>
    </row>
    <row r="1471" spans="1:10" ht="15.75" hidden="1" thickBot="1" x14ac:dyDescent="0.3">
      <c r="A1471" s="235"/>
      <c r="B1471" s="238"/>
      <c r="C1471" s="155" t="s">
        <v>341</v>
      </c>
      <c r="D1471" s="155" t="s">
        <v>205</v>
      </c>
      <c r="E1471" s="34">
        <v>5.3367000000000004</v>
      </c>
      <c r="F1471" s="31">
        <v>0.33249999999999996</v>
      </c>
      <c r="G1471" s="28">
        <f>IF(ISNUMBER(F1471),E1471*F1471,"")</f>
        <v>1.77445275</v>
      </c>
      <c r="H1471" s="32"/>
      <c r="I1471" s="28"/>
      <c r="J1471" s="125">
        <v>0</v>
      </c>
    </row>
    <row r="1472" spans="1:10" ht="15.75" hidden="1" thickBot="1" x14ac:dyDescent="0.3">
      <c r="A1472" s="235"/>
      <c r="B1472" s="238"/>
      <c r="C1472" s="155" t="s">
        <v>342</v>
      </c>
      <c r="D1472" s="33" t="s">
        <v>97</v>
      </c>
      <c r="E1472" s="34">
        <v>5.34</v>
      </c>
      <c r="F1472" s="28">
        <v>0.95</v>
      </c>
      <c r="G1472" s="28">
        <f>IF(ISNUMBER(F1472),E1472*F1472,"")</f>
        <v>5.0729999999999995</v>
      </c>
      <c r="H1472" s="32"/>
      <c r="I1472" s="28"/>
      <c r="J1472" s="125">
        <v>0</v>
      </c>
    </row>
    <row r="1473" spans="1:10" ht="15.75" hidden="1" thickBot="1" x14ac:dyDescent="0.3">
      <c r="A1473" s="235"/>
      <c r="B1473" s="238"/>
      <c r="C1473" s="155" t="s">
        <v>370</v>
      </c>
      <c r="D1473" s="33" t="s">
        <v>97</v>
      </c>
      <c r="E1473" s="34">
        <v>0.67</v>
      </c>
      <c r="F1473" s="28">
        <v>0.95</v>
      </c>
      <c r="G1473" s="28">
        <f>IF(ISNUMBER(F1473),E1473*F1473,"")</f>
        <v>0.63649999999999995</v>
      </c>
      <c r="H1473" s="32"/>
      <c r="I1473" s="28"/>
      <c r="J1473" s="125">
        <v>0</v>
      </c>
    </row>
    <row r="1474" spans="1:10" ht="15.75" hidden="1" thickBot="1" x14ac:dyDescent="0.3">
      <c r="A1474" s="235"/>
      <c r="B1474" s="238"/>
      <c r="C1474" s="155" t="s">
        <v>344</v>
      </c>
      <c r="D1474" s="33" t="s">
        <v>97</v>
      </c>
      <c r="E1474" s="34">
        <v>1.3332999999999999</v>
      </c>
      <c r="F1474" s="28">
        <v>0.95</v>
      </c>
      <c r="G1474" s="28">
        <f>IF(ISNUMBER(F1474),E1474*F1474,"")</f>
        <v>1.266635</v>
      </c>
      <c r="H1474" s="32"/>
      <c r="I1474" s="28"/>
      <c r="J1474" s="125">
        <v>0</v>
      </c>
    </row>
    <row r="1475" spans="1:10" ht="15.75" hidden="1" thickBot="1" x14ac:dyDescent="0.3">
      <c r="A1475" s="235"/>
      <c r="B1475" s="238"/>
      <c r="C1475" s="155" t="s">
        <v>345</v>
      </c>
      <c r="D1475" s="33" t="s">
        <v>16</v>
      </c>
      <c r="E1475" s="34">
        <v>2.67</v>
      </c>
      <c r="F1475" s="28">
        <v>0.95</v>
      </c>
      <c r="G1475" s="28">
        <f>IF(ISNUMBER(F1475),E1475*F1475,"")</f>
        <v>2.5364999999999998</v>
      </c>
      <c r="H1475" s="32"/>
      <c r="I1475" s="28"/>
      <c r="J1475" s="125">
        <v>0</v>
      </c>
    </row>
    <row r="1476" spans="1:10" ht="15.75" hidden="1" thickBot="1" x14ac:dyDescent="0.3">
      <c r="A1476" s="235"/>
      <c r="B1476" s="238"/>
      <c r="C1476" s="155" t="s">
        <v>346</v>
      </c>
      <c r="D1476" s="33" t="s">
        <v>97</v>
      </c>
      <c r="E1476" s="34">
        <v>0.67</v>
      </c>
      <c r="F1476" s="28">
        <v>0.95</v>
      </c>
      <c r="G1476" s="28">
        <f>IF(ISNUMBER(F1476),E1476*F1476,"")</f>
        <v>0.63649999999999995</v>
      </c>
      <c r="H1476" s="32"/>
      <c r="I1476" s="28"/>
      <c r="J1476" s="125">
        <v>0</v>
      </c>
    </row>
    <row r="1477" spans="1:10" ht="26.25" hidden="1" thickBot="1" x14ac:dyDescent="0.3">
      <c r="A1477" s="235"/>
      <c r="B1477" s="238"/>
      <c r="C1477" s="155" t="s">
        <v>371</v>
      </c>
      <c r="D1477" s="33" t="s">
        <v>69</v>
      </c>
      <c r="E1477" s="34">
        <v>1.05</v>
      </c>
      <c r="F1477" s="31" t="s">
        <v>418</v>
      </c>
      <c r="G1477" s="28" t="str">
        <f>IF(ISNUMBER(F1477),E1477*F1477,"")</f>
        <v/>
      </c>
      <c r="H1477" s="32"/>
      <c r="I1477" s="28"/>
      <c r="J1477" s="125">
        <v>0</v>
      </c>
    </row>
    <row r="1478" spans="1:10" ht="15.75" hidden="1" thickBot="1" x14ac:dyDescent="0.3">
      <c r="A1478" s="236"/>
      <c r="B1478" s="239"/>
      <c r="C1478" s="155"/>
      <c r="D1478" s="33"/>
      <c r="E1478" s="34"/>
      <c r="F1478" s="28" t="s">
        <v>418</v>
      </c>
      <c r="G1478" s="28" t="str">
        <f>IF(ISNUMBER(F1478),E1478*F1478,"")</f>
        <v/>
      </c>
      <c r="H1478" s="32"/>
      <c r="I1478" s="28"/>
      <c r="J1478" s="125">
        <v>0</v>
      </c>
    </row>
    <row r="1479" spans="1:10" ht="15.75" hidden="1" thickBot="1" x14ac:dyDescent="0.3">
      <c r="A1479" s="234" t="s">
        <v>372</v>
      </c>
      <c r="B1479" s="237" t="s">
        <v>19714</v>
      </c>
      <c r="C1479" s="160"/>
      <c r="D1479" s="23" t="s">
        <v>69</v>
      </c>
      <c r="E1479" s="24"/>
      <c r="F1479" s="37" t="s">
        <v>418</v>
      </c>
      <c r="G1479" s="25" t="str">
        <f>IF(ISNUMBER(F1479),E1479*F1479,"")</f>
        <v/>
      </c>
      <c r="H1479" s="26"/>
      <c r="I1479" s="27"/>
      <c r="J1479" s="125">
        <v>0</v>
      </c>
    </row>
    <row r="1480" spans="1:10" ht="15.75" hidden="1" thickBot="1" x14ac:dyDescent="0.3">
      <c r="A1480" s="249"/>
      <c r="B1480" s="238"/>
      <c r="C1480" s="151"/>
      <c r="D1480" s="29"/>
      <c r="E1480" s="30"/>
      <c r="F1480" s="38" t="s">
        <v>418</v>
      </c>
      <c r="G1480" s="28" t="str">
        <f>IF(ISNUMBER(F1480),E1480*F1480,"")</f>
        <v/>
      </c>
      <c r="H1480" s="32"/>
      <c r="I1480" s="28"/>
      <c r="J1480" s="125">
        <v>0</v>
      </c>
    </row>
    <row r="1481" spans="1:10" ht="15.75" hidden="1" thickBot="1" x14ac:dyDescent="0.3">
      <c r="A1481" s="249"/>
      <c r="B1481" s="238"/>
      <c r="C1481" s="155" t="s">
        <v>1023</v>
      </c>
      <c r="D1481" s="155" t="s">
        <v>587</v>
      </c>
      <c r="E1481" s="34">
        <v>0.45</v>
      </c>
      <c r="F1481" s="28">
        <v>25.954000000000001</v>
      </c>
      <c r="G1481" s="28">
        <f>IF(ISNUMBER(F1481),E1481*F1481,"")</f>
        <v>11.679300000000001</v>
      </c>
      <c r="H1481" s="35">
        <f>SUM(G1481:G1492)</f>
        <v>31.799022250000007</v>
      </c>
      <c r="I1481" s="36"/>
      <c r="J1481" s="125">
        <v>0</v>
      </c>
    </row>
    <row r="1482" spans="1:10" ht="15.75" hidden="1" thickBot="1" x14ac:dyDescent="0.3">
      <c r="A1482" s="249"/>
      <c r="B1482" s="238"/>
      <c r="C1482" s="155" t="s">
        <v>1022</v>
      </c>
      <c r="D1482" s="155" t="s">
        <v>587</v>
      </c>
      <c r="E1482" s="34">
        <v>0.45</v>
      </c>
      <c r="F1482" s="28">
        <v>19.522500000000001</v>
      </c>
      <c r="G1482" s="28">
        <f>IF(ISNUMBER(F1482),E1482*F1482,"")</f>
        <v>8.7851250000000007</v>
      </c>
      <c r="H1482" s="32"/>
      <c r="I1482" s="28"/>
      <c r="J1482" s="125">
        <v>0</v>
      </c>
    </row>
    <row r="1483" spans="1:10" ht="26.25" hidden="1" thickBot="1" x14ac:dyDescent="0.3">
      <c r="A1483" s="249"/>
      <c r="B1483" s="238"/>
      <c r="C1483" s="155" t="s">
        <v>337</v>
      </c>
      <c r="D1483" s="33" t="s">
        <v>97</v>
      </c>
      <c r="E1483" s="34">
        <v>0.67</v>
      </c>
      <c r="F1483" s="28">
        <v>0.95</v>
      </c>
      <c r="G1483" s="28">
        <f>IF(ISNUMBER(F1483),E1483*F1483,"")</f>
        <v>0.63649999999999995</v>
      </c>
      <c r="H1483" s="57"/>
      <c r="I1483" s="1"/>
      <c r="J1483" s="125">
        <v>0</v>
      </c>
    </row>
    <row r="1484" spans="1:10" ht="26.25" hidden="1" thickBot="1" x14ac:dyDescent="0.3">
      <c r="A1484" s="249"/>
      <c r="B1484" s="238"/>
      <c r="C1484" s="155" t="s">
        <v>374</v>
      </c>
      <c r="D1484" s="33" t="s">
        <v>69</v>
      </c>
      <c r="E1484" s="34">
        <v>1.05</v>
      </c>
      <c r="F1484" s="31" t="s">
        <v>418</v>
      </c>
      <c r="G1484" s="28" t="str">
        <f>IF(ISNUMBER(F1484),E1484*F1484,"")</f>
        <v/>
      </c>
      <c r="H1484" s="32"/>
      <c r="I1484" s="28"/>
      <c r="J1484" s="125">
        <v>0</v>
      </c>
    </row>
    <row r="1485" spans="1:10" ht="15.75" hidden="1" thickBot="1" x14ac:dyDescent="0.3">
      <c r="A1485" s="249"/>
      <c r="B1485" s="238"/>
      <c r="C1485" s="155" t="s">
        <v>340</v>
      </c>
      <c r="D1485" s="33" t="s">
        <v>69</v>
      </c>
      <c r="E1485" s="34">
        <v>0.8</v>
      </c>
      <c r="F1485" s="28">
        <v>0.95</v>
      </c>
      <c r="G1485" s="28">
        <f>IF(ISNUMBER(F1485),E1485*F1485,"")</f>
        <v>0.76</v>
      </c>
      <c r="H1485" s="32"/>
      <c r="I1485" s="28"/>
      <c r="J1485" s="125">
        <v>0</v>
      </c>
    </row>
    <row r="1486" spans="1:10" ht="15.75" hidden="1" thickBot="1" x14ac:dyDescent="0.3">
      <c r="A1486" s="249"/>
      <c r="B1486" s="238"/>
      <c r="C1486" s="155" t="s">
        <v>341</v>
      </c>
      <c r="D1486" s="155" t="s">
        <v>205</v>
      </c>
      <c r="E1486" s="34">
        <v>4.0033000000000003</v>
      </c>
      <c r="F1486" s="31">
        <v>0.33249999999999996</v>
      </c>
      <c r="G1486" s="28">
        <f>IF(ISNUMBER(F1486),E1486*F1486,"")</f>
        <v>1.33109725</v>
      </c>
      <c r="H1486" s="32"/>
      <c r="I1486" s="28"/>
      <c r="J1486" s="125">
        <v>0</v>
      </c>
    </row>
    <row r="1487" spans="1:10" ht="15.75" hidden="1" thickBot="1" x14ac:dyDescent="0.3">
      <c r="A1487" s="249"/>
      <c r="B1487" s="238"/>
      <c r="C1487" s="155" t="s">
        <v>342</v>
      </c>
      <c r="D1487" s="33" t="s">
        <v>97</v>
      </c>
      <c r="E1487" s="34">
        <v>4.0033000000000003</v>
      </c>
      <c r="F1487" s="28">
        <v>0.95</v>
      </c>
      <c r="G1487" s="28">
        <f>IF(ISNUMBER(F1487),E1487*F1487,"")</f>
        <v>3.8031350000000002</v>
      </c>
      <c r="H1487" s="32"/>
      <c r="I1487" s="28"/>
      <c r="J1487" s="125">
        <v>0</v>
      </c>
    </row>
    <row r="1488" spans="1:10" ht="15.75" hidden="1" thickBot="1" x14ac:dyDescent="0.3">
      <c r="A1488" s="249"/>
      <c r="B1488" s="238"/>
      <c r="C1488" s="155" t="s">
        <v>375</v>
      </c>
      <c r="D1488" s="33" t="s">
        <v>97</v>
      </c>
      <c r="E1488" s="34">
        <v>0.67</v>
      </c>
      <c r="F1488" s="28">
        <v>0.95</v>
      </c>
      <c r="G1488" s="28">
        <f>IF(ISNUMBER(F1488),E1488*F1488,"")</f>
        <v>0.63649999999999995</v>
      </c>
      <c r="H1488" s="32"/>
      <c r="I1488" s="28"/>
      <c r="J1488" s="125">
        <v>0</v>
      </c>
    </row>
    <row r="1489" spans="1:10" ht="15.75" hidden="1" thickBot="1" x14ac:dyDescent="0.3">
      <c r="A1489" s="249"/>
      <c r="B1489" s="238"/>
      <c r="C1489" s="155" t="s">
        <v>344</v>
      </c>
      <c r="D1489" s="33" t="s">
        <v>97</v>
      </c>
      <c r="E1489" s="34">
        <v>1.05</v>
      </c>
      <c r="F1489" s="28">
        <v>0.95</v>
      </c>
      <c r="G1489" s="28">
        <f>IF(ISNUMBER(F1489),E1489*F1489,"")</f>
        <v>0.99749999999999994</v>
      </c>
      <c r="H1489" s="32"/>
      <c r="I1489" s="28"/>
      <c r="J1489" s="125">
        <v>0</v>
      </c>
    </row>
    <row r="1490" spans="1:10" ht="15.75" hidden="1" thickBot="1" x14ac:dyDescent="0.3">
      <c r="A1490" s="249"/>
      <c r="B1490" s="238"/>
      <c r="C1490" s="155" t="s">
        <v>345</v>
      </c>
      <c r="D1490" s="33" t="s">
        <v>16</v>
      </c>
      <c r="E1490" s="34">
        <v>2.67</v>
      </c>
      <c r="F1490" s="28">
        <v>0.95</v>
      </c>
      <c r="G1490" s="28">
        <f>IF(ISNUMBER(F1490),E1490*F1490,"")</f>
        <v>2.5364999999999998</v>
      </c>
      <c r="H1490" s="32"/>
      <c r="I1490" s="28"/>
      <c r="J1490" s="125">
        <v>0</v>
      </c>
    </row>
    <row r="1491" spans="1:10" ht="15.75" hidden="1" thickBot="1" x14ac:dyDescent="0.3">
      <c r="A1491" s="249"/>
      <c r="B1491" s="238"/>
      <c r="C1491" s="155" t="s">
        <v>346</v>
      </c>
      <c r="D1491" s="33" t="s">
        <v>97</v>
      </c>
      <c r="E1491" s="34">
        <v>0.66669999999999996</v>
      </c>
      <c r="F1491" s="28">
        <v>0.95</v>
      </c>
      <c r="G1491" s="28">
        <f>IF(ISNUMBER(F1491),E1491*F1491,"")</f>
        <v>0.63336499999999996</v>
      </c>
      <c r="H1491" s="32"/>
      <c r="I1491" s="28"/>
      <c r="J1491" s="125">
        <v>0</v>
      </c>
    </row>
    <row r="1492" spans="1:10" ht="26.25" hidden="1" thickBot="1" x14ac:dyDescent="0.3">
      <c r="A1492" s="249"/>
      <c r="B1492" s="238"/>
      <c r="C1492" s="155" t="s">
        <v>376</v>
      </c>
      <c r="D1492" s="33" t="s">
        <v>69</v>
      </c>
      <c r="E1492" s="34">
        <v>1.05</v>
      </c>
      <c r="F1492" s="31" t="s">
        <v>418</v>
      </c>
      <c r="G1492" s="28" t="str">
        <f>IF(ISNUMBER(F1492),E1492*F1492,"")</f>
        <v/>
      </c>
      <c r="H1492" s="32"/>
      <c r="I1492" s="28"/>
      <c r="J1492" s="125">
        <v>0</v>
      </c>
    </row>
    <row r="1493" spans="1:10" ht="15.75" hidden="1" thickBot="1" x14ac:dyDescent="0.3">
      <c r="A1493" s="250"/>
      <c r="B1493" s="239"/>
      <c r="C1493" s="155"/>
      <c r="D1493" s="33"/>
      <c r="E1493" s="34"/>
      <c r="F1493" s="28" t="s">
        <v>418</v>
      </c>
      <c r="G1493" s="28" t="str">
        <f>IF(ISNUMBER(F1493),E1493*F1493,"")</f>
        <v/>
      </c>
      <c r="H1493" s="32"/>
      <c r="I1493" s="28"/>
      <c r="J1493" s="125">
        <v>0</v>
      </c>
    </row>
    <row r="1494" spans="1:10" ht="15.75" hidden="1" thickBot="1" x14ac:dyDescent="0.3">
      <c r="A1494" s="234" t="s">
        <v>377</v>
      </c>
      <c r="B1494" s="237" t="s">
        <v>1436</v>
      </c>
      <c r="C1494" s="160"/>
      <c r="D1494" s="23" t="s">
        <v>69</v>
      </c>
      <c r="E1494" s="24"/>
      <c r="F1494" s="37" t="s">
        <v>418</v>
      </c>
      <c r="G1494" s="25" t="str">
        <f>IF(ISNUMBER(F1494),E1494*F1494,"")</f>
        <v/>
      </c>
      <c r="H1494" s="26"/>
      <c r="I1494" s="27"/>
      <c r="J1494" s="125">
        <v>0</v>
      </c>
    </row>
    <row r="1495" spans="1:10" ht="15.75" hidden="1" thickBot="1" x14ac:dyDescent="0.3">
      <c r="A1495" s="235"/>
      <c r="B1495" s="238"/>
      <c r="C1495" s="151"/>
      <c r="D1495" s="29"/>
      <c r="E1495" s="30"/>
      <c r="F1495" s="38" t="s">
        <v>418</v>
      </c>
      <c r="G1495" s="28" t="str">
        <f>IF(ISNUMBER(F1495),E1495*F1495,"")</f>
        <v/>
      </c>
      <c r="H1495" s="32"/>
      <c r="I1495" s="28"/>
      <c r="J1495" s="125">
        <v>0</v>
      </c>
    </row>
    <row r="1496" spans="1:10" ht="15.75" hidden="1" thickBot="1" x14ac:dyDescent="0.3">
      <c r="A1496" s="235"/>
      <c r="B1496" s="238"/>
      <c r="C1496" s="155" t="s">
        <v>378</v>
      </c>
      <c r="D1496" s="33" t="s">
        <v>69</v>
      </c>
      <c r="E1496" s="34">
        <v>1.05</v>
      </c>
      <c r="F1496" s="28">
        <v>0.95</v>
      </c>
      <c r="G1496" s="31">
        <f>IF(ISNUMBER(F1496),E1496*F1496,"")</f>
        <v>0.99749999999999994</v>
      </c>
      <c r="H1496" s="35">
        <f>SUM(G1496:G1498)</f>
        <v>35.104875</v>
      </c>
      <c r="I1496" s="36"/>
      <c r="J1496" s="125">
        <v>0</v>
      </c>
    </row>
    <row r="1497" spans="1:10" ht="15.75" hidden="1" thickBot="1" x14ac:dyDescent="0.3">
      <c r="A1497" s="235"/>
      <c r="B1497" s="238"/>
      <c r="C1497" s="155" t="s">
        <v>1023</v>
      </c>
      <c r="D1497" s="155" t="s">
        <v>587</v>
      </c>
      <c r="E1497" s="34">
        <v>0.75</v>
      </c>
      <c r="F1497" s="28">
        <v>25.954000000000001</v>
      </c>
      <c r="G1497" s="31">
        <f>IF(ISNUMBER(F1497),E1497*F1497,"")</f>
        <v>19.465499999999999</v>
      </c>
      <c r="H1497" s="32"/>
      <c r="I1497" s="28"/>
      <c r="J1497" s="125">
        <v>0</v>
      </c>
    </row>
    <row r="1498" spans="1:10" ht="15.75" hidden="1" thickBot="1" x14ac:dyDescent="0.3">
      <c r="A1498" s="235"/>
      <c r="B1498" s="238"/>
      <c r="C1498" s="155" t="s">
        <v>1022</v>
      </c>
      <c r="D1498" s="155" t="s">
        <v>587</v>
      </c>
      <c r="E1498" s="34">
        <v>0.75</v>
      </c>
      <c r="F1498" s="28">
        <v>19.522500000000001</v>
      </c>
      <c r="G1498" s="31">
        <f>IF(ISNUMBER(F1498),E1498*F1498,"")</f>
        <v>14.641875000000001</v>
      </c>
      <c r="H1498" s="32"/>
      <c r="I1498" s="28"/>
      <c r="J1498" s="125">
        <v>0</v>
      </c>
    </row>
    <row r="1499" spans="1:10" ht="15.75" hidden="1" thickBot="1" x14ac:dyDescent="0.3">
      <c r="A1499" s="236"/>
      <c r="B1499" s="239"/>
      <c r="C1499" s="155"/>
      <c r="D1499" s="33"/>
      <c r="E1499" s="34"/>
      <c r="F1499" s="28" t="s">
        <v>418</v>
      </c>
      <c r="G1499" s="28" t="str">
        <f>IF(ISNUMBER(F1499),E1499*F1499,"")</f>
        <v/>
      </c>
      <c r="H1499" s="32"/>
      <c r="I1499" s="28"/>
      <c r="J1499" s="125">
        <v>0</v>
      </c>
    </row>
    <row r="1500" spans="1:10" ht="15.75" hidden="1" thickBot="1" x14ac:dyDescent="0.3">
      <c r="A1500" s="234" t="s">
        <v>379</v>
      </c>
      <c r="B1500" s="237" t="s">
        <v>1437</v>
      </c>
      <c r="C1500" s="160"/>
      <c r="D1500" s="23" t="s">
        <v>69</v>
      </c>
      <c r="E1500" s="24"/>
      <c r="F1500" s="37" t="s">
        <v>418</v>
      </c>
      <c r="G1500" s="25" t="str">
        <f>IF(ISNUMBER(F1500),E1500*F1500,"")</f>
        <v/>
      </c>
      <c r="H1500" s="26"/>
      <c r="I1500" s="27"/>
      <c r="J1500" s="125">
        <v>0</v>
      </c>
    </row>
    <row r="1501" spans="1:10" ht="15.75" hidden="1" thickBot="1" x14ac:dyDescent="0.3">
      <c r="A1501" s="235"/>
      <c r="B1501" s="238"/>
      <c r="C1501" s="151"/>
      <c r="D1501" s="29"/>
      <c r="E1501" s="30"/>
      <c r="F1501" s="38" t="s">
        <v>418</v>
      </c>
      <c r="G1501" s="28" t="str">
        <f>IF(ISNUMBER(F1501),E1501*F1501,"")</f>
        <v/>
      </c>
      <c r="H1501" s="32"/>
      <c r="I1501" s="28"/>
      <c r="J1501" s="125">
        <v>0</v>
      </c>
    </row>
    <row r="1502" spans="1:10" ht="15.75" hidden="1" thickBot="1" x14ac:dyDescent="0.3">
      <c r="A1502" s="235"/>
      <c r="B1502" s="238"/>
      <c r="C1502" s="155" t="s">
        <v>380</v>
      </c>
      <c r="D1502" s="33" t="s">
        <v>69</v>
      </c>
      <c r="E1502" s="34">
        <v>1.05</v>
      </c>
      <c r="F1502" s="28">
        <v>0.95</v>
      </c>
      <c r="G1502" s="31">
        <f>IF(ISNUMBER(F1502),E1502*F1502,"")</f>
        <v>0.99749999999999994</v>
      </c>
      <c r="H1502" s="35">
        <f>SUM(G1502:G1504)</f>
        <v>35.104875</v>
      </c>
      <c r="I1502" s="36"/>
      <c r="J1502" s="125">
        <v>0</v>
      </c>
    </row>
    <row r="1503" spans="1:10" ht="15.75" hidden="1" thickBot="1" x14ac:dyDescent="0.3">
      <c r="A1503" s="235"/>
      <c r="B1503" s="238"/>
      <c r="C1503" s="155" t="s">
        <v>1023</v>
      </c>
      <c r="D1503" s="155" t="s">
        <v>587</v>
      </c>
      <c r="E1503" s="34">
        <v>0.75</v>
      </c>
      <c r="F1503" s="28">
        <v>25.954000000000001</v>
      </c>
      <c r="G1503" s="31">
        <f>IF(ISNUMBER(F1503),E1503*F1503,"")</f>
        <v>19.465499999999999</v>
      </c>
      <c r="H1503" s="32"/>
      <c r="I1503" s="28"/>
      <c r="J1503" s="125">
        <v>0</v>
      </c>
    </row>
    <row r="1504" spans="1:10" ht="15.75" hidden="1" thickBot="1" x14ac:dyDescent="0.3">
      <c r="A1504" s="235"/>
      <c r="B1504" s="238"/>
      <c r="C1504" s="155" t="s">
        <v>1022</v>
      </c>
      <c r="D1504" s="155" t="s">
        <v>587</v>
      </c>
      <c r="E1504" s="34">
        <v>0.75</v>
      </c>
      <c r="F1504" s="28">
        <v>19.522500000000001</v>
      </c>
      <c r="G1504" s="31">
        <f>IF(ISNUMBER(F1504),E1504*F1504,"")</f>
        <v>14.641875000000001</v>
      </c>
      <c r="H1504" s="32"/>
      <c r="I1504" s="28"/>
      <c r="J1504" s="125">
        <v>0</v>
      </c>
    </row>
    <row r="1505" spans="1:10" ht="15.75" hidden="1" thickBot="1" x14ac:dyDescent="0.3">
      <c r="A1505" s="236"/>
      <c r="B1505" s="239"/>
      <c r="C1505" s="155"/>
      <c r="D1505" s="33"/>
      <c r="E1505" s="34"/>
      <c r="F1505" s="28" t="s">
        <v>418</v>
      </c>
      <c r="G1505" s="28" t="str">
        <f>IF(ISNUMBER(F1505),E1505*F1505,"")</f>
        <v/>
      </c>
      <c r="H1505" s="32"/>
      <c r="I1505" s="28"/>
      <c r="J1505" s="125">
        <v>0</v>
      </c>
    </row>
    <row r="1506" spans="1:10" ht="15.75" hidden="1" thickBot="1" x14ac:dyDescent="0.3">
      <c r="A1506" s="234" t="s">
        <v>381</v>
      </c>
      <c r="B1506" s="237" t="s">
        <v>1438</v>
      </c>
      <c r="C1506" s="160"/>
      <c r="D1506" s="23" t="s">
        <v>69</v>
      </c>
      <c r="E1506" s="24"/>
      <c r="F1506" s="37" t="s">
        <v>418</v>
      </c>
      <c r="G1506" s="25" t="str">
        <f>IF(ISNUMBER(F1506),E1506*F1506,"")</f>
        <v/>
      </c>
      <c r="H1506" s="26"/>
      <c r="I1506" s="27"/>
      <c r="J1506" s="125">
        <v>0</v>
      </c>
    </row>
    <row r="1507" spans="1:10" ht="15.75" hidden="1" thickBot="1" x14ac:dyDescent="0.3">
      <c r="A1507" s="235"/>
      <c r="B1507" s="238"/>
      <c r="C1507" s="151"/>
      <c r="D1507" s="29"/>
      <c r="E1507" s="30"/>
      <c r="F1507" s="38" t="s">
        <v>418</v>
      </c>
      <c r="G1507" s="28" t="str">
        <f>IF(ISNUMBER(F1507),E1507*F1507,"")</f>
        <v/>
      </c>
      <c r="H1507" s="32"/>
      <c r="I1507" s="28"/>
      <c r="J1507" s="125">
        <v>0</v>
      </c>
    </row>
    <row r="1508" spans="1:10" ht="15.75" hidden="1" thickBot="1" x14ac:dyDescent="0.3">
      <c r="A1508" s="235"/>
      <c r="B1508" s="238"/>
      <c r="C1508" s="155" t="s">
        <v>382</v>
      </c>
      <c r="D1508" s="33" t="s">
        <v>69</v>
      </c>
      <c r="E1508" s="34">
        <v>1.05</v>
      </c>
      <c r="F1508" s="28">
        <v>0.95</v>
      </c>
      <c r="G1508" s="31">
        <f>IF(ISNUMBER(F1508),E1508*F1508,"")</f>
        <v>0.99749999999999994</v>
      </c>
      <c r="H1508" s="35">
        <f>SUM(G1508:G1510)</f>
        <v>23.735750000000003</v>
      </c>
      <c r="I1508" s="36"/>
      <c r="J1508" s="125">
        <v>0</v>
      </c>
    </row>
    <row r="1509" spans="1:10" ht="15.75" hidden="1" thickBot="1" x14ac:dyDescent="0.3">
      <c r="A1509" s="235"/>
      <c r="B1509" s="238"/>
      <c r="C1509" s="155" t="s">
        <v>1023</v>
      </c>
      <c r="D1509" s="155" t="s">
        <v>587</v>
      </c>
      <c r="E1509" s="34">
        <v>0.5</v>
      </c>
      <c r="F1509" s="28">
        <v>25.954000000000001</v>
      </c>
      <c r="G1509" s="31">
        <f>IF(ISNUMBER(F1509),E1509*F1509,"")</f>
        <v>12.977</v>
      </c>
      <c r="H1509" s="32"/>
      <c r="I1509" s="28"/>
      <c r="J1509" s="125">
        <v>0</v>
      </c>
    </row>
    <row r="1510" spans="1:10" ht="15.75" hidden="1" thickBot="1" x14ac:dyDescent="0.3">
      <c r="A1510" s="235"/>
      <c r="B1510" s="238"/>
      <c r="C1510" s="155" t="s">
        <v>1022</v>
      </c>
      <c r="D1510" s="155" t="s">
        <v>587</v>
      </c>
      <c r="E1510" s="34">
        <v>0.5</v>
      </c>
      <c r="F1510" s="28">
        <v>19.522500000000001</v>
      </c>
      <c r="G1510" s="31">
        <f>IF(ISNUMBER(F1510),E1510*F1510,"")</f>
        <v>9.7612500000000004</v>
      </c>
      <c r="H1510" s="32"/>
      <c r="I1510" s="28"/>
      <c r="J1510" s="125">
        <v>0</v>
      </c>
    </row>
    <row r="1511" spans="1:10" ht="15.75" hidden="1" thickBot="1" x14ac:dyDescent="0.3">
      <c r="A1511" s="236"/>
      <c r="B1511" s="239"/>
      <c r="C1511" s="155"/>
      <c r="D1511" s="33"/>
      <c r="E1511" s="34"/>
      <c r="F1511" s="28" t="s">
        <v>418</v>
      </c>
      <c r="G1511" s="28" t="str">
        <f>IF(ISNUMBER(F1511),E1511*F1511,"")</f>
        <v/>
      </c>
      <c r="H1511" s="32"/>
      <c r="I1511" s="28"/>
      <c r="J1511" s="125">
        <v>0</v>
      </c>
    </row>
    <row r="1512" spans="1:10" ht="15.75" hidden="1" thickBot="1" x14ac:dyDescent="0.3">
      <c r="A1512" s="234" t="s">
        <v>383</v>
      </c>
      <c r="B1512" s="237" t="s">
        <v>1439</v>
      </c>
      <c r="C1512" s="160"/>
      <c r="D1512" s="23" t="s">
        <v>69</v>
      </c>
      <c r="E1512" s="24"/>
      <c r="F1512" s="37" t="s">
        <v>418</v>
      </c>
      <c r="G1512" s="25" t="str">
        <f>IF(ISNUMBER(F1512),E1512*F1512,"")</f>
        <v/>
      </c>
      <c r="H1512" s="26"/>
      <c r="I1512" s="27"/>
      <c r="J1512" s="125">
        <v>0</v>
      </c>
    </row>
    <row r="1513" spans="1:10" ht="15.75" hidden="1" thickBot="1" x14ac:dyDescent="0.3">
      <c r="A1513" s="235"/>
      <c r="B1513" s="238"/>
      <c r="C1513" s="151"/>
      <c r="D1513" s="29"/>
      <c r="E1513" s="30"/>
      <c r="F1513" s="38" t="s">
        <v>418</v>
      </c>
      <c r="G1513" s="28" t="str">
        <f>IF(ISNUMBER(F1513),E1513*F1513,"")</f>
        <v/>
      </c>
      <c r="H1513" s="32"/>
      <c r="I1513" s="28"/>
      <c r="J1513" s="125">
        <v>0</v>
      </c>
    </row>
    <row r="1514" spans="1:10" ht="15.75" hidden="1" thickBot="1" x14ac:dyDescent="0.3">
      <c r="A1514" s="235"/>
      <c r="B1514" s="238"/>
      <c r="C1514" s="155" t="s">
        <v>384</v>
      </c>
      <c r="D1514" s="33" t="s">
        <v>69</v>
      </c>
      <c r="E1514" s="34">
        <v>1.05</v>
      </c>
      <c r="F1514" s="28">
        <v>0.95</v>
      </c>
      <c r="G1514" s="31">
        <f>IF(ISNUMBER(F1514),E1514*F1514,"")</f>
        <v>0.99749999999999994</v>
      </c>
      <c r="H1514" s="35">
        <f>SUM(G1514:G1516)</f>
        <v>35.104875</v>
      </c>
      <c r="I1514" s="36"/>
      <c r="J1514" s="125">
        <v>0</v>
      </c>
    </row>
    <row r="1515" spans="1:10" ht="15.75" hidden="1" thickBot="1" x14ac:dyDescent="0.3">
      <c r="A1515" s="235"/>
      <c r="B1515" s="238"/>
      <c r="C1515" s="155" t="s">
        <v>1023</v>
      </c>
      <c r="D1515" s="155" t="s">
        <v>587</v>
      </c>
      <c r="E1515" s="34">
        <v>0.75</v>
      </c>
      <c r="F1515" s="28">
        <v>25.954000000000001</v>
      </c>
      <c r="G1515" s="31">
        <f>IF(ISNUMBER(F1515),E1515*F1515,"")</f>
        <v>19.465499999999999</v>
      </c>
      <c r="H1515" s="32"/>
      <c r="I1515" s="28"/>
      <c r="J1515" s="125">
        <v>0</v>
      </c>
    </row>
    <row r="1516" spans="1:10" ht="15.75" hidden="1" thickBot="1" x14ac:dyDescent="0.3">
      <c r="A1516" s="235"/>
      <c r="B1516" s="238"/>
      <c r="C1516" s="155" t="s">
        <v>1022</v>
      </c>
      <c r="D1516" s="155" t="s">
        <v>587</v>
      </c>
      <c r="E1516" s="34">
        <v>0.75</v>
      </c>
      <c r="F1516" s="28">
        <v>19.522500000000001</v>
      </c>
      <c r="G1516" s="31">
        <f>IF(ISNUMBER(F1516),E1516*F1516,"")</f>
        <v>14.641875000000001</v>
      </c>
      <c r="H1516" s="32"/>
      <c r="I1516" s="28"/>
      <c r="J1516" s="125">
        <v>0</v>
      </c>
    </row>
    <row r="1517" spans="1:10" ht="15.75" hidden="1" thickBot="1" x14ac:dyDescent="0.3">
      <c r="A1517" s="236"/>
      <c r="B1517" s="239"/>
      <c r="C1517" s="155"/>
      <c r="D1517" s="33"/>
      <c r="E1517" s="34"/>
      <c r="F1517" s="28" t="s">
        <v>418</v>
      </c>
      <c r="G1517" s="28" t="str">
        <f>IF(ISNUMBER(F1517),E1517*F1517,"")</f>
        <v/>
      </c>
      <c r="H1517" s="32"/>
      <c r="I1517" s="28"/>
      <c r="J1517" s="125">
        <v>0</v>
      </c>
    </row>
    <row r="1518" spans="1:10" ht="15.75" hidden="1" thickBot="1" x14ac:dyDescent="0.3">
      <c r="A1518" s="234" t="s">
        <v>386</v>
      </c>
      <c r="B1518" s="237" t="s">
        <v>1440</v>
      </c>
      <c r="C1518" s="160"/>
      <c r="D1518" s="23" t="s">
        <v>69</v>
      </c>
      <c r="E1518" s="24"/>
      <c r="F1518" s="37" t="s">
        <v>418</v>
      </c>
      <c r="G1518" s="25" t="str">
        <f>IF(ISNUMBER(F1518),E1518*F1518,"")</f>
        <v/>
      </c>
      <c r="H1518" s="26"/>
      <c r="I1518" s="27"/>
      <c r="J1518" s="125">
        <v>0</v>
      </c>
    </row>
    <row r="1519" spans="1:10" ht="15.75" hidden="1" thickBot="1" x14ac:dyDescent="0.3">
      <c r="A1519" s="235"/>
      <c r="B1519" s="238"/>
      <c r="C1519" s="151"/>
      <c r="D1519" s="29"/>
      <c r="E1519" s="30"/>
      <c r="F1519" s="38" t="s">
        <v>418</v>
      </c>
      <c r="G1519" s="28" t="str">
        <f>IF(ISNUMBER(F1519),E1519*F1519,"")</f>
        <v/>
      </c>
      <c r="H1519" s="32"/>
      <c r="I1519" s="28"/>
      <c r="J1519" s="125">
        <v>0</v>
      </c>
    </row>
    <row r="1520" spans="1:10" ht="15.75" hidden="1" thickBot="1" x14ac:dyDescent="0.3">
      <c r="A1520" s="235"/>
      <c r="B1520" s="238"/>
      <c r="C1520" s="155" t="s">
        <v>387</v>
      </c>
      <c r="D1520" s="33" t="s">
        <v>69</v>
      </c>
      <c r="E1520" s="34">
        <v>1.05</v>
      </c>
      <c r="F1520" s="28">
        <v>0.95</v>
      </c>
      <c r="G1520" s="31">
        <f>IF(ISNUMBER(F1520),E1520*F1520,"")</f>
        <v>0.99749999999999994</v>
      </c>
      <c r="H1520" s="35">
        <f>SUM(G1520:G1522)</f>
        <v>23.735750000000003</v>
      </c>
      <c r="I1520" s="36"/>
      <c r="J1520" s="125">
        <v>0</v>
      </c>
    </row>
    <row r="1521" spans="1:10" ht="15.75" hidden="1" thickBot="1" x14ac:dyDescent="0.3">
      <c r="A1521" s="235"/>
      <c r="B1521" s="238"/>
      <c r="C1521" s="155" t="s">
        <v>1023</v>
      </c>
      <c r="D1521" s="155" t="s">
        <v>587</v>
      </c>
      <c r="E1521" s="34">
        <v>0.5</v>
      </c>
      <c r="F1521" s="28">
        <v>25.954000000000001</v>
      </c>
      <c r="G1521" s="31">
        <f>IF(ISNUMBER(F1521),E1521*F1521,"")</f>
        <v>12.977</v>
      </c>
      <c r="H1521" s="32"/>
      <c r="I1521" s="28"/>
      <c r="J1521" s="125">
        <v>0</v>
      </c>
    </row>
    <row r="1522" spans="1:10" ht="15.75" hidden="1" thickBot="1" x14ac:dyDescent="0.3">
      <c r="A1522" s="235"/>
      <c r="B1522" s="238"/>
      <c r="C1522" s="155" t="s">
        <v>1022</v>
      </c>
      <c r="D1522" s="155" t="s">
        <v>587</v>
      </c>
      <c r="E1522" s="34">
        <v>0.5</v>
      </c>
      <c r="F1522" s="28">
        <v>19.522500000000001</v>
      </c>
      <c r="G1522" s="31">
        <f>IF(ISNUMBER(F1522),E1522*F1522,"")</f>
        <v>9.7612500000000004</v>
      </c>
      <c r="H1522" s="32"/>
      <c r="I1522" s="28"/>
      <c r="J1522" s="125">
        <v>0</v>
      </c>
    </row>
    <row r="1523" spans="1:10" ht="15.75" hidden="1" thickBot="1" x14ac:dyDescent="0.3">
      <c r="A1523" s="236"/>
      <c r="B1523" s="239"/>
      <c r="C1523" s="155"/>
      <c r="D1523" s="33"/>
      <c r="E1523" s="34"/>
      <c r="F1523" s="28" t="s">
        <v>418</v>
      </c>
      <c r="G1523" s="28" t="str">
        <f>IF(ISNUMBER(F1523),E1523*F1523,"")</f>
        <v/>
      </c>
      <c r="H1523" s="32"/>
      <c r="I1523" s="28"/>
      <c r="J1523" s="125">
        <v>0</v>
      </c>
    </row>
    <row r="1524" spans="1:10" ht="15.75" hidden="1" thickBot="1" x14ac:dyDescent="0.3">
      <c r="A1524" s="234" t="s">
        <v>388</v>
      </c>
      <c r="B1524" s="237" t="s">
        <v>19715</v>
      </c>
      <c r="C1524" s="160"/>
      <c r="D1524" s="23" t="s">
        <v>69</v>
      </c>
      <c r="E1524" s="24"/>
      <c r="F1524" s="37" t="s">
        <v>418</v>
      </c>
      <c r="G1524" s="25" t="str">
        <f>IF(ISNUMBER(F1524),E1524*F1524,"")</f>
        <v/>
      </c>
      <c r="H1524" s="26"/>
      <c r="I1524" s="27"/>
      <c r="J1524" s="125">
        <v>0</v>
      </c>
    </row>
    <row r="1525" spans="1:10" ht="15.75" hidden="1" thickBot="1" x14ac:dyDescent="0.3">
      <c r="A1525" s="235"/>
      <c r="B1525" s="238"/>
      <c r="C1525" s="151"/>
      <c r="D1525" s="29"/>
      <c r="E1525" s="30"/>
      <c r="F1525" s="38" t="s">
        <v>418</v>
      </c>
      <c r="G1525" s="28" t="str">
        <f>IF(ISNUMBER(F1525),E1525*F1525,"")</f>
        <v/>
      </c>
      <c r="H1525" s="32"/>
      <c r="I1525" s="28"/>
      <c r="J1525" s="125">
        <v>0</v>
      </c>
    </row>
    <row r="1526" spans="1:10" ht="26.25" hidden="1" thickBot="1" x14ac:dyDescent="0.3">
      <c r="A1526" s="235"/>
      <c r="B1526" s="238"/>
      <c r="C1526" s="155" t="s">
        <v>25272</v>
      </c>
      <c r="D1526" s="155" t="s">
        <v>385</v>
      </c>
      <c r="E1526" s="34">
        <v>1.1000000000000001</v>
      </c>
      <c r="F1526" s="31">
        <v>9.1199999999999992</v>
      </c>
      <c r="G1526" s="31">
        <f>IF(ISNUMBER(F1526),E1526*F1526,"")</f>
        <v>10.032</v>
      </c>
      <c r="H1526" s="35">
        <f>SUM(G1526:G1529)</f>
        <v>18.239239999999999</v>
      </c>
      <c r="I1526" s="36"/>
      <c r="J1526" s="125">
        <v>0</v>
      </c>
    </row>
    <row r="1527" spans="1:10" ht="15.75" hidden="1" thickBot="1" x14ac:dyDescent="0.3">
      <c r="A1527" s="235"/>
      <c r="B1527" s="238"/>
      <c r="C1527" s="155" t="s">
        <v>1023</v>
      </c>
      <c r="D1527" s="155" t="s">
        <v>587</v>
      </c>
      <c r="E1527" s="34">
        <v>0.105</v>
      </c>
      <c r="F1527" s="28">
        <v>25.954000000000001</v>
      </c>
      <c r="G1527" s="31">
        <f>IF(ISNUMBER(F1527),E1527*F1527,"")</f>
        <v>2.7251699999999999</v>
      </c>
      <c r="H1527" s="32"/>
      <c r="I1527" s="28"/>
      <c r="J1527" s="125">
        <v>0</v>
      </c>
    </row>
    <row r="1528" spans="1:10" ht="15.75" hidden="1" thickBot="1" x14ac:dyDescent="0.3">
      <c r="A1528" s="235"/>
      <c r="B1528" s="238"/>
      <c r="C1528" s="155" t="s">
        <v>1022</v>
      </c>
      <c r="D1528" s="155" t="s">
        <v>587</v>
      </c>
      <c r="E1528" s="34">
        <v>0.105</v>
      </c>
      <c r="F1528" s="28">
        <v>19.522500000000001</v>
      </c>
      <c r="G1528" s="31">
        <f>IF(ISNUMBER(F1528),E1528*F1528,"")</f>
        <v>2.0498625000000001</v>
      </c>
      <c r="H1528" s="32"/>
      <c r="I1528" s="28"/>
      <c r="J1528" s="125">
        <v>0</v>
      </c>
    </row>
    <row r="1529" spans="1:10" ht="51.75" hidden="1" thickBot="1" x14ac:dyDescent="0.3">
      <c r="A1529" s="235"/>
      <c r="B1529" s="238"/>
      <c r="C1529" s="155" t="s">
        <v>8119</v>
      </c>
      <c r="D1529" s="155" t="s">
        <v>385</v>
      </c>
      <c r="E1529" s="34">
        <v>1</v>
      </c>
      <c r="F1529" s="31">
        <v>3.4322075000000001</v>
      </c>
      <c r="G1529" s="28">
        <f>IF(ISNUMBER(F1529),E1529*F1529,"")</f>
        <v>3.4322075000000001</v>
      </c>
      <c r="H1529" s="32"/>
      <c r="I1529" s="28"/>
      <c r="J1529" s="125">
        <v>0</v>
      </c>
    </row>
    <row r="1530" spans="1:10" ht="15.75" hidden="1" thickBot="1" x14ac:dyDescent="0.3">
      <c r="A1530" s="236"/>
      <c r="B1530" s="239"/>
      <c r="C1530" s="155"/>
      <c r="D1530" s="33"/>
      <c r="E1530" s="34"/>
      <c r="F1530" s="28" t="s">
        <v>418</v>
      </c>
      <c r="G1530" s="28" t="str">
        <f>IF(ISNUMBER(F1530),E1530*F1530,"")</f>
        <v/>
      </c>
      <c r="H1530" s="32"/>
      <c r="I1530" s="28"/>
      <c r="J1530" s="125">
        <v>0</v>
      </c>
    </row>
    <row r="1531" spans="1:10" ht="15.75" hidden="1" thickBot="1" x14ac:dyDescent="0.3">
      <c r="A1531" s="234" t="s">
        <v>389</v>
      </c>
      <c r="B1531" s="237" t="s">
        <v>19716</v>
      </c>
      <c r="C1531" s="160"/>
      <c r="D1531" s="23" t="s">
        <v>69</v>
      </c>
      <c r="E1531" s="24"/>
      <c r="F1531" s="37" t="s">
        <v>418</v>
      </c>
      <c r="G1531" s="25" t="str">
        <f>IF(ISNUMBER(F1531),E1531*F1531,"")</f>
        <v/>
      </c>
      <c r="H1531" s="26"/>
      <c r="I1531" s="27"/>
      <c r="J1531" s="125">
        <v>0</v>
      </c>
    </row>
    <row r="1532" spans="1:10" ht="15.75" hidden="1" thickBot="1" x14ac:dyDescent="0.3">
      <c r="A1532" s="235"/>
      <c r="B1532" s="238"/>
      <c r="C1532" s="151"/>
      <c r="D1532" s="29"/>
      <c r="E1532" s="30"/>
      <c r="F1532" s="38" t="s">
        <v>418</v>
      </c>
      <c r="G1532" s="28" t="str">
        <f>IF(ISNUMBER(F1532),E1532*F1532,"")</f>
        <v/>
      </c>
      <c r="H1532" s="32"/>
      <c r="I1532" s="28"/>
      <c r="J1532" s="125">
        <v>0</v>
      </c>
    </row>
    <row r="1533" spans="1:10" ht="15.75" hidden="1" thickBot="1" x14ac:dyDescent="0.3">
      <c r="A1533" s="235"/>
      <c r="B1533" s="238"/>
      <c r="C1533" s="155" t="s">
        <v>1023</v>
      </c>
      <c r="D1533" s="155" t="s">
        <v>587</v>
      </c>
      <c r="E1533" s="34">
        <v>9.0999999999999998E-2</v>
      </c>
      <c r="F1533" s="28">
        <v>25.954000000000001</v>
      </c>
      <c r="G1533" s="28">
        <f>IF(ISNUMBER(F1533),E1533*F1533,"")</f>
        <v>2.3618139999999999</v>
      </c>
      <c r="H1533" s="35">
        <f>SUM(G1533:G1536)</f>
        <v>12.785119000000002</v>
      </c>
      <c r="I1533" s="36"/>
      <c r="J1533" s="125">
        <v>0</v>
      </c>
    </row>
    <row r="1534" spans="1:10" ht="15.75" hidden="1" thickBot="1" x14ac:dyDescent="0.3">
      <c r="A1534" s="235"/>
      <c r="B1534" s="238"/>
      <c r="C1534" s="155" t="s">
        <v>1022</v>
      </c>
      <c r="D1534" s="155" t="s">
        <v>587</v>
      </c>
      <c r="E1534" s="156">
        <v>9.0999999999999998E-2</v>
      </c>
      <c r="F1534" s="28">
        <v>19.522500000000001</v>
      </c>
      <c r="G1534" s="28">
        <f>IF(ISNUMBER(F1534),E1534*F1534,"")</f>
        <v>1.7765474999999999</v>
      </c>
      <c r="H1534" s="32"/>
      <c r="I1534" s="28"/>
      <c r="J1534" s="125">
        <v>0</v>
      </c>
    </row>
    <row r="1535" spans="1:10" ht="26.25" hidden="1" thickBot="1" x14ac:dyDescent="0.3">
      <c r="A1535" s="235"/>
      <c r="B1535" s="238"/>
      <c r="C1535" s="155" t="s">
        <v>25271</v>
      </c>
      <c r="D1535" s="155" t="s">
        <v>385</v>
      </c>
      <c r="E1535" s="34">
        <v>1.1000000000000001</v>
      </c>
      <c r="F1535" s="31">
        <v>4.7404999999999999</v>
      </c>
      <c r="G1535" s="28">
        <f>IF(ISNUMBER(F1535),E1535*F1535,"")</f>
        <v>5.21455</v>
      </c>
      <c r="H1535" s="32"/>
      <c r="I1535" s="28"/>
      <c r="J1535" s="125">
        <v>0</v>
      </c>
    </row>
    <row r="1536" spans="1:10" ht="51.75" hidden="1" thickBot="1" x14ac:dyDescent="0.3">
      <c r="A1536" s="235"/>
      <c r="B1536" s="238"/>
      <c r="C1536" s="155" t="s">
        <v>8119</v>
      </c>
      <c r="D1536" s="155" t="s">
        <v>385</v>
      </c>
      <c r="E1536" s="34">
        <v>1</v>
      </c>
      <c r="F1536" s="31">
        <v>3.4322075000000001</v>
      </c>
      <c r="G1536" s="28">
        <f>IF(ISNUMBER(F1536),E1536*F1536,"")</f>
        <v>3.4322075000000001</v>
      </c>
      <c r="H1536" s="32"/>
      <c r="I1536" s="28"/>
      <c r="J1536" s="125">
        <v>0</v>
      </c>
    </row>
    <row r="1537" spans="1:10" ht="15.75" hidden="1" thickBot="1" x14ac:dyDescent="0.3">
      <c r="A1537" s="236"/>
      <c r="B1537" s="239"/>
      <c r="C1537" s="155"/>
      <c r="D1537" s="33"/>
      <c r="E1537" s="34"/>
      <c r="F1537" s="28" t="s">
        <v>418</v>
      </c>
      <c r="G1537" s="28" t="str">
        <f>IF(ISNUMBER(F1537),E1537*F1537,"")</f>
        <v/>
      </c>
      <c r="H1537" s="32"/>
      <c r="I1537" s="28"/>
      <c r="J1537" s="125">
        <v>0</v>
      </c>
    </row>
    <row r="1538" spans="1:10" ht="15.75" hidden="1" thickBot="1" x14ac:dyDescent="0.3">
      <c r="A1538" s="234" t="s">
        <v>390</v>
      </c>
      <c r="B1538" s="237" t="s">
        <v>1441</v>
      </c>
      <c r="C1538" s="160"/>
      <c r="D1538" s="23" t="s">
        <v>69</v>
      </c>
      <c r="E1538" s="24"/>
      <c r="F1538" s="37" t="s">
        <v>418</v>
      </c>
      <c r="G1538" s="25" t="str">
        <f>IF(ISNUMBER(F1538),E1538*F1538,"")</f>
        <v/>
      </c>
      <c r="H1538" s="26"/>
      <c r="I1538" s="27"/>
      <c r="J1538" s="125">
        <v>0</v>
      </c>
    </row>
    <row r="1539" spans="1:10" ht="15.75" hidden="1" thickBot="1" x14ac:dyDescent="0.3">
      <c r="A1539" s="235"/>
      <c r="B1539" s="238"/>
      <c r="C1539" s="151"/>
      <c r="D1539" s="29"/>
      <c r="E1539" s="30"/>
      <c r="F1539" s="38" t="s">
        <v>418</v>
      </c>
      <c r="G1539" s="28" t="str">
        <f>IF(ISNUMBER(F1539),E1539*F1539,"")</f>
        <v/>
      </c>
      <c r="H1539" s="32"/>
      <c r="I1539" s="28"/>
      <c r="J1539" s="125">
        <v>0</v>
      </c>
    </row>
    <row r="1540" spans="1:10" ht="39" hidden="1" thickBot="1" x14ac:dyDescent="0.3">
      <c r="A1540" s="235"/>
      <c r="B1540" s="238"/>
      <c r="C1540" s="155" t="s">
        <v>25254</v>
      </c>
      <c r="D1540" s="155" t="s">
        <v>385</v>
      </c>
      <c r="E1540" s="34">
        <v>1.1000000000000001</v>
      </c>
      <c r="F1540" s="31">
        <v>14.762999999999998</v>
      </c>
      <c r="G1540" s="28">
        <f>IF(ISNUMBER(F1540),E1540*F1540,"")</f>
        <v>16.2393</v>
      </c>
      <c r="H1540" s="35">
        <f>SUM(G1540:G1543)</f>
        <v>20.203098999999998</v>
      </c>
      <c r="I1540" s="36"/>
      <c r="J1540" s="125">
        <v>0</v>
      </c>
    </row>
    <row r="1541" spans="1:10" ht="26.25" hidden="1" thickBot="1" x14ac:dyDescent="0.3">
      <c r="A1541" s="235"/>
      <c r="B1541" s="238"/>
      <c r="C1541" s="155" t="s">
        <v>10385</v>
      </c>
      <c r="D1541" s="155" t="s">
        <v>774</v>
      </c>
      <c r="E1541" s="34">
        <v>2E-3</v>
      </c>
      <c r="F1541" s="31">
        <v>26.41</v>
      </c>
      <c r="G1541" s="28">
        <f>IF(ISNUMBER(F1541),E1541*F1541,"")</f>
        <v>5.2819999999999999E-2</v>
      </c>
      <c r="H1541" s="32"/>
      <c r="I1541" s="28"/>
      <c r="J1541" s="125">
        <v>0</v>
      </c>
    </row>
    <row r="1542" spans="1:10" ht="15.75" hidden="1" thickBot="1" x14ac:dyDescent="0.3">
      <c r="A1542" s="235"/>
      <c r="B1542" s="238"/>
      <c r="C1542" s="155" t="s">
        <v>1022</v>
      </c>
      <c r="D1542" s="155" t="s">
        <v>587</v>
      </c>
      <c r="E1542" s="34">
        <v>8.5999999999999993E-2</v>
      </c>
      <c r="F1542" s="28">
        <v>19.522500000000001</v>
      </c>
      <c r="G1542" s="28">
        <f>IF(ISNUMBER(F1542),E1542*F1542,"")</f>
        <v>1.6789349999999998</v>
      </c>
      <c r="H1542" s="32"/>
      <c r="I1542" s="28"/>
      <c r="J1542" s="125">
        <v>0</v>
      </c>
    </row>
    <row r="1543" spans="1:10" ht="15.75" hidden="1" thickBot="1" x14ac:dyDescent="0.3">
      <c r="A1543" s="235"/>
      <c r="B1543" s="238"/>
      <c r="C1543" s="155" t="s">
        <v>1023</v>
      </c>
      <c r="D1543" s="155" t="s">
        <v>587</v>
      </c>
      <c r="E1543" s="156">
        <v>8.5999999999999993E-2</v>
      </c>
      <c r="F1543" s="28">
        <v>25.954000000000001</v>
      </c>
      <c r="G1543" s="28">
        <f>IF(ISNUMBER(F1543),E1543*F1543,"")</f>
        <v>2.2320439999999997</v>
      </c>
      <c r="H1543" s="32"/>
      <c r="I1543" s="28"/>
      <c r="J1543" s="125">
        <v>0</v>
      </c>
    </row>
    <row r="1544" spans="1:10" ht="15.75" hidden="1" thickBot="1" x14ac:dyDescent="0.3">
      <c r="A1544" s="236"/>
      <c r="B1544" s="239"/>
      <c r="C1544" s="155"/>
      <c r="D1544" s="33"/>
      <c r="E1544" s="34"/>
      <c r="F1544" s="28" t="s">
        <v>418</v>
      </c>
      <c r="G1544" s="28" t="str">
        <f>IF(ISNUMBER(F1544),E1544*F1544,"")</f>
        <v/>
      </c>
      <c r="H1544" s="32"/>
      <c r="I1544" s="28"/>
      <c r="J1544" s="125">
        <v>0</v>
      </c>
    </row>
    <row r="1545" spans="1:10" ht="15.75" hidden="1" thickBot="1" x14ac:dyDescent="0.3">
      <c r="A1545" s="234" t="s">
        <v>391</v>
      </c>
      <c r="B1545" s="237" t="s">
        <v>1442</v>
      </c>
      <c r="C1545" s="160"/>
      <c r="D1545" s="23" t="s">
        <v>69</v>
      </c>
      <c r="E1545" s="24"/>
      <c r="F1545" s="37" t="s">
        <v>418</v>
      </c>
      <c r="G1545" s="25" t="str">
        <f>IF(ISNUMBER(F1545),E1545*F1545,"")</f>
        <v/>
      </c>
      <c r="H1545" s="26"/>
      <c r="I1545" s="27"/>
      <c r="J1545" s="125">
        <v>0</v>
      </c>
    </row>
    <row r="1546" spans="1:10" ht="15.75" hidden="1" thickBot="1" x14ac:dyDescent="0.3">
      <c r="A1546" s="235"/>
      <c r="B1546" s="238"/>
      <c r="C1546" s="151"/>
      <c r="D1546" s="29"/>
      <c r="E1546" s="30"/>
      <c r="F1546" s="38" t="s">
        <v>418</v>
      </c>
      <c r="G1546" s="28" t="str">
        <f>IF(ISNUMBER(F1546),E1546*F1546,"")</f>
        <v/>
      </c>
      <c r="H1546" s="32"/>
      <c r="I1546" s="28"/>
      <c r="J1546" s="125">
        <v>0</v>
      </c>
    </row>
    <row r="1547" spans="1:10" ht="39" hidden="1" thickBot="1" x14ac:dyDescent="0.3">
      <c r="A1547" s="235"/>
      <c r="B1547" s="238"/>
      <c r="C1547" s="155" t="s">
        <v>25253</v>
      </c>
      <c r="D1547" s="155" t="s">
        <v>385</v>
      </c>
      <c r="E1547" s="34">
        <v>1.1000000000000001</v>
      </c>
      <c r="F1547" s="31">
        <v>11.257499999999999</v>
      </c>
      <c r="G1547" s="31">
        <f>IF(ISNUMBER(F1547),E1547*F1547,"")</f>
        <v>12.383249999999999</v>
      </c>
      <c r="H1547" s="35">
        <f>SUM(G1547:G1550)</f>
        <v>15.659619499999998</v>
      </c>
      <c r="I1547" s="36"/>
      <c r="J1547" s="125">
        <v>0</v>
      </c>
    </row>
    <row r="1548" spans="1:10" ht="26.25" hidden="1" thickBot="1" x14ac:dyDescent="0.3">
      <c r="A1548" s="235"/>
      <c r="B1548" s="238"/>
      <c r="C1548" s="155" t="s">
        <v>10385</v>
      </c>
      <c r="D1548" s="155" t="s">
        <v>774</v>
      </c>
      <c r="E1548" s="34">
        <v>1.8E-3</v>
      </c>
      <c r="F1548" s="31">
        <v>26.41</v>
      </c>
      <c r="G1548" s="31">
        <f>IF(ISNUMBER(F1548),E1548*F1548,"")</f>
        <v>4.7537999999999997E-2</v>
      </c>
      <c r="H1548" s="32"/>
      <c r="I1548" s="28"/>
      <c r="J1548" s="125">
        <v>0</v>
      </c>
    </row>
    <row r="1549" spans="1:10" ht="15.75" hidden="1" thickBot="1" x14ac:dyDescent="0.3">
      <c r="A1549" s="235"/>
      <c r="B1549" s="238"/>
      <c r="C1549" s="155" t="s">
        <v>1022</v>
      </c>
      <c r="D1549" s="155" t="s">
        <v>587</v>
      </c>
      <c r="E1549" s="34">
        <v>7.0999999999999994E-2</v>
      </c>
      <c r="F1549" s="28">
        <v>19.522500000000001</v>
      </c>
      <c r="G1549" s="31">
        <f>IF(ISNUMBER(F1549),E1549*F1549,"")</f>
        <v>1.3860975</v>
      </c>
      <c r="H1549" s="32"/>
      <c r="I1549" s="28"/>
      <c r="J1549" s="125">
        <v>0</v>
      </c>
    </row>
    <row r="1550" spans="1:10" ht="15.75" hidden="1" thickBot="1" x14ac:dyDescent="0.3">
      <c r="A1550" s="235"/>
      <c r="B1550" s="238"/>
      <c r="C1550" s="155" t="s">
        <v>1023</v>
      </c>
      <c r="D1550" s="155" t="s">
        <v>587</v>
      </c>
      <c r="E1550" s="156">
        <v>7.0999999999999994E-2</v>
      </c>
      <c r="F1550" s="28">
        <v>25.954000000000001</v>
      </c>
      <c r="G1550" s="31">
        <f>IF(ISNUMBER(F1550),E1550*F1550,"")</f>
        <v>1.8427339999999999</v>
      </c>
      <c r="H1550" s="32"/>
      <c r="I1550" s="28"/>
      <c r="J1550" s="125">
        <v>0</v>
      </c>
    </row>
    <row r="1551" spans="1:10" ht="15.75" hidden="1" thickBot="1" x14ac:dyDescent="0.3">
      <c r="A1551" s="236"/>
      <c r="B1551" s="239"/>
      <c r="C1551" s="155"/>
      <c r="D1551" s="33"/>
      <c r="E1551" s="34"/>
      <c r="F1551" s="28" t="s">
        <v>418</v>
      </c>
      <c r="G1551" s="28" t="str">
        <f>IF(ISNUMBER(F1551),E1551*F1551,"")</f>
        <v/>
      </c>
      <c r="H1551" s="32"/>
      <c r="I1551" s="28"/>
      <c r="J1551" s="125">
        <v>0</v>
      </c>
    </row>
    <row r="1552" spans="1:10" ht="15.75" hidden="1" thickBot="1" x14ac:dyDescent="0.3">
      <c r="A1552" s="234" t="s">
        <v>392</v>
      </c>
      <c r="B1552" s="237" t="s">
        <v>19717</v>
      </c>
      <c r="C1552" s="160"/>
      <c r="D1552" s="23" t="s">
        <v>69</v>
      </c>
      <c r="E1552" s="24"/>
      <c r="F1552" s="37" t="s">
        <v>418</v>
      </c>
      <c r="G1552" s="25" t="str">
        <f>IF(ISNUMBER(F1552),E1552*F1552,"")</f>
        <v/>
      </c>
      <c r="H1552" s="26"/>
      <c r="I1552" s="27"/>
      <c r="J1552" s="125">
        <v>0</v>
      </c>
    </row>
    <row r="1553" spans="1:10" ht="15.75" hidden="1" thickBot="1" x14ac:dyDescent="0.3">
      <c r="A1553" s="235"/>
      <c r="B1553" s="238"/>
      <c r="C1553" s="151"/>
      <c r="D1553" s="29"/>
      <c r="E1553" s="30"/>
      <c r="F1553" s="38" t="s">
        <v>418</v>
      </c>
      <c r="G1553" s="28" t="str">
        <f>IF(ISNUMBER(F1553),E1553*F1553,"")</f>
        <v/>
      </c>
      <c r="H1553" s="32"/>
      <c r="I1553" s="28"/>
      <c r="J1553" s="125">
        <v>0</v>
      </c>
    </row>
    <row r="1554" spans="1:10" ht="15.75" hidden="1" thickBot="1" x14ac:dyDescent="0.3">
      <c r="A1554" s="235"/>
      <c r="B1554" s="238"/>
      <c r="C1554" s="155" t="s">
        <v>393</v>
      </c>
      <c r="D1554" s="33" t="s">
        <v>69</v>
      </c>
      <c r="E1554" s="34">
        <v>1.05</v>
      </c>
      <c r="F1554" s="31" t="s">
        <v>418</v>
      </c>
      <c r="G1554" s="31" t="str">
        <f>IF(ISNUMBER(F1554),E1554*F1554,"")</f>
        <v/>
      </c>
      <c r="H1554" s="35">
        <f>SUM(G1554:G1565)</f>
        <v>29.127242250000009</v>
      </c>
      <c r="I1554" s="36"/>
      <c r="J1554" s="125">
        <v>0</v>
      </c>
    </row>
    <row r="1555" spans="1:10" ht="15.75" hidden="1" thickBot="1" x14ac:dyDescent="0.3">
      <c r="A1555" s="235"/>
      <c r="B1555" s="238"/>
      <c r="C1555" s="155" t="s">
        <v>1022</v>
      </c>
      <c r="D1555" s="155" t="s">
        <v>587</v>
      </c>
      <c r="E1555" s="34">
        <v>0.45</v>
      </c>
      <c r="F1555" s="28">
        <v>19.522500000000001</v>
      </c>
      <c r="G1555" s="31">
        <f>IF(ISNUMBER(F1555),E1555*F1555,"")</f>
        <v>8.7851250000000007</v>
      </c>
      <c r="H1555" s="32"/>
      <c r="I1555" s="28"/>
      <c r="J1555" s="125">
        <v>0</v>
      </c>
    </row>
    <row r="1556" spans="1:10" ht="15.75" hidden="1" thickBot="1" x14ac:dyDescent="0.3">
      <c r="A1556" s="235"/>
      <c r="B1556" s="238"/>
      <c r="C1556" s="155" t="s">
        <v>1023</v>
      </c>
      <c r="D1556" s="155" t="s">
        <v>587</v>
      </c>
      <c r="E1556" s="34">
        <v>0.45</v>
      </c>
      <c r="F1556" s="28">
        <v>25.954000000000001</v>
      </c>
      <c r="G1556" s="31">
        <f>IF(ISNUMBER(F1556),E1556*F1556,"")</f>
        <v>11.679300000000001</v>
      </c>
      <c r="H1556" s="32"/>
      <c r="I1556" s="28"/>
      <c r="J1556" s="125">
        <v>0</v>
      </c>
    </row>
    <row r="1557" spans="1:10" ht="26.25" hidden="1" thickBot="1" x14ac:dyDescent="0.3">
      <c r="A1557" s="235"/>
      <c r="B1557" s="238"/>
      <c r="C1557" s="155" t="s">
        <v>337</v>
      </c>
      <c r="D1557" s="33" t="s">
        <v>97</v>
      </c>
      <c r="E1557" s="34">
        <v>0.67</v>
      </c>
      <c r="F1557" s="28">
        <v>0.95</v>
      </c>
      <c r="G1557" s="31">
        <f>IF(ISNUMBER(F1557),E1557*F1557,"")</f>
        <v>0.63649999999999995</v>
      </c>
      <c r="H1557" s="32"/>
      <c r="I1557" s="28"/>
      <c r="J1557" s="125">
        <v>0</v>
      </c>
    </row>
    <row r="1558" spans="1:10" ht="15.75" hidden="1" thickBot="1" x14ac:dyDescent="0.3">
      <c r="A1558" s="235"/>
      <c r="B1558" s="238"/>
      <c r="C1558" s="155" t="s">
        <v>395</v>
      </c>
      <c r="D1558" s="33" t="s">
        <v>97</v>
      </c>
      <c r="E1558" s="34">
        <v>0.67</v>
      </c>
      <c r="F1558" s="28">
        <v>0.95</v>
      </c>
      <c r="G1558" s="31">
        <f>IF(ISNUMBER(F1558),E1558*F1558,"")</f>
        <v>0.63649999999999995</v>
      </c>
      <c r="H1558" s="32"/>
      <c r="I1558" s="28"/>
      <c r="J1558" s="125">
        <v>0</v>
      </c>
    </row>
    <row r="1559" spans="1:10" ht="15.75" hidden="1" thickBot="1" x14ac:dyDescent="0.3">
      <c r="A1559" s="235"/>
      <c r="B1559" s="238"/>
      <c r="C1559" s="155" t="s">
        <v>340</v>
      </c>
      <c r="D1559" s="33" t="s">
        <v>69</v>
      </c>
      <c r="E1559" s="34">
        <v>0.8</v>
      </c>
      <c r="F1559" s="28">
        <v>0.95</v>
      </c>
      <c r="G1559" s="31">
        <f>IF(ISNUMBER(F1559),E1559*F1559,"")</f>
        <v>0.76</v>
      </c>
      <c r="H1559" s="32"/>
      <c r="I1559" s="28"/>
      <c r="J1559" s="125">
        <v>0</v>
      </c>
    </row>
    <row r="1560" spans="1:10" ht="15.75" hidden="1" thickBot="1" x14ac:dyDescent="0.3">
      <c r="A1560" s="235"/>
      <c r="B1560" s="238"/>
      <c r="C1560" s="155" t="s">
        <v>341</v>
      </c>
      <c r="D1560" s="155" t="s">
        <v>205</v>
      </c>
      <c r="E1560" s="34">
        <v>2.6633</v>
      </c>
      <c r="F1560" s="31">
        <v>0.33249999999999996</v>
      </c>
      <c r="G1560" s="31">
        <f>IF(ISNUMBER(F1560),E1560*F1560,"")</f>
        <v>0.8855472499999999</v>
      </c>
      <c r="H1560" s="32"/>
      <c r="I1560" s="28"/>
      <c r="J1560" s="125">
        <v>0</v>
      </c>
    </row>
    <row r="1561" spans="1:10" ht="15.75" hidden="1" thickBot="1" x14ac:dyDescent="0.3">
      <c r="A1561" s="235"/>
      <c r="B1561" s="238"/>
      <c r="C1561" s="155" t="s">
        <v>342</v>
      </c>
      <c r="D1561" s="33" t="s">
        <v>97</v>
      </c>
      <c r="E1561" s="34">
        <v>2.6633</v>
      </c>
      <c r="F1561" s="28">
        <v>0.95</v>
      </c>
      <c r="G1561" s="31">
        <f>IF(ISNUMBER(F1561),E1561*F1561,"")</f>
        <v>2.530135</v>
      </c>
      <c r="H1561" s="32"/>
      <c r="I1561" s="28"/>
      <c r="J1561" s="125">
        <v>0</v>
      </c>
    </row>
    <row r="1562" spans="1:10" ht="15.75" hidden="1" thickBot="1" x14ac:dyDescent="0.3">
      <c r="A1562" s="235"/>
      <c r="B1562" s="238"/>
      <c r="C1562" s="155" t="s">
        <v>344</v>
      </c>
      <c r="D1562" s="33" t="s">
        <v>97</v>
      </c>
      <c r="E1562" s="34">
        <v>0.67</v>
      </c>
      <c r="F1562" s="28">
        <v>0.95</v>
      </c>
      <c r="G1562" s="31">
        <f>IF(ISNUMBER(F1562),E1562*F1562,"")</f>
        <v>0.63649999999999995</v>
      </c>
      <c r="H1562" s="32"/>
      <c r="I1562" s="28"/>
      <c r="J1562" s="125">
        <v>0</v>
      </c>
    </row>
    <row r="1563" spans="1:10" ht="15.75" hidden="1" thickBot="1" x14ac:dyDescent="0.3">
      <c r="A1563" s="235"/>
      <c r="B1563" s="238"/>
      <c r="C1563" s="155" t="s">
        <v>345</v>
      </c>
      <c r="D1563" s="33" t="s">
        <v>16</v>
      </c>
      <c r="E1563" s="34">
        <v>1.33</v>
      </c>
      <c r="F1563" s="28">
        <v>0.95</v>
      </c>
      <c r="G1563" s="31">
        <f>IF(ISNUMBER(F1563),E1563*F1563,"")</f>
        <v>1.2635000000000001</v>
      </c>
      <c r="H1563" s="32"/>
      <c r="I1563" s="28"/>
      <c r="J1563" s="125">
        <v>0</v>
      </c>
    </row>
    <row r="1564" spans="1:10" ht="15.75" hidden="1" thickBot="1" x14ac:dyDescent="0.3">
      <c r="A1564" s="235"/>
      <c r="B1564" s="238"/>
      <c r="C1564" s="155" t="s">
        <v>396</v>
      </c>
      <c r="D1564" s="33" t="s">
        <v>97</v>
      </c>
      <c r="E1564" s="34">
        <v>0.33329999999999999</v>
      </c>
      <c r="F1564" s="28">
        <v>0.95</v>
      </c>
      <c r="G1564" s="31">
        <f>IF(ISNUMBER(F1564),E1564*F1564,"")</f>
        <v>0.31663499999999994</v>
      </c>
      <c r="H1564" s="32"/>
      <c r="I1564" s="28"/>
      <c r="J1564" s="125">
        <v>0</v>
      </c>
    </row>
    <row r="1565" spans="1:10" ht="15.75" hidden="1" thickBot="1" x14ac:dyDescent="0.3">
      <c r="A1565" s="235"/>
      <c r="B1565" s="238"/>
      <c r="C1565" s="155" t="s">
        <v>397</v>
      </c>
      <c r="D1565" s="33" t="s">
        <v>69</v>
      </c>
      <c r="E1565" s="34">
        <v>1.05</v>
      </c>
      <c r="F1565" s="28">
        <v>0.95</v>
      </c>
      <c r="G1565" s="31">
        <f>IF(ISNUMBER(F1565),E1565*F1565,"")</f>
        <v>0.99749999999999994</v>
      </c>
      <c r="H1565" s="32"/>
      <c r="I1565" s="28"/>
      <c r="J1565" s="125">
        <v>0</v>
      </c>
    </row>
    <row r="1566" spans="1:10" ht="15.75" hidden="1" thickBot="1" x14ac:dyDescent="0.3">
      <c r="A1566" s="236"/>
      <c r="B1566" s="239"/>
      <c r="C1566" s="155"/>
      <c r="D1566" s="33"/>
      <c r="E1566" s="34"/>
      <c r="F1566" s="28" t="s">
        <v>418</v>
      </c>
      <c r="G1566" s="28" t="str">
        <f>IF(ISNUMBER(F1566),E1566*F1566,"")</f>
        <v/>
      </c>
      <c r="H1566" s="32"/>
      <c r="I1566" s="28"/>
      <c r="J1566" s="125">
        <v>0</v>
      </c>
    </row>
    <row r="1567" spans="1:10" ht="15.75" hidden="1" thickBot="1" x14ac:dyDescent="0.3">
      <c r="A1567" s="234" t="s">
        <v>398</v>
      </c>
      <c r="B1567" s="237" t="s">
        <v>19718</v>
      </c>
      <c r="C1567" s="160"/>
      <c r="D1567" s="23" t="s">
        <v>16</v>
      </c>
      <c r="E1567" s="24"/>
      <c r="F1567" s="37" t="s">
        <v>418</v>
      </c>
      <c r="G1567" s="25" t="str">
        <f>IF(ISNUMBER(F1567),E1567*F1567,"")</f>
        <v/>
      </c>
      <c r="H1567" s="26"/>
      <c r="I1567" s="27"/>
      <c r="J1567" s="125">
        <v>0</v>
      </c>
    </row>
    <row r="1568" spans="1:10" ht="15.75" hidden="1" thickBot="1" x14ac:dyDescent="0.3">
      <c r="A1568" s="235"/>
      <c r="B1568" s="238"/>
      <c r="C1568" s="151"/>
      <c r="D1568" s="29"/>
      <c r="E1568" s="30"/>
      <c r="F1568" s="38" t="s">
        <v>418</v>
      </c>
      <c r="G1568" s="28" t="str">
        <f>IF(ISNUMBER(F1568),E1568*F1568,"")</f>
        <v/>
      </c>
      <c r="H1568" s="32"/>
      <c r="I1568" s="28"/>
      <c r="J1568" s="125">
        <v>0</v>
      </c>
    </row>
    <row r="1569" spans="1:10" ht="26.25" hidden="1" thickBot="1" x14ac:dyDescent="0.3">
      <c r="A1569" s="235"/>
      <c r="B1569" s="238"/>
      <c r="C1569" s="155" t="s">
        <v>25385</v>
      </c>
      <c r="D1569" s="155" t="s">
        <v>205</v>
      </c>
      <c r="E1569" s="34">
        <v>1</v>
      </c>
      <c r="F1569" s="31">
        <v>3.61</v>
      </c>
      <c r="G1569" s="31">
        <f>IF(ISNUMBER(F1569),E1569*F1569,"")</f>
        <v>3.61</v>
      </c>
      <c r="H1569" s="35">
        <f>SUM(G1569:G1572)</f>
        <v>9.619861499999999</v>
      </c>
      <c r="I1569" s="36"/>
      <c r="J1569" s="125">
        <v>0</v>
      </c>
    </row>
    <row r="1570" spans="1:10" ht="39" hidden="1" thickBot="1" x14ac:dyDescent="0.3">
      <c r="A1570" s="235"/>
      <c r="B1570" s="238"/>
      <c r="C1570" s="155" t="s">
        <v>27416</v>
      </c>
      <c r="D1570" s="155" t="s">
        <v>205</v>
      </c>
      <c r="E1570" s="34">
        <v>1</v>
      </c>
      <c r="F1570" s="31">
        <v>1.8714999999999999</v>
      </c>
      <c r="G1570" s="31">
        <f>IF(ISNUMBER(F1570),E1570*F1570,"")</f>
        <v>1.8714999999999999</v>
      </c>
      <c r="H1570" s="32"/>
      <c r="I1570" s="28"/>
      <c r="J1570" s="125">
        <v>0</v>
      </c>
    </row>
    <row r="1571" spans="1:10" s="144" customFormat="1" ht="15.75" hidden="1" thickBot="1" x14ac:dyDescent="0.3">
      <c r="A1571" s="235"/>
      <c r="B1571" s="238"/>
      <c r="C1571" s="155" t="s">
        <v>1022</v>
      </c>
      <c r="D1571" s="155" t="s">
        <v>587</v>
      </c>
      <c r="E1571" s="156">
        <v>9.0999999999999998E-2</v>
      </c>
      <c r="F1571" s="28">
        <v>19.522500000000001</v>
      </c>
      <c r="G1571" s="31">
        <f>IF(ISNUMBER(F1571),E1571*F1571,"")</f>
        <v>1.7765474999999999</v>
      </c>
      <c r="H1571" s="32"/>
      <c r="I1571" s="28"/>
      <c r="J1571" s="125">
        <v>0</v>
      </c>
    </row>
    <row r="1572" spans="1:10" ht="15.75" hidden="1" thickBot="1" x14ac:dyDescent="0.3">
      <c r="A1572" s="235"/>
      <c r="B1572" s="238"/>
      <c r="C1572" s="155" t="s">
        <v>1023</v>
      </c>
      <c r="D1572" s="155" t="s">
        <v>587</v>
      </c>
      <c r="E1572" s="34">
        <v>9.0999999999999998E-2</v>
      </c>
      <c r="F1572" s="28">
        <v>25.954000000000001</v>
      </c>
      <c r="G1572" s="31">
        <f>IF(ISNUMBER(F1572),E1572*F1572,"")</f>
        <v>2.3618139999999999</v>
      </c>
      <c r="H1572" s="32"/>
      <c r="I1572" s="28"/>
      <c r="J1572" s="125">
        <v>0</v>
      </c>
    </row>
    <row r="1573" spans="1:10" ht="15.75" hidden="1" thickBot="1" x14ac:dyDescent="0.3">
      <c r="A1573" s="236"/>
      <c r="B1573" s="239"/>
      <c r="C1573" s="155"/>
      <c r="D1573" s="33"/>
      <c r="E1573" s="34"/>
      <c r="F1573" s="28" t="s">
        <v>418</v>
      </c>
      <c r="G1573" s="28" t="str">
        <f>IF(ISNUMBER(F1573),E1573*F1573,"")</f>
        <v/>
      </c>
      <c r="H1573" s="32"/>
      <c r="I1573" s="28"/>
      <c r="J1573" s="125">
        <v>0</v>
      </c>
    </row>
    <row r="1574" spans="1:10" ht="15.75" hidden="1" thickBot="1" x14ac:dyDescent="0.3">
      <c r="A1574" s="234" t="s">
        <v>399</v>
      </c>
      <c r="B1574" s="237" t="s">
        <v>19719</v>
      </c>
      <c r="C1574" s="160"/>
      <c r="D1574" s="23" t="s">
        <v>16</v>
      </c>
      <c r="E1574" s="24"/>
      <c r="F1574" s="37" t="s">
        <v>418</v>
      </c>
      <c r="G1574" s="25" t="str">
        <f>IF(ISNUMBER(F1574),E1574*F1574,"")</f>
        <v/>
      </c>
      <c r="H1574" s="26"/>
      <c r="I1574" s="27"/>
      <c r="J1574" s="125">
        <v>0</v>
      </c>
    </row>
    <row r="1575" spans="1:10" ht="15.75" hidden="1" thickBot="1" x14ac:dyDescent="0.3">
      <c r="A1575" s="235"/>
      <c r="B1575" s="238"/>
      <c r="C1575" s="151"/>
      <c r="D1575" s="29"/>
      <c r="E1575" s="30"/>
      <c r="F1575" s="38" t="s">
        <v>418</v>
      </c>
      <c r="G1575" s="28" t="str">
        <f>IF(ISNUMBER(F1575),E1575*F1575,"")</f>
        <v/>
      </c>
      <c r="H1575" s="32"/>
      <c r="I1575" s="28"/>
      <c r="J1575" s="125">
        <v>0</v>
      </c>
    </row>
    <row r="1576" spans="1:10" ht="26.25" hidden="1" thickBot="1" x14ac:dyDescent="0.3">
      <c r="A1576" s="235"/>
      <c r="B1576" s="238"/>
      <c r="C1576" s="155" t="s">
        <v>25387</v>
      </c>
      <c r="D1576" s="155" t="s">
        <v>205</v>
      </c>
      <c r="E1576" s="34">
        <v>1</v>
      </c>
      <c r="F1576" s="31">
        <v>7.3244999999999996</v>
      </c>
      <c r="G1576" s="28">
        <f>IF(ISNUMBER(F1576),E1576*F1576,"")</f>
        <v>7.3244999999999996</v>
      </c>
      <c r="H1576" s="35">
        <f>SUM(G1576:G1579)</f>
        <v>15.249485499999999</v>
      </c>
      <c r="I1576" s="36"/>
      <c r="J1576" s="125">
        <v>0</v>
      </c>
    </row>
    <row r="1577" spans="1:10" ht="39" hidden="1" thickBot="1" x14ac:dyDescent="0.3">
      <c r="A1577" s="235"/>
      <c r="B1577" s="238"/>
      <c r="C1577" s="155" t="s">
        <v>27417</v>
      </c>
      <c r="D1577" s="155" t="s">
        <v>205</v>
      </c>
      <c r="E1577" s="34">
        <v>1</v>
      </c>
      <c r="F1577" s="31">
        <v>3.0590000000000002</v>
      </c>
      <c r="G1577" s="31">
        <f>IF(ISNUMBER(F1577),E1577*F1577,"")</f>
        <v>3.0590000000000002</v>
      </c>
      <c r="H1577" s="32"/>
      <c r="I1577" s="28"/>
      <c r="J1577" s="125">
        <v>0</v>
      </c>
    </row>
    <row r="1578" spans="1:10" s="144" customFormat="1" ht="15.75" hidden="1" thickBot="1" x14ac:dyDescent="0.3">
      <c r="A1578" s="235"/>
      <c r="B1578" s="238"/>
      <c r="C1578" s="155" t="s">
        <v>1022</v>
      </c>
      <c r="D1578" s="155" t="s">
        <v>587</v>
      </c>
      <c r="E1578" s="156">
        <v>0.107</v>
      </c>
      <c r="F1578" s="28">
        <v>19.522500000000001</v>
      </c>
      <c r="G1578" s="31">
        <f>IF(ISNUMBER(F1578),E1578*F1578,"")</f>
        <v>2.0889074999999999</v>
      </c>
      <c r="H1578" s="32"/>
      <c r="I1578" s="28"/>
      <c r="J1578" s="125">
        <v>0</v>
      </c>
    </row>
    <row r="1579" spans="1:10" ht="15.75" hidden="1" thickBot="1" x14ac:dyDescent="0.3">
      <c r="A1579" s="235"/>
      <c r="B1579" s="238"/>
      <c r="C1579" s="155" t="s">
        <v>1023</v>
      </c>
      <c r="D1579" s="155" t="s">
        <v>587</v>
      </c>
      <c r="E1579" s="34">
        <v>0.107</v>
      </c>
      <c r="F1579" s="28">
        <v>25.954000000000001</v>
      </c>
      <c r="G1579" s="31">
        <f>IF(ISNUMBER(F1579),E1579*F1579,"")</f>
        <v>2.7770779999999999</v>
      </c>
      <c r="H1579" s="32"/>
      <c r="I1579" s="28"/>
      <c r="J1579" s="125">
        <v>0</v>
      </c>
    </row>
    <row r="1580" spans="1:10" ht="15.75" hidden="1" thickBot="1" x14ac:dyDescent="0.3">
      <c r="A1580" s="236"/>
      <c r="B1580" s="239"/>
      <c r="C1580" s="155"/>
      <c r="D1580" s="33"/>
      <c r="E1580" s="34"/>
      <c r="F1580" s="28" t="s">
        <v>418</v>
      </c>
      <c r="G1580" s="28" t="str">
        <f>IF(ISNUMBER(F1580),E1580*F1580,"")</f>
        <v/>
      </c>
      <c r="H1580" s="32"/>
      <c r="I1580" s="28"/>
      <c r="J1580" s="125">
        <v>0</v>
      </c>
    </row>
    <row r="1581" spans="1:10" ht="15.75" hidden="1" thickBot="1" x14ac:dyDescent="0.3">
      <c r="A1581" s="234" t="s">
        <v>400</v>
      </c>
      <c r="B1581" s="237" t="s">
        <v>401</v>
      </c>
      <c r="C1581" s="160"/>
      <c r="D1581" s="23" t="s">
        <v>16</v>
      </c>
      <c r="E1581" s="24"/>
      <c r="F1581" s="37" t="s">
        <v>418</v>
      </c>
      <c r="G1581" s="25" t="str">
        <f>IF(ISNUMBER(F1581),E1581*F1581,"")</f>
        <v/>
      </c>
      <c r="H1581" s="26"/>
      <c r="I1581" s="27"/>
      <c r="J1581" s="125">
        <v>0</v>
      </c>
    </row>
    <row r="1582" spans="1:10" ht="15.75" hidden="1" thickBot="1" x14ac:dyDescent="0.3">
      <c r="A1582" s="235"/>
      <c r="B1582" s="238"/>
      <c r="C1582" s="151"/>
      <c r="D1582" s="29"/>
      <c r="E1582" s="30"/>
      <c r="F1582" s="38" t="s">
        <v>418</v>
      </c>
      <c r="G1582" s="28" t="str">
        <f>IF(ISNUMBER(F1582),E1582*F1582,"")</f>
        <v/>
      </c>
      <c r="H1582" s="32"/>
      <c r="I1582" s="28"/>
      <c r="J1582" s="125">
        <v>0</v>
      </c>
    </row>
    <row r="1583" spans="1:10" ht="15.75" hidden="1" thickBot="1" x14ac:dyDescent="0.3">
      <c r="A1583" s="235"/>
      <c r="B1583" s="238"/>
      <c r="C1583" s="155" t="s">
        <v>401</v>
      </c>
      <c r="D1583" s="33" t="s">
        <v>16</v>
      </c>
      <c r="E1583" s="34">
        <v>1</v>
      </c>
      <c r="F1583" s="31" t="s">
        <v>418</v>
      </c>
      <c r="G1583" s="28" t="str">
        <f>IF(ISNUMBER(F1583),E1583*F1583,"")</f>
        <v/>
      </c>
      <c r="H1583" s="35">
        <f>SUM(G1583:G1586)</f>
        <v>7.9249855</v>
      </c>
      <c r="I1583" s="36"/>
      <c r="J1583" s="125">
        <v>0</v>
      </c>
    </row>
    <row r="1584" spans="1:10" ht="39" hidden="1" thickBot="1" x14ac:dyDescent="0.3">
      <c r="A1584" s="235"/>
      <c r="B1584" s="238"/>
      <c r="C1584" s="155" t="s">
        <v>27417</v>
      </c>
      <c r="D1584" s="155" t="s">
        <v>205</v>
      </c>
      <c r="E1584" s="34">
        <v>1</v>
      </c>
      <c r="F1584" s="31">
        <v>3.0590000000000002</v>
      </c>
      <c r="G1584" s="31">
        <f>IF(ISNUMBER(F1584),E1584*F1584,"")</f>
        <v>3.0590000000000002</v>
      </c>
      <c r="H1584" s="32"/>
      <c r="I1584" s="28"/>
      <c r="J1584" s="125">
        <v>0</v>
      </c>
    </row>
    <row r="1585" spans="1:10" s="144" customFormat="1" ht="15.75" hidden="1" thickBot="1" x14ac:dyDescent="0.3">
      <c r="A1585" s="235"/>
      <c r="B1585" s="238"/>
      <c r="C1585" s="155" t="s">
        <v>1022</v>
      </c>
      <c r="D1585" s="155" t="s">
        <v>587</v>
      </c>
      <c r="E1585" s="156">
        <v>0.107</v>
      </c>
      <c r="F1585" s="28">
        <v>19.522500000000001</v>
      </c>
      <c r="G1585" s="31">
        <f>IF(ISNUMBER(F1585),E1585*F1585,"")</f>
        <v>2.0889074999999999</v>
      </c>
      <c r="H1585" s="32"/>
      <c r="I1585" s="28"/>
      <c r="J1585" s="125">
        <v>0</v>
      </c>
    </row>
    <row r="1586" spans="1:10" ht="15.75" hidden="1" thickBot="1" x14ac:dyDescent="0.3">
      <c r="A1586" s="235"/>
      <c r="B1586" s="238"/>
      <c r="C1586" s="155" t="s">
        <v>1023</v>
      </c>
      <c r="D1586" s="155" t="s">
        <v>587</v>
      </c>
      <c r="E1586" s="156">
        <v>0.107</v>
      </c>
      <c r="F1586" s="28">
        <v>25.954000000000001</v>
      </c>
      <c r="G1586" s="31">
        <f>IF(ISNUMBER(F1586),E1586*F1586,"")</f>
        <v>2.7770779999999999</v>
      </c>
      <c r="H1586" s="32"/>
      <c r="I1586" s="28"/>
      <c r="J1586" s="125">
        <v>0</v>
      </c>
    </row>
    <row r="1587" spans="1:10" ht="15.75" hidden="1" thickBot="1" x14ac:dyDescent="0.3">
      <c r="A1587" s="236"/>
      <c r="B1587" s="239"/>
      <c r="C1587" s="155"/>
      <c r="D1587" s="33"/>
      <c r="E1587" s="34"/>
      <c r="F1587" s="28" t="s">
        <v>418</v>
      </c>
      <c r="G1587" s="28" t="str">
        <f>IF(ISNUMBER(F1587),E1587*F1587,"")</f>
        <v/>
      </c>
      <c r="H1587" s="32"/>
      <c r="I1587" s="28"/>
      <c r="J1587" s="125">
        <v>0</v>
      </c>
    </row>
    <row r="1588" spans="1:10" ht="15.75" hidden="1" thickBot="1" x14ac:dyDescent="0.3">
      <c r="A1588" s="234" t="s">
        <v>402</v>
      </c>
      <c r="B1588" s="237" t="s">
        <v>1443</v>
      </c>
      <c r="C1588" s="160"/>
      <c r="D1588" s="23" t="s">
        <v>16</v>
      </c>
      <c r="E1588" s="24"/>
      <c r="F1588" s="37" t="s">
        <v>418</v>
      </c>
      <c r="G1588" s="25" t="str">
        <f>IF(ISNUMBER(F1588),E1588*F1588,"")</f>
        <v/>
      </c>
      <c r="H1588" s="26"/>
      <c r="I1588" s="27"/>
      <c r="J1588" s="125">
        <v>0</v>
      </c>
    </row>
    <row r="1589" spans="1:10" ht="15.75" hidden="1" thickBot="1" x14ac:dyDescent="0.3">
      <c r="A1589" s="235"/>
      <c r="B1589" s="238"/>
      <c r="C1589" s="151"/>
      <c r="D1589" s="29"/>
      <c r="E1589" s="30"/>
      <c r="F1589" s="38" t="s">
        <v>418</v>
      </c>
      <c r="G1589" s="28" t="str">
        <f>IF(ISNUMBER(F1589),E1589*F1589,"")</f>
        <v/>
      </c>
      <c r="H1589" s="32"/>
      <c r="I1589" s="28"/>
      <c r="J1589" s="125">
        <v>0</v>
      </c>
    </row>
    <row r="1590" spans="1:10" ht="15.75" hidden="1" thickBot="1" x14ac:dyDescent="0.3">
      <c r="A1590" s="235"/>
      <c r="B1590" s="238"/>
      <c r="C1590" s="155" t="s">
        <v>1023</v>
      </c>
      <c r="D1590" s="155" t="s">
        <v>587</v>
      </c>
      <c r="E1590" s="34">
        <f>0.3/2</f>
        <v>0.15</v>
      </c>
      <c r="F1590" s="28">
        <v>25.954000000000001</v>
      </c>
      <c r="G1590" s="31">
        <f>IF(ISNUMBER(F1590),E1590*F1590,"")</f>
        <v>3.8931</v>
      </c>
      <c r="H1590" s="35">
        <f>SUM(G1590:G1593)</f>
        <v>6.8214749999999995</v>
      </c>
      <c r="I1590" s="36"/>
      <c r="J1590" s="125">
        <v>0</v>
      </c>
    </row>
    <row r="1591" spans="1:10" ht="15.75" hidden="1" thickBot="1" x14ac:dyDescent="0.3">
      <c r="A1591" s="235"/>
      <c r="B1591" s="238"/>
      <c r="C1591" s="155" t="s">
        <v>1022</v>
      </c>
      <c r="D1591" s="155" t="s">
        <v>587</v>
      </c>
      <c r="E1591" s="34">
        <f>0.3/2</f>
        <v>0.15</v>
      </c>
      <c r="F1591" s="28">
        <v>19.522500000000001</v>
      </c>
      <c r="G1591" s="31">
        <f>IF(ISNUMBER(F1591),E1591*F1591,"")</f>
        <v>2.928375</v>
      </c>
      <c r="H1591" s="32"/>
      <c r="I1591" s="28"/>
      <c r="J1591" s="125">
        <v>0</v>
      </c>
    </row>
    <row r="1592" spans="1:10" ht="26.25" hidden="1" thickBot="1" x14ac:dyDescent="0.3">
      <c r="A1592" s="235"/>
      <c r="B1592" s="238"/>
      <c r="C1592" s="155" t="s">
        <v>403</v>
      </c>
      <c r="D1592" s="33" t="s">
        <v>16</v>
      </c>
      <c r="E1592" s="34">
        <v>1</v>
      </c>
      <c r="F1592" s="31" t="s">
        <v>418</v>
      </c>
      <c r="G1592" s="31" t="str">
        <f>IF(ISNUMBER(F1592),E1592*F1592,"")</f>
        <v/>
      </c>
      <c r="H1592" s="32"/>
      <c r="I1592" s="28"/>
      <c r="J1592" s="125">
        <v>0</v>
      </c>
    </row>
    <row r="1593" spans="1:10" ht="26.25" hidden="1" thickBot="1" x14ac:dyDescent="0.3">
      <c r="A1593" s="235"/>
      <c r="B1593" s="238"/>
      <c r="C1593" s="155" t="s">
        <v>404</v>
      </c>
      <c r="D1593" s="33" t="s">
        <v>16</v>
      </c>
      <c r="E1593" s="34">
        <v>1</v>
      </c>
      <c r="F1593" s="31" t="s">
        <v>418</v>
      </c>
      <c r="G1593" s="28" t="str">
        <f>IF(ISNUMBER(F1593),E1593*F1593,"")</f>
        <v/>
      </c>
      <c r="H1593" s="32"/>
      <c r="I1593" s="28"/>
      <c r="J1593" s="125">
        <v>0</v>
      </c>
    </row>
    <row r="1594" spans="1:10" ht="15.75" hidden="1" thickBot="1" x14ac:dyDescent="0.3">
      <c r="A1594" s="236"/>
      <c r="B1594" s="239"/>
      <c r="C1594" s="155"/>
      <c r="D1594" s="33"/>
      <c r="E1594" s="34"/>
      <c r="F1594" s="28" t="s">
        <v>418</v>
      </c>
      <c r="G1594" s="28" t="str">
        <f>IF(ISNUMBER(F1594),E1594*F1594,"")</f>
        <v/>
      </c>
      <c r="H1594" s="32"/>
      <c r="I1594" s="28"/>
      <c r="J1594" s="125">
        <v>0</v>
      </c>
    </row>
    <row r="1595" spans="1:10" ht="15.75" hidden="1" thickBot="1" x14ac:dyDescent="0.3">
      <c r="A1595" s="234" t="s">
        <v>405</v>
      </c>
      <c r="B1595" s="237" t="s">
        <v>406</v>
      </c>
      <c r="C1595" s="160"/>
      <c r="D1595" s="23" t="s">
        <v>16</v>
      </c>
      <c r="E1595" s="24"/>
      <c r="F1595" s="37" t="s">
        <v>418</v>
      </c>
      <c r="G1595" s="25" t="str">
        <f>IF(ISNUMBER(F1595),E1595*F1595,"")</f>
        <v/>
      </c>
      <c r="H1595" s="26"/>
      <c r="I1595" s="27"/>
      <c r="J1595" s="125">
        <v>0</v>
      </c>
    </row>
    <row r="1596" spans="1:10" ht="15.75" hidden="1" thickBot="1" x14ac:dyDescent="0.3">
      <c r="A1596" s="235"/>
      <c r="B1596" s="238"/>
      <c r="C1596" s="151"/>
      <c r="D1596" s="29"/>
      <c r="E1596" s="30"/>
      <c r="F1596" s="38" t="s">
        <v>418</v>
      </c>
      <c r="G1596" s="28" t="str">
        <f>IF(ISNUMBER(F1596),E1596*F1596,"")</f>
        <v/>
      </c>
      <c r="H1596" s="32"/>
      <c r="I1596" s="28"/>
      <c r="J1596" s="125">
        <v>0</v>
      </c>
    </row>
    <row r="1597" spans="1:10" ht="15.75" hidden="1" thickBot="1" x14ac:dyDescent="0.3">
      <c r="A1597" s="235"/>
      <c r="B1597" s="238"/>
      <c r="C1597" s="155" t="s">
        <v>1023</v>
      </c>
      <c r="D1597" s="155" t="s">
        <v>587</v>
      </c>
      <c r="E1597" s="34">
        <v>0.1</v>
      </c>
      <c r="F1597" s="28">
        <v>25.954000000000001</v>
      </c>
      <c r="G1597" s="31">
        <f>IF(ISNUMBER(F1597),E1597*F1597,"")</f>
        <v>2.5954000000000002</v>
      </c>
      <c r="H1597" s="35">
        <f>SUM(G1597:G1598)</f>
        <v>2.5954000000000002</v>
      </c>
      <c r="I1597" s="36"/>
      <c r="J1597" s="125">
        <v>0</v>
      </c>
    </row>
    <row r="1598" spans="1:10" ht="15.75" hidden="1" thickBot="1" x14ac:dyDescent="0.3">
      <c r="A1598" s="235"/>
      <c r="B1598" s="238"/>
      <c r="C1598" s="155" t="s">
        <v>406</v>
      </c>
      <c r="D1598" s="33" t="s">
        <v>16</v>
      </c>
      <c r="E1598" s="34">
        <v>1</v>
      </c>
      <c r="F1598" s="31" t="s">
        <v>418</v>
      </c>
      <c r="G1598" s="28" t="str">
        <f>IF(ISNUMBER(F1598),E1598*F1598,"")</f>
        <v/>
      </c>
      <c r="H1598" s="32"/>
      <c r="I1598" s="28"/>
      <c r="J1598" s="125">
        <v>0</v>
      </c>
    </row>
    <row r="1599" spans="1:10" ht="15.75" hidden="1" thickBot="1" x14ac:dyDescent="0.3">
      <c r="A1599" s="236"/>
      <c r="B1599" s="239"/>
      <c r="C1599" s="155"/>
      <c r="D1599" s="33"/>
      <c r="E1599" s="34"/>
      <c r="F1599" s="28" t="s">
        <v>418</v>
      </c>
      <c r="G1599" s="28" t="str">
        <f>IF(ISNUMBER(F1599),E1599*F1599,"")</f>
        <v/>
      </c>
      <c r="H1599" s="32"/>
      <c r="I1599" s="28"/>
      <c r="J1599" s="125">
        <v>0</v>
      </c>
    </row>
    <row r="1600" spans="1:10" ht="15.75" hidden="1" thickBot="1" x14ac:dyDescent="0.3">
      <c r="A1600" s="234" t="s">
        <v>407</v>
      </c>
      <c r="B1600" s="237" t="s">
        <v>1444</v>
      </c>
      <c r="C1600" s="160"/>
      <c r="D1600" s="23" t="s">
        <v>16</v>
      </c>
      <c r="E1600" s="24"/>
      <c r="F1600" s="37" t="s">
        <v>418</v>
      </c>
      <c r="G1600" s="25" t="str">
        <f>IF(ISNUMBER(F1600),E1600*F1600,"")</f>
        <v/>
      </c>
      <c r="H1600" s="26"/>
      <c r="I1600" s="27"/>
      <c r="J1600" s="125">
        <v>0</v>
      </c>
    </row>
    <row r="1601" spans="1:10" ht="15.75" hidden="1" thickBot="1" x14ac:dyDescent="0.3">
      <c r="A1601" s="235"/>
      <c r="B1601" s="238"/>
      <c r="C1601" s="151"/>
      <c r="D1601" s="29"/>
      <c r="E1601" s="30"/>
      <c r="F1601" s="38" t="s">
        <v>418</v>
      </c>
      <c r="G1601" s="28" t="str">
        <f>IF(ISNUMBER(F1601),E1601*F1601,"")</f>
        <v/>
      </c>
      <c r="H1601" s="32"/>
      <c r="I1601" s="28"/>
      <c r="J1601" s="125">
        <v>0</v>
      </c>
    </row>
    <row r="1602" spans="1:10" ht="15.75" hidden="1" thickBot="1" x14ac:dyDescent="0.3">
      <c r="A1602" s="235"/>
      <c r="B1602" s="238"/>
      <c r="C1602" s="155" t="s">
        <v>25722</v>
      </c>
      <c r="D1602" s="155" t="s">
        <v>205</v>
      </c>
      <c r="E1602" s="34">
        <v>1</v>
      </c>
      <c r="F1602" s="31">
        <v>11.086499999999999</v>
      </c>
      <c r="G1602" s="28">
        <f>IF(ISNUMBER(F1602),E1602*F1602,"")</f>
        <v>11.086499999999999</v>
      </c>
      <c r="H1602" s="35">
        <f>SUM(G1602:G1604)</f>
        <v>25.502550499999998</v>
      </c>
      <c r="I1602" s="36"/>
      <c r="J1602" s="125">
        <v>0</v>
      </c>
    </row>
    <row r="1603" spans="1:10" ht="15.75" hidden="1" thickBot="1" x14ac:dyDescent="0.3">
      <c r="A1603" s="235"/>
      <c r="B1603" s="238"/>
      <c r="C1603" s="155" t="s">
        <v>1022</v>
      </c>
      <c r="D1603" s="155" t="s">
        <v>587</v>
      </c>
      <c r="E1603" s="34">
        <v>0.317</v>
      </c>
      <c r="F1603" s="28">
        <v>19.522500000000001</v>
      </c>
      <c r="G1603" s="31">
        <f>IF(ISNUMBER(F1603),E1603*F1603,"")</f>
        <v>6.1886325000000006</v>
      </c>
      <c r="H1603" s="32"/>
      <c r="I1603" s="28"/>
      <c r="J1603" s="125">
        <v>0</v>
      </c>
    </row>
    <row r="1604" spans="1:10" ht="15.75" hidden="1" thickBot="1" x14ac:dyDescent="0.3">
      <c r="A1604" s="235"/>
      <c r="B1604" s="238"/>
      <c r="C1604" s="155" t="s">
        <v>1023</v>
      </c>
      <c r="D1604" s="155" t="s">
        <v>587</v>
      </c>
      <c r="E1604" s="156">
        <v>0.317</v>
      </c>
      <c r="F1604" s="28">
        <v>25.954000000000001</v>
      </c>
      <c r="G1604" s="31">
        <f>IF(ISNUMBER(F1604),E1604*F1604,"")</f>
        <v>8.2274180000000001</v>
      </c>
      <c r="H1604" s="32"/>
      <c r="I1604" s="28"/>
      <c r="J1604" s="125">
        <v>0</v>
      </c>
    </row>
    <row r="1605" spans="1:10" ht="15.75" hidden="1" thickBot="1" x14ac:dyDescent="0.3">
      <c r="A1605" s="236"/>
      <c r="B1605" s="239"/>
      <c r="C1605" s="155"/>
      <c r="D1605" s="33"/>
      <c r="E1605" s="34"/>
      <c r="F1605" s="28" t="s">
        <v>418</v>
      </c>
      <c r="G1605" s="28" t="str">
        <f>IF(ISNUMBER(F1605),E1605*F1605,"")</f>
        <v/>
      </c>
      <c r="H1605" s="32"/>
      <c r="I1605" s="28"/>
      <c r="J1605" s="125">
        <v>0</v>
      </c>
    </row>
    <row r="1606" spans="1:10" ht="15.75" hidden="1" thickBot="1" x14ac:dyDescent="0.3">
      <c r="A1606" s="234" t="s">
        <v>408</v>
      </c>
      <c r="B1606" s="237" t="s">
        <v>1445</v>
      </c>
      <c r="C1606" s="160"/>
      <c r="D1606" s="23" t="s">
        <v>16</v>
      </c>
      <c r="E1606" s="24"/>
      <c r="F1606" s="37" t="s">
        <v>418</v>
      </c>
      <c r="G1606" s="25" t="str">
        <f>IF(ISNUMBER(F1606),E1606*F1606,"")</f>
        <v/>
      </c>
      <c r="H1606" s="26"/>
      <c r="I1606" s="27"/>
      <c r="J1606" s="125">
        <v>0</v>
      </c>
    </row>
    <row r="1607" spans="1:10" ht="15.75" hidden="1" thickBot="1" x14ac:dyDescent="0.3">
      <c r="A1607" s="235"/>
      <c r="B1607" s="238"/>
      <c r="C1607" s="151"/>
      <c r="D1607" s="29"/>
      <c r="E1607" s="30"/>
      <c r="F1607" s="38" t="s">
        <v>418</v>
      </c>
      <c r="G1607" s="28" t="str">
        <f>IF(ISNUMBER(F1607),E1607*F1607,"")</f>
        <v/>
      </c>
      <c r="H1607" s="32"/>
      <c r="I1607" s="28"/>
      <c r="J1607" s="125">
        <v>0</v>
      </c>
    </row>
    <row r="1608" spans="1:10" ht="15.75" hidden="1" thickBot="1" x14ac:dyDescent="0.3">
      <c r="A1608" s="235"/>
      <c r="B1608" s="238"/>
      <c r="C1608" s="155" t="s">
        <v>25730</v>
      </c>
      <c r="D1608" s="155" t="s">
        <v>205</v>
      </c>
      <c r="E1608" s="34">
        <v>1</v>
      </c>
      <c r="F1608" s="31">
        <v>8.5120000000000005</v>
      </c>
      <c r="G1608" s="28">
        <f>IF(ISNUMBER(F1608),E1608*F1608,"")</f>
        <v>8.5120000000000005</v>
      </c>
      <c r="H1608" s="35">
        <f>SUM(G1608:G1610)</f>
        <v>19.062548</v>
      </c>
      <c r="I1608" s="36"/>
      <c r="J1608" s="125">
        <v>0</v>
      </c>
    </row>
    <row r="1609" spans="1:10" ht="15.75" hidden="1" thickBot="1" x14ac:dyDescent="0.3">
      <c r="A1609" s="235"/>
      <c r="B1609" s="238"/>
      <c r="C1609" s="155" t="s">
        <v>1022</v>
      </c>
      <c r="D1609" s="155" t="s">
        <v>587</v>
      </c>
      <c r="E1609" s="34">
        <v>0.23200000000000001</v>
      </c>
      <c r="F1609" s="28">
        <v>19.522500000000001</v>
      </c>
      <c r="G1609" s="31">
        <f>IF(ISNUMBER(F1609),E1609*F1609,"")</f>
        <v>4.5292200000000005</v>
      </c>
      <c r="H1609" s="32"/>
      <c r="I1609" s="28"/>
      <c r="J1609" s="125">
        <v>0</v>
      </c>
    </row>
    <row r="1610" spans="1:10" ht="15.75" hidden="1" thickBot="1" x14ac:dyDescent="0.3">
      <c r="A1610" s="235"/>
      <c r="B1610" s="238"/>
      <c r="C1610" s="155" t="s">
        <v>1023</v>
      </c>
      <c r="D1610" s="155" t="s">
        <v>587</v>
      </c>
      <c r="E1610" s="156">
        <v>0.23200000000000001</v>
      </c>
      <c r="F1610" s="28">
        <v>25.954000000000001</v>
      </c>
      <c r="G1610" s="31">
        <f>IF(ISNUMBER(F1610),E1610*F1610,"")</f>
        <v>6.0213280000000005</v>
      </c>
      <c r="H1610" s="32"/>
      <c r="I1610" s="28"/>
      <c r="J1610" s="125">
        <v>0</v>
      </c>
    </row>
    <row r="1611" spans="1:10" ht="15.75" hidden="1" thickBot="1" x14ac:dyDescent="0.3">
      <c r="A1611" s="236"/>
      <c r="B1611" s="239"/>
      <c r="C1611" s="155"/>
      <c r="D1611" s="33"/>
      <c r="E1611" s="34"/>
      <c r="F1611" s="28" t="s">
        <v>418</v>
      </c>
      <c r="G1611" s="28" t="str">
        <f>IF(ISNUMBER(F1611),E1611*F1611,"")</f>
        <v/>
      </c>
      <c r="H1611" s="32"/>
      <c r="I1611" s="28"/>
      <c r="J1611" s="125">
        <v>0</v>
      </c>
    </row>
    <row r="1612" spans="1:10" ht="15.75" hidden="1" thickBot="1" x14ac:dyDescent="0.3">
      <c r="A1612" s="234" t="s">
        <v>409</v>
      </c>
      <c r="B1612" s="237" t="s">
        <v>410</v>
      </c>
      <c r="C1612" s="160"/>
      <c r="D1612" s="23" t="s">
        <v>16</v>
      </c>
      <c r="E1612" s="24"/>
      <c r="F1612" s="37" t="s">
        <v>418</v>
      </c>
      <c r="G1612" s="25" t="str">
        <f>IF(ISNUMBER(F1612),E1612*F1612,"")</f>
        <v/>
      </c>
      <c r="H1612" s="26"/>
      <c r="I1612" s="27"/>
      <c r="J1612" s="125">
        <v>0</v>
      </c>
    </row>
    <row r="1613" spans="1:10" ht="15.75" hidden="1" thickBot="1" x14ac:dyDescent="0.3">
      <c r="A1613" s="235"/>
      <c r="B1613" s="238"/>
      <c r="C1613" s="151"/>
      <c r="D1613" s="29"/>
      <c r="E1613" s="30"/>
      <c r="F1613" s="38" t="s">
        <v>418</v>
      </c>
      <c r="G1613" s="28" t="str">
        <f>IF(ISNUMBER(F1613),E1613*F1613,"")</f>
        <v/>
      </c>
      <c r="H1613" s="32"/>
      <c r="I1613" s="28"/>
      <c r="J1613" s="125">
        <v>0</v>
      </c>
    </row>
    <row r="1614" spans="1:10" ht="15.75" hidden="1" thickBot="1" x14ac:dyDescent="0.3">
      <c r="A1614" s="235"/>
      <c r="B1614" s="238"/>
      <c r="C1614" s="155" t="s">
        <v>1023</v>
      </c>
      <c r="D1614" s="155" t="s">
        <v>587</v>
      </c>
      <c r="E1614" s="34">
        <v>0.1</v>
      </c>
      <c r="F1614" s="28">
        <v>25.954000000000001</v>
      </c>
      <c r="G1614" s="31">
        <f>IF(ISNUMBER(F1614),E1614*F1614,"")</f>
        <v>2.5954000000000002</v>
      </c>
      <c r="H1614" s="35">
        <f>SUM(G1614:G1615)</f>
        <v>2.5954000000000002</v>
      </c>
      <c r="I1614" s="36"/>
      <c r="J1614" s="125">
        <v>0</v>
      </c>
    </row>
    <row r="1615" spans="1:10" ht="15.75" hidden="1" thickBot="1" x14ac:dyDescent="0.3">
      <c r="A1615" s="235"/>
      <c r="B1615" s="238"/>
      <c r="C1615" s="155" t="s">
        <v>410</v>
      </c>
      <c r="D1615" s="33" t="s">
        <v>16</v>
      </c>
      <c r="E1615" s="34">
        <v>1</v>
      </c>
      <c r="F1615" s="31" t="s">
        <v>418</v>
      </c>
      <c r="G1615" s="28" t="str">
        <f>IF(ISNUMBER(F1615),E1615*F1615,"")</f>
        <v/>
      </c>
      <c r="H1615" s="32"/>
      <c r="I1615" s="28"/>
      <c r="J1615" s="125">
        <v>0</v>
      </c>
    </row>
    <row r="1616" spans="1:10" ht="15.75" hidden="1" thickBot="1" x14ac:dyDescent="0.3">
      <c r="A1616" s="236"/>
      <c r="B1616" s="239"/>
      <c r="C1616" s="155"/>
      <c r="D1616" s="33"/>
      <c r="E1616" s="34"/>
      <c r="F1616" s="28" t="s">
        <v>418</v>
      </c>
      <c r="G1616" s="28" t="str">
        <f>IF(ISNUMBER(F1616),E1616*F1616,"")</f>
        <v/>
      </c>
      <c r="H1616" s="32"/>
      <c r="I1616" s="28"/>
      <c r="J1616" s="125">
        <v>0</v>
      </c>
    </row>
    <row r="1617" spans="1:10" ht="15.75" hidden="1" thickBot="1" x14ac:dyDescent="0.3">
      <c r="A1617" s="234" t="s">
        <v>411</v>
      </c>
      <c r="B1617" s="237" t="s">
        <v>412</v>
      </c>
      <c r="C1617" s="160"/>
      <c r="D1617" s="23" t="s">
        <v>16</v>
      </c>
      <c r="E1617" s="24"/>
      <c r="F1617" s="37" t="s">
        <v>418</v>
      </c>
      <c r="G1617" s="25" t="str">
        <f>IF(ISNUMBER(F1617),E1617*F1617,"")</f>
        <v/>
      </c>
      <c r="H1617" s="26"/>
      <c r="I1617" s="27"/>
      <c r="J1617" s="125">
        <v>0</v>
      </c>
    </row>
    <row r="1618" spans="1:10" ht="15.75" hidden="1" thickBot="1" x14ac:dyDescent="0.3">
      <c r="A1618" s="235"/>
      <c r="B1618" s="238"/>
      <c r="C1618" s="151"/>
      <c r="D1618" s="29"/>
      <c r="E1618" s="30"/>
      <c r="F1618" s="38" t="s">
        <v>418</v>
      </c>
      <c r="G1618" s="28" t="str">
        <f>IF(ISNUMBER(F1618),E1618*F1618,"")</f>
        <v/>
      </c>
      <c r="H1618" s="32"/>
      <c r="I1618" s="28"/>
      <c r="J1618" s="125">
        <v>0</v>
      </c>
    </row>
    <row r="1619" spans="1:10" ht="15.75" hidden="1" thickBot="1" x14ac:dyDescent="0.3">
      <c r="A1619" s="235"/>
      <c r="B1619" s="238"/>
      <c r="C1619" s="155" t="s">
        <v>1023</v>
      </c>
      <c r="D1619" s="155" t="s">
        <v>587</v>
      </c>
      <c r="E1619" s="156">
        <v>0.317</v>
      </c>
      <c r="F1619" s="28">
        <v>25.954000000000001</v>
      </c>
      <c r="G1619" s="31">
        <f>IF(ISNUMBER(F1619),E1619*F1619,"")</f>
        <v>8.2274180000000001</v>
      </c>
      <c r="H1619" s="35">
        <f>SUM(G1619:G1621)</f>
        <v>14.416050500000001</v>
      </c>
      <c r="I1619" s="36"/>
      <c r="J1619" s="125">
        <v>0</v>
      </c>
    </row>
    <row r="1620" spans="1:10" ht="15.75" hidden="1" thickBot="1" x14ac:dyDescent="0.3">
      <c r="A1620" s="235"/>
      <c r="B1620" s="238"/>
      <c r="C1620" s="155" t="s">
        <v>1022</v>
      </c>
      <c r="D1620" s="155" t="s">
        <v>587</v>
      </c>
      <c r="E1620" s="156">
        <v>0.317</v>
      </c>
      <c r="F1620" s="28">
        <v>19.522500000000001</v>
      </c>
      <c r="G1620" s="31">
        <f>IF(ISNUMBER(F1620),E1620*F1620,"")</f>
        <v>6.1886325000000006</v>
      </c>
      <c r="H1620" s="40"/>
      <c r="I1620" s="41"/>
      <c r="J1620" s="125">
        <v>0</v>
      </c>
    </row>
    <row r="1621" spans="1:10" ht="15.75" hidden="1" thickBot="1" x14ac:dyDescent="0.3">
      <c r="A1621" s="235"/>
      <c r="B1621" s="238"/>
      <c r="C1621" s="155" t="s">
        <v>412</v>
      </c>
      <c r="D1621" s="33" t="s">
        <v>16</v>
      </c>
      <c r="E1621" s="34">
        <v>1</v>
      </c>
      <c r="F1621" s="31" t="s">
        <v>418</v>
      </c>
      <c r="G1621" s="28" t="str">
        <f>IF(ISNUMBER(F1621),E1621*F1621,"")</f>
        <v/>
      </c>
      <c r="H1621" s="32"/>
      <c r="I1621" s="28"/>
      <c r="J1621" s="125">
        <v>0</v>
      </c>
    </row>
    <row r="1622" spans="1:10" ht="15.75" hidden="1" thickBot="1" x14ac:dyDescent="0.3">
      <c r="A1622" s="236"/>
      <c r="B1622" s="239"/>
      <c r="C1622" s="47"/>
      <c r="D1622" s="33"/>
      <c r="E1622" s="34"/>
      <c r="F1622" s="28" t="s">
        <v>418</v>
      </c>
      <c r="G1622" s="28" t="str">
        <f>IF(ISNUMBER(F1622),E1622*F1622,"")</f>
        <v/>
      </c>
      <c r="H1622" s="32"/>
      <c r="I1622" s="28"/>
      <c r="J1622" s="125">
        <v>0</v>
      </c>
    </row>
    <row r="1623" spans="1:10" ht="15.75" hidden="1" thickBot="1" x14ac:dyDescent="0.3">
      <c r="A1623" s="234" t="s">
        <v>413</v>
      </c>
      <c r="B1623" s="237" t="s">
        <v>1446</v>
      </c>
      <c r="C1623" s="160"/>
      <c r="D1623" s="23" t="s">
        <v>16</v>
      </c>
      <c r="E1623" s="24"/>
      <c r="F1623" s="37" t="s">
        <v>418</v>
      </c>
      <c r="G1623" s="25" t="str">
        <f>IF(ISNUMBER(F1623),E1623*F1623,"")</f>
        <v/>
      </c>
      <c r="H1623" s="26"/>
      <c r="I1623" s="27"/>
      <c r="J1623" s="125">
        <v>0</v>
      </c>
    </row>
    <row r="1624" spans="1:10" ht="15.75" hidden="1" thickBot="1" x14ac:dyDescent="0.3">
      <c r="A1624" s="235"/>
      <c r="B1624" s="238"/>
      <c r="C1624" s="151"/>
      <c r="D1624" s="29"/>
      <c r="E1624" s="30"/>
      <c r="F1624" s="38" t="s">
        <v>418</v>
      </c>
      <c r="G1624" s="28" t="str">
        <f>IF(ISNUMBER(F1624),E1624*F1624,"")</f>
        <v/>
      </c>
      <c r="H1624" s="32"/>
      <c r="I1624" s="28"/>
      <c r="J1624" s="125">
        <v>0</v>
      </c>
    </row>
    <row r="1625" spans="1:10" ht="15.75" hidden="1" thickBot="1" x14ac:dyDescent="0.3">
      <c r="A1625" s="235"/>
      <c r="B1625" s="238"/>
      <c r="C1625" s="155" t="s">
        <v>38826</v>
      </c>
      <c r="D1625" s="155" t="s">
        <v>205</v>
      </c>
      <c r="E1625" s="34">
        <v>1</v>
      </c>
      <c r="F1625" s="31">
        <v>9.6804999999999986</v>
      </c>
      <c r="G1625" s="28">
        <f>IF(ISNUMBER(F1625),E1625*F1625,"")</f>
        <v>9.6804999999999986</v>
      </c>
      <c r="H1625" s="35">
        <f>SUM(G1625:G1627)</f>
        <v>20.685812999999996</v>
      </c>
      <c r="I1625" s="36"/>
      <c r="J1625" s="125">
        <v>0</v>
      </c>
    </row>
    <row r="1626" spans="1:10" ht="15.75" hidden="1" thickBot="1" x14ac:dyDescent="0.3">
      <c r="A1626" s="235"/>
      <c r="B1626" s="238"/>
      <c r="C1626" s="155" t="s">
        <v>1022</v>
      </c>
      <c r="D1626" s="155" t="s">
        <v>587</v>
      </c>
      <c r="E1626" s="34">
        <v>0.24199999999999999</v>
      </c>
      <c r="F1626" s="28">
        <v>19.522500000000001</v>
      </c>
      <c r="G1626" s="31">
        <f>IF(ISNUMBER(F1626),E1626*F1626,"")</f>
        <v>4.7244450000000002</v>
      </c>
      <c r="H1626" s="32"/>
      <c r="I1626" s="28"/>
      <c r="J1626" s="125">
        <v>0</v>
      </c>
    </row>
    <row r="1627" spans="1:10" ht="15.75" hidden="1" thickBot="1" x14ac:dyDescent="0.3">
      <c r="A1627" s="235"/>
      <c r="B1627" s="238"/>
      <c r="C1627" s="155" t="s">
        <v>1023</v>
      </c>
      <c r="D1627" s="155" t="s">
        <v>587</v>
      </c>
      <c r="E1627" s="156">
        <v>0.24199999999999999</v>
      </c>
      <c r="F1627" s="28">
        <v>25.954000000000001</v>
      </c>
      <c r="G1627" s="31">
        <f>IF(ISNUMBER(F1627),E1627*F1627,"")</f>
        <v>6.2808679999999999</v>
      </c>
      <c r="H1627" s="32"/>
      <c r="I1627" s="28"/>
      <c r="J1627" s="125">
        <v>0</v>
      </c>
    </row>
    <row r="1628" spans="1:10" ht="15.75" hidden="1" thickBot="1" x14ac:dyDescent="0.3">
      <c r="A1628" s="236"/>
      <c r="B1628" s="239"/>
      <c r="C1628" s="155"/>
      <c r="D1628" s="33"/>
      <c r="E1628" s="34"/>
      <c r="F1628" s="28" t="s">
        <v>418</v>
      </c>
      <c r="G1628" s="28" t="str">
        <f>IF(ISNUMBER(F1628),E1628*F1628,"")</f>
        <v/>
      </c>
      <c r="H1628" s="32"/>
      <c r="I1628" s="28"/>
      <c r="J1628" s="125">
        <v>0</v>
      </c>
    </row>
    <row r="1629" spans="1:10" ht="15.75" hidden="1" thickBot="1" x14ac:dyDescent="0.3">
      <c r="A1629" s="234" t="s">
        <v>415</v>
      </c>
      <c r="B1629" s="237" t="s">
        <v>1447</v>
      </c>
      <c r="C1629" s="160"/>
      <c r="D1629" s="23" t="s">
        <v>16</v>
      </c>
      <c r="E1629" s="24"/>
      <c r="F1629" s="37" t="s">
        <v>418</v>
      </c>
      <c r="G1629" s="25" t="str">
        <f>IF(ISNUMBER(F1629),E1629*F1629,"")</f>
        <v/>
      </c>
      <c r="H1629" s="26"/>
      <c r="I1629" s="27"/>
      <c r="J1629" s="125">
        <v>0</v>
      </c>
    </row>
    <row r="1630" spans="1:10" ht="15.75" hidden="1" thickBot="1" x14ac:dyDescent="0.3">
      <c r="A1630" s="235"/>
      <c r="B1630" s="238"/>
      <c r="C1630" s="151"/>
      <c r="D1630" s="29"/>
      <c r="E1630" s="30"/>
      <c r="F1630" s="38" t="s">
        <v>418</v>
      </c>
      <c r="G1630" s="28" t="str">
        <f>IF(ISNUMBER(F1630),E1630*F1630,"")</f>
        <v/>
      </c>
      <c r="H1630" s="32"/>
      <c r="I1630" s="28"/>
      <c r="J1630" s="125">
        <v>0</v>
      </c>
    </row>
    <row r="1631" spans="1:10" ht="15.75" hidden="1" thickBot="1" x14ac:dyDescent="0.3">
      <c r="A1631" s="235"/>
      <c r="B1631" s="238"/>
      <c r="C1631" s="155" t="s">
        <v>38827</v>
      </c>
      <c r="D1631" s="155" t="s">
        <v>205</v>
      </c>
      <c r="E1631" s="34">
        <v>1</v>
      </c>
      <c r="F1631" s="31">
        <v>12.387999999999998</v>
      </c>
      <c r="G1631" s="28">
        <f>IF(ISNUMBER(F1631),E1631*F1631,"")</f>
        <v>12.387999999999998</v>
      </c>
      <c r="H1631" s="35">
        <f>SUM(G1631:G1633)</f>
        <v>23.393312999999999</v>
      </c>
      <c r="I1631" s="36"/>
      <c r="J1631" s="125">
        <v>0</v>
      </c>
    </row>
    <row r="1632" spans="1:10" ht="15.75" hidden="1" thickBot="1" x14ac:dyDescent="0.3">
      <c r="A1632" s="235"/>
      <c r="B1632" s="238"/>
      <c r="C1632" s="155" t="s">
        <v>1022</v>
      </c>
      <c r="D1632" s="155" t="s">
        <v>587</v>
      </c>
      <c r="E1632" s="156">
        <v>0.24199999999999999</v>
      </c>
      <c r="F1632" s="28">
        <v>19.522500000000001</v>
      </c>
      <c r="G1632" s="31">
        <f>IF(ISNUMBER(F1632),E1632*F1632,"")</f>
        <v>4.7244450000000002</v>
      </c>
      <c r="H1632" s="32"/>
      <c r="I1632" s="28"/>
      <c r="J1632" s="125">
        <v>0</v>
      </c>
    </row>
    <row r="1633" spans="1:10" ht="15.75" hidden="1" thickBot="1" x14ac:dyDescent="0.3">
      <c r="A1633" s="235"/>
      <c r="B1633" s="238"/>
      <c r="C1633" s="155" t="s">
        <v>1023</v>
      </c>
      <c r="D1633" s="155" t="s">
        <v>587</v>
      </c>
      <c r="E1633" s="156">
        <v>0.24199999999999999</v>
      </c>
      <c r="F1633" s="28">
        <v>25.954000000000001</v>
      </c>
      <c r="G1633" s="31">
        <f>IF(ISNUMBER(F1633),E1633*F1633,"")</f>
        <v>6.2808679999999999</v>
      </c>
      <c r="H1633" s="32"/>
      <c r="I1633" s="28"/>
      <c r="J1633" s="125">
        <v>0</v>
      </c>
    </row>
    <row r="1634" spans="1:10" ht="15.75" hidden="1" thickBot="1" x14ac:dyDescent="0.3">
      <c r="A1634" s="236"/>
      <c r="B1634" s="239"/>
      <c r="C1634" s="155"/>
      <c r="D1634" s="33"/>
      <c r="E1634" s="34"/>
      <c r="F1634" s="28" t="s">
        <v>418</v>
      </c>
      <c r="G1634" s="28" t="str">
        <f>IF(ISNUMBER(F1634),E1634*F1634,"")</f>
        <v/>
      </c>
      <c r="H1634" s="32"/>
      <c r="I1634" s="28"/>
      <c r="J1634" s="125">
        <v>0</v>
      </c>
    </row>
    <row r="1635" spans="1:10" ht="15.75" hidden="1" thickBot="1" x14ac:dyDescent="0.3">
      <c r="A1635" s="234" t="s">
        <v>417</v>
      </c>
      <c r="B1635" s="237" t="s">
        <v>419</v>
      </c>
      <c r="C1635" s="160"/>
      <c r="D1635" s="23" t="s">
        <v>16</v>
      </c>
      <c r="E1635" s="24"/>
      <c r="F1635" s="37" t="s">
        <v>418</v>
      </c>
      <c r="G1635" s="25" t="str">
        <f>IF(ISNUMBER(F1635),E1635*F1635,"")</f>
        <v/>
      </c>
      <c r="H1635" s="26"/>
      <c r="I1635" s="27"/>
      <c r="J1635" s="125">
        <v>0</v>
      </c>
    </row>
    <row r="1636" spans="1:10" ht="15.75" hidden="1" thickBot="1" x14ac:dyDescent="0.3">
      <c r="A1636" s="235"/>
      <c r="B1636" s="238"/>
      <c r="C1636" s="151"/>
      <c r="D1636" s="29"/>
      <c r="E1636" s="30"/>
      <c r="F1636" s="38" t="s">
        <v>418</v>
      </c>
      <c r="G1636" s="28" t="str">
        <f>IF(ISNUMBER(F1636),E1636*F1636,"")</f>
        <v/>
      </c>
      <c r="H1636" s="32"/>
      <c r="I1636" s="28"/>
      <c r="J1636" s="125">
        <v>0</v>
      </c>
    </row>
    <row r="1637" spans="1:10" ht="15.75" hidden="1" thickBot="1" x14ac:dyDescent="0.3">
      <c r="A1637" s="235"/>
      <c r="B1637" s="238"/>
      <c r="C1637" s="155" t="s">
        <v>1022</v>
      </c>
      <c r="D1637" s="155" t="s">
        <v>587</v>
      </c>
      <c r="E1637" s="34">
        <f>0.35/2</f>
        <v>0.17499999999999999</v>
      </c>
      <c r="F1637" s="28">
        <v>19.522500000000001</v>
      </c>
      <c r="G1637" s="31">
        <f>IF(ISNUMBER(F1637),E1637*F1637,"")</f>
        <v>3.4164374999999998</v>
      </c>
      <c r="H1637" s="35">
        <f>SUM(G1637:G1639)</f>
        <v>7.9583874999999997</v>
      </c>
      <c r="I1637" s="36"/>
      <c r="J1637" s="125">
        <v>0</v>
      </c>
    </row>
    <row r="1638" spans="1:10" ht="15.75" hidden="1" thickBot="1" x14ac:dyDescent="0.3">
      <c r="A1638" s="235"/>
      <c r="B1638" s="238"/>
      <c r="C1638" s="155" t="s">
        <v>1023</v>
      </c>
      <c r="D1638" s="155" t="s">
        <v>587</v>
      </c>
      <c r="E1638" s="34">
        <f>0.35/2</f>
        <v>0.17499999999999999</v>
      </c>
      <c r="F1638" s="28">
        <v>25.954000000000001</v>
      </c>
      <c r="G1638" s="31">
        <f>IF(ISNUMBER(F1638),E1638*F1638,"")</f>
        <v>4.5419499999999999</v>
      </c>
      <c r="H1638" s="58" t="s">
        <v>418</v>
      </c>
      <c r="I1638" s="59"/>
      <c r="J1638" s="125">
        <v>0</v>
      </c>
    </row>
    <row r="1639" spans="1:10" ht="15.75" hidden="1" thickBot="1" x14ac:dyDescent="0.3">
      <c r="A1639" s="235"/>
      <c r="B1639" s="238"/>
      <c r="C1639" s="155" t="s">
        <v>419</v>
      </c>
      <c r="D1639" s="33" t="s">
        <v>16</v>
      </c>
      <c r="E1639" s="34">
        <v>1</v>
      </c>
      <c r="F1639" s="31" t="s">
        <v>418</v>
      </c>
      <c r="G1639" s="31" t="str">
        <f>IF(ISNUMBER(F1639),E1639*F1639,"")</f>
        <v/>
      </c>
      <c r="H1639" s="32"/>
      <c r="I1639" s="28"/>
      <c r="J1639" s="125">
        <v>0</v>
      </c>
    </row>
    <row r="1640" spans="1:10" ht="15.75" hidden="1" thickBot="1" x14ac:dyDescent="0.3">
      <c r="A1640" s="236"/>
      <c r="B1640" s="239"/>
      <c r="C1640" s="155"/>
      <c r="D1640" s="33"/>
      <c r="E1640" s="34"/>
      <c r="F1640" s="28" t="s">
        <v>418</v>
      </c>
      <c r="G1640" s="28" t="str">
        <f>IF(ISNUMBER(F1640),E1640*F1640,"")</f>
        <v/>
      </c>
      <c r="H1640" s="32"/>
      <c r="I1640" s="28"/>
      <c r="J1640" s="125">
        <v>0</v>
      </c>
    </row>
    <row r="1641" spans="1:10" ht="15.75" hidden="1" thickBot="1" x14ac:dyDescent="0.3">
      <c r="A1641" s="234" t="s">
        <v>420</v>
      </c>
      <c r="B1641" s="237" t="s">
        <v>19720</v>
      </c>
      <c r="C1641" s="160"/>
      <c r="D1641" s="23" t="s">
        <v>16</v>
      </c>
      <c r="E1641" s="24"/>
      <c r="F1641" s="37" t="s">
        <v>418</v>
      </c>
      <c r="G1641" s="25" t="str">
        <f>IF(ISNUMBER(F1641),E1641*F1641,"")</f>
        <v/>
      </c>
      <c r="H1641" s="26"/>
      <c r="I1641" s="27"/>
      <c r="J1641" s="125">
        <v>0</v>
      </c>
    </row>
    <row r="1642" spans="1:10" ht="15.75" hidden="1" thickBot="1" x14ac:dyDescent="0.3">
      <c r="A1642" s="235"/>
      <c r="B1642" s="238"/>
      <c r="C1642" s="151"/>
      <c r="D1642" s="29"/>
      <c r="E1642" s="30"/>
      <c r="F1642" s="38" t="s">
        <v>418</v>
      </c>
      <c r="G1642" s="28" t="str">
        <f>IF(ISNUMBER(F1642),E1642*F1642,"")</f>
        <v/>
      </c>
      <c r="H1642" s="32"/>
      <c r="I1642" s="28"/>
      <c r="J1642" s="125">
        <v>0</v>
      </c>
    </row>
    <row r="1643" spans="1:10" ht="15.75" hidden="1" thickBot="1" x14ac:dyDescent="0.3">
      <c r="A1643" s="235"/>
      <c r="B1643" s="238"/>
      <c r="C1643" s="155" t="s">
        <v>1022</v>
      </c>
      <c r="D1643" s="155" t="s">
        <v>587</v>
      </c>
      <c r="E1643" s="34">
        <v>0.1</v>
      </c>
      <c r="F1643" s="28">
        <v>19.522500000000001</v>
      </c>
      <c r="G1643" s="28">
        <f>IF(ISNUMBER(F1643),E1643*F1643,"")</f>
        <v>1.9522500000000003</v>
      </c>
      <c r="H1643" s="35">
        <f>SUM(G1643:G1644)</f>
        <v>1.9522500000000003</v>
      </c>
      <c r="I1643" s="36"/>
      <c r="J1643" s="125">
        <v>0</v>
      </c>
    </row>
    <row r="1644" spans="1:10" ht="15.75" hidden="1" thickBot="1" x14ac:dyDescent="0.3">
      <c r="A1644" s="235"/>
      <c r="B1644" s="238"/>
      <c r="C1644" s="155" t="s">
        <v>421</v>
      </c>
      <c r="D1644" s="33" t="s">
        <v>16</v>
      </c>
      <c r="E1644" s="34">
        <v>1</v>
      </c>
      <c r="F1644" s="31" t="s">
        <v>418</v>
      </c>
      <c r="G1644" s="28" t="str">
        <f>IF(ISNUMBER(F1644),E1644*F1644,"")</f>
        <v/>
      </c>
      <c r="H1644" s="32"/>
      <c r="I1644" s="28"/>
      <c r="J1644" s="125">
        <v>0</v>
      </c>
    </row>
    <row r="1645" spans="1:10" ht="15.75" hidden="1" thickBot="1" x14ac:dyDescent="0.3">
      <c r="A1645" s="236"/>
      <c r="B1645" s="239"/>
      <c r="C1645" s="155"/>
      <c r="D1645" s="33"/>
      <c r="E1645" s="34"/>
      <c r="F1645" s="28" t="s">
        <v>418</v>
      </c>
      <c r="G1645" s="28" t="str">
        <f>IF(ISNUMBER(F1645),E1645*F1645,"")</f>
        <v/>
      </c>
      <c r="H1645" s="32"/>
      <c r="I1645" s="28"/>
      <c r="J1645" s="125">
        <v>0</v>
      </c>
    </row>
    <row r="1646" spans="1:10" ht="15.75" hidden="1" thickBot="1" x14ac:dyDescent="0.3">
      <c r="A1646" s="234" t="s">
        <v>422</v>
      </c>
      <c r="B1646" s="237" t="s">
        <v>19721</v>
      </c>
      <c r="C1646" s="160"/>
      <c r="D1646" s="23" t="s">
        <v>16</v>
      </c>
      <c r="E1646" s="24"/>
      <c r="F1646" s="37" t="s">
        <v>418</v>
      </c>
      <c r="G1646" s="25" t="str">
        <f>IF(ISNUMBER(F1646),E1646*F1646,"")</f>
        <v/>
      </c>
      <c r="H1646" s="26"/>
      <c r="I1646" s="27"/>
      <c r="J1646" s="125">
        <v>0</v>
      </c>
    </row>
    <row r="1647" spans="1:10" ht="15.75" hidden="1" thickBot="1" x14ac:dyDescent="0.3">
      <c r="A1647" s="235"/>
      <c r="B1647" s="238"/>
      <c r="C1647" s="151"/>
      <c r="D1647" s="29"/>
      <c r="E1647" s="30"/>
      <c r="F1647" s="38" t="s">
        <v>418</v>
      </c>
      <c r="G1647" s="28" t="str">
        <f>IF(ISNUMBER(F1647),E1647*F1647,"")</f>
        <v/>
      </c>
      <c r="H1647" s="32"/>
      <c r="I1647" s="28"/>
      <c r="J1647" s="125">
        <v>0</v>
      </c>
    </row>
    <row r="1648" spans="1:10" ht="15.75" hidden="1" thickBot="1" x14ac:dyDescent="0.3">
      <c r="A1648" s="235"/>
      <c r="B1648" s="238"/>
      <c r="C1648" s="155" t="s">
        <v>1022</v>
      </c>
      <c r="D1648" s="155" t="s">
        <v>587</v>
      </c>
      <c r="E1648" s="34">
        <v>0.1</v>
      </c>
      <c r="F1648" s="28">
        <v>19.522500000000001</v>
      </c>
      <c r="G1648" s="28">
        <f>IF(ISNUMBER(F1648),E1648*F1648,"")</f>
        <v>1.9522500000000003</v>
      </c>
      <c r="H1648" s="35">
        <f>SUM(G1648:G1649)</f>
        <v>1.9522500000000003</v>
      </c>
      <c r="I1648" s="36"/>
      <c r="J1648" s="125">
        <v>0</v>
      </c>
    </row>
    <row r="1649" spans="1:10" ht="15.75" hidden="1" thickBot="1" x14ac:dyDescent="0.3">
      <c r="A1649" s="235"/>
      <c r="B1649" s="238"/>
      <c r="C1649" s="155" t="s">
        <v>423</v>
      </c>
      <c r="D1649" s="33" t="s">
        <v>16</v>
      </c>
      <c r="E1649" s="34">
        <v>1</v>
      </c>
      <c r="F1649" s="31" t="s">
        <v>418</v>
      </c>
      <c r="G1649" s="28" t="str">
        <f>IF(ISNUMBER(F1649),E1649*F1649,"")</f>
        <v/>
      </c>
      <c r="H1649" s="32"/>
      <c r="I1649" s="28"/>
      <c r="J1649" s="125">
        <v>0</v>
      </c>
    </row>
    <row r="1650" spans="1:10" ht="15.75" hidden="1" thickBot="1" x14ac:dyDescent="0.3">
      <c r="A1650" s="236"/>
      <c r="B1650" s="239"/>
      <c r="C1650" s="155"/>
      <c r="D1650" s="33"/>
      <c r="E1650" s="34"/>
      <c r="F1650" s="28" t="s">
        <v>418</v>
      </c>
      <c r="G1650" s="28" t="str">
        <f>IF(ISNUMBER(F1650),E1650*F1650,"")</f>
        <v/>
      </c>
      <c r="H1650" s="32"/>
      <c r="I1650" s="28"/>
      <c r="J1650" s="125">
        <v>0</v>
      </c>
    </row>
    <row r="1651" spans="1:10" ht="15.75" hidden="1" thickBot="1" x14ac:dyDescent="0.3">
      <c r="A1651" s="234" t="s">
        <v>424</v>
      </c>
      <c r="B1651" s="237" t="s">
        <v>1448</v>
      </c>
      <c r="C1651" s="160"/>
      <c r="D1651" s="23" t="s">
        <v>16</v>
      </c>
      <c r="E1651" s="24"/>
      <c r="F1651" s="37" t="s">
        <v>418</v>
      </c>
      <c r="G1651" s="25" t="str">
        <f>IF(ISNUMBER(F1651),E1651*F1651,"")</f>
        <v/>
      </c>
      <c r="H1651" s="26"/>
      <c r="I1651" s="27"/>
      <c r="J1651" s="125">
        <v>0</v>
      </c>
    </row>
    <row r="1652" spans="1:10" ht="15.75" hidden="1" thickBot="1" x14ac:dyDescent="0.3">
      <c r="A1652" s="235"/>
      <c r="B1652" s="238"/>
      <c r="C1652" s="151"/>
      <c r="D1652" s="29"/>
      <c r="E1652" s="30"/>
      <c r="F1652" s="38" t="s">
        <v>418</v>
      </c>
      <c r="G1652" s="28" t="str">
        <f>IF(ISNUMBER(F1652),E1652*F1652,"")</f>
        <v/>
      </c>
      <c r="H1652" s="32"/>
      <c r="I1652" s="28"/>
      <c r="J1652" s="125">
        <v>0</v>
      </c>
    </row>
    <row r="1653" spans="1:10" ht="15.75" hidden="1" thickBot="1" x14ac:dyDescent="0.3">
      <c r="A1653" s="235"/>
      <c r="B1653" s="238"/>
      <c r="C1653" s="155" t="s">
        <v>1022</v>
      </c>
      <c r="D1653" s="155" t="s">
        <v>587</v>
      </c>
      <c r="E1653" s="34">
        <v>0.15</v>
      </c>
      <c r="F1653" s="28">
        <v>19.522500000000001</v>
      </c>
      <c r="G1653" s="31">
        <f>IF(ISNUMBER(F1653),E1653*F1653,"")</f>
        <v>2.928375</v>
      </c>
      <c r="H1653" s="35">
        <f>SUM(G1653:G1654)</f>
        <v>2.928375</v>
      </c>
      <c r="I1653" s="36"/>
      <c r="J1653" s="125">
        <v>0</v>
      </c>
    </row>
    <row r="1654" spans="1:10" ht="26.25" hidden="1" thickBot="1" x14ac:dyDescent="0.3">
      <c r="A1654" s="235"/>
      <c r="B1654" s="238"/>
      <c r="C1654" s="155" t="s">
        <v>425</v>
      </c>
      <c r="D1654" s="33" t="s">
        <v>16</v>
      </c>
      <c r="E1654" s="34">
        <v>1</v>
      </c>
      <c r="F1654" s="31" t="s">
        <v>418</v>
      </c>
      <c r="G1654" s="28" t="str">
        <f>IF(ISNUMBER(F1654),E1654*F1654,"")</f>
        <v/>
      </c>
      <c r="H1654" s="32"/>
      <c r="I1654" s="28"/>
      <c r="J1654" s="125">
        <v>0</v>
      </c>
    </row>
    <row r="1655" spans="1:10" ht="15.75" hidden="1" thickBot="1" x14ac:dyDescent="0.3">
      <c r="A1655" s="235"/>
      <c r="B1655" s="238"/>
      <c r="C1655" s="155"/>
      <c r="D1655" s="33"/>
      <c r="E1655" s="34"/>
      <c r="F1655" s="31" t="s">
        <v>418</v>
      </c>
      <c r="G1655" s="28" t="str">
        <f>IF(ISNUMBER(F1655),E1655*F1655,"")</f>
        <v/>
      </c>
      <c r="H1655" s="32"/>
      <c r="I1655" s="28"/>
      <c r="J1655" s="125">
        <v>0</v>
      </c>
    </row>
    <row r="1656" spans="1:10" ht="15.75" hidden="1" thickBot="1" x14ac:dyDescent="0.3">
      <c r="A1656" s="234" t="s">
        <v>426</v>
      </c>
      <c r="B1656" s="237" t="s">
        <v>1449</v>
      </c>
      <c r="C1656" s="160"/>
      <c r="D1656" s="23" t="s">
        <v>16</v>
      </c>
      <c r="E1656" s="24"/>
      <c r="F1656" s="37" t="s">
        <v>418</v>
      </c>
      <c r="G1656" s="25" t="str">
        <f>IF(ISNUMBER(F1656),E1656*F1656,"")</f>
        <v/>
      </c>
      <c r="H1656" s="26"/>
      <c r="I1656" s="27"/>
      <c r="J1656" s="125">
        <v>0</v>
      </c>
    </row>
    <row r="1657" spans="1:10" ht="15.75" hidden="1" thickBot="1" x14ac:dyDescent="0.3">
      <c r="A1657" s="235"/>
      <c r="B1657" s="238"/>
      <c r="C1657" s="151"/>
      <c r="D1657" s="29"/>
      <c r="E1657" s="30"/>
      <c r="F1657" s="38" t="s">
        <v>418</v>
      </c>
      <c r="G1657" s="28" t="str">
        <f>IF(ISNUMBER(F1657),E1657*F1657,"")</f>
        <v/>
      </c>
      <c r="H1657" s="32"/>
      <c r="I1657" s="28"/>
      <c r="J1657" s="125">
        <v>0</v>
      </c>
    </row>
    <row r="1658" spans="1:10" ht="15.75" hidden="1" thickBot="1" x14ac:dyDescent="0.3">
      <c r="A1658" s="235"/>
      <c r="B1658" s="238"/>
      <c r="C1658" s="155" t="s">
        <v>1022</v>
      </c>
      <c r="D1658" s="155" t="s">
        <v>587</v>
      </c>
      <c r="E1658" s="34">
        <v>0.15</v>
      </c>
      <c r="F1658" s="28">
        <v>19.522500000000001</v>
      </c>
      <c r="G1658" s="31">
        <f>IF(ISNUMBER(F1658),E1658*F1658,"")</f>
        <v>2.928375</v>
      </c>
      <c r="H1658" s="35">
        <f>SUM(G1658:G1660)</f>
        <v>6.8214749999999995</v>
      </c>
      <c r="I1658" s="36"/>
      <c r="J1658" s="125">
        <v>0</v>
      </c>
    </row>
    <row r="1659" spans="1:10" ht="15.75" hidden="1" thickBot="1" x14ac:dyDescent="0.3">
      <c r="A1659" s="235"/>
      <c r="B1659" s="238"/>
      <c r="C1659" s="155" t="s">
        <v>1023</v>
      </c>
      <c r="D1659" s="155" t="s">
        <v>587</v>
      </c>
      <c r="E1659" s="34">
        <v>0.15</v>
      </c>
      <c r="F1659" s="28">
        <v>25.954000000000001</v>
      </c>
      <c r="G1659" s="31">
        <f>IF(ISNUMBER(F1659),E1659*F1659,"")</f>
        <v>3.8931</v>
      </c>
      <c r="H1659" s="57"/>
      <c r="I1659" s="1"/>
      <c r="J1659" s="125">
        <v>0</v>
      </c>
    </row>
    <row r="1660" spans="1:10" ht="26.25" hidden="1" thickBot="1" x14ac:dyDescent="0.3">
      <c r="A1660" s="235"/>
      <c r="B1660" s="238"/>
      <c r="C1660" s="155" t="s">
        <v>427</v>
      </c>
      <c r="D1660" s="33" t="s">
        <v>16</v>
      </c>
      <c r="E1660" s="34">
        <v>1</v>
      </c>
      <c r="F1660" s="31" t="s">
        <v>418</v>
      </c>
      <c r="G1660" s="28" t="str">
        <f>IF(ISNUMBER(F1660),E1660*F1660,"")</f>
        <v/>
      </c>
      <c r="H1660" s="32"/>
      <c r="I1660" s="28"/>
      <c r="J1660" s="125">
        <v>0</v>
      </c>
    </row>
    <row r="1661" spans="1:10" ht="15.75" hidden="1" thickBot="1" x14ac:dyDescent="0.3">
      <c r="A1661" s="236"/>
      <c r="B1661" s="239"/>
      <c r="C1661" s="155"/>
      <c r="D1661" s="33"/>
      <c r="E1661" s="34"/>
      <c r="F1661" s="28" t="s">
        <v>418</v>
      </c>
      <c r="G1661" s="28" t="str">
        <f>IF(ISNUMBER(F1661),E1661*F1661,"")</f>
        <v/>
      </c>
      <c r="H1661" s="32"/>
      <c r="I1661" s="28"/>
      <c r="J1661" s="125">
        <v>0</v>
      </c>
    </row>
    <row r="1662" spans="1:10" ht="15.75" hidden="1" thickBot="1" x14ac:dyDescent="0.3">
      <c r="A1662" s="234" t="s">
        <v>428</v>
      </c>
      <c r="B1662" s="237" t="s">
        <v>1450</v>
      </c>
      <c r="C1662" s="160"/>
      <c r="D1662" s="23" t="s">
        <v>16</v>
      </c>
      <c r="E1662" s="24"/>
      <c r="F1662" s="37" t="s">
        <v>418</v>
      </c>
      <c r="G1662" s="25" t="str">
        <f>IF(ISNUMBER(F1662),E1662*F1662,"")</f>
        <v/>
      </c>
      <c r="H1662" s="26"/>
      <c r="I1662" s="27"/>
      <c r="J1662" s="125">
        <v>0</v>
      </c>
    </row>
    <row r="1663" spans="1:10" ht="15.75" hidden="1" thickBot="1" x14ac:dyDescent="0.3">
      <c r="A1663" s="235"/>
      <c r="B1663" s="238"/>
      <c r="C1663" s="151"/>
      <c r="D1663" s="29"/>
      <c r="E1663" s="30"/>
      <c r="F1663" s="38" t="s">
        <v>418</v>
      </c>
      <c r="G1663" s="28" t="str">
        <f>IF(ISNUMBER(F1663),E1663*F1663,"")</f>
        <v/>
      </c>
      <c r="H1663" s="32"/>
      <c r="I1663" s="28"/>
      <c r="J1663" s="125">
        <v>0</v>
      </c>
    </row>
    <row r="1664" spans="1:10" ht="15.75" hidden="1" thickBot="1" x14ac:dyDescent="0.3">
      <c r="A1664" s="235"/>
      <c r="B1664" s="238"/>
      <c r="C1664" s="155" t="s">
        <v>1023</v>
      </c>
      <c r="D1664" s="155" t="s">
        <v>587</v>
      </c>
      <c r="E1664" s="34">
        <v>0.317</v>
      </c>
      <c r="F1664" s="28">
        <v>25.954000000000001</v>
      </c>
      <c r="G1664" s="31">
        <f>IF(ISNUMBER(F1664),E1664*F1664,"")</f>
        <v>8.2274180000000001</v>
      </c>
      <c r="H1664" s="35">
        <f>SUM(G1664:G1667)</f>
        <v>14.416050500000001</v>
      </c>
      <c r="I1664" s="36"/>
      <c r="J1664" s="125">
        <v>0</v>
      </c>
    </row>
    <row r="1665" spans="1:10" ht="15.75" hidden="1" thickBot="1" x14ac:dyDescent="0.3">
      <c r="A1665" s="235"/>
      <c r="B1665" s="238"/>
      <c r="C1665" s="155" t="s">
        <v>1022</v>
      </c>
      <c r="D1665" s="155" t="s">
        <v>587</v>
      </c>
      <c r="E1665" s="156">
        <v>0.317</v>
      </c>
      <c r="F1665" s="28">
        <v>19.522500000000001</v>
      </c>
      <c r="G1665" s="31">
        <f>IF(ISNUMBER(F1665),E1665*F1665,"")</f>
        <v>6.1886325000000006</v>
      </c>
      <c r="H1665" s="32"/>
      <c r="I1665" s="28"/>
      <c r="J1665" s="125">
        <v>0</v>
      </c>
    </row>
    <row r="1666" spans="1:10" ht="26.25" hidden="1" thickBot="1" x14ac:dyDescent="0.3">
      <c r="A1666" s="235"/>
      <c r="B1666" s="238"/>
      <c r="C1666" s="155" t="s">
        <v>403</v>
      </c>
      <c r="D1666" s="33" t="s">
        <v>16</v>
      </c>
      <c r="E1666" s="34">
        <v>1</v>
      </c>
      <c r="F1666" s="31" t="s">
        <v>418</v>
      </c>
      <c r="G1666" s="31" t="str">
        <f>IF(ISNUMBER(F1666),E1666*F1666,"")</f>
        <v/>
      </c>
      <c r="H1666" s="32"/>
      <c r="I1666" s="28"/>
      <c r="J1666" s="125">
        <v>0</v>
      </c>
    </row>
    <row r="1667" spans="1:10" ht="26.25" hidden="1" thickBot="1" x14ac:dyDescent="0.3">
      <c r="A1667" s="235"/>
      <c r="B1667" s="238"/>
      <c r="C1667" s="155" t="s">
        <v>13540</v>
      </c>
      <c r="D1667" s="33" t="s">
        <v>16</v>
      </c>
      <c r="E1667" s="34">
        <v>1</v>
      </c>
      <c r="F1667" s="31" t="s">
        <v>418</v>
      </c>
      <c r="G1667" s="28" t="str">
        <f>IF(ISNUMBER(F1667),E1667*F1667,"")</f>
        <v/>
      </c>
      <c r="H1667" s="32"/>
      <c r="I1667" s="28"/>
      <c r="J1667" s="125">
        <v>0</v>
      </c>
    </row>
    <row r="1668" spans="1:10" ht="15.75" hidden="1" thickBot="1" x14ac:dyDescent="0.3">
      <c r="A1668" s="236"/>
      <c r="B1668" s="239"/>
      <c r="C1668" s="155"/>
      <c r="D1668" s="33"/>
      <c r="E1668" s="34"/>
      <c r="F1668" s="28" t="s">
        <v>418</v>
      </c>
      <c r="G1668" s="28" t="str">
        <f>IF(ISNUMBER(F1668),E1668*F1668,"")</f>
        <v/>
      </c>
      <c r="H1668" s="32"/>
      <c r="I1668" s="28"/>
      <c r="J1668" s="125">
        <v>0</v>
      </c>
    </row>
    <row r="1669" spans="1:10" ht="15.75" hidden="1" thickBot="1" x14ac:dyDescent="0.3">
      <c r="A1669" s="234" t="s">
        <v>429</v>
      </c>
      <c r="B1669" s="237" t="s">
        <v>1451</v>
      </c>
      <c r="C1669" s="160"/>
      <c r="D1669" s="23" t="s">
        <v>16</v>
      </c>
      <c r="E1669" s="24"/>
      <c r="F1669" s="37" t="s">
        <v>418</v>
      </c>
      <c r="G1669" s="25" t="str">
        <f>IF(ISNUMBER(F1669),E1669*F1669,"")</f>
        <v/>
      </c>
      <c r="H1669" s="26"/>
      <c r="I1669" s="27"/>
      <c r="J1669" s="125">
        <v>0</v>
      </c>
    </row>
    <row r="1670" spans="1:10" ht="15.75" hidden="1" thickBot="1" x14ac:dyDescent="0.3">
      <c r="A1670" s="235"/>
      <c r="B1670" s="238"/>
      <c r="C1670" s="151"/>
      <c r="D1670" s="29"/>
      <c r="E1670" s="30"/>
      <c r="F1670" s="38" t="s">
        <v>418</v>
      </c>
      <c r="G1670" s="28" t="str">
        <f>IF(ISNUMBER(F1670),E1670*F1670,"")</f>
        <v/>
      </c>
      <c r="H1670" s="32"/>
      <c r="I1670" s="28"/>
      <c r="J1670" s="125">
        <v>0</v>
      </c>
    </row>
    <row r="1671" spans="1:10" ht="15.75" hidden="1" thickBot="1" x14ac:dyDescent="0.3">
      <c r="A1671" s="235"/>
      <c r="B1671" s="238"/>
      <c r="C1671" s="155" t="s">
        <v>1022</v>
      </c>
      <c r="D1671" s="155" t="s">
        <v>587</v>
      </c>
      <c r="E1671" s="34">
        <v>0.65</v>
      </c>
      <c r="F1671" s="28">
        <v>19.522500000000001</v>
      </c>
      <c r="G1671" s="31">
        <f>IF(ISNUMBER(F1671),E1671*F1671,"")</f>
        <v>12.689625000000001</v>
      </c>
      <c r="H1671" s="35">
        <f>SUM(G1671:G1674)</f>
        <v>31.459724999999999</v>
      </c>
      <c r="I1671" s="36"/>
      <c r="J1671" s="125">
        <v>0</v>
      </c>
    </row>
    <row r="1672" spans="1:10" ht="15.75" hidden="1" thickBot="1" x14ac:dyDescent="0.3">
      <c r="A1672" s="235"/>
      <c r="B1672" s="238"/>
      <c r="C1672" s="155" t="s">
        <v>1023</v>
      </c>
      <c r="D1672" s="155" t="s">
        <v>587</v>
      </c>
      <c r="E1672" s="34">
        <v>0.65</v>
      </c>
      <c r="F1672" s="28">
        <v>25.954000000000001</v>
      </c>
      <c r="G1672" s="31">
        <f>IF(ISNUMBER(F1672),E1672*F1672,"")</f>
        <v>16.870100000000001</v>
      </c>
      <c r="H1672" s="32"/>
      <c r="I1672" s="28"/>
      <c r="J1672" s="125">
        <v>0</v>
      </c>
    </row>
    <row r="1673" spans="1:10" ht="15.75" hidden="1" thickBot="1" x14ac:dyDescent="0.3">
      <c r="A1673" s="235"/>
      <c r="B1673" s="238"/>
      <c r="C1673" s="155" t="s">
        <v>430</v>
      </c>
      <c r="D1673" s="33" t="s">
        <v>16</v>
      </c>
      <c r="E1673" s="34">
        <v>1</v>
      </c>
      <c r="F1673" s="28">
        <v>0.95</v>
      </c>
      <c r="G1673" s="28">
        <f>IF(ISNUMBER(F1673),E1673*F1673,"")</f>
        <v>0.95</v>
      </c>
      <c r="H1673" s="32"/>
      <c r="I1673" s="28"/>
      <c r="J1673" s="125">
        <v>0</v>
      </c>
    </row>
    <row r="1674" spans="1:10" ht="15.75" hidden="1" thickBot="1" x14ac:dyDescent="0.3">
      <c r="A1674" s="235"/>
      <c r="B1674" s="238"/>
      <c r="C1674" s="155" t="s">
        <v>432</v>
      </c>
      <c r="D1674" s="33" t="s">
        <v>16</v>
      </c>
      <c r="E1674" s="34">
        <v>1</v>
      </c>
      <c r="F1674" s="28">
        <v>0.95</v>
      </c>
      <c r="G1674" s="28">
        <f>IF(ISNUMBER(F1674),E1674*F1674,"")</f>
        <v>0.95</v>
      </c>
      <c r="H1674" s="32"/>
      <c r="I1674" s="28"/>
      <c r="J1674" s="125">
        <v>0</v>
      </c>
    </row>
    <row r="1675" spans="1:10" ht="15.75" hidden="1" thickBot="1" x14ac:dyDescent="0.3">
      <c r="A1675" s="236"/>
      <c r="B1675" s="239"/>
      <c r="C1675" s="155"/>
      <c r="D1675" s="33"/>
      <c r="E1675" s="34"/>
      <c r="F1675" s="28" t="s">
        <v>418</v>
      </c>
      <c r="G1675" s="28" t="str">
        <f>IF(ISNUMBER(F1675),E1675*F1675,"")</f>
        <v/>
      </c>
      <c r="H1675" s="32"/>
      <c r="I1675" s="28"/>
      <c r="J1675" s="125">
        <v>0</v>
      </c>
    </row>
    <row r="1676" spans="1:10" ht="15.75" hidden="1" thickBot="1" x14ac:dyDescent="0.3">
      <c r="A1676" s="234" t="s">
        <v>433</v>
      </c>
      <c r="B1676" s="237" t="s">
        <v>1452</v>
      </c>
      <c r="C1676" s="160"/>
      <c r="D1676" s="23" t="s">
        <v>16</v>
      </c>
      <c r="E1676" s="24"/>
      <c r="F1676" s="37" t="s">
        <v>418</v>
      </c>
      <c r="G1676" s="25" t="str">
        <f>IF(ISNUMBER(F1676),E1676*F1676,"")</f>
        <v/>
      </c>
      <c r="H1676" s="26"/>
      <c r="I1676" s="27"/>
      <c r="J1676" s="125">
        <v>0</v>
      </c>
    </row>
    <row r="1677" spans="1:10" ht="15.75" hidden="1" thickBot="1" x14ac:dyDescent="0.3">
      <c r="A1677" s="235"/>
      <c r="B1677" s="238"/>
      <c r="C1677" s="151"/>
      <c r="D1677" s="29"/>
      <c r="E1677" s="30"/>
      <c r="F1677" s="38" t="s">
        <v>418</v>
      </c>
      <c r="G1677" s="28" t="str">
        <f>IF(ISNUMBER(F1677),E1677*F1677,"")</f>
        <v/>
      </c>
      <c r="H1677" s="32"/>
      <c r="I1677" s="28"/>
      <c r="J1677" s="125">
        <v>0</v>
      </c>
    </row>
    <row r="1678" spans="1:10" ht="39" hidden="1" thickBot="1" x14ac:dyDescent="0.3">
      <c r="A1678" s="235"/>
      <c r="B1678" s="238"/>
      <c r="C1678" s="155" t="s">
        <v>434</v>
      </c>
      <c r="D1678" s="33" t="s">
        <v>97</v>
      </c>
      <c r="E1678" s="34">
        <v>1</v>
      </c>
      <c r="F1678" s="31" t="s">
        <v>418</v>
      </c>
      <c r="G1678" s="28" t="str">
        <f>IF(ISNUMBER(F1678),E1678*F1678,"")</f>
        <v/>
      </c>
      <c r="H1678" s="35">
        <f>SUM(G1678:G1680)</f>
        <v>6.1190260000000007</v>
      </c>
      <c r="I1678" s="36"/>
      <c r="J1678" s="125">
        <v>0</v>
      </c>
    </row>
    <row r="1679" spans="1:10" ht="15.75" hidden="1" thickBot="1" x14ac:dyDescent="0.3">
      <c r="A1679" s="235"/>
      <c r="B1679" s="238"/>
      <c r="C1679" s="155" t="s">
        <v>1022</v>
      </c>
      <c r="D1679" s="155" t="s">
        <v>587</v>
      </c>
      <c r="E1679" s="34">
        <v>7.4800000000000005E-2</v>
      </c>
      <c r="F1679" s="28">
        <v>19.522500000000001</v>
      </c>
      <c r="G1679" s="28">
        <f>IF(ISNUMBER(F1679),E1679*F1679,"")</f>
        <v>1.4602830000000002</v>
      </c>
      <c r="H1679" s="32"/>
      <c r="I1679" s="28"/>
      <c r="J1679" s="125">
        <v>0</v>
      </c>
    </row>
    <row r="1680" spans="1:10" ht="15.75" hidden="1" thickBot="1" x14ac:dyDescent="0.3">
      <c r="A1680" s="235"/>
      <c r="B1680" s="238"/>
      <c r="C1680" s="155" t="s">
        <v>1023</v>
      </c>
      <c r="D1680" s="155" t="s">
        <v>587</v>
      </c>
      <c r="E1680" s="34">
        <v>0.17949999999999999</v>
      </c>
      <c r="F1680" s="28">
        <v>25.954000000000001</v>
      </c>
      <c r="G1680" s="28">
        <f>IF(ISNUMBER(F1680),E1680*F1680,"")</f>
        <v>4.6587430000000003</v>
      </c>
      <c r="H1680" s="32"/>
      <c r="I1680" s="28"/>
      <c r="J1680" s="125">
        <v>0</v>
      </c>
    </row>
    <row r="1681" spans="1:10" ht="15.75" hidden="1" thickBot="1" x14ac:dyDescent="0.3">
      <c r="A1681" s="236"/>
      <c r="B1681" s="239"/>
      <c r="C1681" s="155"/>
      <c r="D1681" s="33"/>
      <c r="E1681" s="34"/>
      <c r="F1681" s="28" t="s">
        <v>418</v>
      </c>
      <c r="G1681" s="28" t="str">
        <f>IF(ISNUMBER(F1681),E1681*F1681,"")</f>
        <v/>
      </c>
      <c r="H1681" s="32"/>
      <c r="I1681" s="28"/>
      <c r="J1681" s="125">
        <v>0</v>
      </c>
    </row>
    <row r="1682" spans="1:10" ht="15.75" hidden="1" thickBot="1" x14ac:dyDescent="0.3">
      <c r="A1682" s="234" t="s">
        <v>435</v>
      </c>
      <c r="B1682" s="237" t="s">
        <v>1453</v>
      </c>
      <c r="C1682" s="160"/>
      <c r="D1682" s="23" t="s">
        <v>16</v>
      </c>
      <c r="E1682" s="24"/>
      <c r="F1682" s="37" t="s">
        <v>418</v>
      </c>
      <c r="G1682" s="25" t="str">
        <f>IF(ISNUMBER(F1682),E1682*F1682,"")</f>
        <v/>
      </c>
      <c r="H1682" s="26"/>
      <c r="I1682" s="27"/>
      <c r="J1682" s="125">
        <v>0</v>
      </c>
    </row>
    <row r="1683" spans="1:10" ht="15.75" hidden="1" thickBot="1" x14ac:dyDescent="0.3">
      <c r="A1683" s="235"/>
      <c r="B1683" s="238"/>
      <c r="C1683" s="151"/>
      <c r="D1683" s="29"/>
      <c r="E1683" s="30"/>
      <c r="F1683" s="38" t="s">
        <v>418</v>
      </c>
      <c r="G1683" s="28" t="str">
        <f>IF(ISNUMBER(F1683),E1683*F1683,"")</f>
        <v/>
      </c>
      <c r="H1683" s="32"/>
      <c r="I1683" s="28"/>
      <c r="J1683" s="125">
        <v>0</v>
      </c>
    </row>
    <row r="1684" spans="1:10" ht="15.75" hidden="1" thickBot="1" x14ac:dyDescent="0.3">
      <c r="A1684" s="235"/>
      <c r="B1684" s="238"/>
      <c r="C1684" s="155" t="s">
        <v>1022</v>
      </c>
      <c r="D1684" s="155" t="s">
        <v>587</v>
      </c>
      <c r="E1684" s="34">
        <v>0.14799999999999999</v>
      </c>
      <c r="F1684" s="28">
        <v>19.522500000000001</v>
      </c>
      <c r="G1684" s="28">
        <f>IF(ISNUMBER(F1684),E1684*F1684,"")</f>
        <v>2.8893300000000002</v>
      </c>
      <c r="H1684" s="35">
        <f>SUM(G1684:G1688)</f>
        <v>12.105595400000002</v>
      </c>
      <c r="I1684" s="36"/>
      <c r="J1684" s="125">
        <v>0</v>
      </c>
    </row>
    <row r="1685" spans="1:10" ht="15.75" hidden="1" thickBot="1" x14ac:dyDescent="0.3">
      <c r="A1685" s="235"/>
      <c r="B1685" s="238"/>
      <c r="C1685" s="155" t="s">
        <v>1023</v>
      </c>
      <c r="D1685" s="155" t="s">
        <v>587</v>
      </c>
      <c r="E1685" s="34">
        <v>0.35510000000000003</v>
      </c>
      <c r="F1685" s="28">
        <v>25.954000000000001</v>
      </c>
      <c r="G1685" s="28">
        <f>IF(ISNUMBER(F1685),E1685*F1685,"")</f>
        <v>9.2162654000000011</v>
      </c>
      <c r="H1685" s="40"/>
      <c r="I1685" s="41"/>
      <c r="J1685" s="125">
        <v>0</v>
      </c>
    </row>
    <row r="1686" spans="1:10" ht="26.25" hidden="1" thickBot="1" x14ac:dyDescent="0.3">
      <c r="A1686" s="235"/>
      <c r="B1686" s="238"/>
      <c r="C1686" s="155" t="s">
        <v>21392</v>
      </c>
      <c r="D1686" s="33" t="s">
        <v>69</v>
      </c>
      <c r="E1686" s="34">
        <v>1.5</v>
      </c>
      <c r="F1686" s="31" t="s">
        <v>418</v>
      </c>
      <c r="G1686" s="28" t="str">
        <f>IF(ISNUMBER(F1686),E1686*F1686,"")</f>
        <v/>
      </c>
      <c r="H1686" s="32"/>
      <c r="I1686" s="28"/>
      <c r="J1686" s="125">
        <v>0</v>
      </c>
    </row>
    <row r="1687" spans="1:10" ht="15.75" hidden="1" thickBot="1" x14ac:dyDescent="0.3">
      <c r="A1687" s="235"/>
      <c r="B1687" s="238"/>
      <c r="C1687" s="155" t="s">
        <v>436</v>
      </c>
      <c r="D1687" s="33" t="s">
        <v>97</v>
      </c>
      <c r="E1687" s="34">
        <v>1</v>
      </c>
      <c r="F1687" s="31" t="s">
        <v>418</v>
      </c>
      <c r="G1687" s="28" t="str">
        <f>IF(ISNUMBER(F1687),E1687*F1687,"")</f>
        <v/>
      </c>
      <c r="H1687" s="32"/>
      <c r="I1687" s="28"/>
      <c r="J1687" s="125">
        <v>0</v>
      </c>
    </row>
    <row r="1688" spans="1:10" ht="15.75" hidden="1" thickBot="1" x14ac:dyDescent="0.3">
      <c r="A1688" s="235"/>
      <c r="B1688" s="238"/>
      <c r="C1688" s="155" t="s">
        <v>437</v>
      </c>
      <c r="D1688" s="33" t="s">
        <v>97</v>
      </c>
      <c r="E1688" s="34">
        <v>1</v>
      </c>
      <c r="F1688" s="31" t="s">
        <v>418</v>
      </c>
      <c r="G1688" s="28" t="str">
        <f>IF(ISNUMBER(F1688),E1688*F1688,"")</f>
        <v/>
      </c>
      <c r="H1688" s="32"/>
      <c r="I1688" s="28"/>
      <c r="J1688" s="125">
        <v>0</v>
      </c>
    </row>
    <row r="1689" spans="1:10" ht="15.75" hidden="1" thickBot="1" x14ac:dyDescent="0.3">
      <c r="A1689" s="236"/>
      <c r="B1689" s="239"/>
      <c r="C1689" s="155"/>
      <c r="D1689" s="33"/>
      <c r="E1689" s="34"/>
      <c r="F1689" s="28" t="s">
        <v>418</v>
      </c>
      <c r="G1689" s="28" t="str">
        <f>IF(ISNUMBER(F1689),E1689*F1689,"")</f>
        <v/>
      </c>
      <c r="H1689" s="32"/>
      <c r="I1689" s="28"/>
      <c r="J1689" s="125">
        <v>0</v>
      </c>
    </row>
    <row r="1690" spans="1:10" ht="15.75" hidden="1" thickBot="1" x14ac:dyDescent="0.3">
      <c r="A1690" s="234" t="s">
        <v>438</v>
      </c>
      <c r="B1690" s="237" t="s">
        <v>21385</v>
      </c>
      <c r="C1690" s="160"/>
      <c r="D1690" s="23" t="s">
        <v>16</v>
      </c>
      <c r="E1690" s="24"/>
      <c r="F1690" s="37" t="s">
        <v>418</v>
      </c>
      <c r="G1690" s="25" t="str">
        <f>IF(ISNUMBER(F1690),E1690*F1690,"")</f>
        <v/>
      </c>
      <c r="H1690" s="26"/>
      <c r="I1690" s="27"/>
      <c r="J1690" s="125">
        <v>0</v>
      </c>
    </row>
    <row r="1691" spans="1:10" ht="15.75" hidden="1" thickBot="1" x14ac:dyDescent="0.3">
      <c r="A1691" s="235"/>
      <c r="B1691" s="238"/>
      <c r="C1691" s="151"/>
      <c r="D1691" s="29"/>
      <c r="E1691" s="30"/>
      <c r="F1691" s="38" t="s">
        <v>418</v>
      </c>
      <c r="G1691" s="28" t="str">
        <f>IF(ISNUMBER(F1691),E1691*F1691,"")</f>
        <v/>
      </c>
      <c r="H1691" s="32"/>
      <c r="I1691" s="28"/>
      <c r="J1691" s="125">
        <v>0</v>
      </c>
    </row>
    <row r="1692" spans="1:10" ht="39" hidden="1" thickBot="1" x14ac:dyDescent="0.3">
      <c r="A1692" s="235"/>
      <c r="B1692" s="238"/>
      <c r="C1692" s="155" t="s">
        <v>21396</v>
      </c>
      <c r="D1692" s="33" t="s">
        <v>97</v>
      </c>
      <c r="E1692" s="34">
        <v>1</v>
      </c>
      <c r="F1692" s="31" t="s">
        <v>418</v>
      </c>
      <c r="G1692" s="31" t="str">
        <f>IF(ISNUMBER(F1692),E1692*F1692,"")</f>
        <v/>
      </c>
      <c r="H1692" s="35">
        <f>SUM(G1692:G1698)</f>
        <v>12.105595400000002</v>
      </c>
      <c r="I1692" s="36"/>
      <c r="J1692" s="125">
        <v>0</v>
      </c>
    </row>
    <row r="1693" spans="1:10" ht="39" hidden="1" thickBot="1" x14ac:dyDescent="0.3">
      <c r="A1693" s="235"/>
      <c r="B1693" s="238"/>
      <c r="C1693" s="155" t="s">
        <v>21395</v>
      </c>
      <c r="D1693" s="33" t="s">
        <v>97</v>
      </c>
      <c r="E1693" s="34">
        <v>2</v>
      </c>
      <c r="F1693" s="31" t="s">
        <v>418</v>
      </c>
      <c r="G1693" s="31" t="str">
        <f>IF(ISNUMBER(F1693),E1693*F1693,"")</f>
        <v/>
      </c>
      <c r="H1693" s="40"/>
      <c r="I1693" s="41"/>
      <c r="J1693" s="125">
        <v>0</v>
      </c>
    </row>
    <row r="1694" spans="1:10" ht="26.25" hidden="1" thickBot="1" x14ac:dyDescent="0.3">
      <c r="A1694" s="235"/>
      <c r="B1694" s="238"/>
      <c r="C1694" s="155" t="s">
        <v>21392</v>
      </c>
      <c r="D1694" s="33" t="s">
        <v>69</v>
      </c>
      <c r="E1694" s="34">
        <v>1.5</v>
      </c>
      <c r="F1694" s="31" t="s">
        <v>418</v>
      </c>
      <c r="G1694" s="28" t="str">
        <f>IF(ISNUMBER(F1694),E1694*F1694,"")</f>
        <v/>
      </c>
      <c r="H1694" s="32"/>
      <c r="I1694" s="28"/>
      <c r="J1694" s="125">
        <v>0</v>
      </c>
    </row>
    <row r="1695" spans="1:10" ht="15.75" hidden="1" thickBot="1" x14ac:dyDescent="0.3">
      <c r="A1695" s="235"/>
      <c r="B1695" s="238"/>
      <c r="C1695" s="155" t="s">
        <v>436</v>
      </c>
      <c r="D1695" s="33" t="s">
        <v>97</v>
      </c>
      <c r="E1695" s="34">
        <v>1</v>
      </c>
      <c r="F1695" s="31" t="s">
        <v>418</v>
      </c>
      <c r="G1695" s="28" t="str">
        <f>IF(ISNUMBER(F1695),E1695*F1695,"")</f>
        <v/>
      </c>
      <c r="H1695" s="32"/>
      <c r="I1695" s="28"/>
      <c r="J1695" s="125">
        <v>0</v>
      </c>
    </row>
    <row r="1696" spans="1:10" ht="15.75" hidden="1" thickBot="1" x14ac:dyDescent="0.3">
      <c r="A1696" s="235"/>
      <c r="B1696" s="238"/>
      <c r="C1696" s="155" t="s">
        <v>437</v>
      </c>
      <c r="D1696" s="33" t="s">
        <v>97</v>
      </c>
      <c r="E1696" s="34">
        <v>1</v>
      </c>
      <c r="F1696" s="31" t="s">
        <v>418</v>
      </c>
      <c r="G1696" s="28" t="str">
        <f>IF(ISNUMBER(F1696),E1696*F1696,"")</f>
        <v/>
      </c>
      <c r="H1696" s="32"/>
      <c r="I1696" s="28"/>
      <c r="J1696" s="125">
        <v>0</v>
      </c>
    </row>
    <row r="1697" spans="1:10" ht="15.75" hidden="1" thickBot="1" x14ac:dyDescent="0.3">
      <c r="A1697" s="235"/>
      <c r="B1697" s="238"/>
      <c r="C1697" s="155" t="s">
        <v>1022</v>
      </c>
      <c r="D1697" s="155" t="s">
        <v>587</v>
      </c>
      <c r="E1697" s="34">
        <v>0.14799999999999999</v>
      </c>
      <c r="F1697" s="28">
        <v>19.522500000000001</v>
      </c>
      <c r="G1697" s="31">
        <f>IF(ISNUMBER(F1697),E1697*F1697,"")</f>
        <v>2.8893300000000002</v>
      </c>
      <c r="H1697" s="32"/>
      <c r="I1697" s="28"/>
      <c r="J1697" s="125">
        <v>0</v>
      </c>
    </row>
    <row r="1698" spans="1:10" ht="15.75" hidden="1" thickBot="1" x14ac:dyDescent="0.3">
      <c r="A1698" s="235"/>
      <c r="B1698" s="238"/>
      <c r="C1698" s="155" t="s">
        <v>1023</v>
      </c>
      <c r="D1698" s="155" t="s">
        <v>587</v>
      </c>
      <c r="E1698" s="34">
        <v>0.35510000000000003</v>
      </c>
      <c r="F1698" s="28">
        <v>25.954000000000001</v>
      </c>
      <c r="G1698" s="28">
        <f>IF(ISNUMBER(F1698),E1698*F1698,"")</f>
        <v>9.2162654000000011</v>
      </c>
      <c r="H1698" s="32"/>
      <c r="I1698" s="28"/>
      <c r="J1698" s="125">
        <v>0</v>
      </c>
    </row>
    <row r="1699" spans="1:10" ht="15.75" hidden="1" thickBot="1" x14ac:dyDescent="0.3">
      <c r="A1699" s="236"/>
      <c r="B1699" s="239"/>
      <c r="C1699" s="155"/>
      <c r="D1699" s="33"/>
      <c r="E1699" s="34"/>
      <c r="F1699" s="28" t="s">
        <v>418</v>
      </c>
      <c r="G1699" s="28" t="str">
        <f>IF(ISNUMBER(F1699),E1699*F1699,"")</f>
        <v/>
      </c>
      <c r="H1699" s="32"/>
      <c r="I1699" s="28"/>
      <c r="J1699" s="125">
        <v>0</v>
      </c>
    </row>
    <row r="1700" spans="1:10" ht="15.75" hidden="1" thickBot="1" x14ac:dyDescent="0.3">
      <c r="A1700" s="234" t="s">
        <v>439</v>
      </c>
      <c r="B1700" s="237" t="s">
        <v>21386</v>
      </c>
      <c r="C1700" s="160"/>
      <c r="D1700" s="23" t="s">
        <v>16</v>
      </c>
      <c r="E1700" s="24"/>
      <c r="F1700" s="37" t="s">
        <v>418</v>
      </c>
      <c r="G1700" s="25" t="str">
        <f>IF(ISNUMBER(F1700),E1700*F1700,"")</f>
        <v/>
      </c>
      <c r="H1700" s="26"/>
      <c r="I1700" s="27"/>
      <c r="J1700" s="125">
        <v>0</v>
      </c>
    </row>
    <row r="1701" spans="1:10" ht="15.75" hidden="1" thickBot="1" x14ac:dyDescent="0.3">
      <c r="A1701" s="235"/>
      <c r="B1701" s="238"/>
      <c r="C1701" s="151"/>
      <c r="D1701" s="29"/>
      <c r="E1701" s="30"/>
      <c r="F1701" s="38" t="s">
        <v>418</v>
      </c>
      <c r="G1701" s="28" t="str">
        <f>IF(ISNUMBER(F1701),E1701*F1701,"")</f>
        <v/>
      </c>
      <c r="H1701" s="32"/>
      <c r="I1701" s="28"/>
      <c r="J1701" s="125">
        <v>0</v>
      </c>
    </row>
    <row r="1702" spans="1:10" ht="39" hidden="1" thickBot="1" x14ac:dyDescent="0.3">
      <c r="A1702" s="235"/>
      <c r="B1702" s="238"/>
      <c r="C1702" s="155" t="s">
        <v>21397</v>
      </c>
      <c r="D1702" s="33" t="s">
        <v>97</v>
      </c>
      <c r="E1702" s="34">
        <v>1</v>
      </c>
      <c r="F1702" s="31" t="s">
        <v>418</v>
      </c>
      <c r="G1702" s="31" t="str">
        <f>IF(ISNUMBER(F1702),E1702*F1702,"")</f>
        <v/>
      </c>
      <c r="H1702" s="35">
        <f>SUM(G1702:G1708)</f>
        <v>14.12687335</v>
      </c>
      <c r="I1702" s="36"/>
      <c r="J1702" s="125">
        <v>0</v>
      </c>
    </row>
    <row r="1703" spans="1:10" ht="39" hidden="1" thickBot="1" x14ac:dyDescent="0.3">
      <c r="A1703" s="235"/>
      <c r="B1703" s="238"/>
      <c r="C1703" s="155" t="s">
        <v>21395</v>
      </c>
      <c r="D1703" s="33" t="s">
        <v>97</v>
      </c>
      <c r="E1703" s="34">
        <v>2</v>
      </c>
      <c r="F1703" s="31" t="s">
        <v>418</v>
      </c>
      <c r="G1703" s="31" t="str">
        <f>IF(ISNUMBER(F1703),E1703*F1703,"")</f>
        <v/>
      </c>
      <c r="H1703" s="40"/>
      <c r="I1703" s="41"/>
      <c r="J1703" s="125">
        <v>0</v>
      </c>
    </row>
    <row r="1704" spans="1:10" ht="26.25" hidden="1" thickBot="1" x14ac:dyDescent="0.3">
      <c r="A1704" s="235"/>
      <c r="B1704" s="238"/>
      <c r="C1704" s="155" t="s">
        <v>21392</v>
      </c>
      <c r="D1704" s="33" t="s">
        <v>69</v>
      </c>
      <c r="E1704" s="34">
        <v>1.5</v>
      </c>
      <c r="F1704" s="31" t="s">
        <v>418</v>
      </c>
      <c r="G1704" s="28" t="str">
        <f>IF(ISNUMBER(F1704),E1704*F1704,"")</f>
        <v/>
      </c>
      <c r="H1704" s="32"/>
      <c r="I1704" s="28"/>
      <c r="J1704" s="125">
        <v>0</v>
      </c>
    </row>
    <row r="1705" spans="1:10" ht="15.75" hidden="1" thickBot="1" x14ac:dyDescent="0.3">
      <c r="A1705" s="235"/>
      <c r="B1705" s="238"/>
      <c r="C1705" s="155" t="s">
        <v>436</v>
      </c>
      <c r="D1705" s="33" t="s">
        <v>97</v>
      </c>
      <c r="E1705" s="34">
        <v>1</v>
      </c>
      <c r="F1705" s="31" t="s">
        <v>418</v>
      </c>
      <c r="G1705" s="28" t="str">
        <f>IF(ISNUMBER(F1705),E1705*F1705,"")</f>
        <v/>
      </c>
      <c r="H1705" s="32"/>
      <c r="I1705" s="28"/>
      <c r="J1705" s="125">
        <v>0</v>
      </c>
    </row>
    <row r="1706" spans="1:10" ht="15.75" hidden="1" thickBot="1" x14ac:dyDescent="0.3">
      <c r="A1706" s="235"/>
      <c r="B1706" s="238"/>
      <c r="C1706" s="155" t="s">
        <v>437</v>
      </c>
      <c r="D1706" s="33" t="s">
        <v>97</v>
      </c>
      <c r="E1706" s="34">
        <v>1</v>
      </c>
      <c r="F1706" s="31" t="s">
        <v>418</v>
      </c>
      <c r="G1706" s="28" t="str">
        <f>IF(ISNUMBER(F1706),E1706*F1706,"")</f>
        <v/>
      </c>
      <c r="H1706" s="32"/>
      <c r="I1706" s="28"/>
      <c r="J1706" s="125">
        <v>0</v>
      </c>
    </row>
    <row r="1707" spans="1:10" ht="15.75" hidden="1" thickBot="1" x14ac:dyDescent="0.3">
      <c r="A1707" s="235"/>
      <c r="B1707" s="238"/>
      <c r="C1707" s="155" t="s">
        <v>1022</v>
      </c>
      <c r="D1707" s="155" t="s">
        <v>587</v>
      </c>
      <c r="E1707" s="34">
        <v>0.17269999999999999</v>
      </c>
      <c r="F1707" s="28">
        <v>19.522500000000001</v>
      </c>
      <c r="G1707" s="28">
        <f>IF(ISNUMBER(F1707),E1707*F1707,"")</f>
        <v>3.3715357500000001</v>
      </c>
      <c r="H1707" s="32"/>
      <c r="I1707" s="28"/>
      <c r="J1707" s="125">
        <v>0</v>
      </c>
    </row>
    <row r="1708" spans="1:10" ht="15.75" hidden="1" thickBot="1" x14ac:dyDescent="0.3">
      <c r="A1708" s="235"/>
      <c r="B1708" s="238"/>
      <c r="C1708" s="155" t="s">
        <v>1023</v>
      </c>
      <c r="D1708" s="155" t="s">
        <v>587</v>
      </c>
      <c r="E1708" s="34">
        <v>0.41439999999999999</v>
      </c>
      <c r="F1708" s="28">
        <v>25.954000000000001</v>
      </c>
      <c r="G1708" s="28">
        <f>IF(ISNUMBER(F1708),E1708*F1708,"")</f>
        <v>10.755337600000001</v>
      </c>
      <c r="H1708" s="32"/>
      <c r="I1708" s="28"/>
      <c r="J1708" s="125">
        <v>0</v>
      </c>
    </row>
    <row r="1709" spans="1:10" ht="15.75" hidden="1" thickBot="1" x14ac:dyDescent="0.3">
      <c r="A1709" s="236"/>
      <c r="B1709" s="239"/>
      <c r="C1709" s="155"/>
      <c r="D1709" s="33"/>
      <c r="E1709" s="34"/>
      <c r="F1709" s="28" t="s">
        <v>418</v>
      </c>
      <c r="G1709" s="28" t="str">
        <f>IF(ISNUMBER(F1709),E1709*F1709,"")</f>
        <v/>
      </c>
      <c r="H1709" s="32"/>
      <c r="I1709" s="28"/>
      <c r="J1709" s="125">
        <v>0</v>
      </c>
    </row>
    <row r="1710" spans="1:10" ht="15.75" hidden="1" thickBot="1" x14ac:dyDescent="0.3">
      <c r="A1710" s="234" t="s">
        <v>440</v>
      </c>
      <c r="B1710" s="237" t="s">
        <v>21387</v>
      </c>
      <c r="C1710" s="160"/>
      <c r="D1710" s="23" t="s">
        <v>16</v>
      </c>
      <c r="E1710" s="24"/>
      <c r="F1710" s="37" t="s">
        <v>418</v>
      </c>
      <c r="G1710" s="25" t="str">
        <f>IF(ISNUMBER(F1710),E1710*F1710,"")</f>
        <v/>
      </c>
      <c r="H1710" s="26"/>
      <c r="I1710" s="27"/>
      <c r="J1710" s="125">
        <v>0</v>
      </c>
    </row>
    <row r="1711" spans="1:10" ht="15.75" hidden="1" thickBot="1" x14ac:dyDescent="0.3">
      <c r="A1711" s="235"/>
      <c r="B1711" s="238"/>
      <c r="C1711" s="151"/>
      <c r="D1711" s="29"/>
      <c r="E1711" s="30"/>
      <c r="F1711" s="38" t="s">
        <v>418</v>
      </c>
      <c r="G1711" s="28" t="str">
        <f>IF(ISNUMBER(F1711),E1711*F1711,"")</f>
        <v/>
      </c>
      <c r="H1711" s="32"/>
      <c r="I1711" s="28"/>
      <c r="J1711" s="125">
        <v>0</v>
      </c>
    </row>
    <row r="1712" spans="1:10" ht="39" hidden="1" thickBot="1" x14ac:dyDescent="0.3">
      <c r="A1712" s="235"/>
      <c r="B1712" s="238"/>
      <c r="C1712" s="155" t="s">
        <v>21398</v>
      </c>
      <c r="D1712" s="33" t="s">
        <v>97</v>
      </c>
      <c r="E1712" s="34">
        <v>1</v>
      </c>
      <c r="F1712" s="31" t="s">
        <v>418</v>
      </c>
      <c r="G1712" s="28" t="str">
        <f>IF(ISNUMBER(F1712),E1712*F1712,"")</f>
        <v/>
      </c>
      <c r="H1712" s="35">
        <f>SUM(G1712:G1718)</f>
        <v>12.105595400000002</v>
      </c>
      <c r="I1712" s="36"/>
      <c r="J1712" s="125">
        <v>0</v>
      </c>
    </row>
    <row r="1713" spans="1:10" ht="39" hidden="1" thickBot="1" x14ac:dyDescent="0.3">
      <c r="A1713" s="235"/>
      <c r="B1713" s="238"/>
      <c r="C1713" s="155" t="s">
        <v>21399</v>
      </c>
      <c r="D1713" s="33" t="s">
        <v>97</v>
      </c>
      <c r="E1713" s="34">
        <v>2</v>
      </c>
      <c r="F1713" s="31" t="s">
        <v>418</v>
      </c>
      <c r="G1713" s="28" t="str">
        <f>IF(ISNUMBER(F1713),E1713*F1713,"")</f>
        <v/>
      </c>
      <c r="H1713" s="40"/>
      <c r="I1713" s="41"/>
      <c r="J1713" s="125">
        <v>0</v>
      </c>
    </row>
    <row r="1714" spans="1:10" ht="26.25" hidden="1" thickBot="1" x14ac:dyDescent="0.3">
      <c r="A1714" s="235"/>
      <c r="B1714" s="238"/>
      <c r="C1714" s="155" t="s">
        <v>21392</v>
      </c>
      <c r="D1714" s="33" t="s">
        <v>69</v>
      </c>
      <c r="E1714" s="34">
        <v>1.5</v>
      </c>
      <c r="F1714" s="31" t="s">
        <v>418</v>
      </c>
      <c r="G1714" s="28" t="str">
        <f>IF(ISNUMBER(F1714),E1714*F1714,"")</f>
        <v/>
      </c>
      <c r="H1714" s="32"/>
      <c r="I1714" s="28"/>
      <c r="J1714" s="125">
        <v>0</v>
      </c>
    </row>
    <row r="1715" spans="1:10" ht="15.75" hidden="1" thickBot="1" x14ac:dyDescent="0.3">
      <c r="A1715" s="235"/>
      <c r="B1715" s="238"/>
      <c r="C1715" s="155" t="s">
        <v>436</v>
      </c>
      <c r="D1715" s="33" t="s">
        <v>97</v>
      </c>
      <c r="E1715" s="34">
        <v>1</v>
      </c>
      <c r="F1715" s="31" t="s">
        <v>418</v>
      </c>
      <c r="G1715" s="28" t="str">
        <f>IF(ISNUMBER(F1715),E1715*F1715,"")</f>
        <v/>
      </c>
      <c r="H1715" s="32"/>
      <c r="I1715" s="28"/>
      <c r="J1715" s="125">
        <v>0</v>
      </c>
    </row>
    <row r="1716" spans="1:10" ht="15.75" hidden="1" thickBot="1" x14ac:dyDescent="0.3">
      <c r="A1716" s="235"/>
      <c r="B1716" s="238"/>
      <c r="C1716" s="155" t="s">
        <v>437</v>
      </c>
      <c r="D1716" s="33" t="s">
        <v>97</v>
      </c>
      <c r="E1716" s="34">
        <v>1</v>
      </c>
      <c r="F1716" s="31" t="s">
        <v>418</v>
      </c>
      <c r="G1716" s="28" t="str">
        <f>IF(ISNUMBER(F1716),E1716*F1716,"")</f>
        <v/>
      </c>
      <c r="H1716" s="32"/>
      <c r="I1716" s="28"/>
      <c r="J1716" s="125">
        <v>0</v>
      </c>
    </row>
    <row r="1717" spans="1:10" ht="15.75" hidden="1" thickBot="1" x14ac:dyDescent="0.3">
      <c r="A1717" s="235"/>
      <c r="B1717" s="238"/>
      <c r="C1717" s="155" t="s">
        <v>1022</v>
      </c>
      <c r="D1717" s="155" t="s">
        <v>587</v>
      </c>
      <c r="E1717" s="34">
        <v>0.14799999999999999</v>
      </c>
      <c r="F1717" s="28">
        <v>19.522500000000001</v>
      </c>
      <c r="G1717" s="31">
        <f>IF(ISNUMBER(F1717),E1717*F1717,"")</f>
        <v>2.8893300000000002</v>
      </c>
      <c r="H1717" s="32"/>
      <c r="I1717" s="28"/>
      <c r="J1717" s="125">
        <v>0</v>
      </c>
    </row>
    <row r="1718" spans="1:10" ht="15.75" hidden="1" thickBot="1" x14ac:dyDescent="0.3">
      <c r="A1718" s="235"/>
      <c r="B1718" s="238"/>
      <c r="C1718" s="155" t="s">
        <v>1023</v>
      </c>
      <c r="D1718" s="155" t="s">
        <v>587</v>
      </c>
      <c r="E1718" s="34">
        <v>0.35510000000000003</v>
      </c>
      <c r="F1718" s="28">
        <v>25.954000000000001</v>
      </c>
      <c r="G1718" s="28">
        <f>IF(ISNUMBER(F1718),E1718*F1718,"")</f>
        <v>9.2162654000000011</v>
      </c>
      <c r="H1718" s="32"/>
      <c r="I1718" s="28"/>
      <c r="J1718" s="125">
        <v>0</v>
      </c>
    </row>
    <row r="1719" spans="1:10" ht="15.75" hidden="1" thickBot="1" x14ac:dyDescent="0.3">
      <c r="A1719" s="236"/>
      <c r="B1719" s="239"/>
      <c r="C1719" s="155"/>
      <c r="D1719" s="33"/>
      <c r="E1719" s="34"/>
      <c r="F1719" s="28" t="s">
        <v>418</v>
      </c>
      <c r="G1719" s="28" t="str">
        <f>IF(ISNUMBER(F1719),E1719*F1719,"")</f>
        <v/>
      </c>
      <c r="H1719" s="32"/>
      <c r="I1719" s="28"/>
      <c r="J1719" s="125">
        <v>0</v>
      </c>
    </row>
    <row r="1720" spans="1:10" ht="15.75" hidden="1" thickBot="1" x14ac:dyDescent="0.3">
      <c r="A1720" s="234" t="s">
        <v>441</v>
      </c>
      <c r="B1720" s="237" t="s">
        <v>21388</v>
      </c>
      <c r="C1720" s="160"/>
      <c r="D1720" s="23" t="s">
        <v>16</v>
      </c>
      <c r="E1720" s="24"/>
      <c r="F1720" s="37" t="s">
        <v>418</v>
      </c>
      <c r="G1720" s="25" t="str">
        <f>IF(ISNUMBER(F1720),E1720*F1720,"")</f>
        <v/>
      </c>
      <c r="H1720" s="26"/>
      <c r="I1720" s="27"/>
      <c r="J1720" s="125">
        <v>0</v>
      </c>
    </row>
    <row r="1721" spans="1:10" ht="15.75" hidden="1" thickBot="1" x14ac:dyDescent="0.3">
      <c r="A1721" s="235"/>
      <c r="B1721" s="238"/>
      <c r="C1721" s="151"/>
      <c r="D1721" s="29"/>
      <c r="E1721" s="30"/>
      <c r="F1721" s="38" t="s">
        <v>418</v>
      </c>
      <c r="G1721" s="28" t="str">
        <f>IF(ISNUMBER(F1721),E1721*F1721,"")</f>
        <v/>
      </c>
      <c r="H1721" s="32"/>
      <c r="I1721" s="28"/>
      <c r="J1721" s="125">
        <v>0</v>
      </c>
    </row>
    <row r="1722" spans="1:10" ht="39" hidden="1" thickBot="1" x14ac:dyDescent="0.3">
      <c r="A1722" s="235"/>
      <c r="B1722" s="238"/>
      <c r="C1722" s="155" t="s">
        <v>21400</v>
      </c>
      <c r="D1722" s="33" t="s">
        <v>97</v>
      </c>
      <c r="E1722" s="34">
        <v>1</v>
      </c>
      <c r="F1722" s="31" t="s">
        <v>418</v>
      </c>
      <c r="G1722" s="28" t="str">
        <f>IF(ISNUMBER(F1722),E1722*F1722,"")</f>
        <v/>
      </c>
      <c r="H1722" s="35">
        <f>SUM(G1722:G1728)</f>
        <v>14.12687335</v>
      </c>
      <c r="I1722" s="36"/>
      <c r="J1722" s="125">
        <v>0</v>
      </c>
    </row>
    <row r="1723" spans="1:10" ht="39" hidden="1" thickBot="1" x14ac:dyDescent="0.3">
      <c r="A1723" s="235"/>
      <c r="B1723" s="238"/>
      <c r="C1723" s="155" t="s">
        <v>21399</v>
      </c>
      <c r="D1723" s="33" t="s">
        <v>97</v>
      </c>
      <c r="E1723" s="34">
        <v>2</v>
      </c>
      <c r="F1723" s="31" t="s">
        <v>418</v>
      </c>
      <c r="G1723" s="28" t="str">
        <f>IF(ISNUMBER(F1723),E1723*F1723,"")</f>
        <v/>
      </c>
      <c r="H1723" s="40"/>
      <c r="I1723" s="41"/>
      <c r="J1723" s="125">
        <v>0</v>
      </c>
    </row>
    <row r="1724" spans="1:10" ht="26.25" hidden="1" thickBot="1" x14ac:dyDescent="0.3">
      <c r="A1724" s="235"/>
      <c r="B1724" s="238"/>
      <c r="C1724" s="155" t="s">
        <v>21392</v>
      </c>
      <c r="D1724" s="33" t="s">
        <v>69</v>
      </c>
      <c r="E1724" s="34">
        <v>1.5</v>
      </c>
      <c r="F1724" s="31" t="s">
        <v>418</v>
      </c>
      <c r="G1724" s="28" t="str">
        <f>IF(ISNUMBER(F1724),E1724*F1724,"")</f>
        <v/>
      </c>
      <c r="H1724" s="32"/>
      <c r="I1724" s="28"/>
      <c r="J1724" s="125">
        <v>0</v>
      </c>
    </row>
    <row r="1725" spans="1:10" ht="15.75" hidden="1" thickBot="1" x14ac:dyDescent="0.3">
      <c r="A1725" s="235"/>
      <c r="B1725" s="238"/>
      <c r="C1725" s="155" t="s">
        <v>436</v>
      </c>
      <c r="D1725" s="33" t="s">
        <v>97</v>
      </c>
      <c r="E1725" s="34">
        <v>1</v>
      </c>
      <c r="F1725" s="31" t="s">
        <v>418</v>
      </c>
      <c r="G1725" s="28" t="str">
        <f>IF(ISNUMBER(F1725),E1725*F1725,"")</f>
        <v/>
      </c>
      <c r="H1725" s="32"/>
      <c r="I1725" s="28"/>
      <c r="J1725" s="125">
        <v>0</v>
      </c>
    </row>
    <row r="1726" spans="1:10" ht="15.75" hidden="1" thickBot="1" x14ac:dyDescent="0.3">
      <c r="A1726" s="235"/>
      <c r="B1726" s="238"/>
      <c r="C1726" s="155" t="s">
        <v>437</v>
      </c>
      <c r="D1726" s="33" t="s">
        <v>97</v>
      </c>
      <c r="E1726" s="34">
        <v>1</v>
      </c>
      <c r="F1726" s="31" t="s">
        <v>418</v>
      </c>
      <c r="G1726" s="28" t="str">
        <f>IF(ISNUMBER(F1726),E1726*F1726,"")</f>
        <v/>
      </c>
      <c r="H1726" s="32"/>
      <c r="I1726" s="28"/>
      <c r="J1726" s="125">
        <v>0</v>
      </c>
    </row>
    <row r="1727" spans="1:10" ht="15.75" hidden="1" thickBot="1" x14ac:dyDescent="0.3">
      <c r="A1727" s="235"/>
      <c r="B1727" s="238"/>
      <c r="C1727" s="155" t="s">
        <v>1022</v>
      </c>
      <c r="D1727" s="155" t="s">
        <v>587</v>
      </c>
      <c r="E1727" s="34">
        <v>0.17269999999999999</v>
      </c>
      <c r="F1727" s="28">
        <v>19.522500000000001</v>
      </c>
      <c r="G1727" s="28">
        <f>IF(ISNUMBER(F1727),E1727*F1727,"")</f>
        <v>3.3715357500000001</v>
      </c>
      <c r="H1727" s="32"/>
      <c r="I1727" s="28"/>
      <c r="J1727" s="125">
        <v>0</v>
      </c>
    </row>
    <row r="1728" spans="1:10" ht="15.75" hidden="1" thickBot="1" x14ac:dyDescent="0.3">
      <c r="A1728" s="235"/>
      <c r="B1728" s="238"/>
      <c r="C1728" s="155" t="s">
        <v>1023</v>
      </c>
      <c r="D1728" s="155" t="s">
        <v>587</v>
      </c>
      <c r="E1728" s="34">
        <v>0.41439999999999999</v>
      </c>
      <c r="F1728" s="28">
        <v>25.954000000000001</v>
      </c>
      <c r="G1728" s="28">
        <f>IF(ISNUMBER(F1728),E1728*F1728,"")</f>
        <v>10.755337600000001</v>
      </c>
      <c r="H1728" s="32"/>
      <c r="I1728" s="28"/>
      <c r="J1728" s="125">
        <v>0</v>
      </c>
    </row>
    <row r="1729" spans="1:10" ht="15.75" hidden="1" thickBot="1" x14ac:dyDescent="0.3">
      <c r="A1729" s="236"/>
      <c r="B1729" s="239"/>
      <c r="C1729" s="155"/>
      <c r="D1729" s="33"/>
      <c r="E1729" s="34"/>
      <c r="F1729" s="28" t="s">
        <v>418</v>
      </c>
      <c r="G1729" s="28" t="str">
        <f>IF(ISNUMBER(F1729),E1729*F1729,"")</f>
        <v/>
      </c>
      <c r="H1729" s="32"/>
      <c r="I1729" s="28"/>
      <c r="J1729" s="125">
        <v>0</v>
      </c>
    </row>
    <row r="1730" spans="1:10" ht="15.75" hidden="1" thickBot="1" x14ac:dyDescent="0.3">
      <c r="A1730" s="234" t="s">
        <v>442</v>
      </c>
      <c r="B1730" s="237" t="s">
        <v>12967</v>
      </c>
      <c r="C1730" s="160"/>
      <c r="D1730" s="23" t="s">
        <v>69</v>
      </c>
      <c r="E1730" s="24"/>
      <c r="F1730" s="37" t="s">
        <v>418</v>
      </c>
      <c r="G1730" s="25" t="str">
        <f>IF(ISNUMBER(F1730),E1730*F1730,"")</f>
        <v/>
      </c>
      <c r="H1730" s="26"/>
      <c r="I1730" s="27"/>
      <c r="J1730" s="125">
        <v>0</v>
      </c>
    </row>
    <row r="1731" spans="1:10" ht="15.75" hidden="1" thickBot="1" x14ac:dyDescent="0.3">
      <c r="A1731" s="235"/>
      <c r="B1731" s="238"/>
      <c r="C1731" s="151"/>
      <c r="D1731" s="29"/>
      <c r="E1731" s="30"/>
      <c r="F1731" s="38" t="s">
        <v>418</v>
      </c>
      <c r="G1731" s="28" t="str">
        <f>IF(ISNUMBER(F1731),E1731*F1731,"")</f>
        <v/>
      </c>
      <c r="H1731" s="32"/>
      <c r="I1731" s="28"/>
      <c r="J1731" s="125">
        <v>0</v>
      </c>
    </row>
    <row r="1732" spans="1:10" ht="15.75" hidden="1" thickBot="1" x14ac:dyDescent="0.3">
      <c r="A1732" s="235"/>
      <c r="B1732" s="238"/>
      <c r="C1732" s="155" t="s">
        <v>1022</v>
      </c>
      <c r="D1732" s="155" t="s">
        <v>587</v>
      </c>
      <c r="E1732" s="34">
        <v>8.9999999999999993E-3</v>
      </c>
      <c r="F1732" s="28">
        <v>19.522500000000001</v>
      </c>
      <c r="G1732" s="31">
        <f>IF(ISNUMBER(F1732),E1732*F1732,"")</f>
        <v>0.17570249999999998</v>
      </c>
      <c r="H1732" s="35">
        <f>SUM(G1732:G1735)</f>
        <v>1.4332934999999998</v>
      </c>
      <c r="I1732" s="36"/>
      <c r="J1732" s="125">
        <v>0</v>
      </c>
    </row>
    <row r="1733" spans="1:10" ht="15.75" hidden="1" thickBot="1" x14ac:dyDescent="0.3">
      <c r="A1733" s="235"/>
      <c r="B1733" s="238"/>
      <c r="C1733" s="155" t="s">
        <v>1023</v>
      </c>
      <c r="D1733" s="155" t="s">
        <v>587</v>
      </c>
      <c r="E1733" s="34">
        <v>8.9999999999999993E-3</v>
      </c>
      <c r="F1733" s="28">
        <v>25.954000000000001</v>
      </c>
      <c r="G1733" s="31">
        <f>IF(ISNUMBER(F1733),E1733*F1733,"")</f>
        <v>0.23358599999999999</v>
      </c>
      <c r="H1733" s="32"/>
      <c r="I1733" s="28"/>
      <c r="J1733" s="125">
        <v>0</v>
      </c>
    </row>
    <row r="1734" spans="1:10" ht="15.75" hidden="1" thickBot="1" x14ac:dyDescent="0.3">
      <c r="A1734" s="235"/>
      <c r="B1734" s="238"/>
      <c r="C1734" s="155" t="s">
        <v>443</v>
      </c>
      <c r="D1734" s="33" t="s">
        <v>69</v>
      </c>
      <c r="E1734" s="34">
        <v>1.0269999999999999</v>
      </c>
      <c r="F1734" s="31">
        <v>0.95</v>
      </c>
      <c r="G1734" s="31">
        <f>IF(ISNUMBER(F1734),E1734*F1734,"")</f>
        <v>0.97564999999999991</v>
      </c>
      <c r="H1734" s="32"/>
      <c r="I1734" s="28"/>
      <c r="J1734" s="125">
        <v>0</v>
      </c>
    </row>
    <row r="1735" spans="1:10" ht="26.25" hidden="1" thickBot="1" x14ac:dyDescent="0.3">
      <c r="A1735" s="235"/>
      <c r="B1735" s="238"/>
      <c r="C1735" s="155" t="s">
        <v>25511</v>
      </c>
      <c r="D1735" s="155" t="s">
        <v>205</v>
      </c>
      <c r="E1735" s="34">
        <v>0.01</v>
      </c>
      <c r="F1735" s="31">
        <v>4.8354999999999997</v>
      </c>
      <c r="G1735" s="31">
        <f>IF(ISNUMBER(F1735),E1735*F1735,"")</f>
        <v>4.8354999999999995E-2</v>
      </c>
      <c r="H1735" s="32"/>
      <c r="I1735" s="28"/>
      <c r="J1735" s="125">
        <v>0</v>
      </c>
    </row>
    <row r="1736" spans="1:10" ht="15.75" hidden="1" thickBot="1" x14ac:dyDescent="0.3">
      <c r="A1736" s="236"/>
      <c r="B1736" s="239"/>
      <c r="C1736" s="155"/>
      <c r="D1736" s="33"/>
      <c r="E1736" s="34"/>
      <c r="F1736" s="28" t="s">
        <v>418</v>
      </c>
      <c r="G1736" s="28" t="str">
        <f>IF(ISNUMBER(F1736),E1736*F1736,"")</f>
        <v/>
      </c>
      <c r="H1736" s="32"/>
      <c r="I1736" s="28"/>
      <c r="J1736" s="125">
        <v>0</v>
      </c>
    </row>
    <row r="1737" spans="1:10" ht="15.75" hidden="1" thickBot="1" x14ac:dyDescent="0.3">
      <c r="A1737" s="234" t="s">
        <v>445</v>
      </c>
      <c r="B1737" s="237" t="s">
        <v>12968</v>
      </c>
      <c r="C1737" s="160"/>
      <c r="D1737" s="23" t="s">
        <v>69</v>
      </c>
      <c r="E1737" s="24"/>
      <c r="F1737" s="37" t="s">
        <v>418</v>
      </c>
      <c r="G1737" s="25" t="str">
        <f>IF(ISNUMBER(F1737),E1737*F1737,"")</f>
        <v/>
      </c>
      <c r="H1737" s="26"/>
      <c r="I1737" s="27"/>
      <c r="J1737" s="125">
        <v>0</v>
      </c>
    </row>
    <row r="1738" spans="1:10" ht="15.75" hidden="1" thickBot="1" x14ac:dyDescent="0.3">
      <c r="A1738" s="235"/>
      <c r="B1738" s="238"/>
      <c r="C1738" s="151"/>
      <c r="D1738" s="29"/>
      <c r="E1738" s="30"/>
      <c r="F1738" s="38" t="s">
        <v>418</v>
      </c>
      <c r="G1738" s="28" t="str">
        <f>IF(ISNUMBER(F1738),E1738*F1738,"")</f>
        <v/>
      </c>
      <c r="H1738" s="32"/>
      <c r="I1738" s="28"/>
      <c r="J1738" s="125">
        <v>0</v>
      </c>
    </row>
    <row r="1739" spans="1:10" ht="15.75" hidden="1" thickBot="1" x14ac:dyDescent="0.3">
      <c r="A1739" s="235"/>
      <c r="B1739" s="238"/>
      <c r="C1739" s="155" t="s">
        <v>1022</v>
      </c>
      <c r="D1739" s="155" t="s">
        <v>587</v>
      </c>
      <c r="E1739" s="34">
        <v>1.2999999999999999E-2</v>
      </c>
      <c r="F1739" s="28">
        <v>19.522500000000001</v>
      </c>
      <c r="G1739" s="31">
        <f>IF(ISNUMBER(F1739),E1739*F1739,"")</f>
        <v>0.25379249999999998</v>
      </c>
      <c r="H1739" s="35">
        <f>SUM(G1739:G1742)</f>
        <v>1.6151994999999997</v>
      </c>
      <c r="I1739" s="36"/>
      <c r="J1739" s="125">
        <v>0</v>
      </c>
    </row>
    <row r="1740" spans="1:10" ht="15.75" hidden="1" thickBot="1" x14ac:dyDescent="0.3">
      <c r="A1740" s="235"/>
      <c r="B1740" s="238"/>
      <c r="C1740" s="155" t="s">
        <v>1023</v>
      </c>
      <c r="D1740" s="155" t="s">
        <v>587</v>
      </c>
      <c r="E1740" s="34">
        <v>1.2999999999999999E-2</v>
      </c>
      <c r="F1740" s="28">
        <v>25.954000000000001</v>
      </c>
      <c r="G1740" s="31">
        <f>IF(ISNUMBER(F1740),E1740*F1740,"")</f>
        <v>0.33740199999999998</v>
      </c>
      <c r="H1740" s="32"/>
      <c r="I1740" s="28"/>
      <c r="J1740" s="125">
        <v>0</v>
      </c>
    </row>
    <row r="1741" spans="1:10" ht="15.75" hidden="1" thickBot="1" x14ac:dyDescent="0.3">
      <c r="A1741" s="235"/>
      <c r="B1741" s="238"/>
      <c r="C1741" s="155" t="s">
        <v>446</v>
      </c>
      <c r="D1741" s="33" t="s">
        <v>69</v>
      </c>
      <c r="E1741" s="34">
        <v>1.0269999999999999</v>
      </c>
      <c r="F1741" s="31">
        <v>0.95</v>
      </c>
      <c r="G1741" s="31">
        <f>IF(ISNUMBER(F1741),E1741*F1741,"")</f>
        <v>0.97564999999999991</v>
      </c>
      <c r="H1741" s="32"/>
      <c r="I1741" s="28"/>
      <c r="J1741" s="125">
        <v>0</v>
      </c>
    </row>
    <row r="1742" spans="1:10" ht="26.25" hidden="1" thickBot="1" x14ac:dyDescent="0.3">
      <c r="A1742" s="235"/>
      <c r="B1742" s="238"/>
      <c r="C1742" s="155" t="s">
        <v>25511</v>
      </c>
      <c r="D1742" s="155" t="s">
        <v>205</v>
      </c>
      <c r="E1742" s="34">
        <v>0.01</v>
      </c>
      <c r="F1742" s="31">
        <v>4.8354999999999997</v>
      </c>
      <c r="G1742" s="31">
        <f>IF(ISNUMBER(F1742),E1742*F1742,"")</f>
        <v>4.8354999999999995E-2</v>
      </c>
      <c r="H1742" s="32"/>
      <c r="I1742" s="28"/>
      <c r="J1742" s="125">
        <v>0</v>
      </c>
    </row>
    <row r="1743" spans="1:10" ht="15.75" hidden="1" thickBot="1" x14ac:dyDescent="0.3">
      <c r="A1743" s="236"/>
      <c r="B1743" s="239"/>
      <c r="C1743" s="155"/>
      <c r="D1743" s="33"/>
      <c r="E1743" s="34"/>
      <c r="F1743" s="28" t="s">
        <v>418</v>
      </c>
      <c r="G1743" s="28" t="str">
        <f>IF(ISNUMBER(F1743),E1743*F1743,"")</f>
        <v/>
      </c>
      <c r="H1743" s="32"/>
      <c r="I1743" s="28"/>
      <c r="J1743" s="125">
        <v>0</v>
      </c>
    </row>
    <row r="1744" spans="1:10" ht="15.75" hidden="1" thickBot="1" x14ac:dyDescent="0.3">
      <c r="A1744" s="234" t="s">
        <v>448</v>
      </c>
      <c r="B1744" s="237" t="s">
        <v>1454</v>
      </c>
      <c r="C1744" s="160"/>
      <c r="D1744" s="23" t="s">
        <v>69</v>
      </c>
      <c r="E1744" s="24"/>
      <c r="F1744" s="37" t="s">
        <v>418</v>
      </c>
      <c r="G1744" s="25" t="str">
        <f>IF(ISNUMBER(F1744),E1744*F1744,"")</f>
        <v/>
      </c>
      <c r="H1744" s="26"/>
      <c r="I1744" s="27"/>
      <c r="J1744" s="125">
        <v>0</v>
      </c>
    </row>
    <row r="1745" spans="1:10" ht="15.75" hidden="1" thickBot="1" x14ac:dyDescent="0.3">
      <c r="A1745" s="235"/>
      <c r="B1745" s="238"/>
      <c r="C1745" s="151"/>
      <c r="D1745" s="29"/>
      <c r="E1745" s="30"/>
      <c r="F1745" s="38" t="s">
        <v>418</v>
      </c>
      <c r="G1745" s="28" t="str">
        <f>IF(ISNUMBER(F1745),E1745*F1745,"")</f>
        <v/>
      </c>
      <c r="H1745" s="32"/>
      <c r="I1745" s="28"/>
      <c r="J1745" s="125">
        <v>0</v>
      </c>
    </row>
    <row r="1746" spans="1:10" ht="15.75" hidden="1" thickBot="1" x14ac:dyDescent="0.3">
      <c r="A1746" s="235"/>
      <c r="B1746" s="238"/>
      <c r="C1746" s="155" t="s">
        <v>1022</v>
      </c>
      <c r="D1746" s="155" t="s">
        <v>587</v>
      </c>
      <c r="E1746" s="34">
        <v>2.9000000000000001E-2</v>
      </c>
      <c r="F1746" s="28">
        <v>19.522500000000001</v>
      </c>
      <c r="G1746" s="31">
        <f>IF(ISNUMBER(F1746),E1746*F1746,"")</f>
        <v>0.56615250000000006</v>
      </c>
      <c r="H1746" s="35">
        <f>SUM(G1746:G1749)</f>
        <v>1.3642722</v>
      </c>
      <c r="I1746" s="36"/>
      <c r="J1746" s="125">
        <v>0</v>
      </c>
    </row>
    <row r="1747" spans="1:10" ht="15.75" hidden="1" thickBot="1" x14ac:dyDescent="0.3">
      <c r="A1747" s="235"/>
      <c r="B1747" s="238"/>
      <c r="C1747" s="155" t="s">
        <v>1023</v>
      </c>
      <c r="D1747" s="155" t="s">
        <v>587</v>
      </c>
      <c r="E1747" s="156">
        <v>2.9000000000000001E-2</v>
      </c>
      <c r="F1747" s="28">
        <v>25.954000000000001</v>
      </c>
      <c r="G1747" s="31">
        <f>IF(ISNUMBER(F1747),E1747*F1747,"")</f>
        <v>0.75266600000000006</v>
      </c>
      <c r="H1747" s="32"/>
      <c r="I1747" s="28"/>
      <c r="J1747" s="125">
        <v>0</v>
      </c>
    </row>
    <row r="1748" spans="1:10" ht="26.25" hidden="1" thickBot="1" x14ac:dyDescent="0.3">
      <c r="A1748" s="235"/>
      <c r="B1748" s="238"/>
      <c r="C1748" s="155" t="s">
        <v>449</v>
      </c>
      <c r="D1748" s="33" t="s">
        <v>69</v>
      </c>
      <c r="E1748" s="34">
        <v>1.2434000000000001</v>
      </c>
      <c r="F1748" s="31" t="s">
        <v>418</v>
      </c>
      <c r="G1748" s="31" t="str">
        <f>IF(ISNUMBER(F1748),E1748*F1748,"")</f>
        <v/>
      </c>
      <c r="H1748" s="32"/>
      <c r="I1748" s="28"/>
      <c r="J1748" s="125">
        <v>0</v>
      </c>
    </row>
    <row r="1749" spans="1:10" ht="26.25" hidden="1" thickBot="1" x14ac:dyDescent="0.3">
      <c r="A1749" s="235"/>
      <c r="B1749" s="238"/>
      <c r="C1749" s="155" t="s">
        <v>25511</v>
      </c>
      <c r="D1749" s="155" t="s">
        <v>205</v>
      </c>
      <c r="E1749" s="34">
        <v>9.4000000000000004E-3</v>
      </c>
      <c r="F1749" s="31">
        <v>4.8354999999999997</v>
      </c>
      <c r="G1749" s="31">
        <f>IF(ISNUMBER(F1749),E1749*F1749,"")</f>
        <v>4.54537E-2</v>
      </c>
      <c r="H1749" s="32"/>
      <c r="I1749" s="28"/>
      <c r="J1749" s="125">
        <v>0</v>
      </c>
    </row>
    <row r="1750" spans="1:10" ht="15.75" hidden="1" thickBot="1" x14ac:dyDescent="0.3">
      <c r="A1750" s="236"/>
      <c r="B1750" s="239"/>
      <c r="C1750" s="155"/>
      <c r="D1750" s="33"/>
      <c r="E1750" s="34"/>
      <c r="F1750" s="28" t="s">
        <v>418</v>
      </c>
      <c r="G1750" s="28" t="str">
        <f>IF(ISNUMBER(F1750),E1750*F1750,"")</f>
        <v/>
      </c>
      <c r="H1750" s="32"/>
      <c r="I1750" s="28"/>
      <c r="J1750" s="125">
        <v>0</v>
      </c>
    </row>
    <row r="1751" spans="1:10" ht="15.75" hidden="1" thickBot="1" x14ac:dyDescent="0.3">
      <c r="A1751" s="234" t="s">
        <v>450</v>
      </c>
      <c r="B1751" s="237" t="s">
        <v>1455</v>
      </c>
      <c r="C1751" s="160"/>
      <c r="D1751" s="23" t="s">
        <v>69</v>
      </c>
      <c r="E1751" s="24"/>
      <c r="F1751" s="37" t="s">
        <v>418</v>
      </c>
      <c r="G1751" s="25" t="str">
        <f>IF(ISNUMBER(F1751),E1751*F1751,"")</f>
        <v/>
      </c>
      <c r="H1751" s="26"/>
      <c r="I1751" s="27"/>
      <c r="J1751" s="125">
        <v>0</v>
      </c>
    </row>
    <row r="1752" spans="1:10" ht="15.75" hidden="1" thickBot="1" x14ac:dyDescent="0.3">
      <c r="A1752" s="235"/>
      <c r="B1752" s="238"/>
      <c r="C1752" s="151"/>
      <c r="D1752" s="29"/>
      <c r="E1752" s="30"/>
      <c r="F1752" s="38" t="s">
        <v>418</v>
      </c>
      <c r="G1752" s="28" t="str">
        <f>IF(ISNUMBER(F1752),E1752*F1752,"")</f>
        <v/>
      </c>
      <c r="H1752" s="32"/>
      <c r="I1752" s="28"/>
      <c r="J1752" s="125">
        <v>0</v>
      </c>
    </row>
    <row r="1753" spans="1:10" ht="15.75" hidden="1" thickBot="1" x14ac:dyDescent="0.3">
      <c r="A1753" s="235"/>
      <c r="B1753" s="238"/>
      <c r="C1753" s="155" t="s">
        <v>1022</v>
      </c>
      <c r="D1753" s="155" t="s">
        <v>587</v>
      </c>
      <c r="E1753" s="34">
        <v>5.0999999999999997E-2</v>
      </c>
      <c r="F1753" s="28">
        <v>19.522500000000001</v>
      </c>
      <c r="G1753" s="31">
        <f>IF(ISNUMBER(F1753),E1753*F1753,"")</f>
        <v>0.99564750000000002</v>
      </c>
      <c r="H1753" s="35">
        <f>SUM(G1753:G1756)</f>
        <v>2.3647551999999998</v>
      </c>
      <c r="I1753" s="36"/>
      <c r="J1753" s="125">
        <v>0</v>
      </c>
    </row>
    <row r="1754" spans="1:10" ht="15.75" hidden="1" thickBot="1" x14ac:dyDescent="0.3">
      <c r="A1754" s="235"/>
      <c r="B1754" s="238"/>
      <c r="C1754" s="155" t="s">
        <v>1023</v>
      </c>
      <c r="D1754" s="155" t="s">
        <v>587</v>
      </c>
      <c r="E1754" s="156">
        <v>5.0999999999999997E-2</v>
      </c>
      <c r="F1754" s="28">
        <v>25.954000000000001</v>
      </c>
      <c r="G1754" s="31">
        <f>IF(ISNUMBER(F1754),E1754*F1754,"")</f>
        <v>1.3236539999999999</v>
      </c>
      <c r="H1754" s="32"/>
      <c r="I1754" s="28"/>
      <c r="J1754" s="125">
        <v>0</v>
      </c>
    </row>
    <row r="1755" spans="1:10" ht="26.25" hidden="1" thickBot="1" x14ac:dyDescent="0.3">
      <c r="A1755" s="235"/>
      <c r="B1755" s="238"/>
      <c r="C1755" s="155" t="s">
        <v>451</v>
      </c>
      <c r="D1755" s="33" t="s">
        <v>69</v>
      </c>
      <c r="E1755" s="156">
        <v>1.2434000000000001</v>
      </c>
      <c r="F1755" s="31" t="s">
        <v>418</v>
      </c>
      <c r="G1755" s="31" t="str">
        <f>IF(ISNUMBER(F1755),E1755*F1755,"")</f>
        <v/>
      </c>
      <c r="H1755" s="32"/>
      <c r="I1755" s="28"/>
      <c r="J1755" s="125">
        <v>0</v>
      </c>
    </row>
    <row r="1756" spans="1:10" ht="26.25" hidden="1" thickBot="1" x14ac:dyDescent="0.3">
      <c r="A1756" s="235"/>
      <c r="B1756" s="238"/>
      <c r="C1756" s="155" t="s">
        <v>25511</v>
      </c>
      <c r="D1756" s="155" t="s">
        <v>205</v>
      </c>
      <c r="E1756" s="156">
        <v>9.4000000000000004E-3</v>
      </c>
      <c r="F1756" s="31">
        <v>4.8354999999999997</v>
      </c>
      <c r="G1756" s="31">
        <f>IF(ISNUMBER(F1756),E1756*F1756,"")</f>
        <v>4.54537E-2</v>
      </c>
      <c r="H1756" s="32"/>
      <c r="I1756" s="28"/>
      <c r="J1756" s="125">
        <v>0</v>
      </c>
    </row>
    <row r="1757" spans="1:10" ht="15.75" hidden="1" thickBot="1" x14ac:dyDescent="0.3">
      <c r="A1757" s="236"/>
      <c r="B1757" s="239"/>
      <c r="C1757" s="155"/>
      <c r="D1757" s="33"/>
      <c r="E1757" s="34"/>
      <c r="F1757" s="28" t="s">
        <v>418</v>
      </c>
      <c r="G1757" s="28" t="str">
        <f>IF(ISNUMBER(F1757),E1757*F1757,"")</f>
        <v/>
      </c>
      <c r="H1757" s="32"/>
      <c r="I1757" s="28"/>
      <c r="J1757" s="125">
        <v>0</v>
      </c>
    </row>
    <row r="1758" spans="1:10" ht="15.75" hidden="1" thickBot="1" x14ac:dyDescent="0.3">
      <c r="A1758" s="234" t="s">
        <v>452</v>
      </c>
      <c r="B1758" s="237" t="s">
        <v>1456</v>
      </c>
      <c r="C1758" s="160"/>
      <c r="D1758" s="23" t="s">
        <v>69</v>
      </c>
      <c r="E1758" s="24"/>
      <c r="F1758" s="37" t="s">
        <v>418</v>
      </c>
      <c r="G1758" s="25" t="str">
        <f>IF(ISNUMBER(F1758),E1758*F1758,"")</f>
        <v/>
      </c>
      <c r="H1758" s="26"/>
      <c r="I1758" s="27"/>
      <c r="J1758" s="125">
        <v>0</v>
      </c>
    </row>
    <row r="1759" spans="1:10" ht="15.75" hidden="1" thickBot="1" x14ac:dyDescent="0.3">
      <c r="A1759" s="235"/>
      <c r="B1759" s="238"/>
      <c r="C1759" s="151"/>
      <c r="D1759" s="29"/>
      <c r="E1759" s="30"/>
      <c r="F1759" s="38" t="s">
        <v>418</v>
      </c>
      <c r="G1759" s="28" t="str">
        <f>IF(ISNUMBER(F1759),E1759*F1759,"")</f>
        <v/>
      </c>
      <c r="H1759" s="32"/>
      <c r="I1759" s="28"/>
      <c r="J1759" s="125">
        <v>0</v>
      </c>
    </row>
    <row r="1760" spans="1:10" ht="15.75" hidden="1" thickBot="1" x14ac:dyDescent="0.3">
      <c r="A1760" s="235"/>
      <c r="B1760" s="238"/>
      <c r="C1760" s="155" t="s">
        <v>1022</v>
      </c>
      <c r="D1760" s="155" t="s">
        <v>587</v>
      </c>
      <c r="E1760" s="34">
        <v>3.9E-2</v>
      </c>
      <c r="F1760" s="28">
        <v>19.522500000000001</v>
      </c>
      <c r="G1760" s="31">
        <f>IF(ISNUMBER(F1760),E1760*F1760,"")</f>
        <v>0.76137750000000004</v>
      </c>
      <c r="H1760" s="35">
        <f>SUM(G1760:G1763)</f>
        <v>1.8190371999999999</v>
      </c>
      <c r="I1760" s="36"/>
      <c r="J1760" s="125">
        <v>0</v>
      </c>
    </row>
    <row r="1761" spans="1:10" ht="15.75" hidden="1" thickBot="1" x14ac:dyDescent="0.3">
      <c r="A1761" s="235"/>
      <c r="B1761" s="238"/>
      <c r="C1761" s="155" t="s">
        <v>1023</v>
      </c>
      <c r="D1761" s="155" t="s">
        <v>587</v>
      </c>
      <c r="E1761" s="156">
        <v>3.9E-2</v>
      </c>
      <c r="F1761" s="28">
        <v>25.954000000000001</v>
      </c>
      <c r="G1761" s="31">
        <f>IF(ISNUMBER(F1761),E1761*F1761,"")</f>
        <v>1.0122059999999999</v>
      </c>
      <c r="H1761" s="32"/>
      <c r="I1761" s="28"/>
      <c r="J1761" s="125">
        <v>0</v>
      </c>
    </row>
    <row r="1762" spans="1:10" ht="26.25" hidden="1" thickBot="1" x14ac:dyDescent="0.3">
      <c r="A1762" s="235"/>
      <c r="B1762" s="238"/>
      <c r="C1762" s="155" t="s">
        <v>453</v>
      </c>
      <c r="D1762" s="33" t="s">
        <v>69</v>
      </c>
      <c r="E1762" s="156">
        <v>1.2434000000000001</v>
      </c>
      <c r="F1762" s="31" t="s">
        <v>418</v>
      </c>
      <c r="G1762" s="31" t="str">
        <f>IF(ISNUMBER(F1762),E1762*F1762,"")</f>
        <v/>
      </c>
      <c r="H1762" s="32"/>
      <c r="I1762" s="28"/>
      <c r="J1762" s="125">
        <v>0</v>
      </c>
    </row>
    <row r="1763" spans="1:10" ht="26.25" hidden="1" thickBot="1" x14ac:dyDescent="0.3">
      <c r="A1763" s="235"/>
      <c r="B1763" s="238"/>
      <c r="C1763" s="155" t="s">
        <v>25511</v>
      </c>
      <c r="D1763" s="155" t="s">
        <v>205</v>
      </c>
      <c r="E1763" s="156">
        <v>9.4000000000000004E-3</v>
      </c>
      <c r="F1763" s="31">
        <v>4.8354999999999997</v>
      </c>
      <c r="G1763" s="31">
        <f>IF(ISNUMBER(F1763),E1763*F1763,"")</f>
        <v>4.54537E-2</v>
      </c>
      <c r="H1763" s="32"/>
      <c r="I1763" s="28"/>
      <c r="J1763" s="125">
        <v>0</v>
      </c>
    </row>
    <row r="1764" spans="1:10" ht="15.75" hidden="1" thickBot="1" x14ac:dyDescent="0.3">
      <c r="A1764" s="236"/>
      <c r="B1764" s="239"/>
      <c r="C1764" s="155"/>
      <c r="D1764" s="33"/>
      <c r="E1764" s="34"/>
      <c r="F1764" s="28" t="s">
        <v>418</v>
      </c>
      <c r="G1764" s="28" t="str">
        <f>IF(ISNUMBER(F1764),E1764*F1764,"")</f>
        <v/>
      </c>
      <c r="H1764" s="32"/>
      <c r="I1764" s="28"/>
      <c r="J1764" s="125">
        <v>0</v>
      </c>
    </row>
    <row r="1765" spans="1:10" ht="15.75" hidden="1" thickBot="1" x14ac:dyDescent="0.3">
      <c r="A1765" s="234" t="s">
        <v>454</v>
      </c>
      <c r="B1765" s="237" t="s">
        <v>1457</v>
      </c>
      <c r="C1765" s="160"/>
      <c r="D1765" s="23" t="s">
        <v>69</v>
      </c>
      <c r="E1765" s="24"/>
      <c r="F1765" s="37" t="s">
        <v>418</v>
      </c>
      <c r="G1765" s="25" t="str">
        <f>IF(ISNUMBER(F1765),E1765*F1765,"")</f>
        <v/>
      </c>
      <c r="H1765" s="26"/>
      <c r="I1765" s="27"/>
      <c r="J1765" s="125">
        <v>0</v>
      </c>
    </row>
    <row r="1766" spans="1:10" ht="15.75" hidden="1" thickBot="1" x14ac:dyDescent="0.3">
      <c r="A1766" s="235"/>
      <c r="B1766" s="238"/>
      <c r="C1766" s="151"/>
      <c r="D1766" s="29"/>
      <c r="E1766" s="30"/>
      <c r="F1766" s="38" t="s">
        <v>418</v>
      </c>
      <c r="G1766" s="28" t="str">
        <f>IF(ISNUMBER(F1766),E1766*F1766,"")</f>
        <v/>
      </c>
      <c r="H1766" s="32"/>
      <c r="I1766" s="28"/>
      <c r="J1766" s="125">
        <v>0</v>
      </c>
    </row>
    <row r="1767" spans="1:10" ht="15.75" hidden="1" thickBot="1" x14ac:dyDescent="0.3">
      <c r="A1767" s="235"/>
      <c r="B1767" s="238"/>
      <c r="C1767" s="155" t="s">
        <v>1022</v>
      </c>
      <c r="D1767" s="155" t="s">
        <v>587</v>
      </c>
      <c r="E1767" s="34">
        <v>8.9999999999999993E-3</v>
      </c>
      <c r="F1767" s="28">
        <v>19.522500000000001</v>
      </c>
      <c r="G1767" s="31">
        <f>IF(ISNUMBER(F1767),E1767*F1767,"")</f>
        <v>0.17570249999999998</v>
      </c>
      <c r="H1767" s="35">
        <f>SUM(G1767:G1770)</f>
        <v>0.45764349999999993</v>
      </c>
      <c r="I1767" s="36"/>
      <c r="J1767" s="125">
        <v>0</v>
      </c>
    </row>
    <row r="1768" spans="1:10" ht="15.75" hidden="1" thickBot="1" x14ac:dyDescent="0.3">
      <c r="A1768" s="235"/>
      <c r="B1768" s="238"/>
      <c r="C1768" s="155" t="s">
        <v>1023</v>
      </c>
      <c r="D1768" s="155" t="s">
        <v>587</v>
      </c>
      <c r="E1768" s="34">
        <v>8.9999999999999993E-3</v>
      </c>
      <c r="F1768" s="28">
        <v>25.954000000000001</v>
      </c>
      <c r="G1768" s="31">
        <f>IF(ISNUMBER(F1768),E1768*F1768,"")</f>
        <v>0.23358599999999999</v>
      </c>
      <c r="H1768" s="32"/>
      <c r="I1768" s="28"/>
      <c r="J1768" s="125">
        <v>0</v>
      </c>
    </row>
    <row r="1769" spans="1:10" ht="26.25" hidden="1" thickBot="1" x14ac:dyDescent="0.3">
      <c r="A1769" s="235"/>
      <c r="B1769" s="238"/>
      <c r="C1769" s="155" t="s">
        <v>455</v>
      </c>
      <c r="D1769" s="33" t="s">
        <v>69</v>
      </c>
      <c r="E1769" s="34">
        <v>1.0269999999999999</v>
      </c>
      <c r="F1769" s="31" t="s">
        <v>418</v>
      </c>
      <c r="G1769" s="31" t="str">
        <f>IF(ISNUMBER(F1769),E1769*F1769,"")</f>
        <v/>
      </c>
      <c r="H1769" s="32"/>
      <c r="I1769" s="28"/>
      <c r="J1769" s="125">
        <v>0</v>
      </c>
    </row>
    <row r="1770" spans="1:10" ht="26.25" hidden="1" thickBot="1" x14ac:dyDescent="0.3">
      <c r="A1770" s="235"/>
      <c r="B1770" s="238"/>
      <c r="C1770" s="155" t="s">
        <v>25511</v>
      </c>
      <c r="D1770" s="155" t="s">
        <v>205</v>
      </c>
      <c r="E1770" s="34">
        <v>0.01</v>
      </c>
      <c r="F1770" s="31">
        <v>4.8354999999999997</v>
      </c>
      <c r="G1770" s="31">
        <f>IF(ISNUMBER(F1770),E1770*F1770,"")</f>
        <v>4.8354999999999995E-2</v>
      </c>
      <c r="H1770" s="32"/>
      <c r="I1770" s="28"/>
      <c r="J1770" s="125">
        <v>0</v>
      </c>
    </row>
    <row r="1771" spans="1:10" ht="15.75" hidden="1" thickBot="1" x14ac:dyDescent="0.3">
      <c r="A1771" s="236"/>
      <c r="B1771" s="239"/>
      <c r="C1771" s="155"/>
      <c r="D1771" s="33"/>
      <c r="E1771" s="34"/>
      <c r="F1771" s="28" t="s">
        <v>418</v>
      </c>
      <c r="G1771" s="28" t="str">
        <f>IF(ISNUMBER(F1771),E1771*F1771,"")</f>
        <v/>
      </c>
      <c r="H1771" s="32"/>
      <c r="I1771" s="28"/>
      <c r="J1771" s="125">
        <v>0</v>
      </c>
    </row>
    <row r="1772" spans="1:10" ht="15.75" hidden="1" thickBot="1" x14ac:dyDescent="0.3">
      <c r="A1772" s="234" t="s">
        <v>456</v>
      </c>
      <c r="B1772" s="237" t="s">
        <v>1458</v>
      </c>
      <c r="C1772" s="160"/>
      <c r="D1772" s="23" t="s">
        <v>69</v>
      </c>
      <c r="E1772" s="24"/>
      <c r="F1772" s="37" t="s">
        <v>418</v>
      </c>
      <c r="G1772" s="25" t="str">
        <f>IF(ISNUMBER(F1772),E1772*F1772,"")</f>
        <v/>
      </c>
      <c r="H1772" s="26"/>
      <c r="I1772" s="27"/>
      <c r="J1772" s="125">
        <v>0</v>
      </c>
    </row>
    <row r="1773" spans="1:10" ht="15.75" hidden="1" thickBot="1" x14ac:dyDescent="0.3">
      <c r="A1773" s="235"/>
      <c r="B1773" s="238"/>
      <c r="C1773" s="151"/>
      <c r="D1773" s="29"/>
      <c r="E1773" s="30"/>
      <c r="F1773" s="38" t="s">
        <v>418</v>
      </c>
      <c r="G1773" s="28" t="str">
        <f>IF(ISNUMBER(F1773),E1773*F1773,"")</f>
        <v/>
      </c>
      <c r="H1773" s="32"/>
      <c r="I1773" s="28"/>
      <c r="J1773" s="125">
        <v>0</v>
      </c>
    </row>
    <row r="1774" spans="1:10" ht="15.75" hidden="1" thickBot="1" x14ac:dyDescent="0.3">
      <c r="A1774" s="235"/>
      <c r="B1774" s="238"/>
      <c r="C1774" s="155" t="s">
        <v>1022</v>
      </c>
      <c r="D1774" s="155" t="s">
        <v>587</v>
      </c>
      <c r="E1774" s="156">
        <v>5.0999999999999997E-2</v>
      </c>
      <c r="F1774" s="28">
        <v>19.522500000000001</v>
      </c>
      <c r="G1774" s="28">
        <f>IF(ISNUMBER(F1774),E1774*F1774,"")</f>
        <v>0.99564750000000002</v>
      </c>
      <c r="H1774" s="35">
        <f>SUM(G1774:G1777)</f>
        <v>2.3647551999999998</v>
      </c>
      <c r="I1774" s="36"/>
      <c r="J1774" s="125">
        <v>0</v>
      </c>
    </row>
    <row r="1775" spans="1:10" ht="15.75" hidden="1" thickBot="1" x14ac:dyDescent="0.3">
      <c r="A1775" s="235"/>
      <c r="B1775" s="238"/>
      <c r="C1775" s="155" t="s">
        <v>1023</v>
      </c>
      <c r="D1775" s="155" t="s">
        <v>587</v>
      </c>
      <c r="E1775" s="156">
        <v>5.0999999999999997E-2</v>
      </c>
      <c r="F1775" s="28">
        <v>25.954000000000001</v>
      </c>
      <c r="G1775" s="28">
        <f>IF(ISNUMBER(F1775),E1775*F1775,"")</f>
        <v>1.3236539999999999</v>
      </c>
      <c r="H1775" s="32"/>
      <c r="I1775" s="28"/>
      <c r="J1775" s="125">
        <v>0</v>
      </c>
    </row>
    <row r="1776" spans="1:10" ht="26.25" hidden="1" thickBot="1" x14ac:dyDescent="0.3">
      <c r="A1776" s="235"/>
      <c r="B1776" s="238"/>
      <c r="C1776" s="155" t="s">
        <v>457</v>
      </c>
      <c r="D1776" s="33" t="s">
        <v>69</v>
      </c>
      <c r="E1776" s="156">
        <v>1.2434000000000001</v>
      </c>
      <c r="F1776" s="31" t="s">
        <v>418</v>
      </c>
      <c r="G1776" s="28" t="str">
        <f>IF(ISNUMBER(F1776),E1776*F1776,"")</f>
        <v/>
      </c>
      <c r="H1776" s="32"/>
      <c r="I1776" s="28"/>
      <c r="J1776" s="125">
        <v>0</v>
      </c>
    </row>
    <row r="1777" spans="1:10" ht="26.25" hidden="1" thickBot="1" x14ac:dyDescent="0.3">
      <c r="A1777" s="235"/>
      <c r="B1777" s="238"/>
      <c r="C1777" s="155" t="s">
        <v>25511</v>
      </c>
      <c r="D1777" s="155" t="s">
        <v>205</v>
      </c>
      <c r="E1777" s="156">
        <v>9.4000000000000004E-3</v>
      </c>
      <c r="F1777" s="31">
        <v>4.8354999999999997</v>
      </c>
      <c r="G1777" s="28">
        <f>IF(ISNUMBER(F1777),E1777*F1777,"")</f>
        <v>4.54537E-2</v>
      </c>
      <c r="H1777" s="32"/>
      <c r="I1777" s="28"/>
      <c r="J1777" s="125">
        <v>0</v>
      </c>
    </row>
    <row r="1778" spans="1:10" ht="15.75" hidden="1" thickBot="1" x14ac:dyDescent="0.3">
      <c r="A1778" s="236"/>
      <c r="B1778" s="239"/>
      <c r="C1778" s="155"/>
      <c r="D1778" s="33"/>
      <c r="E1778" s="34"/>
      <c r="F1778" s="28" t="s">
        <v>418</v>
      </c>
      <c r="G1778" s="28" t="str">
        <f>IF(ISNUMBER(F1778),E1778*F1778,"")</f>
        <v/>
      </c>
      <c r="H1778" s="32"/>
      <c r="I1778" s="28"/>
      <c r="J1778" s="125">
        <v>0</v>
      </c>
    </row>
    <row r="1779" spans="1:10" ht="15.75" hidden="1" thickBot="1" x14ac:dyDescent="0.3">
      <c r="A1779" s="234" t="s">
        <v>458</v>
      </c>
      <c r="B1779" s="237" t="s">
        <v>1459</v>
      </c>
      <c r="C1779" s="160"/>
      <c r="D1779" s="23" t="s">
        <v>16</v>
      </c>
      <c r="E1779" s="24"/>
      <c r="F1779" s="37" t="s">
        <v>418</v>
      </c>
      <c r="G1779" s="25" t="str">
        <f>IF(ISNUMBER(F1779),E1779*F1779,"")</f>
        <v/>
      </c>
      <c r="H1779" s="26"/>
      <c r="I1779" s="27"/>
      <c r="J1779" s="125">
        <v>0</v>
      </c>
    </row>
    <row r="1780" spans="1:10" ht="15.75" hidden="1" thickBot="1" x14ac:dyDescent="0.3">
      <c r="A1780" s="235"/>
      <c r="B1780" s="238"/>
      <c r="C1780" s="151"/>
      <c r="D1780" s="29"/>
      <c r="E1780" s="30"/>
      <c r="F1780" s="38" t="s">
        <v>418</v>
      </c>
      <c r="G1780" s="28" t="str">
        <f>IF(ISNUMBER(F1780),E1780*F1780,"")</f>
        <v/>
      </c>
      <c r="H1780" s="32"/>
      <c r="I1780" s="28"/>
      <c r="J1780" s="125">
        <v>0</v>
      </c>
    </row>
    <row r="1781" spans="1:10" ht="26.25" hidden="1" thickBot="1" x14ac:dyDescent="0.3">
      <c r="A1781" s="235"/>
      <c r="B1781" s="238"/>
      <c r="C1781" s="155" t="s">
        <v>17261</v>
      </c>
      <c r="D1781" s="42" t="s">
        <v>16</v>
      </c>
      <c r="E1781" s="34">
        <v>1</v>
      </c>
      <c r="F1781" s="31" t="s">
        <v>418</v>
      </c>
      <c r="G1781" s="28" t="str">
        <f>IF(ISNUMBER(F1781),E1781*F1781,"")</f>
        <v/>
      </c>
      <c r="H1781" s="35">
        <f>SUM(G1781:G1784)</f>
        <v>46.002877269443204</v>
      </c>
      <c r="I1781" s="36"/>
      <c r="J1781" s="125">
        <v>0</v>
      </c>
    </row>
    <row r="1782" spans="1:10" ht="39" hidden="1" thickBot="1" x14ac:dyDescent="0.3">
      <c r="A1782" s="235"/>
      <c r="B1782" s="238"/>
      <c r="C1782" s="155" t="s">
        <v>9105</v>
      </c>
      <c r="D1782" s="155" t="s">
        <v>85</v>
      </c>
      <c r="E1782" s="34">
        <v>1.9199999999999998E-2</v>
      </c>
      <c r="F1782" s="28">
        <v>895.02183434599988</v>
      </c>
      <c r="G1782" s="28">
        <f>IF(ISNUMBER(F1782),E1782*F1782,"")</f>
        <v>17.184419219443196</v>
      </c>
      <c r="H1782" s="32"/>
      <c r="I1782" s="28"/>
      <c r="J1782" s="125">
        <v>0</v>
      </c>
    </row>
    <row r="1783" spans="1:10" ht="15.75" hidden="1" thickBot="1" x14ac:dyDescent="0.3">
      <c r="A1783" s="235"/>
      <c r="B1783" s="238"/>
      <c r="C1783" s="155" t="s">
        <v>1022</v>
      </c>
      <c r="D1783" s="155" t="s">
        <v>587</v>
      </c>
      <c r="E1783" s="34">
        <v>0.63370000000000004</v>
      </c>
      <c r="F1783" s="28">
        <v>19.522500000000001</v>
      </c>
      <c r="G1783" s="28">
        <f>IF(ISNUMBER(F1783),E1783*F1783,"")</f>
        <v>12.371408250000002</v>
      </c>
      <c r="H1783" s="32"/>
      <c r="I1783" s="28"/>
      <c r="J1783" s="125">
        <v>0</v>
      </c>
    </row>
    <row r="1784" spans="1:10" ht="15.75" hidden="1" thickBot="1" x14ac:dyDescent="0.3">
      <c r="A1784" s="235"/>
      <c r="B1784" s="238"/>
      <c r="C1784" s="155" t="s">
        <v>1023</v>
      </c>
      <c r="D1784" s="155" t="s">
        <v>587</v>
      </c>
      <c r="E1784" s="34">
        <v>0.63370000000000004</v>
      </c>
      <c r="F1784" s="28">
        <v>25.954000000000001</v>
      </c>
      <c r="G1784" s="31">
        <f>IF(ISNUMBER(F1784),E1784*F1784,"")</f>
        <v>16.447049800000002</v>
      </c>
      <c r="H1784" s="32"/>
      <c r="I1784" s="28"/>
      <c r="J1784" s="125">
        <v>0</v>
      </c>
    </row>
    <row r="1785" spans="1:10" ht="15.75" hidden="1" thickBot="1" x14ac:dyDescent="0.3">
      <c r="A1785" s="235"/>
      <c r="B1785" s="239"/>
      <c r="C1785" s="155"/>
      <c r="D1785" s="33"/>
      <c r="E1785" s="34"/>
      <c r="F1785" s="28" t="s">
        <v>418</v>
      </c>
      <c r="G1785" s="28" t="str">
        <f>IF(ISNUMBER(F1785),E1785*F1785,"")</f>
        <v/>
      </c>
      <c r="H1785" s="32"/>
      <c r="I1785" s="28"/>
      <c r="J1785" s="125">
        <v>0</v>
      </c>
    </row>
    <row r="1786" spans="1:10" ht="15.75" hidden="1" thickBot="1" x14ac:dyDescent="0.3">
      <c r="A1786" s="234" t="s">
        <v>459</v>
      </c>
      <c r="B1786" s="237" t="s">
        <v>1460</v>
      </c>
      <c r="C1786" s="160"/>
      <c r="D1786" s="23" t="s">
        <v>16</v>
      </c>
      <c r="E1786" s="24"/>
      <c r="F1786" s="37" t="s">
        <v>418</v>
      </c>
      <c r="G1786" s="25" t="str">
        <f>IF(ISNUMBER(F1786),E1786*F1786,"")</f>
        <v/>
      </c>
      <c r="H1786" s="26"/>
      <c r="I1786" s="27"/>
      <c r="J1786" s="125">
        <v>0</v>
      </c>
    </row>
    <row r="1787" spans="1:10" ht="15.75" hidden="1" thickBot="1" x14ac:dyDescent="0.3">
      <c r="A1787" s="235"/>
      <c r="B1787" s="238"/>
      <c r="C1787" s="151"/>
      <c r="D1787" s="29"/>
      <c r="E1787" s="30"/>
      <c r="F1787" s="38" t="s">
        <v>418</v>
      </c>
      <c r="G1787" s="28" t="str">
        <f>IF(ISNUMBER(F1787),E1787*F1787,"")</f>
        <v/>
      </c>
      <c r="H1787" s="32"/>
      <c r="I1787" s="28"/>
      <c r="J1787" s="125">
        <v>0</v>
      </c>
    </row>
    <row r="1788" spans="1:10" ht="26.25" hidden="1" thickBot="1" x14ac:dyDescent="0.3">
      <c r="A1788" s="235"/>
      <c r="B1788" s="238"/>
      <c r="C1788" s="155" t="s">
        <v>9741</v>
      </c>
      <c r="D1788" s="155" t="s">
        <v>587</v>
      </c>
      <c r="E1788" s="34">
        <v>2</v>
      </c>
      <c r="F1788" s="28">
        <v>18.544</v>
      </c>
      <c r="G1788" s="31">
        <f>IF(ISNUMBER(F1788),E1788*F1788,"")</f>
        <v>37.088000000000001</v>
      </c>
      <c r="H1788" s="35">
        <f>SUM(G1788:G1789)</f>
        <v>91.313999999999993</v>
      </c>
      <c r="I1788" s="36"/>
      <c r="J1788" s="125">
        <v>0</v>
      </c>
    </row>
    <row r="1789" spans="1:10" ht="26.25" hidden="1" thickBot="1" x14ac:dyDescent="0.3">
      <c r="A1789" s="235"/>
      <c r="B1789" s="238"/>
      <c r="C1789" s="155" t="s">
        <v>460</v>
      </c>
      <c r="D1789" s="155" t="s">
        <v>587</v>
      </c>
      <c r="E1789" s="34">
        <v>2</v>
      </c>
      <c r="F1789" s="28">
        <v>27.113</v>
      </c>
      <c r="G1789" s="28">
        <f>IF(ISNUMBER(F1789),E1789*F1789,"")</f>
        <v>54.225999999999999</v>
      </c>
      <c r="H1789" s="32"/>
      <c r="I1789" s="28"/>
      <c r="J1789" s="125">
        <v>0</v>
      </c>
    </row>
    <row r="1790" spans="1:10" ht="15.75" hidden="1" thickBot="1" x14ac:dyDescent="0.3">
      <c r="A1790" s="236"/>
      <c r="B1790" s="239"/>
      <c r="C1790" s="155"/>
      <c r="D1790" s="33"/>
      <c r="E1790" s="34"/>
      <c r="F1790" s="28" t="s">
        <v>418</v>
      </c>
      <c r="G1790" s="28" t="str">
        <f>IF(ISNUMBER(F1790),E1790*F1790,"")</f>
        <v/>
      </c>
      <c r="H1790" s="32"/>
      <c r="I1790" s="28"/>
      <c r="J1790" s="125">
        <v>0</v>
      </c>
    </row>
    <row r="1791" spans="1:10" ht="15.75" hidden="1" thickBot="1" x14ac:dyDescent="0.3">
      <c r="A1791" s="234" t="s">
        <v>461</v>
      </c>
      <c r="B1791" s="237" t="s">
        <v>1461</v>
      </c>
      <c r="C1791" s="160"/>
      <c r="D1791" s="23" t="s">
        <v>16</v>
      </c>
      <c r="E1791" s="24"/>
      <c r="F1791" s="37" t="s">
        <v>418</v>
      </c>
      <c r="G1791" s="25" t="str">
        <f>IF(ISNUMBER(F1791),E1791*F1791,"")</f>
        <v/>
      </c>
      <c r="H1791" s="26"/>
      <c r="I1791" s="27"/>
      <c r="J1791" s="125">
        <v>0</v>
      </c>
    </row>
    <row r="1792" spans="1:10" ht="15.75" hidden="1" thickBot="1" x14ac:dyDescent="0.3">
      <c r="A1792" s="235"/>
      <c r="B1792" s="238"/>
      <c r="C1792" s="151"/>
      <c r="D1792" s="29"/>
      <c r="E1792" s="30"/>
      <c r="F1792" s="38" t="s">
        <v>418</v>
      </c>
      <c r="G1792" s="28" t="str">
        <f>IF(ISNUMBER(F1792),E1792*F1792,"")</f>
        <v/>
      </c>
      <c r="H1792" s="32"/>
      <c r="I1792" s="28"/>
      <c r="J1792" s="125">
        <v>0</v>
      </c>
    </row>
    <row r="1793" spans="1:10" ht="26.25" hidden="1" thickBot="1" x14ac:dyDescent="0.3">
      <c r="A1793" s="235"/>
      <c r="B1793" s="238"/>
      <c r="C1793" s="155" t="s">
        <v>9741</v>
      </c>
      <c r="D1793" s="155" t="s">
        <v>587</v>
      </c>
      <c r="E1793" s="34">
        <v>3</v>
      </c>
      <c r="F1793" s="28">
        <v>18.544</v>
      </c>
      <c r="G1793" s="31">
        <f>IF(ISNUMBER(F1793),E1793*F1793,"")</f>
        <v>55.632000000000005</v>
      </c>
      <c r="H1793" s="35">
        <f>SUM(G1793:G1794)</f>
        <v>136.971</v>
      </c>
      <c r="I1793" s="36"/>
      <c r="J1793" s="125">
        <v>0</v>
      </c>
    </row>
    <row r="1794" spans="1:10" ht="26.25" hidden="1" thickBot="1" x14ac:dyDescent="0.3">
      <c r="A1794" s="235"/>
      <c r="B1794" s="238"/>
      <c r="C1794" s="155" t="s">
        <v>460</v>
      </c>
      <c r="D1794" s="155" t="s">
        <v>587</v>
      </c>
      <c r="E1794" s="34">
        <v>3</v>
      </c>
      <c r="F1794" s="28">
        <v>27.113</v>
      </c>
      <c r="G1794" s="28">
        <f>IF(ISNUMBER(F1794),E1794*F1794,"")</f>
        <v>81.338999999999999</v>
      </c>
      <c r="H1794" s="32"/>
      <c r="I1794" s="28"/>
      <c r="J1794" s="125">
        <v>0</v>
      </c>
    </row>
    <row r="1795" spans="1:10" ht="15.75" hidden="1" thickBot="1" x14ac:dyDescent="0.3">
      <c r="A1795" s="236"/>
      <c r="B1795" s="239"/>
      <c r="C1795" s="155"/>
      <c r="D1795" s="33"/>
      <c r="E1795" s="34"/>
      <c r="F1795" s="28" t="s">
        <v>418</v>
      </c>
      <c r="G1795" s="28" t="str">
        <f>IF(ISNUMBER(F1795),E1795*F1795,"")</f>
        <v/>
      </c>
      <c r="H1795" s="32"/>
      <c r="I1795" s="28"/>
      <c r="J1795" s="125">
        <v>0</v>
      </c>
    </row>
    <row r="1796" spans="1:10" ht="15.75" hidden="1" thickBot="1" x14ac:dyDescent="0.3">
      <c r="A1796" s="234" t="s">
        <v>462</v>
      </c>
      <c r="B1796" s="237" t="s">
        <v>1462</v>
      </c>
      <c r="C1796" s="160"/>
      <c r="D1796" s="23" t="s">
        <v>16</v>
      </c>
      <c r="E1796" s="24"/>
      <c r="F1796" s="37" t="s">
        <v>418</v>
      </c>
      <c r="G1796" s="25" t="str">
        <f>IF(ISNUMBER(F1796),E1796*F1796,"")</f>
        <v/>
      </c>
      <c r="H1796" s="26"/>
      <c r="I1796" s="27"/>
      <c r="J1796" s="125">
        <v>0</v>
      </c>
    </row>
    <row r="1797" spans="1:10" ht="15.75" hidden="1" thickBot="1" x14ac:dyDescent="0.3">
      <c r="A1797" s="235"/>
      <c r="B1797" s="238"/>
      <c r="C1797" s="151"/>
      <c r="D1797" s="29"/>
      <c r="E1797" s="30"/>
      <c r="F1797" s="38" t="s">
        <v>418</v>
      </c>
      <c r="G1797" s="28" t="str">
        <f>IF(ISNUMBER(F1797),E1797*F1797,"")</f>
        <v/>
      </c>
      <c r="H1797" s="32"/>
      <c r="I1797" s="28"/>
      <c r="J1797" s="125">
        <v>0</v>
      </c>
    </row>
    <row r="1798" spans="1:10" ht="15.75" hidden="1" thickBot="1" x14ac:dyDescent="0.3">
      <c r="A1798" s="235"/>
      <c r="B1798" s="238"/>
      <c r="C1798" s="155" t="s">
        <v>1023</v>
      </c>
      <c r="D1798" s="155" t="s">
        <v>587</v>
      </c>
      <c r="E1798" s="34">
        <v>1</v>
      </c>
      <c r="F1798" s="28">
        <v>25.954000000000001</v>
      </c>
      <c r="G1798" s="31">
        <f>IF(ISNUMBER(F1798),E1798*F1798,"")</f>
        <v>25.954000000000001</v>
      </c>
      <c r="H1798" s="35">
        <f>SUM(G1798:G1800)</f>
        <v>45.476500000000001</v>
      </c>
      <c r="I1798" s="36"/>
      <c r="J1798" s="125">
        <v>0</v>
      </c>
    </row>
    <row r="1799" spans="1:10" ht="15.75" hidden="1" thickBot="1" x14ac:dyDescent="0.3">
      <c r="A1799" s="235"/>
      <c r="B1799" s="238"/>
      <c r="C1799" s="155" t="s">
        <v>1022</v>
      </c>
      <c r="D1799" s="155" t="s">
        <v>587</v>
      </c>
      <c r="E1799" s="34">
        <v>1</v>
      </c>
      <c r="F1799" s="28">
        <v>19.522500000000001</v>
      </c>
      <c r="G1799" s="31">
        <f>IF(ISNUMBER(F1799),E1799*F1799,"")</f>
        <v>19.522500000000001</v>
      </c>
      <c r="H1799" s="32"/>
      <c r="I1799" s="28"/>
      <c r="J1799" s="125">
        <v>0</v>
      </c>
    </row>
    <row r="1800" spans="1:10" ht="26.25" hidden="1" thickBot="1" x14ac:dyDescent="0.3">
      <c r="A1800" s="235"/>
      <c r="B1800" s="238"/>
      <c r="C1800" s="155" t="s">
        <v>463</v>
      </c>
      <c r="D1800" s="33" t="s">
        <v>97</v>
      </c>
      <c r="E1800" s="34">
        <v>1</v>
      </c>
      <c r="F1800" s="31" t="s">
        <v>418</v>
      </c>
      <c r="G1800" s="31" t="str">
        <f>IF(ISNUMBER(F1800),E1800*F1800,"")</f>
        <v/>
      </c>
      <c r="H1800" s="32"/>
      <c r="I1800" s="28"/>
      <c r="J1800" s="125">
        <v>0</v>
      </c>
    </row>
    <row r="1801" spans="1:10" ht="15.75" hidden="1" thickBot="1" x14ac:dyDescent="0.3">
      <c r="A1801" s="236"/>
      <c r="B1801" s="239"/>
      <c r="C1801" s="155"/>
      <c r="D1801" s="33"/>
      <c r="E1801" s="34"/>
      <c r="F1801" s="28" t="s">
        <v>418</v>
      </c>
      <c r="G1801" s="28" t="str">
        <f>IF(ISNUMBER(F1801),E1801*F1801,"")</f>
        <v/>
      </c>
      <c r="H1801" s="32"/>
      <c r="I1801" s="28"/>
      <c r="J1801" s="125">
        <v>0</v>
      </c>
    </row>
    <row r="1802" spans="1:10" ht="15.75" hidden="1" thickBot="1" x14ac:dyDescent="0.3">
      <c r="A1802" s="234" t="s">
        <v>464</v>
      </c>
      <c r="B1802" s="237" t="s">
        <v>1463</v>
      </c>
      <c r="C1802" s="160"/>
      <c r="D1802" s="23" t="s">
        <v>16</v>
      </c>
      <c r="E1802" s="24"/>
      <c r="F1802" s="37" t="s">
        <v>418</v>
      </c>
      <c r="G1802" s="25" t="str">
        <f>IF(ISNUMBER(F1802),E1802*F1802,"")</f>
        <v/>
      </c>
      <c r="H1802" s="26"/>
      <c r="I1802" s="27"/>
      <c r="J1802" s="125">
        <v>0</v>
      </c>
    </row>
    <row r="1803" spans="1:10" ht="15.75" hidden="1" thickBot="1" x14ac:dyDescent="0.3">
      <c r="A1803" s="235"/>
      <c r="B1803" s="238"/>
      <c r="C1803" s="151"/>
      <c r="D1803" s="29"/>
      <c r="E1803" s="30"/>
      <c r="F1803" s="38" t="s">
        <v>418</v>
      </c>
      <c r="G1803" s="28" t="str">
        <f>IF(ISNUMBER(F1803),E1803*F1803,"")</f>
        <v/>
      </c>
      <c r="H1803" s="32"/>
      <c r="I1803" s="28"/>
      <c r="J1803" s="125">
        <v>0</v>
      </c>
    </row>
    <row r="1804" spans="1:10" ht="15.75" hidden="1" thickBot="1" x14ac:dyDescent="0.3">
      <c r="A1804" s="235"/>
      <c r="B1804" s="238"/>
      <c r="C1804" s="155" t="s">
        <v>1023</v>
      </c>
      <c r="D1804" s="155" t="s">
        <v>587</v>
      </c>
      <c r="E1804" s="34">
        <v>1</v>
      </c>
      <c r="F1804" s="28">
        <v>25.954000000000001</v>
      </c>
      <c r="G1804" s="31">
        <f>IF(ISNUMBER(F1804),E1804*F1804,"")</f>
        <v>25.954000000000001</v>
      </c>
      <c r="H1804" s="35">
        <f>SUM(G1804:G1806)</f>
        <v>45.476500000000001</v>
      </c>
      <c r="I1804" s="36"/>
      <c r="J1804" s="125">
        <v>0</v>
      </c>
    </row>
    <row r="1805" spans="1:10" ht="15.75" hidden="1" thickBot="1" x14ac:dyDescent="0.3">
      <c r="A1805" s="235"/>
      <c r="B1805" s="238"/>
      <c r="C1805" s="155" t="s">
        <v>1022</v>
      </c>
      <c r="D1805" s="155" t="s">
        <v>587</v>
      </c>
      <c r="E1805" s="34">
        <v>1</v>
      </c>
      <c r="F1805" s="28">
        <v>19.522500000000001</v>
      </c>
      <c r="G1805" s="31">
        <f>IF(ISNUMBER(F1805),E1805*F1805,"")</f>
        <v>19.522500000000001</v>
      </c>
      <c r="H1805" s="32"/>
      <c r="I1805" s="28"/>
      <c r="J1805" s="125">
        <v>0</v>
      </c>
    </row>
    <row r="1806" spans="1:10" ht="26.25" hidden="1" thickBot="1" x14ac:dyDescent="0.3">
      <c r="A1806" s="235"/>
      <c r="B1806" s="238"/>
      <c r="C1806" s="155" t="s">
        <v>465</v>
      </c>
      <c r="D1806" s="33" t="s">
        <v>97</v>
      </c>
      <c r="E1806" s="34">
        <v>1</v>
      </c>
      <c r="F1806" s="31" t="s">
        <v>418</v>
      </c>
      <c r="G1806" s="31" t="str">
        <f>IF(ISNUMBER(F1806),E1806*F1806,"")</f>
        <v/>
      </c>
      <c r="H1806" s="32"/>
      <c r="I1806" s="28"/>
      <c r="J1806" s="125">
        <v>0</v>
      </c>
    </row>
    <row r="1807" spans="1:10" ht="15.75" hidden="1" thickBot="1" x14ac:dyDescent="0.3">
      <c r="A1807" s="236"/>
      <c r="B1807" s="239"/>
      <c r="C1807" s="155"/>
      <c r="D1807" s="33"/>
      <c r="E1807" s="34"/>
      <c r="F1807" s="28" t="s">
        <v>418</v>
      </c>
      <c r="G1807" s="28" t="str">
        <f>IF(ISNUMBER(F1807),E1807*F1807,"")</f>
        <v/>
      </c>
      <c r="H1807" s="32"/>
      <c r="I1807" s="28"/>
      <c r="J1807" s="125">
        <v>0</v>
      </c>
    </row>
    <row r="1808" spans="1:10" ht="15.75" hidden="1" thickBot="1" x14ac:dyDescent="0.3">
      <c r="A1808" s="234" t="s">
        <v>466</v>
      </c>
      <c r="B1808" s="237" t="s">
        <v>1464</v>
      </c>
      <c r="C1808" s="160"/>
      <c r="D1808" s="23" t="s">
        <v>70</v>
      </c>
      <c r="E1808" s="24"/>
      <c r="F1808" s="37" t="s">
        <v>418</v>
      </c>
      <c r="G1808" s="25" t="str">
        <f>IF(ISNUMBER(F1808),E1808*F1808,"")</f>
        <v/>
      </c>
      <c r="H1808" s="26"/>
      <c r="I1808" s="27"/>
      <c r="J1808" s="125">
        <v>0</v>
      </c>
    </row>
    <row r="1809" spans="1:10" ht="15.75" hidden="1" thickBot="1" x14ac:dyDescent="0.3">
      <c r="A1809" s="235"/>
      <c r="B1809" s="238"/>
      <c r="C1809" s="151"/>
      <c r="D1809" s="29"/>
      <c r="E1809" s="30"/>
      <c r="F1809" s="38" t="s">
        <v>418</v>
      </c>
      <c r="G1809" s="28" t="str">
        <f>IF(ISNUMBER(F1809),E1809*F1809,"")</f>
        <v/>
      </c>
      <c r="H1809" s="32"/>
      <c r="I1809" s="28"/>
      <c r="J1809" s="125">
        <v>0</v>
      </c>
    </row>
    <row r="1810" spans="1:10" ht="26.25" hidden="1" thickBot="1" x14ac:dyDescent="0.3">
      <c r="A1810" s="235"/>
      <c r="B1810" s="238"/>
      <c r="C1810" s="155" t="s">
        <v>24474</v>
      </c>
      <c r="D1810" s="155" t="s">
        <v>774</v>
      </c>
      <c r="E1810" s="34">
        <v>6.6559999999999997</v>
      </c>
      <c r="F1810" s="31">
        <v>13.3475</v>
      </c>
      <c r="G1810" s="31">
        <f>IF(ISNUMBER(F1810),E1810*F1810,"")</f>
        <v>88.840959999999995</v>
      </c>
      <c r="H1810" s="35">
        <f>SUM(G1810:G1813)</f>
        <v>267.59447999999998</v>
      </c>
      <c r="I1810" s="36"/>
      <c r="J1810" s="125">
        <v>0</v>
      </c>
    </row>
    <row r="1811" spans="1:10" ht="15.75" hidden="1" thickBot="1" x14ac:dyDescent="0.3">
      <c r="A1811" s="235"/>
      <c r="B1811" s="238"/>
      <c r="C1811" s="155" t="s">
        <v>467</v>
      </c>
      <c r="D1811" s="42" t="s">
        <v>468</v>
      </c>
      <c r="E1811" s="34">
        <v>1</v>
      </c>
      <c r="F1811" s="28">
        <v>0.95</v>
      </c>
      <c r="G1811" s="31">
        <f>IF(ISNUMBER(F1811),E1811*F1811,"")</f>
        <v>0.95</v>
      </c>
      <c r="H1811" s="40"/>
      <c r="I1811" s="41"/>
      <c r="J1811" s="125">
        <v>0</v>
      </c>
    </row>
    <row r="1812" spans="1:10" ht="15.75" hidden="1" thickBot="1" x14ac:dyDescent="0.3">
      <c r="A1812" s="235"/>
      <c r="B1812" s="238"/>
      <c r="C1812" s="155" t="s">
        <v>588</v>
      </c>
      <c r="D1812" s="155" t="s">
        <v>587</v>
      </c>
      <c r="E1812" s="34">
        <v>3.84</v>
      </c>
      <c r="F1812" s="28">
        <v>19.189999999999998</v>
      </c>
      <c r="G1812" s="31">
        <f>IF(ISNUMBER(F1812),E1812*F1812,"")</f>
        <v>73.689599999999984</v>
      </c>
      <c r="H1812" s="32"/>
      <c r="I1812" s="28"/>
      <c r="J1812" s="125">
        <v>0</v>
      </c>
    </row>
    <row r="1813" spans="1:10" ht="26.25" hidden="1" thickBot="1" x14ac:dyDescent="0.3">
      <c r="A1813" s="235"/>
      <c r="B1813" s="238"/>
      <c r="C1813" s="155" t="s">
        <v>460</v>
      </c>
      <c r="D1813" s="155" t="s">
        <v>587</v>
      </c>
      <c r="E1813" s="34">
        <v>3.84</v>
      </c>
      <c r="F1813" s="28">
        <v>27.113</v>
      </c>
      <c r="G1813" s="31">
        <f>IF(ISNUMBER(F1813),E1813*F1813,"")</f>
        <v>104.11391999999999</v>
      </c>
      <c r="H1813" s="32"/>
      <c r="I1813" s="28"/>
      <c r="J1813" s="125">
        <v>0</v>
      </c>
    </row>
    <row r="1814" spans="1:10" ht="15.75" hidden="1" thickBot="1" x14ac:dyDescent="0.3">
      <c r="A1814" s="236"/>
      <c r="B1814" s="239"/>
      <c r="C1814" s="155"/>
      <c r="D1814" s="33"/>
      <c r="E1814" s="34"/>
      <c r="F1814" s="28" t="s">
        <v>418</v>
      </c>
      <c r="G1814" s="28" t="str">
        <f>IF(ISNUMBER(F1814),E1814*F1814,"")</f>
        <v/>
      </c>
      <c r="H1814" s="32"/>
      <c r="I1814" s="28"/>
      <c r="J1814" s="125">
        <v>0</v>
      </c>
    </row>
    <row r="1815" spans="1:10" ht="15.75" hidden="1" thickBot="1" x14ac:dyDescent="0.3">
      <c r="A1815" s="234" t="s">
        <v>470</v>
      </c>
      <c r="B1815" s="237" t="s">
        <v>1465</v>
      </c>
      <c r="C1815" s="160"/>
      <c r="D1815" s="23" t="s">
        <v>69</v>
      </c>
      <c r="E1815" s="24"/>
      <c r="F1815" s="37" t="s">
        <v>418</v>
      </c>
      <c r="G1815" s="25" t="str">
        <f>IF(ISNUMBER(F1815),E1815*F1815,"")</f>
        <v/>
      </c>
      <c r="H1815" s="26"/>
      <c r="I1815" s="27"/>
      <c r="J1815" s="125">
        <v>0</v>
      </c>
    </row>
    <row r="1816" spans="1:10" ht="15.75" hidden="1" thickBot="1" x14ac:dyDescent="0.3">
      <c r="A1816" s="235"/>
      <c r="B1816" s="238"/>
      <c r="C1816" s="151"/>
      <c r="D1816" s="29"/>
      <c r="E1816" s="30"/>
      <c r="F1816" s="38" t="s">
        <v>418</v>
      </c>
      <c r="G1816" s="28" t="str">
        <f>IF(ISNUMBER(F1816),E1816*F1816,"")</f>
        <v/>
      </c>
      <c r="H1816" s="32"/>
      <c r="I1816" s="28"/>
      <c r="J1816" s="125">
        <v>0</v>
      </c>
    </row>
    <row r="1817" spans="1:10" ht="15.75" hidden="1" thickBot="1" x14ac:dyDescent="0.3">
      <c r="A1817" s="235"/>
      <c r="B1817" s="238"/>
      <c r="C1817" s="155" t="s">
        <v>588</v>
      </c>
      <c r="D1817" s="155" t="s">
        <v>587</v>
      </c>
      <c r="E1817" s="34">
        <v>0.4</v>
      </c>
      <c r="F1817" s="28">
        <v>19.189999999999998</v>
      </c>
      <c r="G1817" s="28">
        <f>IF(ISNUMBER(F1817),E1817*F1817,"")</f>
        <v>7.6759999999999993</v>
      </c>
      <c r="H1817" s="35">
        <f>SUM(G1817:G1819)</f>
        <v>18.5212</v>
      </c>
      <c r="I1817" s="36"/>
      <c r="J1817" s="125">
        <v>0</v>
      </c>
    </row>
    <row r="1818" spans="1:10" ht="26.25" hidden="1" thickBot="1" x14ac:dyDescent="0.3">
      <c r="A1818" s="235"/>
      <c r="B1818" s="238"/>
      <c r="C1818" s="155" t="s">
        <v>460</v>
      </c>
      <c r="D1818" s="155" t="s">
        <v>587</v>
      </c>
      <c r="E1818" s="34">
        <v>0.4</v>
      </c>
      <c r="F1818" s="28">
        <v>27.113</v>
      </c>
      <c r="G1818" s="28">
        <f>IF(ISNUMBER(F1818),E1818*F1818,"")</f>
        <v>10.8452</v>
      </c>
      <c r="H1818" s="32"/>
      <c r="I1818" s="28"/>
      <c r="J1818" s="125">
        <v>0</v>
      </c>
    </row>
    <row r="1819" spans="1:10" ht="26.25" hidden="1" thickBot="1" x14ac:dyDescent="0.3">
      <c r="A1819" s="235"/>
      <c r="B1819" s="238"/>
      <c r="C1819" s="155" t="s">
        <v>471</v>
      </c>
      <c r="D1819" s="33" t="s">
        <v>69</v>
      </c>
      <c r="E1819" s="34">
        <v>1.05</v>
      </c>
      <c r="F1819" s="31" t="s">
        <v>418</v>
      </c>
      <c r="G1819" s="28" t="str">
        <f>IF(ISNUMBER(F1819),E1819*F1819,"")</f>
        <v/>
      </c>
      <c r="H1819" s="32"/>
      <c r="I1819" s="28"/>
      <c r="J1819" s="125">
        <v>0</v>
      </c>
    </row>
    <row r="1820" spans="1:10" ht="15.75" hidden="1" thickBot="1" x14ac:dyDescent="0.3">
      <c r="A1820" s="236"/>
      <c r="B1820" s="239"/>
      <c r="C1820" s="155"/>
      <c r="D1820" s="33"/>
      <c r="E1820" s="34"/>
      <c r="F1820" s="28" t="s">
        <v>418</v>
      </c>
      <c r="G1820" s="28" t="str">
        <f>IF(ISNUMBER(F1820),E1820*F1820,"")</f>
        <v/>
      </c>
      <c r="H1820" s="32"/>
      <c r="I1820" s="28"/>
      <c r="J1820" s="125">
        <v>0</v>
      </c>
    </row>
    <row r="1821" spans="1:10" ht="15.75" hidden="1" thickBot="1" x14ac:dyDescent="0.3">
      <c r="A1821" s="234" t="s">
        <v>472</v>
      </c>
      <c r="B1821" s="237" t="s">
        <v>1466</v>
      </c>
      <c r="C1821" s="160"/>
      <c r="D1821" s="23" t="s">
        <v>69</v>
      </c>
      <c r="E1821" s="24"/>
      <c r="F1821" s="37" t="s">
        <v>418</v>
      </c>
      <c r="G1821" s="25" t="str">
        <f>IF(ISNUMBER(F1821),E1821*F1821,"")</f>
        <v/>
      </c>
      <c r="H1821" s="26"/>
      <c r="I1821" s="27"/>
      <c r="J1821" s="125">
        <v>0</v>
      </c>
    </row>
    <row r="1822" spans="1:10" ht="15.75" hidden="1" thickBot="1" x14ac:dyDescent="0.3">
      <c r="A1822" s="235"/>
      <c r="B1822" s="238"/>
      <c r="C1822" s="151"/>
      <c r="D1822" s="29"/>
      <c r="E1822" s="30"/>
      <c r="F1822" s="38" t="s">
        <v>418</v>
      </c>
      <c r="G1822" s="28" t="str">
        <f>IF(ISNUMBER(F1822),E1822*F1822,"")</f>
        <v/>
      </c>
      <c r="H1822" s="32"/>
      <c r="I1822" s="28"/>
      <c r="J1822" s="125">
        <v>0</v>
      </c>
    </row>
    <row r="1823" spans="1:10" ht="15.75" hidden="1" thickBot="1" x14ac:dyDescent="0.3">
      <c r="A1823" s="235"/>
      <c r="B1823" s="238"/>
      <c r="C1823" s="155" t="s">
        <v>588</v>
      </c>
      <c r="D1823" s="155" t="s">
        <v>587</v>
      </c>
      <c r="E1823" s="34">
        <v>0.4</v>
      </c>
      <c r="F1823" s="28">
        <v>19.189999999999998</v>
      </c>
      <c r="G1823" s="28">
        <f>IF(ISNUMBER(F1823),E1823*F1823,"")</f>
        <v>7.6759999999999993</v>
      </c>
      <c r="H1823" s="35">
        <f>SUM(G1823:G1825)</f>
        <v>18.5212</v>
      </c>
      <c r="I1823" s="36"/>
      <c r="J1823" s="125">
        <v>0</v>
      </c>
    </row>
    <row r="1824" spans="1:10" ht="26.25" hidden="1" thickBot="1" x14ac:dyDescent="0.3">
      <c r="A1824" s="235"/>
      <c r="B1824" s="238"/>
      <c r="C1824" s="155" t="s">
        <v>460</v>
      </c>
      <c r="D1824" s="155" t="s">
        <v>587</v>
      </c>
      <c r="E1824" s="34">
        <v>0.4</v>
      </c>
      <c r="F1824" s="28">
        <v>27.113</v>
      </c>
      <c r="G1824" s="28">
        <f>IF(ISNUMBER(F1824),E1824*F1824,"")</f>
        <v>10.8452</v>
      </c>
      <c r="H1824" s="32"/>
      <c r="I1824" s="28"/>
      <c r="J1824" s="125">
        <v>0</v>
      </c>
    </row>
    <row r="1825" spans="1:10" ht="26.25" hidden="1" thickBot="1" x14ac:dyDescent="0.3">
      <c r="A1825" s="235"/>
      <c r="B1825" s="238"/>
      <c r="C1825" s="155" t="s">
        <v>473</v>
      </c>
      <c r="D1825" s="33" t="s">
        <v>69</v>
      </c>
      <c r="E1825" s="34">
        <v>1.05</v>
      </c>
      <c r="F1825" s="31" t="s">
        <v>418</v>
      </c>
      <c r="G1825" s="28" t="str">
        <f>IF(ISNUMBER(F1825),E1825*F1825,"")</f>
        <v/>
      </c>
      <c r="H1825" s="32"/>
      <c r="I1825" s="28"/>
      <c r="J1825" s="125">
        <v>0</v>
      </c>
    </row>
    <row r="1826" spans="1:10" ht="15.75" hidden="1" thickBot="1" x14ac:dyDescent="0.3">
      <c r="A1826" s="236"/>
      <c r="B1826" s="239"/>
      <c r="C1826" s="155"/>
      <c r="D1826" s="33"/>
      <c r="E1826" s="34"/>
      <c r="F1826" s="28" t="s">
        <v>418</v>
      </c>
      <c r="G1826" s="28" t="str">
        <f>IF(ISNUMBER(F1826),E1826*F1826,"")</f>
        <v/>
      </c>
      <c r="H1826" s="32"/>
      <c r="I1826" s="28"/>
      <c r="J1826" s="125">
        <v>0</v>
      </c>
    </row>
    <row r="1827" spans="1:10" ht="15.75" hidden="1" thickBot="1" x14ac:dyDescent="0.3">
      <c r="A1827" s="234" t="s">
        <v>474</v>
      </c>
      <c r="B1827" s="237" t="s">
        <v>19795</v>
      </c>
      <c r="C1827" s="160"/>
      <c r="D1827" s="23" t="s">
        <v>16</v>
      </c>
      <c r="E1827" s="24"/>
      <c r="F1827" s="37" t="s">
        <v>418</v>
      </c>
      <c r="G1827" s="25" t="str">
        <f>IF(ISNUMBER(F1827),E1827*F1827,"")</f>
        <v/>
      </c>
      <c r="H1827" s="26"/>
      <c r="I1827" s="27"/>
      <c r="J1827" s="125">
        <v>0</v>
      </c>
    </row>
    <row r="1828" spans="1:10" ht="15.75" hidden="1" thickBot="1" x14ac:dyDescent="0.3">
      <c r="A1828" s="235"/>
      <c r="B1828" s="238"/>
      <c r="C1828" s="151"/>
      <c r="D1828" s="29"/>
      <c r="E1828" s="30"/>
      <c r="F1828" s="38" t="s">
        <v>418</v>
      </c>
      <c r="G1828" s="28" t="str">
        <f>IF(ISNUMBER(F1828),E1828*F1828,"")</f>
        <v/>
      </c>
      <c r="H1828" s="32"/>
      <c r="I1828" s="28"/>
      <c r="J1828" s="125">
        <v>0</v>
      </c>
    </row>
    <row r="1829" spans="1:10" ht="26.25" hidden="1" thickBot="1" x14ac:dyDescent="0.3">
      <c r="A1829" s="235"/>
      <c r="B1829" s="238"/>
      <c r="C1829" s="155" t="s">
        <v>9741</v>
      </c>
      <c r="D1829" s="155" t="s">
        <v>587</v>
      </c>
      <c r="E1829" s="34">
        <v>2.5</v>
      </c>
      <c r="F1829" s="28">
        <v>18.544</v>
      </c>
      <c r="G1829" s="31">
        <f>IF(ISNUMBER(F1829),E1829*F1829,"")</f>
        <v>46.36</v>
      </c>
      <c r="H1829" s="35">
        <f>SUM(G1829:G1831)</f>
        <v>114.1425</v>
      </c>
      <c r="I1829" s="36"/>
      <c r="J1829" s="125">
        <v>0</v>
      </c>
    </row>
    <row r="1830" spans="1:10" ht="26.25" hidden="1" thickBot="1" x14ac:dyDescent="0.3">
      <c r="A1830" s="235"/>
      <c r="B1830" s="238"/>
      <c r="C1830" s="155" t="s">
        <v>460</v>
      </c>
      <c r="D1830" s="155" t="s">
        <v>587</v>
      </c>
      <c r="E1830" s="34">
        <v>2.5</v>
      </c>
      <c r="F1830" s="28">
        <v>27.113</v>
      </c>
      <c r="G1830" s="31">
        <f>IF(ISNUMBER(F1830),E1830*F1830,"")</f>
        <v>67.782499999999999</v>
      </c>
      <c r="H1830" s="32"/>
      <c r="I1830" s="28"/>
      <c r="J1830" s="125">
        <v>0</v>
      </c>
    </row>
    <row r="1831" spans="1:10" ht="26.25" hidden="1" thickBot="1" x14ac:dyDescent="0.3">
      <c r="A1831" s="235"/>
      <c r="B1831" s="238"/>
      <c r="C1831" s="155" t="s">
        <v>475</v>
      </c>
      <c r="D1831" s="33" t="s">
        <v>97</v>
      </c>
      <c r="E1831" s="34">
        <v>1</v>
      </c>
      <c r="F1831" s="31" t="s">
        <v>418</v>
      </c>
      <c r="G1831" s="31" t="str">
        <f>IF(ISNUMBER(F1831),E1831*F1831,"")</f>
        <v/>
      </c>
      <c r="H1831" s="32"/>
      <c r="I1831" s="28"/>
      <c r="J1831" s="125">
        <v>0</v>
      </c>
    </row>
    <row r="1832" spans="1:10" ht="15.75" hidden="1" thickBot="1" x14ac:dyDescent="0.3">
      <c r="A1832" s="236"/>
      <c r="B1832" s="239"/>
      <c r="C1832" s="155"/>
      <c r="D1832" s="33"/>
      <c r="E1832" s="34"/>
      <c r="F1832" s="28" t="s">
        <v>418</v>
      </c>
      <c r="G1832" s="28" t="str">
        <f>IF(ISNUMBER(F1832),E1832*F1832,"")</f>
        <v/>
      </c>
      <c r="H1832" s="32"/>
      <c r="I1832" s="28"/>
      <c r="J1832" s="125">
        <v>0</v>
      </c>
    </row>
    <row r="1833" spans="1:10" ht="15.75" hidden="1" thickBot="1" x14ac:dyDescent="0.3">
      <c r="A1833" s="234" t="s">
        <v>476</v>
      </c>
      <c r="B1833" s="237" t="s">
        <v>19722</v>
      </c>
      <c r="C1833" s="160"/>
      <c r="D1833" s="23" t="s">
        <v>16</v>
      </c>
      <c r="E1833" s="24"/>
      <c r="F1833" s="37" t="s">
        <v>418</v>
      </c>
      <c r="G1833" s="25" t="str">
        <f>IF(ISNUMBER(F1833),E1833*F1833,"")</f>
        <v/>
      </c>
      <c r="H1833" s="26"/>
      <c r="I1833" s="27"/>
      <c r="J1833" s="125">
        <v>0</v>
      </c>
    </row>
    <row r="1834" spans="1:10" ht="15.75" hidden="1" thickBot="1" x14ac:dyDescent="0.3">
      <c r="A1834" s="235"/>
      <c r="B1834" s="238"/>
      <c r="C1834" s="151"/>
      <c r="D1834" s="29"/>
      <c r="E1834" s="30"/>
      <c r="F1834" s="38" t="s">
        <v>418</v>
      </c>
      <c r="G1834" s="28" t="str">
        <f>IF(ISNUMBER(F1834),E1834*F1834,"")</f>
        <v/>
      </c>
      <c r="H1834" s="32"/>
      <c r="I1834" s="28"/>
      <c r="J1834" s="125">
        <v>0</v>
      </c>
    </row>
    <row r="1835" spans="1:10" ht="26.25" hidden="1" thickBot="1" x14ac:dyDescent="0.3">
      <c r="A1835" s="235"/>
      <c r="B1835" s="238"/>
      <c r="C1835" s="155" t="s">
        <v>9741</v>
      </c>
      <c r="D1835" s="155" t="s">
        <v>587</v>
      </c>
      <c r="E1835" s="34">
        <v>2.5</v>
      </c>
      <c r="F1835" s="28">
        <v>18.544</v>
      </c>
      <c r="G1835" s="31">
        <f>IF(ISNUMBER(F1835),E1835*F1835,"")</f>
        <v>46.36</v>
      </c>
      <c r="H1835" s="35">
        <f>SUM(G1835:G1837)</f>
        <v>114.1425</v>
      </c>
      <c r="I1835" s="36"/>
      <c r="J1835" s="125">
        <v>0</v>
      </c>
    </row>
    <row r="1836" spans="1:10" ht="26.25" hidden="1" thickBot="1" x14ac:dyDescent="0.3">
      <c r="A1836" s="235"/>
      <c r="B1836" s="238"/>
      <c r="C1836" s="155" t="s">
        <v>460</v>
      </c>
      <c r="D1836" s="155" t="s">
        <v>587</v>
      </c>
      <c r="E1836" s="34">
        <v>2.5</v>
      </c>
      <c r="F1836" s="28">
        <v>27.113</v>
      </c>
      <c r="G1836" s="31">
        <f>IF(ISNUMBER(F1836),E1836*F1836,"")</f>
        <v>67.782499999999999</v>
      </c>
      <c r="H1836" s="32"/>
      <c r="I1836" s="28"/>
      <c r="J1836" s="125">
        <v>0</v>
      </c>
    </row>
    <row r="1837" spans="1:10" ht="26.25" hidden="1" thickBot="1" x14ac:dyDescent="0.3">
      <c r="A1837" s="235"/>
      <c r="B1837" s="238"/>
      <c r="C1837" s="155" t="s">
        <v>477</v>
      </c>
      <c r="D1837" s="33" t="s">
        <v>97</v>
      </c>
      <c r="E1837" s="34">
        <v>1</v>
      </c>
      <c r="F1837" s="31" t="s">
        <v>418</v>
      </c>
      <c r="G1837" s="31" t="str">
        <f>IF(ISNUMBER(F1837),E1837*F1837,"")</f>
        <v/>
      </c>
      <c r="H1837" s="32"/>
      <c r="I1837" s="28"/>
      <c r="J1837" s="125">
        <v>0</v>
      </c>
    </row>
    <row r="1838" spans="1:10" ht="15.75" hidden="1" thickBot="1" x14ac:dyDescent="0.3">
      <c r="A1838" s="236"/>
      <c r="B1838" s="239"/>
      <c r="C1838" s="155"/>
      <c r="D1838" s="33"/>
      <c r="E1838" s="34"/>
      <c r="F1838" s="28" t="s">
        <v>418</v>
      </c>
      <c r="G1838" s="28" t="str">
        <f>IF(ISNUMBER(F1838),E1838*F1838,"")</f>
        <v/>
      </c>
      <c r="H1838" s="32"/>
      <c r="I1838" s="28"/>
      <c r="J1838" s="125">
        <v>0</v>
      </c>
    </row>
    <row r="1839" spans="1:10" ht="15.75" hidden="1" thickBot="1" x14ac:dyDescent="0.3">
      <c r="A1839" s="234" t="s">
        <v>478</v>
      </c>
      <c r="B1839" s="237" t="s">
        <v>19723</v>
      </c>
      <c r="C1839" s="160"/>
      <c r="D1839" s="23" t="s">
        <v>16</v>
      </c>
      <c r="E1839" s="24"/>
      <c r="F1839" s="37" t="s">
        <v>418</v>
      </c>
      <c r="G1839" s="25" t="str">
        <f>IF(ISNUMBER(F1839),E1839*F1839,"")</f>
        <v/>
      </c>
      <c r="H1839" s="26"/>
      <c r="I1839" s="27"/>
      <c r="J1839" s="125">
        <v>0</v>
      </c>
    </row>
    <row r="1840" spans="1:10" ht="15.75" hidden="1" thickBot="1" x14ac:dyDescent="0.3">
      <c r="A1840" s="235"/>
      <c r="B1840" s="238"/>
      <c r="C1840" s="151"/>
      <c r="D1840" s="29"/>
      <c r="E1840" s="30"/>
      <c r="F1840" s="38" t="s">
        <v>418</v>
      </c>
      <c r="G1840" s="28" t="str">
        <f>IF(ISNUMBER(F1840),E1840*F1840,"")</f>
        <v/>
      </c>
      <c r="H1840" s="32"/>
      <c r="I1840" s="28"/>
      <c r="J1840" s="125">
        <v>0</v>
      </c>
    </row>
    <row r="1841" spans="1:10" ht="26.25" hidden="1" thickBot="1" x14ac:dyDescent="0.3">
      <c r="A1841" s="235"/>
      <c r="B1841" s="238"/>
      <c r="C1841" s="155" t="s">
        <v>9741</v>
      </c>
      <c r="D1841" s="155" t="s">
        <v>587</v>
      </c>
      <c r="E1841" s="34">
        <v>2.5</v>
      </c>
      <c r="F1841" s="28">
        <v>18.544</v>
      </c>
      <c r="G1841" s="31">
        <f>IF(ISNUMBER(F1841),E1841*F1841,"")</f>
        <v>46.36</v>
      </c>
      <c r="H1841" s="35">
        <f>SUM(G1841:G1843)</f>
        <v>114.1425</v>
      </c>
      <c r="I1841" s="36"/>
      <c r="J1841" s="125">
        <v>0</v>
      </c>
    </row>
    <row r="1842" spans="1:10" ht="26.25" hidden="1" thickBot="1" x14ac:dyDescent="0.3">
      <c r="A1842" s="235"/>
      <c r="B1842" s="238"/>
      <c r="C1842" s="155" t="s">
        <v>460</v>
      </c>
      <c r="D1842" s="155" t="s">
        <v>587</v>
      </c>
      <c r="E1842" s="34">
        <v>2.5</v>
      </c>
      <c r="F1842" s="28">
        <v>27.113</v>
      </c>
      <c r="G1842" s="31">
        <f>IF(ISNUMBER(F1842),E1842*F1842,"")</f>
        <v>67.782499999999999</v>
      </c>
      <c r="H1842" s="32"/>
      <c r="I1842" s="28"/>
      <c r="J1842" s="125">
        <v>0</v>
      </c>
    </row>
    <row r="1843" spans="1:10" ht="26.25" hidden="1" thickBot="1" x14ac:dyDescent="0.3">
      <c r="A1843" s="235"/>
      <c r="B1843" s="238"/>
      <c r="C1843" s="155" t="s">
        <v>479</v>
      </c>
      <c r="D1843" s="33" t="s">
        <v>97</v>
      </c>
      <c r="E1843" s="34">
        <v>1</v>
      </c>
      <c r="F1843" s="31" t="s">
        <v>418</v>
      </c>
      <c r="G1843" s="31" t="str">
        <f>IF(ISNUMBER(F1843),E1843*F1843,"")</f>
        <v/>
      </c>
      <c r="H1843" s="32"/>
      <c r="I1843" s="28"/>
      <c r="J1843" s="125">
        <v>0</v>
      </c>
    </row>
    <row r="1844" spans="1:10" ht="15.75" hidden="1" thickBot="1" x14ac:dyDescent="0.3">
      <c r="A1844" s="236"/>
      <c r="B1844" s="239"/>
      <c r="C1844" s="155"/>
      <c r="D1844" s="33"/>
      <c r="E1844" s="34"/>
      <c r="F1844" s="28" t="s">
        <v>418</v>
      </c>
      <c r="G1844" s="28" t="str">
        <f>IF(ISNUMBER(F1844),E1844*F1844,"")</f>
        <v/>
      </c>
      <c r="H1844" s="32"/>
      <c r="I1844" s="28"/>
      <c r="J1844" s="125">
        <v>0</v>
      </c>
    </row>
    <row r="1845" spans="1:10" ht="15.75" hidden="1" thickBot="1" x14ac:dyDescent="0.3">
      <c r="A1845" s="234" t="s">
        <v>480</v>
      </c>
      <c r="B1845" s="237" t="s">
        <v>19724</v>
      </c>
      <c r="C1845" s="160"/>
      <c r="D1845" s="23" t="s">
        <v>16</v>
      </c>
      <c r="E1845" s="24"/>
      <c r="F1845" s="37" t="s">
        <v>418</v>
      </c>
      <c r="G1845" s="25" t="str">
        <f>IF(ISNUMBER(F1845),E1845*F1845,"")</f>
        <v/>
      </c>
      <c r="H1845" s="26"/>
      <c r="I1845" s="27"/>
      <c r="J1845" s="125">
        <v>0</v>
      </c>
    </row>
    <row r="1846" spans="1:10" ht="15.75" hidden="1" thickBot="1" x14ac:dyDescent="0.3">
      <c r="A1846" s="235"/>
      <c r="B1846" s="238"/>
      <c r="C1846" s="151"/>
      <c r="D1846" s="29"/>
      <c r="E1846" s="30"/>
      <c r="F1846" s="38" t="s">
        <v>418</v>
      </c>
      <c r="G1846" s="28" t="str">
        <f>IF(ISNUMBER(F1846),E1846*F1846,"")</f>
        <v/>
      </c>
      <c r="H1846" s="32"/>
      <c r="I1846" s="28"/>
      <c r="J1846" s="125">
        <v>0</v>
      </c>
    </row>
    <row r="1847" spans="1:10" ht="26.25" hidden="1" thickBot="1" x14ac:dyDescent="0.3">
      <c r="A1847" s="235"/>
      <c r="B1847" s="238"/>
      <c r="C1847" s="155" t="s">
        <v>9741</v>
      </c>
      <c r="D1847" s="155" t="s">
        <v>587</v>
      </c>
      <c r="E1847" s="34">
        <v>2.5</v>
      </c>
      <c r="F1847" s="28">
        <v>18.544</v>
      </c>
      <c r="G1847" s="31">
        <f>IF(ISNUMBER(F1847),E1847*F1847,"")</f>
        <v>46.36</v>
      </c>
      <c r="H1847" s="35">
        <f>SUM(G1847:G1849)</f>
        <v>114.1425</v>
      </c>
      <c r="I1847" s="36"/>
      <c r="J1847" s="125">
        <v>0</v>
      </c>
    </row>
    <row r="1848" spans="1:10" ht="26.25" hidden="1" thickBot="1" x14ac:dyDescent="0.3">
      <c r="A1848" s="235"/>
      <c r="B1848" s="238"/>
      <c r="C1848" s="155" t="s">
        <v>460</v>
      </c>
      <c r="D1848" s="155" t="s">
        <v>587</v>
      </c>
      <c r="E1848" s="34">
        <v>2.5</v>
      </c>
      <c r="F1848" s="28">
        <v>27.113</v>
      </c>
      <c r="G1848" s="31">
        <f>IF(ISNUMBER(F1848),E1848*F1848,"")</f>
        <v>67.782499999999999</v>
      </c>
      <c r="H1848" s="32"/>
      <c r="I1848" s="28"/>
      <c r="J1848" s="125">
        <v>0</v>
      </c>
    </row>
    <row r="1849" spans="1:10" ht="39" hidden="1" thickBot="1" x14ac:dyDescent="0.3">
      <c r="A1849" s="235"/>
      <c r="B1849" s="238"/>
      <c r="C1849" s="155" t="s">
        <v>481</v>
      </c>
      <c r="D1849" s="33" t="s">
        <v>97</v>
      </c>
      <c r="E1849" s="34">
        <v>1</v>
      </c>
      <c r="F1849" s="31" t="s">
        <v>418</v>
      </c>
      <c r="G1849" s="31" t="str">
        <f>IF(ISNUMBER(F1849),E1849*F1849,"")</f>
        <v/>
      </c>
      <c r="H1849" s="32"/>
      <c r="I1849" s="28"/>
      <c r="J1849" s="125">
        <v>0</v>
      </c>
    </row>
    <row r="1850" spans="1:10" ht="15.75" hidden="1" thickBot="1" x14ac:dyDescent="0.3">
      <c r="A1850" s="236"/>
      <c r="B1850" s="239"/>
      <c r="C1850" s="155"/>
      <c r="D1850" s="33"/>
      <c r="E1850" s="34"/>
      <c r="F1850" s="28" t="s">
        <v>418</v>
      </c>
      <c r="G1850" s="28" t="str">
        <f>IF(ISNUMBER(F1850),E1850*F1850,"")</f>
        <v/>
      </c>
      <c r="H1850" s="32"/>
      <c r="I1850" s="28"/>
      <c r="J1850" s="125">
        <v>0</v>
      </c>
    </row>
    <row r="1851" spans="1:10" ht="15.75" hidden="1" thickBot="1" x14ac:dyDescent="0.3">
      <c r="A1851" s="234" t="s">
        <v>482</v>
      </c>
      <c r="B1851" s="237" t="s">
        <v>19725</v>
      </c>
      <c r="C1851" s="160"/>
      <c r="D1851" s="23" t="s">
        <v>16</v>
      </c>
      <c r="E1851" s="24"/>
      <c r="F1851" s="37" t="s">
        <v>418</v>
      </c>
      <c r="G1851" s="25" t="str">
        <f>IF(ISNUMBER(F1851),E1851*F1851,"")</f>
        <v/>
      </c>
      <c r="H1851" s="26"/>
      <c r="I1851" s="27"/>
      <c r="J1851" s="125">
        <v>0</v>
      </c>
    </row>
    <row r="1852" spans="1:10" ht="15.75" hidden="1" thickBot="1" x14ac:dyDescent="0.3">
      <c r="A1852" s="235"/>
      <c r="B1852" s="238"/>
      <c r="C1852" s="151"/>
      <c r="D1852" s="29"/>
      <c r="E1852" s="30"/>
      <c r="F1852" s="38" t="s">
        <v>418</v>
      </c>
      <c r="G1852" s="28" t="str">
        <f>IF(ISNUMBER(F1852),E1852*F1852,"")</f>
        <v/>
      </c>
      <c r="H1852" s="32"/>
      <c r="I1852" s="28"/>
      <c r="J1852" s="125">
        <v>0</v>
      </c>
    </row>
    <row r="1853" spans="1:10" ht="26.25" hidden="1" thickBot="1" x14ac:dyDescent="0.3">
      <c r="A1853" s="235"/>
      <c r="B1853" s="238"/>
      <c r="C1853" s="155" t="s">
        <v>9741</v>
      </c>
      <c r="D1853" s="155" t="s">
        <v>587</v>
      </c>
      <c r="E1853" s="34">
        <v>2.5</v>
      </c>
      <c r="F1853" s="28">
        <v>18.544</v>
      </c>
      <c r="G1853" s="31">
        <f>IF(ISNUMBER(F1853),E1853*F1853,"")</f>
        <v>46.36</v>
      </c>
      <c r="H1853" s="35">
        <f>SUM(G1853:G1855)</f>
        <v>114.1425</v>
      </c>
      <c r="I1853" s="36"/>
      <c r="J1853" s="125">
        <v>0</v>
      </c>
    </row>
    <row r="1854" spans="1:10" ht="26.25" hidden="1" thickBot="1" x14ac:dyDescent="0.3">
      <c r="A1854" s="235"/>
      <c r="B1854" s="238"/>
      <c r="C1854" s="155" t="s">
        <v>460</v>
      </c>
      <c r="D1854" s="155" t="s">
        <v>587</v>
      </c>
      <c r="E1854" s="34">
        <v>2.5</v>
      </c>
      <c r="F1854" s="28">
        <v>27.113</v>
      </c>
      <c r="G1854" s="31">
        <f>IF(ISNUMBER(F1854),E1854*F1854,"")</f>
        <v>67.782499999999999</v>
      </c>
      <c r="H1854" s="32"/>
      <c r="I1854" s="28"/>
      <c r="J1854" s="125">
        <v>0</v>
      </c>
    </row>
    <row r="1855" spans="1:10" ht="51.75" hidden="1" thickBot="1" x14ac:dyDescent="0.3">
      <c r="A1855" s="235"/>
      <c r="B1855" s="238"/>
      <c r="C1855" s="155" t="s">
        <v>483</v>
      </c>
      <c r="D1855" s="33" t="s">
        <v>97</v>
      </c>
      <c r="E1855" s="34">
        <v>1</v>
      </c>
      <c r="F1855" s="31" t="s">
        <v>418</v>
      </c>
      <c r="G1855" s="31" t="str">
        <f>IF(ISNUMBER(F1855),E1855*F1855,"")</f>
        <v/>
      </c>
      <c r="H1855" s="32"/>
      <c r="I1855" s="28"/>
      <c r="J1855" s="125">
        <v>0</v>
      </c>
    </row>
    <row r="1856" spans="1:10" ht="15.75" hidden="1" thickBot="1" x14ac:dyDescent="0.3">
      <c r="A1856" s="236"/>
      <c r="B1856" s="239"/>
      <c r="C1856" s="155"/>
      <c r="D1856" s="33"/>
      <c r="E1856" s="34"/>
      <c r="F1856" s="28" t="s">
        <v>418</v>
      </c>
      <c r="G1856" s="28" t="str">
        <f>IF(ISNUMBER(F1856),E1856*F1856,"")</f>
        <v/>
      </c>
      <c r="H1856" s="32"/>
      <c r="I1856" s="28"/>
      <c r="J1856" s="125">
        <v>0</v>
      </c>
    </row>
    <row r="1857" spans="1:10" ht="15.75" hidden="1" thickBot="1" x14ac:dyDescent="0.3">
      <c r="A1857" s="234" t="s">
        <v>484</v>
      </c>
      <c r="B1857" s="237" t="s">
        <v>19726</v>
      </c>
      <c r="C1857" s="160"/>
      <c r="D1857" s="23" t="s">
        <v>16</v>
      </c>
      <c r="E1857" s="24"/>
      <c r="F1857" s="37" t="s">
        <v>418</v>
      </c>
      <c r="G1857" s="25" t="str">
        <f>IF(ISNUMBER(F1857),E1857*F1857,"")</f>
        <v/>
      </c>
      <c r="H1857" s="26"/>
      <c r="I1857" s="27"/>
      <c r="J1857" s="125">
        <v>0</v>
      </c>
    </row>
    <row r="1858" spans="1:10" ht="15.75" hidden="1" thickBot="1" x14ac:dyDescent="0.3">
      <c r="A1858" s="235"/>
      <c r="B1858" s="238"/>
      <c r="C1858" s="151"/>
      <c r="D1858" s="29"/>
      <c r="E1858" s="30"/>
      <c r="F1858" s="38" t="s">
        <v>418</v>
      </c>
      <c r="G1858" s="28" t="str">
        <f>IF(ISNUMBER(F1858),E1858*F1858,"")</f>
        <v/>
      </c>
      <c r="H1858" s="32"/>
      <c r="I1858" s="28"/>
      <c r="J1858" s="125">
        <v>0</v>
      </c>
    </row>
    <row r="1859" spans="1:10" ht="26.25" hidden="1" thickBot="1" x14ac:dyDescent="0.3">
      <c r="A1859" s="235"/>
      <c r="B1859" s="238"/>
      <c r="C1859" s="155" t="s">
        <v>9741</v>
      </c>
      <c r="D1859" s="155" t="s">
        <v>587</v>
      </c>
      <c r="E1859" s="34">
        <v>2.5</v>
      </c>
      <c r="F1859" s="28">
        <v>18.544</v>
      </c>
      <c r="G1859" s="31">
        <f>IF(ISNUMBER(F1859),E1859*F1859,"")</f>
        <v>46.36</v>
      </c>
      <c r="H1859" s="35">
        <f>SUM(G1859:G1861)</f>
        <v>114.1425</v>
      </c>
      <c r="I1859" s="36"/>
      <c r="J1859" s="125">
        <v>0</v>
      </c>
    </row>
    <row r="1860" spans="1:10" ht="26.25" hidden="1" thickBot="1" x14ac:dyDescent="0.3">
      <c r="A1860" s="235"/>
      <c r="B1860" s="238"/>
      <c r="C1860" s="155" t="s">
        <v>460</v>
      </c>
      <c r="D1860" s="155" t="s">
        <v>587</v>
      </c>
      <c r="E1860" s="34">
        <v>2.5</v>
      </c>
      <c r="F1860" s="28">
        <v>27.113</v>
      </c>
      <c r="G1860" s="31">
        <f>IF(ISNUMBER(F1860),E1860*F1860,"")</f>
        <v>67.782499999999999</v>
      </c>
      <c r="H1860" s="32"/>
      <c r="I1860" s="28"/>
      <c r="J1860" s="125">
        <v>0</v>
      </c>
    </row>
    <row r="1861" spans="1:10" ht="26.25" hidden="1" thickBot="1" x14ac:dyDescent="0.3">
      <c r="A1861" s="235"/>
      <c r="B1861" s="238"/>
      <c r="C1861" s="155" t="s">
        <v>485</v>
      </c>
      <c r="D1861" s="33" t="s">
        <v>97</v>
      </c>
      <c r="E1861" s="34">
        <v>1</v>
      </c>
      <c r="F1861" s="31" t="s">
        <v>418</v>
      </c>
      <c r="G1861" s="31" t="str">
        <f>IF(ISNUMBER(F1861),E1861*F1861,"")</f>
        <v/>
      </c>
      <c r="H1861" s="32"/>
      <c r="I1861" s="28"/>
      <c r="J1861" s="125">
        <v>0</v>
      </c>
    </row>
    <row r="1862" spans="1:10" ht="15.75" hidden="1" thickBot="1" x14ac:dyDescent="0.3">
      <c r="A1862" s="236"/>
      <c r="B1862" s="239"/>
      <c r="C1862" s="155"/>
      <c r="D1862" s="33"/>
      <c r="E1862" s="34"/>
      <c r="F1862" s="28" t="s">
        <v>418</v>
      </c>
      <c r="G1862" s="28" t="str">
        <f>IF(ISNUMBER(F1862),E1862*F1862,"")</f>
        <v/>
      </c>
      <c r="H1862" s="32"/>
      <c r="I1862" s="28"/>
      <c r="J1862" s="125">
        <v>0</v>
      </c>
    </row>
    <row r="1863" spans="1:10" ht="15.75" hidden="1" thickBot="1" x14ac:dyDescent="0.3">
      <c r="A1863" s="234" t="s">
        <v>486</v>
      </c>
      <c r="B1863" s="237" t="s">
        <v>19727</v>
      </c>
      <c r="C1863" s="160"/>
      <c r="D1863" s="23" t="s">
        <v>16</v>
      </c>
      <c r="E1863" s="24"/>
      <c r="F1863" s="37" t="s">
        <v>418</v>
      </c>
      <c r="G1863" s="25" t="str">
        <f>IF(ISNUMBER(F1863),E1863*F1863,"")</f>
        <v/>
      </c>
      <c r="H1863" s="26"/>
      <c r="I1863" s="27"/>
      <c r="J1863" s="125">
        <v>0</v>
      </c>
    </row>
    <row r="1864" spans="1:10" ht="15.75" hidden="1" thickBot="1" x14ac:dyDescent="0.3">
      <c r="A1864" s="235"/>
      <c r="B1864" s="238"/>
      <c r="C1864" s="151"/>
      <c r="D1864" s="29"/>
      <c r="E1864" s="30"/>
      <c r="F1864" s="38" t="s">
        <v>418</v>
      </c>
      <c r="G1864" s="28" t="str">
        <f>IF(ISNUMBER(F1864),E1864*F1864,"")</f>
        <v/>
      </c>
      <c r="H1864" s="32"/>
      <c r="I1864" s="28"/>
      <c r="J1864" s="125">
        <v>0</v>
      </c>
    </row>
    <row r="1865" spans="1:10" ht="26.25" hidden="1" thickBot="1" x14ac:dyDescent="0.3">
      <c r="A1865" s="235"/>
      <c r="B1865" s="238"/>
      <c r="C1865" s="155" t="s">
        <v>9741</v>
      </c>
      <c r="D1865" s="155" t="s">
        <v>587</v>
      </c>
      <c r="E1865" s="34">
        <v>2.5</v>
      </c>
      <c r="F1865" s="28">
        <v>18.544</v>
      </c>
      <c r="G1865" s="31">
        <f>IF(ISNUMBER(F1865),E1865*F1865,"")</f>
        <v>46.36</v>
      </c>
      <c r="H1865" s="35">
        <f>SUM(G1865:G1867)</f>
        <v>114.1425</v>
      </c>
      <c r="I1865" s="36"/>
      <c r="J1865" s="125">
        <v>0</v>
      </c>
    </row>
    <row r="1866" spans="1:10" ht="26.25" hidden="1" thickBot="1" x14ac:dyDescent="0.3">
      <c r="A1866" s="235"/>
      <c r="B1866" s="238"/>
      <c r="C1866" s="155" t="s">
        <v>460</v>
      </c>
      <c r="D1866" s="155" t="s">
        <v>587</v>
      </c>
      <c r="E1866" s="34">
        <v>2.5</v>
      </c>
      <c r="F1866" s="28">
        <v>27.113</v>
      </c>
      <c r="G1866" s="31">
        <f>IF(ISNUMBER(F1866),E1866*F1866,"")</f>
        <v>67.782499999999999</v>
      </c>
      <c r="H1866" s="32"/>
      <c r="I1866" s="28"/>
      <c r="J1866" s="125">
        <v>0</v>
      </c>
    </row>
    <row r="1867" spans="1:10" ht="39" hidden="1" thickBot="1" x14ac:dyDescent="0.3">
      <c r="A1867" s="235"/>
      <c r="B1867" s="238"/>
      <c r="C1867" s="155" t="s">
        <v>487</v>
      </c>
      <c r="D1867" s="33" t="s">
        <v>97</v>
      </c>
      <c r="E1867" s="34">
        <v>1</v>
      </c>
      <c r="F1867" s="31" t="s">
        <v>418</v>
      </c>
      <c r="G1867" s="31" t="str">
        <f>IF(ISNUMBER(F1867),E1867*F1867,"")</f>
        <v/>
      </c>
      <c r="H1867" s="32"/>
      <c r="I1867" s="28"/>
      <c r="J1867" s="125">
        <v>0</v>
      </c>
    </row>
    <row r="1868" spans="1:10" ht="15.75" hidden="1" thickBot="1" x14ac:dyDescent="0.3">
      <c r="A1868" s="236"/>
      <c r="B1868" s="239"/>
      <c r="C1868" s="155"/>
      <c r="D1868" s="33"/>
      <c r="E1868" s="34"/>
      <c r="F1868" s="28" t="s">
        <v>418</v>
      </c>
      <c r="G1868" s="28" t="str">
        <f>IF(ISNUMBER(F1868),E1868*F1868,"")</f>
        <v/>
      </c>
      <c r="H1868" s="32"/>
      <c r="I1868" s="28"/>
      <c r="J1868" s="125">
        <v>0</v>
      </c>
    </row>
    <row r="1869" spans="1:10" ht="15.75" hidden="1" thickBot="1" x14ac:dyDescent="0.3">
      <c r="A1869" s="234" t="s">
        <v>488</v>
      </c>
      <c r="B1869" s="237" t="s">
        <v>19728</v>
      </c>
      <c r="C1869" s="160"/>
      <c r="D1869" s="23" t="s">
        <v>16</v>
      </c>
      <c r="E1869" s="24"/>
      <c r="F1869" s="37" t="s">
        <v>418</v>
      </c>
      <c r="G1869" s="25" t="str">
        <f>IF(ISNUMBER(F1869),E1869*F1869,"")</f>
        <v/>
      </c>
      <c r="H1869" s="26"/>
      <c r="I1869" s="27"/>
      <c r="J1869" s="125">
        <v>0</v>
      </c>
    </row>
    <row r="1870" spans="1:10" ht="15.75" hidden="1" thickBot="1" x14ac:dyDescent="0.3">
      <c r="A1870" s="235"/>
      <c r="B1870" s="238"/>
      <c r="C1870" s="151"/>
      <c r="D1870" s="29"/>
      <c r="E1870" s="30"/>
      <c r="F1870" s="38" t="s">
        <v>418</v>
      </c>
      <c r="G1870" s="28" t="str">
        <f>IF(ISNUMBER(F1870),E1870*F1870,"")</f>
        <v/>
      </c>
      <c r="H1870" s="32"/>
      <c r="I1870" s="28"/>
      <c r="J1870" s="125">
        <v>0</v>
      </c>
    </row>
    <row r="1871" spans="1:10" ht="26.25" hidden="1" thickBot="1" x14ac:dyDescent="0.3">
      <c r="A1871" s="235"/>
      <c r="B1871" s="238"/>
      <c r="C1871" s="155" t="s">
        <v>9741</v>
      </c>
      <c r="D1871" s="155" t="s">
        <v>587</v>
      </c>
      <c r="E1871" s="34">
        <v>2.5</v>
      </c>
      <c r="F1871" s="28">
        <v>18.544</v>
      </c>
      <c r="G1871" s="28">
        <f>IF(ISNUMBER(F1871),E1871*F1871,"")</f>
        <v>46.36</v>
      </c>
      <c r="H1871" s="35">
        <f>SUM(G1871:G1873)</f>
        <v>114.1425</v>
      </c>
      <c r="I1871" s="36"/>
      <c r="J1871" s="125">
        <v>0</v>
      </c>
    </row>
    <row r="1872" spans="1:10" ht="26.25" hidden="1" thickBot="1" x14ac:dyDescent="0.3">
      <c r="A1872" s="235"/>
      <c r="B1872" s="238"/>
      <c r="C1872" s="155" t="s">
        <v>460</v>
      </c>
      <c r="D1872" s="155" t="s">
        <v>587</v>
      </c>
      <c r="E1872" s="34">
        <v>2.5</v>
      </c>
      <c r="F1872" s="28">
        <v>27.113</v>
      </c>
      <c r="G1872" s="28">
        <f>IF(ISNUMBER(F1872),E1872*F1872,"")</f>
        <v>67.782499999999999</v>
      </c>
      <c r="H1872" s="32"/>
      <c r="I1872" s="28"/>
      <c r="J1872" s="125">
        <v>0</v>
      </c>
    </row>
    <row r="1873" spans="1:10" ht="39" hidden="1" thickBot="1" x14ac:dyDescent="0.3">
      <c r="A1873" s="235"/>
      <c r="B1873" s="238"/>
      <c r="C1873" s="155" t="s">
        <v>489</v>
      </c>
      <c r="D1873" s="33" t="s">
        <v>97</v>
      </c>
      <c r="E1873" s="34">
        <v>1</v>
      </c>
      <c r="F1873" s="31" t="s">
        <v>418</v>
      </c>
      <c r="G1873" s="28" t="str">
        <f>IF(ISNUMBER(F1873),E1873*F1873,"")</f>
        <v/>
      </c>
      <c r="H1873" s="32"/>
      <c r="I1873" s="28"/>
      <c r="J1873" s="125">
        <v>0</v>
      </c>
    </row>
    <row r="1874" spans="1:10" ht="15.75" hidden="1" thickBot="1" x14ac:dyDescent="0.3">
      <c r="A1874" s="236"/>
      <c r="B1874" s="239"/>
      <c r="C1874" s="155"/>
      <c r="D1874" s="33"/>
      <c r="E1874" s="34"/>
      <c r="F1874" s="28" t="s">
        <v>418</v>
      </c>
      <c r="G1874" s="28" t="str">
        <f>IF(ISNUMBER(F1874),E1874*F1874,"")</f>
        <v/>
      </c>
      <c r="H1874" s="32"/>
      <c r="I1874" s="28"/>
      <c r="J1874" s="125">
        <v>0</v>
      </c>
    </row>
    <row r="1875" spans="1:10" ht="15.75" hidden="1" thickBot="1" x14ac:dyDescent="0.3">
      <c r="A1875" s="234" t="s">
        <v>490</v>
      </c>
      <c r="B1875" s="237" t="s">
        <v>19729</v>
      </c>
      <c r="C1875" s="160"/>
      <c r="D1875" s="23" t="s">
        <v>16</v>
      </c>
      <c r="E1875" s="24"/>
      <c r="F1875" s="37" t="s">
        <v>418</v>
      </c>
      <c r="G1875" s="25" t="str">
        <f>IF(ISNUMBER(F1875),E1875*F1875,"")</f>
        <v/>
      </c>
      <c r="H1875" s="26"/>
      <c r="I1875" s="27"/>
      <c r="J1875" s="125">
        <v>0</v>
      </c>
    </row>
    <row r="1876" spans="1:10" ht="15.75" hidden="1" thickBot="1" x14ac:dyDescent="0.3">
      <c r="A1876" s="235"/>
      <c r="B1876" s="238"/>
      <c r="C1876" s="151"/>
      <c r="D1876" s="29"/>
      <c r="E1876" s="30"/>
      <c r="F1876" s="38" t="s">
        <v>418</v>
      </c>
      <c r="G1876" s="28" t="str">
        <f>IF(ISNUMBER(F1876),E1876*F1876,"")</f>
        <v/>
      </c>
      <c r="H1876" s="32"/>
      <c r="I1876" s="28"/>
      <c r="J1876" s="125">
        <v>0</v>
      </c>
    </row>
    <row r="1877" spans="1:10" ht="26.25" hidden="1" thickBot="1" x14ac:dyDescent="0.3">
      <c r="A1877" s="235"/>
      <c r="B1877" s="238"/>
      <c r="C1877" s="155" t="s">
        <v>9741</v>
      </c>
      <c r="D1877" s="155" t="s">
        <v>587</v>
      </c>
      <c r="E1877" s="34">
        <v>3.5</v>
      </c>
      <c r="F1877" s="28">
        <v>18.544</v>
      </c>
      <c r="G1877" s="31">
        <f>IF(ISNUMBER(F1877),E1877*F1877,"")</f>
        <v>64.903999999999996</v>
      </c>
      <c r="H1877" s="35">
        <f>SUM(G1877:G1879)</f>
        <v>160.74949999999998</v>
      </c>
      <c r="I1877" s="36"/>
      <c r="J1877" s="125">
        <v>0</v>
      </c>
    </row>
    <row r="1878" spans="1:10" ht="26.25" hidden="1" thickBot="1" x14ac:dyDescent="0.3">
      <c r="A1878" s="235"/>
      <c r="B1878" s="238"/>
      <c r="C1878" s="155" t="s">
        <v>460</v>
      </c>
      <c r="D1878" s="155" t="s">
        <v>587</v>
      </c>
      <c r="E1878" s="34">
        <v>3.5</v>
      </c>
      <c r="F1878" s="28">
        <v>27.113</v>
      </c>
      <c r="G1878" s="31">
        <f>IF(ISNUMBER(F1878),E1878*F1878,"")</f>
        <v>94.895499999999998</v>
      </c>
      <c r="H1878" s="32"/>
      <c r="I1878" s="28"/>
      <c r="J1878" s="125">
        <v>0</v>
      </c>
    </row>
    <row r="1879" spans="1:10" ht="15.75" hidden="1" thickBot="1" x14ac:dyDescent="0.3">
      <c r="A1879" s="235"/>
      <c r="B1879" s="238"/>
      <c r="C1879" s="155" t="s">
        <v>491</v>
      </c>
      <c r="D1879" s="33" t="s">
        <v>97</v>
      </c>
      <c r="E1879" s="34">
        <v>1</v>
      </c>
      <c r="F1879" s="31">
        <v>0.95</v>
      </c>
      <c r="G1879" s="31">
        <f>IF(ISNUMBER(F1879),E1879*F1879,"")</f>
        <v>0.95</v>
      </c>
      <c r="H1879" s="32"/>
      <c r="I1879" s="28"/>
      <c r="J1879" s="125">
        <v>0</v>
      </c>
    </row>
    <row r="1880" spans="1:10" ht="15.75" hidden="1" thickBot="1" x14ac:dyDescent="0.3">
      <c r="A1880" s="236"/>
      <c r="B1880" s="239"/>
      <c r="C1880" s="155"/>
      <c r="D1880" s="33"/>
      <c r="E1880" s="34"/>
      <c r="F1880" s="28" t="s">
        <v>418</v>
      </c>
      <c r="G1880" s="28" t="str">
        <f>IF(ISNUMBER(F1880),E1880*F1880,"")</f>
        <v/>
      </c>
      <c r="H1880" s="32"/>
      <c r="I1880" s="28"/>
      <c r="J1880" s="125">
        <v>0</v>
      </c>
    </row>
    <row r="1881" spans="1:10" ht="15.75" hidden="1" thickBot="1" x14ac:dyDescent="0.3">
      <c r="A1881" s="234" t="s">
        <v>493</v>
      </c>
      <c r="B1881" s="237" t="s">
        <v>19730</v>
      </c>
      <c r="C1881" s="160"/>
      <c r="D1881" s="23" t="s">
        <v>16</v>
      </c>
      <c r="E1881" s="24"/>
      <c r="F1881" s="37" t="s">
        <v>418</v>
      </c>
      <c r="G1881" s="25" t="str">
        <f>IF(ISNUMBER(F1881),E1881*F1881,"")</f>
        <v/>
      </c>
      <c r="H1881" s="26"/>
      <c r="I1881" s="27"/>
      <c r="J1881" s="125">
        <v>0</v>
      </c>
    </row>
    <row r="1882" spans="1:10" ht="15.75" hidden="1" thickBot="1" x14ac:dyDescent="0.3">
      <c r="A1882" s="235"/>
      <c r="B1882" s="238"/>
      <c r="C1882" s="151"/>
      <c r="D1882" s="29"/>
      <c r="E1882" s="30"/>
      <c r="F1882" s="38" t="s">
        <v>418</v>
      </c>
      <c r="G1882" s="28" t="str">
        <f>IF(ISNUMBER(F1882),E1882*F1882,"")</f>
        <v/>
      </c>
      <c r="H1882" s="32"/>
      <c r="I1882" s="28"/>
      <c r="J1882" s="125">
        <v>0</v>
      </c>
    </row>
    <row r="1883" spans="1:10" ht="26.25" hidden="1" thickBot="1" x14ac:dyDescent="0.3">
      <c r="A1883" s="235"/>
      <c r="B1883" s="238"/>
      <c r="C1883" s="155" t="s">
        <v>9741</v>
      </c>
      <c r="D1883" s="155" t="s">
        <v>587</v>
      </c>
      <c r="E1883" s="34">
        <v>3.5</v>
      </c>
      <c r="F1883" s="28">
        <v>18.544</v>
      </c>
      <c r="G1883" s="28">
        <f>IF(ISNUMBER(F1883),E1883*F1883,"")</f>
        <v>64.903999999999996</v>
      </c>
      <c r="H1883" s="35">
        <f>SUM(G1883:G1885)</f>
        <v>160.74949999999998</v>
      </c>
      <c r="I1883" s="36"/>
      <c r="J1883" s="125">
        <v>0</v>
      </c>
    </row>
    <row r="1884" spans="1:10" ht="26.25" hidden="1" thickBot="1" x14ac:dyDescent="0.3">
      <c r="A1884" s="235"/>
      <c r="B1884" s="238"/>
      <c r="C1884" s="155" t="s">
        <v>460</v>
      </c>
      <c r="D1884" s="155" t="s">
        <v>587</v>
      </c>
      <c r="E1884" s="34">
        <v>3.5</v>
      </c>
      <c r="F1884" s="28">
        <v>27.113</v>
      </c>
      <c r="G1884" s="28">
        <f>IF(ISNUMBER(F1884),E1884*F1884,"")</f>
        <v>94.895499999999998</v>
      </c>
      <c r="H1884" s="32"/>
      <c r="I1884" s="28"/>
      <c r="J1884" s="125">
        <v>0</v>
      </c>
    </row>
    <row r="1885" spans="1:10" ht="15.75" hidden="1" thickBot="1" x14ac:dyDescent="0.3">
      <c r="A1885" s="235"/>
      <c r="B1885" s="238"/>
      <c r="C1885" s="155" t="s">
        <v>494</v>
      </c>
      <c r="D1885" s="33" t="s">
        <v>97</v>
      </c>
      <c r="E1885" s="34">
        <v>1</v>
      </c>
      <c r="F1885" s="28">
        <v>0.95</v>
      </c>
      <c r="G1885" s="28">
        <f>IF(ISNUMBER(F1885),E1885*F1885,"")</f>
        <v>0.95</v>
      </c>
      <c r="H1885" s="32"/>
      <c r="I1885" s="28"/>
      <c r="J1885" s="125">
        <v>0</v>
      </c>
    </row>
    <row r="1886" spans="1:10" ht="15.75" hidden="1" thickBot="1" x14ac:dyDescent="0.3">
      <c r="A1886" s="236"/>
      <c r="B1886" s="239"/>
      <c r="C1886" s="155"/>
      <c r="D1886" s="33"/>
      <c r="E1886" s="34"/>
      <c r="F1886" s="28" t="s">
        <v>418</v>
      </c>
      <c r="G1886" s="28" t="str">
        <f>IF(ISNUMBER(F1886),E1886*F1886,"")</f>
        <v/>
      </c>
      <c r="H1886" s="32"/>
      <c r="I1886" s="28"/>
      <c r="J1886" s="125">
        <v>0</v>
      </c>
    </row>
    <row r="1887" spans="1:10" ht="15.75" hidden="1" thickBot="1" x14ac:dyDescent="0.3">
      <c r="A1887" s="234" t="s">
        <v>496</v>
      </c>
      <c r="B1887" s="237" t="s">
        <v>1476</v>
      </c>
      <c r="C1887" s="160"/>
      <c r="D1887" s="23" t="s">
        <v>16</v>
      </c>
      <c r="E1887" s="24"/>
      <c r="F1887" s="37" t="s">
        <v>418</v>
      </c>
      <c r="G1887" s="25" t="str">
        <f>IF(ISNUMBER(F1887),E1887*F1887,"")</f>
        <v/>
      </c>
      <c r="H1887" s="26"/>
      <c r="I1887" s="27"/>
      <c r="J1887" s="125">
        <v>0</v>
      </c>
    </row>
    <row r="1888" spans="1:10" ht="15.75" hidden="1" thickBot="1" x14ac:dyDescent="0.3">
      <c r="A1888" s="235"/>
      <c r="B1888" s="238"/>
      <c r="C1888" s="151"/>
      <c r="D1888" s="29"/>
      <c r="E1888" s="30"/>
      <c r="F1888" s="38" t="s">
        <v>418</v>
      </c>
      <c r="G1888" s="28" t="str">
        <f>IF(ISNUMBER(F1888),E1888*F1888,"")</f>
        <v/>
      </c>
      <c r="H1888" s="32"/>
      <c r="I1888" s="28"/>
      <c r="J1888" s="125">
        <v>0</v>
      </c>
    </row>
    <row r="1889" spans="1:10" ht="26.25" hidden="1" thickBot="1" x14ac:dyDescent="0.3">
      <c r="A1889" s="235"/>
      <c r="B1889" s="238"/>
      <c r="C1889" s="155" t="s">
        <v>9741</v>
      </c>
      <c r="D1889" s="155" t="s">
        <v>587</v>
      </c>
      <c r="E1889" s="34">
        <f>2.5</f>
        <v>2.5</v>
      </c>
      <c r="F1889" s="28">
        <v>18.544</v>
      </c>
      <c r="G1889" s="28">
        <f>IF(ISNUMBER(F1889),E1889*F1889,"")</f>
        <v>46.36</v>
      </c>
      <c r="H1889" s="35">
        <f>SUM(G1889:G1890)</f>
        <v>114.1425</v>
      </c>
      <c r="I1889" s="36"/>
      <c r="J1889" s="125">
        <v>0</v>
      </c>
    </row>
    <row r="1890" spans="1:10" ht="26.25" hidden="1" thickBot="1" x14ac:dyDescent="0.3">
      <c r="A1890" s="235"/>
      <c r="B1890" s="238"/>
      <c r="C1890" s="155" t="s">
        <v>460</v>
      </c>
      <c r="D1890" s="155" t="s">
        <v>587</v>
      </c>
      <c r="E1890" s="156">
        <f>2.5</f>
        <v>2.5</v>
      </c>
      <c r="F1890" s="28">
        <v>27.113</v>
      </c>
      <c r="G1890" s="28">
        <f>IF(ISNUMBER(F1890),E1890*F1890,"")</f>
        <v>67.782499999999999</v>
      </c>
      <c r="H1890" s="32"/>
      <c r="I1890" s="28"/>
      <c r="J1890" s="125">
        <v>0</v>
      </c>
    </row>
    <row r="1891" spans="1:10" ht="15.75" hidden="1" thickBot="1" x14ac:dyDescent="0.3">
      <c r="A1891" s="236"/>
      <c r="B1891" s="239"/>
      <c r="C1891" s="155"/>
      <c r="D1891" s="33"/>
      <c r="E1891" s="34"/>
      <c r="F1891" s="28" t="s">
        <v>418</v>
      </c>
      <c r="G1891" s="28" t="str">
        <f>IF(ISNUMBER(F1891),E1891*F1891,"")</f>
        <v/>
      </c>
      <c r="H1891" s="32"/>
      <c r="I1891" s="28"/>
      <c r="J1891" s="125">
        <v>0</v>
      </c>
    </row>
    <row r="1892" spans="1:10" ht="15.75" hidden="1" thickBot="1" x14ac:dyDescent="0.3">
      <c r="A1892" s="234" t="s">
        <v>497</v>
      </c>
      <c r="B1892" s="237" t="s">
        <v>1477</v>
      </c>
      <c r="C1892" s="160"/>
      <c r="D1892" s="23" t="s">
        <v>16</v>
      </c>
      <c r="E1892" s="24"/>
      <c r="F1892" s="37" t="s">
        <v>418</v>
      </c>
      <c r="G1892" s="25" t="str">
        <f>IF(ISNUMBER(F1892),E1892*F1892,"")</f>
        <v/>
      </c>
      <c r="H1892" s="26"/>
      <c r="I1892" s="27"/>
      <c r="J1892" s="125">
        <v>0</v>
      </c>
    </row>
    <row r="1893" spans="1:10" ht="15.75" hidden="1" thickBot="1" x14ac:dyDescent="0.3">
      <c r="A1893" s="235"/>
      <c r="B1893" s="238"/>
      <c r="C1893" s="151"/>
      <c r="D1893" s="29"/>
      <c r="E1893" s="30"/>
      <c r="F1893" s="38" t="s">
        <v>418</v>
      </c>
      <c r="G1893" s="28" t="str">
        <f>IF(ISNUMBER(F1893),E1893*F1893,"")</f>
        <v/>
      </c>
      <c r="H1893" s="32"/>
      <c r="I1893" s="28"/>
      <c r="J1893" s="125">
        <v>0</v>
      </c>
    </row>
    <row r="1894" spans="1:10" ht="15.75" hidden="1" thickBot="1" x14ac:dyDescent="0.3">
      <c r="A1894" s="235"/>
      <c r="B1894" s="238"/>
      <c r="C1894" s="155" t="s">
        <v>1023</v>
      </c>
      <c r="D1894" s="155" t="s">
        <v>587</v>
      </c>
      <c r="E1894" s="34">
        <v>1</v>
      </c>
      <c r="F1894" s="28">
        <v>25.954000000000001</v>
      </c>
      <c r="G1894" s="31">
        <f>IF(ISNUMBER(F1894),E1894*F1894,"")</f>
        <v>25.954000000000001</v>
      </c>
      <c r="H1894" s="35">
        <f>SUM(G1894:G1895)</f>
        <v>45.476500000000001</v>
      </c>
      <c r="I1894" s="36"/>
      <c r="J1894" s="125">
        <v>0</v>
      </c>
    </row>
    <row r="1895" spans="1:10" ht="15.75" hidden="1" thickBot="1" x14ac:dyDescent="0.3">
      <c r="A1895" s="235"/>
      <c r="B1895" s="238"/>
      <c r="C1895" s="155" t="s">
        <v>1022</v>
      </c>
      <c r="D1895" s="155" t="s">
        <v>587</v>
      </c>
      <c r="E1895" s="34">
        <v>1</v>
      </c>
      <c r="F1895" s="28">
        <v>19.522500000000001</v>
      </c>
      <c r="G1895" s="31">
        <f>IF(ISNUMBER(F1895),E1895*F1895,"")</f>
        <v>19.522500000000001</v>
      </c>
      <c r="H1895" s="32"/>
      <c r="I1895" s="28"/>
      <c r="J1895" s="125">
        <v>0</v>
      </c>
    </row>
    <row r="1896" spans="1:10" ht="15.75" hidden="1" thickBot="1" x14ac:dyDescent="0.3">
      <c r="A1896" s="236"/>
      <c r="B1896" s="239"/>
      <c r="C1896" s="155"/>
      <c r="D1896" s="33"/>
      <c r="E1896" s="34"/>
      <c r="F1896" s="28" t="s">
        <v>418</v>
      </c>
      <c r="G1896" s="28" t="str">
        <f>IF(ISNUMBER(F1896),E1896*F1896,"")</f>
        <v/>
      </c>
      <c r="H1896" s="32"/>
      <c r="I1896" s="28"/>
      <c r="J1896" s="125">
        <v>0</v>
      </c>
    </row>
    <row r="1897" spans="1:10" ht="15.75" hidden="1" thickBot="1" x14ac:dyDescent="0.3">
      <c r="A1897" s="234" t="s">
        <v>498</v>
      </c>
      <c r="B1897" s="237" t="s">
        <v>1478</v>
      </c>
      <c r="C1897" s="160"/>
      <c r="D1897" s="23" t="s">
        <v>16</v>
      </c>
      <c r="E1897" s="24"/>
      <c r="F1897" s="37" t="s">
        <v>418</v>
      </c>
      <c r="G1897" s="25" t="str">
        <f>IF(ISNUMBER(F1897),E1897*F1897,"")</f>
        <v/>
      </c>
      <c r="H1897" s="26"/>
      <c r="I1897" s="27"/>
      <c r="J1897" s="125">
        <v>0</v>
      </c>
    </row>
    <row r="1898" spans="1:10" ht="15.75" hidden="1" thickBot="1" x14ac:dyDescent="0.3">
      <c r="A1898" s="235"/>
      <c r="B1898" s="238"/>
      <c r="C1898" s="151"/>
      <c r="D1898" s="29"/>
      <c r="E1898" s="30"/>
      <c r="F1898" s="38" t="s">
        <v>418</v>
      </c>
      <c r="G1898" s="28" t="str">
        <f>IF(ISNUMBER(F1898),E1898*F1898,"")</f>
        <v/>
      </c>
      <c r="H1898" s="32"/>
      <c r="I1898" s="28"/>
      <c r="J1898" s="125">
        <v>0</v>
      </c>
    </row>
    <row r="1899" spans="1:10" ht="15.75" hidden="1" thickBot="1" x14ac:dyDescent="0.3">
      <c r="A1899" s="235"/>
      <c r="B1899" s="238"/>
      <c r="C1899" s="155" t="s">
        <v>9782</v>
      </c>
      <c r="D1899" s="155" t="s">
        <v>587</v>
      </c>
      <c r="E1899" s="34">
        <v>0.75</v>
      </c>
      <c r="F1899" s="28">
        <v>23.930499999999999</v>
      </c>
      <c r="G1899" s="31">
        <f>IF(ISNUMBER(F1899),E1899*F1899,"")</f>
        <v>17.947875</v>
      </c>
      <c r="H1899" s="35">
        <f>SUM(G1899:G1900)</f>
        <v>36.223500000000001</v>
      </c>
      <c r="I1899" s="36"/>
      <c r="J1899" s="125">
        <v>0</v>
      </c>
    </row>
    <row r="1900" spans="1:10" ht="15.75" hidden="1" thickBot="1" x14ac:dyDescent="0.3">
      <c r="A1900" s="235"/>
      <c r="B1900" s="238"/>
      <c r="C1900" s="155" t="s">
        <v>662</v>
      </c>
      <c r="D1900" s="155" t="s">
        <v>587</v>
      </c>
      <c r="E1900" s="34">
        <v>0.75</v>
      </c>
      <c r="F1900" s="28">
        <v>24.367499999999996</v>
      </c>
      <c r="G1900" s="31">
        <f>IF(ISNUMBER(F1900),E1900*F1900,"")</f>
        <v>18.275624999999998</v>
      </c>
      <c r="H1900" s="32"/>
      <c r="I1900" s="28"/>
      <c r="J1900" s="125">
        <v>0</v>
      </c>
    </row>
    <row r="1901" spans="1:10" ht="15.75" hidden="1" thickBot="1" x14ac:dyDescent="0.3">
      <c r="A1901" s="236"/>
      <c r="B1901" s="239"/>
      <c r="C1901" s="155"/>
      <c r="D1901" s="33"/>
      <c r="E1901" s="34"/>
      <c r="F1901" s="28" t="s">
        <v>418</v>
      </c>
      <c r="G1901" s="28" t="str">
        <f>IF(ISNUMBER(F1901),E1901*F1901,"")</f>
        <v/>
      </c>
      <c r="H1901" s="32"/>
      <c r="I1901" s="28"/>
      <c r="J1901" s="125">
        <v>0</v>
      </c>
    </row>
    <row r="1902" spans="1:10" ht="15.75" hidden="1" thickBot="1" x14ac:dyDescent="0.3">
      <c r="A1902" s="234" t="s">
        <v>499</v>
      </c>
      <c r="B1902" s="237" t="s">
        <v>1479</v>
      </c>
      <c r="C1902" s="160"/>
      <c r="D1902" s="23" t="s">
        <v>16</v>
      </c>
      <c r="E1902" s="24"/>
      <c r="F1902" s="37" t="s">
        <v>418</v>
      </c>
      <c r="G1902" s="25" t="str">
        <f>IF(ISNUMBER(F1902),E1902*F1902,"")</f>
        <v/>
      </c>
      <c r="H1902" s="26"/>
      <c r="I1902" s="27"/>
      <c r="J1902" s="125">
        <v>0</v>
      </c>
    </row>
    <row r="1903" spans="1:10" ht="15.75" hidden="1" thickBot="1" x14ac:dyDescent="0.3">
      <c r="A1903" s="235"/>
      <c r="B1903" s="238"/>
      <c r="C1903" s="151"/>
      <c r="D1903" s="29"/>
      <c r="E1903" s="30"/>
      <c r="F1903" s="38" t="s">
        <v>418</v>
      </c>
      <c r="G1903" s="28" t="str">
        <f>IF(ISNUMBER(F1903),E1903*F1903,"")</f>
        <v/>
      </c>
      <c r="H1903" s="32"/>
      <c r="I1903" s="28"/>
      <c r="J1903" s="125">
        <v>0</v>
      </c>
    </row>
    <row r="1904" spans="1:10" ht="26.25" hidden="1" thickBot="1" x14ac:dyDescent="0.3">
      <c r="A1904" s="235"/>
      <c r="B1904" s="238"/>
      <c r="C1904" s="155" t="s">
        <v>824</v>
      </c>
      <c r="D1904" s="155" t="s">
        <v>587</v>
      </c>
      <c r="E1904" s="34">
        <v>0.5</v>
      </c>
      <c r="F1904" s="28">
        <v>18.6295</v>
      </c>
      <c r="G1904" s="31">
        <f>IF(ISNUMBER(F1904),E1904*F1904,"")</f>
        <v>9.3147500000000001</v>
      </c>
      <c r="H1904" s="35">
        <f>SUM(G1904:G1906)</f>
        <v>21.7835</v>
      </c>
      <c r="I1904" s="36"/>
      <c r="J1904" s="125">
        <v>0</v>
      </c>
    </row>
    <row r="1905" spans="1:10" ht="26.25" hidden="1" thickBot="1" x14ac:dyDescent="0.3">
      <c r="A1905" s="235"/>
      <c r="B1905" s="238"/>
      <c r="C1905" s="155" t="s">
        <v>825</v>
      </c>
      <c r="D1905" s="155" t="s">
        <v>587</v>
      </c>
      <c r="E1905" s="34">
        <v>0.5</v>
      </c>
      <c r="F1905" s="28">
        <v>24.9375</v>
      </c>
      <c r="G1905" s="31">
        <f>IF(ISNUMBER(F1905),E1905*F1905,"")</f>
        <v>12.46875</v>
      </c>
      <c r="H1905" s="32"/>
      <c r="I1905" s="28"/>
      <c r="J1905" s="125">
        <v>0</v>
      </c>
    </row>
    <row r="1906" spans="1:10" ht="26.25" hidden="1" thickBot="1" x14ac:dyDescent="0.3">
      <c r="A1906" s="235"/>
      <c r="B1906" s="238"/>
      <c r="C1906" s="155" t="s">
        <v>500</v>
      </c>
      <c r="D1906" s="33" t="s">
        <v>16</v>
      </c>
      <c r="E1906" s="34">
        <v>1</v>
      </c>
      <c r="F1906" s="31" t="s">
        <v>418</v>
      </c>
      <c r="G1906" s="28" t="str">
        <f>IF(ISNUMBER(F1906),E1906*F1906,"")</f>
        <v/>
      </c>
      <c r="H1906" s="32"/>
      <c r="I1906" s="28"/>
      <c r="J1906" s="125">
        <v>0</v>
      </c>
    </row>
    <row r="1907" spans="1:10" ht="15.75" hidden="1" thickBot="1" x14ac:dyDescent="0.3">
      <c r="A1907" s="236"/>
      <c r="B1907" s="239"/>
      <c r="C1907" s="155"/>
      <c r="D1907" s="33"/>
      <c r="E1907" s="34"/>
      <c r="F1907" s="28" t="s">
        <v>418</v>
      </c>
      <c r="G1907" s="28" t="str">
        <f>IF(ISNUMBER(F1907),E1907*F1907,"")</f>
        <v/>
      </c>
      <c r="H1907" s="32"/>
      <c r="I1907" s="28"/>
      <c r="J1907" s="125">
        <v>0</v>
      </c>
    </row>
    <row r="1908" spans="1:10" ht="15.75" hidden="1" thickBot="1" x14ac:dyDescent="0.3">
      <c r="A1908" s="234" t="s">
        <v>501</v>
      </c>
      <c r="B1908" s="237" t="s">
        <v>1480</v>
      </c>
      <c r="C1908" s="160"/>
      <c r="D1908" s="23" t="s">
        <v>69</v>
      </c>
      <c r="E1908" s="24"/>
      <c r="F1908" s="37" t="s">
        <v>418</v>
      </c>
      <c r="G1908" s="25" t="str">
        <f>IF(ISNUMBER(F1908),E1908*F1908,"")</f>
        <v/>
      </c>
      <c r="H1908" s="26"/>
      <c r="I1908" s="27"/>
      <c r="J1908" s="125">
        <v>0</v>
      </c>
    </row>
    <row r="1909" spans="1:10" ht="15.75" hidden="1" thickBot="1" x14ac:dyDescent="0.3">
      <c r="A1909" s="235"/>
      <c r="B1909" s="238"/>
      <c r="C1909" s="151"/>
      <c r="D1909" s="29"/>
      <c r="E1909" s="30"/>
      <c r="F1909" s="38" t="s">
        <v>418</v>
      </c>
      <c r="G1909" s="28" t="str">
        <f>IF(ISNUMBER(F1909),E1909*F1909,"")</f>
        <v/>
      </c>
      <c r="H1909" s="32"/>
      <c r="I1909" s="28"/>
      <c r="J1909" s="125">
        <v>0</v>
      </c>
    </row>
    <row r="1910" spans="1:10" ht="26.25" hidden="1" thickBot="1" x14ac:dyDescent="0.3">
      <c r="A1910" s="235"/>
      <c r="B1910" s="238"/>
      <c r="C1910" s="155" t="s">
        <v>9741</v>
      </c>
      <c r="D1910" s="155" t="s">
        <v>587</v>
      </c>
      <c r="E1910" s="34">
        <v>0.05</v>
      </c>
      <c r="F1910" s="28">
        <v>18.544</v>
      </c>
      <c r="G1910" s="28">
        <f>IF(ISNUMBER(F1910),E1910*F1910,"")</f>
        <v>0.92720000000000002</v>
      </c>
      <c r="H1910" s="35">
        <f>SUM(G1910:G1911)</f>
        <v>0.92720000000000002</v>
      </c>
      <c r="I1910" s="36"/>
      <c r="J1910" s="125">
        <v>0</v>
      </c>
    </row>
    <row r="1911" spans="1:10" ht="15.75" hidden="1" thickBot="1" x14ac:dyDescent="0.3">
      <c r="A1911" s="235"/>
      <c r="B1911" s="238"/>
      <c r="C1911" s="155" t="s">
        <v>502</v>
      </c>
      <c r="D1911" s="42" t="s">
        <v>69</v>
      </c>
      <c r="E1911" s="34">
        <v>1</v>
      </c>
      <c r="F1911" s="28" t="s">
        <v>418</v>
      </c>
      <c r="G1911" s="28" t="str">
        <f>IF(ISNUMBER(F1911),E1911*F1911,"")</f>
        <v/>
      </c>
      <c r="H1911" s="32"/>
      <c r="I1911" s="28"/>
      <c r="J1911" s="125">
        <v>0</v>
      </c>
    </row>
    <row r="1912" spans="1:10" ht="15.75" hidden="1" thickBot="1" x14ac:dyDescent="0.3">
      <c r="A1912" s="236"/>
      <c r="B1912" s="239"/>
      <c r="C1912" s="155"/>
      <c r="D1912" s="33"/>
      <c r="E1912" s="34"/>
      <c r="F1912" s="28" t="s">
        <v>418</v>
      </c>
      <c r="G1912" s="28" t="str">
        <f>IF(ISNUMBER(F1912),E1912*F1912,"")</f>
        <v/>
      </c>
      <c r="H1912" s="32"/>
      <c r="I1912" s="28"/>
      <c r="J1912" s="125">
        <v>0</v>
      </c>
    </row>
    <row r="1913" spans="1:10" ht="15.75" hidden="1" thickBot="1" x14ac:dyDescent="0.3">
      <c r="A1913" s="234" t="s">
        <v>503</v>
      </c>
      <c r="B1913" s="237" t="s">
        <v>1481</v>
      </c>
      <c r="C1913" s="160"/>
      <c r="D1913" s="23" t="s">
        <v>69</v>
      </c>
      <c r="E1913" s="24"/>
      <c r="F1913" s="37" t="s">
        <v>418</v>
      </c>
      <c r="G1913" s="25" t="str">
        <f>IF(ISNUMBER(F1913),E1913*F1913,"")</f>
        <v/>
      </c>
      <c r="H1913" s="26"/>
      <c r="I1913" s="27"/>
      <c r="J1913" s="125">
        <v>0</v>
      </c>
    </row>
    <row r="1914" spans="1:10" ht="15.75" hidden="1" thickBot="1" x14ac:dyDescent="0.3">
      <c r="A1914" s="235"/>
      <c r="B1914" s="238"/>
      <c r="C1914" s="151"/>
      <c r="D1914" s="29"/>
      <c r="E1914" s="30"/>
      <c r="F1914" s="38" t="s">
        <v>418</v>
      </c>
      <c r="G1914" s="28" t="str">
        <f>IF(ISNUMBER(F1914),E1914*F1914,"")</f>
        <v/>
      </c>
      <c r="H1914" s="32"/>
      <c r="I1914" s="28"/>
      <c r="J1914" s="125">
        <v>0</v>
      </c>
    </row>
    <row r="1915" spans="1:10" ht="26.25" hidden="1" thickBot="1" x14ac:dyDescent="0.3">
      <c r="A1915" s="235"/>
      <c r="B1915" s="238"/>
      <c r="C1915" s="155" t="s">
        <v>9741</v>
      </c>
      <c r="D1915" s="155" t="s">
        <v>587</v>
      </c>
      <c r="E1915" s="34">
        <v>0.05</v>
      </c>
      <c r="F1915" s="28">
        <v>18.544</v>
      </c>
      <c r="G1915" s="28">
        <f>IF(ISNUMBER(F1915),E1915*F1915,"")</f>
        <v>0.92720000000000002</v>
      </c>
      <c r="H1915" s="35">
        <f>SUM(G1915:G1916)</f>
        <v>0.92720000000000002</v>
      </c>
      <c r="I1915" s="36"/>
      <c r="J1915" s="125">
        <v>0</v>
      </c>
    </row>
    <row r="1916" spans="1:10" ht="15.75" hidden="1" thickBot="1" x14ac:dyDescent="0.3">
      <c r="A1916" s="235"/>
      <c r="B1916" s="238"/>
      <c r="C1916" s="155" t="s">
        <v>504</v>
      </c>
      <c r="D1916" s="42" t="s">
        <v>69</v>
      </c>
      <c r="E1916" s="34">
        <v>1</v>
      </c>
      <c r="F1916" s="28" t="s">
        <v>418</v>
      </c>
      <c r="G1916" s="28" t="str">
        <f>IF(ISNUMBER(F1916),E1916*F1916,"")</f>
        <v/>
      </c>
      <c r="H1916" s="32"/>
      <c r="I1916" s="28"/>
      <c r="J1916" s="125">
        <v>0</v>
      </c>
    </row>
    <row r="1917" spans="1:10" ht="15.75" hidden="1" thickBot="1" x14ac:dyDescent="0.3">
      <c r="A1917" s="236"/>
      <c r="B1917" s="239"/>
      <c r="C1917" s="155"/>
      <c r="D1917" s="33"/>
      <c r="E1917" s="34"/>
      <c r="F1917" s="28" t="s">
        <v>418</v>
      </c>
      <c r="G1917" s="28" t="str">
        <f>IF(ISNUMBER(F1917),E1917*F1917,"")</f>
        <v/>
      </c>
      <c r="H1917" s="32"/>
      <c r="I1917" s="28"/>
      <c r="J1917" s="125">
        <v>0</v>
      </c>
    </row>
    <row r="1918" spans="1:10" ht="15.75" hidden="1" thickBot="1" x14ac:dyDescent="0.3">
      <c r="A1918" s="234" t="s">
        <v>505</v>
      </c>
      <c r="B1918" s="237" t="s">
        <v>1482</v>
      </c>
      <c r="C1918" s="160"/>
      <c r="D1918" s="23" t="s">
        <v>69</v>
      </c>
      <c r="E1918" s="24"/>
      <c r="F1918" s="37" t="s">
        <v>418</v>
      </c>
      <c r="G1918" s="25" t="str">
        <f>IF(ISNUMBER(F1918),E1918*F1918,"")</f>
        <v/>
      </c>
      <c r="H1918" s="26"/>
      <c r="I1918" s="27"/>
      <c r="J1918" s="125">
        <v>0</v>
      </c>
    </row>
    <row r="1919" spans="1:10" ht="15.75" hidden="1" thickBot="1" x14ac:dyDescent="0.3">
      <c r="A1919" s="235"/>
      <c r="B1919" s="238"/>
      <c r="C1919" s="151"/>
      <c r="D1919" s="29"/>
      <c r="E1919" s="30"/>
      <c r="F1919" s="38" t="s">
        <v>418</v>
      </c>
      <c r="G1919" s="28" t="str">
        <f>IF(ISNUMBER(F1919),E1919*F1919,"")</f>
        <v/>
      </c>
      <c r="H1919" s="32"/>
      <c r="I1919" s="28"/>
      <c r="J1919" s="125">
        <v>0</v>
      </c>
    </row>
    <row r="1920" spans="1:10" ht="26.25" hidden="1" thickBot="1" x14ac:dyDescent="0.3">
      <c r="A1920" s="235"/>
      <c r="B1920" s="238"/>
      <c r="C1920" s="155" t="s">
        <v>9741</v>
      </c>
      <c r="D1920" s="155" t="s">
        <v>587</v>
      </c>
      <c r="E1920" s="34">
        <v>0.05</v>
      </c>
      <c r="F1920" s="28">
        <v>18.544</v>
      </c>
      <c r="G1920" s="28">
        <f>IF(ISNUMBER(F1920),E1920*F1920,"")</f>
        <v>0.92720000000000002</v>
      </c>
      <c r="H1920" s="35">
        <f>SUM(G1920:G1923)</f>
        <v>0.92720000000000002</v>
      </c>
      <c r="I1920" s="36"/>
      <c r="J1920" s="125">
        <v>0</v>
      </c>
    </row>
    <row r="1921" spans="1:10" ht="15.75" hidden="1" thickBot="1" x14ac:dyDescent="0.3">
      <c r="A1921" s="235"/>
      <c r="B1921" s="238"/>
      <c r="C1921" s="155" t="s">
        <v>14597</v>
      </c>
      <c r="D1921" s="33" t="s">
        <v>16</v>
      </c>
      <c r="E1921" s="34">
        <v>1</v>
      </c>
      <c r="F1921" s="28" t="s">
        <v>418</v>
      </c>
      <c r="G1921" s="28" t="str">
        <f>IF(ISNUMBER(F1921),E1921*F1921,"")</f>
        <v/>
      </c>
      <c r="H1921" s="32"/>
      <c r="I1921" s="28"/>
      <c r="J1921" s="125">
        <v>0</v>
      </c>
    </row>
    <row r="1922" spans="1:10" ht="15.75" hidden="1" thickBot="1" x14ac:dyDescent="0.3">
      <c r="A1922" s="235"/>
      <c r="B1922" s="238"/>
      <c r="C1922" s="155" t="s">
        <v>14598</v>
      </c>
      <c r="D1922" s="33" t="s">
        <v>16</v>
      </c>
      <c r="E1922" s="34">
        <v>1</v>
      </c>
      <c r="F1922" s="28" t="s">
        <v>418</v>
      </c>
      <c r="G1922" s="28" t="str">
        <f>IF(ISNUMBER(F1922),E1922*F1922,"")</f>
        <v/>
      </c>
      <c r="H1922" s="32"/>
      <c r="I1922" s="28"/>
      <c r="J1922" s="125">
        <v>0</v>
      </c>
    </row>
    <row r="1923" spans="1:10" ht="15.75" hidden="1" thickBot="1" x14ac:dyDescent="0.3">
      <c r="A1923" s="235"/>
      <c r="B1923" s="238"/>
      <c r="C1923" s="155" t="s">
        <v>506</v>
      </c>
      <c r="D1923" s="42" t="s">
        <v>69</v>
      </c>
      <c r="E1923" s="34">
        <v>1</v>
      </c>
      <c r="F1923" s="28" t="s">
        <v>418</v>
      </c>
      <c r="G1923" s="28" t="str">
        <f>IF(ISNUMBER(F1923),E1923*F1923,"")</f>
        <v/>
      </c>
      <c r="H1923" s="32"/>
      <c r="I1923" s="28"/>
      <c r="J1923" s="125">
        <v>0</v>
      </c>
    </row>
    <row r="1924" spans="1:10" ht="15.75" hidden="1" thickBot="1" x14ac:dyDescent="0.3">
      <c r="A1924" s="236"/>
      <c r="B1924" s="239"/>
      <c r="C1924" s="155"/>
      <c r="D1924" s="33"/>
      <c r="E1924" s="34"/>
      <c r="F1924" s="28" t="s">
        <v>418</v>
      </c>
      <c r="G1924" s="28" t="str">
        <f>IF(ISNUMBER(F1924),E1924*F1924,"")</f>
        <v/>
      </c>
      <c r="H1924" s="32"/>
      <c r="I1924" s="28"/>
      <c r="J1924" s="125">
        <v>0</v>
      </c>
    </row>
    <row r="1925" spans="1:10" ht="15.75" hidden="1" thickBot="1" x14ac:dyDescent="0.3">
      <c r="A1925" s="234" t="s">
        <v>507</v>
      </c>
      <c r="B1925" s="237" t="s">
        <v>1483</v>
      </c>
      <c r="C1925" s="160"/>
      <c r="D1925" s="23" t="s">
        <v>16</v>
      </c>
      <c r="E1925" s="24"/>
      <c r="F1925" s="37" t="s">
        <v>418</v>
      </c>
      <c r="G1925" s="25" t="str">
        <f>IF(ISNUMBER(F1925),E1925*F1925,"")</f>
        <v/>
      </c>
      <c r="H1925" s="26"/>
      <c r="I1925" s="27"/>
      <c r="J1925" s="125">
        <v>0</v>
      </c>
    </row>
    <row r="1926" spans="1:10" ht="15.75" hidden="1" thickBot="1" x14ac:dyDescent="0.3">
      <c r="A1926" s="235"/>
      <c r="B1926" s="238"/>
      <c r="C1926" s="151"/>
      <c r="D1926" s="29"/>
      <c r="E1926" s="30"/>
      <c r="F1926" s="38" t="s">
        <v>418</v>
      </c>
      <c r="G1926" s="28" t="str">
        <f>IF(ISNUMBER(F1926),E1926*F1926,"")</f>
        <v/>
      </c>
      <c r="H1926" s="32"/>
      <c r="I1926" s="28"/>
      <c r="J1926" s="125">
        <v>0</v>
      </c>
    </row>
    <row r="1927" spans="1:10" ht="26.25" hidden="1" thickBot="1" x14ac:dyDescent="0.3">
      <c r="A1927" s="235"/>
      <c r="B1927" s="238"/>
      <c r="C1927" s="155" t="s">
        <v>824</v>
      </c>
      <c r="D1927" s="155" t="s">
        <v>587</v>
      </c>
      <c r="E1927" s="34">
        <v>0.5</v>
      </c>
      <c r="F1927" s="28">
        <v>18.6295</v>
      </c>
      <c r="G1927" s="31">
        <f>IF(ISNUMBER(F1927),E1927*F1927,"")</f>
        <v>9.3147500000000001</v>
      </c>
      <c r="H1927" s="35">
        <f>SUM(G1927:G1929)</f>
        <v>21.7835</v>
      </c>
      <c r="I1927" s="36"/>
      <c r="J1927" s="125">
        <v>0</v>
      </c>
    </row>
    <row r="1928" spans="1:10" ht="26.25" hidden="1" thickBot="1" x14ac:dyDescent="0.3">
      <c r="A1928" s="235"/>
      <c r="B1928" s="238"/>
      <c r="C1928" s="155" t="s">
        <v>825</v>
      </c>
      <c r="D1928" s="155" t="s">
        <v>587</v>
      </c>
      <c r="E1928" s="34">
        <v>0.5</v>
      </c>
      <c r="F1928" s="28">
        <v>24.9375</v>
      </c>
      <c r="G1928" s="31">
        <f>IF(ISNUMBER(F1928),E1928*F1928,"")</f>
        <v>12.46875</v>
      </c>
      <c r="H1928" s="32"/>
      <c r="I1928" s="28"/>
      <c r="J1928" s="125">
        <v>0</v>
      </c>
    </row>
    <row r="1929" spans="1:10" ht="15.75" hidden="1" thickBot="1" x14ac:dyDescent="0.3">
      <c r="A1929" s="235"/>
      <c r="B1929" s="238"/>
      <c r="C1929" s="155" t="s">
        <v>508</v>
      </c>
      <c r="D1929" s="33" t="s">
        <v>97</v>
      </c>
      <c r="E1929" s="34">
        <v>1</v>
      </c>
      <c r="F1929" s="31" t="s">
        <v>418</v>
      </c>
      <c r="G1929" s="31" t="str">
        <f>IF(ISNUMBER(F1929),E1929*F1929,"")</f>
        <v/>
      </c>
      <c r="H1929" s="32"/>
      <c r="I1929" s="28"/>
      <c r="J1929" s="125">
        <v>0</v>
      </c>
    </row>
    <row r="1930" spans="1:10" ht="15.75" hidden="1" thickBot="1" x14ac:dyDescent="0.3">
      <c r="A1930" s="236"/>
      <c r="B1930" s="239"/>
      <c r="C1930" s="155"/>
      <c r="D1930" s="33"/>
      <c r="E1930" s="34"/>
      <c r="F1930" s="28" t="s">
        <v>418</v>
      </c>
      <c r="G1930" s="28" t="str">
        <f>IF(ISNUMBER(F1930),E1930*F1930,"")</f>
        <v/>
      </c>
      <c r="H1930" s="32"/>
      <c r="I1930" s="28"/>
      <c r="J1930" s="125">
        <v>0</v>
      </c>
    </row>
    <row r="1931" spans="1:10" ht="15.75" hidden="1" thickBot="1" x14ac:dyDescent="0.3">
      <c r="A1931" s="234" t="s">
        <v>509</v>
      </c>
      <c r="B1931" s="237" t="s">
        <v>510</v>
      </c>
      <c r="C1931" s="160"/>
      <c r="D1931" s="23" t="s">
        <v>16</v>
      </c>
      <c r="E1931" s="24"/>
      <c r="F1931" s="37" t="s">
        <v>418</v>
      </c>
      <c r="G1931" s="25" t="str">
        <f>IF(ISNUMBER(F1931),E1931*F1931,"")</f>
        <v/>
      </c>
      <c r="H1931" s="26"/>
      <c r="I1931" s="27"/>
      <c r="J1931" s="125">
        <v>0</v>
      </c>
    </row>
    <row r="1932" spans="1:10" ht="15.75" hidden="1" thickBot="1" x14ac:dyDescent="0.3">
      <c r="A1932" s="235"/>
      <c r="B1932" s="238"/>
      <c r="C1932" s="151"/>
      <c r="D1932" s="29"/>
      <c r="E1932" s="30"/>
      <c r="F1932" s="38" t="s">
        <v>418</v>
      </c>
      <c r="G1932" s="28" t="str">
        <f>IF(ISNUMBER(F1932),E1932*F1932,"")</f>
        <v/>
      </c>
      <c r="H1932" s="32"/>
      <c r="I1932" s="28"/>
      <c r="J1932" s="125">
        <v>0</v>
      </c>
    </row>
    <row r="1933" spans="1:10" ht="26.25" hidden="1" thickBot="1" x14ac:dyDescent="0.3">
      <c r="A1933" s="235"/>
      <c r="B1933" s="238"/>
      <c r="C1933" s="155" t="s">
        <v>824</v>
      </c>
      <c r="D1933" s="155" t="s">
        <v>587</v>
      </c>
      <c r="E1933" s="34">
        <v>0.5</v>
      </c>
      <c r="F1933" s="28">
        <v>18.6295</v>
      </c>
      <c r="G1933" s="31">
        <f>IF(ISNUMBER(F1933),E1933*F1933,"")</f>
        <v>9.3147500000000001</v>
      </c>
      <c r="H1933" s="35">
        <f>SUM(G1933:G1935)</f>
        <v>21.7835</v>
      </c>
      <c r="I1933" s="36"/>
      <c r="J1933" s="125">
        <v>0</v>
      </c>
    </row>
    <row r="1934" spans="1:10" ht="26.25" hidden="1" thickBot="1" x14ac:dyDescent="0.3">
      <c r="A1934" s="235"/>
      <c r="B1934" s="238"/>
      <c r="C1934" s="155" t="s">
        <v>825</v>
      </c>
      <c r="D1934" s="155" t="s">
        <v>587</v>
      </c>
      <c r="E1934" s="34">
        <v>0.5</v>
      </c>
      <c r="F1934" s="28">
        <v>24.9375</v>
      </c>
      <c r="G1934" s="31">
        <f>IF(ISNUMBER(F1934),E1934*F1934,"")</f>
        <v>12.46875</v>
      </c>
      <c r="H1934" s="32"/>
      <c r="I1934" s="28"/>
      <c r="J1934" s="125">
        <v>0</v>
      </c>
    </row>
    <row r="1935" spans="1:10" ht="15.75" hidden="1" thickBot="1" x14ac:dyDescent="0.3">
      <c r="A1935" s="235"/>
      <c r="B1935" s="238"/>
      <c r="C1935" s="155" t="s">
        <v>510</v>
      </c>
      <c r="D1935" s="33" t="s">
        <v>97</v>
      </c>
      <c r="E1935" s="34">
        <v>1</v>
      </c>
      <c r="F1935" s="31" t="s">
        <v>418</v>
      </c>
      <c r="G1935" s="31" t="str">
        <f>IF(ISNUMBER(F1935),E1935*F1935,"")</f>
        <v/>
      </c>
      <c r="H1935" s="32"/>
      <c r="I1935" s="28"/>
      <c r="J1935" s="125">
        <v>0</v>
      </c>
    </row>
    <row r="1936" spans="1:10" ht="15.75" hidden="1" thickBot="1" x14ac:dyDescent="0.3">
      <c r="A1936" s="236"/>
      <c r="B1936" s="239"/>
      <c r="C1936" s="155"/>
      <c r="D1936" s="33"/>
      <c r="E1936" s="34"/>
      <c r="F1936" s="28" t="s">
        <v>418</v>
      </c>
      <c r="G1936" s="28" t="str">
        <f>IF(ISNUMBER(F1936),E1936*F1936,"")</f>
        <v/>
      </c>
      <c r="H1936" s="32"/>
      <c r="I1936" s="28"/>
      <c r="J1936" s="125">
        <v>0</v>
      </c>
    </row>
    <row r="1937" spans="1:10" ht="15.75" hidden="1" thickBot="1" x14ac:dyDescent="0.3">
      <c r="A1937" s="234" t="s">
        <v>511</v>
      </c>
      <c r="B1937" s="237" t="s">
        <v>1484</v>
      </c>
      <c r="C1937" s="160"/>
      <c r="D1937" s="23" t="s">
        <v>16</v>
      </c>
      <c r="E1937" s="24"/>
      <c r="F1937" s="37" t="s">
        <v>418</v>
      </c>
      <c r="G1937" s="25" t="str">
        <f>IF(ISNUMBER(F1937),E1937*F1937,"")</f>
        <v/>
      </c>
      <c r="H1937" s="26"/>
      <c r="I1937" s="27"/>
      <c r="J1937" s="125">
        <v>0</v>
      </c>
    </row>
    <row r="1938" spans="1:10" ht="15.75" hidden="1" thickBot="1" x14ac:dyDescent="0.3">
      <c r="A1938" s="235"/>
      <c r="B1938" s="238"/>
      <c r="C1938" s="151"/>
      <c r="D1938" s="29"/>
      <c r="E1938" s="30"/>
      <c r="F1938" s="38" t="s">
        <v>418</v>
      </c>
      <c r="G1938" s="28" t="str">
        <f>IF(ISNUMBER(F1938),E1938*F1938,"")</f>
        <v/>
      </c>
      <c r="H1938" s="32"/>
      <c r="I1938" s="28"/>
      <c r="J1938" s="125">
        <v>0</v>
      </c>
    </row>
    <row r="1939" spans="1:10" ht="26.25" hidden="1" thickBot="1" x14ac:dyDescent="0.3">
      <c r="A1939" s="235"/>
      <c r="B1939" s="238"/>
      <c r="C1939" s="155" t="s">
        <v>824</v>
      </c>
      <c r="D1939" s="155" t="s">
        <v>587</v>
      </c>
      <c r="E1939" s="34">
        <v>0.14849999999999999</v>
      </c>
      <c r="F1939" s="28">
        <v>18.6295</v>
      </c>
      <c r="G1939" s="28">
        <f>IF(ISNUMBER(F1939),E1939*F1939,"")</f>
        <v>2.7664807499999999</v>
      </c>
      <c r="H1939" s="35">
        <f>SUM(G1939:G1942)</f>
        <v>6.6962973000000003</v>
      </c>
      <c r="I1939" s="36"/>
      <c r="J1939" s="125">
        <v>0</v>
      </c>
    </row>
    <row r="1940" spans="1:10" ht="26.25" hidden="1" thickBot="1" x14ac:dyDescent="0.3">
      <c r="A1940" s="235"/>
      <c r="B1940" s="238"/>
      <c r="C1940" s="155" t="s">
        <v>825</v>
      </c>
      <c r="D1940" s="155" t="s">
        <v>587</v>
      </c>
      <c r="E1940" s="34">
        <v>0.14849999999999999</v>
      </c>
      <c r="F1940" s="28">
        <v>24.9375</v>
      </c>
      <c r="G1940" s="28">
        <f>IF(ISNUMBER(F1940),E1940*F1940,"")</f>
        <v>3.70321875</v>
      </c>
      <c r="H1940" s="32"/>
      <c r="I1940" s="28"/>
      <c r="J1940" s="125">
        <v>0</v>
      </c>
    </row>
    <row r="1941" spans="1:10" ht="39" hidden="1" thickBot="1" x14ac:dyDescent="0.3">
      <c r="A1941" s="235"/>
      <c r="B1941" s="238"/>
      <c r="C1941" s="155" t="s">
        <v>512</v>
      </c>
      <c r="D1941" s="33" t="s">
        <v>97</v>
      </c>
      <c r="E1941" s="34">
        <v>1</v>
      </c>
      <c r="F1941" s="31" t="s">
        <v>418</v>
      </c>
      <c r="G1941" s="28" t="str">
        <f>IF(ISNUMBER(F1941),E1941*F1941,"")</f>
        <v/>
      </c>
      <c r="H1941" s="32"/>
      <c r="I1941" s="28"/>
      <c r="J1941" s="125">
        <v>0</v>
      </c>
    </row>
    <row r="1942" spans="1:10" ht="15.75" hidden="1" thickBot="1" x14ac:dyDescent="0.3">
      <c r="A1942" s="235"/>
      <c r="B1942" s="238"/>
      <c r="C1942" s="155" t="s">
        <v>237</v>
      </c>
      <c r="D1942" s="155" t="s">
        <v>205</v>
      </c>
      <c r="E1942" s="34">
        <v>1.32E-2</v>
      </c>
      <c r="F1942" s="31">
        <v>17.166499999999999</v>
      </c>
      <c r="G1942" s="28">
        <f>IF(ISNUMBER(F1942),E1942*F1942,"")</f>
        <v>0.22659779999999999</v>
      </c>
      <c r="H1942" s="32"/>
      <c r="I1942" s="28"/>
      <c r="J1942" s="125">
        <v>0</v>
      </c>
    </row>
    <row r="1943" spans="1:10" ht="15.75" hidden="1" thickBot="1" x14ac:dyDescent="0.3">
      <c r="A1943" s="236"/>
      <c r="B1943" s="239"/>
      <c r="C1943" s="155"/>
      <c r="D1943" s="33"/>
      <c r="E1943" s="34"/>
      <c r="F1943" s="28" t="s">
        <v>418</v>
      </c>
      <c r="G1943" s="28" t="str">
        <f>IF(ISNUMBER(F1943),E1943*F1943,"")</f>
        <v/>
      </c>
      <c r="H1943" s="32"/>
      <c r="I1943" s="28"/>
      <c r="J1943" s="125">
        <v>0</v>
      </c>
    </row>
    <row r="1944" spans="1:10" ht="15.75" hidden="1" thickBot="1" x14ac:dyDescent="0.3">
      <c r="A1944" s="234" t="s">
        <v>513</v>
      </c>
      <c r="B1944" s="237" t="s">
        <v>1485</v>
      </c>
      <c r="C1944" s="160"/>
      <c r="D1944" s="23" t="s">
        <v>16</v>
      </c>
      <c r="E1944" s="24"/>
      <c r="F1944" s="37" t="s">
        <v>418</v>
      </c>
      <c r="G1944" s="25" t="str">
        <f>IF(ISNUMBER(F1944),E1944*F1944,"")</f>
        <v/>
      </c>
      <c r="H1944" s="26"/>
      <c r="I1944" s="27"/>
      <c r="J1944" s="125">
        <v>0</v>
      </c>
    </row>
    <row r="1945" spans="1:10" ht="15.75" hidden="1" thickBot="1" x14ac:dyDescent="0.3">
      <c r="A1945" s="235"/>
      <c r="B1945" s="238"/>
      <c r="C1945" s="151"/>
      <c r="D1945" s="29"/>
      <c r="E1945" s="30"/>
      <c r="F1945" s="38" t="s">
        <v>418</v>
      </c>
      <c r="G1945" s="28" t="str">
        <f>IF(ISNUMBER(F1945),E1945*F1945,"")</f>
        <v/>
      </c>
      <c r="H1945" s="32"/>
      <c r="I1945" s="28"/>
      <c r="J1945" s="125">
        <v>0</v>
      </c>
    </row>
    <row r="1946" spans="1:10" ht="26.25" hidden="1" thickBot="1" x14ac:dyDescent="0.3">
      <c r="A1946" s="235"/>
      <c r="B1946" s="238"/>
      <c r="C1946" s="155" t="s">
        <v>824</v>
      </c>
      <c r="D1946" s="155" t="s">
        <v>587</v>
      </c>
      <c r="E1946" s="34">
        <v>0.11020000000000001</v>
      </c>
      <c r="F1946" s="28">
        <v>18.6295</v>
      </c>
      <c r="G1946" s="28">
        <f>IF(ISNUMBER(F1946),E1946*F1946,"")</f>
        <v>2.0529709</v>
      </c>
      <c r="H1946" s="35">
        <f>SUM(G1946:G1949)</f>
        <v>4.9830482999999992</v>
      </c>
      <c r="I1946" s="36"/>
      <c r="J1946" s="125">
        <v>0</v>
      </c>
    </row>
    <row r="1947" spans="1:10" ht="26.25" hidden="1" thickBot="1" x14ac:dyDescent="0.3">
      <c r="A1947" s="235"/>
      <c r="B1947" s="238"/>
      <c r="C1947" s="155" t="s">
        <v>825</v>
      </c>
      <c r="D1947" s="155" t="s">
        <v>587</v>
      </c>
      <c r="E1947" s="34">
        <v>0.11020000000000001</v>
      </c>
      <c r="F1947" s="28">
        <v>24.9375</v>
      </c>
      <c r="G1947" s="28">
        <f>IF(ISNUMBER(F1947),E1947*F1947,"")</f>
        <v>2.7481125</v>
      </c>
      <c r="H1947" s="32"/>
      <c r="I1947" s="28"/>
      <c r="J1947" s="125">
        <v>0</v>
      </c>
    </row>
    <row r="1948" spans="1:10" ht="39" hidden="1" thickBot="1" x14ac:dyDescent="0.3">
      <c r="A1948" s="235"/>
      <c r="B1948" s="238"/>
      <c r="C1948" s="155" t="s">
        <v>514</v>
      </c>
      <c r="D1948" s="33" t="s">
        <v>97</v>
      </c>
      <c r="E1948" s="34">
        <v>1</v>
      </c>
      <c r="F1948" s="31" t="s">
        <v>418</v>
      </c>
      <c r="G1948" s="28" t="str">
        <f>IF(ISNUMBER(F1948),E1948*F1948,"")</f>
        <v/>
      </c>
      <c r="H1948" s="32"/>
      <c r="I1948" s="28"/>
      <c r="J1948" s="125">
        <v>0</v>
      </c>
    </row>
    <row r="1949" spans="1:10" ht="15.75" hidden="1" thickBot="1" x14ac:dyDescent="0.3">
      <c r="A1949" s="235"/>
      <c r="B1949" s="238"/>
      <c r="C1949" s="155" t="s">
        <v>237</v>
      </c>
      <c r="D1949" s="155" t="s">
        <v>205</v>
      </c>
      <c r="E1949" s="34">
        <v>1.06E-2</v>
      </c>
      <c r="F1949" s="31">
        <v>17.166499999999999</v>
      </c>
      <c r="G1949" s="28">
        <f>IF(ISNUMBER(F1949),E1949*F1949,"")</f>
        <v>0.18196489999999998</v>
      </c>
      <c r="H1949" s="32"/>
      <c r="I1949" s="28"/>
      <c r="J1949" s="125">
        <v>0</v>
      </c>
    </row>
    <row r="1950" spans="1:10" ht="15.75" hidden="1" thickBot="1" x14ac:dyDescent="0.3">
      <c r="A1950" s="236"/>
      <c r="B1950" s="239"/>
      <c r="C1950" s="155"/>
      <c r="D1950" s="33"/>
      <c r="E1950" s="34"/>
      <c r="F1950" s="28" t="s">
        <v>418</v>
      </c>
      <c r="G1950" s="28" t="str">
        <f>IF(ISNUMBER(F1950),E1950*F1950,"")</f>
        <v/>
      </c>
      <c r="H1950" s="32"/>
      <c r="I1950" s="28"/>
      <c r="J1950" s="125">
        <v>0</v>
      </c>
    </row>
    <row r="1951" spans="1:10" ht="15.75" hidden="1" thickBot="1" x14ac:dyDescent="0.3">
      <c r="A1951" s="234" t="s">
        <v>515</v>
      </c>
      <c r="B1951" s="237" t="s">
        <v>1486</v>
      </c>
      <c r="C1951" s="160"/>
      <c r="D1951" s="23" t="s">
        <v>16</v>
      </c>
      <c r="E1951" s="24"/>
      <c r="F1951" s="37" t="s">
        <v>418</v>
      </c>
      <c r="G1951" s="25" t="str">
        <f>IF(ISNUMBER(F1951),E1951*F1951,"")</f>
        <v/>
      </c>
      <c r="H1951" s="26"/>
      <c r="I1951" s="27"/>
      <c r="J1951" s="125">
        <v>0</v>
      </c>
    </row>
    <row r="1952" spans="1:10" ht="15.75" hidden="1" thickBot="1" x14ac:dyDescent="0.3">
      <c r="A1952" s="235"/>
      <c r="B1952" s="238"/>
      <c r="C1952" s="151"/>
      <c r="D1952" s="29"/>
      <c r="E1952" s="30"/>
      <c r="F1952" s="38" t="s">
        <v>418</v>
      </c>
      <c r="G1952" s="28" t="str">
        <f>IF(ISNUMBER(F1952),E1952*F1952,"")</f>
        <v/>
      </c>
      <c r="H1952" s="32"/>
      <c r="I1952" s="28"/>
      <c r="J1952" s="125">
        <v>0</v>
      </c>
    </row>
    <row r="1953" spans="1:10" ht="26.25" hidden="1" thickBot="1" x14ac:dyDescent="0.3">
      <c r="A1953" s="235"/>
      <c r="B1953" s="238"/>
      <c r="C1953" s="155" t="s">
        <v>824</v>
      </c>
      <c r="D1953" s="155" t="s">
        <v>587</v>
      </c>
      <c r="E1953" s="34">
        <v>0.14849999999999999</v>
      </c>
      <c r="F1953" s="28">
        <v>18.6295</v>
      </c>
      <c r="G1953" s="28">
        <f>IF(ISNUMBER(F1953),E1953*F1953,"")</f>
        <v>2.7664807499999999</v>
      </c>
      <c r="H1953" s="35">
        <f>SUM(G1953:G1957)</f>
        <v>6.6962973000000003</v>
      </c>
      <c r="I1953" s="36"/>
      <c r="J1953" s="125">
        <v>0</v>
      </c>
    </row>
    <row r="1954" spans="1:10" ht="26.25" hidden="1" thickBot="1" x14ac:dyDescent="0.3">
      <c r="A1954" s="235"/>
      <c r="B1954" s="238"/>
      <c r="C1954" s="155" t="s">
        <v>825</v>
      </c>
      <c r="D1954" s="155" t="s">
        <v>587</v>
      </c>
      <c r="E1954" s="34">
        <v>0.14849999999999999</v>
      </c>
      <c r="F1954" s="28">
        <v>24.9375</v>
      </c>
      <c r="G1954" s="28">
        <f>IF(ISNUMBER(F1954),E1954*F1954,"")</f>
        <v>3.70321875</v>
      </c>
      <c r="H1954" s="32"/>
      <c r="I1954" s="28"/>
      <c r="J1954" s="125">
        <v>0</v>
      </c>
    </row>
    <row r="1955" spans="1:10" ht="15.75" hidden="1" thickBot="1" x14ac:dyDescent="0.3">
      <c r="A1955" s="235"/>
      <c r="B1955" s="238"/>
      <c r="C1955" s="155" t="s">
        <v>237</v>
      </c>
      <c r="D1955" s="155" t="s">
        <v>205</v>
      </c>
      <c r="E1955" s="34">
        <v>1.32E-2</v>
      </c>
      <c r="F1955" s="31">
        <v>17.166499999999999</v>
      </c>
      <c r="G1955" s="28">
        <f>IF(ISNUMBER(F1955),E1955*F1955,"")</f>
        <v>0.22659779999999999</v>
      </c>
      <c r="H1955" s="32"/>
      <c r="I1955" s="28"/>
      <c r="J1955" s="125">
        <v>0</v>
      </c>
    </row>
    <row r="1956" spans="1:10" ht="39" hidden="1" thickBot="1" x14ac:dyDescent="0.3">
      <c r="A1956" s="235"/>
      <c r="B1956" s="238"/>
      <c r="C1956" s="155" t="s">
        <v>516</v>
      </c>
      <c r="D1956" s="33" t="s">
        <v>97</v>
      </c>
      <c r="E1956" s="34">
        <v>1</v>
      </c>
      <c r="F1956" s="31" t="s">
        <v>418</v>
      </c>
      <c r="G1956" s="28" t="str">
        <f>IF(ISNUMBER(F1956),E1956*F1956,"")</f>
        <v/>
      </c>
      <c r="H1956" s="32"/>
      <c r="I1956" s="28"/>
      <c r="J1956" s="125">
        <v>0</v>
      </c>
    </row>
    <row r="1957" spans="1:10" ht="39" hidden="1" thickBot="1" x14ac:dyDescent="0.3">
      <c r="A1957" s="235"/>
      <c r="B1957" s="238"/>
      <c r="C1957" s="155" t="s">
        <v>517</v>
      </c>
      <c r="D1957" s="33" t="s">
        <v>97</v>
      </c>
      <c r="E1957" s="34">
        <v>1</v>
      </c>
      <c r="F1957" s="31" t="s">
        <v>418</v>
      </c>
      <c r="G1957" s="28" t="str">
        <f>IF(ISNUMBER(F1957),E1957*F1957,"")</f>
        <v/>
      </c>
      <c r="H1957" s="32"/>
      <c r="I1957" s="28"/>
      <c r="J1957" s="125">
        <v>0</v>
      </c>
    </row>
    <row r="1958" spans="1:10" ht="15.75" hidden="1" thickBot="1" x14ac:dyDescent="0.3">
      <c r="A1958" s="236"/>
      <c r="B1958" s="239"/>
      <c r="C1958" s="155"/>
      <c r="D1958" s="33"/>
      <c r="E1958" s="34"/>
      <c r="F1958" s="28" t="s">
        <v>418</v>
      </c>
      <c r="G1958" s="28" t="str">
        <f>IF(ISNUMBER(F1958),E1958*F1958,"")</f>
        <v/>
      </c>
      <c r="H1958" s="32"/>
      <c r="I1958" s="28"/>
      <c r="J1958" s="125">
        <v>0</v>
      </c>
    </row>
    <row r="1959" spans="1:10" ht="15.75" hidden="1" thickBot="1" x14ac:dyDescent="0.3">
      <c r="A1959" s="234" t="s">
        <v>518</v>
      </c>
      <c r="B1959" s="237" t="s">
        <v>1487</v>
      </c>
      <c r="C1959" s="160"/>
      <c r="D1959" s="23" t="s">
        <v>16</v>
      </c>
      <c r="E1959" s="24"/>
      <c r="F1959" s="37" t="s">
        <v>418</v>
      </c>
      <c r="G1959" s="25" t="str">
        <f>IF(ISNUMBER(F1959),E1959*F1959,"")</f>
        <v/>
      </c>
      <c r="H1959" s="26"/>
      <c r="I1959" s="27"/>
      <c r="J1959" s="125">
        <v>0</v>
      </c>
    </row>
    <row r="1960" spans="1:10" ht="15.75" hidden="1" thickBot="1" x14ac:dyDescent="0.3">
      <c r="A1960" s="235"/>
      <c r="B1960" s="238"/>
      <c r="C1960" s="151"/>
      <c r="D1960" s="29"/>
      <c r="E1960" s="30"/>
      <c r="F1960" s="38" t="s">
        <v>418</v>
      </c>
      <c r="G1960" s="28" t="str">
        <f>IF(ISNUMBER(F1960),E1960*F1960,"")</f>
        <v/>
      </c>
      <c r="H1960" s="32"/>
      <c r="I1960" s="28"/>
      <c r="J1960" s="125">
        <v>0</v>
      </c>
    </row>
    <row r="1961" spans="1:10" ht="26.25" hidden="1" thickBot="1" x14ac:dyDescent="0.3">
      <c r="A1961" s="235"/>
      <c r="B1961" s="238"/>
      <c r="C1961" s="155" t="s">
        <v>824</v>
      </c>
      <c r="D1961" s="155" t="s">
        <v>587</v>
      </c>
      <c r="E1961" s="34">
        <v>0.11020000000000001</v>
      </c>
      <c r="F1961" s="28">
        <v>18.6295</v>
      </c>
      <c r="G1961" s="28">
        <f>IF(ISNUMBER(F1961),E1961*F1961,"")</f>
        <v>2.0529709</v>
      </c>
      <c r="H1961" s="35">
        <f>SUM(G1961:G1965)</f>
        <v>4.9830482999999992</v>
      </c>
      <c r="I1961" s="36"/>
      <c r="J1961" s="125">
        <v>0</v>
      </c>
    </row>
    <row r="1962" spans="1:10" ht="26.25" hidden="1" thickBot="1" x14ac:dyDescent="0.3">
      <c r="A1962" s="235"/>
      <c r="B1962" s="238"/>
      <c r="C1962" s="155" t="s">
        <v>825</v>
      </c>
      <c r="D1962" s="155" t="s">
        <v>587</v>
      </c>
      <c r="E1962" s="34">
        <v>0.11020000000000001</v>
      </c>
      <c r="F1962" s="28">
        <v>24.9375</v>
      </c>
      <c r="G1962" s="28">
        <f>IF(ISNUMBER(F1962),E1962*F1962,"")</f>
        <v>2.7481125</v>
      </c>
      <c r="H1962" s="32"/>
      <c r="I1962" s="28"/>
      <c r="J1962" s="125">
        <v>0</v>
      </c>
    </row>
    <row r="1963" spans="1:10" ht="15.75" hidden="1" thickBot="1" x14ac:dyDescent="0.3">
      <c r="A1963" s="235"/>
      <c r="B1963" s="238"/>
      <c r="C1963" s="155" t="s">
        <v>237</v>
      </c>
      <c r="D1963" s="155" t="s">
        <v>205</v>
      </c>
      <c r="E1963" s="34">
        <v>1.06E-2</v>
      </c>
      <c r="F1963" s="31">
        <v>17.166499999999999</v>
      </c>
      <c r="G1963" s="28">
        <f>IF(ISNUMBER(F1963),E1963*F1963,"")</f>
        <v>0.18196489999999998</v>
      </c>
      <c r="H1963" s="32"/>
      <c r="I1963" s="28"/>
      <c r="J1963" s="125">
        <v>0</v>
      </c>
    </row>
    <row r="1964" spans="1:10" ht="39" hidden="1" thickBot="1" x14ac:dyDescent="0.3">
      <c r="A1964" s="235"/>
      <c r="B1964" s="238"/>
      <c r="C1964" s="155" t="s">
        <v>516</v>
      </c>
      <c r="D1964" s="33" t="s">
        <v>97</v>
      </c>
      <c r="E1964" s="34">
        <v>1</v>
      </c>
      <c r="F1964" s="31" t="s">
        <v>418</v>
      </c>
      <c r="G1964" s="28" t="str">
        <f>IF(ISNUMBER(F1964),E1964*F1964,"")</f>
        <v/>
      </c>
      <c r="H1964" s="32"/>
      <c r="I1964" s="28"/>
      <c r="J1964" s="125">
        <v>0</v>
      </c>
    </row>
    <row r="1965" spans="1:10" ht="39" hidden="1" thickBot="1" x14ac:dyDescent="0.3">
      <c r="A1965" s="235"/>
      <c r="B1965" s="238"/>
      <c r="C1965" s="155" t="s">
        <v>519</v>
      </c>
      <c r="D1965" s="33" t="s">
        <v>97</v>
      </c>
      <c r="E1965" s="34">
        <v>1</v>
      </c>
      <c r="F1965" s="31" t="s">
        <v>418</v>
      </c>
      <c r="G1965" s="28" t="str">
        <f>IF(ISNUMBER(F1965),E1965*F1965,"")</f>
        <v/>
      </c>
      <c r="H1965" s="32"/>
      <c r="I1965" s="28"/>
      <c r="J1965" s="125">
        <v>0</v>
      </c>
    </row>
    <row r="1966" spans="1:10" ht="15.75" hidden="1" thickBot="1" x14ac:dyDescent="0.3">
      <c r="A1966" s="236"/>
      <c r="B1966" s="239"/>
      <c r="C1966" s="155"/>
      <c r="D1966" s="33"/>
      <c r="E1966" s="34"/>
      <c r="F1966" s="28" t="s">
        <v>418</v>
      </c>
      <c r="G1966" s="28" t="str">
        <f>IF(ISNUMBER(F1966),E1966*F1966,"")</f>
        <v/>
      </c>
      <c r="H1966" s="32"/>
      <c r="I1966" s="28"/>
      <c r="J1966" s="125">
        <v>0</v>
      </c>
    </row>
    <row r="1967" spans="1:10" ht="15.75" hidden="1" thickBot="1" x14ac:dyDescent="0.3">
      <c r="A1967" s="234" t="s">
        <v>520</v>
      </c>
      <c r="B1967" s="237" t="s">
        <v>1488</v>
      </c>
      <c r="C1967" s="160"/>
      <c r="D1967" s="23" t="s">
        <v>16</v>
      </c>
      <c r="E1967" s="24"/>
      <c r="F1967" s="37" t="s">
        <v>418</v>
      </c>
      <c r="G1967" s="25" t="str">
        <f>IF(ISNUMBER(F1967),E1967*F1967,"")</f>
        <v/>
      </c>
      <c r="H1967" s="26"/>
      <c r="I1967" s="27"/>
      <c r="J1967" s="125">
        <v>0</v>
      </c>
    </row>
    <row r="1968" spans="1:10" ht="15.75" hidden="1" thickBot="1" x14ac:dyDescent="0.3">
      <c r="A1968" s="235"/>
      <c r="B1968" s="238"/>
      <c r="C1968" s="151"/>
      <c r="D1968" s="29"/>
      <c r="E1968" s="30"/>
      <c r="F1968" s="38" t="s">
        <v>418</v>
      </c>
      <c r="G1968" s="28" t="str">
        <f>IF(ISNUMBER(F1968),E1968*F1968,"")</f>
        <v/>
      </c>
      <c r="H1968" s="32"/>
      <c r="I1968" s="28"/>
      <c r="J1968" s="125">
        <v>0</v>
      </c>
    </row>
    <row r="1969" spans="1:10" ht="15.75" hidden="1" thickBot="1" x14ac:dyDescent="0.3">
      <c r="A1969" s="235"/>
      <c r="B1969" s="238"/>
      <c r="C1969" s="155" t="s">
        <v>237</v>
      </c>
      <c r="D1969" s="155" t="s">
        <v>205</v>
      </c>
      <c r="E1969" s="34">
        <v>1.9E-2</v>
      </c>
      <c r="F1969" s="31">
        <v>17.166499999999999</v>
      </c>
      <c r="G1969" s="28">
        <f>IF(ISNUMBER(F1969),E1969*F1969,"")</f>
        <v>0.3261635</v>
      </c>
      <c r="H1969" s="35">
        <f>SUM(G1969:G1972)</f>
        <v>95.140854600000011</v>
      </c>
      <c r="I1969" s="36"/>
      <c r="J1969" s="125">
        <v>0</v>
      </c>
    </row>
    <row r="1970" spans="1:10" ht="26.25" hidden="1" thickBot="1" x14ac:dyDescent="0.3">
      <c r="A1970" s="235"/>
      <c r="B1970" s="238"/>
      <c r="C1970" s="155" t="s">
        <v>521</v>
      </c>
      <c r="D1970" s="155" t="s">
        <v>205</v>
      </c>
      <c r="E1970" s="34">
        <v>1</v>
      </c>
      <c r="F1970" s="31">
        <v>83.343500000000006</v>
      </c>
      <c r="G1970" s="28">
        <f>IF(ISNUMBER(F1970),E1970*F1970,"")</f>
        <v>83.343500000000006</v>
      </c>
      <c r="H1970" s="32"/>
      <c r="I1970" s="28"/>
      <c r="J1970" s="125">
        <v>0</v>
      </c>
    </row>
    <row r="1971" spans="1:10" ht="26.25" hidden="1" thickBot="1" x14ac:dyDescent="0.3">
      <c r="A1971" s="235"/>
      <c r="B1971" s="238"/>
      <c r="C1971" s="155" t="s">
        <v>824</v>
      </c>
      <c r="D1971" s="155" t="s">
        <v>587</v>
      </c>
      <c r="E1971" s="34">
        <v>0.26329999999999998</v>
      </c>
      <c r="F1971" s="28">
        <v>18.6295</v>
      </c>
      <c r="G1971" s="31">
        <f>IF(ISNUMBER(F1971),E1971*F1971,"")</f>
        <v>4.90514735</v>
      </c>
      <c r="H1971" s="32"/>
      <c r="I1971" s="28"/>
      <c r="J1971" s="125">
        <v>0</v>
      </c>
    </row>
    <row r="1972" spans="1:10" ht="26.25" hidden="1" thickBot="1" x14ac:dyDescent="0.3">
      <c r="A1972" s="235"/>
      <c r="B1972" s="238"/>
      <c r="C1972" s="155" t="s">
        <v>825</v>
      </c>
      <c r="D1972" s="155" t="s">
        <v>587</v>
      </c>
      <c r="E1972" s="34">
        <v>0.26329999999999998</v>
      </c>
      <c r="F1972" s="28">
        <v>24.9375</v>
      </c>
      <c r="G1972" s="31">
        <f>IF(ISNUMBER(F1972),E1972*F1972,"")</f>
        <v>6.5660437499999995</v>
      </c>
      <c r="H1972" s="32"/>
      <c r="I1972" s="28"/>
      <c r="J1972" s="125">
        <v>0</v>
      </c>
    </row>
    <row r="1973" spans="1:10" ht="15.75" hidden="1" thickBot="1" x14ac:dyDescent="0.3">
      <c r="A1973" s="236"/>
      <c r="B1973" s="239"/>
      <c r="C1973" s="155"/>
      <c r="D1973" s="33"/>
      <c r="E1973" s="34"/>
      <c r="F1973" s="28" t="s">
        <v>418</v>
      </c>
      <c r="G1973" s="28" t="str">
        <f>IF(ISNUMBER(F1973),E1973*F1973,"")</f>
        <v/>
      </c>
      <c r="H1973" s="32"/>
      <c r="I1973" s="28"/>
      <c r="J1973" s="125">
        <v>0</v>
      </c>
    </row>
    <row r="1974" spans="1:10" ht="15.75" hidden="1" thickBot="1" x14ac:dyDescent="0.3">
      <c r="A1974" s="234" t="s">
        <v>522</v>
      </c>
      <c r="B1974" s="237" t="s">
        <v>1489</v>
      </c>
      <c r="C1974" s="160"/>
      <c r="D1974" s="23" t="s">
        <v>16</v>
      </c>
      <c r="E1974" s="24"/>
      <c r="F1974" s="37" t="s">
        <v>418</v>
      </c>
      <c r="G1974" s="25" t="str">
        <f>IF(ISNUMBER(F1974),E1974*F1974,"")</f>
        <v/>
      </c>
      <c r="H1974" s="26"/>
      <c r="I1974" s="27"/>
      <c r="J1974" s="125">
        <v>0</v>
      </c>
    </row>
    <row r="1975" spans="1:10" ht="15.75" hidden="1" thickBot="1" x14ac:dyDescent="0.3">
      <c r="A1975" s="235"/>
      <c r="B1975" s="238"/>
      <c r="C1975" s="151"/>
      <c r="D1975" s="29"/>
      <c r="E1975" s="30"/>
      <c r="F1975" s="38" t="s">
        <v>418</v>
      </c>
      <c r="G1975" s="28" t="str">
        <f>IF(ISNUMBER(F1975),E1975*F1975,"")</f>
        <v/>
      </c>
      <c r="H1975" s="32"/>
      <c r="I1975" s="28"/>
      <c r="J1975" s="125">
        <v>0</v>
      </c>
    </row>
    <row r="1976" spans="1:10" ht="15.75" hidden="1" thickBot="1" x14ac:dyDescent="0.3">
      <c r="A1976" s="235"/>
      <c r="B1976" s="238"/>
      <c r="C1976" s="155" t="s">
        <v>237</v>
      </c>
      <c r="D1976" s="155" t="s">
        <v>205</v>
      </c>
      <c r="E1976" s="34">
        <v>1.6799999999999999E-2</v>
      </c>
      <c r="F1976" s="31">
        <v>17.166499999999999</v>
      </c>
      <c r="G1976" s="28">
        <f>IF(ISNUMBER(F1976),E1976*F1976,"")</f>
        <v>0.28839719999999996</v>
      </c>
      <c r="H1976" s="35">
        <f>SUM(G1976:G1979)</f>
        <v>78.253287900000004</v>
      </c>
      <c r="I1976" s="36"/>
      <c r="J1976" s="125">
        <v>0</v>
      </c>
    </row>
    <row r="1977" spans="1:10" ht="26.25" hidden="1" thickBot="1" x14ac:dyDescent="0.3">
      <c r="A1977" s="235"/>
      <c r="B1977" s="238"/>
      <c r="C1977" s="155" t="s">
        <v>523</v>
      </c>
      <c r="D1977" s="155" t="s">
        <v>205</v>
      </c>
      <c r="E1977" s="34">
        <v>1</v>
      </c>
      <c r="F1977" s="31">
        <v>69.16</v>
      </c>
      <c r="G1977" s="28">
        <f>IF(ISNUMBER(F1977),E1977*F1977,"")</f>
        <v>69.16</v>
      </c>
      <c r="H1977" s="32"/>
      <c r="I1977" s="28"/>
      <c r="J1977" s="125">
        <v>0</v>
      </c>
    </row>
    <row r="1978" spans="1:10" ht="26.25" hidden="1" thickBot="1" x14ac:dyDescent="0.3">
      <c r="A1978" s="235"/>
      <c r="B1978" s="238"/>
      <c r="C1978" s="155" t="s">
        <v>824</v>
      </c>
      <c r="D1978" s="155" t="s">
        <v>587</v>
      </c>
      <c r="E1978" s="34">
        <v>0.2021</v>
      </c>
      <c r="F1978" s="28">
        <v>18.6295</v>
      </c>
      <c r="G1978" s="31">
        <f>IF(ISNUMBER(F1978),E1978*F1978,"")</f>
        <v>3.76502195</v>
      </c>
      <c r="H1978" s="32"/>
      <c r="I1978" s="28"/>
      <c r="J1978" s="125">
        <v>0</v>
      </c>
    </row>
    <row r="1979" spans="1:10" ht="26.25" hidden="1" thickBot="1" x14ac:dyDescent="0.3">
      <c r="A1979" s="235"/>
      <c r="B1979" s="238"/>
      <c r="C1979" s="155" t="s">
        <v>825</v>
      </c>
      <c r="D1979" s="155" t="s">
        <v>587</v>
      </c>
      <c r="E1979" s="34">
        <v>0.2021</v>
      </c>
      <c r="F1979" s="28">
        <v>24.9375</v>
      </c>
      <c r="G1979" s="31">
        <f>IF(ISNUMBER(F1979),E1979*F1979,"")</f>
        <v>5.0398687500000001</v>
      </c>
      <c r="H1979" s="32"/>
      <c r="I1979" s="28"/>
      <c r="J1979" s="125">
        <v>0</v>
      </c>
    </row>
    <row r="1980" spans="1:10" ht="15.75" hidden="1" thickBot="1" x14ac:dyDescent="0.3">
      <c r="A1980" s="236"/>
      <c r="B1980" s="239"/>
      <c r="C1980" s="155"/>
      <c r="D1980" s="33"/>
      <c r="E1980" s="34"/>
      <c r="F1980" s="28" t="s">
        <v>418</v>
      </c>
      <c r="G1980" s="28" t="str">
        <f>IF(ISNUMBER(F1980),E1980*F1980,"")</f>
        <v/>
      </c>
      <c r="H1980" s="32"/>
      <c r="I1980" s="28"/>
      <c r="J1980" s="125">
        <v>0</v>
      </c>
    </row>
    <row r="1981" spans="1:10" ht="15.75" hidden="1" thickBot="1" x14ac:dyDescent="0.3">
      <c r="A1981" s="234" t="s">
        <v>524</v>
      </c>
      <c r="B1981" s="237" t="s">
        <v>1490</v>
      </c>
      <c r="C1981" s="160"/>
      <c r="D1981" s="23" t="s">
        <v>16</v>
      </c>
      <c r="E1981" s="24"/>
      <c r="F1981" s="37" t="s">
        <v>418</v>
      </c>
      <c r="G1981" s="25" t="str">
        <f>IF(ISNUMBER(F1981),E1981*F1981,"")</f>
        <v/>
      </c>
      <c r="H1981" s="26"/>
      <c r="I1981" s="27"/>
      <c r="J1981" s="125">
        <v>0</v>
      </c>
    </row>
    <row r="1982" spans="1:10" ht="15.75" hidden="1" thickBot="1" x14ac:dyDescent="0.3">
      <c r="A1982" s="235"/>
      <c r="B1982" s="238"/>
      <c r="C1982" s="151"/>
      <c r="D1982" s="29"/>
      <c r="E1982" s="30"/>
      <c r="F1982" s="38" t="s">
        <v>418</v>
      </c>
      <c r="G1982" s="28" t="str">
        <f>IF(ISNUMBER(F1982),E1982*F1982,"")</f>
        <v/>
      </c>
      <c r="H1982" s="32"/>
      <c r="I1982" s="28"/>
      <c r="J1982" s="125">
        <v>0</v>
      </c>
    </row>
    <row r="1983" spans="1:10" ht="15.75" hidden="1" thickBot="1" x14ac:dyDescent="0.3">
      <c r="A1983" s="235"/>
      <c r="B1983" s="238"/>
      <c r="C1983" s="155" t="s">
        <v>237</v>
      </c>
      <c r="D1983" s="155" t="s">
        <v>205</v>
      </c>
      <c r="E1983" s="34">
        <v>1.32E-2</v>
      </c>
      <c r="F1983" s="31">
        <v>17.166499999999999</v>
      </c>
      <c r="G1983" s="28">
        <f>IF(ISNUMBER(F1983),E1983*F1983,"")</f>
        <v>0.22659779999999999</v>
      </c>
      <c r="H1983" s="35">
        <f>SUM(G1983:G1986)</f>
        <v>53.094297300000001</v>
      </c>
      <c r="I1983" s="36"/>
      <c r="J1983" s="125">
        <v>0</v>
      </c>
    </row>
    <row r="1984" spans="1:10" ht="15.75" hidden="1" thickBot="1" x14ac:dyDescent="0.3">
      <c r="A1984" s="235"/>
      <c r="B1984" s="238"/>
      <c r="C1984" s="155" t="s">
        <v>28364</v>
      </c>
      <c r="D1984" s="155" t="s">
        <v>205</v>
      </c>
      <c r="E1984" s="34">
        <v>1</v>
      </c>
      <c r="F1984" s="31">
        <v>46.398000000000003</v>
      </c>
      <c r="G1984" s="28">
        <f>IF(ISNUMBER(F1984),E1984*F1984,"")</f>
        <v>46.398000000000003</v>
      </c>
      <c r="H1984" s="32"/>
      <c r="I1984" s="28"/>
      <c r="J1984" s="125">
        <v>0</v>
      </c>
    </row>
    <row r="1985" spans="1:10" ht="26.25" hidden="1" thickBot="1" x14ac:dyDescent="0.3">
      <c r="A1985" s="235"/>
      <c r="B1985" s="238"/>
      <c r="C1985" s="155" t="s">
        <v>824</v>
      </c>
      <c r="D1985" s="155" t="s">
        <v>587</v>
      </c>
      <c r="E1985" s="34">
        <v>0.14849999999999999</v>
      </c>
      <c r="F1985" s="28">
        <v>18.6295</v>
      </c>
      <c r="G1985" s="31">
        <f>IF(ISNUMBER(F1985),E1985*F1985,"")</f>
        <v>2.7664807499999999</v>
      </c>
      <c r="H1985" s="32"/>
      <c r="I1985" s="28"/>
      <c r="J1985" s="125">
        <v>0</v>
      </c>
    </row>
    <row r="1986" spans="1:10" ht="26.25" hidden="1" thickBot="1" x14ac:dyDescent="0.3">
      <c r="A1986" s="235"/>
      <c r="B1986" s="238"/>
      <c r="C1986" s="155" t="s">
        <v>825</v>
      </c>
      <c r="D1986" s="155" t="s">
        <v>587</v>
      </c>
      <c r="E1986" s="34">
        <v>0.14849999999999999</v>
      </c>
      <c r="F1986" s="28">
        <v>24.9375</v>
      </c>
      <c r="G1986" s="31">
        <f>IF(ISNUMBER(F1986),E1986*F1986,"")</f>
        <v>3.70321875</v>
      </c>
      <c r="H1986" s="32"/>
      <c r="I1986" s="28"/>
      <c r="J1986" s="125">
        <v>0</v>
      </c>
    </row>
    <row r="1987" spans="1:10" ht="15.75" hidden="1" thickBot="1" x14ac:dyDescent="0.3">
      <c r="A1987" s="236"/>
      <c r="B1987" s="239"/>
      <c r="C1987" s="155"/>
      <c r="D1987" s="33"/>
      <c r="E1987" s="34"/>
      <c r="F1987" s="28" t="s">
        <v>418</v>
      </c>
      <c r="G1987" s="28" t="str">
        <f>IF(ISNUMBER(F1987),E1987*F1987,"")</f>
        <v/>
      </c>
      <c r="H1987" s="32"/>
      <c r="I1987" s="28"/>
      <c r="J1987" s="125">
        <v>0</v>
      </c>
    </row>
    <row r="1988" spans="1:10" ht="15.75" hidden="1" thickBot="1" x14ac:dyDescent="0.3">
      <c r="A1988" s="234" t="s">
        <v>525</v>
      </c>
      <c r="B1988" s="237" t="s">
        <v>1491</v>
      </c>
      <c r="C1988" s="160"/>
      <c r="D1988" s="23" t="s">
        <v>16</v>
      </c>
      <c r="E1988" s="24"/>
      <c r="F1988" s="37" t="s">
        <v>418</v>
      </c>
      <c r="G1988" s="25" t="str">
        <f>IF(ISNUMBER(F1988),E1988*F1988,"")</f>
        <v/>
      </c>
      <c r="H1988" s="26"/>
      <c r="I1988" s="27"/>
      <c r="J1988" s="125">
        <v>0</v>
      </c>
    </row>
    <row r="1989" spans="1:10" ht="15.75" hidden="1" thickBot="1" x14ac:dyDescent="0.3">
      <c r="A1989" s="235"/>
      <c r="B1989" s="238"/>
      <c r="C1989" s="151"/>
      <c r="D1989" s="29"/>
      <c r="E1989" s="30"/>
      <c r="F1989" s="38" t="s">
        <v>418</v>
      </c>
      <c r="G1989" s="28" t="str">
        <f>IF(ISNUMBER(F1989),E1989*F1989,"")</f>
        <v/>
      </c>
      <c r="H1989" s="32"/>
      <c r="I1989" s="28"/>
      <c r="J1989" s="125">
        <v>0</v>
      </c>
    </row>
    <row r="1990" spans="1:10" ht="15.75" hidden="1" thickBot="1" x14ac:dyDescent="0.3">
      <c r="A1990" s="235"/>
      <c r="B1990" s="238"/>
      <c r="C1990" s="155" t="s">
        <v>237</v>
      </c>
      <c r="D1990" s="155" t="s">
        <v>205</v>
      </c>
      <c r="E1990" s="34">
        <v>1.06E-2</v>
      </c>
      <c r="F1990" s="31">
        <v>17.166499999999999</v>
      </c>
      <c r="G1990" s="28">
        <f>IF(ISNUMBER(F1990),E1990*F1990,"")</f>
        <v>0.18196489999999998</v>
      </c>
      <c r="H1990" s="35">
        <f>SUM(G1990:G1993)</f>
        <v>39.354048299999988</v>
      </c>
      <c r="I1990" s="36"/>
      <c r="J1990" s="125">
        <v>0</v>
      </c>
    </row>
    <row r="1991" spans="1:10" ht="15.75" hidden="1" thickBot="1" x14ac:dyDescent="0.3">
      <c r="A1991" s="235"/>
      <c r="B1991" s="238"/>
      <c r="C1991" s="155" t="s">
        <v>28367</v>
      </c>
      <c r="D1991" s="155" t="s">
        <v>205</v>
      </c>
      <c r="E1991" s="34">
        <v>1</v>
      </c>
      <c r="F1991" s="31">
        <v>34.370999999999995</v>
      </c>
      <c r="G1991" s="28">
        <f>IF(ISNUMBER(F1991),E1991*F1991,"")</f>
        <v>34.370999999999995</v>
      </c>
      <c r="H1991" s="32"/>
      <c r="I1991" s="28"/>
      <c r="J1991" s="125">
        <v>0</v>
      </c>
    </row>
    <row r="1992" spans="1:10" ht="26.25" hidden="1" thickBot="1" x14ac:dyDescent="0.3">
      <c r="A1992" s="235"/>
      <c r="B1992" s="238"/>
      <c r="C1992" s="155" t="s">
        <v>824</v>
      </c>
      <c r="D1992" s="155" t="s">
        <v>587</v>
      </c>
      <c r="E1992" s="34">
        <v>0.11020000000000001</v>
      </c>
      <c r="F1992" s="28">
        <v>18.6295</v>
      </c>
      <c r="G1992" s="31">
        <f>IF(ISNUMBER(F1992),E1992*F1992,"")</f>
        <v>2.0529709</v>
      </c>
      <c r="H1992" s="32"/>
      <c r="I1992" s="28"/>
      <c r="J1992" s="125">
        <v>0</v>
      </c>
    </row>
    <row r="1993" spans="1:10" ht="26.25" hidden="1" thickBot="1" x14ac:dyDescent="0.3">
      <c r="A1993" s="235"/>
      <c r="B1993" s="238"/>
      <c r="C1993" s="155" t="s">
        <v>825</v>
      </c>
      <c r="D1993" s="155" t="s">
        <v>587</v>
      </c>
      <c r="E1993" s="34">
        <v>0.11020000000000001</v>
      </c>
      <c r="F1993" s="28">
        <v>24.9375</v>
      </c>
      <c r="G1993" s="31">
        <f>IF(ISNUMBER(F1993),E1993*F1993,"")</f>
        <v>2.7481125</v>
      </c>
      <c r="H1993" s="32"/>
      <c r="I1993" s="28"/>
      <c r="J1993" s="125">
        <v>0</v>
      </c>
    </row>
    <row r="1994" spans="1:10" ht="15.75" hidden="1" thickBot="1" x14ac:dyDescent="0.3">
      <c r="A1994" s="236"/>
      <c r="B1994" s="239"/>
      <c r="C1994" s="155"/>
      <c r="D1994" s="33"/>
      <c r="E1994" s="34"/>
      <c r="F1994" s="28" t="s">
        <v>418</v>
      </c>
      <c r="G1994" s="28" t="str">
        <f>IF(ISNUMBER(F1994),E1994*F1994,"")</f>
        <v/>
      </c>
      <c r="H1994" s="32"/>
      <c r="I1994" s="28"/>
      <c r="J1994" s="125">
        <v>0</v>
      </c>
    </row>
    <row r="1995" spans="1:10" ht="15.75" hidden="1" thickBot="1" x14ac:dyDescent="0.3">
      <c r="A1995" s="234" t="s">
        <v>526</v>
      </c>
      <c r="B1995" s="237" t="s">
        <v>1492</v>
      </c>
      <c r="C1995" s="160"/>
      <c r="D1995" s="23" t="s">
        <v>70</v>
      </c>
      <c r="E1995" s="24"/>
      <c r="F1995" s="37" t="s">
        <v>418</v>
      </c>
      <c r="G1995" s="25" t="str">
        <f>IF(ISNUMBER(F1995),E1995*F1995,"")</f>
        <v/>
      </c>
      <c r="H1995" s="26"/>
      <c r="I1995" s="27"/>
      <c r="J1995" s="125">
        <v>0</v>
      </c>
    </row>
    <row r="1996" spans="1:10" ht="15.75" hidden="1" thickBot="1" x14ac:dyDescent="0.3">
      <c r="A1996" s="235"/>
      <c r="B1996" s="238"/>
      <c r="C1996" s="151"/>
      <c r="D1996" s="29"/>
      <c r="E1996" s="30"/>
      <c r="F1996" s="38" t="s">
        <v>418</v>
      </c>
      <c r="G1996" s="28" t="str">
        <f>IF(ISNUMBER(F1996),E1996*F1996,"")</f>
        <v/>
      </c>
      <c r="H1996" s="32"/>
      <c r="I1996" s="28"/>
      <c r="J1996" s="125">
        <v>0</v>
      </c>
    </row>
    <row r="1997" spans="1:10" ht="26.25" hidden="1" thickBot="1" x14ac:dyDescent="0.3">
      <c r="A1997" s="235"/>
      <c r="B1997" s="238"/>
      <c r="C1997" s="155" t="s">
        <v>824</v>
      </c>
      <c r="D1997" s="155" t="s">
        <v>587</v>
      </c>
      <c r="E1997" s="34">
        <v>0.1</v>
      </c>
      <c r="F1997" s="28">
        <v>18.6295</v>
      </c>
      <c r="G1997" s="31">
        <f>IF(ISNUMBER(F1997),E1997*F1997,"")</f>
        <v>1.8629500000000001</v>
      </c>
      <c r="H1997" s="35">
        <f>SUM(G1997:G1999)</f>
        <v>4.3567</v>
      </c>
      <c r="I1997" s="36"/>
      <c r="J1997" s="125">
        <v>0</v>
      </c>
    </row>
    <row r="1998" spans="1:10" ht="26.25" hidden="1" thickBot="1" x14ac:dyDescent="0.3">
      <c r="A1998" s="235"/>
      <c r="B1998" s="238"/>
      <c r="C1998" s="155" t="s">
        <v>825</v>
      </c>
      <c r="D1998" s="155" t="s">
        <v>587</v>
      </c>
      <c r="E1998" s="34">
        <v>0.1</v>
      </c>
      <c r="F1998" s="28">
        <v>24.9375</v>
      </c>
      <c r="G1998" s="31">
        <f>IF(ISNUMBER(F1998),E1998*F1998,"")</f>
        <v>2.4937500000000004</v>
      </c>
      <c r="H1998" s="32"/>
      <c r="I1998" s="28"/>
      <c r="J1998" s="125">
        <v>0</v>
      </c>
    </row>
    <row r="1999" spans="1:10" ht="26.25" hidden="1" thickBot="1" x14ac:dyDescent="0.3">
      <c r="A1999" s="235"/>
      <c r="B1999" s="238"/>
      <c r="C1999" s="155" t="s">
        <v>527</v>
      </c>
      <c r="D1999" s="42" t="s">
        <v>70</v>
      </c>
      <c r="E1999" s="34">
        <v>1.05</v>
      </c>
      <c r="F1999" s="31" t="s">
        <v>418</v>
      </c>
      <c r="G1999" s="31" t="str">
        <f>IF(ISNUMBER(F1999),E1999*F1999,"")</f>
        <v/>
      </c>
      <c r="H1999" s="32"/>
      <c r="I1999" s="28"/>
      <c r="J1999" s="125">
        <v>0</v>
      </c>
    </row>
    <row r="2000" spans="1:10" ht="15.75" hidden="1" thickBot="1" x14ac:dyDescent="0.3">
      <c r="A2000" s="236"/>
      <c r="B2000" s="239"/>
      <c r="C2000" s="155"/>
      <c r="D2000" s="33"/>
      <c r="E2000" s="34"/>
      <c r="F2000" s="28" t="s">
        <v>418</v>
      </c>
      <c r="G2000" s="28" t="str">
        <f>IF(ISNUMBER(F2000),E2000*F2000,"")</f>
        <v/>
      </c>
      <c r="H2000" s="32"/>
      <c r="I2000" s="28"/>
      <c r="J2000" s="125">
        <v>0</v>
      </c>
    </row>
    <row r="2001" spans="1:10" ht="15.75" hidden="1" thickBot="1" x14ac:dyDescent="0.3">
      <c r="A2001" s="234" t="s">
        <v>528</v>
      </c>
      <c r="B2001" s="237" t="s">
        <v>1493</v>
      </c>
      <c r="C2001" s="160"/>
      <c r="D2001" s="23" t="s">
        <v>69</v>
      </c>
      <c r="E2001" s="24"/>
      <c r="F2001" s="37" t="s">
        <v>418</v>
      </c>
      <c r="G2001" s="25" t="str">
        <f>IF(ISNUMBER(F2001),E2001*F2001,"")</f>
        <v/>
      </c>
      <c r="H2001" s="26"/>
      <c r="I2001" s="27"/>
      <c r="J2001" s="125">
        <v>0</v>
      </c>
    </row>
    <row r="2002" spans="1:10" ht="15.75" hidden="1" thickBot="1" x14ac:dyDescent="0.3">
      <c r="A2002" s="235"/>
      <c r="B2002" s="238"/>
      <c r="C2002" s="151"/>
      <c r="D2002" s="29"/>
      <c r="E2002" s="30"/>
      <c r="F2002" s="38" t="s">
        <v>418</v>
      </c>
      <c r="G2002" s="28" t="str">
        <f>IF(ISNUMBER(F2002),E2002*F2002,"")</f>
        <v/>
      </c>
      <c r="H2002" s="32"/>
      <c r="I2002" s="28"/>
      <c r="J2002" s="125">
        <v>0</v>
      </c>
    </row>
    <row r="2003" spans="1:10" ht="51.75" hidden="1" thickBot="1" x14ac:dyDescent="0.3">
      <c r="A2003" s="235"/>
      <c r="B2003" s="238"/>
      <c r="C2003" s="155" t="s">
        <v>529</v>
      </c>
      <c r="D2003" s="42" t="s">
        <v>69</v>
      </c>
      <c r="E2003" s="34">
        <v>1.0210999999999999</v>
      </c>
      <c r="F2003" s="31" t="s">
        <v>418</v>
      </c>
      <c r="G2003" s="31" t="str">
        <f>IF(ISNUMBER(F2003),E2003*F2003,"")</f>
        <v/>
      </c>
      <c r="H2003" s="35">
        <f>SUM(G2003:G2005)</f>
        <v>0.83648639999999985</v>
      </c>
      <c r="I2003" s="36"/>
      <c r="J2003" s="125">
        <v>0</v>
      </c>
    </row>
    <row r="2004" spans="1:10" ht="26.25" hidden="1" thickBot="1" x14ac:dyDescent="0.3">
      <c r="A2004" s="235"/>
      <c r="B2004" s="238"/>
      <c r="C2004" s="155" t="s">
        <v>824</v>
      </c>
      <c r="D2004" s="155" t="s">
        <v>587</v>
      </c>
      <c r="E2004" s="34">
        <f>0.064*0.3</f>
        <v>1.9199999999999998E-2</v>
      </c>
      <c r="F2004" s="28">
        <v>18.6295</v>
      </c>
      <c r="G2004" s="31">
        <f>IF(ISNUMBER(F2004),E2004*F2004,"")</f>
        <v>0.35768639999999996</v>
      </c>
      <c r="H2004" s="32"/>
      <c r="I2004" s="28"/>
      <c r="J2004" s="125">
        <v>0</v>
      </c>
    </row>
    <row r="2005" spans="1:10" ht="26.25" hidden="1" thickBot="1" x14ac:dyDescent="0.3">
      <c r="A2005" s="235"/>
      <c r="B2005" s="238"/>
      <c r="C2005" s="155" t="s">
        <v>825</v>
      </c>
      <c r="D2005" s="155" t="s">
        <v>587</v>
      </c>
      <c r="E2005" s="34">
        <f>0.064*0.3</f>
        <v>1.9199999999999998E-2</v>
      </c>
      <c r="F2005" s="28">
        <v>24.9375</v>
      </c>
      <c r="G2005" s="31">
        <f>IF(ISNUMBER(F2005),E2005*F2005,"")</f>
        <v>0.47879999999999995</v>
      </c>
      <c r="H2005" s="32"/>
      <c r="I2005" s="28"/>
      <c r="J2005" s="125">
        <v>0</v>
      </c>
    </row>
    <row r="2006" spans="1:10" ht="15.75" hidden="1" thickBot="1" x14ac:dyDescent="0.3">
      <c r="A2006" s="235"/>
      <c r="B2006" s="238"/>
      <c r="C2006" s="155"/>
      <c r="D2006" s="42"/>
      <c r="E2006" s="34"/>
      <c r="F2006" s="31" t="s">
        <v>418</v>
      </c>
      <c r="G2006" s="31" t="str">
        <f>IF(ISNUMBER(F2006),E2006*F2006,"")</f>
        <v/>
      </c>
      <c r="H2006" s="32"/>
      <c r="I2006" s="28"/>
      <c r="J2006" s="125">
        <v>0</v>
      </c>
    </row>
    <row r="2007" spans="1:10" ht="39" hidden="1" thickBot="1" x14ac:dyDescent="0.3">
      <c r="A2007" s="235"/>
      <c r="B2007" s="238"/>
      <c r="C2007" s="47" t="s">
        <v>530</v>
      </c>
      <c r="D2007" s="42"/>
      <c r="E2007" s="34"/>
      <c r="F2007" s="31" t="s">
        <v>418</v>
      </c>
      <c r="G2007" s="31" t="str">
        <f>IF(ISNUMBER(F2007),E2007*F2007,"")</f>
        <v/>
      </c>
      <c r="H2007" s="32"/>
      <c r="I2007" s="28"/>
      <c r="J2007" s="125">
        <v>0</v>
      </c>
    </row>
    <row r="2008" spans="1:10" ht="15.75" hidden="1" thickBot="1" x14ac:dyDescent="0.3">
      <c r="A2008" s="236"/>
      <c r="B2008" s="239"/>
      <c r="C2008" s="155"/>
      <c r="D2008" s="33"/>
      <c r="E2008" s="34"/>
      <c r="F2008" s="28" t="s">
        <v>418</v>
      </c>
      <c r="G2008" s="28" t="str">
        <f>IF(ISNUMBER(F2008),E2008*F2008,"")</f>
        <v/>
      </c>
      <c r="H2008" s="32"/>
      <c r="I2008" s="28"/>
      <c r="J2008" s="125">
        <v>0</v>
      </c>
    </row>
    <row r="2009" spans="1:10" ht="15.75" hidden="1" thickBot="1" x14ac:dyDescent="0.3">
      <c r="A2009" s="234" t="s">
        <v>531</v>
      </c>
      <c r="B2009" s="237" t="s">
        <v>1494</v>
      </c>
      <c r="C2009" s="160"/>
      <c r="D2009" s="23" t="s">
        <v>69</v>
      </c>
      <c r="E2009" s="24"/>
      <c r="F2009" s="37" t="s">
        <v>418</v>
      </c>
      <c r="G2009" s="25" t="str">
        <f>IF(ISNUMBER(F2009),E2009*F2009,"")</f>
        <v/>
      </c>
      <c r="H2009" s="26"/>
      <c r="I2009" s="27"/>
      <c r="J2009" s="125">
        <v>0</v>
      </c>
    </row>
    <row r="2010" spans="1:10" ht="15.75" hidden="1" thickBot="1" x14ac:dyDescent="0.3">
      <c r="A2010" s="235"/>
      <c r="B2010" s="238"/>
      <c r="C2010" s="151"/>
      <c r="D2010" s="29"/>
      <c r="E2010" s="30"/>
      <c r="F2010" s="38" t="s">
        <v>418</v>
      </c>
      <c r="G2010" s="28" t="str">
        <f>IF(ISNUMBER(F2010),E2010*F2010,"")</f>
        <v/>
      </c>
      <c r="H2010" s="32"/>
      <c r="I2010" s="28"/>
      <c r="J2010" s="125">
        <v>0</v>
      </c>
    </row>
    <row r="2011" spans="1:10" ht="39" hidden="1" thickBot="1" x14ac:dyDescent="0.3">
      <c r="A2011" s="235"/>
      <c r="B2011" s="238"/>
      <c r="C2011" s="155" t="s">
        <v>532</v>
      </c>
      <c r="D2011" s="42" t="s">
        <v>69</v>
      </c>
      <c r="E2011" s="34">
        <v>1.0210999999999999</v>
      </c>
      <c r="F2011" s="31" t="s">
        <v>418</v>
      </c>
      <c r="G2011" s="31" t="str">
        <f>IF(ISNUMBER(F2011),E2011*F2011,"")</f>
        <v/>
      </c>
      <c r="H2011" s="35">
        <f>SUM(G2011:G2013)</f>
        <v>0.79727610000000004</v>
      </c>
      <c r="I2011" s="36"/>
      <c r="J2011" s="125">
        <v>0</v>
      </c>
    </row>
    <row r="2012" spans="1:10" ht="26.25" hidden="1" thickBot="1" x14ac:dyDescent="0.3">
      <c r="A2012" s="235"/>
      <c r="B2012" s="238"/>
      <c r="C2012" s="155" t="s">
        <v>824</v>
      </c>
      <c r="D2012" s="155" t="s">
        <v>587</v>
      </c>
      <c r="E2012" s="34">
        <f>0.061*0.3</f>
        <v>1.83E-2</v>
      </c>
      <c r="F2012" s="28">
        <v>18.6295</v>
      </c>
      <c r="G2012" s="31">
        <f>IF(ISNUMBER(F2012),E2012*F2012,"")</f>
        <v>0.34091985000000002</v>
      </c>
      <c r="H2012" s="32"/>
      <c r="I2012" s="28"/>
      <c r="J2012" s="125">
        <v>0</v>
      </c>
    </row>
    <row r="2013" spans="1:10" ht="26.25" hidden="1" thickBot="1" x14ac:dyDescent="0.3">
      <c r="A2013" s="235"/>
      <c r="B2013" s="238"/>
      <c r="C2013" s="155" t="s">
        <v>825</v>
      </c>
      <c r="D2013" s="155" t="s">
        <v>587</v>
      </c>
      <c r="E2013" s="34">
        <f>0.061*0.3</f>
        <v>1.83E-2</v>
      </c>
      <c r="F2013" s="28">
        <v>24.9375</v>
      </c>
      <c r="G2013" s="31">
        <f>IF(ISNUMBER(F2013),E2013*F2013,"")</f>
        <v>0.45635625000000002</v>
      </c>
      <c r="H2013" s="32"/>
      <c r="I2013" s="28"/>
      <c r="J2013" s="125">
        <v>0</v>
      </c>
    </row>
    <row r="2014" spans="1:10" ht="15.75" hidden="1" thickBot="1" x14ac:dyDescent="0.3">
      <c r="A2014" s="235"/>
      <c r="B2014" s="238"/>
      <c r="C2014" s="155"/>
      <c r="D2014" s="42"/>
      <c r="E2014" s="34"/>
      <c r="F2014" s="31" t="s">
        <v>418</v>
      </c>
      <c r="G2014" s="31" t="str">
        <f>IF(ISNUMBER(F2014),E2014*F2014,"")</f>
        <v/>
      </c>
      <c r="H2014" s="32"/>
      <c r="I2014" s="28"/>
      <c r="J2014" s="125">
        <v>0</v>
      </c>
    </row>
    <row r="2015" spans="1:10" ht="39" hidden="1" thickBot="1" x14ac:dyDescent="0.3">
      <c r="A2015" s="235"/>
      <c r="B2015" s="238"/>
      <c r="C2015" s="47" t="s">
        <v>530</v>
      </c>
      <c r="D2015" s="42"/>
      <c r="E2015" s="34"/>
      <c r="F2015" s="31" t="s">
        <v>418</v>
      </c>
      <c r="G2015" s="31" t="str">
        <f>IF(ISNUMBER(F2015),E2015*F2015,"")</f>
        <v/>
      </c>
      <c r="H2015" s="32"/>
      <c r="I2015" s="28"/>
      <c r="J2015" s="125">
        <v>0</v>
      </c>
    </row>
    <row r="2016" spans="1:10" ht="15.75" hidden="1" thickBot="1" x14ac:dyDescent="0.3">
      <c r="A2016" s="236"/>
      <c r="B2016" s="239"/>
      <c r="C2016" s="155"/>
      <c r="D2016" s="33"/>
      <c r="E2016" s="34"/>
      <c r="F2016" s="28" t="s">
        <v>418</v>
      </c>
      <c r="G2016" s="28" t="str">
        <f>IF(ISNUMBER(F2016),E2016*F2016,"")</f>
        <v/>
      </c>
      <c r="H2016" s="32"/>
      <c r="I2016" s="28"/>
      <c r="J2016" s="125">
        <v>0</v>
      </c>
    </row>
    <row r="2017" spans="1:10" ht="15.75" hidden="1" thickBot="1" x14ac:dyDescent="0.3">
      <c r="A2017" s="234" t="s">
        <v>533</v>
      </c>
      <c r="B2017" s="237" t="s">
        <v>1495</v>
      </c>
      <c r="C2017" s="160"/>
      <c r="D2017" s="23" t="s">
        <v>69</v>
      </c>
      <c r="E2017" s="24"/>
      <c r="F2017" s="37" t="s">
        <v>418</v>
      </c>
      <c r="G2017" s="25" t="str">
        <f>IF(ISNUMBER(F2017),E2017*F2017,"")</f>
        <v/>
      </c>
      <c r="H2017" s="26"/>
      <c r="I2017" s="27"/>
      <c r="J2017" s="125">
        <v>0</v>
      </c>
    </row>
    <row r="2018" spans="1:10" ht="15.75" hidden="1" thickBot="1" x14ac:dyDescent="0.3">
      <c r="A2018" s="235"/>
      <c r="B2018" s="238"/>
      <c r="C2018" s="151"/>
      <c r="D2018" s="29"/>
      <c r="E2018" s="30"/>
      <c r="F2018" s="38" t="s">
        <v>418</v>
      </c>
      <c r="G2018" s="28" t="str">
        <f>IF(ISNUMBER(F2018),E2018*F2018,"")</f>
        <v/>
      </c>
      <c r="H2018" s="32"/>
      <c r="I2018" s="28"/>
      <c r="J2018" s="125">
        <v>0</v>
      </c>
    </row>
    <row r="2019" spans="1:10" ht="39" hidden="1" thickBot="1" x14ac:dyDescent="0.3">
      <c r="A2019" s="235"/>
      <c r="B2019" s="238"/>
      <c r="C2019" s="155" t="s">
        <v>534</v>
      </c>
      <c r="D2019" s="42" t="s">
        <v>69</v>
      </c>
      <c r="E2019" s="34">
        <v>1.0210999999999999</v>
      </c>
      <c r="F2019" s="31" t="s">
        <v>418</v>
      </c>
      <c r="G2019" s="31" t="str">
        <f>IF(ISNUMBER(F2019),E2019*F2019,"")</f>
        <v/>
      </c>
      <c r="H2019" s="35">
        <f>SUM(G2019:G2021)</f>
        <v>0.67964519999999995</v>
      </c>
      <c r="I2019" s="36"/>
      <c r="J2019" s="125">
        <v>0</v>
      </c>
    </row>
    <row r="2020" spans="1:10" ht="26.25" hidden="1" thickBot="1" x14ac:dyDescent="0.3">
      <c r="A2020" s="235"/>
      <c r="B2020" s="238"/>
      <c r="C2020" s="155" t="s">
        <v>824</v>
      </c>
      <c r="D2020" s="155" t="s">
        <v>587</v>
      </c>
      <c r="E2020" s="34">
        <f>0.052*0.3</f>
        <v>1.5599999999999999E-2</v>
      </c>
      <c r="F2020" s="28">
        <v>18.6295</v>
      </c>
      <c r="G2020" s="31">
        <f>IF(ISNUMBER(F2020),E2020*F2020,"")</f>
        <v>0.2906202</v>
      </c>
      <c r="H2020" s="32"/>
      <c r="I2020" s="28"/>
      <c r="J2020" s="125">
        <v>0</v>
      </c>
    </row>
    <row r="2021" spans="1:10" ht="26.25" hidden="1" thickBot="1" x14ac:dyDescent="0.3">
      <c r="A2021" s="235"/>
      <c r="B2021" s="238"/>
      <c r="C2021" s="155" t="s">
        <v>825</v>
      </c>
      <c r="D2021" s="155" t="s">
        <v>587</v>
      </c>
      <c r="E2021" s="34">
        <f>0.052*0.3</f>
        <v>1.5599999999999999E-2</v>
      </c>
      <c r="F2021" s="28">
        <v>24.9375</v>
      </c>
      <c r="G2021" s="31">
        <f>IF(ISNUMBER(F2021),E2021*F2021,"")</f>
        <v>0.38902500000000001</v>
      </c>
      <c r="H2021" s="32"/>
      <c r="I2021" s="28"/>
      <c r="J2021" s="125">
        <v>0</v>
      </c>
    </row>
    <row r="2022" spans="1:10" ht="15.75" hidden="1" thickBot="1" x14ac:dyDescent="0.3">
      <c r="A2022" s="235"/>
      <c r="B2022" s="238"/>
      <c r="C2022" s="155"/>
      <c r="D2022" s="42"/>
      <c r="E2022" s="34"/>
      <c r="F2022" s="31" t="s">
        <v>418</v>
      </c>
      <c r="G2022" s="31" t="str">
        <f>IF(ISNUMBER(F2022),E2022*F2022,"")</f>
        <v/>
      </c>
      <c r="H2022" s="32"/>
      <c r="I2022" s="28"/>
      <c r="J2022" s="125">
        <v>0</v>
      </c>
    </row>
    <row r="2023" spans="1:10" ht="39" hidden="1" thickBot="1" x14ac:dyDescent="0.3">
      <c r="A2023" s="235"/>
      <c r="B2023" s="238"/>
      <c r="C2023" s="47" t="s">
        <v>530</v>
      </c>
      <c r="D2023" s="42"/>
      <c r="E2023" s="34"/>
      <c r="F2023" s="31" t="s">
        <v>418</v>
      </c>
      <c r="G2023" s="31" t="str">
        <f>IF(ISNUMBER(F2023),E2023*F2023,"")</f>
        <v/>
      </c>
      <c r="H2023" s="32"/>
      <c r="I2023" s="28"/>
      <c r="J2023" s="125">
        <v>0</v>
      </c>
    </row>
    <row r="2024" spans="1:10" ht="15.75" hidden="1" thickBot="1" x14ac:dyDescent="0.3">
      <c r="A2024" s="236"/>
      <c r="B2024" s="239"/>
      <c r="C2024" s="155"/>
      <c r="D2024" s="33"/>
      <c r="E2024" s="34"/>
      <c r="F2024" s="28" t="s">
        <v>418</v>
      </c>
      <c r="G2024" s="28" t="str">
        <f>IF(ISNUMBER(F2024),E2024*F2024,"")</f>
        <v/>
      </c>
      <c r="H2024" s="32"/>
      <c r="I2024" s="28"/>
      <c r="J2024" s="125">
        <v>0</v>
      </c>
    </row>
    <row r="2025" spans="1:10" ht="15.75" hidden="1" thickBot="1" x14ac:dyDescent="0.3">
      <c r="A2025" s="234" t="s">
        <v>535</v>
      </c>
      <c r="B2025" s="237" t="s">
        <v>1496</v>
      </c>
      <c r="C2025" s="160"/>
      <c r="D2025" s="23" t="s">
        <v>69</v>
      </c>
      <c r="E2025" s="24"/>
      <c r="F2025" s="37" t="s">
        <v>418</v>
      </c>
      <c r="G2025" s="25" t="str">
        <f>IF(ISNUMBER(F2025),E2025*F2025,"")</f>
        <v/>
      </c>
      <c r="H2025" s="26"/>
      <c r="I2025" s="27"/>
      <c r="J2025" s="125">
        <v>0</v>
      </c>
    </row>
    <row r="2026" spans="1:10" ht="15.75" hidden="1" thickBot="1" x14ac:dyDescent="0.3">
      <c r="A2026" s="235"/>
      <c r="B2026" s="238"/>
      <c r="C2026" s="151"/>
      <c r="D2026" s="29"/>
      <c r="E2026" s="30"/>
      <c r="F2026" s="38" t="s">
        <v>418</v>
      </c>
      <c r="G2026" s="28" t="str">
        <f>IF(ISNUMBER(F2026),E2026*F2026,"")</f>
        <v/>
      </c>
      <c r="H2026" s="32"/>
      <c r="I2026" s="28"/>
      <c r="J2026" s="125">
        <v>0</v>
      </c>
    </row>
    <row r="2027" spans="1:10" ht="39" hidden="1" thickBot="1" x14ac:dyDescent="0.3">
      <c r="A2027" s="235"/>
      <c r="B2027" s="238"/>
      <c r="C2027" s="155" t="s">
        <v>536</v>
      </c>
      <c r="D2027" s="42" t="s">
        <v>69</v>
      </c>
      <c r="E2027" s="34">
        <v>1.0210999999999999</v>
      </c>
      <c r="F2027" s="31" t="s">
        <v>418</v>
      </c>
      <c r="G2027" s="31" t="str">
        <f>IF(ISNUMBER(F2027),E2027*F2027,"")</f>
        <v/>
      </c>
      <c r="H2027" s="35">
        <f>SUM(G2027:G2029)</f>
        <v>0.83648639999999985</v>
      </c>
      <c r="I2027" s="36"/>
      <c r="J2027" s="125">
        <v>0</v>
      </c>
    </row>
    <row r="2028" spans="1:10" ht="26.25" hidden="1" thickBot="1" x14ac:dyDescent="0.3">
      <c r="A2028" s="235"/>
      <c r="B2028" s="238"/>
      <c r="C2028" s="155" t="s">
        <v>824</v>
      </c>
      <c r="D2028" s="155" t="s">
        <v>587</v>
      </c>
      <c r="E2028" s="34">
        <f>0.064*0.3</f>
        <v>1.9199999999999998E-2</v>
      </c>
      <c r="F2028" s="28">
        <v>18.6295</v>
      </c>
      <c r="G2028" s="31">
        <f>IF(ISNUMBER(F2028),E2028*F2028,"")</f>
        <v>0.35768639999999996</v>
      </c>
      <c r="H2028" s="32"/>
      <c r="I2028" s="28"/>
      <c r="J2028" s="125">
        <v>0</v>
      </c>
    </row>
    <row r="2029" spans="1:10" ht="26.25" hidden="1" thickBot="1" x14ac:dyDescent="0.3">
      <c r="A2029" s="235"/>
      <c r="B2029" s="238"/>
      <c r="C2029" s="155" t="s">
        <v>825</v>
      </c>
      <c r="D2029" s="155" t="s">
        <v>587</v>
      </c>
      <c r="E2029" s="34">
        <f>0.064*0.3</f>
        <v>1.9199999999999998E-2</v>
      </c>
      <c r="F2029" s="28">
        <v>24.9375</v>
      </c>
      <c r="G2029" s="31">
        <f>IF(ISNUMBER(F2029),E2029*F2029,"")</f>
        <v>0.47879999999999995</v>
      </c>
      <c r="H2029" s="32"/>
      <c r="I2029" s="28"/>
      <c r="J2029" s="125">
        <v>0</v>
      </c>
    </row>
    <row r="2030" spans="1:10" ht="15.75" hidden="1" thickBot="1" x14ac:dyDescent="0.3">
      <c r="A2030" s="235"/>
      <c r="B2030" s="238"/>
      <c r="C2030" s="155"/>
      <c r="D2030" s="42"/>
      <c r="E2030" s="34"/>
      <c r="F2030" s="31" t="s">
        <v>418</v>
      </c>
      <c r="G2030" s="31" t="str">
        <f>IF(ISNUMBER(F2030),E2030*F2030,"")</f>
        <v/>
      </c>
      <c r="H2030" s="32"/>
      <c r="I2030" s="28"/>
      <c r="J2030" s="125">
        <v>0</v>
      </c>
    </row>
    <row r="2031" spans="1:10" ht="39" hidden="1" thickBot="1" x14ac:dyDescent="0.3">
      <c r="A2031" s="235"/>
      <c r="B2031" s="238"/>
      <c r="C2031" s="47" t="s">
        <v>530</v>
      </c>
      <c r="D2031" s="42"/>
      <c r="E2031" s="34"/>
      <c r="F2031" s="31" t="s">
        <v>418</v>
      </c>
      <c r="G2031" s="31" t="str">
        <f>IF(ISNUMBER(F2031),E2031*F2031,"")</f>
        <v/>
      </c>
      <c r="H2031" s="32"/>
      <c r="I2031" s="28"/>
      <c r="J2031" s="125">
        <v>0</v>
      </c>
    </row>
    <row r="2032" spans="1:10" ht="15.75" hidden="1" thickBot="1" x14ac:dyDescent="0.3">
      <c r="A2032" s="236"/>
      <c r="B2032" s="239"/>
      <c r="C2032" s="155"/>
      <c r="D2032" s="33"/>
      <c r="E2032" s="34"/>
      <c r="F2032" s="28" t="s">
        <v>418</v>
      </c>
      <c r="G2032" s="28" t="str">
        <f>IF(ISNUMBER(F2032),E2032*F2032,"")</f>
        <v/>
      </c>
      <c r="H2032" s="32"/>
      <c r="I2032" s="28"/>
      <c r="J2032" s="125">
        <v>0</v>
      </c>
    </row>
    <row r="2033" spans="1:10" ht="15.75" hidden="1" thickBot="1" x14ac:dyDescent="0.3">
      <c r="A2033" s="234" t="s">
        <v>537</v>
      </c>
      <c r="B2033" s="237" t="s">
        <v>1497</v>
      </c>
      <c r="C2033" s="160"/>
      <c r="D2033" s="23" t="s">
        <v>69</v>
      </c>
      <c r="E2033" s="24"/>
      <c r="F2033" s="37" t="s">
        <v>418</v>
      </c>
      <c r="G2033" s="25" t="str">
        <f>IF(ISNUMBER(F2033),E2033*F2033,"")</f>
        <v/>
      </c>
      <c r="H2033" s="26"/>
      <c r="I2033" s="27"/>
      <c r="J2033" s="125">
        <v>0</v>
      </c>
    </row>
    <row r="2034" spans="1:10" ht="15.75" hidden="1" thickBot="1" x14ac:dyDescent="0.3">
      <c r="A2034" s="235"/>
      <c r="B2034" s="238"/>
      <c r="C2034" s="151"/>
      <c r="D2034" s="29"/>
      <c r="E2034" s="30"/>
      <c r="F2034" s="38" t="s">
        <v>418</v>
      </c>
      <c r="G2034" s="28" t="str">
        <f>IF(ISNUMBER(F2034),E2034*F2034,"")</f>
        <v/>
      </c>
      <c r="H2034" s="32"/>
      <c r="I2034" s="28"/>
      <c r="J2034" s="125">
        <v>0</v>
      </c>
    </row>
    <row r="2035" spans="1:10" ht="39" hidden="1" thickBot="1" x14ac:dyDescent="0.3">
      <c r="A2035" s="235"/>
      <c r="B2035" s="238"/>
      <c r="C2035" s="155" t="s">
        <v>538</v>
      </c>
      <c r="D2035" s="42" t="s">
        <v>69</v>
      </c>
      <c r="E2035" s="34">
        <v>1.0210999999999999</v>
      </c>
      <c r="F2035" s="31" t="s">
        <v>418</v>
      </c>
      <c r="G2035" s="31" t="str">
        <f>IF(ISNUMBER(F2035),E2035*F2035,"")</f>
        <v/>
      </c>
      <c r="H2035" s="35">
        <f>SUM(G2035:G2037)</f>
        <v>0.74499570000000004</v>
      </c>
      <c r="I2035" s="36"/>
      <c r="J2035" s="125">
        <v>0</v>
      </c>
    </row>
    <row r="2036" spans="1:10" ht="26.25" hidden="1" thickBot="1" x14ac:dyDescent="0.3">
      <c r="A2036" s="235"/>
      <c r="B2036" s="238"/>
      <c r="C2036" s="155" t="s">
        <v>824</v>
      </c>
      <c r="D2036" s="155" t="s">
        <v>587</v>
      </c>
      <c r="E2036" s="34">
        <f>0.057*0.3</f>
        <v>1.7100000000000001E-2</v>
      </c>
      <c r="F2036" s="28">
        <v>18.6295</v>
      </c>
      <c r="G2036" s="31">
        <f>IF(ISNUMBER(F2036),E2036*F2036,"")</f>
        <v>0.31856445</v>
      </c>
      <c r="H2036" s="32"/>
      <c r="I2036" s="28"/>
      <c r="J2036" s="125">
        <v>0</v>
      </c>
    </row>
    <row r="2037" spans="1:10" ht="26.25" hidden="1" thickBot="1" x14ac:dyDescent="0.3">
      <c r="A2037" s="235"/>
      <c r="B2037" s="238"/>
      <c r="C2037" s="155" t="s">
        <v>825</v>
      </c>
      <c r="D2037" s="155" t="s">
        <v>587</v>
      </c>
      <c r="E2037" s="34">
        <f>0.057*0.3</f>
        <v>1.7100000000000001E-2</v>
      </c>
      <c r="F2037" s="28">
        <v>24.9375</v>
      </c>
      <c r="G2037" s="31">
        <f>IF(ISNUMBER(F2037),E2037*F2037,"")</f>
        <v>0.42643125000000004</v>
      </c>
      <c r="H2037" s="32"/>
      <c r="I2037" s="28"/>
      <c r="J2037" s="125">
        <v>0</v>
      </c>
    </row>
    <row r="2038" spans="1:10" ht="15.75" hidden="1" thickBot="1" x14ac:dyDescent="0.3">
      <c r="A2038" s="235"/>
      <c r="B2038" s="238"/>
      <c r="C2038" s="155"/>
      <c r="D2038" s="42"/>
      <c r="E2038" s="34"/>
      <c r="F2038" s="31" t="s">
        <v>418</v>
      </c>
      <c r="G2038" s="31" t="str">
        <f>IF(ISNUMBER(F2038),E2038*F2038,"")</f>
        <v/>
      </c>
      <c r="H2038" s="32"/>
      <c r="I2038" s="28"/>
      <c r="J2038" s="125">
        <v>0</v>
      </c>
    </row>
    <row r="2039" spans="1:10" ht="39" hidden="1" thickBot="1" x14ac:dyDescent="0.3">
      <c r="A2039" s="235"/>
      <c r="B2039" s="238"/>
      <c r="C2039" s="47" t="s">
        <v>530</v>
      </c>
      <c r="D2039" s="42"/>
      <c r="E2039" s="34"/>
      <c r="F2039" s="31" t="s">
        <v>418</v>
      </c>
      <c r="G2039" s="31" t="str">
        <f>IF(ISNUMBER(F2039),E2039*F2039,"")</f>
        <v/>
      </c>
      <c r="H2039" s="32"/>
      <c r="I2039" s="28"/>
      <c r="J2039" s="125">
        <v>0</v>
      </c>
    </row>
    <row r="2040" spans="1:10" ht="15.75" hidden="1" thickBot="1" x14ac:dyDescent="0.3">
      <c r="A2040" s="236"/>
      <c r="B2040" s="239"/>
      <c r="C2040" s="155"/>
      <c r="D2040" s="33"/>
      <c r="E2040" s="34"/>
      <c r="F2040" s="28" t="s">
        <v>418</v>
      </c>
      <c r="G2040" s="28" t="str">
        <f>IF(ISNUMBER(F2040),E2040*F2040,"")</f>
        <v/>
      </c>
      <c r="H2040" s="32"/>
      <c r="I2040" s="28"/>
      <c r="J2040" s="125">
        <v>0</v>
      </c>
    </row>
    <row r="2041" spans="1:10" ht="15.75" hidden="1" thickBot="1" x14ac:dyDescent="0.3">
      <c r="A2041" s="234" t="s">
        <v>539</v>
      </c>
      <c r="B2041" s="237" t="s">
        <v>1498</v>
      </c>
      <c r="C2041" s="160"/>
      <c r="D2041" s="23" t="s">
        <v>69</v>
      </c>
      <c r="E2041" s="24"/>
      <c r="F2041" s="37" t="s">
        <v>418</v>
      </c>
      <c r="G2041" s="25" t="str">
        <f>IF(ISNUMBER(F2041),E2041*F2041,"")</f>
        <v/>
      </c>
      <c r="H2041" s="26"/>
      <c r="I2041" s="27"/>
      <c r="J2041" s="125">
        <v>0</v>
      </c>
    </row>
    <row r="2042" spans="1:10" ht="15.75" hidden="1" thickBot="1" x14ac:dyDescent="0.3">
      <c r="A2042" s="235"/>
      <c r="B2042" s="238"/>
      <c r="C2042" s="151"/>
      <c r="D2042" s="29"/>
      <c r="E2042" s="30"/>
      <c r="F2042" s="38" t="s">
        <v>418</v>
      </c>
      <c r="G2042" s="28" t="str">
        <f>IF(ISNUMBER(F2042),E2042*F2042,"")</f>
        <v/>
      </c>
      <c r="H2042" s="32"/>
      <c r="I2042" s="28"/>
      <c r="J2042" s="125">
        <v>0</v>
      </c>
    </row>
    <row r="2043" spans="1:10" ht="39" hidden="1" thickBot="1" x14ac:dyDescent="0.3">
      <c r="A2043" s="235"/>
      <c r="B2043" s="238"/>
      <c r="C2043" s="155" t="s">
        <v>540</v>
      </c>
      <c r="D2043" s="42" t="s">
        <v>69</v>
      </c>
      <c r="E2043" s="34">
        <v>1.0210999999999999</v>
      </c>
      <c r="F2043" s="31" t="s">
        <v>418</v>
      </c>
      <c r="G2043" s="31" t="str">
        <f>IF(ISNUMBER(F2043),E2043*F2043,"")</f>
        <v/>
      </c>
      <c r="H2043" s="35">
        <f>SUM(G2043:G2045)</f>
        <v>0.83648639999999985</v>
      </c>
      <c r="I2043" s="36"/>
      <c r="J2043" s="125">
        <v>0</v>
      </c>
    </row>
    <row r="2044" spans="1:10" ht="26.25" hidden="1" thickBot="1" x14ac:dyDescent="0.3">
      <c r="A2044" s="235"/>
      <c r="B2044" s="238"/>
      <c r="C2044" s="155" t="s">
        <v>824</v>
      </c>
      <c r="D2044" s="155" t="s">
        <v>587</v>
      </c>
      <c r="E2044" s="34">
        <f>0.064*0.3</f>
        <v>1.9199999999999998E-2</v>
      </c>
      <c r="F2044" s="28">
        <v>18.6295</v>
      </c>
      <c r="G2044" s="31">
        <f>IF(ISNUMBER(F2044),E2044*F2044,"")</f>
        <v>0.35768639999999996</v>
      </c>
      <c r="H2044" s="32"/>
      <c r="I2044" s="28"/>
      <c r="J2044" s="125">
        <v>0</v>
      </c>
    </row>
    <row r="2045" spans="1:10" ht="26.25" hidden="1" thickBot="1" x14ac:dyDescent="0.3">
      <c r="A2045" s="235"/>
      <c r="B2045" s="238"/>
      <c r="C2045" s="155" t="s">
        <v>825</v>
      </c>
      <c r="D2045" s="155" t="s">
        <v>587</v>
      </c>
      <c r="E2045" s="34">
        <f>0.064*0.3</f>
        <v>1.9199999999999998E-2</v>
      </c>
      <c r="F2045" s="28">
        <v>24.9375</v>
      </c>
      <c r="G2045" s="31">
        <f>IF(ISNUMBER(F2045),E2045*F2045,"")</f>
        <v>0.47879999999999995</v>
      </c>
      <c r="H2045" s="32"/>
      <c r="I2045" s="28"/>
      <c r="J2045" s="125">
        <v>0</v>
      </c>
    </row>
    <row r="2046" spans="1:10" ht="15.75" hidden="1" thickBot="1" x14ac:dyDescent="0.3">
      <c r="A2046" s="235"/>
      <c r="B2046" s="238"/>
      <c r="C2046" s="155"/>
      <c r="D2046" s="42"/>
      <c r="E2046" s="34"/>
      <c r="F2046" s="31" t="s">
        <v>418</v>
      </c>
      <c r="G2046" s="31" t="str">
        <f>IF(ISNUMBER(F2046),E2046*F2046,"")</f>
        <v/>
      </c>
      <c r="H2046" s="32"/>
      <c r="I2046" s="28"/>
      <c r="J2046" s="125">
        <v>0</v>
      </c>
    </row>
    <row r="2047" spans="1:10" ht="39" hidden="1" thickBot="1" x14ac:dyDescent="0.3">
      <c r="A2047" s="235"/>
      <c r="B2047" s="238"/>
      <c r="C2047" s="47" t="s">
        <v>530</v>
      </c>
      <c r="D2047" s="42"/>
      <c r="E2047" s="34"/>
      <c r="F2047" s="31" t="s">
        <v>418</v>
      </c>
      <c r="G2047" s="31" t="str">
        <f>IF(ISNUMBER(F2047),E2047*F2047,"")</f>
        <v/>
      </c>
      <c r="H2047" s="32"/>
      <c r="I2047" s="28"/>
      <c r="J2047" s="125">
        <v>0</v>
      </c>
    </row>
    <row r="2048" spans="1:10" ht="15.75" hidden="1" thickBot="1" x14ac:dyDescent="0.3">
      <c r="A2048" s="236"/>
      <c r="B2048" s="239"/>
      <c r="C2048" s="155"/>
      <c r="D2048" s="33"/>
      <c r="E2048" s="34"/>
      <c r="F2048" s="28" t="s">
        <v>418</v>
      </c>
      <c r="G2048" s="28" t="str">
        <f>IF(ISNUMBER(F2048),E2048*F2048,"")</f>
        <v/>
      </c>
      <c r="H2048" s="32"/>
      <c r="I2048" s="28"/>
      <c r="J2048" s="125">
        <v>0</v>
      </c>
    </row>
    <row r="2049" spans="1:10" ht="15.75" hidden="1" thickBot="1" x14ac:dyDescent="0.3">
      <c r="A2049" s="234" t="s">
        <v>541</v>
      </c>
      <c r="B2049" s="237" t="s">
        <v>1499</v>
      </c>
      <c r="C2049" s="160"/>
      <c r="D2049" s="23" t="s">
        <v>69</v>
      </c>
      <c r="E2049" s="24"/>
      <c r="F2049" s="37" t="s">
        <v>418</v>
      </c>
      <c r="G2049" s="25" t="str">
        <f>IF(ISNUMBER(F2049),E2049*F2049,"")</f>
        <v/>
      </c>
      <c r="H2049" s="26"/>
      <c r="I2049" s="27"/>
      <c r="J2049" s="125">
        <v>0</v>
      </c>
    </row>
    <row r="2050" spans="1:10" ht="15.75" hidden="1" thickBot="1" x14ac:dyDescent="0.3">
      <c r="A2050" s="235"/>
      <c r="B2050" s="238"/>
      <c r="C2050" s="151"/>
      <c r="D2050" s="29"/>
      <c r="E2050" s="30"/>
      <c r="F2050" s="38" t="s">
        <v>418</v>
      </c>
      <c r="G2050" s="28" t="str">
        <f>IF(ISNUMBER(F2050),E2050*F2050,"")</f>
        <v/>
      </c>
      <c r="H2050" s="32"/>
      <c r="I2050" s="28"/>
      <c r="J2050" s="125">
        <v>0</v>
      </c>
    </row>
    <row r="2051" spans="1:10" ht="51.75" hidden="1" thickBot="1" x14ac:dyDescent="0.3">
      <c r="A2051" s="235"/>
      <c r="B2051" s="238"/>
      <c r="C2051" s="155" t="s">
        <v>542</v>
      </c>
      <c r="D2051" s="42" t="s">
        <v>69</v>
      </c>
      <c r="E2051" s="34">
        <v>1.0210999999999999</v>
      </c>
      <c r="F2051" s="31" t="s">
        <v>418</v>
      </c>
      <c r="G2051" s="31" t="str">
        <f>IF(ISNUMBER(F2051),E2051*F2051,"")</f>
        <v/>
      </c>
      <c r="H2051" s="35">
        <f>SUM(G2051:G2053)</f>
        <v>0.83648639999999985</v>
      </c>
      <c r="I2051" s="36"/>
      <c r="J2051" s="125">
        <v>0</v>
      </c>
    </row>
    <row r="2052" spans="1:10" ht="26.25" hidden="1" thickBot="1" x14ac:dyDescent="0.3">
      <c r="A2052" s="235"/>
      <c r="B2052" s="238"/>
      <c r="C2052" s="155" t="s">
        <v>824</v>
      </c>
      <c r="D2052" s="155" t="s">
        <v>587</v>
      </c>
      <c r="E2052" s="34">
        <f>0.064*0.3</f>
        <v>1.9199999999999998E-2</v>
      </c>
      <c r="F2052" s="28">
        <v>18.6295</v>
      </c>
      <c r="G2052" s="31">
        <f>IF(ISNUMBER(F2052),E2052*F2052,"")</f>
        <v>0.35768639999999996</v>
      </c>
      <c r="H2052" s="32"/>
      <c r="I2052" s="28"/>
      <c r="J2052" s="125">
        <v>0</v>
      </c>
    </row>
    <row r="2053" spans="1:10" ht="26.25" hidden="1" thickBot="1" x14ac:dyDescent="0.3">
      <c r="A2053" s="235"/>
      <c r="B2053" s="238"/>
      <c r="C2053" s="155" t="s">
        <v>825</v>
      </c>
      <c r="D2053" s="155" t="s">
        <v>587</v>
      </c>
      <c r="E2053" s="34">
        <f>0.064*0.3</f>
        <v>1.9199999999999998E-2</v>
      </c>
      <c r="F2053" s="28">
        <v>24.9375</v>
      </c>
      <c r="G2053" s="31">
        <f>IF(ISNUMBER(F2053),E2053*F2053,"")</f>
        <v>0.47879999999999995</v>
      </c>
      <c r="H2053" s="32"/>
      <c r="I2053" s="28"/>
      <c r="J2053" s="125">
        <v>0</v>
      </c>
    </row>
    <row r="2054" spans="1:10" ht="15.75" hidden="1" thickBot="1" x14ac:dyDescent="0.3">
      <c r="A2054" s="235"/>
      <c r="B2054" s="238"/>
      <c r="C2054" s="155"/>
      <c r="D2054" s="42"/>
      <c r="E2054" s="34"/>
      <c r="F2054" s="31" t="s">
        <v>418</v>
      </c>
      <c r="G2054" s="31" t="str">
        <f>IF(ISNUMBER(F2054),E2054*F2054,"")</f>
        <v/>
      </c>
      <c r="H2054" s="32"/>
      <c r="I2054" s="28"/>
      <c r="J2054" s="125">
        <v>0</v>
      </c>
    </row>
    <row r="2055" spans="1:10" ht="39" hidden="1" thickBot="1" x14ac:dyDescent="0.3">
      <c r="A2055" s="235"/>
      <c r="B2055" s="238"/>
      <c r="C2055" s="47" t="s">
        <v>530</v>
      </c>
      <c r="D2055" s="42"/>
      <c r="E2055" s="34"/>
      <c r="F2055" s="31" t="s">
        <v>418</v>
      </c>
      <c r="G2055" s="31" t="str">
        <f>IF(ISNUMBER(F2055),E2055*F2055,"")</f>
        <v/>
      </c>
      <c r="H2055" s="32"/>
      <c r="I2055" s="28"/>
      <c r="J2055" s="125">
        <v>0</v>
      </c>
    </row>
    <row r="2056" spans="1:10" ht="15.75" hidden="1" thickBot="1" x14ac:dyDescent="0.3">
      <c r="A2056" s="236"/>
      <c r="B2056" s="239"/>
      <c r="C2056" s="155"/>
      <c r="D2056" s="33"/>
      <c r="E2056" s="34"/>
      <c r="F2056" s="28" t="s">
        <v>418</v>
      </c>
      <c r="G2056" s="28" t="str">
        <f>IF(ISNUMBER(F2056),E2056*F2056,"")</f>
        <v/>
      </c>
      <c r="H2056" s="32"/>
      <c r="I2056" s="28"/>
      <c r="J2056" s="125">
        <v>0</v>
      </c>
    </row>
    <row r="2057" spans="1:10" ht="15.75" hidden="1" thickBot="1" x14ac:dyDescent="0.3">
      <c r="A2057" s="234" t="s">
        <v>543</v>
      </c>
      <c r="B2057" s="237" t="s">
        <v>1500</v>
      </c>
      <c r="C2057" s="160"/>
      <c r="D2057" s="23" t="s">
        <v>69</v>
      </c>
      <c r="E2057" s="24"/>
      <c r="F2057" s="37" t="s">
        <v>418</v>
      </c>
      <c r="G2057" s="25" t="str">
        <f>IF(ISNUMBER(F2057),E2057*F2057,"")</f>
        <v/>
      </c>
      <c r="H2057" s="26"/>
      <c r="I2057" s="27"/>
      <c r="J2057" s="125">
        <v>0</v>
      </c>
    </row>
    <row r="2058" spans="1:10" ht="15.75" hidden="1" thickBot="1" x14ac:dyDescent="0.3">
      <c r="A2058" s="235"/>
      <c r="B2058" s="238"/>
      <c r="C2058" s="151"/>
      <c r="D2058" s="29"/>
      <c r="E2058" s="30"/>
      <c r="F2058" s="38" t="s">
        <v>418</v>
      </c>
      <c r="G2058" s="28" t="str">
        <f>IF(ISNUMBER(F2058),E2058*F2058,"")</f>
        <v/>
      </c>
      <c r="H2058" s="32"/>
      <c r="I2058" s="28"/>
      <c r="J2058" s="125">
        <v>0</v>
      </c>
    </row>
    <row r="2059" spans="1:10" ht="39" hidden="1" thickBot="1" x14ac:dyDescent="0.3">
      <c r="A2059" s="235"/>
      <c r="B2059" s="238"/>
      <c r="C2059" s="155" t="s">
        <v>544</v>
      </c>
      <c r="D2059" s="42" t="s">
        <v>69</v>
      </c>
      <c r="E2059" s="34">
        <v>1.0210999999999999</v>
      </c>
      <c r="F2059" s="31" t="s">
        <v>418</v>
      </c>
      <c r="G2059" s="31" t="str">
        <f>IF(ISNUMBER(F2059),E2059*F2059,"")</f>
        <v/>
      </c>
      <c r="H2059" s="35">
        <f>SUM(G2059:G2061)</f>
        <v>0.83648639999999985</v>
      </c>
      <c r="I2059" s="36"/>
      <c r="J2059" s="125">
        <v>0</v>
      </c>
    </row>
    <row r="2060" spans="1:10" ht="26.25" hidden="1" thickBot="1" x14ac:dyDescent="0.3">
      <c r="A2060" s="235"/>
      <c r="B2060" s="238"/>
      <c r="C2060" s="155" t="s">
        <v>824</v>
      </c>
      <c r="D2060" s="155" t="s">
        <v>587</v>
      </c>
      <c r="E2060" s="34">
        <f>0.064*0.3</f>
        <v>1.9199999999999998E-2</v>
      </c>
      <c r="F2060" s="28">
        <v>18.6295</v>
      </c>
      <c r="G2060" s="31">
        <f>IF(ISNUMBER(F2060),E2060*F2060,"")</f>
        <v>0.35768639999999996</v>
      </c>
      <c r="H2060" s="32"/>
      <c r="I2060" s="28"/>
      <c r="J2060" s="125">
        <v>0</v>
      </c>
    </row>
    <row r="2061" spans="1:10" ht="26.25" hidden="1" thickBot="1" x14ac:dyDescent="0.3">
      <c r="A2061" s="235"/>
      <c r="B2061" s="238"/>
      <c r="C2061" s="155" t="s">
        <v>825</v>
      </c>
      <c r="D2061" s="155" t="s">
        <v>587</v>
      </c>
      <c r="E2061" s="34">
        <f>0.064*0.3</f>
        <v>1.9199999999999998E-2</v>
      </c>
      <c r="F2061" s="28">
        <v>24.9375</v>
      </c>
      <c r="G2061" s="31">
        <f>IF(ISNUMBER(F2061),E2061*F2061,"")</f>
        <v>0.47879999999999995</v>
      </c>
      <c r="H2061" s="32"/>
      <c r="I2061" s="28"/>
      <c r="J2061" s="125">
        <v>0</v>
      </c>
    </row>
    <row r="2062" spans="1:10" ht="15.75" hidden="1" thickBot="1" x14ac:dyDescent="0.3">
      <c r="A2062" s="235"/>
      <c r="B2062" s="238"/>
      <c r="C2062" s="155"/>
      <c r="D2062" s="42"/>
      <c r="E2062" s="34"/>
      <c r="F2062" s="31" t="s">
        <v>418</v>
      </c>
      <c r="G2062" s="31" t="str">
        <f>IF(ISNUMBER(F2062),E2062*F2062,"")</f>
        <v/>
      </c>
      <c r="H2062" s="32"/>
      <c r="I2062" s="28"/>
      <c r="J2062" s="125">
        <v>0</v>
      </c>
    </row>
    <row r="2063" spans="1:10" ht="39" hidden="1" thickBot="1" x14ac:dyDescent="0.3">
      <c r="A2063" s="235"/>
      <c r="B2063" s="238"/>
      <c r="C2063" s="47" t="s">
        <v>530</v>
      </c>
      <c r="D2063" s="42"/>
      <c r="E2063" s="34"/>
      <c r="F2063" s="31" t="s">
        <v>418</v>
      </c>
      <c r="G2063" s="31" t="str">
        <f>IF(ISNUMBER(F2063),E2063*F2063,"")</f>
        <v/>
      </c>
      <c r="H2063" s="32"/>
      <c r="I2063" s="28"/>
      <c r="J2063" s="125">
        <v>0</v>
      </c>
    </row>
    <row r="2064" spans="1:10" ht="15.75" hidden="1" thickBot="1" x14ac:dyDescent="0.3">
      <c r="A2064" s="236"/>
      <c r="B2064" s="239"/>
      <c r="C2064" s="155"/>
      <c r="D2064" s="33"/>
      <c r="E2064" s="34"/>
      <c r="F2064" s="28" t="s">
        <v>418</v>
      </c>
      <c r="G2064" s="28" t="str">
        <f>IF(ISNUMBER(F2064),E2064*F2064,"")</f>
        <v/>
      </c>
      <c r="H2064" s="32"/>
      <c r="I2064" s="28"/>
      <c r="J2064" s="125">
        <v>0</v>
      </c>
    </row>
    <row r="2065" spans="1:10" ht="15.75" hidden="1" thickBot="1" x14ac:dyDescent="0.3">
      <c r="A2065" s="234" t="s">
        <v>545</v>
      </c>
      <c r="B2065" s="237" t="s">
        <v>1501</v>
      </c>
      <c r="C2065" s="160"/>
      <c r="D2065" s="23" t="s">
        <v>69</v>
      </c>
      <c r="E2065" s="24"/>
      <c r="F2065" s="37" t="s">
        <v>418</v>
      </c>
      <c r="G2065" s="25" t="str">
        <f>IF(ISNUMBER(F2065),E2065*F2065,"")</f>
        <v/>
      </c>
      <c r="H2065" s="26"/>
      <c r="I2065" s="27"/>
      <c r="J2065" s="125">
        <v>0</v>
      </c>
    </row>
    <row r="2066" spans="1:10" ht="15.75" hidden="1" thickBot="1" x14ac:dyDescent="0.3">
      <c r="A2066" s="235"/>
      <c r="B2066" s="238"/>
      <c r="C2066" s="151"/>
      <c r="D2066" s="29"/>
      <c r="E2066" s="30"/>
      <c r="F2066" s="38" t="s">
        <v>418</v>
      </c>
      <c r="G2066" s="28" t="str">
        <f>IF(ISNUMBER(F2066),E2066*F2066,"")</f>
        <v/>
      </c>
      <c r="H2066" s="32"/>
      <c r="I2066" s="28"/>
      <c r="J2066" s="125">
        <v>0</v>
      </c>
    </row>
    <row r="2067" spans="1:10" ht="39" hidden="1" thickBot="1" x14ac:dyDescent="0.3">
      <c r="A2067" s="235"/>
      <c r="B2067" s="238"/>
      <c r="C2067" s="155" t="s">
        <v>546</v>
      </c>
      <c r="D2067" s="42" t="s">
        <v>69</v>
      </c>
      <c r="E2067" s="34">
        <v>1.0210999999999999</v>
      </c>
      <c r="F2067" s="31" t="s">
        <v>418</v>
      </c>
      <c r="G2067" s="31" t="str">
        <f>IF(ISNUMBER(F2067),E2067*F2067,"")</f>
        <v/>
      </c>
      <c r="H2067" s="35">
        <f>SUM(G2067:G2069)</f>
        <v>0.83648639999999985</v>
      </c>
      <c r="I2067" s="36"/>
      <c r="J2067" s="125">
        <v>0</v>
      </c>
    </row>
    <row r="2068" spans="1:10" ht="26.25" hidden="1" thickBot="1" x14ac:dyDescent="0.3">
      <c r="A2068" s="235"/>
      <c r="B2068" s="238"/>
      <c r="C2068" s="155" t="s">
        <v>824</v>
      </c>
      <c r="D2068" s="155" t="s">
        <v>587</v>
      </c>
      <c r="E2068" s="34">
        <f>0.064*0.3</f>
        <v>1.9199999999999998E-2</v>
      </c>
      <c r="F2068" s="28">
        <v>18.6295</v>
      </c>
      <c r="G2068" s="31">
        <f>IF(ISNUMBER(F2068),E2068*F2068,"")</f>
        <v>0.35768639999999996</v>
      </c>
      <c r="H2068" s="32"/>
      <c r="I2068" s="28"/>
      <c r="J2068" s="125">
        <v>0</v>
      </c>
    </row>
    <row r="2069" spans="1:10" ht="26.25" hidden="1" thickBot="1" x14ac:dyDescent="0.3">
      <c r="A2069" s="235"/>
      <c r="B2069" s="238"/>
      <c r="C2069" s="155" t="s">
        <v>825</v>
      </c>
      <c r="D2069" s="155" t="s">
        <v>587</v>
      </c>
      <c r="E2069" s="34">
        <f>0.064*0.3</f>
        <v>1.9199999999999998E-2</v>
      </c>
      <c r="F2069" s="28">
        <v>24.9375</v>
      </c>
      <c r="G2069" s="31">
        <f>IF(ISNUMBER(F2069),E2069*F2069,"")</f>
        <v>0.47879999999999995</v>
      </c>
      <c r="H2069" s="32"/>
      <c r="I2069" s="28"/>
      <c r="J2069" s="125">
        <v>0</v>
      </c>
    </row>
    <row r="2070" spans="1:10" ht="15.75" hidden="1" thickBot="1" x14ac:dyDescent="0.3">
      <c r="A2070" s="235"/>
      <c r="B2070" s="238"/>
      <c r="C2070" s="155"/>
      <c r="D2070" s="42"/>
      <c r="E2070" s="34"/>
      <c r="F2070" s="31" t="s">
        <v>418</v>
      </c>
      <c r="G2070" s="31" t="str">
        <f>IF(ISNUMBER(F2070),E2070*F2070,"")</f>
        <v/>
      </c>
      <c r="H2070" s="32"/>
      <c r="I2070" s="28"/>
      <c r="J2070" s="125">
        <v>0</v>
      </c>
    </row>
    <row r="2071" spans="1:10" ht="39" hidden="1" thickBot="1" x14ac:dyDescent="0.3">
      <c r="A2071" s="235"/>
      <c r="B2071" s="238"/>
      <c r="C2071" s="47" t="s">
        <v>530</v>
      </c>
      <c r="D2071" s="42"/>
      <c r="E2071" s="34"/>
      <c r="F2071" s="31" t="s">
        <v>418</v>
      </c>
      <c r="G2071" s="31" t="str">
        <f>IF(ISNUMBER(F2071),E2071*F2071,"")</f>
        <v/>
      </c>
      <c r="H2071" s="32"/>
      <c r="I2071" s="28"/>
      <c r="J2071" s="125">
        <v>0</v>
      </c>
    </row>
    <row r="2072" spans="1:10" ht="15.75" hidden="1" thickBot="1" x14ac:dyDescent="0.3">
      <c r="A2072" s="236"/>
      <c r="B2072" s="239"/>
      <c r="C2072" s="155"/>
      <c r="D2072" s="33"/>
      <c r="E2072" s="34"/>
      <c r="F2072" s="28" t="s">
        <v>418</v>
      </c>
      <c r="G2072" s="28" t="str">
        <f>IF(ISNUMBER(F2072),E2072*F2072,"")</f>
        <v/>
      </c>
      <c r="H2072" s="32"/>
      <c r="I2072" s="28"/>
      <c r="J2072" s="125">
        <v>0</v>
      </c>
    </row>
    <row r="2073" spans="1:10" ht="15.75" hidden="1" thickBot="1" x14ac:dyDescent="0.3">
      <c r="A2073" s="234" t="s">
        <v>547</v>
      </c>
      <c r="B2073" s="237" t="s">
        <v>13498</v>
      </c>
      <c r="C2073" s="160"/>
      <c r="D2073" s="23" t="s">
        <v>69</v>
      </c>
      <c r="E2073" s="24"/>
      <c r="F2073" s="37" t="s">
        <v>418</v>
      </c>
      <c r="G2073" s="25" t="str">
        <f>IF(ISNUMBER(F2073),E2073*F2073,"")</f>
        <v/>
      </c>
      <c r="H2073" s="26"/>
      <c r="I2073" s="27"/>
      <c r="J2073" s="125">
        <v>0</v>
      </c>
    </row>
    <row r="2074" spans="1:10" ht="15.75" hidden="1" thickBot="1" x14ac:dyDescent="0.3">
      <c r="A2074" s="235"/>
      <c r="B2074" s="238"/>
      <c r="C2074" s="151"/>
      <c r="D2074" s="29"/>
      <c r="E2074" s="30"/>
      <c r="F2074" s="38" t="s">
        <v>418</v>
      </c>
      <c r="G2074" s="28" t="str">
        <f>IF(ISNUMBER(F2074),E2074*F2074,"")</f>
        <v/>
      </c>
      <c r="H2074" s="32"/>
      <c r="I2074" s="28"/>
      <c r="J2074" s="125">
        <v>0</v>
      </c>
    </row>
    <row r="2075" spans="1:10" ht="39" hidden="1" thickBot="1" x14ac:dyDescent="0.3">
      <c r="A2075" s="235"/>
      <c r="B2075" s="238"/>
      <c r="C2075" s="155" t="s">
        <v>548</v>
      </c>
      <c r="D2075" s="42" t="s">
        <v>69</v>
      </c>
      <c r="E2075" s="34">
        <v>1.0210999999999999</v>
      </c>
      <c r="F2075" s="31" t="s">
        <v>418</v>
      </c>
      <c r="G2075" s="31" t="str">
        <f>IF(ISNUMBER(F2075),E2075*F2075,"")</f>
        <v/>
      </c>
      <c r="H2075" s="35">
        <f>SUM(G2075:G2077)</f>
        <v>0.83648639999999985</v>
      </c>
      <c r="I2075" s="36"/>
      <c r="J2075" s="125">
        <v>0</v>
      </c>
    </row>
    <row r="2076" spans="1:10" ht="26.25" hidden="1" thickBot="1" x14ac:dyDescent="0.3">
      <c r="A2076" s="235"/>
      <c r="B2076" s="238"/>
      <c r="C2076" s="155" t="s">
        <v>824</v>
      </c>
      <c r="D2076" s="155" t="s">
        <v>587</v>
      </c>
      <c r="E2076" s="34">
        <f>0.064*0.3</f>
        <v>1.9199999999999998E-2</v>
      </c>
      <c r="F2076" s="28">
        <v>18.6295</v>
      </c>
      <c r="G2076" s="31">
        <f>IF(ISNUMBER(F2076),E2076*F2076,"")</f>
        <v>0.35768639999999996</v>
      </c>
      <c r="H2076" s="32"/>
      <c r="I2076" s="28"/>
      <c r="J2076" s="125">
        <v>0</v>
      </c>
    </row>
    <row r="2077" spans="1:10" ht="26.25" hidden="1" thickBot="1" x14ac:dyDescent="0.3">
      <c r="A2077" s="235"/>
      <c r="B2077" s="238"/>
      <c r="C2077" s="155" t="s">
        <v>825</v>
      </c>
      <c r="D2077" s="155" t="s">
        <v>587</v>
      </c>
      <c r="E2077" s="34">
        <f>0.064*0.3</f>
        <v>1.9199999999999998E-2</v>
      </c>
      <c r="F2077" s="28">
        <v>24.9375</v>
      </c>
      <c r="G2077" s="31">
        <f>IF(ISNUMBER(F2077),E2077*F2077,"")</f>
        <v>0.47879999999999995</v>
      </c>
      <c r="H2077" s="32"/>
      <c r="I2077" s="28"/>
      <c r="J2077" s="125">
        <v>0</v>
      </c>
    </row>
    <row r="2078" spans="1:10" ht="15.75" hidden="1" thickBot="1" x14ac:dyDescent="0.3">
      <c r="A2078" s="235"/>
      <c r="B2078" s="238"/>
      <c r="C2078" s="155"/>
      <c r="D2078" s="42"/>
      <c r="E2078" s="34"/>
      <c r="F2078" s="31" t="s">
        <v>418</v>
      </c>
      <c r="G2078" s="31" t="str">
        <f>IF(ISNUMBER(F2078),E2078*F2078,"")</f>
        <v/>
      </c>
      <c r="H2078" s="32"/>
      <c r="I2078" s="28"/>
      <c r="J2078" s="125">
        <v>0</v>
      </c>
    </row>
    <row r="2079" spans="1:10" ht="39" hidden="1" thickBot="1" x14ac:dyDescent="0.3">
      <c r="A2079" s="235"/>
      <c r="B2079" s="238"/>
      <c r="C2079" s="47" t="s">
        <v>530</v>
      </c>
      <c r="D2079" s="42"/>
      <c r="E2079" s="34"/>
      <c r="F2079" s="31" t="s">
        <v>418</v>
      </c>
      <c r="G2079" s="31" t="str">
        <f>IF(ISNUMBER(F2079),E2079*F2079,"")</f>
        <v/>
      </c>
      <c r="H2079" s="32"/>
      <c r="I2079" s="28"/>
      <c r="J2079" s="125">
        <v>0</v>
      </c>
    </row>
    <row r="2080" spans="1:10" ht="15.75" hidden="1" thickBot="1" x14ac:dyDescent="0.3">
      <c r="A2080" s="236"/>
      <c r="B2080" s="239"/>
      <c r="C2080" s="155"/>
      <c r="D2080" s="33"/>
      <c r="E2080" s="34"/>
      <c r="F2080" s="28" t="s">
        <v>418</v>
      </c>
      <c r="G2080" s="28" t="str">
        <f>IF(ISNUMBER(F2080),E2080*F2080,"")</f>
        <v/>
      </c>
      <c r="H2080" s="32"/>
      <c r="I2080" s="28"/>
      <c r="J2080" s="125">
        <v>0</v>
      </c>
    </row>
    <row r="2081" spans="1:10" ht="15.75" hidden="1" thickBot="1" x14ac:dyDescent="0.3">
      <c r="A2081" s="234" t="s">
        <v>549</v>
      </c>
      <c r="B2081" s="237" t="s">
        <v>13499</v>
      </c>
      <c r="C2081" s="160"/>
      <c r="D2081" s="23" t="s">
        <v>69</v>
      </c>
      <c r="E2081" s="24"/>
      <c r="F2081" s="37" t="s">
        <v>418</v>
      </c>
      <c r="G2081" s="25" t="str">
        <f>IF(ISNUMBER(F2081),E2081*F2081,"")</f>
        <v/>
      </c>
      <c r="H2081" s="26"/>
      <c r="I2081" s="27"/>
      <c r="J2081" s="125">
        <v>0</v>
      </c>
    </row>
    <row r="2082" spans="1:10" ht="15.75" hidden="1" thickBot="1" x14ac:dyDescent="0.3">
      <c r="A2082" s="235"/>
      <c r="B2082" s="238"/>
      <c r="C2082" s="151"/>
      <c r="D2082" s="29"/>
      <c r="E2082" s="30"/>
      <c r="F2082" s="38" t="s">
        <v>418</v>
      </c>
      <c r="G2082" s="28" t="str">
        <f>IF(ISNUMBER(F2082),E2082*F2082,"")</f>
        <v/>
      </c>
      <c r="H2082" s="32"/>
      <c r="I2082" s="28"/>
      <c r="J2082" s="125">
        <v>0</v>
      </c>
    </row>
    <row r="2083" spans="1:10" ht="39" hidden="1" thickBot="1" x14ac:dyDescent="0.3">
      <c r="A2083" s="235"/>
      <c r="B2083" s="238"/>
      <c r="C2083" s="155" t="s">
        <v>550</v>
      </c>
      <c r="D2083" s="42" t="s">
        <v>69</v>
      </c>
      <c r="E2083" s="34">
        <v>1.0210999999999999</v>
      </c>
      <c r="F2083" s="31" t="s">
        <v>418</v>
      </c>
      <c r="G2083" s="31" t="str">
        <f>IF(ISNUMBER(F2083),E2083*F2083,"")</f>
        <v/>
      </c>
      <c r="H2083" s="35">
        <f>SUM(G2083:G2085)</f>
        <v>0.83648639999999985</v>
      </c>
      <c r="I2083" s="36"/>
      <c r="J2083" s="125">
        <v>0</v>
      </c>
    </row>
    <row r="2084" spans="1:10" ht="26.25" hidden="1" thickBot="1" x14ac:dyDescent="0.3">
      <c r="A2084" s="235"/>
      <c r="B2084" s="238"/>
      <c r="C2084" s="155" t="s">
        <v>824</v>
      </c>
      <c r="D2084" s="155" t="s">
        <v>587</v>
      </c>
      <c r="E2084" s="34">
        <f>0.064*0.3</f>
        <v>1.9199999999999998E-2</v>
      </c>
      <c r="F2084" s="28">
        <v>18.6295</v>
      </c>
      <c r="G2084" s="31">
        <f>IF(ISNUMBER(F2084),E2084*F2084,"")</f>
        <v>0.35768639999999996</v>
      </c>
      <c r="H2084" s="32"/>
      <c r="I2084" s="28"/>
      <c r="J2084" s="125">
        <v>0</v>
      </c>
    </row>
    <row r="2085" spans="1:10" ht="26.25" hidden="1" thickBot="1" x14ac:dyDescent="0.3">
      <c r="A2085" s="235"/>
      <c r="B2085" s="238"/>
      <c r="C2085" s="155" t="s">
        <v>825</v>
      </c>
      <c r="D2085" s="155" t="s">
        <v>587</v>
      </c>
      <c r="E2085" s="34">
        <f>0.064*0.3</f>
        <v>1.9199999999999998E-2</v>
      </c>
      <c r="F2085" s="28">
        <v>24.9375</v>
      </c>
      <c r="G2085" s="31">
        <f>IF(ISNUMBER(F2085),E2085*F2085,"")</f>
        <v>0.47879999999999995</v>
      </c>
      <c r="H2085" s="32"/>
      <c r="I2085" s="28"/>
      <c r="J2085" s="125">
        <v>0</v>
      </c>
    </row>
    <row r="2086" spans="1:10" ht="15.75" hidden="1" thickBot="1" x14ac:dyDescent="0.3">
      <c r="A2086" s="235"/>
      <c r="B2086" s="238"/>
      <c r="C2086" s="155"/>
      <c r="D2086" s="42"/>
      <c r="E2086" s="34"/>
      <c r="F2086" s="31" t="s">
        <v>418</v>
      </c>
      <c r="G2086" s="31" t="str">
        <f>IF(ISNUMBER(F2086),E2086*F2086,"")</f>
        <v/>
      </c>
      <c r="H2086" s="32"/>
      <c r="I2086" s="28"/>
      <c r="J2086" s="125">
        <v>0</v>
      </c>
    </row>
    <row r="2087" spans="1:10" ht="39" hidden="1" thickBot="1" x14ac:dyDescent="0.3">
      <c r="A2087" s="235"/>
      <c r="B2087" s="238"/>
      <c r="C2087" s="47" t="s">
        <v>530</v>
      </c>
      <c r="D2087" s="42"/>
      <c r="E2087" s="34"/>
      <c r="F2087" s="31" t="s">
        <v>418</v>
      </c>
      <c r="G2087" s="31" t="str">
        <f>IF(ISNUMBER(F2087),E2087*F2087,"")</f>
        <v/>
      </c>
      <c r="H2087" s="32"/>
      <c r="I2087" s="28"/>
      <c r="J2087" s="125">
        <v>0</v>
      </c>
    </row>
    <row r="2088" spans="1:10" ht="15.75" hidden="1" thickBot="1" x14ac:dyDescent="0.3">
      <c r="A2088" s="236"/>
      <c r="B2088" s="239"/>
      <c r="C2088" s="155"/>
      <c r="D2088" s="33"/>
      <c r="E2088" s="34"/>
      <c r="F2088" s="28" t="s">
        <v>418</v>
      </c>
      <c r="G2088" s="28" t="str">
        <f>IF(ISNUMBER(F2088),E2088*F2088,"")</f>
        <v/>
      </c>
      <c r="H2088" s="32"/>
      <c r="I2088" s="28"/>
      <c r="J2088" s="125">
        <v>0</v>
      </c>
    </row>
    <row r="2089" spans="1:10" ht="15.75" hidden="1" thickBot="1" x14ac:dyDescent="0.3">
      <c r="A2089" s="234" t="s">
        <v>551</v>
      </c>
      <c r="B2089" s="237" t="s">
        <v>1502</v>
      </c>
      <c r="C2089" s="160"/>
      <c r="D2089" s="23" t="s">
        <v>70</v>
      </c>
      <c r="E2089" s="24"/>
      <c r="F2089" s="37" t="s">
        <v>418</v>
      </c>
      <c r="G2089" s="25" t="str">
        <f>IF(ISNUMBER(F2089),E2089*F2089,"")</f>
        <v/>
      </c>
      <c r="H2089" s="26"/>
      <c r="I2089" s="27"/>
      <c r="J2089" s="125">
        <v>0</v>
      </c>
    </row>
    <row r="2090" spans="1:10" ht="15.75" hidden="1" thickBot="1" x14ac:dyDescent="0.3">
      <c r="A2090" s="235"/>
      <c r="B2090" s="238"/>
      <c r="C2090" s="151"/>
      <c r="D2090" s="29"/>
      <c r="E2090" s="30"/>
      <c r="F2090" s="38" t="s">
        <v>418</v>
      </c>
      <c r="G2090" s="28" t="str">
        <f>IF(ISNUMBER(F2090),E2090*F2090,"")</f>
        <v/>
      </c>
      <c r="H2090" s="32"/>
      <c r="I2090" s="28"/>
      <c r="J2090" s="125">
        <v>0</v>
      </c>
    </row>
    <row r="2091" spans="1:10" ht="26.25" hidden="1" thickBot="1" x14ac:dyDescent="0.3">
      <c r="A2091" s="235"/>
      <c r="B2091" s="238"/>
      <c r="C2091" s="155" t="s">
        <v>824</v>
      </c>
      <c r="D2091" s="155" t="s">
        <v>587</v>
      </c>
      <c r="E2091" s="34">
        <v>0.2</v>
      </c>
      <c r="F2091" s="28">
        <v>18.6295</v>
      </c>
      <c r="G2091" s="31">
        <f>IF(ISNUMBER(F2091),E2091*F2091,"")</f>
        <v>3.7259000000000002</v>
      </c>
      <c r="H2091" s="35">
        <f>SUM(G2091:G2093)</f>
        <v>8.7134</v>
      </c>
      <c r="I2091" s="36"/>
      <c r="J2091" s="125">
        <v>0</v>
      </c>
    </row>
    <row r="2092" spans="1:10" ht="26.25" hidden="1" thickBot="1" x14ac:dyDescent="0.3">
      <c r="A2092" s="235"/>
      <c r="B2092" s="238"/>
      <c r="C2092" s="155" t="s">
        <v>825</v>
      </c>
      <c r="D2092" s="155" t="s">
        <v>587</v>
      </c>
      <c r="E2092" s="34">
        <v>0.2</v>
      </c>
      <c r="F2092" s="28">
        <v>24.9375</v>
      </c>
      <c r="G2092" s="31">
        <f>IF(ISNUMBER(F2092),E2092*F2092,"")</f>
        <v>4.9875000000000007</v>
      </c>
      <c r="H2092" s="32"/>
      <c r="I2092" s="28"/>
      <c r="J2092" s="125">
        <v>0</v>
      </c>
    </row>
    <row r="2093" spans="1:10" ht="15.75" hidden="1" thickBot="1" x14ac:dyDescent="0.3">
      <c r="A2093" s="235"/>
      <c r="B2093" s="238"/>
      <c r="C2093" s="155" t="s">
        <v>552</v>
      </c>
      <c r="D2093" s="42" t="s">
        <v>70</v>
      </c>
      <c r="E2093" s="34">
        <v>1.05</v>
      </c>
      <c r="F2093" s="31" t="s">
        <v>418</v>
      </c>
      <c r="G2093" s="31" t="str">
        <f>IF(ISNUMBER(F2093),E2093*F2093,"")</f>
        <v/>
      </c>
      <c r="H2093" s="32"/>
      <c r="I2093" s="28"/>
      <c r="J2093" s="125">
        <v>0</v>
      </c>
    </row>
    <row r="2094" spans="1:10" ht="15.75" hidden="1" thickBot="1" x14ac:dyDescent="0.3">
      <c r="A2094" s="236"/>
      <c r="B2094" s="239"/>
      <c r="C2094" s="155"/>
      <c r="D2094" s="33"/>
      <c r="E2094" s="34"/>
      <c r="F2094" s="28" t="s">
        <v>418</v>
      </c>
      <c r="G2094" s="28" t="str">
        <f>IF(ISNUMBER(F2094),E2094*F2094,"")</f>
        <v/>
      </c>
      <c r="H2094" s="32"/>
      <c r="I2094" s="28"/>
      <c r="J2094" s="125">
        <v>0</v>
      </c>
    </row>
    <row r="2095" spans="1:10" ht="15.75" hidden="1" thickBot="1" x14ac:dyDescent="0.3">
      <c r="A2095" s="234" t="s">
        <v>553</v>
      </c>
      <c r="B2095" s="237" t="s">
        <v>1503</v>
      </c>
      <c r="C2095" s="160"/>
      <c r="D2095" s="23" t="s">
        <v>69</v>
      </c>
      <c r="E2095" s="24"/>
      <c r="F2095" s="37" t="s">
        <v>418</v>
      </c>
      <c r="G2095" s="25" t="str">
        <f>IF(ISNUMBER(F2095),E2095*F2095,"")</f>
        <v/>
      </c>
      <c r="H2095" s="26"/>
      <c r="I2095" s="27"/>
      <c r="J2095" s="125">
        <v>0</v>
      </c>
    </row>
    <row r="2096" spans="1:10" ht="15.75" hidden="1" thickBot="1" x14ac:dyDescent="0.3">
      <c r="A2096" s="235"/>
      <c r="B2096" s="238"/>
      <c r="C2096" s="151"/>
      <c r="D2096" s="29"/>
      <c r="E2096" s="30"/>
      <c r="F2096" s="38" t="s">
        <v>418</v>
      </c>
      <c r="G2096" s="28" t="str">
        <f>IF(ISNUMBER(F2096),E2096*F2096,"")</f>
        <v/>
      </c>
      <c r="H2096" s="32"/>
      <c r="I2096" s="28"/>
      <c r="J2096" s="125">
        <v>0</v>
      </c>
    </row>
    <row r="2097" spans="1:10" ht="26.25" hidden="1" thickBot="1" x14ac:dyDescent="0.3">
      <c r="A2097" s="235"/>
      <c r="B2097" s="238"/>
      <c r="C2097" s="155" t="s">
        <v>825</v>
      </c>
      <c r="D2097" s="155" t="s">
        <v>587</v>
      </c>
      <c r="E2097" s="34">
        <v>0.29199999999999998</v>
      </c>
      <c r="F2097" s="28">
        <v>24.9375</v>
      </c>
      <c r="G2097" s="28">
        <f>IF(ISNUMBER(F2097),E2097*F2097,"")</f>
        <v>7.2817499999999997</v>
      </c>
      <c r="H2097" s="35">
        <f>SUM(G2097:G2099)</f>
        <v>108.722047</v>
      </c>
      <c r="I2097" s="36"/>
      <c r="J2097" s="125">
        <v>0</v>
      </c>
    </row>
    <row r="2098" spans="1:10" ht="26.25" hidden="1" thickBot="1" x14ac:dyDescent="0.3">
      <c r="A2098" s="235"/>
      <c r="B2098" s="238"/>
      <c r="C2098" s="155" t="s">
        <v>824</v>
      </c>
      <c r="D2098" s="155" t="s">
        <v>587</v>
      </c>
      <c r="E2098" s="34">
        <v>0.29199999999999998</v>
      </c>
      <c r="F2098" s="28">
        <v>18.6295</v>
      </c>
      <c r="G2098" s="28">
        <f>IF(ISNUMBER(F2098),E2098*F2098,"")</f>
        <v>5.4398140000000001</v>
      </c>
      <c r="H2098" s="32"/>
      <c r="I2098" s="28"/>
      <c r="J2098" s="125">
        <v>0</v>
      </c>
    </row>
    <row r="2099" spans="1:10" ht="26.25" hidden="1" thickBot="1" x14ac:dyDescent="0.3">
      <c r="A2099" s="235"/>
      <c r="B2099" s="238"/>
      <c r="C2099" s="155" t="s">
        <v>554</v>
      </c>
      <c r="D2099" s="155" t="s">
        <v>385</v>
      </c>
      <c r="E2099" s="34">
        <v>1.0389999999999999</v>
      </c>
      <c r="F2099" s="31">
        <v>92.397000000000006</v>
      </c>
      <c r="G2099" s="28">
        <f>IF(ISNUMBER(F2099),E2099*F2099,"")</f>
        <v>96.000483000000003</v>
      </c>
      <c r="H2099" s="32"/>
      <c r="I2099" s="28"/>
      <c r="J2099" s="125">
        <v>0</v>
      </c>
    </row>
    <row r="2100" spans="1:10" ht="15.75" hidden="1" thickBot="1" x14ac:dyDescent="0.3">
      <c r="A2100" s="236"/>
      <c r="B2100" s="239"/>
      <c r="C2100" s="155"/>
      <c r="D2100" s="33"/>
      <c r="E2100" s="34"/>
      <c r="F2100" s="28" t="s">
        <v>418</v>
      </c>
      <c r="G2100" s="28" t="str">
        <f>IF(ISNUMBER(F2100),E2100*F2100,"")</f>
        <v/>
      </c>
      <c r="H2100" s="32"/>
      <c r="I2100" s="28"/>
      <c r="J2100" s="125">
        <v>0</v>
      </c>
    </row>
    <row r="2101" spans="1:10" ht="15.75" hidden="1" thickBot="1" x14ac:dyDescent="0.3">
      <c r="A2101" s="234" t="s">
        <v>555</v>
      </c>
      <c r="B2101" s="237" t="s">
        <v>1504</v>
      </c>
      <c r="C2101" s="160"/>
      <c r="D2101" s="23" t="s">
        <v>69</v>
      </c>
      <c r="E2101" s="24"/>
      <c r="F2101" s="37" t="s">
        <v>418</v>
      </c>
      <c r="G2101" s="25" t="str">
        <f>IF(ISNUMBER(F2101),E2101*F2101,"")</f>
        <v/>
      </c>
      <c r="H2101" s="26"/>
      <c r="I2101" s="27"/>
      <c r="J2101" s="125">
        <v>0</v>
      </c>
    </row>
    <row r="2102" spans="1:10" ht="15.75" hidden="1" thickBot="1" x14ac:dyDescent="0.3">
      <c r="A2102" s="235"/>
      <c r="B2102" s="238"/>
      <c r="C2102" s="151"/>
      <c r="D2102" s="29"/>
      <c r="E2102" s="30"/>
      <c r="F2102" s="38" t="s">
        <v>418</v>
      </c>
      <c r="G2102" s="28" t="str">
        <f>IF(ISNUMBER(F2102),E2102*F2102,"")</f>
        <v/>
      </c>
      <c r="H2102" s="32"/>
      <c r="I2102" s="28"/>
      <c r="J2102" s="125">
        <v>0</v>
      </c>
    </row>
    <row r="2103" spans="1:10" ht="26.25" hidden="1" thickBot="1" x14ac:dyDescent="0.3">
      <c r="A2103" s="235"/>
      <c r="B2103" s="238"/>
      <c r="C2103" s="155" t="s">
        <v>825</v>
      </c>
      <c r="D2103" s="155" t="s">
        <v>587</v>
      </c>
      <c r="E2103" s="34">
        <v>0.27500000000000002</v>
      </c>
      <c r="F2103" s="28">
        <v>24.9375</v>
      </c>
      <c r="G2103" s="28">
        <f>IF(ISNUMBER(F2103),E2103*F2103,"")</f>
        <v>6.8578125000000005</v>
      </c>
      <c r="H2103" s="35">
        <f>SUM(G2103:G2105)</f>
        <v>100.07513749999998</v>
      </c>
      <c r="I2103" s="36"/>
      <c r="J2103" s="125">
        <v>0</v>
      </c>
    </row>
    <row r="2104" spans="1:10" ht="26.25" hidden="1" thickBot="1" x14ac:dyDescent="0.3">
      <c r="A2104" s="235"/>
      <c r="B2104" s="238"/>
      <c r="C2104" s="155" t="s">
        <v>824</v>
      </c>
      <c r="D2104" s="155" t="s">
        <v>587</v>
      </c>
      <c r="E2104" s="34">
        <v>0.27500000000000002</v>
      </c>
      <c r="F2104" s="28">
        <v>18.6295</v>
      </c>
      <c r="G2104" s="28">
        <f>IF(ISNUMBER(F2104),E2104*F2104,"")</f>
        <v>5.1231125000000004</v>
      </c>
      <c r="H2104" s="32"/>
      <c r="I2104" s="28"/>
      <c r="J2104" s="125">
        <v>0</v>
      </c>
    </row>
    <row r="2105" spans="1:10" ht="26.25" hidden="1" thickBot="1" x14ac:dyDescent="0.3">
      <c r="A2105" s="235"/>
      <c r="B2105" s="238"/>
      <c r="C2105" s="155" t="s">
        <v>10397</v>
      </c>
      <c r="D2105" s="155" t="s">
        <v>385</v>
      </c>
      <c r="E2105" s="34">
        <v>1.0389999999999999</v>
      </c>
      <c r="F2105" s="28">
        <v>84.787499999999994</v>
      </c>
      <c r="G2105" s="28">
        <f>IF(ISNUMBER(F2105),E2105*F2105,"")</f>
        <v>88.094212499999983</v>
      </c>
      <c r="H2105" s="32"/>
      <c r="I2105" s="28"/>
      <c r="J2105" s="125">
        <v>0</v>
      </c>
    </row>
    <row r="2106" spans="1:10" ht="15.75" hidden="1" thickBot="1" x14ac:dyDescent="0.3">
      <c r="A2106" s="236"/>
      <c r="B2106" s="239"/>
      <c r="C2106" s="155"/>
      <c r="D2106" s="33"/>
      <c r="E2106" s="34"/>
      <c r="F2106" s="28" t="s">
        <v>418</v>
      </c>
      <c r="G2106" s="28" t="str">
        <f>IF(ISNUMBER(F2106),E2106*F2106,"")</f>
        <v/>
      </c>
      <c r="H2106" s="32"/>
      <c r="I2106" s="28"/>
      <c r="J2106" s="125">
        <v>0</v>
      </c>
    </row>
    <row r="2107" spans="1:10" ht="15.75" hidden="1" thickBot="1" x14ac:dyDescent="0.3">
      <c r="A2107" s="234" t="s">
        <v>556</v>
      </c>
      <c r="B2107" s="237" t="s">
        <v>1505</v>
      </c>
      <c r="C2107" s="160"/>
      <c r="D2107" s="23" t="s">
        <v>69</v>
      </c>
      <c r="E2107" s="24"/>
      <c r="F2107" s="37" t="s">
        <v>418</v>
      </c>
      <c r="G2107" s="25" t="str">
        <f>IF(ISNUMBER(F2107),E2107*F2107,"")</f>
        <v/>
      </c>
      <c r="H2107" s="26"/>
      <c r="I2107" s="27"/>
      <c r="J2107" s="125">
        <v>0</v>
      </c>
    </row>
    <row r="2108" spans="1:10" ht="15.75" hidden="1" thickBot="1" x14ac:dyDescent="0.3">
      <c r="A2108" s="235"/>
      <c r="B2108" s="238"/>
      <c r="C2108" s="151"/>
      <c r="D2108" s="29"/>
      <c r="E2108" s="30"/>
      <c r="F2108" s="38" t="s">
        <v>418</v>
      </c>
      <c r="G2108" s="28" t="str">
        <f>IF(ISNUMBER(F2108),E2108*F2108,"")</f>
        <v/>
      </c>
      <c r="H2108" s="32"/>
      <c r="I2108" s="28"/>
      <c r="J2108" s="125">
        <v>0</v>
      </c>
    </row>
    <row r="2109" spans="1:10" ht="26.25" hidden="1" thickBot="1" x14ac:dyDescent="0.3">
      <c r="A2109" s="235"/>
      <c r="B2109" s="238"/>
      <c r="C2109" s="155" t="s">
        <v>825</v>
      </c>
      <c r="D2109" s="155" t="s">
        <v>587</v>
      </c>
      <c r="E2109" s="34">
        <v>0.29699999999999999</v>
      </c>
      <c r="F2109" s="28">
        <v>24.9375</v>
      </c>
      <c r="G2109" s="31">
        <f>IF(ISNUMBER(F2109),E2109*F2109,"")</f>
        <v>7.4064375</v>
      </c>
      <c r="H2109" s="35">
        <f>SUM(G2109:G2111)</f>
        <v>78.676928999999973</v>
      </c>
      <c r="I2109" s="36"/>
      <c r="J2109" s="125">
        <v>0</v>
      </c>
    </row>
    <row r="2110" spans="1:10" ht="26.25" hidden="1" thickBot="1" x14ac:dyDescent="0.3">
      <c r="A2110" s="235"/>
      <c r="B2110" s="238"/>
      <c r="C2110" s="155" t="s">
        <v>824</v>
      </c>
      <c r="D2110" s="155" t="s">
        <v>587</v>
      </c>
      <c r="E2110" s="34">
        <v>0.29699999999999999</v>
      </c>
      <c r="F2110" s="28">
        <v>18.6295</v>
      </c>
      <c r="G2110" s="31">
        <f>IF(ISNUMBER(F2110),E2110*F2110,"")</f>
        <v>5.5329614999999999</v>
      </c>
      <c r="H2110" s="32"/>
      <c r="I2110" s="28"/>
      <c r="J2110" s="125">
        <v>0</v>
      </c>
    </row>
    <row r="2111" spans="1:10" ht="26.25" hidden="1" thickBot="1" x14ac:dyDescent="0.3">
      <c r="A2111" s="235"/>
      <c r="B2111" s="238"/>
      <c r="C2111" s="155" t="s">
        <v>10398</v>
      </c>
      <c r="D2111" s="155" t="s">
        <v>385</v>
      </c>
      <c r="E2111" s="34">
        <v>1.0389999999999999</v>
      </c>
      <c r="F2111" s="28">
        <v>63.269999999999989</v>
      </c>
      <c r="G2111" s="31">
        <f>IF(ISNUMBER(F2111),E2111*F2111,"")</f>
        <v>65.737529999999978</v>
      </c>
      <c r="H2111" s="32"/>
      <c r="I2111" s="28"/>
      <c r="J2111" s="125">
        <v>0</v>
      </c>
    </row>
    <row r="2112" spans="1:10" ht="15.75" hidden="1" thickBot="1" x14ac:dyDescent="0.3">
      <c r="A2112" s="236"/>
      <c r="B2112" s="239"/>
      <c r="C2112" s="155"/>
      <c r="D2112" s="33"/>
      <c r="E2112" s="34"/>
      <c r="F2112" s="28" t="s">
        <v>418</v>
      </c>
      <c r="G2112" s="28" t="str">
        <f>IF(ISNUMBER(F2112),E2112*F2112,"")</f>
        <v/>
      </c>
      <c r="H2112" s="32"/>
      <c r="I2112" s="28"/>
      <c r="J2112" s="125">
        <v>0</v>
      </c>
    </row>
    <row r="2113" spans="1:10" ht="15.75" hidden="1" thickBot="1" x14ac:dyDescent="0.3">
      <c r="A2113" s="234" t="s">
        <v>557</v>
      </c>
      <c r="B2113" s="237" t="s">
        <v>1506</v>
      </c>
      <c r="C2113" s="160"/>
      <c r="D2113" s="23" t="s">
        <v>69</v>
      </c>
      <c r="E2113" s="24"/>
      <c r="F2113" s="37" t="s">
        <v>418</v>
      </c>
      <c r="G2113" s="25" t="str">
        <f>IF(ISNUMBER(F2113),E2113*F2113,"")</f>
        <v/>
      </c>
      <c r="H2113" s="26"/>
      <c r="I2113" s="27"/>
      <c r="J2113" s="125">
        <v>0</v>
      </c>
    </row>
    <row r="2114" spans="1:10" ht="15.75" hidden="1" thickBot="1" x14ac:dyDescent="0.3">
      <c r="A2114" s="235"/>
      <c r="B2114" s="238"/>
      <c r="C2114" s="151"/>
      <c r="D2114" s="29"/>
      <c r="E2114" s="30"/>
      <c r="F2114" s="38" t="s">
        <v>418</v>
      </c>
      <c r="G2114" s="28" t="str">
        <f>IF(ISNUMBER(F2114),E2114*F2114,"")</f>
        <v/>
      </c>
      <c r="H2114" s="32"/>
      <c r="I2114" s="28"/>
      <c r="J2114" s="125">
        <v>0</v>
      </c>
    </row>
    <row r="2115" spans="1:10" ht="26.25" hidden="1" thickBot="1" x14ac:dyDescent="0.3">
      <c r="A2115" s="235"/>
      <c r="B2115" s="238"/>
      <c r="C2115" s="155" t="s">
        <v>825</v>
      </c>
      <c r="D2115" s="155" t="s">
        <v>587</v>
      </c>
      <c r="E2115" s="34">
        <v>0.29699999999999999</v>
      </c>
      <c r="F2115" s="28">
        <v>24.9375</v>
      </c>
      <c r="G2115" s="28">
        <f>IF(ISNUMBER(F2115),E2115*F2115,"")</f>
        <v>7.4064375</v>
      </c>
      <c r="H2115" s="35">
        <f>SUM(G2115:G2117)</f>
        <v>71.353017999999992</v>
      </c>
      <c r="I2115" s="36"/>
      <c r="J2115" s="125">
        <v>0</v>
      </c>
    </row>
    <row r="2116" spans="1:10" ht="26.25" hidden="1" thickBot="1" x14ac:dyDescent="0.3">
      <c r="A2116" s="235"/>
      <c r="B2116" s="238"/>
      <c r="C2116" s="155" t="s">
        <v>824</v>
      </c>
      <c r="D2116" s="155" t="s">
        <v>587</v>
      </c>
      <c r="E2116" s="34">
        <v>0.29699999999999999</v>
      </c>
      <c r="F2116" s="28">
        <v>18.6295</v>
      </c>
      <c r="G2116" s="28">
        <f>IF(ISNUMBER(F2116),E2116*F2116,"")</f>
        <v>5.5329614999999999</v>
      </c>
      <c r="H2116" s="32"/>
      <c r="I2116" s="28"/>
      <c r="J2116" s="125">
        <v>0</v>
      </c>
    </row>
    <row r="2117" spans="1:10" ht="26.25" hidden="1" thickBot="1" x14ac:dyDescent="0.3">
      <c r="A2117" s="235"/>
      <c r="B2117" s="238"/>
      <c r="C2117" s="155" t="s">
        <v>558</v>
      </c>
      <c r="D2117" s="155" t="s">
        <v>385</v>
      </c>
      <c r="E2117" s="34">
        <v>1.0389999999999999</v>
      </c>
      <c r="F2117" s="31">
        <v>56.220999999999997</v>
      </c>
      <c r="G2117" s="28">
        <f>IF(ISNUMBER(F2117),E2117*F2117,"")</f>
        <v>58.41361899999999</v>
      </c>
      <c r="H2117" s="32"/>
      <c r="I2117" s="28"/>
      <c r="J2117" s="125">
        <v>0</v>
      </c>
    </row>
    <row r="2118" spans="1:10" ht="15.75" hidden="1" thickBot="1" x14ac:dyDescent="0.3">
      <c r="A2118" s="236"/>
      <c r="B2118" s="239"/>
      <c r="C2118" s="155"/>
      <c r="D2118" s="33"/>
      <c r="E2118" s="34"/>
      <c r="F2118" s="28" t="s">
        <v>418</v>
      </c>
      <c r="G2118" s="28" t="str">
        <f>IF(ISNUMBER(F2118),E2118*F2118,"")</f>
        <v/>
      </c>
      <c r="H2118" s="32"/>
      <c r="I2118" s="28"/>
      <c r="J2118" s="125">
        <v>0</v>
      </c>
    </row>
    <row r="2119" spans="1:10" ht="15.75" hidden="1" thickBot="1" x14ac:dyDescent="0.3">
      <c r="A2119" s="234" t="s">
        <v>559</v>
      </c>
      <c r="B2119" s="237" t="s">
        <v>1507</v>
      </c>
      <c r="C2119" s="160"/>
      <c r="D2119" s="23" t="s">
        <v>69</v>
      </c>
      <c r="E2119" s="24"/>
      <c r="F2119" s="37" t="s">
        <v>418</v>
      </c>
      <c r="G2119" s="25" t="str">
        <f>IF(ISNUMBER(F2119),E2119*F2119,"")</f>
        <v/>
      </c>
      <c r="H2119" s="26"/>
      <c r="I2119" s="27"/>
      <c r="J2119" s="125">
        <v>0</v>
      </c>
    </row>
    <row r="2120" spans="1:10" ht="15.75" hidden="1" thickBot="1" x14ac:dyDescent="0.3">
      <c r="A2120" s="235"/>
      <c r="B2120" s="238"/>
      <c r="C2120" s="151"/>
      <c r="D2120" s="29"/>
      <c r="E2120" s="30"/>
      <c r="F2120" s="38" t="s">
        <v>418</v>
      </c>
      <c r="G2120" s="28" t="str">
        <f>IF(ISNUMBER(F2120),E2120*F2120,"")</f>
        <v/>
      </c>
      <c r="H2120" s="32"/>
      <c r="I2120" s="28"/>
      <c r="J2120" s="125">
        <v>0</v>
      </c>
    </row>
    <row r="2121" spans="1:10" ht="26.25" hidden="1" thickBot="1" x14ac:dyDescent="0.3">
      <c r="A2121" s="235"/>
      <c r="B2121" s="238"/>
      <c r="C2121" s="155" t="s">
        <v>28063</v>
      </c>
      <c r="D2121" s="155" t="s">
        <v>385</v>
      </c>
      <c r="E2121" s="34">
        <v>1.0210999999999999</v>
      </c>
      <c r="F2121" s="31">
        <v>35.434999999999995</v>
      </c>
      <c r="G2121" s="31">
        <f>IF(ISNUMBER(F2121),E2121*F2121,"")</f>
        <v>36.182678499999994</v>
      </c>
      <c r="H2121" s="35">
        <f>SUM(G2121:G2123)</f>
        <v>38.042989399999989</v>
      </c>
      <c r="I2121" s="36"/>
      <c r="J2121" s="125">
        <v>0</v>
      </c>
    </row>
    <row r="2122" spans="1:10" ht="26.25" hidden="1" thickBot="1" x14ac:dyDescent="0.3">
      <c r="A2122" s="235"/>
      <c r="B2122" s="238"/>
      <c r="C2122" s="155" t="s">
        <v>824</v>
      </c>
      <c r="D2122" s="155" t="s">
        <v>587</v>
      </c>
      <c r="E2122" s="34">
        <f>0.061*0.7</f>
        <v>4.2699999999999995E-2</v>
      </c>
      <c r="F2122" s="28">
        <v>18.6295</v>
      </c>
      <c r="G2122" s="31">
        <f>IF(ISNUMBER(F2122),E2122*F2122,"")</f>
        <v>0.79547964999999987</v>
      </c>
      <c r="H2122" s="32"/>
      <c r="I2122" s="28"/>
      <c r="J2122" s="125">
        <v>0</v>
      </c>
    </row>
    <row r="2123" spans="1:10" ht="26.25" hidden="1" thickBot="1" x14ac:dyDescent="0.3">
      <c r="A2123" s="235"/>
      <c r="B2123" s="238"/>
      <c r="C2123" s="155" t="s">
        <v>825</v>
      </c>
      <c r="D2123" s="155" t="s">
        <v>587</v>
      </c>
      <c r="E2123" s="34">
        <f>0.061*0.7</f>
        <v>4.2699999999999995E-2</v>
      </c>
      <c r="F2123" s="28">
        <v>24.9375</v>
      </c>
      <c r="G2123" s="31">
        <f>IF(ISNUMBER(F2123),E2123*F2123,"")</f>
        <v>1.0648312499999999</v>
      </c>
      <c r="H2123" s="32"/>
      <c r="I2123" s="28"/>
      <c r="J2123" s="125">
        <v>0</v>
      </c>
    </row>
    <row r="2124" spans="1:10" ht="15.75" hidden="1" thickBot="1" x14ac:dyDescent="0.3">
      <c r="A2124" s="235"/>
      <c r="B2124" s="238"/>
      <c r="C2124" s="155"/>
      <c r="D2124" s="42"/>
      <c r="E2124" s="34"/>
      <c r="F2124" s="28" t="s">
        <v>418</v>
      </c>
      <c r="G2124" s="31" t="str">
        <f>IF(ISNUMBER(F2124),E2124*F2124,"")</f>
        <v/>
      </c>
      <c r="H2124" s="32"/>
      <c r="I2124" s="28"/>
      <c r="J2124" s="125">
        <v>0</v>
      </c>
    </row>
    <row r="2125" spans="1:10" ht="39" hidden="1" thickBot="1" x14ac:dyDescent="0.3">
      <c r="A2125" s="235"/>
      <c r="B2125" s="238"/>
      <c r="C2125" s="47" t="s">
        <v>530</v>
      </c>
      <c r="D2125" s="42"/>
      <c r="E2125" s="34"/>
      <c r="F2125" s="28" t="s">
        <v>418</v>
      </c>
      <c r="G2125" s="31" t="str">
        <f>IF(ISNUMBER(F2125),E2125*F2125,"")</f>
        <v/>
      </c>
      <c r="H2125" s="32"/>
      <c r="I2125" s="28"/>
      <c r="J2125" s="125">
        <v>0</v>
      </c>
    </row>
    <row r="2126" spans="1:10" ht="15.75" hidden="1" thickBot="1" x14ac:dyDescent="0.3">
      <c r="A2126" s="236"/>
      <c r="B2126" s="239"/>
      <c r="C2126" s="155"/>
      <c r="D2126" s="33"/>
      <c r="E2126" s="34"/>
      <c r="F2126" s="28" t="s">
        <v>418</v>
      </c>
      <c r="G2126" s="28" t="str">
        <f>IF(ISNUMBER(F2126),E2126*F2126,"")</f>
        <v/>
      </c>
      <c r="H2126" s="32"/>
      <c r="I2126" s="28"/>
      <c r="J2126" s="125">
        <v>0</v>
      </c>
    </row>
    <row r="2127" spans="1:10" ht="15.75" hidden="1" thickBot="1" x14ac:dyDescent="0.3">
      <c r="A2127" s="234" t="s">
        <v>560</v>
      </c>
      <c r="B2127" s="237" t="s">
        <v>1508</v>
      </c>
      <c r="C2127" s="160"/>
      <c r="D2127" s="23" t="s">
        <v>69</v>
      </c>
      <c r="E2127" s="24"/>
      <c r="F2127" s="37" t="s">
        <v>418</v>
      </c>
      <c r="G2127" s="25" t="str">
        <f>IF(ISNUMBER(F2127),E2127*F2127,"")</f>
        <v/>
      </c>
      <c r="H2127" s="26"/>
      <c r="I2127" s="27"/>
      <c r="J2127" s="125">
        <v>0</v>
      </c>
    </row>
    <row r="2128" spans="1:10" ht="15.75" hidden="1" thickBot="1" x14ac:dyDescent="0.3">
      <c r="A2128" s="235"/>
      <c r="B2128" s="238"/>
      <c r="C2128" s="151"/>
      <c r="D2128" s="29"/>
      <c r="E2128" s="30"/>
      <c r="F2128" s="38" t="s">
        <v>418</v>
      </c>
      <c r="G2128" s="28" t="str">
        <f>IF(ISNUMBER(F2128),E2128*F2128,"")</f>
        <v/>
      </c>
      <c r="H2128" s="32"/>
      <c r="I2128" s="28"/>
      <c r="J2128" s="125">
        <v>0</v>
      </c>
    </row>
    <row r="2129" spans="1:10" ht="26.25" hidden="1" thickBot="1" x14ac:dyDescent="0.3">
      <c r="A2129" s="235"/>
      <c r="B2129" s="238"/>
      <c r="C2129" s="155" t="s">
        <v>28064</v>
      </c>
      <c r="D2129" s="155" t="s">
        <v>385</v>
      </c>
      <c r="E2129" s="34">
        <v>1.0210999999999999</v>
      </c>
      <c r="F2129" s="31">
        <v>16.985999999999997</v>
      </c>
      <c r="G2129" s="31">
        <f>IF(ISNUMBER(F2129),E2129*F2129,"")</f>
        <v>17.344404599999994</v>
      </c>
      <c r="H2129" s="35">
        <f>SUM(G2129:G2131)</f>
        <v>18.930243399999991</v>
      </c>
      <c r="I2129" s="36"/>
      <c r="J2129" s="125">
        <v>0</v>
      </c>
    </row>
    <row r="2130" spans="1:10" ht="26.25" hidden="1" thickBot="1" x14ac:dyDescent="0.3">
      <c r="A2130" s="235"/>
      <c r="B2130" s="238"/>
      <c r="C2130" s="155" t="s">
        <v>824</v>
      </c>
      <c r="D2130" s="155" t="s">
        <v>587</v>
      </c>
      <c r="E2130" s="34">
        <f>0.052*0.7</f>
        <v>3.6399999999999995E-2</v>
      </c>
      <c r="F2130" s="28">
        <v>18.6295</v>
      </c>
      <c r="G2130" s="31">
        <f>IF(ISNUMBER(F2130),E2130*F2130,"")</f>
        <v>0.67811379999999988</v>
      </c>
      <c r="H2130" s="32"/>
      <c r="I2130" s="28"/>
      <c r="J2130" s="125">
        <v>0</v>
      </c>
    </row>
    <row r="2131" spans="1:10" ht="26.25" hidden="1" thickBot="1" x14ac:dyDescent="0.3">
      <c r="A2131" s="235"/>
      <c r="B2131" s="238"/>
      <c r="C2131" s="155" t="s">
        <v>825</v>
      </c>
      <c r="D2131" s="155" t="s">
        <v>587</v>
      </c>
      <c r="E2131" s="34">
        <f>0.052*0.7</f>
        <v>3.6399999999999995E-2</v>
      </c>
      <c r="F2131" s="28">
        <v>24.9375</v>
      </c>
      <c r="G2131" s="31">
        <f>IF(ISNUMBER(F2131),E2131*F2131,"")</f>
        <v>0.90772499999999989</v>
      </c>
      <c r="H2131" s="32"/>
      <c r="I2131" s="28"/>
      <c r="J2131" s="125">
        <v>0</v>
      </c>
    </row>
    <row r="2132" spans="1:10" ht="15.75" hidden="1" thickBot="1" x14ac:dyDescent="0.3">
      <c r="A2132" s="235"/>
      <c r="B2132" s="238"/>
      <c r="C2132" s="155"/>
      <c r="D2132" s="42"/>
      <c r="E2132" s="34"/>
      <c r="F2132" s="31" t="s">
        <v>418</v>
      </c>
      <c r="G2132" s="31" t="str">
        <f>IF(ISNUMBER(F2132),E2132*F2132,"")</f>
        <v/>
      </c>
      <c r="H2132" s="32"/>
      <c r="I2132" s="28"/>
      <c r="J2132" s="125">
        <v>0</v>
      </c>
    </row>
    <row r="2133" spans="1:10" ht="39" hidden="1" thickBot="1" x14ac:dyDescent="0.3">
      <c r="A2133" s="235"/>
      <c r="B2133" s="238"/>
      <c r="C2133" s="47" t="s">
        <v>530</v>
      </c>
      <c r="D2133" s="42"/>
      <c r="E2133" s="34"/>
      <c r="F2133" s="31" t="s">
        <v>418</v>
      </c>
      <c r="G2133" s="31" t="str">
        <f>IF(ISNUMBER(F2133),E2133*F2133,"")</f>
        <v/>
      </c>
      <c r="H2133" s="32"/>
      <c r="I2133" s="28"/>
      <c r="J2133" s="125">
        <v>0</v>
      </c>
    </row>
    <row r="2134" spans="1:10" ht="15.75" hidden="1" thickBot="1" x14ac:dyDescent="0.3">
      <c r="A2134" s="236"/>
      <c r="B2134" s="239"/>
      <c r="C2134" s="155"/>
      <c r="D2134" s="33"/>
      <c r="E2134" s="34"/>
      <c r="F2134" s="28" t="s">
        <v>418</v>
      </c>
      <c r="G2134" s="28" t="str">
        <f>IF(ISNUMBER(F2134),E2134*F2134,"")</f>
        <v/>
      </c>
      <c r="H2134" s="32"/>
      <c r="I2134" s="28"/>
      <c r="J2134" s="125">
        <v>0</v>
      </c>
    </row>
    <row r="2135" spans="1:10" ht="15.75" hidden="1" thickBot="1" x14ac:dyDescent="0.3">
      <c r="A2135" s="234" t="s">
        <v>561</v>
      </c>
      <c r="B2135" s="237" t="s">
        <v>1509</v>
      </c>
      <c r="C2135" s="160"/>
      <c r="D2135" s="23" t="s">
        <v>69</v>
      </c>
      <c r="E2135" s="24"/>
      <c r="F2135" s="37" t="s">
        <v>418</v>
      </c>
      <c r="G2135" s="25" t="str">
        <f>IF(ISNUMBER(F2135),E2135*F2135,"")</f>
        <v/>
      </c>
      <c r="H2135" s="26"/>
      <c r="I2135" s="27"/>
      <c r="J2135" s="125">
        <v>0</v>
      </c>
    </row>
    <row r="2136" spans="1:10" ht="15.75" hidden="1" thickBot="1" x14ac:dyDescent="0.3">
      <c r="A2136" s="235"/>
      <c r="B2136" s="238"/>
      <c r="C2136" s="151"/>
      <c r="D2136" s="29"/>
      <c r="E2136" s="30"/>
      <c r="F2136" s="38" t="s">
        <v>418</v>
      </c>
      <c r="G2136" s="28" t="str">
        <f>IF(ISNUMBER(F2136),E2136*F2136,"")</f>
        <v/>
      </c>
      <c r="H2136" s="32"/>
      <c r="I2136" s="28"/>
      <c r="J2136" s="125">
        <v>0</v>
      </c>
    </row>
    <row r="2137" spans="1:10" ht="26.25" hidden="1" thickBot="1" x14ac:dyDescent="0.3">
      <c r="A2137" s="235"/>
      <c r="B2137" s="238"/>
      <c r="C2137" s="155" t="s">
        <v>28066</v>
      </c>
      <c r="D2137" s="155" t="s">
        <v>385</v>
      </c>
      <c r="E2137" s="34">
        <v>1.0210999999999999</v>
      </c>
      <c r="F2137" s="31">
        <v>53.304499999999997</v>
      </c>
      <c r="G2137" s="31">
        <f>IF(ISNUMBER(F2137),E2137*F2137,"")</f>
        <v>54.429224949999991</v>
      </c>
      <c r="H2137" s="35">
        <f>SUM(G2137:G2139)</f>
        <v>56.381026549999987</v>
      </c>
      <c r="I2137" s="36"/>
      <c r="J2137" s="125">
        <v>0</v>
      </c>
    </row>
    <row r="2138" spans="1:10" ht="26.25" hidden="1" thickBot="1" x14ac:dyDescent="0.3">
      <c r="A2138" s="235"/>
      <c r="B2138" s="238"/>
      <c r="C2138" s="155" t="s">
        <v>824</v>
      </c>
      <c r="D2138" s="155" t="s">
        <v>587</v>
      </c>
      <c r="E2138" s="34">
        <f>0.064*0.7</f>
        <v>4.48E-2</v>
      </c>
      <c r="F2138" s="28">
        <v>18.6295</v>
      </c>
      <c r="G2138" s="31">
        <f>IF(ISNUMBER(F2138),E2138*F2138,"")</f>
        <v>0.83460160000000005</v>
      </c>
      <c r="H2138" s="32"/>
      <c r="I2138" s="28"/>
      <c r="J2138" s="125">
        <v>0</v>
      </c>
    </row>
    <row r="2139" spans="1:10" ht="26.25" hidden="1" thickBot="1" x14ac:dyDescent="0.3">
      <c r="A2139" s="235"/>
      <c r="B2139" s="238"/>
      <c r="C2139" s="155" t="s">
        <v>825</v>
      </c>
      <c r="D2139" s="155" t="s">
        <v>587</v>
      </c>
      <c r="E2139" s="34">
        <f>0.064*0.7</f>
        <v>4.48E-2</v>
      </c>
      <c r="F2139" s="28">
        <v>24.9375</v>
      </c>
      <c r="G2139" s="31">
        <f>IF(ISNUMBER(F2139),E2139*F2139,"")</f>
        <v>1.1172</v>
      </c>
      <c r="H2139" s="32"/>
      <c r="I2139" s="28"/>
      <c r="J2139" s="125">
        <v>0</v>
      </c>
    </row>
    <row r="2140" spans="1:10" ht="15.75" hidden="1" thickBot="1" x14ac:dyDescent="0.3">
      <c r="A2140" s="235"/>
      <c r="B2140" s="238"/>
      <c r="C2140" s="155"/>
      <c r="D2140" s="42"/>
      <c r="E2140" s="34"/>
      <c r="F2140" s="31" t="s">
        <v>418</v>
      </c>
      <c r="G2140" s="31" t="str">
        <f>IF(ISNUMBER(F2140),E2140*F2140,"")</f>
        <v/>
      </c>
      <c r="H2140" s="32"/>
      <c r="I2140" s="28"/>
      <c r="J2140" s="125">
        <v>0</v>
      </c>
    </row>
    <row r="2141" spans="1:10" ht="39" hidden="1" thickBot="1" x14ac:dyDescent="0.3">
      <c r="A2141" s="235"/>
      <c r="B2141" s="238"/>
      <c r="C2141" s="47" t="s">
        <v>530</v>
      </c>
      <c r="D2141" s="42"/>
      <c r="E2141" s="34"/>
      <c r="F2141" s="31" t="s">
        <v>418</v>
      </c>
      <c r="G2141" s="31" t="str">
        <f>IF(ISNUMBER(F2141),E2141*F2141,"")</f>
        <v/>
      </c>
      <c r="H2141" s="32"/>
      <c r="I2141" s="28"/>
      <c r="J2141" s="125">
        <v>0</v>
      </c>
    </row>
    <row r="2142" spans="1:10" ht="15.75" hidden="1" thickBot="1" x14ac:dyDescent="0.3">
      <c r="A2142" s="236"/>
      <c r="B2142" s="239"/>
      <c r="C2142" s="155"/>
      <c r="D2142" s="33"/>
      <c r="E2142" s="34"/>
      <c r="F2142" s="28" t="s">
        <v>418</v>
      </c>
      <c r="G2142" s="28" t="str">
        <f>IF(ISNUMBER(F2142),E2142*F2142,"")</f>
        <v/>
      </c>
      <c r="H2142" s="32"/>
      <c r="I2142" s="28"/>
      <c r="J2142" s="125">
        <v>0</v>
      </c>
    </row>
    <row r="2143" spans="1:10" ht="15.75" hidden="1" thickBot="1" x14ac:dyDescent="0.3">
      <c r="A2143" s="234" t="s">
        <v>562</v>
      </c>
      <c r="B2143" s="237" t="s">
        <v>1510</v>
      </c>
      <c r="C2143" s="160"/>
      <c r="D2143" s="23" t="s">
        <v>69</v>
      </c>
      <c r="E2143" s="24"/>
      <c r="F2143" s="37" t="s">
        <v>418</v>
      </c>
      <c r="G2143" s="25" t="str">
        <f>IF(ISNUMBER(F2143),E2143*F2143,"")</f>
        <v/>
      </c>
      <c r="H2143" s="26"/>
      <c r="I2143" s="27"/>
      <c r="J2143" s="125">
        <v>0</v>
      </c>
    </row>
    <row r="2144" spans="1:10" ht="15.75" hidden="1" thickBot="1" x14ac:dyDescent="0.3">
      <c r="A2144" s="235"/>
      <c r="B2144" s="238"/>
      <c r="C2144" s="151"/>
      <c r="D2144" s="29"/>
      <c r="E2144" s="30"/>
      <c r="F2144" s="38" t="s">
        <v>418</v>
      </c>
      <c r="G2144" s="28" t="str">
        <f>IF(ISNUMBER(F2144),E2144*F2144,"")</f>
        <v/>
      </c>
      <c r="H2144" s="32"/>
      <c r="I2144" s="28"/>
      <c r="J2144" s="125">
        <v>0</v>
      </c>
    </row>
    <row r="2145" spans="1:10" ht="26.25" hidden="1" thickBot="1" x14ac:dyDescent="0.3">
      <c r="A2145" s="235"/>
      <c r="B2145" s="238"/>
      <c r="C2145" s="155" t="s">
        <v>28067</v>
      </c>
      <c r="D2145" s="155" t="s">
        <v>385</v>
      </c>
      <c r="E2145" s="34">
        <v>1.0210999999999999</v>
      </c>
      <c r="F2145" s="31">
        <v>26.125</v>
      </c>
      <c r="G2145" s="31">
        <f>IF(ISNUMBER(F2145),E2145*F2145,"")</f>
        <v>26.676237499999996</v>
      </c>
      <c r="H2145" s="35">
        <f>SUM(G2145:G2147)</f>
        <v>28.414560799999993</v>
      </c>
      <c r="I2145" s="36"/>
      <c r="J2145" s="125">
        <v>0</v>
      </c>
    </row>
    <row r="2146" spans="1:10" ht="26.25" hidden="1" thickBot="1" x14ac:dyDescent="0.3">
      <c r="A2146" s="235"/>
      <c r="B2146" s="238"/>
      <c r="C2146" s="155" t="s">
        <v>824</v>
      </c>
      <c r="D2146" s="155" t="s">
        <v>587</v>
      </c>
      <c r="E2146" s="34">
        <f>0.057*0.7</f>
        <v>3.9899999999999998E-2</v>
      </c>
      <c r="F2146" s="28">
        <v>18.6295</v>
      </c>
      <c r="G2146" s="31">
        <f>IF(ISNUMBER(F2146),E2146*F2146,"")</f>
        <v>0.74331704999999992</v>
      </c>
      <c r="H2146" s="32"/>
      <c r="I2146" s="28"/>
      <c r="J2146" s="125">
        <v>0</v>
      </c>
    </row>
    <row r="2147" spans="1:10" ht="26.25" hidden="1" thickBot="1" x14ac:dyDescent="0.3">
      <c r="A2147" s="235"/>
      <c r="B2147" s="238"/>
      <c r="C2147" s="155" t="s">
        <v>825</v>
      </c>
      <c r="D2147" s="155" t="s">
        <v>587</v>
      </c>
      <c r="E2147" s="34">
        <f>0.057*0.7</f>
        <v>3.9899999999999998E-2</v>
      </c>
      <c r="F2147" s="28">
        <v>24.9375</v>
      </c>
      <c r="G2147" s="31">
        <f>IF(ISNUMBER(F2147),E2147*F2147,"")</f>
        <v>0.99500624999999998</v>
      </c>
      <c r="H2147" s="32"/>
      <c r="I2147" s="28"/>
      <c r="J2147" s="125">
        <v>0</v>
      </c>
    </row>
    <row r="2148" spans="1:10" ht="15.75" hidden="1" thickBot="1" x14ac:dyDescent="0.3">
      <c r="A2148" s="235"/>
      <c r="B2148" s="238"/>
      <c r="C2148" s="155"/>
      <c r="D2148" s="42"/>
      <c r="E2148" s="34"/>
      <c r="F2148" s="31" t="s">
        <v>418</v>
      </c>
      <c r="G2148" s="31" t="str">
        <f>IF(ISNUMBER(F2148),E2148*F2148,"")</f>
        <v/>
      </c>
      <c r="H2148" s="32"/>
      <c r="I2148" s="28"/>
      <c r="J2148" s="125">
        <v>0</v>
      </c>
    </row>
    <row r="2149" spans="1:10" ht="39" hidden="1" thickBot="1" x14ac:dyDescent="0.3">
      <c r="A2149" s="235"/>
      <c r="B2149" s="238"/>
      <c r="C2149" s="47" t="s">
        <v>530</v>
      </c>
      <c r="D2149" s="42"/>
      <c r="E2149" s="34"/>
      <c r="F2149" s="31" t="s">
        <v>418</v>
      </c>
      <c r="G2149" s="31" t="str">
        <f>IF(ISNUMBER(F2149),E2149*F2149,"")</f>
        <v/>
      </c>
      <c r="H2149" s="32"/>
      <c r="I2149" s="28"/>
      <c r="J2149" s="125">
        <v>0</v>
      </c>
    </row>
    <row r="2150" spans="1:10" ht="15.75" hidden="1" thickBot="1" x14ac:dyDescent="0.3">
      <c r="A2150" s="236"/>
      <c r="B2150" s="239"/>
      <c r="C2150" s="155"/>
      <c r="D2150" s="33"/>
      <c r="E2150" s="34"/>
      <c r="F2150" s="28" t="s">
        <v>418</v>
      </c>
      <c r="G2150" s="28" t="str">
        <f>IF(ISNUMBER(F2150),E2150*F2150,"")</f>
        <v/>
      </c>
      <c r="H2150" s="32"/>
      <c r="I2150" s="28"/>
      <c r="J2150" s="125">
        <v>0</v>
      </c>
    </row>
    <row r="2151" spans="1:10" ht="15.75" hidden="1" thickBot="1" x14ac:dyDescent="0.3">
      <c r="A2151" s="234" t="s">
        <v>563</v>
      </c>
      <c r="B2151" s="237" t="s">
        <v>1511</v>
      </c>
      <c r="C2151" s="160"/>
      <c r="D2151" s="23" t="s">
        <v>69</v>
      </c>
      <c r="E2151" s="24"/>
      <c r="F2151" s="37" t="s">
        <v>418</v>
      </c>
      <c r="G2151" s="25" t="str">
        <f>IF(ISNUMBER(F2151),E2151*F2151,"")</f>
        <v/>
      </c>
      <c r="H2151" s="26"/>
      <c r="I2151" s="27"/>
      <c r="J2151" s="125">
        <v>0</v>
      </c>
    </row>
    <row r="2152" spans="1:10" ht="15.75" hidden="1" thickBot="1" x14ac:dyDescent="0.3">
      <c r="A2152" s="235"/>
      <c r="B2152" s="238"/>
      <c r="C2152" s="151"/>
      <c r="D2152" s="29"/>
      <c r="E2152" s="30"/>
      <c r="F2152" s="38" t="s">
        <v>418</v>
      </c>
      <c r="G2152" s="28" t="str">
        <f>IF(ISNUMBER(F2152),E2152*F2152,"")</f>
        <v/>
      </c>
      <c r="H2152" s="32"/>
      <c r="I2152" s="28"/>
      <c r="J2152" s="125">
        <v>0</v>
      </c>
    </row>
    <row r="2153" spans="1:10" ht="26.25" hidden="1" thickBot="1" x14ac:dyDescent="0.3">
      <c r="A2153" s="235"/>
      <c r="B2153" s="238"/>
      <c r="C2153" s="155" t="s">
        <v>28071</v>
      </c>
      <c r="D2153" s="155" t="s">
        <v>385</v>
      </c>
      <c r="E2153" s="34">
        <v>1.0210999999999999</v>
      </c>
      <c r="F2153" s="31">
        <v>44.070499999999996</v>
      </c>
      <c r="G2153" s="31">
        <f>IF(ISNUMBER(F2153),E2153*F2153,"")</f>
        <v>45.000387549999992</v>
      </c>
      <c r="H2153" s="35">
        <f>SUM(G2153:G2155)</f>
        <v>46.952189149999988</v>
      </c>
      <c r="I2153" s="36"/>
      <c r="J2153" s="125">
        <v>0</v>
      </c>
    </row>
    <row r="2154" spans="1:10" ht="26.25" hidden="1" thickBot="1" x14ac:dyDescent="0.3">
      <c r="A2154" s="235"/>
      <c r="B2154" s="238"/>
      <c r="C2154" s="155" t="s">
        <v>824</v>
      </c>
      <c r="D2154" s="155" t="s">
        <v>587</v>
      </c>
      <c r="E2154" s="34">
        <f>0.064*0.7</f>
        <v>4.48E-2</v>
      </c>
      <c r="F2154" s="28">
        <v>18.6295</v>
      </c>
      <c r="G2154" s="31">
        <f>IF(ISNUMBER(F2154),E2154*F2154,"")</f>
        <v>0.83460160000000005</v>
      </c>
      <c r="H2154" s="32"/>
      <c r="I2154" s="28"/>
      <c r="J2154" s="125">
        <v>0</v>
      </c>
    </row>
    <row r="2155" spans="1:10" ht="26.25" hidden="1" thickBot="1" x14ac:dyDescent="0.3">
      <c r="A2155" s="235"/>
      <c r="B2155" s="238"/>
      <c r="C2155" s="155" t="s">
        <v>825</v>
      </c>
      <c r="D2155" s="155" t="s">
        <v>587</v>
      </c>
      <c r="E2155" s="34">
        <f>0.064*0.7</f>
        <v>4.48E-2</v>
      </c>
      <c r="F2155" s="28">
        <v>24.9375</v>
      </c>
      <c r="G2155" s="31">
        <f>IF(ISNUMBER(F2155),E2155*F2155,"")</f>
        <v>1.1172</v>
      </c>
      <c r="H2155" s="32"/>
      <c r="I2155" s="28"/>
      <c r="J2155" s="125">
        <v>0</v>
      </c>
    </row>
    <row r="2156" spans="1:10" ht="15.75" hidden="1" thickBot="1" x14ac:dyDescent="0.3">
      <c r="A2156" s="235"/>
      <c r="B2156" s="238"/>
      <c r="C2156" s="155"/>
      <c r="D2156" s="42"/>
      <c r="E2156" s="34"/>
      <c r="F2156" s="31" t="s">
        <v>418</v>
      </c>
      <c r="G2156" s="31" t="str">
        <f>IF(ISNUMBER(F2156),E2156*F2156,"")</f>
        <v/>
      </c>
      <c r="H2156" s="32"/>
      <c r="I2156" s="28"/>
      <c r="J2156" s="125">
        <v>0</v>
      </c>
    </row>
    <row r="2157" spans="1:10" ht="39" hidden="1" thickBot="1" x14ac:dyDescent="0.3">
      <c r="A2157" s="235"/>
      <c r="B2157" s="238"/>
      <c r="C2157" s="47" t="s">
        <v>530</v>
      </c>
      <c r="D2157" s="42"/>
      <c r="E2157" s="34"/>
      <c r="F2157" s="31" t="s">
        <v>418</v>
      </c>
      <c r="G2157" s="31" t="str">
        <f>IF(ISNUMBER(F2157),E2157*F2157,"")</f>
        <v/>
      </c>
      <c r="H2157" s="32"/>
      <c r="I2157" s="28"/>
      <c r="J2157" s="125">
        <v>0</v>
      </c>
    </row>
    <row r="2158" spans="1:10" ht="15.75" hidden="1" thickBot="1" x14ac:dyDescent="0.3">
      <c r="A2158" s="236"/>
      <c r="B2158" s="239"/>
      <c r="C2158" s="155"/>
      <c r="D2158" s="33"/>
      <c r="E2158" s="34"/>
      <c r="F2158" s="28" t="s">
        <v>418</v>
      </c>
      <c r="G2158" s="28" t="str">
        <f>IF(ISNUMBER(F2158),E2158*F2158,"")</f>
        <v/>
      </c>
      <c r="H2158" s="32"/>
      <c r="I2158" s="28"/>
      <c r="J2158" s="125">
        <v>0</v>
      </c>
    </row>
    <row r="2159" spans="1:10" ht="15.75" hidden="1" thickBot="1" x14ac:dyDescent="0.3">
      <c r="A2159" s="234" t="s">
        <v>564</v>
      </c>
      <c r="B2159" s="237" t="s">
        <v>1512</v>
      </c>
      <c r="C2159" s="160"/>
      <c r="D2159" s="23" t="s">
        <v>69</v>
      </c>
      <c r="E2159" s="24"/>
      <c r="F2159" s="37" t="s">
        <v>418</v>
      </c>
      <c r="G2159" s="25" t="str">
        <f>IF(ISNUMBER(F2159),E2159*F2159,"")</f>
        <v/>
      </c>
      <c r="H2159" s="26"/>
      <c r="I2159" s="27"/>
      <c r="J2159" s="125">
        <v>0</v>
      </c>
    </row>
    <row r="2160" spans="1:10" ht="15.75" hidden="1" thickBot="1" x14ac:dyDescent="0.3">
      <c r="A2160" s="235"/>
      <c r="B2160" s="238"/>
      <c r="C2160" s="151"/>
      <c r="D2160" s="29"/>
      <c r="E2160" s="30"/>
      <c r="F2160" s="38" t="s">
        <v>418</v>
      </c>
      <c r="G2160" s="28" t="str">
        <f>IF(ISNUMBER(F2160),E2160*F2160,"")</f>
        <v/>
      </c>
      <c r="H2160" s="32"/>
      <c r="I2160" s="28"/>
      <c r="J2160" s="125">
        <v>0</v>
      </c>
    </row>
    <row r="2161" spans="1:10" ht="26.25" hidden="1" thickBot="1" x14ac:dyDescent="0.3">
      <c r="A2161" s="235"/>
      <c r="B2161" s="238"/>
      <c r="C2161" s="155" t="s">
        <v>565</v>
      </c>
      <c r="D2161" s="42" t="s">
        <v>69</v>
      </c>
      <c r="E2161" s="34">
        <v>1.0210999999999999</v>
      </c>
      <c r="F2161" s="31">
        <v>0.95</v>
      </c>
      <c r="G2161" s="31">
        <f>IF(ISNUMBER(F2161),E2161*F2161,"")</f>
        <v>0.97004499999999982</v>
      </c>
      <c r="H2161" s="35">
        <f>SUM(G2161:G2163)</f>
        <v>2.9218465999999998</v>
      </c>
      <c r="I2161" s="36"/>
      <c r="J2161" s="125">
        <v>0</v>
      </c>
    </row>
    <row r="2162" spans="1:10" ht="26.25" hidden="1" thickBot="1" x14ac:dyDescent="0.3">
      <c r="A2162" s="235"/>
      <c r="B2162" s="238"/>
      <c r="C2162" s="155" t="s">
        <v>824</v>
      </c>
      <c r="D2162" s="155" t="s">
        <v>587</v>
      </c>
      <c r="E2162" s="34">
        <f>0.064*0.7</f>
        <v>4.48E-2</v>
      </c>
      <c r="F2162" s="28">
        <v>18.6295</v>
      </c>
      <c r="G2162" s="31">
        <f>IF(ISNUMBER(F2162),E2162*F2162,"")</f>
        <v>0.83460160000000005</v>
      </c>
      <c r="H2162" s="32"/>
      <c r="I2162" s="28"/>
      <c r="J2162" s="125">
        <v>0</v>
      </c>
    </row>
    <row r="2163" spans="1:10" ht="26.25" hidden="1" thickBot="1" x14ac:dyDescent="0.3">
      <c r="A2163" s="235"/>
      <c r="B2163" s="238"/>
      <c r="C2163" s="155" t="s">
        <v>825</v>
      </c>
      <c r="D2163" s="155" t="s">
        <v>587</v>
      </c>
      <c r="E2163" s="34">
        <f>0.064*0.7</f>
        <v>4.48E-2</v>
      </c>
      <c r="F2163" s="28">
        <v>24.9375</v>
      </c>
      <c r="G2163" s="31">
        <f>IF(ISNUMBER(F2163),E2163*F2163,"")</f>
        <v>1.1172</v>
      </c>
      <c r="H2163" s="32"/>
      <c r="I2163" s="28"/>
      <c r="J2163" s="125">
        <v>0</v>
      </c>
    </row>
    <row r="2164" spans="1:10" ht="15.75" hidden="1" thickBot="1" x14ac:dyDescent="0.3">
      <c r="A2164" s="235"/>
      <c r="B2164" s="238"/>
      <c r="C2164" s="155"/>
      <c r="D2164" s="42"/>
      <c r="E2164" s="34"/>
      <c r="F2164" s="31" t="s">
        <v>418</v>
      </c>
      <c r="G2164" s="31" t="str">
        <f>IF(ISNUMBER(F2164),E2164*F2164,"")</f>
        <v/>
      </c>
      <c r="H2164" s="32"/>
      <c r="I2164" s="28"/>
      <c r="J2164" s="125">
        <v>0</v>
      </c>
    </row>
    <row r="2165" spans="1:10" ht="39" hidden="1" thickBot="1" x14ac:dyDescent="0.3">
      <c r="A2165" s="235"/>
      <c r="B2165" s="238"/>
      <c r="C2165" s="47" t="s">
        <v>530</v>
      </c>
      <c r="D2165" s="42"/>
      <c r="E2165" s="34"/>
      <c r="F2165" s="31" t="s">
        <v>418</v>
      </c>
      <c r="G2165" s="31" t="str">
        <f>IF(ISNUMBER(F2165),E2165*F2165,"")</f>
        <v/>
      </c>
      <c r="H2165" s="32"/>
      <c r="I2165" s="28"/>
      <c r="J2165" s="125">
        <v>0</v>
      </c>
    </row>
    <row r="2166" spans="1:10" ht="15.75" hidden="1" thickBot="1" x14ac:dyDescent="0.3">
      <c r="A2166" s="236"/>
      <c r="B2166" s="239"/>
      <c r="C2166" s="155"/>
      <c r="D2166" s="33"/>
      <c r="E2166" s="34"/>
      <c r="F2166" s="28" t="s">
        <v>418</v>
      </c>
      <c r="G2166" s="28" t="str">
        <f>IF(ISNUMBER(F2166),E2166*F2166,"")</f>
        <v/>
      </c>
      <c r="H2166" s="32"/>
      <c r="I2166" s="28"/>
      <c r="J2166" s="125">
        <v>0</v>
      </c>
    </row>
    <row r="2167" spans="1:10" ht="15.75" hidden="1" thickBot="1" x14ac:dyDescent="0.3">
      <c r="A2167" s="234" t="s">
        <v>567</v>
      </c>
      <c r="B2167" s="237" t="s">
        <v>1513</v>
      </c>
      <c r="C2167" s="160"/>
      <c r="D2167" s="23" t="s">
        <v>69</v>
      </c>
      <c r="E2167" s="24"/>
      <c r="F2167" s="37" t="s">
        <v>418</v>
      </c>
      <c r="G2167" s="25" t="str">
        <f>IF(ISNUMBER(F2167),E2167*F2167,"")</f>
        <v/>
      </c>
      <c r="H2167" s="26"/>
      <c r="I2167" s="27"/>
      <c r="J2167" s="125">
        <v>0</v>
      </c>
    </row>
    <row r="2168" spans="1:10" ht="15.75" hidden="1" thickBot="1" x14ac:dyDescent="0.3">
      <c r="A2168" s="235"/>
      <c r="B2168" s="238"/>
      <c r="C2168" s="151"/>
      <c r="D2168" s="29"/>
      <c r="E2168" s="30"/>
      <c r="F2168" s="38" t="s">
        <v>418</v>
      </c>
      <c r="G2168" s="28" t="str">
        <f>IF(ISNUMBER(F2168),E2168*F2168,"")</f>
        <v/>
      </c>
      <c r="H2168" s="32"/>
      <c r="I2168" s="28"/>
      <c r="J2168" s="125">
        <v>0</v>
      </c>
    </row>
    <row r="2169" spans="1:10" ht="26.25" hidden="1" thickBot="1" x14ac:dyDescent="0.3">
      <c r="A2169" s="235"/>
      <c r="B2169" s="238"/>
      <c r="C2169" s="155" t="s">
        <v>568</v>
      </c>
      <c r="D2169" s="42" t="s">
        <v>69</v>
      </c>
      <c r="E2169" s="34">
        <v>1.0210999999999999</v>
      </c>
      <c r="F2169" s="31">
        <v>0.95</v>
      </c>
      <c r="G2169" s="31">
        <f>IF(ISNUMBER(F2169),E2169*F2169,"")</f>
        <v>0.97004499999999982</v>
      </c>
      <c r="H2169" s="35">
        <f>SUM(G2169:G2171)</f>
        <v>2.9218465999999998</v>
      </c>
      <c r="I2169" s="36"/>
      <c r="J2169" s="125">
        <v>0</v>
      </c>
    </row>
    <row r="2170" spans="1:10" ht="26.25" hidden="1" thickBot="1" x14ac:dyDescent="0.3">
      <c r="A2170" s="235"/>
      <c r="B2170" s="238"/>
      <c r="C2170" s="155" t="s">
        <v>824</v>
      </c>
      <c r="D2170" s="155" t="s">
        <v>587</v>
      </c>
      <c r="E2170" s="34">
        <f>0.064*0.7</f>
        <v>4.48E-2</v>
      </c>
      <c r="F2170" s="28">
        <v>18.6295</v>
      </c>
      <c r="G2170" s="31">
        <f>IF(ISNUMBER(F2170),E2170*F2170,"")</f>
        <v>0.83460160000000005</v>
      </c>
      <c r="H2170" s="32"/>
      <c r="I2170" s="28"/>
      <c r="J2170" s="125">
        <v>0</v>
      </c>
    </row>
    <row r="2171" spans="1:10" ht="26.25" hidden="1" thickBot="1" x14ac:dyDescent="0.3">
      <c r="A2171" s="235"/>
      <c r="B2171" s="238"/>
      <c r="C2171" s="155" t="s">
        <v>825</v>
      </c>
      <c r="D2171" s="155" t="s">
        <v>587</v>
      </c>
      <c r="E2171" s="34">
        <f>0.064*0.7</f>
        <v>4.48E-2</v>
      </c>
      <c r="F2171" s="28">
        <v>24.9375</v>
      </c>
      <c r="G2171" s="31">
        <f>IF(ISNUMBER(F2171),E2171*F2171,"")</f>
        <v>1.1172</v>
      </c>
      <c r="H2171" s="32"/>
      <c r="I2171" s="28"/>
      <c r="J2171" s="125">
        <v>0</v>
      </c>
    </row>
    <row r="2172" spans="1:10" ht="15.75" hidden="1" thickBot="1" x14ac:dyDescent="0.3">
      <c r="A2172" s="235"/>
      <c r="B2172" s="238"/>
      <c r="C2172" s="155"/>
      <c r="D2172" s="42"/>
      <c r="E2172" s="34"/>
      <c r="F2172" s="31" t="s">
        <v>418</v>
      </c>
      <c r="G2172" s="31" t="str">
        <f>IF(ISNUMBER(F2172),E2172*F2172,"")</f>
        <v/>
      </c>
      <c r="H2172" s="32"/>
      <c r="I2172" s="28"/>
      <c r="J2172" s="125">
        <v>0</v>
      </c>
    </row>
    <row r="2173" spans="1:10" ht="39" hidden="1" thickBot="1" x14ac:dyDescent="0.3">
      <c r="A2173" s="235"/>
      <c r="B2173" s="238"/>
      <c r="C2173" s="47" t="s">
        <v>530</v>
      </c>
      <c r="D2173" s="42"/>
      <c r="E2173" s="34"/>
      <c r="F2173" s="31" t="s">
        <v>418</v>
      </c>
      <c r="G2173" s="31" t="str">
        <f>IF(ISNUMBER(F2173),E2173*F2173,"")</f>
        <v/>
      </c>
      <c r="H2173" s="32"/>
      <c r="I2173" s="28"/>
      <c r="J2173" s="125">
        <v>0</v>
      </c>
    </row>
    <row r="2174" spans="1:10" ht="15.75" hidden="1" thickBot="1" x14ac:dyDescent="0.3">
      <c r="A2174" s="236"/>
      <c r="B2174" s="239"/>
      <c r="C2174" s="155"/>
      <c r="D2174" s="33"/>
      <c r="E2174" s="34"/>
      <c r="F2174" s="28" t="s">
        <v>418</v>
      </c>
      <c r="G2174" s="28" t="str">
        <f>IF(ISNUMBER(F2174),E2174*F2174,"")</f>
        <v/>
      </c>
      <c r="H2174" s="32"/>
      <c r="I2174" s="28"/>
      <c r="J2174" s="125">
        <v>0</v>
      </c>
    </row>
    <row r="2175" spans="1:10" ht="15.75" hidden="1" thickBot="1" x14ac:dyDescent="0.3">
      <c r="A2175" s="234" t="s">
        <v>570</v>
      </c>
      <c r="B2175" s="237" t="s">
        <v>1514</v>
      </c>
      <c r="C2175" s="160"/>
      <c r="D2175" s="23" t="s">
        <v>69</v>
      </c>
      <c r="E2175" s="24"/>
      <c r="F2175" s="37" t="s">
        <v>418</v>
      </c>
      <c r="G2175" s="25" t="str">
        <f>IF(ISNUMBER(F2175),E2175*F2175,"")</f>
        <v/>
      </c>
      <c r="H2175" s="26"/>
      <c r="I2175" s="27"/>
      <c r="J2175" s="125">
        <v>0</v>
      </c>
    </row>
    <row r="2176" spans="1:10" ht="15.75" hidden="1" thickBot="1" x14ac:dyDescent="0.3">
      <c r="A2176" s="235"/>
      <c r="B2176" s="238"/>
      <c r="C2176" s="151"/>
      <c r="D2176" s="29"/>
      <c r="E2176" s="30"/>
      <c r="F2176" s="38" t="s">
        <v>418</v>
      </c>
      <c r="G2176" s="28" t="str">
        <f>IF(ISNUMBER(F2176),E2176*F2176,"")</f>
        <v/>
      </c>
      <c r="H2176" s="32"/>
      <c r="I2176" s="28"/>
      <c r="J2176" s="125">
        <v>0</v>
      </c>
    </row>
    <row r="2177" spans="1:10" ht="26.25" hidden="1" thickBot="1" x14ac:dyDescent="0.3">
      <c r="A2177" s="235"/>
      <c r="B2177" s="238"/>
      <c r="C2177" s="155" t="s">
        <v>571</v>
      </c>
      <c r="D2177" s="42" t="s">
        <v>69</v>
      </c>
      <c r="E2177" s="34">
        <v>1.0210999999999999</v>
      </c>
      <c r="F2177" s="31">
        <v>0.95</v>
      </c>
      <c r="G2177" s="31">
        <f>IF(ISNUMBER(F2177),E2177*F2177,"")</f>
        <v>0.97004499999999982</v>
      </c>
      <c r="H2177" s="35">
        <f>SUM(G2177:G2179)</f>
        <v>2.9218465999999998</v>
      </c>
      <c r="I2177" s="36"/>
      <c r="J2177" s="125">
        <v>0</v>
      </c>
    </row>
    <row r="2178" spans="1:10" ht="26.25" hidden="1" thickBot="1" x14ac:dyDescent="0.3">
      <c r="A2178" s="235"/>
      <c r="B2178" s="238"/>
      <c r="C2178" s="155" t="s">
        <v>824</v>
      </c>
      <c r="D2178" s="155" t="s">
        <v>587</v>
      </c>
      <c r="E2178" s="34">
        <f>0.064*0.7</f>
        <v>4.48E-2</v>
      </c>
      <c r="F2178" s="28">
        <v>18.6295</v>
      </c>
      <c r="G2178" s="31">
        <f>IF(ISNUMBER(F2178),E2178*F2178,"")</f>
        <v>0.83460160000000005</v>
      </c>
      <c r="H2178" s="32"/>
      <c r="I2178" s="28"/>
      <c r="J2178" s="125">
        <v>0</v>
      </c>
    </row>
    <row r="2179" spans="1:10" ht="26.25" hidden="1" thickBot="1" x14ac:dyDescent="0.3">
      <c r="A2179" s="235"/>
      <c r="B2179" s="238"/>
      <c r="C2179" s="155" t="s">
        <v>825</v>
      </c>
      <c r="D2179" s="155" t="s">
        <v>587</v>
      </c>
      <c r="E2179" s="34">
        <f>0.064*0.7</f>
        <v>4.48E-2</v>
      </c>
      <c r="F2179" s="28">
        <v>24.9375</v>
      </c>
      <c r="G2179" s="31">
        <f>IF(ISNUMBER(F2179),E2179*F2179,"")</f>
        <v>1.1172</v>
      </c>
      <c r="H2179" s="32"/>
      <c r="I2179" s="28"/>
      <c r="J2179" s="125">
        <v>0</v>
      </c>
    </row>
    <row r="2180" spans="1:10" ht="15.75" hidden="1" thickBot="1" x14ac:dyDescent="0.3">
      <c r="A2180" s="235"/>
      <c r="B2180" s="238"/>
      <c r="C2180" s="155"/>
      <c r="D2180" s="42"/>
      <c r="E2180" s="34"/>
      <c r="F2180" s="31" t="s">
        <v>418</v>
      </c>
      <c r="G2180" s="31" t="str">
        <f>IF(ISNUMBER(F2180),E2180*F2180,"")</f>
        <v/>
      </c>
      <c r="H2180" s="32"/>
      <c r="I2180" s="28"/>
      <c r="J2180" s="125">
        <v>0</v>
      </c>
    </row>
    <row r="2181" spans="1:10" ht="39" hidden="1" thickBot="1" x14ac:dyDescent="0.3">
      <c r="A2181" s="235"/>
      <c r="B2181" s="238"/>
      <c r="C2181" s="47" t="s">
        <v>530</v>
      </c>
      <c r="D2181" s="42"/>
      <c r="E2181" s="34"/>
      <c r="F2181" s="31" t="s">
        <v>418</v>
      </c>
      <c r="G2181" s="31" t="str">
        <f>IF(ISNUMBER(F2181),E2181*F2181,"")</f>
        <v/>
      </c>
      <c r="H2181" s="32"/>
      <c r="I2181" s="28"/>
      <c r="J2181" s="125">
        <v>0</v>
      </c>
    </row>
    <row r="2182" spans="1:10" ht="15.75" hidden="1" thickBot="1" x14ac:dyDescent="0.3">
      <c r="A2182" s="236"/>
      <c r="B2182" s="239"/>
      <c r="C2182" s="155"/>
      <c r="D2182" s="33"/>
      <c r="E2182" s="34"/>
      <c r="F2182" s="28" t="s">
        <v>418</v>
      </c>
      <c r="G2182" s="28" t="str">
        <f>IF(ISNUMBER(F2182),E2182*F2182,"")</f>
        <v/>
      </c>
      <c r="H2182" s="32"/>
      <c r="I2182" s="28"/>
      <c r="J2182" s="125">
        <v>0</v>
      </c>
    </row>
    <row r="2183" spans="1:10" ht="15.75" hidden="1" thickBot="1" x14ac:dyDescent="0.3">
      <c r="A2183" s="234" t="s">
        <v>573</v>
      </c>
      <c r="B2183" s="237" t="s">
        <v>1515</v>
      </c>
      <c r="C2183" s="160"/>
      <c r="D2183" s="23" t="s">
        <v>70</v>
      </c>
      <c r="E2183" s="24"/>
      <c r="F2183" s="37" t="s">
        <v>418</v>
      </c>
      <c r="G2183" s="25" t="str">
        <f>IF(ISNUMBER(F2183),E2183*F2183,"")</f>
        <v/>
      </c>
      <c r="H2183" s="26"/>
      <c r="I2183" s="27"/>
      <c r="J2183" s="125">
        <v>0</v>
      </c>
    </row>
    <row r="2184" spans="1:10" ht="15.75" hidden="1" thickBot="1" x14ac:dyDescent="0.3">
      <c r="A2184" s="235"/>
      <c r="B2184" s="238"/>
      <c r="C2184" s="151"/>
      <c r="D2184" s="29"/>
      <c r="E2184" s="30"/>
      <c r="F2184" s="38" t="s">
        <v>418</v>
      </c>
      <c r="G2184" s="28" t="str">
        <f>IF(ISNUMBER(F2184),E2184*F2184,"")</f>
        <v/>
      </c>
      <c r="H2184" s="32"/>
      <c r="I2184" s="28"/>
      <c r="J2184" s="125">
        <v>0</v>
      </c>
    </row>
    <row r="2185" spans="1:10" ht="15.75" hidden="1" thickBot="1" x14ac:dyDescent="0.3">
      <c r="A2185" s="235"/>
      <c r="B2185" s="238"/>
      <c r="C2185" s="155" t="s">
        <v>9782</v>
      </c>
      <c r="D2185" s="155" t="s">
        <v>587</v>
      </c>
      <c r="E2185" s="34">
        <v>1.8</v>
      </c>
      <c r="F2185" s="28">
        <v>23.930499999999999</v>
      </c>
      <c r="G2185" s="28">
        <f>IF(ISNUMBER(F2185),E2185*F2185,"")</f>
        <v>43.0749</v>
      </c>
      <c r="H2185" s="35">
        <f>SUM(G2185:G2186)</f>
        <v>119.83252499999999</v>
      </c>
      <c r="I2185" s="36"/>
      <c r="J2185" s="125">
        <v>0</v>
      </c>
    </row>
    <row r="2186" spans="1:10" ht="15.75" hidden="1" thickBot="1" x14ac:dyDescent="0.3">
      <c r="A2186" s="235"/>
      <c r="B2186" s="238"/>
      <c r="C2186" s="155" t="s">
        <v>662</v>
      </c>
      <c r="D2186" s="155" t="s">
        <v>587</v>
      </c>
      <c r="E2186" s="34">
        <v>3.15</v>
      </c>
      <c r="F2186" s="28">
        <v>24.367499999999996</v>
      </c>
      <c r="G2186" s="28">
        <f>IF(ISNUMBER(F2186),E2186*F2186,"")</f>
        <v>76.75762499999999</v>
      </c>
      <c r="H2186" s="32"/>
      <c r="I2186" s="28"/>
      <c r="J2186" s="125">
        <v>0</v>
      </c>
    </row>
    <row r="2187" spans="1:10" ht="15.75" hidden="1" thickBot="1" x14ac:dyDescent="0.3">
      <c r="A2187" s="236"/>
      <c r="B2187" s="239"/>
      <c r="C2187" s="155"/>
      <c r="D2187" s="33"/>
      <c r="E2187" s="34"/>
      <c r="F2187" s="28" t="s">
        <v>418</v>
      </c>
      <c r="G2187" s="28" t="str">
        <f>IF(ISNUMBER(F2187),E2187*F2187,"")</f>
        <v/>
      </c>
      <c r="H2187" s="32"/>
      <c r="I2187" s="28"/>
      <c r="J2187" s="125">
        <v>0</v>
      </c>
    </row>
    <row r="2188" spans="1:10" ht="15.75" hidden="1" thickBot="1" x14ac:dyDescent="0.3">
      <c r="A2188" s="234" t="s">
        <v>574</v>
      </c>
      <c r="B2188" s="237" t="s">
        <v>1516</v>
      </c>
      <c r="C2188" s="160"/>
      <c r="D2188" s="23" t="s">
        <v>70</v>
      </c>
      <c r="E2188" s="24"/>
      <c r="F2188" s="37" t="s">
        <v>418</v>
      </c>
      <c r="G2188" s="25" t="str">
        <f>IF(ISNUMBER(F2188),E2188*F2188,"")</f>
        <v/>
      </c>
      <c r="H2188" s="26"/>
      <c r="I2188" s="27"/>
      <c r="J2188" s="125">
        <v>0</v>
      </c>
    </row>
    <row r="2189" spans="1:10" ht="15.75" hidden="1" thickBot="1" x14ac:dyDescent="0.3">
      <c r="A2189" s="235"/>
      <c r="B2189" s="238"/>
      <c r="C2189" s="151"/>
      <c r="D2189" s="29"/>
      <c r="E2189" s="30"/>
      <c r="F2189" s="38" t="s">
        <v>418</v>
      </c>
      <c r="G2189" s="28" t="str">
        <f>IF(ISNUMBER(F2189),E2189*F2189,"")</f>
        <v/>
      </c>
      <c r="H2189" s="32"/>
      <c r="I2189" s="28"/>
      <c r="J2189" s="125">
        <v>0</v>
      </c>
    </row>
    <row r="2190" spans="1:10" ht="15.75" hidden="1" thickBot="1" x14ac:dyDescent="0.3">
      <c r="A2190" s="235"/>
      <c r="B2190" s="238"/>
      <c r="C2190" s="155" t="s">
        <v>9782</v>
      </c>
      <c r="D2190" s="155" t="s">
        <v>587</v>
      </c>
      <c r="E2190" s="34">
        <v>1.8</v>
      </c>
      <c r="F2190" s="28">
        <v>23.930499999999999</v>
      </c>
      <c r="G2190" s="28">
        <f>IF(ISNUMBER(F2190),E2190*F2190,"")</f>
        <v>43.0749</v>
      </c>
      <c r="H2190" s="35">
        <f>SUM(G2190:G2193)</f>
        <v>213.4847125</v>
      </c>
      <c r="I2190" s="36"/>
      <c r="J2190" s="125">
        <v>0</v>
      </c>
    </row>
    <row r="2191" spans="1:10" ht="15.75" hidden="1" thickBot="1" x14ac:dyDescent="0.3">
      <c r="A2191" s="235"/>
      <c r="B2191" s="238"/>
      <c r="C2191" s="155" t="s">
        <v>662</v>
      </c>
      <c r="D2191" s="155" t="s">
        <v>587</v>
      </c>
      <c r="E2191" s="34">
        <f>3.15/2</f>
        <v>1.575</v>
      </c>
      <c r="F2191" s="28">
        <v>24.367499999999996</v>
      </c>
      <c r="G2191" s="31">
        <f>IF(ISNUMBER(F2191),E2191*F2191,"")</f>
        <v>38.378812499999995</v>
      </c>
      <c r="H2191" s="39"/>
      <c r="I2191" s="36"/>
      <c r="J2191" s="125">
        <v>0</v>
      </c>
    </row>
    <row r="2192" spans="1:10" ht="26.25" hidden="1" thickBot="1" x14ac:dyDescent="0.3">
      <c r="A2192" s="235"/>
      <c r="B2192" s="238"/>
      <c r="C2192" s="155" t="s">
        <v>10283</v>
      </c>
      <c r="D2192" s="155" t="s">
        <v>205</v>
      </c>
      <c r="E2192" s="34">
        <v>2</v>
      </c>
      <c r="F2192" s="31">
        <v>25.032499999999999</v>
      </c>
      <c r="G2192" s="28">
        <f>IF(ISNUMBER(F2192),E2192*F2192,"")</f>
        <v>50.064999999999998</v>
      </c>
      <c r="H2192" s="39"/>
      <c r="I2192" s="36"/>
      <c r="J2192" s="125">
        <v>0</v>
      </c>
    </row>
    <row r="2193" spans="1:10" ht="26.25" hidden="1" thickBot="1" x14ac:dyDescent="0.3">
      <c r="A2193" s="235"/>
      <c r="B2193" s="238"/>
      <c r="C2193" s="155" t="s">
        <v>24494</v>
      </c>
      <c r="D2193" s="155" t="s">
        <v>870</v>
      </c>
      <c r="E2193" s="34">
        <v>1</v>
      </c>
      <c r="F2193" s="31">
        <v>81.965999999999994</v>
      </c>
      <c r="G2193" s="28">
        <f>IF(ISNUMBER(F2193),E2193*F2193,"")</f>
        <v>81.965999999999994</v>
      </c>
      <c r="H2193" s="32"/>
      <c r="I2193" s="28"/>
      <c r="J2193" s="125">
        <v>0</v>
      </c>
    </row>
    <row r="2194" spans="1:10" ht="15.75" hidden="1" thickBot="1" x14ac:dyDescent="0.3">
      <c r="A2194" s="236"/>
      <c r="B2194" s="239"/>
      <c r="C2194" s="155"/>
      <c r="D2194" s="33"/>
      <c r="E2194" s="34"/>
      <c r="F2194" s="28" t="s">
        <v>418</v>
      </c>
      <c r="G2194" s="28" t="str">
        <f>IF(ISNUMBER(F2194),E2194*F2194,"")</f>
        <v/>
      </c>
      <c r="H2194" s="32"/>
      <c r="I2194" s="28"/>
      <c r="J2194" s="125">
        <v>0</v>
      </c>
    </row>
    <row r="2195" spans="1:10" ht="15.75" hidden="1" thickBot="1" x14ac:dyDescent="0.3">
      <c r="A2195" s="241" t="s">
        <v>575</v>
      </c>
      <c r="B2195" s="244" t="s">
        <v>20917</v>
      </c>
      <c r="C2195" s="160"/>
      <c r="D2195" s="23" t="s">
        <v>70</v>
      </c>
      <c r="E2195" s="24"/>
      <c r="F2195" s="37" t="s">
        <v>418</v>
      </c>
      <c r="G2195" s="25" t="str">
        <f>IF(ISNUMBER(F2195),E2195*F2195,"")</f>
        <v/>
      </c>
      <c r="H2195" s="26"/>
      <c r="I2195" s="27"/>
      <c r="J2195" s="125">
        <v>0</v>
      </c>
    </row>
    <row r="2196" spans="1:10" ht="15.75" hidden="1" thickBot="1" x14ac:dyDescent="0.3">
      <c r="A2196" s="242"/>
      <c r="B2196" s="245"/>
      <c r="C2196" s="151"/>
      <c r="D2196" s="29"/>
      <c r="E2196" s="30"/>
      <c r="F2196" s="38" t="s">
        <v>418</v>
      </c>
      <c r="G2196" s="28" t="str">
        <f>IF(ISNUMBER(F2196),E2196*F2196,"")</f>
        <v/>
      </c>
      <c r="H2196" s="32"/>
      <c r="I2196" s="28"/>
      <c r="J2196" s="125">
        <v>0</v>
      </c>
    </row>
    <row r="2197" spans="1:10" ht="15.75" hidden="1" thickBot="1" x14ac:dyDescent="0.3">
      <c r="A2197" s="242"/>
      <c r="B2197" s="245"/>
      <c r="C2197" s="155" t="s">
        <v>9782</v>
      </c>
      <c r="D2197" s="155" t="s">
        <v>587</v>
      </c>
      <c r="E2197" s="34">
        <v>1.6</v>
      </c>
      <c r="F2197" s="28">
        <v>23.930499999999999</v>
      </c>
      <c r="G2197" s="31">
        <f>IF(ISNUMBER(F2197),E2197*F2197,"")</f>
        <v>38.288800000000002</v>
      </c>
      <c r="H2197" s="35">
        <f>SUM(G2197:G2200)</f>
        <v>290.55939999999998</v>
      </c>
      <c r="I2197" s="36"/>
      <c r="J2197" s="125">
        <v>0</v>
      </c>
    </row>
    <row r="2198" spans="1:10" ht="15.75" hidden="1" thickBot="1" x14ac:dyDescent="0.3">
      <c r="A2198" s="242"/>
      <c r="B2198" s="245"/>
      <c r="C2198" s="155" t="s">
        <v>662</v>
      </c>
      <c r="D2198" s="155" t="s">
        <v>587</v>
      </c>
      <c r="E2198" s="34">
        <v>1.6</v>
      </c>
      <c r="F2198" s="28">
        <v>24.367499999999996</v>
      </c>
      <c r="G2198" s="31">
        <f>IF(ISNUMBER(F2198),E2198*F2198,"")</f>
        <v>38.988</v>
      </c>
      <c r="H2198" s="39"/>
      <c r="I2198" s="36"/>
      <c r="J2198" s="125">
        <v>0</v>
      </c>
    </row>
    <row r="2199" spans="1:10" ht="26.25" hidden="1" thickBot="1" x14ac:dyDescent="0.3">
      <c r="A2199" s="242"/>
      <c r="B2199" s="245"/>
      <c r="C2199" s="155" t="s">
        <v>24570</v>
      </c>
      <c r="D2199" s="155" t="s">
        <v>870</v>
      </c>
      <c r="E2199" s="34">
        <v>1.2</v>
      </c>
      <c r="F2199" s="31">
        <v>177.7355</v>
      </c>
      <c r="G2199" s="28">
        <f>IF(ISNUMBER(F2199),E2199*F2199,"")</f>
        <v>213.2826</v>
      </c>
      <c r="H2199" s="32"/>
      <c r="I2199" s="28"/>
      <c r="J2199" s="125">
        <v>0</v>
      </c>
    </row>
    <row r="2200" spans="1:10" ht="15.75" hidden="1" thickBot="1" x14ac:dyDescent="0.3">
      <c r="A2200" s="242"/>
      <c r="B2200" s="245"/>
      <c r="C2200" s="137" t="s">
        <v>16380</v>
      </c>
      <c r="D2200" s="33" t="s">
        <v>70</v>
      </c>
      <c r="E2200" s="34">
        <v>1</v>
      </c>
      <c r="F2200" s="31" t="s">
        <v>418</v>
      </c>
      <c r="G2200" s="28" t="str">
        <f>IF(ISNUMBER(F2200),E2200*F2200,"")</f>
        <v/>
      </c>
      <c r="H2200" s="32"/>
      <c r="I2200" s="28"/>
      <c r="J2200" s="125">
        <v>0</v>
      </c>
    </row>
    <row r="2201" spans="1:10" ht="15.75" hidden="1" thickBot="1" x14ac:dyDescent="0.3">
      <c r="A2201" s="243"/>
      <c r="B2201" s="246"/>
      <c r="C2201" s="155"/>
      <c r="D2201" s="33"/>
      <c r="E2201" s="34"/>
      <c r="F2201" s="28" t="s">
        <v>418</v>
      </c>
      <c r="G2201" s="28" t="str">
        <f>IF(ISNUMBER(F2201),E2201*F2201,"")</f>
        <v/>
      </c>
      <c r="H2201" s="32"/>
      <c r="I2201" s="28"/>
      <c r="J2201" s="125">
        <v>0</v>
      </c>
    </row>
    <row r="2202" spans="1:10" ht="15.75" hidden="1" thickBot="1" x14ac:dyDescent="0.3">
      <c r="A2202" s="241" t="s">
        <v>576</v>
      </c>
      <c r="B2202" s="244" t="s">
        <v>13434</v>
      </c>
      <c r="C2202" s="160"/>
      <c r="D2202" s="23" t="s">
        <v>70</v>
      </c>
      <c r="E2202" s="24"/>
      <c r="F2202" s="37" t="s">
        <v>418</v>
      </c>
      <c r="G2202" s="25" t="str">
        <f>IF(ISNUMBER(F2202),E2202*F2202,"")</f>
        <v/>
      </c>
      <c r="H2202" s="26"/>
      <c r="I2202" s="27"/>
      <c r="J2202" s="125">
        <v>0</v>
      </c>
    </row>
    <row r="2203" spans="1:10" ht="15.75" hidden="1" thickBot="1" x14ac:dyDescent="0.3">
      <c r="A2203" s="242"/>
      <c r="B2203" s="245"/>
      <c r="C2203" s="151"/>
      <c r="D2203" s="29"/>
      <c r="E2203" s="30"/>
      <c r="F2203" s="38" t="s">
        <v>418</v>
      </c>
      <c r="G2203" s="28" t="str">
        <f>IF(ISNUMBER(F2203),E2203*F2203,"")</f>
        <v/>
      </c>
      <c r="H2203" s="32"/>
      <c r="I2203" s="28"/>
      <c r="J2203" s="125">
        <v>0</v>
      </c>
    </row>
    <row r="2204" spans="1:10" ht="15.75" hidden="1" thickBot="1" x14ac:dyDescent="0.3">
      <c r="A2204" s="242"/>
      <c r="B2204" s="245"/>
      <c r="C2204" s="155" t="s">
        <v>9782</v>
      </c>
      <c r="D2204" s="155" t="s">
        <v>587</v>
      </c>
      <c r="E2204" s="34">
        <v>2.4</v>
      </c>
      <c r="F2204" s="28">
        <v>23.930499999999999</v>
      </c>
      <c r="G2204" s="31">
        <f>IF(ISNUMBER(F2204),E2204*F2204,"")</f>
        <v>57.433199999999992</v>
      </c>
      <c r="H2204" s="35">
        <f>SUM(G2204:G2206)</f>
        <v>180.18839999999997</v>
      </c>
      <c r="I2204" s="36"/>
      <c r="J2204" s="125">
        <v>0</v>
      </c>
    </row>
    <row r="2205" spans="1:10" ht="15.75" hidden="1" thickBot="1" x14ac:dyDescent="0.3">
      <c r="A2205" s="242"/>
      <c r="B2205" s="245"/>
      <c r="C2205" s="155" t="s">
        <v>662</v>
      </c>
      <c r="D2205" s="155" t="s">
        <v>587</v>
      </c>
      <c r="E2205" s="34">
        <v>2.4</v>
      </c>
      <c r="F2205" s="28">
        <v>24.367499999999996</v>
      </c>
      <c r="G2205" s="31">
        <f>IF(ISNUMBER(F2205),E2205*F2205,"")</f>
        <v>58.481999999999985</v>
      </c>
      <c r="H2205" s="32"/>
      <c r="I2205" s="28"/>
      <c r="J2205" s="125">
        <v>0</v>
      </c>
    </row>
    <row r="2206" spans="1:10" ht="15.75" hidden="1" thickBot="1" x14ac:dyDescent="0.3">
      <c r="A2206" s="242"/>
      <c r="B2206" s="245"/>
      <c r="C2206" s="155" t="s">
        <v>24489</v>
      </c>
      <c r="D2206" s="155" t="s">
        <v>870</v>
      </c>
      <c r="E2206" s="34">
        <v>1.2</v>
      </c>
      <c r="F2206" s="31">
        <v>53.561</v>
      </c>
      <c r="G2206" s="28">
        <f>IF(ISNUMBER(F2206),E2206*F2206,"")</f>
        <v>64.273200000000003</v>
      </c>
      <c r="H2206" s="32"/>
      <c r="I2206" s="28"/>
      <c r="J2206" s="125">
        <v>0</v>
      </c>
    </row>
    <row r="2207" spans="1:10" ht="15.75" hidden="1" thickBot="1" x14ac:dyDescent="0.3">
      <c r="A2207" s="243"/>
      <c r="B2207" s="246"/>
      <c r="C2207" s="155"/>
      <c r="D2207" s="33"/>
      <c r="E2207" s="34"/>
      <c r="F2207" s="28" t="s">
        <v>418</v>
      </c>
      <c r="G2207" s="28" t="str">
        <f>IF(ISNUMBER(F2207),E2207*F2207,"")</f>
        <v/>
      </c>
      <c r="H2207" s="32"/>
      <c r="I2207" s="28"/>
      <c r="J2207" s="125">
        <v>0</v>
      </c>
    </row>
    <row r="2208" spans="1:10" ht="15.75" hidden="1" thickBot="1" x14ac:dyDescent="0.3">
      <c r="A2208" s="234" t="s">
        <v>577</v>
      </c>
      <c r="B2208" s="237" t="s">
        <v>1517</v>
      </c>
      <c r="C2208" s="160"/>
      <c r="D2208" s="23" t="s">
        <v>16</v>
      </c>
      <c r="E2208" s="24"/>
      <c r="F2208" s="37" t="s">
        <v>418</v>
      </c>
      <c r="G2208" s="25" t="str">
        <f>IF(ISNUMBER(F2208),E2208*F2208,"")</f>
        <v/>
      </c>
      <c r="H2208" s="26"/>
      <c r="I2208" s="27"/>
      <c r="J2208" s="125">
        <v>0</v>
      </c>
    </row>
    <row r="2209" spans="1:10" ht="15.75" hidden="1" thickBot="1" x14ac:dyDescent="0.3">
      <c r="A2209" s="235"/>
      <c r="B2209" s="238"/>
      <c r="C2209" s="151"/>
      <c r="D2209" s="29"/>
      <c r="E2209" s="30"/>
      <c r="F2209" s="38" t="s">
        <v>418</v>
      </c>
      <c r="G2209" s="28" t="str">
        <f>IF(ISNUMBER(F2209),E2209*F2209,"")</f>
        <v/>
      </c>
      <c r="H2209" s="32"/>
      <c r="I2209" s="28"/>
      <c r="J2209" s="125">
        <v>0</v>
      </c>
    </row>
    <row r="2210" spans="1:10" ht="15.75" hidden="1" thickBot="1" x14ac:dyDescent="0.3">
      <c r="A2210" s="235"/>
      <c r="B2210" s="238"/>
      <c r="C2210" s="155" t="s">
        <v>9782</v>
      </c>
      <c r="D2210" s="155" t="s">
        <v>587</v>
      </c>
      <c r="E2210" s="34">
        <v>1</v>
      </c>
      <c r="F2210" s="28">
        <v>23.930499999999999</v>
      </c>
      <c r="G2210" s="31">
        <f>IF(ISNUMBER(F2210),E2210*F2210,"")</f>
        <v>23.930499999999999</v>
      </c>
      <c r="H2210" s="35">
        <f>SUM(G2210:G2212)</f>
        <v>48.297999999999995</v>
      </c>
      <c r="I2210" s="36"/>
      <c r="J2210" s="125">
        <v>0</v>
      </c>
    </row>
    <row r="2211" spans="1:10" ht="15.75" hidden="1" thickBot="1" x14ac:dyDescent="0.3">
      <c r="A2211" s="235"/>
      <c r="B2211" s="238"/>
      <c r="C2211" s="155" t="s">
        <v>662</v>
      </c>
      <c r="D2211" s="155" t="s">
        <v>587</v>
      </c>
      <c r="E2211" s="34">
        <v>1</v>
      </c>
      <c r="F2211" s="28">
        <v>24.367499999999996</v>
      </c>
      <c r="G2211" s="31">
        <f>IF(ISNUMBER(F2211),E2211*F2211,"")</f>
        <v>24.367499999999996</v>
      </c>
      <c r="H2211" s="32"/>
      <c r="I2211" s="28"/>
      <c r="J2211" s="125">
        <v>0</v>
      </c>
    </row>
    <row r="2212" spans="1:10" ht="26.25" hidden="1" thickBot="1" x14ac:dyDescent="0.3">
      <c r="A2212" s="235"/>
      <c r="B2212" s="238"/>
      <c r="C2212" s="155" t="s">
        <v>578</v>
      </c>
      <c r="D2212" s="33" t="s">
        <v>16</v>
      </c>
      <c r="E2212" s="34">
        <v>1</v>
      </c>
      <c r="F2212" s="31" t="s">
        <v>418</v>
      </c>
      <c r="G2212" s="28" t="str">
        <f>IF(ISNUMBER(F2212),E2212*F2212,"")</f>
        <v/>
      </c>
      <c r="H2212" s="32"/>
      <c r="I2212" s="28"/>
      <c r="J2212" s="125">
        <v>0</v>
      </c>
    </row>
    <row r="2213" spans="1:10" ht="15.75" hidden="1" thickBot="1" x14ac:dyDescent="0.3">
      <c r="A2213" s="236"/>
      <c r="B2213" s="239"/>
      <c r="C2213" s="155"/>
      <c r="D2213" s="33"/>
      <c r="E2213" s="34"/>
      <c r="F2213" s="28" t="s">
        <v>418</v>
      </c>
      <c r="G2213" s="28" t="str">
        <f>IF(ISNUMBER(F2213),E2213*F2213,"")</f>
        <v/>
      </c>
      <c r="H2213" s="32"/>
      <c r="I2213" s="28"/>
      <c r="J2213" s="125">
        <v>0</v>
      </c>
    </row>
    <row r="2214" spans="1:10" ht="15.75" hidden="1" thickBot="1" x14ac:dyDescent="0.3">
      <c r="A2214" s="234" t="s">
        <v>579</v>
      </c>
      <c r="B2214" s="237" t="s">
        <v>11184</v>
      </c>
      <c r="C2214" s="160"/>
      <c r="D2214" s="23" t="s">
        <v>16</v>
      </c>
      <c r="E2214" s="24"/>
      <c r="F2214" s="37" t="s">
        <v>418</v>
      </c>
      <c r="G2214" s="25" t="str">
        <f>IF(ISNUMBER(F2214),E2214*F2214,"")</f>
        <v/>
      </c>
      <c r="H2214" s="26"/>
      <c r="I2214" s="27"/>
      <c r="J2214" s="125">
        <v>0</v>
      </c>
    </row>
    <row r="2215" spans="1:10" ht="15.75" hidden="1" thickBot="1" x14ac:dyDescent="0.3">
      <c r="A2215" s="235"/>
      <c r="B2215" s="238"/>
      <c r="C2215" s="151"/>
      <c r="D2215" s="29"/>
      <c r="E2215" s="30"/>
      <c r="F2215" s="38" t="s">
        <v>418</v>
      </c>
      <c r="G2215" s="28" t="str">
        <f>IF(ISNUMBER(F2215),E2215*F2215,"")</f>
        <v/>
      </c>
      <c r="H2215" s="32"/>
      <c r="I2215" s="28"/>
      <c r="J2215" s="125">
        <v>0</v>
      </c>
    </row>
    <row r="2216" spans="1:10" ht="51.75" hidden="1" thickBot="1" x14ac:dyDescent="0.3">
      <c r="A2216" s="235"/>
      <c r="B2216" s="238"/>
      <c r="C2216" s="155" t="s">
        <v>38828</v>
      </c>
      <c r="D2216" s="155" t="s">
        <v>1295</v>
      </c>
      <c r="E2216" s="34">
        <v>1</v>
      </c>
      <c r="F2216" s="31">
        <v>82.364999999999995</v>
      </c>
      <c r="G2216" s="31">
        <f>IF(ISNUMBER(F2216),E2216*F2216,"")</f>
        <v>82.364999999999995</v>
      </c>
      <c r="H2216" s="35">
        <f>SUM(G2216:G2224)</f>
        <v>220.68406614999998</v>
      </c>
      <c r="I2216" s="36"/>
      <c r="J2216" s="125">
        <v>0</v>
      </c>
    </row>
    <row r="2217" spans="1:10" ht="15.75" hidden="1" thickBot="1" x14ac:dyDescent="0.3">
      <c r="A2217" s="235"/>
      <c r="B2217" s="238"/>
      <c r="C2217" s="155" t="s">
        <v>1296</v>
      </c>
      <c r="D2217" s="155" t="s">
        <v>774</v>
      </c>
      <c r="E2217" s="34">
        <v>1.0999999999999999E-2</v>
      </c>
      <c r="F2217" s="31">
        <v>26.742499999999996</v>
      </c>
      <c r="G2217" s="31">
        <f>IF(ISNUMBER(F2217),E2217*F2217,"")</f>
        <v>0.29416749999999992</v>
      </c>
      <c r="H2217" s="32"/>
      <c r="I2217" s="28"/>
      <c r="J2217" s="125">
        <v>0</v>
      </c>
    </row>
    <row r="2218" spans="1:10" ht="15.75" hidden="1" thickBot="1" x14ac:dyDescent="0.3">
      <c r="A2218" s="235"/>
      <c r="B2218" s="238"/>
      <c r="C2218" s="155" t="s">
        <v>74</v>
      </c>
      <c r="D2218" s="155" t="s">
        <v>774</v>
      </c>
      <c r="E2218" s="34">
        <v>2.4E-2</v>
      </c>
      <c r="F2218" s="28">
        <v>20.291999999999998</v>
      </c>
      <c r="G2218" s="31">
        <f>IF(ISNUMBER(F2218),E2218*F2218,"")</f>
        <v>0.48700799999999994</v>
      </c>
      <c r="H2218" s="32"/>
      <c r="I2218" s="28"/>
      <c r="J2218" s="125">
        <v>0</v>
      </c>
    </row>
    <row r="2219" spans="1:10" ht="15.75" hidden="1" thickBot="1" x14ac:dyDescent="0.3">
      <c r="A2219" s="235"/>
      <c r="B2219" s="238"/>
      <c r="C2219" s="155" t="s">
        <v>586</v>
      </c>
      <c r="D2219" s="155" t="s">
        <v>587</v>
      </c>
      <c r="E2219" s="34">
        <f>2.741+0.068</f>
        <v>2.8090000000000002</v>
      </c>
      <c r="F2219" s="28">
        <v>24.215499999999999</v>
      </c>
      <c r="G2219" s="31">
        <f>IF(ISNUMBER(F2219),E2219*F2219,"")</f>
        <v>68.021339499999996</v>
      </c>
      <c r="H2219" s="32"/>
      <c r="I2219" s="28"/>
      <c r="J2219" s="125">
        <v>0</v>
      </c>
    </row>
    <row r="2220" spans="1:10" ht="15.75" hidden="1" thickBot="1" x14ac:dyDescent="0.3">
      <c r="A2220" s="235"/>
      <c r="B2220" s="238"/>
      <c r="C2220" s="155" t="s">
        <v>588</v>
      </c>
      <c r="D2220" s="155" t="s">
        <v>587</v>
      </c>
      <c r="E2220" s="34">
        <f>1.375+0.034</f>
        <v>1.409</v>
      </c>
      <c r="F2220" s="28">
        <v>19.189999999999998</v>
      </c>
      <c r="G2220" s="31">
        <f>IF(ISNUMBER(F2220),E2220*F2220,"")</f>
        <v>27.038709999999998</v>
      </c>
      <c r="H2220" s="32"/>
      <c r="I2220" s="28"/>
      <c r="J2220" s="125">
        <v>0</v>
      </c>
    </row>
    <row r="2221" spans="1:10" ht="15.75" hidden="1" thickBot="1" x14ac:dyDescent="0.3">
      <c r="A2221" s="235"/>
      <c r="B2221" s="238"/>
      <c r="C2221" s="155" t="s">
        <v>10278</v>
      </c>
      <c r="D2221" s="155" t="s">
        <v>774</v>
      </c>
      <c r="E2221" s="34">
        <v>6.0000000000000001E-3</v>
      </c>
      <c r="F2221" s="28">
        <v>22.818999999999999</v>
      </c>
      <c r="G2221" s="31">
        <f>IF(ISNUMBER(F2221),E2221*F2221,"")</f>
        <v>0.13691400000000001</v>
      </c>
      <c r="H2221" s="32"/>
      <c r="I2221" s="28"/>
      <c r="J2221" s="125">
        <v>0</v>
      </c>
    </row>
    <row r="2222" spans="1:10" ht="39" hidden="1" thickBot="1" x14ac:dyDescent="0.3">
      <c r="A2222" s="235"/>
      <c r="B2222" s="238"/>
      <c r="C2222" s="155" t="s">
        <v>38829</v>
      </c>
      <c r="D2222" s="155" t="s">
        <v>385</v>
      </c>
      <c r="E2222" s="34">
        <f>(2.1*2+0.8)*1.163</f>
        <v>5.8150000000000004</v>
      </c>
      <c r="F2222" s="31">
        <v>4.8354999999999997</v>
      </c>
      <c r="G2222" s="31">
        <f>IF(ISNUMBER(F2222),E2222*F2222,"")</f>
        <v>28.118432500000001</v>
      </c>
      <c r="H2222" s="32"/>
      <c r="I2222" s="28"/>
      <c r="J2222" s="125">
        <v>0</v>
      </c>
    </row>
    <row r="2223" spans="1:10" ht="15.75" hidden="1" thickBot="1" x14ac:dyDescent="0.3">
      <c r="A2223" s="235"/>
      <c r="B2223" s="238"/>
      <c r="C2223" s="155" t="s">
        <v>134</v>
      </c>
      <c r="D2223" s="45" t="s">
        <v>76</v>
      </c>
      <c r="E2223" s="34">
        <f>ROUND(0.108*0.15*(2*2.1+0.8),4)</f>
        <v>8.1000000000000003E-2</v>
      </c>
      <c r="F2223" s="31" t="s">
        <v>418</v>
      </c>
      <c r="G2223" s="28" t="str">
        <f>IF(ISNUMBER(F2223),E2223*F2223,"")</f>
        <v/>
      </c>
      <c r="H2223" s="32"/>
      <c r="I2223" s="28"/>
      <c r="J2223" s="125">
        <v>0</v>
      </c>
    </row>
    <row r="2224" spans="1:10" ht="15.75" hidden="1" thickBot="1" x14ac:dyDescent="0.3">
      <c r="A2224" s="235"/>
      <c r="B2224" s="238"/>
      <c r="C2224" s="155" t="s">
        <v>962</v>
      </c>
      <c r="D2224" s="155" t="s">
        <v>587</v>
      </c>
      <c r="E2224" s="34">
        <f>ROUND(0.7076*0.15*(2*2.1+0.8),4)</f>
        <v>0.53069999999999995</v>
      </c>
      <c r="F2224" s="28">
        <v>26.799499999999998</v>
      </c>
      <c r="G2224" s="28">
        <f>IF(ISNUMBER(F2224),E2224*F2224,"")</f>
        <v>14.222494649999998</v>
      </c>
      <c r="H2224" s="32"/>
      <c r="I2224" s="28"/>
      <c r="J2224" s="125">
        <v>0</v>
      </c>
    </row>
    <row r="2225" spans="1:10" ht="15.75" hidden="1" thickBot="1" x14ac:dyDescent="0.3">
      <c r="A2225" s="235"/>
      <c r="B2225" s="238"/>
      <c r="C2225" s="155"/>
      <c r="D2225" s="33"/>
      <c r="E2225" s="34"/>
      <c r="F2225" s="28" t="s">
        <v>418</v>
      </c>
      <c r="G2225" s="28"/>
      <c r="H2225" s="32"/>
      <c r="I2225" s="28"/>
      <c r="J2225" s="125">
        <v>0</v>
      </c>
    </row>
    <row r="2226" spans="1:10" ht="39" hidden="1" thickBot="1" x14ac:dyDescent="0.3">
      <c r="A2226" s="235"/>
      <c r="B2226" s="238"/>
      <c r="C2226" s="47" t="s">
        <v>10306</v>
      </c>
      <c r="D2226" s="33"/>
      <c r="E2226" s="34"/>
      <c r="F2226" s="28" t="s">
        <v>418</v>
      </c>
      <c r="G2226" s="28"/>
      <c r="H2226" s="32"/>
      <c r="I2226" s="28"/>
      <c r="J2226" s="125">
        <v>0</v>
      </c>
    </row>
    <row r="2227" spans="1:10" ht="15.75" hidden="1" thickBot="1" x14ac:dyDescent="0.3">
      <c r="A2227" s="236"/>
      <c r="B2227" s="239"/>
      <c r="C2227" s="155"/>
      <c r="D2227" s="33"/>
      <c r="E2227" s="34"/>
      <c r="F2227" s="28" t="s">
        <v>418</v>
      </c>
      <c r="G2227" s="28" t="str">
        <f>IF(ISNUMBER(F2227),E2227*F2227,"")</f>
        <v/>
      </c>
      <c r="H2227" s="32"/>
      <c r="I2227" s="28"/>
      <c r="J2227" s="125">
        <v>0</v>
      </c>
    </row>
    <row r="2228" spans="1:10" ht="15.75" hidden="1" thickBot="1" x14ac:dyDescent="0.3">
      <c r="A2228" s="234" t="s">
        <v>581</v>
      </c>
      <c r="B2228" s="237" t="s">
        <v>1518</v>
      </c>
      <c r="C2228" s="118"/>
      <c r="D2228" s="23" t="s">
        <v>70</v>
      </c>
      <c r="E2228" s="24"/>
      <c r="F2228" s="37" t="s">
        <v>418</v>
      </c>
      <c r="G2228" s="25" t="str">
        <f>IF(ISNUMBER(F2228),E2228*F2228,"")</f>
        <v/>
      </c>
      <c r="H2228" s="26"/>
      <c r="I2228" s="27"/>
      <c r="J2228" s="125">
        <v>0</v>
      </c>
    </row>
    <row r="2229" spans="1:10" ht="15.75" hidden="1" thickBot="1" x14ac:dyDescent="0.3">
      <c r="A2229" s="235"/>
      <c r="B2229" s="238"/>
      <c r="C2229" s="151"/>
      <c r="D2229" s="29"/>
      <c r="E2229" s="30"/>
      <c r="F2229" s="38" t="s">
        <v>418</v>
      </c>
      <c r="G2229" s="28" t="str">
        <f>IF(ISNUMBER(F2229),E2229*F2229,"")</f>
        <v/>
      </c>
      <c r="H2229" s="32"/>
      <c r="I2229" s="28"/>
      <c r="J2229" s="125">
        <v>0</v>
      </c>
    </row>
    <row r="2230" spans="1:10" ht="15.75" hidden="1" thickBot="1" x14ac:dyDescent="0.3">
      <c r="A2230" s="235"/>
      <c r="B2230" s="238"/>
      <c r="C2230" s="155" t="s">
        <v>588</v>
      </c>
      <c r="D2230" s="155" t="s">
        <v>587</v>
      </c>
      <c r="E2230" s="34">
        <v>0.3</v>
      </c>
      <c r="F2230" s="28">
        <v>19.189999999999998</v>
      </c>
      <c r="G2230" s="31">
        <f>IF(ISNUMBER(F2230),E2230*F2230,"")</f>
        <v>5.7569999999999988</v>
      </c>
      <c r="H2230" s="35">
        <f>SUM(G2230:G2232)</f>
        <v>12.936149999999998</v>
      </c>
      <c r="I2230" s="36"/>
      <c r="J2230" s="125">
        <v>0</v>
      </c>
    </row>
    <row r="2231" spans="1:10" ht="15.75" hidden="1" thickBot="1" x14ac:dyDescent="0.3">
      <c r="A2231" s="235"/>
      <c r="B2231" s="238"/>
      <c r="C2231" s="155" t="s">
        <v>9782</v>
      </c>
      <c r="D2231" s="155" t="s">
        <v>587</v>
      </c>
      <c r="E2231" s="34">
        <v>0.3</v>
      </c>
      <c r="F2231" s="28">
        <v>23.930499999999999</v>
      </c>
      <c r="G2231" s="31">
        <f>IF(ISNUMBER(F2231),E2231*F2231,"")</f>
        <v>7.179149999999999</v>
      </c>
      <c r="H2231" s="40"/>
      <c r="I2231" s="41"/>
      <c r="J2231" s="125">
        <v>0</v>
      </c>
    </row>
    <row r="2232" spans="1:10" ht="26.25" hidden="1" thickBot="1" x14ac:dyDescent="0.3">
      <c r="A2232" s="235"/>
      <c r="B2232" s="238"/>
      <c r="C2232" s="155" t="s">
        <v>582</v>
      </c>
      <c r="D2232" s="42" t="s">
        <v>70</v>
      </c>
      <c r="E2232" s="34">
        <v>1</v>
      </c>
      <c r="F2232" s="31" t="s">
        <v>418</v>
      </c>
      <c r="G2232" s="31" t="str">
        <f>IF(ISNUMBER(F2232),E2232*F2232,"")</f>
        <v/>
      </c>
      <c r="H2232" s="32"/>
      <c r="I2232" s="28"/>
      <c r="J2232" s="125">
        <v>0</v>
      </c>
    </row>
    <row r="2233" spans="1:10" ht="15.75" hidden="1" thickBot="1" x14ac:dyDescent="0.3">
      <c r="A2233" s="236"/>
      <c r="B2233" s="239"/>
      <c r="C2233" s="155"/>
      <c r="D2233" s="33"/>
      <c r="E2233" s="34"/>
      <c r="F2233" s="28" t="s">
        <v>418</v>
      </c>
      <c r="G2233" s="28" t="str">
        <f>IF(ISNUMBER(F2233),E2233*F2233,"")</f>
        <v/>
      </c>
      <c r="H2233" s="32"/>
      <c r="I2233" s="28"/>
      <c r="J2233" s="125">
        <v>0</v>
      </c>
    </row>
    <row r="2234" spans="1:10" ht="15.75" hidden="1" thickBot="1" x14ac:dyDescent="0.3">
      <c r="A2234" s="241" t="s">
        <v>583</v>
      </c>
      <c r="B2234" s="244" t="s">
        <v>19731</v>
      </c>
      <c r="C2234" s="160"/>
      <c r="D2234" s="23" t="s">
        <v>16</v>
      </c>
      <c r="E2234" s="24"/>
      <c r="F2234" s="37" t="s">
        <v>418</v>
      </c>
      <c r="G2234" s="25" t="str">
        <f>IF(ISNUMBER(F2234),E2234*F2234,"")</f>
        <v/>
      </c>
      <c r="H2234" s="26"/>
      <c r="I2234" s="27"/>
      <c r="J2234" s="125">
        <v>0</v>
      </c>
    </row>
    <row r="2235" spans="1:10" ht="15.75" hidden="1" thickBot="1" x14ac:dyDescent="0.3">
      <c r="A2235" s="242"/>
      <c r="B2235" s="245"/>
      <c r="C2235" s="151"/>
      <c r="D2235" s="29"/>
      <c r="E2235" s="30"/>
      <c r="F2235" s="38" t="s">
        <v>418</v>
      </c>
      <c r="G2235" s="28" t="str">
        <f>IF(ISNUMBER(F2235),E2235*F2235,"")</f>
        <v/>
      </c>
      <c r="H2235" s="32"/>
      <c r="I2235" s="28"/>
      <c r="J2235" s="125">
        <v>0</v>
      </c>
    </row>
    <row r="2236" spans="1:10" ht="51.75" hidden="1" thickBot="1" x14ac:dyDescent="0.3">
      <c r="A2236" s="242"/>
      <c r="B2236" s="245"/>
      <c r="C2236" s="155" t="s">
        <v>27011</v>
      </c>
      <c r="D2236" s="155" t="s">
        <v>205</v>
      </c>
      <c r="E2236" s="34">
        <v>1</v>
      </c>
      <c r="F2236" s="31">
        <v>244.34949999999998</v>
      </c>
      <c r="G2236" s="31">
        <f>IF(ISNUMBER(F2236),E2236*F2236,"")</f>
        <v>244.34949999999998</v>
      </c>
      <c r="H2236" s="35">
        <f>SUM(G2236:G2240)</f>
        <v>326.81441720000004</v>
      </c>
      <c r="I2236" s="36"/>
      <c r="J2236" s="125">
        <v>0</v>
      </c>
    </row>
    <row r="2237" spans="1:10" ht="15.75" hidden="1" thickBot="1" x14ac:dyDescent="0.3">
      <c r="A2237" s="242"/>
      <c r="B2237" s="245"/>
      <c r="C2237" s="155" t="s">
        <v>586</v>
      </c>
      <c r="D2237" s="155" t="s">
        <v>587</v>
      </c>
      <c r="E2237" s="34">
        <f>ROUND(1.282*0.8,4)</f>
        <v>1.0256000000000001</v>
      </c>
      <c r="F2237" s="28">
        <v>24.215499999999999</v>
      </c>
      <c r="G2237" s="31">
        <f>IF(ISNUMBER(F2237),E2237*F2237,"")</f>
        <v>24.835416800000001</v>
      </c>
      <c r="H2237" s="32"/>
      <c r="I2237" s="28"/>
      <c r="J2237" s="125">
        <v>0</v>
      </c>
    </row>
    <row r="2238" spans="1:10" ht="15.75" hidden="1" thickBot="1" x14ac:dyDescent="0.3">
      <c r="A2238" s="242"/>
      <c r="B2238" s="245"/>
      <c r="C2238" s="155" t="s">
        <v>588</v>
      </c>
      <c r="D2238" s="155" t="s">
        <v>587</v>
      </c>
      <c r="E2238" s="34">
        <f>ROUND(0.641*0.8,4)</f>
        <v>0.51280000000000003</v>
      </c>
      <c r="F2238" s="28">
        <v>19.189999999999998</v>
      </c>
      <c r="G2238" s="31">
        <f>IF(ISNUMBER(F2238),E2238*F2238,"")</f>
        <v>9.8406319999999994</v>
      </c>
      <c r="H2238" s="32"/>
      <c r="I2238" s="28"/>
      <c r="J2238" s="125">
        <v>0</v>
      </c>
    </row>
    <row r="2239" spans="1:10" ht="15.75" hidden="1" thickBot="1" x14ac:dyDescent="0.3">
      <c r="A2239" s="242"/>
      <c r="B2239" s="245"/>
      <c r="C2239" s="155" t="s">
        <v>134</v>
      </c>
      <c r="D2239" s="45" t="s">
        <v>76</v>
      </c>
      <c r="E2239" s="34">
        <f>ROUND(0.108*(2*0.6*2.1),4)</f>
        <v>0.2722</v>
      </c>
      <c r="F2239" s="31" t="s">
        <v>418</v>
      </c>
      <c r="G2239" s="28" t="str">
        <f>IF(ISNUMBER(F2239),E2239*F2239,"")</f>
        <v/>
      </c>
      <c r="H2239" s="32"/>
      <c r="I2239" s="28"/>
      <c r="J2239" s="125">
        <v>0</v>
      </c>
    </row>
    <row r="2240" spans="1:10" ht="15.75" hidden="1" thickBot="1" x14ac:dyDescent="0.3">
      <c r="A2240" s="242"/>
      <c r="B2240" s="245"/>
      <c r="C2240" s="155" t="s">
        <v>962</v>
      </c>
      <c r="D2240" s="155" t="s">
        <v>587</v>
      </c>
      <c r="E2240" s="34">
        <f>ROUND(0.7076*(2*0.6*2.1),4)</f>
        <v>1.7831999999999999</v>
      </c>
      <c r="F2240" s="28">
        <v>26.799499999999998</v>
      </c>
      <c r="G2240" s="28">
        <f>IF(ISNUMBER(F2240),E2240*F2240,"")</f>
        <v>47.788868399999991</v>
      </c>
      <c r="H2240" s="32"/>
      <c r="I2240" s="28"/>
      <c r="J2240" s="125">
        <v>0</v>
      </c>
    </row>
    <row r="2241" spans="1:10" ht="15.75" hidden="1" thickBot="1" x14ac:dyDescent="0.3">
      <c r="A2241" s="242"/>
      <c r="B2241" s="245"/>
      <c r="C2241" s="155"/>
      <c r="D2241" s="33"/>
      <c r="E2241" s="34"/>
      <c r="F2241" s="28" t="s">
        <v>418</v>
      </c>
      <c r="G2241" s="28"/>
      <c r="H2241" s="32"/>
      <c r="I2241" s="28"/>
      <c r="J2241" s="125">
        <v>0</v>
      </c>
    </row>
    <row r="2242" spans="1:10" ht="39" hidden="1" thickBot="1" x14ac:dyDescent="0.3">
      <c r="A2242" s="242"/>
      <c r="B2242" s="245"/>
      <c r="C2242" s="47" t="s">
        <v>10306</v>
      </c>
      <c r="D2242" s="33"/>
      <c r="E2242" s="34"/>
      <c r="F2242" s="28" t="s">
        <v>418</v>
      </c>
      <c r="G2242" s="28"/>
      <c r="H2242" s="32"/>
      <c r="I2242" s="28"/>
      <c r="J2242" s="125">
        <v>0</v>
      </c>
    </row>
    <row r="2243" spans="1:10" ht="15.75" hidden="1" thickBot="1" x14ac:dyDescent="0.3">
      <c r="A2243" s="242"/>
      <c r="B2243" s="245"/>
      <c r="C2243" s="155"/>
      <c r="D2243" s="42"/>
      <c r="E2243" s="34"/>
      <c r="F2243" s="31" t="s">
        <v>418</v>
      </c>
      <c r="G2243" s="31" t="str">
        <f>IF(ISNUMBER(F2243),E2243*F2243,"")</f>
        <v/>
      </c>
      <c r="H2243" s="32"/>
      <c r="I2243" s="28"/>
      <c r="J2243" s="125">
        <v>0</v>
      </c>
    </row>
    <row r="2244" spans="1:10" ht="15.75" hidden="1" thickBot="1" x14ac:dyDescent="0.3">
      <c r="A2244" s="241" t="s">
        <v>589</v>
      </c>
      <c r="B2244" s="244" t="s">
        <v>19732</v>
      </c>
      <c r="C2244" s="160"/>
      <c r="D2244" s="23" t="s">
        <v>16</v>
      </c>
      <c r="E2244" s="24"/>
      <c r="F2244" s="37" t="s">
        <v>418</v>
      </c>
      <c r="G2244" s="25" t="str">
        <f>IF(ISNUMBER(F2244),E2244*F2244,"")</f>
        <v/>
      </c>
      <c r="H2244" s="26"/>
      <c r="I2244" s="27"/>
      <c r="J2244" s="125">
        <v>0</v>
      </c>
    </row>
    <row r="2245" spans="1:10" ht="15.75" hidden="1" thickBot="1" x14ac:dyDescent="0.3">
      <c r="A2245" s="242"/>
      <c r="B2245" s="245"/>
      <c r="C2245" s="151"/>
      <c r="D2245" s="29"/>
      <c r="E2245" s="30"/>
      <c r="F2245" s="38" t="s">
        <v>418</v>
      </c>
      <c r="G2245" s="28" t="str">
        <f>IF(ISNUMBER(F2245),E2245*F2245,"")</f>
        <v/>
      </c>
      <c r="H2245" s="32"/>
      <c r="I2245" s="28"/>
      <c r="J2245" s="125">
        <v>0</v>
      </c>
    </row>
    <row r="2246" spans="1:10" ht="51.75" hidden="1" thickBot="1" x14ac:dyDescent="0.3">
      <c r="A2246" s="242"/>
      <c r="B2246" s="245"/>
      <c r="C2246" s="155" t="s">
        <v>26985</v>
      </c>
      <c r="D2246" s="155" t="s">
        <v>205</v>
      </c>
      <c r="E2246" s="34">
        <v>1</v>
      </c>
      <c r="F2246" s="31">
        <v>247</v>
      </c>
      <c r="G2246" s="31">
        <f>IF(ISNUMBER(F2246),E2246*F2246,"")</f>
        <v>247</v>
      </c>
      <c r="H2246" s="35">
        <f>SUM(G2246:G2250)</f>
        <v>340.99743744999995</v>
      </c>
      <c r="I2246" s="36"/>
      <c r="J2246" s="125">
        <v>0</v>
      </c>
    </row>
    <row r="2247" spans="1:10" ht="15.75" hidden="1" thickBot="1" x14ac:dyDescent="0.3">
      <c r="A2247" s="242"/>
      <c r="B2247" s="245"/>
      <c r="C2247" s="155" t="s">
        <v>586</v>
      </c>
      <c r="D2247" s="155" t="s">
        <v>587</v>
      </c>
      <c r="E2247" s="34">
        <f>ROUND(1.414*0.8,4)</f>
        <v>1.1312</v>
      </c>
      <c r="F2247" s="28">
        <v>24.215499999999999</v>
      </c>
      <c r="G2247" s="31">
        <f>IF(ISNUMBER(F2247),E2247*F2247,"")</f>
        <v>27.392573599999999</v>
      </c>
      <c r="H2247" s="32"/>
      <c r="I2247" s="28"/>
      <c r="J2247" s="125">
        <v>0</v>
      </c>
    </row>
    <row r="2248" spans="1:10" ht="15.75" hidden="1" thickBot="1" x14ac:dyDescent="0.3">
      <c r="A2248" s="242"/>
      <c r="B2248" s="245"/>
      <c r="C2248" s="155" t="s">
        <v>588</v>
      </c>
      <c r="D2248" s="155" t="s">
        <v>587</v>
      </c>
      <c r="E2248" s="34">
        <f>ROUND(0.707*0.8,4)</f>
        <v>0.56559999999999999</v>
      </c>
      <c r="F2248" s="28">
        <v>19.189999999999998</v>
      </c>
      <c r="G2248" s="31">
        <f>IF(ISNUMBER(F2248),E2248*F2248,"")</f>
        <v>10.853863999999998</v>
      </c>
      <c r="H2248" s="32"/>
      <c r="I2248" s="28"/>
      <c r="J2248" s="125">
        <v>0</v>
      </c>
    </row>
    <row r="2249" spans="1:10" ht="15.75" hidden="1" thickBot="1" x14ac:dyDescent="0.3">
      <c r="A2249" s="242"/>
      <c r="B2249" s="245"/>
      <c r="C2249" s="155" t="s">
        <v>134</v>
      </c>
      <c r="D2249" s="45" t="s">
        <v>76</v>
      </c>
      <c r="E2249" s="34">
        <f>ROUND(0.108*(2*0.7*2.1),4)</f>
        <v>0.3175</v>
      </c>
      <c r="F2249" s="31" t="s">
        <v>418</v>
      </c>
      <c r="G2249" s="28" t="str">
        <f>IF(ISNUMBER(F2249),E2249*F2249,"")</f>
        <v/>
      </c>
      <c r="H2249" s="32"/>
      <c r="I2249" s="28"/>
      <c r="J2249" s="125">
        <v>0</v>
      </c>
    </row>
    <row r="2250" spans="1:10" ht="15.75" hidden="1" thickBot="1" x14ac:dyDescent="0.3">
      <c r="A2250" s="242"/>
      <c r="B2250" s="245"/>
      <c r="C2250" s="155" t="s">
        <v>962</v>
      </c>
      <c r="D2250" s="155" t="s">
        <v>587</v>
      </c>
      <c r="E2250" s="34">
        <f>ROUND(0.7076*(2*0.7*2.1),4)</f>
        <v>2.0802999999999998</v>
      </c>
      <c r="F2250" s="28">
        <v>26.799499999999998</v>
      </c>
      <c r="G2250" s="28">
        <f>IF(ISNUMBER(F2250),E2250*F2250,"")</f>
        <v>55.750999849999992</v>
      </c>
      <c r="H2250" s="32"/>
      <c r="I2250" s="28"/>
      <c r="J2250" s="125">
        <v>0</v>
      </c>
    </row>
    <row r="2251" spans="1:10" ht="15.75" hidden="1" thickBot="1" x14ac:dyDescent="0.3">
      <c r="A2251" s="242"/>
      <c r="B2251" s="245"/>
      <c r="C2251" s="155"/>
      <c r="D2251" s="33"/>
      <c r="E2251" s="34"/>
      <c r="F2251" s="28" t="s">
        <v>418</v>
      </c>
      <c r="G2251" s="28"/>
      <c r="H2251" s="32"/>
      <c r="I2251" s="28"/>
      <c r="J2251" s="125">
        <v>0</v>
      </c>
    </row>
    <row r="2252" spans="1:10" ht="39" hidden="1" thickBot="1" x14ac:dyDescent="0.3">
      <c r="A2252" s="242"/>
      <c r="B2252" s="245"/>
      <c r="C2252" s="47" t="s">
        <v>10306</v>
      </c>
      <c r="D2252" s="33"/>
      <c r="E2252" s="34"/>
      <c r="F2252" s="28" t="s">
        <v>418</v>
      </c>
      <c r="G2252" s="28"/>
      <c r="H2252" s="32"/>
      <c r="I2252" s="28"/>
      <c r="J2252" s="125">
        <v>0</v>
      </c>
    </row>
    <row r="2253" spans="1:10" ht="15.75" hidden="1" thickBot="1" x14ac:dyDescent="0.3">
      <c r="A2253" s="242"/>
      <c r="B2253" s="245"/>
      <c r="C2253" s="155"/>
      <c r="D2253" s="42"/>
      <c r="E2253" s="34"/>
      <c r="F2253" s="31" t="s">
        <v>418</v>
      </c>
      <c r="G2253" s="31" t="str">
        <f>IF(ISNUMBER(F2253),E2253*F2253,"")</f>
        <v/>
      </c>
      <c r="H2253" s="32"/>
      <c r="I2253" s="28"/>
      <c r="J2253" s="125">
        <v>0</v>
      </c>
    </row>
    <row r="2254" spans="1:10" ht="15.75" hidden="1" thickBot="1" x14ac:dyDescent="0.3">
      <c r="A2254" s="241" t="s">
        <v>590</v>
      </c>
      <c r="B2254" s="244" t="s">
        <v>19733</v>
      </c>
      <c r="C2254" s="160"/>
      <c r="D2254" s="23" t="s">
        <v>16</v>
      </c>
      <c r="E2254" s="24"/>
      <c r="F2254" s="37" t="s">
        <v>418</v>
      </c>
      <c r="G2254" s="25" t="str">
        <f>IF(ISNUMBER(F2254),E2254*F2254,"")</f>
        <v/>
      </c>
      <c r="H2254" s="26"/>
      <c r="I2254" s="27"/>
      <c r="J2254" s="125">
        <v>0</v>
      </c>
    </row>
    <row r="2255" spans="1:10" ht="15.75" hidden="1" thickBot="1" x14ac:dyDescent="0.3">
      <c r="A2255" s="242"/>
      <c r="B2255" s="245"/>
      <c r="C2255" s="151"/>
      <c r="D2255" s="29"/>
      <c r="E2255" s="30"/>
      <c r="F2255" s="38" t="s">
        <v>418</v>
      </c>
      <c r="G2255" s="28" t="str">
        <f>IF(ISNUMBER(F2255),E2255*F2255,"")</f>
        <v/>
      </c>
      <c r="H2255" s="32"/>
      <c r="I2255" s="28"/>
      <c r="J2255" s="125">
        <v>0</v>
      </c>
    </row>
    <row r="2256" spans="1:10" ht="51.75" hidden="1" thickBot="1" x14ac:dyDescent="0.3">
      <c r="A2256" s="242"/>
      <c r="B2256" s="245"/>
      <c r="C2256" s="155" t="s">
        <v>26987</v>
      </c>
      <c r="D2256" s="155" t="s">
        <v>205</v>
      </c>
      <c r="E2256" s="34">
        <v>1</v>
      </c>
      <c r="F2256" s="31">
        <v>306.08999999999997</v>
      </c>
      <c r="G2256" s="31">
        <f>IF(ISNUMBER(F2256),E2256*F2256,"")</f>
        <v>306.08999999999997</v>
      </c>
      <c r="H2256" s="35">
        <f>SUM(G2256:G2260)</f>
        <v>411.62263765</v>
      </c>
      <c r="I2256" s="36"/>
      <c r="J2256" s="125">
        <v>0</v>
      </c>
    </row>
    <row r="2257" spans="1:10" ht="15.75" hidden="1" thickBot="1" x14ac:dyDescent="0.3">
      <c r="A2257" s="242"/>
      <c r="B2257" s="245"/>
      <c r="C2257" s="155" t="s">
        <v>586</v>
      </c>
      <c r="D2257" s="155" t="s">
        <v>587</v>
      </c>
      <c r="E2257" s="34">
        <f>ROUND(1.546*0.8,4)</f>
        <v>1.2367999999999999</v>
      </c>
      <c r="F2257" s="28">
        <v>24.215499999999999</v>
      </c>
      <c r="G2257" s="31">
        <f>IF(ISNUMBER(F2257),E2257*F2257,"")</f>
        <v>29.949730399999996</v>
      </c>
      <c r="H2257" s="32"/>
      <c r="I2257" s="28"/>
      <c r="J2257" s="125">
        <v>0</v>
      </c>
    </row>
    <row r="2258" spans="1:10" ht="15.75" hidden="1" thickBot="1" x14ac:dyDescent="0.3">
      <c r="A2258" s="242"/>
      <c r="B2258" s="245"/>
      <c r="C2258" s="155" t="s">
        <v>588</v>
      </c>
      <c r="D2258" s="155" t="s">
        <v>587</v>
      </c>
      <c r="E2258" s="34">
        <f>ROUND(0.773*0.8,4)</f>
        <v>0.61839999999999995</v>
      </c>
      <c r="F2258" s="28">
        <v>19.189999999999998</v>
      </c>
      <c r="G2258" s="31">
        <f>IF(ISNUMBER(F2258),E2258*F2258,"")</f>
        <v>11.867095999999998</v>
      </c>
      <c r="H2258" s="32"/>
      <c r="I2258" s="28"/>
      <c r="J2258" s="125">
        <v>0</v>
      </c>
    </row>
    <row r="2259" spans="1:10" ht="15.75" hidden="1" thickBot="1" x14ac:dyDescent="0.3">
      <c r="A2259" s="242"/>
      <c r="B2259" s="245"/>
      <c r="C2259" s="155" t="s">
        <v>134</v>
      </c>
      <c r="D2259" s="45" t="s">
        <v>76</v>
      </c>
      <c r="E2259" s="34">
        <f>ROUND(0.108*(2*0.8*2.1),4)</f>
        <v>0.3629</v>
      </c>
      <c r="F2259" s="31" t="s">
        <v>418</v>
      </c>
      <c r="G2259" s="28" t="str">
        <f>IF(ISNUMBER(F2259),E2259*F2259,"")</f>
        <v/>
      </c>
      <c r="H2259" s="32"/>
      <c r="I2259" s="28"/>
      <c r="J2259" s="125">
        <v>0</v>
      </c>
    </row>
    <row r="2260" spans="1:10" ht="15.75" hidden="1" thickBot="1" x14ac:dyDescent="0.3">
      <c r="A2260" s="242"/>
      <c r="B2260" s="245"/>
      <c r="C2260" s="155" t="s">
        <v>962</v>
      </c>
      <c r="D2260" s="155" t="s">
        <v>587</v>
      </c>
      <c r="E2260" s="34">
        <f>ROUND(0.7076*(2*0.8*2.1),4)</f>
        <v>2.3774999999999999</v>
      </c>
      <c r="F2260" s="28">
        <v>26.799499999999998</v>
      </c>
      <c r="G2260" s="28">
        <f>IF(ISNUMBER(F2260),E2260*F2260,"")</f>
        <v>63.715811249999994</v>
      </c>
      <c r="H2260" s="32"/>
      <c r="I2260" s="28"/>
      <c r="J2260" s="125">
        <v>0</v>
      </c>
    </row>
    <row r="2261" spans="1:10" ht="15.75" hidden="1" thickBot="1" x14ac:dyDescent="0.3">
      <c r="A2261" s="242"/>
      <c r="B2261" s="245"/>
      <c r="C2261" s="155"/>
      <c r="D2261" s="33"/>
      <c r="E2261" s="34"/>
      <c r="F2261" s="28" t="s">
        <v>418</v>
      </c>
      <c r="G2261" s="28"/>
      <c r="H2261" s="32"/>
      <c r="I2261" s="28"/>
      <c r="J2261" s="125">
        <v>0</v>
      </c>
    </row>
    <row r="2262" spans="1:10" ht="39" hidden="1" thickBot="1" x14ac:dyDescent="0.3">
      <c r="A2262" s="242"/>
      <c r="B2262" s="245"/>
      <c r="C2262" s="47" t="s">
        <v>10306</v>
      </c>
      <c r="D2262" s="33"/>
      <c r="E2262" s="34"/>
      <c r="F2262" s="28" t="s">
        <v>418</v>
      </c>
      <c r="G2262" s="28"/>
      <c r="H2262" s="32"/>
      <c r="I2262" s="28"/>
      <c r="J2262" s="125">
        <v>0</v>
      </c>
    </row>
    <row r="2263" spans="1:10" ht="15.75" hidden="1" thickBot="1" x14ac:dyDescent="0.3">
      <c r="A2263" s="242"/>
      <c r="B2263" s="245"/>
      <c r="C2263" s="155"/>
      <c r="D2263" s="42"/>
      <c r="E2263" s="34"/>
      <c r="F2263" s="31" t="s">
        <v>418</v>
      </c>
      <c r="G2263" s="31" t="str">
        <f>IF(ISNUMBER(F2263),E2263*F2263,"")</f>
        <v/>
      </c>
      <c r="H2263" s="32"/>
      <c r="I2263" s="28"/>
      <c r="J2263" s="125">
        <v>0</v>
      </c>
    </row>
    <row r="2264" spans="1:10" ht="15.75" hidden="1" thickBot="1" x14ac:dyDescent="0.3">
      <c r="A2264" s="241" t="s">
        <v>591</v>
      </c>
      <c r="B2264" s="244" t="s">
        <v>19734</v>
      </c>
      <c r="C2264" s="160"/>
      <c r="D2264" s="23" t="s">
        <v>16</v>
      </c>
      <c r="E2264" s="24"/>
      <c r="F2264" s="37" t="s">
        <v>418</v>
      </c>
      <c r="G2264" s="25" t="str">
        <f>IF(ISNUMBER(F2264),E2264*F2264,"")</f>
        <v/>
      </c>
      <c r="H2264" s="26"/>
      <c r="I2264" s="27"/>
      <c r="J2264" s="125">
        <v>0</v>
      </c>
    </row>
    <row r="2265" spans="1:10" ht="15.75" hidden="1" thickBot="1" x14ac:dyDescent="0.3">
      <c r="A2265" s="242"/>
      <c r="B2265" s="245"/>
      <c r="C2265" s="151"/>
      <c r="D2265" s="29"/>
      <c r="E2265" s="30"/>
      <c r="F2265" s="38" t="s">
        <v>418</v>
      </c>
      <c r="G2265" s="28" t="str">
        <f>IF(ISNUMBER(F2265),E2265*F2265,"")</f>
        <v/>
      </c>
      <c r="H2265" s="32"/>
      <c r="I2265" s="28"/>
      <c r="J2265" s="125">
        <v>0</v>
      </c>
    </row>
    <row r="2266" spans="1:10" ht="51.75" hidden="1" thickBot="1" x14ac:dyDescent="0.3">
      <c r="A2266" s="242"/>
      <c r="B2266" s="245"/>
      <c r="C2266" s="155" t="s">
        <v>26988</v>
      </c>
      <c r="D2266" s="155" t="s">
        <v>205</v>
      </c>
      <c r="E2266" s="34">
        <v>1</v>
      </c>
      <c r="F2266" s="31">
        <v>350.18899999999996</v>
      </c>
      <c r="G2266" s="31">
        <f>IF(ISNUMBER(F2266),E2266*F2266,"")</f>
        <v>350.18899999999996</v>
      </c>
      <c r="H2266" s="35">
        <f>SUM(G2266:G2270)</f>
        <v>467.25683785000001</v>
      </c>
      <c r="I2266" s="36"/>
      <c r="J2266" s="125">
        <v>0</v>
      </c>
    </row>
    <row r="2267" spans="1:10" ht="15.75" hidden="1" thickBot="1" x14ac:dyDescent="0.3">
      <c r="A2267" s="242"/>
      <c r="B2267" s="245"/>
      <c r="C2267" s="155" t="s">
        <v>586</v>
      </c>
      <c r="D2267" s="155" t="s">
        <v>587</v>
      </c>
      <c r="E2267" s="34">
        <f>ROUND(1.678*0.8,4)</f>
        <v>1.3424</v>
      </c>
      <c r="F2267" s="28">
        <v>24.215499999999999</v>
      </c>
      <c r="G2267" s="31">
        <f>IF(ISNUMBER(F2267),E2267*F2267,"")</f>
        <v>32.506887200000001</v>
      </c>
      <c r="H2267" s="32"/>
      <c r="I2267" s="28"/>
      <c r="J2267" s="125">
        <v>0</v>
      </c>
    </row>
    <row r="2268" spans="1:10" ht="15.75" hidden="1" thickBot="1" x14ac:dyDescent="0.3">
      <c r="A2268" s="242"/>
      <c r="B2268" s="245"/>
      <c r="C2268" s="155" t="s">
        <v>588</v>
      </c>
      <c r="D2268" s="155" t="s">
        <v>587</v>
      </c>
      <c r="E2268" s="34">
        <f>ROUND(0.839*0.8,4)</f>
        <v>0.67120000000000002</v>
      </c>
      <c r="F2268" s="28">
        <v>19.189999999999998</v>
      </c>
      <c r="G2268" s="31">
        <f>IF(ISNUMBER(F2268),E2268*F2268,"")</f>
        <v>12.880327999999999</v>
      </c>
      <c r="H2268" s="32"/>
      <c r="I2268" s="28"/>
      <c r="J2268" s="125">
        <v>0</v>
      </c>
    </row>
    <row r="2269" spans="1:10" ht="15.75" hidden="1" thickBot="1" x14ac:dyDescent="0.3">
      <c r="A2269" s="242"/>
      <c r="B2269" s="245"/>
      <c r="C2269" s="155" t="s">
        <v>134</v>
      </c>
      <c r="D2269" s="45" t="s">
        <v>76</v>
      </c>
      <c r="E2269" s="34">
        <f>ROUND(0.108*(2*0.9*2.1),4)</f>
        <v>0.40820000000000001</v>
      </c>
      <c r="F2269" s="31" t="s">
        <v>418</v>
      </c>
      <c r="G2269" s="28" t="str">
        <f>IF(ISNUMBER(F2269),E2269*F2269,"")</f>
        <v/>
      </c>
      <c r="H2269" s="32"/>
      <c r="I2269" s="28"/>
      <c r="J2269" s="125">
        <v>0</v>
      </c>
    </row>
    <row r="2270" spans="1:10" ht="15.75" hidden="1" thickBot="1" x14ac:dyDescent="0.3">
      <c r="A2270" s="242"/>
      <c r="B2270" s="245"/>
      <c r="C2270" s="155" t="s">
        <v>962</v>
      </c>
      <c r="D2270" s="155" t="s">
        <v>587</v>
      </c>
      <c r="E2270" s="34">
        <f>ROUND(0.7076*(2*0.9*2.1),4)</f>
        <v>2.6747000000000001</v>
      </c>
      <c r="F2270" s="28">
        <v>26.799499999999998</v>
      </c>
      <c r="G2270" s="28">
        <f>IF(ISNUMBER(F2270),E2270*F2270,"")</f>
        <v>71.680622650000004</v>
      </c>
      <c r="H2270" s="32"/>
      <c r="I2270" s="28"/>
      <c r="J2270" s="125">
        <v>0</v>
      </c>
    </row>
    <row r="2271" spans="1:10" ht="15.75" hidden="1" thickBot="1" x14ac:dyDescent="0.3">
      <c r="A2271" s="242"/>
      <c r="B2271" s="245"/>
      <c r="C2271" s="155"/>
      <c r="D2271" s="33"/>
      <c r="E2271" s="34"/>
      <c r="F2271" s="28" t="s">
        <v>418</v>
      </c>
      <c r="G2271" s="28"/>
      <c r="H2271" s="32"/>
      <c r="I2271" s="28"/>
      <c r="J2271" s="125">
        <v>0</v>
      </c>
    </row>
    <row r="2272" spans="1:10" ht="39" hidden="1" thickBot="1" x14ac:dyDescent="0.3">
      <c r="A2272" s="242"/>
      <c r="B2272" s="245"/>
      <c r="C2272" s="47" t="s">
        <v>10306</v>
      </c>
      <c r="D2272" s="33"/>
      <c r="E2272" s="34"/>
      <c r="F2272" s="28" t="s">
        <v>418</v>
      </c>
      <c r="G2272" s="28"/>
      <c r="H2272" s="32"/>
      <c r="I2272" s="28"/>
      <c r="J2272" s="125">
        <v>0</v>
      </c>
    </row>
    <row r="2273" spans="1:10" ht="15.75" hidden="1" thickBot="1" x14ac:dyDescent="0.3">
      <c r="A2273" s="242"/>
      <c r="B2273" s="245"/>
      <c r="C2273" s="155"/>
      <c r="D2273" s="42"/>
      <c r="E2273" s="34"/>
      <c r="F2273" s="31" t="s">
        <v>418</v>
      </c>
      <c r="G2273" s="31" t="str">
        <f>IF(ISNUMBER(F2273),E2273*F2273,"")</f>
        <v/>
      </c>
      <c r="H2273" s="32"/>
      <c r="I2273" s="28"/>
      <c r="J2273" s="125">
        <v>0</v>
      </c>
    </row>
    <row r="2274" spans="1:10" ht="15.75" hidden="1" thickBot="1" x14ac:dyDescent="0.3">
      <c r="A2274" s="241" t="s">
        <v>592</v>
      </c>
      <c r="B2274" s="244" t="s">
        <v>19735</v>
      </c>
      <c r="C2274" s="160"/>
      <c r="D2274" s="23" t="s">
        <v>16</v>
      </c>
      <c r="E2274" s="24"/>
      <c r="F2274" s="37" t="s">
        <v>418</v>
      </c>
      <c r="G2274" s="25" t="str">
        <f>IF(ISNUMBER(F2274),E2274*F2274,"")</f>
        <v/>
      </c>
      <c r="H2274" s="26"/>
      <c r="I2274" s="27"/>
      <c r="J2274" s="125">
        <v>0</v>
      </c>
    </row>
    <row r="2275" spans="1:10" ht="15.75" hidden="1" thickBot="1" x14ac:dyDescent="0.3">
      <c r="A2275" s="242"/>
      <c r="B2275" s="245"/>
      <c r="C2275" s="151"/>
      <c r="D2275" s="29"/>
      <c r="E2275" s="30"/>
      <c r="F2275" s="38" t="s">
        <v>418</v>
      </c>
      <c r="G2275" s="28" t="str">
        <f>IF(ISNUMBER(F2275),E2275*F2275,"")</f>
        <v/>
      </c>
      <c r="H2275" s="32"/>
      <c r="I2275" s="28"/>
      <c r="J2275" s="125">
        <v>0</v>
      </c>
    </row>
    <row r="2276" spans="1:10" ht="51.75" hidden="1" thickBot="1" x14ac:dyDescent="0.3">
      <c r="A2276" s="242"/>
      <c r="B2276" s="245"/>
      <c r="C2276" s="155" t="s">
        <v>26982</v>
      </c>
      <c r="D2276" s="155" t="s">
        <v>205</v>
      </c>
      <c r="E2276" s="34">
        <v>1</v>
      </c>
      <c r="F2276" s="31">
        <v>375.08849999999995</v>
      </c>
      <c r="G2276" s="31">
        <f>IF(ISNUMBER(F2276),E2276*F2276,"")</f>
        <v>375.08849999999995</v>
      </c>
      <c r="H2276" s="35">
        <f>SUM(G2276:G2280)</f>
        <v>500.12114924999997</v>
      </c>
      <c r="I2276" s="36"/>
      <c r="J2276" s="125">
        <v>0</v>
      </c>
    </row>
    <row r="2277" spans="1:10" ht="15.75" hidden="1" thickBot="1" x14ac:dyDescent="0.3">
      <c r="A2277" s="242"/>
      <c r="B2277" s="245"/>
      <c r="C2277" s="155" t="s">
        <v>586</v>
      </c>
      <c r="D2277" s="155" t="s">
        <v>587</v>
      </c>
      <c r="E2277" s="34">
        <f>ROUND(1.678*0.8,4)</f>
        <v>1.3424</v>
      </c>
      <c r="F2277" s="28">
        <v>24.215499999999999</v>
      </c>
      <c r="G2277" s="31">
        <f>IF(ISNUMBER(F2277),E2277*F2277,"")</f>
        <v>32.506887200000001</v>
      </c>
      <c r="H2277" s="32"/>
      <c r="I2277" s="28"/>
      <c r="J2277" s="125">
        <v>0</v>
      </c>
    </row>
    <row r="2278" spans="1:10" ht="15.75" hidden="1" thickBot="1" x14ac:dyDescent="0.3">
      <c r="A2278" s="242"/>
      <c r="B2278" s="245"/>
      <c r="C2278" s="155" t="s">
        <v>588</v>
      </c>
      <c r="D2278" s="155" t="s">
        <v>587</v>
      </c>
      <c r="E2278" s="34">
        <f>ROUND(0.839*0.8,4)</f>
        <v>0.67120000000000002</v>
      </c>
      <c r="F2278" s="28">
        <v>19.189999999999998</v>
      </c>
      <c r="G2278" s="31">
        <f>IF(ISNUMBER(F2278),E2278*F2278,"")</f>
        <v>12.880327999999999</v>
      </c>
      <c r="H2278" s="32"/>
      <c r="I2278" s="28"/>
      <c r="J2278" s="125">
        <v>0</v>
      </c>
    </row>
    <row r="2279" spans="1:10" ht="15.75" hidden="1" thickBot="1" x14ac:dyDescent="0.3">
      <c r="A2279" s="242"/>
      <c r="B2279" s="245"/>
      <c r="C2279" s="155" t="s">
        <v>134</v>
      </c>
      <c r="D2279" s="45" t="s">
        <v>76</v>
      </c>
      <c r="E2279" s="34">
        <f>ROUND(0.108*(2*1*2.1),4)</f>
        <v>0.4536</v>
      </c>
      <c r="F2279" s="31" t="s">
        <v>418</v>
      </c>
      <c r="G2279" s="28" t="str">
        <f>IF(ISNUMBER(F2279),E2279*F2279,"")</f>
        <v/>
      </c>
      <c r="H2279" s="32"/>
      <c r="I2279" s="28"/>
      <c r="J2279" s="125">
        <v>0</v>
      </c>
    </row>
    <row r="2280" spans="1:10" ht="15.75" hidden="1" thickBot="1" x14ac:dyDescent="0.3">
      <c r="A2280" s="242"/>
      <c r="B2280" s="245"/>
      <c r="C2280" s="155" t="s">
        <v>962</v>
      </c>
      <c r="D2280" s="155" t="s">
        <v>587</v>
      </c>
      <c r="E2280" s="34">
        <f>ROUND(0.7076*(2*1*2.1),4)</f>
        <v>2.9719000000000002</v>
      </c>
      <c r="F2280" s="28">
        <v>26.799499999999998</v>
      </c>
      <c r="G2280" s="28">
        <f>IF(ISNUMBER(F2280),E2280*F2280,"")</f>
        <v>79.645434050000006</v>
      </c>
      <c r="H2280" s="32"/>
      <c r="I2280" s="28"/>
      <c r="J2280" s="125">
        <v>0</v>
      </c>
    </row>
    <row r="2281" spans="1:10" ht="15.75" hidden="1" thickBot="1" x14ac:dyDescent="0.3">
      <c r="A2281" s="242"/>
      <c r="B2281" s="245"/>
      <c r="C2281" s="155"/>
      <c r="D2281" s="33"/>
      <c r="E2281" s="34"/>
      <c r="F2281" s="28" t="s">
        <v>418</v>
      </c>
      <c r="G2281" s="28"/>
      <c r="H2281" s="32"/>
      <c r="I2281" s="28"/>
      <c r="J2281" s="125">
        <v>0</v>
      </c>
    </row>
    <row r="2282" spans="1:10" ht="39" hidden="1" thickBot="1" x14ac:dyDescent="0.3">
      <c r="A2282" s="242"/>
      <c r="B2282" s="245"/>
      <c r="C2282" s="47" t="s">
        <v>10306</v>
      </c>
      <c r="D2282" s="33"/>
      <c r="E2282" s="34"/>
      <c r="F2282" s="28" t="s">
        <v>418</v>
      </c>
      <c r="G2282" s="28"/>
      <c r="H2282" s="32"/>
      <c r="I2282" s="28"/>
      <c r="J2282" s="125">
        <v>0</v>
      </c>
    </row>
    <row r="2283" spans="1:10" ht="15.75" hidden="1" thickBot="1" x14ac:dyDescent="0.3">
      <c r="A2283" s="242"/>
      <c r="B2283" s="245"/>
      <c r="C2283" s="155"/>
      <c r="D2283" s="42"/>
      <c r="E2283" s="34"/>
      <c r="F2283" s="31" t="s">
        <v>418</v>
      </c>
      <c r="G2283" s="31" t="str">
        <f>IF(ISNUMBER(F2283),E2283*F2283,"")</f>
        <v/>
      </c>
      <c r="H2283" s="32"/>
      <c r="I2283" s="28"/>
      <c r="J2283" s="125">
        <v>0</v>
      </c>
    </row>
    <row r="2284" spans="1:10" ht="15.75" hidden="1" thickBot="1" x14ac:dyDescent="0.3">
      <c r="A2284" s="241" t="s">
        <v>593</v>
      </c>
      <c r="B2284" s="244" t="s">
        <v>1519</v>
      </c>
      <c r="C2284" s="160"/>
      <c r="D2284" s="23" t="s">
        <v>16</v>
      </c>
      <c r="E2284" s="24"/>
      <c r="F2284" s="37" t="s">
        <v>418</v>
      </c>
      <c r="G2284" s="25" t="str">
        <f>IF(ISNUMBER(F2284),E2284*F2284,"")</f>
        <v/>
      </c>
      <c r="H2284" s="26"/>
      <c r="I2284" s="27"/>
      <c r="J2284" s="125">
        <v>0</v>
      </c>
    </row>
    <row r="2285" spans="1:10" ht="15.75" hidden="1" thickBot="1" x14ac:dyDescent="0.3">
      <c r="A2285" s="242"/>
      <c r="B2285" s="245"/>
      <c r="C2285" s="151"/>
      <c r="D2285" s="29"/>
      <c r="E2285" s="30"/>
      <c r="F2285" s="38" t="s">
        <v>418</v>
      </c>
      <c r="G2285" s="28" t="str">
        <f>IF(ISNUMBER(F2285),E2285*F2285,"")</f>
        <v/>
      </c>
      <c r="H2285" s="32"/>
      <c r="I2285" s="28"/>
      <c r="J2285" s="125">
        <v>0</v>
      </c>
    </row>
    <row r="2286" spans="1:10" ht="15.75" hidden="1" thickBot="1" x14ac:dyDescent="0.3">
      <c r="A2286" s="242"/>
      <c r="B2286" s="245"/>
      <c r="C2286" s="155" t="s">
        <v>1296</v>
      </c>
      <c r="D2286" s="155" t="s">
        <v>774</v>
      </c>
      <c r="E2286" s="34">
        <v>1.0999999999999999E-2</v>
      </c>
      <c r="F2286" s="31">
        <v>26.742499999999996</v>
      </c>
      <c r="G2286" s="28">
        <f>IF(ISNUMBER(F2286),E2286*F2286,"")</f>
        <v>0.29416749999999992</v>
      </c>
      <c r="H2286" s="35">
        <f>SUM(G2286:G2289)</f>
        <v>93.196691000000001</v>
      </c>
      <c r="I2286" s="36"/>
      <c r="J2286" s="125">
        <v>0</v>
      </c>
    </row>
    <row r="2287" spans="1:10" ht="15.75" hidden="1" thickBot="1" x14ac:dyDescent="0.3">
      <c r="A2287" s="242"/>
      <c r="B2287" s="245"/>
      <c r="C2287" s="155" t="s">
        <v>74</v>
      </c>
      <c r="D2287" s="155" t="s">
        <v>774</v>
      </c>
      <c r="E2287" s="34">
        <v>2.4E-2</v>
      </c>
      <c r="F2287" s="31">
        <v>20.291999999999998</v>
      </c>
      <c r="G2287" s="28">
        <f>IF(ISNUMBER(F2287),E2287*F2287,"")</f>
        <v>0.48700799999999994</v>
      </c>
      <c r="H2287" s="32"/>
      <c r="I2287" s="28"/>
      <c r="J2287" s="125">
        <v>0</v>
      </c>
    </row>
    <row r="2288" spans="1:10" ht="15.75" hidden="1" thickBot="1" x14ac:dyDescent="0.3">
      <c r="A2288" s="242"/>
      <c r="B2288" s="245"/>
      <c r="C2288" s="155" t="s">
        <v>586</v>
      </c>
      <c r="D2288" s="155" t="s">
        <v>587</v>
      </c>
      <c r="E2288" s="34">
        <v>2.7410000000000001</v>
      </c>
      <c r="F2288" s="28">
        <v>24.215499999999999</v>
      </c>
      <c r="G2288" s="28">
        <f>IF(ISNUMBER(F2288),E2288*F2288,"")</f>
        <v>66.374685499999998</v>
      </c>
      <c r="H2288" s="32"/>
      <c r="I2288" s="28"/>
      <c r="J2288" s="125">
        <v>0</v>
      </c>
    </row>
    <row r="2289" spans="1:10" ht="15.75" hidden="1" thickBot="1" x14ac:dyDescent="0.3">
      <c r="A2289" s="242"/>
      <c r="B2289" s="245"/>
      <c r="C2289" s="155" t="s">
        <v>588</v>
      </c>
      <c r="D2289" s="155" t="s">
        <v>587</v>
      </c>
      <c r="E2289" s="34">
        <v>1.357</v>
      </c>
      <c r="F2289" s="28">
        <v>19.189999999999998</v>
      </c>
      <c r="G2289" s="28">
        <f>IF(ISNUMBER(F2289),E2289*F2289,"")</f>
        <v>26.040829999999996</v>
      </c>
      <c r="H2289" s="32"/>
      <c r="I2289" s="28"/>
      <c r="J2289" s="125">
        <v>0</v>
      </c>
    </row>
    <row r="2290" spans="1:10" ht="15.75" hidden="1" thickBot="1" x14ac:dyDescent="0.3">
      <c r="A2290" s="242"/>
      <c r="B2290" s="245"/>
      <c r="C2290" s="155"/>
      <c r="D2290" s="33"/>
      <c r="E2290" s="34"/>
      <c r="F2290" s="28" t="s">
        <v>418</v>
      </c>
      <c r="G2290" s="31" t="str">
        <f>IF(ISNUMBER(F2290),E2290*F2290,"")</f>
        <v/>
      </c>
      <c r="H2290" s="32"/>
      <c r="I2290" s="28"/>
      <c r="J2290" s="125">
        <v>0</v>
      </c>
    </row>
    <row r="2291" spans="1:10" ht="15.75" hidden="1" thickBot="1" x14ac:dyDescent="0.3">
      <c r="A2291" s="241" t="s">
        <v>594</v>
      </c>
      <c r="B2291" s="244" t="s">
        <v>1520</v>
      </c>
      <c r="C2291" s="160"/>
      <c r="D2291" s="23" t="s">
        <v>16</v>
      </c>
      <c r="E2291" s="24"/>
      <c r="F2291" s="37" t="s">
        <v>418</v>
      </c>
      <c r="G2291" s="25" t="str">
        <f>IF(ISNUMBER(F2291),E2291*F2291,"")</f>
        <v/>
      </c>
      <c r="H2291" s="26"/>
      <c r="I2291" s="27"/>
      <c r="J2291" s="125">
        <v>0</v>
      </c>
    </row>
    <row r="2292" spans="1:10" ht="15.75" hidden="1" thickBot="1" x14ac:dyDescent="0.3">
      <c r="A2292" s="242"/>
      <c r="B2292" s="245"/>
      <c r="C2292" s="151"/>
      <c r="D2292" s="29"/>
      <c r="E2292" s="30"/>
      <c r="F2292" s="38" t="s">
        <v>418</v>
      </c>
      <c r="G2292" s="31" t="str">
        <f>IF(ISNUMBER(F2292),E2292*F2292,"")</f>
        <v/>
      </c>
      <c r="H2292" s="32"/>
      <c r="I2292" s="28"/>
      <c r="J2292" s="125">
        <v>0</v>
      </c>
    </row>
    <row r="2293" spans="1:10" ht="26.25" hidden="1" thickBot="1" x14ac:dyDescent="0.3">
      <c r="A2293" s="242"/>
      <c r="B2293" s="245"/>
      <c r="C2293" s="155" t="s">
        <v>585</v>
      </c>
      <c r="D2293" s="155" t="s">
        <v>205</v>
      </c>
      <c r="E2293" s="34">
        <v>19.8</v>
      </c>
      <c r="F2293" s="28">
        <v>5.6999999999999995E-2</v>
      </c>
      <c r="G2293" s="31">
        <f>IF(ISNUMBER(F2293),E2293*F2293,"")</f>
        <v>1.1286</v>
      </c>
      <c r="H2293" s="35">
        <f>SUM(G2293:G2296)</f>
        <v>67.396742999999987</v>
      </c>
      <c r="I2293" s="36"/>
      <c r="J2293" s="125">
        <v>0</v>
      </c>
    </row>
    <row r="2294" spans="1:10" ht="15.75" hidden="1" thickBot="1" x14ac:dyDescent="0.3">
      <c r="A2294" s="242"/>
      <c r="B2294" s="245"/>
      <c r="C2294" s="155" t="s">
        <v>586</v>
      </c>
      <c r="D2294" s="155" t="s">
        <v>587</v>
      </c>
      <c r="E2294" s="34">
        <v>1.546</v>
      </c>
      <c r="F2294" s="28">
        <v>24.215499999999999</v>
      </c>
      <c r="G2294" s="31">
        <f>IF(ISNUMBER(F2294),E2294*F2294,"")</f>
        <v>37.437162999999998</v>
      </c>
      <c r="H2294" s="32"/>
      <c r="I2294" s="28"/>
      <c r="J2294" s="125">
        <v>0</v>
      </c>
    </row>
    <row r="2295" spans="1:10" ht="15.75" hidden="1" thickBot="1" x14ac:dyDescent="0.3">
      <c r="A2295" s="242"/>
      <c r="B2295" s="245"/>
      <c r="C2295" s="155" t="s">
        <v>595</v>
      </c>
      <c r="D2295" s="155" t="s">
        <v>587</v>
      </c>
      <c r="E2295" s="34">
        <v>0.221</v>
      </c>
      <c r="F2295" s="28">
        <v>25.65</v>
      </c>
      <c r="G2295" s="31">
        <f>IF(ISNUMBER(F2295),E2295*F2295,"")</f>
        <v>5.6686499999999995</v>
      </c>
      <c r="H2295" s="32"/>
      <c r="I2295" s="28"/>
      <c r="J2295" s="125">
        <v>0</v>
      </c>
    </row>
    <row r="2296" spans="1:10" ht="15.75" hidden="1" thickBot="1" x14ac:dyDescent="0.3">
      <c r="A2296" s="242"/>
      <c r="B2296" s="245"/>
      <c r="C2296" s="155" t="s">
        <v>588</v>
      </c>
      <c r="D2296" s="155" t="s">
        <v>587</v>
      </c>
      <c r="E2296" s="34">
        <v>1.2070000000000001</v>
      </c>
      <c r="F2296" s="28">
        <v>19.189999999999998</v>
      </c>
      <c r="G2296" s="31">
        <f>IF(ISNUMBER(F2296),E2296*F2296,"")</f>
        <v>23.162329999999997</v>
      </c>
      <c r="H2296" s="32"/>
      <c r="I2296" s="28"/>
      <c r="J2296" s="125">
        <v>0</v>
      </c>
    </row>
    <row r="2297" spans="1:10" ht="15.75" hidden="1" thickBot="1" x14ac:dyDescent="0.3">
      <c r="A2297" s="242"/>
      <c r="B2297" s="245"/>
      <c r="C2297" s="155"/>
      <c r="D2297" s="33"/>
      <c r="E2297" s="34"/>
      <c r="F2297" s="28" t="s">
        <v>418</v>
      </c>
      <c r="G2297" s="31" t="str">
        <f>IF(ISNUMBER(F2297),E2297*F2297,"")</f>
        <v/>
      </c>
      <c r="H2297" s="32"/>
      <c r="I2297" s="28"/>
      <c r="J2297" s="125">
        <v>0</v>
      </c>
    </row>
    <row r="2298" spans="1:10" ht="15.75" hidden="1" thickBot="1" x14ac:dyDescent="0.3">
      <c r="A2298" s="234" t="s">
        <v>596</v>
      </c>
      <c r="B2298" s="237" t="s">
        <v>1521</v>
      </c>
      <c r="C2298" s="160"/>
      <c r="D2298" s="23" t="s">
        <v>16</v>
      </c>
      <c r="E2298" s="24"/>
      <c r="F2298" s="37" t="s">
        <v>418</v>
      </c>
      <c r="G2298" s="25" t="str">
        <f>IF(ISNUMBER(F2298),E2298*F2298,"")</f>
        <v/>
      </c>
      <c r="H2298" s="26"/>
      <c r="I2298" s="27"/>
      <c r="J2298" s="125">
        <v>0</v>
      </c>
    </row>
    <row r="2299" spans="1:10" ht="15.75" hidden="1" thickBot="1" x14ac:dyDescent="0.3">
      <c r="A2299" s="235"/>
      <c r="B2299" s="238"/>
      <c r="C2299" s="151"/>
      <c r="D2299" s="29"/>
      <c r="E2299" s="30"/>
      <c r="F2299" s="38" t="s">
        <v>418</v>
      </c>
      <c r="G2299" s="31" t="str">
        <f>IF(ISNUMBER(F2299),E2299*F2299,"")</f>
        <v/>
      </c>
      <c r="H2299" s="32"/>
      <c r="I2299" s="28"/>
      <c r="J2299" s="125">
        <v>0</v>
      </c>
    </row>
    <row r="2300" spans="1:10" ht="26.25" hidden="1" thickBot="1" x14ac:dyDescent="0.3">
      <c r="A2300" s="235"/>
      <c r="B2300" s="238"/>
      <c r="C2300" s="155" t="s">
        <v>584</v>
      </c>
      <c r="D2300" s="155" t="s">
        <v>205</v>
      </c>
      <c r="E2300" s="34">
        <v>1</v>
      </c>
      <c r="F2300" s="31">
        <v>25.127499999999998</v>
      </c>
      <c r="G2300" s="31">
        <f>IF(ISNUMBER(F2300),E2300*F2300,"")</f>
        <v>25.127499999999998</v>
      </c>
      <c r="H2300" s="35">
        <f>SUM(G2300:G2302)</f>
        <v>56.097917999999993</v>
      </c>
      <c r="I2300" s="36"/>
      <c r="J2300" s="125">
        <v>0</v>
      </c>
    </row>
    <row r="2301" spans="1:10" ht="15.75" hidden="1" thickBot="1" x14ac:dyDescent="0.3">
      <c r="A2301" s="235"/>
      <c r="B2301" s="238"/>
      <c r="C2301" s="155" t="s">
        <v>588</v>
      </c>
      <c r="D2301" s="155" t="s">
        <v>587</v>
      </c>
      <c r="E2301" s="34">
        <v>0.45800000000000002</v>
      </c>
      <c r="F2301" s="28">
        <v>19.189999999999998</v>
      </c>
      <c r="G2301" s="31">
        <f>IF(ISNUMBER(F2301),E2301*F2301,"")</f>
        <v>8.7890199999999989</v>
      </c>
      <c r="H2301" s="32"/>
      <c r="I2301" s="28"/>
      <c r="J2301" s="125">
        <v>0</v>
      </c>
    </row>
    <row r="2302" spans="1:10" ht="15.75" hidden="1" thickBot="1" x14ac:dyDescent="0.3">
      <c r="A2302" s="235"/>
      <c r="B2302" s="238"/>
      <c r="C2302" s="155" t="s">
        <v>586</v>
      </c>
      <c r="D2302" s="155" t="s">
        <v>587</v>
      </c>
      <c r="E2302" s="34">
        <v>0.91600000000000004</v>
      </c>
      <c r="F2302" s="28">
        <v>24.215499999999999</v>
      </c>
      <c r="G2302" s="31">
        <f>IF(ISNUMBER(F2302),E2302*F2302,"")</f>
        <v>22.181397999999998</v>
      </c>
      <c r="H2302" s="32"/>
      <c r="I2302" s="28"/>
      <c r="J2302" s="125">
        <v>0</v>
      </c>
    </row>
    <row r="2303" spans="1:10" ht="15.75" hidden="1" thickBot="1" x14ac:dyDescent="0.3">
      <c r="A2303" s="236"/>
      <c r="B2303" s="239"/>
      <c r="C2303" s="155"/>
      <c r="D2303" s="33"/>
      <c r="E2303" s="34"/>
      <c r="F2303" s="28" t="s">
        <v>418</v>
      </c>
      <c r="G2303" s="31" t="str">
        <f>IF(ISNUMBER(F2303),E2303*F2303,"")</f>
        <v/>
      </c>
      <c r="H2303" s="32"/>
      <c r="I2303" s="28"/>
      <c r="J2303" s="125">
        <v>0</v>
      </c>
    </row>
    <row r="2304" spans="1:10" ht="15.75" hidden="1" thickBot="1" x14ac:dyDescent="0.3">
      <c r="A2304" s="234" t="s">
        <v>597</v>
      </c>
      <c r="B2304" s="237" t="s">
        <v>1522</v>
      </c>
      <c r="C2304" s="160"/>
      <c r="D2304" s="23" t="s">
        <v>16</v>
      </c>
      <c r="E2304" s="24"/>
      <c r="F2304" s="37" t="s">
        <v>418</v>
      </c>
      <c r="G2304" s="25" t="str">
        <f>IF(ISNUMBER(F2304),E2304*F2304,"")</f>
        <v/>
      </c>
      <c r="H2304" s="26"/>
      <c r="I2304" s="27"/>
      <c r="J2304" s="125">
        <v>0</v>
      </c>
    </row>
    <row r="2305" spans="1:10" ht="15.75" hidden="1" thickBot="1" x14ac:dyDescent="0.3">
      <c r="A2305" s="235"/>
      <c r="B2305" s="238"/>
      <c r="C2305" s="151"/>
      <c r="D2305" s="29"/>
      <c r="E2305" s="30"/>
      <c r="F2305" s="38" t="s">
        <v>418</v>
      </c>
      <c r="G2305" s="31" t="str">
        <f>IF(ISNUMBER(F2305),E2305*F2305,"")</f>
        <v/>
      </c>
      <c r="H2305" s="32"/>
      <c r="I2305" s="28"/>
      <c r="J2305" s="125">
        <v>0</v>
      </c>
    </row>
    <row r="2306" spans="1:10" ht="39" hidden="1" thickBot="1" x14ac:dyDescent="0.3">
      <c r="A2306" s="235"/>
      <c r="B2306" s="238"/>
      <c r="C2306" s="155" t="s">
        <v>598</v>
      </c>
      <c r="D2306" s="42" t="s">
        <v>97</v>
      </c>
      <c r="E2306" s="34">
        <v>1</v>
      </c>
      <c r="F2306" s="31" t="s">
        <v>418</v>
      </c>
      <c r="G2306" s="31" t="str">
        <f>IF(ISNUMBER(F2306),E2306*F2306,"")</f>
        <v/>
      </c>
      <c r="H2306" s="35">
        <f>SUM(G2306:G2308)</f>
        <v>25.942248499999998</v>
      </c>
      <c r="I2306" s="36"/>
      <c r="J2306" s="125">
        <v>0</v>
      </c>
    </row>
    <row r="2307" spans="1:10" ht="15.75" hidden="1" thickBot="1" x14ac:dyDescent="0.3">
      <c r="A2307" s="235"/>
      <c r="B2307" s="238"/>
      <c r="C2307" s="155" t="s">
        <v>586</v>
      </c>
      <c r="D2307" s="155" t="s">
        <v>587</v>
      </c>
      <c r="E2307" s="34">
        <v>0.76700000000000002</v>
      </c>
      <c r="F2307" s="28">
        <v>24.215499999999999</v>
      </c>
      <c r="G2307" s="31">
        <f>IF(ISNUMBER(F2307),E2307*F2307,"")</f>
        <v>18.5732885</v>
      </c>
      <c r="H2307" s="32"/>
      <c r="I2307" s="28"/>
      <c r="J2307" s="125">
        <v>0</v>
      </c>
    </row>
    <row r="2308" spans="1:10" ht="15.75" hidden="1" thickBot="1" x14ac:dyDescent="0.3">
      <c r="A2308" s="235"/>
      <c r="B2308" s="238"/>
      <c r="C2308" s="155" t="s">
        <v>588</v>
      </c>
      <c r="D2308" s="155" t="s">
        <v>587</v>
      </c>
      <c r="E2308" s="34">
        <v>0.38400000000000001</v>
      </c>
      <c r="F2308" s="28">
        <v>19.189999999999998</v>
      </c>
      <c r="G2308" s="31">
        <f>IF(ISNUMBER(F2308),E2308*F2308,"")</f>
        <v>7.3689599999999995</v>
      </c>
      <c r="H2308" s="32"/>
      <c r="I2308" s="28"/>
      <c r="J2308" s="125">
        <v>0</v>
      </c>
    </row>
    <row r="2309" spans="1:10" ht="15.75" hidden="1" thickBot="1" x14ac:dyDescent="0.3">
      <c r="A2309" s="236"/>
      <c r="B2309" s="239"/>
      <c r="C2309" s="155"/>
      <c r="D2309" s="33"/>
      <c r="E2309" s="34"/>
      <c r="F2309" s="28" t="s">
        <v>418</v>
      </c>
      <c r="G2309" s="31" t="str">
        <f>IF(ISNUMBER(F2309),E2309*F2309,"")</f>
        <v/>
      </c>
      <c r="H2309" s="32"/>
      <c r="I2309" s="28"/>
      <c r="J2309" s="125">
        <v>0</v>
      </c>
    </row>
    <row r="2310" spans="1:10" ht="15.75" hidden="1" thickBot="1" x14ac:dyDescent="0.3">
      <c r="A2310" s="234" t="s">
        <v>599</v>
      </c>
      <c r="B2310" s="237" t="s">
        <v>1523</v>
      </c>
      <c r="C2310" s="160"/>
      <c r="D2310" s="23" t="s">
        <v>16</v>
      </c>
      <c r="E2310" s="24"/>
      <c r="F2310" s="37" t="s">
        <v>418</v>
      </c>
      <c r="G2310" s="25" t="str">
        <f>IF(ISNUMBER(F2310),E2310*F2310,"")</f>
        <v/>
      </c>
      <c r="H2310" s="26"/>
      <c r="I2310" s="27"/>
      <c r="J2310" s="125">
        <v>0</v>
      </c>
    </row>
    <row r="2311" spans="1:10" ht="15.75" hidden="1" thickBot="1" x14ac:dyDescent="0.3">
      <c r="A2311" s="235"/>
      <c r="B2311" s="238"/>
      <c r="C2311" s="151"/>
      <c r="D2311" s="29"/>
      <c r="E2311" s="30"/>
      <c r="F2311" s="38" t="s">
        <v>418</v>
      </c>
      <c r="G2311" s="31" t="str">
        <f>IF(ISNUMBER(F2311),E2311*F2311,"")</f>
        <v/>
      </c>
      <c r="H2311" s="32"/>
      <c r="I2311" s="28"/>
      <c r="J2311" s="125">
        <v>0</v>
      </c>
    </row>
    <row r="2312" spans="1:10" ht="39" hidden="1" thickBot="1" x14ac:dyDescent="0.3">
      <c r="A2312" s="235"/>
      <c r="B2312" s="238"/>
      <c r="C2312" s="155" t="s">
        <v>600</v>
      </c>
      <c r="D2312" s="42" t="s">
        <v>97</v>
      </c>
      <c r="E2312" s="34">
        <v>1</v>
      </c>
      <c r="F2312" s="31" t="s">
        <v>418</v>
      </c>
      <c r="G2312" s="31" t="str">
        <f>IF(ISNUMBER(F2312),E2312*F2312,"")</f>
        <v/>
      </c>
      <c r="H2312" s="35">
        <f>SUM(G2312:G2314)</f>
        <v>33.878121</v>
      </c>
      <c r="I2312" s="36"/>
      <c r="J2312" s="125">
        <v>0</v>
      </c>
    </row>
    <row r="2313" spans="1:10" ht="15.75" hidden="1" thickBot="1" x14ac:dyDescent="0.3">
      <c r="A2313" s="235"/>
      <c r="B2313" s="238"/>
      <c r="C2313" s="155" t="s">
        <v>586</v>
      </c>
      <c r="D2313" s="155" t="s">
        <v>587</v>
      </c>
      <c r="E2313" s="34">
        <v>1.002</v>
      </c>
      <c r="F2313" s="28">
        <v>24.215499999999999</v>
      </c>
      <c r="G2313" s="31">
        <f>IF(ISNUMBER(F2313),E2313*F2313,"")</f>
        <v>24.263930999999999</v>
      </c>
      <c r="H2313" s="32"/>
      <c r="I2313" s="28"/>
      <c r="J2313" s="125">
        <v>0</v>
      </c>
    </row>
    <row r="2314" spans="1:10" ht="15.75" hidden="1" thickBot="1" x14ac:dyDescent="0.3">
      <c r="A2314" s="235"/>
      <c r="B2314" s="238"/>
      <c r="C2314" s="155" t="s">
        <v>588</v>
      </c>
      <c r="D2314" s="155" t="s">
        <v>587</v>
      </c>
      <c r="E2314" s="34">
        <v>0.501</v>
      </c>
      <c r="F2314" s="28">
        <v>19.189999999999998</v>
      </c>
      <c r="G2314" s="31">
        <f>IF(ISNUMBER(F2314),E2314*F2314,"")</f>
        <v>9.6141899999999989</v>
      </c>
      <c r="H2314" s="32"/>
      <c r="I2314" s="28"/>
      <c r="J2314" s="125">
        <v>0</v>
      </c>
    </row>
    <row r="2315" spans="1:10" ht="15.75" hidden="1" thickBot="1" x14ac:dyDescent="0.3">
      <c r="A2315" s="236"/>
      <c r="B2315" s="239"/>
      <c r="C2315" s="155"/>
      <c r="D2315" s="33"/>
      <c r="E2315" s="34"/>
      <c r="F2315" s="28" t="s">
        <v>418</v>
      </c>
      <c r="G2315" s="31" t="str">
        <f>IF(ISNUMBER(F2315),E2315*F2315,"")</f>
        <v/>
      </c>
      <c r="H2315" s="32"/>
      <c r="I2315" s="28"/>
      <c r="J2315" s="125">
        <v>0</v>
      </c>
    </row>
    <row r="2316" spans="1:10" ht="15.75" hidden="1" thickBot="1" x14ac:dyDescent="0.3">
      <c r="A2316" s="234" t="s">
        <v>601</v>
      </c>
      <c r="B2316" s="237" t="s">
        <v>1524</v>
      </c>
      <c r="C2316" s="160"/>
      <c r="D2316" s="23" t="s">
        <v>16</v>
      </c>
      <c r="E2316" s="24"/>
      <c r="F2316" s="37" t="s">
        <v>418</v>
      </c>
      <c r="G2316" s="25" t="str">
        <f>IF(ISNUMBER(F2316),E2316*F2316,"")</f>
        <v/>
      </c>
      <c r="H2316" s="26"/>
      <c r="I2316" s="27"/>
      <c r="J2316" s="125">
        <v>0</v>
      </c>
    </row>
    <row r="2317" spans="1:10" ht="15.75" hidden="1" thickBot="1" x14ac:dyDescent="0.3">
      <c r="A2317" s="235"/>
      <c r="B2317" s="238"/>
      <c r="C2317" s="151"/>
      <c r="D2317" s="29"/>
      <c r="E2317" s="30"/>
      <c r="F2317" s="38" t="s">
        <v>418</v>
      </c>
      <c r="G2317" s="31" t="str">
        <f>IF(ISNUMBER(F2317),E2317*F2317,"")</f>
        <v/>
      </c>
      <c r="H2317" s="32"/>
      <c r="I2317" s="28"/>
      <c r="J2317" s="125">
        <v>0</v>
      </c>
    </row>
    <row r="2318" spans="1:10" ht="39" hidden="1" thickBot="1" x14ac:dyDescent="0.3">
      <c r="A2318" s="235"/>
      <c r="B2318" s="238"/>
      <c r="C2318" s="155" t="s">
        <v>602</v>
      </c>
      <c r="D2318" s="42" t="s">
        <v>97</v>
      </c>
      <c r="E2318" s="34">
        <v>1</v>
      </c>
      <c r="F2318" s="31" t="s">
        <v>418</v>
      </c>
      <c r="G2318" s="31" t="str">
        <f>IF(ISNUMBER(F2318),E2318*F2318,"")</f>
        <v/>
      </c>
      <c r="H2318" s="35">
        <f>SUM(G2318:G2320)</f>
        <v>33.878121</v>
      </c>
      <c r="I2318" s="36"/>
      <c r="J2318" s="125">
        <v>0</v>
      </c>
    </row>
    <row r="2319" spans="1:10" ht="15.75" hidden="1" thickBot="1" x14ac:dyDescent="0.3">
      <c r="A2319" s="235"/>
      <c r="B2319" s="238"/>
      <c r="C2319" s="155" t="s">
        <v>586</v>
      </c>
      <c r="D2319" s="155" t="s">
        <v>587</v>
      </c>
      <c r="E2319" s="34">
        <v>1.002</v>
      </c>
      <c r="F2319" s="28">
        <v>24.215499999999999</v>
      </c>
      <c r="G2319" s="31">
        <f>IF(ISNUMBER(F2319),E2319*F2319,"")</f>
        <v>24.263930999999999</v>
      </c>
      <c r="H2319" s="32"/>
      <c r="I2319" s="28"/>
      <c r="J2319" s="125">
        <v>0</v>
      </c>
    </row>
    <row r="2320" spans="1:10" ht="15.75" hidden="1" thickBot="1" x14ac:dyDescent="0.3">
      <c r="A2320" s="235"/>
      <c r="B2320" s="238"/>
      <c r="C2320" s="155" t="s">
        <v>588</v>
      </c>
      <c r="D2320" s="155" t="s">
        <v>587</v>
      </c>
      <c r="E2320" s="34">
        <v>0.501</v>
      </c>
      <c r="F2320" s="28">
        <v>19.189999999999998</v>
      </c>
      <c r="G2320" s="31">
        <f>IF(ISNUMBER(F2320),E2320*F2320,"")</f>
        <v>9.6141899999999989</v>
      </c>
      <c r="H2320" s="32"/>
      <c r="I2320" s="28"/>
      <c r="J2320" s="125">
        <v>0</v>
      </c>
    </row>
    <row r="2321" spans="1:10" ht="15.75" hidden="1" thickBot="1" x14ac:dyDescent="0.3">
      <c r="A2321" s="236"/>
      <c r="B2321" s="239"/>
      <c r="C2321" s="155"/>
      <c r="D2321" s="33"/>
      <c r="E2321" s="34"/>
      <c r="F2321" s="28" t="s">
        <v>418</v>
      </c>
      <c r="G2321" s="31" t="str">
        <f>IF(ISNUMBER(F2321),E2321*F2321,"")</f>
        <v/>
      </c>
      <c r="H2321" s="32"/>
      <c r="I2321" s="28"/>
      <c r="J2321" s="125">
        <v>0</v>
      </c>
    </row>
    <row r="2322" spans="1:10" ht="15.75" hidden="1" thickBot="1" x14ac:dyDescent="0.3">
      <c r="A2322" s="234" t="s">
        <v>603</v>
      </c>
      <c r="B2322" s="237" t="s">
        <v>1525</v>
      </c>
      <c r="C2322" s="160"/>
      <c r="D2322" s="23" t="s">
        <v>16</v>
      </c>
      <c r="E2322" s="24"/>
      <c r="F2322" s="37" t="s">
        <v>418</v>
      </c>
      <c r="G2322" s="25" t="str">
        <f>IF(ISNUMBER(F2322),E2322*F2322,"")</f>
        <v/>
      </c>
      <c r="H2322" s="26"/>
      <c r="I2322" s="27"/>
      <c r="J2322" s="125">
        <v>0</v>
      </c>
    </row>
    <row r="2323" spans="1:10" ht="15.75" hidden="1" thickBot="1" x14ac:dyDescent="0.3">
      <c r="A2323" s="235"/>
      <c r="B2323" s="238"/>
      <c r="C2323" s="151"/>
      <c r="D2323" s="29"/>
      <c r="E2323" s="30"/>
      <c r="F2323" s="38" t="s">
        <v>418</v>
      </c>
      <c r="G2323" s="31" t="str">
        <f>IF(ISNUMBER(F2323),E2323*F2323,"")</f>
        <v/>
      </c>
      <c r="H2323" s="32"/>
      <c r="I2323" s="28"/>
      <c r="J2323" s="125">
        <v>0</v>
      </c>
    </row>
    <row r="2324" spans="1:10" ht="15.75" hidden="1" thickBot="1" x14ac:dyDescent="0.3">
      <c r="A2324" s="235"/>
      <c r="B2324" s="238"/>
      <c r="C2324" s="155" t="s">
        <v>586</v>
      </c>
      <c r="D2324" s="155" t="s">
        <v>587</v>
      </c>
      <c r="E2324" s="34">
        <v>1.002</v>
      </c>
      <c r="F2324" s="28">
        <v>24.215499999999999</v>
      </c>
      <c r="G2324" s="31">
        <f>IF(ISNUMBER(F2324),E2324*F2324,"")</f>
        <v>24.263930999999999</v>
      </c>
      <c r="H2324" s="35">
        <f>SUM(G2324:G2325)</f>
        <v>33.878121</v>
      </c>
      <c r="I2324" s="36"/>
      <c r="J2324" s="125">
        <v>0</v>
      </c>
    </row>
    <row r="2325" spans="1:10" ht="15.75" hidden="1" thickBot="1" x14ac:dyDescent="0.3">
      <c r="A2325" s="235"/>
      <c r="B2325" s="238"/>
      <c r="C2325" s="155" t="s">
        <v>588</v>
      </c>
      <c r="D2325" s="155" t="s">
        <v>587</v>
      </c>
      <c r="E2325" s="34">
        <v>0.501</v>
      </c>
      <c r="F2325" s="28">
        <v>19.189999999999998</v>
      </c>
      <c r="G2325" s="31">
        <f>IF(ISNUMBER(F2325),E2325*F2325,"")</f>
        <v>9.6141899999999989</v>
      </c>
      <c r="H2325" s="32"/>
      <c r="I2325" s="28"/>
      <c r="J2325" s="125">
        <v>0</v>
      </c>
    </row>
    <row r="2326" spans="1:10" ht="15.75" hidden="1" thickBot="1" x14ac:dyDescent="0.3">
      <c r="A2326" s="236"/>
      <c r="B2326" s="239"/>
      <c r="C2326" s="155"/>
      <c r="D2326" s="33"/>
      <c r="E2326" s="34"/>
      <c r="F2326" s="28" t="s">
        <v>418</v>
      </c>
      <c r="G2326" s="31" t="str">
        <f>IF(ISNUMBER(F2326),E2326*F2326,"")</f>
        <v/>
      </c>
      <c r="H2326" s="32"/>
      <c r="I2326" s="28"/>
      <c r="J2326" s="125">
        <v>0</v>
      </c>
    </row>
    <row r="2327" spans="1:10" ht="15.75" hidden="1" thickBot="1" x14ac:dyDescent="0.3">
      <c r="A2327" s="234" t="s">
        <v>604</v>
      </c>
      <c r="B2327" s="237" t="s">
        <v>1526</v>
      </c>
      <c r="C2327" s="160"/>
      <c r="D2327" s="23" t="s">
        <v>16</v>
      </c>
      <c r="E2327" s="24"/>
      <c r="F2327" s="37" t="s">
        <v>418</v>
      </c>
      <c r="G2327" s="25" t="str">
        <f>IF(ISNUMBER(F2327),E2327*F2327,"")</f>
        <v/>
      </c>
      <c r="H2327" s="26"/>
      <c r="I2327" s="27"/>
      <c r="J2327" s="125">
        <v>0</v>
      </c>
    </row>
    <row r="2328" spans="1:10" ht="15.75" hidden="1" thickBot="1" x14ac:dyDescent="0.3">
      <c r="A2328" s="235"/>
      <c r="B2328" s="238"/>
      <c r="C2328" s="151"/>
      <c r="D2328" s="29"/>
      <c r="E2328" s="30"/>
      <c r="F2328" s="38" t="s">
        <v>418</v>
      </c>
      <c r="G2328" s="31" t="str">
        <f>IF(ISNUMBER(F2328),E2328*F2328,"")</f>
        <v/>
      </c>
      <c r="H2328" s="32"/>
      <c r="I2328" s="28"/>
      <c r="J2328" s="125">
        <v>0</v>
      </c>
    </row>
    <row r="2329" spans="1:10" ht="15.75" hidden="1" thickBot="1" x14ac:dyDescent="0.3">
      <c r="A2329" s="235"/>
      <c r="B2329" s="238"/>
      <c r="C2329" s="155" t="s">
        <v>9782</v>
      </c>
      <c r="D2329" s="155" t="s">
        <v>587</v>
      </c>
      <c r="E2329" s="34">
        <v>1</v>
      </c>
      <c r="F2329" s="28">
        <v>23.930499999999999</v>
      </c>
      <c r="G2329" s="31">
        <f>IF(ISNUMBER(F2329),E2329*F2329,"")</f>
        <v>23.930499999999999</v>
      </c>
      <c r="H2329" s="35">
        <f>SUM(G2329:G2330)</f>
        <v>23.930499999999999</v>
      </c>
      <c r="I2329" s="36"/>
      <c r="J2329" s="125">
        <v>0</v>
      </c>
    </row>
    <row r="2330" spans="1:10" ht="26.25" hidden="1" thickBot="1" x14ac:dyDescent="0.3">
      <c r="A2330" s="235"/>
      <c r="B2330" s="238"/>
      <c r="C2330" s="155" t="s">
        <v>605</v>
      </c>
      <c r="D2330" s="33" t="s">
        <v>16</v>
      </c>
      <c r="E2330" s="34">
        <v>1</v>
      </c>
      <c r="F2330" s="31" t="s">
        <v>418</v>
      </c>
      <c r="G2330" s="31" t="str">
        <f>IF(ISNUMBER(F2330),E2330*F2330,"")</f>
        <v/>
      </c>
      <c r="H2330" s="32"/>
      <c r="I2330" s="28"/>
      <c r="J2330" s="125">
        <v>0</v>
      </c>
    </row>
    <row r="2331" spans="1:10" ht="15.75" hidden="1" thickBot="1" x14ac:dyDescent="0.3">
      <c r="A2331" s="236"/>
      <c r="B2331" s="239"/>
      <c r="C2331" s="155"/>
      <c r="D2331" s="33"/>
      <c r="E2331" s="34"/>
      <c r="F2331" s="28" t="s">
        <v>418</v>
      </c>
      <c r="G2331" s="31" t="str">
        <f>IF(ISNUMBER(F2331),E2331*F2331,"")</f>
        <v/>
      </c>
      <c r="H2331" s="32"/>
      <c r="I2331" s="28"/>
      <c r="J2331" s="125">
        <v>0</v>
      </c>
    </row>
    <row r="2332" spans="1:10" ht="15.75" hidden="1" thickBot="1" x14ac:dyDescent="0.3">
      <c r="A2332" s="234" t="s">
        <v>606</v>
      </c>
      <c r="B2332" s="237" t="s">
        <v>1527</v>
      </c>
      <c r="C2332" s="160"/>
      <c r="D2332" s="23" t="s">
        <v>16</v>
      </c>
      <c r="E2332" s="24"/>
      <c r="F2332" s="37" t="s">
        <v>418</v>
      </c>
      <c r="G2332" s="25" t="str">
        <f>IF(ISNUMBER(F2332),E2332*F2332,"")</f>
        <v/>
      </c>
      <c r="H2332" s="26"/>
      <c r="I2332" s="27"/>
      <c r="J2332" s="125">
        <v>0</v>
      </c>
    </row>
    <row r="2333" spans="1:10" ht="15.75" hidden="1" thickBot="1" x14ac:dyDescent="0.3">
      <c r="A2333" s="235"/>
      <c r="B2333" s="238"/>
      <c r="C2333" s="151"/>
      <c r="D2333" s="29"/>
      <c r="E2333" s="30"/>
      <c r="F2333" s="38" t="s">
        <v>418</v>
      </c>
      <c r="G2333" s="31" t="str">
        <f>IF(ISNUMBER(F2333),E2333*F2333,"")</f>
        <v/>
      </c>
      <c r="H2333" s="32"/>
      <c r="I2333" s="28"/>
      <c r="J2333" s="125">
        <v>0</v>
      </c>
    </row>
    <row r="2334" spans="1:10" ht="15.75" hidden="1" thickBot="1" x14ac:dyDescent="0.3">
      <c r="A2334" s="235"/>
      <c r="B2334" s="238"/>
      <c r="C2334" s="155" t="s">
        <v>9782</v>
      </c>
      <c r="D2334" s="155" t="s">
        <v>587</v>
      </c>
      <c r="E2334" s="34">
        <f>1/2</f>
        <v>0.5</v>
      </c>
      <c r="F2334" s="28">
        <v>23.930499999999999</v>
      </c>
      <c r="G2334" s="31">
        <f>IF(ISNUMBER(F2334),E2334*F2334,"")</f>
        <v>11.965249999999999</v>
      </c>
      <c r="H2334" s="35">
        <f>SUM(G2334:G2335)</f>
        <v>11.965249999999999</v>
      </c>
      <c r="I2334" s="36"/>
      <c r="J2334" s="125">
        <v>0</v>
      </c>
    </row>
    <row r="2335" spans="1:10" ht="39" hidden="1" thickBot="1" x14ac:dyDescent="0.3">
      <c r="A2335" s="235"/>
      <c r="B2335" s="238"/>
      <c r="C2335" s="155" t="s">
        <v>607</v>
      </c>
      <c r="D2335" s="33" t="s">
        <v>16</v>
      </c>
      <c r="E2335" s="34">
        <v>1</v>
      </c>
      <c r="F2335" s="31" t="s">
        <v>418</v>
      </c>
      <c r="G2335" s="31" t="str">
        <f>IF(ISNUMBER(F2335),E2335*F2335,"")</f>
        <v/>
      </c>
      <c r="H2335" s="32"/>
      <c r="I2335" s="28"/>
      <c r="J2335" s="125">
        <v>0</v>
      </c>
    </row>
    <row r="2336" spans="1:10" ht="15.75" hidden="1" thickBot="1" x14ac:dyDescent="0.3">
      <c r="A2336" s="236"/>
      <c r="B2336" s="239"/>
      <c r="C2336" s="155"/>
      <c r="D2336" s="33"/>
      <c r="E2336" s="34"/>
      <c r="F2336" s="28" t="s">
        <v>418</v>
      </c>
      <c r="G2336" s="31" t="str">
        <f>IF(ISNUMBER(F2336),E2336*F2336,"")</f>
        <v/>
      </c>
      <c r="H2336" s="32"/>
      <c r="I2336" s="28"/>
      <c r="J2336" s="125">
        <v>0</v>
      </c>
    </row>
    <row r="2337" spans="1:10" ht="15.75" hidden="1" thickBot="1" x14ac:dyDescent="0.3">
      <c r="A2337" s="234" t="s">
        <v>608</v>
      </c>
      <c r="B2337" s="237" t="s">
        <v>1528</v>
      </c>
      <c r="C2337" s="160"/>
      <c r="D2337" s="23" t="s">
        <v>69</v>
      </c>
      <c r="E2337" s="24"/>
      <c r="F2337" s="37" t="s">
        <v>418</v>
      </c>
      <c r="G2337" s="25" t="str">
        <f>IF(ISNUMBER(F2337),E2337*F2337,"")</f>
        <v/>
      </c>
      <c r="H2337" s="26"/>
      <c r="I2337" s="27"/>
      <c r="J2337" s="125">
        <v>0</v>
      </c>
    </row>
    <row r="2338" spans="1:10" ht="15.75" hidden="1" thickBot="1" x14ac:dyDescent="0.3">
      <c r="A2338" s="235"/>
      <c r="B2338" s="238"/>
      <c r="C2338" s="151"/>
      <c r="D2338" s="29"/>
      <c r="E2338" s="30"/>
      <c r="F2338" s="38" t="s">
        <v>418</v>
      </c>
      <c r="G2338" s="31" t="str">
        <f>IF(ISNUMBER(F2338),E2338*F2338,"")</f>
        <v/>
      </c>
      <c r="H2338" s="32"/>
      <c r="I2338" s="28"/>
      <c r="J2338" s="125">
        <v>0</v>
      </c>
    </row>
    <row r="2339" spans="1:10" ht="15.75" hidden="1" thickBot="1" x14ac:dyDescent="0.3">
      <c r="A2339" s="235"/>
      <c r="B2339" s="238"/>
      <c r="C2339" s="155" t="s">
        <v>1022</v>
      </c>
      <c r="D2339" s="155" t="s">
        <v>587</v>
      </c>
      <c r="E2339" s="34">
        <v>2.8E-3</v>
      </c>
      <c r="F2339" s="28">
        <v>19.522500000000001</v>
      </c>
      <c r="G2339" s="31">
        <f>IF(ISNUMBER(F2339),E2339*F2339,"")</f>
        <v>5.4663000000000003E-2</v>
      </c>
      <c r="H2339" s="35">
        <f>SUM(G2339:G2341)</f>
        <v>0.12733420000000001</v>
      </c>
      <c r="I2339" s="36"/>
      <c r="J2339" s="125">
        <v>0</v>
      </c>
    </row>
    <row r="2340" spans="1:10" ht="15.75" hidden="1" thickBot="1" x14ac:dyDescent="0.3">
      <c r="A2340" s="235"/>
      <c r="B2340" s="238"/>
      <c r="C2340" s="155" t="s">
        <v>1023</v>
      </c>
      <c r="D2340" s="155" t="s">
        <v>587</v>
      </c>
      <c r="E2340" s="34">
        <v>2.8E-3</v>
      </c>
      <c r="F2340" s="28">
        <v>25.954000000000001</v>
      </c>
      <c r="G2340" s="31">
        <f>IF(ISNUMBER(F2340),E2340*F2340,"")</f>
        <v>7.2671200000000005E-2</v>
      </c>
      <c r="H2340" s="32"/>
      <c r="I2340" s="28"/>
      <c r="J2340" s="125">
        <v>0</v>
      </c>
    </row>
    <row r="2341" spans="1:10" ht="26.25" hidden="1" thickBot="1" x14ac:dyDescent="0.3">
      <c r="A2341" s="235"/>
      <c r="B2341" s="238"/>
      <c r="C2341" s="155" t="s">
        <v>609</v>
      </c>
      <c r="D2341" s="33" t="s">
        <v>69</v>
      </c>
      <c r="E2341" s="34">
        <v>1.05</v>
      </c>
      <c r="F2341" s="31" t="s">
        <v>418</v>
      </c>
      <c r="G2341" s="31" t="str">
        <f>IF(ISNUMBER(F2341),E2341*F2341,"")</f>
        <v/>
      </c>
      <c r="H2341" s="32"/>
      <c r="I2341" s="28"/>
      <c r="J2341" s="125">
        <v>0</v>
      </c>
    </row>
    <row r="2342" spans="1:10" ht="15.75" hidden="1" thickBot="1" x14ac:dyDescent="0.3">
      <c r="A2342" s="236"/>
      <c r="B2342" s="239"/>
      <c r="C2342" s="155"/>
      <c r="D2342" s="33"/>
      <c r="E2342" s="34"/>
      <c r="F2342" s="28" t="s">
        <v>418</v>
      </c>
      <c r="G2342" s="31" t="str">
        <f>IF(ISNUMBER(F2342),E2342*F2342,"")</f>
        <v/>
      </c>
      <c r="H2342" s="32"/>
      <c r="I2342" s="28"/>
      <c r="J2342" s="125">
        <v>0</v>
      </c>
    </row>
    <row r="2343" spans="1:10" ht="15.75" hidden="1" thickBot="1" x14ac:dyDescent="0.3">
      <c r="A2343" s="234" t="s">
        <v>610</v>
      </c>
      <c r="B2343" s="237" t="s">
        <v>1529</v>
      </c>
      <c r="C2343" s="160"/>
      <c r="D2343" s="23" t="s">
        <v>16</v>
      </c>
      <c r="E2343" s="24"/>
      <c r="F2343" s="37" t="s">
        <v>418</v>
      </c>
      <c r="G2343" s="25" t="str">
        <f>IF(ISNUMBER(F2343),E2343*F2343,"")</f>
        <v/>
      </c>
      <c r="H2343" s="26"/>
      <c r="I2343" s="27"/>
      <c r="J2343" s="125">
        <v>0</v>
      </c>
    </row>
    <row r="2344" spans="1:10" ht="15.75" hidden="1" thickBot="1" x14ac:dyDescent="0.3">
      <c r="A2344" s="235"/>
      <c r="B2344" s="238"/>
      <c r="C2344" s="151"/>
      <c r="D2344" s="29"/>
      <c r="E2344" s="30"/>
      <c r="F2344" s="38" t="s">
        <v>418</v>
      </c>
      <c r="G2344" s="31" t="str">
        <f>IF(ISNUMBER(F2344),E2344*F2344,"")</f>
        <v/>
      </c>
      <c r="H2344" s="32"/>
      <c r="I2344" s="28"/>
      <c r="J2344" s="125">
        <v>0</v>
      </c>
    </row>
    <row r="2345" spans="1:10" ht="26.25" hidden="1" thickBot="1" x14ac:dyDescent="0.3">
      <c r="A2345" s="235"/>
      <c r="B2345" s="238"/>
      <c r="C2345" s="155" t="s">
        <v>611</v>
      </c>
      <c r="D2345" s="33" t="s">
        <v>97</v>
      </c>
      <c r="E2345" s="34">
        <v>1</v>
      </c>
      <c r="F2345" s="31" t="s">
        <v>418</v>
      </c>
      <c r="G2345" s="31" t="str">
        <f>IF(ISNUMBER(F2345),E2345*F2345,"")</f>
        <v/>
      </c>
      <c r="H2345" s="35">
        <f>SUM(G2345:G2349)</f>
        <v>18.754508600000001</v>
      </c>
      <c r="I2345" s="36"/>
      <c r="J2345" s="125">
        <v>0</v>
      </c>
    </row>
    <row r="2346" spans="1:10" ht="15.75" hidden="1" thickBot="1" x14ac:dyDescent="0.3">
      <c r="A2346" s="235"/>
      <c r="B2346" s="238"/>
      <c r="C2346" s="155" t="s">
        <v>612</v>
      </c>
      <c r="D2346" s="33" t="s">
        <v>97</v>
      </c>
      <c r="E2346" s="34">
        <v>1</v>
      </c>
      <c r="F2346" s="31" t="s">
        <v>418</v>
      </c>
      <c r="G2346" s="31" t="str">
        <f>IF(ISNUMBER(F2346),E2346*F2346,"")</f>
        <v/>
      </c>
      <c r="H2346" s="32"/>
      <c r="I2346" s="28"/>
      <c r="J2346" s="125">
        <v>0</v>
      </c>
    </row>
    <row r="2347" spans="1:10" ht="15.75" hidden="1" thickBot="1" x14ac:dyDescent="0.3">
      <c r="A2347" s="235"/>
      <c r="B2347" s="238"/>
      <c r="C2347" s="155" t="s">
        <v>613</v>
      </c>
      <c r="D2347" s="33" t="s">
        <v>97</v>
      </c>
      <c r="E2347" s="34">
        <v>1</v>
      </c>
      <c r="F2347" s="31" t="s">
        <v>418</v>
      </c>
      <c r="G2347" s="31" t="str">
        <f>IF(ISNUMBER(F2347),E2347*F2347,"")</f>
        <v/>
      </c>
      <c r="H2347" s="32"/>
      <c r="I2347" s="28"/>
      <c r="J2347" s="125">
        <v>0</v>
      </c>
    </row>
    <row r="2348" spans="1:10" ht="15.75" hidden="1" thickBot="1" x14ac:dyDescent="0.3">
      <c r="A2348" s="235"/>
      <c r="B2348" s="238"/>
      <c r="C2348" s="155" t="s">
        <v>1022</v>
      </c>
      <c r="D2348" s="155" t="s">
        <v>587</v>
      </c>
      <c r="E2348" s="34">
        <f>0.2062*2</f>
        <v>0.41239999999999999</v>
      </c>
      <c r="F2348" s="28">
        <v>19.522500000000001</v>
      </c>
      <c r="G2348" s="31">
        <f>IF(ISNUMBER(F2348),E2348*F2348,"")</f>
        <v>8.0510789999999997</v>
      </c>
      <c r="H2348" s="32"/>
      <c r="I2348" s="28"/>
      <c r="J2348" s="125">
        <v>0</v>
      </c>
    </row>
    <row r="2349" spans="1:10" ht="15.75" hidden="1" thickBot="1" x14ac:dyDescent="0.3">
      <c r="A2349" s="235"/>
      <c r="B2349" s="238"/>
      <c r="C2349" s="155" t="s">
        <v>1023</v>
      </c>
      <c r="D2349" s="155" t="s">
        <v>587</v>
      </c>
      <c r="E2349" s="34">
        <f>0.2062*2</f>
        <v>0.41239999999999999</v>
      </c>
      <c r="F2349" s="28">
        <v>25.954000000000001</v>
      </c>
      <c r="G2349" s="31">
        <f>IF(ISNUMBER(F2349),E2349*F2349,"")</f>
        <v>10.7034296</v>
      </c>
      <c r="H2349" s="32"/>
      <c r="I2349" s="28"/>
      <c r="J2349" s="125">
        <v>0</v>
      </c>
    </row>
    <row r="2350" spans="1:10" ht="15.75" hidden="1" thickBot="1" x14ac:dyDescent="0.3">
      <c r="A2350" s="236"/>
      <c r="B2350" s="239"/>
      <c r="C2350" s="155"/>
      <c r="D2350" s="33"/>
      <c r="E2350" s="34"/>
      <c r="F2350" s="28" t="s">
        <v>418</v>
      </c>
      <c r="G2350" s="31" t="str">
        <f>IF(ISNUMBER(F2350),E2350*F2350,"")</f>
        <v/>
      </c>
      <c r="H2350" s="32"/>
      <c r="I2350" s="28"/>
      <c r="J2350" s="125">
        <v>0</v>
      </c>
    </row>
    <row r="2351" spans="1:10" ht="15.75" hidden="1" thickBot="1" x14ac:dyDescent="0.3">
      <c r="A2351" s="234" t="s">
        <v>614</v>
      </c>
      <c r="B2351" s="237" t="s">
        <v>1530</v>
      </c>
      <c r="C2351" s="160"/>
      <c r="D2351" s="23" t="s">
        <v>16</v>
      </c>
      <c r="E2351" s="24"/>
      <c r="F2351" s="37" t="s">
        <v>418</v>
      </c>
      <c r="G2351" s="25" t="str">
        <f>IF(ISNUMBER(F2351),E2351*F2351,"")</f>
        <v/>
      </c>
      <c r="H2351" s="26"/>
      <c r="I2351" s="27"/>
      <c r="J2351" s="125">
        <v>0</v>
      </c>
    </row>
    <row r="2352" spans="1:10" ht="15.75" hidden="1" thickBot="1" x14ac:dyDescent="0.3">
      <c r="A2352" s="235"/>
      <c r="B2352" s="238"/>
      <c r="C2352" s="151"/>
      <c r="D2352" s="29"/>
      <c r="E2352" s="30"/>
      <c r="F2352" s="38" t="s">
        <v>418</v>
      </c>
      <c r="G2352" s="31" t="str">
        <f>IF(ISNUMBER(F2352),E2352*F2352,"")</f>
        <v/>
      </c>
      <c r="H2352" s="32"/>
      <c r="I2352" s="28"/>
      <c r="J2352" s="125">
        <v>0</v>
      </c>
    </row>
    <row r="2353" spans="1:10" ht="15.75" hidden="1" thickBot="1" x14ac:dyDescent="0.3">
      <c r="A2353" s="235"/>
      <c r="B2353" s="238"/>
      <c r="C2353" s="155" t="s">
        <v>1022</v>
      </c>
      <c r="D2353" s="155" t="s">
        <v>587</v>
      </c>
      <c r="E2353" s="34">
        <f>6.2007</f>
        <v>6.2007000000000003</v>
      </c>
      <c r="F2353" s="28">
        <v>19.522500000000001</v>
      </c>
      <c r="G2353" s="31">
        <f>IF(ISNUMBER(F2353),E2353*F2353,"")</f>
        <v>121.05316575000001</v>
      </c>
      <c r="H2353" s="35">
        <f>SUM(G2353:G2356)</f>
        <v>281.98613354999998</v>
      </c>
      <c r="I2353" s="36"/>
      <c r="J2353" s="125">
        <v>0</v>
      </c>
    </row>
    <row r="2354" spans="1:10" ht="15.75" hidden="1" thickBot="1" x14ac:dyDescent="0.3">
      <c r="A2354" s="235"/>
      <c r="B2354" s="238"/>
      <c r="C2354" s="155" t="s">
        <v>1023</v>
      </c>
      <c r="D2354" s="155" t="s">
        <v>587</v>
      </c>
      <c r="E2354" s="34">
        <f>6.2007</f>
        <v>6.2007000000000003</v>
      </c>
      <c r="F2354" s="28">
        <v>25.954000000000001</v>
      </c>
      <c r="G2354" s="31">
        <f>IF(ISNUMBER(F2354),E2354*F2354,"")</f>
        <v>160.9329678</v>
      </c>
      <c r="H2354" s="32"/>
      <c r="I2354" s="28"/>
      <c r="J2354" s="125">
        <v>0</v>
      </c>
    </row>
    <row r="2355" spans="1:10" ht="26.25" hidden="1" thickBot="1" x14ac:dyDescent="0.3">
      <c r="A2355" s="235"/>
      <c r="B2355" s="238"/>
      <c r="C2355" s="155" t="s">
        <v>615</v>
      </c>
      <c r="D2355" s="33" t="s">
        <v>16</v>
      </c>
      <c r="E2355" s="34">
        <v>1</v>
      </c>
      <c r="F2355" s="31" t="s">
        <v>418</v>
      </c>
      <c r="G2355" s="31" t="str">
        <f>IF(ISNUMBER(F2355),E2355*F2355,"")</f>
        <v/>
      </c>
      <c r="H2355" s="32"/>
      <c r="I2355" s="28"/>
      <c r="J2355" s="125">
        <v>0</v>
      </c>
    </row>
    <row r="2356" spans="1:10" ht="15.75" hidden="1" thickBot="1" x14ac:dyDescent="0.3">
      <c r="A2356" s="235"/>
      <c r="B2356" s="238"/>
      <c r="C2356" s="155" t="s">
        <v>612</v>
      </c>
      <c r="D2356" s="33" t="s">
        <v>97</v>
      </c>
      <c r="E2356" s="34">
        <v>24</v>
      </c>
      <c r="F2356" s="31" t="s">
        <v>418</v>
      </c>
      <c r="G2356" s="31" t="str">
        <f>IF(ISNUMBER(F2356),E2356*F2356,"")</f>
        <v/>
      </c>
      <c r="H2356" s="32"/>
      <c r="I2356" s="28"/>
      <c r="J2356" s="125">
        <v>0</v>
      </c>
    </row>
    <row r="2357" spans="1:10" ht="15.75" hidden="1" thickBot="1" x14ac:dyDescent="0.3">
      <c r="A2357" s="236"/>
      <c r="B2357" s="239"/>
      <c r="C2357" s="155"/>
      <c r="D2357" s="33"/>
      <c r="E2357" s="34"/>
      <c r="F2357" s="28" t="s">
        <v>418</v>
      </c>
      <c r="G2357" s="31" t="str">
        <f>IF(ISNUMBER(F2357),E2357*F2357,"")</f>
        <v/>
      </c>
      <c r="H2357" s="32"/>
      <c r="I2357" s="28"/>
      <c r="J2357" s="125">
        <v>0</v>
      </c>
    </row>
    <row r="2358" spans="1:10" ht="15.75" hidden="1" thickBot="1" x14ac:dyDescent="0.3">
      <c r="A2358" s="234" t="s">
        <v>616</v>
      </c>
      <c r="B2358" s="237" t="s">
        <v>1531</v>
      </c>
      <c r="C2358" s="160"/>
      <c r="D2358" s="23" t="s">
        <v>69</v>
      </c>
      <c r="E2358" s="24"/>
      <c r="F2358" s="37" t="s">
        <v>418</v>
      </c>
      <c r="G2358" s="25" t="str">
        <f>IF(ISNUMBER(F2358),E2358*F2358,"")</f>
        <v/>
      </c>
      <c r="H2358" s="26"/>
      <c r="I2358" s="27"/>
      <c r="J2358" s="125">
        <v>0</v>
      </c>
    </row>
    <row r="2359" spans="1:10" ht="15.75" hidden="1" thickBot="1" x14ac:dyDescent="0.3">
      <c r="A2359" s="249"/>
      <c r="B2359" s="238"/>
      <c r="C2359" s="151"/>
      <c r="D2359" s="29"/>
      <c r="E2359" s="30"/>
      <c r="F2359" s="38" t="s">
        <v>418</v>
      </c>
      <c r="G2359" s="31" t="str">
        <f>IF(ISNUMBER(F2359),E2359*F2359,"")</f>
        <v/>
      </c>
      <c r="H2359" s="32"/>
      <c r="I2359" s="28"/>
      <c r="J2359" s="125">
        <v>0</v>
      </c>
    </row>
    <row r="2360" spans="1:10" ht="15.75" hidden="1" thickBot="1" x14ac:dyDescent="0.3">
      <c r="A2360" s="249"/>
      <c r="B2360" s="238"/>
      <c r="C2360" s="155" t="s">
        <v>1022</v>
      </c>
      <c r="D2360" s="155" t="s">
        <v>587</v>
      </c>
      <c r="E2360" s="34">
        <v>6.4100000000000004E-2</v>
      </c>
      <c r="F2360" s="28">
        <v>19.522500000000001</v>
      </c>
      <c r="G2360" s="31">
        <f>IF(ISNUMBER(F2360),E2360*F2360,"")</f>
        <v>1.2513922500000001</v>
      </c>
      <c r="H2360" s="35">
        <f>SUM(G2360:G2362)</f>
        <v>4.25169365</v>
      </c>
      <c r="I2360" s="36"/>
      <c r="J2360" s="125">
        <v>0</v>
      </c>
    </row>
    <row r="2361" spans="1:10" ht="15.75" hidden="1" thickBot="1" x14ac:dyDescent="0.3">
      <c r="A2361" s="249"/>
      <c r="B2361" s="238"/>
      <c r="C2361" s="155" t="s">
        <v>1023</v>
      </c>
      <c r="D2361" s="155" t="s">
        <v>587</v>
      </c>
      <c r="E2361" s="34">
        <v>6.4100000000000004E-2</v>
      </c>
      <c r="F2361" s="28">
        <v>25.954000000000001</v>
      </c>
      <c r="G2361" s="31">
        <f>IF(ISNUMBER(F2361),E2361*F2361,"")</f>
        <v>1.6636514000000002</v>
      </c>
      <c r="H2361" s="32"/>
      <c r="I2361" s="28"/>
      <c r="J2361" s="125">
        <v>0</v>
      </c>
    </row>
    <row r="2362" spans="1:10" ht="26.25" hidden="1" thickBot="1" x14ac:dyDescent="0.3">
      <c r="A2362" s="249"/>
      <c r="B2362" s="238"/>
      <c r="C2362" s="155" t="s">
        <v>617</v>
      </c>
      <c r="D2362" s="155" t="s">
        <v>385</v>
      </c>
      <c r="E2362" s="34">
        <v>1.05</v>
      </c>
      <c r="F2362" s="31">
        <v>1.2729999999999999</v>
      </c>
      <c r="G2362" s="31">
        <f>IF(ISNUMBER(F2362),E2362*F2362,"")</f>
        <v>1.3366499999999999</v>
      </c>
      <c r="H2362" s="32"/>
      <c r="I2362" s="28"/>
      <c r="J2362" s="125">
        <v>0</v>
      </c>
    </row>
    <row r="2363" spans="1:10" ht="15.75" hidden="1" thickBot="1" x14ac:dyDescent="0.3">
      <c r="A2363" s="250"/>
      <c r="B2363" s="239"/>
      <c r="C2363" s="155"/>
      <c r="D2363" s="33"/>
      <c r="E2363" s="34"/>
      <c r="F2363" s="31" t="s">
        <v>418</v>
      </c>
      <c r="G2363" s="31" t="str">
        <f>IF(ISNUMBER(F2363),E2363*F2363,"")</f>
        <v/>
      </c>
      <c r="H2363" s="32"/>
      <c r="I2363" s="28"/>
      <c r="J2363" s="125">
        <v>0</v>
      </c>
    </row>
    <row r="2364" spans="1:10" ht="15.75" hidden="1" thickBot="1" x14ac:dyDescent="0.3">
      <c r="A2364" s="234" t="s">
        <v>618</v>
      </c>
      <c r="B2364" s="237" t="s">
        <v>1532</v>
      </c>
      <c r="C2364" s="160"/>
      <c r="D2364" s="23" t="s">
        <v>16</v>
      </c>
      <c r="E2364" s="24"/>
      <c r="F2364" s="37" t="s">
        <v>418</v>
      </c>
      <c r="G2364" s="25" t="str">
        <f>IF(ISNUMBER(F2364),E2364*F2364,"")</f>
        <v/>
      </c>
      <c r="H2364" s="26"/>
      <c r="I2364" s="27"/>
      <c r="J2364" s="125">
        <v>0</v>
      </c>
    </row>
    <row r="2365" spans="1:10" ht="15.75" hidden="1" thickBot="1" x14ac:dyDescent="0.3">
      <c r="A2365" s="235"/>
      <c r="B2365" s="238"/>
      <c r="C2365" s="151"/>
      <c r="D2365" s="29"/>
      <c r="E2365" s="30"/>
      <c r="F2365" s="38" t="s">
        <v>418</v>
      </c>
      <c r="G2365" s="31" t="str">
        <f>IF(ISNUMBER(F2365),E2365*F2365,"")</f>
        <v/>
      </c>
      <c r="H2365" s="32"/>
      <c r="I2365" s="28"/>
      <c r="J2365" s="125">
        <v>0</v>
      </c>
    </row>
    <row r="2366" spans="1:10" ht="26.25" hidden="1" thickBot="1" x14ac:dyDescent="0.3">
      <c r="A2366" s="235"/>
      <c r="B2366" s="238"/>
      <c r="C2366" s="155" t="s">
        <v>619</v>
      </c>
      <c r="D2366" s="33" t="s">
        <v>97</v>
      </c>
      <c r="E2366" s="34">
        <v>1</v>
      </c>
      <c r="F2366" s="31" t="s">
        <v>418</v>
      </c>
      <c r="G2366" s="31" t="str">
        <f>IF(ISNUMBER(F2366),E2366*F2366,"")</f>
        <v/>
      </c>
      <c r="H2366" s="35">
        <f>SUM(G2366:G2369)</f>
        <v>49.248754300000002</v>
      </c>
      <c r="I2366" s="36"/>
      <c r="J2366" s="125">
        <v>0</v>
      </c>
    </row>
    <row r="2367" spans="1:10" ht="15.75" hidden="1" thickBot="1" x14ac:dyDescent="0.3">
      <c r="A2367" s="235"/>
      <c r="B2367" s="238"/>
      <c r="C2367" s="155" t="s">
        <v>27863</v>
      </c>
      <c r="D2367" s="155" t="s">
        <v>205</v>
      </c>
      <c r="E2367" s="34">
        <v>1</v>
      </c>
      <c r="F2367" s="31">
        <v>39.871499999999997</v>
      </c>
      <c r="G2367" s="31">
        <f>IF(ISNUMBER(F2367),E2367*F2367,"")</f>
        <v>39.871499999999997</v>
      </c>
      <c r="H2367" s="32"/>
      <c r="I2367" s="28"/>
      <c r="J2367" s="125">
        <v>0</v>
      </c>
    </row>
    <row r="2368" spans="1:10" ht="15.75" hidden="1" thickBot="1" x14ac:dyDescent="0.3">
      <c r="A2368" s="235"/>
      <c r="B2368" s="238"/>
      <c r="C2368" s="155" t="s">
        <v>1022</v>
      </c>
      <c r="D2368" s="155" t="s">
        <v>587</v>
      </c>
      <c r="E2368" s="34">
        <v>0.20619999999999999</v>
      </c>
      <c r="F2368" s="28">
        <v>19.522500000000001</v>
      </c>
      <c r="G2368" s="31">
        <f>IF(ISNUMBER(F2368),E2368*F2368,"")</f>
        <v>4.0255394999999998</v>
      </c>
      <c r="H2368" s="32"/>
      <c r="I2368" s="28"/>
      <c r="J2368" s="125">
        <v>0</v>
      </c>
    </row>
    <row r="2369" spans="1:10" ht="15.75" hidden="1" thickBot="1" x14ac:dyDescent="0.3">
      <c r="A2369" s="235"/>
      <c r="B2369" s="238"/>
      <c r="C2369" s="155" t="s">
        <v>1023</v>
      </c>
      <c r="D2369" s="155" t="s">
        <v>587</v>
      </c>
      <c r="E2369" s="34">
        <v>0.20619999999999999</v>
      </c>
      <c r="F2369" s="28">
        <v>25.954000000000001</v>
      </c>
      <c r="G2369" s="31">
        <f>IF(ISNUMBER(F2369),E2369*F2369,"")</f>
        <v>5.3517147999999999</v>
      </c>
      <c r="H2369" s="32"/>
      <c r="I2369" s="28"/>
      <c r="J2369" s="125">
        <v>0</v>
      </c>
    </row>
    <row r="2370" spans="1:10" ht="15.75" hidden="1" thickBot="1" x14ac:dyDescent="0.3">
      <c r="A2370" s="236"/>
      <c r="B2370" s="239"/>
      <c r="C2370" s="155"/>
      <c r="D2370" s="33"/>
      <c r="E2370" s="34"/>
      <c r="F2370" s="28" t="s">
        <v>418</v>
      </c>
      <c r="G2370" s="31" t="str">
        <f>IF(ISNUMBER(F2370),E2370*F2370,"")</f>
        <v/>
      </c>
      <c r="H2370" s="32"/>
      <c r="I2370" s="28"/>
      <c r="J2370" s="125">
        <v>0</v>
      </c>
    </row>
    <row r="2371" spans="1:10" ht="15.75" hidden="1" thickBot="1" x14ac:dyDescent="0.3">
      <c r="A2371" s="234" t="s">
        <v>620</v>
      </c>
      <c r="B2371" s="237" t="s">
        <v>19736</v>
      </c>
      <c r="C2371" s="160"/>
      <c r="D2371" s="23" t="s">
        <v>16</v>
      </c>
      <c r="E2371" s="24"/>
      <c r="F2371" s="37" t="s">
        <v>418</v>
      </c>
      <c r="G2371" s="25" t="str">
        <f>IF(ISNUMBER(F2371),E2371*F2371,"")</f>
        <v/>
      </c>
      <c r="H2371" s="26"/>
      <c r="I2371" s="27"/>
      <c r="J2371" s="125">
        <v>0</v>
      </c>
    </row>
    <row r="2372" spans="1:10" ht="15.75" hidden="1" thickBot="1" x14ac:dyDescent="0.3">
      <c r="A2372" s="235"/>
      <c r="B2372" s="238"/>
      <c r="C2372" s="151"/>
      <c r="D2372" s="29"/>
      <c r="E2372" s="30"/>
      <c r="F2372" s="38" t="s">
        <v>418</v>
      </c>
      <c r="G2372" s="31" t="str">
        <f>IF(ISNUMBER(F2372),E2372*F2372,"")</f>
        <v/>
      </c>
      <c r="H2372" s="32"/>
      <c r="I2372" s="28"/>
      <c r="J2372" s="125">
        <v>0</v>
      </c>
    </row>
    <row r="2373" spans="1:10" ht="26.25" hidden="1" thickBot="1" x14ac:dyDescent="0.3">
      <c r="A2373" s="235"/>
      <c r="B2373" s="238"/>
      <c r="C2373" s="155" t="s">
        <v>9741</v>
      </c>
      <c r="D2373" s="155" t="s">
        <v>587</v>
      </c>
      <c r="E2373" s="34">
        <v>3.5</v>
      </c>
      <c r="F2373" s="28">
        <v>18.544</v>
      </c>
      <c r="G2373" s="31">
        <f>IF(ISNUMBER(F2373),E2373*F2373,"")</f>
        <v>64.903999999999996</v>
      </c>
      <c r="H2373" s="35">
        <f>SUM(G2373:G2375)</f>
        <v>159.79949999999999</v>
      </c>
      <c r="I2373" s="36"/>
      <c r="J2373" s="125">
        <v>0</v>
      </c>
    </row>
    <row r="2374" spans="1:10" ht="26.25" hidden="1" thickBot="1" x14ac:dyDescent="0.3">
      <c r="A2374" s="235"/>
      <c r="B2374" s="238"/>
      <c r="C2374" s="155" t="s">
        <v>460</v>
      </c>
      <c r="D2374" s="155" t="s">
        <v>587</v>
      </c>
      <c r="E2374" s="34">
        <v>3.5</v>
      </c>
      <c r="F2374" s="28">
        <v>27.113</v>
      </c>
      <c r="G2374" s="31">
        <f>IF(ISNUMBER(F2374),E2374*F2374,"")</f>
        <v>94.895499999999998</v>
      </c>
      <c r="H2374" s="32"/>
      <c r="I2374" s="28"/>
      <c r="J2374" s="125">
        <v>0</v>
      </c>
    </row>
    <row r="2375" spans="1:10" ht="26.25" hidden="1" thickBot="1" x14ac:dyDescent="0.3">
      <c r="A2375" s="235"/>
      <c r="B2375" s="238"/>
      <c r="C2375" s="155" t="s">
        <v>621</v>
      </c>
      <c r="D2375" s="33" t="s">
        <v>97</v>
      </c>
      <c r="E2375" s="34">
        <v>1</v>
      </c>
      <c r="F2375" s="31" t="s">
        <v>418</v>
      </c>
      <c r="G2375" s="31" t="str">
        <f>IF(ISNUMBER(F2375),E2375*F2375,"")</f>
        <v/>
      </c>
      <c r="H2375" s="32"/>
      <c r="I2375" s="28"/>
      <c r="J2375" s="125">
        <v>0</v>
      </c>
    </row>
    <row r="2376" spans="1:10" ht="15.75" hidden="1" thickBot="1" x14ac:dyDescent="0.3">
      <c r="A2376" s="236"/>
      <c r="B2376" s="239"/>
      <c r="C2376" s="155"/>
      <c r="D2376" s="33"/>
      <c r="E2376" s="34"/>
      <c r="F2376" s="28" t="s">
        <v>418</v>
      </c>
      <c r="G2376" s="31" t="str">
        <f>IF(ISNUMBER(F2376),E2376*F2376,"")</f>
        <v/>
      </c>
      <c r="H2376" s="32"/>
      <c r="I2376" s="28"/>
      <c r="J2376" s="125">
        <v>0</v>
      </c>
    </row>
    <row r="2377" spans="1:10" ht="15.75" hidden="1" thickBot="1" x14ac:dyDescent="0.3">
      <c r="A2377" s="234" t="s">
        <v>1534</v>
      </c>
      <c r="B2377" s="237" t="s">
        <v>1535</v>
      </c>
      <c r="C2377" s="160"/>
      <c r="D2377" s="23" t="s">
        <v>16</v>
      </c>
      <c r="E2377" s="24"/>
      <c r="F2377" s="37" t="s">
        <v>418</v>
      </c>
      <c r="G2377" s="25" t="str">
        <f>IF(ISNUMBER(F2377),E2377*F2377,"")</f>
        <v/>
      </c>
      <c r="H2377" s="26"/>
      <c r="I2377" s="27"/>
      <c r="J2377" s="125">
        <v>0</v>
      </c>
    </row>
    <row r="2378" spans="1:10" ht="15.75" hidden="1" thickBot="1" x14ac:dyDescent="0.3">
      <c r="A2378" s="235"/>
      <c r="B2378" s="238"/>
      <c r="C2378" s="151"/>
      <c r="D2378" s="29"/>
      <c r="E2378" s="30"/>
      <c r="F2378" s="38" t="s">
        <v>418</v>
      </c>
      <c r="G2378" s="31" t="str">
        <f>IF(ISNUMBER(F2378),E2378*F2378,"")</f>
        <v/>
      </c>
      <c r="H2378" s="32"/>
      <c r="I2378" s="28"/>
      <c r="J2378" s="125">
        <v>0</v>
      </c>
    </row>
    <row r="2379" spans="1:10" ht="26.25" hidden="1" thickBot="1" x14ac:dyDescent="0.3">
      <c r="A2379" s="235"/>
      <c r="B2379" s="238"/>
      <c r="C2379" s="155" t="s">
        <v>38830</v>
      </c>
      <c r="D2379" s="155" t="s">
        <v>205</v>
      </c>
      <c r="E2379" s="34">
        <v>1</v>
      </c>
      <c r="F2379" s="28">
        <v>21.849999999999998</v>
      </c>
      <c r="G2379" s="31">
        <f>IF(ISNUMBER(F2379),E2379*F2379,"")</f>
        <v>21.849999999999998</v>
      </c>
      <c r="H2379" s="35">
        <f>SUM(G2379:G2379)</f>
        <v>21.849999999999998</v>
      </c>
      <c r="I2379" s="36"/>
      <c r="J2379" s="125">
        <v>0</v>
      </c>
    </row>
    <row r="2380" spans="1:10" ht="15.75" hidden="1" thickBot="1" x14ac:dyDescent="0.3">
      <c r="A2380" s="236"/>
      <c r="B2380" s="239"/>
      <c r="C2380" s="155"/>
      <c r="D2380" s="33"/>
      <c r="E2380" s="34"/>
      <c r="F2380" s="28" t="s">
        <v>418</v>
      </c>
      <c r="G2380" s="31" t="str">
        <f>IF(ISNUMBER(F2380),E2380*F2380,"")</f>
        <v/>
      </c>
      <c r="H2380" s="32"/>
      <c r="I2380" s="28"/>
      <c r="J2380" s="125">
        <v>0</v>
      </c>
    </row>
    <row r="2381" spans="1:10" ht="15.75" hidden="1" thickBot="1" x14ac:dyDescent="0.3">
      <c r="A2381" s="234" t="s">
        <v>1536</v>
      </c>
      <c r="B2381" s="237" t="s">
        <v>1537</v>
      </c>
      <c r="C2381" s="160"/>
      <c r="D2381" s="23" t="s">
        <v>16</v>
      </c>
      <c r="E2381" s="24"/>
      <c r="F2381" s="37" t="s">
        <v>418</v>
      </c>
      <c r="G2381" s="25" t="str">
        <f>IF(ISNUMBER(F2381),E2381*F2381,"")</f>
        <v/>
      </c>
      <c r="H2381" s="26"/>
      <c r="I2381" s="27"/>
      <c r="J2381" s="125">
        <v>0</v>
      </c>
    </row>
    <row r="2382" spans="1:10" ht="15.75" hidden="1" thickBot="1" x14ac:dyDescent="0.3">
      <c r="A2382" s="235"/>
      <c r="B2382" s="238"/>
      <c r="C2382" s="151"/>
      <c r="D2382" s="29"/>
      <c r="E2382" s="30"/>
      <c r="F2382" s="38" t="s">
        <v>418</v>
      </c>
      <c r="G2382" s="31" t="str">
        <f>IF(ISNUMBER(F2382),E2382*F2382,"")</f>
        <v/>
      </c>
      <c r="H2382" s="32"/>
      <c r="I2382" s="28"/>
      <c r="J2382" s="125">
        <v>0</v>
      </c>
    </row>
    <row r="2383" spans="1:10" ht="51.75" hidden="1" thickBot="1" x14ac:dyDescent="0.3">
      <c r="A2383" s="235"/>
      <c r="B2383" s="238"/>
      <c r="C2383" s="155" t="s">
        <v>25434</v>
      </c>
      <c r="D2383" s="155" t="s">
        <v>623</v>
      </c>
      <c r="E2383" s="34">
        <v>1</v>
      </c>
      <c r="F2383" s="28">
        <v>56.952500000000001</v>
      </c>
      <c r="G2383" s="31">
        <f>IF(ISNUMBER(F2383),E2383*F2383,"")</f>
        <v>56.952500000000001</v>
      </c>
      <c r="H2383" s="35">
        <f>SUM(G2383:G2383)</f>
        <v>56.952500000000001</v>
      </c>
      <c r="I2383" s="36"/>
      <c r="J2383" s="125">
        <v>0</v>
      </c>
    </row>
    <row r="2384" spans="1:10" ht="15.75" hidden="1" thickBot="1" x14ac:dyDescent="0.3">
      <c r="A2384" s="236"/>
      <c r="B2384" s="239"/>
      <c r="C2384" s="155"/>
      <c r="D2384" s="33"/>
      <c r="E2384" s="34"/>
      <c r="F2384" s="28" t="s">
        <v>418</v>
      </c>
      <c r="G2384" s="31" t="str">
        <f>IF(ISNUMBER(F2384),E2384*F2384,"")</f>
        <v/>
      </c>
      <c r="H2384" s="32"/>
      <c r="I2384" s="28"/>
      <c r="J2384" s="125">
        <v>0</v>
      </c>
    </row>
    <row r="2385" spans="1:10" ht="15.75" hidden="1" thickBot="1" x14ac:dyDescent="0.3">
      <c r="A2385" s="234" t="s">
        <v>622</v>
      </c>
      <c r="B2385" s="237" t="s">
        <v>1538</v>
      </c>
      <c r="C2385" s="160"/>
      <c r="D2385" s="23" t="s">
        <v>16</v>
      </c>
      <c r="E2385" s="24"/>
      <c r="F2385" s="37" t="s">
        <v>418</v>
      </c>
      <c r="G2385" s="25" t="str">
        <f>IF(ISNUMBER(F2385),E2385*F2385,"")</f>
        <v/>
      </c>
      <c r="H2385" s="26"/>
      <c r="I2385" s="27"/>
      <c r="J2385" s="125">
        <v>0</v>
      </c>
    </row>
    <row r="2386" spans="1:10" ht="15.75" hidden="1" thickBot="1" x14ac:dyDescent="0.3">
      <c r="A2386" s="235"/>
      <c r="B2386" s="238"/>
      <c r="C2386" s="151"/>
      <c r="D2386" s="29"/>
      <c r="E2386" s="30"/>
      <c r="F2386" s="38" t="s">
        <v>418</v>
      </c>
      <c r="G2386" s="31" t="str">
        <f>IF(ISNUMBER(F2386),E2386*F2386,"")</f>
        <v/>
      </c>
      <c r="H2386" s="32"/>
      <c r="I2386" s="28"/>
      <c r="J2386" s="125">
        <v>0</v>
      </c>
    </row>
    <row r="2387" spans="1:10" ht="51.75" hidden="1" thickBot="1" x14ac:dyDescent="0.3">
      <c r="A2387" s="235"/>
      <c r="B2387" s="238"/>
      <c r="C2387" s="155" t="s">
        <v>25441</v>
      </c>
      <c r="D2387" s="155" t="s">
        <v>623</v>
      </c>
      <c r="E2387" s="34">
        <v>1</v>
      </c>
      <c r="F2387" s="28">
        <v>74.024000000000001</v>
      </c>
      <c r="G2387" s="31">
        <f>IF(ISNUMBER(F2387),E2387*F2387,"")</f>
        <v>74.024000000000001</v>
      </c>
      <c r="H2387" s="35">
        <f>SUM(G2387:G2387)</f>
        <v>74.024000000000001</v>
      </c>
      <c r="I2387" s="36"/>
      <c r="J2387" s="125">
        <v>0</v>
      </c>
    </row>
    <row r="2388" spans="1:10" ht="15.75" hidden="1" thickBot="1" x14ac:dyDescent="0.3">
      <c r="A2388" s="236"/>
      <c r="B2388" s="239"/>
      <c r="C2388" s="155"/>
      <c r="D2388" s="33"/>
      <c r="E2388" s="34"/>
      <c r="F2388" s="28" t="s">
        <v>418</v>
      </c>
      <c r="G2388" s="31" t="str">
        <f>IF(ISNUMBER(F2388),E2388*F2388,"")</f>
        <v/>
      </c>
      <c r="H2388" s="32"/>
      <c r="I2388" s="28"/>
      <c r="J2388" s="125">
        <v>0</v>
      </c>
    </row>
    <row r="2389" spans="1:10" ht="15.75" hidden="1" thickBot="1" x14ac:dyDescent="0.3">
      <c r="A2389" s="234" t="s">
        <v>1539</v>
      </c>
      <c r="B2389" s="237" t="s">
        <v>1540</v>
      </c>
      <c r="C2389" s="160"/>
      <c r="D2389" s="23" t="s">
        <v>16</v>
      </c>
      <c r="E2389" s="24"/>
      <c r="F2389" s="37" t="s">
        <v>418</v>
      </c>
      <c r="G2389" s="25" t="str">
        <f>IF(ISNUMBER(F2389),E2389*F2389,"")</f>
        <v/>
      </c>
      <c r="H2389" s="26"/>
      <c r="I2389" s="27"/>
      <c r="J2389" s="125">
        <v>0</v>
      </c>
    </row>
    <row r="2390" spans="1:10" ht="15.75" hidden="1" thickBot="1" x14ac:dyDescent="0.3">
      <c r="A2390" s="235"/>
      <c r="B2390" s="238"/>
      <c r="C2390" s="151"/>
      <c r="D2390" s="29"/>
      <c r="E2390" s="30"/>
      <c r="F2390" s="38" t="s">
        <v>418</v>
      </c>
      <c r="G2390" s="31" t="str">
        <f>IF(ISNUMBER(F2390),E2390*F2390,"")</f>
        <v/>
      </c>
      <c r="H2390" s="32"/>
      <c r="I2390" s="28"/>
      <c r="J2390" s="125">
        <v>0</v>
      </c>
    </row>
    <row r="2391" spans="1:10" ht="51.75" hidden="1" thickBot="1" x14ac:dyDescent="0.3">
      <c r="A2391" s="235"/>
      <c r="B2391" s="238"/>
      <c r="C2391" s="155" t="s">
        <v>25432</v>
      </c>
      <c r="D2391" s="155" t="s">
        <v>623</v>
      </c>
      <c r="E2391" s="34">
        <v>1</v>
      </c>
      <c r="F2391" s="28">
        <v>44.783000000000001</v>
      </c>
      <c r="G2391" s="31">
        <f>IF(ISNUMBER(F2391),E2391*F2391,"")</f>
        <v>44.783000000000001</v>
      </c>
      <c r="H2391" s="35">
        <f>SUM(G2391:G2391)</f>
        <v>44.783000000000001</v>
      </c>
      <c r="I2391" s="36"/>
      <c r="J2391" s="125">
        <v>0</v>
      </c>
    </row>
    <row r="2392" spans="1:10" ht="15.75" hidden="1" thickBot="1" x14ac:dyDescent="0.3">
      <c r="A2392" s="236"/>
      <c r="B2392" s="239"/>
      <c r="C2392" s="155"/>
      <c r="D2392" s="33"/>
      <c r="E2392" s="34"/>
      <c r="F2392" s="28" t="s">
        <v>418</v>
      </c>
      <c r="G2392" s="31" t="str">
        <f>IF(ISNUMBER(F2392),E2392*F2392,"")</f>
        <v/>
      </c>
      <c r="H2392" s="32"/>
      <c r="I2392" s="28"/>
      <c r="J2392" s="125">
        <v>0</v>
      </c>
    </row>
    <row r="2393" spans="1:10" ht="15.75" hidden="1" thickBot="1" x14ac:dyDescent="0.3">
      <c r="A2393" s="234" t="s">
        <v>1541</v>
      </c>
      <c r="B2393" s="237" t="s">
        <v>1542</v>
      </c>
      <c r="C2393" s="160"/>
      <c r="D2393" s="23" t="s">
        <v>16</v>
      </c>
      <c r="E2393" s="24"/>
      <c r="F2393" s="37" t="s">
        <v>418</v>
      </c>
      <c r="G2393" s="25" t="str">
        <f>IF(ISNUMBER(F2393),E2393*F2393,"")</f>
        <v/>
      </c>
      <c r="H2393" s="26"/>
      <c r="I2393" s="27"/>
      <c r="J2393" s="125">
        <v>0</v>
      </c>
    </row>
    <row r="2394" spans="1:10" ht="15.75" hidden="1" thickBot="1" x14ac:dyDescent="0.3">
      <c r="A2394" s="235"/>
      <c r="B2394" s="238"/>
      <c r="C2394" s="151"/>
      <c r="D2394" s="29"/>
      <c r="E2394" s="30"/>
      <c r="F2394" s="38" t="s">
        <v>418</v>
      </c>
      <c r="G2394" s="31" t="str">
        <f>IF(ISNUMBER(F2394),E2394*F2394,"")</f>
        <v/>
      </c>
      <c r="H2394" s="32"/>
      <c r="I2394" s="28"/>
      <c r="J2394" s="125">
        <v>0</v>
      </c>
    </row>
    <row r="2395" spans="1:10" ht="26.25" hidden="1" thickBot="1" x14ac:dyDescent="0.3">
      <c r="A2395" s="235"/>
      <c r="B2395" s="238"/>
      <c r="C2395" s="155" t="s">
        <v>27494</v>
      </c>
      <c r="D2395" s="155" t="s">
        <v>205</v>
      </c>
      <c r="E2395" s="34">
        <v>1</v>
      </c>
      <c r="F2395" s="28">
        <v>50.026999999999994</v>
      </c>
      <c r="G2395" s="31">
        <f>IF(ISNUMBER(F2395),E2395*F2395,"")</f>
        <v>50.026999999999994</v>
      </c>
      <c r="H2395" s="35">
        <f>SUM(G2395:G2395)</f>
        <v>50.026999999999994</v>
      </c>
      <c r="I2395" s="36"/>
      <c r="J2395" s="125">
        <v>0</v>
      </c>
    </row>
    <row r="2396" spans="1:10" ht="15.75" hidden="1" thickBot="1" x14ac:dyDescent="0.3">
      <c r="A2396" s="236"/>
      <c r="B2396" s="239"/>
      <c r="C2396" s="155"/>
      <c r="D2396" s="33"/>
      <c r="E2396" s="34"/>
      <c r="F2396" s="28" t="s">
        <v>418</v>
      </c>
      <c r="G2396" s="31" t="str">
        <f>IF(ISNUMBER(F2396),E2396*F2396,"")</f>
        <v/>
      </c>
      <c r="H2396" s="32"/>
      <c r="I2396" s="28"/>
      <c r="J2396" s="125">
        <v>0</v>
      </c>
    </row>
    <row r="2397" spans="1:10" ht="15.75" hidden="1" thickBot="1" x14ac:dyDescent="0.3">
      <c r="A2397" s="234" t="s">
        <v>1543</v>
      </c>
      <c r="B2397" s="237" t="s">
        <v>1544</v>
      </c>
      <c r="C2397" s="160"/>
      <c r="D2397" s="23" t="s">
        <v>16</v>
      </c>
      <c r="E2397" s="24"/>
      <c r="F2397" s="37" t="s">
        <v>418</v>
      </c>
      <c r="G2397" s="25" t="str">
        <f>IF(ISNUMBER(F2397),E2397*F2397,"")</f>
        <v/>
      </c>
      <c r="H2397" s="26"/>
      <c r="I2397" s="27"/>
      <c r="J2397" s="125">
        <v>0</v>
      </c>
    </row>
    <row r="2398" spans="1:10" ht="15.75" hidden="1" thickBot="1" x14ac:dyDescent="0.3">
      <c r="A2398" s="235"/>
      <c r="B2398" s="238"/>
      <c r="C2398" s="151"/>
      <c r="D2398" s="29"/>
      <c r="E2398" s="30"/>
      <c r="F2398" s="38" t="s">
        <v>418</v>
      </c>
      <c r="G2398" s="31" t="str">
        <f>IF(ISNUMBER(F2398),E2398*F2398,"")</f>
        <v/>
      </c>
      <c r="H2398" s="32"/>
      <c r="I2398" s="28"/>
      <c r="J2398" s="125">
        <v>0</v>
      </c>
    </row>
    <row r="2399" spans="1:10" ht="39" hidden="1" thickBot="1" x14ac:dyDescent="0.3">
      <c r="A2399" s="235"/>
      <c r="B2399" s="238"/>
      <c r="C2399" s="155" t="s">
        <v>25429</v>
      </c>
      <c r="D2399" s="155" t="s">
        <v>205</v>
      </c>
      <c r="E2399" s="34">
        <v>1</v>
      </c>
      <c r="F2399" s="28">
        <v>11.247999999999999</v>
      </c>
      <c r="G2399" s="31">
        <f>IF(ISNUMBER(F2399),E2399*F2399,"")</f>
        <v>11.247999999999999</v>
      </c>
      <c r="H2399" s="35">
        <f>SUM(G2399:G2399)</f>
        <v>11.247999999999999</v>
      </c>
      <c r="I2399" s="36"/>
      <c r="J2399" s="125">
        <v>0</v>
      </c>
    </row>
    <row r="2400" spans="1:10" ht="39" hidden="1" thickBot="1" x14ac:dyDescent="0.3">
      <c r="A2400" s="236"/>
      <c r="B2400" s="239"/>
      <c r="C2400" s="155" t="s">
        <v>12102</v>
      </c>
      <c r="D2400" s="33"/>
      <c r="E2400" s="34"/>
      <c r="F2400" s="28" t="s">
        <v>418</v>
      </c>
      <c r="G2400" s="31" t="str">
        <f>IF(ISNUMBER(F2400),E2400*F2400,"")</f>
        <v/>
      </c>
      <c r="H2400" s="32"/>
      <c r="I2400" s="28"/>
      <c r="J2400" s="125">
        <v>0</v>
      </c>
    </row>
    <row r="2401" spans="1:10" ht="15.75" hidden="1" thickBot="1" x14ac:dyDescent="0.3">
      <c r="A2401" s="234" t="s">
        <v>1545</v>
      </c>
      <c r="B2401" s="237" t="s">
        <v>1546</v>
      </c>
      <c r="C2401" s="160"/>
      <c r="D2401" s="23" t="s">
        <v>16</v>
      </c>
      <c r="E2401" s="24"/>
      <c r="F2401" s="37" t="s">
        <v>418</v>
      </c>
      <c r="G2401" s="25" t="str">
        <f>IF(ISNUMBER(F2401),E2401*F2401,"")</f>
        <v/>
      </c>
      <c r="H2401" s="26"/>
      <c r="I2401" s="27"/>
      <c r="J2401" s="125">
        <v>0</v>
      </c>
    </row>
    <row r="2402" spans="1:10" ht="15.75" hidden="1" thickBot="1" x14ac:dyDescent="0.3">
      <c r="A2402" s="235"/>
      <c r="B2402" s="238"/>
      <c r="C2402" s="151"/>
      <c r="D2402" s="29"/>
      <c r="E2402" s="30"/>
      <c r="F2402" s="38" t="s">
        <v>418</v>
      </c>
      <c r="G2402" s="31" t="str">
        <f>IF(ISNUMBER(F2402),E2402*F2402,"")</f>
        <v/>
      </c>
      <c r="H2402" s="32"/>
      <c r="I2402" s="28"/>
      <c r="J2402" s="125">
        <v>0</v>
      </c>
    </row>
    <row r="2403" spans="1:10" ht="51.75" hidden="1" thickBot="1" x14ac:dyDescent="0.3">
      <c r="A2403" s="235"/>
      <c r="B2403" s="238"/>
      <c r="C2403" s="155" t="s">
        <v>25428</v>
      </c>
      <c r="D2403" s="155" t="s">
        <v>205</v>
      </c>
      <c r="E2403" s="34">
        <v>1</v>
      </c>
      <c r="F2403" s="28">
        <v>11.2385</v>
      </c>
      <c r="G2403" s="31">
        <f>IF(ISNUMBER(F2403),E2403*F2403,"")</f>
        <v>11.2385</v>
      </c>
      <c r="H2403" s="35">
        <f>SUM(G2403:G2403)</f>
        <v>11.2385</v>
      </c>
      <c r="I2403" s="36"/>
      <c r="J2403" s="125">
        <v>0</v>
      </c>
    </row>
    <row r="2404" spans="1:10" ht="15.75" hidden="1" thickBot="1" x14ac:dyDescent="0.3">
      <c r="A2404" s="236"/>
      <c r="B2404" s="239"/>
      <c r="C2404" s="155"/>
      <c r="D2404" s="33"/>
      <c r="E2404" s="34"/>
      <c r="F2404" s="28" t="s">
        <v>418</v>
      </c>
      <c r="G2404" s="31" t="str">
        <f>IF(ISNUMBER(F2404),E2404*F2404,"")</f>
        <v/>
      </c>
      <c r="H2404" s="32"/>
      <c r="I2404" s="28"/>
      <c r="J2404" s="125">
        <v>0</v>
      </c>
    </row>
    <row r="2405" spans="1:10" ht="15.75" hidden="1" thickBot="1" x14ac:dyDescent="0.3">
      <c r="A2405" s="234" t="s">
        <v>1547</v>
      </c>
      <c r="B2405" s="237" t="s">
        <v>1548</v>
      </c>
      <c r="C2405" s="160"/>
      <c r="D2405" s="23" t="s">
        <v>16</v>
      </c>
      <c r="E2405" s="24"/>
      <c r="F2405" s="37" t="s">
        <v>418</v>
      </c>
      <c r="G2405" s="25" t="str">
        <f>IF(ISNUMBER(F2405),E2405*F2405,"")</f>
        <v/>
      </c>
      <c r="H2405" s="26"/>
      <c r="I2405" s="27"/>
      <c r="J2405" s="125">
        <v>0</v>
      </c>
    </row>
    <row r="2406" spans="1:10" ht="15.75" hidden="1" thickBot="1" x14ac:dyDescent="0.3">
      <c r="A2406" s="235"/>
      <c r="B2406" s="238"/>
      <c r="C2406" s="151"/>
      <c r="D2406" s="29"/>
      <c r="E2406" s="30"/>
      <c r="F2406" s="38" t="s">
        <v>418</v>
      </c>
      <c r="G2406" s="31" t="str">
        <f>IF(ISNUMBER(F2406),E2406*F2406,"")</f>
        <v/>
      </c>
      <c r="H2406" s="32"/>
      <c r="I2406" s="28"/>
      <c r="J2406" s="125">
        <v>0</v>
      </c>
    </row>
    <row r="2407" spans="1:10" ht="51.75" hidden="1" thickBot="1" x14ac:dyDescent="0.3">
      <c r="A2407" s="235"/>
      <c r="B2407" s="238"/>
      <c r="C2407" s="155" t="s">
        <v>25428</v>
      </c>
      <c r="D2407" s="155" t="s">
        <v>205</v>
      </c>
      <c r="E2407" s="34">
        <v>1</v>
      </c>
      <c r="F2407" s="28">
        <v>11.2385</v>
      </c>
      <c r="G2407" s="31">
        <f>IF(ISNUMBER(F2407),E2407*F2407,"")</f>
        <v>11.2385</v>
      </c>
      <c r="H2407" s="35">
        <f>SUM(G2407:G2407)</f>
        <v>11.2385</v>
      </c>
      <c r="I2407" s="36"/>
      <c r="J2407" s="125">
        <v>0</v>
      </c>
    </row>
    <row r="2408" spans="1:10" ht="15.75" hidden="1" thickBot="1" x14ac:dyDescent="0.3">
      <c r="A2408" s="236"/>
      <c r="B2408" s="239"/>
      <c r="C2408" s="155"/>
      <c r="D2408" s="33"/>
      <c r="E2408" s="34"/>
      <c r="F2408" s="28" t="s">
        <v>418</v>
      </c>
      <c r="G2408" s="31" t="str">
        <f>IF(ISNUMBER(F2408),E2408*F2408,"")</f>
        <v/>
      </c>
      <c r="H2408" s="32"/>
      <c r="I2408" s="28"/>
      <c r="J2408" s="125">
        <v>0</v>
      </c>
    </row>
    <row r="2409" spans="1:10" ht="15.75" hidden="1" thickBot="1" x14ac:dyDescent="0.3">
      <c r="A2409" s="234" t="s">
        <v>1550</v>
      </c>
      <c r="B2409" s="237" t="s">
        <v>19737</v>
      </c>
      <c r="C2409" s="160"/>
      <c r="D2409" s="23" t="s">
        <v>16</v>
      </c>
      <c r="E2409" s="24"/>
      <c r="F2409" s="37" t="s">
        <v>418</v>
      </c>
      <c r="G2409" s="25" t="str">
        <f>IF(ISNUMBER(F2409),E2409*F2409,"")</f>
        <v/>
      </c>
      <c r="H2409" s="26"/>
      <c r="I2409" s="27"/>
      <c r="J2409" s="125">
        <v>0</v>
      </c>
    </row>
    <row r="2410" spans="1:10" ht="15.75" hidden="1" thickBot="1" x14ac:dyDescent="0.3">
      <c r="A2410" s="235"/>
      <c r="B2410" s="238"/>
      <c r="C2410" s="151"/>
      <c r="D2410" s="29"/>
      <c r="E2410" s="30"/>
      <c r="F2410" s="38" t="s">
        <v>418</v>
      </c>
      <c r="G2410" s="31" t="str">
        <f>IF(ISNUMBER(F2410),E2410*F2410,"")</f>
        <v/>
      </c>
      <c r="H2410" s="32"/>
      <c r="I2410" s="28"/>
      <c r="J2410" s="125">
        <v>0</v>
      </c>
    </row>
    <row r="2411" spans="1:10" ht="39" hidden="1" thickBot="1" x14ac:dyDescent="0.3">
      <c r="A2411" s="235"/>
      <c r="B2411" s="238"/>
      <c r="C2411" s="155" t="s">
        <v>27137</v>
      </c>
      <c r="D2411" s="155" t="s">
        <v>205</v>
      </c>
      <c r="E2411" s="34">
        <v>1</v>
      </c>
      <c r="F2411" s="28">
        <v>22.163499999999999</v>
      </c>
      <c r="G2411" s="31">
        <f>IF(ISNUMBER(F2411),E2411*F2411,"")</f>
        <v>22.163499999999999</v>
      </c>
      <c r="H2411" s="35">
        <f>SUM(G2411:G2411)</f>
        <v>22.163499999999999</v>
      </c>
      <c r="I2411" s="36"/>
      <c r="J2411" s="125">
        <v>0</v>
      </c>
    </row>
    <row r="2412" spans="1:10" ht="15.75" hidden="1" thickBot="1" x14ac:dyDescent="0.3">
      <c r="A2412" s="236"/>
      <c r="B2412" s="239"/>
      <c r="C2412" s="155"/>
      <c r="D2412" s="33"/>
      <c r="E2412" s="34"/>
      <c r="F2412" s="28" t="s">
        <v>418</v>
      </c>
      <c r="G2412" s="31" t="str">
        <f>IF(ISNUMBER(F2412),E2412*F2412,"")</f>
        <v/>
      </c>
      <c r="H2412" s="32"/>
      <c r="I2412" s="28"/>
      <c r="J2412" s="125">
        <v>0</v>
      </c>
    </row>
    <row r="2413" spans="1:10" ht="15.75" hidden="1" thickBot="1" x14ac:dyDescent="0.3">
      <c r="A2413" s="234" t="s">
        <v>624</v>
      </c>
      <c r="B2413" s="237" t="s">
        <v>1551</v>
      </c>
      <c r="C2413" s="160"/>
      <c r="D2413" s="23" t="s">
        <v>1552</v>
      </c>
      <c r="E2413" s="24"/>
      <c r="F2413" s="37" t="s">
        <v>418</v>
      </c>
      <c r="G2413" s="25" t="str">
        <f>IF(ISNUMBER(F2413),E2413*F2413,"")</f>
        <v/>
      </c>
      <c r="H2413" s="26"/>
      <c r="I2413" s="27"/>
      <c r="J2413" s="125">
        <v>0</v>
      </c>
    </row>
    <row r="2414" spans="1:10" ht="15.75" hidden="1" thickBot="1" x14ac:dyDescent="0.3">
      <c r="A2414" s="235"/>
      <c r="B2414" s="238"/>
      <c r="C2414" s="151"/>
      <c r="D2414" s="29"/>
      <c r="E2414" s="30"/>
      <c r="F2414" s="38" t="s">
        <v>418</v>
      </c>
      <c r="G2414" s="31" t="str">
        <f>IF(ISNUMBER(F2414),E2414*F2414,"")</f>
        <v/>
      </c>
      <c r="H2414" s="32"/>
      <c r="I2414" s="28"/>
      <c r="J2414" s="125">
        <v>0</v>
      </c>
    </row>
    <row r="2415" spans="1:10" ht="26.25" hidden="1" thickBot="1" x14ac:dyDescent="0.3">
      <c r="A2415" s="235"/>
      <c r="B2415" s="238"/>
      <c r="C2415" s="155" t="s">
        <v>625</v>
      </c>
      <c r="D2415" s="155" t="s">
        <v>205</v>
      </c>
      <c r="E2415" s="34">
        <v>1</v>
      </c>
      <c r="F2415" s="28">
        <v>30.884499999999996</v>
      </c>
      <c r="G2415" s="31">
        <f>IF(ISNUMBER(F2415),E2415*F2415,"")</f>
        <v>30.884499999999996</v>
      </c>
      <c r="H2415" s="35">
        <f>SUM(G2415:G2415)</f>
        <v>30.884499999999996</v>
      </c>
      <c r="I2415" s="36"/>
      <c r="J2415" s="125">
        <v>0</v>
      </c>
    </row>
    <row r="2416" spans="1:10" ht="15.75" hidden="1" thickBot="1" x14ac:dyDescent="0.3">
      <c r="A2416" s="236"/>
      <c r="B2416" s="239"/>
      <c r="C2416" s="155"/>
      <c r="D2416" s="33"/>
      <c r="E2416" s="34"/>
      <c r="F2416" s="28" t="s">
        <v>418</v>
      </c>
      <c r="G2416" s="31" t="str">
        <f>IF(ISNUMBER(F2416),E2416*F2416,"")</f>
        <v/>
      </c>
      <c r="H2416" s="32"/>
      <c r="I2416" s="28"/>
      <c r="J2416" s="125">
        <v>0</v>
      </c>
    </row>
    <row r="2417" spans="1:10" ht="15.75" hidden="1" thickBot="1" x14ac:dyDescent="0.3">
      <c r="A2417" s="234" t="s">
        <v>1553</v>
      </c>
      <c r="B2417" s="237" t="s">
        <v>1554</v>
      </c>
      <c r="C2417" s="160"/>
      <c r="D2417" s="23" t="s">
        <v>28</v>
      </c>
      <c r="E2417" s="24"/>
      <c r="F2417" s="37" t="s">
        <v>418</v>
      </c>
      <c r="G2417" s="25" t="str">
        <f>IF(ISNUMBER(F2417),E2417*F2417,"")</f>
        <v/>
      </c>
      <c r="H2417" s="26"/>
      <c r="I2417" s="27"/>
      <c r="J2417" s="125">
        <v>0</v>
      </c>
    </row>
    <row r="2418" spans="1:10" ht="15.75" hidden="1" thickBot="1" x14ac:dyDescent="0.3">
      <c r="A2418" s="235"/>
      <c r="B2418" s="238"/>
      <c r="C2418" s="151"/>
      <c r="D2418" s="29"/>
      <c r="E2418" s="30"/>
      <c r="F2418" s="38" t="s">
        <v>418</v>
      </c>
      <c r="G2418" s="31" t="str">
        <f>IF(ISNUMBER(F2418),E2418*F2418,"")</f>
        <v/>
      </c>
      <c r="H2418" s="32"/>
      <c r="I2418" s="28"/>
      <c r="J2418" s="125">
        <v>0</v>
      </c>
    </row>
    <row r="2419" spans="1:10" ht="15.75" hidden="1" thickBot="1" x14ac:dyDescent="0.3">
      <c r="A2419" s="235"/>
      <c r="B2419" s="238"/>
      <c r="C2419" s="155" t="s">
        <v>23483</v>
      </c>
      <c r="D2419" s="155" t="s">
        <v>774</v>
      </c>
      <c r="E2419" s="34">
        <v>1</v>
      </c>
      <c r="F2419" s="28">
        <v>43.215499999999999</v>
      </c>
      <c r="G2419" s="31">
        <f>IF(ISNUMBER(F2419),E2419*F2419,"")</f>
        <v>43.215499999999999</v>
      </c>
      <c r="H2419" s="35">
        <f>SUM(G2419:G2419)</f>
        <v>43.215499999999999</v>
      </c>
      <c r="I2419" s="36"/>
      <c r="J2419" s="125">
        <v>0</v>
      </c>
    </row>
    <row r="2420" spans="1:10" ht="15.75" hidden="1" thickBot="1" x14ac:dyDescent="0.3">
      <c r="A2420" s="236"/>
      <c r="B2420" s="239"/>
      <c r="C2420" s="155"/>
      <c r="D2420" s="33"/>
      <c r="E2420" s="34"/>
      <c r="F2420" s="28" t="s">
        <v>418</v>
      </c>
      <c r="G2420" s="31" t="str">
        <f>IF(ISNUMBER(F2420),E2420*F2420,"")</f>
        <v/>
      </c>
      <c r="H2420" s="32"/>
      <c r="I2420" s="28"/>
      <c r="J2420" s="125">
        <v>0</v>
      </c>
    </row>
    <row r="2421" spans="1:10" ht="15.75" hidden="1" thickBot="1" x14ac:dyDescent="0.3">
      <c r="A2421" s="234" t="s">
        <v>1555</v>
      </c>
      <c r="B2421" s="237" t="s">
        <v>1556</v>
      </c>
      <c r="C2421" s="160"/>
      <c r="D2421" s="23" t="s">
        <v>70</v>
      </c>
      <c r="E2421" s="24"/>
      <c r="F2421" s="37" t="s">
        <v>418</v>
      </c>
      <c r="G2421" s="25" t="str">
        <f>IF(ISNUMBER(F2421),E2421*F2421,"")</f>
        <v/>
      </c>
      <c r="H2421" s="26"/>
      <c r="I2421" s="27"/>
      <c r="J2421" s="125">
        <v>0</v>
      </c>
    </row>
    <row r="2422" spans="1:10" ht="15.75" hidden="1" thickBot="1" x14ac:dyDescent="0.3">
      <c r="A2422" s="235"/>
      <c r="B2422" s="238"/>
      <c r="C2422" s="151"/>
      <c r="D2422" s="29"/>
      <c r="E2422" s="30"/>
      <c r="F2422" s="38" t="s">
        <v>418</v>
      </c>
      <c r="G2422" s="31" t="str">
        <f>IF(ISNUMBER(F2422),E2422*F2422,"")</f>
        <v/>
      </c>
      <c r="H2422" s="32"/>
      <c r="I2422" s="28"/>
      <c r="J2422" s="125">
        <v>0</v>
      </c>
    </row>
    <row r="2423" spans="1:10" ht="26.25" hidden="1" thickBot="1" x14ac:dyDescent="0.3">
      <c r="A2423" s="235"/>
      <c r="B2423" s="238"/>
      <c r="C2423" s="155" t="s">
        <v>30027</v>
      </c>
      <c r="D2423" s="155" t="s">
        <v>870</v>
      </c>
      <c r="E2423" s="34">
        <v>1</v>
      </c>
      <c r="F2423" s="28">
        <v>65.730499999999992</v>
      </c>
      <c r="G2423" s="31">
        <f>IF(ISNUMBER(F2423),E2423*F2423,"")</f>
        <v>65.730499999999992</v>
      </c>
      <c r="H2423" s="35">
        <f>SUM(G2423:G2423)</f>
        <v>65.730499999999992</v>
      </c>
      <c r="I2423" s="36"/>
      <c r="J2423" s="125">
        <v>0</v>
      </c>
    </row>
    <row r="2424" spans="1:10" ht="15.75" hidden="1" thickBot="1" x14ac:dyDescent="0.3">
      <c r="A2424" s="236"/>
      <c r="B2424" s="239"/>
      <c r="C2424" s="155"/>
      <c r="D2424" s="33"/>
      <c r="E2424" s="34"/>
      <c r="F2424" s="28" t="s">
        <v>418</v>
      </c>
      <c r="G2424" s="31" t="str">
        <f>IF(ISNUMBER(F2424),E2424*F2424,"")</f>
        <v/>
      </c>
      <c r="H2424" s="32"/>
      <c r="I2424" s="28"/>
      <c r="J2424" s="125">
        <v>0</v>
      </c>
    </row>
    <row r="2425" spans="1:10" ht="15.75" hidden="1" thickBot="1" x14ac:dyDescent="0.3">
      <c r="A2425" s="234" t="s">
        <v>1557</v>
      </c>
      <c r="B2425" s="237" t="s">
        <v>1558</v>
      </c>
      <c r="C2425" s="160"/>
      <c r="D2425" s="23" t="s">
        <v>70</v>
      </c>
      <c r="E2425" s="24"/>
      <c r="F2425" s="37" t="s">
        <v>418</v>
      </c>
      <c r="G2425" s="25" t="str">
        <f>IF(ISNUMBER(F2425),E2425*F2425,"")</f>
        <v/>
      </c>
      <c r="H2425" s="26"/>
      <c r="I2425" s="27"/>
      <c r="J2425" s="125">
        <v>0</v>
      </c>
    </row>
    <row r="2426" spans="1:10" ht="15.75" hidden="1" thickBot="1" x14ac:dyDescent="0.3">
      <c r="A2426" s="235"/>
      <c r="B2426" s="238"/>
      <c r="C2426" s="151"/>
      <c r="D2426" s="29"/>
      <c r="E2426" s="30"/>
      <c r="F2426" s="38" t="s">
        <v>418</v>
      </c>
      <c r="G2426" s="31" t="str">
        <f>IF(ISNUMBER(F2426),E2426*F2426,"")</f>
        <v/>
      </c>
      <c r="H2426" s="32"/>
      <c r="I2426" s="28"/>
      <c r="J2426" s="125">
        <v>0</v>
      </c>
    </row>
    <row r="2427" spans="1:10" ht="26.25" hidden="1" thickBot="1" x14ac:dyDescent="0.3">
      <c r="A2427" s="235"/>
      <c r="B2427" s="238"/>
      <c r="C2427" s="155" t="s">
        <v>30027</v>
      </c>
      <c r="D2427" s="155" t="s">
        <v>870</v>
      </c>
      <c r="E2427" s="34">
        <v>1</v>
      </c>
      <c r="F2427" s="28">
        <v>65.730499999999992</v>
      </c>
      <c r="G2427" s="31">
        <f>IF(ISNUMBER(F2427),E2427*F2427,"")</f>
        <v>65.730499999999992</v>
      </c>
      <c r="H2427" s="35">
        <f>SUM(G2427:G2427)</f>
        <v>65.730499999999992</v>
      </c>
      <c r="I2427" s="36"/>
      <c r="J2427" s="125">
        <v>0</v>
      </c>
    </row>
    <row r="2428" spans="1:10" ht="15.75" hidden="1" thickBot="1" x14ac:dyDescent="0.3">
      <c r="A2428" s="236"/>
      <c r="B2428" s="239"/>
      <c r="C2428" s="155"/>
      <c r="D2428" s="33"/>
      <c r="E2428" s="34"/>
      <c r="F2428" s="28" t="s">
        <v>418</v>
      </c>
      <c r="G2428" s="31" t="str">
        <f>IF(ISNUMBER(F2428),E2428*F2428,"")</f>
        <v/>
      </c>
      <c r="H2428" s="32"/>
      <c r="I2428" s="28"/>
      <c r="J2428" s="125">
        <v>0</v>
      </c>
    </row>
    <row r="2429" spans="1:10" ht="15.75" hidden="1" thickBot="1" x14ac:dyDescent="0.3">
      <c r="A2429" s="234" t="s">
        <v>1559</v>
      </c>
      <c r="B2429" s="237" t="s">
        <v>1560</v>
      </c>
      <c r="C2429" s="160"/>
      <c r="D2429" s="23" t="s">
        <v>70</v>
      </c>
      <c r="E2429" s="24"/>
      <c r="F2429" s="37" t="s">
        <v>418</v>
      </c>
      <c r="G2429" s="25" t="str">
        <f>IF(ISNUMBER(F2429),E2429*F2429,"")</f>
        <v/>
      </c>
      <c r="H2429" s="26"/>
      <c r="I2429" s="27"/>
      <c r="J2429" s="125">
        <v>0</v>
      </c>
    </row>
    <row r="2430" spans="1:10" ht="15.75" hidden="1" thickBot="1" x14ac:dyDescent="0.3">
      <c r="A2430" s="235"/>
      <c r="B2430" s="238"/>
      <c r="C2430" s="151"/>
      <c r="D2430" s="29"/>
      <c r="E2430" s="30"/>
      <c r="F2430" s="38" t="s">
        <v>418</v>
      </c>
      <c r="G2430" s="31" t="str">
        <f>IF(ISNUMBER(F2430),E2430*F2430,"")</f>
        <v/>
      </c>
      <c r="H2430" s="32"/>
      <c r="I2430" s="28"/>
      <c r="J2430" s="125">
        <v>0</v>
      </c>
    </row>
    <row r="2431" spans="1:10" ht="26.25" hidden="1" thickBot="1" x14ac:dyDescent="0.3">
      <c r="A2431" s="235"/>
      <c r="B2431" s="238"/>
      <c r="C2431" s="155" t="s">
        <v>30027</v>
      </c>
      <c r="D2431" s="155" t="s">
        <v>870</v>
      </c>
      <c r="E2431" s="34">
        <v>1</v>
      </c>
      <c r="F2431" s="28">
        <v>65.730499999999992</v>
      </c>
      <c r="G2431" s="31">
        <f>IF(ISNUMBER(F2431),E2431*F2431,"")</f>
        <v>65.730499999999992</v>
      </c>
      <c r="H2431" s="35">
        <f>SUM(G2431:G2431)</f>
        <v>65.730499999999992</v>
      </c>
      <c r="I2431" s="36"/>
      <c r="J2431" s="125">
        <v>0</v>
      </c>
    </row>
    <row r="2432" spans="1:10" ht="15.75" hidden="1" thickBot="1" x14ac:dyDescent="0.3">
      <c r="A2432" s="236"/>
      <c r="B2432" s="239"/>
      <c r="C2432" s="155"/>
      <c r="D2432" s="33"/>
      <c r="E2432" s="34"/>
      <c r="F2432" s="28" t="s">
        <v>418</v>
      </c>
      <c r="G2432" s="31" t="str">
        <f>IF(ISNUMBER(F2432),E2432*F2432,"")</f>
        <v/>
      </c>
      <c r="H2432" s="32"/>
      <c r="I2432" s="28"/>
      <c r="J2432" s="125">
        <v>0</v>
      </c>
    </row>
    <row r="2433" spans="1:10" ht="15.75" hidden="1" thickBot="1" x14ac:dyDescent="0.3">
      <c r="A2433" s="234" t="s">
        <v>1561</v>
      </c>
      <c r="B2433" s="237" t="s">
        <v>1562</v>
      </c>
      <c r="C2433" s="160"/>
      <c r="D2433" s="23" t="s">
        <v>81</v>
      </c>
      <c r="E2433" s="24"/>
      <c r="F2433" s="37" t="s">
        <v>418</v>
      </c>
      <c r="G2433" s="25" t="str">
        <f>IF(ISNUMBER(F2433),E2433*F2433,"")</f>
        <v/>
      </c>
      <c r="H2433" s="26"/>
      <c r="I2433" s="27"/>
      <c r="J2433" s="125">
        <v>0</v>
      </c>
    </row>
    <row r="2434" spans="1:10" ht="15.75" hidden="1" thickBot="1" x14ac:dyDescent="0.3">
      <c r="A2434" s="235"/>
      <c r="B2434" s="238"/>
      <c r="C2434" s="151"/>
      <c r="D2434" s="29"/>
      <c r="E2434" s="30"/>
      <c r="F2434" s="38" t="s">
        <v>418</v>
      </c>
      <c r="G2434" s="31" t="str">
        <f>IF(ISNUMBER(F2434),E2434*F2434,"")</f>
        <v/>
      </c>
      <c r="H2434" s="32"/>
      <c r="I2434" s="28"/>
      <c r="J2434" s="125">
        <v>0</v>
      </c>
    </row>
    <row r="2435" spans="1:10" ht="26.25" hidden="1" thickBot="1" x14ac:dyDescent="0.3">
      <c r="A2435" s="235"/>
      <c r="B2435" s="238"/>
      <c r="C2435" s="155" t="s">
        <v>11624</v>
      </c>
      <c r="D2435" s="155" t="s">
        <v>385</v>
      </c>
      <c r="E2435" s="34">
        <f>1/(0.025*0.3)</f>
        <v>133.33333333333334</v>
      </c>
      <c r="F2435" s="28">
        <v>9.2054999999999989</v>
      </c>
      <c r="G2435" s="31">
        <f>IF(ISNUMBER(F2435),E2435*F2435,"")</f>
        <v>1227.3999999999999</v>
      </c>
      <c r="H2435" s="35">
        <f>SUM(G2435:G2435)</f>
        <v>1227.3999999999999</v>
      </c>
      <c r="I2435" s="36"/>
      <c r="J2435" s="125">
        <v>0</v>
      </c>
    </row>
    <row r="2436" spans="1:10" ht="15.75" hidden="1" thickBot="1" x14ac:dyDescent="0.3">
      <c r="A2436" s="236"/>
      <c r="B2436" s="239"/>
      <c r="C2436" s="155"/>
      <c r="D2436" s="33"/>
      <c r="E2436" s="34"/>
      <c r="F2436" s="28" t="s">
        <v>418</v>
      </c>
      <c r="G2436" s="31" t="str">
        <f>IF(ISNUMBER(F2436),E2436*F2436,"")</f>
        <v/>
      </c>
      <c r="H2436" s="32"/>
      <c r="I2436" s="28"/>
      <c r="J2436" s="125">
        <v>0</v>
      </c>
    </row>
    <row r="2437" spans="1:10" ht="15.75" hidden="1" thickBot="1" x14ac:dyDescent="0.3">
      <c r="A2437" s="234" t="s">
        <v>1563</v>
      </c>
      <c r="B2437" s="237" t="s">
        <v>1564</v>
      </c>
      <c r="C2437" s="160"/>
      <c r="D2437" s="23" t="s">
        <v>69</v>
      </c>
      <c r="E2437" s="24"/>
      <c r="F2437" s="37" t="s">
        <v>418</v>
      </c>
      <c r="G2437" s="25" t="str">
        <f>IF(ISNUMBER(F2437),E2437*F2437,"")</f>
        <v/>
      </c>
      <c r="H2437" s="26"/>
      <c r="I2437" s="27"/>
      <c r="J2437" s="125">
        <v>0</v>
      </c>
    </row>
    <row r="2438" spans="1:10" ht="15.75" hidden="1" thickBot="1" x14ac:dyDescent="0.3">
      <c r="A2438" s="235"/>
      <c r="B2438" s="238"/>
      <c r="C2438" s="151"/>
      <c r="D2438" s="29"/>
      <c r="E2438" s="30"/>
      <c r="F2438" s="38" t="s">
        <v>418</v>
      </c>
      <c r="G2438" s="31" t="str">
        <f>IF(ISNUMBER(F2438),E2438*F2438,"")</f>
        <v/>
      </c>
      <c r="H2438" s="32"/>
      <c r="I2438" s="28"/>
      <c r="J2438" s="125">
        <v>0</v>
      </c>
    </row>
    <row r="2439" spans="1:10" ht="26.25" hidden="1" thickBot="1" x14ac:dyDescent="0.3">
      <c r="A2439" s="235"/>
      <c r="B2439" s="238"/>
      <c r="C2439" s="155" t="s">
        <v>11622</v>
      </c>
      <c r="D2439" s="155" t="s">
        <v>385</v>
      </c>
      <c r="E2439" s="34">
        <v>1</v>
      </c>
      <c r="F2439" s="28">
        <v>2.8119999999999998</v>
      </c>
      <c r="G2439" s="31">
        <f>IF(ISNUMBER(F2439),E2439*F2439,"")</f>
        <v>2.8119999999999998</v>
      </c>
      <c r="H2439" s="35">
        <f>SUM(G2439:G2439)</f>
        <v>2.8119999999999998</v>
      </c>
      <c r="I2439" s="36"/>
      <c r="J2439" s="125">
        <v>0</v>
      </c>
    </row>
    <row r="2440" spans="1:10" ht="15.75" hidden="1" thickBot="1" x14ac:dyDescent="0.3">
      <c r="A2440" s="236"/>
      <c r="B2440" s="239"/>
      <c r="C2440" s="155"/>
      <c r="D2440" s="33"/>
      <c r="E2440" s="34"/>
      <c r="F2440" s="28" t="s">
        <v>418</v>
      </c>
      <c r="G2440" s="31" t="str">
        <f>IF(ISNUMBER(F2440),E2440*F2440,"")</f>
        <v/>
      </c>
      <c r="H2440" s="32"/>
      <c r="I2440" s="28"/>
      <c r="J2440" s="125">
        <v>0</v>
      </c>
    </row>
    <row r="2441" spans="1:10" ht="15.75" hidden="1" thickBot="1" x14ac:dyDescent="0.3">
      <c r="A2441" s="234" t="s">
        <v>1565</v>
      </c>
      <c r="B2441" s="237" t="s">
        <v>1566</v>
      </c>
      <c r="C2441" s="160"/>
      <c r="D2441" s="23" t="s">
        <v>69</v>
      </c>
      <c r="E2441" s="24"/>
      <c r="F2441" s="37" t="s">
        <v>418</v>
      </c>
      <c r="G2441" s="25" t="str">
        <f>IF(ISNUMBER(F2441),E2441*F2441,"")</f>
        <v/>
      </c>
      <c r="H2441" s="26"/>
      <c r="I2441" s="27"/>
      <c r="J2441" s="125">
        <v>0</v>
      </c>
    </row>
    <row r="2442" spans="1:10" ht="15.75" hidden="1" thickBot="1" x14ac:dyDescent="0.3">
      <c r="A2442" s="235"/>
      <c r="B2442" s="238"/>
      <c r="C2442" s="151"/>
      <c r="D2442" s="29"/>
      <c r="E2442" s="30"/>
      <c r="F2442" s="38" t="s">
        <v>418</v>
      </c>
      <c r="G2442" s="31" t="str">
        <f>IF(ISNUMBER(F2442),E2442*F2442,"")</f>
        <v/>
      </c>
      <c r="H2442" s="32"/>
      <c r="I2442" s="28"/>
      <c r="J2442" s="125">
        <v>0</v>
      </c>
    </row>
    <row r="2443" spans="1:10" ht="26.25" hidden="1" thickBot="1" x14ac:dyDescent="0.3">
      <c r="A2443" s="235"/>
      <c r="B2443" s="238"/>
      <c r="C2443" s="155" t="s">
        <v>24208</v>
      </c>
      <c r="D2443" s="155" t="s">
        <v>385</v>
      </c>
      <c r="E2443" s="34">
        <v>1</v>
      </c>
      <c r="F2443" s="28">
        <v>3.9045000000000001</v>
      </c>
      <c r="G2443" s="31">
        <f>IF(ISNUMBER(F2443),E2443*F2443,"")</f>
        <v>3.9045000000000001</v>
      </c>
      <c r="H2443" s="35">
        <f>SUM(G2443:G2443)</f>
        <v>3.9045000000000001</v>
      </c>
      <c r="I2443" s="36"/>
      <c r="J2443" s="125">
        <v>0</v>
      </c>
    </row>
    <row r="2444" spans="1:10" ht="15.75" hidden="1" thickBot="1" x14ac:dyDescent="0.3">
      <c r="A2444" s="236"/>
      <c r="B2444" s="239"/>
      <c r="C2444" s="155"/>
      <c r="D2444" s="33"/>
      <c r="E2444" s="34"/>
      <c r="F2444" s="28" t="s">
        <v>418</v>
      </c>
      <c r="G2444" s="31" t="str">
        <f>IF(ISNUMBER(F2444),E2444*F2444,"")</f>
        <v/>
      </c>
      <c r="H2444" s="32"/>
      <c r="I2444" s="28"/>
      <c r="J2444" s="125">
        <v>0</v>
      </c>
    </row>
    <row r="2445" spans="1:10" ht="15.75" hidden="1" thickBot="1" x14ac:dyDescent="0.3">
      <c r="A2445" s="234" t="s">
        <v>1567</v>
      </c>
      <c r="B2445" s="237" t="s">
        <v>19738</v>
      </c>
      <c r="C2445" s="160"/>
      <c r="D2445" s="23" t="s">
        <v>70</v>
      </c>
      <c r="E2445" s="24"/>
      <c r="F2445" s="37" t="s">
        <v>418</v>
      </c>
      <c r="G2445" s="25" t="str">
        <f>IF(ISNUMBER(F2445),E2445*F2445,"")</f>
        <v/>
      </c>
      <c r="H2445" s="26"/>
      <c r="I2445" s="27"/>
      <c r="J2445" s="125">
        <v>0</v>
      </c>
    </row>
    <row r="2446" spans="1:10" ht="15.75" hidden="1" thickBot="1" x14ac:dyDescent="0.3">
      <c r="A2446" s="235"/>
      <c r="B2446" s="238"/>
      <c r="C2446" s="151"/>
      <c r="D2446" s="29"/>
      <c r="E2446" s="30"/>
      <c r="F2446" s="38" t="s">
        <v>418</v>
      </c>
      <c r="G2446" s="31" t="str">
        <f>IF(ISNUMBER(F2446),E2446*F2446,"")</f>
        <v/>
      </c>
      <c r="H2446" s="32"/>
      <c r="I2446" s="28"/>
      <c r="J2446" s="125">
        <v>0</v>
      </c>
    </row>
    <row r="2447" spans="1:10" ht="15.75" hidden="1" thickBot="1" x14ac:dyDescent="0.3">
      <c r="A2447" s="235"/>
      <c r="B2447" s="238"/>
      <c r="C2447" s="155" t="s">
        <v>10249</v>
      </c>
      <c r="D2447" s="155" t="s">
        <v>870</v>
      </c>
      <c r="E2447" s="34">
        <v>1</v>
      </c>
      <c r="F2447" s="28">
        <v>27.853999999999999</v>
      </c>
      <c r="G2447" s="31">
        <f>IF(ISNUMBER(F2447),E2447*F2447,"")</f>
        <v>27.853999999999999</v>
      </c>
      <c r="H2447" s="35">
        <f>SUM(G2447:G2447)</f>
        <v>27.853999999999999</v>
      </c>
      <c r="I2447" s="36"/>
      <c r="J2447" s="125">
        <v>0</v>
      </c>
    </row>
    <row r="2448" spans="1:10" ht="15.75" hidden="1" thickBot="1" x14ac:dyDescent="0.3">
      <c r="A2448" s="236"/>
      <c r="B2448" s="239"/>
      <c r="C2448" s="155"/>
      <c r="D2448" s="33"/>
      <c r="E2448" s="34"/>
      <c r="F2448" s="28" t="s">
        <v>418</v>
      </c>
      <c r="G2448" s="31" t="str">
        <f>IF(ISNUMBER(F2448),E2448*F2448,"")</f>
        <v/>
      </c>
      <c r="H2448" s="32"/>
      <c r="I2448" s="28"/>
      <c r="J2448" s="125">
        <v>0</v>
      </c>
    </row>
    <row r="2449" spans="1:10" ht="15.75" hidden="1" thickBot="1" x14ac:dyDescent="0.3">
      <c r="A2449" s="234" t="s">
        <v>1568</v>
      </c>
      <c r="B2449" s="237" t="s">
        <v>19739</v>
      </c>
      <c r="C2449" s="160"/>
      <c r="D2449" s="23" t="s">
        <v>70</v>
      </c>
      <c r="E2449" s="24"/>
      <c r="F2449" s="37" t="s">
        <v>418</v>
      </c>
      <c r="G2449" s="25" t="str">
        <f>IF(ISNUMBER(F2449),E2449*F2449,"")</f>
        <v/>
      </c>
      <c r="H2449" s="26"/>
      <c r="I2449" s="27"/>
      <c r="J2449" s="125">
        <v>0</v>
      </c>
    </row>
    <row r="2450" spans="1:10" ht="15.75" hidden="1" thickBot="1" x14ac:dyDescent="0.3">
      <c r="A2450" s="235"/>
      <c r="B2450" s="238"/>
      <c r="C2450" s="151"/>
      <c r="D2450" s="29"/>
      <c r="E2450" s="30"/>
      <c r="F2450" s="38" t="s">
        <v>418</v>
      </c>
      <c r="G2450" s="31" t="str">
        <f>IF(ISNUMBER(F2450),E2450*F2450,"")</f>
        <v/>
      </c>
      <c r="H2450" s="32"/>
      <c r="I2450" s="28"/>
      <c r="J2450" s="125">
        <v>0</v>
      </c>
    </row>
    <row r="2451" spans="1:10" ht="26.25" hidden="1" thickBot="1" x14ac:dyDescent="0.3">
      <c r="A2451" s="235"/>
      <c r="B2451" s="238"/>
      <c r="C2451" s="155" t="s">
        <v>10250</v>
      </c>
      <c r="D2451" s="155" t="s">
        <v>870</v>
      </c>
      <c r="E2451" s="34">
        <v>1</v>
      </c>
      <c r="F2451" s="28">
        <v>43.709499999999998</v>
      </c>
      <c r="G2451" s="31">
        <f>IF(ISNUMBER(F2451),E2451*F2451,"")</f>
        <v>43.709499999999998</v>
      </c>
      <c r="H2451" s="35">
        <f>SUM(G2451:G2451)</f>
        <v>43.709499999999998</v>
      </c>
      <c r="I2451" s="36"/>
      <c r="J2451" s="125">
        <v>0</v>
      </c>
    </row>
    <row r="2452" spans="1:10" ht="15.75" hidden="1" thickBot="1" x14ac:dyDescent="0.3">
      <c r="A2452" s="236"/>
      <c r="B2452" s="239"/>
      <c r="C2452" s="155"/>
      <c r="D2452" s="33"/>
      <c r="E2452" s="34"/>
      <c r="F2452" s="28" t="s">
        <v>418</v>
      </c>
      <c r="G2452" s="31" t="str">
        <f>IF(ISNUMBER(F2452),E2452*F2452,"")</f>
        <v/>
      </c>
      <c r="H2452" s="32"/>
      <c r="I2452" s="28"/>
      <c r="J2452" s="125">
        <v>0</v>
      </c>
    </row>
    <row r="2453" spans="1:10" ht="15.75" hidden="1" thickBot="1" x14ac:dyDescent="0.3">
      <c r="A2453" s="234" t="s">
        <v>1569</v>
      </c>
      <c r="B2453" s="237" t="s">
        <v>19740</v>
      </c>
      <c r="C2453" s="160"/>
      <c r="D2453" s="23" t="s">
        <v>70</v>
      </c>
      <c r="E2453" s="24"/>
      <c r="F2453" s="37" t="s">
        <v>418</v>
      </c>
      <c r="G2453" s="25" t="str">
        <f>IF(ISNUMBER(F2453),E2453*F2453,"")</f>
        <v/>
      </c>
      <c r="H2453" s="26"/>
      <c r="I2453" s="27"/>
      <c r="J2453" s="125">
        <v>0</v>
      </c>
    </row>
    <row r="2454" spans="1:10" ht="15.75" hidden="1" thickBot="1" x14ac:dyDescent="0.3">
      <c r="A2454" s="235"/>
      <c r="B2454" s="238"/>
      <c r="C2454" s="151"/>
      <c r="D2454" s="29"/>
      <c r="E2454" s="30"/>
      <c r="F2454" s="38" t="s">
        <v>418</v>
      </c>
      <c r="G2454" s="31" t="str">
        <f>IF(ISNUMBER(F2454),E2454*F2454,"")</f>
        <v/>
      </c>
      <c r="H2454" s="32"/>
      <c r="I2454" s="28"/>
      <c r="J2454" s="125">
        <v>0</v>
      </c>
    </row>
    <row r="2455" spans="1:10" ht="26.25" hidden="1" thickBot="1" x14ac:dyDescent="0.3">
      <c r="A2455" s="235"/>
      <c r="B2455" s="238"/>
      <c r="C2455" s="155" t="s">
        <v>10251</v>
      </c>
      <c r="D2455" s="155" t="s">
        <v>870</v>
      </c>
      <c r="E2455" s="34">
        <v>1</v>
      </c>
      <c r="F2455" s="28">
        <v>54.263999999999996</v>
      </c>
      <c r="G2455" s="31">
        <f>IF(ISNUMBER(F2455),E2455*F2455,"")</f>
        <v>54.263999999999996</v>
      </c>
      <c r="H2455" s="35">
        <f>SUM(G2455:G2455)</f>
        <v>54.263999999999996</v>
      </c>
      <c r="I2455" s="36"/>
      <c r="J2455" s="125">
        <v>0</v>
      </c>
    </row>
    <row r="2456" spans="1:10" ht="15.75" hidden="1" thickBot="1" x14ac:dyDescent="0.3">
      <c r="A2456" s="236"/>
      <c r="B2456" s="239"/>
      <c r="C2456" s="155"/>
      <c r="D2456" s="33"/>
      <c r="E2456" s="34"/>
      <c r="F2456" s="28" t="s">
        <v>418</v>
      </c>
      <c r="G2456" s="31" t="str">
        <f>IF(ISNUMBER(F2456),E2456*F2456,"")</f>
        <v/>
      </c>
      <c r="H2456" s="32"/>
      <c r="I2456" s="28"/>
      <c r="J2456" s="125">
        <v>0</v>
      </c>
    </row>
    <row r="2457" spans="1:10" ht="15.75" hidden="1" thickBot="1" x14ac:dyDescent="0.3">
      <c r="A2457" s="234" t="s">
        <v>1570</v>
      </c>
      <c r="B2457" s="237" t="s">
        <v>1571</v>
      </c>
      <c r="C2457" s="160"/>
      <c r="D2457" s="23" t="s">
        <v>69</v>
      </c>
      <c r="E2457" s="24"/>
      <c r="F2457" s="37" t="s">
        <v>418</v>
      </c>
      <c r="G2457" s="25" t="str">
        <f>IF(ISNUMBER(F2457),E2457*F2457,"")</f>
        <v/>
      </c>
      <c r="H2457" s="26"/>
      <c r="I2457" s="27"/>
      <c r="J2457" s="125">
        <v>0</v>
      </c>
    </row>
    <row r="2458" spans="1:10" ht="15.75" hidden="1" thickBot="1" x14ac:dyDescent="0.3">
      <c r="A2458" s="235"/>
      <c r="B2458" s="238"/>
      <c r="C2458" s="151"/>
      <c r="D2458" s="29"/>
      <c r="E2458" s="30"/>
      <c r="F2458" s="38" t="s">
        <v>418</v>
      </c>
      <c r="G2458" s="31" t="str">
        <f>IF(ISNUMBER(F2458),E2458*F2458,"")</f>
        <v/>
      </c>
      <c r="H2458" s="32"/>
      <c r="I2458" s="28"/>
      <c r="J2458" s="125">
        <v>0</v>
      </c>
    </row>
    <row r="2459" spans="1:10" ht="26.25" hidden="1" thickBot="1" x14ac:dyDescent="0.3">
      <c r="A2459" s="235"/>
      <c r="B2459" s="238"/>
      <c r="C2459" s="155" t="s">
        <v>91</v>
      </c>
      <c r="D2459" s="155" t="s">
        <v>774</v>
      </c>
      <c r="E2459" s="34">
        <v>1.73</v>
      </c>
      <c r="F2459" s="28">
        <v>9.9085000000000001</v>
      </c>
      <c r="G2459" s="31">
        <f>IF(ISNUMBER(F2459),E2459*F2459,"")</f>
        <v>17.141705000000002</v>
      </c>
      <c r="H2459" s="35">
        <f>SUM(G2459:G2459)</f>
        <v>17.141705000000002</v>
      </c>
      <c r="I2459" s="36"/>
      <c r="J2459" s="125">
        <v>0</v>
      </c>
    </row>
    <row r="2460" spans="1:10" ht="15.75" hidden="1" thickBot="1" x14ac:dyDescent="0.3">
      <c r="A2460" s="236"/>
      <c r="B2460" s="239"/>
      <c r="C2460" s="155"/>
      <c r="D2460" s="33"/>
      <c r="E2460" s="34"/>
      <c r="F2460" s="28" t="s">
        <v>418</v>
      </c>
      <c r="G2460" s="31" t="str">
        <f>IF(ISNUMBER(F2460),E2460*F2460,"")</f>
        <v/>
      </c>
      <c r="H2460" s="32"/>
      <c r="I2460" s="28"/>
      <c r="J2460" s="125">
        <v>0</v>
      </c>
    </row>
    <row r="2461" spans="1:10" ht="15.75" hidden="1" thickBot="1" x14ac:dyDescent="0.3">
      <c r="A2461" s="234" t="s">
        <v>1572</v>
      </c>
      <c r="B2461" s="237" t="s">
        <v>1573</v>
      </c>
      <c r="C2461" s="160"/>
      <c r="D2461" s="23" t="s">
        <v>69</v>
      </c>
      <c r="E2461" s="24"/>
      <c r="F2461" s="37" t="s">
        <v>418</v>
      </c>
      <c r="G2461" s="25" t="str">
        <f>IF(ISNUMBER(F2461),E2461*F2461,"")</f>
        <v/>
      </c>
      <c r="H2461" s="26"/>
      <c r="I2461" s="27"/>
      <c r="J2461" s="125">
        <v>0</v>
      </c>
    </row>
    <row r="2462" spans="1:10" ht="15.75" hidden="1" thickBot="1" x14ac:dyDescent="0.3">
      <c r="A2462" s="235"/>
      <c r="B2462" s="238"/>
      <c r="C2462" s="151"/>
      <c r="D2462" s="29"/>
      <c r="E2462" s="30"/>
      <c r="F2462" s="38" t="s">
        <v>418</v>
      </c>
      <c r="G2462" s="31" t="str">
        <f>IF(ISNUMBER(F2462),E2462*F2462,"")</f>
        <v/>
      </c>
      <c r="H2462" s="32"/>
      <c r="I2462" s="28"/>
      <c r="J2462" s="125">
        <v>0</v>
      </c>
    </row>
    <row r="2463" spans="1:10" ht="26.25" hidden="1" thickBot="1" x14ac:dyDescent="0.3">
      <c r="A2463" s="235"/>
      <c r="B2463" s="238"/>
      <c r="C2463" s="155" t="s">
        <v>91</v>
      </c>
      <c r="D2463" s="155" t="s">
        <v>774</v>
      </c>
      <c r="E2463" s="34">
        <v>2.2000000000000002</v>
      </c>
      <c r="F2463" s="28">
        <v>9.9085000000000001</v>
      </c>
      <c r="G2463" s="31">
        <f>IF(ISNUMBER(F2463),E2463*F2463,"")</f>
        <v>21.7987</v>
      </c>
      <c r="H2463" s="35">
        <f>SUM(G2463:G2463)</f>
        <v>21.7987</v>
      </c>
      <c r="I2463" s="36"/>
      <c r="J2463" s="125">
        <v>0</v>
      </c>
    </row>
    <row r="2464" spans="1:10" ht="15.75" hidden="1" thickBot="1" x14ac:dyDescent="0.3">
      <c r="A2464" s="236"/>
      <c r="B2464" s="239"/>
      <c r="C2464" s="155"/>
      <c r="D2464" s="33"/>
      <c r="E2464" s="34"/>
      <c r="F2464" s="28" t="s">
        <v>418</v>
      </c>
      <c r="G2464" s="31" t="str">
        <f>IF(ISNUMBER(F2464),E2464*F2464,"")</f>
        <v/>
      </c>
      <c r="H2464" s="32"/>
      <c r="I2464" s="28"/>
      <c r="J2464" s="125">
        <v>0</v>
      </c>
    </row>
    <row r="2465" spans="1:10" ht="15.75" hidden="1" thickBot="1" x14ac:dyDescent="0.3">
      <c r="A2465" s="234" t="s">
        <v>1574</v>
      </c>
      <c r="B2465" s="237" t="s">
        <v>1575</v>
      </c>
      <c r="C2465" s="160"/>
      <c r="D2465" s="23" t="s">
        <v>69</v>
      </c>
      <c r="E2465" s="24"/>
      <c r="F2465" s="37" t="s">
        <v>418</v>
      </c>
      <c r="G2465" s="25" t="str">
        <f>IF(ISNUMBER(F2465),E2465*F2465,"")</f>
        <v/>
      </c>
      <c r="H2465" s="26"/>
      <c r="I2465" s="27"/>
      <c r="J2465" s="125">
        <v>0</v>
      </c>
    </row>
    <row r="2466" spans="1:10" ht="15.75" hidden="1" thickBot="1" x14ac:dyDescent="0.3">
      <c r="A2466" s="235"/>
      <c r="B2466" s="238"/>
      <c r="C2466" s="151"/>
      <c r="D2466" s="29"/>
      <c r="E2466" s="30"/>
      <c r="F2466" s="38" t="s">
        <v>418</v>
      </c>
      <c r="G2466" s="31" t="str">
        <f>IF(ISNUMBER(F2466),E2466*F2466,"")</f>
        <v/>
      </c>
      <c r="H2466" s="32"/>
      <c r="I2466" s="28"/>
      <c r="J2466" s="125">
        <v>0</v>
      </c>
    </row>
    <row r="2467" spans="1:10" ht="26.25" hidden="1" thickBot="1" x14ac:dyDescent="0.3">
      <c r="A2467" s="235"/>
      <c r="B2467" s="238"/>
      <c r="C2467" s="155" t="s">
        <v>91</v>
      </c>
      <c r="D2467" s="155" t="s">
        <v>774</v>
      </c>
      <c r="E2467" s="34">
        <v>2.46</v>
      </c>
      <c r="F2467" s="28">
        <v>9.9085000000000001</v>
      </c>
      <c r="G2467" s="31">
        <f>IF(ISNUMBER(F2467),E2467*F2467,"")</f>
        <v>24.37491</v>
      </c>
      <c r="H2467" s="35">
        <f>SUM(G2467:G2467)</f>
        <v>24.37491</v>
      </c>
      <c r="I2467" s="36"/>
      <c r="J2467" s="125">
        <v>0</v>
      </c>
    </row>
    <row r="2468" spans="1:10" ht="15.75" hidden="1" thickBot="1" x14ac:dyDescent="0.3">
      <c r="A2468" s="236"/>
      <c r="B2468" s="239"/>
      <c r="C2468" s="155"/>
      <c r="D2468" s="33"/>
      <c r="E2468" s="34"/>
      <c r="F2468" s="28" t="s">
        <v>418</v>
      </c>
      <c r="G2468" s="31" t="str">
        <f>IF(ISNUMBER(F2468),E2468*F2468,"")</f>
        <v/>
      </c>
      <c r="H2468" s="32"/>
      <c r="I2468" s="28"/>
      <c r="J2468" s="125">
        <v>0</v>
      </c>
    </row>
    <row r="2469" spans="1:10" ht="15.75" hidden="1" thickBot="1" x14ac:dyDescent="0.3">
      <c r="A2469" s="234" t="s">
        <v>1576</v>
      </c>
      <c r="B2469" s="237" t="s">
        <v>1577</v>
      </c>
      <c r="C2469" s="160"/>
      <c r="D2469" s="23" t="s">
        <v>69</v>
      </c>
      <c r="E2469" s="24"/>
      <c r="F2469" s="37" t="s">
        <v>418</v>
      </c>
      <c r="G2469" s="25" t="str">
        <f>IF(ISNUMBER(F2469),E2469*F2469,"")</f>
        <v/>
      </c>
      <c r="H2469" s="26"/>
      <c r="I2469" s="27"/>
      <c r="J2469" s="125">
        <v>0</v>
      </c>
    </row>
    <row r="2470" spans="1:10" ht="15.75" hidden="1" thickBot="1" x14ac:dyDescent="0.3">
      <c r="A2470" s="235"/>
      <c r="B2470" s="238"/>
      <c r="C2470" s="151"/>
      <c r="D2470" s="29"/>
      <c r="E2470" s="30"/>
      <c r="F2470" s="38" t="s">
        <v>418</v>
      </c>
      <c r="G2470" s="31" t="str">
        <f>IF(ISNUMBER(F2470),E2470*F2470,"")</f>
        <v/>
      </c>
      <c r="H2470" s="32"/>
      <c r="I2470" s="28"/>
      <c r="J2470" s="125">
        <v>0</v>
      </c>
    </row>
    <row r="2471" spans="1:10" ht="26.25" hidden="1" thickBot="1" x14ac:dyDescent="0.3">
      <c r="A2471" s="235"/>
      <c r="B2471" s="238"/>
      <c r="C2471" s="155" t="s">
        <v>91</v>
      </c>
      <c r="D2471" s="155" t="s">
        <v>774</v>
      </c>
      <c r="E2471" s="34">
        <v>3.63</v>
      </c>
      <c r="F2471" s="28">
        <v>9.9085000000000001</v>
      </c>
      <c r="G2471" s="31">
        <f>IF(ISNUMBER(F2471),E2471*F2471,"")</f>
        <v>35.967855</v>
      </c>
      <c r="H2471" s="35">
        <f>SUM(G2471:G2471)</f>
        <v>35.967855</v>
      </c>
      <c r="I2471" s="36"/>
      <c r="J2471" s="125">
        <v>0</v>
      </c>
    </row>
    <row r="2472" spans="1:10" ht="15.75" hidden="1" thickBot="1" x14ac:dyDescent="0.3">
      <c r="A2472" s="236"/>
      <c r="B2472" s="239"/>
      <c r="C2472" s="155"/>
      <c r="D2472" s="33"/>
      <c r="E2472" s="34"/>
      <c r="F2472" s="28" t="s">
        <v>418</v>
      </c>
      <c r="G2472" s="31" t="str">
        <f>IF(ISNUMBER(F2472),E2472*F2472,"")</f>
        <v/>
      </c>
      <c r="H2472" s="32"/>
      <c r="I2472" s="28"/>
      <c r="J2472" s="125">
        <v>0</v>
      </c>
    </row>
    <row r="2473" spans="1:10" ht="15.75" hidden="1" thickBot="1" x14ac:dyDescent="0.3">
      <c r="A2473" s="234" t="s">
        <v>1578</v>
      </c>
      <c r="B2473" s="237" t="s">
        <v>1579</v>
      </c>
      <c r="C2473" s="160"/>
      <c r="D2473" s="23" t="s">
        <v>69</v>
      </c>
      <c r="E2473" s="24"/>
      <c r="F2473" s="37" t="s">
        <v>418</v>
      </c>
      <c r="G2473" s="25" t="str">
        <f>IF(ISNUMBER(F2473),E2473*F2473,"")</f>
        <v/>
      </c>
      <c r="H2473" s="26"/>
      <c r="I2473" s="27"/>
      <c r="J2473" s="125">
        <v>0</v>
      </c>
    </row>
    <row r="2474" spans="1:10" ht="15.75" hidden="1" thickBot="1" x14ac:dyDescent="0.3">
      <c r="A2474" s="235"/>
      <c r="B2474" s="238"/>
      <c r="C2474" s="151"/>
      <c r="D2474" s="29"/>
      <c r="E2474" s="30"/>
      <c r="F2474" s="38" t="s">
        <v>418</v>
      </c>
      <c r="G2474" s="31" t="str">
        <f>IF(ISNUMBER(F2474),E2474*F2474,"")</f>
        <v/>
      </c>
      <c r="H2474" s="32"/>
      <c r="I2474" s="28"/>
      <c r="J2474" s="125">
        <v>0</v>
      </c>
    </row>
    <row r="2475" spans="1:10" ht="26.25" hidden="1" thickBot="1" x14ac:dyDescent="0.3">
      <c r="A2475" s="235"/>
      <c r="B2475" s="238"/>
      <c r="C2475" s="155" t="s">
        <v>91</v>
      </c>
      <c r="D2475" s="155" t="s">
        <v>774</v>
      </c>
      <c r="E2475" s="34">
        <v>0.71</v>
      </c>
      <c r="F2475" s="28">
        <v>9.9085000000000001</v>
      </c>
      <c r="G2475" s="31">
        <f>IF(ISNUMBER(F2475),E2475*F2475,"")</f>
        <v>7.0350349999999997</v>
      </c>
      <c r="H2475" s="35">
        <f>SUM(G2475:G2475)</f>
        <v>7.0350349999999997</v>
      </c>
      <c r="I2475" s="36"/>
      <c r="J2475" s="125">
        <v>0</v>
      </c>
    </row>
    <row r="2476" spans="1:10" ht="15.75" hidden="1" thickBot="1" x14ac:dyDescent="0.3">
      <c r="A2476" s="236"/>
      <c r="B2476" s="239"/>
      <c r="C2476" s="155"/>
      <c r="D2476" s="33"/>
      <c r="E2476" s="34"/>
      <c r="F2476" s="28" t="s">
        <v>418</v>
      </c>
      <c r="G2476" s="31" t="str">
        <f>IF(ISNUMBER(F2476),E2476*F2476,"")</f>
        <v/>
      </c>
      <c r="H2476" s="32"/>
      <c r="I2476" s="28"/>
      <c r="J2476" s="125">
        <v>0</v>
      </c>
    </row>
    <row r="2477" spans="1:10" ht="15.75" hidden="1" thickBot="1" x14ac:dyDescent="0.3">
      <c r="A2477" s="234" t="s">
        <v>1580</v>
      </c>
      <c r="B2477" s="237" t="s">
        <v>1581</v>
      </c>
      <c r="C2477" s="160"/>
      <c r="D2477" s="23" t="s">
        <v>28</v>
      </c>
      <c r="E2477" s="24"/>
      <c r="F2477" s="37" t="s">
        <v>418</v>
      </c>
      <c r="G2477" s="25" t="str">
        <f>IF(ISNUMBER(F2477),E2477*F2477,"")</f>
        <v/>
      </c>
      <c r="H2477" s="26"/>
      <c r="I2477" s="27"/>
      <c r="J2477" s="125">
        <v>0</v>
      </c>
    </row>
    <row r="2478" spans="1:10" ht="15.75" hidden="1" thickBot="1" x14ac:dyDescent="0.3">
      <c r="A2478" s="235"/>
      <c r="B2478" s="238"/>
      <c r="C2478" s="151"/>
      <c r="D2478" s="29"/>
      <c r="E2478" s="30"/>
      <c r="F2478" s="38" t="s">
        <v>418</v>
      </c>
      <c r="G2478" s="31" t="str">
        <f>IF(ISNUMBER(F2478),E2478*F2478,"")</f>
        <v/>
      </c>
      <c r="H2478" s="32"/>
      <c r="I2478" s="28"/>
      <c r="J2478" s="125">
        <v>0</v>
      </c>
    </row>
    <row r="2479" spans="1:10" ht="26.25" hidden="1" thickBot="1" x14ac:dyDescent="0.3">
      <c r="A2479" s="235"/>
      <c r="B2479" s="238"/>
      <c r="C2479" s="155" t="s">
        <v>10248</v>
      </c>
      <c r="D2479" s="155" t="s">
        <v>774</v>
      </c>
      <c r="E2479" s="34">
        <v>1</v>
      </c>
      <c r="F2479" s="28">
        <v>13.375999999999999</v>
      </c>
      <c r="G2479" s="31">
        <f>IF(ISNUMBER(F2479),E2479*F2479,"")</f>
        <v>13.375999999999999</v>
      </c>
      <c r="H2479" s="35">
        <f>SUM(G2479:G2479)</f>
        <v>13.375999999999999</v>
      </c>
      <c r="I2479" s="36"/>
      <c r="J2479" s="125">
        <v>0</v>
      </c>
    </row>
    <row r="2480" spans="1:10" ht="15.75" hidden="1" thickBot="1" x14ac:dyDescent="0.3">
      <c r="A2480" s="236"/>
      <c r="B2480" s="239"/>
      <c r="C2480" s="155"/>
      <c r="D2480" s="33"/>
      <c r="E2480" s="34"/>
      <c r="F2480" s="28" t="s">
        <v>418</v>
      </c>
      <c r="G2480" s="31" t="str">
        <f>IF(ISNUMBER(F2480),E2480*F2480,"")</f>
        <v/>
      </c>
      <c r="H2480" s="32"/>
      <c r="I2480" s="28"/>
      <c r="J2480" s="125">
        <v>0</v>
      </c>
    </row>
    <row r="2481" spans="1:10" ht="15.75" hidden="1" thickBot="1" x14ac:dyDescent="0.3">
      <c r="A2481" s="234" t="s">
        <v>1582</v>
      </c>
      <c r="B2481" s="237" t="s">
        <v>1583</v>
      </c>
      <c r="C2481" s="160"/>
      <c r="D2481" s="23" t="s">
        <v>69</v>
      </c>
      <c r="E2481" s="24"/>
      <c r="F2481" s="37" t="s">
        <v>418</v>
      </c>
      <c r="G2481" s="25" t="str">
        <f>IF(ISNUMBER(F2481),E2481*F2481,"")</f>
        <v/>
      </c>
      <c r="H2481" s="26"/>
      <c r="I2481" s="27"/>
      <c r="J2481" s="125">
        <v>0</v>
      </c>
    </row>
    <row r="2482" spans="1:10" ht="15.75" hidden="1" thickBot="1" x14ac:dyDescent="0.3">
      <c r="A2482" s="235"/>
      <c r="B2482" s="238"/>
      <c r="C2482" s="151"/>
      <c r="D2482" s="29"/>
      <c r="E2482" s="30"/>
      <c r="F2482" s="38" t="s">
        <v>418</v>
      </c>
      <c r="G2482" s="31" t="str">
        <f>IF(ISNUMBER(F2482),E2482*F2482,"")</f>
        <v/>
      </c>
      <c r="H2482" s="32"/>
      <c r="I2482" s="28"/>
      <c r="J2482" s="125">
        <v>0</v>
      </c>
    </row>
    <row r="2483" spans="1:10" ht="15.75" hidden="1" thickBot="1" x14ac:dyDescent="0.3">
      <c r="A2483" s="235"/>
      <c r="B2483" s="238"/>
      <c r="C2483" s="155" t="s">
        <v>23790</v>
      </c>
      <c r="D2483" s="155" t="s">
        <v>774</v>
      </c>
      <c r="E2483" s="34">
        <v>0.63</v>
      </c>
      <c r="F2483" s="28">
        <v>11.228999999999999</v>
      </c>
      <c r="G2483" s="31">
        <f>IF(ISNUMBER(F2483),E2483*F2483,"")</f>
        <v>7.0742699999999994</v>
      </c>
      <c r="H2483" s="35">
        <f>SUM(G2483:G2483)</f>
        <v>7.0742699999999994</v>
      </c>
      <c r="I2483" s="36"/>
      <c r="J2483" s="125">
        <v>0</v>
      </c>
    </row>
    <row r="2484" spans="1:10" ht="15.75" hidden="1" thickBot="1" x14ac:dyDescent="0.3">
      <c r="A2484" s="236"/>
      <c r="B2484" s="239"/>
      <c r="C2484" s="155"/>
      <c r="D2484" s="33"/>
      <c r="E2484" s="34"/>
      <c r="F2484" s="28" t="s">
        <v>418</v>
      </c>
      <c r="G2484" s="31" t="str">
        <f>IF(ISNUMBER(F2484),E2484*F2484,"")</f>
        <v/>
      </c>
      <c r="H2484" s="32"/>
      <c r="I2484" s="28"/>
      <c r="J2484" s="125">
        <v>0</v>
      </c>
    </row>
    <row r="2485" spans="1:10" ht="15.75" hidden="1" thickBot="1" x14ac:dyDescent="0.3">
      <c r="A2485" s="234" t="s">
        <v>1584</v>
      </c>
      <c r="B2485" s="237" t="s">
        <v>1585</v>
      </c>
      <c r="C2485" s="160"/>
      <c r="D2485" s="23" t="s">
        <v>69</v>
      </c>
      <c r="E2485" s="24"/>
      <c r="F2485" s="37" t="s">
        <v>418</v>
      </c>
      <c r="G2485" s="25" t="str">
        <f>IF(ISNUMBER(F2485),E2485*F2485,"")</f>
        <v/>
      </c>
      <c r="H2485" s="26"/>
      <c r="I2485" s="27"/>
      <c r="J2485" s="125">
        <v>0</v>
      </c>
    </row>
    <row r="2486" spans="1:10" ht="15.75" hidden="1" thickBot="1" x14ac:dyDescent="0.3">
      <c r="A2486" s="235"/>
      <c r="B2486" s="238"/>
      <c r="C2486" s="151"/>
      <c r="D2486" s="29"/>
      <c r="E2486" s="30"/>
      <c r="F2486" s="38" t="s">
        <v>418</v>
      </c>
      <c r="G2486" s="31" t="str">
        <f>IF(ISNUMBER(F2486),E2486*F2486,"")</f>
        <v/>
      </c>
      <c r="H2486" s="32"/>
      <c r="I2486" s="28"/>
      <c r="J2486" s="125">
        <v>0</v>
      </c>
    </row>
    <row r="2487" spans="1:10" ht="15.75" hidden="1" thickBot="1" x14ac:dyDescent="0.3">
      <c r="A2487" s="235"/>
      <c r="B2487" s="238"/>
      <c r="C2487" s="155" t="s">
        <v>23790</v>
      </c>
      <c r="D2487" s="155" t="s">
        <v>774</v>
      </c>
      <c r="E2487" s="34">
        <v>0.95</v>
      </c>
      <c r="F2487" s="28">
        <v>11.228999999999999</v>
      </c>
      <c r="G2487" s="31">
        <f>IF(ISNUMBER(F2487),E2487*F2487,"")</f>
        <v>10.667549999999999</v>
      </c>
      <c r="H2487" s="35">
        <f>SUM(G2487:G2487)</f>
        <v>10.667549999999999</v>
      </c>
      <c r="I2487" s="36"/>
      <c r="J2487" s="125">
        <v>0</v>
      </c>
    </row>
    <row r="2488" spans="1:10" ht="15.75" hidden="1" thickBot="1" x14ac:dyDescent="0.3">
      <c r="A2488" s="236"/>
      <c r="B2488" s="239"/>
      <c r="C2488" s="155"/>
      <c r="D2488" s="33"/>
      <c r="E2488" s="34"/>
      <c r="F2488" s="28" t="s">
        <v>418</v>
      </c>
      <c r="G2488" s="31" t="str">
        <f>IF(ISNUMBER(F2488),E2488*F2488,"")</f>
        <v/>
      </c>
      <c r="H2488" s="32"/>
      <c r="I2488" s="28"/>
      <c r="J2488" s="125">
        <v>0</v>
      </c>
    </row>
    <row r="2489" spans="1:10" ht="15.75" hidden="1" thickBot="1" x14ac:dyDescent="0.3">
      <c r="A2489" s="234" t="s">
        <v>1586</v>
      </c>
      <c r="B2489" s="237" t="s">
        <v>1587</v>
      </c>
      <c r="C2489" s="160"/>
      <c r="D2489" s="23" t="s">
        <v>69</v>
      </c>
      <c r="E2489" s="24"/>
      <c r="F2489" s="37" t="s">
        <v>418</v>
      </c>
      <c r="G2489" s="25" t="str">
        <f>IF(ISNUMBER(F2489),E2489*F2489,"")</f>
        <v/>
      </c>
      <c r="H2489" s="26"/>
      <c r="I2489" s="27"/>
      <c r="J2489" s="125">
        <v>0</v>
      </c>
    </row>
    <row r="2490" spans="1:10" ht="15.75" hidden="1" thickBot="1" x14ac:dyDescent="0.3">
      <c r="A2490" s="235"/>
      <c r="B2490" s="238"/>
      <c r="C2490" s="151"/>
      <c r="D2490" s="29"/>
      <c r="E2490" s="30"/>
      <c r="F2490" s="38" t="s">
        <v>418</v>
      </c>
      <c r="G2490" s="31" t="str">
        <f>IF(ISNUMBER(F2490),E2490*F2490,"")</f>
        <v/>
      </c>
      <c r="H2490" s="32"/>
      <c r="I2490" s="28"/>
      <c r="J2490" s="125">
        <v>0</v>
      </c>
    </row>
    <row r="2491" spans="1:10" ht="15.75" hidden="1" thickBot="1" x14ac:dyDescent="0.3">
      <c r="A2491" s="235"/>
      <c r="B2491" s="238"/>
      <c r="C2491" s="155" t="s">
        <v>23790</v>
      </c>
      <c r="D2491" s="155" t="s">
        <v>774</v>
      </c>
      <c r="E2491" s="34">
        <v>1.1100000000000001</v>
      </c>
      <c r="F2491" s="28">
        <v>11.228999999999999</v>
      </c>
      <c r="G2491" s="31">
        <f>IF(ISNUMBER(F2491),E2491*F2491,"")</f>
        <v>12.46419</v>
      </c>
      <c r="H2491" s="35">
        <f>SUM(G2491:G2491)</f>
        <v>12.46419</v>
      </c>
      <c r="I2491" s="36"/>
      <c r="J2491" s="125">
        <v>0</v>
      </c>
    </row>
    <row r="2492" spans="1:10" ht="15.75" hidden="1" thickBot="1" x14ac:dyDescent="0.3">
      <c r="A2492" s="236"/>
      <c r="B2492" s="239"/>
      <c r="C2492" s="155"/>
      <c r="D2492" s="33"/>
      <c r="E2492" s="34"/>
      <c r="F2492" s="28" t="s">
        <v>418</v>
      </c>
      <c r="G2492" s="31" t="str">
        <f>IF(ISNUMBER(F2492),E2492*F2492,"")</f>
        <v/>
      </c>
      <c r="H2492" s="32"/>
      <c r="I2492" s="28"/>
      <c r="J2492" s="125">
        <v>0</v>
      </c>
    </row>
    <row r="2493" spans="1:10" ht="15.75" hidden="1" thickBot="1" x14ac:dyDescent="0.3">
      <c r="A2493" s="234" t="s">
        <v>1588</v>
      </c>
      <c r="B2493" s="237" t="s">
        <v>1589</v>
      </c>
      <c r="C2493" s="160"/>
      <c r="D2493" s="23" t="s">
        <v>69</v>
      </c>
      <c r="E2493" s="24"/>
      <c r="F2493" s="37" t="s">
        <v>418</v>
      </c>
      <c r="G2493" s="25" t="str">
        <f>IF(ISNUMBER(F2493),E2493*F2493,"")</f>
        <v/>
      </c>
      <c r="H2493" s="26"/>
      <c r="I2493" s="27"/>
      <c r="J2493" s="125">
        <v>0</v>
      </c>
    </row>
    <row r="2494" spans="1:10" ht="15.75" hidden="1" thickBot="1" x14ac:dyDescent="0.3">
      <c r="A2494" s="235"/>
      <c r="B2494" s="238"/>
      <c r="C2494" s="151"/>
      <c r="D2494" s="29"/>
      <c r="E2494" s="30"/>
      <c r="F2494" s="38" t="s">
        <v>418</v>
      </c>
      <c r="G2494" s="31" t="str">
        <f>IF(ISNUMBER(F2494),E2494*F2494,"")</f>
        <v/>
      </c>
      <c r="H2494" s="32"/>
      <c r="I2494" s="28"/>
      <c r="J2494" s="125">
        <v>0</v>
      </c>
    </row>
    <row r="2495" spans="1:10" ht="15.75" hidden="1" thickBot="1" x14ac:dyDescent="0.3">
      <c r="A2495" s="235"/>
      <c r="B2495" s="238"/>
      <c r="C2495" s="155" t="s">
        <v>23790</v>
      </c>
      <c r="D2495" s="155" t="s">
        <v>774</v>
      </c>
      <c r="E2495" s="34">
        <v>0.48</v>
      </c>
      <c r="F2495" s="28">
        <v>11.228999999999999</v>
      </c>
      <c r="G2495" s="31">
        <f>IF(ISNUMBER(F2495),E2495*F2495,"")</f>
        <v>5.3899199999999992</v>
      </c>
      <c r="H2495" s="35">
        <f>SUM(G2495:G2495)</f>
        <v>5.3899199999999992</v>
      </c>
      <c r="I2495" s="36"/>
      <c r="J2495" s="125">
        <v>0</v>
      </c>
    </row>
    <row r="2496" spans="1:10" ht="15.75" hidden="1" thickBot="1" x14ac:dyDescent="0.3">
      <c r="A2496" s="236"/>
      <c r="B2496" s="239"/>
      <c r="C2496" s="155"/>
      <c r="D2496" s="33"/>
      <c r="E2496" s="34"/>
      <c r="F2496" s="28" t="s">
        <v>418</v>
      </c>
      <c r="G2496" s="31" t="str">
        <f>IF(ISNUMBER(F2496),E2496*F2496,"")</f>
        <v/>
      </c>
      <c r="H2496" s="32"/>
      <c r="I2496" s="28"/>
      <c r="J2496" s="125">
        <v>0</v>
      </c>
    </row>
    <row r="2497" spans="1:10" ht="15.75" hidden="1" thickBot="1" x14ac:dyDescent="0.3">
      <c r="A2497" s="234" t="s">
        <v>1590</v>
      </c>
      <c r="B2497" s="237" t="s">
        <v>1591</v>
      </c>
      <c r="C2497" s="160"/>
      <c r="D2497" s="23" t="s">
        <v>69</v>
      </c>
      <c r="E2497" s="24"/>
      <c r="F2497" s="37" t="s">
        <v>418</v>
      </c>
      <c r="G2497" s="25" t="str">
        <f>IF(ISNUMBER(F2497),E2497*F2497,"")</f>
        <v/>
      </c>
      <c r="H2497" s="26"/>
      <c r="I2497" s="27"/>
      <c r="J2497" s="125">
        <v>0</v>
      </c>
    </row>
    <row r="2498" spans="1:10" ht="15.75" hidden="1" thickBot="1" x14ac:dyDescent="0.3">
      <c r="A2498" s="235"/>
      <c r="B2498" s="238"/>
      <c r="C2498" s="151"/>
      <c r="D2498" s="29"/>
      <c r="E2498" s="30"/>
      <c r="F2498" s="38" t="s">
        <v>418</v>
      </c>
      <c r="G2498" s="31" t="str">
        <f>IF(ISNUMBER(F2498),E2498*F2498,"")</f>
        <v/>
      </c>
      <c r="H2498" s="32"/>
      <c r="I2498" s="28"/>
      <c r="J2498" s="125">
        <v>0</v>
      </c>
    </row>
    <row r="2499" spans="1:10" ht="15.75" hidden="1" thickBot="1" x14ac:dyDescent="0.3">
      <c r="A2499" s="235"/>
      <c r="B2499" s="238"/>
      <c r="C2499" s="155" t="s">
        <v>23790</v>
      </c>
      <c r="D2499" s="155" t="s">
        <v>774</v>
      </c>
      <c r="E2499" s="34">
        <v>0.71</v>
      </c>
      <c r="F2499" s="28">
        <v>11.228999999999999</v>
      </c>
      <c r="G2499" s="31">
        <f>IF(ISNUMBER(F2499),E2499*F2499,"")</f>
        <v>7.9725899999999994</v>
      </c>
      <c r="H2499" s="35">
        <f>SUM(G2499:G2499)</f>
        <v>7.9725899999999994</v>
      </c>
      <c r="I2499" s="36"/>
      <c r="J2499" s="125">
        <v>0</v>
      </c>
    </row>
    <row r="2500" spans="1:10" ht="15.75" hidden="1" thickBot="1" x14ac:dyDescent="0.3">
      <c r="A2500" s="236"/>
      <c r="B2500" s="239"/>
      <c r="C2500" s="155"/>
      <c r="D2500" s="33"/>
      <c r="E2500" s="34"/>
      <c r="F2500" s="28" t="s">
        <v>418</v>
      </c>
      <c r="G2500" s="31" t="str">
        <f>IF(ISNUMBER(F2500),E2500*F2500,"")</f>
        <v/>
      </c>
      <c r="H2500" s="32"/>
      <c r="I2500" s="28"/>
      <c r="J2500" s="125">
        <v>0</v>
      </c>
    </row>
    <row r="2501" spans="1:10" ht="15.75" hidden="1" thickBot="1" x14ac:dyDescent="0.3">
      <c r="A2501" s="234" t="s">
        <v>1592</v>
      </c>
      <c r="B2501" s="237" t="s">
        <v>1593</v>
      </c>
      <c r="C2501" s="160"/>
      <c r="D2501" s="23" t="s">
        <v>69</v>
      </c>
      <c r="E2501" s="24"/>
      <c r="F2501" s="37" t="s">
        <v>418</v>
      </c>
      <c r="G2501" s="25" t="str">
        <f>IF(ISNUMBER(F2501),E2501*F2501,"")</f>
        <v/>
      </c>
      <c r="H2501" s="26"/>
      <c r="I2501" s="27"/>
      <c r="J2501" s="125">
        <v>0</v>
      </c>
    </row>
    <row r="2502" spans="1:10" ht="15.75" hidden="1" thickBot="1" x14ac:dyDescent="0.3">
      <c r="A2502" s="235"/>
      <c r="B2502" s="238"/>
      <c r="C2502" s="151"/>
      <c r="D2502" s="29"/>
      <c r="E2502" s="30"/>
      <c r="F2502" s="38" t="s">
        <v>418</v>
      </c>
      <c r="G2502" s="31" t="str">
        <f>IF(ISNUMBER(F2502),E2502*F2502,"")</f>
        <v/>
      </c>
      <c r="H2502" s="32"/>
      <c r="I2502" s="28"/>
      <c r="J2502" s="125">
        <v>0</v>
      </c>
    </row>
    <row r="2503" spans="1:10" ht="15.75" hidden="1" thickBot="1" x14ac:dyDescent="0.3">
      <c r="A2503" s="235"/>
      <c r="B2503" s="238"/>
      <c r="C2503" s="155" t="s">
        <v>23790</v>
      </c>
      <c r="D2503" s="155" t="s">
        <v>774</v>
      </c>
      <c r="E2503" s="34">
        <v>0.4</v>
      </c>
      <c r="F2503" s="28">
        <v>11.228999999999999</v>
      </c>
      <c r="G2503" s="31">
        <f>IF(ISNUMBER(F2503),E2503*F2503,"")</f>
        <v>4.4916</v>
      </c>
      <c r="H2503" s="35">
        <f>SUM(G2503:G2503)</f>
        <v>4.4916</v>
      </c>
      <c r="I2503" s="36"/>
      <c r="J2503" s="125">
        <v>0</v>
      </c>
    </row>
    <row r="2504" spans="1:10" ht="15.75" hidden="1" thickBot="1" x14ac:dyDescent="0.3">
      <c r="A2504" s="236"/>
      <c r="B2504" s="239"/>
      <c r="C2504" s="155"/>
      <c r="D2504" s="33"/>
      <c r="E2504" s="34"/>
      <c r="F2504" s="28" t="s">
        <v>418</v>
      </c>
      <c r="G2504" s="31" t="str">
        <f>IF(ISNUMBER(F2504),E2504*F2504,"")</f>
        <v/>
      </c>
      <c r="H2504" s="32"/>
      <c r="I2504" s="28"/>
      <c r="J2504" s="125">
        <v>0</v>
      </c>
    </row>
    <row r="2505" spans="1:10" ht="15.75" hidden="1" thickBot="1" x14ac:dyDescent="0.3">
      <c r="A2505" s="234" t="s">
        <v>1594</v>
      </c>
      <c r="B2505" s="237" t="s">
        <v>1595</v>
      </c>
      <c r="C2505" s="160"/>
      <c r="D2505" s="23" t="s">
        <v>69</v>
      </c>
      <c r="E2505" s="24"/>
      <c r="F2505" s="37" t="s">
        <v>418</v>
      </c>
      <c r="G2505" s="25" t="str">
        <f>IF(ISNUMBER(F2505),E2505*F2505,"")</f>
        <v/>
      </c>
      <c r="H2505" s="26"/>
      <c r="I2505" s="27"/>
      <c r="J2505" s="125">
        <v>0</v>
      </c>
    </row>
    <row r="2506" spans="1:10" ht="15.75" hidden="1" thickBot="1" x14ac:dyDescent="0.3">
      <c r="A2506" s="235"/>
      <c r="B2506" s="238"/>
      <c r="C2506" s="151"/>
      <c r="D2506" s="29"/>
      <c r="E2506" s="30"/>
      <c r="F2506" s="38" t="s">
        <v>418</v>
      </c>
      <c r="G2506" s="31" t="str">
        <f>IF(ISNUMBER(F2506),E2506*F2506,"")</f>
        <v/>
      </c>
      <c r="H2506" s="32"/>
      <c r="I2506" s="28"/>
      <c r="J2506" s="125">
        <v>0</v>
      </c>
    </row>
    <row r="2507" spans="1:10" ht="15.75" hidden="1" thickBot="1" x14ac:dyDescent="0.3">
      <c r="A2507" s="235"/>
      <c r="B2507" s="238"/>
      <c r="C2507" s="155" t="s">
        <v>23790</v>
      </c>
      <c r="D2507" s="155" t="s">
        <v>774</v>
      </c>
      <c r="E2507" s="34">
        <v>0.79</v>
      </c>
      <c r="F2507" s="28">
        <v>11.228999999999999</v>
      </c>
      <c r="G2507" s="31">
        <f>IF(ISNUMBER(F2507),E2507*F2507,"")</f>
        <v>8.8709100000000003</v>
      </c>
      <c r="H2507" s="35">
        <f>SUM(G2507:G2507)</f>
        <v>8.8709100000000003</v>
      </c>
      <c r="I2507" s="36"/>
      <c r="J2507" s="125">
        <v>0</v>
      </c>
    </row>
    <row r="2508" spans="1:10" ht="15.75" hidden="1" thickBot="1" x14ac:dyDescent="0.3">
      <c r="A2508" s="236"/>
      <c r="B2508" s="239"/>
      <c r="C2508" s="155"/>
      <c r="D2508" s="33"/>
      <c r="E2508" s="34"/>
      <c r="F2508" s="28" t="s">
        <v>418</v>
      </c>
      <c r="G2508" s="31" t="str">
        <f>IF(ISNUMBER(F2508),E2508*F2508,"")</f>
        <v/>
      </c>
      <c r="H2508" s="32"/>
      <c r="I2508" s="28"/>
      <c r="J2508" s="125">
        <v>0</v>
      </c>
    </row>
    <row r="2509" spans="1:10" ht="15.75" hidden="1" thickBot="1" x14ac:dyDescent="0.3">
      <c r="A2509" s="234" t="s">
        <v>1596</v>
      </c>
      <c r="B2509" s="237" t="s">
        <v>1597</v>
      </c>
      <c r="C2509" s="160"/>
      <c r="D2509" s="23" t="s">
        <v>69</v>
      </c>
      <c r="E2509" s="24"/>
      <c r="F2509" s="37" t="s">
        <v>418</v>
      </c>
      <c r="G2509" s="25" t="str">
        <f>IF(ISNUMBER(F2509),E2509*F2509,"")</f>
        <v/>
      </c>
      <c r="H2509" s="26"/>
      <c r="I2509" s="27"/>
      <c r="J2509" s="125">
        <v>0</v>
      </c>
    </row>
    <row r="2510" spans="1:10" ht="15.75" hidden="1" thickBot="1" x14ac:dyDescent="0.3">
      <c r="A2510" s="235"/>
      <c r="B2510" s="238"/>
      <c r="C2510" s="151"/>
      <c r="D2510" s="29"/>
      <c r="E2510" s="30"/>
      <c r="F2510" s="38" t="s">
        <v>418</v>
      </c>
      <c r="G2510" s="31" t="str">
        <f>IF(ISNUMBER(F2510),E2510*F2510,"")</f>
        <v/>
      </c>
      <c r="H2510" s="32"/>
      <c r="I2510" s="28"/>
      <c r="J2510" s="125">
        <v>0</v>
      </c>
    </row>
    <row r="2511" spans="1:10" ht="15.75" hidden="1" thickBot="1" x14ac:dyDescent="0.3">
      <c r="A2511" s="235"/>
      <c r="B2511" s="238"/>
      <c r="C2511" s="155" t="s">
        <v>23790</v>
      </c>
      <c r="D2511" s="155" t="s">
        <v>774</v>
      </c>
      <c r="E2511" s="34">
        <v>0.55000000000000004</v>
      </c>
      <c r="F2511" s="28">
        <v>11.228999999999999</v>
      </c>
      <c r="G2511" s="31">
        <f>IF(ISNUMBER(F2511),E2511*F2511,"")</f>
        <v>6.1759500000000003</v>
      </c>
      <c r="H2511" s="35">
        <f>SUM(G2511:G2511)</f>
        <v>6.1759500000000003</v>
      </c>
      <c r="I2511" s="36"/>
      <c r="J2511" s="125">
        <v>0</v>
      </c>
    </row>
    <row r="2512" spans="1:10" ht="15.75" hidden="1" thickBot="1" x14ac:dyDescent="0.3">
      <c r="A2512" s="236"/>
      <c r="B2512" s="239"/>
      <c r="C2512" s="155"/>
      <c r="D2512" s="33"/>
      <c r="E2512" s="34"/>
      <c r="F2512" s="28" t="s">
        <v>418</v>
      </c>
      <c r="G2512" s="31" t="str">
        <f>IF(ISNUMBER(F2512),E2512*F2512,"")</f>
        <v/>
      </c>
      <c r="H2512" s="32"/>
      <c r="I2512" s="28"/>
      <c r="J2512" s="125">
        <v>0</v>
      </c>
    </row>
    <row r="2513" spans="1:10" ht="15.75" hidden="1" thickBot="1" x14ac:dyDescent="0.3">
      <c r="A2513" s="234" t="s">
        <v>1598</v>
      </c>
      <c r="B2513" s="237" t="s">
        <v>1599</v>
      </c>
      <c r="C2513" s="160"/>
      <c r="D2513" s="23" t="s">
        <v>69</v>
      </c>
      <c r="E2513" s="24"/>
      <c r="F2513" s="37" t="s">
        <v>418</v>
      </c>
      <c r="G2513" s="25" t="str">
        <f>IF(ISNUMBER(F2513),E2513*F2513,"")</f>
        <v/>
      </c>
      <c r="H2513" s="26"/>
      <c r="I2513" s="27"/>
      <c r="J2513" s="125">
        <v>0</v>
      </c>
    </row>
    <row r="2514" spans="1:10" ht="15.75" hidden="1" thickBot="1" x14ac:dyDescent="0.3">
      <c r="A2514" s="235"/>
      <c r="B2514" s="238"/>
      <c r="C2514" s="151"/>
      <c r="D2514" s="29"/>
      <c r="E2514" s="30"/>
      <c r="F2514" s="38" t="s">
        <v>418</v>
      </c>
      <c r="G2514" s="31" t="str">
        <f>IF(ISNUMBER(F2514),E2514*F2514,"")</f>
        <v/>
      </c>
      <c r="H2514" s="32"/>
      <c r="I2514" s="28"/>
      <c r="J2514" s="125">
        <v>0</v>
      </c>
    </row>
    <row r="2515" spans="1:10" ht="15.75" hidden="1" thickBot="1" x14ac:dyDescent="0.3">
      <c r="A2515" s="235"/>
      <c r="B2515" s="238"/>
      <c r="C2515" s="155" t="s">
        <v>23790</v>
      </c>
      <c r="D2515" s="155" t="s">
        <v>774</v>
      </c>
      <c r="E2515" s="34">
        <v>0.83</v>
      </c>
      <c r="F2515" s="28">
        <v>11.228999999999999</v>
      </c>
      <c r="G2515" s="31">
        <f>IF(ISNUMBER(F2515),E2515*F2515,"")</f>
        <v>9.3200699999999994</v>
      </c>
      <c r="H2515" s="35">
        <f>SUM(G2515:G2515)</f>
        <v>9.3200699999999994</v>
      </c>
      <c r="I2515" s="36"/>
      <c r="J2515" s="125">
        <v>0</v>
      </c>
    </row>
    <row r="2516" spans="1:10" ht="15.75" hidden="1" thickBot="1" x14ac:dyDescent="0.3">
      <c r="A2516" s="236"/>
      <c r="B2516" s="239"/>
      <c r="C2516" s="155"/>
      <c r="D2516" s="33"/>
      <c r="E2516" s="34"/>
      <c r="F2516" s="28" t="s">
        <v>418</v>
      </c>
      <c r="G2516" s="31" t="str">
        <f>IF(ISNUMBER(F2516),E2516*F2516,"")</f>
        <v/>
      </c>
      <c r="H2516" s="32"/>
      <c r="I2516" s="28"/>
      <c r="J2516" s="125">
        <v>0</v>
      </c>
    </row>
    <row r="2517" spans="1:10" ht="15.75" hidden="1" thickBot="1" x14ac:dyDescent="0.3">
      <c r="A2517" s="234" t="s">
        <v>1600</v>
      </c>
      <c r="B2517" s="237" t="s">
        <v>20918</v>
      </c>
      <c r="C2517" s="160"/>
      <c r="D2517" s="23" t="s">
        <v>70</v>
      </c>
      <c r="E2517" s="24"/>
      <c r="F2517" s="37" t="s">
        <v>418</v>
      </c>
      <c r="G2517" s="25" t="str">
        <f>IF(ISNUMBER(F2517),E2517*F2517,"")</f>
        <v/>
      </c>
      <c r="H2517" s="26"/>
      <c r="I2517" s="27"/>
      <c r="J2517" s="125">
        <v>0</v>
      </c>
    </row>
    <row r="2518" spans="1:10" ht="15.75" hidden="1" thickBot="1" x14ac:dyDescent="0.3">
      <c r="A2518" s="235"/>
      <c r="B2518" s="238"/>
      <c r="C2518" s="151"/>
      <c r="D2518" s="29"/>
      <c r="E2518" s="30"/>
      <c r="F2518" s="38" t="s">
        <v>418</v>
      </c>
      <c r="G2518" s="31" t="str">
        <f>IF(ISNUMBER(F2518),E2518*F2518,"")</f>
        <v/>
      </c>
      <c r="H2518" s="32"/>
      <c r="I2518" s="28"/>
      <c r="J2518" s="125">
        <v>0</v>
      </c>
    </row>
    <row r="2519" spans="1:10" ht="15.75" hidden="1" thickBot="1" x14ac:dyDescent="0.3">
      <c r="A2519" s="235"/>
      <c r="B2519" s="238"/>
      <c r="C2519" s="155" t="s">
        <v>10287</v>
      </c>
      <c r="D2519" s="155" t="s">
        <v>870</v>
      </c>
      <c r="E2519" s="34">
        <v>1</v>
      </c>
      <c r="F2519" s="28">
        <v>6.3555000000000001</v>
      </c>
      <c r="G2519" s="31">
        <f>IF(ISNUMBER(F2519),E2519*F2519,"")</f>
        <v>6.3555000000000001</v>
      </c>
      <c r="H2519" s="35">
        <f>SUM(G2519:G2519)</f>
        <v>6.3555000000000001</v>
      </c>
      <c r="I2519" s="36"/>
      <c r="J2519" s="125">
        <v>0</v>
      </c>
    </row>
    <row r="2520" spans="1:10" ht="15.75" hidden="1" thickBot="1" x14ac:dyDescent="0.3">
      <c r="A2520" s="236"/>
      <c r="B2520" s="239"/>
      <c r="C2520" s="155"/>
      <c r="D2520" s="33"/>
      <c r="E2520" s="34"/>
      <c r="F2520" s="28" t="s">
        <v>418</v>
      </c>
      <c r="G2520" s="31" t="str">
        <f>IF(ISNUMBER(F2520),E2520*F2520,"")</f>
        <v/>
      </c>
      <c r="H2520" s="32"/>
      <c r="I2520" s="28"/>
      <c r="J2520" s="125">
        <v>0</v>
      </c>
    </row>
    <row r="2521" spans="1:10" ht="15.75" hidden="1" thickBot="1" x14ac:dyDescent="0.3">
      <c r="A2521" s="234" t="s">
        <v>1601</v>
      </c>
      <c r="B2521" s="237" t="s">
        <v>19741</v>
      </c>
      <c r="C2521" s="160"/>
      <c r="D2521" s="23" t="s">
        <v>28</v>
      </c>
      <c r="E2521" s="24"/>
      <c r="F2521" s="37" t="s">
        <v>418</v>
      </c>
      <c r="G2521" s="25" t="str">
        <f>IF(ISNUMBER(F2521),E2521*F2521,"")</f>
        <v/>
      </c>
      <c r="H2521" s="26"/>
      <c r="I2521" s="27"/>
      <c r="J2521" s="125">
        <v>0</v>
      </c>
    </row>
    <row r="2522" spans="1:10" ht="15.75" hidden="1" thickBot="1" x14ac:dyDescent="0.3">
      <c r="A2522" s="235"/>
      <c r="B2522" s="238"/>
      <c r="C2522" s="151"/>
      <c r="D2522" s="29"/>
      <c r="E2522" s="30"/>
      <c r="F2522" s="38" t="s">
        <v>418</v>
      </c>
      <c r="G2522" s="31" t="str">
        <f>IF(ISNUMBER(F2522),E2522*F2522,"")</f>
        <v/>
      </c>
      <c r="H2522" s="32"/>
      <c r="I2522" s="28"/>
      <c r="J2522" s="125">
        <v>0</v>
      </c>
    </row>
    <row r="2523" spans="1:10" ht="15.75" hidden="1" thickBot="1" x14ac:dyDescent="0.3">
      <c r="A2523" s="235"/>
      <c r="B2523" s="238"/>
      <c r="C2523" s="155" t="s">
        <v>10236</v>
      </c>
      <c r="D2523" s="155" t="s">
        <v>774</v>
      </c>
      <c r="E2523" s="34">
        <v>1</v>
      </c>
      <c r="F2523" s="28">
        <v>34.713000000000001</v>
      </c>
      <c r="G2523" s="31">
        <f>IF(ISNUMBER(F2523),E2523*F2523,"")</f>
        <v>34.713000000000001</v>
      </c>
      <c r="H2523" s="35">
        <f>SUM(G2523:G2523)</f>
        <v>34.713000000000001</v>
      </c>
      <c r="I2523" s="36"/>
      <c r="J2523" s="125">
        <v>0</v>
      </c>
    </row>
    <row r="2524" spans="1:10" ht="15.75" hidden="1" thickBot="1" x14ac:dyDescent="0.3">
      <c r="A2524" s="236"/>
      <c r="B2524" s="239"/>
      <c r="C2524" s="155"/>
      <c r="D2524" s="33"/>
      <c r="E2524" s="34"/>
      <c r="F2524" s="28" t="s">
        <v>418</v>
      </c>
      <c r="G2524" s="31" t="str">
        <f>IF(ISNUMBER(F2524),E2524*F2524,"")</f>
        <v/>
      </c>
      <c r="H2524" s="32"/>
      <c r="I2524" s="28"/>
      <c r="J2524" s="125">
        <v>0</v>
      </c>
    </row>
    <row r="2525" spans="1:10" ht="15.75" hidden="1" thickBot="1" x14ac:dyDescent="0.3">
      <c r="A2525" s="234" t="s">
        <v>1602</v>
      </c>
      <c r="B2525" s="237" t="s">
        <v>1603</v>
      </c>
      <c r="C2525" s="160"/>
      <c r="D2525" s="23" t="s">
        <v>70</v>
      </c>
      <c r="E2525" s="24"/>
      <c r="F2525" s="37" t="s">
        <v>418</v>
      </c>
      <c r="G2525" s="25" t="str">
        <f>IF(ISNUMBER(F2525),E2525*F2525,"")</f>
        <v/>
      </c>
      <c r="H2525" s="26"/>
      <c r="I2525" s="27"/>
      <c r="J2525" s="125">
        <v>0</v>
      </c>
    </row>
    <row r="2526" spans="1:10" ht="15.75" hidden="1" thickBot="1" x14ac:dyDescent="0.3">
      <c r="A2526" s="235"/>
      <c r="B2526" s="238"/>
      <c r="C2526" s="151"/>
      <c r="D2526" s="29"/>
      <c r="E2526" s="30"/>
      <c r="F2526" s="38" t="s">
        <v>418</v>
      </c>
      <c r="G2526" s="31" t="str">
        <f>IF(ISNUMBER(F2526),E2526*F2526,"")</f>
        <v/>
      </c>
      <c r="H2526" s="32"/>
      <c r="I2526" s="28"/>
      <c r="J2526" s="125">
        <v>0</v>
      </c>
    </row>
    <row r="2527" spans="1:10" ht="26.25" hidden="1" thickBot="1" x14ac:dyDescent="0.3">
      <c r="A2527" s="235"/>
      <c r="B2527" s="238"/>
      <c r="C2527" s="155" t="s">
        <v>10286</v>
      </c>
      <c r="D2527" s="155" t="s">
        <v>870</v>
      </c>
      <c r="E2527" s="34">
        <v>1</v>
      </c>
      <c r="F2527" s="28">
        <v>45.22</v>
      </c>
      <c r="G2527" s="31">
        <f>IF(ISNUMBER(F2527),E2527*F2527,"")</f>
        <v>45.22</v>
      </c>
      <c r="H2527" s="35">
        <f>SUM(G2527:G2527)</f>
        <v>45.22</v>
      </c>
      <c r="I2527" s="36"/>
      <c r="J2527" s="125">
        <v>0</v>
      </c>
    </row>
    <row r="2528" spans="1:10" ht="15.75" hidden="1" thickBot="1" x14ac:dyDescent="0.3">
      <c r="A2528" s="236"/>
      <c r="B2528" s="239"/>
      <c r="C2528" s="155"/>
      <c r="D2528" s="33"/>
      <c r="E2528" s="34"/>
      <c r="F2528" s="28" t="s">
        <v>418</v>
      </c>
      <c r="G2528" s="31" t="str">
        <f>IF(ISNUMBER(F2528),E2528*F2528,"")</f>
        <v/>
      </c>
      <c r="H2528" s="32"/>
      <c r="I2528" s="28"/>
      <c r="J2528" s="125">
        <v>0</v>
      </c>
    </row>
    <row r="2529" spans="1:10" ht="15.75" hidden="1" thickBot="1" x14ac:dyDescent="0.3">
      <c r="A2529" s="234" t="s">
        <v>1604</v>
      </c>
      <c r="B2529" s="237" t="s">
        <v>1605</v>
      </c>
      <c r="C2529" s="160"/>
      <c r="D2529" s="23" t="s">
        <v>16</v>
      </c>
      <c r="E2529" s="24"/>
      <c r="F2529" s="37" t="s">
        <v>418</v>
      </c>
      <c r="G2529" s="25" t="str">
        <f>IF(ISNUMBER(F2529),E2529*F2529,"")</f>
        <v/>
      </c>
      <c r="H2529" s="26"/>
      <c r="I2529" s="27"/>
      <c r="J2529" s="125">
        <v>0</v>
      </c>
    </row>
    <row r="2530" spans="1:10" ht="15.75" hidden="1" thickBot="1" x14ac:dyDescent="0.3">
      <c r="A2530" s="235"/>
      <c r="B2530" s="238"/>
      <c r="C2530" s="151"/>
      <c r="D2530" s="29"/>
      <c r="E2530" s="30"/>
      <c r="F2530" s="38" t="s">
        <v>418</v>
      </c>
      <c r="G2530" s="31" t="str">
        <f>IF(ISNUMBER(F2530),E2530*F2530,"")</f>
        <v/>
      </c>
      <c r="H2530" s="32"/>
      <c r="I2530" s="28"/>
      <c r="J2530" s="125">
        <v>0</v>
      </c>
    </row>
    <row r="2531" spans="1:10" ht="15.75" hidden="1" thickBot="1" x14ac:dyDescent="0.3">
      <c r="A2531" s="235"/>
      <c r="B2531" s="238"/>
      <c r="C2531" s="155" t="s">
        <v>10274</v>
      </c>
      <c r="D2531" s="155" t="s">
        <v>774</v>
      </c>
      <c r="E2531" s="34">
        <v>0.4</v>
      </c>
      <c r="F2531" s="28">
        <v>39.444000000000003</v>
      </c>
      <c r="G2531" s="31">
        <f>IF(ISNUMBER(F2531),E2531*F2531,"")</f>
        <v>15.777600000000001</v>
      </c>
      <c r="H2531" s="35">
        <f>SUM(G2531:G2531)</f>
        <v>15.777600000000001</v>
      </c>
      <c r="I2531" s="36"/>
      <c r="J2531" s="125">
        <v>0</v>
      </c>
    </row>
    <row r="2532" spans="1:10" ht="15.75" hidden="1" thickBot="1" x14ac:dyDescent="0.3">
      <c r="A2532" s="236"/>
      <c r="B2532" s="239"/>
      <c r="C2532" s="155"/>
      <c r="D2532" s="33"/>
      <c r="E2532" s="34"/>
      <c r="F2532" s="28" t="s">
        <v>418</v>
      </c>
      <c r="G2532" s="31" t="str">
        <f>IF(ISNUMBER(F2532),E2532*F2532,"")</f>
        <v/>
      </c>
      <c r="H2532" s="32"/>
      <c r="I2532" s="28"/>
      <c r="J2532" s="125">
        <v>0</v>
      </c>
    </row>
    <row r="2533" spans="1:10" ht="15.75" hidden="1" thickBot="1" x14ac:dyDescent="0.3">
      <c r="A2533" s="234" t="s">
        <v>626</v>
      </c>
      <c r="B2533" s="237" t="s">
        <v>1606</v>
      </c>
      <c r="C2533" s="160"/>
      <c r="D2533" s="23" t="s">
        <v>1607</v>
      </c>
      <c r="E2533" s="24"/>
      <c r="F2533" s="37" t="s">
        <v>418</v>
      </c>
      <c r="G2533" s="25" t="str">
        <f>IF(ISNUMBER(F2533),E2533*F2533,"")</f>
        <v/>
      </c>
      <c r="H2533" s="26"/>
      <c r="I2533" s="27"/>
      <c r="J2533" s="125">
        <v>0</v>
      </c>
    </row>
    <row r="2534" spans="1:10" ht="15.75" hidden="1" thickBot="1" x14ac:dyDescent="0.3">
      <c r="A2534" s="235"/>
      <c r="B2534" s="238"/>
      <c r="C2534" s="151"/>
      <c r="D2534" s="29"/>
      <c r="E2534" s="30"/>
      <c r="F2534" s="38" t="s">
        <v>418</v>
      </c>
      <c r="G2534" s="31" t="str">
        <f>IF(ISNUMBER(F2534),E2534*F2534,"")</f>
        <v/>
      </c>
      <c r="H2534" s="32"/>
      <c r="I2534" s="28"/>
      <c r="J2534" s="125">
        <v>0</v>
      </c>
    </row>
    <row r="2535" spans="1:10" ht="15.75" hidden="1" thickBot="1" x14ac:dyDescent="0.3">
      <c r="A2535" s="235"/>
      <c r="B2535" s="238"/>
      <c r="C2535" s="155" t="s">
        <v>627</v>
      </c>
      <c r="D2535" s="155" t="s">
        <v>774</v>
      </c>
      <c r="E2535" s="34">
        <v>40</v>
      </c>
      <c r="F2535" s="28">
        <v>1.159</v>
      </c>
      <c r="G2535" s="31">
        <f>IF(ISNUMBER(F2535),E2535*F2535,"")</f>
        <v>46.36</v>
      </c>
      <c r="H2535" s="35">
        <f>SUM(G2535:G2535)</f>
        <v>46.36</v>
      </c>
      <c r="I2535" s="36"/>
      <c r="J2535" s="125">
        <v>0</v>
      </c>
    </row>
    <row r="2536" spans="1:10" ht="15.75" hidden="1" thickBot="1" x14ac:dyDescent="0.3">
      <c r="A2536" s="236"/>
      <c r="B2536" s="239"/>
      <c r="C2536" s="155"/>
      <c r="D2536" s="33"/>
      <c r="E2536" s="34"/>
      <c r="F2536" s="28" t="s">
        <v>418</v>
      </c>
      <c r="G2536" s="31" t="str">
        <f>IF(ISNUMBER(F2536),E2536*F2536,"")</f>
        <v/>
      </c>
      <c r="H2536" s="32"/>
      <c r="I2536" s="28"/>
      <c r="J2536" s="125">
        <v>0</v>
      </c>
    </row>
    <row r="2537" spans="1:10" ht="15.75" hidden="1" thickBot="1" x14ac:dyDescent="0.3">
      <c r="A2537" s="234" t="s">
        <v>628</v>
      </c>
      <c r="B2537" s="237" t="s">
        <v>1608</v>
      </c>
      <c r="C2537" s="160"/>
      <c r="D2537" s="23" t="s">
        <v>1607</v>
      </c>
      <c r="E2537" s="24"/>
      <c r="F2537" s="37" t="s">
        <v>418</v>
      </c>
      <c r="G2537" s="25" t="str">
        <f>IF(ISNUMBER(F2537),E2537*F2537,"")</f>
        <v/>
      </c>
      <c r="H2537" s="26"/>
      <c r="I2537" s="27"/>
      <c r="J2537" s="125">
        <v>0</v>
      </c>
    </row>
    <row r="2538" spans="1:10" ht="15.75" hidden="1" thickBot="1" x14ac:dyDescent="0.3">
      <c r="A2538" s="235"/>
      <c r="B2538" s="238"/>
      <c r="C2538" s="151"/>
      <c r="D2538" s="29"/>
      <c r="E2538" s="30"/>
      <c r="F2538" s="38" t="s">
        <v>418</v>
      </c>
      <c r="G2538" s="31" t="str">
        <f>IF(ISNUMBER(F2538),E2538*F2538,"")</f>
        <v/>
      </c>
      <c r="H2538" s="32"/>
      <c r="I2538" s="28"/>
      <c r="J2538" s="125">
        <v>0</v>
      </c>
    </row>
    <row r="2539" spans="1:10" ht="26.25" hidden="1" thickBot="1" x14ac:dyDescent="0.3">
      <c r="A2539" s="235"/>
      <c r="B2539" s="238"/>
      <c r="C2539" s="155" t="s">
        <v>23680</v>
      </c>
      <c r="D2539" s="155" t="s">
        <v>774</v>
      </c>
      <c r="E2539" s="34">
        <v>40</v>
      </c>
      <c r="F2539" s="28">
        <v>1.2255</v>
      </c>
      <c r="G2539" s="31">
        <f>IF(ISNUMBER(F2539),E2539*F2539,"")</f>
        <v>49.02</v>
      </c>
      <c r="H2539" s="35">
        <f>SUM(G2539:G2539)</f>
        <v>49.02</v>
      </c>
      <c r="I2539" s="36"/>
      <c r="J2539" s="125">
        <v>0</v>
      </c>
    </row>
    <row r="2540" spans="1:10" ht="15.75" hidden="1" thickBot="1" x14ac:dyDescent="0.3">
      <c r="A2540" s="236"/>
      <c r="B2540" s="239"/>
      <c r="C2540" s="155"/>
      <c r="D2540" s="33"/>
      <c r="E2540" s="34"/>
      <c r="F2540" s="28" t="s">
        <v>418</v>
      </c>
      <c r="G2540" s="31" t="str">
        <f>IF(ISNUMBER(F2540),E2540*F2540,"")</f>
        <v/>
      </c>
      <c r="H2540" s="32"/>
      <c r="I2540" s="28"/>
      <c r="J2540" s="125">
        <v>0</v>
      </c>
    </row>
    <row r="2541" spans="1:10" ht="15.75" hidden="1" thickBot="1" x14ac:dyDescent="0.3">
      <c r="A2541" s="234" t="s">
        <v>629</v>
      </c>
      <c r="B2541" s="237" t="s">
        <v>1609</v>
      </c>
      <c r="C2541" s="160"/>
      <c r="D2541" s="23" t="s">
        <v>1610</v>
      </c>
      <c r="E2541" s="24"/>
      <c r="F2541" s="37" t="s">
        <v>418</v>
      </c>
      <c r="G2541" s="25" t="str">
        <f>IF(ISNUMBER(F2541),E2541*F2541,"")</f>
        <v/>
      </c>
      <c r="H2541" s="26"/>
      <c r="I2541" s="27"/>
      <c r="J2541" s="125">
        <v>0</v>
      </c>
    </row>
    <row r="2542" spans="1:10" ht="15.75" hidden="1" thickBot="1" x14ac:dyDescent="0.3">
      <c r="A2542" s="235"/>
      <c r="B2542" s="238"/>
      <c r="C2542" s="151"/>
      <c r="D2542" s="29"/>
      <c r="E2542" s="30"/>
      <c r="F2542" s="38" t="s">
        <v>418</v>
      </c>
      <c r="G2542" s="31" t="str">
        <f>IF(ISNUMBER(F2542),E2542*F2542,"")</f>
        <v/>
      </c>
      <c r="H2542" s="32"/>
      <c r="I2542" s="28"/>
      <c r="J2542" s="125">
        <v>0</v>
      </c>
    </row>
    <row r="2543" spans="1:10" ht="15.75" hidden="1" thickBot="1" x14ac:dyDescent="0.3">
      <c r="A2543" s="235"/>
      <c r="B2543" s="238"/>
      <c r="C2543" s="155" t="s">
        <v>24537</v>
      </c>
      <c r="D2543" s="155" t="s">
        <v>774</v>
      </c>
      <c r="E2543" s="34">
        <v>50</v>
      </c>
      <c r="F2543" s="28">
        <v>1.254</v>
      </c>
      <c r="G2543" s="31">
        <f>IF(ISNUMBER(F2543),E2543*F2543,"")</f>
        <v>62.7</v>
      </c>
      <c r="H2543" s="35">
        <f>SUM(G2543:G2543)</f>
        <v>62.7</v>
      </c>
      <c r="I2543" s="36"/>
      <c r="J2543" s="125">
        <v>0</v>
      </c>
    </row>
    <row r="2544" spans="1:10" ht="15.75" hidden="1" thickBot="1" x14ac:dyDescent="0.3">
      <c r="A2544" s="236"/>
      <c r="B2544" s="239"/>
      <c r="C2544" s="155"/>
      <c r="D2544" s="33"/>
      <c r="E2544" s="34"/>
      <c r="F2544" s="28" t="s">
        <v>418</v>
      </c>
      <c r="G2544" s="31" t="str">
        <f>IF(ISNUMBER(F2544),E2544*F2544,"")</f>
        <v/>
      </c>
      <c r="H2544" s="32"/>
      <c r="I2544" s="28"/>
      <c r="J2544" s="125">
        <v>0</v>
      </c>
    </row>
    <row r="2545" spans="1:10" ht="15.75" hidden="1" thickBot="1" x14ac:dyDescent="0.3">
      <c r="A2545" s="234" t="s">
        <v>630</v>
      </c>
      <c r="B2545" s="237" t="s">
        <v>19742</v>
      </c>
      <c r="C2545" s="160"/>
      <c r="D2545" s="23" t="s">
        <v>1611</v>
      </c>
      <c r="E2545" s="24"/>
      <c r="F2545" s="37" t="s">
        <v>418</v>
      </c>
      <c r="G2545" s="25" t="str">
        <f>IF(ISNUMBER(F2545),E2545*F2545,"")</f>
        <v/>
      </c>
      <c r="H2545" s="26"/>
      <c r="I2545" s="27"/>
      <c r="J2545" s="125">
        <v>0</v>
      </c>
    </row>
    <row r="2546" spans="1:10" ht="15.75" hidden="1" thickBot="1" x14ac:dyDescent="0.3">
      <c r="A2546" s="235"/>
      <c r="B2546" s="238"/>
      <c r="C2546" s="151"/>
      <c r="D2546" s="29"/>
      <c r="E2546" s="30"/>
      <c r="F2546" s="38" t="s">
        <v>418</v>
      </c>
      <c r="G2546" s="31" t="str">
        <f>IF(ISNUMBER(F2546),E2546*F2546,"")</f>
        <v/>
      </c>
      <c r="H2546" s="32"/>
      <c r="I2546" s="28"/>
      <c r="J2546" s="125">
        <v>0</v>
      </c>
    </row>
    <row r="2547" spans="1:10" ht="15.75" hidden="1" thickBot="1" x14ac:dyDescent="0.3">
      <c r="A2547" s="235"/>
      <c r="B2547" s="238"/>
      <c r="C2547" s="155" t="s">
        <v>23678</v>
      </c>
      <c r="D2547" s="155" t="s">
        <v>774</v>
      </c>
      <c r="E2547" s="34">
        <v>20</v>
      </c>
      <c r="F2547" s="28">
        <v>3.4390000000000001</v>
      </c>
      <c r="G2547" s="31">
        <f>IF(ISNUMBER(F2547),E2547*F2547,"")</f>
        <v>68.78</v>
      </c>
      <c r="H2547" s="35">
        <f>SUM(G2547:G2547)</f>
        <v>68.78</v>
      </c>
      <c r="I2547" s="36"/>
      <c r="J2547" s="125">
        <v>0</v>
      </c>
    </row>
    <row r="2548" spans="1:10" ht="15.75" hidden="1" thickBot="1" x14ac:dyDescent="0.3">
      <c r="A2548" s="236"/>
      <c r="B2548" s="239"/>
      <c r="C2548" s="155"/>
      <c r="D2548" s="33"/>
      <c r="E2548" s="34"/>
      <c r="F2548" s="28" t="s">
        <v>418</v>
      </c>
      <c r="G2548" s="31" t="str">
        <f>IF(ISNUMBER(F2548),E2548*F2548,"")</f>
        <v/>
      </c>
      <c r="H2548" s="32"/>
      <c r="I2548" s="28"/>
      <c r="J2548" s="125">
        <v>0</v>
      </c>
    </row>
    <row r="2549" spans="1:10" ht="15.75" hidden="1" thickBot="1" x14ac:dyDescent="0.3">
      <c r="A2549" s="234" t="s">
        <v>631</v>
      </c>
      <c r="B2549" s="237" t="s">
        <v>1612</v>
      </c>
      <c r="C2549" s="160"/>
      <c r="D2549" s="23" t="s">
        <v>1607</v>
      </c>
      <c r="E2549" s="24"/>
      <c r="F2549" s="37" t="s">
        <v>418</v>
      </c>
      <c r="G2549" s="25" t="str">
        <f>IF(ISNUMBER(F2549),E2549*F2549,"")</f>
        <v/>
      </c>
      <c r="H2549" s="26"/>
      <c r="I2549" s="27"/>
      <c r="J2549" s="125">
        <v>0</v>
      </c>
    </row>
    <row r="2550" spans="1:10" ht="15.75" hidden="1" thickBot="1" x14ac:dyDescent="0.3">
      <c r="A2550" s="235"/>
      <c r="B2550" s="238"/>
      <c r="C2550" s="151"/>
      <c r="D2550" s="29"/>
      <c r="E2550" s="30"/>
      <c r="F2550" s="38" t="s">
        <v>418</v>
      </c>
      <c r="G2550" s="31" t="str">
        <f>IF(ISNUMBER(F2550),E2550*F2550,"")</f>
        <v/>
      </c>
      <c r="H2550" s="32"/>
      <c r="I2550" s="28"/>
      <c r="J2550" s="125">
        <v>0</v>
      </c>
    </row>
    <row r="2551" spans="1:10" ht="26.25" hidden="1" thickBot="1" x14ac:dyDescent="0.3">
      <c r="A2551" s="235"/>
      <c r="B2551" s="238"/>
      <c r="C2551" s="155" t="s">
        <v>11615</v>
      </c>
      <c r="D2551" s="155" t="s">
        <v>774</v>
      </c>
      <c r="E2551" s="34">
        <v>40</v>
      </c>
      <c r="F2551" s="28">
        <v>1.2825</v>
      </c>
      <c r="G2551" s="31">
        <f>IF(ISNUMBER(F2551),E2551*F2551,"")</f>
        <v>51.3</v>
      </c>
      <c r="H2551" s="35">
        <f>SUM(G2551:G2551)</f>
        <v>51.3</v>
      </c>
      <c r="I2551" s="36"/>
      <c r="J2551" s="125">
        <v>0</v>
      </c>
    </row>
    <row r="2552" spans="1:10" ht="15.75" hidden="1" thickBot="1" x14ac:dyDescent="0.3">
      <c r="A2552" s="236"/>
      <c r="B2552" s="239"/>
      <c r="C2552" s="155"/>
      <c r="D2552" s="33"/>
      <c r="E2552" s="34"/>
      <c r="F2552" s="28" t="s">
        <v>418</v>
      </c>
      <c r="G2552" s="31" t="str">
        <f>IF(ISNUMBER(F2552),E2552*F2552,"")</f>
        <v/>
      </c>
      <c r="H2552" s="32"/>
      <c r="I2552" s="28"/>
      <c r="J2552" s="125">
        <v>0</v>
      </c>
    </row>
    <row r="2553" spans="1:10" ht="15.75" hidden="1" thickBot="1" x14ac:dyDescent="0.3">
      <c r="A2553" s="234" t="s">
        <v>632</v>
      </c>
      <c r="B2553" s="237" t="s">
        <v>1613</v>
      </c>
      <c r="C2553" s="160"/>
      <c r="D2553" s="23" t="s">
        <v>81</v>
      </c>
      <c r="E2553" s="24"/>
      <c r="F2553" s="37" t="s">
        <v>418</v>
      </c>
      <c r="G2553" s="25" t="str">
        <f>IF(ISNUMBER(F2553),E2553*F2553,"")</f>
        <v/>
      </c>
      <c r="H2553" s="26"/>
      <c r="I2553" s="27"/>
      <c r="J2553" s="125">
        <v>0</v>
      </c>
    </row>
    <row r="2554" spans="1:10" ht="15.75" hidden="1" thickBot="1" x14ac:dyDescent="0.3">
      <c r="A2554" s="235"/>
      <c r="B2554" s="238"/>
      <c r="C2554" s="151"/>
      <c r="D2554" s="29"/>
      <c r="E2554" s="30"/>
      <c r="F2554" s="38" t="s">
        <v>418</v>
      </c>
      <c r="G2554" s="31" t="str">
        <f>IF(ISNUMBER(F2554),E2554*F2554,"")</f>
        <v/>
      </c>
      <c r="H2554" s="32"/>
      <c r="I2554" s="28"/>
      <c r="J2554" s="125">
        <v>0</v>
      </c>
    </row>
    <row r="2555" spans="1:10" ht="26.25" hidden="1" thickBot="1" x14ac:dyDescent="0.3">
      <c r="A2555" s="235"/>
      <c r="B2555" s="238"/>
      <c r="C2555" s="155" t="s">
        <v>23674</v>
      </c>
      <c r="D2555" s="155" t="s">
        <v>85</v>
      </c>
      <c r="E2555" s="34">
        <v>1</v>
      </c>
      <c r="F2555" s="28">
        <v>66.5</v>
      </c>
      <c r="G2555" s="31">
        <f>IF(ISNUMBER(F2555),E2555*F2555,"")</f>
        <v>66.5</v>
      </c>
      <c r="H2555" s="35">
        <f>SUM(G2555:G2557)</f>
        <v>114.47621885</v>
      </c>
      <c r="I2555" s="36"/>
      <c r="J2555" s="125">
        <v>0</v>
      </c>
    </row>
    <row r="2556" spans="1:10" ht="51.75" hidden="1" thickBot="1" x14ac:dyDescent="0.3">
      <c r="A2556" s="235"/>
      <c r="B2556" s="238"/>
      <c r="C2556" s="155" t="s">
        <v>10661</v>
      </c>
      <c r="D2556" s="155" t="s">
        <v>85</v>
      </c>
      <c r="E2556" s="34">
        <f>E2555</f>
        <v>1</v>
      </c>
      <c r="F2556" s="31">
        <v>8.6578848500000003</v>
      </c>
      <c r="G2556" s="31">
        <f>IF(ISNUMBER(F2556),E2556*F2556,"")</f>
        <v>8.6578848500000003</v>
      </c>
      <c r="H2556" s="32"/>
      <c r="I2556" s="28"/>
      <c r="J2556" s="125">
        <v>0</v>
      </c>
    </row>
    <row r="2557" spans="1:10" ht="39" hidden="1" thickBot="1" x14ac:dyDescent="0.3">
      <c r="A2557" s="235"/>
      <c r="B2557" s="238"/>
      <c r="C2557" s="155" t="s">
        <v>10572</v>
      </c>
      <c r="D2557" s="155" t="s">
        <v>1293</v>
      </c>
      <c r="E2557" s="34">
        <f>E2555*20</f>
        <v>20</v>
      </c>
      <c r="F2557" s="28">
        <v>1.9659166999999997</v>
      </c>
      <c r="G2557" s="31">
        <f>IF(ISNUMBER(F2557),E2557*F2557,"")</f>
        <v>39.318333999999993</v>
      </c>
      <c r="H2557" s="32"/>
      <c r="I2557" s="28"/>
      <c r="J2557" s="125">
        <v>0</v>
      </c>
    </row>
    <row r="2558" spans="1:10" ht="15.75" hidden="1" thickBot="1" x14ac:dyDescent="0.3">
      <c r="A2558" s="235"/>
      <c r="B2558" s="238"/>
      <c r="C2558" s="155"/>
      <c r="D2558" s="42"/>
      <c r="E2558" s="34"/>
      <c r="F2558" s="28" t="s">
        <v>418</v>
      </c>
      <c r="G2558" s="31" t="str">
        <f>IF(ISNUMBER(F2558),E2558*F2558,"")</f>
        <v/>
      </c>
      <c r="H2558" s="32"/>
      <c r="I2558" s="28"/>
      <c r="J2558" s="125">
        <v>0</v>
      </c>
    </row>
    <row r="2559" spans="1:10" ht="15.75" hidden="1" thickBot="1" x14ac:dyDescent="0.3">
      <c r="A2559" s="235"/>
      <c r="B2559" s="238"/>
      <c r="C2559" s="43" t="s">
        <v>633</v>
      </c>
      <c r="D2559" s="42"/>
      <c r="E2559" s="34"/>
      <c r="F2559" s="28" t="s">
        <v>418</v>
      </c>
      <c r="G2559" s="31" t="str">
        <f>IF(ISNUMBER(F2559),E2559*F2559,"")</f>
        <v/>
      </c>
      <c r="H2559" s="32"/>
      <c r="I2559" s="28"/>
      <c r="J2559" s="125">
        <v>0</v>
      </c>
    </row>
    <row r="2560" spans="1:10" ht="15.75" hidden="1" thickBot="1" x14ac:dyDescent="0.3">
      <c r="A2560" s="236"/>
      <c r="B2560" s="239"/>
      <c r="C2560" s="155"/>
      <c r="D2560" s="33"/>
      <c r="E2560" s="34"/>
      <c r="F2560" s="28" t="s">
        <v>418</v>
      </c>
      <c r="G2560" s="31" t="str">
        <f>IF(ISNUMBER(F2560),E2560*F2560,"")</f>
        <v/>
      </c>
      <c r="H2560" s="32"/>
      <c r="I2560" s="28"/>
      <c r="J2560" s="125">
        <v>0</v>
      </c>
    </row>
    <row r="2561" spans="1:10" ht="15.75" hidden="1" thickBot="1" x14ac:dyDescent="0.3">
      <c r="A2561" s="234" t="s">
        <v>634</v>
      </c>
      <c r="B2561" s="237" t="s">
        <v>1614</v>
      </c>
      <c r="C2561" s="160"/>
      <c r="D2561" s="23" t="s">
        <v>81</v>
      </c>
      <c r="E2561" s="24"/>
      <c r="F2561" s="37" t="s">
        <v>418</v>
      </c>
      <c r="G2561" s="25" t="str">
        <f>IF(ISNUMBER(F2561),E2561*F2561,"")</f>
        <v/>
      </c>
      <c r="H2561" s="26"/>
      <c r="I2561" s="27"/>
      <c r="J2561" s="125">
        <v>0</v>
      </c>
    </row>
    <row r="2562" spans="1:10" ht="15.75" hidden="1" thickBot="1" x14ac:dyDescent="0.3">
      <c r="A2562" s="235"/>
      <c r="B2562" s="238"/>
      <c r="C2562" s="151"/>
      <c r="D2562" s="29"/>
      <c r="E2562" s="30"/>
      <c r="F2562" s="38" t="s">
        <v>418</v>
      </c>
      <c r="G2562" s="31" t="str">
        <f>IF(ISNUMBER(F2562),E2562*F2562,"")</f>
        <v/>
      </c>
      <c r="H2562" s="32"/>
      <c r="I2562" s="28"/>
      <c r="J2562" s="125">
        <v>0</v>
      </c>
    </row>
    <row r="2563" spans="1:10" ht="26.25" hidden="1" thickBot="1" x14ac:dyDescent="0.3">
      <c r="A2563" s="235"/>
      <c r="B2563" s="238"/>
      <c r="C2563" s="155" t="s">
        <v>635</v>
      </c>
      <c r="D2563" s="155" t="s">
        <v>85</v>
      </c>
      <c r="E2563" s="34">
        <v>1</v>
      </c>
      <c r="F2563" s="28">
        <v>259.12199999999996</v>
      </c>
      <c r="G2563" s="31">
        <f>IF(ISNUMBER(F2563),E2563*F2563,"")</f>
        <v>259.12199999999996</v>
      </c>
      <c r="H2563" s="35">
        <f>SUM(G2563:G2565)</f>
        <v>307.09821884999997</v>
      </c>
      <c r="I2563" s="36"/>
      <c r="J2563" s="125">
        <v>0</v>
      </c>
    </row>
    <row r="2564" spans="1:10" ht="51.75" hidden="1" thickBot="1" x14ac:dyDescent="0.3">
      <c r="A2564" s="235"/>
      <c r="B2564" s="238"/>
      <c r="C2564" s="155" t="s">
        <v>10661</v>
      </c>
      <c r="D2564" s="155" t="s">
        <v>85</v>
      </c>
      <c r="E2564" s="34">
        <f>E2563</f>
        <v>1</v>
      </c>
      <c r="F2564" s="31">
        <v>8.6578848500000003</v>
      </c>
      <c r="G2564" s="31">
        <f>IF(ISNUMBER(F2564),E2564*F2564,"")</f>
        <v>8.6578848500000003</v>
      </c>
      <c r="H2564" s="32"/>
      <c r="I2564" s="28"/>
      <c r="J2564" s="125">
        <v>0</v>
      </c>
    </row>
    <row r="2565" spans="1:10" ht="39" hidden="1" thickBot="1" x14ac:dyDescent="0.3">
      <c r="A2565" s="235"/>
      <c r="B2565" s="238"/>
      <c r="C2565" s="155" t="s">
        <v>10572</v>
      </c>
      <c r="D2565" s="155" t="s">
        <v>1293</v>
      </c>
      <c r="E2565" s="34">
        <f>E2563*20</f>
        <v>20</v>
      </c>
      <c r="F2565" s="28">
        <v>1.9659166999999997</v>
      </c>
      <c r="G2565" s="31">
        <f>IF(ISNUMBER(F2565),E2565*F2565,"")</f>
        <v>39.318333999999993</v>
      </c>
      <c r="H2565" s="32"/>
      <c r="I2565" s="28"/>
      <c r="J2565" s="125">
        <v>0</v>
      </c>
    </row>
    <row r="2566" spans="1:10" ht="15.75" hidden="1" thickBot="1" x14ac:dyDescent="0.3">
      <c r="A2566" s="235"/>
      <c r="B2566" s="238"/>
      <c r="C2566" s="155"/>
      <c r="D2566" s="42"/>
      <c r="E2566" s="34"/>
      <c r="F2566" s="28" t="s">
        <v>418</v>
      </c>
      <c r="G2566" s="31" t="str">
        <f>IF(ISNUMBER(F2566),E2566*F2566,"")</f>
        <v/>
      </c>
      <c r="H2566" s="32"/>
      <c r="I2566" s="28"/>
      <c r="J2566" s="125">
        <v>0</v>
      </c>
    </row>
    <row r="2567" spans="1:10" ht="15.75" hidden="1" thickBot="1" x14ac:dyDescent="0.3">
      <c r="A2567" s="235"/>
      <c r="B2567" s="238"/>
      <c r="C2567" s="43" t="s">
        <v>636</v>
      </c>
      <c r="D2567" s="42"/>
      <c r="E2567" s="34"/>
      <c r="F2567" s="28" t="s">
        <v>418</v>
      </c>
      <c r="G2567" s="31" t="str">
        <f>IF(ISNUMBER(F2567),E2567*F2567,"")</f>
        <v/>
      </c>
      <c r="H2567" s="32"/>
      <c r="I2567" s="28"/>
      <c r="J2567" s="125">
        <v>0</v>
      </c>
    </row>
    <row r="2568" spans="1:10" ht="15.75" hidden="1" thickBot="1" x14ac:dyDescent="0.3">
      <c r="A2568" s="236"/>
      <c r="B2568" s="239"/>
      <c r="C2568" s="155"/>
      <c r="D2568" s="33"/>
      <c r="E2568" s="34"/>
      <c r="F2568" s="28" t="s">
        <v>418</v>
      </c>
      <c r="G2568" s="31" t="str">
        <f>IF(ISNUMBER(F2568),E2568*F2568,"")</f>
        <v/>
      </c>
      <c r="H2568" s="32"/>
      <c r="I2568" s="28"/>
      <c r="J2568" s="125">
        <v>0</v>
      </c>
    </row>
    <row r="2569" spans="1:10" ht="15.75" hidden="1" thickBot="1" x14ac:dyDescent="0.3">
      <c r="A2569" s="234" t="s">
        <v>637</v>
      </c>
      <c r="B2569" s="237" t="s">
        <v>1615</v>
      </c>
      <c r="C2569" s="160"/>
      <c r="D2569" s="23" t="s">
        <v>81</v>
      </c>
      <c r="E2569" s="24"/>
      <c r="F2569" s="37" t="s">
        <v>418</v>
      </c>
      <c r="G2569" s="25" t="str">
        <f>IF(ISNUMBER(F2569),E2569*F2569,"")</f>
        <v/>
      </c>
      <c r="H2569" s="26"/>
      <c r="I2569" s="27"/>
      <c r="J2569" s="125">
        <v>0</v>
      </c>
    </row>
    <row r="2570" spans="1:10" ht="15.75" hidden="1" thickBot="1" x14ac:dyDescent="0.3">
      <c r="A2570" s="235"/>
      <c r="B2570" s="238"/>
      <c r="C2570" s="151"/>
      <c r="D2570" s="29"/>
      <c r="E2570" s="30"/>
      <c r="F2570" s="38" t="s">
        <v>418</v>
      </c>
      <c r="G2570" s="31" t="str">
        <f>IF(ISNUMBER(F2570),E2570*F2570,"")</f>
        <v/>
      </c>
      <c r="H2570" s="32"/>
      <c r="I2570" s="28"/>
      <c r="J2570" s="125">
        <v>0</v>
      </c>
    </row>
    <row r="2571" spans="1:10" ht="26.25" hidden="1" thickBot="1" x14ac:dyDescent="0.3">
      <c r="A2571" s="235"/>
      <c r="B2571" s="238"/>
      <c r="C2571" s="155" t="s">
        <v>26789</v>
      </c>
      <c r="D2571" s="155" t="s">
        <v>85</v>
      </c>
      <c r="E2571" s="34">
        <v>1</v>
      </c>
      <c r="F2571" s="28">
        <v>224.44699999999997</v>
      </c>
      <c r="G2571" s="31">
        <f>IF(ISNUMBER(F2571),E2571*F2571,"")</f>
        <v>224.44699999999997</v>
      </c>
      <c r="H2571" s="35">
        <f>SUM(G2571:G2573)</f>
        <v>272.42321884999996</v>
      </c>
      <c r="I2571" s="36"/>
      <c r="J2571" s="125">
        <v>0</v>
      </c>
    </row>
    <row r="2572" spans="1:10" ht="51.75" hidden="1" thickBot="1" x14ac:dyDescent="0.3">
      <c r="A2572" s="235"/>
      <c r="B2572" s="238"/>
      <c r="C2572" s="155" t="s">
        <v>10661</v>
      </c>
      <c r="D2572" s="155" t="s">
        <v>85</v>
      </c>
      <c r="E2572" s="34">
        <f>E2571</f>
        <v>1</v>
      </c>
      <c r="F2572" s="31">
        <v>8.6578848500000003</v>
      </c>
      <c r="G2572" s="31">
        <f>IF(ISNUMBER(F2572),E2572*F2572,"")</f>
        <v>8.6578848500000003</v>
      </c>
      <c r="H2572" s="32"/>
      <c r="I2572" s="28"/>
      <c r="J2572" s="125">
        <v>0</v>
      </c>
    </row>
    <row r="2573" spans="1:10" ht="39" hidden="1" thickBot="1" x14ac:dyDescent="0.3">
      <c r="A2573" s="235"/>
      <c r="B2573" s="238"/>
      <c r="C2573" s="155" t="s">
        <v>10572</v>
      </c>
      <c r="D2573" s="155" t="s">
        <v>1293</v>
      </c>
      <c r="E2573" s="34">
        <f>E2571*20</f>
        <v>20</v>
      </c>
      <c r="F2573" s="28">
        <v>1.9659166999999997</v>
      </c>
      <c r="G2573" s="31">
        <f>IF(ISNUMBER(F2573),E2573*F2573,"")</f>
        <v>39.318333999999993</v>
      </c>
      <c r="H2573" s="32"/>
      <c r="I2573" s="28"/>
      <c r="J2573" s="125">
        <v>0</v>
      </c>
    </row>
    <row r="2574" spans="1:10" ht="15.75" hidden="1" thickBot="1" x14ac:dyDescent="0.3">
      <c r="A2574" s="235"/>
      <c r="B2574" s="238"/>
      <c r="C2574" s="155"/>
      <c r="D2574" s="42"/>
      <c r="E2574" s="34"/>
      <c r="F2574" s="28" t="s">
        <v>418</v>
      </c>
      <c r="G2574" s="31" t="str">
        <f>IF(ISNUMBER(F2574),E2574*F2574,"")</f>
        <v/>
      </c>
      <c r="H2574" s="32"/>
      <c r="I2574" s="28"/>
      <c r="J2574" s="125">
        <v>0</v>
      </c>
    </row>
    <row r="2575" spans="1:10" ht="15.75" hidden="1" thickBot="1" x14ac:dyDescent="0.3">
      <c r="A2575" s="235"/>
      <c r="B2575" s="238"/>
      <c r="C2575" s="43" t="s">
        <v>636</v>
      </c>
      <c r="D2575" s="42"/>
      <c r="E2575" s="34"/>
      <c r="F2575" s="28" t="s">
        <v>418</v>
      </c>
      <c r="G2575" s="31" t="str">
        <f>IF(ISNUMBER(F2575),E2575*F2575,"")</f>
        <v/>
      </c>
      <c r="H2575" s="32"/>
      <c r="I2575" s="28"/>
      <c r="J2575" s="125">
        <v>0</v>
      </c>
    </row>
    <row r="2576" spans="1:10" ht="15.75" hidden="1" thickBot="1" x14ac:dyDescent="0.3">
      <c r="A2576" s="236"/>
      <c r="B2576" s="239"/>
      <c r="C2576" s="155"/>
      <c r="D2576" s="33"/>
      <c r="E2576" s="34"/>
      <c r="F2576" s="28" t="s">
        <v>418</v>
      </c>
      <c r="G2576" s="31" t="str">
        <f>IF(ISNUMBER(F2576),E2576*F2576,"")</f>
        <v/>
      </c>
      <c r="H2576" s="32"/>
      <c r="I2576" s="28"/>
      <c r="J2576" s="125">
        <v>0</v>
      </c>
    </row>
    <row r="2577" spans="1:10" ht="15.75" hidden="1" thickBot="1" x14ac:dyDescent="0.3">
      <c r="A2577" s="234" t="s">
        <v>638</v>
      </c>
      <c r="B2577" s="237" t="s">
        <v>1616</v>
      </c>
      <c r="C2577" s="160"/>
      <c r="D2577" s="23" t="s">
        <v>16</v>
      </c>
      <c r="E2577" s="24"/>
      <c r="F2577" s="37" t="s">
        <v>418</v>
      </c>
      <c r="G2577" s="25" t="str">
        <f>IF(ISNUMBER(F2577),E2577*F2577,"")</f>
        <v/>
      </c>
      <c r="H2577" s="26"/>
      <c r="I2577" s="27"/>
      <c r="J2577" s="125">
        <v>0</v>
      </c>
    </row>
    <row r="2578" spans="1:10" ht="15.75" hidden="1" thickBot="1" x14ac:dyDescent="0.3">
      <c r="A2578" s="235"/>
      <c r="B2578" s="238"/>
      <c r="C2578" s="151"/>
      <c r="D2578" s="29"/>
      <c r="E2578" s="30"/>
      <c r="F2578" s="38" t="s">
        <v>418</v>
      </c>
      <c r="G2578" s="31" t="str">
        <f>IF(ISNUMBER(F2578),E2578*F2578,"")</f>
        <v/>
      </c>
      <c r="H2578" s="32"/>
      <c r="I2578" s="28"/>
      <c r="J2578" s="125">
        <v>0</v>
      </c>
    </row>
    <row r="2579" spans="1:10" ht="26.25" hidden="1" thickBot="1" x14ac:dyDescent="0.3">
      <c r="A2579" s="235"/>
      <c r="B2579" s="238"/>
      <c r="C2579" s="155" t="s">
        <v>23847</v>
      </c>
      <c r="D2579" s="155" t="s">
        <v>205</v>
      </c>
      <c r="E2579" s="34">
        <v>1</v>
      </c>
      <c r="F2579" s="28">
        <v>0.71249999999999991</v>
      </c>
      <c r="G2579" s="31">
        <f>IF(ISNUMBER(F2579),E2579*F2579,"")</f>
        <v>0.71249999999999991</v>
      </c>
      <c r="H2579" s="35">
        <f>SUM(G2579:G2579)</f>
        <v>0.71249999999999991</v>
      </c>
      <c r="I2579" s="36"/>
      <c r="J2579" s="125">
        <v>0</v>
      </c>
    </row>
    <row r="2580" spans="1:10" ht="15.75" hidden="1" thickBot="1" x14ac:dyDescent="0.3">
      <c r="A2580" s="236"/>
      <c r="B2580" s="239"/>
      <c r="C2580" s="155"/>
      <c r="D2580" s="33"/>
      <c r="E2580" s="34"/>
      <c r="F2580" s="28" t="s">
        <v>418</v>
      </c>
      <c r="G2580" s="31" t="str">
        <f>IF(ISNUMBER(F2580),E2580*F2580,"")</f>
        <v/>
      </c>
      <c r="H2580" s="32"/>
      <c r="I2580" s="28"/>
      <c r="J2580" s="125">
        <v>0</v>
      </c>
    </row>
    <row r="2581" spans="1:10" ht="15.75" hidden="1" thickBot="1" x14ac:dyDescent="0.3">
      <c r="A2581" s="234" t="s">
        <v>639</v>
      </c>
      <c r="B2581" s="237" t="s">
        <v>1617</v>
      </c>
      <c r="C2581" s="160"/>
      <c r="D2581" s="23" t="s">
        <v>16</v>
      </c>
      <c r="E2581" s="24"/>
      <c r="F2581" s="37" t="s">
        <v>418</v>
      </c>
      <c r="G2581" s="25" t="str">
        <f>IF(ISNUMBER(F2581),E2581*F2581,"")</f>
        <v/>
      </c>
      <c r="H2581" s="26"/>
      <c r="I2581" s="27"/>
      <c r="J2581" s="125">
        <v>0</v>
      </c>
    </row>
    <row r="2582" spans="1:10" ht="15.75" hidden="1" thickBot="1" x14ac:dyDescent="0.3">
      <c r="A2582" s="235"/>
      <c r="B2582" s="238"/>
      <c r="C2582" s="151"/>
      <c r="D2582" s="29"/>
      <c r="E2582" s="30"/>
      <c r="F2582" s="38" t="s">
        <v>418</v>
      </c>
      <c r="G2582" s="31" t="str">
        <f>IF(ISNUMBER(F2582),E2582*F2582,"")</f>
        <v/>
      </c>
      <c r="H2582" s="32"/>
      <c r="I2582" s="28"/>
      <c r="J2582" s="125">
        <v>0</v>
      </c>
    </row>
    <row r="2583" spans="1:10" ht="15.75" hidden="1" thickBot="1" x14ac:dyDescent="0.3">
      <c r="A2583" s="235"/>
      <c r="B2583" s="238"/>
      <c r="C2583" s="155" t="s">
        <v>10396</v>
      </c>
      <c r="D2583" s="155" t="s">
        <v>205</v>
      </c>
      <c r="E2583" s="34">
        <v>1</v>
      </c>
      <c r="F2583" s="28">
        <v>0.60799999999999998</v>
      </c>
      <c r="G2583" s="31">
        <f>IF(ISNUMBER(F2583),E2583*F2583,"")</f>
        <v>0.60799999999999998</v>
      </c>
      <c r="H2583" s="35">
        <f>SUM(G2583:G2583)</f>
        <v>0.60799999999999998</v>
      </c>
      <c r="I2583" s="36"/>
      <c r="J2583" s="125">
        <v>0</v>
      </c>
    </row>
    <row r="2584" spans="1:10" ht="15.75" hidden="1" thickBot="1" x14ac:dyDescent="0.3">
      <c r="A2584" s="236"/>
      <c r="B2584" s="239"/>
      <c r="C2584" s="155"/>
      <c r="D2584" s="33"/>
      <c r="E2584" s="34"/>
      <c r="F2584" s="28" t="s">
        <v>418</v>
      </c>
      <c r="G2584" s="31" t="str">
        <f>IF(ISNUMBER(F2584),E2584*F2584,"")</f>
        <v/>
      </c>
      <c r="H2584" s="32"/>
      <c r="I2584" s="28"/>
      <c r="J2584" s="125">
        <v>0</v>
      </c>
    </row>
    <row r="2585" spans="1:10" ht="15.75" hidden="1" thickBot="1" x14ac:dyDescent="0.3">
      <c r="A2585" s="234" t="s">
        <v>640</v>
      </c>
      <c r="B2585" s="237" t="s">
        <v>20919</v>
      </c>
      <c r="C2585" s="160"/>
      <c r="D2585" s="23" t="s">
        <v>16</v>
      </c>
      <c r="E2585" s="24"/>
      <c r="F2585" s="37" t="s">
        <v>418</v>
      </c>
      <c r="G2585" s="25" t="str">
        <f>IF(ISNUMBER(F2585),E2585*F2585,"")</f>
        <v/>
      </c>
      <c r="H2585" s="26"/>
      <c r="I2585" s="27"/>
      <c r="J2585" s="125">
        <v>0</v>
      </c>
    </row>
    <row r="2586" spans="1:10" ht="15.75" hidden="1" thickBot="1" x14ac:dyDescent="0.3">
      <c r="A2586" s="235"/>
      <c r="B2586" s="238"/>
      <c r="C2586" s="151"/>
      <c r="D2586" s="29"/>
      <c r="E2586" s="30"/>
      <c r="F2586" s="38" t="s">
        <v>418</v>
      </c>
      <c r="G2586" s="31" t="str">
        <f>IF(ISNUMBER(F2586),E2586*F2586,"")</f>
        <v/>
      </c>
      <c r="H2586" s="32"/>
      <c r="I2586" s="28"/>
      <c r="J2586" s="125">
        <v>0</v>
      </c>
    </row>
    <row r="2587" spans="1:10" ht="26.25" hidden="1" thickBot="1" x14ac:dyDescent="0.3">
      <c r="A2587" s="235"/>
      <c r="B2587" s="238"/>
      <c r="C2587" s="155" t="s">
        <v>10388</v>
      </c>
      <c r="D2587" s="155" t="s">
        <v>205</v>
      </c>
      <c r="E2587" s="34">
        <v>1</v>
      </c>
      <c r="F2587" s="28">
        <v>4.75</v>
      </c>
      <c r="G2587" s="31">
        <f>IF(ISNUMBER(F2587),E2587*F2587,"")</f>
        <v>4.75</v>
      </c>
      <c r="H2587" s="35">
        <f>SUM(G2587:G2587)</f>
        <v>4.75</v>
      </c>
      <c r="I2587" s="36"/>
      <c r="J2587" s="125">
        <v>0</v>
      </c>
    </row>
    <row r="2588" spans="1:10" ht="15.75" hidden="1" thickBot="1" x14ac:dyDescent="0.3">
      <c r="A2588" s="236"/>
      <c r="B2588" s="239"/>
      <c r="C2588" s="155"/>
      <c r="D2588" s="33"/>
      <c r="E2588" s="34"/>
      <c r="F2588" s="28" t="s">
        <v>418</v>
      </c>
      <c r="G2588" s="31" t="str">
        <f>IF(ISNUMBER(F2588),E2588*F2588,"")</f>
        <v/>
      </c>
      <c r="H2588" s="32"/>
      <c r="I2588" s="28"/>
      <c r="J2588" s="125">
        <v>0</v>
      </c>
    </row>
    <row r="2589" spans="1:10" ht="15.75" hidden="1" thickBot="1" x14ac:dyDescent="0.3">
      <c r="A2589" s="234" t="s">
        <v>641</v>
      </c>
      <c r="B2589" s="237" t="s">
        <v>20920</v>
      </c>
      <c r="C2589" s="160"/>
      <c r="D2589" s="23" t="s">
        <v>16</v>
      </c>
      <c r="E2589" s="24"/>
      <c r="F2589" s="37" t="s">
        <v>418</v>
      </c>
      <c r="G2589" s="25" t="str">
        <f>IF(ISNUMBER(F2589),E2589*F2589,"")</f>
        <v/>
      </c>
      <c r="H2589" s="26"/>
      <c r="I2589" s="27"/>
      <c r="J2589" s="125">
        <v>0</v>
      </c>
    </row>
    <row r="2590" spans="1:10" ht="15.75" hidden="1" thickBot="1" x14ac:dyDescent="0.3">
      <c r="A2590" s="235"/>
      <c r="B2590" s="238"/>
      <c r="C2590" s="151"/>
      <c r="D2590" s="29"/>
      <c r="E2590" s="30"/>
      <c r="F2590" s="38" t="s">
        <v>418</v>
      </c>
      <c r="G2590" s="31" t="str">
        <f>IF(ISNUMBER(F2590),E2590*F2590,"")</f>
        <v/>
      </c>
      <c r="H2590" s="32"/>
      <c r="I2590" s="28"/>
      <c r="J2590" s="125">
        <v>0</v>
      </c>
    </row>
    <row r="2591" spans="1:10" ht="26.25" hidden="1" thickBot="1" x14ac:dyDescent="0.3">
      <c r="A2591" s="235"/>
      <c r="B2591" s="238"/>
      <c r="C2591" s="155" t="s">
        <v>16218</v>
      </c>
      <c r="D2591" s="33" t="s">
        <v>97</v>
      </c>
      <c r="E2591" s="34">
        <v>1</v>
      </c>
      <c r="F2591" s="28">
        <v>0.95</v>
      </c>
      <c r="G2591" s="31">
        <f>IF(ISNUMBER(F2591),E2591*F2591,"")</f>
        <v>0.95</v>
      </c>
      <c r="H2591" s="35">
        <f>SUM(G2591:G2591)</f>
        <v>0.95</v>
      </c>
      <c r="I2591" s="36"/>
      <c r="J2591" s="125">
        <v>0</v>
      </c>
    </row>
    <row r="2592" spans="1:10" ht="15.75" hidden="1" thickBot="1" x14ac:dyDescent="0.3">
      <c r="A2592" s="236"/>
      <c r="B2592" s="239"/>
      <c r="C2592" s="155"/>
      <c r="D2592" s="33"/>
      <c r="E2592" s="34"/>
      <c r="F2592" s="28" t="s">
        <v>418</v>
      </c>
      <c r="G2592" s="31" t="str">
        <f>IF(ISNUMBER(F2592),E2592*F2592,"")</f>
        <v/>
      </c>
      <c r="H2592" s="32"/>
      <c r="I2592" s="28"/>
      <c r="J2592" s="125">
        <v>0</v>
      </c>
    </row>
    <row r="2593" spans="1:10" ht="15.75" hidden="1" thickBot="1" x14ac:dyDescent="0.3">
      <c r="A2593" s="234" t="s">
        <v>642</v>
      </c>
      <c r="B2593" s="237" t="s">
        <v>19743</v>
      </c>
      <c r="C2593" s="160"/>
      <c r="D2593" s="23" t="s">
        <v>69</v>
      </c>
      <c r="E2593" s="24"/>
      <c r="F2593" s="37" t="s">
        <v>418</v>
      </c>
      <c r="G2593" s="25" t="str">
        <f>IF(ISNUMBER(F2593),E2593*F2593,"")</f>
        <v/>
      </c>
      <c r="H2593" s="26"/>
      <c r="I2593" s="27"/>
      <c r="J2593" s="125">
        <v>0</v>
      </c>
    </row>
    <row r="2594" spans="1:10" ht="15.75" hidden="1" thickBot="1" x14ac:dyDescent="0.3">
      <c r="A2594" s="235"/>
      <c r="B2594" s="238"/>
      <c r="C2594" s="151"/>
      <c r="D2594" s="29"/>
      <c r="E2594" s="30"/>
      <c r="F2594" s="38" t="s">
        <v>418</v>
      </c>
      <c r="G2594" s="31" t="str">
        <f>IF(ISNUMBER(F2594),E2594*F2594,"")</f>
        <v/>
      </c>
      <c r="H2594" s="32"/>
      <c r="I2594" s="28"/>
      <c r="J2594" s="125">
        <v>0</v>
      </c>
    </row>
    <row r="2595" spans="1:10" ht="15.75" hidden="1" thickBot="1" x14ac:dyDescent="0.3">
      <c r="A2595" s="235"/>
      <c r="B2595" s="238"/>
      <c r="C2595" s="155" t="s">
        <v>1298</v>
      </c>
      <c r="D2595" s="155" t="s">
        <v>774</v>
      </c>
      <c r="E2595" s="34">
        <v>0.154</v>
      </c>
      <c r="F2595" s="28">
        <v>9.3384999999999998</v>
      </c>
      <c r="G2595" s="31">
        <f>IF(ISNUMBER(F2595),E2595*F2595,"")</f>
        <v>1.438129</v>
      </c>
      <c r="H2595" s="35">
        <f>SUM(G2595:G2595)</f>
        <v>1.438129</v>
      </c>
      <c r="I2595" s="36"/>
      <c r="J2595" s="125">
        <v>0</v>
      </c>
    </row>
    <row r="2596" spans="1:10" ht="15.75" hidden="1" thickBot="1" x14ac:dyDescent="0.3">
      <c r="A2596" s="236"/>
      <c r="B2596" s="239"/>
      <c r="C2596" s="155"/>
      <c r="D2596" s="33"/>
      <c r="E2596" s="34"/>
      <c r="F2596" s="28" t="s">
        <v>418</v>
      </c>
      <c r="G2596" s="31" t="str">
        <f>IF(ISNUMBER(F2596),E2596*F2596,"")</f>
        <v/>
      </c>
      <c r="H2596" s="32"/>
      <c r="I2596" s="28"/>
      <c r="J2596" s="125">
        <v>0</v>
      </c>
    </row>
    <row r="2597" spans="1:10" ht="15.75" hidden="1" thickBot="1" x14ac:dyDescent="0.3">
      <c r="A2597" s="234" t="s">
        <v>643</v>
      </c>
      <c r="B2597" s="237" t="s">
        <v>19744</v>
      </c>
      <c r="C2597" s="160"/>
      <c r="D2597" s="23" t="s">
        <v>69</v>
      </c>
      <c r="E2597" s="24"/>
      <c r="F2597" s="37" t="s">
        <v>418</v>
      </c>
      <c r="G2597" s="25" t="str">
        <f>IF(ISNUMBER(F2597),E2597*F2597,"")</f>
        <v/>
      </c>
      <c r="H2597" s="26"/>
      <c r="I2597" s="27"/>
      <c r="J2597" s="125">
        <v>0</v>
      </c>
    </row>
    <row r="2598" spans="1:10" ht="15.75" hidden="1" thickBot="1" x14ac:dyDescent="0.3">
      <c r="A2598" s="235"/>
      <c r="B2598" s="238"/>
      <c r="C2598" s="151"/>
      <c r="D2598" s="29"/>
      <c r="E2598" s="30"/>
      <c r="F2598" s="38" t="s">
        <v>418</v>
      </c>
      <c r="G2598" s="31" t="str">
        <f>IF(ISNUMBER(F2598),E2598*F2598,"")</f>
        <v/>
      </c>
      <c r="H2598" s="32"/>
      <c r="I2598" s="28"/>
      <c r="J2598" s="125">
        <v>0</v>
      </c>
    </row>
    <row r="2599" spans="1:10" ht="15.75" hidden="1" thickBot="1" x14ac:dyDescent="0.3">
      <c r="A2599" s="235"/>
      <c r="B2599" s="238"/>
      <c r="C2599" s="155" t="s">
        <v>644</v>
      </c>
      <c r="D2599" s="155" t="s">
        <v>774</v>
      </c>
      <c r="E2599" s="34">
        <v>0.245</v>
      </c>
      <c r="F2599" s="28">
        <v>10.412000000000001</v>
      </c>
      <c r="G2599" s="31">
        <f>IF(ISNUMBER(F2599),E2599*F2599,"")</f>
        <v>2.5509400000000002</v>
      </c>
      <c r="H2599" s="35">
        <f>SUM(G2599:G2599)</f>
        <v>2.5509400000000002</v>
      </c>
      <c r="I2599" s="36"/>
      <c r="J2599" s="125">
        <v>0</v>
      </c>
    </row>
    <row r="2600" spans="1:10" ht="15.75" hidden="1" thickBot="1" x14ac:dyDescent="0.3">
      <c r="A2600" s="236"/>
      <c r="B2600" s="239"/>
      <c r="C2600" s="155"/>
      <c r="D2600" s="33"/>
      <c r="E2600" s="34"/>
      <c r="F2600" s="28" t="s">
        <v>418</v>
      </c>
      <c r="G2600" s="31" t="str">
        <f>IF(ISNUMBER(F2600),E2600*F2600,"")</f>
        <v/>
      </c>
      <c r="H2600" s="32"/>
      <c r="I2600" s="28"/>
      <c r="J2600" s="125">
        <v>0</v>
      </c>
    </row>
    <row r="2601" spans="1:10" ht="15.75" hidden="1" thickBot="1" x14ac:dyDescent="0.3">
      <c r="A2601" s="234" t="s">
        <v>645</v>
      </c>
      <c r="B2601" s="237" t="s">
        <v>19745</v>
      </c>
      <c r="C2601" s="160"/>
      <c r="D2601" s="23" t="s">
        <v>69</v>
      </c>
      <c r="E2601" s="24"/>
      <c r="F2601" s="37" t="s">
        <v>418</v>
      </c>
      <c r="G2601" s="25" t="str">
        <f>IF(ISNUMBER(F2601),E2601*F2601,"")</f>
        <v/>
      </c>
      <c r="H2601" s="26"/>
      <c r="I2601" s="27"/>
      <c r="J2601" s="125">
        <v>0</v>
      </c>
    </row>
    <row r="2602" spans="1:10" ht="15.75" hidden="1" thickBot="1" x14ac:dyDescent="0.3">
      <c r="A2602" s="235"/>
      <c r="B2602" s="238"/>
      <c r="C2602" s="151"/>
      <c r="D2602" s="29"/>
      <c r="E2602" s="30"/>
      <c r="F2602" s="38" t="s">
        <v>418</v>
      </c>
      <c r="G2602" s="31" t="str">
        <f>IF(ISNUMBER(F2602),E2602*F2602,"")</f>
        <v/>
      </c>
      <c r="H2602" s="32"/>
      <c r="I2602" s="28"/>
      <c r="J2602" s="125">
        <v>0</v>
      </c>
    </row>
    <row r="2603" spans="1:10" ht="15.75" hidden="1" thickBot="1" x14ac:dyDescent="0.3">
      <c r="A2603" s="235"/>
      <c r="B2603" s="238"/>
      <c r="C2603" s="155" t="s">
        <v>646</v>
      </c>
      <c r="D2603" s="155" t="s">
        <v>774</v>
      </c>
      <c r="E2603" s="34">
        <v>0.39500000000000002</v>
      </c>
      <c r="F2603" s="28">
        <v>10.468999999999999</v>
      </c>
      <c r="G2603" s="31">
        <f>IF(ISNUMBER(F2603),E2603*F2603,"")</f>
        <v>4.1352549999999999</v>
      </c>
      <c r="H2603" s="35">
        <f>SUM(G2603:G2603)</f>
        <v>4.1352549999999999</v>
      </c>
      <c r="I2603" s="36"/>
      <c r="J2603" s="125">
        <v>0</v>
      </c>
    </row>
    <row r="2604" spans="1:10" ht="15.75" hidden="1" thickBot="1" x14ac:dyDescent="0.3">
      <c r="A2604" s="236"/>
      <c r="B2604" s="239"/>
      <c r="C2604" s="155"/>
      <c r="D2604" s="33"/>
      <c r="E2604" s="34"/>
      <c r="F2604" s="28" t="s">
        <v>418</v>
      </c>
      <c r="G2604" s="31" t="str">
        <f>IF(ISNUMBER(F2604),E2604*F2604,"")</f>
        <v/>
      </c>
      <c r="H2604" s="32"/>
      <c r="I2604" s="28"/>
      <c r="J2604" s="125">
        <v>0</v>
      </c>
    </row>
    <row r="2605" spans="1:10" ht="15.75" hidden="1" thickBot="1" x14ac:dyDescent="0.3">
      <c r="A2605" s="234" t="s">
        <v>647</v>
      </c>
      <c r="B2605" s="237" t="s">
        <v>19746</v>
      </c>
      <c r="C2605" s="160"/>
      <c r="D2605" s="23" t="s">
        <v>69</v>
      </c>
      <c r="E2605" s="24"/>
      <c r="F2605" s="37" t="s">
        <v>418</v>
      </c>
      <c r="G2605" s="25" t="str">
        <f>IF(ISNUMBER(F2605),E2605*F2605,"")</f>
        <v/>
      </c>
      <c r="H2605" s="26"/>
      <c r="I2605" s="27"/>
      <c r="J2605" s="125">
        <v>0</v>
      </c>
    </row>
    <row r="2606" spans="1:10" ht="15.75" hidden="1" thickBot="1" x14ac:dyDescent="0.3">
      <c r="A2606" s="235"/>
      <c r="B2606" s="238"/>
      <c r="C2606" s="151"/>
      <c r="D2606" s="29"/>
      <c r="E2606" s="30"/>
      <c r="F2606" s="38" t="s">
        <v>418</v>
      </c>
      <c r="G2606" s="31" t="str">
        <f>IF(ISNUMBER(F2606),E2606*F2606,"")</f>
        <v/>
      </c>
      <c r="H2606" s="32"/>
      <c r="I2606" s="28"/>
      <c r="J2606" s="125">
        <v>0</v>
      </c>
    </row>
    <row r="2607" spans="1:10" ht="15.75" hidden="1" thickBot="1" x14ac:dyDescent="0.3">
      <c r="A2607" s="235"/>
      <c r="B2607" s="238"/>
      <c r="C2607" s="155" t="s">
        <v>23416</v>
      </c>
      <c r="D2607" s="155" t="s">
        <v>774</v>
      </c>
      <c r="E2607" s="34">
        <v>0.61699999999999999</v>
      </c>
      <c r="F2607" s="28">
        <v>9.8704999999999998</v>
      </c>
      <c r="G2607" s="31">
        <f>IF(ISNUMBER(F2607),E2607*F2607,"")</f>
        <v>6.0900984999999999</v>
      </c>
      <c r="H2607" s="35">
        <f>SUM(G2607:G2607)</f>
        <v>6.0900984999999999</v>
      </c>
      <c r="I2607" s="36"/>
      <c r="J2607" s="125">
        <v>0</v>
      </c>
    </row>
    <row r="2608" spans="1:10" ht="15.75" hidden="1" thickBot="1" x14ac:dyDescent="0.3">
      <c r="A2608" s="236"/>
      <c r="B2608" s="239"/>
      <c r="C2608" s="155"/>
      <c r="D2608" s="33"/>
      <c r="E2608" s="34"/>
      <c r="F2608" s="28" t="s">
        <v>418</v>
      </c>
      <c r="G2608" s="31" t="str">
        <f>IF(ISNUMBER(F2608),E2608*F2608,"")</f>
        <v/>
      </c>
      <c r="H2608" s="32"/>
      <c r="I2608" s="28"/>
      <c r="J2608" s="125">
        <v>0</v>
      </c>
    </row>
    <row r="2609" spans="1:10" ht="15.75" hidden="1" thickBot="1" x14ac:dyDescent="0.3">
      <c r="A2609" s="234" t="s">
        <v>648</v>
      </c>
      <c r="B2609" s="237" t="s">
        <v>19747</v>
      </c>
      <c r="C2609" s="160"/>
      <c r="D2609" s="23" t="s">
        <v>69</v>
      </c>
      <c r="E2609" s="24"/>
      <c r="F2609" s="37" t="s">
        <v>418</v>
      </c>
      <c r="G2609" s="25" t="str">
        <f>IF(ISNUMBER(F2609),E2609*F2609,"")</f>
        <v/>
      </c>
      <c r="H2609" s="26"/>
      <c r="I2609" s="27"/>
      <c r="J2609" s="125">
        <v>0</v>
      </c>
    </row>
    <row r="2610" spans="1:10" ht="15.75" hidden="1" thickBot="1" x14ac:dyDescent="0.3">
      <c r="A2610" s="235"/>
      <c r="B2610" s="238"/>
      <c r="C2610" s="151"/>
      <c r="D2610" s="29"/>
      <c r="E2610" s="30"/>
      <c r="F2610" s="38" t="s">
        <v>418</v>
      </c>
      <c r="G2610" s="31" t="str">
        <f>IF(ISNUMBER(F2610),E2610*F2610,"")</f>
        <v/>
      </c>
      <c r="H2610" s="32"/>
      <c r="I2610" s="28"/>
      <c r="J2610" s="125">
        <v>0</v>
      </c>
    </row>
    <row r="2611" spans="1:10" ht="15.75" hidden="1" thickBot="1" x14ac:dyDescent="0.3">
      <c r="A2611" s="235"/>
      <c r="B2611" s="238"/>
      <c r="C2611" s="155" t="s">
        <v>649</v>
      </c>
      <c r="D2611" s="155" t="s">
        <v>774</v>
      </c>
      <c r="E2611" s="34">
        <v>0.96299999999999997</v>
      </c>
      <c r="F2611" s="28">
        <v>8.5499999999999989</v>
      </c>
      <c r="G2611" s="31">
        <f>IF(ISNUMBER(F2611),E2611*F2611,"")</f>
        <v>8.233649999999999</v>
      </c>
      <c r="H2611" s="35">
        <f>SUM(G2611:G2611)</f>
        <v>8.233649999999999</v>
      </c>
      <c r="I2611" s="36"/>
      <c r="J2611" s="125">
        <v>0</v>
      </c>
    </row>
    <row r="2612" spans="1:10" ht="15.75" hidden="1" thickBot="1" x14ac:dyDescent="0.3">
      <c r="A2612" s="236"/>
      <c r="B2612" s="239"/>
      <c r="C2612" s="155"/>
      <c r="D2612" s="33"/>
      <c r="E2612" s="34"/>
      <c r="F2612" s="28" t="s">
        <v>418</v>
      </c>
      <c r="G2612" s="31" t="str">
        <f>IF(ISNUMBER(F2612),E2612*F2612,"")</f>
        <v/>
      </c>
      <c r="H2612" s="32"/>
      <c r="I2612" s="28"/>
      <c r="J2612" s="125">
        <v>0</v>
      </c>
    </row>
    <row r="2613" spans="1:10" ht="15.75" hidden="1" thickBot="1" x14ac:dyDescent="0.3">
      <c r="A2613" s="234" t="s">
        <v>650</v>
      </c>
      <c r="B2613" s="237" t="s">
        <v>1618</v>
      </c>
      <c r="C2613" s="160"/>
      <c r="D2613" s="23" t="s">
        <v>28</v>
      </c>
      <c r="E2613" s="24"/>
      <c r="F2613" s="37" t="s">
        <v>418</v>
      </c>
      <c r="G2613" s="25" t="str">
        <f>IF(ISNUMBER(F2613),E2613*F2613,"")</f>
        <v/>
      </c>
      <c r="H2613" s="26"/>
      <c r="I2613" s="27"/>
      <c r="J2613" s="125">
        <v>0</v>
      </c>
    </row>
    <row r="2614" spans="1:10" ht="15.75" hidden="1" thickBot="1" x14ac:dyDescent="0.3">
      <c r="A2614" s="235"/>
      <c r="B2614" s="238"/>
      <c r="C2614" s="151"/>
      <c r="D2614" s="29"/>
      <c r="E2614" s="30"/>
      <c r="F2614" s="38" t="s">
        <v>418</v>
      </c>
      <c r="G2614" s="31" t="str">
        <f>IF(ISNUMBER(F2614),E2614*F2614,"")</f>
        <v/>
      </c>
      <c r="H2614" s="32"/>
      <c r="I2614" s="28"/>
      <c r="J2614" s="125">
        <v>0</v>
      </c>
    </row>
    <row r="2615" spans="1:10" ht="26.25" hidden="1" thickBot="1" x14ac:dyDescent="0.3">
      <c r="A2615" s="235"/>
      <c r="B2615" s="238"/>
      <c r="C2615" s="155" t="s">
        <v>10385</v>
      </c>
      <c r="D2615" s="155" t="s">
        <v>774</v>
      </c>
      <c r="E2615" s="34">
        <v>1</v>
      </c>
      <c r="F2615" s="28">
        <v>26.41</v>
      </c>
      <c r="G2615" s="31">
        <f>IF(ISNUMBER(F2615),E2615*F2615,"")</f>
        <v>26.41</v>
      </c>
      <c r="H2615" s="35">
        <f>SUM(G2615:G2615)</f>
        <v>26.41</v>
      </c>
      <c r="I2615" s="36"/>
      <c r="J2615" s="125">
        <v>0</v>
      </c>
    </row>
    <row r="2616" spans="1:10" ht="15.75" hidden="1" thickBot="1" x14ac:dyDescent="0.3">
      <c r="A2616" s="236"/>
      <c r="B2616" s="239"/>
      <c r="C2616" s="155"/>
      <c r="D2616" s="33"/>
      <c r="E2616" s="34"/>
      <c r="F2616" s="28" t="s">
        <v>418</v>
      </c>
      <c r="G2616" s="31" t="str">
        <f>IF(ISNUMBER(F2616),E2616*F2616,"")</f>
        <v/>
      </c>
      <c r="H2616" s="32"/>
      <c r="I2616" s="28"/>
      <c r="J2616" s="125">
        <v>0</v>
      </c>
    </row>
    <row r="2617" spans="1:10" ht="15.75" hidden="1" thickBot="1" x14ac:dyDescent="0.3">
      <c r="A2617" s="234" t="s">
        <v>651</v>
      </c>
      <c r="B2617" s="237" t="s">
        <v>1619</v>
      </c>
      <c r="C2617" s="160"/>
      <c r="D2617" s="23" t="s">
        <v>28</v>
      </c>
      <c r="E2617" s="24"/>
      <c r="F2617" s="37" t="s">
        <v>418</v>
      </c>
      <c r="G2617" s="25" t="str">
        <f>IF(ISNUMBER(F2617),E2617*F2617,"")</f>
        <v/>
      </c>
      <c r="H2617" s="26"/>
      <c r="I2617" s="27"/>
      <c r="J2617" s="125">
        <v>0</v>
      </c>
    </row>
    <row r="2618" spans="1:10" ht="15.75" hidden="1" thickBot="1" x14ac:dyDescent="0.3">
      <c r="A2618" s="235"/>
      <c r="B2618" s="238"/>
      <c r="C2618" s="151"/>
      <c r="D2618" s="29"/>
      <c r="E2618" s="30"/>
      <c r="F2618" s="38" t="s">
        <v>418</v>
      </c>
      <c r="G2618" s="31" t="str">
        <f>IF(ISNUMBER(F2618),E2618*F2618,"")</f>
        <v/>
      </c>
      <c r="H2618" s="32"/>
      <c r="I2618" s="28"/>
      <c r="J2618" s="125">
        <v>0</v>
      </c>
    </row>
    <row r="2619" spans="1:10" ht="26.25" hidden="1" thickBot="1" x14ac:dyDescent="0.3">
      <c r="A2619" s="235"/>
      <c r="B2619" s="238"/>
      <c r="C2619" s="155" t="s">
        <v>10232</v>
      </c>
      <c r="D2619" s="155" t="s">
        <v>774</v>
      </c>
      <c r="E2619" s="34">
        <v>1</v>
      </c>
      <c r="F2619" s="28">
        <v>60.619500000000002</v>
      </c>
      <c r="G2619" s="31">
        <f>IF(ISNUMBER(F2619),E2619*F2619,"")</f>
        <v>60.619500000000002</v>
      </c>
      <c r="H2619" s="35">
        <f>SUM(G2619:G2619)</f>
        <v>60.619500000000002</v>
      </c>
      <c r="I2619" s="36"/>
      <c r="J2619" s="125">
        <v>0</v>
      </c>
    </row>
    <row r="2620" spans="1:10" ht="15.75" hidden="1" thickBot="1" x14ac:dyDescent="0.3">
      <c r="A2620" s="236"/>
      <c r="B2620" s="239"/>
      <c r="C2620" s="155"/>
      <c r="D2620" s="33"/>
      <c r="E2620" s="34"/>
      <c r="F2620" s="28" t="s">
        <v>418</v>
      </c>
      <c r="G2620" s="31" t="str">
        <f>IF(ISNUMBER(F2620),E2620*F2620,"")</f>
        <v/>
      </c>
      <c r="H2620" s="32"/>
      <c r="I2620" s="28"/>
      <c r="J2620" s="125">
        <v>0</v>
      </c>
    </row>
    <row r="2621" spans="1:10" ht="15.75" hidden="1" thickBot="1" x14ac:dyDescent="0.3">
      <c r="A2621" s="234" t="s">
        <v>1620</v>
      </c>
      <c r="B2621" s="237" t="s">
        <v>1621</v>
      </c>
      <c r="C2621" s="160"/>
      <c r="D2621" s="23" t="s">
        <v>16</v>
      </c>
      <c r="E2621" s="24"/>
      <c r="F2621" s="37" t="s">
        <v>418</v>
      </c>
      <c r="G2621" s="25" t="str">
        <f>IF(ISNUMBER(F2621),E2621*F2621,"")</f>
        <v/>
      </c>
      <c r="H2621" s="26"/>
      <c r="I2621" s="27"/>
      <c r="J2621" s="125">
        <v>0</v>
      </c>
    </row>
    <row r="2622" spans="1:10" ht="15.75" hidden="1" thickBot="1" x14ac:dyDescent="0.3">
      <c r="A2622" s="235"/>
      <c r="B2622" s="238"/>
      <c r="C2622" s="151"/>
      <c r="D2622" s="29"/>
      <c r="E2622" s="30"/>
      <c r="F2622" s="38" t="s">
        <v>418</v>
      </c>
      <c r="G2622" s="31" t="str">
        <f>IF(ISNUMBER(F2622),E2622*F2622,"")</f>
        <v/>
      </c>
      <c r="H2622" s="32"/>
      <c r="I2622" s="28"/>
      <c r="J2622" s="125">
        <v>0</v>
      </c>
    </row>
    <row r="2623" spans="1:10" ht="26.25" hidden="1" thickBot="1" x14ac:dyDescent="0.3">
      <c r="A2623" s="235"/>
      <c r="B2623" s="238"/>
      <c r="C2623" s="155" t="s">
        <v>937</v>
      </c>
      <c r="D2623" s="155" t="s">
        <v>38831</v>
      </c>
      <c r="E2623" s="34">
        <v>1</v>
      </c>
      <c r="F2623" s="28">
        <v>39.225499999999997</v>
      </c>
      <c r="G2623" s="31">
        <f>IF(ISNUMBER(F2623),E2623*F2623,"")</f>
        <v>39.225499999999997</v>
      </c>
      <c r="H2623" s="35">
        <f>SUM(G2623:G2623)</f>
        <v>39.225499999999997</v>
      </c>
      <c r="I2623" s="36"/>
      <c r="J2623" s="125">
        <v>0</v>
      </c>
    </row>
    <row r="2624" spans="1:10" ht="15.75" hidden="1" thickBot="1" x14ac:dyDescent="0.3">
      <c r="A2624" s="236"/>
      <c r="B2624" s="239"/>
      <c r="C2624" s="155"/>
      <c r="D2624" s="33"/>
      <c r="E2624" s="34"/>
      <c r="F2624" s="28" t="s">
        <v>418</v>
      </c>
      <c r="G2624" s="31" t="str">
        <f>IF(ISNUMBER(F2624),E2624*F2624,"")</f>
        <v/>
      </c>
      <c r="H2624" s="32"/>
      <c r="I2624" s="28"/>
      <c r="J2624" s="125">
        <v>0</v>
      </c>
    </row>
    <row r="2625" spans="1:10" ht="15.75" hidden="1" thickBot="1" x14ac:dyDescent="0.3">
      <c r="A2625" s="234" t="s">
        <v>1622</v>
      </c>
      <c r="B2625" s="237" t="s">
        <v>1623</v>
      </c>
      <c r="C2625" s="160"/>
      <c r="D2625" s="23" t="s">
        <v>16</v>
      </c>
      <c r="E2625" s="24"/>
      <c r="F2625" s="37" t="s">
        <v>418</v>
      </c>
      <c r="G2625" s="25" t="str">
        <f>IF(ISNUMBER(F2625),E2625*F2625,"")</f>
        <v/>
      </c>
      <c r="H2625" s="26"/>
      <c r="I2625" s="27"/>
      <c r="J2625" s="125">
        <v>0</v>
      </c>
    </row>
    <row r="2626" spans="1:10" ht="15.75" hidden="1" thickBot="1" x14ac:dyDescent="0.3">
      <c r="A2626" s="235"/>
      <c r="B2626" s="238"/>
      <c r="C2626" s="151"/>
      <c r="D2626" s="29"/>
      <c r="E2626" s="30"/>
      <c r="F2626" s="38" t="s">
        <v>418</v>
      </c>
      <c r="G2626" s="31" t="str">
        <f>IF(ISNUMBER(F2626),E2626*F2626,"")</f>
        <v/>
      </c>
      <c r="H2626" s="32"/>
      <c r="I2626" s="28"/>
      <c r="J2626" s="125">
        <v>0</v>
      </c>
    </row>
    <row r="2627" spans="1:10" ht="15.75" hidden="1" thickBot="1" x14ac:dyDescent="0.3">
      <c r="A2627" s="235"/>
      <c r="B2627" s="238"/>
      <c r="C2627" s="155" t="s">
        <v>27384</v>
      </c>
      <c r="D2627" s="155" t="s">
        <v>205</v>
      </c>
      <c r="E2627" s="34">
        <v>1</v>
      </c>
      <c r="F2627" s="28">
        <v>25.916</v>
      </c>
      <c r="G2627" s="31">
        <f>IF(ISNUMBER(F2627),E2627*F2627,"")</f>
        <v>25.916</v>
      </c>
      <c r="H2627" s="35">
        <f>SUM(G2627:G2627)</f>
        <v>25.916</v>
      </c>
      <c r="I2627" s="36"/>
      <c r="J2627" s="125">
        <v>0</v>
      </c>
    </row>
    <row r="2628" spans="1:10" ht="15.75" hidden="1" thickBot="1" x14ac:dyDescent="0.3">
      <c r="A2628" s="236"/>
      <c r="B2628" s="239"/>
      <c r="C2628" s="155"/>
      <c r="D2628" s="33"/>
      <c r="E2628" s="34"/>
      <c r="F2628" s="28" t="s">
        <v>418</v>
      </c>
      <c r="G2628" s="31" t="str">
        <f>IF(ISNUMBER(F2628),E2628*F2628,"")</f>
        <v/>
      </c>
      <c r="H2628" s="32"/>
      <c r="I2628" s="28"/>
      <c r="J2628" s="125">
        <v>0</v>
      </c>
    </row>
    <row r="2629" spans="1:10" ht="15.75" hidden="1" thickBot="1" x14ac:dyDescent="0.3">
      <c r="A2629" s="234" t="s">
        <v>653</v>
      </c>
      <c r="B2629" s="237" t="s">
        <v>1624</v>
      </c>
      <c r="C2629" s="160"/>
      <c r="D2629" s="23" t="s">
        <v>76</v>
      </c>
      <c r="E2629" s="24"/>
      <c r="F2629" s="37" t="s">
        <v>418</v>
      </c>
      <c r="G2629" s="25" t="str">
        <f>IF(ISNUMBER(F2629),E2629*F2629,"")</f>
        <v/>
      </c>
      <c r="H2629" s="26"/>
      <c r="I2629" s="27"/>
      <c r="J2629" s="125">
        <v>0</v>
      </c>
    </row>
    <row r="2630" spans="1:10" ht="15.75" hidden="1" thickBot="1" x14ac:dyDescent="0.3">
      <c r="A2630" s="235"/>
      <c r="B2630" s="238"/>
      <c r="C2630" s="151"/>
      <c r="D2630" s="29"/>
      <c r="E2630" s="30"/>
      <c r="F2630" s="38" t="s">
        <v>418</v>
      </c>
      <c r="G2630" s="31" t="str">
        <f>IF(ISNUMBER(F2630),E2630*F2630,"")</f>
        <v/>
      </c>
      <c r="H2630" s="32"/>
      <c r="I2630" s="28"/>
      <c r="J2630" s="125">
        <v>0</v>
      </c>
    </row>
    <row r="2631" spans="1:10" ht="39" hidden="1" thickBot="1" x14ac:dyDescent="0.3">
      <c r="A2631" s="235"/>
      <c r="B2631" s="238"/>
      <c r="C2631" s="155" t="s">
        <v>654</v>
      </c>
      <c r="D2631" s="155" t="s">
        <v>76</v>
      </c>
      <c r="E2631" s="34">
        <v>1</v>
      </c>
      <c r="F2631" s="28">
        <v>8.1794999999999991</v>
      </c>
      <c r="G2631" s="31">
        <f>IF(ISNUMBER(F2631),E2631*F2631,"")</f>
        <v>8.1794999999999991</v>
      </c>
      <c r="H2631" s="35">
        <f>SUM(G2631:G2631)</f>
        <v>8.1794999999999991</v>
      </c>
      <c r="I2631" s="36"/>
      <c r="J2631" s="125">
        <v>0</v>
      </c>
    </row>
    <row r="2632" spans="1:10" ht="15.75" hidden="1" thickBot="1" x14ac:dyDescent="0.3">
      <c r="A2632" s="236"/>
      <c r="B2632" s="239"/>
      <c r="C2632" s="155"/>
      <c r="D2632" s="33"/>
      <c r="E2632" s="34"/>
      <c r="F2632" s="28" t="s">
        <v>418</v>
      </c>
      <c r="G2632" s="31" t="str">
        <f>IF(ISNUMBER(F2632),E2632*F2632,"")</f>
        <v/>
      </c>
      <c r="H2632" s="32"/>
      <c r="I2632" s="28"/>
      <c r="J2632" s="125">
        <v>0</v>
      </c>
    </row>
    <row r="2633" spans="1:10" ht="15.75" hidden="1" thickBot="1" x14ac:dyDescent="0.3">
      <c r="A2633" s="234" t="s">
        <v>1625</v>
      </c>
      <c r="B2633" s="237" t="s">
        <v>20921</v>
      </c>
      <c r="C2633" s="160"/>
      <c r="D2633" s="23" t="s">
        <v>70</v>
      </c>
      <c r="E2633" s="24"/>
      <c r="F2633" s="37" t="s">
        <v>418</v>
      </c>
      <c r="G2633" s="25" t="str">
        <f>IF(ISNUMBER(F2633),E2633*F2633,"")</f>
        <v/>
      </c>
      <c r="H2633" s="26"/>
      <c r="I2633" s="27"/>
      <c r="J2633" s="125">
        <v>0</v>
      </c>
    </row>
    <row r="2634" spans="1:10" ht="15.75" hidden="1" thickBot="1" x14ac:dyDescent="0.3">
      <c r="A2634" s="235"/>
      <c r="B2634" s="238"/>
      <c r="C2634" s="151"/>
      <c r="D2634" s="29"/>
      <c r="E2634" s="30"/>
      <c r="F2634" s="38" t="s">
        <v>418</v>
      </c>
      <c r="G2634" s="31" t="str">
        <f>IF(ISNUMBER(F2634),E2634*F2634,"")</f>
        <v/>
      </c>
      <c r="H2634" s="32"/>
      <c r="I2634" s="28"/>
      <c r="J2634" s="125">
        <v>0</v>
      </c>
    </row>
    <row r="2635" spans="1:10" ht="15.75" hidden="1" thickBot="1" x14ac:dyDescent="0.3">
      <c r="A2635" s="235"/>
      <c r="B2635" s="238"/>
      <c r="C2635" s="155" t="s">
        <v>11616</v>
      </c>
      <c r="D2635" s="155" t="s">
        <v>870</v>
      </c>
      <c r="E2635" s="34">
        <v>1</v>
      </c>
      <c r="F2635" s="28">
        <v>1.976</v>
      </c>
      <c r="G2635" s="31">
        <f>IF(ISNUMBER(F2635),E2635*F2635,"")</f>
        <v>1.976</v>
      </c>
      <c r="H2635" s="35">
        <f>SUM(G2635:G2635)</f>
        <v>1.976</v>
      </c>
      <c r="I2635" s="36"/>
      <c r="J2635" s="125">
        <v>0</v>
      </c>
    </row>
    <row r="2636" spans="1:10" ht="15.75" hidden="1" thickBot="1" x14ac:dyDescent="0.3">
      <c r="A2636" s="236"/>
      <c r="B2636" s="239"/>
      <c r="C2636" s="155"/>
      <c r="D2636" s="33"/>
      <c r="E2636" s="34"/>
      <c r="F2636" s="28" t="s">
        <v>418</v>
      </c>
      <c r="G2636" s="31" t="str">
        <f>IF(ISNUMBER(F2636),E2636*F2636,"")</f>
        <v/>
      </c>
      <c r="H2636" s="32"/>
      <c r="I2636" s="28"/>
      <c r="J2636" s="125">
        <v>0</v>
      </c>
    </row>
    <row r="2637" spans="1:10" s="144" customFormat="1" ht="15.75" hidden="1" thickBot="1" x14ac:dyDescent="0.3">
      <c r="A2637" s="234" t="s">
        <v>1626</v>
      </c>
      <c r="B2637" s="237" t="s">
        <v>20922</v>
      </c>
      <c r="C2637" s="160"/>
      <c r="D2637" s="145" t="s">
        <v>70</v>
      </c>
      <c r="E2637" s="146"/>
      <c r="F2637" s="37" t="s">
        <v>418</v>
      </c>
      <c r="G2637" s="147" t="str">
        <f>IF(ISNUMBER(F2637),E2637*F2637,"")</f>
        <v/>
      </c>
      <c r="H2637" s="148"/>
      <c r="I2637" s="149"/>
      <c r="J2637" s="125">
        <v>0</v>
      </c>
    </row>
    <row r="2638" spans="1:10" s="144" customFormat="1" ht="15.75" hidden="1" thickBot="1" x14ac:dyDescent="0.3">
      <c r="A2638" s="235"/>
      <c r="B2638" s="238"/>
      <c r="C2638" s="151"/>
      <c r="D2638" s="151"/>
      <c r="E2638" s="152"/>
      <c r="F2638" s="38" t="s">
        <v>418</v>
      </c>
      <c r="G2638" s="31" t="str">
        <f>IF(ISNUMBER(F2638),E2638*F2638,"")</f>
        <v/>
      </c>
      <c r="H2638" s="32"/>
      <c r="I2638" s="28"/>
      <c r="J2638" s="125">
        <v>0</v>
      </c>
    </row>
    <row r="2639" spans="1:10" s="144" customFormat="1" ht="15.75" hidden="1" thickBot="1" x14ac:dyDescent="0.3">
      <c r="A2639" s="235"/>
      <c r="B2639" s="238"/>
      <c r="C2639" s="155" t="s">
        <v>26077</v>
      </c>
      <c r="D2639" s="155" t="s">
        <v>870</v>
      </c>
      <c r="E2639" s="156">
        <v>1</v>
      </c>
      <c r="F2639" s="28">
        <v>1.4249999999999998</v>
      </c>
      <c r="G2639" s="31">
        <f>IF(ISNUMBER(F2639),E2639*F2639,"")</f>
        <v>1.4249999999999998</v>
      </c>
      <c r="H2639" s="35">
        <f>SUM(G2639:G2639)</f>
        <v>1.4249999999999998</v>
      </c>
      <c r="I2639" s="36"/>
      <c r="J2639" s="125">
        <v>0</v>
      </c>
    </row>
    <row r="2640" spans="1:10" s="144" customFormat="1" ht="15.75" hidden="1" thickBot="1" x14ac:dyDescent="0.3">
      <c r="A2640" s="236"/>
      <c r="B2640" s="239"/>
      <c r="C2640" s="155"/>
      <c r="D2640" s="155"/>
      <c r="E2640" s="156"/>
      <c r="F2640" s="28" t="s">
        <v>418</v>
      </c>
      <c r="G2640" s="31" t="str">
        <f>IF(ISNUMBER(F2640),E2640*F2640,"")</f>
        <v/>
      </c>
      <c r="H2640" s="32"/>
      <c r="I2640" s="28"/>
      <c r="J2640" s="125">
        <v>0</v>
      </c>
    </row>
    <row r="2641" spans="1:10" ht="15.75" hidden="1" thickBot="1" x14ac:dyDescent="0.3">
      <c r="A2641" s="234" t="s">
        <v>655</v>
      </c>
      <c r="B2641" s="237" t="s">
        <v>1627</v>
      </c>
      <c r="C2641" s="160"/>
      <c r="D2641" s="23" t="s">
        <v>1628</v>
      </c>
      <c r="E2641" s="24"/>
      <c r="F2641" s="37" t="s">
        <v>418</v>
      </c>
      <c r="G2641" s="25" t="str">
        <f>IF(ISNUMBER(F2641),E2641*F2641,"")</f>
        <v/>
      </c>
      <c r="H2641" s="26"/>
      <c r="I2641" s="27"/>
      <c r="J2641" s="125">
        <v>0</v>
      </c>
    </row>
    <row r="2642" spans="1:10" ht="15.75" hidden="1" thickBot="1" x14ac:dyDescent="0.3">
      <c r="A2642" s="235"/>
      <c r="B2642" s="238"/>
      <c r="C2642" s="151"/>
      <c r="D2642" s="29"/>
      <c r="E2642" s="30"/>
      <c r="F2642" s="38" t="s">
        <v>418</v>
      </c>
      <c r="G2642" s="31" t="str">
        <f>IF(ISNUMBER(F2642),E2642*F2642,"")</f>
        <v/>
      </c>
      <c r="H2642" s="32"/>
      <c r="I2642" s="28"/>
      <c r="J2642" s="125">
        <v>0</v>
      </c>
    </row>
    <row r="2643" spans="1:10" ht="26.25" hidden="1" thickBot="1" x14ac:dyDescent="0.3">
      <c r="A2643" s="235"/>
      <c r="B2643" s="238"/>
      <c r="C2643" s="155" t="s">
        <v>656</v>
      </c>
      <c r="D2643" s="155" t="s">
        <v>587</v>
      </c>
      <c r="E2643" s="130" t="e">
        <f>IF(#REF!="Desonerado",ROUND(220/(1+110.69%),4),ROUND(220/(1+82.01%),4))</f>
        <v>#REF!</v>
      </c>
      <c r="F2643" s="28">
        <v>122.71149999999999</v>
      </c>
      <c r="G2643" s="31" t="e">
        <f>IF(ISNUMBER(F2643),E2643*F2643,"")</f>
        <v>#REF!</v>
      </c>
      <c r="H2643" s="35" t="e">
        <f>SUM(G2643:G2643)</f>
        <v>#REF!</v>
      </c>
      <c r="I2643" s="36"/>
      <c r="J2643" s="125">
        <v>0</v>
      </c>
    </row>
    <row r="2644" spans="1:10" ht="15.75" hidden="1" thickBot="1" x14ac:dyDescent="0.3">
      <c r="A2644" s="235"/>
      <c r="B2644" s="238"/>
      <c r="C2644" s="155"/>
      <c r="D2644" s="42"/>
      <c r="E2644" s="34"/>
      <c r="F2644" s="28" t="s">
        <v>418</v>
      </c>
      <c r="G2644" s="31" t="str">
        <f>IF(ISNUMBER(F2644),E2644*F2644,"")</f>
        <v/>
      </c>
      <c r="H2644" s="32"/>
      <c r="I2644" s="36"/>
      <c r="J2644" s="125">
        <v>0</v>
      </c>
    </row>
    <row r="2645" spans="1:10" ht="26.25" hidden="1" thickBot="1" x14ac:dyDescent="0.3">
      <c r="A2645" s="235"/>
      <c r="B2645" s="238"/>
      <c r="C2645" s="43" t="s">
        <v>657</v>
      </c>
      <c r="D2645" s="42"/>
      <c r="E2645" s="34"/>
      <c r="F2645" s="28" t="s">
        <v>418</v>
      </c>
      <c r="G2645" s="31" t="str">
        <f>IF(ISNUMBER(F2645),E2645*F2645,"")</f>
        <v/>
      </c>
      <c r="H2645" s="32"/>
      <c r="I2645" s="36"/>
      <c r="J2645" s="125">
        <v>0</v>
      </c>
    </row>
    <row r="2646" spans="1:10" ht="15.75" hidden="1" thickBot="1" x14ac:dyDescent="0.3">
      <c r="A2646" s="236"/>
      <c r="B2646" s="239"/>
      <c r="C2646" s="155"/>
      <c r="D2646" s="33"/>
      <c r="E2646" s="34"/>
      <c r="F2646" s="28" t="s">
        <v>418</v>
      </c>
      <c r="G2646" s="31" t="str">
        <f>IF(ISNUMBER(F2646),E2646*F2646,"")</f>
        <v/>
      </c>
      <c r="H2646" s="32"/>
      <c r="I2646" s="28"/>
      <c r="J2646" s="125">
        <v>0</v>
      </c>
    </row>
    <row r="2647" spans="1:10" ht="15.75" hidden="1" thickBot="1" x14ac:dyDescent="0.3">
      <c r="A2647" s="234" t="s">
        <v>658</v>
      </c>
      <c r="B2647" s="237" t="s">
        <v>1629</v>
      </c>
      <c r="C2647" s="160"/>
      <c r="D2647" s="23" t="s">
        <v>1628</v>
      </c>
      <c r="E2647" s="24"/>
      <c r="F2647" s="37" t="s">
        <v>418</v>
      </c>
      <c r="G2647" s="25" t="str">
        <f>IF(ISNUMBER(F2647),E2647*F2647,"")</f>
        <v/>
      </c>
      <c r="H2647" s="26"/>
      <c r="I2647" s="27"/>
      <c r="J2647" s="125">
        <v>0</v>
      </c>
    </row>
    <row r="2648" spans="1:10" ht="15.75" hidden="1" thickBot="1" x14ac:dyDescent="0.3">
      <c r="A2648" s="249"/>
      <c r="B2648" s="238"/>
      <c r="C2648" s="151"/>
      <c r="D2648" s="29"/>
      <c r="E2648" s="30"/>
      <c r="F2648" s="38" t="s">
        <v>418</v>
      </c>
      <c r="G2648" s="31" t="str">
        <f>IF(ISNUMBER(F2648),E2648*F2648,"")</f>
        <v/>
      </c>
      <c r="H2648" s="32"/>
      <c r="I2648" s="28"/>
      <c r="J2648" s="125">
        <v>0</v>
      </c>
    </row>
    <row r="2649" spans="1:10" ht="15.75" hidden="1" thickBot="1" x14ac:dyDescent="0.3">
      <c r="A2649" s="249"/>
      <c r="B2649" s="238"/>
      <c r="C2649" s="155" t="s">
        <v>659</v>
      </c>
      <c r="D2649" s="155" t="s">
        <v>587</v>
      </c>
      <c r="E2649" s="130" t="e">
        <f>IF(#REF!="Desonerado",ROUND(220/(1+110.69%),4),ROUND(220/(1+82.01%),4))</f>
        <v>#REF!</v>
      </c>
      <c r="F2649" s="28">
        <v>16.900499999999997</v>
      </c>
      <c r="G2649" s="31" t="e">
        <f>IF(ISNUMBER(F2649),E2649*F2649,"")</f>
        <v>#REF!</v>
      </c>
      <c r="H2649" s="35" t="e">
        <f>SUM(G2649:G2649)</f>
        <v>#REF!</v>
      </c>
      <c r="I2649" s="36"/>
      <c r="J2649" s="125">
        <v>0</v>
      </c>
    </row>
    <row r="2650" spans="1:10" ht="15.75" hidden="1" thickBot="1" x14ac:dyDescent="0.3">
      <c r="A2650" s="249"/>
      <c r="B2650" s="238"/>
      <c r="C2650" s="155"/>
      <c r="D2650" s="42"/>
      <c r="E2650" s="34"/>
      <c r="F2650" s="28" t="s">
        <v>418</v>
      </c>
      <c r="G2650" s="31" t="str">
        <f>IF(ISNUMBER(F2650),E2650*F2650,"")</f>
        <v/>
      </c>
      <c r="H2650" s="35"/>
      <c r="I2650" s="36"/>
      <c r="J2650" s="125">
        <v>0</v>
      </c>
    </row>
    <row r="2651" spans="1:10" ht="26.25" hidden="1" thickBot="1" x14ac:dyDescent="0.3">
      <c r="A2651" s="249"/>
      <c r="B2651" s="238"/>
      <c r="C2651" s="43" t="s">
        <v>657</v>
      </c>
      <c r="D2651" s="42"/>
      <c r="E2651" s="34"/>
      <c r="F2651" s="28" t="s">
        <v>418</v>
      </c>
      <c r="G2651" s="31" t="str">
        <f>IF(ISNUMBER(F2651),E2651*F2651,"")</f>
        <v/>
      </c>
      <c r="H2651" s="35"/>
      <c r="I2651" s="36"/>
      <c r="J2651" s="125">
        <v>0</v>
      </c>
    </row>
    <row r="2652" spans="1:10" ht="15.75" hidden="1" thickBot="1" x14ac:dyDescent="0.3">
      <c r="A2652" s="250"/>
      <c r="B2652" s="239"/>
      <c r="C2652" s="155"/>
      <c r="D2652" s="33"/>
      <c r="E2652" s="34"/>
      <c r="F2652" s="28" t="s">
        <v>418</v>
      </c>
      <c r="G2652" s="31" t="str">
        <f>IF(ISNUMBER(F2652),E2652*F2652,"")</f>
        <v/>
      </c>
      <c r="H2652" s="32"/>
      <c r="I2652" s="28"/>
      <c r="J2652" s="125">
        <v>0</v>
      </c>
    </row>
    <row r="2653" spans="1:10" ht="15.75" hidden="1" thickBot="1" x14ac:dyDescent="0.3">
      <c r="A2653" s="234" t="s">
        <v>660</v>
      </c>
      <c r="B2653" s="237" t="s">
        <v>1630</v>
      </c>
      <c r="C2653" s="160"/>
      <c r="D2653" s="23" t="s">
        <v>1628</v>
      </c>
      <c r="E2653" s="24"/>
      <c r="F2653" s="37" t="s">
        <v>418</v>
      </c>
      <c r="G2653" s="25" t="str">
        <f>IF(ISNUMBER(F2653),E2653*F2653,"")</f>
        <v/>
      </c>
      <c r="H2653" s="26"/>
      <c r="I2653" s="27"/>
      <c r="J2653" s="125">
        <v>0</v>
      </c>
    </row>
    <row r="2654" spans="1:10" ht="15.75" hidden="1" thickBot="1" x14ac:dyDescent="0.3">
      <c r="A2654" s="235"/>
      <c r="B2654" s="238"/>
      <c r="C2654" s="151"/>
      <c r="D2654" s="29"/>
      <c r="E2654" s="30"/>
      <c r="F2654" s="38" t="s">
        <v>418</v>
      </c>
      <c r="G2654" s="31" t="str">
        <f>IF(ISNUMBER(F2654),E2654*F2654,"")</f>
        <v/>
      </c>
      <c r="H2654" s="32"/>
      <c r="I2654" s="28"/>
      <c r="J2654" s="125">
        <v>0</v>
      </c>
    </row>
    <row r="2655" spans="1:10" ht="15.75" hidden="1" thickBot="1" x14ac:dyDescent="0.3">
      <c r="A2655" s="235"/>
      <c r="B2655" s="238"/>
      <c r="C2655" s="155" t="s">
        <v>588</v>
      </c>
      <c r="D2655" s="155" t="s">
        <v>587</v>
      </c>
      <c r="E2655" s="130" t="e">
        <f>IF(#REF!="Desonerado",ROUND(220/(1+110.69%),4),ROUND(220/(1+82.01%),4))</f>
        <v>#REF!</v>
      </c>
      <c r="F2655" s="28">
        <v>19.189999999999998</v>
      </c>
      <c r="G2655" s="31" t="e">
        <f>IF(ISNUMBER(F2655),E2655*F2655,"")</f>
        <v>#REF!</v>
      </c>
      <c r="H2655" s="35" t="e">
        <f>SUM(G2655:G2655)</f>
        <v>#REF!</v>
      </c>
      <c r="I2655" s="36"/>
      <c r="J2655" s="125">
        <v>0</v>
      </c>
    </row>
    <row r="2656" spans="1:10" ht="15.75" hidden="1" thickBot="1" x14ac:dyDescent="0.3">
      <c r="A2656" s="235"/>
      <c r="B2656" s="238"/>
      <c r="C2656" s="155"/>
      <c r="D2656" s="42"/>
      <c r="E2656" s="34"/>
      <c r="F2656" s="28" t="s">
        <v>418</v>
      </c>
      <c r="G2656" s="31" t="str">
        <f>IF(ISNUMBER(F2656),E2656*F2656,"")</f>
        <v/>
      </c>
      <c r="H2656" s="35"/>
      <c r="I2656" s="36"/>
      <c r="J2656" s="125">
        <v>0</v>
      </c>
    </row>
    <row r="2657" spans="1:10" ht="26.25" hidden="1" thickBot="1" x14ac:dyDescent="0.3">
      <c r="A2657" s="235"/>
      <c r="B2657" s="238"/>
      <c r="C2657" s="43" t="s">
        <v>657</v>
      </c>
      <c r="D2657" s="42"/>
      <c r="E2657" s="34"/>
      <c r="F2657" s="28" t="s">
        <v>418</v>
      </c>
      <c r="G2657" s="31" t="str">
        <f>IF(ISNUMBER(F2657),E2657*F2657,"")</f>
        <v/>
      </c>
      <c r="H2657" s="35"/>
      <c r="I2657" s="36"/>
      <c r="J2657" s="125">
        <v>0</v>
      </c>
    </row>
    <row r="2658" spans="1:10" ht="15.75" hidden="1" thickBot="1" x14ac:dyDescent="0.3">
      <c r="A2658" s="236"/>
      <c r="B2658" s="239"/>
      <c r="C2658" s="155"/>
      <c r="D2658" s="33"/>
      <c r="E2658" s="34"/>
      <c r="F2658" s="28" t="s">
        <v>418</v>
      </c>
      <c r="G2658" s="31" t="str">
        <f>IF(ISNUMBER(F2658),E2658*F2658,"")</f>
        <v/>
      </c>
      <c r="H2658" s="32"/>
      <c r="I2658" s="28"/>
      <c r="J2658" s="125">
        <v>0</v>
      </c>
    </row>
    <row r="2659" spans="1:10" ht="15.75" hidden="1" thickBot="1" x14ac:dyDescent="0.3">
      <c r="A2659" s="234" t="s">
        <v>661</v>
      </c>
      <c r="B2659" s="237" t="s">
        <v>1631</v>
      </c>
      <c r="C2659" s="160"/>
      <c r="D2659" s="23" t="s">
        <v>1628</v>
      </c>
      <c r="E2659" s="24"/>
      <c r="F2659" s="37" t="s">
        <v>418</v>
      </c>
      <c r="G2659" s="25" t="str">
        <f>IF(ISNUMBER(F2659),E2659*F2659,"")</f>
        <v/>
      </c>
      <c r="H2659" s="26"/>
      <c r="I2659" s="27"/>
      <c r="J2659" s="125">
        <v>0</v>
      </c>
    </row>
    <row r="2660" spans="1:10" ht="15.75" hidden="1" thickBot="1" x14ac:dyDescent="0.3">
      <c r="A2660" s="235"/>
      <c r="B2660" s="238"/>
      <c r="C2660" s="151"/>
      <c r="D2660" s="29"/>
      <c r="E2660" s="30"/>
      <c r="F2660" s="38" t="s">
        <v>418</v>
      </c>
      <c r="G2660" s="31" t="str">
        <f>IF(ISNUMBER(F2660),E2660*F2660,"")</f>
        <v/>
      </c>
      <c r="H2660" s="32"/>
      <c r="I2660" s="28"/>
      <c r="J2660" s="125">
        <v>0</v>
      </c>
    </row>
    <row r="2661" spans="1:10" ht="15.75" hidden="1" thickBot="1" x14ac:dyDescent="0.3">
      <c r="A2661" s="235"/>
      <c r="B2661" s="238"/>
      <c r="C2661" s="155" t="s">
        <v>662</v>
      </c>
      <c r="D2661" s="155" t="s">
        <v>587</v>
      </c>
      <c r="E2661" s="130" t="e">
        <f>IF(#REF!="Desonerado",ROUND(220/(1+110.69%),4),ROUND(220/(1+82.01%),4))</f>
        <v>#REF!</v>
      </c>
      <c r="F2661" s="28">
        <v>24.367499999999996</v>
      </c>
      <c r="G2661" s="31" t="e">
        <f>IF(ISNUMBER(F2661),E2661*F2661,"")</f>
        <v>#REF!</v>
      </c>
      <c r="H2661" s="35" t="e">
        <f>SUM(G2661:G2661)</f>
        <v>#REF!</v>
      </c>
      <c r="I2661" s="36"/>
      <c r="J2661" s="125">
        <v>0</v>
      </c>
    </row>
    <row r="2662" spans="1:10" ht="15.75" hidden="1" thickBot="1" x14ac:dyDescent="0.3">
      <c r="A2662" s="235"/>
      <c r="B2662" s="238"/>
      <c r="C2662" s="155"/>
      <c r="D2662" s="42"/>
      <c r="E2662" s="34"/>
      <c r="F2662" s="28" t="s">
        <v>418</v>
      </c>
      <c r="G2662" s="31" t="str">
        <f>IF(ISNUMBER(F2662),E2662*F2662,"")</f>
        <v/>
      </c>
      <c r="H2662" s="35"/>
      <c r="I2662" s="36"/>
      <c r="J2662" s="125">
        <v>0</v>
      </c>
    </row>
    <row r="2663" spans="1:10" ht="26.25" hidden="1" thickBot="1" x14ac:dyDescent="0.3">
      <c r="A2663" s="235"/>
      <c r="B2663" s="238"/>
      <c r="C2663" s="43" t="s">
        <v>657</v>
      </c>
      <c r="D2663" s="42"/>
      <c r="E2663" s="34"/>
      <c r="F2663" s="28" t="s">
        <v>418</v>
      </c>
      <c r="G2663" s="31" t="str">
        <f>IF(ISNUMBER(F2663),E2663*F2663,"")</f>
        <v/>
      </c>
      <c r="H2663" s="35"/>
      <c r="I2663" s="36"/>
      <c r="J2663" s="125">
        <v>0</v>
      </c>
    </row>
    <row r="2664" spans="1:10" ht="15.75" hidden="1" thickBot="1" x14ac:dyDescent="0.3">
      <c r="A2664" s="236"/>
      <c r="B2664" s="239"/>
      <c r="C2664" s="155"/>
      <c r="D2664" s="33"/>
      <c r="E2664" s="34"/>
      <c r="F2664" s="28" t="s">
        <v>418</v>
      </c>
      <c r="G2664" s="31" t="str">
        <f>IF(ISNUMBER(F2664),E2664*F2664,"")</f>
        <v/>
      </c>
      <c r="H2664" s="32"/>
      <c r="I2664" s="28"/>
      <c r="J2664" s="125">
        <v>0</v>
      </c>
    </row>
    <row r="2665" spans="1:10" ht="15.75" hidden="1" thickBot="1" x14ac:dyDescent="0.3">
      <c r="A2665" s="234" t="s">
        <v>663</v>
      </c>
      <c r="B2665" s="237" t="s">
        <v>1632</v>
      </c>
      <c r="C2665" s="160"/>
      <c r="D2665" s="23" t="s">
        <v>1628</v>
      </c>
      <c r="E2665" s="24"/>
      <c r="F2665" s="37" t="s">
        <v>418</v>
      </c>
      <c r="G2665" s="25" t="str">
        <f>IF(ISNUMBER(F2665),E2665*F2665,"")</f>
        <v/>
      </c>
      <c r="H2665" s="26"/>
      <c r="I2665" s="27"/>
      <c r="J2665" s="125">
        <v>0</v>
      </c>
    </row>
    <row r="2666" spans="1:10" ht="15.75" hidden="1" thickBot="1" x14ac:dyDescent="0.3">
      <c r="A2666" s="235"/>
      <c r="B2666" s="238"/>
      <c r="C2666" s="151"/>
      <c r="D2666" s="29"/>
      <c r="E2666" s="30"/>
      <c r="F2666" s="38" t="s">
        <v>418</v>
      </c>
      <c r="G2666" s="31" t="str">
        <f>IF(ISNUMBER(F2666),E2666*F2666,"")</f>
        <v/>
      </c>
      <c r="H2666" s="32"/>
      <c r="I2666" s="28"/>
      <c r="J2666" s="125">
        <v>0</v>
      </c>
    </row>
    <row r="2667" spans="1:10" ht="15.75" hidden="1" thickBot="1" x14ac:dyDescent="0.3">
      <c r="A2667" s="235"/>
      <c r="B2667" s="238"/>
      <c r="C2667" s="155" t="s">
        <v>664</v>
      </c>
      <c r="D2667" s="155" t="s">
        <v>587</v>
      </c>
      <c r="E2667" s="130" t="e">
        <f>IF(#REF!="Desonerado",ROUND(220/(1+110.69%),4),ROUND(220/(1+82.01%),4))</f>
        <v>#REF!</v>
      </c>
      <c r="F2667" s="28">
        <v>19.189999999999998</v>
      </c>
      <c r="G2667" s="31" t="e">
        <f>IF(ISNUMBER(F2667),E2667*F2667,"")</f>
        <v>#REF!</v>
      </c>
      <c r="H2667" s="35" t="e">
        <f>SUM(G2667:G2667)</f>
        <v>#REF!</v>
      </c>
      <c r="I2667" s="36"/>
      <c r="J2667" s="125">
        <v>0</v>
      </c>
    </row>
    <row r="2668" spans="1:10" ht="15.75" hidden="1" thickBot="1" x14ac:dyDescent="0.3">
      <c r="A2668" s="235"/>
      <c r="B2668" s="238"/>
      <c r="C2668" s="155"/>
      <c r="D2668" s="42"/>
      <c r="E2668" s="34"/>
      <c r="F2668" s="28" t="s">
        <v>418</v>
      </c>
      <c r="G2668" s="31" t="str">
        <f>IF(ISNUMBER(F2668),E2668*F2668,"")</f>
        <v/>
      </c>
      <c r="H2668" s="35"/>
      <c r="I2668" s="36"/>
      <c r="J2668" s="125">
        <v>0</v>
      </c>
    </row>
    <row r="2669" spans="1:10" ht="26.25" hidden="1" thickBot="1" x14ac:dyDescent="0.3">
      <c r="A2669" s="235"/>
      <c r="B2669" s="238"/>
      <c r="C2669" s="43" t="s">
        <v>657</v>
      </c>
      <c r="D2669" s="42"/>
      <c r="E2669" s="34"/>
      <c r="F2669" s="28" t="s">
        <v>418</v>
      </c>
      <c r="G2669" s="31" t="str">
        <f>IF(ISNUMBER(F2669),E2669*F2669,"")</f>
        <v/>
      </c>
      <c r="H2669" s="35"/>
      <c r="I2669" s="36"/>
      <c r="J2669" s="125">
        <v>0</v>
      </c>
    </row>
    <row r="2670" spans="1:10" ht="15.75" hidden="1" thickBot="1" x14ac:dyDescent="0.3">
      <c r="A2670" s="236"/>
      <c r="B2670" s="239"/>
      <c r="C2670" s="155"/>
      <c r="D2670" s="33"/>
      <c r="E2670" s="34"/>
      <c r="F2670" s="28" t="s">
        <v>418</v>
      </c>
      <c r="G2670" s="31" t="str">
        <f>IF(ISNUMBER(F2670),E2670*F2670,"")</f>
        <v/>
      </c>
      <c r="H2670" s="32"/>
      <c r="I2670" s="28"/>
      <c r="J2670" s="125">
        <v>0</v>
      </c>
    </row>
    <row r="2671" spans="1:10" ht="15.75" hidden="1" thickBot="1" x14ac:dyDescent="0.3">
      <c r="A2671" s="234" t="s">
        <v>665</v>
      </c>
      <c r="B2671" s="237" t="s">
        <v>1633</v>
      </c>
      <c r="C2671" s="160"/>
      <c r="D2671" s="23" t="s">
        <v>1628</v>
      </c>
      <c r="E2671" s="24"/>
      <c r="F2671" s="37" t="s">
        <v>418</v>
      </c>
      <c r="G2671" s="25" t="str">
        <f>IF(ISNUMBER(F2671),E2671*F2671,"")</f>
        <v/>
      </c>
      <c r="H2671" s="26"/>
      <c r="I2671" s="27"/>
      <c r="J2671" s="125">
        <v>0</v>
      </c>
    </row>
    <row r="2672" spans="1:10" ht="15.75" hidden="1" thickBot="1" x14ac:dyDescent="0.3">
      <c r="A2672" s="235"/>
      <c r="B2672" s="238"/>
      <c r="C2672" s="151"/>
      <c r="D2672" s="29"/>
      <c r="E2672" s="30"/>
      <c r="F2672" s="38" t="s">
        <v>418</v>
      </c>
      <c r="G2672" s="31" t="str">
        <f>IF(ISNUMBER(F2672),E2672*F2672,"")</f>
        <v/>
      </c>
      <c r="H2672" s="32"/>
      <c r="I2672" s="28"/>
      <c r="J2672" s="125">
        <v>0</v>
      </c>
    </row>
    <row r="2673" spans="1:10" ht="15.75" hidden="1" thickBot="1" x14ac:dyDescent="0.3">
      <c r="A2673" s="235"/>
      <c r="B2673" s="238"/>
      <c r="C2673" s="155" t="s">
        <v>9782</v>
      </c>
      <c r="D2673" s="155" t="s">
        <v>587</v>
      </c>
      <c r="E2673" s="130" t="e">
        <f>IF(#REF!="Desonerado",ROUND(220/(1+110.69%),4),ROUND(220/(1+82.01%),4))</f>
        <v>#REF!</v>
      </c>
      <c r="F2673" s="28">
        <v>23.930499999999999</v>
      </c>
      <c r="G2673" s="31" t="e">
        <f>IF(ISNUMBER(F2673),E2673*F2673,"")</f>
        <v>#REF!</v>
      </c>
      <c r="H2673" s="35" t="e">
        <f>SUM(G2673:G2673)</f>
        <v>#REF!</v>
      </c>
      <c r="I2673" s="36"/>
      <c r="J2673" s="125">
        <v>0</v>
      </c>
    </row>
    <row r="2674" spans="1:10" ht="15.75" hidden="1" thickBot="1" x14ac:dyDescent="0.3">
      <c r="A2674" s="235"/>
      <c r="B2674" s="238"/>
      <c r="C2674" s="155"/>
      <c r="D2674" s="42"/>
      <c r="E2674" s="34"/>
      <c r="F2674" s="28" t="s">
        <v>418</v>
      </c>
      <c r="G2674" s="31" t="str">
        <f>IF(ISNUMBER(F2674),E2674*F2674,"")</f>
        <v/>
      </c>
      <c r="H2674" s="35"/>
      <c r="I2674" s="36"/>
      <c r="J2674" s="125">
        <v>0</v>
      </c>
    </row>
    <row r="2675" spans="1:10" ht="26.25" hidden="1" thickBot="1" x14ac:dyDescent="0.3">
      <c r="A2675" s="235"/>
      <c r="B2675" s="238"/>
      <c r="C2675" s="43" t="s">
        <v>657</v>
      </c>
      <c r="D2675" s="42"/>
      <c r="E2675" s="34"/>
      <c r="F2675" s="28" t="s">
        <v>418</v>
      </c>
      <c r="G2675" s="31" t="str">
        <f>IF(ISNUMBER(F2675),E2675*F2675,"")</f>
        <v/>
      </c>
      <c r="H2675" s="35"/>
      <c r="I2675" s="36"/>
      <c r="J2675" s="125">
        <v>0</v>
      </c>
    </row>
    <row r="2676" spans="1:10" ht="15.75" hidden="1" thickBot="1" x14ac:dyDescent="0.3">
      <c r="A2676" s="236"/>
      <c r="B2676" s="239"/>
      <c r="C2676" s="155"/>
      <c r="D2676" s="33"/>
      <c r="E2676" s="34"/>
      <c r="F2676" s="28" t="s">
        <v>418</v>
      </c>
      <c r="G2676" s="31" t="str">
        <f>IF(ISNUMBER(F2676),E2676*F2676,"")</f>
        <v/>
      </c>
      <c r="H2676" s="32"/>
      <c r="I2676" s="28"/>
      <c r="J2676" s="125">
        <v>0</v>
      </c>
    </row>
    <row r="2677" spans="1:10" ht="15.75" hidden="1" thickBot="1" x14ac:dyDescent="0.3">
      <c r="A2677" s="234" t="s">
        <v>666</v>
      </c>
      <c r="B2677" s="237" t="s">
        <v>1634</v>
      </c>
      <c r="C2677" s="160"/>
      <c r="D2677" s="23" t="s">
        <v>1628</v>
      </c>
      <c r="E2677" s="24"/>
      <c r="F2677" s="37" t="s">
        <v>418</v>
      </c>
      <c r="G2677" s="25" t="str">
        <f>IF(ISNUMBER(F2677),E2677*F2677,"")</f>
        <v/>
      </c>
      <c r="H2677" s="26"/>
      <c r="I2677" s="27"/>
      <c r="J2677" s="125">
        <v>0</v>
      </c>
    </row>
    <row r="2678" spans="1:10" ht="15.75" hidden="1" thickBot="1" x14ac:dyDescent="0.3">
      <c r="A2678" s="235"/>
      <c r="B2678" s="238"/>
      <c r="C2678" s="151"/>
      <c r="D2678" s="29"/>
      <c r="E2678" s="30"/>
      <c r="F2678" s="38" t="s">
        <v>418</v>
      </c>
      <c r="G2678" s="31" t="str">
        <f>IF(ISNUMBER(F2678),E2678*F2678,"")</f>
        <v/>
      </c>
      <c r="H2678" s="32"/>
      <c r="I2678" s="28"/>
      <c r="J2678" s="125">
        <v>0</v>
      </c>
    </row>
    <row r="2679" spans="1:10" ht="15.75" hidden="1" thickBot="1" x14ac:dyDescent="0.3">
      <c r="A2679" s="235"/>
      <c r="B2679" s="238"/>
      <c r="C2679" s="155" t="s">
        <v>9782</v>
      </c>
      <c r="D2679" s="155" t="s">
        <v>587</v>
      </c>
      <c r="E2679" s="130" t="e">
        <f>IF(#REF!="Desonerado",ROUND(220/(1+110.69%),4),ROUND(220/(1+82.01%),4))</f>
        <v>#REF!</v>
      </c>
      <c r="F2679" s="28">
        <v>23.930499999999999</v>
      </c>
      <c r="G2679" s="31" t="e">
        <f>IF(ISNUMBER(F2679),E2679*F2679,"")</f>
        <v>#REF!</v>
      </c>
      <c r="H2679" s="35" t="e">
        <f>SUM(G2679:G2679)</f>
        <v>#REF!</v>
      </c>
      <c r="I2679" s="36"/>
      <c r="J2679" s="125">
        <v>0</v>
      </c>
    </row>
    <row r="2680" spans="1:10" ht="15.75" hidden="1" thickBot="1" x14ac:dyDescent="0.3">
      <c r="A2680" s="235"/>
      <c r="B2680" s="238"/>
      <c r="C2680" s="155"/>
      <c r="D2680" s="42"/>
      <c r="E2680" s="34"/>
      <c r="F2680" s="28" t="s">
        <v>418</v>
      </c>
      <c r="G2680" s="31" t="str">
        <f>IF(ISNUMBER(F2680),E2680*F2680,"")</f>
        <v/>
      </c>
      <c r="H2680" s="35"/>
      <c r="I2680" s="36"/>
      <c r="J2680" s="125">
        <v>0</v>
      </c>
    </row>
    <row r="2681" spans="1:10" ht="26.25" hidden="1" thickBot="1" x14ac:dyDescent="0.3">
      <c r="A2681" s="235"/>
      <c r="B2681" s="238"/>
      <c r="C2681" s="43" t="s">
        <v>657</v>
      </c>
      <c r="D2681" s="42"/>
      <c r="E2681" s="34"/>
      <c r="F2681" s="28" t="s">
        <v>418</v>
      </c>
      <c r="G2681" s="31" t="str">
        <f>IF(ISNUMBER(F2681),E2681*F2681,"")</f>
        <v/>
      </c>
      <c r="H2681" s="35"/>
      <c r="I2681" s="36"/>
      <c r="J2681" s="125">
        <v>0</v>
      </c>
    </row>
    <row r="2682" spans="1:10" ht="15.75" hidden="1" thickBot="1" x14ac:dyDescent="0.3">
      <c r="A2682" s="236"/>
      <c r="B2682" s="239"/>
      <c r="C2682" s="155"/>
      <c r="D2682" s="33"/>
      <c r="E2682" s="34"/>
      <c r="F2682" s="28" t="s">
        <v>418</v>
      </c>
      <c r="G2682" s="31" t="str">
        <f>IF(ISNUMBER(F2682),E2682*F2682,"")</f>
        <v/>
      </c>
      <c r="H2682" s="32"/>
      <c r="I2682" s="28"/>
      <c r="J2682" s="125">
        <v>0</v>
      </c>
    </row>
    <row r="2683" spans="1:10" ht="15.75" hidden="1" thickBot="1" x14ac:dyDescent="0.3">
      <c r="A2683" s="234" t="s">
        <v>667</v>
      </c>
      <c r="B2683" s="237" t="s">
        <v>1635</v>
      </c>
      <c r="C2683" s="160"/>
      <c r="D2683" s="23" t="s">
        <v>1628</v>
      </c>
      <c r="E2683" s="24"/>
      <c r="F2683" s="37" t="s">
        <v>418</v>
      </c>
      <c r="G2683" s="25" t="str">
        <f>IF(ISNUMBER(F2683),E2683*F2683,"")</f>
        <v/>
      </c>
      <c r="H2683" s="26"/>
      <c r="I2683" s="27"/>
      <c r="J2683" s="125">
        <v>0</v>
      </c>
    </row>
    <row r="2684" spans="1:10" ht="15.75" hidden="1" thickBot="1" x14ac:dyDescent="0.3">
      <c r="A2684" s="235"/>
      <c r="B2684" s="238"/>
      <c r="C2684" s="151"/>
      <c r="D2684" s="29"/>
      <c r="E2684" s="30"/>
      <c r="F2684" s="38" t="s">
        <v>418</v>
      </c>
      <c r="G2684" s="31" t="str">
        <f>IF(ISNUMBER(F2684),E2684*F2684,"")</f>
        <v/>
      </c>
      <c r="H2684" s="32"/>
      <c r="I2684" s="28"/>
      <c r="J2684" s="125">
        <v>0</v>
      </c>
    </row>
    <row r="2685" spans="1:10" ht="15.75" hidden="1" thickBot="1" x14ac:dyDescent="0.3">
      <c r="A2685" s="235"/>
      <c r="B2685" s="238"/>
      <c r="C2685" s="155" t="s">
        <v>1048</v>
      </c>
      <c r="D2685" s="155" t="s">
        <v>587</v>
      </c>
      <c r="E2685" s="130" t="e">
        <f>IF(#REF!="Desonerado",ROUND(220/(1+110.69%),4),ROUND(220/(1+82.01%),4))</f>
        <v>#REF!</v>
      </c>
      <c r="F2685" s="28">
        <v>25.46</v>
      </c>
      <c r="G2685" s="31" t="e">
        <f>IF(ISNUMBER(F2685),E2685*F2685,"")</f>
        <v>#REF!</v>
      </c>
      <c r="H2685" s="35" t="e">
        <f>SUM(G2685:G2685)</f>
        <v>#REF!</v>
      </c>
      <c r="I2685" s="36"/>
      <c r="J2685" s="125">
        <v>0</v>
      </c>
    </row>
    <row r="2686" spans="1:10" ht="15.75" hidden="1" thickBot="1" x14ac:dyDescent="0.3">
      <c r="A2686" s="235"/>
      <c r="B2686" s="238"/>
      <c r="C2686" s="155"/>
      <c r="D2686" s="42"/>
      <c r="E2686" s="34"/>
      <c r="F2686" s="28" t="s">
        <v>418</v>
      </c>
      <c r="G2686" s="31" t="str">
        <f>IF(ISNUMBER(F2686),E2686*F2686,"")</f>
        <v/>
      </c>
      <c r="H2686" s="35"/>
      <c r="I2686" s="36"/>
      <c r="J2686" s="125">
        <v>0</v>
      </c>
    </row>
    <row r="2687" spans="1:10" ht="26.25" hidden="1" thickBot="1" x14ac:dyDescent="0.3">
      <c r="A2687" s="235"/>
      <c r="B2687" s="238"/>
      <c r="C2687" s="43" t="s">
        <v>657</v>
      </c>
      <c r="D2687" s="42"/>
      <c r="E2687" s="34"/>
      <c r="F2687" s="28" t="s">
        <v>418</v>
      </c>
      <c r="G2687" s="31" t="str">
        <f>IF(ISNUMBER(F2687),E2687*F2687,"")</f>
        <v/>
      </c>
      <c r="H2687" s="35"/>
      <c r="I2687" s="36"/>
      <c r="J2687" s="125">
        <v>0</v>
      </c>
    </row>
    <row r="2688" spans="1:10" ht="15.75" hidden="1" thickBot="1" x14ac:dyDescent="0.3">
      <c r="A2688" s="236"/>
      <c r="B2688" s="239"/>
      <c r="C2688" s="155"/>
      <c r="D2688" s="33"/>
      <c r="E2688" s="34"/>
      <c r="F2688" s="28" t="s">
        <v>418</v>
      </c>
      <c r="G2688" s="31" t="str">
        <f>IF(ISNUMBER(F2688),E2688*F2688,"")</f>
        <v/>
      </c>
      <c r="H2688" s="32"/>
      <c r="I2688" s="28"/>
      <c r="J2688" s="125">
        <v>0</v>
      </c>
    </row>
    <row r="2689" spans="1:10" ht="15.75" hidden="1" thickBot="1" x14ac:dyDescent="0.3">
      <c r="A2689" s="234" t="s">
        <v>668</v>
      </c>
      <c r="B2689" s="237" t="s">
        <v>1636</v>
      </c>
      <c r="C2689" s="160"/>
      <c r="D2689" s="23" t="s">
        <v>1628</v>
      </c>
      <c r="E2689" s="24"/>
      <c r="F2689" s="37" t="s">
        <v>418</v>
      </c>
      <c r="G2689" s="25" t="str">
        <f>IF(ISNUMBER(F2689),E2689*F2689,"")</f>
        <v/>
      </c>
      <c r="H2689" s="26"/>
      <c r="I2689" s="27"/>
      <c r="J2689" s="125">
        <v>0</v>
      </c>
    </row>
    <row r="2690" spans="1:10" ht="15.75" hidden="1" thickBot="1" x14ac:dyDescent="0.3">
      <c r="A2690" s="235"/>
      <c r="B2690" s="238"/>
      <c r="C2690" s="151"/>
      <c r="D2690" s="29"/>
      <c r="E2690" s="30"/>
      <c r="F2690" s="38" t="s">
        <v>418</v>
      </c>
      <c r="G2690" s="31" t="str">
        <f>IF(ISNUMBER(F2690),E2690*F2690,"")</f>
        <v/>
      </c>
      <c r="H2690" s="32"/>
      <c r="I2690" s="28"/>
      <c r="J2690" s="125">
        <v>0</v>
      </c>
    </row>
    <row r="2691" spans="1:10" ht="15.75" hidden="1" thickBot="1" x14ac:dyDescent="0.3">
      <c r="A2691" s="235"/>
      <c r="B2691" s="238"/>
      <c r="C2691" s="155" t="s">
        <v>9896</v>
      </c>
      <c r="D2691" s="155" t="s">
        <v>587</v>
      </c>
      <c r="E2691" s="130" t="e">
        <f>IF(#REF!="Desonerado",ROUND(220/(1+110.69%),4),ROUND(220/(1+82.01%),4))</f>
        <v>#REF!</v>
      </c>
      <c r="F2691" s="28">
        <v>40.792999999999999</v>
      </c>
      <c r="G2691" s="31" t="e">
        <f>IF(ISNUMBER(F2691),E2691*F2691,"")</f>
        <v>#REF!</v>
      </c>
      <c r="H2691" s="35" t="e">
        <f>SUM(G2691:G2691)</f>
        <v>#REF!</v>
      </c>
      <c r="I2691" s="36"/>
      <c r="J2691" s="125">
        <v>0</v>
      </c>
    </row>
    <row r="2692" spans="1:10" ht="15.75" hidden="1" thickBot="1" x14ac:dyDescent="0.3">
      <c r="A2692" s="235"/>
      <c r="B2692" s="238"/>
      <c r="C2692" s="155"/>
      <c r="D2692" s="42"/>
      <c r="E2692" s="34"/>
      <c r="F2692" s="28" t="s">
        <v>418</v>
      </c>
      <c r="G2692" s="31" t="str">
        <f>IF(ISNUMBER(F2692),E2692*F2692,"")</f>
        <v/>
      </c>
      <c r="H2692" s="35"/>
      <c r="I2692" s="36"/>
      <c r="J2692" s="125">
        <v>0</v>
      </c>
    </row>
    <row r="2693" spans="1:10" ht="26.25" hidden="1" thickBot="1" x14ac:dyDescent="0.3">
      <c r="A2693" s="235"/>
      <c r="B2693" s="238"/>
      <c r="C2693" s="43" t="s">
        <v>657</v>
      </c>
      <c r="D2693" s="42"/>
      <c r="E2693" s="34"/>
      <c r="F2693" s="28" t="s">
        <v>418</v>
      </c>
      <c r="G2693" s="31" t="str">
        <f>IF(ISNUMBER(F2693),E2693*F2693,"")</f>
        <v/>
      </c>
      <c r="H2693" s="35"/>
      <c r="I2693" s="36"/>
      <c r="J2693" s="125">
        <v>0</v>
      </c>
    </row>
    <row r="2694" spans="1:10" ht="15.75" hidden="1" thickBot="1" x14ac:dyDescent="0.3">
      <c r="A2694" s="236"/>
      <c r="B2694" s="239"/>
      <c r="C2694" s="155"/>
      <c r="D2694" s="33"/>
      <c r="E2694" s="34"/>
      <c r="F2694" s="28" t="s">
        <v>418</v>
      </c>
      <c r="G2694" s="31" t="str">
        <f>IF(ISNUMBER(F2694),E2694*F2694,"")</f>
        <v/>
      </c>
      <c r="H2694" s="32"/>
      <c r="I2694" s="28"/>
      <c r="J2694" s="125">
        <v>0</v>
      </c>
    </row>
    <row r="2695" spans="1:10" ht="15.75" hidden="1" thickBot="1" x14ac:dyDescent="0.3">
      <c r="A2695" s="234" t="s">
        <v>669</v>
      </c>
      <c r="B2695" s="237" t="s">
        <v>1637</v>
      </c>
      <c r="C2695" s="160"/>
      <c r="D2695" s="23" t="s">
        <v>1628</v>
      </c>
      <c r="E2695" s="24"/>
      <c r="F2695" s="37" t="s">
        <v>418</v>
      </c>
      <c r="G2695" s="25" t="str">
        <f>IF(ISNUMBER(F2695),E2695*F2695,"")</f>
        <v/>
      </c>
      <c r="H2695" s="26"/>
      <c r="I2695" s="27"/>
      <c r="J2695" s="125">
        <v>0</v>
      </c>
    </row>
    <row r="2696" spans="1:10" ht="15.75" hidden="1" thickBot="1" x14ac:dyDescent="0.3">
      <c r="A2696" s="235"/>
      <c r="B2696" s="238"/>
      <c r="C2696" s="151"/>
      <c r="D2696" s="29"/>
      <c r="E2696" s="30"/>
      <c r="F2696" s="38" t="s">
        <v>418</v>
      </c>
      <c r="G2696" s="31" t="str">
        <f>IF(ISNUMBER(F2696),E2696*F2696,"")</f>
        <v/>
      </c>
      <c r="H2696" s="32"/>
      <c r="I2696" s="28"/>
      <c r="J2696" s="125">
        <v>0</v>
      </c>
    </row>
    <row r="2697" spans="1:10" ht="15.75" hidden="1" thickBot="1" x14ac:dyDescent="0.3">
      <c r="A2697" s="235"/>
      <c r="B2697" s="238"/>
      <c r="C2697" s="155" t="s">
        <v>595</v>
      </c>
      <c r="D2697" s="155" t="s">
        <v>587</v>
      </c>
      <c r="E2697" s="130" t="e">
        <f>IF(#REF!="Desonerado",ROUND(220/(1+110.69%),4),ROUND(220/(1+82.01%),4))</f>
        <v>#REF!</v>
      </c>
      <c r="F2697" s="28">
        <v>25.65</v>
      </c>
      <c r="G2697" s="31" t="e">
        <f>IF(ISNUMBER(F2697),E2697*F2697,"")</f>
        <v>#REF!</v>
      </c>
      <c r="H2697" s="35" t="e">
        <f>SUM(G2697:G2697)</f>
        <v>#REF!</v>
      </c>
      <c r="I2697" s="36"/>
      <c r="J2697" s="125">
        <v>0</v>
      </c>
    </row>
    <row r="2698" spans="1:10" ht="15.75" hidden="1" thickBot="1" x14ac:dyDescent="0.3">
      <c r="A2698" s="235"/>
      <c r="B2698" s="238"/>
      <c r="C2698" s="155"/>
      <c r="D2698" s="42"/>
      <c r="E2698" s="34"/>
      <c r="F2698" s="28" t="s">
        <v>418</v>
      </c>
      <c r="G2698" s="31" t="str">
        <f>IF(ISNUMBER(F2698),E2698*F2698,"")</f>
        <v/>
      </c>
      <c r="H2698" s="35"/>
      <c r="I2698" s="36"/>
      <c r="J2698" s="125">
        <v>0</v>
      </c>
    </row>
    <row r="2699" spans="1:10" ht="26.25" hidden="1" thickBot="1" x14ac:dyDescent="0.3">
      <c r="A2699" s="235"/>
      <c r="B2699" s="238"/>
      <c r="C2699" s="43" t="s">
        <v>657</v>
      </c>
      <c r="D2699" s="42"/>
      <c r="E2699" s="34"/>
      <c r="F2699" s="28" t="s">
        <v>418</v>
      </c>
      <c r="G2699" s="31" t="str">
        <f>IF(ISNUMBER(F2699),E2699*F2699,"")</f>
        <v/>
      </c>
      <c r="H2699" s="35"/>
      <c r="I2699" s="36"/>
      <c r="J2699" s="125">
        <v>0</v>
      </c>
    </row>
    <row r="2700" spans="1:10" ht="15.75" hidden="1" thickBot="1" x14ac:dyDescent="0.3">
      <c r="A2700" s="236"/>
      <c r="B2700" s="239"/>
      <c r="C2700" s="155"/>
      <c r="D2700" s="33"/>
      <c r="E2700" s="34"/>
      <c r="F2700" s="28" t="s">
        <v>418</v>
      </c>
      <c r="G2700" s="31" t="str">
        <f>IF(ISNUMBER(F2700),E2700*F2700,"")</f>
        <v/>
      </c>
      <c r="H2700" s="32"/>
      <c r="I2700" s="28"/>
      <c r="J2700" s="125">
        <v>0</v>
      </c>
    </row>
    <row r="2701" spans="1:10" ht="15.75" hidden="1" thickBot="1" x14ac:dyDescent="0.3">
      <c r="A2701" s="241" t="s">
        <v>1638</v>
      </c>
      <c r="B2701" s="237" t="s">
        <v>23355</v>
      </c>
      <c r="C2701" s="160"/>
      <c r="D2701" s="23" t="s">
        <v>16</v>
      </c>
      <c r="E2701" s="24"/>
      <c r="F2701" s="44" t="s">
        <v>418</v>
      </c>
      <c r="G2701" s="25" t="str">
        <f>IF(ISNUMBER(F2701),E2701*F2701,"")</f>
        <v/>
      </c>
      <c r="H2701" s="26"/>
      <c r="I2701" s="27"/>
      <c r="J2701" s="125">
        <v>0</v>
      </c>
    </row>
    <row r="2702" spans="1:10" ht="15.75" hidden="1" thickBot="1" x14ac:dyDescent="0.3">
      <c r="A2702" s="247"/>
      <c r="B2702" s="240"/>
      <c r="C2702" s="135"/>
      <c r="D2702" s="135"/>
      <c r="E2702" s="136"/>
      <c r="F2702" s="49" t="s">
        <v>418</v>
      </c>
      <c r="G2702" s="49" t="str">
        <f>IF(ISNUMBER(F2702),E2702*F2702,"")</f>
        <v/>
      </c>
      <c r="H2702" s="65"/>
      <c r="I2702" s="66"/>
      <c r="J2702" s="125">
        <v>0</v>
      </c>
    </row>
    <row r="2703" spans="1:10" ht="15.75" hidden="1" thickBot="1" x14ac:dyDescent="0.3">
      <c r="A2703" s="247"/>
      <c r="B2703" s="240"/>
      <c r="C2703" s="155" t="s">
        <v>23526</v>
      </c>
      <c r="D2703" s="155" t="s">
        <v>205</v>
      </c>
      <c r="E2703" s="130">
        <v>1</v>
      </c>
      <c r="F2703" s="28">
        <v>42.778500000000001</v>
      </c>
      <c r="G2703" s="49">
        <f>IF(ISNUMBER(F2703),E2703*F2703,"")</f>
        <v>42.778500000000001</v>
      </c>
      <c r="H2703" s="35">
        <f>SUM(G2703:G2703)</f>
        <v>42.778500000000001</v>
      </c>
      <c r="I2703" s="36"/>
      <c r="J2703" s="125">
        <v>0</v>
      </c>
    </row>
    <row r="2704" spans="1:10" ht="15.75" hidden="1" thickBot="1" x14ac:dyDescent="0.3">
      <c r="A2704" s="248"/>
      <c r="B2704" s="239"/>
      <c r="C2704" s="164"/>
      <c r="D2704" s="132"/>
      <c r="E2704" s="61"/>
      <c r="F2704" s="68" t="s">
        <v>418</v>
      </c>
      <c r="G2704" s="68" t="str">
        <f>IF(ISNUMBER(F2704),E2704*F2704,"")</f>
        <v/>
      </c>
      <c r="H2704" s="69"/>
      <c r="I2704" s="66"/>
      <c r="J2704" s="125">
        <v>0</v>
      </c>
    </row>
    <row r="2705" spans="1:10" ht="15.75" hidden="1" thickBot="1" x14ac:dyDescent="0.3">
      <c r="A2705" s="241" t="s">
        <v>1639</v>
      </c>
      <c r="B2705" s="237" t="s">
        <v>1640</v>
      </c>
      <c r="C2705" s="160"/>
      <c r="D2705" s="23" t="s">
        <v>16</v>
      </c>
      <c r="E2705" s="24"/>
      <c r="F2705" s="44" t="s">
        <v>418</v>
      </c>
      <c r="G2705" s="25" t="str">
        <f>IF(ISNUMBER(F2705),E2705*F2705,"")</f>
        <v/>
      </c>
      <c r="H2705" s="26"/>
      <c r="I2705" s="27"/>
      <c r="J2705" s="125">
        <v>0</v>
      </c>
    </row>
    <row r="2706" spans="1:10" ht="15.75" hidden="1" thickBot="1" x14ac:dyDescent="0.3">
      <c r="A2706" s="247"/>
      <c r="B2706" s="240"/>
      <c r="C2706" s="135"/>
      <c r="D2706" s="135"/>
      <c r="E2706" s="136"/>
      <c r="F2706" s="49" t="s">
        <v>418</v>
      </c>
      <c r="G2706" s="49" t="str">
        <f>IF(ISNUMBER(F2706),E2706*F2706,"")</f>
        <v/>
      </c>
      <c r="H2706" s="65"/>
      <c r="I2706" s="66"/>
      <c r="J2706" s="125">
        <v>0</v>
      </c>
    </row>
    <row r="2707" spans="1:10" ht="26.25" hidden="1" thickBot="1" x14ac:dyDescent="0.3">
      <c r="A2707" s="247"/>
      <c r="B2707" s="240"/>
      <c r="C2707" s="155" t="s">
        <v>24432</v>
      </c>
      <c r="D2707" s="155" t="s">
        <v>205</v>
      </c>
      <c r="E2707" s="130">
        <v>1</v>
      </c>
      <c r="F2707" s="28">
        <v>259.29300000000001</v>
      </c>
      <c r="G2707" s="49">
        <f>IF(ISNUMBER(F2707),E2707*F2707,"")</f>
        <v>259.29300000000001</v>
      </c>
      <c r="H2707" s="35">
        <f>SUM(G2707:G2707)</f>
        <v>259.29300000000001</v>
      </c>
      <c r="I2707" s="36"/>
      <c r="J2707" s="125">
        <v>0</v>
      </c>
    </row>
    <row r="2708" spans="1:10" ht="15.75" hidden="1" thickBot="1" x14ac:dyDescent="0.3">
      <c r="A2708" s="248"/>
      <c r="B2708" s="239"/>
      <c r="C2708" s="164"/>
      <c r="D2708" s="132"/>
      <c r="E2708" s="61"/>
      <c r="F2708" s="68" t="s">
        <v>418</v>
      </c>
      <c r="G2708" s="68" t="str">
        <f>IF(ISNUMBER(F2708),E2708*F2708,"")</f>
        <v/>
      </c>
      <c r="H2708" s="69"/>
      <c r="I2708" s="66"/>
      <c r="J2708" s="125">
        <v>0</v>
      </c>
    </row>
    <row r="2709" spans="1:10" ht="15.75" hidden="1" thickBot="1" x14ac:dyDescent="0.3">
      <c r="A2709" s="241" t="s">
        <v>1642</v>
      </c>
      <c r="B2709" s="237" t="s">
        <v>1643</v>
      </c>
      <c r="C2709" s="160"/>
      <c r="D2709" s="23" t="s">
        <v>16</v>
      </c>
      <c r="E2709" s="24"/>
      <c r="F2709" s="44" t="s">
        <v>418</v>
      </c>
      <c r="G2709" s="25" t="str">
        <f>IF(ISNUMBER(F2709),E2709*F2709,"")</f>
        <v/>
      </c>
      <c r="H2709" s="26"/>
      <c r="I2709" s="27"/>
      <c r="J2709" s="125">
        <v>0</v>
      </c>
    </row>
    <row r="2710" spans="1:10" ht="15.75" hidden="1" thickBot="1" x14ac:dyDescent="0.3">
      <c r="A2710" s="247"/>
      <c r="B2710" s="240"/>
      <c r="C2710" s="135"/>
      <c r="D2710" s="135"/>
      <c r="E2710" s="136"/>
      <c r="F2710" s="49" t="s">
        <v>418</v>
      </c>
      <c r="G2710" s="49" t="str">
        <f>IF(ISNUMBER(F2710),E2710*F2710,"")</f>
        <v/>
      </c>
      <c r="H2710" s="65"/>
      <c r="I2710" s="66"/>
      <c r="J2710" s="125">
        <v>0</v>
      </c>
    </row>
    <row r="2711" spans="1:10" ht="15.75" hidden="1" thickBot="1" x14ac:dyDescent="0.3">
      <c r="A2711" s="247"/>
      <c r="B2711" s="240"/>
      <c r="C2711" s="155" t="s">
        <v>25317</v>
      </c>
      <c r="D2711" s="155" t="s">
        <v>205</v>
      </c>
      <c r="E2711" s="130">
        <v>1</v>
      </c>
      <c r="F2711" s="28">
        <v>64.239000000000004</v>
      </c>
      <c r="G2711" s="49">
        <f>IF(ISNUMBER(F2711),E2711*F2711,"")</f>
        <v>64.239000000000004</v>
      </c>
      <c r="H2711" s="35">
        <f>SUM(G2711:G2711)</f>
        <v>64.239000000000004</v>
      </c>
      <c r="I2711" s="36"/>
      <c r="J2711" s="125">
        <v>0</v>
      </c>
    </row>
    <row r="2712" spans="1:10" ht="15.75" hidden="1" thickBot="1" x14ac:dyDescent="0.3">
      <c r="A2712" s="248"/>
      <c r="B2712" s="239"/>
      <c r="C2712" s="164"/>
      <c r="D2712" s="132"/>
      <c r="E2712" s="61"/>
      <c r="F2712" s="68" t="s">
        <v>418</v>
      </c>
      <c r="G2712" s="68" t="str">
        <f>IF(ISNUMBER(F2712),E2712*F2712,"")</f>
        <v/>
      </c>
      <c r="H2712" s="69"/>
      <c r="I2712" s="66"/>
      <c r="J2712" s="125">
        <v>0</v>
      </c>
    </row>
    <row r="2713" spans="1:10" ht="15.75" hidden="1" thickBot="1" x14ac:dyDescent="0.3">
      <c r="A2713" s="241" t="s">
        <v>1647</v>
      </c>
      <c r="B2713" s="237" t="s">
        <v>1648</v>
      </c>
      <c r="C2713" s="160"/>
      <c r="D2713" s="23" t="s">
        <v>16</v>
      </c>
      <c r="E2713" s="24"/>
      <c r="F2713" s="44" t="s">
        <v>418</v>
      </c>
      <c r="G2713" s="25" t="str">
        <f>IF(ISNUMBER(F2713),E2713*F2713,"")</f>
        <v/>
      </c>
      <c r="H2713" s="26"/>
      <c r="I2713" s="27"/>
      <c r="J2713" s="125">
        <v>0</v>
      </c>
    </row>
    <row r="2714" spans="1:10" ht="15.75" hidden="1" thickBot="1" x14ac:dyDescent="0.3">
      <c r="A2714" s="247"/>
      <c r="B2714" s="240"/>
      <c r="C2714" s="135"/>
      <c r="D2714" s="135"/>
      <c r="E2714" s="136"/>
      <c r="F2714" s="49" t="s">
        <v>418</v>
      </c>
      <c r="G2714" s="49" t="str">
        <f>IF(ISNUMBER(F2714),E2714*F2714,"")</f>
        <v/>
      </c>
      <c r="H2714" s="65"/>
      <c r="I2714" s="66"/>
      <c r="J2714" s="125">
        <v>0</v>
      </c>
    </row>
    <row r="2715" spans="1:10" ht="15.75" hidden="1" thickBot="1" x14ac:dyDescent="0.3">
      <c r="A2715" s="247"/>
      <c r="B2715" s="240"/>
      <c r="C2715" s="155" t="s">
        <v>25378</v>
      </c>
      <c r="D2715" s="155" t="s">
        <v>205</v>
      </c>
      <c r="E2715" s="130">
        <v>1</v>
      </c>
      <c r="F2715" s="28">
        <v>25.934999999999999</v>
      </c>
      <c r="G2715" s="49">
        <f>IF(ISNUMBER(F2715),E2715*F2715,"")</f>
        <v>25.934999999999999</v>
      </c>
      <c r="H2715" s="35">
        <f>SUM(G2715:G2715)</f>
        <v>25.934999999999999</v>
      </c>
      <c r="I2715" s="36"/>
      <c r="J2715" s="125">
        <v>0</v>
      </c>
    </row>
    <row r="2716" spans="1:10" ht="15.75" hidden="1" thickBot="1" x14ac:dyDescent="0.3">
      <c r="A2716" s="248"/>
      <c r="B2716" s="239"/>
      <c r="C2716" s="164"/>
      <c r="D2716" s="132"/>
      <c r="E2716" s="61"/>
      <c r="F2716" s="68" t="s">
        <v>418</v>
      </c>
      <c r="G2716" s="68" t="str">
        <f>IF(ISNUMBER(F2716),E2716*F2716,"")</f>
        <v/>
      </c>
      <c r="H2716" s="69"/>
      <c r="I2716" s="66"/>
      <c r="J2716" s="125">
        <v>0</v>
      </c>
    </row>
    <row r="2717" spans="1:10" ht="15.75" hidden="1" thickBot="1" x14ac:dyDescent="0.3">
      <c r="A2717" s="234" t="s">
        <v>1649</v>
      </c>
      <c r="B2717" s="237" t="s">
        <v>13460</v>
      </c>
      <c r="C2717" s="160"/>
      <c r="D2717" s="23" t="s">
        <v>16</v>
      </c>
      <c r="E2717" s="24"/>
      <c r="F2717" s="44" t="s">
        <v>418</v>
      </c>
      <c r="G2717" s="25" t="str">
        <f>IF(ISNUMBER(F2717),E2717*F2717,"")</f>
        <v/>
      </c>
      <c r="H2717" s="26"/>
      <c r="I2717" s="27"/>
      <c r="J2717" s="125">
        <v>0</v>
      </c>
    </row>
    <row r="2718" spans="1:10" ht="15.75" hidden="1" thickBot="1" x14ac:dyDescent="0.3">
      <c r="A2718" s="235"/>
      <c r="B2718" s="238"/>
      <c r="C2718" s="135"/>
      <c r="D2718" s="135"/>
      <c r="E2718" s="136"/>
      <c r="F2718" s="49" t="s">
        <v>418</v>
      </c>
      <c r="G2718" s="49" t="str">
        <f>IF(ISNUMBER(F2718),E2718*F2718,"")</f>
        <v/>
      </c>
      <c r="H2718" s="65"/>
      <c r="I2718" s="28"/>
      <c r="J2718" s="125">
        <v>0</v>
      </c>
    </row>
    <row r="2719" spans="1:10" ht="15.75" hidden="1" thickBot="1" x14ac:dyDescent="0.3">
      <c r="A2719" s="235"/>
      <c r="B2719" s="238"/>
      <c r="C2719" s="155" t="s">
        <v>25393</v>
      </c>
      <c r="D2719" s="155" t="s">
        <v>205</v>
      </c>
      <c r="E2719" s="130">
        <v>1</v>
      </c>
      <c r="F2719" s="28">
        <v>41.210999999999999</v>
      </c>
      <c r="G2719" s="49">
        <f>IF(ISNUMBER(F2719),E2719*F2719,"")</f>
        <v>41.210999999999999</v>
      </c>
      <c r="H2719" s="35">
        <f>SUM(G2719:G2719)</f>
        <v>41.210999999999999</v>
      </c>
      <c r="I2719" s="36"/>
      <c r="J2719" s="125">
        <v>0</v>
      </c>
    </row>
    <row r="2720" spans="1:10" ht="15.75" hidden="1" thickBot="1" x14ac:dyDescent="0.3">
      <c r="A2720" s="236"/>
      <c r="B2720" s="239"/>
      <c r="C2720" s="155"/>
      <c r="D2720" s="33"/>
      <c r="E2720" s="34"/>
      <c r="F2720" s="28" t="s">
        <v>418</v>
      </c>
      <c r="G2720" s="31" t="str">
        <f>IF(ISNUMBER(F2720),E2720*F2720,"")</f>
        <v/>
      </c>
      <c r="H2720" s="32"/>
      <c r="I2720" s="28"/>
      <c r="J2720" s="125">
        <v>0</v>
      </c>
    </row>
    <row r="2721" spans="1:10" ht="15.75" hidden="1" thickBot="1" x14ac:dyDescent="0.3">
      <c r="A2721" s="241" t="s">
        <v>1656</v>
      </c>
      <c r="B2721" s="237" t="s">
        <v>1657</v>
      </c>
      <c r="C2721" s="160"/>
      <c r="D2721" s="23" t="s">
        <v>16</v>
      </c>
      <c r="E2721" s="24"/>
      <c r="F2721" s="44" t="s">
        <v>418</v>
      </c>
      <c r="G2721" s="25" t="str">
        <f>IF(ISNUMBER(F2721),E2721*F2721,"")</f>
        <v/>
      </c>
      <c r="H2721" s="26"/>
      <c r="I2721" s="27"/>
      <c r="J2721" s="125">
        <v>0</v>
      </c>
    </row>
    <row r="2722" spans="1:10" ht="15.75" hidden="1" thickBot="1" x14ac:dyDescent="0.3">
      <c r="A2722" s="247"/>
      <c r="B2722" s="240"/>
      <c r="C2722" s="135"/>
      <c r="D2722" s="135"/>
      <c r="E2722" s="136"/>
      <c r="F2722" s="49" t="s">
        <v>418</v>
      </c>
      <c r="G2722" s="49" t="str">
        <f>IF(ISNUMBER(F2722),E2722*F2722,"")</f>
        <v/>
      </c>
      <c r="H2722" s="65"/>
      <c r="I2722" s="66"/>
      <c r="J2722" s="125">
        <v>0</v>
      </c>
    </row>
    <row r="2723" spans="1:10" ht="15.75" hidden="1" thickBot="1" x14ac:dyDescent="0.3">
      <c r="A2723" s="247"/>
      <c r="B2723" s="240"/>
      <c r="C2723" s="155" t="s">
        <v>27128</v>
      </c>
      <c r="D2723" s="155" t="s">
        <v>205</v>
      </c>
      <c r="E2723" s="130">
        <v>1</v>
      </c>
      <c r="F2723" s="28">
        <v>52.126499999999993</v>
      </c>
      <c r="G2723" s="49">
        <f>IF(ISNUMBER(F2723),E2723*F2723,"")</f>
        <v>52.126499999999993</v>
      </c>
      <c r="H2723" s="35">
        <f>SUM(G2723:G2723)</f>
        <v>52.126499999999993</v>
      </c>
      <c r="I2723" s="36"/>
      <c r="J2723" s="125">
        <v>0</v>
      </c>
    </row>
    <row r="2724" spans="1:10" ht="15.75" hidden="1" thickBot="1" x14ac:dyDescent="0.3">
      <c r="A2724" s="248"/>
      <c r="B2724" s="239"/>
      <c r="C2724" s="164"/>
      <c r="D2724" s="132"/>
      <c r="E2724" s="61"/>
      <c r="F2724" s="68" t="s">
        <v>418</v>
      </c>
      <c r="G2724" s="68" t="str">
        <f>IF(ISNUMBER(F2724),E2724*F2724,"")</f>
        <v/>
      </c>
      <c r="H2724" s="69"/>
      <c r="I2724" s="66"/>
      <c r="J2724" s="125">
        <v>0</v>
      </c>
    </row>
    <row r="2725" spans="1:10" ht="15.75" hidden="1" thickBot="1" x14ac:dyDescent="0.3">
      <c r="A2725" s="234" t="s">
        <v>1658</v>
      </c>
      <c r="B2725" s="237" t="s">
        <v>1659</v>
      </c>
      <c r="C2725" s="160"/>
      <c r="D2725" s="23" t="s">
        <v>16</v>
      </c>
      <c r="E2725" s="24"/>
      <c r="F2725" s="44" t="s">
        <v>418</v>
      </c>
      <c r="G2725" s="25" t="str">
        <f>IF(ISNUMBER(F2725),E2725*F2725,"")</f>
        <v/>
      </c>
      <c r="H2725" s="26"/>
      <c r="I2725" s="27"/>
      <c r="J2725" s="125">
        <v>0</v>
      </c>
    </row>
    <row r="2726" spans="1:10" ht="15.75" hidden="1" thickBot="1" x14ac:dyDescent="0.3">
      <c r="A2726" s="235"/>
      <c r="B2726" s="238"/>
      <c r="C2726" s="135"/>
      <c r="D2726" s="135"/>
      <c r="E2726" s="136"/>
      <c r="F2726" s="49" t="s">
        <v>418</v>
      </c>
      <c r="G2726" s="49" t="str">
        <f>IF(ISNUMBER(F2726),E2726*F2726,"")</f>
        <v/>
      </c>
      <c r="H2726" s="65"/>
      <c r="I2726" s="28"/>
      <c r="J2726" s="125">
        <v>0</v>
      </c>
    </row>
    <row r="2727" spans="1:10" ht="15.75" hidden="1" thickBot="1" x14ac:dyDescent="0.3">
      <c r="A2727" s="235"/>
      <c r="B2727" s="238"/>
      <c r="C2727" s="155" t="s">
        <v>27129</v>
      </c>
      <c r="D2727" s="155" t="s">
        <v>205</v>
      </c>
      <c r="E2727" s="130">
        <v>1</v>
      </c>
      <c r="F2727" s="28">
        <v>59.432000000000002</v>
      </c>
      <c r="G2727" s="49">
        <f>IF(ISNUMBER(F2727),E2727*F2727,"")</f>
        <v>59.432000000000002</v>
      </c>
      <c r="H2727" s="35">
        <f>SUM(G2727:G2727)</f>
        <v>59.432000000000002</v>
      </c>
      <c r="I2727" s="36"/>
      <c r="J2727" s="125">
        <v>0</v>
      </c>
    </row>
    <row r="2728" spans="1:10" ht="15.75" hidden="1" thickBot="1" x14ac:dyDescent="0.3">
      <c r="A2728" s="236"/>
      <c r="B2728" s="239"/>
      <c r="C2728" s="155"/>
      <c r="D2728" s="33"/>
      <c r="E2728" s="34"/>
      <c r="F2728" s="28" t="s">
        <v>418</v>
      </c>
      <c r="G2728" s="31" t="str">
        <f>IF(ISNUMBER(F2728),E2728*F2728,"")</f>
        <v/>
      </c>
      <c r="H2728" s="32"/>
      <c r="I2728" s="28"/>
      <c r="J2728" s="125">
        <v>0</v>
      </c>
    </row>
    <row r="2729" spans="1:10" ht="15.75" hidden="1" thickBot="1" x14ac:dyDescent="0.3">
      <c r="A2729" s="234" t="s">
        <v>1661</v>
      </c>
      <c r="B2729" s="237" t="s">
        <v>19749</v>
      </c>
      <c r="C2729" s="160"/>
      <c r="D2729" s="23" t="s">
        <v>16</v>
      </c>
      <c r="E2729" s="24"/>
      <c r="F2729" s="44" t="s">
        <v>418</v>
      </c>
      <c r="G2729" s="25" t="str">
        <f>IF(ISNUMBER(F2729),E2729*F2729,"")</f>
        <v/>
      </c>
      <c r="H2729" s="26"/>
      <c r="I2729" s="27"/>
      <c r="J2729" s="125">
        <v>0</v>
      </c>
    </row>
    <row r="2730" spans="1:10" ht="15.75" hidden="1" thickBot="1" x14ac:dyDescent="0.3">
      <c r="A2730" s="235"/>
      <c r="B2730" s="238"/>
      <c r="C2730" s="135"/>
      <c r="D2730" s="135"/>
      <c r="E2730" s="136"/>
      <c r="F2730" s="49" t="s">
        <v>418</v>
      </c>
      <c r="G2730" s="49" t="str">
        <f>IF(ISNUMBER(F2730),E2730*F2730,"")</f>
        <v/>
      </c>
      <c r="H2730" s="65"/>
      <c r="I2730" s="28"/>
      <c r="J2730" s="125">
        <v>0</v>
      </c>
    </row>
    <row r="2731" spans="1:10" ht="15.75" hidden="1" thickBot="1" x14ac:dyDescent="0.3">
      <c r="A2731" s="235"/>
      <c r="B2731" s="238"/>
      <c r="C2731" s="155" t="s">
        <v>27265</v>
      </c>
      <c r="D2731" s="155" t="s">
        <v>385</v>
      </c>
      <c r="E2731" s="130">
        <v>2</v>
      </c>
      <c r="F2731" s="28">
        <v>69.739499999999992</v>
      </c>
      <c r="G2731" s="49">
        <f>IF(ISNUMBER(F2731),E2731*F2731,"")</f>
        <v>139.47899999999998</v>
      </c>
      <c r="H2731" s="35">
        <f>SUM(G2731:G2731)</f>
        <v>139.47899999999998</v>
      </c>
      <c r="I2731" s="36"/>
      <c r="J2731" s="125">
        <v>0</v>
      </c>
    </row>
    <row r="2732" spans="1:10" ht="15.75" hidden="1" thickBot="1" x14ac:dyDescent="0.3">
      <c r="A2732" s="236"/>
      <c r="B2732" s="239"/>
      <c r="C2732" s="155"/>
      <c r="D2732" s="33"/>
      <c r="E2732" s="34"/>
      <c r="F2732" s="28" t="s">
        <v>418</v>
      </c>
      <c r="G2732" s="31" t="str">
        <f>IF(ISNUMBER(F2732),E2732*F2732,"")</f>
        <v/>
      </c>
      <c r="H2732" s="32"/>
      <c r="I2732" s="28"/>
      <c r="J2732" s="125">
        <v>0</v>
      </c>
    </row>
    <row r="2733" spans="1:10" ht="15.75" hidden="1" thickBot="1" x14ac:dyDescent="0.3">
      <c r="A2733" s="241" t="s">
        <v>1665</v>
      </c>
      <c r="B2733" s="237" t="s">
        <v>1666</v>
      </c>
      <c r="C2733" s="160"/>
      <c r="D2733" s="23" t="s">
        <v>16</v>
      </c>
      <c r="E2733" s="24"/>
      <c r="F2733" s="44" t="s">
        <v>418</v>
      </c>
      <c r="G2733" s="25" t="str">
        <f>IF(ISNUMBER(F2733),E2733*F2733,"")</f>
        <v/>
      </c>
      <c r="H2733" s="26"/>
      <c r="I2733" s="27"/>
      <c r="J2733" s="125">
        <v>0</v>
      </c>
    </row>
    <row r="2734" spans="1:10" ht="15.75" hidden="1" thickBot="1" x14ac:dyDescent="0.3">
      <c r="A2734" s="247"/>
      <c r="B2734" s="240"/>
      <c r="C2734" s="135"/>
      <c r="D2734" s="135"/>
      <c r="E2734" s="136"/>
      <c r="F2734" s="49" t="s">
        <v>418</v>
      </c>
      <c r="G2734" s="49" t="str">
        <f>IF(ISNUMBER(F2734),E2734*F2734,"")</f>
        <v/>
      </c>
      <c r="H2734" s="65"/>
      <c r="I2734" s="66"/>
      <c r="J2734" s="125">
        <v>0</v>
      </c>
    </row>
    <row r="2735" spans="1:10" ht="26.25" hidden="1" thickBot="1" x14ac:dyDescent="0.3">
      <c r="A2735" s="247"/>
      <c r="B2735" s="240"/>
      <c r="C2735" s="155" t="s">
        <v>25091</v>
      </c>
      <c r="D2735" s="155" t="s">
        <v>205</v>
      </c>
      <c r="E2735" s="130">
        <v>1</v>
      </c>
      <c r="F2735" s="28">
        <v>25.954000000000001</v>
      </c>
      <c r="G2735" s="49">
        <f>IF(ISNUMBER(F2735),E2735*F2735,"")</f>
        <v>25.954000000000001</v>
      </c>
      <c r="H2735" s="35">
        <f>SUM(G2735:G2735)</f>
        <v>25.954000000000001</v>
      </c>
      <c r="I2735" s="36"/>
      <c r="J2735" s="125">
        <v>0</v>
      </c>
    </row>
    <row r="2736" spans="1:10" ht="15.75" hidden="1" thickBot="1" x14ac:dyDescent="0.3">
      <c r="A2736" s="248"/>
      <c r="B2736" s="239"/>
      <c r="C2736" s="164"/>
      <c r="D2736" s="132"/>
      <c r="E2736" s="61"/>
      <c r="F2736" s="68" t="s">
        <v>418</v>
      </c>
      <c r="G2736" s="68" t="str">
        <f>IF(ISNUMBER(F2736),E2736*F2736,"")</f>
        <v/>
      </c>
      <c r="H2736" s="69"/>
      <c r="I2736" s="66"/>
      <c r="J2736" s="125">
        <v>0</v>
      </c>
    </row>
    <row r="2737" spans="1:10" ht="15.75" hidden="1" thickBot="1" x14ac:dyDescent="0.3">
      <c r="A2737" s="234" t="s">
        <v>1667</v>
      </c>
      <c r="B2737" s="237" t="s">
        <v>1668</v>
      </c>
      <c r="C2737" s="160"/>
      <c r="D2737" s="23" t="s">
        <v>16</v>
      </c>
      <c r="E2737" s="24"/>
      <c r="F2737" s="44" t="s">
        <v>418</v>
      </c>
      <c r="G2737" s="25" t="str">
        <f>IF(ISNUMBER(F2737),E2737*F2737,"")</f>
        <v/>
      </c>
      <c r="H2737" s="26"/>
      <c r="I2737" s="27"/>
      <c r="J2737" s="125">
        <v>0</v>
      </c>
    </row>
    <row r="2738" spans="1:10" ht="15.75" hidden="1" thickBot="1" x14ac:dyDescent="0.3">
      <c r="A2738" s="235"/>
      <c r="B2738" s="238"/>
      <c r="C2738" s="135"/>
      <c r="D2738" s="135"/>
      <c r="E2738" s="136"/>
      <c r="F2738" s="49" t="s">
        <v>418</v>
      </c>
      <c r="G2738" s="49" t="str">
        <f>IF(ISNUMBER(F2738),E2738*F2738,"")</f>
        <v/>
      </c>
      <c r="H2738" s="65"/>
      <c r="I2738" s="28"/>
      <c r="J2738" s="125">
        <v>0</v>
      </c>
    </row>
    <row r="2739" spans="1:10" ht="15.75" hidden="1" thickBot="1" x14ac:dyDescent="0.3">
      <c r="A2739" s="235"/>
      <c r="B2739" s="238"/>
      <c r="C2739" s="155" t="s">
        <v>25092</v>
      </c>
      <c r="D2739" s="155" t="s">
        <v>205</v>
      </c>
      <c r="E2739" s="130">
        <v>1</v>
      </c>
      <c r="F2739" s="28">
        <v>20.1875</v>
      </c>
      <c r="G2739" s="49">
        <f>IF(ISNUMBER(F2739),E2739*F2739,"")</f>
        <v>20.1875</v>
      </c>
      <c r="H2739" s="35">
        <f>SUM(G2739:G2739)</f>
        <v>20.1875</v>
      </c>
      <c r="I2739" s="36"/>
      <c r="J2739" s="125">
        <v>0</v>
      </c>
    </row>
    <row r="2740" spans="1:10" ht="15.75" hidden="1" thickBot="1" x14ac:dyDescent="0.3">
      <c r="A2740" s="236"/>
      <c r="B2740" s="239"/>
      <c r="C2740" s="155"/>
      <c r="D2740" s="33"/>
      <c r="E2740" s="34"/>
      <c r="F2740" s="28" t="s">
        <v>418</v>
      </c>
      <c r="G2740" s="31" t="str">
        <f>IF(ISNUMBER(F2740),E2740*F2740,"")</f>
        <v/>
      </c>
      <c r="H2740" s="32"/>
      <c r="I2740" s="28"/>
      <c r="J2740" s="125">
        <v>0</v>
      </c>
    </row>
    <row r="2741" spans="1:10" ht="15.75" hidden="1" thickBot="1" x14ac:dyDescent="0.3">
      <c r="A2741" s="241" t="s">
        <v>1670</v>
      </c>
      <c r="B2741" s="237" t="s">
        <v>13464</v>
      </c>
      <c r="C2741" s="160"/>
      <c r="D2741" s="23" t="s">
        <v>1549</v>
      </c>
      <c r="E2741" s="24"/>
      <c r="F2741" s="44" t="s">
        <v>418</v>
      </c>
      <c r="G2741" s="25" t="str">
        <f>IF(ISNUMBER(F2741),E2741*F2741,"")</f>
        <v/>
      </c>
      <c r="H2741" s="26"/>
      <c r="I2741" s="27"/>
      <c r="J2741" s="125">
        <v>0</v>
      </c>
    </row>
    <row r="2742" spans="1:10" ht="15.75" hidden="1" thickBot="1" x14ac:dyDescent="0.3">
      <c r="A2742" s="247"/>
      <c r="B2742" s="240"/>
      <c r="C2742" s="135"/>
      <c r="D2742" s="135"/>
      <c r="E2742" s="136"/>
      <c r="F2742" s="49" t="s">
        <v>418</v>
      </c>
      <c r="G2742" s="49" t="str">
        <f>IF(ISNUMBER(F2742),E2742*F2742,"")</f>
        <v/>
      </c>
      <c r="H2742" s="65"/>
      <c r="I2742" s="66"/>
      <c r="J2742" s="125">
        <v>0</v>
      </c>
    </row>
    <row r="2743" spans="1:10" ht="15.75" hidden="1" thickBot="1" x14ac:dyDescent="0.3">
      <c r="A2743" s="247"/>
      <c r="B2743" s="240"/>
      <c r="C2743" s="155" t="s">
        <v>23947</v>
      </c>
      <c r="D2743" s="155" t="s">
        <v>38832</v>
      </c>
      <c r="E2743" s="130">
        <v>1</v>
      </c>
      <c r="F2743" s="28">
        <v>39.937999999999995</v>
      </c>
      <c r="G2743" s="49">
        <f>IF(ISNUMBER(F2743),E2743*F2743,"")</f>
        <v>39.937999999999995</v>
      </c>
      <c r="H2743" s="35">
        <f>SUM(G2743:G2743)</f>
        <v>39.937999999999995</v>
      </c>
      <c r="I2743" s="36"/>
      <c r="J2743" s="125">
        <v>0</v>
      </c>
    </row>
    <row r="2744" spans="1:10" ht="15.75" hidden="1" thickBot="1" x14ac:dyDescent="0.3">
      <c r="A2744" s="248"/>
      <c r="B2744" s="239"/>
      <c r="C2744" s="164"/>
      <c r="D2744" s="132"/>
      <c r="E2744" s="61"/>
      <c r="F2744" s="68" t="s">
        <v>418</v>
      </c>
      <c r="G2744" s="68" t="str">
        <f>IF(ISNUMBER(F2744),E2744*F2744,"")</f>
        <v/>
      </c>
      <c r="H2744" s="69"/>
      <c r="I2744" s="66"/>
      <c r="J2744" s="125">
        <v>0</v>
      </c>
    </row>
    <row r="2745" spans="1:10" ht="15.75" hidden="1" thickBot="1" x14ac:dyDescent="0.3">
      <c r="A2745" s="241" t="s">
        <v>1671</v>
      </c>
      <c r="B2745" s="237" t="s">
        <v>1672</v>
      </c>
      <c r="C2745" s="160"/>
      <c r="D2745" s="23" t="s">
        <v>16</v>
      </c>
      <c r="E2745" s="24"/>
      <c r="F2745" s="44" t="s">
        <v>418</v>
      </c>
      <c r="G2745" s="25" t="str">
        <f>IF(ISNUMBER(F2745),E2745*F2745,"")</f>
        <v/>
      </c>
      <c r="H2745" s="26"/>
      <c r="I2745" s="27"/>
      <c r="J2745" s="125">
        <v>0</v>
      </c>
    </row>
    <row r="2746" spans="1:10" ht="15.75" hidden="1" thickBot="1" x14ac:dyDescent="0.3">
      <c r="A2746" s="247"/>
      <c r="B2746" s="240"/>
      <c r="C2746" s="135"/>
      <c r="D2746" s="135"/>
      <c r="E2746" s="136"/>
      <c r="F2746" s="49" t="s">
        <v>418</v>
      </c>
      <c r="G2746" s="49" t="str">
        <f>IF(ISNUMBER(F2746),E2746*F2746,"")</f>
        <v/>
      </c>
      <c r="H2746" s="65"/>
      <c r="I2746" s="66"/>
      <c r="J2746" s="125">
        <v>0</v>
      </c>
    </row>
    <row r="2747" spans="1:10" ht="26.25" hidden="1" thickBot="1" x14ac:dyDescent="0.3">
      <c r="A2747" s="247"/>
      <c r="B2747" s="240"/>
      <c r="C2747" s="155" t="s">
        <v>24406</v>
      </c>
      <c r="D2747" s="155" t="s">
        <v>205</v>
      </c>
      <c r="E2747" s="130">
        <v>1</v>
      </c>
      <c r="F2747" s="28">
        <v>18.030999999999999</v>
      </c>
      <c r="G2747" s="49">
        <f>IF(ISNUMBER(F2747),E2747*F2747,"")</f>
        <v>18.030999999999999</v>
      </c>
      <c r="H2747" s="35">
        <f>SUM(G2747:G2747)</f>
        <v>18.030999999999999</v>
      </c>
      <c r="I2747" s="36"/>
      <c r="J2747" s="125">
        <v>0</v>
      </c>
    </row>
    <row r="2748" spans="1:10" ht="15.75" hidden="1" thickBot="1" x14ac:dyDescent="0.3">
      <c r="A2748" s="248"/>
      <c r="B2748" s="239"/>
      <c r="C2748" s="164"/>
      <c r="D2748" s="132"/>
      <c r="E2748" s="61"/>
      <c r="F2748" s="68" t="s">
        <v>418</v>
      </c>
      <c r="G2748" s="68" t="str">
        <f>IF(ISNUMBER(F2748),E2748*F2748,"")</f>
        <v/>
      </c>
      <c r="H2748" s="69"/>
      <c r="I2748" s="66"/>
      <c r="J2748" s="125">
        <v>0</v>
      </c>
    </row>
    <row r="2749" spans="1:10" ht="15.75" hidden="1" thickBot="1" x14ac:dyDescent="0.3">
      <c r="A2749" s="234" t="s">
        <v>1677</v>
      </c>
      <c r="B2749" s="237" t="s">
        <v>1678</v>
      </c>
      <c r="C2749" s="160"/>
      <c r="D2749" s="23" t="s">
        <v>16</v>
      </c>
      <c r="E2749" s="24"/>
      <c r="F2749" s="44" t="s">
        <v>418</v>
      </c>
      <c r="G2749" s="25" t="str">
        <f>IF(ISNUMBER(F2749),E2749*F2749,"")</f>
        <v/>
      </c>
      <c r="H2749" s="26"/>
      <c r="I2749" s="27"/>
      <c r="J2749" s="125">
        <v>0</v>
      </c>
    </row>
    <row r="2750" spans="1:10" ht="15.75" hidden="1" thickBot="1" x14ac:dyDescent="0.3">
      <c r="A2750" s="235"/>
      <c r="B2750" s="238"/>
      <c r="C2750" s="135"/>
      <c r="D2750" s="135"/>
      <c r="E2750" s="136"/>
      <c r="F2750" s="49" t="s">
        <v>418</v>
      </c>
      <c r="G2750" s="49" t="str">
        <f>IF(ISNUMBER(F2750),E2750*F2750,"")</f>
        <v/>
      </c>
      <c r="H2750" s="65"/>
      <c r="I2750" s="28"/>
      <c r="J2750" s="125">
        <v>0</v>
      </c>
    </row>
    <row r="2751" spans="1:10" ht="26.25" hidden="1" thickBot="1" x14ac:dyDescent="0.3">
      <c r="A2751" s="235"/>
      <c r="B2751" s="238"/>
      <c r="C2751" s="155" t="s">
        <v>27433</v>
      </c>
      <c r="D2751" s="155" t="s">
        <v>205</v>
      </c>
      <c r="E2751" s="130">
        <v>1</v>
      </c>
      <c r="F2751" s="28">
        <v>185.50649999999999</v>
      </c>
      <c r="G2751" s="49">
        <f>IF(ISNUMBER(F2751),E2751*F2751,"")</f>
        <v>185.50649999999999</v>
      </c>
      <c r="H2751" s="35">
        <f>SUM(G2751:G2751)</f>
        <v>185.50649999999999</v>
      </c>
      <c r="I2751" s="36"/>
      <c r="J2751" s="125">
        <v>0</v>
      </c>
    </row>
    <row r="2752" spans="1:10" ht="15.75" hidden="1" thickBot="1" x14ac:dyDescent="0.3">
      <c r="A2752" s="236"/>
      <c r="B2752" s="239"/>
      <c r="C2752" s="155"/>
      <c r="D2752" s="33"/>
      <c r="E2752" s="34"/>
      <c r="F2752" s="28" t="s">
        <v>418</v>
      </c>
      <c r="G2752" s="31" t="str">
        <f>IF(ISNUMBER(F2752),E2752*F2752,"")</f>
        <v/>
      </c>
      <c r="H2752" s="32"/>
      <c r="I2752" s="28"/>
      <c r="J2752" s="125">
        <v>0</v>
      </c>
    </row>
    <row r="2753" spans="1:10" ht="15.75" hidden="1" thickBot="1" x14ac:dyDescent="0.3">
      <c r="A2753" s="241" t="s">
        <v>1679</v>
      </c>
      <c r="B2753" s="237" t="s">
        <v>1678</v>
      </c>
      <c r="C2753" s="160"/>
      <c r="D2753" s="23" t="s">
        <v>16</v>
      </c>
      <c r="E2753" s="24"/>
      <c r="F2753" s="44" t="s">
        <v>418</v>
      </c>
      <c r="G2753" s="25" t="str">
        <f>IF(ISNUMBER(F2753),E2753*F2753,"")</f>
        <v/>
      </c>
      <c r="H2753" s="26"/>
      <c r="I2753" s="27"/>
      <c r="J2753" s="125">
        <v>0</v>
      </c>
    </row>
    <row r="2754" spans="1:10" ht="15.75" hidden="1" thickBot="1" x14ac:dyDescent="0.3">
      <c r="A2754" s="247"/>
      <c r="B2754" s="240"/>
      <c r="C2754" s="135"/>
      <c r="D2754" s="135"/>
      <c r="E2754" s="136"/>
      <c r="F2754" s="49" t="s">
        <v>418</v>
      </c>
      <c r="G2754" s="49" t="str">
        <f>IF(ISNUMBER(F2754),E2754*F2754,"")</f>
        <v/>
      </c>
      <c r="H2754" s="65"/>
      <c r="I2754" s="66"/>
      <c r="J2754" s="125">
        <v>0</v>
      </c>
    </row>
    <row r="2755" spans="1:10" ht="26.25" hidden="1" thickBot="1" x14ac:dyDescent="0.3">
      <c r="A2755" s="247"/>
      <c r="B2755" s="240"/>
      <c r="C2755" s="155" t="s">
        <v>27946</v>
      </c>
      <c r="D2755" s="155" t="s">
        <v>205</v>
      </c>
      <c r="E2755" s="130">
        <v>1</v>
      </c>
      <c r="F2755" s="28">
        <v>162.9725</v>
      </c>
      <c r="G2755" s="49">
        <f>IF(ISNUMBER(F2755),E2755*F2755,"")</f>
        <v>162.9725</v>
      </c>
      <c r="H2755" s="35">
        <f>SUM(G2755:G2755)</f>
        <v>162.9725</v>
      </c>
      <c r="I2755" s="36"/>
      <c r="J2755" s="125">
        <v>0</v>
      </c>
    </row>
    <row r="2756" spans="1:10" ht="15.75" hidden="1" thickBot="1" x14ac:dyDescent="0.3">
      <c r="A2756" s="248"/>
      <c r="B2756" s="239"/>
      <c r="C2756" s="164"/>
      <c r="D2756" s="132"/>
      <c r="E2756" s="61"/>
      <c r="F2756" s="68" t="s">
        <v>418</v>
      </c>
      <c r="G2756" s="68" t="str">
        <f>IF(ISNUMBER(F2756),E2756*F2756,"")</f>
        <v/>
      </c>
      <c r="H2756" s="69"/>
      <c r="I2756" s="66"/>
      <c r="J2756" s="125">
        <v>0</v>
      </c>
    </row>
    <row r="2757" spans="1:10" ht="15.75" hidden="1" thickBot="1" x14ac:dyDescent="0.3">
      <c r="A2757" s="234" t="s">
        <v>670</v>
      </c>
      <c r="B2757" s="237" t="s">
        <v>1680</v>
      </c>
      <c r="C2757" s="160"/>
      <c r="D2757" s="23" t="s">
        <v>70</v>
      </c>
      <c r="E2757" s="24"/>
      <c r="F2757" s="37" t="s">
        <v>418</v>
      </c>
      <c r="G2757" s="25" t="str">
        <f>IF(ISNUMBER(F2757),E2757*F2757,"")</f>
        <v/>
      </c>
      <c r="H2757" s="26"/>
      <c r="I2757" s="27"/>
      <c r="J2757" s="125">
        <v>0</v>
      </c>
    </row>
    <row r="2758" spans="1:10" ht="15.75" hidden="1" thickBot="1" x14ac:dyDescent="0.3">
      <c r="A2758" s="235"/>
      <c r="B2758" s="238"/>
      <c r="C2758" s="151"/>
      <c r="D2758" s="29"/>
      <c r="E2758" s="30"/>
      <c r="F2758" s="38" t="s">
        <v>418</v>
      </c>
      <c r="G2758" s="31" t="str">
        <f>IF(ISNUMBER(F2758),E2758*F2758,"")</f>
        <v/>
      </c>
      <c r="H2758" s="32"/>
      <c r="I2758" s="28"/>
      <c r="J2758" s="125">
        <v>0</v>
      </c>
    </row>
    <row r="2759" spans="1:10" ht="15.75" hidden="1" thickBot="1" x14ac:dyDescent="0.3">
      <c r="A2759" s="235"/>
      <c r="B2759" s="238"/>
      <c r="C2759" s="155" t="s">
        <v>9864</v>
      </c>
      <c r="D2759" s="155" t="s">
        <v>587</v>
      </c>
      <c r="E2759" s="34">
        <v>1</v>
      </c>
      <c r="F2759" s="28">
        <v>23.274999999999999</v>
      </c>
      <c r="G2759" s="31">
        <f>IF(ISNUMBER(F2759),E2759*F2759,"")</f>
        <v>23.274999999999999</v>
      </c>
      <c r="H2759" s="35">
        <f>SUM(G2759:G2760)</f>
        <v>53.503999999999998</v>
      </c>
      <c r="I2759" s="36"/>
      <c r="J2759" s="125">
        <v>0</v>
      </c>
    </row>
    <row r="2760" spans="1:10" ht="15.75" hidden="1" thickBot="1" x14ac:dyDescent="0.3">
      <c r="A2760" s="235"/>
      <c r="B2760" s="238"/>
      <c r="C2760" s="155" t="s">
        <v>26453</v>
      </c>
      <c r="D2760" s="155" t="s">
        <v>774</v>
      </c>
      <c r="E2760" s="34">
        <v>2</v>
      </c>
      <c r="F2760" s="31">
        <v>15.1145</v>
      </c>
      <c r="G2760" s="31">
        <f>IF(ISNUMBER(F2760),E2760*F2760,"")</f>
        <v>30.228999999999999</v>
      </c>
      <c r="H2760" s="32"/>
      <c r="I2760" s="28"/>
      <c r="J2760" s="125">
        <v>0</v>
      </c>
    </row>
    <row r="2761" spans="1:10" ht="15.75" hidden="1" thickBot="1" x14ac:dyDescent="0.3">
      <c r="A2761" s="236"/>
      <c r="B2761" s="239"/>
      <c r="C2761" s="155"/>
      <c r="D2761" s="33"/>
      <c r="E2761" s="34"/>
      <c r="F2761" s="28" t="s">
        <v>418</v>
      </c>
      <c r="G2761" s="31" t="str">
        <f>IF(ISNUMBER(F2761),E2761*F2761,"")</f>
        <v/>
      </c>
      <c r="H2761" s="32"/>
      <c r="I2761" s="28"/>
      <c r="J2761" s="125">
        <v>0</v>
      </c>
    </row>
    <row r="2762" spans="1:10" ht="15.75" hidden="1" thickBot="1" x14ac:dyDescent="0.3">
      <c r="A2762" s="234" t="s">
        <v>671</v>
      </c>
      <c r="B2762" s="237" t="s">
        <v>1681</v>
      </c>
      <c r="C2762" s="160"/>
      <c r="D2762" s="23" t="s">
        <v>70</v>
      </c>
      <c r="E2762" s="24"/>
      <c r="F2762" s="37" t="s">
        <v>418</v>
      </c>
      <c r="G2762" s="25" t="str">
        <f>IF(ISNUMBER(F2762),E2762*F2762,"")</f>
        <v/>
      </c>
      <c r="H2762" s="26"/>
      <c r="I2762" s="27"/>
      <c r="J2762" s="125">
        <v>0</v>
      </c>
    </row>
    <row r="2763" spans="1:10" ht="15.75" hidden="1" thickBot="1" x14ac:dyDescent="0.3">
      <c r="A2763" s="235"/>
      <c r="B2763" s="238"/>
      <c r="C2763" s="151"/>
      <c r="D2763" s="29"/>
      <c r="E2763" s="30"/>
      <c r="F2763" s="38" t="s">
        <v>418</v>
      </c>
      <c r="G2763" s="31" t="str">
        <f>IF(ISNUMBER(F2763),E2763*F2763,"")</f>
        <v/>
      </c>
      <c r="H2763" s="32"/>
      <c r="I2763" s="28"/>
      <c r="J2763" s="125">
        <v>0</v>
      </c>
    </row>
    <row r="2764" spans="1:10" ht="15.75" hidden="1" thickBot="1" x14ac:dyDescent="0.3">
      <c r="A2764" s="235"/>
      <c r="B2764" s="238"/>
      <c r="C2764" s="155" t="s">
        <v>674</v>
      </c>
      <c r="D2764" s="155" t="s">
        <v>870</v>
      </c>
      <c r="E2764" s="34">
        <v>1</v>
      </c>
      <c r="F2764" s="31">
        <v>460.06599999999997</v>
      </c>
      <c r="G2764" s="31">
        <f>IF(ISNUMBER(F2764),E2764*F2764,"")</f>
        <v>460.06599999999997</v>
      </c>
      <c r="H2764" s="35">
        <f>SUM(G2764:G2770)</f>
        <v>575.26575500000001</v>
      </c>
      <c r="I2764" s="36"/>
      <c r="J2764" s="125">
        <v>0</v>
      </c>
    </row>
    <row r="2765" spans="1:10" ht="39" hidden="1" thickBot="1" x14ac:dyDescent="0.3">
      <c r="A2765" s="235"/>
      <c r="B2765" s="238"/>
      <c r="C2765" s="155" t="s">
        <v>23958</v>
      </c>
      <c r="D2765" s="155" t="s">
        <v>205</v>
      </c>
      <c r="E2765" s="34">
        <v>1.913</v>
      </c>
      <c r="F2765" s="31">
        <v>0.19</v>
      </c>
      <c r="G2765" s="31">
        <f>IF(ISNUMBER(F2765),E2765*F2765,"")</f>
        <v>0.36347000000000002</v>
      </c>
      <c r="H2765" s="32"/>
      <c r="I2765" s="28"/>
      <c r="J2765" s="125">
        <v>0</v>
      </c>
    </row>
    <row r="2766" spans="1:10" ht="15.75" hidden="1" thickBot="1" x14ac:dyDescent="0.3">
      <c r="A2766" s="235"/>
      <c r="B2766" s="238"/>
      <c r="C2766" s="155" t="s">
        <v>710</v>
      </c>
      <c r="D2766" s="155" t="s">
        <v>774</v>
      </c>
      <c r="E2766" s="34">
        <v>0.83899999999999997</v>
      </c>
      <c r="F2766" s="31">
        <v>36.745999999999995</v>
      </c>
      <c r="G2766" s="31">
        <f>IF(ISNUMBER(F2766),E2766*F2766,"")</f>
        <v>30.829893999999996</v>
      </c>
      <c r="H2766" s="32"/>
      <c r="I2766" s="28"/>
      <c r="J2766" s="125">
        <v>0</v>
      </c>
    </row>
    <row r="2767" spans="1:10" ht="26.25" hidden="1" thickBot="1" x14ac:dyDescent="0.3">
      <c r="A2767" s="235"/>
      <c r="B2767" s="238"/>
      <c r="C2767" s="155" t="s">
        <v>25509</v>
      </c>
      <c r="D2767" s="155" t="s">
        <v>385</v>
      </c>
      <c r="E2767" s="34">
        <v>2.605</v>
      </c>
      <c r="F2767" s="31">
        <v>4.484</v>
      </c>
      <c r="G2767" s="31">
        <f>IF(ISNUMBER(F2767),E2767*F2767,"")</f>
        <v>11.680820000000001</v>
      </c>
      <c r="H2767" s="32"/>
      <c r="I2767" s="28"/>
      <c r="J2767" s="125">
        <v>0</v>
      </c>
    </row>
    <row r="2768" spans="1:10" ht="15.75" hidden="1" thickBot="1" x14ac:dyDescent="0.3">
      <c r="A2768" s="235"/>
      <c r="B2768" s="238"/>
      <c r="C2768" s="155" t="s">
        <v>27384</v>
      </c>
      <c r="D2768" s="155" t="s">
        <v>205</v>
      </c>
      <c r="E2768" s="34">
        <v>0.34599999999999997</v>
      </c>
      <c r="F2768" s="31">
        <v>25.916</v>
      </c>
      <c r="G2768" s="31">
        <f>IF(ISNUMBER(F2768),E2768*F2768,"")</f>
        <v>8.9669359999999987</v>
      </c>
      <c r="H2768" s="32"/>
      <c r="I2768" s="28"/>
      <c r="J2768" s="125">
        <v>0</v>
      </c>
    </row>
    <row r="2769" spans="1:10" ht="15.75" hidden="1" thickBot="1" x14ac:dyDescent="0.3">
      <c r="A2769" s="235"/>
      <c r="B2769" s="238"/>
      <c r="C2769" s="155" t="s">
        <v>588</v>
      </c>
      <c r="D2769" s="155" t="s">
        <v>587</v>
      </c>
      <c r="E2769" s="34">
        <v>1.4690000000000001</v>
      </c>
      <c r="F2769" s="31">
        <v>19.189999999999998</v>
      </c>
      <c r="G2769" s="31">
        <f>IF(ISNUMBER(F2769),E2769*F2769,"")</f>
        <v>28.190109999999997</v>
      </c>
      <c r="H2769" s="32"/>
      <c r="I2769" s="28"/>
      <c r="J2769" s="125">
        <v>0</v>
      </c>
    </row>
    <row r="2770" spans="1:10" ht="15.75" hidden="1" thickBot="1" x14ac:dyDescent="0.3">
      <c r="A2770" s="235"/>
      <c r="B2770" s="238"/>
      <c r="C2770" s="155" t="s">
        <v>9864</v>
      </c>
      <c r="D2770" s="155" t="s">
        <v>587</v>
      </c>
      <c r="E2770" s="34">
        <v>1.5109999999999999</v>
      </c>
      <c r="F2770" s="31">
        <v>23.274999999999999</v>
      </c>
      <c r="G2770" s="31">
        <f>IF(ISNUMBER(F2770),E2770*F2770,"")</f>
        <v>35.168524999999995</v>
      </c>
      <c r="H2770" s="32"/>
      <c r="I2770" s="28"/>
      <c r="J2770" s="125">
        <v>0</v>
      </c>
    </row>
    <row r="2771" spans="1:10" ht="15.75" hidden="1" thickBot="1" x14ac:dyDescent="0.3">
      <c r="A2771" s="236"/>
      <c r="B2771" s="239"/>
      <c r="C2771" s="155"/>
      <c r="D2771" s="33"/>
      <c r="E2771" s="34"/>
      <c r="F2771" s="28" t="s">
        <v>418</v>
      </c>
      <c r="G2771" s="31" t="str">
        <f>IF(ISNUMBER(F2771),E2771*F2771,"")</f>
        <v/>
      </c>
      <c r="H2771" s="32"/>
      <c r="I2771" s="28"/>
      <c r="J2771" s="125">
        <v>0</v>
      </c>
    </row>
    <row r="2772" spans="1:10" ht="15.75" hidden="1" thickBot="1" x14ac:dyDescent="0.3">
      <c r="A2772" s="234" t="s">
        <v>673</v>
      </c>
      <c r="B2772" s="237" t="s">
        <v>1682</v>
      </c>
      <c r="C2772" s="160"/>
      <c r="D2772" s="23" t="s">
        <v>70</v>
      </c>
      <c r="E2772" s="24"/>
      <c r="F2772" s="37" t="s">
        <v>418</v>
      </c>
      <c r="G2772" s="25" t="str">
        <f>IF(ISNUMBER(F2772),E2772*F2772,"")</f>
        <v/>
      </c>
      <c r="H2772" s="26"/>
      <c r="I2772" s="27"/>
      <c r="J2772" s="125">
        <v>0</v>
      </c>
    </row>
    <row r="2773" spans="1:10" ht="15.75" hidden="1" thickBot="1" x14ac:dyDescent="0.3">
      <c r="A2773" s="235"/>
      <c r="B2773" s="238"/>
      <c r="C2773" s="151"/>
      <c r="D2773" s="29"/>
      <c r="E2773" s="30"/>
      <c r="F2773" s="38" t="s">
        <v>418</v>
      </c>
      <c r="G2773" s="31" t="str">
        <f>IF(ISNUMBER(F2773),E2773*F2773,"")</f>
        <v/>
      </c>
      <c r="H2773" s="32"/>
      <c r="I2773" s="28"/>
      <c r="J2773" s="125">
        <v>0</v>
      </c>
    </row>
    <row r="2774" spans="1:10" ht="15.75" hidden="1" thickBot="1" x14ac:dyDescent="0.3">
      <c r="A2774" s="235"/>
      <c r="B2774" s="238"/>
      <c r="C2774" s="155" t="s">
        <v>9864</v>
      </c>
      <c r="D2774" s="155" t="s">
        <v>587</v>
      </c>
      <c r="E2774" s="34">
        <v>1</v>
      </c>
      <c r="F2774" s="31">
        <v>23.274999999999999</v>
      </c>
      <c r="G2774" s="31">
        <f>IF(ISNUMBER(F2774),E2774*F2774,"")</f>
        <v>23.274999999999999</v>
      </c>
      <c r="H2774" s="35">
        <f>SUM(G2774:G2776)</f>
        <v>330.58100000000002</v>
      </c>
      <c r="I2774" s="36"/>
      <c r="J2774" s="125">
        <v>0</v>
      </c>
    </row>
    <row r="2775" spans="1:10" ht="15.75" hidden="1" thickBot="1" x14ac:dyDescent="0.3">
      <c r="A2775" s="235"/>
      <c r="B2775" s="238"/>
      <c r="C2775" s="155" t="s">
        <v>26453</v>
      </c>
      <c r="D2775" s="155" t="s">
        <v>774</v>
      </c>
      <c r="E2775" s="34">
        <v>2</v>
      </c>
      <c r="F2775" s="28">
        <v>15.1145</v>
      </c>
      <c r="G2775" s="31">
        <f>IF(ISNUMBER(F2775),E2775*F2775,"")</f>
        <v>30.228999999999999</v>
      </c>
      <c r="H2775" s="32"/>
      <c r="I2775" s="28"/>
      <c r="J2775" s="125">
        <v>0</v>
      </c>
    </row>
    <row r="2776" spans="1:10" ht="15.75" hidden="1" thickBot="1" x14ac:dyDescent="0.3">
      <c r="A2776" s="235"/>
      <c r="B2776" s="238"/>
      <c r="C2776" s="155" t="s">
        <v>672</v>
      </c>
      <c r="D2776" s="155" t="s">
        <v>870</v>
      </c>
      <c r="E2776" s="34">
        <v>1</v>
      </c>
      <c r="F2776" s="28">
        <v>277.077</v>
      </c>
      <c r="G2776" s="31">
        <f>IF(ISNUMBER(F2776),E2776*F2776,"")</f>
        <v>277.077</v>
      </c>
      <c r="H2776" s="32"/>
      <c r="I2776" s="28"/>
      <c r="J2776" s="125">
        <v>0</v>
      </c>
    </row>
    <row r="2777" spans="1:10" ht="15.75" hidden="1" thickBot="1" x14ac:dyDescent="0.3">
      <c r="A2777" s="236"/>
      <c r="B2777" s="239"/>
      <c r="C2777" s="155"/>
      <c r="D2777" s="33"/>
      <c r="E2777" s="34"/>
      <c r="F2777" s="28" t="s">
        <v>418</v>
      </c>
      <c r="G2777" s="31" t="str">
        <f>IF(ISNUMBER(F2777),E2777*F2777,"")</f>
        <v/>
      </c>
      <c r="H2777" s="32"/>
      <c r="I2777" s="28"/>
      <c r="J2777" s="125">
        <v>0</v>
      </c>
    </row>
    <row r="2778" spans="1:10" ht="15.75" hidden="1" thickBot="1" x14ac:dyDescent="0.3">
      <c r="A2778" s="234" t="s">
        <v>1683</v>
      </c>
      <c r="B2778" s="237" t="s">
        <v>1684</v>
      </c>
      <c r="C2778" s="160"/>
      <c r="D2778" s="23" t="s">
        <v>69</v>
      </c>
      <c r="E2778" s="24"/>
      <c r="F2778" s="37" t="s">
        <v>418</v>
      </c>
      <c r="G2778" s="25" t="str">
        <f>IF(ISNUMBER(F2778),E2778*F2778,"")</f>
        <v/>
      </c>
      <c r="H2778" s="26"/>
      <c r="I2778" s="27"/>
      <c r="J2778" s="125">
        <v>0</v>
      </c>
    </row>
    <row r="2779" spans="1:10" ht="15.75" hidden="1" thickBot="1" x14ac:dyDescent="0.3">
      <c r="A2779" s="235"/>
      <c r="B2779" s="238"/>
      <c r="C2779" s="151"/>
      <c r="D2779" s="29"/>
      <c r="E2779" s="30"/>
      <c r="F2779" s="38" t="s">
        <v>418</v>
      </c>
      <c r="G2779" s="31" t="str">
        <f>IF(ISNUMBER(F2779),E2779*F2779,"")</f>
        <v/>
      </c>
      <c r="H2779" s="32"/>
      <c r="I2779" s="28"/>
      <c r="J2779" s="125">
        <v>0</v>
      </c>
    </row>
    <row r="2780" spans="1:10" ht="15.75" hidden="1" thickBot="1" x14ac:dyDescent="0.3">
      <c r="A2780" s="235"/>
      <c r="B2780" s="238"/>
      <c r="C2780" s="155" t="s">
        <v>9864</v>
      </c>
      <c r="D2780" s="155" t="s">
        <v>587</v>
      </c>
      <c r="E2780" s="34">
        <v>0.5</v>
      </c>
      <c r="F2780" s="28">
        <v>23.274999999999999</v>
      </c>
      <c r="G2780" s="31">
        <f>IF(ISNUMBER(F2780),E2780*F2780,"")</f>
        <v>11.637499999999999</v>
      </c>
      <c r="H2780" s="35">
        <f>SUM(G2780:G2781)</f>
        <v>21.232499999999998</v>
      </c>
      <c r="I2780" s="36"/>
      <c r="J2780" s="125">
        <v>0</v>
      </c>
    </row>
    <row r="2781" spans="1:10" ht="15.75" hidden="1" thickBot="1" x14ac:dyDescent="0.3">
      <c r="A2781" s="235"/>
      <c r="B2781" s="238"/>
      <c r="C2781" s="155" t="s">
        <v>588</v>
      </c>
      <c r="D2781" s="155" t="s">
        <v>587</v>
      </c>
      <c r="E2781" s="34">
        <v>0.5</v>
      </c>
      <c r="F2781" s="28">
        <v>19.189999999999998</v>
      </c>
      <c r="G2781" s="31">
        <f>IF(ISNUMBER(F2781),E2781*F2781,"")</f>
        <v>9.5949999999999989</v>
      </c>
      <c r="H2781" s="32"/>
      <c r="I2781" s="28"/>
      <c r="J2781" s="125">
        <v>0</v>
      </c>
    </row>
    <row r="2782" spans="1:10" ht="15.75" hidden="1" thickBot="1" x14ac:dyDescent="0.3">
      <c r="A2782" s="236"/>
      <c r="B2782" s="239"/>
      <c r="C2782" s="155"/>
      <c r="D2782" s="33"/>
      <c r="E2782" s="34"/>
      <c r="F2782" s="28" t="s">
        <v>418</v>
      </c>
      <c r="G2782" s="31" t="str">
        <f>IF(ISNUMBER(F2782),E2782*F2782,"")</f>
        <v/>
      </c>
      <c r="H2782" s="32"/>
      <c r="I2782" s="28"/>
      <c r="J2782" s="125">
        <v>0</v>
      </c>
    </row>
    <row r="2783" spans="1:10" ht="15.75" hidden="1" thickBot="1" x14ac:dyDescent="0.3">
      <c r="A2783" s="234" t="s">
        <v>1685</v>
      </c>
      <c r="B2783" s="237" t="s">
        <v>1686</v>
      </c>
      <c r="C2783" s="160"/>
      <c r="D2783" s="23" t="s">
        <v>69</v>
      </c>
      <c r="E2783" s="24"/>
      <c r="F2783" s="37" t="s">
        <v>418</v>
      </c>
      <c r="G2783" s="25" t="str">
        <f>IF(ISNUMBER(F2783),E2783*F2783,"")</f>
        <v/>
      </c>
      <c r="H2783" s="26"/>
      <c r="I2783" s="27"/>
      <c r="J2783" s="125">
        <v>0</v>
      </c>
    </row>
    <row r="2784" spans="1:10" ht="15.75" hidden="1" thickBot="1" x14ac:dyDescent="0.3">
      <c r="A2784" s="235"/>
      <c r="B2784" s="238"/>
      <c r="C2784" s="151"/>
      <c r="D2784" s="29"/>
      <c r="E2784" s="30"/>
      <c r="F2784" s="38" t="s">
        <v>418</v>
      </c>
      <c r="G2784" s="31" t="str">
        <f>IF(ISNUMBER(F2784),E2784*F2784,"")</f>
        <v/>
      </c>
      <c r="H2784" s="32"/>
      <c r="I2784" s="28"/>
      <c r="J2784" s="125">
        <v>0</v>
      </c>
    </row>
    <row r="2785" spans="1:10" ht="15.75" hidden="1" thickBot="1" x14ac:dyDescent="0.3">
      <c r="A2785" s="235"/>
      <c r="B2785" s="238"/>
      <c r="C2785" s="155" t="s">
        <v>9864</v>
      </c>
      <c r="D2785" s="155" t="s">
        <v>587</v>
      </c>
      <c r="E2785" s="34">
        <v>0.75</v>
      </c>
      <c r="F2785" s="28">
        <v>23.274999999999999</v>
      </c>
      <c r="G2785" s="31">
        <f>IF(ISNUMBER(F2785),E2785*F2785,"")</f>
        <v>17.456249999999997</v>
      </c>
      <c r="H2785" s="35">
        <f>SUM(G2785:G2786)</f>
        <v>31.848749999999995</v>
      </c>
      <c r="I2785" s="36"/>
      <c r="J2785" s="125">
        <v>0</v>
      </c>
    </row>
    <row r="2786" spans="1:10" ht="15.75" hidden="1" thickBot="1" x14ac:dyDescent="0.3">
      <c r="A2786" s="235"/>
      <c r="B2786" s="238"/>
      <c r="C2786" s="155" t="s">
        <v>588</v>
      </c>
      <c r="D2786" s="155" t="s">
        <v>587</v>
      </c>
      <c r="E2786" s="34">
        <v>0.75</v>
      </c>
      <c r="F2786" s="28">
        <v>19.189999999999998</v>
      </c>
      <c r="G2786" s="31">
        <f>IF(ISNUMBER(F2786),E2786*F2786,"")</f>
        <v>14.392499999999998</v>
      </c>
      <c r="H2786" s="32"/>
      <c r="I2786" s="28"/>
      <c r="J2786" s="125">
        <v>0</v>
      </c>
    </row>
    <row r="2787" spans="1:10" ht="15.75" hidden="1" thickBot="1" x14ac:dyDescent="0.3">
      <c r="A2787" s="236"/>
      <c r="B2787" s="239"/>
      <c r="C2787" s="155"/>
      <c r="D2787" s="33"/>
      <c r="E2787" s="34"/>
      <c r="F2787" s="28" t="s">
        <v>418</v>
      </c>
      <c r="G2787" s="31" t="str">
        <f>IF(ISNUMBER(F2787),E2787*F2787,"")</f>
        <v/>
      </c>
      <c r="H2787" s="32"/>
      <c r="I2787" s="28"/>
      <c r="J2787" s="125">
        <v>0</v>
      </c>
    </row>
    <row r="2788" spans="1:10" ht="15.75" hidden="1" thickBot="1" x14ac:dyDescent="0.3">
      <c r="A2788" s="234" t="s">
        <v>675</v>
      </c>
      <c r="B2788" s="237" t="s">
        <v>1687</v>
      </c>
      <c r="C2788" s="160"/>
      <c r="D2788" s="23" t="s">
        <v>70</v>
      </c>
      <c r="E2788" s="24"/>
      <c r="F2788" s="37" t="s">
        <v>418</v>
      </c>
      <c r="G2788" s="25" t="str">
        <f>IF(ISNUMBER(F2788),E2788*F2788,"")</f>
        <v/>
      </c>
      <c r="H2788" s="26"/>
      <c r="I2788" s="27"/>
      <c r="J2788" s="125">
        <v>0</v>
      </c>
    </row>
    <row r="2789" spans="1:10" ht="15.75" hidden="1" thickBot="1" x14ac:dyDescent="0.3">
      <c r="A2789" s="235"/>
      <c r="B2789" s="238"/>
      <c r="C2789" s="151"/>
      <c r="D2789" s="29"/>
      <c r="E2789" s="30"/>
      <c r="F2789" s="38" t="s">
        <v>418</v>
      </c>
      <c r="G2789" s="31" t="str">
        <f>IF(ISNUMBER(F2789),E2789*F2789,"")</f>
        <v/>
      </c>
      <c r="H2789" s="32"/>
      <c r="I2789" s="28"/>
      <c r="J2789" s="125">
        <v>0</v>
      </c>
    </row>
    <row r="2790" spans="1:10" ht="15.75" hidden="1" thickBot="1" x14ac:dyDescent="0.3">
      <c r="A2790" s="235"/>
      <c r="B2790" s="238"/>
      <c r="C2790" s="155" t="s">
        <v>676</v>
      </c>
      <c r="D2790" s="155" t="s">
        <v>870</v>
      </c>
      <c r="E2790" s="34">
        <v>1</v>
      </c>
      <c r="F2790" s="31">
        <v>597.25549999999998</v>
      </c>
      <c r="G2790" s="31">
        <f>IF(ISNUMBER(F2790),E2790*F2790,"")</f>
        <v>597.25549999999998</v>
      </c>
      <c r="H2790" s="35">
        <f>SUM(G2790:G2796)</f>
        <v>702.93311999999992</v>
      </c>
      <c r="I2790" s="36"/>
      <c r="J2790" s="125">
        <v>0</v>
      </c>
    </row>
    <row r="2791" spans="1:10" ht="39" hidden="1" thickBot="1" x14ac:dyDescent="0.3">
      <c r="A2791" s="235"/>
      <c r="B2791" s="238"/>
      <c r="C2791" s="155" t="s">
        <v>23958</v>
      </c>
      <c r="D2791" s="155" t="s">
        <v>205</v>
      </c>
      <c r="E2791" s="34">
        <v>1.7050000000000001</v>
      </c>
      <c r="F2791" s="31">
        <v>0.19</v>
      </c>
      <c r="G2791" s="31">
        <f>IF(ISNUMBER(F2791),E2791*F2791,"")</f>
        <v>0.32395000000000002</v>
      </c>
      <c r="H2791" s="32"/>
      <c r="I2791" s="28"/>
      <c r="J2791" s="125">
        <v>0</v>
      </c>
    </row>
    <row r="2792" spans="1:10" ht="15.75" hidden="1" thickBot="1" x14ac:dyDescent="0.3">
      <c r="A2792" s="235"/>
      <c r="B2792" s="238"/>
      <c r="C2792" s="155" t="s">
        <v>710</v>
      </c>
      <c r="D2792" s="155" t="s">
        <v>774</v>
      </c>
      <c r="E2792" s="34">
        <v>0.748</v>
      </c>
      <c r="F2792" s="31">
        <v>36.745999999999995</v>
      </c>
      <c r="G2792" s="31">
        <f>IF(ISNUMBER(F2792),E2792*F2792,"")</f>
        <v>27.486007999999995</v>
      </c>
      <c r="H2792" s="32"/>
      <c r="I2792" s="28"/>
      <c r="J2792" s="125">
        <v>0</v>
      </c>
    </row>
    <row r="2793" spans="1:10" ht="26.25" hidden="1" thickBot="1" x14ac:dyDescent="0.3">
      <c r="A2793" s="235"/>
      <c r="B2793" s="238"/>
      <c r="C2793" s="155" t="s">
        <v>25509</v>
      </c>
      <c r="D2793" s="155" t="s">
        <v>385</v>
      </c>
      <c r="E2793" s="34">
        <v>2.3220000000000001</v>
      </c>
      <c r="F2793" s="31">
        <v>4.484</v>
      </c>
      <c r="G2793" s="31">
        <f>IF(ISNUMBER(F2793),E2793*F2793,"")</f>
        <v>10.411848000000001</v>
      </c>
      <c r="H2793" s="32"/>
      <c r="I2793" s="28"/>
      <c r="J2793" s="125">
        <v>0</v>
      </c>
    </row>
    <row r="2794" spans="1:10" ht="15.75" hidden="1" thickBot="1" x14ac:dyDescent="0.3">
      <c r="A2794" s="235"/>
      <c r="B2794" s="238"/>
      <c r="C2794" s="155" t="s">
        <v>27384</v>
      </c>
      <c r="D2794" s="155" t="s">
        <v>205</v>
      </c>
      <c r="E2794" s="34">
        <v>0.309</v>
      </c>
      <c r="F2794" s="31">
        <v>25.916</v>
      </c>
      <c r="G2794" s="31">
        <f>IF(ISNUMBER(F2794),E2794*F2794,"")</f>
        <v>8.0080439999999999</v>
      </c>
      <c r="H2794" s="32"/>
      <c r="I2794" s="28"/>
      <c r="J2794" s="125">
        <v>0</v>
      </c>
    </row>
    <row r="2795" spans="1:10" ht="15.75" hidden="1" thickBot="1" x14ac:dyDescent="0.3">
      <c r="A2795" s="235"/>
      <c r="B2795" s="238"/>
      <c r="C2795" s="155" t="s">
        <v>588</v>
      </c>
      <c r="D2795" s="155" t="s">
        <v>587</v>
      </c>
      <c r="E2795" s="34">
        <v>1.3779999999999999</v>
      </c>
      <c r="F2795" s="28">
        <v>19.189999999999998</v>
      </c>
      <c r="G2795" s="31">
        <f>IF(ISNUMBER(F2795),E2795*F2795,"")</f>
        <v>26.443819999999995</v>
      </c>
      <c r="H2795" s="32"/>
      <c r="I2795" s="28"/>
      <c r="J2795" s="125">
        <v>0</v>
      </c>
    </row>
    <row r="2796" spans="1:10" ht="15.75" hidden="1" thickBot="1" x14ac:dyDescent="0.3">
      <c r="A2796" s="235"/>
      <c r="B2796" s="238"/>
      <c r="C2796" s="155" t="s">
        <v>9864</v>
      </c>
      <c r="D2796" s="155" t="s">
        <v>587</v>
      </c>
      <c r="E2796" s="34">
        <v>1.4179999999999999</v>
      </c>
      <c r="F2796" s="28">
        <v>23.274999999999999</v>
      </c>
      <c r="G2796" s="31">
        <f>IF(ISNUMBER(F2796),E2796*F2796,"")</f>
        <v>33.003949999999996</v>
      </c>
      <c r="H2796" s="32"/>
      <c r="I2796" s="28"/>
      <c r="J2796" s="125">
        <v>0</v>
      </c>
    </row>
    <row r="2797" spans="1:10" ht="15.75" hidden="1" thickBot="1" x14ac:dyDescent="0.3">
      <c r="A2797" s="236"/>
      <c r="B2797" s="239"/>
      <c r="C2797" s="155"/>
      <c r="D2797" s="33"/>
      <c r="E2797" s="34"/>
      <c r="F2797" s="28" t="s">
        <v>418</v>
      </c>
      <c r="G2797" s="31" t="str">
        <f>IF(ISNUMBER(F2797),E2797*F2797,"")</f>
        <v/>
      </c>
      <c r="H2797" s="32"/>
      <c r="I2797" s="28"/>
      <c r="J2797" s="125">
        <v>0</v>
      </c>
    </row>
    <row r="2798" spans="1:10" ht="15.75" hidden="1" thickBot="1" x14ac:dyDescent="0.3">
      <c r="A2798" s="234" t="s">
        <v>677</v>
      </c>
      <c r="B2798" s="237" t="s">
        <v>1688</v>
      </c>
      <c r="C2798" s="160"/>
      <c r="D2798" s="23" t="s">
        <v>16</v>
      </c>
      <c r="E2798" s="24"/>
      <c r="F2798" s="37" t="s">
        <v>418</v>
      </c>
      <c r="G2798" s="25" t="str">
        <f>IF(ISNUMBER(F2798),E2798*F2798,"")</f>
        <v/>
      </c>
      <c r="H2798" s="26"/>
      <c r="I2798" s="27"/>
      <c r="J2798" s="125">
        <v>0</v>
      </c>
    </row>
    <row r="2799" spans="1:10" ht="15.75" hidden="1" thickBot="1" x14ac:dyDescent="0.3">
      <c r="A2799" s="235"/>
      <c r="B2799" s="238"/>
      <c r="C2799" s="151"/>
      <c r="D2799" s="29"/>
      <c r="E2799" s="30"/>
      <c r="F2799" s="38" t="s">
        <v>418</v>
      </c>
      <c r="G2799" s="31" t="str">
        <f>IF(ISNUMBER(F2799),E2799*F2799,"")</f>
        <v/>
      </c>
      <c r="H2799" s="32"/>
      <c r="I2799" s="28"/>
      <c r="J2799" s="125">
        <v>0</v>
      </c>
    </row>
    <row r="2800" spans="1:10" ht="15.75" hidden="1" thickBot="1" x14ac:dyDescent="0.3">
      <c r="A2800" s="235"/>
      <c r="B2800" s="238"/>
      <c r="C2800" s="155" t="s">
        <v>9864</v>
      </c>
      <c r="D2800" s="155" t="s">
        <v>587</v>
      </c>
      <c r="E2800" s="34">
        <v>0.15</v>
      </c>
      <c r="F2800" s="31">
        <v>23.274999999999999</v>
      </c>
      <c r="G2800" s="31">
        <f>IF(ISNUMBER(F2800),E2800*F2800,"")</f>
        <v>3.4912499999999995</v>
      </c>
      <c r="H2800" s="35">
        <f>SUM(G2800:G2801)</f>
        <v>4.4412499999999993</v>
      </c>
      <c r="I2800" s="36"/>
      <c r="J2800" s="125">
        <v>0</v>
      </c>
    </row>
    <row r="2801" spans="1:10" ht="26.25" hidden="1" thickBot="1" x14ac:dyDescent="0.3">
      <c r="A2801" s="235"/>
      <c r="B2801" s="238"/>
      <c r="C2801" s="155" t="s">
        <v>678</v>
      </c>
      <c r="D2801" s="33" t="s">
        <v>16</v>
      </c>
      <c r="E2801" s="34">
        <v>1</v>
      </c>
      <c r="F2801" s="28">
        <v>0.95</v>
      </c>
      <c r="G2801" s="31">
        <f>IF(ISNUMBER(F2801),E2801*F2801,"")</f>
        <v>0.95</v>
      </c>
      <c r="H2801" s="32"/>
      <c r="I2801" s="28"/>
      <c r="J2801" s="125">
        <v>0</v>
      </c>
    </row>
    <row r="2802" spans="1:10" ht="15.75" hidden="1" thickBot="1" x14ac:dyDescent="0.3">
      <c r="A2802" s="236"/>
      <c r="B2802" s="239"/>
      <c r="C2802" s="155"/>
      <c r="D2802" s="33"/>
      <c r="E2802" s="34"/>
      <c r="F2802" s="28" t="s">
        <v>418</v>
      </c>
      <c r="G2802" s="31" t="str">
        <f>IF(ISNUMBER(F2802),E2802*F2802,"")</f>
        <v/>
      </c>
      <c r="H2802" s="32"/>
      <c r="I2802" s="28"/>
      <c r="J2802" s="125">
        <v>0</v>
      </c>
    </row>
    <row r="2803" spans="1:10" ht="15.75" hidden="1" thickBot="1" x14ac:dyDescent="0.3">
      <c r="A2803" s="234" t="s">
        <v>679</v>
      </c>
      <c r="B2803" s="237" t="s">
        <v>1689</v>
      </c>
      <c r="C2803" s="160"/>
      <c r="D2803" s="23" t="s">
        <v>16</v>
      </c>
      <c r="E2803" s="24"/>
      <c r="F2803" s="37" t="s">
        <v>418</v>
      </c>
      <c r="G2803" s="25" t="str">
        <f>IF(ISNUMBER(F2803),E2803*F2803,"")</f>
        <v/>
      </c>
      <c r="H2803" s="26"/>
      <c r="I2803" s="27"/>
      <c r="J2803" s="125">
        <v>0</v>
      </c>
    </row>
    <row r="2804" spans="1:10" ht="15.75" hidden="1" thickBot="1" x14ac:dyDescent="0.3">
      <c r="A2804" s="235"/>
      <c r="B2804" s="238"/>
      <c r="C2804" s="151"/>
      <c r="D2804" s="29"/>
      <c r="E2804" s="30"/>
      <c r="F2804" s="38" t="s">
        <v>418</v>
      </c>
      <c r="G2804" s="31" t="str">
        <f>IF(ISNUMBER(F2804),E2804*F2804,"")</f>
        <v/>
      </c>
      <c r="H2804" s="32"/>
      <c r="I2804" s="28"/>
      <c r="J2804" s="125">
        <v>0</v>
      </c>
    </row>
    <row r="2805" spans="1:10" ht="15.75" hidden="1" thickBot="1" x14ac:dyDescent="0.3">
      <c r="A2805" s="235"/>
      <c r="B2805" s="238"/>
      <c r="C2805" s="155" t="s">
        <v>9864</v>
      </c>
      <c r="D2805" s="155" t="s">
        <v>587</v>
      </c>
      <c r="E2805" s="34">
        <v>0.3</v>
      </c>
      <c r="F2805" s="31">
        <v>23.274999999999999</v>
      </c>
      <c r="G2805" s="31">
        <f>IF(ISNUMBER(F2805),E2805*F2805,"")</f>
        <v>6.982499999999999</v>
      </c>
      <c r="H2805" s="35">
        <f>SUM(G2805:G2806)</f>
        <v>7.9324999999999992</v>
      </c>
      <c r="I2805" s="36"/>
      <c r="J2805" s="125">
        <v>0</v>
      </c>
    </row>
    <row r="2806" spans="1:10" ht="26.25" hidden="1" thickBot="1" x14ac:dyDescent="0.3">
      <c r="A2806" s="235"/>
      <c r="B2806" s="238"/>
      <c r="C2806" s="155" t="s">
        <v>680</v>
      </c>
      <c r="D2806" s="42" t="s">
        <v>16</v>
      </c>
      <c r="E2806" s="34">
        <v>1</v>
      </c>
      <c r="F2806" s="28">
        <v>0.95</v>
      </c>
      <c r="G2806" s="31">
        <f>IF(ISNUMBER(F2806),E2806*F2806,"")</f>
        <v>0.95</v>
      </c>
      <c r="H2806" s="32"/>
      <c r="I2806" s="28"/>
      <c r="J2806" s="125">
        <v>0</v>
      </c>
    </row>
    <row r="2807" spans="1:10" ht="15.75" hidden="1" thickBot="1" x14ac:dyDescent="0.3">
      <c r="A2807" s="236"/>
      <c r="B2807" s="239"/>
      <c r="C2807" s="155"/>
      <c r="D2807" s="33"/>
      <c r="E2807" s="34"/>
      <c r="F2807" s="28" t="s">
        <v>418</v>
      </c>
      <c r="G2807" s="31" t="str">
        <f>IF(ISNUMBER(F2807),E2807*F2807,"")</f>
        <v/>
      </c>
      <c r="H2807" s="32"/>
      <c r="I2807" s="28"/>
      <c r="J2807" s="125">
        <v>0</v>
      </c>
    </row>
    <row r="2808" spans="1:10" ht="15.75" hidden="1" thickBot="1" x14ac:dyDescent="0.3">
      <c r="A2808" s="234" t="s">
        <v>681</v>
      </c>
      <c r="B2808" s="237" t="s">
        <v>1690</v>
      </c>
      <c r="C2808" s="160"/>
      <c r="D2808" s="23" t="s">
        <v>16</v>
      </c>
      <c r="E2808" s="24"/>
      <c r="F2808" s="37" t="s">
        <v>418</v>
      </c>
      <c r="G2808" s="25" t="str">
        <f>IF(ISNUMBER(F2808),E2808*F2808,"")</f>
        <v/>
      </c>
      <c r="H2808" s="26"/>
      <c r="I2808" s="27"/>
      <c r="J2808" s="125">
        <v>0</v>
      </c>
    </row>
    <row r="2809" spans="1:10" ht="15.75" hidden="1" thickBot="1" x14ac:dyDescent="0.3">
      <c r="A2809" s="235"/>
      <c r="B2809" s="238"/>
      <c r="C2809" s="151"/>
      <c r="D2809" s="29"/>
      <c r="E2809" s="30"/>
      <c r="F2809" s="38" t="s">
        <v>418</v>
      </c>
      <c r="G2809" s="31" t="str">
        <f>IF(ISNUMBER(F2809),E2809*F2809,"")</f>
        <v/>
      </c>
      <c r="H2809" s="32"/>
      <c r="I2809" s="28"/>
      <c r="J2809" s="125">
        <v>0</v>
      </c>
    </row>
    <row r="2810" spans="1:10" ht="15.75" hidden="1" thickBot="1" x14ac:dyDescent="0.3">
      <c r="A2810" s="235"/>
      <c r="B2810" s="238"/>
      <c r="C2810" s="155" t="s">
        <v>9864</v>
      </c>
      <c r="D2810" s="155" t="s">
        <v>587</v>
      </c>
      <c r="E2810" s="34">
        <v>0.15</v>
      </c>
      <c r="F2810" s="31">
        <v>23.274999999999999</v>
      </c>
      <c r="G2810" s="31">
        <f>IF(ISNUMBER(F2810),E2810*F2810,"")</f>
        <v>3.4912499999999995</v>
      </c>
      <c r="H2810" s="35">
        <f>SUM(G2810:G2811)</f>
        <v>4.4412499999999993</v>
      </c>
      <c r="I2810" s="36"/>
      <c r="J2810" s="125">
        <v>0</v>
      </c>
    </row>
    <row r="2811" spans="1:10" ht="26.25" hidden="1" thickBot="1" x14ac:dyDescent="0.3">
      <c r="A2811" s="235"/>
      <c r="B2811" s="238"/>
      <c r="C2811" s="155" t="s">
        <v>682</v>
      </c>
      <c r="D2811" s="33" t="s">
        <v>16</v>
      </c>
      <c r="E2811" s="34">
        <v>1</v>
      </c>
      <c r="F2811" s="28">
        <v>0.95</v>
      </c>
      <c r="G2811" s="31">
        <f>IF(ISNUMBER(F2811),E2811*F2811,"")</f>
        <v>0.95</v>
      </c>
      <c r="H2811" s="32"/>
      <c r="I2811" s="28"/>
      <c r="J2811" s="125">
        <v>0</v>
      </c>
    </row>
    <row r="2812" spans="1:10" ht="15.75" hidden="1" thickBot="1" x14ac:dyDescent="0.3">
      <c r="A2812" s="236"/>
      <c r="B2812" s="239"/>
      <c r="C2812" s="155"/>
      <c r="D2812" s="33"/>
      <c r="E2812" s="34"/>
      <c r="F2812" s="28" t="s">
        <v>418</v>
      </c>
      <c r="G2812" s="31" t="str">
        <f>IF(ISNUMBER(F2812),E2812*F2812,"")</f>
        <v/>
      </c>
      <c r="H2812" s="32"/>
      <c r="I2812" s="28"/>
      <c r="J2812" s="125">
        <v>0</v>
      </c>
    </row>
    <row r="2813" spans="1:10" ht="15.75" hidden="1" thickBot="1" x14ac:dyDescent="0.3">
      <c r="A2813" s="234" t="s">
        <v>683</v>
      </c>
      <c r="B2813" s="237" t="s">
        <v>1691</v>
      </c>
      <c r="C2813" s="160"/>
      <c r="D2813" s="23" t="s">
        <v>16</v>
      </c>
      <c r="E2813" s="24"/>
      <c r="F2813" s="37" t="s">
        <v>418</v>
      </c>
      <c r="G2813" s="25" t="str">
        <f>IF(ISNUMBER(F2813),E2813*F2813,"")</f>
        <v/>
      </c>
      <c r="H2813" s="26"/>
      <c r="I2813" s="27"/>
      <c r="J2813" s="125">
        <v>0</v>
      </c>
    </row>
    <row r="2814" spans="1:10" ht="15.75" hidden="1" thickBot="1" x14ac:dyDescent="0.3">
      <c r="A2814" s="235"/>
      <c r="B2814" s="238"/>
      <c r="C2814" s="151"/>
      <c r="D2814" s="29"/>
      <c r="E2814" s="30"/>
      <c r="F2814" s="38" t="s">
        <v>418</v>
      </c>
      <c r="G2814" s="31" t="str">
        <f>IF(ISNUMBER(F2814),E2814*F2814,"")</f>
        <v/>
      </c>
      <c r="H2814" s="32"/>
      <c r="I2814" s="28"/>
      <c r="J2814" s="125">
        <v>0</v>
      </c>
    </row>
    <row r="2815" spans="1:10" ht="15.75" hidden="1" thickBot="1" x14ac:dyDescent="0.3">
      <c r="A2815" s="235"/>
      <c r="B2815" s="238"/>
      <c r="C2815" s="155" t="s">
        <v>9864</v>
      </c>
      <c r="D2815" s="155" t="s">
        <v>587</v>
      </c>
      <c r="E2815" s="34">
        <v>0.3</v>
      </c>
      <c r="F2815" s="31">
        <v>23.274999999999999</v>
      </c>
      <c r="G2815" s="31">
        <f>IF(ISNUMBER(F2815),E2815*F2815,"")</f>
        <v>6.982499999999999</v>
      </c>
      <c r="H2815" s="35">
        <f>SUM(G2815:G2816)</f>
        <v>7.9324999999999992</v>
      </c>
      <c r="I2815" s="36"/>
      <c r="J2815" s="125">
        <v>0</v>
      </c>
    </row>
    <row r="2816" spans="1:10" ht="26.25" hidden="1" thickBot="1" x14ac:dyDescent="0.3">
      <c r="A2816" s="235"/>
      <c r="B2816" s="238"/>
      <c r="C2816" s="155" t="s">
        <v>684</v>
      </c>
      <c r="D2816" s="33" t="s">
        <v>16</v>
      </c>
      <c r="E2816" s="34">
        <v>1</v>
      </c>
      <c r="F2816" s="28">
        <v>0.95</v>
      </c>
      <c r="G2816" s="31">
        <f>IF(ISNUMBER(F2816),E2816*F2816,"")</f>
        <v>0.95</v>
      </c>
      <c r="H2816" s="32"/>
      <c r="I2816" s="28"/>
      <c r="J2816" s="125">
        <v>0</v>
      </c>
    </row>
    <row r="2817" spans="1:10" ht="15.75" hidden="1" thickBot="1" x14ac:dyDescent="0.3">
      <c r="A2817" s="235"/>
      <c r="B2817" s="238"/>
      <c r="C2817" s="155"/>
      <c r="D2817" s="33"/>
      <c r="E2817" s="34"/>
      <c r="F2817" s="28" t="s">
        <v>418</v>
      </c>
      <c r="G2817" s="31" t="str">
        <f>IF(ISNUMBER(F2817),E2817*F2817,"")</f>
        <v/>
      </c>
      <c r="H2817" s="32"/>
      <c r="I2817" s="28"/>
      <c r="J2817" s="125">
        <v>0</v>
      </c>
    </row>
    <row r="2818" spans="1:10" ht="39.75" hidden="1" thickBot="1" x14ac:dyDescent="0.3">
      <c r="A2818" s="235"/>
      <c r="B2818" s="238"/>
      <c r="C2818" s="119" t="s">
        <v>685</v>
      </c>
      <c r="D2818" s="33"/>
      <c r="E2818" s="34"/>
      <c r="F2818" s="28" t="s">
        <v>418</v>
      </c>
      <c r="G2818" s="31" t="str">
        <f>IF(ISNUMBER(F2818),E2818*F2818,"")</f>
        <v/>
      </c>
      <c r="H2818" s="32"/>
      <c r="I2818" s="28"/>
      <c r="J2818" s="125">
        <v>0</v>
      </c>
    </row>
    <row r="2819" spans="1:10" ht="15.75" hidden="1" thickBot="1" x14ac:dyDescent="0.3">
      <c r="A2819" s="236"/>
      <c r="B2819" s="239"/>
      <c r="C2819" s="155"/>
      <c r="D2819" s="33"/>
      <c r="E2819" s="34"/>
      <c r="F2819" s="28" t="s">
        <v>418</v>
      </c>
      <c r="G2819" s="31" t="str">
        <f>IF(ISNUMBER(F2819),E2819*F2819,"")</f>
        <v/>
      </c>
      <c r="H2819" s="32"/>
      <c r="I2819" s="28"/>
      <c r="J2819" s="125">
        <v>0</v>
      </c>
    </row>
    <row r="2820" spans="1:10" ht="15.75" hidden="1" thickBot="1" x14ac:dyDescent="0.3">
      <c r="A2820" s="234" t="s">
        <v>686</v>
      </c>
      <c r="B2820" s="237" t="s">
        <v>1692</v>
      </c>
      <c r="C2820" s="160"/>
      <c r="D2820" s="23" t="s">
        <v>16</v>
      </c>
      <c r="E2820" s="24"/>
      <c r="F2820" s="37" t="s">
        <v>418</v>
      </c>
      <c r="G2820" s="25" t="str">
        <f>IF(ISNUMBER(F2820),E2820*F2820,"")</f>
        <v/>
      </c>
      <c r="H2820" s="26"/>
      <c r="I2820" s="27"/>
      <c r="J2820" s="125">
        <v>0</v>
      </c>
    </row>
    <row r="2821" spans="1:10" ht="15.75" hidden="1" thickBot="1" x14ac:dyDescent="0.3">
      <c r="A2821" s="235"/>
      <c r="B2821" s="238"/>
      <c r="C2821" s="151"/>
      <c r="D2821" s="29"/>
      <c r="E2821" s="30"/>
      <c r="F2821" s="38" t="s">
        <v>418</v>
      </c>
      <c r="G2821" s="31" t="str">
        <f>IF(ISNUMBER(F2821),E2821*F2821,"")</f>
        <v/>
      </c>
      <c r="H2821" s="32"/>
      <c r="I2821" s="28"/>
      <c r="J2821" s="125">
        <v>0</v>
      </c>
    </row>
    <row r="2822" spans="1:10" ht="15.75" hidden="1" thickBot="1" x14ac:dyDescent="0.3">
      <c r="A2822" s="235"/>
      <c r="B2822" s="238"/>
      <c r="C2822" s="155" t="s">
        <v>9864</v>
      </c>
      <c r="D2822" s="155" t="s">
        <v>587</v>
      </c>
      <c r="E2822" s="34">
        <v>0.15</v>
      </c>
      <c r="F2822" s="31">
        <v>23.274999999999999</v>
      </c>
      <c r="G2822" s="31">
        <f>IF(ISNUMBER(F2822),E2822*F2822,"")</f>
        <v>3.4912499999999995</v>
      </c>
      <c r="H2822" s="35">
        <f>SUM(G2822:G2823)</f>
        <v>4.4412499999999993</v>
      </c>
      <c r="I2822" s="36"/>
      <c r="J2822" s="125">
        <v>0</v>
      </c>
    </row>
    <row r="2823" spans="1:10" ht="15.75" hidden="1" thickBot="1" x14ac:dyDescent="0.3">
      <c r="A2823" s="235"/>
      <c r="B2823" s="238"/>
      <c r="C2823" s="155" t="s">
        <v>687</v>
      </c>
      <c r="D2823" s="33" t="s">
        <v>16</v>
      </c>
      <c r="E2823" s="34">
        <v>1</v>
      </c>
      <c r="F2823" s="28">
        <v>0.95</v>
      </c>
      <c r="G2823" s="31">
        <f>IF(ISNUMBER(F2823),E2823*F2823,"")</f>
        <v>0.95</v>
      </c>
      <c r="H2823" s="32"/>
      <c r="I2823" s="28"/>
      <c r="J2823" s="125">
        <v>0</v>
      </c>
    </row>
    <row r="2824" spans="1:10" ht="15.75" hidden="1" thickBot="1" x14ac:dyDescent="0.3">
      <c r="A2824" s="236"/>
      <c r="B2824" s="239"/>
      <c r="C2824" s="155"/>
      <c r="D2824" s="33"/>
      <c r="E2824" s="34"/>
      <c r="F2824" s="28" t="s">
        <v>418</v>
      </c>
      <c r="G2824" s="31" t="str">
        <f>IF(ISNUMBER(F2824),E2824*F2824,"")</f>
        <v/>
      </c>
      <c r="H2824" s="32"/>
      <c r="I2824" s="28"/>
      <c r="J2824" s="125">
        <v>0</v>
      </c>
    </row>
    <row r="2825" spans="1:10" ht="15.75" hidden="1" thickBot="1" x14ac:dyDescent="0.3">
      <c r="A2825" s="234" t="s">
        <v>688</v>
      </c>
      <c r="B2825" s="237" t="s">
        <v>1693</v>
      </c>
      <c r="C2825" s="160"/>
      <c r="D2825" s="23" t="s">
        <v>16</v>
      </c>
      <c r="E2825" s="24"/>
      <c r="F2825" s="37" t="s">
        <v>418</v>
      </c>
      <c r="G2825" s="25" t="str">
        <f>IF(ISNUMBER(F2825),E2825*F2825,"")</f>
        <v/>
      </c>
      <c r="H2825" s="26"/>
      <c r="I2825" s="27"/>
      <c r="J2825" s="125">
        <v>0</v>
      </c>
    </row>
    <row r="2826" spans="1:10" ht="15.75" hidden="1" thickBot="1" x14ac:dyDescent="0.3">
      <c r="A2826" s="235"/>
      <c r="B2826" s="238"/>
      <c r="C2826" s="151"/>
      <c r="D2826" s="29"/>
      <c r="E2826" s="30"/>
      <c r="F2826" s="38" t="s">
        <v>418</v>
      </c>
      <c r="G2826" s="31" t="str">
        <f>IF(ISNUMBER(F2826),E2826*F2826,"")</f>
        <v/>
      </c>
      <c r="H2826" s="32"/>
      <c r="I2826" s="28"/>
      <c r="J2826" s="125">
        <v>0</v>
      </c>
    </row>
    <row r="2827" spans="1:10" ht="15.75" hidden="1" thickBot="1" x14ac:dyDescent="0.3">
      <c r="A2827" s="235"/>
      <c r="B2827" s="238"/>
      <c r="C2827" s="155" t="s">
        <v>9864</v>
      </c>
      <c r="D2827" s="155" t="s">
        <v>587</v>
      </c>
      <c r="E2827" s="34">
        <v>0.4</v>
      </c>
      <c r="F2827" s="31">
        <v>23.274999999999999</v>
      </c>
      <c r="G2827" s="31">
        <f>IF(ISNUMBER(F2827),E2827*F2827,"")</f>
        <v>9.31</v>
      </c>
      <c r="H2827" s="35">
        <f>SUM(G2827:G2828)</f>
        <v>9.31</v>
      </c>
      <c r="I2827" s="36"/>
      <c r="J2827" s="125">
        <v>0</v>
      </c>
    </row>
    <row r="2828" spans="1:10" ht="26.25" hidden="1" thickBot="1" x14ac:dyDescent="0.3">
      <c r="A2828" s="235"/>
      <c r="B2828" s="238"/>
      <c r="C2828" s="155" t="s">
        <v>689</v>
      </c>
      <c r="D2828" s="33" t="s">
        <v>16</v>
      </c>
      <c r="E2828" s="34">
        <v>1</v>
      </c>
      <c r="F2828" s="28" t="s">
        <v>418</v>
      </c>
      <c r="G2828" s="31" t="str">
        <f>IF(ISNUMBER(F2828),E2828*F2828,"")</f>
        <v/>
      </c>
      <c r="H2828" s="32"/>
      <c r="I2828" s="28"/>
      <c r="J2828" s="125">
        <v>0</v>
      </c>
    </row>
    <row r="2829" spans="1:10" ht="15.75" hidden="1" thickBot="1" x14ac:dyDescent="0.3">
      <c r="A2829" s="236"/>
      <c r="B2829" s="239"/>
      <c r="C2829" s="155"/>
      <c r="D2829" s="33"/>
      <c r="E2829" s="34"/>
      <c r="F2829" s="28" t="s">
        <v>418</v>
      </c>
      <c r="G2829" s="31" t="str">
        <f>IF(ISNUMBER(F2829),E2829*F2829,"")</f>
        <v/>
      </c>
      <c r="H2829" s="32"/>
      <c r="I2829" s="28"/>
      <c r="J2829" s="125">
        <v>0</v>
      </c>
    </row>
    <row r="2830" spans="1:10" ht="15.75" hidden="1" thickBot="1" x14ac:dyDescent="0.3">
      <c r="A2830" s="234" t="s">
        <v>690</v>
      </c>
      <c r="B2830" s="237" t="s">
        <v>1694</v>
      </c>
      <c r="C2830" s="160"/>
      <c r="D2830" s="23" t="s">
        <v>16</v>
      </c>
      <c r="E2830" s="24"/>
      <c r="F2830" s="37" t="s">
        <v>418</v>
      </c>
      <c r="G2830" s="25" t="str">
        <f>IF(ISNUMBER(F2830),E2830*F2830,"")</f>
        <v/>
      </c>
      <c r="H2830" s="26"/>
      <c r="I2830" s="27"/>
      <c r="J2830" s="125">
        <v>0</v>
      </c>
    </row>
    <row r="2831" spans="1:10" ht="15.75" hidden="1" thickBot="1" x14ac:dyDescent="0.3">
      <c r="A2831" s="235"/>
      <c r="B2831" s="238"/>
      <c r="C2831" s="151"/>
      <c r="D2831" s="29"/>
      <c r="E2831" s="30"/>
      <c r="F2831" s="38" t="s">
        <v>418</v>
      </c>
      <c r="G2831" s="31" t="str">
        <f>IF(ISNUMBER(F2831),E2831*F2831,"")</f>
        <v/>
      </c>
      <c r="H2831" s="32"/>
      <c r="I2831" s="28"/>
      <c r="J2831" s="125">
        <v>0</v>
      </c>
    </row>
    <row r="2832" spans="1:10" ht="15.75" hidden="1" thickBot="1" x14ac:dyDescent="0.3">
      <c r="A2832" s="235"/>
      <c r="B2832" s="238"/>
      <c r="C2832" s="155" t="s">
        <v>9864</v>
      </c>
      <c r="D2832" s="155" t="s">
        <v>587</v>
      </c>
      <c r="E2832" s="34">
        <v>0.4</v>
      </c>
      <c r="F2832" s="31">
        <v>23.274999999999999</v>
      </c>
      <c r="G2832" s="31">
        <f>IF(ISNUMBER(F2832),E2832*F2832,"")</f>
        <v>9.31</v>
      </c>
      <c r="H2832" s="35">
        <f>SUM(G2832:G2833)</f>
        <v>9.31</v>
      </c>
      <c r="I2832" s="36"/>
      <c r="J2832" s="125">
        <v>0</v>
      </c>
    </row>
    <row r="2833" spans="1:10" ht="26.25" hidden="1" thickBot="1" x14ac:dyDescent="0.3">
      <c r="A2833" s="235"/>
      <c r="B2833" s="238"/>
      <c r="C2833" s="155" t="s">
        <v>691</v>
      </c>
      <c r="D2833" s="33" t="s">
        <v>16</v>
      </c>
      <c r="E2833" s="34">
        <v>1</v>
      </c>
      <c r="F2833" s="28" t="s">
        <v>418</v>
      </c>
      <c r="G2833" s="31" t="str">
        <f>IF(ISNUMBER(F2833),E2833*F2833,"")</f>
        <v/>
      </c>
      <c r="H2833" s="32"/>
      <c r="I2833" s="28"/>
      <c r="J2833" s="125">
        <v>0</v>
      </c>
    </row>
    <row r="2834" spans="1:10" ht="15.75" hidden="1" thickBot="1" x14ac:dyDescent="0.3">
      <c r="A2834" s="236"/>
      <c r="B2834" s="239"/>
      <c r="C2834" s="155"/>
      <c r="D2834" s="33"/>
      <c r="E2834" s="34"/>
      <c r="F2834" s="28" t="s">
        <v>418</v>
      </c>
      <c r="G2834" s="31" t="str">
        <f>IF(ISNUMBER(F2834),E2834*F2834,"")</f>
        <v/>
      </c>
      <c r="H2834" s="32"/>
      <c r="I2834" s="28"/>
      <c r="J2834" s="125">
        <v>0</v>
      </c>
    </row>
    <row r="2835" spans="1:10" ht="15.75" hidden="1" thickBot="1" x14ac:dyDescent="0.3">
      <c r="A2835" s="234" t="s">
        <v>692</v>
      </c>
      <c r="B2835" s="237" t="s">
        <v>1695</v>
      </c>
      <c r="C2835" s="160"/>
      <c r="D2835" s="23" t="s">
        <v>16</v>
      </c>
      <c r="E2835" s="24"/>
      <c r="F2835" s="37" t="s">
        <v>418</v>
      </c>
      <c r="G2835" s="25" t="str">
        <f>IF(ISNUMBER(F2835),E2835*F2835,"")</f>
        <v/>
      </c>
      <c r="H2835" s="26"/>
      <c r="I2835" s="27"/>
      <c r="J2835" s="125">
        <v>0</v>
      </c>
    </row>
    <row r="2836" spans="1:10" ht="15.75" hidden="1" thickBot="1" x14ac:dyDescent="0.3">
      <c r="A2836" s="235"/>
      <c r="B2836" s="238"/>
      <c r="C2836" s="151"/>
      <c r="D2836" s="29"/>
      <c r="E2836" s="30"/>
      <c r="F2836" s="38" t="s">
        <v>418</v>
      </c>
      <c r="G2836" s="31" t="str">
        <f>IF(ISNUMBER(F2836),E2836*F2836,"")</f>
        <v/>
      </c>
      <c r="H2836" s="32"/>
      <c r="I2836" s="28"/>
      <c r="J2836" s="125">
        <v>0</v>
      </c>
    </row>
    <row r="2837" spans="1:10" ht="15.75" hidden="1" thickBot="1" x14ac:dyDescent="0.3">
      <c r="A2837" s="235"/>
      <c r="B2837" s="238"/>
      <c r="C2837" s="155" t="s">
        <v>9864</v>
      </c>
      <c r="D2837" s="155" t="s">
        <v>587</v>
      </c>
      <c r="E2837" s="34">
        <v>0.4</v>
      </c>
      <c r="F2837" s="31">
        <v>23.274999999999999</v>
      </c>
      <c r="G2837" s="31">
        <f>IF(ISNUMBER(F2837),E2837*F2837,"")</f>
        <v>9.31</v>
      </c>
      <c r="H2837" s="35">
        <f>SUM(G2837:G2838)</f>
        <v>9.31</v>
      </c>
      <c r="I2837" s="36"/>
      <c r="J2837" s="125">
        <v>0</v>
      </c>
    </row>
    <row r="2838" spans="1:10" ht="26.25" hidden="1" thickBot="1" x14ac:dyDescent="0.3">
      <c r="A2838" s="235"/>
      <c r="B2838" s="238"/>
      <c r="C2838" s="155" t="s">
        <v>693</v>
      </c>
      <c r="D2838" s="33" t="s">
        <v>16</v>
      </c>
      <c r="E2838" s="34">
        <v>1</v>
      </c>
      <c r="F2838" s="28" t="s">
        <v>418</v>
      </c>
      <c r="G2838" s="31" t="str">
        <f>IF(ISNUMBER(F2838),E2838*F2838,"")</f>
        <v/>
      </c>
      <c r="H2838" s="32"/>
      <c r="I2838" s="28"/>
      <c r="J2838" s="125">
        <v>0</v>
      </c>
    </row>
    <row r="2839" spans="1:10" ht="15.75" hidden="1" thickBot="1" x14ac:dyDescent="0.3">
      <c r="A2839" s="236"/>
      <c r="B2839" s="239"/>
      <c r="C2839" s="155"/>
      <c r="D2839" s="33"/>
      <c r="E2839" s="34"/>
      <c r="F2839" s="28" t="s">
        <v>418</v>
      </c>
      <c r="G2839" s="31" t="str">
        <f>IF(ISNUMBER(F2839),E2839*F2839,"")</f>
        <v/>
      </c>
      <c r="H2839" s="32"/>
      <c r="I2839" s="28"/>
      <c r="J2839" s="125">
        <v>0</v>
      </c>
    </row>
    <row r="2840" spans="1:10" ht="15.75" hidden="1" thickBot="1" x14ac:dyDescent="0.3">
      <c r="A2840" s="234" t="s">
        <v>694</v>
      </c>
      <c r="B2840" s="237" t="s">
        <v>1696</v>
      </c>
      <c r="C2840" s="160"/>
      <c r="D2840" s="23" t="s">
        <v>16</v>
      </c>
      <c r="E2840" s="24"/>
      <c r="F2840" s="37" t="s">
        <v>418</v>
      </c>
      <c r="G2840" s="25" t="str">
        <f>IF(ISNUMBER(F2840),E2840*F2840,"")</f>
        <v/>
      </c>
      <c r="H2840" s="26"/>
      <c r="I2840" s="27"/>
      <c r="J2840" s="125">
        <v>0</v>
      </c>
    </row>
    <row r="2841" spans="1:10" ht="15.75" hidden="1" thickBot="1" x14ac:dyDescent="0.3">
      <c r="A2841" s="235"/>
      <c r="B2841" s="238"/>
      <c r="C2841" s="151"/>
      <c r="D2841" s="29"/>
      <c r="E2841" s="30"/>
      <c r="F2841" s="38" t="s">
        <v>418</v>
      </c>
      <c r="G2841" s="31" t="str">
        <f>IF(ISNUMBER(F2841),E2841*F2841,"")</f>
        <v/>
      </c>
      <c r="H2841" s="32"/>
      <c r="I2841" s="28"/>
      <c r="J2841" s="125">
        <v>0</v>
      </c>
    </row>
    <row r="2842" spans="1:10" ht="15.75" hidden="1" thickBot="1" x14ac:dyDescent="0.3">
      <c r="A2842" s="235"/>
      <c r="B2842" s="238"/>
      <c r="C2842" s="155" t="s">
        <v>9864</v>
      </c>
      <c r="D2842" s="155" t="s">
        <v>587</v>
      </c>
      <c r="E2842" s="34">
        <v>0.25</v>
      </c>
      <c r="F2842" s="31">
        <v>23.274999999999999</v>
      </c>
      <c r="G2842" s="31">
        <f>IF(ISNUMBER(F2842),E2842*F2842,"")</f>
        <v>5.8187499999999996</v>
      </c>
      <c r="H2842" s="35">
        <f>SUM(G2842:G2843)</f>
        <v>5.8187499999999996</v>
      </c>
      <c r="I2842" s="36"/>
      <c r="J2842" s="125">
        <v>0</v>
      </c>
    </row>
    <row r="2843" spans="1:10" ht="39" hidden="1" thickBot="1" x14ac:dyDescent="0.3">
      <c r="A2843" s="235"/>
      <c r="B2843" s="238"/>
      <c r="C2843" s="155" t="s">
        <v>695</v>
      </c>
      <c r="D2843" s="33" t="s">
        <v>16</v>
      </c>
      <c r="E2843" s="34">
        <v>1</v>
      </c>
      <c r="F2843" s="28" t="s">
        <v>418</v>
      </c>
      <c r="G2843" s="31" t="str">
        <f>IF(ISNUMBER(F2843),E2843*F2843,"")</f>
        <v/>
      </c>
      <c r="H2843" s="32"/>
      <c r="I2843" s="28"/>
      <c r="J2843" s="125">
        <v>0</v>
      </c>
    </row>
    <row r="2844" spans="1:10" ht="15.75" hidden="1" thickBot="1" x14ac:dyDescent="0.3">
      <c r="A2844" s="236"/>
      <c r="B2844" s="239"/>
      <c r="C2844" s="155"/>
      <c r="D2844" s="33"/>
      <c r="E2844" s="34"/>
      <c r="F2844" s="28" t="s">
        <v>418</v>
      </c>
      <c r="G2844" s="31" t="str">
        <f>IF(ISNUMBER(F2844),E2844*F2844,"")</f>
        <v/>
      </c>
      <c r="H2844" s="32"/>
      <c r="I2844" s="28"/>
      <c r="J2844" s="125">
        <v>0</v>
      </c>
    </row>
    <row r="2845" spans="1:10" ht="15.75" hidden="1" thickBot="1" x14ac:dyDescent="0.3">
      <c r="A2845" s="234" t="s">
        <v>696</v>
      </c>
      <c r="B2845" s="237" t="s">
        <v>1697</v>
      </c>
      <c r="C2845" s="160"/>
      <c r="D2845" s="23" t="s">
        <v>16</v>
      </c>
      <c r="E2845" s="24"/>
      <c r="F2845" s="37" t="s">
        <v>418</v>
      </c>
      <c r="G2845" s="25" t="str">
        <f>IF(ISNUMBER(F2845),E2845*F2845,"")</f>
        <v/>
      </c>
      <c r="H2845" s="26"/>
      <c r="I2845" s="27"/>
      <c r="J2845" s="125">
        <v>0</v>
      </c>
    </row>
    <row r="2846" spans="1:10" ht="15.75" hidden="1" thickBot="1" x14ac:dyDescent="0.3">
      <c r="A2846" s="235"/>
      <c r="B2846" s="238"/>
      <c r="C2846" s="151"/>
      <c r="D2846" s="29"/>
      <c r="E2846" s="30"/>
      <c r="F2846" s="38" t="s">
        <v>418</v>
      </c>
      <c r="G2846" s="31" t="str">
        <f>IF(ISNUMBER(F2846),E2846*F2846,"")</f>
        <v/>
      </c>
      <c r="H2846" s="32"/>
      <c r="I2846" s="28"/>
      <c r="J2846" s="125">
        <v>0</v>
      </c>
    </row>
    <row r="2847" spans="1:10" ht="15.75" hidden="1" thickBot="1" x14ac:dyDescent="0.3">
      <c r="A2847" s="235"/>
      <c r="B2847" s="238"/>
      <c r="C2847" s="155" t="s">
        <v>9864</v>
      </c>
      <c r="D2847" s="155" t="s">
        <v>587</v>
      </c>
      <c r="E2847" s="34">
        <v>0.25</v>
      </c>
      <c r="F2847" s="31">
        <v>23.274999999999999</v>
      </c>
      <c r="G2847" s="31">
        <f>IF(ISNUMBER(F2847),E2847*F2847,"")</f>
        <v>5.8187499999999996</v>
      </c>
      <c r="H2847" s="35">
        <f>SUM(G2847:G2848)</f>
        <v>5.8187499999999996</v>
      </c>
      <c r="I2847" s="36"/>
      <c r="J2847" s="125">
        <v>0</v>
      </c>
    </row>
    <row r="2848" spans="1:10" ht="39" hidden="1" thickBot="1" x14ac:dyDescent="0.3">
      <c r="A2848" s="235"/>
      <c r="B2848" s="238"/>
      <c r="C2848" s="155" t="s">
        <v>697</v>
      </c>
      <c r="D2848" s="33" t="s">
        <v>16</v>
      </c>
      <c r="E2848" s="34">
        <v>1</v>
      </c>
      <c r="F2848" s="28" t="s">
        <v>418</v>
      </c>
      <c r="G2848" s="31" t="str">
        <f>IF(ISNUMBER(F2848),E2848*F2848,"")</f>
        <v/>
      </c>
      <c r="H2848" s="32"/>
      <c r="I2848" s="28"/>
      <c r="J2848" s="125">
        <v>0</v>
      </c>
    </row>
    <row r="2849" spans="1:10" ht="15.75" hidden="1" thickBot="1" x14ac:dyDescent="0.3">
      <c r="A2849" s="236"/>
      <c r="B2849" s="239"/>
      <c r="C2849" s="155"/>
      <c r="D2849" s="33"/>
      <c r="E2849" s="34"/>
      <c r="F2849" s="28" t="s">
        <v>418</v>
      </c>
      <c r="G2849" s="31" t="str">
        <f>IF(ISNUMBER(F2849),E2849*F2849,"")</f>
        <v/>
      </c>
      <c r="H2849" s="32"/>
      <c r="I2849" s="28"/>
      <c r="J2849" s="125">
        <v>0</v>
      </c>
    </row>
    <row r="2850" spans="1:10" ht="15.75" hidden="1" thickBot="1" x14ac:dyDescent="0.3">
      <c r="A2850" s="234" t="s">
        <v>698</v>
      </c>
      <c r="B2850" s="237" t="s">
        <v>1698</v>
      </c>
      <c r="C2850" s="160"/>
      <c r="D2850" s="23" t="s">
        <v>16</v>
      </c>
      <c r="E2850" s="24"/>
      <c r="F2850" s="37" t="s">
        <v>418</v>
      </c>
      <c r="G2850" s="25" t="str">
        <f>IF(ISNUMBER(F2850),E2850*F2850,"")</f>
        <v/>
      </c>
      <c r="H2850" s="26"/>
      <c r="I2850" s="27"/>
      <c r="J2850" s="125">
        <v>0</v>
      </c>
    </row>
    <row r="2851" spans="1:10" ht="15.75" hidden="1" thickBot="1" x14ac:dyDescent="0.3">
      <c r="A2851" s="235"/>
      <c r="B2851" s="238"/>
      <c r="C2851" s="151"/>
      <c r="D2851" s="29"/>
      <c r="E2851" s="30"/>
      <c r="F2851" s="38" t="s">
        <v>418</v>
      </c>
      <c r="G2851" s="31" t="str">
        <f>IF(ISNUMBER(F2851),E2851*F2851,"")</f>
        <v/>
      </c>
      <c r="H2851" s="32"/>
      <c r="I2851" s="28"/>
      <c r="J2851" s="125">
        <v>0</v>
      </c>
    </row>
    <row r="2852" spans="1:10" ht="15.75" hidden="1" thickBot="1" x14ac:dyDescent="0.3">
      <c r="A2852" s="235"/>
      <c r="B2852" s="238"/>
      <c r="C2852" s="155" t="s">
        <v>9864</v>
      </c>
      <c r="D2852" s="155" t="s">
        <v>587</v>
      </c>
      <c r="E2852" s="34">
        <v>0.25</v>
      </c>
      <c r="F2852" s="31">
        <v>23.274999999999999</v>
      </c>
      <c r="G2852" s="31">
        <f>IF(ISNUMBER(F2852),E2852*F2852,"")</f>
        <v>5.8187499999999996</v>
      </c>
      <c r="H2852" s="35">
        <f>SUM(G2852:G2853)</f>
        <v>5.8187499999999996</v>
      </c>
      <c r="I2852" s="36"/>
      <c r="J2852" s="125">
        <v>0</v>
      </c>
    </row>
    <row r="2853" spans="1:10" ht="39" hidden="1" thickBot="1" x14ac:dyDescent="0.3">
      <c r="A2853" s="235"/>
      <c r="B2853" s="238"/>
      <c r="C2853" s="155" t="s">
        <v>699</v>
      </c>
      <c r="D2853" s="33" t="s">
        <v>16</v>
      </c>
      <c r="E2853" s="34">
        <v>1</v>
      </c>
      <c r="F2853" s="28" t="s">
        <v>418</v>
      </c>
      <c r="G2853" s="31" t="str">
        <f>IF(ISNUMBER(F2853),E2853*F2853,"")</f>
        <v/>
      </c>
      <c r="H2853" s="32"/>
      <c r="I2853" s="28"/>
      <c r="J2853" s="125">
        <v>0</v>
      </c>
    </row>
    <row r="2854" spans="1:10" ht="15.75" hidden="1" thickBot="1" x14ac:dyDescent="0.3">
      <c r="A2854" s="236"/>
      <c r="B2854" s="239"/>
      <c r="C2854" s="155"/>
      <c r="D2854" s="33"/>
      <c r="E2854" s="34"/>
      <c r="F2854" s="28" t="s">
        <v>418</v>
      </c>
      <c r="G2854" s="31" t="str">
        <f>IF(ISNUMBER(F2854),E2854*F2854,"")</f>
        <v/>
      </c>
      <c r="H2854" s="32"/>
      <c r="I2854" s="28"/>
      <c r="J2854" s="125">
        <v>0</v>
      </c>
    </row>
    <row r="2855" spans="1:10" ht="15.75" hidden="1" thickBot="1" x14ac:dyDescent="0.3">
      <c r="A2855" s="234" t="s">
        <v>700</v>
      </c>
      <c r="B2855" s="237" t="s">
        <v>1699</v>
      </c>
      <c r="C2855" s="160"/>
      <c r="D2855" s="23" t="s">
        <v>16</v>
      </c>
      <c r="E2855" s="24"/>
      <c r="F2855" s="37" t="s">
        <v>418</v>
      </c>
      <c r="G2855" s="25" t="str">
        <f>IF(ISNUMBER(F2855),E2855*F2855,"")</f>
        <v/>
      </c>
      <c r="H2855" s="26"/>
      <c r="I2855" s="27"/>
      <c r="J2855" s="125">
        <v>0</v>
      </c>
    </row>
    <row r="2856" spans="1:10" ht="15.75" hidden="1" thickBot="1" x14ac:dyDescent="0.3">
      <c r="A2856" s="235"/>
      <c r="B2856" s="238"/>
      <c r="C2856" s="151"/>
      <c r="D2856" s="29"/>
      <c r="E2856" s="30"/>
      <c r="F2856" s="38" t="s">
        <v>418</v>
      </c>
      <c r="G2856" s="31" t="str">
        <f>IF(ISNUMBER(F2856),E2856*F2856,"")</f>
        <v/>
      </c>
      <c r="H2856" s="32"/>
      <c r="I2856" s="28"/>
      <c r="J2856" s="125">
        <v>0</v>
      </c>
    </row>
    <row r="2857" spans="1:10" ht="15.75" hidden="1" thickBot="1" x14ac:dyDescent="0.3">
      <c r="A2857" s="235"/>
      <c r="B2857" s="238"/>
      <c r="C2857" s="155" t="s">
        <v>9864</v>
      </c>
      <c r="D2857" s="155" t="s">
        <v>587</v>
      </c>
      <c r="E2857" s="34">
        <v>0.25</v>
      </c>
      <c r="F2857" s="31">
        <v>23.274999999999999</v>
      </c>
      <c r="G2857" s="31">
        <f>IF(ISNUMBER(F2857),E2857*F2857,"")</f>
        <v>5.8187499999999996</v>
      </c>
      <c r="H2857" s="35">
        <f>SUM(G2857:G2858)</f>
        <v>6.7687499999999998</v>
      </c>
      <c r="I2857" s="36"/>
      <c r="J2857" s="125">
        <v>0</v>
      </c>
    </row>
    <row r="2858" spans="1:10" ht="26.25" hidden="1" thickBot="1" x14ac:dyDescent="0.3">
      <c r="A2858" s="235"/>
      <c r="B2858" s="238"/>
      <c r="C2858" s="155" t="s">
        <v>701</v>
      </c>
      <c r="D2858" s="33" t="s">
        <v>16</v>
      </c>
      <c r="E2858" s="34">
        <v>1</v>
      </c>
      <c r="F2858" s="28">
        <v>0.95</v>
      </c>
      <c r="G2858" s="31">
        <f>IF(ISNUMBER(F2858),E2858*F2858,"")</f>
        <v>0.95</v>
      </c>
      <c r="H2858" s="32"/>
      <c r="I2858" s="28"/>
      <c r="J2858" s="125">
        <v>0</v>
      </c>
    </row>
    <row r="2859" spans="1:10" ht="15.75" hidden="1" thickBot="1" x14ac:dyDescent="0.3">
      <c r="A2859" s="236"/>
      <c r="B2859" s="239"/>
      <c r="C2859" s="155"/>
      <c r="D2859" s="33"/>
      <c r="E2859" s="34"/>
      <c r="F2859" s="28" t="s">
        <v>418</v>
      </c>
      <c r="G2859" s="31" t="str">
        <f>IF(ISNUMBER(F2859),E2859*F2859,"")</f>
        <v/>
      </c>
      <c r="H2859" s="32"/>
      <c r="I2859" s="28"/>
      <c r="J2859" s="125">
        <v>0</v>
      </c>
    </row>
    <row r="2860" spans="1:10" ht="15.75" hidden="1" thickBot="1" x14ac:dyDescent="0.3">
      <c r="A2860" s="234" t="s">
        <v>702</v>
      </c>
      <c r="B2860" s="237" t="s">
        <v>1700</v>
      </c>
      <c r="C2860" s="160"/>
      <c r="D2860" s="23" t="s">
        <v>16</v>
      </c>
      <c r="E2860" s="24"/>
      <c r="F2860" s="37" t="s">
        <v>418</v>
      </c>
      <c r="G2860" s="25" t="str">
        <f>IF(ISNUMBER(F2860),E2860*F2860,"")</f>
        <v/>
      </c>
      <c r="H2860" s="26"/>
      <c r="I2860" s="27"/>
      <c r="J2860" s="125">
        <v>0</v>
      </c>
    </row>
    <row r="2861" spans="1:10" ht="15.75" hidden="1" thickBot="1" x14ac:dyDescent="0.3">
      <c r="A2861" s="235"/>
      <c r="B2861" s="238"/>
      <c r="C2861" s="151"/>
      <c r="D2861" s="29"/>
      <c r="E2861" s="30"/>
      <c r="F2861" s="38" t="s">
        <v>418</v>
      </c>
      <c r="G2861" s="31" t="str">
        <f>IF(ISNUMBER(F2861),E2861*F2861,"")</f>
        <v/>
      </c>
      <c r="H2861" s="32"/>
      <c r="I2861" s="28"/>
      <c r="J2861" s="125">
        <v>0</v>
      </c>
    </row>
    <row r="2862" spans="1:10" ht="15.75" hidden="1" thickBot="1" x14ac:dyDescent="0.3">
      <c r="A2862" s="235"/>
      <c r="B2862" s="238"/>
      <c r="C2862" s="155" t="s">
        <v>9864</v>
      </c>
      <c r="D2862" s="155" t="s">
        <v>587</v>
      </c>
      <c r="E2862" s="34">
        <v>1.8180000000000001</v>
      </c>
      <c r="F2862" s="31">
        <v>23.274999999999999</v>
      </c>
      <c r="G2862" s="31">
        <f>IF(ISNUMBER(F2862),E2862*F2862,"")</f>
        <v>42.313949999999998</v>
      </c>
      <c r="H2862" s="35">
        <f>SUM(G2862:G2865)</f>
        <v>76.222679999999997</v>
      </c>
      <c r="I2862" s="36"/>
      <c r="J2862" s="125">
        <v>0</v>
      </c>
    </row>
    <row r="2863" spans="1:10" ht="15.75" hidden="1" thickBot="1" x14ac:dyDescent="0.3">
      <c r="A2863" s="235"/>
      <c r="B2863" s="238"/>
      <c r="C2863" s="155" t="s">
        <v>588</v>
      </c>
      <c r="D2863" s="155" t="s">
        <v>587</v>
      </c>
      <c r="E2863" s="34">
        <v>1.7669999999999999</v>
      </c>
      <c r="F2863" s="28">
        <v>19.189999999999998</v>
      </c>
      <c r="G2863" s="31">
        <f>IF(ISNUMBER(F2863),E2863*F2863,"")</f>
        <v>33.908729999999991</v>
      </c>
      <c r="H2863" s="32"/>
      <c r="I2863" s="28"/>
      <c r="J2863" s="125">
        <v>0</v>
      </c>
    </row>
    <row r="2864" spans="1:10" ht="15.75" hidden="1" thickBot="1" x14ac:dyDescent="0.3">
      <c r="A2864" s="235"/>
      <c r="B2864" s="238"/>
      <c r="C2864" s="155" t="s">
        <v>13539</v>
      </c>
      <c r="D2864" s="33" t="s">
        <v>16</v>
      </c>
      <c r="E2864" s="34">
        <v>1</v>
      </c>
      <c r="F2864" s="28" t="s">
        <v>418</v>
      </c>
      <c r="G2864" s="28" t="str">
        <f>IF(ISNUMBER(F2864),E2864*F2864,"")</f>
        <v/>
      </c>
      <c r="H2864" s="32"/>
      <c r="I2864" s="28"/>
      <c r="J2864" s="125">
        <v>0</v>
      </c>
    </row>
    <row r="2865" spans="1:10" ht="39" hidden="1" thickBot="1" x14ac:dyDescent="0.3">
      <c r="A2865" s="235"/>
      <c r="B2865" s="238"/>
      <c r="C2865" s="155" t="s">
        <v>13538</v>
      </c>
      <c r="D2865" s="33" t="s">
        <v>16</v>
      </c>
      <c r="E2865" s="34">
        <v>1</v>
      </c>
      <c r="F2865" s="28" t="s">
        <v>418</v>
      </c>
      <c r="G2865" s="31" t="str">
        <f>IF(ISNUMBER(F2865),E2865*F2865,"")</f>
        <v/>
      </c>
      <c r="H2865" s="32"/>
      <c r="I2865" s="28"/>
      <c r="J2865" s="125">
        <v>0</v>
      </c>
    </row>
    <row r="2866" spans="1:10" ht="15.75" hidden="1" thickBot="1" x14ac:dyDescent="0.3">
      <c r="A2866" s="236"/>
      <c r="B2866" s="239"/>
      <c r="C2866" s="155"/>
      <c r="D2866" s="33"/>
      <c r="E2866" s="34"/>
      <c r="F2866" s="28" t="s">
        <v>418</v>
      </c>
      <c r="G2866" s="31" t="str">
        <f>IF(ISNUMBER(F2866),E2866*F2866,"")</f>
        <v/>
      </c>
      <c r="H2866" s="32"/>
      <c r="I2866" s="28"/>
      <c r="J2866" s="125">
        <v>0</v>
      </c>
    </row>
    <row r="2867" spans="1:10" ht="15.75" hidden="1" thickBot="1" x14ac:dyDescent="0.3">
      <c r="A2867" s="234" t="s">
        <v>703</v>
      </c>
      <c r="B2867" s="237" t="s">
        <v>1701</v>
      </c>
      <c r="C2867" s="160"/>
      <c r="D2867" s="23" t="s">
        <v>16</v>
      </c>
      <c r="E2867" s="24"/>
      <c r="F2867" s="37" t="s">
        <v>418</v>
      </c>
      <c r="G2867" s="25" t="str">
        <f>IF(ISNUMBER(F2867),E2867*F2867,"")</f>
        <v/>
      </c>
      <c r="H2867" s="26"/>
      <c r="I2867" s="27"/>
      <c r="J2867" s="125">
        <v>0</v>
      </c>
    </row>
    <row r="2868" spans="1:10" ht="15.75" hidden="1" thickBot="1" x14ac:dyDescent="0.3">
      <c r="A2868" s="235"/>
      <c r="B2868" s="238"/>
      <c r="C2868" s="151"/>
      <c r="D2868" s="29"/>
      <c r="E2868" s="30"/>
      <c r="F2868" s="38" t="s">
        <v>418</v>
      </c>
      <c r="G2868" s="31" t="str">
        <f>IF(ISNUMBER(F2868),E2868*F2868,"")</f>
        <v/>
      </c>
      <c r="H2868" s="32"/>
      <c r="I2868" s="28"/>
      <c r="J2868" s="125">
        <v>0</v>
      </c>
    </row>
    <row r="2869" spans="1:10" ht="15.75" hidden="1" thickBot="1" x14ac:dyDescent="0.3">
      <c r="A2869" s="235"/>
      <c r="B2869" s="238"/>
      <c r="C2869" s="155" t="s">
        <v>9864</v>
      </c>
      <c r="D2869" s="155" t="s">
        <v>587</v>
      </c>
      <c r="E2869" s="34">
        <v>0.2</v>
      </c>
      <c r="F2869" s="31">
        <v>23.274999999999999</v>
      </c>
      <c r="G2869" s="31">
        <f>IF(ISNUMBER(F2869),E2869*F2869,"")</f>
        <v>4.6550000000000002</v>
      </c>
      <c r="H2869" s="35">
        <f>SUM(G2869:G2870)</f>
        <v>4.6550000000000002</v>
      </c>
      <c r="I2869" s="36"/>
      <c r="J2869" s="125">
        <v>0</v>
      </c>
    </row>
    <row r="2870" spans="1:10" ht="39" hidden="1" thickBot="1" x14ac:dyDescent="0.3">
      <c r="A2870" s="235"/>
      <c r="B2870" s="238"/>
      <c r="C2870" s="155" t="s">
        <v>704</v>
      </c>
      <c r="D2870" s="33" t="s">
        <v>16</v>
      </c>
      <c r="E2870" s="34">
        <v>1</v>
      </c>
      <c r="F2870" s="28" t="s">
        <v>418</v>
      </c>
      <c r="G2870" s="31" t="str">
        <f>IF(ISNUMBER(F2870),E2870*F2870,"")</f>
        <v/>
      </c>
      <c r="H2870" s="32"/>
      <c r="I2870" s="28"/>
      <c r="J2870" s="125">
        <v>0</v>
      </c>
    </row>
    <row r="2871" spans="1:10" ht="15.75" hidden="1" thickBot="1" x14ac:dyDescent="0.3">
      <c r="A2871" s="236"/>
      <c r="B2871" s="239"/>
      <c r="C2871" s="155"/>
      <c r="D2871" s="33"/>
      <c r="E2871" s="34"/>
      <c r="F2871" s="28" t="s">
        <v>418</v>
      </c>
      <c r="G2871" s="31" t="str">
        <f>IF(ISNUMBER(F2871),E2871*F2871,"")</f>
        <v/>
      </c>
      <c r="H2871" s="32"/>
      <c r="I2871" s="28"/>
      <c r="J2871" s="125">
        <v>0</v>
      </c>
    </row>
    <row r="2872" spans="1:10" ht="15.75" hidden="1" thickBot="1" x14ac:dyDescent="0.3">
      <c r="A2872" s="234" t="s">
        <v>705</v>
      </c>
      <c r="B2872" s="237" t="s">
        <v>1702</v>
      </c>
      <c r="C2872" s="160"/>
      <c r="D2872" s="23" t="s">
        <v>16</v>
      </c>
      <c r="E2872" s="24"/>
      <c r="F2872" s="37" t="s">
        <v>418</v>
      </c>
      <c r="G2872" s="25" t="str">
        <f>IF(ISNUMBER(F2872),E2872*F2872,"")</f>
        <v/>
      </c>
      <c r="H2872" s="26"/>
      <c r="I2872" s="27"/>
      <c r="J2872" s="125">
        <v>0</v>
      </c>
    </row>
    <row r="2873" spans="1:10" ht="15.75" hidden="1" thickBot="1" x14ac:dyDescent="0.3">
      <c r="A2873" s="235"/>
      <c r="B2873" s="238"/>
      <c r="C2873" s="151"/>
      <c r="D2873" s="29"/>
      <c r="E2873" s="30"/>
      <c r="F2873" s="38" t="s">
        <v>418</v>
      </c>
      <c r="G2873" s="31" t="str">
        <f>IF(ISNUMBER(F2873),E2873*F2873,"")</f>
        <v/>
      </c>
      <c r="H2873" s="32"/>
      <c r="I2873" s="28"/>
      <c r="J2873" s="125">
        <v>0</v>
      </c>
    </row>
    <row r="2874" spans="1:10" ht="15.75" hidden="1" thickBot="1" x14ac:dyDescent="0.3">
      <c r="A2874" s="235"/>
      <c r="B2874" s="238"/>
      <c r="C2874" s="155" t="s">
        <v>9864</v>
      </c>
      <c r="D2874" s="155" t="s">
        <v>587</v>
      </c>
      <c r="E2874" s="34">
        <v>0.4</v>
      </c>
      <c r="F2874" s="31">
        <v>23.274999999999999</v>
      </c>
      <c r="G2874" s="31">
        <f>IF(ISNUMBER(F2874),E2874*F2874,"")</f>
        <v>9.31</v>
      </c>
      <c r="H2874" s="35">
        <f>SUM(G2874:G2875)</f>
        <v>9.31</v>
      </c>
      <c r="I2874" s="36"/>
      <c r="J2874" s="125">
        <v>0</v>
      </c>
    </row>
    <row r="2875" spans="1:10" ht="15.75" hidden="1" thickBot="1" x14ac:dyDescent="0.3">
      <c r="A2875" s="235"/>
      <c r="B2875" s="238"/>
      <c r="C2875" s="155" t="s">
        <v>706</v>
      </c>
      <c r="D2875" s="42" t="s">
        <v>16</v>
      </c>
      <c r="E2875" s="34">
        <v>1</v>
      </c>
      <c r="F2875" s="28" t="s">
        <v>418</v>
      </c>
      <c r="G2875" s="31" t="str">
        <f>IF(ISNUMBER(F2875),E2875*F2875,"")</f>
        <v/>
      </c>
      <c r="H2875" s="32"/>
      <c r="I2875" s="28"/>
      <c r="J2875" s="125">
        <v>0</v>
      </c>
    </row>
    <row r="2876" spans="1:10" ht="15.75" hidden="1" thickBot="1" x14ac:dyDescent="0.3">
      <c r="A2876" s="236"/>
      <c r="B2876" s="239"/>
      <c r="C2876" s="155"/>
      <c r="D2876" s="33"/>
      <c r="E2876" s="34"/>
      <c r="F2876" s="28" t="s">
        <v>418</v>
      </c>
      <c r="G2876" s="31" t="str">
        <f>IF(ISNUMBER(F2876),E2876*F2876,"")</f>
        <v/>
      </c>
      <c r="H2876" s="32"/>
      <c r="I2876" s="28"/>
      <c r="J2876" s="125">
        <v>0</v>
      </c>
    </row>
    <row r="2877" spans="1:10" ht="15.75" hidden="1" thickBot="1" x14ac:dyDescent="0.3">
      <c r="A2877" s="234" t="s">
        <v>707</v>
      </c>
      <c r="B2877" s="237" t="s">
        <v>1703</v>
      </c>
      <c r="C2877" s="160"/>
      <c r="D2877" s="23" t="s">
        <v>16</v>
      </c>
      <c r="E2877" s="24"/>
      <c r="F2877" s="37" t="s">
        <v>418</v>
      </c>
      <c r="G2877" s="25" t="str">
        <f>IF(ISNUMBER(F2877),E2877*F2877,"")</f>
        <v/>
      </c>
      <c r="H2877" s="26"/>
      <c r="I2877" s="27"/>
      <c r="J2877" s="125">
        <v>0</v>
      </c>
    </row>
    <row r="2878" spans="1:10" ht="15.75" hidden="1" thickBot="1" x14ac:dyDescent="0.3">
      <c r="A2878" s="235"/>
      <c r="B2878" s="238"/>
      <c r="C2878" s="151"/>
      <c r="D2878" s="29"/>
      <c r="E2878" s="30"/>
      <c r="F2878" s="38" t="s">
        <v>418</v>
      </c>
      <c r="G2878" s="31" t="str">
        <f>IF(ISNUMBER(F2878),E2878*F2878,"")</f>
        <v/>
      </c>
      <c r="H2878" s="32"/>
      <c r="I2878" s="28"/>
      <c r="J2878" s="125">
        <v>0</v>
      </c>
    </row>
    <row r="2879" spans="1:10" ht="15.75" hidden="1" thickBot="1" x14ac:dyDescent="0.3">
      <c r="A2879" s="235"/>
      <c r="B2879" s="238"/>
      <c r="C2879" s="155" t="s">
        <v>9864</v>
      </c>
      <c r="D2879" s="155" t="s">
        <v>587</v>
      </c>
      <c r="E2879" s="34">
        <v>0.3</v>
      </c>
      <c r="F2879" s="31">
        <v>23.274999999999999</v>
      </c>
      <c r="G2879" s="31">
        <f>IF(ISNUMBER(F2879),E2879*F2879,"")</f>
        <v>6.982499999999999</v>
      </c>
      <c r="H2879" s="35">
        <f>SUM(G2879:G2880)</f>
        <v>7.9324999999999992</v>
      </c>
      <c r="I2879" s="36"/>
      <c r="J2879" s="125">
        <v>0</v>
      </c>
    </row>
    <row r="2880" spans="1:10" ht="26.25" hidden="1" thickBot="1" x14ac:dyDescent="0.3">
      <c r="A2880" s="235"/>
      <c r="B2880" s="238"/>
      <c r="C2880" s="155" t="s">
        <v>708</v>
      </c>
      <c r="D2880" s="42" t="s">
        <v>16</v>
      </c>
      <c r="E2880" s="34">
        <v>1</v>
      </c>
      <c r="F2880" s="28">
        <v>0.95</v>
      </c>
      <c r="G2880" s="31">
        <f>IF(ISNUMBER(F2880),E2880*F2880,"")</f>
        <v>0.95</v>
      </c>
      <c r="H2880" s="32"/>
      <c r="I2880" s="28"/>
      <c r="J2880" s="125">
        <v>0</v>
      </c>
    </row>
    <row r="2881" spans="1:10" ht="15.75" hidden="1" thickBot="1" x14ac:dyDescent="0.3">
      <c r="A2881" s="236"/>
      <c r="B2881" s="239"/>
      <c r="C2881" s="155"/>
      <c r="D2881" s="33"/>
      <c r="E2881" s="34"/>
      <c r="F2881" s="28" t="s">
        <v>418</v>
      </c>
      <c r="G2881" s="31" t="str">
        <f>IF(ISNUMBER(F2881),E2881*F2881,"")</f>
        <v/>
      </c>
      <c r="H2881" s="32"/>
      <c r="I2881" s="28"/>
      <c r="J2881" s="125">
        <v>0</v>
      </c>
    </row>
    <row r="2882" spans="1:10" ht="15.75" hidden="1" thickBot="1" x14ac:dyDescent="0.3">
      <c r="A2882" s="234" t="s">
        <v>709</v>
      </c>
      <c r="B2882" s="237" t="s">
        <v>19752</v>
      </c>
      <c r="C2882" s="160"/>
      <c r="D2882" s="23" t="s">
        <v>69</v>
      </c>
      <c r="E2882" s="24"/>
      <c r="F2882" s="37" t="s">
        <v>418</v>
      </c>
      <c r="G2882" s="25" t="str">
        <f>IF(ISNUMBER(F2882),E2882*F2882,"")</f>
        <v/>
      </c>
      <c r="H2882" s="26"/>
      <c r="I2882" s="27"/>
      <c r="J2882" s="125">
        <v>0</v>
      </c>
    </row>
    <row r="2883" spans="1:10" ht="15.75" hidden="1" thickBot="1" x14ac:dyDescent="0.3">
      <c r="A2883" s="235"/>
      <c r="B2883" s="238"/>
      <c r="C2883" s="151"/>
      <c r="D2883" s="29"/>
      <c r="E2883" s="30"/>
      <c r="F2883" s="38" t="s">
        <v>418</v>
      </c>
      <c r="G2883" s="31" t="str">
        <f>IF(ISNUMBER(F2883),E2883*F2883,"")</f>
        <v/>
      </c>
      <c r="H2883" s="32"/>
      <c r="I2883" s="28"/>
      <c r="J2883" s="125">
        <v>0</v>
      </c>
    </row>
    <row r="2884" spans="1:10" ht="15.75" hidden="1" thickBot="1" x14ac:dyDescent="0.3">
      <c r="A2884" s="235"/>
      <c r="B2884" s="238"/>
      <c r="C2884" s="155" t="s">
        <v>9864</v>
      </c>
      <c r="D2884" s="155" t="s">
        <v>587</v>
      </c>
      <c r="E2884" s="34">
        <v>0.2</v>
      </c>
      <c r="F2884" s="31">
        <v>23.274999999999999</v>
      </c>
      <c r="G2884" s="31">
        <f>IF(ISNUMBER(F2884),E2884*F2884,"")</f>
        <v>4.6550000000000002</v>
      </c>
      <c r="H2884" s="35">
        <f>SUM(G2884:G2885)</f>
        <v>11.63674</v>
      </c>
      <c r="I2884" s="36"/>
      <c r="J2884" s="125">
        <v>0</v>
      </c>
    </row>
    <row r="2885" spans="1:10" ht="15.75" hidden="1" thickBot="1" x14ac:dyDescent="0.3">
      <c r="A2885" s="235"/>
      <c r="B2885" s="238"/>
      <c r="C2885" s="155" t="s">
        <v>710</v>
      </c>
      <c r="D2885" s="155" t="s">
        <v>774</v>
      </c>
      <c r="E2885" s="34">
        <v>0.19</v>
      </c>
      <c r="F2885" s="28">
        <v>36.745999999999995</v>
      </c>
      <c r="G2885" s="31">
        <f>IF(ISNUMBER(F2885),E2885*F2885,"")</f>
        <v>6.9817399999999994</v>
      </c>
      <c r="H2885" s="32"/>
      <c r="I2885" s="28"/>
      <c r="J2885" s="125">
        <v>0</v>
      </c>
    </row>
    <row r="2886" spans="1:10" ht="15.75" hidden="1" thickBot="1" x14ac:dyDescent="0.3">
      <c r="A2886" s="235"/>
      <c r="B2886" s="238"/>
      <c r="C2886" s="155"/>
      <c r="D2886" s="33"/>
      <c r="E2886" s="34"/>
      <c r="F2886" s="28" t="s">
        <v>418</v>
      </c>
      <c r="G2886" s="31" t="str">
        <f>IF(ISNUMBER(F2886),E2886*F2886,"")</f>
        <v/>
      </c>
      <c r="H2886" s="32"/>
      <c r="I2886" s="28"/>
      <c r="J2886" s="125">
        <v>0</v>
      </c>
    </row>
    <row r="2887" spans="1:10" ht="26.25" hidden="1" thickBot="1" x14ac:dyDescent="0.3">
      <c r="A2887" s="235"/>
      <c r="B2887" s="238"/>
      <c r="C2887" s="43" t="s">
        <v>711</v>
      </c>
      <c r="D2887" s="33"/>
      <c r="E2887" s="34"/>
      <c r="F2887" s="28" t="s">
        <v>418</v>
      </c>
      <c r="G2887" s="31" t="str">
        <f>IF(ISNUMBER(F2887),E2887*F2887,"")</f>
        <v/>
      </c>
      <c r="H2887" s="32"/>
      <c r="I2887" s="28"/>
      <c r="J2887" s="125">
        <v>0</v>
      </c>
    </row>
    <row r="2888" spans="1:10" ht="39" hidden="1" thickBot="1" x14ac:dyDescent="0.3">
      <c r="A2888" s="235"/>
      <c r="B2888" s="238"/>
      <c r="C2888" s="47" t="s">
        <v>712</v>
      </c>
      <c r="D2888" s="60"/>
      <c r="E2888" s="34"/>
      <c r="F2888" s="28" t="s">
        <v>418</v>
      </c>
      <c r="G2888" s="31" t="str">
        <f>IF(ISNUMBER(F2888),E2888*F2888,"")</f>
        <v/>
      </c>
      <c r="H2888" s="32"/>
      <c r="I2888" s="28"/>
      <c r="J2888" s="125">
        <v>0</v>
      </c>
    </row>
    <row r="2889" spans="1:10" ht="15.75" hidden="1" thickBot="1" x14ac:dyDescent="0.3">
      <c r="A2889" s="236"/>
      <c r="B2889" s="239"/>
      <c r="C2889" s="155"/>
      <c r="D2889" s="33"/>
      <c r="E2889" s="34"/>
      <c r="F2889" s="28" t="s">
        <v>418</v>
      </c>
      <c r="G2889" s="31" t="str">
        <f>IF(ISNUMBER(F2889),E2889*F2889,"")</f>
        <v/>
      </c>
      <c r="H2889" s="32"/>
      <c r="I2889" s="28"/>
      <c r="J2889" s="125">
        <v>0</v>
      </c>
    </row>
    <row r="2890" spans="1:10" ht="15.75" hidden="1" thickBot="1" x14ac:dyDescent="0.3">
      <c r="A2890" s="234" t="s">
        <v>713</v>
      </c>
      <c r="B2890" s="237" t="s">
        <v>19751</v>
      </c>
      <c r="C2890" s="160"/>
      <c r="D2890" s="23" t="s">
        <v>69</v>
      </c>
      <c r="E2890" s="24"/>
      <c r="F2890" s="37" t="s">
        <v>418</v>
      </c>
      <c r="G2890" s="25" t="str">
        <f>IF(ISNUMBER(F2890),E2890*F2890,"")</f>
        <v/>
      </c>
      <c r="H2890" s="26"/>
      <c r="I2890" s="27"/>
      <c r="J2890" s="125">
        <v>0</v>
      </c>
    </row>
    <row r="2891" spans="1:10" ht="15.75" hidden="1" thickBot="1" x14ac:dyDescent="0.3">
      <c r="A2891" s="249"/>
      <c r="B2891" s="238"/>
      <c r="C2891" s="151"/>
      <c r="D2891" s="29"/>
      <c r="E2891" s="30"/>
      <c r="F2891" s="38" t="s">
        <v>418</v>
      </c>
      <c r="G2891" s="31" t="str">
        <f>IF(ISNUMBER(F2891),E2891*F2891,"")</f>
        <v/>
      </c>
      <c r="H2891" s="32"/>
      <c r="I2891" s="28"/>
      <c r="J2891" s="125">
        <v>0</v>
      </c>
    </row>
    <row r="2892" spans="1:10" ht="15.75" hidden="1" thickBot="1" x14ac:dyDescent="0.3">
      <c r="A2892" s="249"/>
      <c r="B2892" s="238"/>
      <c r="C2892" s="155" t="s">
        <v>9864</v>
      </c>
      <c r="D2892" s="155" t="s">
        <v>587</v>
      </c>
      <c r="E2892" s="34">
        <v>0.3</v>
      </c>
      <c r="F2892" s="31">
        <v>23.274999999999999</v>
      </c>
      <c r="G2892" s="31">
        <f>IF(ISNUMBER(F2892),E2892*F2892,"")</f>
        <v>6.982499999999999</v>
      </c>
      <c r="H2892" s="35">
        <f>SUM(G2892:G2893)</f>
        <v>35.387157999999999</v>
      </c>
      <c r="I2892" s="36"/>
      <c r="J2892" s="125">
        <v>0</v>
      </c>
    </row>
    <row r="2893" spans="1:10" ht="15.75" hidden="1" thickBot="1" x14ac:dyDescent="0.3">
      <c r="A2893" s="249"/>
      <c r="B2893" s="238"/>
      <c r="C2893" s="155" t="s">
        <v>710</v>
      </c>
      <c r="D2893" s="155" t="s">
        <v>774</v>
      </c>
      <c r="E2893" s="34">
        <v>0.77300000000000002</v>
      </c>
      <c r="F2893" s="28">
        <v>36.745999999999995</v>
      </c>
      <c r="G2893" s="31">
        <f>IF(ISNUMBER(F2893),E2893*F2893,"")</f>
        <v>28.404657999999998</v>
      </c>
      <c r="H2893" s="32"/>
      <c r="I2893" s="28"/>
      <c r="J2893" s="125">
        <v>0</v>
      </c>
    </row>
    <row r="2894" spans="1:10" ht="15.75" hidden="1" thickBot="1" x14ac:dyDescent="0.3">
      <c r="A2894" s="249"/>
      <c r="B2894" s="238"/>
      <c r="C2894" s="155"/>
      <c r="D2894" s="42"/>
      <c r="E2894" s="34"/>
      <c r="F2894" s="28" t="s">
        <v>418</v>
      </c>
      <c r="G2894" s="31" t="str">
        <f>IF(ISNUMBER(F2894),E2894*F2894,"")</f>
        <v/>
      </c>
      <c r="H2894" s="32"/>
      <c r="I2894" s="28"/>
      <c r="J2894" s="125">
        <v>0</v>
      </c>
    </row>
    <row r="2895" spans="1:10" ht="26.25" hidden="1" thickBot="1" x14ac:dyDescent="0.3">
      <c r="A2895" s="249"/>
      <c r="B2895" s="238"/>
      <c r="C2895" s="43" t="s">
        <v>714</v>
      </c>
      <c r="D2895" s="42"/>
      <c r="E2895" s="34"/>
      <c r="F2895" s="28" t="s">
        <v>418</v>
      </c>
      <c r="G2895" s="31" t="str">
        <f>IF(ISNUMBER(F2895),E2895*F2895,"")</f>
        <v/>
      </c>
      <c r="H2895" s="32"/>
      <c r="I2895" s="28"/>
      <c r="J2895" s="125">
        <v>0</v>
      </c>
    </row>
    <row r="2896" spans="1:10" ht="26.25" hidden="1" thickBot="1" x14ac:dyDescent="0.3">
      <c r="A2896" s="249"/>
      <c r="B2896" s="238"/>
      <c r="C2896" s="47" t="s">
        <v>715</v>
      </c>
      <c r="D2896" s="42"/>
      <c r="E2896" s="34"/>
      <c r="F2896" s="28" t="s">
        <v>418</v>
      </c>
      <c r="G2896" s="31" t="str">
        <f>IF(ISNUMBER(F2896),E2896*F2896,"")</f>
        <v/>
      </c>
      <c r="H2896" s="32"/>
      <c r="I2896" s="28"/>
      <c r="J2896" s="125">
        <v>0</v>
      </c>
    </row>
    <row r="2897" spans="1:10" ht="15.75" hidden="1" thickBot="1" x14ac:dyDescent="0.3">
      <c r="A2897" s="250"/>
      <c r="B2897" s="239"/>
      <c r="C2897" s="155"/>
      <c r="D2897" s="33"/>
      <c r="E2897" s="34"/>
      <c r="F2897" s="28" t="s">
        <v>418</v>
      </c>
      <c r="G2897" s="31" t="str">
        <f>IF(ISNUMBER(F2897),E2897*F2897,"")</f>
        <v/>
      </c>
      <c r="H2897" s="32"/>
      <c r="I2897" s="28"/>
      <c r="J2897" s="125">
        <v>0</v>
      </c>
    </row>
    <row r="2898" spans="1:10" ht="15.75" hidden="1" thickBot="1" x14ac:dyDescent="0.3">
      <c r="A2898" s="234" t="s">
        <v>716</v>
      </c>
      <c r="B2898" s="237" t="s">
        <v>1704</v>
      </c>
      <c r="C2898" s="160"/>
      <c r="D2898" s="23" t="s">
        <v>69</v>
      </c>
      <c r="E2898" s="24"/>
      <c r="F2898" s="37" t="s">
        <v>418</v>
      </c>
      <c r="G2898" s="25" t="str">
        <f>IF(ISNUMBER(F2898),E2898*F2898,"")</f>
        <v/>
      </c>
      <c r="H2898" s="26"/>
      <c r="I2898" s="27"/>
      <c r="J2898" s="125">
        <v>0</v>
      </c>
    </row>
    <row r="2899" spans="1:10" ht="15.75" hidden="1" thickBot="1" x14ac:dyDescent="0.3">
      <c r="A2899" s="249"/>
      <c r="B2899" s="238"/>
      <c r="C2899" s="151"/>
      <c r="D2899" s="29"/>
      <c r="E2899" s="30"/>
      <c r="F2899" s="38" t="s">
        <v>418</v>
      </c>
      <c r="G2899" s="31" t="str">
        <f>IF(ISNUMBER(F2899),E2899*F2899,"")</f>
        <v/>
      </c>
      <c r="H2899" s="32"/>
      <c r="I2899" s="28"/>
      <c r="J2899" s="125">
        <v>0</v>
      </c>
    </row>
    <row r="2900" spans="1:10" ht="15.75" hidden="1" thickBot="1" x14ac:dyDescent="0.3">
      <c r="A2900" s="249"/>
      <c r="B2900" s="238"/>
      <c r="C2900" s="155" t="s">
        <v>9864</v>
      </c>
      <c r="D2900" s="155" t="s">
        <v>587</v>
      </c>
      <c r="E2900" s="34">
        <v>0.2</v>
      </c>
      <c r="F2900" s="31">
        <v>23.274999999999999</v>
      </c>
      <c r="G2900" s="31">
        <f>IF(ISNUMBER(F2900),E2900*F2900,"")</f>
        <v>4.6550000000000002</v>
      </c>
      <c r="H2900" s="35">
        <f>SUM(G2900:G2901)</f>
        <v>14.980626000000001</v>
      </c>
      <c r="I2900" s="36"/>
      <c r="J2900" s="125">
        <v>0</v>
      </c>
    </row>
    <row r="2901" spans="1:10" ht="15.75" hidden="1" thickBot="1" x14ac:dyDescent="0.3">
      <c r="A2901" s="249"/>
      <c r="B2901" s="238"/>
      <c r="C2901" s="155" t="s">
        <v>710</v>
      </c>
      <c r="D2901" s="155" t="s">
        <v>774</v>
      </c>
      <c r="E2901" s="34">
        <v>0.28100000000000003</v>
      </c>
      <c r="F2901" s="28">
        <v>36.745999999999995</v>
      </c>
      <c r="G2901" s="31">
        <f>IF(ISNUMBER(F2901),E2901*F2901,"")</f>
        <v>10.325626</v>
      </c>
      <c r="H2901" s="32"/>
      <c r="I2901" s="28"/>
      <c r="J2901" s="125">
        <v>0</v>
      </c>
    </row>
    <row r="2902" spans="1:10" ht="15.75" hidden="1" thickBot="1" x14ac:dyDescent="0.3">
      <c r="A2902" s="249"/>
      <c r="B2902" s="238"/>
      <c r="C2902" s="155"/>
      <c r="D2902" s="42"/>
      <c r="E2902" s="34"/>
      <c r="F2902" s="28" t="s">
        <v>418</v>
      </c>
      <c r="G2902" s="31" t="str">
        <f>IF(ISNUMBER(F2902),E2902*F2902,"")</f>
        <v/>
      </c>
      <c r="H2902" s="32"/>
      <c r="I2902" s="28"/>
      <c r="J2902" s="125">
        <v>0</v>
      </c>
    </row>
    <row r="2903" spans="1:10" ht="26.25" hidden="1" thickBot="1" x14ac:dyDescent="0.3">
      <c r="A2903" s="249"/>
      <c r="B2903" s="238"/>
      <c r="C2903" s="43" t="s">
        <v>717</v>
      </c>
      <c r="D2903" s="42"/>
      <c r="E2903" s="34"/>
      <c r="F2903" s="28" t="s">
        <v>418</v>
      </c>
      <c r="G2903" s="31" t="str">
        <f>IF(ISNUMBER(F2903),E2903*F2903,"")</f>
        <v/>
      </c>
      <c r="H2903" s="32"/>
      <c r="I2903" s="28"/>
      <c r="J2903" s="125">
        <v>0</v>
      </c>
    </row>
    <row r="2904" spans="1:10" ht="26.25" hidden="1" thickBot="1" x14ac:dyDescent="0.3">
      <c r="A2904" s="249"/>
      <c r="B2904" s="238"/>
      <c r="C2904" s="47" t="s">
        <v>715</v>
      </c>
      <c r="D2904" s="42"/>
      <c r="E2904" s="34"/>
      <c r="F2904" s="28" t="s">
        <v>418</v>
      </c>
      <c r="G2904" s="31" t="str">
        <f>IF(ISNUMBER(F2904),E2904*F2904,"")</f>
        <v/>
      </c>
      <c r="H2904" s="32"/>
      <c r="I2904" s="28"/>
      <c r="J2904" s="125">
        <v>0</v>
      </c>
    </row>
    <row r="2905" spans="1:10" ht="15.75" hidden="1" thickBot="1" x14ac:dyDescent="0.3">
      <c r="A2905" s="250"/>
      <c r="B2905" s="239"/>
      <c r="C2905" s="155"/>
      <c r="D2905" s="33"/>
      <c r="E2905" s="34"/>
      <c r="F2905" s="28" t="s">
        <v>418</v>
      </c>
      <c r="G2905" s="31" t="str">
        <f>IF(ISNUMBER(F2905),E2905*F2905,"")</f>
        <v/>
      </c>
      <c r="H2905" s="32"/>
      <c r="I2905" s="28"/>
      <c r="J2905" s="125">
        <v>0</v>
      </c>
    </row>
    <row r="2906" spans="1:10" ht="15.75" hidden="1" thickBot="1" x14ac:dyDescent="0.3">
      <c r="A2906" s="234" t="s">
        <v>718</v>
      </c>
      <c r="B2906" s="237" t="s">
        <v>19753</v>
      </c>
      <c r="C2906" s="160"/>
      <c r="D2906" s="23" t="s">
        <v>69</v>
      </c>
      <c r="E2906" s="24"/>
      <c r="F2906" s="37" t="s">
        <v>418</v>
      </c>
      <c r="G2906" s="25" t="str">
        <f>IF(ISNUMBER(F2906),E2906*F2906,"")</f>
        <v/>
      </c>
      <c r="H2906" s="26"/>
      <c r="I2906" s="27"/>
      <c r="J2906" s="125">
        <v>0</v>
      </c>
    </row>
    <row r="2907" spans="1:10" ht="15.75" hidden="1" thickBot="1" x14ac:dyDescent="0.3">
      <c r="A2907" s="249"/>
      <c r="B2907" s="238"/>
      <c r="C2907" s="151"/>
      <c r="D2907" s="29"/>
      <c r="E2907" s="30"/>
      <c r="F2907" s="38" t="s">
        <v>418</v>
      </c>
      <c r="G2907" s="31" t="str">
        <f>IF(ISNUMBER(F2907),E2907*F2907,"")</f>
        <v/>
      </c>
      <c r="H2907" s="32"/>
      <c r="I2907" s="28"/>
      <c r="J2907" s="125">
        <v>0</v>
      </c>
    </row>
    <row r="2908" spans="1:10" ht="15.75" hidden="1" thickBot="1" x14ac:dyDescent="0.3">
      <c r="A2908" s="249"/>
      <c r="B2908" s="238"/>
      <c r="C2908" s="155" t="s">
        <v>9864</v>
      </c>
      <c r="D2908" s="155" t="s">
        <v>587</v>
      </c>
      <c r="E2908" s="34">
        <v>0.3</v>
      </c>
      <c r="F2908" s="31">
        <v>23.274999999999999</v>
      </c>
      <c r="G2908" s="31">
        <f>IF(ISNUMBER(F2908),E2908*F2908,"")</f>
        <v>6.982499999999999</v>
      </c>
      <c r="H2908" s="35">
        <f>SUM(G2908:G2909)</f>
        <v>23.554945999999997</v>
      </c>
      <c r="I2908" s="36"/>
      <c r="J2908" s="125">
        <v>0</v>
      </c>
    </row>
    <row r="2909" spans="1:10" ht="15.75" hidden="1" thickBot="1" x14ac:dyDescent="0.3">
      <c r="A2909" s="249"/>
      <c r="B2909" s="238"/>
      <c r="C2909" s="155" t="s">
        <v>710</v>
      </c>
      <c r="D2909" s="155" t="s">
        <v>774</v>
      </c>
      <c r="E2909" s="34">
        <v>0.45100000000000001</v>
      </c>
      <c r="F2909" s="28">
        <v>36.745999999999995</v>
      </c>
      <c r="G2909" s="31">
        <f>IF(ISNUMBER(F2909),E2909*F2909,"")</f>
        <v>16.572445999999999</v>
      </c>
      <c r="H2909" s="32"/>
      <c r="I2909" s="28"/>
      <c r="J2909" s="125">
        <v>0</v>
      </c>
    </row>
    <row r="2910" spans="1:10" ht="15.75" hidden="1" thickBot="1" x14ac:dyDescent="0.3">
      <c r="A2910" s="249"/>
      <c r="B2910" s="238"/>
      <c r="C2910" s="155"/>
      <c r="D2910" s="42"/>
      <c r="E2910" s="34"/>
      <c r="F2910" s="28" t="s">
        <v>418</v>
      </c>
      <c r="G2910" s="31" t="str">
        <f>IF(ISNUMBER(F2910),E2910*F2910,"")</f>
        <v/>
      </c>
      <c r="H2910" s="32"/>
      <c r="I2910" s="28"/>
      <c r="J2910" s="125">
        <v>0</v>
      </c>
    </row>
    <row r="2911" spans="1:10" ht="26.25" hidden="1" thickBot="1" x14ac:dyDescent="0.3">
      <c r="A2911" s="249"/>
      <c r="B2911" s="238"/>
      <c r="C2911" s="43" t="s">
        <v>717</v>
      </c>
      <c r="D2911" s="42"/>
      <c r="E2911" s="34"/>
      <c r="F2911" s="28" t="s">
        <v>418</v>
      </c>
      <c r="G2911" s="31" t="str">
        <f>IF(ISNUMBER(F2911),E2911*F2911,"")</f>
        <v/>
      </c>
      <c r="H2911" s="32"/>
      <c r="I2911" s="28"/>
      <c r="J2911" s="125">
        <v>0</v>
      </c>
    </row>
    <row r="2912" spans="1:10" ht="26.25" hidden="1" thickBot="1" x14ac:dyDescent="0.3">
      <c r="A2912" s="249"/>
      <c r="B2912" s="238"/>
      <c r="C2912" s="47" t="s">
        <v>715</v>
      </c>
      <c r="D2912" s="42"/>
      <c r="E2912" s="34"/>
      <c r="F2912" s="28" t="s">
        <v>418</v>
      </c>
      <c r="G2912" s="31" t="str">
        <f>IF(ISNUMBER(F2912),E2912*F2912,"")</f>
        <v/>
      </c>
      <c r="H2912" s="32"/>
      <c r="I2912" s="28"/>
      <c r="J2912" s="125">
        <v>0</v>
      </c>
    </row>
    <row r="2913" spans="1:10" ht="15.75" hidden="1" thickBot="1" x14ac:dyDescent="0.3">
      <c r="A2913" s="250"/>
      <c r="B2913" s="239"/>
      <c r="C2913" s="155"/>
      <c r="D2913" s="33"/>
      <c r="E2913" s="34"/>
      <c r="F2913" s="28" t="s">
        <v>418</v>
      </c>
      <c r="G2913" s="31" t="str">
        <f>IF(ISNUMBER(F2913),E2913*F2913,"")</f>
        <v/>
      </c>
      <c r="H2913" s="32"/>
      <c r="I2913" s="28"/>
      <c r="J2913" s="125">
        <v>0</v>
      </c>
    </row>
    <row r="2914" spans="1:10" ht="15.75" hidden="1" thickBot="1" x14ac:dyDescent="0.3">
      <c r="A2914" s="234" t="s">
        <v>719</v>
      </c>
      <c r="B2914" s="237" t="s">
        <v>1705</v>
      </c>
      <c r="C2914" s="160"/>
      <c r="D2914" s="23" t="s">
        <v>69</v>
      </c>
      <c r="E2914" s="24"/>
      <c r="F2914" s="37" t="s">
        <v>418</v>
      </c>
      <c r="G2914" s="25" t="str">
        <f>IF(ISNUMBER(F2914),E2914*F2914,"")</f>
        <v/>
      </c>
      <c r="H2914" s="26"/>
      <c r="I2914" s="27"/>
      <c r="J2914" s="125">
        <v>0</v>
      </c>
    </row>
    <row r="2915" spans="1:10" ht="15.75" hidden="1" thickBot="1" x14ac:dyDescent="0.3">
      <c r="A2915" s="249"/>
      <c r="B2915" s="238"/>
      <c r="C2915" s="151"/>
      <c r="D2915" s="29"/>
      <c r="E2915" s="30"/>
      <c r="F2915" s="38" t="s">
        <v>418</v>
      </c>
      <c r="G2915" s="31" t="str">
        <f>IF(ISNUMBER(F2915),E2915*F2915,"")</f>
        <v/>
      </c>
      <c r="H2915" s="32"/>
      <c r="I2915" s="28"/>
      <c r="J2915" s="125">
        <v>0</v>
      </c>
    </row>
    <row r="2916" spans="1:10" ht="15.75" hidden="1" thickBot="1" x14ac:dyDescent="0.3">
      <c r="A2916" s="249"/>
      <c r="B2916" s="238"/>
      <c r="C2916" s="155" t="s">
        <v>9864</v>
      </c>
      <c r="D2916" s="155" t="s">
        <v>587</v>
      </c>
      <c r="E2916" s="34">
        <v>0.15</v>
      </c>
      <c r="F2916" s="31">
        <v>23.274999999999999</v>
      </c>
      <c r="G2916" s="31">
        <f>IF(ISNUMBER(F2916),E2916*F2916,"")</f>
        <v>3.4912499999999995</v>
      </c>
      <c r="H2916" s="35">
        <f>SUM(G2916:G2917)</f>
        <v>7.5333099999999984</v>
      </c>
      <c r="I2916" s="36"/>
      <c r="J2916" s="125">
        <v>0</v>
      </c>
    </row>
    <row r="2917" spans="1:10" ht="15.75" hidden="1" thickBot="1" x14ac:dyDescent="0.3">
      <c r="A2917" s="249"/>
      <c r="B2917" s="238"/>
      <c r="C2917" s="155" t="s">
        <v>710</v>
      </c>
      <c r="D2917" s="155" t="s">
        <v>774</v>
      </c>
      <c r="E2917" s="34">
        <v>0.11</v>
      </c>
      <c r="F2917" s="28">
        <v>36.745999999999995</v>
      </c>
      <c r="G2917" s="31">
        <f>IF(ISNUMBER(F2917),E2917*F2917,"")</f>
        <v>4.0420599999999993</v>
      </c>
      <c r="H2917" s="32"/>
      <c r="I2917" s="28"/>
      <c r="J2917" s="125">
        <v>0</v>
      </c>
    </row>
    <row r="2918" spans="1:10" ht="15.75" hidden="1" thickBot="1" x14ac:dyDescent="0.3">
      <c r="A2918" s="249"/>
      <c r="B2918" s="238"/>
      <c r="C2918" s="155"/>
      <c r="D2918" s="42"/>
      <c r="E2918" s="34"/>
      <c r="F2918" s="28" t="s">
        <v>418</v>
      </c>
      <c r="G2918" s="31" t="str">
        <f>IF(ISNUMBER(F2918),E2918*F2918,"")</f>
        <v/>
      </c>
      <c r="H2918" s="32"/>
      <c r="I2918" s="28"/>
      <c r="J2918" s="125">
        <v>0</v>
      </c>
    </row>
    <row r="2919" spans="1:10" ht="26.25" hidden="1" thickBot="1" x14ac:dyDescent="0.3">
      <c r="A2919" s="249"/>
      <c r="B2919" s="238"/>
      <c r="C2919" s="43" t="s">
        <v>720</v>
      </c>
      <c r="D2919" s="42"/>
      <c r="E2919" s="34"/>
      <c r="F2919" s="28" t="s">
        <v>418</v>
      </c>
      <c r="G2919" s="31" t="str">
        <f>IF(ISNUMBER(F2919),E2919*F2919,"")</f>
        <v/>
      </c>
      <c r="H2919" s="32"/>
      <c r="I2919" s="28"/>
      <c r="J2919" s="125">
        <v>0</v>
      </c>
    </row>
    <row r="2920" spans="1:10" ht="26.25" hidden="1" thickBot="1" x14ac:dyDescent="0.3">
      <c r="A2920" s="249"/>
      <c r="B2920" s="238"/>
      <c r="C2920" s="47" t="s">
        <v>715</v>
      </c>
      <c r="D2920" s="42"/>
      <c r="E2920" s="34"/>
      <c r="F2920" s="28" t="s">
        <v>418</v>
      </c>
      <c r="G2920" s="31" t="str">
        <f>IF(ISNUMBER(F2920),E2920*F2920,"")</f>
        <v/>
      </c>
      <c r="H2920" s="32"/>
      <c r="I2920" s="28"/>
      <c r="J2920" s="125">
        <v>0</v>
      </c>
    </row>
    <row r="2921" spans="1:10" ht="15.75" hidden="1" thickBot="1" x14ac:dyDescent="0.3">
      <c r="A2921" s="250"/>
      <c r="B2921" s="239"/>
      <c r="C2921" s="155"/>
      <c r="D2921" s="33"/>
      <c r="E2921" s="34"/>
      <c r="F2921" s="28" t="s">
        <v>418</v>
      </c>
      <c r="G2921" s="31" t="str">
        <f>IF(ISNUMBER(F2921),E2921*F2921,"")</f>
        <v/>
      </c>
      <c r="H2921" s="32"/>
      <c r="I2921" s="28"/>
      <c r="J2921" s="125">
        <v>0</v>
      </c>
    </row>
    <row r="2922" spans="1:10" ht="15.75" hidden="1" thickBot="1" x14ac:dyDescent="0.3">
      <c r="A2922" s="234" t="s">
        <v>721</v>
      </c>
      <c r="B2922" s="237" t="s">
        <v>1706</v>
      </c>
      <c r="C2922" s="160"/>
      <c r="D2922" s="23" t="s">
        <v>16</v>
      </c>
      <c r="E2922" s="24"/>
      <c r="F2922" s="37" t="s">
        <v>418</v>
      </c>
      <c r="G2922" s="25" t="str">
        <f>IF(ISNUMBER(F2922),E2922*F2922,"")</f>
        <v/>
      </c>
      <c r="H2922" s="26"/>
      <c r="I2922" s="27"/>
      <c r="J2922" s="125">
        <v>0</v>
      </c>
    </row>
    <row r="2923" spans="1:10" ht="15.75" hidden="1" thickBot="1" x14ac:dyDescent="0.3">
      <c r="A2923" s="235"/>
      <c r="B2923" s="238"/>
      <c r="C2923" s="151"/>
      <c r="D2923" s="29"/>
      <c r="E2923" s="30"/>
      <c r="F2923" s="38" t="s">
        <v>418</v>
      </c>
      <c r="G2923" s="31" t="str">
        <f>IF(ISNUMBER(F2923),E2923*F2923,"")</f>
        <v/>
      </c>
      <c r="H2923" s="32"/>
      <c r="I2923" s="28"/>
      <c r="J2923" s="125">
        <v>0</v>
      </c>
    </row>
    <row r="2924" spans="1:10" ht="15.75" hidden="1" thickBot="1" x14ac:dyDescent="0.3">
      <c r="A2924" s="235"/>
      <c r="B2924" s="238"/>
      <c r="C2924" s="155" t="s">
        <v>9864</v>
      </c>
      <c r="D2924" s="155" t="s">
        <v>587</v>
      </c>
      <c r="E2924" s="34">
        <v>0.3</v>
      </c>
      <c r="F2924" s="31">
        <v>23.274999999999999</v>
      </c>
      <c r="G2924" s="31">
        <f>IF(ISNUMBER(F2924),E2924*F2924,"")</f>
        <v>6.982499999999999</v>
      </c>
      <c r="H2924" s="35">
        <f>SUM(G2924:G2925)</f>
        <v>7.9324999999999992</v>
      </c>
      <c r="I2924" s="36"/>
      <c r="J2924" s="125">
        <v>0</v>
      </c>
    </row>
    <row r="2925" spans="1:10" ht="26.25" hidden="1" thickBot="1" x14ac:dyDescent="0.3">
      <c r="A2925" s="235"/>
      <c r="B2925" s="238"/>
      <c r="C2925" s="155" t="s">
        <v>722</v>
      </c>
      <c r="D2925" s="33" t="s">
        <v>16</v>
      </c>
      <c r="E2925" s="34">
        <v>1</v>
      </c>
      <c r="F2925" s="28">
        <v>0.95</v>
      </c>
      <c r="G2925" s="31">
        <f>IF(ISNUMBER(F2925),E2925*F2925,"")</f>
        <v>0.95</v>
      </c>
      <c r="H2925" s="32"/>
      <c r="I2925" s="28"/>
      <c r="J2925" s="125">
        <v>0</v>
      </c>
    </row>
    <row r="2926" spans="1:10" ht="15.75" hidden="1" thickBot="1" x14ac:dyDescent="0.3">
      <c r="A2926" s="236"/>
      <c r="B2926" s="239"/>
      <c r="C2926" s="155"/>
      <c r="D2926" s="33"/>
      <c r="E2926" s="34"/>
      <c r="F2926" s="28" t="s">
        <v>418</v>
      </c>
      <c r="G2926" s="31" t="str">
        <f>IF(ISNUMBER(F2926),E2926*F2926,"")</f>
        <v/>
      </c>
      <c r="H2926" s="32"/>
      <c r="I2926" s="28"/>
      <c r="J2926" s="125">
        <v>0</v>
      </c>
    </row>
    <row r="2927" spans="1:10" ht="15.75" hidden="1" thickBot="1" x14ac:dyDescent="0.3">
      <c r="A2927" s="234" t="s">
        <v>723</v>
      </c>
      <c r="B2927" s="237" t="s">
        <v>1707</v>
      </c>
      <c r="C2927" s="160"/>
      <c r="D2927" s="23" t="s">
        <v>69</v>
      </c>
      <c r="E2927" s="24"/>
      <c r="F2927" s="37" t="s">
        <v>418</v>
      </c>
      <c r="G2927" s="25" t="str">
        <f>IF(ISNUMBER(F2927),E2927*F2927,"")</f>
        <v/>
      </c>
      <c r="H2927" s="26"/>
      <c r="I2927" s="27"/>
      <c r="J2927" s="125">
        <v>0</v>
      </c>
    </row>
    <row r="2928" spans="1:10" ht="15.75" hidden="1" thickBot="1" x14ac:dyDescent="0.3">
      <c r="A2928" s="235"/>
      <c r="B2928" s="238"/>
      <c r="C2928" s="151"/>
      <c r="D2928" s="29"/>
      <c r="E2928" s="30"/>
      <c r="F2928" s="38" t="s">
        <v>418</v>
      </c>
      <c r="G2928" s="31" t="str">
        <f>IF(ISNUMBER(F2928),E2928*F2928,"")</f>
        <v/>
      </c>
      <c r="H2928" s="32"/>
      <c r="I2928" s="28"/>
      <c r="J2928" s="125">
        <v>0</v>
      </c>
    </row>
    <row r="2929" spans="1:10" ht="15.75" hidden="1" thickBot="1" x14ac:dyDescent="0.3">
      <c r="A2929" s="235"/>
      <c r="B2929" s="238"/>
      <c r="C2929" s="155" t="s">
        <v>9864</v>
      </c>
      <c r="D2929" s="155" t="s">
        <v>587</v>
      </c>
      <c r="E2929" s="34">
        <v>0.3</v>
      </c>
      <c r="F2929" s="31">
        <v>23.274999999999999</v>
      </c>
      <c r="G2929" s="31">
        <f>IF(ISNUMBER(F2929),E2929*F2929,"")</f>
        <v>6.982499999999999</v>
      </c>
      <c r="H2929" s="35">
        <f>SUM(G2929:G2930)</f>
        <v>6.982499999999999</v>
      </c>
      <c r="I2929" s="36"/>
      <c r="J2929" s="125">
        <v>0</v>
      </c>
    </row>
    <row r="2930" spans="1:10" ht="51.75" hidden="1" thickBot="1" x14ac:dyDescent="0.3">
      <c r="A2930" s="235"/>
      <c r="B2930" s="238"/>
      <c r="C2930" s="155" t="s">
        <v>724</v>
      </c>
      <c r="D2930" s="33" t="s">
        <v>16</v>
      </c>
      <c r="E2930" s="34">
        <v>1</v>
      </c>
      <c r="F2930" s="28" t="s">
        <v>418</v>
      </c>
      <c r="G2930" s="31" t="str">
        <f>IF(ISNUMBER(F2930),E2930*F2930,"")</f>
        <v/>
      </c>
      <c r="H2930" s="32"/>
      <c r="I2930" s="28"/>
      <c r="J2930" s="125">
        <v>0</v>
      </c>
    </row>
    <row r="2931" spans="1:10" ht="15.75" hidden="1" thickBot="1" x14ac:dyDescent="0.3">
      <c r="A2931" s="236"/>
      <c r="B2931" s="239"/>
      <c r="C2931" s="155"/>
      <c r="D2931" s="33"/>
      <c r="E2931" s="34"/>
      <c r="F2931" s="28" t="s">
        <v>418</v>
      </c>
      <c r="G2931" s="31" t="str">
        <f>IF(ISNUMBER(F2931),E2931*F2931,"")</f>
        <v/>
      </c>
      <c r="H2931" s="32"/>
      <c r="I2931" s="28"/>
      <c r="J2931" s="125">
        <v>0</v>
      </c>
    </row>
    <row r="2932" spans="1:10" ht="15.75" hidden="1" thickBot="1" x14ac:dyDescent="0.3">
      <c r="A2932" s="234" t="s">
        <v>725</v>
      </c>
      <c r="B2932" s="237" t="s">
        <v>1708</v>
      </c>
      <c r="C2932" s="160"/>
      <c r="D2932" s="23" t="s">
        <v>16</v>
      </c>
      <c r="E2932" s="24"/>
      <c r="F2932" s="37" t="s">
        <v>418</v>
      </c>
      <c r="G2932" s="25" t="str">
        <f>IF(ISNUMBER(F2932),E2932*F2932,"")</f>
        <v/>
      </c>
      <c r="H2932" s="26"/>
      <c r="I2932" s="27"/>
      <c r="J2932" s="125">
        <v>0</v>
      </c>
    </row>
    <row r="2933" spans="1:10" ht="15.75" hidden="1" thickBot="1" x14ac:dyDescent="0.3">
      <c r="A2933" s="235"/>
      <c r="B2933" s="238"/>
      <c r="C2933" s="151"/>
      <c r="D2933" s="29"/>
      <c r="E2933" s="30"/>
      <c r="F2933" s="38" t="s">
        <v>418</v>
      </c>
      <c r="G2933" s="31" t="str">
        <f>IF(ISNUMBER(F2933),E2933*F2933,"")</f>
        <v/>
      </c>
      <c r="H2933" s="32"/>
      <c r="I2933" s="28"/>
      <c r="J2933" s="125">
        <v>0</v>
      </c>
    </row>
    <row r="2934" spans="1:10" ht="15.75" hidden="1" thickBot="1" x14ac:dyDescent="0.3">
      <c r="A2934" s="235"/>
      <c r="B2934" s="238"/>
      <c r="C2934" s="155" t="s">
        <v>9864</v>
      </c>
      <c r="D2934" s="155" t="s">
        <v>587</v>
      </c>
      <c r="E2934" s="34">
        <v>0.15</v>
      </c>
      <c r="F2934" s="31">
        <v>23.274999999999999</v>
      </c>
      <c r="G2934" s="31">
        <f>IF(ISNUMBER(F2934),E2934*F2934,"")</f>
        <v>3.4912499999999995</v>
      </c>
      <c r="H2934" s="35">
        <f>SUM(G2934:G2935)</f>
        <v>3.4912499999999995</v>
      </c>
      <c r="I2934" s="36"/>
      <c r="J2934" s="125">
        <v>0</v>
      </c>
    </row>
    <row r="2935" spans="1:10" ht="26.25" hidden="1" thickBot="1" x14ac:dyDescent="0.3">
      <c r="A2935" s="235"/>
      <c r="B2935" s="238"/>
      <c r="C2935" s="155" t="s">
        <v>726</v>
      </c>
      <c r="D2935" s="33" t="s">
        <v>16</v>
      </c>
      <c r="E2935" s="34">
        <v>1</v>
      </c>
      <c r="F2935" s="28" t="s">
        <v>418</v>
      </c>
      <c r="G2935" s="31" t="str">
        <f>IF(ISNUMBER(F2935),E2935*F2935,"")</f>
        <v/>
      </c>
      <c r="H2935" s="32"/>
      <c r="I2935" s="28"/>
      <c r="J2935" s="125">
        <v>0</v>
      </c>
    </row>
    <row r="2936" spans="1:10" ht="15.75" hidden="1" thickBot="1" x14ac:dyDescent="0.3">
      <c r="A2936" s="236"/>
      <c r="B2936" s="239"/>
      <c r="C2936" s="155"/>
      <c r="D2936" s="33"/>
      <c r="E2936" s="34"/>
      <c r="F2936" s="28" t="s">
        <v>418</v>
      </c>
      <c r="G2936" s="31" t="str">
        <f>IF(ISNUMBER(F2936),E2936*F2936,"")</f>
        <v/>
      </c>
      <c r="H2936" s="32"/>
      <c r="I2936" s="28"/>
      <c r="J2936" s="125">
        <v>0</v>
      </c>
    </row>
    <row r="2937" spans="1:10" ht="15.75" hidden="1" thickBot="1" x14ac:dyDescent="0.3">
      <c r="A2937" s="234" t="s">
        <v>727</v>
      </c>
      <c r="B2937" s="237" t="s">
        <v>1709</v>
      </c>
      <c r="C2937" s="160"/>
      <c r="D2937" s="23" t="s">
        <v>16</v>
      </c>
      <c r="E2937" s="24"/>
      <c r="F2937" s="37" t="s">
        <v>418</v>
      </c>
      <c r="G2937" s="25" t="str">
        <f>IF(ISNUMBER(F2937),E2937*F2937,"")</f>
        <v/>
      </c>
      <c r="H2937" s="26"/>
      <c r="I2937" s="27"/>
      <c r="J2937" s="125">
        <v>0</v>
      </c>
    </row>
    <row r="2938" spans="1:10" ht="15.75" hidden="1" thickBot="1" x14ac:dyDescent="0.3">
      <c r="A2938" s="235"/>
      <c r="B2938" s="238"/>
      <c r="C2938" s="151"/>
      <c r="D2938" s="29"/>
      <c r="E2938" s="30"/>
      <c r="F2938" s="38" t="s">
        <v>418</v>
      </c>
      <c r="G2938" s="31" t="str">
        <f>IF(ISNUMBER(F2938),E2938*F2938,"")</f>
        <v/>
      </c>
      <c r="H2938" s="32"/>
      <c r="I2938" s="28"/>
      <c r="J2938" s="125">
        <v>0</v>
      </c>
    </row>
    <row r="2939" spans="1:10" ht="15.75" hidden="1" thickBot="1" x14ac:dyDescent="0.3">
      <c r="A2939" s="235"/>
      <c r="B2939" s="238"/>
      <c r="C2939" s="155" t="s">
        <v>9864</v>
      </c>
      <c r="D2939" s="155" t="s">
        <v>587</v>
      </c>
      <c r="E2939" s="34">
        <v>0.15</v>
      </c>
      <c r="F2939" s="31">
        <v>23.274999999999999</v>
      </c>
      <c r="G2939" s="31">
        <f>IF(ISNUMBER(F2939),E2939*F2939,"")</f>
        <v>3.4912499999999995</v>
      </c>
      <c r="H2939" s="35">
        <f>SUM(G2939:G2940)</f>
        <v>3.4912499999999995</v>
      </c>
      <c r="I2939" s="36"/>
      <c r="J2939" s="125">
        <v>0</v>
      </c>
    </row>
    <row r="2940" spans="1:10" ht="26.25" hidden="1" thickBot="1" x14ac:dyDescent="0.3">
      <c r="A2940" s="235"/>
      <c r="B2940" s="238"/>
      <c r="C2940" s="155" t="s">
        <v>728</v>
      </c>
      <c r="D2940" s="33" t="s">
        <v>16</v>
      </c>
      <c r="E2940" s="34">
        <v>1</v>
      </c>
      <c r="F2940" s="28" t="s">
        <v>418</v>
      </c>
      <c r="G2940" s="31" t="str">
        <f>IF(ISNUMBER(F2940),E2940*F2940,"")</f>
        <v/>
      </c>
      <c r="H2940" s="32"/>
      <c r="I2940" s="28"/>
      <c r="J2940" s="125">
        <v>0</v>
      </c>
    </row>
    <row r="2941" spans="1:10" ht="15.75" hidden="1" thickBot="1" x14ac:dyDescent="0.3">
      <c r="A2941" s="236"/>
      <c r="B2941" s="239"/>
      <c r="C2941" s="155"/>
      <c r="D2941" s="33"/>
      <c r="E2941" s="34"/>
      <c r="F2941" s="28" t="s">
        <v>418</v>
      </c>
      <c r="G2941" s="31" t="str">
        <f>IF(ISNUMBER(F2941),E2941*F2941,"")</f>
        <v/>
      </c>
      <c r="H2941" s="32"/>
      <c r="I2941" s="28"/>
      <c r="J2941" s="125">
        <v>0</v>
      </c>
    </row>
    <row r="2942" spans="1:10" ht="15.75" hidden="1" thickBot="1" x14ac:dyDescent="0.3">
      <c r="A2942" s="234" t="s">
        <v>729</v>
      </c>
      <c r="B2942" s="237" t="s">
        <v>1710</v>
      </c>
      <c r="C2942" s="160"/>
      <c r="D2942" s="23" t="s">
        <v>16</v>
      </c>
      <c r="E2942" s="24"/>
      <c r="F2942" s="37" t="s">
        <v>418</v>
      </c>
      <c r="G2942" s="25" t="str">
        <f>IF(ISNUMBER(F2942),E2942*F2942,"")</f>
        <v/>
      </c>
      <c r="H2942" s="26"/>
      <c r="I2942" s="27"/>
      <c r="J2942" s="125">
        <v>0</v>
      </c>
    </row>
    <row r="2943" spans="1:10" ht="15.75" hidden="1" thickBot="1" x14ac:dyDescent="0.3">
      <c r="A2943" s="235"/>
      <c r="B2943" s="238"/>
      <c r="C2943" s="151"/>
      <c r="D2943" s="29"/>
      <c r="E2943" s="30"/>
      <c r="F2943" s="38" t="s">
        <v>418</v>
      </c>
      <c r="G2943" s="31" t="str">
        <f>IF(ISNUMBER(F2943),E2943*F2943,"")</f>
        <v/>
      </c>
      <c r="H2943" s="32"/>
      <c r="I2943" s="28"/>
      <c r="J2943" s="125">
        <v>0</v>
      </c>
    </row>
    <row r="2944" spans="1:10" ht="15.75" hidden="1" thickBot="1" x14ac:dyDescent="0.3">
      <c r="A2944" s="235"/>
      <c r="B2944" s="238"/>
      <c r="C2944" s="155" t="s">
        <v>9864</v>
      </c>
      <c r="D2944" s="155" t="s">
        <v>587</v>
      </c>
      <c r="E2944" s="34">
        <v>0.1</v>
      </c>
      <c r="F2944" s="31">
        <v>23.274999999999999</v>
      </c>
      <c r="G2944" s="31">
        <f>IF(ISNUMBER(F2944),E2944*F2944,"")</f>
        <v>2.3275000000000001</v>
      </c>
      <c r="H2944" s="35">
        <f>SUM(G2944:G2945)</f>
        <v>3.2774999999999999</v>
      </c>
      <c r="I2944" s="36"/>
      <c r="J2944" s="125">
        <v>0</v>
      </c>
    </row>
    <row r="2945" spans="1:10" ht="39" hidden="1" thickBot="1" x14ac:dyDescent="0.3">
      <c r="A2945" s="235"/>
      <c r="B2945" s="238"/>
      <c r="C2945" s="155" t="s">
        <v>730</v>
      </c>
      <c r="D2945" s="33" t="s">
        <v>16</v>
      </c>
      <c r="E2945" s="34">
        <v>1</v>
      </c>
      <c r="F2945" s="28">
        <v>0.95</v>
      </c>
      <c r="G2945" s="31">
        <f>IF(ISNUMBER(F2945),E2945*F2945,"")</f>
        <v>0.95</v>
      </c>
      <c r="H2945" s="32"/>
      <c r="I2945" s="28"/>
      <c r="J2945" s="125">
        <v>0</v>
      </c>
    </row>
    <row r="2946" spans="1:10" ht="15.75" hidden="1" thickBot="1" x14ac:dyDescent="0.3">
      <c r="A2946" s="236"/>
      <c r="B2946" s="239"/>
      <c r="C2946" s="155"/>
      <c r="D2946" s="33"/>
      <c r="E2946" s="34"/>
      <c r="F2946" s="28" t="s">
        <v>418</v>
      </c>
      <c r="G2946" s="31" t="str">
        <f>IF(ISNUMBER(F2946),E2946*F2946,"")</f>
        <v/>
      </c>
      <c r="H2946" s="32"/>
      <c r="I2946" s="28"/>
      <c r="J2946" s="125">
        <v>0</v>
      </c>
    </row>
    <row r="2947" spans="1:10" ht="15.75" hidden="1" thickBot="1" x14ac:dyDescent="0.3">
      <c r="A2947" s="234" t="s">
        <v>731</v>
      </c>
      <c r="B2947" s="237" t="s">
        <v>1711</v>
      </c>
      <c r="C2947" s="160"/>
      <c r="D2947" s="23" t="s">
        <v>16</v>
      </c>
      <c r="E2947" s="24"/>
      <c r="F2947" s="37" t="s">
        <v>418</v>
      </c>
      <c r="G2947" s="25" t="str">
        <f>IF(ISNUMBER(F2947),E2947*F2947,"")</f>
        <v/>
      </c>
      <c r="H2947" s="26"/>
      <c r="I2947" s="27"/>
      <c r="J2947" s="125">
        <v>0</v>
      </c>
    </row>
    <row r="2948" spans="1:10" ht="15.75" hidden="1" thickBot="1" x14ac:dyDescent="0.3">
      <c r="A2948" s="235"/>
      <c r="B2948" s="238"/>
      <c r="C2948" s="151"/>
      <c r="D2948" s="29"/>
      <c r="E2948" s="30"/>
      <c r="F2948" s="38" t="s">
        <v>418</v>
      </c>
      <c r="G2948" s="31" t="str">
        <f>IF(ISNUMBER(F2948),E2948*F2948,"")</f>
        <v/>
      </c>
      <c r="H2948" s="32"/>
      <c r="I2948" s="28"/>
      <c r="J2948" s="125">
        <v>0</v>
      </c>
    </row>
    <row r="2949" spans="1:10" ht="15.75" hidden="1" thickBot="1" x14ac:dyDescent="0.3">
      <c r="A2949" s="235"/>
      <c r="B2949" s="238"/>
      <c r="C2949" s="155" t="s">
        <v>9864</v>
      </c>
      <c r="D2949" s="155" t="s">
        <v>587</v>
      </c>
      <c r="E2949" s="34">
        <v>0.4</v>
      </c>
      <c r="F2949" s="31">
        <v>23.274999999999999</v>
      </c>
      <c r="G2949" s="31">
        <f>IF(ISNUMBER(F2949),E2949*F2949,"")</f>
        <v>9.31</v>
      </c>
      <c r="H2949" s="35">
        <f>SUM(G2949:G2950)</f>
        <v>10.26</v>
      </c>
      <c r="I2949" s="36"/>
      <c r="J2949" s="125">
        <v>0</v>
      </c>
    </row>
    <row r="2950" spans="1:10" ht="39" hidden="1" thickBot="1" x14ac:dyDescent="0.3">
      <c r="A2950" s="235"/>
      <c r="B2950" s="238"/>
      <c r="C2950" s="155" t="s">
        <v>732</v>
      </c>
      <c r="D2950" s="33" t="s">
        <v>16</v>
      </c>
      <c r="E2950" s="34">
        <v>1</v>
      </c>
      <c r="F2950" s="28">
        <v>0.95</v>
      </c>
      <c r="G2950" s="31">
        <f>IF(ISNUMBER(F2950),E2950*F2950,"")</f>
        <v>0.95</v>
      </c>
      <c r="H2950" s="32"/>
      <c r="I2950" s="28"/>
      <c r="J2950" s="125">
        <v>0</v>
      </c>
    </row>
    <row r="2951" spans="1:10" ht="15.75" hidden="1" thickBot="1" x14ac:dyDescent="0.3">
      <c r="A2951" s="236"/>
      <c r="B2951" s="239"/>
      <c r="C2951" s="155"/>
      <c r="D2951" s="33"/>
      <c r="E2951" s="34"/>
      <c r="F2951" s="28" t="s">
        <v>418</v>
      </c>
      <c r="G2951" s="31" t="str">
        <f>IF(ISNUMBER(F2951),E2951*F2951,"")</f>
        <v/>
      </c>
      <c r="H2951" s="32"/>
      <c r="I2951" s="28"/>
      <c r="J2951" s="125">
        <v>0</v>
      </c>
    </row>
    <row r="2952" spans="1:10" ht="15.75" hidden="1" thickBot="1" x14ac:dyDescent="0.3">
      <c r="A2952" s="234" t="s">
        <v>733</v>
      </c>
      <c r="B2952" s="237" t="s">
        <v>1712</v>
      </c>
      <c r="C2952" s="160"/>
      <c r="D2952" s="23" t="s">
        <v>16</v>
      </c>
      <c r="E2952" s="24"/>
      <c r="F2952" s="37" t="s">
        <v>418</v>
      </c>
      <c r="G2952" s="25" t="str">
        <f>IF(ISNUMBER(F2952),E2952*F2952,"")</f>
        <v/>
      </c>
      <c r="H2952" s="26"/>
      <c r="I2952" s="27"/>
      <c r="J2952" s="125">
        <v>0</v>
      </c>
    </row>
    <row r="2953" spans="1:10" ht="15.75" hidden="1" thickBot="1" x14ac:dyDescent="0.3">
      <c r="A2953" s="235"/>
      <c r="B2953" s="238"/>
      <c r="C2953" s="151"/>
      <c r="D2953" s="29"/>
      <c r="E2953" s="30"/>
      <c r="F2953" s="38" t="s">
        <v>418</v>
      </c>
      <c r="G2953" s="31" t="str">
        <f>IF(ISNUMBER(F2953),E2953*F2953,"")</f>
        <v/>
      </c>
      <c r="H2953" s="32"/>
      <c r="I2953" s="28"/>
      <c r="J2953" s="125">
        <v>0</v>
      </c>
    </row>
    <row r="2954" spans="1:10" ht="15.75" hidden="1" thickBot="1" x14ac:dyDescent="0.3">
      <c r="A2954" s="235"/>
      <c r="B2954" s="238"/>
      <c r="C2954" s="155" t="s">
        <v>9864</v>
      </c>
      <c r="D2954" s="155" t="s">
        <v>587</v>
      </c>
      <c r="E2954" s="34">
        <v>0.4</v>
      </c>
      <c r="F2954" s="31">
        <v>23.274999999999999</v>
      </c>
      <c r="G2954" s="31">
        <f>IF(ISNUMBER(F2954),E2954*F2954,"")</f>
        <v>9.31</v>
      </c>
      <c r="H2954" s="35">
        <f>SUM(G2954:G2955)</f>
        <v>9.31</v>
      </c>
      <c r="I2954" s="36"/>
      <c r="J2954" s="125">
        <v>0</v>
      </c>
    </row>
    <row r="2955" spans="1:10" ht="39" hidden="1" thickBot="1" x14ac:dyDescent="0.3">
      <c r="A2955" s="235"/>
      <c r="B2955" s="238"/>
      <c r="C2955" s="155" t="s">
        <v>734</v>
      </c>
      <c r="D2955" s="33" t="s">
        <v>16</v>
      </c>
      <c r="E2955" s="34">
        <v>1</v>
      </c>
      <c r="F2955" s="28" t="s">
        <v>418</v>
      </c>
      <c r="G2955" s="31" t="str">
        <f>IF(ISNUMBER(F2955),E2955*F2955,"")</f>
        <v/>
      </c>
      <c r="H2955" s="32"/>
      <c r="I2955" s="28"/>
      <c r="J2955" s="125">
        <v>0</v>
      </c>
    </row>
    <row r="2956" spans="1:10" ht="15.75" hidden="1" thickBot="1" x14ac:dyDescent="0.3">
      <c r="A2956" s="236"/>
      <c r="B2956" s="239"/>
      <c r="C2956" s="155"/>
      <c r="D2956" s="33"/>
      <c r="E2956" s="34"/>
      <c r="F2956" s="28" t="s">
        <v>418</v>
      </c>
      <c r="G2956" s="31" t="str">
        <f>IF(ISNUMBER(F2956),E2956*F2956,"")</f>
        <v/>
      </c>
      <c r="H2956" s="32"/>
      <c r="I2956" s="28"/>
      <c r="J2956" s="125">
        <v>0</v>
      </c>
    </row>
    <row r="2957" spans="1:10" ht="15.75" hidden="1" thickBot="1" x14ac:dyDescent="0.3">
      <c r="A2957" s="234" t="s">
        <v>735</v>
      </c>
      <c r="B2957" s="237" t="s">
        <v>1713</v>
      </c>
      <c r="C2957" s="160"/>
      <c r="D2957" s="23" t="s">
        <v>16</v>
      </c>
      <c r="E2957" s="24"/>
      <c r="F2957" s="37" t="s">
        <v>418</v>
      </c>
      <c r="G2957" s="25" t="str">
        <f>IF(ISNUMBER(F2957),E2957*F2957,"")</f>
        <v/>
      </c>
      <c r="H2957" s="26"/>
      <c r="I2957" s="27"/>
      <c r="J2957" s="125">
        <v>0</v>
      </c>
    </row>
    <row r="2958" spans="1:10" ht="15.75" hidden="1" thickBot="1" x14ac:dyDescent="0.3">
      <c r="A2958" s="235"/>
      <c r="B2958" s="238"/>
      <c r="C2958" s="151"/>
      <c r="D2958" s="29"/>
      <c r="E2958" s="30"/>
      <c r="F2958" s="38" t="s">
        <v>418</v>
      </c>
      <c r="G2958" s="31" t="str">
        <f>IF(ISNUMBER(F2958),E2958*F2958,"")</f>
        <v/>
      </c>
      <c r="H2958" s="32"/>
      <c r="I2958" s="28"/>
      <c r="J2958" s="125">
        <v>0</v>
      </c>
    </row>
    <row r="2959" spans="1:10" ht="15.75" hidden="1" thickBot="1" x14ac:dyDescent="0.3">
      <c r="A2959" s="235"/>
      <c r="B2959" s="238"/>
      <c r="C2959" s="155" t="s">
        <v>9864</v>
      </c>
      <c r="D2959" s="155" t="s">
        <v>587</v>
      </c>
      <c r="E2959" s="34">
        <v>0.3</v>
      </c>
      <c r="F2959" s="31">
        <v>23.274999999999999</v>
      </c>
      <c r="G2959" s="31">
        <f>IF(ISNUMBER(F2959),E2959*F2959,"")</f>
        <v>6.982499999999999</v>
      </c>
      <c r="H2959" s="35">
        <f>SUM(G2959:G2960)</f>
        <v>7.9324999999999992</v>
      </c>
      <c r="I2959" s="36"/>
      <c r="J2959" s="125">
        <v>0</v>
      </c>
    </row>
    <row r="2960" spans="1:10" ht="26.25" hidden="1" thickBot="1" x14ac:dyDescent="0.3">
      <c r="A2960" s="235"/>
      <c r="B2960" s="238"/>
      <c r="C2960" s="155" t="s">
        <v>736</v>
      </c>
      <c r="D2960" s="33" t="s">
        <v>16</v>
      </c>
      <c r="E2960" s="34">
        <v>1</v>
      </c>
      <c r="F2960" s="28">
        <v>0.95</v>
      </c>
      <c r="G2960" s="31">
        <f>IF(ISNUMBER(F2960),E2960*F2960,"")</f>
        <v>0.95</v>
      </c>
      <c r="H2960" s="32"/>
      <c r="I2960" s="28"/>
      <c r="J2960" s="125">
        <v>0</v>
      </c>
    </row>
    <row r="2961" spans="1:10" ht="15.75" hidden="1" thickBot="1" x14ac:dyDescent="0.3">
      <c r="A2961" s="236"/>
      <c r="B2961" s="239"/>
      <c r="C2961" s="155"/>
      <c r="D2961" s="33"/>
      <c r="E2961" s="34"/>
      <c r="F2961" s="28" t="s">
        <v>418</v>
      </c>
      <c r="G2961" s="31" t="str">
        <f>IF(ISNUMBER(F2961),E2961*F2961,"")</f>
        <v/>
      </c>
      <c r="H2961" s="32"/>
      <c r="I2961" s="28"/>
      <c r="J2961" s="125">
        <v>0</v>
      </c>
    </row>
    <row r="2962" spans="1:10" ht="15.75" hidden="1" thickBot="1" x14ac:dyDescent="0.3">
      <c r="A2962" s="234" t="s">
        <v>737</v>
      </c>
      <c r="B2962" s="237" t="s">
        <v>1714</v>
      </c>
      <c r="C2962" s="160"/>
      <c r="D2962" s="23" t="s">
        <v>16</v>
      </c>
      <c r="E2962" s="24"/>
      <c r="F2962" s="37" t="s">
        <v>418</v>
      </c>
      <c r="G2962" s="25" t="str">
        <f>IF(ISNUMBER(F2962),E2962*F2962,"")</f>
        <v/>
      </c>
      <c r="H2962" s="26"/>
      <c r="I2962" s="27"/>
      <c r="J2962" s="125">
        <v>0</v>
      </c>
    </row>
    <row r="2963" spans="1:10" ht="15.75" hidden="1" thickBot="1" x14ac:dyDescent="0.3">
      <c r="A2963" s="235"/>
      <c r="B2963" s="238"/>
      <c r="C2963" s="151"/>
      <c r="D2963" s="29"/>
      <c r="E2963" s="30"/>
      <c r="F2963" s="38" t="s">
        <v>418</v>
      </c>
      <c r="G2963" s="31" t="str">
        <f>IF(ISNUMBER(F2963),E2963*F2963,"")</f>
        <v/>
      </c>
      <c r="H2963" s="32"/>
      <c r="I2963" s="28"/>
      <c r="J2963" s="125">
        <v>0</v>
      </c>
    </row>
    <row r="2964" spans="1:10" ht="15.75" hidden="1" thickBot="1" x14ac:dyDescent="0.3">
      <c r="A2964" s="235"/>
      <c r="B2964" s="238"/>
      <c r="C2964" s="155" t="s">
        <v>9864</v>
      </c>
      <c r="D2964" s="155" t="s">
        <v>587</v>
      </c>
      <c r="E2964" s="34">
        <v>0.2</v>
      </c>
      <c r="F2964" s="31">
        <v>23.274999999999999</v>
      </c>
      <c r="G2964" s="31">
        <f>IF(ISNUMBER(F2964),E2964*F2964,"")</f>
        <v>4.6550000000000002</v>
      </c>
      <c r="H2964" s="35">
        <f>SUM(G2964:G2965)</f>
        <v>5.6050000000000004</v>
      </c>
      <c r="I2964" s="36"/>
      <c r="J2964" s="125">
        <v>0</v>
      </c>
    </row>
    <row r="2965" spans="1:10" ht="26.25" hidden="1" thickBot="1" x14ac:dyDescent="0.3">
      <c r="A2965" s="235"/>
      <c r="B2965" s="238"/>
      <c r="C2965" s="155" t="s">
        <v>738</v>
      </c>
      <c r="D2965" s="33" t="s">
        <v>16</v>
      </c>
      <c r="E2965" s="34">
        <v>1</v>
      </c>
      <c r="F2965" s="28">
        <v>0.95</v>
      </c>
      <c r="G2965" s="31">
        <f>IF(ISNUMBER(F2965),E2965*F2965,"")</f>
        <v>0.95</v>
      </c>
      <c r="H2965" s="32"/>
      <c r="I2965" s="28"/>
      <c r="J2965" s="125">
        <v>0</v>
      </c>
    </row>
    <row r="2966" spans="1:10" ht="15.75" hidden="1" thickBot="1" x14ac:dyDescent="0.3">
      <c r="A2966" s="236"/>
      <c r="B2966" s="239"/>
      <c r="C2966" s="155"/>
      <c r="D2966" s="33"/>
      <c r="E2966" s="34"/>
      <c r="F2966" s="28" t="s">
        <v>418</v>
      </c>
      <c r="G2966" s="31" t="str">
        <f>IF(ISNUMBER(F2966),E2966*F2966,"")</f>
        <v/>
      </c>
      <c r="H2966" s="32"/>
      <c r="I2966" s="28"/>
      <c r="J2966" s="125">
        <v>0</v>
      </c>
    </row>
    <row r="2967" spans="1:10" ht="15.75" hidden="1" thickBot="1" x14ac:dyDescent="0.3">
      <c r="A2967" s="234" t="s">
        <v>739</v>
      </c>
      <c r="B2967" s="237" t="s">
        <v>1715</v>
      </c>
      <c r="C2967" s="160"/>
      <c r="D2967" s="23" t="s">
        <v>16</v>
      </c>
      <c r="E2967" s="24"/>
      <c r="F2967" s="37" t="s">
        <v>418</v>
      </c>
      <c r="G2967" s="25" t="str">
        <f>IF(ISNUMBER(F2967),E2967*F2967,"")</f>
        <v/>
      </c>
      <c r="H2967" s="26"/>
      <c r="I2967" s="27"/>
      <c r="J2967" s="125">
        <v>0</v>
      </c>
    </row>
    <row r="2968" spans="1:10" ht="15.75" hidden="1" thickBot="1" x14ac:dyDescent="0.3">
      <c r="A2968" s="235"/>
      <c r="B2968" s="238"/>
      <c r="C2968" s="151"/>
      <c r="D2968" s="29"/>
      <c r="E2968" s="30"/>
      <c r="F2968" s="38" t="s">
        <v>418</v>
      </c>
      <c r="G2968" s="31" t="str">
        <f>IF(ISNUMBER(F2968),E2968*F2968,"")</f>
        <v/>
      </c>
      <c r="H2968" s="32"/>
      <c r="I2968" s="28"/>
      <c r="J2968" s="125">
        <v>0</v>
      </c>
    </row>
    <row r="2969" spans="1:10" ht="15.75" hidden="1" thickBot="1" x14ac:dyDescent="0.3">
      <c r="A2969" s="235"/>
      <c r="B2969" s="238"/>
      <c r="C2969" s="155" t="s">
        <v>9864</v>
      </c>
      <c r="D2969" s="155" t="s">
        <v>587</v>
      </c>
      <c r="E2969" s="34">
        <v>0.2</v>
      </c>
      <c r="F2969" s="31">
        <v>23.274999999999999</v>
      </c>
      <c r="G2969" s="31">
        <f>IF(ISNUMBER(F2969),E2969*F2969,"")</f>
        <v>4.6550000000000002</v>
      </c>
      <c r="H2969" s="35">
        <f>SUM(G2969:G2970)</f>
        <v>5.6050000000000004</v>
      </c>
      <c r="I2969" s="36"/>
      <c r="J2969" s="125">
        <v>0</v>
      </c>
    </row>
    <row r="2970" spans="1:10" ht="26.25" hidden="1" thickBot="1" x14ac:dyDescent="0.3">
      <c r="A2970" s="235"/>
      <c r="B2970" s="238"/>
      <c r="C2970" s="155" t="s">
        <v>740</v>
      </c>
      <c r="D2970" s="42" t="s">
        <v>16</v>
      </c>
      <c r="E2970" s="34">
        <v>1</v>
      </c>
      <c r="F2970" s="28">
        <v>0.95</v>
      </c>
      <c r="G2970" s="31">
        <f>IF(ISNUMBER(F2970),E2970*F2970,"")</f>
        <v>0.95</v>
      </c>
      <c r="H2970" s="32"/>
      <c r="I2970" s="28"/>
      <c r="J2970" s="125">
        <v>0</v>
      </c>
    </row>
    <row r="2971" spans="1:10" ht="15.75" hidden="1" thickBot="1" x14ac:dyDescent="0.3">
      <c r="A2971" s="236"/>
      <c r="B2971" s="239"/>
      <c r="C2971" s="155"/>
      <c r="D2971" s="33"/>
      <c r="E2971" s="34"/>
      <c r="F2971" s="28" t="s">
        <v>418</v>
      </c>
      <c r="G2971" s="31" t="str">
        <f>IF(ISNUMBER(F2971),E2971*F2971,"")</f>
        <v/>
      </c>
      <c r="H2971" s="32"/>
      <c r="I2971" s="28"/>
      <c r="J2971" s="125">
        <v>0</v>
      </c>
    </row>
    <row r="2972" spans="1:10" ht="15.75" hidden="1" thickBot="1" x14ac:dyDescent="0.3">
      <c r="A2972" s="234" t="s">
        <v>741</v>
      </c>
      <c r="B2972" s="237" t="s">
        <v>742</v>
      </c>
      <c r="C2972" s="160"/>
      <c r="D2972" s="23" t="s">
        <v>70</v>
      </c>
      <c r="E2972" s="24"/>
      <c r="F2972" s="37" t="s">
        <v>418</v>
      </c>
      <c r="G2972" s="25" t="str">
        <f>IF(ISNUMBER(F2972),E2972*F2972,"")</f>
        <v/>
      </c>
      <c r="H2972" s="26"/>
      <c r="I2972" s="27"/>
      <c r="J2972" s="125">
        <v>0</v>
      </c>
    </row>
    <row r="2973" spans="1:10" ht="15.75" hidden="1" thickBot="1" x14ac:dyDescent="0.3">
      <c r="A2973" s="235"/>
      <c r="B2973" s="238"/>
      <c r="C2973" s="151"/>
      <c r="D2973" s="29"/>
      <c r="E2973" s="30"/>
      <c r="F2973" s="38" t="s">
        <v>418</v>
      </c>
      <c r="G2973" s="31" t="str">
        <f>IF(ISNUMBER(F2973),E2973*F2973,"")</f>
        <v/>
      </c>
      <c r="H2973" s="32"/>
      <c r="I2973" s="28"/>
      <c r="J2973" s="125">
        <v>0</v>
      </c>
    </row>
    <row r="2974" spans="1:10" ht="39" hidden="1" thickBot="1" x14ac:dyDescent="0.3">
      <c r="A2974" s="235"/>
      <c r="B2974" s="238"/>
      <c r="C2974" s="155" t="s">
        <v>23958</v>
      </c>
      <c r="D2974" s="155" t="s">
        <v>205</v>
      </c>
      <c r="E2974" s="34">
        <v>2.1960000000000002</v>
      </c>
      <c r="F2974" s="31">
        <v>0.19</v>
      </c>
      <c r="G2974" s="31">
        <f>IF(ISNUMBER(F2974),E2974*F2974,"")</f>
        <v>0.41724000000000006</v>
      </c>
      <c r="H2974" s="35">
        <f>SUM(G2974:G2980)</f>
        <v>1322.654372</v>
      </c>
      <c r="I2974" s="36"/>
      <c r="J2974" s="125">
        <v>0</v>
      </c>
    </row>
    <row r="2975" spans="1:10" ht="26.25" hidden="1" thickBot="1" x14ac:dyDescent="0.3">
      <c r="A2975" s="235"/>
      <c r="B2975" s="238"/>
      <c r="C2975" s="155" t="s">
        <v>1046</v>
      </c>
      <c r="D2975" s="155" t="s">
        <v>385</v>
      </c>
      <c r="E2975" s="34">
        <v>3.4159999999999999</v>
      </c>
      <c r="F2975" s="31">
        <v>19.474999999999998</v>
      </c>
      <c r="G2975" s="31">
        <f>IF(ISNUMBER(F2975),E2975*F2975,"")</f>
        <v>66.526599999999988</v>
      </c>
      <c r="H2975" s="32"/>
      <c r="I2975" s="28"/>
      <c r="J2975" s="125">
        <v>0</v>
      </c>
    </row>
    <row r="2976" spans="1:10" ht="15.75" hidden="1" thickBot="1" x14ac:dyDescent="0.3">
      <c r="A2976" s="235"/>
      <c r="B2976" s="238"/>
      <c r="C2976" s="155" t="s">
        <v>710</v>
      </c>
      <c r="D2976" s="155" t="s">
        <v>774</v>
      </c>
      <c r="E2976" s="34">
        <v>0.96399999999999997</v>
      </c>
      <c r="F2976" s="28">
        <v>36.745999999999995</v>
      </c>
      <c r="G2976" s="31">
        <f>IF(ISNUMBER(F2976),E2976*F2976,"")</f>
        <v>35.423143999999994</v>
      </c>
      <c r="H2976" s="32"/>
      <c r="I2976" s="28"/>
      <c r="J2976" s="125">
        <v>0</v>
      </c>
    </row>
    <row r="2977" spans="1:10" ht="26.25" hidden="1" thickBot="1" x14ac:dyDescent="0.3">
      <c r="A2977" s="235"/>
      <c r="B2977" s="238"/>
      <c r="C2977" s="155" t="s">
        <v>1047</v>
      </c>
      <c r="D2977" s="155" t="s">
        <v>870</v>
      </c>
      <c r="E2977" s="34">
        <v>1</v>
      </c>
      <c r="F2977" s="28">
        <v>1137.0264999999999</v>
      </c>
      <c r="G2977" s="31">
        <f>IF(ISNUMBER(F2977),E2977*F2977,"")</f>
        <v>1137.0264999999999</v>
      </c>
      <c r="H2977" s="32"/>
      <c r="I2977" s="28"/>
      <c r="J2977" s="125">
        <v>0</v>
      </c>
    </row>
    <row r="2978" spans="1:10" ht="26.25" hidden="1" thickBot="1" x14ac:dyDescent="0.3">
      <c r="A2978" s="235"/>
      <c r="B2978" s="238"/>
      <c r="C2978" s="155" t="s">
        <v>25509</v>
      </c>
      <c r="D2978" s="155" t="s">
        <v>385</v>
      </c>
      <c r="E2978" s="34">
        <v>2.992</v>
      </c>
      <c r="F2978" s="28">
        <v>4.484</v>
      </c>
      <c r="G2978" s="31">
        <f>IF(ISNUMBER(F2978),E2978*F2978,"")</f>
        <v>13.416128</v>
      </c>
      <c r="H2978" s="32"/>
      <c r="I2978" s="28"/>
      <c r="J2978" s="125">
        <v>0</v>
      </c>
    </row>
    <row r="2979" spans="1:10" ht="15.75" hidden="1" thickBot="1" x14ac:dyDescent="0.3">
      <c r="A2979" s="235"/>
      <c r="B2979" s="238"/>
      <c r="C2979" s="155" t="s">
        <v>588</v>
      </c>
      <c r="D2979" s="155" t="s">
        <v>587</v>
      </c>
      <c r="E2979" s="34">
        <v>1.619</v>
      </c>
      <c r="F2979" s="28">
        <v>19.189999999999998</v>
      </c>
      <c r="G2979" s="31">
        <f>IF(ISNUMBER(F2979),E2979*F2979,"")</f>
        <v>31.068609999999996</v>
      </c>
      <c r="H2979" s="32"/>
      <c r="I2979" s="28"/>
      <c r="J2979" s="125">
        <v>0</v>
      </c>
    </row>
    <row r="2980" spans="1:10" ht="15.75" hidden="1" thickBot="1" x14ac:dyDescent="0.3">
      <c r="A2980" s="235"/>
      <c r="B2980" s="238"/>
      <c r="C2980" s="155" t="s">
        <v>9864</v>
      </c>
      <c r="D2980" s="155" t="s">
        <v>587</v>
      </c>
      <c r="E2980" s="34">
        <v>1.6659999999999999</v>
      </c>
      <c r="F2980" s="28">
        <v>23.274999999999999</v>
      </c>
      <c r="G2980" s="31">
        <f>IF(ISNUMBER(F2980),E2980*F2980,"")</f>
        <v>38.776149999999994</v>
      </c>
      <c r="H2980" s="32"/>
      <c r="I2980" s="28"/>
      <c r="J2980" s="125">
        <v>0</v>
      </c>
    </row>
    <row r="2981" spans="1:10" ht="15.75" hidden="1" thickBot="1" x14ac:dyDescent="0.3">
      <c r="A2981" s="236"/>
      <c r="B2981" s="239"/>
      <c r="C2981" s="155"/>
      <c r="D2981" s="33"/>
      <c r="E2981" s="34"/>
      <c r="F2981" s="28" t="s">
        <v>418</v>
      </c>
      <c r="G2981" s="31" t="str">
        <f>IF(ISNUMBER(F2981),E2981*F2981,"")</f>
        <v/>
      </c>
      <c r="H2981" s="32"/>
      <c r="I2981" s="28"/>
      <c r="J2981" s="125">
        <v>0</v>
      </c>
    </row>
    <row r="2982" spans="1:10" ht="15.75" hidden="1" thickBot="1" x14ac:dyDescent="0.3">
      <c r="A2982" s="234" t="s">
        <v>743</v>
      </c>
      <c r="B2982" s="237" t="s">
        <v>13465</v>
      </c>
      <c r="C2982" s="160"/>
      <c r="D2982" s="23" t="s">
        <v>16</v>
      </c>
      <c r="E2982" s="24"/>
      <c r="F2982" s="37" t="s">
        <v>418</v>
      </c>
      <c r="G2982" s="25" t="str">
        <f>IF(ISNUMBER(F2982),E2982*F2982,"")</f>
        <v/>
      </c>
      <c r="H2982" s="26"/>
      <c r="I2982" s="27"/>
      <c r="J2982" s="125">
        <v>0</v>
      </c>
    </row>
    <row r="2983" spans="1:10" ht="15.75" hidden="1" thickBot="1" x14ac:dyDescent="0.3">
      <c r="A2983" s="235"/>
      <c r="B2983" s="238"/>
      <c r="C2983" s="151"/>
      <c r="D2983" s="29"/>
      <c r="E2983" s="30"/>
      <c r="F2983" s="38" t="s">
        <v>418</v>
      </c>
      <c r="G2983" s="31" t="str">
        <f>IF(ISNUMBER(F2983),E2983*F2983,"")</f>
        <v/>
      </c>
      <c r="H2983" s="32"/>
      <c r="I2983" s="28"/>
      <c r="J2983" s="125">
        <v>0</v>
      </c>
    </row>
    <row r="2984" spans="1:10" ht="15.75" hidden="1" thickBot="1" x14ac:dyDescent="0.3">
      <c r="A2984" s="235"/>
      <c r="B2984" s="238"/>
      <c r="C2984" s="155" t="s">
        <v>9864</v>
      </c>
      <c r="D2984" s="155" t="s">
        <v>587</v>
      </c>
      <c r="E2984" s="34">
        <v>0.2</v>
      </c>
      <c r="F2984" s="31">
        <v>23.274999999999999</v>
      </c>
      <c r="G2984" s="31">
        <f>IF(ISNUMBER(F2984),E2984*F2984,"")</f>
        <v>4.6550000000000002</v>
      </c>
      <c r="H2984" s="35">
        <f>SUM(G2984:G2985)</f>
        <v>4.6550000000000002</v>
      </c>
      <c r="I2984" s="36"/>
      <c r="J2984" s="125">
        <v>0</v>
      </c>
    </row>
    <row r="2985" spans="1:10" ht="26.25" hidden="1" thickBot="1" x14ac:dyDescent="0.3">
      <c r="A2985" s="235"/>
      <c r="B2985" s="238"/>
      <c r="C2985" s="155" t="s">
        <v>744</v>
      </c>
      <c r="D2985" s="33" t="s">
        <v>16</v>
      </c>
      <c r="E2985" s="34">
        <v>1</v>
      </c>
      <c r="F2985" s="28" t="s">
        <v>418</v>
      </c>
      <c r="G2985" s="31" t="str">
        <f>IF(ISNUMBER(F2985),E2985*F2985,"")</f>
        <v/>
      </c>
      <c r="H2985" s="32"/>
      <c r="I2985" s="28"/>
      <c r="J2985" s="125">
        <v>0</v>
      </c>
    </row>
    <row r="2986" spans="1:10" ht="15.75" hidden="1" thickBot="1" x14ac:dyDescent="0.3">
      <c r="A2986" s="236"/>
      <c r="B2986" s="239"/>
      <c r="C2986" s="155"/>
      <c r="D2986" s="33"/>
      <c r="E2986" s="34"/>
      <c r="F2986" s="28" t="s">
        <v>418</v>
      </c>
      <c r="G2986" s="31" t="str">
        <f>IF(ISNUMBER(F2986),E2986*F2986,"")</f>
        <v/>
      </c>
      <c r="H2986" s="32"/>
      <c r="I2986" s="28"/>
      <c r="J2986" s="125">
        <v>0</v>
      </c>
    </row>
    <row r="2987" spans="1:10" ht="15.75" hidden="1" thickBot="1" x14ac:dyDescent="0.3">
      <c r="A2987" s="234" t="s">
        <v>745</v>
      </c>
      <c r="B2987" s="237" t="s">
        <v>1716</v>
      </c>
      <c r="C2987" s="160"/>
      <c r="D2987" s="23" t="s">
        <v>16</v>
      </c>
      <c r="E2987" s="24"/>
      <c r="F2987" s="37" t="s">
        <v>418</v>
      </c>
      <c r="G2987" s="25" t="str">
        <f>IF(ISNUMBER(F2987),E2987*F2987,"")</f>
        <v/>
      </c>
      <c r="H2987" s="26"/>
      <c r="I2987" s="27"/>
      <c r="J2987" s="125">
        <v>0</v>
      </c>
    </row>
    <row r="2988" spans="1:10" ht="15.75" hidden="1" thickBot="1" x14ac:dyDescent="0.3">
      <c r="A2988" s="235"/>
      <c r="B2988" s="238"/>
      <c r="C2988" s="151"/>
      <c r="D2988" s="29"/>
      <c r="E2988" s="30"/>
      <c r="F2988" s="38" t="s">
        <v>418</v>
      </c>
      <c r="G2988" s="31" t="str">
        <f>IF(ISNUMBER(F2988),E2988*F2988,"")</f>
        <v/>
      </c>
      <c r="H2988" s="32"/>
      <c r="I2988" s="28"/>
      <c r="J2988" s="125">
        <v>0</v>
      </c>
    </row>
    <row r="2989" spans="1:10" ht="15.75" hidden="1" thickBot="1" x14ac:dyDescent="0.3">
      <c r="A2989" s="235"/>
      <c r="B2989" s="238"/>
      <c r="C2989" s="155" t="s">
        <v>9864</v>
      </c>
      <c r="D2989" s="155" t="s">
        <v>587</v>
      </c>
      <c r="E2989" s="34">
        <v>0.2</v>
      </c>
      <c r="F2989" s="31">
        <v>23.274999999999999</v>
      </c>
      <c r="G2989" s="31">
        <f>IF(ISNUMBER(F2989),E2989*F2989,"")</f>
        <v>4.6550000000000002</v>
      </c>
      <c r="H2989" s="35">
        <f>SUM(G2989:G2990)</f>
        <v>4.6550000000000002</v>
      </c>
      <c r="I2989" s="36"/>
      <c r="J2989" s="125">
        <v>0</v>
      </c>
    </row>
    <row r="2990" spans="1:10" ht="39" hidden="1" thickBot="1" x14ac:dyDescent="0.3">
      <c r="A2990" s="235"/>
      <c r="B2990" s="238"/>
      <c r="C2990" s="155" t="s">
        <v>746</v>
      </c>
      <c r="D2990" s="33" t="s">
        <v>16</v>
      </c>
      <c r="E2990" s="34">
        <v>1</v>
      </c>
      <c r="F2990" s="28" t="s">
        <v>418</v>
      </c>
      <c r="G2990" s="31" t="str">
        <f>IF(ISNUMBER(F2990),E2990*F2990,"")</f>
        <v/>
      </c>
      <c r="H2990" s="32"/>
      <c r="I2990" s="28"/>
      <c r="J2990" s="125">
        <v>0</v>
      </c>
    </row>
    <row r="2991" spans="1:10" ht="15.75" hidden="1" thickBot="1" x14ac:dyDescent="0.3">
      <c r="A2991" s="236"/>
      <c r="B2991" s="239"/>
      <c r="C2991" s="155"/>
      <c r="D2991" s="33"/>
      <c r="E2991" s="34"/>
      <c r="F2991" s="28" t="s">
        <v>418</v>
      </c>
      <c r="G2991" s="31" t="str">
        <f>IF(ISNUMBER(F2991),E2991*F2991,"")</f>
        <v/>
      </c>
      <c r="H2991" s="32"/>
      <c r="I2991" s="28"/>
      <c r="J2991" s="125">
        <v>0</v>
      </c>
    </row>
    <row r="2992" spans="1:10" ht="15.75" hidden="1" thickBot="1" x14ac:dyDescent="0.3">
      <c r="A2992" s="234" t="s">
        <v>747</v>
      </c>
      <c r="B2992" s="237" t="s">
        <v>1717</v>
      </c>
      <c r="C2992" s="160"/>
      <c r="D2992" s="23" t="s">
        <v>16</v>
      </c>
      <c r="E2992" s="24"/>
      <c r="F2992" s="37" t="s">
        <v>418</v>
      </c>
      <c r="G2992" s="25" t="str">
        <f>IF(ISNUMBER(F2992),E2992*F2992,"")</f>
        <v/>
      </c>
      <c r="H2992" s="26"/>
      <c r="I2992" s="27"/>
      <c r="J2992" s="125">
        <v>0</v>
      </c>
    </row>
    <row r="2993" spans="1:10" ht="15.75" hidden="1" thickBot="1" x14ac:dyDescent="0.3">
      <c r="A2993" s="235"/>
      <c r="B2993" s="238"/>
      <c r="C2993" s="151"/>
      <c r="D2993" s="29"/>
      <c r="E2993" s="30"/>
      <c r="F2993" s="38" t="s">
        <v>418</v>
      </c>
      <c r="G2993" s="31" t="str">
        <f>IF(ISNUMBER(F2993),E2993*F2993,"")</f>
        <v/>
      </c>
      <c r="H2993" s="32"/>
      <c r="I2993" s="28"/>
      <c r="J2993" s="125">
        <v>0</v>
      </c>
    </row>
    <row r="2994" spans="1:10" ht="15.75" hidden="1" thickBot="1" x14ac:dyDescent="0.3">
      <c r="A2994" s="235"/>
      <c r="B2994" s="238"/>
      <c r="C2994" s="155" t="s">
        <v>9864</v>
      </c>
      <c r="D2994" s="155" t="s">
        <v>587</v>
      </c>
      <c r="E2994" s="34">
        <v>0.2</v>
      </c>
      <c r="F2994" s="31">
        <v>23.274999999999999</v>
      </c>
      <c r="G2994" s="31">
        <f>IF(ISNUMBER(F2994),E2994*F2994,"")</f>
        <v>4.6550000000000002</v>
      </c>
      <c r="H2994" s="35">
        <f>SUM(G2994:G2995)</f>
        <v>4.6550000000000002</v>
      </c>
      <c r="I2994" s="36"/>
      <c r="J2994" s="125">
        <v>0</v>
      </c>
    </row>
    <row r="2995" spans="1:10" ht="26.25" hidden="1" thickBot="1" x14ac:dyDescent="0.3">
      <c r="A2995" s="235"/>
      <c r="B2995" s="238"/>
      <c r="C2995" s="155" t="s">
        <v>748</v>
      </c>
      <c r="D2995" s="33" t="s">
        <v>16</v>
      </c>
      <c r="E2995" s="34">
        <v>1</v>
      </c>
      <c r="F2995" s="28" t="s">
        <v>418</v>
      </c>
      <c r="G2995" s="31" t="str">
        <f>IF(ISNUMBER(F2995),E2995*F2995,"")</f>
        <v/>
      </c>
      <c r="H2995" s="32"/>
      <c r="I2995" s="28"/>
      <c r="J2995" s="125">
        <v>0</v>
      </c>
    </row>
    <row r="2996" spans="1:10" ht="15.75" hidden="1" thickBot="1" x14ac:dyDescent="0.3">
      <c r="A2996" s="236"/>
      <c r="B2996" s="239"/>
      <c r="C2996" s="155"/>
      <c r="D2996" s="33"/>
      <c r="E2996" s="34"/>
      <c r="F2996" s="28" t="s">
        <v>418</v>
      </c>
      <c r="G2996" s="31" t="str">
        <f>IF(ISNUMBER(F2996),E2996*F2996,"")</f>
        <v/>
      </c>
      <c r="H2996" s="32"/>
      <c r="I2996" s="28"/>
      <c r="J2996" s="125">
        <v>0</v>
      </c>
    </row>
    <row r="2997" spans="1:10" ht="15.75" hidden="1" thickBot="1" x14ac:dyDescent="0.3">
      <c r="A2997" s="234" t="s">
        <v>749</v>
      </c>
      <c r="B2997" s="237" t="s">
        <v>1718</v>
      </c>
      <c r="C2997" s="160"/>
      <c r="D2997" s="23" t="s">
        <v>16</v>
      </c>
      <c r="E2997" s="24"/>
      <c r="F2997" s="37" t="s">
        <v>418</v>
      </c>
      <c r="G2997" s="25" t="str">
        <f>IF(ISNUMBER(F2997),E2997*F2997,"")</f>
        <v/>
      </c>
      <c r="H2997" s="26"/>
      <c r="I2997" s="27"/>
      <c r="J2997" s="125">
        <v>0</v>
      </c>
    </row>
    <row r="2998" spans="1:10" ht="15.75" hidden="1" thickBot="1" x14ac:dyDescent="0.3">
      <c r="A2998" s="235"/>
      <c r="B2998" s="238"/>
      <c r="C2998" s="151"/>
      <c r="D2998" s="29"/>
      <c r="E2998" s="30"/>
      <c r="F2998" s="38" t="s">
        <v>418</v>
      </c>
      <c r="G2998" s="31" t="str">
        <f>IF(ISNUMBER(F2998),E2998*F2998,"")</f>
        <v/>
      </c>
      <c r="H2998" s="32"/>
      <c r="I2998" s="28"/>
      <c r="J2998" s="125">
        <v>0</v>
      </c>
    </row>
    <row r="2999" spans="1:10" ht="15.75" hidden="1" thickBot="1" x14ac:dyDescent="0.3">
      <c r="A2999" s="235"/>
      <c r="B2999" s="238"/>
      <c r="C2999" s="155" t="s">
        <v>9864</v>
      </c>
      <c r="D2999" s="155" t="s">
        <v>587</v>
      </c>
      <c r="E2999" s="34">
        <v>1.5</v>
      </c>
      <c r="F2999" s="31">
        <v>23.274999999999999</v>
      </c>
      <c r="G2999" s="31">
        <f>IF(ISNUMBER(F2999),E2999*F2999,"")</f>
        <v>34.912499999999994</v>
      </c>
      <c r="H2999" s="35">
        <f>SUM(G2999:G3000)</f>
        <v>34.912499999999994</v>
      </c>
      <c r="I2999" s="36"/>
      <c r="J2999" s="125">
        <v>0</v>
      </c>
    </row>
    <row r="3000" spans="1:10" ht="51.75" hidden="1" thickBot="1" x14ac:dyDescent="0.3">
      <c r="A3000" s="235"/>
      <c r="B3000" s="238"/>
      <c r="C3000" s="120" t="s">
        <v>750</v>
      </c>
      <c r="D3000" s="33" t="s">
        <v>16</v>
      </c>
      <c r="E3000" s="34">
        <v>1</v>
      </c>
      <c r="F3000" s="28" t="s">
        <v>418</v>
      </c>
      <c r="G3000" s="31" t="str">
        <f>IF(ISNUMBER(F3000),E3000*F3000,"")</f>
        <v/>
      </c>
      <c r="H3000" s="32"/>
      <c r="I3000" s="28"/>
      <c r="J3000" s="125">
        <v>0</v>
      </c>
    </row>
    <row r="3001" spans="1:10" ht="15.75" hidden="1" thickBot="1" x14ac:dyDescent="0.3">
      <c r="A3001" s="236"/>
      <c r="B3001" s="239"/>
      <c r="C3001" s="155"/>
      <c r="D3001" s="33"/>
      <c r="E3001" s="34"/>
      <c r="F3001" s="28" t="s">
        <v>418</v>
      </c>
      <c r="G3001" s="31" t="str">
        <f>IF(ISNUMBER(F3001),E3001*F3001,"")</f>
        <v/>
      </c>
      <c r="H3001" s="32"/>
      <c r="I3001" s="28"/>
      <c r="J3001" s="125">
        <v>0</v>
      </c>
    </row>
    <row r="3002" spans="1:10" ht="15.75" hidden="1" thickBot="1" x14ac:dyDescent="0.3">
      <c r="A3002" s="234" t="s">
        <v>751</v>
      </c>
      <c r="B3002" s="237" t="s">
        <v>1719</v>
      </c>
      <c r="C3002" s="160"/>
      <c r="D3002" s="23" t="s">
        <v>16</v>
      </c>
      <c r="E3002" s="24"/>
      <c r="F3002" s="37" t="s">
        <v>418</v>
      </c>
      <c r="G3002" s="25" t="str">
        <f>IF(ISNUMBER(F3002),E3002*F3002,"")</f>
        <v/>
      </c>
      <c r="H3002" s="26"/>
      <c r="I3002" s="27"/>
      <c r="J3002" s="125">
        <v>0</v>
      </c>
    </row>
    <row r="3003" spans="1:10" ht="15.75" hidden="1" thickBot="1" x14ac:dyDescent="0.3">
      <c r="A3003" s="235"/>
      <c r="B3003" s="238"/>
      <c r="C3003" s="151"/>
      <c r="D3003" s="29"/>
      <c r="E3003" s="30"/>
      <c r="F3003" s="38" t="s">
        <v>418</v>
      </c>
      <c r="G3003" s="31" t="str">
        <f>IF(ISNUMBER(F3003),E3003*F3003,"")</f>
        <v/>
      </c>
      <c r="H3003" s="32"/>
      <c r="I3003" s="28"/>
      <c r="J3003" s="125">
        <v>0</v>
      </c>
    </row>
    <row r="3004" spans="1:10" ht="15.75" hidden="1" thickBot="1" x14ac:dyDescent="0.3">
      <c r="A3004" s="235"/>
      <c r="B3004" s="238"/>
      <c r="C3004" s="155" t="s">
        <v>9864</v>
      </c>
      <c r="D3004" s="155" t="s">
        <v>587</v>
      </c>
      <c r="E3004" s="34">
        <v>1.5</v>
      </c>
      <c r="F3004" s="31">
        <v>23.274999999999999</v>
      </c>
      <c r="G3004" s="31">
        <f>IF(ISNUMBER(F3004),E3004*F3004,"")</f>
        <v>34.912499999999994</v>
      </c>
      <c r="H3004" s="35">
        <f>SUM(G3004:G3005)</f>
        <v>34.912499999999994</v>
      </c>
      <c r="I3004" s="36"/>
      <c r="J3004" s="125">
        <v>0</v>
      </c>
    </row>
    <row r="3005" spans="1:10" ht="15.75" hidden="1" thickBot="1" x14ac:dyDescent="0.3">
      <c r="A3005" s="235"/>
      <c r="B3005" s="238"/>
      <c r="C3005" s="155" t="s">
        <v>752</v>
      </c>
      <c r="D3005" s="33" t="s">
        <v>16</v>
      </c>
      <c r="E3005" s="34">
        <v>1</v>
      </c>
      <c r="F3005" s="28" t="s">
        <v>418</v>
      </c>
      <c r="G3005" s="31" t="str">
        <f>IF(ISNUMBER(F3005),E3005*F3005,"")</f>
        <v/>
      </c>
      <c r="H3005" s="32"/>
      <c r="I3005" s="28"/>
      <c r="J3005" s="125">
        <v>0</v>
      </c>
    </row>
    <row r="3006" spans="1:10" ht="15.75" hidden="1" thickBot="1" x14ac:dyDescent="0.3">
      <c r="A3006" s="236"/>
      <c r="B3006" s="239"/>
      <c r="C3006" s="155"/>
      <c r="D3006" s="33"/>
      <c r="E3006" s="34"/>
      <c r="F3006" s="28" t="s">
        <v>418</v>
      </c>
      <c r="G3006" s="31" t="str">
        <f>IF(ISNUMBER(F3006),E3006*F3006,"")</f>
        <v/>
      </c>
      <c r="H3006" s="32"/>
      <c r="I3006" s="28"/>
      <c r="J3006" s="125">
        <v>0</v>
      </c>
    </row>
    <row r="3007" spans="1:10" ht="15.75" hidden="1" thickBot="1" x14ac:dyDescent="0.3">
      <c r="A3007" s="234" t="s">
        <v>753</v>
      </c>
      <c r="B3007" s="237" t="s">
        <v>1720</v>
      </c>
      <c r="C3007" s="160"/>
      <c r="D3007" s="23" t="s">
        <v>16</v>
      </c>
      <c r="E3007" s="24"/>
      <c r="F3007" s="37" t="s">
        <v>418</v>
      </c>
      <c r="G3007" s="25" t="str">
        <f>IF(ISNUMBER(F3007),E3007*F3007,"")</f>
        <v/>
      </c>
      <c r="H3007" s="26"/>
      <c r="I3007" s="27"/>
      <c r="J3007" s="125">
        <v>0</v>
      </c>
    </row>
    <row r="3008" spans="1:10" ht="15.75" hidden="1" thickBot="1" x14ac:dyDescent="0.3">
      <c r="A3008" s="235"/>
      <c r="B3008" s="238"/>
      <c r="C3008" s="151"/>
      <c r="D3008" s="29"/>
      <c r="E3008" s="30"/>
      <c r="F3008" s="38" t="s">
        <v>418</v>
      </c>
      <c r="G3008" s="31" t="str">
        <f>IF(ISNUMBER(F3008),E3008*F3008,"")</f>
        <v/>
      </c>
      <c r="H3008" s="32"/>
      <c r="I3008" s="28"/>
      <c r="J3008" s="125">
        <v>0</v>
      </c>
    </row>
    <row r="3009" spans="1:10" ht="15.75" hidden="1" thickBot="1" x14ac:dyDescent="0.3">
      <c r="A3009" s="235"/>
      <c r="B3009" s="238"/>
      <c r="C3009" s="155" t="s">
        <v>9864</v>
      </c>
      <c r="D3009" s="155" t="s">
        <v>587</v>
      </c>
      <c r="E3009" s="34">
        <v>1</v>
      </c>
      <c r="F3009" s="31">
        <v>23.274999999999999</v>
      </c>
      <c r="G3009" s="31">
        <f>IF(ISNUMBER(F3009),E3009*F3009,"")</f>
        <v>23.274999999999999</v>
      </c>
      <c r="H3009" s="35">
        <f>SUM(G3009:G3010)</f>
        <v>23.274999999999999</v>
      </c>
      <c r="I3009" s="36"/>
      <c r="J3009" s="125">
        <v>0</v>
      </c>
    </row>
    <row r="3010" spans="1:10" ht="26.25" hidden="1" thickBot="1" x14ac:dyDescent="0.3">
      <c r="A3010" s="235"/>
      <c r="B3010" s="238"/>
      <c r="C3010" s="155" t="s">
        <v>754</v>
      </c>
      <c r="D3010" s="33" t="s">
        <v>16</v>
      </c>
      <c r="E3010" s="34">
        <v>1</v>
      </c>
      <c r="F3010" s="28" t="s">
        <v>418</v>
      </c>
      <c r="G3010" s="31" t="str">
        <f>IF(ISNUMBER(F3010),E3010*F3010,"")</f>
        <v/>
      </c>
      <c r="H3010" s="32"/>
      <c r="I3010" s="28"/>
      <c r="J3010" s="125">
        <v>0</v>
      </c>
    </row>
    <row r="3011" spans="1:10" ht="15.75" hidden="1" thickBot="1" x14ac:dyDescent="0.3">
      <c r="A3011" s="236"/>
      <c r="B3011" s="239"/>
      <c r="C3011" s="155"/>
      <c r="D3011" s="33"/>
      <c r="E3011" s="34"/>
      <c r="F3011" s="28" t="s">
        <v>418</v>
      </c>
      <c r="G3011" s="31" t="str">
        <f>IF(ISNUMBER(F3011),E3011*F3011,"")</f>
        <v/>
      </c>
      <c r="H3011" s="32"/>
      <c r="I3011" s="28"/>
      <c r="J3011" s="125">
        <v>0</v>
      </c>
    </row>
    <row r="3012" spans="1:10" ht="15.75" hidden="1" thickBot="1" x14ac:dyDescent="0.3">
      <c r="A3012" s="234" t="s">
        <v>755</v>
      </c>
      <c r="B3012" s="237" t="s">
        <v>1721</v>
      </c>
      <c r="C3012" s="160"/>
      <c r="D3012" s="23" t="s">
        <v>16</v>
      </c>
      <c r="E3012" s="24"/>
      <c r="F3012" s="37" t="s">
        <v>418</v>
      </c>
      <c r="G3012" s="25" t="str">
        <f>IF(ISNUMBER(F3012),E3012*F3012,"")</f>
        <v/>
      </c>
      <c r="H3012" s="26"/>
      <c r="I3012" s="27"/>
      <c r="J3012" s="125">
        <v>0</v>
      </c>
    </row>
    <row r="3013" spans="1:10" ht="15.75" hidden="1" thickBot="1" x14ac:dyDescent="0.3">
      <c r="A3013" s="235"/>
      <c r="B3013" s="238"/>
      <c r="C3013" s="151"/>
      <c r="D3013" s="29"/>
      <c r="E3013" s="30"/>
      <c r="F3013" s="38" t="s">
        <v>418</v>
      </c>
      <c r="G3013" s="31" t="str">
        <f>IF(ISNUMBER(F3013),E3013*F3013,"")</f>
        <v/>
      </c>
      <c r="H3013" s="32"/>
      <c r="I3013" s="28"/>
      <c r="J3013" s="125">
        <v>0</v>
      </c>
    </row>
    <row r="3014" spans="1:10" ht="15.75" hidden="1" thickBot="1" x14ac:dyDescent="0.3">
      <c r="A3014" s="235"/>
      <c r="B3014" s="238"/>
      <c r="C3014" s="155" t="s">
        <v>9864</v>
      </c>
      <c r="D3014" s="155" t="s">
        <v>587</v>
      </c>
      <c r="E3014" s="34">
        <v>0.1</v>
      </c>
      <c r="F3014" s="31">
        <v>23.274999999999999</v>
      </c>
      <c r="G3014" s="31">
        <f>IF(ISNUMBER(F3014),E3014*F3014,"")</f>
        <v>2.3275000000000001</v>
      </c>
      <c r="H3014" s="35">
        <f>SUM(G3014:G3015)</f>
        <v>2.3275000000000001</v>
      </c>
      <c r="I3014" s="36"/>
      <c r="J3014" s="125">
        <v>0</v>
      </c>
    </row>
    <row r="3015" spans="1:10" ht="26.25" hidden="1" thickBot="1" x14ac:dyDescent="0.3">
      <c r="A3015" s="235"/>
      <c r="B3015" s="238"/>
      <c r="C3015" s="155" t="s">
        <v>756</v>
      </c>
      <c r="D3015" s="33" t="s">
        <v>16</v>
      </c>
      <c r="E3015" s="34">
        <v>1</v>
      </c>
      <c r="F3015" s="28" t="s">
        <v>418</v>
      </c>
      <c r="G3015" s="31" t="str">
        <f>IF(ISNUMBER(F3015),E3015*F3015,"")</f>
        <v/>
      </c>
      <c r="H3015" s="32"/>
      <c r="I3015" s="28"/>
      <c r="J3015" s="125">
        <v>0</v>
      </c>
    </row>
    <row r="3016" spans="1:10" ht="15.75" hidden="1" thickBot="1" x14ac:dyDescent="0.3">
      <c r="A3016" s="236"/>
      <c r="B3016" s="239"/>
      <c r="C3016" s="155"/>
      <c r="D3016" s="33"/>
      <c r="E3016" s="34"/>
      <c r="F3016" s="28" t="s">
        <v>418</v>
      </c>
      <c r="G3016" s="31" t="str">
        <f>IF(ISNUMBER(F3016),E3016*F3016,"")</f>
        <v/>
      </c>
      <c r="H3016" s="32"/>
      <c r="I3016" s="28"/>
      <c r="J3016" s="125">
        <v>0</v>
      </c>
    </row>
    <row r="3017" spans="1:10" ht="15.75" hidden="1" thickBot="1" x14ac:dyDescent="0.3">
      <c r="A3017" s="234" t="s">
        <v>757</v>
      </c>
      <c r="B3017" s="237" t="s">
        <v>19754</v>
      </c>
      <c r="C3017" s="160"/>
      <c r="D3017" s="23" t="s">
        <v>16</v>
      </c>
      <c r="E3017" s="24"/>
      <c r="F3017" s="37" t="s">
        <v>418</v>
      </c>
      <c r="G3017" s="25" t="str">
        <f>IF(ISNUMBER(F3017),E3017*F3017,"")</f>
        <v/>
      </c>
      <c r="H3017" s="26"/>
      <c r="I3017" s="27"/>
      <c r="J3017" s="125">
        <v>0</v>
      </c>
    </row>
    <row r="3018" spans="1:10" ht="15.75" hidden="1" thickBot="1" x14ac:dyDescent="0.3">
      <c r="A3018" s="235"/>
      <c r="B3018" s="238"/>
      <c r="C3018" s="151"/>
      <c r="D3018" s="29"/>
      <c r="E3018" s="30"/>
      <c r="F3018" s="38" t="s">
        <v>418</v>
      </c>
      <c r="G3018" s="31" t="str">
        <f>IF(ISNUMBER(F3018),E3018*F3018,"")</f>
        <v/>
      </c>
      <c r="H3018" s="32"/>
      <c r="I3018" s="28"/>
      <c r="J3018" s="125">
        <v>0</v>
      </c>
    </row>
    <row r="3019" spans="1:10" ht="15.75" hidden="1" thickBot="1" x14ac:dyDescent="0.3">
      <c r="A3019" s="235"/>
      <c r="B3019" s="238"/>
      <c r="C3019" s="155" t="s">
        <v>9864</v>
      </c>
      <c r="D3019" s="155" t="s">
        <v>587</v>
      </c>
      <c r="E3019" s="34">
        <v>0.2</v>
      </c>
      <c r="F3019" s="31">
        <v>23.274999999999999</v>
      </c>
      <c r="G3019" s="31">
        <f>IF(ISNUMBER(F3019),E3019*F3019,"")</f>
        <v>4.6550000000000002</v>
      </c>
      <c r="H3019" s="35">
        <f>SUM(G3019:G3020)</f>
        <v>4.6550000000000002</v>
      </c>
      <c r="I3019" s="36"/>
      <c r="J3019" s="125">
        <v>0</v>
      </c>
    </row>
    <row r="3020" spans="1:10" ht="26.25" hidden="1" thickBot="1" x14ac:dyDescent="0.3">
      <c r="A3020" s="235"/>
      <c r="B3020" s="238"/>
      <c r="C3020" s="155" t="s">
        <v>758</v>
      </c>
      <c r="D3020" s="33" t="s">
        <v>16</v>
      </c>
      <c r="E3020" s="34">
        <v>1</v>
      </c>
      <c r="F3020" s="28" t="s">
        <v>418</v>
      </c>
      <c r="G3020" s="31" t="str">
        <f>IF(ISNUMBER(F3020),E3020*F3020,"")</f>
        <v/>
      </c>
      <c r="H3020" s="32"/>
      <c r="I3020" s="28"/>
      <c r="J3020" s="125">
        <v>0</v>
      </c>
    </row>
    <row r="3021" spans="1:10" ht="15.75" hidden="1" thickBot="1" x14ac:dyDescent="0.3">
      <c r="A3021" s="236"/>
      <c r="B3021" s="239"/>
      <c r="C3021" s="155"/>
      <c r="D3021" s="33"/>
      <c r="E3021" s="34"/>
      <c r="F3021" s="28" t="s">
        <v>418</v>
      </c>
      <c r="G3021" s="31" t="str">
        <f>IF(ISNUMBER(F3021),E3021*F3021,"")</f>
        <v/>
      </c>
      <c r="H3021" s="32"/>
      <c r="I3021" s="28"/>
      <c r="J3021" s="125">
        <v>0</v>
      </c>
    </row>
    <row r="3022" spans="1:10" ht="15.75" hidden="1" thickBot="1" x14ac:dyDescent="0.3">
      <c r="A3022" s="234" t="s">
        <v>759</v>
      </c>
      <c r="B3022" s="237" t="s">
        <v>1722</v>
      </c>
      <c r="C3022" s="160"/>
      <c r="D3022" s="23" t="s">
        <v>16</v>
      </c>
      <c r="E3022" s="24"/>
      <c r="F3022" s="37" t="s">
        <v>418</v>
      </c>
      <c r="G3022" s="25" t="str">
        <f>IF(ISNUMBER(F3022),E3022*F3022,"")</f>
        <v/>
      </c>
      <c r="H3022" s="26"/>
      <c r="I3022" s="27"/>
      <c r="J3022" s="125">
        <v>0</v>
      </c>
    </row>
    <row r="3023" spans="1:10" ht="15.75" hidden="1" thickBot="1" x14ac:dyDescent="0.3">
      <c r="A3023" s="235"/>
      <c r="B3023" s="238"/>
      <c r="C3023" s="151"/>
      <c r="D3023" s="29"/>
      <c r="E3023" s="30"/>
      <c r="F3023" s="38" t="s">
        <v>418</v>
      </c>
      <c r="G3023" s="31" t="str">
        <f>IF(ISNUMBER(F3023),E3023*F3023,"")</f>
        <v/>
      </c>
      <c r="H3023" s="32"/>
      <c r="I3023" s="28"/>
      <c r="J3023" s="125">
        <v>0</v>
      </c>
    </row>
    <row r="3024" spans="1:10" ht="15.75" hidden="1" thickBot="1" x14ac:dyDescent="0.3">
      <c r="A3024" s="235"/>
      <c r="B3024" s="238"/>
      <c r="C3024" s="155" t="s">
        <v>9864</v>
      </c>
      <c r="D3024" s="155" t="s">
        <v>587</v>
      </c>
      <c r="E3024" s="34">
        <v>0.2</v>
      </c>
      <c r="F3024" s="31">
        <v>23.274999999999999</v>
      </c>
      <c r="G3024" s="31">
        <f>IF(ISNUMBER(F3024),E3024*F3024,"")</f>
        <v>4.6550000000000002</v>
      </c>
      <c r="H3024" s="35">
        <f>SUM(G3024:G3025)</f>
        <v>4.6550000000000002</v>
      </c>
      <c r="I3024" s="36"/>
      <c r="J3024" s="125">
        <v>0</v>
      </c>
    </row>
    <row r="3025" spans="1:10" ht="39" hidden="1" thickBot="1" x14ac:dyDescent="0.3">
      <c r="A3025" s="235"/>
      <c r="B3025" s="238"/>
      <c r="C3025" s="155" t="s">
        <v>760</v>
      </c>
      <c r="D3025" s="33" t="s">
        <v>16</v>
      </c>
      <c r="E3025" s="34">
        <v>1</v>
      </c>
      <c r="F3025" s="28" t="s">
        <v>418</v>
      </c>
      <c r="G3025" s="31" t="str">
        <f>IF(ISNUMBER(F3025),E3025*F3025,"")</f>
        <v/>
      </c>
      <c r="H3025" s="32"/>
      <c r="I3025" s="28"/>
      <c r="J3025" s="125">
        <v>0</v>
      </c>
    </row>
    <row r="3026" spans="1:10" ht="15.75" hidden="1" thickBot="1" x14ac:dyDescent="0.3">
      <c r="A3026" s="236"/>
      <c r="B3026" s="239"/>
      <c r="C3026" s="155"/>
      <c r="D3026" s="33"/>
      <c r="E3026" s="34"/>
      <c r="F3026" s="28" t="s">
        <v>418</v>
      </c>
      <c r="G3026" s="31" t="str">
        <f>IF(ISNUMBER(F3026),E3026*F3026,"")</f>
        <v/>
      </c>
      <c r="H3026" s="32"/>
      <c r="I3026" s="28"/>
      <c r="J3026" s="125">
        <v>0</v>
      </c>
    </row>
    <row r="3027" spans="1:10" ht="15.75" hidden="1" thickBot="1" x14ac:dyDescent="0.3">
      <c r="A3027" s="234" t="s">
        <v>761</v>
      </c>
      <c r="B3027" s="237" t="s">
        <v>19756</v>
      </c>
      <c r="C3027" s="160"/>
      <c r="D3027" s="23" t="s">
        <v>69</v>
      </c>
      <c r="E3027" s="24"/>
      <c r="F3027" s="37" t="s">
        <v>418</v>
      </c>
      <c r="G3027" s="25" t="str">
        <f>IF(ISNUMBER(F3027),E3027*F3027,"")</f>
        <v/>
      </c>
      <c r="H3027" s="26"/>
      <c r="I3027" s="27"/>
      <c r="J3027" s="125">
        <v>0</v>
      </c>
    </row>
    <row r="3028" spans="1:10" ht="15.75" hidden="1" thickBot="1" x14ac:dyDescent="0.3">
      <c r="A3028" s="249"/>
      <c r="B3028" s="238"/>
      <c r="C3028" s="151"/>
      <c r="D3028" s="29"/>
      <c r="E3028" s="30"/>
      <c r="F3028" s="38" t="s">
        <v>418</v>
      </c>
      <c r="G3028" s="31" t="str">
        <f>IF(ISNUMBER(F3028),E3028*F3028,"")</f>
        <v/>
      </c>
      <c r="H3028" s="32"/>
      <c r="I3028" s="28"/>
      <c r="J3028" s="125">
        <v>0</v>
      </c>
    </row>
    <row r="3029" spans="1:10" ht="15.75" hidden="1" thickBot="1" x14ac:dyDescent="0.3">
      <c r="A3029" s="249"/>
      <c r="B3029" s="238"/>
      <c r="C3029" s="155" t="s">
        <v>9864</v>
      </c>
      <c r="D3029" s="155" t="s">
        <v>587</v>
      </c>
      <c r="E3029" s="34">
        <v>0.25</v>
      </c>
      <c r="F3029" s="31">
        <v>23.274999999999999</v>
      </c>
      <c r="G3029" s="31">
        <f>IF(ISNUMBER(F3029),E3029*F3029,"")</f>
        <v>5.8187499999999996</v>
      </c>
      <c r="H3029" s="35">
        <f>SUM(G3029:G3030)</f>
        <v>37.163087999999995</v>
      </c>
      <c r="I3029" s="36"/>
      <c r="J3029" s="125">
        <v>0</v>
      </c>
    </row>
    <row r="3030" spans="1:10" ht="15.75" hidden="1" thickBot="1" x14ac:dyDescent="0.3">
      <c r="A3030" s="249"/>
      <c r="B3030" s="238"/>
      <c r="C3030" s="155" t="s">
        <v>710</v>
      </c>
      <c r="D3030" s="155" t="s">
        <v>774</v>
      </c>
      <c r="E3030" s="34">
        <v>0.85299999999999998</v>
      </c>
      <c r="F3030" s="28">
        <v>36.745999999999995</v>
      </c>
      <c r="G3030" s="31">
        <f>IF(ISNUMBER(F3030),E3030*F3030,"")</f>
        <v>31.344337999999993</v>
      </c>
      <c r="H3030" s="32"/>
      <c r="I3030" s="28"/>
      <c r="J3030" s="125">
        <v>0</v>
      </c>
    </row>
    <row r="3031" spans="1:10" ht="15.75" hidden="1" thickBot="1" x14ac:dyDescent="0.3">
      <c r="A3031" s="249"/>
      <c r="B3031" s="238"/>
      <c r="C3031" s="155"/>
      <c r="D3031" s="42"/>
      <c r="E3031" s="34"/>
      <c r="F3031" s="28" t="s">
        <v>418</v>
      </c>
      <c r="G3031" s="31" t="str">
        <f>IF(ISNUMBER(F3031),E3031*F3031,"")</f>
        <v/>
      </c>
      <c r="H3031" s="32"/>
      <c r="I3031" s="28"/>
      <c r="J3031" s="125">
        <v>0</v>
      </c>
    </row>
    <row r="3032" spans="1:10" ht="26.25" hidden="1" thickBot="1" x14ac:dyDescent="0.3">
      <c r="A3032" s="249"/>
      <c r="B3032" s="238"/>
      <c r="C3032" s="43" t="s">
        <v>762</v>
      </c>
      <c r="D3032" s="42"/>
      <c r="E3032" s="34"/>
      <c r="F3032" s="28" t="s">
        <v>418</v>
      </c>
      <c r="G3032" s="31" t="str">
        <f>IF(ISNUMBER(F3032),E3032*F3032,"")</f>
        <v/>
      </c>
      <c r="H3032" s="32"/>
      <c r="I3032" s="28"/>
      <c r="J3032" s="125">
        <v>0</v>
      </c>
    </row>
    <row r="3033" spans="1:10" ht="26.25" hidden="1" thickBot="1" x14ac:dyDescent="0.3">
      <c r="A3033" s="249"/>
      <c r="B3033" s="238"/>
      <c r="C3033" s="47" t="s">
        <v>715</v>
      </c>
      <c r="D3033" s="42"/>
      <c r="E3033" s="34"/>
      <c r="F3033" s="28" t="s">
        <v>418</v>
      </c>
      <c r="G3033" s="31" t="str">
        <f>IF(ISNUMBER(F3033),E3033*F3033,"")</f>
        <v/>
      </c>
      <c r="H3033" s="32"/>
      <c r="I3033" s="28"/>
      <c r="J3033" s="125">
        <v>0</v>
      </c>
    </row>
    <row r="3034" spans="1:10" ht="15.75" hidden="1" thickBot="1" x14ac:dyDescent="0.3">
      <c r="A3034" s="250"/>
      <c r="B3034" s="239"/>
      <c r="C3034" s="155"/>
      <c r="D3034" s="33"/>
      <c r="E3034" s="34"/>
      <c r="F3034" s="28" t="s">
        <v>418</v>
      </c>
      <c r="G3034" s="31" t="str">
        <f>IF(ISNUMBER(F3034),E3034*F3034,"")</f>
        <v/>
      </c>
      <c r="H3034" s="32"/>
      <c r="I3034" s="28"/>
      <c r="J3034" s="125">
        <v>0</v>
      </c>
    </row>
    <row r="3035" spans="1:10" ht="15.75" hidden="1" thickBot="1" x14ac:dyDescent="0.3">
      <c r="A3035" s="234" t="s">
        <v>763</v>
      </c>
      <c r="B3035" s="237" t="s">
        <v>1723</v>
      </c>
      <c r="C3035" s="160"/>
      <c r="D3035" s="23" t="s">
        <v>69</v>
      </c>
      <c r="E3035" s="24"/>
      <c r="F3035" s="37" t="s">
        <v>418</v>
      </c>
      <c r="G3035" s="25" t="str">
        <f>IF(ISNUMBER(F3035),E3035*F3035,"")</f>
        <v/>
      </c>
      <c r="H3035" s="26"/>
      <c r="I3035" s="27"/>
      <c r="J3035" s="125">
        <v>0</v>
      </c>
    </row>
    <row r="3036" spans="1:10" ht="15.75" hidden="1" thickBot="1" x14ac:dyDescent="0.3">
      <c r="A3036" s="235"/>
      <c r="B3036" s="238"/>
      <c r="C3036" s="151"/>
      <c r="D3036" s="29"/>
      <c r="E3036" s="30"/>
      <c r="F3036" s="38" t="s">
        <v>418</v>
      </c>
      <c r="G3036" s="31" t="str">
        <f>IF(ISNUMBER(F3036),E3036*F3036,"")</f>
        <v/>
      </c>
      <c r="H3036" s="32"/>
      <c r="I3036" s="28"/>
      <c r="J3036" s="125">
        <v>0</v>
      </c>
    </row>
    <row r="3037" spans="1:10" ht="15.75" hidden="1" thickBot="1" x14ac:dyDescent="0.3">
      <c r="A3037" s="235"/>
      <c r="B3037" s="238"/>
      <c r="C3037" s="155" t="s">
        <v>9864</v>
      </c>
      <c r="D3037" s="155" t="s">
        <v>587</v>
      </c>
      <c r="E3037" s="34">
        <v>0.2</v>
      </c>
      <c r="F3037" s="31">
        <v>23.274999999999999</v>
      </c>
      <c r="G3037" s="31">
        <f>IF(ISNUMBER(F3037),E3037*F3037,"")</f>
        <v>4.6550000000000002</v>
      </c>
      <c r="H3037" s="35">
        <f>SUM(G3037:G3038)</f>
        <v>4.6550000000000002</v>
      </c>
      <c r="I3037" s="36"/>
      <c r="J3037" s="125">
        <v>0</v>
      </c>
    </row>
    <row r="3038" spans="1:10" ht="26.25" hidden="1" thickBot="1" x14ac:dyDescent="0.3">
      <c r="A3038" s="235"/>
      <c r="B3038" s="238"/>
      <c r="C3038" s="155" t="s">
        <v>764</v>
      </c>
      <c r="D3038" s="33" t="s">
        <v>69</v>
      </c>
      <c r="E3038" s="34">
        <v>0.11899999999999999</v>
      </c>
      <c r="F3038" s="28" t="s">
        <v>418</v>
      </c>
      <c r="G3038" s="31" t="str">
        <f>IF(ISNUMBER(F3038),E3038*F3038,"")</f>
        <v/>
      </c>
      <c r="H3038" s="32"/>
      <c r="I3038" s="28"/>
      <c r="J3038" s="125">
        <v>0</v>
      </c>
    </row>
    <row r="3039" spans="1:10" ht="15.75" hidden="1" thickBot="1" x14ac:dyDescent="0.3">
      <c r="A3039" s="236"/>
      <c r="B3039" s="239"/>
      <c r="C3039" s="155"/>
      <c r="D3039" s="33"/>
      <c r="E3039" s="34"/>
      <c r="F3039" s="28" t="s">
        <v>418</v>
      </c>
      <c r="G3039" s="31" t="str">
        <f>IF(ISNUMBER(F3039),E3039*F3039,"")</f>
        <v/>
      </c>
      <c r="H3039" s="32"/>
      <c r="I3039" s="28"/>
      <c r="J3039" s="125">
        <v>0</v>
      </c>
    </row>
    <row r="3040" spans="1:10" ht="15.75" hidden="1" thickBot="1" x14ac:dyDescent="0.3">
      <c r="A3040" s="234" t="s">
        <v>765</v>
      </c>
      <c r="B3040" s="237" t="s">
        <v>19755</v>
      </c>
      <c r="C3040" s="160"/>
      <c r="D3040" s="23" t="s">
        <v>69</v>
      </c>
      <c r="E3040" s="24"/>
      <c r="F3040" s="37" t="s">
        <v>418</v>
      </c>
      <c r="G3040" s="25" t="str">
        <f>IF(ISNUMBER(F3040),E3040*F3040,"")</f>
        <v/>
      </c>
      <c r="H3040" s="26"/>
      <c r="I3040" s="27"/>
      <c r="J3040" s="125">
        <v>0</v>
      </c>
    </row>
    <row r="3041" spans="1:10" ht="15.75" hidden="1" thickBot="1" x14ac:dyDescent="0.3">
      <c r="A3041" s="249"/>
      <c r="B3041" s="238"/>
      <c r="C3041" s="151"/>
      <c r="D3041" s="29"/>
      <c r="E3041" s="30"/>
      <c r="F3041" s="38" t="s">
        <v>418</v>
      </c>
      <c r="G3041" s="31" t="str">
        <f>IF(ISNUMBER(F3041),E3041*F3041,"")</f>
        <v/>
      </c>
      <c r="H3041" s="32"/>
      <c r="I3041" s="28"/>
      <c r="J3041" s="125">
        <v>0</v>
      </c>
    </row>
    <row r="3042" spans="1:10" ht="15.75" hidden="1" thickBot="1" x14ac:dyDescent="0.3">
      <c r="A3042" s="249"/>
      <c r="B3042" s="238"/>
      <c r="C3042" s="155" t="s">
        <v>9864</v>
      </c>
      <c r="D3042" s="155" t="s">
        <v>587</v>
      </c>
      <c r="E3042" s="34">
        <v>0.3</v>
      </c>
      <c r="F3042" s="31">
        <v>23.274999999999999</v>
      </c>
      <c r="G3042" s="31">
        <f>IF(ISNUMBER(F3042),E3042*F3042,"")</f>
        <v>6.982499999999999</v>
      </c>
      <c r="H3042" s="35">
        <f>SUM(G3042:G3043)</f>
        <v>11.355273999999998</v>
      </c>
      <c r="I3042" s="36"/>
      <c r="J3042" s="125">
        <v>0</v>
      </c>
    </row>
    <row r="3043" spans="1:10" ht="15.75" hidden="1" thickBot="1" x14ac:dyDescent="0.3">
      <c r="A3043" s="249"/>
      <c r="B3043" s="238"/>
      <c r="C3043" s="155" t="s">
        <v>710</v>
      </c>
      <c r="D3043" s="155" t="s">
        <v>774</v>
      </c>
      <c r="E3043" s="34">
        <v>0.11899999999999999</v>
      </c>
      <c r="F3043" s="28">
        <v>36.745999999999995</v>
      </c>
      <c r="G3043" s="31">
        <f>IF(ISNUMBER(F3043),E3043*F3043,"")</f>
        <v>4.3727739999999988</v>
      </c>
      <c r="H3043" s="32"/>
      <c r="I3043" s="28"/>
      <c r="J3043" s="125">
        <v>0</v>
      </c>
    </row>
    <row r="3044" spans="1:10" ht="15.75" hidden="1" thickBot="1" x14ac:dyDescent="0.3">
      <c r="A3044" s="249"/>
      <c r="B3044" s="238"/>
      <c r="C3044" s="155"/>
      <c r="D3044" s="33"/>
      <c r="E3044" s="34"/>
      <c r="F3044" s="28" t="s">
        <v>418</v>
      </c>
      <c r="G3044" s="31" t="str">
        <f>IF(ISNUMBER(F3044),E3044*F3044,"")</f>
        <v/>
      </c>
      <c r="H3044" s="32"/>
      <c r="I3044" s="28"/>
      <c r="J3044" s="125">
        <v>0</v>
      </c>
    </row>
    <row r="3045" spans="1:10" ht="39" hidden="1" thickBot="1" x14ac:dyDescent="0.3">
      <c r="A3045" s="249"/>
      <c r="B3045" s="238"/>
      <c r="C3045" s="43" t="s">
        <v>766</v>
      </c>
      <c r="D3045" s="33"/>
      <c r="E3045" s="34"/>
      <c r="F3045" s="28" t="s">
        <v>418</v>
      </c>
      <c r="G3045" s="31" t="str">
        <f>IF(ISNUMBER(F3045),E3045*F3045,"")</f>
        <v/>
      </c>
      <c r="H3045" s="32"/>
      <c r="I3045" s="28"/>
      <c r="J3045" s="125">
        <v>0</v>
      </c>
    </row>
    <row r="3046" spans="1:10" ht="15.75" hidden="1" thickBot="1" x14ac:dyDescent="0.3">
      <c r="A3046" s="249"/>
      <c r="B3046" s="238"/>
      <c r="C3046" s="47" t="s">
        <v>767</v>
      </c>
      <c r="D3046" s="33"/>
      <c r="E3046" s="34"/>
      <c r="F3046" s="28" t="s">
        <v>418</v>
      </c>
      <c r="G3046" s="31" t="str">
        <f>IF(ISNUMBER(F3046),E3046*F3046,"")</f>
        <v/>
      </c>
      <c r="H3046" s="32"/>
      <c r="I3046" s="28"/>
      <c r="J3046" s="125">
        <v>0</v>
      </c>
    </row>
    <row r="3047" spans="1:10" ht="15.75" hidden="1" thickBot="1" x14ac:dyDescent="0.3">
      <c r="A3047" s="250"/>
      <c r="B3047" s="239"/>
      <c r="C3047" s="155"/>
      <c r="D3047" s="33"/>
      <c r="E3047" s="34"/>
      <c r="F3047" s="28" t="s">
        <v>418</v>
      </c>
      <c r="G3047" s="31" t="str">
        <f>IF(ISNUMBER(F3047),E3047*F3047,"")</f>
        <v/>
      </c>
      <c r="H3047" s="32"/>
      <c r="I3047" s="28"/>
      <c r="J3047" s="125">
        <v>0</v>
      </c>
    </row>
    <row r="3048" spans="1:10" ht="15.75" hidden="1" thickBot="1" x14ac:dyDescent="0.3">
      <c r="A3048" s="234" t="s">
        <v>768</v>
      </c>
      <c r="B3048" s="237" t="s">
        <v>1724</v>
      </c>
      <c r="C3048" s="160"/>
      <c r="D3048" s="23" t="s">
        <v>16</v>
      </c>
      <c r="E3048" s="24"/>
      <c r="F3048" s="37" t="s">
        <v>418</v>
      </c>
      <c r="G3048" s="25" t="str">
        <f>IF(ISNUMBER(F3048),E3048*F3048,"")</f>
        <v/>
      </c>
      <c r="H3048" s="26"/>
      <c r="I3048" s="27"/>
      <c r="J3048" s="125">
        <v>0</v>
      </c>
    </row>
    <row r="3049" spans="1:10" ht="15.75" hidden="1" thickBot="1" x14ac:dyDescent="0.3">
      <c r="A3049" s="235"/>
      <c r="B3049" s="238"/>
      <c r="C3049" s="151"/>
      <c r="D3049" s="29"/>
      <c r="E3049" s="30"/>
      <c r="F3049" s="38" t="s">
        <v>418</v>
      </c>
      <c r="G3049" s="31" t="str">
        <f>IF(ISNUMBER(F3049),E3049*F3049,"")</f>
        <v/>
      </c>
      <c r="H3049" s="32"/>
      <c r="I3049" s="28"/>
      <c r="J3049" s="125">
        <v>0</v>
      </c>
    </row>
    <row r="3050" spans="1:10" ht="15.75" hidden="1" thickBot="1" x14ac:dyDescent="0.3">
      <c r="A3050" s="235"/>
      <c r="B3050" s="238"/>
      <c r="C3050" s="155" t="s">
        <v>9864</v>
      </c>
      <c r="D3050" s="155" t="s">
        <v>587</v>
      </c>
      <c r="E3050" s="34">
        <v>1.5</v>
      </c>
      <c r="F3050" s="31">
        <v>23.274999999999999</v>
      </c>
      <c r="G3050" s="31">
        <f>IF(ISNUMBER(F3050),E3050*F3050,"")</f>
        <v>34.912499999999994</v>
      </c>
      <c r="H3050" s="35">
        <f>SUM(G3050:G3050)</f>
        <v>34.912499999999994</v>
      </c>
      <c r="I3050" s="36"/>
      <c r="J3050" s="125">
        <v>0</v>
      </c>
    </row>
    <row r="3051" spans="1:10" ht="15.75" hidden="1" thickBot="1" x14ac:dyDescent="0.3">
      <c r="A3051" s="236"/>
      <c r="B3051" s="239"/>
      <c r="C3051" s="155"/>
      <c r="D3051" s="33"/>
      <c r="E3051" s="34"/>
      <c r="F3051" s="28" t="s">
        <v>418</v>
      </c>
      <c r="G3051" s="31" t="str">
        <f>IF(ISNUMBER(F3051),E3051*F3051,"")</f>
        <v/>
      </c>
      <c r="H3051" s="32"/>
      <c r="I3051" s="28"/>
      <c r="J3051" s="125">
        <v>0</v>
      </c>
    </row>
    <row r="3052" spans="1:10" ht="15.75" hidden="1" thickBot="1" x14ac:dyDescent="0.3">
      <c r="A3052" s="234" t="s">
        <v>769</v>
      </c>
      <c r="B3052" s="237" t="s">
        <v>19758</v>
      </c>
      <c r="C3052" s="160"/>
      <c r="D3052" s="23" t="s">
        <v>70</v>
      </c>
      <c r="E3052" s="24"/>
      <c r="F3052" s="37" t="s">
        <v>418</v>
      </c>
      <c r="G3052" s="25" t="str">
        <f>IF(ISNUMBER(F3052),E3052*F3052,"")</f>
        <v/>
      </c>
      <c r="H3052" s="26"/>
      <c r="I3052" s="27"/>
      <c r="J3052" s="125">
        <v>0</v>
      </c>
    </row>
    <row r="3053" spans="1:10" ht="15.75" hidden="1" thickBot="1" x14ac:dyDescent="0.3">
      <c r="A3053" s="235"/>
      <c r="B3053" s="238"/>
      <c r="C3053" s="151"/>
      <c r="D3053" s="29"/>
      <c r="E3053" s="30"/>
      <c r="F3053" s="38" t="s">
        <v>418</v>
      </c>
      <c r="G3053" s="31" t="str">
        <f>IF(ISNUMBER(F3053),E3053*F3053,"")</f>
        <v/>
      </c>
      <c r="H3053" s="32"/>
      <c r="I3053" s="28"/>
      <c r="J3053" s="125">
        <v>0</v>
      </c>
    </row>
    <row r="3054" spans="1:10" ht="15.75" hidden="1" thickBot="1" x14ac:dyDescent="0.3">
      <c r="A3054" s="235"/>
      <c r="B3054" s="238"/>
      <c r="C3054" s="155" t="s">
        <v>9864</v>
      </c>
      <c r="D3054" s="155" t="s">
        <v>587</v>
      </c>
      <c r="E3054" s="34">
        <v>0.47899999999999998</v>
      </c>
      <c r="F3054" s="31">
        <v>23.274999999999999</v>
      </c>
      <c r="G3054" s="31">
        <f>IF(ISNUMBER(F3054),E3054*F3054,"")</f>
        <v>11.148724999999999</v>
      </c>
      <c r="H3054" s="35">
        <f>SUM(G3054:G3058)</f>
        <v>127.94896399999999</v>
      </c>
      <c r="I3054" s="36"/>
      <c r="J3054" s="125">
        <v>0</v>
      </c>
    </row>
    <row r="3055" spans="1:10" ht="15.75" hidden="1" thickBot="1" x14ac:dyDescent="0.3">
      <c r="A3055" s="235"/>
      <c r="B3055" s="238"/>
      <c r="C3055" s="155" t="s">
        <v>588</v>
      </c>
      <c r="D3055" s="155" t="s">
        <v>587</v>
      </c>
      <c r="E3055" s="34">
        <v>0.46600000000000003</v>
      </c>
      <c r="F3055" s="31">
        <v>19.189999999999998</v>
      </c>
      <c r="G3055" s="31">
        <f>IF(ISNUMBER(F3055),E3055*F3055,"")</f>
        <v>8.9425399999999993</v>
      </c>
      <c r="H3055" s="32"/>
      <c r="I3055" s="28"/>
      <c r="J3055" s="125">
        <v>0</v>
      </c>
    </row>
    <row r="3056" spans="1:10" ht="26.25" hidden="1" thickBot="1" x14ac:dyDescent="0.3">
      <c r="A3056" s="235"/>
      <c r="B3056" s="238"/>
      <c r="C3056" s="155" t="s">
        <v>1046</v>
      </c>
      <c r="D3056" s="155" t="s">
        <v>385</v>
      </c>
      <c r="E3056" s="34">
        <v>4.609</v>
      </c>
      <c r="F3056" s="28">
        <v>19.474999999999998</v>
      </c>
      <c r="G3056" s="31">
        <f>IF(ISNUMBER(F3056),E3056*F3056,"")</f>
        <v>89.760274999999993</v>
      </c>
      <c r="H3056" s="32"/>
      <c r="I3056" s="28"/>
      <c r="J3056" s="125">
        <v>0</v>
      </c>
    </row>
    <row r="3057" spans="1:10" ht="26.25" hidden="1" thickBot="1" x14ac:dyDescent="0.3">
      <c r="A3057" s="235"/>
      <c r="B3057" s="238"/>
      <c r="C3057" s="155" t="s">
        <v>25509</v>
      </c>
      <c r="D3057" s="155" t="s">
        <v>385</v>
      </c>
      <c r="E3057" s="34">
        <v>4.0359999999999996</v>
      </c>
      <c r="F3057" s="28">
        <v>4.484</v>
      </c>
      <c r="G3057" s="31">
        <f>IF(ISNUMBER(F3057),E3057*F3057,"")</f>
        <v>18.097423999999997</v>
      </c>
      <c r="H3057" s="32"/>
      <c r="I3057" s="28"/>
      <c r="J3057" s="125">
        <v>0</v>
      </c>
    </row>
    <row r="3058" spans="1:10" ht="15.75" hidden="1" thickBot="1" x14ac:dyDescent="0.3">
      <c r="A3058" s="235"/>
      <c r="B3058" s="238"/>
      <c r="C3058" s="155" t="s">
        <v>770</v>
      </c>
      <c r="D3058" s="33" t="s">
        <v>70</v>
      </c>
      <c r="E3058" s="34">
        <v>1</v>
      </c>
      <c r="F3058" s="28" t="s">
        <v>418</v>
      </c>
      <c r="G3058" s="31" t="str">
        <f>IF(ISNUMBER(F3058),E3058*F3058,"")</f>
        <v/>
      </c>
      <c r="H3058" s="32"/>
      <c r="I3058" s="28"/>
      <c r="J3058" s="125">
        <v>0</v>
      </c>
    </row>
    <row r="3059" spans="1:10" ht="15.75" hidden="1" thickBot="1" x14ac:dyDescent="0.3">
      <c r="A3059" s="236"/>
      <c r="B3059" s="239"/>
      <c r="C3059" s="155"/>
      <c r="D3059" s="33"/>
      <c r="E3059" s="34"/>
      <c r="F3059" s="28" t="s">
        <v>418</v>
      </c>
      <c r="G3059" s="31" t="str">
        <f>IF(ISNUMBER(F3059),E3059*F3059,"")</f>
        <v/>
      </c>
      <c r="H3059" s="32"/>
      <c r="I3059" s="28"/>
      <c r="J3059" s="125">
        <v>0</v>
      </c>
    </row>
    <row r="3060" spans="1:10" ht="15.75" hidden="1" thickBot="1" x14ac:dyDescent="0.3">
      <c r="A3060" s="234" t="s">
        <v>771</v>
      </c>
      <c r="B3060" s="237" t="s">
        <v>1725</v>
      </c>
      <c r="C3060" s="160"/>
      <c r="D3060" s="23" t="s">
        <v>16</v>
      </c>
      <c r="E3060" s="24"/>
      <c r="F3060" s="37" t="s">
        <v>418</v>
      </c>
      <c r="G3060" s="25" t="str">
        <f>IF(ISNUMBER(F3060),E3060*F3060,"")</f>
        <v/>
      </c>
      <c r="H3060" s="26"/>
      <c r="I3060" s="27"/>
      <c r="J3060" s="125">
        <v>0</v>
      </c>
    </row>
    <row r="3061" spans="1:10" ht="15.75" hidden="1" thickBot="1" x14ac:dyDescent="0.3">
      <c r="A3061" s="235"/>
      <c r="B3061" s="238"/>
      <c r="C3061" s="151"/>
      <c r="D3061" s="29"/>
      <c r="E3061" s="30"/>
      <c r="F3061" s="38" t="s">
        <v>418</v>
      </c>
      <c r="G3061" s="31" t="str">
        <f>IF(ISNUMBER(F3061),E3061*F3061,"")</f>
        <v/>
      </c>
      <c r="H3061" s="32"/>
      <c r="I3061" s="28"/>
      <c r="J3061" s="125">
        <v>0</v>
      </c>
    </row>
    <row r="3062" spans="1:10" ht="15.75" hidden="1" thickBot="1" x14ac:dyDescent="0.3">
      <c r="A3062" s="235"/>
      <c r="B3062" s="238"/>
      <c r="C3062" s="155" t="s">
        <v>9864</v>
      </c>
      <c r="D3062" s="155" t="s">
        <v>587</v>
      </c>
      <c r="E3062" s="34">
        <v>0.4</v>
      </c>
      <c r="F3062" s="31">
        <v>23.274999999999999</v>
      </c>
      <c r="G3062" s="31">
        <f>IF(ISNUMBER(F3062),E3062*F3062,"")</f>
        <v>9.31</v>
      </c>
      <c r="H3062" s="35">
        <f>SUM(G3062:G3063)</f>
        <v>9.31</v>
      </c>
      <c r="I3062" s="36"/>
      <c r="J3062" s="125">
        <v>0</v>
      </c>
    </row>
    <row r="3063" spans="1:10" ht="15.75" hidden="1" thickBot="1" x14ac:dyDescent="0.3">
      <c r="A3063" s="235"/>
      <c r="B3063" s="238"/>
      <c r="C3063" s="155" t="s">
        <v>772</v>
      </c>
      <c r="D3063" s="42" t="s">
        <v>16</v>
      </c>
      <c r="E3063" s="34">
        <v>1</v>
      </c>
      <c r="F3063" s="28" t="s">
        <v>418</v>
      </c>
      <c r="G3063" s="31" t="str">
        <f>IF(ISNUMBER(F3063),E3063*F3063,"")</f>
        <v/>
      </c>
      <c r="H3063" s="32"/>
      <c r="I3063" s="28"/>
      <c r="J3063" s="125">
        <v>0</v>
      </c>
    </row>
    <row r="3064" spans="1:10" ht="15.75" hidden="1" thickBot="1" x14ac:dyDescent="0.3">
      <c r="A3064" s="236"/>
      <c r="B3064" s="239"/>
      <c r="C3064" s="155"/>
      <c r="D3064" s="33"/>
      <c r="E3064" s="34"/>
      <c r="F3064" s="28" t="s">
        <v>418</v>
      </c>
      <c r="G3064" s="31" t="str">
        <f>IF(ISNUMBER(F3064),E3064*F3064,"")</f>
        <v/>
      </c>
      <c r="H3064" s="32"/>
      <c r="I3064" s="28"/>
      <c r="J3064" s="125">
        <v>0</v>
      </c>
    </row>
    <row r="3065" spans="1:10" ht="15.75" hidden="1" thickBot="1" x14ac:dyDescent="0.3">
      <c r="A3065" s="234" t="s">
        <v>773</v>
      </c>
      <c r="B3065" s="237" t="s">
        <v>19757</v>
      </c>
      <c r="C3065" s="160"/>
      <c r="D3065" s="23" t="s">
        <v>28</v>
      </c>
      <c r="E3065" s="24"/>
      <c r="F3065" s="37" t="s">
        <v>418</v>
      </c>
      <c r="G3065" s="25" t="str">
        <f>IF(ISNUMBER(F3065),E3065*F3065,"")</f>
        <v/>
      </c>
      <c r="H3065" s="26"/>
      <c r="I3065" s="27"/>
      <c r="J3065" s="125">
        <v>0</v>
      </c>
    </row>
    <row r="3066" spans="1:10" ht="15.75" hidden="1" thickBot="1" x14ac:dyDescent="0.3">
      <c r="A3066" s="235"/>
      <c r="B3066" s="238"/>
      <c r="C3066" s="151"/>
      <c r="D3066" s="29"/>
      <c r="E3066" s="30"/>
      <c r="F3066" s="38" t="s">
        <v>418</v>
      </c>
      <c r="G3066" s="31" t="str">
        <f>IF(ISNUMBER(F3066),E3066*F3066,"")</f>
        <v/>
      </c>
      <c r="H3066" s="32"/>
      <c r="I3066" s="28"/>
      <c r="J3066" s="125">
        <v>0</v>
      </c>
    </row>
    <row r="3067" spans="1:10" ht="39" hidden="1" thickBot="1" x14ac:dyDescent="0.3">
      <c r="A3067" s="235"/>
      <c r="B3067" s="238"/>
      <c r="C3067" s="155" t="s">
        <v>775</v>
      </c>
      <c r="D3067" s="155" t="s">
        <v>205</v>
      </c>
      <c r="E3067" s="34">
        <v>0.74299999999999999</v>
      </c>
      <c r="F3067" s="28">
        <v>0.20899999999999999</v>
      </c>
      <c r="G3067" s="31">
        <f>IF(ISNUMBER(F3067),E3067*F3067,"")</f>
        <v>0.15528699999999998</v>
      </c>
      <c r="H3067" s="35">
        <f>SUM(G3067:G3071)</f>
        <v>14.491668600000001</v>
      </c>
      <c r="I3067" s="36"/>
      <c r="J3067" s="125">
        <v>0</v>
      </c>
    </row>
    <row r="3068" spans="1:10" ht="26.25" hidden="1" thickBot="1" x14ac:dyDescent="0.3">
      <c r="A3068" s="235"/>
      <c r="B3068" s="238"/>
      <c r="C3068" s="155" t="s">
        <v>10385</v>
      </c>
      <c r="D3068" s="155" t="s">
        <v>774</v>
      </c>
      <c r="E3068" s="34">
        <v>2.5000000000000001E-2</v>
      </c>
      <c r="F3068" s="28">
        <v>26.41</v>
      </c>
      <c r="G3068" s="31">
        <f>IF(ISNUMBER(F3068),E3068*F3068,"")</f>
        <v>0.66025</v>
      </c>
      <c r="H3068" s="32"/>
      <c r="I3068" s="28"/>
      <c r="J3068" s="125">
        <v>0</v>
      </c>
    </row>
    <row r="3069" spans="1:10" ht="15.75" hidden="1" thickBot="1" x14ac:dyDescent="0.3">
      <c r="A3069" s="235"/>
      <c r="B3069" s="238"/>
      <c r="C3069" s="155" t="s">
        <v>776</v>
      </c>
      <c r="D3069" s="155" t="s">
        <v>587</v>
      </c>
      <c r="E3069" s="34">
        <v>9.1999999999999998E-3</v>
      </c>
      <c r="F3069" s="28">
        <v>18.201999999999998</v>
      </c>
      <c r="G3069" s="31">
        <f>IF(ISNUMBER(F3069),E3069*F3069,"")</f>
        <v>0.16745839999999998</v>
      </c>
      <c r="H3069" s="32"/>
      <c r="I3069" s="28"/>
      <c r="J3069" s="125">
        <v>0</v>
      </c>
    </row>
    <row r="3070" spans="1:10" ht="15.75" hidden="1" thickBot="1" x14ac:dyDescent="0.3">
      <c r="A3070" s="235"/>
      <c r="B3070" s="238"/>
      <c r="C3070" s="155" t="s">
        <v>777</v>
      </c>
      <c r="D3070" s="155" t="s">
        <v>587</v>
      </c>
      <c r="E3070" s="34">
        <v>5.6099999999999997E-2</v>
      </c>
      <c r="F3070" s="28">
        <v>25.46</v>
      </c>
      <c r="G3070" s="31">
        <f>IF(ISNUMBER(F3070),E3070*F3070,"")</f>
        <v>1.4283060000000001</v>
      </c>
      <c r="H3070" s="32"/>
      <c r="I3070" s="28"/>
      <c r="J3070" s="125">
        <v>0</v>
      </c>
    </row>
    <row r="3071" spans="1:10" ht="15.75" hidden="1" thickBot="1" x14ac:dyDescent="0.3">
      <c r="A3071" s="235"/>
      <c r="B3071" s="238"/>
      <c r="C3071" s="155" t="s">
        <v>16446</v>
      </c>
      <c r="D3071" s="155" t="s">
        <v>774</v>
      </c>
      <c r="E3071" s="34">
        <v>1</v>
      </c>
      <c r="F3071" s="28">
        <v>12.0803672</v>
      </c>
      <c r="G3071" s="31">
        <f>IF(ISNUMBER(F3071),E3071*F3071,"")</f>
        <v>12.0803672</v>
      </c>
      <c r="H3071" s="32"/>
      <c r="I3071" s="28"/>
      <c r="J3071" s="125">
        <v>0</v>
      </c>
    </row>
    <row r="3072" spans="1:10" ht="15.75" hidden="1" thickBot="1" x14ac:dyDescent="0.3">
      <c r="A3072" s="236"/>
      <c r="B3072" s="239"/>
      <c r="C3072" s="155"/>
      <c r="D3072" s="33"/>
      <c r="E3072" s="34"/>
      <c r="F3072" s="28" t="s">
        <v>418</v>
      </c>
      <c r="G3072" s="31" t="str">
        <f>IF(ISNUMBER(F3072),E3072*F3072,"")</f>
        <v/>
      </c>
      <c r="H3072" s="32"/>
      <c r="I3072" s="28"/>
      <c r="J3072" s="125">
        <v>0</v>
      </c>
    </row>
    <row r="3073" spans="1:10" ht="15.75" hidden="1" thickBot="1" x14ac:dyDescent="0.3">
      <c r="A3073" s="234" t="s">
        <v>778</v>
      </c>
      <c r="B3073" s="237" t="s">
        <v>1726</v>
      </c>
      <c r="C3073" s="160"/>
      <c r="D3073" s="23" t="s">
        <v>16</v>
      </c>
      <c r="E3073" s="24"/>
      <c r="F3073" s="37" t="s">
        <v>418</v>
      </c>
      <c r="G3073" s="25" t="str">
        <f>IF(ISNUMBER(F3073),E3073*F3073,"")</f>
        <v/>
      </c>
      <c r="H3073" s="26"/>
      <c r="I3073" s="27"/>
      <c r="J3073" s="125">
        <v>0</v>
      </c>
    </row>
    <row r="3074" spans="1:10" ht="15.75" hidden="1" thickBot="1" x14ac:dyDescent="0.3">
      <c r="A3074" s="235"/>
      <c r="B3074" s="238"/>
      <c r="C3074" s="151"/>
      <c r="D3074" s="29"/>
      <c r="E3074" s="30"/>
      <c r="F3074" s="38" t="s">
        <v>418</v>
      </c>
      <c r="G3074" s="31" t="str">
        <f>IF(ISNUMBER(F3074),E3074*F3074,"")</f>
        <v/>
      </c>
      <c r="H3074" s="32"/>
      <c r="I3074" s="28"/>
      <c r="J3074" s="125">
        <v>0</v>
      </c>
    </row>
    <row r="3075" spans="1:10" ht="15.75" hidden="1" thickBot="1" x14ac:dyDescent="0.3">
      <c r="A3075" s="235"/>
      <c r="B3075" s="238"/>
      <c r="C3075" s="155" t="s">
        <v>9864</v>
      </c>
      <c r="D3075" s="155" t="s">
        <v>587</v>
      </c>
      <c r="E3075" s="34">
        <v>0.2</v>
      </c>
      <c r="F3075" s="31">
        <v>23.274999999999999</v>
      </c>
      <c r="G3075" s="31">
        <f>IF(ISNUMBER(F3075),E3075*F3075,"")</f>
        <v>4.6550000000000002</v>
      </c>
      <c r="H3075" s="35">
        <f>SUM(G3075:G3076)</f>
        <v>4.6550000000000002</v>
      </c>
      <c r="I3075" s="36"/>
      <c r="J3075" s="125">
        <v>0</v>
      </c>
    </row>
    <row r="3076" spans="1:10" ht="26.25" hidden="1" thickBot="1" x14ac:dyDescent="0.3">
      <c r="A3076" s="235"/>
      <c r="B3076" s="238"/>
      <c r="C3076" s="155" t="s">
        <v>779</v>
      </c>
      <c r="D3076" s="33" t="s">
        <v>16</v>
      </c>
      <c r="E3076" s="34">
        <v>1</v>
      </c>
      <c r="F3076" s="28" t="s">
        <v>418</v>
      </c>
      <c r="G3076" s="31" t="str">
        <f>IF(ISNUMBER(F3076),E3076*F3076,"")</f>
        <v/>
      </c>
      <c r="H3076" s="32"/>
      <c r="I3076" s="28"/>
      <c r="J3076" s="125">
        <v>0</v>
      </c>
    </row>
    <row r="3077" spans="1:10" ht="15.75" hidden="1" thickBot="1" x14ac:dyDescent="0.3">
      <c r="A3077" s="236"/>
      <c r="B3077" s="239"/>
      <c r="C3077" s="155"/>
      <c r="D3077" s="33"/>
      <c r="E3077" s="34"/>
      <c r="F3077" s="28" t="s">
        <v>418</v>
      </c>
      <c r="G3077" s="31" t="str">
        <f>IF(ISNUMBER(F3077),E3077*F3077,"")</f>
        <v/>
      </c>
      <c r="H3077" s="32"/>
      <c r="I3077" s="28"/>
      <c r="J3077" s="125">
        <v>0</v>
      </c>
    </row>
    <row r="3078" spans="1:10" ht="15.75" hidden="1" thickBot="1" x14ac:dyDescent="0.3">
      <c r="A3078" s="234" t="s">
        <v>780</v>
      </c>
      <c r="B3078" s="237" t="s">
        <v>1727</v>
      </c>
      <c r="C3078" s="160"/>
      <c r="D3078" s="23" t="s">
        <v>16</v>
      </c>
      <c r="E3078" s="24"/>
      <c r="F3078" s="37" t="s">
        <v>418</v>
      </c>
      <c r="G3078" s="25" t="str">
        <f>IF(ISNUMBER(F3078),E3078*F3078,"")</f>
        <v/>
      </c>
      <c r="H3078" s="26"/>
      <c r="I3078" s="27"/>
      <c r="J3078" s="125">
        <v>0</v>
      </c>
    </row>
    <row r="3079" spans="1:10" ht="15.75" hidden="1" thickBot="1" x14ac:dyDescent="0.3">
      <c r="A3079" s="235"/>
      <c r="B3079" s="238"/>
      <c r="C3079" s="151"/>
      <c r="D3079" s="29"/>
      <c r="E3079" s="30"/>
      <c r="F3079" s="38" t="s">
        <v>418</v>
      </c>
      <c r="G3079" s="31" t="str">
        <f>IF(ISNUMBER(F3079),E3079*F3079,"")</f>
        <v/>
      </c>
      <c r="H3079" s="32"/>
      <c r="I3079" s="28"/>
      <c r="J3079" s="125">
        <v>0</v>
      </c>
    </row>
    <row r="3080" spans="1:10" ht="15.75" hidden="1" thickBot="1" x14ac:dyDescent="0.3">
      <c r="A3080" s="235"/>
      <c r="B3080" s="238"/>
      <c r="C3080" s="155" t="s">
        <v>9864</v>
      </c>
      <c r="D3080" s="155" t="s">
        <v>587</v>
      </c>
      <c r="E3080" s="34">
        <v>0.3</v>
      </c>
      <c r="F3080" s="31">
        <v>23.274999999999999</v>
      </c>
      <c r="G3080" s="31">
        <f>IF(ISNUMBER(F3080),E3080*F3080,"")</f>
        <v>6.982499999999999</v>
      </c>
      <c r="H3080" s="35">
        <f>SUM(G3080:G3081)</f>
        <v>6.982499999999999</v>
      </c>
      <c r="I3080" s="36"/>
      <c r="J3080" s="125">
        <v>0</v>
      </c>
    </row>
    <row r="3081" spans="1:10" ht="39" hidden="1" thickBot="1" x14ac:dyDescent="0.3">
      <c r="A3081" s="235"/>
      <c r="B3081" s="238"/>
      <c r="C3081" s="155" t="s">
        <v>781</v>
      </c>
      <c r="D3081" s="33" t="s">
        <v>16</v>
      </c>
      <c r="E3081" s="34">
        <v>1</v>
      </c>
      <c r="F3081" s="28" t="s">
        <v>418</v>
      </c>
      <c r="G3081" s="31" t="str">
        <f>IF(ISNUMBER(F3081),E3081*F3081,"")</f>
        <v/>
      </c>
      <c r="H3081" s="32"/>
      <c r="I3081" s="28"/>
      <c r="J3081" s="125">
        <v>0</v>
      </c>
    </row>
    <row r="3082" spans="1:10" ht="15.75" hidden="1" thickBot="1" x14ac:dyDescent="0.3">
      <c r="A3082" s="236"/>
      <c r="B3082" s="239"/>
      <c r="C3082" s="155"/>
      <c r="D3082" s="33"/>
      <c r="E3082" s="34"/>
      <c r="F3082" s="28" t="s">
        <v>418</v>
      </c>
      <c r="G3082" s="31" t="str">
        <f>IF(ISNUMBER(F3082),E3082*F3082,"")</f>
        <v/>
      </c>
      <c r="H3082" s="32"/>
      <c r="I3082" s="28"/>
      <c r="J3082" s="125">
        <v>0</v>
      </c>
    </row>
    <row r="3083" spans="1:10" ht="15.75" hidden="1" thickBot="1" x14ac:dyDescent="0.3">
      <c r="A3083" s="234" t="s">
        <v>782</v>
      </c>
      <c r="B3083" s="237" t="s">
        <v>1728</v>
      </c>
      <c r="C3083" s="160"/>
      <c r="D3083" s="23" t="s">
        <v>16</v>
      </c>
      <c r="E3083" s="24"/>
      <c r="F3083" s="37" t="s">
        <v>418</v>
      </c>
      <c r="G3083" s="25" t="str">
        <f>IF(ISNUMBER(F3083),E3083*F3083,"")</f>
        <v/>
      </c>
      <c r="H3083" s="26"/>
      <c r="I3083" s="27"/>
      <c r="J3083" s="125">
        <v>0</v>
      </c>
    </row>
    <row r="3084" spans="1:10" ht="15.75" hidden="1" thickBot="1" x14ac:dyDescent="0.3">
      <c r="A3084" s="235"/>
      <c r="B3084" s="238"/>
      <c r="C3084" s="151"/>
      <c r="D3084" s="29"/>
      <c r="E3084" s="30"/>
      <c r="F3084" s="38" t="s">
        <v>418</v>
      </c>
      <c r="G3084" s="31" t="str">
        <f>IF(ISNUMBER(F3084),E3084*F3084,"")</f>
        <v/>
      </c>
      <c r="H3084" s="32"/>
      <c r="I3084" s="28"/>
      <c r="J3084" s="125">
        <v>0</v>
      </c>
    </row>
    <row r="3085" spans="1:10" ht="15.75" hidden="1" thickBot="1" x14ac:dyDescent="0.3">
      <c r="A3085" s="235"/>
      <c r="B3085" s="238"/>
      <c r="C3085" s="155" t="s">
        <v>9864</v>
      </c>
      <c r="D3085" s="155" t="s">
        <v>587</v>
      </c>
      <c r="E3085" s="34">
        <v>0.3</v>
      </c>
      <c r="F3085" s="31">
        <v>23.274999999999999</v>
      </c>
      <c r="G3085" s="31">
        <f>IF(ISNUMBER(F3085),E3085*F3085,"")</f>
        <v>6.982499999999999</v>
      </c>
      <c r="H3085" s="35">
        <f>SUM(G3085:G3086)</f>
        <v>6.982499999999999</v>
      </c>
      <c r="I3085" s="36"/>
      <c r="J3085" s="125">
        <v>0</v>
      </c>
    </row>
    <row r="3086" spans="1:10" ht="39" hidden="1" thickBot="1" x14ac:dyDescent="0.3">
      <c r="A3086" s="235"/>
      <c r="B3086" s="238"/>
      <c r="C3086" s="155" t="s">
        <v>783</v>
      </c>
      <c r="D3086" s="33" t="s">
        <v>16</v>
      </c>
      <c r="E3086" s="34">
        <v>1</v>
      </c>
      <c r="F3086" s="28" t="s">
        <v>418</v>
      </c>
      <c r="G3086" s="31" t="str">
        <f>IF(ISNUMBER(F3086),E3086*F3086,"")</f>
        <v/>
      </c>
      <c r="H3086" s="32"/>
      <c r="I3086" s="28"/>
      <c r="J3086" s="125">
        <v>0</v>
      </c>
    </row>
    <row r="3087" spans="1:10" ht="15.75" hidden="1" thickBot="1" x14ac:dyDescent="0.3">
      <c r="A3087" s="236"/>
      <c r="B3087" s="239"/>
      <c r="C3087" s="155"/>
      <c r="D3087" s="33"/>
      <c r="E3087" s="34"/>
      <c r="F3087" s="28" t="s">
        <v>418</v>
      </c>
      <c r="G3087" s="31" t="str">
        <f>IF(ISNUMBER(F3087),E3087*F3087,"")</f>
        <v/>
      </c>
      <c r="H3087" s="32"/>
      <c r="I3087" s="28"/>
      <c r="J3087" s="125">
        <v>0</v>
      </c>
    </row>
    <row r="3088" spans="1:10" ht="15.75" hidden="1" thickBot="1" x14ac:dyDescent="0.3">
      <c r="A3088" s="234" t="s">
        <v>784</v>
      </c>
      <c r="B3088" s="237" t="s">
        <v>1729</v>
      </c>
      <c r="C3088" s="160"/>
      <c r="D3088" s="23" t="s">
        <v>16</v>
      </c>
      <c r="E3088" s="24"/>
      <c r="F3088" s="37" t="s">
        <v>418</v>
      </c>
      <c r="G3088" s="25" t="str">
        <f>IF(ISNUMBER(F3088),E3088*F3088,"")</f>
        <v/>
      </c>
      <c r="H3088" s="26"/>
      <c r="I3088" s="27"/>
      <c r="J3088" s="125">
        <v>0</v>
      </c>
    </row>
    <row r="3089" spans="1:10" ht="15.75" hidden="1" thickBot="1" x14ac:dyDescent="0.3">
      <c r="A3089" s="235"/>
      <c r="B3089" s="238"/>
      <c r="C3089" s="151"/>
      <c r="D3089" s="29"/>
      <c r="E3089" s="30"/>
      <c r="F3089" s="38" t="s">
        <v>418</v>
      </c>
      <c r="G3089" s="31" t="str">
        <f>IF(ISNUMBER(F3089),E3089*F3089,"")</f>
        <v/>
      </c>
      <c r="H3089" s="32"/>
      <c r="I3089" s="28"/>
      <c r="J3089" s="125">
        <v>0</v>
      </c>
    </row>
    <row r="3090" spans="1:10" ht="15.75" hidden="1" thickBot="1" x14ac:dyDescent="0.3">
      <c r="A3090" s="235"/>
      <c r="B3090" s="238"/>
      <c r="C3090" s="155" t="s">
        <v>9864</v>
      </c>
      <c r="D3090" s="155" t="s">
        <v>587</v>
      </c>
      <c r="E3090" s="34">
        <v>0.3</v>
      </c>
      <c r="F3090" s="31">
        <v>23.274999999999999</v>
      </c>
      <c r="G3090" s="31">
        <f>IF(ISNUMBER(F3090),E3090*F3090,"")</f>
        <v>6.982499999999999</v>
      </c>
      <c r="H3090" s="35">
        <f>SUM(G3090:G3091)</f>
        <v>6.982499999999999</v>
      </c>
      <c r="I3090" s="36"/>
      <c r="J3090" s="125">
        <v>0</v>
      </c>
    </row>
    <row r="3091" spans="1:10" ht="26.25" hidden="1" thickBot="1" x14ac:dyDescent="0.3">
      <c r="A3091" s="235"/>
      <c r="B3091" s="238"/>
      <c r="C3091" s="155" t="s">
        <v>785</v>
      </c>
      <c r="D3091" s="33" t="s">
        <v>16</v>
      </c>
      <c r="E3091" s="34">
        <v>1</v>
      </c>
      <c r="F3091" s="28" t="s">
        <v>418</v>
      </c>
      <c r="G3091" s="31" t="str">
        <f>IF(ISNUMBER(F3091),E3091*F3091,"")</f>
        <v/>
      </c>
      <c r="H3091" s="32"/>
      <c r="I3091" s="28"/>
      <c r="J3091" s="125">
        <v>0</v>
      </c>
    </row>
    <row r="3092" spans="1:10" ht="15.75" hidden="1" thickBot="1" x14ac:dyDescent="0.3">
      <c r="A3092" s="236"/>
      <c r="B3092" s="239"/>
      <c r="C3092" s="155"/>
      <c r="D3092" s="33"/>
      <c r="E3092" s="34"/>
      <c r="F3092" s="28" t="s">
        <v>418</v>
      </c>
      <c r="G3092" s="31" t="str">
        <f>IF(ISNUMBER(F3092),E3092*F3092,"")</f>
        <v/>
      </c>
      <c r="H3092" s="32"/>
      <c r="I3092" s="28"/>
      <c r="J3092" s="125">
        <v>0</v>
      </c>
    </row>
    <row r="3093" spans="1:10" ht="15.75" hidden="1" thickBot="1" x14ac:dyDescent="0.3">
      <c r="A3093" s="234" t="s">
        <v>786</v>
      </c>
      <c r="B3093" s="237" t="s">
        <v>1730</v>
      </c>
      <c r="C3093" s="160"/>
      <c r="D3093" s="23" t="s">
        <v>16</v>
      </c>
      <c r="E3093" s="24"/>
      <c r="F3093" s="37" t="s">
        <v>418</v>
      </c>
      <c r="G3093" s="25" t="str">
        <f>IF(ISNUMBER(F3093),E3093*F3093,"")</f>
        <v/>
      </c>
      <c r="H3093" s="26"/>
      <c r="I3093" s="27"/>
      <c r="J3093" s="125">
        <v>0</v>
      </c>
    </row>
    <row r="3094" spans="1:10" ht="15.75" hidden="1" thickBot="1" x14ac:dyDescent="0.3">
      <c r="A3094" s="235"/>
      <c r="B3094" s="238"/>
      <c r="C3094" s="151"/>
      <c r="D3094" s="29"/>
      <c r="E3094" s="30"/>
      <c r="F3094" s="38" t="s">
        <v>418</v>
      </c>
      <c r="G3094" s="31" t="str">
        <f>IF(ISNUMBER(F3094),E3094*F3094,"")</f>
        <v/>
      </c>
      <c r="H3094" s="32"/>
      <c r="I3094" s="28"/>
      <c r="J3094" s="125">
        <v>0</v>
      </c>
    </row>
    <row r="3095" spans="1:10" ht="15.75" hidden="1" thickBot="1" x14ac:dyDescent="0.3">
      <c r="A3095" s="235"/>
      <c r="B3095" s="238"/>
      <c r="C3095" s="155" t="s">
        <v>9864</v>
      </c>
      <c r="D3095" s="155" t="s">
        <v>587</v>
      </c>
      <c r="E3095" s="34">
        <v>0.15</v>
      </c>
      <c r="F3095" s="31">
        <v>23.274999999999999</v>
      </c>
      <c r="G3095" s="31">
        <f>IF(ISNUMBER(F3095),E3095*F3095,"")</f>
        <v>3.4912499999999995</v>
      </c>
      <c r="H3095" s="35">
        <f>SUM(G3095:G3096)</f>
        <v>3.4912499999999995</v>
      </c>
      <c r="I3095" s="36"/>
      <c r="J3095" s="125">
        <v>0</v>
      </c>
    </row>
    <row r="3096" spans="1:10" ht="26.25" hidden="1" thickBot="1" x14ac:dyDescent="0.3">
      <c r="A3096" s="235"/>
      <c r="B3096" s="238"/>
      <c r="C3096" s="155" t="s">
        <v>787</v>
      </c>
      <c r="D3096" s="33" t="s">
        <v>16</v>
      </c>
      <c r="E3096" s="34">
        <v>1</v>
      </c>
      <c r="F3096" s="28" t="s">
        <v>418</v>
      </c>
      <c r="G3096" s="31" t="str">
        <f>IF(ISNUMBER(F3096),E3096*F3096,"")</f>
        <v/>
      </c>
      <c r="H3096" s="32"/>
      <c r="I3096" s="28"/>
      <c r="J3096" s="125">
        <v>0</v>
      </c>
    </row>
    <row r="3097" spans="1:10" ht="15.75" hidden="1" thickBot="1" x14ac:dyDescent="0.3">
      <c r="A3097" s="236"/>
      <c r="B3097" s="239"/>
      <c r="C3097" s="155"/>
      <c r="D3097" s="33"/>
      <c r="E3097" s="34"/>
      <c r="F3097" s="28" t="s">
        <v>418</v>
      </c>
      <c r="G3097" s="31" t="str">
        <f>IF(ISNUMBER(F3097),E3097*F3097,"")</f>
        <v/>
      </c>
      <c r="H3097" s="32"/>
      <c r="I3097" s="28"/>
      <c r="J3097" s="125">
        <v>0</v>
      </c>
    </row>
    <row r="3098" spans="1:10" ht="15.75" hidden="1" thickBot="1" x14ac:dyDescent="0.3">
      <c r="A3098" s="234" t="s">
        <v>788</v>
      </c>
      <c r="B3098" s="237" t="s">
        <v>1731</v>
      </c>
      <c r="C3098" s="160"/>
      <c r="D3098" s="23" t="s">
        <v>16</v>
      </c>
      <c r="E3098" s="24"/>
      <c r="F3098" s="37" t="s">
        <v>418</v>
      </c>
      <c r="G3098" s="25" t="str">
        <f>IF(ISNUMBER(F3098),E3098*F3098,"")</f>
        <v/>
      </c>
      <c r="H3098" s="26"/>
      <c r="I3098" s="27"/>
      <c r="J3098" s="125">
        <v>0</v>
      </c>
    </row>
    <row r="3099" spans="1:10" ht="15.75" hidden="1" thickBot="1" x14ac:dyDescent="0.3">
      <c r="A3099" s="235"/>
      <c r="B3099" s="238"/>
      <c r="C3099" s="151"/>
      <c r="D3099" s="29"/>
      <c r="E3099" s="30"/>
      <c r="F3099" s="38" t="s">
        <v>418</v>
      </c>
      <c r="G3099" s="31" t="str">
        <f>IF(ISNUMBER(F3099),E3099*F3099,"")</f>
        <v/>
      </c>
      <c r="H3099" s="32"/>
      <c r="I3099" s="28"/>
      <c r="J3099" s="125">
        <v>0</v>
      </c>
    </row>
    <row r="3100" spans="1:10" ht="15.75" hidden="1" thickBot="1" x14ac:dyDescent="0.3">
      <c r="A3100" s="235"/>
      <c r="B3100" s="238"/>
      <c r="C3100" s="155" t="s">
        <v>9864</v>
      </c>
      <c r="D3100" s="155" t="s">
        <v>587</v>
      </c>
      <c r="E3100" s="34">
        <v>0.15</v>
      </c>
      <c r="F3100" s="31">
        <v>23.274999999999999</v>
      </c>
      <c r="G3100" s="31">
        <f>IF(ISNUMBER(F3100),E3100*F3100,"")</f>
        <v>3.4912499999999995</v>
      </c>
      <c r="H3100" s="35">
        <f>SUM(G3100:G3101)</f>
        <v>3.4912499999999995</v>
      </c>
      <c r="I3100" s="36"/>
      <c r="J3100" s="125">
        <v>0</v>
      </c>
    </row>
    <row r="3101" spans="1:10" ht="26.25" hidden="1" thickBot="1" x14ac:dyDescent="0.3">
      <c r="A3101" s="235"/>
      <c r="B3101" s="238"/>
      <c r="C3101" s="155" t="s">
        <v>789</v>
      </c>
      <c r="D3101" s="33" t="s">
        <v>16</v>
      </c>
      <c r="E3101" s="34">
        <v>1</v>
      </c>
      <c r="F3101" s="28" t="s">
        <v>418</v>
      </c>
      <c r="G3101" s="31" t="str">
        <f>IF(ISNUMBER(F3101),E3101*F3101,"")</f>
        <v/>
      </c>
      <c r="H3101" s="32"/>
      <c r="I3101" s="28"/>
      <c r="J3101" s="125">
        <v>0</v>
      </c>
    </row>
    <row r="3102" spans="1:10" ht="15.75" hidden="1" thickBot="1" x14ac:dyDescent="0.3">
      <c r="A3102" s="236"/>
      <c r="B3102" s="239"/>
      <c r="C3102" s="155"/>
      <c r="D3102" s="33"/>
      <c r="E3102" s="34"/>
      <c r="F3102" s="28" t="s">
        <v>418</v>
      </c>
      <c r="G3102" s="31" t="str">
        <f>IF(ISNUMBER(F3102),E3102*F3102,"")</f>
        <v/>
      </c>
      <c r="H3102" s="32"/>
      <c r="I3102" s="28"/>
      <c r="J3102" s="125">
        <v>0</v>
      </c>
    </row>
    <row r="3103" spans="1:10" ht="15.75" hidden="1" thickBot="1" x14ac:dyDescent="0.3">
      <c r="A3103" s="234" t="s">
        <v>790</v>
      </c>
      <c r="B3103" s="237" t="s">
        <v>1732</v>
      </c>
      <c r="C3103" s="160"/>
      <c r="D3103" s="23" t="s">
        <v>16</v>
      </c>
      <c r="E3103" s="24"/>
      <c r="F3103" s="37" t="s">
        <v>418</v>
      </c>
      <c r="G3103" s="25" t="str">
        <f>IF(ISNUMBER(F3103),E3103*F3103,"")</f>
        <v/>
      </c>
      <c r="H3103" s="26"/>
      <c r="I3103" s="27"/>
      <c r="J3103" s="125">
        <v>0</v>
      </c>
    </row>
    <row r="3104" spans="1:10" ht="15.75" hidden="1" thickBot="1" x14ac:dyDescent="0.3">
      <c r="A3104" s="235"/>
      <c r="B3104" s="238"/>
      <c r="C3104" s="151"/>
      <c r="D3104" s="29"/>
      <c r="E3104" s="30"/>
      <c r="F3104" s="38" t="s">
        <v>418</v>
      </c>
      <c r="G3104" s="31" t="str">
        <f>IF(ISNUMBER(F3104),E3104*F3104,"")</f>
        <v/>
      </c>
      <c r="H3104" s="32"/>
      <c r="I3104" s="28"/>
      <c r="J3104" s="125">
        <v>0</v>
      </c>
    </row>
    <row r="3105" spans="1:10" ht="15.75" hidden="1" thickBot="1" x14ac:dyDescent="0.3">
      <c r="A3105" s="235"/>
      <c r="B3105" s="238"/>
      <c r="C3105" s="155" t="s">
        <v>9864</v>
      </c>
      <c r="D3105" s="155" t="s">
        <v>587</v>
      </c>
      <c r="E3105" s="34">
        <v>0.15</v>
      </c>
      <c r="F3105" s="31">
        <v>23.274999999999999</v>
      </c>
      <c r="G3105" s="31">
        <f>IF(ISNUMBER(F3105),E3105*F3105,"")</f>
        <v>3.4912499999999995</v>
      </c>
      <c r="H3105" s="35">
        <f>SUM(G3105:G3106)</f>
        <v>3.4912499999999995</v>
      </c>
      <c r="I3105" s="36"/>
      <c r="J3105" s="125">
        <v>0</v>
      </c>
    </row>
    <row r="3106" spans="1:10" ht="26.25" hidden="1" thickBot="1" x14ac:dyDescent="0.3">
      <c r="A3106" s="235"/>
      <c r="B3106" s="238"/>
      <c r="C3106" s="155" t="s">
        <v>791</v>
      </c>
      <c r="D3106" s="33" t="s">
        <v>16</v>
      </c>
      <c r="E3106" s="34">
        <v>1</v>
      </c>
      <c r="F3106" s="28" t="s">
        <v>418</v>
      </c>
      <c r="G3106" s="31" t="str">
        <f>IF(ISNUMBER(F3106),E3106*F3106,"")</f>
        <v/>
      </c>
      <c r="H3106" s="32"/>
      <c r="I3106" s="28"/>
      <c r="J3106" s="125">
        <v>0</v>
      </c>
    </row>
    <row r="3107" spans="1:10" ht="15.75" hidden="1" thickBot="1" x14ac:dyDescent="0.3">
      <c r="A3107" s="236"/>
      <c r="B3107" s="239"/>
      <c r="C3107" s="155"/>
      <c r="D3107" s="33"/>
      <c r="E3107" s="34"/>
      <c r="F3107" s="28" t="s">
        <v>418</v>
      </c>
      <c r="G3107" s="31" t="str">
        <f>IF(ISNUMBER(F3107),E3107*F3107,"")</f>
        <v/>
      </c>
      <c r="H3107" s="32"/>
      <c r="I3107" s="28"/>
      <c r="J3107" s="125">
        <v>0</v>
      </c>
    </row>
    <row r="3108" spans="1:10" ht="15.75" hidden="1" thickBot="1" x14ac:dyDescent="0.3">
      <c r="A3108" s="234" t="s">
        <v>792</v>
      </c>
      <c r="B3108" s="237" t="s">
        <v>1733</v>
      </c>
      <c r="C3108" s="160"/>
      <c r="D3108" s="23" t="s">
        <v>16</v>
      </c>
      <c r="E3108" s="24"/>
      <c r="F3108" s="37" t="s">
        <v>418</v>
      </c>
      <c r="G3108" s="25" t="str">
        <f>IF(ISNUMBER(F3108),E3108*F3108,"")</f>
        <v/>
      </c>
      <c r="H3108" s="26"/>
      <c r="I3108" s="27"/>
      <c r="J3108" s="125">
        <v>0</v>
      </c>
    </row>
    <row r="3109" spans="1:10" ht="15.75" hidden="1" thickBot="1" x14ac:dyDescent="0.3">
      <c r="A3109" s="235"/>
      <c r="B3109" s="238"/>
      <c r="C3109" s="151"/>
      <c r="D3109" s="29"/>
      <c r="E3109" s="30"/>
      <c r="F3109" s="38" t="s">
        <v>418</v>
      </c>
      <c r="G3109" s="31" t="str">
        <f>IF(ISNUMBER(F3109),E3109*F3109,"")</f>
        <v/>
      </c>
      <c r="H3109" s="32"/>
      <c r="I3109" s="28"/>
      <c r="J3109" s="125">
        <v>0</v>
      </c>
    </row>
    <row r="3110" spans="1:10" ht="15.75" hidden="1" thickBot="1" x14ac:dyDescent="0.3">
      <c r="A3110" s="235"/>
      <c r="B3110" s="238"/>
      <c r="C3110" s="155" t="s">
        <v>9864</v>
      </c>
      <c r="D3110" s="155" t="s">
        <v>587</v>
      </c>
      <c r="E3110" s="34">
        <v>0.15</v>
      </c>
      <c r="F3110" s="31">
        <v>23.274999999999999</v>
      </c>
      <c r="G3110" s="31">
        <f>IF(ISNUMBER(F3110),E3110*F3110,"")</f>
        <v>3.4912499999999995</v>
      </c>
      <c r="H3110" s="35">
        <f>SUM(G3110:G3111)</f>
        <v>3.4912499999999995</v>
      </c>
      <c r="I3110" s="36"/>
      <c r="J3110" s="125">
        <v>0</v>
      </c>
    </row>
    <row r="3111" spans="1:10" ht="15.75" hidden="1" thickBot="1" x14ac:dyDescent="0.3">
      <c r="A3111" s="235"/>
      <c r="B3111" s="238"/>
      <c r="C3111" s="155" t="s">
        <v>793</v>
      </c>
      <c r="D3111" s="33" t="s">
        <v>16</v>
      </c>
      <c r="E3111" s="34">
        <v>1</v>
      </c>
      <c r="F3111" s="28" t="s">
        <v>418</v>
      </c>
      <c r="G3111" s="31" t="str">
        <f>IF(ISNUMBER(F3111),E3111*F3111,"")</f>
        <v/>
      </c>
      <c r="H3111" s="32"/>
      <c r="I3111" s="28"/>
      <c r="J3111" s="125">
        <v>0</v>
      </c>
    </row>
    <row r="3112" spans="1:10" ht="15.75" hidden="1" thickBot="1" x14ac:dyDescent="0.3">
      <c r="A3112" s="236"/>
      <c r="B3112" s="239"/>
      <c r="C3112" s="155"/>
      <c r="D3112" s="33"/>
      <c r="E3112" s="34"/>
      <c r="F3112" s="28" t="s">
        <v>418</v>
      </c>
      <c r="G3112" s="31" t="str">
        <f>IF(ISNUMBER(F3112),E3112*F3112,"")</f>
        <v/>
      </c>
      <c r="H3112" s="32"/>
      <c r="I3112" s="28"/>
      <c r="J3112" s="125">
        <v>0</v>
      </c>
    </row>
    <row r="3113" spans="1:10" ht="15.75" hidden="1" thickBot="1" x14ac:dyDescent="0.3">
      <c r="A3113" s="234" t="s">
        <v>794</v>
      </c>
      <c r="B3113" s="237" t="s">
        <v>1734</v>
      </c>
      <c r="C3113" s="160"/>
      <c r="D3113" s="23" t="s">
        <v>16</v>
      </c>
      <c r="E3113" s="24"/>
      <c r="F3113" s="37" t="s">
        <v>418</v>
      </c>
      <c r="G3113" s="25" t="str">
        <f>IF(ISNUMBER(F3113),E3113*F3113,"")</f>
        <v/>
      </c>
      <c r="H3113" s="26"/>
      <c r="I3113" s="27"/>
      <c r="J3113" s="125">
        <v>0</v>
      </c>
    </row>
    <row r="3114" spans="1:10" ht="15.75" hidden="1" thickBot="1" x14ac:dyDescent="0.3">
      <c r="A3114" s="235"/>
      <c r="B3114" s="238"/>
      <c r="C3114" s="151"/>
      <c r="D3114" s="29"/>
      <c r="E3114" s="30"/>
      <c r="F3114" s="38" t="s">
        <v>418</v>
      </c>
      <c r="G3114" s="31" t="str">
        <f>IF(ISNUMBER(F3114),E3114*F3114,"")</f>
        <v/>
      </c>
      <c r="H3114" s="32"/>
      <c r="I3114" s="28"/>
      <c r="J3114" s="125">
        <v>0</v>
      </c>
    </row>
    <row r="3115" spans="1:10" ht="15.75" hidden="1" thickBot="1" x14ac:dyDescent="0.3">
      <c r="A3115" s="235"/>
      <c r="B3115" s="238"/>
      <c r="C3115" s="155" t="s">
        <v>9864</v>
      </c>
      <c r="D3115" s="155" t="s">
        <v>587</v>
      </c>
      <c r="E3115" s="34">
        <v>0.4</v>
      </c>
      <c r="F3115" s="31">
        <v>23.274999999999999</v>
      </c>
      <c r="G3115" s="31">
        <f>IF(ISNUMBER(F3115),E3115*F3115,"")</f>
        <v>9.31</v>
      </c>
      <c r="H3115" s="35">
        <f>SUM(G3115:G3116)</f>
        <v>9.31</v>
      </c>
      <c r="I3115" s="36"/>
      <c r="J3115" s="125">
        <v>0</v>
      </c>
    </row>
    <row r="3116" spans="1:10" ht="39" hidden="1" thickBot="1" x14ac:dyDescent="0.3">
      <c r="A3116" s="235"/>
      <c r="B3116" s="238"/>
      <c r="C3116" s="155" t="s">
        <v>795</v>
      </c>
      <c r="D3116" s="33" t="s">
        <v>16</v>
      </c>
      <c r="E3116" s="34">
        <v>1</v>
      </c>
      <c r="F3116" s="28" t="s">
        <v>418</v>
      </c>
      <c r="G3116" s="31" t="str">
        <f>IF(ISNUMBER(F3116),E3116*F3116,"")</f>
        <v/>
      </c>
      <c r="H3116" s="32"/>
      <c r="I3116" s="28"/>
      <c r="J3116" s="125">
        <v>0</v>
      </c>
    </row>
    <row r="3117" spans="1:10" ht="15.75" hidden="1" thickBot="1" x14ac:dyDescent="0.3">
      <c r="A3117" s="236"/>
      <c r="B3117" s="239"/>
      <c r="C3117" s="155"/>
      <c r="D3117" s="33"/>
      <c r="E3117" s="34"/>
      <c r="F3117" s="28" t="s">
        <v>418</v>
      </c>
      <c r="G3117" s="31" t="str">
        <f>IF(ISNUMBER(F3117),E3117*F3117,"")</f>
        <v/>
      </c>
      <c r="H3117" s="32"/>
      <c r="I3117" s="28"/>
      <c r="J3117" s="125">
        <v>0</v>
      </c>
    </row>
    <row r="3118" spans="1:10" ht="15.75" hidden="1" thickBot="1" x14ac:dyDescent="0.3">
      <c r="A3118" s="234" t="s">
        <v>796</v>
      </c>
      <c r="B3118" s="237" t="s">
        <v>1735</v>
      </c>
      <c r="C3118" s="160"/>
      <c r="D3118" s="23" t="s">
        <v>1736</v>
      </c>
      <c r="E3118" s="24"/>
      <c r="F3118" s="37" t="s">
        <v>418</v>
      </c>
      <c r="G3118" s="25" t="str">
        <f>IF(ISNUMBER(F3118),E3118*F3118,"")</f>
        <v/>
      </c>
      <c r="H3118" s="26"/>
      <c r="I3118" s="27"/>
      <c r="J3118" s="125">
        <v>0</v>
      </c>
    </row>
    <row r="3119" spans="1:10" ht="15.75" hidden="1" thickBot="1" x14ac:dyDescent="0.3">
      <c r="A3119" s="249"/>
      <c r="B3119" s="238"/>
      <c r="C3119" s="151"/>
      <c r="D3119" s="29"/>
      <c r="E3119" s="30"/>
      <c r="F3119" s="38" t="s">
        <v>418</v>
      </c>
      <c r="G3119" s="31" t="str">
        <f>IF(ISNUMBER(F3119),E3119*F3119,"")</f>
        <v/>
      </c>
      <c r="H3119" s="32"/>
      <c r="I3119" s="28"/>
      <c r="J3119" s="125">
        <v>0</v>
      </c>
    </row>
    <row r="3120" spans="1:10" ht="15.75" hidden="1" thickBot="1" x14ac:dyDescent="0.3">
      <c r="A3120" s="249"/>
      <c r="B3120" s="238"/>
      <c r="C3120" s="155" t="s">
        <v>588</v>
      </c>
      <c r="D3120" s="155" t="s">
        <v>587</v>
      </c>
      <c r="E3120" s="34">
        <v>2.9209999999999998</v>
      </c>
      <c r="F3120" s="31">
        <v>19.189999999999998</v>
      </c>
      <c r="G3120" s="31">
        <f>IF(ISNUMBER(F3120),E3120*F3120,"")</f>
        <v>56.053989999999992</v>
      </c>
      <c r="H3120" s="35">
        <f>SUM(G3120:G3120)</f>
        <v>56.053989999999992</v>
      </c>
      <c r="I3120" s="36"/>
      <c r="J3120" s="125">
        <v>0</v>
      </c>
    </row>
    <row r="3121" spans="1:10" ht="15.75" hidden="1" thickBot="1" x14ac:dyDescent="0.3">
      <c r="A3121" s="249"/>
      <c r="B3121" s="238"/>
      <c r="C3121" s="155"/>
      <c r="D3121" s="33"/>
      <c r="E3121" s="34"/>
      <c r="F3121" s="28" t="s">
        <v>418</v>
      </c>
      <c r="G3121" s="31" t="str">
        <f>IF(ISNUMBER(F3121),E3121*F3121,"")</f>
        <v/>
      </c>
      <c r="H3121" s="32"/>
      <c r="I3121" s="28"/>
      <c r="J3121" s="125">
        <v>0</v>
      </c>
    </row>
    <row r="3122" spans="1:10" ht="15.75" hidden="1" thickBot="1" x14ac:dyDescent="0.3">
      <c r="A3122" s="249"/>
      <c r="B3122" s="238"/>
      <c r="C3122" s="47" t="s">
        <v>767</v>
      </c>
      <c r="D3122" s="33"/>
      <c r="E3122" s="34"/>
      <c r="F3122" s="28" t="s">
        <v>418</v>
      </c>
      <c r="G3122" s="31" t="str">
        <f>IF(ISNUMBER(F3122),E3122*F3122,"")</f>
        <v/>
      </c>
      <c r="H3122" s="32"/>
      <c r="I3122" s="28"/>
      <c r="J3122" s="125">
        <v>0</v>
      </c>
    </row>
    <row r="3123" spans="1:10" ht="15.75" hidden="1" thickBot="1" x14ac:dyDescent="0.3">
      <c r="A3123" s="250"/>
      <c r="B3123" s="239"/>
      <c r="C3123" s="155"/>
      <c r="D3123" s="33"/>
      <c r="E3123" s="34"/>
      <c r="F3123" s="28" t="s">
        <v>418</v>
      </c>
      <c r="G3123" s="31" t="str">
        <f>IF(ISNUMBER(F3123),E3123*F3123,"")</f>
        <v/>
      </c>
      <c r="H3123" s="32"/>
      <c r="I3123" s="28"/>
      <c r="J3123" s="125">
        <v>0</v>
      </c>
    </row>
    <row r="3124" spans="1:10" ht="15.75" hidden="1" thickBot="1" x14ac:dyDescent="0.3">
      <c r="A3124" s="234" t="s">
        <v>797</v>
      </c>
      <c r="B3124" s="237" t="s">
        <v>19760</v>
      </c>
      <c r="C3124" s="160"/>
      <c r="D3124" s="23" t="s">
        <v>70</v>
      </c>
      <c r="E3124" s="24"/>
      <c r="F3124" s="37" t="s">
        <v>418</v>
      </c>
      <c r="G3124" s="25" t="str">
        <f>IF(ISNUMBER(F3124),E3124*F3124,"")</f>
        <v/>
      </c>
      <c r="H3124" s="26"/>
      <c r="I3124" s="27"/>
      <c r="J3124" s="125">
        <v>0</v>
      </c>
    </row>
    <row r="3125" spans="1:10" ht="15.75" hidden="1" thickBot="1" x14ac:dyDescent="0.3">
      <c r="A3125" s="235"/>
      <c r="B3125" s="238"/>
      <c r="C3125" s="151"/>
      <c r="D3125" s="29"/>
      <c r="E3125" s="30"/>
      <c r="F3125" s="38" t="s">
        <v>418</v>
      </c>
      <c r="G3125" s="31" t="str">
        <f>IF(ISNUMBER(F3125),E3125*F3125,"")</f>
        <v/>
      </c>
      <c r="H3125" s="32"/>
      <c r="I3125" s="28"/>
      <c r="J3125" s="125">
        <v>0</v>
      </c>
    </row>
    <row r="3126" spans="1:10" ht="15.75" hidden="1" thickBot="1" x14ac:dyDescent="0.3">
      <c r="A3126" s="235"/>
      <c r="B3126" s="238"/>
      <c r="C3126" s="155" t="s">
        <v>9864</v>
      </c>
      <c r="D3126" s="155" t="s">
        <v>587</v>
      </c>
      <c r="E3126" s="34">
        <v>1.5</v>
      </c>
      <c r="F3126" s="31">
        <v>23.274999999999999</v>
      </c>
      <c r="G3126" s="31">
        <f>IF(ISNUMBER(F3126),E3126*F3126,"")</f>
        <v>34.912499999999994</v>
      </c>
      <c r="H3126" s="35">
        <f>SUM(G3126:G3128)</f>
        <v>252.01599999999999</v>
      </c>
      <c r="I3126" s="36"/>
      <c r="J3126" s="125">
        <v>0</v>
      </c>
    </row>
    <row r="3127" spans="1:10" ht="15.75" hidden="1" thickBot="1" x14ac:dyDescent="0.3">
      <c r="A3127" s="235"/>
      <c r="B3127" s="238"/>
      <c r="C3127" s="155" t="s">
        <v>588</v>
      </c>
      <c r="D3127" s="155" t="s">
        <v>587</v>
      </c>
      <c r="E3127" s="34">
        <v>1</v>
      </c>
      <c r="F3127" s="31">
        <v>19.189999999999998</v>
      </c>
      <c r="G3127" s="31">
        <f>IF(ISNUMBER(F3127),E3127*F3127,"")</f>
        <v>19.189999999999998</v>
      </c>
      <c r="H3127" s="32"/>
      <c r="I3127" s="28"/>
      <c r="J3127" s="125">
        <v>0</v>
      </c>
    </row>
    <row r="3128" spans="1:10" ht="15.75" hidden="1" thickBot="1" x14ac:dyDescent="0.3">
      <c r="A3128" s="235"/>
      <c r="B3128" s="238"/>
      <c r="C3128" s="155" t="s">
        <v>798</v>
      </c>
      <c r="D3128" s="155" t="s">
        <v>870</v>
      </c>
      <c r="E3128" s="34">
        <v>1</v>
      </c>
      <c r="F3128" s="28">
        <v>197.9135</v>
      </c>
      <c r="G3128" s="31">
        <f>IF(ISNUMBER(F3128),E3128*F3128,"")</f>
        <v>197.9135</v>
      </c>
      <c r="H3128" s="32"/>
      <c r="I3128" s="28"/>
      <c r="J3128" s="125">
        <v>0</v>
      </c>
    </row>
    <row r="3129" spans="1:10" ht="15.75" hidden="1" thickBot="1" x14ac:dyDescent="0.3">
      <c r="A3129" s="236"/>
      <c r="B3129" s="239"/>
      <c r="C3129" s="155"/>
      <c r="D3129" s="33"/>
      <c r="E3129" s="34"/>
      <c r="F3129" s="28" t="s">
        <v>418</v>
      </c>
      <c r="G3129" s="31" t="str">
        <f>IF(ISNUMBER(F3129),E3129*F3129,"")</f>
        <v/>
      </c>
      <c r="H3129" s="32"/>
      <c r="I3129" s="28"/>
      <c r="J3129" s="125">
        <v>0</v>
      </c>
    </row>
    <row r="3130" spans="1:10" ht="15.75" hidden="1" thickBot="1" x14ac:dyDescent="0.3">
      <c r="A3130" s="234" t="s">
        <v>799</v>
      </c>
      <c r="B3130" s="237" t="s">
        <v>19759</v>
      </c>
      <c r="C3130" s="160"/>
      <c r="D3130" s="23" t="s">
        <v>70</v>
      </c>
      <c r="E3130" s="24"/>
      <c r="F3130" s="37" t="s">
        <v>418</v>
      </c>
      <c r="G3130" s="25" t="str">
        <f>IF(ISNUMBER(F3130),E3130*F3130,"")</f>
        <v/>
      </c>
      <c r="H3130" s="26"/>
      <c r="I3130" s="27"/>
      <c r="J3130" s="125">
        <v>0</v>
      </c>
    </row>
    <row r="3131" spans="1:10" ht="15.75" hidden="1" thickBot="1" x14ac:dyDescent="0.3">
      <c r="A3131" s="235"/>
      <c r="B3131" s="238"/>
      <c r="C3131" s="151"/>
      <c r="D3131" s="29"/>
      <c r="E3131" s="30"/>
      <c r="F3131" s="38" t="s">
        <v>418</v>
      </c>
      <c r="G3131" s="31" t="str">
        <f>IF(ISNUMBER(F3131),E3131*F3131,"")</f>
        <v/>
      </c>
      <c r="H3131" s="32"/>
      <c r="I3131" s="28"/>
      <c r="J3131" s="125">
        <v>0</v>
      </c>
    </row>
    <row r="3132" spans="1:10" ht="15.75" hidden="1" thickBot="1" x14ac:dyDescent="0.3">
      <c r="A3132" s="235"/>
      <c r="B3132" s="238"/>
      <c r="C3132" s="155" t="s">
        <v>9864</v>
      </c>
      <c r="D3132" s="155" t="s">
        <v>587</v>
      </c>
      <c r="E3132" s="34">
        <v>1.5</v>
      </c>
      <c r="F3132" s="31">
        <v>23.274999999999999</v>
      </c>
      <c r="G3132" s="31">
        <f>IF(ISNUMBER(F3132),E3132*F3132,"")</f>
        <v>34.912499999999994</v>
      </c>
      <c r="H3132" s="35">
        <f>SUM(G3132:G3134)</f>
        <v>395.94099999999992</v>
      </c>
      <c r="I3132" s="36"/>
      <c r="J3132" s="125">
        <v>0</v>
      </c>
    </row>
    <row r="3133" spans="1:10" ht="15.75" hidden="1" thickBot="1" x14ac:dyDescent="0.3">
      <c r="A3133" s="235"/>
      <c r="B3133" s="238"/>
      <c r="C3133" s="155" t="s">
        <v>588</v>
      </c>
      <c r="D3133" s="155" t="s">
        <v>587</v>
      </c>
      <c r="E3133" s="34">
        <v>1</v>
      </c>
      <c r="F3133" s="31">
        <v>19.189999999999998</v>
      </c>
      <c r="G3133" s="31">
        <f>IF(ISNUMBER(F3133),E3133*F3133,"")</f>
        <v>19.189999999999998</v>
      </c>
      <c r="H3133" s="32"/>
      <c r="I3133" s="28"/>
      <c r="J3133" s="125">
        <v>0</v>
      </c>
    </row>
    <row r="3134" spans="1:10" ht="15.75" hidden="1" thickBot="1" x14ac:dyDescent="0.3">
      <c r="A3134" s="235"/>
      <c r="B3134" s="238"/>
      <c r="C3134" s="155" t="s">
        <v>800</v>
      </c>
      <c r="D3134" s="155" t="s">
        <v>870</v>
      </c>
      <c r="E3134" s="34">
        <v>1</v>
      </c>
      <c r="F3134" s="28">
        <v>341.83849999999995</v>
      </c>
      <c r="G3134" s="31">
        <f>IF(ISNUMBER(F3134),E3134*F3134,"")</f>
        <v>341.83849999999995</v>
      </c>
      <c r="H3134" s="32"/>
      <c r="I3134" s="28"/>
      <c r="J3134" s="125">
        <v>0</v>
      </c>
    </row>
    <row r="3135" spans="1:10" ht="15.75" hidden="1" thickBot="1" x14ac:dyDescent="0.3">
      <c r="A3135" s="236"/>
      <c r="B3135" s="239"/>
      <c r="C3135" s="155"/>
      <c r="D3135" s="33"/>
      <c r="E3135" s="34"/>
      <c r="F3135" s="28" t="s">
        <v>418</v>
      </c>
      <c r="G3135" s="31" t="str">
        <f>IF(ISNUMBER(F3135),E3135*F3135,"")</f>
        <v/>
      </c>
      <c r="H3135" s="32"/>
      <c r="I3135" s="28"/>
      <c r="J3135" s="125">
        <v>0</v>
      </c>
    </row>
    <row r="3136" spans="1:10" ht="15.75" hidden="1" thickBot="1" x14ac:dyDescent="0.3">
      <c r="A3136" s="234" t="s">
        <v>801</v>
      </c>
      <c r="B3136" s="237" t="s">
        <v>1737</v>
      </c>
      <c r="C3136" s="160"/>
      <c r="D3136" s="23" t="s">
        <v>69</v>
      </c>
      <c r="E3136" s="24"/>
      <c r="F3136" s="37" t="s">
        <v>418</v>
      </c>
      <c r="G3136" s="25" t="str">
        <f>IF(ISNUMBER(F3136),E3136*F3136,"")</f>
        <v/>
      </c>
      <c r="H3136" s="26"/>
      <c r="I3136" s="27"/>
      <c r="J3136" s="125">
        <v>0</v>
      </c>
    </row>
    <row r="3137" spans="1:10" ht="15.75" hidden="1" thickBot="1" x14ac:dyDescent="0.3">
      <c r="A3137" s="235"/>
      <c r="B3137" s="238"/>
      <c r="C3137" s="151"/>
      <c r="D3137" s="29"/>
      <c r="E3137" s="30"/>
      <c r="F3137" s="38" t="s">
        <v>418</v>
      </c>
      <c r="G3137" s="31" t="str">
        <f>IF(ISNUMBER(F3137),E3137*F3137,"")</f>
        <v/>
      </c>
      <c r="H3137" s="32"/>
      <c r="I3137" s="28"/>
      <c r="J3137" s="125">
        <v>0</v>
      </c>
    </row>
    <row r="3138" spans="1:10" ht="15.75" hidden="1" thickBot="1" x14ac:dyDescent="0.3">
      <c r="A3138" s="235"/>
      <c r="B3138" s="238"/>
      <c r="C3138" s="155" t="s">
        <v>9864</v>
      </c>
      <c r="D3138" s="155" t="s">
        <v>587</v>
      </c>
      <c r="E3138" s="34">
        <v>0.5</v>
      </c>
      <c r="F3138" s="31">
        <v>23.274999999999999</v>
      </c>
      <c r="G3138" s="31">
        <f>IF(ISNUMBER(F3138),E3138*F3138,"")</f>
        <v>11.637499999999999</v>
      </c>
      <c r="H3138" s="35">
        <f>SUM(G3138:G3140)</f>
        <v>46.664000000000001</v>
      </c>
      <c r="I3138" s="36"/>
      <c r="J3138" s="125">
        <v>0</v>
      </c>
    </row>
    <row r="3139" spans="1:10" ht="15.75" hidden="1" thickBot="1" x14ac:dyDescent="0.3">
      <c r="A3139" s="235"/>
      <c r="B3139" s="238"/>
      <c r="C3139" s="155" t="s">
        <v>588</v>
      </c>
      <c r="D3139" s="155" t="s">
        <v>587</v>
      </c>
      <c r="E3139" s="34">
        <v>0.25</v>
      </c>
      <c r="F3139" s="31">
        <v>19.189999999999998</v>
      </c>
      <c r="G3139" s="31">
        <f>IF(ISNUMBER(F3139),E3139*F3139,"")</f>
        <v>4.7974999999999994</v>
      </c>
      <c r="H3139" s="32"/>
      <c r="I3139" s="28"/>
      <c r="J3139" s="125">
        <v>0</v>
      </c>
    </row>
    <row r="3140" spans="1:10" ht="15.75" hidden="1" thickBot="1" x14ac:dyDescent="0.3">
      <c r="A3140" s="235"/>
      <c r="B3140" s="238"/>
      <c r="C3140" s="155" t="s">
        <v>26453</v>
      </c>
      <c r="D3140" s="155" t="s">
        <v>774</v>
      </c>
      <c r="E3140" s="34">
        <v>2</v>
      </c>
      <c r="F3140" s="28">
        <v>15.1145</v>
      </c>
      <c r="G3140" s="31">
        <f>IF(ISNUMBER(F3140),E3140*F3140,"")</f>
        <v>30.228999999999999</v>
      </c>
      <c r="H3140" s="32"/>
      <c r="I3140" s="28"/>
      <c r="J3140" s="125">
        <v>0</v>
      </c>
    </row>
    <row r="3141" spans="1:10" ht="15.75" hidden="1" thickBot="1" x14ac:dyDescent="0.3">
      <c r="A3141" s="236"/>
      <c r="B3141" s="239"/>
      <c r="C3141" s="155"/>
      <c r="D3141" s="33"/>
      <c r="E3141" s="34"/>
      <c r="F3141" s="28" t="s">
        <v>418</v>
      </c>
      <c r="G3141" s="31" t="str">
        <f>IF(ISNUMBER(F3141),E3141*F3141,"")</f>
        <v/>
      </c>
      <c r="H3141" s="32"/>
      <c r="I3141" s="28"/>
      <c r="J3141" s="125">
        <v>0</v>
      </c>
    </row>
    <row r="3142" spans="1:10" ht="15.75" hidden="1" thickBot="1" x14ac:dyDescent="0.3">
      <c r="A3142" s="234" t="s">
        <v>802</v>
      </c>
      <c r="B3142" s="237" t="s">
        <v>1738</v>
      </c>
      <c r="C3142" s="160"/>
      <c r="D3142" s="23" t="s">
        <v>70</v>
      </c>
      <c r="E3142" s="24"/>
      <c r="F3142" s="37" t="s">
        <v>418</v>
      </c>
      <c r="G3142" s="25" t="str">
        <f>IF(ISNUMBER(F3142),E3142*F3142,"")</f>
        <v/>
      </c>
      <c r="H3142" s="26"/>
      <c r="I3142" s="27"/>
      <c r="J3142" s="125">
        <v>0</v>
      </c>
    </row>
    <row r="3143" spans="1:10" ht="15.75" hidden="1" thickBot="1" x14ac:dyDescent="0.3">
      <c r="A3143" s="235"/>
      <c r="B3143" s="238"/>
      <c r="C3143" s="151"/>
      <c r="D3143" s="29"/>
      <c r="E3143" s="30"/>
      <c r="F3143" s="38" t="s">
        <v>418</v>
      </c>
      <c r="G3143" s="31" t="str">
        <f>IF(ISNUMBER(F3143),E3143*F3143,"")</f>
        <v/>
      </c>
      <c r="H3143" s="32"/>
      <c r="I3143" s="28"/>
      <c r="J3143" s="125">
        <v>0</v>
      </c>
    </row>
    <row r="3144" spans="1:10" ht="15.75" hidden="1" thickBot="1" x14ac:dyDescent="0.3">
      <c r="A3144" s="235"/>
      <c r="B3144" s="238"/>
      <c r="C3144" s="155" t="s">
        <v>588</v>
      </c>
      <c r="D3144" s="155" t="s">
        <v>587</v>
      </c>
      <c r="E3144" s="34">
        <v>1</v>
      </c>
      <c r="F3144" s="31">
        <v>19.189999999999998</v>
      </c>
      <c r="G3144" s="31">
        <f>IF(ISNUMBER(F3144),E3144*F3144,"")</f>
        <v>19.189999999999998</v>
      </c>
      <c r="H3144" s="35">
        <f>SUM(G3144:G3145)</f>
        <v>54.102499999999992</v>
      </c>
      <c r="I3144" s="36"/>
      <c r="J3144" s="125">
        <v>0</v>
      </c>
    </row>
    <row r="3145" spans="1:10" ht="15.75" hidden="1" thickBot="1" x14ac:dyDescent="0.3">
      <c r="A3145" s="235"/>
      <c r="B3145" s="238"/>
      <c r="C3145" s="155" t="s">
        <v>9864</v>
      </c>
      <c r="D3145" s="155" t="s">
        <v>587</v>
      </c>
      <c r="E3145" s="34">
        <v>1.5</v>
      </c>
      <c r="F3145" s="31">
        <v>23.274999999999999</v>
      </c>
      <c r="G3145" s="31">
        <f>IF(ISNUMBER(F3145),E3145*F3145,"")</f>
        <v>34.912499999999994</v>
      </c>
      <c r="H3145" s="32"/>
      <c r="I3145" s="28"/>
      <c r="J3145" s="125">
        <v>0</v>
      </c>
    </row>
    <row r="3146" spans="1:10" ht="15.75" hidden="1" thickBot="1" x14ac:dyDescent="0.3">
      <c r="A3146" s="236"/>
      <c r="B3146" s="239"/>
      <c r="C3146" s="155"/>
      <c r="D3146" s="33"/>
      <c r="E3146" s="34"/>
      <c r="F3146" s="28" t="s">
        <v>418</v>
      </c>
      <c r="G3146" s="31" t="str">
        <f>IF(ISNUMBER(F3146),E3146*F3146,"")</f>
        <v/>
      </c>
      <c r="H3146" s="32"/>
      <c r="I3146" s="28"/>
      <c r="J3146" s="125">
        <v>0</v>
      </c>
    </row>
    <row r="3147" spans="1:10" ht="15.75" hidden="1" thickBot="1" x14ac:dyDescent="0.3">
      <c r="A3147" s="234" t="s">
        <v>803</v>
      </c>
      <c r="B3147" s="237" t="s">
        <v>804</v>
      </c>
      <c r="C3147" s="160"/>
      <c r="D3147" s="23" t="s">
        <v>70</v>
      </c>
      <c r="E3147" s="24"/>
      <c r="F3147" s="37" t="s">
        <v>418</v>
      </c>
      <c r="G3147" s="25" t="str">
        <f>IF(ISNUMBER(F3147),E3147*F3147,"")</f>
        <v/>
      </c>
      <c r="H3147" s="26"/>
      <c r="I3147" s="27"/>
      <c r="J3147" s="125">
        <v>0</v>
      </c>
    </row>
    <row r="3148" spans="1:10" ht="15.75" hidden="1" thickBot="1" x14ac:dyDescent="0.3">
      <c r="A3148" s="235"/>
      <c r="B3148" s="238"/>
      <c r="C3148" s="151"/>
      <c r="D3148" s="29"/>
      <c r="E3148" s="30"/>
      <c r="F3148" s="38" t="s">
        <v>418</v>
      </c>
      <c r="G3148" s="31" t="str">
        <f>IF(ISNUMBER(F3148),E3148*F3148,"")</f>
        <v/>
      </c>
      <c r="H3148" s="32"/>
      <c r="I3148" s="28"/>
      <c r="J3148" s="125">
        <v>0</v>
      </c>
    </row>
    <row r="3149" spans="1:10" ht="15.75" hidden="1" thickBot="1" x14ac:dyDescent="0.3">
      <c r="A3149" s="235"/>
      <c r="B3149" s="238"/>
      <c r="C3149" s="155" t="s">
        <v>804</v>
      </c>
      <c r="D3149" s="42" t="s">
        <v>70</v>
      </c>
      <c r="E3149" s="34">
        <v>1</v>
      </c>
      <c r="F3149" s="31" t="s">
        <v>418</v>
      </c>
      <c r="G3149" s="31" t="str">
        <f>IF(ISNUMBER(F3149),E3149*F3149,"")</f>
        <v/>
      </c>
      <c r="H3149" s="35">
        <f>SUM(G3149:G3151)</f>
        <v>54.102499999999992</v>
      </c>
      <c r="I3149" s="36"/>
      <c r="J3149" s="125">
        <v>0</v>
      </c>
    </row>
    <row r="3150" spans="1:10" ht="15.75" hidden="1" thickBot="1" x14ac:dyDescent="0.3">
      <c r="A3150" s="235"/>
      <c r="B3150" s="238"/>
      <c r="C3150" s="155" t="s">
        <v>588</v>
      </c>
      <c r="D3150" s="155" t="s">
        <v>587</v>
      </c>
      <c r="E3150" s="34">
        <v>1</v>
      </c>
      <c r="F3150" s="28">
        <v>19.189999999999998</v>
      </c>
      <c r="G3150" s="31">
        <f>IF(ISNUMBER(F3150),E3150*F3150,"")</f>
        <v>19.189999999999998</v>
      </c>
      <c r="H3150" s="32"/>
      <c r="I3150" s="28"/>
      <c r="J3150" s="125">
        <v>0</v>
      </c>
    </row>
    <row r="3151" spans="1:10" ht="15.75" hidden="1" thickBot="1" x14ac:dyDescent="0.3">
      <c r="A3151" s="235"/>
      <c r="B3151" s="238"/>
      <c r="C3151" s="155" t="s">
        <v>9864</v>
      </c>
      <c r="D3151" s="155" t="s">
        <v>587</v>
      </c>
      <c r="E3151" s="34">
        <v>1.5</v>
      </c>
      <c r="F3151" s="28">
        <v>23.274999999999999</v>
      </c>
      <c r="G3151" s="31">
        <f>IF(ISNUMBER(F3151),E3151*F3151,"")</f>
        <v>34.912499999999994</v>
      </c>
      <c r="H3151" s="32"/>
      <c r="I3151" s="28"/>
      <c r="J3151" s="125">
        <v>0</v>
      </c>
    </row>
    <row r="3152" spans="1:10" ht="15.75" hidden="1" thickBot="1" x14ac:dyDescent="0.3">
      <c r="A3152" s="236"/>
      <c r="B3152" s="239"/>
      <c r="C3152" s="155"/>
      <c r="D3152" s="33"/>
      <c r="E3152" s="34"/>
      <c r="F3152" s="28" t="s">
        <v>418</v>
      </c>
      <c r="G3152" s="31" t="str">
        <f>IF(ISNUMBER(F3152),E3152*F3152,"")</f>
        <v/>
      </c>
      <c r="H3152" s="32"/>
      <c r="I3152" s="28"/>
      <c r="J3152" s="125">
        <v>0</v>
      </c>
    </row>
    <row r="3153" spans="1:10" ht="15.75" hidden="1" thickBot="1" x14ac:dyDescent="0.3">
      <c r="A3153" s="234" t="s">
        <v>805</v>
      </c>
      <c r="B3153" s="237" t="s">
        <v>1739</v>
      </c>
      <c r="C3153" s="160"/>
      <c r="D3153" s="23" t="s">
        <v>16</v>
      </c>
      <c r="E3153" s="24"/>
      <c r="F3153" s="37" t="s">
        <v>418</v>
      </c>
      <c r="G3153" s="25" t="str">
        <f>IF(ISNUMBER(F3153),E3153*F3153,"")</f>
        <v/>
      </c>
      <c r="H3153" s="26"/>
      <c r="I3153" s="27"/>
      <c r="J3153" s="125">
        <v>0</v>
      </c>
    </row>
    <row r="3154" spans="1:10" ht="15.75" hidden="1" thickBot="1" x14ac:dyDescent="0.3">
      <c r="A3154" s="235"/>
      <c r="B3154" s="238"/>
      <c r="C3154" s="151"/>
      <c r="D3154" s="29"/>
      <c r="E3154" s="30"/>
      <c r="F3154" s="38" t="s">
        <v>418</v>
      </c>
      <c r="G3154" s="31" t="str">
        <f>IF(ISNUMBER(F3154),E3154*F3154,"")</f>
        <v/>
      </c>
      <c r="H3154" s="32"/>
      <c r="I3154" s="28"/>
      <c r="J3154" s="125">
        <v>0</v>
      </c>
    </row>
    <row r="3155" spans="1:10" ht="15.75" hidden="1" thickBot="1" x14ac:dyDescent="0.3">
      <c r="A3155" s="235"/>
      <c r="B3155" s="238"/>
      <c r="C3155" s="155" t="s">
        <v>9864</v>
      </c>
      <c r="D3155" s="155" t="s">
        <v>587</v>
      </c>
      <c r="E3155" s="34">
        <v>0.1</v>
      </c>
      <c r="F3155" s="31">
        <v>23.274999999999999</v>
      </c>
      <c r="G3155" s="31">
        <f>IF(ISNUMBER(F3155),E3155*F3155,"")</f>
        <v>2.3275000000000001</v>
      </c>
      <c r="H3155" s="35">
        <f>SUM(G3155:G3156)</f>
        <v>9.766</v>
      </c>
      <c r="I3155" s="36"/>
      <c r="J3155" s="125">
        <v>0</v>
      </c>
    </row>
    <row r="3156" spans="1:10" ht="26.25" hidden="1" thickBot="1" x14ac:dyDescent="0.3">
      <c r="A3156" s="235"/>
      <c r="B3156" s="238"/>
      <c r="C3156" s="155" t="s">
        <v>26723</v>
      </c>
      <c r="D3156" s="155" t="s">
        <v>205</v>
      </c>
      <c r="E3156" s="34">
        <v>1</v>
      </c>
      <c r="F3156" s="28">
        <v>7.4384999999999994</v>
      </c>
      <c r="G3156" s="31">
        <f>IF(ISNUMBER(F3156),E3156*F3156,"")</f>
        <v>7.4384999999999994</v>
      </c>
      <c r="H3156" s="32"/>
      <c r="I3156" s="28"/>
      <c r="J3156" s="125">
        <v>0</v>
      </c>
    </row>
    <row r="3157" spans="1:10" ht="15.75" hidden="1" thickBot="1" x14ac:dyDescent="0.3">
      <c r="A3157" s="236"/>
      <c r="B3157" s="239"/>
      <c r="C3157" s="155"/>
      <c r="D3157" s="33"/>
      <c r="E3157" s="34"/>
      <c r="F3157" s="28" t="s">
        <v>418</v>
      </c>
      <c r="G3157" s="31" t="str">
        <f>IF(ISNUMBER(F3157),E3157*F3157,"")</f>
        <v/>
      </c>
      <c r="H3157" s="32"/>
      <c r="I3157" s="28"/>
      <c r="J3157" s="125">
        <v>0</v>
      </c>
    </row>
    <row r="3158" spans="1:10" ht="15.75" hidden="1" thickBot="1" x14ac:dyDescent="0.3">
      <c r="A3158" s="234" t="s">
        <v>806</v>
      </c>
      <c r="B3158" s="237" t="s">
        <v>13466</v>
      </c>
      <c r="C3158" s="160"/>
      <c r="D3158" s="23" t="s">
        <v>81</v>
      </c>
      <c r="E3158" s="24"/>
      <c r="F3158" s="37" t="s">
        <v>418</v>
      </c>
      <c r="G3158" s="25" t="str">
        <f>IF(ISNUMBER(F3158),E3158*F3158,"")</f>
        <v/>
      </c>
      <c r="H3158" s="26"/>
      <c r="I3158" s="27"/>
      <c r="J3158" s="125">
        <v>0</v>
      </c>
    </row>
    <row r="3159" spans="1:10" ht="15.75" hidden="1" thickBot="1" x14ac:dyDescent="0.3">
      <c r="A3159" s="235"/>
      <c r="B3159" s="238"/>
      <c r="C3159" s="151"/>
      <c r="D3159" s="29"/>
      <c r="E3159" s="30"/>
      <c r="F3159" s="38" t="s">
        <v>418</v>
      </c>
      <c r="G3159" s="31" t="str">
        <f>IF(ISNUMBER(F3159),E3159*F3159,"")</f>
        <v/>
      </c>
      <c r="H3159" s="32"/>
      <c r="I3159" s="28"/>
      <c r="J3159" s="125">
        <v>0</v>
      </c>
    </row>
    <row r="3160" spans="1:10" ht="15.75" hidden="1" thickBot="1" x14ac:dyDescent="0.3">
      <c r="A3160" s="235"/>
      <c r="B3160" s="238"/>
      <c r="C3160" s="155" t="s">
        <v>595</v>
      </c>
      <c r="D3160" s="155" t="s">
        <v>587</v>
      </c>
      <c r="E3160" s="34">
        <v>4.8468999999999998</v>
      </c>
      <c r="F3160" s="28">
        <v>25.65</v>
      </c>
      <c r="G3160" s="31">
        <f>IF(ISNUMBER(F3160),E3160*F3160,"")</f>
        <v>124.32298499999999</v>
      </c>
      <c r="H3160" s="35">
        <f>SUM(G3160:G3162)</f>
        <v>4429.0316319999993</v>
      </c>
      <c r="I3160" s="36"/>
      <c r="J3160" s="125">
        <v>0</v>
      </c>
    </row>
    <row r="3161" spans="1:10" ht="15.75" hidden="1" thickBot="1" x14ac:dyDescent="0.3">
      <c r="A3161" s="235"/>
      <c r="B3161" s="238"/>
      <c r="C3161" s="155" t="s">
        <v>588</v>
      </c>
      <c r="D3161" s="155" t="s">
        <v>587</v>
      </c>
      <c r="E3161" s="34">
        <v>3.2313000000000001</v>
      </c>
      <c r="F3161" s="28">
        <v>19.189999999999998</v>
      </c>
      <c r="G3161" s="31">
        <f>IF(ISNUMBER(F3161),E3161*F3161,"")</f>
        <v>62.008646999999996</v>
      </c>
      <c r="H3161" s="32"/>
      <c r="I3161" s="28"/>
      <c r="J3161" s="125">
        <v>0</v>
      </c>
    </row>
    <row r="3162" spans="1:10" ht="15.75" hidden="1" thickBot="1" x14ac:dyDescent="0.3">
      <c r="A3162" s="235"/>
      <c r="B3162" s="238"/>
      <c r="C3162" s="155" t="s">
        <v>807</v>
      </c>
      <c r="D3162" s="155" t="s">
        <v>774</v>
      </c>
      <c r="E3162" s="34">
        <v>2200</v>
      </c>
      <c r="F3162" s="28">
        <v>1.9284999999999997</v>
      </c>
      <c r="G3162" s="31">
        <f>IF(ISNUMBER(F3162),E3162*F3162,"")</f>
        <v>4242.6999999999989</v>
      </c>
      <c r="H3162" s="32"/>
      <c r="I3162" s="28"/>
      <c r="J3162" s="125">
        <v>0</v>
      </c>
    </row>
    <row r="3163" spans="1:10" ht="15.75" hidden="1" thickBot="1" x14ac:dyDescent="0.3">
      <c r="A3163" s="235"/>
      <c r="B3163" s="238"/>
      <c r="C3163" s="155"/>
      <c r="D3163" s="42"/>
      <c r="E3163" s="34"/>
      <c r="F3163" s="28" t="s">
        <v>418</v>
      </c>
      <c r="G3163" s="31"/>
      <c r="H3163" s="32"/>
      <c r="I3163" s="28"/>
      <c r="J3163" s="125">
        <v>0</v>
      </c>
    </row>
    <row r="3164" spans="1:10" ht="26.25" hidden="1" thickBot="1" x14ac:dyDescent="0.3">
      <c r="A3164" s="235"/>
      <c r="B3164" s="238"/>
      <c r="C3164" s="43" t="s">
        <v>14591</v>
      </c>
      <c r="D3164" s="42"/>
      <c r="E3164" s="34"/>
      <c r="F3164" s="28" t="s">
        <v>418</v>
      </c>
      <c r="G3164" s="31"/>
      <c r="H3164" s="32"/>
      <c r="I3164" s="28"/>
      <c r="J3164" s="125">
        <v>0</v>
      </c>
    </row>
    <row r="3165" spans="1:10" ht="30.75" hidden="1" thickBot="1" x14ac:dyDescent="0.3">
      <c r="A3165" s="235"/>
      <c r="B3165" s="238"/>
      <c r="C3165" s="141" t="s">
        <v>14592</v>
      </c>
      <c r="D3165" s="42"/>
      <c r="E3165" s="34"/>
      <c r="F3165" s="28" t="s">
        <v>418</v>
      </c>
      <c r="G3165" s="31"/>
      <c r="H3165" s="32"/>
      <c r="I3165" s="28"/>
      <c r="J3165" s="125">
        <v>0</v>
      </c>
    </row>
    <row r="3166" spans="1:10" ht="15.75" hidden="1" thickBot="1" x14ac:dyDescent="0.3">
      <c r="A3166" s="236"/>
      <c r="B3166" s="239"/>
      <c r="C3166" s="155"/>
      <c r="D3166" s="33"/>
      <c r="E3166" s="34"/>
      <c r="F3166" s="28" t="s">
        <v>418</v>
      </c>
      <c r="G3166" s="31" t="str">
        <f>IF(ISNUMBER(F3166),E3166*F3166,"")</f>
        <v/>
      </c>
      <c r="H3166" s="32"/>
      <c r="I3166" s="28"/>
      <c r="J3166" s="125">
        <v>0</v>
      </c>
    </row>
    <row r="3167" spans="1:10" ht="15.75" hidden="1" thickBot="1" x14ac:dyDescent="0.3">
      <c r="A3167" s="234" t="s">
        <v>808</v>
      </c>
      <c r="B3167" s="237" t="s">
        <v>13505</v>
      </c>
      <c r="C3167" s="160"/>
      <c r="D3167" s="23" t="s">
        <v>28</v>
      </c>
      <c r="E3167" s="24"/>
      <c r="F3167" s="37" t="s">
        <v>418</v>
      </c>
      <c r="G3167" s="25" t="str">
        <f>IF(ISNUMBER(F3167),E3167*F3167,"")</f>
        <v/>
      </c>
      <c r="H3167" s="26"/>
      <c r="I3167" s="27"/>
      <c r="J3167" s="125">
        <v>0</v>
      </c>
    </row>
    <row r="3168" spans="1:10" ht="15.75" hidden="1" thickBot="1" x14ac:dyDescent="0.3">
      <c r="A3168" s="235"/>
      <c r="B3168" s="238"/>
      <c r="C3168" s="151"/>
      <c r="D3168" s="29"/>
      <c r="E3168" s="30"/>
      <c r="F3168" s="38" t="s">
        <v>418</v>
      </c>
      <c r="G3168" s="31" t="str">
        <f>IF(ISNUMBER(F3168),E3168*F3168,"")</f>
        <v/>
      </c>
      <c r="H3168" s="32"/>
      <c r="I3168" s="28"/>
      <c r="J3168" s="125">
        <v>0</v>
      </c>
    </row>
    <row r="3169" spans="1:10" ht="39" hidden="1" thickBot="1" x14ac:dyDescent="0.3">
      <c r="A3169" s="235"/>
      <c r="B3169" s="238"/>
      <c r="C3169" s="155" t="s">
        <v>775</v>
      </c>
      <c r="D3169" s="155" t="s">
        <v>205</v>
      </c>
      <c r="E3169" s="34">
        <v>0.36699999999999999</v>
      </c>
      <c r="F3169" s="28">
        <v>0.20899999999999999</v>
      </c>
      <c r="G3169" s="31">
        <f>IF(ISNUMBER(F3169),E3169*F3169,"")</f>
        <v>7.6702999999999993E-2</v>
      </c>
      <c r="H3169" s="35">
        <f>SUM(G3169:G3173)</f>
        <v>11.094993000000001</v>
      </c>
      <c r="I3169" s="36"/>
      <c r="J3169" s="125">
        <v>0</v>
      </c>
    </row>
    <row r="3170" spans="1:10" ht="26.25" hidden="1" thickBot="1" x14ac:dyDescent="0.3">
      <c r="A3170" s="235"/>
      <c r="B3170" s="238"/>
      <c r="C3170" s="155" t="s">
        <v>10385</v>
      </c>
      <c r="D3170" s="155" t="s">
        <v>774</v>
      </c>
      <c r="E3170" s="34">
        <v>2.5000000000000001E-2</v>
      </c>
      <c r="F3170" s="28">
        <v>26.41</v>
      </c>
      <c r="G3170" s="31">
        <f>IF(ISNUMBER(F3170),E3170*F3170,"")</f>
        <v>0.66025</v>
      </c>
      <c r="H3170" s="32"/>
      <c r="I3170" s="28"/>
      <c r="J3170" s="125">
        <v>0</v>
      </c>
    </row>
    <row r="3171" spans="1:10" ht="15.75" hidden="1" thickBot="1" x14ac:dyDescent="0.3">
      <c r="A3171" s="235"/>
      <c r="B3171" s="238"/>
      <c r="C3171" s="155" t="s">
        <v>776</v>
      </c>
      <c r="D3171" s="155" t="s">
        <v>587</v>
      </c>
      <c r="E3171" s="34">
        <v>4.1999999999999997E-3</v>
      </c>
      <c r="F3171" s="28">
        <v>18.201999999999998</v>
      </c>
      <c r="G3171" s="31">
        <f>IF(ISNUMBER(F3171),E3171*F3171,"")</f>
        <v>7.6448399999999986E-2</v>
      </c>
      <c r="H3171" s="32"/>
      <c r="I3171" s="28"/>
      <c r="J3171" s="125">
        <v>0</v>
      </c>
    </row>
    <row r="3172" spans="1:10" ht="15.75" hidden="1" thickBot="1" x14ac:dyDescent="0.3">
      <c r="A3172" s="235"/>
      <c r="B3172" s="238"/>
      <c r="C3172" s="155" t="s">
        <v>777</v>
      </c>
      <c r="D3172" s="155" t="s">
        <v>587</v>
      </c>
      <c r="E3172" s="34">
        <v>2.5700000000000001E-2</v>
      </c>
      <c r="F3172" s="28">
        <v>25.46</v>
      </c>
      <c r="G3172" s="31">
        <f>IF(ISNUMBER(F3172),E3172*F3172,"")</f>
        <v>0.65432200000000007</v>
      </c>
      <c r="H3172" s="32"/>
      <c r="I3172" s="28"/>
      <c r="J3172" s="125">
        <v>0</v>
      </c>
    </row>
    <row r="3173" spans="1:10" ht="15.75" hidden="1" thickBot="1" x14ac:dyDescent="0.3">
      <c r="A3173" s="235"/>
      <c r="B3173" s="238"/>
      <c r="C3173" s="155" t="s">
        <v>16448</v>
      </c>
      <c r="D3173" s="155" t="s">
        <v>774</v>
      </c>
      <c r="E3173" s="34">
        <v>1</v>
      </c>
      <c r="F3173" s="28">
        <v>9.6272696</v>
      </c>
      <c r="G3173" s="31">
        <f>IF(ISNUMBER(F3173),E3173*F3173,"")</f>
        <v>9.6272696</v>
      </c>
      <c r="H3173" s="32"/>
      <c r="I3173" s="28"/>
      <c r="J3173" s="125">
        <v>0</v>
      </c>
    </row>
    <row r="3174" spans="1:10" ht="15.75" hidden="1" thickBot="1" x14ac:dyDescent="0.3">
      <c r="A3174" s="236"/>
      <c r="B3174" s="239"/>
      <c r="C3174" s="155"/>
      <c r="D3174" s="33"/>
      <c r="E3174" s="34"/>
      <c r="F3174" s="28" t="s">
        <v>418</v>
      </c>
      <c r="G3174" s="31" t="str">
        <f>IF(ISNUMBER(F3174),E3174*F3174,"")</f>
        <v/>
      </c>
      <c r="H3174" s="32"/>
      <c r="I3174" s="28"/>
      <c r="J3174" s="125">
        <v>0</v>
      </c>
    </row>
    <row r="3175" spans="1:10" ht="15.75" hidden="1" thickBot="1" x14ac:dyDescent="0.3">
      <c r="A3175" s="234" t="s">
        <v>809</v>
      </c>
      <c r="B3175" s="237" t="s">
        <v>13506</v>
      </c>
      <c r="C3175" s="160"/>
      <c r="D3175" s="23" t="s">
        <v>28</v>
      </c>
      <c r="E3175" s="24"/>
      <c r="F3175" s="37" t="s">
        <v>418</v>
      </c>
      <c r="G3175" s="25" t="str">
        <f>IF(ISNUMBER(F3175),E3175*F3175,"")</f>
        <v/>
      </c>
      <c r="H3175" s="26"/>
      <c r="I3175" s="27"/>
      <c r="J3175" s="125">
        <v>0</v>
      </c>
    </row>
    <row r="3176" spans="1:10" ht="15.75" hidden="1" thickBot="1" x14ac:dyDescent="0.3">
      <c r="A3176" s="235"/>
      <c r="B3176" s="238"/>
      <c r="C3176" s="151"/>
      <c r="D3176" s="29"/>
      <c r="E3176" s="30"/>
      <c r="F3176" s="38" t="s">
        <v>418</v>
      </c>
      <c r="G3176" s="31" t="str">
        <f>IF(ISNUMBER(F3176),E3176*F3176,"")</f>
        <v/>
      </c>
      <c r="H3176" s="32"/>
      <c r="I3176" s="28"/>
      <c r="J3176" s="125">
        <v>0</v>
      </c>
    </row>
    <row r="3177" spans="1:10" ht="39" hidden="1" thickBot="1" x14ac:dyDescent="0.3">
      <c r="A3177" s="235"/>
      <c r="B3177" s="238"/>
      <c r="C3177" s="155" t="s">
        <v>775</v>
      </c>
      <c r="D3177" s="155" t="s">
        <v>205</v>
      </c>
      <c r="E3177" s="34">
        <v>0.21199999999999999</v>
      </c>
      <c r="F3177" s="28">
        <v>0.20899999999999999</v>
      </c>
      <c r="G3177" s="31">
        <f>IF(ISNUMBER(F3177),E3177*F3177,"")</f>
        <v>4.4308E-2</v>
      </c>
      <c r="H3177" s="35">
        <f>SUM(G3177:G3181)</f>
        <v>10.8108784</v>
      </c>
      <c r="I3177" s="36"/>
      <c r="J3177" s="125">
        <v>0</v>
      </c>
    </row>
    <row r="3178" spans="1:10" ht="26.25" hidden="1" thickBot="1" x14ac:dyDescent="0.3">
      <c r="A3178" s="235"/>
      <c r="B3178" s="238"/>
      <c r="C3178" s="155" t="s">
        <v>10385</v>
      </c>
      <c r="D3178" s="155" t="s">
        <v>774</v>
      </c>
      <c r="E3178" s="34">
        <v>2.5000000000000001E-2</v>
      </c>
      <c r="F3178" s="28">
        <v>26.41</v>
      </c>
      <c r="G3178" s="31">
        <f>IF(ISNUMBER(F3178),E3178*F3178,"")</f>
        <v>0.66025</v>
      </c>
      <c r="H3178" s="32"/>
      <c r="I3178" s="28"/>
      <c r="J3178" s="125">
        <v>0</v>
      </c>
    </row>
    <row r="3179" spans="1:10" ht="15.75" hidden="1" thickBot="1" x14ac:dyDescent="0.3">
      <c r="A3179" s="235"/>
      <c r="B3179" s="238"/>
      <c r="C3179" s="155" t="s">
        <v>776</v>
      </c>
      <c r="D3179" s="155" t="s">
        <v>587</v>
      </c>
      <c r="E3179" s="34">
        <v>3.2000000000000002E-3</v>
      </c>
      <c r="F3179" s="28">
        <v>18.201999999999998</v>
      </c>
      <c r="G3179" s="31">
        <f>IF(ISNUMBER(F3179),E3179*F3179,"")</f>
        <v>5.8246399999999997E-2</v>
      </c>
      <c r="H3179" s="32"/>
      <c r="I3179" s="28"/>
      <c r="J3179" s="125">
        <v>0</v>
      </c>
    </row>
    <row r="3180" spans="1:10" ht="15.75" hidden="1" thickBot="1" x14ac:dyDescent="0.3">
      <c r="A3180" s="235"/>
      <c r="B3180" s="238"/>
      <c r="C3180" s="155" t="s">
        <v>777</v>
      </c>
      <c r="D3180" s="155" t="s">
        <v>587</v>
      </c>
      <c r="E3180" s="34">
        <v>1.9400000000000001E-2</v>
      </c>
      <c r="F3180" s="28">
        <v>25.46</v>
      </c>
      <c r="G3180" s="31">
        <f>IF(ISNUMBER(F3180),E3180*F3180,"")</f>
        <v>0.49392400000000003</v>
      </c>
      <c r="H3180" s="32"/>
      <c r="I3180" s="28"/>
      <c r="J3180" s="125">
        <v>0</v>
      </c>
    </row>
    <row r="3181" spans="1:10" ht="15.75" hidden="1" thickBot="1" x14ac:dyDescent="0.3">
      <c r="A3181" s="235"/>
      <c r="B3181" s="238"/>
      <c r="C3181" s="155" t="s">
        <v>16449</v>
      </c>
      <c r="D3181" s="155" t="s">
        <v>774</v>
      </c>
      <c r="E3181" s="34">
        <v>1</v>
      </c>
      <c r="F3181" s="28">
        <v>9.5541499999999999</v>
      </c>
      <c r="G3181" s="31">
        <f>IF(ISNUMBER(F3181),E3181*F3181,"")</f>
        <v>9.5541499999999999</v>
      </c>
      <c r="H3181" s="32"/>
      <c r="I3181" s="28"/>
      <c r="J3181" s="125">
        <v>0</v>
      </c>
    </row>
    <row r="3182" spans="1:10" ht="15.75" hidden="1" thickBot="1" x14ac:dyDescent="0.3">
      <c r="A3182" s="236"/>
      <c r="B3182" s="239"/>
      <c r="C3182" s="155"/>
      <c r="D3182" s="33"/>
      <c r="E3182" s="34"/>
      <c r="F3182" s="28" t="s">
        <v>418</v>
      </c>
      <c r="G3182" s="31" t="str">
        <f>IF(ISNUMBER(F3182),E3182*F3182,"")</f>
        <v/>
      </c>
      <c r="H3182" s="32"/>
      <c r="I3182" s="28"/>
      <c r="J3182" s="125">
        <v>0</v>
      </c>
    </row>
    <row r="3183" spans="1:10" ht="15.75" hidden="1" thickBot="1" x14ac:dyDescent="0.3">
      <c r="A3183" s="234" t="s">
        <v>810</v>
      </c>
      <c r="B3183" s="237" t="s">
        <v>1740</v>
      </c>
      <c r="C3183" s="160"/>
      <c r="D3183" s="23" t="s">
        <v>16</v>
      </c>
      <c r="E3183" s="24"/>
      <c r="F3183" s="37" t="s">
        <v>418</v>
      </c>
      <c r="G3183" s="25" t="str">
        <f>IF(ISNUMBER(F3183),E3183*F3183,"")</f>
        <v/>
      </c>
      <c r="H3183" s="26"/>
      <c r="I3183" s="27"/>
      <c r="J3183" s="125">
        <v>0</v>
      </c>
    </row>
    <row r="3184" spans="1:10" ht="15.75" hidden="1" thickBot="1" x14ac:dyDescent="0.3">
      <c r="A3184" s="235"/>
      <c r="B3184" s="238"/>
      <c r="C3184" s="121"/>
      <c r="D3184" s="29"/>
      <c r="E3184" s="30"/>
      <c r="F3184" s="38" t="s">
        <v>418</v>
      </c>
      <c r="G3184" s="31" t="str">
        <f>IF(ISNUMBER(F3184),E3184*F3184,"")</f>
        <v/>
      </c>
      <c r="H3184" s="32"/>
      <c r="I3184" s="28"/>
      <c r="J3184" s="125">
        <v>0</v>
      </c>
    </row>
    <row r="3185" spans="1:10" ht="15.75" hidden="1" thickBot="1" x14ac:dyDescent="0.3">
      <c r="A3185" s="235"/>
      <c r="B3185" s="238"/>
      <c r="C3185" s="155" t="s">
        <v>588</v>
      </c>
      <c r="D3185" s="155" t="s">
        <v>587</v>
      </c>
      <c r="E3185" s="34">
        <v>0.55000000000000004</v>
      </c>
      <c r="F3185" s="28">
        <v>19.189999999999998</v>
      </c>
      <c r="G3185" s="31">
        <f>IF(ISNUMBER(F3185),E3185*F3185,"")</f>
        <v>10.554499999999999</v>
      </c>
      <c r="H3185" s="35">
        <f>SUM(G3185:G3186)</f>
        <v>36.156999999999996</v>
      </c>
      <c r="I3185" s="36"/>
      <c r="J3185" s="125">
        <v>0</v>
      </c>
    </row>
    <row r="3186" spans="1:10" ht="15.75" hidden="1" thickBot="1" x14ac:dyDescent="0.3">
      <c r="A3186" s="235"/>
      <c r="B3186" s="238"/>
      <c r="C3186" s="155" t="s">
        <v>9864</v>
      </c>
      <c r="D3186" s="155" t="s">
        <v>587</v>
      </c>
      <c r="E3186" s="34">
        <f>0.55*2</f>
        <v>1.1000000000000001</v>
      </c>
      <c r="F3186" s="28">
        <v>23.274999999999999</v>
      </c>
      <c r="G3186" s="31">
        <f>IF(ISNUMBER(F3186),E3186*F3186,"")</f>
        <v>25.602499999999999</v>
      </c>
      <c r="H3186" s="32"/>
      <c r="I3186" s="28"/>
      <c r="J3186" s="125">
        <v>0</v>
      </c>
    </row>
    <row r="3187" spans="1:10" ht="15.75" hidden="1" thickBot="1" x14ac:dyDescent="0.3">
      <c r="A3187" s="236"/>
      <c r="B3187" s="239"/>
      <c r="C3187" s="155"/>
      <c r="D3187" s="33"/>
      <c r="E3187" s="34"/>
      <c r="F3187" s="28" t="s">
        <v>418</v>
      </c>
      <c r="G3187" s="31" t="str">
        <f>IF(ISNUMBER(F3187),E3187*F3187,"")</f>
        <v/>
      </c>
      <c r="H3187" s="32"/>
      <c r="I3187" s="28"/>
      <c r="J3187" s="125">
        <v>0</v>
      </c>
    </row>
    <row r="3188" spans="1:10" ht="15.75" hidden="1" thickBot="1" x14ac:dyDescent="0.3">
      <c r="A3188" s="234" t="s">
        <v>811</v>
      </c>
      <c r="B3188" s="237" t="s">
        <v>1741</v>
      </c>
      <c r="C3188" s="160"/>
      <c r="D3188" s="23" t="s">
        <v>81</v>
      </c>
      <c r="E3188" s="24"/>
      <c r="F3188" s="37" t="s">
        <v>418</v>
      </c>
      <c r="G3188" s="25" t="str">
        <f>IF(ISNUMBER(F3188),E3188*F3188,"")</f>
        <v/>
      </c>
      <c r="H3188" s="26"/>
      <c r="I3188" s="27"/>
      <c r="J3188" s="125">
        <v>0</v>
      </c>
    </row>
    <row r="3189" spans="1:10" ht="15.75" hidden="1" thickBot="1" x14ac:dyDescent="0.3">
      <c r="A3189" s="235"/>
      <c r="B3189" s="238"/>
      <c r="C3189" s="151"/>
      <c r="D3189" s="29"/>
      <c r="E3189" s="30"/>
      <c r="F3189" s="38" t="s">
        <v>418</v>
      </c>
      <c r="G3189" s="31" t="str">
        <f>IF(ISNUMBER(F3189),E3189*F3189,"")</f>
        <v/>
      </c>
      <c r="H3189" s="32"/>
      <c r="I3189" s="28"/>
      <c r="J3189" s="125">
        <v>0</v>
      </c>
    </row>
    <row r="3190" spans="1:10" ht="15.75" hidden="1" thickBot="1" x14ac:dyDescent="0.3">
      <c r="A3190" s="235"/>
      <c r="B3190" s="238"/>
      <c r="C3190" s="155" t="s">
        <v>588</v>
      </c>
      <c r="D3190" s="155" t="s">
        <v>587</v>
      </c>
      <c r="E3190" s="34">
        <v>3.956</v>
      </c>
      <c r="F3190" s="28">
        <v>19.189999999999998</v>
      </c>
      <c r="G3190" s="31">
        <f>IF(ISNUMBER(F3190),E3190*F3190,"")</f>
        <v>75.915639999999996</v>
      </c>
      <c r="H3190" s="35">
        <f>SUM(G3190:G3190)</f>
        <v>75.915639999999996</v>
      </c>
      <c r="I3190" s="36"/>
      <c r="J3190" s="125">
        <v>0</v>
      </c>
    </row>
    <row r="3191" spans="1:10" ht="15.75" hidden="1" thickBot="1" x14ac:dyDescent="0.3">
      <c r="A3191" s="236"/>
      <c r="B3191" s="239"/>
      <c r="C3191" s="155"/>
      <c r="D3191" s="33"/>
      <c r="E3191" s="34"/>
      <c r="F3191" s="28" t="s">
        <v>418</v>
      </c>
      <c r="G3191" s="31" t="str">
        <f>IF(ISNUMBER(F3191),E3191*F3191,"")</f>
        <v/>
      </c>
      <c r="H3191" s="32"/>
      <c r="I3191" s="28"/>
      <c r="J3191" s="125">
        <v>0</v>
      </c>
    </row>
    <row r="3192" spans="1:10" ht="15.75" hidden="1" thickBot="1" x14ac:dyDescent="0.3">
      <c r="A3192" s="234" t="s">
        <v>812</v>
      </c>
      <c r="B3192" s="237" t="s">
        <v>1742</v>
      </c>
      <c r="C3192" s="160"/>
      <c r="D3192" s="23" t="s">
        <v>81</v>
      </c>
      <c r="E3192" s="24"/>
      <c r="F3192" s="37" t="s">
        <v>418</v>
      </c>
      <c r="G3192" s="25" t="str">
        <f>IF(ISNUMBER(F3192),E3192*F3192,"")</f>
        <v/>
      </c>
      <c r="H3192" s="26"/>
      <c r="I3192" s="27"/>
      <c r="J3192" s="125">
        <v>0</v>
      </c>
    </row>
    <row r="3193" spans="1:10" ht="15.75" hidden="1" thickBot="1" x14ac:dyDescent="0.3">
      <c r="A3193" s="235"/>
      <c r="B3193" s="238"/>
      <c r="C3193" s="151"/>
      <c r="D3193" s="29"/>
      <c r="E3193" s="30"/>
      <c r="F3193" s="38" t="s">
        <v>418</v>
      </c>
      <c r="G3193" s="31" t="str">
        <f>IF(ISNUMBER(F3193),E3193*F3193,"")</f>
        <v/>
      </c>
      <c r="H3193" s="32"/>
      <c r="I3193" s="28"/>
      <c r="J3193" s="125">
        <v>0</v>
      </c>
    </row>
    <row r="3194" spans="1:10" ht="51.75" hidden="1" thickBot="1" x14ac:dyDescent="0.3">
      <c r="A3194" s="235"/>
      <c r="B3194" s="238"/>
      <c r="C3194" s="155" t="s">
        <v>818</v>
      </c>
      <c r="D3194" s="155" t="s">
        <v>814</v>
      </c>
      <c r="E3194" s="34">
        <v>0.65</v>
      </c>
      <c r="F3194" s="28">
        <v>322.2115</v>
      </c>
      <c r="G3194" s="31">
        <f>IF(ISNUMBER(F3194),E3194*F3194,"")</f>
        <v>209.43747500000001</v>
      </c>
      <c r="H3194" s="35">
        <f>SUM(G3194:G3197)</f>
        <v>261.62399599999998</v>
      </c>
      <c r="I3194" s="36"/>
      <c r="J3194" s="125">
        <v>0</v>
      </c>
    </row>
    <row r="3195" spans="1:10" ht="51.75" hidden="1" thickBot="1" x14ac:dyDescent="0.3">
      <c r="A3195" s="235"/>
      <c r="B3195" s="238"/>
      <c r="C3195" s="155" t="s">
        <v>819</v>
      </c>
      <c r="D3195" s="155" t="s">
        <v>816</v>
      </c>
      <c r="E3195" s="34">
        <v>0.27400000000000002</v>
      </c>
      <c r="F3195" s="28">
        <v>68.276499999999999</v>
      </c>
      <c r="G3195" s="31">
        <f>IF(ISNUMBER(F3195),E3195*F3195,"")</f>
        <v>18.707761000000001</v>
      </c>
      <c r="H3195" s="32"/>
      <c r="I3195" s="28"/>
      <c r="J3195" s="125">
        <v>0</v>
      </c>
    </row>
    <row r="3196" spans="1:10" ht="15.75" hidden="1" thickBot="1" x14ac:dyDescent="0.3">
      <c r="A3196" s="235"/>
      <c r="B3196" s="238"/>
      <c r="C3196" s="155" t="s">
        <v>588</v>
      </c>
      <c r="D3196" s="155" t="s">
        <v>587</v>
      </c>
      <c r="E3196" s="34">
        <v>0.254</v>
      </c>
      <c r="F3196" s="28">
        <v>19.189999999999998</v>
      </c>
      <c r="G3196" s="31">
        <f>IF(ISNUMBER(F3196),E3196*F3196,"")</f>
        <v>4.8742599999999996</v>
      </c>
      <c r="H3196" s="32"/>
      <c r="I3196" s="28"/>
      <c r="J3196" s="125">
        <v>0</v>
      </c>
    </row>
    <row r="3197" spans="1:10" ht="39" hidden="1" thickBot="1" x14ac:dyDescent="0.3">
      <c r="A3197" s="235"/>
      <c r="B3197" s="238"/>
      <c r="C3197" s="155" t="s">
        <v>813</v>
      </c>
      <c r="D3197" s="155" t="s">
        <v>814</v>
      </c>
      <c r="E3197" s="34">
        <v>1</v>
      </c>
      <c r="F3197" s="28">
        <v>28.604499999999998</v>
      </c>
      <c r="G3197" s="31">
        <f>IF(ISNUMBER(F3197),E3197*F3197,"")</f>
        <v>28.604499999999998</v>
      </c>
      <c r="H3197" s="32"/>
      <c r="I3197" s="28"/>
      <c r="J3197" s="125">
        <v>0</v>
      </c>
    </row>
    <row r="3198" spans="1:10" ht="15.75" hidden="1" thickBot="1" x14ac:dyDescent="0.3">
      <c r="A3198" s="236"/>
      <c r="B3198" s="239"/>
      <c r="C3198" s="155"/>
      <c r="D3198" s="33"/>
      <c r="E3198" s="34"/>
      <c r="F3198" s="28" t="s">
        <v>418</v>
      </c>
      <c r="G3198" s="31" t="str">
        <f>IF(ISNUMBER(F3198),E3198*F3198,"")</f>
        <v/>
      </c>
      <c r="H3198" s="32"/>
      <c r="I3198" s="28"/>
      <c r="J3198" s="125">
        <v>0</v>
      </c>
    </row>
    <row r="3199" spans="1:10" ht="15.75" hidden="1" thickBot="1" x14ac:dyDescent="0.3">
      <c r="A3199" s="234" t="s">
        <v>817</v>
      </c>
      <c r="B3199" s="237" t="s">
        <v>1743</v>
      </c>
      <c r="C3199" s="160"/>
      <c r="D3199" s="23" t="s">
        <v>81</v>
      </c>
      <c r="E3199" s="24"/>
      <c r="F3199" s="37" t="s">
        <v>418</v>
      </c>
      <c r="G3199" s="25" t="str">
        <f>IF(ISNUMBER(F3199),E3199*F3199,"")</f>
        <v/>
      </c>
      <c r="H3199" s="26"/>
      <c r="I3199" s="27"/>
      <c r="J3199" s="125">
        <v>0</v>
      </c>
    </row>
    <row r="3200" spans="1:10" ht="15.75" hidden="1" thickBot="1" x14ac:dyDescent="0.3">
      <c r="A3200" s="235"/>
      <c r="B3200" s="238"/>
      <c r="C3200" s="151"/>
      <c r="D3200" s="29"/>
      <c r="E3200" s="30"/>
      <c r="F3200" s="38" t="s">
        <v>418</v>
      </c>
      <c r="G3200" s="31" t="str">
        <f>IF(ISNUMBER(F3200),E3200*F3200,"")</f>
        <v/>
      </c>
      <c r="H3200" s="32"/>
      <c r="I3200" s="28"/>
      <c r="J3200" s="125">
        <v>0</v>
      </c>
    </row>
    <row r="3201" spans="1:10" ht="51.75" hidden="1" thickBot="1" x14ac:dyDescent="0.3">
      <c r="A3201" s="235"/>
      <c r="B3201" s="238"/>
      <c r="C3201" s="155" t="s">
        <v>818</v>
      </c>
      <c r="D3201" s="155" t="s">
        <v>814</v>
      </c>
      <c r="E3201" s="34">
        <v>5.4000000000000003E-3</v>
      </c>
      <c r="F3201" s="28">
        <v>322.2115</v>
      </c>
      <c r="G3201" s="31">
        <f>IF(ISNUMBER(F3201),E3201*F3201,"")</f>
        <v>1.7399421000000002</v>
      </c>
      <c r="H3201" s="35">
        <f>SUM(G3201:G3207)</f>
        <v>164.341942569965</v>
      </c>
      <c r="I3201" s="36"/>
      <c r="J3201" s="125">
        <v>0</v>
      </c>
    </row>
    <row r="3202" spans="1:10" ht="51.75" hidden="1" thickBot="1" x14ac:dyDescent="0.3">
      <c r="A3202" s="235"/>
      <c r="B3202" s="238"/>
      <c r="C3202" s="155" t="s">
        <v>819</v>
      </c>
      <c r="D3202" s="155" t="s">
        <v>816</v>
      </c>
      <c r="E3202" s="34">
        <v>5.9999999999999995E-4</v>
      </c>
      <c r="F3202" s="28">
        <v>68.276499999999999</v>
      </c>
      <c r="G3202" s="31">
        <f>IF(ISNUMBER(F3202),E3202*F3202,"")</f>
        <v>4.0965899999999993E-2</v>
      </c>
      <c r="H3202" s="32"/>
      <c r="I3202" s="28"/>
      <c r="J3202" s="125">
        <v>0</v>
      </c>
    </row>
    <row r="3203" spans="1:10" ht="26.25" hidden="1" thickBot="1" x14ac:dyDescent="0.3">
      <c r="A3203" s="235"/>
      <c r="B3203" s="238"/>
      <c r="C3203" s="155" t="s">
        <v>820</v>
      </c>
      <c r="D3203" s="155" t="s">
        <v>85</v>
      </c>
      <c r="E3203" s="34">
        <v>1.3889</v>
      </c>
      <c r="F3203" s="28">
        <v>34.6845</v>
      </c>
      <c r="G3203" s="31">
        <f>IF(ISNUMBER(F3203),E3203*F3203,"")</f>
        <v>48.173302050000004</v>
      </c>
      <c r="H3203" s="32"/>
      <c r="I3203" s="28"/>
      <c r="J3203" s="125">
        <v>0</v>
      </c>
    </row>
    <row r="3204" spans="1:10" ht="15.75" hidden="1" thickBot="1" x14ac:dyDescent="0.3">
      <c r="A3204" s="235"/>
      <c r="B3204" s="238"/>
      <c r="C3204" s="155" t="s">
        <v>588</v>
      </c>
      <c r="D3204" s="155" t="s">
        <v>587</v>
      </c>
      <c r="E3204" s="34">
        <v>0.78659999999999997</v>
      </c>
      <c r="F3204" s="28">
        <v>19.189999999999998</v>
      </c>
      <c r="G3204" s="31">
        <f>IF(ISNUMBER(F3204),E3204*F3204,"")</f>
        <v>15.094853999999998</v>
      </c>
      <c r="H3204" s="32"/>
      <c r="I3204" s="28"/>
      <c r="J3204" s="125">
        <v>0</v>
      </c>
    </row>
    <row r="3205" spans="1:10" ht="39" hidden="1" thickBot="1" x14ac:dyDescent="0.3">
      <c r="A3205" s="235"/>
      <c r="B3205" s="238"/>
      <c r="C3205" s="155" t="s">
        <v>813</v>
      </c>
      <c r="D3205" s="155" t="s">
        <v>814</v>
      </c>
      <c r="E3205" s="34">
        <v>0.19620000000000001</v>
      </c>
      <c r="F3205" s="28">
        <v>28.604499999999998</v>
      </c>
      <c r="G3205" s="31">
        <f>IF(ISNUMBER(F3205),E3205*F3205,"")</f>
        <v>5.6122028999999998</v>
      </c>
      <c r="H3205" s="32"/>
      <c r="I3205" s="28"/>
      <c r="J3205" s="125">
        <v>0</v>
      </c>
    </row>
    <row r="3206" spans="1:10" ht="51.75" hidden="1" thickBot="1" x14ac:dyDescent="0.3">
      <c r="A3206" s="235"/>
      <c r="B3206" s="238"/>
      <c r="C3206" s="155" t="s">
        <v>10661</v>
      </c>
      <c r="D3206" s="155" t="s">
        <v>85</v>
      </c>
      <c r="E3206" s="34">
        <f>E3203*1</f>
        <v>1.3889</v>
      </c>
      <c r="F3206" s="31">
        <v>8.6578848500000003</v>
      </c>
      <c r="G3206" s="31">
        <f>IF(ISNUMBER(F3206),E3206*F3206,"")</f>
        <v>12.024936268165</v>
      </c>
      <c r="H3206" s="32"/>
      <c r="I3206" s="28"/>
      <c r="J3206" s="125">
        <v>0</v>
      </c>
    </row>
    <row r="3207" spans="1:10" ht="39" hidden="1" thickBot="1" x14ac:dyDescent="0.3">
      <c r="A3207" s="235"/>
      <c r="B3207" s="238"/>
      <c r="C3207" s="155" t="s">
        <v>10602</v>
      </c>
      <c r="D3207" s="155" t="s">
        <v>1292</v>
      </c>
      <c r="E3207" s="34">
        <f>E3203*20</f>
        <v>27.777999999999999</v>
      </c>
      <c r="F3207" s="31">
        <v>2.9395830999999997</v>
      </c>
      <c r="G3207" s="31">
        <f>IF(ISNUMBER(F3207),E3207*F3207,"")</f>
        <v>81.655739351799994</v>
      </c>
      <c r="H3207" s="32"/>
      <c r="I3207" s="28"/>
      <c r="J3207" s="125">
        <v>0</v>
      </c>
    </row>
    <row r="3208" spans="1:10" ht="15.75" hidden="1" thickBot="1" x14ac:dyDescent="0.3">
      <c r="A3208" s="235"/>
      <c r="B3208" s="238"/>
      <c r="C3208" s="46"/>
      <c r="D3208" s="42"/>
      <c r="E3208" s="34"/>
      <c r="F3208" s="31" t="s">
        <v>418</v>
      </c>
      <c r="G3208" s="31" t="str">
        <f>IF(ISNUMBER(F3208),E3208*F3208,"")</f>
        <v/>
      </c>
      <c r="H3208" s="32"/>
      <c r="I3208" s="28"/>
      <c r="J3208" s="125">
        <v>0</v>
      </c>
    </row>
    <row r="3209" spans="1:10" ht="26.25" hidden="1" thickBot="1" x14ac:dyDescent="0.3">
      <c r="A3209" s="235"/>
      <c r="B3209" s="238"/>
      <c r="C3209" s="43" t="s">
        <v>821</v>
      </c>
      <c r="D3209" s="42"/>
      <c r="E3209" s="34"/>
      <c r="F3209" s="31" t="s">
        <v>418</v>
      </c>
      <c r="G3209" s="31" t="str">
        <f>IF(ISNUMBER(F3209),E3209*F3209,"")</f>
        <v/>
      </c>
      <c r="H3209" s="32"/>
      <c r="I3209" s="28"/>
      <c r="J3209" s="125">
        <v>0</v>
      </c>
    </row>
    <row r="3210" spans="1:10" ht="15.75" hidden="1" thickBot="1" x14ac:dyDescent="0.3">
      <c r="A3210" s="236"/>
      <c r="B3210" s="239"/>
      <c r="C3210" s="155"/>
      <c r="D3210" s="33"/>
      <c r="E3210" s="34"/>
      <c r="F3210" s="28" t="s">
        <v>418</v>
      </c>
      <c r="G3210" s="28" t="str">
        <f>IF(ISNUMBER(F3210),E3210*F3210,"")</f>
        <v/>
      </c>
      <c r="H3210" s="32"/>
      <c r="I3210" s="28"/>
      <c r="J3210" s="125">
        <v>0</v>
      </c>
    </row>
    <row r="3211" spans="1:10" ht="15.75" hidden="1" thickBot="1" x14ac:dyDescent="0.3">
      <c r="A3211" s="234" t="s">
        <v>822</v>
      </c>
      <c r="B3211" s="237" t="s">
        <v>13503</v>
      </c>
      <c r="C3211" s="160"/>
      <c r="D3211" s="23" t="s">
        <v>69</v>
      </c>
      <c r="E3211" s="24"/>
      <c r="F3211" s="37" t="s">
        <v>418</v>
      </c>
      <c r="G3211" s="25" t="str">
        <f>IF(ISNUMBER(F3211),E3211*F3211,"")</f>
        <v/>
      </c>
      <c r="H3211" s="26"/>
      <c r="I3211" s="27"/>
      <c r="J3211" s="125">
        <v>0</v>
      </c>
    </row>
    <row r="3212" spans="1:10" ht="15.75" hidden="1" thickBot="1" x14ac:dyDescent="0.3">
      <c r="A3212" s="235"/>
      <c r="B3212" s="238"/>
      <c r="C3212" s="151"/>
      <c r="D3212" s="29"/>
      <c r="E3212" s="30"/>
      <c r="F3212" s="38" t="s">
        <v>418</v>
      </c>
      <c r="G3212" s="31" t="str">
        <f>IF(ISNUMBER(F3212),E3212*F3212,"")</f>
        <v/>
      </c>
      <c r="H3212" s="32"/>
      <c r="I3212" s="28"/>
      <c r="J3212" s="125">
        <v>0</v>
      </c>
    </row>
    <row r="3213" spans="1:10" ht="26.25" hidden="1" thickBot="1" x14ac:dyDescent="0.3">
      <c r="A3213" s="235"/>
      <c r="B3213" s="238"/>
      <c r="C3213" s="155" t="s">
        <v>823</v>
      </c>
      <c r="D3213" s="155" t="s">
        <v>385</v>
      </c>
      <c r="E3213" s="34">
        <v>1.0225</v>
      </c>
      <c r="F3213" s="28">
        <v>46.265000000000001</v>
      </c>
      <c r="G3213" s="31">
        <f>IF(ISNUMBER(F3213),E3213*F3213,"")</f>
        <v>47.3059625</v>
      </c>
      <c r="H3213" s="35">
        <f>SUM(G3213:G3215)</f>
        <v>54.132911399999998</v>
      </c>
      <c r="I3213" s="36"/>
      <c r="J3213" s="125">
        <v>0</v>
      </c>
    </row>
    <row r="3214" spans="1:10" ht="26.25" hidden="1" thickBot="1" x14ac:dyDescent="0.3">
      <c r="A3214" s="235"/>
      <c r="B3214" s="238"/>
      <c r="C3214" s="155" t="s">
        <v>824</v>
      </c>
      <c r="D3214" s="155" t="s">
        <v>587</v>
      </c>
      <c r="E3214" s="34">
        <v>0.15670000000000001</v>
      </c>
      <c r="F3214" s="28">
        <v>18.6295</v>
      </c>
      <c r="G3214" s="31">
        <f>IF(ISNUMBER(F3214),E3214*F3214,"")</f>
        <v>2.9192426500000002</v>
      </c>
      <c r="H3214" s="32"/>
      <c r="I3214" s="28"/>
      <c r="J3214" s="125">
        <v>0</v>
      </c>
    </row>
    <row r="3215" spans="1:10" ht="26.25" hidden="1" thickBot="1" x14ac:dyDescent="0.3">
      <c r="A3215" s="235"/>
      <c r="B3215" s="238"/>
      <c r="C3215" s="155" t="s">
        <v>825</v>
      </c>
      <c r="D3215" s="155" t="s">
        <v>587</v>
      </c>
      <c r="E3215" s="34">
        <v>0.15670000000000001</v>
      </c>
      <c r="F3215" s="28">
        <v>24.9375</v>
      </c>
      <c r="G3215" s="31">
        <f>IF(ISNUMBER(F3215),E3215*F3215,"")</f>
        <v>3.9077062499999999</v>
      </c>
      <c r="H3215" s="32"/>
      <c r="I3215" s="28"/>
      <c r="J3215" s="125">
        <v>0</v>
      </c>
    </row>
    <row r="3216" spans="1:10" ht="15.75" hidden="1" thickBot="1" x14ac:dyDescent="0.3">
      <c r="A3216" s="236"/>
      <c r="B3216" s="239"/>
      <c r="C3216" s="155"/>
      <c r="D3216" s="33"/>
      <c r="E3216" s="34"/>
      <c r="F3216" s="28" t="s">
        <v>418</v>
      </c>
      <c r="G3216" s="31" t="str">
        <f>IF(ISNUMBER(F3216),E3216*F3216,"")</f>
        <v/>
      </c>
      <c r="H3216" s="32"/>
      <c r="I3216" s="28"/>
      <c r="J3216" s="125">
        <v>0</v>
      </c>
    </row>
    <row r="3217" spans="1:10" ht="15.75" hidden="1" thickBot="1" x14ac:dyDescent="0.3">
      <c r="A3217" s="234" t="s">
        <v>826</v>
      </c>
      <c r="B3217" s="237" t="s">
        <v>1744</v>
      </c>
      <c r="C3217" s="160"/>
      <c r="D3217" s="23" t="s">
        <v>69</v>
      </c>
      <c r="E3217" s="24"/>
      <c r="F3217" s="37" t="s">
        <v>418</v>
      </c>
      <c r="G3217" s="25" t="str">
        <f>IF(ISNUMBER(F3217),E3217*F3217,"")</f>
        <v/>
      </c>
      <c r="H3217" s="26"/>
      <c r="I3217" s="27"/>
      <c r="J3217" s="125">
        <v>0</v>
      </c>
    </row>
    <row r="3218" spans="1:10" ht="15.75" hidden="1" thickBot="1" x14ac:dyDescent="0.3">
      <c r="A3218" s="235"/>
      <c r="B3218" s="238"/>
      <c r="C3218" s="151"/>
      <c r="D3218" s="29"/>
      <c r="E3218" s="30"/>
      <c r="F3218" s="38" t="s">
        <v>418</v>
      </c>
      <c r="G3218" s="31" t="str">
        <f>IF(ISNUMBER(F3218),E3218*F3218,"")</f>
        <v/>
      </c>
      <c r="H3218" s="32"/>
      <c r="I3218" s="28"/>
      <c r="J3218" s="125">
        <v>0</v>
      </c>
    </row>
    <row r="3219" spans="1:10" ht="26.25" hidden="1" thickBot="1" x14ac:dyDescent="0.3">
      <c r="A3219" s="235"/>
      <c r="B3219" s="238"/>
      <c r="C3219" s="155" t="s">
        <v>827</v>
      </c>
      <c r="D3219" s="155" t="s">
        <v>385</v>
      </c>
      <c r="E3219" s="34">
        <v>1.0225</v>
      </c>
      <c r="F3219" s="28">
        <v>58.709999999999994</v>
      </c>
      <c r="G3219" s="31">
        <f>IF(ISNUMBER(F3219),E3219*F3219,"")</f>
        <v>60.030974999999991</v>
      </c>
      <c r="H3219" s="35">
        <f>SUM(G3219:G3221)</f>
        <v>67.637773199999998</v>
      </c>
      <c r="I3219" s="36"/>
      <c r="J3219" s="125">
        <v>0</v>
      </c>
    </row>
    <row r="3220" spans="1:10" ht="26.25" hidden="1" thickBot="1" x14ac:dyDescent="0.3">
      <c r="A3220" s="235"/>
      <c r="B3220" s="238"/>
      <c r="C3220" s="155" t="s">
        <v>824</v>
      </c>
      <c r="D3220" s="155" t="s">
        <v>587</v>
      </c>
      <c r="E3220" s="34">
        <v>0.17460000000000001</v>
      </c>
      <c r="F3220" s="28">
        <v>18.6295</v>
      </c>
      <c r="G3220" s="31">
        <f>IF(ISNUMBER(F3220),E3220*F3220,"")</f>
        <v>3.2527107000000002</v>
      </c>
      <c r="H3220" s="32"/>
      <c r="I3220" s="28"/>
      <c r="J3220" s="125">
        <v>0</v>
      </c>
    </row>
    <row r="3221" spans="1:10" ht="26.25" hidden="1" thickBot="1" x14ac:dyDescent="0.3">
      <c r="A3221" s="235"/>
      <c r="B3221" s="238"/>
      <c r="C3221" s="155" t="s">
        <v>825</v>
      </c>
      <c r="D3221" s="155" t="s">
        <v>587</v>
      </c>
      <c r="E3221" s="34">
        <v>0.17460000000000001</v>
      </c>
      <c r="F3221" s="28">
        <v>24.9375</v>
      </c>
      <c r="G3221" s="31">
        <f>IF(ISNUMBER(F3221),E3221*F3221,"")</f>
        <v>4.3540875000000003</v>
      </c>
      <c r="H3221" s="32"/>
      <c r="I3221" s="28"/>
      <c r="J3221" s="125">
        <v>0</v>
      </c>
    </row>
    <row r="3222" spans="1:10" ht="15.75" hidden="1" thickBot="1" x14ac:dyDescent="0.3">
      <c r="A3222" s="236"/>
      <c r="B3222" s="239"/>
      <c r="C3222" s="155"/>
      <c r="D3222" s="33"/>
      <c r="E3222" s="34"/>
      <c r="F3222" s="28" t="s">
        <v>418</v>
      </c>
      <c r="G3222" s="31" t="str">
        <f>IF(ISNUMBER(F3222),E3222*F3222,"")</f>
        <v/>
      </c>
      <c r="H3222" s="32"/>
      <c r="I3222" s="28"/>
      <c r="J3222" s="125">
        <v>0</v>
      </c>
    </row>
    <row r="3223" spans="1:10" ht="15.75" hidden="1" thickBot="1" x14ac:dyDescent="0.3">
      <c r="A3223" s="234" t="s">
        <v>828</v>
      </c>
      <c r="B3223" s="237" t="s">
        <v>13504</v>
      </c>
      <c r="C3223" s="160"/>
      <c r="D3223" s="23" t="s">
        <v>69</v>
      </c>
      <c r="E3223" s="24"/>
      <c r="F3223" s="37" t="s">
        <v>418</v>
      </c>
      <c r="G3223" s="25" t="str">
        <f>IF(ISNUMBER(F3223),E3223*F3223,"")</f>
        <v/>
      </c>
      <c r="H3223" s="26"/>
      <c r="I3223" s="27"/>
      <c r="J3223" s="125">
        <v>0</v>
      </c>
    </row>
    <row r="3224" spans="1:10" ht="15.75" hidden="1" thickBot="1" x14ac:dyDescent="0.3">
      <c r="A3224" s="235"/>
      <c r="B3224" s="238"/>
      <c r="C3224" s="151"/>
      <c r="D3224" s="29"/>
      <c r="E3224" s="30"/>
      <c r="F3224" s="38" t="s">
        <v>418</v>
      </c>
      <c r="G3224" s="31" t="str">
        <f>IF(ISNUMBER(F3224),E3224*F3224,"")</f>
        <v/>
      </c>
      <c r="H3224" s="32"/>
      <c r="I3224" s="28"/>
      <c r="J3224" s="125">
        <v>0</v>
      </c>
    </row>
    <row r="3225" spans="1:10" ht="26.25" hidden="1" thickBot="1" x14ac:dyDescent="0.3">
      <c r="A3225" s="235"/>
      <c r="B3225" s="238"/>
      <c r="C3225" s="155" t="s">
        <v>829</v>
      </c>
      <c r="D3225" s="155" t="s">
        <v>385</v>
      </c>
      <c r="E3225" s="34">
        <v>1.0225</v>
      </c>
      <c r="F3225" s="28">
        <v>115.14</v>
      </c>
      <c r="G3225" s="31">
        <f>IF(ISNUMBER(F3225),E3225*F3225,"")</f>
        <v>117.73065</v>
      </c>
      <c r="H3225" s="35">
        <f>SUM(G3225:G3227)</f>
        <v>121.4948388</v>
      </c>
      <c r="I3225" s="36"/>
      <c r="J3225" s="125">
        <v>0</v>
      </c>
    </row>
    <row r="3226" spans="1:10" ht="26.25" hidden="1" thickBot="1" x14ac:dyDescent="0.3">
      <c r="A3226" s="235"/>
      <c r="B3226" s="238"/>
      <c r="C3226" s="155" t="s">
        <v>824</v>
      </c>
      <c r="D3226" s="155" t="s">
        <v>587</v>
      </c>
      <c r="E3226" s="34">
        <v>8.6400000000000005E-2</v>
      </c>
      <c r="F3226" s="28">
        <v>18.6295</v>
      </c>
      <c r="G3226" s="31">
        <f>IF(ISNUMBER(F3226),E3226*F3226,"")</f>
        <v>1.6095888</v>
      </c>
      <c r="H3226" s="32"/>
      <c r="I3226" s="28"/>
      <c r="J3226" s="125">
        <v>0</v>
      </c>
    </row>
    <row r="3227" spans="1:10" ht="26.25" hidden="1" thickBot="1" x14ac:dyDescent="0.3">
      <c r="A3227" s="235"/>
      <c r="B3227" s="238"/>
      <c r="C3227" s="155" t="s">
        <v>825</v>
      </c>
      <c r="D3227" s="155" t="s">
        <v>587</v>
      </c>
      <c r="E3227" s="34">
        <v>8.6400000000000005E-2</v>
      </c>
      <c r="F3227" s="28">
        <v>24.9375</v>
      </c>
      <c r="G3227" s="31">
        <f>IF(ISNUMBER(F3227),E3227*F3227,"")</f>
        <v>2.1546000000000003</v>
      </c>
      <c r="H3227" s="32"/>
      <c r="I3227" s="28"/>
      <c r="J3227" s="125">
        <v>0</v>
      </c>
    </row>
    <row r="3228" spans="1:10" ht="15.75" hidden="1" thickBot="1" x14ac:dyDescent="0.3">
      <c r="A3228" s="236"/>
      <c r="B3228" s="239"/>
      <c r="C3228" s="155"/>
      <c r="D3228" s="33"/>
      <c r="E3228" s="34"/>
      <c r="F3228" s="28" t="s">
        <v>418</v>
      </c>
      <c r="G3228" s="31" t="str">
        <f>IF(ISNUMBER(F3228),E3228*F3228,"")</f>
        <v/>
      </c>
      <c r="H3228" s="32"/>
      <c r="I3228" s="28"/>
      <c r="J3228" s="125">
        <v>0</v>
      </c>
    </row>
    <row r="3229" spans="1:10" ht="15.75" hidden="1" thickBot="1" x14ac:dyDescent="0.3">
      <c r="A3229" s="234" t="s">
        <v>830</v>
      </c>
      <c r="B3229" s="237" t="s">
        <v>13507</v>
      </c>
      <c r="C3229" s="160"/>
      <c r="D3229" s="23" t="s">
        <v>16</v>
      </c>
      <c r="E3229" s="24"/>
      <c r="F3229" s="37" t="s">
        <v>418</v>
      </c>
      <c r="G3229" s="25" t="str">
        <f>IF(ISNUMBER(F3229),E3229*F3229,"")</f>
        <v/>
      </c>
      <c r="H3229" s="26"/>
      <c r="I3229" s="27"/>
      <c r="J3229" s="125">
        <v>0</v>
      </c>
    </row>
    <row r="3230" spans="1:10" ht="15.75" hidden="1" thickBot="1" x14ac:dyDescent="0.3">
      <c r="A3230" s="235"/>
      <c r="B3230" s="238"/>
      <c r="C3230" s="151"/>
      <c r="D3230" s="29"/>
      <c r="E3230" s="30"/>
      <c r="F3230" s="38" t="s">
        <v>418</v>
      </c>
      <c r="G3230" s="31" t="str">
        <f>IF(ISNUMBER(F3230),E3230*F3230,"")</f>
        <v/>
      </c>
      <c r="H3230" s="32"/>
      <c r="I3230" s="28"/>
      <c r="J3230" s="125">
        <v>0</v>
      </c>
    </row>
    <row r="3231" spans="1:10" ht="39" hidden="1" thickBot="1" x14ac:dyDescent="0.3">
      <c r="A3231" s="235"/>
      <c r="B3231" s="238"/>
      <c r="C3231" s="155" t="s">
        <v>26738</v>
      </c>
      <c r="D3231" s="155" t="s">
        <v>205</v>
      </c>
      <c r="E3231" s="34">
        <v>2</v>
      </c>
      <c r="F3231" s="28">
        <v>24.671499999999998</v>
      </c>
      <c r="G3231" s="31">
        <f>IF(ISNUMBER(F3231),E3231*F3231,"")</f>
        <v>49.342999999999996</v>
      </c>
      <c r="H3231" s="35">
        <f>SUM(G3231:G3237)</f>
        <v>706.23972134999985</v>
      </c>
      <c r="I3231" s="36"/>
      <c r="J3231" s="125">
        <v>0</v>
      </c>
    </row>
    <row r="3232" spans="1:10" ht="26.25" hidden="1" thickBot="1" x14ac:dyDescent="0.3">
      <c r="A3232" s="235"/>
      <c r="B3232" s="238"/>
      <c r="C3232" s="155" t="s">
        <v>23586</v>
      </c>
      <c r="D3232" s="155" t="s">
        <v>205</v>
      </c>
      <c r="E3232" s="34">
        <v>1</v>
      </c>
      <c r="F3232" s="28">
        <v>10.468999999999999</v>
      </c>
      <c r="G3232" s="31">
        <f>IF(ISNUMBER(F3232),E3232*F3232,"")</f>
        <v>10.468999999999999</v>
      </c>
      <c r="H3232" s="32"/>
      <c r="I3232" s="28"/>
      <c r="J3232" s="125">
        <v>0</v>
      </c>
    </row>
    <row r="3233" spans="1:10" ht="26.25" hidden="1" thickBot="1" x14ac:dyDescent="0.3">
      <c r="A3233" s="235"/>
      <c r="B3233" s="238"/>
      <c r="C3233" s="155" t="s">
        <v>23760</v>
      </c>
      <c r="D3233" s="155" t="s">
        <v>205</v>
      </c>
      <c r="E3233" s="34">
        <v>1</v>
      </c>
      <c r="F3233" s="28">
        <v>594.75699999999995</v>
      </c>
      <c r="G3233" s="31">
        <f>IF(ISNUMBER(F3233),E3233*F3233,"")</f>
        <v>594.75699999999995</v>
      </c>
      <c r="H3233" s="32"/>
      <c r="I3233" s="28"/>
      <c r="J3233" s="125">
        <v>0</v>
      </c>
    </row>
    <row r="3234" spans="1:10" ht="15.75" hidden="1" thickBot="1" x14ac:dyDescent="0.3">
      <c r="A3234" s="235"/>
      <c r="B3234" s="238"/>
      <c r="C3234" s="155" t="s">
        <v>10395</v>
      </c>
      <c r="D3234" s="155" t="s">
        <v>774</v>
      </c>
      <c r="E3234" s="34">
        <v>8.8099999999999998E-2</v>
      </c>
      <c r="F3234" s="28">
        <v>138.6335</v>
      </c>
      <c r="G3234" s="31">
        <f>IF(ISNUMBER(F3234),E3234*F3234,"")</f>
        <v>12.213611349999999</v>
      </c>
      <c r="H3234" s="32"/>
      <c r="I3234" s="28"/>
      <c r="J3234" s="125">
        <v>0</v>
      </c>
    </row>
    <row r="3235" spans="1:10" ht="26.25" hidden="1" thickBot="1" x14ac:dyDescent="0.3">
      <c r="A3235" s="235"/>
      <c r="B3235" s="238"/>
      <c r="C3235" s="155" t="s">
        <v>825</v>
      </c>
      <c r="D3235" s="155" t="s">
        <v>587</v>
      </c>
      <c r="E3235" s="34">
        <v>1.1539999999999999</v>
      </c>
      <c r="F3235" s="28">
        <v>24.9375</v>
      </c>
      <c r="G3235" s="31">
        <f>IF(ISNUMBER(F3235),E3235*F3235,"")</f>
        <v>28.777874999999998</v>
      </c>
      <c r="H3235" s="32"/>
      <c r="I3235" s="28"/>
      <c r="J3235" s="125">
        <v>0</v>
      </c>
    </row>
    <row r="3236" spans="1:10" ht="15.75" hidden="1" thickBot="1" x14ac:dyDescent="0.3">
      <c r="A3236" s="235"/>
      <c r="B3236" s="238"/>
      <c r="C3236" s="155" t="s">
        <v>588</v>
      </c>
      <c r="D3236" s="155" t="s">
        <v>587</v>
      </c>
      <c r="E3236" s="34">
        <v>0.55649999999999999</v>
      </c>
      <c r="F3236" s="28">
        <v>19.189999999999998</v>
      </c>
      <c r="G3236" s="31">
        <f>IF(ISNUMBER(F3236),E3236*F3236,"")</f>
        <v>10.679234999999998</v>
      </c>
      <c r="H3236" s="32"/>
      <c r="I3236" s="28"/>
      <c r="J3236" s="125">
        <v>0</v>
      </c>
    </row>
    <row r="3237" spans="1:10" ht="26.25" hidden="1" thickBot="1" x14ac:dyDescent="0.3">
      <c r="A3237" s="235"/>
      <c r="B3237" s="238"/>
      <c r="C3237" s="155" t="s">
        <v>226</v>
      </c>
      <c r="D3237" s="33" t="s">
        <v>16</v>
      </c>
      <c r="E3237" s="34">
        <v>1</v>
      </c>
      <c r="F3237" s="31" t="s">
        <v>418</v>
      </c>
      <c r="G3237" s="31" t="str">
        <f>IF(ISNUMBER(F3237),E3237*F3237,"")</f>
        <v/>
      </c>
      <c r="H3237" s="32"/>
      <c r="I3237" s="28"/>
      <c r="J3237" s="125">
        <v>0</v>
      </c>
    </row>
    <row r="3238" spans="1:10" ht="15.75" hidden="1" thickBot="1" x14ac:dyDescent="0.3">
      <c r="A3238" s="236"/>
      <c r="B3238" s="239"/>
      <c r="C3238" s="155"/>
      <c r="D3238" s="33"/>
      <c r="E3238" s="34"/>
      <c r="F3238" s="28" t="s">
        <v>418</v>
      </c>
      <c r="G3238" s="31" t="str">
        <f>IF(ISNUMBER(F3238),E3238*F3238,"")</f>
        <v/>
      </c>
      <c r="H3238" s="32"/>
      <c r="I3238" s="28"/>
      <c r="J3238" s="125">
        <v>0</v>
      </c>
    </row>
    <row r="3239" spans="1:10" ht="15.75" hidden="1" thickBot="1" x14ac:dyDescent="0.3">
      <c r="A3239" s="234" t="s">
        <v>831</v>
      </c>
      <c r="B3239" s="237" t="s">
        <v>1745</v>
      </c>
      <c r="C3239" s="160"/>
      <c r="D3239" s="23" t="s">
        <v>16</v>
      </c>
      <c r="E3239" s="24"/>
      <c r="F3239" s="37" t="s">
        <v>418</v>
      </c>
      <c r="G3239" s="25" t="str">
        <f>IF(ISNUMBER(F3239),E3239*F3239,"")</f>
        <v/>
      </c>
      <c r="H3239" s="26"/>
      <c r="I3239" s="27"/>
      <c r="J3239" s="125">
        <v>0</v>
      </c>
    </row>
    <row r="3240" spans="1:10" ht="15.75" hidden="1" thickBot="1" x14ac:dyDescent="0.3">
      <c r="A3240" s="235"/>
      <c r="B3240" s="238"/>
      <c r="C3240" s="151"/>
      <c r="D3240" s="29"/>
      <c r="E3240" s="30"/>
      <c r="F3240" s="38" t="s">
        <v>418</v>
      </c>
      <c r="G3240" s="31" t="str">
        <f>IF(ISNUMBER(F3240),E3240*F3240,"")</f>
        <v/>
      </c>
      <c r="H3240" s="32"/>
      <c r="I3240" s="28"/>
      <c r="J3240" s="125">
        <v>0</v>
      </c>
    </row>
    <row r="3241" spans="1:10" ht="26.25" hidden="1" thickBot="1" x14ac:dyDescent="0.3">
      <c r="A3241" s="235"/>
      <c r="B3241" s="238"/>
      <c r="C3241" s="155" t="s">
        <v>832</v>
      </c>
      <c r="D3241" s="42" t="s">
        <v>97</v>
      </c>
      <c r="E3241" s="34">
        <v>1</v>
      </c>
      <c r="F3241" s="28" t="s">
        <v>418</v>
      </c>
      <c r="G3241" s="31" t="str">
        <f>IF(ISNUMBER(F3241),E3241*F3241,"")</f>
        <v/>
      </c>
      <c r="H3241" s="35">
        <f>SUM(G3241:G3242)</f>
        <v>1.9189999999999998</v>
      </c>
      <c r="I3241" s="36"/>
      <c r="J3241" s="125">
        <v>0</v>
      </c>
    </row>
    <row r="3242" spans="1:10" ht="15.75" hidden="1" thickBot="1" x14ac:dyDescent="0.3">
      <c r="A3242" s="235"/>
      <c r="B3242" s="238"/>
      <c r="C3242" s="155" t="s">
        <v>588</v>
      </c>
      <c r="D3242" s="155" t="s">
        <v>587</v>
      </c>
      <c r="E3242" s="34">
        <v>0.1</v>
      </c>
      <c r="F3242" s="28">
        <v>19.189999999999998</v>
      </c>
      <c r="G3242" s="31">
        <f>IF(ISNUMBER(F3242),E3242*F3242,"")</f>
        <v>1.9189999999999998</v>
      </c>
      <c r="H3242" s="32"/>
      <c r="I3242" s="28"/>
      <c r="J3242" s="125">
        <v>0</v>
      </c>
    </row>
    <row r="3243" spans="1:10" ht="15.75" hidden="1" thickBot="1" x14ac:dyDescent="0.3">
      <c r="A3243" s="236"/>
      <c r="B3243" s="239"/>
      <c r="C3243" s="155"/>
      <c r="D3243" s="33"/>
      <c r="E3243" s="34"/>
      <c r="F3243" s="28" t="s">
        <v>418</v>
      </c>
      <c r="G3243" s="31" t="str">
        <f>IF(ISNUMBER(F3243),E3243*F3243,"")</f>
        <v/>
      </c>
      <c r="H3243" s="32"/>
      <c r="I3243" s="28"/>
      <c r="J3243" s="125">
        <v>0</v>
      </c>
    </row>
    <row r="3244" spans="1:10" ht="15.75" hidden="1" thickBot="1" x14ac:dyDescent="0.3">
      <c r="A3244" s="234" t="s">
        <v>833</v>
      </c>
      <c r="B3244" s="237" t="s">
        <v>1746</v>
      </c>
      <c r="C3244" s="160"/>
      <c r="D3244" s="23" t="s">
        <v>16</v>
      </c>
      <c r="E3244" s="24"/>
      <c r="F3244" s="37" t="s">
        <v>418</v>
      </c>
      <c r="G3244" s="25" t="str">
        <f>IF(ISNUMBER(F3244),E3244*F3244,"")</f>
        <v/>
      </c>
      <c r="H3244" s="26"/>
      <c r="I3244" s="27"/>
      <c r="J3244" s="125">
        <v>0</v>
      </c>
    </row>
    <row r="3245" spans="1:10" ht="15.75" hidden="1" thickBot="1" x14ac:dyDescent="0.3">
      <c r="A3245" s="235"/>
      <c r="B3245" s="238"/>
      <c r="C3245" s="151"/>
      <c r="D3245" s="29"/>
      <c r="E3245" s="30"/>
      <c r="F3245" s="38" t="s">
        <v>418</v>
      </c>
      <c r="G3245" s="31" t="str">
        <f>IF(ISNUMBER(F3245),E3245*F3245,"")</f>
        <v/>
      </c>
      <c r="H3245" s="32"/>
      <c r="I3245" s="28"/>
      <c r="J3245" s="125">
        <v>0</v>
      </c>
    </row>
    <row r="3246" spans="1:10" ht="26.25" hidden="1" thickBot="1" x14ac:dyDescent="0.3">
      <c r="A3246" s="235"/>
      <c r="B3246" s="238"/>
      <c r="C3246" s="155" t="s">
        <v>834</v>
      </c>
      <c r="D3246" s="42" t="s">
        <v>97</v>
      </c>
      <c r="E3246" s="34">
        <v>1</v>
      </c>
      <c r="F3246" s="28" t="s">
        <v>418</v>
      </c>
      <c r="G3246" s="31" t="str">
        <f>IF(ISNUMBER(F3246),E3246*F3246,"")</f>
        <v/>
      </c>
      <c r="H3246" s="35">
        <f>SUM(G3246:G3249)</f>
        <v>11.8007879</v>
      </c>
      <c r="I3246" s="36"/>
      <c r="J3246" s="125">
        <v>0</v>
      </c>
    </row>
    <row r="3247" spans="1:10" ht="15.75" hidden="1" thickBot="1" x14ac:dyDescent="0.3">
      <c r="A3247" s="235"/>
      <c r="B3247" s="238"/>
      <c r="C3247" s="155" t="s">
        <v>237</v>
      </c>
      <c r="D3247" s="155" t="s">
        <v>205</v>
      </c>
      <c r="E3247" s="34">
        <v>1.9199999999999998E-2</v>
      </c>
      <c r="F3247" s="28">
        <v>17.166499999999999</v>
      </c>
      <c r="G3247" s="31">
        <f>IF(ISNUMBER(F3247),E3247*F3247,"")</f>
        <v>0.32959679999999997</v>
      </c>
      <c r="H3247" s="32"/>
      <c r="I3247" s="28"/>
      <c r="J3247" s="125">
        <v>0</v>
      </c>
    </row>
    <row r="3248" spans="1:10" ht="26.25" hidden="1" thickBot="1" x14ac:dyDescent="0.3">
      <c r="A3248" s="235"/>
      <c r="B3248" s="238"/>
      <c r="C3248" s="155" t="s">
        <v>825</v>
      </c>
      <c r="D3248" s="155" t="s">
        <v>587</v>
      </c>
      <c r="E3248" s="34">
        <v>0.26329999999999998</v>
      </c>
      <c r="F3248" s="28">
        <v>24.9375</v>
      </c>
      <c r="G3248" s="31">
        <f>IF(ISNUMBER(F3248),E3248*F3248,"")</f>
        <v>6.5660437499999995</v>
      </c>
      <c r="H3248" s="32"/>
      <c r="I3248" s="28"/>
      <c r="J3248" s="125">
        <v>0</v>
      </c>
    </row>
    <row r="3249" spans="1:10" ht="26.25" hidden="1" thickBot="1" x14ac:dyDescent="0.3">
      <c r="A3249" s="235"/>
      <c r="B3249" s="238"/>
      <c r="C3249" s="155" t="s">
        <v>824</v>
      </c>
      <c r="D3249" s="155" t="s">
        <v>587</v>
      </c>
      <c r="E3249" s="34">
        <v>0.26329999999999998</v>
      </c>
      <c r="F3249" s="28">
        <v>18.6295</v>
      </c>
      <c r="G3249" s="31">
        <f>IF(ISNUMBER(F3249),E3249*F3249,"")</f>
        <v>4.90514735</v>
      </c>
      <c r="H3249" s="32"/>
      <c r="I3249" s="28"/>
      <c r="J3249" s="125">
        <v>0</v>
      </c>
    </row>
    <row r="3250" spans="1:10" ht="15.75" hidden="1" thickBot="1" x14ac:dyDescent="0.3">
      <c r="A3250" s="236"/>
      <c r="B3250" s="239"/>
      <c r="C3250" s="155"/>
      <c r="D3250" s="33"/>
      <c r="E3250" s="34"/>
      <c r="F3250" s="28" t="s">
        <v>418</v>
      </c>
      <c r="G3250" s="31" t="str">
        <f>IF(ISNUMBER(F3250),E3250*F3250,"")</f>
        <v/>
      </c>
      <c r="H3250" s="32"/>
      <c r="I3250" s="28"/>
      <c r="J3250" s="125">
        <v>0</v>
      </c>
    </row>
    <row r="3251" spans="1:10" ht="15.75" hidden="1" thickBot="1" x14ac:dyDescent="0.3">
      <c r="A3251" s="234" t="s">
        <v>835</v>
      </c>
      <c r="B3251" s="237" t="s">
        <v>12969</v>
      </c>
      <c r="C3251" s="160"/>
      <c r="D3251" s="23" t="s">
        <v>69</v>
      </c>
      <c r="E3251" s="24"/>
      <c r="F3251" s="37" t="s">
        <v>418</v>
      </c>
      <c r="G3251" s="25" t="str">
        <f>IF(ISNUMBER(F3251),E3251*F3251,"")</f>
        <v/>
      </c>
      <c r="H3251" s="26"/>
      <c r="I3251" s="27"/>
      <c r="J3251" s="125">
        <v>0</v>
      </c>
    </row>
    <row r="3252" spans="1:10" ht="15.75" hidden="1" thickBot="1" x14ac:dyDescent="0.3">
      <c r="A3252" s="235"/>
      <c r="B3252" s="238"/>
      <c r="C3252" s="151"/>
      <c r="D3252" s="29"/>
      <c r="E3252" s="30"/>
      <c r="F3252" s="38" t="s">
        <v>418</v>
      </c>
      <c r="G3252" s="31" t="str">
        <f>IF(ISNUMBER(F3252),E3252*F3252,"")</f>
        <v/>
      </c>
      <c r="H3252" s="32"/>
      <c r="I3252" s="28"/>
      <c r="J3252" s="125">
        <v>0</v>
      </c>
    </row>
    <row r="3253" spans="1:10" ht="15.75" hidden="1" thickBot="1" x14ac:dyDescent="0.3">
      <c r="A3253" s="235"/>
      <c r="B3253" s="238"/>
      <c r="C3253" s="155" t="s">
        <v>836</v>
      </c>
      <c r="D3253" s="33" t="s">
        <v>69</v>
      </c>
      <c r="E3253" s="34">
        <v>1.0149999999999999</v>
      </c>
      <c r="F3253" s="28">
        <v>0.95</v>
      </c>
      <c r="G3253" s="31">
        <f>IF(ISNUMBER(F3253),E3253*F3253,"")</f>
        <v>0.96424999999999983</v>
      </c>
      <c r="H3253" s="35">
        <f>SUM(G3253:G3256)</f>
        <v>3.7727406999999995</v>
      </c>
      <c r="I3253" s="36"/>
      <c r="J3253" s="125">
        <v>0</v>
      </c>
    </row>
    <row r="3254" spans="1:10" ht="26.25" hidden="1" thickBot="1" x14ac:dyDescent="0.3">
      <c r="A3254" s="235"/>
      <c r="B3254" s="238"/>
      <c r="C3254" s="155" t="s">
        <v>25511</v>
      </c>
      <c r="D3254" s="155" t="s">
        <v>205</v>
      </c>
      <c r="E3254" s="34">
        <v>8.9999999999999993E-3</v>
      </c>
      <c r="F3254" s="28">
        <v>4.8354999999999997</v>
      </c>
      <c r="G3254" s="31">
        <f>IF(ISNUMBER(F3254),E3254*F3254,"")</f>
        <v>4.3519499999999996E-2</v>
      </c>
      <c r="H3254" s="32"/>
      <c r="I3254" s="28"/>
      <c r="J3254" s="125">
        <v>0</v>
      </c>
    </row>
    <row r="3255" spans="1:10" ht="15.75" hidden="1" thickBot="1" x14ac:dyDescent="0.3">
      <c r="A3255" s="235"/>
      <c r="B3255" s="238"/>
      <c r="C3255" s="155" t="s">
        <v>1022</v>
      </c>
      <c r="D3255" s="155" t="s">
        <v>587</v>
      </c>
      <c r="E3255" s="34">
        <v>6.08E-2</v>
      </c>
      <c r="F3255" s="28">
        <v>19.522500000000001</v>
      </c>
      <c r="G3255" s="31">
        <f>IF(ISNUMBER(F3255),E3255*F3255,"")</f>
        <v>1.186968</v>
      </c>
      <c r="H3255" s="32"/>
      <c r="I3255" s="28"/>
      <c r="J3255" s="125">
        <v>0</v>
      </c>
    </row>
    <row r="3256" spans="1:10" ht="15.75" hidden="1" thickBot="1" x14ac:dyDescent="0.3">
      <c r="A3256" s="235"/>
      <c r="B3256" s="238"/>
      <c r="C3256" s="155" t="s">
        <v>1023</v>
      </c>
      <c r="D3256" s="155" t="s">
        <v>587</v>
      </c>
      <c r="E3256" s="156">
        <v>6.08E-2</v>
      </c>
      <c r="F3256" s="28">
        <v>25.954000000000001</v>
      </c>
      <c r="G3256" s="31">
        <f>IF(ISNUMBER(F3256),E3256*F3256,"")</f>
        <v>1.5780031999999999</v>
      </c>
      <c r="H3256" s="32"/>
      <c r="I3256" s="28"/>
      <c r="J3256" s="125">
        <v>0</v>
      </c>
    </row>
    <row r="3257" spans="1:10" ht="15.75" hidden="1" thickBot="1" x14ac:dyDescent="0.3">
      <c r="A3257" s="236"/>
      <c r="B3257" s="239"/>
      <c r="C3257" s="155"/>
      <c r="D3257" s="33"/>
      <c r="E3257" s="34"/>
      <c r="F3257" s="28" t="s">
        <v>418</v>
      </c>
      <c r="G3257" s="31" t="str">
        <f>IF(ISNUMBER(F3257),E3257*F3257,"")</f>
        <v/>
      </c>
      <c r="H3257" s="32"/>
      <c r="I3257" s="28"/>
      <c r="J3257" s="125">
        <v>0</v>
      </c>
    </row>
    <row r="3258" spans="1:10" ht="15.75" hidden="1" thickBot="1" x14ac:dyDescent="0.3">
      <c r="A3258" s="234" t="s">
        <v>838</v>
      </c>
      <c r="B3258" s="237" t="s">
        <v>12970</v>
      </c>
      <c r="C3258" s="160"/>
      <c r="D3258" s="23" t="s">
        <v>69</v>
      </c>
      <c r="E3258" s="24"/>
      <c r="F3258" s="37" t="s">
        <v>418</v>
      </c>
      <c r="G3258" s="25" t="str">
        <f>IF(ISNUMBER(F3258),E3258*F3258,"")</f>
        <v/>
      </c>
      <c r="H3258" s="26"/>
      <c r="I3258" s="27"/>
      <c r="J3258" s="125">
        <v>0</v>
      </c>
    </row>
    <row r="3259" spans="1:10" ht="15.75" hidden="1" thickBot="1" x14ac:dyDescent="0.3">
      <c r="A3259" s="235"/>
      <c r="B3259" s="238"/>
      <c r="C3259" s="151"/>
      <c r="D3259" s="29"/>
      <c r="E3259" s="30"/>
      <c r="F3259" s="38" t="s">
        <v>418</v>
      </c>
      <c r="G3259" s="31" t="str">
        <f>IF(ISNUMBER(F3259),E3259*F3259,"")</f>
        <v/>
      </c>
      <c r="H3259" s="32"/>
      <c r="I3259" s="28"/>
      <c r="J3259" s="125">
        <v>0</v>
      </c>
    </row>
    <row r="3260" spans="1:10" ht="15.75" hidden="1" thickBot="1" x14ac:dyDescent="0.3">
      <c r="A3260" s="235"/>
      <c r="B3260" s="238"/>
      <c r="C3260" s="155" t="s">
        <v>839</v>
      </c>
      <c r="D3260" s="33" t="s">
        <v>69</v>
      </c>
      <c r="E3260" s="34">
        <v>1.0149999999999999</v>
      </c>
      <c r="F3260" s="28">
        <v>0.95</v>
      </c>
      <c r="G3260" s="31">
        <f>IF(ISNUMBER(F3260),E3260*F3260,"")</f>
        <v>0.96424999999999983</v>
      </c>
      <c r="H3260" s="35">
        <f>SUM(G3260:G3263)</f>
        <v>4.1774815499999995</v>
      </c>
      <c r="I3260" s="36"/>
      <c r="J3260" s="125">
        <v>0</v>
      </c>
    </row>
    <row r="3261" spans="1:10" ht="26.25" hidden="1" thickBot="1" x14ac:dyDescent="0.3">
      <c r="A3261" s="235"/>
      <c r="B3261" s="238"/>
      <c r="C3261" s="155" t="s">
        <v>25511</v>
      </c>
      <c r="D3261" s="155" t="s">
        <v>205</v>
      </c>
      <c r="E3261" s="34">
        <v>8.9999999999999993E-3</v>
      </c>
      <c r="F3261" s="28">
        <v>4.8354999999999997</v>
      </c>
      <c r="G3261" s="31">
        <f>IF(ISNUMBER(F3261),E3261*F3261,"")</f>
        <v>4.3519499999999996E-2</v>
      </c>
      <c r="H3261" s="32"/>
      <c r="I3261" s="28"/>
      <c r="J3261" s="125">
        <v>0</v>
      </c>
    </row>
    <row r="3262" spans="1:10" ht="15.75" hidden="1" thickBot="1" x14ac:dyDescent="0.3">
      <c r="A3262" s="235"/>
      <c r="B3262" s="238"/>
      <c r="C3262" s="155" t="s">
        <v>1022</v>
      </c>
      <c r="D3262" s="155" t="s">
        <v>587</v>
      </c>
      <c r="E3262" s="34">
        <v>6.9699999999999998E-2</v>
      </c>
      <c r="F3262" s="28">
        <v>19.522500000000001</v>
      </c>
      <c r="G3262" s="31">
        <f>IF(ISNUMBER(F3262),E3262*F3262,"")</f>
        <v>1.3607182500000001</v>
      </c>
      <c r="H3262" s="32"/>
      <c r="I3262" s="28"/>
      <c r="J3262" s="125">
        <v>0</v>
      </c>
    </row>
    <row r="3263" spans="1:10" ht="15.75" hidden="1" thickBot="1" x14ac:dyDescent="0.3">
      <c r="A3263" s="235"/>
      <c r="B3263" s="238"/>
      <c r="C3263" s="155" t="s">
        <v>1023</v>
      </c>
      <c r="D3263" s="155" t="s">
        <v>587</v>
      </c>
      <c r="E3263" s="156">
        <v>6.9699999999999998E-2</v>
      </c>
      <c r="F3263" s="28">
        <v>25.954000000000001</v>
      </c>
      <c r="G3263" s="31">
        <f>IF(ISNUMBER(F3263),E3263*F3263,"")</f>
        <v>1.8089938000000001</v>
      </c>
      <c r="H3263" s="32"/>
      <c r="I3263" s="28"/>
      <c r="J3263" s="125">
        <v>0</v>
      </c>
    </row>
    <row r="3264" spans="1:10" ht="15.75" hidden="1" thickBot="1" x14ac:dyDescent="0.3">
      <c r="A3264" s="236"/>
      <c r="B3264" s="239"/>
      <c r="C3264" s="155"/>
      <c r="D3264" s="33"/>
      <c r="E3264" s="34"/>
      <c r="F3264" s="28" t="s">
        <v>418</v>
      </c>
      <c r="G3264" s="31" t="str">
        <f>IF(ISNUMBER(F3264),E3264*F3264,"")</f>
        <v/>
      </c>
      <c r="H3264" s="32"/>
      <c r="I3264" s="28"/>
      <c r="J3264" s="125">
        <v>0</v>
      </c>
    </row>
    <row r="3265" spans="1:10" ht="15.75" hidden="1" thickBot="1" x14ac:dyDescent="0.3">
      <c r="A3265" s="234" t="s">
        <v>841</v>
      </c>
      <c r="B3265" s="237" t="s">
        <v>12971</v>
      </c>
      <c r="C3265" s="160"/>
      <c r="D3265" s="23" t="s">
        <v>69</v>
      </c>
      <c r="E3265" s="24"/>
      <c r="F3265" s="37" t="s">
        <v>418</v>
      </c>
      <c r="G3265" s="25" t="str">
        <f>IF(ISNUMBER(F3265),E3265*F3265,"")</f>
        <v/>
      </c>
      <c r="H3265" s="26"/>
      <c r="I3265" s="27"/>
      <c r="J3265" s="125">
        <v>0</v>
      </c>
    </row>
    <row r="3266" spans="1:10" ht="15.75" hidden="1" thickBot="1" x14ac:dyDescent="0.3">
      <c r="A3266" s="235"/>
      <c r="B3266" s="238"/>
      <c r="C3266" s="151"/>
      <c r="D3266" s="29"/>
      <c r="E3266" s="30"/>
      <c r="F3266" s="38" t="s">
        <v>418</v>
      </c>
      <c r="G3266" s="31" t="str">
        <f>IF(ISNUMBER(F3266),E3266*F3266,"")</f>
        <v/>
      </c>
      <c r="H3266" s="32"/>
      <c r="I3266" s="28"/>
      <c r="J3266" s="125">
        <v>0</v>
      </c>
    </row>
    <row r="3267" spans="1:10" ht="15.75" hidden="1" thickBot="1" x14ac:dyDescent="0.3">
      <c r="A3267" s="235"/>
      <c r="B3267" s="238"/>
      <c r="C3267" s="155" t="s">
        <v>842</v>
      </c>
      <c r="D3267" s="33" t="s">
        <v>69</v>
      </c>
      <c r="E3267" s="34">
        <v>1.0149999999999999</v>
      </c>
      <c r="F3267" s="28">
        <v>0.95</v>
      </c>
      <c r="G3267" s="31">
        <f>IF(ISNUMBER(F3267),E3267*F3267,"")</f>
        <v>0.96424999999999983</v>
      </c>
      <c r="H3267" s="35">
        <f>SUM(G3267:G3270)</f>
        <v>4.7823189999999993</v>
      </c>
      <c r="I3267" s="36"/>
      <c r="J3267" s="125">
        <v>0</v>
      </c>
    </row>
    <row r="3268" spans="1:10" ht="26.25" hidden="1" thickBot="1" x14ac:dyDescent="0.3">
      <c r="A3268" s="235"/>
      <c r="B3268" s="238"/>
      <c r="C3268" s="155" t="s">
        <v>25511</v>
      </c>
      <c r="D3268" s="155" t="s">
        <v>205</v>
      </c>
      <c r="E3268" s="34">
        <v>8.9999999999999993E-3</v>
      </c>
      <c r="F3268" s="28">
        <v>4.8354999999999997</v>
      </c>
      <c r="G3268" s="31">
        <f>IF(ISNUMBER(F3268),E3268*F3268,"")</f>
        <v>4.3519499999999996E-2</v>
      </c>
      <c r="H3268" s="32"/>
      <c r="I3268" s="28"/>
      <c r="J3268" s="125">
        <v>0</v>
      </c>
    </row>
    <row r="3269" spans="1:10" ht="15.75" hidden="1" thickBot="1" x14ac:dyDescent="0.3">
      <c r="A3269" s="235"/>
      <c r="B3269" s="238"/>
      <c r="C3269" s="155" t="s">
        <v>1022</v>
      </c>
      <c r="D3269" s="155" t="s">
        <v>587</v>
      </c>
      <c r="E3269" s="34">
        <v>8.3000000000000004E-2</v>
      </c>
      <c r="F3269" s="28">
        <v>19.522500000000001</v>
      </c>
      <c r="G3269" s="31">
        <f>IF(ISNUMBER(F3269),E3269*F3269,"")</f>
        <v>1.6203675000000002</v>
      </c>
      <c r="H3269" s="32"/>
      <c r="I3269" s="28"/>
      <c r="J3269" s="125">
        <v>0</v>
      </c>
    </row>
    <row r="3270" spans="1:10" ht="15.75" hidden="1" thickBot="1" x14ac:dyDescent="0.3">
      <c r="A3270" s="235"/>
      <c r="B3270" s="238"/>
      <c r="C3270" s="155" t="s">
        <v>1023</v>
      </c>
      <c r="D3270" s="155" t="s">
        <v>587</v>
      </c>
      <c r="E3270" s="156">
        <v>8.3000000000000004E-2</v>
      </c>
      <c r="F3270" s="28">
        <v>25.954000000000001</v>
      </c>
      <c r="G3270" s="31">
        <f>IF(ISNUMBER(F3270),E3270*F3270,"")</f>
        <v>2.154182</v>
      </c>
      <c r="H3270" s="32"/>
      <c r="I3270" s="28"/>
      <c r="J3270" s="125">
        <v>0</v>
      </c>
    </row>
    <row r="3271" spans="1:10" ht="15.75" hidden="1" thickBot="1" x14ac:dyDescent="0.3">
      <c r="A3271" s="236"/>
      <c r="B3271" s="239"/>
      <c r="C3271" s="155"/>
      <c r="D3271" s="33"/>
      <c r="E3271" s="34"/>
      <c r="F3271" s="28" t="s">
        <v>418</v>
      </c>
      <c r="G3271" s="31" t="str">
        <f>IF(ISNUMBER(F3271),E3271*F3271,"")</f>
        <v/>
      </c>
      <c r="H3271" s="32"/>
      <c r="I3271" s="28"/>
      <c r="J3271" s="125">
        <v>0</v>
      </c>
    </row>
    <row r="3272" spans="1:10" ht="15.75" hidden="1" thickBot="1" x14ac:dyDescent="0.3">
      <c r="A3272" s="234" t="s">
        <v>844</v>
      </c>
      <c r="B3272" s="237" t="s">
        <v>12972</v>
      </c>
      <c r="C3272" s="160"/>
      <c r="D3272" s="23" t="s">
        <v>69</v>
      </c>
      <c r="E3272" s="24"/>
      <c r="F3272" s="37" t="s">
        <v>418</v>
      </c>
      <c r="G3272" s="25" t="str">
        <f>IF(ISNUMBER(F3272),E3272*F3272,"")</f>
        <v/>
      </c>
      <c r="H3272" s="26"/>
      <c r="I3272" s="27"/>
      <c r="J3272" s="125">
        <v>0</v>
      </c>
    </row>
    <row r="3273" spans="1:10" ht="15.75" hidden="1" thickBot="1" x14ac:dyDescent="0.3">
      <c r="A3273" s="235"/>
      <c r="B3273" s="238"/>
      <c r="C3273" s="151"/>
      <c r="D3273" s="29"/>
      <c r="E3273" s="30"/>
      <c r="F3273" s="38" t="s">
        <v>418</v>
      </c>
      <c r="G3273" s="31" t="str">
        <f>IF(ISNUMBER(F3273),E3273*F3273,"")</f>
        <v/>
      </c>
      <c r="H3273" s="32"/>
      <c r="I3273" s="28"/>
      <c r="J3273" s="125">
        <v>0</v>
      </c>
    </row>
    <row r="3274" spans="1:10" ht="15.75" hidden="1" thickBot="1" x14ac:dyDescent="0.3">
      <c r="A3274" s="235"/>
      <c r="B3274" s="238"/>
      <c r="C3274" s="155" t="s">
        <v>845</v>
      </c>
      <c r="D3274" s="33" t="s">
        <v>69</v>
      </c>
      <c r="E3274" s="34">
        <v>1.0149999999999999</v>
      </c>
      <c r="F3274" s="28">
        <v>0.95</v>
      </c>
      <c r="G3274" s="31">
        <f>IF(ISNUMBER(F3274),E3274*F3274,"")</f>
        <v>0.96424999999999983</v>
      </c>
      <c r="H3274" s="35">
        <f>SUM(G3274:G3277)</f>
        <v>5.5872530500000002</v>
      </c>
      <c r="I3274" s="36"/>
      <c r="J3274" s="125">
        <v>0</v>
      </c>
    </row>
    <row r="3275" spans="1:10" ht="26.25" hidden="1" thickBot="1" x14ac:dyDescent="0.3">
      <c r="A3275" s="235"/>
      <c r="B3275" s="238"/>
      <c r="C3275" s="155" t="s">
        <v>25511</v>
      </c>
      <c r="D3275" s="155" t="s">
        <v>205</v>
      </c>
      <c r="E3275" s="34">
        <v>8.9999999999999993E-3</v>
      </c>
      <c r="F3275" s="28">
        <v>4.8354999999999997</v>
      </c>
      <c r="G3275" s="31">
        <f>IF(ISNUMBER(F3275),E3275*F3275,"")</f>
        <v>4.3519499999999996E-2</v>
      </c>
      <c r="H3275" s="32"/>
      <c r="I3275" s="28"/>
      <c r="J3275" s="125">
        <v>0</v>
      </c>
    </row>
    <row r="3276" spans="1:10" ht="15.75" hidden="1" thickBot="1" x14ac:dyDescent="0.3">
      <c r="A3276" s="235"/>
      <c r="B3276" s="238"/>
      <c r="C3276" s="155" t="s">
        <v>1022</v>
      </c>
      <c r="D3276" s="155" t="s">
        <v>587</v>
      </c>
      <c r="E3276" s="34">
        <v>0.1007</v>
      </c>
      <c r="F3276" s="28">
        <v>19.522500000000001</v>
      </c>
      <c r="G3276" s="31">
        <f>IF(ISNUMBER(F3276),E3276*F3276,"")</f>
        <v>1.96591575</v>
      </c>
      <c r="H3276" s="32"/>
      <c r="I3276" s="28"/>
      <c r="J3276" s="125">
        <v>0</v>
      </c>
    </row>
    <row r="3277" spans="1:10" ht="15.75" hidden="1" thickBot="1" x14ac:dyDescent="0.3">
      <c r="A3277" s="235"/>
      <c r="B3277" s="238"/>
      <c r="C3277" s="155" t="s">
        <v>1023</v>
      </c>
      <c r="D3277" s="155" t="s">
        <v>587</v>
      </c>
      <c r="E3277" s="34">
        <v>0.1007</v>
      </c>
      <c r="F3277" s="28">
        <v>25.954000000000001</v>
      </c>
      <c r="G3277" s="31">
        <f>IF(ISNUMBER(F3277),E3277*F3277,"")</f>
        <v>2.6135678000000002</v>
      </c>
      <c r="H3277" s="32"/>
      <c r="I3277" s="28"/>
      <c r="J3277" s="125">
        <v>0</v>
      </c>
    </row>
    <row r="3278" spans="1:10" ht="15.75" hidden="1" thickBot="1" x14ac:dyDescent="0.3">
      <c r="A3278" s="236"/>
      <c r="B3278" s="239"/>
      <c r="C3278" s="155"/>
      <c r="D3278" s="33"/>
      <c r="E3278" s="34"/>
      <c r="F3278" s="28" t="s">
        <v>418</v>
      </c>
      <c r="G3278" s="31" t="str">
        <f>IF(ISNUMBER(F3278),E3278*F3278,"")</f>
        <v/>
      </c>
      <c r="H3278" s="32"/>
      <c r="I3278" s="28"/>
      <c r="J3278" s="125">
        <v>0</v>
      </c>
    </row>
    <row r="3279" spans="1:10" ht="15.75" hidden="1" thickBot="1" x14ac:dyDescent="0.3">
      <c r="A3279" s="234" t="s">
        <v>847</v>
      </c>
      <c r="B3279" s="237" t="s">
        <v>12973</v>
      </c>
      <c r="C3279" s="160"/>
      <c r="D3279" s="23" t="s">
        <v>69</v>
      </c>
      <c r="E3279" s="24"/>
      <c r="F3279" s="37" t="s">
        <v>418</v>
      </c>
      <c r="G3279" s="25" t="str">
        <f>IF(ISNUMBER(F3279),E3279*F3279,"")</f>
        <v/>
      </c>
      <c r="H3279" s="26"/>
      <c r="I3279" s="27"/>
      <c r="J3279" s="125">
        <v>0</v>
      </c>
    </row>
    <row r="3280" spans="1:10" ht="15.75" hidden="1" thickBot="1" x14ac:dyDescent="0.3">
      <c r="A3280" s="235"/>
      <c r="B3280" s="238"/>
      <c r="C3280" s="151"/>
      <c r="D3280" s="29"/>
      <c r="E3280" s="30"/>
      <c r="F3280" s="38" t="s">
        <v>418</v>
      </c>
      <c r="G3280" s="31" t="str">
        <f>IF(ISNUMBER(F3280),E3280*F3280,"")</f>
        <v/>
      </c>
      <c r="H3280" s="32"/>
      <c r="I3280" s="28"/>
      <c r="J3280" s="125">
        <v>0</v>
      </c>
    </row>
    <row r="3281" spans="1:10" ht="15.75" hidden="1" thickBot="1" x14ac:dyDescent="0.3">
      <c r="A3281" s="235"/>
      <c r="B3281" s="238"/>
      <c r="C3281" s="155" t="s">
        <v>848</v>
      </c>
      <c r="D3281" s="33" t="s">
        <v>69</v>
      </c>
      <c r="E3281" s="34">
        <v>1.0149999999999999</v>
      </c>
      <c r="F3281" s="28">
        <v>0.95</v>
      </c>
      <c r="G3281" s="31">
        <f>IF(ISNUMBER(F3281),E3281*F3281,"")</f>
        <v>0.96424999999999983</v>
      </c>
      <c r="H3281" s="35">
        <f>SUM(G3281:G3284)</f>
        <v>6.5922837000000003</v>
      </c>
      <c r="I3281" s="36"/>
      <c r="J3281" s="125">
        <v>0</v>
      </c>
    </row>
    <row r="3282" spans="1:10" ht="26.25" hidden="1" thickBot="1" x14ac:dyDescent="0.3">
      <c r="A3282" s="235"/>
      <c r="B3282" s="238"/>
      <c r="C3282" s="155" t="s">
        <v>25511</v>
      </c>
      <c r="D3282" s="155" t="s">
        <v>205</v>
      </c>
      <c r="E3282" s="34">
        <v>8.9999999999999993E-3</v>
      </c>
      <c r="F3282" s="28">
        <v>4.8354999999999997</v>
      </c>
      <c r="G3282" s="31">
        <f>IF(ISNUMBER(F3282),E3282*F3282,"")</f>
        <v>4.3519499999999996E-2</v>
      </c>
      <c r="H3282" s="32"/>
      <c r="I3282" s="28"/>
      <c r="J3282" s="125">
        <v>0</v>
      </c>
    </row>
    <row r="3283" spans="1:10" ht="15.75" hidden="1" thickBot="1" x14ac:dyDescent="0.3">
      <c r="A3283" s="235"/>
      <c r="B3283" s="238"/>
      <c r="C3283" s="155" t="s">
        <v>1022</v>
      </c>
      <c r="D3283" s="155" t="s">
        <v>587</v>
      </c>
      <c r="E3283" s="34">
        <v>0.12280000000000001</v>
      </c>
      <c r="F3283" s="28">
        <v>19.522500000000001</v>
      </c>
      <c r="G3283" s="31">
        <f>IF(ISNUMBER(F3283),E3283*F3283,"")</f>
        <v>2.3973630000000004</v>
      </c>
      <c r="H3283" s="32"/>
      <c r="I3283" s="28"/>
      <c r="J3283" s="125">
        <v>0</v>
      </c>
    </row>
    <row r="3284" spans="1:10" ht="15.75" hidden="1" thickBot="1" x14ac:dyDescent="0.3">
      <c r="A3284" s="235"/>
      <c r="B3284" s="238"/>
      <c r="C3284" s="155" t="s">
        <v>1023</v>
      </c>
      <c r="D3284" s="155" t="s">
        <v>587</v>
      </c>
      <c r="E3284" s="34">
        <v>0.12280000000000001</v>
      </c>
      <c r="F3284" s="28">
        <v>25.954000000000001</v>
      </c>
      <c r="G3284" s="31">
        <f>IF(ISNUMBER(F3284),E3284*F3284,"")</f>
        <v>3.1871512000000002</v>
      </c>
      <c r="H3284" s="32"/>
      <c r="I3284" s="28"/>
      <c r="J3284" s="125">
        <v>0</v>
      </c>
    </row>
    <row r="3285" spans="1:10" ht="15.75" hidden="1" thickBot="1" x14ac:dyDescent="0.3">
      <c r="A3285" s="236"/>
      <c r="B3285" s="239"/>
      <c r="C3285" s="155"/>
      <c r="D3285" s="33"/>
      <c r="E3285" s="34"/>
      <c r="F3285" s="28" t="s">
        <v>418</v>
      </c>
      <c r="G3285" s="31" t="str">
        <f>IF(ISNUMBER(F3285),E3285*F3285,"")</f>
        <v/>
      </c>
      <c r="H3285" s="32"/>
      <c r="I3285" s="28"/>
      <c r="J3285" s="125">
        <v>0</v>
      </c>
    </row>
    <row r="3286" spans="1:10" ht="15.75" hidden="1" thickBot="1" x14ac:dyDescent="0.3">
      <c r="A3286" s="234" t="s">
        <v>850</v>
      </c>
      <c r="B3286" s="237" t="s">
        <v>12974</v>
      </c>
      <c r="C3286" s="160"/>
      <c r="D3286" s="23" t="s">
        <v>69</v>
      </c>
      <c r="E3286" s="24"/>
      <c r="F3286" s="37" t="s">
        <v>418</v>
      </c>
      <c r="G3286" s="25" t="str">
        <f>IF(ISNUMBER(F3286),E3286*F3286,"")</f>
        <v/>
      </c>
      <c r="H3286" s="26"/>
      <c r="I3286" s="27"/>
      <c r="J3286" s="125">
        <v>0</v>
      </c>
    </row>
    <row r="3287" spans="1:10" ht="15.75" hidden="1" thickBot="1" x14ac:dyDescent="0.3">
      <c r="A3287" s="235"/>
      <c r="B3287" s="238"/>
      <c r="C3287" s="151"/>
      <c r="D3287" s="29"/>
      <c r="E3287" s="30"/>
      <c r="F3287" s="38" t="s">
        <v>418</v>
      </c>
      <c r="G3287" s="31" t="str">
        <f>IF(ISNUMBER(F3287),E3287*F3287,"")</f>
        <v/>
      </c>
      <c r="H3287" s="32"/>
      <c r="I3287" s="28"/>
      <c r="J3287" s="125">
        <v>0</v>
      </c>
    </row>
    <row r="3288" spans="1:10" ht="15.75" hidden="1" thickBot="1" x14ac:dyDescent="0.3">
      <c r="A3288" s="235"/>
      <c r="B3288" s="238"/>
      <c r="C3288" s="155" t="s">
        <v>851</v>
      </c>
      <c r="D3288" s="33" t="s">
        <v>69</v>
      </c>
      <c r="E3288" s="34">
        <v>1.0149999999999999</v>
      </c>
      <c r="F3288" s="28">
        <v>0.95</v>
      </c>
      <c r="G3288" s="31">
        <f>IF(ISNUMBER(F3288),E3288*F3288,"")</f>
        <v>0.96424999999999983</v>
      </c>
      <c r="H3288" s="35">
        <f>SUM(G3288:G3291)</f>
        <v>7.6018619999999997</v>
      </c>
      <c r="I3288" s="36"/>
      <c r="J3288" s="125">
        <v>0</v>
      </c>
    </row>
    <row r="3289" spans="1:10" ht="26.25" hidden="1" thickBot="1" x14ac:dyDescent="0.3">
      <c r="A3289" s="235"/>
      <c r="B3289" s="238"/>
      <c r="C3289" s="155" t="s">
        <v>25511</v>
      </c>
      <c r="D3289" s="155" t="s">
        <v>205</v>
      </c>
      <c r="E3289" s="34">
        <v>8.9999999999999993E-3</v>
      </c>
      <c r="F3289" s="28">
        <v>4.8354999999999997</v>
      </c>
      <c r="G3289" s="31">
        <f>IF(ISNUMBER(F3289),E3289*F3289,"")</f>
        <v>4.3519499999999996E-2</v>
      </c>
      <c r="H3289" s="32"/>
      <c r="I3289" s="28"/>
      <c r="J3289" s="125">
        <v>0</v>
      </c>
    </row>
    <row r="3290" spans="1:10" ht="15.75" hidden="1" thickBot="1" x14ac:dyDescent="0.3">
      <c r="A3290" s="235"/>
      <c r="B3290" s="238"/>
      <c r="C3290" s="155" t="s">
        <v>1022</v>
      </c>
      <c r="D3290" s="155" t="s">
        <v>587</v>
      </c>
      <c r="E3290" s="34">
        <v>0.14499999999999999</v>
      </c>
      <c r="F3290" s="28">
        <v>19.522500000000001</v>
      </c>
      <c r="G3290" s="31">
        <f>IF(ISNUMBER(F3290),E3290*F3290,"")</f>
        <v>2.8307625000000001</v>
      </c>
      <c r="H3290" s="32"/>
      <c r="I3290" s="28"/>
      <c r="J3290" s="125">
        <v>0</v>
      </c>
    </row>
    <row r="3291" spans="1:10" ht="15.75" hidden="1" thickBot="1" x14ac:dyDescent="0.3">
      <c r="A3291" s="235"/>
      <c r="B3291" s="238"/>
      <c r="C3291" s="155" t="s">
        <v>1023</v>
      </c>
      <c r="D3291" s="155" t="s">
        <v>587</v>
      </c>
      <c r="E3291" s="34">
        <v>0.14499999999999999</v>
      </c>
      <c r="F3291" s="28">
        <v>25.954000000000001</v>
      </c>
      <c r="G3291" s="31">
        <f>IF(ISNUMBER(F3291),E3291*F3291,"")</f>
        <v>3.7633299999999998</v>
      </c>
      <c r="H3291" s="32"/>
      <c r="I3291" s="28"/>
      <c r="J3291" s="125">
        <v>0</v>
      </c>
    </row>
    <row r="3292" spans="1:10" ht="15.75" hidden="1" thickBot="1" x14ac:dyDescent="0.3">
      <c r="A3292" s="236"/>
      <c r="B3292" s="239"/>
      <c r="C3292" s="155"/>
      <c r="D3292" s="33"/>
      <c r="E3292" s="34"/>
      <c r="F3292" s="28" t="s">
        <v>418</v>
      </c>
      <c r="G3292" s="31" t="str">
        <f>IF(ISNUMBER(F3292),E3292*F3292,"")</f>
        <v/>
      </c>
      <c r="H3292" s="32"/>
      <c r="I3292" s="28"/>
      <c r="J3292" s="125">
        <v>0</v>
      </c>
    </row>
    <row r="3293" spans="1:10" ht="15.75" hidden="1" thickBot="1" x14ac:dyDescent="0.3">
      <c r="A3293" s="234" t="s">
        <v>853</v>
      </c>
      <c r="B3293" s="237" t="s">
        <v>12975</v>
      </c>
      <c r="C3293" s="160"/>
      <c r="D3293" s="23" t="s">
        <v>69</v>
      </c>
      <c r="E3293" s="24"/>
      <c r="F3293" s="37" t="s">
        <v>418</v>
      </c>
      <c r="G3293" s="25" t="str">
        <f>IF(ISNUMBER(F3293),E3293*F3293,"")</f>
        <v/>
      </c>
      <c r="H3293" s="26"/>
      <c r="I3293" s="27"/>
      <c r="J3293" s="125">
        <v>0</v>
      </c>
    </row>
    <row r="3294" spans="1:10" ht="15.75" hidden="1" thickBot="1" x14ac:dyDescent="0.3">
      <c r="A3294" s="235"/>
      <c r="B3294" s="238"/>
      <c r="C3294" s="151"/>
      <c r="D3294" s="29"/>
      <c r="E3294" s="30"/>
      <c r="F3294" s="38" t="s">
        <v>418</v>
      </c>
      <c r="G3294" s="31" t="str">
        <f>IF(ISNUMBER(F3294),E3294*F3294,"")</f>
        <v/>
      </c>
      <c r="H3294" s="32"/>
      <c r="I3294" s="28"/>
      <c r="J3294" s="125">
        <v>0</v>
      </c>
    </row>
    <row r="3295" spans="1:10" ht="15.75" hidden="1" thickBot="1" x14ac:dyDescent="0.3">
      <c r="A3295" s="235"/>
      <c r="B3295" s="238"/>
      <c r="C3295" s="155" t="s">
        <v>854</v>
      </c>
      <c r="D3295" s="33" t="s">
        <v>69</v>
      </c>
      <c r="E3295" s="34">
        <v>1.0149999999999999</v>
      </c>
      <c r="F3295" s="28">
        <v>0.95</v>
      </c>
      <c r="G3295" s="31">
        <f>IF(ISNUMBER(F3295),E3295*F3295,"")</f>
        <v>0.96424999999999983</v>
      </c>
      <c r="H3295" s="35">
        <f>SUM(G3295:G3298)</f>
        <v>8.8069892500000009</v>
      </c>
      <c r="I3295" s="36"/>
      <c r="J3295" s="125">
        <v>0</v>
      </c>
    </row>
    <row r="3296" spans="1:10" ht="26.25" hidden="1" thickBot="1" x14ac:dyDescent="0.3">
      <c r="A3296" s="235"/>
      <c r="B3296" s="238"/>
      <c r="C3296" s="155" t="s">
        <v>25511</v>
      </c>
      <c r="D3296" s="155" t="s">
        <v>205</v>
      </c>
      <c r="E3296" s="34">
        <v>8.9999999999999993E-3</v>
      </c>
      <c r="F3296" s="28">
        <v>4.8354999999999997</v>
      </c>
      <c r="G3296" s="31">
        <f>IF(ISNUMBER(F3296),E3296*F3296,"")</f>
        <v>4.3519499999999996E-2</v>
      </c>
      <c r="H3296" s="32"/>
      <c r="I3296" s="28"/>
      <c r="J3296" s="125">
        <v>0</v>
      </c>
    </row>
    <row r="3297" spans="1:10" ht="15.75" hidden="1" thickBot="1" x14ac:dyDescent="0.3">
      <c r="A3297" s="235"/>
      <c r="B3297" s="238"/>
      <c r="C3297" s="155" t="s">
        <v>1022</v>
      </c>
      <c r="D3297" s="155" t="s">
        <v>587</v>
      </c>
      <c r="E3297" s="34">
        <v>0.17150000000000001</v>
      </c>
      <c r="F3297" s="28">
        <v>19.522500000000001</v>
      </c>
      <c r="G3297" s="31">
        <f>IF(ISNUMBER(F3297),E3297*F3297,"")</f>
        <v>3.3481087500000002</v>
      </c>
      <c r="H3297" s="32"/>
      <c r="I3297" s="28"/>
      <c r="J3297" s="125">
        <v>0</v>
      </c>
    </row>
    <row r="3298" spans="1:10" ht="15.75" hidden="1" thickBot="1" x14ac:dyDescent="0.3">
      <c r="A3298" s="235"/>
      <c r="B3298" s="238"/>
      <c r="C3298" s="155" t="s">
        <v>1023</v>
      </c>
      <c r="D3298" s="155" t="s">
        <v>587</v>
      </c>
      <c r="E3298" s="34">
        <v>0.17150000000000001</v>
      </c>
      <c r="F3298" s="28">
        <v>25.954000000000001</v>
      </c>
      <c r="G3298" s="31">
        <f>IF(ISNUMBER(F3298),E3298*F3298,"")</f>
        <v>4.451111</v>
      </c>
      <c r="H3298" s="32"/>
      <c r="I3298" s="28"/>
      <c r="J3298" s="125">
        <v>0</v>
      </c>
    </row>
    <row r="3299" spans="1:10" ht="15.75" hidden="1" thickBot="1" x14ac:dyDescent="0.3">
      <c r="A3299" s="236"/>
      <c r="B3299" s="239"/>
      <c r="C3299" s="155"/>
      <c r="D3299" s="33"/>
      <c r="E3299" s="34"/>
      <c r="F3299" s="28" t="s">
        <v>418</v>
      </c>
      <c r="G3299" s="31" t="str">
        <f>IF(ISNUMBER(F3299),E3299*F3299,"")</f>
        <v/>
      </c>
      <c r="H3299" s="32"/>
      <c r="I3299" s="28"/>
      <c r="J3299" s="125">
        <v>0</v>
      </c>
    </row>
    <row r="3300" spans="1:10" ht="15.75" hidden="1" thickBot="1" x14ac:dyDescent="0.3">
      <c r="A3300" s="234" t="s">
        <v>856</v>
      </c>
      <c r="B3300" s="237" t="s">
        <v>12976</v>
      </c>
      <c r="C3300" s="160"/>
      <c r="D3300" s="23" t="s">
        <v>69</v>
      </c>
      <c r="E3300" s="24"/>
      <c r="F3300" s="37" t="s">
        <v>418</v>
      </c>
      <c r="G3300" s="25" t="str">
        <f>IF(ISNUMBER(F3300),E3300*F3300,"")</f>
        <v/>
      </c>
      <c r="H3300" s="26"/>
      <c r="I3300" s="27"/>
      <c r="J3300" s="125">
        <v>0</v>
      </c>
    </row>
    <row r="3301" spans="1:10" ht="15.75" hidden="1" thickBot="1" x14ac:dyDescent="0.3">
      <c r="A3301" s="235"/>
      <c r="B3301" s="238"/>
      <c r="C3301" s="151"/>
      <c r="D3301" s="29"/>
      <c r="E3301" s="30"/>
      <c r="F3301" s="38" t="s">
        <v>418</v>
      </c>
      <c r="G3301" s="31" t="str">
        <f>IF(ISNUMBER(F3301),E3301*F3301,"")</f>
        <v/>
      </c>
      <c r="H3301" s="32"/>
      <c r="I3301" s="28"/>
      <c r="J3301" s="125">
        <v>0</v>
      </c>
    </row>
    <row r="3302" spans="1:10" ht="15.75" hidden="1" thickBot="1" x14ac:dyDescent="0.3">
      <c r="A3302" s="235"/>
      <c r="B3302" s="238"/>
      <c r="C3302" s="155" t="s">
        <v>857</v>
      </c>
      <c r="D3302" s="33" t="s">
        <v>69</v>
      </c>
      <c r="E3302" s="34">
        <v>1.0149999999999999</v>
      </c>
      <c r="F3302" s="28">
        <v>0.95</v>
      </c>
      <c r="G3302" s="31">
        <f>IF(ISNUMBER(F3302),E3302*F3302,"")</f>
        <v>0.96424999999999983</v>
      </c>
      <c r="H3302" s="35">
        <f>SUM(G3302:G3305)</f>
        <v>10.216760750000001</v>
      </c>
      <c r="I3302" s="36"/>
      <c r="J3302" s="125">
        <v>0</v>
      </c>
    </row>
    <row r="3303" spans="1:10" ht="26.25" hidden="1" thickBot="1" x14ac:dyDescent="0.3">
      <c r="A3303" s="235"/>
      <c r="B3303" s="238"/>
      <c r="C3303" s="155" t="s">
        <v>25511</v>
      </c>
      <c r="D3303" s="155" t="s">
        <v>205</v>
      </c>
      <c r="E3303" s="34">
        <v>8.9999999999999993E-3</v>
      </c>
      <c r="F3303" s="28">
        <v>4.8354999999999997</v>
      </c>
      <c r="G3303" s="31">
        <f>IF(ISNUMBER(F3303),E3303*F3303,"")</f>
        <v>4.3519499999999996E-2</v>
      </c>
      <c r="H3303" s="32"/>
      <c r="I3303" s="28"/>
      <c r="J3303" s="125">
        <v>0</v>
      </c>
    </row>
    <row r="3304" spans="1:10" ht="15.75" hidden="1" thickBot="1" x14ac:dyDescent="0.3">
      <c r="A3304" s="235"/>
      <c r="B3304" s="238"/>
      <c r="C3304" s="155" t="s">
        <v>1022</v>
      </c>
      <c r="D3304" s="155" t="s">
        <v>587</v>
      </c>
      <c r="E3304" s="34">
        <v>0.20250000000000001</v>
      </c>
      <c r="F3304" s="28">
        <v>19.522500000000001</v>
      </c>
      <c r="G3304" s="31">
        <f>IF(ISNUMBER(F3304),E3304*F3304,"")</f>
        <v>3.9533062500000002</v>
      </c>
      <c r="H3304" s="32"/>
      <c r="I3304" s="28"/>
      <c r="J3304" s="125">
        <v>0</v>
      </c>
    </row>
    <row r="3305" spans="1:10" ht="15.75" hidden="1" thickBot="1" x14ac:dyDescent="0.3">
      <c r="A3305" s="235"/>
      <c r="B3305" s="238"/>
      <c r="C3305" s="155" t="s">
        <v>1023</v>
      </c>
      <c r="D3305" s="155" t="s">
        <v>587</v>
      </c>
      <c r="E3305" s="34">
        <v>0.20250000000000001</v>
      </c>
      <c r="F3305" s="28">
        <v>25.954000000000001</v>
      </c>
      <c r="G3305" s="31">
        <f>IF(ISNUMBER(F3305),E3305*F3305,"")</f>
        <v>5.2556850000000006</v>
      </c>
      <c r="H3305" s="32"/>
      <c r="I3305" s="28"/>
      <c r="J3305" s="125">
        <v>0</v>
      </c>
    </row>
    <row r="3306" spans="1:10" ht="15.75" hidden="1" thickBot="1" x14ac:dyDescent="0.3">
      <c r="A3306" s="236"/>
      <c r="B3306" s="239"/>
      <c r="C3306" s="155"/>
      <c r="D3306" s="33"/>
      <c r="E3306" s="34"/>
      <c r="F3306" s="28" t="s">
        <v>418</v>
      </c>
      <c r="G3306" s="31" t="str">
        <f>IF(ISNUMBER(F3306),E3306*F3306,"")</f>
        <v/>
      </c>
      <c r="H3306" s="32"/>
      <c r="I3306" s="28"/>
      <c r="J3306" s="125">
        <v>0</v>
      </c>
    </row>
    <row r="3307" spans="1:10" ht="15.75" hidden="1" thickBot="1" x14ac:dyDescent="0.3">
      <c r="A3307" s="234" t="s">
        <v>859</v>
      </c>
      <c r="B3307" s="237" t="s">
        <v>12977</v>
      </c>
      <c r="C3307" s="160"/>
      <c r="D3307" s="23" t="s">
        <v>69</v>
      </c>
      <c r="E3307" s="24"/>
      <c r="F3307" s="37" t="s">
        <v>418</v>
      </c>
      <c r="G3307" s="25" t="str">
        <f>IF(ISNUMBER(F3307),E3307*F3307,"")</f>
        <v/>
      </c>
      <c r="H3307" s="26"/>
      <c r="I3307" s="27"/>
      <c r="J3307" s="125">
        <v>0</v>
      </c>
    </row>
    <row r="3308" spans="1:10" ht="15.75" hidden="1" thickBot="1" x14ac:dyDescent="0.3">
      <c r="A3308" s="235"/>
      <c r="B3308" s="238"/>
      <c r="C3308" s="151"/>
      <c r="D3308" s="29"/>
      <c r="E3308" s="30"/>
      <c r="F3308" s="38" t="s">
        <v>418</v>
      </c>
      <c r="G3308" s="31" t="str">
        <f>IF(ISNUMBER(F3308),E3308*F3308,"")</f>
        <v/>
      </c>
      <c r="H3308" s="32"/>
      <c r="I3308" s="28"/>
      <c r="J3308" s="125">
        <v>0</v>
      </c>
    </row>
    <row r="3309" spans="1:10" ht="15.75" hidden="1" thickBot="1" x14ac:dyDescent="0.3">
      <c r="A3309" s="235"/>
      <c r="B3309" s="238"/>
      <c r="C3309" s="155" t="s">
        <v>860</v>
      </c>
      <c r="D3309" s="33" t="s">
        <v>69</v>
      </c>
      <c r="E3309" s="34">
        <v>1.0149999999999999</v>
      </c>
      <c r="F3309" s="28">
        <v>0.95</v>
      </c>
      <c r="G3309" s="31">
        <f>IF(ISNUMBER(F3309),E3309*F3309,"")</f>
        <v>0.96424999999999983</v>
      </c>
      <c r="H3309" s="35">
        <f>SUM(G3309:G3312)</f>
        <v>12.4314663</v>
      </c>
      <c r="I3309" s="36"/>
      <c r="J3309" s="125">
        <v>0</v>
      </c>
    </row>
    <row r="3310" spans="1:10" ht="26.25" hidden="1" thickBot="1" x14ac:dyDescent="0.3">
      <c r="A3310" s="235"/>
      <c r="B3310" s="238"/>
      <c r="C3310" s="155" t="s">
        <v>25511</v>
      </c>
      <c r="D3310" s="155" t="s">
        <v>205</v>
      </c>
      <c r="E3310" s="34">
        <v>8.9999999999999993E-3</v>
      </c>
      <c r="F3310" s="28">
        <v>4.8354999999999997</v>
      </c>
      <c r="G3310" s="31">
        <f>IF(ISNUMBER(F3310),E3310*F3310,"")</f>
        <v>4.3519499999999996E-2</v>
      </c>
      <c r="H3310" s="32"/>
      <c r="I3310" s="28"/>
      <c r="J3310" s="125">
        <v>0</v>
      </c>
    </row>
    <row r="3311" spans="1:10" ht="15.75" hidden="1" thickBot="1" x14ac:dyDescent="0.3">
      <c r="A3311" s="235"/>
      <c r="B3311" s="238"/>
      <c r="C3311" s="155" t="s">
        <v>1022</v>
      </c>
      <c r="D3311" s="155" t="s">
        <v>587</v>
      </c>
      <c r="E3311" s="34">
        <v>0.25119999999999998</v>
      </c>
      <c r="F3311" s="28">
        <v>19.522500000000001</v>
      </c>
      <c r="G3311" s="31">
        <f>IF(ISNUMBER(F3311),E3311*F3311,"")</f>
        <v>4.9040520000000001</v>
      </c>
      <c r="H3311" s="32"/>
      <c r="I3311" s="28"/>
      <c r="J3311" s="125">
        <v>0</v>
      </c>
    </row>
    <row r="3312" spans="1:10" ht="15.75" hidden="1" thickBot="1" x14ac:dyDescent="0.3">
      <c r="A3312" s="235"/>
      <c r="B3312" s="238"/>
      <c r="C3312" s="155" t="s">
        <v>1023</v>
      </c>
      <c r="D3312" s="155" t="s">
        <v>587</v>
      </c>
      <c r="E3312" s="34">
        <v>0.25119999999999998</v>
      </c>
      <c r="F3312" s="28">
        <v>25.954000000000001</v>
      </c>
      <c r="G3312" s="31">
        <f>IF(ISNUMBER(F3312),E3312*F3312,"")</f>
        <v>6.5196448</v>
      </c>
      <c r="H3312" s="32"/>
      <c r="I3312" s="28"/>
      <c r="J3312" s="125">
        <v>0</v>
      </c>
    </row>
    <row r="3313" spans="1:10" ht="15.75" hidden="1" thickBot="1" x14ac:dyDescent="0.3">
      <c r="A3313" s="236"/>
      <c r="B3313" s="239"/>
      <c r="C3313" s="155"/>
      <c r="D3313" s="33"/>
      <c r="E3313" s="34"/>
      <c r="F3313" s="28" t="s">
        <v>418</v>
      </c>
      <c r="G3313" s="31" t="str">
        <f>IF(ISNUMBER(F3313),E3313*F3313,"")</f>
        <v/>
      </c>
      <c r="H3313" s="32"/>
      <c r="I3313" s="28"/>
      <c r="J3313" s="125">
        <v>0</v>
      </c>
    </row>
    <row r="3314" spans="1:10" ht="15.75" thickBot="1" x14ac:dyDescent="0.3">
      <c r="A3314" s="234" t="s">
        <v>862</v>
      </c>
      <c r="B3314" s="237" t="s">
        <v>1747</v>
      </c>
      <c r="C3314" s="160"/>
      <c r="D3314" s="23" t="s">
        <v>70</v>
      </c>
      <c r="E3314" s="24"/>
      <c r="F3314" s="37" t="s">
        <v>418</v>
      </c>
      <c r="G3314" s="25" t="str">
        <f>IF(ISNUMBER(F3314),E3314*F3314,"")</f>
        <v/>
      </c>
      <c r="H3314" s="26"/>
      <c r="I3314" s="27"/>
      <c r="J3314" s="125">
        <v>200</v>
      </c>
    </row>
    <row r="3315" spans="1:10" x14ac:dyDescent="0.25">
      <c r="A3315" s="235"/>
      <c r="B3315" s="238"/>
      <c r="C3315" s="151"/>
      <c r="D3315" s="29"/>
      <c r="E3315" s="30"/>
      <c r="F3315" s="38" t="s">
        <v>418</v>
      </c>
      <c r="G3315" s="31" t="str">
        <f>IF(ISNUMBER(F3315),E3315*F3315,"")</f>
        <v/>
      </c>
      <c r="H3315" s="32"/>
      <c r="I3315" s="28"/>
      <c r="J3315" s="125">
        <v>200</v>
      </c>
    </row>
    <row r="3316" spans="1:10" ht="25.5" x14ac:dyDescent="0.25">
      <c r="A3316" s="235"/>
      <c r="B3316" s="238"/>
      <c r="C3316" s="155" t="s">
        <v>863</v>
      </c>
      <c r="D3316" s="155" t="s">
        <v>587</v>
      </c>
      <c r="E3316" s="34">
        <v>0.29509999999999997</v>
      </c>
      <c r="F3316" s="28">
        <v>21.593499999999999</v>
      </c>
      <c r="G3316" s="31">
        <f>IF(ISNUMBER(F3316),E3316*F3316,"")</f>
        <v>6.3722418499999991</v>
      </c>
      <c r="H3316" s="35">
        <f>SUM(G3316:G3318)</f>
        <v>9.4687099796939993</v>
      </c>
      <c r="I3316" s="36"/>
      <c r="J3316" s="125">
        <v>200</v>
      </c>
    </row>
    <row r="3317" spans="1:10" x14ac:dyDescent="0.25">
      <c r="A3317" s="235"/>
      <c r="B3317" s="238"/>
      <c r="C3317" s="155" t="s">
        <v>588</v>
      </c>
      <c r="D3317" s="155" t="s">
        <v>587</v>
      </c>
      <c r="E3317" s="34">
        <v>5.8999999999999997E-2</v>
      </c>
      <c r="F3317" s="28">
        <v>19.189999999999998</v>
      </c>
      <c r="G3317" s="31">
        <f>IF(ISNUMBER(F3317),E3317*F3317,"")</f>
        <v>1.1322099999999997</v>
      </c>
      <c r="H3317" s="32"/>
      <c r="I3317" s="28"/>
      <c r="J3317" s="125">
        <v>200</v>
      </c>
    </row>
    <row r="3318" spans="1:10" ht="51" x14ac:dyDescent="0.25">
      <c r="A3318" s="235"/>
      <c r="B3318" s="238"/>
      <c r="C3318" s="155" t="s">
        <v>864</v>
      </c>
      <c r="D3318" s="155" t="s">
        <v>865</v>
      </c>
      <c r="E3318" s="34">
        <v>0.16730700000000001</v>
      </c>
      <c r="F3318" s="28">
        <v>11.740441999999998</v>
      </c>
      <c r="G3318" s="31">
        <f>IF(ISNUMBER(F3318),E3318*F3318,"")</f>
        <v>1.9642581296939998</v>
      </c>
      <c r="H3318" s="32"/>
      <c r="I3318" s="28"/>
      <c r="J3318" s="125">
        <v>200</v>
      </c>
    </row>
    <row r="3319" spans="1:10" ht="15.75" thickBot="1" x14ac:dyDescent="0.3">
      <c r="A3319" s="236"/>
      <c r="B3319" s="239"/>
      <c r="C3319" s="155"/>
      <c r="D3319" s="33"/>
      <c r="E3319" s="34"/>
      <c r="F3319" s="28" t="s">
        <v>418</v>
      </c>
      <c r="G3319" s="31" t="str">
        <f>IF(ISNUMBER(F3319),E3319*F3319,"")</f>
        <v/>
      </c>
      <c r="H3319" s="32"/>
      <c r="I3319" s="28"/>
      <c r="J3319" s="125">
        <v>200</v>
      </c>
    </row>
    <row r="3320" spans="1:10" ht="15.75" hidden="1" thickBot="1" x14ac:dyDescent="0.3">
      <c r="A3320" s="234" t="s">
        <v>866</v>
      </c>
      <c r="B3320" s="237" t="s">
        <v>1748</v>
      </c>
      <c r="C3320" s="160"/>
      <c r="D3320" s="23" t="s">
        <v>69</v>
      </c>
      <c r="E3320" s="24"/>
      <c r="F3320" s="37" t="s">
        <v>418</v>
      </c>
      <c r="G3320" s="25" t="str">
        <f>IF(ISNUMBER(F3320),E3320*F3320,"")</f>
        <v/>
      </c>
      <c r="H3320" s="26"/>
      <c r="I3320" s="27"/>
      <c r="J3320" s="125">
        <v>0</v>
      </c>
    </row>
    <row r="3321" spans="1:10" ht="15.75" hidden="1" thickBot="1" x14ac:dyDescent="0.3">
      <c r="A3321" s="235"/>
      <c r="B3321" s="238"/>
      <c r="C3321" s="151"/>
      <c r="D3321" s="29"/>
      <c r="E3321" s="30"/>
      <c r="F3321" s="38" t="s">
        <v>418</v>
      </c>
      <c r="G3321" s="31" t="str">
        <f>IF(ISNUMBER(F3321),E3321*F3321,"")</f>
        <v/>
      </c>
      <c r="H3321" s="32"/>
      <c r="I3321" s="28"/>
      <c r="J3321" s="125">
        <v>0</v>
      </c>
    </row>
    <row r="3322" spans="1:10" ht="26.25" hidden="1" thickBot="1" x14ac:dyDescent="0.3">
      <c r="A3322" s="235"/>
      <c r="B3322" s="238"/>
      <c r="C3322" s="155" t="s">
        <v>863</v>
      </c>
      <c r="D3322" s="155" t="s">
        <v>587</v>
      </c>
      <c r="E3322" s="34">
        <v>0.5</v>
      </c>
      <c r="F3322" s="28">
        <v>21.593499999999999</v>
      </c>
      <c r="G3322" s="31">
        <f>IF(ISNUMBER(F3322),E3322*F3322,"")</f>
        <v>10.796749999999999</v>
      </c>
      <c r="H3322" s="35">
        <f>SUM(G3322:G3324)</f>
        <v>17.435407683999998</v>
      </c>
      <c r="I3322" s="36"/>
      <c r="J3322" s="125">
        <v>0</v>
      </c>
    </row>
    <row r="3323" spans="1:10" ht="15.75" hidden="1" thickBot="1" x14ac:dyDescent="0.3">
      <c r="A3323" s="235"/>
      <c r="B3323" s="238"/>
      <c r="C3323" s="155" t="s">
        <v>588</v>
      </c>
      <c r="D3323" s="155" t="s">
        <v>587</v>
      </c>
      <c r="E3323" s="34">
        <v>0.1</v>
      </c>
      <c r="F3323" s="28">
        <v>19.189999999999998</v>
      </c>
      <c r="G3323" s="31">
        <f>IF(ISNUMBER(F3323),E3323*F3323,"")</f>
        <v>1.9189999999999998</v>
      </c>
      <c r="H3323" s="35"/>
      <c r="I3323" s="36"/>
      <c r="J3323" s="125">
        <v>0</v>
      </c>
    </row>
    <row r="3324" spans="1:10" ht="51.75" hidden="1" thickBot="1" x14ac:dyDescent="0.3">
      <c r="A3324" s="235"/>
      <c r="B3324" s="238"/>
      <c r="C3324" s="155" t="s">
        <v>864</v>
      </c>
      <c r="D3324" s="155" t="s">
        <v>865</v>
      </c>
      <c r="E3324" s="34">
        <v>0.40200000000000002</v>
      </c>
      <c r="F3324" s="28">
        <v>11.740441999999998</v>
      </c>
      <c r="G3324" s="31">
        <f>IF(ISNUMBER(F3324),E3324*F3324,"")</f>
        <v>4.7196576839999995</v>
      </c>
      <c r="H3324" s="32"/>
      <c r="I3324" s="28"/>
      <c r="J3324" s="125">
        <v>0</v>
      </c>
    </row>
    <row r="3325" spans="1:10" ht="15.75" hidden="1" thickBot="1" x14ac:dyDescent="0.3">
      <c r="A3325" s="236"/>
      <c r="B3325" s="239"/>
      <c r="C3325" s="155"/>
      <c r="D3325" s="33"/>
      <c r="E3325" s="34"/>
      <c r="F3325" s="28" t="s">
        <v>418</v>
      </c>
      <c r="G3325" s="31" t="str">
        <f>IF(ISNUMBER(F3325),E3325*F3325,"")</f>
        <v/>
      </c>
      <c r="H3325" s="32"/>
      <c r="I3325" s="28"/>
      <c r="J3325" s="125">
        <v>0</v>
      </c>
    </row>
    <row r="3326" spans="1:10" ht="15.75" hidden="1" thickBot="1" x14ac:dyDescent="0.3">
      <c r="A3326" s="234" t="s">
        <v>867</v>
      </c>
      <c r="B3326" s="237" t="s">
        <v>13467</v>
      </c>
      <c r="C3326" s="160"/>
      <c r="D3326" s="23" t="s">
        <v>1345</v>
      </c>
      <c r="E3326" s="24"/>
      <c r="F3326" s="37" t="s">
        <v>418</v>
      </c>
      <c r="G3326" s="25" t="str">
        <f>IF(ISNUMBER(F3326),E3326*F3326,"")</f>
        <v/>
      </c>
      <c r="H3326" s="26"/>
      <c r="I3326" s="27"/>
      <c r="J3326" s="125">
        <v>0</v>
      </c>
    </row>
    <row r="3327" spans="1:10" ht="15.75" hidden="1" thickBot="1" x14ac:dyDescent="0.3">
      <c r="A3327" s="235"/>
      <c r="B3327" s="238"/>
      <c r="C3327" s="151"/>
      <c r="D3327" s="29"/>
      <c r="E3327" s="30"/>
      <c r="F3327" s="38" t="s">
        <v>418</v>
      </c>
      <c r="G3327" s="31" t="str">
        <f>IF(ISNUMBER(F3327),E3327*F3327,"")</f>
        <v/>
      </c>
      <c r="H3327" s="32"/>
      <c r="I3327" s="28"/>
      <c r="J3327" s="125">
        <v>0</v>
      </c>
    </row>
    <row r="3328" spans="1:10" ht="26.25" hidden="1" thickBot="1" x14ac:dyDescent="0.3">
      <c r="A3328" s="235"/>
      <c r="B3328" s="238"/>
      <c r="C3328" s="155" t="s">
        <v>868</v>
      </c>
      <c r="D3328" s="155" t="s">
        <v>205</v>
      </c>
      <c r="E3328" s="34">
        <v>0.89449999999999996</v>
      </c>
      <c r="F3328" s="28">
        <v>0.19</v>
      </c>
      <c r="G3328" s="31">
        <f>IF(ISNUMBER(F3328),E3328*F3328,"")</f>
        <v>0.16995499999999999</v>
      </c>
      <c r="H3328" s="35">
        <f>SUM(G3328:G3331)</f>
        <v>4.7767007000000001</v>
      </c>
      <c r="I3328" s="36"/>
      <c r="J3328" s="125">
        <v>0</v>
      </c>
    </row>
    <row r="3329" spans="1:10" ht="26.25" hidden="1" thickBot="1" x14ac:dyDescent="0.3">
      <c r="A3329" s="235"/>
      <c r="B3329" s="238"/>
      <c r="C3329" s="155" t="s">
        <v>869</v>
      </c>
      <c r="D3329" s="155" t="s">
        <v>870</v>
      </c>
      <c r="E3329" s="34">
        <f>ROUND(1.177*(1/3),4)</f>
        <v>0.39229999999999998</v>
      </c>
      <c r="F3329" s="28">
        <v>2.6694999999999998</v>
      </c>
      <c r="G3329" s="31">
        <f>IF(ISNUMBER(F3329),E3329*F3329,"")</f>
        <v>1.0472448499999998</v>
      </c>
      <c r="H3329" s="32"/>
      <c r="I3329" s="28"/>
      <c r="J3329" s="125">
        <v>0</v>
      </c>
    </row>
    <row r="3330" spans="1:10" ht="15.75" hidden="1" thickBot="1" x14ac:dyDescent="0.3">
      <c r="A3330" s="235"/>
      <c r="B3330" s="238"/>
      <c r="C3330" s="155" t="s">
        <v>662</v>
      </c>
      <c r="D3330" s="155" t="s">
        <v>587</v>
      </c>
      <c r="E3330" s="34">
        <v>6.9900000000000004E-2</v>
      </c>
      <c r="F3330" s="28">
        <v>24.367499999999996</v>
      </c>
      <c r="G3330" s="31">
        <f>IF(ISNUMBER(F3330),E3330*F3330,"")</f>
        <v>1.7032882499999997</v>
      </c>
      <c r="H3330" s="32"/>
      <c r="I3330" s="28"/>
      <c r="J3330" s="125">
        <v>0</v>
      </c>
    </row>
    <row r="3331" spans="1:10" ht="15.75" hidden="1" thickBot="1" x14ac:dyDescent="0.3">
      <c r="A3331" s="235"/>
      <c r="B3331" s="238"/>
      <c r="C3331" s="155" t="s">
        <v>871</v>
      </c>
      <c r="D3331" s="155" t="s">
        <v>587</v>
      </c>
      <c r="E3331" s="34">
        <v>7.3400000000000007E-2</v>
      </c>
      <c r="F3331" s="28">
        <v>25.289000000000001</v>
      </c>
      <c r="G3331" s="31">
        <f>IF(ISNUMBER(F3331),E3331*F3331,"")</f>
        <v>1.8562126000000003</v>
      </c>
      <c r="H3331" s="32"/>
      <c r="I3331" s="28"/>
      <c r="J3331" s="125">
        <v>0</v>
      </c>
    </row>
    <row r="3332" spans="1:10" ht="15.75" hidden="1" thickBot="1" x14ac:dyDescent="0.3">
      <c r="A3332" s="235"/>
      <c r="B3332" s="238"/>
      <c r="C3332" s="155"/>
      <c r="D3332" s="42"/>
      <c r="E3332" s="34"/>
      <c r="F3332" s="28" t="s">
        <v>418</v>
      </c>
      <c r="G3332" s="31" t="str">
        <f>IF(ISNUMBER(F3332),E3332*F3332,"")</f>
        <v/>
      </c>
      <c r="H3332" s="32"/>
      <c r="I3332" s="28"/>
      <c r="J3332" s="125">
        <v>0</v>
      </c>
    </row>
    <row r="3333" spans="1:10" ht="26.25" hidden="1" thickBot="1" x14ac:dyDescent="0.3">
      <c r="A3333" s="235"/>
      <c r="B3333" s="238"/>
      <c r="C3333" s="47" t="s">
        <v>872</v>
      </c>
      <c r="D3333" s="42"/>
      <c r="E3333" s="34"/>
      <c r="F3333" s="28" t="s">
        <v>418</v>
      </c>
      <c r="G3333" s="31" t="str">
        <f>IF(ISNUMBER(F3333),E3333*F3333,"")</f>
        <v/>
      </c>
      <c r="H3333" s="32"/>
      <c r="I3333" s="28"/>
      <c r="J3333" s="125">
        <v>0</v>
      </c>
    </row>
    <row r="3334" spans="1:10" ht="15.75" hidden="1" thickBot="1" x14ac:dyDescent="0.3">
      <c r="A3334" s="236"/>
      <c r="B3334" s="239"/>
      <c r="C3334" s="164"/>
      <c r="D3334" s="50"/>
      <c r="E3334" s="61"/>
      <c r="F3334" s="62" t="s">
        <v>418</v>
      </c>
      <c r="G3334" s="63" t="str">
        <f>IF(ISNUMBER(F3334),E3334*F3334,"")</f>
        <v/>
      </c>
      <c r="H3334" s="64"/>
      <c r="I3334" s="28"/>
      <c r="J3334" s="125">
        <v>0</v>
      </c>
    </row>
    <row r="3335" spans="1:10" ht="15.75" hidden="1" thickBot="1" x14ac:dyDescent="0.3">
      <c r="A3335" s="234" t="s">
        <v>873</v>
      </c>
      <c r="B3335" s="237" t="s">
        <v>1749</v>
      </c>
      <c r="C3335" s="160"/>
      <c r="D3335" s="23" t="s">
        <v>16</v>
      </c>
      <c r="E3335" s="24"/>
      <c r="F3335" s="37" t="s">
        <v>418</v>
      </c>
      <c r="G3335" s="25" t="str">
        <f>IF(ISNUMBER(F3335),E3335*F3335,"")</f>
        <v/>
      </c>
      <c r="H3335" s="26"/>
      <c r="I3335" s="27"/>
      <c r="J3335" s="125">
        <v>0</v>
      </c>
    </row>
    <row r="3336" spans="1:10" ht="15.75" hidden="1" thickBot="1" x14ac:dyDescent="0.3">
      <c r="A3336" s="235"/>
      <c r="B3336" s="238"/>
      <c r="C3336" s="151"/>
      <c r="D3336" s="29"/>
      <c r="E3336" s="30"/>
      <c r="F3336" s="38" t="s">
        <v>418</v>
      </c>
      <c r="G3336" s="31" t="str">
        <f>IF(ISNUMBER(F3336),E3336*F3336,"")</f>
        <v/>
      </c>
      <c r="H3336" s="32"/>
      <c r="I3336" s="28"/>
      <c r="J3336" s="125">
        <v>0</v>
      </c>
    </row>
    <row r="3337" spans="1:10" ht="15.75" hidden="1" thickBot="1" x14ac:dyDescent="0.3">
      <c r="A3337" s="235"/>
      <c r="B3337" s="238"/>
      <c r="C3337" s="155" t="s">
        <v>1048</v>
      </c>
      <c r="D3337" s="155" t="s">
        <v>587</v>
      </c>
      <c r="E3337" s="34">
        <v>2.5</v>
      </c>
      <c r="F3337" s="28">
        <v>25.46</v>
      </c>
      <c r="G3337" s="31">
        <f>IF(ISNUMBER(F3337),E3337*F3337,"")</f>
        <v>63.650000000000006</v>
      </c>
      <c r="H3337" s="35">
        <f>SUM(G3337:G3338)</f>
        <v>159.6</v>
      </c>
      <c r="I3337" s="36"/>
      <c r="J3337" s="125">
        <v>0</v>
      </c>
    </row>
    <row r="3338" spans="1:10" ht="15.75" hidden="1" thickBot="1" x14ac:dyDescent="0.3">
      <c r="A3338" s="235"/>
      <c r="B3338" s="238"/>
      <c r="C3338" s="155" t="s">
        <v>664</v>
      </c>
      <c r="D3338" s="155" t="s">
        <v>587</v>
      </c>
      <c r="E3338" s="34">
        <v>5</v>
      </c>
      <c r="F3338" s="28">
        <v>19.189999999999998</v>
      </c>
      <c r="G3338" s="31">
        <f>IF(ISNUMBER(F3338),E3338*F3338,"")</f>
        <v>95.949999999999989</v>
      </c>
      <c r="H3338" s="32"/>
      <c r="I3338" s="28"/>
      <c r="J3338" s="125">
        <v>0</v>
      </c>
    </row>
    <row r="3339" spans="1:10" ht="15.75" hidden="1" thickBot="1" x14ac:dyDescent="0.3">
      <c r="A3339" s="236"/>
      <c r="B3339" s="239"/>
      <c r="C3339" s="155"/>
      <c r="D3339" s="33"/>
      <c r="E3339" s="34"/>
      <c r="F3339" s="28" t="s">
        <v>418</v>
      </c>
      <c r="G3339" s="31" t="str">
        <f>IF(ISNUMBER(F3339),E3339*F3339,"")</f>
        <v/>
      </c>
      <c r="H3339" s="32"/>
      <c r="I3339" s="28"/>
      <c r="J3339" s="125">
        <v>0</v>
      </c>
    </row>
    <row r="3340" spans="1:10" ht="15.75" hidden="1" thickBot="1" x14ac:dyDescent="0.3">
      <c r="A3340" s="234" t="s">
        <v>874</v>
      </c>
      <c r="B3340" s="237" t="s">
        <v>1750</v>
      </c>
      <c r="C3340" s="160"/>
      <c r="D3340" s="23" t="s">
        <v>16</v>
      </c>
      <c r="E3340" s="24"/>
      <c r="F3340" s="37" t="s">
        <v>418</v>
      </c>
      <c r="G3340" s="25" t="str">
        <f>IF(ISNUMBER(F3340),E3340*F3340,"")</f>
        <v/>
      </c>
      <c r="H3340" s="26"/>
      <c r="I3340" s="27"/>
      <c r="J3340" s="125">
        <v>0</v>
      </c>
    </row>
    <row r="3341" spans="1:10" ht="15.75" hidden="1" thickBot="1" x14ac:dyDescent="0.3">
      <c r="A3341" s="235"/>
      <c r="B3341" s="238"/>
      <c r="C3341" s="151"/>
      <c r="D3341" s="29"/>
      <c r="E3341" s="30"/>
      <c r="F3341" s="38" t="s">
        <v>418</v>
      </c>
      <c r="G3341" s="31" t="str">
        <f>IF(ISNUMBER(F3341),E3341*F3341,"")</f>
        <v/>
      </c>
      <c r="H3341" s="32"/>
      <c r="I3341" s="28"/>
      <c r="J3341" s="125">
        <v>0</v>
      </c>
    </row>
    <row r="3342" spans="1:10" ht="26.25" hidden="1" thickBot="1" x14ac:dyDescent="0.3">
      <c r="A3342" s="235"/>
      <c r="B3342" s="238"/>
      <c r="C3342" s="155" t="s">
        <v>875</v>
      </c>
      <c r="D3342" s="42" t="s">
        <v>97</v>
      </c>
      <c r="E3342" s="34">
        <v>1</v>
      </c>
      <c r="F3342" s="28" t="s">
        <v>418</v>
      </c>
      <c r="G3342" s="31" t="str">
        <f>IF(ISNUMBER(F3342),E3342*F3342,"")</f>
        <v/>
      </c>
      <c r="H3342" s="35">
        <f>SUM(G3342:G3345)</f>
        <v>6.6962972999999995</v>
      </c>
      <c r="I3342" s="36"/>
      <c r="J3342" s="125">
        <v>0</v>
      </c>
    </row>
    <row r="3343" spans="1:10" ht="15.75" hidden="1" thickBot="1" x14ac:dyDescent="0.3">
      <c r="A3343" s="235"/>
      <c r="B3343" s="238"/>
      <c r="C3343" s="155" t="s">
        <v>237</v>
      </c>
      <c r="D3343" s="155" t="s">
        <v>205</v>
      </c>
      <c r="E3343" s="34">
        <v>1.32E-2</v>
      </c>
      <c r="F3343" s="28">
        <v>17.166499999999999</v>
      </c>
      <c r="G3343" s="31">
        <f>IF(ISNUMBER(F3343),E3343*F3343,"")</f>
        <v>0.22659779999999999</v>
      </c>
      <c r="H3343" s="32"/>
      <c r="I3343" s="28"/>
      <c r="J3343" s="125">
        <v>0</v>
      </c>
    </row>
    <row r="3344" spans="1:10" ht="26.25" hidden="1" thickBot="1" x14ac:dyDescent="0.3">
      <c r="A3344" s="235"/>
      <c r="B3344" s="238"/>
      <c r="C3344" s="155" t="s">
        <v>825</v>
      </c>
      <c r="D3344" s="155" t="s">
        <v>587</v>
      </c>
      <c r="E3344" s="34">
        <v>0.14849999999999999</v>
      </c>
      <c r="F3344" s="28">
        <v>24.9375</v>
      </c>
      <c r="G3344" s="31">
        <f>IF(ISNUMBER(F3344),E3344*F3344,"")</f>
        <v>3.70321875</v>
      </c>
      <c r="H3344" s="32"/>
      <c r="I3344" s="28"/>
      <c r="J3344" s="125">
        <v>0</v>
      </c>
    </row>
    <row r="3345" spans="1:10" ht="26.25" hidden="1" thickBot="1" x14ac:dyDescent="0.3">
      <c r="A3345" s="235"/>
      <c r="B3345" s="238"/>
      <c r="C3345" s="155" t="s">
        <v>824</v>
      </c>
      <c r="D3345" s="155" t="s">
        <v>587</v>
      </c>
      <c r="E3345" s="34">
        <v>0.14849999999999999</v>
      </c>
      <c r="F3345" s="28">
        <v>18.6295</v>
      </c>
      <c r="G3345" s="31">
        <f>IF(ISNUMBER(F3345),E3345*F3345,"")</f>
        <v>2.7664807499999999</v>
      </c>
      <c r="H3345" s="32"/>
      <c r="I3345" s="28"/>
      <c r="J3345" s="125">
        <v>0</v>
      </c>
    </row>
    <row r="3346" spans="1:10" ht="15.75" hidden="1" thickBot="1" x14ac:dyDescent="0.3">
      <c r="A3346" s="236"/>
      <c r="B3346" s="239"/>
      <c r="C3346" s="155"/>
      <c r="D3346" s="33"/>
      <c r="E3346" s="34"/>
      <c r="F3346" s="28" t="s">
        <v>418</v>
      </c>
      <c r="G3346" s="31" t="str">
        <f>IF(ISNUMBER(F3346),E3346*F3346,"")</f>
        <v/>
      </c>
      <c r="H3346" s="32"/>
      <c r="I3346" s="28"/>
      <c r="J3346" s="125">
        <v>0</v>
      </c>
    </row>
    <row r="3347" spans="1:10" ht="15.75" hidden="1" thickBot="1" x14ac:dyDescent="0.3">
      <c r="A3347" s="234" t="s">
        <v>876</v>
      </c>
      <c r="B3347" s="237" t="s">
        <v>1751</v>
      </c>
      <c r="C3347" s="160"/>
      <c r="D3347" s="23" t="s">
        <v>16</v>
      </c>
      <c r="E3347" s="24"/>
      <c r="F3347" s="37" t="s">
        <v>418</v>
      </c>
      <c r="G3347" s="25" t="str">
        <f>IF(ISNUMBER(F3347),E3347*F3347,"")</f>
        <v/>
      </c>
      <c r="H3347" s="26"/>
      <c r="I3347" s="27"/>
      <c r="J3347" s="125">
        <v>0</v>
      </c>
    </row>
    <row r="3348" spans="1:10" ht="15.75" hidden="1" thickBot="1" x14ac:dyDescent="0.3">
      <c r="A3348" s="235"/>
      <c r="B3348" s="238"/>
      <c r="C3348" s="151"/>
      <c r="D3348" s="29"/>
      <c r="E3348" s="30"/>
      <c r="F3348" s="38" t="s">
        <v>418</v>
      </c>
      <c r="G3348" s="31" t="str">
        <f>IF(ISNUMBER(F3348),E3348*F3348,"")</f>
        <v/>
      </c>
      <c r="H3348" s="32"/>
      <c r="I3348" s="28"/>
      <c r="J3348" s="125">
        <v>0</v>
      </c>
    </row>
    <row r="3349" spans="1:10" ht="15.75" hidden="1" thickBot="1" x14ac:dyDescent="0.3">
      <c r="A3349" s="235"/>
      <c r="B3349" s="238"/>
      <c r="C3349" s="155" t="s">
        <v>237</v>
      </c>
      <c r="D3349" s="155" t="s">
        <v>205</v>
      </c>
      <c r="E3349" s="34">
        <v>1.06E-2</v>
      </c>
      <c r="F3349" s="28">
        <v>17.166499999999999</v>
      </c>
      <c r="G3349" s="31">
        <f>IF(ISNUMBER(F3349),E3349*F3349,"")</f>
        <v>0.18196489999999998</v>
      </c>
      <c r="H3349" s="35">
        <f>SUM(G3349:G3352)</f>
        <v>4.9830483000000001</v>
      </c>
      <c r="I3349" s="36"/>
      <c r="J3349" s="125">
        <v>0</v>
      </c>
    </row>
    <row r="3350" spans="1:10" ht="26.25" hidden="1" thickBot="1" x14ac:dyDescent="0.3">
      <c r="A3350" s="235"/>
      <c r="B3350" s="238"/>
      <c r="C3350" s="155" t="s">
        <v>877</v>
      </c>
      <c r="D3350" s="42" t="s">
        <v>97</v>
      </c>
      <c r="E3350" s="34">
        <v>1</v>
      </c>
      <c r="F3350" s="28" t="s">
        <v>418</v>
      </c>
      <c r="G3350" s="31" t="str">
        <f>IF(ISNUMBER(F3350),E3350*F3350,"")</f>
        <v/>
      </c>
      <c r="H3350" s="32"/>
      <c r="I3350" s="28"/>
      <c r="J3350" s="125">
        <v>0</v>
      </c>
    </row>
    <row r="3351" spans="1:10" ht="26.25" hidden="1" thickBot="1" x14ac:dyDescent="0.3">
      <c r="A3351" s="235"/>
      <c r="B3351" s="238"/>
      <c r="C3351" s="155" t="s">
        <v>824</v>
      </c>
      <c r="D3351" s="155" t="s">
        <v>587</v>
      </c>
      <c r="E3351" s="34">
        <v>0.11020000000000001</v>
      </c>
      <c r="F3351" s="28">
        <v>18.6295</v>
      </c>
      <c r="G3351" s="31">
        <f>IF(ISNUMBER(F3351),E3351*F3351,"")</f>
        <v>2.0529709</v>
      </c>
      <c r="H3351" s="32"/>
      <c r="I3351" s="28"/>
      <c r="J3351" s="125">
        <v>0</v>
      </c>
    </row>
    <row r="3352" spans="1:10" ht="26.25" hidden="1" thickBot="1" x14ac:dyDescent="0.3">
      <c r="A3352" s="235"/>
      <c r="B3352" s="238"/>
      <c r="C3352" s="155" t="s">
        <v>825</v>
      </c>
      <c r="D3352" s="155" t="s">
        <v>587</v>
      </c>
      <c r="E3352" s="34">
        <v>0.11020000000000001</v>
      </c>
      <c r="F3352" s="28">
        <v>24.9375</v>
      </c>
      <c r="G3352" s="31">
        <f>IF(ISNUMBER(F3352),E3352*F3352,"")</f>
        <v>2.7481125</v>
      </c>
      <c r="H3352" s="32"/>
      <c r="I3352" s="28"/>
      <c r="J3352" s="125">
        <v>0</v>
      </c>
    </row>
    <row r="3353" spans="1:10" ht="15.75" hidden="1" thickBot="1" x14ac:dyDescent="0.3">
      <c r="A3353" s="236"/>
      <c r="B3353" s="239"/>
      <c r="C3353" s="155"/>
      <c r="D3353" s="33"/>
      <c r="E3353" s="34"/>
      <c r="F3353" s="28" t="s">
        <v>418</v>
      </c>
      <c r="G3353" s="31" t="str">
        <f>IF(ISNUMBER(F3353),E3353*F3353,"")</f>
        <v/>
      </c>
      <c r="H3353" s="32"/>
      <c r="I3353" s="28"/>
      <c r="J3353" s="125">
        <v>0</v>
      </c>
    </row>
    <row r="3354" spans="1:10" ht="15.75" hidden="1" thickBot="1" x14ac:dyDescent="0.3">
      <c r="A3354" s="234" t="s">
        <v>878</v>
      </c>
      <c r="B3354" s="237" t="s">
        <v>19761</v>
      </c>
      <c r="C3354" s="160"/>
      <c r="D3354" s="23" t="s">
        <v>16</v>
      </c>
      <c r="E3354" s="24"/>
      <c r="F3354" s="37" t="s">
        <v>418</v>
      </c>
      <c r="G3354" s="25" t="str">
        <f>IF(ISNUMBER(F3354),E3354*F3354,"")</f>
        <v/>
      </c>
      <c r="H3354" s="26"/>
      <c r="I3354" s="27"/>
      <c r="J3354" s="125">
        <v>0</v>
      </c>
    </row>
    <row r="3355" spans="1:10" ht="15.75" hidden="1" thickBot="1" x14ac:dyDescent="0.3">
      <c r="A3355" s="235"/>
      <c r="B3355" s="238"/>
      <c r="C3355" s="151"/>
      <c r="D3355" s="29"/>
      <c r="E3355" s="30"/>
      <c r="F3355" s="38" t="s">
        <v>418</v>
      </c>
      <c r="G3355" s="31" t="str">
        <f>IF(ISNUMBER(F3355),E3355*F3355,"")</f>
        <v/>
      </c>
      <c r="H3355" s="32"/>
      <c r="I3355" s="28"/>
      <c r="J3355" s="125">
        <v>0</v>
      </c>
    </row>
    <row r="3356" spans="1:10" ht="26.25" hidden="1" thickBot="1" x14ac:dyDescent="0.3">
      <c r="A3356" s="235"/>
      <c r="B3356" s="238"/>
      <c r="C3356" s="155" t="s">
        <v>879</v>
      </c>
      <c r="D3356" s="155" t="s">
        <v>205</v>
      </c>
      <c r="E3356" s="34">
        <v>1</v>
      </c>
      <c r="F3356" s="28">
        <v>235.68549999999999</v>
      </c>
      <c r="G3356" s="31">
        <f>IF(ISNUMBER(F3356),E3356*F3356,"")</f>
        <v>235.68549999999999</v>
      </c>
      <c r="H3356" s="35">
        <f>SUM(G3356:G3359)</f>
        <v>280.42135894256978</v>
      </c>
      <c r="I3356" s="36"/>
      <c r="J3356" s="125">
        <v>0</v>
      </c>
    </row>
    <row r="3357" spans="1:10" ht="26.25" hidden="1" thickBot="1" x14ac:dyDescent="0.3">
      <c r="A3357" s="235"/>
      <c r="B3357" s="238"/>
      <c r="C3357" s="155" t="s">
        <v>9182</v>
      </c>
      <c r="D3357" s="155" t="s">
        <v>85</v>
      </c>
      <c r="E3357" s="34">
        <v>4.4000000000000003E-3</v>
      </c>
      <c r="F3357" s="28">
        <v>828.55930512949988</v>
      </c>
      <c r="G3357" s="31">
        <f>IF(ISNUMBER(F3357),E3357*F3357,"")</f>
        <v>3.6456609425697999</v>
      </c>
      <c r="H3357" s="32"/>
      <c r="I3357" s="28"/>
      <c r="J3357" s="125">
        <v>0</v>
      </c>
    </row>
    <row r="3358" spans="1:10" ht="15.75" hidden="1" thickBot="1" x14ac:dyDescent="0.3">
      <c r="A3358" s="235"/>
      <c r="B3358" s="238"/>
      <c r="C3358" s="155" t="s">
        <v>595</v>
      </c>
      <c r="D3358" s="155" t="s">
        <v>587</v>
      </c>
      <c r="E3358" s="34">
        <v>1.0088999999999999</v>
      </c>
      <c r="F3358" s="28">
        <v>25.65</v>
      </c>
      <c r="G3358" s="31">
        <f>IF(ISNUMBER(F3358),E3358*F3358,"")</f>
        <v>25.878284999999995</v>
      </c>
      <c r="H3358" s="32"/>
      <c r="I3358" s="28"/>
      <c r="J3358" s="125">
        <v>0</v>
      </c>
    </row>
    <row r="3359" spans="1:10" ht="15.75" hidden="1" thickBot="1" x14ac:dyDescent="0.3">
      <c r="A3359" s="235"/>
      <c r="B3359" s="238"/>
      <c r="C3359" s="155" t="s">
        <v>588</v>
      </c>
      <c r="D3359" s="155" t="s">
        <v>587</v>
      </c>
      <c r="E3359" s="34">
        <v>0.79269999999999996</v>
      </c>
      <c r="F3359" s="28">
        <v>19.189999999999998</v>
      </c>
      <c r="G3359" s="31">
        <f>IF(ISNUMBER(F3359),E3359*F3359,"")</f>
        <v>15.211912999999997</v>
      </c>
      <c r="H3359" s="32"/>
      <c r="I3359" s="28"/>
      <c r="J3359" s="125">
        <v>0</v>
      </c>
    </row>
    <row r="3360" spans="1:10" ht="15.75" hidden="1" thickBot="1" x14ac:dyDescent="0.3">
      <c r="A3360" s="236"/>
      <c r="B3360" s="239"/>
      <c r="C3360" s="164"/>
      <c r="D3360" s="50"/>
      <c r="E3360" s="61"/>
      <c r="F3360" s="62" t="s">
        <v>418</v>
      </c>
      <c r="G3360" s="63" t="str">
        <f>IF(ISNUMBER(F3360),E3360*F3360,"")</f>
        <v/>
      </c>
      <c r="H3360" s="64"/>
      <c r="I3360" s="28"/>
      <c r="J3360" s="125">
        <v>0</v>
      </c>
    </row>
    <row r="3361" spans="1:10" ht="15.75" hidden="1" thickBot="1" x14ac:dyDescent="0.3">
      <c r="A3361" s="249" t="s">
        <v>881</v>
      </c>
      <c r="B3361" s="238" t="s">
        <v>1752</v>
      </c>
      <c r="C3361" s="160"/>
      <c r="D3361" s="145" t="s">
        <v>1305</v>
      </c>
      <c r="E3361" s="146"/>
      <c r="F3361" s="147" t="s">
        <v>418</v>
      </c>
      <c r="G3361" s="147" t="str">
        <f>IF(ISNUMBER(F3361),E3361*F3361,"")</f>
        <v/>
      </c>
      <c r="H3361" s="148"/>
      <c r="I3361" s="27"/>
      <c r="J3361" s="125">
        <v>0</v>
      </c>
    </row>
    <row r="3362" spans="1:10" ht="15.75" hidden="1" thickBot="1" x14ac:dyDescent="0.3">
      <c r="A3362" s="235"/>
      <c r="B3362" s="238"/>
      <c r="C3362" s="151"/>
      <c r="D3362" s="29"/>
      <c r="E3362" s="30"/>
      <c r="F3362" s="28" t="s">
        <v>418</v>
      </c>
      <c r="G3362" s="31" t="str">
        <f>IF(ISNUMBER(F3362),E3362*F3362,"")</f>
        <v/>
      </c>
      <c r="H3362" s="32"/>
      <c r="I3362" s="28"/>
      <c r="J3362" s="125">
        <v>0</v>
      </c>
    </row>
    <row r="3363" spans="1:10" ht="15.75" hidden="1" thickBot="1" x14ac:dyDescent="0.3">
      <c r="A3363" s="235"/>
      <c r="B3363" s="238"/>
      <c r="C3363" s="155" t="s">
        <v>9877</v>
      </c>
      <c r="D3363" s="155" t="s">
        <v>587</v>
      </c>
      <c r="E3363" s="34">
        <v>1</v>
      </c>
      <c r="F3363" s="28">
        <v>112.28049999999999</v>
      </c>
      <c r="G3363" s="31">
        <f>IF(ISNUMBER(F3363),E3363*F3363,"")</f>
        <v>112.28049999999999</v>
      </c>
      <c r="H3363" s="35">
        <f>SUM(G3363:G3363)</f>
        <v>112.28049999999999</v>
      </c>
      <c r="I3363" s="36"/>
      <c r="J3363" s="125">
        <v>0</v>
      </c>
    </row>
    <row r="3364" spans="1:10" ht="15.75" hidden="1" thickBot="1" x14ac:dyDescent="0.3">
      <c r="A3364" s="236"/>
      <c r="B3364" s="239"/>
      <c r="C3364" s="155"/>
      <c r="D3364" s="33"/>
      <c r="E3364" s="34"/>
      <c r="F3364" s="28" t="s">
        <v>418</v>
      </c>
      <c r="G3364" s="31" t="str">
        <f>IF(ISNUMBER(F3364),E3364*F3364,"")</f>
        <v/>
      </c>
      <c r="H3364" s="32"/>
      <c r="I3364" s="28"/>
      <c r="J3364" s="125">
        <v>0</v>
      </c>
    </row>
    <row r="3365" spans="1:10" ht="15.75" hidden="1" thickBot="1" x14ac:dyDescent="0.3">
      <c r="A3365" s="234" t="s">
        <v>882</v>
      </c>
      <c r="B3365" s="237" t="s">
        <v>1753</v>
      </c>
      <c r="C3365" s="160"/>
      <c r="D3365" s="23" t="s">
        <v>20002</v>
      </c>
      <c r="E3365" s="24"/>
      <c r="F3365" s="37" t="s">
        <v>418</v>
      </c>
      <c r="G3365" s="25" t="str">
        <f>IF(ISNUMBER(F3365),E3365*F3365,"")</f>
        <v/>
      </c>
      <c r="H3365" s="26"/>
      <c r="I3365" s="27"/>
      <c r="J3365" s="125">
        <v>0</v>
      </c>
    </row>
    <row r="3366" spans="1:10" ht="15.75" hidden="1" thickBot="1" x14ac:dyDescent="0.3">
      <c r="A3366" s="249"/>
      <c r="B3366" s="238"/>
      <c r="C3366" s="151"/>
      <c r="D3366" s="29"/>
      <c r="E3366" s="30"/>
      <c r="F3366" s="38" t="s">
        <v>418</v>
      </c>
      <c r="G3366" s="31" t="str">
        <f>IF(ISNUMBER(F3366),E3366*F3366,"")</f>
        <v/>
      </c>
      <c r="H3366" s="32"/>
      <c r="I3366" s="28"/>
      <c r="J3366" s="125">
        <v>0</v>
      </c>
    </row>
    <row r="3367" spans="1:10" ht="39" hidden="1" thickBot="1" x14ac:dyDescent="0.3">
      <c r="A3367" s="249"/>
      <c r="B3367" s="238"/>
      <c r="C3367" s="155" t="s">
        <v>883</v>
      </c>
      <c r="D3367" s="155" t="s">
        <v>89</v>
      </c>
      <c r="E3367" s="34">
        <v>1</v>
      </c>
      <c r="F3367" s="28">
        <v>702.20199999999988</v>
      </c>
      <c r="G3367" s="31">
        <f>IF(ISNUMBER(F3367),E3367*F3367,"")</f>
        <v>702.20199999999988</v>
      </c>
      <c r="H3367" s="35">
        <f>SUM(G3367:G3367)</f>
        <v>702.20199999999988</v>
      </c>
      <c r="I3367" s="36"/>
      <c r="J3367" s="125">
        <v>0</v>
      </c>
    </row>
    <row r="3368" spans="1:10" ht="15.75" hidden="1" thickBot="1" x14ac:dyDescent="0.3">
      <c r="A3368" s="250"/>
      <c r="B3368" s="239"/>
      <c r="C3368" s="155"/>
      <c r="D3368" s="33"/>
      <c r="E3368" s="34"/>
      <c r="F3368" s="28" t="s">
        <v>418</v>
      </c>
      <c r="G3368" s="31" t="str">
        <f>IF(ISNUMBER(F3368),E3368*F3368,"")</f>
        <v/>
      </c>
      <c r="H3368" s="32"/>
      <c r="I3368" s="28"/>
      <c r="J3368" s="125">
        <v>0</v>
      </c>
    </row>
    <row r="3369" spans="1:10" ht="15.75" hidden="1" thickBot="1" x14ac:dyDescent="0.3">
      <c r="A3369" s="234" t="s">
        <v>884</v>
      </c>
      <c r="B3369" s="237" t="s">
        <v>1754</v>
      </c>
      <c r="C3369" s="160"/>
      <c r="D3369" s="23" t="s">
        <v>70</v>
      </c>
      <c r="E3369" s="24"/>
      <c r="F3369" s="37" t="s">
        <v>418</v>
      </c>
      <c r="G3369" s="25" t="str">
        <f>IF(ISNUMBER(F3369),E3369*F3369,"")</f>
        <v/>
      </c>
      <c r="H3369" s="26"/>
      <c r="I3369" s="27"/>
      <c r="J3369" s="125">
        <v>0</v>
      </c>
    </row>
    <row r="3370" spans="1:10" ht="15.75" hidden="1" thickBot="1" x14ac:dyDescent="0.3">
      <c r="A3370" s="235"/>
      <c r="B3370" s="238"/>
      <c r="C3370" s="151"/>
      <c r="D3370" s="29"/>
      <c r="E3370" s="30"/>
      <c r="F3370" s="38" t="s">
        <v>418</v>
      </c>
      <c r="G3370" s="31" t="str">
        <f>IF(ISNUMBER(F3370),E3370*F3370,"")</f>
        <v/>
      </c>
      <c r="H3370" s="32"/>
      <c r="I3370" s="28"/>
      <c r="J3370" s="125">
        <v>0</v>
      </c>
    </row>
    <row r="3371" spans="1:10" ht="15.75" hidden="1" thickBot="1" x14ac:dyDescent="0.3">
      <c r="A3371" s="235"/>
      <c r="B3371" s="238"/>
      <c r="C3371" s="155" t="s">
        <v>588</v>
      </c>
      <c r="D3371" s="155" t="s">
        <v>587</v>
      </c>
      <c r="E3371" s="34">
        <v>8.8999999999999996E-2</v>
      </c>
      <c r="F3371" s="28">
        <v>19.189999999999998</v>
      </c>
      <c r="G3371" s="31">
        <f>IF(ISNUMBER(F3371),E3371*F3371,"")</f>
        <v>1.7079099999999998</v>
      </c>
      <c r="H3371" s="35">
        <f>SUM(G3371:G3372)</f>
        <v>1.7411124999999998</v>
      </c>
      <c r="I3371" s="36"/>
      <c r="J3371" s="125">
        <v>0</v>
      </c>
    </row>
    <row r="3372" spans="1:10" ht="39" hidden="1" thickBot="1" x14ac:dyDescent="0.3">
      <c r="A3372" s="235"/>
      <c r="B3372" s="238"/>
      <c r="C3372" s="155" t="s">
        <v>21630</v>
      </c>
      <c r="D3372" s="155" t="s">
        <v>814</v>
      </c>
      <c r="E3372" s="34">
        <v>1.4999999999999999E-2</v>
      </c>
      <c r="F3372" s="28">
        <v>2.2134999999999998</v>
      </c>
      <c r="G3372" s="31">
        <f>IF(ISNUMBER(F3372),E3372*F3372,"")</f>
        <v>3.3202499999999996E-2</v>
      </c>
      <c r="H3372" s="32"/>
      <c r="I3372" s="28"/>
      <c r="J3372" s="125">
        <v>0</v>
      </c>
    </row>
    <row r="3373" spans="1:10" ht="15.75" hidden="1" thickBot="1" x14ac:dyDescent="0.3">
      <c r="A3373" s="236"/>
      <c r="B3373" s="239"/>
      <c r="C3373" s="155"/>
      <c r="D3373" s="33"/>
      <c r="E3373" s="34"/>
      <c r="F3373" s="28" t="s">
        <v>418</v>
      </c>
      <c r="G3373" s="31" t="str">
        <f>IF(ISNUMBER(F3373),E3373*F3373,"")</f>
        <v/>
      </c>
      <c r="H3373" s="32"/>
      <c r="I3373" s="28"/>
      <c r="J3373" s="125">
        <v>0</v>
      </c>
    </row>
    <row r="3374" spans="1:10" ht="15.75" hidden="1" thickBot="1" x14ac:dyDescent="0.3">
      <c r="A3374" s="234" t="s">
        <v>885</v>
      </c>
      <c r="B3374" s="237" t="s">
        <v>1755</v>
      </c>
      <c r="C3374" s="160"/>
      <c r="D3374" s="23" t="s">
        <v>70</v>
      </c>
      <c r="E3374" s="24"/>
      <c r="F3374" s="44" t="s">
        <v>418</v>
      </c>
      <c r="G3374" s="25" t="str">
        <f>IF(ISNUMBER(F3374),E3374*F3374,"")</f>
        <v/>
      </c>
      <c r="H3374" s="26"/>
      <c r="I3374" s="27"/>
      <c r="J3374" s="125">
        <v>0</v>
      </c>
    </row>
    <row r="3375" spans="1:10" ht="15.75" hidden="1" thickBot="1" x14ac:dyDescent="0.3">
      <c r="A3375" s="235"/>
      <c r="B3375" s="238"/>
      <c r="C3375" s="151"/>
      <c r="D3375" s="29"/>
      <c r="E3375" s="30"/>
      <c r="F3375" s="49" t="s">
        <v>418</v>
      </c>
      <c r="G3375" s="49" t="str">
        <f>IF(ISNUMBER(F3375),E3375*F3375,"")</f>
        <v/>
      </c>
      <c r="H3375" s="65"/>
      <c r="I3375" s="66"/>
      <c r="J3375" s="125">
        <v>0</v>
      </c>
    </row>
    <row r="3376" spans="1:10" ht="15.75" hidden="1" thickBot="1" x14ac:dyDescent="0.3">
      <c r="A3376" s="235"/>
      <c r="B3376" s="238"/>
      <c r="C3376" s="155" t="s">
        <v>9784</v>
      </c>
      <c r="D3376" s="155" t="s">
        <v>587</v>
      </c>
      <c r="E3376" s="34">
        <v>0.25</v>
      </c>
      <c r="F3376" s="49">
        <v>25.516999999999999</v>
      </c>
      <c r="G3376" s="49">
        <f>IF(ISNUMBER(F3376),E3376*F3376,"")</f>
        <v>6.3792499999999999</v>
      </c>
      <c r="H3376" s="35">
        <f>SUM(G3376:G3377)</f>
        <v>6.3792499999999999</v>
      </c>
      <c r="I3376" s="36"/>
      <c r="J3376" s="125">
        <v>0</v>
      </c>
    </row>
    <row r="3377" spans="1:10" ht="15.75" hidden="1" thickBot="1" x14ac:dyDescent="0.3">
      <c r="A3377" s="236"/>
      <c r="B3377" s="239"/>
      <c r="C3377" s="155"/>
      <c r="D3377" s="33"/>
      <c r="E3377" s="34"/>
      <c r="F3377" s="49" t="s">
        <v>418</v>
      </c>
      <c r="G3377" s="49" t="str">
        <f>IF(ISNUMBER(F3377),E3377*F3377,"")</f>
        <v/>
      </c>
      <c r="H3377" s="65"/>
      <c r="I3377" s="66"/>
      <c r="J3377" s="125">
        <v>0</v>
      </c>
    </row>
    <row r="3378" spans="1:10" ht="15.75" hidden="1" thickBot="1" x14ac:dyDescent="0.3">
      <c r="A3378" s="234" t="s">
        <v>886</v>
      </c>
      <c r="B3378" s="237" t="s">
        <v>1756</v>
      </c>
      <c r="C3378" s="160"/>
      <c r="D3378" s="23" t="s">
        <v>70</v>
      </c>
      <c r="E3378" s="24"/>
      <c r="F3378" s="44" t="s">
        <v>418</v>
      </c>
      <c r="G3378" s="25" t="str">
        <f>IF(ISNUMBER(F3378),E3378*F3378,"")</f>
        <v/>
      </c>
      <c r="H3378" s="26"/>
      <c r="I3378" s="27"/>
      <c r="J3378" s="125">
        <v>0</v>
      </c>
    </row>
    <row r="3379" spans="1:10" ht="15.75" hidden="1" thickBot="1" x14ac:dyDescent="0.3">
      <c r="A3379" s="235"/>
      <c r="B3379" s="238"/>
      <c r="C3379" s="151"/>
      <c r="D3379" s="29"/>
      <c r="E3379" s="30"/>
      <c r="F3379" s="49" t="s">
        <v>418</v>
      </c>
      <c r="G3379" s="49" t="str">
        <f>IF(ISNUMBER(F3379),E3379*F3379,"")</f>
        <v/>
      </c>
      <c r="H3379" s="65"/>
      <c r="I3379" s="66"/>
      <c r="J3379" s="125">
        <v>0</v>
      </c>
    </row>
    <row r="3380" spans="1:10" ht="15.75" hidden="1" thickBot="1" x14ac:dyDescent="0.3">
      <c r="A3380" s="235"/>
      <c r="B3380" s="238"/>
      <c r="C3380" s="155" t="s">
        <v>588</v>
      </c>
      <c r="D3380" s="155" t="s">
        <v>587</v>
      </c>
      <c r="E3380" s="34">
        <v>1.25</v>
      </c>
      <c r="F3380" s="49">
        <v>19.189999999999998</v>
      </c>
      <c r="G3380" s="49">
        <f>IF(ISNUMBER(F3380),E3380*F3380,"")</f>
        <v>23.987499999999997</v>
      </c>
      <c r="H3380" s="35">
        <f>SUM(G3380:G3380)</f>
        <v>23.987499999999997</v>
      </c>
      <c r="I3380" s="36"/>
      <c r="J3380" s="125">
        <v>0</v>
      </c>
    </row>
    <row r="3381" spans="1:10" ht="15.75" hidden="1" thickBot="1" x14ac:dyDescent="0.3">
      <c r="A3381" s="236"/>
      <c r="B3381" s="239"/>
      <c r="C3381" s="155"/>
      <c r="D3381" s="33"/>
      <c r="E3381" s="34"/>
      <c r="F3381" s="49" t="s">
        <v>418</v>
      </c>
      <c r="G3381" s="49" t="str">
        <f>IF(ISNUMBER(F3381),E3381*F3381,"")</f>
        <v/>
      </c>
      <c r="H3381" s="65"/>
      <c r="I3381" s="66"/>
      <c r="J3381" s="125">
        <v>0</v>
      </c>
    </row>
    <row r="3382" spans="1:10" ht="15.75" hidden="1" thickBot="1" x14ac:dyDescent="0.3">
      <c r="A3382" s="234" t="s">
        <v>887</v>
      </c>
      <c r="B3382" s="237" t="s">
        <v>1757</v>
      </c>
      <c r="C3382" s="160"/>
      <c r="D3382" s="23" t="s">
        <v>70</v>
      </c>
      <c r="E3382" s="24"/>
      <c r="F3382" s="44" t="s">
        <v>418</v>
      </c>
      <c r="G3382" s="25" t="str">
        <f>IF(ISNUMBER(F3382),E3382*F3382,"")</f>
        <v/>
      </c>
      <c r="H3382" s="26"/>
      <c r="I3382" s="27"/>
      <c r="J3382" s="125">
        <v>0</v>
      </c>
    </row>
    <row r="3383" spans="1:10" ht="15.75" hidden="1" thickBot="1" x14ac:dyDescent="0.3">
      <c r="A3383" s="235"/>
      <c r="B3383" s="238"/>
      <c r="C3383" s="151"/>
      <c r="D3383" s="29"/>
      <c r="E3383" s="30"/>
      <c r="F3383" s="49" t="s">
        <v>418</v>
      </c>
      <c r="G3383" s="49" t="str">
        <f>IF(ISNUMBER(F3383),E3383*F3383,"")</f>
        <v/>
      </c>
      <c r="H3383" s="65"/>
      <c r="I3383" s="66"/>
      <c r="J3383" s="125">
        <v>0</v>
      </c>
    </row>
    <row r="3384" spans="1:10" ht="39" hidden="1" thickBot="1" x14ac:dyDescent="0.3">
      <c r="A3384" s="235"/>
      <c r="B3384" s="238"/>
      <c r="C3384" s="155" t="s">
        <v>888</v>
      </c>
      <c r="D3384" s="155" t="s">
        <v>774</v>
      </c>
      <c r="E3384" s="34">
        <v>1.5</v>
      </c>
      <c r="F3384" s="49">
        <v>20.975999999999999</v>
      </c>
      <c r="G3384" s="49">
        <f>IF(ISNUMBER(F3384),E3384*F3384,"")</f>
        <v>31.463999999999999</v>
      </c>
      <c r="H3384" s="35">
        <f>SUM(G3384:G3387)</f>
        <v>49.519984999999998</v>
      </c>
      <c r="I3384" s="36"/>
      <c r="J3384" s="125">
        <v>0</v>
      </c>
    </row>
    <row r="3385" spans="1:10" ht="15.75" hidden="1" thickBot="1" x14ac:dyDescent="0.3">
      <c r="A3385" s="235"/>
      <c r="B3385" s="238"/>
      <c r="C3385" s="155" t="s">
        <v>28423</v>
      </c>
      <c r="D3385" s="155" t="s">
        <v>870</v>
      </c>
      <c r="E3385" s="34">
        <v>1.351</v>
      </c>
      <c r="F3385" s="49">
        <v>4.7404999999999999</v>
      </c>
      <c r="G3385" s="49">
        <f>IF(ISNUMBER(F3385),E3385*F3385,"")</f>
        <v>6.4044154999999998</v>
      </c>
      <c r="H3385" s="65"/>
      <c r="I3385" s="36"/>
      <c r="J3385" s="125">
        <v>0</v>
      </c>
    </row>
    <row r="3386" spans="1:10" ht="15.75" hidden="1" thickBot="1" x14ac:dyDescent="0.3">
      <c r="A3386" s="235"/>
      <c r="B3386" s="238"/>
      <c r="C3386" s="155" t="s">
        <v>1251</v>
      </c>
      <c r="D3386" s="155" t="s">
        <v>587</v>
      </c>
      <c r="E3386" s="34">
        <v>8.5000000000000006E-2</v>
      </c>
      <c r="F3386" s="49">
        <v>19.731499999999997</v>
      </c>
      <c r="G3386" s="49">
        <f>IF(ISNUMBER(F3386),E3386*F3386,"")</f>
        <v>1.6771774999999998</v>
      </c>
      <c r="H3386" s="65"/>
      <c r="I3386" s="66"/>
      <c r="J3386" s="125">
        <v>0</v>
      </c>
    </row>
    <row r="3387" spans="1:10" ht="15.75" hidden="1" thickBot="1" x14ac:dyDescent="0.3">
      <c r="A3387" s="235"/>
      <c r="B3387" s="238"/>
      <c r="C3387" s="155" t="s">
        <v>889</v>
      </c>
      <c r="D3387" s="155" t="s">
        <v>587</v>
      </c>
      <c r="E3387" s="34">
        <v>0.42199999999999999</v>
      </c>
      <c r="F3387" s="49">
        <v>23.635999999999999</v>
      </c>
      <c r="G3387" s="49">
        <f>IF(ISNUMBER(F3387),E3387*F3387,"")</f>
        <v>9.9743919999999999</v>
      </c>
      <c r="H3387" s="65"/>
      <c r="I3387" s="66"/>
      <c r="J3387" s="125">
        <v>0</v>
      </c>
    </row>
    <row r="3388" spans="1:10" ht="15.75" hidden="1" thickBot="1" x14ac:dyDescent="0.3">
      <c r="A3388" s="236"/>
      <c r="B3388" s="239"/>
      <c r="C3388" s="155"/>
      <c r="D3388" s="33"/>
      <c r="E3388" s="34"/>
      <c r="F3388" s="49" t="s">
        <v>418</v>
      </c>
      <c r="G3388" s="49" t="str">
        <f>IF(ISNUMBER(F3388),E3388*F3388,"")</f>
        <v/>
      </c>
      <c r="H3388" s="65"/>
      <c r="I3388" s="66"/>
      <c r="J3388" s="125">
        <v>0</v>
      </c>
    </row>
    <row r="3389" spans="1:10" ht="15.75" hidden="1" thickBot="1" x14ac:dyDescent="0.3">
      <c r="A3389" s="234" t="s">
        <v>890</v>
      </c>
      <c r="B3389" s="237" t="s">
        <v>1758</v>
      </c>
      <c r="C3389" s="160"/>
      <c r="D3389" s="23" t="s">
        <v>70</v>
      </c>
      <c r="E3389" s="24"/>
      <c r="F3389" s="44" t="s">
        <v>418</v>
      </c>
      <c r="G3389" s="25" t="str">
        <f>IF(ISNUMBER(F3389),E3389*F3389,"")</f>
        <v/>
      </c>
      <c r="H3389" s="26"/>
      <c r="I3389" s="27"/>
      <c r="J3389" s="125">
        <v>0</v>
      </c>
    </row>
    <row r="3390" spans="1:10" ht="15.75" hidden="1" thickBot="1" x14ac:dyDescent="0.3">
      <c r="A3390" s="235"/>
      <c r="B3390" s="238"/>
      <c r="C3390" s="151"/>
      <c r="D3390" s="29"/>
      <c r="E3390" s="30"/>
      <c r="F3390" s="49" t="s">
        <v>418</v>
      </c>
      <c r="G3390" s="49" t="str">
        <f>IF(ISNUMBER(F3390),E3390*F3390,"")</f>
        <v/>
      </c>
      <c r="H3390" s="65"/>
      <c r="I3390" s="66"/>
      <c r="J3390" s="125">
        <v>0</v>
      </c>
    </row>
    <row r="3391" spans="1:10" ht="15.75" hidden="1" thickBot="1" x14ac:dyDescent="0.3">
      <c r="A3391" s="235"/>
      <c r="B3391" s="238"/>
      <c r="C3391" s="155" t="s">
        <v>891</v>
      </c>
      <c r="D3391" s="155" t="s">
        <v>870</v>
      </c>
      <c r="E3391" s="34">
        <v>1.04</v>
      </c>
      <c r="F3391" s="49">
        <v>1.3964999999999999</v>
      </c>
      <c r="G3391" s="49">
        <f>IF(ISNUMBER(F3391),E3391*F3391,"")</f>
        <v>1.4523599999999999</v>
      </c>
      <c r="H3391" s="35">
        <f>SUM(G3391:G3394)</f>
        <v>59.328960274687496</v>
      </c>
      <c r="I3391" s="36"/>
      <c r="J3391" s="125">
        <v>0</v>
      </c>
    </row>
    <row r="3392" spans="1:10" ht="26.25" hidden="1" thickBot="1" x14ac:dyDescent="0.3">
      <c r="A3392" s="235"/>
      <c r="B3392" s="238"/>
      <c r="C3392" s="155" t="s">
        <v>892</v>
      </c>
      <c r="D3392" s="155" t="s">
        <v>85</v>
      </c>
      <c r="E3392" s="34">
        <v>3.5000000000000003E-2</v>
      </c>
      <c r="F3392" s="49">
        <v>1097.7422935625</v>
      </c>
      <c r="G3392" s="49">
        <f>IF(ISNUMBER(F3392),E3392*F3392,"")</f>
        <v>38.420980274687501</v>
      </c>
      <c r="H3392" s="65"/>
      <c r="I3392" s="66"/>
      <c r="J3392" s="125">
        <v>0</v>
      </c>
    </row>
    <row r="3393" spans="1:10" ht="15.75" hidden="1" thickBot="1" x14ac:dyDescent="0.3">
      <c r="A3393" s="235"/>
      <c r="B3393" s="238"/>
      <c r="C3393" s="155" t="s">
        <v>595</v>
      </c>
      <c r="D3393" s="155" t="s">
        <v>587</v>
      </c>
      <c r="E3393" s="34">
        <v>0.65900000000000003</v>
      </c>
      <c r="F3393" s="49">
        <v>25.65</v>
      </c>
      <c r="G3393" s="49">
        <f>IF(ISNUMBER(F3393),E3393*F3393,"")</f>
        <v>16.90335</v>
      </c>
      <c r="H3393" s="65"/>
      <c r="I3393" s="66"/>
      <c r="J3393" s="125">
        <v>0</v>
      </c>
    </row>
    <row r="3394" spans="1:10" ht="15.75" hidden="1" thickBot="1" x14ac:dyDescent="0.3">
      <c r="A3394" s="235"/>
      <c r="B3394" s="238"/>
      <c r="C3394" s="155" t="s">
        <v>588</v>
      </c>
      <c r="D3394" s="155" t="s">
        <v>587</v>
      </c>
      <c r="E3394" s="34">
        <v>0.13300000000000001</v>
      </c>
      <c r="F3394" s="49">
        <v>19.189999999999998</v>
      </c>
      <c r="G3394" s="49">
        <f>IF(ISNUMBER(F3394),E3394*F3394,"")</f>
        <v>2.55227</v>
      </c>
      <c r="H3394" s="65"/>
      <c r="I3394" s="66"/>
      <c r="J3394" s="125">
        <v>0</v>
      </c>
    </row>
    <row r="3395" spans="1:10" ht="15.75" hidden="1" thickBot="1" x14ac:dyDescent="0.3">
      <c r="A3395" s="236"/>
      <c r="B3395" s="239"/>
      <c r="C3395" s="155"/>
      <c r="D3395" s="33"/>
      <c r="E3395" s="34"/>
      <c r="F3395" s="49" t="s">
        <v>418</v>
      </c>
      <c r="G3395" s="49" t="str">
        <f>IF(ISNUMBER(F3395),E3395*F3395,"")</f>
        <v/>
      </c>
      <c r="H3395" s="65"/>
      <c r="I3395" s="66"/>
      <c r="J3395" s="125">
        <v>0</v>
      </c>
    </row>
    <row r="3396" spans="1:10" ht="15.75" hidden="1" thickBot="1" x14ac:dyDescent="0.3">
      <c r="A3396" s="234" t="s">
        <v>893</v>
      </c>
      <c r="B3396" s="237" t="s">
        <v>1759</v>
      </c>
      <c r="C3396" s="160"/>
      <c r="D3396" s="23" t="s">
        <v>70</v>
      </c>
      <c r="E3396" s="24"/>
      <c r="F3396" s="44" t="s">
        <v>418</v>
      </c>
      <c r="G3396" s="25" t="str">
        <f>IF(ISNUMBER(F3396),E3396*F3396,"")</f>
        <v/>
      </c>
      <c r="H3396" s="26"/>
      <c r="I3396" s="27"/>
      <c r="J3396" s="125">
        <v>0</v>
      </c>
    </row>
    <row r="3397" spans="1:10" ht="15.75" hidden="1" thickBot="1" x14ac:dyDescent="0.3">
      <c r="A3397" s="235"/>
      <c r="B3397" s="238"/>
      <c r="C3397" s="151"/>
      <c r="D3397" s="29"/>
      <c r="E3397" s="30"/>
      <c r="F3397" s="49" t="s">
        <v>418</v>
      </c>
      <c r="G3397" s="49" t="str">
        <f>IF(ISNUMBER(F3397),E3397*F3397,"")</f>
        <v/>
      </c>
      <c r="H3397" s="65"/>
      <c r="I3397" s="66"/>
      <c r="J3397" s="125">
        <v>0</v>
      </c>
    </row>
    <row r="3398" spans="1:10" ht="26.25" hidden="1" thickBot="1" x14ac:dyDescent="0.3">
      <c r="A3398" s="235"/>
      <c r="B3398" s="238"/>
      <c r="C3398" s="155" t="s">
        <v>894</v>
      </c>
      <c r="D3398" s="155" t="s">
        <v>870</v>
      </c>
      <c r="E3398" s="34">
        <v>1.05</v>
      </c>
      <c r="F3398" s="49">
        <v>15.427999999999997</v>
      </c>
      <c r="G3398" s="49">
        <f>IF(ISNUMBER(F3398),E3398*F3398,"")</f>
        <v>16.199399999999997</v>
      </c>
      <c r="H3398" s="35">
        <f>SUM(G3398:G3401)</f>
        <v>75.473450274687494</v>
      </c>
      <c r="I3398" s="36"/>
      <c r="J3398" s="125">
        <v>0</v>
      </c>
    </row>
    <row r="3399" spans="1:10" ht="26.25" hidden="1" thickBot="1" x14ac:dyDescent="0.3">
      <c r="A3399" s="235"/>
      <c r="B3399" s="238"/>
      <c r="C3399" s="155" t="s">
        <v>892</v>
      </c>
      <c r="D3399" s="155" t="s">
        <v>85</v>
      </c>
      <c r="E3399" s="34">
        <v>3.5000000000000003E-2</v>
      </c>
      <c r="F3399" s="49">
        <v>1097.7422935625</v>
      </c>
      <c r="G3399" s="49">
        <f>IF(ISNUMBER(F3399),E3399*F3399,"")</f>
        <v>38.420980274687501</v>
      </c>
      <c r="H3399" s="65"/>
      <c r="I3399" s="66"/>
      <c r="J3399" s="125">
        <v>0</v>
      </c>
    </row>
    <row r="3400" spans="1:10" ht="15.75" hidden="1" thickBot="1" x14ac:dyDescent="0.3">
      <c r="A3400" s="235"/>
      <c r="B3400" s="238"/>
      <c r="C3400" s="155" t="s">
        <v>595</v>
      </c>
      <c r="D3400" s="155" t="s">
        <v>587</v>
      </c>
      <c r="E3400" s="34">
        <v>0.70599999999999996</v>
      </c>
      <c r="F3400" s="49">
        <v>25.65</v>
      </c>
      <c r="G3400" s="49">
        <f>IF(ISNUMBER(F3400),E3400*F3400,"")</f>
        <v>18.108899999999998</v>
      </c>
      <c r="H3400" s="65"/>
      <c r="I3400" s="66"/>
      <c r="J3400" s="125">
        <v>0</v>
      </c>
    </row>
    <row r="3401" spans="1:10" ht="15.75" hidden="1" thickBot="1" x14ac:dyDescent="0.3">
      <c r="A3401" s="235"/>
      <c r="B3401" s="238"/>
      <c r="C3401" s="155" t="s">
        <v>588</v>
      </c>
      <c r="D3401" s="155" t="s">
        <v>587</v>
      </c>
      <c r="E3401" s="34">
        <v>0.14299999999999999</v>
      </c>
      <c r="F3401" s="49">
        <v>19.189999999999998</v>
      </c>
      <c r="G3401" s="49">
        <f>IF(ISNUMBER(F3401),E3401*F3401,"")</f>
        <v>2.7441699999999996</v>
      </c>
      <c r="H3401" s="65"/>
      <c r="I3401" s="66"/>
      <c r="J3401" s="125">
        <v>0</v>
      </c>
    </row>
    <row r="3402" spans="1:10" ht="15.75" hidden="1" thickBot="1" x14ac:dyDescent="0.3">
      <c r="A3402" s="236"/>
      <c r="B3402" s="239"/>
      <c r="C3402" s="155"/>
      <c r="D3402" s="33"/>
      <c r="E3402" s="34"/>
      <c r="F3402" s="49" t="s">
        <v>418</v>
      </c>
      <c r="G3402" s="49" t="str">
        <f>IF(ISNUMBER(F3402),E3402*F3402,"")</f>
        <v/>
      </c>
      <c r="H3402" s="65"/>
      <c r="I3402" s="66"/>
      <c r="J3402" s="125">
        <v>0</v>
      </c>
    </row>
    <row r="3403" spans="1:10" ht="15.75" hidden="1" thickBot="1" x14ac:dyDescent="0.3">
      <c r="A3403" s="234" t="s">
        <v>895</v>
      </c>
      <c r="B3403" s="237" t="s">
        <v>1760</v>
      </c>
      <c r="C3403" s="160"/>
      <c r="D3403" s="23" t="s">
        <v>70</v>
      </c>
      <c r="E3403" s="24"/>
      <c r="F3403" s="44" t="s">
        <v>418</v>
      </c>
      <c r="G3403" s="25" t="str">
        <f>IF(ISNUMBER(F3403),E3403*F3403,"")</f>
        <v/>
      </c>
      <c r="H3403" s="26"/>
      <c r="I3403" s="27"/>
      <c r="J3403" s="125">
        <v>0</v>
      </c>
    </row>
    <row r="3404" spans="1:10" ht="15.75" hidden="1" thickBot="1" x14ac:dyDescent="0.3">
      <c r="A3404" s="235"/>
      <c r="B3404" s="238"/>
      <c r="C3404" s="151"/>
      <c r="D3404" s="29"/>
      <c r="E3404" s="30"/>
      <c r="F3404" s="49" t="s">
        <v>418</v>
      </c>
      <c r="G3404" s="49" t="str">
        <f>IF(ISNUMBER(F3404),E3404*F3404,"")</f>
        <v/>
      </c>
      <c r="H3404" s="65"/>
      <c r="I3404" s="66"/>
      <c r="J3404" s="125">
        <v>0</v>
      </c>
    </row>
    <row r="3405" spans="1:10" ht="15.75" hidden="1" thickBot="1" x14ac:dyDescent="0.3">
      <c r="A3405" s="235"/>
      <c r="B3405" s="238"/>
      <c r="C3405" s="155" t="s">
        <v>9784</v>
      </c>
      <c r="D3405" s="155" t="s">
        <v>587</v>
      </c>
      <c r="E3405" s="34">
        <v>0.4</v>
      </c>
      <c r="F3405" s="49">
        <v>25.516999999999999</v>
      </c>
      <c r="G3405" s="49">
        <f>IF(ISNUMBER(F3405),E3405*F3405,"")</f>
        <v>10.206800000000001</v>
      </c>
      <c r="H3405" s="35">
        <f>SUM(G3405:G3406)</f>
        <v>17.8828</v>
      </c>
      <c r="I3405" s="36"/>
      <c r="J3405" s="125">
        <v>0</v>
      </c>
    </row>
    <row r="3406" spans="1:10" ht="15.75" hidden="1" thickBot="1" x14ac:dyDescent="0.3">
      <c r="A3406" s="235"/>
      <c r="B3406" s="238"/>
      <c r="C3406" s="155" t="s">
        <v>588</v>
      </c>
      <c r="D3406" s="155" t="s">
        <v>587</v>
      </c>
      <c r="E3406" s="34">
        <v>0.4</v>
      </c>
      <c r="F3406" s="49">
        <v>19.189999999999998</v>
      </c>
      <c r="G3406" s="49">
        <f>IF(ISNUMBER(F3406),E3406*F3406,"")</f>
        <v>7.6759999999999993</v>
      </c>
      <c r="H3406" s="65"/>
      <c r="I3406" s="66"/>
      <c r="J3406" s="125">
        <v>0</v>
      </c>
    </row>
    <row r="3407" spans="1:10" ht="15.75" hidden="1" thickBot="1" x14ac:dyDescent="0.3">
      <c r="A3407" s="236"/>
      <c r="B3407" s="239"/>
      <c r="C3407" s="155"/>
      <c r="D3407" s="33"/>
      <c r="E3407" s="34"/>
      <c r="F3407" s="49" t="s">
        <v>418</v>
      </c>
      <c r="G3407" s="49" t="str">
        <f>IF(ISNUMBER(F3407),E3407*F3407,"")</f>
        <v/>
      </c>
      <c r="H3407" s="65"/>
      <c r="I3407" s="66"/>
      <c r="J3407" s="125">
        <v>0</v>
      </c>
    </row>
    <row r="3408" spans="1:10" ht="15.75" hidden="1" thickBot="1" x14ac:dyDescent="0.3">
      <c r="A3408" s="234" t="s">
        <v>896</v>
      </c>
      <c r="B3408" s="237" t="s">
        <v>1761</v>
      </c>
      <c r="C3408" s="160"/>
      <c r="D3408" s="23" t="s">
        <v>70</v>
      </c>
      <c r="E3408" s="24"/>
      <c r="F3408" s="44" t="s">
        <v>418</v>
      </c>
      <c r="G3408" s="25" t="str">
        <f>IF(ISNUMBER(F3408),E3408*F3408,"")</f>
        <v/>
      </c>
      <c r="H3408" s="26"/>
      <c r="I3408" s="27"/>
      <c r="J3408" s="125">
        <v>0</v>
      </c>
    </row>
    <row r="3409" spans="1:10" ht="15.75" hidden="1" thickBot="1" x14ac:dyDescent="0.3">
      <c r="A3409" s="235"/>
      <c r="B3409" s="238"/>
      <c r="C3409" s="151"/>
      <c r="D3409" s="29"/>
      <c r="E3409" s="30"/>
      <c r="F3409" s="49" t="s">
        <v>418</v>
      </c>
      <c r="G3409" s="49" t="str">
        <f>IF(ISNUMBER(F3409),E3409*F3409,"")</f>
        <v/>
      </c>
      <c r="H3409" s="65"/>
      <c r="I3409" s="66"/>
      <c r="J3409" s="125">
        <v>0</v>
      </c>
    </row>
    <row r="3410" spans="1:10" ht="15.75" hidden="1" thickBot="1" x14ac:dyDescent="0.3">
      <c r="A3410" s="235"/>
      <c r="B3410" s="238"/>
      <c r="C3410" s="155" t="s">
        <v>9784</v>
      </c>
      <c r="D3410" s="155" t="s">
        <v>587</v>
      </c>
      <c r="E3410" s="34">
        <v>1.2</v>
      </c>
      <c r="F3410" s="49">
        <v>25.516999999999999</v>
      </c>
      <c r="G3410" s="49">
        <f>IF(ISNUMBER(F3410),E3410*F3410,"")</f>
        <v>30.620399999999997</v>
      </c>
      <c r="H3410" s="35">
        <f>SUM(G3410:G3411)</f>
        <v>53.648399999999995</v>
      </c>
      <c r="I3410" s="36"/>
      <c r="J3410" s="125">
        <v>0</v>
      </c>
    </row>
    <row r="3411" spans="1:10" ht="15.75" hidden="1" thickBot="1" x14ac:dyDescent="0.3">
      <c r="A3411" s="235"/>
      <c r="B3411" s="238"/>
      <c r="C3411" s="155" t="s">
        <v>588</v>
      </c>
      <c r="D3411" s="155" t="s">
        <v>587</v>
      </c>
      <c r="E3411" s="34">
        <v>1.2</v>
      </c>
      <c r="F3411" s="49">
        <v>19.189999999999998</v>
      </c>
      <c r="G3411" s="49">
        <f>IF(ISNUMBER(F3411),E3411*F3411,"")</f>
        <v>23.027999999999995</v>
      </c>
      <c r="H3411" s="65"/>
      <c r="I3411" s="66"/>
      <c r="J3411" s="125">
        <v>0</v>
      </c>
    </row>
    <row r="3412" spans="1:10" ht="15.75" hidden="1" thickBot="1" x14ac:dyDescent="0.3">
      <c r="A3412" s="236"/>
      <c r="B3412" s="239"/>
      <c r="C3412" s="155"/>
      <c r="D3412" s="33"/>
      <c r="E3412" s="34"/>
      <c r="F3412" s="49" t="s">
        <v>418</v>
      </c>
      <c r="G3412" s="49" t="str">
        <f>IF(ISNUMBER(F3412),E3412*F3412,"")</f>
        <v/>
      </c>
      <c r="H3412" s="65"/>
      <c r="I3412" s="66"/>
      <c r="J3412" s="125">
        <v>0</v>
      </c>
    </row>
    <row r="3413" spans="1:10" ht="15.75" hidden="1" thickBot="1" x14ac:dyDescent="0.3">
      <c r="A3413" s="234" t="s">
        <v>897</v>
      </c>
      <c r="B3413" s="237" t="s">
        <v>1762</v>
      </c>
      <c r="C3413" s="160"/>
      <c r="D3413" s="23" t="s">
        <v>70</v>
      </c>
      <c r="E3413" s="24"/>
      <c r="F3413" s="44" t="s">
        <v>418</v>
      </c>
      <c r="G3413" s="25" t="str">
        <f>IF(ISNUMBER(F3413),E3413*F3413,"")</f>
        <v/>
      </c>
      <c r="H3413" s="26"/>
      <c r="I3413" s="27"/>
      <c r="J3413" s="125">
        <v>0</v>
      </c>
    </row>
    <row r="3414" spans="1:10" ht="15.75" hidden="1" thickBot="1" x14ac:dyDescent="0.3">
      <c r="A3414" s="235"/>
      <c r="B3414" s="238"/>
      <c r="C3414" s="151"/>
      <c r="D3414" s="29"/>
      <c r="E3414" s="30"/>
      <c r="F3414" s="49" t="s">
        <v>418</v>
      </c>
      <c r="G3414" s="49" t="str">
        <f>IF(ISNUMBER(F3414),E3414*F3414,"")</f>
        <v/>
      </c>
      <c r="H3414" s="65"/>
      <c r="I3414" s="66"/>
      <c r="J3414" s="125">
        <v>0</v>
      </c>
    </row>
    <row r="3415" spans="1:10" ht="15.75" hidden="1" thickBot="1" x14ac:dyDescent="0.3">
      <c r="A3415" s="235"/>
      <c r="B3415" s="238"/>
      <c r="C3415" s="155" t="s">
        <v>26694</v>
      </c>
      <c r="D3415" s="155" t="s">
        <v>870</v>
      </c>
      <c r="E3415" s="34">
        <v>1.05</v>
      </c>
      <c r="F3415" s="49">
        <v>3.7145000000000001</v>
      </c>
      <c r="G3415" s="49">
        <f>IF(ISNUMBER(F3415),E3415*F3415,"")</f>
        <v>3.9002250000000003</v>
      </c>
      <c r="H3415" s="35">
        <f>SUM(G3415:G3416)</f>
        <v>7.7382249999999999</v>
      </c>
      <c r="I3415" s="36"/>
      <c r="J3415" s="125">
        <v>0</v>
      </c>
    </row>
    <row r="3416" spans="1:10" ht="15.75" hidden="1" thickBot="1" x14ac:dyDescent="0.3">
      <c r="A3416" s="235"/>
      <c r="B3416" s="238"/>
      <c r="C3416" s="155" t="s">
        <v>588</v>
      </c>
      <c r="D3416" s="155" t="s">
        <v>587</v>
      </c>
      <c r="E3416" s="34">
        <v>0.2</v>
      </c>
      <c r="F3416" s="49">
        <v>19.189999999999998</v>
      </c>
      <c r="G3416" s="49">
        <f>IF(ISNUMBER(F3416),E3416*F3416,"")</f>
        <v>3.8379999999999996</v>
      </c>
      <c r="H3416" s="65"/>
      <c r="I3416" s="66"/>
      <c r="J3416" s="125">
        <v>0</v>
      </c>
    </row>
    <row r="3417" spans="1:10" ht="15.75" hidden="1" thickBot="1" x14ac:dyDescent="0.3">
      <c r="A3417" s="236"/>
      <c r="B3417" s="239"/>
      <c r="C3417" s="155"/>
      <c r="D3417" s="33"/>
      <c r="E3417" s="34"/>
      <c r="F3417" s="49" t="s">
        <v>418</v>
      </c>
      <c r="G3417" s="49" t="str">
        <f>IF(ISNUMBER(F3417),E3417*F3417,"")</f>
        <v/>
      </c>
      <c r="H3417" s="65"/>
      <c r="I3417" s="66"/>
      <c r="J3417" s="125">
        <v>0</v>
      </c>
    </row>
    <row r="3418" spans="1:10" ht="15.75" hidden="1" thickBot="1" x14ac:dyDescent="0.3">
      <c r="A3418" s="234" t="s">
        <v>898</v>
      </c>
      <c r="B3418" s="237" t="s">
        <v>1763</v>
      </c>
      <c r="C3418" s="160"/>
      <c r="D3418" s="23" t="s">
        <v>70</v>
      </c>
      <c r="E3418" s="24"/>
      <c r="F3418" s="44" t="s">
        <v>418</v>
      </c>
      <c r="G3418" s="25" t="str">
        <f>IF(ISNUMBER(F3418),E3418*F3418,"")</f>
        <v/>
      </c>
      <c r="H3418" s="26"/>
      <c r="I3418" s="27"/>
      <c r="J3418" s="125">
        <v>0</v>
      </c>
    </row>
    <row r="3419" spans="1:10" ht="15.75" hidden="1" thickBot="1" x14ac:dyDescent="0.3">
      <c r="A3419" s="235"/>
      <c r="B3419" s="238"/>
      <c r="C3419" s="151"/>
      <c r="D3419" s="29"/>
      <c r="E3419" s="30"/>
      <c r="F3419" s="49" t="s">
        <v>418</v>
      </c>
      <c r="G3419" s="49" t="str">
        <f>IF(ISNUMBER(F3419),E3419*F3419,"")</f>
        <v/>
      </c>
      <c r="H3419" s="65"/>
      <c r="I3419" s="66"/>
      <c r="J3419" s="125">
        <v>0</v>
      </c>
    </row>
    <row r="3420" spans="1:10" ht="15.75" hidden="1" thickBot="1" x14ac:dyDescent="0.3">
      <c r="A3420" s="235"/>
      <c r="B3420" s="238"/>
      <c r="C3420" s="155" t="s">
        <v>588</v>
      </c>
      <c r="D3420" s="155" t="s">
        <v>587</v>
      </c>
      <c r="E3420" s="34">
        <v>0.3</v>
      </c>
      <c r="F3420" s="49">
        <v>19.189999999999998</v>
      </c>
      <c r="G3420" s="49">
        <f>IF(ISNUMBER(F3420),E3420*F3420,"")</f>
        <v>5.7569999999999988</v>
      </c>
      <c r="H3420" s="35">
        <f>SUM(G3420)</f>
        <v>5.7569999999999988</v>
      </c>
      <c r="I3420" s="36"/>
      <c r="J3420" s="125">
        <v>0</v>
      </c>
    </row>
    <row r="3421" spans="1:10" ht="15.75" hidden="1" thickBot="1" x14ac:dyDescent="0.3">
      <c r="A3421" s="236"/>
      <c r="B3421" s="239"/>
      <c r="C3421" s="155"/>
      <c r="D3421" s="33"/>
      <c r="E3421" s="34"/>
      <c r="F3421" s="49" t="s">
        <v>418</v>
      </c>
      <c r="G3421" s="49" t="str">
        <f>IF(ISNUMBER(F3421),E3421*F3421,"")</f>
        <v/>
      </c>
      <c r="H3421" s="65"/>
      <c r="I3421" s="66"/>
      <c r="J3421" s="125">
        <v>0</v>
      </c>
    </row>
    <row r="3422" spans="1:10" ht="15.75" hidden="1" thickBot="1" x14ac:dyDescent="0.3">
      <c r="A3422" s="234" t="s">
        <v>899</v>
      </c>
      <c r="B3422" s="237" t="s">
        <v>1764</v>
      </c>
      <c r="C3422" s="160"/>
      <c r="D3422" s="23" t="s">
        <v>16</v>
      </c>
      <c r="E3422" s="24"/>
      <c r="F3422" s="44" t="s">
        <v>418</v>
      </c>
      <c r="G3422" s="25" t="str">
        <f>IF(ISNUMBER(F3422),E3422*F3422,"")</f>
        <v/>
      </c>
      <c r="H3422" s="26"/>
      <c r="I3422" s="27"/>
      <c r="J3422" s="125">
        <v>0</v>
      </c>
    </row>
    <row r="3423" spans="1:10" ht="15.75" hidden="1" thickBot="1" x14ac:dyDescent="0.3">
      <c r="A3423" s="235"/>
      <c r="B3423" s="238"/>
      <c r="C3423" s="151"/>
      <c r="D3423" s="29"/>
      <c r="E3423" s="30"/>
      <c r="F3423" s="49" t="s">
        <v>418</v>
      </c>
      <c r="G3423" s="49" t="str">
        <f>IF(ISNUMBER(F3423),E3423*F3423,"")</f>
        <v/>
      </c>
      <c r="H3423" s="65"/>
      <c r="I3423" s="66"/>
      <c r="J3423" s="125">
        <v>0</v>
      </c>
    </row>
    <row r="3424" spans="1:10" ht="15.75" hidden="1" thickBot="1" x14ac:dyDescent="0.3">
      <c r="A3424" s="235"/>
      <c r="B3424" s="238"/>
      <c r="C3424" s="155" t="s">
        <v>588</v>
      </c>
      <c r="D3424" s="155" t="s">
        <v>587</v>
      </c>
      <c r="E3424" s="34">
        <v>0.1</v>
      </c>
      <c r="F3424" s="49">
        <v>19.189999999999998</v>
      </c>
      <c r="G3424" s="49">
        <f>IF(ISNUMBER(F3424),E3424*F3424,"")</f>
        <v>1.9189999999999998</v>
      </c>
      <c r="H3424" s="35">
        <f>SUM(G3424)</f>
        <v>1.9189999999999998</v>
      </c>
      <c r="I3424" s="36"/>
      <c r="J3424" s="125">
        <v>0</v>
      </c>
    </row>
    <row r="3425" spans="1:10" ht="15.75" hidden="1" thickBot="1" x14ac:dyDescent="0.3">
      <c r="A3425" s="236"/>
      <c r="B3425" s="239"/>
      <c r="C3425" s="155"/>
      <c r="D3425" s="33"/>
      <c r="E3425" s="34"/>
      <c r="F3425" s="49" t="s">
        <v>418</v>
      </c>
      <c r="G3425" s="49" t="str">
        <f>IF(ISNUMBER(F3425),E3425*F3425,"")</f>
        <v/>
      </c>
      <c r="H3425" s="65"/>
      <c r="I3425" s="66"/>
      <c r="J3425" s="125">
        <v>0</v>
      </c>
    </row>
    <row r="3426" spans="1:10" ht="15.75" hidden="1" thickBot="1" x14ac:dyDescent="0.3">
      <c r="A3426" s="234" t="s">
        <v>900</v>
      </c>
      <c r="B3426" s="237" t="s">
        <v>1765</v>
      </c>
      <c r="C3426" s="160"/>
      <c r="D3426" s="23" t="s">
        <v>16</v>
      </c>
      <c r="E3426" s="24"/>
      <c r="F3426" s="44" t="s">
        <v>418</v>
      </c>
      <c r="G3426" s="25" t="str">
        <f>IF(ISNUMBER(F3426),E3426*F3426,"")</f>
        <v/>
      </c>
      <c r="H3426" s="26"/>
      <c r="I3426" s="27"/>
      <c r="J3426" s="125">
        <v>0</v>
      </c>
    </row>
    <row r="3427" spans="1:10" ht="15.75" hidden="1" thickBot="1" x14ac:dyDescent="0.3">
      <c r="A3427" s="235"/>
      <c r="B3427" s="238"/>
      <c r="C3427" s="151"/>
      <c r="D3427" s="29"/>
      <c r="E3427" s="30"/>
      <c r="F3427" s="49" t="s">
        <v>418</v>
      </c>
      <c r="G3427" s="49" t="str">
        <f>IF(ISNUMBER(F3427),E3427*F3427,"")</f>
        <v/>
      </c>
      <c r="H3427" s="65"/>
      <c r="I3427" s="66"/>
      <c r="J3427" s="125">
        <v>0</v>
      </c>
    </row>
    <row r="3428" spans="1:10" ht="15.75" hidden="1" thickBot="1" x14ac:dyDescent="0.3">
      <c r="A3428" s="235"/>
      <c r="B3428" s="238"/>
      <c r="C3428" s="155" t="s">
        <v>595</v>
      </c>
      <c r="D3428" s="155" t="s">
        <v>587</v>
      </c>
      <c r="E3428" s="34">
        <f>0.1+0.1</f>
        <v>0.2</v>
      </c>
      <c r="F3428" s="49">
        <v>25.65</v>
      </c>
      <c r="G3428" s="49">
        <f>IF(ISNUMBER(F3428),E3428*F3428,"")</f>
        <v>5.13</v>
      </c>
      <c r="H3428" s="35">
        <f>SUM(G3428:G3432)</f>
        <v>9.5954272765510318</v>
      </c>
      <c r="I3428" s="36"/>
      <c r="J3428" s="125">
        <v>0</v>
      </c>
    </row>
    <row r="3429" spans="1:10" ht="15.75" hidden="1" thickBot="1" x14ac:dyDescent="0.3">
      <c r="A3429" s="235"/>
      <c r="B3429" s="238"/>
      <c r="C3429" s="155" t="s">
        <v>588</v>
      </c>
      <c r="D3429" s="155" t="s">
        <v>587</v>
      </c>
      <c r="E3429" s="34">
        <f>0.1+0.1</f>
        <v>0.2</v>
      </c>
      <c r="F3429" s="49">
        <v>19.189999999999998</v>
      </c>
      <c r="G3429" s="49">
        <f>IF(ISNUMBER(F3429),E3429*F3429,"")</f>
        <v>3.8379999999999996</v>
      </c>
      <c r="H3429" s="65"/>
      <c r="I3429" s="66"/>
      <c r="J3429" s="125">
        <v>0</v>
      </c>
    </row>
    <row r="3430" spans="1:10" ht="15.75" hidden="1" thickBot="1" x14ac:dyDescent="0.3">
      <c r="A3430" s="235"/>
      <c r="B3430" s="238"/>
      <c r="C3430" s="155" t="s">
        <v>901</v>
      </c>
      <c r="D3430" s="33" t="s">
        <v>97</v>
      </c>
      <c r="E3430" s="34">
        <f>0.016*2</f>
        <v>3.2000000000000001E-2</v>
      </c>
      <c r="F3430" s="49">
        <v>0.95</v>
      </c>
      <c r="G3430" s="49">
        <f>IF(ISNUMBER(F3430),E3430*F3430,"")</f>
        <v>3.04E-2</v>
      </c>
      <c r="H3430" s="65"/>
      <c r="I3430" s="66"/>
      <c r="J3430" s="125">
        <v>0</v>
      </c>
    </row>
    <row r="3431" spans="1:10" ht="15.75" hidden="1" thickBot="1" x14ac:dyDescent="0.3">
      <c r="A3431" s="235"/>
      <c r="B3431" s="238"/>
      <c r="C3431" s="155" t="s">
        <v>902</v>
      </c>
      <c r="D3431" s="33" t="s">
        <v>903</v>
      </c>
      <c r="E3431" s="34">
        <f>0.1*2</f>
        <v>0.2</v>
      </c>
      <c r="F3431" s="49">
        <v>0.95</v>
      </c>
      <c r="G3431" s="49">
        <f>IF(ISNUMBER(F3431),E3431*F3431,"")</f>
        <v>0.19</v>
      </c>
      <c r="H3431" s="65"/>
      <c r="I3431" s="66"/>
      <c r="J3431" s="125">
        <v>0</v>
      </c>
    </row>
    <row r="3432" spans="1:10" ht="39" hidden="1" thickBot="1" x14ac:dyDescent="0.3">
      <c r="A3432" s="235"/>
      <c r="B3432" s="238"/>
      <c r="C3432" s="155" t="s">
        <v>14546</v>
      </c>
      <c r="D3432" s="155" t="s">
        <v>85</v>
      </c>
      <c r="E3432" s="34">
        <f>ROUND(0.15*0.05*0.05,4)</f>
        <v>4.0000000000000002E-4</v>
      </c>
      <c r="F3432" s="49">
        <v>1017.5681913775799</v>
      </c>
      <c r="G3432" s="49">
        <f>IF(ISNUMBER(F3432),E3432*F3432,"")</f>
        <v>0.40702727655103199</v>
      </c>
      <c r="H3432" s="65"/>
      <c r="I3432" s="66"/>
      <c r="J3432" s="125">
        <v>0</v>
      </c>
    </row>
    <row r="3433" spans="1:10" ht="15.75" hidden="1" thickBot="1" x14ac:dyDescent="0.3">
      <c r="A3433" s="235"/>
      <c r="B3433" s="238"/>
      <c r="C3433" s="155"/>
      <c r="D3433" s="33"/>
      <c r="E3433" s="34"/>
      <c r="F3433" s="49" t="s">
        <v>418</v>
      </c>
      <c r="G3433" s="49" t="str">
        <f>IF(ISNUMBER(F3433),E3433*F3433,"")</f>
        <v/>
      </c>
      <c r="H3433" s="65"/>
      <c r="I3433" s="66"/>
      <c r="J3433" s="125">
        <v>0</v>
      </c>
    </row>
    <row r="3434" spans="1:10" ht="15.75" hidden="1" thickBot="1" x14ac:dyDescent="0.3">
      <c r="A3434" s="235"/>
      <c r="B3434" s="238"/>
      <c r="C3434" s="122" t="s">
        <v>904</v>
      </c>
      <c r="D3434" s="33"/>
      <c r="E3434" s="34"/>
      <c r="F3434" s="49" t="s">
        <v>418</v>
      </c>
      <c r="G3434" s="49" t="str">
        <f>IF(ISNUMBER(F3434),E3434*F3434,"")</f>
        <v/>
      </c>
      <c r="H3434" s="65"/>
      <c r="I3434" s="66"/>
      <c r="J3434" s="125">
        <v>0</v>
      </c>
    </row>
    <row r="3435" spans="1:10" ht="15.75" hidden="1" thickBot="1" x14ac:dyDescent="0.3">
      <c r="A3435" s="236"/>
      <c r="B3435" s="239"/>
      <c r="C3435" s="155"/>
      <c r="D3435" s="33"/>
      <c r="E3435" s="34"/>
      <c r="F3435" s="49" t="s">
        <v>418</v>
      </c>
      <c r="G3435" s="49" t="str">
        <f>IF(ISNUMBER(F3435),E3435*F3435,"")</f>
        <v/>
      </c>
      <c r="H3435" s="65"/>
      <c r="I3435" s="66"/>
      <c r="J3435" s="125">
        <v>0</v>
      </c>
    </row>
    <row r="3436" spans="1:10" ht="15.75" hidden="1" thickBot="1" x14ac:dyDescent="0.3">
      <c r="A3436" s="234" t="s">
        <v>905</v>
      </c>
      <c r="B3436" s="237" t="s">
        <v>1766</v>
      </c>
      <c r="C3436" s="160"/>
      <c r="D3436" s="23" t="s">
        <v>16</v>
      </c>
      <c r="E3436" s="24"/>
      <c r="F3436" s="44" t="s">
        <v>418</v>
      </c>
      <c r="G3436" s="25" t="str">
        <f>IF(ISNUMBER(F3436),E3436*F3436,"")</f>
        <v/>
      </c>
      <c r="H3436" s="26"/>
      <c r="I3436" s="27"/>
      <c r="J3436" s="125">
        <v>0</v>
      </c>
    </row>
    <row r="3437" spans="1:10" ht="15.75" hidden="1" thickBot="1" x14ac:dyDescent="0.3">
      <c r="A3437" s="235"/>
      <c r="B3437" s="238"/>
      <c r="C3437" s="151"/>
      <c r="D3437" s="29"/>
      <c r="E3437" s="30"/>
      <c r="F3437" s="49" t="s">
        <v>418</v>
      </c>
      <c r="G3437" s="49" t="str">
        <f>IF(ISNUMBER(F3437),E3437*F3437,"")</f>
        <v/>
      </c>
      <c r="H3437" s="65"/>
      <c r="I3437" s="66"/>
      <c r="J3437" s="125">
        <v>0</v>
      </c>
    </row>
    <row r="3438" spans="1:10" ht="15.75" hidden="1" thickBot="1" x14ac:dyDescent="0.3">
      <c r="A3438" s="235"/>
      <c r="B3438" s="238"/>
      <c r="C3438" s="155" t="s">
        <v>595</v>
      </c>
      <c r="D3438" s="155" t="s">
        <v>587</v>
      </c>
      <c r="E3438" s="34">
        <f>0.1+0.1</f>
        <v>0.2</v>
      </c>
      <c r="F3438" s="49">
        <v>25.65</v>
      </c>
      <c r="G3438" s="49">
        <f>IF(ISNUMBER(F3438),E3438*F3438,"")</f>
        <v>5.13</v>
      </c>
      <c r="H3438" s="35">
        <f>SUM(G3438:G3443)</f>
        <v>9.5954272765510318</v>
      </c>
      <c r="I3438" s="36"/>
      <c r="J3438" s="125">
        <v>0</v>
      </c>
    </row>
    <row r="3439" spans="1:10" ht="15.75" hidden="1" thickBot="1" x14ac:dyDescent="0.3">
      <c r="A3439" s="235"/>
      <c r="B3439" s="238"/>
      <c r="C3439" s="155" t="s">
        <v>588</v>
      </c>
      <c r="D3439" s="155" t="s">
        <v>587</v>
      </c>
      <c r="E3439" s="34">
        <f>0.1+0.1</f>
        <v>0.2</v>
      </c>
      <c r="F3439" s="49">
        <v>19.189999999999998</v>
      </c>
      <c r="G3439" s="49">
        <f>IF(ISNUMBER(F3439),E3439*F3439,"")</f>
        <v>3.8379999999999996</v>
      </c>
      <c r="H3439" s="65"/>
      <c r="I3439" s="66"/>
      <c r="J3439" s="125">
        <v>0</v>
      </c>
    </row>
    <row r="3440" spans="1:10" ht="15.75" hidden="1" thickBot="1" x14ac:dyDescent="0.3">
      <c r="A3440" s="235"/>
      <c r="B3440" s="238"/>
      <c r="C3440" s="155" t="s">
        <v>901</v>
      </c>
      <c r="D3440" s="33" t="s">
        <v>97</v>
      </c>
      <c r="E3440" s="34">
        <f>0.016*2</f>
        <v>3.2000000000000001E-2</v>
      </c>
      <c r="F3440" s="49">
        <v>0.95</v>
      </c>
      <c r="G3440" s="49">
        <f>IF(ISNUMBER(F3440),E3440*F3440,"")</f>
        <v>3.04E-2</v>
      </c>
      <c r="H3440" s="65"/>
      <c r="I3440" s="66"/>
      <c r="J3440" s="125">
        <v>0</v>
      </c>
    </row>
    <row r="3441" spans="1:10" ht="15.75" hidden="1" thickBot="1" x14ac:dyDescent="0.3">
      <c r="A3441" s="235"/>
      <c r="B3441" s="238"/>
      <c r="C3441" s="155" t="s">
        <v>902</v>
      </c>
      <c r="D3441" s="33" t="s">
        <v>903</v>
      </c>
      <c r="E3441" s="34">
        <f>0.1*2</f>
        <v>0.2</v>
      </c>
      <c r="F3441" s="49">
        <v>0.95</v>
      </c>
      <c r="G3441" s="49">
        <f>IF(ISNUMBER(F3441),E3441*F3441,"")</f>
        <v>0.19</v>
      </c>
      <c r="H3441" s="65"/>
      <c r="I3441" s="66"/>
      <c r="J3441" s="125">
        <v>0</v>
      </c>
    </row>
    <row r="3442" spans="1:10" ht="15.75" hidden="1" thickBot="1" x14ac:dyDescent="0.3">
      <c r="A3442" s="235"/>
      <c r="B3442" s="238"/>
      <c r="C3442" s="155" t="s">
        <v>906</v>
      </c>
      <c r="D3442" s="33" t="s">
        <v>97</v>
      </c>
      <c r="E3442" s="34">
        <v>1</v>
      </c>
      <c r="F3442" s="49" t="s">
        <v>418</v>
      </c>
      <c r="G3442" s="49" t="str">
        <f>IF(ISNUMBER(F3442),E3442*F3442,"")</f>
        <v/>
      </c>
      <c r="H3442" s="65"/>
      <c r="I3442" s="66"/>
      <c r="J3442" s="125">
        <v>0</v>
      </c>
    </row>
    <row r="3443" spans="1:10" ht="39" hidden="1" thickBot="1" x14ac:dyDescent="0.3">
      <c r="A3443" s="235"/>
      <c r="B3443" s="238"/>
      <c r="C3443" s="155" t="s">
        <v>14546</v>
      </c>
      <c r="D3443" s="155" t="s">
        <v>85</v>
      </c>
      <c r="E3443" s="34">
        <f>ROUND(0.15*0.05*0.05,4)</f>
        <v>4.0000000000000002E-4</v>
      </c>
      <c r="F3443" s="49">
        <v>1017.5681913775799</v>
      </c>
      <c r="G3443" s="49">
        <f>IF(ISNUMBER(F3443),E3443*F3443,"")</f>
        <v>0.40702727655103199</v>
      </c>
      <c r="H3443" s="65"/>
      <c r="I3443" s="66"/>
      <c r="J3443" s="125">
        <v>0</v>
      </c>
    </row>
    <row r="3444" spans="1:10" ht="15.75" hidden="1" thickBot="1" x14ac:dyDescent="0.3">
      <c r="A3444" s="235"/>
      <c r="B3444" s="238"/>
      <c r="C3444" s="155"/>
      <c r="D3444" s="33"/>
      <c r="E3444" s="34"/>
      <c r="F3444" s="49" t="s">
        <v>418</v>
      </c>
      <c r="G3444" s="49" t="str">
        <f>IF(ISNUMBER(F3444),E3444*F3444,"")</f>
        <v/>
      </c>
      <c r="H3444" s="65"/>
      <c r="I3444" s="66"/>
      <c r="J3444" s="125">
        <v>0</v>
      </c>
    </row>
    <row r="3445" spans="1:10" ht="15.75" hidden="1" thickBot="1" x14ac:dyDescent="0.3">
      <c r="A3445" s="235"/>
      <c r="B3445" s="238"/>
      <c r="C3445" s="122" t="s">
        <v>904</v>
      </c>
      <c r="D3445" s="33"/>
      <c r="E3445" s="34"/>
      <c r="F3445" s="49" t="s">
        <v>418</v>
      </c>
      <c r="G3445" s="49" t="str">
        <f>IF(ISNUMBER(F3445),E3445*F3445,"")</f>
        <v/>
      </c>
      <c r="H3445" s="65"/>
      <c r="I3445" s="66"/>
      <c r="J3445" s="125">
        <v>0</v>
      </c>
    </row>
    <row r="3446" spans="1:10" ht="15.75" hidden="1" thickBot="1" x14ac:dyDescent="0.3">
      <c r="A3446" s="236"/>
      <c r="B3446" s="239"/>
      <c r="C3446" s="155"/>
      <c r="D3446" s="33"/>
      <c r="E3446" s="34"/>
      <c r="F3446" s="49" t="s">
        <v>418</v>
      </c>
      <c r="G3446" s="49" t="str">
        <f>IF(ISNUMBER(F3446),E3446*F3446,"")</f>
        <v/>
      </c>
      <c r="H3446" s="65"/>
      <c r="I3446" s="66"/>
      <c r="J3446" s="125">
        <v>0</v>
      </c>
    </row>
    <row r="3447" spans="1:10" ht="15.75" hidden="1" thickBot="1" x14ac:dyDescent="0.3">
      <c r="A3447" s="234" t="s">
        <v>1767</v>
      </c>
      <c r="B3447" s="237" t="s">
        <v>1768</v>
      </c>
      <c r="C3447" s="160"/>
      <c r="D3447" s="23" t="s">
        <v>16</v>
      </c>
      <c r="E3447" s="24"/>
      <c r="F3447" s="44" t="s">
        <v>418</v>
      </c>
      <c r="G3447" s="25" t="str">
        <f>IF(ISNUMBER(F3447),E3447*F3447,"")</f>
        <v/>
      </c>
      <c r="H3447" s="26"/>
      <c r="I3447" s="27"/>
      <c r="J3447" s="125">
        <v>0</v>
      </c>
    </row>
    <row r="3448" spans="1:10" ht="15.75" hidden="1" thickBot="1" x14ac:dyDescent="0.3">
      <c r="A3448" s="235"/>
      <c r="B3448" s="238"/>
      <c r="C3448" s="151"/>
      <c r="D3448" s="29"/>
      <c r="E3448" s="30"/>
      <c r="F3448" s="49" t="s">
        <v>418</v>
      </c>
      <c r="G3448" s="49" t="str">
        <f>IF(ISNUMBER(F3448),E3448*F3448,"")</f>
        <v/>
      </c>
      <c r="H3448" s="65"/>
      <c r="I3448" s="66"/>
      <c r="J3448" s="125">
        <v>0</v>
      </c>
    </row>
    <row r="3449" spans="1:10" ht="15.75" hidden="1" thickBot="1" x14ac:dyDescent="0.3">
      <c r="A3449" s="235"/>
      <c r="B3449" s="238"/>
      <c r="C3449" s="155" t="s">
        <v>595</v>
      </c>
      <c r="D3449" s="155" t="s">
        <v>587</v>
      </c>
      <c r="E3449" s="34">
        <f>0.1+0.1</f>
        <v>0.2</v>
      </c>
      <c r="F3449" s="49">
        <v>25.65</v>
      </c>
      <c r="G3449" s="49">
        <f>IF(ISNUMBER(F3449),E3449*F3449,"")</f>
        <v>5.13</v>
      </c>
      <c r="H3449" s="35">
        <f>SUM(G3449:G3454)</f>
        <v>9.5954272765510318</v>
      </c>
      <c r="I3449" s="36"/>
      <c r="J3449" s="125">
        <v>0</v>
      </c>
    </row>
    <row r="3450" spans="1:10" ht="15.75" hidden="1" thickBot="1" x14ac:dyDescent="0.3">
      <c r="A3450" s="235"/>
      <c r="B3450" s="238"/>
      <c r="C3450" s="155" t="s">
        <v>588</v>
      </c>
      <c r="D3450" s="155" t="s">
        <v>587</v>
      </c>
      <c r="E3450" s="34">
        <f>0.1+0.1</f>
        <v>0.2</v>
      </c>
      <c r="F3450" s="49">
        <v>19.189999999999998</v>
      </c>
      <c r="G3450" s="49">
        <f>IF(ISNUMBER(F3450),E3450*F3450,"")</f>
        <v>3.8379999999999996</v>
      </c>
      <c r="H3450" s="65"/>
      <c r="I3450" s="66"/>
      <c r="J3450" s="125">
        <v>0</v>
      </c>
    </row>
    <row r="3451" spans="1:10" ht="15.75" hidden="1" thickBot="1" x14ac:dyDescent="0.3">
      <c r="A3451" s="235"/>
      <c r="B3451" s="238"/>
      <c r="C3451" s="155" t="s">
        <v>901</v>
      </c>
      <c r="D3451" s="33" t="s">
        <v>97</v>
      </c>
      <c r="E3451" s="34">
        <f>0.016*2</f>
        <v>3.2000000000000001E-2</v>
      </c>
      <c r="F3451" s="49">
        <v>0.95</v>
      </c>
      <c r="G3451" s="49">
        <f>IF(ISNUMBER(F3451),E3451*F3451,"")</f>
        <v>3.04E-2</v>
      </c>
      <c r="H3451" s="65"/>
      <c r="I3451" s="66"/>
      <c r="J3451" s="125">
        <v>0</v>
      </c>
    </row>
    <row r="3452" spans="1:10" ht="15.75" hidden="1" thickBot="1" x14ac:dyDescent="0.3">
      <c r="A3452" s="235"/>
      <c r="B3452" s="238"/>
      <c r="C3452" s="155" t="s">
        <v>902</v>
      </c>
      <c r="D3452" s="33" t="s">
        <v>903</v>
      </c>
      <c r="E3452" s="34">
        <f>0.1*2</f>
        <v>0.2</v>
      </c>
      <c r="F3452" s="49">
        <v>0.95</v>
      </c>
      <c r="G3452" s="49">
        <f>IF(ISNUMBER(F3452),E3452*F3452,"")</f>
        <v>0.19</v>
      </c>
      <c r="H3452" s="65"/>
      <c r="I3452" s="66"/>
      <c r="J3452" s="125">
        <v>0</v>
      </c>
    </row>
    <row r="3453" spans="1:10" ht="15.75" hidden="1" thickBot="1" x14ac:dyDescent="0.3">
      <c r="A3453" s="235"/>
      <c r="B3453" s="238"/>
      <c r="C3453" s="155" t="s">
        <v>972</v>
      </c>
      <c r="D3453" s="33" t="s">
        <v>97</v>
      </c>
      <c r="E3453" s="34">
        <v>1</v>
      </c>
      <c r="F3453" s="49" t="s">
        <v>418</v>
      </c>
      <c r="G3453" s="49" t="str">
        <f>IF(ISNUMBER(F3453),E3453*F3453,"")</f>
        <v/>
      </c>
      <c r="H3453" s="65"/>
      <c r="I3453" s="66"/>
      <c r="J3453" s="125">
        <v>0</v>
      </c>
    </row>
    <row r="3454" spans="1:10" ht="39" hidden="1" thickBot="1" x14ac:dyDescent="0.3">
      <c r="A3454" s="235"/>
      <c r="B3454" s="238"/>
      <c r="C3454" s="155" t="s">
        <v>14546</v>
      </c>
      <c r="D3454" s="155" t="s">
        <v>85</v>
      </c>
      <c r="E3454" s="34">
        <f>ROUND(0.15*0.05*0.05,4)</f>
        <v>4.0000000000000002E-4</v>
      </c>
      <c r="F3454" s="49">
        <v>1017.5681913775799</v>
      </c>
      <c r="G3454" s="49">
        <f>IF(ISNUMBER(F3454),E3454*F3454,"")</f>
        <v>0.40702727655103199</v>
      </c>
      <c r="H3454" s="65"/>
      <c r="I3454" s="66"/>
      <c r="J3454" s="125">
        <v>0</v>
      </c>
    </row>
    <row r="3455" spans="1:10" ht="15.75" hidden="1" thickBot="1" x14ac:dyDescent="0.3">
      <c r="A3455" s="235"/>
      <c r="B3455" s="238"/>
      <c r="C3455" s="155"/>
      <c r="D3455" s="33"/>
      <c r="E3455" s="34"/>
      <c r="F3455" s="49" t="s">
        <v>418</v>
      </c>
      <c r="G3455" s="49" t="str">
        <f>IF(ISNUMBER(F3455),E3455*F3455,"")</f>
        <v/>
      </c>
      <c r="H3455" s="65"/>
      <c r="I3455" s="66"/>
      <c r="J3455" s="125">
        <v>0</v>
      </c>
    </row>
    <row r="3456" spans="1:10" ht="15.75" hidden="1" thickBot="1" x14ac:dyDescent="0.3">
      <c r="A3456" s="235"/>
      <c r="B3456" s="238"/>
      <c r="C3456" s="122" t="s">
        <v>904</v>
      </c>
      <c r="D3456" s="33"/>
      <c r="E3456" s="34"/>
      <c r="F3456" s="49" t="s">
        <v>418</v>
      </c>
      <c r="G3456" s="49" t="str">
        <f>IF(ISNUMBER(F3456),E3456*F3456,"")</f>
        <v/>
      </c>
      <c r="H3456" s="65"/>
      <c r="I3456" s="66"/>
      <c r="J3456" s="125">
        <v>0</v>
      </c>
    </row>
    <row r="3457" spans="1:10" ht="15.75" hidden="1" thickBot="1" x14ac:dyDescent="0.3">
      <c r="A3457" s="236"/>
      <c r="B3457" s="239"/>
      <c r="C3457" s="155"/>
      <c r="D3457" s="33"/>
      <c r="E3457" s="34"/>
      <c r="F3457" s="49" t="s">
        <v>418</v>
      </c>
      <c r="G3457" s="49" t="str">
        <f>IF(ISNUMBER(F3457),E3457*F3457,"")</f>
        <v/>
      </c>
      <c r="H3457" s="65"/>
      <c r="I3457" s="66"/>
      <c r="J3457" s="125">
        <v>0</v>
      </c>
    </row>
    <row r="3458" spans="1:10" ht="15.75" hidden="1" thickBot="1" x14ac:dyDescent="0.3">
      <c r="A3458" s="234" t="s">
        <v>907</v>
      </c>
      <c r="B3458" s="237" t="s">
        <v>13508</v>
      </c>
      <c r="C3458" s="160"/>
      <c r="D3458" s="23" t="s">
        <v>70</v>
      </c>
      <c r="E3458" s="24"/>
      <c r="F3458" s="44" t="s">
        <v>418</v>
      </c>
      <c r="G3458" s="25" t="str">
        <f>IF(ISNUMBER(F3458),E3458*F3458,"")</f>
        <v/>
      </c>
      <c r="H3458" s="26"/>
      <c r="I3458" s="27"/>
      <c r="J3458" s="125">
        <v>0</v>
      </c>
    </row>
    <row r="3459" spans="1:10" ht="15.75" hidden="1" thickBot="1" x14ac:dyDescent="0.3">
      <c r="A3459" s="235"/>
      <c r="B3459" s="238"/>
      <c r="C3459" s="151"/>
      <c r="D3459" s="29"/>
      <c r="E3459" s="30"/>
      <c r="F3459" s="49" t="s">
        <v>418</v>
      </c>
      <c r="G3459" s="49" t="str">
        <f>IF(ISNUMBER(F3459),E3459*F3459,"")</f>
        <v/>
      </c>
      <c r="H3459" s="65"/>
      <c r="I3459" s="66"/>
      <c r="J3459" s="125">
        <v>0</v>
      </c>
    </row>
    <row r="3460" spans="1:10" ht="15.75" hidden="1" thickBot="1" x14ac:dyDescent="0.3">
      <c r="A3460" s="235"/>
      <c r="B3460" s="238"/>
      <c r="C3460" s="155" t="s">
        <v>908</v>
      </c>
      <c r="D3460" s="33" t="s">
        <v>70</v>
      </c>
      <c r="E3460" s="34">
        <v>1.05</v>
      </c>
      <c r="F3460" s="49" t="s">
        <v>418</v>
      </c>
      <c r="G3460" s="49" t="str">
        <f>IF(ISNUMBER(F3460),E3460*F3460,"")</f>
        <v/>
      </c>
      <c r="H3460" s="35">
        <f>SUM(G3460:G3464)</f>
        <v>63.409649999999999</v>
      </c>
      <c r="I3460" s="36"/>
      <c r="J3460" s="125">
        <v>0</v>
      </c>
    </row>
    <row r="3461" spans="1:10" ht="15.75" hidden="1" thickBot="1" x14ac:dyDescent="0.3">
      <c r="A3461" s="235"/>
      <c r="B3461" s="238"/>
      <c r="C3461" s="155" t="s">
        <v>9784</v>
      </c>
      <c r="D3461" s="155" t="s">
        <v>587</v>
      </c>
      <c r="E3461" s="34">
        <v>1.35</v>
      </c>
      <c r="F3461" s="49">
        <v>25.516999999999999</v>
      </c>
      <c r="G3461" s="49">
        <f>IF(ISNUMBER(F3461),E3461*F3461,"")</f>
        <v>34.447949999999999</v>
      </c>
      <c r="H3461" s="65"/>
      <c r="I3461" s="66"/>
      <c r="J3461" s="125">
        <v>0</v>
      </c>
    </row>
    <row r="3462" spans="1:10" ht="15.75" hidden="1" thickBot="1" x14ac:dyDescent="0.3">
      <c r="A3462" s="235"/>
      <c r="B3462" s="238"/>
      <c r="C3462" s="155" t="s">
        <v>588</v>
      </c>
      <c r="D3462" s="155" t="s">
        <v>587</v>
      </c>
      <c r="E3462" s="34">
        <v>0.6</v>
      </c>
      <c r="F3462" s="49">
        <v>19.189999999999998</v>
      </c>
      <c r="G3462" s="49">
        <f>IF(ISNUMBER(F3462),E3462*F3462,"")</f>
        <v>11.513999999999998</v>
      </c>
      <c r="H3462" s="65"/>
      <c r="I3462" s="66"/>
      <c r="J3462" s="125">
        <v>0</v>
      </c>
    </row>
    <row r="3463" spans="1:10" ht="15.75" hidden="1" thickBot="1" x14ac:dyDescent="0.3">
      <c r="A3463" s="235"/>
      <c r="B3463" s="238"/>
      <c r="C3463" s="155" t="s">
        <v>23678</v>
      </c>
      <c r="D3463" s="155" t="s">
        <v>774</v>
      </c>
      <c r="E3463" s="34">
        <v>4.5</v>
      </c>
      <c r="F3463" s="49">
        <v>3.4390000000000001</v>
      </c>
      <c r="G3463" s="49">
        <f>IF(ISNUMBER(F3463),E3463*F3463,"")</f>
        <v>15.4755</v>
      </c>
      <c r="H3463" s="65"/>
      <c r="I3463" s="66"/>
      <c r="J3463" s="125">
        <v>0</v>
      </c>
    </row>
    <row r="3464" spans="1:10" ht="15.75" hidden="1" thickBot="1" x14ac:dyDescent="0.3">
      <c r="A3464" s="235"/>
      <c r="B3464" s="238"/>
      <c r="C3464" s="155" t="s">
        <v>27268</v>
      </c>
      <c r="D3464" s="155" t="s">
        <v>774</v>
      </c>
      <c r="E3464" s="34">
        <v>0.3</v>
      </c>
      <c r="F3464" s="49">
        <v>6.5739999999999998</v>
      </c>
      <c r="G3464" s="49">
        <f>IF(ISNUMBER(F3464),E3464*F3464,"")</f>
        <v>1.9722</v>
      </c>
      <c r="H3464" s="65"/>
      <c r="I3464" s="66"/>
      <c r="J3464" s="125">
        <v>0</v>
      </c>
    </row>
    <row r="3465" spans="1:10" ht="15.75" hidden="1" thickBot="1" x14ac:dyDescent="0.3">
      <c r="A3465" s="236"/>
      <c r="B3465" s="239"/>
      <c r="C3465" s="155"/>
      <c r="D3465" s="33"/>
      <c r="E3465" s="34"/>
      <c r="F3465" s="49" t="s">
        <v>418</v>
      </c>
      <c r="G3465" s="49" t="str">
        <f>IF(ISNUMBER(F3465),E3465*F3465,"")</f>
        <v/>
      </c>
      <c r="H3465" s="65"/>
      <c r="I3465" s="66"/>
      <c r="J3465" s="125">
        <v>0</v>
      </c>
    </row>
    <row r="3466" spans="1:10" ht="15.75" hidden="1" thickBot="1" x14ac:dyDescent="0.3">
      <c r="A3466" s="234" t="s">
        <v>909</v>
      </c>
      <c r="B3466" s="237" t="s">
        <v>13509</v>
      </c>
      <c r="C3466" s="160"/>
      <c r="D3466" s="23" t="s">
        <v>70</v>
      </c>
      <c r="E3466" s="24"/>
      <c r="F3466" s="44" t="s">
        <v>418</v>
      </c>
      <c r="G3466" s="25" t="str">
        <f>IF(ISNUMBER(F3466),E3466*F3466,"")</f>
        <v/>
      </c>
      <c r="H3466" s="26"/>
      <c r="I3466" s="27"/>
      <c r="J3466" s="125">
        <v>0</v>
      </c>
    </row>
    <row r="3467" spans="1:10" ht="15.75" hidden="1" thickBot="1" x14ac:dyDescent="0.3">
      <c r="A3467" s="235"/>
      <c r="B3467" s="238"/>
      <c r="C3467" s="151"/>
      <c r="D3467" s="29"/>
      <c r="E3467" s="30"/>
      <c r="F3467" s="49" t="s">
        <v>418</v>
      </c>
      <c r="G3467" s="49" t="str">
        <f>IF(ISNUMBER(F3467),E3467*F3467,"")</f>
        <v/>
      </c>
      <c r="H3467" s="65"/>
      <c r="I3467" s="66"/>
      <c r="J3467" s="125">
        <v>0</v>
      </c>
    </row>
    <row r="3468" spans="1:10" ht="15.75" hidden="1" thickBot="1" x14ac:dyDescent="0.3">
      <c r="A3468" s="235"/>
      <c r="B3468" s="238"/>
      <c r="C3468" s="155" t="s">
        <v>908</v>
      </c>
      <c r="D3468" s="33" t="s">
        <v>70</v>
      </c>
      <c r="E3468" s="34">
        <v>1.05</v>
      </c>
      <c r="F3468" s="49" t="s">
        <v>418</v>
      </c>
      <c r="G3468" s="49" t="str">
        <f>IF(ISNUMBER(F3468),E3468*F3468,"")</f>
        <v/>
      </c>
      <c r="H3468" s="35">
        <f>SUM(G3468:G3478)</f>
        <v>87.33503181913774</v>
      </c>
      <c r="I3468" s="36"/>
      <c r="J3468" s="125">
        <v>0</v>
      </c>
    </row>
    <row r="3469" spans="1:10" ht="15.75" hidden="1" thickBot="1" x14ac:dyDescent="0.3">
      <c r="A3469" s="235"/>
      <c r="B3469" s="238"/>
      <c r="C3469" s="155" t="s">
        <v>9784</v>
      </c>
      <c r="D3469" s="155" t="s">
        <v>587</v>
      </c>
      <c r="E3469" s="34">
        <f>1.35</f>
        <v>1.35</v>
      </c>
      <c r="F3469" s="49">
        <v>25.516999999999999</v>
      </c>
      <c r="G3469" s="49">
        <f>IF(ISNUMBER(F3469),E3469*F3469,"")</f>
        <v>34.447949999999999</v>
      </c>
      <c r="H3469" s="65"/>
      <c r="I3469" s="66"/>
      <c r="J3469" s="125">
        <v>0</v>
      </c>
    </row>
    <row r="3470" spans="1:10" ht="15.75" hidden="1" thickBot="1" x14ac:dyDescent="0.3">
      <c r="A3470" s="235"/>
      <c r="B3470" s="238"/>
      <c r="C3470" s="155" t="s">
        <v>595</v>
      </c>
      <c r="D3470" s="155" t="s">
        <v>587</v>
      </c>
      <c r="E3470" s="34">
        <v>0.1</v>
      </c>
      <c r="F3470" s="49">
        <v>25.65</v>
      </c>
      <c r="G3470" s="49">
        <f>IF(ISNUMBER(F3470),E3470*F3470,"")</f>
        <v>2.5649999999999999</v>
      </c>
      <c r="H3470" s="65"/>
      <c r="I3470" s="66"/>
      <c r="J3470" s="125">
        <v>0</v>
      </c>
    </row>
    <row r="3471" spans="1:10" ht="15.75" hidden="1" thickBot="1" x14ac:dyDescent="0.3">
      <c r="A3471" s="235"/>
      <c r="B3471" s="238"/>
      <c r="C3471" s="155" t="s">
        <v>588</v>
      </c>
      <c r="D3471" s="155" t="s">
        <v>587</v>
      </c>
      <c r="E3471" s="34">
        <f>0.6+0.1+0.1</f>
        <v>0.79999999999999993</v>
      </c>
      <c r="F3471" s="49">
        <v>19.189999999999998</v>
      </c>
      <c r="G3471" s="49">
        <f>IF(ISNUMBER(F3471),E3471*F3471,"")</f>
        <v>15.351999999999997</v>
      </c>
      <c r="H3471" s="65"/>
      <c r="I3471" s="66"/>
      <c r="J3471" s="125">
        <v>0</v>
      </c>
    </row>
    <row r="3472" spans="1:10" ht="15.75" hidden="1" thickBot="1" x14ac:dyDescent="0.3">
      <c r="A3472" s="235"/>
      <c r="B3472" s="238"/>
      <c r="C3472" s="155" t="s">
        <v>23678</v>
      </c>
      <c r="D3472" s="155" t="s">
        <v>774</v>
      </c>
      <c r="E3472" s="34">
        <v>4.5</v>
      </c>
      <c r="F3472" s="49">
        <v>3.4390000000000001</v>
      </c>
      <c r="G3472" s="49">
        <f>IF(ISNUMBER(F3472),E3472*F3472,"")</f>
        <v>15.4755</v>
      </c>
      <c r="H3472" s="65"/>
      <c r="I3472" s="66"/>
      <c r="J3472" s="125">
        <v>0</v>
      </c>
    </row>
    <row r="3473" spans="1:10" ht="15.75" hidden="1" thickBot="1" x14ac:dyDescent="0.3">
      <c r="A3473" s="235"/>
      <c r="B3473" s="238"/>
      <c r="C3473" s="155" t="s">
        <v>27268</v>
      </c>
      <c r="D3473" s="155" t="s">
        <v>774</v>
      </c>
      <c r="E3473" s="34">
        <v>0.3</v>
      </c>
      <c r="F3473" s="49">
        <v>6.5739999999999998</v>
      </c>
      <c r="G3473" s="49">
        <f>IF(ISNUMBER(F3473),E3473*F3473,"")</f>
        <v>1.9722</v>
      </c>
      <c r="H3473" s="65"/>
      <c r="I3473" s="66"/>
      <c r="J3473" s="125">
        <v>0</v>
      </c>
    </row>
    <row r="3474" spans="1:10" ht="26.25" hidden="1" thickBot="1" x14ac:dyDescent="0.3">
      <c r="A3474" s="235"/>
      <c r="B3474" s="238"/>
      <c r="C3474" s="155" t="s">
        <v>910</v>
      </c>
      <c r="D3474" s="155" t="s">
        <v>205</v>
      </c>
      <c r="E3474" s="34">
        <f>2/(0.4*0.8)</f>
        <v>6.2499999999999991</v>
      </c>
      <c r="F3474" s="49">
        <v>2.6219999999999999</v>
      </c>
      <c r="G3474" s="49">
        <f>IF(ISNUMBER(F3474),E3474*F3474,"")</f>
        <v>16.387499999999996</v>
      </c>
      <c r="H3474" s="65"/>
      <c r="I3474" s="66"/>
      <c r="J3474" s="125">
        <v>0</v>
      </c>
    </row>
    <row r="3475" spans="1:10" ht="15.75" hidden="1" thickBot="1" x14ac:dyDescent="0.3">
      <c r="A3475" s="235"/>
      <c r="B3475" s="238"/>
      <c r="C3475" s="155" t="s">
        <v>901</v>
      </c>
      <c r="D3475" s="33" t="s">
        <v>97</v>
      </c>
      <c r="E3475" s="34">
        <f>(2/(0.4*0.8))*(0.016)*1.5</f>
        <v>0.15</v>
      </c>
      <c r="F3475" s="49">
        <v>0.95</v>
      </c>
      <c r="G3475" s="49">
        <f>IF(ISNUMBER(F3475),E3475*F3475,"")</f>
        <v>0.14249999999999999</v>
      </c>
      <c r="H3475" s="65"/>
      <c r="I3475" s="66"/>
      <c r="J3475" s="125">
        <v>0</v>
      </c>
    </row>
    <row r="3476" spans="1:10" ht="15.75" hidden="1" thickBot="1" x14ac:dyDescent="0.3">
      <c r="A3476" s="235"/>
      <c r="B3476" s="238"/>
      <c r="C3476" s="155" t="s">
        <v>902</v>
      </c>
      <c r="D3476" s="33" t="s">
        <v>903</v>
      </c>
      <c r="E3476" s="34">
        <f>(2/(0.4*0.8))*0.1*1.5</f>
        <v>0.9375</v>
      </c>
      <c r="F3476" s="49">
        <v>0.95</v>
      </c>
      <c r="G3476" s="49">
        <f>IF(ISNUMBER(F3476),E3476*F3476,"")</f>
        <v>0.890625</v>
      </c>
      <c r="H3476" s="65"/>
      <c r="I3476" s="66"/>
      <c r="J3476" s="125">
        <v>0</v>
      </c>
    </row>
    <row r="3477" spans="1:10" ht="15.75" hidden="1" thickBot="1" x14ac:dyDescent="0.3">
      <c r="A3477" s="235"/>
      <c r="B3477" s="238"/>
      <c r="C3477" s="155" t="s">
        <v>911</v>
      </c>
      <c r="D3477" s="33" t="s">
        <v>97</v>
      </c>
      <c r="E3477" s="34">
        <f>2/(0.4*0.8)</f>
        <v>6.2499999999999991</v>
      </c>
      <c r="F3477" s="49" t="s">
        <v>418</v>
      </c>
      <c r="G3477" s="49" t="str">
        <f>IF(ISNUMBER(F3477),E3477*F3477,"")</f>
        <v/>
      </c>
      <c r="H3477" s="65"/>
      <c r="I3477" s="66"/>
      <c r="J3477" s="125">
        <v>0</v>
      </c>
    </row>
    <row r="3478" spans="1:10" ht="39" hidden="1" thickBot="1" x14ac:dyDescent="0.3">
      <c r="A3478" s="235"/>
      <c r="B3478" s="238"/>
      <c r="C3478" s="155" t="s">
        <v>14546</v>
      </c>
      <c r="D3478" s="155" t="s">
        <v>85</v>
      </c>
      <c r="E3478" s="34">
        <v>1E-4</v>
      </c>
      <c r="F3478" s="49">
        <v>1017.5681913775799</v>
      </c>
      <c r="G3478" s="49">
        <f>IF(ISNUMBER(F3478),E3478*F3478,"")</f>
        <v>0.101756819137758</v>
      </c>
      <c r="H3478" s="65"/>
      <c r="I3478" s="66"/>
      <c r="J3478" s="125">
        <v>0</v>
      </c>
    </row>
    <row r="3479" spans="1:10" ht="15.75" hidden="1" thickBot="1" x14ac:dyDescent="0.3">
      <c r="A3479" s="235"/>
      <c r="B3479" s="238"/>
      <c r="C3479" s="155"/>
      <c r="D3479" s="33"/>
      <c r="E3479" s="34"/>
      <c r="F3479" s="49" t="s">
        <v>418</v>
      </c>
      <c r="G3479" s="49" t="str">
        <f>IF(ISNUMBER(F3479),E3479*F3479,"")</f>
        <v/>
      </c>
      <c r="H3479" s="65"/>
      <c r="I3479" s="66"/>
      <c r="J3479" s="125">
        <v>0</v>
      </c>
    </row>
    <row r="3480" spans="1:10" ht="15.75" hidden="1" thickBot="1" x14ac:dyDescent="0.3">
      <c r="A3480" s="235"/>
      <c r="B3480" s="238"/>
      <c r="C3480" s="122" t="s">
        <v>912</v>
      </c>
      <c r="D3480" s="33"/>
      <c r="E3480" s="34"/>
      <c r="F3480" s="49" t="s">
        <v>418</v>
      </c>
      <c r="G3480" s="49" t="str">
        <f>IF(ISNUMBER(F3480),E3480*F3480,"")</f>
        <v/>
      </c>
      <c r="H3480" s="65"/>
      <c r="I3480" s="66"/>
      <c r="J3480" s="125">
        <v>0</v>
      </c>
    </row>
    <row r="3481" spans="1:10" ht="26.25" hidden="1" thickBot="1" x14ac:dyDescent="0.3">
      <c r="A3481" s="235"/>
      <c r="B3481" s="238"/>
      <c r="C3481" s="122" t="s">
        <v>913</v>
      </c>
      <c r="D3481" s="33"/>
      <c r="E3481" s="34"/>
      <c r="F3481" s="49" t="s">
        <v>418</v>
      </c>
      <c r="G3481" s="49" t="str">
        <f>IF(ISNUMBER(F3481),E3481*F3481,"")</f>
        <v/>
      </c>
      <c r="H3481" s="65"/>
      <c r="I3481" s="66"/>
      <c r="J3481" s="125">
        <v>0</v>
      </c>
    </row>
    <row r="3482" spans="1:10" ht="15.75" hidden="1" thickBot="1" x14ac:dyDescent="0.3">
      <c r="A3482" s="236"/>
      <c r="B3482" s="239"/>
      <c r="C3482" s="155"/>
      <c r="D3482" s="33"/>
      <c r="E3482" s="34"/>
      <c r="F3482" s="49" t="s">
        <v>418</v>
      </c>
      <c r="G3482" s="49" t="str">
        <f>IF(ISNUMBER(F3482),E3482*F3482,"")</f>
        <v/>
      </c>
      <c r="H3482" s="65"/>
      <c r="I3482" s="66"/>
      <c r="J3482" s="125">
        <v>0</v>
      </c>
    </row>
    <row r="3483" spans="1:10" ht="15.75" hidden="1" thickBot="1" x14ac:dyDescent="0.3">
      <c r="A3483" s="234" t="s">
        <v>914</v>
      </c>
      <c r="B3483" s="237" t="s">
        <v>13510</v>
      </c>
      <c r="C3483" s="160"/>
      <c r="D3483" s="23" t="s">
        <v>70</v>
      </c>
      <c r="E3483" s="24"/>
      <c r="F3483" s="44" t="s">
        <v>418</v>
      </c>
      <c r="G3483" s="25" t="str">
        <f>IF(ISNUMBER(F3483),E3483*F3483,"")</f>
        <v/>
      </c>
      <c r="H3483" s="26"/>
      <c r="I3483" s="27"/>
      <c r="J3483" s="125">
        <v>0</v>
      </c>
    </row>
    <row r="3484" spans="1:10" ht="15.75" hidden="1" thickBot="1" x14ac:dyDescent="0.3">
      <c r="A3484" s="235"/>
      <c r="B3484" s="238"/>
      <c r="C3484" s="151"/>
      <c r="D3484" s="29"/>
      <c r="E3484" s="30"/>
      <c r="F3484" s="49" t="s">
        <v>418</v>
      </c>
      <c r="G3484" s="49" t="str">
        <f>IF(ISNUMBER(F3484),E3484*F3484,"")</f>
        <v/>
      </c>
      <c r="H3484" s="65"/>
      <c r="I3484" s="66"/>
      <c r="J3484" s="125">
        <v>0</v>
      </c>
    </row>
    <row r="3485" spans="1:10" ht="15.75" hidden="1" thickBot="1" x14ac:dyDescent="0.3">
      <c r="A3485" s="235"/>
      <c r="B3485" s="238"/>
      <c r="C3485" s="155" t="s">
        <v>915</v>
      </c>
      <c r="D3485" s="33" t="s">
        <v>70</v>
      </c>
      <c r="E3485" s="34">
        <v>1.05</v>
      </c>
      <c r="F3485" s="49" t="s">
        <v>418</v>
      </c>
      <c r="G3485" s="49" t="str">
        <f>IF(ISNUMBER(F3485),E3485*F3485,"")</f>
        <v/>
      </c>
      <c r="H3485" s="35">
        <f>SUM(G3485:G3489)</f>
        <v>63.409649999999999</v>
      </c>
      <c r="I3485" s="36"/>
      <c r="J3485" s="125">
        <v>0</v>
      </c>
    </row>
    <row r="3486" spans="1:10" ht="15.75" hidden="1" thickBot="1" x14ac:dyDescent="0.3">
      <c r="A3486" s="235"/>
      <c r="B3486" s="238"/>
      <c r="C3486" s="155" t="s">
        <v>9784</v>
      </c>
      <c r="D3486" s="155" t="s">
        <v>587</v>
      </c>
      <c r="E3486" s="34">
        <v>1.35</v>
      </c>
      <c r="F3486" s="49">
        <v>25.516999999999999</v>
      </c>
      <c r="G3486" s="49">
        <f>IF(ISNUMBER(F3486),E3486*F3486,"")</f>
        <v>34.447949999999999</v>
      </c>
      <c r="H3486" s="65"/>
      <c r="I3486" s="66"/>
      <c r="J3486" s="125">
        <v>0</v>
      </c>
    </row>
    <row r="3487" spans="1:10" ht="15.75" hidden="1" thickBot="1" x14ac:dyDescent="0.3">
      <c r="A3487" s="235"/>
      <c r="B3487" s="238"/>
      <c r="C3487" s="155" t="s">
        <v>588</v>
      </c>
      <c r="D3487" s="155" t="s">
        <v>587</v>
      </c>
      <c r="E3487" s="34">
        <v>0.6</v>
      </c>
      <c r="F3487" s="49">
        <v>19.189999999999998</v>
      </c>
      <c r="G3487" s="49">
        <f>IF(ISNUMBER(F3487),E3487*F3487,"")</f>
        <v>11.513999999999998</v>
      </c>
      <c r="H3487" s="65"/>
      <c r="I3487" s="66"/>
      <c r="J3487" s="125">
        <v>0</v>
      </c>
    </row>
    <row r="3488" spans="1:10" ht="15.75" hidden="1" thickBot="1" x14ac:dyDescent="0.3">
      <c r="A3488" s="235"/>
      <c r="B3488" s="238"/>
      <c r="C3488" s="155" t="s">
        <v>23678</v>
      </c>
      <c r="D3488" s="155" t="s">
        <v>774</v>
      </c>
      <c r="E3488" s="34">
        <v>4.5</v>
      </c>
      <c r="F3488" s="49">
        <v>3.4390000000000001</v>
      </c>
      <c r="G3488" s="49">
        <f>IF(ISNUMBER(F3488),E3488*F3488,"")</f>
        <v>15.4755</v>
      </c>
      <c r="H3488" s="65"/>
      <c r="I3488" s="66"/>
      <c r="J3488" s="125">
        <v>0</v>
      </c>
    </row>
    <row r="3489" spans="1:10" ht="15.75" hidden="1" thickBot="1" x14ac:dyDescent="0.3">
      <c r="A3489" s="235"/>
      <c r="B3489" s="238"/>
      <c r="C3489" s="155" t="s">
        <v>27268</v>
      </c>
      <c r="D3489" s="155" t="s">
        <v>774</v>
      </c>
      <c r="E3489" s="34">
        <v>0.3</v>
      </c>
      <c r="F3489" s="49">
        <v>6.5739999999999998</v>
      </c>
      <c r="G3489" s="49">
        <f>IF(ISNUMBER(F3489),E3489*F3489,"")</f>
        <v>1.9722</v>
      </c>
      <c r="H3489" s="65"/>
      <c r="I3489" s="66"/>
      <c r="J3489" s="125">
        <v>0</v>
      </c>
    </row>
    <row r="3490" spans="1:10" ht="15.75" hidden="1" thickBot="1" x14ac:dyDescent="0.3">
      <c r="A3490" s="236"/>
      <c r="B3490" s="239"/>
      <c r="C3490" s="155"/>
      <c r="D3490" s="33"/>
      <c r="E3490" s="34"/>
      <c r="F3490" s="49" t="s">
        <v>418</v>
      </c>
      <c r="G3490" s="49" t="str">
        <f>IF(ISNUMBER(F3490),E3490*F3490,"")</f>
        <v/>
      </c>
      <c r="H3490" s="65"/>
      <c r="I3490" s="66"/>
      <c r="J3490" s="125">
        <v>0</v>
      </c>
    </row>
    <row r="3491" spans="1:10" ht="15.75" hidden="1" thickBot="1" x14ac:dyDescent="0.3">
      <c r="A3491" s="234" t="s">
        <v>916</v>
      </c>
      <c r="B3491" s="237" t="s">
        <v>13511</v>
      </c>
      <c r="C3491" s="160"/>
      <c r="D3491" s="23" t="s">
        <v>70</v>
      </c>
      <c r="E3491" s="24"/>
      <c r="F3491" s="44" t="s">
        <v>418</v>
      </c>
      <c r="G3491" s="25" t="str">
        <f>IF(ISNUMBER(F3491),E3491*F3491,"")</f>
        <v/>
      </c>
      <c r="H3491" s="26"/>
      <c r="I3491" s="27"/>
      <c r="J3491" s="125">
        <v>0</v>
      </c>
    </row>
    <row r="3492" spans="1:10" ht="15.75" hidden="1" thickBot="1" x14ac:dyDescent="0.3">
      <c r="A3492" s="235"/>
      <c r="B3492" s="238"/>
      <c r="C3492" s="151"/>
      <c r="D3492" s="29"/>
      <c r="E3492" s="30"/>
      <c r="F3492" s="49" t="s">
        <v>418</v>
      </c>
      <c r="G3492" s="49" t="str">
        <f>IF(ISNUMBER(F3492),E3492*F3492,"")</f>
        <v/>
      </c>
      <c r="H3492" s="65"/>
      <c r="I3492" s="66"/>
      <c r="J3492" s="125">
        <v>0</v>
      </c>
    </row>
    <row r="3493" spans="1:10" ht="15.75" hidden="1" thickBot="1" x14ac:dyDescent="0.3">
      <c r="A3493" s="235"/>
      <c r="B3493" s="238"/>
      <c r="C3493" s="155" t="s">
        <v>915</v>
      </c>
      <c r="D3493" s="33" t="s">
        <v>70</v>
      </c>
      <c r="E3493" s="34">
        <v>1.05</v>
      </c>
      <c r="F3493" s="49" t="s">
        <v>418</v>
      </c>
      <c r="G3493" s="49" t="str">
        <f>IF(ISNUMBER(F3493),E3493*F3493,"")</f>
        <v/>
      </c>
      <c r="H3493" s="35">
        <f>SUM(G3493:G3503)</f>
        <v>87.33503181913774</v>
      </c>
      <c r="I3493" s="36"/>
      <c r="J3493" s="125">
        <v>0</v>
      </c>
    </row>
    <row r="3494" spans="1:10" ht="15.75" hidden="1" thickBot="1" x14ac:dyDescent="0.3">
      <c r="A3494" s="235"/>
      <c r="B3494" s="238"/>
      <c r="C3494" s="155" t="s">
        <v>9784</v>
      </c>
      <c r="D3494" s="155" t="s">
        <v>587</v>
      </c>
      <c r="E3494" s="34">
        <f>1.35</f>
        <v>1.35</v>
      </c>
      <c r="F3494" s="49">
        <v>25.516999999999999</v>
      </c>
      <c r="G3494" s="49">
        <f>IF(ISNUMBER(F3494),E3494*F3494,"")</f>
        <v>34.447949999999999</v>
      </c>
      <c r="H3494" s="65"/>
      <c r="I3494" s="66"/>
      <c r="J3494" s="125">
        <v>0</v>
      </c>
    </row>
    <row r="3495" spans="1:10" ht="15.75" hidden="1" thickBot="1" x14ac:dyDescent="0.3">
      <c r="A3495" s="235"/>
      <c r="B3495" s="238"/>
      <c r="C3495" s="155" t="s">
        <v>595</v>
      </c>
      <c r="D3495" s="155" t="s">
        <v>587</v>
      </c>
      <c r="E3495" s="34">
        <v>0.1</v>
      </c>
      <c r="F3495" s="49">
        <v>25.65</v>
      </c>
      <c r="G3495" s="49">
        <f>IF(ISNUMBER(F3495),E3495*F3495,"")</f>
        <v>2.5649999999999999</v>
      </c>
      <c r="H3495" s="65"/>
      <c r="I3495" s="66"/>
      <c r="J3495" s="125">
        <v>0</v>
      </c>
    </row>
    <row r="3496" spans="1:10" ht="15.75" hidden="1" thickBot="1" x14ac:dyDescent="0.3">
      <c r="A3496" s="235"/>
      <c r="B3496" s="238"/>
      <c r="C3496" s="155" t="s">
        <v>588</v>
      </c>
      <c r="D3496" s="155" t="s">
        <v>587</v>
      </c>
      <c r="E3496" s="34">
        <f>0.6+0.1+0.1</f>
        <v>0.79999999999999993</v>
      </c>
      <c r="F3496" s="49">
        <v>19.189999999999998</v>
      </c>
      <c r="G3496" s="49">
        <f>IF(ISNUMBER(F3496),E3496*F3496,"")</f>
        <v>15.351999999999997</v>
      </c>
      <c r="H3496" s="65"/>
      <c r="I3496" s="66"/>
      <c r="J3496" s="125">
        <v>0</v>
      </c>
    </row>
    <row r="3497" spans="1:10" ht="15.75" hidden="1" thickBot="1" x14ac:dyDescent="0.3">
      <c r="A3497" s="235"/>
      <c r="B3497" s="238"/>
      <c r="C3497" s="155" t="s">
        <v>23678</v>
      </c>
      <c r="D3497" s="155" t="s">
        <v>774</v>
      </c>
      <c r="E3497" s="34">
        <v>4.5</v>
      </c>
      <c r="F3497" s="49">
        <v>3.4390000000000001</v>
      </c>
      <c r="G3497" s="49">
        <f>IF(ISNUMBER(F3497),E3497*F3497,"")</f>
        <v>15.4755</v>
      </c>
      <c r="H3497" s="65"/>
      <c r="I3497" s="66"/>
      <c r="J3497" s="125">
        <v>0</v>
      </c>
    </row>
    <row r="3498" spans="1:10" ht="15.75" hidden="1" thickBot="1" x14ac:dyDescent="0.3">
      <c r="A3498" s="235"/>
      <c r="B3498" s="238"/>
      <c r="C3498" s="155" t="s">
        <v>27268</v>
      </c>
      <c r="D3498" s="155" t="s">
        <v>774</v>
      </c>
      <c r="E3498" s="34">
        <v>0.3</v>
      </c>
      <c r="F3498" s="49">
        <v>6.5739999999999998</v>
      </c>
      <c r="G3498" s="49">
        <f>IF(ISNUMBER(F3498),E3498*F3498,"")</f>
        <v>1.9722</v>
      </c>
      <c r="H3498" s="65"/>
      <c r="I3498" s="66"/>
      <c r="J3498" s="125">
        <v>0</v>
      </c>
    </row>
    <row r="3499" spans="1:10" ht="26.25" hidden="1" thickBot="1" x14ac:dyDescent="0.3">
      <c r="A3499" s="235"/>
      <c r="B3499" s="238"/>
      <c r="C3499" s="155" t="s">
        <v>910</v>
      </c>
      <c r="D3499" s="155" t="s">
        <v>205</v>
      </c>
      <c r="E3499" s="34">
        <f>2/(0.4*0.8)</f>
        <v>6.2499999999999991</v>
      </c>
      <c r="F3499" s="49">
        <v>2.6219999999999999</v>
      </c>
      <c r="G3499" s="49">
        <f>IF(ISNUMBER(F3499),E3499*F3499,"")</f>
        <v>16.387499999999996</v>
      </c>
      <c r="H3499" s="65"/>
      <c r="I3499" s="66"/>
      <c r="J3499" s="125">
        <v>0</v>
      </c>
    </row>
    <row r="3500" spans="1:10" ht="15.75" hidden="1" thickBot="1" x14ac:dyDescent="0.3">
      <c r="A3500" s="235"/>
      <c r="B3500" s="238"/>
      <c r="C3500" s="155" t="s">
        <v>901</v>
      </c>
      <c r="D3500" s="33" t="s">
        <v>97</v>
      </c>
      <c r="E3500" s="34">
        <f>(2/(0.4*0.8))*(0.016)*1.5</f>
        <v>0.15</v>
      </c>
      <c r="F3500" s="49">
        <v>0.95</v>
      </c>
      <c r="G3500" s="49">
        <f>IF(ISNUMBER(F3500),E3500*F3500,"")</f>
        <v>0.14249999999999999</v>
      </c>
      <c r="H3500" s="65"/>
      <c r="I3500" s="66"/>
      <c r="J3500" s="125">
        <v>0</v>
      </c>
    </row>
    <row r="3501" spans="1:10" ht="15.75" hidden="1" thickBot="1" x14ac:dyDescent="0.3">
      <c r="A3501" s="235"/>
      <c r="B3501" s="238"/>
      <c r="C3501" s="155" t="s">
        <v>902</v>
      </c>
      <c r="D3501" s="33" t="s">
        <v>903</v>
      </c>
      <c r="E3501" s="34">
        <f>(2/(0.4*0.8))*0.1*1.5</f>
        <v>0.9375</v>
      </c>
      <c r="F3501" s="49">
        <v>0.95</v>
      </c>
      <c r="G3501" s="49">
        <f>IF(ISNUMBER(F3501),E3501*F3501,"")</f>
        <v>0.890625</v>
      </c>
      <c r="H3501" s="65"/>
      <c r="I3501" s="66"/>
      <c r="J3501" s="125">
        <v>0</v>
      </c>
    </row>
    <row r="3502" spans="1:10" ht="15.75" hidden="1" thickBot="1" x14ac:dyDescent="0.3">
      <c r="A3502" s="235"/>
      <c r="B3502" s="238"/>
      <c r="C3502" s="155" t="s">
        <v>911</v>
      </c>
      <c r="D3502" s="33" t="s">
        <v>97</v>
      </c>
      <c r="E3502" s="34">
        <f>2/(0.4*0.8)</f>
        <v>6.2499999999999991</v>
      </c>
      <c r="F3502" s="49" t="s">
        <v>418</v>
      </c>
      <c r="G3502" s="49" t="str">
        <f>IF(ISNUMBER(F3502),E3502*F3502,"")</f>
        <v/>
      </c>
      <c r="H3502" s="65"/>
      <c r="I3502" s="66"/>
      <c r="J3502" s="125">
        <v>0</v>
      </c>
    </row>
    <row r="3503" spans="1:10" ht="39" hidden="1" thickBot="1" x14ac:dyDescent="0.3">
      <c r="A3503" s="235"/>
      <c r="B3503" s="238"/>
      <c r="C3503" s="155" t="s">
        <v>14546</v>
      </c>
      <c r="D3503" s="155" t="s">
        <v>85</v>
      </c>
      <c r="E3503" s="34">
        <v>1E-4</v>
      </c>
      <c r="F3503" s="49">
        <v>1017.5681913775799</v>
      </c>
      <c r="G3503" s="49">
        <f>IF(ISNUMBER(F3503),E3503*F3503,"")</f>
        <v>0.101756819137758</v>
      </c>
      <c r="H3503" s="65"/>
      <c r="I3503" s="66"/>
      <c r="J3503" s="125">
        <v>0</v>
      </c>
    </row>
    <row r="3504" spans="1:10" ht="15.75" hidden="1" thickBot="1" x14ac:dyDescent="0.3">
      <c r="A3504" s="235"/>
      <c r="B3504" s="238"/>
      <c r="C3504" s="155"/>
      <c r="D3504" s="33"/>
      <c r="E3504" s="34"/>
      <c r="F3504" s="49" t="s">
        <v>418</v>
      </c>
      <c r="G3504" s="49" t="str">
        <f>IF(ISNUMBER(F3504),E3504*F3504,"")</f>
        <v/>
      </c>
      <c r="H3504" s="65"/>
      <c r="I3504" s="66"/>
      <c r="J3504" s="125">
        <v>0</v>
      </c>
    </row>
    <row r="3505" spans="1:10" ht="15.75" hidden="1" thickBot="1" x14ac:dyDescent="0.3">
      <c r="A3505" s="235"/>
      <c r="B3505" s="238"/>
      <c r="C3505" s="122" t="s">
        <v>912</v>
      </c>
      <c r="D3505" s="33"/>
      <c r="E3505" s="34"/>
      <c r="F3505" s="49" t="s">
        <v>418</v>
      </c>
      <c r="G3505" s="49" t="str">
        <f>IF(ISNUMBER(F3505),E3505*F3505,"")</f>
        <v/>
      </c>
      <c r="H3505" s="65"/>
      <c r="I3505" s="66"/>
      <c r="J3505" s="125">
        <v>0</v>
      </c>
    </row>
    <row r="3506" spans="1:10" ht="26.25" hidden="1" thickBot="1" x14ac:dyDescent="0.3">
      <c r="A3506" s="235"/>
      <c r="B3506" s="238"/>
      <c r="C3506" s="122" t="s">
        <v>913</v>
      </c>
      <c r="D3506" s="33"/>
      <c r="E3506" s="34"/>
      <c r="F3506" s="49" t="s">
        <v>418</v>
      </c>
      <c r="G3506" s="49" t="str">
        <f>IF(ISNUMBER(F3506),E3506*F3506,"")</f>
        <v/>
      </c>
      <c r="H3506" s="65"/>
      <c r="I3506" s="66"/>
      <c r="J3506" s="125">
        <v>0</v>
      </c>
    </row>
    <row r="3507" spans="1:10" ht="15.75" hidden="1" thickBot="1" x14ac:dyDescent="0.3">
      <c r="A3507" s="236"/>
      <c r="B3507" s="239"/>
      <c r="C3507" s="155"/>
      <c r="D3507" s="33"/>
      <c r="E3507" s="34"/>
      <c r="F3507" s="49" t="s">
        <v>418</v>
      </c>
      <c r="G3507" s="49" t="str">
        <f>IF(ISNUMBER(F3507),E3507*F3507,"")</f>
        <v/>
      </c>
      <c r="H3507" s="65"/>
      <c r="I3507" s="66"/>
      <c r="J3507" s="125">
        <v>0</v>
      </c>
    </row>
    <row r="3508" spans="1:10" ht="15.75" hidden="1" thickBot="1" x14ac:dyDescent="0.3">
      <c r="A3508" s="234" t="s">
        <v>917</v>
      </c>
      <c r="B3508" s="237" t="s">
        <v>19762</v>
      </c>
      <c r="C3508" s="160"/>
      <c r="D3508" s="23" t="s">
        <v>70</v>
      </c>
      <c r="E3508" s="24"/>
      <c r="F3508" s="44" t="s">
        <v>418</v>
      </c>
      <c r="G3508" s="25" t="str">
        <f>IF(ISNUMBER(F3508),E3508*F3508,"")</f>
        <v/>
      </c>
      <c r="H3508" s="26"/>
      <c r="I3508" s="27"/>
      <c r="J3508" s="125">
        <v>0</v>
      </c>
    </row>
    <row r="3509" spans="1:10" ht="15.75" hidden="1" thickBot="1" x14ac:dyDescent="0.3">
      <c r="A3509" s="235"/>
      <c r="B3509" s="238"/>
      <c r="C3509" s="151"/>
      <c r="D3509" s="29"/>
      <c r="E3509" s="30"/>
      <c r="F3509" s="49" t="s">
        <v>418</v>
      </c>
      <c r="G3509" s="49" t="str">
        <f>IF(ISNUMBER(F3509),E3509*F3509,"")</f>
        <v/>
      </c>
      <c r="H3509" s="65"/>
      <c r="I3509" s="66"/>
      <c r="J3509" s="125">
        <v>0</v>
      </c>
    </row>
    <row r="3510" spans="1:10" ht="15.75" hidden="1" thickBot="1" x14ac:dyDescent="0.3">
      <c r="A3510" s="235"/>
      <c r="B3510" s="238"/>
      <c r="C3510" s="155" t="s">
        <v>915</v>
      </c>
      <c r="D3510" s="33" t="s">
        <v>70</v>
      </c>
      <c r="E3510" s="34">
        <v>1.05</v>
      </c>
      <c r="F3510" s="49" t="s">
        <v>418</v>
      </c>
      <c r="G3510" s="49" t="str">
        <f>IF(ISNUMBER(F3510),E3510*F3510,"")</f>
        <v/>
      </c>
      <c r="H3510" s="35">
        <f>SUM(G3510:G3514)</f>
        <v>8.6426249999999989</v>
      </c>
      <c r="I3510" s="36"/>
      <c r="J3510" s="125">
        <v>0</v>
      </c>
    </row>
    <row r="3511" spans="1:10" ht="15.75" hidden="1" thickBot="1" x14ac:dyDescent="0.3">
      <c r="A3511" s="235"/>
      <c r="B3511" s="238"/>
      <c r="C3511" s="155" t="s">
        <v>9784</v>
      </c>
      <c r="D3511" s="155" t="s">
        <v>587</v>
      </c>
      <c r="E3511" s="34">
        <v>0.25</v>
      </c>
      <c r="F3511" s="49">
        <v>25.516999999999999</v>
      </c>
      <c r="G3511" s="49">
        <f>IF(ISNUMBER(F3511),E3511*F3511,"")</f>
        <v>6.3792499999999999</v>
      </c>
      <c r="H3511" s="65"/>
      <c r="I3511" s="66"/>
      <c r="J3511" s="125">
        <v>0</v>
      </c>
    </row>
    <row r="3512" spans="1:10" ht="15.75" hidden="1" thickBot="1" x14ac:dyDescent="0.3">
      <c r="A3512" s="235"/>
      <c r="B3512" s="238"/>
      <c r="C3512" s="155" t="s">
        <v>588</v>
      </c>
      <c r="D3512" s="155" t="s">
        <v>587</v>
      </c>
      <c r="E3512" s="34">
        <v>0.1</v>
      </c>
      <c r="F3512" s="49">
        <v>19.189999999999998</v>
      </c>
      <c r="G3512" s="49">
        <f>IF(ISNUMBER(F3512),E3512*F3512,"")</f>
        <v>1.9189999999999998</v>
      </c>
      <c r="H3512" s="65"/>
      <c r="I3512" s="66"/>
      <c r="J3512" s="125">
        <v>0</v>
      </c>
    </row>
    <row r="3513" spans="1:10" ht="15.75" hidden="1" thickBot="1" x14ac:dyDescent="0.3">
      <c r="A3513" s="235"/>
      <c r="B3513" s="238"/>
      <c r="C3513" s="155" t="s">
        <v>901</v>
      </c>
      <c r="D3513" s="33" t="s">
        <v>97</v>
      </c>
      <c r="E3513" s="34">
        <f>(2/(0.4*0.8))*0.016/2</f>
        <v>4.9999999999999996E-2</v>
      </c>
      <c r="F3513" s="49">
        <v>0.95</v>
      </c>
      <c r="G3513" s="49">
        <f>IF(ISNUMBER(F3513),E3513*F3513,"")</f>
        <v>4.7499999999999994E-2</v>
      </c>
      <c r="H3513" s="65"/>
      <c r="I3513" s="66"/>
      <c r="J3513" s="125">
        <v>0</v>
      </c>
    </row>
    <row r="3514" spans="1:10" ht="15.75" hidden="1" thickBot="1" x14ac:dyDescent="0.3">
      <c r="A3514" s="235"/>
      <c r="B3514" s="238"/>
      <c r="C3514" s="155" t="s">
        <v>902</v>
      </c>
      <c r="D3514" s="33" t="s">
        <v>903</v>
      </c>
      <c r="E3514" s="34">
        <f>(2/(0.4*0.8))*0.1/2</f>
        <v>0.3125</v>
      </c>
      <c r="F3514" s="49">
        <v>0.95</v>
      </c>
      <c r="G3514" s="49">
        <f>IF(ISNUMBER(F3514),E3514*F3514,"")</f>
        <v>0.296875</v>
      </c>
      <c r="H3514" s="65"/>
      <c r="I3514" s="66"/>
      <c r="J3514" s="125">
        <v>0</v>
      </c>
    </row>
    <row r="3515" spans="1:10" ht="15.75" hidden="1" thickBot="1" x14ac:dyDescent="0.3">
      <c r="A3515" s="235"/>
      <c r="B3515" s="238"/>
      <c r="C3515" s="155"/>
      <c r="D3515" s="33"/>
      <c r="E3515" s="34"/>
      <c r="F3515" s="49" t="s">
        <v>418</v>
      </c>
      <c r="G3515" s="49" t="str">
        <f>IF(ISNUMBER(F3515),E3515*F3515,"")</f>
        <v/>
      </c>
      <c r="H3515" s="65"/>
      <c r="I3515" s="66"/>
      <c r="J3515" s="125">
        <v>0</v>
      </c>
    </row>
    <row r="3516" spans="1:10" ht="15.75" hidden="1" thickBot="1" x14ac:dyDescent="0.3">
      <c r="A3516" s="235"/>
      <c r="B3516" s="238"/>
      <c r="C3516" s="122" t="s">
        <v>918</v>
      </c>
      <c r="D3516" s="33"/>
      <c r="E3516" s="34"/>
      <c r="F3516" s="49" t="s">
        <v>418</v>
      </c>
      <c r="G3516" s="49" t="str">
        <f>IF(ISNUMBER(F3516),E3516*F3516,"")</f>
        <v/>
      </c>
      <c r="H3516" s="65"/>
      <c r="I3516" s="66"/>
      <c r="J3516" s="125">
        <v>0</v>
      </c>
    </row>
    <row r="3517" spans="1:10" ht="15.75" hidden="1" thickBot="1" x14ac:dyDescent="0.3">
      <c r="A3517" s="236"/>
      <c r="B3517" s="239"/>
      <c r="C3517" s="155"/>
      <c r="D3517" s="33"/>
      <c r="E3517" s="34"/>
      <c r="F3517" s="49" t="s">
        <v>418</v>
      </c>
      <c r="G3517" s="49" t="str">
        <f>IF(ISNUMBER(F3517),E3517*F3517,"")</f>
        <v/>
      </c>
      <c r="H3517" s="65"/>
      <c r="I3517" s="66"/>
      <c r="J3517" s="125">
        <v>0</v>
      </c>
    </row>
    <row r="3518" spans="1:10" ht="15.75" hidden="1" thickBot="1" x14ac:dyDescent="0.3">
      <c r="A3518" s="234" t="s">
        <v>1769</v>
      </c>
      <c r="B3518" s="237" t="s">
        <v>13512</v>
      </c>
      <c r="C3518" s="160"/>
      <c r="D3518" s="23" t="s">
        <v>70</v>
      </c>
      <c r="E3518" s="24"/>
      <c r="F3518" s="44" t="s">
        <v>418</v>
      </c>
      <c r="G3518" s="25" t="str">
        <f>IF(ISNUMBER(F3518),E3518*F3518,"")</f>
        <v/>
      </c>
      <c r="H3518" s="26"/>
      <c r="I3518" s="27"/>
      <c r="J3518" s="125">
        <v>0</v>
      </c>
    </row>
    <row r="3519" spans="1:10" ht="15.75" hidden="1" thickBot="1" x14ac:dyDescent="0.3">
      <c r="A3519" s="235"/>
      <c r="B3519" s="238"/>
      <c r="C3519" s="151"/>
      <c r="D3519" s="29"/>
      <c r="E3519" s="30"/>
      <c r="F3519" s="49" t="s">
        <v>418</v>
      </c>
      <c r="G3519" s="49" t="str">
        <f>IF(ISNUMBER(F3519),E3519*F3519,"")</f>
        <v/>
      </c>
      <c r="H3519" s="65"/>
      <c r="I3519" s="66"/>
      <c r="J3519" s="125">
        <v>0</v>
      </c>
    </row>
    <row r="3520" spans="1:10" ht="15.75" hidden="1" thickBot="1" x14ac:dyDescent="0.3">
      <c r="A3520" s="235"/>
      <c r="B3520" s="238"/>
      <c r="C3520" s="155" t="s">
        <v>9784</v>
      </c>
      <c r="D3520" s="155" t="s">
        <v>587</v>
      </c>
      <c r="E3520" s="34">
        <v>0.25</v>
      </c>
      <c r="F3520" s="49">
        <v>25.516999999999999</v>
      </c>
      <c r="G3520" s="49">
        <f>IF(ISNUMBER(F3520),E3520*F3520,"")</f>
        <v>6.3792499999999999</v>
      </c>
      <c r="H3520" s="35">
        <f>SUM(G3520:G3523)</f>
        <v>8.6426249999999989</v>
      </c>
      <c r="I3520" s="36"/>
      <c r="J3520" s="125">
        <v>0</v>
      </c>
    </row>
    <row r="3521" spans="1:10" ht="15.75" hidden="1" thickBot="1" x14ac:dyDescent="0.3">
      <c r="A3521" s="235"/>
      <c r="B3521" s="238"/>
      <c r="C3521" s="155" t="s">
        <v>588</v>
      </c>
      <c r="D3521" s="155" t="s">
        <v>587</v>
      </c>
      <c r="E3521" s="34">
        <v>0.1</v>
      </c>
      <c r="F3521" s="49">
        <v>19.189999999999998</v>
      </c>
      <c r="G3521" s="49">
        <f>IF(ISNUMBER(F3521),E3521*F3521,"")</f>
        <v>1.9189999999999998</v>
      </c>
      <c r="H3521" s="65"/>
      <c r="I3521" s="66"/>
      <c r="J3521" s="125">
        <v>0</v>
      </c>
    </row>
    <row r="3522" spans="1:10" ht="15.75" hidden="1" thickBot="1" x14ac:dyDescent="0.3">
      <c r="A3522" s="235"/>
      <c r="B3522" s="238"/>
      <c r="C3522" s="155" t="s">
        <v>901</v>
      </c>
      <c r="D3522" s="33" t="s">
        <v>97</v>
      </c>
      <c r="E3522" s="34">
        <f>(2/(0.4*0.8))*0.016/2</f>
        <v>4.9999999999999996E-2</v>
      </c>
      <c r="F3522" s="49">
        <v>0.95</v>
      </c>
      <c r="G3522" s="49">
        <f>IF(ISNUMBER(F3522),E3522*F3522,"")</f>
        <v>4.7499999999999994E-2</v>
      </c>
      <c r="H3522" s="65"/>
      <c r="I3522" s="66"/>
      <c r="J3522" s="125">
        <v>0</v>
      </c>
    </row>
    <row r="3523" spans="1:10" ht="15.75" hidden="1" thickBot="1" x14ac:dyDescent="0.3">
      <c r="A3523" s="235"/>
      <c r="B3523" s="238"/>
      <c r="C3523" s="155" t="s">
        <v>902</v>
      </c>
      <c r="D3523" s="33" t="s">
        <v>903</v>
      </c>
      <c r="E3523" s="34">
        <f>(2/(0.4*0.8))*0.1/2</f>
        <v>0.3125</v>
      </c>
      <c r="F3523" s="49">
        <v>0.95</v>
      </c>
      <c r="G3523" s="49">
        <f>IF(ISNUMBER(F3523),E3523*F3523,"")</f>
        <v>0.296875</v>
      </c>
      <c r="H3523" s="65"/>
      <c r="I3523" s="66"/>
      <c r="J3523" s="125">
        <v>0</v>
      </c>
    </row>
    <row r="3524" spans="1:10" ht="15.75" hidden="1" thickBot="1" x14ac:dyDescent="0.3">
      <c r="A3524" s="235"/>
      <c r="B3524" s="238"/>
      <c r="C3524" s="155"/>
      <c r="D3524" s="33"/>
      <c r="E3524" s="34"/>
      <c r="F3524" s="49" t="s">
        <v>418</v>
      </c>
      <c r="G3524" s="49" t="str">
        <f>IF(ISNUMBER(F3524),E3524*F3524,"")</f>
        <v/>
      </c>
      <c r="H3524" s="65"/>
      <c r="I3524" s="66"/>
      <c r="J3524" s="125">
        <v>0</v>
      </c>
    </row>
    <row r="3525" spans="1:10" ht="15.75" hidden="1" thickBot="1" x14ac:dyDescent="0.3">
      <c r="A3525" s="235"/>
      <c r="B3525" s="238"/>
      <c r="C3525" s="122" t="s">
        <v>918</v>
      </c>
      <c r="D3525" s="33"/>
      <c r="E3525" s="34"/>
      <c r="F3525" s="49" t="s">
        <v>418</v>
      </c>
      <c r="G3525" s="49" t="str">
        <f>IF(ISNUMBER(F3525),E3525*F3525,"")</f>
        <v/>
      </c>
      <c r="H3525" s="65"/>
      <c r="I3525" s="66"/>
      <c r="J3525" s="125">
        <v>0</v>
      </c>
    </row>
    <row r="3526" spans="1:10" ht="15.75" hidden="1" thickBot="1" x14ac:dyDescent="0.3">
      <c r="A3526" s="236"/>
      <c r="B3526" s="239"/>
      <c r="C3526" s="155"/>
      <c r="D3526" s="33"/>
      <c r="E3526" s="34"/>
      <c r="F3526" s="49" t="s">
        <v>418</v>
      </c>
      <c r="G3526" s="49" t="str">
        <f>IF(ISNUMBER(F3526),E3526*F3526,"")</f>
        <v/>
      </c>
      <c r="H3526" s="65"/>
      <c r="I3526" s="66"/>
      <c r="J3526" s="125">
        <v>0</v>
      </c>
    </row>
    <row r="3527" spans="1:10" ht="15.75" hidden="1" thickBot="1" x14ac:dyDescent="0.3">
      <c r="A3527" s="234" t="s">
        <v>919</v>
      </c>
      <c r="B3527" s="237" t="s">
        <v>1770</v>
      </c>
      <c r="C3527" s="160"/>
      <c r="D3527" s="23" t="s">
        <v>70</v>
      </c>
      <c r="E3527" s="24"/>
      <c r="F3527" s="44" t="s">
        <v>418</v>
      </c>
      <c r="G3527" s="25" t="str">
        <f>IF(ISNUMBER(F3527),E3527*F3527,"")</f>
        <v/>
      </c>
      <c r="H3527" s="26"/>
      <c r="I3527" s="27"/>
      <c r="J3527" s="125">
        <v>0</v>
      </c>
    </row>
    <row r="3528" spans="1:10" ht="15.75" hidden="1" thickBot="1" x14ac:dyDescent="0.3">
      <c r="A3528" s="235"/>
      <c r="B3528" s="238"/>
      <c r="C3528" s="151"/>
      <c r="D3528" s="29"/>
      <c r="E3528" s="30"/>
      <c r="F3528" s="49" t="s">
        <v>418</v>
      </c>
      <c r="G3528" s="49" t="str">
        <f>IF(ISNUMBER(F3528),E3528*F3528,"")</f>
        <v/>
      </c>
      <c r="H3528" s="65"/>
      <c r="I3528" s="66"/>
      <c r="J3528" s="125">
        <v>0</v>
      </c>
    </row>
    <row r="3529" spans="1:10" ht="15.75" hidden="1" thickBot="1" x14ac:dyDescent="0.3">
      <c r="A3529" s="235"/>
      <c r="B3529" s="238"/>
      <c r="C3529" s="155" t="s">
        <v>9784</v>
      </c>
      <c r="D3529" s="155" t="s">
        <v>587</v>
      </c>
      <c r="E3529" s="34">
        <v>1.35</v>
      </c>
      <c r="F3529" s="49">
        <v>25.516999999999999</v>
      </c>
      <c r="G3529" s="49">
        <f>IF(ISNUMBER(F3529),E3529*F3529,"")</f>
        <v>34.447949999999999</v>
      </c>
      <c r="H3529" s="35">
        <f>SUM(G3529:G3532)</f>
        <v>63.409649999999999</v>
      </c>
      <c r="I3529" s="36"/>
      <c r="J3529" s="125">
        <v>0</v>
      </c>
    </row>
    <row r="3530" spans="1:10" ht="15.75" hidden="1" thickBot="1" x14ac:dyDescent="0.3">
      <c r="A3530" s="235"/>
      <c r="B3530" s="238"/>
      <c r="C3530" s="155" t="s">
        <v>588</v>
      </c>
      <c r="D3530" s="155" t="s">
        <v>587</v>
      </c>
      <c r="E3530" s="34">
        <v>0.6</v>
      </c>
      <c r="F3530" s="49">
        <v>19.189999999999998</v>
      </c>
      <c r="G3530" s="49">
        <f>IF(ISNUMBER(F3530),E3530*F3530,"")</f>
        <v>11.513999999999998</v>
      </c>
      <c r="H3530" s="65"/>
      <c r="I3530" s="66"/>
      <c r="J3530" s="125">
        <v>0</v>
      </c>
    </row>
    <row r="3531" spans="1:10" ht="15.75" hidden="1" thickBot="1" x14ac:dyDescent="0.3">
      <c r="A3531" s="235"/>
      <c r="B3531" s="238"/>
      <c r="C3531" s="155" t="s">
        <v>23678</v>
      </c>
      <c r="D3531" s="155" t="s">
        <v>774</v>
      </c>
      <c r="E3531" s="34">
        <v>4.5</v>
      </c>
      <c r="F3531" s="49">
        <v>3.4390000000000001</v>
      </c>
      <c r="G3531" s="49">
        <f>IF(ISNUMBER(F3531),E3531*F3531,"")</f>
        <v>15.4755</v>
      </c>
      <c r="H3531" s="65"/>
      <c r="I3531" s="66"/>
      <c r="J3531" s="125">
        <v>0</v>
      </c>
    </row>
    <row r="3532" spans="1:10" ht="15.75" hidden="1" thickBot="1" x14ac:dyDescent="0.3">
      <c r="A3532" s="235"/>
      <c r="B3532" s="238"/>
      <c r="C3532" s="155" t="s">
        <v>27268</v>
      </c>
      <c r="D3532" s="155" t="s">
        <v>774</v>
      </c>
      <c r="E3532" s="34">
        <v>0.3</v>
      </c>
      <c r="F3532" s="49">
        <v>6.5739999999999998</v>
      </c>
      <c r="G3532" s="49">
        <f>IF(ISNUMBER(F3532),E3532*F3532,"")</f>
        <v>1.9722</v>
      </c>
      <c r="H3532" s="65"/>
      <c r="I3532" s="66"/>
      <c r="J3532" s="125">
        <v>0</v>
      </c>
    </row>
    <row r="3533" spans="1:10" ht="15.75" hidden="1" thickBot="1" x14ac:dyDescent="0.3">
      <c r="A3533" s="236"/>
      <c r="B3533" s="239"/>
      <c r="C3533" s="155"/>
      <c r="D3533" s="33"/>
      <c r="E3533" s="34"/>
      <c r="F3533" s="49" t="s">
        <v>418</v>
      </c>
      <c r="G3533" s="49" t="str">
        <f>IF(ISNUMBER(F3533),E3533*F3533,"")</f>
        <v/>
      </c>
      <c r="H3533" s="65"/>
      <c r="I3533" s="66"/>
      <c r="J3533" s="125">
        <v>0</v>
      </c>
    </row>
    <row r="3534" spans="1:10" ht="15.75" hidden="1" thickBot="1" x14ac:dyDescent="0.3">
      <c r="A3534" s="234" t="s">
        <v>920</v>
      </c>
      <c r="B3534" s="237" t="s">
        <v>1771</v>
      </c>
      <c r="C3534" s="160"/>
      <c r="D3534" s="23" t="s">
        <v>70</v>
      </c>
      <c r="E3534" s="24"/>
      <c r="F3534" s="44" t="s">
        <v>418</v>
      </c>
      <c r="G3534" s="25" t="str">
        <f>IF(ISNUMBER(F3534),E3534*F3534,"")</f>
        <v/>
      </c>
      <c r="H3534" s="26"/>
      <c r="I3534" s="27"/>
      <c r="J3534" s="125">
        <v>0</v>
      </c>
    </row>
    <row r="3535" spans="1:10" ht="15.75" hidden="1" thickBot="1" x14ac:dyDescent="0.3">
      <c r="A3535" s="235"/>
      <c r="B3535" s="238"/>
      <c r="C3535" s="151"/>
      <c r="D3535" s="29"/>
      <c r="E3535" s="30"/>
      <c r="F3535" s="49" t="s">
        <v>418</v>
      </c>
      <c r="G3535" s="49" t="str">
        <f>IF(ISNUMBER(F3535),E3535*F3535,"")</f>
        <v/>
      </c>
      <c r="H3535" s="65"/>
      <c r="I3535" s="66"/>
      <c r="J3535" s="125">
        <v>0</v>
      </c>
    </row>
    <row r="3536" spans="1:10" ht="15.75" hidden="1" thickBot="1" x14ac:dyDescent="0.3">
      <c r="A3536" s="235"/>
      <c r="B3536" s="238"/>
      <c r="C3536" s="155" t="s">
        <v>9784</v>
      </c>
      <c r="D3536" s="155" t="s">
        <v>587</v>
      </c>
      <c r="E3536" s="34">
        <f>1.35</f>
        <v>1.35</v>
      </c>
      <c r="F3536" s="49">
        <v>25.516999999999999</v>
      </c>
      <c r="G3536" s="49">
        <f>IF(ISNUMBER(F3536),E3536*F3536,"")</f>
        <v>34.447949999999999</v>
      </c>
      <c r="H3536" s="35">
        <f>SUM(G3536:G3545)</f>
        <v>87.33503181913774</v>
      </c>
      <c r="I3536" s="36"/>
      <c r="J3536" s="125">
        <v>0</v>
      </c>
    </row>
    <row r="3537" spans="1:10" ht="15.75" hidden="1" thickBot="1" x14ac:dyDescent="0.3">
      <c r="A3537" s="235"/>
      <c r="B3537" s="238"/>
      <c r="C3537" s="155" t="s">
        <v>595</v>
      </c>
      <c r="D3537" s="155" t="s">
        <v>587</v>
      </c>
      <c r="E3537" s="34">
        <v>0.1</v>
      </c>
      <c r="F3537" s="49">
        <v>25.65</v>
      </c>
      <c r="G3537" s="49">
        <f>IF(ISNUMBER(F3537),E3537*F3537,"")</f>
        <v>2.5649999999999999</v>
      </c>
      <c r="H3537" s="65"/>
      <c r="I3537" s="66"/>
      <c r="J3537" s="125">
        <v>0</v>
      </c>
    </row>
    <row r="3538" spans="1:10" ht="15.75" hidden="1" thickBot="1" x14ac:dyDescent="0.3">
      <c r="A3538" s="235"/>
      <c r="B3538" s="238"/>
      <c r="C3538" s="155" t="s">
        <v>588</v>
      </c>
      <c r="D3538" s="155" t="s">
        <v>587</v>
      </c>
      <c r="E3538" s="34">
        <f>0.6+0.1+0.1</f>
        <v>0.79999999999999993</v>
      </c>
      <c r="F3538" s="49">
        <v>19.189999999999998</v>
      </c>
      <c r="G3538" s="49">
        <f>IF(ISNUMBER(F3538),E3538*F3538,"")</f>
        <v>15.351999999999997</v>
      </c>
      <c r="H3538" s="65"/>
      <c r="I3538" s="66"/>
      <c r="J3538" s="125">
        <v>0</v>
      </c>
    </row>
    <row r="3539" spans="1:10" ht="15.75" hidden="1" thickBot="1" x14ac:dyDescent="0.3">
      <c r="A3539" s="235"/>
      <c r="B3539" s="238"/>
      <c r="C3539" s="155" t="s">
        <v>23678</v>
      </c>
      <c r="D3539" s="155" t="s">
        <v>774</v>
      </c>
      <c r="E3539" s="34">
        <v>4.5</v>
      </c>
      <c r="F3539" s="49">
        <v>3.4390000000000001</v>
      </c>
      <c r="G3539" s="49">
        <f>IF(ISNUMBER(F3539),E3539*F3539,"")</f>
        <v>15.4755</v>
      </c>
      <c r="H3539" s="65"/>
      <c r="I3539" s="66"/>
      <c r="J3539" s="125">
        <v>0</v>
      </c>
    </row>
    <row r="3540" spans="1:10" ht="15.75" hidden="1" thickBot="1" x14ac:dyDescent="0.3">
      <c r="A3540" s="235"/>
      <c r="B3540" s="238"/>
      <c r="C3540" s="155" t="s">
        <v>27268</v>
      </c>
      <c r="D3540" s="155" t="s">
        <v>774</v>
      </c>
      <c r="E3540" s="34">
        <v>0.3</v>
      </c>
      <c r="F3540" s="49">
        <v>6.5739999999999998</v>
      </c>
      <c r="G3540" s="49">
        <f>IF(ISNUMBER(F3540),E3540*F3540,"")</f>
        <v>1.9722</v>
      </c>
      <c r="H3540" s="65"/>
      <c r="I3540" s="66"/>
      <c r="J3540" s="125">
        <v>0</v>
      </c>
    </row>
    <row r="3541" spans="1:10" ht="26.25" hidden="1" thickBot="1" x14ac:dyDescent="0.3">
      <c r="A3541" s="235"/>
      <c r="B3541" s="238"/>
      <c r="C3541" s="155" t="s">
        <v>910</v>
      </c>
      <c r="D3541" s="155" t="s">
        <v>205</v>
      </c>
      <c r="E3541" s="34">
        <f>2/(0.4*0.8)</f>
        <v>6.2499999999999991</v>
      </c>
      <c r="F3541" s="49">
        <v>2.6219999999999999</v>
      </c>
      <c r="G3541" s="49">
        <f>IF(ISNUMBER(F3541),E3541*F3541,"")</f>
        <v>16.387499999999996</v>
      </c>
      <c r="H3541" s="65"/>
      <c r="I3541" s="66"/>
      <c r="J3541" s="125">
        <v>0</v>
      </c>
    </row>
    <row r="3542" spans="1:10" ht="15.75" hidden="1" thickBot="1" x14ac:dyDescent="0.3">
      <c r="A3542" s="235"/>
      <c r="B3542" s="238"/>
      <c r="C3542" s="155" t="s">
        <v>901</v>
      </c>
      <c r="D3542" s="33" t="s">
        <v>97</v>
      </c>
      <c r="E3542" s="34">
        <f>(2/(0.4*0.8))*(0.016)*1.5</f>
        <v>0.15</v>
      </c>
      <c r="F3542" s="49">
        <v>0.95</v>
      </c>
      <c r="G3542" s="49">
        <f>IF(ISNUMBER(F3542),E3542*F3542,"")</f>
        <v>0.14249999999999999</v>
      </c>
      <c r="H3542" s="65"/>
      <c r="I3542" s="66"/>
      <c r="J3542" s="125">
        <v>0</v>
      </c>
    </row>
    <row r="3543" spans="1:10" ht="15.75" hidden="1" thickBot="1" x14ac:dyDescent="0.3">
      <c r="A3543" s="235"/>
      <c r="B3543" s="238"/>
      <c r="C3543" s="155" t="s">
        <v>902</v>
      </c>
      <c r="D3543" s="33" t="s">
        <v>903</v>
      </c>
      <c r="E3543" s="34">
        <f>(2/(0.4*0.8))*0.1*1.5</f>
        <v>0.9375</v>
      </c>
      <c r="F3543" s="49">
        <v>0.95</v>
      </c>
      <c r="G3543" s="49">
        <f>IF(ISNUMBER(F3543),E3543*F3543,"")</f>
        <v>0.890625</v>
      </c>
      <c r="H3543" s="65"/>
      <c r="I3543" s="66"/>
      <c r="J3543" s="125">
        <v>0</v>
      </c>
    </row>
    <row r="3544" spans="1:10" ht="15.75" hidden="1" thickBot="1" x14ac:dyDescent="0.3">
      <c r="A3544" s="235"/>
      <c r="B3544" s="238"/>
      <c r="C3544" s="155" t="s">
        <v>911</v>
      </c>
      <c r="D3544" s="33" t="s">
        <v>97</v>
      </c>
      <c r="E3544" s="34">
        <f>2/(0.4*0.8)</f>
        <v>6.2499999999999991</v>
      </c>
      <c r="F3544" s="49" t="s">
        <v>418</v>
      </c>
      <c r="G3544" s="49" t="str">
        <f>IF(ISNUMBER(F3544),E3544*F3544,"")</f>
        <v/>
      </c>
      <c r="H3544" s="65"/>
      <c r="I3544" s="66"/>
      <c r="J3544" s="125">
        <v>0</v>
      </c>
    </row>
    <row r="3545" spans="1:10" ht="39" hidden="1" thickBot="1" x14ac:dyDescent="0.3">
      <c r="A3545" s="235"/>
      <c r="B3545" s="238"/>
      <c r="C3545" s="155" t="s">
        <v>14546</v>
      </c>
      <c r="D3545" s="155" t="s">
        <v>85</v>
      </c>
      <c r="E3545" s="34">
        <v>1E-4</v>
      </c>
      <c r="F3545" s="49">
        <v>1017.5681913775799</v>
      </c>
      <c r="G3545" s="49">
        <f>IF(ISNUMBER(F3545),E3545*F3545,"")</f>
        <v>0.101756819137758</v>
      </c>
      <c r="H3545" s="65"/>
      <c r="I3545" s="66"/>
      <c r="J3545" s="125">
        <v>0</v>
      </c>
    </row>
    <row r="3546" spans="1:10" ht="15.75" hidden="1" thickBot="1" x14ac:dyDescent="0.3">
      <c r="A3546" s="235"/>
      <c r="B3546" s="238"/>
      <c r="C3546" s="155"/>
      <c r="D3546" s="33"/>
      <c r="E3546" s="34"/>
      <c r="F3546" s="49" t="s">
        <v>418</v>
      </c>
      <c r="G3546" s="49" t="str">
        <f>IF(ISNUMBER(F3546),E3546*F3546,"")</f>
        <v/>
      </c>
      <c r="H3546" s="65"/>
      <c r="I3546" s="66"/>
      <c r="J3546" s="125">
        <v>0</v>
      </c>
    </row>
    <row r="3547" spans="1:10" ht="15.75" hidden="1" thickBot="1" x14ac:dyDescent="0.3">
      <c r="A3547" s="235"/>
      <c r="B3547" s="238"/>
      <c r="C3547" s="122" t="s">
        <v>912</v>
      </c>
      <c r="D3547" s="33"/>
      <c r="E3547" s="34"/>
      <c r="F3547" s="49" t="s">
        <v>418</v>
      </c>
      <c r="G3547" s="49" t="str">
        <f>IF(ISNUMBER(F3547),E3547*F3547,"")</f>
        <v/>
      </c>
      <c r="H3547" s="65"/>
      <c r="I3547" s="66"/>
      <c r="J3547" s="125">
        <v>0</v>
      </c>
    </row>
    <row r="3548" spans="1:10" ht="26.25" hidden="1" thickBot="1" x14ac:dyDescent="0.3">
      <c r="A3548" s="235"/>
      <c r="B3548" s="238"/>
      <c r="C3548" s="122" t="s">
        <v>913</v>
      </c>
      <c r="D3548" s="33"/>
      <c r="E3548" s="34"/>
      <c r="F3548" s="49" t="s">
        <v>418</v>
      </c>
      <c r="G3548" s="49" t="str">
        <f>IF(ISNUMBER(F3548),E3548*F3548,"")</f>
        <v/>
      </c>
      <c r="H3548" s="65"/>
      <c r="I3548" s="66"/>
      <c r="J3548" s="125">
        <v>0</v>
      </c>
    </row>
    <row r="3549" spans="1:10" ht="15.75" hidden="1" thickBot="1" x14ac:dyDescent="0.3">
      <c r="A3549" s="236"/>
      <c r="B3549" s="239"/>
      <c r="C3549" s="155"/>
      <c r="D3549" s="33"/>
      <c r="E3549" s="34"/>
      <c r="F3549" s="49" t="s">
        <v>418</v>
      </c>
      <c r="G3549" s="49" t="str">
        <f>IF(ISNUMBER(F3549),E3549*F3549,"")</f>
        <v/>
      </c>
      <c r="H3549" s="65"/>
      <c r="I3549" s="66"/>
      <c r="J3549" s="125">
        <v>0</v>
      </c>
    </row>
    <row r="3550" spans="1:10" ht="15.75" hidden="1" thickBot="1" x14ac:dyDescent="0.3">
      <c r="A3550" s="234" t="s">
        <v>921</v>
      </c>
      <c r="B3550" s="237" t="s">
        <v>1772</v>
      </c>
      <c r="C3550" s="160"/>
      <c r="D3550" s="23" t="s">
        <v>70</v>
      </c>
      <c r="E3550" s="24"/>
      <c r="F3550" s="44" t="s">
        <v>418</v>
      </c>
      <c r="G3550" s="25" t="str">
        <f>IF(ISNUMBER(F3550),E3550*F3550,"")</f>
        <v/>
      </c>
      <c r="H3550" s="26"/>
      <c r="I3550" s="27"/>
      <c r="J3550" s="125">
        <v>0</v>
      </c>
    </row>
    <row r="3551" spans="1:10" ht="15.75" hidden="1" thickBot="1" x14ac:dyDescent="0.3">
      <c r="A3551" s="249"/>
      <c r="B3551" s="238"/>
      <c r="C3551" s="151"/>
      <c r="D3551" s="29"/>
      <c r="E3551" s="30"/>
      <c r="F3551" s="49" t="s">
        <v>418</v>
      </c>
      <c r="G3551" s="49" t="str">
        <f>IF(ISNUMBER(F3551),E3551*F3551,"")</f>
        <v/>
      </c>
      <c r="H3551" s="65"/>
      <c r="I3551" s="66"/>
      <c r="J3551" s="125">
        <v>0</v>
      </c>
    </row>
    <row r="3552" spans="1:10" ht="15.75" hidden="1" thickBot="1" x14ac:dyDescent="0.3">
      <c r="A3552" s="249"/>
      <c r="B3552" s="238"/>
      <c r="C3552" s="155" t="s">
        <v>962</v>
      </c>
      <c r="D3552" s="155" t="s">
        <v>587</v>
      </c>
      <c r="E3552" s="34">
        <v>0.4</v>
      </c>
      <c r="F3552" s="49">
        <v>26.799499999999998</v>
      </c>
      <c r="G3552" s="49">
        <f>IF(ISNUMBER(F3552),E3552*F3552,"")</f>
        <v>10.719799999999999</v>
      </c>
      <c r="H3552" s="35">
        <f>SUM(G3552:G3554)</f>
        <v>13.084349999999999</v>
      </c>
      <c r="I3552" s="36"/>
      <c r="J3552" s="125">
        <v>0</v>
      </c>
    </row>
    <row r="3553" spans="1:10" ht="15.75" hidden="1" thickBot="1" x14ac:dyDescent="0.3">
      <c r="A3553" s="249"/>
      <c r="B3553" s="238"/>
      <c r="C3553" s="155" t="s">
        <v>10181</v>
      </c>
      <c r="D3553" s="155" t="s">
        <v>587</v>
      </c>
      <c r="E3553" s="34">
        <v>0.1</v>
      </c>
      <c r="F3553" s="49">
        <v>20.5105</v>
      </c>
      <c r="G3553" s="49">
        <f>IF(ISNUMBER(F3553),E3553*F3553,"")</f>
        <v>2.05105</v>
      </c>
      <c r="H3553" s="65"/>
      <c r="I3553" s="66"/>
      <c r="J3553" s="125">
        <v>0</v>
      </c>
    </row>
    <row r="3554" spans="1:10" ht="15.75" hidden="1" thickBot="1" x14ac:dyDescent="0.3">
      <c r="A3554" s="249"/>
      <c r="B3554" s="238"/>
      <c r="C3554" s="155" t="s">
        <v>922</v>
      </c>
      <c r="D3554" s="45" t="s">
        <v>76</v>
      </c>
      <c r="E3554" s="34">
        <v>0.33</v>
      </c>
      <c r="F3554" s="49">
        <v>0.95</v>
      </c>
      <c r="G3554" s="49">
        <f>IF(ISNUMBER(F3554),E3554*F3554,"")</f>
        <v>0.3135</v>
      </c>
      <c r="H3554" s="65"/>
      <c r="I3554" s="66"/>
      <c r="J3554" s="125">
        <v>0</v>
      </c>
    </row>
    <row r="3555" spans="1:10" ht="15.75" hidden="1" thickBot="1" x14ac:dyDescent="0.3">
      <c r="A3555" s="250"/>
      <c r="B3555" s="239"/>
      <c r="C3555" s="155"/>
      <c r="D3555" s="33"/>
      <c r="E3555" s="34"/>
      <c r="F3555" s="49" t="s">
        <v>418</v>
      </c>
      <c r="G3555" s="49" t="str">
        <f>IF(ISNUMBER(F3555),E3555*F3555,"")</f>
        <v/>
      </c>
      <c r="H3555" s="65"/>
      <c r="I3555" s="66"/>
      <c r="J3555" s="125">
        <v>0</v>
      </c>
    </row>
    <row r="3556" spans="1:10" ht="15.75" hidden="1" thickBot="1" x14ac:dyDescent="0.3">
      <c r="A3556" s="234" t="s">
        <v>924</v>
      </c>
      <c r="B3556" s="237" t="s">
        <v>1773</v>
      </c>
      <c r="C3556" s="160"/>
      <c r="D3556" s="23" t="s">
        <v>69</v>
      </c>
      <c r="E3556" s="24"/>
      <c r="F3556" s="44" t="s">
        <v>418</v>
      </c>
      <c r="G3556" s="25" t="str">
        <f>IF(ISNUMBER(F3556),E3556*F3556,"")</f>
        <v/>
      </c>
      <c r="H3556" s="26"/>
      <c r="I3556" s="27"/>
      <c r="J3556" s="125">
        <v>0</v>
      </c>
    </row>
    <row r="3557" spans="1:10" ht="15.75" hidden="1" thickBot="1" x14ac:dyDescent="0.3">
      <c r="A3557" s="249"/>
      <c r="B3557" s="238"/>
      <c r="C3557" s="151"/>
      <c r="D3557" s="29"/>
      <c r="E3557" s="30"/>
      <c r="F3557" s="49" t="s">
        <v>418</v>
      </c>
      <c r="G3557" s="49" t="str">
        <f>IF(ISNUMBER(F3557),E3557*F3557,"")</f>
        <v/>
      </c>
      <c r="H3557" s="65"/>
      <c r="I3557" s="66"/>
      <c r="J3557" s="125">
        <v>0</v>
      </c>
    </row>
    <row r="3558" spans="1:10" ht="15.75" hidden="1" thickBot="1" x14ac:dyDescent="0.3">
      <c r="A3558" s="249"/>
      <c r="B3558" s="238"/>
      <c r="C3558" s="155" t="s">
        <v>9784</v>
      </c>
      <c r="D3558" s="155" t="s">
        <v>587</v>
      </c>
      <c r="E3558" s="34">
        <v>0.6</v>
      </c>
      <c r="F3558" s="49">
        <v>25.516999999999999</v>
      </c>
      <c r="G3558" s="49">
        <f>IF(ISNUMBER(F3558),E3558*F3558,"")</f>
        <v>15.310199999999998</v>
      </c>
      <c r="H3558" s="35">
        <f>SUM(G3558:G3560)</f>
        <v>22.986199999999997</v>
      </c>
      <c r="I3558" s="36"/>
      <c r="J3558" s="125">
        <v>0</v>
      </c>
    </row>
    <row r="3559" spans="1:10" ht="15.75" hidden="1" thickBot="1" x14ac:dyDescent="0.3">
      <c r="A3559" s="249"/>
      <c r="B3559" s="238"/>
      <c r="C3559" s="155" t="s">
        <v>588</v>
      </c>
      <c r="D3559" s="155" t="s">
        <v>587</v>
      </c>
      <c r="E3559" s="34">
        <v>0.4</v>
      </c>
      <c r="F3559" s="49">
        <v>19.189999999999998</v>
      </c>
      <c r="G3559" s="49">
        <f>IF(ISNUMBER(F3559),E3559*F3559,"")</f>
        <v>7.6759999999999993</v>
      </c>
      <c r="H3559" s="65"/>
      <c r="I3559" s="66"/>
      <c r="J3559" s="125">
        <v>0</v>
      </c>
    </row>
    <row r="3560" spans="1:10" ht="26.25" hidden="1" thickBot="1" x14ac:dyDescent="0.3">
      <c r="A3560" s="249"/>
      <c r="B3560" s="238"/>
      <c r="C3560" s="155" t="s">
        <v>925</v>
      </c>
      <c r="D3560" s="42" t="s">
        <v>69</v>
      </c>
      <c r="E3560" s="34">
        <v>1</v>
      </c>
      <c r="F3560" s="49" t="s">
        <v>418</v>
      </c>
      <c r="G3560" s="49" t="str">
        <f>IF(ISNUMBER(F3560),E3560*F3560,"")</f>
        <v/>
      </c>
      <c r="H3560" s="65"/>
      <c r="I3560" s="66"/>
      <c r="J3560" s="125">
        <v>0</v>
      </c>
    </row>
    <row r="3561" spans="1:10" ht="15.75" hidden="1" thickBot="1" x14ac:dyDescent="0.3">
      <c r="A3561" s="250"/>
      <c r="B3561" s="239"/>
      <c r="C3561" s="155"/>
      <c r="D3561" s="33"/>
      <c r="E3561" s="34"/>
      <c r="F3561" s="49" t="s">
        <v>418</v>
      </c>
      <c r="G3561" s="49" t="str">
        <f>IF(ISNUMBER(F3561),E3561*F3561,"")</f>
        <v/>
      </c>
      <c r="H3561" s="65"/>
      <c r="I3561" s="66"/>
      <c r="J3561" s="125">
        <v>0</v>
      </c>
    </row>
    <row r="3562" spans="1:10" ht="15.75" hidden="1" thickBot="1" x14ac:dyDescent="0.3">
      <c r="A3562" s="234" t="s">
        <v>926</v>
      </c>
      <c r="B3562" s="237" t="s">
        <v>1774</v>
      </c>
      <c r="C3562" s="160"/>
      <c r="D3562" s="23" t="s">
        <v>70</v>
      </c>
      <c r="E3562" s="24"/>
      <c r="F3562" s="44" t="s">
        <v>418</v>
      </c>
      <c r="G3562" s="25" t="str">
        <f>IF(ISNUMBER(F3562),E3562*F3562,"")</f>
        <v/>
      </c>
      <c r="H3562" s="26"/>
      <c r="I3562" s="27"/>
      <c r="J3562" s="125">
        <v>0</v>
      </c>
    </row>
    <row r="3563" spans="1:10" ht="15.75" hidden="1" thickBot="1" x14ac:dyDescent="0.3">
      <c r="A3563" s="249"/>
      <c r="B3563" s="238"/>
      <c r="C3563" s="151"/>
      <c r="D3563" s="29"/>
      <c r="E3563" s="30"/>
      <c r="F3563" s="49" t="s">
        <v>418</v>
      </c>
      <c r="G3563" s="49" t="str">
        <f>IF(ISNUMBER(F3563),E3563*F3563,"")</f>
        <v/>
      </c>
      <c r="H3563" s="65"/>
      <c r="I3563" s="66"/>
      <c r="J3563" s="125">
        <v>0</v>
      </c>
    </row>
    <row r="3564" spans="1:10" ht="15.75" hidden="1" thickBot="1" x14ac:dyDescent="0.3">
      <c r="A3564" s="249"/>
      <c r="B3564" s="238"/>
      <c r="C3564" s="155" t="s">
        <v>927</v>
      </c>
      <c r="D3564" s="33" t="s">
        <v>70</v>
      </c>
      <c r="E3564" s="34">
        <v>1.05</v>
      </c>
      <c r="F3564" s="49" t="s">
        <v>418</v>
      </c>
      <c r="G3564" s="49" t="str">
        <f>IF(ISNUMBER(F3564),E3564*F3564,"")</f>
        <v/>
      </c>
      <c r="H3564" s="35">
        <f>SUM(G3564:G3568)</f>
        <v>142.593176</v>
      </c>
      <c r="I3564" s="36"/>
      <c r="J3564" s="125">
        <v>0</v>
      </c>
    </row>
    <row r="3565" spans="1:10" ht="15.75" hidden="1" thickBot="1" x14ac:dyDescent="0.3">
      <c r="A3565" s="249"/>
      <c r="B3565" s="238"/>
      <c r="C3565" s="155" t="s">
        <v>23678</v>
      </c>
      <c r="D3565" s="155" t="s">
        <v>774</v>
      </c>
      <c r="E3565" s="34">
        <f>0.8614/0.1</f>
        <v>8.6140000000000008</v>
      </c>
      <c r="F3565" s="49">
        <v>3.4390000000000001</v>
      </c>
      <c r="G3565" s="49">
        <f>IF(ISNUMBER(F3565),E3565*F3565,"")</f>
        <v>29.623546000000005</v>
      </c>
      <c r="H3565" s="65"/>
      <c r="I3565" s="66"/>
      <c r="J3565" s="125">
        <v>0</v>
      </c>
    </row>
    <row r="3566" spans="1:10" ht="15.75" hidden="1" thickBot="1" x14ac:dyDescent="0.3">
      <c r="A3566" s="249"/>
      <c r="B3566" s="238"/>
      <c r="C3566" s="155" t="s">
        <v>9784</v>
      </c>
      <c r="D3566" s="155" t="s">
        <v>587</v>
      </c>
      <c r="E3566" s="34">
        <f>0.299/0.1</f>
        <v>2.9899999999999998</v>
      </c>
      <c r="F3566" s="49">
        <v>25.516999999999999</v>
      </c>
      <c r="G3566" s="49">
        <f>IF(ISNUMBER(F3566),E3566*F3566,"")</f>
        <v>76.295829999999995</v>
      </c>
      <c r="H3566" s="65"/>
      <c r="I3566" s="66"/>
      <c r="J3566" s="125">
        <v>0</v>
      </c>
    </row>
    <row r="3567" spans="1:10" ht="15.75" hidden="1" thickBot="1" x14ac:dyDescent="0.3">
      <c r="A3567" s="249"/>
      <c r="B3567" s="238"/>
      <c r="C3567" s="155" t="s">
        <v>588</v>
      </c>
      <c r="D3567" s="155" t="s">
        <v>587</v>
      </c>
      <c r="E3567" s="34">
        <f>0.15/0.1</f>
        <v>1.4999999999999998</v>
      </c>
      <c r="F3567" s="49">
        <v>19.189999999999998</v>
      </c>
      <c r="G3567" s="49">
        <f>IF(ISNUMBER(F3567),E3567*F3567,"")</f>
        <v>28.784999999999993</v>
      </c>
      <c r="H3567" s="65"/>
      <c r="I3567" s="66"/>
      <c r="J3567" s="125">
        <v>0</v>
      </c>
    </row>
    <row r="3568" spans="1:10" ht="15.75" hidden="1" thickBot="1" x14ac:dyDescent="0.3">
      <c r="A3568" s="249"/>
      <c r="B3568" s="238"/>
      <c r="C3568" s="155" t="s">
        <v>27268</v>
      </c>
      <c r="D3568" s="155" t="s">
        <v>774</v>
      </c>
      <c r="E3568" s="34">
        <f>0.12/0.1</f>
        <v>1.2</v>
      </c>
      <c r="F3568" s="49">
        <v>6.5739999999999998</v>
      </c>
      <c r="G3568" s="49">
        <f>IF(ISNUMBER(F3568),E3568*F3568,"")</f>
        <v>7.8887999999999998</v>
      </c>
      <c r="H3568" s="65"/>
      <c r="I3568" s="66"/>
      <c r="J3568" s="125">
        <v>0</v>
      </c>
    </row>
    <row r="3569" spans="1:10" ht="15.75" hidden="1" thickBot="1" x14ac:dyDescent="0.3">
      <c r="A3569" s="249"/>
      <c r="B3569" s="238"/>
      <c r="C3569" s="155"/>
      <c r="D3569" s="33"/>
      <c r="E3569" s="34"/>
      <c r="F3569" s="49" t="s">
        <v>418</v>
      </c>
      <c r="G3569" s="49" t="str">
        <f>IF(ISNUMBER(F3569),E3569*F3569,"")</f>
        <v/>
      </c>
      <c r="H3569" s="65"/>
      <c r="I3569" s="66"/>
      <c r="J3569" s="125">
        <v>0</v>
      </c>
    </row>
    <row r="3570" spans="1:10" ht="15.75" hidden="1" thickBot="1" x14ac:dyDescent="0.3">
      <c r="A3570" s="234" t="s">
        <v>928</v>
      </c>
      <c r="B3570" s="237" t="s">
        <v>1775</v>
      </c>
      <c r="C3570" s="160"/>
      <c r="D3570" s="23" t="s">
        <v>16</v>
      </c>
      <c r="E3570" s="24"/>
      <c r="F3570" s="44" t="s">
        <v>418</v>
      </c>
      <c r="G3570" s="25" t="str">
        <f>IF(ISNUMBER(F3570),E3570*F3570,"")</f>
        <v/>
      </c>
      <c r="H3570" s="26"/>
      <c r="I3570" s="27"/>
      <c r="J3570" s="125">
        <v>0</v>
      </c>
    </row>
    <row r="3571" spans="1:10" ht="15.75" hidden="1" thickBot="1" x14ac:dyDescent="0.3">
      <c r="A3571" s="249"/>
      <c r="B3571" s="238"/>
      <c r="C3571" s="151"/>
      <c r="D3571" s="29"/>
      <c r="E3571" s="30"/>
      <c r="F3571" s="49" t="s">
        <v>418</v>
      </c>
      <c r="G3571" s="49" t="str">
        <f>IF(ISNUMBER(F3571),E3571*F3571,"")</f>
        <v/>
      </c>
      <c r="H3571" s="65"/>
      <c r="I3571" s="66"/>
      <c r="J3571" s="125">
        <v>0</v>
      </c>
    </row>
    <row r="3572" spans="1:10" ht="15.75" hidden="1" thickBot="1" x14ac:dyDescent="0.3">
      <c r="A3572" s="249"/>
      <c r="B3572" s="238"/>
      <c r="C3572" s="155" t="s">
        <v>588</v>
      </c>
      <c r="D3572" s="155" t="s">
        <v>587</v>
      </c>
      <c r="E3572" s="34">
        <v>0.05</v>
      </c>
      <c r="F3572" s="49">
        <v>19.189999999999998</v>
      </c>
      <c r="G3572" s="49">
        <f>IF(ISNUMBER(F3572),E3572*F3572,"")</f>
        <v>0.95949999999999991</v>
      </c>
      <c r="H3572" s="35">
        <f>SUM(G3572:G3575)</f>
        <v>1.3119499999999999</v>
      </c>
      <c r="I3572" s="36"/>
      <c r="J3572" s="125">
        <v>0</v>
      </c>
    </row>
    <row r="3573" spans="1:10" ht="15.75" hidden="1" thickBot="1" x14ac:dyDescent="0.3">
      <c r="A3573" s="249"/>
      <c r="B3573" s="238"/>
      <c r="C3573" s="155" t="s">
        <v>929</v>
      </c>
      <c r="D3573" s="33" t="s">
        <v>930</v>
      </c>
      <c r="E3573" s="34">
        <f>0.25/10</f>
        <v>2.5000000000000001E-2</v>
      </c>
      <c r="F3573" s="49">
        <v>0.95</v>
      </c>
      <c r="G3573" s="49">
        <f>IF(ISNUMBER(F3573),E3573*F3573,"")</f>
        <v>2.375E-2</v>
      </c>
      <c r="H3573" s="65"/>
      <c r="I3573" s="66"/>
      <c r="J3573" s="125">
        <v>0</v>
      </c>
    </row>
    <row r="3574" spans="1:10" ht="15.75" hidden="1" thickBot="1" x14ac:dyDescent="0.3">
      <c r="A3574" s="249"/>
      <c r="B3574" s="238"/>
      <c r="C3574" s="155" t="s">
        <v>932</v>
      </c>
      <c r="D3574" s="33" t="s">
        <v>16</v>
      </c>
      <c r="E3574" s="34">
        <v>0.25</v>
      </c>
      <c r="F3574" s="49" t="s">
        <v>418</v>
      </c>
      <c r="G3574" s="49" t="str">
        <f>IF(ISNUMBER(F3574),E3574*F3574,"")</f>
        <v/>
      </c>
      <c r="H3574" s="65"/>
      <c r="I3574" s="66"/>
      <c r="J3574" s="125">
        <v>0</v>
      </c>
    </row>
    <row r="3575" spans="1:10" ht="15.75" hidden="1" thickBot="1" x14ac:dyDescent="0.3">
      <c r="A3575" s="249"/>
      <c r="B3575" s="238"/>
      <c r="C3575" s="155" t="s">
        <v>27268</v>
      </c>
      <c r="D3575" s="155" t="s">
        <v>774</v>
      </c>
      <c r="E3575" s="34">
        <v>0.05</v>
      </c>
      <c r="F3575" s="49">
        <v>6.5739999999999998</v>
      </c>
      <c r="G3575" s="49">
        <f>IF(ISNUMBER(F3575),E3575*F3575,"")</f>
        <v>0.32869999999999999</v>
      </c>
      <c r="H3575" s="65"/>
      <c r="I3575" s="66"/>
      <c r="J3575" s="125">
        <v>0</v>
      </c>
    </row>
    <row r="3576" spans="1:10" ht="15.75" hidden="1" thickBot="1" x14ac:dyDescent="0.3">
      <c r="A3576" s="250"/>
      <c r="B3576" s="239"/>
      <c r="C3576" s="155"/>
      <c r="D3576" s="33"/>
      <c r="E3576" s="34"/>
      <c r="F3576" s="49" t="s">
        <v>418</v>
      </c>
      <c r="G3576" s="49" t="str">
        <f>IF(ISNUMBER(F3576),E3576*F3576,"")</f>
        <v/>
      </c>
      <c r="H3576" s="65"/>
      <c r="I3576" s="66"/>
      <c r="J3576" s="125">
        <v>0</v>
      </c>
    </row>
    <row r="3577" spans="1:10" ht="15.75" hidden="1" thickBot="1" x14ac:dyDescent="0.3">
      <c r="A3577" s="234" t="s">
        <v>933</v>
      </c>
      <c r="B3577" s="237" t="s">
        <v>1776</v>
      </c>
      <c r="C3577" s="160"/>
      <c r="D3577" s="23" t="s">
        <v>70</v>
      </c>
      <c r="E3577" s="24"/>
      <c r="F3577" s="44" t="s">
        <v>418</v>
      </c>
      <c r="G3577" s="25" t="str">
        <f>IF(ISNUMBER(F3577),E3577*F3577,"")</f>
        <v/>
      </c>
      <c r="H3577" s="26"/>
      <c r="I3577" s="27"/>
      <c r="J3577" s="125">
        <v>0</v>
      </c>
    </row>
    <row r="3578" spans="1:10" ht="15.75" hidden="1" thickBot="1" x14ac:dyDescent="0.3">
      <c r="A3578" s="249"/>
      <c r="B3578" s="238"/>
      <c r="C3578" s="151"/>
      <c r="D3578" s="29"/>
      <c r="E3578" s="30"/>
      <c r="F3578" s="49" t="s">
        <v>418</v>
      </c>
      <c r="G3578" s="49" t="str">
        <f>IF(ISNUMBER(F3578),E3578*F3578,"")</f>
        <v/>
      </c>
      <c r="H3578" s="65"/>
      <c r="I3578" s="66"/>
      <c r="J3578" s="125">
        <v>0</v>
      </c>
    </row>
    <row r="3579" spans="1:10" ht="15.75" hidden="1" thickBot="1" x14ac:dyDescent="0.3">
      <c r="A3579" s="249"/>
      <c r="B3579" s="238"/>
      <c r="C3579" s="155" t="s">
        <v>588</v>
      </c>
      <c r="D3579" s="155" t="s">
        <v>587</v>
      </c>
      <c r="E3579" s="34">
        <v>0.25</v>
      </c>
      <c r="F3579" s="49">
        <v>19.189999999999998</v>
      </c>
      <c r="G3579" s="49">
        <f>IF(ISNUMBER(F3579),E3579*F3579,"")</f>
        <v>4.7974999999999994</v>
      </c>
      <c r="H3579" s="35">
        <f>SUM(G3579:G3580)</f>
        <v>8.2751459999999994</v>
      </c>
      <c r="I3579" s="36"/>
      <c r="J3579" s="125">
        <v>0</v>
      </c>
    </row>
    <row r="3580" spans="1:10" ht="15.75" hidden="1" thickBot="1" x14ac:dyDescent="0.3">
      <c r="A3580" s="249"/>
      <c r="B3580" s="238"/>
      <c r="C3580" s="155" t="s">
        <v>27268</v>
      </c>
      <c r="D3580" s="155" t="s">
        <v>774</v>
      </c>
      <c r="E3580" s="34">
        <v>0.52900000000000003</v>
      </c>
      <c r="F3580" s="49">
        <v>6.5739999999999998</v>
      </c>
      <c r="G3580" s="49">
        <f>IF(ISNUMBER(F3580),E3580*F3580,"")</f>
        <v>3.477646</v>
      </c>
      <c r="H3580" s="65"/>
      <c r="I3580" s="66"/>
      <c r="J3580" s="125">
        <v>0</v>
      </c>
    </row>
    <row r="3581" spans="1:10" ht="15.75" hidden="1" thickBot="1" x14ac:dyDescent="0.3">
      <c r="A3581" s="250"/>
      <c r="B3581" s="239"/>
      <c r="C3581" s="155"/>
      <c r="D3581" s="33"/>
      <c r="E3581" s="34"/>
      <c r="F3581" s="49" t="s">
        <v>418</v>
      </c>
      <c r="G3581" s="49" t="str">
        <f>IF(ISNUMBER(F3581),E3581*F3581,"")</f>
        <v/>
      </c>
      <c r="H3581" s="65"/>
      <c r="I3581" s="66"/>
      <c r="J3581" s="125">
        <v>0</v>
      </c>
    </row>
    <row r="3582" spans="1:10" ht="15.75" hidden="1" thickBot="1" x14ac:dyDescent="0.3">
      <c r="A3582" s="234" t="s">
        <v>934</v>
      </c>
      <c r="B3582" s="237" t="s">
        <v>20952</v>
      </c>
      <c r="C3582" s="160"/>
      <c r="D3582" s="23" t="s">
        <v>69</v>
      </c>
      <c r="E3582" s="24"/>
      <c r="F3582" s="44" t="s">
        <v>418</v>
      </c>
      <c r="G3582" s="25" t="str">
        <f>IF(ISNUMBER(F3582),E3582*F3582,"")</f>
        <v/>
      </c>
      <c r="H3582" s="26"/>
      <c r="I3582" s="27"/>
      <c r="J3582" s="125">
        <v>0</v>
      </c>
    </row>
    <row r="3583" spans="1:10" ht="15.75" hidden="1" thickBot="1" x14ac:dyDescent="0.3">
      <c r="A3583" s="249"/>
      <c r="B3583" s="240"/>
      <c r="C3583" s="151"/>
      <c r="D3583" s="29"/>
      <c r="E3583" s="30"/>
      <c r="F3583" s="49" t="s">
        <v>418</v>
      </c>
      <c r="G3583" s="49" t="str">
        <f>IF(ISNUMBER(F3583),E3583*F3583,"")</f>
        <v/>
      </c>
      <c r="H3583" s="65"/>
      <c r="I3583" s="66"/>
      <c r="J3583" s="125">
        <v>0</v>
      </c>
    </row>
    <row r="3584" spans="1:10" ht="15.75" hidden="1" thickBot="1" x14ac:dyDescent="0.3">
      <c r="A3584" s="249"/>
      <c r="B3584" s="240"/>
      <c r="C3584" s="155" t="s">
        <v>595</v>
      </c>
      <c r="D3584" s="155" t="s">
        <v>587</v>
      </c>
      <c r="E3584" s="34">
        <v>1.85</v>
      </c>
      <c r="F3584" s="49">
        <v>25.65</v>
      </c>
      <c r="G3584" s="49">
        <f>IF(ISNUMBER(F3584),E3584*F3584,"")</f>
        <v>47.452500000000001</v>
      </c>
      <c r="H3584" s="35">
        <f>SUM(G3584:G3588)</f>
        <v>90.568648999999994</v>
      </c>
      <c r="I3584" s="36"/>
      <c r="J3584" s="125">
        <v>0</v>
      </c>
    </row>
    <row r="3585" spans="1:10" ht="15.75" hidden="1" thickBot="1" x14ac:dyDescent="0.3">
      <c r="A3585" s="249"/>
      <c r="B3585" s="240"/>
      <c r="C3585" s="155" t="s">
        <v>588</v>
      </c>
      <c r="D3585" s="155" t="s">
        <v>587</v>
      </c>
      <c r="E3585" s="34">
        <v>0.374</v>
      </c>
      <c r="F3585" s="49">
        <v>19.189999999999998</v>
      </c>
      <c r="G3585" s="49">
        <f>IF(ISNUMBER(F3585),E3585*F3585,"")</f>
        <v>7.1770599999999991</v>
      </c>
      <c r="H3585" s="65"/>
      <c r="I3585" s="66"/>
      <c r="J3585" s="125">
        <v>0</v>
      </c>
    </row>
    <row r="3586" spans="1:10" ht="15.75" hidden="1" thickBot="1" x14ac:dyDescent="0.3">
      <c r="A3586" s="249"/>
      <c r="B3586" s="240"/>
      <c r="C3586" s="155" t="s">
        <v>27112</v>
      </c>
      <c r="D3586" s="155" t="s">
        <v>76</v>
      </c>
      <c r="E3586" s="34">
        <v>6.0000000000000001E-3</v>
      </c>
      <c r="F3586" s="49">
        <v>636.28149999999994</v>
      </c>
      <c r="G3586" s="49">
        <f>IF(ISNUMBER(F3586),E3586*F3586,"")</f>
        <v>3.8176889999999997</v>
      </c>
      <c r="H3586" s="65"/>
      <c r="I3586" s="66"/>
      <c r="J3586" s="125">
        <v>0</v>
      </c>
    </row>
    <row r="3587" spans="1:10" ht="26.25" hidden="1" thickBot="1" x14ac:dyDescent="0.3">
      <c r="A3587" s="249"/>
      <c r="B3587" s="240"/>
      <c r="C3587" s="155" t="s">
        <v>27495</v>
      </c>
      <c r="D3587" s="155" t="s">
        <v>385</v>
      </c>
      <c r="E3587" s="34">
        <v>1</v>
      </c>
      <c r="F3587" s="49">
        <v>0.74099999999999999</v>
      </c>
      <c r="G3587" s="49">
        <f>IF(ISNUMBER(F3587),E3587*F3587,"")</f>
        <v>0.74099999999999999</v>
      </c>
      <c r="H3587" s="65"/>
      <c r="I3587" s="66"/>
      <c r="J3587" s="125">
        <v>0</v>
      </c>
    </row>
    <row r="3588" spans="1:10" ht="26.25" hidden="1" thickBot="1" x14ac:dyDescent="0.3">
      <c r="A3588" s="249"/>
      <c r="B3588" s="240"/>
      <c r="C3588" s="155" t="s">
        <v>937</v>
      </c>
      <c r="D3588" s="155" t="s">
        <v>38831</v>
      </c>
      <c r="E3588" s="34">
        <v>0.8</v>
      </c>
      <c r="F3588" s="49">
        <v>39.225499999999997</v>
      </c>
      <c r="G3588" s="49">
        <f>IF(ISNUMBER(F3588),E3588*F3588,"")</f>
        <v>31.380399999999998</v>
      </c>
      <c r="H3588" s="65"/>
      <c r="I3588" s="66"/>
      <c r="J3588" s="125">
        <v>0</v>
      </c>
    </row>
    <row r="3589" spans="1:10" ht="15.75" hidden="1" thickBot="1" x14ac:dyDescent="0.3">
      <c r="A3589" s="249"/>
      <c r="B3589" s="240"/>
      <c r="C3589" s="155"/>
      <c r="D3589" s="33"/>
      <c r="E3589" s="34"/>
      <c r="F3589" s="49" t="s">
        <v>418</v>
      </c>
      <c r="G3589" s="49" t="str">
        <f>IF(ISNUMBER(F3589),E3589*F3589,"")</f>
        <v/>
      </c>
      <c r="H3589" s="65"/>
      <c r="I3589" s="66"/>
      <c r="J3589" s="125">
        <v>0</v>
      </c>
    </row>
    <row r="3590" spans="1:10" s="144" customFormat="1" ht="15.75" hidden="1" thickBot="1" x14ac:dyDescent="0.3">
      <c r="A3590" s="249"/>
      <c r="B3590" s="240"/>
      <c r="C3590" s="155" t="s">
        <v>20953</v>
      </c>
      <c r="D3590" s="155"/>
      <c r="E3590" s="156"/>
      <c r="F3590" s="49"/>
      <c r="G3590" s="49"/>
      <c r="H3590" s="65"/>
      <c r="I3590" s="66"/>
      <c r="J3590" s="125">
        <v>0</v>
      </c>
    </row>
    <row r="3591" spans="1:10" s="144" customFormat="1" ht="15.75" hidden="1" thickBot="1" x14ac:dyDescent="0.3">
      <c r="A3591" s="250"/>
      <c r="B3591" s="239"/>
      <c r="C3591" s="155"/>
      <c r="D3591" s="155"/>
      <c r="E3591" s="156"/>
      <c r="F3591" s="49"/>
      <c r="G3591" s="49"/>
      <c r="H3591" s="65"/>
      <c r="I3591" s="66"/>
      <c r="J3591" s="125">
        <v>0</v>
      </c>
    </row>
    <row r="3592" spans="1:10" ht="15.75" hidden="1" thickBot="1" x14ac:dyDescent="0.3">
      <c r="A3592" s="234" t="s">
        <v>938</v>
      </c>
      <c r="B3592" s="237" t="s">
        <v>1777</v>
      </c>
      <c r="C3592" s="160"/>
      <c r="D3592" s="23" t="s">
        <v>69</v>
      </c>
      <c r="E3592" s="24"/>
      <c r="F3592" s="44" t="s">
        <v>418</v>
      </c>
      <c r="G3592" s="25" t="str">
        <f>IF(ISNUMBER(F3592),E3592*F3592,"")</f>
        <v/>
      </c>
      <c r="H3592" s="26"/>
      <c r="I3592" s="27"/>
      <c r="J3592" s="125">
        <v>0</v>
      </c>
    </row>
    <row r="3593" spans="1:10" ht="15.75" hidden="1" thickBot="1" x14ac:dyDescent="0.3">
      <c r="A3593" s="249"/>
      <c r="B3593" s="238"/>
      <c r="C3593" s="151"/>
      <c r="D3593" s="29"/>
      <c r="E3593" s="30"/>
      <c r="F3593" s="49" t="s">
        <v>418</v>
      </c>
      <c r="G3593" s="49" t="str">
        <f>IF(ISNUMBER(F3593),E3593*F3593,"")</f>
        <v/>
      </c>
      <c r="H3593" s="65"/>
      <c r="I3593" s="66"/>
      <c r="J3593" s="125">
        <v>0</v>
      </c>
    </row>
    <row r="3594" spans="1:10" ht="15.75" hidden="1" thickBot="1" x14ac:dyDescent="0.3">
      <c r="A3594" s="249"/>
      <c r="B3594" s="238"/>
      <c r="C3594" s="155" t="s">
        <v>9864</v>
      </c>
      <c r="D3594" s="155" t="s">
        <v>587</v>
      </c>
      <c r="E3594" s="34">
        <v>0.68100000000000005</v>
      </c>
      <c r="F3594" s="49">
        <v>23.274999999999999</v>
      </c>
      <c r="G3594" s="49">
        <f>IF(ISNUMBER(F3594),E3594*F3594,"")</f>
        <v>15.850275</v>
      </c>
      <c r="H3594" s="35">
        <f>SUM(G3594:G3595)</f>
        <v>29.5792</v>
      </c>
      <c r="I3594" s="36"/>
      <c r="J3594" s="125">
        <v>0</v>
      </c>
    </row>
    <row r="3595" spans="1:10" ht="26.25" hidden="1" thickBot="1" x14ac:dyDescent="0.3">
      <c r="A3595" s="249"/>
      <c r="B3595" s="238"/>
      <c r="C3595" s="155" t="s">
        <v>937</v>
      </c>
      <c r="D3595" s="155" t="s">
        <v>38831</v>
      </c>
      <c r="E3595" s="34">
        <v>0.35</v>
      </c>
      <c r="F3595" s="49">
        <v>39.225499999999997</v>
      </c>
      <c r="G3595" s="49">
        <f>IF(ISNUMBER(F3595),E3595*F3595,"")</f>
        <v>13.728924999999998</v>
      </c>
      <c r="H3595" s="65"/>
      <c r="I3595" s="66"/>
      <c r="J3595" s="125">
        <v>0</v>
      </c>
    </row>
    <row r="3596" spans="1:10" ht="15.75" hidden="1" thickBot="1" x14ac:dyDescent="0.3">
      <c r="A3596" s="250"/>
      <c r="B3596" s="239"/>
      <c r="C3596" s="155"/>
      <c r="D3596" s="33"/>
      <c r="E3596" s="34"/>
      <c r="F3596" s="49" t="s">
        <v>418</v>
      </c>
      <c r="G3596" s="49" t="str">
        <f>IF(ISNUMBER(F3596),E3596*F3596,"")</f>
        <v/>
      </c>
      <c r="H3596" s="65"/>
      <c r="I3596" s="66"/>
      <c r="J3596" s="125">
        <v>0</v>
      </c>
    </row>
    <row r="3597" spans="1:10" ht="15.75" hidden="1" thickBot="1" x14ac:dyDescent="0.3">
      <c r="A3597" s="234" t="s">
        <v>939</v>
      </c>
      <c r="B3597" s="237" t="s">
        <v>1778</v>
      </c>
      <c r="C3597" s="160"/>
      <c r="D3597" s="23" t="s">
        <v>16</v>
      </c>
      <c r="E3597" s="24"/>
      <c r="F3597" s="44" t="s">
        <v>418</v>
      </c>
      <c r="G3597" s="25" t="str">
        <f>IF(ISNUMBER(F3597),E3597*F3597,"")</f>
        <v/>
      </c>
      <c r="H3597" s="26"/>
      <c r="I3597" s="27"/>
      <c r="J3597" s="125">
        <v>0</v>
      </c>
    </row>
    <row r="3598" spans="1:10" ht="15.75" hidden="1" thickBot="1" x14ac:dyDescent="0.3">
      <c r="A3598" s="249"/>
      <c r="B3598" s="238"/>
      <c r="C3598" s="151"/>
      <c r="D3598" s="29"/>
      <c r="E3598" s="30"/>
      <c r="F3598" s="49" t="s">
        <v>418</v>
      </c>
      <c r="G3598" s="49" t="str">
        <f>IF(ISNUMBER(F3598),E3598*F3598,"")</f>
        <v/>
      </c>
      <c r="H3598" s="65"/>
      <c r="I3598" s="66"/>
      <c r="J3598" s="125">
        <v>0</v>
      </c>
    </row>
    <row r="3599" spans="1:10" ht="26.25" hidden="1" thickBot="1" x14ac:dyDescent="0.3">
      <c r="A3599" s="249"/>
      <c r="B3599" s="238"/>
      <c r="C3599" s="155" t="s">
        <v>940</v>
      </c>
      <c r="D3599" s="155" t="s">
        <v>205</v>
      </c>
      <c r="E3599" s="34">
        <v>1</v>
      </c>
      <c r="F3599" s="49">
        <v>75.524999999999991</v>
      </c>
      <c r="G3599" s="49">
        <f>IF(ISNUMBER(F3599),E3599*F3599,"")</f>
        <v>75.524999999999991</v>
      </c>
      <c r="H3599" s="35">
        <f>SUM(G3599:G3602)</f>
        <v>89.462369250000009</v>
      </c>
      <c r="I3599" s="36"/>
      <c r="J3599" s="125">
        <v>0</v>
      </c>
    </row>
    <row r="3600" spans="1:10" ht="15.75" hidden="1" thickBot="1" x14ac:dyDescent="0.3">
      <c r="A3600" s="249"/>
      <c r="B3600" s="238"/>
      <c r="C3600" s="155" t="s">
        <v>25517</v>
      </c>
      <c r="D3600" s="155" t="s">
        <v>205</v>
      </c>
      <c r="E3600" s="34">
        <v>2.1000000000000001E-2</v>
      </c>
      <c r="F3600" s="49">
        <v>4.6550000000000002</v>
      </c>
      <c r="G3600" s="49">
        <f>IF(ISNUMBER(F3600),E3600*F3600,"")</f>
        <v>9.7755000000000009E-2</v>
      </c>
      <c r="H3600" s="65"/>
      <c r="I3600" s="66"/>
      <c r="J3600" s="125">
        <v>0</v>
      </c>
    </row>
    <row r="3601" spans="1:10" ht="26.25" hidden="1" thickBot="1" x14ac:dyDescent="0.3">
      <c r="A3601" s="249"/>
      <c r="B3601" s="238"/>
      <c r="C3601" s="155" t="s">
        <v>825</v>
      </c>
      <c r="D3601" s="155" t="s">
        <v>587</v>
      </c>
      <c r="E3601" s="34">
        <v>0.44669999999999999</v>
      </c>
      <c r="F3601" s="49">
        <v>24.9375</v>
      </c>
      <c r="G3601" s="49">
        <f>IF(ISNUMBER(F3601),E3601*F3601,"")</f>
        <v>11.139581249999999</v>
      </c>
      <c r="H3601" s="65"/>
      <c r="I3601" s="66"/>
      <c r="J3601" s="125">
        <v>0</v>
      </c>
    </row>
    <row r="3602" spans="1:10" ht="15.75" hidden="1" thickBot="1" x14ac:dyDescent="0.3">
      <c r="A3602" s="249"/>
      <c r="B3602" s="238"/>
      <c r="C3602" s="155" t="s">
        <v>588</v>
      </c>
      <c r="D3602" s="155" t="s">
        <v>587</v>
      </c>
      <c r="E3602" s="34">
        <v>0.14069999999999999</v>
      </c>
      <c r="F3602" s="49">
        <v>19.189999999999998</v>
      </c>
      <c r="G3602" s="49">
        <f>IF(ISNUMBER(F3602),E3602*F3602,"")</f>
        <v>2.7000329999999995</v>
      </c>
      <c r="H3602" s="65"/>
      <c r="I3602" s="66"/>
      <c r="J3602" s="125">
        <v>0</v>
      </c>
    </row>
    <row r="3603" spans="1:10" ht="15.75" hidden="1" thickBot="1" x14ac:dyDescent="0.3">
      <c r="A3603" s="250"/>
      <c r="B3603" s="239"/>
      <c r="C3603" s="155"/>
      <c r="D3603" s="33"/>
      <c r="E3603" s="34"/>
      <c r="F3603" s="49" t="s">
        <v>418</v>
      </c>
      <c r="G3603" s="49" t="str">
        <f>IF(ISNUMBER(F3603),E3603*F3603,"")</f>
        <v/>
      </c>
      <c r="H3603" s="65"/>
      <c r="I3603" s="66"/>
      <c r="J3603" s="125">
        <v>0</v>
      </c>
    </row>
    <row r="3604" spans="1:10" ht="15.75" hidden="1" thickBot="1" x14ac:dyDescent="0.3">
      <c r="A3604" s="234" t="s">
        <v>941</v>
      </c>
      <c r="B3604" s="237" t="s">
        <v>13468</v>
      </c>
      <c r="C3604" s="160"/>
      <c r="D3604" s="23" t="s">
        <v>81</v>
      </c>
      <c r="E3604" s="24"/>
      <c r="F3604" s="44" t="s">
        <v>418</v>
      </c>
      <c r="G3604" s="25" t="str">
        <f>IF(ISNUMBER(F3604),E3604*F3604,"")</f>
        <v/>
      </c>
      <c r="H3604" s="26"/>
      <c r="I3604" s="27"/>
      <c r="J3604" s="125">
        <v>0</v>
      </c>
    </row>
    <row r="3605" spans="1:10" ht="15.75" hidden="1" thickBot="1" x14ac:dyDescent="0.3">
      <c r="A3605" s="249"/>
      <c r="B3605" s="238"/>
      <c r="C3605" s="151"/>
      <c r="D3605" s="29"/>
      <c r="E3605" s="30"/>
      <c r="F3605" s="49" t="s">
        <v>418</v>
      </c>
      <c r="G3605" s="49" t="str">
        <f>IF(ISNUMBER(F3605),E3605*F3605,"")</f>
        <v/>
      </c>
      <c r="H3605" s="65"/>
      <c r="I3605" s="66"/>
      <c r="J3605" s="125">
        <v>0</v>
      </c>
    </row>
    <row r="3606" spans="1:10" ht="15.75" hidden="1" thickBot="1" x14ac:dyDescent="0.3">
      <c r="A3606" s="249"/>
      <c r="B3606" s="238"/>
      <c r="C3606" s="155" t="s">
        <v>595</v>
      </c>
      <c r="D3606" s="155" t="s">
        <v>587</v>
      </c>
      <c r="E3606" s="34">
        <v>5.4370000000000003</v>
      </c>
      <c r="F3606" s="49">
        <v>25.65</v>
      </c>
      <c r="G3606" s="49">
        <f>IF(ISNUMBER(F3606),E3606*F3606,"")</f>
        <v>139.45904999999999</v>
      </c>
      <c r="H3606" s="35">
        <f>SUM(G3606:G3608)</f>
        <v>873.35218263713114</v>
      </c>
      <c r="I3606" s="36"/>
      <c r="J3606" s="125">
        <v>0</v>
      </c>
    </row>
    <row r="3607" spans="1:10" ht="15.75" hidden="1" thickBot="1" x14ac:dyDescent="0.3">
      <c r="A3607" s="249"/>
      <c r="B3607" s="238"/>
      <c r="C3607" s="155" t="s">
        <v>588</v>
      </c>
      <c r="D3607" s="155" t="s">
        <v>587</v>
      </c>
      <c r="E3607" s="34">
        <v>1.4830000000000001</v>
      </c>
      <c r="F3607" s="49">
        <v>19.189999999999998</v>
      </c>
      <c r="G3607" s="49">
        <f>IF(ISNUMBER(F3607),E3607*F3607,"")</f>
        <v>28.458769999999998</v>
      </c>
      <c r="H3607" s="65"/>
      <c r="I3607" s="66"/>
      <c r="J3607" s="125">
        <v>0</v>
      </c>
    </row>
    <row r="3608" spans="1:10" ht="39" hidden="1" thickBot="1" x14ac:dyDescent="0.3">
      <c r="A3608" s="249"/>
      <c r="B3608" s="238"/>
      <c r="C3608" s="155" t="s">
        <v>13608</v>
      </c>
      <c r="D3608" s="155" t="s">
        <v>85</v>
      </c>
      <c r="E3608" s="34">
        <v>1.1299999999999999</v>
      </c>
      <c r="F3608" s="49">
        <v>624.27819702400996</v>
      </c>
      <c r="G3608" s="49">
        <f>IF(ISNUMBER(F3608),E3608*F3608,"")</f>
        <v>705.43436263713113</v>
      </c>
      <c r="H3608" s="65"/>
      <c r="I3608" s="66"/>
      <c r="J3608" s="125">
        <v>0</v>
      </c>
    </row>
    <row r="3609" spans="1:10" ht="15.75" hidden="1" thickBot="1" x14ac:dyDescent="0.3">
      <c r="A3609" s="250"/>
      <c r="B3609" s="239"/>
      <c r="C3609" s="155"/>
      <c r="D3609" s="33"/>
      <c r="E3609" s="34"/>
      <c r="F3609" s="49" t="s">
        <v>418</v>
      </c>
      <c r="G3609" s="49" t="str">
        <f>IF(ISNUMBER(F3609),E3609*F3609,"")</f>
        <v/>
      </c>
      <c r="H3609" s="65"/>
      <c r="I3609" s="66"/>
      <c r="J3609" s="125">
        <v>0</v>
      </c>
    </row>
    <row r="3610" spans="1:10" ht="15.75" hidden="1" thickBot="1" x14ac:dyDescent="0.3">
      <c r="A3610" s="234" t="s">
        <v>942</v>
      </c>
      <c r="B3610" s="237" t="s">
        <v>1779</v>
      </c>
      <c r="C3610" s="160"/>
      <c r="D3610" s="23" t="s">
        <v>70</v>
      </c>
      <c r="E3610" s="24"/>
      <c r="F3610" s="44" t="s">
        <v>418</v>
      </c>
      <c r="G3610" s="25" t="str">
        <f>IF(ISNUMBER(F3610),E3610*F3610,"")</f>
        <v/>
      </c>
      <c r="H3610" s="26"/>
      <c r="I3610" s="27"/>
      <c r="J3610" s="125">
        <v>0</v>
      </c>
    </row>
    <row r="3611" spans="1:10" ht="15.75" hidden="1" thickBot="1" x14ac:dyDescent="0.3">
      <c r="A3611" s="235"/>
      <c r="B3611" s="238"/>
      <c r="C3611" s="151"/>
      <c r="D3611" s="29"/>
      <c r="E3611" s="30"/>
      <c r="F3611" s="49" t="s">
        <v>418</v>
      </c>
      <c r="G3611" s="49" t="str">
        <f>IF(ISNUMBER(F3611),E3611*F3611,"")</f>
        <v/>
      </c>
      <c r="H3611" s="65"/>
      <c r="I3611" s="66"/>
      <c r="J3611" s="125">
        <v>0</v>
      </c>
    </row>
    <row r="3612" spans="1:10" ht="39" hidden="1" thickBot="1" x14ac:dyDescent="0.3">
      <c r="A3612" s="235"/>
      <c r="B3612" s="238"/>
      <c r="C3612" s="155" t="s">
        <v>10253</v>
      </c>
      <c r="D3612" s="155" t="s">
        <v>85</v>
      </c>
      <c r="E3612" s="34">
        <v>8.14E-2</v>
      </c>
      <c r="F3612" s="49">
        <v>1049.75</v>
      </c>
      <c r="G3612" s="49">
        <f>IF(ISNUMBER(F3612),E3612*F3612,"")</f>
        <v>85.449650000000005</v>
      </c>
      <c r="H3612" s="35">
        <f>SUM(G3612:G3618)</f>
        <v>157.95256319999999</v>
      </c>
      <c r="I3612" s="36"/>
      <c r="J3612" s="125">
        <v>0</v>
      </c>
    </row>
    <row r="3613" spans="1:10" ht="26.25" hidden="1" thickBot="1" x14ac:dyDescent="0.3">
      <c r="A3613" s="235"/>
      <c r="B3613" s="238"/>
      <c r="C3613" s="155" t="s">
        <v>10262</v>
      </c>
      <c r="D3613" s="155" t="s">
        <v>774</v>
      </c>
      <c r="E3613" s="34">
        <v>4</v>
      </c>
      <c r="F3613" s="49">
        <v>10.069999999999999</v>
      </c>
      <c r="G3613" s="49">
        <f>IF(ISNUMBER(F3613),E3613*F3613,"")</f>
        <v>40.279999999999994</v>
      </c>
      <c r="H3613" s="65"/>
      <c r="I3613" s="66"/>
      <c r="J3613" s="125">
        <v>0</v>
      </c>
    </row>
    <row r="3614" spans="1:10" ht="15.75" hidden="1" thickBot="1" x14ac:dyDescent="0.3">
      <c r="A3614" s="235"/>
      <c r="B3614" s="238"/>
      <c r="C3614" s="155" t="s">
        <v>595</v>
      </c>
      <c r="D3614" s="155" t="s">
        <v>587</v>
      </c>
      <c r="E3614" s="34">
        <v>0.1119</v>
      </c>
      <c r="F3614" s="49">
        <v>25.65</v>
      </c>
      <c r="G3614" s="49">
        <f>IF(ISNUMBER(F3614),E3614*F3614,"")</f>
        <v>2.8702349999999996</v>
      </c>
      <c r="H3614" s="65"/>
      <c r="I3614" s="66"/>
      <c r="J3614" s="125">
        <v>0</v>
      </c>
    </row>
    <row r="3615" spans="1:10" ht="15.75" hidden="1" thickBot="1" x14ac:dyDescent="0.3">
      <c r="A3615" s="235"/>
      <c r="B3615" s="238"/>
      <c r="C3615" s="155" t="s">
        <v>588</v>
      </c>
      <c r="D3615" s="155" t="s">
        <v>587</v>
      </c>
      <c r="E3615" s="34">
        <v>4.6600000000000003E-2</v>
      </c>
      <c r="F3615" s="49">
        <v>19.189999999999998</v>
      </c>
      <c r="G3615" s="49">
        <f>IF(ISNUMBER(F3615),E3615*F3615,"")</f>
        <v>0.89425399999999999</v>
      </c>
      <c r="H3615" s="65"/>
      <c r="I3615" s="66"/>
      <c r="J3615" s="125">
        <v>0</v>
      </c>
    </row>
    <row r="3616" spans="1:10" ht="26.25" hidden="1" thickBot="1" x14ac:dyDescent="0.3">
      <c r="A3616" s="235"/>
      <c r="B3616" s="238"/>
      <c r="C3616" s="155" t="s">
        <v>21629</v>
      </c>
      <c r="D3616" s="155" t="s">
        <v>814</v>
      </c>
      <c r="E3616" s="34">
        <v>7.0000000000000001E-3</v>
      </c>
      <c r="F3616" s="49">
        <v>10.088999999999999</v>
      </c>
      <c r="G3616" s="49">
        <f>IF(ISNUMBER(F3616),E3616*F3616,"")</f>
        <v>7.0622999999999991E-2</v>
      </c>
      <c r="H3616" s="65"/>
      <c r="I3616" s="66"/>
      <c r="J3616" s="125">
        <v>0</v>
      </c>
    </row>
    <row r="3617" spans="1:10" ht="39" hidden="1" thickBot="1" x14ac:dyDescent="0.3">
      <c r="A3617" s="235"/>
      <c r="B3617" s="238"/>
      <c r="C3617" s="155" t="s">
        <v>943</v>
      </c>
      <c r="D3617" s="155" t="s">
        <v>870</v>
      </c>
      <c r="E3617" s="34">
        <v>1.0815999999999999</v>
      </c>
      <c r="F3617" s="49">
        <v>22.619499999999999</v>
      </c>
      <c r="G3617" s="49">
        <f>IF(ISNUMBER(F3617),E3617*F3617,"")</f>
        <v>24.465251199999997</v>
      </c>
      <c r="H3617" s="65"/>
      <c r="I3617" s="66"/>
      <c r="J3617" s="125">
        <v>0</v>
      </c>
    </row>
    <row r="3618" spans="1:10" ht="26.25" hidden="1" thickBot="1" x14ac:dyDescent="0.3">
      <c r="A3618" s="235"/>
      <c r="B3618" s="238"/>
      <c r="C3618" s="155" t="s">
        <v>937</v>
      </c>
      <c r="D3618" s="155" t="s">
        <v>38831</v>
      </c>
      <c r="E3618" s="34">
        <v>0.1</v>
      </c>
      <c r="F3618" s="49">
        <v>39.225499999999997</v>
      </c>
      <c r="G3618" s="49">
        <f>IF(ISNUMBER(F3618),E3618*F3618,"")</f>
        <v>3.9225499999999998</v>
      </c>
      <c r="H3618" s="65"/>
      <c r="I3618" s="66"/>
      <c r="J3618" s="125">
        <v>0</v>
      </c>
    </row>
    <row r="3619" spans="1:10" ht="15.75" hidden="1" thickBot="1" x14ac:dyDescent="0.3">
      <c r="A3619" s="236"/>
      <c r="B3619" s="239"/>
      <c r="C3619" s="155"/>
      <c r="D3619" s="33"/>
      <c r="E3619" s="34"/>
      <c r="F3619" s="49" t="s">
        <v>418</v>
      </c>
      <c r="G3619" s="49" t="str">
        <f>IF(ISNUMBER(F3619),E3619*F3619,"")</f>
        <v/>
      </c>
      <c r="H3619" s="65"/>
      <c r="I3619" s="66"/>
      <c r="J3619" s="125">
        <v>0</v>
      </c>
    </row>
    <row r="3620" spans="1:10" ht="15.75" hidden="1" thickBot="1" x14ac:dyDescent="0.3">
      <c r="A3620" s="234" t="s">
        <v>944</v>
      </c>
      <c r="B3620" s="237" t="s">
        <v>1780</v>
      </c>
      <c r="C3620" s="160"/>
      <c r="D3620" s="23" t="s">
        <v>16</v>
      </c>
      <c r="E3620" s="24"/>
      <c r="F3620" s="44" t="s">
        <v>418</v>
      </c>
      <c r="G3620" s="25" t="str">
        <f>IF(ISNUMBER(F3620),E3620*F3620,"")</f>
        <v/>
      </c>
      <c r="H3620" s="26"/>
      <c r="I3620" s="27"/>
      <c r="J3620" s="125">
        <v>0</v>
      </c>
    </row>
    <row r="3621" spans="1:10" ht="15.75" hidden="1" thickBot="1" x14ac:dyDescent="0.3">
      <c r="A3621" s="249"/>
      <c r="B3621" s="238"/>
      <c r="C3621" s="151"/>
      <c r="D3621" s="29"/>
      <c r="E3621" s="30"/>
      <c r="F3621" s="49" t="s">
        <v>418</v>
      </c>
      <c r="G3621" s="49" t="str">
        <f>IF(ISNUMBER(F3621),E3621*F3621,"")</f>
        <v/>
      </c>
      <c r="H3621" s="65"/>
      <c r="I3621" s="66"/>
      <c r="J3621" s="125">
        <v>0</v>
      </c>
    </row>
    <row r="3622" spans="1:10" ht="26.25" hidden="1" thickBot="1" x14ac:dyDescent="0.3">
      <c r="A3622" s="249"/>
      <c r="B3622" s="238"/>
      <c r="C3622" s="155" t="s">
        <v>825</v>
      </c>
      <c r="D3622" s="155" t="s">
        <v>587</v>
      </c>
      <c r="E3622" s="34">
        <v>3</v>
      </c>
      <c r="F3622" s="49">
        <v>24.9375</v>
      </c>
      <c r="G3622" s="49">
        <f>IF(ISNUMBER(F3622),E3622*F3622,"")</f>
        <v>74.8125</v>
      </c>
      <c r="H3622" s="35">
        <f>SUM(G3622:G3623)</f>
        <v>130.70099999999999</v>
      </c>
      <c r="I3622" s="36"/>
      <c r="J3622" s="125">
        <v>0</v>
      </c>
    </row>
    <row r="3623" spans="1:10" ht="26.25" hidden="1" thickBot="1" x14ac:dyDescent="0.3">
      <c r="A3623" s="249"/>
      <c r="B3623" s="238"/>
      <c r="C3623" s="155" t="s">
        <v>824</v>
      </c>
      <c r="D3623" s="155" t="s">
        <v>587</v>
      </c>
      <c r="E3623" s="34">
        <v>3</v>
      </c>
      <c r="F3623" s="49">
        <v>18.6295</v>
      </c>
      <c r="G3623" s="49">
        <f>IF(ISNUMBER(F3623),E3623*F3623,"")</f>
        <v>55.888500000000001</v>
      </c>
      <c r="H3623" s="65"/>
      <c r="I3623" s="66"/>
      <c r="J3623" s="125">
        <v>0</v>
      </c>
    </row>
    <row r="3624" spans="1:10" ht="15.75" hidden="1" thickBot="1" x14ac:dyDescent="0.3">
      <c r="A3624" s="250"/>
      <c r="B3624" s="239"/>
      <c r="C3624" s="155"/>
      <c r="D3624" s="33"/>
      <c r="E3624" s="34"/>
      <c r="F3624" s="49" t="s">
        <v>418</v>
      </c>
      <c r="G3624" s="49" t="str">
        <f>IF(ISNUMBER(F3624),E3624*F3624,"")</f>
        <v/>
      </c>
      <c r="H3624" s="65"/>
      <c r="I3624" s="66"/>
      <c r="J3624" s="125">
        <v>0</v>
      </c>
    </row>
    <row r="3625" spans="1:10" ht="15.75" hidden="1" thickBot="1" x14ac:dyDescent="0.3">
      <c r="A3625" s="234" t="s">
        <v>945</v>
      </c>
      <c r="B3625" s="237" t="s">
        <v>1781</v>
      </c>
      <c r="C3625" s="160"/>
      <c r="D3625" s="23" t="s">
        <v>1782</v>
      </c>
      <c r="E3625" s="24"/>
      <c r="F3625" s="44" t="s">
        <v>418</v>
      </c>
      <c r="G3625" s="25" t="str">
        <f>IF(ISNUMBER(F3625),E3625*F3625,"")</f>
        <v/>
      </c>
      <c r="H3625" s="26"/>
      <c r="I3625" s="27"/>
      <c r="J3625" s="125">
        <v>0</v>
      </c>
    </row>
    <row r="3626" spans="1:10" ht="15.75" hidden="1" thickBot="1" x14ac:dyDescent="0.3">
      <c r="A3626" s="249"/>
      <c r="B3626" s="238"/>
      <c r="C3626" s="151"/>
      <c r="D3626" s="29"/>
      <c r="E3626" s="30"/>
      <c r="F3626" s="49" t="s">
        <v>418</v>
      </c>
      <c r="G3626" s="49" t="str">
        <f>IF(ISNUMBER(F3626),E3626*F3626,"")</f>
        <v/>
      </c>
      <c r="H3626" s="65"/>
      <c r="I3626" s="66"/>
      <c r="J3626" s="125">
        <v>0</v>
      </c>
    </row>
    <row r="3627" spans="1:10" ht="51.75" hidden="1" thickBot="1" x14ac:dyDescent="0.3">
      <c r="A3627" s="249"/>
      <c r="B3627" s="238"/>
      <c r="C3627" s="155" t="s">
        <v>946</v>
      </c>
      <c r="D3627" s="155" t="s">
        <v>814</v>
      </c>
      <c r="E3627" s="34">
        <v>1.3899999999999999E-2</v>
      </c>
      <c r="F3627" s="49">
        <v>185.839</v>
      </c>
      <c r="G3627" s="49">
        <f>IF(ISNUMBER(F3627),E3627*F3627,"")</f>
        <v>2.5831621</v>
      </c>
      <c r="H3627" s="35">
        <f>SUM(G3627:G3628)</f>
        <v>2.9395831000000001</v>
      </c>
      <c r="I3627" s="36"/>
      <c r="J3627" s="125">
        <v>0</v>
      </c>
    </row>
    <row r="3628" spans="1:10" ht="51.75" hidden="1" thickBot="1" x14ac:dyDescent="0.3">
      <c r="A3628" s="249"/>
      <c r="B3628" s="238"/>
      <c r="C3628" s="155" t="s">
        <v>947</v>
      </c>
      <c r="D3628" s="155" t="s">
        <v>816</v>
      </c>
      <c r="E3628" s="34">
        <v>6.0000000000000001E-3</v>
      </c>
      <c r="F3628" s="49">
        <v>59.403500000000001</v>
      </c>
      <c r="G3628" s="49">
        <f>IF(ISNUMBER(F3628),E3628*F3628,"")</f>
        <v>0.35642099999999999</v>
      </c>
      <c r="H3628" s="65"/>
      <c r="I3628" s="66"/>
      <c r="J3628" s="125">
        <v>0</v>
      </c>
    </row>
    <row r="3629" spans="1:10" ht="15.75" hidden="1" thickBot="1" x14ac:dyDescent="0.3">
      <c r="A3629" s="250"/>
      <c r="B3629" s="239"/>
      <c r="C3629" s="155"/>
      <c r="D3629" s="33"/>
      <c r="E3629" s="34"/>
      <c r="F3629" s="49" t="s">
        <v>418</v>
      </c>
      <c r="G3629" s="49" t="str">
        <f>IF(ISNUMBER(F3629),E3629*F3629,"")</f>
        <v/>
      </c>
      <c r="H3629" s="65"/>
      <c r="I3629" s="66"/>
      <c r="J3629" s="125">
        <v>0</v>
      </c>
    </row>
    <row r="3630" spans="1:10" ht="15.75" hidden="1" thickBot="1" x14ac:dyDescent="0.3">
      <c r="A3630" s="234" t="s">
        <v>948</v>
      </c>
      <c r="B3630" s="237" t="s">
        <v>1783</v>
      </c>
      <c r="C3630" s="160"/>
      <c r="D3630" s="23" t="s">
        <v>28</v>
      </c>
      <c r="E3630" s="24"/>
      <c r="F3630" s="44" t="s">
        <v>418</v>
      </c>
      <c r="G3630" s="25" t="str">
        <f>IF(ISNUMBER(F3630),E3630*F3630,"")</f>
        <v/>
      </c>
      <c r="H3630" s="26"/>
      <c r="I3630" s="27"/>
      <c r="J3630" s="125">
        <v>0</v>
      </c>
    </row>
    <row r="3631" spans="1:10" ht="15.75" hidden="1" thickBot="1" x14ac:dyDescent="0.3">
      <c r="A3631" s="249"/>
      <c r="B3631" s="238"/>
      <c r="C3631" s="151"/>
      <c r="D3631" s="29"/>
      <c r="E3631" s="30"/>
      <c r="F3631" s="49" t="s">
        <v>418</v>
      </c>
      <c r="G3631" s="49" t="str">
        <f>IF(ISNUMBER(F3631),E3631*F3631,"")</f>
        <v/>
      </c>
      <c r="H3631" s="65"/>
      <c r="I3631" s="66"/>
      <c r="J3631" s="125">
        <v>0</v>
      </c>
    </row>
    <row r="3632" spans="1:10" ht="26.25" hidden="1" thickBot="1" x14ac:dyDescent="0.3">
      <c r="A3632" s="249"/>
      <c r="B3632" s="238"/>
      <c r="C3632" s="155" t="s">
        <v>93</v>
      </c>
      <c r="D3632" s="155" t="s">
        <v>85</v>
      </c>
      <c r="E3632" s="34">
        <v>2.1999999999999999E-2</v>
      </c>
      <c r="F3632" s="49">
        <v>16.34</v>
      </c>
      <c r="G3632" s="49">
        <f>IF(ISNUMBER(F3632),E3632*F3632,"")</f>
        <v>0.35947999999999997</v>
      </c>
      <c r="H3632" s="35">
        <f>SUM(G3632:G3636)</f>
        <v>6.2928474999999997</v>
      </c>
      <c r="I3632" s="36"/>
      <c r="J3632" s="125">
        <v>0</v>
      </c>
    </row>
    <row r="3633" spans="1:10" ht="39" hidden="1" thickBot="1" x14ac:dyDescent="0.3">
      <c r="A3633" s="249"/>
      <c r="B3633" s="238"/>
      <c r="C3633" s="155" t="s">
        <v>23405</v>
      </c>
      <c r="D3633" s="155" t="s">
        <v>774</v>
      </c>
      <c r="E3633" s="34">
        <v>5.0000000000000001E-3</v>
      </c>
      <c r="F3633" s="49">
        <v>74.575000000000003</v>
      </c>
      <c r="G3633" s="49">
        <f>IF(ISNUMBER(F3633),E3633*F3633,"")</f>
        <v>0.37287500000000001</v>
      </c>
      <c r="H3633" s="65"/>
      <c r="I3633" s="66"/>
      <c r="J3633" s="125">
        <v>0</v>
      </c>
    </row>
    <row r="3634" spans="1:10" ht="26.25" hidden="1" thickBot="1" x14ac:dyDescent="0.3">
      <c r="A3634" s="249"/>
      <c r="B3634" s="238"/>
      <c r="C3634" s="155" t="s">
        <v>21621</v>
      </c>
      <c r="D3634" s="155" t="s">
        <v>814</v>
      </c>
      <c r="E3634" s="34">
        <f>E3635</f>
        <v>4.4999999999999998E-2</v>
      </c>
      <c r="F3634" s="49">
        <v>78.118499999999997</v>
      </c>
      <c r="G3634" s="49">
        <f>IF(ISNUMBER(F3634),E3634*F3634,"")</f>
        <v>3.5153325</v>
      </c>
      <c r="H3634" s="65"/>
      <c r="I3634" s="66"/>
      <c r="J3634" s="125">
        <v>0</v>
      </c>
    </row>
    <row r="3635" spans="1:10" ht="15.75" hidden="1" thickBot="1" x14ac:dyDescent="0.3">
      <c r="A3635" s="249"/>
      <c r="B3635" s="238"/>
      <c r="C3635" s="155" t="s">
        <v>9852</v>
      </c>
      <c r="D3635" s="155" t="s">
        <v>587</v>
      </c>
      <c r="E3635" s="34">
        <v>4.4999999999999998E-2</v>
      </c>
      <c r="F3635" s="49">
        <v>26.257999999999999</v>
      </c>
      <c r="G3635" s="49">
        <f>IF(ISNUMBER(F3635),E3635*F3635,"")</f>
        <v>1.1816099999999998</v>
      </c>
      <c r="H3635" s="65"/>
      <c r="I3635" s="66"/>
      <c r="J3635" s="125">
        <v>0</v>
      </c>
    </row>
    <row r="3636" spans="1:10" ht="15.75" hidden="1" thickBot="1" x14ac:dyDescent="0.3">
      <c r="A3636" s="249"/>
      <c r="B3636" s="238"/>
      <c r="C3636" s="155" t="s">
        <v>588</v>
      </c>
      <c r="D3636" s="155" t="s">
        <v>587</v>
      </c>
      <c r="E3636" s="156">
        <v>4.4999999999999998E-2</v>
      </c>
      <c r="F3636" s="49">
        <v>19.189999999999998</v>
      </c>
      <c r="G3636" s="49">
        <f>IF(ISNUMBER(F3636),E3636*F3636,"")</f>
        <v>0.86354999999999982</v>
      </c>
      <c r="H3636" s="65"/>
      <c r="I3636" s="66"/>
      <c r="J3636" s="125">
        <v>0</v>
      </c>
    </row>
    <row r="3637" spans="1:10" ht="15.75" hidden="1" thickBot="1" x14ac:dyDescent="0.3">
      <c r="A3637" s="250"/>
      <c r="B3637" s="239"/>
      <c r="C3637" s="155"/>
      <c r="D3637" s="33"/>
      <c r="E3637" s="34"/>
      <c r="F3637" s="49" t="s">
        <v>418</v>
      </c>
      <c r="G3637" s="49" t="str">
        <f>IF(ISNUMBER(F3637),E3637*F3637,"")</f>
        <v/>
      </c>
      <c r="H3637" s="65"/>
      <c r="I3637" s="66"/>
      <c r="J3637" s="125">
        <v>0</v>
      </c>
    </row>
    <row r="3638" spans="1:10" ht="15.75" hidden="1" thickBot="1" x14ac:dyDescent="0.3">
      <c r="A3638" s="234" t="s">
        <v>949</v>
      </c>
      <c r="B3638" s="237" t="s">
        <v>1784</v>
      </c>
      <c r="C3638" s="160"/>
      <c r="D3638" s="23" t="s">
        <v>81</v>
      </c>
      <c r="E3638" s="24"/>
      <c r="F3638" s="44" t="s">
        <v>418</v>
      </c>
      <c r="G3638" s="25" t="str">
        <f>IF(ISNUMBER(F3638),E3638*F3638,"")</f>
        <v/>
      </c>
      <c r="H3638" s="26"/>
      <c r="I3638" s="27"/>
      <c r="J3638" s="125">
        <v>0</v>
      </c>
    </row>
    <row r="3639" spans="1:10" ht="15.75" hidden="1" thickBot="1" x14ac:dyDescent="0.3">
      <c r="A3639" s="249"/>
      <c r="B3639" s="238"/>
      <c r="C3639" s="151"/>
      <c r="D3639" s="29"/>
      <c r="E3639" s="30"/>
      <c r="F3639" s="49" t="s">
        <v>418</v>
      </c>
      <c r="G3639" s="49" t="str">
        <f>IF(ISNUMBER(F3639),E3639*F3639,"")</f>
        <v/>
      </c>
      <c r="H3639" s="65"/>
      <c r="I3639" s="66"/>
      <c r="J3639" s="125">
        <v>0</v>
      </c>
    </row>
    <row r="3640" spans="1:10" ht="15.75" hidden="1" thickBot="1" x14ac:dyDescent="0.3">
      <c r="A3640" s="249"/>
      <c r="B3640" s="238"/>
      <c r="C3640" s="155" t="s">
        <v>588</v>
      </c>
      <c r="D3640" s="155" t="s">
        <v>587</v>
      </c>
      <c r="E3640" s="34">
        <v>4.3</v>
      </c>
      <c r="F3640" s="49">
        <v>19.189999999999998</v>
      </c>
      <c r="G3640" s="49">
        <f>IF(ISNUMBER(F3640),E3640*F3640,"")</f>
        <v>82.516999999999982</v>
      </c>
      <c r="H3640" s="35">
        <f>SUM(G3640:G3640)</f>
        <v>82.516999999999982</v>
      </c>
      <c r="I3640" s="36"/>
      <c r="J3640" s="125">
        <v>0</v>
      </c>
    </row>
    <row r="3641" spans="1:10" ht="15.75" hidden="1" thickBot="1" x14ac:dyDescent="0.3">
      <c r="A3641" s="250"/>
      <c r="B3641" s="239"/>
      <c r="C3641" s="155"/>
      <c r="D3641" s="33"/>
      <c r="E3641" s="34"/>
      <c r="F3641" s="49" t="s">
        <v>418</v>
      </c>
      <c r="G3641" s="49" t="str">
        <f>IF(ISNUMBER(F3641),E3641*F3641,"")</f>
        <v/>
      </c>
      <c r="H3641" s="65"/>
      <c r="I3641" s="66"/>
      <c r="J3641" s="125">
        <v>0</v>
      </c>
    </row>
    <row r="3642" spans="1:10" ht="15.75" hidden="1" thickBot="1" x14ac:dyDescent="0.3">
      <c r="A3642" s="234" t="s">
        <v>950</v>
      </c>
      <c r="B3642" s="237" t="s">
        <v>1785</v>
      </c>
      <c r="C3642" s="160"/>
      <c r="D3642" s="23" t="s">
        <v>81</v>
      </c>
      <c r="E3642" s="24"/>
      <c r="F3642" s="44" t="s">
        <v>418</v>
      </c>
      <c r="G3642" s="25" t="str">
        <f>IF(ISNUMBER(F3642),E3642*F3642,"")</f>
        <v/>
      </c>
      <c r="H3642" s="26"/>
      <c r="I3642" s="27"/>
      <c r="J3642" s="125">
        <v>0</v>
      </c>
    </row>
    <row r="3643" spans="1:10" ht="15.75" hidden="1" thickBot="1" x14ac:dyDescent="0.3">
      <c r="A3643" s="249"/>
      <c r="B3643" s="238"/>
      <c r="C3643" s="151"/>
      <c r="D3643" s="29"/>
      <c r="E3643" s="30"/>
      <c r="F3643" s="49" t="s">
        <v>418</v>
      </c>
      <c r="G3643" s="49" t="str">
        <f>IF(ISNUMBER(F3643),E3643*F3643,"")</f>
        <v/>
      </c>
      <c r="H3643" s="65"/>
      <c r="I3643" s="66"/>
      <c r="J3643" s="125">
        <v>0</v>
      </c>
    </row>
    <row r="3644" spans="1:10" ht="64.5" hidden="1" thickBot="1" x14ac:dyDescent="0.3">
      <c r="A3644" s="249"/>
      <c r="B3644" s="238"/>
      <c r="C3644" s="155" t="s">
        <v>2379</v>
      </c>
      <c r="D3644" s="155" t="s">
        <v>814</v>
      </c>
      <c r="E3644" s="34">
        <v>2.4799999999999999E-2</v>
      </c>
      <c r="F3644" s="49">
        <v>138.3295</v>
      </c>
      <c r="G3644" s="49">
        <f>IF(ISNUMBER(F3644),E3644*F3644,"")</f>
        <v>3.4305715999999999</v>
      </c>
      <c r="H3644" s="35">
        <f>SUM(G3644:G3646)</f>
        <v>6.1808719499999993</v>
      </c>
      <c r="I3644" s="36"/>
      <c r="J3644" s="125">
        <v>0</v>
      </c>
    </row>
    <row r="3645" spans="1:10" ht="64.5" hidden="1" thickBot="1" x14ac:dyDescent="0.3">
      <c r="A3645" s="249"/>
      <c r="B3645" s="238"/>
      <c r="C3645" s="155" t="s">
        <v>2623</v>
      </c>
      <c r="D3645" s="155" t="s">
        <v>816</v>
      </c>
      <c r="E3645" s="34">
        <v>2.9899999999999999E-2</v>
      </c>
      <c r="F3645" s="49">
        <v>56.876499999999993</v>
      </c>
      <c r="G3645" s="49">
        <f>IF(ISNUMBER(F3645),E3645*F3645,"")</f>
        <v>1.7006073499999999</v>
      </c>
      <c r="H3645" s="65"/>
      <c r="I3645" s="66"/>
      <c r="J3645" s="125">
        <v>0</v>
      </c>
    </row>
    <row r="3646" spans="1:10" ht="15.75" hidden="1" thickBot="1" x14ac:dyDescent="0.3">
      <c r="A3646" s="249"/>
      <c r="B3646" s="238"/>
      <c r="C3646" s="155" t="s">
        <v>588</v>
      </c>
      <c r="D3646" s="155" t="s">
        <v>587</v>
      </c>
      <c r="E3646" s="34">
        <v>5.4699999999999999E-2</v>
      </c>
      <c r="F3646" s="49">
        <v>19.189999999999998</v>
      </c>
      <c r="G3646" s="49">
        <f>IF(ISNUMBER(F3646),E3646*F3646,"")</f>
        <v>1.0496929999999998</v>
      </c>
      <c r="H3646" s="65"/>
      <c r="I3646" s="66"/>
      <c r="J3646" s="125">
        <v>0</v>
      </c>
    </row>
    <row r="3647" spans="1:10" ht="15.75" hidden="1" thickBot="1" x14ac:dyDescent="0.3">
      <c r="A3647" s="250"/>
      <c r="B3647" s="239"/>
      <c r="C3647" s="67"/>
      <c r="D3647" s="33"/>
      <c r="E3647" s="34"/>
      <c r="F3647" s="49" t="s">
        <v>418</v>
      </c>
      <c r="G3647" s="49" t="str">
        <f>IF(ISNUMBER(F3647),E3647*F3647,"")</f>
        <v/>
      </c>
      <c r="H3647" s="65"/>
      <c r="I3647" s="66"/>
      <c r="J3647" s="125">
        <v>0</v>
      </c>
    </row>
    <row r="3648" spans="1:10" ht="15.75" hidden="1" thickBot="1" x14ac:dyDescent="0.3">
      <c r="A3648" s="234" t="s">
        <v>952</v>
      </c>
      <c r="B3648" s="237" t="s">
        <v>1786</v>
      </c>
      <c r="C3648" s="160"/>
      <c r="D3648" s="23" t="s">
        <v>70</v>
      </c>
      <c r="E3648" s="24"/>
      <c r="F3648" s="44" t="s">
        <v>418</v>
      </c>
      <c r="G3648" s="25" t="str">
        <f>IF(ISNUMBER(F3648),E3648*F3648,"")</f>
        <v/>
      </c>
      <c r="H3648" s="26"/>
      <c r="I3648" s="27"/>
      <c r="J3648" s="125">
        <v>0</v>
      </c>
    </row>
    <row r="3649" spans="1:10" ht="15.75" hidden="1" thickBot="1" x14ac:dyDescent="0.3">
      <c r="A3649" s="235"/>
      <c r="B3649" s="238"/>
      <c r="C3649" s="151"/>
      <c r="D3649" s="29"/>
      <c r="E3649" s="30"/>
      <c r="F3649" s="49" t="s">
        <v>418</v>
      </c>
      <c r="G3649" s="49" t="str">
        <f>IF(ISNUMBER(F3649),E3649*F3649,"")</f>
        <v/>
      </c>
      <c r="H3649" s="65"/>
      <c r="I3649" s="66"/>
      <c r="J3649" s="125">
        <v>0</v>
      </c>
    </row>
    <row r="3650" spans="1:10" ht="15.75" hidden="1" thickBot="1" x14ac:dyDescent="0.3">
      <c r="A3650" s="235"/>
      <c r="B3650" s="238"/>
      <c r="C3650" s="155" t="s">
        <v>953</v>
      </c>
      <c r="D3650" s="155" t="s">
        <v>870</v>
      </c>
      <c r="E3650" s="34">
        <v>1</v>
      </c>
      <c r="F3650" s="49">
        <v>13.565999999999999</v>
      </c>
      <c r="G3650" s="49">
        <f>IF(ISNUMBER(F3650),E3650*F3650,"")</f>
        <v>13.565999999999999</v>
      </c>
      <c r="H3650" s="35">
        <f>SUM(G3650:G3660)</f>
        <v>80.831801856529978</v>
      </c>
      <c r="I3650" s="36"/>
      <c r="J3650" s="125">
        <v>0</v>
      </c>
    </row>
    <row r="3651" spans="1:10" ht="15.75" hidden="1" thickBot="1" x14ac:dyDescent="0.3">
      <c r="A3651" s="235"/>
      <c r="B3651" s="238"/>
      <c r="C3651" s="155" t="s">
        <v>588</v>
      </c>
      <c r="D3651" s="155" t="s">
        <v>587</v>
      </c>
      <c r="E3651" s="34">
        <v>0.15640000000000001</v>
      </c>
      <c r="F3651" s="49">
        <v>19.189999999999998</v>
      </c>
      <c r="G3651" s="49">
        <f>IF(ISNUMBER(F3651),E3651*F3651,"")</f>
        <v>3.0013159999999997</v>
      </c>
      <c r="H3651" s="65"/>
      <c r="I3651" s="66"/>
      <c r="J3651" s="125">
        <v>0</v>
      </c>
    </row>
    <row r="3652" spans="1:10" ht="15.75" hidden="1" thickBot="1" x14ac:dyDescent="0.3">
      <c r="A3652" s="235"/>
      <c r="B3652" s="238"/>
      <c r="C3652" s="155" t="s">
        <v>954</v>
      </c>
      <c r="D3652" s="155" t="s">
        <v>587</v>
      </c>
      <c r="E3652" s="34">
        <v>3.9100000000000003E-2</v>
      </c>
      <c r="F3652" s="49">
        <v>20.576999999999998</v>
      </c>
      <c r="G3652" s="49">
        <f>IF(ISNUMBER(F3652),E3652*F3652,"")</f>
        <v>0.80456070000000002</v>
      </c>
      <c r="H3652" s="65"/>
      <c r="I3652" s="66"/>
      <c r="J3652" s="125">
        <v>0</v>
      </c>
    </row>
    <row r="3653" spans="1:10" ht="15.75" hidden="1" thickBot="1" x14ac:dyDescent="0.3">
      <c r="A3653" s="235"/>
      <c r="B3653" s="238"/>
      <c r="C3653" s="155" t="s">
        <v>588</v>
      </c>
      <c r="D3653" s="155" t="s">
        <v>587</v>
      </c>
      <c r="E3653" s="34">
        <f>1.6*0.25</f>
        <v>0.4</v>
      </c>
      <c r="F3653" s="49">
        <v>19.189999999999998</v>
      </c>
      <c r="G3653" s="49">
        <f>IF(ISNUMBER(F3653),E3653*F3653,"")</f>
        <v>7.6759999999999993</v>
      </c>
      <c r="H3653" s="65"/>
      <c r="I3653" s="66"/>
      <c r="J3653" s="125">
        <v>0</v>
      </c>
    </row>
    <row r="3654" spans="1:10" ht="26.25" hidden="1" thickBot="1" x14ac:dyDescent="0.3">
      <c r="A3654" s="235"/>
      <c r="B3654" s="238"/>
      <c r="C3654" s="155" t="s">
        <v>955</v>
      </c>
      <c r="D3654" s="155" t="s">
        <v>774</v>
      </c>
      <c r="E3654" s="34">
        <f>1*0.25</f>
        <v>0.25</v>
      </c>
      <c r="F3654" s="49">
        <v>0.34199999999999997</v>
      </c>
      <c r="G3654" s="49">
        <f>IF(ISNUMBER(F3654),E3654*F3654,"")</f>
        <v>8.5499999999999993E-2</v>
      </c>
      <c r="H3654" s="65"/>
      <c r="I3654" s="66"/>
      <c r="J3654" s="125">
        <v>0</v>
      </c>
    </row>
    <row r="3655" spans="1:10" ht="15.75" hidden="1" thickBot="1" x14ac:dyDescent="0.3">
      <c r="A3655" s="235"/>
      <c r="B3655" s="238"/>
      <c r="C3655" s="155" t="s">
        <v>956</v>
      </c>
      <c r="D3655" s="155" t="s">
        <v>85</v>
      </c>
      <c r="E3655" s="34">
        <f>0.9*0.25</f>
        <v>0.22500000000000001</v>
      </c>
      <c r="F3655" s="49">
        <v>244.28299999999999</v>
      </c>
      <c r="G3655" s="49">
        <f>IF(ISNUMBER(F3655),E3655*F3655,"")</f>
        <v>54.963674999999995</v>
      </c>
      <c r="H3655" s="65"/>
      <c r="I3655" s="66"/>
      <c r="J3655" s="125">
        <v>0</v>
      </c>
    </row>
    <row r="3656" spans="1:10" ht="15.75" hidden="1" thickBot="1" x14ac:dyDescent="0.3">
      <c r="A3656" s="235"/>
      <c r="B3656" s="238"/>
      <c r="C3656" s="155" t="s">
        <v>957</v>
      </c>
      <c r="D3656" s="155" t="s">
        <v>774</v>
      </c>
      <c r="E3656" s="34">
        <f>1*0.25</f>
        <v>0.25</v>
      </c>
      <c r="F3656" s="49">
        <v>2.698</v>
      </c>
      <c r="G3656" s="49">
        <f>IF(ISNUMBER(F3656),E3656*F3656,"")</f>
        <v>0.67449999999999999</v>
      </c>
      <c r="H3656" s="65"/>
      <c r="I3656" s="66"/>
      <c r="J3656" s="125">
        <v>0</v>
      </c>
    </row>
    <row r="3657" spans="1:10" ht="15.75" hidden="1" thickBot="1" x14ac:dyDescent="0.3">
      <c r="A3657" s="235"/>
      <c r="B3657" s="238"/>
      <c r="C3657" s="155" t="s">
        <v>958</v>
      </c>
      <c r="D3657" s="155" t="s">
        <v>774</v>
      </c>
      <c r="E3657" s="34">
        <f>0.1*0.25</f>
        <v>2.5000000000000001E-2</v>
      </c>
      <c r="F3657" s="49">
        <v>1.9474999999999998</v>
      </c>
      <c r="G3657" s="49">
        <f>IF(ISNUMBER(F3657),E3657*F3657,"")</f>
        <v>4.8687499999999995E-2</v>
      </c>
      <c r="H3657" s="65"/>
      <c r="I3657" s="66"/>
      <c r="J3657" s="125">
        <v>0</v>
      </c>
    </row>
    <row r="3658" spans="1:10" ht="51.75" hidden="1" thickBot="1" x14ac:dyDescent="0.3">
      <c r="A3658" s="235"/>
      <c r="B3658" s="238"/>
      <c r="C3658" s="155" t="s">
        <v>10709</v>
      </c>
      <c r="D3658" s="155" t="s">
        <v>1155</v>
      </c>
      <c r="E3658" s="34">
        <f>ROUND(1*E3654/1000,4)</f>
        <v>2.9999999999999997E-4</v>
      </c>
      <c r="F3658" s="31">
        <v>5.7769100999999994</v>
      </c>
      <c r="G3658" s="31">
        <f>IF(ISNUMBER(F3658),E3658*F3658,"")</f>
        <v>1.7330730299999996E-3</v>
      </c>
      <c r="H3658" s="32"/>
      <c r="I3658" s="28"/>
      <c r="J3658" s="125">
        <v>0</v>
      </c>
    </row>
    <row r="3659" spans="1:10" ht="39" hidden="1" thickBot="1" x14ac:dyDescent="0.3">
      <c r="A3659" s="235"/>
      <c r="B3659" s="238"/>
      <c r="C3659" s="155" t="s">
        <v>10572</v>
      </c>
      <c r="D3659" s="155" t="s">
        <v>1293</v>
      </c>
      <c r="E3659" s="34">
        <f>20*E3654*1/1000</f>
        <v>5.0000000000000001E-3</v>
      </c>
      <c r="F3659" s="49">
        <v>1.9659166999999997</v>
      </c>
      <c r="G3659" s="49">
        <f>IF(ISNUMBER(F3659),E3659*F3659,"")</f>
        <v>9.8295834999999991E-3</v>
      </c>
      <c r="H3659" s="65"/>
      <c r="I3659" s="66"/>
      <c r="J3659" s="125">
        <v>0</v>
      </c>
    </row>
    <row r="3660" spans="1:10" ht="15.75" hidden="1" thickBot="1" x14ac:dyDescent="0.3">
      <c r="A3660" s="235"/>
      <c r="B3660" s="238"/>
      <c r="C3660" s="155"/>
      <c r="D3660" s="33"/>
      <c r="E3660" s="34"/>
      <c r="F3660" s="49" t="s">
        <v>418</v>
      </c>
      <c r="G3660" s="49" t="str">
        <f>IF(ISNUMBER(F3660),E3660*F3660,"")</f>
        <v/>
      </c>
      <c r="H3660" s="65"/>
      <c r="I3660" s="66"/>
      <c r="J3660" s="125">
        <v>0</v>
      </c>
    </row>
    <row r="3661" spans="1:10" ht="26.25" hidden="1" thickBot="1" x14ac:dyDescent="0.3">
      <c r="A3661" s="235"/>
      <c r="B3661" s="238"/>
      <c r="C3661" s="43" t="s">
        <v>959</v>
      </c>
      <c r="D3661" s="33"/>
      <c r="E3661" s="34"/>
      <c r="F3661" s="49" t="s">
        <v>418</v>
      </c>
      <c r="G3661" s="49" t="str">
        <f>IF(ISNUMBER(F3661),E3661*F3661,"")</f>
        <v/>
      </c>
      <c r="H3661" s="65"/>
      <c r="I3661" s="66"/>
      <c r="J3661" s="125">
        <v>0</v>
      </c>
    </row>
    <row r="3662" spans="1:10" ht="15.75" hidden="1" thickBot="1" x14ac:dyDescent="0.3">
      <c r="A3662" s="236"/>
      <c r="B3662" s="239"/>
      <c r="C3662" s="155"/>
      <c r="D3662" s="33"/>
      <c r="E3662" s="34"/>
      <c r="F3662" s="49" t="s">
        <v>418</v>
      </c>
      <c r="G3662" s="49" t="str">
        <f>IF(ISNUMBER(F3662),E3662*F3662,"")</f>
        <v/>
      </c>
      <c r="H3662" s="65"/>
      <c r="I3662" s="66"/>
      <c r="J3662" s="125">
        <v>0</v>
      </c>
    </row>
    <row r="3663" spans="1:10" ht="15.75" hidden="1" thickBot="1" x14ac:dyDescent="0.3">
      <c r="A3663" s="234" t="s">
        <v>960</v>
      </c>
      <c r="B3663" s="237" t="s">
        <v>1787</v>
      </c>
      <c r="C3663" s="160"/>
      <c r="D3663" s="23" t="s">
        <v>69</v>
      </c>
      <c r="E3663" s="24"/>
      <c r="F3663" s="44" t="s">
        <v>418</v>
      </c>
      <c r="G3663" s="25" t="str">
        <f>IF(ISNUMBER(F3663),E3663*F3663,"")</f>
        <v/>
      </c>
      <c r="H3663" s="26"/>
      <c r="I3663" s="27"/>
      <c r="J3663" s="125">
        <v>0</v>
      </c>
    </row>
    <row r="3664" spans="1:10" ht="15.75" hidden="1" thickBot="1" x14ac:dyDescent="0.3">
      <c r="A3664" s="249"/>
      <c r="B3664" s="238"/>
      <c r="C3664" s="151"/>
      <c r="D3664" s="29"/>
      <c r="E3664" s="30"/>
      <c r="F3664" s="49" t="s">
        <v>418</v>
      </c>
      <c r="G3664" s="49" t="str">
        <f>IF(ISNUMBER(F3664),E3664*F3664,"")</f>
        <v/>
      </c>
      <c r="H3664" s="65"/>
      <c r="I3664" s="66"/>
      <c r="J3664" s="125">
        <v>0</v>
      </c>
    </row>
    <row r="3665" spans="1:10" ht="15.75" hidden="1" thickBot="1" x14ac:dyDescent="0.3">
      <c r="A3665" s="249"/>
      <c r="B3665" s="238"/>
      <c r="C3665" s="155" t="s">
        <v>961</v>
      </c>
      <c r="D3665" s="155" t="s">
        <v>76</v>
      </c>
      <c r="E3665" s="34">
        <f>ROUND(0.427/2*(0.25+0.13+0.25),4)</f>
        <v>0.13450000000000001</v>
      </c>
      <c r="F3665" s="49">
        <v>21.337</v>
      </c>
      <c r="G3665" s="49">
        <f>IF(ISNUMBER(F3665),E3665*F3665,"")</f>
        <v>2.8698265000000003</v>
      </c>
      <c r="H3665" s="35">
        <f>SUM(G3665:G3667)</f>
        <v>5.8864909374999996</v>
      </c>
      <c r="I3665" s="36"/>
      <c r="J3665" s="125">
        <v>0</v>
      </c>
    </row>
    <row r="3666" spans="1:10" ht="15.75" hidden="1" thickBot="1" x14ac:dyDescent="0.3">
      <c r="A3666" s="249"/>
      <c r="B3666" s="238"/>
      <c r="C3666" s="155" t="s">
        <v>962</v>
      </c>
      <c r="D3666" s="155" t="s">
        <v>587</v>
      </c>
      <c r="E3666" s="34">
        <f>0.275*(0.25+0.13+0.25)/2</f>
        <v>8.6625000000000008E-2</v>
      </c>
      <c r="F3666" s="49">
        <v>26.799499999999998</v>
      </c>
      <c r="G3666" s="49">
        <f>IF(ISNUMBER(F3666),E3666*F3666,"")</f>
        <v>2.3215066874999999</v>
      </c>
      <c r="H3666" s="65"/>
      <c r="I3666" s="66"/>
      <c r="J3666" s="125">
        <v>0</v>
      </c>
    </row>
    <row r="3667" spans="1:10" ht="15.75" hidden="1" thickBot="1" x14ac:dyDescent="0.3">
      <c r="A3667" s="249"/>
      <c r="B3667" s="238"/>
      <c r="C3667" s="155" t="s">
        <v>588</v>
      </c>
      <c r="D3667" s="155" t="s">
        <v>587</v>
      </c>
      <c r="E3667" s="34">
        <f>0.115*(0.25+0.13+0.25)/2</f>
        <v>3.6225E-2</v>
      </c>
      <c r="F3667" s="49">
        <v>19.189999999999998</v>
      </c>
      <c r="G3667" s="49">
        <f>IF(ISNUMBER(F3667),E3667*F3667,"")</f>
        <v>0.69515774999999991</v>
      </c>
      <c r="H3667" s="65"/>
      <c r="I3667" s="66"/>
      <c r="J3667" s="125">
        <v>0</v>
      </c>
    </row>
    <row r="3668" spans="1:10" ht="15.75" hidden="1" thickBot="1" x14ac:dyDescent="0.3">
      <c r="A3668" s="249"/>
      <c r="B3668" s="238"/>
      <c r="C3668" s="155"/>
      <c r="D3668" s="33"/>
      <c r="E3668" s="34"/>
      <c r="F3668" s="49" t="s">
        <v>418</v>
      </c>
      <c r="G3668" s="49" t="str">
        <f>IF(ISNUMBER(F3668),E3668*F3668,"")</f>
        <v/>
      </c>
      <c r="H3668" s="65"/>
      <c r="I3668" s="66"/>
      <c r="J3668" s="125">
        <v>0</v>
      </c>
    </row>
    <row r="3669" spans="1:10" ht="26.25" hidden="1" thickBot="1" x14ac:dyDescent="0.3">
      <c r="A3669" s="249"/>
      <c r="B3669" s="238"/>
      <c r="C3669" s="43" t="s">
        <v>963</v>
      </c>
      <c r="D3669" s="33"/>
      <c r="E3669" s="34"/>
      <c r="F3669" s="49" t="s">
        <v>418</v>
      </c>
      <c r="G3669" s="49" t="str">
        <f>IF(ISNUMBER(F3669),E3669*F3669,"")</f>
        <v/>
      </c>
      <c r="H3669" s="65"/>
      <c r="I3669" s="66"/>
      <c r="J3669" s="125">
        <v>0</v>
      </c>
    </row>
    <row r="3670" spans="1:10" ht="15.75" hidden="1" thickBot="1" x14ac:dyDescent="0.3">
      <c r="A3670" s="250"/>
      <c r="B3670" s="239"/>
      <c r="C3670" s="155"/>
      <c r="D3670" s="33"/>
      <c r="E3670" s="34"/>
      <c r="F3670" s="49" t="s">
        <v>418</v>
      </c>
      <c r="G3670" s="49" t="str">
        <f>IF(ISNUMBER(F3670),E3670*F3670,"")</f>
        <v/>
      </c>
      <c r="H3670" s="65"/>
      <c r="I3670" s="66"/>
      <c r="J3670" s="125">
        <v>0</v>
      </c>
    </row>
    <row r="3671" spans="1:10" ht="15.75" hidden="1" thickBot="1" x14ac:dyDescent="0.3">
      <c r="A3671" s="234" t="s">
        <v>964</v>
      </c>
      <c r="B3671" s="237" t="s">
        <v>1788</v>
      </c>
      <c r="C3671" s="160"/>
      <c r="D3671" s="23" t="s">
        <v>69</v>
      </c>
      <c r="E3671" s="24"/>
      <c r="F3671" s="44" t="s">
        <v>418</v>
      </c>
      <c r="G3671" s="25" t="str">
        <f>IF(ISNUMBER(F3671),E3671*F3671,"")</f>
        <v/>
      </c>
      <c r="H3671" s="26"/>
      <c r="I3671" s="27"/>
      <c r="J3671" s="125">
        <v>0</v>
      </c>
    </row>
    <row r="3672" spans="1:10" ht="15.75" hidden="1" thickBot="1" x14ac:dyDescent="0.3">
      <c r="A3672" s="235"/>
      <c r="B3672" s="238"/>
      <c r="C3672" s="151"/>
      <c r="D3672" s="29"/>
      <c r="E3672" s="30"/>
      <c r="F3672" s="49" t="s">
        <v>418</v>
      </c>
      <c r="G3672" s="49" t="str">
        <f>IF(ISNUMBER(F3672),E3672*F3672,"")</f>
        <v/>
      </c>
      <c r="H3672" s="65"/>
      <c r="I3672" s="66"/>
      <c r="J3672" s="125">
        <v>0</v>
      </c>
    </row>
    <row r="3673" spans="1:10" ht="26.25" hidden="1" thickBot="1" x14ac:dyDescent="0.3">
      <c r="A3673" s="235"/>
      <c r="B3673" s="238"/>
      <c r="C3673" s="155" t="s">
        <v>23674</v>
      </c>
      <c r="D3673" s="155" t="s">
        <v>85</v>
      </c>
      <c r="E3673" s="34">
        <v>7.0000000000000001E-3</v>
      </c>
      <c r="F3673" s="49">
        <v>66.5</v>
      </c>
      <c r="G3673" s="49">
        <f>IF(ISNUMBER(F3673),E3673*F3673,"")</f>
        <v>0.46550000000000002</v>
      </c>
      <c r="H3673" s="35">
        <f>SUM(G3673:G3681)</f>
        <v>65.877539138208988</v>
      </c>
      <c r="I3673" s="36"/>
      <c r="J3673" s="125">
        <v>0</v>
      </c>
    </row>
    <row r="3674" spans="1:10" ht="26.25" hidden="1" thickBot="1" x14ac:dyDescent="0.3">
      <c r="A3674" s="235"/>
      <c r="B3674" s="238"/>
      <c r="C3674" s="155" t="s">
        <v>11618</v>
      </c>
      <c r="D3674" s="155" t="s">
        <v>385</v>
      </c>
      <c r="E3674" s="34">
        <v>1.0049999999999999</v>
      </c>
      <c r="F3674" s="49">
        <v>45.22</v>
      </c>
      <c r="G3674" s="49">
        <f>IF(ISNUMBER(F3674),E3674*F3674,"")</f>
        <v>45.446099999999994</v>
      </c>
      <c r="H3674" s="65"/>
      <c r="I3674" s="66"/>
      <c r="J3674" s="125">
        <v>0</v>
      </c>
    </row>
    <row r="3675" spans="1:10" ht="15.75" hidden="1" thickBot="1" x14ac:dyDescent="0.3">
      <c r="A3675" s="235"/>
      <c r="B3675" s="238"/>
      <c r="C3675" s="155" t="s">
        <v>595</v>
      </c>
      <c r="D3675" s="155" t="s">
        <v>587</v>
      </c>
      <c r="E3675" s="34">
        <v>0.39400000000000002</v>
      </c>
      <c r="F3675" s="49">
        <v>25.65</v>
      </c>
      <c r="G3675" s="49">
        <f>IF(ISNUMBER(F3675),E3675*F3675,"")</f>
        <v>10.1061</v>
      </c>
      <c r="H3675" s="65"/>
      <c r="I3675" s="66"/>
      <c r="J3675" s="125">
        <v>0</v>
      </c>
    </row>
    <row r="3676" spans="1:10" ht="15.75" hidden="1" thickBot="1" x14ac:dyDescent="0.3">
      <c r="A3676" s="235"/>
      <c r="B3676" s="238"/>
      <c r="C3676" s="155" t="s">
        <v>588</v>
      </c>
      <c r="D3676" s="155" t="s">
        <v>587</v>
      </c>
      <c r="E3676" s="34">
        <v>0.39400000000000002</v>
      </c>
      <c r="F3676" s="49">
        <v>19.189999999999998</v>
      </c>
      <c r="G3676" s="49">
        <f>IF(ISNUMBER(F3676),E3676*F3676,"")</f>
        <v>7.560859999999999</v>
      </c>
      <c r="H3676" s="65"/>
      <c r="I3676" s="66"/>
      <c r="J3676" s="125">
        <v>0</v>
      </c>
    </row>
    <row r="3677" spans="1:10" ht="26.25" hidden="1" thickBot="1" x14ac:dyDescent="0.3">
      <c r="A3677" s="235"/>
      <c r="B3677" s="238"/>
      <c r="C3677" s="155" t="s">
        <v>80</v>
      </c>
      <c r="D3677" s="155" t="s">
        <v>85</v>
      </c>
      <c r="E3677" s="34">
        <v>2E-3</v>
      </c>
      <c r="F3677" s="49">
        <v>913.4161551295</v>
      </c>
      <c r="G3677" s="49">
        <f>IF(ISNUMBER(F3677),E3677*F3677,"")</f>
        <v>1.8268323102590001</v>
      </c>
      <c r="H3677" s="65"/>
      <c r="I3677" s="66"/>
      <c r="J3677" s="125">
        <v>0</v>
      </c>
    </row>
    <row r="3678" spans="1:10" ht="51.75" hidden="1" thickBot="1" x14ac:dyDescent="0.3">
      <c r="A3678" s="235"/>
      <c r="B3678" s="238"/>
      <c r="C3678" s="155" t="s">
        <v>10661</v>
      </c>
      <c r="D3678" s="155" t="s">
        <v>85</v>
      </c>
      <c r="E3678" s="34">
        <f>1*E3673</f>
        <v>7.0000000000000001E-3</v>
      </c>
      <c r="F3678" s="31">
        <v>8.6578848500000003</v>
      </c>
      <c r="G3678" s="31">
        <f>IF(ISNUMBER(F3678),E3678*F3678,"")</f>
        <v>6.0605193950000004E-2</v>
      </c>
      <c r="H3678" s="32"/>
      <c r="I3678" s="28"/>
      <c r="J3678" s="125">
        <v>0</v>
      </c>
    </row>
    <row r="3679" spans="1:10" ht="39" hidden="1" thickBot="1" x14ac:dyDescent="0.3">
      <c r="A3679" s="235"/>
      <c r="B3679" s="238"/>
      <c r="C3679" s="155" t="s">
        <v>10602</v>
      </c>
      <c r="D3679" s="155" t="s">
        <v>1292</v>
      </c>
      <c r="E3679" s="34">
        <f>0.007*20</f>
        <v>0.14000000000000001</v>
      </c>
      <c r="F3679" s="49">
        <v>2.9395830999999997</v>
      </c>
      <c r="G3679" s="49">
        <f>IF(ISNUMBER(F3679),E3679*F3679,"")</f>
        <v>0.41154163399999999</v>
      </c>
      <c r="H3679" s="65"/>
      <c r="I3679" s="66"/>
      <c r="J3679" s="125">
        <v>0</v>
      </c>
    </row>
    <row r="3680" spans="1:10" ht="15.75" hidden="1" thickBot="1" x14ac:dyDescent="0.3">
      <c r="A3680" s="235"/>
      <c r="B3680" s="238"/>
      <c r="C3680" s="155"/>
      <c r="D3680" s="33"/>
      <c r="E3680" s="34"/>
      <c r="F3680" s="49" t="s">
        <v>418</v>
      </c>
      <c r="G3680" s="49" t="str">
        <f>IF(ISNUMBER(F3680),E3680*F3680,"")</f>
        <v/>
      </c>
      <c r="H3680" s="65"/>
      <c r="I3680" s="66"/>
      <c r="J3680" s="125">
        <v>0</v>
      </c>
    </row>
    <row r="3681" spans="1:10" ht="15.75" hidden="1" thickBot="1" x14ac:dyDescent="0.3">
      <c r="A3681" s="235"/>
      <c r="B3681" s="238"/>
      <c r="C3681" s="43" t="s">
        <v>965</v>
      </c>
      <c r="D3681" s="33"/>
      <c r="E3681" s="34"/>
      <c r="F3681" s="49" t="s">
        <v>418</v>
      </c>
      <c r="G3681" s="49" t="str">
        <f>IF(ISNUMBER(F3681),E3681*F3681,"")</f>
        <v/>
      </c>
      <c r="H3681" s="65"/>
      <c r="I3681" s="66"/>
      <c r="J3681" s="125">
        <v>0</v>
      </c>
    </row>
    <row r="3682" spans="1:10" ht="15.75" hidden="1" thickBot="1" x14ac:dyDescent="0.3">
      <c r="A3682" s="236"/>
      <c r="B3682" s="239"/>
      <c r="C3682" s="155"/>
      <c r="D3682" s="33"/>
      <c r="E3682" s="34"/>
      <c r="F3682" s="49" t="s">
        <v>418</v>
      </c>
      <c r="G3682" s="49" t="str">
        <f>IF(ISNUMBER(F3682),E3682*F3682,"")</f>
        <v/>
      </c>
      <c r="H3682" s="65"/>
      <c r="I3682" s="66"/>
      <c r="J3682" s="125">
        <v>0</v>
      </c>
    </row>
    <row r="3683" spans="1:10" ht="15.75" hidden="1" thickBot="1" x14ac:dyDescent="0.3">
      <c r="A3683" s="234" t="s">
        <v>966</v>
      </c>
      <c r="B3683" s="237" t="s">
        <v>1789</v>
      </c>
      <c r="C3683" s="160"/>
      <c r="D3683" s="23" t="s">
        <v>69</v>
      </c>
      <c r="E3683" s="24"/>
      <c r="F3683" s="44" t="s">
        <v>418</v>
      </c>
      <c r="G3683" s="25" t="str">
        <f>IF(ISNUMBER(F3683),E3683*F3683,"")</f>
        <v/>
      </c>
      <c r="H3683" s="26"/>
      <c r="I3683" s="27"/>
      <c r="J3683" s="125">
        <v>0</v>
      </c>
    </row>
    <row r="3684" spans="1:10" ht="15.75" hidden="1" thickBot="1" x14ac:dyDescent="0.3">
      <c r="A3684" s="235"/>
      <c r="B3684" s="238"/>
      <c r="C3684" s="151"/>
      <c r="D3684" s="29"/>
      <c r="E3684" s="30"/>
      <c r="F3684" s="49" t="s">
        <v>418</v>
      </c>
      <c r="G3684" s="49" t="str">
        <f>IF(ISNUMBER(F3684),E3684*F3684,"")</f>
        <v/>
      </c>
      <c r="H3684" s="65"/>
      <c r="I3684" s="66"/>
      <c r="J3684" s="125">
        <v>0</v>
      </c>
    </row>
    <row r="3685" spans="1:10" ht="26.25" hidden="1" thickBot="1" x14ac:dyDescent="0.3">
      <c r="A3685" s="235"/>
      <c r="B3685" s="238"/>
      <c r="C3685" s="155" t="s">
        <v>26790</v>
      </c>
      <c r="D3685" s="155" t="s">
        <v>85</v>
      </c>
      <c r="E3685" s="34">
        <v>0.23</v>
      </c>
      <c r="F3685" s="49">
        <v>225.625</v>
      </c>
      <c r="G3685" s="49">
        <f>IF(ISNUMBER(F3685),E3685*F3685,"")</f>
        <v>51.893750000000004</v>
      </c>
      <c r="H3685" s="35">
        <f>SUM(G3685:G3695)</f>
        <v>147.85172077549998</v>
      </c>
      <c r="I3685" s="36"/>
      <c r="J3685" s="125">
        <v>0</v>
      </c>
    </row>
    <row r="3686" spans="1:10" ht="39" hidden="1" thickBot="1" x14ac:dyDescent="0.3">
      <c r="A3686" s="235"/>
      <c r="B3686" s="238"/>
      <c r="C3686" s="155" t="s">
        <v>968</v>
      </c>
      <c r="D3686" s="155" t="s">
        <v>385</v>
      </c>
      <c r="E3686" s="34">
        <v>1.01</v>
      </c>
      <c r="F3686" s="49">
        <v>11.257499999999999</v>
      </c>
      <c r="G3686" s="49">
        <f>IF(ISNUMBER(F3686),E3686*F3686,"")</f>
        <v>11.370074999999998</v>
      </c>
      <c r="H3686" s="65"/>
      <c r="I3686" s="66"/>
      <c r="J3686" s="125">
        <v>0</v>
      </c>
    </row>
    <row r="3687" spans="1:10" ht="26.25" hidden="1" thickBot="1" x14ac:dyDescent="0.3">
      <c r="A3687" s="235"/>
      <c r="B3687" s="238"/>
      <c r="C3687" s="155" t="s">
        <v>825</v>
      </c>
      <c r="D3687" s="155" t="s">
        <v>587</v>
      </c>
      <c r="E3687" s="34">
        <v>0.5</v>
      </c>
      <c r="F3687" s="49">
        <v>24.9375</v>
      </c>
      <c r="G3687" s="49">
        <f>IF(ISNUMBER(F3687),E3687*F3687,"")</f>
        <v>12.46875</v>
      </c>
      <c r="H3687" s="65"/>
      <c r="I3687" s="66"/>
      <c r="J3687" s="125">
        <v>0</v>
      </c>
    </row>
    <row r="3688" spans="1:10" ht="15.75" hidden="1" thickBot="1" x14ac:dyDescent="0.3">
      <c r="A3688" s="235"/>
      <c r="B3688" s="238"/>
      <c r="C3688" s="155" t="s">
        <v>588</v>
      </c>
      <c r="D3688" s="155" t="s">
        <v>587</v>
      </c>
      <c r="E3688" s="34">
        <v>0.7</v>
      </c>
      <c r="F3688" s="49">
        <v>19.189999999999998</v>
      </c>
      <c r="G3688" s="49">
        <f>IF(ISNUMBER(F3688),E3688*F3688,"")</f>
        <v>13.432999999999998</v>
      </c>
      <c r="H3688" s="65"/>
      <c r="I3688" s="66"/>
      <c r="J3688" s="125">
        <v>0</v>
      </c>
    </row>
    <row r="3689" spans="1:10" ht="26.25" hidden="1" thickBot="1" x14ac:dyDescent="0.3">
      <c r="A3689" s="235"/>
      <c r="B3689" s="238"/>
      <c r="C3689" s="155" t="s">
        <v>25598</v>
      </c>
      <c r="D3689" s="155" t="s">
        <v>870</v>
      </c>
      <c r="E3689" s="34">
        <v>2.2000000000000002</v>
      </c>
      <c r="F3689" s="49">
        <v>15.389999999999999</v>
      </c>
      <c r="G3689" s="49">
        <f>IF(ISNUMBER(F3689),E3689*F3689,"")</f>
        <v>33.857999999999997</v>
      </c>
      <c r="H3689" s="65"/>
      <c r="I3689" s="66"/>
      <c r="J3689" s="125">
        <v>0</v>
      </c>
    </row>
    <row r="3690" spans="1:10" ht="26.25" hidden="1" thickBot="1" x14ac:dyDescent="0.3">
      <c r="A3690" s="235"/>
      <c r="B3690" s="238"/>
      <c r="C3690" s="155" t="s">
        <v>824</v>
      </c>
      <c r="D3690" s="155" t="s">
        <v>587</v>
      </c>
      <c r="E3690" s="34">
        <v>0.5</v>
      </c>
      <c r="F3690" s="49">
        <v>18.6295</v>
      </c>
      <c r="G3690" s="49">
        <f>IF(ISNUMBER(F3690),E3690*F3690,"")</f>
        <v>9.3147500000000001</v>
      </c>
      <c r="H3690" s="65"/>
      <c r="I3690" s="66"/>
      <c r="J3690" s="125">
        <v>0</v>
      </c>
    </row>
    <row r="3691" spans="1:10" ht="51.75" hidden="1" thickBot="1" x14ac:dyDescent="0.3">
      <c r="A3691" s="235"/>
      <c r="B3691" s="238"/>
      <c r="C3691" s="155" t="s">
        <v>10661</v>
      </c>
      <c r="D3691" s="155" t="s">
        <v>85</v>
      </c>
      <c r="E3691" s="34">
        <f>1*E3685</f>
        <v>0.23</v>
      </c>
      <c r="F3691" s="31">
        <v>8.6578848500000003</v>
      </c>
      <c r="G3691" s="31">
        <f>IF(ISNUMBER(F3691),E3691*F3691,"")</f>
        <v>1.9913135155000001</v>
      </c>
      <c r="H3691" s="32"/>
      <c r="I3691" s="28"/>
      <c r="J3691" s="125">
        <v>0</v>
      </c>
    </row>
    <row r="3692" spans="1:10" ht="39" hidden="1" thickBot="1" x14ac:dyDescent="0.3">
      <c r="A3692" s="235"/>
      <c r="B3692" s="238"/>
      <c r="C3692" s="155" t="s">
        <v>10602</v>
      </c>
      <c r="D3692" s="155" t="s">
        <v>1292</v>
      </c>
      <c r="E3692" s="34">
        <f>E3685*20</f>
        <v>4.6000000000000005</v>
      </c>
      <c r="F3692" s="49">
        <v>2.9395830999999997</v>
      </c>
      <c r="G3692" s="49">
        <f>IF(ISNUMBER(F3692),E3692*F3692,"")</f>
        <v>13.522082259999999</v>
      </c>
      <c r="H3692" s="65"/>
      <c r="I3692" s="66"/>
      <c r="J3692" s="125">
        <v>0</v>
      </c>
    </row>
    <row r="3693" spans="1:10" ht="15.75" hidden="1" thickBot="1" x14ac:dyDescent="0.3">
      <c r="A3693" s="235"/>
      <c r="B3693" s="238"/>
      <c r="C3693" s="155"/>
      <c r="D3693" s="33"/>
      <c r="E3693" s="34"/>
      <c r="F3693" s="49" t="s">
        <v>418</v>
      </c>
      <c r="G3693" s="49" t="str">
        <f>IF(ISNUMBER(F3693),E3693*F3693,"")</f>
        <v/>
      </c>
      <c r="H3693" s="65"/>
      <c r="I3693" s="66"/>
      <c r="J3693" s="125">
        <v>0</v>
      </c>
    </row>
    <row r="3694" spans="1:10" ht="15.75" hidden="1" thickBot="1" x14ac:dyDescent="0.3">
      <c r="A3694" s="235"/>
      <c r="B3694" s="238"/>
      <c r="C3694" s="43" t="s">
        <v>970</v>
      </c>
      <c r="D3694" s="33"/>
      <c r="E3694" s="34"/>
      <c r="F3694" s="49" t="s">
        <v>418</v>
      </c>
      <c r="G3694" s="49" t="str">
        <f>IF(ISNUMBER(F3694),E3694*F3694,"")</f>
        <v/>
      </c>
      <c r="H3694" s="65"/>
      <c r="I3694" s="66"/>
      <c r="J3694" s="125">
        <v>0</v>
      </c>
    </row>
    <row r="3695" spans="1:10" ht="15.75" hidden="1" thickBot="1" x14ac:dyDescent="0.3">
      <c r="A3695" s="235"/>
      <c r="B3695" s="238"/>
      <c r="C3695" s="155"/>
      <c r="D3695" s="33"/>
      <c r="E3695" s="34"/>
      <c r="F3695" s="49" t="s">
        <v>418</v>
      </c>
      <c r="G3695" s="49" t="str">
        <f>IF(ISNUMBER(F3695),E3695*F3695,"")</f>
        <v/>
      </c>
      <c r="H3695" s="65"/>
      <c r="I3695" s="66"/>
      <c r="J3695" s="125">
        <v>0</v>
      </c>
    </row>
    <row r="3696" spans="1:10" ht="15.75" hidden="1" thickBot="1" x14ac:dyDescent="0.3">
      <c r="A3696" s="234" t="s">
        <v>971</v>
      </c>
      <c r="B3696" s="237" t="s">
        <v>1790</v>
      </c>
      <c r="C3696" s="160"/>
      <c r="D3696" s="23" t="s">
        <v>16</v>
      </c>
      <c r="E3696" s="24"/>
      <c r="F3696" s="44" t="s">
        <v>418</v>
      </c>
      <c r="G3696" s="25" t="str">
        <f>IF(ISNUMBER(F3696),E3696*F3696,"")</f>
        <v/>
      </c>
      <c r="H3696" s="26"/>
      <c r="I3696" s="27"/>
      <c r="J3696" s="125">
        <v>0</v>
      </c>
    </row>
    <row r="3697" spans="1:10" ht="15.75" hidden="1" thickBot="1" x14ac:dyDescent="0.3">
      <c r="A3697" s="235"/>
      <c r="B3697" s="238"/>
      <c r="C3697" s="151"/>
      <c r="D3697" s="29"/>
      <c r="E3697" s="30"/>
      <c r="F3697" s="49" t="s">
        <v>418</v>
      </c>
      <c r="G3697" s="49" t="str">
        <f>IF(ISNUMBER(F3697),E3697*F3697,"")</f>
        <v/>
      </c>
      <c r="H3697" s="65"/>
      <c r="I3697" s="66"/>
      <c r="J3697" s="125">
        <v>0</v>
      </c>
    </row>
    <row r="3698" spans="1:10" ht="15.75" hidden="1" thickBot="1" x14ac:dyDescent="0.3">
      <c r="A3698" s="235"/>
      <c r="B3698" s="238"/>
      <c r="C3698" s="155" t="s">
        <v>595</v>
      </c>
      <c r="D3698" s="155" t="s">
        <v>587</v>
      </c>
      <c r="E3698" s="34">
        <f>0.1+0.1</f>
        <v>0.2</v>
      </c>
      <c r="F3698" s="49">
        <v>25.65</v>
      </c>
      <c r="G3698" s="49">
        <f>IF(ISNUMBER(F3698),E3698*F3698,"")</f>
        <v>5.13</v>
      </c>
      <c r="H3698" s="35">
        <f>SUM(G3698:G3703)</f>
        <v>9.5954272765510318</v>
      </c>
      <c r="I3698" s="36"/>
      <c r="J3698" s="125">
        <v>0</v>
      </c>
    </row>
    <row r="3699" spans="1:10" ht="15.75" hidden="1" thickBot="1" x14ac:dyDescent="0.3">
      <c r="A3699" s="235"/>
      <c r="B3699" s="238"/>
      <c r="C3699" s="155" t="s">
        <v>588</v>
      </c>
      <c r="D3699" s="155" t="s">
        <v>587</v>
      </c>
      <c r="E3699" s="34">
        <f>0.1+0.1</f>
        <v>0.2</v>
      </c>
      <c r="F3699" s="49">
        <v>19.189999999999998</v>
      </c>
      <c r="G3699" s="49">
        <f>IF(ISNUMBER(F3699),E3699*F3699,"")</f>
        <v>3.8379999999999996</v>
      </c>
      <c r="H3699" s="65"/>
      <c r="I3699" s="66"/>
      <c r="J3699" s="125">
        <v>0</v>
      </c>
    </row>
    <row r="3700" spans="1:10" ht="15.75" hidden="1" thickBot="1" x14ac:dyDescent="0.3">
      <c r="A3700" s="235"/>
      <c r="B3700" s="238"/>
      <c r="C3700" s="155" t="s">
        <v>901</v>
      </c>
      <c r="D3700" s="33" t="s">
        <v>97</v>
      </c>
      <c r="E3700" s="34">
        <f>0.016*2</f>
        <v>3.2000000000000001E-2</v>
      </c>
      <c r="F3700" s="49">
        <v>0.95</v>
      </c>
      <c r="G3700" s="49">
        <f>IF(ISNUMBER(F3700),E3700*F3700,"")</f>
        <v>3.04E-2</v>
      </c>
      <c r="H3700" s="65"/>
      <c r="I3700" s="66"/>
      <c r="J3700" s="125">
        <v>0</v>
      </c>
    </row>
    <row r="3701" spans="1:10" ht="15.75" hidden="1" thickBot="1" x14ac:dyDescent="0.3">
      <c r="A3701" s="235"/>
      <c r="B3701" s="238"/>
      <c r="C3701" s="155" t="s">
        <v>902</v>
      </c>
      <c r="D3701" s="33" t="s">
        <v>903</v>
      </c>
      <c r="E3701" s="34">
        <f>0.1*2</f>
        <v>0.2</v>
      </c>
      <c r="F3701" s="49">
        <v>0.95</v>
      </c>
      <c r="G3701" s="49">
        <f>IF(ISNUMBER(F3701),E3701*F3701,"")</f>
        <v>0.19</v>
      </c>
      <c r="H3701" s="65"/>
      <c r="I3701" s="66"/>
      <c r="J3701" s="125">
        <v>0</v>
      </c>
    </row>
    <row r="3702" spans="1:10" ht="15.75" hidden="1" thickBot="1" x14ac:dyDescent="0.3">
      <c r="A3702" s="235"/>
      <c r="B3702" s="238"/>
      <c r="C3702" s="155" t="s">
        <v>972</v>
      </c>
      <c r="D3702" s="33" t="s">
        <v>97</v>
      </c>
      <c r="E3702" s="34">
        <v>1</v>
      </c>
      <c r="F3702" s="49" t="s">
        <v>418</v>
      </c>
      <c r="G3702" s="49" t="str">
        <f>IF(ISNUMBER(F3702),E3702*F3702,"")</f>
        <v/>
      </c>
      <c r="H3702" s="65"/>
      <c r="I3702" s="66"/>
      <c r="J3702" s="125">
        <v>0</v>
      </c>
    </row>
    <row r="3703" spans="1:10" ht="39" hidden="1" thickBot="1" x14ac:dyDescent="0.3">
      <c r="A3703" s="235"/>
      <c r="B3703" s="238"/>
      <c r="C3703" s="155" t="s">
        <v>14546</v>
      </c>
      <c r="D3703" s="155" t="s">
        <v>85</v>
      </c>
      <c r="E3703" s="34">
        <f>ROUND(0.15*0.05*0.05,4)</f>
        <v>4.0000000000000002E-4</v>
      </c>
      <c r="F3703" s="49">
        <v>1017.5681913775799</v>
      </c>
      <c r="G3703" s="49">
        <f>IF(ISNUMBER(F3703),E3703*F3703,"")</f>
        <v>0.40702727655103199</v>
      </c>
      <c r="H3703" s="65"/>
      <c r="I3703" s="66"/>
      <c r="J3703" s="125">
        <v>0</v>
      </c>
    </row>
    <row r="3704" spans="1:10" ht="15.75" hidden="1" thickBot="1" x14ac:dyDescent="0.3">
      <c r="A3704" s="235"/>
      <c r="B3704" s="238"/>
      <c r="C3704" s="155"/>
      <c r="D3704" s="33"/>
      <c r="E3704" s="34"/>
      <c r="F3704" s="49" t="s">
        <v>418</v>
      </c>
      <c r="G3704" s="49" t="str">
        <f>IF(ISNUMBER(F3704),E3704*F3704,"")</f>
        <v/>
      </c>
      <c r="H3704" s="65"/>
      <c r="I3704" s="66"/>
      <c r="J3704" s="125">
        <v>0</v>
      </c>
    </row>
    <row r="3705" spans="1:10" ht="15.75" hidden="1" thickBot="1" x14ac:dyDescent="0.3">
      <c r="A3705" s="235"/>
      <c r="B3705" s="238"/>
      <c r="C3705" s="122" t="s">
        <v>904</v>
      </c>
      <c r="D3705" s="33"/>
      <c r="E3705" s="34"/>
      <c r="F3705" s="49" t="s">
        <v>418</v>
      </c>
      <c r="G3705" s="49" t="str">
        <f>IF(ISNUMBER(F3705),E3705*F3705,"")</f>
        <v/>
      </c>
      <c r="H3705" s="65"/>
      <c r="I3705" s="66"/>
      <c r="J3705" s="125">
        <v>0</v>
      </c>
    </row>
    <row r="3706" spans="1:10" ht="15.75" hidden="1" thickBot="1" x14ac:dyDescent="0.3">
      <c r="A3706" s="236"/>
      <c r="B3706" s="239"/>
      <c r="C3706" s="164"/>
      <c r="D3706" s="50"/>
      <c r="E3706" s="61"/>
      <c r="F3706" s="68" t="s">
        <v>418</v>
      </c>
      <c r="G3706" s="68" t="str">
        <f>IF(ISNUMBER(F3706),E3706*F3706,"")</f>
        <v/>
      </c>
      <c r="H3706" s="69"/>
      <c r="I3706" s="66"/>
      <c r="J3706" s="125">
        <v>0</v>
      </c>
    </row>
    <row r="3707" spans="1:10" ht="15.75" hidden="1" thickBot="1" x14ac:dyDescent="0.3">
      <c r="A3707" s="234" t="s">
        <v>973</v>
      </c>
      <c r="B3707" s="237" t="s">
        <v>1791</v>
      </c>
      <c r="C3707" s="160"/>
      <c r="D3707" s="23" t="s">
        <v>13151</v>
      </c>
      <c r="E3707" s="24"/>
      <c r="F3707" s="44" t="s">
        <v>418</v>
      </c>
      <c r="G3707" s="25" t="str">
        <f>IF(ISNUMBER(F3707),E3707*F3707,"")</f>
        <v/>
      </c>
      <c r="H3707" s="26"/>
      <c r="I3707" s="27"/>
      <c r="J3707" s="125">
        <v>0</v>
      </c>
    </row>
    <row r="3708" spans="1:10" ht="15.75" hidden="1" thickBot="1" x14ac:dyDescent="0.3">
      <c r="A3708" s="249"/>
      <c r="B3708" s="238"/>
      <c r="C3708" s="151"/>
      <c r="D3708" s="29"/>
      <c r="E3708" s="30"/>
      <c r="F3708" s="49" t="s">
        <v>418</v>
      </c>
      <c r="G3708" s="49" t="str">
        <f>IF(ISNUMBER(F3708),E3708*F3708,"")</f>
        <v/>
      </c>
      <c r="H3708" s="65"/>
      <c r="I3708" s="66"/>
      <c r="J3708" s="125">
        <v>0</v>
      </c>
    </row>
    <row r="3709" spans="1:10" ht="39" hidden="1" thickBot="1" x14ac:dyDescent="0.3">
      <c r="A3709" s="249"/>
      <c r="B3709" s="238"/>
      <c r="C3709" s="155" t="s">
        <v>26064</v>
      </c>
      <c r="D3709" s="155" t="s">
        <v>89</v>
      </c>
      <c r="E3709" s="34">
        <v>1</v>
      </c>
      <c r="F3709" s="49">
        <v>850.25</v>
      </c>
      <c r="G3709" s="49">
        <f>IF(ISNUMBER(F3709),E3709*F3709,"")</f>
        <v>850.25</v>
      </c>
      <c r="H3709" s="35">
        <f>SUM(G3709:G3709)</f>
        <v>850.25</v>
      </c>
      <c r="I3709" s="36"/>
      <c r="J3709" s="125">
        <v>0</v>
      </c>
    </row>
    <row r="3710" spans="1:10" ht="15.75" hidden="1" thickBot="1" x14ac:dyDescent="0.3">
      <c r="A3710" s="250"/>
      <c r="B3710" s="239"/>
      <c r="C3710" s="155"/>
      <c r="D3710" s="33"/>
      <c r="E3710" s="34"/>
      <c r="F3710" s="49" t="s">
        <v>418</v>
      </c>
      <c r="G3710" s="49" t="str">
        <f>IF(ISNUMBER(F3710),E3710*F3710,"")</f>
        <v/>
      </c>
      <c r="H3710" s="65"/>
      <c r="I3710" s="66"/>
      <c r="J3710" s="125">
        <v>0</v>
      </c>
    </row>
    <row r="3711" spans="1:10" ht="15.75" hidden="1" thickBot="1" x14ac:dyDescent="0.3">
      <c r="A3711" s="234" t="s">
        <v>974</v>
      </c>
      <c r="B3711" s="237" t="s">
        <v>1792</v>
      </c>
      <c r="C3711" s="160"/>
      <c r="D3711" s="23" t="s">
        <v>69</v>
      </c>
      <c r="E3711" s="24"/>
      <c r="F3711" s="37" t="s">
        <v>418</v>
      </c>
      <c r="G3711" s="25" t="str">
        <f>IF(ISNUMBER(F3711),E3711*F3711,"")</f>
        <v/>
      </c>
      <c r="H3711" s="26"/>
      <c r="I3711" s="27"/>
      <c r="J3711" s="125">
        <v>0</v>
      </c>
    </row>
    <row r="3712" spans="1:10" ht="15.75" hidden="1" thickBot="1" x14ac:dyDescent="0.3">
      <c r="A3712" s="235"/>
      <c r="B3712" s="238"/>
      <c r="C3712" s="151"/>
      <c r="D3712" s="29"/>
      <c r="E3712" s="30"/>
      <c r="F3712" s="38" t="s">
        <v>418</v>
      </c>
      <c r="G3712" s="28" t="str">
        <f>IF(ISNUMBER(F3712),E3712*F3712,"")</f>
        <v/>
      </c>
      <c r="H3712" s="32"/>
      <c r="I3712" s="28"/>
      <c r="J3712" s="125">
        <v>0</v>
      </c>
    </row>
    <row r="3713" spans="1:10" ht="26.25" hidden="1" thickBot="1" x14ac:dyDescent="0.3">
      <c r="A3713" s="235"/>
      <c r="B3713" s="238"/>
      <c r="C3713" s="155" t="s">
        <v>975</v>
      </c>
      <c r="D3713" s="155" t="s">
        <v>814</v>
      </c>
      <c r="E3713" s="34">
        <v>0.183</v>
      </c>
      <c r="F3713" s="28">
        <v>24.738</v>
      </c>
      <c r="G3713" s="28">
        <f>IF(ISNUMBER(F3713),E3713*F3713,"")</f>
        <v>4.5270539999999997</v>
      </c>
      <c r="H3713" s="35">
        <f>SUM(G3713:G3719)</f>
        <v>44.831474241035998</v>
      </c>
      <c r="I3713" s="36"/>
      <c r="J3713" s="125">
        <v>0</v>
      </c>
    </row>
    <row r="3714" spans="1:10" ht="26.25" hidden="1" thickBot="1" x14ac:dyDescent="0.3">
      <c r="A3714" s="235"/>
      <c r="B3714" s="238"/>
      <c r="C3714" s="155" t="s">
        <v>976</v>
      </c>
      <c r="D3714" s="155" t="s">
        <v>816</v>
      </c>
      <c r="E3714" s="34">
        <v>0.40100000000000002</v>
      </c>
      <c r="F3714" s="28">
        <v>23.122999999999998</v>
      </c>
      <c r="G3714" s="28">
        <f>IF(ISNUMBER(F3714),E3714*F3714,"")</f>
        <v>9.2723230000000001</v>
      </c>
      <c r="H3714" s="32"/>
      <c r="I3714" s="28"/>
      <c r="J3714" s="125">
        <v>0</v>
      </c>
    </row>
    <row r="3715" spans="1:10" ht="26.25" hidden="1" thickBot="1" x14ac:dyDescent="0.3">
      <c r="A3715" s="235"/>
      <c r="B3715" s="238"/>
      <c r="C3715" s="155" t="s">
        <v>824</v>
      </c>
      <c r="D3715" s="155" t="s">
        <v>587</v>
      </c>
      <c r="E3715" s="34">
        <v>9.0999999999999998E-2</v>
      </c>
      <c r="F3715" s="28">
        <v>18.6295</v>
      </c>
      <c r="G3715" s="28">
        <f>IF(ISNUMBER(F3715),E3715*F3715,"")</f>
        <v>1.6952844999999999</v>
      </c>
      <c r="H3715" s="32"/>
      <c r="I3715" s="28"/>
      <c r="J3715" s="125">
        <v>0</v>
      </c>
    </row>
    <row r="3716" spans="1:10" ht="26.25" hidden="1" thickBot="1" x14ac:dyDescent="0.3">
      <c r="A3716" s="235"/>
      <c r="B3716" s="238"/>
      <c r="C3716" s="155" t="s">
        <v>825</v>
      </c>
      <c r="D3716" s="155" t="s">
        <v>587</v>
      </c>
      <c r="E3716" s="34">
        <v>0.58299999999999996</v>
      </c>
      <c r="F3716" s="28">
        <v>24.9375</v>
      </c>
      <c r="G3716" s="28">
        <f>IF(ISNUMBER(F3716),E3716*F3716,"")</f>
        <v>14.538562499999999</v>
      </c>
      <c r="H3716" s="32"/>
      <c r="I3716" s="28"/>
      <c r="J3716" s="125">
        <v>0</v>
      </c>
    </row>
    <row r="3717" spans="1:10" ht="26.25" hidden="1" thickBot="1" x14ac:dyDescent="0.3">
      <c r="A3717" s="235"/>
      <c r="B3717" s="238"/>
      <c r="C3717" s="155" t="s">
        <v>824</v>
      </c>
      <c r="D3717" s="155" t="s">
        <v>587</v>
      </c>
      <c r="E3717" s="34">
        <v>3.7999999999999999E-2</v>
      </c>
      <c r="F3717" s="28">
        <v>18.6295</v>
      </c>
      <c r="G3717" s="28">
        <f>IF(ISNUMBER(F3717),E3717*F3717,"")</f>
        <v>0.70792100000000002</v>
      </c>
      <c r="H3717" s="32"/>
      <c r="I3717" s="28"/>
      <c r="J3717" s="125">
        <v>0</v>
      </c>
    </row>
    <row r="3718" spans="1:10" ht="26.25" hidden="1" thickBot="1" x14ac:dyDescent="0.3">
      <c r="A3718" s="235"/>
      <c r="B3718" s="238"/>
      <c r="C3718" s="155" t="s">
        <v>825</v>
      </c>
      <c r="D3718" s="155" t="s">
        <v>587</v>
      </c>
      <c r="E3718" s="34">
        <v>0.27200000000000002</v>
      </c>
      <c r="F3718" s="28">
        <v>24.9375</v>
      </c>
      <c r="G3718" s="28">
        <f>IF(ISNUMBER(F3718),E3718*F3718,"")</f>
        <v>6.7830000000000004</v>
      </c>
      <c r="H3718" s="32"/>
      <c r="I3718" s="28"/>
      <c r="J3718" s="125">
        <v>0</v>
      </c>
    </row>
    <row r="3719" spans="1:10" ht="26.25" hidden="1" thickBot="1" x14ac:dyDescent="0.3">
      <c r="A3719" s="235"/>
      <c r="B3719" s="238"/>
      <c r="C3719" s="155" t="s">
        <v>80</v>
      </c>
      <c r="D3719" s="155" t="s">
        <v>85</v>
      </c>
      <c r="E3719" s="34">
        <v>8.0000000000000002E-3</v>
      </c>
      <c r="F3719" s="31">
        <v>913.4161551295</v>
      </c>
      <c r="G3719" s="31">
        <f>IF(ISNUMBER(F3719),E3719*F3719,"")</f>
        <v>7.3073292410360002</v>
      </c>
      <c r="H3719" s="32"/>
      <c r="I3719" s="28"/>
      <c r="J3719" s="125">
        <v>0</v>
      </c>
    </row>
    <row r="3720" spans="1:10" ht="15.75" hidden="1" thickBot="1" x14ac:dyDescent="0.3">
      <c r="A3720" s="236"/>
      <c r="B3720" s="239"/>
      <c r="C3720" s="155"/>
      <c r="D3720" s="33"/>
      <c r="E3720" s="34"/>
      <c r="F3720" s="28" t="s">
        <v>418</v>
      </c>
      <c r="G3720" s="28" t="str">
        <f>IF(ISNUMBER(F3720),E3720*F3720,"")</f>
        <v/>
      </c>
      <c r="H3720" s="32"/>
      <c r="I3720" s="28"/>
      <c r="J3720" s="125">
        <v>0</v>
      </c>
    </row>
    <row r="3721" spans="1:10" ht="15.75" hidden="1" thickBot="1" x14ac:dyDescent="0.3">
      <c r="A3721" s="234" t="s">
        <v>977</v>
      </c>
      <c r="B3721" s="237" t="s">
        <v>1793</v>
      </c>
      <c r="C3721" s="160"/>
      <c r="D3721" s="23" t="s">
        <v>28</v>
      </c>
      <c r="E3721" s="24"/>
      <c r="F3721" s="44" t="s">
        <v>418</v>
      </c>
      <c r="G3721" s="25" t="str">
        <f>IF(ISNUMBER(F3721),E3721*F3721,"")</f>
        <v/>
      </c>
      <c r="H3721" s="26"/>
      <c r="I3721" s="27"/>
      <c r="J3721" s="125">
        <v>0</v>
      </c>
    </row>
    <row r="3722" spans="1:10" ht="15.75" hidden="1" thickBot="1" x14ac:dyDescent="0.3">
      <c r="A3722" s="249"/>
      <c r="B3722" s="238"/>
      <c r="C3722" s="151"/>
      <c r="D3722" s="29"/>
      <c r="E3722" s="30"/>
      <c r="F3722" s="49" t="s">
        <v>418</v>
      </c>
      <c r="G3722" s="49" t="str">
        <f>IF(ISNUMBER(F3722),E3722*F3722,"")</f>
        <v/>
      </c>
      <c r="H3722" s="65"/>
      <c r="I3722" s="66"/>
      <c r="J3722" s="125">
        <v>0</v>
      </c>
    </row>
    <row r="3723" spans="1:10" ht="15.75" hidden="1" thickBot="1" x14ac:dyDescent="0.3">
      <c r="A3723" s="249"/>
      <c r="B3723" s="238"/>
      <c r="C3723" s="155" t="s">
        <v>27268</v>
      </c>
      <c r="D3723" s="155" t="s">
        <v>774</v>
      </c>
      <c r="E3723" s="143">
        <v>1</v>
      </c>
      <c r="F3723" s="49">
        <v>6.5739999999999998</v>
      </c>
      <c r="G3723" s="49">
        <f>IF(ISNUMBER(F3723),E3723*F3723,"")</f>
        <v>6.5739999999999998</v>
      </c>
      <c r="H3723" s="35">
        <f>SUM(G3723:G3724)</f>
        <v>15.64299810964083</v>
      </c>
      <c r="I3723" s="36"/>
      <c r="J3723" s="125">
        <v>0</v>
      </c>
    </row>
    <row r="3724" spans="1:10" ht="15.75" hidden="1" thickBot="1" x14ac:dyDescent="0.3">
      <c r="A3724" s="249"/>
      <c r="B3724" s="238"/>
      <c r="C3724" s="155" t="s">
        <v>588</v>
      </c>
      <c r="D3724" s="155" t="s">
        <v>587</v>
      </c>
      <c r="E3724" s="143">
        <f>0.25/0.529</f>
        <v>0.47258979206049145</v>
      </c>
      <c r="F3724" s="49">
        <v>19.189999999999998</v>
      </c>
      <c r="G3724" s="49">
        <f>IF(ISNUMBER(F3724),E3724*F3724,"")</f>
        <v>9.0689981096408303</v>
      </c>
      <c r="H3724" s="65"/>
      <c r="I3724" s="66"/>
      <c r="J3724" s="125">
        <v>0</v>
      </c>
    </row>
    <row r="3725" spans="1:10" ht="15.75" hidden="1" thickBot="1" x14ac:dyDescent="0.3">
      <c r="A3725" s="250"/>
      <c r="B3725" s="239"/>
      <c r="C3725" s="155"/>
      <c r="D3725" s="33"/>
      <c r="E3725" s="34"/>
      <c r="F3725" s="49" t="s">
        <v>418</v>
      </c>
      <c r="G3725" s="49" t="str">
        <f>IF(ISNUMBER(F3725),E3725*F3725,"")</f>
        <v/>
      </c>
      <c r="H3725" s="65"/>
      <c r="I3725" s="66"/>
      <c r="J3725" s="125">
        <v>0</v>
      </c>
    </row>
    <row r="3726" spans="1:10" ht="15.75" hidden="1" thickBot="1" x14ac:dyDescent="0.3">
      <c r="A3726" s="234" t="s">
        <v>978</v>
      </c>
      <c r="B3726" s="237" t="s">
        <v>1794</v>
      </c>
      <c r="C3726" s="160"/>
      <c r="D3726" s="23" t="s">
        <v>70</v>
      </c>
      <c r="E3726" s="24"/>
      <c r="F3726" s="44" t="s">
        <v>418</v>
      </c>
      <c r="G3726" s="25" t="str">
        <f>IF(ISNUMBER(F3726),E3726*F3726,"")</f>
        <v/>
      </c>
      <c r="H3726" s="26"/>
      <c r="I3726" s="27"/>
      <c r="J3726" s="125">
        <v>0</v>
      </c>
    </row>
    <row r="3727" spans="1:10" ht="15.75" hidden="1" thickBot="1" x14ac:dyDescent="0.3">
      <c r="A3727" s="249"/>
      <c r="B3727" s="238"/>
      <c r="C3727" s="151"/>
      <c r="D3727" s="29"/>
      <c r="E3727" s="30"/>
      <c r="F3727" s="49" t="s">
        <v>418</v>
      </c>
      <c r="G3727" s="49" t="str">
        <f>IF(ISNUMBER(F3727),E3727*F3727,"")</f>
        <v/>
      </c>
      <c r="H3727" s="65"/>
      <c r="I3727" s="66"/>
      <c r="J3727" s="125">
        <v>0</v>
      </c>
    </row>
    <row r="3728" spans="1:10" ht="15.75" hidden="1" thickBot="1" x14ac:dyDescent="0.3">
      <c r="A3728" s="249"/>
      <c r="B3728" s="238"/>
      <c r="C3728" s="155" t="s">
        <v>979</v>
      </c>
      <c r="D3728" s="45" t="s">
        <v>76</v>
      </c>
      <c r="E3728" s="34">
        <f>ROUND(1/12,4)</f>
        <v>8.3299999999999999E-2</v>
      </c>
      <c r="F3728" s="49" t="s">
        <v>418</v>
      </c>
      <c r="G3728" s="49" t="str">
        <f>IF(ISNUMBER(F3728),E3728*F3728,"")</f>
        <v/>
      </c>
      <c r="H3728" s="35">
        <f>SUM(G3728:G3730)</f>
        <v>19.938599999999997</v>
      </c>
      <c r="I3728" s="36"/>
      <c r="J3728" s="125">
        <v>0</v>
      </c>
    </row>
    <row r="3729" spans="1:10" ht="15.75" hidden="1" thickBot="1" x14ac:dyDescent="0.3">
      <c r="A3729" s="249"/>
      <c r="B3729" s="238"/>
      <c r="C3729" s="155" t="s">
        <v>889</v>
      </c>
      <c r="D3729" s="155" t="s">
        <v>587</v>
      </c>
      <c r="E3729" s="34">
        <f>1.2/2</f>
        <v>0.6</v>
      </c>
      <c r="F3729" s="49">
        <v>23.635999999999999</v>
      </c>
      <c r="G3729" s="49">
        <f>IF(ISNUMBER(F3729),E3729*F3729,"")</f>
        <v>14.1816</v>
      </c>
      <c r="H3729" s="65"/>
      <c r="I3729" s="66"/>
      <c r="J3729" s="125">
        <v>0</v>
      </c>
    </row>
    <row r="3730" spans="1:10" ht="15.75" hidden="1" thickBot="1" x14ac:dyDescent="0.3">
      <c r="A3730" s="249"/>
      <c r="B3730" s="238"/>
      <c r="C3730" s="155" t="s">
        <v>588</v>
      </c>
      <c r="D3730" s="155" t="s">
        <v>587</v>
      </c>
      <c r="E3730" s="34">
        <f>0.6/2</f>
        <v>0.3</v>
      </c>
      <c r="F3730" s="49">
        <v>19.189999999999998</v>
      </c>
      <c r="G3730" s="49">
        <f>IF(ISNUMBER(F3730),E3730*F3730,"")</f>
        <v>5.7569999999999988</v>
      </c>
      <c r="H3730" s="65"/>
      <c r="I3730" s="66"/>
      <c r="J3730" s="125">
        <v>0</v>
      </c>
    </row>
    <row r="3731" spans="1:10" ht="15.75" hidden="1" thickBot="1" x14ac:dyDescent="0.3">
      <c r="A3731" s="249"/>
      <c r="B3731" s="238"/>
      <c r="C3731" s="155"/>
      <c r="D3731" s="33"/>
      <c r="E3731" s="34"/>
      <c r="F3731" s="49" t="s">
        <v>418</v>
      </c>
      <c r="G3731" s="49" t="str">
        <f>IF(ISNUMBER(F3731),E3731*F3731,"")</f>
        <v/>
      </c>
      <c r="H3731" s="65"/>
      <c r="I3731" s="66"/>
      <c r="J3731" s="125">
        <v>0</v>
      </c>
    </row>
    <row r="3732" spans="1:10" ht="26.25" hidden="1" thickBot="1" x14ac:dyDescent="0.3">
      <c r="A3732" s="249"/>
      <c r="B3732" s="238"/>
      <c r="C3732" s="43" t="s">
        <v>980</v>
      </c>
      <c r="D3732" s="33"/>
      <c r="E3732" s="34"/>
      <c r="F3732" s="49" t="s">
        <v>418</v>
      </c>
      <c r="G3732" s="49" t="str">
        <f>IF(ISNUMBER(F3732),E3732*F3732,"")</f>
        <v/>
      </c>
      <c r="H3732" s="65"/>
      <c r="I3732" s="66"/>
      <c r="J3732" s="125">
        <v>0</v>
      </c>
    </row>
    <row r="3733" spans="1:10" ht="15.75" hidden="1" thickBot="1" x14ac:dyDescent="0.3">
      <c r="A3733" s="249"/>
      <c r="B3733" s="238"/>
      <c r="C3733" s="43" t="s">
        <v>981</v>
      </c>
      <c r="D3733" s="33"/>
      <c r="E3733" s="34"/>
      <c r="F3733" s="49" t="s">
        <v>418</v>
      </c>
      <c r="G3733" s="49" t="str">
        <f>IF(ISNUMBER(F3733),E3733*F3733,"")</f>
        <v/>
      </c>
      <c r="H3733" s="65"/>
      <c r="I3733" s="66"/>
      <c r="J3733" s="125">
        <v>0</v>
      </c>
    </row>
    <row r="3734" spans="1:10" ht="15.75" hidden="1" thickBot="1" x14ac:dyDescent="0.3">
      <c r="A3734" s="250"/>
      <c r="B3734" s="239"/>
      <c r="C3734" s="155"/>
      <c r="D3734" s="33"/>
      <c r="E3734" s="34"/>
      <c r="F3734" s="49" t="s">
        <v>418</v>
      </c>
      <c r="G3734" s="49" t="str">
        <f>IF(ISNUMBER(F3734),E3734*F3734,"")</f>
        <v/>
      </c>
      <c r="H3734" s="65"/>
      <c r="I3734" s="66"/>
      <c r="J3734" s="125">
        <v>0</v>
      </c>
    </row>
    <row r="3735" spans="1:10" ht="15.75" hidden="1" thickBot="1" x14ac:dyDescent="0.3">
      <c r="A3735" s="234" t="s">
        <v>982</v>
      </c>
      <c r="B3735" s="237" t="s">
        <v>1795</v>
      </c>
      <c r="C3735" s="160"/>
      <c r="D3735" s="23" t="s">
        <v>70</v>
      </c>
      <c r="E3735" s="24"/>
      <c r="F3735" s="44" t="s">
        <v>418</v>
      </c>
      <c r="G3735" s="25" t="str">
        <f>IF(ISNUMBER(F3735),E3735*F3735,"")</f>
        <v/>
      </c>
      <c r="H3735" s="26"/>
      <c r="I3735" s="27"/>
      <c r="J3735" s="125">
        <v>0</v>
      </c>
    </row>
    <row r="3736" spans="1:10" ht="15.75" hidden="1" thickBot="1" x14ac:dyDescent="0.3">
      <c r="A3736" s="235"/>
      <c r="B3736" s="238"/>
      <c r="C3736" s="151"/>
      <c r="D3736" s="29"/>
      <c r="E3736" s="30"/>
      <c r="F3736" s="49" t="s">
        <v>418</v>
      </c>
      <c r="G3736" s="49" t="str">
        <f>IF(ISNUMBER(F3736),E3736*F3736,"")</f>
        <v/>
      </c>
      <c r="H3736" s="65"/>
      <c r="I3736" s="66"/>
      <c r="J3736" s="125">
        <v>0</v>
      </c>
    </row>
    <row r="3737" spans="1:10" ht="15.75" hidden="1" thickBot="1" x14ac:dyDescent="0.3">
      <c r="A3737" s="235"/>
      <c r="B3737" s="238"/>
      <c r="C3737" s="155" t="s">
        <v>23483</v>
      </c>
      <c r="D3737" s="155" t="s">
        <v>774</v>
      </c>
      <c r="E3737" s="34">
        <v>9.5000000000000001E-2</v>
      </c>
      <c r="F3737" s="49">
        <v>43.215499999999999</v>
      </c>
      <c r="G3737" s="49">
        <f>IF(ISNUMBER(F3737),E3737*F3737,"")</f>
        <v>4.1054725000000003</v>
      </c>
      <c r="H3737" s="35">
        <f>SUM(G3737:G3740)</f>
        <v>139.77354749999998</v>
      </c>
      <c r="I3737" s="36"/>
      <c r="J3737" s="125">
        <v>0</v>
      </c>
    </row>
    <row r="3738" spans="1:10" ht="26.25" hidden="1" thickBot="1" x14ac:dyDescent="0.3">
      <c r="A3738" s="235"/>
      <c r="B3738" s="238"/>
      <c r="C3738" s="155" t="s">
        <v>983</v>
      </c>
      <c r="D3738" s="155" t="s">
        <v>870</v>
      </c>
      <c r="E3738" s="34">
        <v>1.1100000000000001</v>
      </c>
      <c r="F3738" s="49">
        <v>116.80249999999999</v>
      </c>
      <c r="G3738" s="49">
        <f>IF(ISNUMBER(F3738),E3738*F3738,"")</f>
        <v>129.65077500000001</v>
      </c>
      <c r="H3738" s="65"/>
      <c r="I3738" s="66"/>
      <c r="J3738" s="125">
        <v>0</v>
      </c>
    </row>
    <row r="3739" spans="1:10" ht="15.75" hidden="1" thickBot="1" x14ac:dyDescent="0.3">
      <c r="A3739" s="235"/>
      <c r="B3739" s="238"/>
      <c r="C3739" s="155" t="s">
        <v>595</v>
      </c>
      <c r="D3739" s="155" t="s">
        <v>587</v>
      </c>
      <c r="E3739" s="34">
        <v>0.17100000000000001</v>
      </c>
      <c r="F3739" s="49">
        <v>25.65</v>
      </c>
      <c r="G3739" s="49">
        <f>IF(ISNUMBER(F3739),E3739*F3739,"")</f>
        <v>4.3861499999999998</v>
      </c>
      <c r="H3739" s="65"/>
      <c r="I3739" s="66"/>
      <c r="J3739" s="125">
        <v>0</v>
      </c>
    </row>
    <row r="3740" spans="1:10" ht="15.75" hidden="1" thickBot="1" x14ac:dyDescent="0.3">
      <c r="A3740" s="235"/>
      <c r="B3740" s="238"/>
      <c r="C3740" s="155" t="s">
        <v>588</v>
      </c>
      <c r="D3740" s="155" t="s">
        <v>587</v>
      </c>
      <c r="E3740" s="34">
        <v>8.5000000000000006E-2</v>
      </c>
      <c r="F3740" s="49">
        <v>19.189999999999998</v>
      </c>
      <c r="G3740" s="49">
        <f>IF(ISNUMBER(F3740),E3740*F3740,"")</f>
        <v>1.6311499999999999</v>
      </c>
      <c r="H3740" s="65"/>
      <c r="I3740" s="66"/>
      <c r="J3740" s="125">
        <v>0</v>
      </c>
    </row>
    <row r="3741" spans="1:10" ht="15.75" hidden="1" thickBot="1" x14ac:dyDescent="0.3">
      <c r="A3741" s="235"/>
      <c r="B3741" s="238"/>
      <c r="C3741" s="155"/>
      <c r="D3741" s="33"/>
      <c r="E3741" s="34"/>
      <c r="F3741" s="49" t="s">
        <v>418</v>
      </c>
      <c r="G3741" s="49" t="str">
        <f>IF(ISNUMBER(F3741),E3741*F3741,"")</f>
        <v/>
      </c>
      <c r="H3741" s="65"/>
      <c r="I3741" s="66"/>
      <c r="J3741" s="125">
        <v>0</v>
      </c>
    </row>
    <row r="3742" spans="1:10" ht="15.75" hidden="1" thickBot="1" x14ac:dyDescent="0.3">
      <c r="A3742" s="234" t="s">
        <v>984</v>
      </c>
      <c r="B3742" s="237" t="s">
        <v>1796</v>
      </c>
      <c r="C3742" s="160"/>
      <c r="D3742" s="23" t="s">
        <v>13151</v>
      </c>
      <c r="E3742" s="24"/>
      <c r="F3742" s="44" t="s">
        <v>418</v>
      </c>
      <c r="G3742" s="25" t="str">
        <f>IF(ISNUMBER(F3742),E3742*F3742,"")</f>
        <v/>
      </c>
      <c r="H3742" s="26"/>
      <c r="I3742" s="27"/>
      <c r="J3742" s="125">
        <v>0</v>
      </c>
    </row>
    <row r="3743" spans="1:10" ht="15.75" hidden="1" thickBot="1" x14ac:dyDescent="0.3">
      <c r="A3743" s="249"/>
      <c r="B3743" s="238"/>
      <c r="C3743" s="151"/>
      <c r="D3743" s="29"/>
      <c r="E3743" s="30"/>
      <c r="F3743" s="49" t="s">
        <v>418</v>
      </c>
      <c r="G3743" s="49" t="str">
        <f>IF(ISNUMBER(F3743),E3743*F3743,"")</f>
        <v/>
      </c>
      <c r="H3743" s="65"/>
      <c r="I3743" s="66"/>
      <c r="J3743" s="125">
        <v>0</v>
      </c>
    </row>
    <row r="3744" spans="1:10" ht="39" hidden="1" thickBot="1" x14ac:dyDescent="0.3">
      <c r="A3744" s="249"/>
      <c r="B3744" s="238"/>
      <c r="C3744" s="155" t="s">
        <v>26066</v>
      </c>
      <c r="D3744" s="155" t="s">
        <v>89</v>
      </c>
      <c r="E3744" s="34">
        <v>1</v>
      </c>
      <c r="F3744" s="49">
        <v>1062.8125</v>
      </c>
      <c r="G3744" s="49">
        <f>IF(ISNUMBER(F3744),E3744*F3744,"")</f>
        <v>1062.8125</v>
      </c>
      <c r="H3744" s="35">
        <f>SUM(G3744:G3744)</f>
        <v>1062.8125</v>
      </c>
      <c r="I3744" s="36"/>
      <c r="J3744" s="125">
        <v>0</v>
      </c>
    </row>
    <row r="3745" spans="1:10" ht="15.75" hidden="1" thickBot="1" x14ac:dyDescent="0.3">
      <c r="A3745" s="250"/>
      <c r="B3745" s="239"/>
      <c r="C3745" s="155"/>
      <c r="D3745" s="33"/>
      <c r="E3745" s="34"/>
      <c r="F3745" s="49" t="s">
        <v>418</v>
      </c>
      <c r="G3745" s="49" t="str">
        <f>IF(ISNUMBER(F3745),E3745*F3745,"")</f>
        <v/>
      </c>
      <c r="H3745" s="65"/>
      <c r="I3745" s="66"/>
      <c r="J3745" s="125">
        <v>0</v>
      </c>
    </row>
    <row r="3746" spans="1:10" ht="15.75" hidden="1" thickBot="1" x14ac:dyDescent="0.3">
      <c r="A3746" s="234" t="s">
        <v>985</v>
      </c>
      <c r="B3746" s="237" t="s">
        <v>1797</v>
      </c>
      <c r="C3746" s="160"/>
      <c r="D3746" s="23" t="s">
        <v>13151</v>
      </c>
      <c r="E3746" s="24"/>
      <c r="F3746" s="44" t="s">
        <v>418</v>
      </c>
      <c r="G3746" s="25" t="str">
        <f>IF(ISNUMBER(F3746),E3746*F3746,"")</f>
        <v/>
      </c>
      <c r="H3746" s="26"/>
      <c r="I3746" s="27"/>
      <c r="J3746" s="125">
        <v>0</v>
      </c>
    </row>
    <row r="3747" spans="1:10" ht="15.75" hidden="1" thickBot="1" x14ac:dyDescent="0.3">
      <c r="A3747" s="249"/>
      <c r="B3747" s="238"/>
      <c r="C3747" s="151"/>
      <c r="D3747" s="29"/>
      <c r="E3747" s="30"/>
      <c r="F3747" s="49" t="s">
        <v>418</v>
      </c>
      <c r="G3747" s="49" t="str">
        <f>IF(ISNUMBER(F3747),E3747*F3747,"")</f>
        <v/>
      </c>
      <c r="H3747" s="65"/>
      <c r="I3747" s="66"/>
      <c r="J3747" s="125">
        <v>0</v>
      </c>
    </row>
    <row r="3748" spans="1:10" ht="39" hidden="1" thickBot="1" x14ac:dyDescent="0.3">
      <c r="A3748" s="249"/>
      <c r="B3748" s="238"/>
      <c r="C3748" s="155" t="s">
        <v>26065</v>
      </c>
      <c r="D3748" s="155" t="s">
        <v>89</v>
      </c>
      <c r="E3748" s="34">
        <v>1</v>
      </c>
      <c r="F3748" s="49">
        <v>664.24950000000001</v>
      </c>
      <c r="G3748" s="49">
        <f>IF(ISNUMBER(F3748),E3748*F3748,"")</f>
        <v>664.24950000000001</v>
      </c>
      <c r="H3748" s="35">
        <f>SUM(G3748:G3748)</f>
        <v>664.24950000000001</v>
      </c>
      <c r="I3748" s="36"/>
      <c r="J3748" s="125">
        <v>0</v>
      </c>
    </row>
    <row r="3749" spans="1:10" ht="15.75" hidden="1" thickBot="1" x14ac:dyDescent="0.3">
      <c r="A3749" s="250"/>
      <c r="B3749" s="239"/>
      <c r="C3749" s="155"/>
      <c r="D3749" s="33"/>
      <c r="E3749" s="34"/>
      <c r="F3749" s="49" t="s">
        <v>418</v>
      </c>
      <c r="G3749" s="49" t="str">
        <f>IF(ISNUMBER(F3749),E3749*F3749,"")</f>
        <v/>
      </c>
      <c r="H3749" s="65"/>
      <c r="I3749" s="66"/>
      <c r="J3749" s="125">
        <v>0</v>
      </c>
    </row>
    <row r="3750" spans="1:10" ht="15.75" hidden="1" thickBot="1" x14ac:dyDescent="0.3">
      <c r="A3750" s="234" t="s">
        <v>986</v>
      </c>
      <c r="B3750" s="237" t="s">
        <v>1798</v>
      </c>
      <c r="C3750" s="160"/>
      <c r="D3750" s="23" t="s">
        <v>70</v>
      </c>
      <c r="E3750" s="24"/>
      <c r="F3750" s="44" t="s">
        <v>418</v>
      </c>
      <c r="G3750" s="25" t="str">
        <f>IF(ISNUMBER(F3750),E3750*F3750,"")</f>
        <v/>
      </c>
      <c r="H3750" s="26"/>
      <c r="I3750" s="27"/>
      <c r="J3750" s="125">
        <v>0</v>
      </c>
    </row>
    <row r="3751" spans="1:10" ht="15.75" hidden="1" thickBot="1" x14ac:dyDescent="0.3">
      <c r="A3751" s="235"/>
      <c r="B3751" s="238"/>
      <c r="C3751" s="151"/>
      <c r="D3751" s="29"/>
      <c r="E3751" s="30"/>
      <c r="F3751" s="49" t="s">
        <v>418</v>
      </c>
      <c r="G3751" s="49" t="str">
        <f>IF(ISNUMBER(F3751),E3751*F3751,"")</f>
        <v/>
      </c>
      <c r="H3751" s="65"/>
      <c r="I3751" s="66"/>
      <c r="J3751" s="125">
        <v>0</v>
      </c>
    </row>
    <row r="3752" spans="1:10" ht="39" hidden="1" thickBot="1" x14ac:dyDescent="0.3">
      <c r="A3752" s="235"/>
      <c r="B3752" s="238"/>
      <c r="C3752" s="155" t="s">
        <v>26931</v>
      </c>
      <c r="D3752" s="155" t="s">
        <v>870</v>
      </c>
      <c r="E3752" s="34">
        <v>1</v>
      </c>
      <c r="F3752" s="49">
        <v>237.5</v>
      </c>
      <c r="G3752" s="49">
        <f>IF(ISNUMBER(F3752),E3752*F3752,"")</f>
        <v>237.5</v>
      </c>
      <c r="H3752" s="35">
        <f>SUM(G3752:G3753)</f>
        <v>237.5</v>
      </c>
      <c r="I3752" s="36"/>
      <c r="J3752" s="125">
        <v>0</v>
      </c>
    </row>
    <row r="3753" spans="1:10" ht="15.75" hidden="1" thickBot="1" x14ac:dyDescent="0.3">
      <c r="A3753" s="236"/>
      <c r="B3753" s="239"/>
      <c r="C3753" s="164"/>
      <c r="D3753" s="50"/>
      <c r="E3753" s="61"/>
      <c r="F3753" s="68" t="s">
        <v>418</v>
      </c>
      <c r="G3753" s="68" t="str">
        <f>IF(ISNUMBER(F3753),E3753*F3753,"")</f>
        <v/>
      </c>
      <c r="H3753" s="69"/>
      <c r="I3753" s="66"/>
      <c r="J3753" s="125">
        <v>0</v>
      </c>
    </row>
    <row r="3754" spans="1:10" ht="15.75" hidden="1" thickBot="1" x14ac:dyDescent="0.3">
      <c r="A3754" s="234" t="s">
        <v>1799</v>
      </c>
      <c r="B3754" s="237" t="s">
        <v>1800</v>
      </c>
      <c r="C3754" s="160"/>
      <c r="D3754" s="23" t="s">
        <v>1628</v>
      </c>
      <c r="E3754" s="24"/>
      <c r="F3754" s="44" t="s">
        <v>418</v>
      </c>
      <c r="G3754" s="25" t="str">
        <f>IF(ISNUMBER(F3754),E3754*F3754,"")</f>
        <v/>
      </c>
      <c r="H3754" s="26"/>
      <c r="I3754" s="27"/>
      <c r="J3754" s="125">
        <v>0</v>
      </c>
    </row>
    <row r="3755" spans="1:10" ht="15.75" hidden="1" thickBot="1" x14ac:dyDescent="0.3">
      <c r="A3755" s="235"/>
      <c r="B3755" s="238"/>
      <c r="C3755" s="151"/>
      <c r="D3755" s="29"/>
      <c r="E3755" s="30"/>
      <c r="F3755" s="49" t="s">
        <v>418</v>
      </c>
      <c r="G3755" s="49" t="str">
        <f>IF(ISNUMBER(F3755),E3755*F3755,"")</f>
        <v/>
      </c>
      <c r="H3755" s="65"/>
      <c r="I3755" s="66"/>
      <c r="J3755" s="125">
        <v>0</v>
      </c>
    </row>
    <row r="3756" spans="1:10" ht="15.75" hidden="1" thickBot="1" x14ac:dyDescent="0.3">
      <c r="A3756" s="235"/>
      <c r="B3756" s="238"/>
      <c r="C3756" s="155" t="s">
        <v>1074</v>
      </c>
      <c r="D3756" s="155" t="s">
        <v>89</v>
      </c>
      <c r="E3756" s="34" t="e">
        <f>IF(#REF!="Desonerado",ROUND(1/(1+47.14%),4),ROUND(1/(1+70.4%),4))</f>
        <v>#REF!</v>
      </c>
      <c r="F3756" s="49">
        <v>4335.780999999999</v>
      </c>
      <c r="G3756" s="49" t="e">
        <f>IF(ISNUMBER(F3756),E3756*F3756,"")</f>
        <v>#REF!</v>
      </c>
      <c r="H3756" s="35" t="e">
        <f>SUM(G3756:G3759)</f>
        <v>#REF!</v>
      </c>
      <c r="I3756" s="36"/>
      <c r="J3756" s="125">
        <v>0</v>
      </c>
    </row>
    <row r="3757" spans="1:10" ht="15.75" hidden="1" thickBot="1" x14ac:dyDescent="0.3">
      <c r="A3757" s="235"/>
      <c r="B3757" s="238"/>
      <c r="C3757" s="155"/>
      <c r="D3757" s="33"/>
      <c r="E3757" s="34"/>
      <c r="F3757" s="49" t="s">
        <v>418</v>
      </c>
      <c r="G3757" s="49" t="str">
        <f>IF(ISNUMBER(F3757),E3757*F3757,"")</f>
        <v/>
      </c>
      <c r="H3757" s="65"/>
      <c r="I3757" s="66"/>
      <c r="J3757" s="125">
        <v>0</v>
      </c>
    </row>
    <row r="3758" spans="1:10" ht="26.25" hidden="1" thickBot="1" x14ac:dyDescent="0.3">
      <c r="A3758" s="235"/>
      <c r="B3758" s="238"/>
      <c r="C3758" s="43" t="s">
        <v>657</v>
      </c>
      <c r="D3758" s="33"/>
      <c r="E3758" s="34"/>
      <c r="F3758" s="49" t="s">
        <v>418</v>
      </c>
      <c r="G3758" s="49" t="str">
        <f>IF(ISNUMBER(F3758),E3758*F3758,"")</f>
        <v/>
      </c>
      <c r="H3758" s="65"/>
      <c r="I3758" s="66"/>
      <c r="J3758" s="125">
        <v>0</v>
      </c>
    </row>
    <row r="3759" spans="1:10" ht="15.75" hidden="1" thickBot="1" x14ac:dyDescent="0.3">
      <c r="A3759" s="236"/>
      <c r="B3759" s="239"/>
      <c r="C3759" s="164"/>
      <c r="D3759" s="50"/>
      <c r="E3759" s="61"/>
      <c r="F3759" s="68" t="s">
        <v>418</v>
      </c>
      <c r="G3759" s="68" t="str">
        <f>IF(ISNUMBER(F3759),E3759*F3759,"")</f>
        <v/>
      </c>
      <c r="H3759" s="69"/>
      <c r="I3759" s="66"/>
      <c r="J3759" s="125">
        <v>0</v>
      </c>
    </row>
    <row r="3760" spans="1:10" ht="15.75" hidden="1" thickBot="1" x14ac:dyDescent="0.3">
      <c r="A3760" s="234" t="s">
        <v>1801</v>
      </c>
      <c r="B3760" s="237" t="s">
        <v>1802</v>
      </c>
      <c r="C3760" s="160"/>
      <c r="D3760" s="23" t="s">
        <v>1628</v>
      </c>
      <c r="E3760" s="24"/>
      <c r="F3760" s="44" t="s">
        <v>418</v>
      </c>
      <c r="G3760" s="25" t="str">
        <f>IF(ISNUMBER(F3760),E3760*F3760,"")</f>
        <v/>
      </c>
      <c r="H3760" s="26"/>
      <c r="I3760" s="27"/>
      <c r="J3760" s="125">
        <v>0</v>
      </c>
    </row>
    <row r="3761" spans="1:10" ht="15.75" hidden="1" thickBot="1" x14ac:dyDescent="0.3">
      <c r="A3761" s="235"/>
      <c r="B3761" s="238"/>
      <c r="C3761" s="151"/>
      <c r="D3761" s="29"/>
      <c r="E3761" s="30"/>
      <c r="F3761" s="49" t="s">
        <v>418</v>
      </c>
      <c r="G3761" s="49" t="str">
        <f>IF(ISNUMBER(F3761),E3761*F3761,"")</f>
        <v/>
      </c>
      <c r="H3761" s="65"/>
      <c r="I3761" s="66"/>
      <c r="J3761" s="125">
        <v>0</v>
      </c>
    </row>
    <row r="3762" spans="1:10" ht="15.75" hidden="1" thickBot="1" x14ac:dyDescent="0.3">
      <c r="A3762" s="235"/>
      <c r="B3762" s="238"/>
      <c r="C3762" s="155" t="s">
        <v>1074</v>
      </c>
      <c r="D3762" s="155" t="s">
        <v>89</v>
      </c>
      <c r="E3762" s="156" t="e">
        <f>IF(#REF!="Desonerado",ROUND(1/(1+47.14%),4),ROUND(1/(1+70.4%),4))</f>
        <v>#REF!</v>
      </c>
      <c r="F3762" s="49">
        <v>4335.780999999999</v>
      </c>
      <c r="G3762" s="49" t="e">
        <f>IF(ISNUMBER(F3762),E3762*F3762,"")</f>
        <v>#REF!</v>
      </c>
      <c r="H3762" s="35" t="e">
        <f>SUM(G3762:G3765)</f>
        <v>#REF!</v>
      </c>
      <c r="I3762" s="36"/>
      <c r="J3762" s="125">
        <v>0</v>
      </c>
    </row>
    <row r="3763" spans="1:10" ht="15.75" hidden="1" thickBot="1" x14ac:dyDescent="0.3">
      <c r="A3763" s="235"/>
      <c r="B3763" s="238"/>
      <c r="C3763" s="155"/>
      <c r="D3763" s="33"/>
      <c r="E3763" s="34"/>
      <c r="F3763" s="49" t="s">
        <v>418</v>
      </c>
      <c r="G3763" s="49" t="str">
        <f>IF(ISNUMBER(F3763),E3763*F3763,"")</f>
        <v/>
      </c>
      <c r="H3763" s="65"/>
      <c r="I3763" s="66"/>
      <c r="J3763" s="125">
        <v>0</v>
      </c>
    </row>
    <row r="3764" spans="1:10" ht="26.25" hidden="1" thickBot="1" x14ac:dyDescent="0.3">
      <c r="A3764" s="235"/>
      <c r="B3764" s="238"/>
      <c r="C3764" s="43" t="s">
        <v>657</v>
      </c>
      <c r="D3764" s="33"/>
      <c r="E3764" s="34"/>
      <c r="F3764" s="49" t="s">
        <v>418</v>
      </c>
      <c r="G3764" s="49" t="str">
        <f>IF(ISNUMBER(F3764),E3764*F3764,"")</f>
        <v/>
      </c>
      <c r="H3764" s="65"/>
      <c r="I3764" s="66"/>
      <c r="J3764" s="125">
        <v>0</v>
      </c>
    </row>
    <row r="3765" spans="1:10" ht="15.75" hidden="1" thickBot="1" x14ac:dyDescent="0.3">
      <c r="A3765" s="236"/>
      <c r="B3765" s="239"/>
      <c r="C3765" s="164"/>
      <c r="D3765" s="50"/>
      <c r="E3765" s="61"/>
      <c r="F3765" s="68" t="s">
        <v>418</v>
      </c>
      <c r="G3765" s="68" t="str">
        <f>IF(ISNUMBER(F3765),E3765*F3765,"")</f>
        <v/>
      </c>
      <c r="H3765" s="69"/>
      <c r="I3765" s="66"/>
      <c r="J3765" s="125">
        <v>0</v>
      </c>
    </row>
    <row r="3766" spans="1:10" ht="15.75" hidden="1" thickBot="1" x14ac:dyDescent="0.3">
      <c r="A3766" s="234" t="s">
        <v>1803</v>
      </c>
      <c r="B3766" s="237" t="s">
        <v>1804</v>
      </c>
      <c r="C3766" s="160"/>
      <c r="D3766" s="23" t="s">
        <v>1628</v>
      </c>
      <c r="E3766" s="24"/>
      <c r="F3766" s="44" t="s">
        <v>418</v>
      </c>
      <c r="G3766" s="25" t="str">
        <f>IF(ISNUMBER(F3766),E3766*F3766,"")</f>
        <v/>
      </c>
      <c r="H3766" s="26"/>
      <c r="I3766" s="27"/>
      <c r="J3766" s="125">
        <v>0</v>
      </c>
    </row>
    <row r="3767" spans="1:10" ht="15.75" hidden="1" thickBot="1" x14ac:dyDescent="0.3">
      <c r="A3767" s="235"/>
      <c r="B3767" s="238"/>
      <c r="C3767" s="151"/>
      <c r="D3767" s="29"/>
      <c r="E3767" s="30"/>
      <c r="F3767" s="49" t="s">
        <v>418</v>
      </c>
      <c r="G3767" s="49" t="str">
        <f>IF(ISNUMBER(F3767),E3767*F3767,"")</f>
        <v/>
      </c>
      <c r="H3767" s="65"/>
      <c r="I3767" s="66"/>
      <c r="J3767" s="125">
        <v>0</v>
      </c>
    </row>
    <row r="3768" spans="1:10" ht="15.75" hidden="1" thickBot="1" x14ac:dyDescent="0.3">
      <c r="A3768" s="235"/>
      <c r="B3768" s="238"/>
      <c r="C3768" s="155" t="s">
        <v>1074</v>
      </c>
      <c r="D3768" s="155" t="s">
        <v>89</v>
      </c>
      <c r="E3768" s="156" t="e">
        <f>IF(#REF!="Desonerado",ROUND(1/(1+47.14%),4),ROUND(1/(1+70.4%),4))</f>
        <v>#REF!</v>
      </c>
      <c r="F3768" s="49">
        <v>4335.780999999999</v>
      </c>
      <c r="G3768" s="49" t="e">
        <f>IF(ISNUMBER(F3768),E3768*F3768,"")</f>
        <v>#REF!</v>
      </c>
      <c r="H3768" s="35" t="e">
        <f>SUM(G3768:G3771)</f>
        <v>#REF!</v>
      </c>
      <c r="I3768" s="36"/>
      <c r="J3768" s="125">
        <v>0</v>
      </c>
    </row>
    <row r="3769" spans="1:10" ht="15.75" hidden="1" thickBot="1" x14ac:dyDescent="0.3">
      <c r="A3769" s="235"/>
      <c r="B3769" s="238"/>
      <c r="C3769" s="155"/>
      <c r="D3769" s="33"/>
      <c r="E3769" s="34"/>
      <c r="F3769" s="49" t="s">
        <v>418</v>
      </c>
      <c r="G3769" s="49" t="str">
        <f>IF(ISNUMBER(F3769),E3769*F3769,"")</f>
        <v/>
      </c>
      <c r="H3769" s="65"/>
      <c r="I3769" s="66"/>
      <c r="J3769" s="125">
        <v>0</v>
      </c>
    </row>
    <row r="3770" spans="1:10" ht="26.25" hidden="1" thickBot="1" x14ac:dyDescent="0.3">
      <c r="A3770" s="235"/>
      <c r="B3770" s="238"/>
      <c r="C3770" s="43" t="s">
        <v>657</v>
      </c>
      <c r="D3770" s="33"/>
      <c r="E3770" s="34"/>
      <c r="F3770" s="49" t="s">
        <v>418</v>
      </c>
      <c r="G3770" s="49" t="str">
        <f>IF(ISNUMBER(F3770),E3770*F3770,"")</f>
        <v/>
      </c>
      <c r="H3770" s="65"/>
      <c r="I3770" s="66"/>
      <c r="J3770" s="125">
        <v>0</v>
      </c>
    </row>
    <row r="3771" spans="1:10" ht="15.75" hidden="1" thickBot="1" x14ac:dyDescent="0.3">
      <c r="A3771" s="236"/>
      <c r="B3771" s="239"/>
      <c r="C3771" s="164"/>
      <c r="D3771" s="50"/>
      <c r="E3771" s="61"/>
      <c r="F3771" s="68" t="s">
        <v>418</v>
      </c>
      <c r="G3771" s="68" t="str">
        <f>IF(ISNUMBER(F3771),E3771*F3771,"")</f>
        <v/>
      </c>
      <c r="H3771" s="69"/>
      <c r="I3771" s="66"/>
      <c r="J3771" s="125">
        <v>0</v>
      </c>
    </row>
    <row r="3772" spans="1:10" ht="15.75" hidden="1" thickBot="1" x14ac:dyDescent="0.3">
      <c r="A3772" s="234" t="s">
        <v>1805</v>
      </c>
      <c r="B3772" s="237" t="s">
        <v>1806</v>
      </c>
      <c r="C3772" s="160"/>
      <c r="D3772" s="23" t="s">
        <v>1628</v>
      </c>
      <c r="E3772" s="24"/>
      <c r="F3772" s="44" t="s">
        <v>418</v>
      </c>
      <c r="G3772" s="25" t="str">
        <f>IF(ISNUMBER(F3772),E3772*F3772,"")</f>
        <v/>
      </c>
      <c r="H3772" s="26"/>
      <c r="I3772" s="27"/>
      <c r="J3772" s="125">
        <v>0</v>
      </c>
    </row>
    <row r="3773" spans="1:10" ht="15.75" hidden="1" thickBot="1" x14ac:dyDescent="0.3">
      <c r="A3773" s="235"/>
      <c r="B3773" s="238"/>
      <c r="C3773" s="151"/>
      <c r="D3773" s="29"/>
      <c r="E3773" s="30"/>
      <c r="F3773" s="49" t="s">
        <v>418</v>
      </c>
      <c r="G3773" s="49" t="str">
        <f>IF(ISNUMBER(F3773),E3773*F3773,"")</f>
        <v/>
      </c>
      <c r="H3773" s="65"/>
      <c r="I3773" s="66"/>
      <c r="J3773" s="125">
        <v>0</v>
      </c>
    </row>
    <row r="3774" spans="1:10" ht="15.75" hidden="1" thickBot="1" x14ac:dyDescent="0.3">
      <c r="A3774" s="235"/>
      <c r="B3774" s="238"/>
      <c r="C3774" s="155" t="s">
        <v>1074</v>
      </c>
      <c r="D3774" s="155" t="s">
        <v>89</v>
      </c>
      <c r="E3774" s="156" t="e">
        <f>IF(#REF!="Desonerado",ROUND(1/(1+47.14%),4),ROUND(1/(1+70.4%),4))</f>
        <v>#REF!</v>
      </c>
      <c r="F3774" s="49">
        <v>4335.780999999999</v>
      </c>
      <c r="G3774" s="49" t="e">
        <f>IF(ISNUMBER(F3774),E3774*F3774,"")</f>
        <v>#REF!</v>
      </c>
      <c r="H3774" s="35" t="e">
        <f>SUM(G3774:G3777)</f>
        <v>#REF!</v>
      </c>
      <c r="I3774" s="36"/>
      <c r="J3774" s="125">
        <v>0</v>
      </c>
    </row>
    <row r="3775" spans="1:10" ht="15.75" hidden="1" thickBot="1" x14ac:dyDescent="0.3">
      <c r="A3775" s="235"/>
      <c r="B3775" s="238"/>
      <c r="C3775" s="155"/>
      <c r="D3775" s="33"/>
      <c r="E3775" s="34"/>
      <c r="F3775" s="49" t="s">
        <v>418</v>
      </c>
      <c r="G3775" s="49" t="str">
        <f>IF(ISNUMBER(F3775),E3775*F3775,"")</f>
        <v/>
      </c>
      <c r="H3775" s="65"/>
      <c r="I3775" s="66"/>
      <c r="J3775" s="125">
        <v>0</v>
      </c>
    </row>
    <row r="3776" spans="1:10" ht="26.25" hidden="1" thickBot="1" x14ac:dyDescent="0.3">
      <c r="A3776" s="235"/>
      <c r="B3776" s="238"/>
      <c r="C3776" s="43" t="s">
        <v>657</v>
      </c>
      <c r="D3776" s="33"/>
      <c r="E3776" s="34"/>
      <c r="F3776" s="49" t="s">
        <v>418</v>
      </c>
      <c r="G3776" s="49" t="str">
        <f>IF(ISNUMBER(F3776),E3776*F3776,"")</f>
        <v/>
      </c>
      <c r="H3776" s="65"/>
      <c r="I3776" s="66"/>
      <c r="J3776" s="125">
        <v>0</v>
      </c>
    </row>
    <row r="3777" spans="1:10" ht="15.75" hidden="1" thickBot="1" x14ac:dyDescent="0.3">
      <c r="A3777" s="236"/>
      <c r="B3777" s="239"/>
      <c r="C3777" s="164"/>
      <c r="D3777" s="50"/>
      <c r="E3777" s="61"/>
      <c r="F3777" s="68" t="s">
        <v>418</v>
      </c>
      <c r="G3777" s="68" t="str">
        <f>IF(ISNUMBER(F3777),E3777*F3777,"")</f>
        <v/>
      </c>
      <c r="H3777" s="69"/>
      <c r="I3777" s="66"/>
      <c r="J3777" s="125">
        <v>0</v>
      </c>
    </row>
    <row r="3778" spans="1:10" ht="15.75" hidden="1" thickBot="1" x14ac:dyDescent="0.3">
      <c r="A3778" s="234" t="s">
        <v>1807</v>
      </c>
      <c r="B3778" s="237" t="s">
        <v>1808</v>
      </c>
      <c r="C3778" s="160"/>
      <c r="D3778" s="23" t="s">
        <v>1628</v>
      </c>
      <c r="E3778" s="24"/>
      <c r="F3778" s="44" t="s">
        <v>418</v>
      </c>
      <c r="G3778" s="25" t="str">
        <f>IF(ISNUMBER(F3778),E3778*F3778,"")</f>
        <v/>
      </c>
      <c r="H3778" s="26"/>
      <c r="I3778" s="27"/>
      <c r="J3778" s="125">
        <v>0</v>
      </c>
    </row>
    <row r="3779" spans="1:10" ht="15.75" hidden="1" thickBot="1" x14ac:dyDescent="0.3">
      <c r="A3779" s="235"/>
      <c r="B3779" s="238"/>
      <c r="C3779" s="151"/>
      <c r="D3779" s="29"/>
      <c r="E3779" s="30"/>
      <c r="F3779" s="49" t="s">
        <v>418</v>
      </c>
      <c r="G3779" s="49" t="str">
        <f>IF(ISNUMBER(F3779),E3779*F3779,"")</f>
        <v/>
      </c>
      <c r="H3779" s="65"/>
      <c r="I3779" s="66"/>
      <c r="J3779" s="125">
        <v>0</v>
      </c>
    </row>
    <row r="3780" spans="1:10" ht="15.75" hidden="1" thickBot="1" x14ac:dyDescent="0.3">
      <c r="A3780" s="235"/>
      <c r="B3780" s="238"/>
      <c r="C3780" s="155" t="s">
        <v>1074</v>
      </c>
      <c r="D3780" s="155" t="s">
        <v>89</v>
      </c>
      <c r="E3780" s="156" t="e">
        <f>IF(#REF!="Desonerado",ROUND(1/(1+47.14%),4),ROUND(1/(1+70.4%),4))</f>
        <v>#REF!</v>
      </c>
      <c r="F3780" s="49">
        <v>4335.780999999999</v>
      </c>
      <c r="G3780" s="49" t="e">
        <f>IF(ISNUMBER(F3780),E3780*F3780,"")</f>
        <v>#REF!</v>
      </c>
      <c r="H3780" s="35" t="e">
        <f>SUM(G3780:G3783)</f>
        <v>#REF!</v>
      </c>
      <c r="I3780" s="36"/>
      <c r="J3780" s="125">
        <v>0</v>
      </c>
    </row>
    <row r="3781" spans="1:10" ht="15.75" hidden="1" thickBot="1" x14ac:dyDescent="0.3">
      <c r="A3781" s="235"/>
      <c r="B3781" s="238"/>
      <c r="C3781" s="155"/>
      <c r="D3781" s="33"/>
      <c r="E3781" s="34"/>
      <c r="F3781" s="49" t="s">
        <v>418</v>
      </c>
      <c r="G3781" s="49" t="str">
        <f>IF(ISNUMBER(F3781),E3781*F3781,"")</f>
        <v/>
      </c>
      <c r="H3781" s="65"/>
      <c r="I3781" s="66"/>
      <c r="J3781" s="125">
        <v>0</v>
      </c>
    </row>
    <row r="3782" spans="1:10" ht="26.25" hidden="1" thickBot="1" x14ac:dyDescent="0.3">
      <c r="A3782" s="235"/>
      <c r="B3782" s="238"/>
      <c r="C3782" s="43" t="s">
        <v>657</v>
      </c>
      <c r="D3782" s="33"/>
      <c r="E3782" s="34"/>
      <c r="F3782" s="49" t="s">
        <v>418</v>
      </c>
      <c r="G3782" s="49" t="str">
        <f>IF(ISNUMBER(F3782),E3782*F3782,"")</f>
        <v/>
      </c>
      <c r="H3782" s="65"/>
      <c r="I3782" s="66"/>
      <c r="J3782" s="125">
        <v>0</v>
      </c>
    </row>
    <row r="3783" spans="1:10" ht="15.75" hidden="1" thickBot="1" x14ac:dyDescent="0.3">
      <c r="A3783" s="236"/>
      <c r="B3783" s="239"/>
      <c r="C3783" s="164"/>
      <c r="D3783" s="50"/>
      <c r="E3783" s="61"/>
      <c r="F3783" s="68" t="s">
        <v>418</v>
      </c>
      <c r="G3783" s="68" t="str">
        <f>IF(ISNUMBER(F3783),E3783*F3783,"")</f>
        <v/>
      </c>
      <c r="H3783" s="69"/>
      <c r="I3783" s="66"/>
      <c r="J3783" s="125">
        <v>0</v>
      </c>
    </row>
    <row r="3784" spans="1:10" ht="15.75" hidden="1" thickBot="1" x14ac:dyDescent="0.3">
      <c r="A3784" s="234" t="s">
        <v>1809</v>
      </c>
      <c r="B3784" s="237" t="s">
        <v>1810</v>
      </c>
      <c r="C3784" s="160"/>
      <c r="D3784" s="23" t="s">
        <v>1628</v>
      </c>
      <c r="E3784" s="24"/>
      <c r="F3784" s="44" t="s">
        <v>418</v>
      </c>
      <c r="G3784" s="25" t="str">
        <f>IF(ISNUMBER(F3784),E3784*F3784,"")</f>
        <v/>
      </c>
      <c r="H3784" s="26"/>
      <c r="I3784" s="27"/>
      <c r="J3784" s="125">
        <v>0</v>
      </c>
    </row>
    <row r="3785" spans="1:10" ht="15.75" hidden="1" thickBot="1" x14ac:dyDescent="0.3">
      <c r="A3785" s="235"/>
      <c r="B3785" s="238"/>
      <c r="C3785" s="151"/>
      <c r="D3785" s="29"/>
      <c r="E3785" s="30"/>
      <c r="F3785" s="49" t="s">
        <v>418</v>
      </c>
      <c r="G3785" s="49" t="str">
        <f>IF(ISNUMBER(F3785),E3785*F3785,"")</f>
        <v/>
      </c>
      <c r="H3785" s="65"/>
      <c r="I3785" s="66"/>
      <c r="J3785" s="125">
        <v>0</v>
      </c>
    </row>
    <row r="3786" spans="1:10" ht="15.75" hidden="1" thickBot="1" x14ac:dyDescent="0.3">
      <c r="A3786" s="235"/>
      <c r="B3786" s="238"/>
      <c r="C3786" s="155" t="s">
        <v>1074</v>
      </c>
      <c r="D3786" s="155" t="s">
        <v>89</v>
      </c>
      <c r="E3786" s="156" t="e">
        <f>IF(#REF!="Desonerado",ROUND(1/(1+47.14%),4),ROUND(1/(1+70.4%),4))</f>
        <v>#REF!</v>
      </c>
      <c r="F3786" s="49">
        <v>4335.780999999999</v>
      </c>
      <c r="G3786" s="49" t="e">
        <f>IF(ISNUMBER(F3786),E3786*F3786,"")</f>
        <v>#REF!</v>
      </c>
      <c r="H3786" s="35" t="e">
        <f>SUM(G3786:G3789)</f>
        <v>#REF!</v>
      </c>
      <c r="I3786" s="36"/>
      <c r="J3786" s="125">
        <v>0</v>
      </c>
    </row>
    <row r="3787" spans="1:10" ht="15.75" hidden="1" thickBot="1" x14ac:dyDescent="0.3">
      <c r="A3787" s="235"/>
      <c r="B3787" s="238"/>
      <c r="C3787" s="155"/>
      <c r="D3787" s="33"/>
      <c r="E3787" s="34"/>
      <c r="F3787" s="49" t="s">
        <v>418</v>
      </c>
      <c r="G3787" s="49" t="str">
        <f>IF(ISNUMBER(F3787),E3787*F3787,"")</f>
        <v/>
      </c>
      <c r="H3787" s="65"/>
      <c r="I3787" s="66"/>
      <c r="J3787" s="125">
        <v>0</v>
      </c>
    </row>
    <row r="3788" spans="1:10" ht="26.25" hidden="1" thickBot="1" x14ac:dyDescent="0.3">
      <c r="A3788" s="235"/>
      <c r="B3788" s="238"/>
      <c r="C3788" s="43" t="s">
        <v>657</v>
      </c>
      <c r="D3788" s="33"/>
      <c r="E3788" s="34"/>
      <c r="F3788" s="49" t="s">
        <v>418</v>
      </c>
      <c r="G3788" s="49" t="str">
        <f>IF(ISNUMBER(F3788),E3788*F3788,"")</f>
        <v/>
      </c>
      <c r="H3788" s="65"/>
      <c r="I3788" s="66"/>
      <c r="J3788" s="125">
        <v>0</v>
      </c>
    </row>
    <row r="3789" spans="1:10" ht="15.75" hidden="1" thickBot="1" x14ac:dyDescent="0.3">
      <c r="A3789" s="236"/>
      <c r="B3789" s="239"/>
      <c r="C3789" s="164"/>
      <c r="D3789" s="50"/>
      <c r="E3789" s="61"/>
      <c r="F3789" s="68" t="s">
        <v>418</v>
      </c>
      <c r="G3789" s="68" t="str">
        <f>IF(ISNUMBER(F3789),E3789*F3789,"")</f>
        <v/>
      </c>
      <c r="H3789" s="69"/>
      <c r="I3789" s="66"/>
      <c r="J3789" s="125">
        <v>0</v>
      </c>
    </row>
    <row r="3790" spans="1:10" ht="15.75" hidden="1" thickBot="1" x14ac:dyDescent="0.3">
      <c r="A3790" s="234" t="s">
        <v>1811</v>
      </c>
      <c r="B3790" s="237" t="s">
        <v>1812</v>
      </c>
      <c r="C3790" s="160"/>
      <c r="D3790" s="23" t="s">
        <v>1628</v>
      </c>
      <c r="E3790" s="24"/>
      <c r="F3790" s="44" t="s">
        <v>418</v>
      </c>
      <c r="G3790" s="25" t="str">
        <f>IF(ISNUMBER(F3790),E3790*F3790,"")</f>
        <v/>
      </c>
      <c r="H3790" s="26"/>
      <c r="I3790" s="27"/>
      <c r="J3790" s="125">
        <v>0</v>
      </c>
    </row>
    <row r="3791" spans="1:10" ht="15.75" hidden="1" thickBot="1" x14ac:dyDescent="0.3">
      <c r="A3791" s="235"/>
      <c r="B3791" s="238"/>
      <c r="C3791" s="151"/>
      <c r="D3791" s="29"/>
      <c r="E3791" s="30"/>
      <c r="F3791" s="49" t="s">
        <v>418</v>
      </c>
      <c r="G3791" s="49" t="str">
        <f>IF(ISNUMBER(F3791),E3791*F3791,"")</f>
        <v/>
      </c>
      <c r="H3791" s="65"/>
      <c r="I3791" s="66"/>
      <c r="J3791" s="125">
        <v>0</v>
      </c>
    </row>
    <row r="3792" spans="1:10" ht="15.75" hidden="1" thickBot="1" x14ac:dyDescent="0.3">
      <c r="A3792" s="235"/>
      <c r="B3792" s="238"/>
      <c r="C3792" s="155" t="s">
        <v>1074</v>
      </c>
      <c r="D3792" s="155" t="s">
        <v>89</v>
      </c>
      <c r="E3792" s="156" t="e">
        <f>IF(#REF!="Desonerado",ROUND(1/(1+47.14%),4),ROUND(1/(1+70.4%),4))</f>
        <v>#REF!</v>
      </c>
      <c r="F3792" s="49">
        <v>4335.780999999999</v>
      </c>
      <c r="G3792" s="49" t="e">
        <f>IF(ISNUMBER(F3792),E3792*F3792,"")</f>
        <v>#REF!</v>
      </c>
      <c r="H3792" s="35" t="e">
        <f>SUM(G3792:G3795)</f>
        <v>#REF!</v>
      </c>
      <c r="I3792" s="36"/>
      <c r="J3792" s="125">
        <v>0</v>
      </c>
    </row>
    <row r="3793" spans="1:10" ht="15.75" hidden="1" thickBot="1" x14ac:dyDescent="0.3">
      <c r="A3793" s="235"/>
      <c r="B3793" s="238"/>
      <c r="C3793" s="155"/>
      <c r="D3793" s="33"/>
      <c r="E3793" s="34"/>
      <c r="F3793" s="49" t="s">
        <v>418</v>
      </c>
      <c r="G3793" s="49" t="str">
        <f>IF(ISNUMBER(F3793),E3793*F3793,"")</f>
        <v/>
      </c>
      <c r="H3793" s="65"/>
      <c r="I3793" s="66"/>
      <c r="J3793" s="125">
        <v>0</v>
      </c>
    </row>
    <row r="3794" spans="1:10" ht="26.25" hidden="1" thickBot="1" x14ac:dyDescent="0.3">
      <c r="A3794" s="235"/>
      <c r="B3794" s="238"/>
      <c r="C3794" s="43" t="s">
        <v>657</v>
      </c>
      <c r="D3794" s="33"/>
      <c r="E3794" s="34"/>
      <c r="F3794" s="49" t="s">
        <v>418</v>
      </c>
      <c r="G3794" s="49" t="str">
        <f>IF(ISNUMBER(F3794),E3794*F3794,"")</f>
        <v/>
      </c>
      <c r="H3794" s="65"/>
      <c r="I3794" s="66"/>
      <c r="J3794" s="125">
        <v>0</v>
      </c>
    </row>
    <row r="3795" spans="1:10" ht="15.75" hidden="1" thickBot="1" x14ac:dyDescent="0.3">
      <c r="A3795" s="236"/>
      <c r="B3795" s="239"/>
      <c r="C3795" s="164"/>
      <c r="D3795" s="50"/>
      <c r="E3795" s="61"/>
      <c r="F3795" s="68" t="s">
        <v>418</v>
      </c>
      <c r="G3795" s="68" t="str">
        <f>IF(ISNUMBER(F3795),E3795*F3795,"")</f>
        <v/>
      </c>
      <c r="H3795" s="69"/>
      <c r="I3795" s="66"/>
      <c r="J3795" s="125">
        <v>0</v>
      </c>
    </row>
    <row r="3796" spans="1:10" ht="15.75" hidden="1" thickBot="1" x14ac:dyDescent="0.3">
      <c r="A3796" s="234" t="s">
        <v>1813</v>
      </c>
      <c r="B3796" s="237" t="s">
        <v>1814</v>
      </c>
      <c r="C3796" s="160"/>
      <c r="D3796" s="23" t="s">
        <v>1628</v>
      </c>
      <c r="E3796" s="24"/>
      <c r="F3796" s="44" t="s">
        <v>418</v>
      </c>
      <c r="G3796" s="25" t="str">
        <f>IF(ISNUMBER(F3796),E3796*F3796,"")</f>
        <v/>
      </c>
      <c r="H3796" s="26"/>
      <c r="I3796" s="27"/>
      <c r="J3796" s="125">
        <v>0</v>
      </c>
    </row>
    <row r="3797" spans="1:10" ht="15.75" hidden="1" thickBot="1" x14ac:dyDescent="0.3">
      <c r="A3797" s="235"/>
      <c r="B3797" s="238"/>
      <c r="C3797" s="151"/>
      <c r="D3797" s="29"/>
      <c r="E3797" s="30"/>
      <c r="F3797" s="49" t="s">
        <v>418</v>
      </c>
      <c r="G3797" s="49" t="str">
        <f>IF(ISNUMBER(F3797),E3797*F3797,"")</f>
        <v/>
      </c>
      <c r="H3797" s="65"/>
      <c r="I3797" s="66"/>
      <c r="J3797" s="125">
        <v>0</v>
      </c>
    </row>
    <row r="3798" spans="1:10" ht="15.75" hidden="1" thickBot="1" x14ac:dyDescent="0.3">
      <c r="A3798" s="235"/>
      <c r="B3798" s="238"/>
      <c r="C3798" s="155" t="s">
        <v>1074</v>
      </c>
      <c r="D3798" s="155" t="s">
        <v>89</v>
      </c>
      <c r="E3798" s="156" t="e">
        <f>IF(#REF!="Desonerado",ROUND(1/(1+47.14%),4),ROUND(1/(1+70.4%),4))</f>
        <v>#REF!</v>
      </c>
      <c r="F3798" s="49">
        <v>4335.780999999999</v>
      </c>
      <c r="G3798" s="49" t="e">
        <f>IF(ISNUMBER(F3798),E3798*F3798,"")</f>
        <v>#REF!</v>
      </c>
      <c r="H3798" s="35" t="e">
        <f>SUM(G3798:G3801)</f>
        <v>#REF!</v>
      </c>
      <c r="I3798" s="36"/>
      <c r="J3798" s="125">
        <v>0</v>
      </c>
    </row>
    <row r="3799" spans="1:10" ht="15.75" hidden="1" thickBot="1" x14ac:dyDescent="0.3">
      <c r="A3799" s="235"/>
      <c r="B3799" s="238"/>
      <c r="C3799" s="155"/>
      <c r="D3799" s="33"/>
      <c r="E3799" s="34"/>
      <c r="F3799" s="49" t="s">
        <v>418</v>
      </c>
      <c r="G3799" s="49" t="str">
        <f>IF(ISNUMBER(F3799),E3799*F3799,"")</f>
        <v/>
      </c>
      <c r="H3799" s="65"/>
      <c r="I3799" s="66"/>
      <c r="J3799" s="125">
        <v>0</v>
      </c>
    </row>
    <row r="3800" spans="1:10" ht="26.25" hidden="1" thickBot="1" x14ac:dyDescent="0.3">
      <c r="A3800" s="235"/>
      <c r="B3800" s="238"/>
      <c r="C3800" s="43" t="s">
        <v>657</v>
      </c>
      <c r="D3800" s="33"/>
      <c r="E3800" s="34"/>
      <c r="F3800" s="49" t="s">
        <v>418</v>
      </c>
      <c r="G3800" s="49" t="str">
        <f>IF(ISNUMBER(F3800),E3800*F3800,"")</f>
        <v/>
      </c>
      <c r="H3800" s="65"/>
      <c r="I3800" s="66"/>
      <c r="J3800" s="125">
        <v>0</v>
      </c>
    </row>
    <row r="3801" spans="1:10" ht="15.75" hidden="1" thickBot="1" x14ac:dyDescent="0.3">
      <c r="A3801" s="236"/>
      <c r="B3801" s="239"/>
      <c r="C3801" s="164"/>
      <c r="D3801" s="50"/>
      <c r="E3801" s="61"/>
      <c r="F3801" s="68" t="s">
        <v>418</v>
      </c>
      <c r="G3801" s="68" t="str">
        <f>IF(ISNUMBER(F3801),E3801*F3801,"")</f>
        <v/>
      </c>
      <c r="H3801" s="69"/>
      <c r="I3801" s="66"/>
      <c r="J3801" s="125">
        <v>0</v>
      </c>
    </row>
    <row r="3802" spans="1:10" ht="15.75" hidden="1" thickBot="1" x14ac:dyDescent="0.3">
      <c r="A3802" s="234" t="s">
        <v>1815</v>
      </c>
      <c r="B3802" s="237" t="s">
        <v>1816</v>
      </c>
      <c r="C3802" s="160"/>
      <c r="D3802" s="23" t="s">
        <v>1628</v>
      </c>
      <c r="E3802" s="24"/>
      <c r="F3802" s="44" t="s">
        <v>418</v>
      </c>
      <c r="G3802" s="25" t="str">
        <f>IF(ISNUMBER(F3802),E3802*F3802,"")</f>
        <v/>
      </c>
      <c r="H3802" s="26"/>
      <c r="I3802" s="27"/>
      <c r="J3802" s="125">
        <v>0</v>
      </c>
    </row>
    <row r="3803" spans="1:10" ht="15.75" hidden="1" thickBot="1" x14ac:dyDescent="0.3">
      <c r="A3803" s="235"/>
      <c r="B3803" s="238"/>
      <c r="C3803" s="151"/>
      <c r="D3803" s="29"/>
      <c r="E3803" s="30"/>
      <c r="F3803" s="49" t="s">
        <v>418</v>
      </c>
      <c r="G3803" s="49" t="str">
        <f>IF(ISNUMBER(F3803),E3803*F3803,"")</f>
        <v/>
      </c>
      <c r="H3803" s="65"/>
      <c r="I3803" s="66"/>
      <c r="J3803" s="125">
        <v>0</v>
      </c>
    </row>
    <row r="3804" spans="1:10" ht="15.75" hidden="1" thickBot="1" x14ac:dyDescent="0.3">
      <c r="A3804" s="235"/>
      <c r="B3804" s="238"/>
      <c r="C3804" s="155" t="s">
        <v>1074</v>
      </c>
      <c r="D3804" s="155" t="s">
        <v>89</v>
      </c>
      <c r="E3804" s="156" t="e">
        <f>IF(#REF!="Desonerado",ROUND(1/(1+47.14%),4),ROUND(1/(1+70.4%),4))</f>
        <v>#REF!</v>
      </c>
      <c r="F3804" s="49">
        <v>4335.780999999999</v>
      </c>
      <c r="G3804" s="49" t="e">
        <f>IF(ISNUMBER(F3804),E3804*F3804,"")</f>
        <v>#REF!</v>
      </c>
      <c r="H3804" s="35" t="e">
        <f>SUM(G3804:G3807)</f>
        <v>#REF!</v>
      </c>
      <c r="I3804" s="36"/>
      <c r="J3804" s="125">
        <v>0</v>
      </c>
    </row>
    <row r="3805" spans="1:10" ht="15.75" hidden="1" thickBot="1" x14ac:dyDescent="0.3">
      <c r="A3805" s="235"/>
      <c r="B3805" s="238"/>
      <c r="C3805" s="155"/>
      <c r="D3805" s="33"/>
      <c r="E3805" s="34"/>
      <c r="F3805" s="49" t="s">
        <v>418</v>
      </c>
      <c r="G3805" s="49" t="str">
        <f>IF(ISNUMBER(F3805),E3805*F3805,"")</f>
        <v/>
      </c>
      <c r="H3805" s="65"/>
      <c r="I3805" s="66"/>
      <c r="J3805" s="125">
        <v>0</v>
      </c>
    </row>
    <row r="3806" spans="1:10" ht="26.25" hidden="1" thickBot="1" x14ac:dyDescent="0.3">
      <c r="A3806" s="235"/>
      <c r="B3806" s="238"/>
      <c r="C3806" s="43" t="s">
        <v>657</v>
      </c>
      <c r="D3806" s="33"/>
      <c r="E3806" s="34"/>
      <c r="F3806" s="49" t="s">
        <v>418</v>
      </c>
      <c r="G3806" s="49" t="str">
        <f>IF(ISNUMBER(F3806),E3806*F3806,"")</f>
        <v/>
      </c>
      <c r="H3806" s="65"/>
      <c r="I3806" s="66"/>
      <c r="J3806" s="125">
        <v>0</v>
      </c>
    </row>
    <row r="3807" spans="1:10" ht="15.75" hidden="1" thickBot="1" x14ac:dyDescent="0.3">
      <c r="A3807" s="236"/>
      <c r="B3807" s="239"/>
      <c r="C3807" s="164"/>
      <c r="D3807" s="50"/>
      <c r="E3807" s="61"/>
      <c r="F3807" s="68" t="s">
        <v>418</v>
      </c>
      <c r="G3807" s="68" t="str">
        <f>IF(ISNUMBER(F3807),E3807*F3807,"")</f>
        <v/>
      </c>
      <c r="H3807" s="69"/>
      <c r="I3807" s="66"/>
      <c r="J3807" s="125">
        <v>0</v>
      </c>
    </row>
    <row r="3808" spans="1:10" ht="15.75" hidden="1" thickBot="1" x14ac:dyDescent="0.3">
      <c r="A3808" s="234" t="s">
        <v>987</v>
      </c>
      <c r="B3808" s="237" t="s">
        <v>1817</v>
      </c>
      <c r="C3808" s="160"/>
      <c r="D3808" s="23" t="s">
        <v>1628</v>
      </c>
      <c r="E3808" s="24"/>
      <c r="F3808" s="44" t="s">
        <v>418</v>
      </c>
      <c r="G3808" s="25" t="str">
        <f>IF(ISNUMBER(F3808),E3808*F3808,"")</f>
        <v/>
      </c>
      <c r="H3808" s="26"/>
      <c r="I3808" s="27"/>
      <c r="J3808" s="125">
        <v>0</v>
      </c>
    </row>
    <row r="3809" spans="1:10" ht="15.75" hidden="1" thickBot="1" x14ac:dyDescent="0.3">
      <c r="A3809" s="235"/>
      <c r="B3809" s="238"/>
      <c r="C3809" s="151"/>
      <c r="D3809" s="29"/>
      <c r="E3809" s="30"/>
      <c r="F3809" s="49" t="s">
        <v>418</v>
      </c>
      <c r="G3809" s="49" t="str">
        <f>IF(ISNUMBER(F3809),E3809*F3809,"")</f>
        <v/>
      </c>
      <c r="H3809" s="65"/>
      <c r="I3809" s="66"/>
      <c r="J3809" s="125">
        <v>0</v>
      </c>
    </row>
    <row r="3810" spans="1:10" ht="26.25" hidden="1" thickBot="1" x14ac:dyDescent="0.3">
      <c r="A3810" s="235"/>
      <c r="B3810" s="238"/>
      <c r="C3810" s="155" t="s">
        <v>988</v>
      </c>
      <c r="D3810" s="155" t="s">
        <v>89</v>
      </c>
      <c r="E3810" s="156" t="e">
        <f>IF(#REF!="Desonerado",ROUND(1/(1+47.14%),4),ROUND(1/(1+70.4%),4))</f>
        <v>#REF!</v>
      </c>
      <c r="F3810" s="49">
        <v>4235.0809999999992</v>
      </c>
      <c r="G3810" s="49" t="e">
        <f>IF(ISNUMBER(F3810),E3810*F3810,"")</f>
        <v>#REF!</v>
      </c>
      <c r="H3810" s="35" t="e">
        <f>SUM(G3810:G3813)</f>
        <v>#REF!</v>
      </c>
      <c r="I3810" s="36"/>
      <c r="J3810" s="125">
        <v>0</v>
      </c>
    </row>
    <row r="3811" spans="1:10" ht="15.75" hidden="1" thickBot="1" x14ac:dyDescent="0.3">
      <c r="A3811" s="235"/>
      <c r="B3811" s="238"/>
      <c r="C3811" s="155"/>
      <c r="D3811" s="33"/>
      <c r="E3811" s="34"/>
      <c r="F3811" s="49" t="s">
        <v>418</v>
      </c>
      <c r="G3811" s="49" t="str">
        <f>IF(ISNUMBER(F3811),E3811*F3811,"")</f>
        <v/>
      </c>
      <c r="H3811" s="65"/>
      <c r="I3811" s="66"/>
      <c r="J3811" s="125">
        <v>0</v>
      </c>
    </row>
    <row r="3812" spans="1:10" ht="26.25" hidden="1" thickBot="1" x14ac:dyDescent="0.3">
      <c r="A3812" s="235"/>
      <c r="B3812" s="238"/>
      <c r="C3812" s="43" t="s">
        <v>657</v>
      </c>
      <c r="D3812" s="33"/>
      <c r="E3812" s="34"/>
      <c r="F3812" s="49" t="s">
        <v>418</v>
      </c>
      <c r="G3812" s="49" t="str">
        <f>IF(ISNUMBER(F3812),E3812*F3812,"")</f>
        <v/>
      </c>
      <c r="H3812" s="65"/>
      <c r="I3812" s="66"/>
      <c r="J3812" s="125">
        <v>0</v>
      </c>
    </row>
    <row r="3813" spans="1:10" ht="15.75" hidden="1" thickBot="1" x14ac:dyDescent="0.3">
      <c r="A3813" s="236"/>
      <c r="B3813" s="239"/>
      <c r="C3813" s="164"/>
      <c r="D3813" s="50"/>
      <c r="E3813" s="61"/>
      <c r="F3813" s="68" t="s">
        <v>418</v>
      </c>
      <c r="G3813" s="68" t="str">
        <f>IF(ISNUMBER(F3813),E3813*F3813,"")</f>
        <v/>
      </c>
      <c r="H3813" s="69"/>
      <c r="I3813" s="66"/>
      <c r="J3813" s="125">
        <v>0</v>
      </c>
    </row>
    <row r="3814" spans="1:10" ht="15.75" hidden="1" thickBot="1" x14ac:dyDescent="0.3">
      <c r="A3814" s="234" t="s">
        <v>989</v>
      </c>
      <c r="B3814" s="237" t="s">
        <v>1818</v>
      </c>
      <c r="C3814" s="160"/>
      <c r="D3814" s="23" t="s">
        <v>13435</v>
      </c>
      <c r="E3814" s="24"/>
      <c r="F3814" s="44" t="s">
        <v>418</v>
      </c>
      <c r="G3814" s="25" t="str">
        <f>IF(ISNUMBER(F3814),E3814*F3814,"")</f>
        <v/>
      </c>
      <c r="H3814" s="26"/>
      <c r="I3814" s="27"/>
      <c r="J3814" s="125">
        <v>0</v>
      </c>
    </row>
    <row r="3815" spans="1:10" ht="15.75" hidden="1" thickBot="1" x14ac:dyDescent="0.3">
      <c r="A3815" s="249"/>
      <c r="B3815" s="238"/>
      <c r="C3815" s="151"/>
      <c r="D3815" s="29"/>
      <c r="E3815" s="30"/>
      <c r="F3815" s="49" t="s">
        <v>418</v>
      </c>
      <c r="G3815" s="49" t="str">
        <f>IF(ISNUMBER(F3815),E3815*F3815,"")</f>
        <v/>
      </c>
      <c r="H3815" s="65"/>
      <c r="I3815" s="66"/>
      <c r="J3815" s="125">
        <v>0</v>
      </c>
    </row>
    <row r="3816" spans="1:10" ht="15.75" hidden="1" thickBot="1" x14ac:dyDescent="0.3">
      <c r="A3816" s="249"/>
      <c r="B3816" s="238"/>
      <c r="C3816" s="155" t="s">
        <v>9784</v>
      </c>
      <c r="D3816" s="155" t="s">
        <v>587</v>
      </c>
      <c r="E3816" s="34">
        <f>0.5/50</f>
        <v>0.01</v>
      </c>
      <c r="F3816" s="49">
        <v>25.516999999999999</v>
      </c>
      <c r="G3816" s="49">
        <f>IF(ISNUMBER(F3816),E3816*F3816,"")</f>
        <v>0.25517000000000001</v>
      </c>
      <c r="H3816" s="35">
        <f>SUM(G3816:G3817)</f>
        <v>0.25517000000000001</v>
      </c>
      <c r="I3816" s="36"/>
      <c r="J3816" s="125">
        <v>0</v>
      </c>
    </row>
    <row r="3817" spans="1:10" ht="15.75" hidden="1" thickBot="1" x14ac:dyDescent="0.3">
      <c r="A3817" s="249"/>
      <c r="B3817" s="238"/>
      <c r="C3817" s="155" t="s">
        <v>990</v>
      </c>
      <c r="D3817" s="33" t="s">
        <v>97</v>
      </c>
      <c r="E3817" s="34">
        <f>1/50</f>
        <v>0.02</v>
      </c>
      <c r="F3817" s="49" t="s">
        <v>418</v>
      </c>
      <c r="G3817" s="49" t="str">
        <f>IF(ISNUMBER(F3817),E3817*F3817,"")</f>
        <v/>
      </c>
      <c r="H3817" s="65"/>
      <c r="I3817" s="66"/>
      <c r="J3817" s="125">
        <v>0</v>
      </c>
    </row>
    <row r="3818" spans="1:10" ht="15.75" hidden="1" thickBot="1" x14ac:dyDescent="0.3">
      <c r="A3818" s="250"/>
      <c r="B3818" s="239"/>
      <c r="C3818" s="155"/>
      <c r="D3818" s="33"/>
      <c r="E3818" s="34"/>
      <c r="F3818" s="49" t="s">
        <v>418</v>
      </c>
      <c r="G3818" s="49" t="str">
        <f>IF(ISNUMBER(F3818),E3818*F3818,"")</f>
        <v/>
      </c>
      <c r="H3818" s="65"/>
      <c r="I3818" s="66"/>
      <c r="J3818" s="125">
        <v>0</v>
      </c>
    </row>
    <row r="3819" spans="1:10" ht="15.75" hidden="1" thickBot="1" x14ac:dyDescent="0.3">
      <c r="A3819" s="234" t="s">
        <v>991</v>
      </c>
      <c r="B3819" s="237" t="s">
        <v>1819</v>
      </c>
      <c r="C3819" s="160"/>
      <c r="D3819" s="23" t="s">
        <v>69</v>
      </c>
      <c r="E3819" s="24"/>
      <c r="F3819" s="44" t="s">
        <v>418</v>
      </c>
      <c r="G3819" s="25" t="str">
        <f>IF(ISNUMBER(F3819),E3819*F3819,"")</f>
        <v/>
      </c>
      <c r="H3819" s="26"/>
      <c r="I3819" s="27"/>
      <c r="J3819" s="125">
        <v>0</v>
      </c>
    </row>
    <row r="3820" spans="1:10" ht="15.75" hidden="1" thickBot="1" x14ac:dyDescent="0.3">
      <c r="A3820" s="249"/>
      <c r="B3820" s="238"/>
      <c r="C3820" s="151"/>
      <c r="D3820" s="29"/>
      <c r="E3820" s="30"/>
      <c r="F3820" s="49" t="s">
        <v>418</v>
      </c>
      <c r="G3820" s="49" t="str">
        <f>IF(ISNUMBER(F3820),E3820*F3820,"")</f>
        <v/>
      </c>
      <c r="H3820" s="65"/>
      <c r="I3820" s="66"/>
      <c r="J3820" s="125">
        <v>0</v>
      </c>
    </row>
    <row r="3821" spans="1:10" ht="15.75" hidden="1" thickBot="1" x14ac:dyDescent="0.3">
      <c r="A3821" s="249"/>
      <c r="B3821" s="238"/>
      <c r="C3821" s="155" t="s">
        <v>595</v>
      </c>
      <c r="D3821" s="155" t="s">
        <v>587</v>
      </c>
      <c r="E3821" s="34">
        <v>0.5</v>
      </c>
      <c r="F3821" s="49">
        <v>25.65</v>
      </c>
      <c r="G3821" s="49">
        <f>IF(ISNUMBER(F3821),E3821*F3821,"")</f>
        <v>12.824999999999999</v>
      </c>
      <c r="H3821" s="35">
        <f>SUM(G3821:G3827)</f>
        <v>39.112828774520899</v>
      </c>
      <c r="I3821" s="36"/>
      <c r="J3821" s="125">
        <v>0</v>
      </c>
    </row>
    <row r="3822" spans="1:10" ht="15.75" hidden="1" thickBot="1" x14ac:dyDescent="0.3">
      <c r="A3822" s="249"/>
      <c r="B3822" s="238"/>
      <c r="C3822" s="155" t="s">
        <v>588</v>
      </c>
      <c r="D3822" s="155" t="s">
        <v>587</v>
      </c>
      <c r="E3822" s="34">
        <v>0.51</v>
      </c>
      <c r="F3822" s="49">
        <v>19.189999999999998</v>
      </c>
      <c r="G3822" s="49">
        <f>IF(ISNUMBER(F3822),E3822*F3822,"")</f>
        <v>9.7868999999999993</v>
      </c>
      <c r="H3822" s="65"/>
      <c r="I3822" s="66"/>
      <c r="J3822" s="125">
        <v>0</v>
      </c>
    </row>
    <row r="3823" spans="1:10" ht="39" hidden="1" thickBot="1" x14ac:dyDescent="0.3">
      <c r="A3823" s="249"/>
      <c r="B3823" s="238"/>
      <c r="C3823" s="155" t="s">
        <v>111</v>
      </c>
      <c r="D3823" s="155" t="s">
        <v>85</v>
      </c>
      <c r="E3823" s="34">
        <v>3.0999999999999999E-3</v>
      </c>
      <c r="F3823" s="49">
        <v>868.17702403900012</v>
      </c>
      <c r="G3823" s="49">
        <f>IF(ISNUMBER(F3823),E3823*F3823,"")</f>
        <v>2.6913487745209004</v>
      </c>
      <c r="H3823" s="65"/>
      <c r="I3823" s="66"/>
      <c r="J3823" s="125">
        <v>0</v>
      </c>
    </row>
    <row r="3824" spans="1:10" ht="15.75" hidden="1" thickBot="1" x14ac:dyDescent="0.3">
      <c r="A3824" s="249"/>
      <c r="B3824" s="238"/>
      <c r="C3824" s="155" t="s">
        <v>992</v>
      </c>
      <c r="D3824" s="42" t="s">
        <v>69</v>
      </c>
      <c r="E3824" s="34">
        <v>1</v>
      </c>
      <c r="F3824" s="49" t="s">
        <v>418</v>
      </c>
      <c r="G3824" s="49" t="str">
        <f>IF(ISNUMBER(F3824),E3824*F3824,"")</f>
        <v/>
      </c>
      <c r="H3824" s="65"/>
      <c r="I3824" s="66"/>
      <c r="J3824" s="125">
        <v>0</v>
      </c>
    </row>
    <row r="3825" spans="1:10" ht="15.75" hidden="1" thickBot="1" x14ac:dyDescent="0.3">
      <c r="A3825" s="249"/>
      <c r="B3825" s="238"/>
      <c r="C3825" s="155" t="s">
        <v>1048</v>
      </c>
      <c r="D3825" s="155" t="s">
        <v>587</v>
      </c>
      <c r="E3825" s="34">
        <v>8.6999999999999994E-2</v>
      </c>
      <c r="F3825" s="49">
        <v>25.46</v>
      </c>
      <c r="G3825" s="49">
        <f>IF(ISNUMBER(F3825),E3825*F3825,"")</f>
        <v>2.21502</v>
      </c>
      <c r="H3825" s="65"/>
      <c r="I3825" s="66"/>
      <c r="J3825" s="125">
        <v>0</v>
      </c>
    </row>
    <row r="3826" spans="1:10" s="144" customFormat="1" ht="15.75" hidden="1" thickBot="1" x14ac:dyDescent="0.3">
      <c r="A3826" s="249"/>
      <c r="B3826" s="238"/>
      <c r="C3826" s="155" t="s">
        <v>664</v>
      </c>
      <c r="D3826" s="155" t="s">
        <v>587</v>
      </c>
      <c r="E3826" s="156">
        <v>6.4000000000000001E-2</v>
      </c>
      <c r="F3826" s="49">
        <v>19.189999999999998</v>
      </c>
      <c r="G3826" s="49">
        <f>IF(ISNUMBER(F3826),E3826*F3826,"")</f>
        <v>1.2281599999999999</v>
      </c>
      <c r="H3826" s="65"/>
      <c r="I3826" s="66"/>
      <c r="J3826" s="125">
        <v>0</v>
      </c>
    </row>
    <row r="3827" spans="1:10" ht="15.75" hidden="1" thickBot="1" x14ac:dyDescent="0.3">
      <c r="A3827" s="249"/>
      <c r="B3827" s="238"/>
      <c r="C3827" s="155" t="s">
        <v>27384</v>
      </c>
      <c r="D3827" s="155" t="s">
        <v>205</v>
      </c>
      <c r="E3827" s="34">
        <v>0.4</v>
      </c>
      <c r="F3827" s="49">
        <v>25.916</v>
      </c>
      <c r="G3827" s="49">
        <f>IF(ISNUMBER(F3827),E3827*F3827,"")</f>
        <v>10.366400000000001</v>
      </c>
      <c r="H3827" s="65"/>
      <c r="I3827" s="66"/>
      <c r="J3827" s="125">
        <v>0</v>
      </c>
    </row>
    <row r="3828" spans="1:10" ht="15.75" hidden="1" thickBot="1" x14ac:dyDescent="0.3">
      <c r="A3828" s="249"/>
      <c r="B3828" s="238"/>
      <c r="C3828" s="155"/>
      <c r="D3828" s="42"/>
      <c r="E3828" s="34"/>
      <c r="F3828" s="49" t="s">
        <v>418</v>
      </c>
      <c r="G3828" s="49" t="str">
        <f>IF(ISNUMBER(F3828),E3828*F3828,"")</f>
        <v/>
      </c>
      <c r="H3828" s="65"/>
      <c r="I3828" s="66"/>
      <c r="J3828" s="125">
        <v>0</v>
      </c>
    </row>
    <row r="3829" spans="1:10" ht="15.75" hidden="1" thickBot="1" x14ac:dyDescent="0.3">
      <c r="A3829" s="249"/>
      <c r="B3829" s="238"/>
      <c r="C3829" s="47" t="s">
        <v>20954</v>
      </c>
      <c r="D3829" s="42"/>
      <c r="E3829" s="34"/>
      <c r="F3829" s="49" t="s">
        <v>418</v>
      </c>
      <c r="G3829" s="49" t="str">
        <f>IF(ISNUMBER(F3829),E3829*F3829,"")</f>
        <v/>
      </c>
      <c r="H3829" s="65"/>
      <c r="I3829" s="66"/>
      <c r="J3829" s="125">
        <v>0</v>
      </c>
    </row>
    <row r="3830" spans="1:10" ht="15.75" hidden="1" thickBot="1" x14ac:dyDescent="0.3">
      <c r="A3830" s="249"/>
      <c r="B3830" s="238"/>
      <c r="C3830" s="164"/>
      <c r="D3830" s="50"/>
      <c r="E3830" s="61"/>
      <c r="F3830" s="68" t="s">
        <v>418</v>
      </c>
      <c r="G3830" s="68" t="str">
        <f>IF(ISNUMBER(F3830),E3830*F3830,"")</f>
        <v/>
      </c>
      <c r="H3830" s="69"/>
      <c r="I3830" s="66"/>
      <c r="J3830" s="125">
        <v>0</v>
      </c>
    </row>
    <row r="3831" spans="1:10" ht="15.75" hidden="1" thickBot="1" x14ac:dyDescent="0.3">
      <c r="A3831" s="234" t="s">
        <v>993</v>
      </c>
      <c r="B3831" s="237" t="s">
        <v>1820</v>
      </c>
      <c r="C3831" s="160"/>
      <c r="D3831" s="23" t="s">
        <v>70</v>
      </c>
      <c r="E3831" s="24"/>
      <c r="F3831" s="44" t="s">
        <v>418</v>
      </c>
      <c r="G3831" s="25" t="str">
        <f>IF(ISNUMBER(F3831),E3831*F3831,"")</f>
        <v/>
      </c>
      <c r="H3831" s="26"/>
      <c r="I3831" s="27"/>
      <c r="J3831" s="125">
        <v>0</v>
      </c>
    </row>
    <row r="3832" spans="1:10" ht="15.75" hidden="1" thickBot="1" x14ac:dyDescent="0.3">
      <c r="A3832" s="249"/>
      <c r="B3832" s="238"/>
      <c r="C3832" s="151"/>
      <c r="D3832" s="29"/>
      <c r="E3832" s="30"/>
      <c r="F3832" s="49" t="s">
        <v>418</v>
      </c>
      <c r="G3832" s="49" t="str">
        <f>IF(ISNUMBER(F3832),E3832*F3832,"")</f>
        <v/>
      </c>
      <c r="H3832" s="65"/>
      <c r="I3832" s="66"/>
      <c r="J3832" s="125">
        <v>0</v>
      </c>
    </row>
    <row r="3833" spans="1:10" ht="15.75" hidden="1" thickBot="1" x14ac:dyDescent="0.3">
      <c r="A3833" s="249"/>
      <c r="B3833" s="238"/>
      <c r="C3833" s="155" t="s">
        <v>10274</v>
      </c>
      <c r="D3833" s="155" t="s">
        <v>774</v>
      </c>
      <c r="E3833" s="34">
        <f>ROUND(0.5228/(1.5*0.6),4)</f>
        <v>0.58089999999999997</v>
      </c>
      <c r="F3833" s="49">
        <v>39.444000000000003</v>
      </c>
      <c r="G3833" s="49">
        <f>IF(ISNUMBER(F3833),E3833*F3833,"")</f>
        <v>22.913019600000002</v>
      </c>
      <c r="H3833" s="35">
        <f>SUM(G3833:G3839)</f>
        <v>148.98495745</v>
      </c>
      <c r="I3833" s="36"/>
      <c r="J3833" s="125">
        <v>0</v>
      </c>
    </row>
    <row r="3834" spans="1:10" ht="39" hidden="1" thickBot="1" x14ac:dyDescent="0.3">
      <c r="A3834" s="249"/>
      <c r="B3834" s="238"/>
      <c r="C3834" s="155" t="s">
        <v>996</v>
      </c>
      <c r="D3834" s="155" t="s">
        <v>205</v>
      </c>
      <c r="E3834" s="34">
        <f>ROUND(6/(1.5*0.6),4)</f>
        <v>6.6666999999999996</v>
      </c>
      <c r="F3834" s="49">
        <v>0.57950000000000002</v>
      </c>
      <c r="G3834" s="49">
        <f>IF(ISNUMBER(F3834),E3834*F3834,"")</f>
        <v>3.8633526499999999</v>
      </c>
      <c r="H3834" s="65"/>
      <c r="I3834" s="66"/>
      <c r="J3834" s="125">
        <v>0</v>
      </c>
    </row>
    <row r="3835" spans="1:10" ht="26.25" hidden="1" thickBot="1" x14ac:dyDescent="0.3">
      <c r="A3835" s="249"/>
      <c r="B3835" s="238"/>
      <c r="C3835" s="155" t="s">
        <v>994</v>
      </c>
      <c r="D3835" s="33" t="s">
        <v>870</v>
      </c>
      <c r="E3835" s="34">
        <f>ROUND(1.005/(1.5*0.6),4)</f>
        <v>1.1167</v>
      </c>
      <c r="F3835" s="49" t="s">
        <v>418</v>
      </c>
      <c r="G3835" s="49" t="str">
        <f>IF(ISNUMBER(F3835),E3835*F3835,"")</f>
        <v/>
      </c>
      <c r="H3835" s="65"/>
      <c r="I3835" s="66"/>
      <c r="J3835" s="125">
        <v>0</v>
      </c>
    </row>
    <row r="3836" spans="1:10" ht="15.75" hidden="1" thickBot="1" x14ac:dyDescent="0.3">
      <c r="A3836" s="249"/>
      <c r="B3836" s="238"/>
      <c r="C3836" s="155" t="s">
        <v>10395</v>
      </c>
      <c r="D3836" s="155" t="s">
        <v>774</v>
      </c>
      <c r="E3836" s="34">
        <f>ROUND(0.0211/(1.5*0.6),4)</f>
        <v>2.3400000000000001E-2</v>
      </c>
      <c r="F3836" s="49">
        <v>138.6335</v>
      </c>
      <c r="G3836" s="49">
        <f>IF(ISNUMBER(F3836),E3836*F3836,"")</f>
        <v>3.2440239000000002</v>
      </c>
      <c r="H3836" s="65"/>
      <c r="I3836" s="66"/>
      <c r="J3836" s="125">
        <v>0</v>
      </c>
    </row>
    <row r="3837" spans="1:10" ht="26.25" hidden="1" thickBot="1" x14ac:dyDescent="0.3">
      <c r="A3837" s="249"/>
      <c r="B3837" s="238"/>
      <c r="C3837" s="155" t="s">
        <v>10283</v>
      </c>
      <c r="D3837" s="155" t="s">
        <v>205</v>
      </c>
      <c r="E3837" s="34">
        <f>ROUND(2/(1.5*0.6),4)</f>
        <v>2.2222</v>
      </c>
      <c r="F3837" s="49">
        <v>25.032499999999999</v>
      </c>
      <c r="G3837" s="49">
        <f>IF(ISNUMBER(F3837),E3837*F3837,"")</f>
        <v>55.627221499999997</v>
      </c>
      <c r="H3837" s="65"/>
      <c r="I3837" s="66"/>
      <c r="J3837" s="125">
        <v>0</v>
      </c>
    </row>
    <row r="3838" spans="1:10" ht="15.75" hidden="1" thickBot="1" x14ac:dyDescent="0.3">
      <c r="A3838" s="249"/>
      <c r="B3838" s="238"/>
      <c r="C3838" s="155" t="s">
        <v>9784</v>
      </c>
      <c r="D3838" s="155" t="s">
        <v>587</v>
      </c>
      <c r="E3838" s="34">
        <f>ROUND(1.4944/(1.5*0.6),4)</f>
        <v>1.6604000000000001</v>
      </c>
      <c r="F3838" s="49">
        <v>25.516999999999999</v>
      </c>
      <c r="G3838" s="49">
        <f>IF(ISNUMBER(F3838),E3838*F3838,"")</f>
        <v>42.368426800000002</v>
      </c>
      <c r="H3838" s="65"/>
      <c r="I3838" s="66"/>
      <c r="J3838" s="125">
        <v>0</v>
      </c>
    </row>
    <row r="3839" spans="1:10" ht="15.75" hidden="1" thickBot="1" x14ac:dyDescent="0.3">
      <c r="A3839" s="249"/>
      <c r="B3839" s="238"/>
      <c r="C3839" s="155" t="s">
        <v>588</v>
      </c>
      <c r="D3839" s="155" t="s">
        <v>587</v>
      </c>
      <c r="E3839" s="34">
        <f>ROUND(0.9834/(1.5*0.6),4)</f>
        <v>1.0927</v>
      </c>
      <c r="F3839" s="49">
        <v>19.189999999999998</v>
      </c>
      <c r="G3839" s="49">
        <f>IF(ISNUMBER(F3839),E3839*F3839,"")</f>
        <v>20.968912999999997</v>
      </c>
      <c r="H3839" s="65"/>
      <c r="I3839" s="66"/>
      <c r="J3839" s="125">
        <v>0</v>
      </c>
    </row>
    <row r="3840" spans="1:10" ht="15.75" hidden="1" thickBot="1" x14ac:dyDescent="0.3">
      <c r="A3840" s="249"/>
      <c r="B3840" s="238"/>
      <c r="C3840" s="155"/>
      <c r="D3840" s="33"/>
      <c r="E3840" s="34"/>
      <c r="F3840" s="49" t="s">
        <v>418</v>
      </c>
      <c r="G3840" s="49" t="str">
        <f>IF(ISNUMBER(F3840),E3840*F3840,"")</f>
        <v/>
      </c>
      <c r="H3840" s="65"/>
      <c r="I3840" s="66"/>
      <c r="J3840" s="125">
        <v>0</v>
      </c>
    </row>
    <row r="3841" spans="1:10" ht="15.75" hidden="1" thickBot="1" x14ac:dyDescent="0.3">
      <c r="A3841" s="234" t="s">
        <v>995</v>
      </c>
      <c r="B3841" s="237" t="s">
        <v>1821</v>
      </c>
      <c r="C3841" s="160"/>
      <c r="D3841" s="23" t="s">
        <v>70</v>
      </c>
      <c r="E3841" s="24"/>
      <c r="F3841" s="44" t="s">
        <v>418</v>
      </c>
      <c r="G3841" s="25" t="str">
        <f>IF(ISNUMBER(F3841),E3841*F3841,"")</f>
        <v/>
      </c>
      <c r="H3841" s="26"/>
      <c r="I3841" s="27"/>
      <c r="J3841" s="125">
        <v>0</v>
      </c>
    </row>
    <row r="3842" spans="1:10" ht="15.75" hidden="1" thickBot="1" x14ac:dyDescent="0.3">
      <c r="A3842" s="249"/>
      <c r="B3842" s="238"/>
      <c r="C3842" s="151"/>
      <c r="D3842" s="29"/>
      <c r="E3842" s="30"/>
      <c r="F3842" s="49" t="s">
        <v>418</v>
      </c>
      <c r="G3842" s="49" t="str">
        <f>IF(ISNUMBER(F3842),E3842*F3842,"")</f>
        <v/>
      </c>
      <c r="H3842" s="65"/>
      <c r="I3842" s="66"/>
      <c r="J3842" s="125">
        <v>0</v>
      </c>
    </row>
    <row r="3843" spans="1:10" ht="26.25" hidden="1" thickBot="1" x14ac:dyDescent="0.3">
      <c r="A3843" s="249"/>
      <c r="B3843" s="238"/>
      <c r="C3843" s="155" t="s">
        <v>937</v>
      </c>
      <c r="D3843" s="155" t="s">
        <v>38831</v>
      </c>
      <c r="E3843" s="34">
        <v>0.88290000000000002</v>
      </c>
      <c r="F3843" s="49">
        <v>39.225499999999997</v>
      </c>
      <c r="G3843" s="49">
        <f>IF(ISNUMBER(F3843),E3843*F3843,"")</f>
        <v>34.632193950000001</v>
      </c>
      <c r="H3843" s="35">
        <f>SUM(G3843:G3848)</f>
        <v>612.12938114999986</v>
      </c>
      <c r="I3843" s="36"/>
      <c r="J3843" s="125">
        <v>0</v>
      </c>
    </row>
    <row r="3844" spans="1:10" ht="39" hidden="1" thickBot="1" x14ac:dyDescent="0.3">
      <c r="A3844" s="249"/>
      <c r="B3844" s="238"/>
      <c r="C3844" s="155" t="s">
        <v>996</v>
      </c>
      <c r="D3844" s="155" t="s">
        <v>205</v>
      </c>
      <c r="E3844" s="34">
        <v>4.8166000000000002</v>
      </c>
      <c r="F3844" s="49">
        <v>0.57950000000000002</v>
      </c>
      <c r="G3844" s="49">
        <f>IF(ISNUMBER(F3844),E3844*F3844,"")</f>
        <v>2.7912197000000001</v>
      </c>
      <c r="H3844" s="65"/>
      <c r="I3844" s="66"/>
      <c r="J3844" s="125">
        <v>0</v>
      </c>
    </row>
    <row r="3845" spans="1:10" ht="39" hidden="1" thickBot="1" x14ac:dyDescent="0.3">
      <c r="A3845" s="249"/>
      <c r="B3845" s="238"/>
      <c r="C3845" s="155" t="s">
        <v>25658</v>
      </c>
      <c r="D3845" s="155" t="s">
        <v>385</v>
      </c>
      <c r="E3845" s="34">
        <v>6.8503999999999996</v>
      </c>
      <c r="F3845" s="49">
        <v>23.160999999999998</v>
      </c>
      <c r="G3845" s="49">
        <f>IF(ISNUMBER(F3845),E3845*F3845,"")</f>
        <v>158.66211439999998</v>
      </c>
      <c r="H3845" s="65"/>
      <c r="I3845" s="66"/>
      <c r="J3845" s="125">
        <v>0</v>
      </c>
    </row>
    <row r="3846" spans="1:10" ht="26.25" hidden="1" thickBot="1" x14ac:dyDescent="0.3">
      <c r="A3846" s="249"/>
      <c r="B3846" s="238"/>
      <c r="C3846" s="155" t="s">
        <v>997</v>
      </c>
      <c r="D3846" s="155" t="s">
        <v>205</v>
      </c>
      <c r="E3846" s="34">
        <v>0.54730000000000001</v>
      </c>
      <c r="F3846" s="49">
        <v>735.54699999999991</v>
      </c>
      <c r="G3846" s="49">
        <f>IF(ISNUMBER(F3846),E3846*F3846,"")</f>
        <v>402.56487309999994</v>
      </c>
      <c r="H3846" s="65"/>
      <c r="I3846" s="66"/>
      <c r="J3846" s="125">
        <v>0</v>
      </c>
    </row>
    <row r="3847" spans="1:10" ht="15.75" hidden="1" thickBot="1" x14ac:dyDescent="0.3">
      <c r="A3847" s="249"/>
      <c r="B3847" s="238"/>
      <c r="C3847" s="155" t="s">
        <v>595</v>
      </c>
      <c r="D3847" s="155" t="s">
        <v>587</v>
      </c>
      <c r="E3847" s="34">
        <v>0.3826</v>
      </c>
      <c r="F3847" s="49">
        <v>25.65</v>
      </c>
      <c r="G3847" s="49">
        <f>IF(ISNUMBER(F3847),E3847*F3847,"")</f>
        <v>9.8136899999999994</v>
      </c>
      <c r="H3847" s="65"/>
      <c r="I3847" s="66"/>
      <c r="J3847" s="125">
        <v>0</v>
      </c>
    </row>
    <row r="3848" spans="1:10" ht="15.75" hidden="1" thickBot="1" x14ac:dyDescent="0.3">
      <c r="A3848" s="249"/>
      <c r="B3848" s="238"/>
      <c r="C3848" s="155" t="s">
        <v>588</v>
      </c>
      <c r="D3848" s="155" t="s">
        <v>587</v>
      </c>
      <c r="E3848" s="34">
        <v>0.191</v>
      </c>
      <c r="F3848" s="49">
        <v>19.189999999999998</v>
      </c>
      <c r="G3848" s="49">
        <f>IF(ISNUMBER(F3848),E3848*F3848,"")</f>
        <v>3.6652899999999997</v>
      </c>
      <c r="H3848" s="65"/>
      <c r="I3848" s="66"/>
      <c r="J3848" s="125">
        <v>0</v>
      </c>
    </row>
    <row r="3849" spans="1:10" ht="15.75" hidden="1" thickBot="1" x14ac:dyDescent="0.3">
      <c r="A3849" s="249"/>
      <c r="B3849" s="238"/>
      <c r="C3849" s="155"/>
      <c r="D3849" s="42"/>
      <c r="E3849" s="34"/>
      <c r="F3849" s="49" t="s">
        <v>418</v>
      </c>
      <c r="G3849" s="49" t="str">
        <f>IF(ISNUMBER(F3849),E3849*F3849,"")</f>
        <v/>
      </c>
      <c r="H3849" s="65"/>
      <c r="I3849" s="66"/>
      <c r="J3849" s="125">
        <v>0</v>
      </c>
    </row>
    <row r="3850" spans="1:10" ht="15.75" hidden="1" thickBot="1" x14ac:dyDescent="0.3">
      <c r="A3850" s="234" t="s">
        <v>998</v>
      </c>
      <c r="B3850" s="237" t="s">
        <v>13469</v>
      </c>
      <c r="C3850" s="160"/>
      <c r="D3850" s="23" t="s">
        <v>70</v>
      </c>
      <c r="E3850" s="24"/>
      <c r="F3850" s="44" t="s">
        <v>418</v>
      </c>
      <c r="G3850" s="25" t="str">
        <f>IF(ISNUMBER(F3850),E3850*F3850,"")</f>
        <v/>
      </c>
      <c r="H3850" s="26"/>
      <c r="I3850" s="27"/>
      <c r="J3850" s="125">
        <v>0</v>
      </c>
    </row>
    <row r="3851" spans="1:10" ht="15.75" hidden="1" thickBot="1" x14ac:dyDescent="0.3">
      <c r="A3851" s="249"/>
      <c r="B3851" s="238"/>
      <c r="C3851" s="151"/>
      <c r="D3851" s="29"/>
      <c r="E3851" s="30"/>
      <c r="F3851" s="49" t="s">
        <v>418</v>
      </c>
      <c r="G3851" s="49" t="str">
        <f>IF(ISNUMBER(F3851),E3851*F3851,"")</f>
        <v/>
      </c>
      <c r="H3851" s="65"/>
      <c r="I3851" s="66"/>
      <c r="J3851" s="125">
        <v>0</v>
      </c>
    </row>
    <row r="3852" spans="1:10" ht="39" hidden="1" thickBot="1" x14ac:dyDescent="0.3">
      <c r="A3852" s="249"/>
      <c r="B3852" s="238"/>
      <c r="C3852" s="155" t="s">
        <v>999</v>
      </c>
      <c r="D3852" s="155" t="s">
        <v>205</v>
      </c>
      <c r="E3852" s="34">
        <v>24.4</v>
      </c>
      <c r="F3852" s="49">
        <v>0.19949999999999998</v>
      </c>
      <c r="G3852" s="49">
        <f>IF(ISNUMBER(F3852),E3852*F3852,"")</f>
        <v>4.867799999999999</v>
      </c>
      <c r="H3852" s="35">
        <f>SUM(G3852:G3856)</f>
        <v>581.92210194999984</v>
      </c>
      <c r="I3852" s="36"/>
      <c r="J3852" s="125">
        <v>0</v>
      </c>
    </row>
    <row r="3853" spans="1:10" ht="39" hidden="1" thickBot="1" x14ac:dyDescent="0.3">
      <c r="A3853" s="249"/>
      <c r="B3853" s="238"/>
      <c r="C3853" s="155" t="s">
        <v>25769</v>
      </c>
      <c r="D3853" s="155" t="s">
        <v>205</v>
      </c>
      <c r="E3853" s="34">
        <v>2.0832999999999999</v>
      </c>
      <c r="F3853" s="49">
        <v>232.60749999999999</v>
      </c>
      <c r="G3853" s="49">
        <f>IF(ISNUMBER(F3853),E3853*F3853,"")</f>
        <v>484.59120474999997</v>
      </c>
      <c r="H3853" s="65"/>
      <c r="I3853" s="66"/>
      <c r="J3853" s="125">
        <v>0</v>
      </c>
    </row>
    <row r="3854" spans="1:10" ht="15.75" hidden="1" thickBot="1" x14ac:dyDescent="0.3">
      <c r="A3854" s="249"/>
      <c r="B3854" s="238"/>
      <c r="C3854" s="155" t="s">
        <v>27384</v>
      </c>
      <c r="D3854" s="155" t="s">
        <v>205</v>
      </c>
      <c r="E3854" s="34">
        <v>1.2466999999999999</v>
      </c>
      <c r="F3854" s="49">
        <v>25.916</v>
      </c>
      <c r="G3854" s="49">
        <f>IF(ISNUMBER(F3854),E3854*F3854,"")</f>
        <v>32.309477199999996</v>
      </c>
      <c r="H3854" s="65"/>
      <c r="I3854" s="66"/>
      <c r="J3854" s="125">
        <v>0</v>
      </c>
    </row>
    <row r="3855" spans="1:10" ht="15.75" hidden="1" thickBot="1" x14ac:dyDescent="0.3">
      <c r="A3855" s="249"/>
      <c r="B3855" s="238"/>
      <c r="C3855" s="155" t="s">
        <v>595</v>
      </c>
      <c r="D3855" s="155" t="s">
        <v>587</v>
      </c>
      <c r="E3855" s="34">
        <v>1.7070000000000001</v>
      </c>
      <c r="F3855" s="49">
        <v>25.65</v>
      </c>
      <c r="G3855" s="49">
        <f>IF(ISNUMBER(F3855),E3855*F3855,"")</f>
        <v>43.784550000000003</v>
      </c>
      <c r="H3855" s="65"/>
      <c r="I3855" s="66"/>
      <c r="J3855" s="125">
        <v>0</v>
      </c>
    </row>
    <row r="3856" spans="1:10" ht="15.75" hidden="1" thickBot="1" x14ac:dyDescent="0.3">
      <c r="A3856" s="249"/>
      <c r="B3856" s="238"/>
      <c r="C3856" s="155" t="s">
        <v>588</v>
      </c>
      <c r="D3856" s="155" t="s">
        <v>587</v>
      </c>
      <c r="E3856" s="34">
        <v>0.85299999999999998</v>
      </c>
      <c r="F3856" s="49">
        <v>19.189999999999998</v>
      </c>
      <c r="G3856" s="49">
        <f>IF(ISNUMBER(F3856),E3856*F3856,"")</f>
        <v>16.369069999999997</v>
      </c>
      <c r="H3856" s="65"/>
      <c r="I3856" s="66"/>
      <c r="J3856" s="125">
        <v>0</v>
      </c>
    </row>
    <row r="3857" spans="1:10" ht="15.75" hidden="1" thickBot="1" x14ac:dyDescent="0.3">
      <c r="A3857" s="249"/>
      <c r="B3857" s="238"/>
      <c r="C3857" s="155"/>
      <c r="D3857" s="42"/>
      <c r="E3857" s="34"/>
      <c r="F3857" s="49" t="s">
        <v>418</v>
      </c>
      <c r="G3857" s="49" t="str">
        <f>IF(ISNUMBER(F3857),E3857*F3857,"")</f>
        <v/>
      </c>
      <c r="H3857" s="65"/>
      <c r="I3857" s="66"/>
      <c r="J3857" s="125">
        <v>0</v>
      </c>
    </row>
    <row r="3858" spans="1:10" ht="15.75" hidden="1" thickBot="1" x14ac:dyDescent="0.3">
      <c r="A3858" s="234" t="s">
        <v>1000</v>
      </c>
      <c r="B3858" s="237" t="s">
        <v>1822</v>
      </c>
      <c r="C3858" s="160"/>
      <c r="D3858" s="23" t="s">
        <v>70</v>
      </c>
      <c r="E3858" s="24"/>
      <c r="F3858" s="44" t="s">
        <v>418</v>
      </c>
      <c r="G3858" s="25" t="str">
        <f>IF(ISNUMBER(F3858),E3858*F3858,"")</f>
        <v/>
      </c>
      <c r="H3858" s="26"/>
      <c r="I3858" s="27"/>
      <c r="J3858" s="125">
        <v>0</v>
      </c>
    </row>
    <row r="3859" spans="1:10" ht="15.75" hidden="1" thickBot="1" x14ac:dyDescent="0.3">
      <c r="A3859" s="249"/>
      <c r="B3859" s="238"/>
      <c r="C3859" s="151"/>
      <c r="D3859" s="29"/>
      <c r="E3859" s="30"/>
      <c r="F3859" s="49" t="s">
        <v>418</v>
      </c>
      <c r="G3859" s="49" t="str">
        <f>IF(ISNUMBER(F3859),E3859*F3859,"")</f>
        <v/>
      </c>
      <c r="H3859" s="65"/>
      <c r="I3859" s="66"/>
      <c r="J3859" s="125">
        <v>0</v>
      </c>
    </row>
    <row r="3860" spans="1:10" ht="39" hidden="1" thickBot="1" x14ac:dyDescent="0.3">
      <c r="A3860" s="249"/>
      <c r="B3860" s="238"/>
      <c r="C3860" s="155" t="s">
        <v>1001</v>
      </c>
      <c r="D3860" s="155" t="s">
        <v>870</v>
      </c>
      <c r="E3860" s="34">
        <v>1</v>
      </c>
      <c r="F3860" s="49">
        <v>373.72999999999996</v>
      </c>
      <c r="G3860" s="49">
        <f>IF(ISNUMBER(F3860),E3860*F3860,"")</f>
        <v>373.72999999999996</v>
      </c>
      <c r="H3860" s="35">
        <f>SUM(G3860:G3866)</f>
        <v>427.97366410904988</v>
      </c>
      <c r="I3860" s="36"/>
      <c r="J3860" s="125">
        <v>0</v>
      </c>
    </row>
    <row r="3861" spans="1:10" ht="15.75" hidden="1" thickBot="1" x14ac:dyDescent="0.3">
      <c r="A3861" s="249"/>
      <c r="B3861" s="238"/>
      <c r="C3861" s="155" t="s">
        <v>595</v>
      </c>
      <c r="D3861" s="155" t="s">
        <v>587</v>
      </c>
      <c r="E3861" s="34">
        <v>1</v>
      </c>
      <c r="F3861" s="49">
        <v>25.65</v>
      </c>
      <c r="G3861" s="49">
        <f>IF(ISNUMBER(F3861),E3861*F3861,"")</f>
        <v>25.65</v>
      </c>
      <c r="H3861" s="65"/>
      <c r="I3861" s="66"/>
      <c r="J3861" s="125">
        <v>0</v>
      </c>
    </row>
    <row r="3862" spans="1:10" ht="15.75" hidden="1" thickBot="1" x14ac:dyDescent="0.3">
      <c r="A3862" s="249"/>
      <c r="B3862" s="238"/>
      <c r="C3862" s="155" t="s">
        <v>588</v>
      </c>
      <c r="D3862" s="155" t="s">
        <v>587</v>
      </c>
      <c r="E3862" s="34">
        <v>1.1000000000000001</v>
      </c>
      <c r="F3862" s="49">
        <v>19.189999999999998</v>
      </c>
      <c r="G3862" s="49">
        <f>IF(ISNUMBER(F3862),E3862*F3862,"")</f>
        <v>21.108999999999998</v>
      </c>
      <c r="H3862" s="65"/>
      <c r="I3862" s="66"/>
      <c r="J3862" s="125">
        <v>0</v>
      </c>
    </row>
    <row r="3863" spans="1:10" ht="26.25" hidden="1" thickBot="1" x14ac:dyDescent="0.3">
      <c r="A3863" s="249"/>
      <c r="B3863" s="238"/>
      <c r="C3863" s="155" t="s">
        <v>23674</v>
      </c>
      <c r="D3863" s="155" t="s">
        <v>85</v>
      </c>
      <c r="E3863" s="34">
        <v>1.2999999999999999E-2</v>
      </c>
      <c r="F3863" s="49">
        <v>66.5</v>
      </c>
      <c r="G3863" s="49">
        <f>IF(ISNUMBER(F3863),E3863*F3863,"")</f>
        <v>0.86449999999999994</v>
      </c>
      <c r="H3863" s="65"/>
      <c r="I3863" s="66"/>
      <c r="J3863" s="125">
        <v>0</v>
      </c>
    </row>
    <row r="3864" spans="1:10" ht="15.75" hidden="1" thickBot="1" x14ac:dyDescent="0.3">
      <c r="A3864" s="249"/>
      <c r="B3864" s="238"/>
      <c r="C3864" s="155" t="s">
        <v>24537</v>
      </c>
      <c r="D3864" s="155" t="s">
        <v>774</v>
      </c>
      <c r="E3864" s="34">
        <v>4.58</v>
      </c>
      <c r="F3864" s="49">
        <v>1.254</v>
      </c>
      <c r="G3864" s="49">
        <f>IF(ISNUMBER(F3864),E3864*F3864,"")</f>
        <v>5.7433199999999998</v>
      </c>
      <c r="H3864" s="65"/>
      <c r="I3864" s="66"/>
      <c r="J3864" s="125">
        <v>0</v>
      </c>
    </row>
    <row r="3865" spans="1:10" ht="51.75" hidden="1" thickBot="1" x14ac:dyDescent="0.3">
      <c r="A3865" s="249"/>
      <c r="B3865" s="238"/>
      <c r="C3865" s="155" t="s">
        <v>10661</v>
      </c>
      <c r="D3865" s="155" t="s">
        <v>85</v>
      </c>
      <c r="E3865" s="34">
        <f>1*E3863</f>
        <v>1.2999999999999999E-2</v>
      </c>
      <c r="F3865" s="31">
        <v>8.6578848500000003</v>
      </c>
      <c r="G3865" s="31">
        <f>IF(ISNUMBER(F3865),E3865*F3865,"")</f>
        <v>0.11255250305</v>
      </c>
      <c r="H3865" s="32"/>
      <c r="I3865" s="28"/>
      <c r="J3865" s="125">
        <v>0</v>
      </c>
    </row>
    <row r="3866" spans="1:10" ht="39" hidden="1" thickBot="1" x14ac:dyDescent="0.3">
      <c r="A3866" s="249"/>
      <c r="B3866" s="238"/>
      <c r="C3866" s="155" t="s">
        <v>10602</v>
      </c>
      <c r="D3866" s="155" t="s">
        <v>1292</v>
      </c>
      <c r="E3866" s="34">
        <f>E3863*20</f>
        <v>0.26</v>
      </c>
      <c r="F3866" s="49">
        <v>2.9395830999999997</v>
      </c>
      <c r="G3866" s="49">
        <f>IF(ISNUMBER(F3866),E3866*F3866,"")</f>
        <v>0.7642916059999999</v>
      </c>
      <c r="H3866" s="65"/>
      <c r="I3866" s="66"/>
      <c r="J3866" s="125">
        <v>0</v>
      </c>
    </row>
    <row r="3867" spans="1:10" ht="15.75" hidden="1" thickBot="1" x14ac:dyDescent="0.3">
      <c r="A3867" s="249"/>
      <c r="B3867" s="238"/>
      <c r="C3867" s="46"/>
      <c r="D3867" s="42"/>
      <c r="E3867" s="34"/>
      <c r="F3867" s="49" t="s">
        <v>418</v>
      </c>
      <c r="G3867" s="49" t="str">
        <f>IF(ISNUMBER(F3867),E3867*F3867,"")</f>
        <v/>
      </c>
      <c r="H3867" s="65"/>
      <c r="I3867" s="66"/>
      <c r="J3867" s="125">
        <v>0</v>
      </c>
    </row>
    <row r="3868" spans="1:10" ht="15.75" hidden="1" thickBot="1" x14ac:dyDescent="0.3">
      <c r="A3868" s="249"/>
      <c r="B3868" s="238"/>
      <c r="C3868" s="43" t="s">
        <v>633</v>
      </c>
      <c r="D3868" s="42"/>
      <c r="E3868" s="34"/>
      <c r="F3868" s="49" t="s">
        <v>418</v>
      </c>
      <c r="G3868" s="49" t="str">
        <f>IF(ISNUMBER(F3868),E3868*F3868,"")</f>
        <v/>
      </c>
      <c r="H3868" s="65"/>
      <c r="I3868" s="66"/>
      <c r="J3868" s="125">
        <v>0</v>
      </c>
    </row>
    <row r="3869" spans="1:10" ht="15.75" hidden="1" thickBot="1" x14ac:dyDescent="0.3">
      <c r="A3869" s="250"/>
      <c r="B3869" s="239"/>
      <c r="C3869" s="43"/>
      <c r="D3869" s="42"/>
      <c r="E3869" s="34"/>
      <c r="F3869" s="49" t="s">
        <v>418</v>
      </c>
      <c r="G3869" s="49" t="str">
        <f>IF(ISNUMBER(F3869),E3869*F3869,"")</f>
        <v/>
      </c>
      <c r="H3869" s="65"/>
      <c r="I3869" s="66"/>
      <c r="J3869" s="125">
        <v>0</v>
      </c>
    </row>
    <row r="3870" spans="1:10" ht="15.75" hidden="1" thickBot="1" x14ac:dyDescent="0.3">
      <c r="A3870" s="234" t="s">
        <v>1002</v>
      </c>
      <c r="B3870" s="237" t="s">
        <v>1823</v>
      </c>
      <c r="C3870" s="160"/>
      <c r="D3870" s="23" t="s">
        <v>16</v>
      </c>
      <c r="E3870" s="24"/>
      <c r="F3870" s="44" t="s">
        <v>418</v>
      </c>
      <c r="G3870" s="25" t="str">
        <f>IF(ISNUMBER(F3870),E3870*F3870,"")</f>
        <v/>
      </c>
      <c r="H3870" s="26"/>
      <c r="I3870" s="27"/>
      <c r="J3870" s="125">
        <v>0</v>
      </c>
    </row>
    <row r="3871" spans="1:10" ht="15.75" hidden="1" thickBot="1" x14ac:dyDescent="0.3">
      <c r="A3871" s="249"/>
      <c r="B3871" s="238"/>
      <c r="C3871" s="151"/>
      <c r="D3871" s="29"/>
      <c r="E3871" s="30"/>
      <c r="F3871" s="49" t="s">
        <v>418</v>
      </c>
      <c r="G3871" s="49" t="str">
        <f>IF(ISNUMBER(F3871),E3871*F3871,"")</f>
        <v/>
      </c>
      <c r="H3871" s="65"/>
      <c r="I3871" s="66"/>
      <c r="J3871" s="125">
        <v>0</v>
      </c>
    </row>
    <row r="3872" spans="1:10" ht="15.75" hidden="1" thickBot="1" x14ac:dyDescent="0.3">
      <c r="A3872" s="249"/>
      <c r="B3872" s="238"/>
      <c r="C3872" s="155" t="s">
        <v>237</v>
      </c>
      <c r="D3872" s="155" t="s">
        <v>205</v>
      </c>
      <c r="E3872" s="34">
        <v>0.20519999999999999</v>
      </c>
      <c r="F3872" s="49">
        <v>17.166499999999999</v>
      </c>
      <c r="G3872" s="49">
        <f>IF(ISNUMBER(F3872),E3872*F3872,"")</f>
        <v>3.5225657999999997</v>
      </c>
      <c r="H3872" s="35">
        <f>SUM(G3872:G3883)</f>
        <v>552.42027185000006</v>
      </c>
      <c r="I3872" s="36"/>
      <c r="J3872" s="125">
        <v>0</v>
      </c>
    </row>
    <row r="3873" spans="1:10" ht="26.25" hidden="1" thickBot="1" x14ac:dyDescent="0.3">
      <c r="A3873" s="249"/>
      <c r="B3873" s="238"/>
      <c r="C3873" s="155" t="s">
        <v>1003</v>
      </c>
      <c r="D3873" s="155" t="s">
        <v>205</v>
      </c>
      <c r="E3873" s="34">
        <v>2</v>
      </c>
      <c r="F3873" s="49">
        <v>14.715499999999999</v>
      </c>
      <c r="G3873" s="49">
        <f>IF(ISNUMBER(F3873),E3873*F3873,"")</f>
        <v>29.430999999999997</v>
      </c>
      <c r="H3873" s="65"/>
      <c r="I3873" s="66"/>
      <c r="J3873" s="125">
        <v>0</v>
      </c>
    </row>
    <row r="3874" spans="1:10" ht="15.75" hidden="1" thickBot="1" x14ac:dyDescent="0.3">
      <c r="A3874" s="249"/>
      <c r="B3874" s="238"/>
      <c r="C3874" s="155" t="s">
        <v>1004</v>
      </c>
      <c r="D3874" s="155" t="s">
        <v>205</v>
      </c>
      <c r="E3874" s="34">
        <v>4</v>
      </c>
      <c r="F3874" s="49">
        <v>10.9155</v>
      </c>
      <c r="G3874" s="49">
        <f>IF(ISNUMBER(F3874),E3874*F3874,"")</f>
        <v>43.661999999999999</v>
      </c>
      <c r="H3874" s="65"/>
      <c r="I3874" s="66"/>
      <c r="J3874" s="125">
        <v>0</v>
      </c>
    </row>
    <row r="3875" spans="1:10" ht="15.75" hidden="1" thickBot="1" x14ac:dyDescent="0.3">
      <c r="A3875" s="249"/>
      <c r="B3875" s="238"/>
      <c r="C3875" s="155" t="s">
        <v>1005</v>
      </c>
      <c r="D3875" s="155" t="s">
        <v>205</v>
      </c>
      <c r="E3875" s="34">
        <v>2</v>
      </c>
      <c r="F3875" s="49">
        <v>3.8949999999999996</v>
      </c>
      <c r="G3875" s="49">
        <f>IF(ISNUMBER(F3875),E3875*F3875,"")</f>
        <v>7.7899999999999991</v>
      </c>
      <c r="H3875" s="65"/>
      <c r="I3875" s="66"/>
      <c r="J3875" s="125">
        <v>0</v>
      </c>
    </row>
    <row r="3876" spans="1:10" ht="26.25" hidden="1" thickBot="1" x14ac:dyDescent="0.3">
      <c r="A3876" s="249"/>
      <c r="B3876" s="238"/>
      <c r="C3876" s="155" t="s">
        <v>1006</v>
      </c>
      <c r="D3876" s="155" t="s">
        <v>205</v>
      </c>
      <c r="E3876" s="34">
        <v>2</v>
      </c>
      <c r="F3876" s="49">
        <v>23.939999999999998</v>
      </c>
      <c r="G3876" s="49">
        <f>IF(ISNUMBER(F3876),E3876*F3876,"")</f>
        <v>47.879999999999995</v>
      </c>
      <c r="H3876" s="65"/>
      <c r="I3876" s="66"/>
      <c r="J3876" s="125">
        <v>0</v>
      </c>
    </row>
    <row r="3877" spans="1:10" ht="26.25" hidden="1" thickBot="1" x14ac:dyDescent="0.3">
      <c r="A3877" s="249"/>
      <c r="B3877" s="238"/>
      <c r="C3877" s="155" t="s">
        <v>1007</v>
      </c>
      <c r="D3877" s="155" t="s">
        <v>205</v>
      </c>
      <c r="E3877" s="34">
        <v>1</v>
      </c>
      <c r="F3877" s="49">
        <v>31.425999999999998</v>
      </c>
      <c r="G3877" s="49">
        <f>IF(ISNUMBER(F3877),E3877*F3877,"")</f>
        <v>31.425999999999998</v>
      </c>
      <c r="H3877" s="65"/>
      <c r="I3877" s="66"/>
      <c r="J3877" s="125">
        <v>0</v>
      </c>
    </row>
    <row r="3878" spans="1:10" ht="15.75" hidden="1" thickBot="1" x14ac:dyDescent="0.3">
      <c r="A3878" s="249"/>
      <c r="B3878" s="238"/>
      <c r="C3878" s="155" t="s">
        <v>28364</v>
      </c>
      <c r="D3878" s="155" t="s">
        <v>205</v>
      </c>
      <c r="E3878" s="34">
        <v>3</v>
      </c>
      <c r="F3878" s="49">
        <v>46.398000000000003</v>
      </c>
      <c r="G3878" s="49">
        <f>IF(ISNUMBER(F3878),E3878*F3878,"")</f>
        <v>139.19400000000002</v>
      </c>
      <c r="H3878" s="65"/>
      <c r="I3878" s="66"/>
      <c r="J3878" s="125">
        <v>0</v>
      </c>
    </row>
    <row r="3879" spans="1:10" ht="15.75" hidden="1" thickBot="1" x14ac:dyDescent="0.3">
      <c r="A3879" s="249"/>
      <c r="B3879" s="238"/>
      <c r="C3879" s="155" t="s">
        <v>1008</v>
      </c>
      <c r="D3879" s="155" t="s">
        <v>205</v>
      </c>
      <c r="E3879" s="34">
        <v>2</v>
      </c>
      <c r="F3879" s="49">
        <v>29.773</v>
      </c>
      <c r="G3879" s="49">
        <f>IF(ISNUMBER(F3879),E3879*F3879,"")</f>
        <v>59.545999999999999</v>
      </c>
      <c r="H3879" s="65"/>
      <c r="I3879" s="66"/>
      <c r="J3879" s="125">
        <v>0</v>
      </c>
    </row>
    <row r="3880" spans="1:10" ht="26.25" hidden="1" thickBot="1" x14ac:dyDescent="0.3">
      <c r="A3880" s="249"/>
      <c r="B3880" s="238"/>
      <c r="C3880" s="155" t="s">
        <v>1009</v>
      </c>
      <c r="D3880" s="155" t="s">
        <v>385</v>
      </c>
      <c r="E3880" s="34">
        <v>0.72729999999999995</v>
      </c>
      <c r="F3880" s="49">
        <v>32.765500000000003</v>
      </c>
      <c r="G3880" s="49">
        <f>IF(ISNUMBER(F3880),E3880*F3880,"")</f>
        <v>23.830348149999999</v>
      </c>
      <c r="H3880" s="65"/>
      <c r="I3880" s="66"/>
      <c r="J3880" s="125">
        <v>0</v>
      </c>
    </row>
    <row r="3881" spans="1:10" ht="26.25" hidden="1" thickBot="1" x14ac:dyDescent="0.3">
      <c r="A3881" s="249"/>
      <c r="B3881" s="238"/>
      <c r="C3881" s="155" t="s">
        <v>824</v>
      </c>
      <c r="D3881" s="155" t="s">
        <v>587</v>
      </c>
      <c r="E3881" s="34">
        <v>1.6462000000000001</v>
      </c>
      <c r="F3881" s="49">
        <v>18.6295</v>
      </c>
      <c r="G3881" s="49">
        <f>IF(ISNUMBER(F3881),E3881*F3881,"")</f>
        <v>30.667882900000002</v>
      </c>
      <c r="H3881" s="65"/>
      <c r="I3881" s="66"/>
      <c r="J3881" s="125">
        <v>0</v>
      </c>
    </row>
    <row r="3882" spans="1:10" ht="26.25" hidden="1" thickBot="1" x14ac:dyDescent="0.3">
      <c r="A3882" s="249"/>
      <c r="B3882" s="238"/>
      <c r="C3882" s="155" t="s">
        <v>825</v>
      </c>
      <c r="D3882" s="155" t="s">
        <v>587</v>
      </c>
      <c r="E3882" s="34">
        <v>5.4324000000000003</v>
      </c>
      <c r="F3882" s="49">
        <v>24.9375</v>
      </c>
      <c r="G3882" s="49">
        <f>IF(ISNUMBER(F3882),E3882*F3882,"")</f>
        <v>135.47047500000002</v>
      </c>
      <c r="H3882" s="65"/>
      <c r="I3882" s="66"/>
      <c r="J3882" s="125">
        <v>0</v>
      </c>
    </row>
    <row r="3883" spans="1:10" ht="15.75" hidden="1" thickBot="1" x14ac:dyDescent="0.3">
      <c r="A3883" s="249"/>
      <c r="B3883" s="238"/>
      <c r="C3883" s="155" t="s">
        <v>1010</v>
      </c>
      <c r="D3883" s="42" t="s">
        <v>205</v>
      </c>
      <c r="E3883" s="34">
        <v>1</v>
      </c>
      <c r="F3883" s="49" t="s">
        <v>418</v>
      </c>
      <c r="G3883" s="49" t="str">
        <f>IF(ISNUMBER(F3883),E3883*F3883,"")</f>
        <v/>
      </c>
      <c r="H3883" s="65"/>
      <c r="I3883" s="66"/>
      <c r="J3883" s="125">
        <v>0</v>
      </c>
    </row>
    <row r="3884" spans="1:10" ht="15.75" hidden="1" thickBot="1" x14ac:dyDescent="0.3">
      <c r="A3884" s="249"/>
      <c r="B3884" s="238"/>
      <c r="C3884" s="164"/>
      <c r="D3884" s="50"/>
      <c r="E3884" s="61"/>
      <c r="F3884" s="68" t="s">
        <v>418</v>
      </c>
      <c r="G3884" s="68" t="str">
        <f>IF(ISNUMBER(F3884),E3884*F3884,"")</f>
        <v/>
      </c>
      <c r="H3884" s="69"/>
      <c r="I3884" s="66"/>
      <c r="J3884" s="125">
        <v>0</v>
      </c>
    </row>
    <row r="3885" spans="1:10" ht="15.75" hidden="1" thickBot="1" x14ac:dyDescent="0.3">
      <c r="A3885" s="234" t="s">
        <v>1011</v>
      </c>
      <c r="B3885" s="237" t="s">
        <v>1824</v>
      </c>
      <c r="C3885" s="160"/>
      <c r="D3885" s="23" t="s">
        <v>16</v>
      </c>
      <c r="E3885" s="24"/>
      <c r="F3885" s="44" t="s">
        <v>418</v>
      </c>
      <c r="G3885" s="25" t="str">
        <f>IF(ISNUMBER(F3885),E3885*F3885,"")</f>
        <v/>
      </c>
      <c r="H3885" s="26"/>
      <c r="I3885" s="27"/>
      <c r="J3885" s="125">
        <v>0</v>
      </c>
    </row>
    <row r="3886" spans="1:10" ht="15.75" hidden="1" thickBot="1" x14ac:dyDescent="0.3">
      <c r="A3886" s="249"/>
      <c r="B3886" s="238"/>
      <c r="C3886" s="151"/>
      <c r="D3886" s="29"/>
      <c r="E3886" s="30"/>
      <c r="F3886" s="49" t="s">
        <v>418</v>
      </c>
      <c r="G3886" s="49" t="str">
        <f>IF(ISNUMBER(F3886),E3886*F3886,"")</f>
        <v/>
      </c>
      <c r="H3886" s="65"/>
      <c r="I3886" s="66"/>
      <c r="J3886" s="125">
        <v>0</v>
      </c>
    </row>
    <row r="3887" spans="1:10" ht="15.75" hidden="1" thickBot="1" x14ac:dyDescent="0.3">
      <c r="A3887" s="249"/>
      <c r="B3887" s="238"/>
      <c r="C3887" s="155" t="s">
        <v>237</v>
      </c>
      <c r="D3887" s="155" t="s">
        <v>205</v>
      </c>
      <c r="E3887" s="34">
        <v>1.06E-2</v>
      </c>
      <c r="F3887" s="49">
        <v>17.166499999999999</v>
      </c>
      <c r="G3887" s="49">
        <f>IF(ISNUMBER(F3887),E3887*F3887,"")</f>
        <v>0.18196489999999998</v>
      </c>
      <c r="H3887" s="35">
        <f>SUM(G3887:G3890)</f>
        <v>4.9830483000000001</v>
      </c>
      <c r="I3887" s="36"/>
      <c r="J3887" s="125">
        <v>0</v>
      </c>
    </row>
    <row r="3888" spans="1:10" ht="15.75" hidden="1" thickBot="1" x14ac:dyDescent="0.3">
      <c r="A3888" s="249"/>
      <c r="B3888" s="238"/>
      <c r="C3888" s="155" t="s">
        <v>1012</v>
      </c>
      <c r="D3888" s="33" t="s">
        <v>205</v>
      </c>
      <c r="E3888" s="34">
        <v>1</v>
      </c>
      <c r="F3888" s="49" t="s">
        <v>418</v>
      </c>
      <c r="G3888" s="49" t="str">
        <f>IF(ISNUMBER(F3888),E3888*F3888,"")</f>
        <v/>
      </c>
      <c r="H3888" s="65"/>
      <c r="I3888" s="66"/>
      <c r="J3888" s="125">
        <v>0</v>
      </c>
    </row>
    <row r="3889" spans="1:10" ht="26.25" hidden="1" thickBot="1" x14ac:dyDescent="0.3">
      <c r="A3889" s="249"/>
      <c r="B3889" s="238"/>
      <c r="C3889" s="155" t="s">
        <v>824</v>
      </c>
      <c r="D3889" s="155" t="s">
        <v>587</v>
      </c>
      <c r="E3889" s="34">
        <v>0.11020000000000001</v>
      </c>
      <c r="F3889" s="49">
        <v>18.6295</v>
      </c>
      <c r="G3889" s="49">
        <f>IF(ISNUMBER(F3889),E3889*F3889,"")</f>
        <v>2.0529709</v>
      </c>
      <c r="H3889" s="65"/>
      <c r="I3889" s="66"/>
      <c r="J3889" s="125">
        <v>0</v>
      </c>
    </row>
    <row r="3890" spans="1:10" ht="26.25" hidden="1" thickBot="1" x14ac:dyDescent="0.3">
      <c r="A3890" s="249"/>
      <c r="B3890" s="238"/>
      <c r="C3890" s="155" t="s">
        <v>825</v>
      </c>
      <c r="D3890" s="155" t="s">
        <v>587</v>
      </c>
      <c r="E3890" s="34">
        <v>0.11020000000000001</v>
      </c>
      <c r="F3890" s="49">
        <v>24.9375</v>
      </c>
      <c r="G3890" s="49">
        <f>IF(ISNUMBER(F3890),E3890*F3890,"")</f>
        <v>2.7481125</v>
      </c>
      <c r="H3890" s="65"/>
      <c r="I3890" s="66"/>
      <c r="J3890" s="125">
        <v>0</v>
      </c>
    </row>
    <row r="3891" spans="1:10" ht="15.75" hidden="1" thickBot="1" x14ac:dyDescent="0.3">
      <c r="A3891" s="249"/>
      <c r="B3891" s="238"/>
      <c r="C3891" s="164"/>
      <c r="D3891" s="50"/>
      <c r="E3891" s="61"/>
      <c r="F3891" s="68" t="s">
        <v>418</v>
      </c>
      <c r="G3891" s="68" t="str">
        <f>IF(ISNUMBER(F3891),E3891*F3891,"")</f>
        <v/>
      </c>
      <c r="H3891" s="69"/>
      <c r="I3891" s="66"/>
      <c r="J3891" s="125">
        <v>0</v>
      </c>
    </row>
    <row r="3892" spans="1:10" ht="15.75" hidden="1" thickBot="1" x14ac:dyDescent="0.3">
      <c r="A3892" s="234" t="s">
        <v>1013</v>
      </c>
      <c r="B3892" s="237" t="s">
        <v>19763</v>
      </c>
      <c r="C3892" s="160"/>
      <c r="D3892" s="23" t="s">
        <v>81</v>
      </c>
      <c r="E3892" s="24"/>
      <c r="F3892" s="44" t="s">
        <v>418</v>
      </c>
      <c r="G3892" s="25" t="str">
        <f>IF(ISNUMBER(F3892),E3892*F3892,"")</f>
        <v/>
      </c>
      <c r="H3892" s="26"/>
      <c r="I3892" s="27"/>
      <c r="J3892" s="125">
        <v>0</v>
      </c>
    </row>
    <row r="3893" spans="1:10" ht="15.75" hidden="1" thickBot="1" x14ac:dyDescent="0.3">
      <c r="A3893" s="249"/>
      <c r="B3893" s="238"/>
      <c r="C3893" s="151"/>
      <c r="D3893" s="29"/>
      <c r="E3893" s="30"/>
      <c r="F3893" s="49" t="s">
        <v>418</v>
      </c>
      <c r="G3893" s="49" t="str">
        <f>IF(ISNUMBER(F3893),E3893*F3893,"")</f>
        <v/>
      </c>
      <c r="H3893" s="65"/>
      <c r="I3893" s="66"/>
      <c r="J3893" s="125">
        <v>0</v>
      </c>
    </row>
    <row r="3894" spans="1:10" ht="39" hidden="1" thickBot="1" x14ac:dyDescent="0.3">
      <c r="A3894" s="249"/>
      <c r="B3894" s="238"/>
      <c r="C3894" s="155" t="s">
        <v>24523</v>
      </c>
      <c r="D3894" s="155" t="s">
        <v>870</v>
      </c>
      <c r="E3894" s="34">
        <v>0.75829999999999997</v>
      </c>
      <c r="F3894" s="49">
        <v>74.755499999999998</v>
      </c>
      <c r="G3894" s="49">
        <f>IF(ISNUMBER(F3894),E3894*F3894,"")</f>
        <v>56.687095649999996</v>
      </c>
      <c r="H3894" s="35">
        <f>SUM(G3894:G3908)</f>
        <v>1894.0883972279025</v>
      </c>
      <c r="I3894" s="36"/>
      <c r="J3894" s="125">
        <v>0</v>
      </c>
    </row>
    <row r="3895" spans="1:10" ht="26.25" hidden="1" thickBot="1" x14ac:dyDescent="0.3">
      <c r="A3895" s="249"/>
      <c r="B3895" s="238"/>
      <c r="C3895" s="155" t="s">
        <v>1014</v>
      </c>
      <c r="D3895" s="155" t="s">
        <v>76</v>
      </c>
      <c r="E3895" s="34">
        <v>3.3399999999999999E-2</v>
      </c>
      <c r="F3895" s="49">
        <v>7.8564999999999996</v>
      </c>
      <c r="G3895" s="49">
        <f>IF(ISNUMBER(F3895),E3895*F3895,"")</f>
        <v>0.2624071</v>
      </c>
      <c r="H3895" s="65"/>
      <c r="I3895" s="66"/>
      <c r="J3895" s="125">
        <v>0</v>
      </c>
    </row>
    <row r="3896" spans="1:10" ht="26.25" hidden="1" thickBot="1" x14ac:dyDescent="0.3">
      <c r="A3896" s="249"/>
      <c r="B3896" s="238"/>
      <c r="C3896" s="155" t="s">
        <v>11623</v>
      </c>
      <c r="D3896" s="155" t="s">
        <v>385</v>
      </c>
      <c r="E3896" s="34">
        <v>2.8315999999999999</v>
      </c>
      <c r="F3896" s="49">
        <v>1.9379999999999999</v>
      </c>
      <c r="G3896" s="49">
        <f>IF(ISNUMBER(F3896),E3896*F3896,"")</f>
        <v>5.4876407999999994</v>
      </c>
      <c r="H3896" s="65"/>
      <c r="I3896" s="66"/>
      <c r="J3896" s="125">
        <v>0</v>
      </c>
    </row>
    <row r="3897" spans="1:10" ht="15.75" hidden="1" thickBot="1" x14ac:dyDescent="0.3">
      <c r="A3897" s="249"/>
      <c r="B3897" s="238"/>
      <c r="C3897" s="155" t="s">
        <v>1015</v>
      </c>
      <c r="D3897" s="155" t="s">
        <v>774</v>
      </c>
      <c r="E3897" s="34">
        <v>6.0100000000000001E-2</v>
      </c>
      <c r="F3897" s="49">
        <v>22.467499999999998</v>
      </c>
      <c r="G3897" s="49">
        <f>IF(ISNUMBER(F3897),E3897*F3897,"")</f>
        <v>1.3502967499999998</v>
      </c>
      <c r="H3897" s="65"/>
      <c r="I3897" s="66"/>
      <c r="J3897" s="125">
        <v>0</v>
      </c>
    </row>
    <row r="3898" spans="1:10" ht="15.75" hidden="1" thickBot="1" x14ac:dyDescent="0.3">
      <c r="A3898" s="249"/>
      <c r="B3898" s="238"/>
      <c r="C3898" s="155" t="s">
        <v>26962</v>
      </c>
      <c r="D3898" s="155" t="s">
        <v>85</v>
      </c>
      <c r="E3898" s="34">
        <v>0.18540000000000001</v>
      </c>
      <c r="F3898" s="49">
        <v>544.44500000000005</v>
      </c>
      <c r="G3898" s="49">
        <f>IF(ISNUMBER(F3898),E3898*F3898,"")</f>
        <v>100.94010300000001</v>
      </c>
      <c r="H3898" s="65"/>
      <c r="I3898" s="66"/>
      <c r="J3898" s="125">
        <v>0</v>
      </c>
    </row>
    <row r="3899" spans="1:10" ht="15.75" hidden="1" thickBot="1" x14ac:dyDescent="0.3">
      <c r="A3899" s="249"/>
      <c r="B3899" s="238"/>
      <c r="C3899" s="155" t="s">
        <v>662</v>
      </c>
      <c r="D3899" s="155" t="s">
        <v>587</v>
      </c>
      <c r="E3899" s="34">
        <v>0.1865</v>
      </c>
      <c r="F3899" s="49">
        <v>24.367499999999996</v>
      </c>
      <c r="G3899" s="49">
        <f>IF(ISNUMBER(F3899),E3899*F3899,"")</f>
        <v>4.5445387499999992</v>
      </c>
      <c r="H3899" s="65"/>
      <c r="I3899" s="66"/>
      <c r="J3899" s="125">
        <v>0</v>
      </c>
    </row>
    <row r="3900" spans="1:10" ht="15.75" hidden="1" thickBot="1" x14ac:dyDescent="0.3">
      <c r="A3900" s="249"/>
      <c r="B3900" s="238"/>
      <c r="C3900" s="155" t="s">
        <v>586</v>
      </c>
      <c r="D3900" s="155" t="s">
        <v>587</v>
      </c>
      <c r="E3900" s="34">
        <v>0.93259999999999998</v>
      </c>
      <c r="F3900" s="49">
        <v>24.215499999999999</v>
      </c>
      <c r="G3900" s="49">
        <f>IF(ISNUMBER(F3900),E3900*F3900,"")</f>
        <v>22.5833753</v>
      </c>
      <c r="H3900" s="65"/>
      <c r="I3900" s="66"/>
      <c r="J3900" s="125">
        <v>0</v>
      </c>
    </row>
    <row r="3901" spans="1:10" ht="15.75" hidden="1" thickBot="1" x14ac:dyDescent="0.3">
      <c r="A3901" s="249"/>
      <c r="B3901" s="238"/>
      <c r="C3901" s="155" t="s">
        <v>595</v>
      </c>
      <c r="D3901" s="155" t="s">
        <v>587</v>
      </c>
      <c r="E3901" s="34">
        <v>6.7480000000000002</v>
      </c>
      <c r="F3901" s="49">
        <v>25.65</v>
      </c>
      <c r="G3901" s="49">
        <f>IF(ISNUMBER(F3901),E3901*F3901,"")</f>
        <v>173.08619999999999</v>
      </c>
      <c r="H3901" s="65"/>
      <c r="I3901" s="66"/>
      <c r="J3901" s="125">
        <v>0</v>
      </c>
    </row>
    <row r="3902" spans="1:10" ht="15.75" hidden="1" thickBot="1" x14ac:dyDescent="0.3">
      <c r="A3902" s="249"/>
      <c r="B3902" s="238"/>
      <c r="C3902" s="155" t="s">
        <v>588</v>
      </c>
      <c r="D3902" s="155" t="s">
        <v>587</v>
      </c>
      <c r="E3902" s="34">
        <v>6.7480000000000002</v>
      </c>
      <c r="F3902" s="49">
        <v>19.189999999999998</v>
      </c>
      <c r="G3902" s="49">
        <f>IF(ISNUMBER(F3902),E3902*F3902,"")</f>
        <v>129.49411999999998</v>
      </c>
      <c r="H3902" s="65"/>
      <c r="I3902" s="66"/>
      <c r="J3902" s="125">
        <v>0</v>
      </c>
    </row>
    <row r="3903" spans="1:10" ht="26.25" hidden="1" thickBot="1" x14ac:dyDescent="0.3">
      <c r="A3903" s="249"/>
      <c r="B3903" s="238"/>
      <c r="C3903" s="155" t="s">
        <v>1016</v>
      </c>
      <c r="D3903" s="155" t="s">
        <v>814</v>
      </c>
      <c r="E3903" s="34">
        <v>0.86770000000000003</v>
      </c>
      <c r="F3903" s="49">
        <v>1.2825</v>
      </c>
      <c r="G3903" s="49">
        <f>IF(ISNUMBER(F3903),E3903*F3903,"")</f>
        <v>1.11282525</v>
      </c>
      <c r="H3903" s="65"/>
      <c r="I3903" s="66"/>
      <c r="J3903" s="125">
        <v>0</v>
      </c>
    </row>
    <row r="3904" spans="1:10" ht="26.25" hidden="1" thickBot="1" x14ac:dyDescent="0.3">
      <c r="A3904" s="249"/>
      <c r="B3904" s="238"/>
      <c r="C3904" s="155" t="s">
        <v>1017</v>
      </c>
      <c r="D3904" s="155" t="s">
        <v>816</v>
      </c>
      <c r="E3904" s="34">
        <v>2.3860000000000001</v>
      </c>
      <c r="F3904" s="49">
        <v>0.46549999999999997</v>
      </c>
      <c r="G3904" s="49">
        <f>IF(ISNUMBER(F3904),E3904*F3904,"")</f>
        <v>1.1106830000000001</v>
      </c>
      <c r="H3904" s="65"/>
      <c r="I3904" s="66"/>
      <c r="J3904" s="125">
        <v>0</v>
      </c>
    </row>
    <row r="3905" spans="1:10" ht="26.25" hidden="1" thickBot="1" x14ac:dyDescent="0.3">
      <c r="A3905" s="249"/>
      <c r="B3905" s="238"/>
      <c r="C3905" s="155" t="s">
        <v>1018</v>
      </c>
      <c r="D3905" s="155" t="s">
        <v>814</v>
      </c>
      <c r="E3905" s="34">
        <v>8.9399999999999993E-2</v>
      </c>
      <c r="F3905" s="49">
        <v>21.992499999999996</v>
      </c>
      <c r="G3905" s="49">
        <f>IF(ISNUMBER(F3905),E3905*F3905,"")</f>
        <v>1.9661294999999994</v>
      </c>
      <c r="H3905" s="65"/>
      <c r="I3905" s="66"/>
      <c r="J3905" s="125">
        <v>0</v>
      </c>
    </row>
    <row r="3906" spans="1:10" ht="26.25" hidden="1" thickBot="1" x14ac:dyDescent="0.3">
      <c r="A3906" s="249"/>
      <c r="B3906" s="238"/>
      <c r="C3906" s="155" t="s">
        <v>1019</v>
      </c>
      <c r="D3906" s="155" t="s">
        <v>816</v>
      </c>
      <c r="E3906" s="34">
        <v>9.7100000000000006E-2</v>
      </c>
      <c r="F3906" s="49">
        <v>20.576999999999998</v>
      </c>
      <c r="G3906" s="49">
        <f>IF(ISNUMBER(F3906),E3906*F3906,"")</f>
        <v>1.9980267</v>
      </c>
      <c r="H3906" s="65"/>
      <c r="I3906" s="66"/>
      <c r="J3906" s="125">
        <v>0</v>
      </c>
    </row>
    <row r="3907" spans="1:10" ht="39" hidden="1" thickBot="1" x14ac:dyDescent="0.3">
      <c r="A3907" s="249"/>
      <c r="B3907" s="238"/>
      <c r="C3907" s="155" t="s">
        <v>16433</v>
      </c>
      <c r="D3907" s="155" t="s">
        <v>774</v>
      </c>
      <c r="E3907" s="34">
        <v>31.7318</v>
      </c>
      <c r="F3907" s="49">
        <v>15.099592599999999</v>
      </c>
      <c r="G3907" s="49">
        <f>IF(ISNUMBER(F3907),E3907*F3907,"")</f>
        <v>479.13725246467999</v>
      </c>
      <c r="H3907" s="65"/>
      <c r="I3907" s="66"/>
      <c r="J3907" s="125">
        <v>0</v>
      </c>
    </row>
    <row r="3908" spans="1:10" ht="39" hidden="1" thickBot="1" x14ac:dyDescent="0.3">
      <c r="A3908" s="249"/>
      <c r="B3908" s="238"/>
      <c r="C3908" s="155" t="s">
        <v>13612</v>
      </c>
      <c r="D3908" s="155" t="s">
        <v>85</v>
      </c>
      <c r="E3908" s="34">
        <v>1.103</v>
      </c>
      <c r="F3908" s="49">
        <v>828.94624022050982</v>
      </c>
      <c r="G3908" s="49">
        <f>IF(ISNUMBER(F3908),E3908*F3908,"")</f>
        <v>914.32770296322235</v>
      </c>
      <c r="H3908" s="65"/>
      <c r="I3908" s="66"/>
      <c r="J3908" s="125">
        <v>0</v>
      </c>
    </row>
    <row r="3909" spans="1:10" ht="15.75" hidden="1" thickBot="1" x14ac:dyDescent="0.3">
      <c r="A3909" s="250"/>
      <c r="B3909" s="239"/>
      <c r="C3909" s="164"/>
      <c r="D3909" s="50"/>
      <c r="E3909" s="61"/>
      <c r="F3909" s="68" t="s">
        <v>418</v>
      </c>
      <c r="G3909" s="68" t="str">
        <f>IF(ISNUMBER(F3909),E3909*F3909,"")</f>
        <v/>
      </c>
      <c r="H3909" s="69"/>
      <c r="I3909" s="66"/>
      <c r="J3909" s="125">
        <v>0</v>
      </c>
    </row>
    <row r="3910" spans="1:10" ht="15.75" hidden="1" thickBot="1" x14ac:dyDescent="0.3">
      <c r="A3910" s="234" t="s">
        <v>1020</v>
      </c>
      <c r="B3910" s="237" t="s">
        <v>1825</v>
      </c>
      <c r="C3910" s="160"/>
      <c r="D3910" s="23" t="s">
        <v>69</v>
      </c>
      <c r="E3910" s="24"/>
      <c r="F3910" s="44" t="s">
        <v>418</v>
      </c>
      <c r="G3910" s="25" t="str">
        <f>IF(ISNUMBER(F3910),E3910*F3910,"")</f>
        <v/>
      </c>
      <c r="H3910" s="26"/>
      <c r="I3910" s="27"/>
      <c r="J3910" s="125">
        <v>0</v>
      </c>
    </row>
    <row r="3911" spans="1:10" ht="15.75" hidden="1" thickBot="1" x14ac:dyDescent="0.3">
      <c r="A3911" s="249"/>
      <c r="B3911" s="238"/>
      <c r="C3911" s="151"/>
      <c r="D3911" s="29"/>
      <c r="E3911" s="30"/>
      <c r="F3911" s="49" t="s">
        <v>418</v>
      </c>
      <c r="G3911" s="49" t="str">
        <f>IF(ISNUMBER(F3911),E3911*F3911,"")</f>
        <v/>
      </c>
      <c r="H3911" s="65"/>
      <c r="I3911" s="66"/>
      <c r="J3911" s="125">
        <v>0</v>
      </c>
    </row>
    <row r="3912" spans="1:10" ht="39" hidden="1" thickBot="1" x14ac:dyDescent="0.3">
      <c r="A3912" s="249"/>
      <c r="B3912" s="238"/>
      <c r="C3912" s="155" t="s">
        <v>38833</v>
      </c>
      <c r="D3912" s="155" t="s">
        <v>385</v>
      </c>
      <c r="E3912" s="34">
        <v>1.1000000000000001</v>
      </c>
      <c r="F3912" s="49">
        <v>8.9774999999999991</v>
      </c>
      <c r="G3912" s="49">
        <f>IF(ISNUMBER(F3912),E3912*F3912,"")</f>
        <v>9.8752499999999994</v>
      </c>
      <c r="H3912" s="35">
        <f>SUM(G3912:G3914)</f>
        <v>16.746749149999999</v>
      </c>
      <c r="I3912" s="36"/>
      <c r="J3912" s="125">
        <v>0</v>
      </c>
    </row>
    <row r="3913" spans="1:10" ht="15.75" hidden="1" thickBot="1" x14ac:dyDescent="0.3">
      <c r="A3913" s="249"/>
      <c r="B3913" s="238"/>
      <c r="C3913" s="155" t="s">
        <v>1022</v>
      </c>
      <c r="D3913" s="155" t="s">
        <v>587</v>
      </c>
      <c r="E3913" s="34">
        <v>0.15110000000000001</v>
      </c>
      <c r="F3913" s="49">
        <v>19.522500000000001</v>
      </c>
      <c r="G3913" s="49">
        <f>IF(ISNUMBER(F3913),E3913*F3913,"")</f>
        <v>2.9498497500000003</v>
      </c>
      <c r="H3913" s="65"/>
      <c r="I3913" s="66"/>
      <c r="J3913" s="125">
        <v>0</v>
      </c>
    </row>
    <row r="3914" spans="1:10" ht="15.75" hidden="1" thickBot="1" x14ac:dyDescent="0.3">
      <c r="A3914" s="249"/>
      <c r="B3914" s="238"/>
      <c r="C3914" s="155" t="s">
        <v>1023</v>
      </c>
      <c r="D3914" s="155" t="s">
        <v>587</v>
      </c>
      <c r="E3914" s="34">
        <v>0.15110000000000001</v>
      </c>
      <c r="F3914" s="49">
        <v>25.954000000000001</v>
      </c>
      <c r="G3914" s="49">
        <f>IF(ISNUMBER(F3914),E3914*F3914,"")</f>
        <v>3.9216494000000006</v>
      </c>
      <c r="H3914" s="65"/>
      <c r="I3914" s="66"/>
      <c r="J3914" s="125">
        <v>0</v>
      </c>
    </row>
    <row r="3915" spans="1:10" ht="15.75" hidden="1" thickBot="1" x14ac:dyDescent="0.3">
      <c r="A3915" s="249"/>
      <c r="B3915" s="238"/>
      <c r="C3915" s="164"/>
      <c r="D3915" s="50"/>
      <c r="E3915" s="61"/>
      <c r="F3915" s="68" t="s">
        <v>418</v>
      </c>
      <c r="G3915" s="68" t="str">
        <f>IF(ISNUMBER(F3915),E3915*F3915,"")</f>
        <v/>
      </c>
      <c r="H3915" s="69"/>
      <c r="I3915" s="66"/>
      <c r="J3915" s="125">
        <v>0</v>
      </c>
    </row>
    <row r="3916" spans="1:10" ht="15.75" hidden="1" thickBot="1" x14ac:dyDescent="0.3">
      <c r="A3916" s="234" t="s">
        <v>1024</v>
      </c>
      <c r="B3916" s="237" t="s">
        <v>1826</v>
      </c>
      <c r="C3916" s="160"/>
      <c r="D3916" s="23" t="s">
        <v>69</v>
      </c>
      <c r="E3916" s="24"/>
      <c r="F3916" s="44" t="s">
        <v>418</v>
      </c>
      <c r="G3916" s="25" t="str">
        <f>IF(ISNUMBER(F3916),E3916*F3916,"")</f>
        <v/>
      </c>
      <c r="H3916" s="26"/>
      <c r="I3916" s="27"/>
      <c r="J3916" s="125">
        <v>0</v>
      </c>
    </row>
    <row r="3917" spans="1:10" ht="15.75" hidden="1" thickBot="1" x14ac:dyDescent="0.3">
      <c r="A3917" s="249"/>
      <c r="B3917" s="238"/>
      <c r="C3917" s="151"/>
      <c r="D3917" s="29"/>
      <c r="E3917" s="30"/>
      <c r="F3917" s="49" t="s">
        <v>418</v>
      </c>
      <c r="G3917" s="49" t="str">
        <f>IF(ISNUMBER(F3917),E3917*F3917,"")</f>
        <v/>
      </c>
      <c r="H3917" s="65"/>
      <c r="I3917" s="66"/>
      <c r="J3917" s="125">
        <v>0</v>
      </c>
    </row>
    <row r="3918" spans="1:10" ht="15.75" hidden="1" thickBot="1" x14ac:dyDescent="0.3">
      <c r="A3918" s="249"/>
      <c r="B3918" s="238"/>
      <c r="C3918" s="155" t="s">
        <v>1025</v>
      </c>
      <c r="D3918" s="33" t="s">
        <v>69</v>
      </c>
      <c r="E3918" s="34">
        <v>1.05</v>
      </c>
      <c r="F3918" s="49">
        <v>0.95</v>
      </c>
      <c r="G3918" s="49">
        <f>IF(ISNUMBER(F3918),E3918*F3918,"")</f>
        <v>0.99749999999999994</v>
      </c>
      <c r="H3918" s="35">
        <f>SUM(G3918:G3920)</f>
        <v>46.474000000000004</v>
      </c>
      <c r="I3918" s="36"/>
      <c r="J3918" s="125">
        <v>0</v>
      </c>
    </row>
    <row r="3919" spans="1:10" ht="15.75" hidden="1" thickBot="1" x14ac:dyDescent="0.3">
      <c r="A3919" s="249"/>
      <c r="B3919" s="238"/>
      <c r="C3919" s="155" t="s">
        <v>1023</v>
      </c>
      <c r="D3919" s="155" t="s">
        <v>587</v>
      </c>
      <c r="E3919" s="34">
        <v>1</v>
      </c>
      <c r="F3919" s="28">
        <v>25.954000000000001</v>
      </c>
      <c r="G3919" s="31">
        <f>IF(ISNUMBER(F3919),E3919*F3919,"")</f>
        <v>25.954000000000001</v>
      </c>
      <c r="H3919" s="65"/>
      <c r="I3919" s="66"/>
      <c r="J3919" s="125">
        <v>0</v>
      </c>
    </row>
    <row r="3920" spans="1:10" ht="15.75" hidden="1" thickBot="1" x14ac:dyDescent="0.3">
      <c r="A3920" s="249"/>
      <c r="B3920" s="238"/>
      <c r="C3920" s="155" t="s">
        <v>1022</v>
      </c>
      <c r="D3920" s="155" t="s">
        <v>587</v>
      </c>
      <c r="E3920" s="34">
        <v>1</v>
      </c>
      <c r="F3920" s="28">
        <v>19.522500000000001</v>
      </c>
      <c r="G3920" s="31">
        <f>IF(ISNUMBER(F3920),E3920*F3920,"")</f>
        <v>19.522500000000001</v>
      </c>
      <c r="H3920" s="65"/>
      <c r="I3920" s="66"/>
      <c r="J3920" s="125">
        <v>0</v>
      </c>
    </row>
    <row r="3921" spans="1:10" ht="15.75" hidden="1" thickBot="1" x14ac:dyDescent="0.3">
      <c r="A3921" s="249"/>
      <c r="B3921" s="238"/>
      <c r="C3921" s="164"/>
      <c r="D3921" s="50"/>
      <c r="E3921" s="61"/>
      <c r="F3921" s="68" t="s">
        <v>418</v>
      </c>
      <c r="G3921" s="68" t="str">
        <f>IF(ISNUMBER(F3921),E3921*F3921,"")</f>
        <v/>
      </c>
      <c r="H3921" s="69"/>
      <c r="I3921" s="66"/>
      <c r="J3921" s="125">
        <v>0</v>
      </c>
    </row>
    <row r="3922" spans="1:10" ht="15.75" hidden="1" thickBot="1" x14ac:dyDescent="0.3">
      <c r="A3922" s="234" t="s">
        <v>1026</v>
      </c>
      <c r="B3922" s="237" t="s">
        <v>1827</v>
      </c>
      <c r="C3922" s="160"/>
      <c r="D3922" s="23" t="s">
        <v>69</v>
      </c>
      <c r="E3922" s="24"/>
      <c r="F3922" s="44" t="s">
        <v>418</v>
      </c>
      <c r="G3922" s="25" t="str">
        <f>IF(ISNUMBER(F3922),E3922*F3922,"")</f>
        <v/>
      </c>
      <c r="H3922" s="26"/>
      <c r="I3922" s="27"/>
      <c r="J3922" s="125">
        <v>0</v>
      </c>
    </row>
    <row r="3923" spans="1:10" ht="15.75" hidden="1" thickBot="1" x14ac:dyDescent="0.3">
      <c r="A3923" s="249"/>
      <c r="B3923" s="238"/>
      <c r="C3923" s="151"/>
      <c r="D3923" s="29"/>
      <c r="E3923" s="30"/>
      <c r="F3923" s="49" t="s">
        <v>418</v>
      </c>
      <c r="G3923" s="49" t="str">
        <f>IF(ISNUMBER(F3923),E3923*F3923,"")</f>
        <v/>
      </c>
      <c r="H3923" s="65"/>
      <c r="I3923" s="66"/>
      <c r="J3923" s="125">
        <v>0</v>
      </c>
    </row>
    <row r="3924" spans="1:10" ht="26.25" hidden="1" thickBot="1" x14ac:dyDescent="0.3">
      <c r="A3924" s="249"/>
      <c r="B3924" s="238"/>
      <c r="C3924" s="155" t="s">
        <v>1027</v>
      </c>
      <c r="D3924" s="33" t="s">
        <v>69</v>
      </c>
      <c r="E3924" s="34">
        <v>1</v>
      </c>
      <c r="F3924" s="49">
        <v>0.95</v>
      </c>
      <c r="G3924" s="49">
        <f>IF(ISNUMBER(F3924),E3924*F3924,"")</f>
        <v>0.95</v>
      </c>
      <c r="H3924" s="35">
        <f>SUM(G3924:G3926)</f>
        <v>30.992799999999999</v>
      </c>
      <c r="I3924" s="36"/>
      <c r="J3924" s="125">
        <v>0</v>
      </c>
    </row>
    <row r="3925" spans="1:10" ht="15.75" hidden="1" thickBot="1" x14ac:dyDescent="0.3">
      <c r="A3925" s="249"/>
      <c r="B3925" s="238"/>
      <c r="C3925" s="155" t="s">
        <v>595</v>
      </c>
      <c r="D3925" s="155" t="s">
        <v>587</v>
      </c>
      <c r="E3925" s="34">
        <v>0.67</v>
      </c>
      <c r="F3925" s="49">
        <v>25.65</v>
      </c>
      <c r="G3925" s="49">
        <f>IF(ISNUMBER(F3925),E3925*F3925,"")</f>
        <v>17.185500000000001</v>
      </c>
      <c r="H3925" s="65"/>
      <c r="I3925" s="66"/>
      <c r="J3925" s="125">
        <v>0</v>
      </c>
    </row>
    <row r="3926" spans="1:10" ht="15.75" hidden="1" thickBot="1" x14ac:dyDescent="0.3">
      <c r="A3926" s="249"/>
      <c r="B3926" s="238"/>
      <c r="C3926" s="155" t="s">
        <v>588</v>
      </c>
      <c r="D3926" s="155" t="s">
        <v>587</v>
      </c>
      <c r="E3926" s="34">
        <v>0.67</v>
      </c>
      <c r="F3926" s="49">
        <v>19.189999999999998</v>
      </c>
      <c r="G3926" s="49">
        <f>IF(ISNUMBER(F3926),E3926*F3926,"")</f>
        <v>12.857299999999999</v>
      </c>
      <c r="H3926" s="65"/>
      <c r="I3926" s="66"/>
      <c r="J3926" s="125">
        <v>0</v>
      </c>
    </row>
    <row r="3927" spans="1:10" ht="15.75" hidden="1" thickBot="1" x14ac:dyDescent="0.3">
      <c r="A3927" s="249"/>
      <c r="B3927" s="238"/>
      <c r="C3927" s="164"/>
      <c r="D3927" s="50"/>
      <c r="E3927" s="61"/>
      <c r="F3927" s="68" t="s">
        <v>418</v>
      </c>
      <c r="G3927" s="68" t="str">
        <f>IF(ISNUMBER(F3927),E3927*F3927,"")</f>
        <v/>
      </c>
      <c r="H3927" s="69"/>
      <c r="I3927" s="66"/>
      <c r="J3927" s="125">
        <v>0</v>
      </c>
    </row>
    <row r="3928" spans="1:10" ht="15.75" hidden="1" thickBot="1" x14ac:dyDescent="0.3">
      <c r="A3928" s="234" t="s">
        <v>1029</v>
      </c>
      <c r="B3928" s="237" t="s">
        <v>1828</v>
      </c>
      <c r="C3928" s="160"/>
      <c r="D3928" s="23" t="s">
        <v>70</v>
      </c>
      <c r="E3928" s="24"/>
      <c r="F3928" s="44" t="s">
        <v>418</v>
      </c>
      <c r="G3928" s="25" t="str">
        <f>IF(ISNUMBER(F3928),E3928*F3928,"")</f>
        <v/>
      </c>
      <c r="H3928" s="26"/>
      <c r="I3928" s="27"/>
      <c r="J3928" s="125">
        <v>0</v>
      </c>
    </row>
    <row r="3929" spans="1:10" ht="15.75" hidden="1" thickBot="1" x14ac:dyDescent="0.3">
      <c r="A3929" s="249"/>
      <c r="B3929" s="238"/>
      <c r="C3929" s="151"/>
      <c r="D3929" s="29"/>
      <c r="E3929" s="30"/>
      <c r="F3929" s="49" t="s">
        <v>418</v>
      </c>
      <c r="G3929" s="49" t="str">
        <f>IF(ISNUMBER(F3929),E3929*F3929,"")</f>
        <v/>
      </c>
      <c r="H3929" s="65"/>
      <c r="I3929" s="66"/>
      <c r="J3929" s="125">
        <v>0</v>
      </c>
    </row>
    <row r="3930" spans="1:10" ht="26.25" hidden="1" thickBot="1" x14ac:dyDescent="0.3">
      <c r="A3930" s="249"/>
      <c r="B3930" s="238"/>
      <c r="C3930" s="155" t="s">
        <v>1030</v>
      </c>
      <c r="D3930" s="33" t="s">
        <v>69</v>
      </c>
      <c r="E3930" s="34">
        <f>ROUND(1/0.15,4)</f>
        <v>6.6666999999999996</v>
      </c>
      <c r="F3930" s="49" t="s">
        <v>418</v>
      </c>
      <c r="G3930" s="49" t="str">
        <f>IF(ISNUMBER(F3930),E3930*F3930,"")</f>
        <v/>
      </c>
      <c r="H3930" s="35">
        <f>SUM(G3930:G3933)</f>
        <v>157.55404390000001</v>
      </c>
      <c r="I3930" s="36"/>
      <c r="J3930" s="125">
        <v>0</v>
      </c>
    </row>
    <row r="3931" spans="1:10" ht="15.75" hidden="1" thickBot="1" x14ac:dyDescent="0.3">
      <c r="A3931" s="249"/>
      <c r="B3931" s="238"/>
      <c r="C3931" s="155" t="s">
        <v>23678</v>
      </c>
      <c r="D3931" s="155" t="s">
        <v>774</v>
      </c>
      <c r="E3931" s="34">
        <f>1.29/0.15</f>
        <v>8.6000000000000014</v>
      </c>
      <c r="F3931" s="49">
        <v>3.4390000000000001</v>
      </c>
      <c r="G3931" s="49">
        <f>IF(ISNUMBER(F3931),E3931*F3931,"")</f>
        <v>29.575400000000005</v>
      </c>
      <c r="H3931" s="65"/>
      <c r="I3931" s="66"/>
      <c r="J3931" s="125">
        <v>0</v>
      </c>
    </row>
    <row r="3932" spans="1:10" ht="15.75" hidden="1" thickBot="1" x14ac:dyDescent="0.3">
      <c r="A3932" s="249"/>
      <c r="B3932" s="238"/>
      <c r="C3932" s="155" t="s">
        <v>9784</v>
      </c>
      <c r="D3932" s="155" t="s">
        <v>587</v>
      </c>
      <c r="E3932" s="34">
        <f>ROUND(0.547/0.15,4)</f>
        <v>3.6467000000000001</v>
      </c>
      <c r="F3932" s="49">
        <v>25.516999999999999</v>
      </c>
      <c r="G3932" s="49">
        <f>IF(ISNUMBER(F3932),E3932*F3932,"")</f>
        <v>93.052843899999999</v>
      </c>
      <c r="H3932" s="65"/>
      <c r="I3932" s="66"/>
      <c r="J3932" s="125">
        <v>0</v>
      </c>
    </row>
    <row r="3933" spans="1:10" ht="15.75" hidden="1" thickBot="1" x14ac:dyDescent="0.3">
      <c r="A3933" s="249"/>
      <c r="B3933" s="238"/>
      <c r="C3933" s="155" t="s">
        <v>588</v>
      </c>
      <c r="D3933" s="155" t="s">
        <v>587</v>
      </c>
      <c r="E3933" s="34">
        <f>0.273/0.15</f>
        <v>1.8200000000000003</v>
      </c>
      <c r="F3933" s="49">
        <v>19.189999999999998</v>
      </c>
      <c r="G3933" s="49">
        <f>IF(ISNUMBER(F3933),E3933*F3933,"")</f>
        <v>34.925800000000002</v>
      </c>
      <c r="H3933" s="65"/>
      <c r="I3933" s="66"/>
      <c r="J3933" s="125">
        <v>0</v>
      </c>
    </row>
    <row r="3934" spans="1:10" ht="15.75" hidden="1" thickBot="1" x14ac:dyDescent="0.3">
      <c r="A3934" s="249"/>
      <c r="B3934" s="238"/>
      <c r="C3934" s="155"/>
      <c r="D3934" s="33"/>
      <c r="E3934" s="34"/>
      <c r="F3934" s="49" t="s">
        <v>418</v>
      </c>
      <c r="G3934" s="49" t="str">
        <f>IF(ISNUMBER(F3934),E3934*F3934,"")</f>
        <v/>
      </c>
      <c r="H3934" s="65"/>
      <c r="I3934" s="66"/>
      <c r="J3934" s="125">
        <v>0</v>
      </c>
    </row>
    <row r="3935" spans="1:10" ht="15.75" hidden="1" thickBot="1" x14ac:dyDescent="0.3">
      <c r="A3935" s="234" t="s">
        <v>1031</v>
      </c>
      <c r="B3935" s="237" t="s">
        <v>1829</v>
      </c>
      <c r="C3935" s="160"/>
      <c r="D3935" s="23" t="s">
        <v>16</v>
      </c>
      <c r="E3935" s="24"/>
      <c r="F3935" s="44" t="s">
        <v>418</v>
      </c>
      <c r="G3935" s="25" t="str">
        <f>IF(ISNUMBER(F3935),E3935*F3935,"")</f>
        <v/>
      </c>
      <c r="H3935" s="26"/>
      <c r="I3935" s="27"/>
      <c r="J3935" s="125">
        <v>0</v>
      </c>
    </row>
    <row r="3936" spans="1:10" ht="15.75" hidden="1" thickBot="1" x14ac:dyDescent="0.3">
      <c r="A3936" s="249"/>
      <c r="B3936" s="238"/>
      <c r="C3936" s="151"/>
      <c r="D3936" s="29"/>
      <c r="E3936" s="30"/>
      <c r="F3936" s="49" t="s">
        <v>418</v>
      </c>
      <c r="G3936" s="49" t="str">
        <f>IF(ISNUMBER(F3936),E3936*F3936,"")</f>
        <v/>
      </c>
      <c r="H3936" s="65"/>
      <c r="I3936" s="66"/>
      <c r="J3936" s="125">
        <v>0</v>
      </c>
    </row>
    <row r="3937" spans="1:10" ht="39" hidden="1" thickBot="1" x14ac:dyDescent="0.3">
      <c r="A3937" s="249"/>
      <c r="B3937" s="238"/>
      <c r="C3937" s="155" t="s">
        <v>1032</v>
      </c>
      <c r="D3937" s="33" t="s">
        <v>97</v>
      </c>
      <c r="E3937" s="34">
        <v>1</v>
      </c>
      <c r="F3937" s="49" t="s">
        <v>418</v>
      </c>
      <c r="G3937" s="49" t="str">
        <f>IF(ISNUMBER(F3937),E3937*F3937,"")</f>
        <v/>
      </c>
      <c r="H3937" s="35">
        <f>SUM(G3937:G3942)</f>
        <v>12.105595400000002</v>
      </c>
      <c r="I3937" s="36"/>
      <c r="J3937" s="125">
        <v>0</v>
      </c>
    </row>
    <row r="3938" spans="1:10" ht="26.25" hidden="1" thickBot="1" x14ac:dyDescent="0.3">
      <c r="A3938" s="249"/>
      <c r="B3938" s="238"/>
      <c r="C3938" s="155" t="s">
        <v>21392</v>
      </c>
      <c r="D3938" s="33" t="s">
        <v>69</v>
      </c>
      <c r="E3938" s="34">
        <v>1.5</v>
      </c>
      <c r="F3938" s="49" t="s">
        <v>418</v>
      </c>
      <c r="G3938" s="49" t="str">
        <f>IF(ISNUMBER(F3938),E3938*F3938,"")</f>
        <v/>
      </c>
      <c r="H3938" s="65"/>
      <c r="I3938" s="66"/>
      <c r="J3938" s="125">
        <v>0</v>
      </c>
    </row>
    <row r="3939" spans="1:10" ht="15.75" hidden="1" thickBot="1" x14ac:dyDescent="0.3">
      <c r="A3939" s="249"/>
      <c r="B3939" s="238"/>
      <c r="C3939" s="155" t="s">
        <v>436</v>
      </c>
      <c r="D3939" s="33" t="s">
        <v>97</v>
      </c>
      <c r="E3939" s="34">
        <v>1</v>
      </c>
      <c r="F3939" s="49" t="s">
        <v>418</v>
      </c>
      <c r="G3939" s="49" t="str">
        <f>IF(ISNUMBER(F3939),E3939*F3939,"")</f>
        <v/>
      </c>
      <c r="H3939" s="65"/>
      <c r="I3939" s="66"/>
      <c r="J3939" s="125">
        <v>0</v>
      </c>
    </row>
    <row r="3940" spans="1:10" ht="15.75" hidden="1" thickBot="1" x14ac:dyDescent="0.3">
      <c r="A3940" s="249"/>
      <c r="B3940" s="238"/>
      <c r="C3940" s="155" t="s">
        <v>437</v>
      </c>
      <c r="D3940" s="33" t="s">
        <v>97</v>
      </c>
      <c r="E3940" s="34">
        <v>1</v>
      </c>
      <c r="F3940" s="49" t="s">
        <v>418</v>
      </c>
      <c r="G3940" s="49" t="str">
        <f>IF(ISNUMBER(F3940),E3940*F3940,"")</f>
        <v/>
      </c>
      <c r="H3940" s="65"/>
      <c r="I3940" s="66"/>
      <c r="J3940" s="125">
        <v>0</v>
      </c>
    </row>
    <row r="3941" spans="1:10" ht="15.75" hidden="1" thickBot="1" x14ac:dyDescent="0.3">
      <c r="A3941" s="249"/>
      <c r="B3941" s="238"/>
      <c r="C3941" s="155" t="s">
        <v>1022</v>
      </c>
      <c r="D3941" s="155" t="s">
        <v>587</v>
      </c>
      <c r="E3941" s="34">
        <v>0.14799999999999999</v>
      </c>
      <c r="F3941" s="49">
        <v>19.522500000000001</v>
      </c>
      <c r="G3941" s="49">
        <f>IF(ISNUMBER(F3941),E3941*F3941,"")</f>
        <v>2.8893300000000002</v>
      </c>
      <c r="H3941" s="65"/>
      <c r="I3941" s="66"/>
      <c r="J3941" s="125">
        <v>0</v>
      </c>
    </row>
    <row r="3942" spans="1:10" ht="15.75" hidden="1" thickBot="1" x14ac:dyDescent="0.3">
      <c r="A3942" s="249"/>
      <c r="B3942" s="238"/>
      <c r="C3942" s="155" t="s">
        <v>1023</v>
      </c>
      <c r="D3942" s="155" t="s">
        <v>587</v>
      </c>
      <c r="E3942" s="34">
        <v>0.35510000000000003</v>
      </c>
      <c r="F3942" s="49">
        <v>25.954000000000001</v>
      </c>
      <c r="G3942" s="49">
        <f>IF(ISNUMBER(F3942),E3942*F3942,"")</f>
        <v>9.2162654000000011</v>
      </c>
      <c r="H3942" s="65"/>
      <c r="I3942" s="66"/>
      <c r="J3942" s="125">
        <v>0</v>
      </c>
    </row>
    <row r="3943" spans="1:10" ht="15.75" hidden="1" thickBot="1" x14ac:dyDescent="0.3">
      <c r="A3943" s="249"/>
      <c r="B3943" s="238"/>
      <c r="C3943" s="155"/>
      <c r="D3943" s="42"/>
      <c r="E3943" s="34"/>
      <c r="F3943" s="49" t="s">
        <v>418</v>
      </c>
      <c r="G3943" s="49" t="str">
        <f>IF(ISNUMBER(F3943),E3943*F3943,"")</f>
        <v/>
      </c>
      <c r="H3943" s="65"/>
      <c r="I3943" s="66"/>
      <c r="J3943" s="125">
        <v>0</v>
      </c>
    </row>
    <row r="3944" spans="1:10" ht="15.75" hidden="1" thickBot="1" x14ac:dyDescent="0.3">
      <c r="A3944" s="234" t="s">
        <v>1033</v>
      </c>
      <c r="B3944" s="237" t="s">
        <v>1830</v>
      </c>
      <c r="C3944" s="160"/>
      <c r="D3944" s="23" t="s">
        <v>69</v>
      </c>
      <c r="E3944" s="24"/>
      <c r="F3944" s="44" t="s">
        <v>418</v>
      </c>
      <c r="G3944" s="25" t="str">
        <f>IF(ISNUMBER(F3944),E3944*F3944,"")</f>
        <v/>
      </c>
      <c r="H3944" s="26"/>
      <c r="I3944" s="27"/>
      <c r="J3944" s="125">
        <v>0</v>
      </c>
    </row>
    <row r="3945" spans="1:10" ht="15.75" hidden="1" thickBot="1" x14ac:dyDescent="0.3">
      <c r="A3945" s="249"/>
      <c r="B3945" s="238"/>
      <c r="C3945" s="151"/>
      <c r="D3945" s="29"/>
      <c r="E3945" s="30"/>
      <c r="F3945" s="49" t="s">
        <v>418</v>
      </c>
      <c r="G3945" s="49" t="str">
        <f>IF(ISNUMBER(F3945),E3945*F3945,"")</f>
        <v/>
      </c>
      <c r="H3945" s="65"/>
      <c r="I3945" s="66"/>
      <c r="J3945" s="125">
        <v>0</v>
      </c>
    </row>
    <row r="3946" spans="1:10" ht="15.75" hidden="1" thickBot="1" x14ac:dyDescent="0.3">
      <c r="A3946" s="249"/>
      <c r="B3946" s="238"/>
      <c r="C3946" s="155" t="s">
        <v>24537</v>
      </c>
      <c r="D3946" s="155" t="s">
        <v>774</v>
      </c>
      <c r="E3946" s="34">
        <v>0.24</v>
      </c>
      <c r="F3946" s="49">
        <v>1.254</v>
      </c>
      <c r="G3946" s="49">
        <f>IF(ISNUMBER(F3946),E3946*F3946,"")</f>
        <v>0.30096000000000001</v>
      </c>
      <c r="H3946" s="35">
        <f>SUM(G3946:G3950)</f>
        <v>190.88131499999997</v>
      </c>
      <c r="I3946" s="36"/>
      <c r="J3946" s="125">
        <v>0</v>
      </c>
    </row>
    <row r="3947" spans="1:10" ht="15.75" hidden="1" thickBot="1" x14ac:dyDescent="0.3">
      <c r="A3947" s="249"/>
      <c r="B3947" s="238"/>
      <c r="C3947" s="155" t="s">
        <v>23678</v>
      </c>
      <c r="D3947" s="155" t="s">
        <v>774</v>
      </c>
      <c r="E3947" s="34">
        <v>1.2150000000000001</v>
      </c>
      <c r="F3947" s="49">
        <v>3.4390000000000001</v>
      </c>
      <c r="G3947" s="49">
        <f>IF(ISNUMBER(F3947),E3947*F3947,"")</f>
        <v>4.1783850000000005</v>
      </c>
      <c r="H3947" s="65"/>
      <c r="I3947" s="66"/>
      <c r="J3947" s="125">
        <v>0</v>
      </c>
    </row>
    <row r="3948" spans="1:10" ht="26.25" hidden="1" thickBot="1" x14ac:dyDescent="0.3">
      <c r="A3948" s="249"/>
      <c r="B3948" s="238"/>
      <c r="C3948" s="155" t="s">
        <v>26904</v>
      </c>
      <c r="D3948" s="155" t="s">
        <v>870</v>
      </c>
      <c r="E3948" s="34">
        <v>0.25</v>
      </c>
      <c r="F3948" s="49">
        <v>684.0379999999999</v>
      </c>
      <c r="G3948" s="49">
        <f>IF(ISNUMBER(F3948),E3948*F3948,"")</f>
        <v>171.00949999999997</v>
      </c>
      <c r="H3948" s="65"/>
      <c r="I3948" s="66"/>
      <c r="J3948" s="125">
        <v>0</v>
      </c>
    </row>
    <row r="3949" spans="1:10" ht="15.75" hidden="1" thickBot="1" x14ac:dyDescent="0.3">
      <c r="A3949" s="249"/>
      <c r="B3949" s="238"/>
      <c r="C3949" s="155" t="s">
        <v>595</v>
      </c>
      <c r="D3949" s="155" t="s">
        <v>587</v>
      </c>
      <c r="E3949" s="34">
        <v>0.437</v>
      </c>
      <c r="F3949" s="49">
        <v>25.65</v>
      </c>
      <c r="G3949" s="49">
        <f>IF(ISNUMBER(F3949),E3949*F3949,"")</f>
        <v>11.20905</v>
      </c>
      <c r="H3949" s="65"/>
      <c r="I3949" s="66"/>
      <c r="J3949" s="125">
        <v>0</v>
      </c>
    </row>
    <row r="3950" spans="1:10" ht="15.75" hidden="1" thickBot="1" x14ac:dyDescent="0.3">
      <c r="A3950" s="249"/>
      <c r="B3950" s="238"/>
      <c r="C3950" s="155" t="s">
        <v>588</v>
      </c>
      <c r="D3950" s="155" t="s">
        <v>587</v>
      </c>
      <c r="E3950" s="34">
        <v>0.218</v>
      </c>
      <c r="F3950" s="49">
        <v>19.189999999999998</v>
      </c>
      <c r="G3950" s="49">
        <f>IF(ISNUMBER(F3950),E3950*F3950,"")</f>
        <v>4.1834199999999999</v>
      </c>
      <c r="H3950" s="65"/>
      <c r="I3950" s="66"/>
      <c r="J3950" s="125">
        <v>0</v>
      </c>
    </row>
    <row r="3951" spans="1:10" ht="15.75" hidden="1" thickBot="1" x14ac:dyDescent="0.3">
      <c r="A3951" s="249"/>
      <c r="B3951" s="238"/>
      <c r="C3951" s="164"/>
      <c r="D3951" s="50"/>
      <c r="E3951" s="61"/>
      <c r="F3951" s="68" t="s">
        <v>418</v>
      </c>
      <c r="G3951" s="68" t="str">
        <f>IF(ISNUMBER(F3951),E3951*F3951,"")</f>
        <v/>
      </c>
      <c r="H3951" s="69"/>
      <c r="I3951" s="66"/>
      <c r="J3951" s="125">
        <v>0</v>
      </c>
    </row>
    <row r="3952" spans="1:10" ht="15.75" hidden="1" thickBot="1" x14ac:dyDescent="0.3">
      <c r="A3952" s="234" t="s">
        <v>1035</v>
      </c>
      <c r="B3952" s="237" t="s">
        <v>1831</v>
      </c>
      <c r="C3952" s="160"/>
      <c r="D3952" s="23" t="s">
        <v>70</v>
      </c>
      <c r="E3952" s="24"/>
      <c r="F3952" s="44" t="s">
        <v>418</v>
      </c>
      <c r="G3952" s="25" t="str">
        <f>IF(ISNUMBER(F3952),E3952*F3952,"")</f>
        <v/>
      </c>
      <c r="H3952" s="26"/>
      <c r="I3952" s="27"/>
      <c r="J3952" s="125">
        <v>0</v>
      </c>
    </row>
    <row r="3953" spans="1:10" ht="15.75" hidden="1" thickBot="1" x14ac:dyDescent="0.3">
      <c r="A3953" s="249"/>
      <c r="B3953" s="238"/>
      <c r="C3953" s="151"/>
      <c r="D3953" s="29"/>
      <c r="E3953" s="30"/>
      <c r="F3953" s="49" t="s">
        <v>418</v>
      </c>
      <c r="G3953" s="49" t="str">
        <f>IF(ISNUMBER(F3953),E3953*F3953,"")</f>
        <v/>
      </c>
      <c r="H3953" s="65"/>
      <c r="I3953" s="66"/>
      <c r="J3953" s="125">
        <v>0</v>
      </c>
    </row>
    <row r="3954" spans="1:10" ht="26.25" hidden="1" thickBot="1" x14ac:dyDescent="0.3">
      <c r="A3954" s="249"/>
      <c r="B3954" s="238"/>
      <c r="C3954" s="155" t="s">
        <v>652</v>
      </c>
      <c r="D3954" s="155" t="s">
        <v>774</v>
      </c>
      <c r="E3954" s="34">
        <v>0.53</v>
      </c>
      <c r="F3954" s="49">
        <v>51.841499999999996</v>
      </c>
      <c r="G3954" s="49">
        <f>IF(ISNUMBER(F3954),E3954*F3954,"")</f>
        <v>27.475995000000001</v>
      </c>
      <c r="H3954" s="35">
        <f>SUM(G3954:G3960)</f>
        <v>109.66886449999998</v>
      </c>
      <c r="I3954" s="36"/>
      <c r="J3954" s="125">
        <v>0</v>
      </c>
    </row>
    <row r="3955" spans="1:10" ht="39" hidden="1" thickBot="1" x14ac:dyDescent="0.3">
      <c r="A3955" s="249"/>
      <c r="B3955" s="238"/>
      <c r="C3955" s="155" t="s">
        <v>13536</v>
      </c>
      <c r="D3955" s="33" t="s">
        <v>870</v>
      </c>
      <c r="E3955" s="34">
        <v>1.05</v>
      </c>
      <c r="F3955" s="49" t="s">
        <v>418</v>
      </c>
      <c r="G3955" s="49" t="str">
        <f>IF(ISNUMBER(F3955),E3955*F3955,"")</f>
        <v/>
      </c>
      <c r="H3955" s="65"/>
      <c r="I3955" s="66"/>
      <c r="J3955" s="125">
        <v>0</v>
      </c>
    </row>
    <row r="3956" spans="1:10" ht="15.75" hidden="1" thickBot="1" x14ac:dyDescent="0.3">
      <c r="A3956" s="249"/>
      <c r="B3956" s="238"/>
      <c r="C3956" s="155" t="s">
        <v>23679</v>
      </c>
      <c r="D3956" s="155" t="s">
        <v>774</v>
      </c>
      <c r="E3956" s="34">
        <v>0.97</v>
      </c>
      <c r="F3956" s="49">
        <v>3.952</v>
      </c>
      <c r="G3956" s="49">
        <f>IF(ISNUMBER(F3956),E3956*F3956,"")</f>
        <v>3.83344</v>
      </c>
      <c r="H3956" s="65"/>
      <c r="I3956" s="66"/>
      <c r="J3956" s="125">
        <v>0</v>
      </c>
    </row>
    <row r="3957" spans="1:10" ht="15.75" hidden="1" thickBot="1" x14ac:dyDescent="0.3">
      <c r="A3957" s="249"/>
      <c r="B3957" s="238"/>
      <c r="C3957" s="155" t="s">
        <v>9784</v>
      </c>
      <c r="D3957" s="155" t="s">
        <v>587</v>
      </c>
      <c r="E3957" s="34">
        <v>1.405</v>
      </c>
      <c r="F3957" s="49">
        <v>25.516999999999999</v>
      </c>
      <c r="G3957" s="49">
        <f>IF(ISNUMBER(F3957),E3957*F3957,"")</f>
        <v>35.851385000000001</v>
      </c>
      <c r="H3957" s="65"/>
      <c r="I3957" s="66"/>
      <c r="J3957" s="125">
        <v>0</v>
      </c>
    </row>
    <row r="3958" spans="1:10" ht="15.75" hidden="1" thickBot="1" x14ac:dyDescent="0.3">
      <c r="A3958" s="249"/>
      <c r="B3958" s="238"/>
      <c r="C3958" s="155" t="s">
        <v>588</v>
      </c>
      <c r="D3958" s="155" t="s">
        <v>587</v>
      </c>
      <c r="E3958" s="34">
        <v>0.70199999999999996</v>
      </c>
      <c r="F3958" s="49">
        <v>19.189999999999998</v>
      </c>
      <c r="G3958" s="49">
        <f>IF(ISNUMBER(F3958),E3958*F3958,"")</f>
        <v>13.471379999999998</v>
      </c>
      <c r="H3958" s="65"/>
      <c r="I3958" s="66"/>
      <c r="J3958" s="125">
        <v>0</v>
      </c>
    </row>
    <row r="3959" spans="1:10" ht="26.25" hidden="1" thickBot="1" x14ac:dyDescent="0.3">
      <c r="A3959" s="249"/>
      <c r="B3959" s="238"/>
      <c r="C3959" s="155" t="s">
        <v>1018</v>
      </c>
      <c r="D3959" s="155" t="s">
        <v>814</v>
      </c>
      <c r="E3959" s="34">
        <v>8.8999999999999996E-2</v>
      </c>
      <c r="F3959" s="49">
        <v>21.992499999999996</v>
      </c>
      <c r="G3959" s="49">
        <f>IF(ISNUMBER(F3959),E3959*F3959,"")</f>
        <v>1.9573324999999995</v>
      </c>
      <c r="H3959" s="65"/>
      <c r="I3959" s="66"/>
      <c r="J3959" s="125">
        <v>0</v>
      </c>
    </row>
    <row r="3960" spans="1:10" ht="26.25" hidden="1" thickBot="1" x14ac:dyDescent="0.3">
      <c r="A3960" s="249"/>
      <c r="B3960" s="238"/>
      <c r="C3960" s="155" t="s">
        <v>1019</v>
      </c>
      <c r="D3960" s="155" t="s">
        <v>816</v>
      </c>
      <c r="E3960" s="34">
        <v>1.3160000000000001</v>
      </c>
      <c r="F3960" s="49">
        <v>20.576999999999998</v>
      </c>
      <c r="G3960" s="49">
        <f>IF(ISNUMBER(F3960),E3960*F3960,"")</f>
        <v>27.079331999999997</v>
      </c>
      <c r="H3960" s="65"/>
      <c r="I3960" s="66"/>
      <c r="J3960" s="125">
        <v>0</v>
      </c>
    </row>
    <row r="3961" spans="1:10" ht="15.75" hidden="1" thickBot="1" x14ac:dyDescent="0.3">
      <c r="A3961" s="249"/>
      <c r="B3961" s="238"/>
      <c r="C3961" s="155"/>
      <c r="D3961" s="33"/>
      <c r="E3961" s="34"/>
      <c r="F3961" s="49" t="s">
        <v>418</v>
      </c>
      <c r="G3961" s="49" t="str">
        <f>IF(ISNUMBER(F3961),E3961*F3961,"")</f>
        <v/>
      </c>
      <c r="H3961" s="65"/>
      <c r="I3961" s="66"/>
      <c r="J3961" s="125">
        <v>0</v>
      </c>
    </row>
    <row r="3962" spans="1:10" ht="15.75" hidden="1" thickBot="1" x14ac:dyDescent="0.3">
      <c r="A3962" s="234" t="s">
        <v>1036</v>
      </c>
      <c r="B3962" s="237" t="s">
        <v>1832</v>
      </c>
      <c r="C3962" s="160"/>
      <c r="D3962" s="23" t="s">
        <v>16</v>
      </c>
      <c r="E3962" s="24"/>
      <c r="F3962" s="44" t="s">
        <v>418</v>
      </c>
      <c r="G3962" s="25" t="str">
        <f>IF(ISNUMBER(F3962),E3962*F3962,"")</f>
        <v/>
      </c>
      <c r="H3962" s="26"/>
      <c r="I3962" s="27"/>
      <c r="J3962" s="125">
        <v>0</v>
      </c>
    </row>
    <row r="3963" spans="1:10" ht="15.75" hidden="1" thickBot="1" x14ac:dyDescent="0.3">
      <c r="A3963" s="249"/>
      <c r="B3963" s="238"/>
      <c r="C3963" s="151"/>
      <c r="D3963" s="29"/>
      <c r="E3963" s="30"/>
      <c r="F3963" s="49" t="s">
        <v>418</v>
      </c>
      <c r="G3963" s="49" t="str">
        <f>IF(ISNUMBER(F3963),E3963*F3963,"")</f>
        <v/>
      </c>
      <c r="H3963" s="65"/>
      <c r="I3963" s="66"/>
      <c r="J3963" s="125">
        <v>0</v>
      </c>
    </row>
    <row r="3964" spans="1:10" ht="26.25" hidden="1" thickBot="1" x14ac:dyDescent="0.3">
      <c r="A3964" s="249"/>
      <c r="B3964" s="238"/>
      <c r="C3964" s="155" t="s">
        <v>1037</v>
      </c>
      <c r="D3964" s="155" t="s">
        <v>205</v>
      </c>
      <c r="E3964" s="34">
        <v>1</v>
      </c>
      <c r="F3964" s="49">
        <v>94.268500000000003</v>
      </c>
      <c r="G3964" s="49">
        <f>IF(ISNUMBER(F3964),E3964*F3964,"")</f>
        <v>94.268500000000003</v>
      </c>
      <c r="H3964" s="35">
        <f>SUM(G3964:G3967)</f>
        <v>139.00435894256981</v>
      </c>
      <c r="I3964" s="36"/>
      <c r="J3964" s="125">
        <v>0</v>
      </c>
    </row>
    <row r="3965" spans="1:10" ht="26.25" hidden="1" thickBot="1" x14ac:dyDescent="0.3">
      <c r="A3965" s="249"/>
      <c r="B3965" s="238"/>
      <c r="C3965" s="155" t="s">
        <v>9182</v>
      </c>
      <c r="D3965" s="155" t="s">
        <v>85</v>
      </c>
      <c r="E3965" s="34">
        <v>4.4000000000000003E-3</v>
      </c>
      <c r="F3965" s="49">
        <v>828.55930512949988</v>
      </c>
      <c r="G3965" s="49">
        <f>IF(ISNUMBER(F3965),E3965*F3965,"")</f>
        <v>3.6456609425697999</v>
      </c>
      <c r="H3965" s="65"/>
      <c r="I3965" s="66"/>
      <c r="J3965" s="125">
        <v>0</v>
      </c>
    </row>
    <row r="3966" spans="1:10" ht="15.75" hidden="1" thickBot="1" x14ac:dyDescent="0.3">
      <c r="A3966" s="249"/>
      <c r="B3966" s="238"/>
      <c r="C3966" s="155" t="s">
        <v>595</v>
      </c>
      <c r="D3966" s="155" t="s">
        <v>587</v>
      </c>
      <c r="E3966" s="34">
        <v>1.0088999999999999</v>
      </c>
      <c r="F3966" s="49">
        <v>25.65</v>
      </c>
      <c r="G3966" s="49">
        <f>IF(ISNUMBER(F3966),E3966*F3966,"")</f>
        <v>25.878284999999995</v>
      </c>
      <c r="H3966" s="65"/>
      <c r="I3966" s="66"/>
      <c r="J3966" s="125">
        <v>0</v>
      </c>
    </row>
    <row r="3967" spans="1:10" ht="15.75" hidden="1" thickBot="1" x14ac:dyDescent="0.3">
      <c r="A3967" s="249"/>
      <c r="B3967" s="238"/>
      <c r="C3967" s="155" t="s">
        <v>588</v>
      </c>
      <c r="D3967" s="155" t="s">
        <v>587</v>
      </c>
      <c r="E3967" s="34">
        <v>0.79269999999999996</v>
      </c>
      <c r="F3967" s="49">
        <v>19.189999999999998</v>
      </c>
      <c r="G3967" s="49">
        <f>IF(ISNUMBER(F3967),E3967*F3967,"")</f>
        <v>15.211912999999997</v>
      </c>
      <c r="H3967" s="65"/>
      <c r="I3967" s="66"/>
      <c r="J3967" s="125">
        <v>0</v>
      </c>
    </row>
    <row r="3968" spans="1:10" ht="15.75" hidden="1" thickBot="1" x14ac:dyDescent="0.3">
      <c r="A3968" s="249"/>
      <c r="B3968" s="238"/>
      <c r="C3968" s="164"/>
      <c r="D3968" s="50"/>
      <c r="E3968" s="61"/>
      <c r="F3968" s="68" t="s">
        <v>418</v>
      </c>
      <c r="G3968" s="68" t="str">
        <f>IF(ISNUMBER(F3968),E3968*F3968,"")</f>
        <v/>
      </c>
      <c r="H3968" s="69"/>
      <c r="I3968" s="66"/>
      <c r="J3968" s="125">
        <v>0</v>
      </c>
    </row>
    <row r="3969" spans="1:10" ht="15.75" hidden="1" thickBot="1" x14ac:dyDescent="0.3">
      <c r="A3969" s="234" t="s">
        <v>1038</v>
      </c>
      <c r="B3969" s="237" t="s">
        <v>1833</v>
      </c>
      <c r="C3969" s="160"/>
      <c r="D3969" s="23" t="s">
        <v>70</v>
      </c>
      <c r="E3969" s="24"/>
      <c r="F3969" s="44" t="s">
        <v>418</v>
      </c>
      <c r="G3969" s="25" t="str">
        <f>IF(ISNUMBER(F3969),E3969*F3969,"")</f>
        <v/>
      </c>
      <c r="H3969" s="26"/>
      <c r="I3969" s="27"/>
      <c r="J3969" s="125">
        <v>0</v>
      </c>
    </row>
    <row r="3970" spans="1:10" ht="15.75" hidden="1" thickBot="1" x14ac:dyDescent="0.3">
      <c r="A3970" s="249"/>
      <c r="B3970" s="238"/>
      <c r="C3970" s="151"/>
      <c r="D3970" s="29"/>
      <c r="E3970" s="30"/>
      <c r="F3970" s="49" t="s">
        <v>418</v>
      </c>
      <c r="G3970" s="49" t="str">
        <f>IF(ISNUMBER(F3970),E3970*F3970,"")</f>
        <v/>
      </c>
      <c r="H3970" s="65"/>
      <c r="I3970" s="66"/>
      <c r="J3970" s="125">
        <v>0</v>
      </c>
    </row>
    <row r="3971" spans="1:10" ht="26.25" hidden="1" thickBot="1" x14ac:dyDescent="0.3">
      <c r="A3971" s="249"/>
      <c r="B3971" s="238"/>
      <c r="C3971" s="155" t="s">
        <v>1039</v>
      </c>
      <c r="D3971" s="33" t="s">
        <v>70</v>
      </c>
      <c r="E3971" s="34">
        <v>1.0798000000000001</v>
      </c>
      <c r="F3971" s="49" t="s">
        <v>418</v>
      </c>
      <c r="G3971" s="49" t="str">
        <f>IF(ISNUMBER(F3971),E3971*F3971,"")</f>
        <v/>
      </c>
      <c r="H3971" s="35">
        <f>SUM(G3971:G3975)</f>
        <v>39.518023999999997</v>
      </c>
      <c r="I3971" s="36"/>
      <c r="J3971" s="125">
        <v>0</v>
      </c>
    </row>
    <row r="3972" spans="1:10" ht="15.75" hidden="1" thickBot="1" x14ac:dyDescent="0.3">
      <c r="A3972" s="249"/>
      <c r="B3972" s="238"/>
      <c r="C3972" s="155" t="s">
        <v>23677</v>
      </c>
      <c r="D3972" s="155" t="s">
        <v>774</v>
      </c>
      <c r="E3972" s="34">
        <v>6.85</v>
      </c>
      <c r="F3972" s="49">
        <v>2.0804999999999998</v>
      </c>
      <c r="G3972" s="49">
        <f>IF(ISNUMBER(F3972),E3972*F3972,"")</f>
        <v>14.251424999999998</v>
      </c>
      <c r="H3972" s="65"/>
      <c r="I3972" s="66"/>
      <c r="J3972" s="125">
        <v>0</v>
      </c>
    </row>
    <row r="3973" spans="1:10" ht="15.75" hidden="1" thickBot="1" x14ac:dyDescent="0.3">
      <c r="A3973" s="249"/>
      <c r="B3973" s="238"/>
      <c r="C3973" s="155" t="s">
        <v>27268</v>
      </c>
      <c r="D3973" s="155" t="s">
        <v>774</v>
      </c>
      <c r="E3973" s="34">
        <v>0.222</v>
      </c>
      <c r="F3973" s="49">
        <v>6.5739999999999998</v>
      </c>
      <c r="G3973" s="49">
        <f>IF(ISNUMBER(F3973),E3973*F3973,"")</f>
        <v>1.4594279999999999</v>
      </c>
      <c r="H3973" s="65"/>
      <c r="I3973" s="66"/>
      <c r="J3973" s="125">
        <v>0</v>
      </c>
    </row>
    <row r="3974" spans="1:10" ht="15.75" hidden="1" thickBot="1" x14ac:dyDescent="0.3">
      <c r="A3974" s="249"/>
      <c r="B3974" s="238"/>
      <c r="C3974" s="155" t="s">
        <v>1087</v>
      </c>
      <c r="D3974" s="155" t="s">
        <v>587</v>
      </c>
      <c r="E3974" s="34">
        <v>0.69699999999999995</v>
      </c>
      <c r="F3974" s="49">
        <v>25.516999999999999</v>
      </c>
      <c r="G3974" s="49">
        <f>IF(ISNUMBER(F3974),E3974*F3974,"")</f>
        <v>17.785349</v>
      </c>
      <c r="H3974" s="65"/>
      <c r="I3974" s="66"/>
      <c r="J3974" s="125">
        <v>0</v>
      </c>
    </row>
    <row r="3975" spans="1:10" ht="15.75" hidden="1" thickBot="1" x14ac:dyDescent="0.3">
      <c r="A3975" s="249"/>
      <c r="B3975" s="238"/>
      <c r="C3975" s="155" t="s">
        <v>588</v>
      </c>
      <c r="D3975" s="155" t="s">
        <v>587</v>
      </c>
      <c r="E3975" s="34">
        <v>0.31380000000000002</v>
      </c>
      <c r="F3975" s="49">
        <v>19.189999999999998</v>
      </c>
      <c r="G3975" s="49">
        <f>IF(ISNUMBER(F3975),E3975*F3975,"")</f>
        <v>6.0218219999999993</v>
      </c>
      <c r="H3975" s="65"/>
      <c r="I3975" s="66"/>
      <c r="J3975" s="125">
        <v>0</v>
      </c>
    </row>
    <row r="3976" spans="1:10" ht="15.75" hidden="1" thickBot="1" x14ac:dyDescent="0.3">
      <c r="A3976" s="249"/>
      <c r="B3976" s="238"/>
      <c r="C3976" s="155"/>
      <c r="D3976" s="42"/>
      <c r="E3976" s="34"/>
      <c r="F3976" s="49" t="s">
        <v>418</v>
      </c>
      <c r="G3976" s="49" t="str">
        <f>IF(ISNUMBER(F3976),E3976*F3976,"")</f>
        <v/>
      </c>
      <c r="H3976" s="65"/>
      <c r="I3976" s="66"/>
      <c r="J3976" s="125">
        <v>0</v>
      </c>
    </row>
    <row r="3977" spans="1:10" ht="15.75" hidden="1" thickBot="1" x14ac:dyDescent="0.3">
      <c r="A3977" s="234" t="s">
        <v>1040</v>
      </c>
      <c r="B3977" s="237" t="s">
        <v>1834</v>
      </c>
      <c r="C3977" s="160"/>
      <c r="D3977" s="23" t="s">
        <v>81</v>
      </c>
      <c r="E3977" s="24"/>
      <c r="F3977" s="44" t="s">
        <v>418</v>
      </c>
      <c r="G3977" s="25" t="str">
        <f>IF(ISNUMBER(F3977),E3977*F3977,"")</f>
        <v/>
      </c>
      <c r="H3977" s="26"/>
      <c r="I3977" s="27"/>
      <c r="J3977" s="125">
        <v>0</v>
      </c>
    </row>
    <row r="3978" spans="1:10" ht="15.75" hidden="1" thickBot="1" x14ac:dyDescent="0.3">
      <c r="A3978" s="249"/>
      <c r="B3978" s="238"/>
      <c r="C3978" s="151"/>
      <c r="D3978" s="29"/>
      <c r="E3978" s="30"/>
      <c r="F3978" s="49" t="s">
        <v>418</v>
      </c>
      <c r="G3978" s="49" t="str">
        <f>IF(ISNUMBER(F3978),E3978*F3978,"")</f>
        <v/>
      </c>
      <c r="H3978" s="65"/>
      <c r="I3978" s="66"/>
      <c r="J3978" s="125">
        <v>0</v>
      </c>
    </row>
    <row r="3979" spans="1:10" ht="26.25" hidden="1" thickBot="1" x14ac:dyDescent="0.3">
      <c r="A3979" s="249"/>
      <c r="B3979" s="238"/>
      <c r="C3979" s="155" t="s">
        <v>1041</v>
      </c>
      <c r="D3979" s="155" t="s">
        <v>85</v>
      </c>
      <c r="E3979" s="34">
        <v>1.3889</v>
      </c>
      <c r="F3979" s="49">
        <v>33.25</v>
      </c>
      <c r="G3979" s="49">
        <f>IF(ISNUMBER(F3979),E3979*F3979,"")</f>
        <v>46.180925000000002</v>
      </c>
      <c r="H3979" s="35">
        <f>SUM(G3979:G3985)</f>
        <v>162.34956551996498</v>
      </c>
      <c r="I3979" s="36"/>
      <c r="J3979" s="125">
        <v>0</v>
      </c>
    </row>
    <row r="3980" spans="1:10" ht="51.75" hidden="1" thickBot="1" x14ac:dyDescent="0.3">
      <c r="A3980" s="249"/>
      <c r="B3980" s="238"/>
      <c r="C3980" s="155" t="s">
        <v>818</v>
      </c>
      <c r="D3980" s="155" t="s">
        <v>814</v>
      </c>
      <c r="E3980" s="34">
        <v>5.4000000000000003E-3</v>
      </c>
      <c r="F3980" s="49">
        <v>322.2115</v>
      </c>
      <c r="G3980" s="49">
        <f>IF(ISNUMBER(F3980),E3980*F3980,"")</f>
        <v>1.7399421000000002</v>
      </c>
      <c r="H3980" s="65"/>
      <c r="I3980" s="66"/>
      <c r="J3980" s="125">
        <v>0</v>
      </c>
    </row>
    <row r="3981" spans="1:10" ht="51.75" hidden="1" thickBot="1" x14ac:dyDescent="0.3">
      <c r="A3981" s="249"/>
      <c r="B3981" s="238"/>
      <c r="C3981" s="155" t="s">
        <v>819</v>
      </c>
      <c r="D3981" s="155" t="s">
        <v>816</v>
      </c>
      <c r="E3981" s="34">
        <v>5.9999999999999995E-4</v>
      </c>
      <c r="F3981" s="49">
        <v>68.276499999999999</v>
      </c>
      <c r="G3981" s="49">
        <f>IF(ISNUMBER(F3981),E3981*F3981,"")</f>
        <v>4.0965899999999993E-2</v>
      </c>
      <c r="H3981" s="65"/>
      <c r="I3981" s="66"/>
      <c r="J3981" s="125">
        <v>0</v>
      </c>
    </row>
    <row r="3982" spans="1:10" ht="15.75" hidden="1" thickBot="1" x14ac:dyDescent="0.3">
      <c r="A3982" s="249"/>
      <c r="B3982" s="238"/>
      <c r="C3982" s="155" t="s">
        <v>588</v>
      </c>
      <c r="D3982" s="155" t="s">
        <v>587</v>
      </c>
      <c r="E3982" s="34">
        <v>0.78659999999999997</v>
      </c>
      <c r="F3982" s="49">
        <v>19.189999999999998</v>
      </c>
      <c r="G3982" s="49">
        <f>IF(ISNUMBER(F3982),E3982*F3982,"")</f>
        <v>15.094853999999998</v>
      </c>
      <c r="H3982" s="65"/>
      <c r="I3982" s="66"/>
      <c r="J3982" s="125">
        <v>0</v>
      </c>
    </row>
    <row r="3983" spans="1:10" ht="39" hidden="1" thickBot="1" x14ac:dyDescent="0.3">
      <c r="A3983" s="249"/>
      <c r="B3983" s="238"/>
      <c r="C3983" s="155" t="s">
        <v>813</v>
      </c>
      <c r="D3983" s="155" t="s">
        <v>814</v>
      </c>
      <c r="E3983" s="34">
        <v>0.19620000000000001</v>
      </c>
      <c r="F3983" s="49">
        <v>28.604499999999998</v>
      </c>
      <c r="G3983" s="49">
        <f>IF(ISNUMBER(F3983),E3983*F3983,"")</f>
        <v>5.6122028999999998</v>
      </c>
      <c r="H3983" s="65"/>
      <c r="I3983" s="66"/>
      <c r="J3983" s="125">
        <v>0</v>
      </c>
    </row>
    <row r="3984" spans="1:10" ht="51.75" hidden="1" thickBot="1" x14ac:dyDescent="0.3">
      <c r="A3984" s="249"/>
      <c r="B3984" s="238"/>
      <c r="C3984" s="155" t="s">
        <v>10661</v>
      </c>
      <c r="D3984" s="155" t="s">
        <v>85</v>
      </c>
      <c r="E3984" s="34">
        <f>1*E3979</f>
        <v>1.3889</v>
      </c>
      <c r="F3984" s="31">
        <v>8.6578848500000003</v>
      </c>
      <c r="G3984" s="31">
        <f>IF(ISNUMBER(F3984),E3984*F3984,"")</f>
        <v>12.024936268165</v>
      </c>
      <c r="H3984" s="32"/>
      <c r="I3984" s="28"/>
      <c r="J3984" s="125">
        <v>0</v>
      </c>
    </row>
    <row r="3985" spans="1:10" ht="39" hidden="1" thickBot="1" x14ac:dyDescent="0.3">
      <c r="A3985" s="249"/>
      <c r="B3985" s="238"/>
      <c r="C3985" s="155" t="s">
        <v>10602</v>
      </c>
      <c r="D3985" s="155" t="s">
        <v>1292</v>
      </c>
      <c r="E3985" s="34">
        <f>E3979*20</f>
        <v>27.777999999999999</v>
      </c>
      <c r="F3985" s="49">
        <v>2.9395830999999997</v>
      </c>
      <c r="G3985" s="49">
        <f>IF(ISNUMBER(F3985),E3985*F3985,"")</f>
        <v>81.655739351799994</v>
      </c>
      <c r="H3985" s="65"/>
      <c r="I3985" s="66"/>
      <c r="J3985" s="125">
        <v>0</v>
      </c>
    </row>
    <row r="3986" spans="1:10" ht="15.75" hidden="1" thickBot="1" x14ac:dyDescent="0.3">
      <c r="A3986" s="249"/>
      <c r="B3986" s="238"/>
      <c r="C3986" s="46"/>
      <c r="D3986" s="42"/>
      <c r="E3986" s="34"/>
      <c r="F3986" s="49" t="s">
        <v>418</v>
      </c>
      <c r="G3986" s="49" t="str">
        <f>IF(ISNUMBER(F3986),E3986*F3986,"")</f>
        <v/>
      </c>
      <c r="H3986" s="65"/>
      <c r="I3986" s="66"/>
      <c r="J3986" s="125">
        <v>0</v>
      </c>
    </row>
    <row r="3987" spans="1:10" ht="15.75" hidden="1" thickBot="1" x14ac:dyDescent="0.3">
      <c r="A3987" s="249"/>
      <c r="B3987" s="238"/>
      <c r="C3987" s="43" t="s">
        <v>633</v>
      </c>
      <c r="D3987" s="42"/>
      <c r="E3987" s="34"/>
      <c r="F3987" s="49" t="s">
        <v>418</v>
      </c>
      <c r="G3987" s="49" t="str">
        <f>IF(ISNUMBER(F3987),E3987*F3987,"")</f>
        <v/>
      </c>
      <c r="H3987" s="65"/>
      <c r="I3987" s="66"/>
      <c r="J3987" s="125">
        <v>0</v>
      </c>
    </row>
    <row r="3988" spans="1:10" ht="15.75" hidden="1" thickBot="1" x14ac:dyDescent="0.3">
      <c r="A3988" s="249"/>
      <c r="B3988" s="238"/>
      <c r="C3988" s="164"/>
      <c r="D3988" s="50"/>
      <c r="E3988" s="61"/>
      <c r="F3988" s="68" t="s">
        <v>418</v>
      </c>
      <c r="G3988" s="68" t="str">
        <f>IF(ISNUMBER(F3988),E3988*F3988,"")</f>
        <v/>
      </c>
      <c r="H3988" s="69"/>
      <c r="I3988" s="66"/>
      <c r="J3988" s="125">
        <v>0</v>
      </c>
    </row>
    <row r="3989" spans="1:10" ht="15.75" hidden="1" thickBot="1" x14ac:dyDescent="0.3">
      <c r="A3989" s="234" t="s">
        <v>1042</v>
      </c>
      <c r="B3989" s="237" t="s">
        <v>1835</v>
      </c>
      <c r="C3989" s="160"/>
      <c r="D3989" s="23" t="s">
        <v>69</v>
      </c>
      <c r="E3989" s="24"/>
      <c r="F3989" s="44" t="s">
        <v>418</v>
      </c>
      <c r="G3989" s="25" t="str">
        <f>IF(ISNUMBER(F3989),E3989*F3989,"")</f>
        <v/>
      </c>
      <c r="H3989" s="26"/>
      <c r="I3989" s="27"/>
      <c r="J3989" s="125">
        <v>0</v>
      </c>
    </row>
    <row r="3990" spans="1:10" ht="15.75" hidden="1" thickBot="1" x14ac:dyDescent="0.3">
      <c r="A3990" s="249"/>
      <c r="B3990" s="238"/>
      <c r="C3990" s="151"/>
      <c r="D3990" s="29"/>
      <c r="E3990" s="30"/>
      <c r="F3990" s="49" t="s">
        <v>418</v>
      </c>
      <c r="G3990" s="49" t="str">
        <f>IF(ISNUMBER(F3990),E3990*F3990,"")</f>
        <v/>
      </c>
      <c r="H3990" s="65"/>
      <c r="I3990" s="66"/>
      <c r="J3990" s="125">
        <v>0</v>
      </c>
    </row>
    <row r="3991" spans="1:10" ht="15.75" hidden="1" thickBot="1" x14ac:dyDescent="0.3">
      <c r="A3991" s="249"/>
      <c r="B3991" s="238"/>
      <c r="C3991" s="155" t="s">
        <v>1043</v>
      </c>
      <c r="D3991" s="155" t="s">
        <v>774</v>
      </c>
      <c r="E3991" s="34">
        <v>1.4</v>
      </c>
      <c r="F3991" s="49">
        <v>10.336</v>
      </c>
      <c r="G3991" s="49">
        <f>IF(ISNUMBER(F3991),E3991*F3991,"")</f>
        <v>14.4704</v>
      </c>
      <c r="H3991" s="35">
        <f>SUM(G3991:G4000)</f>
        <v>1507.4830469999995</v>
      </c>
      <c r="I3991" s="36"/>
      <c r="J3991" s="125">
        <v>0</v>
      </c>
    </row>
    <row r="3992" spans="1:10" ht="15.75" hidden="1" thickBot="1" x14ac:dyDescent="0.3">
      <c r="A3992" s="249"/>
      <c r="B3992" s="238"/>
      <c r="C3992" s="155" t="s">
        <v>1044</v>
      </c>
      <c r="D3992" s="155" t="s">
        <v>774</v>
      </c>
      <c r="E3992" s="34">
        <v>3.0000000000000001E-3</v>
      </c>
      <c r="F3992" s="49">
        <v>27.454999999999998</v>
      </c>
      <c r="G3992" s="49">
        <f>IF(ISNUMBER(F3992),E3992*F3992,"")</f>
        <v>8.2364999999999994E-2</v>
      </c>
      <c r="H3992" s="65"/>
      <c r="I3992" s="66"/>
      <c r="J3992" s="125">
        <v>0</v>
      </c>
    </row>
    <row r="3993" spans="1:10" ht="26.25" hidden="1" thickBot="1" x14ac:dyDescent="0.3">
      <c r="A3993" s="249"/>
      <c r="B3993" s="238"/>
      <c r="C3993" s="155" t="s">
        <v>910</v>
      </c>
      <c r="D3993" s="155" t="s">
        <v>205</v>
      </c>
      <c r="E3993" s="34">
        <v>3.3330000000000002</v>
      </c>
      <c r="F3993" s="49">
        <v>2.6219999999999999</v>
      </c>
      <c r="G3993" s="49">
        <f>IF(ISNUMBER(F3993),E3993*F3993,"")</f>
        <v>8.7391260000000006</v>
      </c>
      <c r="H3993" s="65"/>
      <c r="I3993" s="66"/>
      <c r="J3993" s="125">
        <v>0</v>
      </c>
    </row>
    <row r="3994" spans="1:10" ht="39" hidden="1" thickBot="1" x14ac:dyDescent="0.3">
      <c r="A3994" s="249"/>
      <c r="B3994" s="238"/>
      <c r="C3994" s="155" t="s">
        <v>1045</v>
      </c>
      <c r="D3994" s="155" t="s">
        <v>205</v>
      </c>
      <c r="E3994" s="34">
        <v>5</v>
      </c>
      <c r="F3994" s="49">
        <v>0.49399999999999999</v>
      </c>
      <c r="G3994" s="49">
        <f>IF(ISNUMBER(F3994),E3994*F3994,"")</f>
        <v>2.4699999999999998</v>
      </c>
      <c r="H3994" s="65"/>
      <c r="I3994" s="66"/>
      <c r="J3994" s="125">
        <v>0</v>
      </c>
    </row>
    <row r="3995" spans="1:10" ht="26.25" hidden="1" thickBot="1" x14ac:dyDescent="0.3">
      <c r="A3995" s="249"/>
      <c r="B3995" s="238"/>
      <c r="C3995" s="155" t="s">
        <v>1046</v>
      </c>
      <c r="D3995" s="155" t="s">
        <v>385</v>
      </c>
      <c r="E3995" s="34">
        <v>3.149</v>
      </c>
      <c r="F3995" s="49">
        <v>19.474999999999998</v>
      </c>
      <c r="G3995" s="49">
        <f>IF(ISNUMBER(F3995),E3995*F3995,"")</f>
        <v>61.326774999999991</v>
      </c>
      <c r="H3995" s="65"/>
      <c r="I3995" s="66"/>
      <c r="J3995" s="125">
        <v>0</v>
      </c>
    </row>
    <row r="3996" spans="1:10" ht="15.75" hidden="1" thickBot="1" x14ac:dyDescent="0.3">
      <c r="A3996" s="249"/>
      <c r="B3996" s="238"/>
      <c r="C3996" s="155" t="s">
        <v>710</v>
      </c>
      <c r="D3996" s="155" t="s">
        <v>774</v>
      </c>
      <c r="E3996" s="34">
        <v>3.4089999999999998</v>
      </c>
      <c r="F3996" s="49">
        <v>36.745999999999995</v>
      </c>
      <c r="G3996" s="49">
        <f>IF(ISNUMBER(F3996),E3996*F3996,"")</f>
        <v>125.26711399999998</v>
      </c>
      <c r="H3996" s="65"/>
      <c r="I3996" s="66"/>
      <c r="J3996" s="125">
        <v>0</v>
      </c>
    </row>
    <row r="3997" spans="1:10" ht="26.25" hidden="1" thickBot="1" x14ac:dyDescent="0.3">
      <c r="A3997" s="249"/>
      <c r="B3997" s="238"/>
      <c r="C3997" s="155" t="s">
        <v>1047</v>
      </c>
      <c r="D3997" s="155" t="s">
        <v>870</v>
      </c>
      <c r="E3997" s="34">
        <v>0.998</v>
      </c>
      <c r="F3997" s="49">
        <v>1137.0264999999999</v>
      </c>
      <c r="G3997" s="49">
        <f>IF(ISNUMBER(F3997),E3997*F3997,"")</f>
        <v>1134.7524469999998</v>
      </c>
      <c r="H3997" s="65"/>
      <c r="I3997" s="66"/>
      <c r="J3997" s="125">
        <v>0</v>
      </c>
    </row>
    <row r="3998" spans="1:10" ht="15.75" hidden="1" thickBot="1" x14ac:dyDescent="0.3">
      <c r="A3998" s="249"/>
      <c r="B3998" s="238"/>
      <c r="C3998" s="155" t="s">
        <v>27384</v>
      </c>
      <c r="D3998" s="155" t="s">
        <v>205</v>
      </c>
      <c r="E3998" s="34">
        <v>0.85499999999999998</v>
      </c>
      <c r="F3998" s="49">
        <v>25.916</v>
      </c>
      <c r="G3998" s="49">
        <f>IF(ISNUMBER(F3998),E3998*F3998,"")</f>
        <v>22.158180000000002</v>
      </c>
      <c r="H3998" s="65"/>
      <c r="I3998" s="66"/>
      <c r="J3998" s="125">
        <v>0</v>
      </c>
    </row>
    <row r="3999" spans="1:10" ht="15.75" hidden="1" thickBot="1" x14ac:dyDescent="0.3">
      <c r="A3999" s="249"/>
      <c r="B3999" s="238"/>
      <c r="C3999" s="155" t="s">
        <v>664</v>
      </c>
      <c r="D3999" s="155" t="s">
        <v>587</v>
      </c>
      <c r="E3999" s="34">
        <v>2.754</v>
      </c>
      <c r="F3999" s="49">
        <v>19.189999999999998</v>
      </c>
      <c r="G3999" s="49">
        <f>IF(ISNUMBER(F3999),E3999*F3999,"")</f>
        <v>52.849259999999994</v>
      </c>
      <c r="H3999" s="65"/>
      <c r="I3999" s="66"/>
      <c r="J3999" s="125">
        <v>0</v>
      </c>
    </row>
    <row r="4000" spans="1:10" ht="15.75" hidden="1" thickBot="1" x14ac:dyDescent="0.3">
      <c r="A4000" s="249"/>
      <c r="B4000" s="238"/>
      <c r="C4000" s="155" t="s">
        <v>1048</v>
      </c>
      <c r="D4000" s="155" t="s">
        <v>587</v>
      </c>
      <c r="E4000" s="34">
        <v>3.3530000000000002</v>
      </c>
      <c r="F4000" s="49">
        <v>25.46</v>
      </c>
      <c r="G4000" s="49">
        <f>IF(ISNUMBER(F4000),E4000*F4000,"")</f>
        <v>85.367380000000011</v>
      </c>
      <c r="H4000" s="65"/>
      <c r="I4000" s="66"/>
      <c r="J4000" s="125">
        <v>0</v>
      </c>
    </row>
    <row r="4001" spans="1:10" ht="15.75" hidden="1" thickBot="1" x14ac:dyDescent="0.3">
      <c r="A4001" s="250"/>
      <c r="B4001" s="239"/>
      <c r="C4001" s="164"/>
      <c r="D4001" s="50"/>
      <c r="E4001" s="61"/>
      <c r="F4001" s="68" t="s">
        <v>418</v>
      </c>
      <c r="G4001" s="68" t="str">
        <f>IF(ISNUMBER(F4001),E4001*F4001,"")</f>
        <v/>
      </c>
      <c r="H4001" s="69"/>
      <c r="I4001" s="66"/>
      <c r="J4001" s="125">
        <v>0</v>
      </c>
    </row>
    <row r="4002" spans="1:10" ht="15.75" hidden="1" thickBot="1" x14ac:dyDescent="0.3">
      <c r="A4002" s="234" t="s">
        <v>1049</v>
      </c>
      <c r="B4002" s="237" t="s">
        <v>19764</v>
      </c>
      <c r="C4002" s="160"/>
      <c r="D4002" s="23" t="s">
        <v>69</v>
      </c>
      <c r="E4002" s="24"/>
      <c r="F4002" s="37" t="s">
        <v>418</v>
      </c>
      <c r="G4002" s="25" t="str">
        <f>IF(ISNUMBER(F4002),E4002*F4002,"")</f>
        <v/>
      </c>
      <c r="H4002" s="26"/>
      <c r="I4002" s="27"/>
      <c r="J4002" s="125">
        <v>0</v>
      </c>
    </row>
    <row r="4003" spans="1:10" ht="15.75" hidden="1" thickBot="1" x14ac:dyDescent="0.3">
      <c r="A4003" s="249"/>
      <c r="B4003" s="238"/>
      <c r="C4003" s="151"/>
      <c r="D4003" s="29"/>
      <c r="E4003" s="30"/>
      <c r="F4003" s="38" t="s">
        <v>418</v>
      </c>
      <c r="G4003" s="28" t="str">
        <f>IF(ISNUMBER(F4003),E4003*F4003,"")</f>
        <v/>
      </c>
      <c r="H4003" s="32"/>
      <c r="I4003" s="28"/>
      <c r="J4003" s="125">
        <v>0</v>
      </c>
    </row>
    <row r="4004" spans="1:10" ht="15.75" hidden="1" thickBot="1" x14ac:dyDescent="0.3">
      <c r="A4004" s="249"/>
      <c r="B4004" s="238"/>
      <c r="C4004" s="155" t="s">
        <v>9864</v>
      </c>
      <c r="D4004" s="155" t="s">
        <v>587</v>
      </c>
      <c r="E4004" s="34">
        <f>1/10</f>
        <v>0.1</v>
      </c>
      <c r="F4004" s="28">
        <v>23.274999999999999</v>
      </c>
      <c r="G4004" s="31">
        <f>IF(ISNUMBER(F4004),E4004*F4004,"")</f>
        <v>2.3275000000000001</v>
      </c>
      <c r="H4004" s="35">
        <f>SUM(G4004:G4005)</f>
        <v>2.3275000000000001</v>
      </c>
      <c r="I4004" s="36"/>
      <c r="J4004" s="125">
        <v>0</v>
      </c>
    </row>
    <row r="4005" spans="1:10" ht="15.75" hidden="1" thickBot="1" x14ac:dyDescent="0.3">
      <c r="A4005" s="249"/>
      <c r="B4005" s="238"/>
      <c r="C4005" s="155" t="s">
        <v>1050</v>
      </c>
      <c r="D4005" s="42" t="s">
        <v>69</v>
      </c>
      <c r="E4005" s="34">
        <v>1.05</v>
      </c>
      <c r="F4005" s="31" t="s">
        <v>418</v>
      </c>
      <c r="G4005" s="31" t="str">
        <f>IF(ISNUMBER(F4005),E4005*F4005,"")</f>
        <v/>
      </c>
      <c r="H4005" s="32"/>
      <c r="I4005" s="28"/>
      <c r="J4005" s="125">
        <v>0</v>
      </c>
    </row>
    <row r="4006" spans="1:10" ht="15.75" hidden="1" thickBot="1" x14ac:dyDescent="0.3">
      <c r="A4006" s="250"/>
      <c r="B4006" s="239"/>
      <c r="C4006" s="155"/>
      <c r="D4006" s="42"/>
      <c r="E4006" s="34"/>
      <c r="F4006" s="31" t="s">
        <v>418</v>
      </c>
      <c r="G4006" s="31" t="str">
        <f>IF(ISNUMBER(F4006),E4006*F4006,"")</f>
        <v/>
      </c>
      <c r="H4006" s="32"/>
      <c r="I4006" s="28"/>
      <c r="J4006" s="125">
        <v>0</v>
      </c>
    </row>
    <row r="4007" spans="1:10" ht="15.75" hidden="1" thickBot="1" x14ac:dyDescent="0.3">
      <c r="A4007" s="234" t="s">
        <v>1051</v>
      </c>
      <c r="B4007" s="237" t="s">
        <v>1836</v>
      </c>
      <c r="C4007" s="160"/>
      <c r="D4007" s="23" t="s">
        <v>11</v>
      </c>
      <c r="E4007" s="24"/>
      <c r="F4007" s="44" t="s">
        <v>418</v>
      </c>
      <c r="G4007" s="25" t="str">
        <f>IF(ISNUMBER(F4007),E4007*F4007,"")</f>
        <v/>
      </c>
      <c r="H4007" s="26"/>
      <c r="I4007" s="27"/>
      <c r="J4007" s="125">
        <v>0</v>
      </c>
    </row>
    <row r="4008" spans="1:10" ht="15.75" hidden="1" thickBot="1" x14ac:dyDescent="0.3">
      <c r="A4008" s="249"/>
      <c r="B4008" s="238"/>
      <c r="C4008" s="151"/>
      <c r="D4008" s="29"/>
      <c r="E4008" s="30"/>
      <c r="F4008" s="49" t="s">
        <v>418</v>
      </c>
      <c r="G4008" s="49" t="str">
        <f>IF(ISNUMBER(F4008),E4008*F4008,"")</f>
        <v/>
      </c>
      <c r="H4008" s="65"/>
      <c r="I4008" s="66"/>
      <c r="J4008" s="125">
        <v>0</v>
      </c>
    </row>
    <row r="4009" spans="1:10" ht="26.25" hidden="1" thickBot="1" x14ac:dyDescent="0.3">
      <c r="A4009" s="249"/>
      <c r="B4009" s="238"/>
      <c r="C4009" s="155" t="s">
        <v>23534</v>
      </c>
      <c r="D4009" s="155" t="s">
        <v>587</v>
      </c>
      <c r="E4009" s="34">
        <v>1</v>
      </c>
      <c r="F4009" s="49">
        <v>2.8499999999999996</v>
      </c>
      <c r="G4009" s="49">
        <f>IF(ISNUMBER(F4009),E4009*F4009,"")</f>
        <v>2.8499999999999996</v>
      </c>
      <c r="H4009" s="35">
        <f>SUM(G4009:G4009)</f>
        <v>2.8499999999999996</v>
      </c>
      <c r="I4009" s="36"/>
      <c r="J4009" s="125">
        <v>0</v>
      </c>
    </row>
    <row r="4010" spans="1:10" ht="15.75" hidden="1" thickBot="1" x14ac:dyDescent="0.3">
      <c r="A4010" s="249"/>
      <c r="B4010" s="238"/>
      <c r="C4010" s="164"/>
      <c r="D4010" s="50"/>
      <c r="E4010" s="61"/>
      <c r="F4010" s="68" t="s">
        <v>418</v>
      </c>
      <c r="G4010" s="68" t="str">
        <f>IF(ISNUMBER(F4010),E4010*F4010,"")</f>
        <v/>
      </c>
      <c r="H4010" s="69"/>
      <c r="I4010" s="66"/>
      <c r="J4010" s="125">
        <v>0</v>
      </c>
    </row>
    <row r="4011" spans="1:10" ht="15.75" hidden="1" thickBot="1" x14ac:dyDescent="0.3">
      <c r="A4011" s="234" t="s">
        <v>1052</v>
      </c>
      <c r="B4011" s="237" t="s">
        <v>1837</v>
      </c>
      <c r="C4011" s="160"/>
      <c r="D4011" s="23" t="s">
        <v>11</v>
      </c>
      <c r="E4011" s="24"/>
      <c r="F4011" s="44" t="s">
        <v>418</v>
      </c>
      <c r="G4011" s="25" t="str">
        <f>IF(ISNUMBER(F4011),E4011*F4011,"")</f>
        <v/>
      </c>
      <c r="H4011" s="26"/>
      <c r="I4011" s="27"/>
      <c r="J4011" s="125">
        <v>0</v>
      </c>
    </row>
    <row r="4012" spans="1:10" ht="15.75" hidden="1" thickBot="1" x14ac:dyDescent="0.3">
      <c r="A4012" s="249"/>
      <c r="B4012" s="238"/>
      <c r="C4012" s="151"/>
      <c r="D4012" s="29"/>
      <c r="E4012" s="30"/>
      <c r="F4012" s="49" t="s">
        <v>418</v>
      </c>
      <c r="G4012" s="49" t="str">
        <f>IF(ISNUMBER(F4012),E4012*F4012,"")</f>
        <v/>
      </c>
      <c r="H4012" s="65"/>
      <c r="I4012" s="66"/>
      <c r="J4012" s="125">
        <v>0</v>
      </c>
    </row>
    <row r="4013" spans="1:10" ht="26.25" hidden="1" thickBot="1" x14ac:dyDescent="0.3">
      <c r="A4013" s="249"/>
      <c r="B4013" s="238"/>
      <c r="C4013" s="155" t="s">
        <v>27921</v>
      </c>
      <c r="D4013" s="155" t="s">
        <v>587</v>
      </c>
      <c r="E4013" s="34">
        <v>1</v>
      </c>
      <c r="F4013" s="49">
        <v>0.45599999999999996</v>
      </c>
      <c r="G4013" s="49">
        <f>IF(ISNUMBER(F4013),E4013*F4013,"")</f>
        <v>0.45599999999999996</v>
      </c>
      <c r="H4013" s="35">
        <f>SUM(G4013:G4013)</f>
        <v>0.45599999999999996</v>
      </c>
      <c r="I4013" s="36"/>
      <c r="J4013" s="125">
        <v>0</v>
      </c>
    </row>
    <row r="4014" spans="1:10" ht="15.75" hidden="1" thickBot="1" x14ac:dyDescent="0.3">
      <c r="A4014" s="250"/>
      <c r="B4014" s="239"/>
      <c r="C4014" s="164"/>
      <c r="D4014" s="50"/>
      <c r="E4014" s="61"/>
      <c r="F4014" s="68" t="s">
        <v>418</v>
      </c>
      <c r="G4014" s="68" t="str">
        <f>IF(ISNUMBER(F4014),E4014*F4014,"")</f>
        <v/>
      </c>
      <c r="H4014" s="69"/>
      <c r="I4014" s="66"/>
      <c r="J4014" s="125">
        <v>0</v>
      </c>
    </row>
    <row r="4015" spans="1:10" ht="15.75" hidden="1" thickBot="1" x14ac:dyDescent="0.3">
      <c r="A4015" s="234" t="s">
        <v>1053</v>
      </c>
      <c r="B4015" s="237" t="s">
        <v>13470</v>
      </c>
      <c r="C4015" s="160"/>
      <c r="D4015" s="23" t="s">
        <v>16</v>
      </c>
      <c r="E4015" s="24"/>
      <c r="F4015" s="44" t="s">
        <v>418</v>
      </c>
      <c r="G4015" s="25" t="str">
        <f>IF(ISNUMBER(F4015),E4015*F4015,"")</f>
        <v/>
      </c>
      <c r="H4015" s="26"/>
      <c r="I4015" s="27"/>
      <c r="J4015" s="125">
        <v>0</v>
      </c>
    </row>
    <row r="4016" spans="1:10" ht="15.75" hidden="1" thickBot="1" x14ac:dyDescent="0.3">
      <c r="A4016" s="249"/>
      <c r="B4016" s="238"/>
      <c r="C4016" s="151"/>
      <c r="D4016" s="29"/>
      <c r="E4016" s="30"/>
      <c r="F4016" s="49" t="s">
        <v>418</v>
      </c>
      <c r="G4016" s="49" t="str">
        <f>IF(ISNUMBER(F4016),E4016*F4016,"")</f>
        <v/>
      </c>
      <c r="H4016" s="65"/>
      <c r="I4016" s="66"/>
      <c r="J4016" s="125">
        <v>0</v>
      </c>
    </row>
    <row r="4017" spans="1:10" ht="26.25" hidden="1" thickBot="1" x14ac:dyDescent="0.3">
      <c r="A4017" s="249"/>
      <c r="B4017" s="238"/>
      <c r="C4017" s="155" t="s">
        <v>1054</v>
      </c>
      <c r="D4017" s="155" t="s">
        <v>205</v>
      </c>
      <c r="E4017" s="34">
        <v>1</v>
      </c>
      <c r="F4017" s="49">
        <v>34.418499999999995</v>
      </c>
      <c r="G4017" s="49">
        <f>IF(ISNUMBER(F4017),E4017*F4017,"")</f>
        <v>34.418499999999995</v>
      </c>
      <c r="H4017" s="35">
        <f>SUM(G4017:G4022)</f>
        <v>43.101537049999997</v>
      </c>
      <c r="I4017" s="36"/>
      <c r="J4017" s="125">
        <v>0</v>
      </c>
    </row>
    <row r="4018" spans="1:10" ht="26.25" hidden="1" thickBot="1" x14ac:dyDescent="0.3">
      <c r="A4018" s="249"/>
      <c r="B4018" s="238"/>
      <c r="C4018" s="155" t="s">
        <v>1055</v>
      </c>
      <c r="D4018" s="155" t="s">
        <v>205</v>
      </c>
      <c r="E4018" s="34">
        <v>8.3999999999999995E-3</v>
      </c>
      <c r="F4018" s="49">
        <v>254.27700000000002</v>
      </c>
      <c r="G4018" s="49">
        <f>IF(ISNUMBER(F4018),E4018*F4018,"")</f>
        <v>2.1359268</v>
      </c>
      <c r="H4018" s="65"/>
      <c r="I4018" s="66"/>
      <c r="J4018" s="125">
        <v>0</v>
      </c>
    </row>
    <row r="4019" spans="1:10" ht="15.75" hidden="1" thickBot="1" x14ac:dyDescent="0.3">
      <c r="A4019" s="249"/>
      <c r="B4019" s="238"/>
      <c r="C4019" s="155" t="s">
        <v>26048</v>
      </c>
      <c r="D4019" s="155" t="s">
        <v>205</v>
      </c>
      <c r="E4019" s="34">
        <v>6.4399999999999999E-2</v>
      </c>
      <c r="F4019" s="49">
        <v>2.1849999999999996</v>
      </c>
      <c r="G4019" s="49">
        <f>IF(ISNUMBER(F4019),E4019*F4019,"")</f>
        <v>0.14071399999999998</v>
      </c>
      <c r="H4019" s="65"/>
      <c r="I4019" s="66"/>
      <c r="J4019" s="125">
        <v>0</v>
      </c>
    </row>
    <row r="4020" spans="1:10" ht="26.25" hidden="1" thickBot="1" x14ac:dyDescent="0.3">
      <c r="A4020" s="249"/>
      <c r="B4020" s="238"/>
      <c r="C4020" s="155" t="s">
        <v>1056</v>
      </c>
      <c r="D4020" s="155" t="s">
        <v>205</v>
      </c>
      <c r="E4020" s="34">
        <v>2.0999999999999999E-3</v>
      </c>
      <c r="F4020" s="49">
        <v>46.616499999999995</v>
      </c>
      <c r="G4020" s="49">
        <f>IF(ISNUMBER(F4020),E4020*F4020,"")</f>
        <v>9.7894649999999986E-2</v>
      </c>
      <c r="H4020" s="65"/>
      <c r="I4020" s="66"/>
      <c r="J4020" s="125">
        <v>0</v>
      </c>
    </row>
    <row r="4021" spans="1:10" ht="26.25" hidden="1" thickBot="1" x14ac:dyDescent="0.3">
      <c r="A4021" s="249"/>
      <c r="B4021" s="238"/>
      <c r="C4021" s="155" t="s">
        <v>824</v>
      </c>
      <c r="D4021" s="155" t="s">
        <v>587</v>
      </c>
      <c r="E4021" s="34">
        <v>0.14480000000000001</v>
      </c>
      <c r="F4021" s="49">
        <v>18.6295</v>
      </c>
      <c r="G4021" s="49">
        <f>IF(ISNUMBER(F4021),E4021*F4021,"")</f>
        <v>2.6975516000000002</v>
      </c>
      <c r="H4021" s="65"/>
      <c r="I4021" s="66"/>
      <c r="J4021" s="125">
        <v>0</v>
      </c>
    </row>
    <row r="4022" spans="1:10" ht="26.25" hidden="1" thickBot="1" x14ac:dyDescent="0.3">
      <c r="A4022" s="249"/>
      <c r="B4022" s="238"/>
      <c r="C4022" s="155" t="s">
        <v>825</v>
      </c>
      <c r="D4022" s="155" t="s">
        <v>587</v>
      </c>
      <c r="E4022" s="34">
        <v>0.14480000000000001</v>
      </c>
      <c r="F4022" s="49">
        <v>24.9375</v>
      </c>
      <c r="G4022" s="49">
        <f>IF(ISNUMBER(F4022),E4022*F4022,"")</f>
        <v>3.6109500000000003</v>
      </c>
      <c r="H4022" s="65"/>
      <c r="I4022" s="66"/>
      <c r="J4022" s="125">
        <v>0</v>
      </c>
    </row>
    <row r="4023" spans="1:10" ht="15.75" hidden="1" thickBot="1" x14ac:dyDescent="0.3">
      <c r="A4023" s="250"/>
      <c r="B4023" s="239"/>
      <c r="C4023" s="164"/>
      <c r="D4023" s="50"/>
      <c r="E4023" s="61"/>
      <c r="F4023" s="68" t="s">
        <v>418</v>
      </c>
      <c r="G4023" s="68" t="str">
        <f>IF(ISNUMBER(F4023),E4023*F4023,"")</f>
        <v/>
      </c>
      <c r="H4023" s="69"/>
      <c r="I4023" s="66"/>
      <c r="J4023" s="125">
        <v>0</v>
      </c>
    </row>
    <row r="4024" spans="1:10" ht="15.75" hidden="1" thickBot="1" x14ac:dyDescent="0.3">
      <c r="A4024" s="234" t="s">
        <v>1057</v>
      </c>
      <c r="B4024" s="237" t="s">
        <v>13471</v>
      </c>
      <c r="C4024" s="160"/>
      <c r="D4024" s="23" t="s">
        <v>16</v>
      </c>
      <c r="E4024" s="24"/>
      <c r="F4024" s="44" t="s">
        <v>418</v>
      </c>
      <c r="G4024" s="25" t="str">
        <f>IF(ISNUMBER(F4024),E4024*F4024,"")</f>
        <v/>
      </c>
      <c r="H4024" s="26"/>
      <c r="I4024" s="27"/>
      <c r="J4024" s="125">
        <v>0</v>
      </c>
    </row>
    <row r="4025" spans="1:10" ht="15.75" hidden="1" thickBot="1" x14ac:dyDescent="0.3">
      <c r="A4025" s="249"/>
      <c r="B4025" s="238"/>
      <c r="C4025" s="151"/>
      <c r="D4025" s="29"/>
      <c r="E4025" s="30"/>
      <c r="F4025" s="49" t="s">
        <v>418</v>
      </c>
      <c r="G4025" s="49" t="str">
        <f>IF(ISNUMBER(F4025),E4025*F4025,"")</f>
        <v/>
      </c>
      <c r="H4025" s="65"/>
      <c r="I4025" s="66"/>
      <c r="J4025" s="125">
        <v>0</v>
      </c>
    </row>
    <row r="4026" spans="1:10" ht="26.25" hidden="1" thickBot="1" x14ac:dyDescent="0.3">
      <c r="A4026" s="249"/>
      <c r="B4026" s="238"/>
      <c r="C4026" s="155" t="s">
        <v>1058</v>
      </c>
      <c r="D4026" s="155" t="s">
        <v>205</v>
      </c>
      <c r="E4026" s="34">
        <v>1</v>
      </c>
      <c r="F4026" s="49">
        <v>52.829499999999996</v>
      </c>
      <c r="G4026" s="49">
        <f>IF(ISNUMBER(F4026),E4026*F4026,"")</f>
        <v>52.829499999999996</v>
      </c>
      <c r="H4026" s="35">
        <f>SUM(G4026:G4031)</f>
        <v>65.299749099999985</v>
      </c>
      <c r="I4026" s="36"/>
      <c r="J4026" s="125">
        <v>0</v>
      </c>
    </row>
    <row r="4027" spans="1:10" ht="26.25" hidden="1" thickBot="1" x14ac:dyDescent="0.3">
      <c r="A4027" s="249"/>
      <c r="B4027" s="238"/>
      <c r="C4027" s="155" t="s">
        <v>1055</v>
      </c>
      <c r="D4027" s="155" t="s">
        <v>205</v>
      </c>
      <c r="E4027" s="34">
        <v>1.7600000000000001E-2</v>
      </c>
      <c r="F4027" s="49">
        <v>254.27700000000002</v>
      </c>
      <c r="G4027" s="49">
        <f>IF(ISNUMBER(F4027),E4027*F4027,"")</f>
        <v>4.4752752000000005</v>
      </c>
      <c r="H4027" s="65"/>
      <c r="I4027" s="66"/>
      <c r="J4027" s="125">
        <v>0</v>
      </c>
    </row>
    <row r="4028" spans="1:10" ht="15.75" hidden="1" thickBot="1" x14ac:dyDescent="0.3">
      <c r="A4028" s="249"/>
      <c r="B4028" s="238"/>
      <c r="C4028" s="155" t="s">
        <v>26048</v>
      </c>
      <c r="D4028" s="155" t="s">
        <v>205</v>
      </c>
      <c r="E4028" s="34">
        <v>7.7799999999999994E-2</v>
      </c>
      <c r="F4028" s="49">
        <v>2.1849999999999996</v>
      </c>
      <c r="G4028" s="49">
        <f>IF(ISNUMBER(F4028),E4028*F4028,"")</f>
        <v>0.16999299999999995</v>
      </c>
      <c r="H4028" s="65"/>
      <c r="I4028" s="66"/>
      <c r="J4028" s="125">
        <v>0</v>
      </c>
    </row>
    <row r="4029" spans="1:10" ht="26.25" hidden="1" thickBot="1" x14ac:dyDescent="0.3">
      <c r="A4029" s="249"/>
      <c r="B4029" s="238"/>
      <c r="C4029" s="155" t="s">
        <v>1056</v>
      </c>
      <c r="D4029" s="155" t="s">
        <v>205</v>
      </c>
      <c r="E4029" s="34">
        <v>4.4000000000000003E-3</v>
      </c>
      <c r="F4029" s="49">
        <v>46.616499999999995</v>
      </c>
      <c r="G4029" s="49">
        <f>IF(ISNUMBER(F4029),E4029*F4029,"")</f>
        <v>0.20511259999999998</v>
      </c>
      <c r="H4029" s="65"/>
      <c r="I4029" s="66"/>
      <c r="J4029" s="125">
        <v>0</v>
      </c>
    </row>
    <row r="4030" spans="1:10" ht="26.25" hidden="1" thickBot="1" x14ac:dyDescent="0.3">
      <c r="A4030" s="249"/>
      <c r="B4030" s="238"/>
      <c r="C4030" s="155" t="s">
        <v>824</v>
      </c>
      <c r="D4030" s="155" t="s">
        <v>587</v>
      </c>
      <c r="E4030" s="34">
        <v>0.1749</v>
      </c>
      <c r="F4030" s="49">
        <v>18.6295</v>
      </c>
      <c r="G4030" s="49">
        <f>IF(ISNUMBER(F4030),E4030*F4030,"")</f>
        <v>3.2582995499999998</v>
      </c>
      <c r="H4030" s="65"/>
      <c r="I4030" s="66"/>
      <c r="J4030" s="125">
        <v>0</v>
      </c>
    </row>
    <row r="4031" spans="1:10" ht="26.25" hidden="1" thickBot="1" x14ac:dyDescent="0.3">
      <c r="A4031" s="249"/>
      <c r="B4031" s="238"/>
      <c r="C4031" s="155" t="s">
        <v>825</v>
      </c>
      <c r="D4031" s="155" t="s">
        <v>587</v>
      </c>
      <c r="E4031" s="156">
        <v>0.1749</v>
      </c>
      <c r="F4031" s="49">
        <v>24.9375</v>
      </c>
      <c r="G4031" s="49">
        <f>IF(ISNUMBER(F4031),E4031*F4031,"")</f>
        <v>4.36156875</v>
      </c>
      <c r="H4031" s="65"/>
      <c r="I4031" s="66"/>
      <c r="J4031" s="125">
        <v>0</v>
      </c>
    </row>
    <row r="4032" spans="1:10" ht="15.75" hidden="1" thickBot="1" x14ac:dyDescent="0.3">
      <c r="A4032" s="250"/>
      <c r="B4032" s="239"/>
      <c r="C4032" s="164"/>
      <c r="D4032" s="50"/>
      <c r="E4032" s="61"/>
      <c r="F4032" s="68" t="s">
        <v>418</v>
      </c>
      <c r="G4032" s="68" t="str">
        <f>IF(ISNUMBER(F4032),E4032*F4032,"")</f>
        <v/>
      </c>
      <c r="H4032" s="69"/>
      <c r="I4032" s="66"/>
      <c r="J4032" s="125">
        <v>0</v>
      </c>
    </row>
    <row r="4033" spans="1:10" ht="15.75" hidden="1" thickBot="1" x14ac:dyDescent="0.3">
      <c r="A4033" s="234" t="s">
        <v>1059</v>
      </c>
      <c r="B4033" s="237" t="s">
        <v>13472</v>
      </c>
      <c r="C4033" s="160"/>
      <c r="D4033" s="23" t="s">
        <v>16</v>
      </c>
      <c r="E4033" s="24"/>
      <c r="F4033" s="44" t="s">
        <v>418</v>
      </c>
      <c r="G4033" s="25" t="str">
        <f>IF(ISNUMBER(F4033),E4033*F4033,"")</f>
        <v/>
      </c>
      <c r="H4033" s="26"/>
      <c r="I4033" s="27"/>
      <c r="J4033" s="125">
        <v>0</v>
      </c>
    </row>
    <row r="4034" spans="1:10" ht="15.75" hidden="1" thickBot="1" x14ac:dyDescent="0.3">
      <c r="A4034" s="249"/>
      <c r="B4034" s="238"/>
      <c r="C4034" s="151"/>
      <c r="D4034" s="29"/>
      <c r="E4034" s="30"/>
      <c r="F4034" s="49" t="s">
        <v>418</v>
      </c>
      <c r="G4034" s="49" t="str">
        <f>IF(ISNUMBER(F4034),E4034*F4034,"")</f>
        <v/>
      </c>
      <c r="H4034" s="65"/>
      <c r="I4034" s="66"/>
      <c r="J4034" s="125">
        <v>0</v>
      </c>
    </row>
    <row r="4035" spans="1:10" ht="26.25" hidden="1" thickBot="1" x14ac:dyDescent="0.3">
      <c r="A4035" s="249"/>
      <c r="B4035" s="238"/>
      <c r="C4035" s="155" t="s">
        <v>1060</v>
      </c>
      <c r="D4035" s="155" t="s">
        <v>205</v>
      </c>
      <c r="E4035" s="34">
        <v>1</v>
      </c>
      <c r="F4035" s="49">
        <v>10.1935</v>
      </c>
      <c r="G4035" s="49">
        <f>IF(ISNUMBER(F4035),E4035*F4035,"")</f>
        <v>10.1935</v>
      </c>
      <c r="H4035" s="35">
        <f>SUM(G4035:G4040)</f>
        <v>15.433739900000001</v>
      </c>
      <c r="I4035" s="36"/>
      <c r="J4035" s="125">
        <v>0</v>
      </c>
    </row>
    <row r="4036" spans="1:10" ht="26.25" hidden="1" thickBot="1" x14ac:dyDescent="0.3">
      <c r="A4036" s="249"/>
      <c r="B4036" s="238"/>
      <c r="C4036" s="155" t="s">
        <v>1055</v>
      </c>
      <c r="D4036" s="155" t="s">
        <v>205</v>
      </c>
      <c r="E4036" s="34">
        <v>4.7999999999999996E-3</v>
      </c>
      <c r="F4036" s="49">
        <v>254.27700000000002</v>
      </c>
      <c r="G4036" s="49">
        <f>IF(ISNUMBER(F4036),E4036*F4036,"")</f>
        <v>1.2205295999999999</v>
      </c>
      <c r="H4036" s="65"/>
      <c r="I4036" s="66"/>
      <c r="J4036" s="125">
        <v>0</v>
      </c>
    </row>
    <row r="4037" spans="1:10" ht="15.75" hidden="1" thickBot="1" x14ac:dyDescent="0.3">
      <c r="A4037" s="249"/>
      <c r="B4037" s="238"/>
      <c r="C4037" s="155" t="s">
        <v>26048</v>
      </c>
      <c r="D4037" s="155" t="s">
        <v>205</v>
      </c>
      <c r="E4037" s="34">
        <v>3.95E-2</v>
      </c>
      <c r="F4037" s="49">
        <v>2.1849999999999996</v>
      </c>
      <c r="G4037" s="49">
        <f>IF(ISNUMBER(F4037),E4037*F4037,"")</f>
        <v>8.6307499999999981E-2</v>
      </c>
      <c r="H4037" s="65"/>
      <c r="I4037" s="66"/>
      <c r="J4037" s="125">
        <v>0</v>
      </c>
    </row>
    <row r="4038" spans="1:10" ht="26.25" hidden="1" thickBot="1" x14ac:dyDescent="0.3">
      <c r="A4038" s="249"/>
      <c r="B4038" s="238"/>
      <c r="C4038" s="155" t="s">
        <v>1056</v>
      </c>
      <c r="D4038" s="155" t="s">
        <v>205</v>
      </c>
      <c r="E4038" s="34">
        <v>1.1999999999999999E-3</v>
      </c>
      <c r="F4038" s="49">
        <v>46.616499999999995</v>
      </c>
      <c r="G4038" s="49">
        <f>IF(ISNUMBER(F4038),E4038*F4038,"")</f>
        <v>5.5939799999999991E-2</v>
      </c>
      <c r="H4038" s="65"/>
      <c r="I4038" s="66"/>
      <c r="J4038" s="125">
        <v>0</v>
      </c>
    </row>
    <row r="4039" spans="1:10" ht="26.25" hidden="1" thickBot="1" x14ac:dyDescent="0.3">
      <c r="A4039" s="249"/>
      <c r="B4039" s="238"/>
      <c r="C4039" s="155" t="s">
        <v>824</v>
      </c>
      <c r="D4039" s="155" t="s">
        <v>587</v>
      </c>
      <c r="E4039" s="34">
        <v>8.8999999999999996E-2</v>
      </c>
      <c r="F4039" s="49">
        <v>18.6295</v>
      </c>
      <c r="G4039" s="49">
        <f>IF(ISNUMBER(F4039),E4039*F4039,"")</f>
        <v>1.6580254999999999</v>
      </c>
      <c r="H4039" s="65"/>
      <c r="I4039" s="66"/>
      <c r="J4039" s="125">
        <v>0</v>
      </c>
    </row>
    <row r="4040" spans="1:10" ht="26.25" hidden="1" thickBot="1" x14ac:dyDescent="0.3">
      <c r="A4040" s="249"/>
      <c r="B4040" s="238"/>
      <c r="C4040" s="155" t="s">
        <v>825</v>
      </c>
      <c r="D4040" s="155" t="s">
        <v>587</v>
      </c>
      <c r="E4040" s="34">
        <v>8.8999999999999996E-2</v>
      </c>
      <c r="F4040" s="49">
        <v>24.9375</v>
      </c>
      <c r="G4040" s="49">
        <f>IF(ISNUMBER(F4040),E4040*F4040,"")</f>
        <v>2.2194374999999997</v>
      </c>
      <c r="H4040" s="65"/>
      <c r="I4040" s="66"/>
      <c r="J4040" s="125">
        <v>0</v>
      </c>
    </row>
    <row r="4041" spans="1:10" ht="15.75" hidden="1" thickBot="1" x14ac:dyDescent="0.3">
      <c r="A4041" s="250"/>
      <c r="B4041" s="239"/>
      <c r="C4041" s="164"/>
      <c r="D4041" s="50"/>
      <c r="E4041" s="61"/>
      <c r="F4041" s="68" t="s">
        <v>418</v>
      </c>
      <c r="G4041" s="68" t="str">
        <f>IF(ISNUMBER(F4041),E4041*F4041,"")</f>
        <v/>
      </c>
      <c r="H4041" s="69"/>
      <c r="I4041" s="66"/>
      <c r="J4041" s="125">
        <v>0</v>
      </c>
    </row>
    <row r="4042" spans="1:10" ht="15.75" hidden="1" thickBot="1" x14ac:dyDescent="0.3">
      <c r="A4042" s="234" t="s">
        <v>1061</v>
      </c>
      <c r="B4042" s="237" t="s">
        <v>13473</v>
      </c>
      <c r="C4042" s="160"/>
      <c r="D4042" s="23" t="s">
        <v>16</v>
      </c>
      <c r="E4042" s="24"/>
      <c r="F4042" s="44" t="s">
        <v>418</v>
      </c>
      <c r="G4042" s="25" t="str">
        <f>IF(ISNUMBER(F4042),E4042*F4042,"")</f>
        <v/>
      </c>
      <c r="H4042" s="26"/>
      <c r="I4042" s="27"/>
      <c r="J4042" s="125">
        <v>0</v>
      </c>
    </row>
    <row r="4043" spans="1:10" ht="15.75" hidden="1" thickBot="1" x14ac:dyDescent="0.3">
      <c r="A4043" s="249"/>
      <c r="B4043" s="238"/>
      <c r="C4043" s="151"/>
      <c r="D4043" s="29"/>
      <c r="E4043" s="30"/>
      <c r="F4043" s="49" t="s">
        <v>418</v>
      </c>
      <c r="G4043" s="49" t="str">
        <f>IF(ISNUMBER(F4043),E4043*F4043,"")</f>
        <v/>
      </c>
      <c r="H4043" s="65"/>
      <c r="I4043" s="66"/>
      <c r="J4043" s="125">
        <v>0</v>
      </c>
    </row>
    <row r="4044" spans="1:10" ht="26.25" hidden="1" thickBot="1" x14ac:dyDescent="0.3">
      <c r="A4044" s="249"/>
      <c r="B4044" s="238"/>
      <c r="C4044" s="155" t="s">
        <v>1062</v>
      </c>
      <c r="D4044" s="155" t="s">
        <v>205</v>
      </c>
      <c r="E4044" s="34">
        <v>1</v>
      </c>
      <c r="F4044" s="49">
        <v>21.384499999999999</v>
      </c>
      <c r="G4044" s="49">
        <f>IF(ISNUMBER(F4044),E4044*F4044,"")</f>
        <v>21.384499999999999</v>
      </c>
      <c r="H4044" s="35">
        <f>SUM(G4044:G4049)</f>
        <v>27.967607650000001</v>
      </c>
      <c r="I4044" s="36"/>
      <c r="J4044" s="125">
        <v>0</v>
      </c>
    </row>
    <row r="4045" spans="1:10" ht="26.25" hidden="1" thickBot="1" x14ac:dyDescent="0.3">
      <c r="A4045" s="249"/>
      <c r="B4045" s="238"/>
      <c r="C4045" s="155" t="s">
        <v>1055</v>
      </c>
      <c r="D4045" s="155" t="s">
        <v>205</v>
      </c>
      <c r="E4045" s="34">
        <v>8.3999999999999995E-3</v>
      </c>
      <c r="F4045" s="49">
        <v>254.27700000000002</v>
      </c>
      <c r="G4045" s="49">
        <f>IF(ISNUMBER(F4045),E4045*F4045,"")</f>
        <v>2.1359268</v>
      </c>
      <c r="H4045" s="65"/>
      <c r="I4045" s="66"/>
      <c r="J4045" s="125">
        <v>0</v>
      </c>
    </row>
    <row r="4046" spans="1:10" ht="15.75" hidden="1" thickBot="1" x14ac:dyDescent="0.3">
      <c r="A4046" s="249"/>
      <c r="B4046" s="238"/>
      <c r="C4046" s="155" t="s">
        <v>26048</v>
      </c>
      <c r="D4046" s="155" t="s">
        <v>205</v>
      </c>
      <c r="E4046" s="34">
        <v>6.4399999999999999E-2</v>
      </c>
      <c r="F4046" s="49">
        <v>2.1849999999999996</v>
      </c>
      <c r="G4046" s="49">
        <f>IF(ISNUMBER(F4046),E4046*F4046,"")</f>
        <v>0.14071399999999998</v>
      </c>
      <c r="H4046" s="65"/>
      <c r="I4046" s="66"/>
      <c r="J4046" s="125">
        <v>0</v>
      </c>
    </row>
    <row r="4047" spans="1:10" ht="26.25" hidden="1" thickBot="1" x14ac:dyDescent="0.3">
      <c r="A4047" s="249"/>
      <c r="B4047" s="238"/>
      <c r="C4047" s="155" t="s">
        <v>1056</v>
      </c>
      <c r="D4047" s="155" t="s">
        <v>205</v>
      </c>
      <c r="E4047" s="34">
        <v>2.0999999999999999E-3</v>
      </c>
      <c r="F4047" s="49">
        <v>46.616499999999995</v>
      </c>
      <c r="G4047" s="49">
        <f>IF(ISNUMBER(F4047),E4047*F4047,"")</f>
        <v>9.7894649999999986E-2</v>
      </c>
      <c r="H4047" s="65"/>
      <c r="I4047" s="66"/>
      <c r="J4047" s="125">
        <v>0</v>
      </c>
    </row>
    <row r="4048" spans="1:10" ht="26.25" hidden="1" thickBot="1" x14ac:dyDescent="0.3">
      <c r="A4048" s="249"/>
      <c r="B4048" s="238"/>
      <c r="C4048" s="155" t="s">
        <v>824</v>
      </c>
      <c r="D4048" s="155" t="s">
        <v>587</v>
      </c>
      <c r="E4048" s="34">
        <v>9.6600000000000005E-2</v>
      </c>
      <c r="F4048" s="49">
        <v>18.6295</v>
      </c>
      <c r="G4048" s="49">
        <f>IF(ISNUMBER(F4048),E4048*F4048,"")</f>
        <v>1.7996097000000002</v>
      </c>
      <c r="H4048" s="65"/>
      <c r="I4048" s="66"/>
      <c r="J4048" s="125">
        <v>0</v>
      </c>
    </row>
    <row r="4049" spans="1:10" ht="26.25" hidden="1" thickBot="1" x14ac:dyDescent="0.3">
      <c r="A4049" s="249"/>
      <c r="B4049" s="238"/>
      <c r="C4049" s="155" t="s">
        <v>825</v>
      </c>
      <c r="D4049" s="155" t="s">
        <v>587</v>
      </c>
      <c r="E4049" s="34">
        <v>9.6600000000000005E-2</v>
      </c>
      <c r="F4049" s="49">
        <v>24.9375</v>
      </c>
      <c r="G4049" s="49">
        <f>IF(ISNUMBER(F4049),E4049*F4049,"")</f>
        <v>2.4089625000000003</v>
      </c>
      <c r="H4049" s="65"/>
      <c r="I4049" s="66"/>
      <c r="J4049" s="125">
        <v>0</v>
      </c>
    </row>
    <row r="4050" spans="1:10" ht="15.75" hidden="1" thickBot="1" x14ac:dyDescent="0.3">
      <c r="A4050" s="250"/>
      <c r="B4050" s="239"/>
      <c r="C4050" s="164"/>
      <c r="D4050" s="50"/>
      <c r="E4050" s="61"/>
      <c r="F4050" s="68" t="s">
        <v>418</v>
      </c>
      <c r="G4050" s="68" t="str">
        <f>IF(ISNUMBER(F4050),E4050*F4050,"")</f>
        <v/>
      </c>
      <c r="H4050" s="69"/>
      <c r="I4050" s="66"/>
      <c r="J4050" s="125">
        <v>0</v>
      </c>
    </row>
    <row r="4051" spans="1:10" ht="15.75" hidden="1" thickBot="1" x14ac:dyDescent="0.3">
      <c r="A4051" s="234" t="s">
        <v>1063</v>
      </c>
      <c r="B4051" s="237" t="s">
        <v>13474</v>
      </c>
      <c r="C4051" s="160"/>
      <c r="D4051" s="23" t="s">
        <v>16</v>
      </c>
      <c r="E4051" s="24"/>
      <c r="F4051" s="44" t="s">
        <v>418</v>
      </c>
      <c r="G4051" s="25" t="str">
        <f>IF(ISNUMBER(F4051),E4051*F4051,"")</f>
        <v/>
      </c>
      <c r="H4051" s="26"/>
      <c r="I4051" s="27"/>
      <c r="J4051" s="125">
        <v>0</v>
      </c>
    </row>
    <row r="4052" spans="1:10" ht="15.75" hidden="1" thickBot="1" x14ac:dyDescent="0.3">
      <c r="A4052" s="249"/>
      <c r="B4052" s="238"/>
      <c r="C4052" s="151"/>
      <c r="D4052" s="29"/>
      <c r="E4052" s="30"/>
      <c r="F4052" s="49" t="s">
        <v>418</v>
      </c>
      <c r="G4052" s="49" t="str">
        <f>IF(ISNUMBER(F4052),E4052*F4052,"")</f>
        <v/>
      </c>
      <c r="H4052" s="65"/>
      <c r="I4052" s="66"/>
      <c r="J4052" s="125">
        <v>0</v>
      </c>
    </row>
    <row r="4053" spans="1:10" ht="26.25" hidden="1" thickBot="1" x14ac:dyDescent="0.3">
      <c r="A4053" s="249"/>
      <c r="B4053" s="238"/>
      <c r="C4053" s="155" t="s">
        <v>1064</v>
      </c>
      <c r="D4053" s="155" t="s">
        <v>205</v>
      </c>
      <c r="E4053" s="34">
        <v>1</v>
      </c>
      <c r="F4053" s="49">
        <v>27.122499999999999</v>
      </c>
      <c r="G4053" s="49">
        <f>IF(ISNUMBER(F4053),E4053*F4053,"")</f>
        <v>27.122499999999999</v>
      </c>
      <c r="H4053" s="35">
        <f>SUM(G4053:G4058)</f>
        <v>37.052793000000001</v>
      </c>
      <c r="I4053" s="36"/>
      <c r="J4053" s="125">
        <v>0</v>
      </c>
    </row>
    <row r="4054" spans="1:10" ht="26.25" hidden="1" thickBot="1" x14ac:dyDescent="0.3">
      <c r="A4054" s="249"/>
      <c r="B4054" s="238"/>
      <c r="C4054" s="155" t="s">
        <v>1055</v>
      </c>
      <c r="D4054" s="155" t="s">
        <v>205</v>
      </c>
      <c r="E4054" s="34">
        <v>1.7600000000000001E-2</v>
      </c>
      <c r="F4054" s="49">
        <v>254.27700000000002</v>
      </c>
      <c r="G4054" s="49">
        <f>IF(ISNUMBER(F4054),E4054*F4054,"")</f>
        <v>4.4752752000000005</v>
      </c>
      <c r="H4054" s="65"/>
      <c r="I4054" s="66"/>
      <c r="J4054" s="125">
        <v>0</v>
      </c>
    </row>
    <row r="4055" spans="1:10" ht="15.75" hidden="1" thickBot="1" x14ac:dyDescent="0.3">
      <c r="A4055" s="249"/>
      <c r="B4055" s="238"/>
      <c r="C4055" s="155" t="s">
        <v>26048</v>
      </c>
      <c r="D4055" s="155" t="s">
        <v>205</v>
      </c>
      <c r="E4055" s="34">
        <v>7.7799999999999994E-2</v>
      </c>
      <c r="F4055" s="49">
        <v>2.1849999999999996</v>
      </c>
      <c r="G4055" s="49">
        <f>IF(ISNUMBER(F4055),E4055*F4055,"")</f>
        <v>0.16999299999999995</v>
      </c>
      <c r="H4055" s="65"/>
      <c r="I4055" s="66"/>
      <c r="J4055" s="125">
        <v>0</v>
      </c>
    </row>
    <row r="4056" spans="1:10" ht="26.25" hidden="1" thickBot="1" x14ac:dyDescent="0.3">
      <c r="A4056" s="249"/>
      <c r="B4056" s="238"/>
      <c r="C4056" s="155" t="s">
        <v>1056</v>
      </c>
      <c r="D4056" s="155" t="s">
        <v>205</v>
      </c>
      <c r="E4056" s="34">
        <v>4.4000000000000003E-3</v>
      </c>
      <c r="F4056" s="49">
        <v>46.616499999999995</v>
      </c>
      <c r="G4056" s="49">
        <f>IF(ISNUMBER(F4056),E4056*F4056,"")</f>
        <v>0.20511259999999998</v>
      </c>
      <c r="H4056" s="65"/>
      <c r="I4056" s="66"/>
      <c r="J4056" s="125">
        <v>0</v>
      </c>
    </row>
    <row r="4057" spans="1:10" ht="26.25" hidden="1" thickBot="1" x14ac:dyDescent="0.3">
      <c r="A4057" s="249"/>
      <c r="B4057" s="238"/>
      <c r="C4057" s="155" t="s">
        <v>824</v>
      </c>
      <c r="D4057" s="155" t="s">
        <v>587</v>
      </c>
      <c r="E4057" s="34">
        <v>0.1166</v>
      </c>
      <c r="F4057" s="49">
        <v>18.6295</v>
      </c>
      <c r="G4057" s="49">
        <f>IF(ISNUMBER(F4057),E4057*F4057,"")</f>
        <v>2.1721996999999997</v>
      </c>
      <c r="H4057" s="65"/>
      <c r="I4057" s="66"/>
      <c r="J4057" s="125">
        <v>0</v>
      </c>
    </row>
    <row r="4058" spans="1:10" ht="26.25" hidden="1" thickBot="1" x14ac:dyDescent="0.3">
      <c r="A4058" s="249"/>
      <c r="B4058" s="238"/>
      <c r="C4058" s="155" t="s">
        <v>825</v>
      </c>
      <c r="D4058" s="155" t="s">
        <v>587</v>
      </c>
      <c r="E4058" s="34">
        <v>0.1166</v>
      </c>
      <c r="F4058" s="49">
        <v>24.9375</v>
      </c>
      <c r="G4058" s="49">
        <f>IF(ISNUMBER(F4058),E4058*F4058,"")</f>
        <v>2.9077124999999997</v>
      </c>
      <c r="H4058" s="65"/>
      <c r="I4058" s="66"/>
      <c r="J4058" s="125">
        <v>0</v>
      </c>
    </row>
    <row r="4059" spans="1:10" ht="15.75" hidden="1" thickBot="1" x14ac:dyDescent="0.3">
      <c r="A4059" s="250"/>
      <c r="B4059" s="239"/>
      <c r="C4059" s="164"/>
      <c r="D4059" s="50"/>
      <c r="E4059" s="61"/>
      <c r="F4059" s="68" t="s">
        <v>418</v>
      </c>
      <c r="G4059" s="68" t="str">
        <f>IF(ISNUMBER(F4059),E4059*F4059,"")</f>
        <v/>
      </c>
      <c r="H4059" s="69"/>
      <c r="I4059" s="66"/>
      <c r="J4059" s="125">
        <v>0</v>
      </c>
    </row>
    <row r="4060" spans="1:10" ht="15.75" hidden="1" thickBot="1" x14ac:dyDescent="0.3">
      <c r="A4060" s="234" t="s">
        <v>1065</v>
      </c>
      <c r="B4060" s="237" t="s">
        <v>13475</v>
      </c>
      <c r="C4060" s="160"/>
      <c r="D4060" s="23" t="s">
        <v>16</v>
      </c>
      <c r="E4060" s="24"/>
      <c r="F4060" s="44" t="s">
        <v>418</v>
      </c>
      <c r="G4060" s="25" t="str">
        <f>IF(ISNUMBER(F4060),E4060*F4060,"")</f>
        <v/>
      </c>
      <c r="H4060" s="26"/>
      <c r="I4060" s="27"/>
      <c r="J4060" s="125">
        <v>0</v>
      </c>
    </row>
    <row r="4061" spans="1:10" ht="15.75" hidden="1" thickBot="1" x14ac:dyDescent="0.3">
      <c r="A4061" s="249"/>
      <c r="B4061" s="238"/>
      <c r="C4061" s="151"/>
      <c r="D4061" s="29"/>
      <c r="E4061" s="30"/>
      <c r="F4061" s="49" t="s">
        <v>418</v>
      </c>
      <c r="G4061" s="49" t="str">
        <f>IF(ISNUMBER(F4061),E4061*F4061,"")</f>
        <v/>
      </c>
      <c r="H4061" s="65"/>
      <c r="I4061" s="66"/>
      <c r="J4061" s="125">
        <v>0</v>
      </c>
    </row>
    <row r="4062" spans="1:10" ht="26.25" hidden="1" thickBot="1" x14ac:dyDescent="0.3">
      <c r="A4062" s="249"/>
      <c r="B4062" s="238"/>
      <c r="C4062" s="155" t="s">
        <v>1066</v>
      </c>
      <c r="D4062" s="155" t="s">
        <v>205</v>
      </c>
      <c r="E4062" s="34">
        <v>1</v>
      </c>
      <c r="F4062" s="49">
        <v>4.8259999999999996</v>
      </c>
      <c r="G4062" s="49">
        <f>IF(ISNUMBER(F4062),E4062*F4062,"")</f>
        <v>4.8259999999999996</v>
      </c>
      <c r="H4062" s="35">
        <f>SUM(G4062:G4067)</f>
        <v>8.7722999999999995</v>
      </c>
      <c r="I4062" s="36"/>
      <c r="J4062" s="125">
        <v>0</v>
      </c>
    </row>
    <row r="4063" spans="1:10" ht="26.25" hidden="1" thickBot="1" x14ac:dyDescent="0.3">
      <c r="A4063" s="249"/>
      <c r="B4063" s="238"/>
      <c r="C4063" s="155" t="s">
        <v>1055</v>
      </c>
      <c r="D4063" s="155" t="s">
        <v>205</v>
      </c>
      <c r="E4063" s="34">
        <v>4.7999999999999996E-3</v>
      </c>
      <c r="F4063" s="49">
        <v>254.27700000000002</v>
      </c>
      <c r="G4063" s="49">
        <f>IF(ISNUMBER(F4063),E4063*F4063,"")</f>
        <v>1.2205295999999999</v>
      </c>
      <c r="H4063" s="65"/>
      <c r="I4063" s="66"/>
      <c r="J4063" s="125">
        <v>0</v>
      </c>
    </row>
    <row r="4064" spans="1:10" ht="15.75" hidden="1" thickBot="1" x14ac:dyDescent="0.3">
      <c r="A4064" s="249"/>
      <c r="B4064" s="238"/>
      <c r="C4064" s="155" t="s">
        <v>26048</v>
      </c>
      <c r="D4064" s="155" t="s">
        <v>205</v>
      </c>
      <c r="E4064" s="34">
        <v>3.95E-2</v>
      </c>
      <c r="F4064" s="49">
        <v>2.1849999999999996</v>
      </c>
      <c r="G4064" s="49">
        <f>IF(ISNUMBER(F4064),E4064*F4064,"")</f>
        <v>8.6307499999999981E-2</v>
      </c>
      <c r="H4064" s="65"/>
      <c r="I4064" s="66"/>
      <c r="J4064" s="125">
        <v>0</v>
      </c>
    </row>
    <row r="4065" spans="1:10" ht="26.25" hidden="1" thickBot="1" x14ac:dyDescent="0.3">
      <c r="A4065" s="249"/>
      <c r="B4065" s="238"/>
      <c r="C4065" s="155" t="s">
        <v>1056</v>
      </c>
      <c r="D4065" s="155" t="s">
        <v>205</v>
      </c>
      <c r="E4065" s="34">
        <v>1.1999999999999999E-3</v>
      </c>
      <c r="F4065" s="49">
        <v>46.616499999999995</v>
      </c>
      <c r="G4065" s="49">
        <f>IF(ISNUMBER(F4065),E4065*F4065,"")</f>
        <v>5.5939799999999991E-2</v>
      </c>
      <c r="H4065" s="65"/>
      <c r="I4065" s="66"/>
      <c r="J4065" s="125">
        <v>0</v>
      </c>
    </row>
    <row r="4066" spans="1:10" ht="26.25" hidden="1" thickBot="1" x14ac:dyDescent="0.3">
      <c r="A4066" s="249"/>
      <c r="B4066" s="238"/>
      <c r="C4066" s="155" t="s">
        <v>824</v>
      </c>
      <c r="D4066" s="155" t="s">
        <v>587</v>
      </c>
      <c r="E4066" s="34">
        <v>5.9299999999999999E-2</v>
      </c>
      <c r="F4066" s="49">
        <v>18.6295</v>
      </c>
      <c r="G4066" s="49">
        <f>IF(ISNUMBER(F4066),E4066*F4066,"")</f>
        <v>1.1047293499999999</v>
      </c>
      <c r="H4066" s="65"/>
      <c r="I4066" s="66"/>
      <c r="J4066" s="125">
        <v>0</v>
      </c>
    </row>
    <row r="4067" spans="1:10" ht="26.25" hidden="1" thickBot="1" x14ac:dyDescent="0.3">
      <c r="A4067" s="249"/>
      <c r="B4067" s="238"/>
      <c r="C4067" s="155" t="s">
        <v>825</v>
      </c>
      <c r="D4067" s="155" t="s">
        <v>587</v>
      </c>
      <c r="E4067" s="34">
        <v>5.9299999999999999E-2</v>
      </c>
      <c r="F4067" s="49">
        <v>24.9375</v>
      </c>
      <c r="G4067" s="49">
        <f>IF(ISNUMBER(F4067),E4067*F4067,"")</f>
        <v>1.4787937499999999</v>
      </c>
      <c r="H4067" s="65"/>
      <c r="I4067" s="66"/>
      <c r="J4067" s="125">
        <v>0</v>
      </c>
    </row>
    <row r="4068" spans="1:10" ht="15.75" hidden="1" thickBot="1" x14ac:dyDescent="0.3">
      <c r="A4068" s="250"/>
      <c r="B4068" s="239"/>
      <c r="C4068" s="164"/>
      <c r="D4068" s="50"/>
      <c r="E4068" s="61"/>
      <c r="F4068" s="68" t="s">
        <v>418</v>
      </c>
      <c r="G4068" s="68" t="str">
        <f>IF(ISNUMBER(F4068),E4068*F4068,"")</f>
        <v/>
      </c>
      <c r="H4068" s="69"/>
      <c r="I4068" s="66"/>
      <c r="J4068" s="125">
        <v>0</v>
      </c>
    </row>
    <row r="4069" spans="1:10" ht="15.75" hidden="1" thickBot="1" x14ac:dyDescent="0.3">
      <c r="A4069" s="234" t="s">
        <v>1067</v>
      </c>
      <c r="B4069" s="237" t="s">
        <v>13476</v>
      </c>
      <c r="C4069" s="160"/>
      <c r="D4069" s="23" t="s">
        <v>69</v>
      </c>
      <c r="E4069" s="24"/>
      <c r="F4069" s="44" t="s">
        <v>418</v>
      </c>
      <c r="G4069" s="25" t="str">
        <f>IF(ISNUMBER(F4069),E4069*F4069,"")</f>
        <v/>
      </c>
      <c r="H4069" s="26"/>
      <c r="I4069" s="27"/>
      <c r="J4069" s="125">
        <v>0</v>
      </c>
    </row>
    <row r="4070" spans="1:10" ht="15.75" hidden="1" thickBot="1" x14ac:dyDescent="0.3">
      <c r="A4070" s="249"/>
      <c r="B4070" s="238"/>
      <c r="C4070" s="151"/>
      <c r="D4070" s="29"/>
      <c r="E4070" s="30"/>
      <c r="F4070" s="49" t="s">
        <v>418</v>
      </c>
      <c r="G4070" s="49" t="str">
        <f>IF(ISNUMBER(F4070),E4070*F4070,"")</f>
        <v/>
      </c>
      <c r="H4070" s="65"/>
      <c r="I4070" s="66"/>
      <c r="J4070" s="125">
        <v>0</v>
      </c>
    </row>
    <row r="4071" spans="1:10" ht="39" hidden="1" thickBot="1" x14ac:dyDescent="0.3">
      <c r="A4071" s="249"/>
      <c r="B4071" s="238"/>
      <c r="C4071" s="155" t="s">
        <v>1068</v>
      </c>
      <c r="D4071" s="155" t="s">
        <v>385</v>
      </c>
      <c r="E4071" s="34">
        <v>1.0225</v>
      </c>
      <c r="F4071" s="49">
        <v>129.44699999999997</v>
      </c>
      <c r="G4071" s="49">
        <f>IF(ISNUMBER(F4071),E4071*F4071,"")</f>
        <v>132.35955749999997</v>
      </c>
      <c r="H4071" s="35">
        <f>SUM(G4071:G4073)</f>
        <v>135.47459799999996</v>
      </c>
      <c r="I4071" s="36"/>
      <c r="J4071" s="125">
        <v>0</v>
      </c>
    </row>
    <row r="4072" spans="1:10" ht="26.25" hidden="1" thickBot="1" x14ac:dyDescent="0.3">
      <c r="A4072" s="249"/>
      <c r="B4072" s="238"/>
      <c r="C4072" s="155" t="s">
        <v>824</v>
      </c>
      <c r="D4072" s="155" t="s">
        <v>587</v>
      </c>
      <c r="E4072" s="34">
        <v>7.1499999999999994E-2</v>
      </c>
      <c r="F4072" s="49">
        <v>18.6295</v>
      </c>
      <c r="G4072" s="49">
        <f>IF(ISNUMBER(F4072),E4072*F4072,"")</f>
        <v>1.3320092499999998</v>
      </c>
      <c r="H4072" s="65"/>
      <c r="I4072" s="66"/>
      <c r="J4072" s="125">
        <v>0</v>
      </c>
    </row>
    <row r="4073" spans="1:10" ht="26.25" hidden="1" thickBot="1" x14ac:dyDescent="0.3">
      <c r="A4073" s="249"/>
      <c r="B4073" s="238"/>
      <c r="C4073" s="155" t="s">
        <v>825</v>
      </c>
      <c r="D4073" s="155" t="s">
        <v>587</v>
      </c>
      <c r="E4073" s="156">
        <v>7.1499999999999994E-2</v>
      </c>
      <c r="F4073" s="49">
        <v>24.9375</v>
      </c>
      <c r="G4073" s="49">
        <f>IF(ISNUMBER(F4073),E4073*F4073,"")</f>
        <v>1.7830312499999998</v>
      </c>
      <c r="H4073" s="65"/>
      <c r="I4073" s="66"/>
      <c r="J4073" s="125">
        <v>0</v>
      </c>
    </row>
    <row r="4074" spans="1:10" ht="15.75" hidden="1" thickBot="1" x14ac:dyDescent="0.3">
      <c r="A4074" s="249"/>
      <c r="B4074" s="238"/>
      <c r="C4074" s="164"/>
      <c r="D4074" s="50"/>
      <c r="E4074" s="61"/>
      <c r="F4074" s="68" t="s">
        <v>418</v>
      </c>
      <c r="G4074" s="68" t="str">
        <f>IF(ISNUMBER(F4074),E4074*F4074,"")</f>
        <v/>
      </c>
      <c r="H4074" s="69"/>
      <c r="I4074" s="66"/>
      <c r="J4074" s="125">
        <v>0</v>
      </c>
    </row>
    <row r="4075" spans="1:10" ht="15.75" hidden="1" thickBot="1" x14ac:dyDescent="0.3">
      <c r="A4075" s="234" t="s">
        <v>1069</v>
      </c>
      <c r="B4075" s="237" t="s">
        <v>13477</v>
      </c>
      <c r="C4075" s="160"/>
      <c r="D4075" s="23" t="s">
        <v>69</v>
      </c>
      <c r="E4075" s="24"/>
      <c r="F4075" s="44" t="s">
        <v>418</v>
      </c>
      <c r="G4075" s="25" t="str">
        <f>IF(ISNUMBER(F4075),E4075*F4075,"")</f>
        <v/>
      </c>
      <c r="H4075" s="26"/>
      <c r="I4075" s="27"/>
      <c r="J4075" s="125">
        <v>0</v>
      </c>
    </row>
    <row r="4076" spans="1:10" ht="15.75" hidden="1" thickBot="1" x14ac:dyDescent="0.3">
      <c r="A4076" s="249"/>
      <c r="B4076" s="238"/>
      <c r="C4076" s="151"/>
      <c r="D4076" s="29"/>
      <c r="E4076" s="30"/>
      <c r="F4076" s="49" t="s">
        <v>418</v>
      </c>
      <c r="G4076" s="49" t="str">
        <f>IF(ISNUMBER(F4076),E4076*F4076,"")</f>
        <v/>
      </c>
      <c r="H4076" s="65"/>
      <c r="I4076" s="66"/>
      <c r="J4076" s="125">
        <v>0</v>
      </c>
    </row>
    <row r="4077" spans="1:10" ht="39" hidden="1" thickBot="1" x14ac:dyDescent="0.3">
      <c r="A4077" s="249"/>
      <c r="B4077" s="238"/>
      <c r="C4077" s="155" t="s">
        <v>1070</v>
      </c>
      <c r="D4077" s="155" t="s">
        <v>385</v>
      </c>
      <c r="E4077" s="34">
        <v>1.0225</v>
      </c>
      <c r="F4077" s="49">
        <v>155.74299999999999</v>
      </c>
      <c r="G4077" s="49">
        <f>IF(ISNUMBER(F4077),E4077*F4077,"")</f>
        <v>159.24721749999998</v>
      </c>
      <c r="H4077" s="35">
        <f>SUM(G4077:G4079)</f>
        <v>163.01140629999998</v>
      </c>
      <c r="I4077" s="36"/>
      <c r="J4077" s="125">
        <v>0</v>
      </c>
    </row>
    <row r="4078" spans="1:10" ht="26.25" hidden="1" thickBot="1" x14ac:dyDescent="0.3">
      <c r="A4078" s="249"/>
      <c r="B4078" s="238"/>
      <c r="C4078" s="155" t="s">
        <v>824</v>
      </c>
      <c r="D4078" s="155" t="s">
        <v>587</v>
      </c>
      <c r="E4078" s="34">
        <v>8.6400000000000005E-2</v>
      </c>
      <c r="F4078" s="49">
        <v>18.6295</v>
      </c>
      <c r="G4078" s="49">
        <f>IF(ISNUMBER(F4078),E4078*F4078,"")</f>
        <v>1.6095888</v>
      </c>
      <c r="H4078" s="65"/>
      <c r="I4078" s="66"/>
      <c r="J4078" s="125">
        <v>0</v>
      </c>
    </row>
    <row r="4079" spans="1:10" ht="26.25" hidden="1" thickBot="1" x14ac:dyDescent="0.3">
      <c r="A4079" s="249"/>
      <c r="B4079" s="238"/>
      <c r="C4079" s="155" t="s">
        <v>825</v>
      </c>
      <c r="D4079" s="155" t="s">
        <v>587</v>
      </c>
      <c r="E4079" s="34">
        <v>8.6400000000000005E-2</v>
      </c>
      <c r="F4079" s="49">
        <v>24.9375</v>
      </c>
      <c r="G4079" s="49">
        <f>IF(ISNUMBER(F4079),E4079*F4079,"")</f>
        <v>2.1546000000000003</v>
      </c>
      <c r="H4079" s="65"/>
      <c r="I4079" s="66"/>
      <c r="J4079" s="125">
        <v>0</v>
      </c>
    </row>
    <row r="4080" spans="1:10" ht="15.75" hidden="1" thickBot="1" x14ac:dyDescent="0.3">
      <c r="A4080" s="249"/>
      <c r="B4080" s="238"/>
      <c r="C4080" s="164"/>
      <c r="D4080" s="50"/>
      <c r="E4080" s="61"/>
      <c r="F4080" s="68" t="s">
        <v>418</v>
      </c>
      <c r="G4080" s="68" t="str">
        <f>IF(ISNUMBER(F4080),E4080*F4080,"")</f>
        <v/>
      </c>
      <c r="H4080" s="69"/>
      <c r="I4080" s="66"/>
      <c r="J4080" s="125">
        <v>0</v>
      </c>
    </row>
    <row r="4081" spans="1:10" ht="15.75" hidden="1" thickBot="1" x14ac:dyDescent="0.3">
      <c r="A4081" s="234" t="s">
        <v>1071</v>
      </c>
      <c r="B4081" s="237" t="s">
        <v>1838</v>
      </c>
      <c r="C4081" s="160"/>
      <c r="D4081" s="23" t="s">
        <v>69</v>
      </c>
      <c r="E4081" s="24"/>
      <c r="F4081" s="44" t="s">
        <v>418</v>
      </c>
      <c r="G4081" s="25" t="str">
        <f>IF(ISNUMBER(F4081),E4081*F4081,"")</f>
        <v/>
      </c>
      <c r="H4081" s="26"/>
      <c r="I4081" s="27"/>
      <c r="J4081" s="125">
        <v>0</v>
      </c>
    </row>
    <row r="4082" spans="1:10" ht="15.75" hidden="1" thickBot="1" x14ac:dyDescent="0.3">
      <c r="A4082" s="249"/>
      <c r="B4082" s="238"/>
      <c r="C4082" s="151"/>
      <c r="D4082" s="29"/>
      <c r="E4082" s="30"/>
      <c r="F4082" s="49" t="s">
        <v>418</v>
      </c>
      <c r="G4082" s="49" t="str">
        <f>IF(ISNUMBER(F4082),E4082*F4082,"")</f>
        <v/>
      </c>
      <c r="H4082" s="65"/>
      <c r="I4082" s="66"/>
      <c r="J4082" s="125">
        <v>0</v>
      </c>
    </row>
    <row r="4083" spans="1:10" ht="39" hidden="1" thickBot="1" x14ac:dyDescent="0.3">
      <c r="A4083" s="249"/>
      <c r="B4083" s="238"/>
      <c r="C4083" s="155" t="s">
        <v>1072</v>
      </c>
      <c r="D4083" s="155" t="s">
        <v>385</v>
      </c>
      <c r="E4083" s="34">
        <v>1.1000000000000001</v>
      </c>
      <c r="F4083" s="49">
        <v>28.670999999999999</v>
      </c>
      <c r="G4083" s="49">
        <f>IF(ISNUMBER(F4083),E4083*F4083,"")</f>
        <v>31.538100000000004</v>
      </c>
      <c r="H4083" s="35">
        <f>SUM(G4083:G4086)</f>
        <v>36.282922500000005</v>
      </c>
      <c r="I4083" s="36"/>
      <c r="J4083" s="125">
        <v>0</v>
      </c>
    </row>
    <row r="4084" spans="1:10" ht="26.25" hidden="1" thickBot="1" x14ac:dyDescent="0.3">
      <c r="A4084" s="249"/>
      <c r="B4084" s="238"/>
      <c r="C4084" s="155" t="s">
        <v>10385</v>
      </c>
      <c r="D4084" s="155" t="s">
        <v>774</v>
      </c>
      <c r="E4084" s="34">
        <v>2.3E-3</v>
      </c>
      <c r="F4084" s="49">
        <v>26.41</v>
      </c>
      <c r="G4084" s="49">
        <f>IF(ISNUMBER(F4084),E4084*F4084,"")</f>
        <v>6.0742999999999998E-2</v>
      </c>
      <c r="H4084" s="65"/>
      <c r="I4084" s="66"/>
      <c r="J4084" s="125">
        <v>0</v>
      </c>
    </row>
    <row r="4085" spans="1:10" ht="15.75" hidden="1" thickBot="1" x14ac:dyDescent="0.3">
      <c r="A4085" s="249"/>
      <c r="B4085" s="238"/>
      <c r="C4085" s="155" t="s">
        <v>1022</v>
      </c>
      <c r="D4085" s="155" t="s">
        <v>587</v>
      </c>
      <c r="E4085" s="34">
        <v>0.10299999999999999</v>
      </c>
      <c r="F4085" s="49">
        <v>19.522500000000001</v>
      </c>
      <c r="G4085" s="49">
        <f>IF(ISNUMBER(F4085),E4085*F4085,"")</f>
        <v>2.0108174999999999</v>
      </c>
      <c r="H4085" s="65"/>
      <c r="I4085" s="66"/>
      <c r="J4085" s="125">
        <v>0</v>
      </c>
    </row>
    <row r="4086" spans="1:10" ht="15.75" hidden="1" thickBot="1" x14ac:dyDescent="0.3">
      <c r="A4086" s="249"/>
      <c r="B4086" s="238"/>
      <c r="C4086" s="155" t="s">
        <v>1023</v>
      </c>
      <c r="D4086" s="155" t="s">
        <v>587</v>
      </c>
      <c r="E4086" s="34">
        <v>0.10299999999999999</v>
      </c>
      <c r="F4086" s="49">
        <v>25.954000000000001</v>
      </c>
      <c r="G4086" s="49">
        <f>IF(ISNUMBER(F4086),E4086*F4086,"")</f>
        <v>2.6732619999999998</v>
      </c>
      <c r="H4086" s="65"/>
      <c r="I4086" s="66"/>
      <c r="J4086" s="125">
        <v>0</v>
      </c>
    </row>
    <row r="4087" spans="1:10" ht="15.75" hidden="1" thickBot="1" x14ac:dyDescent="0.3">
      <c r="A4087" s="249"/>
      <c r="B4087" s="238"/>
      <c r="C4087" s="164"/>
      <c r="D4087" s="50"/>
      <c r="E4087" s="61"/>
      <c r="F4087" s="68" t="s">
        <v>418</v>
      </c>
      <c r="G4087" s="68" t="str">
        <f>IF(ISNUMBER(F4087),E4087*F4087,"")</f>
        <v/>
      </c>
      <c r="H4087" s="69"/>
      <c r="I4087" s="66"/>
      <c r="J4087" s="125">
        <v>0</v>
      </c>
    </row>
    <row r="4088" spans="1:10" ht="15.75" hidden="1" thickBot="1" x14ac:dyDescent="0.3">
      <c r="A4088" s="234" t="s">
        <v>1073</v>
      </c>
      <c r="B4088" s="237" t="s">
        <v>1839</v>
      </c>
      <c r="C4088" s="160"/>
      <c r="D4088" s="23" t="s">
        <v>1628</v>
      </c>
      <c r="E4088" s="24"/>
      <c r="F4088" s="44" t="s">
        <v>418</v>
      </c>
      <c r="G4088" s="25" t="str">
        <f>IF(ISNUMBER(F4088),E4088*F4088,"")</f>
        <v/>
      </c>
      <c r="H4088" s="26"/>
      <c r="I4088" s="27"/>
      <c r="J4088" s="125">
        <v>0</v>
      </c>
    </row>
    <row r="4089" spans="1:10" ht="15.75" hidden="1" thickBot="1" x14ac:dyDescent="0.3">
      <c r="A4089" s="249"/>
      <c r="B4089" s="238"/>
      <c r="C4089" s="151"/>
      <c r="D4089" s="29"/>
      <c r="E4089" s="30"/>
      <c r="F4089" s="49" t="s">
        <v>418</v>
      </c>
      <c r="G4089" s="49" t="str">
        <f>IF(ISNUMBER(F4089),E4089*F4089,"")</f>
        <v/>
      </c>
      <c r="H4089" s="65"/>
      <c r="I4089" s="66"/>
      <c r="J4089" s="125">
        <v>0</v>
      </c>
    </row>
    <row r="4090" spans="1:10" ht="15.75" hidden="1" thickBot="1" x14ac:dyDescent="0.3">
      <c r="A4090" s="249"/>
      <c r="B4090" s="238"/>
      <c r="C4090" s="155" t="s">
        <v>1074</v>
      </c>
      <c r="D4090" s="155" t="s">
        <v>89</v>
      </c>
      <c r="E4090" s="34" t="e">
        <f>IF(#REF!="Desonerado",ROUND(1/(1+47.14%),4),ROUND(1/(1+70.4%),4))</f>
        <v>#REF!</v>
      </c>
      <c r="F4090" s="49">
        <v>4335.780999999999</v>
      </c>
      <c r="G4090" s="49" t="e">
        <f>IF(ISNUMBER(F4090),E4090*F4090,"")</f>
        <v>#REF!</v>
      </c>
      <c r="H4090" s="35" t="e">
        <f>SUM(G4090:G4090)</f>
        <v>#REF!</v>
      </c>
      <c r="I4090" s="36"/>
      <c r="J4090" s="125">
        <v>0</v>
      </c>
    </row>
    <row r="4091" spans="1:10" ht="15.75" hidden="1" thickBot="1" x14ac:dyDescent="0.3">
      <c r="A4091" s="249"/>
      <c r="B4091" s="238"/>
      <c r="C4091" s="155"/>
      <c r="D4091" s="42"/>
      <c r="E4091" s="34"/>
      <c r="F4091" s="49" t="s">
        <v>418</v>
      </c>
      <c r="G4091" s="49" t="str">
        <f>IF(ISNUMBER(F4091),E4091*F4091,"")</f>
        <v/>
      </c>
      <c r="H4091" s="65"/>
      <c r="I4091" s="66"/>
      <c r="J4091" s="125">
        <v>0</v>
      </c>
    </row>
    <row r="4092" spans="1:10" ht="26.25" hidden="1" thickBot="1" x14ac:dyDescent="0.3">
      <c r="A4092" s="249"/>
      <c r="B4092" s="238"/>
      <c r="C4092" s="43" t="s">
        <v>657</v>
      </c>
      <c r="D4092" s="42"/>
      <c r="E4092" s="34"/>
      <c r="F4092" s="49" t="s">
        <v>418</v>
      </c>
      <c r="G4092" s="49" t="str">
        <f>IF(ISNUMBER(F4092),E4092*F4092,"")</f>
        <v/>
      </c>
      <c r="H4092" s="65"/>
      <c r="I4092" s="66"/>
      <c r="J4092" s="125">
        <v>0</v>
      </c>
    </row>
    <row r="4093" spans="1:10" ht="15.75" hidden="1" thickBot="1" x14ac:dyDescent="0.3">
      <c r="A4093" s="249"/>
      <c r="B4093" s="238"/>
      <c r="C4093" s="164"/>
      <c r="D4093" s="50"/>
      <c r="E4093" s="61"/>
      <c r="F4093" s="68" t="s">
        <v>418</v>
      </c>
      <c r="G4093" s="68" t="str">
        <f>IF(ISNUMBER(F4093),E4093*F4093,"")</f>
        <v/>
      </c>
      <c r="H4093" s="69"/>
      <c r="I4093" s="66"/>
      <c r="J4093" s="125">
        <v>0</v>
      </c>
    </row>
    <row r="4094" spans="1:10" ht="15.75" hidden="1" thickBot="1" x14ac:dyDescent="0.3">
      <c r="A4094" s="234" t="s">
        <v>1075</v>
      </c>
      <c r="B4094" s="237" t="s">
        <v>1840</v>
      </c>
      <c r="C4094" s="160"/>
      <c r="D4094" s="23" t="s">
        <v>70</v>
      </c>
      <c r="E4094" s="24"/>
      <c r="F4094" s="44" t="s">
        <v>418</v>
      </c>
      <c r="G4094" s="25" t="str">
        <f>IF(ISNUMBER(F4094),E4094*F4094,"")</f>
        <v/>
      </c>
      <c r="H4094" s="26"/>
      <c r="I4094" s="27"/>
      <c r="J4094" s="125">
        <v>0</v>
      </c>
    </row>
    <row r="4095" spans="1:10" ht="15.75" hidden="1" thickBot="1" x14ac:dyDescent="0.3">
      <c r="A4095" s="249"/>
      <c r="B4095" s="238"/>
      <c r="C4095" s="151"/>
      <c r="D4095" s="29"/>
      <c r="E4095" s="30"/>
      <c r="F4095" s="49" t="s">
        <v>418</v>
      </c>
      <c r="G4095" s="49" t="str">
        <f>IF(ISNUMBER(F4095),E4095*F4095,"")</f>
        <v/>
      </c>
      <c r="H4095" s="65"/>
      <c r="I4095" s="66"/>
      <c r="J4095" s="125">
        <v>0</v>
      </c>
    </row>
    <row r="4096" spans="1:10" ht="15.75" hidden="1" thickBot="1" x14ac:dyDescent="0.3">
      <c r="A4096" s="249"/>
      <c r="B4096" s="238"/>
      <c r="C4096" s="155" t="s">
        <v>1076</v>
      </c>
      <c r="D4096" s="155" t="s">
        <v>587</v>
      </c>
      <c r="E4096" s="34">
        <f>ROUND(1/10,4)</f>
        <v>0.1</v>
      </c>
      <c r="F4096" s="49">
        <v>122.9965</v>
      </c>
      <c r="G4096" s="49">
        <f>IF(ISNUMBER(F4096),E4096*F4096,"")</f>
        <v>12.29965</v>
      </c>
      <c r="H4096" s="35">
        <f>SUM(G4096:G4096)</f>
        <v>12.29965</v>
      </c>
      <c r="I4096" s="36"/>
      <c r="J4096" s="125">
        <v>0</v>
      </c>
    </row>
    <row r="4097" spans="1:10" ht="15.75" hidden="1" thickBot="1" x14ac:dyDescent="0.3">
      <c r="A4097" s="249"/>
      <c r="B4097" s="238"/>
      <c r="C4097" s="155"/>
      <c r="D4097" s="42"/>
      <c r="E4097" s="34"/>
      <c r="F4097" s="49" t="s">
        <v>418</v>
      </c>
      <c r="G4097" s="49" t="str">
        <f>IF(ISNUMBER(F4097),E4097*F4097,"")</f>
        <v/>
      </c>
      <c r="H4097" s="65"/>
      <c r="I4097" s="66"/>
      <c r="J4097" s="125">
        <v>0</v>
      </c>
    </row>
    <row r="4098" spans="1:10" ht="15.75" hidden="1" thickBot="1" x14ac:dyDescent="0.3">
      <c r="A4098" s="234" t="s">
        <v>1077</v>
      </c>
      <c r="B4098" s="237" t="s">
        <v>1841</v>
      </c>
      <c r="C4098" s="160"/>
      <c r="D4098" s="23" t="s">
        <v>70</v>
      </c>
      <c r="E4098" s="24"/>
      <c r="F4098" s="44" t="s">
        <v>418</v>
      </c>
      <c r="G4098" s="25" t="str">
        <f>IF(ISNUMBER(F4098),E4098*F4098,"")</f>
        <v/>
      </c>
      <c r="H4098" s="26"/>
      <c r="I4098" s="27"/>
      <c r="J4098" s="125">
        <v>0</v>
      </c>
    </row>
    <row r="4099" spans="1:10" ht="15.75" hidden="1" thickBot="1" x14ac:dyDescent="0.3">
      <c r="A4099" s="249"/>
      <c r="B4099" s="238"/>
      <c r="C4099" s="151"/>
      <c r="D4099" s="29"/>
      <c r="E4099" s="30"/>
      <c r="F4099" s="49" t="s">
        <v>418</v>
      </c>
      <c r="G4099" s="49" t="str">
        <f>IF(ISNUMBER(F4099),E4099*F4099,"")</f>
        <v/>
      </c>
      <c r="H4099" s="65"/>
      <c r="I4099" s="66"/>
      <c r="J4099" s="125">
        <v>0</v>
      </c>
    </row>
    <row r="4100" spans="1:10" ht="15.75" hidden="1" thickBot="1" x14ac:dyDescent="0.3">
      <c r="A4100" s="249"/>
      <c r="B4100" s="238"/>
      <c r="C4100" s="155" t="s">
        <v>588</v>
      </c>
      <c r="D4100" s="155" t="s">
        <v>587</v>
      </c>
      <c r="E4100" s="34">
        <v>0.18</v>
      </c>
      <c r="F4100" s="49">
        <v>19.189999999999998</v>
      </c>
      <c r="G4100" s="49">
        <f>IF(ISNUMBER(F4100),E4100*F4100,"")</f>
        <v>3.4541999999999993</v>
      </c>
      <c r="H4100" s="35">
        <f>SUM(G4100:G4103)</f>
        <v>62.270219999999995</v>
      </c>
      <c r="I4100" s="36"/>
      <c r="J4100" s="125">
        <v>0</v>
      </c>
    </row>
    <row r="4101" spans="1:10" ht="15.75" hidden="1" thickBot="1" x14ac:dyDescent="0.3">
      <c r="A4101" s="249"/>
      <c r="B4101" s="238"/>
      <c r="C4101" s="155" t="s">
        <v>1078</v>
      </c>
      <c r="D4101" s="155" t="s">
        <v>587</v>
      </c>
      <c r="E4101" s="34">
        <v>0.18</v>
      </c>
      <c r="F4101" s="49">
        <v>25.289000000000001</v>
      </c>
      <c r="G4101" s="49">
        <f>IF(ISNUMBER(F4101),E4101*F4101,"")</f>
        <v>4.5520199999999997</v>
      </c>
      <c r="H4101" s="65"/>
      <c r="I4101" s="66"/>
      <c r="J4101" s="125">
        <v>0</v>
      </c>
    </row>
    <row r="4102" spans="1:10" ht="26.25" hidden="1" thickBot="1" x14ac:dyDescent="0.3">
      <c r="A4102" s="249"/>
      <c r="B4102" s="238"/>
      <c r="C4102" s="155" t="s">
        <v>24545</v>
      </c>
      <c r="D4102" s="155" t="s">
        <v>774</v>
      </c>
      <c r="E4102" s="34">
        <v>0.9</v>
      </c>
      <c r="F4102" s="49">
        <v>59.184999999999995</v>
      </c>
      <c r="G4102" s="49">
        <f>IF(ISNUMBER(F4102),E4102*F4102,"")</f>
        <v>53.266499999999994</v>
      </c>
      <c r="H4102" s="65"/>
      <c r="I4102" s="66"/>
      <c r="J4102" s="125">
        <v>0</v>
      </c>
    </row>
    <row r="4103" spans="1:10" ht="15.75" hidden="1" thickBot="1" x14ac:dyDescent="0.3">
      <c r="A4103" s="249"/>
      <c r="B4103" s="238"/>
      <c r="C4103" s="155" t="s">
        <v>1079</v>
      </c>
      <c r="D4103" s="33" t="s">
        <v>70</v>
      </c>
      <c r="E4103" s="34">
        <v>1.05</v>
      </c>
      <c r="F4103" s="49">
        <v>0.95</v>
      </c>
      <c r="G4103" s="49">
        <f>IF(ISNUMBER(F4103),E4103*F4103,"")</f>
        <v>0.99749999999999994</v>
      </c>
      <c r="H4103" s="65"/>
      <c r="I4103" s="66"/>
      <c r="J4103" s="125">
        <v>0</v>
      </c>
    </row>
    <row r="4104" spans="1:10" ht="15.75" hidden="1" thickBot="1" x14ac:dyDescent="0.3">
      <c r="A4104" s="249"/>
      <c r="B4104" s="238"/>
      <c r="C4104" s="164"/>
      <c r="D4104" s="50"/>
      <c r="E4104" s="61"/>
      <c r="F4104" s="68" t="s">
        <v>418</v>
      </c>
      <c r="G4104" s="68" t="str">
        <f>IF(ISNUMBER(F4104),E4104*F4104,"")</f>
        <v/>
      </c>
      <c r="H4104" s="69"/>
      <c r="I4104" s="66"/>
      <c r="J4104" s="125">
        <v>0</v>
      </c>
    </row>
    <row r="4105" spans="1:10" ht="15.75" hidden="1" thickBot="1" x14ac:dyDescent="0.3">
      <c r="A4105" s="234" t="s">
        <v>1081</v>
      </c>
      <c r="B4105" s="237" t="s">
        <v>13478</v>
      </c>
      <c r="C4105" s="160"/>
      <c r="D4105" s="23" t="s">
        <v>70</v>
      </c>
      <c r="E4105" s="24"/>
      <c r="F4105" s="37" t="s">
        <v>418</v>
      </c>
      <c r="G4105" s="25" t="str">
        <f>IF(ISNUMBER(F4105),E4105*F4105,"")</f>
        <v/>
      </c>
      <c r="H4105" s="26"/>
      <c r="I4105" s="27"/>
      <c r="J4105" s="125">
        <v>0</v>
      </c>
    </row>
    <row r="4106" spans="1:10" ht="15.75" hidden="1" thickBot="1" x14ac:dyDescent="0.3">
      <c r="A4106" s="235"/>
      <c r="B4106" s="238"/>
      <c r="C4106" s="151"/>
      <c r="D4106" s="29"/>
      <c r="E4106" s="30"/>
      <c r="F4106" s="38" t="s">
        <v>418</v>
      </c>
      <c r="G4106" s="28" t="str">
        <f>IF(ISNUMBER(F4106),E4106*F4106,"")</f>
        <v/>
      </c>
      <c r="H4106" s="32"/>
      <c r="I4106" s="28"/>
      <c r="J4106" s="125">
        <v>0</v>
      </c>
    </row>
    <row r="4107" spans="1:10" ht="15.75" hidden="1" thickBot="1" x14ac:dyDescent="0.3">
      <c r="A4107" s="235"/>
      <c r="B4107" s="238"/>
      <c r="C4107" s="155" t="s">
        <v>23678</v>
      </c>
      <c r="D4107" s="155" t="s">
        <v>774</v>
      </c>
      <c r="E4107" s="34">
        <v>8.6199999999999992</v>
      </c>
      <c r="F4107" s="31">
        <v>3.4390000000000001</v>
      </c>
      <c r="G4107" s="31">
        <f>IF(ISNUMBER(F4107),E4107*F4107,"")</f>
        <v>29.644179999999999</v>
      </c>
      <c r="H4107" s="35">
        <f>SUM(G4107:G4111)</f>
        <v>72.277596000000003</v>
      </c>
      <c r="I4107" s="36"/>
      <c r="J4107" s="125">
        <v>0</v>
      </c>
    </row>
    <row r="4108" spans="1:10" ht="15.75" hidden="1" thickBot="1" x14ac:dyDescent="0.3">
      <c r="A4108" s="235"/>
      <c r="B4108" s="238"/>
      <c r="C4108" s="155" t="s">
        <v>9784</v>
      </c>
      <c r="D4108" s="155" t="s">
        <v>587</v>
      </c>
      <c r="E4108" s="34">
        <v>1.1879999999999999</v>
      </c>
      <c r="F4108" s="28">
        <v>25.516999999999999</v>
      </c>
      <c r="G4108" s="31">
        <f>IF(ISNUMBER(F4108),E4108*F4108,"")</f>
        <v>30.314195999999999</v>
      </c>
      <c r="H4108" s="32"/>
      <c r="I4108" s="28"/>
      <c r="J4108" s="125">
        <v>0</v>
      </c>
    </row>
    <row r="4109" spans="1:10" ht="15.75" hidden="1" thickBot="1" x14ac:dyDescent="0.3">
      <c r="A4109" s="235"/>
      <c r="B4109" s="238"/>
      <c r="C4109" s="155" t="s">
        <v>588</v>
      </c>
      <c r="D4109" s="155" t="s">
        <v>587</v>
      </c>
      <c r="E4109" s="34">
        <v>0.59399999999999997</v>
      </c>
      <c r="F4109" s="28">
        <v>19.189999999999998</v>
      </c>
      <c r="G4109" s="31">
        <f>IF(ISNUMBER(F4109),E4109*F4109,"")</f>
        <v>11.398859999999997</v>
      </c>
      <c r="H4109" s="32"/>
      <c r="I4109" s="28"/>
      <c r="J4109" s="125">
        <v>0</v>
      </c>
    </row>
    <row r="4110" spans="1:10" ht="15.75" hidden="1" thickBot="1" x14ac:dyDescent="0.3">
      <c r="A4110" s="235"/>
      <c r="B4110" s="238"/>
      <c r="C4110" s="155" t="s">
        <v>27268</v>
      </c>
      <c r="D4110" s="155" t="s">
        <v>774</v>
      </c>
      <c r="E4110" s="34">
        <v>0.14000000000000001</v>
      </c>
      <c r="F4110" s="31">
        <v>6.5739999999999998</v>
      </c>
      <c r="G4110" s="31">
        <f>IF(ISNUMBER(F4110),E4110*F4110,"")</f>
        <v>0.92036000000000007</v>
      </c>
      <c r="H4110" s="32"/>
      <c r="I4110" s="28"/>
      <c r="J4110" s="125">
        <v>0</v>
      </c>
    </row>
    <row r="4111" spans="1:10" ht="15.75" hidden="1" thickBot="1" x14ac:dyDescent="0.3">
      <c r="A4111" s="235"/>
      <c r="B4111" s="238"/>
      <c r="C4111" s="155" t="s">
        <v>1082</v>
      </c>
      <c r="D4111" s="33" t="s">
        <v>70</v>
      </c>
      <c r="E4111" s="34">
        <v>1.1599999999999999</v>
      </c>
      <c r="F4111" s="31" t="s">
        <v>418</v>
      </c>
      <c r="G4111" s="49" t="str">
        <f>IF(ISNUMBER(F4111),E4111*F4111,"")</f>
        <v/>
      </c>
      <c r="H4111" s="32"/>
      <c r="I4111" s="28"/>
      <c r="J4111" s="125">
        <v>0</v>
      </c>
    </row>
    <row r="4112" spans="1:10" ht="15.75" hidden="1" thickBot="1" x14ac:dyDescent="0.3">
      <c r="A4112" s="236"/>
      <c r="B4112" s="239"/>
      <c r="C4112" s="155"/>
      <c r="D4112" s="33"/>
      <c r="E4112" s="34"/>
      <c r="F4112" s="28" t="s">
        <v>418</v>
      </c>
      <c r="G4112" s="28" t="str">
        <f>IF(ISNUMBER(F4112),E4112*F4112,"")</f>
        <v/>
      </c>
      <c r="H4112" s="32"/>
      <c r="I4112" s="28"/>
      <c r="J4112" s="125">
        <v>0</v>
      </c>
    </row>
    <row r="4113" spans="1:10" ht="15.75" hidden="1" thickBot="1" x14ac:dyDescent="0.3">
      <c r="A4113" s="234" t="s">
        <v>1083</v>
      </c>
      <c r="B4113" s="237" t="s">
        <v>13479</v>
      </c>
      <c r="C4113" s="160"/>
      <c r="D4113" s="23" t="s">
        <v>70</v>
      </c>
      <c r="E4113" s="24"/>
      <c r="F4113" s="37" t="s">
        <v>418</v>
      </c>
      <c r="G4113" s="25" t="str">
        <f>IF(ISNUMBER(F4113),E4113*F4113,"")</f>
        <v/>
      </c>
      <c r="H4113" s="26"/>
      <c r="I4113" s="27"/>
      <c r="J4113" s="125">
        <v>0</v>
      </c>
    </row>
    <row r="4114" spans="1:10" ht="15.75" hidden="1" thickBot="1" x14ac:dyDescent="0.3">
      <c r="A4114" s="235"/>
      <c r="B4114" s="238"/>
      <c r="C4114" s="151"/>
      <c r="D4114" s="29"/>
      <c r="E4114" s="30"/>
      <c r="F4114" s="38" t="s">
        <v>418</v>
      </c>
      <c r="G4114" s="28" t="str">
        <f>IF(ISNUMBER(F4114),E4114*F4114,"")</f>
        <v/>
      </c>
      <c r="H4114" s="32"/>
      <c r="I4114" s="28"/>
      <c r="J4114" s="125">
        <v>0</v>
      </c>
    </row>
    <row r="4115" spans="1:10" ht="15.75" hidden="1" thickBot="1" x14ac:dyDescent="0.3">
      <c r="A4115" s="235"/>
      <c r="B4115" s="238"/>
      <c r="C4115" s="155" t="s">
        <v>23678</v>
      </c>
      <c r="D4115" s="155" t="s">
        <v>774</v>
      </c>
      <c r="E4115" s="34">
        <v>8.6199999999999992</v>
      </c>
      <c r="F4115" s="31">
        <v>3.4390000000000001</v>
      </c>
      <c r="G4115" s="31">
        <f>IF(ISNUMBER(F4115),E4115*F4115,"")</f>
        <v>29.644179999999999</v>
      </c>
      <c r="H4115" s="35">
        <f>SUM(G4115:G4119)</f>
        <v>72.277596000000003</v>
      </c>
      <c r="I4115" s="36"/>
      <c r="J4115" s="125">
        <v>0</v>
      </c>
    </row>
    <row r="4116" spans="1:10" ht="15.75" hidden="1" thickBot="1" x14ac:dyDescent="0.3">
      <c r="A4116" s="235"/>
      <c r="B4116" s="238"/>
      <c r="C4116" s="155" t="s">
        <v>9784</v>
      </c>
      <c r="D4116" s="155" t="s">
        <v>587</v>
      </c>
      <c r="E4116" s="34">
        <v>1.1879999999999999</v>
      </c>
      <c r="F4116" s="28">
        <v>25.516999999999999</v>
      </c>
      <c r="G4116" s="31">
        <f>IF(ISNUMBER(F4116),E4116*F4116,"")</f>
        <v>30.314195999999999</v>
      </c>
      <c r="H4116" s="32"/>
      <c r="I4116" s="28"/>
      <c r="J4116" s="125">
        <v>0</v>
      </c>
    </row>
    <row r="4117" spans="1:10" ht="15.75" hidden="1" thickBot="1" x14ac:dyDescent="0.3">
      <c r="A4117" s="235"/>
      <c r="B4117" s="238"/>
      <c r="C4117" s="155" t="s">
        <v>588</v>
      </c>
      <c r="D4117" s="155" t="s">
        <v>587</v>
      </c>
      <c r="E4117" s="34">
        <v>0.59399999999999997</v>
      </c>
      <c r="F4117" s="28">
        <v>19.189999999999998</v>
      </c>
      <c r="G4117" s="31">
        <f>IF(ISNUMBER(F4117),E4117*F4117,"")</f>
        <v>11.398859999999997</v>
      </c>
      <c r="H4117" s="32"/>
      <c r="I4117" s="28"/>
      <c r="J4117" s="125">
        <v>0</v>
      </c>
    </row>
    <row r="4118" spans="1:10" ht="15.75" hidden="1" thickBot="1" x14ac:dyDescent="0.3">
      <c r="A4118" s="235"/>
      <c r="B4118" s="238"/>
      <c r="C4118" s="155" t="s">
        <v>27268</v>
      </c>
      <c r="D4118" s="155" t="s">
        <v>774</v>
      </c>
      <c r="E4118" s="34">
        <v>0.14000000000000001</v>
      </c>
      <c r="F4118" s="31">
        <v>6.5739999999999998</v>
      </c>
      <c r="G4118" s="31">
        <f>IF(ISNUMBER(F4118),E4118*F4118,"")</f>
        <v>0.92036000000000007</v>
      </c>
      <c r="H4118" s="32"/>
      <c r="I4118" s="28"/>
      <c r="J4118" s="125">
        <v>0</v>
      </c>
    </row>
    <row r="4119" spans="1:10" ht="15.75" hidden="1" thickBot="1" x14ac:dyDescent="0.3">
      <c r="A4119" s="235"/>
      <c r="B4119" s="238"/>
      <c r="C4119" s="155" t="s">
        <v>1084</v>
      </c>
      <c r="D4119" s="33" t="s">
        <v>70</v>
      </c>
      <c r="E4119" s="34">
        <v>1.1599999999999999</v>
      </c>
      <c r="F4119" s="31" t="s">
        <v>418</v>
      </c>
      <c r="G4119" s="49" t="str">
        <f>IF(ISNUMBER(F4119),E4119*F4119,"")</f>
        <v/>
      </c>
      <c r="H4119" s="32"/>
      <c r="I4119" s="28"/>
      <c r="J4119" s="125">
        <v>0</v>
      </c>
    </row>
    <row r="4120" spans="1:10" ht="15.75" hidden="1" thickBot="1" x14ac:dyDescent="0.3">
      <c r="A4120" s="236"/>
      <c r="B4120" s="239"/>
      <c r="C4120" s="155"/>
      <c r="D4120" s="33"/>
      <c r="E4120" s="34"/>
      <c r="F4120" s="28" t="s">
        <v>418</v>
      </c>
      <c r="G4120" s="28" t="str">
        <f>IF(ISNUMBER(F4120),E4120*F4120,"")</f>
        <v/>
      </c>
      <c r="H4120" s="32"/>
      <c r="I4120" s="28"/>
      <c r="J4120" s="125">
        <v>0</v>
      </c>
    </row>
    <row r="4121" spans="1:10" ht="15.75" hidden="1" thickBot="1" x14ac:dyDescent="0.3">
      <c r="A4121" s="234" t="s">
        <v>1085</v>
      </c>
      <c r="B4121" s="237" t="s">
        <v>13480</v>
      </c>
      <c r="C4121" s="160"/>
      <c r="D4121" s="23" t="s">
        <v>70</v>
      </c>
      <c r="E4121" s="24"/>
      <c r="F4121" s="44" t="s">
        <v>418</v>
      </c>
      <c r="G4121" s="25" t="str">
        <f>IF(ISNUMBER(F4121),E4121*F4121,"")</f>
        <v/>
      </c>
      <c r="H4121" s="26"/>
      <c r="I4121" s="27"/>
      <c r="J4121" s="125">
        <v>0</v>
      </c>
    </row>
    <row r="4122" spans="1:10" ht="15.75" hidden="1" thickBot="1" x14ac:dyDescent="0.3">
      <c r="A4122" s="249"/>
      <c r="B4122" s="238"/>
      <c r="C4122" s="151"/>
      <c r="D4122" s="29"/>
      <c r="E4122" s="30"/>
      <c r="F4122" s="49" t="s">
        <v>418</v>
      </c>
      <c r="G4122" s="49" t="str">
        <f>IF(ISNUMBER(F4122),E4122*F4122,"")</f>
        <v/>
      </c>
      <c r="H4122" s="65"/>
      <c r="I4122" s="66"/>
      <c r="J4122" s="125">
        <v>0</v>
      </c>
    </row>
    <row r="4123" spans="1:10" ht="26.25" hidden="1" thickBot="1" x14ac:dyDescent="0.3">
      <c r="A4123" s="249"/>
      <c r="B4123" s="238"/>
      <c r="C4123" s="155" t="s">
        <v>1086</v>
      </c>
      <c r="D4123" s="155" t="s">
        <v>870</v>
      </c>
      <c r="E4123" s="34">
        <v>1.0717000000000001</v>
      </c>
      <c r="F4123" s="49">
        <v>128.80100000000002</v>
      </c>
      <c r="G4123" s="49">
        <f>IF(ISNUMBER(F4123),E4123*F4123,"")</f>
        <v>138.03603170000002</v>
      </c>
      <c r="H4123" s="35">
        <f>SUM(G4123:G4127)</f>
        <v>193.49768150000003</v>
      </c>
      <c r="I4123" s="36"/>
      <c r="J4123" s="125">
        <v>0</v>
      </c>
    </row>
    <row r="4124" spans="1:10" ht="15.75" hidden="1" thickBot="1" x14ac:dyDescent="0.3">
      <c r="A4124" s="249"/>
      <c r="B4124" s="238"/>
      <c r="C4124" s="155" t="s">
        <v>27268</v>
      </c>
      <c r="D4124" s="155" t="s">
        <v>774</v>
      </c>
      <c r="E4124" s="34">
        <v>0.188</v>
      </c>
      <c r="F4124" s="49">
        <v>6.5739999999999998</v>
      </c>
      <c r="G4124" s="49">
        <f>IF(ISNUMBER(F4124),E4124*F4124,"")</f>
        <v>1.2359119999999999</v>
      </c>
      <c r="H4124" s="65"/>
      <c r="I4124" s="66"/>
      <c r="J4124" s="125">
        <v>0</v>
      </c>
    </row>
    <row r="4125" spans="1:10" ht="15.75" hidden="1" thickBot="1" x14ac:dyDescent="0.3">
      <c r="A4125" s="249"/>
      <c r="B4125" s="238"/>
      <c r="C4125" s="155" t="s">
        <v>23678</v>
      </c>
      <c r="D4125" s="155" t="s">
        <v>774</v>
      </c>
      <c r="E4125" s="34">
        <v>9.1300000000000008</v>
      </c>
      <c r="F4125" s="49">
        <v>3.4390000000000001</v>
      </c>
      <c r="G4125" s="49">
        <f>IF(ISNUMBER(F4125),E4125*F4125,"")</f>
        <v>31.398070000000004</v>
      </c>
      <c r="H4125" s="65"/>
      <c r="I4125" s="66"/>
      <c r="J4125" s="125">
        <v>0</v>
      </c>
    </row>
    <row r="4126" spans="1:10" ht="15.75" hidden="1" thickBot="1" x14ac:dyDescent="0.3">
      <c r="A4126" s="249"/>
      <c r="B4126" s="238"/>
      <c r="C4126" s="155" t="s">
        <v>1087</v>
      </c>
      <c r="D4126" s="155" t="s">
        <v>587</v>
      </c>
      <c r="E4126" s="34">
        <v>0.74539999999999995</v>
      </c>
      <c r="F4126" s="49">
        <v>25.516999999999999</v>
      </c>
      <c r="G4126" s="49">
        <f>IF(ISNUMBER(F4126),E4126*F4126,"")</f>
        <v>19.020371799999999</v>
      </c>
      <c r="H4126" s="65"/>
      <c r="I4126" s="66"/>
      <c r="J4126" s="125">
        <v>0</v>
      </c>
    </row>
    <row r="4127" spans="1:10" ht="15.75" hidden="1" thickBot="1" x14ac:dyDescent="0.3">
      <c r="A4127" s="249"/>
      <c r="B4127" s="238"/>
      <c r="C4127" s="155" t="s">
        <v>588</v>
      </c>
      <c r="D4127" s="155" t="s">
        <v>587</v>
      </c>
      <c r="E4127" s="34">
        <v>0.19839999999999999</v>
      </c>
      <c r="F4127" s="49">
        <v>19.189999999999998</v>
      </c>
      <c r="G4127" s="49">
        <f>IF(ISNUMBER(F4127),E4127*F4127,"")</f>
        <v>3.8072959999999996</v>
      </c>
      <c r="H4127" s="65"/>
      <c r="I4127" s="66"/>
      <c r="J4127" s="125">
        <v>0</v>
      </c>
    </row>
    <row r="4128" spans="1:10" ht="15.75" hidden="1" thickBot="1" x14ac:dyDescent="0.3">
      <c r="A4128" s="249"/>
      <c r="B4128" s="238"/>
      <c r="C4128" s="155"/>
      <c r="D4128" s="42"/>
      <c r="E4128" s="34"/>
      <c r="F4128" s="49" t="s">
        <v>418</v>
      </c>
      <c r="G4128" s="49" t="str">
        <f>IF(ISNUMBER(F4128),E4128*F4128,"")</f>
        <v/>
      </c>
      <c r="H4128" s="65"/>
      <c r="I4128" s="66"/>
      <c r="J4128" s="125">
        <v>0</v>
      </c>
    </row>
    <row r="4129" spans="1:10" ht="15.75" hidden="1" thickBot="1" x14ac:dyDescent="0.3">
      <c r="A4129" s="234" t="s">
        <v>1088</v>
      </c>
      <c r="B4129" s="237" t="s">
        <v>1842</v>
      </c>
      <c r="C4129" s="160"/>
      <c r="D4129" s="23" t="s">
        <v>70</v>
      </c>
      <c r="E4129" s="24"/>
      <c r="F4129" s="44" t="s">
        <v>418</v>
      </c>
      <c r="G4129" s="25" t="str">
        <f>IF(ISNUMBER(F4129),E4129*F4129,"")</f>
        <v/>
      </c>
      <c r="H4129" s="26"/>
      <c r="I4129" s="27"/>
      <c r="J4129" s="125">
        <v>0</v>
      </c>
    </row>
    <row r="4130" spans="1:10" ht="15.75" hidden="1" thickBot="1" x14ac:dyDescent="0.3">
      <c r="A4130" s="249"/>
      <c r="B4130" s="238"/>
      <c r="C4130" s="151"/>
      <c r="D4130" s="29"/>
      <c r="E4130" s="30"/>
      <c r="F4130" s="49" t="s">
        <v>418</v>
      </c>
      <c r="G4130" s="49" t="str">
        <f>IF(ISNUMBER(F4130),E4130*F4130,"")</f>
        <v/>
      </c>
      <c r="H4130" s="65"/>
      <c r="I4130" s="66"/>
      <c r="J4130" s="125">
        <v>0</v>
      </c>
    </row>
    <row r="4131" spans="1:10" ht="26.25" hidden="1" thickBot="1" x14ac:dyDescent="0.3">
      <c r="A4131" s="249"/>
      <c r="B4131" s="238"/>
      <c r="C4131" s="155" t="s">
        <v>38834</v>
      </c>
      <c r="D4131" s="155" t="s">
        <v>870</v>
      </c>
      <c r="E4131" s="34">
        <v>1</v>
      </c>
      <c r="F4131" s="49">
        <v>103.07499999999999</v>
      </c>
      <c r="G4131" s="49">
        <f>IF(ISNUMBER(F4131),E4131*F4131,"")</f>
        <v>103.07499999999999</v>
      </c>
      <c r="H4131" s="35">
        <f>SUM(G4131:G4131)</f>
        <v>103.07499999999999</v>
      </c>
      <c r="I4131" s="36"/>
      <c r="J4131" s="125">
        <v>0</v>
      </c>
    </row>
    <row r="4132" spans="1:10" ht="15.75" hidden="1" thickBot="1" x14ac:dyDescent="0.3">
      <c r="A4132" s="249"/>
      <c r="B4132" s="238"/>
      <c r="C4132" s="155"/>
      <c r="D4132" s="42"/>
      <c r="E4132" s="34"/>
      <c r="F4132" s="49" t="s">
        <v>418</v>
      </c>
      <c r="G4132" s="49" t="str">
        <f>IF(ISNUMBER(F4132),E4132*F4132,"")</f>
        <v/>
      </c>
      <c r="H4132" s="65"/>
      <c r="I4132" s="66"/>
      <c r="J4132" s="125">
        <v>0</v>
      </c>
    </row>
    <row r="4133" spans="1:10" ht="15.75" hidden="1" thickBot="1" x14ac:dyDescent="0.3">
      <c r="A4133" s="234" t="s">
        <v>1090</v>
      </c>
      <c r="B4133" s="237" t="s">
        <v>1843</v>
      </c>
      <c r="C4133" s="160"/>
      <c r="D4133" s="23" t="s">
        <v>70</v>
      </c>
      <c r="E4133" s="24"/>
      <c r="F4133" s="44" t="s">
        <v>418</v>
      </c>
      <c r="G4133" s="25" t="str">
        <f>IF(ISNUMBER(F4133),E4133*F4133,"")</f>
        <v/>
      </c>
      <c r="H4133" s="26"/>
      <c r="I4133" s="27"/>
      <c r="J4133" s="125">
        <v>0</v>
      </c>
    </row>
    <row r="4134" spans="1:10" ht="15.75" hidden="1" thickBot="1" x14ac:dyDescent="0.3">
      <c r="A4134" s="249"/>
      <c r="B4134" s="238"/>
      <c r="C4134" s="151"/>
      <c r="D4134" s="29"/>
      <c r="E4134" s="30"/>
      <c r="F4134" s="49" t="s">
        <v>418</v>
      </c>
      <c r="G4134" s="49" t="str">
        <f>IF(ISNUMBER(F4134),E4134*F4134,"")</f>
        <v/>
      </c>
      <c r="H4134" s="65"/>
      <c r="I4134" s="66"/>
      <c r="J4134" s="125">
        <v>0</v>
      </c>
    </row>
    <row r="4135" spans="1:10" ht="15.75" hidden="1" thickBot="1" x14ac:dyDescent="0.3">
      <c r="A4135" s="249"/>
      <c r="B4135" s="238"/>
      <c r="C4135" s="155" t="s">
        <v>1091</v>
      </c>
      <c r="D4135" s="42" t="s">
        <v>70</v>
      </c>
      <c r="E4135" s="34">
        <v>1.05</v>
      </c>
      <c r="F4135" s="49" t="s">
        <v>418</v>
      </c>
      <c r="G4135" s="49" t="str">
        <f>IF(ISNUMBER(F4135),E4135*F4135,"")</f>
        <v/>
      </c>
      <c r="H4135" s="35">
        <f>SUM(G4135:G4139)</f>
        <v>25.698924999999996</v>
      </c>
      <c r="I4135" s="36"/>
      <c r="J4135" s="125">
        <v>0</v>
      </c>
    </row>
    <row r="4136" spans="1:10" ht="15.75" hidden="1" thickBot="1" x14ac:dyDescent="0.3">
      <c r="A4136" s="249"/>
      <c r="B4136" s="238"/>
      <c r="C4136" s="155" t="s">
        <v>17903</v>
      </c>
      <c r="D4136" s="42" t="s">
        <v>28</v>
      </c>
      <c r="E4136" s="34">
        <v>1.7</v>
      </c>
      <c r="F4136" s="49" t="s">
        <v>418</v>
      </c>
      <c r="G4136" s="49" t="str">
        <f>IF(ISNUMBER(F4136),E4136*F4136,"")</f>
        <v/>
      </c>
      <c r="H4136" s="65"/>
      <c r="I4136" s="66"/>
      <c r="J4136" s="125">
        <v>0</v>
      </c>
    </row>
    <row r="4137" spans="1:10" ht="15.75" hidden="1" thickBot="1" x14ac:dyDescent="0.3">
      <c r="A4137" s="249"/>
      <c r="B4137" s="238"/>
      <c r="C4137" s="155" t="s">
        <v>23483</v>
      </c>
      <c r="D4137" s="155" t="s">
        <v>774</v>
      </c>
      <c r="E4137" s="34">
        <v>0.35</v>
      </c>
      <c r="F4137" s="49">
        <v>43.215499999999999</v>
      </c>
      <c r="G4137" s="49">
        <f>IF(ISNUMBER(F4137),E4137*F4137,"")</f>
        <v>15.125424999999998</v>
      </c>
      <c r="H4137" s="65"/>
      <c r="I4137" s="66"/>
      <c r="J4137" s="125">
        <v>0</v>
      </c>
    </row>
    <row r="4138" spans="1:10" ht="15.75" hidden="1" thickBot="1" x14ac:dyDescent="0.3">
      <c r="A4138" s="249"/>
      <c r="B4138" s="238"/>
      <c r="C4138" s="155" t="s">
        <v>595</v>
      </c>
      <c r="D4138" s="155" t="s">
        <v>587</v>
      </c>
      <c r="E4138" s="34">
        <f>0.15*2</f>
        <v>0.3</v>
      </c>
      <c r="F4138" s="49">
        <v>25.65</v>
      </c>
      <c r="G4138" s="49">
        <f>IF(ISNUMBER(F4138),E4138*F4138,"")</f>
        <v>7.6949999999999994</v>
      </c>
      <c r="H4138" s="65"/>
      <c r="I4138" s="66"/>
      <c r="J4138" s="125">
        <v>0</v>
      </c>
    </row>
    <row r="4139" spans="1:10" ht="15.75" hidden="1" thickBot="1" x14ac:dyDescent="0.3">
      <c r="A4139" s="249"/>
      <c r="B4139" s="238"/>
      <c r="C4139" s="155" t="s">
        <v>588</v>
      </c>
      <c r="D4139" s="155" t="s">
        <v>587</v>
      </c>
      <c r="E4139" s="34">
        <v>0.15</v>
      </c>
      <c r="F4139" s="49">
        <v>19.189999999999998</v>
      </c>
      <c r="G4139" s="49">
        <f>IF(ISNUMBER(F4139),E4139*F4139,"")</f>
        <v>2.8784999999999994</v>
      </c>
      <c r="H4139" s="65"/>
      <c r="I4139" s="66"/>
      <c r="J4139" s="125">
        <v>0</v>
      </c>
    </row>
    <row r="4140" spans="1:10" ht="15.75" hidden="1" thickBot="1" x14ac:dyDescent="0.3">
      <c r="A4140" s="249"/>
      <c r="B4140" s="238"/>
      <c r="C4140" s="164"/>
      <c r="D4140" s="50"/>
      <c r="E4140" s="61"/>
      <c r="F4140" s="68" t="s">
        <v>418</v>
      </c>
      <c r="G4140" s="68" t="str">
        <f>IF(ISNUMBER(F4140),E4140*F4140,"")</f>
        <v/>
      </c>
      <c r="H4140" s="69"/>
      <c r="I4140" s="66"/>
      <c r="J4140" s="125">
        <v>0</v>
      </c>
    </row>
    <row r="4141" spans="1:10" ht="15.75" hidden="1" thickBot="1" x14ac:dyDescent="0.3">
      <c r="A4141" s="234" t="s">
        <v>1092</v>
      </c>
      <c r="B4141" s="237" t="s">
        <v>20923</v>
      </c>
      <c r="C4141" s="160"/>
      <c r="D4141" s="23" t="s">
        <v>69</v>
      </c>
      <c r="E4141" s="24"/>
      <c r="F4141" s="44" t="s">
        <v>418</v>
      </c>
      <c r="G4141" s="25" t="str">
        <f>IF(ISNUMBER(F4141),E4141*F4141,"")</f>
        <v/>
      </c>
      <c r="H4141" s="26"/>
      <c r="I4141" s="27"/>
      <c r="J4141" s="125">
        <v>0</v>
      </c>
    </row>
    <row r="4142" spans="1:10" ht="15.75" hidden="1" thickBot="1" x14ac:dyDescent="0.3">
      <c r="A4142" s="249"/>
      <c r="B4142" s="238"/>
      <c r="C4142" s="151"/>
      <c r="D4142" s="29"/>
      <c r="E4142" s="30"/>
      <c r="F4142" s="49" t="s">
        <v>418</v>
      </c>
      <c r="G4142" s="49" t="str">
        <f>IF(ISNUMBER(F4142),E4142*F4142,"")</f>
        <v/>
      </c>
      <c r="H4142" s="65"/>
      <c r="I4142" s="66"/>
      <c r="J4142" s="125">
        <v>0</v>
      </c>
    </row>
    <row r="4143" spans="1:10" ht="15.75" hidden="1" thickBot="1" x14ac:dyDescent="0.3">
      <c r="A4143" s="249"/>
      <c r="B4143" s="238"/>
      <c r="C4143" s="155" t="s">
        <v>595</v>
      </c>
      <c r="D4143" s="155" t="s">
        <v>587</v>
      </c>
      <c r="E4143" s="34">
        <v>0.35</v>
      </c>
      <c r="F4143" s="49">
        <v>25.65</v>
      </c>
      <c r="G4143" s="49">
        <f>IF(ISNUMBER(F4143),E4143*F4143,"")</f>
        <v>8.9774999999999991</v>
      </c>
      <c r="H4143" s="35">
        <f>SUM(G4143:G4147)</f>
        <v>70.943340000000006</v>
      </c>
      <c r="I4143" s="36"/>
      <c r="J4143" s="125">
        <v>0</v>
      </c>
    </row>
    <row r="4144" spans="1:10" ht="15.75" hidden="1" thickBot="1" x14ac:dyDescent="0.3">
      <c r="A4144" s="249"/>
      <c r="B4144" s="238"/>
      <c r="C4144" s="155" t="s">
        <v>588</v>
      </c>
      <c r="D4144" s="155" t="s">
        <v>587</v>
      </c>
      <c r="E4144" s="34">
        <v>0.35</v>
      </c>
      <c r="F4144" s="49">
        <v>19.189999999999998</v>
      </c>
      <c r="G4144" s="49">
        <f>IF(ISNUMBER(F4144),E4144*F4144,"")</f>
        <v>6.716499999999999</v>
      </c>
      <c r="H4144" s="65"/>
      <c r="I4144" s="66"/>
      <c r="J4144" s="125">
        <v>0</v>
      </c>
    </row>
    <row r="4145" spans="1:10" ht="26.25" hidden="1" thickBot="1" x14ac:dyDescent="0.3">
      <c r="A4145" s="249"/>
      <c r="B4145" s="238"/>
      <c r="C4145" s="155" t="s">
        <v>1093</v>
      </c>
      <c r="D4145" s="155" t="s">
        <v>76</v>
      </c>
      <c r="E4145" s="34">
        <v>0.2</v>
      </c>
      <c r="F4145" s="49">
        <v>178.18199999999999</v>
      </c>
      <c r="G4145" s="49">
        <f>IF(ISNUMBER(F4145),E4145*F4145,"")</f>
        <v>35.636400000000002</v>
      </c>
      <c r="H4145" s="65"/>
      <c r="I4145" s="66"/>
      <c r="J4145" s="125">
        <v>0</v>
      </c>
    </row>
    <row r="4146" spans="1:10" ht="15.75" hidden="1" thickBot="1" x14ac:dyDescent="0.3">
      <c r="A4146" s="249"/>
      <c r="B4146" s="238"/>
      <c r="C4146" s="155" t="s">
        <v>935</v>
      </c>
      <c r="D4146" s="33" t="s">
        <v>69</v>
      </c>
      <c r="E4146" s="34">
        <v>1</v>
      </c>
      <c r="F4146" s="49">
        <v>0.95</v>
      </c>
      <c r="G4146" s="49">
        <f>IF(ISNUMBER(F4146),E4146*F4146,"")</f>
        <v>0.95</v>
      </c>
      <c r="H4146" s="65"/>
      <c r="I4146" s="66"/>
      <c r="J4146" s="125">
        <v>0</v>
      </c>
    </row>
    <row r="4147" spans="1:10" ht="26.25" hidden="1" thickBot="1" x14ac:dyDescent="0.3">
      <c r="A4147" s="249"/>
      <c r="B4147" s="238"/>
      <c r="C4147" s="155" t="s">
        <v>652</v>
      </c>
      <c r="D4147" s="155" t="s">
        <v>774</v>
      </c>
      <c r="E4147" s="34">
        <f>1.8*1*(0.01+0.01)*10</f>
        <v>0.36000000000000004</v>
      </c>
      <c r="F4147" s="49">
        <v>51.841499999999996</v>
      </c>
      <c r="G4147" s="49">
        <f>IF(ISNUMBER(F4147),E4147*F4147,"")</f>
        <v>18.662940000000003</v>
      </c>
      <c r="H4147" s="65"/>
      <c r="I4147" s="66"/>
      <c r="J4147" s="125">
        <v>0</v>
      </c>
    </row>
    <row r="4148" spans="1:10" ht="15.75" hidden="1" thickBot="1" x14ac:dyDescent="0.3">
      <c r="A4148" s="249"/>
      <c r="B4148" s="238"/>
      <c r="C4148" s="155"/>
      <c r="D4148" s="33"/>
      <c r="E4148" s="34"/>
      <c r="F4148" s="49" t="s">
        <v>418</v>
      </c>
      <c r="G4148" s="49"/>
      <c r="H4148" s="65"/>
      <c r="I4148" s="66"/>
      <c r="J4148" s="125">
        <v>0</v>
      </c>
    </row>
    <row r="4149" spans="1:10" ht="15.75" hidden="1" thickBot="1" x14ac:dyDescent="0.3">
      <c r="A4149" s="249"/>
      <c r="B4149" s="238"/>
      <c r="C4149" s="43" t="s">
        <v>11127</v>
      </c>
      <c r="D4149" s="33"/>
      <c r="E4149" s="34"/>
      <c r="F4149" s="49" t="s">
        <v>418</v>
      </c>
      <c r="G4149" s="49"/>
      <c r="H4149" s="65"/>
      <c r="I4149" s="66"/>
      <c r="J4149" s="125">
        <v>0</v>
      </c>
    </row>
    <row r="4150" spans="1:10" ht="15.75" hidden="1" thickBot="1" x14ac:dyDescent="0.3">
      <c r="A4150" s="249"/>
      <c r="B4150" s="238"/>
      <c r="C4150" s="43" t="s">
        <v>11128</v>
      </c>
      <c r="D4150" s="33"/>
      <c r="E4150" s="34"/>
      <c r="F4150" s="49" t="s">
        <v>418</v>
      </c>
      <c r="G4150" s="49"/>
      <c r="H4150" s="65"/>
      <c r="I4150" s="66"/>
      <c r="J4150" s="125">
        <v>0</v>
      </c>
    </row>
    <row r="4151" spans="1:10" ht="15.75" hidden="1" thickBot="1" x14ac:dyDescent="0.3">
      <c r="A4151" s="250"/>
      <c r="B4151" s="239"/>
      <c r="C4151" s="164"/>
      <c r="D4151" s="50"/>
      <c r="E4151" s="61"/>
      <c r="F4151" s="68" t="s">
        <v>418</v>
      </c>
      <c r="G4151" s="68" t="str">
        <f>IF(ISNUMBER(F4151),E4151*F4151,"")</f>
        <v/>
      </c>
      <c r="H4151" s="69"/>
      <c r="I4151" s="66"/>
      <c r="J4151" s="125">
        <v>0</v>
      </c>
    </row>
    <row r="4152" spans="1:10" ht="15.75" hidden="1" thickBot="1" x14ac:dyDescent="0.3">
      <c r="A4152" s="234" t="s">
        <v>1094</v>
      </c>
      <c r="B4152" s="237" t="s">
        <v>1844</v>
      </c>
      <c r="C4152" s="160"/>
      <c r="D4152" s="23" t="s">
        <v>70</v>
      </c>
      <c r="E4152" s="24"/>
      <c r="F4152" s="44" t="s">
        <v>418</v>
      </c>
      <c r="G4152" s="25" t="str">
        <f>IF(ISNUMBER(F4152),E4152*F4152,"")</f>
        <v/>
      </c>
      <c r="H4152" s="26"/>
      <c r="I4152" s="27"/>
      <c r="J4152" s="125">
        <v>0</v>
      </c>
    </row>
    <row r="4153" spans="1:10" ht="15.75" hidden="1" thickBot="1" x14ac:dyDescent="0.3">
      <c r="A4153" s="249"/>
      <c r="B4153" s="238"/>
      <c r="C4153" s="151"/>
      <c r="D4153" s="29"/>
      <c r="E4153" s="30"/>
      <c r="F4153" s="49" t="s">
        <v>418</v>
      </c>
      <c r="G4153" s="49" t="str">
        <f>IF(ISNUMBER(F4153),E4153*F4153,"")</f>
        <v/>
      </c>
      <c r="H4153" s="65"/>
      <c r="I4153" s="66"/>
      <c r="J4153" s="125">
        <v>0</v>
      </c>
    </row>
    <row r="4154" spans="1:10" ht="15.75" hidden="1" thickBot="1" x14ac:dyDescent="0.3">
      <c r="A4154" s="249"/>
      <c r="B4154" s="238"/>
      <c r="C4154" s="155" t="s">
        <v>595</v>
      </c>
      <c r="D4154" s="155" t="s">
        <v>587</v>
      </c>
      <c r="E4154" s="34">
        <v>0.3</v>
      </c>
      <c r="F4154" s="49">
        <v>25.65</v>
      </c>
      <c r="G4154" s="49">
        <f>IF(ISNUMBER(F4154),E4154*F4154,"")</f>
        <v>7.6949999999999994</v>
      </c>
      <c r="H4154" s="35">
        <f>SUM(G4154:G4159)</f>
        <v>18.724499999999999</v>
      </c>
      <c r="I4154" s="36"/>
      <c r="J4154" s="125">
        <v>0</v>
      </c>
    </row>
    <row r="4155" spans="1:10" ht="15.75" hidden="1" thickBot="1" x14ac:dyDescent="0.3">
      <c r="A4155" s="249"/>
      <c r="B4155" s="238"/>
      <c r="C4155" s="155" t="s">
        <v>588</v>
      </c>
      <c r="D4155" s="155" t="s">
        <v>587</v>
      </c>
      <c r="E4155" s="34">
        <f>0.3+0.25</f>
        <v>0.55000000000000004</v>
      </c>
      <c r="F4155" s="49">
        <v>19.189999999999998</v>
      </c>
      <c r="G4155" s="49">
        <f>IF(ISNUMBER(F4155),E4155*F4155,"")</f>
        <v>10.554499999999999</v>
      </c>
      <c r="H4155" s="65"/>
      <c r="I4155" s="66"/>
      <c r="J4155" s="125">
        <v>0</v>
      </c>
    </row>
    <row r="4156" spans="1:10" ht="15.75" hidden="1" thickBot="1" x14ac:dyDescent="0.3">
      <c r="A4156" s="249"/>
      <c r="B4156" s="238"/>
      <c r="C4156" s="155" t="s">
        <v>11121</v>
      </c>
      <c r="D4156" s="33" t="s">
        <v>28</v>
      </c>
      <c r="E4156" s="34">
        <v>5</v>
      </c>
      <c r="F4156" s="49" t="s">
        <v>418</v>
      </c>
      <c r="G4156" s="49" t="str">
        <f>IF(ISNUMBER(F4156),E4156*F4156,"")</f>
        <v/>
      </c>
      <c r="H4156" s="65"/>
      <c r="I4156" s="66"/>
      <c r="J4156" s="125">
        <v>0</v>
      </c>
    </row>
    <row r="4157" spans="1:10" ht="15.75" hidden="1" thickBot="1" x14ac:dyDescent="0.3">
      <c r="A4157" s="249"/>
      <c r="B4157" s="238"/>
      <c r="C4157" s="155" t="s">
        <v>11122</v>
      </c>
      <c r="D4157" s="33" t="s">
        <v>28</v>
      </c>
      <c r="E4157" s="34">
        <v>0.5</v>
      </c>
      <c r="F4157" s="49" t="s">
        <v>418</v>
      </c>
      <c r="G4157" s="49" t="str">
        <f>IF(ISNUMBER(F4157),E4157*F4157,"")</f>
        <v/>
      </c>
      <c r="H4157" s="65"/>
      <c r="I4157" s="66"/>
      <c r="J4157" s="125">
        <v>0</v>
      </c>
    </row>
    <row r="4158" spans="1:10" ht="15.75" hidden="1" thickBot="1" x14ac:dyDescent="0.3">
      <c r="A4158" s="249"/>
      <c r="B4158" s="238"/>
      <c r="C4158" s="155" t="s">
        <v>11123</v>
      </c>
      <c r="D4158" s="33" t="s">
        <v>28</v>
      </c>
      <c r="E4158" s="34">
        <v>0.1</v>
      </c>
      <c r="F4158" s="49" t="s">
        <v>418</v>
      </c>
      <c r="G4158" s="49" t="str">
        <f>IF(ISNUMBER(F4158),E4158*F4158,"")</f>
        <v/>
      </c>
      <c r="H4158" s="65"/>
      <c r="I4158" s="66"/>
      <c r="J4158" s="125">
        <v>0</v>
      </c>
    </row>
    <row r="4159" spans="1:10" ht="15.75" hidden="1" thickBot="1" x14ac:dyDescent="0.3">
      <c r="A4159" s="249"/>
      <c r="B4159" s="238"/>
      <c r="C4159" s="155" t="s">
        <v>1095</v>
      </c>
      <c r="D4159" s="33" t="s">
        <v>205</v>
      </c>
      <c r="E4159" s="34">
        <v>0.5</v>
      </c>
      <c r="F4159" s="49">
        <v>0.95</v>
      </c>
      <c r="G4159" s="49">
        <f>IF(ISNUMBER(F4159),E4159*F4159,"")</f>
        <v>0.47499999999999998</v>
      </c>
      <c r="H4159" s="65"/>
      <c r="I4159" s="66"/>
      <c r="J4159" s="125">
        <v>0</v>
      </c>
    </row>
    <row r="4160" spans="1:10" ht="15.75" hidden="1" thickBot="1" x14ac:dyDescent="0.3">
      <c r="A4160" s="249"/>
      <c r="B4160" s="238"/>
      <c r="C4160" s="155"/>
      <c r="D4160" s="33"/>
      <c r="E4160" s="34"/>
      <c r="F4160" s="49" t="s">
        <v>418</v>
      </c>
      <c r="G4160" s="49" t="str">
        <f>IF(ISNUMBER(F4160),E4160*F4160,"")</f>
        <v/>
      </c>
      <c r="H4160" s="65"/>
      <c r="I4160" s="66"/>
      <c r="J4160" s="125">
        <v>0</v>
      </c>
    </row>
    <row r="4161" spans="1:10" ht="15.75" hidden="1" thickBot="1" x14ac:dyDescent="0.3">
      <c r="A4161" s="249"/>
      <c r="B4161" s="238"/>
      <c r="C4161" s="43" t="s">
        <v>1097</v>
      </c>
      <c r="D4161" s="33"/>
      <c r="E4161" s="34"/>
      <c r="F4161" s="49" t="s">
        <v>418</v>
      </c>
      <c r="G4161" s="49" t="str">
        <f>IF(ISNUMBER(F4161),E4161*F4161,"")</f>
        <v/>
      </c>
      <c r="H4161" s="65"/>
      <c r="I4161" s="66"/>
      <c r="J4161" s="125">
        <v>0</v>
      </c>
    </row>
    <row r="4162" spans="1:10" ht="15.75" hidden="1" thickBot="1" x14ac:dyDescent="0.3">
      <c r="A4162" s="250"/>
      <c r="B4162" s="239"/>
      <c r="C4162" s="164"/>
      <c r="D4162" s="50"/>
      <c r="E4162" s="61"/>
      <c r="F4162" s="49" t="s">
        <v>418</v>
      </c>
      <c r="G4162" s="49" t="str">
        <f>IF(ISNUMBER(F4162),E4162*F4162,"")</f>
        <v/>
      </c>
      <c r="H4162" s="69"/>
      <c r="I4162" s="66"/>
      <c r="J4162" s="125">
        <v>0</v>
      </c>
    </row>
    <row r="4163" spans="1:10" ht="15.75" hidden="1" thickBot="1" x14ac:dyDescent="0.3">
      <c r="A4163" s="234" t="s">
        <v>1098</v>
      </c>
      <c r="B4163" s="237" t="s">
        <v>13481</v>
      </c>
      <c r="C4163" s="160"/>
      <c r="D4163" s="23" t="s">
        <v>70</v>
      </c>
      <c r="E4163" s="24"/>
      <c r="F4163" s="44" t="s">
        <v>418</v>
      </c>
      <c r="G4163" s="25" t="str">
        <f>IF(ISNUMBER(F4163),E4163*F4163,"")</f>
        <v/>
      </c>
      <c r="H4163" s="26"/>
      <c r="I4163" s="27"/>
      <c r="J4163" s="125">
        <v>0</v>
      </c>
    </row>
    <row r="4164" spans="1:10" ht="15.75" hidden="1" thickBot="1" x14ac:dyDescent="0.3">
      <c r="A4164" s="249"/>
      <c r="B4164" s="238"/>
      <c r="C4164" s="151"/>
      <c r="D4164" s="29"/>
      <c r="E4164" s="30"/>
      <c r="F4164" s="49" t="s">
        <v>418</v>
      </c>
      <c r="G4164" s="49" t="str">
        <f>IF(ISNUMBER(F4164),E4164*F4164,"")</f>
        <v/>
      </c>
      <c r="H4164" s="65"/>
      <c r="I4164" s="66"/>
      <c r="J4164" s="125">
        <v>0</v>
      </c>
    </row>
    <row r="4165" spans="1:10" ht="26.25" hidden="1" thickBot="1" x14ac:dyDescent="0.3">
      <c r="A4165" s="249"/>
      <c r="B4165" s="238"/>
      <c r="C4165" s="155" t="s">
        <v>1099</v>
      </c>
      <c r="D4165" s="33" t="s">
        <v>70</v>
      </c>
      <c r="E4165" s="34">
        <v>1</v>
      </c>
      <c r="F4165" s="49">
        <v>0.95</v>
      </c>
      <c r="G4165" s="49">
        <f>IF(ISNUMBER(F4165),E4165*F4165,"")</f>
        <v>0.95</v>
      </c>
      <c r="H4165" s="35">
        <f>SUM(G4165:G4165)</f>
        <v>0.95</v>
      </c>
      <c r="I4165" s="36"/>
      <c r="J4165" s="125">
        <v>0</v>
      </c>
    </row>
    <row r="4166" spans="1:10" ht="15.75" hidden="1" thickBot="1" x14ac:dyDescent="0.3">
      <c r="A4166" s="250"/>
      <c r="B4166" s="239"/>
      <c r="C4166" s="164"/>
      <c r="D4166" s="50"/>
      <c r="E4166" s="61"/>
      <c r="F4166" s="68" t="s">
        <v>418</v>
      </c>
      <c r="G4166" s="68" t="str">
        <f>IF(ISNUMBER(F4166),E4166*F4166,"")</f>
        <v/>
      </c>
      <c r="H4166" s="69"/>
      <c r="I4166" s="66"/>
      <c r="J4166" s="125">
        <v>0</v>
      </c>
    </row>
    <row r="4167" spans="1:10" ht="15.75" hidden="1" thickBot="1" x14ac:dyDescent="0.3">
      <c r="A4167" s="234" t="s">
        <v>1101</v>
      </c>
      <c r="B4167" s="237" t="s">
        <v>13482</v>
      </c>
      <c r="C4167" s="160"/>
      <c r="D4167" s="23" t="s">
        <v>70</v>
      </c>
      <c r="E4167" s="24"/>
      <c r="F4167" s="44" t="s">
        <v>418</v>
      </c>
      <c r="G4167" s="25" t="str">
        <f>IF(ISNUMBER(F4167),E4167*F4167,"")</f>
        <v/>
      </c>
      <c r="H4167" s="26"/>
      <c r="I4167" s="27"/>
      <c r="J4167" s="125">
        <v>0</v>
      </c>
    </row>
    <row r="4168" spans="1:10" ht="15.75" hidden="1" thickBot="1" x14ac:dyDescent="0.3">
      <c r="A4168" s="249"/>
      <c r="B4168" s="238"/>
      <c r="C4168" s="151"/>
      <c r="D4168" s="29"/>
      <c r="E4168" s="30"/>
      <c r="F4168" s="49" t="s">
        <v>418</v>
      </c>
      <c r="G4168" s="49" t="str">
        <f>IF(ISNUMBER(F4168),E4168*F4168,"")</f>
        <v/>
      </c>
      <c r="H4168" s="65"/>
      <c r="I4168" s="66"/>
      <c r="J4168" s="125">
        <v>0</v>
      </c>
    </row>
    <row r="4169" spans="1:10" ht="26.25" hidden="1" thickBot="1" x14ac:dyDescent="0.3">
      <c r="A4169" s="249"/>
      <c r="B4169" s="238"/>
      <c r="C4169" s="155" t="s">
        <v>1102</v>
      </c>
      <c r="D4169" s="155" t="s">
        <v>870</v>
      </c>
      <c r="E4169" s="34">
        <v>1.05</v>
      </c>
      <c r="F4169" s="49">
        <v>71.981499999999997</v>
      </c>
      <c r="G4169" s="49">
        <f>IF(ISNUMBER(F4169),E4169*F4169,"")</f>
        <v>75.580574999999996</v>
      </c>
      <c r="H4169" s="35">
        <f>SUM(G4169:G4172)</f>
        <v>117.20999109999998</v>
      </c>
      <c r="I4169" s="36"/>
      <c r="J4169" s="125">
        <v>0</v>
      </c>
    </row>
    <row r="4170" spans="1:10" ht="15.75" hidden="1" thickBot="1" x14ac:dyDescent="0.3">
      <c r="A4170" s="249"/>
      <c r="B4170" s="238"/>
      <c r="C4170" s="155" t="s">
        <v>1103</v>
      </c>
      <c r="D4170" s="155" t="s">
        <v>774</v>
      </c>
      <c r="E4170" s="34">
        <v>0.57499999999999996</v>
      </c>
      <c r="F4170" s="49">
        <v>39.063999999999993</v>
      </c>
      <c r="G4170" s="49">
        <f>IF(ISNUMBER(F4170),E4170*F4170,"")</f>
        <v>22.461799999999993</v>
      </c>
      <c r="H4170" s="65"/>
      <c r="I4170" s="66"/>
      <c r="J4170" s="125">
        <v>0</v>
      </c>
    </row>
    <row r="4171" spans="1:10" ht="15.75" hidden="1" thickBot="1" x14ac:dyDescent="0.3">
      <c r="A4171" s="249"/>
      <c r="B4171" s="238"/>
      <c r="C4171" s="155" t="s">
        <v>588</v>
      </c>
      <c r="D4171" s="155" t="s">
        <v>587</v>
      </c>
      <c r="E4171" s="34">
        <v>0.2399</v>
      </c>
      <c r="F4171" s="49">
        <v>19.189999999999998</v>
      </c>
      <c r="G4171" s="49">
        <f>IF(ISNUMBER(F4171),E4171*F4171,"")</f>
        <v>4.6036809999999999</v>
      </c>
      <c r="H4171" s="65"/>
      <c r="I4171" s="66"/>
      <c r="J4171" s="125">
        <v>0</v>
      </c>
    </row>
    <row r="4172" spans="1:10" ht="15.75" hidden="1" thickBot="1" x14ac:dyDescent="0.3">
      <c r="A4172" s="249"/>
      <c r="B4172" s="238"/>
      <c r="C4172" s="155" t="s">
        <v>1078</v>
      </c>
      <c r="D4172" s="155" t="s">
        <v>587</v>
      </c>
      <c r="E4172" s="34">
        <v>0.57589999999999997</v>
      </c>
      <c r="F4172" s="49">
        <v>25.289000000000001</v>
      </c>
      <c r="G4172" s="49">
        <f>IF(ISNUMBER(F4172),E4172*F4172,"")</f>
        <v>14.5639351</v>
      </c>
      <c r="H4172" s="65"/>
      <c r="I4172" s="66"/>
      <c r="J4172" s="125">
        <v>0</v>
      </c>
    </row>
    <row r="4173" spans="1:10" ht="15.75" hidden="1" thickBot="1" x14ac:dyDescent="0.3">
      <c r="A4173" s="249"/>
      <c r="B4173" s="238"/>
      <c r="C4173" s="164"/>
      <c r="D4173" s="50"/>
      <c r="E4173" s="61"/>
      <c r="F4173" s="68" t="s">
        <v>418</v>
      </c>
      <c r="G4173" s="68" t="str">
        <f>IF(ISNUMBER(F4173),E4173*F4173,"")</f>
        <v/>
      </c>
      <c r="H4173" s="69"/>
      <c r="I4173" s="66"/>
      <c r="J4173" s="125">
        <v>0</v>
      </c>
    </row>
    <row r="4174" spans="1:10" ht="15.75" hidden="1" thickBot="1" x14ac:dyDescent="0.3">
      <c r="A4174" s="234" t="s">
        <v>1104</v>
      </c>
      <c r="B4174" s="237" t="s">
        <v>20924</v>
      </c>
      <c r="C4174" s="160"/>
      <c r="D4174" s="23" t="s">
        <v>70</v>
      </c>
      <c r="E4174" s="24"/>
      <c r="F4174" s="44" t="s">
        <v>418</v>
      </c>
      <c r="G4174" s="25" t="str">
        <f>IF(ISNUMBER(F4174),E4174*F4174,"")</f>
        <v/>
      </c>
      <c r="H4174" s="26"/>
      <c r="I4174" s="27"/>
      <c r="J4174" s="125">
        <v>0</v>
      </c>
    </row>
    <row r="4175" spans="1:10" ht="15.75" hidden="1" thickBot="1" x14ac:dyDescent="0.3">
      <c r="A4175" s="249"/>
      <c r="B4175" s="238"/>
      <c r="C4175" s="151"/>
      <c r="D4175" s="29"/>
      <c r="E4175" s="30"/>
      <c r="F4175" s="49" t="s">
        <v>418</v>
      </c>
      <c r="G4175" s="49" t="str">
        <f>IF(ISNUMBER(F4175),E4175*F4175,"")</f>
        <v/>
      </c>
      <c r="H4175" s="65"/>
      <c r="I4175" s="66"/>
      <c r="J4175" s="125">
        <v>0</v>
      </c>
    </row>
    <row r="4176" spans="1:10" ht="15.75" hidden="1" thickBot="1" x14ac:dyDescent="0.3">
      <c r="A4176" s="249"/>
      <c r="B4176" s="238"/>
      <c r="C4176" s="155" t="s">
        <v>23483</v>
      </c>
      <c r="D4176" s="155" t="s">
        <v>774</v>
      </c>
      <c r="E4176" s="34">
        <v>0.56369999999999998</v>
      </c>
      <c r="F4176" s="49">
        <v>43.215499999999999</v>
      </c>
      <c r="G4176" s="49">
        <f>IF(ISNUMBER(F4176),E4176*F4176,"")</f>
        <v>24.36057735</v>
      </c>
      <c r="H4176" s="35">
        <f>SUM(G4176:G4179)</f>
        <v>113.90102235000001</v>
      </c>
      <c r="I4176" s="36"/>
      <c r="J4176" s="125">
        <v>0</v>
      </c>
    </row>
    <row r="4177" spans="1:10" ht="26.25" hidden="1" thickBot="1" x14ac:dyDescent="0.3">
      <c r="A4177" s="249"/>
      <c r="B4177" s="238"/>
      <c r="C4177" s="155" t="s">
        <v>10276</v>
      </c>
      <c r="D4177" s="155" t="s">
        <v>870</v>
      </c>
      <c r="E4177" s="34">
        <v>1.06</v>
      </c>
      <c r="F4177" s="49">
        <v>69.122</v>
      </c>
      <c r="G4177" s="49">
        <f>IF(ISNUMBER(F4177),E4177*F4177,"")</f>
        <v>73.269320000000008</v>
      </c>
      <c r="H4177" s="65"/>
      <c r="I4177" s="66"/>
      <c r="J4177" s="125">
        <v>0</v>
      </c>
    </row>
    <row r="4178" spans="1:10" ht="15.75" hidden="1" thickBot="1" x14ac:dyDescent="0.3">
      <c r="A4178" s="249"/>
      <c r="B4178" s="238"/>
      <c r="C4178" s="155" t="s">
        <v>595</v>
      </c>
      <c r="D4178" s="155" t="s">
        <v>587</v>
      </c>
      <c r="E4178" s="34">
        <v>0.48359999999999997</v>
      </c>
      <c r="F4178" s="49">
        <v>25.65</v>
      </c>
      <c r="G4178" s="49">
        <f>IF(ISNUMBER(F4178),E4178*F4178,"")</f>
        <v>12.404339999999999</v>
      </c>
      <c r="H4178" s="65"/>
      <c r="I4178" s="66"/>
      <c r="J4178" s="125">
        <v>0</v>
      </c>
    </row>
    <row r="4179" spans="1:10" ht="15.75" hidden="1" thickBot="1" x14ac:dyDescent="0.3">
      <c r="A4179" s="249"/>
      <c r="B4179" s="238"/>
      <c r="C4179" s="155" t="s">
        <v>588</v>
      </c>
      <c r="D4179" s="155" t="s">
        <v>587</v>
      </c>
      <c r="E4179" s="34">
        <v>0.20150000000000001</v>
      </c>
      <c r="F4179" s="49">
        <v>19.189999999999998</v>
      </c>
      <c r="G4179" s="49">
        <f>IF(ISNUMBER(F4179),E4179*F4179,"")</f>
        <v>3.8667849999999997</v>
      </c>
      <c r="H4179" s="65"/>
      <c r="I4179" s="66"/>
      <c r="J4179" s="125">
        <v>0</v>
      </c>
    </row>
    <row r="4180" spans="1:10" ht="15.75" hidden="1" thickBot="1" x14ac:dyDescent="0.3">
      <c r="A4180" s="249"/>
      <c r="B4180" s="238"/>
      <c r="C4180" s="164"/>
      <c r="D4180" s="50"/>
      <c r="E4180" s="61"/>
      <c r="F4180" s="68" t="s">
        <v>418</v>
      </c>
      <c r="G4180" s="68" t="str">
        <f>IF(ISNUMBER(F4180),E4180*F4180,"")</f>
        <v/>
      </c>
      <c r="H4180" s="69"/>
      <c r="I4180" s="66"/>
      <c r="J4180" s="125">
        <v>0</v>
      </c>
    </row>
    <row r="4181" spans="1:10" ht="15.75" hidden="1" thickBot="1" x14ac:dyDescent="0.3">
      <c r="A4181" s="234" t="s">
        <v>1105</v>
      </c>
      <c r="B4181" s="237" t="s">
        <v>13483</v>
      </c>
      <c r="C4181" s="160"/>
      <c r="D4181" s="23" t="s">
        <v>70</v>
      </c>
      <c r="E4181" s="24"/>
      <c r="F4181" s="44" t="s">
        <v>418</v>
      </c>
      <c r="G4181" s="25" t="str">
        <f>IF(ISNUMBER(F4181),E4181*F4181,"")</f>
        <v/>
      </c>
      <c r="H4181" s="26"/>
      <c r="I4181" s="27"/>
      <c r="J4181" s="125">
        <v>0</v>
      </c>
    </row>
    <row r="4182" spans="1:10" ht="15.75" hidden="1" thickBot="1" x14ac:dyDescent="0.3">
      <c r="A4182" s="249"/>
      <c r="B4182" s="238"/>
      <c r="C4182" s="151"/>
      <c r="D4182" s="29"/>
      <c r="E4182" s="30"/>
      <c r="F4182" s="49" t="s">
        <v>418</v>
      </c>
      <c r="G4182" s="49" t="str">
        <f>IF(ISNUMBER(F4182),E4182*F4182,"")</f>
        <v/>
      </c>
      <c r="H4182" s="65"/>
      <c r="I4182" s="66"/>
      <c r="J4182" s="125">
        <v>0</v>
      </c>
    </row>
    <row r="4183" spans="1:10" ht="26.25" hidden="1" thickBot="1" x14ac:dyDescent="0.3">
      <c r="A4183" s="249"/>
      <c r="B4183" s="238"/>
      <c r="C4183" s="155" t="s">
        <v>1106</v>
      </c>
      <c r="D4183" s="42" t="s">
        <v>870</v>
      </c>
      <c r="E4183" s="34">
        <v>1.05</v>
      </c>
      <c r="F4183" s="49" t="s">
        <v>418</v>
      </c>
      <c r="G4183" s="49" t="str">
        <f>IF(ISNUMBER(F4183),E4183*F4183,"")</f>
        <v/>
      </c>
      <c r="H4183" s="35">
        <f>SUM(G4183:G4185)</f>
        <v>14.798435569999999</v>
      </c>
      <c r="I4183" s="36"/>
      <c r="J4183" s="125">
        <v>0</v>
      </c>
    </row>
    <row r="4184" spans="1:10" ht="15.75" hidden="1" thickBot="1" x14ac:dyDescent="0.3">
      <c r="A4184" s="249"/>
      <c r="B4184" s="238"/>
      <c r="C4184" s="155" t="s">
        <v>588</v>
      </c>
      <c r="D4184" s="155" t="s">
        <v>587</v>
      </c>
      <c r="E4184" s="34">
        <v>0.2399</v>
      </c>
      <c r="F4184" s="49">
        <v>19.189999999999998</v>
      </c>
      <c r="G4184" s="49">
        <f>IF(ISNUMBER(F4184),E4184*F4184,"")</f>
        <v>4.6036809999999999</v>
      </c>
      <c r="H4184" s="65"/>
      <c r="I4184" s="66"/>
      <c r="J4184" s="125">
        <v>0</v>
      </c>
    </row>
    <row r="4185" spans="1:10" ht="15.75" hidden="1" thickBot="1" x14ac:dyDescent="0.3">
      <c r="A4185" s="249"/>
      <c r="B4185" s="238"/>
      <c r="C4185" s="155" t="s">
        <v>1078</v>
      </c>
      <c r="D4185" s="155" t="s">
        <v>587</v>
      </c>
      <c r="E4185" s="34">
        <f>0.5759*0.7</f>
        <v>0.40312999999999993</v>
      </c>
      <c r="F4185" s="49">
        <v>25.289000000000001</v>
      </c>
      <c r="G4185" s="49">
        <f>IF(ISNUMBER(F4185),E4185*F4185,"")</f>
        <v>10.194754569999999</v>
      </c>
      <c r="H4185" s="65"/>
      <c r="I4185" s="66"/>
      <c r="J4185" s="125">
        <v>0</v>
      </c>
    </row>
    <row r="4186" spans="1:10" ht="15.75" hidden="1" thickBot="1" x14ac:dyDescent="0.3">
      <c r="A4186" s="249"/>
      <c r="B4186" s="238"/>
      <c r="C4186" s="164"/>
      <c r="D4186" s="50"/>
      <c r="E4186" s="61"/>
      <c r="F4186" s="68" t="s">
        <v>418</v>
      </c>
      <c r="G4186" s="68" t="str">
        <f>IF(ISNUMBER(F4186),E4186*F4186,"")</f>
        <v/>
      </c>
      <c r="H4186" s="69"/>
      <c r="I4186" s="66"/>
      <c r="J4186" s="125">
        <v>0</v>
      </c>
    </row>
    <row r="4187" spans="1:10" ht="15.75" hidden="1" thickBot="1" x14ac:dyDescent="0.3">
      <c r="A4187" s="234" t="s">
        <v>1107</v>
      </c>
      <c r="B4187" s="237" t="s">
        <v>13484</v>
      </c>
      <c r="C4187" s="160"/>
      <c r="D4187" s="23" t="s">
        <v>70</v>
      </c>
      <c r="E4187" s="24"/>
      <c r="F4187" s="44" t="s">
        <v>418</v>
      </c>
      <c r="G4187" s="25" t="str">
        <f>IF(ISNUMBER(F4187),E4187*F4187,"")</f>
        <v/>
      </c>
      <c r="H4187" s="26"/>
      <c r="I4187" s="27"/>
      <c r="J4187" s="125">
        <v>0</v>
      </c>
    </row>
    <row r="4188" spans="1:10" ht="15.75" hidden="1" thickBot="1" x14ac:dyDescent="0.3">
      <c r="A4188" s="249"/>
      <c r="B4188" s="238"/>
      <c r="C4188" s="151"/>
      <c r="D4188" s="29"/>
      <c r="E4188" s="30"/>
      <c r="F4188" s="49" t="s">
        <v>418</v>
      </c>
      <c r="G4188" s="49" t="str">
        <f>IF(ISNUMBER(F4188),E4188*F4188,"")</f>
        <v/>
      </c>
      <c r="H4188" s="65"/>
      <c r="I4188" s="66"/>
      <c r="J4188" s="125">
        <v>0</v>
      </c>
    </row>
    <row r="4189" spans="1:10" ht="26.25" hidden="1" thickBot="1" x14ac:dyDescent="0.3">
      <c r="A4189" s="249"/>
      <c r="B4189" s="238"/>
      <c r="C4189" s="155" t="s">
        <v>1108</v>
      </c>
      <c r="D4189" s="33" t="s">
        <v>70</v>
      </c>
      <c r="E4189" s="34">
        <v>1.05</v>
      </c>
      <c r="F4189" s="49" t="s">
        <v>418</v>
      </c>
      <c r="G4189" s="49" t="str">
        <f>IF(ISNUMBER(F4189),E4189*F4189,"")</f>
        <v/>
      </c>
      <c r="H4189" s="35">
        <f>SUM(G4189:G4191)</f>
        <v>11.139984999999999</v>
      </c>
      <c r="I4189" s="36"/>
      <c r="J4189" s="125">
        <v>0</v>
      </c>
    </row>
    <row r="4190" spans="1:10" ht="15.75" hidden="1" thickBot="1" x14ac:dyDescent="0.3">
      <c r="A4190" s="249"/>
      <c r="B4190" s="238"/>
      <c r="C4190" s="155" t="s">
        <v>1078</v>
      </c>
      <c r="D4190" s="155" t="s">
        <v>587</v>
      </c>
      <c r="E4190" s="34">
        <v>0.15</v>
      </c>
      <c r="F4190" s="49">
        <v>25.289000000000001</v>
      </c>
      <c r="G4190" s="49">
        <f>IF(ISNUMBER(F4190),E4190*F4190,"")</f>
        <v>3.7933500000000002</v>
      </c>
      <c r="H4190" s="65"/>
      <c r="I4190" s="66"/>
      <c r="J4190" s="125">
        <v>0</v>
      </c>
    </row>
    <row r="4191" spans="1:10" ht="15.75" hidden="1" thickBot="1" x14ac:dyDescent="0.3">
      <c r="A4191" s="249"/>
      <c r="B4191" s="238"/>
      <c r="C4191" s="155" t="s">
        <v>23483</v>
      </c>
      <c r="D4191" s="155" t="s">
        <v>774</v>
      </c>
      <c r="E4191" s="34">
        <v>0.17</v>
      </c>
      <c r="F4191" s="49">
        <v>43.215499999999999</v>
      </c>
      <c r="G4191" s="49">
        <f>IF(ISNUMBER(F4191),E4191*F4191,"")</f>
        <v>7.346635</v>
      </c>
      <c r="H4191" s="65"/>
      <c r="I4191" s="66"/>
      <c r="J4191" s="125">
        <v>0</v>
      </c>
    </row>
    <row r="4192" spans="1:10" ht="15.75" hidden="1" thickBot="1" x14ac:dyDescent="0.3">
      <c r="A4192" s="249"/>
      <c r="B4192" s="238"/>
      <c r="C4192" s="164"/>
      <c r="D4192" s="50"/>
      <c r="E4192" s="61"/>
      <c r="F4192" s="68" t="s">
        <v>418</v>
      </c>
      <c r="G4192" s="68" t="str">
        <f>IF(ISNUMBER(F4192),E4192*F4192,"")</f>
        <v/>
      </c>
      <c r="H4192" s="69"/>
      <c r="I4192" s="66"/>
      <c r="J4192" s="125">
        <v>0</v>
      </c>
    </row>
    <row r="4193" spans="1:10" ht="15.75" hidden="1" thickBot="1" x14ac:dyDescent="0.3">
      <c r="A4193" s="234" t="s">
        <v>1109</v>
      </c>
      <c r="B4193" s="237" t="s">
        <v>13485</v>
      </c>
      <c r="C4193" s="160"/>
      <c r="D4193" s="23" t="s">
        <v>70</v>
      </c>
      <c r="E4193" s="24"/>
      <c r="F4193" s="44" t="s">
        <v>418</v>
      </c>
      <c r="G4193" s="25" t="str">
        <f>IF(ISNUMBER(F4193),E4193*F4193,"")</f>
        <v/>
      </c>
      <c r="H4193" s="26"/>
      <c r="I4193" s="27"/>
      <c r="J4193" s="125">
        <v>0</v>
      </c>
    </row>
    <row r="4194" spans="1:10" ht="15.75" hidden="1" thickBot="1" x14ac:dyDescent="0.3">
      <c r="A4194" s="249"/>
      <c r="B4194" s="238"/>
      <c r="C4194" s="151"/>
      <c r="D4194" s="29"/>
      <c r="E4194" s="30"/>
      <c r="F4194" s="49" t="s">
        <v>418</v>
      </c>
      <c r="G4194" s="49" t="str">
        <f>IF(ISNUMBER(F4194),E4194*F4194,"")</f>
        <v/>
      </c>
      <c r="H4194" s="65"/>
      <c r="I4194" s="66"/>
      <c r="J4194" s="125">
        <v>0</v>
      </c>
    </row>
    <row r="4195" spans="1:10" ht="26.25" hidden="1" thickBot="1" x14ac:dyDescent="0.3">
      <c r="A4195" s="249"/>
      <c r="B4195" s="238"/>
      <c r="C4195" s="155" t="s">
        <v>1110</v>
      </c>
      <c r="D4195" s="33" t="s">
        <v>70</v>
      </c>
      <c r="E4195" s="34">
        <v>1.05</v>
      </c>
      <c r="F4195" s="49" t="s">
        <v>418</v>
      </c>
      <c r="G4195" s="49" t="str">
        <f>IF(ISNUMBER(F4195),E4195*F4195,"")</f>
        <v/>
      </c>
      <c r="H4195" s="35">
        <f>SUM(G4195:G4197)</f>
        <v>11.139984999999999</v>
      </c>
      <c r="I4195" s="36"/>
      <c r="J4195" s="125">
        <v>0</v>
      </c>
    </row>
    <row r="4196" spans="1:10" ht="15.75" hidden="1" thickBot="1" x14ac:dyDescent="0.3">
      <c r="A4196" s="249"/>
      <c r="B4196" s="238"/>
      <c r="C4196" s="155" t="s">
        <v>1078</v>
      </c>
      <c r="D4196" s="155" t="s">
        <v>587</v>
      </c>
      <c r="E4196" s="34">
        <v>0.15</v>
      </c>
      <c r="F4196" s="49">
        <v>25.289000000000001</v>
      </c>
      <c r="G4196" s="49">
        <f>IF(ISNUMBER(F4196),E4196*F4196,"")</f>
        <v>3.7933500000000002</v>
      </c>
      <c r="H4196" s="65"/>
      <c r="I4196" s="66"/>
      <c r="J4196" s="125">
        <v>0</v>
      </c>
    </row>
    <row r="4197" spans="1:10" ht="15.75" hidden="1" thickBot="1" x14ac:dyDescent="0.3">
      <c r="A4197" s="249"/>
      <c r="B4197" s="238"/>
      <c r="C4197" s="155" t="s">
        <v>23483</v>
      </c>
      <c r="D4197" s="155" t="s">
        <v>774</v>
      </c>
      <c r="E4197" s="34">
        <v>0.17</v>
      </c>
      <c r="F4197" s="49">
        <v>43.215499999999999</v>
      </c>
      <c r="G4197" s="49">
        <f>IF(ISNUMBER(F4197),E4197*F4197,"")</f>
        <v>7.346635</v>
      </c>
      <c r="H4197" s="65"/>
      <c r="I4197" s="66"/>
      <c r="J4197" s="125">
        <v>0</v>
      </c>
    </row>
    <row r="4198" spans="1:10" ht="15.75" hidden="1" thickBot="1" x14ac:dyDescent="0.3">
      <c r="A4198" s="249"/>
      <c r="B4198" s="238"/>
      <c r="C4198" s="164"/>
      <c r="D4198" s="50"/>
      <c r="E4198" s="61"/>
      <c r="F4198" s="68" t="s">
        <v>418</v>
      </c>
      <c r="G4198" s="68" t="str">
        <f>IF(ISNUMBER(F4198),E4198*F4198,"")</f>
        <v/>
      </c>
      <c r="H4198" s="69"/>
      <c r="I4198" s="66"/>
      <c r="J4198" s="125">
        <v>0</v>
      </c>
    </row>
    <row r="4199" spans="1:10" ht="15.75" hidden="1" thickBot="1" x14ac:dyDescent="0.3">
      <c r="A4199" s="234" t="s">
        <v>1111</v>
      </c>
      <c r="B4199" s="237" t="s">
        <v>1845</v>
      </c>
      <c r="C4199" s="160"/>
      <c r="D4199" s="23" t="s">
        <v>70</v>
      </c>
      <c r="E4199" s="24"/>
      <c r="F4199" s="44" t="s">
        <v>418</v>
      </c>
      <c r="G4199" s="25" t="str">
        <f>IF(ISNUMBER(F4199),E4199*F4199,"")</f>
        <v/>
      </c>
      <c r="H4199" s="26"/>
      <c r="I4199" s="27"/>
      <c r="J4199" s="125">
        <v>0</v>
      </c>
    </row>
    <row r="4200" spans="1:10" ht="15.75" hidden="1" thickBot="1" x14ac:dyDescent="0.3">
      <c r="A4200" s="249"/>
      <c r="B4200" s="238"/>
      <c r="C4200" s="151"/>
      <c r="D4200" s="29"/>
      <c r="E4200" s="30"/>
      <c r="F4200" s="49" t="s">
        <v>418</v>
      </c>
      <c r="G4200" s="49" t="str">
        <f>IF(ISNUMBER(F4200),E4200*F4200,"")</f>
        <v/>
      </c>
      <c r="H4200" s="65"/>
      <c r="I4200" s="66"/>
      <c r="J4200" s="125">
        <v>0</v>
      </c>
    </row>
    <row r="4201" spans="1:10" ht="15.75" hidden="1" thickBot="1" x14ac:dyDescent="0.3">
      <c r="A4201" s="249"/>
      <c r="B4201" s="238"/>
      <c r="C4201" s="155" t="s">
        <v>1112</v>
      </c>
      <c r="D4201" s="155" t="s">
        <v>774</v>
      </c>
      <c r="E4201" s="34">
        <v>2.1700000000000001E-2</v>
      </c>
      <c r="F4201" s="49">
        <v>37.667499999999997</v>
      </c>
      <c r="G4201" s="49">
        <f>IF(ISNUMBER(F4201),E4201*F4201,"")</f>
        <v>0.81738474999999999</v>
      </c>
      <c r="H4201" s="35">
        <f>SUM(G4201:G4207)</f>
        <v>55.712465949999995</v>
      </c>
      <c r="I4201" s="36"/>
      <c r="J4201" s="125">
        <v>0</v>
      </c>
    </row>
    <row r="4202" spans="1:10" ht="26.25" hidden="1" thickBot="1" x14ac:dyDescent="0.3">
      <c r="A4202" s="249"/>
      <c r="B4202" s="238"/>
      <c r="C4202" s="155" t="s">
        <v>11615</v>
      </c>
      <c r="D4202" s="155" t="s">
        <v>774</v>
      </c>
      <c r="E4202" s="34">
        <v>1.8127</v>
      </c>
      <c r="F4202" s="49">
        <v>1.2825</v>
      </c>
      <c r="G4202" s="49">
        <f>IF(ISNUMBER(F4202),E4202*F4202,"")</f>
        <v>2.32478775</v>
      </c>
      <c r="H4202" s="65"/>
      <c r="I4202" s="66"/>
      <c r="J4202" s="125">
        <v>0</v>
      </c>
    </row>
    <row r="4203" spans="1:10" ht="26.25" hidden="1" thickBot="1" x14ac:dyDescent="0.3">
      <c r="A4203" s="249"/>
      <c r="B4203" s="238"/>
      <c r="C4203" s="155" t="s">
        <v>11620</v>
      </c>
      <c r="D4203" s="155" t="s">
        <v>870</v>
      </c>
      <c r="E4203" s="34">
        <v>1.0414000000000001</v>
      </c>
      <c r="F4203" s="49">
        <v>17.954999999999998</v>
      </c>
      <c r="G4203" s="49">
        <f>IF(ISNUMBER(F4203),E4203*F4203,"")</f>
        <v>18.698336999999999</v>
      </c>
      <c r="H4203" s="65"/>
      <c r="I4203" s="66"/>
      <c r="J4203" s="125">
        <v>0</v>
      </c>
    </row>
    <row r="4204" spans="1:10" ht="15.75" hidden="1" thickBot="1" x14ac:dyDescent="0.3">
      <c r="A4204" s="249"/>
      <c r="B4204" s="238"/>
      <c r="C4204" s="155" t="s">
        <v>27389</v>
      </c>
      <c r="D4204" s="155" t="s">
        <v>774</v>
      </c>
      <c r="E4204" s="34">
        <v>7.7999999999999996E-3</v>
      </c>
      <c r="F4204" s="49">
        <v>23.047000000000001</v>
      </c>
      <c r="G4204" s="49">
        <f>IF(ISNUMBER(F4204),E4204*F4204,"")</f>
        <v>0.1797666</v>
      </c>
      <c r="H4204" s="65"/>
      <c r="I4204" s="66"/>
      <c r="J4204" s="125">
        <v>0</v>
      </c>
    </row>
    <row r="4205" spans="1:10" ht="26.25" hidden="1" thickBot="1" x14ac:dyDescent="0.3">
      <c r="A4205" s="249"/>
      <c r="B4205" s="238"/>
      <c r="C4205" s="155" t="s">
        <v>193</v>
      </c>
      <c r="D4205" s="155" t="s">
        <v>1113</v>
      </c>
      <c r="E4205" s="34">
        <v>2.93E-2</v>
      </c>
      <c r="F4205" s="49">
        <v>29.981999999999996</v>
      </c>
      <c r="G4205" s="49">
        <f>IF(ISNUMBER(F4205),E4205*F4205,"")</f>
        <v>0.87847259999999983</v>
      </c>
      <c r="H4205" s="65"/>
      <c r="I4205" s="66"/>
      <c r="J4205" s="125">
        <v>0</v>
      </c>
    </row>
    <row r="4206" spans="1:10" ht="15.75" hidden="1" thickBot="1" x14ac:dyDescent="0.3">
      <c r="A4206" s="249"/>
      <c r="B4206" s="238"/>
      <c r="C4206" s="155" t="s">
        <v>1114</v>
      </c>
      <c r="D4206" s="155" t="s">
        <v>587</v>
      </c>
      <c r="E4206" s="34">
        <v>0.9123</v>
      </c>
      <c r="F4206" s="49">
        <v>24.9375</v>
      </c>
      <c r="G4206" s="49">
        <f>IF(ISNUMBER(F4206),E4206*F4206,"")</f>
        <v>22.75048125</v>
      </c>
      <c r="H4206" s="65"/>
      <c r="I4206" s="66"/>
      <c r="J4206" s="125">
        <v>0</v>
      </c>
    </row>
    <row r="4207" spans="1:10" ht="15.75" hidden="1" thickBot="1" x14ac:dyDescent="0.3">
      <c r="A4207" s="249"/>
      <c r="B4207" s="238"/>
      <c r="C4207" s="155" t="s">
        <v>588</v>
      </c>
      <c r="D4207" s="155" t="s">
        <v>587</v>
      </c>
      <c r="E4207" s="34">
        <v>0.52439999999999998</v>
      </c>
      <c r="F4207" s="49">
        <v>19.189999999999998</v>
      </c>
      <c r="G4207" s="49">
        <f>IF(ISNUMBER(F4207),E4207*F4207,"")</f>
        <v>10.063235999999998</v>
      </c>
      <c r="H4207" s="65"/>
      <c r="I4207" s="66"/>
      <c r="J4207" s="125">
        <v>0</v>
      </c>
    </row>
    <row r="4208" spans="1:10" ht="15.75" hidden="1" thickBot="1" x14ac:dyDescent="0.3">
      <c r="A4208" s="249"/>
      <c r="B4208" s="238"/>
      <c r="C4208" s="164"/>
      <c r="D4208" s="50"/>
      <c r="E4208" s="61"/>
      <c r="F4208" s="68" t="s">
        <v>418</v>
      </c>
      <c r="G4208" s="68" t="str">
        <f>IF(ISNUMBER(F4208),E4208*F4208,"")</f>
        <v/>
      </c>
      <c r="H4208" s="69"/>
      <c r="I4208" s="66"/>
      <c r="J4208" s="125">
        <v>0</v>
      </c>
    </row>
    <row r="4209" spans="1:10" ht="15.75" hidden="1" thickBot="1" x14ac:dyDescent="0.3">
      <c r="A4209" s="234" t="s">
        <v>1115</v>
      </c>
      <c r="B4209" s="237" t="s">
        <v>13486</v>
      </c>
      <c r="C4209" s="160"/>
      <c r="D4209" s="23" t="s">
        <v>70</v>
      </c>
      <c r="E4209" s="24"/>
      <c r="F4209" s="44" t="s">
        <v>418</v>
      </c>
      <c r="G4209" s="25" t="str">
        <f>IF(ISNUMBER(F4209),E4209*F4209,"")</f>
        <v/>
      </c>
      <c r="H4209" s="26"/>
      <c r="I4209" s="27"/>
      <c r="J4209" s="125">
        <v>0</v>
      </c>
    </row>
    <row r="4210" spans="1:10" ht="15.75" hidden="1" thickBot="1" x14ac:dyDescent="0.3">
      <c r="A4210" s="249"/>
      <c r="B4210" s="238"/>
      <c r="C4210" s="151"/>
      <c r="D4210" s="29"/>
      <c r="E4210" s="30"/>
      <c r="F4210" s="49" t="s">
        <v>418</v>
      </c>
      <c r="G4210" s="49" t="str">
        <f>IF(ISNUMBER(F4210),E4210*F4210,"")</f>
        <v/>
      </c>
      <c r="H4210" s="65"/>
      <c r="I4210" s="66"/>
      <c r="J4210" s="125">
        <v>0</v>
      </c>
    </row>
    <row r="4211" spans="1:10" ht="26.25" hidden="1" thickBot="1" x14ac:dyDescent="0.3">
      <c r="A4211" s="249"/>
      <c r="B4211" s="238"/>
      <c r="C4211" s="155" t="s">
        <v>26454</v>
      </c>
      <c r="D4211" s="155" t="s">
        <v>774</v>
      </c>
      <c r="E4211" s="34">
        <v>1.1073999999999999</v>
      </c>
      <c r="F4211" s="49">
        <v>7.5904999999999996</v>
      </c>
      <c r="G4211" s="49">
        <f>IF(ISNUMBER(F4211),E4211*F4211,"")</f>
        <v>8.4057196999999988</v>
      </c>
      <c r="H4211" s="35">
        <f>SUM(G4211:G4213)</f>
        <v>13.521888649999998</v>
      </c>
      <c r="I4211" s="36"/>
      <c r="J4211" s="125">
        <v>0</v>
      </c>
    </row>
    <row r="4212" spans="1:10" ht="15.75" hidden="1" thickBot="1" x14ac:dyDescent="0.3">
      <c r="A4212" s="249"/>
      <c r="B4212" s="238"/>
      <c r="C4212" s="155" t="s">
        <v>962</v>
      </c>
      <c r="D4212" s="155" t="s">
        <v>587</v>
      </c>
      <c r="E4212" s="34">
        <v>0.15409999999999999</v>
      </c>
      <c r="F4212" s="49">
        <v>26.799499999999998</v>
      </c>
      <c r="G4212" s="49">
        <f>IF(ISNUMBER(F4212),E4212*F4212,"")</f>
        <v>4.1298029499999993</v>
      </c>
      <c r="H4212" s="65"/>
      <c r="I4212" s="66"/>
      <c r="J4212" s="125">
        <v>0</v>
      </c>
    </row>
    <row r="4213" spans="1:10" ht="15.75" hidden="1" thickBot="1" x14ac:dyDescent="0.3">
      <c r="A4213" s="249"/>
      <c r="B4213" s="238"/>
      <c r="C4213" s="155" t="s">
        <v>588</v>
      </c>
      <c r="D4213" s="155" t="s">
        <v>587</v>
      </c>
      <c r="E4213" s="34">
        <v>5.1400000000000001E-2</v>
      </c>
      <c r="F4213" s="49">
        <v>19.189999999999998</v>
      </c>
      <c r="G4213" s="49">
        <f>IF(ISNUMBER(F4213),E4213*F4213,"")</f>
        <v>0.98636599999999985</v>
      </c>
      <c r="H4213" s="65"/>
      <c r="I4213" s="66"/>
      <c r="J4213" s="125">
        <v>0</v>
      </c>
    </row>
    <row r="4214" spans="1:10" ht="15.75" hidden="1" thickBot="1" x14ac:dyDescent="0.3">
      <c r="A4214" s="249"/>
      <c r="B4214" s="238"/>
      <c r="C4214" s="164"/>
      <c r="D4214" s="50"/>
      <c r="E4214" s="61"/>
      <c r="F4214" s="68" t="s">
        <v>418</v>
      </c>
      <c r="G4214" s="68" t="str">
        <f>IF(ISNUMBER(F4214),E4214*F4214,"")</f>
        <v/>
      </c>
      <c r="H4214" s="69"/>
      <c r="I4214" s="66"/>
      <c r="J4214" s="125">
        <v>0</v>
      </c>
    </row>
    <row r="4215" spans="1:10" ht="15.75" hidden="1" thickBot="1" x14ac:dyDescent="0.3">
      <c r="A4215" s="234" t="s">
        <v>1116</v>
      </c>
      <c r="B4215" s="237" t="s">
        <v>13487</v>
      </c>
      <c r="C4215" s="160"/>
      <c r="D4215" s="23" t="s">
        <v>70</v>
      </c>
      <c r="E4215" s="24"/>
      <c r="F4215" s="44" t="s">
        <v>418</v>
      </c>
      <c r="G4215" s="25" t="str">
        <f>IF(ISNUMBER(F4215),E4215*F4215,"")</f>
        <v/>
      </c>
      <c r="H4215" s="26"/>
      <c r="I4215" s="27"/>
      <c r="J4215" s="125">
        <v>0</v>
      </c>
    </row>
    <row r="4216" spans="1:10" ht="15.75" hidden="1" thickBot="1" x14ac:dyDescent="0.3">
      <c r="A4216" s="249"/>
      <c r="B4216" s="238"/>
      <c r="C4216" s="151"/>
      <c r="D4216" s="29"/>
      <c r="E4216" s="30"/>
      <c r="F4216" s="49" t="s">
        <v>418</v>
      </c>
      <c r="G4216" s="49" t="str">
        <f>IF(ISNUMBER(F4216),E4216*F4216,"")</f>
        <v/>
      </c>
      <c r="H4216" s="65"/>
      <c r="I4216" s="66"/>
      <c r="J4216" s="125">
        <v>0</v>
      </c>
    </row>
    <row r="4217" spans="1:10" ht="15.75" hidden="1" thickBot="1" x14ac:dyDescent="0.3">
      <c r="A4217" s="249"/>
      <c r="B4217" s="238"/>
      <c r="C4217" s="155" t="s">
        <v>27846</v>
      </c>
      <c r="D4217" s="155" t="s">
        <v>76</v>
      </c>
      <c r="E4217" s="34">
        <f>ROUND(0.2285*1.15,4)</f>
        <v>0.26279999999999998</v>
      </c>
      <c r="F4217" s="49">
        <v>31.8155</v>
      </c>
      <c r="G4217" s="49">
        <f>IF(ISNUMBER(F4217),E4217*F4217,"")</f>
        <v>8.3611133999999989</v>
      </c>
      <c r="H4217" s="35">
        <f>SUM(G4217:G4219)</f>
        <v>13.776047849999999</v>
      </c>
      <c r="I4217" s="36"/>
      <c r="J4217" s="125">
        <v>0</v>
      </c>
    </row>
    <row r="4218" spans="1:10" ht="15.75" hidden="1" thickBot="1" x14ac:dyDescent="0.3">
      <c r="A4218" s="249"/>
      <c r="B4218" s="238"/>
      <c r="C4218" s="155" t="s">
        <v>962</v>
      </c>
      <c r="D4218" s="155" t="s">
        <v>587</v>
      </c>
      <c r="E4218" s="34">
        <v>0.16309999999999999</v>
      </c>
      <c r="F4218" s="49">
        <v>26.799499999999998</v>
      </c>
      <c r="G4218" s="49">
        <f>IF(ISNUMBER(F4218),E4218*F4218,"")</f>
        <v>4.3709984499999992</v>
      </c>
      <c r="H4218" s="65"/>
      <c r="I4218" s="66"/>
      <c r="J4218" s="125">
        <v>0</v>
      </c>
    </row>
    <row r="4219" spans="1:10" ht="15.75" hidden="1" thickBot="1" x14ac:dyDescent="0.3">
      <c r="A4219" s="249"/>
      <c r="B4219" s="238"/>
      <c r="C4219" s="155" t="s">
        <v>588</v>
      </c>
      <c r="D4219" s="155" t="s">
        <v>587</v>
      </c>
      <c r="E4219" s="34">
        <v>5.4399999999999997E-2</v>
      </c>
      <c r="F4219" s="49">
        <v>19.189999999999998</v>
      </c>
      <c r="G4219" s="49">
        <f>IF(ISNUMBER(F4219),E4219*F4219,"")</f>
        <v>1.0439359999999998</v>
      </c>
      <c r="H4219" s="65"/>
      <c r="I4219" s="66"/>
      <c r="J4219" s="125">
        <v>0</v>
      </c>
    </row>
    <row r="4220" spans="1:10" ht="15.75" hidden="1" thickBot="1" x14ac:dyDescent="0.3">
      <c r="A4220" s="249"/>
      <c r="B4220" s="238"/>
      <c r="C4220" s="155"/>
      <c r="D4220" s="33"/>
      <c r="E4220" s="34"/>
      <c r="F4220" s="49" t="s">
        <v>418</v>
      </c>
      <c r="G4220" s="49" t="str">
        <f>IF(ISNUMBER(F4220),E4220*F4220,"")</f>
        <v/>
      </c>
      <c r="H4220" s="65"/>
      <c r="I4220" s="66"/>
      <c r="J4220" s="125">
        <v>0</v>
      </c>
    </row>
    <row r="4221" spans="1:10" ht="26.25" hidden="1" thickBot="1" x14ac:dyDescent="0.3">
      <c r="A4221" s="249"/>
      <c r="B4221" s="238"/>
      <c r="C4221" s="155" t="s">
        <v>1117</v>
      </c>
      <c r="D4221" s="33"/>
      <c r="E4221" s="34"/>
      <c r="F4221" s="49" t="s">
        <v>418</v>
      </c>
      <c r="G4221" s="49" t="str">
        <f>IF(ISNUMBER(F4221),E4221*F4221,"")</f>
        <v/>
      </c>
      <c r="H4221" s="65"/>
      <c r="I4221" s="66"/>
      <c r="J4221" s="125">
        <v>0</v>
      </c>
    </row>
    <row r="4222" spans="1:10" ht="15.75" hidden="1" thickBot="1" x14ac:dyDescent="0.3">
      <c r="A4222" s="249"/>
      <c r="B4222" s="238"/>
      <c r="C4222" s="164"/>
      <c r="D4222" s="50"/>
      <c r="E4222" s="61"/>
      <c r="F4222" s="68" t="s">
        <v>418</v>
      </c>
      <c r="G4222" s="68" t="str">
        <f>IF(ISNUMBER(F4222),E4222*F4222,"")</f>
        <v/>
      </c>
      <c r="H4222" s="69"/>
      <c r="I4222" s="66"/>
      <c r="J4222" s="125">
        <v>0</v>
      </c>
    </row>
    <row r="4223" spans="1:10" ht="15.75" hidden="1" thickBot="1" x14ac:dyDescent="0.3">
      <c r="A4223" s="234" t="s">
        <v>1118</v>
      </c>
      <c r="B4223" s="237" t="s">
        <v>20925</v>
      </c>
      <c r="C4223" s="160"/>
      <c r="D4223" s="23" t="s">
        <v>70</v>
      </c>
      <c r="E4223" s="24"/>
      <c r="F4223" s="44" t="s">
        <v>418</v>
      </c>
      <c r="G4223" s="25" t="str">
        <f>IF(ISNUMBER(F4223),E4223*F4223,"")</f>
        <v/>
      </c>
      <c r="H4223" s="26"/>
      <c r="I4223" s="27"/>
      <c r="J4223" s="125">
        <v>0</v>
      </c>
    </row>
    <row r="4224" spans="1:10" ht="15.75" hidden="1" thickBot="1" x14ac:dyDescent="0.3">
      <c r="A4224" s="249"/>
      <c r="B4224" s="238"/>
      <c r="C4224" s="151"/>
      <c r="D4224" s="29"/>
      <c r="E4224" s="30"/>
      <c r="F4224" s="49" t="s">
        <v>418</v>
      </c>
      <c r="G4224" s="49" t="str">
        <f>IF(ISNUMBER(F4224),E4224*F4224,"")</f>
        <v/>
      </c>
      <c r="H4224" s="65"/>
      <c r="I4224" s="66"/>
      <c r="J4224" s="125">
        <v>0</v>
      </c>
    </row>
    <row r="4225" spans="1:10" ht="15.75" hidden="1" thickBot="1" x14ac:dyDescent="0.3">
      <c r="A4225" s="249"/>
      <c r="B4225" s="238"/>
      <c r="C4225" s="155" t="s">
        <v>27347</v>
      </c>
      <c r="D4225" s="155" t="s">
        <v>76</v>
      </c>
      <c r="E4225" s="34">
        <v>0.16</v>
      </c>
      <c r="F4225" s="49">
        <v>10.032</v>
      </c>
      <c r="G4225" s="49">
        <f>IF(ISNUMBER(F4225),E4225*F4225,"")</f>
        <v>1.6051200000000001</v>
      </c>
      <c r="H4225" s="35">
        <f>SUM(G4225:G4229)</f>
        <v>24.856635999999998</v>
      </c>
      <c r="I4225" s="36"/>
      <c r="J4225" s="125">
        <v>0</v>
      </c>
    </row>
    <row r="4226" spans="1:10" ht="15.75" hidden="1" thickBot="1" x14ac:dyDescent="0.3">
      <c r="A4226" s="249"/>
      <c r="B4226" s="238"/>
      <c r="C4226" s="155" t="s">
        <v>27846</v>
      </c>
      <c r="D4226" s="155" t="s">
        <v>76</v>
      </c>
      <c r="E4226" s="34">
        <v>0.42699999999999999</v>
      </c>
      <c r="F4226" s="49">
        <v>31.8155</v>
      </c>
      <c r="G4226" s="49">
        <f>IF(ISNUMBER(F4226),E4226*F4226,"")</f>
        <v>13.5852185</v>
      </c>
      <c r="H4226" s="65"/>
      <c r="I4226" s="66"/>
      <c r="J4226" s="125">
        <v>0</v>
      </c>
    </row>
    <row r="4227" spans="1:10" ht="15.75" hidden="1" thickBot="1" x14ac:dyDescent="0.3">
      <c r="A4227" s="249"/>
      <c r="B4227" s="238"/>
      <c r="C4227" s="155" t="s">
        <v>25507</v>
      </c>
      <c r="D4227" s="155" t="s">
        <v>205</v>
      </c>
      <c r="E4227" s="34">
        <v>0.01</v>
      </c>
      <c r="F4227" s="49">
        <v>8.958499999999999</v>
      </c>
      <c r="G4227" s="49">
        <f>IF(ISNUMBER(F4227),E4227*F4227,"")</f>
        <v>8.9584999999999998E-2</v>
      </c>
      <c r="H4227" s="65"/>
      <c r="I4227" s="66"/>
      <c r="J4227" s="125">
        <v>0</v>
      </c>
    </row>
    <row r="4228" spans="1:10" ht="15.75" hidden="1" thickBot="1" x14ac:dyDescent="0.3">
      <c r="A4228" s="249"/>
      <c r="B4228" s="238"/>
      <c r="C4228" s="155" t="s">
        <v>962</v>
      </c>
      <c r="D4228" s="155" t="s">
        <v>587</v>
      </c>
      <c r="E4228" s="34">
        <v>0.27500000000000002</v>
      </c>
      <c r="F4228" s="49">
        <v>26.799499999999998</v>
      </c>
      <c r="G4228" s="49">
        <f>IF(ISNUMBER(F4228),E4228*F4228,"")</f>
        <v>7.3698625</v>
      </c>
      <c r="H4228" s="65"/>
      <c r="I4228" s="66"/>
      <c r="J4228" s="125">
        <v>0</v>
      </c>
    </row>
    <row r="4229" spans="1:10" ht="15.75" hidden="1" thickBot="1" x14ac:dyDescent="0.3">
      <c r="A4229" s="249"/>
      <c r="B4229" s="238"/>
      <c r="C4229" s="155" t="s">
        <v>588</v>
      </c>
      <c r="D4229" s="155" t="s">
        <v>587</v>
      </c>
      <c r="E4229" s="34">
        <v>0.115</v>
      </c>
      <c r="F4229" s="49">
        <v>19.189999999999998</v>
      </c>
      <c r="G4229" s="49">
        <f>IF(ISNUMBER(F4229),E4229*F4229,"")</f>
        <v>2.2068499999999998</v>
      </c>
      <c r="H4229" s="65"/>
      <c r="I4229" s="66"/>
      <c r="J4229" s="125">
        <v>0</v>
      </c>
    </row>
    <row r="4230" spans="1:10" ht="15.75" hidden="1" thickBot="1" x14ac:dyDescent="0.3">
      <c r="A4230" s="249"/>
      <c r="B4230" s="238"/>
      <c r="C4230" s="164"/>
      <c r="D4230" s="50"/>
      <c r="E4230" s="61"/>
      <c r="F4230" s="68" t="s">
        <v>418</v>
      </c>
      <c r="G4230" s="68" t="str">
        <f>IF(ISNUMBER(F4230),E4230*F4230,"")</f>
        <v/>
      </c>
      <c r="H4230" s="69"/>
      <c r="I4230" s="66"/>
      <c r="J4230" s="125">
        <v>0</v>
      </c>
    </row>
    <row r="4231" spans="1:10" ht="15.75" hidden="1" thickBot="1" x14ac:dyDescent="0.3">
      <c r="A4231" s="234" t="s">
        <v>1119</v>
      </c>
      <c r="B4231" s="237" t="s">
        <v>1846</v>
      </c>
      <c r="C4231" s="160"/>
      <c r="D4231" s="23" t="s">
        <v>70</v>
      </c>
      <c r="E4231" s="24"/>
      <c r="F4231" s="44" t="s">
        <v>418</v>
      </c>
      <c r="G4231" s="25" t="str">
        <f>IF(ISNUMBER(F4231),E4231*F4231,"")</f>
        <v/>
      </c>
      <c r="H4231" s="26"/>
      <c r="I4231" s="27"/>
      <c r="J4231" s="125">
        <v>0</v>
      </c>
    </row>
    <row r="4232" spans="1:10" ht="15.75" hidden="1" thickBot="1" x14ac:dyDescent="0.3">
      <c r="A4232" s="249"/>
      <c r="B4232" s="238"/>
      <c r="C4232" s="151"/>
      <c r="D4232" s="29"/>
      <c r="E4232" s="30"/>
      <c r="F4232" s="49" t="s">
        <v>418</v>
      </c>
      <c r="G4232" s="49" t="str">
        <f>IF(ISNUMBER(F4232),E4232*F4232,"")</f>
        <v/>
      </c>
      <c r="H4232" s="65"/>
      <c r="I4232" s="66"/>
      <c r="J4232" s="125">
        <v>0</v>
      </c>
    </row>
    <row r="4233" spans="1:10" ht="15.75" hidden="1" thickBot="1" x14ac:dyDescent="0.3">
      <c r="A4233" s="249"/>
      <c r="B4233" s="238"/>
      <c r="C4233" s="155" t="s">
        <v>25107</v>
      </c>
      <c r="D4233" s="155" t="s">
        <v>76</v>
      </c>
      <c r="E4233" s="34">
        <v>6.4000000000000001E-2</v>
      </c>
      <c r="F4233" s="49">
        <v>48.374000000000002</v>
      </c>
      <c r="G4233" s="49">
        <f>IF(ISNUMBER(F4233),E4233*F4233,"")</f>
        <v>3.095936</v>
      </c>
      <c r="H4233" s="35">
        <f>SUM(G4233:G4238)</f>
        <v>53.612119500000006</v>
      </c>
      <c r="I4233" s="36"/>
      <c r="J4233" s="125">
        <v>0</v>
      </c>
    </row>
    <row r="4234" spans="1:10" ht="15.75" hidden="1" thickBot="1" x14ac:dyDescent="0.3">
      <c r="A4234" s="249"/>
      <c r="B4234" s="238"/>
      <c r="C4234" s="155" t="s">
        <v>27831</v>
      </c>
      <c r="D4234" s="155" t="s">
        <v>76</v>
      </c>
      <c r="E4234" s="34">
        <v>0.32200000000000001</v>
      </c>
      <c r="F4234" s="49">
        <v>65.302999999999997</v>
      </c>
      <c r="G4234" s="49">
        <f>IF(ISNUMBER(F4234),E4234*F4234,"")</f>
        <v>21.027566</v>
      </c>
      <c r="H4234" s="65"/>
      <c r="I4234" s="66"/>
      <c r="J4234" s="125">
        <v>0</v>
      </c>
    </row>
    <row r="4235" spans="1:10" ht="15.75" hidden="1" thickBot="1" x14ac:dyDescent="0.3">
      <c r="A4235" s="249"/>
      <c r="B4235" s="238"/>
      <c r="C4235" s="155" t="s">
        <v>25507</v>
      </c>
      <c r="D4235" s="155" t="s">
        <v>205</v>
      </c>
      <c r="E4235" s="34">
        <v>0.01</v>
      </c>
      <c r="F4235" s="49">
        <v>8.958499999999999</v>
      </c>
      <c r="G4235" s="49">
        <f>IF(ISNUMBER(F4235),E4235*F4235,"")</f>
        <v>8.9584999999999998E-2</v>
      </c>
      <c r="H4235" s="65"/>
      <c r="I4235" s="66"/>
      <c r="J4235" s="125">
        <v>0</v>
      </c>
    </row>
    <row r="4236" spans="1:10" ht="15.75" hidden="1" thickBot="1" x14ac:dyDescent="0.3">
      <c r="A4236" s="249"/>
      <c r="B4236" s="238"/>
      <c r="C4236" s="155" t="s">
        <v>27113</v>
      </c>
      <c r="D4236" s="155" t="s">
        <v>76</v>
      </c>
      <c r="E4236" s="34">
        <v>0.2016</v>
      </c>
      <c r="F4236" s="49">
        <v>98.324999999999989</v>
      </c>
      <c r="G4236" s="49">
        <f>IF(ISNUMBER(F4236),E4236*F4236,"")</f>
        <v>19.822319999999998</v>
      </c>
      <c r="H4236" s="65"/>
      <c r="I4236" s="66"/>
      <c r="J4236" s="125">
        <v>0</v>
      </c>
    </row>
    <row r="4237" spans="1:10" ht="15.75" hidden="1" thickBot="1" x14ac:dyDescent="0.3">
      <c r="A4237" s="249"/>
      <c r="B4237" s="238"/>
      <c r="C4237" s="155" t="s">
        <v>962</v>
      </c>
      <c r="D4237" s="155" t="s">
        <v>587</v>
      </c>
      <c r="E4237" s="34">
        <v>0.27500000000000002</v>
      </c>
      <c r="F4237" s="49">
        <v>26.799499999999998</v>
      </c>
      <c r="G4237" s="49">
        <f>IF(ISNUMBER(F4237),E4237*F4237,"")</f>
        <v>7.3698625</v>
      </c>
      <c r="H4237" s="65"/>
      <c r="I4237" s="66"/>
      <c r="J4237" s="125">
        <v>0</v>
      </c>
    </row>
    <row r="4238" spans="1:10" ht="15.75" hidden="1" thickBot="1" x14ac:dyDescent="0.3">
      <c r="A4238" s="249"/>
      <c r="B4238" s="238"/>
      <c r="C4238" s="155" t="s">
        <v>588</v>
      </c>
      <c r="D4238" s="155" t="s">
        <v>587</v>
      </c>
      <c r="E4238" s="34">
        <v>0.115</v>
      </c>
      <c r="F4238" s="49">
        <v>19.189999999999998</v>
      </c>
      <c r="G4238" s="49">
        <f>IF(ISNUMBER(F4238),E4238*F4238,"")</f>
        <v>2.2068499999999998</v>
      </c>
      <c r="H4238" s="65"/>
      <c r="I4238" s="66"/>
      <c r="J4238" s="125">
        <v>0</v>
      </c>
    </row>
    <row r="4239" spans="1:10" ht="15.75" hidden="1" thickBot="1" x14ac:dyDescent="0.3">
      <c r="A4239" s="249"/>
      <c r="B4239" s="238"/>
      <c r="C4239" s="164"/>
      <c r="D4239" s="50"/>
      <c r="E4239" s="61"/>
      <c r="F4239" s="68" t="s">
        <v>418</v>
      </c>
      <c r="G4239" s="68" t="str">
        <f>IF(ISNUMBER(F4239),E4239*F4239,"")</f>
        <v/>
      </c>
      <c r="H4239" s="69"/>
      <c r="I4239" s="66"/>
      <c r="J4239" s="125">
        <v>0</v>
      </c>
    </row>
    <row r="4240" spans="1:10" ht="15.75" hidden="1" thickBot="1" x14ac:dyDescent="0.3">
      <c r="A4240" s="234" t="s">
        <v>1120</v>
      </c>
      <c r="B4240" s="237" t="s">
        <v>1847</v>
      </c>
      <c r="C4240" s="160"/>
      <c r="D4240" s="23" t="s">
        <v>70</v>
      </c>
      <c r="E4240" s="24"/>
      <c r="F4240" s="44" t="s">
        <v>418</v>
      </c>
      <c r="G4240" s="25" t="str">
        <f>IF(ISNUMBER(F4240),E4240*F4240,"")</f>
        <v/>
      </c>
      <c r="H4240" s="26"/>
      <c r="I4240" s="27"/>
      <c r="J4240" s="125">
        <v>0</v>
      </c>
    </row>
    <row r="4241" spans="1:10" ht="15.75" hidden="1" thickBot="1" x14ac:dyDescent="0.3">
      <c r="A4241" s="249"/>
      <c r="B4241" s="238"/>
      <c r="C4241" s="151"/>
      <c r="D4241" s="29"/>
      <c r="E4241" s="30"/>
      <c r="F4241" s="49" t="s">
        <v>418</v>
      </c>
      <c r="G4241" s="49" t="str">
        <f>IF(ISNUMBER(F4241),E4241*F4241,"")</f>
        <v/>
      </c>
      <c r="H4241" s="65"/>
      <c r="I4241" s="66"/>
      <c r="J4241" s="125">
        <v>0</v>
      </c>
    </row>
    <row r="4242" spans="1:10" ht="15.75" hidden="1" thickBot="1" x14ac:dyDescent="0.3">
      <c r="A4242" s="249"/>
      <c r="B4242" s="238"/>
      <c r="C4242" s="155" t="s">
        <v>13534</v>
      </c>
      <c r="D4242" s="33" t="s">
        <v>76</v>
      </c>
      <c r="E4242" s="34">
        <v>0.04</v>
      </c>
      <c r="F4242" s="49">
        <v>0.95</v>
      </c>
      <c r="G4242" s="49">
        <f>IF(ISNUMBER(F4242),E4242*F4242,"")</f>
        <v>3.7999999999999999E-2</v>
      </c>
      <c r="H4242" s="35">
        <f>SUM(G4242:G4245)</f>
        <v>22.289469999999998</v>
      </c>
      <c r="I4242" s="36"/>
      <c r="J4242" s="125">
        <v>0</v>
      </c>
    </row>
    <row r="4243" spans="1:10" ht="15.75" hidden="1" thickBot="1" x14ac:dyDescent="0.3">
      <c r="A4243" s="249"/>
      <c r="B4243" s="238"/>
      <c r="C4243" s="155" t="s">
        <v>13535</v>
      </c>
      <c r="D4243" s="33" t="s">
        <v>774</v>
      </c>
      <c r="E4243" s="34">
        <v>0.36</v>
      </c>
      <c r="F4243" s="49">
        <v>0.95</v>
      </c>
      <c r="G4243" s="49">
        <f>IF(ISNUMBER(F4243),E4243*F4243,"")</f>
        <v>0.34199999999999997</v>
      </c>
      <c r="H4243" s="65"/>
      <c r="I4243" s="66"/>
      <c r="J4243" s="125">
        <v>0</v>
      </c>
    </row>
    <row r="4244" spans="1:10" ht="15.75" hidden="1" thickBot="1" x14ac:dyDescent="0.3">
      <c r="A4244" s="249"/>
      <c r="B4244" s="238"/>
      <c r="C4244" s="155" t="s">
        <v>962</v>
      </c>
      <c r="D4244" s="155" t="s">
        <v>587</v>
      </c>
      <c r="E4244" s="34">
        <v>0.66</v>
      </c>
      <c r="F4244" s="49">
        <v>26.799499999999998</v>
      </c>
      <c r="G4244" s="49">
        <f>IF(ISNUMBER(F4244),E4244*F4244,"")</f>
        <v>17.687670000000001</v>
      </c>
      <c r="H4244" s="65"/>
      <c r="I4244" s="66"/>
      <c r="J4244" s="125">
        <v>0</v>
      </c>
    </row>
    <row r="4245" spans="1:10" ht="15.75" hidden="1" thickBot="1" x14ac:dyDescent="0.3">
      <c r="A4245" s="249"/>
      <c r="B4245" s="238"/>
      <c r="C4245" s="155" t="s">
        <v>588</v>
      </c>
      <c r="D4245" s="155" t="s">
        <v>587</v>
      </c>
      <c r="E4245" s="34">
        <v>0.22</v>
      </c>
      <c r="F4245" s="49">
        <v>19.189999999999998</v>
      </c>
      <c r="G4245" s="49">
        <f>IF(ISNUMBER(F4245),E4245*F4245,"")</f>
        <v>4.2217999999999991</v>
      </c>
      <c r="H4245" s="65"/>
      <c r="I4245" s="66"/>
      <c r="J4245" s="125">
        <v>0</v>
      </c>
    </row>
    <row r="4246" spans="1:10" ht="15.75" hidden="1" thickBot="1" x14ac:dyDescent="0.3">
      <c r="A4246" s="250"/>
      <c r="B4246" s="239"/>
      <c r="C4246" s="164"/>
      <c r="D4246" s="50"/>
      <c r="E4246" s="61"/>
      <c r="F4246" s="68" t="s">
        <v>418</v>
      </c>
      <c r="G4246" s="68" t="str">
        <f>IF(ISNUMBER(F4246),E4246*F4246,"")</f>
        <v/>
      </c>
      <c r="H4246" s="69"/>
      <c r="I4246" s="66"/>
      <c r="J4246" s="125">
        <v>0</v>
      </c>
    </row>
    <row r="4247" spans="1:10" ht="15.75" hidden="1" thickBot="1" x14ac:dyDescent="0.3">
      <c r="A4247" s="234" t="s">
        <v>1121</v>
      </c>
      <c r="B4247" s="237" t="s">
        <v>1848</v>
      </c>
      <c r="C4247" s="160"/>
      <c r="D4247" s="23" t="s">
        <v>70</v>
      </c>
      <c r="E4247" s="24"/>
      <c r="F4247" s="44" t="s">
        <v>418</v>
      </c>
      <c r="G4247" s="25" t="str">
        <f>IF(ISNUMBER(F4247),E4247*F4247,"")</f>
        <v/>
      </c>
      <c r="H4247" s="26"/>
      <c r="I4247" s="27"/>
      <c r="J4247" s="125">
        <v>0</v>
      </c>
    </row>
    <row r="4248" spans="1:10" ht="15.75" hidden="1" thickBot="1" x14ac:dyDescent="0.3">
      <c r="A4248" s="249"/>
      <c r="B4248" s="238"/>
      <c r="C4248" s="151"/>
      <c r="D4248" s="29"/>
      <c r="E4248" s="30"/>
      <c r="F4248" s="49" t="s">
        <v>418</v>
      </c>
      <c r="G4248" s="49" t="str">
        <f>IF(ISNUMBER(F4248),E4248*F4248,"")</f>
        <v/>
      </c>
      <c r="H4248" s="65"/>
      <c r="I4248" s="66"/>
      <c r="J4248" s="125">
        <v>0</v>
      </c>
    </row>
    <row r="4249" spans="1:10" ht="26.25" hidden="1" thickBot="1" x14ac:dyDescent="0.3">
      <c r="A4249" s="249"/>
      <c r="B4249" s="238"/>
      <c r="C4249" s="155" t="s">
        <v>1122</v>
      </c>
      <c r="D4249" s="33" t="s">
        <v>774</v>
      </c>
      <c r="E4249" s="34">
        <v>2</v>
      </c>
      <c r="F4249" s="49" t="s">
        <v>418</v>
      </c>
      <c r="G4249" s="49" t="str">
        <f>IF(ISNUMBER(F4249),E4249*F4249,"")</f>
        <v/>
      </c>
      <c r="H4249" s="35">
        <f>SUM(G4249:G4250)</f>
        <v>1.3241099999999999</v>
      </c>
      <c r="I4249" s="36"/>
      <c r="J4249" s="125">
        <v>0</v>
      </c>
    </row>
    <row r="4250" spans="1:10" ht="15.75" hidden="1" thickBot="1" x14ac:dyDescent="0.3">
      <c r="A4250" s="249"/>
      <c r="B4250" s="238"/>
      <c r="C4250" s="155" t="s">
        <v>588</v>
      </c>
      <c r="D4250" s="155" t="s">
        <v>587</v>
      </c>
      <c r="E4250" s="34">
        <v>6.9000000000000006E-2</v>
      </c>
      <c r="F4250" s="49">
        <v>19.189999999999998</v>
      </c>
      <c r="G4250" s="49">
        <f>IF(ISNUMBER(F4250),E4250*F4250,"")</f>
        <v>1.3241099999999999</v>
      </c>
      <c r="H4250" s="65"/>
      <c r="I4250" s="66"/>
      <c r="J4250" s="125">
        <v>0</v>
      </c>
    </row>
    <row r="4251" spans="1:10" ht="15.75" hidden="1" thickBot="1" x14ac:dyDescent="0.3">
      <c r="A4251" s="249"/>
      <c r="B4251" s="238"/>
      <c r="C4251" s="164"/>
      <c r="D4251" s="50"/>
      <c r="E4251" s="61"/>
      <c r="F4251" s="68" t="s">
        <v>418</v>
      </c>
      <c r="G4251" s="68" t="str">
        <f>IF(ISNUMBER(F4251),E4251*F4251,"")</f>
        <v/>
      </c>
      <c r="H4251" s="69"/>
      <c r="I4251" s="66"/>
      <c r="J4251" s="125">
        <v>0</v>
      </c>
    </row>
    <row r="4252" spans="1:10" ht="15.75" hidden="1" thickBot="1" x14ac:dyDescent="0.3">
      <c r="A4252" s="234" t="s">
        <v>1123</v>
      </c>
      <c r="B4252" s="237" t="s">
        <v>1849</v>
      </c>
      <c r="C4252" s="160"/>
      <c r="D4252" s="23" t="s">
        <v>70</v>
      </c>
      <c r="E4252" s="24"/>
      <c r="F4252" s="44" t="s">
        <v>418</v>
      </c>
      <c r="G4252" s="25" t="str">
        <f>IF(ISNUMBER(F4252),E4252*F4252,"")</f>
        <v/>
      </c>
      <c r="H4252" s="26"/>
      <c r="I4252" s="27"/>
      <c r="J4252" s="125">
        <v>0</v>
      </c>
    </row>
    <row r="4253" spans="1:10" ht="15.75" hidden="1" thickBot="1" x14ac:dyDescent="0.3">
      <c r="A4253" s="249"/>
      <c r="B4253" s="238"/>
      <c r="C4253" s="151"/>
      <c r="D4253" s="29"/>
      <c r="E4253" s="30"/>
      <c r="F4253" s="49" t="s">
        <v>418</v>
      </c>
      <c r="G4253" s="49" t="str">
        <f>IF(ISNUMBER(F4253),E4253*F4253,"")</f>
        <v/>
      </c>
      <c r="H4253" s="65"/>
      <c r="I4253" s="66"/>
      <c r="J4253" s="125">
        <v>0</v>
      </c>
    </row>
    <row r="4254" spans="1:10" ht="15.75" hidden="1" thickBot="1" x14ac:dyDescent="0.3">
      <c r="A4254" s="249"/>
      <c r="B4254" s="238"/>
      <c r="C4254" s="155" t="s">
        <v>25106</v>
      </c>
      <c r="D4254" s="155" t="s">
        <v>76</v>
      </c>
      <c r="E4254" s="34">
        <v>6.1899999999999997E-2</v>
      </c>
      <c r="F4254" s="49">
        <v>21.222999999999999</v>
      </c>
      <c r="G4254" s="49">
        <f>IF(ISNUMBER(F4254),E4254*F4254,"")</f>
        <v>1.3137036999999998</v>
      </c>
      <c r="H4254" s="35">
        <f>SUM(G4254:G4258)</f>
        <v>31.559302099999996</v>
      </c>
      <c r="I4254" s="36"/>
      <c r="J4254" s="125">
        <v>0</v>
      </c>
    </row>
    <row r="4255" spans="1:10" ht="15.75" hidden="1" thickBot="1" x14ac:dyDescent="0.3">
      <c r="A4255" s="249"/>
      <c r="B4255" s="238"/>
      <c r="C4255" s="155" t="s">
        <v>1200</v>
      </c>
      <c r="D4255" s="155" t="s">
        <v>76</v>
      </c>
      <c r="E4255" s="34">
        <v>0.20699999999999999</v>
      </c>
      <c r="F4255" s="49">
        <v>34.142999999999994</v>
      </c>
      <c r="G4255" s="49">
        <f>IF(ISNUMBER(F4255),E4255*F4255,"")</f>
        <v>7.067600999999998</v>
      </c>
      <c r="H4255" s="65"/>
      <c r="I4255" s="66"/>
      <c r="J4255" s="125">
        <v>0</v>
      </c>
    </row>
    <row r="4256" spans="1:10" ht="15.75" hidden="1" thickBot="1" x14ac:dyDescent="0.3">
      <c r="A4256" s="249"/>
      <c r="B4256" s="238"/>
      <c r="C4256" s="155" t="s">
        <v>962</v>
      </c>
      <c r="D4256" s="155" t="s">
        <v>587</v>
      </c>
      <c r="E4256" s="34">
        <v>0.52659999999999996</v>
      </c>
      <c r="F4256" s="49">
        <v>26.799499999999998</v>
      </c>
      <c r="G4256" s="49">
        <f>IF(ISNUMBER(F4256),E4256*F4256,"")</f>
        <v>14.112616699999998</v>
      </c>
      <c r="H4256" s="65"/>
      <c r="I4256" s="66"/>
      <c r="J4256" s="125">
        <v>0</v>
      </c>
    </row>
    <row r="4257" spans="1:10" ht="15.75" hidden="1" thickBot="1" x14ac:dyDescent="0.3">
      <c r="A4257" s="249"/>
      <c r="B4257" s="238"/>
      <c r="C4257" s="155" t="s">
        <v>1124</v>
      </c>
      <c r="D4257" s="155" t="s">
        <v>205</v>
      </c>
      <c r="E4257" s="34">
        <v>0.3</v>
      </c>
      <c r="F4257" s="49">
        <v>3.5434999999999999</v>
      </c>
      <c r="G4257" s="49">
        <f>IF(ISNUMBER(F4257),E4257*F4257,"")</f>
        <v>1.0630499999999998</v>
      </c>
      <c r="H4257" s="65"/>
      <c r="I4257" s="66"/>
      <c r="J4257" s="125">
        <v>0</v>
      </c>
    </row>
    <row r="4258" spans="1:10" ht="15.75" hidden="1" thickBot="1" x14ac:dyDescent="0.3">
      <c r="A4258" s="249"/>
      <c r="B4258" s="238"/>
      <c r="C4258" s="155" t="s">
        <v>962</v>
      </c>
      <c r="D4258" s="155" t="s">
        <v>587</v>
      </c>
      <c r="E4258" s="34">
        <v>0.29859999999999998</v>
      </c>
      <c r="F4258" s="49">
        <v>26.799499999999998</v>
      </c>
      <c r="G4258" s="49">
        <f>IF(ISNUMBER(F4258),E4258*F4258,"")</f>
        <v>8.0023306999999981</v>
      </c>
      <c r="H4258" s="65"/>
      <c r="I4258" s="66"/>
      <c r="J4258" s="125">
        <v>0</v>
      </c>
    </row>
    <row r="4259" spans="1:10" ht="15.75" hidden="1" thickBot="1" x14ac:dyDescent="0.3">
      <c r="A4259" s="250"/>
      <c r="B4259" s="239"/>
      <c r="C4259" s="164"/>
      <c r="D4259" s="50"/>
      <c r="E4259" s="61"/>
      <c r="F4259" s="68" t="s">
        <v>418</v>
      </c>
      <c r="G4259" s="68" t="str">
        <f>IF(ISNUMBER(F4259),E4259*F4259,"")</f>
        <v/>
      </c>
      <c r="H4259" s="69"/>
      <c r="I4259" s="66"/>
      <c r="J4259" s="125">
        <v>0</v>
      </c>
    </row>
    <row r="4260" spans="1:10" ht="15.75" hidden="1" thickBot="1" x14ac:dyDescent="0.3">
      <c r="A4260" s="234" t="s">
        <v>1125</v>
      </c>
      <c r="B4260" s="237" t="s">
        <v>1850</v>
      </c>
      <c r="C4260" s="160"/>
      <c r="D4260" s="23" t="s">
        <v>69</v>
      </c>
      <c r="E4260" s="24"/>
      <c r="F4260" s="44" t="s">
        <v>418</v>
      </c>
      <c r="G4260" s="25" t="str">
        <f>IF(ISNUMBER(F4260),E4260*F4260,"")</f>
        <v/>
      </c>
      <c r="H4260" s="26"/>
      <c r="I4260" s="27"/>
      <c r="J4260" s="125">
        <v>0</v>
      </c>
    </row>
    <row r="4261" spans="1:10" ht="15.75" hidden="1" thickBot="1" x14ac:dyDescent="0.3">
      <c r="A4261" s="249"/>
      <c r="B4261" s="238"/>
      <c r="C4261" s="151"/>
      <c r="D4261" s="29"/>
      <c r="E4261" s="30"/>
      <c r="F4261" s="49" t="s">
        <v>418</v>
      </c>
      <c r="G4261" s="49" t="str">
        <f>IF(ISNUMBER(F4261),E4261*F4261,"")</f>
        <v/>
      </c>
      <c r="H4261" s="65"/>
      <c r="I4261" s="66"/>
      <c r="J4261" s="125">
        <v>0</v>
      </c>
    </row>
    <row r="4262" spans="1:10" ht="15.75" hidden="1" thickBot="1" x14ac:dyDescent="0.3">
      <c r="A4262" s="249"/>
      <c r="B4262" s="238"/>
      <c r="C4262" s="155" t="s">
        <v>588</v>
      </c>
      <c r="D4262" s="155" t="s">
        <v>587</v>
      </c>
      <c r="E4262" s="34">
        <f>ROUND(4/37.58,4)</f>
        <v>0.10639999999999999</v>
      </c>
      <c r="F4262" s="49">
        <v>19.189999999999998</v>
      </c>
      <c r="G4262" s="49">
        <f>IF(ISNUMBER(F4262),E4262*F4262,"")</f>
        <v>2.0418159999999999</v>
      </c>
      <c r="H4262" s="35">
        <f>SUM(G4262:G4267)</f>
        <v>21.130474750000001</v>
      </c>
      <c r="I4262" s="36"/>
      <c r="J4262" s="125">
        <v>0</v>
      </c>
    </row>
    <row r="4263" spans="1:10" ht="15.75" hidden="1" thickBot="1" x14ac:dyDescent="0.3">
      <c r="A4263" s="249"/>
      <c r="B4263" s="238"/>
      <c r="C4263" s="155" t="s">
        <v>1126</v>
      </c>
      <c r="D4263" s="33" t="s">
        <v>814</v>
      </c>
      <c r="E4263" s="34">
        <f>ROUND(1/37.58,4)</f>
        <v>2.6599999999999999E-2</v>
      </c>
      <c r="F4263" s="49">
        <v>0.95</v>
      </c>
      <c r="G4263" s="49">
        <f>IF(ISNUMBER(F4263),E4263*F4263,"")</f>
        <v>2.5269999999999997E-2</v>
      </c>
      <c r="H4263" s="65"/>
      <c r="I4263" s="66"/>
      <c r="J4263" s="125">
        <v>0</v>
      </c>
    </row>
    <row r="4264" spans="1:10" ht="15.75" hidden="1" thickBot="1" x14ac:dyDescent="0.3">
      <c r="A4264" s="249"/>
      <c r="B4264" s="238"/>
      <c r="C4264" s="155" t="s">
        <v>1128</v>
      </c>
      <c r="D4264" s="33" t="s">
        <v>814</v>
      </c>
      <c r="E4264" s="34">
        <f>ROUND(1/37.58,4)</f>
        <v>2.6599999999999999E-2</v>
      </c>
      <c r="F4264" s="49">
        <v>0.95</v>
      </c>
      <c r="G4264" s="49">
        <f>IF(ISNUMBER(F4264),E4264*F4264,"")</f>
        <v>2.5269999999999997E-2</v>
      </c>
      <c r="H4264" s="65"/>
      <c r="I4264" s="66"/>
      <c r="J4264" s="125">
        <v>0</v>
      </c>
    </row>
    <row r="4265" spans="1:10" ht="15.75" hidden="1" thickBot="1" x14ac:dyDescent="0.3">
      <c r="A4265" s="249"/>
      <c r="B4265" s="238"/>
      <c r="C4265" s="155" t="s">
        <v>1130</v>
      </c>
      <c r="D4265" s="33" t="s">
        <v>69</v>
      </c>
      <c r="E4265" s="34">
        <v>1</v>
      </c>
      <c r="F4265" s="49">
        <v>0.95</v>
      </c>
      <c r="G4265" s="49">
        <f>IF(ISNUMBER(F4265),E4265*F4265,"")</f>
        <v>0.95</v>
      </c>
      <c r="H4265" s="65"/>
      <c r="I4265" s="66"/>
      <c r="J4265" s="125">
        <v>0</v>
      </c>
    </row>
    <row r="4266" spans="1:10" ht="15.75" hidden="1" thickBot="1" x14ac:dyDescent="0.3">
      <c r="A4266" s="249"/>
      <c r="B4266" s="238"/>
      <c r="C4266" s="155" t="s">
        <v>1132</v>
      </c>
      <c r="D4266" s="33" t="s">
        <v>205</v>
      </c>
      <c r="E4266" s="34">
        <v>6.7000000000000002E-3</v>
      </c>
      <c r="F4266" s="49">
        <v>0.95</v>
      </c>
      <c r="G4266" s="49">
        <f>IF(ISNUMBER(F4266),E4266*F4266,"")</f>
        <v>6.365E-3</v>
      </c>
      <c r="H4266" s="65"/>
      <c r="I4266" s="66"/>
      <c r="J4266" s="125">
        <v>0</v>
      </c>
    </row>
    <row r="4267" spans="1:10" ht="26.25" hidden="1" thickBot="1" x14ac:dyDescent="0.3">
      <c r="A4267" s="249"/>
      <c r="B4267" s="238"/>
      <c r="C4267" s="155" t="s">
        <v>1134</v>
      </c>
      <c r="D4267" s="155" t="s">
        <v>774</v>
      </c>
      <c r="E4267" s="34">
        <v>0.2175</v>
      </c>
      <c r="F4267" s="49">
        <v>83.134500000000003</v>
      </c>
      <c r="G4267" s="49">
        <f>IF(ISNUMBER(F4267),E4267*F4267,"")</f>
        <v>18.081753750000001</v>
      </c>
      <c r="H4267" s="65"/>
      <c r="I4267" s="66"/>
      <c r="J4267" s="125">
        <v>0</v>
      </c>
    </row>
    <row r="4268" spans="1:10" ht="15.75" hidden="1" thickBot="1" x14ac:dyDescent="0.3">
      <c r="A4268" s="250"/>
      <c r="B4268" s="239"/>
      <c r="C4268" s="164"/>
      <c r="D4268" s="50"/>
      <c r="E4268" s="61"/>
      <c r="F4268" s="68" t="s">
        <v>418</v>
      </c>
      <c r="G4268" s="68" t="str">
        <f>IF(ISNUMBER(F4268),E4268*F4268,"")</f>
        <v/>
      </c>
      <c r="H4268" s="69"/>
      <c r="I4268" s="66"/>
      <c r="J4268" s="125">
        <v>0</v>
      </c>
    </row>
    <row r="4269" spans="1:10" ht="15.75" hidden="1" thickBot="1" x14ac:dyDescent="0.3">
      <c r="A4269" s="234" t="s">
        <v>1135</v>
      </c>
      <c r="B4269" s="237" t="s">
        <v>1851</v>
      </c>
      <c r="C4269" s="160"/>
      <c r="D4269" s="23" t="s">
        <v>70</v>
      </c>
      <c r="E4269" s="24"/>
      <c r="F4269" s="44" t="s">
        <v>418</v>
      </c>
      <c r="G4269" s="25" t="str">
        <f>IF(ISNUMBER(F4269),E4269*F4269,"")</f>
        <v/>
      </c>
      <c r="H4269" s="26"/>
      <c r="I4269" s="27"/>
      <c r="J4269" s="125">
        <v>0</v>
      </c>
    </row>
    <row r="4270" spans="1:10" ht="15.75" hidden="1" thickBot="1" x14ac:dyDescent="0.3">
      <c r="A4270" s="249"/>
      <c r="B4270" s="238"/>
      <c r="C4270" s="151"/>
      <c r="D4270" s="29"/>
      <c r="E4270" s="30"/>
      <c r="F4270" s="49" t="s">
        <v>418</v>
      </c>
      <c r="G4270" s="49" t="str">
        <f>IF(ISNUMBER(F4270),E4270*F4270,"")</f>
        <v/>
      </c>
      <c r="H4270" s="65"/>
      <c r="I4270" s="66"/>
      <c r="J4270" s="125">
        <v>0</v>
      </c>
    </row>
    <row r="4271" spans="1:10" ht="26.25" hidden="1" thickBot="1" x14ac:dyDescent="0.3">
      <c r="A4271" s="249"/>
      <c r="B4271" s="238"/>
      <c r="C4271" s="155" t="s">
        <v>23674</v>
      </c>
      <c r="D4271" s="155" t="s">
        <v>85</v>
      </c>
      <c r="E4271" s="34">
        <v>5.6800000000000003E-2</v>
      </c>
      <c r="F4271" s="49">
        <v>66.5</v>
      </c>
      <c r="G4271" s="49">
        <f>IF(ISNUMBER(F4271),E4271*F4271,"")</f>
        <v>3.7772000000000001</v>
      </c>
      <c r="H4271" s="35">
        <f>SUM(G4271:G4281)</f>
        <v>109.18734102974001</v>
      </c>
      <c r="I4271" s="36"/>
      <c r="J4271" s="125">
        <v>0</v>
      </c>
    </row>
    <row r="4272" spans="1:10" ht="15.75" hidden="1" thickBot="1" x14ac:dyDescent="0.3">
      <c r="A4272" s="249"/>
      <c r="B4272" s="238"/>
      <c r="C4272" s="155" t="s">
        <v>1136</v>
      </c>
      <c r="D4272" s="155" t="s">
        <v>85</v>
      </c>
      <c r="E4272" s="34">
        <v>3.5999999999999999E-3</v>
      </c>
      <c r="F4272" s="49">
        <v>212.01149999999998</v>
      </c>
      <c r="G4272" s="49">
        <f>IF(ISNUMBER(F4272),E4272*F4272,"")</f>
        <v>0.76324139999999996</v>
      </c>
      <c r="H4272" s="65"/>
      <c r="I4272" s="66"/>
      <c r="J4272" s="125">
        <v>0</v>
      </c>
    </row>
    <row r="4273" spans="1:10" ht="39" hidden="1" thickBot="1" x14ac:dyDescent="0.3">
      <c r="A4273" s="249"/>
      <c r="B4273" s="238"/>
      <c r="C4273" s="155" t="s">
        <v>1137</v>
      </c>
      <c r="D4273" s="155" t="s">
        <v>870</v>
      </c>
      <c r="E4273" s="34">
        <v>1.0044999999999999</v>
      </c>
      <c r="F4273" s="49">
        <v>95.855000000000004</v>
      </c>
      <c r="G4273" s="49">
        <f>IF(ISNUMBER(F4273),E4273*F4273,"")</f>
        <v>96.286347500000005</v>
      </c>
      <c r="H4273" s="65"/>
      <c r="I4273" s="66"/>
      <c r="J4273" s="125">
        <v>0</v>
      </c>
    </row>
    <row r="4274" spans="1:10" ht="15.75" hidden="1" thickBot="1" x14ac:dyDescent="0.3">
      <c r="A4274" s="249"/>
      <c r="B4274" s="238"/>
      <c r="C4274" s="155" t="s">
        <v>1138</v>
      </c>
      <c r="D4274" s="155" t="s">
        <v>587</v>
      </c>
      <c r="E4274" s="34">
        <v>9.6299999999999997E-2</v>
      </c>
      <c r="F4274" s="49">
        <v>23.645499999999998</v>
      </c>
      <c r="G4274" s="49">
        <f>IF(ISNUMBER(F4274),E4274*F4274,"")</f>
        <v>2.2770616499999998</v>
      </c>
      <c r="H4274" s="65"/>
      <c r="I4274" s="66"/>
      <c r="J4274" s="125">
        <v>0</v>
      </c>
    </row>
    <row r="4275" spans="1:10" ht="15.75" hidden="1" thickBot="1" x14ac:dyDescent="0.3">
      <c r="A4275" s="249"/>
      <c r="B4275" s="238"/>
      <c r="C4275" s="155" t="s">
        <v>588</v>
      </c>
      <c r="D4275" s="155" t="s">
        <v>587</v>
      </c>
      <c r="E4275" s="156">
        <v>9.6299999999999997E-2</v>
      </c>
      <c r="F4275" s="49">
        <v>19.189999999999998</v>
      </c>
      <c r="G4275" s="49">
        <f>IF(ISNUMBER(F4275),E4275*F4275,"")</f>
        <v>1.8479969999999997</v>
      </c>
      <c r="H4275" s="65"/>
      <c r="I4275" s="66"/>
      <c r="J4275" s="125">
        <v>0</v>
      </c>
    </row>
    <row r="4276" spans="1:10" ht="39" hidden="1" thickBot="1" x14ac:dyDescent="0.3">
      <c r="A4276" s="249"/>
      <c r="B4276" s="238"/>
      <c r="C4276" s="155" t="s">
        <v>969</v>
      </c>
      <c r="D4276" s="155" t="s">
        <v>814</v>
      </c>
      <c r="E4276" s="34">
        <v>4.1000000000000003E-3</v>
      </c>
      <c r="F4276" s="49">
        <v>10.183999999999999</v>
      </c>
      <c r="G4276" s="49">
        <f>IF(ISNUMBER(F4276),E4276*F4276,"")</f>
        <v>4.1754400000000004E-2</v>
      </c>
      <c r="H4276" s="65"/>
      <c r="I4276" s="66"/>
      <c r="J4276" s="125">
        <v>0</v>
      </c>
    </row>
    <row r="4277" spans="1:10" ht="39" hidden="1" thickBot="1" x14ac:dyDescent="0.3">
      <c r="A4277" s="249"/>
      <c r="B4277" s="238"/>
      <c r="C4277" s="155" t="s">
        <v>1139</v>
      </c>
      <c r="D4277" s="155" t="s">
        <v>816</v>
      </c>
      <c r="E4277" s="34">
        <v>4.41E-2</v>
      </c>
      <c r="F4277" s="49">
        <v>0.5605</v>
      </c>
      <c r="G4277" s="49">
        <f>IF(ISNUMBER(F4277),E4277*F4277,"")</f>
        <v>2.4718050000000002E-2</v>
      </c>
      <c r="H4277" s="65"/>
      <c r="I4277" s="66"/>
      <c r="J4277" s="125">
        <v>0</v>
      </c>
    </row>
    <row r="4278" spans="1:10" ht="51.75" hidden="1" thickBot="1" x14ac:dyDescent="0.3">
      <c r="A4278" s="249"/>
      <c r="B4278" s="238"/>
      <c r="C4278" s="155" t="s">
        <v>1140</v>
      </c>
      <c r="D4278" s="155" t="s">
        <v>814</v>
      </c>
      <c r="E4278" s="34">
        <v>3.8E-3</v>
      </c>
      <c r="F4278" s="49">
        <v>11.475999999999999</v>
      </c>
      <c r="G4278" s="49">
        <f>IF(ISNUMBER(F4278),E4278*F4278,"")</f>
        <v>4.3608799999999996E-2</v>
      </c>
      <c r="H4278" s="65"/>
      <c r="I4278" s="66"/>
      <c r="J4278" s="125">
        <v>0</v>
      </c>
    </row>
    <row r="4279" spans="1:10" ht="51.75" hidden="1" thickBot="1" x14ac:dyDescent="0.3">
      <c r="A4279" s="249"/>
      <c r="B4279" s="238"/>
      <c r="C4279" s="155" t="s">
        <v>1141</v>
      </c>
      <c r="D4279" s="155" t="s">
        <v>816</v>
      </c>
      <c r="E4279" s="34">
        <v>4.4400000000000002E-2</v>
      </c>
      <c r="F4279" s="49">
        <v>1.159</v>
      </c>
      <c r="G4279" s="49">
        <f>IF(ISNUMBER(F4279),E4279*F4279,"")</f>
        <v>5.1459600000000001E-2</v>
      </c>
      <c r="H4279" s="65"/>
      <c r="I4279" s="66"/>
      <c r="J4279" s="125">
        <v>0</v>
      </c>
    </row>
    <row r="4280" spans="1:10" ht="51.75" hidden="1" thickBot="1" x14ac:dyDescent="0.3">
      <c r="A4280" s="249"/>
      <c r="B4280" s="238"/>
      <c r="C4280" s="155" t="s">
        <v>10661</v>
      </c>
      <c r="D4280" s="155" t="s">
        <v>85</v>
      </c>
      <c r="E4280" s="34">
        <f>1*(E4271+E4272)</f>
        <v>6.0400000000000002E-2</v>
      </c>
      <c r="F4280" s="31">
        <v>8.6578848500000003</v>
      </c>
      <c r="G4280" s="31">
        <f>IF(ISNUMBER(F4280),E4280*F4280,"")</f>
        <v>0.52293624494000002</v>
      </c>
      <c r="H4280" s="32"/>
      <c r="I4280" s="28"/>
      <c r="J4280" s="125">
        <v>0</v>
      </c>
    </row>
    <row r="4281" spans="1:10" ht="39" hidden="1" thickBot="1" x14ac:dyDescent="0.3">
      <c r="A4281" s="249"/>
      <c r="B4281" s="238"/>
      <c r="C4281" s="155" t="s">
        <v>10602</v>
      </c>
      <c r="D4281" s="155" t="s">
        <v>1292</v>
      </c>
      <c r="E4281" s="34">
        <f>20*(E4271+E4272)</f>
        <v>1.208</v>
      </c>
      <c r="F4281" s="49">
        <v>2.9395830999999997</v>
      </c>
      <c r="G4281" s="49">
        <f>IF(ISNUMBER(F4281),E4281*F4281,"")</f>
        <v>3.5510163847999996</v>
      </c>
      <c r="H4281" s="65"/>
      <c r="I4281" s="66"/>
      <c r="J4281" s="125">
        <v>0</v>
      </c>
    </row>
    <row r="4282" spans="1:10" ht="15.75" hidden="1" thickBot="1" x14ac:dyDescent="0.3">
      <c r="A4282" s="249"/>
      <c r="B4282" s="238"/>
      <c r="C4282" s="155"/>
      <c r="D4282" s="33"/>
      <c r="E4282" s="34"/>
      <c r="F4282" s="49" t="s">
        <v>418</v>
      </c>
      <c r="G4282" s="49" t="str">
        <f>IF(ISNUMBER(F4282),E4282*F4282,"")</f>
        <v/>
      </c>
      <c r="H4282" s="65"/>
      <c r="I4282" s="66"/>
      <c r="J4282" s="125">
        <v>0</v>
      </c>
    </row>
    <row r="4283" spans="1:10" ht="26.25" hidden="1" thickBot="1" x14ac:dyDescent="0.3">
      <c r="A4283" s="249"/>
      <c r="B4283" s="238"/>
      <c r="C4283" s="43" t="s">
        <v>1142</v>
      </c>
      <c r="D4283" s="33"/>
      <c r="E4283" s="34"/>
      <c r="F4283" s="49" t="s">
        <v>418</v>
      </c>
      <c r="G4283" s="49" t="str">
        <f>IF(ISNUMBER(F4283),E4283*F4283,"")</f>
        <v/>
      </c>
      <c r="H4283" s="65"/>
      <c r="I4283" s="66"/>
      <c r="J4283" s="125">
        <v>0</v>
      </c>
    </row>
    <row r="4284" spans="1:10" ht="15.75" hidden="1" thickBot="1" x14ac:dyDescent="0.3">
      <c r="A4284" s="250"/>
      <c r="B4284" s="239"/>
      <c r="C4284" s="164"/>
      <c r="D4284" s="50"/>
      <c r="E4284" s="61"/>
      <c r="F4284" s="68" t="s">
        <v>418</v>
      </c>
      <c r="G4284" s="68" t="str">
        <f>IF(ISNUMBER(F4284),E4284*F4284,"")</f>
        <v/>
      </c>
      <c r="H4284" s="69"/>
      <c r="I4284" s="66"/>
      <c r="J4284" s="125">
        <v>0</v>
      </c>
    </row>
    <row r="4285" spans="1:10" ht="15.75" hidden="1" thickBot="1" x14ac:dyDescent="0.3">
      <c r="A4285" s="234" t="s">
        <v>1143</v>
      </c>
      <c r="B4285" s="237" t="s">
        <v>1852</v>
      </c>
      <c r="C4285" s="160"/>
      <c r="D4285" s="23" t="s">
        <v>81</v>
      </c>
      <c r="E4285" s="24"/>
      <c r="F4285" s="44" t="s">
        <v>418</v>
      </c>
      <c r="G4285" s="25" t="str">
        <f>IF(ISNUMBER(F4285),E4285*F4285,"")</f>
        <v/>
      </c>
      <c r="H4285" s="26"/>
      <c r="I4285" s="27"/>
      <c r="J4285" s="125">
        <v>0</v>
      </c>
    </row>
    <row r="4286" spans="1:10" ht="15.75" hidden="1" thickBot="1" x14ac:dyDescent="0.3">
      <c r="A4286" s="249"/>
      <c r="B4286" s="238"/>
      <c r="C4286" s="151"/>
      <c r="D4286" s="29"/>
      <c r="E4286" s="30"/>
      <c r="F4286" s="49" t="s">
        <v>418</v>
      </c>
      <c r="G4286" s="49" t="str">
        <f>IF(ISNUMBER(F4286),E4286*F4286,"")</f>
        <v/>
      </c>
      <c r="H4286" s="65"/>
      <c r="I4286" s="66"/>
      <c r="J4286" s="125">
        <v>0</v>
      </c>
    </row>
    <row r="4287" spans="1:10" ht="15.75" hidden="1" thickBot="1" x14ac:dyDescent="0.3">
      <c r="A4287" s="249"/>
      <c r="B4287" s="238"/>
      <c r="C4287" s="155" t="s">
        <v>588</v>
      </c>
      <c r="D4287" s="155" t="s">
        <v>587</v>
      </c>
      <c r="E4287" s="34">
        <v>0.4</v>
      </c>
      <c r="F4287" s="49">
        <v>19.189999999999998</v>
      </c>
      <c r="G4287" s="49">
        <f>IF(ISNUMBER(F4287),E4287*F4287,"")</f>
        <v>7.6759999999999993</v>
      </c>
      <c r="H4287" s="35">
        <f>SUM(G4287:G4308)</f>
        <v>658.45823361399994</v>
      </c>
      <c r="I4287" s="36"/>
      <c r="J4287" s="125">
        <v>0</v>
      </c>
    </row>
    <row r="4288" spans="1:10" ht="39" hidden="1" thickBot="1" x14ac:dyDescent="0.3">
      <c r="A4288" s="249"/>
      <c r="B4288" s="238"/>
      <c r="C4288" s="155" t="s">
        <v>1144</v>
      </c>
      <c r="D4288" s="155" t="s">
        <v>816</v>
      </c>
      <c r="E4288" s="34">
        <v>6.0000000000000001E-3</v>
      </c>
      <c r="F4288" s="49">
        <v>84.863499999999988</v>
      </c>
      <c r="G4288" s="49">
        <f>IF(ISNUMBER(F4288),E4288*F4288,"")</f>
        <v>0.50918099999999988</v>
      </c>
      <c r="H4288" s="65"/>
      <c r="I4288" s="66"/>
      <c r="J4288" s="125">
        <v>0</v>
      </c>
    </row>
    <row r="4289" spans="1:10" ht="39" hidden="1" thickBot="1" x14ac:dyDescent="0.3">
      <c r="A4289" s="249"/>
      <c r="B4289" s="238"/>
      <c r="C4289" s="155" t="s">
        <v>1145</v>
      </c>
      <c r="D4289" s="155" t="s">
        <v>814</v>
      </c>
      <c r="E4289" s="34">
        <v>1.0699999999999999E-2</v>
      </c>
      <c r="F4289" s="49">
        <v>214.30099999999999</v>
      </c>
      <c r="G4289" s="49">
        <f>IF(ISNUMBER(F4289),E4289*F4289,"")</f>
        <v>2.2930206999999996</v>
      </c>
      <c r="H4289" s="65"/>
      <c r="I4289" s="66"/>
      <c r="J4289" s="125">
        <v>0</v>
      </c>
    </row>
    <row r="4290" spans="1:10" ht="39" hidden="1" thickBot="1" x14ac:dyDescent="0.3">
      <c r="A4290" s="249"/>
      <c r="B4290" s="238"/>
      <c r="C4290" s="155" t="s">
        <v>1146</v>
      </c>
      <c r="D4290" s="155" t="s">
        <v>814</v>
      </c>
      <c r="E4290" s="34">
        <v>6.1999999999999998E-3</v>
      </c>
      <c r="F4290" s="49">
        <v>228.86449999999999</v>
      </c>
      <c r="G4290" s="49">
        <f>IF(ISNUMBER(F4290),E4290*F4290,"")</f>
        <v>1.4189598999999999</v>
      </c>
      <c r="H4290" s="65"/>
      <c r="I4290" s="66"/>
      <c r="J4290" s="125">
        <v>0</v>
      </c>
    </row>
    <row r="4291" spans="1:10" ht="39" hidden="1" thickBot="1" x14ac:dyDescent="0.3">
      <c r="A4291" s="249"/>
      <c r="B4291" s="238"/>
      <c r="C4291" s="155" t="s">
        <v>1147</v>
      </c>
      <c r="D4291" s="155" t="s">
        <v>816</v>
      </c>
      <c r="E4291" s="34">
        <v>1.0500000000000001E-2</v>
      </c>
      <c r="F4291" s="49">
        <v>78.678999999999988</v>
      </c>
      <c r="G4291" s="49">
        <f>IF(ISNUMBER(F4291),E4291*F4291,"")</f>
        <v>0.82612949999999996</v>
      </c>
      <c r="H4291" s="65"/>
      <c r="I4291" s="66"/>
      <c r="J4291" s="125">
        <v>0</v>
      </c>
    </row>
    <row r="4292" spans="1:10" ht="26.25" hidden="1" thickBot="1" x14ac:dyDescent="0.3">
      <c r="A4292" s="249"/>
      <c r="B4292" s="238"/>
      <c r="C4292" s="155" t="s">
        <v>1148</v>
      </c>
      <c r="D4292" s="155" t="s">
        <v>816</v>
      </c>
      <c r="E4292" s="34">
        <v>1.2200000000000001E-2</v>
      </c>
      <c r="F4292" s="49">
        <v>40.118499999999997</v>
      </c>
      <c r="G4292" s="49">
        <f>IF(ISNUMBER(F4292),E4292*F4292,"")</f>
        <v>0.48944569999999998</v>
      </c>
      <c r="H4292" s="65"/>
      <c r="I4292" s="66"/>
      <c r="J4292" s="125">
        <v>0</v>
      </c>
    </row>
    <row r="4293" spans="1:10" ht="26.25" hidden="1" thickBot="1" x14ac:dyDescent="0.3">
      <c r="A4293" s="249"/>
      <c r="B4293" s="238"/>
      <c r="C4293" s="155" t="s">
        <v>1149</v>
      </c>
      <c r="D4293" s="155" t="s">
        <v>814</v>
      </c>
      <c r="E4293" s="34">
        <v>4.4999999999999997E-3</v>
      </c>
      <c r="F4293" s="49">
        <v>125.71350000000001</v>
      </c>
      <c r="G4293" s="49">
        <f>IF(ISNUMBER(F4293),E4293*F4293,"")</f>
        <v>0.56571075000000004</v>
      </c>
      <c r="H4293" s="65"/>
      <c r="I4293" s="66"/>
      <c r="J4293" s="125">
        <v>0</v>
      </c>
    </row>
    <row r="4294" spans="1:10" ht="26.25" hidden="1" thickBot="1" x14ac:dyDescent="0.3">
      <c r="A4294" s="249"/>
      <c r="B4294" s="238"/>
      <c r="C4294" s="155" t="s">
        <v>1150</v>
      </c>
      <c r="D4294" s="155" t="s">
        <v>816</v>
      </c>
      <c r="E4294" s="34">
        <v>1.2200000000000001E-2</v>
      </c>
      <c r="F4294" s="49">
        <v>4.9209999999999994</v>
      </c>
      <c r="G4294" s="49">
        <f>IF(ISNUMBER(F4294),E4294*F4294,"")</f>
        <v>6.0036199999999998E-2</v>
      </c>
      <c r="H4294" s="65"/>
      <c r="I4294" s="66"/>
      <c r="J4294" s="125">
        <v>0</v>
      </c>
    </row>
    <row r="4295" spans="1:10" ht="26.25" hidden="1" thickBot="1" x14ac:dyDescent="0.3">
      <c r="A4295" s="249"/>
      <c r="B4295" s="238"/>
      <c r="C4295" s="155" t="s">
        <v>1151</v>
      </c>
      <c r="D4295" s="155" t="s">
        <v>814</v>
      </c>
      <c r="E4295" s="34">
        <v>4.4999999999999997E-3</v>
      </c>
      <c r="F4295" s="49">
        <v>9.7850000000000001</v>
      </c>
      <c r="G4295" s="49">
        <f>IF(ISNUMBER(F4295),E4295*F4295,"")</f>
        <v>4.4032499999999995E-2</v>
      </c>
      <c r="H4295" s="65"/>
      <c r="I4295" s="66"/>
      <c r="J4295" s="125">
        <v>0</v>
      </c>
    </row>
    <row r="4296" spans="1:10" ht="39" hidden="1" thickBot="1" x14ac:dyDescent="0.3">
      <c r="A4296" s="249"/>
      <c r="B4296" s="238"/>
      <c r="C4296" s="155" t="s">
        <v>1152</v>
      </c>
      <c r="D4296" s="155" t="s">
        <v>814</v>
      </c>
      <c r="E4296" s="34">
        <v>1.67E-2</v>
      </c>
      <c r="F4296" s="49">
        <v>387.86599999999993</v>
      </c>
      <c r="G4296" s="49">
        <f>IF(ISNUMBER(F4296),E4296*F4296,"")</f>
        <v>6.4773621999999991</v>
      </c>
      <c r="H4296" s="65"/>
      <c r="I4296" s="66"/>
      <c r="J4296" s="125">
        <v>0</v>
      </c>
    </row>
    <row r="4297" spans="1:10" ht="39" hidden="1" thickBot="1" x14ac:dyDescent="0.3">
      <c r="A4297" s="249"/>
      <c r="B4297" s="238"/>
      <c r="C4297" s="155" t="s">
        <v>1153</v>
      </c>
      <c r="D4297" s="155" t="s">
        <v>814</v>
      </c>
      <c r="E4297" s="34">
        <v>2.7199999999999998E-2</v>
      </c>
      <c r="F4297" s="49">
        <v>279.56599999999997</v>
      </c>
      <c r="G4297" s="49">
        <f>IF(ISNUMBER(F4297),E4297*F4297,"")</f>
        <v>7.6041951999999986</v>
      </c>
      <c r="H4297" s="65"/>
      <c r="I4297" s="66"/>
      <c r="J4297" s="125">
        <v>0</v>
      </c>
    </row>
    <row r="4298" spans="1:10" ht="15.75" hidden="1" thickBot="1" x14ac:dyDescent="0.3">
      <c r="A4298" s="249"/>
      <c r="B4298" s="238"/>
      <c r="C4298" s="155" t="s">
        <v>588</v>
      </c>
      <c r="D4298" s="155" t="s">
        <v>587</v>
      </c>
      <c r="E4298" s="34">
        <v>0.3</v>
      </c>
      <c r="F4298" s="49">
        <v>19.189999999999998</v>
      </c>
      <c r="G4298" s="49">
        <f>IF(ISNUMBER(F4298),E4298*F4298,"")</f>
        <v>5.7569999999999988</v>
      </c>
      <c r="H4298" s="65"/>
      <c r="I4298" s="66"/>
      <c r="J4298" s="125">
        <v>0</v>
      </c>
    </row>
    <row r="4299" spans="1:10" ht="26.25" hidden="1" thickBot="1" x14ac:dyDescent="0.3">
      <c r="A4299" s="249"/>
      <c r="B4299" s="238"/>
      <c r="C4299" s="155" t="s">
        <v>1154</v>
      </c>
      <c r="D4299" s="155" t="s">
        <v>85</v>
      </c>
      <c r="E4299" s="34">
        <v>0.18</v>
      </c>
      <c r="F4299" s="49">
        <v>67.364499999999992</v>
      </c>
      <c r="G4299" s="49">
        <f>IF(ISNUMBER(F4299),E4299*F4299,"")</f>
        <v>12.125609999999998</v>
      </c>
      <c r="H4299" s="65"/>
      <c r="I4299" s="66"/>
      <c r="J4299" s="125">
        <v>0</v>
      </c>
    </row>
    <row r="4300" spans="1:10" ht="26.25" hidden="1" thickBot="1" x14ac:dyDescent="0.3">
      <c r="A4300" s="249"/>
      <c r="B4300" s="238"/>
      <c r="C4300" s="155" t="s">
        <v>635</v>
      </c>
      <c r="D4300" s="155" t="s">
        <v>85</v>
      </c>
      <c r="E4300" s="34">
        <v>1.26</v>
      </c>
      <c r="F4300" s="49">
        <v>259.12199999999996</v>
      </c>
      <c r="G4300" s="49">
        <f>IF(ISNUMBER(F4300),E4300*F4300,"")</f>
        <v>326.49371999999994</v>
      </c>
      <c r="H4300" s="65"/>
      <c r="I4300" s="66"/>
      <c r="J4300" s="125">
        <v>0</v>
      </c>
    </row>
    <row r="4301" spans="1:10" ht="15.75" hidden="1" thickBot="1" x14ac:dyDescent="0.3">
      <c r="A4301" s="249"/>
      <c r="B4301" s="238"/>
      <c r="C4301" s="155" t="s">
        <v>19259</v>
      </c>
      <c r="D4301" s="33" t="s">
        <v>28</v>
      </c>
      <c r="E4301" s="34">
        <v>140</v>
      </c>
      <c r="F4301" s="49">
        <v>0.95</v>
      </c>
      <c r="G4301" s="49">
        <f>IF(ISNUMBER(F4301),E4301*F4301,"")</f>
        <v>133</v>
      </c>
      <c r="H4301" s="65"/>
      <c r="I4301" s="66"/>
      <c r="J4301" s="125">
        <v>0</v>
      </c>
    </row>
    <row r="4302" spans="1:10" ht="26.25" hidden="1" thickBot="1" x14ac:dyDescent="0.3">
      <c r="A4302" s="249"/>
      <c r="B4302" s="238"/>
      <c r="C4302" s="155" t="s">
        <v>1156</v>
      </c>
      <c r="D4302" s="155" t="s">
        <v>814</v>
      </c>
      <c r="E4302" s="34">
        <v>0.05</v>
      </c>
      <c r="F4302" s="49">
        <v>180.43350000000001</v>
      </c>
      <c r="G4302" s="49">
        <f>IF(ISNUMBER(F4302),E4302*F4302,"")</f>
        <v>9.0216750000000001</v>
      </c>
      <c r="H4302" s="65"/>
      <c r="I4302" s="66"/>
      <c r="J4302" s="125">
        <v>0</v>
      </c>
    </row>
    <row r="4303" spans="1:10" ht="39" hidden="1" thickBot="1" x14ac:dyDescent="0.3">
      <c r="A4303" s="249"/>
      <c r="B4303" s="238"/>
      <c r="C4303" s="155" t="s">
        <v>1157</v>
      </c>
      <c r="D4303" s="155" t="s">
        <v>814</v>
      </c>
      <c r="E4303" s="34">
        <v>2.1000000000000001E-2</v>
      </c>
      <c r="F4303" s="49">
        <v>216.828</v>
      </c>
      <c r="G4303" s="49">
        <f>IF(ISNUMBER(F4303),E4303*F4303,"")</f>
        <v>4.553388</v>
      </c>
      <c r="H4303" s="65"/>
      <c r="I4303" s="66"/>
      <c r="J4303" s="125">
        <v>0</v>
      </c>
    </row>
    <row r="4304" spans="1:10" ht="39" hidden="1" thickBot="1" x14ac:dyDescent="0.3">
      <c r="A4304" s="249"/>
      <c r="B4304" s="238"/>
      <c r="C4304" s="155" t="s">
        <v>1158</v>
      </c>
      <c r="D4304" s="155" t="s">
        <v>816</v>
      </c>
      <c r="E4304" s="34">
        <v>2.9000000000000001E-2</v>
      </c>
      <c r="F4304" s="49">
        <v>84.445499999999996</v>
      </c>
      <c r="G4304" s="49">
        <f>IF(ISNUMBER(F4304),E4304*F4304,"")</f>
        <v>2.4489195000000001</v>
      </c>
      <c r="H4304" s="65"/>
      <c r="I4304" s="66"/>
      <c r="J4304" s="125">
        <v>0</v>
      </c>
    </row>
    <row r="4305" spans="1:10" ht="26.25" hidden="1" thickBot="1" x14ac:dyDescent="0.3">
      <c r="A4305" s="249"/>
      <c r="B4305" s="238"/>
      <c r="C4305" s="155" t="s">
        <v>21626</v>
      </c>
      <c r="D4305" s="155" t="s">
        <v>814</v>
      </c>
      <c r="E4305" s="34">
        <v>0.05</v>
      </c>
      <c r="F4305" s="49">
        <v>235.79</v>
      </c>
      <c r="G4305" s="49">
        <f>IF(ISNUMBER(F4305),E4305*F4305,"")</f>
        <v>11.7895</v>
      </c>
      <c r="H4305" s="65"/>
      <c r="I4305" s="66"/>
      <c r="J4305" s="125">
        <v>0</v>
      </c>
    </row>
    <row r="4306" spans="1:10" ht="26.25" hidden="1" thickBot="1" x14ac:dyDescent="0.3">
      <c r="A4306" s="249"/>
      <c r="B4306" s="238"/>
      <c r="C4306" s="155" t="s">
        <v>21606</v>
      </c>
      <c r="D4306" s="155" t="s">
        <v>814</v>
      </c>
      <c r="E4306" s="34">
        <v>0.1</v>
      </c>
      <c r="F4306" s="49">
        <v>281.77</v>
      </c>
      <c r="G4306" s="49">
        <f>IF(ISNUMBER(F4306),E4306*F4306,"")</f>
        <v>28.177</v>
      </c>
      <c r="H4306" s="65"/>
      <c r="I4306" s="66"/>
      <c r="J4306" s="125">
        <v>0</v>
      </c>
    </row>
    <row r="4307" spans="1:10" ht="51.75" hidden="1" thickBot="1" x14ac:dyDescent="0.3">
      <c r="A4307" s="249"/>
      <c r="B4307" s="238"/>
      <c r="C4307" s="155" t="s">
        <v>10661</v>
      </c>
      <c r="D4307" s="155" t="s">
        <v>85</v>
      </c>
      <c r="E4307" s="34">
        <f>1*(E4299+E4300)</f>
        <v>1.44</v>
      </c>
      <c r="F4307" s="31">
        <v>8.6578848500000003</v>
      </c>
      <c r="G4307" s="31">
        <f>IF(ISNUMBER(F4307),E4307*F4307,"")</f>
        <v>12.467354184</v>
      </c>
      <c r="H4307" s="32"/>
      <c r="I4307" s="28"/>
      <c r="J4307" s="125">
        <v>0</v>
      </c>
    </row>
    <row r="4308" spans="1:10" ht="39" hidden="1" thickBot="1" x14ac:dyDescent="0.3">
      <c r="A4308" s="249"/>
      <c r="B4308" s="238"/>
      <c r="C4308" s="155" t="s">
        <v>10602</v>
      </c>
      <c r="D4308" s="155" t="s">
        <v>1292</v>
      </c>
      <c r="E4308" s="34">
        <f>20*(E4300+E4299)</f>
        <v>28.799999999999997</v>
      </c>
      <c r="F4308" s="49">
        <v>2.9395830999999997</v>
      </c>
      <c r="G4308" s="49">
        <f>IF(ISNUMBER(F4308),E4308*F4308,"")</f>
        <v>84.659993279999981</v>
      </c>
      <c r="H4308" s="65"/>
      <c r="I4308" s="66"/>
      <c r="J4308" s="125">
        <v>0</v>
      </c>
    </row>
    <row r="4309" spans="1:10" ht="15.75" hidden="1" thickBot="1" x14ac:dyDescent="0.3">
      <c r="A4309" s="249"/>
      <c r="B4309" s="238"/>
      <c r="C4309" s="155"/>
      <c r="D4309" s="33"/>
      <c r="E4309" s="34"/>
      <c r="F4309" s="49" t="s">
        <v>418</v>
      </c>
      <c r="G4309" s="49" t="str">
        <f>IF(ISNUMBER(F4309),E4309*F4309,"")</f>
        <v/>
      </c>
      <c r="H4309" s="65"/>
      <c r="I4309" s="66"/>
      <c r="J4309" s="125">
        <v>0</v>
      </c>
    </row>
    <row r="4310" spans="1:10" ht="26.25" hidden="1" thickBot="1" x14ac:dyDescent="0.3">
      <c r="A4310" s="249"/>
      <c r="B4310" s="238"/>
      <c r="C4310" s="43" t="s">
        <v>1142</v>
      </c>
      <c r="D4310" s="33"/>
      <c r="E4310" s="34"/>
      <c r="F4310" s="49" t="s">
        <v>418</v>
      </c>
      <c r="G4310" s="49" t="str">
        <f>IF(ISNUMBER(F4310),E4310*F4310,"")</f>
        <v/>
      </c>
      <c r="H4310" s="65"/>
      <c r="I4310" s="66"/>
      <c r="J4310" s="125">
        <v>0</v>
      </c>
    </row>
    <row r="4311" spans="1:10" ht="15.75" hidden="1" thickBot="1" x14ac:dyDescent="0.3">
      <c r="A4311" s="250"/>
      <c r="B4311" s="239"/>
      <c r="C4311" s="164"/>
      <c r="D4311" s="50"/>
      <c r="E4311" s="61"/>
      <c r="F4311" s="68" t="s">
        <v>418</v>
      </c>
      <c r="G4311" s="68" t="str">
        <f>IF(ISNUMBER(F4311),E4311*F4311,"")</f>
        <v/>
      </c>
      <c r="H4311" s="69"/>
      <c r="I4311" s="66"/>
      <c r="J4311" s="125">
        <v>0</v>
      </c>
    </row>
    <row r="4312" spans="1:10" ht="15.75" hidden="1" thickBot="1" x14ac:dyDescent="0.3">
      <c r="A4312" s="234" t="s">
        <v>1159</v>
      </c>
      <c r="B4312" s="237" t="s">
        <v>1853</v>
      </c>
      <c r="C4312" s="160"/>
      <c r="D4312" s="23" t="s">
        <v>81</v>
      </c>
      <c r="E4312" s="24"/>
      <c r="F4312" s="44" t="s">
        <v>418</v>
      </c>
      <c r="G4312" s="25" t="str">
        <f>IF(ISNUMBER(F4312),E4312*F4312,"")</f>
        <v/>
      </c>
      <c r="H4312" s="26"/>
      <c r="I4312" s="27"/>
      <c r="J4312" s="125">
        <v>0</v>
      </c>
    </row>
    <row r="4313" spans="1:10" ht="15.75" hidden="1" thickBot="1" x14ac:dyDescent="0.3">
      <c r="A4313" s="249"/>
      <c r="B4313" s="238"/>
      <c r="C4313" s="151"/>
      <c r="D4313" s="29"/>
      <c r="E4313" s="30"/>
      <c r="F4313" s="49" t="s">
        <v>418</v>
      </c>
      <c r="G4313" s="49" t="str">
        <f>IF(ISNUMBER(F4313),E4313*F4313,"")</f>
        <v/>
      </c>
      <c r="H4313" s="65"/>
      <c r="I4313" s="66"/>
      <c r="J4313" s="125">
        <v>0</v>
      </c>
    </row>
    <row r="4314" spans="1:10" ht="15.75" hidden="1" thickBot="1" x14ac:dyDescent="0.3">
      <c r="A4314" s="249"/>
      <c r="B4314" s="238"/>
      <c r="C4314" s="155" t="s">
        <v>588</v>
      </c>
      <c r="D4314" s="155" t="s">
        <v>587</v>
      </c>
      <c r="E4314" s="34">
        <f>6/0.5</f>
        <v>12</v>
      </c>
      <c r="F4314" s="49">
        <v>19.189999999999998</v>
      </c>
      <c r="G4314" s="49">
        <f>IF(ISNUMBER(F4314),E4314*F4314,"")</f>
        <v>230.27999999999997</v>
      </c>
      <c r="H4314" s="35">
        <f>SUM(G4314:G4317)</f>
        <v>232.17999999999998</v>
      </c>
      <c r="I4314" s="36"/>
      <c r="J4314" s="125">
        <v>0</v>
      </c>
    </row>
    <row r="4315" spans="1:10" ht="15.75" hidden="1" thickBot="1" x14ac:dyDescent="0.3">
      <c r="A4315" s="249"/>
      <c r="B4315" s="238"/>
      <c r="C4315" s="155" t="s">
        <v>1160</v>
      </c>
      <c r="D4315" s="33" t="s">
        <v>814</v>
      </c>
      <c r="E4315" s="34">
        <f>0.23/0.5</f>
        <v>0.46</v>
      </c>
      <c r="F4315" s="49">
        <v>0.95</v>
      </c>
      <c r="G4315" s="49">
        <f>IF(ISNUMBER(F4315),E4315*F4315,"")</f>
        <v>0.437</v>
      </c>
      <c r="H4315" s="65"/>
      <c r="I4315" s="66"/>
      <c r="J4315" s="125">
        <v>0</v>
      </c>
    </row>
    <row r="4316" spans="1:10" ht="15.75" hidden="1" thickBot="1" x14ac:dyDescent="0.3">
      <c r="A4316" s="249"/>
      <c r="B4316" s="238"/>
      <c r="C4316" s="155" t="s">
        <v>1162</v>
      </c>
      <c r="D4316" s="33" t="s">
        <v>816</v>
      </c>
      <c r="E4316" s="34">
        <f>0.77/0.5</f>
        <v>1.54</v>
      </c>
      <c r="F4316" s="49">
        <v>0.95</v>
      </c>
      <c r="G4316" s="49">
        <f>IF(ISNUMBER(F4316),E4316*F4316,"")</f>
        <v>1.4629999999999999</v>
      </c>
      <c r="H4316" s="65"/>
      <c r="I4316" s="66"/>
      <c r="J4316" s="125">
        <v>0</v>
      </c>
    </row>
    <row r="4317" spans="1:10" ht="15.75" hidden="1" thickBot="1" x14ac:dyDescent="0.3">
      <c r="A4317" s="249"/>
      <c r="B4317" s="238"/>
      <c r="C4317" s="155" t="s">
        <v>1163</v>
      </c>
      <c r="D4317" s="33" t="s">
        <v>28</v>
      </c>
      <c r="E4317" s="34">
        <v>2500</v>
      </c>
      <c r="F4317" s="49" t="s">
        <v>418</v>
      </c>
      <c r="G4317" s="49" t="str">
        <f>IF(ISNUMBER(F4317),E4317*F4317,"")</f>
        <v/>
      </c>
      <c r="H4317" s="65"/>
      <c r="I4317" s="66"/>
      <c r="J4317" s="125">
        <v>0</v>
      </c>
    </row>
    <row r="4318" spans="1:10" ht="15.75" hidden="1" thickBot="1" x14ac:dyDescent="0.3">
      <c r="A4318" s="250"/>
      <c r="B4318" s="239"/>
      <c r="C4318" s="164"/>
      <c r="D4318" s="50"/>
      <c r="E4318" s="61"/>
      <c r="F4318" s="68" t="s">
        <v>418</v>
      </c>
      <c r="G4318" s="68" t="str">
        <f>IF(ISNUMBER(F4318),E4318*F4318,"")</f>
        <v/>
      </c>
      <c r="H4318" s="69"/>
      <c r="I4318" s="66"/>
      <c r="J4318" s="125">
        <v>0</v>
      </c>
    </row>
    <row r="4319" spans="1:10" ht="15.75" hidden="1" thickBot="1" x14ac:dyDescent="0.3">
      <c r="A4319" s="234" t="s">
        <v>1164</v>
      </c>
      <c r="B4319" s="237" t="s">
        <v>20926</v>
      </c>
      <c r="C4319" s="160"/>
      <c r="D4319" s="23" t="s">
        <v>69</v>
      </c>
      <c r="E4319" s="24"/>
      <c r="F4319" s="44" t="s">
        <v>418</v>
      </c>
      <c r="G4319" s="25" t="str">
        <f>IF(ISNUMBER(F4319),E4319*F4319,"")</f>
        <v/>
      </c>
      <c r="H4319" s="26"/>
      <c r="I4319" s="27"/>
      <c r="J4319" s="125">
        <v>0</v>
      </c>
    </row>
    <row r="4320" spans="1:10" ht="15.75" hidden="1" thickBot="1" x14ac:dyDescent="0.3">
      <c r="A4320" s="249"/>
      <c r="B4320" s="238"/>
      <c r="C4320" s="151"/>
      <c r="D4320" s="29"/>
      <c r="E4320" s="30"/>
      <c r="F4320" s="49" t="s">
        <v>418</v>
      </c>
      <c r="G4320" s="49" t="str">
        <f>IF(ISNUMBER(F4320),E4320*F4320,"")</f>
        <v/>
      </c>
      <c r="H4320" s="65"/>
      <c r="I4320" s="66"/>
      <c r="J4320" s="125">
        <v>0</v>
      </c>
    </row>
    <row r="4321" spans="1:10" ht="15.75" hidden="1" thickBot="1" x14ac:dyDescent="0.3">
      <c r="A4321" s="249"/>
      <c r="B4321" s="238"/>
      <c r="C4321" s="155" t="s">
        <v>25106</v>
      </c>
      <c r="D4321" s="155" t="s">
        <v>76</v>
      </c>
      <c r="E4321" s="34">
        <v>2E-3</v>
      </c>
      <c r="F4321" s="49">
        <v>21.222999999999999</v>
      </c>
      <c r="G4321" s="49">
        <f>IF(ISNUMBER(F4321),E4321*F4321,"")</f>
        <v>4.2445999999999998E-2</v>
      </c>
      <c r="H4321" s="35">
        <f>SUM(G4321:G4328)</f>
        <v>5.6599831500000004</v>
      </c>
      <c r="I4321" s="36"/>
      <c r="J4321" s="125">
        <v>0</v>
      </c>
    </row>
    <row r="4322" spans="1:10" ht="26.25" hidden="1" thickBot="1" x14ac:dyDescent="0.3">
      <c r="A4322" s="249"/>
      <c r="B4322" s="238"/>
      <c r="C4322" s="155" t="s">
        <v>27826</v>
      </c>
      <c r="D4322" s="155" t="s">
        <v>76</v>
      </c>
      <c r="E4322" s="34">
        <v>4.2999999999999997E-2</v>
      </c>
      <c r="F4322" s="49">
        <v>16.387499999999999</v>
      </c>
      <c r="G4322" s="49">
        <f>IF(ISNUMBER(F4322),E4322*F4322,"")</f>
        <v>0.70466249999999986</v>
      </c>
      <c r="H4322" s="65"/>
      <c r="I4322" s="66"/>
      <c r="J4322" s="125">
        <v>0</v>
      </c>
    </row>
    <row r="4323" spans="1:10" ht="26.25" hidden="1" thickBot="1" x14ac:dyDescent="0.3">
      <c r="A4323" s="249"/>
      <c r="B4323" s="238"/>
      <c r="C4323" s="155" t="s">
        <v>1166</v>
      </c>
      <c r="D4323" s="155" t="s">
        <v>774</v>
      </c>
      <c r="E4323" s="34">
        <v>1.0999999999999999E-2</v>
      </c>
      <c r="F4323" s="49">
        <v>19.788499999999999</v>
      </c>
      <c r="G4323" s="49">
        <f>IF(ISNUMBER(F4323),E4323*F4323,"")</f>
        <v>0.21767349999999996</v>
      </c>
      <c r="H4323" s="65"/>
      <c r="I4323" s="66"/>
      <c r="J4323" s="125">
        <v>0</v>
      </c>
    </row>
    <row r="4324" spans="1:10" ht="26.25" hidden="1" thickBot="1" x14ac:dyDescent="0.3">
      <c r="A4324" s="249"/>
      <c r="B4324" s="238"/>
      <c r="C4324" s="155" t="s">
        <v>38835</v>
      </c>
      <c r="D4324" s="155" t="s">
        <v>774</v>
      </c>
      <c r="E4324" s="34">
        <v>2.5000000000000001E-2</v>
      </c>
      <c r="F4324" s="49">
        <v>19.788499999999999</v>
      </c>
      <c r="G4324" s="49">
        <f>IF(ISNUMBER(F4324),E4324*F4324,"")</f>
        <v>0.4947125</v>
      </c>
      <c r="H4324" s="65"/>
      <c r="I4324" s="66"/>
      <c r="J4324" s="125">
        <v>0</v>
      </c>
    </row>
    <row r="4325" spans="1:10" ht="15.75" hidden="1" thickBot="1" x14ac:dyDescent="0.3">
      <c r="A4325" s="249"/>
      <c r="B4325" s="238"/>
      <c r="C4325" s="155" t="s">
        <v>962</v>
      </c>
      <c r="D4325" s="155" t="s">
        <v>587</v>
      </c>
      <c r="E4325" s="34">
        <v>3.4000000000000002E-2</v>
      </c>
      <c r="F4325" s="49">
        <v>26.799499999999998</v>
      </c>
      <c r="G4325" s="49">
        <f>IF(ISNUMBER(F4325),E4325*F4325,"")</f>
        <v>0.91118299999999997</v>
      </c>
      <c r="H4325" s="65"/>
      <c r="I4325" s="66"/>
      <c r="J4325" s="125">
        <v>0</v>
      </c>
    </row>
    <row r="4326" spans="1:10" ht="15.75" hidden="1" thickBot="1" x14ac:dyDescent="0.3">
      <c r="A4326" s="249"/>
      <c r="B4326" s="238"/>
      <c r="C4326" s="155" t="s">
        <v>588</v>
      </c>
      <c r="D4326" s="155" t="s">
        <v>587</v>
      </c>
      <c r="E4326" s="34">
        <v>1.4E-2</v>
      </c>
      <c r="F4326" s="49">
        <v>19.189999999999998</v>
      </c>
      <c r="G4326" s="49">
        <f>IF(ISNUMBER(F4326),E4326*F4326,"")</f>
        <v>0.26865999999999995</v>
      </c>
      <c r="H4326" s="65"/>
      <c r="I4326" s="66"/>
      <c r="J4326" s="125">
        <v>0</v>
      </c>
    </row>
    <row r="4327" spans="1:10" ht="26.25" hidden="1" thickBot="1" x14ac:dyDescent="0.3">
      <c r="A4327" s="249"/>
      <c r="B4327" s="238"/>
      <c r="C4327" s="155" t="s">
        <v>1167</v>
      </c>
      <c r="D4327" s="155" t="s">
        <v>814</v>
      </c>
      <c r="E4327" s="34">
        <v>2.9999999999999997E-4</v>
      </c>
      <c r="F4327" s="49">
        <v>176.46250000000001</v>
      </c>
      <c r="G4327" s="49">
        <f>IF(ISNUMBER(F4327),E4327*F4327,"")</f>
        <v>5.293875E-2</v>
      </c>
      <c r="H4327" s="65"/>
      <c r="I4327" s="66"/>
      <c r="J4327" s="125">
        <v>0</v>
      </c>
    </row>
    <row r="4328" spans="1:10" ht="26.25" hidden="1" thickBot="1" x14ac:dyDescent="0.3">
      <c r="A4328" s="249"/>
      <c r="B4328" s="238"/>
      <c r="C4328" s="155" t="s">
        <v>2880</v>
      </c>
      <c r="D4328" s="155" t="s">
        <v>816</v>
      </c>
      <c r="E4328" s="34">
        <v>3.3399999999999999E-2</v>
      </c>
      <c r="F4328" s="49">
        <v>88.853499999999997</v>
      </c>
      <c r="G4328" s="49">
        <f>IF(ISNUMBER(F4328),E4328*F4328,"")</f>
        <v>2.9677069</v>
      </c>
      <c r="H4328" s="65"/>
      <c r="I4328" s="66"/>
      <c r="J4328" s="125">
        <v>0</v>
      </c>
    </row>
    <row r="4329" spans="1:10" ht="15.75" hidden="1" thickBot="1" x14ac:dyDescent="0.3">
      <c r="A4329" s="250"/>
      <c r="B4329" s="239"/>
      <c r="C4329" s="164"/>
      <c r="D4329" s="50"/>
      <c r="E4329" s="61"/>
      <c r="F4329" s="68" t="s">
        <v>418</v>
      </c>
      <c r="G4329" s="68" t="str">
        <f>IF(ISNUMBER(F4329),E4329*F4329,"")</f>
        <v/>
      </c>
      <c r="H4329" s="69"/>
      <c r="I4329" s="66"/>
      <c r="J4329" s="125">
        <v>0</v>
      </c>
    </row>
    <row r="4330" spans="1:10" ht="15.75" hidden="1" thickBot="1" x14ac:dyDescent="0.3">
      <c r="A4330" s="234" t="s">
        <v>1168</v>
      </c>
      <c r="B4330" s="237" t="s">
        <v>1854</v>
      </c>
      <c r="C4330" s="160"/>
      <c r="D4330" s="23" t="s">
        <v>70</v>
      </c>
      <c r="E4330" s="24"/>
      <c r="F4330" s="44" t="s">
        <v>418</v>
      </c>
      <c r="G4330" s="25" t="str">
        <f>IF(ISNUMBER(F4330),E4330*F4330,"")</f>
        <v/>
      </c>
      <c r="H4330" s="26"/>
      <c r="I4330" s="27"/>
      <c r="J4330" s="125">
        <v>0</v>
      </c>
    </row>
    <row r="4331" spans="1:10" ht="15.75" hidden="1" thickBot="1" x14ac:dyDescent="0.3">
      <c r="A4331" s="249"/>
      <c r="B4331" s="238"/>
      <c r="C4331" s="151"/>
      <c r="D4331" s="29"/>
      <c r="E4331" s="30"/>
      <c r="F4331" s="49" t="s">
        <v>418</v>
      </c>
      <c r="G4331" s="49" t="str">
        <f>IF(ISNUMBER(F4331),E4331*F4331,"")</f>
        <v/>
      </c>
      <c r="H4331" s="65"/>
      <c r="I4331" s="66"/>
      <c r="J4331" s="125">
        <v>0</v>
      </c>
    </row>
    <row r="4332" spans="1:10" ht="39" hidden="1" thickBot="1" x14ac:dyDescent="0.3">
      <c r="A4332" s="249"/>
      <c r="B4332" s="238"/>
      <c r="C4332" s="155" t="s">
        <v>10289</v>
      </c>
      <c r="D4332" s="155" t="s">
        <v>870</v>
      </c>
      <c r="E4332" s="34">
        <v>1.1659999999999999</v>
      </c>
      <c r="F4332" s="49">
        <v>45.561999999999998</v>
      </c>
      <c r="G4332" s="49">
        <f>IF(ISNUMBER(F4332),E4332*F4332,"")</f>
        <v>53.125291999999995</v>
      </c>
      <c r="H4332" s="35">
        <f>SUM(G4332:G4337)</f>
        <v>63.70271644999999</v>
      </c>
      <c r="I4332" s="36"/>
      <c r="J4332" s="125">
        <v>0</v>
      </c>
    </row>
    <row r="4333" spans="1:10" ht="39" hidden="1" thickBot="1" x14ac:dyDescent="0.3">
      <c r="A4333" s="249"/>
      <c r="B4333" s="238"/>
      <c r="C4333" s="155" t="s">
        <v>1169</v>
      </c>
      <c r="D4333" s="155" t="s">
        <v>623</v>
      </c>
      <c r="E4333" s="34">
        <v>4.1500000000000004</v>
      </c>
      <c r="F4333" s="49">
        <v>1.5389999999999999</v>
      </c>
      <c r="G4333" s="49">
        <f>IF(ISNUMBER(F4333),E4333*F4333,"")</f>
        <v>6.3868499999999999</v>
      </c>
      <c r="H4333" s="65"/>
      <c r="I4333" s="66"/>
      <c r="J4333" s="125">
        <v>0</v>
      </c>
    </row>
    <row r="4334" spans="1:10" ht="15.75" hidden="1" thickBot="1" x14ac:dyDescent="0.3">
      <c r="A4334" s="249"/>
      <c r="B4334" s="238"/>
      <c r="C4334" s="155" t="s">
        <v>588</v>
      </c>
      <c r="D4334" s="155" t="s">
        <v>587</v>
      </c>
      <c r="E4334" s="34">
        <v>9.7000000000000003E-2</v>
      </c>
      <c r="F4334" s="49">
        <v>19.189999999999998</v>
      </c>
      <c r="G4334" s="49">
        <f>IF(ISNUMBER(F4334),E4334*F4334,"")</f>
        <v>1.8614299999999999</v>
      </c>
      <c r="H4334" s="65"/>
      <c r="I4334" s="66"/>
      <c r="J4334" s="125">
        <v>0</v>
      </c>
    </row>
    <row r="4335" spans="1:10" ht="15.75" hidden="1" thickBot="1" x14ac:dyDescent="0.3">
      <c r="A4335" s="249"/>
      <c r="B4335" s="238"/>
      <c r="C4335" s="155" t="s">
        <v>1170</v>
      </c>
      <c r="D4335" s="155" t="s">
        <v>587</v>
      </c>
      <c r="E4335" s="34">
        <v>9.0999999999999998E-2</v>
      </c>
      <c r="F4335" s="49">
        <v>25.051500000000001</v>
      </c>
      <c r="G4335" s="49">
        <f>IF(ISNUMBER(F4335),E4335*F4335,"")</f>
        <v>2.2796864999999999</v>
      </c>
      <c r="H4335" s="65"/>
      <c r="I4335" s="66"/>
      <c r="J4335" s="125">
        <v>0</v>
      </c>
    </row>
    <row r="4336" spans="1:10" ht="26.25" hidden="1" thickBot="1" x14ac:dyDescent="0.3">
      <c r="A4336" s="249"/>
      <c r="B4336" s="238"/>
      <c r="C4336" s="155" t="s">
        <v>1171</v>
      </c>
      <c r="D4336" s="155" t="s">
        <v>814</v>
      </c>
      <c r="E4336" s="34">
        <v>8.9999999999999998E-4</v>
      </c>
      <c r="F4336" s="49">
        <v>23.103999999999999</v>
      </c>
      <c r="G4336" s="49">
        <f>IF(ISNUMBER(F4336),E4336*F4336,"")</f>
        <v>2.0793599999999999E-2</v>
      </c>
      <c r="H4336" s="65"/>
      <c r="I4336" s="66"/>
      <c r="J4336" s="125">
        <v>0</v>
      </c>
    </row>
    <row r="4337" spans="1:10" ht="26.25" hidden="1" thickBot="1" x14ac:dyDescent="0.3">
      <c r="A4337" s="249"/>
      <c r="B4337" s="238"/>
      <c r="C4337" s="155" t="s">
        <v>1172</v>
      </c>
      <c r="D4337" s="155" t="s">
        <v>816</v>
      </c>
      <c r="E4337" s="34">
        <v>1.2999999999999999E-3</v>
      </c>
      <c r="F4337" s="49">
        <v>22.049499999999998</v>
      </c>
      <c r="G4337" s="49">
        <f>IF(ISNUMBER(F4337),E4337*F4337,"")</f>
        <v>2.8664349999999998E-2</v>
      </c>
      <c r="H4337" s="65"/>
      <c r="I4337" s="66"/>
      <c r="J4337" s="125">
        <v>0</v>
      </c>
    </row>
    <row r="4338" spans="1:10" ht="15.75" hidden="1" thickBot="1" x14ac:dyDescent="0.3">
      <c r="A4338" s="250"/>
      <c r="B4338" s="239"/>
      <c r="C4338" s="164"/>
      <c r="D4338" s="50"/>
      <c r="E4338" s="61"/>
      <c r="F4338" s="68" t="s">
        <v>418</v>
      </c>
      <c r="G4338" s="68" t="str">
        <f>IF(ISNUMBER(F4338),E4338*F4338,"")</f>
        <v/>
      </c>
      <c r="H4338" s="69"/>
      <c r="I4338" s="66"/>
      <c r="J4338" s="125">
        <v>0</v>
      </c>
    </row>
    <row r="4339" spans="1:10" ht="15.75" hidden="1" thickBot="1" x14ac:dyDescent="0.3">
      <c r="A4339" s="234" t="s">
        <v>1173</v>
      </c>
      <c r="B4339" s="237" t="s">
        <v>1855</v>
      </c>
      <c r="C4339" s="160"/>
      <c r="D4339" s="23" t="s">
        <v>69</v>
      </c>
      <c r="E4339" s="24"/>
      <c r="F4339" s="44" t="s">
        <v>418</v>
      </c>
      <c r="G4339" s="25" t="str">
        <f>IF(ISNUMBER(F4339),E4339*F4339,"")</f>
        <v/>
      </c>
      <c r="H4339" s="26"/>
      <c r="I4339" s="27"/>
      <c r="J4339" s="125">
        <v>0</v>
      </c>
    </row>
    <row r="4340" spans="1:10" ht="15.75" hidden="1" thickBot="1" x14ac:dyDescent="0.3">
      <c r="A4340" s="249"/>
      <c r="B4340" s="238"/>
      <c r="C4340" s="151"/>
      <c r="D4340" s="29"/>
      <c r="E4340" s="30"/>
      <c r="F4340" s="49" t="s">
        <v>418</v>
      </c>
      <c r="G4340" s="49" t="str">
        <f>IF(ISNUMBER(F4340),E4340*F4340,"")</f>
        <v/>
      </c>
      <c r="H4340" s="65"/>
      <c r="I4340" s="66"/>
      <c r="J4340" s="125">
        <v>0</v>
      </c>
    </row>
    <row r="4341" spans="1:10" ht="39" hidden="1" thickBot="1" x14ac:dyDescent="0.3">
      <c r="A4341" s="249"/>
      <c r="B4341" s="238"/>
      <c r="C4341" s="155" t="s">
        <v>1169</v>
      </c>
      <c r="D4341" s="155" t="s">
        <v>623</v>
      </c>
      <c r="E4341" s="34">
        <v>4.1500000000000004</v>
      </c>
      <c r="F4341" s="49">
        <v>1.5389999999999999</v>
      </c>
      <c r="G4341" s="49">
        <f>IF(ISNUMBER(F4341),E4341*F4341,"")</f>
        <v>6.3868499999999999</v>
      </c>
      <c r="H4341" s="35">
        <f>SUM(G4341:G4346)</f>
        <v>9.3897259000000002</v>
      </c>
      <c r="I4341" s="36"/>
      <c r="J4341" s="125">
        <v>0</v>
      </c>
    </row>
    <row r="4342" spans="1:10" ht="15.75" hidden="1" thickBot="1" x14ac:dyDescent="0.3">
      <c r="A4342" s="249"/>
      <c r="B4342" s="238"/>
      <c r="C4342" s="155" t="s">
        <v>11125</v>
      </c>
      <c r="D4342" s="33" t="s">
        <v>69</v>
      </c>
      <c r="E4342" s="34">
        <v>1.0289999999999999</v>
      </c>
      <c r="F4342" s="49" t="s">
        <v>418</v>
      </c>
      <c r="G4342" s="49" t="str">
        <f>IF(ISNUMBER(F4342),E4342*F4342,"")</f>
        <v/>
      </c>
      <c r="H4342" s="65"/>
      <c r="I4342" s="66"/>
      <c r="J4342" s="125">
        <v>0</v>
      </c>
    </row>
    <row r="4343" spans="1:10" ht="15.75" hidden="1" thickBot="1" x14ac:dyDescent="0.3">
      <c r="A4343" s="249"/>
      <c r="B4343" s="238"/>
      <c r="C4343" s="155" t="s">
        <v>588</v>
      </c>
      <c r="D4343" s="155" t="s">
        <v>587</v>
      </c>
      <c r="E4343" s="34">
        <v>7.2999999999999995E-2</v>
      </c>
      <c r="F4343" s="49">
        <v>19.189999999999998</v>
      </c>
      <c r="G4343" s="49">
        <f>IF(ISNUMBER(F4343),E4343*F4343,"")</f>
        <v>1.4008699999999998</v>
      </c>
      <c r="H4343" s="65"/>
      <c r="I4343" s="66"/>
      <c r="J4343" s="125">
        <v>0</v>
      </c>
    </row>
    <row r="4344" spans="1:10" ht="15.75" hidden="1" thickBot="1" x14ac:dyDescent="0.3">
      <c r="A4344" s="249"/>
      <c r="B4344" s="238"/>
      <c r="C4344" s="155" t="s">
        <v>1170</v>
      </c>
      <c r="D4344" s="155" t="s">
        <v>587</v>
      </c>
      <c r="E4344" s="34">
        <v>0.06</v>
      </c>
      <c r="F4344" s="49">
        <v>25.051500000000001</v>
      </c>
      <c r="G4344" s="49">
        <f>IF(ISNUMBER(F4344),E4344*F4344,"")</f>
        <v>1.50309</v>
      </c>
      <c r="H4344" s="65"/>
      <c r="I4344" s="66"/>
      <c r="J4344" s="125">
        <v>0</v>
      </c>
    </row>
    <row r="4345" spans="1:10" ht="26.25" hidden="1" thickBot="1" x14ac:dyDescent="0.3">
      <c r="A4345" s="249"/>
      <c r="B4345" s="238"/>
      <c r="C4345" s="155" t="s">
        <v>1171</v>
      </c>
      <c r="D4345" s="155" t="s">
        <v>814</v>
      </c>
      <c r="E4345" s="34">
        <v>1.8E-3</v>
      </c>
      <c r="F4345" s="49">
        <v>23.103999999999999</v>
      </c>
      <c r="G4345" s="49">
        <f>IF(ISNUMBER(F4345),E4345*F4345,"")</f>
        <v>4.1587199999999998E-2</v>
      </c>
      <c r="H4345" s="65"/>
      <c r="I4345" s="66"/>
      <c r="J4345" s="125">
        <v>0</v>
      </c>
    </row>
    <row r="4346" spans="1:10" ht="26.25" hidden="1" thickBot="1" x14ac:dyDescent="0.3">
      <c r="A4346" s="249"/>
      <c r="B4346" s="238"/>
      <c r="C4346" s="155" t="s">
        <v>1172</v>
      </c>
      <c r="D4346" s="155" t="s">
        <v>816</v>
      </c>
      <c r="E4346" s="34">
        <v>2.5999999999999999E-3</v>
      </c>
      <c r="F4346" s="49">
        <v>22.049499999999998</v>
      </c>
      <c r="G4346" s="49">
        <f>IF(ISNUMBER(F4346),E4346*F4346,"")</f>
        <v>5.7328699999999996E-2</v>
      </c>
      <c r="H4346" s="65"/>
      <c r="I4346" s="66"/>
      <c r="J4346" s="125">
        <v>0</v>
      </c>
    </row>
    <row r="4347" spans="1:10" ht="15.75" hidden="1" thickBot="1" x14ac:dyDescent="0.3">
      <c r="A4347" s="250"/>
      <c r="B4347" s="239"/>
      <c r="C4347" s="164"/>
      <c r="D4347" s="50"/>
      <c r="E4347" s="61"/>
      <c r="F4347" s="68" t="s">
        <v>418</v>
      </c>
      <c r="G4347" s="68" t="str">
        <f>IF(ISNUMBER(F4347),E4347*F4347,"")</f>
        <v/>
      </c>
      <c r="H4347" s="69"/>
      <c r="I4347" s="66"/>
      <c r="J4347" s="125">
        <v>0</v>
      </c>
    </row>
    <row r="4348" spans="1:10" ht="15.75" hidden="1" thickBot="1" x14ac:dyDescent="0.3">
      <c r="A4348" s="234" t="s">
        <v>1174</v>
      </c>
      <c r="B4348" s="237" t="s">
        <v>1856</v>
      </c>
      <c r="C4348" s="160"/>
      <c r="D4348" s="23" t="s">
        <v>70</v>
      </c>
      <c r="E4348" s="24"/>
      <c r="F4348" s="44" t="s">
        <v>418</v>
      </c>
      <c r="G4348" s="25" t="str">
        <f>IF(ISNUMBER(F4348),E4348*F4348,"")</f>
        <v/>
      </c>
      <c r="H4348" s="26"/>
      <c r="I4348" s="27"/>
      <c r="J4348" s="125">
        <v>0</v>
      </c>
    </row>
    <row r="4349" spans="1:10" ht="15.75" hidden="1" thickBot="1" x14ac:dyDescent="0.3">
      <c r="A4349" s="249"/>
      <c r="B4349" s="238"/>
      <c r="C4349" s="151"/>
      <c r="D4349" s="29"/>
      <c r="E4349" s="30"/>
      <c r="F4349" s="49" t="s">
        <v>418</v>
      </c>
      <c r="G4349" s="49" t="str">
        <f>IF(ISNUMBER(F4349),E4349*F4349,"")</f>
        <v/>
      </c>
      <c r="H4349" s="65"/>
      <c r="I4349" s="66"/>
      <c r="J4349" s="125">
        <v>0</v>
      </c>
    </row>
    <row r="4350" spans="1:10" ht="26.25" hidden="1" thickBot="1" x14ac:dyDescent="0.3">
      <c r="A4350" s="249"/>
      <c r="B4350" s="238"/>
      <c r="C4350" s="155" t="s">
        <v>1175</v>
      </c>
      <c r="D4350" s="42" t="s">
        <v>870</v>
      </c>
      <c r="E4350" s="34">
        <v>1.1659999999999999</v>
      </c>
      <c r="F4350" s="49" t="s">
        <v>418</v>
      </c>
      <c r="G4350" s="49" t="str">
        <f>IF(ISNUMBER(F4350),E4350*F4350,"")</f>
        <v/>
      </c>
      <c r="H4350" s="35">
        <f>SUM(G4350:G4355)</f>
        <v>10.577424449999999</v>
      </c>
      <c r="I4350" s="36"/>
      <c r="J4350" s="125">
        <v>0</v>
      </c>
    </row>
    <row r="4351" spans="1:10" ht="39" hidden="1" thickBot="1" x14ac:dyDescent="0.3">
      <c r="A4351" s="249"/>
      <c r="B4351" s="238"/>
      <c r="C4351" s="155" t="s">
        <v>1169</v>
      </c>
      <c r="D4351" s="155" t="s">
        <v>623</v>
      </c>
      <c r="E4351" s="34">
        <v>4.1500000000000004</v>
      </c>
      <c r="F4351" s="49">
        <v>1.5389999999999999</v>
      </c>
      <c r="G4351" s="49">
        <f>IF(ISNUMBER(F4351),E4351*F4351,"")</f>
        <v>6.3868499999999999</v>
      </c>
      <c r="H4351" s="65"/>
      <c r="I4351" s="66"/>
      <c r="J4351" s="125">
        <v>0</v>
      </c>
    </row>
    <row r="4352" spans="1:10" ht="15.75" hidden="1" thickBot="1" x14ac:dyDescent="0.3">
      <c r="A4352" s="249"/>
      <c r="B4352" s="238"/>
      <c r="C4352" s="155" t="s">
        <v>588</v>
      </c>
      <c r="D4352" s="155" t="s">
        <v>587</v>
      </c>
      <c r="E4352" s="34">
        <v>9.7000000000000003E-2</v>
      </c>
      <c r="F4352" s="49">
        <v>19.189999999999998</v>
      </c>
      <c r="G4352" s="49">
        <f>IF(ISNUMBER(F4352),E4352*F4352,"")</f>
        <v>1.8614299999999999</v>
      </c>
      <c r="H4352" s="65"/>
      <c r="I4352" s="66"/>
      <c r="J4352" s="125">
        <v>0</v>
      </c>
    </row>
    <row r="4353" spans="1:10" ht="15.75" hidden="1" thickBot="1" x14ac:dyDescent="0.3">
      <c r="A4353" s="249"/>
      <c r="B4353" s="238"/>
      <c r="C4353" s="155" t="s">
        <v>1170</v>
      </c>
      <c r="D4353" s="155" t="s">
        <v>587</v>
      </c>
      <c r="E4353" s="34">
        <v>9.0999999999999998E-2</v>
      </c>
      <c r="F4353" s="49">
        <v>25.051500000000001</v>
      </c>
      <c r="G4353" s="49">
        <f>IF(ISNUMBER(F4353),E4353*F4353,"")</f>
        <v>2.2796864999999999</v>
      </c>
      <c r="H4353" s="65"/>
      <c r="I4353" s="66"/>
      <c r="J4353" s="125">
        <v>0</v>
      </c>
    </row>
    <row r="4354" spans="1:10" ht="26.25" hidden="1" thickBot="1" x14ac:dyDescent="0.3">
      <c r="A4354" s="249"/>
      <c r="B4354" s="238"/>
      <c r="C4354" s="155" t="s">
        <v>1171</v>
      </c>
      <c r="D4354" s="155" t="s">
        <v>814</v>
      </c>
      <c r="E4354" s="34">
        <v>8.9999999999999998E-4</v>
      </c>
      <c r="F4354" s="49">
        <v>23.103999999999999</v>
      </c>
      <c r="G4354" s="49">
        <f>IF(ISNUMBER(F4354),E4354*F4354,"")</f>
        <v>2.0793599999999999E-2</v>
      </c>
      <c r="H4354" s="65"/>
      <c r="I4354" s="66"/>
      <c r="J4354" s="125">
        <v>0</v>
      </c>
    </row>
    <row r="4355" spans="1:10" ht="26.25" hidden="1" thickBot="1" x14ac:dyDescent="0.3">
      <c r="A4355" s="249"/>
      <c r="B4355" s="238"/>
      <c r="C4355" s="155" t="s">
        <v>1172</v>
      </c>
      <c r="D4355" s="155" t="s">
        <v>816</v>
      </c>
      <c r="E4355" s="34">
        <v>1.2999999999999999E-3</v>
      </c>
      <c r="F4355" s="49">
        <v>22.049499999999998</v>
      </c>
      <c r="G4355" s="49">
        <f>IF(ISNUMBER(F4355),E4355*F4355,"")</f>
        <v>2.8664349999999998E-2</v>
      </c>
      <c r="H4355" s="65"/>
      <c r="I4355" s="66"/>
      <c r="J4355" s="125">
        <v>0</v>
      </c>
    </row>
    <row r="4356" spans="1:10" ht="15.75" hidden="1" thickBot="1" x14ac:dyDescent="0.3">
      <c r="A4356" s="250"/>
      <c r="B4356" s="239"/>
      <c r="C4356" s="164"/>
      <c r="D4356" s="50"/>
      <c r="E4356" s="61"/>
      <c r="F4356" s="68" t="s">
        <v>418</v>
      </c>
      <c r="G4356" s="68" t="str">
        <f>IF(ISNUMBER(F4356),E4356*F4356,"")</f>
        <v/>
      </c>
      <c r="H4356" s="69"/>
      <c r="I4356" s="66"/>
      <c r="J4356" s="125">
        <v>0</v>
      </c>
    </row>
    <row r="4357" spans="1:10" ht="15.75" hidden="1" thickBot="1" x14ac:dyDescent="0.3">
      <c r="A4357" s="234" t="s">
        <v>1176</v>
      </c>
      <c r="B4357" s="237" t="s">
        <v>1857</v>
      </c>
      <c r="C4357" s="160"/>
      <c r="D4357" s="23" t="s">
        <v>69</v>
      </c>
      <c r="E4357" s="24"/>
      <c r="F4357" s="44" t="s">
        <v>418</v>
      </c>
      <c r="G4357" s="25" t="str">
        <f>IF(ISNUMBER(F4357),E4357*F4357,"")</f>
        <v/>
      </c>
      <c r="H4357" s="26"/>
      <c r="I4357" s="27"/>
      <c r="J4357" s="125">
        <v>0</v>
      </c>
    </row>
    <row r="4358" spans="1:10" ht="15.75" hidden="1" thickBot="1" x14ac:dyDescent="0.3">
      <c r="A4358" s="249"/>
      <c r="B4358" s="238"/>
      <c r="C4358" s="151"/>
      <c r="D4358" s="29"/>
      <c r="E4358" s="30"/>
      <c r="F4358" s="49" t="s">
        <v>418</v>
      </c>
      <c r="G4358" s="49" t="str">
        <f>IF(ISNUMBER(F4358),E4358*F4358,"")</f>
        <v/>
      </c>
      <c r="H4358" s="65"/>
      <c r="I4358" s="66"/>
      <c r="J4358" s="125">
        <v>0</v>
      </c>
    </row>
    <row r="4359" spans="1:10" ht="39" hidden="1" thickBot="1" x14ac:dyDescent="0.3">
      <c r="A4359" s="249"/>
      <c r="B4359" s="238"/>
      <c r="C4359" s="155" t="s">
        <v>1169</v>
      </c>
      <c r="D4359" s="155" t="s">
        <v>623</v>
      </c>
      <c r="E4359" s="34">
        <v>4.1500000000000004</v>
      </c>
      <c r="F4359" s="49">
        <v>1.5389999999999999</v>
      </c>
      <c r="G4359" s="49">
        <f>IF(ISNUMBER(F4359),E4359*F4359,"")</f>
        <v>6.3868499999999999</v>
      </c>
      <c r="H4359" s="35">
        <f>SUM(G4359:G4364)</f>
        <v>9.3897259000000002</v>
      </c>
      <c r="I4359" s="36"/>
      <c r="J4359" s="125">
        <v>0</v>
      </c>
    </row>
    <row r="4360" spans="1:10" ht="15.75" hidden="1" thickBot="1" x14ac:dyDescent="0.3">
      <c r="A4360" s="249"/>
      <c r="B4360" s="238"/>
      <c r="C4360" s="155" t="s">
        <v>11124</v>
      </c>
      <c r="D4360" s="33" t="s">
        <v>69</v>
      </c>
      <c r="E4360" s="34">
        <v>1.0289999999999999</v>
      </c>
      <c r="F4360" s="49" t="s">
        <v>418</v>
      </c>
      <c r="G4360" s="49" t="str">
        <f>IF(ISNUMBER(F4360),E4360*F4360,"")</f>
        <v/>
      </c>
      <c r="H4360" s="65"/>
      <c r="I4360" s="66"/>
      <c r="J4360" s="125">
        <v>0</v>
      </c>
    </row>
    <row r="4361" spans="1:10" ht="15.75" hidden="1" thickBot="1" x14ac:dyDescent="0.3">
      <c r="A4361" s="249"/>
      <c r="B4361" s="238"/>
      <c r="C4361" s="155" t="s">
        <v>588</v>
      </c>
      <c r="D4361" s="155" t="s">
        <v>587</v>
      </c>
      <c r="E4361" s="34">
        <v>7.2999999999999995E-2</v>
      </c>
      <c r="F4361" s="49">
        <v>19.189999999999998</v>
      </c>
      <c r="G4361" s="49">
        <f>IF(ISNUMBER(F4361),E4361*F4361,"")</f>
        <v>1.4008699999999998</v>
      </c>
      <c r="H4361" s="65"/>
      <c r="I4361" s="66"/>
      <c r="J4361" s="125">
        <v>0</v>
      </c>
    </row>
    <row r="4362" spans="1:10" ht="15.75" hidden="1" thickBot="1" x14ac:dyDescent="0.3">
      <c r="A4362" s="249"/>
      <c r="B4362" s="238"/>
      <c r="C4362" s="155" t="s">
        <v>1170</v>
      </c>
      <c r="D4362" s="155" t="s">
        <v>587</v>
      </c>
      <c r="E4362" s="34">
        <v>0.06</v>
      </c>
      <c r="F4362" s="49">
        <v>25.051500000000001</v>
      </c>
      <c r="G4362" s="49">
        <f>IF(ISNUMBER(F4362),E4362*F4362,"")</f>
        <v>1.50309</v>
      </c>
      <c r="H4362" s="65"/>
      <c r="I4362" s="66"/>
      <c r="J4362" s="125">
        <v>0</v>
      </c>
    </row>
    <row r="4363" spans="1:10" ht="26.25" hidden="1" thickBot="1" x14ac:dyDescent="0.3">
      <c r="A4363" s="249"/>
      <c r="B4363" s="238"/>
      <c r="C4363" s="155" t="s">
        <v>1171</v>
      </c>
      <c r="D4363" s="155" t="s">
        <v>814</v>
      </c>
      <c r="E4363" s="34">
        <v>1.8E-3</v>
      </c>
      <c r="F4363" s="49">
        <v>23.103999999999999</v>
      </c>
      <c r="G4363" s="49">
        <f>IF(ISNUMBER(F4363),E4363*F4363,"")</f>
        <v>4.1587199999999998E-2</v>
      </c>
      <c r="H4363" s="65"/>
      <c r="I4363" s="66"/>
      <c r="J4363" s="125">
        <v>0</v>
      </c>
    </row>
    <row r="4364" spans="1:10" ht="26.25" hidden="1" thickBot="1" x14ac:dyDescent="0.3">
      <c r="A4364" s="249"/>
      <c r="B4364" s="238"/>
      <c r="C4364" s="155" t="s">
        <v>1172</v>
      </c>
      <c r="D4364" s="155" t="s">
        <v>816</v>
      </c>
      <c r="E4364" s="34">
        <v>2.5999999999999999E-3</v>
      </c>
      <c r="F4364" s="49">
        <v>22.049499999999998</v>
      </c>
      <c r="G4364" s="49">
        <f>IF(ISNUMBER(F4364),E4364*F4364,"")</f>
        <v>5.7328699999999996E-2</v>
      </c>
      <c r="H4364" s="65"/>
      <c r="I4364" s="66"/>
      <c r="J4364" s="125">
        <v>0</v>
      </c>
    </row>
    <row r="4365" spans="1:10" ht="15.75" hidden="1" thickBot="1" x14ac:dyDescent="0.3">
      <c r="A4365" s="250"/>
      <c r="B4365" s="239"/>
      <c r="C4365" s="164"/>
      <c r="D4365" s="50"/>
      <c r="E4365" s="61"/>
      <c r="F4365" s="68" t="s">
        <v>418</v>
      </c>
      <c r="G4365" s="68" t="str">
        <f>IF(ISNUMBER(F4365),E4365*F4365,"")</f>
        <v/>
      </c>
      <c r="H4365" s="69"/>
      <c r="I4365" s="66"/>
      <c r="J4365" s="125">
        <v>0</v>
      </c>
    </row>
    <row r="4366" spans="1:10" ht="15.75" hidden="1" thickBot="1" x14ac:dyDescent="0.3">
      <c r="A4366" s="234" t="s">
        <v>1177</v>
      </c>
      <c r="B4366" s="237" t="s">
        <v>19765</v>
      </c>
      <c r="C4366" s="160"/>
      <c r="D4366" s="23" t="s">
        <v>70</v>
      </c>
      <c r="E4366" s="24"/>
      <c r="F4366" s="44" t="s">
        <v>418</v>
      </c>
      <c r="G4366" s="25" t="str">
        <f>IF(ISNUMBER(F4366),E4366*F4366,"")</f>
        <v/>
      </c>
      <c r="H4366" s="26"/>
      <c r="I4366" s="27"/>
      <c r="J4366" s="125">
        <v>0</v>
      </c>
    </row>
    <row r="4367" spans="1:10" ht="15.75" hidden="1" thickBot="1" x14ac:dyDescent="0.3">
      <c r="A4367" s="249"/>
      <c r="B4367" s="238"/>
      <c r="C4367" s="151"/>
      <c r="D4367" s="29"/>
      <c r="E4367" s="30"/>
      <c r="F4367" s="49" t="s">
        <v>418</v>
      </c>
      <c r="G4367" s="49" t="str">
        <f>IF(ISNUMBER(F4367),E4367*F4367,"")</f>
        <v/>
      </c>
      <c r="H4367" s="65"/>
      <c r="I4367" s="66"/>
      <c r="J4367" s="125">
        <v>0</v>
      </c>
    </row>
    <row r="4368" spans="1:10" ht="15.75" hidden="1" thickBot="1" x14ac:dyDescent="0.3">
      <c r="A4368" s="249"/>
      <c r="B4368" s="238"/>
      <c r="C4368" s="155" t="s">
        <v>1170</v>
      </c>
      <c r="D4368" s="155" t="s">
        <v>587</v>
      </c>
      <c r="E4368" s="34">
        <v>0.3</v>
      </c>
      <c r="F4368" s="49">
        <v>25.051500000000001</v>
      </c>
      <c r="G4368" s="49">
        <f>IF(ISNUMBER(F4368),E4368*F4368,"")</f>
        <v>7.5154499999999995</v>
      </c>
      <c r="H4368" s="35">
        <f>SUM(G4368:G4374)</f>
        <v>24.32095</v>
      </c>
      <c r="I4368" s="36"/>
      <c r="J4368" s="125">
        <v>0</v>
      </c>
    </row>
    <row r="4369" spans="1:10" ht="15.75" hidden="1" thickBot="1" x14ac:dyDescent="0.3">
      <c r="A4369" s="249"/>
      <c r="B4369" s="238"/>
      <c r="C4369" s="155" t="s">
        <v>588</v>
      </c>
      <c r="D4369" s="155" t="s">
        <v>587</v>
      </c>
      <c r="E4369" s="34">
        <v>0.6</v>
      </c>
      <c r="F4369" s="49">
        <v>19.189999999999998</v>
      </c>
      <c r="G4369" s="49">
        <f>IF(ISNUMBER(F4369),E4369*F4369,"")</f>
        <v>11.513999999999998</v>
      </c>
      <c r="H4369" s="65"/>
      <c r="I4369" s="66"/>
      <c r="J4369" s="125">
        <v>0</v>
      </c>
    </row>
    <row r="4370" spans="1:10" ht="15.75" hidden="1" thickBot="1" x14ac:dyDescent="0.3">
      <c r="A4370" s="249"/>
      <c r="B4370" s="238"/>
      <c r="C4370" s="155" t="s">
        <v>1178</v>
      </c>
      <c r="D4370" s="33" t="s">
        <v>205</v>
      </c>
      <c r="E4370" s="34">
        <v>1.1100000000000001</v>
      </c>
      <c r="F4370" s="49">
        <v>0.95</v>
      </c>
      <c r="G4370" s="49">
        <f>IF(ISNUMBER(F4370),E4370*F4370,"")</f>
        <v>1.0545</v>
      </c>
      <c r="H4370" s="65"/>
      <c r="I4370" s="66"/>
      <c r="J4370" s="125">
        <v>0</v>
      </c>
    </row>
    <row r="4371" spans="1:10" ht="15.75" hidden="1" thickBot="1" x14ac:dyDescent="0.3">
      <c r="A4371" s="249"/>
      <c r="B4371" s="238"/>
      <c r="C4371" s="155" t="s">
        <v>1180</v>
      </c>
      <c r="D4371" s="33" t="s">
        <v>70</v>
      </c>
      <c r="E4371" s="34">
        <v>1.24</v>
      </c>
      <c r="F4371" s="49">
        <v>0.95</v>
      </c>
      <c r="G4371" s="49">
        <f>IF(ISNUMBER(F4371),E4371*F4371,"")</f>
        <v>1.1779999999999999</v>
      </c>
      <c r="H4371" s="65"/>
      <c r="I4371" s="66"/>
      <c r="J4371" s="125">
        <v>0</v>
      </c>
    </row>
    <row r="4372" spans="1:10" ht="26.25" hidden="1" thickBot="1" x14ac:dyDescent="0.3">
      <c r="A4372" s="249"/>
      <c r="B4372" s="238"/>
      <c r="C4372" s="155" t="s">
        <v>1181</v>
      </c>
      <c r="D4372" s="33" t="s">
        <v>205</v>
      </c>
      <c r="E4372" s="34">
        <v>1.1100000000000001</v>
      </c>
      <c r="F4372" s="49">
        <v>0.95</v>
      </c>
      <c r="G4372" s="49">
        <f>IF(ISNUMBER(F4372),E4372*F4372,"")</f>
        <v>1.0545</v>
      </c>
      <c r="H4372" s="65"/>
      <c r="I4372" s="66"/>
      <c r="J4372" s="125">
        <v>0</v>
      </c>
    </row>
    <row r="4373" spans="1:10" ht="15.75" hidden="1" thickBot="1" x14ac:dyDescent="0.3">
      <c r="A4373" s="249"/>
      <c r="B4373" s="238"/>
      <c r="C4373" s="155" t="s">
        <v>1182</v>
      </c>
      <c r="D4373" s="33" t="s">
        <v>205</v>
      </c>
      <c r="E4373" s="34">
        <v>1</v>
      </c>
      <c r="F4373" s="49">
        <v>0.95</v>
      </c>
      <c r="G4373" s="49">
        <f>IF(ISNUMBER(F4373),E4373*F4373,"")</f>
        <v>0.95</v>
      </c>
      <c r="H4373" s="65"/>
      <c r="I4373" s="66"/>
      <c r="J4373" s="125">
        <v>0</v>
      </c>
    </row>
    <row r="4374" spans="1:10" ht="15.75" hidden="1" thickBot="1" x14ac:dyDescent="0.3">
      <c r="A4374" s="249"/>
      <c r="B4374" s="238"/>
      <c r="C4374" s="155" t="s">
        <v>1183</v>
      </c>
      <c r="D4374" s="33" t="s">
        <v>205</v>
      </c>
      <c r="E4374" s="34">
        <v>1.1100000000000001</v>
      </c>
      <c r="F4374" s="49">
        <v>0.95</v>
      </c>
      <c r="G4374" s="49">
        <f>IF(ISNUMBER(F4374),E4374*F4374,"")</f>
        <v>1.0545</v>
      </c>
      <c r="H4374" s="65"/>
      <c r="I4374" s="66"/>
      <c r="J4374" s="125">
        <v>0</v>
      </c>
    </row>
    <row r="4375" spans="1:10" ht="15.75" hidden="1" thickBot="1" x14ac:dyDescent="0.3">
      <c r="A4375" s="250"/>
      <c r="B4375" s="239"/>
      <c r="C4375" s="164"/>
      <c r="D4375" s="50"/>
      <c r="E4375" s="61"/>
      <c r="F4375" s="68" t="s">
        <v>418</v>
      </c>
      <c r="G4375" s="68" t="str">
        <f>IF(ISNUMBER(F4375),E4375*F4375,"")</f>
        <v/>
      </c>
      <c r="H4375" s="69"/>
      <c r="I4375" s="66"/>
      <c r="J4375" s="125">
        <v>0</v>
      </c>
    </row>
    <row r="4376" spans="1:10" ht="15.75" hidden="1" thickBot="1" x14ac:dyDescent="0.3">
      <c r="A4376" s="234" t="s">
        <v>1184</v>
      </c>
      <c r="B4376" s="237" t="s">
        <v>1858</v>
      </c>
      <c r="C4376" s="160"/>
      <c r="D4376" s="23" t="s">
        <v>69</v>
      </c>
      <c r="E4376" s="24"/>
      <c r="F4376" s="44" t="s">
        <v>418</v>
      </c>
      <c r="G4376" s="25" t="str">
        <f>IF(ISNUMBER(F4376),E4376*F4376,"")</f>
        <v/>
      </c>
      <c r="H4376" s="26"/>
      <c r="I4376" s="27"/>
      <c r="J4376" s="125">
        <v>0</v>
      </c>
    </row>
    <row r="4377" spans="1:10" ht="15.75" hidden="1" thickBot="1" x14ac:dyDescent="0.3">
      <c r="A4377" s="249"/>
      <c r="B4377" s="238"/>
      <c r="C4377" s="151"/>
      <c r="D4377" s="29"/>
      <c r="E4377" s="30"/>
      <c r="F4377" s="49" t="s">
        <v>418</v>
      </c>
      <c r="G4377" s="49" t="str">
        <f>IF(ISNUMBER(F4377),E4377*F4377,"")</f>
        <v/>
      </c>
      <c r="H4377" s="65"/>
      <c r="I4377" s="66"/>
      <c r="J4377" s="125">
        <v>0</v>
      </c>
    </row>
    <row r="4378" spans="1:10" ht="15.75" hidden="1" thickBot="1" x14ac:dyDescent="0.3">
      <c r="A4378" s="249"/>
      <c r="B4378" s="238"/>
      <c r="C4378" s="155" t="s">
        <v>1170</v>
      </c>
      <c r="D4378" s="155" t="s">
        <v>587</v>
      </c>
      <c r="E4378" s="34">
        <f>0.12/2</f>
        <v>0.06</v>
      </c>
      <c r="F4378" s="49">
        <v>25.051500000000001</v>
      </c>
      <c r="G4378" s="49">
        <f>IF(ISNUMBER(F4378),E4378*F4378,"")</f>
        <v>1.50309</v>
      </c>
      <c r="H4378" s="35">
        <f>SUM(G4378:G4382)</f>
        <v>8.5254899999999996</v>
      </c>
      <c r="I4378" s="36"/>
      <c r="J4378" s="125">
        <v>0</v>
      </c>
    </row>
    <row r="4379" spans="1:10" ht="15.75" hidden="1" thickBot="1" x14ac:dyDescent="0.3">
      <c r="A4379" s="249"/>
      <c r="B4379" s="238"/>
      <c r="C4379" s="155" t="s">
        <v>588</v>
      </c>
      <c r="D4379" s="155" t="s">
        <v>587</v>
      </c>
      <c r="E4379" s="34">
        <f>0.12/2</f>
        <v>0.06</v>
      </c>
      <c r="F4379" s="49">
        <v>19.189999999999998</v>
      </c>
      <c r="G4379" s="49">
        <f>IF(ISNUMBER(F4379),E4379*F4379,"")</f>
        <v>1.1513999999999998</v>
      </c>
      <c r="H4379" s="65"/>
      <c r="I4379" s="66"/>
      <c r="J4379" s="125">
        <v>0</v>
      </c>
    </row>
    <row r="4380" spans="1:10" ht="15.75" hidden="1" thickBot="1" x14ac:dyDescent="0.3">
      <c r="A4380" s="249"/>
      <c r="B4380" s="238"/>
      <c r="C4380" s="155" t="s">
        <v>1178</v>
      </c>
      <c r="D4380" s="33" t="s">
        <v>205</v>
      </c>
      <c r="E4380" s="34">
        <f>4.12/2</f>
        <v>2.06</v>
      </c>
      <c r="F4380" s="49">
        <v>0.95</v>
      </c>
      <c r="G4380" s="49">
        <f>IF(ISNUMBER(F4380),E4380*F4380,"")</f>
        <v>1.9569999999999999</v>
      </c>
      <c r="H4380" s="65"/>
      <c r="I4380" s="66"/>
      <c r="J4380" s="125">
        <v>0</v>
      </c>
    </row>
    <row r="4381" spans="1:10" ht="26.25" hidden="1" thickBot="1" x14ac:dyDescent="0.3">
      <c r="A4381" s="249"/>
      <c r="B4381" s="238"/>
      <c r="C4381" s="155" t="s">
        <v>1186</v>
      </c>
      <c r="D4381" s="33" t="s">
        <v>205</v>
      </c>
      <c r="E4381" s="34">
        <v>2.06</v>
      </c>
      <c r="F4381" s="49">
        <v>0.95</v>
      </c>
      <c r="G4381" s="49">
        <f>IF(ISNUMBER(F4381),E4381*F4381,"")</f>
        <v>1.9569999999999999</v>
      </c>
      <c r="H4381" s="65"/>
      <c r="I4381" s="66"/>
      <c r="J4381" s="125">
        <v>0</v>
      </c>
    </row>
    <row r="4382" spans="1:10" ht="15.75" hidden="1" thickBot="1" x14ac:dyDescent="0.3">
      <c r="A4382" s="249"/>
      <c r="B4382" s="238"/>
      <c r="C4382" s="155" t="s">
        <v>1183</v>
      </c>
      <c r="D4382" s="33" t="s">
        <v>205</v>
      </c>
      <c r="E4382" s="34">
        <f>4.12/2</f>
        <v>2.06</v>
      </c>
      <c r="F4382" s="49">
        <v>0.95</v>
      </c>
      <c r="G4382" s="49">
        <f>IF(ISNUMBER(F4382),E4382*F4382,"")</f>
        <v>1.9569999999999999</v>
      </c>
      <c r="H4382" s="65"/>
      <c r="I4382" s="66"/>
      <c r="J4382" s="125">
        <v>0</v>
      </c>
    </row>
    <row r="4383" spans="1:10" ht="15.75" hidden="1" thickBot="1" x14ac:dyDescent="0.3">
      <c r="A4383" s="250"/>
      <c r="B4383" s="239"/>
      <c r="C4383" s="164"/>
      <c r="D4383" s="50"/>
      <c r="E4383" s="61"/>
      <c r="F4383" s="68" t="s">
        <v>418</v>
      </c>
      <c r="G4383" s="68" t="str">
        <f>IF(ISNUMBER(F4383),E4383*F4383,"")</f>
        <v/>
      </c>
      <c r="H4383" s="69"/>
      <c r="I4383" s="66"/>
      <c r="J4383" s="125">
        <v>0</v>
      </c>
    </row>
    <row r="4384" spans="1:10" ht="15.75" hidden="1" thickBot="1" x14ac:dyDescent="0.3">
      <c r="A4384" s="234" t="s">
        <v>1187</v>
      </c>
      <c r="B4384" s="237" t="s">
        <v>1859</v>
      </c>
      <c r="C4384" s="160"/>
      <c r="D4384" s="23" t="s">
        <v>69</v>
      </c>
      <c r="E4384" s="24"/>
      <c r="F4384" s="44" t="s">
        <v>418</v>
      </c>
      <c r="G4384" s="25" t="str">
        <f>IF(ISNUMBER(F4384),E4384*F4384,"")</f>
        <v/>
      </c>
      <c r="H4384" s="26"/>
      <c r="I4384" s="27"/>
      <c r="J4384" s="125">
        <v>0</v>
      </c>
    </row>
    <row r="4385" spans="1:10" ht="15.75" hidden="1" thickBot="1" x14ac:dyDescent="0.3">
      <c r="A4385" s="249"/>
      <c r="B4385" s="238"/>
      <c r="C4385" s="151"/>
      <c r="D4385" s="29"/>
      <c r="E4385" s="30"/>
      <c r="F4385" s="49" t="s">
        <v>418</v>
      </c>
      <c r="G4385" s="49" t="str">
        <f>IF(ISNUMBER(F4385),E4385*F4385,"")</f>
        <v/>
      </c>
      <c r="H4385" s="65"/>
      <c r="I4385" s="66"/>
      <c r="J4385" s="125">
        <v>0</v>
      </c>
    </row>
    <row r="4386" spans="1:10" ht="15.75" hidden="1" thickBot="1" x14ac:dyDescent="0.3">
      <c r="A4386" s="249"/>
      <c r="B4386" s="238"/>
      <c r="C4386" s="155" t="s">
        <v>1170</v>
      </c>
      <c r="D4386" s="155" t="s">
        <v>587</v>
      </c>
      <c r="E4386" s="34">
        <f>0.12/2</f>
        <v>0.06</v>
      </c>
      <c r="F4386" s="49">
        <v>25.051500000000001</v>
      </c>
      <c r="G4386" s="49">
        <f>IF(ISNUMBER(F4386),E4386*F4386,"")</f>
        <v>1.50309</v>
      </c>
      <c r="H4386" s="35">
        <f>SUM(G4386:G4390)</f>
        <v>8.5254899999999996</v>
      </c>
      <c r="I4386" s="36"/>
      <c r="J4386" s="125">
        <v>0</v>
      </c>
    </row>
    <row r="4387" spans="1:10" ht="15.75" hidden="1" thickBot="1" x14ac:dyDescent="0.3">
      <c r="A4387" s="249"/>
      <c r="B4387" s="238"/>
      <c r="C4387" s="155" t="s">
        <v>588</v>
      </c>
      <c r="D4387" s="155" t="s">
        <v>587</v>
      </c>
      <c r="E4387" s="34">
        <f>0.12/2</f>
        <v>0.06</v>
      </c>
      <c r="F4387" s="49">
        <v>19.189999999999998</v>
      </c>
      <c r="G4387" s="49">
        <f>IF(ISNUMBER(F4387),E4387*F4387,"")</f>
        <v>1.1513999999999998</v>
      </c>
      <c r="H4387" s="65"/>
      <c r="I4387" s="66"/>
      <c r="J4387" s="125">
        <v>0</v>
      </c>
    </row>
    <row r="4388" spans="1:10" ht="15.75" hidden="1" thickBot="1" x14ac:dyDescent="0.3">
      <c r="A4388" s="249"/>
      <c r="B4388" s="238"/>
      <c r="C4388" s="155" t="s">
        <v>1178</v>
      </c>
      <c r="D4388" s="33" t="s">
        <v>205</v>
      </c>
      <c r="E4388" s="34">
        <f>4.12/2</f>
        <v>2.06</v>
      </c>
      <c r="F4388" s="49">
        <v>0.95</v>
      </c>
      <c r="G4388" s="49">
        <f>IF(ISNUMBER(F4388),E4388*F4388,"")</f>
        <v>1.9569999999999999</v>
      </c>
      <c r="H4388" s="65"/>
      <c r="I4388" s="66"/>
      <c r="J4388" s="125">
        <v>0</v>
      </c>
    </row>
    <row r="4389" spans="1:10" ht="26.25" hidden="1" thickBot="1" x14ac:dyDescent="0.3">
      <c r="A4389" s="249"/>
      <c r="B4389" s="238"/>
      <c r="C4389" s="155" t="s">
        <v>1188</v>
      </c>
      <c r="D4389" s="33" t="s">
        <v>205</v>
      </c>
      <c r="E4389" s="34">
        <v>2.06</v>
      </c>
      <c r="F4389" s="49">
        <v>0.95</v>
      </c>
      <c r="G4389" s="49">
        <f>IF(ISNUMBER(F4389),E4389*F4389,"")</f>
        <v>1.9569999999999999</v>
      </c>
      <c r="H4389" s="65"/>
      <c r="I4389" s="66"/>
      <c r="J4389" s="125">
        <v>0</v>
      </c>
    </row>
    <row r="4390" spans="1:10" ht="15.75" hidden="1" thickBot="1" x14ac:dyDescent="0.3">
      <c r="A4390" s="249"/>
      <c r="B4390" s="238"/>
      <c r="C4390" s="155" t="s">
        <v>1183</v>
      </c>
      <c r="D4390" s="33" t="s">
        <v>205</v>
      </c>
      <c r="E4390" s="34">
        <f>4.12/2</f>
        <v>2.06</v>
      </c>
      <c r="F4390" s="49">
        <v>0.95</v>
      </c>
      <c r="G4390" s="49">
        <f>IF(ISNUMBER(F4390),E4390*F4390,"")</f>
        <v>1.9569999999999999</v>
      </c>
      <c r="H4390" s="65"/>
      <c r="I4390" s="66"/>
      <c r="J4390" s="125">
        <v>0</v>
      </c>
    </row>
    <row r="4391" spans="1:10" ht="15.75" hidden="1" thickBot="1" x14ac:dyDescent="0.3">
      <c r="A4391" s="250"/>
      <c r="B4391" s="239"/>
      <c r="C4391" s="164"/>
      <c r="D4391" s="50"/>
      <c r="E4391" s="61"/>
      <c r="F4391" s="68" t="s">
        <v>418</v>
      </c>
      <c r="G4391" s="68" t="str">
        <f>IF(ISNUMBER(F4391),E4391*F4391,"")</f>
        <v/>
      </c>
      <c r="H4391" s="69"/>
      <c r="I4391" s="66"/>
      <c r="J4391" s="125">
        <v>0</v>
      </c>
    </row>
    <row r="4392" spans="1:10" ht="15.75" hidden="1" thickBot="1" x14ac:dyDescent="0.3">
      <c r="A4392" s="234" t="s">
        <v>1189</v>
      </c>
      <c r="B4392" s="237" t="s">
        <v>19766</v>
      </c>
      <c r="C4392" s="160"/>
      <c r="D4392" s="23" t="s">
        <v>70</v>
      </c>
      <c r="E4392" s="24"/>
      <c r="F4392" s="44" t="s">
        <v>418</v>
      </c>
      <c r="G4392" s="25" t="str">
        <f>IF(ISNUMBER(F4392),E4392*F4392,"")</f>
        <v/>
      </c>
      <c r="H4392" s="26"/>
      <c r="I4392" s="27"/>
      <c r="J4392" s="125">
        <v>0</v>
      </c>
    </row>
    <row r="4393" spans="1:10" ht="15.75" hidden="1" thickBot="1" x14ac:dyDescent="0.3">
      <c r="A4393" s="249"/>
      <c r="B4393" s="238"/>
      <c r="C4393" s="151"/>
      <c r="D4393" s="29"/>
      <c r="E4393" s="30"/>
      <c r="F4393" s="49" t="s">
        <v>418</v>
      </c>
      <c r="G4393" s="49" t="str">
        <f>IF(ISNUMBER(F4393),E4393*F4393,"")</f>
        <v/>
      </c>
      <c r="H4393" s="65"/>
      <c r="I4393" s="66"/>
      <c r="J4393" s="125">
        <v>0</v>
      </c>
    </row>
    <row r="4394" spans="1:10" ht="39" hidden="1" thickBot="1" x14ac:dyDescent="0.3">
      <c r="A4394" s="249"/>
      <c r="B4394" s="238"/>
      <c r="C4394" s="155" t="s">
        <v>1190</v>
      </c>
      <c r="D4394" s="155" t="s">
        <v>623</v>
      </c>
      <c r="E4394" s="34">
        <v>1.27</v>
      </c>
      <c r="F4394" s="49">
        <v>0.19949999999999998</v>
      </c>
      <c r="G4394" s="49">
        <f>IF(ISNUMBER(F4394),E4394*F4394,"")</f>
        <v>0.25336500000000001</v>
      </c>
      <c r="H4394" s="35">
        <f>SUM(G4394:G4400)</f>
        <v>58.179044049999995</v>
      </c>
      <c r="I4394" s="36"/>
      <c r="J4394" s="125">
        <v>0</v>
      </c>
    </row>
    <row r="4395" spans="1:10" ht="26.25" hidden="1" thickBot="1" x14ac:dyDescent="0.3">
      <c r="A4395" s="249"/>
      <c r="B4395" s="238"/>
      <c r="C4395" s="155" t="s">
        <v>1191</v>
      </c>
      <c r="D4395" s="155" t="s">
        <v>205</v>
      </c>
      <c r="E4395" s="34">
        <v>1.27</v>
      </c>
      <c r="F4395" s="49">
        <v>3.1159999999999997</v>
      </c>
      <c r="G4395" s="49">
        <f>IF(ISNUMBER(F4395),E4395*F4395,"")</f>
        <v>3.9573199999999997</v>
      </c>
      <c r="H4395" s="65"/>
      <c r="I4395" s="66"/>
      <c r="J4395" s="125">
        <v>0</v>
      </c>
    </row>
    <row r="4396" spans="1:10" ht="26.25" hidden="1" thickBot="1" x14ac:dyDescent="0.3">
      <c r="A4396" s="249"/>
      <c r="B4396" s="238"/>
      <c r="C4396" s="155" t="s">
        <v>1192</v>
      </c>
      <c r="D4396" s="155" t="s">
        <v>870</v>
      </c>
      <c r="E4396" s="34">
        <v>1.2749999999999999</v>
      </c>
      <c r="F4396" s="49">
        <v>37.600999999999999</v>
      </c>
      <c r="G4396" s="49">
        <f>IF(ISNUMBER(F4396),E4396*F4396,"")</f>
        <v>47.941274999999997</v>
      </c>
      <c r="H4396" s="65"/>
      <c r="I4396" s="66"/>
      <c r="J4396" s="125">
        <v>0</v>
      </c>
    </row>
    <row r="4397" spans="1:10" ht="15.75" hidden="1" thickBot="1" x14ac:dyDescent="0.3">
      <c r="A4397" s="249"/>
      <c r="B4397" s="238"/>
      <c r="C4397" s="155" t="s">
        <v>588</v>
      </c>
      <c r="D4397" s="155" t="s">
        <v>587</v>
      </c>
      <c r="E4397" s="34">
        <v>0.15</v>
      </c>
      <c r="F4397" s="49">
        <v>19.189999999999998</v>
      </c>
      <c r="G4397" s="49">
        <f>IF(ISNUMBER(F4397),E4397*F4397,"")</f>
        <v>2.8784999999999994</v>
      </c>
      <c r="H4397" s="65"/>
      <c r="I4397" s="66"/>
      <c r="J4397" s="125">
        <v>0</v>
      </c>
    </row>
    <row r="4398" spans="1:10" ht="15.75" hidden="1" thickBot="1" x14ac:dyDescent="0.3">
      <c r="A4398" s="249"/>
      <c r="B4398" s="238"/>
      <c r="C4398" s="155" t="s">
        <v>1170</v>
      </c>
      <c r="D4398" s="155" t="s">
        <v>587</v>
      </c>
      <c r="E4398" s="34">
        <v>0.115</v>
      </c>
      <c r="F4398" s="49">
        <v>25.051500000000001</v>
      </c>
      <c r="G4398" s="49">
        <f>IF(ISNUMBER(F4398),E4398*F4398,"")</f>
        <v>2.8809225000000001</v>
      </c>
      <c r="H4398" s="65"/>
      <c r="I4398" s="66"/>
      <c r="J4398" s="125">
        <v>0</v>
      </c>
    </row>
    <row r="4399" spans="1:10" ht="26.25" hidden="1" thickBot="1" x14ac:dyDescent="0.3">
      <c r="A4399" s="249"/>
      <c r="B4399" s="238"/>
      <c r="C4399" s="155" t="s">
        <v>1171</v>
      </c>
      <c r="D4399" s="155" t="s">
        <v>814</v>
      </c>
      <c r="E4399" s="34">
        <v>5.0000000000000001E-3</v>
      </c>
      <c r="F4399" s="49">
        <v>23.103999999999999</v>
      </c>
      <c r="G4399" s="49">
        <f>IF(ISNUMBER(F4399),E4399*F4399,"")</f>
        <v>0.11552</v>
      </c>
      <c r="H4399" s="65"/>
      <c r="I4399" s="66"/>
      <c r="J4399" s="125">
        <v>0</v>
      </c>
    </row>
    <row r="4400" spans="1:10" ht="26.25" hidden="1" thickBot="1" x14ac:dyDescent="0.3">
      <c r="A4400" s="249"/>
      <c r="B4400" s="238"/>
      <c r="C4400" s="155" t="s">
        <v>1172</v>
      </c>
      <c r="D4400" s="155" t="s">
        <v>816</v>
      </c>
      <c r="E4400" s="34">
        <v>6.8999999999999999E-3</v>
      </c>
      <c r="F4400" s="49">
        <v>22.049499999999998</v>
      </c>
      <c r="G4400" s="49">
        <f>IF(ISNUMBER(F4400),E4400*F4400,"")</f>
        <v>0.15214154999999999</v>
      </c>
      <c r="H4400" s="65"/>
      <c r="I4400" s="66"/>
      <c r="J4400" s="125">
        <v>0</v>
      </c>
    </row>
    <row r="4401" spans="1:10" ht="15.75" hidden="1" thickBot="1" x14ac:dyDescent="0.3">
      <c r="A4401" s="250"/>
      <c r="B4401" s="239"/>
      <c r="C4401" s="164"/>
      <c r="D4401" s="50"/>
      <c r="E4401" s="61"/>
      <c r="F4401" s="68" t="s">
        <v>418</v>
      </c>
      <c r="G4401" s="68" t="str">
        <f>IF(ISNUMBER(F4401),E4401*F4401,"")</f>
        <v/>
      </c>
      <c r="H4401" s="69"/>
      <c r="I4401" s="66"/>
      <c r="J4401" s="125">
        <v>0</v>
      </c>
    </row>
    <row r="4402" spans="1:10" ht="15.75" hidden="1" thickBot="1" x14ac:dyDescent="0.3">
      <c r="A4402" s="234" t="s">
        <v>1193</v>
      </c>
      <c r="B4402" s="237" t="s">
        <v>1860</v>
      </c>
      <c r="C4402" s="160"/>
      <c r="D4402" s="23" t="s">
        <v>69</v>
      </c>
      <c r="E4402" s="24"/>
      <c r="F4402" s="44" t="s">
        <v>418</v>
      </c>
      <c r="G4402" s="25" t="str">
        <f>IF(ISNUMBER(F4402),E4402*F4402,"")</f>
        <v/>
      </c>
      <c r="H4402" s="26"/>
      <c r="I4402" s="27"/>
      <c r="J4402" s="125">
        <v>0</v>
      </c>
    </row>
    <row r="4403" spans="1:10" ht="15.75" hidden="1" thickBot="1" x14ac:dyDescent="0.3">
      <c r="A4403" s="249"/>
      <c r="B4403" s="238"/>
      <c r="C4403" s="151"/>
      <c r="D4403" s="29"/>
      <c r="E4403" s="30"/>
      <c r="F4403" s="49" t="s">
        <v>418</v>
      </c>
      <c r="G4403" s="49" t="str">
        <f>IF(ISNUMBER(F4403),E4403*F4403,"")</f>
        <v/>
      </c>
      <c r="H4403" s="65"/>
      <c r="I4403" s="66"/>
      <c r="J4403" s="125">
        <v>0</v>
      </c>
    </row>
    <row r="4404" spans="1:10" ht="39" hidden="1" thickBot="1" x14ac:dyDescent="0.3">
      <c r="A4404" s="249"/>
      <c r="B4404" s="238"/>
      <c r="C4404" s="155" t="s">
        <v>1190</v>
      </c>
      <c r="D4404" s="155" t="s">
        <v>623</v>
      </c>
      <c r="E4404" s="34">
        <v>4.2</v>
      </c>
      <c r="F4404" s="49">
        <v>0.19949999999999998</v>
      </c>
      <c r="G4404" s="49">
        <f>IF(ISNUMBER(F4404),E4404*F4404,"")</f>
        <v>0.83789999999999998</v>
      </c>
      <c r="H4404" s="35">
        <f>SUM(G4404:G4410)</f>
        <v>98.768461899999977</v>
      </c>
      <c r="I4404" s="36"/>
      <c r="J4404" s="125">
        <v>0</v>
      </c>
    </row>
    <row r="4405" spans="1:10" ht="26.25" hidden="1" thickBot="1" x14ac:dyDescent="0.3">
      <c r="A4405" s="249"/>
      <c r="B4405" s="238"/>
      <c r="C4405" s="155" t="s">
        <v>1191</v>
      </c>
      <c r="D4405" s="155" t="s">
        <v>205</v>
      </c>
      <c r="E4405" s="34">
        <v>4.2</v>
      </c>
      <c r="F4405" s="49">
        <v>3.1159999999999997</v>
      </c>
      <c r="G4405" s="49">
        <f>IF(ISNUMBER(F4405),E4405*F4405,"")</f>
        <v>13.087199999999999</v>
      </c>
      <c r="H4405" s="65"/>
      <c r="I4405" s="66"/>
      <c r="J4405" s="125">
        <v>0</v>
      </c>
    </row>
    <row r="4406" spans="1:10" ht="26.25" hidden="1" thickBot="1" x14ac:dyDescent="0.3">
      <c r="A4406" s="249"/>
      <c r="B4406" s="238"/>
      <c r="C4406" s="155" t="s">
        <v>1194</v>
      </c>
      <c r="D4406" s="155" t="s">
        <v>205</v>
      </c>
      <c r="E4406" s="34">
        <v>1.0289999999999999</v>
      </c>
      <c r="F4406" s="49">
        <v>79.533999999999992</v>
      </c>
      <c r="G4406" s="49">
        <f>IF(ISNUMBER(F4406),E4406*F4406,"")</f>
        <v>81.840485999999984</v>
      </c>
      <c r="H4406" s="65"/>
      <c r="I4406" s="66"/>
      <c r="J4406" s="125">
        <v>0</v>
      </c>
    </row>
    <row r="4407" spans="1:10" ht="15.75" hidden="1" thickBot="1" x14ac:dyDescent="0.3">
      <c r="A4407" s="249"/>
      <c r="B4407" s="238"/>
      <c r="C4407" s="155" t="s">
        <v>588</v>
      </c>
      <c r="D4407" s="155" t="s">
        <v>587</v>
      </c>
      <c r="E4407" s="34">
        <v>7.2999999999999995E-2</v>
      </c>
      <c r="F4407" s="49">
        <v>19.189999999999998</v>
      </c>
      <c r="G4407" s="49">
        <f>IF(ISNUMBER(F4407),E4407*F4407,"")</f>
        <v>1.4008699999999998</v>
      </c>
      <c r="H4407" s="65"/>
      <c r="I4407" s="66"/>
      <c r="J4407" s="125">
        <v>0</v>
      </c>
    </row>
    <row r="4408" spans="1:10" ht="15.75" hidden="1" thickBot="1" x14ac:dyDescent="0.3">
      <c r="A4408" s="249"/>
      <c r="B4408" s="238"/>
      <c r="C4408" s="155" t="s">
        <v>1170</v>
      </c>
      <c r="D4408" s="155" t="s">
        <v>587</v>
      </c>
      <c r="E4408" s="34">
        <v>0.06</v>
      </c>
      <c r="F4408" s="49">
        <v>25.051500000000001</v>
      </c>
      <c r="G4408" s="49">
        <f>IF(ISNUMBER(F4408),E4408*F4408,"")</f>
        <v>1.50309</v>
      </c>
      <c r="H4408" s="65"/>
      <c r="I4408" s="66"/>
      <c r="J4408" s="125">
        <v>0</v>
      </c>
    </row>
    <row r="4409" spans="1:10" ht="26.25" hidden="1" thickBot="1" x14ac:dyDescent="0.3">
      <c r="A4409" s="249"/>
      <c r="B4409" s="238"/>
      <c r="C4409" s="155" t="s">
        <v>1171</v>
      </c>
      <c r="D4409" s="155" t="s">
        <v>814</v>
      </c>
      <c r="E4409" s="34">
        <v>1.8E-3</v>
      </c>
      <c r="F4409" s="49">
        <v>23.103999999999999</v>
      </c>
      <c r="G4409" s="49">
        <f>IF(ISNUMBER(F4409),E4409*F4409,"")</f>
        <v>4.1587199999999998E-2</v>
      </c>
      <c r="H4409" s="65"/>
      <c r="I4409" s="66"/>
      <c r="J4409" s="125">
        <v>0</v>
      </c>
    </row>
    <row r="4410" spans="1:10" ht="26.25" hidden="1" thickBot="1" x14ac:dyDescent="0.3">
      <c r="A4410" s="249"/>
      <c r="B4410" s="238"/>
      <c r="C4410" s="155" t="s">
        <v>1172</v>
      </c>
      <c r="D4410" s="155" t="s">
        <v>816</v>
      </c>
      <c r="E4410" s="34">
        <v>2.5999999999999999E-3</v>
      </c>
      <c r="F4410" s="49">
        <v>22.049499999999998</v>
      </c>
      <c r="G4410" s="49">
        <f>IF(ISNUMBER(F4410),E4410*F4410,"")</f>
        <v>5.7328699999999996E-2</v>
      </c>
      <c r="H4410" s="65"/>
      <c r="I4410" s="66"/>
      <c r="J4410" s="125">
        <v>0</v>
      </c>
    </row>
    <row r="4411" spans="1:10" ht="15.75" hidden="1" thickBot="1" x14ac:dyDescent="0.3">
      <c r="A4411" s="250"/>
      <c r="B4411" s="239"/>
      <c r="C4411" s="164"/>
      <c r="D4411" s="50"/>
      <c r="E4411" s="61"/>
      <c r="F4411" s="68" t="s">
        <v>418</v>
      </c>
      <c r="G4411" s="68" t="str">
        <f>IF(ISNUMBER(F4411),E4411*F4411,"")</f>
        <v/>
      </c>
      <c r="H4411" s="69"/>
      <c r="I4411" s="66"/>
      <c r="J4411" s="125">
        <v>0</v>
      </c>
    </row>
    <row r="4412" spans="1:10" ht="15.75" hidden="1" thickBot="1" x14ac:dyDescent="0.3">
      <c r="A4412" s="234" t="s">
        <v>1195</v>
      </c>
      <c r="B4412" s="237" t="s">
        <v>1861</v>
      </c>
      <c r="C4412" s="160"/>
      <c r="D4412" s="23" t="s">
        <v>69</v>
      </c>
      <c r="E4412" s="24"/>
      <c r="F4412" s="44" t="s">
        <v>418</v>
      </c>
      <c r="G4412" s="25" t="str">
        <f>IF(ISNUMBER(F4412),E4412*F4412,"")</f>
        <v/>
      </c>
      <c r="H4412" s="26"/>
      <c r="I4412" s="27"/>
      <c r="J4412" s="125">
        <v>0</v>
      </c>
    </row>
    <row r="4413" spans="1:10" ht="15.75" hidden="1" thickBot="1" x14ac:dyDescent="0.3">
      <c r="A4413" s="249"/>
      <c r="B4413" s="238"/>
      <c r="C4413" s="151"/>
      <c r="D4413" s="29"/>
      <c r="E4413" s="30"/>
      <c r="F4413" s="49" t="s">
        <v>418</v>
      </c>
      <c r="G4413" s="49" t="str">
        <f>IF(ISNUMBER(F4413),E4413*F4413,"")</f>
        <v/>
      </c>
      <c r="H4413" s="65"/>
      <c r="I4413" s="66"/>
      <c r="J4413" s="125">
        <v>0</v>
      </c>
    </row>
    <row r="4414" spans="1:10" ht="39" hidden="1" thickBot="1" x14ac:dyDescent="0.3">
      <c r="A4414" s="249"/>
      <c r="B4414" s="238"/>
      <c r="C4414" s="155" t="s">
        <v>1190</v>
      </c>
      <c r="D4414" s="155" t="s">
        <v>623</v>
      </c>
      <c r="E4414" s="34">
        <v>4.2</v>
      </c>
      <c r="F4414" s="49">
        <v>0.19949999999999998</v>
      </c>
      <c r="G4414" s="49">
        <f>IF(ISNUMBER(F4414),E4414*F4414,"")</f>
        <v>0.83789999999999998</v>
      </c>
      <c r="H4414" s="35">
        <f>SUM(G4414:G4420)</f>
        <v>108.37752189999998</v>
      </c>
      <c r="I4414" s="36"/>
      <c r="J4414" s="125">
        <v>0</v>
      </c>
    </row>
    <row r="4415" spans="1:10" ht="26.25" hidden="1" thickBot="1" x14ac:dyDescent="0.3">
      <c r="A4415" s="249"/>
      <c r="B4415" s="238"/>
      <c r="C4415" s="155" t="s">
        <v>1191</v>
      </c>
      <c r="D4415" s="155" t="s">
        <v>205</v>
      </c>
      <c r="E4415" s="34">
        <v>4.2</v>
      </c>
      <c r="F4415" s="49">
        <v>3.1159999999999997</v>
      </c>
      <c r="G4415" s="49">
        <f>IF(ISNUMBER(F4415),E4415*F4415,"")</f>
        <v>13.087199999999999</v>
      </c>
      <c r="H4415" s="65"/>
      <c r="I4415" s="66"/>
      <c r="J4415" s="125">
        <v>0</v>
      </c>
    </row>
    <row r="4416" spans="1:10" ht="26.25" hidden="1" thickBot="1" x14ac:dyDescent="0.3">
      <c r="A4416" s="249"/>
      <c r="B4416" s="238"/>
      <c r="C4416" s="155" t="s">
        <v>1196</v>
      </c>
      <c r="D4416" s="155" t="s">
        <v>205</v>
      </c>
      <c r="E4416" s="34">
        <v>1.0289999999999999</v>
      </c>
      <c r="F4416" s="49">
        <v>89.67049999999999</v>
      </c>
      <c r="G4416" s="49">
        <f>IF(ISNUMBER(F4416),E4416*F4416,"")</f>
        <v>92.270944499999985</v>
      </c>
      <c r="H4416" s="65"/>
      <c r="I4416" s="66"/>
      <c r="J4416" s="125">
        <v>0</v>
      </c>
    </row>
    <row r="4417" spans="1:10" ht="15.75" hidden="1" thickBot="1" x14ac:dyDescent="0.3">
      <c r="A4417" s="249"/>
      <c r="B4417" s="238"/>
      <c r="C4417" s="155" t="s">
        <v>588</v>
      </c>
      <c r="D4417" s="155" t="s">
        <v>587</v>
      </c>
      <c r="E4417" s="34">
        <v>5.5E-2</v>
      </c>
      <c r="F4417" s="49">
        <v>19.189999999999998</v>
      </c>
      <c r="G4417" s="49">
        <f>IF(ISNUMBER(F4417),E4417*F4417,"")</f>
        <v>1.0554499999999998</v>
      </c>
      <c r="H4417" s="65"/>
      <c r="I4417" s="66"/>
      <c r="J4417" s="125">
        <v>0</v>
      </c>
    </row>
    <row r="4418" spans="1:10" ht="15.75" hidden="1" thickBot="1" x14ac:dyDescent="0.3">
      <c r="A4418" s="249"/>
      <c r="B4418" s="238"/>
      <c r="C4418" s="155" t="s">
        <v>1170</v>
      </c>
      <c r="D4418" s="155" t="s">
        <v>587</v>
      </c>
      <c r="E4418" s="34">
        <v>4.1000000000000002E-2</v>
      </c>
      <c r="F4418" s="49">
        <v>25.051500000000001</v>
      </c>
      <c r="G4418" s="49">
        <f>IF(ISNUMBER(F4418),E4418*F4418,"")</f>
        <v>1.0271115000000002</v>
      </c>
      <c r="H4418" s="65"/>
      <c r="I4418" s="66"/>
      <c r="J4418" s="125">
        <v>0</v>
      </c>
    </row>
    <row r="4419" spans="1:10" ht="26.25" hidden="1" thickBot="1" x14ac:dyDescent="0.3">
      <c r="A4419" s="249"/>
      <c r="B4419" s="238"/>
      <c r="C4419" s="155" t="s">
        <v>1171</v>
      </c>
      <c r="D4419" s="155" t="s">
        <v>814</v>
      </c>
      <c r="E4419" s="34">
        <v>1.8E-3</v>
      </c>
      <c r="F4419" s="49">
        <v>23.103999999999999</v>
      </c>
      <c r="G4419" s="49">
        <f>IF(ISNUMBER(F4419),E4419*F4419,"")</f>
        <v>4.1587199999999998E-2</v>
      </c>
      <c r="H4419" s="65"/>
      <c r="I4419" s="66"/>
      <c r="J4419" s="125">
        <v>0</v>
      </c>
    </row>
    <row r="4420" spans="1:10" ht="26.25" hidden="1" thickBot="1" x14ac:dyDescent="0.3">
      <c r="A4420" s="249"/>
      <c r="B4420" s="238"/>
      <c r="C4420" s="155" t="s">
        <v>1172</v>
      </c>
      <c r="D4420" s="155" t="s">
        <v>816</v>
      </c>
      <c r="E4420" s="34">
        <v>2.5999999999999999E-3</v>
      </c>
      <c r="F4420" s="49">
        <v>22.049499999999998</v>
      </c>
      <c r="G4420" s="49">
        <f>IF(ISNUMBER(F4420),E4420*F4420,"")</f>
        <v>5.7328699999999996E-2</v>
      </c>
      <c r="H4420" s="65"/>
      <c r="I4420" s="66"/>
      <c r="J4420" s="125">
        <v>0</v>
      </c>
    </row>
    <row r="4421" spans="1:10" ht="15.75" hidden="1" thickBot="1" x14ac:dyDescent="0.3">
      <c r="A4421" s="250"/>
      <c r="B4421" s="239"/>
      <c r="C4421" s="164"/>
      <c r="D4421" s="50"/>
      <c r="E4421" s="61"/>
      <c r="F4421" s="68" t="s">
        <v>418</v>
      </c>
      <c r="G4421" s="68" t="str">
        <f>IF(ISNUMBER(F4421),E4421*F4421,"")</f>
        <v/>
      </c>
      <c r="H4421" s="69"/>
      <c r="I4421" s="66"/>
      <c r="J4421" s="125">
        <v>0</v>
      </c>
    </row>
    <row r="4422" spans="1:10" ht="15.75" hidden="1" thickBot="1" x14ac:dyDescent="0.3">
      <c r="A4422" s="234" t="s">
        <v>1197</v>
      </c>
      <c r="B4422" s="237" t="s">
        <v>1862</v>
      </c>
      <c r="C4422" s="160"/>
      <c r="D4422" s="23" t="s">
        <v>70</v>
      </c>
      <c r="E4422" s="24"/>
      <c r="F4422" s="44" t="s">
        <v>418</v>
      </c>
      <c r="G4422" s="25" t="str">
        <f>IF(ISNUMBER(F4422),E4422*F4422,"")</f>
        <v/>
      </c>
      <c r="H4422" s="26"/>
      <c r="I4422" s="27"/>
      <c r="J4422" s="125">
        <v>0</v>
      </c>
    </row>
    <row r="4423" spans="1:10" ht="15.75" hidden="1" thickBot="1" x14ac:dyDescent="0.3">
      <c r="A4423" s="249"/>
      <c r="B4423" s="238"/>
      <c r="C4423" s="151"/>
      <c r="D4423" s="29"/>
      <c r="E4423" s="30"/>
      <c r="F4423" s="49" t="s">
        <v>418</v>
      </c>
      <c r="G4423" s="49" t="str">
        <f>IF(ISNUMBER(F4423),E4423*F4423,"")</f>
        <v/>
      </c>
      <c r="H4423" s="65"/>
      <c r="I4423" s="66"/>
      <c r="J4423" s="125">
        <v>0</v>
      </c>
    </row>
    <row r="4424" spans="1:10" ht="15.75" hidden="1" thickBot="1" x14ac:dyDescent="0.3">
      <c r="A4424" s="249"/>
      <c r="B4424" s="238"/>
      <c r="C4424" s="155" t="s">
        <v>1170</v>
      </c>
      <c r="D4424" s="155" t="s">
        <v>587</v>
      </c>
      <c r="E4424" s="34">
        <v>0.15</v>
      </c>
      <c r="F4424" s="49">
        <v>25.051500000000001</v>
      </c>
      <c r="G4424" s="49">
        <f>IF(ISNUMBER(F4424),E4424*F4424,"")</f>
        <v>3.7577249999999998</v>
      </c>
      <c r="H4424" s="35">
        <f>SUM(G4424:G4428)</f>
        <v>15.471224999999999</v>
      </c>
      <c r="I4424" s="36"/>
      <c r="J4424" s="125">
        <v>0</v>
      </c>
    </row>
    <row r="4425" spans="1:10" ht="15.75" hidden="1" thickBot="1" x14ac:dyDescent="0.3">
      <c r="A4425" s="249"/>
      <c r="B4425" s="238"/>
      <c r="C4425" s="155" t="s">
        <v>588</v>
      </c>
      <c r="D4425" s="155" t="s">
        <v>587</v>
      </c>
      <c r="E4425" s="34">
        <v>0.15</v>
      </c>
      <c r="F4425" s="49">
        <v>19.189999999999998</v>
      </c>
      <c r="G4425" s="49">
        <f>IF(ISNUMBER(F4425),E4425*F4425,"")</f>
        <v>2.8784999999999994</v>
      </c>
      <c r="H4425" s="65"/>
      <c r="I4425" s="66"/>
      <c r="J4425" s="125">
        <v>0</v>
      </c>
    </row>
    <row r="4426" spans="1:10" ht="15.75" hidden="1" thickBot="1" x14ac:dyDescent="0.3">
      <c r="A4426" s="249"/>
      <c r="B4426" s="238"/>
      <c r="C4426" s="155" t="s">
        <v>1178</v>
      </c>
      <c r="D4426" s="33" t="s">
        <v>205</v>
      </c>
      <c r="E4426" s="34">
        <v>4.12</v>
      </c>
      <c r="F4426" s="49">
        <v>0.95</v>
      </c>
      <c r="G4426" s="49">
        <f>IF(ISNUMBER(F4426),E4426*F4426,"")</f>
        <v>3.9139999999999997</v>
      </c>
      <c r="H4426" s="65"/>
      <c r="I4426" s="66"/>
      <c r="J4426" s="125">
        <v>0</v>
      </c>
    </row>
    <row r="4427" spans="1:10" ht="15.75" hidden="1" thickBot="1" x14ac:dyDescent="0.3">
      <c r="A4427" s="249"/>
      <c r="B4427" s="238"/>
      <c r="C4427" s="155" t="s">
        <v>11119</v>
      </c>
      <c r="D4427" s="33" t="s">
        <v>70</v>
      </c>
      <c r="E4427" s="34">
        <v>1.06</v>
      </c>
      <c r="F4427" s="49">
        <v>0.95</v>
      </c>
      <c r="G4427" s="49">
        <f>IF(ISNUMBER(F4427),E4427*F4427,"")</f>
        <v>1.0069999999999999</v>
      </c>
      <c r="H4427" s="65"/>
      <c r="I4427" s="66"/>
      <c r="J4427" s="125">
        <v>0</v>
      </c>
    </row>
    <row r="4428" spans="1:10" ht="15.75" hidden="1" thickBot="1" x14ac:dyDescent="0.3">
      <c r="A4428" s="249"/>
      <c r="B4428" s="238"/>
      <c r="C4428" s="155" t="s">
        <v>1198</v>
      </c>
      <c r="D4428" s="33" t="s">
        <v>205</v>
      </c>
      <c r="E4428" s="34">
        <v>4.12</v>
      </c>
      <c r="F4428" s="49">
        <v>0.95</v>
      </c>
      <c r="G4428" s="49">
        <f>IF(ISNUMBER(F4428),E4428*F4428,"")</f>
        <v>3.9139999999999997</v>
      </c>
      <c r="H4428" s="65"/>
      <c r="I4428" s="66"/>
      <c r="J4428" s="125">
        <v>0</v>
      </c>
    </row>
    <row r="4429" spans="1:10" ht="15.75" hidden="1" thickBot="1" x14ac:dyDescent="0.3">
      <c r="A4429" s="250"/>
      <c r="B4429" s="239"/>
      <c r="C4429" s="164"/>
      <c r="D4429" s="50"/>
      <c r="E4429" s="61"/>
      <c r="F4429" s="68" t="s">
        <v>418</v>
      </c>
      <c r="G4429" s="68" t="str">
        <f>IF(ISNUMBER(F4429),E4429*F4429,"")</f>
        <v/>
      </c>
      <c r="H4429" s="69"/>
      <c r="I4429" s="66"/>
      <c r="J4429" s="125">
        <v>0</v>
      </c>
    </row>
    <row r="4430" spans="1:10" ht="15.75" hidden="1" thickBot="1" x14ac:dyDescent="0.3">
      <c r="A4430" s="241" t="s">
        <v>1199</v>
      </c>
      <c r="B4430" s="244" t="s">
        <v>1865</v>
      </c>
      <c r="C4430" s="160"/>
      <c r="D4430" s="23" t="s">
        <v>69</v>
      </c>
      <c r="E4430" s="24"/>
      <c r="F4430" s="44" t="s">
        <v>418</v>
      </c>
      <c r="G4430" s="25" t="str">
        <f>IF(ISNUMBER(F4430),E4430*F4430,"")</f>
        <v/>
      </c>
      <c r="H4430" s="26"/>
      <c r="I4430" s="27"/>
      <c r="J4430" s="125">
        <v>0</v>
      </c>
    </row>
    <row r="4431" spans="1:10" ht="15.75" hidden="1" thickBot="1" x14ac:dyDescent="0.3">
      <c r="A4431" s="247"/>
      <c r="B4431" s="245"/>
      <c r="C4431" s="151"/>
      <c r="D4431" s="29"/>
      <c r="E4431" s="30"/>
      <c r="F4431" s="49" t="s">
        <v>418</v>
      </c>
      <c r="G4431" s="49" t="str">
        <f>IF(ISNUMBER(F4431),E4431*F4431,"")</f>
        <v/>
      </c>
      <c r="H4431" s="65"/>
      <c r="I4431" s="66"/>
      <c r="J4431" s="125">
        <v>0</v>
      </c>
    </row>
    <row r="4432" spans="1:10" ht="15.75" hidden="1" thickBot="1" x14ac:dyDescent="0.3">
      <c r="A4432" s="247"/>
      <c r="B4432" s="245"/>
      <c r="C4432" s="155" t="s">
        <v>649</v>
      </c>
      <c r="D4432" s="155" t="s">
        <v>774</v>
      </c>
      <c r="E4432" s="156">
        <v>5.18</v>
      </c>
      <c r="F4432" s="49">
        <v>8.5499999999999989</v>
      </c>
      <c r="G4432" s="49">
        <f>IF(ISNUMBER(F4432),E4432*F4432,"")</f>
        <v>44.288999999999994</v>
      </c>
      <c r="H4432" s="35">
        <f>SUM(G4432:G4443)</f>
        <v>346.22901391907374</v>
      </c>
      <c r="I4432" s="36"/>
      <c r="J4432" s="125">
        <v>0</v>
      </c>
    </row>
    <row r="4433" spans="1:10" ht="15.75" hidden="1" thickBot="1" x14ac:dyDescent="0.3">
      <c r="A4433" s="247"/>
      <c r="B4433" s="245"/>
      <c r="C4433" s="155" t="s">
        <v>1200</v>
      </c>
      <c r="D4433" s="155" t="s">
        <v>76</v>
      </c>
      <c r="E4433" s="156">
        <v>0.15</v>
      </c>
      <c r="F4433" s="49">
        <v>34.142999999999994</v>
      </c>
      <c r="G4433" s="49">
        <f>IF(ISNUMBER(F4433),E4433*F4433,"")</f>
        <v>5.1214499999999985</v>
      </c>
      <c r="H4433" s="65"/>
      <c r="I4433" s="66"/>
      <c r="J4433" s="125">
        <v>0</v>
      </c>
    </row>
    <row r="4434" spans="1:10" ht="15.75" hidden="1" thickBot="1" x14ac:dyDescent="0.3">
      <c r="A4434" s="247"/>
      <c r="B4434" s="245"/>
      <c r="C4434" s="155" t="s">
        <v>962</v>
      </c>
      <c r="D4434" s="155" t="s">
        <v>587</v>
      </c>
      <c r="E4434" s="156">
        <f>0.4298*0.05/0.16*3</f>
        <v>0.4029375</v>
      </c>
      <c r="F4434" s="49">
        <v>26.799499999999998</v>
      </c>
      <c r="G4434" s="49">
        <f>IF(ISNUMBER(F4434),E4434*F4434,"")</f>
        <v>10.79852353125</v>
      </c>
      <c r="H4434" s="65"/>
      <c r="I4434" s="66"/>
      <c r="J4434" s="125">
        <v>0</v>
      </c>
    </row>
    <row r="4435" spans="1:10" ht="15.75" hidden="1" thickBot="1" x14ac:dyDescent="0.3">
      <c r="A4435" s="247"/>
      <c r="B4435" s="245"/>
      <c r="C4435" s="155" t="s">
        <v>595</v>
      </c>
      <c r="D4435" s="155" t="s">
        <v>587</v>
      </c>
      <c r="E4435" s="156">
        <v>0.4</v>
      </c>
      <c r="F4435" s="49">
        <v>25.65</v>
      </c>
      <c r="G4435" s="49">
        <f>IF(ISNUMBER(F4435),E4435*F4435,"")</f>
        <v>10.26</v>
      </c>
      <c r="H4435" s="65"/>
      <c r="I4435" s="66"/>
      <c r="J4435" s="125">
        <v>0</v>
      </c>
    </row>
    <row r="4436" spans="1:10" ht="15.75" hidden="1" thickBot="1" x14ac:dyDescent="0.3">
      <c r="A4436" s="247"/>
      <c r="B4436" s="245"/>
      <c r="C4436" s="155" t="s">
        <v>588</v>
      </c>
      <c r="D4436" s="155" t="s">
        <v>587</v>
      </c>
      <c r="E4436" s="156">
        <v>0.8</v>
      </c>
      <c r="F4436" s="49">
        <v>19.189999999999998</v>
      </c>
      <c r="G4436" s="49">
        <f>IF(ISNUMBER(F4436),E4436*F4436,"")</f>
        <v>15.351999999999999</v>
      </c>
      <c r="H4436" s="65"/>
      <c r="I4436" s="66"/>
      <c r="J4436" s="125">
        <v>0</v>
      </c>
    </row>
    <row r="4437" spans="1:10" ht="26.25" hidden="1" thickBot="1" x14ac:dyDescent="0.3">
      <c r="A4437" s="247"/>
      <c r="B4437" s="245"/>
      <c r="C4437" s="155" t="s">
        <v>80</v>
      </c>
      <c r="D4437" s="155" t="s">
        <v>85</v>
      </c>
      <c r="E4437" s="156">
        <v>2.5000000000000001E-3</v>
      </c>
      <c r="F4437" s="49">
        <v>913.4161551295</v>
      </c>
      <c r="G4437" s="49">
        <f>IF(ISNUMBER(F4437),E4437*F4437,"")</f>
        <v>2.2835403878237499</v>
      </c>
      <c r="H4437" s="65"/>
      <c r="I4437" s="66"/>
      <c r="J4437" s="125">
        <v>0</v>
      </c>
    </row>
    <row r="4438" spans="1:10" s="144" customFormat="1" ht="15.75" hidden="1" thickBot="1" x14ac:dyDescent="0.3">
      <c r="A4438" s="247"/>
      <c r="B4438" s="245"/>
      <c r="C4438" s="155" t="s">
        <v>649</v>
      </c>
      <c r="D4438" s="155" t="s">
        <v>774</v>
      </c>
      <c r="E4438" s="156">
        <v>3</v>
      </c>
      <c r="F4438" s="49">
        <v>8.5499999999999989</v>
      </c>
      <c r="G4438" s="49">
        <f>IF(ISNUMBER(F4438),E4438*F4438,"")</f>
        <v>25.65</v>
      </c>
      <c r="H4438" s="65"/>
      <c r="I4438" s="66"/>
      <c r="J4438" s="125">
        <v>0</v>
      </c>
    </row>
    <row r="4439" spans="1:10" s="144" customFormat="1" ht="26.25" hidden="1" thickBot="1" x14ac:dyDescent="0.3">
      <c r="A4439" s="247"/>
      <c r="B4439" s="245"/>
      <c r="C4439" s="155" t="s">
        <v>91</v>
      </c>
      <c r="D4439" s="155" t="s">
        <v>774</v>
      </c>
      <c r="E4439" s="156">
        <v>15</v>
      </c>
      <c r="F4439" s="49">
        <v>9.9085000000000001</v>
      </c>
      <c r="G4439" s="49">
        <f>IF(ISNUMBER(F4439),E4439*F4439,"")</f>
        <v>148.6275</v>
      </c>
      <c r="H4439" s="65"/>
      <c r="I4439" s="66"/>
      <c r="J4439" s="125">
        <v>0</v>
      </c>
    </row>
    <row r="4440" spans="1:10" s="144" customFormat="1" ht="15.75" hidden="1" thickBot="1" x14ac:dyDescent="0.3">
      <c r="A4440" s="247"/>
      <c r="B4440" s="245"/>
      <c r="C4440" s="155" t="s">
        <v>595</v>
      </c>
      <c r="D4440" s="155" t="s">
        <v>587</v>
      </c>
      <c r="E4440" s="156">
        <v>0.4</v>
      </c>
      <c r="F4440" s="49">
        <v>25.65</v>
      </c>
      <c r="G4440" s="49">
        <f>IF(ISNUMBER(F4440),E4440*F4440,"")</f>
        <v>10.26</v>
      </c>
      <c r="H4440" s="65"/>
      <c r="I4440" s="66"/>
      <c r="J4440" s="125">
        <v>0</v>
      </c>
    </row>
    <row r="4441" spans="1:10" ht="15.75" hidden="1" thickBot="1" x14ac:dyDescent="0.3">
      <c r="A4441" s="247"/>
      <c r="B4441" s="245"/>
      <c r="C4441" s="155" t="s">
        <v>588</v>
      </c>
      <c r="D4441" s="155" t="s">
        <v>587</v>
      </c>
      <c r="E4441" s="34">
        <v>0.8</v>
      </c>
      <c r="F4441" s="49">
        <v>19.189999999999998</v>
      </c>
      <c r="G4441" s="49">
        <f>IF(ISNUMBER(F4441),E4441*F4441,"")</f>
        <v>15.351999999999999</v>
      </c>
      <c r="H4441" s="65"/>
      <c r="I4441" s="66"/>
      <c r="J4441" s="125">
        <v>0</v>
      </c>
    </row>
    <row r="4442" spans="1:10" ht="15.75" hidden="1" thickBot="1" x14ac:dyDescent="0.3">
      <c r="A4442" s="247"/>
      <c r="B4442" s="245"/>
      <c r="C4442" s="155" t="s">
        <v>9852</v>
      </c>
      <c r="D4442" s="155" t="s">
        <v>587</v>
      </c>
      <c r="E4442" s="34">
        <v>2</v>
      </c>
      <c r="F4442" s="49">
        <v>26.257999999999999</v>
      </c>
      <c r="G4442" s="49">
        <f>IF(ISNUMBER(F4442),E4442*F4442,"")</f>
        <v>52.515999999999998</v>
      </c>
      <c r="H4442" s="65"/>
      <c r="I4442" s="66"/>
      <c r="J4442" s="125">
        <v>0</v>
      </c>
    </row>
    <row r="4443" spans="1:10" ht="15.75" hidden="1" thickBot="1" x14ac:dyDescent="0.3">
      <c r="A4443" s="247"/>
      <c r="B4443" s="245"/>
      <c r="C4443" s="155" t="s">
        <v>92</v>
      </c>
      <c r="D4443" s="155" t="s">
        <v>774</v>
      </c>
      <c r="E4443" s="34">
        <v>0.2</v>
      </c>
      <c r="F4443" s="49">
        <v>28.594999999999999</v>
      </c>
      <c r="G4443" s="49">
        <f>IF(ISNUMBER(F4443),E4443*F4443,"")</f>
        <v>5.7190000000000003</v>
      </c>
      <c r="H4443" s="65"/>
      <c r="I4443" s="66"/>
      <c r="J4443" s="125">
        <v>0</v>
      </c>
    </row>
    <row r="4444" spans="1:10" ht="15.75" hidden="1" thickBot="1" x14ac:dyDescent="0.3">
      <c r="A4444" s="248"/>
      <c r="B4444" s="246"/>
      <c r="C4444" s="164"/>
      <c r="D4444" s="50"/>
      <c r="E4444" s="61"/>
      <c r="F4444" s="68" t="s">
        <v>418</v>
      </c>
      <c r="G4444" s="68" t="str">
        <f>IF(ISNUMBER(F4444),E4444*F4444,"")</f>
        <v/>
      </c>
      <c r="H4444" s="69"/>
      <c r="I4444" s="66"/>
      <c r="J4444" s="125">
        <v>0</v>
      </c>
    </row>
    <row r="4445" spans="1:10" ht="15.75" hidden="1" thickBot="1" x14ac:dyDescent="0.3">
      <c r="A4445" s="241" t="s">
        <v>1201</v>
      </c>
      <c r="B4445" s="244" t="s">
        <v>1866</v>
      </c>
      <c r="C4445" s="160"/>
      <c r="D4445" s="23" t="s">
        <v>69</v>
      </c>
      <c r="E4445" s="24"/>
      <c r="F4445" s="44" t="s">
        <v>418</v>
      </c>
      <c r="G4445" s="25" t="str">
        <f>IF(ISNUMBER(F4445),E4445*F4445,"")</f>
        <v/>
      </c>
      <c r="H4445" s="26"/>
      <c r="I4445" s="27"/>
      <c r="J4445" s="125">
        <v>0</v>
      </c>
    </row>
    <row r="4446" spans="1:10" ht="15.75" hidden="1" thickBot="1" x14ac:dyDescent="0.3">
      <c r="A4446" s="247"/>
      <c r="B4446" s="245"/>
      <c r="C4446" s="151"/>
      <c r="D4446" s="29"/>
      <c r="E4446" s="30"/>
      <c r="F4446" s="49" t="s">
        <v>418</v>
      </c>
      <c r="G4446" s="49" t="str">
        <f>IF(ISNUMBER(F4446),E4446*F4446,"")</f>
        <v/>
      </c>
      <c r="H4446" s="65"/>
      <c r="I4446" s="66"/>
      <c r="J4446" s="125">
        <v>0</v>
      </c>
    </row>
    <row r="4447" spans="1:10" ht="15.75" hidden="1" thickBot="1" x14ac:dyDescent="0.3">
      <c r="A4447" s="247"/>
      <c r="B4447" s="245"/>
      <c r="C4447" s="155" t="s">
        <v>649</v>
      </c>
      <c r="D4447" s="155" t="s">
        <v>774</v>
      </c>
      <c r="E4447" s="34">
        <v>5.18</v>
      </c>
      <c r="F4447" s="49">
        <v>8.5499999999999989</v>
      </c>
      <c r="G4447" s="49">
        <f>IF(ISNUMBER(F4447),E4447*F4447,"")</f>
        <v>44.288999999999994</v>
      </c>
      <c r="H4447" s="35">
        <f>SUM(G4447:G4452)</f>
        <v>77.491198231573733</v>
      </c>
      <c r="I4447" s="36"/>
      <c r="J4447" s="125">
        <v>0</v>
      </c>
    </row>
    <row r="4448" spans="1:10" ht="15.75" hidden="1" thickBot="1" x14ac:dyDescent="0.3">
      <c r="A4448" s="247"/>
      <c r="B4448" s="245"/>
      <c r="C4448" s="155" t="s">
        <v>1200</v>
      </c>
      <c r="D4448" s="155" t="s">
        <v>76</v>
      </c>
      <c r="E4448" s="34">
        <v>0.05</v>
      </c>
      <c r="F4448" s="49">
        <v>34.142999999999994</v>
      </c>
      <c r="G4448" s="49">
        <f>IF(ISNUMBER(F4448),E4448*F4448,"")</f>
        <v>1.7071499999999997</v>
      </c>
      <c r="H4448" s="65"/>
      <c r="I4448" s="66"/>
      <c r="J4448" s="125">
        <v>0</v>
      </c>
    </row>
    <row r="4449" spans="1:10" s="144" customFormat="1" ht="15.75" hidden="1" thickBot="1" x14ac:dyDescent="0.3">
      <c r="A4449" s="247"/>
      <c r="B4449" s="245"/>
      <c r="C4449" s="155" t="s">
        <v>962</v>
      </c>
      <c r="D4449" s="155" t="s">
        <v>587</v>
      </c>
      <c r="E4449" s="156">
        <f>0.4298*0.05/0.16</f>
        <v>0.1343125</v>
      </c>
      <c r="F4449" s="49">
        <v>26.799499999999998</v>
      </c>
      <c r="G4449" s="49">
        <f>IF(ISNUMBER(F4449),E4449*F4449,"")</f>
        <v>3.5995078437499997</v>
      </c>
      <c r="H4449" s="65"/>
      <c r="I4449" s="66"/>
      <c r="J4449" s="125">
        <v>0</v>
      </c>
    </row>
    <row r="4450" spans="1:10" ht="15.75" hidden="1" thickBot="1" x14ac:dyDescent="0.3">
      <c r="A4450" s="247"/>
      <c r="B4450" s="245"/>
      <c r="C4450" s="155" t="s">
        <v>595</v>
      </c>
      <c r="D4450" s="155" t="s">
        <v>587</v>
      </c>
      <c r="E4450" s="34">
        <v>0.4</v>
      </c>
      <c r="F4450" s="49">
        <v>25.65</v>
      </c>
      <c r="G4450" s="49">
        <f>IF(ISNUMBER(F4450),E4450*F4450,"")</f>
        <v>10.26</v>
      </c>
      <c r="H4450" s="65"/>
      <c r="I4450" s="66"/>
      <c r="J4450" s="125">
        <v>0</v>
      </c>
    </row>
    <row r="4451" spans="1:10" ht="15.75" hidden="1" thickBot="1" x14ac:dyDescent="0.3">
      <c r="A4451" s="247"/>
      <c r="B4451" s="245"/>
      <c r="C4451" s="155" t="s">
        <v>588</v>
      </c>
      <c r="D4451" s="155" t="s">
        <v>587</v>
      </c>
      <c r="E4451" s="34">
        <v>0.8</v>
      </c>
      <c r="F4451" s="49">
        <v>19.189999999999998</v>
      </c>
      <c r="G4451" s="49">
        <f>IF(ISNUMBER(F4451),E4451*F4451,"")</f>
        <v>15.351999999999999</v>
      </c>
      <c r="H4451" s="65"/>
      <c r="I4451" s="66"/>
      <c r="J4451" s="125">
        <v>0</v>
      </c>
    </row>
    <row r="4452" spans="1:10" ht="26.25" hidden="1" thickBot="1" x14ac:dyDescent="0.3">
      <c r="A4452" s="247"/>
      <c r="B4452" s="245"/>
      <c r="C4452" s="155" t="s">
        <v>80</v>
      </c>
      <c r="D4452" s="155" t="s">
        <v>85</v>
      </c>
      <c r="E4452" s="34">
        <v>2.5000000000000001E-3</v>
      </c>
      <c r="F4452" s="49">
        <v>913.4161551295</v>
      </c>
      <c r="G4452" s="49">
        <f>IF(ISNUMBER(F4452),E4452*F4452,"")</f>
        <v>2.2835403878237499</v>
      </c>
      <c r="H4452" s="65"/>
      <c r="I4452" s="66"/>
      <c r="J4452" s="125">
        <v>0</v>
      </c>
    </row>
    <row r="4453" spans="1:10" ht="15.75" hidden="1" thickBot="1" x14ac:dyDescent="0.3">
      <c r="A4453" s="248"/>
      <c r="B4453" s="246"/>
      <c r="C4453" s="164"/>
      <c r="D4453" s="50"/>
      <c r="E4453" s="61"/>
      <c r="F4453" s="68" t="s">
        <v>418</v>
      </c>
      <c r="G4453" s="68" t="str">
        <f>IF(ISNUMBER(F4453),E4453*F4453,"")</f>
        <v/>
      </c>
      <c r="H4453" s="69"/>
      <c r="I4453" s="66"/>
      <c r="J4453" s="125">
        <v>0</v>
      </c>
    </row>
    <row r="4454" spans="1:10" ht="15.75" hidden="1" thickBot="1" x14ac:dyDescent="0.3">
      <c r="A4454" s="234" t="s">
        <v>1202</v>
      </c>
      <c r="B4454" s="237" t="s">
        <v>1867</v>
      </c>
      <c r="C4454" s="160"/>
      <c r="D4454" s="23" t="s">
        <v>70</v>
      </c>
      <c r="E4454" s="24"/>
      <c r="F4454" s="44" t="s">
        <v>418</v>
      </c>
      <c r="G4454" s="25" t="str">
        <f>IF(ISNUMBER(F4454),E4454*F4454,"")</f>
        <v/>
      </c>
      <c r="H4454" s="26"/>
      <c r="I4454" s="27"/>
      <c r="J4454" s="125">
        <v>0</v>
      </c>
    </row>
    <row r="4455" spans="1:10" ht="15.75" hidden="1" thickBot="1" x14ac:dyDescent="0.3">
      <c r="A4455" s="249"/>
      <c r="B4455" s="238"/>
      <c r="C4455" s="151"/>
      <c r="D4455" s="29"/>
      <c r="E4455" s="30"/>
      <c r="F4455" s="49" t="s">
        <v>418</v>
      </c>
      <c r="G4455" s="49" t="str">
        <f>IF(ISNUMBER(F4455),E4455*F4455,"")</f>
        <v/>
      </c>
      <c r="H4455" s="65"/>
      <c r="I4455" s="66"/>
      <c r="J4455" s="125">
        <v>0</v>
      </c>
    </row>
    <row r="4456" spans="1:10" ht="15.75" hidden="1" thickBot="1" x14ac:dyDescent="0.3">
      <c r="A4456" s="249"/>
      <c r="B4456" s="238"/>
      <c r="C4456" s="155" t="s">
        <v>588</v>
      </c>
      <c r="D4456" s="155" t="s">
        <v>587</v>
      </c>
      <c r="E4456" s="34">
        <v>0.11</v>
      </c>
      <c r="F4456" s="49">
        <v>19.189999999999998</v>
      </c>
      <c r="G4456" s="49">
        <f>IF(ISNUMBER(F4456),E4456*F4456,"")</f>
        <v>2.1108999999999996</v>
      </c>
      <c r="H4456" s="35">
        <f>SUM(G4456:G4458)</f>
        <v>2.6998999999999995</v>
      </c>
      <c r="I4456" s="36"/>
      <c r="J4456" s="125">
        <v>0</v>
      </c>
    </row>
    <row r="4457" spans="1:10" ht="15.75" hidden="1" thickBot="1" x14ac:dyDescent="0.3">
      <c r="A4457" s="249"/>
      <c r="B4457" s="238"/>
      <c r="C4457" s="155" t="s">
        <v>1203</v>
      </c>
      <c r="D4457" s="33" t="s">
        <v>1204</v>
      </c>
      <c r="E4457" s="34">
        <v>0.22</v>
      </c>
      <c r="F4457" s="49">
        <v>0.95</v>
      </c>
      <c r="G4457" s="49">
        <f>IF(ISNUMBER(F4457),E4457*F4457,"")</f>
        <v>0.20899999999999999</v>
      </c>
      <c r="H4457" s="65"/>
      <c r="I4457" s="66"/>
      <c r="J4457" s="125">
        <v>0</v>
      </c>
    </row>
    <row r="4458" spans="1:10" ht="15.75" hidden="1" thickBot="1" x14ac:dyDescent="0.3">
      <c r="A4458" s="249"/>
      <c r="B4458" s="238"/>
      <c r="C4458" s="155" t="s">
        <v>1206</v>
      </c>
      <c r="D4458" s="33" t="s">
        <v>76</v>
      </c>
      <c r="E4458" s="34">
        <v>0.4</v>
      </c>
      <c r="F4458" s="49">
        <v>0.95</v>
      </c>
      <c r="G4458" s="49">
        <f>IF(ISNUMBER(F4458),E4458*F4458,"")</f>
        <v>0.38</v>
      </c>
      <c r="H4458" s="65"/>
      <c r="I4458" s="66"/>
      <c r="J4458" s="125">
        <v>0</v>
      </c>
    </row>
    <row r="4459" spans="1:10" ht="15.75" hidden="1" thickBot="1" x14ac:dyDescent="0.3">
      <c r="A4459" s="250"/>
      <c r="B4459" s="239"/>
      <c r="C4459" s="164"/>
      <c r="D4459" s="50"/>
      <c r="E4459" s="61"/>
      <c r="F4459" s="68" t="s">
        <v>418</v>
      </c>
      <c r="G4459" s="68" t="str">
        <f>IF(ISNUMBER(F4459),E4459*F4459,"")</f>
        <v/>
      </c>
      <c r="H4459" s="69"/>
      <c r="I4459" s="66"/>
      <c r="J4459" s="125">
        <v>0</v>
      </c>
    </row>
    <row r="4460" spans="1:10" ht="15.75" hidden="1" thickBot="1" x14ac:dyDescent="0.3">
      <c r="A4460" s="234" t="s">
        <v>1207</v>
      </c>
      <c r="B4460" s="237" t="s">
        <v>1868</v>
      </c>
      <c r="C4460" s="160"/>
      <c r="D4460" s="23" t="s">
        <v>16</v>
      </c>
      <c r="E4460" s="24"/>
      <c r="F4460" s="44" t="s">
        <v>418</v>
      </c>
      <c r="G4460" s="25" t="str">
        <f>IF(ISNUMBER(F4460),E4460*F4460,"")</f>
        <v/>
      </c>
      <c r="H4460" s="26"/>
      <c r="I4460" s="27"/>
      <c r="J4460" s="125">
        <v>0</v>
      </c>
    </row>
    <row r="4461" spans="1:10" ht="15.75" hidden="1" thickBot="1" x14ac:dyDescent="0.3">
      <c r="A4461" s="249"/>
      <c r="B4461" s="238"/>
      <c r="C4461" s="151"/>
      <c r="D4461" s="29"/>
      <c r="E4461" s="30"/>
      <c r="F4461" s="49" t="s">
        <v>418</v>
      </c>
      <c r="G4461" s="49" t="str">
        <f>IF(ISNUMBER(F4461),E4461*F4461,"")</f>
        <v/>
      </c>
      <c r="H4461" s="65"/>
      <c r="I4461" s="66"/>
      <c r="J4461" s="125">
        <v>0</v>
      </c>
    </row>
    <row r="4462" spans="1:10" ht="26.25" hidden="1" thickBot="1" x14ac:dyDescent="0.3">
      <c r="A4462" s="249"/>
      <c r="B4462" s="238"/>
      <c r="C4462" s="155" t="s">
        <v>23543</v>
      </c>
      <c r="D4462" s="155" t="s">
        <v>205</v>
      </c>
      <c r="E4462" s="34">
        <v>1</v>
      </c>
      <c r="F4462" s="49">
        <v>5.5289999999999999</v>
      </c>
      <c r="G4462" s="49">
        <f>IF(ISNUMBER(F4462),E4462*F4462,"")</f>
        <v>5.5289999999999999</v>
      </c>
      <c r="H4462" s="35">
        <f>SUM(G4462:G4476)</f>
        <v>237.23308657500002</v>
      </c>
      <c r="I4462" s="36"/>
      <c r="J4462" s="125">
        <v>0</v>
      </c>
    </row>
    <row r="4463" spans="1:10" s="144" customFormat="1" ht="26.25" hidden="1" thickBot="1" x14ac:dyDescent="0.3">
      <c r="A4463" s="249"/>
      <c r="B4463" s="238"/>
      <c r="C4463" s="155" t="s">
        <v>1208</v>
      </c>
      <c r="D4463" s="155" t="s">
        <v>205</v>
      </c>
      <c r="E4463" s="156">
        <v>1</v>
      </c>
      <c r="F4463" s="49">
        <v>19.123499999999996</v>
      </c>
      <c r="G4463" s="49">
        <f>IF(ISNUMBER(F4463),E4463*F4463,"")</f>
        <v>19.123499999999996</v>
      </c>
      <c r="H4463" s="65"/>
      <c r="I4463" s="66"/>
      <c r="J4463" s="125">
        <v>0</v>
      </c>
    </row>
    <row r="4464" spans="1:10" ht="26.25" hidden="1" thickBot="1" x14ac:dyDescent="0.3">
      <c r="A4464" s="249"/>
      <c r="B4464" s="238"/>
      <c r="C4464" s="155" t="s">
        <v>1209</v>
      </c>
      <c r="D4464" s="155" t="s">
        <v>205</v>
      </c>
      <c r="E4464" s="34">
        <v>1</v>
      </c>
      <c r="F4464" s="49">
        <v>52.829499999999996</v>
      </c>
      <c r="G4464" s="49">
        <f>IF(ISNUMBER(F4464),E4464*F4464,"")</f>
        <v>52.829499999999996</v>
      </c>
      <c r="H4464" s="65"/>
      <c r="I4464" s="66"/>
      <c r="J4464" s="125">
        <v>0</v>
      </c>
    </row>
    <row r="4465" spans="1:10" ht="39" hidden="1" thickBot="1" x14ac:dyDescent="0.3">
      <c r="A4465" s="249"/>
      <c r="B4465" s="238"/>
      <c r="C4465" s="155" t="s">
        <v>26766</v>
      </c>
      <c r="D4465" s="155" t="s">
        <v>205</v>
      </c>
      <c r="E4465" s="34">
        <v>7.0000000000000007E-2</v>
      </c>
      <c r="F4465" s="49">
        <v>30.2575</v>
      </c>
      <c r="G4465" s="49">
        <f>IF(ISNUMBER(F4465),E4465*F4465,"")</f>
        <v>2.1180250000000003</v>
      </c>
      <c r="H4465" s="65"/>
      <c r="I4465" s="66"/>
      <c r="J4465" s="125">
        <v>0</v>
      </c>
    </row>
    <row r="4466" spans="1:10" ht="26.25" hidden="1" thickBot="1" x14ac:dyDescent="0.3">
      <c r="A4466" s="249"/>
      <c r="B4466" s="238"/>
      <c r="C4466" s="155" t="s">
        <v>824</v>
      </c>
      <c r="D4466" s="155" t="s">
        <v>587</v>
      </c>
      <c r="E4466" s="34">
        <v>0.11</v>
      </c>
      <c r="F4466" s="49">
        <v>18.6295</v>
      </c>
      <c r="G4466" s="49">
        <f>IF(ISNUMBER(F4466),E4466*F4466,"")</f>
        <v>2.049245</v>
      </c>
      <c r="H4466" s="65"/>
      <c r="I4466" s="66"/>
      <c r="J4466" s="125">
        <v>0</v>
      </c>
    </row>
    <row r="4467" spans="1:10" ht="26.25" hidden="1" thickBot="1" x14ac:dyDescent="0.3">
      <c r="A4467" s="249"/>
      <c r="B4467" s="238"/>
      <c r="C4467" s="155" t="s">
        <v>825</v>
      </c>
      <c r="D4467" s="155" t="s">
        <v>587</v>
      </c>
      <c r="E4467" s="34">
        <v>0.11</v>
      </c>
      <c r="F4467" s="49">
        <v>24.9375</v>
      </c>
      <c r="G4467" s="49">
        <f>IF(ISNUMBER(F4467),E4467*F4467,"")</f>
        <v>2.743125</v>
      </c>
      <c r="H4467" s="65"/>
      <c r="I4467" s="66"/>
      <c r="J4467" s="125">
        <v>0</v>
      </c>
    </row>
    <row r="4468" spans="1:10" ht="15.75" hidden="1" thickBot="1" x14ac:dyDescent="0.3">
      <c r="A4468" s="249"/>
      <c r="B4468" s="238"/>
      <c r="C4468" s="155" t="s">
        <v>23487</v>
      </c>
      <c r="D4468" s="155" t="s">
        <v>205</v>
      </c>
      <c r="E4468" s="34">
        <v>6.1999999999999998E-3</v>
      </c>
      <c r="F4468" s="49">
        <v>73.311499999999995</v>
      </c>
      <c r="G4468" s="49">
        <f>IF(ISNUMBER(F4468),E4468*F4468,"")</f>
        <v>0.45453129999999997</v>
      </c>
      <c r="H4468" s="65"/>
      <c r="I4468" s="66"/>
      <c r="J4468" s="125">
        <v>0</v>
      </c>
    </row>
    <row r="4469" spans="1:10" ht="26.25" hidden="1" thickBot="1" x14ac:dyDescent="0.3">
      <c r="A4469" s="249"/>
      <c r="B4469" s="238"/>
      <c r="C4469" s="155" t="s">
        <v>1210</v>
      </c>
      <c r="D4469" s="155" t="s">
        <v>385</v>
      </c>
      <c r="E4469" s="34">
        <f>1.0353/2</f>
        <v>0.51765000000000005</v>
      </c>
      <c r="F4469" s="49">
        <v>56.686500000000002</v>
      </c>
      <c r="G4469" s="49">
        <f>IF(ISNUMBER(F4469),E4469*F4469,"")</f>
        <v>29.343766725000005</v>
      </c>
      <c r="H4469" s="65"/>
      <c r="I4469" s="66"/>
      <c r="J4469" s="125">
        <v>0</v>
      </c>
    </row>
    <row r="4470" spans="1:10" ht="15.75" hidden="1" thickBot="1" x14ac:dyDescent="0.3">
      <c r="A4470" s="249"/>
      <c r="B4470" s="238"/>
      <c r="C4470" s="155" t="s">
        <v>26048</v>
      </c>
      <c r="D4470" s="155" t="s">
        <v>205</v>
      </c>
      <c r="E4470" s="34">
        <v>7.2999999999999995E-2</v>
      </c>
      <c r="F4470" s="49">
        <v>2.1849999999999996</v>
      </c>
      <c r="G4470" s="49">
        <f>IF(ISNUMBER(F4470),E4470*F4470,"")</f>
        <v>0.15950499999999995</v>
      </c>
      <c r="H4470" s="65"/>
      <c r="I4470" s="66"/>
      <c r="J4470" s="125">
        <v>0</v>
      </c>
    </row>
    <row r="4471" spans="1:10" ht="26.25" hidden="1" thickBot="1" x14ac:dyDescent="0.3">
      <c r="A4471" s="249"/>
      <c r="B4471" s="238"/>
      <c r="C4471" s="155" t="s">
        <v>824</v>
      </c>
      <c r="D4471" s="155" t="s">
        <v>587</v>
      </c>
      <c r="E4471" s="34">
        <v>0.13089999999999999</v>
      </c>
      <c r="F4471" s="49">
        <v>18.6295</v>
      </c>
      <c r="G4471" s="49">
        <f>IF(ISNUMBER(F4471),E4471*F4471,"")</f>
        <v>2.43860155</v>
      </c>
      <c r="H4471" s="65"/>
      <c r="I4471" s="66"/>
      <c r="J4471" s="125">
        <v>0</v>
      </c>
    </row>
    <row r="4472" spans="1:10" ht="26.25" hidden="1" thickBot="1" x14ac:dyDescent="0.3">
      <c r="A4472" s="249"/>
      <c r="B4472" s="238"/>
      <c r="C4472" s="155" t="s">
        <v>825</v>
      </c>
      <c r="D4472" s="155" t="s">
        <v>587</v>
      </c>
      <c r="E4472" s="34">
        <v>0.13089999999999999</v>
      </c>
      <c r="F4472" s="49">
        <v>24.9375</v>
      </c>
      <c r="G4472" s="49">
        <f>IF(ISNUMBER(F4472),E4472*F4472,"")</f>
        <v>3.2643187499999997</v>
      </c>
      <c r="H4472" s="65"/>
      <c r="I4472" s="66"/>
      <c r="J4472" s="125">
        <v>0</v>
      </c>
    </row>
    <row r="4473" spans="1:10" ht="15.75" hidden="1" thickBot="1" x14ac:dyDescent="0.3">
      <c r="A4473" s="249"/>
      <c r="B4473" s="238"/>
      <c r="C4473" s="155" t="s">
        <v>595</v>
      </c>
      <c r="D4473" s="155" t="s">
        <v>587</v>
      </c>
      <c r="E4473" s="34">
        <v>1</v>
      </c>
      <c r="F4473" s="49">
        <v>25.65</v>
      </c>
      <c r="G4473" s="49">
        <f>IF(ISNUMBER(F4473),E4473*F4473,"")</f>
        <v>25.65</v>
      </c>
      <c r="H4473" s="65"/>
      <c r="I4473" s="66"/>
      <c r="J4473" s="125">
        <v>0</v>
      </c>
    </row>
    <row r="4474" spans="1:10" ht="26.25" hidden="1" thickBot="1" x14ac:dyDescent="0.3">
      <c r="A4474" s="249"/>
      <c r="B4474" s="238"/>
      <c r="C4474" s="155" t="s">
        <v>652</v>
      </c>
      <c r="D4474" s="155" t="s">
        <v>774</v>
      </c>
      <c r="E4474" s="34">
        <f>ROUND(1.8*(PI()*(0.25-0.15)*0.1)*10,4)</f>
        <v>0.5655</v>
      </c>
      <c r="F4474" s="49">
        <v>51.841499999999996</v>
      </c>
      <c r="G4474" s="49">
        <f>IF(ISNUMBER(F4474),E4474*F4474,"")</f>
        <v>29.316368249999996</v>
      </c>
      <c r="H4474" s="65"/>
      <c r="I4474" s="66"/>
      <c r="J4474" s="125">
        <v>0</v>
      </c>
    </row>
    <row r="4475" spans="1:10" ht="26.25" hidden="1" thickBot="1" x14ac:dyDescent="0.3">
      <c r="A4475" s="249"/>
      <c r="B4475" s="238"/>
      <c r="C4475" s="155" t="s">
        <v>937</v>
      </c>
      <c r="D4475" s="155" t="s">
        <v>38831</v>
      </c>
      <c r="E4475" s="34">
        <v>0.2</v>
      </c>
      <c r="F4475" s="49">
        <v>39.225499999999997</v>
      </c>
      <c r="G4475" s="49">
        <f>IF(ISNUMBER(F4475),E4475*F4475,"")</f>
        <v>7.8450999999999995</v>
      </c>
      <c r="H4475" s="65"/>
      <c r="I4475" s="66"/>
      <c r="J4475" s="125">
        <v>0</v>
      </c>
    </row>
    <row r="4476" spans="1:10" ht="15.75" hidden="1" thickBot="1" x14ac:dyDescent="0.3">
      <c r="A4476" s="249"/>
      <c r="B4476" s="238"/>
      <c r="C4476" s="155" t="s">
        <v>1211</v>
      </c>
      <c r="D4476" s="155" t="s">
        <v>205</v>
      </c>
      <c r="E4476" s="34">
        <v>1</v>
      </c>
      <c r="F4476" s="49">
        <v>54.368499999999997</v>
      </c>
      <c r="G4476" s="49">
        <f>IF(ISNUMBER(F4476),E4476*F4476,"")</f>
        <v>54.368499999999997</v>
      </c>
      <c r="H4476" s="65"/>
      <c r="I4476" s="66"/>
      <c r="J4476" s="125">
        <v>0</v>
      </c>
    </row>
    <row r="4477" spans="1:10" ht="15.75" hidden="1" thickBot="1" x14ac:dyDescent="0.3">
      <c r="A4477" s="249"/>
      <c r="B4477" s="238"/>
      <c r="C4477" s="155"/>
      <c r="D4477" s="33"/>
      <c r="E4477" s="34"/>
      <c r="F4477" s="49" t="s">
        <v>418</v>
      </c>
      <c r="G4477" s="49"/>
      <c r="H4477" s="65"/>
      <c r="I4477" s="66"/>
      <c r="J4477" s="125">
        <v>0</v>
      </c>
    </row>
    <row r="4478" spans="1:10" ht="15.75" hidden="1" thickBot="1" x14ac:dyDescent="0.3">
      <c r="A4478" s="249"/>
      <c r="B4478" s="238"/>
      <c r="C4478" s="43" t="s">
        <v>11127</v>
      </c>
      <c r="D4478" s="33"/>
      <c r="E4478" s="34"/>
      <c r="F4478" s="49" t="s">
        <v>418</v>
      </c>
      <c r="G4478" s="49"/>
      <c r="H4478" s="65"/>
      <c r="I4478" s="66"/>
      <c r="J4478" s="125">
        <v>0</v>
      </c>
    </row>
    <row r="4479" spans="1:10" ht="15.75" hidden="1" thickBot="1" x14ac:dyDescent="0.3">
      <c r="A4479" s="250"/>
      <c r="B4479" s="239"/>
      <c r="C4479" s="164"/>
      <c r="D4479" s="50"/>
      <c r="E4479" s="61"/>
      <c r="F4479" s="68" t="s">
        <v>418</v>
      </c>
      <c r="G4479" s="68" t="str">
        <f>IF(ISNUMBER(F4479),E4479*F4479,"")</f>
        <v/>
      </c>
      <c r="H4479" s="69"/>
      <c r="I4479" s="66"/>
      <c r="J4479" s="125">
        <v>0</v>
      </c>
    </row>
    <row r="4480" spans="1:10" ht="15.75" hidden="1" thickBot="1" x14ac:dyDescent="0.3">
      <c r="A4480" s="234" t="s">
        <v>1212</v>
      </c>
      <c r="B4480" s="237" t="s">
        <v>1869</v>
      </c>
      <c r="C4480" s="160"/>
      <c r="D4480" s="23" t="s">
        <v>16</v>
      </c>
      <c r="E4480" s="24"/>
      <c r="F4480" s="44" t="s">
        <v>418</v>
      </c>
      <c r="G4480" s="25" t="str">
        <f>IF(ISNUMBER(F4480),E4480*F4480,"")</f>
        <v/>
      </c>
      <c r="H4480" s="26"/>
      <c r="I4480" s="27"/>
      <c r="J4480" s="125">
        <v>0</v>
      </c>
    </row>
    <row r="4481" spans="1:10" ht="15.75" hidden="1" thickBot="1" x14ac:dyDescent="0.3">
      <c r="A4481" s="249"/>
      <c r="B4481" s="238"/>
      <c r="C4481" s="151"/>
      <c r="D4481" s="29"/>
      <c r="E4481" s="30"/>
      <c r="F4481" s="49" t="s">
        <v>418</v>
      </c>
      <c r="G4481" s="49" t="str">
        <f>IF(ISNUMBER(F4481),E4481*F4481,"")</f>
        <v/>
      </c>
      <c r="H4481" s="65"/>
      <c r="I4481" s="66"/>
      <c r="J4481" s="125">
        <v>0</v>
      </c>
    </row>
    <row r="4482" spans="1:10" ht="15.75" hidden="1" thickBot="1" x14ac:dyDescent="0.3">
      <c r="A4482" s="249"/>
      <c r="B4482" s="238"/>
      <c r="C4482" s="155" t="s">
        <v>889</v>
      </c>
      <c r="D4482" s="155" t="s">
        <v>587</v>
      </c>
      <c r="E4482" s="34">
        <v>0.5</v>
      </c>
      <c r="F4482" s="49">
        <v>23.635999999999999</v>
      </c>
      <c r="G4482" s="49">
        <f>IF(ISNUMBER(F4482),E4482*F4482,"")</f>
        <v>11.818</v>
      </c>
      <c r="H4482" s="35">
        <f>SUM(G4482:G4484)</f>
        <v>48.979468249999996</v>
      </c>
      <c r="I4482" s="36"/>
      <c r="J4482" s="125">
        <v>0</v>
      </c>
    </row>
    <row r="4483" spans="1:10" ht="26.25" hidden="1" thickBot="1" x14ac:dyDescent="0.3">
      <c r="A4483" s="249"/>
      <c r="B4483" s="238"/>
      <c r="C4483" s="155" t="s">
        <v>652</v>
      </c>
      <c r="D4483" s="155" t="s">
        <v>774</v>
      </c>
      <c r="E4483" s="34">
        <f>ROUND(1.8*(PI()*(0.25-0.15)*0.1)*10,4)</f>
        <v>0.5655</v>
      </c>
      <c r="F4483" s="49">
        <v>51.841499999999996</v>
      </c>
      <c r="G4483" s="49">
        <f>IF(ISNUMBER(F4483),E4483*F4483,"")</f>
        <v>29.316368249999996</v>
      </c>
      <c r="H4483" s="65"/>
      <c r="I4483" s="66"/>
      <c r="J4483" s="125">
        <v>0</v>
      </c>
    </row>
    <row r="4484" spans="1:10" ht="26.25" hidden="1" thickBot="1" x14ac:dyDescent="0.3">
      <c r="A4484" s="249"/>
      <c r="B4484" s="238"/>
      <c r="C4484" s="155" t="s">
        <v>937</v>
      </c>
      <c r="D4484" s="155" t="s">
        <v>38831</v>
      </c>
      <c r="E4484" s="34">
        <v>0.2</v>
      </c>
      <c r="F4484" s="49">
        <v>39.225499999999997</v>
      </c>
      <c r="G4484" s="49">
        <f>IF(ISNUMBER(F4484),E4484*F4484,"")</f>
        <v>7.8450999999999995</v>
      </c>
      <c r="H4484" s="65"/>
      <c r="I4484" s="66"/>
      <c r="J4484" s="125">
        <v>0</v>
      </c>
    </row>
    <row r="4485" spans="1:10" ht="15.75" hidden="1" thickBot="1" x14ac:dyDescent="0.3">
      <c r="A4485" s="249"/>
      <c r="B4485" s="238"/>
      <c r="C4485" s="155"/>
      <c r="D4485" s="34"/>
      <c r="E4485" s="34"/>
      <c r="F4485" s="49" t="s">
        <v>418</v>
      </c>
      <c r="G4485" s="49"/>
      <c r="H4485" s="65"/>
      <c r="I4485" s="66"/>
      <c r="J4485" s="125">
        <v>0</v>
      </c>
    </row>
    <row r="4486" spans="1:10" ht="15.75" hidden="1" thickBot="1" x14ac:dyDescent="0.3">
      <c r="A4486" s="249"/>
      <c r="B4486" s="238"/>
      <c r="C4486" s="43" t="s">
        <v>11127</v>
      </c>
      <c r="D4486" s="34"/>
      <c r="E4486" s="34"/>
      <c r="F4486" s="49" t="s">
        <v>418</v>
      </c>
      <c r="G4486" s="49"/>
      <c r="H4486" s="65"/>
      <c r="I4486" s="66"/>
      <c r="J4486" s="125">
        <v>0</v>
      </c>
    </row>
    <row r="4487" spans="1:10" ht="15.75" hidden="1" thickBot="1" x14ac:dyDescent="0.3">
      <c r="A4487" s="250"/>
      <c r="B4487" s="239"/>
      <c r="C4487" s="164"/>
      <c r="D4487" s="50"/>
      <c r="E4487" s="61"/>
      <c r="F4487" s="68" t="s">
        <v>418</v>
      </c>
      <c r="G4487" s="68" t="str">
        <f>IF(ISNUMBER(F4487),E4487*F4487,"")</f>
        <v/>
      </c>
      <c r="H4487" s="69"/>
      <c r="I4487" s="66"/>
      <c r="J4487" s="125">
        <v>0</v>
      </c>
    </row>
    <row r="4488" spans="1:10" ht="15.75" hidden="1" thickBot="1" x14ac:dyDescent="0.3">
      <c r="A4488" s="234" t="s">
        <v>1213</v>
      </c>
      <c r="B4488" s="237" t="s">
        <v>19767</v>
      </c>
      <c r="C4488" s="160"/>
      <c r="D4488" s="23" t="s">
        <v>70</v>
      </c>
      <c r="E4488" s="24"/>
      <c r="F4488" s="44" t="s">
        <v>418</v>
      </c>
      <c r="G4488" s="25" t="str">
        <f>IF(ISNUMBER(F4488),E4488*F4488,"")</f>
        <v/>
      </c>
      <c r="H4488" s="26"/>
      <c r="I4488" s="27"/>
      <c r="J4488" s="125">
        <v>0</v>
      </c>
    </row>
    <row r="4489" spans="1:10" ht="15.75" hidden="1" thickBot="1" x14ac:dyDescent="0.3">
      <c r="A4489" s="249"/>
      <c r="B4489" s="238"/>
      <c r="C4489" s="151"/>
      <c r="D4489" s="29"/>
      <c r="E4489" s="30"/>
      <c r="F4489" s="49" t="s">
        <v>418</v>
      </c>
      <c r="G4489" s="49" t="str">
        <f>IF(ISNUMBER(F4489),E4489*F4489,"")</f>
        <v/>
      </c>
      <c r="H4489" s="65"/>
      <c r="I4489" s="66"/>
      <c r="J4489" s="125">
        <v>0</v>
      </c>
    </row>
    <row r="4490" spans="1:10" ht="15.75" hidden="1" thickBot="1" x14ac:dyDescent="0.3">
      <c r="A4490" s="249"/>
      <c r="B4490" s="238"/>
      <c r="C4490" s="155" t="s">
        <v>24537</v>
      </c>
      <c r="D4490" s="155" t="s">
        <v>774</v>
      </c>
      <c r="E4490" s="34">
        <v>0.5</v>
      </c>
      <c r="F4490" s="49">
        <v>1.254</v>
      </c>
      <c r="G4490" s="49">
        <f>IF(ISNUMBER(F4490),E4490*F4490,"")</f>
        <v>0.627</v>
      </c>
      <c r="H4490" s="35">
        <f>SUM(G4490:G4494)</f>
        <v>50.3522740911596</v>
      </c>
      <c r="I4490" s="36"/>
      <c r="J4490" s="125">
        <v>0</v>
      </c>
    </row>
    <row r="4491" spans="1:10" ht="26.25" hidden="1" thickBot="1" x14ac:dyDescent="0.3">
      <c r="A4491" s="249"/>
      <c r="B4491" s="238"/>
      <c r="C4491" s="155" t="s">
        <v>23492</v>
      </c>
      <c r="D4491" s="155" t="s">
        <v>76</v>
      </c>
      <c r="E4491" s="34">
        <v>0.21</v>
      </c>
      <c r="F4491" s="49">
        <v>16.985999999999997</v>
      </c>
      <c r="G4491" s="49">
        <f>IF(ISNUMBER(F4491),E4491*F4491,"")</f>
        <v>3.5670599999999992</v>
      </c>
      <c r="H4491" s="65"/>
      <c r="I4491" s="66"/>
      <c r="J4491" s="125">
        <v>0</v>
      </c>
    </row>
    <row r="4492" spans="1:10" ht="39" hidden="1" thickBot="1" x14ac:dyDescent="0.3">
      <c r="A4492" s="249"/>
      <c r="B4492" s="238"/>
      <c r="C4492" s="155" t="s">
        <v>1214</v>
      </c>
      <c r="D4492" s="155" t="s">
        <v>85</v>
      </c>
      <c r="E4492" s="34">
        <v>4.3099999999999999E-2</v>
      </c>
      <c r="F4492" s="49">
        <v>870.385013716</v>
      </c>
      <c r="G4492" s="49">
        <f>IF(ISNUMBER(F4492),E4492*F4492,"")</f>
        <v>37.513594091159597</v>
      </c>
      <c r="H4492" s="65"/>
      <c r="I4492" s="66"/>
      <c r="J4492" s="125">
        <v>0</v>
      </c>
    </row>
    <row r="4493" spans="1:10" ht="15.75" hidden="1" thickBot="1" x14ac:dyDescent="0.3">
      <c r="A4493" s="249"/>
      <c r="B4493" s="238"/>
      <c r="C4493" s="155" t="s">
        <v>595</v>
      </c>
      <c r="D4493" s="155" t="s">
        <v>587</v>
      </c>
      <c r="E4493" s="34">
        <v>0.245</v>
      </c>
      <c r="F4493" s="49">
        <v>25.65</v>
      </c>
      <c r="G4493" s="49">
        <f>IF(ISNUMBER(F4493),E4493*F4493,"")</f>
        <v>6.2842499999999992</v>
      </c>
      <c r="H4493" s="65"/>
      <c r="I4493" s="66"/>
      <c r="J4493" s="125">
        <v>0</v>
      </c>
    </row>
    <row r="4494" spans="1:10" ht="15.75" hidden="1" thickBot="1" x14ac:dyDescent="0.3">
      <c r="A4494" s="249"/>
      <c r="B4494" s="238"/>
      <c r="C4494" s="155" t="s">
        <v>588</v>
      </c>
      <c r="D4494" s="155" t="s">
        <v>587</v>
      </c>
      <c r="E4494" s="34">
        <v>0.123</v>
      </c>
      <c r="F4494" s="49">
        <v>19.189999999999998</v>
      </c>
      <c r="G4494" s="49">
        <f>IF(ISNUMBER(F4494),E4494*F4494,"")</f>
        <v>2.3603699999999996</v>
      </c>
      <c r="H4494" s="65"/>
      <c r="I4494" s="66"/>
      <c r="J4494" s="125">
        <v>0</v>
      </c>
    </row>
    <row r="4495" spans="1:10" ht="15.75" hidden="1" thickBot="1" x14ac:dyDescent="0.3">
      <c r="A4495" s="249"/>
      <c r="B4495" s="238"/>
      <c r="C4495" s="155"/>
      <c r="D4495" s="33"/>
      <c r="E4495" s="34"/>
      <c r="F4495" s="49" t="s">
        <v>418</v>
      </c>
      <c r="G4495" s="49" t="str">
        <f>IF(ISNUMBER(F4495),E4495*F4495,"")</f>
        <v/>
      </c>
      <c r="H4495" s="65"/>
      <c r="I4495" s="66"/>
      <c r="J4495" s="125">
        <v>0</v>
      </c>
    </row>
    <row r="4496" spans="1:10" ht="15.75" hidden="1" thickBot="1" x14ac:dyDescent="0.3">
      <c r="A4496" s="234" t="s">
        <v>1215</v>
      </c>
      <c r="B4496" s="237" t="s">
        <v>19768</v>
      </c>
      <c r="C4496" s="160"/>
      <c r="D4496" s="23" t="s">
        <v>70</v>
      </c>
      <c r="E4496" s="24"/>
      <c r="F4496" s="44" t="s">
        <v>418</v>
      </c>
      <c r="G4496" s="25" t="str">
        <f>IF(ISNUMBER(F4496),E4496*F4496,"")</f>
        <v/>
      </c>
      <c r="H4496" s="26"/>
      <c r="I4496" s="27"/>
      <c r="J4496" s="125">
        <v>0</v>
      </c>
    </row>
    <row r="4497" spans="1:10" ht="15.75" hidden="1" thickBot="1" x14ac:dyDescent="0.3">
      <c r="A4497" s="249"/>
      <c r="B4497" s="238"/>
      <c r="C4497" s="151"/>
      <c r="D4497" s="29"/>
      <c r="E4497" s="30"/>
      <c r="F4497" s="49" t="s">
        <v>418</v>
      </c>
      <c r="G4497" s="49" t="str">
        <f>IF(ISNUMBER(F4497),E4497*F4497,"")</f>
        <v/>
      </c>
      <c r="H4497" s="65"/>
      <c r="I4497" s="66"/>
      <c r="J4497" s="125">
        <v>0</v>
      </c>
    </row>
    <row r="4498" spans="1:10" ht="15.75" hidden="1" thickBot="1" x14ac:dyDescent="0.3">
      <c r="A4498" s="249"/>
      <c r="B4498" s="238"/>
      <c r="C4498" s="155" t="s">
        <v>595</v>
      </c>
      <c r="D4498" s="155" t="s">
        <v>587</v>
      </c>
      <c r="E4498" s="34">
        <v>0.29899999999999999</v>
      </c>
      <c r="F4498" s="49">
        <v>25.65</v>
      </c>
      <c r="G4498" s="49">
        <f>IF(ISNUMBER(F4498),E4498*F4498,"")</f>
        <v>7.6693499999999997</v>
      </c>
      <c r="H4498" s="35">
        <f>SUM(G4498:G4500)</f>
        <v>68.061109406627608</v>
      </c>
      <c r="I4498" s="36"/>
      <c r="J4498" s="125">
        <v>0</v>
      </c>
    </row>
    <row r="4499" spans="1:10" ht="15.75" hidden="1" thickBot="1" x14ac:dyDescent="0.3">
      <c r="A4499" s="249"/>
      <c r="B4499" s="238"/>
      <c r="C4499" s="155" t="s">
        <v>588</v>
      </c>
      <c r="D4499" s="155" t="s">
        <v>587</v>
      </c>
      <c r="E4499" s="34">
        <v>0.14899999999999999</v>
      </c>
      <c r="F4499" s="49">
        <v>19.189999999999998</v>
      </c>
      <c r="G4499" s="49">
        <f>IF(ISNUMBER(F4499),E4499*F4499,"")</f>
        <v>2.8593099999999994</v>
      </c>
      <c r="H4499" s="65"/>
      <c r="I4499" s="66"/>
      <c r="J4499" s="125">
        <v>0</v>
      </c>
    </row>
    <row r="4500" spans="1:10" ht="39" hidden="1" thickBot="1" x14ac:dyDescent="0.3">
      <c r="A4500" s="249"/>
      <c r="B4500" s="238"/>
      <c r="C4500" s="155" t="s">
        <v>1214</v>
      </c>
      <c r="D4500" s="155" t="s">
        <v>85</v>
      </c>
      <c r="E4500" s="34">
        <v>6.6100000000000006E-2</v>
      </c>
      <c r="F4500" s="49">
        <v>870.385013716</v>
      </c>
      <c r="G4500" s="49">
        <f>IF(ISNUMBER(F4500),E4500*F4500,"")</f>
        <v>57.532449406627606</v>
      </c>
      <c r="H4500" s="65"/>
      <c r="I4500" s="66"/>
      <c r="J4500" s="125">
        <v>0</v>
      </c>
    </row>
    <row r="4501" spans="1:10" ht="15.75" hidden="1" thickBot="1" x14ac:dyDescent="0.3">
      <c r="A4501" s="250"/>
      <c r="B4501" s="239"/>
      <c r="C4501" s="164"/>
      <c r="D4501" s="50"/>
      <c r="E4501" s="61"/>
      <c r="F4501" s="68" t="s">
        <v>418</v>
      </c>
      <c r="G4501" s="68" t="str">
        <f>IF(ISNUMBER(F4501),E4501*F4501,"")</f>
        <v/>
      </c>
      <c r="H4501" s="69"/>
      <c r="I4501" s="66"/>
      <c r="J4501" s="125">
        <v>0</v>
      </c>
    </row>
    <row r="4502" spans="1:10" ht="15.75" hidden="1" thickBot="1" x14ac:dyDescent="0.3">
      <c r="A4502" s="234" t="s">
        <v>1216</v>
      </c>
      <c r="B4502" s="237" t="s">
        <v>1870</v>
      </c>
      <c r="C4502" s="160"/>
      <c r="D4502" s="23" t="s">
        <v>70</v>
      </c>
      <c r="E4502" s="24"/>
      <c r="F4502" s="44" t="s">
        <v>418</v>
      </c>
      <c r="G4502" s="25" t="str">
        <f>IF(ISNUMBER(F4502),E4502*F4502,"")</f>
        <v/>
      </c>
      <c r="H4502" s="26"/>
      <c r="I4502" s="27"/>
      <c r="J4502" s="125">
        <v>0</v>
      </c>
    </row>
    <row r="4503" spans="1:10" ht="15.75" hidden="1" thickBot="1" x14ac:dyDescent="0.3">
      <c r="A4503" s="249"/>
      <c r="B4503" s="238"/>
      <c r="C4503" s="151"/>
      <c r="D4503" s="29"/>
      <c r="E4503" s="30"/>
      <c r="F4503" s="49" t="s">
        <v>418</v>
      </c>
      <c r="G4503" s="49" t="str">
        <f>IF(ISNUMBER(F4503),E4503*F4503,"")</f>
        <v/>
      </c>
      <c r="H4503" s="65"/>
      <c r="I4503" s="66"/>
      <c r="J4503" s="125">
        <v>0</v>
      </c>
    </row>
    <row r="4504" spans="1:10" ht="15.75" hidden="1" thickBot="1" x14ac:dyDescent="0.3">
      <c r="A4504" s="249"/>
      <c r="B4504" s="238"/>
      <c r="C4504" s="155" t="s">
        <v>588</v>
      </c>
      <c r="D4504" s="155" t="s">
        <v>587</v>
      </c>
      <c r="E4504" s="34">
        <v>0.01</v>
      </c>
      <c r="F4504" s="49">
        <v>19.189999999999998</v>
      </c>
      <c r="G4504" s="49">
        <f>IF(ISNUMBER(F4504),E4504*F4504,"")</f>
        <v>0.19189999999999999</v>
      </c>
      <c r="H4504" s="35">
        <f>SUM(G4504:G4505)</f>
        <v>5.8140000000000009</v>
      </c>
      <c r="I4504" s="36"/>
      <c r="J4504" s="125">
        <v>0</v>
      </c>
    </row>
    <row r="4505" spans="1:10" ht="26.25" hidden="1" thickBot="1" x14ac:dyDescent="0.3">
      <c r="A4505" s="249"/>
      <c r="B4505" s="238"/>
      <c r="C4505" s="155" t="s">
        <v>1217</v>
      </c>
      <c r="D4505" s="155" t="s">
        <v>870</v>
      </c>
      <c r="E4505" s="34">
        <v>1.1000000000000001</v>
      </c>
      <c r="F4505" s="49">
        <v>5.1109999999999998</v>
      </c>
      <c r="G4505" s="49">
        <f>IF(ISNUMBER(F4505),E4505*F4505,"")</f>
        <v>5.6221000000000005</v>
      </c>
      <c r="H4505" s="65"/>
      <c r="I4505" s="66"/>
      <c r="J4505" s="125">
        <v>0</v>
      </c>
    </row>
    <row r="4506" spans="1:10" ht="15.75" hidden="1" thickBot="1" x14ac:dyDescent="0.3">
      <c r="A4506" s="250"/>
      <c r="B4506" s="239"/>
      <c r="C4506" s="164"/>
      <c r="D4506" s="50"/>
      <c r="E4506" s="61"/>
      <c r="F4506" s="68" t="s">
        <v>418</v>
      </c>
      <c r="G4506" s="68" t="str">
        <f>IF(ISNUMBER(F4506),E4506*F4506,"")</f>
        <v/>
      </c>
      <c r="H4506" s="69"/>
      <c r="I4506" s="66"/>
      <c r="J4506" s="125">
        <v>0</v>
      </c>
    </row>
    <row r="4507" spans="1:10" ht="15.75" hidden="1" thickBot="1" x14ac:dyDescent="0.3">
      <c r="A4507" s="234" t="s">
        <v>1218</v>
      </c>
      <c r="B4507" s="237" t="s">
        <v>1871</v>
      </c>
      <c r="C4507" s="160"/>
      <c r="D4507" s="23" t="s">
        <v>70</v>
      </c>
      <c r="E4507" s="24"/>
      <c r="F4507" s="44" t="s">
        <v>418</v>
      </c>
      <c r="G4507" s="25" t="str">
        <f>IF(ISNUMBER(F4507),E4507*F4507,"")</f>
        <v/>
      </c>
      <c r="H4507" s="26"/>
      <c r="I4507" s="27"/>
      <c r="J4507" s="125">
        <v>0</v>
      </c>
    </row>
    <row r="4508" spans="1:10" ht="15.75" hidden="1" thickBot="1" x14ac:dyDescent="0.3">
      <c r="A4508" s="249"/>
      <c r="B4508" s="238"/>
      <c r="C4508" s="151"/>
      <c r="D4508" s="29"/>
      <c r="E4508" s="30"/>
      <c r="F4508" s="49" t="s">
        <v>418</v>
      </c>
      <c r="G4508" s="49" t="str">
        <f>IF(ISNUMBER(F4508),E4508*F4508,"")</f>
        <v/>
      </c>
      <c r="H4508" s="65"/>
      <c r="I4508" s="66"/>
      <c r="J4508" s="125">
        <v>0</v>
      </c>
    </row>
    <row r="4509" spans="1:10" ht="15.75" hidden="1" thickBot="1" x14ac:dyDescent="0.3">
      <c r="A4509" s="249"/>
      <c r="B4509" s="238"/>
      <c r="C4509" s="155" t="s">
        <v>588</v>
      </c>
      <c r="D4509" s="155" t="s">
        <v>587</v>
      </c>
      <c r="E4509" s="34">
        <v>0.05</v>
      </c>
      <c r="F4509" s="49">
        <v>19.189999999999998</v>
      </c>
      <c r="G4509" s="49">
        <f>IF(ISNUMBER(F4509),E4509*F4509,"")</f>
        <v>0.95949999999999991</v>
      </c>
      <c r="H4509" s="35">
        <f>SUM(G4509:G4510)</f>
        <v>13.837225</v>
      </c>
      <c r="I4509" s="36"/>
      <c r="J4509" s="125">
        <v>0</v>
      </c>
    </row>
    <row r="4510" spans="1:10" ht="26.25" hidden="1" thickBot="1" x14ac:dyDescent="0.3">
      <c r="A4510" s="249"/>
      <c r="B4510" s="238"/>
      <c r="C4510" s="155" t="s">
        <v>1219</v>
      </c>
      <c r="D4510" s="155" t="s">
        <v>870</v>
      </c>
      <c r="E4510" s="34">
        <v>1.05</v>
      </c>
      <c r="F4510" s="49">
        <v>12.2645</v>
      </c>
      <c r="G4510" s="49">
        <f>IF(ISNUMBER(F4510),E4510*F4510,"")</f>
        <v>12.877725</v>
      </c>
      <c r="H4510" s="65"/>
      <c r="I4510" s="66"/>
      <c r="J4510" s="125">
        <v>0</v>
      </c>
    </row>
    <row r="4511" spans="1:10" ht="15.75" hidden="1" thickBot="1" x14ac:dyDescent="0.3">
      <c r="A4511" s="250"/>
      <c r="B4511" s="239"/>
      <c r="C4511" s="164"/>
      <c r="D4511" s="50"/>
      <c r="E4511" s="61"/>
      <c r="F4511" s="68" t="s">
        <v>418</v>
      </c>
      <c r="G4511" s="68" t="str">
        <f>IF(ISNUMBER(F4511),E4511*F4511,"")</f>
        <v/>
      </c>
      <c r="H4511" s="69"/>
      <c r="I4511" s="66"/>
      <c r="J4511" s="125">
        <v>0</v>
      </c>
    </row>
    <row r="4512" spans="1:10" ht="15.75" hidden="1" thickBot="1" x14ac:dyDescent="0.3">
      <c r="A4512" s="234" t="s">
        <v>1220</v>
      </c>
      <c r="B4512" s="237" t="s">
        <v>1872</v>
      </c>
      <c r="C4512" s="160"/>
      <c r="D4512" s="23" t="s">
        <v>70</v>
      </c>
      <c r="E4512" s="24"/>
      <c r="F4512" s="44" t="s">
        <v>418</v>
      </c>
      <c r="G4512" s="25" t="str">
        <f>IF(ISNUMBER(F4512),E4512*F4512,"")</f>
        <v/>
      </c>
      <c r="H4512" s="26"/>
      <c r="I4512" s="27"/>
      <c r="J4512" s="125">
        <v>0</v>
      </c>
    </row>
    <row r="4513" spans="1:10" ht="15.75" hidden="1" thickBot="1" x14ac:dyDescent="0.3">
      <c r="A4513" s="249"/>
      <c r="B4513" s="238"/>
      <c r="C4513" s="151"/>
      <c r="D4513" s="29"/>
      <c r="E4513" s="30"/>
      <c r="F4513" s="49" t="s">
        <v>418</v>
      </c>
      <c r="G4513" s="49" t="str">
        <f>IF(ISNUMBER(F4513),E4513*F4513,"")</f>
        <v/>
      </c>
      <c r="H4513" s="65"/>
      <c r="I4513" s="66"/>
      <c r="J4513" s="125">
        <v>0</v>
      </c>
    </row>
    <row r="4514" spans="1:10" ht="15.75" hidden="1" thickBot="1" x14ac:dyDescent="0.3">
      <c r="A4514" s="249"/>
      <c r="B4514" s="238"/>
      <c r="C4514" s="155" t="s">
        <v>595</v>
      </c>
      <c r="D4514" s="155" t="s">
        <v>587</v>
      </c>
      <c r="E4514" s="34">
        <v>0.107</v>
      </c>
      <c r="F4514" s="49">
        <v>25.65</v>
      </c>
      <c r="G4514" s="49">
        <f>IF(ISNUMBER(F4514),E4514*F4514,"")</f>
        <v>2.7445499999999998</v>
      </c>
      <c r="H4514" s="35">
        <f>SUM(G4514:G4519)</f>
        <v>36.235097169725989</v>
      </c>
      <c r="I4514" s="36"/>
      <c r="J4514" s="125">
        <v>0</v>
      </c>
    </row>
    <row r="4515" spans="1:10" ht="15.75" hidden="1" thickBot="1" x14ac:dyDescent="0.3">
      <c r="A4515" s="249"/>
      <c r="B4515" s="238"/>
      <c r="C4515" s="155" t="s">
        <v>588</v>
      </c>
      <c r="D4515" s="155" t="s">
        <v>587</v>
      </c>
      <c r="E4515" s="34">
        <v>0.214</v>
      </c>
      <c r="F4515" s="49">
        <v>19.189999999999998</v>
      </c>
      <c r="G4515" s="49">
        <f>IF(ISNUMBER(F4515),E4515*F4515,"")</f>
        <v>4.1066599999999998</v>
      </c>
      <c r="H4515" s="65"/>
      <c r="I4515" s="66"/>
      <c r="J4515" s="125">
        <v>0</v>
      </c>
    </row>
    <row r="4516" spans="1:10" ht="15.75" hidden="1" thickBot="1" x14ac:dyDescent="0.3">
      <c r="A4516" s="249"/>
      <c r="B4516" s="238"/>
      <c r="C4516" s="155" t="s">
        <v>24537</v>
      </c>
      <c r="D4516" s="155" t="s">
        <v>774</v>
      </c>
      <c r="E4516" s="34">
        <v>0.5</v>
      </c>
      <c r="F4516" s="49">
        <v>1.254</v>
      </c>
      <c r="G4516" s="49">
        <f>IF(ISNUMBER(F4516),E4516*F4516,"")</f>
        <v>0.627</v>
      </c>
      <c r="H4516" s="65"/>
      <c r="I4516" s="66"/>
      <c r="J4516" s="125">
        <v>0</v>
      </c>
    </row>
    <row r="4517" spans="1:10" ht="26.25" hidden="1" thickBot="1" x14ac:dyDescent="0.3">
      <c r="A4517" s="249"/>
      <c r="B4517" s="238"/>
      <c r="C4517" s="155" t="s">
        <v>23492</v>
      </c>
      <c r="D4517" s="155" t="s">
        <v>76</v>
      </c>
      <c r="E4517" s="34">
        <v>0.21</v>
      </c>
      <c r="F4517" s="49">
        <v>16.985999999999997</v>
      </c>
      <c r="G4517" s="49">
        <f>IF(ISNUMBER(F4517),E4517*F4517,"")</f>
        <v>3.5670599999999992</v>
      </c>
      <c r="H4517" s="65"/>
      <c r="I4517" s="66"/>
      <c r="J4517" s="125">
        <v>0</v>
      </c>
    </row>
    <row r="4518" spans="1:10" s="144" customFormat="1" ht="15.75" hidden="1" thickBot="1" x14ac:dyDescent="0.3">
      <c r="A4518" s="249"/>
      <c r="B4518" s="238"/>
      <c r="C4518" s="155" t="s">
        <v>20945</v>
      </c>
      <c r="D4518" s="155" t="s">
        <v>774</v>
      </c>
      <c r="E4518" s="156">
        <v>0.5</v>
      </c>
      <c r="F4518" s="49">
        <v>0.95</v>
      </c>
      <c r="G4518" s="49">
        <f>IF(ISNUMBER(F4518),E4518*F4518,"")</f>
        <v>0.47499999999999998</v>
      </c>
      <c r="H4518" s="65"/>
      <c r="I4518" s="66"/>
      <c r="J4518" s="125">
        <v>0</v>
      </c>
    </row>
    <row r="4519" spans="1:10" ht="51.75" hidden="1" thickBot="1" x14ac:dyDescent="0.3">
      <c r="A4519" s="249"/>
      <c r="B4519" s="238"/>
      <c r="C4519" s="155" t="s">
        <v>101</v>
      </c>
      <c r="D4519" s="155" t="s">
        <v>85</v>
      </c>
      <c r="E4519" s="34">
        <v>3.1E-2</v>
      </c>
      <c r="F4519" s="49">
        <v>797.25248934599983</v>
      </c>
      <c r="G4519" s="49">
        <f>IF(ISNUMBER(F4519),E4519*F4519,"")</f>
        <v>24.714827169725993</v>
      </c>
      <c r="H4519" s="65"/>
      <c r="I4519" s="66"/>
      <c r="J4519" s="125">
        <v>0</v>
      </c>
    </row>
    <row r="4520" spans="1:10" ht="15.75" hidden="1" thickBot="1" x14ac:dyDescent="0.3">
      <c r="A4520" s="250"/>
      <c r="B4520" s="239"/>
      <c r="C4520" s="164"/>
      <c r="D4520" s="50"/>
      <c r="E4520" s="61"/>
      <c r="F4520" s="68" t="s">
        <v>418</v>
      </c>
      <c r="G4520" s="68" t="str">
        <f>IF(ISNUMBER(F4520),E4520*F4520,"")</f>
        <v/>
      </c>
      <c r="H4520" s="69"/>
      <c r="I4520" s="66"/>
      <c r="J4520" s="125">
        <v>0</v>
      </c>
    </row>
    <row r="4521" spans="1:10" ht="15.75" hidden="1" thickBot="1" x14ac:dyDescent="0.3">
      <c r="A4521" s="234" t="s">
        <v>1221</v>
      </c>
      <c r="B4521" s="237" t="s">
        <v>1873</v>
      </c>
      <c r="C4521" s="160"/>
      <c r="D4521" s="23" t="s">
        <v>70</v>
      </c>
      <c r="E4521" s="24"/>
      <c r="F4521" s="44" t="s">
        <v>418</v>
      </c>
      <c r="G4521" s="25" t="str">
        <f>IF(ISNUMBER(F4521),E4521*F4521,"")</f>
        <v/>
      </c>
      <c r="H4521" s="26"/>
      <c r="I4521" s="27"/>
      <c r="J4521" s="125">
        <v>0</v>
      </c>
    </row>
    <row r="4522" spans="1:10" ht="15.75" hidden="1" thickBot="1" x14ac:dyDescent="0.3">
      <c r="A4522" s="249"/>
      <c r="B4522" s="238"/>
      <c r="C4522" s="151"/>
      <c r="D4522" s="29"/>
      <c r="E4522" s="30"/>
      <c r="F4522" s="49" t="s">
        <v>418</v>
      </c>
      <c r="G4522" s="49" t="str">
        <f>IF(ISNUMBER(F4522),E4522*F4522,"")</f>
        <v/>
      </c>
      <c r="H4522" s="65"/>
      <c r="I4522" s="66"/>
      <c r="J4522" s="125">
        <v>0</v>
      </c>
    </row>
    <row r="4523" spans="1:10" ht="15.75" hidden="1" thickBot="1" x14ac:dyDescent="0.3">
      <c r="A4523" s="249"/>
      <c r="B4523" s="238"/>
      <c r="C4523" s="155" t="s">
        <v>891</v>
      </c>
      <c r="D4523" s="155" t="s">
        <v>870</v>
      </c>
      <c r="E4523" s="34">
        <v>1.04</v>
      </c>
      <c r="F4523" s="49">
        <v>1.3964999999999999</v>
      </c>
      <c r="G4523" s="49">
        <f>IF(ISNUMBER(F4523),E4523*F4523,"")</f>
        <v>1.4523599999999999</v>
      </c>
      <c r="H4523" s="35">
        <f>SUM(G4523:G4528)</f>
        <v>101.94355091674998</v>
      </c>
      <c r="I4523" s="36"/>
      <c r="J4523" s="125">
        <v>0</v>
      </c>
    </row>
    <row r="4524" spans="1:10" ht="26.25" hidden="1" thickBot="1" x14ac:dyDescent="0.3">
      <c r="A4524" s="249"/>
      <c r="B4524" s="238"/>
      <c r="C4524" s="155" t="s">
        <v>892</v>
      </c>
      <c r="D4524" s="155" t="s">
        <v>85</v>
      </c>
      <c r="E4524" s="34">
        <v>4.3999999999999997E-2</v>
      </c>
      <c r="F4524" s="49">
        <v>1097.7422935625</v>
      </c>
      <c r="G4524" s="49">
        <f>IF(ISNUMBER(F4524),E4524*F4524,"")</f>
        <v>48.300660916749997</v>
      </c>
      <c r="H4524" s="65"/>
      <c r="I4524" s="66"/>
      <c r="J4524" s="125">
        <v>0</v>
      </c>
    </row>
    <row r="4525" spans="1:10" s="144" customFormat="1" ht="26.25" hidden="1" thickBot="1" x14ac:dyDescent="0.3">
      <c r="A4525" s="249"/>
      <c r="B4525" s="238"/>
      <c r="C4525" s="155" t="s">
        <v>894</v>
      </c>
      <c r="D4525" s="155" t="s">
        <v>870</v>
      </c>
      <c r="E4525" s="156">
        <v>1.05</v>
      </c>
      <c r="F4525" s="49">
        <v>15.427999999999997</v>
      </c>
      <c r="G4525" s="49">
        <f>IF(ISNUMBER(F4525),E4525*F4525,"")</f>
        <v>16.199399999999997</v>
      </c>
      <c r="H4525" s="65"/>
      <c r="I4525" s="66"/>
      <c r="J4525" s="125">
        <v>0</v>
      </c>
    </row>
    <row r="4526" spans="1:10" ht="15.75" hidden="1" thickBot="1" x14ac:dyDescent="0.3">
      <c r="A4526" s="249"/>
      <c r="B4526" s="238"/>
      <c r="C4526" s="155" t="s">
        <v>595</v>
      </c>
      <c r="D4526" s="155" t="s">
        <v>587</v>
      </c>
      <c r="E4526" s="34">
        <v>0.89900000000000002</v>
      </c>
      <c r="F4526" s="49">
        <v>25.65</v>
      </c>
      <c r="G4526" s="49">
        <f>IF(ISNUMBER(F4526),E4526*F4526,"")</f>
        <v>23.059349999999998</v>
      </c>
      <c r="H4526" s="65"/>
      <c r="I4526" s="66"/>
      <c r="J4526" s="125">
        <v>0</v>
      </c>
    </row>
    <row r="4527" spans="1:10" ht="15.75" hidden="1" thickBot="1" x14ac:dyDescent="0.3">
      <c r="A4527" s="249"/>
      <c r="B4527" s="238"/>
      <c r="C4527" s="155" t="s">
        <v>588</v>
      </c>
      <c r="D4527" s="155" t="s">
        <v>587</v>
      </c>
      <c r="E4527" s="34">
        <v>0.182</v>
      </c>
      <c r="F4527" s="49">
        <v>19.189999999999998</v>
      </c>
      <c r="G4527" s="49">
        <f>IF(ISNUMBER(F4527),E4527*F4527,"")</f>
        <v>3.4925799999999994</v>
      </c>
      <c r="H4527" s="65"/>
      <c r="I4527" s="66"/>
      <c r="J4527" s="125">
        <v>0</v>
      </c>
    </row>
    <row r="4528" spans="1:10" ht="39" hidden="1" thickBot="1" x14ac:dyDescent="0.3">
      <c r="A4528" s="249"/>
      <c r="B4528" s="238"/>
      <c r="C4528" s="155" t="s">
        <v>888</v>
      </c>
      <c r="D4528" s="155" t="s">
        <v>774</v>
      </c>
      <c r="E4528" s="143">
        <f>0.15*1.5*(4*1/2)</f>
        <v>0.44999999999999996</v>
      </c>
      <c r="F4528" s="49">
        <v>20.975999999999999</v>
      </c>
      <c r="G4528" s="49">
        <f>IF(ISNUMBER(F4528),E4528*F4528,"")</f>
        <v>9.4391999999999978</v>
      </c>
      <c r="H4528" s="65"/>
      <c r="I4528" s="66"/>
      <c r="J4528" s="125">
        <v>0</v>
      </c>
    </row>
    <row r="4529" spans="1:10" ht="15.75" hidden="1" thickBot="1" x14ac:dyDescent="0.3">
      <c r="A4529" s="249"/>
      <c r="B4529" s="238"/>
      <c r="C4529" s="155"/>
      <c r="D4529" s="33"/>
      <c r="E4529" s="34"/>
      <c r="F4529" s="49" t="s">
        <v>418</v>
      </c>
      <c r="G4529" s="49" t="str">
        <f>IF(ISNUMBER(F4529),E4529*F4529,"")</f>
        <v/>
      </c>
      <c r="H4529" s="65"/>
      <c r="I4529" s="66"/>
      <c r="J4529" s="125">
        <v>0</v>
      </c>
    </row>
    <row r="4530" spans="1:10" ht="15.75" hidden="1" thickBot="1" x14ac:dyDescent="0.3">
      <c r="A4530" s="234" t="s">
        <v>1222</v>
      </c>
      <c r="B4530" s="237" t="s">
        <v>1874</v>
      </c>
      <c r="C4530" s="160"/>
      <c r="D4530" s="23" t="s">
        <v>70</v>
      </c>
      <c r="E4530" s="24"/>
      <c r="F4530" s="44" t="s">
        <v>418</v>
      </c>
      <c r="G4530" s="25" t="str">
        <f>IF(ISNUMBER(F4530),E4530*F4530,"")</f>
        <v/>
      </c>
      <c r="H4530" s="26"/>
      <c r="I4530" s="27"/>
      <c r="J4530" s="125">
        <v>0</v>
      </c>
    </row>
    <row r="4531" spans="1:10" ht="15.75" hidden="1" thickBot="1" x14ac:dyDescent="0.3">
      <c r="A4531" s="249"/>
      <c r="B4531" s="238"/>
      <c r="C4531" s="151"/>
      <c r="D4531" s="29"/>
      <c r="E4531" s="30"/>
      <c r="F4531" s="49" t="s">
        <v>418</v>
      </c>
      <c r="G4531" s="49" t="str">
        <f>IF(ISNUMBER(F4531),E4531*F4531,"")</f>
        <v/>
      </c>
      <c r="H4531" s="65"/>
      <c r="I4531" s="66"/>
      <c r="J4531" s="125">
        <v>0</v>
      </c>
    </row>
    <row r="4532" spans="1:10" ht="15.75" hidden="1" thickBot="1" x14ac:dyDescent="0.3">
      <c r="A4532" s="249"/>
      <c r="B4532" s="238"/>
      <c r="C4532" s="155" t="s">
        <v>1223</v>
      </c>
      <c r="D4532" s="33" t="s">
        <v>76</v>
      </c>
      <c r="E4532" s="34">
        <v>0.32569999999999999</v>
      </c>
      <c r="F4532" s="49" t="s">
        <v>418</v>
      </c>
      <c r="G4532" s="49" t="str">
        <f>IF(ISNUMBER(F4532),E4532*F4532,"")</f>
        <v/>
      </c>
      <c r="H4532" s="35">
        <f>SUM(G4532:G4533)</f>
        <v>12.13749355</v>
      </c>
      <c r="I4532" s="36"/>
      <c r="J4532" s="125">
        <v>0</v>
      </c>
    </row>
    <row r="4533" spans="1:10" ht="15.75" hidden="1" thickBot="1" x14ac:dyDescent="0.3">
      <c r="A4533" s="249"/>
      <c r="B4533" s="238"/>
      <c r="C4533" s="155" t="s">
        <v>962</v>
      </c>
      <c r="D4533" s="155" t="s">
        <v>587</v>
      </c>
      <c r="E4533" s="34">
        <v>0.45290000000000002</v>
      </c>
      <c r="F4533" s="49">
        <v>26.799499999999998</v>
      </c>
      <c r="G4533" s="49">
        <f>IF(ISNUMBER(F4533),E4533*F4533,"")</f>
        <v>12.13749355</v>
      </c>
      <c r="H4533" s="65"/>
      <c r="I4533" s="66"/>
      <c r="J4533" s="125">
        <v>0</v>
      </c>
    </row>
    <row r="4534" spans="1:10" ht="15.75" hidden="1" thickBot="1" x14ac:dyDescent="0.3">
      <c r="A4534" s="250"/>
      <c r="B4534" s="239"/>
      <c r="C4534" s="164"/>
      <c r="D4534" s="50"/>
      <c r="E4534" s="61"/>
      <c r="F4534" s="68" t="s">
        <v>418</v>
      </c>
      <c r="G4534" s="68" t="str">
        <f>IF(ISNUMBER(F4534),E4534*F4534,"")</f>
        <v/>
      </c>
      <c r="H4534" s="69"/>
      <c r="I4534" s="66"/>
      <c r="J4534" s="125">
        <v>0</v>
      </c>
    </row>
    <row r="4535" spans="1:10" ht="15.75" hidden="1" thickBot="1" x14ac:dyDescent="0.3">
      <c r="A4535" s="234" t="s">
        <v>1224</v>
      </c>
      <c r="B4535" s="237" t="s">
        <v>1875</v>
      </c>
      <c r="C4535" s="160"/>
      <c r="D4535" s="23" t="s">
        <v>70</v>
      </c>
      <c r="E4535" s="24"/>
      <c r="F4535" s="44" t="s">
        <v>418</v>
      </c>
      <c r="G4535" s="25" t="str">
        <f>IF(ISNUMBER(F4535),E4535*F4535,"")</f>
        <v/>
      </c>
      <c r="H4535" s="26"/>
      <c r="I4535" s="27"/>
      <c r="J4535" s="125">
        <v>0</v>
      </c>
    </row>
    <row r="4536" spans="1:10" ht="15.75" hidden="1" thickBot="1" x14ac:dyDescent="0.3">
      <c r="A4536" s="249"/>
      <c r="B4536" s="238"/>
      <c r="C4536" s="151"/>
      <c r="D4536" s="29"/>
      <c r="E4536" s="30"/>
      <c r="F4536" s="49" t="s">
        <v>418</v>
      </c>
      <c r="G4536" s="49" t="str">
        <f>IF(ISNUMBER(F4536),E4536*F4536,"")</f>
        <v/>
      </c>
      <c r="H4536" s="65"/>
      <c r="I4536" s="66"/>
      <c r="J4536" s="125">
        <v>0</v>
      </c>
    </row>
    <row r="4537" spans="1:10" ht="15.75" hidden="1" thickBot="1" x14ac:dyDescent="0.3">
      <c r="A4537" s="249"/>
      <c r="B4537" s="238"/>
      <c r="C4537" s="155" t="s">
        <v>588</v>
      </c>
      <c r="D4537" s="155" t="s">
        <v>587</v>
      </c>
      <c r="E4537" s="34">
        <f>0.01*2</f>
        <v>0.02</v>
      </c>
      <c r="F4537" s="49">
        <v>19.189999999999998</v>
      </c>
      <c r="G4537" s="49">
        <f>IF(ISNUMBER(F4537),E4537*F4537,"")</f>
        <v>0.38379999999999997</v>
      </c>
      <c r="H4537" s="35">
        <f>SUM(G4537:G4539)</f>
        <v>6.0059000000000005</v>
      </c>
      <c r="I4537" s="36"/>
      <c r="J4537" s="125">
        <v>0</v>
      </c>
    </row>
    <row r="4538" spans="1:10" ht="26.25" hidden="1" thickBot="1" x14ac:dyDescent="0.3">
      <c r="A4538" s="249"/>
      <c r="B4538" s="238"/>
      <c r="C4538" s="155" t="s">
        <v>1225</v>
      </c>
      <c r="D4538" s="33" t="s">
        <v>70</v>
      </c>
      <c r="E4538" s="34">
        <v>1.05</v>
      </c>
      <c r="F4538" s="49" t="s">
        <v>418</v>
      </c>
      <c r="G4538" s="49" t="str">
        <f>IF(ISNUMBER(F4538),E4538*F4538,"")</f>
        <v/>
      </c>
      <c r="H4538" s="65"/>
      <c r="I4538" s="66"/>
      <c r="J4538" s="125">
        <v>0</v>
      </c>
    </row>
    <row r="4539" spans="1:10" ht="26.25" hidden="1" thickBot="1" x14ac:dyDescent="0.3">
      <c r="A4539" s="249"/>
      <c r="B4539" s="238"/>
      <c r="C4539" s="155" t="s">
        <v>1217</v>
      </c>
      <c r="D4539" s="155" t="s">
        <v>870</v>
      </c>
      <c r="E4539" s="34">
        <v>1.1000000000000001</v>
      </c>
      <c r="F4539" s="49">
        <v>5.1109999999999998</v>
      </c>
      <c r="G4539" s="49">
        <f>IF(ISNUMBER(F4539),E4539*F4539,"")</f>
        <v>5.6221000000000005</v>
      </c>
      <c r="H4539" s="65"/>
      <c r="I4539" s="66"/>
      <c r="J4539" s="125">
        <v>0</v>
      </c>
    </row>
    <row r="4540" spans="1:10" ht="15.75" hidden="1" thickBot="1" x14ac:dyDescent="0.3">
      <c r="A4540" s="250"/>
      <c r="B4540" s="239"/>
      <c r="C4540" s="164"/>
      <c r="D4540" s="50"/>
      <c r="E4540" s="61"/>
      <c r="F4540" s="68" t="s">
        <v>418</v>
      </c>
      <c r="G4540" s="68" t="str">
        <f>IF(ISNUMBER(F4540),E4540*F4540,"")</f>
        <v/>
      </c>
      <c r="H4540" s="69"/>
      <c r="I4540" s="66"/>
      <c r="J4540" s="125">
        <v>0</v>
      </c>
    </row>
    <row r="4541" spans="1:10" ht="15.75" hidden="1" thickBot="1" x14ac:dyDescent="0.3">
      <c r="A4541" s="234" t="s">
        <v>1226</v>
      </c>
      <c r="B4541" s="237" t="s">
        <v>1876</v>
      </c>
      <c r="C4541" s="160"/>
      <c r="D4541" s="23" t="s">
        <v>70</v>
      </c>
      <c r="E4541" s="24"/>
      <c r="F4541" s="44" t="s">
        <v>418</v>
      </c>
      <c r="G4541" s="25" t="str">
        <f>IF(ISNUMBER(F4541),E4541*F4541,"")</f>
        <v/>
      </c>
      <c r="H4541" s="26"/>
      <c r="I4541" s="27"/>
      <c r="J4541" s="125">
        <v>0</v>
      </c>
    </row>
    <row r="4542" spans="1:10" ht="15.75" hidden="1" thickBot="1" x14ac:dyDescent="0.3">
      <c r="A4542" s="249"/>
      <c r="B4542" s="238"/>
      <c r="C4542" s="151"/>
      <c r="D4542" s="29"/>
      <c r="E4542" s="30"/>
      <c r="F4542" s="49" t="s">
        <v>418</v>
      </c>
      <c r="G4542" s="49" t="str">
        <f>IF(ISNUMBER(F4542),E4542*F4542,"")</f>
        <v/>
      </c>
      <c r="H4542" s="65"/>
      <c r="I4542" s="66"/>
      <c r="J4542" s="125">
        <v>0</v>
      </c>
    </row>
    <row r="4543" spans="1:10" ht="26.25" hidden="1" thickBot="1" x14ac:dyDescent="0.3">
      <c r="A4543" s="249"/>
      <c r="B4543" s="238"/>
      <c r="C4543" s="155" t="s">
        <v>937</v>
      </c>
      <c r="D4543" s="155" t="s">
        <v>38831</v>
      </c>
      <c r="E4543" s="34">
        <v>0.161</v>
      </c>
      <c r="F4543" s="49">
        <v>39.225499999999997</v>
      </c>
      <c r="G4543" s="49">
        <f>IF(ISNUMBER(F4543),E4543*F4543,"")</f>
        <v>6.3153055</v>
      </c>
      <c r="H4543" s="35">
        <f>SUM(G4543:G4551)</f>
        <v>166.19435849999996</v>
      </c>
      <c r="I4543" s="36"/>
      <c r="J4543" s="125">
        <v>0</v>
      </c>
    </row>
    <row r="4544" spans="1:10" ht="15.75" hidden="1" thickBot="1" x14ac:dyDescent="0.3">
      <c r="A4544" s="249"/>
      <c r="B4544" s="238"/>
      <c r="C4544" s="155" t="s">
        <v>27106</v>
      </c>
      <c r="D4544" s="155" t="s">
        <v>774</v>
      </c>
      <c r="E4544" s="34">
        <v>2.5000000000000001E-2</v>
      </c>
      <c r="F4544" s="49">
        <v>19.95</v>
      </c>
      <c r="G4544" s="49">
        <f>IF(ISNUMBER(F4544),E4544*F4544,"")</f>
        <v>0.49875000000000003</v>
      </c>
      <c r="H4544" s="65"/>
      <c r="I4544" s="66"/>
      <c r="J4544" s="125">
        <v>0</v>
      </c>
    </row>
    <row r="4545" spans="1:10" ht="26.25" hidden="1" thickBot="1" x14ac:dyDescent="0.3">
      <c r="A4545" s="249"/>
      <c r="B4545" s="238"/>
      <c r="C4545" s="155" t="s">
        <v>31105</v>
      </c>
      <c r="D4545" s="155" t="s">
        <v>774</v>
      </c>
      <c r="E4545" s="34">
        <v>4.8999999999999998E-3</v>
      </c>
      <c r="F4545" s="49">
        <v>59.916499999999999</v>
      </c>
      <c r="G4545" s="49">
        <f>IF(ISNUMBER(F4545),E4545*F4545,"")</f>
        <v>0.29359085000000001</v>
      </c>
      <c r="H4545" s="65"/>
      <c r="I4545" s="66"/>
      <c r="J4545" s="125">
        <v>0</v>
      </c>
    </row>
    <row r="4546" spans="1:10" ht="15.75" hidden="1" thickBot="1" x14ac:dyDescent="0.3">
      <c r="A4546" s="249"/>
      <c r="B4546" s="238"/>
      <c r="C4546" s="155" t="s">
        <v>1227</v>
      </c>
      <c r="D4546" s="155" t="s">
        <v>774</v>
      </c>
      <c r="E4546" s="34">
        <v>0.18</v>
      </c>
      <c r="F4546" s="49">
        <v>139.15599999999998</v>
      </c>
      <c r="G4546" s="49">
        <f>IF(ISNUMBER(F4546),E4546*F4546,"")</f>
        <v>25.048079999999995</v>
      </c>
      <c r="H4546" s="65"/>
      <c r="I4546" s="66"/>
      <c r="J4546" s="125">
        <v>0</v>
      </c>
    </row>
    <row r="4547" spans="1:10" ht="26.25" hidden="1" thickBot="1" x14ac:dyDescent="0.3">
      <c r="A4547" s="249"/>
      <c r="B4547" s="238"/>
      <c r="C4547" s="155" t="s">
        <v>1228</v>
      </c>
      <c r="D4547" s="155" t="s">
        <v>385</v>
      </c>
      <c r="E4547" s="34">
        <v>1.05</v>
      </c>
      <c r="F4547" s="49">
        <v>102.55249999999999</v>
      </c>
      <c r="G4547" s="49">
        <f>IF(ISNUMBER(F4547),E4547*F4547,"")</f>
        <v>107.680125</v>
      </c>
      <c r="H4547" s="65"/>
      <c r="I4547" s="66"/>
      <c r="J4547" s="125">
        <v>0</v>
      </c>
    </row>
    <row r="4548" spans="1:10" ht="15.75" hidden="1" thickBot="1" x14ac:dyDescent="0.3">
      <c r="A4548" s="249"/>
      <c r="B4548" s="238"/>
      <c r="C4548" s="155" t="s">
        <v>588</v>
      </c>
      <c r="D4548" s="155" t="s">
        <v>587</v>
      </c>
      <c r="E4548" s="34">
        <v>0.63300000000000001</v>
      </c>
      <c r="F4548" s="49">
        <v>19.189999999999998</v>
      </c>
      <c r="G4548" s="49">
        <f>IF(ISNUMBER(F4548),E4548*F4548,"")</f>
        <v>12.147269999999999</v>
      </c>
      <c r="H4548" s="65"/>
      <c r="I4548" s="66"/>
      <c r="J4548" s="125">
        <v>0</v>
      </c>
    </row>
    <row r="4549" spans="1:10" ht="15.75" hidden="1" thickBot="1" x14ac:dyDescent="0.3">
      <c r="A4549" s="249"/>
      <c r="B4549" s="238"/>
      <c r="C4549" s="155" t="s">
        <v>1170</v>
      </c>
      <c r="D4549" s="155" t="s">
        <v>587</v>
      </c>
      <c r="E4549" s="34">
        <v>0.53900000000000003</v>
      </c>
      <c r="F4549" s="49">
        <v>25.051500000000001</v>
      </c>
      <c r="G4549" s="49">
        <f>IF(ISNUMBER(F4549),E4549*F4549,"")</f>
        <v>13.502758500000001</v>
      </c>
      <c r="H4549" s="65"/>
      <c r="I4549" s="66"/>
      <c r="J4549" s="125">
        <v>0</v>
      </c>
    </row>
    <row r="4550" spans="1:10" ht="26.25" hidden="1" thickBot="1" x14ac:dyDescent="0.3">
      <c r="A4550" s="249"/>
      <c r="B4550" s="238"/>
      <c r="C4550" s="155" t="s">
        <v>1171</v>
      </c>
      <c r="D4550" s="155" t="s">
        <v>814</v>
      </c>
      <c r="E4550" s="34">
        <v>1.32E-2</v>
      </c>
      <c r="F4550" s="49">
        <v>23.103999999999999</v>
      </c>
      <c r="G4550" s="49">
        <f>IF(ISNUMBER(F4550),E4550*F4550,"")</f>
        <v>0.30497279999999999</v>
      </c>
      <c r="H4550" s="65"/>
      <c r="I4550" s="66"/>
      <c r="J4550" s="125">
        <v>0</v>
      </c>
    </row>
    <row r="4551" spans="1:10" ht="26.25" hidden="1" thickBot="1" x14ac:dyDescent="0.3">
      <c r="A4551" s="249"/>
      <c r="B4551" s="238"/>
      <c r="C4551" s="155" t="s">
        <v>1172</v>
      </c>
      <c r="D4551" s="155" t="s">
        <v>816</v>
      </c>
      <c r="E4551" s="34">
        <v>1.83E-2</v>
      </c>
      <c r="F4551" s="49">
        <v>22.049499999999998</v>
      </c>
      <c r="G4551" s="49">
        <f>IF(ISNUMBER(F4551),E4551*F4551,"")</f>
        <v>0.40350585</v>
      </c>
      <c r="H4551" s="65"/>
      <c r="I4551" s="66"/>
      <c r="J4551" s="125">
        <v>0</v>
      </c>
    </row>
    <row r="4552" spans="1:10" ht="15.75" hidden="1" thickBot="1" x14ac:dyDescent="0.3">
      <c r="A4552" s="250"/>
      <c r="B4552" s="239"/>
      <c r="C4552" s="164"/>
      <c r="D4552" s="50"/>
      <c r="E4552" s="61"/>
      <c r="F4552" s="68" t="s">
        <v>418</v>
      </c>
      <c r="G4552" s="68" t="str">
        <f>IF(ISNUMBER(F4552),E4552*F4552,"")</f>
        <v/>
      </c>
      <c r="H4552" s="69"/>
      <c r="I4552" s="66"/>
      <c r="J4552" s="125">
        <v>0</v>
      </c>
    </row>
    <row r="4553" spans="1:10" ht="15.75" hidden="1" thickBot="1" x14ac:dyDescent="0.3">
      <c r="A4553" s="234" t="s">
        <v>1229</v>
      </c>
      <c r="B4553" s="237" t="s">
        <v>1877</v>
      </c>
      <c r="C4553" s="160"/>
      <c r="D4553" s="23" t="s">
        <v>70</v>
      </c>
      <c r="E4553" s="24"/>
      <c r="F4553" s="44" t="s">
        <v>418</v>
      </c>
      <c r="G4553" s="25" t="str">
        <f>IF(ISNUMBER(F4553),E4553*F4553,"")</f>
        <v/>
      </c>
      <c r="H4553" s="26"/>
      <c r="I4553" s="27"/>
      <c r="J4553" s="125">
        <v>0</v>
      </c>
    </row>
    <row r="4554" spans="1:10" ht="15.75" hidden="1" thickBot="1" x14ac:dyDescent="0.3">
      <c r="A4554" s="249"/>
      <c r="B4554" s="238"/>
      <c r="C4554" s="151"/>
      <c r="D4554" s="29"/>
      <c r="E4554" s="30"/>
      <c r="F4554" s="49" t="s">
        <v>418</v>
      </c>
      <c r="G4554" s="49" t="str">
        <f>IF(ISNUMBER(F4554),E4554*F4554,"")</f>
        <v/>
      </c>
      <c r="H4554" s="65"/>
      <c r="I4554" s="66"/>
      <c r="J4554" s="125">
        <v>0</v>
      </c>
    </row>
    <row r="4555" spans="1:10" ht="26.25" hidden="1" thickBot="1" x14ac:dyDescent="0.3">
      <c r="A4555" s="249"/>
      <c r="B4555" s="238"/>
      <c r="C4555" s="155" t="s">
        <v>937</v>
      </c>
      <c r="D4555" s="155" t="s">
        <v>38831</v>
      </c>
      <c r="E4555" s="34">
        <f>0.198*4</f>
        <v>0.79200000000000004</v>
      </c>
      <c r="F4555" s="49">
        <v>39.225499999999997</v>
      </c>
      <c r="G4555" s="49">
        <f>IF(ISNUMBER(F4555),E4555*F4555,"")</f>
        <v>31.066596000000001</v>
      </c>
      <c r="H4555" s="35">
        <f>SUM(G4555:G4563)</f>
        <v>194.0280285</v>
      </c>
      <c r="I4555" s="36"/>
      <c r="J4555" s="125">
        <v>0</v>
      </c>
    </row>
    <row r="4556" spans="1:10" ht="15.75" hidden="1" thickBot="1" x14ac:dyDescent="0.3">
      <c r="A4556" s="249"/>
      <c r="B4556" s="238"/>
      <c r="C4556" s="155" t="s">
        <v>27106</v>
      </c>
      <c r="D4556" s="155" t="s">
        <v>774</v>
      </c>
      <c r="E4556" s="34">
        <f>0.006*4</f>
        <v>2.4E-2</v>
      </c>
      <c r="F4556" s="49">
        <v>19.95</v>
      </c>
      <c r="G4556" s="49">
        <f>IF(ISNUMBER(F4556),E4556*F4556,"")</f>
        <v>0.4788</v>
      </c>
      <c r="H4556" s="65"/>
      <c r="I4556" s="66"/>
      <c r="J4556" s="125">
        <v>0</v>
      </c>
    </row>
    <row r="4557" spans="1:10" ht="26.25" hidden="1" thickBot="1" x14ac:dyDescent="0.3">
      <c r="A4557" s="249"/>
      <c r="B4557" s="238"/>
      <c r="C4557" s="155" t="s">
        <v>31105</v>
      </c>
      <c r="D4557" s="155" t="s">
        <v>774</v>
      </c>
      <c r="E4557" s="34">
        <f>0.0012*4</f>
        <v>4.7999999999999996E-3</v>
      </c>
      <c r="F4557" s="49">
        <v>59.916499999999999</v>
      </c>
      <c r="G4557" s="49">
        <f>IF(ISNUMBER(F4557),E4557*F4557,"")</f>
        <v>0.28759919999999994</v>
      </c>
      <c r="H4557" s="65"/>
      <c r="I4557" s="66"/>
      <c r="J4557" s="125">
        <v>0</v>
      </c>
    </row>
    <row r="4558" spans="1:10" ht="15.75" hidden="1" thickBot="1" x14ac:dyDescent="0.3">
      <c r="A4558" s="249"/>
      <c r="B4558" s="238"/>
      <c r="C4558" s="155" t="s">
        <v>1227</v>
      </c>
      <c r="D4558" s="155" t="s">
        <v>774</v>
      </c>
      <c r="E4558" s="34">
        <f>0.045*4</f>
        <v>0.18</v>
      </c>
      <c r="F4558" s="49">
        <v>139.15599999999998</v>
      </c>
      <c r="G4558" s="49">
        <f>IF(ISNUMBER(F4558),E4558*F4558,"")</f>
        <v>25.048079999999995</v>
      </c>
      <c r="H4558" s="65"/>
      <c r="I4558" s="66"/>
      <c r="J4558" s="125">
        <v>0</v>
      </c>
    </row>
    <row r="4559" spans="1:10" ht="26.25" hidden="1" thickBot="1" x14ac:dyDescent="0.3">
      <c r="A4559" s="249"/>
      <c r="B4559" s="238"/>
      <c r="C4559" s="155" t="s">
        <v>1230</v>
      </c>
      <c r="D4559" s="155" t="s">
        <v>385</v>
      </c>
      <c r="E4559" s="34">
        <f>4*1.05</f>
        <v>4.2</v>
      </c>
      <c r="F4559" s="49">
        <v>29.088999999999999</v>
      </c>
      <c r="G4559" s="49">
        <f>IF(ISNUMBER(F4559),E4559*F4559,"")</f>
        <v>122.1738</v>
      </c>
      <c r="H4559" s="65"/>
      <c r="I4559" s="66"/>
      <c r="J4559" s="125">
        <v>0</v>
      </c>
    </row>
    <row r="4560" spans="1:10" ht="15.75" hidden="1" thickBot="1" x14ac:dyDescent="0.3">
      <c r="A4560" s="249"/>
      <c r="B4560" s="238"/>
      <c r="C4560" s="155" t="s">
        <v>588</v>
      </c>
      <c r="D4560" s="155" t="s">
        <v>587</v>
      </c>
      <c r="E4560" s="34">
        <f>0.207*2</f>
        <v>0.41399999999999998</v>
      </c>
      <c r="F4560" s="49">
        <v>19.189999999999998</v>
      </c>
      <c r="G4560" s="49">
        <f>IF(ISNUMBER(F4560),E4560*F4560,"")</f>
        <v>7.9446599999999989</v>
      </c>
      <c r="H4560" s="65"/>
      <c r="I4560" s="66"/>
      <c r="J4560" s="125">
        <v>0</v>
      </c>
    </row>
    <row r="4561" spans="1:10" ht="15.75" hidden="1" thickBot="1" x14ac:dyDescent="0.3">
      <c r="A4561" s="249"/>
      <c r="B4561" s="238"/>
      <c r="C4561" s="155" t="s">
        <v>1170</v>
      </c>
      <c r="D4561" s="155" t="s">
        <v>587</v>
      </c>
      <c r="E4561" s="34">
        <f>0.112*2</f>
        <v>0.224</v>
      </c>
      <c r="F4561" s="49">
        <v>25.051500000000001</v>
      </c>
      <c r="G4561" s="49">
        <f>IF(ISNUMBER(F4561),E4561*F4561,"")</f>
        <v>5.6115360000000001</v>
      </c>
      <c r="H4561" s="65"/>
      <c r="I4561" s="66"/>
      <c r="J4561" s="125">
        <v>0</v>
      </c>
    </row>
    <row r="4562" spans="1:10" ht="26.25" hidden="1" thickBot="1" x14ac:dyDescent="0.3">
      <c r="A4562" s="249"/>
      <c r="B4562" s="238"/>
      <c r="C4562" s="155" t="s">
        <v>1171</v>
      </c>
      <c r="D4562" s="155" t="s">
        <v>814</v>
      </c>
      <c r="E4562" s="34">
        <f>0.0132*2</f>
        <v>2.64E-2</v>
      </c>
      <c r="F4562" s="49">
        <v>23.103999999999999</v>
      </c>
      <c r="G4562" s="49">
        <f>IF(ISNUMBER(F4562),E4562*F4562,"")</f>
        <v>0.60994559999999998</v>
      </c>
      <c r="H4562" s="65"/>
      <c r="I4562" s="66"/>
      <c r="J4562" s="125">
        <v>0</v>
      </c>
    </row>
    <row r="4563" spans="1:10" ht="26.25" hidden="1" thickBot="1" x14ac:dyDescent="0.3">
      <c r="A4563" s="249"/>
      <c r="B4563" s="238"/>
      <c r="C4563" s="155" t="s">
        <v>1172</v>
      </c>
      <c r="D4563" s="155" t="s">
        <v>816</v>
      </c>
      <c r="E4563" s="34">
        <f>0.0183*2</f>
        <v>3.6600000000000001E-2</v>
      </c>
      <c r="F4563" s="49">
        <v>22.049499999999998</v>
      </c>
      <c r="G4563" s="49">
        <f>IF(ISNUMBER(F4563),E4563*F4563,"")</f>
        <v>0.8070117</v>
      </c>
      <c r="H4563" s="65"/>
      <c r="I4563" s="66"/>
      <c r="J4563" s="125">
        <v>0</v>
      </c>
    </row>
    <row r="4564" spans="1:10" ht="15.75" hidden="1" thickBot="1" x14ac:dyDescent="0.3">
      <c r="A4564" s="250"/>
      <c r="B4564" s="239"/>
      <c r="C4564" s="164"/>
      <c r="D4564" s="50"/>
      <c r="E4564" s="61"/>
      <c r="F4564" s="68" t="s">
        <v>418</v>
      </c>
      <c r="G4564" s="68" t="str">
        <f>IF(ISNUMBER(F4564),E4564*F4564,"")</f>
        <v/>
      </c>
      <c r="H4564" s="69"/>
      <c r="I4564" s="66"/>
      <c r="J4564" s="125">
        <v>0</v>
      </c>
    </row>
    <row r="4565" spans="1:10" ht="15.75" hidden="1" thickBot="1" x14ac:dyDescent="0.3">
      <c r="A4565" s="234" t="s">
        <v>1231</v>
      </c>
      <c r="B4565" s="237" t="s">
        <v>1878</v>
      </c>
      <c r="C4565" s="160"/>
      <c r="D4565" s="23" t="s">
        <v>69</v>
      </c>
      <c r="E4565" s="24"/>
      <c r="F4565" s="44" t="s">
        <v>418</v>
      </c>
      <c r="G4565" s="25" t="str">
        <f>IF(ISNUMBER(F4565),E4565*F4565,"")</f>
        <v/>
      </c>
      <c r="H4565" s="26"/>
      <c r="I4565" s="27"/>
      <c r="J4565" s="125">
        <v>0</v>
      </c>
    </row>
    <row r="4566" spans="1:10" ht="15.75" hidden="1" thickBot="1" x14ac:dyDescent="0.3">
      <c r="A4566" s="249"/>
      <c r="B4566" s="238"/>
      <c r="C4566" s="151"/>
      <c r="D4566" s="29"/>
      <c r="E4566" s="30"/>
      <c r="F4566" s="49" t="s">
        <v>418</v>
      </c>
      <c r="G4566" s="49" t="str">
        <f>IF(ISNUMBER(F4566),E4566*F4566,"")</f>
        <v/>
      </c>
      <c r="H4566" s="65"/>
      <c r="I4566" s="66"/>
      <c r="J4566" s="125">
        <v>0</v>
      </c>
    </row>
    <row r="4567" spans="1:10" ht="26.25" hidden="1" thickBot="1" x14ac:dyDescent="0.3">
      <c r="A4567" s="249"/>
      <c r="B4567" s="238"/>
      <c r="C4567" s="155" t="s">
        <v>10385</v>
      </c>
      <c r="D4567" s="155" t="s">
        <v>774</v>
      </c>
      <c r="E4567" s="34">
        <v>0.02</v>
      </c>
      <c r="F4567" s="49">
        <v>26.41</v>
      </c>
      <c r="G4567" s="49">
        <f>IF(ISNUMBER(F4567),E4567*F4567,"")</f>
        <v>0.5282</v>
      </c>
      <c r="H4567" s="35">
        <f>SUM(G4567:G4580)</f>
        <v>138.6917710905</v>
      </c>
      <c r="I4567" s="36"/>
      <c r="J4567" s="125">
        <v>0</v>
      </c>
    </row>
    <row r="4568" spans="1:10" ht="26.25" hidden="1" thickBot="1" x14ac:dyDescent="0.3">
      <c r="A4568" s="249"/>
      <c r="B4568" s="238"/>
      <c r="C4568" s="155" t="s">
        <v>1154</v>
      </c>
      <c r="D4568" s="155" t="s">
        <v>85</v>
      </c>
      <c r="E4568" s="34">
        <v>0.04</v>
      </c>
      <c r="F4568" s="49">
        <v>67.364499999999992</v>
      </c>
      <c r="G4568" s="49">
        <f>IF(ISNUMBER(F4568),E4568*F4568,"")</f>
        <v>2.6945799999999998</v>
      </c>
      <c r="H4568" s="65"/>
      <c r="I4568" s="66"/>
      <c r="J4568" s="125">
        <v>0</v>
      </c>
    </row>
    <row r="4569" spans="1:10" ht="15.75" hidden="1" thickBot="1" x14ac:dyDescent="0.3">
      <c r="A4569" s="249"/>
      <c r="B4569" s="238"/>
      <c r="C4569" s="155" t="s">
        <v>777</v>
      </c>
      <c r="D4569" s="155" t="s">
        <v>587</v>
      </c>
      <c r="E4569" s="34">
        <v>0.8</v>
      </c>
      <c r="F4569" s="49">
        <v>25.46</v>
      </c>
      <c r="G4569" s="49">
        <f>IF(ISNUMBER(F4569),E4569*F4569,"")</f>
        <v>20.368000000000002</v>
      </c>
      <c r="H4569" s="65"/>
      <c r="I4569" s="66"/>
      <c r="J4569" s="125">
        <v>0</v>
      </c>
    </row>
    <row r="4570" spans="1:10" ht="26.25" hidden="1" thickBot="1" x14ac:dyDescent="0.3">
      <c r="A4570" s="249"/>
      <c r="B4570" s="238"/>
      <c r="C4570" s="155" t="s">
        <v>1232</v>
      </c>
      <c r="D4570" s="155" t="s">
        <v>774</v>
      </c>
      <c r="E4570" s="34">
        <v>1.35</v>
      </c>
      <c r="F4570" s="49">
        <v>9.8229999999999986</v>
      </c>
      <c r="G4570" s="49">
        <f>IF(ISNUMBER(F4570),E4570*F4570,"")</f>
        <v>13.261049999999999</v>
      </c>
      <c r="H4570" s="65"/>
      <c r="I4570" s="66"/>
      <c r="J4570" s="125">
        <v>0</v>
      </c>
    </row>
    <row r="4571" spans="1:10" ht="15.75" hidden="1" thickBot="1" x14ac:dyDescent="0.3">
      <c r="A4571" s="249"/>
      <c r="B4571" s="238"/>
      <c r="C4571" s="155" t="s">
        <v>871</v>
      </c>
      <c r="D4571" s="155" t="s">
        <v>587</v>
      </c>
      <c r="E4571" s="34">
        <v>0.7</v>
      </c>
      <c r="F4571" s="49">
        <v>25.289000000000001</v>
      </c>
      <c r="G4571" s="49">
        <f>IF(ISNUMBER(F4571),E4571*F4571,"")</f>
        <v>17.702300000000001</v>
      </c>
      <c r="H4571" s="65"/>
      <c r="I4571" s="66"/>
      <c r="J4571" s="125">
        <v>0</v>
      </c>
    </row>
    <row r="4572" spans="1:10" ht="15.75" hidden="1" thickBot="1" x14ac:dyDescent="0.3">
      <c r="A4572" s="249"/>
      <c r="B4572" s="238"/>
      <c r="C4572" s="155" t="s">
        <v>1233</v>
      </c>
      <c r="D4572" s="33" t="s">
        <v>70</v>
      </c>
      <c r="E4572" s="34">
        <v>1</v>
      </c>
      <c r="F4572" s="49">
        <v>0.95</v>
      </c>
      <c r="G4572" s="49">
        <f>IF(ISNUMBER(F4572),E4572*F4572,"")</f>
        <v>0.95</v>
      </c>
      <c r="H4572" s="65"/>
      <c r="I4572" s="66"/>
      <c r="J4572" s="125">
        <v>0</v>
      </c>
    </row>
    <row r="4573" spans="1:10" ht="39" hidden="1" thickBot="1" x14ac:dyDescent="0.3">
      <c r="A4573" s="249"/>
      <c r="B4573" s="238"/>
      <c r="C4573" s="155" t="s">
        <v>21614</v>
      </c>
      <c r="D4573" s="155" t="s">
        <v>814</v>
      </c>
      <c r="E4573" s="34">
        <v>0.02</v>
      </c>
      <c r="F4573" s="49">
        <v>5.9469999999999992</v>
      </c>
      <c r="G4573" s="49">
        <f>IF(ISNUMBER(F4573),E4573*F4573,"")</f>
        <v>0.11893999999999999</v>
      </c>
      <c r="H4573" s="65"/>
      <c r="I4573" s="66"/>
      <c r="J4573" s="125">
        <v>0</v>
      </c>
    </row>
    <row r="4574" spans="1:10" ht="15.75" hidden="1" thickBot="1" x14ac:dyDescent="0.3">
      <c r="A4574" s="249"/>
      <c r="B4574" s="238"/>
      <c r="C4574" s="155" t="s">
        <v>24537</v>
      </c>
      <c r="D4574" s="155" t="s">
        <v>774</v>
      </c>
      <c r="E4574" s="34">
        <v>17.36</v>
      </c>
      <c r="F4574" s="49">
        <v>1.254</v>
      </c>
      <c r="G4574" s="49">
        <f>IF(ISNUMBER(F4574),E4574*F4574,"")</f>
        <v>21.769439999999999</v>
      </c>
      <c r="H4574" s="65"/>
      <c r="I4574" s="66"/>
      <c r="J4574" s="125">
        <v>0</v>
      </c>
    </row>
    <row r="4575" spans="1:10" ht="26.25" hidden="1" thickBot="1" x14ac:dyDescent="0.3">
      <c r="A4575" s="249"/>
      <c r="B4575" s="238"/>
      <c r="C4575" s="155" t="s">
        <v>635</v>
      </c>
      <c r="D4575" s="155" t="s">
        <v>85</v>
      </c>
      <c r="E4575" s="34">
        <v>0.09</v>
      </c>
      <c r="F4575" s="49">
        <v>259.12199999999996</v>
      </c>
      <c r="G4575" s="49">
        <f>IF(ISNUMBER(F4575),E4575*F4575,"")</f>
        <v>23.320979999999995</v>
      </c>
      <c r="H4575" s="65"/>
      <c r="I4575" s="66"/>
      <c r="J4575" s="125">
        <v>0</v>
      </c>
    </row>
    <row r="4576" spans="1:10" ht="15.75" hidden="1" thickBot="1" x14ac:dyDescent="0.3">
      <c r="A4576" s="249"/>
      <c r="B4576" s="238"/>
      <c r="C4576" s="155" t="s">
        <v>1235</v>
      </c>
      <c r="D4576" s="155" t="s">
        <v>774</v>
      </c>
      <c r="E4576" s="34">
        <v>0.02</v>
      </c>
      <c r="F4576" s="49">
        <v>20.291999999999998</v>
      </c>
      <c r="G4576" s="49">
        <f>IF(ISNUMBER(F4576),E4576*F4576,"")</f>
        <v>0.40583999999999998</v>
      </c>
      <c r="H4576" s="65"/>
      <c r="I4576" s="66"/>
      <c r="J4576" s="125">
        <v>0</v>
      </c>
    </row>
    <row r="4577" spans="1:10" ht="15.75" hidden="1" thickBot="1" x14ac:dyDescent="0.3">
      <c r="A4577" s="249"/>
      <c r="B4577" s="238"/>
      <c r="C4577" s="155" t="s">
        <v>595</v>
      </c>
      <c r="D4577" s="155" t="s">
        <v>587</v>
      </c>
      <c r="E4577" s="34">
        <v>0.3</v>
      </c>
      <c r="F4577" s="49">
        <v>25.65</v>
      </c>
      <c r="G4577" s="49">
        <f>IF(ISNUMBER(F4577),E4577*F4577,"")</f>
        <v>7.6949999999999994</v>
      </c>
      <c r="H4577" s="65"/>
      <c r="I4577" s="66"/>
      <c r="J4577" s="125">
        <v>0</v>
      </c>
    </row>
    <row r="4578" spans="1:10" ht="15.75" hidden="1" thickBot="1" x14ac:dyDescent="0.3">
      <c r="A4578" s="249"/>
      <c r="B4578" s="238"/>
      <c r="C4578" s="155" t="s">
        <v>588</v>
      </c>
      <c r="D4578" s="155" t="s">
        <v>587</v>
      </c>
      <c r="E4578" s="34">
        <v>1.1000000000000001</v>
      </c>
      <c r="F4578" s="49">
        <v>19.189999999999998</v>
      </c>
      <c r="G4578" s="49">
        <f>IF(ISNUMBER(F4578),E4578*F4578,"")</f>
        <v>21.108999999999998</v>
      </c>
      <c r="H4578" s="65"/>
      <c r="I4578" s="66"/>
      <c r="J4578" s="125">
        <v>0</v>
      </c>
    </row>
    <row r="4579" spans="1:10" ht="51.75" hidden="1" thickBot="1" x14ac:dyDescent="0.3">
      <c r="A4579" s="249"/>
      <c r="B4579" s="238"/>
      <c r="C4579" s="155" t="s">
        <v>10661</v>
      </c>
      <c r="D4579" s="155" t="s">
        <v>85</v>
      </c>
      <c r="E4579" s="34">
        <f>1*(E4568+E4575)</f>
        <v>0.13</v>
      </c>
      <c r="F4579" s="31">
        <v>8.6578848500000003</v>
      </c>
      <c r="G4579" s="31">
        <f>IF(ISNUMBER(F4579),E4579*F4579,"")</f>
        <v>1.1255250305</v>
      </c>
      <c r="H4579" s="32"/>
      <c r="I4579" s="28"/>
      <c r="J4579" s="125">
        <v>0</v>
      </c>
    </row>
    <row r="4580" spans="1:10" ht="39" hidden="1" thickBot="1" x14ac:dyDescent="0.3">
      <c r="A4580" s="249"/>
      <c r="B4580" s="238"/>
      <c r="C4580" s="155" t="s">
        <v>10602</v>
      </c>
      <c r="D4580" s="155" t="s">
        <v>1292</v>
      </c>
      <c r="E4580" s="34">
        <f>(E4568+E4575)*20</f>
        <v>2.6</v>
      </c>
      <c r="F4580" s="49">
        <v>2.9395830999999997</v>
      </c>
      <c r="G4580" s="49">
        <f>IF(ISNUMBER(F4580),E4580*F4580,"")</f>
        <v>7.6429160599999992</v>
      </c>
      <c r="H4580" s="65"/>
      <c r="I4580" s="66"/>
      <c r="J4580" s="125">
        <v>0</v>
      </c>
    </row>
    <row r="4581" spans="1:10" ht="15.75" hidden="1" thickBot="1" x14ac:dyDescent="0.3">
      <c r="A4581" s="249"/>
      <c r="B4581" s="238"/>
      <c r="C4581" s="155"/>
      <c r="D4581" s="33"/>
      <c r="E4581" s="34"/>
      <c r="F4581" s="49" t="s">
        <v>418</v>
      </c>
      <c r="G4581" s="49" t="str">
        <f>IF(ISNUMBER(F4581),E4581*F4581,"")</f>
        <v/>
      </c>
      <c r="H4581" s="65"/>
      <c r="I4581" s="66"/>
      <c r="J4581" s="125">
        <v>0</v>
      </c>
    </row>
    <row r="4582" spans="1:10" ht="26.25" hidden="1" thickBot="1" x14ac:dyDescent="0.3">
      <c r="A4582" s="249"/>
      <c r="B4582" s="238"/>
      <c r="C4582" s="43" t="s">
        <v>1142</v>
      </c>
      <c r="D4582" s="33"/>
      <c r="E4582" s="34"/>
      <c r="F4582" s="49" t="s">
        <v>418</v>
      </c>
      <c r="G4582" s="49" t="str">
        <f>IF(ISNUMBER(F4582),E4582*F4582,"")</f>
        <v/>
      </c>
      <c r="H4582" s="65"/>
      <c r="I4582" s="66"/>
      <c r="J4582" s="125">
        <v>0</v>
      </c>
    </row>
    <row r="4583" spans="1:10" ht="15.75" hidden="1" thickBot="1" x14ac:dyDescent="0.3">
      <c r="A4583" s="250"/>
      <c r="B4583" s="239"/>
      <c r="C4583" s="164"/>
      <c r="D4583" s="50"/>
      <c r="E4583" s="61"/>
      <c r="F4583" s="68" t="s">
        <v>418</v>
      </c>
      <c r="G4583" s="68" t="str">
        <f>IF(ISNUMBER(F4583),E4583*F4583,"")</f>
        <v/>
      </c>
      <c r="H4583" s="69"/>
      <c r="I4583" s="66"/>
      <c r="J4583" s="125">
        <v>0</v>
      </c>
    </row>
    <row r="4584" spans="1:10" ht="15.75" hidden="1" thickBot="1" x14ac:dyDescent="0.3">
      <c r="A4584" s="234" t="s">
        <v>1236</v>
      </c>
      <c r="B4584" s="237" t="s">
        <v>1879</v>
      </c>
      <c r="C4584" s="160"/>
      <c r="D4584" s="23" t="s">
        <v>70</v>
      </c>
      <c r="E4584" s="24"/>
      <c r="F4584" s="44" t="s">
        <v>418</v>
      </c>
      <c r="G4584" s="25" t="str">
        <f>IF(ISNUMBER(F4584),E4584*F4584,"")</f>
        <v/>
      </c>
      <c r="H4584" s="26"/>
      <c r="I4584" s="27"/>
      <c r="J4584" s="125">
        <v>0</v>
      </c>
    </row>
    <row r="4585" spans="1:10" ht="15.75" hidden="1" thickBot="1" x14ac:dyDescent="0.3">
      <c r="A4585" s="249"/>
      <c r="B4585" s="238"/>
      <c r="C4585" s="151"/>
      <c r="D4585" s="29"/>
      <c r="E4585" s="30"/>
      <c r="F4585" s="49" t="s">
        <v>418</v>
      </c>
      <c r="G4585" s="49" t="str">
        <f>IF(ISNUMBER(F4585),E4585*F4585,"")</f>
        <v/>
      </c>
      <c r="H4585" s="65"/>
      <c r="I4585" s="66"/>
      <c r="J4585" s="125">
        <v>0</v>
      </c>
    </row>
    <row r="4586" spans="1:10" ht="39" hidden="1" thickBot="1" x14ac:dyDescent="0.3">
      <c r="A4586" s="249"/>
      <c r="B4586" s="238"/>
      <c r="C4586" s="155" t="s">
        <v>38836</v>
      </c>
      <c r="D4586" s="155" t="s">
        <v>870</v>
      </c>
      <c r="E4586" s="34">
        <f>ROUND(0.712*1.48,4)</f>
        <v>1.0538000000000001</v>
      </c>
      <c r="F4586" s="49">
        <v>10.573500000000001</v>
      </c>
      <c r="G4586" s="49">
        <f>IF(ISNUMBER(F4586),E4586*F4586,"")</f>
        <v>11.142354300000001</v>
      </c>
      <c r="H4586" s="35">
        <f>SUM(G4586:G4590)</f>
        <v>13.610237700000001</v>
      </c>
      <c r="I4586" s="36"/>
      <c r="J4586" s="125">
        <v>0</v>
      </c>
    </row>
    <row r="4587" spans="1:10" ht="39" hidden="1" thickBot="1" x14ac:dyDescent="0.3">
      <c r="A4587" s="249"/>
      <c r="B4587" s="238"/>
      <c r="C4587" s="155" t="s">
        <v>775</v>
      </c>
      <c r="D4587" s="155" t="s">
        <v>205</v>
      </c>
      <c r="E4587" s="34">
        <f>ROUND(1.382*1.48,4)</f>
        <v>2.0453999999999999</v>
      </c>
      <c r="F4587" s="49">
        <v>0.20899999999999999</v>
      </c>
      <c r="G4587" s="49">
        <f>IF(ISNUMBER(F4587),E4587*F4587,"")</f>
        <v>0.42748859999999994</v>
      </c>
      <c r="H4587" s="65"/>
      <c r="I4587" s="66"/>
      <c r="J4587" s="125">
        <v>0</v>
      </c>
    </row>
    <row r="4588" spans="1:10" ht="26.25" hidden="1" thickBot="1" x14ac:dyDescent="0.3">
      <c r="A4588" s="249"/>
      <c r="B4588" s="238"/>
      <c r="C4588" s="155" t="s">
        <v>10385</v>
      </c>
      <c r="D4588" s="155" t="s">
        <v>774</v>
      </c>
      <c r="E4588" s="34">
        <f>ROUND(0.0105*1.48,4)</f>
        <v>1.55E-2</v>
      </c>
      <c r="F4588" s="49">
        <v>26.41</v>
      </c>
      <c r="G4588" s="49">
        <f>IF(ISNUMBER(F4588),E4588*F4588,"")</f>
        <v>0.40935500000000002</v>
      </c>
      <c r="H4588" s="65"/>
      <c r="I4588" s="66"/>
      <c r="J4588" s="125">
        <v>0</v>
      </c>
    </row>
    <row r="4589" spans="1:10" ht="15.75" hidden="1" thickBot="1" x14ac:dyDescent="0.3">
      <c r="A4589" s="249"/>
      <c r="B4589" s="238"/>
      <c r="C4589" s="155" t="s">
        <v>776</v>
      </c>
      <c r="D4589" s="155" t="s">
        <v>587</v>
      </c>
      <c r="E4589" s="34">
        <f>ROUND(0.006*1.48,4)</f>
        <v>8.8999999999999999E-3</v>
      </c>
      <c r="F4589" s="49">
        <v>18.201999999999998</v>
      </c>
      <c r="G4589" s="49">
        <f>IF(ISNUMBER(F4589),E4589*F4589,"")</f>
        <v>0.16199779999999997</v>
      </c>
      <c r="H4589" s="65"/>
      <c r="I4589" s="66"/>
      <c r="J4589" s="125">
        <v>0</v>
      </c>
    </row>
    <row r="4590" spans="1:10" ht="15.75" hidden="1" thickBot="1" x14ac:dyDescent="0.3">
      <c r="A4590" s="249"/>
      <c r="B4590" s="238"/>
      <c r="C4590" s="155" t="s">
        <v>777</v>
      </c>
      <c r="D4590" s="155" t="s">
        <v>587</v>
      </c>
      <c r="E4590" s="34">
        <f>ROUND(0.039*1.48,4)</f>
        <v>5.7700000000000001E-2</v>
      </c>
      <c r="F4590" s="49">
        <v>25.46</v>
      </c>
      <c r="G4590" s="49">
        <f>IF(ISNUMBER(F4590),E4590*F4590,"")</f>
        <v>1.4690420000000002</v>
      </c>
      <c r="H4590" s="65"/>
      <c r="I4590" s="66"/>
      <c r="J4590" s="125">
        <v>0</v>
      </c>
    </row>
    <row r="4591" spans="1:10" ht="15.75" hidden="1" thickBot="1" x14ac:dyDescent="0.3">
      <c r="A4591" s="249"/>
      <c r="B4591" s="238"/>
      <c r="C4591" s="155"/>
      <c r="D4591" s="33"/>
      <c r="E4591" s="34"/>
      <c r="F4591" s="49" t="s">
        <v>418</v>
      </c>
      <c r="G4591" s="49" t="str">
        <f>IF(ISNUMBER(F4591),E4591*F4591,"")</f>
        <v/>
      </c>
      <c r="H4591" s="65"/>
      <c r="I4591" s="66"/>
      <c r="J4591" s="125">
        <v>0</v>
      </c>
    </row>
    <row r="4592" spans="1:10" ht="15.75" hidden="1" thickBot="1" x14ac:dyDescent="0.3">
      <c r="A4592" s="234" t="s">
        <v>1238</v>
      </c>
      <c r="B4592" s="237" t="s">
        <v>1880</v>
      </c>
      <c r="C4592" s="160"/>
      <c r="D4592" s="23" t="s">
        <v>70</v>
      </c>
      <c r="E4592" s="24"/>
      <c r="F4592" s="44" t="s">
        <v>418</v>
      </c>
      <c r="G4592" s="25" t="str">
        <f>IF(ISNUMBER(F4592),E4592*F4592,"")</f>
        <v/>
      </c>
      <c r="H4592" s="26"/>
      <c r="I4592" s="27"/>
      <c r="J4592" s="125">
        <v>0</v>
      </c>
    </row>
    <row r="4593" spans="1:10" ht="15.75" hidden="1" thickBot="1" x14ac:dyDescent="0.3">
      <c r="A4593" s="249"/>
      <c r="B4593" s="238"/>
      <c r="C4593" s="151"/>
      <c r="D4593" s="29"/>
      <c r="E4593" s="30"/>
      <c r="F4593" s="49" t="s">
        <v>418</v>
      </c>
      <c r="G4593" s="49" t="str">
        <f>IF(ISNUMBER(F4593),E4593*F4593,"")</f>
        <v/>
      </c>
      <c r="H4593" s="65"/>
      <c r="I4593" s="66"/>
      <c r="J4593" s="125">
        <v>0</v>
      </c>
    </row>
    <row r="4594" spans="1:10" ht="26.25" hidden="1" thickBot="1" x14ac:dyDescent="0.3">
      <c r="A4594" s="249"/>
      <c r="B4594" s="238"/>
      <c r="C4594" s="155" t="s">
        <v>1239</v>
      </c>
      <c r="D4594" s="155" t="s">
        <v>1113</v>
      </c>
      <c r="E4594" s="34">
        <v>7.0000000000000001E-3</v>
      </c>
      <c r="F4594" s="49">
        <v>203.48049999999998</v>
      </c>
      <c r="G4594" s="49">
        <f>IF(ISNUMBER(F4594),E4594*F4594,"")</f>
        <v>1.4243634999999999</v>
      </c>
      <c r="H4594" s="35">
        <f>SUM(G4594:G4599)</f>
        <v>54.772392499999995</v>
      </c>
      <c r="I4594" s="36"/>
      <c r="J4594" s="125">
        <v>0</v>
      </c>
    </row>
    <row r="4595" spans="1:10" ht="26.25" hidden="1" thickBot="1" x14ac:dyDescent="0.3">
      <c r="A4595" s="249"/>
      <c r="B4595" s="238"/>
      <c r="C4595" s="155" t="s">
        <v>1240</v>
      </c>
      <c r="D4595" s="155" t="s">
        <v>774</v>
      </c>
      <c r="E4595" s="34">
        <v>4.3330000000000002</v>
      </c>
      <c r="F4595" s="49">
        <v>10.696999999999999</v>
      </c>
      <c r="G4595" s="49">
        <f>IF(ISNUMBER(F4595),E4595*F4595,"")</f>
        <v>46.350100999999995</v>
      </c>
      <c r="H4595" s="65"/>
      <c r="I4595" s="66"/>
      <c r="J4595" s="125">
        <v>0</v>
      </c>
    </row>
    <row r="4596" spans="1:10" ht="26.25" hidden="1" thickBot="1" x14ac:dyDescent="0.3">
      <c r="A4596" s="249"/>
      <c r="B4596" s="238"/>
      <c r="C4596" s="155" t="s">
        <v>863</v>
      </c>
      <c r="D4596" s="155" t="s">
        <v>587</v>
      </c>
      <c r="E4596" s="34">
        <v>0.21299999999999999</v>
      </c>
      <c r="F4596" s="49">
        <v>21.593499999999999</v>
      </c>
      <c r="G4596" s="49">
        <f>IF(ISNUMBER(F4596),E4596*F4596,"")</f>
        <v>4.5994154999999992</v>
      </c>
      <c r="H4596" s="65"/>
      <c r="I4596" s="66"/>
      <c r="J4596" s="125">
        <v>0</v>
      </c>
    </row>
    <row r="4597" spans="1:10" ht="15.75" hidden="1" thickBot="1" x14ac:dyDescent="0.3">
      <c r="A4597" s="249"/>
      <c r="B4597" s="238"/>
      <c r="C4597" s="155" t="s">
        <v>588</v>
      </c>
      <c r="D4597" s="155" t="s">
        <v>587</v>
      </c>
      <c r="E4597" s="34">
        <v>0.106</v>
      </c>
      <c r="F4597" s="49">
        <v>19.189999999999998</v>
      </c>
      <c r="G4597" s="49">
        <f>IF(ISNUMBER(F4597),E4597*F4597,"")</f>
        <v>2.0341399999999998</v>
      </c>
      <c r="H4597" s="65"/>
      <c r="I4597" s="66"/>
      <c r="J4597" s="125">
        <v>0</v>
      </c>
    </row>
    <row r="4598" spans="1:10" ht="26.25" hidden="1" thickBot="1" x14ac:dyDescent="0.3">
      <c r="A4598" s="249"/>
      <c r="B4598" s="238"/>
      <c r="C4598" s="155" t="s">
        <v>1171</v>
      </c>
      <c r="D4598" s="155" t="s">
        <v>814</v>
      </c>
      <c r="E4598" s="34">
        <v>6.7999999999999996E-3</v>
      </c>
      <c r="F4598" s="49">
        <v>23.103999999999999</v>
      </c>
      <c r="G4598" s="49">
        <f>IF(ISNUMBER(F4598),E4598*F4598,"")</f>
        <v>0.15710719999999997</v>
      </c>
      <c r="H4598" s="65"/>
      <c r="I4598" s="66"/>
      <c r="J4598" s="125">
        <v>0</v>
      </c>
    </row>
    <row r="4599" spans="1:10" ht="26.25" hidden="1" thickBot="1" x14ac:dyDescent="0.3">
      <c r="A4599" s="249"/>
      <c r="B4599" s="238"/>
      <c r="C4599" s="155" t="s">
        <v>1172</v>
      </c>
      <c r="D4599" s="155" t="s">
        <v>816</v>
      </c>
      <c r="E4599" s="34">
        <v>9.4000000000000004E-3</v>
      </c>
      <c r="F4599" s="49">
        <v>22.049499999999998</v>
      </c>
      <c r="G4599" s="49">
        <f>IF(ISNUMBER(F4599),E4599*F4599,"")</f>
        <v>0.20726529999999999</v>
      </c>
      <c r="H4599" s="65"/>
      <c r="I4599" s="66"/>
      <c r="J4599" s="125">
        <v>0</v>
      </c>
    </row>
    <row r="4600" spans="1:10" ht="15.75" hidden="1" thickBot="1" x14ac:dyDescent="0.3">
      <c r="A4600" s="250"/>
      <c r="B4600" s="239"/>
      <c r="C4600" s="164"/>
      <c r="D4600" s="50"/>
      <c r="E4600" s="61"/>
      <c r="F4600" s="68" t="s">
        <v>418</v>
      </c>
      <c r="G4600" s="68" t="str">
        <f>IF(ISNUMBER(F4600),E4600*F4600,"")</f>
        <v/>
      </c>
      <c r="H4600" s="69"/>
      <c r="I4600" s="66"/>
      <c r="J4600" s="125">
        <v>0</v>
      </c>
    </row>
    <row r="4601" spans="1:10" ht="15.75" hidden="1" thickBot="1" x14ac:dyDescent="0.3">
      <c r="A4601" s="234" t="s">
        <v>1241</v>
      </c>
      <c r="B4601" s="237" t="s">
        <v>1881</v>
      </c>
      <c r="C4601" s="160"/>
      <c r="D4601" s="23" t="s">
        <v>70</v>
      </c>
      <c r="E4601" s="24"/>
      <c r="F4601" s="44" t="s">
        <v>418</v>
      </c>
      <c r="G4601" s="25" t="str">
        <f>IF(ISNUMBER(F4601),E4601*F4601,"")</f>
        <v/>
      </c>
      <c r="H4601" s="26"/>
      <c r="I4601" s="27"/>
      <c r="J4601" s="125">
        <v>0</v>
      </c>
    </row>
    <row r="4602" spans="1:10" ht="15.75" hidden="1" thickBot="1" x14ac:dyDescent="0.3">
      <c r="A4602" s="249"/>
      <c r="B4602" s="238"/>
      <c r="C4602" s="151"/>
      <c r="D4602" s="29"/>
      <c r="E4602" s="30"/>
      <c r="F4602" s="49" t="s">
        <v>418</v>
      </c>
      <c r="G4602" s="49" t="str">
        <f>IF(ISNUMBER(F4602),E4602*F4602,"")</f>
        <v/>
      </c>
      <c r="H4602" s="65"/>
      <c r="I4602" s="66"/>
      <c r="J4602" s="125">
        <v>0</v>
      </c>
    </row>
    <row r="4603" spans="1:10" ht="15.75" hidden="1" thickBot="1" x14ac:dyDescent="0.3">
      <c r="A4603" s="249"/>
      <c r="B4603" s="238"/>
      <c r="C4603" s="155" t="s">
        <v>10181</v>
      </c>
      <c r="D4603" s="155" t="s">
        <v>587</v>
      </c>
      <c r="E4603" s="34">
        <v>0.1</v>
      </c>
      <c r="F4603" s="49">
        <v>20.5105</v>
      </c>
      <c r="G4603" s="49">
        <f>IF(ISNUMBER(F4603),E4603*F4603,"")</f>
        <v>2.05105</v>
      </c>
      <c r="H4603" s="35">
        <f>SUM(G4603:G4605)</f>
        <v>7.4109499999999997</v>
      </c>
      <c r="I4603" s="36"/>
      <c r="J4603" s="125">
        <v>0</v>
      </c>
    </row>
    <row r="4604" spans="1:10" ht="15.75" hidden="1" thickBot="1" x14ac:dyDescent="0.3">
      <c r="A4604" s="249"/>
      <c r="B4604" s="238"/>
      <c r="C4604" s="155" t="s">
        <v>962</v>
      </c>
      <c r="D4604" s="155" t="s">
        <v>587</v>
      </c>
      <c r="E4604" s="34">
        <v>0.2</v>
      </c>
      <c r="F4604" s="49">
        <v>26.799499999999998</v>
      </c>
      <c r="G4604" s="49">
        <f>IF(ISNUMBER(F4604),E4604*F4604,"")</f>
        <v>5.3598999999999997</v>
      </c>
      <c r="H4604" s="65"/>
      <c r="I4604" s="66"/>
      <c r="J4604" s="125">
        <v>0</v>
      </c>
    </row>
    <row r="4605" spans="1:10" ht="15.75" hidden="1" thickBot="1" x14ac:dyDescent="0.3">
      <c r="A4605" s="249"/>
      <c r="B4605" s="238"/>
      <c r="C4605" s="155" t="s">
        <v>11126</v>
      </c>
      <c r="D4605" s="33" t="s">
        <v>76</v>
      </c>
      <c r="E4605" s="34">
        <f>2*3.6/75</f>
        <v>9.6000000000000002E-2</v>
      </c>
      <c r="F4605" s="49" t="s">
        <v>418</v>
      </c>
      <c r="G4605" s="49" t="str">
        <f>IF(ISNUMBER(F4605),E4605*F4605,"")</f>
        <v/>
      </c>
      <c r="H4605" s="65"/>
      <c r="I4605" s="66"/>
      <c r="J4605" s="125">
        <v>0</v>
      </c>
    </row>
    <row r="4606" spans="1:10" ht="15.75" hidden="1" thickBot="1" x14ac:dyDescent="0.3">
      <c r="A4606" s="249"/>
      <c r="B4606" s="238"/>
      <c r="C4606" s="155"/>
      <c r="D4606" s="33"/>
      <c r="E4606" s="34"/>
      <c r="F4606" s="49" t="s">
        <v>418</v>
      </c>
      <c r="G4606" s="49" t="str">
        <f>IF(ISNUMBER(F4606),E4606*F4606,"")</f>
        <v/>
      </c>
      <c r="H4606" s="65"/>
      <c r="I4606" s="66"/>
      <c r="J4606" s="125">
        <v>0</v>
      </c>
    </row>
    <row r="4607" spans="1:10" ht="39" hidden="1" thickBot="1" x14ac:dyDescent="0.3">
      <c r="A4607" s="249"/>
      <c r="B4607" s="238"/>
      <c r="C4607" s="43" t="s">
        <v>1242</v>
      </c>
      <c r="D4607" s="33"/>
      <c r="E4607" s="34"/>
      <c r="F4607" s="49" t="s">
        <v>418</v>
      </c>
      <c r="G4607" s="49" t="str">
        <f>IF(ISNUMBER(F4607),E4607*F4607,"")</f>
        <v/>
      </c>
      <c r="H4607" s="65"/>
      <c r="I4607" s="66"/>
      <c r="J4607" s="125">
        <v>0</v>
      </c>
    </row>
    <row r="4608" spans="1:10" ht="15.75" hidden="1" thickBot="1" x14ac:dyDescent="0.3">
      <c r="A4608" s="249"/>
      <c r="B4608" s="238"/>
      <c r="C4608" s="155"/>
      <c r="D4608" s="33"/>
      <c r="E4608" s="34"/>
      <c r="F4608" s="49" t="s">
        <v>418</v>
      </c>
      <c r="G4608" s="49" t="str">
        <f>IF(ISNUMBER(F4608),E4608*F4608,"")</f>
        <v/>
      </c>
      <c r="H4608" s="65"/>
      <c r="I4608" s="66"/>
      <c r="J4608" s="125">
        <v>0</v>
      </c>
    </row>
    <row r="4609" spans="1:10" ht="15.75" hidden="1" thickBot="1" x14ac:dyDescent="0.3">
      <c r="A4609" s="234" t="s">
        <v>1243</v>
      </c>
      <c r="B4609" s="237" t="s">
        <v>1882</v>
      </c>
      <c r="C4609" s="160"/>
      <c r="D4609" s="23" t="s">
        <v>70</v>
      </c>
      <c r="E4609" s="24"/>
      <c r="F4609" s="44" t="s">
        <v>418</v>
      </c>
      <c r="G4609" s="25" t="str">
        <f>IF(ISNUMBER(F4609),E4609*F4609,"")</f>
        <v/>
      </c>
      <c r="H4609" s="26"/>
      <c r="I4609" s="27"/>
      <c r="J4609" s="125">
        <v>0</v>
      </c>
    </row>
    <row r="4610" spans="1:10" ht="15.75" hidden="1" thickBot="1" x14ac:dyDescent="0.3">
      <c r="A4610" s="249"/>
      <c r="B4610" s="238"/>
      <c r="C4610" s="151"/>
      <c r="D4610" s="29"/>
      <c r="E4610" s="30"/>
      <c r="F4610" s="49" t="s">
        <v>418</v>
      </c>
      <c r="G4610" s="49" t="str">
        <f>IF(ISNUMBER(F4610),E4610*F4610,"")</f>
        <v/>
      </c>
      <c r="H4610" s="65"/>
      <c r="I4610" s="66"/>
      <c r="J4610" s="125">
        <v>0</v>
      </c>
    </row>
    <row r="4611" spans="1:10" ht="15.75" hidden="1" thickBot="1" x14ac:dyDescent="0.3">
      <c r="A4611" s="249"/>
      <c r="B4611" s="238"/>
      <c r="C4611" s="155" t="s">
        <v>10181</v>
      </c>
      <c r="D4611" s="155" t="s">
        <v>587</v>
      </c>
      <c r="E4611" s="34">
        <v>0.1</v>
      </c>
      <c r="F4611" s="49">
        <v>20.5105</v>
      </c>
      <c r="G4611" s="49">
        <f>IF(ISNUMBER(F4611),E4611*F4611,"")</f>
        <v>2.05105</v>
      </c>
      <c r="H4611" s="35">
        <f>SUM(G4611:G4613)</f>
        <v>7.8859499999999993</v>
      </c>
      <c r="I4611" s="36"/>
      <c r="J4611" s="125">
        <v>0</v>
      </c>
    </row>
    <row r="4612" spans="1:10" ht="15.75" hidden="1" thickBot="1" x14ac:dyDescent="0.3">
      <c r="A4612" s="249"/>
      <c r="B4612" s="238"/>
      <c r="C4612" s="155" t="s">
        <v>962</v>
      </c>
      <c r="D4612" s="155" t="s">
        <v>587</v>
      </c>
      <c r="E4612" s="34">
        <v>0.2</v>
      </c>
      <c r="F4612" s="49">
        <v>26.799499999999998</v>
      </c>
      <c r="G4612" s="49">
        <f>IF(ISNUMBER(F4612),E4612*F4612,"")</f>
        <v>5.3598999999999997</v>
      </c>
      <c r="H4612" s="65"/>
      <c r="I4612" s="66"/>
      <c r="J4612" s="125">
        <v>0</v>
      </c>
    </row>
    <row r="4613" spans="1:10" ht="15.75" hidden="1" thickBot="1" x14ac:dyDescent="0.3">
      <c r="A4613" s="249"/>
      <c r="B4613" s="238"/>
      <c r="C4613" s="155" t="s">
        <v>1244</v>
      </c>
      <c r="D4613" s="33" t="s">
        <v>76</v>
      </c>
      <c r="E4613" s="34">
        <v>0.5</v>
      </c>
      <c r="F4613" s="49">
        <v>0.95</v>
      </c>
      <c r="G4613" s="49">
        <f>IF(ISNUMBER(F4613),E4613*F4613,"")</f>
        <v>0.47499999999999998</v>
      </c>
      <c r="H4613" s="65"/>
      <c r="I4613" s="66"/>
      <c r="J4613" s="125">
        <v>0</v>
      </c>
    </row>
    <row r="4614" spans="1:10" ht="15.75" hidden="1" thickBot="1" x14ac:dyDescent="0.3">
      <c r="A4614" s="249"/>
      <c r="B4614" s="238"/>
      <c r="C4614" s="155"/>
      <c r="D4614" s="33"/>
      <c r="E4614" s="34"/>
      <c r="F4614" s="49" t="s">
        <v>418</v>
      </c>
      <c r="G4614" s="49" t="str">
        <f>IF(ISNUMBER(F4614),E4614*F4614,"")</f>
        <v/>
      </c>
      <c r="H4614" s="65"/>
      <c r="I4614" s="66"/>
      <c r="J4614" s="125">
        <v>0</v>
      </c>
    </row>
    <row r="4615" spans="1:10" ht="15.75" hidden="1" thickBot="1" x14ac:dyDescent="0.3">
      <c r="A4615" s="234" t="s">
        <v>1246</v>
      </c>
      <c r="B4615" s="237" t="s">
        <v>20927</v>
      </c>
      <c r="C4615" s="160"/>
      <c r="D4615" s="23" t="s">
        <v>81</v>
      </c>
      <c r="E4615" s="24"/>
      <c r="F4615" s="44" t="s">
        <v>418</v>
      </c>
      <c r="G4615" s="25" t="str">
        <f>IF(ISNUMBER(F4615),E4615*F4615,"")</f>
        <v/>
      </c>
      <c r="H4615" s="26"/>
      <c r="I4615" s="27"/>
      <c r="J4615" s="125">
        <v>0</v>
      </c>
    </row>
    <row r="4616" spans="1:10" ht="15.75" hidden="1" thickBot="1" x14ac:dyDescent="0.3">
      <c r="A4616" s="249"/>
      <c r="B4616" s="238"/>
      <c r="C4616" s="151"/>
      <c r="D4616" s="29"/>
      <c r="E4616" s="30"/>
      <c r="F4616" s="49" t="s">
        <v>418</v>
      </c>
      <c r="G4616" s="49" t="str">
        <f>IF(ISNUMBER(F4616),E4616*F4616,"")</f>
        <v/>
      </c>
      <c r="H4616" s="65"/>
      <c r="I4616" s="66"/>
      <c r="J4616" s="125">
        <v>0</v>
      </c>
    </row>
    <row r="4617" spans="1:10" ht="15.75" hidden="1" thickBot="1" x14ac:dyDescent="0.3">
      <c r="A4617" s="249"/>
      <c r="B4617" s="238"/>
      <c r="C4617" s="155" t="s">
        <v>588</v>
      </c>
      <c r="D4617" s="155" t="s">
        <v>587</v>
      </c>
      <c r="E4617" s="34">
        <v>6.5</v>
      </c>
      <c r="F4617" s="49">
        <v>19.189999999999998</v>
      </c>
      <c r="G4617" s="49">
        <f>IF(ISNUMBER(F4617),E4617*F4617,"")</f>
        <v>124.73499999999999</v>
      </c>
      <c r="H4617" s="35">
        <f>SUM(G4617:G4623)</f>
        <v>1418.0402992723</v>
      </c>
      <c r="I4617" s="36"/>
      <c r="J4617" s="125">
        <v>0</v>
      </c>
    </row>
    <row r="4618" spans="1:10" ht="26.25" hidden="1" thickBot="1" x14ac:dyDescent="0.3">
      <c r="A4618" s="249"/>
      <c r="B4618" s="238"/>
      <c r="C4618" s="155" t="s">
        <v>23674</v>
      </c>
      <c r="D4618" s="155" t="s">
        <v>85</v>
      </c>
      <c r="E4618" s="34">
        <v>0.35799999999999998</v>
      </c>
      <c r="F4618" s="49">
        <v>66.5</v>
      </c>
      <c r="G4618" s="49">
        <f>IF(ISNUMBER(F4618),E4618*F4618,"")</f>
        <v>23.806999999999999</v>
      </c>
      <c r="H4618" s="65"/>
      <c r="I4618" s="66"/>
      <c r="J4618" s="125">
        <v>0</v>
      </c>
    </row>
    <row r="4619" spans="1:10" ht="15.75" hidden="1" thickBot="1" x14ac:dyDescent="0.3">
      <c r="A4619" s="249"/>
      <c r="B4619" s="238"/>
      <c r="C4619" s="155" t="s">
        <v>24537</v>
      </c>
      <c r="D4619" s="155" t="s">
        <v>774</v>
      </c>
      <c r="E4619" s="34">
        <v>400</v>
      </c>
      <c r="F4619" s="49">
        <v>1.254</v>
      </c>
      <c r="G4619" s="49">
        <f>IF(ISNUMBER(F4619),E4619*F4619,"")</f>
        <v>501.6</v>
      </c>
      <c r="H4619" s="65"/>
      <c r="I4619" s="66"/>
      <c r="J4619" s="125">
        <v>0</v>
      </c>
    </row>
    <row r="4620" spans="1:10" ht="26.25" hidden="1" thickBot="1" x14ac:dyDescent="0.3">
      <c r="A4620" s="249"/>
      <c r="B4620" s="238"/>
      <c r="C4620" s="155" t="s">
        <v>1247</v>
      </c>
      <c r="D4620" s="155" t="s">
        <v>774</v>
      </c>
      <c r="E4620" s="34">
        <v>10.5</v>
      </c>
      <c r="F4620" s="49">
        <v>70.765499999999989</v>
      </c>
      <c r="G4620" s="49">
        <f>IF(ISNUMBER(F4620),E4620*F4620,"")</f>
        <v>743.03774999999985</v>
      </c>
      <c r="H4620" s="65"/>
      <c r="I4620" s="66"/>
      <c r="J4620" s="125">
        <v>0</v>
      </c>
    </row>
    <row r="4621" spans="1:10" ht="39" hidden="1" thickBot="1" x14ac:dyDescent="0.3">
      <c r="A4621" s="249"/>
      <c r="B4621" s="238"/>
      <c r="C4621" s="155" t="s">
        <v>21612</v>
      </c>
      <c r="D4621" s="155" t="s">
        <v>814</v>
      </c>
      <c r="E4621" s="34">
        <v>0.34300000000000003</v>
      </c>
      <c r="F4621" s="49">
        <v>2.0804999999999998</v>
      </c>
      <c r="G4621" s="49">
        <f>IF(ISNUMBER(F4621),E4621*F4621,"")</f>
        <v>0.71361149999999995</v>
      </c>
      <c r="H4621" s="65"/>
      <c r="I4621" s="66"/>
      <c r="J4621" s="125">
        <v>0</v>
      </c>
    </row>
    <row r="4622" spans="1:10" ht="51.75" hidden="1" thickBot="1" x14ac:dyDescent="0.3">
      <c r="A4622" s="249"/>
      <c r="B4622" s="238"/>
      <c r="C4622" s="155" t="s">
        <v>10661</v>
      </c>
      <c r="D4622" s="155" t="s">
        <v>85</v>
      </c>
      <c r="E4622" s="34">
        <f>1*E4618</f>
        <v>0.35799999999999998</v>
      </c>
      <c r="F4622" s="31">
        <v>8.6578848500000003</v>
      </c>
      <c r="G4622" s="31">
        <f>IF(ISNUMBER(F4622),E4622*F4622,"")</f>
        <v>3.0995227763000002</v>
      </c>
      <c r="H4622" s="32"/>
      <c r="I4622" s="28"/>
      <c r="J4622" s="125">
        <v>0</v>
      </c>
    </row>
    <row r="4623" spans="1:10" ht="39" hidden="1" thickBot="1" x14ac:dyDescent="0.3">
      <c r="A4623" s="249"/>
      <c r="B4623" s="238"/>
      <c r="C4623" s="155" t="s">
        <v>10602</v>
      </c>
      <c r="D4623" s="155" t="s">
        <v>1292</v>
      </c>
      <c r="E4623" s="34">
        <f>E4618*20</f>
        <v>7.16</v>
      </c>
      <c r="F4623" s="49">
        <v>2.9395830999999997</v>
      </c>
      <c r="G4623" s="49">
        <f>IF(ISNUMBER(F4623),E4623*F4623,"")</f>
        <v>21.047414995999997</v>
      </c>
      <c r="H4623" s="65"/>
      <c r="I4623" s="66"/>
      <c r="J4623" s="125">
        <v>0</v>
      </c>
    </row>
    <row r="4624" spans="1:10" ht="15.75" hidden="1" thickBot="1" x14ac:dyDescent="0.3">
      <c r="A4624" s="249"/>
      <c r="B4624" s="238"/>
      <c r="C4624" s="155"/>
      <c r="D4624" s="33"/>
      <c r="E4624" s="34"/>
      <c r="F4624" s="49" t="s">
        <v>418</v>
      </c>
      <c r="G4624" s="49" t="str">
        <f>IF(ISNUMBER(F4624),E4624*F4624,"")</f>
        <v/>
      </c>
      <c r="H4624" s="65"/>
      <c r="I4624" s="66"/>
      <c r="J4624" s="125">
        <v>0</v>
      </c>
    </row>
    <row r="4625" spans="1:10" ht="15.75" hidden="1" thickBot="1" x14ac:dyDescent="0.3">
      <c r="A4625" s="249"/>
      <c r="B4625" s="238"/>
      <c r="C4625" s="43" t="s">
        <v>1248</v>
      </c>
      <c r="D4625" s="33"/>
      <c r="E4625" s="34"/>
      <c r="F4625" s="49" t="s">
        <v>418</v>
      </c>
      <c r="G4625" s="49" t="str">
        <f>IF(ISNUMBER(F4625),E4625*F4625,"")</f>
        <v/>
      </c>
      <c r="H4625" s="65"/>
      <c r="I4625" s="66"/>
      <c r="J4625" s="125">
        <v>0</v>
      </c>
    </row>
    <row r="4626" spans="1:10" ht="15.75" hidden="1" thickBot="1" x14ac:dyDescent="0.3">
      <c r="A4626" s="249"/>
      <c r="B4626" s="238"/>
      <c r="C4626" s="155"/>
      <c r="D4626" s="33"/>
      <c r="E4626" s="34"/>
      <c r="F4626" s="49" t="s">
        <v>418</v>
      </c>
      <c r="G4626" s="49" t="str">
        <f>IF(ISNUMBER(F4626),E4626*F4626,"")</f>
        <v/>
      </c>
      <c r="H4626" s="65"/>
      <c r="I4626" s="66"/>
      <c r="J4626" s="125">
        <v>0</v>
      </c>
    </row>
    <row r="4627" spans="1:10" ht="15.75" hidden="1" thickBot="1" x14ac:dyDescent="0.3">
      <c r="A4627" s="234" t="s">
        <v>1249</v>
      </c>
      <c r="B4627" s="237" t="s">
        <v>1883</v>
      </c>
      <c r="C4627" s="160"/>
      <c r="D4627" s="23" t="s">
        <v>70</v>
      </c>
      <c r="E4627" s="24"/>
      <c r="F4627" s="44" t="s">
        <v>418</v>
      </c>
      <c r="G4627" s="25" t="str">
        <f>IF(ISNUMBER(F4627),E4627*F4627,"")</f>
        <v/>
      </c>
      <c r="H4627" s="26"/>
      <c r="I4627" s="27"/>
      <c r="J4627" s="125">
        <v>0</v>
      </c>
    </row>
    <row r="4628" spans="1:10" ht="15.75" hidden="1" thickBot="1" x14ac:dyDescent="0.3">
      <c r="A4628" s="249"/>
      <c r="B4628" s="238"/>
      <c r="C4628" s="151"/>
      <c r="D4628" s="29"/>
      <c r="E4628" s="30"/>
      <c r="F4628" s="49" t="s">
        <v>418</v>
      </c>
      <c r="G4628" s="49" t="str">
        <f>IF(ISNUMBER(F4628),E4628*F4628,"")</f>
        <v/>
      </c>
      <c r="H4628" s="65"/>
      <c r="I4628" s="66"/>
      <c r="J4628" s="125">
        <v>0</v>
      </c>
    </row>
    <row r="4629" spans="1:10" ht="26.25" hidden="1" thickBot="1" x14ac:dyDescent="0.3">
      <c r="A4629" s="249"/>
      <c r="B4629" s="238"/>
      <c r="C4629" s="155" t="s">
        <v>1250</v>
      </c>
      <c r="D4629" s="155" t="s">
        <v>76</v>
      </c>
      <c r="E4629" s="34">
        <v>0.35</v>
      </c>
      <c r="F4629" s="49">
        <v>29.962999999999997</v>
      </c>
      <c r="G4629" s="49">
        <f>IF(ISNUMBER(F4629),E4629*F4629,"")</f>
        <v>10.487049999999998</v>
      </c>
      <c r="H4629" s="35">
        <f>SUM(G4629:G4630)</f>
        <v>12.164227499999997</v>
      </c>
      <c r="I4629" s="36"/>
      <c r="J4629" s="125">
        <v>0</v>
      </c>
    </row>
    <row r="4630" spans="1:10" ht="15.75" hidden="1" thickBot="1" x14ac:dyDescent="0.3">
      <c r="A4630" s="249"/>
      <c r="B4630" s="238"/>
      <c r="C4630" s="155" t="s">
        <v>1251</v>
      </c>
      <c r="D4630" s="155" t="s">
        <v>587</v>
      </c>
      <c r="E4630" s="34">
        <v>8.5000000000000006E-2</v>
      </c>
      <c r="F4630" s="49">
        <v>19.731499999999997</v>
      </c>
      <c r="G4630" s="49">
        <f>IF(ISNUMBER(F4630),E4630*F4630,"")</f>
        <v>1.6771774999999998</v>
      </c>
      <c r="H4630" s="65"/>
      <c r="I4630" s="66"/>
      <c r="J4630" s="125">
        <v>0</v>
      </c>
    </row>
    <row r="4631" spans="1:10" ht="15.75" hidden="1" thickBot="1" x14ac:dyDescent="0.3">
      <c r="A4631" s="249"/>
      <c r="B4631" s="238"/>
      <c r="C4631" s="155"/>
      <c r="D4631" s="33"/>
      <c r="E4631" s="34"/>
      <c r="F4631" s="49" t="s">
        <v>418</v>
      </c>
      <c r="G4631" s="49" t="str">
        <f>IF(ISNUMBER(F4631),E4631*F4631,"")</f>
        <v/>
      </c>
      <c r="H4631" s="65"/>
      <c r="I4631" s="66"/>
      <c r="J4631" s="125">
        <v>0</v>
      </c>
    </row>
    <row r="4632" spans="1:10" ht="26.25" hidden="1" thickBot="1" x14ac:dyDescent="0.3">
      <c r="A4632" s="249"/>
      <c r="B4632" s="238"/>
      <c r="C4632" s="43" t="s">
        <v>1252</v>
      </c>
      <c r="D4632" s="33"/>
      <c r="E4632" s="34"/>
      <c r="F4632" s="49" t="s">
        <v>418</v>
      </c>
      <c r="G4632" s="49" t="str">
        <f>IF(ISNUMBER(F4632),E4632*F4632,"")</f>
        <v/>
      </c>
      <c r="H4632" s="65"/>
      <c r="I4632" s="66"/>
      <c r="J4632" s="125">
        <v>0</v>
      </c>
    </row>
    <row r="4633" spans="1:10" ht="15.75" hidden="1" thickBot="1" x14ac:dyDescent="0.3">
      <c r="A4633" s="249"/>
      <c r="B4633" s="238"/>
      <c r="C4633" s="123" t="s">
        <v>1253</v>
      </c>
      <c r="D4633" s="33"/>
      <c r="E4633" s="34"/>
      <c r="F4633" s="49" t="s">
        <v>418</v>
      </c>
      <c r="G4633" s="49" t="str">
        <f>IF(ISNUMBER(F4633),E4633*F4633,"")</f>
        <v/>
      </c>
      <c r="H4633" s="65"/>
      <c r="I4633" s="66"/>
      <c r="J4633" s="125">
        <v>0</v>
      </c>
    </row>
    <row r="4634" spans="1:10" ht="15.75" hidden="1" thickBot="1" x14ac:dyDescent="0.3">
      <c r="A4634" s="250"/>
      <c r="B4634" s="239"/>
      <c r="C4634" s="155"/>
      <c r="D4634" s="33"/>
      <c r="E4634" s="34"/>
      <c r="F4634" s="49" t="s">
        <v>418</v>
      </c>
      <c r="G4634" s="49" t="str">
        <f>IF(ISNUMBER(F4634),E4634*F4634,"")</f>
        <v/>
      </c>
      <c r="H4634" s="65"/>
      <c r="I4634" s="66"/>
      <c r="J4634" s="125">
        <v>0</v>
      </c>
    </row>
    <row r="4635" spans="1:10" ht="15.75" hidden="1" thickBot="1" x14ac:dyDescent="0.3">
      <c r="A4635" s="234" t="s">
        <v>1254</v>
      </c>
      <c r="B4635" s="237" t="s">
        <v>20928</v>
      </c>
      <c r="C4635" s="160"/>
      <c r="D4635" s="23" t="s">
        <v>70</v>
      </c>
      <c r="E4635" s="24"/>
      <c r="F4635" s="44" t="s">
        <v>418</v>
      </c>
      <c r="G4635" s="25" t="str">
        <f>IF(ISNUMBER(F4635),E4635*F4635,"")</f>
        <v/>
      </c>
      <c r="H4635" s="26"/>
      <c r="I4635" s="27"/>
      <c r="J4635" s="125">
        <v>0</v>
      </c>
    </row>
    <row r="4636" spans="1:10" ht="15.75" hidden="1" thickBot="1" x14ac:dyDescent="0.3">
      <c r="A4636" s="249"/>
      <c r="B4636" s="238"/>
      <c r="C4636" s="151"/>
      <c r="D4636" s="29"/>
      <c r="E4636" s="30"/>
      <c r="F4636" s="49" t="s">
        <v>418</v>
      </c>
      <c r="G4636" s="49" t="str">
        <f>IF(ISNUMBER(F4636),E4636*F4636,"")</f>
        <v/>
      </c>
      <c r="H4636" s="65"/>
      <c r="I4636" s="66"/>
      <c r="J4636" s="125">
        <v>0</v>
      </c>
    </row>
    <row r="4637" spans="1:10" ht="15.75" hidden="1" thickBot="1" x14ac:dyDescent="0.3">
      <c r="A4637" s="249"/>
      <c r="B4637" s="238"/>
      <c r="C4637" s="155" t="s">
        <v>1255</v>
      </c>
      <c r="D4637" s="155" t="s">
        <v>774</v>
      </c>
      <c r="E4637" s="34">
        <v>2</v>
      </c>
      <c r="F4637" s="49">
        <v>68.039000000000001</v>
      </c>
      <c r="G4637" s="49">
        <f>IF(ISNUMBER(F4637),E4637*F4637,"")</f>
        <v>136.078</v>
      </c>
      <c r="H4637" s="35">
        <f>SUM(G4637:G4639)</f>
        <v>149.22296</v>
      </c>
      <c r="I4637" s="36"/>
      <c r="J4637" s="125">
        <v>0</v>
      </c>
    </row>
    <row r="4638" spans="1:10" ht="15.75" hidden="1" thickBot="1" x14ac:dyDescent="0.3">
      <c r="A4638" s="249"/>
      <c r="B4638" s="238"/>
      <c r="C4638" s="155" t="s">
        <v>1251</v>
      </c>
      <c r="D4638" s="155" t="s">
        <v>587</v>
      </c>
      <c r="E4638" s="34">
        <v>9.6000000000000002E-2</v>
      </c>
      <c r="F4638" s="49">
        <v>19.731499999999997</v>
      </c>
      <c r="G4638" s="49">
        <f>IF(ISNUMBER(F4638),E4638*F4638,"")</f>
        <v>1.8942239999999997</v>
      </c>
      <c r="H4638" s="65"/>
      <c r="I4638" s="66"/>
      <c r="J4638" s="125">
        <v>0</v>
      </c>
    </row>
    <row r="4639" spans="1:10" ht="15.75" hidden="1" thickBot="1" x14ac:dyDescent="0.3">
      <c r="A4639" s="249"/>
      <c r="B4639" s="238"/>
      <c r="C4639" s="155" t="s">
        <v>889</v>
      </c>
      <c r="D4639" s="155" t="s">
        <v>587</v>
      </c>
      <c r="E4639" s="34">
        <v>0.47599999999999998</v>
      </c>
      <c r="F4639" s="49">
        <v>23.635999999999999</v>
      </c>
      <c r="G4639" s="49">
        <f>IF(ISNUMBER(F4639),E4639*F4639,"")</f>
        <v>11.250736</v>
      </c>
      <c r="H4639" s="65"/>
      <c r="I4639" s="66"/>
      <c r="J4639" s="125">
        <v>0</v>
      </c>
    </row>
    <row r="4640" spans="1:10" ht="15.75" hidden="1" thickBot="1" x14ac:dyDescent="0.3">
      <c r="A4640" s="249"/>
      <c r="B4640" s="238"/>
      <c r="C4640" s="155"/>
      <c r="D4640" s="33"/>
      <c r="E4640" s="34"/>
      <c r="F4640" s="49" t="s">
        <v>418</v>
      </c>
      <c r="G4640" s="49" t="str">
        <f>IF(ISNUMBER(F4640),E4640*F4640,"")</f>
        <v/>
      </c>
      <c r="H4640" s="65"/>
      <c r="I4640" s="66"/>
      <c r="J4640" s="125">
        <v>0</v>
      </c>
    </row>
    <row r="4641" spans="1:10" ht="15.75" hidden="1" thickBot="1" x14ac:dyDescent="0.3">
      <c r="A4641" s="234" t="s">
        <v>1256</v>
      </c>
      <c r="B4641" s="237" t="s">
        <v>20929</v>
      </c>
      <c r="C4641" s="160"/>
      <c r="D4641" s="23" t="s">
        <v>70</v>
      </c>
      <c r="E4641" s="24"/>
      <c r="F4641" s="44" t="s">
        <v>418</v>
      </c>
      <c r="G4641" s="25" t="str">
        <f>IF(ISNUMBER(F4641),E4641*F4641,"")</f>
        <v/>
      </c>
      <c r="H4641" s="26"/>
      <c r="I4641" s="27"/>
      <c r="J4641" s="125">
        <v>0</v>
      </c>
    </row>
    <row r="4642" spans="1:10" ht="15.75" hidden="1" thickBot="1" x14ac:dyDescent="0.3">
      <c r="A4642" s="249"/>
      <c r="B4642" s="238"/>
      <c r="C4642" s="151"/>
      <c r="D4642" s="29"/>
      <c r="E4642" s="30"/>
      <c r="F4642" s="49" t="s">
        <v>418</v>
      </c>
      <c r="G4642" s="49" t="str">
        <f>IF(ISNUMBER(F4642),E4642*F4642,"")</f>
        <v/>
      </c>
      <c r="H4642" s="65"/>
      <c r="I4642" s="66"/>
      <c r="J4642" s="125">
        <v>0</v>
      </c>
    </row>
    <row r="4643" spans="1:10" ht="26.25" hidden="1" thickBot="1" x14ac:dyDescent="0.3">
      <c r="A4643" s="249"/>
      <c r="B4643" s="238"/>
      <c r="C4643" s="155" t="s">
        <v>1250</v>
      </c>
      <c r="D4643" s="155" t="s">
        <v>76</v>
      </c>
      <c r="E4643" s="34">
        <v>0.61499999999999999</v>
      </c>
      <c r="F4643" s="49">
        <v>29.962999999999997</v>
      </c>
      <c r="G4643" s="49">
        <f>IF(ISNUMBER(F4643),E4643*F4643,"")</f>
        <v>18.427244999999999</v>
      </c>
      <c r="H4643" s="35">
        <f>SUM(G4643:G4647)</f>
        <v>96.808780999999982</v>
      </c>
      <c r="I4643" s="36"/>
      <c r="J4643" s="125">
        <v>0</v>
      </c>
    </row>
    <row r="4644" spans="1:10" ht="26.25" hidden="1" thickBot="1" x14ac:dyDescent="0.3">
      <c r="A4644" s="249"/>
      <c r="B4644" s="238"/>
      <c r="C4644" s="155" t="s">
        <v>1257</v>
      </c>
      <c r="D4644" s="155" t="s">
        <v>870</v>
      </c>
      <c r="E4644" s="34">
        <v>1.125</v>
      </c>
      <c r="F4644" s="49">
        <v>44.459999999999994</v>
      </c>
      <c r="G4644" s="49">
        <f>IF(ISNUMBER(F4644),E4644*F4644,"")</f>
        <v>50.017499999999991</v>
      </c>
      <c r="H4644" s="65"/>
      <c r="I4644" s="66"/>
      <c r="J4644" s="125">
        <v>0</v>
      </c>
    </row>
    <row r="4645" spans="1:10" ht="15.75" hidden="1" thickBot="1" x14ac:dyDescent="0.3">
      <c r="A4645" s="249"/>
      <c r="B4645" s="238"/>
      <c r="C4645" s="155" t="s">
        <v>1258</v>
      </c>
      <c r="D4645" s="155" t="s">
        <v>774</v>
      </c>
      <c r="E4645" s="34">
        <v>0.26</v>
      </c>
      <c r="F4645" s="49">
        <v>8.3409999999999993</v>
      </c>
      <c r="G4645" s="49">
        <f>IF(ISNUMBER(F4645),E4645*F4645,"")</f>
        <v>2.16866</v>
      </c>
      <c r="H4645" s="65"/>
      <c r="I4645" s="66"/>
      <c r="J4645" s="125">
        <v>0</v>
      </c>
    </row>
    <row r="4646" spans="1:10" ht="15.75" hidden="1" thickBot="1" x14ac:dyDescent="0.3">
      <c r="A4646" s="249"/>
      <c r="B4646" s="238"/>
      <c r="C4646" s="155" t="s">
        <v>1251</v>
      </c>
      <c r="D4646" s="155" t="s">
        <v>587</v>
      </c>
      <c r="E4646" s="34">
        <v>0.192</v>
      </c>
      <c r="F4646" s="49">
        <v>19.731499999999997</v>
      </c>
      <c r="G4646" s="49">
        <f>IF(ISNUMBER(F4646),E4646*F4646,"")</f>
        <v>3.7884479999999994</v>
      </c>
      <c r="H4646" s="65"/>
      <c r="I4646" s="66"/>
      <c r="J4646" s="125">
        <v>0</v>
      </c>
    </row>
    <row r="4647" spans="1:10" ht="15.75" hidden="1" thickBot="1" x14ac:dyDescent="0.3">
      <c r="A4647" s="249"/>
      <c r="B4647" s="238"/>
      <c r="C4647" s="155" t="s">
        <v>889</v>
      </c>
      <c r="D4647" s="155" t="s">
        <v>587</v>
      </c>
      <c r="E4647" s="34">
        <v>0.94799999999999995</v>
      </c>
      <c r="F4647" s="49">
        <v>23.635999999999999</v>
      </c>
      <c r="G4647" s="49">
        <f>IF(ISNUMBER(F4647),E4647*F4647,"")</f>
        <v>22.406927999999997</v>
      </c>
      <c r="H4647" s="65"/>
      <c r="I4647" s="66"/>
      <c r="J4647" s="125">
        <v>0</v>
      </c>
    </row>
    <row r="4648" spans="1:10" ht="15.75" hidden="1" thickBot="1" x14ac:dyDescent="0.3">
      <c r="A4648" s="249"/>
      <c r="B4648" s="238"/>
      <c r="C4648" s="155"/>
      <c r="D4648" s="33"/>
      <c r="E4648" s="34"/>
      <c r="F4648" s="49" t="s">
        <v>418</v>
      </c>
      <c r="G4648" s="49" t="str">
        <f>IF(ISNUMBER(F4648),E4648*F4648,"")</f>
        <v/>
      </c>
      <c r="H4648" s="65"/>
      <c r="I4648" s="66"/>
      <c r="J4648" s="125">
        <v>0</v>
      </c>
    </row>
    <row r="4649" spans="1:10" ht="15.75" hidden="1" thickBot="1" x14ac:dyDescent="0.3">
      <c r="A4649" s="234" t="s">
        <v>1259</v>
      </c>
      <c r="B4649" s="237" t="s">
        <v>20930</v>
      </c>
      <c r="C4649" s="160"/>
      <c r="D4649" s="23" t="s">
        <v>70</v>
      </c>
      <c r="E4649" s="24"/>
      <c r="F4649" s="44" t="s">
        <v>418</v>
      </c>
      <c r="G4649" s="25" t="str">
        <f>IF(ISNUMBER(F4649),E4649*F4649,"")</f>
        <v/>
      </c>
      <c r="H4649" s="26"/>
      <c r="I4649" s="27"/>
      <c r="J4649" s="125">
        <v>0</v>
      </c>
    </row>
    <row r="4650" spans="1:10" ht="15.75" hidden="1" thickBot="1" x14ac:dyDescent="0.3">
      <c r="A4650" s="249"/>
      <c r="B4650" s="238"/>
      <c r="C4650" s="151"/>
      <c r="D4650" s="29"/>
      <c r="E4650" s="30"/>
      <c r="F4650" s="49" t="s">
        <v>418</v>
      </c>
      <c r="G4650" s="49" t="str">
        <f>IF(ISNUMBER(F4650),E4650*F4650,"")</f>
        <v/>
      </c>
      <c r="H4650" s="65"/>
      <c r="I4650" s="66"/>
      <c r="J4650" s="125">
        <v>0</v>
      </c>
    </row>
    <row r="4651" spans="1:10" ht="26.25" hidden="1" thickBot="1" x14ac:dyDescent="0.3">
      <c r="A4651" s="249"/>
      <c r="B4651" s="238"/>
      <c r="C4651" s="155" t="s">
        <v>1250</v>
      </c>
      <c r="D4651" s="155" t="s">
        <v>76</v>
      </c>
      <c r="E4651" s="34">
        <v>0.61499999999999999</v>
      </c>
      <c r="F4651" s="49">
        <v>29.962999999999997</v>
      </c>
      <c r="G4651" s="49">
        <f>IF(ISNUMBER(F4651),E4651*F4651,"")</f>
        <v>18.427244999999999</v>
      </c>
      <c r="H4651" s="35">
        <f>SUM(G4651:G4655)</f>
        <v>47.860030999999992</v>
      </c>
      <c r="I4651" s="36"/>
      <c r="J4651" s="125">
        <v>0</v>
      </c>
    </row>
    <row r="4652" spans="1:10" ht="15.75" hidden="1" thickBot="1" x14ac:dyDescent="0.3">
      <c r="A4652" s="249"/>
      <c r="B4652" s="238"/>
      <c r="C4652" s="155" t="s">
        <v>1260</v>
      </c>
      <c r="D4652" s="33" t="s">
        <v>870</v>
      </c>
      <c r="E4652" s="34">
        <v>1.125</v>
      </c>
      <c r="F4652" s="49">
        <v>0.95</v>
      </c>
      <c r="G4652" s="49">
        <f>IF(ISNUMBER(F4652),E4652*F4652,"")</f>
        <v>1.0687499999999999</v>
      </c>
      <c r="H4652" s="65"/>
      <c r="I4652" s="66"/>
      <c r="J4652" s="125">
        <v>0</v>
      </c>
    </row>
    <row r="4653" spans="1:10" ht="15.75" hidden="1" thickBot="1" x14ac:dyDescent="0.3">
      <c r="A4653" s="249"/>
      <c r="B4653" s="238"/>
      <c r="C4653" s="155" t="s">
        <v>1258</v>
      </c>
      <c r="D4653" s="155" t="s">
        <v>774</v>
      </c>
      <c r="E4653" s="34">
        <v>0.26</v>
      </c>
      <c r="F4653" s="49">
        <v>8.3409999999999993</v>
      </c>
      <c r="G4653" s="49">
        <f>IF(ISNUMBER(F4653),E4653*F4653,"")</f>
        <v>2.16866</v>
      </c>
      <c r="H4653" s="65"/>
      <c r="I4653" s="66"/>
      <c r="J4653" s="125">
        <v>0</v>
      </c>
    </row>
    <row r="4654" spans="1:10" ht="15.75" hidden="1" thickBot="1" x14ac:dyDescent="0.3">
      <c r="A4654" s="249"/>
      <c r="B4654" s="238"/>
      <c r="C4654" s="155" t="s">
        <v>1251</v>
      </c>
      <c r="D4654" s="155" t="s">
        <v>587</v>
      </c>
      <c r="E4654" s="34">
        <v>0.192</v>
      </c>
      <c r="F4654" s="49">
        <v>19.731499999999997</v>
      </c>
      <c r="G4654" s="49">
        <f>IF(ISNUMBER(F4654),E4654*F4654,"")</f>
        <v>3.7884479999999994</v>
      </c>
      <c r="H4654" s="65"/>
      <c r="I4654" s="66"/>
      <c r="J4654" s="125">
        <v>0</v>
      </c>
    </row>
    <row r="4655" spans="1:10" ht="15.75" hidden="1" thickBot="1" x14ac:dyDescent="0.3">
      <c r="A4655" s="249"/>
      <c r="B4655" s="238"/>
      <c r="C4655" s="155" t="s">
        <v>889</v>
      </c>
      <c r="D4655" s="155" t="s">
        <v>587</v>
      </c>
      <c r="E4655" s="34">
        <v>0.94799999999999995</v>
      </c>
      <c r="F4655" s="49">
        <v>23.635999999999999</v>
      </c>
      <c r="G4655" s="49">
        <f>IF(ISNUMBER(F4655),E4655*F4655,"")</f>
        <v>22.406927999999997</v>
      </c>
      <c r="H4655" s="65"/>
      <c r="I4655" s="66"/>
      <c r="J4655" s="125">
        <v>0</v>
      </c>
    </row>
    <row r="4656" spans="1:10" ht="15.75" hidden="1" thickBot="1" x14ac:dyDescent="0.3">
      <c r="A4656" s="249"/>
      <c r="B4656" s="238"/>
      <c r="C4656" s="155"/>
      <c r="D4656" s="33"/>
      <c r="E4656" s="34"/>
      <c r="F4656" s="49" t="s">
        <v>418</v>
      </c>
      <c r="G4656" s="49" t="str">
        <f>IF(ISNUMBER(F4656),E4656*F4656,"")</f>
        <v/>
      </c>
      <c r="H4656" s="65"/>
      <c r="I4656" s="66"/>
      <c r="J4656" s="125">
        <v>0</v>
      </c>
    </row>
    <row r="4657" spans="1:10" ht="15.75" hidden="1" thickBot="1" x14ac:dyDescent="0.3">
      <c r="A4657" s="234" t="s">
        <v>1262</v>
      </c>
      <c r="B4657" s="237" t="s">
        <v>20931</v>
      </c>
      <c r="C4657" s="160"/>
      <c r="D4657" s="23" t="s">
        <v>70</v>
      </c>
      <c r="E4657" s="24"/>
      <c r="F4657" s="44" t="s">
        <v>418</v>
      </c>
      <c r="G4657" s="25" t="str">
        <f>IF(ISNUMBER(F4657),E4657*F4657,"")</f>
        <v/>
      </c>
      <c r="H4657" s="26"/>
      <c r="I4657" s="27"/>
      <c r="J4657" s="125">
        <v>0</v>
      </c>
    </row>
    <row r="4658" spans="1:10" ht="15.75" hidden="1" thickBot="1" x14ac:dyDescent="0.3">
      <c r="A4658" s="249"/>
      <c r="B4658" s="238"/>
      <c r="C4658" s="151"/>
      <c r="D4658" s="29"/>
      <c r="E4658" s="30"/>
      <c r="F4658" s="49" t="s">
        <v>418</v>
      </c>
      <c r="G4658" s="49" t="str">
        <f>IF(ISNUMBER(F4658),E4658*F4658,"")</f>
        <v/>
      </c>
      <c r="H4658" s="65"/>
      <c r="I4658" s="66"/>
      <c r="J4658" s="125">
        <v>0</v>
      </c>
    </row>
    <row r="4659" spans="1:10" ht="15.75" hidden="1" thickBot="1" x14ac:dyDescent="0.3">
      <c r="A4659" s="249"/>
      <c r="B4659" s="238"/>
      <c r="C4659" s="155" t="s">
        <v>889</v>
      </c>
      <c r="D4659" s="155" t="s">
        <v>587</v>
      </c>
      <c r="E4659" s="34">
        <v>0.5</v>
      </c>
      <c r="F4659" s="49">
        <v>23.635999999999999</v>
      </c>
      <c r="G4659" s="49">
        <f>IF(ISNUMBER(F4659),E4659*F4659,"")</f>
        <v>11.818</v>
      </c>
      <c r="H4659" s="35">
        <f>SUM(G4659:G4666)</f>
        <v>45.33874999999999</v>
      </c>
      <c r="I4659" s="36"/>
      <c r="J4659" s="125">
        <v>0</v>
      </c>
    </row>
    <row r="4660" spans="1:10" s="144" customFormat="1" ht="15.75" hidden="1" thickBot="1" x14ac:dyDescent="0.3">
      <c r="A4660" s="249"/>
      <c r="B4660" s="238"/>
      <c r="C4660" s="155" t="s">
        <v>588</v>
      </c>
      <c r="D4660" s="155" t="s">
        <v>587</v>
      </c>
      <c r="E4660" s="156">
        <v>1</v>
      </c>
      <c r="F4660" s="49">
        <v>19.189999999999998</v>
      </c>
      <c r="G4660" s="49">
        <f>IF(ISNUMBER(F4660),E4660*F4660,"")</f>
        <v>19.189999999999998</v>
      </c>
      <c r="H4660" s="65"/>
      <c r="I4660" s="66"/>
      <c r="J4660" s="125">
        <v>0</v>
      </c>
    </row>
    <row r="4661" spans="1:10" ht="15.75" hidden="1" thickBot="1" x14ac:dyDescent="0.3">
      <c r="A4661" s="249"/>
      <c r="B4661" s="238"/>
      <c r="C4661" s="155" t="s">
        <v>1251</v>
      </c>
      <c r="D4661" s="155" t="s">
        <v>587</v>
      </c>
      <c r="E4661" s="34">
        <v>0.5</v>
      </c>
      <c r="F4661" s="49">
        <v>19.731499999999997</v>
      </c>
      <c r="G4661" s="49">
        <f>IF(ISNUMBER(F4661),E4661*F4661,"")</f>
        <v>9.8657499999999985</v>
      </c>
      <c r="H4661" s="65"/>
      <c r="I4661" s="66"/>
      <c r="J4661" s="125">
        <v>0</v>
      </c>
    </row>
    <row r="4662" spans="1:10" ht="15.75" hidden="1" thickBot="1" x14ac:dyDescent="0.3">
      <c r="A4662" s="249"/>
      <c r="B4662" s="238"/>
      <c r="C4662" s="155" t="s">
        <v>1263</v>
      </c>
      <c r="D4662" s="33" t="s">
        <v>774</v>
      </c>
      <c r="E4662" s="34">
        <v>0.8</v>
      </c>
      <c r="F4662" s="49">
        <v>0.95</v>
      </c>
      <c r="G4662" s="49">
        <f>IF(ISNUMBER(F4662),E4662*F4662,"")</f>
        <v>0.76</v>
      </c>
      <c r="H4662" s="65"/>
      <c r="I4662" s="66"/>
      <c r="J4662" s="125">
        <v>0</v>
      </c>
    </row>
    <row r="4663" spans="1:10" ht="15.75" hidden="1" thickBot="1" x14ac:dyDescent="0.3">
      <c r="A4663" s="249"/>
      <c r="B4663" s="238"/>
      <c r="C4663" s="155" t="s">
        <v>1265</v>
      </c>
      <c r="D4663" s="33" t="s">
        <v>76</v>
      </c>
      <c r="E4663" s="34">
        <v>0.6</v>
      </c>
      <c r="F4663" s="49">
        <v>0.95</v>
      </c>
      <c r="G4663" s="49">
        <f>IF(ISNUMBER(F4663),E4663*F4663,"")</f>
        <v>0.56999999999999995</v>
      </c>
      <c r="H4663" s="65"/>
      <c r="I4663" s="66"/>
      <c r="J4663" s="125">
        <v>0</v>
      </c>
    </row>
    <row r="4664" spans="1:10" ht="15.75" hidden="1" thickBot="1" x14ac:dyDescent="0.3">
      <c r="A4664" s="249"/>
      <c r="B4664" s="238"/>
      <c r="C4664" s="155" t="s">
        <v>1266</v>
      </c>
      <c r="D4664" s="33" t="s">
        <v>70</v>
      </c>
      <c r="E4664" s="34">
        <v>1.1000000000000001</v>
      </c>
      <c r="F4664" s="49">
        <v>0.95</v>
      </c>
      <c r="G4664" s="49">
        <f>IF(ISNUMBER(F4664),E4664*F4664,"")</f>
        <v>1.0449999999999999</v>
      </c>
      <c r="H4664" s="65"/>
      <c r="I4664" s="66"/>
      <c r="J4664" s="125">
        <v>0</v>
      </c>
    </row>
    <row r="4665" spans="1:10" ht="15.75" hidden="1" thickBot="1" x14ac:dyDescent="0.3">
      <c r="A4665" s="249"/>
      <c r="B4665" s="238"/>
      <c r="C4665" s="155" t="s">
        <v>1267</v>
      </c>
      <c r="D4665" s="33" t="s">
        <v>69</v>
      </c>
      <c r="E4665" s="34">
        <v>2</v>
      </c>
      <c r="F4665" s="49">
        <v>0.95</v>
      </c>
      <c r="G4665" s="49">
        <f>IF(ISNUMBER(F4665),E4665*F4665,"")</f>
        <v>1.9</v>
      </c>
      <c r="H4665" s="65"/>
      <c r="I4665" s="66"/>
      <c r="J4665" s="125">
        <v>0</v>
      </c>
    </row>
    <row r="4666" spans="1:10" ht="15.75" hidden="1" thickBot="1" x14ac:dyDescent="0.3">
      <c r="A4666" s="249"/>
      <c r="B4666" s="238"/>
      <c r="C4666" s="155" t="s">
        <v>1268</v>
      </c>
      <c r="D4666" s="33" t="s">
        <v>76</v>
      </c>
      <c r="E4666" s="34">
        <v>0.2</v>
      </c>
      <c r="F4666" s="49">
        <v>0.95</v>
      </c>
      <c r="G4666" s="49">
        <f>IF(ISNUMBER(F4666),E4666*F4666,"")</f>
        <v>0.19</v>
      </c>
      <c r="H4666" s="65"/>
      <c r="I4666" s="66"/>
      <c r="J4666" s="125">
        <v>0</v>
      </c>
    </row>
    <row r="4667" spans="1:10" ht="15.75" hidden="1" thickBot="1" x14ac:dyDescent="0.3">
      <c r="A4667" s="249"/>
      <c r="B4667" s="238"/>
      <c r="C4667" s="155"/>
      <c r="D4667" s="33"/>
      <c r="E4667" s="34"/>
      <c r="F4667" s="49" t="s">
        <v>418</v>
      </c>
      <c r="G4667" s="49" t="str">
        <f>IF(ISNUMBER(F4667),E4667*F4667,"")</f>
        <v/>
      </c>
      <c r="H4667" s="65"/>
      <c r="I4667" s="66"/>
      <c r="J4667" s="125">
        <v>0</v>
      </c>
    </row>
    <row r="4668" spans="1:10" ht="15.75" hidden="1" thickBot="1" x14ac:dyDescent="0.3">
      <c r="A4668" s="234" t="s">
        <v>1269</v>
      </c>
      <c r="B4668" s="237" t="s">
        <v>20932</v>
      </c>
      <c r="C4668" s="160"/>
      <c r="D4668" s="23" t="s">
        <v>70</v>
      </c>
      <c r="E4668" s="24"/>
      <c r="F4668" s="44" t="s">
        <v>418</v>
      </c>
      <c r="G4668" s="25" t="str">
        <f>IF(ISNUMBER(F4668),E4668*F4668,"")</f>
        <v/>
      </c>
      <c r="H4668" s="26"/>
      <c r="I4668" s="27"/>
      <c r="J4668" s="125">
        <v>0</v>
      </c>
    </row>
    <row r="4669" spans="1:10" ht="15.75" hidden="1" thickBot="1" x14ac:dyDescent="0.3">
      <c r="A4669" s="249"/>
      <c r="B4669" s="238"/>
      <c r="C4669" s="151"/>
      <c r="D4669" s="29"/>
      <c r="E4669" s="30"/>
      <c r="F4669" s="49" t="s">
        <v>418</v>
      </c>
      <c r="G4669" s="49" t="str">
        <f>IF(ISNUMBER(F4669),E4669*F4669,"")</f>
        <v/>
      </c>
      <c r="H4669" s="65"/>
      <c r="I4669" s="66"/>
      <c r="J4669" s="125">
        <v>0</v>
      </c>
    </row>
    <row r="4670" spans="1:10" ht="15.75" hidden="1" thickBot="1" x14ac:dyDescent="0.3">
      <c r="A4670" s="249"/>
      <c r="B4670" s="238"/>
      <c r="C4670" s="155" t="s">
        <v>1270</v>
      </c>
      <c r="D4670" s="155" t="s">
        <v>774</v>
      </c>
      <c r="E4670" s="34">
        <v>1.2</v>
      </c>
      <c r="F4670" s="49">
        <v>26.352999999999998</v>
      </c>
      <c r="G4670" s="49">
        <f>IF(ISNUMBER(F4670),E4670*F4670,"")</f>
        <v>31.623599999999996</v>
      </c>
      <c r="H4670" s="35">
        <f>SUM(G4670:G4672)</f>
        <v>47.593793499999997</v>
      </c>
      <c r="I4670" s="36"/>
      <c r="J4670" s="125">
        <v>0</v>
      </c>
    </row>
    <row r="4671" spans="1:10" ht="15.75" hidden="1" thickBot="1" x14ac:dyDescent="0.3">
      <c r="A4671" s="249"/>
      <c r="B4671" s="238"/>
      <c r="C4671" s="155" t="s">
        <v>1251</v>
      </c>
      <c r="D4671" s="155" t="s">
        <v>587</v>
      </c>
      <c r="E4671" s="34">
        <v>0.11700000000000001</v>
      </c>
      <c r="F4671" s="49">
        <v>19.731499999999997</v>
      </c>
      <c r="G4671" s="49">
        <f>IF(ISNUMBER(F4671),E4671*F4671,"")</f>
        <v>2.3085855</v>
      </c>
      <c r="H4671" s="65"/>
      <c r="I4671" s="66"/>
      <c r="J4671" s="125">
        <v>0</v>
      </c>
    </row>
    <row r="4672" spans="1:10" ht="15.75" hidden="1" thickBot="1" x14ac:dyDescent="0.3">
      <c r="A4672" s="249"/>
      <c r="B4672" s="238"/>
      <c r="C4672" s="155" t="s">
        <v>889</v>
      </c>
      <c r="D4672" s="155" t="s">
        <v>587</v>
      </c>
      <c r="E4672" s="34">
        <v>0.57799999999999996</v>
      </c>
      <c r="F4672" s="49">
        <v>23.635999999999999</v>
      </c>
      <c r="G4672" s="49">
        <f>IF(ISNUMBER(F4672),E4672*F4672,"")</f>
        <v>13.661607999999999</v>
      </c>
      <c r="H4672" s="65"/>
      <c r="I4672" s="66"/>
      <c r="J4672" s="125">
        <v>0</v>
      </c>
    </row>
    <row r="4673" spans="1:10" ht="15.75" hidden="1" thickBot="1" x14ac:dyDescent="0.3">
      <c r="A4673" s="249"/>
      <c r="B4673" s="238"/>
      <c r="C4673" s="155"/>
      <c r="D4673" s="33"/>
      <c r="E4673" s="34"/>
      <c r="F4673" s="49" t="s">
        <v>418</v>
      </c>
      <c r="G4673" s="49" t="str">
        <f>IF(ISNUMBER(F4673),E4673*F4673,"")</f>
        <v/>
      </c>
      <c r="H4673" s="65"/>
      <c r="I4673" s="66"/>
      <c r="J4673" s="125">
        <v>0</v>
      </c>
    </row>
    <row r="4674" spans="1:10" ht="15.75" hidden="1" thickBot="1" x14ac:dyDescent="0.3">
      <c r="A4674" s="234" t="s">
        <v>1271</v>
      </c>
      <c r="B4674" s="237" t="s">
        <v>1884</v>
      </c>
      <c r="C4674" s="160"/>
      <c r="D4674" s="23" t="s">
        <v>70</v>
      </c>
      <c r="E4674" s="24"/>
      <c r="F4674" s="44" t="s">
        <v>418</v>
      </c>
      <c r="G4674" s="25" t="str">
        <f>IF(ISNUMBER(F4674),E4674*F4674,"")</f>
        <v/>
      </c>
      <c r="H4674" s="26"/>
      <c r="I4674" s="27"/>
      <c r="J4674" s="125">
        <v>0</v>
      </c>
    </row>
    <row r="4675" spans="1:10" ht="15.75" hidden="1" thickBot="1" x14ac:dyDescent="0.3">
      <c r="A4675" s="249"/>
      <c r="B4675" s="238"/>
      <c r="C4675" s="151"/>
      <c r="D4675" s="29"/>
      <c r="E4675" s="30"/>
      <c r="F4675" s="49" t="s">
        <v>418</v>
      </c>
      <c r="G4675" s="49" t="str">
        <f>IF(ISNUMBER(F4675),E4675*F4675,"")</f>
        <v/>
      </c>
      <c r="H4675" s="65"/>
      <c r="I4675" s="66"/>
      <c r="J4675" s="125">
        <v>0</v>
      </c>
    </row>
    <row r="4676" spans="1:10" ht="15.75" hidden="1" thickBot="1" x14ac:dyDescent="0.3">
      <c r="A4676" s="249"/>
      <c r="B4676" s="238"/>
      <c r="C4676" s="155" t="s">
        <v>1272</v>
      </c>
      <c r="D4676" s="33" t="s">
        <v>774</v>
      </c>
      <c r="E4676" s="34">
        <v>3</v>
      </c>
      <c r="F4676" s="49" t="s">
        <v>418</v>
      </c>
      <c r="G4676" s="49" t="str">
        <f>IF(ISNUMBER(F4676),E4676*F4676,"")</f>
        <v/>
      </c>
      <c r="H4676" s="35">
        <f>SUM(G4676:G4677)</f>
        <v>4.7271999999999998</v>
      </c>
      <c r="I4676" s="36"/>
      <c r="J4676" s="125">
        <v>0</v>
      </c>
    </row>
    <row r="4677" spans="1:10" ht="15.75" hidden="1" thickBot="1" x14ac:dyDescent="0.3">
      <c r="A4677" s="249"/>
      <c r="B4677" s="238"/>
      <c r="C4677" s="155" t="s">
        <v>889</v>
      </c>
      <c r="D4677" s="155" t="s">
        <v>587</v>
      </c>
      <c r="E4677" s="34">
        <v>0.2</v>
      </c>
      <c r="F4677" s="49">
        <v>23.635999999999999</v>
      </c>
      <c r="G4677" s="49">
        <f>IF(ISNUMBER(F4677),E4677*F4677,"")</f>
        <v>4.7271999999999998</v>
      </c>
      <c r="H4677" s="65"/>
      <c r="I4677" s="66"/>
      <c r="J4677" s="125">
        <v>0</v>
      </c>
    </row>
    <row r="4678" spans="1:10" ht="15.75" hidden="1" thickBot="1" x14ac:dyDescent="0.3">
      <c r="A4678" s="249"/>
      <c r="B4678" s="238"/>
      <c r="C4678" s="155"/>
      <c r="D4678" s="33"/>
      <c r="E4678" s="34"/>
      <c r="F4678" s="49" t="s">
        <v>418</v>
      </c>
      <c r="G4678" s="49" t="str">
        <f>IF(ISNUMBER(F4678),E4678*F4678,"")</f>
        <v/>
      </c>
      <c r="H4678" s="65"/>
      <c r="I4678" s="66"/>
      <c r="J4678" s="125">
        <v>0</v>
      </c>
    </row>
    <row r="4679" spans="1:10" ht="26.25" hidden="1" thickBot="1" x14ac:dyDescent="0.3">
      <c r="A4679" s="249"/>
      <c r="B4679" s="238"/>
      <c r="C4679" s="43" t="s">
        <v>1273</v>
      </c>
      <c r="D4679" s="33"/>
      <c r="E4679" s="34"/>
      <c r="F4679" s="49" t="s">
        <v>418</v>
      </c>
      <c r="G4679" s="49" t="str">
        <f>IF(ISNUMBER(F4679),E4679*F4679,"")</f>
        <v/>
      </c>
      <c r="H4679" s="65"/>
      <c r="I4679" s="66"/>
      <c r="J4679" s="125">
        <v>0</v>
      </c>
    </row>
    <row r="4680" spans="1:10" ht="25.5" hidden="1" thickBot="1" x14ac:dyDescent="0.3">
      <c r="A4680" s="249"/>
      <c r="B4680" s="238"/>
      <c r="C4680" s="124" t="s">
        <v>1274</v>
      </c>
      <c r="D4680" s="33"/>
      <c r="E4680" s="34"/>
      <c r="F4680" s="49" t="s">
        <v>418</v>
      </c>
      <c r="G4680" s="49" t="str">
        <f>IF(ISNUMBER(F4680),E4680*F4680,"")</f>
        <v/>
      </c>
      <c r="H4680" s="65"/>
      <c r="I4680" s="66"/>
      <c r="J4680" s="125">
        <v>0</v>
      </c>
    </row>
    <row r="4681" spans="1:10" ht="15.75" hidden="1" thickBot="1" x14ac:dyDescent="0.3">
      <c r="A4681" s="249"/>
      <c r="B4681" s="238"/>
      <c r="C4681" s="155"/>
      <c r="D4681" s="33"/>
      <c r="E4681" s="34"/>
      <c r="F4681" s="49" t="s">
        <v>418</v>
      </c>
      <c r="G4681" s="49" t="str">
        <f>IF(ISNUMBER(F4681),E4681*F4681,"")</f>
        <v/>
      </c>
      <c r="H4681" s="65"/>
      <c r="I4681" s="66"/>
      <c r="J4681" s="125">
        <v>0</v>
      </c>
    </row>
    <row r="4682" spans="1:10" ht="15.75" hidden="1" thickBot="1" x14ac:dyDescent="0.3">
      <c r="A4682" s="234" t="s">
        <v>1275</v>
      </c>
      <c r="B4682" s="237" t="s">
        <v>20933</v>
      </c>
      <c r="C4682" s="160"/>
      <c r="D4682" s="23" t="s">
        <v>70</v>
      </c>
      <c r="E4682" s="24"/>
      <c r="F4682" s="44" t="s">
        <v>418</v>
      </c>
      <c r="G4682" s="25" t="str">
        <f>IF(ISNUMBER(F4682),E4682*F4682,"")</f>
        <v/>
      </c>
      <c r="H4682" s="26"/>
      <c r="I4682" s="27"/>
      <c r="J4682" s="125">
        <v>0</v>
      </c>
    </row>
    <row r="4683" spans="1:10" ht="15.75" hidden="1" thickBot="1" x14ac:dyDescent="0.3">
      <c r="A4683" s="249"/>
      <c r="B4683" s="238"/>
      <c r="C4683" s="151"/>
      <c r="D4683" s="29"/>
      <c r="E4683" s="30"/>
      <c r="F4683" s="49" t="s">
        <v>418</v>
      </c>
      <c r="G4683" s="49" t="str">
        <f>IF(ISNUMBER(F4683),E4683*F4683,"")</f>
        <v/>
      </c>
      <c r="H4683" s="65"/>
      <c r="I4683" s="66"/>
      <c r="J4683" s="125">
        <v>0</v>
      </c>
    </row>
    <row r="4684" spans="1:10" ht="26.25" hidden="1" thickBot="1" x14ac:dyDescent="0.3">
      <c r="A4684" s="249"/>
      <c r="B4684" s="238"/>
      <c r="C4684" s="155" t="s">
        <v>1250</v>
      </c>
      <c r="D4684" s="155" t="s">
        <v>76</v>
      </c>
      <c r="E4684" s="34">
        <v>0.61499999999999999</v>
      </c>
      <c r="F4684" s="49">
        <v>29.962999999999997</v>
      </c>
      <c r="G4684" s="49">
        <f>IF(ISNUMBER(F4684),E4684*F4684,"")</f>
        <v>18.427244999999999</v>
      </c>
      <c r="H4684" s="35">
        <f>SUM(G4684:G4689)</f>
        <v>151.4969845</v>
      </c>
      <c r="I4684" s="36"/>
      <c r="J4684" s="125">
        <v>0</v>
      </c>
    </row>
    <row r="4685" spans="1:10" ht="26.25" hidden="1" thickBot="1" x14ac:dyDescent="0.3">
      <c r="A4685" s="249"/>
      <c r="B4685" s="238"/>
      <c r="C4685" s="155" t="s">
        <v>1276</v>
      </c>
      <c r="D4685" s="155" t="s">
        <v>870</v>
      </c>
      <c r="E4685" s="34">
        <v>1.125</v>
      </c>
      <c r="F4685" s="49">
        <v>36.204499999999996</v>
      </c>
      <c r="G4685" s="49">
        <f>IF(ISNUMBER(F4685),E4685*F4685,"")</f>
        <v>40.730062499999995</v>
      </c>
      <c r="H4685" s="65"/>
      <c r="I4685" s="66"/>
      <c r="J4685" s="125">
        <v>0</v>
      </c>
    </row>
    <row r="4686" spans="1:10" ht="26.25" hidden="1" thickBot="1" x14ac:dyDescent="0.3">
      <c r="A4686" s="249"/>
      <c r="B4686" s="238"/>
      <c r="C4686" s="155" t="s">
        <v>1257</v>
      </c>
      <c r="D4686" s="155" t="s">
        <v>870</v>
      </c>
      <c r="E4686" s="34">
        <v>1.125</v>
      </c>
      <c r="F4686" s="49">
        <v>44.459999999999994</v>
      </c>
      <c r="G4686" s="49">
        <f>IF(ISNUMBER(F4686),E4686*F4686,"")</f>
        <v>50.017499999999991</v>
      </c>
      <c r="H4686" s="65"/>
      <c r="I4686" s="66"/>
      <c r="J4686" s="125">
        <v>0</v>
      </c>
    </row>
    <row r="4687" spans="1:10" ht="15.75" hidden="1" thickBot="1" x14ac:dyDescent="0.3">
      <c r="A4687" s="249"/>
      <c r="B4687" s="238"/>
      <c r="C4687" s="155" t="s">
        <v>1258</v>
      </c>
      <c r="D4687" s="155" t="s">
        <v>774</v>
      </c>
      <c r="E4687" s="34">
        <v>0.52</v>
      </c>
      <c r="F4687" s="49">
        <v>8.3409999999999993</v>
      </c>
      <c r="G4687" s="49">
        <f>IF(ISNUMBER(F4687),E4687*F4687,"")</f>
        <v>4.3373200000000001</v>
      </c>
      <c r="H4687" s="65"/>
      <c r="I4687" s="66"/>
      <c r="J4687" s="125">
        <v>0</v>
      </c>
    </row>
    <row r="4688" spans="1:10" ht="15.75" hidden="1" thickBot="1" x14ac:dyDescent="0.3">
      <c r="A4688" s="249"/>
      <c r="B4688" s="238"/>
      <c r="C4688" s="155" t="s">
        <v>1251</v>
      </c>
      <c r="D4688" s="155" t="s">
        <v>587</v>
      </c>
      <c r="E4688" s="34">
        <v>0.27800000000000002</v>
      </c>
      <c r="F4688" s="49">
        <v>19.731499999999997</v>
      </c>
      <c r="G4688" s="49">
        <f>IF(ISNUMBER(F4688),E4688*F4688,"")</f>
        <v>5.4853569999999996</v>
      </c>
      <c r="H4688" s="65"/>
      <c r="I4688" s="66"/>
      <c r="J4688" s="125">
        <v>0</v>
      </c>
    </row>
    <row r="4689" spans="1:10" ht="15.75" hidden="1" thickBot="1" x14ac:dyDescent="0.3">
      <c r="A4689" s="249"/>
      <c r="B4689" s="238"/>
      <c r="C4689" s="155" t="s">
        <v>889</v>
      </c>
      <c r="D4689" s="155" t="s">
        <v>587</v>
      </c>
      <c r="E4689" s="34">
        <v>1.375</v>
      </c>
      <c r="F4689" s="49">
        <v>23.635999999999999</v>
      </c>
      <c r="G4689" s="49">
        <f>IF(ISNUMBER(F4689),E4689*F4689,"")</f>
        <v>32.499499999999998</v>
      </c>
      <c r="H4689" s="65"/>
      <c r="I4689" s="66"/>
      <c r="J4689" s="125">
        <v>0</v>
      </c>
    </row>
    <row r="4690" spans="1:10" ht="15.75" hidden="1" thickBot="1" x14ac:dyDescent="0.3">
      <c r="A4690" s="249"/>
      <c r="B4690" s="238"/>
      <c r="C4690" s="155"/>
      <c r="D4690" s="33"/>
      <c r="E4690" s="34"/>
      <c r="F4690" s="49" t="s">
        <v>418</v>
      </c>
      <c r="G4690" s="49" t="str">
        <f>IF(ISNUMBER(F4690),E4690*F4690,"")</f>
        <v/>
      </c>
      <c r="H4690" s="65"/>
      <c r="I4690" s="66"/>
      <c r="J4690" s="125">
        <v>0</v>
      </c>
    </row>
    <row r="4691" spans="1:10" ht="15.75" hidden="1" thickBot="1" x14ac:dyDescent="0.3">
      <c r="A4691" s="234" t="s">
        <v>1277</v>
      </c>
      <c r="B4691" s="237" t="s">
        <v>20934</v>
      </c>
      <c r="C4691" s="160"/>
      <c r="D4691" s="23" t="s">
        <v>70</v>
      </c>
      <c r="E4691" s="24"/>
      <c r="F4691" s="44" t="s">
        <v>418</v>
      </c>
      <c r="G4691" s="25" t="str">
        <f>IF(ISNUMBER(F4691),E4691*F4691,"")</f>
        <v/>
      </c>
      <c r="H4691" s="26"/>
      <c r="I4691" s="27"/>
      <c r="J4691" s="125">
        <v>0</v>
      </c>
    </row>
    <row r="4692" spans="1:10" ht="15.75" hidden="1" thickBot="1" x14ac:dyDescent="0.3">
      <c r="A4692" s="249"/>
      <c r="B4692" s="238"/>
      <c r="C4692" s="151"/>
      <c r="D4692" s="29"/>
      <c r="E4692" s="30"/>
      <c r="F4692" s="49" t="s">
        <v>418</v>
      </c>
      <c r="G4692" s="49" t="str">
        <f>IF(ISNUMBER(F4692),E4692*F4692,"")</f>
        <v/>
      </c>
      <c r="H4692" s="65"/>
      <c r="I4692" s="66"/>
      <c r="J4692" s="125">
        <v>0</v>
      </c>
    </row>
    <row r="4693" spans="1:10" ht="26.25" hidden="1" thickBot="1" x14ac:dyDescent="0.3">
      <c r="A4693" s="249"/>
      <c r="B4693" s="238"/>
      <c r="C4693" s="155" t="s">
        <v>1250</v>
      </c>
      <c r="D4693" s="155" t="s">
        <v>76</v>
      </c>
      <c r="E4693" s="34">
        <v>0.61499999999999999</v>
      </c>
      <c r="F4693" s="49">
        <v>29.962999999999997</v>
      </c>
      <c r="G4693" s="49">
        <f>IF(ISNUMBER(F4693),E4693*F4693,"")</f>
        <v>18.427244999999999</v>
      </c>
      <c r="H4693" s="35">
        <f>SUM(G4693:G4698)</f>
        <v>152.64502149999998</v>
      </c>
      <c r="I4693" s="36"/>
      <c r="J4693" s="125">
        <v>0</v>
      </c>
    </row>
    <row r="4694" spans="1:10" ht="26.25" hidden="1" thickBot="1" x14ac:dyDescent="0.3">
      <c r="A4694" s="249"/>
      <c r="B4694" s="238"/>
      <c r="C4694" s="155" t="s">
        <v>1276</v>
      </c>
      <c r="D4694" s="155" t="s">
        <v>870</v>
      </c>
      <c r="E4694" s="34">
        <v>1.125</v>
      </c>
      <c r="F4694" s="49">
        <v>36.204499999999996</v>
      </c>
      <c r="G4694" s="49">
        <f>IF(ISNUMBER(F4694),E4694*F4694,"")</f>
        <v>40.730062499999995</v>
      </c>
      <c r="H4694" s="65"/>
      <c r="I4694" s="66"/>
      <c r="J4694" s="125">
        <v>0</v>
      </c>
    </row>
    <row r="4695" spans="1:10" ht="26.25" hidden="1" thickBot="1" x14ac:dyDescent="0.3">
      <c r="A4695" s="249"/>
      <c r="B4695" s="238"/>
      <c r="C4695" s="155" t="s">
        <v>1257</v>
      </c>
      <c r="D4695" s="155" t="s">
        <v>870</v>
      </c>
      <c r="E4695" s="34">
        <v>1.125</v>
      </c>
      <c r="F4695" s="49">
        <v>44.459999999999994</v>
      </c>
      <c r="G4695" s="49">
        <f>IF(ISNUMBER(F4695),E4695*F4695,"")</f>
        <v>50.017499999999991</v>
      </c>
      <c r="H4695" s="65"/>
      <c r="I4695" s="66"/>
      <c r="J4695" s="125">
        <v>0</v>
      </c>
    </row>
    <row r="4696" spans="1:10" ht="15.75" hidden="1" thickBot="1" x14ac:dyDescent="0.3">
      <c r="A4696" s="249"/>
      <c r="B4696" s="238"/>
      <c r="C4696" s="155" t="s">
        <v>1272</v>
      </c>
      <c r="D4696" s="33" t="s">
        <v>774</v>
      </c>
      <c r="E4696" s="34">
        <v>2</v>
      </c>
      <c r="F4696" s="49" t="s">
        <v>418</v>
      </c>
      <c r="G4696" s="49" t="str">
        <f>IF(ISNUMBER(F4696),E4696*F4696,"")</f>
        <v/>
      </c>
      <c r="H4696" s="65"/>
      <c r="I4696" s="66"/>
      <c r="J4696" s="125">
        <v>0</v>
      </c>
    </row>
    <row r="4697" spans="1:10" ht="15.75" hidden="1" thickBot="1" x14ac:dyDescent="0.3">
      <c r="A4697" s="249"/>
      <c r="B4697" s="238"/>
      <c r="C4697" s="155" t="s">
        <v>1251</v>
      </c>
      <c r="D4697" s="155" t="s">
        <v>587</v>
      </c>
      <c r="E4697" s="34">
        <f>0.278*2</f>
        <v>0.55600000000000005</v>
      </c>
      <c r="F4697" s="49">
        <v>19.731499999999997</v>
      </c>
      <c r="G4697" s="49">
        <f>IF(ISNUMBER(F4697),E4697*F4697,"")</f>
        <v>10.970713999999999</v>
      </c>
      <c r="H4697" s="65"/>
      <c r="I4697" s="66"/>
      <c r="J4697" s="125">
        <v>0</v>
      </c>
    </row>
    <row r="4698" spans="1:10" ht="15.75" hidden="1" thickBot="1" x14ac:dyDescent="0.3">
      <c r="A4698" s="249"/>
      <c r="B4698" s="238"/>
      <c r="C4698" s="155" t="s">
        <v>889</v>
      </c>
      <c r="D4698" s="155" t="s">
        <v>587</v>
      </c>
      <c r="E4698" s="34">
        <v>1.375</v>
      </c>
      <c r="F4698" s="49">
        <v>23.635999999999999</v>
      </c>
      <c r="G4698" s="49">
        <f>IF(ISNUMBER(F4698),E4698*F4698,"")</f>
        <v>32.499499999999998</v>
      </c>
      <c r="H4698" s="65"/>
      <c r="I4698" s="66"/>
      <c r="J4698" s="125">
        <v>0</v>
      </c>
    </row>
    <row r="4699" spans="1:10" ht="15.75" hidden="1" thickBot="1" x14ac:dyDescent="0.3">
      <c r="A4699" s="249"/>
      <c r="B4699" s="238"/>
      <c r="C4699" s="155"/>
      <c r="D4699" s="33"/>
      <c r="E4699" s="34"/>
      <c r="F4699" s="49" t="s">
        <v>418</v>
      </c>
      <c r="G4699" s="49" t="str">
        <f>IF(ISNUMBER(F4699),E4699*F4699,"")</f>
        <v/>
      </c>
      <c r="H4699" s="65"/>
      <c r="I4699" s="66"/>
      <c r="J4699" s="125">
        <v>0</v>
      </c>
    </row>
    <row r="4700" spans="1:10" ht="26.25" hidden="1" thickBot="1" x14ac:dyDescent="0.3">
      <c r="A4700" s="249"/>
      <c r="B4700" s="238"/>
      <c r="C4700" s="43" t="s">
        <v>1273</v>
      </c>
      <c r="D4700" s="33"/>
      <c r="E4700" s="34"/>
      <c r="F4700" s="49" t="s">
        <v>418</v>
      </c>
      <c r="G4700" s="49" t="str">
        <f>IF(ISNUMBER(F4700),E4700*F4700,"")</f>
        <v/>
      </c>
      <c r="H4700" s="65"/>
      <c r="I4700" s="66"/>
      <c r="J4700" s="125">
        <v>0</v>
      </c>
    </row>
    <row r="4701" spans="1:10" ht="25.5" hidden="1" thickBot="1" x14ac:dyDescent="0.3">
      <c r="A4701" s="249"/>
      <c r="B4701" s="238"/>
      <c r="C4701" s="124" t="s">
        <v>1274</v>
      </c>
      <c r="D4701" s="33"/>
      <c r="E4701" s="34"/>
      <c r="F4701" s="49" t="s">
        <v>418</v>
      </c>
      <c r="G4701" s="49" t="str">
        <f>IF(ISNUMBER(F4701),E4701*F4701,"")</f>
        <v/>
      </c>
      <c r="H4701" s="65"/>
      <c r="I4701" s="66"/>
      <c r="J4701" s="125">
        <v>0</v>
      </c>
    </row>
    <row r="4702" spans="1:10" ht="15.75" hidden="1" thickBot="1" x14ac:dyDescent="0.3">
      <c r="A4702" s="249"/>
      <c r="B4702" s="238"/>
      <c r="C4702" s="155"/>
      <c r="D4702" s="33"/>
      <c r="E4702" s="34"/>
      <c r="F4702" s="49" t="s">
        <v>418</v>
      </c>
      <c r="G4702" s="49" t="str">
        <f>IF(ISNUMBER(F4702),E4702*F4702,"")</f>
        <v/>
      </c>
      <c r="H4702" s="65"/>
      <c r="I4702" s="66"/>
      <c r="J4702" s="125">
        <v>0</v>
      </c>
    </row>
    <row r="4703" spans="1:10" ht="15.75" hidden="1" thickBot="1" x14ac:dyDescent="0.3">
      <c r="A4703" s="234" t="s">
        <v>1885</v>
      </c>
      <c r="B4703" s="237" t="s">
        <v>1886</v>
      </c>
      <c r="C4703" s="160"/>
      <c r="D4703" s="23" t="s">
        <v>28</v>
      </c>
      <c r="E4703" s="24"/>
      <c r="F4703" s="44" t="s">
        <v>418</v>
      </c>
      <c r="G4703" s="25" t="str">
        <f>IF(ISNUMBER(F4703),E4703*F4703,"")</f>
        <v/>
      </c>
      <c r="H4703" s="26"/>
      <c r="I4703" s="27"/>
      <c r="J4703" s="125">
        <v>0</v>
      </c>
    </row>
    <row r="4704" spans="1:10" ht="15.75" hidden="1" thickBot="1" x14ac:dyDescent="0.3">
      <c r="A4704" s="249"/>
      <c r="B4704" s="238"/>
      <c r="C4704" s="151"/>
      <c r="D4704" s="29"/>
      <c r="E4704" s="30"/>
      <c r="F4704" s="49" t="s">
        <v>418</v>
      </c>
      <c r="G4704" s="49" t="str">
        <f>IF(ISNUMBER(F4704),E4704*F4704,"")</f>
        <v/>
      </c>
      <c r="H4704" s="65"/>
      <c r="I4704" s="66"/>
      <c r="J4704" s="125">
        <v>0</v>
      </c>
    </row>
    <row r="4705" spans="1:10" ht="26.25" hidden="1" thickBot="1" x14ac:dyDescent="0.3">
      <c r="A4705" s="249"/>
      <c r="B4705" s="238"/>
      <c r="C4705" s="155" t="s">
        <v>16216</v>
      </c>
      <c r="D4705" s="33" t="s">
        <v>28</v>
      </c>
      <c r="E4705" s="34">
        <v>1</v>
      </c>
      <c r="F4705" s="49">
        <v>0.95</v>
      </c>
      <c r="G4705" s="49">
        <f>IF(ISNUMBER(F4705),E4705*F4705,"")</f>
        <v>0.95</v>
      </c>
      <c r="H4705" s="35">
        <f>SUM(G4705:G4705)</f>
        <v>0.95</v>
      </c>
      <c r="I4705" s="36"/>
      <c r="J4705" s="125">
        <v>0</v>
      </c>
    </row>
    <row r="4706" spans="1:10" ht="15.75" hidden="1" thickBot="1" x14ac:dyDescent="0.3">
      <c r="A4706" s="249"/>
      <c r="B4706" s="238"/>
      <c r="C4706" s="155"/>
      <c r="D4706" s="33"/>
      <c r="E4706" s="34"/>
      <c r="F4706" s="49" t="s">
        <v>418</v>
      </c>
      <c r="G4706" s="49" t="str">
        <f>IF(ISNUMBER(F4706),E4706*F4706,"")</f>
        <v/>
      </c>
      <c r="H4706" s="65"/>
      <c r="I4706" s="66"/>
      <c r="J4706" s="125">
        <v>0</v>
      </c>
    </row>
    <row r="4707" spans="1:10" ht="15.75" hidden="1" thickBot="1" x14ac:dyDescent="0.3">
      <c r="A4707" s="234" t="s">
        <v>1278</v>
      </c>
      <c r="B4707" s="237" t="s">
        <v>1887</v>
      </c>
      <c r="C4707" s="160"/>
      <c r="D4707" s="23" t="s">
        <v>28</v>
      </c>
      <c r="E4707" s="24"/>
      <c r="F4707" s="44" t="s">
        <v>418</v>
      </c>
      <c r="G4707" s="25" t="str">
        <f>IF(ISNUMBER(F4707),E4707*F4707,"")</f>
        <v/>
      </c>
      <c r="H4707" s="26"/>
      <c r="I4707" s="27"/>
      <c r="J4707" s="125">
        <v>0</v>
      </c>
    </row>
    <row r="4708" spans="1:10" ht="15.75" hidden="1" thickBot="1" x14ac:dyDescent="0.3">
      <c r="A4708" s="249"/>
      <c r="B4708" s="238"/>
      <c r="C4708" s="151"/>
      <c r="D4708" s="29"/>
      <c r="E4708" s="30"/>
      <c r="F4708" s="49" t="s">
        <v>418</v>
      </c>
      <c r="G4708" s="49" t="str">
        <f>IF(ISNUMBER(F4708),E4708*F4708,"")</f>
        <v/>
      </c>
      <c r="H4708" s="65"/>
      <c r="I4708" s="66"/>
      <c r="J4708" s="125">
        <v>0</v>
      </c>
    </row>
    <row r="4709" spans="1:10" ht="26.25" hidden="1" thickBot="1" x14ac:dyDescent="0.3">
      <c r="A4709" s="249"/>
      <c r="B4709" s="238"/>
      <c r="C4709" s="155" t="s">
        <v>1279</v>
      </c>
      <c r="D4709" s="155" t="s">
        <v>76</v>
      </c>
      <c r="E4709" s="34">
        <v>1.01</v>
      </c>
      <c r="F4709" s="49">
        <v>8.1129999999999995</v>
      </c>
      <c r="G4709" s="49">
        <f>IF(ISNUMBER(F4709),E4709*F4709,"")</f>
        <v>8.1941299999999995</v>
      </c>
      <c r="H4709" s="35">
        <f>SUM(G4709:G4709)</f>
        <v>8.1941299999999995</v>
      </c>
      <c r="I4709" s="36"/>
      <c r="J4709" s="125">
        <v>0</v>
      </c>
    </row>
    <row r="4710" spans="1:10" ht="15.75" hidden="1" thickBot="1" x14ac:dyDescent="0.3">
      <c r="A4710" s="249"/>
      <c r="B4710" s="238"/>
      <c r="C4710" s="155"/>
      <c r="D4710" s="33"/>
      <c r="E4710" s="34"/>
      <c r="F4710" s="49" t="s">
        <v>418</v>
      </c>
      <c r="G4710" s="49" t="str">
        <f>IF(ISNUMBER(F4710),E4710*F4710,"")</f>
        <v/>
      </c>
      <c r="H4710" s="65"/>
      <c r="I4710" s="66"/>
      <c r="J4710" s="125">
        <v>0</v>
      </c>
    </row>
    <row r="4711" spans="1:10" ht="26.25" hidden="1" thickBot="1" x14ac:dyDescent="0.3">
      <c r="A4711" s="249"/>
      <c r="B4711" s="238"/>
      <c r="C4711" s="43" t="s">
        <v>1280</v>
      </c>
      <c r="D4711" s="33"/>
      <c r="E4711" s="34"/>
      <c r="F4711" s="49" t="s">
        <v>418</v>
      </c>
      <c r="G4711" s="49" t="str">
        <f>IF(ISNUMBER(F4711),E4711*F4711,"")</f>
        <v/>
      </c>
      <c r="H4711" s="65"/>
      <c r="I4711" s="66"/>
      <c r="J4711" s="125">
        <v>0</v>
      </c>
    </row>
    <row r="4712" spans="1:10" ht="15.75" hidden="1" thickBot="1" x14ac:dyDescent="0.3">
      <c r="A4712" s="249"/>
      <c r="B4712" s="238"/>
      <c r="C4712" s="164"/>
      <c r="D4712" s="50"/>
      <c r="E4712" s="61"/>
      <c r="F4712" s="68" t="s">
        <v>418</v>
      </c>
      <c r="G4712" s="68" t="str">
        <f>IF(ISNUMBER(F4712),E4712*F4712,"")</f>
        <v/>
      </c>
      <c r="H4712" s="69"/>
      <c r="I4712" s="66"/>
      <c r="J4712" s="125">
        <v>0</v>
      </c>
    </row>
    <row r="4713" spans="1:10" ht="15.75" hidden="1" thickBot="1" x14ac:dyDescent="0.3">
      <c r="A4713" s="234" t="s">
        <v>1281</v>
      </c>
      <c r="B4713" s="237" t="s">
        <v>1888</v>
      </c>
      <c r="C4713" s="160"/>
      <c r="D4713" s="23" t="s">
        <v>81</v>
      </c>
      <c r="E4713" s="24"/>
      <c r="F4713" s="44" t="s">
        <v>418</v>
      </c>
      <c r="G4713" s="25" t="str">
        <f>IF(ISNUMBER(F4713),E4713*F4713,"")</f>
        <v/>
      </c>
      <c r="H4713" s="26"/>
      <c r="I4713" s="27"/>
      <c r="J4713" s="125">
        <v>0</v>
      </c>
    </row>
    <row r="4714" spans="1:10" ht="15.75" hidden="1" thickBot="1" x14ac:dyDescent="0.3">
      <c r="A4714" s="249"/>
      <c r="B4714" s="238"/>
      <c r="C4714" s="151"/>
      <c r="D4714" s="29"/>
      <c r="E4714" s="30"/>
      <c r="F4714" s="49" t="s">
        <v>418</v>
      </c>
      <c r="G4714" s="49" t="str">
        <f>IF(ISNUMBER(F4714),E4714*F4714,"")</f>
        <v/>
      </c>
      <c r="H4714" s="65"/>
      <c r="I4714" s="66"/>
      <c r="J4714" s="125">
        <v>0</v>
      </c>
    </row>
    <row r="4715" spans="1:10" ht="26.25" hidden="1" thickBot="1" x14ac:dyDescent="0.3">
      <c r="A4715" s="249"/>
      <c r="B4715" s="238"/>
      <c r="C4715" s="155" t="s">
        <v>26790</v>
      </c>
      <c r="D4715" s="155" t="s">
        <v>85</v>
      </c>
      <c r="E4715" s="34">
        <v>1</v>
      </c>
      <c r="F4715" s="49">
        <v>225.625</v>
      </c>
      <c r="G4715" s="49">
        <f>IF(ISNUMBER(F4715),E4715*F4715,"")</f>
        <v>225.625</v>
      </c>
      <c r="H4715" s="35">
        <f>SUM(G4715:G4717)</f>
        <v>293.07454684999999</v>
      </c>
      <c r="I4715" s="36"/>
      <c r="J4715" s="125">
        <v>0</v>
      </c>
    </row>
    <row r="4716" spans="1:10" ht="51.75" hidden="1" thickBot="1" x14ac:dyDescent="0.3">
      <c r="A4716" s="249"/>
      <c r="B4716" s="238"/>
      <c r="C4716" s="155" t="s">
        <v>10661</v>
      </c>
      <c r="D4716" s="155" t="s">
        <v>85</v>
      </c>
      <c r="E4716" s="34">
        <f>1*E4715</f>
        <v>1</v>
      </c>
      <c r="F4716" s="31">
        <v>8.6578848500000003</v>
      </c>
      <c r="G4716" s="31">
        <f>IF(ISNUMBER(F4716),E4716*F4716,"")</f>
        <v>8.6578848500000003</v>
      </c>
      <c r="H4716" s="32"/>
      <c r="I4716" s="28"/>
      <c r="J4716" s="125">
        <v>0</v>
      </c>
    </row>
    <row r="4717" spans="1:10" ht="39" hidden="1" thickBot="1" x14ac:dyDescent="0.3">
      <c r="A4717" s="249"/>
      <c r="B4717" s="238"/>
      <c r="C4717" s="155" t="s">
        <v>10602</v>
      </c>
      <c r="D4717" s="155" t="s">
        <v>1292</v>
      </c>
      <c r="E4717" s="34">
        <f>E4715*20</f>
        <v>20</v>
      </c>
      <c r="F4717" s="49">
        <v>2.9395830999999997</v>
      </c>
      <c r="G4717" s="49">
        <f>IF(ISNUMBER(F4717),E4717*F4717,"")</f>
        <v>58.791661999999995</v>
      </c>
      <c r="H4717" s="65"/>
      <c r="I4717" s="66"/>
      <c r="J4717" s="125">
        <v>0</v>
      </c>
    </row>
    <row r="4718" spans="1:10" ht="15.75" hidden="1" thickBot="1" x14ac:dyDescent="0.3">
      <c r="A4718" s="249"/>
      <c r="B4718" s="238"/>
      <c r="C4718" s="155"/>
      <c r="D4718" s="33"/>
      <c r="E4718" s="34"/>
      <c r="F4718" s="49" t="s">
        <v>418</v>
      </c>
      <c r="G4718" s="49" t="str">
        <f>IF(ISNUMBER(F4718),E4718*F4718,"")</f>
        <v/>
      </c>
      <c r="H4718" s="65"/>
      <c r="I4718" s="66"/>
      <c r="J4718" s="125">
        <v>0</v>
      </c>
    </row>
    <row r="4719" spans="1:10" ht="15.75" hidden="1" thickBot="1" x14ac:dyDescent="0.3">
      <c r="A4719" s="249"/>
      <c r="B4719" s="238"/>
      <c r="C4719" s="43" t="s">
        <v>1282</v>
      </c>
      <c r="D4719" s="33"/>
      <c r="E4719" s="34"/>
      <c r="F4719" s="49" t="s">
        <v>418</v>
      </c>
      <c r="G4719" s="49" t="str">
        <f>IF(ISNUMBER(F4719),E4719*F4719,"")</f>
        <v/>
      </c>
      <c r="H4719" s="65"/>
      <c r="I4719" s="66"/>
      <c r="J4719" s="125">
        <v>0</v>
      </c>
    </row>
    <row r="4720" spans="1:10" ht="15.75" hidden="1" thickBot="1" x14ac:dyDescent="0.3">
      <c r="A4720" s="250"/>
      <c r="B4720" s="239"/>
      <c r="C4720" s="164"/>
      <c r="D4720" s="50"/>
      <c r="E4720" s="61"/>
      <c r="F4720" s="68" t="s">
        <v>418</v>
      </c>
      <c r="G4720" s="68" t="str">
        <f>IF(ISNUMBER(F4720),E4720*F4720,"")</f>
        <v/>
      </c>
      <c r="H4720" s="69"/>
      <c r="I4720" s="66"/>
      <c r="J4720" s="125">
        <v>0</v>
      </c>
    </row>
    <row r="4721" spans="1:10" ht="15.75" hidden="1" thickBot="1" x14ac:dyDescent="0.3">
      <c r="A4721" s="234" t="s">
        <v>1889</v>
      </c>
      <c r="B4721" s="237" t="s">
        <v>1890</v>
      </c>
      <c r="C4721" s="160"/>
      <c r="D4721" s="23" t="s">
        <v>69</v>
      </c>
      <c r="E4721" s="24"/>
      <c r="F4721" s="44" t="s">
        <v>418</v>
      </c>
      <c r="G4721" s="25" t="str">
        <f>IF(ISNUMBER(F4721),E4721*F4721,"")</f>
        <v/>
      </c>
      <c r="H4721" s="26"/>
      <c r="I4721" s="27"/>
      <c r="J4721" s="125">
        <v>0</v>
      </c>
    </row>
    <row r="4722" spans="1:10" ht="15.75" hidden="1" thickBot="1" x14ac:dyDescent="0.3">
      <c r="A4722" s="249"/>
      <c r="B4722" s="240"/>
      <c r="C4722" s="151"/>
      <c r="D4722" s="29"/>
      <c r="E4722" s="30"/>
      <c r="F4722" s="49" t="s">
        <v>418</v>
      </c>
      <c r="G4722" s="49" t="str">
        <f>IF(ISNUMBER(F4722),E4722*F4722,"")</f>
        <v/>
      </c>
      <c r="H4722" s="65"/>
      <c r="I4722" s="66"/>
      <c r="J4722" s="125">
        <v>0</v>
      </c>
    </row>
    <row r="4723" spans="1:10" ht="26.25" hidden="1" thickBot="1" x14ac:dyDescent="0.3">
      <c r="A4723" s="249"/>
      <c r="B4723" s="240"/>
      <c r="C4723" s="155" t="s">
        <v>24326</v>
      </c>
      <c r="D4723" s="155" t="s">
        <v>385</v>
      </c>
      <c r="E4723" s="34">
        <f>65/50</f>
        <v>1.3</v>
      </c>
      <c r="F4723" s="49">
        <v>52.420999999999999</v>
      </c>
      <c r="G4723" s="49">
        <f>IF(ISNUMBER(F4723),E4723*F4723,"")</f>
        <v>68.147300000000001</v>
      </c>
      <c r="H4723" s="35">
        <f>SUM(G4723:G4723)</f>
        <v>68.147300000000001</v>
      </c>
      <c r="I4723" s="36"/>
      <c r="J4723" s="125">
        <v>0</v>
      </c>
    </row>
    <row r="4724" spans="1:10" ht="15.75" hidden="1" thickBot="1" x14ac:dyDescent="0.3">
      <c r="A4724" s="250"/>
      <c r="B4724" s="239"/>
      <c r="C4724" s="164"/>
      <c r="D4724" s="50"/>
      <c r="E4724" s="61"/>
      <c r="F4724" s="68" t="s">
        <v>418</v>
      </c>
      <c r="G4724" s="68" t="str">
        <f>IF(ISNUMBER(F4724),E4724*F4724,"")</f>
        <v/>
      </c>
      <c r="H4724" s="69"/>
      <c r="I4724" s="66"/>
      <c r="J4724" s="125">
        <v>0</v>
      </c>
    </row>
    <row r="4725" spans="1:10" ht="15.75" hidden="1" thickBot="1" x14ac:dyDescent="0.3">
      <c r="A4725" s="234" t="s">
        <v>1891</v>
      </c>
      <c r="B4725" s="237" t="s">
        <v>1892</v>
      </c>
      <c r="C4725" s="160"/>
      <c r="D4725" s="23" t="s">
        <v>69</v>
      </c>
      <c r="E4725" s="24"/>
      <c r="F4725" s="44" t="s">
        <v>418</v>
      </c>
      <c r="G4725" s="25" t="str">
        <f>IF(ISNUMBER(F4725),E4725*F4725,"")</f>
        <v/>
      </c>
      <c r="H4725" s="26"/>
      <c r="I4725" s="27"/>
      <c r="J4725" s="125">
        <v>0</v>
      </c>
    </row>
    <row r="4726" spans="1:10" ht="15.75" hidden="1" thickBot="1" x14ac:dyDescent="0.3">
      <c r="A4726" s="249"/>
      <c r="B4726" s="240"/>
      <c r="C4726" s="151"/>
      <c r="D4726" s="29"/>
      <c r="E4726" s="30"/>
      <c r="F4726" s="49" t="s">
        <v>418</v>
      </c>
      <c r="G4726" s="49" t="str">
        <f>IF(ISNUMBER(F4726),E4726*F4726,"")</f>
        <v/>
      </c>
      <c r="H4726" s="65"/>
      <c r="I4726" s="66"/>
      <c r="J4726" s="125">
        <v>0</v>
      </c>
    </row>
    <row r="4727" spans="1:10" ht="26.25" hidden="1" thickBot="1" x14ac:dyDescent="0.3">
      <c r="A4727" s="249"/>
      <c r="B4727" s="240"/>
      <c r="C4727" s="155" t="s">
        <v>1228</v>
      </c>
      <c r="D4727" s="155" t="s">
        <v>385</v>
      </c>
      <c r="E4727" s="34">
        <v>1.1000000000000001</v>
      </c>
      <c r="F4727" s="49">
        <v>102.55249999999999</v>
      </c>
      <c r="G4727" s="49">
        <f>IF(ISNUMBER(F4727),E4727*F4727,"")</f>
        <v>112.80775</v>
      </c>
      <c r="H4727" s="35">
        <f>SUM(G4727:G4727)</f>
        <v>112.80775</v>
      </c>
      <c r="I4727" s="36"/>
      <c r="J4727" s="125">
        <v>0</v>
      </c>
    </row>
    <row r="4728" spans="1:10" ht="15.75" hidden="1" thickBot="1" x14ac:dyDescent="0.3">
      <c r="A4728" s="250"/>
      <c r="B4728" s="239"/>
      <c r="C4728" s="164"/>
      <c r="D4728" s="50"/>
      <c r="E4728" s="61"/>
      <c r="F4728" s="68" t="s">
        <v>418</v>
      </c>
      <c r="G4728" s="68" t="str">
        <f>IF(ISNUMBER(F4728),E4728*F4728,"")</f>
        <v/>
      </c>
      <c r="H4728" s="69"/>
      <c r="I4728" s="66"/>
      <c r="J4728" s="125">
        <v>0</v>
      </c>
    </row>
    <row r="4729" spans="1:10" ht="15.75" hidden="1" thickBot="1" x14ac:dyDescent="0.3">
      <c r="A4729" s="234" t="s">
        <v>1894</v>
      </c>
      <c r="B4729" s="237" t="s">
        <v>13489</v>
      </c>
      <c r="C4729" s="160"/>
      <c r="D4729" s="23" t="s">
        <v>16</v>
      </c>
      <c r="E4729" s="24"/>
      <c r="F4729" s="44" t="s">
        <v>418</v>
      </c>
      <c r="G4729" s="25" t="str">
        <f>IF(ISNUMBER(F4729),E4729*F4729,"")</f>
        <v/>
      </c>
      <c r="H4729" s="26"/>
      <c r="I4729" s="27"/>
      <c r="J4729" s="125">
        <v>0</v>
      </c>
    </row>
    <row r="4730" spans="1:10" ht="15.75" hidden="1" thickBot="1" x14ac:dyDescent="0.3">
      <c r="A4730" s="249"/>
      <c r="B4730" s="240"/>
      <c r="C4730" s="151"/>
      <c r="D4730" s="29"/>
      <c r="E4730" s="30"/>
      <c r="F4730" s="49" t="s">
        <v>418</v>
      </c>
      <c r="G4730" s="49" t="str">
        <f>IF(ISNUMBER(F4730),E4730*F4730,"")</f>
        <v/>
      </c>
      <c r="H4730" s="65"/>
      <c r="I4730" s="66"/>
      <c r="J4730" s="125">
        <v>0</v>
      </c>
    </row>
    <row r="4731" spans="1:10" ht="15.75" hidden="1" thickBot="1" x14ac:dyDescent="0.3">
      <c r="A4731" s="249"/>
      <c r="B4731" s="240"/>
      <c r="C4731" s="155" t="s">
        <v>27437</v>
      </c>
      <c r="D4731" s="155" t="s">
        <v>205</v>
      </c>
      <c r="E4731" s="34">
        <v>1</v>
      </c>
      <c r="F4731" s="49">
        <v>33.240499999999997</v>
      </c>
      <c r="G4731" s="49">
        <f>IF(ISNUMBER(F4731),E4731*F4731,"")</f>
        <v>33.240499999999997</v>
      </c>
      <c r="H4731" s="35">
        <f>SUM(G4731:G4731)</f>
        <v>33.240499999999997</v>
      </c>
      <c r="I4731" s="36"/>
      <c r="J4731" s="125">
        <v>0</v>
      </c>
    </row>
    <row r="4732" spans="1:10" ht="15.75" hidden="1" thickBot="1" x14ac:dyDescent="0.3">
      <c r="A4732" s="250"/>
      <c r="B4732" s="239"/>
      <c r="C4732" s="164"/>
      <c r="D4732" s="50"/>
      <c r="E4732" s="61"/>
      <c r="F4732" s="68" t="s">
        <v>418</v>
      </c>
      <c r="G4732" s="68" t="str">
        <f>IF(ISNUMBER(F4732),E4732*F4732,"")</f>
        <v/>
      </c>
      <c r="H4732" s="69"/>
      <c r="I4732" s="66"/>
      <c r="J4732" s="125">
        <v>0</v>
      </c>
    </row>
    <row r="4733" spans="1:10" ht="15.75" hidden="1" thickBot="1" x14ac:dyDescent="0.3">
      <c r="A4733" s="234" t="s">
        <v>1895</v>
      </c>
      <c r="B4733" s="237" t="s">
        <v>1896</v>
      </c>
      <c r="C4733" s="160"/>
      <c r="D4733" s="23" t="s">
        <v>16</v>
      </c>
      <c r="E4733" s="24"/>
      <c r="F4733" s="44" t="s">
        <v>418</v>
      </c>
      <c r="G4733" s="25" t="str">
        <f>IF(ISNUMBER(F4733),E4733*F4733,"")</f>
        <v/>
      </c>
      <c r="H4733" s="26"/>
      <c r="I4733" s="27"/>
      <c r="J4733" s="125">
        <v>0</v>
      </c>
    </row>
    <row r="4734" spans="1:10" ht="15.75" hidden="1" thickBot="1" x14ac:dyDescent="0.3">
      <c r="A4734" s="249"/>
      <c r="B4734" s="240"/>
      <c r="C4734" s="151"/>
      <c r="D4734" s="29"/>
      <c r="E4734" s="30"/>
      <c r="F4734" s="49" t="s">
        <v>418</v>
      </c>
      <c r="G4734" s="49" t="str">
        <f>IF(ISNUMBER(F4734),E4734*F4734,"")</f>
        <v/>
      </c>
      <c r="H4734" s="65"/>
      <c r="I4734" s="66"/>
      <c r="J4734" s="125">
        <v>0</v>
      </c>
    </row>
    <row r="4735" spans="1:10" ht="15.75" hidden="1" thickBot="1" x14ac:dyDescent="0.3">
      <c r="A4735" s="249"/>
      <c r="B4735" s="240"/>
      <c r="C4735" s="155" t="s">
        <v>25317</v>
      </c>
      <c r="D4735" s="155" t="s">
        <v>205</v>
      </c>
      <c r="E4735" s="34">
        <v>1</v>
      </c>
      <c r="F4735" s="49">
        <v>64.239000000000004</v>
      </c>
      <c r="G4735" s="49">
        <f>IF(ISNUMBER(F4735),E4735*F4735,"")</f>
        <v>64.239000000000004</v>
      </c>
      <c r="H4735" s="35">
        <f>SUM(G4735:G4735)</f>
        <v>64.239000000000004</v>
      </c>
      <c r="I4735" s="36"/>
      <c r="J4735" s="125">
        <v>0</v>
      </c>
    </row>
    <row r="4736" spans="1:10" ht="15.75" hidden="1" thickBot="1" x14ac:dyDescent="0.3">
      <c r="A4736" s="250"/>
      <c r="B4736" s="239"/>
      <c r="C4736" s="164"/>
      <c r="D4736" s="50"/>
      <c r="E4736" s="61"/>
      <c r="F4736" s="68" t="s">
        <v>418</v>
      </c>
      <c r="G4736" s="68" t="str">
        <f>IF(ISNUMBER(F4736),E4736*F4736,"")</f>
        <v/>
      </c>
      <c r="H4736" s="69"/>
      <c r="I4736" s="66"/>
      <c r="J4736" s="125">
        <v>0</v>
      </c>
    </row>
    <row r="4737" spans="1:10" ht="15.75" hidden="1" thickBot="1" x14ac:dyDescent="0.3">
      <c r="A4737" s="234" t="s">
        <v>1897</v>
      </c>
      <c r="B4737" s="237" t="s">
        <v>1898</v>
      </c>
      <c r="C4737" s="160"/>
      <c r="D4737" s="23" t="s">
        <v>16</v>
      </c>
      <c r="E4737" s="24"/>
      <c r="F4737" s="44" t="s">
        <v>418</v>
      </c>
      <c r="G4737" s="25" t="str">
        <f>IF(ISNUMBER(F4737),E4737*F4737,"")</f>
        <v/>
      </c>
      <c r="H4737" s="26"/>
      <c r="I4737" s="27"/>
      <c r="J4737" s="125">
        <v>0</v>
      </c>
    </row>
    <row r="4738" spans="1:10" ht="15.75" hidden="1" thickBot="1" x14ac:dyDescent="0.3">
      <c r="A4738" s="249"/>
      <c r="B4738" s="238"/>
      <c r="C4738" s="151"/>
      <c r="D4738" s="29"/>
      <c r="E4738" s="30"/>
      <c r="F4738" s="49" t="s">
        <v>418</v>
      </c>
      <c r="G4738" s="49" t="str">
        <f>IF(ISNUMBER(F4738),E4738*F4738,"")</f>
        <v/>
      </c>
      <c r="H4738" s="65"/>
      <c r="I4738" s="66"/>
      <c r="J4738" s="125">
        <v>0</v>
      </c>
    </row>
    <row r="4739" spans="1:10" ht="26.25" hidden="1" thickBot="1" x14ac:dyDescent="0.3">
      <c r="A4739" s="249"/>
      <c r="B4739" s="238"/>
      <c r="C4739" s="155" t="s">
        <v>25345</v>
      </c>
      <c r="D4739" s="155" t="s">
        <v>205</v>
      </c>
      <c r="E4739" s="34">
        <v>1</v>
      </c>
      <c r="F4739" s="49">
        <v>482.76150000000001</v>
      </c>
      <c r="G4739" s="49">
        <f>IF(ISNUMBER(F4739),E4739*F4739,"")</f>
        <v>482.76150000000001</v>
      </c>
      <c r="H4739" s="35">
        <f>SUM(G4739:G4739)</f>
        <v>482.76150000000001</v>
      </c>
      <c r="I4739" s="36"/>
      <c r="J4739" s="125">
        <v>0</v>
      </c>
    </row>
    <row r="4740" spans="1:10" ht="15.75" hidden="1" thickBot="1" x14ac:dyDescent="0.3">
      <c r="A4740" s="250"/>
      <c r="B4740" s="239"/>
      <c r="C4740" s="164"/>
      <c r="D4740" s="50"/>
      <c r="E4740" s="61"/>
      <c r="F4740" s="68" t="s">
        <v>418</v>
      </c>
      <c r="G4740" s="68" t="str">
        <f>IF(ISNUMBER(F4740),E4740*F4740,"")</f>
        <v/>
      </c>
      <c r="H4740" s="69"/>
      <c r="I4740" s="66"/>
      <c r="J4740" s="125">
        <v>0</v>
      </c>
    </row>
    <row r="4741" spans="1:10" ht="15.75" hidden="1" thickBot="1" x14ac:dyDescent="0.3">
      <c r="A4741" s="234" t="s">
        <v>1902</v>
      </c>
      <c r="B4741" s="237" t="s">
        <v>19769</v>
      </c>
      <c r="C4741" s="160"/>
      <c r="D4741" s="23" t="s">
        <v>16</v>
      </c>
      <c r="E4741" s="24"/>
      <c r="F4741" s="44" t="s">
        <v>418</v>
      </c>
      <c r="G4741" s="25" t="str">
        <f>IF(ISNUMBER(F4741),E4741*F4741,"")</f>
        <v/>
      </c>
      <c r="H4741" s="26"/>
      <c r="I4741" s="27"/>
      <c r="J4741" s="125">
        <v>0</v>
      </c>
    </row>
    <row r="4742" spans="1:10" ht="15.75" hidden="1" thickBot="1" x14ac:dyDescent="0.3">
      <c r="A4742" s="249"/>
      <c r="B4742" s="238"/>
      <c r="C4742" s="151"/>
      <c r="D4742" s="29"/>
      <c r="E4742" s="30"/>
      <c r="F4742" s="49" t="s">
        <v>418</v>
      </c>
      <c r="G4742" s="49" t="str">
        <f>IF(ISNUMBER(F4742),E4742*F4742,"")</f>
        <v/>
      </c>
      <c r="H4742" s="65"/>
      <c r="I4742" s="66"/>
      <c r="J4742" s="125">
        <v>0</v>
      </c>
    </row>
    <row r="4743" spans="1:10" ht="26.25" hidden="1" thickBot="1" x14ac:dyDescent="0.3">
      <c r="A4743" s="249"/>
      <c r="B4743" s="238"/>
      <c r="C4743" s="155" t="s">
        <v>26365</v>
      </c>
      <c r="D4743" s="155" t="s">
        <v>385</v>
      </c>
      <c r="E4743" s="34">
        <v>20</v>
      </c>
      <c r="F4743" s="49">
        <v>1.2635000000000001</v>
      </c>
      <c r="G4743" s="49">
        <f>IF(ISNUMBER(F4743),E4743*F4743,"")</f>
        <v>25.270000000000003</v>
      </c>
      <c r="H4743" s="35">
        <f>SUM(G4743:G4743)</f>
        <v>25.270000000000003</v>
      </c>
      <c r="I4743" s="36"/>
      <c r="J4743" s="125">
        <v>0</v>
      </c>
    </row>
    <row r="4744" spans="1:10" ht="15.75" hidden="1" thickBot="1" x14ac:dyDescent="0.3">
      <c r="A4744" s="250"/>
      <c r="B4744" s="239"/>
      <c r="C4744" s="164"/>
      <c r="D4744" s="50"/>
      <c r="E4744" s="61"/>
      <c r="F4744" s="68" t="s">
        <v>418</v>
      </c>
      <c r="G4744" s="68" t="str">
        <f>IF(ISNUMBER(F4744),E4744*F4744,"")</f>
        <v/>
      </c>
      <c r="H4744" s="69"/>
      <c r="I4744" s="66"/>
      <c r="J4744" s="125">
        <v>0</v>
      </c>
    </row>
    <row r="4745" spans="1:10" ht="15.75" hidden="1" thickBot="1" x14ac:dyDescent="0.3">
      <c r="A4745" s="234" t="s">
        <v>1905</v>
      </c>
      <c r="B4745" s="237" t="s">
        <v>1906</v>
      </c>
      <c r="C4745" s="160"/>
      <c r="D4745" s="23" t="s">
        <v>16</v>
      </c>
      <c r="E4745" s="24"/>
      <c r="F4745" s="44" t="s">
        <v>418</v>
      </c>
      <c r="G4745" s="25" t="str">
        <f>IF(ISNUMBER(F4745),E4745*F4745,"")</f>
        <v/>
      </c>
      <c r="H4745" s="26"/>
      <c r="I4745" s="27"/>
      <c r="J4745" s="125">
        <v>0</v>
      </c>
    </row>
    <row r="4746" spans="1:10" ht="15.75" hidden="1" thickBot="1" x14ac:dyDescent="0.3">
      <c r="A4746" s="249"/>
      <c r="B4746" s="238"/>
      <c r="C4746" s="151"/>
      <c r="D4746" s="29"/>
      <c r="E4746" s="30"/>
      <c r="F4746" s="49" t="s">
        <v>418</v>
      </c>
      <c r="G4746" s="49" t="str">
        <f>IF(ISNUMBER(F4746),E4746*F4746,"")</f>
        <v/>
      </c>
      <c r="H4746" s="65"/>
      <c r="I4746" s="66"/>
      <c r="J4746" s="125">
        <v>0</v>
      </c>
    </row>
    <row r="4747" spans="1:10" ht="26.25" hidden="1" thickBot="1" x14ac:dyDescent="0.3">
      <c r="A4747" s="249"/>
      <c r="B4747" s="238"/>
      <c r="C4747" s="155" t="s">
        <v>27436</v>
      </c>
      <c r="D4747" s="155" t="s">
        <v>205</v>
      </c>
      <c r="E4747" s="34">
        <v>1</v>
      </c>
      <c r="F4747" s="49">
        <v>1125.1324999999999</v>
      </c>
      <c r="G4747" s="49">
        <f>IF(ISNUMBER(F4747),E4747*F4747,"")</f>
        <v>1125.1324999999999</v>
      </c>
      <c r="H4747" s="35">
        <f>SUM(G4747:G4747)</f>
        <v>1125.1324999999999</v>
      </c>
      <c r="I4747" s="36"/>
      <c r="J4747" s="125">
        <v>0</v>
      </c>
    </row>
    <row r="4748" spans="1:10" ht="15.75" hidden="1" thickBot="1" x14ac:dyDescent="0.3">
      <c r="A4748" s="250"/>
      <c r="B4748" s="239"/>
      <c r="C4748" s="164"/>
      <c r="D4748" s="50"/>
      <c r="E4748" s="61"/>
      <c r="F4748" s="68" t="s">
        <v>418</v>
      </c>
      <c r="G4748" s="68" t="str">
        <f>IF(ISNUMBER(F4748),E4748*F4748,"")</f>
        <v/>
      </c>
      <c r="H4748" s="69"/>
      <c r="I4748" s="66"/>
      <c r="J4748" s="125">
        <v>0</v>
      </c>
    </row>
    <row r="4749" spans="1:10" ht="15.75" hidden="1" thickBot="1" x14ac:dyDescent="0.3">
      <c r="A4749" s="234" t="s">
        <v>1910</v>
      </c>
      <c r="B4749" s="237" t="s">
        <v>1911</v>
      </c>
      <c r="C4749" s="160"/>
      <c r="D4749" s="23" t="s">
        <v>70</v>
      </c>
      <c r="E4749" s="24"/>
      <c r="F4749" s="44" t="s">
        <v>418</v>
      </c>
      <c r="G4749" s="25" t="str">
        <f>IF(ISNUMBER(F4749),E4749*F4749,"")</f>
        <v/>
      </c>
      <c r="H4749" s="26"/>
      <c r="I4749" s="27"/>
      <c r="J4749" s="125">
        <v>0</v>
      </c>
    </row>
    <row r="4750" spans="1:10" ht="15.75" hidden="1" thickBot="1" x14ac:dyDescent="0.3">
      <c r="A4750" s="249"/>
      <c r="B4750" s="238"/>
      <c r="C4750" s="151"/>
      <c r="D4750" s="29"/>
      <c r="E4750" s="30"/>
      <c r="F4750" s="49" t="s">
        <v>418</v>
      </c>
      <c r="G4750" s="49" t="str">
        <f>IF(ISNUMBER(F4750),E4750*F4750,"")</f>
        <v/>
      </c>
      <c r="H4750" s="65"/>
      <c r="I4750" s="66"/>
      <c r="J4750" s="125">
        <v>0</v>
      </c>
    </row>
    <row r="4751" spans="1:10" ht="26.25" hidden="1" thickBot="1" x14ac:dyDescent="0.3">
      <c r="A4751" s="249"/>
      <c r="B4751" s="238"/>
      <c r="C4751" s="155" t="s">
        <v>26394</v>
      </c>
      <c r="D4751" s="155" t="s">
        <v>870</v>
      </c>
      <c r="E4751" s="34">
        <v>1</v>
      </c>
      <c r="F4751" s="49">
        <v>34.998000000000005</v>
      </c>
      <c r="G4751" s="49">
        <f>IF(ISNUMBER(F4751),E4751*F4751,"")</f>
        <v>34.998000000000005</v>
      </c>
      <c r="H4751" s="35">
        <f>SUM(G4751:G4751)</f>
        <v>34.998000000000005</v>
      </c>
      <c r="I4751" s="36"/>
      <c r="J4751" s="125">
        <v>0</v>
      </c>
    </row>
    <row r="4752" spans="1:10" ht="15.75" hidden="1" thickBot="1" x14ac:dyDescent="0.3">
      <c r="A4752" s="250"/>
      <c r="B4752" s="239"/>
      <c r="C4752" s="164"/>
      <c r="D4752" s="50"/>
      <c r="E4752" s="61"/>
      <c r="F4752" s="68" t="s">
        <v>418</v>
      </c>
      <c r="G4752" s="68" t="str">
        <f>IF(ISNUMBER(F4752),E4752*F4752,"")</f>
        <v/>
      </c>
      <c r="H4752" s="69"/>
      <c r="I4752" s="66"/>
      <c r="J4752" s="125">
        <v>0</v>
      </c>
    </row>
    <row r="4753" spans="1:10" ht="15.75" hidden="1" thickBot="1" x14ac:dyDescent="0.3">
      <c r="A4753" s="234" t="s">
        <v>1912</v>
      </c>
      <c r="B4753" s="237" t="s">
        <v>1913</v>
      </c>
      <c r="C4753" s="160"/>
      <c r="D4753" s="23" t="s">
        <v>76</v>
      </c>
      <c r="E4753" s="24"/>
      <c r="F4753" s="44" t="s">
        <v>418</v>
      </c>
      <c r="G4753" s="25" t="str">
        <f>IF(ISNUMBER(F4753),E4753*F4753,"")</f>
        <v/>
      </c>
      <c r="H4753" s="26"/>
      <c r="I4753" s="27"/>
      <c r="J4753" s="125">
        <v>0</v>
      </c>
    </row>
    <row r="4754" spans="1:10" ht="15.75" hidden="1" thickBot="1" x14ac:dyDescent="0.3">
      <c r="A4754" s="249"/>
      <c r="B4754" s="238"/>
      <c r="C4754" s="151"/>
      <c r="D4754" s="29"/>
      <c r="E4754" s="30"/>
      <c r="F4754" s="49" t="s">
        <v>418</v>
      </c>
      <c r="G4754" s="49" t="str">
        <f>IF(ISNUMBER(F4754),E4754*F4754,"")</f>
        <v/>
      </c>
      <c r="H4754" s="65"/>
      <c r="I4754" s="66"/>
      <c r="J4754" s="125">
        <v>0</v>
      </c>
    </row>
    <row r="4755" spans="1:10" ht="26.25" hidden="1" thickBot="1" x14ac:dyDescent="0.3">
      <c r="A4755" s="249"/>
      <c r="B4755" s="238"/>
      <c r="C4755" s="155" t="s">
        <v>1250</v>
      </c>
      <c r="D4755" s="155" t="s">
        <v>76</v>
      </c>
      <c r="E4755" s="34">
        <v>1</v>
      </c>
      <c r="F4755" s="49">
        <v>29.962999999999997</v>
      </c>
      <c r="G4755" s="49">
        <f>IF(ISNUMBER(F4755),E4755*F4755,"")</f>
        <v>29.962999999999997</v>
      </c>
      <c r="H4755" s="35">
        <f>SUM(G4755:G4755)</f>
        <v>29.962999999999997</v>
      </c>
      <c r="I4755" s="36"/>
      <c r="J4755" s="125">
        <v>0</v>
      </c>
    </row>
    <row r="4756" spans="1:10" ht="15.75" hidden="1" thickBot="1" x14ac:dyDescent="0.3">
      <c r="A4756" s="250"/>
      <c r="B4756" s="239"/>
      <c r="C4756" s="164"/>
      <c r="D4756" s="50"/>
      <c r="E4756" s="61"/>
      <c r="F4756" s="68" t="s">
        <v>418</v>
      </c>
      <c r="G4756" s="68" t="str">
        <f>IF(ISNUMBER(F4756),E4756*F4756,"")</f>
        <v/>
      </c>
      <c r="H4756" s="69"/>
      <c r="I4756" s="66"/>
      <c r="J4756" s="125">
        <v>0</v>
      </c>
    </row>
    <row r="4757" spans="1:10" ht="15.75" hidden="1" thickBot="1" x14ac:dyDescent="0.3">
      <c r="A4757" s="234" t="s">
        <v>1283</v>
      </c>
      <c r="B4757" s="237" t="s">
        <v>1914</v>
      </c>
      <c r="C4757" s="160"/>
      <c r="D4757" s="23" t="s">
        <v>70</v>
      </c>
      <c r="E4757" s="24"/>
      <c r="F4757" s="44" t="s">
        <v>418</v>
      </c>
      <c r="G4757" s="25" t="str">
        <f>IF(ISNUMBER(F4757),E4757*F4757,"")</f>
        <v/>
      </c>
      <c r="H4757" s="26"/>
      <c r="I4757" s="27"/>
      <c r="J4757" s="125">
        <v>0</v>
      </c>
    </row>
    <row r="4758" spans="1:10" ht="15.75" hidden="1" thickBot="1" x14ac:dyDescent="0.3">
      <c r="A4758" s="249"/>
      <c r="B4758" s="238"/>
      <c r="C4758" s="151"/>
      <c r="D4758" s="29"/>
      <c r="E4758" s="30"/>
      <c r="F4758" s="49" t="s">
        <v>418</v>
      </c>
      <c r="G4758" s="49" t="str">
        <f>IF(ISNUMBER(F4758),E4758*F4758,"")</f>
        <v/>
      </c>
      <c r="H4758" s="65"/>
      <c r="I4758" s="66"/>
      <c r="J4758" s="125">
        <v>0</v>
      </c>
    </row>
    <row r="4759" spans="1:10" ht="15.75" hidden="1" thickBot="1" x14ac:dyDescent="0.3">
      <c r="A4759" s="249"/>
      <c r="B4759" s="238"/>
      <c r="C4759" s="155" t="s">
        <v>595</v>
      </c>
      <c r="D4759" s="155" t="s">
        <v>587</v>
      </c>
      <c r="E4759" s="34">
        <v>0.1</v>
      </c>
      <c r="F4759" s="49">
        <v>25.65</v>
      </c>
      <c r="G4759" s="49">
        <f>IF(ISNUMBER(F4759),E4759*F4759,"")</f>
        <v>2.5649999999999999</v>
      </c>
      <c r="H4759" s="35">
        <f>SUM(G4759:G4766)</f>
        <v>15.333</v>
      </c>
      <c r="I4759" s="36"/>
      <c r="J4759" s="125">
        <v>0</v>
      </c>
    </row>
    <row r="4760" spans="1:10" ht="15.75" hidden="1" thickBot="1" x14ac:dyDescent="0.3">
      <c r="A4760" s="249"/>
      <c r="B4760" s="238"/>
      <c r="C4760" s="155" t="s">
        <v>588</v>
      </c>
      <c r="D4760" s="155" t="s">
        <v>587</v>
      </c>
      <c r="E4760" s="34">
        <v>0.1</v>
      </c>
      <c r="F4760" s="49">
        <v>19.189999999999998</v>
      </c>
      <c r="G4760" s="49">
        <f>IF(ISNUMBER(F4760),E4760*F4760,"")</f>
        <v>1.9189999999999998</v>
      </c>
      <c r="H4760" s="65"/>
      <c r="I4760" s="66"/>
      <c r="J4760" s="125">
        <v>0</v>
      </c>
    </row>
    <row r="4761" spans="1:10" ht="15.75" hidden="1" thickBot="1" x14ac:dyDescent="0.3">
      <c r="A4761" s="249"/>
      <c r="B4761" s="238"/>
      <c r="C4761" s="155" t="s">
        <v>13566</v>
      </c>
      <c r="D4761" s="33" t="s">
        <v>774</v>
      </c>
      <c r="E4761" s="34">
        <v>0.1</v>
      </c>
      <c r="F4761" s="49" t="s">
        <v>418</v>
      </c>
      <c r="G4761" s="49" t="str">
        <f>IF(ISNUMBER(F4761),E4761*F4761,"")</f>
        <v/>
      </c>
      <c r="H4761" s="65"/>
      <c r="I4761" s="66"/>
      <c r="J4761" s="125">
        <v>0</v>
      </c>
    </row>
    <row r="4762" spans="1:10" ht="26.25" hidden="1" thickBot="1" x14ac:dyDescent="0.3">
      <c r="A4762" s="249"/>
      <c r="B4762" s="238"/>
      <c r="C4762" s="155" t="s">
        <v>1285</v>
      </c>
      <c r="D4762" s="33" t="s">
        <v>70</v>
      </c>
      <c r="E4762" s="34">
        <v>1.1000000000000001</v>
      </c>
      <c r="F4762" s="49" t="s">
        <v>418</v>
      </c>
      <c r="G4762" s="49" t="str">
        <f>IF(ISNUMBER(F4762),E4762*F4762,"")</f>
        <v/>
      </c>
      <c r="H4762" s="65"/>
      <c r="I4762" s="66"/>
      <c r="J4762" s="125">
        <v>0</v>
      </c>
    </row>
    <row r="4763" spans="1:10" ht="15.75" hidden="1" thickBot="1" x14ac:dyDescent="0.3">
      <c r="A4763" s="249"/>
      <c r="B4763" s="238"/>
      <c r="C4763" s="155" t="s">
        <v>595</v>
      </c>
      <c r="D4763" s="155" t="s">
        <v>587</v>
      </c>
      <c r="E4763" s="34">
        <v>0.2</v>
      </c>
      <c r="F4763" s="49">
        <v>25.65</v>
      </c>
      <c r="G4763" s="49">
        <f>IF(ISNUMBER(F4763),E4763*F4763,"")</f>
        <v>5.13</v>
      </c>
      <c r="H4763" s="65"/>
      <c r="I4763" s="36"/>
      <c r="J4763" s="125">
        <v>0</v>
      </c>
    </row>
    <row r="4764" spans="1:10" ht="15.75" hidden="1" thickBot="1" x14ac:dyDescent="0.3">
      <c r="A4764" s="249"/>
      <c r="B4764" s="238"/>
      <c r="C4764" s="155" t="s">
        <v>588</v>
      </c>
      <c r="D4764" s="155" t="s">
        <v>587</v>
      </c>
      <c r="E4764" s="34">
        <v>0.2</v>
      </c>
      <c r="F4764" s="49">
        <v>19.189999999999998</v>
      </c>
      <c r="G4764" s="49">
        <f>IF(ISNUMBER(F4764),E4764*F4764,"")</f>
        <v>3.8379999999999996</v>
      </c>
      <c r="H4764" s="65"/>
      <c r="I4764" s="66"/>
      <c r="J4764" s="125">
        <v>0</v>
      </c>
    </row>
    <row r="4765" spans="1:10" ht="15.75" hidden="1" thickBot="1" x14ac:dyDescent="0.3">
      <c r="A4765" s="249"/>
      <c r="B4765" s="238"/>
      <c r="C4765" s="155" t="s">
        <v>24537</v>
      </c>
      <c r="D4765" s="155" t="s">
        <v>774</v>
      </c>
      <c r="E4765" s="34">
        <v>1.5</v>
      </c>
      <c r="F4765" s="49">
        <v>1.254</v>
      </c>
      <c r="G4765" s="49">
        <f>IF(ISNUMBER(F4765),E4765*F4765,"")</f>
        <v>1.881</v>
      </c>
      <c r="H4765" s="65"/>
      <c r="I4765" s="66"/>
      <c r="J4765" s="125">
        <v>0</v>
      </c>
    </row>
    <row r="4766" spans="1:10" ht="15.75" hidden="1" thickBot="1" x14ac:dyDescent="0.3">
      <c r="A4766" s="249"/>
      <c r="B4766" s="238"/>
      <c r="C4766" s="155" t="s">
        <v>1284</v>
      </c>
      <c r="D4766" s="33" t="s">
        <v>774</v>
      </c>
      <c r="E4766" s="34">
        <f>ROUND(E4765*0.1,2)</f>
        <v>0.15</v>
      </c>
      <c r="F4766" s="49" t="s">
        <v>418</v>
      </c>
      <c r="G4766" s="49" t="str">
        <f>IF(ISNUMBER(F4766),E4766*F4766,"")</f>
        <v/>
      </c>
      <c r="H4766" s="65"/>
      <c r="I4766" s="66"/>
      <c r="J4766" s="125">
        <v>0</v>
      </c>
    </row>
    <row r="4767" spans="1:10" ht="15.75" hidden="1" thickBot="1" x14ac:dyDescent="0.3">
      <c r="A4767" s="249"/>
      <c r="B4767" s="238"/>
      <c r="C4767" s="155"/>
      <c r="D4767" s="33"/>
      <c r="E4767" s="34"/>
      <c r="F4767" s="49" t="s">
        <v>418</v>
      </c>
      <c r="G4767" s="49" t="str">
        <f>IF(ISNUMBER(F4767),E4767*F4767,"")</f>
        <v/>
      </c>
      <c r="H4767" s="65"/>
      <c r="I4767" s="66"/>
      <c r="J4767" s="125">
        <v>0</v>
      </c>
    </row>
    <row r="4768" spans="1:10" ht="15.75" hidden="1" thickBot="1" x14ac:dyDescent="0.3">
      <c r="A4768" s="234" t="s">
        <v>1286</v>
      </c>
      <c r="B4768" s="237" t="s">
        <v>1915</v>
      </c>
      <c r="C4768" s="160"/>
      <c r="D4768" s="23" t="s">
        <v>70</v>
      </c>
      <c r="E4768" s="24"/>
      <c r="F4768" s="44" t="s">
        <v>418</v>
      </c>
      <c r="G4768" s="25" t="str">
        <f>IF(ISNUMBER(F4768),E4768*F4768,"")</f>
        <v/>
      </c>
      <c r="H4768" s="26"/>
      <c r="I4768" s="27"/>
      <c r="J4768" s="125">
        <v>0</v>
      </c>
    </row>
    <row r="4769" spans="1:10" ht="15.75" hidden="1" thickBot="1" x14ac:dyDescent="0.3">
      <c r="A4769" s="249"/>
      <c r="B4769" s="238"/>
      <c r="C4769" s="151"/>
      <c r="D4769" s="29"/>
      <c r="E4769" s="30"/>
      <c r="F4769" s="49" t="s">
        <v>418</v>
      </c>
      <c r="G4769" s="49" t="str">
        <f>IF(ISNUMBER(F4769),E4769*F4769,"")</f>
        <v/>
      </c>
      <c r="H4769" s="65"/>
      <c r="I4769" s="66"/>
      <c r="J4769" s="125">
        <v>0</v>
      </c>
    </row>
    <row r="4770" spans="1:10" ht="15.75" hidden="1" thickBot="1" x14ac:dyDescent="0.3">
      <c r="A4770" s="249"/>
      <c r="B4770" s="238"/>
      <c r="C4770" s="155" t="s">
        <v>595</v>
      </c>
      <c r="D4770" s="155" t="s">
        <v>587</v>
      </c>
      <c r="E4770" s="34">
        <v>0.01</v>
      </c>
      <c r="F4770" s="49">
        <v>25.65</v>
      </c>
      <c r="G4770" s="49">
        <f>IF(ISNUMBER(F4770),E4770*F4770,"")</f>
        <v>0.25650000000000001</v>
      </c>
      <c r="H4770" s="35">
        <f>SUM(G4770:G4771)</f>
        <v>2.1755</v>
      </c>
      <c r="I4770" s="36"/>
      <c r="J4770" s="125">
        <v>0</v>
      </c>
    </row>
    <row r="4771" spans="1:10" ht="15.75" hidden="1" thickBot="1" x14ac:dyDescent="0.3">
      <c r="A4771" s="249"/>
      <c r="B4771" s="238"/>
      <c r="C4771" s="155" t="s">
        <v>588</v>
      </c>
      <c r="D4771" s="155" t="s">
        <v>587</v>
      </c>
      <c r="E4771" s="34">
        <v>0.1</v>
      </c>
      <c r="F4771" s="49">
        <v>19.189999999999998</v>
      </c>
      <c r="G4771" s="49">
        <f>IF(ISNUMBER(F4771),E4771*F4771,"")</f>
        <v>1.9189999999999998</v>
      </c>
      <c r="H4771" s="65"/>
      <c r="I4771" s="66"/>
      <c r="J4771" s="125">
        <v>0</v>
      </c>
    </row>
    <row r="4772" spans="1:10" ht="15.75" hidden="1" thickBot="1" x14ac:dyDescent="0.3">
      <c r="A4772" s="250"/>
      <c r="B4772" s="239"/>
      <c r="C4772" s="164"/>
      <c r="D4772" s="50"/>
      <c r="E4772" s="61"/>
      <c r="F4772" s="68" t="s">
        <v>418</v>
      </c>
      <c r="G4772" s="68" t="str">
        <f>IF(ISNUMBER(F4772),E4772*F4772,"")</f>
        <v/>
      </c>
      <c r="H4772" s="69"/>
      <c r="I4772" s="66"/>
      <c r="J4772" s="125">
        <v>0</v>
      </c>
    </row>
    <row r="4773" spans="1:10" ht="15.75" hidden="1" thickBot="1" x14ac:dyDescent="0.3">
      <c r="A4773" s="234" t="s">
        <v>10307</v>
      </c>
      <c r="B4773" s="237" t="s">
        <v>10353</v>
      </c>
      <c r="C4773" s="160"/>
      <c r="D4773" s="23" t="s">
        <v>16</v>
      </c>
      <c r="E4773" s="24"/>
      <c r="F4773" s="44" t="s">
        <v>418</v>
      </c>
      <c r="G4773" s="25" t="str">
        <f>IF(ISNUMBER(F4773),E4773*F4773,"")</f>
        <v/>
      </c>
      <c r="H4773" s="26"/>
      <c r="I4773" s="27"/>
      <c r="J4773" s="125">
        <v>0</v>
      </c>
    </row>
    <row r="4774" spans="1:10" ht="15.75" hidden="1" thickBot="1" x14ac:dyDescent="0.3">
      <c r="A4774" s="249"/>
      <c r="B4774" s="238"/>
      <c r="C4774" s="151"/>
      <c r="D4774" s="29"/>
      <c r="E4774" s="30"/>
      <c r="F4774" s="49" t="s">
        <v>418</v>
      </c>
      <c r="G4774" s="49" t="str">
        <f>IF(ISNUMBER(F4774),E4774*F4774,"")</f>
        <v/>
      </c>
      <c r="H4774" s="65"/>
      <c r="I4774" s="66"/>
      <c r="J4774" s="125">
        <v>0</v>
      </c>
    </row>
    <row r="4775" spans="1:10" ht="15.75" hidden="1" thickBot="1" x14ac:dyDescent="0.3">
      <c r="A4775" s="249"/>
      <c r="B4775" s="238"/>
      <c r="C4775" s="155" t="s">
        <v>10274</v>
      </c>
      <c r="D4775" s="155" t="s">
        <v>774</v>
      </c>
      <c r="E4775" s="34">
        <f>0.5228*2.4/1.5</f>
        <v>0.83648</v>
      </c>
      <c r="F4775" s="49">
        <v>39.444000000000003</v>
      </c>
      <c r="G4775" s="49">
        <f>IF(ISNUMBER(F4775),E4775*F4775,"")</f>
        <v>32.994117120000006</v>
      </c>
      <c r="H4775" s="35">
        <f>SUM(G4775:G4781)</f>
        <v>2019.6295388799999</v>
      </c>
      <c r="I4775" s="36"/>
      <c r="J4775" s="125">
        <v>0</v>
      </c>
    </row>
    <row r="4776" spans="1:10" ht="39" hidden="1" thickBot="1" x14ac:dyDescent="0.3">
      <c r="A4776" s="249"/>
      <c r="B4776" s="238"/>
      <c r="C4776" s="155" t="s">
        <v>996</v>
      </c>
      <c r="D4776" s="155" t="s">
        <v>205</v>
      </c>
      <c r="E4776" s="34">
        <v>9</v>
      </c>
      <c r="F4776" s="49">
        <v>0.57950000000000002</v>
      </c>
      <c r="G4776" s="49">
        <f>IF(ISNUMBER(F4776),E4776*F4776,"")</f>
        <v>5.2155000000000005</v>
      </c>
      <c r="H4776" s="65"/>
      <c r="I4776" s="66"/>
      <c r="J4776" s="125">
        <v>0</v>
      </c>
    </row>
    <row r="4777" spans="1:10" ht="39" hidden="1" thickBot="1" x14ac:dyDescent="0.3">
      <c r="A4777" s="249"/>
      <c r="B4777" s="238"/>
      <c r="C4777" s="155" t="s">
        <v>38837</v>
      </c>
      <c r="D4777" s="155" t="s">
        <v>870</v>
      </c>
      <c r="E4777" s="34">
        <f>1.005*2.4/1.5</f>
        <v>1.6079999999999997</v>
      </c>
      <c r="F4777" s="49">
        <v>1147.163</v>
      </c>
      <c r="G4777" s="49">
        <f>IF(ISNUMBER(F4777),E4777*F4777,"")</f>
        <v>1844.6381039999997</v>
      </c>
      <c r="H4777" s="65"/>
      <c r="I4777" s="66"/>
      <c r="J4777" s="125">
        <v>0</v>
      </c>
    </row>
    <row r="4778" spans="1:10" ht="15.75" hidden="1" thickBot="1" x14ac:dyDescent="0.3">
      <c r="A4778" s="249"/>
      <c r="B4778" s="238"/>
      <c r="C4778" s="155" t="s">
        <v>10395</v>
      </c>
      <c r="D4778" s="155" t="s">
        <v>774</v>
      </c>
      <c r="E4778" s="34">
        <f>0.0211*2.4/1.5</f>
        <v>3.3759999999999998E-2</v>
      </c>
      <c r="F4778" s="49">
        <v>138.6335</v>
      </c>
      <c r="G4778" s="49">
        <f>IF(ISNUMBER(F4778),E4778*F4778,"")</f>
        <v>4.68026696</v>
      </c>
      <c r="H4778" s="65"/>
      <c r="I4778" s="66"/>
      <c r="J4778" s="125">
        <v>0</v>
      </c>
    </row>
    <row r="4779" spans="1:10" ht="26.25" hidden="1" thickBot="1" x14ac:dyDescent="0.3">
      <c r="A4779" s="249"/>
      <c r="B4779" s="238"/>
      <c r="C4779" s="155" t="s">
        <v>10283</v>
      </c>
      <c r="D4779" s="155" t="s">
        <v>205</v>
      </c>
      <c r="E4779" s="34">
        <v>3</v>
      </c>
      <c r="F4779" s="49">
        <v>25.032499999999999</v>
      </c>
      <c r="G4779" s="49">
        <f>IF(ISNUMBER(F4779),E4779*F4779,"")</f>
        <v>75.097499999999997</v>
      </c>
      <c r="H4779" s="65"/>
      <c r="I4779" s="36"/>
      <c r="J4779" s="125">
        <v>0</v>
      </c>
    </row>
    <row r="4780" spans="1:10" ht="15.75" hidden="1" thickBot="1" x14ac:dyDescent="0.3">
      <c r="A4780" s="249"/>
      <c r="B4780" s="238"/>
      <c r="C4780" s="155" t="s">
        <v>9784</v>
      </c>
      <c r="D4780" s="155" t="s">
        <v>587</v>
      </c>
      <c r="E4780" s="34">
        <v>1.4944</v>
      </c>
      <c r="F4780" s="49">
        <v>25.516999999999999</v>
      </c>
      <c r="G4780" s="49">
        <f>IF(ISNUMBER(F4780),E4780*F4780,"")</f>
        <v>38.132604799999996</v>
      </c>
      <c r="H4780" s="65"/>
      <c r="I4780" s="66"/>
      <c r="J4780" s="125">
        <v>0</v>
      </c>
    </row>
    <row r="4781" spans="1:10" ht="15.75" hidden="1" thickBot="1" x14ac:dyDescent="0.3">
      <c r="A4781" s="249"/>
      <c r="B4781" s="238"/>
      <c r="C4781" s="155" t="s">
        <v>588</v>
      </c>
      <c r="D4781" s="155" t="s">
        <v>587</v>
      </c>
      <c r="E4781" s="34">
        <v>0.98340000000000005</v>
      </c>
      <c r="F4781" s="49">
        <v>19.189999999999998</v>
      </c>
      <c r="G4781" s="49">
        <f>IF(ISNUMBER(F4781),E4781*F4781,"")</f>
        <v>18.871445999999999</v>
      </c>
      <c r="H4781" s="65"/>
      <c r="I4781" s="66"/>
      <c r="J4781" s="125">
        <v>0</v>
      </c>
    </row>
    <row r="4782" spans="1:10" ht="15.75" hidden="1" thickBot="1" x14ac:dyDescent="0.3">
      <c r="A4782" s="249"/>
      <c r="B4782" s="238"/>
      <c r="C4782" s="155"/>
      <c r="D4782" s="33"/>
      <c r="E4782" s="34"/>
      <c r="F4782" s="49" t="s">
        <v>418</v>
      </c>
      <c r="G4782" s="49" t="str">
        <f>IF(ISNUMBER(F4782),E4782*F4782,"")</f>
        <v/>
      </c>
      <c r="H4782" s="65"/>
      <c r="I4782" s="66"/>
      <c r="J4782" s="125">
        <v>0</v>
      </c>
    </row>
    <row r="4783" spans="1:10" ht="15.75" hidden="1" thickBot="1" x14ac:dyDescent="0.3">
      <c r="A4783" s="234" t="s">
        <v>10308</v>
      </c>
      <c r="B4783" s="237" t="s">
        <v>10354</v>
      </c>
      <c r="C4783" s="160"/>
      <c r="D4783" s="23" t="s">
        <v>16</v>
      </c>
      <c r="E4783" s="24"/>
      <c r="F4783" s="44" t="s">
        <v>418</v>
      </c>
      <c r="G4783" s="25" t="str">
        <f>IF(ISNUMBER(F4783),E4783*F4783,"")</f>
        <v/>
      </c>
      <c r="H4783" s="26"/>
      <c r="I4783" s="27"/>
      <c r="J4783" s="125">
        <v>0</v>
      </c>
    </row>
    <row r="4784" spans="1:10" ht="15.75" hidden="1" thickBot="1" x14ac:dyDescent="0.3">
      <c r="A4784" s="249"/>
      <c r="B4784" s="238"/>
      <c r="C4784" s="151"/>
      <c r="D4784" s="29"/>
      <c r="E4784" s="30"/>
      <c r="F4784" s="49" t="s">
        <v>418</v>
      </c>
      <c r="G4784" s="49" t="str">
        <f>IF(ISNUMBER(F4784),E4784*F4784,"")</f>
        <v/>
      </c>
      <c r="H4784" s="65"/>
      <c r="I4784" s="66"/>
      <c r="J4784" s="125">
        <v>0</v>
      </c>
    </row>
    <row r="4785" spans="1:10" ht="15.75" hidden="1" thickBot="1" x14ac:dyDescent="0.3">
      <c r="A4785" s="249"/>
      <c r="B4785" s="238"/>
      <c r="C4785" s="155" t="s">
        <v>10274</v>
      </c>
      <c r="D4785" s="155" t="s">
        <v>774</v>
      </c>
      <c r="E4785" s="34">
        <f>0.5228*2.5/1.5</f>
        <v>0.8713333333333334</v>
      </c>
      <c r="F4785" s="49">
        <v>39.444000000000003</v>
      </c>
      <c r="G4785" s="49">
        <f>IF(ISNUMBER(F4785),E4785*F4785,"")</f>
        <v>34.368872000000003</v>
      </c>
      <c r="H4785" s="35">
        <f>SUM(G4785:G4791)</f>
        <v>2098.0592258833335</v>
      </c>
      <c r="I4785" s="36"/>
      <c r="J4785" s="125">
        <v>0</v>
      </c>
    </row>
    <row r="4786" spans="1:10" ht="39" hidden="1" thickBot="1" x14ac:dyDescent="0.3">
      <c r="A4786" s="249"/>
      <c r="B4786" s="238"/>
      <c r="C4786" s="155" t="s">
        <v>996</v>
      </c>
      <c r="D4786" s="155" t="s">
        <v>205</v>
      </c>
      <c r="E4786" s="34">
        <v>9</v>
      </c>
      <c r="F4786" s="49">
        <v>0.57950000000000002</v>
      </c>
      <c r="G4786" s="49">
        <f>IF(ISNUMBER(F4786),E4786*F4786,"")</f>
        <v>5.2155000000000005</v>
      </c>
      <c r="H4786" s="65"/>
      <c r="I4786" s="66"/>
      <c r="J4786" s="125">
        <v>0</v>
      </c>
    </row>
    <row r="4787" spans="1:10" ht="39" hidden="1" thickBot="1" x14ac:dyDescent="0.3">
      <c r="A4787" s="249"/>
      <c r="B4787" s="238"/>
      <c r="C4787" s="155" t="s">
        <v>38837</v>
      </c>
      <c r="D4787" s="155" t="s">
        <v>870</v>
      </c>
      <c r="E4787" s="34">
        <f>1.005*2.5/1.5</f>
        <v>1.6749999999999998</v>
      </c>
      <c r="F4787" s="49">
        <v>1147.163</v>
      </c>
      <c r="G4787" s="49">
        <f>IF(ISNUMBER(F4787),E4787*F4787,"")</f>
        <v>1921.4980249999999</v>
      </c>
      <c r="H4787" s="65"/>
      <c r="I4787" s="66"/>
      <c r="J4787" s="125">
        <v>0</v>
      </c>
    </row>
    <row r="4788" spans="1:10" ht="15.75" hidden="1" thickBot="1" x14ac:dyDescent="0.3">
      <c r="A4788" s="249"/>
      <c r="B4788" s="238"/>
      <c r="C4788" s="155" t="s">
        <v>10395</v>
      </c>
      <c r="D4788" s="155" t="s">
        <v>774</v>
      </c>
      <c r="E4788" s="34">
        <f>0.0211*2.5/1.5</f>
        <v>3.5166666666666672E-2</v>
      </c>
      <c r="F4788" s="49">
        <v>138.6335</v>
      </c>
      <c r="G4788" s="49">
        <f>IF(ISNUMBER(F4788),E4788*F4788,"")</f>
        <v>4.8752780833333338</v>
      </c>
      <c r="H4788" s="65"/>
      <c r="I4788" s="66"/>
      <c r="J4788" s="125">
        <v>0</v>
      </c>
    </row>
    <row r="4789" spans="1:10" ht="26.25" hidden="1" thickBot="1" x14ac:dyDescent="0.3">
      <c r="A4789" s="249"/>
      <c r="B4789" s="238"/>
      <c r="C4789" s="155" t="s">
        <v>10283</v>
      </c>
      <c r="D4789" s="155" t="s">
        <v>205</v>
      </c>
      <c r="E4789" s="34">
        <v>3</v>
      </c>
      <c r="F4789" s="49">
        <v>25.032499999999999</v>
      </c>
      <c r="G4789" s="49">
        <f>IF(ISNUMBER(F4789),E4789*F4789,"")</f>
        <v>75.097499999999997</v>
      </c>
      <c r="H4789" s="65"/>
      <c r="I4789" s="36"/>
      <c r="J4789" s="125">
        <v>0</v>
      </c>
    </row>
    <row r="4790" spans="1:10" ht="15.75" hidden="1" thickBot="1" x14ac:dyDescent="0.3">
      <c r="A4790" s="249"/>
      <c r="B4790" s="238"/>
      <c r="C4790" s="155" t="s">
        <v>9784</v>
      </c>
      <c r="D4790" s="155" t="s">
        <v>587</v>
      </c>
      <c r="E4790" s="34">
        <v>1.4944</v>
      </c>
      <c r="F4790" s="49">
        <v>25.516999999999999</v>
      </c>
      <c r="G4790" s="49">
        <f>IF(ISNUMBER(F4790),E4790*F4790,"")</f>
        <v>38.132604799999996</v>
      </c>
      <c r="H4790" s="65"/>
      <c r="I4790" s="66"/>
      <c r="J4790" s="125">
        <v>0</v>
      </c>
    </row>
    <row r="4791" spans="1:10" ht="15.75" hidden="1" thickBot="1" x14ac:dyDescent="0.3">
      <c r="A4791" s="249"/>
      <c r="B4791" s="238"/>
      <c r="C4791" s="155" t="s">
        <v>588</v>
      </c>
      <c r="D4791" s="155" t="s">
        <v>587</v>
      </c>
      <c r="E4791" s="34">
        <v>0.98340000000000005</v>
      </c>
      <c r="F4791" s="49">
        <v>19.189999999999998</v>
      </c>
      <c r="G4791" s="49">
        <f>IF(ISNUMBER(F4791),E4791*F4791,"")</f>
        <v>18.871445999999999</v>
      </c>
      <c r="H4791" s="65"/>
      <c r="I4791" s="66"/>
      <c r="J4791" s="125">
        <v>0</v>
      </c>
    </row>
    <row r="4792" spans="1:10" ht="15.75" hidden="1" thickBot="1" x14ac:dyDescent="0.3">
      <c r="A4792" s="249"/>
      <c r="B4792" s="238"/>
      <c r="C4792" s="155"/>
      <c r="D4792" s="33"/>
      <c r="E4792" s="34"/>
      <c r="F4792" s="49" t="s">
        <v>418</v>
      </c>
      <c r="G4792" s="49" t="str">
        <f>IF(ISNUMBER(F4792),E4792*F4792,"")</f>
        <v/>
      </c>
      <c r="H4792" s="65"/>
      <c r="I4792" s="66"/>
      <c r="J4792" s="125">
        <v>0</v>
      </c>
    </row>
    <row r="4793" spans="1:10" ht="15.75" hidden="1" thickBot="1" x14ac:dyDescent="0.3">
      <c r="A4793" s="234" t="s">
        <v>10309</v>
      </c>
      <c r="B4793" s="237" t="s">
        <v>10355</v>
      </c>
      <c r="C4793" s="160"/>
      <c r="D4793" s="23" t="s">
        <v>16</v>
      </c>
      <c r="E4793" s="24"/>
      <c r="F4793" s="37" t="s">
        <v>418</v>
      </c>
      <c r="G4793" s="25" t="str">
        <f>IF(ISNUMBER(F4793),E4793*F4793,"")</f>
        <v/>
      </c>
      <c r="H4793" s="26"/>
      <c r="I4793" s="27"/>
      <c r="J4793" s="125">
        <v>0</v>
      </c>
    </row>
    <row r="4794" spans="1:10" ht="15.75" hidden="1" thickBot="1" x14ac:dyDescent="0.3">
      <c r="A4794" s="235"/>
      <c r="B4794" s="238"/>
      <c r="C4794" s="151"/>
      <c r="D4794" s="29"/>
      <c r="E4794" s="30"/>
      <c r="F4794" s="38" t="s">
        <v>418</v>
      </c>
      <c r="G4794" s="31" t="str">
        <f>IF(ISNUMBER(F4794),E4794*F4794,"")</f>
        <v/>
      </c>
      <c r="H4794" s="32"/>
      <c r="I4794" s="28"/>
      <c r="J4794" s="125">
        <v>0</v>
      </c>
    </row>
    <row r="4795" spans="1:10" ht="15.75" hidden="1" thickBot="1" x14ac:dyDescent="0.3">
      <c r="A4795" s="235"/>
      <c r="B4795" s="238"/>
      <c r="C4795" s="155" t="s">
        <v>9864</v>
      </c>
      <c r="D4795" s="155" t="s">
        <v>587</v>
      </c>
      <c r="E4795" s="34">
        <v>0.15</v>
      </c>
      <c r="F4795" s="31">
        <v>23.274999999999999</v>
      </c>
      <c r="G4795" s="31">
        <f>IF(ISNUMBER(F4795),E4795*F4795,"")</f>
        <v>3.4912499999999995</v>
      </c>
      <c r="H4795" s="35">
        <f>SUM(G4795:G4796)</f>
        <v>3.4912499999999995</v>
      </c>
      <c r="I4795" s="36"/>
      <c r="J4795" s="125">
        <v>0</v>
      </c>
    </row>
    <row r="4796" spans="1:10" ht="26.25" hidden="1" thickBot="1" x14ac:dyDescent="0.3">
      <c r="A4796" s="235"/>
      <c r="B4796" s="238"/>
      <c r="C4796" s="155" t="s">
        <v>11185</v>
      </c>
      <c r="D4796" s="33" t="s">
        <v>16</v>
      </c>
      <c r="E4796" s="34">
        <v>1</v>
      </c>
      <c r="F4796" s="28" t="s">
        <v>418</v>
      </c>
      <c r="G4796" s="31" t="str">
        <f>IF(ISNUMBER(F4796),E4796*F4796,"")</f>
        <v/>
      </c>
      <c r="H4796" s="32"/>
      <c r="I4796" s="28"/>
      <c r="J4796" s="125">
        <v>0</v>
      </c>
    </row>
    <row r="4797" spans="1:10" ht="15.75" hidden="1" thickBot="1" x14ac:dyDescent="0.3">
      <c r="A4797" s="236"/>
      <c r="B4797" s="239"/>
      <c r="C4797" s="155"/>
      <c r="D4797" s="33"/>
      <c r="E4797" s="34"/>
      <c r="F4797" s="28" t="s">
        <v>418</v>
      </c>
      <c r="G4797" s="31" t="str">
        <f>IF(ISNUMBER(F4797),E4797*F4797,"")</f>
        <v/>
      </c>
      <c r="H4797" s="32"/>
      <c r="I4797" s="28"/>
      <c r="J4797" s="125">
        <v>0</v>
      </c>
    </row>
    <row r="4798" spans="1:10" ht="15.75" hidden="1" thickBot="1" x14ac:dyDescent="0.3">
      <c r="A4798" s="234" t="s">
        <v>10310</v>
      </c>
      <c r="B4798" s="237" t="s">
        <v>10356</v>
      </c>
      <c r="C4798" s="160"/>
      <c r="D4798" s="23" t="s">
        <v>16</v>
      </c>
      <c r="E4798" s="24"/>
      <c r="F4798" s="37" t="s">
        <v>418</v>
      </c>
      <c r="G4798" s="25" t="str">
        <f>IF(ISNUMBER(F4798),E4798*F4798,"")</f>
        <v/>
      </c>
      <c r="H4798" s="26"/>
      <c r="I4798" s="27"/>
      <c r="J4798" s="125">
        <v>0</v>
      </c>
    </row>
    <row r="4799" spans="1:10" ht="15.75" hidden="1" thickBot="1" x14ac:dyDescent="0.3">
      <c r="A4799" s="235"/>
      <c r="B4799" s="238"/>
      <c r="C4799" s="151"/>
      <c r="D4799" s="29"/>
      <c r="E4799" s="30"/>
      <c r="F4799" s="38" t="s">
        <v>418</v>
      </c>
      <c r="G4799" s="31" t="str">
        <f>IF(ISNUMBER(F4799),E4799*F4799,"")</f>
        <v/>
      </c>
      <c r="H4799" s="32"/>
      <c r="I4799" s="28"/>
      <c r="J4799" s="125">
        <v>0</v>
      </c>
    </row>
    <row r="4800" spans="1:10" ht="15.75" hidden="1" thickBot="1" x14ac:dyDescent="0.3">
      <c r="A4800" s="235"/>
      <c r="B4800" s="238"/>
      <c r="C4800" s="155" t="s">
        <v>9864</v>
      </c>
      <c r="D4800" s="155" t="s">
        <v>587</v>
      </c>
      <c r="E4800" s="34">
        <v>0.15</v>
      </c>
      <c r="F4800" s="31">
        <v>23.274999999999999</v>
      </c>
      <c r="G4800" s="31">
        <f>IF(ISNUMBER(F4800),E4800*F4800,"")</f>
        <v>3.4912499999999995</v>
      </c>
      <c r="H4800" s="35">
        <f>SUM(G4800:G4801)</f>
        <v>3.4912499999999995</v>
      </c>
      <c r="I4800" s="36"/>
      <c r="J4800" s="125">
        <v>0</v>
      </c>
    </row>
    <row r="4801" spans="1:10" ht="15.75" hidden="1" thickBot="1" x14ac:dyDescent="0.3">
      <c r="A4801" s="235"/>
      <c r="B4801" s="238"/>
      <c r="C4801" s="155" t="s">
        <v>11186</v>
      </c>
      <c r="D4801" s="33" t="s">
        <v>16</v>
      </c>
      <c r="E4801" s="34">
        <v>1</v>
      </c>
      <c r="F4801" s="28" t="s">
        <v>418</v>
      </c>
      <c r="G4801" s="31" t="str">
        <f>IF(ISNUMBER(F4801),E4801*F4801,"")</f>
        <v/>
      </c>
      <c r="H4801" s="32"/>
      <c r="I4801" s="28"/>
      <c r="J4801" s="125">
        <v>0</v>
      </c>
    </row>
    <row r="4802" spans="1:10" ht="15.75" hidden="1" thickBot="1" x14ac:dyDescent="0.3">
      <c r="A4802" s="236"/>
      <c r="B4802" s="239"/>
      <c r="C4802" s="155"/>
      <c r="D4802" s="33"/>
      <c r="E4802" s="34"/>
      <c r="F4802" s="28" t="s">
        <v>418</v>
      </c>
      <c r="G4802" s="31" t="str">
        <f>IF(ISNUMBER(F4802),E4802*F4802,"")</f>
        <v/>
      </c>
      <c r="H4802" s="32"/>
      <c r="I4802" s="28"/>
      <c r="J4802" s="125">
        <v>0</v>
      </c>
    </row>
    <row r="4803" spans="1:10" ht="15.75" hidden="1" thickBot="1" x14ac:dyDescent="0.3">
      <c r="A4803" s="234" t="s">
        <v>10311</v>
      </c>
      <c r="B4803" s="237" t="s">
        <v>10357</v>
      </c>
      <c r="C4803" s="160"/>
      <c r="D4803" s="23" t="s">
        <v>16</v>
      </c>
      <c r="E4803" s="24"/>
      <c r="F4803" s="37" t="s">
        <v>418</v>
      </c>
      <c r="G4803" s="25" t="str">
        <f>IF(ISNUMBER(F4803),E4803*F4803,"")</f>
        <v/>
      </c>
      <c r="H4803" s="26"/>
      <c r="I4803" s="27"/>
      <c r="J4803" s="125">
        <v>0</v>
      </c>
    </row>
    <row r="4804" spans="1:10" ht="15.75" hidden="1" thickBot="1" x14ac:dyDescent="0.3">
      <c r="A4804" s="235"/>
      <c r="B4804" s="238"/>
      <c r="C4804" s="151"/>
      <c r="D4804" s="29"/>
      <c r="E4804" s="30"/>
      <c r="F4804" s="38" t="s">
        <v>418</v>
      </c>
      <c r="G4804" s="31" t="str">
        <f>IF(ISNUMBER(F4804),E4804*F4804,"")</f>
        <v/>
      </c>
      <c r="H4804" s="32"/>
      <c r="I4804" s="28"/>
      <c r="J4804" s="125">
        <v>0</v>
      </c>
    </row>
    <row r="4805" spans="1:10" ht="15.75" hidden="1" thickBot="1" x14ac:dyDescent="0.3">
      <c r="A4805" s="235"/>
      <c r="B4805" s="238"/>
      <c r="C4805" s="155" t="s">
        <v>9864</v>
      </c>
      <c r="D4805" s="155" t="s">
        <v>587</v>
      </c>
      <c r="E4805" s="34">
        <v>0.15</v>
      </c>
      <c r="F4805" s="31">
        <v>23.274999999999999</v>
      </c>
      <c r="G4805" s="31">
        <f>IF(ISNUMBER(F4805),E4805*F4805,"")</f>
        <v>3.4912499999999995</v>
      </c>
      <c r="H4805" s="35">
        <f>SUM(G4805:G4806)</f>
        <v>3.4912499999999995</v>
      </c>
      <c r="I4805" s="36"/>
      <c r="J4805" s="125">
        <v>0</v>
      </c>
    </row>
    <row r="4806" spans="1:10" ht="26.25" hidden="1" thickBot="1" x14ac:dyDescent="0.3">
      <c r="A4806" s="235"/>
      <c r="B4806" s="238"/>
      <c r="C4806" s="155" t="s">
        <v>11187</v>
      </c>
      <c r="D4806" s="33" t="s">
        <v>16</v>
      </c>
      <c r="E4806" s="34">
        <v>1</v>
      </c>
      <c r="F4806" s="28" t="s">
        <v>418</v>
      </c>
      <c r="G4806" s="31" t="str">
        <f>IF(ISNUMBER(F4806),E4806*F4806,"")</f>
        <v/>
      </c>
      <c r="H4806" s="32"/>
      <c r="I4806" s="28"/>
      <c r="J4806" s="125">
        <v>0</v>
      </c>
    </row>
    <row r="4807" spans="1:10" ht="15.75" hidden="1" thickBot="1" x14ac:dyDescent="0.3">
      <c r="A4807" s="236"/>
      <c r="B4807" s="239"/>
      <c r="C4807" s="155"/>
      <c r="D4807" s="33"/>
      <c r="E4807" s="34"/>
      <c r="F4807" s="28" t="s">
        <v>418</v>
      </c>
      <c r="G4807" s="31" t="str">
        <f>IF(ISNUMBER(F4807),E4807*F4807,"")</f>
        <v/>
      </c>
      <c r="H4807" s="32"/>
      <c r="I4807" s="28"/>
      <c r="J4807" s="125">
        <v>0</v>
      </c>
    </row>
    <row r="4808" spans="1:10" ht="15.75" hidden="1" customHeight="1" thickBot="1" x14ac:dyDescent="0.3">
      <c r="A4808" s="234" t="s">
        <v>10312</v>
      </c>
      <c r="B4808" s="237" t="s">
        <v>19770</v>
      </c>
      <c r="C4808" s="160"/>
      <c r="D4808" s="23" t="s">
        <v>69</v>
      </c>
      <c r="E4808" s="24"/>
      <c r="F4808" s="37" t="s">
        <v>418</v>
      </c>
      <c r="G4808" s="25" t="str">
        <f>IF(ISNUMBER(F4808),E4808*F4808,"")</f>
        <v/>
      </c>
      <c r="H4808" s="26"/>
      <c r="I4808" s="27"/>
      <c r="J4808" s="125">
        <v>0</v>
      </c>
    </row>
    <row r="4809" spans="1:10" ht="15.75" hidden="1" thickBot="1" x14ac:dyDescent="0.3">
      <c r="A4809" s="249"/>
      <c r="B4809" s="240"/>
      <c r="C4809" s="151"/>
      <c r="D4809" s="29"/>
      <c r="E4809" s="30"/>
      <c r="F4809" s="38" t="s">
        <v>418</v>
      </c>
      <c r="G4809" s="31" t="str">
        <f>IF(ISNUMBER(F4809),E4809*F4809,"")</f>
        <v/>
      </c>
      <c r="H4809" s="32"/>
      <c r="I4809" s="28"/>
      <c r="J4809" s="125">
        <v>0</v>
      </c>
    </row>
    <row r="4810" spans="1:10" ht="15.75" hidden="1" thickBot="1" x14ac:dyDescent="0.3">
      <c r="A4810" s="249"/>
      <c r="B4810" s="240"/>
      <c r="C4810" s="155" t="s">
        <v>9864</v>
      </c>
      <c r="D4810" s="155" t="s">
        <v>587</v>
      </c>
      <c r="E4810" s="34">
        <v>0.2</v>
      </c>
      <c r="F4810" s="31">
        <v>23.274999999999999</v>
      </c>
      <c r="G4810" s="31">
        <f>IF(ISNUMBER(F4810),E4810*F4810,"")</f>
        <v>4.6550000000000002</v>
      </c>
      <c r="H4810" s="35">
        <f>SUM(G4810:G4811)</f>
        <v>9.2849959999999996</v>
      </c>
      <c r="I4810" s="36"/>
      <c r="J4810" s="125">
        <v>0</v>
      </c>
    </row>
    <row r="4811" spans="1:10" ht="15.75" hidden="1" thickBot="1" x14ac:dyDescent="0.3">
      <c r="A4811" s="249"/>
      <c r="B4811" s="240"/>
      <c r="C4811" s="155" t="s">
        <v>710</v>
      </c>
      <c r="D4811" s="155" t="s">
        <v>774</v>
      </c>
      <c r="E4811" s="34">
        <v>0.126</v>
      </c>
      <c r="F4811" s="28">
        <v>36.745999999999995</v>
      </c>
      <c r="G4811" s="31">
        <f>IF(ISNUMBER(F4811),E4811*F4811,"")</f>
        <v>4.6299959999999993</v>
      </c>
      <c r="H4811" s="32"/>
      <c r="I4811" s="28"/>
      <c r="J4811" s="125">
        <v>0</v>
      </c>
    </row>
    <row r="4812" spans="1:10" ht="15.75" hidden="1" thickBot="1" x14ac:dyDescent="0.3">
      <c r="A4812" s="249"/>
      <c r="B4812" s="240"/>
      <c r="C4812" s="155"/>
      <c r="D4812" s="33"/>
      <c r="E4812" s="34"/>
      <c r="F4812" s="28" t="s">
        <v>418</v>
      </c>
      <c r="G4812" s="31"/>
      <c r="H4812" s="32"/>
      <c r="I4812" s="28"/>
      <c r="J4812" s="125">
        <v>0</v>
      </c>
    </row>
    <row r="4813" spans="1:10" ht="15.75" hidden="1" thickBot="1" x14ac:dyDescent="0.3">
      <c r="A4813" s="249"/>
      <c r="B4813" s="240"/>
      <c r="C4813" s="47" t="s">
        <v>11189</v>
      </c>
      <c r="D4813" s="33"/>
      <c r="E4813" s="34"/>
      <c r="F4813" s="28" t="s">
        <v>418</v>
      </c>
      <c r="G4813" s="31"/>
      <c r="H4813" s="32"/>
      <c r="I4813" s="28"/>
      <c r="J4813" s="125">
        <v>0</v>
      </c>
    </row>
    <row r="4814" spans="1:10" ht="15.75" hidden="1" thickBot="1" x14ac:dyDescent="0.3">
      <c r="A4814" s="249"/>
      <c r="B4814" s="240"/>
      <c r="C4814" s="47" t="s">
        <v>11188</v>
      </c>
      <c r="D4814" s="33"/>
      <c r="E4814" s="34"/>
      <c r="F4814" s="28" t="s">
        <v>418</v>
      </c>
      <c r="G4814" s="31" t="str">
        <f>IF(ISNUMBER(F4814),E4814*F4814,"")</f>
        <v/>
      </c>
      <c r="H4814" s="32"/>
      <c r="I4814" s="28"/>
      <c r="J4814" s="125">
        <v>0</v>
      </c>
    </row>
    <row r="4815" spans="1:10" ht="15.75" hidden="1" thickBot="1" x14ac:dyDescent="0.3">
      <c r="A4815" s="250"/>
      <c r="B4815" s="239"/>
      <c r="C4815" s="47"/>
      <c r="D4815" s="33"/>
      <c r="E4815" s="34"/>
      <c r="F4815" s="28" t="s">
        <v>418</v>
      </c>
      <c r="G4815" s="31"/>
      <c r="H4815" s="32"/>
      <c r="I4815" s="28"/>
      <c r="J4815" s="125">
        <v>0</v>
      </c>
    </row>
    <row r="4816" spans="1:10" ht="15.75" hidden="1" thickBot="1" x14ac:dyDescent="0.3">
      <c r="A4816" s="234" t="s">
        <v>10313</v>
      </c>
      <c r="B4816" s="237" t="s">
        <v>19771</v>
      </c>
      <c r="C4816" s="160"/>
      <c r="D4816" s="23" t="s">
        <v>69</v>
      </c>
      <c r="E4816" s="24"/>
      <c r="F4816" s="37" t="s">
        <v>418</v>
      </c>
      <c r="G4816" s="25" t="str">
        <f>IF(ISNUMBER(F4816),E4816*F4816,"")</f>
        <v/>
      </c>
      <c r="H4816" s="26"/>
      <c r="I4816" s="27"/>
      <c r="J4816" s="125">
        <v>0</v>
      </c>
    </row>
    <row r="4817" spans="1:10" ht="15.75" hidden="1" thickBot="1" x14ac:dyDescent="0.3">
      <c r="A4817" s="235"/>
      <c r="B4817" s="238"/>
      <c r="C4817" s="151"/>
      <c r="D4817" s="29"/>
      <c r="E4817" s="30"/>
      <c r="F4817" s="38" t="s">
        <v>418</v>
      </c>
      <c r="G4817" s="31" t="str">
        <f>IF(ISNUMBER(F4817),E4817*F4817,"")</f>
        <v/>
      </c>
      <c r="H4817" s="32"/>
      <c r="I4817" s="28"/>
      <c r="J4817" s="125">
        <v>0</v>
      </c>
    </row>
    <row r="4818" spans="1:10" ht="15.75" hidden="1" thickBot="1" x14ac:dyDescent="0.3">
      <c r="A4818" s="235"/>
      <c r="B4818" s="238"/>
      <c r="C4818" s="155" t="s">
        <v>9864</v>
      </c>
      <c r="D4818" s="155" t="s">
        <v>587</v>
      </c>
      <c r="E4818" s="34">
        <v>0.2</v>
      </c>
      <c r="F4818" s="31">
        <v>23.274999999999999</v>
      </c>
      <c r="G4818" s="31">
        <f>IF(ISNUMBER(F4818),E4818*F4818,"")</f>
        <v>4.6550000000000002</v>
      </c>
      <c r="H4818" s="35">
        <f>SUM(G4818:G4819)</f>
        <v>12.92285</v>
      </c>
      <c r="I4818" s="36"/>
      <c r="J4818" s="125">
        <v>0</v>
      </c>
    </row>
    <row r="4819" spans="1:10" ht="15.75" hidden="1" thickBot="1" x14ac:dyDescent="0.3">
      <c r="A4819" s="235"/>
      <c r="B4819" s="238"/>
      <c r="C4819" s="155" t="s">
        <v>710</v>
      </c>
      <c r="D4819" s="155" t="s">
        <v>774</v>
      </c>
      <c r="E4819" s="34">
        <v>0.22500000000000001</v>
      </c>
      <c r="F4819" s="28">
        <v>36.745999999999995</v>
      </c>
      <c r="G4819" s="31">
        <f>IF(ISNUMBER(F4819),E4819*F4819,"")</f>
        <v>8.2678499999999993</v>
      </c>
      <c r="H4819" s="32"/>
      <c r="I4819" s="28"/>
      <c r="J4819" s="125">
        <v>0</v>
      </c>
    </row>
    <row r="4820" spans="1:10" ht="15.75" hidden="1" thickBot="1" x14ac:dyDescent="0.3">
      <c r="A4820" s="235"/>
      <c r="B4820" s="238"/>
      <c r="C4820" s="155"/>
      <c r="D4820" s="33"/>
      <c r="E4820" s="34"/>
      <c r="F4820" s="28" t="s">
        <v>418</v>
      </c>
      <c r="G4820" s="31"/>
      <c r="H4820" s="32"/>
      <c r="I4820" s="28"/>
      <c r="J4820" s="125">
        <v>0</v>
      </c>
    </row>
    <row r="4821" spans="1:10" ht="15.75" hidden="1" thickBot="1" x14ac:dyDescent="0.3">
      <c r="A4821" s="235"/>
      <c r="B4821" s="238"/>
      <c r="C4821" s="47" t="s">
        <v>11190</v>
      </c>
      <c r="D4821" s="33"/>
      <c r="E4821" s="34"/>
      <c r="F4821" s="28" t="s">
        <v>418</v>
      </c>
      <c r="G4821" s="31"/>
      <c r="H4821" s="32"/>
      <c r="I4821" s="28"/>
      <c r="J4821" s="125">
        <v>0</v>
      </c>
    </row>
    <row r="4822" spans="1:10" ht="15.75" hidden="1" thickBot="1" x14ac:dyDescent="0.3">
      <c r="A4822" s="235"/>
      <c r="B4822" s="238"/>
      <c r="C4822" s="47" t="s">
        <v>11188</v>
      </c>
      <c r="D4822" s="33"/>
      <c r="E4822" s="34"/>
      <c r="F4822" s="28" t="s">
        <v>418</v>
      </c>
      <c r="G4822" s="31"/>
      <c r="H4822" s="32"/>
      <c r="I4822" s="28"/>
      <c r="J4822" s="125">
        <v>0</v>
      </c>
    </row>
    <row r="4823" spans="1:10" ht="15.75" hidden="1" thickBot="1" x14ac:dyDescent="0.3">
      <c r="A4823" s="236"/>
      <c r="B4823" s="239"/>
      <c r="C4823" s="155"/>
      <c r="D4823" s="33"/>
      <c r="E4823" s="34"/>
      <c r="F4823" s="28" t="s">
        <v>418</v>
      </c>
      <c r="G4823" s="31" t="str">
        <f>IF(ISNUMBER(F4823),E4823*F4823,"")</f>
        <v/>
      </c>
      <c r="H4823" s="32"/>
      <c r="I4823" s="28"/>
      <c r="J4823" s="125">
        <v>0</v>
      </c>
    </row>
    <row r="4824" spans="1:10" ht="15.75" hidden="1" thickBot="1" x14ac:dyDescent="0.3">
      <c r="A4824" s="234" t="s">
        <v>10314</v>
      </c>
      <c r="B4824" s="237" t="s">
        <v>19772</v>
      </c>
      <c r="C4824" s="160"/>
      <c r="D4824" s="23" t="s">
        <v>69</v>
      </c>
      <c r="E4824" s="24"/>
      <c r="F4824" s="37" t="s">
        <v>418</v>
      </c>
      <c r="G4824" s="25" t="str">
        <f>IF(ISNUMBER(F4824),E4824*F4824,"")</f>
        <v/>
      </c>
      <c r="H4824" s="26"/>
      <c r="I4824" s="27"/>
      <c r="J4824" s="125">
        <v>0</v>
      </c>
    </row>
    <row r="4825" spans="1:10" ht="15.75" hidden="1" thickBot="1" x14ac:dyDescent="0.3">
      <c r="A4825" s="235"/>
      <c r="B4825" s="238"/>
      <c r="C4825" s="151"/>
      <c r="D4825" s="29"/>
      <c r="E4825" s="30"/>
      <c r="F4825" s="38" t="s">
        <v>418</v>
      </c>
      <c r="G4825" s="31" t="str">
        <f>IF(ISNUMBER(F4825),E4825*F4825,"")</f>
        <v/>
      </c>
      <c r="H4825" s="32"/>
      <c r="I4825" s="28"/>
      <c r="J4825" s="125">
        <v>0</v>
      </c>
    </row>
    <row r="4826" spans="1:10" ht="15.75" hidden="1" thickBot="1" x14ac:dyDescent="0.3">
      <c r="A4826" s="235"/>
      <c r="B4826" s="238"/>
      <c r="C4826" s="155" t="s">
        <v>9864</v>
      </c>
      <c r="D4826" s="155" t="s">
        <v>587</v>
      </c>
      <c r="E4826" s="34">
        <v>0.15</v>
      </c>
      <c r="F4826" s="31">
        <v>23.274999999999999</v>
      </c>
      <c r="G4826" s="31">
        <f>IF(ISNUMBER(F4826),E4826*F4826,"")</f>
        <v>3.4912499999999995</v>
      </c>
      <c r="H4826" s="35">
        <f>SUM(G4826:G4827)</f>
        <v>5.5122799999999987</v>
      </c>
      <c r="I4826" s="36"/>
      <c r="J4826" s="125">
        <v>0</v>
      </c>
    </row>
    <row r="4827" spans="1:10" ht="15.75" hidden="1" thickBot="1" x14ac:dyDescent="0.3">
      <c r="A4827" s="235"/>
      <c r="B4827" s="238"/>
      <c r="C4827" s="155" t="s">
        <v>710</v>
      </c>
      <c r="D4827" s="155" t="s">
        <v>774</v>
      </c>
      <c r="E4827" s="34">
        <v>5.5E-2</v>
      </c>
      <c r="F4827" s="28">
        <v>36.745999999999995</v>
      </c>
      <c r="G4827" s="31">
        <f>IF(ISNUMBER(F4827),E4827*F4827,"")</f>
        <v>2.0210299999999997</v>
      </c>
      <c r="H4827" s="32"/>
      <c r="I4827" s="28"/>
      <c r="J4827" s="125">
        <v>0</v>
      </c>
    </row>
    <row r="4828" spans="1:10" ht="15.75" hidden="1" thickBot="1" x14ac:dyDescent="0.3">
      <c r="A4828" s="235"/>
      <c r="B4828" s="238"/>
      <c r="C4828" s="155"/>
      <c r="D4828" s="33"/>
      <c r="E4828" s="34"/>
      <c r="F4828" s="28" t="s">
        <v>418</v>
      </c>
      <c r="G4828" s="31"/>
      <c r="H4828" s="32"/>
      <c r="I4828" s="28"/>
      <c r="J4828" s="125">
        <v>0</v>
      </c>
    </row>
    <row r="4829" spans="1:10" ht="15.75" hidden="1" thickBot="1" x14ac:dyDescent="0.3">
      <c r="A4829" s="235"/>
      <c r="B4829" s="238"/>
      <c r="C4829" s="47" t="s">
        <v>11191</v>
      </c>
      <c r="D4829" s="33"/>
      <c r="E4829" s="34"/>
      <c r="F4829" s="28" t="s">
        <v>418</v>
      </c>
      <c r="G4829" s="31"/>
      <c r="H4829" s="32"/>
      <c r="I4829" s="28"/>
      <c r="J4829" s="125">
        <v>0</v>
      </c>
    </row>
    <row r="4830" spans="1:10" ht="15.75" hidden="1" thickBot="1" x14ac:dyDescent="0.3">
      <c r="A4830" s="235"/>
      <c r="B4830" s="238"/>
      <c r="C4830" s="47" t="s">
        <v>11188</v>
      </c>
      <c r="D4830" s="33"/>
      <c r="E4830" s="34"/>
      <c r="F4830" s="28" t="s">
        <v>418</v>
      </c>
      <c r="G4830" s="31"/>
      <c r="H4830" s="32"/>
      <c r="I4830" s="28"/>
      <c r="J4830" s="125">
        <v>0</v>
      </c>
    </row>
    <row r="4831" spans="1:10" ht="15.75" hidden="1" thickBot="1" x14ac:dyDescent="0.3">
      <c r="A4831" s="236"/>
      <c r="B4831" s="239"/>
      <c r="C4831" s="155"/>
      <c r="D4831" s="33"/>
      <c r="E4831" s="34"/>
      <c r="F4831" s="28" t="s">
        <v>418</v>
      </c>
      <c r="G4831" s="31" t="str">
        <f>IF(ISNUMBER(F4831),E4831*F4831,"")</f>
        <v/>
      </c>
      <c r="H4831" s="32"/>
      <c r="I4831" s="28"/>
      <c r="J4831" s="125">
        <v>0</v>
      </c>
    </row>
    <row r="4832" spans="1:10" ht="15.75" hidden="1" thickBot="1" x14ac:dyDescent="0.3">
      <c r="A4832" s="234" t="s">
        <v>10315</v>
      </c>
      <c r="B4832" s="237" t="s">
        <v>19773</v>
      </c>
      <c r="C4832" s="160"/>
      <c r="D4832" s="23" t="s">
        <v>69</v>
      </c>
      <c r="E4832" s="24"/>
      <c r="F4832" s="37" t="s">
        <v>418</v>
      </c>
      <c r="G4832" s="25" t="str">
        <f>IF(ISNUMBER(F4832),E4832*F4832,"")</f>
        <v/>
      </c>
      <c r="H4832" s="26"/>
      <c r="I4832" s="27"/>
      <c r="J4832" s="125">
        <v>0</v>
      </c>
    </row>
    <row r="4833" spans="1:10" ht="15.75" hidden="1" thickBot="1" x14ac:dyDescent="0.3">
      <c r="A4833" s="235"/>
      <c r="B4833" s="238"/>
      <c r="C4833" s="151"/>
      <c r="D4833" s="29"/>
      <c r="E4833" s="30"/>
      <c r="F4833" s="38" t="s">
        <v>418</v>
      </c>
      <c r="G4833" s="31" t="str">
        <f>IF(ISNUMBER(F4833),E4833*F4833,"")</f>
        <v/>
      </c>
      <c r="H4833" s="32"/>
      <c r="I4833" s="28"/>
      <c r="J4833" s="125">
        <v>0</v>
      </c>
    </row>
    <row r="4834" spans="1:10" ht="15.75" hidden="1" thickBot="1" x14ac:dyDescent="0.3">
      <c r="A4834" s="235"/>
      <c r="B4834" s="238"/>
      <c r="C4834" s="155" t="s">
        <v>9864</v>
      </c>
      <c r="D4834" s="155" t="s">
        <v>587</v>
      </c>
      <c r="E4834" s="34">
        <v>0.3</v>
      </c>
      <c r="F4834" s="31">
        <v>23.274999999999999</v>
      </c>
      <c r="G4834" s="31">
        <f>IF(ISNUMBER(F4834),E4834*F4834,"")</f>
        <v>6.982499999999999</v>
      </c>
      <c r="H4834" s="35">
        <f>SUM(G4834:G4835)</f>
        <v>14.625667999999997</v>
      </c>
      <c r="I4834" s="36"/>
      <c r="J4834" s="125">
        <v>0</v>
      </c>
    </row>
    <row r="4835" spans="1:10" ht="15.75" hidden="1" thickBot="1" x14ac:dyDescent="0.3">
      <c r="A4835" s="235"/>
      <c r="B4835" s="238"/>
      <c r="C4835" s="155" t="s">
        <v>710</v>
      </c>
      <c r="D4835" s="155" t="s">
        <v>774</v>
      </c>
      <c r="E4835" s="34">
        <v>0.20799999999999999</v>
      </c>
      <c r="F4835" s="28">
        <v>36.745999999999995</v>
      </c>
      <c r="G4835" s="31">
        <f>IF(ISNUMBER(F4835),E4835*F4835,"")</f>
        <v>7.6431679999999984</v>
      </c>
      <c r="H4835" s="32"/>
      <c r="I4835" s="28"/>
      <c r="J4835" s="125">
        <v>0</v>
      </c>
    </row>
    <row r="4836" spans="1:10" ht="15.75" hidden="1" thickBot="1" x14ac:dyDescent="0.3">
      <c r="A4836" s="235"/>
      <c r="B4836" s="238"/>
      <c r="C4836" s="155"/>
      <c r="D4836" s="33"/>
      <c r="E4836" s="34"/>
      <c r="F4836" s="28" t="s">
        <v>418</v>
      </c>
      <c r="G4836" s="31"/>
      <c r="H4836" s="32"/>
      <c r="I4836" s="28"/>
      <c r="J4836" s="125">
        <v>0</v>
      </c>
    </row>
    <row r="4837" spans="1:10" ht="15.75" hidden="1" thickBot="1" x14ac:dyDescent="0.3">
      <c r="A4837" s="235"/>
      <c r="B4837" s="238"/>
      <c r="C4837" s="47" t="s">
        <v>11192</v>
      </c>
      <c r="D4837" s="33"/>
      <c r="E4837" s="34"/>
      <c r="F4837" s="28" t="s">
        <v>418</v>
      </c>
      <c r="G4837" s="31"/>
      <c r="H4837" s="32"/>
      <c r="I4837" s="28"/>
      <c r="J4837" s="125">
        <v>0</v>
      </c>
    </row>
    <row r="4838" spans="1:10" ht="15.75" hidden="1" thickBot="1" x14ac:dyDescent="0.3">
      <c r="A4838" s="235"/>
      <c r="B4838" s="238"/>
      <c r="C4838" s="47" t="s">
        <v>11188</v>
      </c>
      <c r="D4838" s="33"/>
      <c r="E4838" s="34"/>
      <c r="F4838" s="28" t="s">
        <v>418</v>
      </c>
      <c r="G4838" s="31"/>
      <c r="H4838" s="32"/>
      <c r="I4838" s="28"/>
      <c r="J4838" s="125">
        <v>0</v>
      </c>
    </row>
    <row r="4839" spans="1:10" ht="15.75" hidden="1" thickBot="1" x14ac:dyDescent="0.3">
      <c r="A4839" s="236"/>
      <c r="B4839" s="239"/>
      <c r="C4839" s="155"/>
      <c r="D4839" s="33"/>
      <c r="E4839" s="34"/>
      <c r="F4839" s="28" t="s">
        <v>418</v>
      </c>
      <c r="G4839" s="31" t="str">
        <f>IF(ISNUMBER(F4839),E4839*F4839,"")</f>
        <v/>
      </c>
      <c r="H4839" s="32"/>
      <c r="I4839" s="28"/>
      <c r="J4839" s="125">
        <v>0</v>
      </c>
    </row>
    <row r="4840" spans="1:10" ht="15.75" hidden="1" thickBot="1" x14ac:dyDescent="0.3">
      <c r="A4840" s="234" t="s">
        <v>10316</v>
      </c>
      <c r="B4840" s="237" t="s">
        <v>19774</v>
      </c>
      <c r="C4840" s="160"/>
      <c r="D4840" s="23" t="s">
        <v>69</v>
      </c>
      <c r="E4840" s="24"/>
      <c r="F4840" s="37" t="s">
        <v>418</v>
      </c>
      <c r="G4840" s="25" t="str">
        <f>IF(ISNUMBER(F4840),E4840*F4840,"")</f>
        <v/>
      </c>
      <c r="H4840" s="26"/>
      <c r="I4840" s="27"/>
      <c r="J4840" s="125">
        <v>0</v>
      </c>
    </row>
    <row r="4841" spans="1:10" ht="15.75" hidden="1" thickBot="1" x14ac:dyDescent="0.3">
      <c r="A4841" s="235"/>
      <c r="B4841" s="238"/>
      <c r="C4841" s="151"/>
      <c r="D4841" s="29"/>
      <c r="E4841" s="30"/>
      <c r="F4841" s="38" t="s">
        <v>418</v>
      </c>
      <c r="G4841" s="31" t="str">
        <f>IF(ISNUMBER(F4841),E4841*F4841,"")</f>
        <v/>
      </c>
      <c r="H4841" s="32"/>
      <c r="I4841" s="28"/>
      <c r="J4841" s="125">
        <v>0</v>
      </c>
    </row>
    <row r="4842" spans="1:10" ht="15.75" hidden="1" thickBot="1" x14ac:dyDescent="0.3">
      <c r="A4842" s="235"/>
      <c r="B4842" s="238"/>
      <c r="C4842" s="155" t="s">
        <v>9864</v>
      </c>
      <c r="D4842" s="155" t="s">
        <v>587</v>
      </c>
      <c r="E4842" s="34">
        <v>0.3</v>
      </c>
      <c r="F4842" s="31">
        <v>23.274999999999999</v>
      </c>
      <c r="G4842" s="31">
        <f>IF(ISNUMBER(F4842),E4842*F4842,"")</f>
        <v>6.982499999999999</v>
      </c>
      <c r="H4842" s="35">
        <f>SUM(G4842:G4843)</f>
        <v>16.499713999999997</v>
      </c>
      <c r="I4842" s="36"/>
      <c r="J4842" s="125">
        <v>0</v>
      </c>
    </row>
    <row r="4843" spans="1:10" ht="15.75" hidden="1" thickBot="1" x14ac:dyDescent="0.3">
      <c r="A4843" s="235"/>
      <c r="B4843" s="238"/>
      <c r="C4843" s="155" t="s">
        <v>710</v>
      </c>
      <c r="D4843" s="155" t="s">
        <v>774</v>
      </c>
      <c r="E4843" s="34">
        <v>0.25900000000000001</v>
      </c>
      <c r="F4843" s="28">
        <v>36.745999999999995</v>
      </c>
      <c r="G4843" s="31">
        <f>IF(ISNUMBER(F4843),E4843*F4843,"")</f>
        <v>9.5172139999999992</v>
      </c>
      <c r="H4843" s="32"/>
      <c r="I4843" s="28"/>
      <c r="J4843" s="125">
        <v>0</v>
      </c>
    </row>
    <row r="4844" spans="1:10" ht="15.75" hidden="1" thickBot="1" x14ac:dyDescent="0.3">
      <c r="A4844" s="235"/>
      <c r="B4844" s="238"/>
      <c r="C4844" s="155"/>
      <c r="D4844" s="33"/>
      <c r="E4844" s="34"/>
      <c r="F4844" s="28" t="s">
        <v>418</v>
      </c>
      <c r="G4844" s="31"/>
      <c r="H4844" s="32"/>
      <c r="I4844" s="28"/>
      <c r="J4844" s="125">
        <v>0</v>
      </c>
    </row>
    <row r="4845" spans="1:10" ht="15.75" hidden="1" thickBot="1" x14ac:dyDescent="0.3">
      <c r="A4845" s="235"/>
      <c r="B4845" s="238"/>
      <c r="C4845" s="47" t="s">
        <v>11193</v>
      </c>
      <c r="D4845" s="33"/>
      <c r="E4845" s="34"/>
      <c r="F4845" s="28" t="s">
        <v>418</v>
      </c>
      <c r="G4845" s="31"/>
      <c r="H4845" s="32"/>
      <c r="I4845" s="28"/>
      <c r="J4845" s="125">
        <v>0</v>
      </c>
    </row>
    <row r="4846" spans="1:10" ht="15.75" hidden="1" thickBot="1" x14ac:dyDescent="0.3">
      <c r="A4846" s="235"/>
      <c r="B4846" s="238"/>
      <c r="C4846" s="47" t="s">
        <v>11188</v>
      </c>
      <c r="D4846" s="33"/>
      <c r="E4846" s="34"/>
      <c r="F4846" s="28" t="s">
        <v>418</v>
      </c>
      <c r="G4846" s="31"/>
      <c r="H4846" s="32"/>
      <c r="I4846" s="28"/>
      <c r="J4846" s="125">
        <v>0</v>
      </c>
    </row>
    <row r="4847" spans="1:10" ht="15.75" hidden="1" thickBot="1" x14ac:dyDescent="0.3">
      <c r="A4847" s="236"/>
      <c r="B4847" s="239"/>
      <c r="C4847" s="155"/>
      <c r="D4847" s="33"/>
      <c r="E4847" s="34"/>
      <c r="F4847" s="28" t="s">
        <v>418</v>
      </c>
      <c r="G4847" s="31" t="str">
        <f>IF(ISNUMBER(F4847),E4847*F4847,"")</f>
        <v/>
      </c>
      <c r="H4847" s="32"/>
      <c r="I4847" s="28"/>
      <c r="J4847" s="125">
        <v>0</v>
      </c>
    </row>
    <row r="4848" spans="1:10" ht="15.75" hidden="1" thickBot="1" x14ac:dyDescent="0.3">
      <c r="A4848" s="234" t="s">
        <v>10317</v>
      </c>
      <c r="B4848" s="237" t="s">
        <v>19775</v>
      </c>
      <c r="C4848" s="160"/>
      <c r="D4848" s="23" t="s">
        <v>69</v>
      </c>
      <c r="E4848" s="24"/>
      <c r="F4848" s="37" t="s">
        <v>418</v>
      </c>
      <c r="G4848" s="25" t="str">
        <f>IF(ISNUMBER(F4848),E4848*F4848,"")</f>
        <v/>
      </c>
      <c r="H4848" s="26"/>
      <c r="I4848" s="27"/>
      <c r="J4848" s="125">
        <v>0</v>
      </c>
    </row>
    <row r="4849" spans="1:10" ht="15.75" hidden="1" thickBot="1" x14ac:dyDescent="0.3">
      <c r="A4849" s="235"/>
      <c r="B4849" s="238"/>
      <c r="C4849" s="151"/>
      <c r="D4849" s="29"/>
      <c r="E4849" s="30"/>
      <c r="F4849" s="38" t="s">
        <v>418</v>
      </c>
      <c r="G4849" s="31" t="str">
        <f>IF(ISNUMBER(F4849),E4849*F4849,"")</f>
        <v/>
      </c>
      <c r="H4849" s="32"/>
      <c r="I4849" s="28"/>
      <c r="J4849" s="125">
        <v>0</v>
      </c>
    </row>
    <row r="4850" spans="1:10" ht="15.75" hidden="1" thickBot="1" x14ac:dyDescent="0.3">
      <c r="A4850" s="235"/>
      <c r="B4850" s="238"/>
      <c r="C4850" s="155" t="s">
        <v>9864</v>
      </c>
      <c r="D4850" s="155" t="s">
        <v>587</v>
      </c>
      <c r="E4850" s="34">
        <v>0.3</v>
      </c>
      <c r="F4850" s="31">
        <v>23.274999999999999</v>
      </c>
      <c r="G4850" s="31">
        <f>IF(ISNUMBER(F4850),E4850*F4850,"")</f>
        <v>6.982499999999999</v>
      </c>
      <c r="H4850" s="35">
        <f>SUM(G4850:G4851)</f>
        <v>26.678355999999997</v>
      </c>
      <c r="I4850" s="36"/>
      <c r="J4850" s="125">
        <v>0</v>
      </c>
    </row>
    <row r="4851" spans="1:10" ht="15.75" hidden="1" thickBot="1" x14ac:dyDescent="0.3">
      <c r="A4851" s="235"/>
      <c r="B4851" s="238"/>
      <c r="C4851" s="155" t="s">
        <v>710</v>
      </c>
      <c r="D4851" s="155" t="s">
        <v>774</v>
      </c>
      <c r="E4851" s="34">
        <v>0.53600000000000003</v>
      </c>
      <c r="F4851" s="28">
        <v>36.745999999999995</v>
      </c>
      <c r="G4851" s="31">
        <f>IF(ISNUMBER(F4851),E4851*F4851,"")</f>
        <v>19.695855999999999</v>
      </c>
      <c r="H4851" s="32"/>
      <c r="I4851" s="28"/>
      <c r="J4851" s="125">
        <v>0</v>
      </c>
    </row>
    <row r="4852" spans="1:10" ht="15.75" hidden="1" thickBot="1" x14ac:dyDescent="0.3">
      <c r="A4852" s="235"/>
      <c r="B4852" s="238"/>
      <c r="C4852" s="155"/>
      <c r="D4852" s="33"/>
      <c r="E4852" s="34"/>
      <c r="F4852" s="28" t="s">
        <v>418</v>
      </c>
      <c r="G4852" s="31"/>
      <c r="H4852" s="32"/>
      <c r="I4852" s="28"/>
      <c r="J4852" s="125">
        <v>0</v>
      </c>
    </row>
    <row r="4853" spans="1:10" ht="15.75" hidden="1" thickBot="1" x14ac:dyDescent="0.3">
      <c r="A4853" s="235"/>
      <c r="B4853" s="238"/>
      <c r="C4853" s="47" t="s">
        <v>11194</v>
      </c>
      <c r="D4853" s="33"/>
      <c r="E4853" s="34"/>
      <c r="F4853" s="28" t="s">
        <v>418</v>
      </c>
      <c r="G4853" s="31"/>
      <c r="H4853" s="32"/>
      <c r="I4853" s="28"/>
      <c r="J4853" s="125">
        <v>0</v>
      </c>
    </row>
    <row r="4854" spans="1:10" ht="15.75" hidden="1" thickBot="1" x14ac:dyDescent="0.3">
      <c r="A4854" s="235"/>
      <c r="B4854" s="238"/>
      <c r="C4854" s="47" t="s">
        <v>11188</v>
      </c>
      <c r="D4854" s="33"/>
      <c r="E4854" s="34"/>
      <c r="F4854" s="28" t="s">
        <v>418</v>
      </c>
      <c r="G4854" s="31"/>
      <c r="H4854" s="32"/>
      <c r="I4854" s="28"/>
      <c r="J4854" s="125">
        <v>0</v>
      </c>
    </row>
    <row r="4855" spans="1:10" ht="15.75" hidden="1" thickBot="1" x14ac:dyDescent="0.3">
      <c r="A4855" s="236"/>
      <c r="B4855" s="239"/>
      <c r="C4855" s="155"/>
      <c r="D4855" s="33"/>
      <c r="E4855" s="34"/>
      <c r="F4855" s="28" t="s">
        <v>418</v>
      </c>
      <c r="G4855" s="31" t="str">
        <f>IF(ISNUMBER(F4855),E4855*F4855,"")</f>
        <v/>
      </c>
      <c r="H4855" s="32"/>
      <c r="I4855" s="28"/>
      <c r="J4855" s="125">
        <v>0</v>
      </c>
    </row>
    <row r="4856" spans="1:10" ht="15.75" hidden="1" thickBot="1" x14ac:dyDescent="0.3">
      <c r="A4856" s="234" t="s">
        <v>10318</v>
      </c>
      <c r="B4856" s="237" t="s">
        <v>19776</v>
      </c>
      <c r="C4856" s="160"/>
      <c r="D4856" s="23" t="s">
        <v>69</v>
      </c>
      <c r="E4856" s="24"/>
      <c r="F4856" s="37" t="s">
        <v>418</v>
      </c>
      <c r="G4856" s="25" t="str">
        <f>IF(ISNUMBER(F4856),E4856*F4856,"")</f>
        <v/>
      </c>
      <c r="H4856" s="26"/>
      <c r="I4856" s="27"/>
      <c r="J4856" s="125">
        <v>0</v>
      </c>
    </row>
    <row r="4857" spans="1:10" ht="15.75" hidden="1" thickBot="1" x14ac:dyDescent="0.3">
      <c r="A4857" s="235"/>
      <c r="B4857" s="238"/>
      <c r="C4857" s="151"/>
      <c r="D4857" s="29"/>
      <c r="E4857" s="30"/>
      <c r="F4857" s="38" t="s">
        <v>418</v>
      </c>
      <c r="G4857" s="31" t="str">
        <f>IF(ISNUMBER(F4857),E4857*F4857,"")</f>
        <v/>
      </c>
      <c r="H4857" s="32"/>
      <c r="I4857" s="28"/>
      <c r="J4857" s="125">
        <v>0</v>
      </c>
    </row>
    <row r="4858" spans="1:10" ht="15.75" hidden="1" thickBot="1" x14ac:dyDescent="0.3">
      <c r="A4858" s="235"/>
      <c r="B4858" s="238"/>
      <c r="C4858" s="155" t="s">
        <v>9864</v>
      </c>
      <c r="D4858" s="155" t="s">
        <v>587</v>
      </c>
      <c r="E4858" s="34">
        <v>0.2</v>
      </c>
      <c r="F4858" s="31">
        <v>23.274999999999999</v>
      </c>
      <c r="G4858" s="31">
        <f>IF(ISNUMBER(F4858),E4858*F4858,"")</f>
        <v>4.6550000000000002</v>
      </c>
      <c r="H4858" s="35">
        <f>SUM(G4858:G4859)</f>
        <v>8.5133299999999998</v>
      </c>
      <c r="I4858" s="36"/>
      <c r="J4858" s="125">
        <v>0</v>
      </c>
    </row>
    <row r="4859" spans="1:10" ht="15.75" hidden="1" thickBot="1" x14ac:dyDescent="0.3">
      <c r="A4859" s="235"/>
      <c r="B4859" s="238"/>
      <c r="C4859" s="155" t="s">
        <v>710</v>
      </c>
      <c r="D4859" s="155" t="s">
        <v>774</v>
      </c>
      <c r="E4859" s="34">
        <v>0.105</v>
      </c>
      <c r="F4859" s="28">
        <v>36.745999999999995</v>
      </c>
      <c r="G4859" s="31">
        <f>IF(ISNUMBER(F4859),E4859*F4859,"")</f>
        <v>3.8583299999999991</v>
      </c>
      <c r="H4859" s="32"/>
      <c r="I4859" s="28"/>
      <c r="J4859" s="125">
        <v>0</v>
      </c>
    </row>
    <row r="4860" spans="1:10" ht="15.75" hidden="1" thickBot="1" x14ac:dyDescent="0.3">
      <c r="A4860" s="235"/>
      <c r="B4860" s="238"/>
      <c r="C4860" s="155"/>
      <c r="D4860" s="33"/>
      <c r="E4860" s="34"/>
      <c r="F4860" s="28" t="s">
        <v>418</v>
      </c>
      <c r="G4860" s="31"/>
      <c r="H4860" s="32"/>
      <c r="I4860" s="28"/>
      <c r="J4860" s="125">
        <v>0</v>
      </c>
    </row>
    <row r="4861" spans="1:10" ht="15.75" hidden="1" thickBot="1" x14ac:dyDescent="0.3">
      <c r="A4861" s="235"/>
      <c r="B4861" s="238"/>
      <c r="C4861" s="47" t="s">
        <v>11195</v>
      </c>
      <c r="D4861" s="33"/>
      <c r="E4861" s="34"/>
      <c r="F4861" s="28" t="s">
        <v>418</v>
      </c>
      <c r="G4861" s="31"/>
      <c r="H4861" s="32"/>
      <c r="I4861" s="28"/>
      <c r="J4861" s="125">
        <v>0</v>
      </c>
    </row>
    <row r="4862" spans="1:10" ht="15.75" hidden="1" thickBot="1" x14ac:dyDescent="0.3">
      <c r="A4862" s="235"/>
      <c r="B4862" s="238"/>
      <c r="C4862" s="47" t="s">
        <v>11188</v>
      </c>
      <c r="D4862" s="33"/>
      <c r="E4862" s="34"/>
      <c r="F4862" s="28" t="s">
        <v>418</v>
      </c>
      <c r="G4862" s="31"/>
      <c r="H4862" s="32"/>
      <c r="I4862" s="28"/>
      <c r="J4862" s="125">
        <v>0</v>
      </c>
    </row>
    <row r="4863" spans="1:10" ht="15.75" hidden="1" thickBot="1" x14ac:dyDescent="0.3">
      <c r="A4863" s="236"/>
      <c r="B4863" s="239"/>
      <c r="C4863" s="155"/>
      <c r="D4863" s="33"/>
      <c r="E4863" s="34"/>
      <c r="F4863" s="28" t="s">
        <v>418</v>
      </c>
      <c r="G4863" s="31" t="str">
        <f>IF(ISNUMBER(F4863),E4863*F4863,"")</f>
        <v/>
      </c>
      <c r="H4863" s="32"/>
      <c r="I4863" s="28"/>
      <c r="J4863" s="125">
        <v>0</v>
      </c>
    </row>
    <row r="4864" spans="1:10" ht="15.75" hidden="1" thickBot="1" x14ac:dyDescent="0.3">
      <c r="A4864" s="234" t="s">
        <v>10319</v>
      </c>
      <c r="B4864" s="237" t="s">
        <v>19777</v>
      </c>
      <c r="C4864" s="160"/>
      <c r="D4864" s="23" t="s">
        <v>69</v>
      </c>
      <c r="E4864" s="24"/>
      <c r="F4864" s="37" t="s">
        <v>418</v>
      </c>
      <c r="G4864" s="25" t="str">
        <f>IF(ISNUMBER(F4864),E4864*F4864,"")</f>
        <v/>
      </c>
      <c r="H4864" s="26"/>
      <c r="I4864" s="27"/>
      <c r="J4864" s="125">
        <v>0</v>
      </c>
    </row>
    <row r="4865" spans="1:10" ht="15.75" hidden="1" thickBot="1" x14ac:dyDescent="0.3">
      <c r="A4865" s="235"/>
      <c r="B4865" s="238"/>
      <c r="C4865" s="151"/>
      <c r="D4865" s="29"/>
      <c r="E4865" s="30"/>
      <c r="F4865" s="38" t="s">
        <v>418</v>
      </c>
      <c r="G4865" s="31" t="str">
        <f>IF(ISNUMBER(F4865),E4865*F4865,"")</f>
        <v/>
      </c>
      <c r="H4865" s="32"/>
      <c r="I4865" s="28"/>
      <c r="J4865" s="125">
        <v>0</v>
      </c>
    </row>
    <row r="4866" spans="1:10" ht="15.75" hidden="1" thickBot="1" x14ac:dyDescent="0.3">
      <c r="A4866" s="235"/>
      <c r="B4866" s="238"/>
      <c r="C4866" s="155" t="s">
        <v>9864</v>
      </c>
      <c r="D4866" s="155" t="s">
        <v>587</v>
      </c>
      <c r="E4866" s="34">
        <v>0.2</v>
      </c>
      <c r="F4866" s="31">
        <v>23.274999999999999</v>
      </c>
      <c r="G4866" s="31">
        <f>IF(ISNUMBER(F4866),E4866*F4866,"")</f>
        <v>4.6550000000000002</v>
      </c>
      <c r="H4866" s="35">
        <f>SUM(G4866:G4867)</f>
        <v>9.0277739999999991</v>
      </c>
      <c r="I4866" s="36"/>
      <c r="J4866" s="125">
        <v>0</v>
      </c>
    </row>
    <row r="4867" spans="1:10" ht="15.75" hidden="1" thickBot="1" x14ac:dyDescent="0.3">
      <c r="A4867" s="235"/>
      <c r="B4867" s="238"/>
      <c r="C4867" s="155" t="s">
        <v>710</v>
      </c>
      <c r="D4867" s="155" t="s">
        <v>774</v>
      </c>
      <c r="E4867" s="34">
        <v>0.11899999999999999</v>
      </c>
      <c r="F4867" s="28">
        <v>36.745999999999995</v>
      </c>
      <c r="G4867" s="31">
        <f>IF(ISNUMBER(F4867),E4867*F4867,"")</f>
        <v>4.3727739999999988</v>
      </c>
      <c r="H4867" s="32"/>
      <c r="I4867" s="28"/>
      <c r="J4867" s="125">
        <v>0</v>
      </c>
    </row>
    <row r="4868" spans="1:10" ht="15.75" hidden="1" thickBot="1" x14ac:dyDescent="0.3">
      <c r="A4868" s="235"/>
      <c r="B4868" s="238"/>
      <c r="C4868" s="155"/>
      <c r="D4868" s="33"/>
      <c r="E4868" s="34"/>
      <c r="F4868" s="28" t="s">
        <v>418</v>
      </c>
      <c r="G4868" s="31"/>
      <c r="H4868" s="32"/>
      <c r="I4868" s="28"/>
      <c r="J4868" s="125">
        <v>0</v>
      </c>
    </row>
    <row r="4869" spans="1:10" ht="15.75" hidden="1" thickBot="1" x14ac:dyDescent="0.3">
      <c r="A4869" s="235"/>
      <c r="B4869" s="238"/>
      <c r="C4869" s="47" t="s">
        <v>11196</v>
      </c>
      <c r="D4869" s="33"/>
      <c r="E4869" s="34"/>
      <c r="F4869" s="28" t="s">
        <v>418</v>
      </c>
      <c r="G4869" s="31"/>
      <c r="H4869" s="32"/>
      <c r="I4869" s="28"/>
      <c r="J4869" s="125">
        <v>0</v>
      </c>
    </row>
    <row r="4870" spans="1:10" ht="15.75" hidden="1" thickBot="1" x14ac:dyDescent="0.3">
      <c r="A4870" s="235"/>
      <c r="B4870" s="238"/>
      <c r="C4870" s="47" t="s">
        <v>11188</v>
      </c>
      <c r="D4870" s="33"/>
      <c r="E4870" s="34"/>
      <c r="F4870" s="28" t="s">
        <v>418</v>
      </c>
      <c r="G4870" s="31"/>
      <c r="H4870" s="32"/>
      <c r="I4870" s="28"/>
      <c r="J4870" s="125">
        <v>0</v>
      </c>
    </row>
    <row r="4871" spans="1:10" ht="15.75" hidden="1" thickBot="1" x14ac:dyDescent="0.3">
      <c r="A4871" s="236"/>
      <c r="B4871" s="239"/>
      <c r="C4871" s="155"/>
      <c r="D4871" s="33"/>
      <c r="E4871" s="34"/>
      <c r="F4871" s="28" t="s">
        <v>418</v>
      </c>
      <c r="G4871" s="31" t="str">
        <f>IF(ISNUMBER(F4871),E4871*F4871,"")</f>
        <v/>
      </c>
      <c r="H4871" s="32"/>
      <c r="I4871" s="28"/>
      <c r="J4871" s="125">
        <v>0</v>
      </c>
    </row>
    <row r="4872" spans="1:10" ht="15.75" hidden="1" thickBot="1" x14ac:dyDescent="0.3">
      <c r="A4872" s="234" t="s">
        <v>10320</v>
      </c>
      <c r="B4872" s="237" t="s">
        <v>10358</v>
      </c>
      <c r="C4872" s="160"/>
      <c r="D4872" s="23" t="s">
        <v>16</v>
      </c>
      <c r="E4872" s="24"/>
      <c r="F4872" s="37" t="s">
        <v>418</v>
      </c>
      <c r="G4872" s="25" t="str">
        <f>IF(ISNUMBER(F4872),E4872*F4872,"")</f>
        <v/>
      </c>
      <c r="H4872" s="26"/>
      <c r="I4872" s="27"/>
      <c r="J4872" s="125">
        <v>0</v>
      </c>
    </row>
    <row r="4873" spans="1:10" ht="15.75" hidden="1" thickBot="1" x14ac:dyDescent="0.3">
      <c r="A4873" s="235"/>
      <c r="B4873" s="238"/>
      <c r="C4873" s="151"/>
      <c r="D4873" s="29"/>
      <c r="E4873" s="30"/>
      <c r="F4873" s="38" t="s">
        <v>418</v>
      </c>
      <c r="G4873" s="28" t="str">
        <f>IF(ISNUMBER(F4873),E4873*F4873,"")</f>
        <v/>
      </c>
      <c r="H4873" s="32"/>
      <c r="I4873" s="28"/>
      <c r="J4873" s="125">
        <v>0</v>
      </c>
    </row>
    <row r="4874" spans="1:10" ht="26.25" hidden="1" thickBot="1" x14ac:dyDescent="0.3">
      <c r="A4874" s="235"/>
      <c r="B4874" s="238"/>
      <c r="C4874" s="155" t="s">
        <v>11201</v>
      </c>
      <c r="D4874" s="42" t="s">
        <v>205</v>
      </c>
      <c r="E4874" s="34">
        <v>1</v>
      </c>
      <c r="F4874" s="31" t="s">
        <v>418</v>
      </c>
      <c r="G4874" s="31" t="str">
        <f>IF(ISNUMBER(F4874),E4874*F4874,"")</f>
        <v/>
      </c>
      <c r="H4874" s="35">
        <f>SUM(G4874:G4880)</f>
        <v>91.121466349999992</v>
      </c>
      <c r="I4874" s="36"/>
      <c r="J4874" s="125">
        <v>0</v>
      </c>
    </row>
    <row r="4875" spans="1:10" ht="26.25" hidden="1" thickBot="1" x14ac:dyDescent="0.3">
      <c r="A4875" s="235"/>
      <c r="B4875" s="238"/>
      <c r="C4875" s="155" t="s">
        <v>226</v>
      </c>
      <c r="D4875" s="33" t="s">
        <v>16</v>
      </c>
      <c r="E4875" s="34">
        <v>1</v>
      </c>
      <c r="F4875" s="31" t="s">
        <v>418</v>
      </c>
      <c r="G4875" s="31" t="str">
        <f>IF(ISNUMBER(F4875),E4875*F4875,"")</f>
        <v/>
      </c>
      <c r="H4875" s="32"/>
      <c r="I4875" s="28"/>
      <c r="J4875" s="125">
        <v>0</v>
      </c>
    </row>
    <row r="4876" spans="1:10" ht="39" hidden="1" thickBot="1" x14ac:dyDescent="0.3">
      <c r="A4876" s="235"/>
      <c r="B4876" s="238"/>
      <c r="C4876" s="155" t="s">
        <v>26738</v>
      </c>
      <c r="D4876" s="155" t="s">
        <v>205</v>
      </c>
      <c r="E4876" s="34">
        <v>2</v>
      </c>
      <c r="F4876" s="31">
        <v>24.671499999999998</v>
      </c>
      <c r="G4876" s="31">
        <f>IF(ISNUMBER(F4876),E4876*F4876,"")</f>
        <v>49.342999999999996</v>
      </c>
      <c r="H4876" s="32"/>
      <c r="I4876" s="28"/>
      <c r="J4876" s="125">
        <v>0</v>
      </c>
    </row>
    <row r="4877" spans="1:10" ht="26.25" hidden="1" thickBot="1" x14ac:dyDescent="0.3">
      <c r="A4877" s="235"/>
      <c r="B4877" s="238"/>
      <c r="C4877" s="155" t="s">
        <v>23586</v>
      </c>
      <c r="D4877" s="155" t="s">
        <v>205</v>
      </c>
      <c r="E4877" s="34">
        <v>1</v>
      </c>
      <c r="F4877" s="31">
        <v>10.468999999999999</v>
      </c>
      <c r="G4877" s="49">
        <f>IF(ISNUMBER(F4877),E4877*F4877,"")</f>
        <v>10.468999999999999</v>
      </c>
      <c r="H4877" s="32"/>
      <c r="I4877" s="28"/>
      <c r="J4877" s="125">
        <v>0</v>
      </c>
    </row>
    <row r="4878" spans="1:10" ht="15.75" hidden="1" thickBot="1" x14ac:dyDescent="0.3">
      <c r="A4878" s="235"/>
      <c r="B4878" s="238"/>
      <c r="C4878" s="155" t="s">
        <v>10395</v>
      </c>
      <c r="D4878" s="155" t="s">
        <v>774</v>
      </c>
      <c r="E4878" s="34">
        <v>8.8099999999999998E-2</v>
      </c>
      <c r="F4878" s="31">
        <v>138.6335</v>
      </c>
      <c r="G4878" s="31">
        <f>IF(ISNUMBER(F4878),E4878*F4878,"")</f>
        <v>12.213611349999999</v>
      </c>
      <c r="H4878" s="32"/>
      <c r="I4878" s="28"/>
      <c r="J4878" s="125">
        <v>0</v>
      </c>
    </row>
    <row r="4879" spans="1:10" ht="26.25" hidden="1" thickBot="1" x14ac:dyDescent="0.3">
      <c r="A4879" s="235"/>
      <c r="B4879" s="238"/>
      <c r="C4879" s="155" t="s">
        <v>825</v>
      </c>
      <c r="D4879" s="155" t="s">
        <v>587</v>
      </c>
      <c r="E4879" s="34">
        <v>0.49680000000000002</v>
      </c>
      <c r="F4879" s="28">
        <v>24.9375</v>
      </c>
      <c r="G4879" s="31">
        <f>IF(ISNUMBER(F4879),E4879*F4879,"")</f>
        <v>12.388950000000001</v>
      </c>
      <c r="H4879" s="32"/>
      <c r="I4879" s="28"/>
      <c r="J4879" s="125">
        <v>0</v>
      </c>
    </row>
    <row r="4880" spans="1:10" ht="15.75" hidden="1" thickBot="1" x14ac:dyDescent="0.3">
      <c r="A4880" s="235"/>
      <c r="B4880" s="238"/>
      <c r="C4880" s="155" t="s">
        <v>588</v>
      </c>
      <c r="D4880" s="155" t="s">
        <v>587</v>
      </c>
      <c r="E4880" s="34">
        <v>0.34949999999999998</v>
      </c>
      <c r="F4880" s="28">
        <v>19.189999999999998</v>
      </c>
      <c r="G4880" s="31">
        <f>IF(ISNUMBER(F4880),E4880*F4880,"")</f>
        <v>6.706904999999999</v>
      </c>
      <c r="H4880" s="32"/>
      <c r="I4880" s="28"/>
      <c r="J4880" s="125">
        <v>0</v>
      </c>
    </row>
    <row r="4881" spans="1:10" ht="15.75" hidden="1" thickBot="1" x14ac:dyDescent="0.3">
      <c r="A4881" s="236"/>
      <c r="B4881" s="239"/>
      <c r="C4881" s="155"/>
      <c r="D4881" s="33"/>
      <c r="E4881" s="34"/>
      <c r="F4881" s="28" t="s">
        <v>418</v>
      </c>
      <c r="G4881" s="28" t="str">
        <f>IF(ISNUMBER(F4881),E4881*F4881,"")</f>
        <v/>
      </c>
      <c r="H4881" s="32"/>
      <c r="I4881" s="28"/>
      <c r="J4881" s="125">
        <v>0</v>
      </c>
    </row>
    <row r="4882" spans="1:10" ht="15.75" hidden="1" thickBot="1" x14ac:dyDescent="0.3">
      <c r="A4882" s="234" t="s">
        <v>10321</v>
      </c>
      <c r="B4882" s="237" t="s">
        <v>10359</v>
      </c>
      <c r="C4882" s="160"/>
      <c r="D4882" s="23" t="s">
        <v>16</v>
      </c>
      <c r="E4882" s="24"/>
      <c r="F4882" s="37" t="s">
        <v>418</v>
      </c>
      <c r="G4882" s="25" t="str">
        <f>IF(ISNUMBER(F4882),E4882*F4882,"")</f>
        <v/>
      </c>
      <c r="H4882" s="26"/>
      <c r="I4882" s="27"/>
      <c r="J4882" s="125">
        <v>0</v>
      </c>
    </row>
    <row r="4883" spans="1:10" ht="15.75" hidden="1" thickBot="1" x14ac:dyDescent="0.3">
      <c r="A4883" s="235"/>
      <c r="B4883" s="238"/>
      <c r="C4883" s="151"/>
      <c r="D4883" s="29"/>
      <c r="E4883" s="30"/>
      <c r="F4883" s="38" t="s">
        <v>418</v>
      </c>
      <c r="G4883" s="28" t="str">
        <f>IF(ISNUMBER(F4883),E4883*F4883,"")</f>
        <v/>
      </c>
      <c r="H4883" s="32"/>
      <c r="I4883" s="28"/>
      <c r="J4883" s="125">
        <v>0</v>
      </c>
    </row>
    <row r="4884" spans="1:10" ht="15.75" hidden="1" thickBot="1" x14ac:dyDescent="0.3">
      <c r="A4884" s="235"/>
      <c r="B4884" s="238"/>
      <c r="C4884" s="155" t="s">
        <v>11199</v>
      </c>
      <c r="D4884" s="42" t="s">
        <v>205</v>
      </c>
      <c r="E4884" s="34">
        <v>1</v>
      </c>
      <c r="F4884" s="31" t="s">
        <v>418</v>
      </c>
      <c r="G4884" s="31" t="str">
        <f>IF(ISNUMBER(F4884),E4884*F4884,"")</f>
        <v/>
      </c>
      <c r="H4884" s="35">
        <f>SUM(G4884:G4889)</f>
        <v>91.121466349999992</v>
      </c>
      <c r="I4884" s="36"/>
      <c r="J4884" s="125">
        <v>0</v>
      </c>
    </row>
    <row r="4885" spans="1:10" ht="26.25" hidden="1" thickBot="1" x14ac:dyDescent="0.3">
      <c r="A4885" s="235"/>
      <c r="B4885" s="238"/>
      <c r="C4885" s="155" t="s">
        <v>23586</v>
      </c>
      <c r="D4885" s="155" t="s">
        <v>205</v>
      </c>
      <c r="E4885" s="34">
        <v>1</v>
      </c>
      <c r="F4885" s="31">
        <v>10.468999999999999</v>
      </c>
      <c r="G4885" s="49">
        <f>IF(ISNUMBER(F4885),E4885*F4885,"")</f>
        <v>10.468999999999999</v>
      </c>
      <c r="H4885" s="32"/>
      <c r="I4885" s="28"/>
      <c r="J4885" s="125">
        <v>0</v>
      </c>
    </row>
    <row r="4886" spans="1:10" ht="39" hidden="1" thickBot="1" x14ac:dyDescent="0.3">
      <c r="A4886" s="235"/>
      <c r="B4886" s="238"/>
      <c r="C4886" s="155" t="s">
        <v>26738</v>
      </c>
      <c r="D4886" s="155" t="s">
        <v>205</v>
      </c>
      <c r="E4886" s="34">
        <v>2</v>
      </c>
      <c r="F4886" s="31">
        <v>24.671499999999998</v>
      </c>
      <c r="G4886" s="31">
        <f>IF(ISNUMBER(F4886),E4886*F4886,"")</f>
        <v>49.342999999999996</v>
      </c>
      <c r="H4886" s="32"/>
      <c r="I4886" s="28"/>
      <c r="J4886" s="125">
        <v>0</v>
      </c>
    </row>
    <row r="4887" spans="1:10" ht="15.75" hidden="1" thickBot="1" x14ac:dyDescent="0.3">
      <c r="A4887" s="235"/>
      <c r="B4887" s="238"/>
      <c r="C4887" s="155" t="s">
        <v>10395</v>
      </c>
      <c r="D4887" s="155" t="s">
        <v>774</v>
      </c>
      <c r="E4887" s="34">
        <v>8.8099999999999998E-2</v>
      </c>
      <c r="F4887" s="31">
        <v>138.6335</v>
      </c>
      <c r="G4887" s="31">
        <f>IF(ISNUMBER(F4887),E4887*F4887,"")</f>
        <v>12.213611349999999</v>
      </c>
      <c r="H4887" s="32"/>
      <c r="I4887" s="28"/>
      <c r="J4887" s="125">
        <v>0</v>
      </c>
    </row>
    <row r="4888" spans="1:10" ht="26.25" hidden="1" thickBot="1" x14ac:dyDescent="0.3">
      <c r="A4888" s="235"/>
      <c r="B4888" s="238"/>
      <c r="C4888" s="155" t="s">
        <v>825</v>
      </c>
      <c r="D4888" s="155" t="s">
        <v>587</v>
      </c>
      <c r="E4888" s="34">
        <v>0.49680000000000002</v>
      </c>
      <c r="F4888" s="28">
        <v>24.9375</v>
      </c>
      <c r="G4888" s="31">
        <f>IF(ISNUMBER(F4888),E4888*F4888,"")</f>
        <v>12.388950000000001</v>
      </c>
      <c r="H4888" s="32"/>
      <c r="I4888" s="28"/>
      <c r="J4888" s="125">
        <v>0</v>
      </c>
    </row>
    <row r="4889" spans="1:10" ht="15.75" hidden="1" thickBot="1" x14ac:dyDescent="0.3">
      <c r="A4889" s="235"/>
      <c r="B4889" s="238"/>
      <c r="C4889" s="155" t="s">
        <v>588</v>
      </c>
      <c r="D4889" s="155" t="s">
        <v>587</v>
      </c>
      <c r="E4889" s="34">
        <v>0.34949999999999998</v>
      </c>
      <c r="F4889" s="28">
        <v>19.189999999999998</v>
      </c>
      <c r="G4889" s="31">
        <f>IF(ISNUMBER(F4889),E4889*F4889,"")</f>
        <v>6.706904999999999</v>
      </c>
      <c r="H4889" s="32"/>
      <c r="I4889" s="28"/>
      <c r="J4889" s="125">
        <v>0</v>
      </c>
    </row>
    <row r="4890" spans="1:10" ht="15.75" hidden="1" thickBot="1" x14ac:dyDescent="0.3">
      <c r="A4890" s="236"/>
      <c r="B4890" s="239"/>
      <c r="C4890" s="155"/>
      <c r="D4890" s="33"/>
      <c r="E4890" s="34"/>
      <c r="F4890" s="28" t="s">
        <v>418</v>
      </c>
      <c r="G4890" s="28" t="str">
        <f>IF(ISNUMBER(F4890),E4890*F4890,"")</f>
        <v/>
      </c>
      <c r="H4890" s="32"/>
      <c r="I4890" s="28"/>
      <c r="J4890" s="125">
        <v>0</v>
      </c>
    </row>
    <row r="4891" spans="1:10" ht="15.75" hidden="1" thickBot="1" x14ac:dyDescent="0.3">
      <c r="A4891" s="234" t="s">
        <v>10322</v>
      </c>
      <c r="B4891" s="237" t="s">
        <v>10360</v>
      </c>
      <c r="C4891" s="160"/>
      <c r="D4891" s="23" t="s">
        <v>16</v>
      </c>
      <c r="E4891" s="24"/>
      <c r="F4891" s="44" t="s">
        <v>418</v>
      </c>
      <c r="G4891" s="25" t="str">
        <f>IF(ISNUMBER(F4891),E4891*F4891,"")</f>
        <v/>
      </c>
      <c r="H4891" s="26"/>
      <c r="I4891" s="27"/>
      <c r="J4891" s="125">
        <v>0</v>
      </c>
    </row>
    <row r="4892" spans="1:10" ht="15.75" hidden="1" thickBot="1" x14ac:dyDescent="0.3">
      <c r="A4892" s="249"/>
      <c r="B4892" s="238"/>
      <c r="C4892" s="151"/>
      <c r="D4892" s="29"/>
      <c r="E4892" s="30"/>
      <c r="F4892" s="49" t="s">
        <v>418</v>
      </c>
      <c r="G4892" s="49" t="str">
        <f>IF(ISNUMBER(F4892),E4892*F4892,"")</f>
        <v/>
      </c>
      <c r="H4892" s="65"/>
      <c r="I4892" s="66"/>
      <c r="J4892" s="125">
        <v>0</v>
      </c>
    </row>
    <row r="4893" spans="1:10" ht="26.25" hidden="1" thickBot="1" x14ac:dyDescent="0.3">
      <c r="A4893" s="249"/>
      <c r="B4893" s="238"/>
      <c r="C4893" s="155" t="s">
        <v>11200</v>
      </c>
      <c r="D4893" s="33" t="s">
        <v>205</v>
      </c>
      <c r="E4893" s="34">
        <v>1</v>
      </c>
      <c r="F4893" s="49" t="s">
        <v>418</v>
      </c>
      <c r="G4893" s="49" t="str">
        <f>IF(ISNUMBER(F4893),E4893*F4893,"")</f>
        <v/>
      </c>
      <c r="H4893" s="35">
        <f>SUM(G4893:G4896)</f>
        <v>13.937369249999998</v>
      </c>
      <c r="I4893" s="36"/>
      <c r="J4893" s="125">
        <v>0</v>
      </c>
    </row>
    <row r="4894" spans="1:10" ht="15.75" hidden="1" thickBot="1" x14ac:dyDescent="0.3">
      <c r="A4894" s="249"/>
      <c r="B4894" s="238"/>
      <c r="C4894" s="155" t="s">
        <v>25517</v>
      </c>
      <c r="D4894" s="155" t="s">
        <v>205</v>
      </c>
      <c r="E4894" s="34">
        <v>2.1000000000000001E-2</v>
      </c>
      <c r="F4894" s="49">
        <v>4.6550000000000002</v>
      </c>
      <c r="G4894" s="49">
        <f>IF(ISNUMBER(F4894),E4894*F4894,"")</f>
        <v>9.7755000000000009E-2</v>
      </c>
      <c r="H4894" s="65"/>
      <c r="I4894" s="66"/>
      <c r="J4894" s="125">
        <v>0</v>
      </c>
    </row>
    <row r="4895" spans="1:10" ht="26.25" hidden="1" thickBot="1" x14ac:dyDescent="0.3">
      <c r="A4895" s="249"/>
      <c r="B4895" s="238"/>
      <c r="C4895" s="155" t="s">
        <v>825</v>
      </c>
      <c r="D4895" s="155" t="s">
        <v>587</v>
      </c>
      <c r="E4895" s="34">
        <v>0.44669999999999999</v>
      </c>
      <c r="F4895" s="49">
        <v>24.9375</v>
      </c>
      <c r="G4895" s="49">
        <f>IF(ISNUMBER(F4895),E4895*F4895,"")</f>
        <v>11.139581249999999</v>
      </c>
      <c r="H4895" s="65"/>
      <c r="I4895" s="66"/>
      <c r="J4895" s="125">
        <v>0</v>
      </c>
    </row>
    <row r="4896" spans="1:10" ht="15.75" hidden="1" thickBot="1" x14ac:dyDescent="0.3">
      <c r="A4896" s="249"/>
      <c r="B4896" s="238"/>
      <c r="C4896" s="155" t="s">
        <v>588</v>
      </c>
      <c r="D4896" s="155" t="s">
        <v>587</v>
      </c>
      <c r="E4896" s="34">
        <v>0.14069999999999999</v>
      </c>
      <c r="F4896" s="49">
        <v>19.189999999999998</v>
      </c>
      <c r="G4896" s="49">
        <f>IF(ISNUMBER(F4896),E4896*F4896,"")</f>
        <v>2.7000329999999995</v>
      </c>
      <c r="H4896" s="65"/>
      <c r="I4896" s="66"/>
      <c r="J4896" s="125">
        <v>0</v>
      </c>
    </row>
    <row r="4897" spans="1:10" ht="15.75" hidden="1" thickBot="1" x14ac:dyDescent="0.3">
      <c r="A4897" s="250"/>
      <c r="B4897" s="239"/>
      <c r="C4897" s="155"/>
      <c r="D4897" s="33"/>
      <c r="E4897" s="34"/>
      <c r="F4897" s="49" t="s">
        <v>418</v>
      </c>
      <c r="G4897" s="49" t="str">
        <f>IF(ISNUMBER(F4897),E4897*F4897,"")</f>
        <v/>
      </c>
      <c r="H4897" s="65"/>
      <c r="I4897" s="66"/>
      <c r="J4897" s="125">
        <v>0</v>
      </c>
    </row>
    <row r="4898" spans="1:10" ht="15.75" hidden="1" thickBot="1" x14ac:dyDescent="0.3">
      <c r="A4898" s="234" t="s">
        <v>10323</v>
      </c>
      <c r="B4898" s="237" t="s">
        <v>10361</v>
      </c>
      <c r="C4898" s="160"/>
      <c r="D4898" s="23" t="s">
        <v>16</v>
      </c>
      <c r="E4898" s="24"/>
      <c r="F4898" s="44" t="s">
        <v>418</v>
      </c>
      <c r="G4898" s="25" t="str">
        <f>IF(ISNUMBER(F4898),E4898*F4898,"")</f>
        <v/>
      </c>
      <c r="H4898" s="26"/>
      <c r="I4898" s="27"/>
      <c r="J4898" s="125">
        <v>0</v>
      </c>
    </row>
    <row r="4899" spans="1:10" ht="15.75" hidden="1" thickBot="1" x14ac:dyDescent="0.3">
      <c r="A4899" s="249"/>
      <c r="B4899" s="238"/>
      <c r="C4899" s="151"/>
      <c r="D4899" s="29"/>
      <c r="E4899" s="30"/>
      <c r="F4899" s="49" t="s">
        <v>418</v>
      </c>
      <c r="G4899" s="49" t="str">
        <f>IF(ISNUMBER(F4899),E4899*F4899,"")</f>
        <v/>
      </c>
      <c r="H4899" s="65"/>
      <c r="I4899" s="66"/>
      <c r="J4899" s="125">
        <v>0</v>
      </c>
    </row>
    <row r="4900" spans="1:10" ht="15.75" hidden="1" thickBot="1" x14ac:dyDescent="0.3">
      <c r="A4900" s="249"/>
      <c r="B4900" s="238"/>
      <c r="C4900" s="155" t="s">
        <v>25517</v>
      </c>
      <c r="D4900" s="155" t="s">
        <v>205</v>
      </c>
      <c r="E4900" s="34">
        <v>4.2000000000000003E-2</v>
      </c>
      <c r="F4900" s="49">
        <v>4.6550000000000002</v>
      </c>
      <c r="G4900" s="49">
        <f>IF(ISNUMBER(F4900),E4900*F4900,"")</f>
        <v>0.19551000000000002</v>
      </c>
      <c r="H4900" s="35">
        <f>SUM(G4900:G4903)</f>
        <v>14.55079375</v>
      </c>
      <c r="I4900" s="36"/>
      <c r="J4900" s="125">
        <v>0</v>
      </c>
    </row>
    <row r="4901" spans="1:10" ht="15.75" hidden="1" thickBot="1" x14ac:dyDescent="0.3">
      <c r="A4901" s="249"/>
      <c r="B4901" s="238"/>
      <c r="C4901" s="155" t="s">
        <v>11198</v>
      </c>
      <c r="D4901" s="33" t="s">
        <v>205</v>
      </c>
      <c r="E4901" s="34">
        <v>1</v>
      </c>
      <c r="F4901" s="49" t="s">
        <v>418</v>
      </c>
      <c r="G4901" s="49" t="str">
        <f>IF(ISNUMBER(F4901),E4901*F4901,"")</f>
        <v/>
      </c>
      <c r="H4901" s="65"/>
      <c r="I4901" s="66"/>
      <c r="J4901" s="125">
        <v>0</v>
      </c>
    </row>
    <row r="4902" spans="1:10" ht="26.25" hidden="1" thickBot="1" x14ac:dyDescent="0.3">
      <c r="A4902" s="249"/>
      <c r="B4902" s="238"/>
      <c r="C4902" s="155" t="s">
        <v>825</v>
      </c>
      <c r="D4902" s="155" t="s">
        <v>587</v>
      </c>
      <c r="E4902" s="34">
        <v>0.46329999999999999</v>
      </c>
      <c r="F4902" s="49">
        <v>24.9375</v>
      </c>
      <c r="G4902" s="49">
        <f>IF(ISNUMBER(F4902),E4902*F4902,"")</f>
        <v>11.553543749999999</v>
      </c>
      <c r="H4902" s="65"/>
      <c r="I4902" s="66"/>
      <c r="J4902" s="125">
        <v>0</v>
      </c>
    </row>
    <row r="4903" spans="1:10" ht="15.75" hidden="1" thickBot="1" x14ac:dyDescent="0.3">
      <c r="A4903" s="249"/>
      <c r="B4903" s="238"/>
      <c r="C4903" s="155" t="s">
        <v>588</v>
      </c>
      <c r="D4903" s="155" t="s">
        <v>587</v>
      </c>
      <c r="E4903" s="34">
        <v>0.14599999999999999</v>
      </c>
      <c r="F4903" s="49">
        <v>19.189999999999998</v>
      </c>
      <c r="G4903" s="49">
        <f>IF(ISNUMBER(F4903),E4903*F4903,"")</f>
        <v>2.8017399999999997</v>
      </c>
      <c r="H4903" s="65"/>
      <c r="I4903" s="66"/>
      <c r="J4903" s="125">
        <v>0</v>
      </c>
    </row>
    <row r="4904" spans="1:10" ht="15.75" hidden="1" thickBot="1" x14ac:dyDescent="0.3">
      <c r="A4904" s="250"/>
      <c r="B4904" s="239"/>
      <c r="C4904" s="155"/>
      <c r="D4904" s="33"/>
      <c r="E4904" s="34"/>
      <c r="F4904" s="49" t="s">
        <v>418</v>
      </c>
      <c r="G4904" s="49" t="str">
        <f>IF(ISNUMBER(F4904),E4904*F4904,"")</f>
        <v/>
      </c>
      <c r="H4904" s="65"/>
      <c r="I4904" s="66"/>
      <c r="J4904" s="125">
        <v>0</v>
      </c>
    </row>
    <row r="4905" spans="1:10" ht="15.75" hidden="1" thickBot="1" x14ac:dyDescent="0.3">
      <c r="A4905" s="234" t="s">
        <v>10324</v>
      </c>
      <c r="B4905" s="237" t="s">
        <v>10362</v>
      </c>
      <c r="C4905" s="160"/>
      <c r="D4905" s="23" t="s">
        <v>16</v>
      </c>
      <c r="E4905" s="24"/>
      <c r="F4905" s="44" t="s">
        <v>418</v>
      </c>
      <c r="G4905" s="25" t="str">
        <f>IF(ISNUMBER(F4905),E4905*F4905,"")</f>
        <v/>
      </c>
      <c r="H4905" s="26"/>
      <c r="I4905" s="27"/>
      <c r="J4905" s="125">
        <v>0</v>
      </c>
    </row>
    <row r="4906" spans="1:10" ht="15.75" hidden="1" thickBot="1" x14ac:dyDescent="0.3">
      <c r="A4906" s="249"/>
      <c r="B4906" s="238"/>
      <c r="C4906" s="151"/>
      <c r="D4906" s="29"/>
      <c r="E4906" s="30"/>
      <c r="F4906" s="49" t="s">
        <v>418</v>
      </c>
      <c r="G4906" s="49" t="str">
        <f>IF(ISNUMBER(F4906),E4906*F4906,"")</f>
        <v/>
      </c>
      <c r="H4906" s="65"/>
      <c r="I4906" s="66"/>
      <c r="J4906" s="125">
        <v>0</v>
      </c>
    </row>
    <row r="4907" spans="1:10" ht="15.75" hidden="1" thickBot="1" x14ac:dyDescent="0.3">
      <c r="A4907" s="249"/>
      <c r="B4907" s="238"/>
      <c r="C4907" s="155" t="s">
        <v>25517</v>
      </c>
      <c r="D4907" s="155" t="s">
        <v>205</v>
      </c>
      <c r="E4907" s="34">
        <v>4.2000000000000003E-2</v>
      </c>
      <c r="F4907" s="49">
        <v>4.6550000000000002</v>
      </c>
      <c r="G4907" s="49">
        <f>IF(ISNUMBER(F4907),E4907*F4907,"")</f>
        <v>0.19551000000000002</v>
      </c>
      <c r="H4907" s="35">
        <f>SUM(G4907:G4910)</f>
        <v>7.2165134999999996</v>
      </c>
      <c r="I4907" s="36"/>
      <c r="J4907" s="125">
        <v>0</v>
      </c>
    </row>
    <row r="4908" spans="1:10" ht="26.25" hidden="1" thickBot="1" x14ac:dyDescent="0.3">
      <c r="A4908" s="249"/>
      <c r="B4908" s="238"/>
      <c r="C4908" s="155" t="s">
        <v>11197</v>
      </c>
      <c r="D4908" s="33" t="s">
        <v>205</v>
      </c>
      <c r="E4908" s="34">
        <v>1</v>
      </c>
      <c r="F4908" s="49" t="s">
        <v>418</v>
      </c>
      <c r="G4908" s="49" t="str">
        <f>IF(ISNUMBER(F4908),E4908*F4908,"")</f>
        <v/>
      </c>
      <c r="H4908" s="65"/>
      <c r="I4908" s="66"/>
      <c r="J4908" s="125">
        <v>0</v>
      </c>
    </row>
    <row r="4909" spans="1:10" ht="26.25" hidden="1" thickBot="1" x14ac:dyDescent="0.3">
      <c r="A4909" s="249"/>
      <c r="B4909" s="238"/>
      <c r="C4909" s="155" t="s">
        <v>825</v>
      </c>
      <c r="D4909" s="155" t="s">
        <v>587</v>
      </c>
      <c r="E4909" s="34">
        <v>0.2266</v>
      </c>
      <c r="F4909" s="49">
        <v>24.9375</v>
      </c>
      <c r="G4909" s="49">
        <f>IF(ISNUMBER(F4909),E4909*F4909,"")</f>
        <v>5.6508374999999997</v>
      </c>
      <c r="H4909" s="65"/>
      <c r="I4909" s="66"/>
      <c r="J4909" s="125">
        <v>0</v>
      </c>
    </row>
    <row r="4910" spans="1:10" ht="15.75" hidden="1" thickBot="1" x14ac:dyDescent="0.3">
      <c r="A4910" s="249"/>
      <c r="B4910" s="238"/>
      <c r="C4910" s="155" t="s">
        <v>588</v>
      </c>
      <c r="D4910" s="155" t="s">
        <v>587</v>
      </c>
      <c r="E4910" s="34">
        <v>7.1400000000000005E-2</v>
      </c>
      <c r="F4910" s="49">
        <v>19.189999999999998</v>
      </c>
      <c r="G4910" s="49">
        <f>IF(ISNUMBER(F4910),E4910*F4910,"")</f>
        <v>1.370166</v>
      </c>
      <c r="H4910" s="65"/>
      <c r="I4910" s="66"/>
      <c r="J4910" s="125">
        <v>0</v>
      </c>
    </row>
    <row r="4911" spans="1:10" ht="15.75" hidden="1" thickBot="1" x14ac:dyDescent="0.3">
      <c r="A4911" s="250"/>
      <c r="B4911" s="239"/>
      <c r="C4911" s="155"/>
      <c r="D4911" s="33"/>
      <c r="E4911" s="34"/>
      <c r="F4911" s="49" t="s">
        <v>418</v>
      </c>
      <c r="G4911" s="49" t="str">
        <f>IF(ISNUMBER(F4911),E4911*F4911,"")</f>
        <v/>
      </c>
      <c r="H4911" s="65"/>
      <c r="I4911" s="66"/>
      <c r="J4911" s="125">
        <v>0</v>
      </c>
    </row>
    <row r="4912" spans="1:10" ht="15.75" hidden="1" thickBot="1" x14ac:dyDescent="0.3">
      <c r="A4912" s="234" t="s">
        <v>10325</v>
      </c>
      <c r="B4912" s="237" t="s">
        <v>10363</v>
      </c>
      <c r="C4912" s="160"/>
      <c r="D4912" s="23" t="s">
        <v>16</v>
      </c>
      <c r="E4912" s="24"/>
      <c r="F4912" s="44" t="s">
        <v>418</v>
      </c>
      <c r="G4912" s="25" t="str">
        <f>IF(ISNUMBER(F4912),E4912*F4912,"")</f>
        <v/>
      </c>
      <c r="H4912" s="26"/>
      <c r="I4912" s="27"/>
      <c r="J4912" s="125">
        <v>0</v>
      </c>
    </row>
    <row r="4913" spans="1:10" ht="15.75" hidden="1" thickBot="1" x14ac:dyDescent="0.3">
      <c r="A4913" s="249"/>
      <c r="B4913" s="238"/>
      <c r="C4913" s="151"/>
      <c r="D4913" s="29"/>
      <c r="E4913" s="30"/>
      <c r="F4913" s="49" t="s">
        <v>418</v>
      </c>
      <c r="G4913" s="49" t="str">
        <f>IF(ISNUMBER(F4913),E4913*F4913,"")</f>
        <v/>
      </c>
      <c r="H4913" s="65"/>
      <c r="I4913" s="66"/>
      <c r="J4913" s="125">
        <v>0</v>
      </c>
    </row>
    <row r="4914" spans="1:10" ht="15.75" hidden="1" thickBot="1" x14ac:dyDescent="0.3">
      <c r="A4914" s="249"/>
      <c r="B4914" s="238"/>
      <c r="C4914" s="155" t="s">
        <v>25517</v>
      </c>
      <c r="D4914" s="155" t="s">
        <v>205</v>
      </c>
      <c r="E4914" s="34">
        <v>4.2000000000000003E-2</v>
      </c>
      <c r="F4914" s="49">
        <v>4.6550000000000002</v>
      </c>
      <c r="G4914" s="49">
        <f>IF(ISNUMBER(F4914),E4914*F4914,"")</f>
        <v>0.19551000000000002</v>
      </c>
      <c r="H4914" s="35">
        <f>SUM(G4914:G4917)</f>
        <v>14.55079375</v>
      </c>
      <c r="I4914" s="36"/>
      <c r="J4914" s="125">
        <v>0</v>
      </c>
    </row>
    <row r="4915" spans="1:10" ht="26.25" hidden="1" thickBot="1" x14ac:dyDescent="0.3">
      <c r="A4915" s="249"/>
      <c r="B4915" s="238"/>
      <c r="C4915" s="155" t="s">
        <v>11202</v>
      </c>
      <c r="D4915" s="33" t="s">
        <v>205</v>
      </c>
      <c r="E4915" s="34">
        <v>1</v>
      </c>
      <c r="F4915" s="49" t="s">
        <v>418</v>
      </c>
      <c r="G4915" s="49" t="str">
        <f>IF(ISNUMBER(F4915),E4915*F4915,"")</f>
        <v/>
      </c>
      <c r="H4915" s="65"/>
      <c r="I4915" s="66"/>
      <c r="J4915" s="125">
        <v>0</v>
      </c>
    </row>
    <row r="4916" spans="1:10" ht="26.25" hidden="1" thickBot="1" x14ac:dyDescent="0.3">
      <c r="A4916" s="249"/>
      <c r="B4916" s="238"/>
      <c r="C4916" s="155" t="s">
        <v>825</v>
      </c>
      <c r="D4916" s="155" t="s">
        <v>587</v>
      </c>
      <c r="E4916" s="34">
        <v>0.46329999999999999</v>
      </c>
      <c r="F4916" s="49">
        <v>24.9375</v>
      </c>
      <c r="G4916" s="49">
        <f>IF(ISNUMBER(F4916),E4916*F4916,"")</f>
        <v>11.553543749999999</v>
      </c>
      <c r="H4916" s="65"/>
      <c r="I4916" s="66"/>
      <c r="J4916" s="125">
        <v>0</v>
      </c>
    </row>
    <row r="4917" spans="1:10" ht="15.75" hidden="1" thickBot="1" x14ac:dyDescent="0.3">
      <c r="A4917" s="249"/>
      <c r="B4917" s="238"/>
      <c r="C4917" s="155" t="s">
        <v>588</v>
      </c>
      <c r="D4917" s="155" t="s">
        <v>587</v>
      </c>
      <c r="E4917" s="34">
        <v>0.14599999999999999</v>
      </c>
      <c r="F4917" s="49">
        <v>19.189999999999998</v>
      </c>
      <c r="G4917" s="49">
        <f>IF(ISNUMBER(F4917),E4917*F4917,"")</f>
        <v>2.8017399999999997</v>
      </c>
      <c r="H4917" s="65"/>
      <c r="I4917" s="66"/>
      <c r="J4917" s="125">
        <v>0</v>
      </c>
    </row>
    <row r="4918" spans="1:10" ht="15.75" hidden="1" thickBot="1" x14ac:dyDescent="0.3">
      <c r="A4918" s="250"/>
      <c r="B4918" s="239"/>
      <c r="C4918" s="155"/>
      <c r="D4918" s="33"/>
      <c r="E4918" s="34"/>
      <c r="F4918" s="49" t="s">
        <v>418</v>
      </c>
      <c r="G4918" s="49" t="str">
        <f>IF(ISNUMBER(F4918),E4918*F4918,"")</f>
        <v/>
      </c>
      <c r="H4918" s="65"/>
      <c r="I4918" s="66"/>
      <c r="J4918" s="125">
        <v>0</v>
      </c>
    </row>
    <row r="4919" spans="1:10" ht="15.75" hidden="1" thickBot="1" x14ac:dyDescent="0.3">
      <c r="A4919" s="234" t="s">
        <v>10326</v>
      </c>
      <c r="B4919" s="237" t="s">
        <v>10364</v>
      </c>
      <c r="C4919" s="160"/>
      <c r="D4919" s="23" t="s">
        <v>16</v>
      </c>
      <c r="E4919" s="24"/>
      <c r="F4919" s="44" t="s">
        <v>418</v>
      </c>
      <c r="G4919" s="25" t="str">
        <f>IF(ISNUMBER(F4919),E4919*F4919,"")</f>
        <v/>
      </c>
      <c r="H4919" s="26"/>
      <c r="I4919" s="27"/>
      <c r="J4919" s="125">
        <v>0</v>
      </c>
    </row>
    <row r="4920" spans="1:10" ht="15.75" hidden="1" thickBot="1" x14ac:dyDescent="0.3">
      <c r="A4920" s="249"/>
      <c r="B4920" s="238"/>
      <c r="C4920" s="151"/>
      <c r="D4920" s="29"/>
      <c r="E4920" s="30"/>
      <c r="F4920" s="49" t="s">
        <v>418</v>
      </c>
      <c r="G4920" s="49" t="str">
        <f>IF(ISNUMBER(F4920),E4920*F4920,"")</f>
        <v/>
      </c>
      <c r="H4920" s="65"/>
      <c r="I4920" s="66"/>
      <c r="J4920" s="125">
        <v>0</v>
      </c>
    </row>
    <row r="4921" spans="1:10" ht="15.75" hidden="1" thickBot="1" x14ac:dyDescent="0.3">
      <c r="A4921" s="249"/>
      <c r="B4921" s="238"/>
      <c r="C4921" s="155" t="s">
        <v>25517</v>
      </c>
      <c r="D4921" s="155" t="s">
        <v>205</v>
      </c>
      <c r="E4921" s="34">
        <v>4.2000000000000003E-2</v>
      </c>
      <c r="F4921" s="49">
        <v>4.6550000000000002</v>
      </c>
      <c r="G4921" s="49">
        <f>IF(ISNUMBER(F4921),E4921*F4921,"")</f>
        <v>0.19551000000000002</v>
      </c>
      <c r="H4921" s="35">
        <f>SUM(G4921:G4924)</f>
        <v>7.2165134999999996</v>
      </c>
      <c r="I4921" s="36"/>
      <c r="J4921" s="125">
        <v>0</v>
      </c>
    </row>
    <row r="4922" spans="1:10" ht="26.25" hidden="1" thickBot="1" x14ac:dyDescent="0.3">
      <c r="A4922" s="249"/>
      <c r="B4922" s="238"/>
      <c r="C4922" s="155" t="s">
        <v>11203</v>
      </c>
      <c r="D4922" s="33" t="s">
        <v>205</v>
      </c>
      <c r="E4922" s="34">
        <v>1</v>
      </c>
      <c r="F4922" s="49" t="s">
        <v>418</v>
      </c>
      <c r="G4922" s="49" t="str">
        <f>IF(ISNUMBER(F4922),E4922*F4922,"")</f>
        <v/>
      </c>
      <c r="H4922" s="65"/>
      <c r="I4922" s="66"/>
      <c r="J4922" s="125">
        <v>0</v>
      </c>
    </row>
    <row r="4923" spans="1:10" ht="26.25" hidden="1" thickBot="1" x14ac:dyDescent="0.3">
      <c r="A4923" s="249"/>
      <c r="B4923" s="238"/>
      <c r="C4923" s="155" t="s">
        <v>825</v>
      </c>
      <c r="D4923" s="155" t="s">
        <v>587</v>
      </c>
      <c r="E4923" s="34">
        <v>0.2266</v>
      </c>
      <c r="F4923" s="49">
        <v>24.9375</v>
      </c>
      <c r="G4923" s="49">
        <f>IF(ISNUMBER(F4923),E4923*F4923,"")</f>
        <v>5.6508374999999997</v>
      </c>
      <c r="H4923" s="65"/>
      <c r="I4923" s="66"/>
      <c r="J4923" s="125">
        <v>0</v>
      </c>
    </row>
    <row r="4924" spans="1:10" ht="15.75" hidden="1" thickBot="1" x14ac:dyDescent="0.3">
      <c r="A4924" s="249"/>
      <c r="B4924" s="238"/>
      <c r="C4924" s="155" t="s">
        <v>588</v>
      </c>
      <c r="D4924" s="155" t="s">
        <v>587</v>
      </c>
      <c r="E4924" s="34">
        <v>7.1400000000000005E-2</v>
      </c>
      <c r="F4924" s="49">
        <v>19.189999999999998</v>
      </c>
      <c r="G4924" s="49">
        <f>IF(ISNUMBER(F4924),E4924*F4924,"")</f>
        <v>1.370166</v>
      </c>
      <c r="H4924" s="65"/>
      <c r="I4924" s="66"/>
      <c r="J4924" s="125">
        <v>0</v>
      </c>
    </row>
    <row r="4925" spans="1:10" ht="15.75" hidden="1" thickBot="1" x14ac:dyDescent="0.3">
      <c r="A4925" s="250"/>
      <c r="B4925" s="239"/>
      <c r="C4925" s="155"/>
      <c r="D4925" s="33"/>
      <c r="E4925" s="34"/>
      <c r="F4925" s="49" t="s">
        <v>418</v>
      </c>
      <c r="G4925" s="49" t="str">
        <f>IF(ISNUMBER(F4925),E4925*F4925,"")</f>
        <v/>
      </c>
      <c r="H4925" s="65"/>
      <c r="I4925" s="66"/>
      <c r="J4925" s="125">
        <v>0</v>
      </c>
    </row>
    <row r="4926" spans="1:10" ht="15.75" hidden="1" thickBot="1" x14ac:dyDescent="0.3">
      <c r="A4926" s="234" t="s">
        <v>10327</v>
      </c>
      <c r="B4926" s="237" t="s">
        <v>10365</v>
      </c>
      <c r="C4926" s="160"/>
      <c r="D4926" s="23" t="s">
        <v>16</v>
      </c>
      <c r="E4926" s="24"/>
      <c r="F4926" s="37" t="s">
        <v>418</v>
      </c>
      <c r="G4926" s="25" t="str">
        <f>IF(ISNUMBER(F4926),E4926*F4926,"")</f>
        <v/>
      </c>
      <c r="H4926" s="26"/>
      <c r="I4926" s="27"/>
      <c r="J4926" s="125">
        <v>0</v>
      </c>
    </row>
    <row r="4927" spans="1:10" ht="15.75" hidden="1" thickBot="1" x14ac:dyDescent="0.3">
      <c r="A4927" s="235"/>
      <c r="B4927" s="238"/>
      <c r="C4927" s="151"/>
      <c r="D4927" s="29"/>
      <c r="E4927" s="30"/>
      <c r="F4927" s="38" t="s">
        <v>418</v>
      </c>
      <c r="G4927" s="31" t="str">
        <f>IF(ISNUMBER(F4927),E4927*F4927,"")</f>
        <v/>
      </c>
      <c r="H4927" s="32"/>
      <c r="I4927" s="28"/>
      <c r="J4927" s="125">
        <v>0</v>
      </c>
    </row>
    <row r="4928" spans="1:10" ht="15.75" hidden="1" thickBot="1" x14ac:dyDescent="0.3">
      <c r="A4928" s="235"/>
      <c r="B4928" s="238"/>
      <c r="C4928" s="155" t="s">
        <v>9864</v>
      </c>
      <c r="D4928" s="155" t="s">
        <v>587</v>
      </c>
      <c r="E4928" s="34">
        <v>0.3</v>
      </c>
      <c r="F4928" s="31">
        <v>23.274999999999999</v>
      </c>
      <c r="G4928" s="31">
        <f>IF(ISNUMBER(F4928),E4928*F4928,"")</f>
        <v>6.982499999999999</v>
      </c>
      <c r="H4928" s="35">
        <f>SUM(G4928:G4929)</f>
        <v>6.982499999999999</v>
      </c>
      <c r="I4928" s="36"/>
      <c r="J4928" s="125">
        <v>0</v>
      </c>
    </row>
    <row r="4929" spans="1:10" ht="26.25" hidden="1" thickBot="1" x14ac:dyDescent="0.3">
      <c r="A4929" s="235"/>
      <c r="B4929" s="238"/>
      <c r="C4929" s="155" t="s">
        <v>11204</v>
      </c>
      <c r="D4929" s="42" t="s">
        <v>16</v>
      </c>
      <c r="E4929" s="34">
        <v>1</v>
      </c>
      <c r="F4929" s="28" t="s">
        <v>418</v>
      </c>
      <c r="G4929" s="31" t="str">
        <f>IF(ISNUMBER(F4929),E4929*F4929,"")</f>
        <v/>
      </c>
      <c r="H4929" s="32"/>
      <c r="I4929" s="28"/>
      <c r="J4929" s="125">
        <v>0</v>
      </c>
    </row>
    <row r="4930" spans="1:10" ht="15.75" hidden="1" thickBot="1" x14ac:dyDescent="0.3">
      <c r="A4930" s="236"/>
      <c r="B4930" s="239"/>
      <c r="C4930" s="155"/>
      <c r="D4930" s="33"/>
      <c r="E4930" s="34"/>
      <c r="F4930" s="28" t="s">
        <v>418</v>
      </c>
      <c r="G4930" s="31" t="str">
        <f>IF(ISNUMBER(F4930),E4930*F4930,"")</f>
        <v/>
      </c>
      <c r="H4930" s="32"/>
      <c r="I4930" s="28"/>
      <c r="J4930" s="125">
        <v>0</v>
      </c>
    </row>
    <row r="4931" spans="1:10" ht="15.75" hidden="1" thickBot="1" x14ac:dyDescent="0.3">
      <c r="A4931" s="234" t="s">
        <v>10328</v>
      </c>
      <c r="B4931" s="237" t="s">
        <v>10366</v>
      </c>
      <c r="C4931" s="160"/>
      <c r="D4931" s="23" t="s">
        <v>16</v>
      </c>
      <c r="E4931" s="24"/>
      <c r="F4931" s="37" t="s">
        <v>418</v>
      </c>
      <c r="G4931" s="25" t="str">
        <f>IF(ISNUMBER(F4931),E4931*F4931,"")</f>
        <v/>
      </c>
      <c r="H4931" s="26"/>
      <c r="I4931" s="27"/>
      <c r="J4931" s="125">
        <v>0</v>
      </c>
    </row>
    <row r="4932" spans="1:10" ht="15.75" hidden="1" thickBot="1" x14ac:dyDescent="0.3">
      <c r="A4932" s="235"/>
      <c r="B4932" s="238"/>
      <c r="C4932" s="151"/>
      <c r="D4932" s="29"/>
      <c r="E4932" s="30"/>
      <c r="F4932" s="38" t="s">
        <v>418</v>
      </c>
      <c r="G4932" s="28" t="str">
        <f>IF(ISNUMBER(F4932),E4932*F4932,"")</f>
        <v/>
      </c>
      <c r="H4932" s="32"/>
      <c r="I4932" s="28"/>
      <c r="J4932" s="125">
        <v>0</v>
      </c>
    </row>
    <row r="4933" spans="1:10" ht="26.25" hidden="1" thickBot="1" x14ac:dyDescent="0.3">
      <c r="A4933" s="235"/>
      <c r="B4933" s="238"/>
      <c r="C4933" s="155" t="s">
        <v>11206</v>
      </c>
      <c r="D4933" s="33" t="s">
        <v>97</v>
      </c>
      <c r="E4933" s="34">
        <v>1</v>
      </c>
      <c r="F4933" s="31" t="s">
        <v>418</v>
      </c>
      <c r="G4933" s="31" t="str">
        <f>IF(ISNUMBER(F4933),E4933*F4933,"")</f>
        <v/>
      </c>
      <c r="H4933" s="35">
        <f>SUM(G4933:G4936)</f>
        <v>16.131269800000002</v>
      </c>
      <c r="I4933" s="36"/>
      <c r="J4933" s="125">
        <v>0</v>
      </c>
    </row>
    <row r="4934" spans="1:10" ht="26.25" hidden="1" thickBot="1" x14ac:dyDescent="0.3">
      <c r="A4934" s="235"/>
      <c r="B4934" s="238"/>
      <c r="C4934" s="155" t="s">
        <v>11205</v>
      </c>
      <c r="D4934" s="33" t="s">
        <v>97</v>
      </c>
      <c r="E4934" s="34">
        <v>1</v>
      </c>
      <c r="F4934" s="31" t="s">
        <v>418</v>
      </c>
      <c r="G4934" s="31" t="str">
        <f>IF(ISNUMBER(F4934),E4934*F4934,"")</f>
        <v/>
      </c>
      <c r="H4934" s="40"/>
      <c r="I4934" s="41"/>
      <c r="J4934" s="125">
        <v>0</v>
      </c>
    </row>
    <row r="4935" spans="1:10" ht="15.75" hidden="1" thickBot="1" x14ac:dyDescent="0.3">
      <c r="A4935" s="235"/>
      <c r="B4935" s="238"/>
      <c r="C4935" s="155" t="s">
        <v>1022</v>
      </c>
      <c r="D4935" s="155" t="s">
        <v>587</v>
      </c>
      <c r="E4935" s="34">
        <v>0.19719999999999999</v>
      </c>
      <c r="F4935" s="28">
        <v>19.522500000000001</v>
      </c>
      <c r="G4935" s="28">
        <f>IF(ISNUMBER(F4935),E4935*F4935,"")</f>
        <v>3.849837</v>
      </c>
      <c r="H4935" s="32"/>
      <c r="I4935" s="28"/>
      <c r="J4935" s="125">
        <v>0</v>
      </c>
    </row>
    <row r="4936" spans="1:10" ht="15.75" hidden="1" thickBot="1" x14ac:dyDescent="0.3">
      <c r="A4936" s="235"/>
      <c r="B4936" s="238"/>
      <c r="C4936" s="155" t="s">
        <v>1023</v>
      </c>
      <c r="D4936" s="155" t="s">
        <v>587</v>
      </c>
      <c r="E4936" s="34">
        <v>0.47320000000000001</v>
      </c>
      <c r="F4936" s="28">
        <v>25.954000000000001</v>
      </c>
      <c r="G4936" s="28">
        <f>IF(ISNUMBER(F4936),E4936*F4936,"")</f>
        <v>12.281432800000001</v>
      </c>
      <c r="H4936" s="32"/>
      <c r="I4936" s="28"/>
      <c r="J4936" s="125">
        <v>0</v>
      </c>
    </row>
    <row r="4937" spans="1:10" ht="15.75" hidden="1" thickBot="1" x14ac:dyDescent="0.3">
      <c r="A4937" s="236"/>
      <c r="B4937" s="239"/>
      <c r="C4937" s="155"/>
      <c r="D4937" s="33"/>
      <c r="E4937" s="34"/>
      <c r="F4937" s="28" t="s">
        <v>418</v>
      </c>
      <c r="G4937" s="28" t="str">
        <f>IF(ISNUMBER(F4937),E4937*F4937,"")</f>
        <v/>
      </c>
      <c r="H4937" s="32"/>
      <c r="I4937" s="28"/>
      <c r="J4937" s="125">
        <v>0</v>
      </c>
    </row>
    <row r="4938" spans="1:10" ht="15.75" hidden="1" thickBot="1" x14ac:dyDescent="0.3">
      <c r="A4938" s="234" t="s">
        <v>10329</v>
      </c>
      <c r="B4938" s="237" t="s">
        <v>10367</v>
      </c>
      <c r="C4938" s="160"/>
      <c r="D4938" s="23" t="s">
        <v>16</v>
      </c>
      <c r="E4938" s="24"/>
      <c r="F4938" s="37" t="s">
        <v>418</v>
      </c>
      <c r="G4938" s="25" t="str">
        <f>IF(ISNUMBER(F4938),E4938*F4938,"")</f>
        <v/>
      </c>
      <c r="H4938" s="26"/>
      <c r="I4938" s="27"/>
      <c r="J4938" s="125">
        <v>0</v>
      </c>
    </row>
    <row r="4939" spans="1:10" ht="15.75" hidden="1" thickBot="1" x14ac:dyDescent="0.3">
      <c r="A4939" s="235"/>
      <c r="B4939" s="238"/>
      <c r="C4939" s="151"/>
      <c r="D4939" s="29"/>
      <c r="E4939" s="30"/>
      <c r="F4939" s="38" t="s">
        <v>418</v>
      </c>
      <c r="G4939" s="28" t="str">
        <f>IF(ISNUMBER(F4939),E4939*F4939,"")</f>
        <v/>
      </c>
      <c r="H4939" s="32"/>
      <c r="I4939" s="28"/>
      <c r="J4939" s="125">
        <v>0</v>
      </c>
    </row>
    <row r="4940" spans="1:10" ht="15.75" hidden="1" thickBot="1" x14ac:dyDescent="0.3">
      <c r="A4940" s="235"/>
      <c r="B4940" s="238"/>
      <c r="C4940" s="155" t="s">
        <v>10233</v>
      </c>
      <c r="D4940" s="155" t="s">
        <v>205</v>
      </c>
      <c r="E4940" s="34">
        <v>0.12</v>
      </c>
      <c r="F4940" s="31">
        <v>37.591499999999996</v>
      </c>
      <c r="G4940" s="31">
        <f>IF(ISNUMBER(F4940),E4940*F4940,"")</f>
        <v>4.5109799999999991</v>
      </c>
      <c r="H4940" s="35">
        <f>SUM(G4940:G4943)</f>
        <v>51.738466799999991</v>
      </c>
      <c r="I4940" s="36"/>
      <c r="J4940" s="125">
        <v>0</v>
      </c>
    </row>
    <row r="4941" spans="1:10" ht="26.25" hidden="1" thickBot="1" x14ac:dyDescent="0.3">
      <c r="A4941" s="235"/>
      <c r="B4941" s="238"/>
      <c r="C4941" s="155" t="s">
        <v>10285</v>
      </c>
      <c r="D4941" s="155" t="s">
        <v>205</v>
      </c>
      <c r="E4941" s="34">
        <v>1</v>
      </c>
      <c r="F4941" s="31">
        <v>39.367999999999995</v>
      </c>
      <c r="G4941" s="31">
        <f>IF(ISNUMBER(F4941),E4941*F4941,"")</f>
        <v>39.367999999999995</v>
      </c>
      <c r="H4941" s="40"/>
      <c r="I4941" s="41"/>
      <c r="J4941" s="125">
        <v>0</v>
      </c>
    </row>
    <row r="4942" spans="1:10" ht="26.25" hidden="1" thickBot="1" x14ac:dyDescent="0.3">
      <c r="A4942" s="235"/>
      <c r="B4942" s="238"/>
      <c r="C4942" s="155" t="s">
        <v>824</v>
      </c>
      <c r="D4942" s="155" t="s">
        <v>587</v>
      </c>
      <c r="E4942" s="34">
        <v>0.1804</v>
      </c>
      <c r="F4942" s="28">
        <v>18.6295</v>
      </c>
      <c r="G4942" s="28">
        <f>IF(ISNUMBER(F4942),E4942*F4942,"")</f>
        <v>3.3607618000000001</v>
      </c>
      <c r="H4942" s="32"/>
      <c r="I4942" s="28"/>
      <c r="J4942" s="125">
        <v>0</v>
      </c>
    </row>
    <row r="4943" spans="1:10" ht="26.25" hidden="1" thickBot="1" x14ac:dyDescent="0.3">
      <c r="A4943" s="235"/>
      <c r="B4943" s="238"/>
      <c r="C4943" s="155" t="s">
        <v>825</v>
      </c>
      <c r="D4943" s="155" t="s">
        <v>587</v>
      </c>
      <c r="E4943" s="34">
        <v>0.1804</v>
      </c>
      <c r="F4943" s="28">
        <v>24.9375</v>
      </c>
      <c r="G4943" s="28">
        <f>IF(ISNUMBER(F4943),E4943*F4943,"")</f>
        <v>4.4987250000000003</v>
      </c>
      <c r="H4943" s="32"/>
      <c r="I4943" s="28"/>
      <c r="J4943" s="125">
        <v>0</v>
      </c>
    </row>
    <row r="4944" spans="1:10" ht="15.75" hidden="1" thickBot="1" x14ac:dyDescent="0.3">
      <c r="A4944" s="236"/>
      <c r="B4944" s="239"/>
      <c r="C4944" s="155"/>
      <c r="D4944" s="33"/>
      <c r="E4944" s="34"/>
      <c r="F4944" s="28" t="s">
        <v>418</v>
      </c>
      <c r="G4944" s="28" t="str">
        <f>IF(ISNUMBER(F4944),E4944*F4944,"")</f>
        <v/>
      </c>
      <c r="H4944" s="32"/>
      <c r="I4944" s="28"/>
      <c r="J4944" s="125">
        <v>0</v>
      </c>
    </row>
    <row r="4945" spans="1:10" ht="15.75" hidden="1" thickBot="1" x14ac:dyDescent="0.3">
      <c r="A4945" s="234" t="s">
        <v>10330</v>
      </c>
      <c r="B4945" s="237" t="s">
        <v>10368</v>
      </c>
      <c r="C4945" s="160"/>
      <c r="D4945" s="23" t="s">
        <v>16</v>
      </c>
      <c r="E4945" s="24"/>
      <c r="F4945" s="37" t="s">
        <v>418</v>
      </c>
      <c r="G4945" s="25" t="str">
        <f>IF(ISNUMBER(F4945),E4945*F4945,"")</f>
        <v/>
      </c>
      <c r="H4945" s="26"/>
      <c r="I4945" s="27"/>
      <c r="J4945" s="125">
        <v>0</v>
      </c>
    </row>
    <row r="4946" spans="1:10" ht="15.75" hidden="1" thickBot="1" x14ac:dyDescent="0.3">
      <c r="A4946" s="235"/>
      <c r="B4946" s="238"/>
      <c r="C4946" s="151"/>
      <c r="D4946" s="29"/>
      <c r="E4946" s="30"/>
      <c r="F4946" s="38" t="s">
        <v>418</v>
      </c>
      <c r="G4946" s="28" t="str">
        <f>IF(ISNUMBER(F4946),E4946*F4946,"")</f>
        <v/>
      </c>
      <c r="H4946" s="32"/>
      <c r="I4946" s="28"/>
      <c r="J4946" s="125">
        <v>0</v>
      </c>
    </row>
    <row r="4947" spans="1:10" ht="15.75" hidden="1" thickBot="1" x14ac:dyDescent="0.3">
      <c r="A4947" s="235"/>
      <c r="B4947" s="238"/>
      <c r="C4947" s="155" t="s">
        <v>237</v>
      </c>
      <c r="D4947" s="155" t="s">
        <v>205</v>
      </c>
      <c r="E4947" s="34">
        <v>1.9199999999999998E-2</v>
      </c>
      <c r="F4947" s="31">
        <v>17.166499999999999</v>
      </c>
      <c r="G4947" s="31">
        <f>IF(ISNUMBER(F4947),E4947*F4947,"")</f>
        <v>0.32959679999999997</v>
      </c>
      <c r="H4947" s="35">
        <f>SUM(G4947:G4950)</f>
        <v>32.564820099999999</v>
      </c>
      <c r="I4947" s="36"/>
      <c r="J4947" s="125">
        <v>0</v>
      </c>
    </row>
    <row r="4948" spans="1:10" ht="15.75" hidden="1" thickBot="1" x14ac:dyDescent="0.3">
      <c r="A4948" s="235"/>
      <c r="B4948" s="238"/>
      <c r="C4948" s="155" t="s">
        <v>11207</v>
      </c>
      <c r="D4948" s="33" t="s">
        <v>205</v>
      </c>
      <c r="E4948" s="34">
        <v>1</v>
      </c>
      <c r="F4948" s="31" t="s">
        <v>418</v>
      </c>
      <c r="G4948" s="31" t="str">
        <f>IF(ISNUMBER(F4948),E4948*F4948,"")</f>
        <v/>
      </c>
      <c r="H4948" s="40"/>
      <c r="I4948" s="41"/>
      <c r="J4948" s="125">
        <v>0</v>
      </c>
    </row>
    <row r="4949" spans="1:10" ht="26.25" hidden="1" thickBot="1" x14ac:dyDescent="0.3">
      <c r="A4949" s="235"/>
      <c r="B4949" s="238"/>
      <c r="C4949" s="155" t="s">
        <v>824</v>
      </c>
      <c r="D4949" s="155" t="s">
        <v>587</v>
      </c>
      <c r="E4949" s="34">
        <f>ROUND(0.9249*0.8,4)</f>
        <v>0.7399</v>
      </c>
      <c r="F4949" s="28">
        <v>18.6295</v>
      </c>
      <c r="G4949" s="28">
        <f>IF(ISNUMBER(F4949),E4949*F4949,"")</f>
        <v>13.783967049999999</v>
      </c>
      <c r="H4949" s="32"/>
      <c r="I4949" s="28"/>
      <c r="J4949" s="125">
        <v>0</v>
      </c>
    </row>
    <row r="4950" spans="1:10" ht="26.25" hidden="1" thickBot="1" x14ac:dyDescent="0.3">
      <c r="A4950" s="235"/>
      <c r="B4950" s="238"/>
      <c r="C4950" s="155" t="s">
        <v>825</v>
      </c>
      <c r="D4950" s="155" t="s">
        <v>587</v>
      </c>
      <c r="E4950" s="34">
        <f>ROUND(0.9249*0.8,4)</f>
        <v>0.7399</v>
      </c>
      <c r="F4950" s="28">
        <v>24.9375</v>
      </c>
      <c r="G4950" s="28">
        <f>IF(ISNUMBER(F4950),E4950*F4950,"")</f>
        <v>18.45125625</v>
      </c>
      <c r="H4950" s="32"/>
      <c r="I4950" s="28"/>
      <c r="J4950" s="125">
        <v>0</v>
      </c>
    </row>
    <row r="4951" spans="1:10" ht="15.75" hidden="1" thickBot="1" x14ac:dyDescent="0.3">
      <c r="A4951" s="236"/>
      <c r="B4951" s="239"/>
      <c r="C4951" s="155"/>
      <c r="D4951" s="33"/>
      <c r="E4951" s="34"/>
      <c r="F4951" s="28" t="s">
        <v>418</v>
      </c>
      <c r="G4951" s="28" t="str">
        <f>IF(ISNUMBER(F4951),E4951*F4951,"")</f>
        <v/>
      </c>
      <c r="H4951" s="32"/>
      <c r="I4951" s="28"/>
      <c r="J4951" s="125">
        <v>0</v>
      </c>
    </row>
    <row r="4952" spans="1:10" ht="15.75" hidden="1" thickBot="1" x14ac:dyDescent="0.3">
      <c r="A4952" s="234" t="s">
        <v>10331</v>
      </c>
      <c r="B4952" s="237" t="s">
        <v>10369</v>
      </c>
      <c r="C4952" s="160"/>
      <c r="D4952" s="23" t="s">
        <v>16</v>
      </c>
      <c r="E4952" s="24"/>
      <c r="F4952" s="37" t="s">
        <v>418</v>
      </c>
      <c r="G4952" s="25" t="str">
        <f>IF(ISNUMBER(F4952),E4952*F4952,"")</f>
        <v/>
      </c>
      <c r="H4952" s="26"/>
      <c r="I4952" s="27"/>
      <c r="J4952" s="125">
        <v>0</v>
      </c>
    </row>
    <row r="4953" spans="1:10" ht="15.75" hidden="1" thickBot="1" x14ac:dyDescent="0.3">
      <c r="A4953" s="235"/>
      <c r="B4953" s="238"/>
      <c r="C4953" s="151"/>
      <c r="D4953" s="29"/>
      <c r="E4953" s="30"/>
      <c r="F4953" s="38" t="s">
        <v>418</v>
      </c>
      <c r="G4953" s="28" t="str">
        <f>IF(ISNUMBER(F4953),E4953*F4953,"")</f>
        <v/>
      </c>
      <c r="H4953" s="32"/>
      <c r="I4953" s="28"/>
      <c r="J4953" s="125">
        <v>0</v>
      </c>
    </row>
    <row r="4954" spans="1:10" ht="15.75" hidden="1" thickBot="1" x14ac:dyDescent="0.3">
      <c r="A4954" s="235"/>
      <c r="B4954" s="238"/>
      <c r="C4954" s="155" t="s">
        <v>237</v>
      </c>
      <c r="D4954" s="155" t="s">
        <v>205</v>
      </c>
      <c r="E4954" s="34">
        <v>1.9199999999999998E-2</v>
      </c>
      <c r="F4954" s="31">
        <v>17.166499999999999</v>
      </c>
      <c r="G4954" s="31">
        <f>IF(ISNUMBER(F4954),E4954*F4954,"")</f>
        <v>0.32959679999999997</v>
      </c>
      <c r="H4954" s="35">
        <f>SUM(G4954:G4957)</f>
        <v>32.564820099999999</v>
      </c>
      <c r="I4954" s="36"/>
      <c r="J4954" s="125">
        <v>0</v>
      </c>
    </row>
    <row r="4955" spans="1:10" ht="15.75" hidden="1" thickBot="1" x14ac:dyDescent="0.3">
      <c r="A4955" s="235"/>
      <c r="B4955" s="238"/>
      <c r="C4955" s="155" t="s">
        <v>11208</v>
      </c>
      <c r="D4955" s="33" t="s">
        <v>205</v>
      </c>
      <c r="E4955" s="34">
        <v>1</v>
      </c>
      <c r="F4955" s="31" t="s">
        <v>418</v>
      </c>
      <c r="G4955" s="31" t="str">
        <f>IF(ISNUMBER(F4955),E4955*F4955,"")</f>
        <v/>
      </c>
      <c r="H4955" s="40"/>
      <c r="I4955" s="41"/>
      <c r="J4955" s="125">
        <v>0</v>
      </c>
    </row>
    <row r="4956" spans="1:10" ht="26.25" hidden="1" thickBot="1" x14ac:dyDescent="0.3">
      <c r="A4956" s="235"/>
      <c r="B4956" s="238"/>
      <c r="C4956" s="155" t="s">
        <v>824</v>
      </c>
      <c r="D4956" s="155" t="s">
        <v>587</v>
      </c>
      <c r="E4956" s="34">
        <f t="shared" ref="E4956:E4957" si="0">ROUND(0.9249*0.8,4)</f>
        <v>0.7399</v>
      </c>
      <c r="F4956" s="28">
        <v>18.6295</v>
      </c>
      <c r="G4956" s="28">
        <f>IF(ISNUMBER(F4956),E4956*F4956,"")</f>
        <v>13.783967049999999</v>
      </c>
      <c r="H4956" s="32"/>
      <c r="I4956" s="28"/>
      <c r="J4956" s="125">
        <v>0</v>
      </c>
    </row>
    <row r="4957" spans="1:10" ht="26.25" hidden="1" thickBot="1" x14ac:dyDescent="0.3">
      <c r="A4957" s="235"/>
      <c r="B4957" s="238"/>
      <c r="C4957" s="155" t="s">
        <v>825</v>
      </c>
      <c r="D4957" s="155" t="s">
        <v>587</v>
      </c>
      <c r="E4957" s="34">
        <f t="shared" si="0"/>
        <v>0.7399</v>
      </c>
      <c r="F4957" s="28">
        <v>24.9375</v>
      </c>
      <c r="G4957" s="28">
        <f>IF(ISNUMBER(F4957),E4957*F4957,"")</f>
        <v>18.45125625</v>
      </c>
      <c r="H4957" s="32"/>
      <c r="I4957" s="28"/>
      <c r="J4957" s="125">
        <v>0</v>
      </c>
    </row>
    <row r="4958" spans="1:10" ht="15.75" hidden="1" thickBot="1" x14ac:dyDescent="0.3">
      <c r="A4958" s="236"/>
      <c r="B4958" s="239"/>
      <c r="C4958" s="155"/>
      <c r="D4958" s="33"/>
      <c r="E4958" s="34"/>
      <c r="F4958" s="28" t="s">
        <v>418</v>
      </c>
      <c r="G4958" s="28" t="str">
        <f>IF(ISNUMBER(F4958),E4958*F4958,"")</f>
        <v/>
      </c>
      <c r="H4958" s="32"/>
      <c r="I4958" s="28"/>
      <c r="J4958" s="125">
        <v>0</v>
      </c>
    </row>
    <row r="4959" spans="1:10" ht="15.75" hidden="1" thickBot="1" x14ac:dyDescent="0.3">
      <c r="A4959" s="234" t="s">
        <v>10332</v>
      </c>
      <c r="B4959" s="237" t="s">
        <v>10370</v>
      </c>
      <c r="C4959" s="160"/>
      <c r="D4959" s="23" t="s">
        <v>16</v>
      </c>
      <c r="E4959" s="24"/>
      <c r="F4959" s="37" t="s">
        <v>418</v>
      </c>
      <c r="G4959" s="25" t="str">
        <f>IF(ISNUMBER(F4959),E4959*F4959,"")</f>
        <v/>
      </c>
      <c r="H4959" s="26"/>
      <c r="I4959" s="27"/>
      <c r="J4959" s="125">
        <v>0</v>
      </c>
    </row>
    <row r="4960" spans="1:10" ht="15.75" hidden="1" thickBot="1" x14ac:dyDescent="0.3">
      <c r="A4960" s="235"/>
      <c r="B4960" s="238"/>
      <c r="C4960" s="151"/>
      <c r="D4960" s="29"/>
      <c r="E4960" s="30"/>
      <c r="F4960" s="38" t="s">
        <v>418</v>
      </c>
      <c r="G4960" s="31" t="str">
        <f>IF(ISNUMBER(F4960),E4960*F4960,"")</f>
        <v/>
      </c>
      <c r="H4960" s="32"/>
      <c r="I4960" s="28"/>
      <c r="J4960" s="125">
        <v>0</v>
      </c>
    </row>
    <row r="4961" spans="1:10" ht="26.25" hidden="1" thickBot="1" x14ac:dyDescent="0.3">
      <c r="A4961" s="235"/>
      <c r="B4961" s="238"/>
      <c r="C4961" s="155" t="s">
        <v>23586</v>
      </c>
      <c r="D4961" s="155" t="s">
        <v>205</v>
      </c>
      <c r="E4961" s="34">
        <v>1</v>
      </c>
      <c r="F4961" s="31">
        <v>10.468999999999999</v>
      </c>
      <c r="G4961" s="49">
        <f>IF(ISNUMBER(F4961),E4961*F4961,"")</f>
        <v>10.468999999999999</v>
      </c>
      <c r="H4961" s="35">
        <f>SUM(G4961:G4962)</f>
        <v>12.96275</v>
      </c>
      <c r="I4961" s="28"/>
      <c r="J4961" s="125">
        <v>0</v>
      </c>
    </row>
    <row r="4962" spans="1:10" ht="26.25" hidden="1" thickBot="1" x14ac:dyDescent="0.3">
      <c r="A4962" s="235"/>
      <c r="B4962" s="238"/>
      <c r="C4962" s="155" t="s">
        <v>825</v>
      </c>
      <c r="D4962" s="155" t="s">
        <v>587</v>
      </c>
      <c r="E4962" s="34">
        <v>0.1</v>
      </c>
      <c r="F4962" s="28">
        <v>24.9375</v>
      </c>
      <c r="G4962" s="28">
        <f>IF(ISNUMBER(F4962),E4962*F4962,"")</f>
        <v>2.4937500000000004</v>
      </c>
      <c r="H4962" s="32"/>
      <c r="I4962" s="28"/>
      <c r="J4962" s="125">
        <v>0</v>
      </c>
    </row>
    <row r="4963" spans="1:10" ht="15.75" hidden="1" thickBot="1" x14ac:dyDescent="0.3">
      <c r="A4963" s="236"/>
      <c r="B4963" s="239"/>
      <c r="C4963" s="155"/>
      <c r="D4963" s="33"/>
      <c r="E4963" s="34"/>
      <c r="F4963" s="28" t="s">
        <v>418</v>
      </c>
      <c r="G4963" s="31" t="str">
        <f>IF(ISNUMBER(F4963),E4963*F4963,"")</f>
        <v/>
      </c>
      <c r="H4963" s="32"/>
      <c r="I4963" s="28"/>
      <c r="J4963" s="125">
        <v>0</v>
      </c>
    </row>
    <row r="4964" spans="1:10" ht="15.75" hidden="1" thickBot="1" x14ac:dyDescent="0.3">
      <c r="A4964" s="241" t="s">
        <v>10333</v>
      </c>
      <c r="B4964" s="244" t="s">
        <v>19778</v>
      </c>
      <c r="C4964" s="160"/>
      <c r="D4964" s="23" t="s">
        <v>16</v>
      </c>
      <c r="E4964" s="24"/>
      <c r="F4964" s="37" t="s">
        <v>418</v>
      </c>
      <c r="G4964" s="25" t="str">
        <f>IF(ISNUMBER(F4964),E4964*F4964,"")</f>
        <v/>
      </c>
      <c r="H4964" s="26"/>
      <c r="I4964" s="27"/>
      <c r="J4964" s="125">
        <v>0</v>
      </c>
    </row>
    <row r="4965" spans="1:10" ht="15.75" hidden="1" thickBot="1" x14ac:dyDescent="0.3">
      <c r="A4965" s="242"/>
      <c r="B4965" s="245"/>
      <c r="C4965" s="151"/>
      <c r="D4965" s="29"/>
      <c r="E4965" s="30"/>
      <c r="F4965" s="38" t="s">
        <v>418</v>
      </c>
      <c r="G4965" s="28" t="str">
        <f>IF(ISNUMBER(F4965),E4965*F4965,"")</f>
        <v/>
      </c>
      <c r="H4965" s="32"/>
      <c r="I4965" s="28"/>
      <c r="J4965" s="125">
        <v>0</v>
      </c>
    </row>
    <row r="4966" spans="1:10" ht="51.75" hidden="1" thickBot="1" x14ac:dyDescent="0.3">
      <c r="A4966" s="242"/>
      <c r="B4966" s="245"/>
      <c r="C4966" s="155" t="s">
        <v>27009</v>
      </c>
      <c r="D4966" s="155" t="s">
        <v>205</v>
      </c>
      <c r="E4966" s="34">
        <v>1</v>
      </c>
      <c r="F4966" s="31">
        <v>255.24599999999998</v>
      </c>
      <c r="G4966" s="31">
        <f>IF(ISNUMBER(F4966),E4966*F4966,"")</f>
        <v>255.24599999999998</v>
      </c>
      <c r="H4966" s="35">
        <f>SUM(G4966:G4968)</f>
        <v>289.92204879999997</v>
      </c>
      <c r="I4966" s="36"/>
      <c r="J4966" s="125">
        <v>0</v>
      </c>
    </row>
    <row r="4967" spans="1:10" ht="15.75" hidden="1" thickBot="1" x14ac:dyDescent="0.3">
      <c r="A4967" s="242"/>
      <c r="B4967" s="245"/>
      <c r="C4967" s="155" t="s">
        <v>586</v>
      </c>
      <c r="D4967" s="155" t="s">
        <v>587</v>
      </c>
      <c r="E4967" s="34">
        <f>ROUND(1.282*0.8,4)</f>
        <v>1.0256000000000001</v>
      </c>
      <c r="F4967" s="28">
        <v>24.215499999999999</v>
      </c>
      <c r="G4967" s="31">
        <f>IF(ISNUMBER(F4967),E4967*F4967,"")</f>
        <v>24.835416800000001</v>
      </c>
      <c r="H4967" s="32"/>
      <c r="I4967" s="28"/>
      <c r="J4967" s="125">
        <v>0</v>
      </c>
    </row>
    <row r="4968" spans="1:10" ht="15.75" hidden="1" thickBot="1" x14ac:dyDescent="0.3">
      <c r="A4968" s="242"/>
      <c r="B4968" s="245"/>
      <c r="C4968" s="155" t="s">
        <v>588</v>
      </c>
      <c r="D4968" s="155" t="s">
        <v>587</v>
      </c>
      <c r="E4968" s="34">
        <f>ROUND(0.641*0.8,4)</f>
        <v>0.51280000000000003</v>
      </c>
      <c r="F4968" s="28">
        <v>19.189999999999998</v>
      </c>
      <c r="G4968" s="31">
        <f>IF(ISNUMBER(F4968),E4968*F4968,"")</f>
        <v>9.8406319999999994</v>
      </c>
      <c r="H4968" s="32"/>
      <c r="I4968" s="28"/>
      <c r="J4968" s="125">
        <v>0</v>
      </c>
    </row>
    <row r="4969" spans="1:10" ht="15.75" hidden="1" thickBot="1" x14ac:dyDescent="0.3">
      <c r="A4969" s="242"/>
      <c r="B4969" s="245"/>
      <c r="C4969" s="155"/>
      <c r="D4969" s="42"/>
      <c r="E4969" s="34"/>
      <c r="F4969" s="31" t="s">
        <v>418</v>
      </c>
      <c r="G4969" s="31" t="str">
        <f>IF(ISNUMBER(F4969),E4969*F4969,"")</f>
        <v/>
      </c>
      <c r="H4969" s="32"/>
      <c r="I4969" s="28"/>
      <c r="J4969" s="125">
        <v>0</v>
      </c>
    </row>
    <row r="4970" spans="1:10" ht="15.75" hidden="1" thickBot="1" x14ac:dyDescent="0.3">
      <c r="A4970" s="241" t="s">
        <v>10334</v>
      </c>
      <c r="B4970" s="244" t="s">
        <v>19779</v>
      </c>
      <c r="C4970" s="160"/>
      <c r="D4970" s="23" t="s">
        <v>16</v>
      </c>
      <c r="E4970" s="24"/>
      <c r="F4970" s="37" t="s">
        <v>418</v>
      </c>
      <c r="G4970" s="25" t="str">
        <f>IF(ISNUMBER(F4970),E4970*F4970,"")</f>
        <v/>
      </c>
      <c r="H4970" s="26"/>
      <c r="I4970" s="27"/>
      <c r="J4970" s="125">
        <v>0</v>
      </c>
    </row>
    <row r="4971" spans="1:10" ht="15.75" hidden="1" thickBot="1" x14ac:dyDescent="0.3">
      <c r="A4971" s="242"/>
      <c r="B4971" s="245"/>
      <c r="C4971" s="151"/>
      <c r="D4971" s="29"/>
      <c r="E4971" s="30"/>
      <c r="F4971" s="38" t="s">
        <v>418</v>
      </c>
      <c r="G4971" s="28" t="str">
        <f>IF(ISNUMBER(F4971),E4971*F4971,"")</f>
        <v/>
      </c>
      <c r="H4971" s="32"/>
      <c r="I4971" s="28"/>
      <c r="J4971" s="125">
        <v>0</v>
      </c>
    </row>
    <row r="4972" spans="1:10" ht="51.75" hidden="1" thickBot="1" x14ac:dyDescent="0.3">
      <c r="A4972" s="242"/>
      <c r="B4972" s="245"/>
      <c r="C4972" s="155" t="s">
        <v>26984</v>
      </c>
      <c r="D4972" s="155" t="s">
        <v>205</v>
      </c>
      <c r="E4972" s="34">
        <v>1</v>
      </c>
      <c r="F4972" s="31">
        <v>277.44749999999999</v>
      </c>
      <c r="G4972" s="31">
        <f>IF(ISNUMBER(F4972),E4972*F4972,"")</f>
        <v>277.44749999999999</v>
      </c>
      <c r="H4972" s="35">
        <f>SUM(G4972:G4974)</f>
        <v>315.69393759999997</v>
      </c>
      <c r="I4972" s="36"/>
      <c r="J4972" s="125">
        <v>0</v>
      </c>
    </row>
    <row r="4973" spans="1:10" ht="15.75" hidden="1" thickBot="1" x14ac:dyDescent="0.3">
      <c r="A4973" s="242"/>
      <c r="B4973" s="245"/>
      <c r="C4973" s="155" t="s">
        <v>586</v>
      </c>
      <c r="D4973" s="155" t="s">
        <v>587</v>
      </c>
      <c r="E4973" s="34">
        <f>ROUND(1.414*0.8,4)</f>
        <v>1.1312</v>
      </c>
      <c r="F4973" s="28">
        <v>24.215499999999999</v>
      </c>
      <c r="G4973" s="31">
        <f>IF(ISNUMBER(F4973),E4973*F4973,"")</f>
        <v>27.392573599999999</v>
      </c>
      <c r="H4973" s="32"/>
      <c r="I4973" s="28"/>
      <c r="J4973" s="125">
        <v>0</v>
      </c>
    </row>
    <row r="4974" spans="1:10" ht="15.75" hidden="1" thickBot="1" x14ac:dyDescent="0.3">
      <c r="A4974" s="242"/>
      <c r="B4974" s="245"/>
      <c r="C4974" s="155" t="s">
        <v>588</v>
      </c>
      <c r="D4974" s="155" t="s">
        <v>587</v>
      </c>
      <c r="E4974" s="34">
        <f>ROUND(0.707*0.8,4)</f>
        <v>0.56559999999999999</v>
      </c>
      <c r="F4974" s="28">
        <v>19.189999999999998</v>
      </c>
      <c r="G4974" s="31">
        <f>IF(ISNUMBER(F4974),E4974*F4974,"")</f>
        <v>10.853863999999998</v>
      </c>
      <c r="H4974" s="32"/>
      <c r="I4974" s="28"/>
      <c r="J4974" s="125">
        <v>0</v>
      </c>
    </row>
    <row r="4975" spans="1:10" ht="15.75" hidden="1" thickBot="1" x14ac:dyDescent="0.3">
      <c r="A4975" s="242"/>
      <c r="B4975" s="245"/>
      <c r="C4975" s="155"/>
      <c r="D4975" s="42"/>
      <c r="E4975" s="34"/>
      <c r="F4975" s="31" t="s">
        <v>418</v>
      </c>
      <c r="G4975" s="31" t="str">
        <f>IF(ISNUMBER(F4975),E4975*F4975,"")</f>
        <v/>
      </c>
      <c r="H4975" s="32"/>
      <c r="I4975" s="28"/>
      <c r="J4975" s="125">
        <v>0</v>
      </c>
    </row>
    <row r="4976" spans="1:10" ht="15.75" hidden="1" thickBot="1" x14ac:dyDescent="0.3">
      <c r="A4976" s="241" t="s">
        <v>10335</v>
      </c>
      <c r="B4976" s="244" t="s">
        <v>19780</v>
      </c>
      <c r="C4976" s="160"/>
      <c r="D4976" s="23" t="s">
        <v>16</v>
      </c>
      <c r="E4976" s="24"/>
      <c r="F4976" s="37" t="s">
        <v>418</v>
      </c>
      <c r="G4976" s="25" t="str">
        <f>IF(ISNUMBER(F4976),E4976*F4976,"")</f>
        <v/>
      </c>
      <c r="H4976" s="26"/>
      <c r="I4976" s="27"/>
      <c r="J4976" s="125">
        <v>0</v>
      </c>
    </row>
    <row r="4977" spans="1:10" ht="15.75" hidden="1" thickBot="1" x14ac:dyDescent="0.3">
      <c r="A4977" s="242"/>
      <c r="B4977" s="245"/>
      <c r="C4977" s="151"/>
      <c r="D4977" s="29"/>
      <c r="E4977" s="30"/>
      <c r="F4977" s="38" t="s">
        <v>418</v>
      </c>
      <c r="G4977" s="28" t="str">
        <f>IF(ISNUMBER(F4977),E4977*F4977,"")</f>
        <v/>
      </c>
      <c r="H4977" s="32"/>
      <c r="I4977" s="28"/>
      <c r="J4977" s="125">
        <v>0</v>
      </c>
    </row>
    <row r="4978" spans="1:10" ht="51.75" hidden="1" thickBot="1" x14ac:dyDescent="0.3">
      <c r="A4978" s="242"/>
      <c r="B4978" s="245"/>
      <c r="C4978" s="155" t="s">
        <v>26986</v>
      </c>
      <c r="D4978" s="155" t="s">
        <v>205</v>
      </c>
      <c r="E4978" s="34">
        <v>1</v>
      </c>
      <c r="F4978" s="31">
        <v>313.34799999999996</v>
      </c>
      <c r="G4978" s="31">
        <f>IF(ISNUMBER(F4978),E4978*F4978,"")</f>
        <v>313.34799999999996</v>
      </c>
      <c r="H4978" s="35">
        <f>SUM(G4978:G4980)</f>
        <v>355.16482639999998</v>
      </c>
      <c r="I4978" s="36"/>
      <c r="J4978" s="125">
        <v>0</v>
      </c>
    </row>
    <row r="4979" spans="1:10" ht="15.75" hidden="1" thickBot="1" x14ac:dyDescent="0.3">
      <c r="A4979" s="242"/>
      <c r="B4979" s="245"/>
      <c r="C4979" s="155" t="s">
        <v>586</v>
      </c>
      <c r="D4979" s="155" t="s">
        <v>587</v>
      </c>
      <c r="E4979" s="34">
        <f>ROUND(1.546*0.8,4)</f>
        <v>1.2367999999999999</v>
      </c>
      <c r="F4979" s="28">
        <v>24.215499999999999</v>
      </c>
      <c r="G4979" s="31">
        <f>IF(ISNUMBER(F4979),E4979*F4979,"")</f>
        <v>29.949730399999996</v>
      </c>
      <c r="H4979" s="32"/>
      <c r="I4979" s="28"/>
      <c r="J4979" s="125">
        <v>0</v>
      </c>
    </row>
    <row r="4980" spans="1:10" ht="15.75" hidden="1" thickBot="1" x14ac:dyDescent="0.3">
      <c r="A4980" s="242"/>
      <c r="B4980" s="245"/>
      <c r="C4980" s="155" t="s">
        <v>588</v>
      </c>
      <c r="D4980" s="155" t="s">
        <v>587</v>
      </c>
      <c r="E4980" s="34">
        <f>ROUND(0.773*0.8,4)</f>
        <v>0.61839999999999995</v>
      </c>
      <c r="F4980" s="28">
        <v>19.189999999999998</v>
      </c>
      <c r="G4980" s="31">
        <f>IF(ISNUMBER(F4980),E4980*F4980,"")</f>
        <v>11.867095999999998</v>
      </c>
      <c r="H4980" s="32"/>
      <c r="I4980" s="28"/>
      <c r="J4980" s="125">
        <v>0</v>
      </c>
    </row>
    <row r="4981" spans="1:10" ht="15.75" hidden="1" thickBot="1" x14ac:dyDescent="0.3">
      <c r="A4981" s="242"/>
      <c r="B4981" s="245"/>
      <c r="C4981" s="155"/>
      <c r="D4981" s="42"/>
      <c r="E4981" s="34"/>
      <c r="F4981" s="31" t="s">
        <v>418</v>
      </c>
      <c r="G4981" s="31" t="str">
        <f>IF(ISNUMBER(F4981),E4981*F4981,"")</f>
        <v/>
      </c>
      <c r="H4981" s="32"/>
      <c r="I4981" s="28"/>
      <c r="J4981" s="125">
        <v>0</v>
      </c>
    </row>
    <row r="4982" spans="1:10" ht="15.75" hidden="1" thickBot="1" x14ac:dyDescent="0.3">
      <c r="A4982" s="241" t="s">
        <v>10336</v>
      </c>
      <c r="B4982" s="244" t="s">
        <v>19781</v>
      </c>
      <c r="C4982" s="160"/>
      <c r="D4982" s="23" t="s">
        <v>16</v>
      </c>
      <c r="E4982" s="24"/>
      <c r="F4982" s="37" t="s">
        <v>418</v>
      </c>
      <c r="G4982" s="25" t="str">
        <f>IF(ISNUMBER(F4982),E4982*F4982,"")</f>
        <v/>
      </c>
      <c r="H4982" s="26"/>
      <c r="I4982" s="27"/>
      <c r="J4982" s="125">
        <v>0</v>
      </c>
    </row>
    <row r="4983" spans="1:10" ht="15.75" hidden="1" thickBot="1" x14ac:dyDescent="0.3">
      <c r="A4983" s="242"/>
      <c r="B4983" s="245"/>
      <c r="C4983" s="151"/>
      <c r="D4983" s="29"/>
      <c r="E4983" s="30"/>
      <c r="F4983" s="38" t="s">
        <v>418</v>
      </c>
      <c r="G4983" s="28" t="str">
        <f>IF(ISNUMBER(F4983),E4983*F4983,"")</f>
        <v/>
      </c>
      <c r="H4983" s="32"/>
      <c r="I4983" s="28"/>
      <c r="J4983" s="125">
        <v>0</v>
      </c>
    </row>
    <row r="4984" spans="1:10" ht="51.75" hidden="1" thickBot="1" x14ac:dyDescent="0.3">
      <c r="A4984" s="242"/>
      <c r="B4984" s="245"/>
      <c r="C4984" s="155" t="s">
        <v>26988</v>
      </c>
      <c r="D4984" s="155" t="s">
        <v>205</v>
      </c>
      <c r="E4984" s="34">
        <v>1</v>
      </c>
      <c r="F4984" s="31">
        <v>350.18899999999996</v>
      </c>
      <c r="G4984" s="31">
        <f>IF(ISNUMBER(F4984),E4984*F4984,"")</f>
        <v>350.18899999999996</v>
      </c>
      <c r="H4984" s="35">
        <f>SUM(G4984:G4986)</f>
        <v>395.57621519999998</v>
      </c>
      <c r="I4984" s="36"/>
      <c r="J4984" s="125">
        <v>0</v>
      </c>
    </row>
    <row r="4985" spans="1:10" ht="15.75" hidden="1" thickBot="1" x14ac:dyDescent="0.3">
      <c r="A4985" s="242"/>
      <c r="B4985" s="245"/>
      <c r="C4985" s="155" t="s">
        <v>586</v>
      </c>
      <c r="D4985" s="155" t="s">
        <v>587</v>
      </c>
      <c r="E4985" s="34">
        <f>ROUND(1.678*0.8,4)</f>
        <v>1.3424</v>
      </c>
      <c r="F4985" s="28">
        <v>24.215499999999999</v>
      </c>
      <c r="G4985" s="31">
        <f>IF(ISNUMBER(F4985),E4985*F4985,"")</f>
        <v>32.506887200000001</v>
      </c>
      <c r="H4985" s="32"/>
      <c r="I4985" s="28"/>
      <c r="J4985" s="125">
        <v>0</v>
      </c>
    </row>
    <row r="4986" spans="1:10" ht="15.75" hidden="1" thickBot="1" x14ac:dyDescent="0.3">
      <c r="A4986" s="242"/>
      <c r="B4986" s="245"/>
      <c r="C4986" s="155" t="s">
        <v>588</v>
      </c>
      <c r="D4986" s="155" t="s">
        <v>587</v>
      </c>
      <c r="E4986" s="34">
        <f>ROUND(0.839*0.8,4)</f>
        <v>0.67120000000000002</v>
      </c>
      <c r="F4986" s="28">
        <v>19.189999999999998</v>
      </c>
      <c r="G4986" s="31">
        <f>IF(ISNUMBER(F4986),E4986*F4986,"")</f>
        <v>12.880327999999999</v>
      </c>
      <c r="H4986" s="32"/>
      <c r="I4986" s="28"/>
      <c r="J4986" s="125">
        <v>0</v>
      </c>
    </row>
    <row r="4987" spans="1:10" ht="15.75" hidden="1" thickBot="1" x14ac:dyDescent="0.3">
      <c r="A4987" s="242"/>
      <c r="B4987" s="245"/>
      <c r="C4987" s="155"/>
      <c r="D4987" s="42"/>
      <c r="E4987" s="34"/>
      <c r="F4987" s="31" t="s">
        <v>418</v>
      </c>
      <c r="G4987" s="31" t="str">
        <f>IF(ISNUMBER(F4987),E4987*F4987,"")</f>
        <v/>
      </c>
      <c r="H4987" s="32"/>
      <c r="I4987" s="28"/>
      <c r="J4987" s="125">
        <v>0</v>
      </c>
    </row>
    <row r="4988" spans="1:10" ht="15.75" hidden="1" thickBot="1" x14ac:dyDescent="0.3">
      <c r="A4988" s="241" t="s">
        <v>10337</v>
      </c>
      <c r="B4988" s="244" t="s">
        <v>10371</v>
      </c>
      <c r="C4988" s="160"/>
      <c r="D4988" s="23" t="s">
        <v>16</v>
      </c>
      <c r="E4988" s="24"/>
      <c r="F4988" s="37" t="s">
        <v>418</v>
      </c>
      <c r="G4988" s="25" t="str">
        <f>IF(ISNUMBER(F4988),E4988*F4988,"")</f>
        <v/>
      </c>
      <c r="H4988" s="26"/>
      <c r="I4988" s="27"/>
      <c r="J4988" s="125">
        <v>0</v>
      </c>
    </row>
    <row r="4989" spans="1:10" ht="15.75" hidden="1" thickBot="1" x14ac:dyDescent="0.3">
      <c r="A4989" s="242"/>
      <c r="B4989" s="245"/>
      <c r="C4989" s="151"/>
      <c r="D4989" s="29"/>
      <c r="E4989" s="30"/>
      <c r="F4989" s="38" t="s">
        <v>418</v>
      </c>
      <c r="G4989" s="28" t="str">
        <f>IF(ISNUMBER(F4989),E4989*F4989,"")</f>
        <v/>
      </c>
      <c r="H4989" s="32"/>
      <c r="I4989" s="28"/>
      <c r="J4989" s="125">
        <v>0</v>
      </c>
    </row>
    <row r="4990" spans="1:10" ht="26.25" hidden="1" thickBot="1" x14ac:dyDescent="0.3">
      <c r="A4990" s="242"/>
      <c r="B4990" s="245"/>
      <c r="C4990" s="155" t="s">
        <v>824</v>
      </c>
      <c r="D4990" s="155" t="s">
        <v>587</v>
      </c>
      <c r="E4990" s="34">
        <f>4*0.3</f>
        <v>1.2</v>
      </c>
      <c r="F4990" s="28">
        <v>18.6295</v>
      </c>
      <c r="G4990" s="28">
        <f>IF(ISNUMBER(F4990),E4990*F4990,"")</f>
        <v>22.355399999999999</v>
      </c>
      <c r="H4990" s="35">
        <f>SUM(G4990:G4993)</f>
        <v>79.566299999999998</v>
      </c>
      <c r="I4990" s="36"/>
      <c r="J4990" s="125">
        <v>0</v>
      </c>
    </row>
    <row r="4991" spans="1:10" ht="26.25" hidden="1" thickBot="1" x14ac:dyDescent="0.3">
      <c r="A4991" s="242"/>
      <c r="B4991" s="245"/>
      <c r="C4991" s="155" t="s">
        <v>825</v>
      </c>
      <c r="D4991" s="155" t="s">
        <v>587</v>
      </c>
      <c r="E4991" s="34">
        <f>4*0.3</f>
        <v>1.2</v>
      </c>
      <c r="F4991" s="28">
        <v>24.9375</v>
      </c>
      <c r="G4991" s="28">
        <f>IF(ISNUMBER(F4991),E4991*F4991,"")</f>
        <v>29.924999999999997</v>
      </c>
      <c r="H4991" s="40"/>
      <c r="I4991" s="41"/>
      <c r="J4991" s="125">
        <v>0</v>
      </c>
    </row>
    <row r="4992" spans="1:10" ht="15.75" hidden="1" thickBot="1" x14ac:dyDescent="0.3">
      <c r="A4992" s="242"/>
      <c r="B4992" s="245"/>
      <c r="C4992" s="155" t="s">
        <v>1022</v>
      </c>
      <c r="D4992" s="155" t="s">
        <v>587</v>
      </c>
      <c r="E4992" s="34">
        <f>2*0.3</f>
        <v>0.6</v>
      </c>
      <c r="F4992" s="28">
        <v>19.522500000000001</v>
      </c>
      <c r="G4992" s="28">
        <f>IF(ISNUMBER(F4992),E4992*F4992,"")</f>
        <v>11.7135</v>
      </c>
      <c r="H4992" s="32"/>
      <c r="I4992" s="28"/>
      <c r="J4992" s="125">
        <v>0</v>
      </c>
    </row>
    <row r="4993" spans="1:10" ht="15.75" hidden="1" thickBot="1" x14ac:dyDescent="0.3">
      <c r="A4993" s="242"/>
      <c r="B4993" s="245"/>
      <c r="C4993" s="155" t="s">
        <v>1023</v>
      </c>
      <c r="D4993" s="155" t="s">
        <v>587</v>
      </c>
      <c r="E4993" s="34">
        <f>2*0.3</f>
        <v>0.6</v>
      </c>
      <c r="F4993" s="28">
        <v>25.954000000000001</v>
      </c>
      <c r="G4993" s="28">
        <f>IF(ISNUMBER(F4993),E4993*F4993,"")</f>
        <v>15.5724</v>
      </c>
      <c r="H4993" s="32"/>
      <c r="I4993" s="28"/>
      <c r="J4993" s="125">
        <v>0</v>
      </c>
    </row>
    <row r="4994" spans="1:10" ht="15.75" hidden="1" thickBot="1" x14ac:dyDescent="0.3">
      <c r="A4994" s="243"/>
      <c r="B4994" s="246"/>
      <c r="C4994" s="155"/>
      <c r="D4994" s="33"/>
      <c r="E4994" s="34"/>
      <c r="F4994" s="28" t="s">
        <v>418</v>
      </c>
      <c r="G4994" s="28" t="str">
        <f>IF(ISNUMBER(F4994),E4994*F4994,"")</f>
        <v/>
      </c>
      <c r="H4994" s="32"/>
      <c r="I4994" s="28"/>
      <c r="J4994" s="125">
        <v>0</v>
      </c>
    </row>
    <row r="4995" spans="1:10" ht="15.75" hidden="1" thickBot="1" x14ac:dyDescent="0.3">
      <c r="A4995" s="234" t="s">
        <v>10338</v>
      </c>
      <c r="B4995" s="237" t="s">
        <v>10372</v>
      </c>
      <c r="C4995" s="160"/>
      <c r="D4995" s="23" t="s">
        <v>70</v>
      </c>
      <c r="E4995" s="24"/>
      <c r="F4995" s="37" t="s">
        <v>418</v>
      </c>
      <c r="G4995" s="25" t="str">
        <f>IF(ISNUMBER(F4995),E4995*F4995,"")</f>
        <v/>
      </c>
      <c r="H4995" s="26"/>
      <c r="I4995" s="27"/>
      <c r="J4995" s="125">
        <v>0</v>
      </c>
    </row>
    <row r="4996" spans="1:10" ht="15.75" hidden="1" thickBot="1" x14ac:dyDescent="0.3">
      <c r="A4996" s="235"/>
      <c r="B4996" s="238"/>
      <c r="C4996" s="151"/>
      <c r="D4996" s="29"/>
      <c r="E4996" s="30"/>
      <c r="F4996" s="38" t="s">
        <v>418</v>
      </c>
      <c r="G4996" s="28" t="str">
        <f>IF(ISNUMBER(F4996),E4996*F4996,"")</f>
        <v/>
      </c>
      <c r="H4996" s="32"/>
      <c r="I4996" s="28"/>
      <c r="J4996" s="125">
        <v>0</v>
      </c>
    </row>
    <row r="4997" spans="1:10" ht="15.75" hidden="1" thickBot="1" x14ac:dyDescent="0.3">
      <c r="A4997" s="235"/>
      <c r="B4997" s="238"/>
      <c r="C4997" s="155" t="s">
        <v>586</v>
      </c>
      <c r="D4997" s="155" t="s">
        <v>587</v>
      </c>
      <c r="E4997" s="34">
        <v>0.12</v>
      </c>
      <c r="F4997" s="31">
        <v>24.215499999999999</v>
      </c>
      <c r="G4997" s="31">
        <f>IF(ISNUMBER(F4997),E4997*F4997,"")</f>
        <v>2.9058599999999997</v>
      </c>
      <c r="H4997" s="35">
        <f>SUM(G4997:G4998)</f>
        <v>32.14685999999999</v>
      </c>
      <c r="I4997" s="36"/>
      <c r="J4997" s="125">
        <v>0</v>
      </c>
    </row>
    <row r="4998" spans="1:10" ht="15.75" hidden="1" thickBot="1" x14ac:dyDescent="0.3">
      <c r="A4998" s="235"/>
      <c r="B4998" s="238"/>
      <c r="C4998" s="155" t="s">
        <v>662</v>
      </c>
      <c r="D4998" s="155" t="s">
        <v>587</v>
      </c>
      <c r="E4998" s="34">
        <v>1.2</v>
      </c>
      <c r="F4998" s="31">
        <v>24.367499999999996</v>
      </c>
      <c r="G4998" s="31">
        <f>IF(ISNUMBER(F4998),E4998*F4998,"")</f>
        <v>29.240999999999993</v>
      </c>
      <c r="H4998" s="40"/>
      <c r="I4998" s="41"/>
      <c r="J4998" s="125">
        <v>0</v>
      </c>
    </row>
    <row r="4999" spans="1:10" ht="15.75" hidden="1" thickBot="1" x14ac:dyDescent="0.3">
      <c r="A4999" s="236"/>
      <c r="B4999" s="239"/>
      <c r="C4999" s="155"/>
      <c r="D4999" s="33"/>
      <c r="E4999" s="34"/>
      <c r="F4999" s="28" t="s">
        <v>418</v>
      </c>
      <c r="G4999" s="28" t="str">
        <f>IF(ISNUMBER(F4999),E4999*F4999,"")</f>
        <v/>
      </c>
      <c r="H4999" s="32"/>
      <c r="I4999" s="28"/>
      <c r="J4999" s="125">
        <v>0</v>
      </c>
    </row>
    <row r="5000" spans="1:10" ht="15.75" hidden="1" thickBot="1" x14ac:dyDescent="0.3">
      <c r="A5000" s="234" t="s">
        <v>10339</v>
      </c>
      <c r="B5000" s="237" t="s">
        <v>19782</v>
      </c>
      <c r="C5000" s="160"/>
      <c r="D5000" s="23" t="s">
        <v>70</v>
      </c>
      <c r="E5000" s="24"/>
      <c r="F5000" s="44" t="s">
        <v>418</v>
      </c>
      <c r="G5000" s="25" t="str">
        <f>IF(ISNUMBER(F5000),E5000*F5000,"")</f>
        <v/>
      </c>
      <c r="H5000" s="26"/>
      <c r="I5000" s="27"/>
      <c r="J5000" s="125">
        <v>0</v>
      </c>
    </row>
    <row r="5001" spans="1:10" ht="15.75" hidden="1" thickBot="1" x14ac:dyDescent="0.3">
      <c r="A5001" s="249"/>
      <c r="B5001" s="238"/>
      <c r="C5001" s="151"/>
      <c r="D5001" s="29"/>
      <c r="E5001" s="30"/>
      <c r="F5001" s="49" t="s">
        <v>418</v>
      </c>
      <c r="G5001" s="49" t="str">
        <f>IF(ISNUMBER(F5001),E5001*F5001,"")</f>
        <v/>
      </c>
      <c r="H5001" s="65"/>
      <c r="I5001" s="66"/>
      <c r="J5001" s="125">
        <v>0</v>
      </c>
    </row>
    <row r="5002" spans="1:10" ht="26.25" hidden="1" thickBot="1" x14ac:dyDescent="0.3">
      <c r="A5002" s="249"/>
      <c r="B5002" s="238"/>
      <c r="C5002" s="155" t="s">
        <v>11209</v>
      </c>
      <c r="D5002" s="33" t="s">
        <v>70</v>
      </c>
      <c r="E5002" s="34">
        <v>1.0798000000000001</v>
      </c>
      <c r="F5002" s="49" t="s">
        <v>418</v>
      </c>
      <c r="G5002" s="49" t="str">
        <f>IF(ISNUMBER(F5002),E5002*F5002,"")</f>
        <v/>
      </c>
      <c r="H5002" s="35">
        <f>SUM(G5002:G5006)</f>
        <v>39.518023999999997</v>
      </c>
      <c r="I5002" s="36"/>
      <c r="J5002" s="125">
        <v>0</v>
      </c>
    </row>
    <row r="5003" spans="1:10" ht="15.75" hidden="1" thickBot="1" x14ac:dyDescent="0.3">
      <c r="A5003" s="249"/>
      <c r="B5003" s="238"/>
      <c r="C5003" s="155" t="s">
        <v>23677</v>
      </c>
      <c r="D5003" s="155" t="s">
        <v>774</v>
      </c>
      <c r="E5003" s="34">
        <v>6.85</v>
      </c>
      <c r="F5003" s="49">
        <v>2.0804999999999998</v>
      </c>
      <c r="G5003" s="49">
        <f>IF(ISNUMBER(F5003),E5003*F5003,"")</f>
        <v>14.251424999999998</v>
      </c>
      <c r="H5003" s="65"/>
      <c r="I5003" s="66"/>
      <c r="J5003" s="125">
        <v>0</v>
      </c>
    </row>
    <row r="5004" spans="1:10" ht="15.75" hidden="1" thickBot="1" x14ac:dyDescent="0.3">
      <c r="A5004" s="249"/>
      <c r="B5004" s="238"/>
      <c r="C5004" s="155" t="s">
        <v>27268</v>
      </c>
      <c r="D5004" s="155" t="s">
        <v>774</v>
      </c>
      <c r="E5004" s="34">
        <v>0.222</v>
      </c>
      <c r="F5004" s="49">
        <v>6.5739999999999998</v>
      </c>
      <c r="G5004" s="49">
        <f>IF(ISNUMBER(F5004),E5004*F5004,"")</f>
        <v>1.4594279999999999</v>
      </c>
      <c r="H5004" s="65"/>
      <c r="I5004" s="66"/>
      <c r="J5004" s="125">
        <v>0</v>
      </c>
    </row>
    <row r="5005" spans="1:10" ht="15.75" hidden="1" thickBot="1" x14ac:dyDescent="0.3">
      <c r="A5005" s="249"/>
      <c r="B5005" s="238"/>
      <c r="C5005" s="155" t="s">
        <v>1087</v>
      </c>
      <c r="D5005" s="155" t="s">
        <v>587</v>
      </c>
      <c r="E5005" s="34">
        <v>0.69699999999999995</v>
      </c>
      <c r="F5005" s="49">
        <v>25.516999999999999</v>
      </c>
      <c r="G5005" s="49">
        <f>IF(ISNUMBER(F5005),E5005*F5005,"")</f>
        <v>17.785349</v>
      </c>
      <c r="H5005" s="65"/>
      <c r="I5005" s="66"/>
      <c r="J5005" s="125">
        <v>0</v>
      </c>
    </row>
    <row r="5006" spans="1:10" ht="15.75" hidden="1" thickBot="1" x14ac:dyDescent="0.3">
      <c r="A5006" s="249"/>
      <c r="B5006" s="238"/>
      <c r="C5006" s="155" t="s">
        <v>588</v>
      </c>
      <c r="D5006" s="155" t="s">
        <v>587</v>
      </c>
      <c r="E5006" s="34">
        <v>0.31380000000000002</v>
      </c>
      <c r="F5006" s="49">
        <v>19.189999999999998</v>
      </c>
      <c r="G5006" s="49">
        <f>IF(ISNUMBER(F5006),E5006*F5006,"")</f>
        <v>6.0218219999999993</v>
      </c>
      <c r="H5006" s="65"/>
      <c r="I5006" s="66"/>
      <c r="J5006" s="125">
        <v>0</v>
      </c>
    </row>
    <row r="5007" spans="1:10" ht="15.75" hidden="1" thickBot="1" x14ac:dyDescent="0.3">
      <c r="A5007" s="249"/>
      <c r="B5007" s="238"/>
      <c r="C5007" s="155"/>
      <c r="D5007" s="42"/>
      <c r="E5007" s="34"/>
      <c r="F5007" s="49" t="s">
        <v>418</v>
      </c>
      <c r="G5007" s="49" t="str">
        <f>IF(ISNUMBER(F5007),E5007*F5007,"")</f>
        <v/>
      </c>
      <c r="H5007" s="65"/>
      <c r="I5007" s="66"/>
      <c r="J5007" s="125">
        <v>0</v>
      </c>
    </row>
    <row r="5008" spans="1:10" ht="15.75" hidden="1" thickBot="1" x14ac:dyDescent="0.3">
      <c r="A5008" s="241" t="s">
        <v>10340</v>
      </c>
      <c r="B5008" s="244" t="s">
        <v>10373</v>
      </c>
      <c r="C5008" s="160"/>
      <c r="D5008" s="23" t="s">
        <v>70</v>
      </c>
      <c r="E5008" s="24"/>
      <c r="F5008" s="37" t="s">
        <v>418</v>
      </c>
      <c r="G5008" s="25" t="str">
        <f>IF(ISNUMBER(F5008),E5008*F5008,"")</f>
        <v/>
      </c>
      <c r="H5008" s="26"/>
      <c r="I5008" s="27"/>
      <c r="J5008" s="125">
        <v>0</v>
      </c>
    </row>
    <row r="5009" spans="1:10" ht="15.75" hidden="1" thickBot="1" x14ac:dyDescent="0.3">
      <c r="A5009" s="242"/>
      <c r="B5009" s="245"/>
      <c r="C5009" s="151"/>
      <c r="D5009" s="29"/>
      <c r="E5009" s="30"/>
      <c r="F5009" s="38" t="s">
        <v>418</v>
      </c>
      <c r="G5009" s="28" t="str">
        <f>IF(ISNUMBER(F5009),E5009*F5009,"")</f>
        <v/>
      </c>
      <c r="H5009" s="32"/>
      <c r="I5009" s="28"/>
      <c r="J5009" s="125">
        <v>0</v>
      </c>
    </row>
    <row r="5010" spans="1:10" ht="15.75" hidden="1" thickBot="1" x14ac:dyDescent="0.3">
      <c r="A5010" s="242"/>
      <c r="B5010" s="245"/>
      <c r="C5010" s="155" t="s">
        <v>1103</v>
      </c>
      <c r="D5010" s="155" t="s">
        <v>774</v>
      </c>
      <c r="E5010" s="34">
        <v>0.57499999999999996</v>
      </c>
      <c r="F5010" s="31">
        <v>39.063999999999993</v>
      </c>
      <c r="G5010" s="31">
        <f>IF(ISNUMBER(F5010),E5010*F5010,"")</f>
        <v>22.461799999999993</v>
      </c>
      <c r="H5010" s="35">
        <f>SUM(G5010:G5012)</f>
        <v>41.629416099999993</v>
      </c>
      <c r="I5010" s="36"/>
      <c r="J5010" s="125">
        <v>0</v>
      </c>
    </row>
    <row r="5011" spans="1:10" ht="15.75" hidden="1" thickBot="1" x14ac:dyDescent="0.3">
      <c r="A5011" s="242"/>
      <c r="B5011" s="245"/>
      <c r="C5011" s="155" t="s">
        <v>588</v>
      </c>
      <c r="D5011" s="155" t="s">
        <v>587</v>
      </c>
      <c r="E5011" s="34">
        <v>0.2399</v>
      </c>
      <c r="F5011" s="31">
        <v>19.189999999999998</v>
      </c>
      <c r="G5011" s="31">
        <f>IF(ISNUMBER(F5011),E5011*F5011,"")</f>
        <v>4.6036809999999999</v>
      </c>
      <c r="H5011" s="40"/>
      <c r="I5011" s="41"/>
      <c r="J5011" s="125">
        <v>0</v>
      </c>
    </row>
    <row r="5012" spans="1:10" ht="15.75" hidden="1" thickBot="1" x14ac:dyDescent="0.3">
      <c r="A5012" s="242"/>
      <c r="B5012" s="245"/>
      <c r="C5012" s="155" t="s">
        <v>1078</v>
      </c>
      <c r="D5012" s="155" t="s">
        <v>587</v>
      </c>
      <c r="E5012" s="34">
        <v>0.57589999999999997</v>
      </c>
      <c r="F5012" s="28">
        <v>25.289000000000001</v>
      </c>
      <c r="G5012" s="28">
        <f>IF(ISNUMBER(F5012),E5012*F5012,"")</f>
        <v>14.5639351</v>
      </c>
      <c r="H5012" s="32"/>
      <c r="I5012" s="28"/>
      <c r="J5012" s="125">
        <v>0</v>
      </c>
    </row>
    <row r="5013" spans="1:10" ht="15.75" hidden="1" thickBot="1" x14ac:dyDescent="0.3">
      <c r="A5013" s="243"/>
      <c r="B5013" s="246"/>
      <c r="C5013" s="155"/>
      <c r="D5013" s="33"/>
      <c r="E5013" s="34"/>
      <c r="F5013" s="28" t="s">
        <v>418</v>
      </c>
      <c r="G5013" s="28" t="str">
        <f>IF(ISNUMBER(F5013),E5013*F5013,"")</f>
        <v/>
      </c>
      <c r="H5013" s="32"/>
      <c r="I5013" s="28"/>
      <c r="J5013" s="125">
        <v>0</v>
      </c>
    </row>
    <row r="5014" spans="1:10" ht="15.75" hidden="1" thickBot="1" x14ac:dyDescent="0.3">
      <c r="A5014" s="241" t="s">
        <v>10341</v>
      </c>
      <c r="B5014" s="244" t="s">
        <v>10374</v>
      </c>
      <c r="C5014" s="160"/>
      <c r="D5014" s="23" t="s">
        <v>69</v>
      </c>
      <c r="E5014" s="24"/>
      <c r="F5014" s="37" t="s">
        <v>418</v>
      </c>
      <c r="G5014" s="25" t="str">
        <f>IF(ISNUMBER(F5014),E5014*F5014,"")</f>
        <v/>
      </c>
      <c r="H5014" s="26"/>
      <c r="I5014" s="27"/>
      <c r="J5014" s="125">
        <v>0</v>
      </c>
    </row>
    <row r="5015" spans="1:10" ht="15.75" hidden="1" thickBot="1" x14ac:dyDescent="0.3">
      <c r="A5015" s="242"/>
      <c r="B5015" s="245"/>
      <c r="C5015" s="151"/>
      <c r="D5015" s="29"/>
      <c r="E5015" s="30"/>
      <c r="F5015" s="38" t="s">
        <v>418</v>
      </c>
      <c r="G5015" s="28" t="str">
        <f>IF(ISNUMBER(F5015),E5015*F5015,"")</f>
        <v/>
      </c>
      <c r="H5015" s="32"/>
      <c r="I5015" s="28"/>
      <c r="J5015" s="125">
        <v>0</v>
      </c>
    </row>
    <row r="5016" spans="1:10" ht="15.75" hidden="1" thickBot="1" x14ac:dyDescent="0.3">
      <c r="A5016" s="242"/>
      <c r="B5016" s="245"/>
      <c r="C5016" s="155" t="s">
        <v>1251</v>
      </c>
      <c r="D5016" s="155" t="s">
        <v>587</v>
      </c>
      <c r="E5016" s="34">
        <v>0.5</v>
      </c>
      <c r="F5016" s="31">
        <v>19.731499999999997</v>
      </c>
      <c r="G5016" s="31">
        <f>IF(ISNUMBER(F5016),E5016*F5016,"")</f>
        <v>9.8657499999999985</v>
      </c>
      <c r="H5016" s="35">
        <f>SUM(G5016:G5016)</f>
        <v>9.8657499999999985</v>
      </c>
      <c r="I5016" s="36"/>
      <c r="J5016" s="125">
        <v>0</v>
      </c>
    </row>
    <row r="5017" spans="1:10" ht="15.75" hidden="1" thickBot="1" x14ac:dyDescent="0.3">
      <c r="A5017" s="243"/>
      <c r="B5017" s="246"/>
      <c r="C5017" s="155"/>
      <c r="D5017" s="33"/>
      <c r="E5017" s="34"/>
      <c r="F5017" s="28" t="s">
        <v>418</v>
      </c>
      <c r="G5017" s="28" t="str">
        <f>IF(ISNUMBER(F5017),E5017*F5017,"")</f>
        <v/>
      </c>
      <c r="H5017" s="32"/>
      <c r="I5017" s="28"/>
      <c r="J5017" s="125">
        <v>0</v>
      </c>
    </row>
    <row r="5018" spans="1:10" ht="15.75" hidden="1" thickBot="1" x14ac:dyDescent="0.3">
      <c r="A5018" s="241" t="s">
        <v>10342</v>
      </c>
      <c r="B5018" s="244" t="s">
        <v>15289</v>
      </c>
      <c r="C5018" s="160"/>
      <c r="D5018" s="23" t="s">
        <v>69</v>
      </c>
      <c r="E5018" s="24"/>
      <c r="F5018" s="37" t="s">
        <v>418</v>
      </c>
      <c r="G5018" s="25" t="str">
        <f>IF(ISNUMBER(F5018),E5018*F5018,"")</f>
        <v/>
      </c>
      <c r="H5018" s="26"/>
      <c r="I5018" s="27"/>
      <c r="J5018" s="125">
        <v>0</v>
      </c>
    </row>
    <row r="5019" spans="1:10" ht="15.75" hidden="1" thickBot="1" x14ac:dyDescent="0.3">
      <c r="A5019" s="242"/>
      <c r="B5019" s="245"/>
      <c r="C5019" s="151"/>
      <c r="D5019" s="29"/>
      <c r="E5019" s="30"/>
      <c r="F5019" s="38" t="s">
        <v>418</v>
      </c>
      <c r="G5019" s="28" t="str">
        <f>IF(ISNUMBER(F5019),E5019*F5019,"")</f>
        <v/>
      </c>
      <c r="H5019" s="32"/>
      <c r="I5019" s="28"/>
      <c r="J5019" s="125">
        <v>0</v>
      </c>
    </row>
    <row r="5020" spans="1:10" ht="15.75" hidden="1" thickBot="1" x14ac:dyDescent="0.3">
      <c r="A5020" s="242"/>
      <c r="B5020" s="245"/>
      <c r="C5020" s="155" t="s">
        <v>10291</v>
      </c>
      <c r="D5020" s="155" t="s">
        <v>385</v>
      </c>
      <c r="E5020" s="34">
        <v>1.0492999999999999</v>
      </c>
      <c r="F5020" s="31">
        <v>21.204000000000001</v>
      </c>
      <c r="G5020" s="31">
        <f>IF(ISNUMBER(F5020),E5020*F5020,"")</f>
        <v>22.249357199999999</v>
      </c>
      <c r="H5020" s="35">
        <f>SUM(G5020:G5022)</f>
        <v>37.441170100000001</v>
      </c>
      <c r="I5020" s="36"/>
      <c r="J5020" s="125">
        <v>0</v>
      </c>
    </row>
    <row r="5021" spans="1:10" ht="26.25" hidden="1" thickBot="1" x14ac:dyDescent="0.3">
      <c r="A5021" s="242"/>
      <c r="B5021" s="245"/>
      <c r="C5021" s="155" t="s">
        <v>824</v>
      </c>
      <c r="D5021" s="155" t="s">
        <v>587</v>
      </c>
      <c r="E5021" s="34">
        <v>0.34870000000000001</v>
      </c>
      <c r="F5021" s="31">
        <v>18.6295</v>
      </c>
      <c r="G5021" s="31">
        <f>IF(ISNUMBER(F5021),E5021*F5021,"")</f>
        <v>6.4961066500000006</v>
      </c>
      <c r="H5021" s="40"/>
      <c r="I5021" s="41"/>
      <c r="J5021" s="125">
        <v>0</v>
      </c>
    </row>
    <row r="5022" spans="1:10" ht="26.25" hidden="1" thickBot="1" x14ac:dyDescent="0.3">
      <c r="A5022" s="242"/>
      <c r="B5022" s="245"/>
      <c r="C5022" s="155" t="s">
        <v>825</v>
      </c>
      <c r="D5022" s="155" t="s">
        <v>587</v>
      </c>
      <c r="E5022" s="34">
        <v>0.34870000000000001</v>
      </c>
      <c r="F5022" s="28">
        <v>24.9375</v>
      </c>
      <c r="G5022" s="28">
        <f>IF(ISNUMBER(F5022),E5022*F5022,"")</f>
        <v>8.6957062500000006</v>
      </c>
      <c r="H5022" s="32"/>
      <c r="I5022" s="28"/>
      <c r="J5022" s="125">
        <v>0</v>
      </c>
    </row>
    <row r="5023" spans="1:10" ht="15.75" hidden="1" thickBot="1" x14ac:dyDescent="0.3">
      <c r="A5023" s="243"/>
      <c r="B5023" s="246"/>
      <c r="C5023" s="155"/>
      <c r="D5023" s="33"/>
      <c r="E5023" s="34"/>
      <c r="F5023" s="28" t="s">
        <v>418</v>
      </c>
      <c r="G5023" s="28" t="str">
        <f>IF(ISNUMBER(F5023),E5023*F5023,"")</f>
        <v/>
      </c>
      <c r="H5023" s="32"/>
      <c r="I5023" s="28"/>
      <c r="J5023" s="125">
        <v>0</v>
      </c>
    </row>
    <row r="5024" spans="1:10" ht="15.75" hidden="1" thickBot="1" x14ac:dyDescent="0.3">
      <c r="A5024" s="241" t="s">
        <v>10343</v>
      </c>
      <c r="B5024" s="244" t="s">
        <v>19783</v>
      </c>
      <c r="C5024" s="160"/>
      <c r="D5024" s="23" t="s">
        <v>69</v>
      </c>
      <c r="E5024" s="24"/>
      <c r="F5024" s="37" t="s">
        <v>418</v>
      </c>
      <c r="G5024" s="25" t="str">
        <f>IF(ISNUMBER(F5024),E5024*F5024,"")</f>
        <v/>
      </c>
      <c r="H5024" s="26"/>
      <c r="I5024" s="27"/>
      <c r="J5024" s="125">
        <v>0</v>
      </c>
    </row>
    <row r="5025" spans="1:10" ht="15.75" hidden="1" thickBot="1" x14ac:dyDescent="0.3">
      <c r="A5025" s="242"/>
      <c r="B5025" s="245"/>
      <c r="C5025" s="151"/>
      <c r="D5025" s="29"/>
      <c r="E5025" s="30"/>
      <c r="F5025" s="38" t="s">
        <v>418</v>
      </c>
      <c r="G5025" s="28" t="str">
        <f>IF(ISNUMBER(F5025),E5025*F5025,"")</f>
        <v/>
      </c>
      <c r="H5025" s="32"/>
      <c r="I5025" s="28"/>
      <c r="J5025" s="125">
        <v>0</v>
      </c>
    </row>
    <row r="5026" spans="1:10" ht="15.75" hidden="1" thickBot="1" x14ac:dyDescent="0.3">
      <c r="A5026" s="242"/>
      <c r="B5026" s="245"/>
      <c r="C5026" s="155" t="s">
        <v>10292</v>
      </c>
      <c r="D5026" s="155" t="s">
        <v>385</v>
      </c>
      <c r="E5026" s="34">
        <v>1.0492999999999999</v>
      </c>
      <c r="F5026" s="31">
        <v>36.517999999999994</v>
      </c>
      <c r="G5026" s="31">
        <f>IF(ISNUMBER(F5026),E5026*F5026,"")</f>
        <v>38.31833739999999</v>
      </c>
      <c r="H5026" s="35">
        <f>SUM(G5026:G5028)</f>
        <v>56.237444499999988</v>
      </c>
      <c r="I5026" s="36"/>
      <c r="J5026" s="125">
        <v>0</v>
      </c>
    </row>
    <row r="5027" spans="1:10" ht="26.25" hidden="1" thickBot="1" x14ac:dyDescent="0.3">
      <c r="A5027" s="242"/>
      <c r="B5027" s="245"/>
      <c r="C5027" s="155" t="s">
        <v>824</v>
      </c>
      <c r="D5027" s="155" t="s">
        <v>587</v>
      </c>
      <c r="E5027" s="34">
        <v>0.4113</v>
      </c>
      <c r="F5027" s="31">
        <v>18.6295</v>
      </c>
      <c r="G5027" s="31">
        <f>IF(ISNUMBER(F5027),E5027*F5027,"")</f>
        <v>7.6623133499999998</v>
      </c>
      <c r="H5027" s="40"/>
      <c r="I5027" s="41"/>
      <c r="J5027" s="125">
        <v>0</v>
      </c>
    </row>
    <row r="5028" spans="1:10" ht="26.25" hidden="1" thickBot="1" x14ac:dyDescent="0.3">
      <c r="A5028" s="242"/>
      <c r="B5028" s="245"/>
      <c r="C5028" s="155" t="s">
        <v>825</v>
      </c>
      <c r="D5028" s="155" t="s">
        <v>587</v>
      </c>
      <c r="E5028" s="34">
        <v>0.4113</v>
      </c>
      <c r="F5028" s="28">
        <v>24.9375</v>
      </c>
      <c r="G5028" s="28">
        <f>IF(ISNUMBER(F5028),E5028*F5028,"")</f>
        <v>10.25679375</v>
      </c>
      <c r="H5028" s="32"/>
      <c r="I5028" s="28"/>
      <c r="J5028" s="125">
        <v>0</v>
      </c>
    </row>
    <row r="5029" spans="1:10" ht="15.75" hidden="1" thickBot="1" x14ac:dyDescent="0.3">
      <c r="A5029" s="243"/>
      <c r="B5029" s="246"/>
      <c r="C5029" s="155"/>
      <c r="D5029" s="33"/>
      <c r="E5029" s="34"/>
      <c r="F5029" s="28" t="s">
        <v>418</v>
      </c>
      <c r="G5029" s="28" t="str">
        <f>IF(ISNUMBER(F5029),E5029*F5029,"")</f>
        <v/>
      </c>
      <c r="H5029" s="32"/>
      <c r="I5029" s="28"/>
      <c r="J5029" s="125">
        <v>0</v>
      </c>
    </row>
    <row r="5030" spans="1:10" ht="15.75" hidden="1" thickBot="1" x14ac:dyDescent="0.3">
      <c r="A5030" s="234" t="s">
        <v>10344</v>
      </c>
      <c r="B5030" s="237" t="s">
        <v>10375</v>
      </c>
      <c r="C5030" s="160"/>
      <c r="D5030" s="23" t="s">
        <v>16</v>
      </c>
      <c r="E5030" s="24"/>
      <c r="F5030" s="37" t="s">
        <v>418</v>
      </c>
      <c r="G5030" s="25" t="str">
        <f>IF(ISNUMBER(F5030),E5030*F5030,"")</f>
        <v/>
      </c>
      <c r="H5030" s="26"/>
      <c r="I5030" s="27"/>
      <c r="J5030" s="125">
        <v>0</v>
      </c>
    </row>
    <row r="5031" spans="1:10" ht="15.75" hidden="1" thickBot="1" x14ac:dyDescent="0.3">
      <c r="A5031" s="235"/>
      <c r="B5031" s="238"/>
      <c r="C5031" s="151"/>
      <c r="D5031" s="29"/>
      <c r="E5031" s="30"/>
      <c r="F5031" s="38" t="s">
        <v>418</v>
      </c>
      <c r="G5031" s="28" t="str">
        <f>IF(ISNUMBER(F5031),E5031*F5031,"")</f>
        <v/>
      </c>
      <c r="H5031" s="32"/>
      <c r="I5031" s="28"/>
      <c r="J5031" s="125">
        <v>0</v>
      </c>
    </row>
    <row r="5032" spans="1:10" ht="39" hidden="1" thickBot="1" x14ac:dyDescent="0.3">
      <c r="A5032" s="235"/>
      <c r="B5032" s="238"/>
      <c r="C5032" s="155" t="s">
        <v>26738</v>
      </c>
      <c r="D5032" s="155" t="s">
        <v>205</v>
      </c>
      <c r="E5032" s="34">
        <v>2</v>
      </c>
      <c r="F5032" s="31">
        <v>24.671499999999998</v>
      </c>
      <c r="G5032" s="31">
        <f>IF(ISNUMBER(F5032),E5032*F5032,"")</f>
        <v>49.342999999999996</v>
      </c>
      <c r="H5032" s="35">
        <f>SUM(G5032:G5036)</f>
        <v>91.121466349999992</v>
      </c>
      <c r="I5032" s="36"/>
      <c r="J5032" s="125">
        <v>0</v>
      </c>
    </row>
    <row r="5033" spans="1:10" ht="26.25" hidden="1" thickBot="1" x14ac:dyDescent="0.3">
      <c r="A5033" s="235"/>
      <c r="B5033" s="238"/>
      <c r="C5033" s="155" t="s">
        <v>23586</v>
      </c>
      <c r="D5033" s="155" t="s">
        <v>205</v>
      </c>
      <c r="E5033" s="34">
        <v>1</v>
      </c>
      <c r="F5033" s="31">
        <v>10.468999999999999</v>
      </c>
      <c r="G5033" s="31">
        <f>IF(ISNUMBER(F5033),E5033*F5033,"")</f>
        <v>10.468999999999999</v>
      </c>
      <c r="H5033" s="32"/>
      <c r="I5033" s="36"/>
      <c r="J5033" s="125">
        <v>0</v>
      </c>
    </row>
    <row r="5034" spans="1:10" ht="15.75" hidden="1" thickBot="1" x14ac:dyDescent="0.3">
      <c r="A5034" s="235"/>
      <c r="B5034" s="238"/>
      <c r="C5034" s="155" t="s">
        <v>10395</v>
      </c>
      <c r="D5034" s="155" t="s">
        <v>774</v>
      </c>
      <c r="E5034" s="34">
        <v>8.8099999999999998E-2</v>
      </c>
      <c r="F5034" s="31">
        <v>138.6335</v>
      </c>
      <c r="G5034" s="31">
        <f>IF(ISNUMBER(F5034),E5034*F5034,"")</f>
        <v>12.213611349999999</v>
      </c>
      <c r="H5034" s="32"/>
      <c r="I5034" s="28"/>
      <c r="J5034" s="125">
        <v>0</v>
      </c>
    </row>
    <row r="5035" spans="1:10" ht="26.25" hidden="1" thickBot="1" x14ac:dyDescent="0.3">
      <c r="A5035" s="235"/>
      <c r="B5035" s="238"/>
      <c r="C5035" s="155" t="s">
        <v>825</v>
      </c>
      <c r="D5035" s="155" t="s">
        <v>587</v>
      </c>
      <c r="E5035" s="34">
        <v>0.49680000000000002</v>
      </c>
      <c r="F5035" s="28">
        <v>24.9375</v>
      </c>
      <c r="G5035" s="31">
        <f>IF(ISNUMBER(F5035),E5035*F5035,"")</f>
        <v>12.388950000000001</v>
      </c>
      <c r="H5035" s="32"/>
      <c r="I5035" s="28"/>
      <c r="J5035" s="125">
        <v>0</v>
      </c>
    </row>
    <row r="5036" spans="1:10" ht="15.75" hidden="1" thickBot="1" x14ac:dyDescent="0.3">
      <c r="A5036" s="235"/>
      <c r="B5036" s="238"/>
      <c r="C5036" s="155" t="s">
        <v>588</v>
      </c>
      <c r="D5036" s="155" t="s">
        <v>587</v>
      </c>
      <c r="E5036" s="34">
        <v>0.34949999999999998</v>
      </c>
      <c r="F5036" s="28">
        <v>19.189999999999998</v>
      </c>
      <c r="G5036" s="31">
        <f>IF(ISNUMBER(F5036),E5036*F5036,"")</f>
        <v>6.706904999999999</v>
      </c>
      <c r="H5036" s="32"/>
      <c r="I5036" s="28"/>
      <c r="J5036" s="125">
        <v>0</v>
      </c>
    </row>
    <row r="5037" spans="1:10" ht="15.75" hidden="1" thickBot="1" x14ac:dyDescent="0.3">
      <c r="A5037" s="236"/>
      <c r="B5037" s="239"/>
      <c r="C5037" s="155"/>
      <c r="D5037" s="33"/>
      <c r="E5037" s="34"/>
      <c r="F5037" s="28" t="s">
        <v>418</v>
      </c>
      <c r="G5037" s="28" t="str">
        <f>IF(ISNUMBER(F5037),E5037*F5037,"")</f>
        <v/>
      </c>
      <c r="H5037" s="32"/>
      <c r="I5037" s="28"/>
      <c r="J5037" s="125">
        <v>0</v>
      </c>
    </row>
    <row r="5038" spans="1:10" ht="15.75" hidden="1" thickBot="1" x14ac:dyDescent="0.3">
      <c r="A5038" s="234" t="s">
        <v>10345</v>
      </c>
      <c r="B5038" s="237" t="s">
        <v>10376</v>
      </c>
      <c r="C5038" s="160"/>
      <c r="D5038" s="23" t="s">
        <v>16</v>
      </c>
      <c r="E5038" s="24"/>
      <c r="F5038" s="37" t="s">
        <v>418</v>
      </c>
      <c r="G5038" s="25" t="str">
        <f>IF(ISNUMBER(F5038),E5038*F5038,"")</f>
        <v/>
      </c>
      <c r="H5038" s="26"/>
      <c r="I5038" s="27"/>
      <c r="J5038" s="125">
        <v>0</v>
      </c>
    </row>
    <row r="5039" spans="1:10" ht="15.75" hidden="1" thickBot="1" x14ac:dyDescent="0.3">
      <c r="A5039" s="235"/>
      <c r="B5039" s="238"/>
      <c r="C5039" s="151"/>
      <c r="D5039" s="29"/>
      <c r="E5039" s="30"/>
      <c r="F5039" s="38" t="s">
        <v>418</v>
      </c>
      <c r="G5039" s="28" t="str">
        <f>IF(ISNUMBER(F5039),E5039*F5039,"")</f>
        <v/>
      </c>
      <c r="H5039" s="32"/>
      <c r="I5039" s="28"/>
      <c r="J5039" s="125">
        <v>0</v>
      </c>
    </row>
    <row r="5040" spans="1:10" ht="26.25" hidden="1" thickBot="1" x14ac:dyDescent="0.3">
      <c r="A5040" s="235"/>
      <c r="B5040" s="238"/>
      <c r="C5040" s="155" t="s">
        <v>825</v>
      </c>
      <c r="D5040" s="155" t="s">
        <v>587</v>
      </c>
      <c r="E5040" s="34">
        <v>0.5</v>
      </c>
      <c r="F5040" s="28">
        <v>24.9375</v>
      </c>
      <c r="G5040" s="28">
        <f>IF(ISNUMBER(F5040),E5040*F5040,"")</f>
        <v>12.46875</v>
      </c>
      <c r="H5040" s="35">
        <f>SUM(G5040:G5043)</f>
        <v>21.944865100000001</v>
      </c>
      <c r="I5040" s="36"/>
      <c r="J5040" s="125">
        <v>0</v>
      </c>
    </row>
    <row r="5041" spans="1:10" ht="26.25" hidden="1" thickBot="1" x14ac:dyDescent="0.3">
      <c r="A5041" s="235"/>
      <c r="B5041" s="238"/>
      <c r="C5041" s="155" t="s">
        <v>824</v>
      </c>
      <c r="D5041" s="155" t="s">
        <v>587</v>
      </c>
      <c r="E5041" s="34">
        <v>0.5</v>
      </c>
      <c r="F5041" s="31">
        <v>18.6295</v>
      </c>
      <c r="G5041" s="31">
        <f>IF(ISNUMBER(F5041),E5041*F5041,"")</f>
        <v>9.3147500000000001</v>
      </c>
      <c r="H5041" s="32"/>
      <c r="I5041" s="28"/>
      <c r="J5041" s="125">
        <v>0</v>
      </c>
    </row>
    <row r="5042" spans="1:10" ht="15.75" hidden="1" thickBot="1" x14ac:dyDescent="0.3">
      <c r="A5042" s="235"/>
      <c r="B5042" s="238"/>
      <c r="C5042" s="155" t="s">
        <v>237</v>
      </c>
      <c r="D5042" s="155" t="s">
        <v>205</v>
      </c>
      <c r="E5042" s="34">
        <f>0.47/50</f>
        <v>9.3999999999999986E-3</v>
      </c>
      <c r="F5042" s="31">
        <v>17.166499999999999</v>
      </c>
      <c r="G5042" s="31">
        <f>IF(ISNUMBER(F5042),E5042*F5042,"")</f>
        <v>0.16136509999999996</v>
      </c>
      <c r="H5042" s="32"/>
      <c r="I5042" s="28"/>
      <c r="J5042" s="125">
        <v>0</v>
      </c>
    </row>
    <row r="5043" spans="1:10" ht="15.75" hidden="1" thickBot="1" x14ac:dyDescent="0.3">
      <c r="A5043" s="235"/>
      <c r="B5043" s="238"/>
      <c r="C5043" s="155" t="s">
        <v>11210</v>
      </c>
      <c r="D5043" s="33" t="s">
        <v>205</v>
      </c>
      <c r="E5043" s="34">
        <v>1</v>
      </c>
      <c r="F5043" s="28" t="s">
        <v>418</v>
      </c>
      <c r="G5043" s="31" t="str">
        <f>IF(ISNUMBER(F5043),E5043*F5043,"")</f>
        <v/>
      </c>
      <c r="H5043" s="32"/>
      <c r="I5043" s="28"/>
      <c r="J5043" s="125">
        <v>0</v>
      </c>
    </row>
    <row r="5044" spans="1:10" ht="15.75" hidden="1" thickBot="1" x14ac:dyDescent="0.3">
      <c r="A5044" s="236"/>
      <c r="B5044" s="239"/>
      <c r="C5044" s="155"/>
      <c r="D5044" s="33"/>
      <c r="E5044" s="34"/>
      <c r="F5044" s="28" t="s">
        <v>418</v>
      </c>
      <c r="G5044" s="28" t="str">
        <f>IF(ISNUMBER(F5044),E5044*F5044,"")</f>
        <v/>
      </c>
      <c r="H5044" s="32"/>
      <c r="I5044" s="28"/>
      <c r="J5044" s="125">
        <v>0</v>
      </c>
    </row>
    <row r="5045" spans="1:10" ht="15.75" hidden="1" thickBot="1" x14ac:dyDescent="0.3">
      <c r="A5045" s="234" t="s">
        <v>10346</v>
      </c>
      <c r="B5045" s="237" t="s">
        <v>10377</v>
      </c>
      <c r="C5045" s="160"/>
      <c r="D5045" s="23" t="s">
        <v>16</v>
      </c>
      <c r="E5045" s="24"/>
      <c r="F5045" s="44" t="s">
        <v>418</v>
      </c>
      <c r="G5045" s="25" t="str">
        <f>IF(ISNUMBER(F5045),E5045*F5045,"")</f>
        <v/>
      </c>
      <c r="H5045" s="26"/>
      <c r="I5045" s="27"/>
      <c r="J5045" s="125">
        <v>0</v>
      </c>
    </row>
    <row r="5046" spans="1:10" ht="15.75" hidden="1" thickBot="1" x14ac:dyDescent="0.3">
      <c r="A5046" s="249"/>
      <c r="B5046" s="238"/>
      <c r="C5046" s="151"/>
      <c r="D5046" s="29"/>
      <c r="E5046" s="30"/>
      <c r="F5046" s="49" t="s">
        <v>418</v>
      </c>
      <c r="G5046" s="49" t="str">
        <f>IF(ISNUMBER(F5046),E5046*F5046,"")</f>
        <v/>
      </c>
      <c r="H5046" s="65"/>
      <c r="I5046" s="66"/>
      <c r="J5046" s="125">
        <v>0</v>
      </c>
    </row>
    <row r="5047" spans="1:10" ht="15.75" hidden="1" thickBot="1" x14ac:dyDescent="0.3">
      <c r="A5047" s="249"/>
      <c r="B5047" s="238"/>
      <c r="C5047" s="155" t="s">
        <v>11273</v>
      </c>
      <c r="D5047" s="33" t="s">
        <v>205</v>
      </c>
      <c r="E5047" s="34">
        <v>1</v>
      </c>
      <c r="F5047" s="49" t="s">
        <v>418</v>
      </c>
      <c r="G5047" s="49" t="str">
        <f>IF(ISNUMBER(F5047),E5047*F5047,"")</f>
        <v/>
      </c>
      <c r="H5047" s="35">
        <f>SUM(G5047:G5050)</f>
        <v>13.937369249999998</v>
      </c>
      <c r="I5047" s="36"/>
      <c r="J5047" s="125">
        <v>0</v>
      </c>
    </row>
    <row r="5048" spans="1:10" ht="15.75" hidden="1" thickBot="1" x14ac:dyDescent="0.3">
      <c r="A5048" s="249"/>
      <c r="B5048" s="238"/>
      <c r="C5048" s="155" t="s">
        <v>25517</v>
      </c>
      <c r="D5048" s="155" t="s">
        <v>205</v>
      </c>
      <c r="E5048" s="34">
        <v>2.1000000000000001E-2</v>
      </c>
      <c r="F5048" s="49">
        <v>4.6550000000000002</v>
      </c>
      <c r="G5048" s="49">
        <f>IF(ISNUMBER(F5048),E5048*F5048,"")</f>
        <v>9.7755000000000009E-2</v>
      </c>
      <c r="H5048" s="65"/>
      <c r="I5048" s="66"/>
      <c r="J5048" s="125">
        <v>0</v>
      </c>
    </row>
    <row r="5049" spans="1:10" ht="26.25" hidden="1" thickBot="1" x14ac:dyDescent="0.3">
      <c r="A5049" s="249"/>
      <c r="B5049" s="238"/>
      <c r="C5049" s="155" t="s">
        <v>825</v>
      </c>
      <c r="D5049" s="155" t="s">
        <v>587</v>
      </c>
      <c r="E5049" s="34">
        <v>0.44669999999999999</v>
      </c>
      <c r="F5049" s="49">
        <v>24.9375</v>
      </c>
      <c r="G5049" s="49">
        <f>IF(ISNUMBER(F5049),E5049*F5049,"")</f>
        <v>11.139581249999999</v>
      </c>
      <c r="H5049" s="65"/>
      <c r="I5049" s="66"/>
      <c r="J5049" s="125">
        <v>0</v>
      </c>
    </row>
    <row r="5050" spans="1:10" ht="15.75" hidden="1" thickBot="1" x14ac:dyDescent="0.3">
      <c r="A5050" s="249"/>
      <c r="B5050" s="238"/>
      <c r="C5050" s="155" t="s">
        <v>588</v>
      </c>
      <c r="D5050" s="155" t="s">
        <v>587</v>
      </c>
      <c r="E5050" s="34">
        <v>0.14069999999999999</v>
      </c>
      <c r="F5050" s="49">
        <v>19.189999999999998</v>
      </c>
      <c r="G5050" s="49">
        <f>IF(ISNUMBER(F5050),E5050*F5050,"")</f>
        <v>2.7000329999999995</v>
      </c>
      <c r="H5050" s="65"/>
      <c r="I5050" s="66"/>
      <c r="J5050" s="125">
        <v>0</v>
      </c>
    </row>
    <row r="5051" spans="1:10" ht="15.75" hidden="1" thickBot="1" x14ac:dyDescent="0.3">
      <c r="A5051" s="250"/>
      <c r="B5051" s="239"/>
      <c r="C5051" s="155"/>
      <c r="D5051" s="33"/>
      <c r="E5051" s="34"/>
      <c r="F5051" s="49" t="s">
        <v>418</v>
      </c>
      <c r="G5051" s="49" t="str">
        <f>IF(ISNUMBER(F5051),E5051*F5051,"")</f>
        <v/>
      </c>
      <c r="H5051" s="65"/>
      <c r="I5051" s="66"/>
      <c r="J5051" s="125">
        <v>0</v>
      </c>
    </row>
    <row r="5052" spans="1:10" ht="15.75" hidden="1" thickBot="1" x14ac:dyDescent="0.3">
      <c r="A5052" s="234" t="s">
        <v>10347</v>
      </c>
      <c r="B5052" s="237" t="s">
        <v>10378</v>
      </c>
      <c r="C5052" s="160"/>
      <c r="D5052" s="23" t="s">
        <v>16</v>
      </c>
      <c r="E5052" s="24"/>
      <c r="F5052" s="44" t="s">
        <v>418</v>
      </c>
      <c r="G5052" s="25" t="str">
        <f>IF(ISNUMBER(F5052),E5052*F5052,"")</f>
        <v/>
      </c>
      <c r="H5052" s="26"/>
      <c r="I5052" s="27"/>
      <c r="J5052" s="125">
        <v>0</v>
      </c>
    </row>
    <row r="5053" spans="1:10" ht="15.75" hidden="1" thickBot="1" x14ac:dyDescent="0.3">
      <c r="A5053" s="249"/>
      <c r="B5053" s="238"/>
      <c r="C5053" s="151"/>
      <c r="D5053" s="29"/>
      <c r="E5053" s="30"/>
      <c r="F5053" s="49" t="s">
        <v>418</v>
      </c>
      <c r="G5053" s="49" t="str">
        <f>IF(ISNUMBER(F5053),E5053*F5053,"")</f>
        <v/>
      </c>
      <c r="H5053" s="65"/>
      <c r="I5053" s="66"/>
      <c r="J5053" s="125">
        <v>0</v>
      </c>
    </row>
    <row r="5054" spans="1:10" ht="26.25" hidden="1" thickBot="1" x14ac:dyDescent="0.3">
      <c r="A5054" s="249"/>
      <c r="B5054" s="238"/>
      <c r="C5054" s="155" t="s">
        <v>824</v>
      </c>
      <c r="D5054" s="155" t="s">
        <v>587</v>
      </c>
      <c r="E5054" s="34">
        <v>4</v>
      </c>
      <c r="F5054" s="28">
        <v>18.6295</v>
      </c>
      <c r="G5054" s="49">
        <f>IF(ISNUMBER(F5054),E5054*F5054,"")</f>
        <v>74.518000000000001</v>
      </c>
      <c r="H5054" s="35">
        <f>SUM(G5054:G5058)</f>
        <v>265.63299599999999</v>
      </c>
      <c r="I5054" s="36"/>
      <c r="J5054" s="125">
        <v>0</v>
      </c>
    </row>
    <row r="5055" spans="1:10" ht="26.25" hidden="1" thickBot="1" x14ac:dyDescent="0.3">
      <c r="A5055" s="249"/>
      <c r="B5055" s="238"/>
      <c r="C5055" s="155" t="s">
        <v>825</v>
      </c>
      <c r="D5055" s="155" t="s">
        <v>587</v>
      </c>
      <c r="E5055" s="34">
        <v>4</v>
      </c>
      <c r="F5055" s="28">
        <v>24.9375</v>
      </c>
      <c r="G5055" s="49">
        <f>IF(ISNUMBER(F5055),E5055*F5055,"")</f>
        <v>99.75</v>
      </c>
      <c r="H5055" s="65"/>
      <c r="I5055" s="66"/>
      <c r="J5055" s="125">
        <v>0</v>
      </c>
    </row>
    <row r="5056" spans="1:10" ht="15.75" hidden="1" thickBot="1" x14ac:dyDescent="0.3">
      <c r="A5056" s="249"/>
      <c r="B5056" s="238"/>
      <c r="C5056" s="155" t="s">
        <v>1022</v>
      </c>
      <c r="D5056" s="155" t="s">
        <v>587</v>
      </c>
      <c r="E5056" s="34">
        <v>2</v>
      </c>
      <c r="F5056" s="28">
        <v>19.522500000000001</v>
      </c>
      <c r="G5056" s="49">
        <f>IF(ISNUMBER(F5056),E5056*F5056,"")</f>
        <v>39.045000000000002</v>
      </c>
      <c r="H5056" s="65"/>
      <c r="I5056" s="66"/>
      <c r="J5056" s="125">
        <v>0</v>
      </c>
    </row>
    <row r="5057" spans="1:10" ht="15.75" hidden="1" thickBot="1" x14ac:dyDescent="0.3">
      <c r="A5057" s="249"/>
      <c r="B5057" s="238"/>
      <c r="C5057" s="155" t="s">
        <v>1023</v>
      </c>
      <c r="D5057" s="155" t="s">
        <v>587</v>
      </c>
      <c r="E5057" s="34">
        <v>2</v>
      </c>
      <c r="F5057" s="28">
        <v>25.954000000000001</v>
      </c>
      <c r="G5057" s="49">
        <f>IF(ISNUMBER(F5057),E5057*F5057,"")</f>
        <v>51.908000000000001</v>
      </c>
      <c r="H5057" s="65"/>
      <c r="I5057" s="66"/>
      <c r="J5057" s="125">
        <v>0</v>
      </c>
    </row>
    <row r="5058" spans="1:10" ht="15.75" hidden="1" thickBot="1" x14ac:dyDescent="0.3">
      <c r="A5058" s="249"/>
      <c r="B5058" s="238"/>
      <c r="C5058" s="155" t="s">
        <v>237</v>
      </c>
      <c r="D5058" s="155" t="s">
        <v>205</v>
      </c>
      <c r="E5058" s="34">
        <f>1.2/50</f>
        <v>2.4E-2</v>
      </c>
      <c r="F5058" s="49">
        <v>17.166499999999999</v>
      </c>
      <c r="G5058" s="49">
        <f>IF(ISNUMBER(F5058),E5058*F5058,"")</f>
        <v>0.41199599999999997</v>
      </c>
      <c r="H5058" s="65"/>
      <c r="I5058" s="66"/>
      <c r="J5058" s="125">
        <v>0</v>
      </c>
    </row>
    <row r="5059" spans="1:10" ht="15.75" hidden="1" thickBot="1" x14ac:dyDescent="0.3">
      <c r="A5059" s="249"/>
      <c r="B5059" s="238"/>
      <c r="C5059" s="155"/>
      <c r="D5059" s="42"/>
      <c r="E5059" s="34"/>
      <c r="F5059" s="49" t="s">
        <v>418</v>
      </c>
      <c r="G5059" s="49" t="str">
        <f>IF(ISNUMBER(F5059),E5059*F5059,"")</f>
        <v/>
      </c>
      <c r="H5059" s="65"/>
      <c r="I5059" s="66"/>
      <c r="J5059" s="125">
        <v>0</v>
      </c>
    </row>
    <row r="5060" spans="1:10" ht="15.75" hidden="1" thickBot="1" x14ac:dyDescent="0.3">
      <c r="A5060" s="234" t="s">
        <v>10348</v>
      </c>
      <c r="B5060" s="237" t="s">
        <v>10379</v>
      </c>
      <c r="C5060" s="160"/>
      <c r="D5060" s="23" t="s">
        <v>16</v>
      </c>
      <c r="E5060" s="24"/>
      <c r="F5060" s="37" t="s">
        <v>418</v>
      </c>
      <c r="G5060" s="25" t="str">
        <f>IF(ISNUMBER(F5060),E5060*F5060,"")</f>
        <v/>
      </c>
      <c r="H5060" s="26"/>
      <c r="I5060" s="27"/>
      <c r="J5060" s="125">
        <v>0</v>
      </c>
    </row>
    <row r="5061" spans="1:10" ht="15.75" hidden="1" thickBot="1" x14ac:dyDescent="0.3">
      <c r="A5061" s="235"/>
      <c r="B5061" s="238"/>
      <c r="C5061" s="151"/>
      <c r="D5061" s="29"/>
      <c r="E5061" s="30"/>
      <c r="F5061" s="38" t="s">
        <v>418</v>
      </c>
      <c r="G5061" s="28" t="str">
        <f>IF(ISNUMBER(F5061),E5061*F5061,"")</f>
        <v/>
      </c>
      <c r="H5061" s="32"/>
      <c r="I5061" s="28"/>
      <c r="J5061" s="125">
        <v>0</v>
      </c>
    </row>
    <row r="5062" spans="1:10" ht="26.25" hidden="1" thickBot="1" x14ac:dyDescent="0.3">
      <c r="A5062" s="235"/>
      <c r="B5062" s="238"/>
      <c r="C5062" s="155" t="s">
        <v>11211</v>
      </c>
      <c r="D5062" s="42" t="s">
        <v>97</v>
      </c>
      <c r="E5062" s="34">
        <v>1</v>
      </c>
      <c r="F5062" s="31" t="s">
        <v>418</v>
      </c>
      <c r="G5062" s="31" t="str">
        <f>IF(ISNUMBER(F5062),E5062*F5062,"")</f>
        <v/>
      </c>
      <c r="H5062" s="35">
        <f>SUM(G5062:G5064)</f>
        <v>19.590629249999999</v>
      </c>
      <c r="I5062" s="36"/>
      <c r="J5062" s="125">
        <v>0</v>
      </c>
    </row>
    <row r="5063" spans="1:10" ht="26.25" hidden="1" thickBot="1" x14ac:dyDescent="0.3">
      <c r="A5063" s="235"/>
      <c r="B5063" s="238"/>
      <c r="C5063" s="155" t="s">
        <v>825</v>
      </c>
      <c r="D5063" s="155" t="s">
        <v>587</v>
      </c>
      <c r="E5063" s="34">
        <v>0.63229999999999997</v>
      </c>
      <c r="F5063" s="28">
        <v>24.9375</v>
      </c>
      <c r="G5063" s="31">
        <f>IF(ISNUMBER(F5063),E5063*F5063,"")</f>
        <v>15.76798125</v>
      </c>
      <c r="H5063" s="32"/>
      <c r="I5063" s="28"/>
      <c r="J5063" s="125">
        <v>0</v>
      </c>
    </row>
    <row r="5064" spans="1:10" ht="15.75" hidden="1" thickBot="1" x14ac:dyDescent="0.3">
      <c r="A5064" s="235"/>
      <c r="B5064" s="238"/>
      <c r="C5064" s="155" t="s">
        <v>588</v>
      </c>
      <c r="D5064" s="155" t="s">
        <v>587</v>
      </c>
      <c r="E5064" s="34">
        <v>0.19919999999999999</v>
      </c>
      <c r="F5064" s="28">
        <v>19.189999999999998</v>
      </c>
      <c r="G5064" s="31">
        <f>IF(ISNUMBER(F5064),E5064*F5064,"")</f>
        <v>3.8226479999999992</v>
      </c>
      <c r="H5064" s="32"/>
      <c r="I5064" s="28"/>
      <c r="J5064" s="125">
        <v>0</v>
      </c>
    </row>
    <row r="5065" spans="1:10" ht="15.75" hidden="1" thickBot="1" x14ac:dyDescent="0.3">
      <c r="A5065" s="236"/>
      <c r="B5065" s="239"/>
      <c r="C5065" s="155"/>
      <c r="D5065" s="33"/>
      <c r="E5065" s="34"/>
      <c r="F5065" s="28" t="s">
        <v>418</v>
      </c>
      <c r="G5065" s="28" t="str">
        <f>IF(ISNUMBER(F5065),E5065*F5065,"")</f>
        <v/>
      </c>
      <c r="H5065" s="32"/>
      <c r="I5065" s="28"/>
      <c r="J5065" s="125">
        <v>0</v>
      </c>
    </row>
    <row r="5066" spans="1:10" ht="15.75" hidden="1" thickBot="1" x14ac:dyDescent="0.3">
      <c r="A5066" s="234" t="s">
        <v>10349</v>
      </c>
      <c r="B5066" s="237" t="s">
        <v>10380</v>
      </c>
      <c r="C5066" s="160"/>
      <c r="D5066" s="23" t="s">
        <v>16</v>
      </c>
      <c r="E5066" s="24"/>
      <c r="F5066" s="37" t="s">
        <v>418</v>
      </c>
      <c r="G5066" s="25" t="str">
        <f>IF(ISNUMBER(F5066),E5066*F5066,"")</f>
        <v/>
      </c>
      <c r="H5066" s="26"/>
      <c r="I5066" s="27"/>
      <c r="J5066" s="125">
        <v>0</v>
      </c>
    </row>
    <row r="5067" spans="1:10" ht="15.75" hidden="1" thickBot="1" x14ac:dyDescent="0.3">
      <c r="A5067" s="235"/>
      <c r="B5067" s="238"/>
      <c r="C5067" s="151"/>
      <c r="D5067" s="29"/>
      <c r="E5067" s="30"/>
      <c r="F5067" s="38" t="s">
        <v>418</v>
      </c>
      <c r="G5067" s="28" t="str">
        <f>IF(ISNUMBER(F5067),E5067*F5067,"")</f>
        <v/>
      </c>
      <c r="H5067" s="32"/>
      <c r="I5067" s="28"/>
      <c r="J5067" s="125">
        <v>0</v>
      </c>
    </row>
    <row r="5068" spans="1:10" ht="26.25" hidden="1" thickBot="1" x14ac:dyDescent="0.3">
      <c r="A5068" s="235"/>
      <c r="B5068" s="238"/>
      <c r="C5068" s="155" t="s">
        <v>11212</v>
      </c>
      <c r="D5068" s="42" t="s">
        <v>97</v>
      </c>
      <c r="E5068" s="34">
        <v>1</v>
      </c>
      <c r="F5068" s="31" t="s">
        <v>418</v>
      </c>
      <c r="G5068" s="31" t="str">
        <f>IF(ISNUMBER(F5068),E5068*F5068,"")</f>
        <v/>
      </c>
      <c r="H5068" s="35">
        <f>SUM(G5068:G5070)</f>
        <v>9.7965614999999993</v>
      </c>
      <c r="I5068" s="36"/>
      <c r="J5068" s="125">
        <v>0</v>
      </c>
    </row>
    <row r="5069" spans="1:10" ht="26.25" hidden="1" thickBot="1" x14ac:dyDescent="0.3">
      <c r="A5069" s="235"/>
      <c r="B5069" s="238"/>
      <c r="C5069" s="155" t="s">
        <v>825</v>
      </c>
      <c r="D5069" s="155" t="s">
        <v>587</v>
      </c>
      <c r="E5069" s="34">
        <v>0.31619999999999998</v>
      </c>
      <c r="F5069" s="28">
        <v>24.9375</v>
      </c>
      <c r="G5069" s="31">
        <f>IF(ISNUMBER(F5069),E5069*F5069,"")</f>
        <v>7.8852374999999997</v>
      </c>
      <c r="H5069" s="32"/>
      <c r="I5069" s="28"/>
      <c r="J5069" s="125">
        <v>0</v>
      </c>
    </row>
    <row r="5070" spans="1:10" ht="15.75" hidden="1" thickBot="1" x14ac:dyDescent="0.3">
      <c r="A5070" s="235"/>
      <c r="B5070" s="238"/>
      <c r="C5070" s="155" t="s">
        <v>588</v>
      </c>
      <c r="D5070" s="155" t="s">
        <v>587</v>
      </c>
      <c r="E5070" s="34">
        <v>9.9599999999999994E-2</v>
      </c>
      <c r="F5070" s="28">
        <v>19.189999999999998</v>
      </c>
      <c r="G5070" s="31">
        <f>IF(ISNUMBER(F5070),E5070*F5070,"")</f>
        <v>1.9113239999999996</v>
      </c>
      <c r="H5070" s="32"/>
      <c r="I5070" s="28"/>
      <c r="J5070" s="125">
        <v>0</v>
      </c>
    </row>
    <row r="5071" spans="1:10" ht="15.75" hidden="1" thickBot="1" x14ac:dyDescent="0.3">
      <c r="A5071" s="236"/>
      <c r="B5071" s="239"/>
      <c r="C5071" s="155"/>
      <c r="D5071" s="33"/>
      <c r="E5071" s="34"/>
      <c r="F5071" s="28" t="s">
        <v>418</v>
      </c>
      <c r="G5071" s="28" t="str">
        <f>IF(ISNUMBER(F5071),E5071*F5071,"")</f>
        <v/>
      </c>
      <c r="H5071" s="32"/>
      <c r="I5071" s="28"/>
      <c r="J5071" s="125">
        <v>0</v>
      </c>
    </row>
    <row r="5072" spans="1:10" ht="15.75" hidden="1" thickBot="1" x14ac:dyDescent="0.3">
      <c r="A5072" s="234" t="s">
        <v>10350</v>
      </c>
      <c r="B5072" s="237" t="s">
        <v>10381</v>
      </c>
      <c r="C5072" s="160"/>
      <c r="D5072" s="23" t="s">
        <v>16</v>
      </c>
      <c r="E5072" s="24"/>
      <c r="F5072" s="37" t="s">
        <v>418</v>
      </c>
      <c r="G5072" s="25" t="str">
        <f>IF(ISNUMBER(F5072),E5072*F5072,"")</f>
        <v/>
      </c>
      <c r="H5072" s="26"/>
      <c r="I5072" s="27"/>
      <c r="J5072" s="125">
        <v>0</v>
      </c>
    </row>
    <row r="5073" spans="1:10" ht="15.75" hidden="1" thickBot="1" x14ac:dyDescent="0.3">
      <c r="A5073" s="235"/>
      <c r="B5073" s="238"/>
      <c r="C5073" s="151"/>
      <c r="D5073" s="29"/>
      <c r="E5073" s="30"/>
      <c r="F5073" s="38" t="s">
        <v>418</v>
      </c>
      <c r="G5073" s="28" t="str">
        <f>IF(ISNUMBER(F5073),E5073*F5073,"")</f>
        <v/>
      </c>
      <c r="H5073" s="32"/>
      <c r="I5073" s="28"/>
      <c r="J5073" s="125">
        <v>0</v>
      </c>
    </row>
    <row r="5074" spans="1:10" ht="15.75" hidden="1" thickBot="1" x14ac:dyDescent="0.3">
      <c r="A5074" s="235"/>
      <c r="B5074" s="238"/>
      <c r="C5074" s="155" t="s">
        <v>11213</v>
      </c>
      <c r="D5074" s="33" t="s">
        <v>16</v>
      </c>
      <c r="E5074" s="34">
        <v>1</v>
      </c>
      <c r="F5074" s="31" t="s">
        <v>418</v>
      </c>
      <c r="G5074" s="28" t="str">
        <f>IF(ISNUMBER(F5074),E5074*F5074,"")</f>
        <v/>
      </c>
      <c r="H5074" s="35">
        <f>SUM(G5074:G5076)</f>
        <v>16.417016499999999</v>
      </c>
      <c r="I5074" s="36"/>
      <c r="J5074" s="125">
        <v>0</v>
      </c>
    </row>
    <row r="5075" spans="1:10" ht="15.75" hidden="1" thickBot="1" x14ac:dyDescent="0.3">
      <c r="A5075" s="235"/>
      <c r="B5075" s="238"/>
      <c r="C5075" s="155" t="s">
        <v>1022</v>
      </c>
      <c r="D5075" s="155" t="s">
        <v>587</v>
      </c>
      <c r="E5075" s="34">
        <v>0.36099999999999999</v>
      </c>
      <c r="F5075" s="28">
        <v>19.522500000000001</v>
      </c>
      <c r="G5075" s="31">
        <f>IF(ISNUMBER(F5075),E5075*F5075,"")</f>
        <v>7.0476225000000001</v>
      </c>
      <c r="H5075" s="32"/>
      <c r="I5075" s="28"/>
      <c r="J5075" s="125">
        <v>0</v>
      </c>
    </row>
    <row r="5076" spans="1:10" ht="15.75" hidden="1" thickBot="1" x14ac:dyDescent="0.3">
      <c r="A5076" s="235"/>
      <c r="B5076" s="238"/>
      <c r="C5076" s="155" t="s">
        <v>1023</v>
      </c>
      <c r="D5076" s="155" t="s">
        <v>587</v>
      </c>
      <c r="E5076" s="34">
        <v>0.36099999999999999</v>
      </c>
      <c r="F5076" s="28">
        <v>25.954000000000001</v>
      </c>
      <c r="G5076" s="31">
        <f>IF(ISNUMBER(F5076),E5076*F5076,"")</f>
        <v>9.3693939999999998</v>
      </c>
      <c r="H5076" s="32"/>
      <c r="I5076" s="28"/>
      <c r="J5076" s="125">
        <v>0</v>
      </c>
    </row>
    <row r="5077" spans="1:10" ht="15.75" hidden="1" thickBot="1" x14ac:dyDescent="0.3">
      <c r="A5077" s="236"/>
      <c r="B5077" s="239"/>
      <c r="C5077" s="155"/>
      <c r="D5077" s="33"/>
      <c r="E5077" s="34"/>
      <c r="F5077" s="28" t="s">
        <v>418</v>
      </c>
      <c r="G5077" s="28" t="str">
        <f>IF(ISNUMBER(F5077),E5077*F5077,"")</f>
        <v/>
      </c>
      <c r="H5077" s="32"/>
      <c r="I5077" s="28"/>
      <c r="J5077" s="125">
        <v>0</v>
      </c>
    </row>
    <row r="5078" spans="1:10" ht="15.75" hidden="1" thickBot="1" x14ac:dyDescent="0.3">
      <c r="A5078" s="234" t="s">
        <v>10351</v>
      </c>
      <c r="B5078" s="237" t="s">
        <v>10382</v>
      </c>
      <c r="C5078" s="160"/>
      <c r="D5078" s="23" t="s">
        <v>16</v>
      </c>
      <c r="E5078" s="24"/>
      <c r="F5078" s="37" t="s">
        <v>418</v>
      </c>
      <c r="G5078" s="25" t="str">
        <f>IF(ISNUMBER(F5078),E5078*F5078,"")</f>
        <v/>
      </c>
      <c r="H5078" s="26"/>
      <c r="I5078" s="27"/>
      <c r="J5078" s="125">
        <v>0</v>
      </c>
    </row>
    <row r="5079" spans="1:10" ht="15.75" hidden="1" thickBot="1" x14ac:dyDescent="0.3">
      <c r="A5079" s="235"/>
      <c r="B5079" s="238"/>
      <c r="C5079" s="151"/>
      <c r="D5079" s="29"/>
      <c r="E5079" s="30"/>
      <c r="F5079" s="38" t="s">
        <v>418</v>
      </c>
      <c r="G5079" s="28" t="str">
        <f>IF(ISNUMBER(F5079),E5079*F5079,"")</f>
        <v/>
      </c>
      <c r="H5079" s="32"/>
      <c r="I5079" s="28"/>
      <c r="J5079" s="125">
        <v>0</v>
      </c>
    </row>
    <row r="5080" spans="1:10" ht="15.75" hidden="1" thickBot="1" x14ac:dyDescent="0.3">
      <c r="A5080" s="235"/>
      <c r="B5080" s="238"/>
      <c r="C5080" s="155" t="s">
        <v>10279</v>
      </c>
      <c r="D5080" s="155" t="s">
        <v>205</v>
      </c>
      <c r="E5080" s="34">
        <v>1</v>
      </c>
      <c r="F5080" s="31">
        <v>7.1344999999999992</v>
      </c>
      <c r="G5080" s="28">
        <f>IF(ISNUMBER(F5080),E5080*F5080,"")</f>
        <v>7.1344999999999992</v>
      </c>
      <c r="H5080" s="35">
        <f>SUM(G5080:G5082)</f>
        <v>17.685048000000002</v>
      </c>
      <c r="I5080" s="36"/>
      <c r="J5080" s="125">
        <v>0</v>
      </c>
    </row>
    <row r="5081" spans="1:10" ht="15.75" hidden="1" thickBot="1" x14ac:dyDescent="0.3">
      <c r="A5081" s="235"/>
      <c r="B5081" s="238"/>
      <c r="C5081" s="155" t="s">
        <v>1022</v>
      </c>
      <c r="D5081" s="155" t="s">
        <v>587</v>
      </c>
      <c r="E5081" s="34">
        <v>0.23200000000000001</v>
      </c>
      <c r="F5081" s="28">
        <v>19.522500000000001</v>
      </c>
      <c r="G5081" s="31">
        <f>IF(ISNUMBER(F5081),E5081*F5081,"")</f>
        <v>4.5292200000000005</v>
      </c>
      <c r="H5081" s="32"/>
      <c r="I5081" s="28"/>
      <c r="J5081" s="125">
        <v>0</v>
      </c>
    </row>
    <row r="5082" spans="1:10" ht="15.75" hidden="1" thickBot="1" x14ac:dyDescent="0.3">
      <c r="A5082" s="235"/>
      <c r="B5082" s="238"/>
      <c r="C5082" s="155" t="s">
        <v>1023</v>
      </c>
      <c r="D5082" s="155" t="s">
        <v>587</v>
      </c>
      <c r="E5082" s="34">
        <v>0.23200000000000001</v>
      </c>
      <c r="F5082" s="28">
        <v>25.954000000000001</v>
      </c>
      <c r="G5082" s="31">
        <f>IF(ISNUMBER(F5082),E5082*F5082,"")</f>
        <v>6.0213280000000005</v>
      </c>
      <c r="H5082" s="32"/>
      <c r="I5082" s="28"/>
      <c r="J5082" s="125">
        <v>0</v>
      </c>
    </row>
    <row r="5083" spans="1:10" ht="15.75" hidden="1" thickBot="1" x14ac:dyDescent="0.3">
      <c r="A5083" s="236"/>
      <c r="B5083" s="239"/>
      <c r="C5083" s="155"/>
      <c r="D5083" s="33"/>
      <c r="E5083" s="34"/>
      <c r="F5083" s="28" t="s">
        <v>418</v>
      </c>
      <c r="G5083" s="28" t="str">
        <f>IF(ISNUMBER(F5083),E5083*F5083,"")</f>
        <v/>
      </c>
      <c r="H5083" s="32"/>
      <c r="I5083" s="28"/>
      <c r="J5083" s="125">
        <v>0</v>
      </c>
    </row>
    <row r="5084" spans="1:10" ht="15.75" hidden="1" thickBot="1" x14ac:dyDescent="0.3">
      <c r="A5084" s="234" t="s">
        <v>10352</v>
      </c>
      <c r="B5084" s="237" t="s">
        <v>10383</v>
      </c>
      <c r="C5084" s="160"/>
      <c r="D5084" s="23" t="s">
        <v>16</v>
      </c>
      <c r="E5084" s="24"/>
      <c r="F5084" s="37" t="s">
        <v>418</v>
      </c>
      <c r="G5084" s="25" t="str">
        <f>IF(ISNUMBER(F5084),E5084*F5084,"")</f>
        <v/>
      </c>
      <c r="H5084" s="26"/>
      <c r="I5084" s="27"/>
      <c r="J5084" s="125">
        <v>0</v>
      </c>
    </row>
    <row r="5085" spans="1:10" ht="15.75" hidden="1" thickBot="1" x14ac:dyDescent="0.3">
      <c r="A5085" s="235"/>
      <c r="B5085" s="238"/>
      <c r="C5085" s="151"/>
      <c r="D5085" s="29"/>
      <c r="E5085" s="30"/>
      <c r="F5085" s="38" t="s">
        <v>418</v>
      </c>
      <c r="G5085" s="28" t="str">
        <f>IF(ISNUMBER(F5085),E5085*F5085,"")</f>
        <v/>
      </c>
      <c r="H5085" s="32"/>
      <c r="I5085" s="28"/>
      <c r="J5085" s="125">
        <v>0</v>
      </c>
    </row>
    <row r="5086" spans="1:10" ht="39" hidden="1" thickBot="1" x14ac:dyDescent="0.3">
      <c r="A5086" s="235"/>
      <c r="B5086" s="238"/>
      <c r="C5086" s="155" t="s">
        <v>10272</v>
      </c>
      <c r="D5086" s="155" t="s">
        <v>205</v>
      </c>
      <c r="E5086" s="34">
        <v>1</v>
      </c>
      <c r="F5086" s="31">
        <v>71.667999999999992</v>
      </c>
      <c r="G5086" s="31">
        <f>IF(ISNUMBER(F5086),E5086*F5086,"")</f>
        <v>71.667999999999992</v>
      </c>
      <c r="H5086" s="35">
        <f>SUM(G5086:G5089)</f>
        <v>123.54750474999999</v>
      </c>
      <c r="I5086" s="36"/>
      <c r="J5086" s="125">
        <v>0</v>
      </c>
    </row>
    <row r="5087" spans="1:10" ht="26.25" hidden="1" thickBot="1" x14ac:dyDescent="0.3">
      <c r="A5087" s="235"/>
      <c r="B5087" s="238"/>
      <c r="C5087" s="155" t="s">
        <v>10270</v>
      </c>
      <c r="D5087" s="155" t="s">
        <v>205</v>
      </c>
      <c r="E5087" s="34">
        <v>2</v>
      </c>
      <c r="F5087" s="31">
        <v>14.1455</v>
      </c>
      <c r="G5087" s="31">
        <f>IF(ISNUMBER(F5087),E5087*F5087,"")</f>
        <v>28.291</v>
      </c>
      <c r="H5087" s="40"/>
      <c r="I5087" s="41"/>
      <c r="J5087" s="125">
        <v>0</v>
      </c>
    </row>
    <row r="5088" spans="1:10" ht="15.75" hidden="1" thickBot="1" x14ac:dyDescent="0.3">
      <c r="A5088" s="235"/>
      <c r="B5088" s="238"/>
      <c r="C5088" s="155" t="s">
        <v>1022</v>
      </c>
      <c r="D5088" s="155" t="s">
        <v>587</v>
      </c>
      <c r="E5088" s="34">
        <v>0.2883</v>
      </c>
      <c r="F5088" s="28">
        <v>19.522500000000001</v>
      </c>
      <c r="G5088" s="28">
        <f>IF(ISNUMBER(F5088),E5088*F5088,"")</f>
        <v>5.6283367499999999</v>
      </c>
      <c r="H5088" s="32"/>
      <c r="I5088" s="28"/>
      <c r="J5088" s="125">
        <v>0</v>
      </c>
    </row>
    <row r="5089" spans="1:10" ht="15.75" hidden="1" thickBot="1" x14ac:dyDescent="0.3">
      <c r="A5089" s="235"/>
      <c r="B5089" s="238"/>
      <c r="C5089" s="155" t="s">
        <v>1023</v>
      </c>
      <c r="D5089" s="155" t="s">
        <v>587</v>
      </c>
      <c r="E5089" s="34">
        <v>0.69199999999999995</v>
      </c>
      <c r="F5089" s="28">
        <v>25.954000000000001</v>
      </c>
      <c r="G5089" s="28">
        <f>IF(ISNUMBER(F5089),E5089*F5089,"")</f>
        <v>17.960167999999999</v>
      </c>
      <c r="H5089" s="32"/>
      <c r="I5089" s="28"/>
      <c r="J5089" s="125">
        <v>0</v>
      </c>
    </row>
    <row r="5090" spans="1:10" ht="15.75" hidden="1" thickBot="1" x14ac:dyDescent="0.3">
      <c r="A5090" s="236"/>
      <c r="B5090" s="239"/>
      <c r="C5090" s="155"/>
      <c r="D5090" s="33"/>
      <c r="E5090" s="34"/>
      <c r="F5090" s="28" t="s">
        <v>418</v>
      </c>
      <c r="G5090" s="28" t="str">
        <f>IF(ISNUMBER(F5090),E5090*F5090,"")</f>
        <v/>
      </c>
      <c r="H5090" s="32"/>
      <c r="I5090" s="28"/>
      <c r="J5090" s="125">
        <v>0</v>
      </c>
    </row>
    <row r="5091" spans="1:10" ht="15.75" hidden="1" thickBot="1" x14ac:dyDescent="0.3">
      <c r="A5091" s="241" t="s">
        <v>11214</v>
      </c>
      <c r="B5091" s="244" t="s">
        <v>11215</v>
      </c>
      <c r="C5091" s="160"/>
      <c r="D5091" s="23" t="s">
        <v>70</v>
      </c>
      <c r="E5091" s="24"/>
      <c r="F5091" s="37" t="s">
        <v>418</v>
      </c>
      <c r="G5091" s="25" t="str">
        <f>IF(ISNUMBER(F5091),E5091*F5091,"")</f>
        <v/>
      </c>
      <c r="H5091" s="26"/>
      <c r="I5091" s="27"/>
      <c r="J5091" s="125">
        <v>0</v>
      </c>
    </row>
    <row r="5092" spans="1:10" ht="15.75" hidden="1" thickBot="1" x14ac:dyDescent="0.3">
      <c r="A5092" s="242"/>
      <c r="B5092" s="245"/>
      <c r="C5092" s="151"/>
      <c r="D5092" s="29"/>
      <c r="E5092" s="30"/>
      <c r="F5092" s="38" t="s">
        <v>418</v>
      </c>
      <c r="G5092" s="28" t="str">
        <f>IF(ISNUMBER(F5092),E5092*F5092,"")</f>
        <v/>
      </c>
      <c r="H5092" s="32"/>
      <c r="I5092" s="28"/>
      <c r="J5092" s="125">
        <v>0</v>
      </c>
    </row>
    <row r="5093" spans="1:10" ht="51.75" hidden="1" thickBot="1" x14ac:dyDescent="0.3">
      <c r="A5093" s="242"/>
      <c r="B5093" s="245"/>
      <c r="C5093" s="155" t="s">
        <v>26986</v>
      </c>
      <c r="D5093" s="155" t="s">
        <v>205</v>
      </c>
      <c r="E5093" s="34">
        <f>1/(0.8*2.1)</f>
        <v>0.59523809523809523</v>
      </c>
      <c r="F5093" s="31">
        <v>313.34799999999996</v>
      </c>
      <c r="G5093" s="31">
        <f>IF(ISNUMBER(F5093),E5093*F5093,"")</f>
        <v>186.51666666666665</v>
      </c>
      <c r="H5093" s="35">
        <f>SUM(G5093:G5096)</f>
        <v>234.55233176666664</v>
      </c>
      <c r="I5093" s="36"/>
      <c r="J5093" s="125">
        <v>0</v>
      </c>
    </row>
    <row r="5094" spans="1:10" ht="39" hidden="1" thickBot="1" x14ac:dyDescent="0.3">
      <c r="A5094" s="242"/>
      <c r="B5094" s="245"/>
      <c r="C5094" s="155" t="s">
        <v>29979</v>
      </c>
      <c r="D5094" s="155" t="s">
        <v>385</v>
      </c>
      <c r="E5094" s="34">
        <f>1/0.8</f>
        <v>1.25</v>
      </c>
      <c r="F5094" s="28">
        <v>18.515499999999999</v>
      </c>
      <c r="G5094" s="31">
        <f>IF(ISNUMBER(F5094),E5094*F5094,"")</f>
        <v>23.144375</v>
      </c>
      <c r="H5094" s="32"/>
      <c r="I5094" s="28"/>
      <c r="J5094" s="125">
        <v>0</v>
      </c>
    </row>
    <row r="5095" spans="1:10" ht="15.75" hidden="1" thickBot="1" x14ac:dyDescent="0.3">
      <c r="A5095" s="242"/>
      <c r="B5095" s="245"/>
      <c r="C5095" s="155" t="s">
        <v>586</v>
      </c>
      <c r="D5095" s="155" t="s">
        <v>587</v>
      </c>
      <c r="E5095" s="34">
        <f>ROUND(1.546*0.8/(2.1*0.8),4)</f>
        <v>0.73619999999999997</v>
      </c>
      <c r="F5095" s="28">
        <v>24.215499999999999</v>
      </c>
      <c r="G5095" s="31">
        <f>IF(ISNUMBER(F5095),E5095*F5095,"")</f>
        <v>17.827451099999998</v>
      </c>
      <c r="H5095" s="32"/>
      <c r="I5095" s="28"/>
      <c r="J5095" s="125">
        <v>0</v>
      </c>
    </row>
    <row r="5096" spans="1:10" ht="15.75" hidden="1" thickBot="1" x14ac:dyDescent="0.3">
      <c r="A5096" s="242"/>
      <c r="B5096" s="245"/>
      <c r="C5096" s="155" t="s">
        <v>588</v>
      </c>
      <c r="D5096" s="155" t="s">
        <v>587</v>
      </c>
      <c r="E5096" s="34">
        <f>ROUND(0.773*0.8/(2.1*0.8),4)</f>
        <v>0.36809999999999998</v>
      </c>
      <c r="F5096" s="28">
        <v>19.189999999999998</v>
      </c>
      <c r="G5096" s="31">
        <f>IF(ISNUMBER(F5096),E5096*F5096,"")</f>
        <v>7.0638389999999989</v>
      </c>
      <c r="H5096" s="32"/>
      <c r="I5096" s="28"/>
      <c r="J5096" s="125">
        <v>0</v>
      </c>
    </row>
    <row r="5097" spans="1:10" ht="15.75" hidden="1" thickBot="1" x14ac:dyDescent="0.3">
      <c r="A5097" s="242"/>
      <c r="B5097" s="245"/>
      <c r="C5097" s="155"/>
      <c r="D5097" s="42"/>
      <c r="E5097" s="34"/>
      <c r="F5097" s="31" t="s">
        <v>418</v>
      </c>
      <c r="G5097" s="31" t="str">
        <f>IF(ISNUMBER(F5097),E5097*F5097,"")</f>
        <v/>
      </c>
      <c r="H5097" s="32"/>
      <c r="I5097" s="28"/>
      <c r="J5097" s="125">
        <v>0</v>
      </c>
    </row>
    <row r="5098" spans="1:10" ht="15.75" hidden="1" thickBot="1" x14ac:dyDescent="0.3">
      <c r="A5098" s="241" t="s">
        <v>11216</v>
      </c>
      <c r="B5098" s="244" t="s">
        <v>11217</v>
      </c>
      <c r="C5098" s="160"/>
      <c r="D5098" s="23" t="s">
        <v>70</v>
      </c>
      <c r="E5098" s="24"/>
      <c r="F5098" s="37" t="s">
        <v>418</v>
      </c>
      <c r="G5098" s="25" t="str">
        <f>IF(ISNUMBER(F5098),E5098*F5098,"")</f>
        <v/>
      </c>
      <c r="H5098" s="26"/>
      <c r="I5098" s="27"/>
      <c r="J5098" s="125">
        <v>0</v>
      </c>
    </row>
    <row r="5099" spans="1:10" ht="15.75" hidden="1" thickBot="1" x14ac:dyDescent="0.3">
      <c r="A5099" s="242"/>
      <c r="B5099" s="245"/>
      <c r="C5099" s="151"/>
      <c r="D5099" s="29"/>
      <c r="E5099" s="30"/>
      <c r="F5099" s="38" t="s">
        <v>418</v>
      </c>
      <c r="G5099" s="28" t="str">
        <f>IF(ISNUMBER(F5099),E5099*F5099,"")</f>
        <v/>
      </c>
      <c r="H5099" s="32"/>
      <c r="I5099" s="28"/>
      <c r="J5099" s="125">
        <v>0</v>
      </c>
    </row>
    <row r="5100" spans="1:10" ht="51.75" hidden="1" thickBot="1" x14ac:dyDescent="0.3">
      <c r="A5100" s="242"/>
      <c r="B5100" s="245"/>
      <c r="C5100" s="155" t="s">
        <v>26987</v>
      </c>
      <c r="D5100" s="155" t="s">
        <v>205</v>
      </c>
      <c r="E5100" s="34">
        <f>1/(0.8*2.1)</f>
        <v>0.59523809523809523</v>
      </c>
      <c r="F5100" s="31">
        <v>306.08999999999997</v>
      </c>
      <c r="G5100" s="31">
        <f>IF(ISNUMBER(F5100),E5100*F5100,"")</f>
        <v>182.19642857142856</v>
      </c>
      <c r="H5100" s="35">
        <f>SUM(G5100:G5105)</f>
        <v>249.19541987142856</v>
      </c>
      <c r="I5100" s="36"/>
      <c r="J5100" s="125">
        <v>0</v>
      </c>
    </row>
    <row r="5101" spans="1:10" ht="39" hidden="1" thickBot="1" x14ac:dyDescent="0.3">
      <c r="A5101" s="242"/>
      <c r="B5101" s="245"/>
      <c r="C5101" s="155" t="s">
        <v>29979</v>
      </c>
      <c r="D5101" s="155" t="s">
        <v>385</v>
      </c>
      <c r="E5101" s="34">
        <f>1/0.8</f>
        <v>1.25</v>
      </c>
      <c r="F5101" s="28">
        <v>18.515499999999999</v>
      </c>
      <c r="G5101" s="31">
        <f>IF(ISNUMBER(F5101),E5101*F5101,"")</f>
        <v>23.144375</v>
      </c>
      <c r="H5101" s="32"/>
      <c r="I5101" s="28"/>
      <c r="J5101" s="125">
        <v>0</v>
      </c>
    </row>
    <row r="5102" spans="1:10" ht="15.75" hidden="1" thickBot="1" x14ac:dyDescent="0.3">
      <c r="A5102" s="242"/>
      <c r="B5102" s="245"/>
      <c r="C5102" s="155" t="s">
        <v>586</v>
      </c>
      <c r="D5102" s="155" t="s">
        <v>587</v>
      </c>
      <c r="E5102" s="34">
        <f>ROUND(1.546*0.8/(0.8*2.1),4)</f>
        <v>0.73619999999999997</v>
      </c>
      <c r="F5102" s="28">
        <v>24.215499999999999</v>
      </c>
      <c r="G5102" s="31">
        <f>IF(ISNUMBER(F5102),E5102*F5102,"")</f>
        <v>17.827451099999998</v>
      </c>
      <c r="H5102" s="32"/>
      <c r="I5102" s="28"/>
      <c r="J5102" s="125">
        <v>0</v>
      </c>
    </row>
    <row r="5103" spans="1:10" ht="15.75" hidden="1" thickBot="1" x14ac:dyDescent="0.3">
      <c r="A5103" s="242"/>
      <c r="B5103" s="245"/>
      <c r="C5103" s="155" t="s">
        <v>588</v>
      </c>
      <c r="D5103" s="155" t="s">
        <v>587</v>
      </c>
      <c r="E5103" s="34">
        <f>ROUND(0.773*0.8/(0.8*2.1),4)</f>
        <v>0.36809999999999998</v>
      </c>
      <c r="F5103" s="28">
        <v>19.189999999999998</v>
      </c>
      <c r="G5103" s="31">
        <f>IF(ISNUMBER(F5103),E5103*F5103,"")</f>
        <v>7.0638389999999989</v>
      </c>
      <c r="H5103" s="32"/>
      <c r="I5103" s="28"/>
      <c r="J5103" s="125">
        <v>0</v>
      </c>
    </row>
    <row r="5104" spans="1:10" ht="15.75" hidden="1" thickBot="1" x14ac:dyDescent="0.3">
      <c r="A5104" s="242"/>
      <c r="B5104" s="245"/>
      <c r="C5104" s="155" t="s">
        <v>134</v>
      </c>
      <c r="D5104" s="45" t="s">
        <v>76</v>
      </c>
      <c r="E5104" s="34">
        <v>0.108</v>
      </c>
      <c r="F5104" s="31" t="s">
        <v>418</v>
      </c>
      <c r="G5104" s="28" t="str">
        <f>IF(ISNUMBER(F5104),E5104*F5104,"")</f>
        <v/>
      </c>
      <c r="H5104" s="32"/>
      <c r="I5104" s="28"/>
      <c r="J5104" s="125">
        <v>0</v>
      </c>
    </row>
    <row r="5105" spans="1:10" ht="15.75" hidden="1" thickBot="1" x14ac:dyDescent="0.3">
      <c r="A5105" s="242"/>
      <c r="B5105" s="245"/>
      <c r="C5105" s="155" t="s">
        <v>962</v>
      </c>
      <c r="D5105" s="155" t="s">
        <v>587</v>
      </c>
      <c r="E5105" s="34">
        <v>0.70760000000000001</v>
      </c>
      <c r="F5105" s="28">
        <v>26.799499999999998</v>
      </c>
      <c r="G5105" s="28">
        <f>IF(ISNUMBER(F5105),E5105*F5105,"")</f>
        <v>18.963326199999997</v>
      </c>
      <c r="H5105" s="32"/>
      <c r="I5105" s="28"/>
      <c r="J5105" s="125">
        <v>0</v>
      </c>
    </row>
    <row r="5106" spans="1:10" ht="15.75" hidden="1" thickBot="1" x14ac:dyDescent="0.3">
      <c r="A5106" s="242"/>
      <c r="B5106" s="245"/>
      <c r="C5106" s="155"/>
      <c r="D5106" s="33"/>
      <c r="E5106" s="34"/>
      <c r="F5106" s="28" t="s">
        <v>418</v>
      </c>
      <c r="G5106" s="28"/>
      <c r="H5106" s="32"/>
      <c r="I5106" s="28"/>
      <c r="J5106" s="125">
        <v>0</v>
      </c>
    </row>
    <row r="5107" spans="1:10" ht="39" hidden="1" thickBot="1" x14ac:dyDescent="0.3">
      <c r="A5107" s="242"/>
      <c r="B5107" s="245"/>
      <c r="C5107" s="47" t="s">
        <v>10306</v>
      </c>
      <c r="D5107" s="33"/>
      <c r="E5107" s="34"/>
      <c r="F5107" s="28" t="s">
        <v>418</v>
      </c>
      <c r="G5107" s="28"/>
      <c r="H5107" s="32"/>
      <c r="I5107" s="28"/>
      <c r="J5107" s="125">
        <v>0</v>
      </c>
    </row>
    <row r="5108" spans="1:10" ht="15.75" hidden="1" thickBot="1" x14ac:dyDescent="0.3">
      <c r="A5108" s="242"/>
      <c r="B5108" s="245"/>
      <c r="C5108" s="155"/>
      <c r="D5108" s="42"/>
      <c r="E5108" s="34"/>
      <c r="F5108" s="31" t="s">
        <v>418</v>
      </c>
      <c r="G5108" s="31" t="str">
        <f>IF(ISNUMBER(F5108),E5108*F5108,"")</f>
        <v/>
      </c>
      <c r="H5108" s="32"/>
      <c r="I5108" s="28"/>
      <c r="J5108" s="125">
        <v>0</v>
      </c>
    </row>
    <row r="5109" spans="1:10" ht="15.75" hidden="1" thickBot="1" x14ac:dyDescent="0.3">
      <c r="A5109" s="234" t="s">
        <v>11218</v>
      </c>
      <c r="B5109" s="237" t="s">
        <v>11219</v>
      </c>
      <c r="C5109" s="160"/>
      <c r="D5109" s="23" t="s">
        <v>16</v>
      </c>
      <c r="E5109" s="24"/>
      <c r="F5109" s="44" t="s">
        <v>418</v>
      </c>
      <c r="G5109" s="25" t="str">
        <f>IF(ISNUMBER(F5109),E5109*F5109,"")</f>
        <v/>
      </c>
      <c r="H5109" s="26"/>
      <c r="I5109" s="27"/>
      <c r="J5109" s="125">
        <v>0</v>
      </c>
    </row>
    <row r="5110" spans="1:10" ht="15.75" hidden="1" thickBot="1" x14ac:dyDescent="0.3">
      <c r="A5110" s="249"/>
      <c r="B5110" s="238"/>
      <c r="C5110" s="151"/>
      <c r="D5110" s="29"/>
      <c r="E5110" s="30"/>
      <c r="F5110" s="49" t="s">
        <v>418</v>
      </c>
      <c r="G5110" s="49" t="str">
        <f>IF(ISNUMBER(F5110),E5110*F5110,"")</f>
        <v/>
      </c>
      <c r="H5110" s="65"/>
      <c r="I5110" s="66"/>
      <c r="J5110" s="125">
        <v>0</v>
      </c>
    </row>
    <row r="5111" spans="1:10" ht="26.25" hidden="1" thickBot="1" x14ac:dyDescent="0.3">
      <c r="A5111" s="249"/>
      <c r="B5111" s="238"/>
      <c r="C5111" s="155" t="s">
        <v>824</v>
      </c>
      <c r="D5111" s="155" t="s">
        <v>587</v>
      </c>
      <c r="E5111" s="34">
        <v>0.93</v>
      </c>
      <c r="F5111" s="28">
        <v>18.6295</v>
      </c>
      <c r="G5111" s="49">
        <f>IF(ISNUMBER(F5111),E5111*F5111,"")</f>
        <v>17.325435000000002</v>
      </c>
      <c r="H5111" s="35">
        <f>SUM(G5111:G5113)</f>
        <v>40.517310000000002</v>
      </c>
      <c r="I5111" s="36"/>
      <c r="J5111" s="125">
        <v>0</v>
      </c>
    </row>
    <row r="5112" spans="1:10" ht="26.25" hidden="1" thickBot="1" x14ac:dyDescent="0.3">
      <c r="A5112" s="249"/>
      <c r="B5112" s="238"/>
      <c r="C5112" s="155" t="s">
        <v>825</v>
      </c>
      <c r="D5112" s="155" t="s">
        <v>587</v>
      </c>
      <c r="E5112" s="34">
        <v>0.93</v>
      </c>
      <c r="F5112" s="28">
        <v>24.9375</v>
      </c>
      <c r="G5112" s="49">
        <f>IF(ISNUMBER(F5112),E5112*F5112,"")</f>
        <v>23.191875</v>
      </c>
      <c r="H5112" s="65"/>
      <c r="I5112" s="66"/>
      <c r="J5112" s="125">
        <v>0</v>
      </c>
    </row>
    <row r="5113" spans="1:10" ht="15.75" hidden="1" thickBot="1" x14ac:dyDescent="0.3">
      <c r="A5113" s="249"/>
      <c r="B5113" s="238"/>
      <c r="C5113" s="155" t="s">
        <v>11260</v>
      </c>
      <c r="D5113" s="33" t="s">
        <v>205</v>
      </c>
      <c r="E5113" s="34">
        <v>1</v>
      </c>
      <c r="F5113" s="28" t="s">
        <v>418</v>
      </c>
      <c r="G5113" s="49" t="str">
        <f>IF(ISNUMBER(F5113),E5113*F5113,"")</f>
        <v/>
      </c>
      <c r="H5113" s="65"/>
      <c r="I5113" s="66"/>
      <c r="J5113" s="125">
        <v>0</v>
      </c>
    </row>
    <row r="5114" spans="1:10" ht="15.75" hidden="1" thickBot="1" x14ac:dyDescent="0.3">
      <c r="A5114" s="249"/>
      <c r="B5114" s="238"/>
      <c r="C5114" s="155"/>
      <c r="D5114" s="42"/>
      <c r="E5114" s="34"/>
      <c r="F5114" s="49" t="s">
        <v>418</v>
      </c>
      <c r="G5114" s="49" t="str">
        <f>IF(ISNUMBER(F5114),E5114*F5114,"")</f>
        <v/>
      </c>
      <c r="H5114" s="65"/>
      <c r="I5114" s="66"/>
      <c r="J5114" s="125">
        <v>0</v>
      </c>
    </row>
    <row r="5115" spans="1:10" ht="15.75" hidden="1" thickBot="1" x14ac:dyDescent="0.3">
      <c r="A5115" s="234" t="s">
        <v>11220</v>
      </c>
      <c r="B5115" s="237" t="s">
        <v>11221</v>
      </c>
      <c r="C5115" s="160"/>
      <c r="D5115" s="23" t="s">
        <v>16</v>
      </c>
      <c r="E5115" s="24"/>
      <c r="F5115" s="44" t="s">
        <v>418</v>
      </c>
      <c r="G5115" s="25" t="str">
        <f>IF(ISNUMBER(F5115),E5115*F5115,"")</f>
        <v/>
      </c>
      <c r="H5115" s="26"/>
      <c r="I5115" s="27"/>
      <c r="J5115" s="125">
        <v>0</v>
      </c>
    </row>
    <row r="5116" spans="1:10" ht="15.75" hidden="1" thickBot="1" x14ac:dyDescent="0.3">
      <c r="A5116" s="249"/>
      <c r="B5116" s="238"/>
      <c r="C5116" s="151"/>
      <c r="D5116" s="29"/>
      <c r="E5116" s="30"/>
      <c r="F5116" s="49" t="s">
        <v>418</v>
      </c>
      <c r="G5116" s="49" t="str">
        <f>IF(ISNUMBER(F5116),E5116*F5116,"")</f>
        <v/>
      </c>
      <c r="H5116" s="65"/>
      <c r="I5116" s="66"/>
      <c r="J5116" s="125">
        <v>0</v>
      </c>
    </row>
    <row r="5117" spans="1:10" ht="15.75" hidden="1" thickBot="1" x14ac:dyDescent="0.3">
      <c r="A5117" s="249"/>
      <c r="B5117" s="238"/>
      <c r="C5117" s="155" t="s">
        <v>1044</v>
      </c>
      <c r="D5117" s="155" t="s">
        <v>774</v>
      </c>
      <c r="E5117" s="34">
        <f>ROUND(0.089*1.3,4)</f>
        <v>0.1157</v>
      </c>
      <c r="F5117" s="28">
        <v>27.454999999999998</v>
      </c>
      <c r="G5117" s="49">
        <f>IF(ISNUMBER(F5117),E5117*F5117,"")</f>
        <v>3.1765434999999997</v>
      </c>
      <c r="H5117" s="35">
        <f>SUM(G5117:G5121)</f>
        <v>87.594968499999993</v>
      </c>
      <c r="I5117" s="36"/>
      <c r="J5117" s="125">
        <v>0</v>
      </c>
    </row>
    <row r="5118" spans="1:10" ht="26.25" hidden="1" thickBot="1" x14ac:dyDescent="0.3">
      <c r="A5118" s="249"/>
      <c r="B5118" s="238"/>
      <c r="C5118" s="155" t="s">
        <v>11261</v>
      </c>
      <c r="D5118" s="33" t="s">
        <v>205</v>
      </c>
      <c r="E5118" s="34">
        <v>1</v>
      </c>
      <c r="F5118" s="28" t="s">
        <v>418</v>
      </c>
      <c r="G5118" s="49" t="str">
        <f>IF(ISNUMBER(F5118),E5118*F5118,"")</f>
        <v/>
      </c>
      <c r="H5118" s="65"/>
      <c r="I5118" s="66"/>
      <c r="J5118" s="125">
        <v>0</v>
      </c>
    </row>
    <row r="5119" spans="1:10" ht="26.25" hidden="1" thickBot="1" x14ac:dyDescent="0.3">
      <c r="A5119" s="249"/>
      <c r="B5119" s="238"/>
      <c r="C5119" s="155" t="s">
        <v>824</v>
      </c>
      <c r="D5119" s="155" t="s">
        <v>587</v>
      </c>
      <c r="E5119" s="34">
        <f>ROUND(0.93*1.3,4)</f>
        <v>1.2090000000000001</v>
      </c>
      <c r="F5119" s="28">
        <v>18.6295</v>
      </c>
      <c r="G5119" s="49">
        <f>IF(ISNUMBER(F5119),E5119*F5119,"")</f>
        <v>22.523065500000001</v>
      </c>
      <c r="H5119" s="65"/>
      <c r="I5119" s="66"/>
      <c r="J5119" s="125">
        <v>0</v>
      </c>
    </row>
    <row r="5120" spans="1:10" ht="26.25" hidden="1" thickBot="1" x14ac:dyDescent="0.3">
      <c r="A5120" s="249"/>
      <c r="B5120" s="238"/>
      <c r="C5120" s="155" t="s">
        <v>825</v>
      </c>
      <c r="D5120" s="155" t="s">
        <v>587</v>
      </c>
      <c r="E5120" s="34">
        <f>ROUND(0.93*1.3,4)</f>
        <v>1.2090000000000001</v>
      </c>
      <c r="F5120" s="28">
        <v>24.9375</v>
      </c>
      <c r="G5120" s="49">
        <f>IF(ISNUMBER(F5120),E5120*F5120,"")</f>
        <v>30.149437500000001</v>
      </c>
      <c r="H5120" s="65"/>
      <c r="I5120" s="66"/>
      <c r="J5120" s="125">
        <v>0</v>
      </c>
    </row>
    <row r="5121" spans="1:10" ht="15.75" hidden="1" thickBot="1" x14ac:dyDescent="0.3">
      <c r="A5121" s="249"/>
      <c r="B5121" s="238"/>
      <c r="C5121" s="155" t="s">
        <v>9852</v>
      </c>
      <c r="D5121" s="155" t="s">
        <v>587</v>
      </c>
      <c r="E5121" s="34">
        <f>ROUND(0.93*1.3,4)</f>
        <v>1.2090000000000001</v>
      </c>
      <c r="F5121" s="49">
        <v>26.257999999999999</v>
      </c>
      <c r="G5121" s="49">
        <f>IF(ISNUMBER(F5121),E5121*F5121,"")</f>
        <v>31.745922</v>
      </c>
      <c r="H5121" s="65"/>
      <c r="I5121" s="66"/>
      <c r="J5121" s="125">
        <v>0</v>
      </c>
    </row>
    <row r="5122" spans="1:10" ht="15.75" hidden="1" thickBot="1" x14ac:dyDescent="0.3">
      <c r="A5122" s="249"/>
      <c r="B5122" s="238"/>
      <c r="C5122" s="155"/>
      <c r="D5122" s="42"/>
      <c r="E5122" s="34"/>
      <c r="F5122" s="49" t="s">
        <v>418</v>
      </c>
      <c r="G5122" s="49" t="str">
        <f>IF(ISNUMBER(F5122),E5122*F5122,"")</f>
        <v/>
      </c>
      <c r="H5122" s="65"/>
      <c r="I5122" s="66"/>
      <c r="J5122" s="125">
        <v>0</v>
      </c>
    </row>
    <row r="5123" spans="1:10" ht="15.75" hidden="1" thickBot="1" x14ac:dyDescent="0.3">
      <c r="A5123" s="234" t="s">
        <v>11222</v>
      </c>
      <c r="B5123" s="237" t="s">
        <v>11223</v>
      </c>
      <c r="C5123" s="160"/>
      <c r="D5123" s="23" t="s">
        <v>16</v>
      </c>
      <c r="E5123" s="24"/>
      <c r="F5123" s="44" t="s">
        <v>418</v>
      </c>
      <c r="G5123" s="25" t="str">
        <f>IF(ISNUMBER(F5123),E5123*F5123,"")</f>
        <v/>
      </c>
      <c r="H5123" s="26"/>
      <c r="I5123" s="27"/>
      <c r="J5123" s="125">
        <v>0</v>
      </c>
    </row>
    <row r="5124" spans="1:10" ht="15.75" hidden="1" thickBot="1" x14ac:dyDescent="0.3">
      <c r="A5124" s="249"/>
      <c r="B5124" s="238"/>
      <c r="C5124" s="151"/>
      <c r="D5124" s="29"/>
      <c r="E5124" s="30"/>
      <c r="F5124" s="49" t="s">
        <v>418</v>
      </c>
      <c r="G5124" s="49" t="str">
        <f>IF(ISNUMBER(F5124),E5124*F5124,"")</f>
        <v/>
      </c>
      <c r="H5124" s="65"/>
      <c r="I5124" s="66"/>
      <c r="J5124" s="125">
        <v>0</v>
      </c>
    </row>
    <row r="5125" spans="1:10" ht="15.75" hidden="1" thickBot="1" x14ac:dyDescent="0.3">
      <c r="A5125" s="249"/>
      <c r="B5125" s="238"/>
      <c r="C5125" s="155" t="s">
        <v>1044</v>
      </c>
      <c r="D5125" s="155" t="s">
        <v>774</v>
      </c>
      <c r="E5125" s="34">
        <f>ROUND(0.089*1.3,4)</f>
        <v>0.1157</v>
      </c>
      <c r="F5125" s="28">
        <v>27.454999999999998</v>
      </c>
      <c r="G5125" s="49">
        <f>IF(ISNUMBER(F5125),E5125*F5125,"")</f>
        <v>3.1765434999999997</v>
      </c>
      <c r="H5125" s="35">
        <f>SUM(G5125:G5129)</f>
        <v>87.594968499999993</v>
      </c>
      <c r="I5125" s="36"/>
      <c r="J5125" s="125">
        <v>0</v>
      </c>
    </row>
    <row r="5126" spans="1:10" ht="26.25" hidden="1" thickBot="1" x14ac:dyDescent="0.3">
      <c r="A5126" s="249"/>
      <c r="B5126" s="238"/>
      <c r="C5126" s="155" t="s">
        <v>11262</v>
      </c>
      <c r="D5126" s="33" t="s">
        <v>205</v>
      </c>
      <c r="E5126" s="34">
        <v>1</v>
      </c>
      <c r="F5126" s="28" t="s">
        <v>418</v>
      </c>
      <c r="G5126" s="49" t="str">
        <f>IF(ISNUMBER(F5126),E5126*F5126,"")</f>
        <v/>
      </c>
      <c r="H5126" s="65"/>
      <c r="I5126" s="66"/>
      <c r="J5126" s="125">
        <v>0</v>
      </c>
    </row>
    <row r="5127" spans="1:10" ht="26.25" hidden="1" thickBot="1" x14ac:dyDescent="0.3">
      <c r="A5127" s="249"/>
      <c r="B5127" s="238"/>
      <c r="C5127" s="155" t="s">
        <v>824</v>
      </c>
      <c r="D5127" s="155" t="s">
        <v>587</v>
      </c>
      <c r="E5127" s="34">
        <f>ROUND(0.93*1.3,4)</f>
        <v>1.2090000000000001</v>
      </c>
      <c r="F5127" s="28">
        <v>18.6295</v>
      </c>
      <c r="G5127" s="49">
        <f>IF(ISNUMBER(F5127),E5127*F5127,"")</f>
        <v>22.523065500000001</v>
      </c>
      <c r="H5127" s="65"/>
      <c r="I5127" s="66"/>
      <c r="J5127" s="125">
        <v>0</v>
      </c>
    </row>
    <row r="5128" spans="1:10" ht="26.25" hidden="1" thickBot="1" x14ac:dyDescent="0.3">
      <c r="A5128" s="249"/>
      <c r="B5128" s="238"/>
      <c r="C5128" s="155" t="s">
        <v>825</v>
      </c>
      <c r="D5128" s="155" t="s">
        <v>587</v>
      </c>
      <c r="E5128" s="34">
        <f>ROUND(0.93*1.3,4)</f>
        <v>1.2090000000000001</v>
      </c>
      <c r="F5128" s="28">
        <v>24.9375</v>
      </c>
      <c r="G5128" s="49">
        <f>IF(ISNUMBER(F5128),E5128*F5128,"")</f>
        <v>30.149437500000001</v>
      </c>
      <c r="H5128" s="65"/>
      <c r="I5128" s="66"/>
      <c r="J5128" s="125">
        <v>0</v>
      </c>
    </row>
    <row r="5129" spans="1:10" ht="15.75" hidden="1" thickBot="1" x14ac:dyDescent="0.3">
      <c r="A5129" s="249"/>
      <c r="B5129" s="238"/>
      <c r="C5129" s="155" t="s">
        <v>9852</v>
      </c>
      <c r="D5129" s="155" t="s">
        <v>587</v>
      </c>
      <c r="E5129" s="34">
        <f>ROUND(0.93*1.3,4)</f>
        <v>1.2090000000000001</v>
      </c>
      <c r="F5129" s="49">
        <v>26.257999999999999</v>
      </c>
      <c r="G5129" s="49">
        <f>IF(ISNUMBER(F5129),E5129*F5129,"")</f>
        <v>31.745922</v>
      </c>
      <c r="H5129" s="65"/>
      <c r="I5129" s="66"/>
      <c r="J5129" s="125">
        <v>0</v>
      </c>
    </row>
    <row r="5130" spans="1:10" ht="15.75" hidden="1" thickBot="1" x14ac:dyDescent="0.3">
      <c r="A5130" s="249"/>
      <c r="B5130" s="238"/>
      <c r="C5130" s="155"/>
      <c r="D5130" s="42"/>
      <c r="E5130" s="34"/>
      <c r="F5130" s="49" t="s">
        <v>418</v>
      </c>
      <c r="G5130" s="49" t="str">
        <f>IF(ISNUMBER(F5130),E5130*F5130,"")</f>
        <v/>
      </c>
      <c r="H5130" s="65"/>
      <c r="I5130" s="66"/>
      <c r="J5130" s="125">
        <v>0</v>
      </c>
    </row>
    <row r="5131" spans="1:10" ht="15.75" hidden="1" thickBot="1" x14ac:dyDescent="0.3">
      <c r="A5131" s="234" t="s">
        <v>11224</v>
      </c>
      <c r="B5131" s="237" t="s">
        <v>11225</v>
      </c>
      <c r="C5131" s="160"/>
      <c r="D5131" s="23" t="s">
        <v>16</v>
      </c>
      <c r="E5131" s="24"/>
      <c r="F5131" s="44" t="s">
        <v>418</v>
      </c>
      <c r="G5131" s="25" t="str">
        <f>IF(ISNUMBER(F5131),E5131*F5131,"")</f>
        <v/>
      </c>
      <c r="H5131" s="26"/>
      <c r="I5131" s="27"/>
      <c r="J5131" s="125">
        <v>0</v>
      </c>
    </row>
    <row r="5132" spans="1:10" ht="15.75" hidden="1" thickBot="1" x14ac:dyDescent="0.3">
      <c r="A5132" s="249"/>
      <c r="B5132" s="238"/>
      <c r="C5132" s="151"/>
      <c r="D5132" s="29"/>
      <c r="E5132" s="30"/>
      <c r="F5132" s="49" t="s">
        <v>418</v>
      </c>
      <c r="G5132" s="49" t="str">
        <f>IF(ISNUMBER(F5132),E5132*F5132,"")</f>
        <v/>
      </c>
      <c r="H5132" s="65"/>
      <c r="I5132" s="66"/>
      <c r="J5132" s="125">
        <v>0</v>
      </c>
    </row>
    <row r="5133" spans="1:10" ht="15.75" hidden="1" thickBot="1" x14ac:dyDescent="0.3">
      <c r="A5133" s="249"/>
      <c r="B5133" s="238"/>
      <c r="C5133" s="155" t="s">
        <v>1044</v>
      </c>
      <c r="D5133" s="155" t="s">
        <v>774</v>
      </c>
      <c r="E5133" s="34">
        <f>ROUND(0.089*1.3,4)</f>
        <v>0.1157</v>
      </c>
      <c r="F5133" s="28">
        <v>27.454999999999998</v>
      </c>
      <c r="G5133" s="49">
        <f>IF(ISNUMBER(F5133),E5133*F5133,"")</f>
        <v>3.1765434999999997</v>
      </c>
      <c r="H5133" s="35">
        <f>SUM(G5133:G5137)</f>
        <v>87.594968499999993</v>
      </c>
      <c r="I5133" s="36"/>
      <c r="J5133" s="125">
        <v>0</v>
      </c>
    </row>
    <row r="5134" spans="1:10" ht="26.25" hidden="1" thickBot="1" x14ac:dyDescent="0.3">
      <c r="A5134" s="249"/>
      <c r="B5134" s="238"/>
      <c r="C5134" s="155" t="s">
        <v>11263</v>
      </c>
      <c r="D5134" s="33" t="s">
        <v>205</v>
      </c>
      <c r="E5134" s="34">
        <v>1</v>
      </c>
      <c r="F5134" s="28" t="s">
        <v>418</v>
      </c>
      <c r="G5134" s="49" t="str">
        <f>IF(ISNUMBER(F5134),E5134*F5134,"")</f>
        <v/>
      </c>
      <c r="H5134" s="65"/>
      <c r="I5134" s="66"/>
      <c r="J5134" s="125">
        <v>0</v>
      </c>
    </row>
    <row r="5135" spans="1:10" ht="26.25" hidden="1" thickBot="1" x14ac:dyDescent="0.3">
      <c r="A5135" s="249"/>
      <c r="B5135" s="238"/>
      <c r="C5135" s="155" t="s">
        <v>824</v>
      </c>
      <c r="D5135" s="155" t="s">
        <v>587</v>
      </c>
      <c r="E5135" s="34">
        <f>ROUND(0.93*1.3,4)</f>
        <v>1.2090000000000001</v>
      </c>
      <c r="F5135" s="28">
        <v>18.6295</v>
      </c>
      <c r="G5135" s="49">
        <f>IF(ISNUMBER(F5135),E5135*F5135,"")</f>
        <v>22.523065500000001</v>
      </c>
      <c r="H5135" s="65"/>
      <c r="I5135" s="66"/>
      <c r="J5135" s="125">
        <v>0</v>
      </c>
    </row>
    <row r="5136" spans="1:10" ht="26.25" hidden="1" thickBot="1" x14ac:dyDescent="0.3">
      <c r="A5136" s="249"/>
      <c r="B5136" s="238"/>
      <c r="C5136" s="155" t="s">
        <v>825</v>
      </c>
      <c r="D5136" s="155" t="s">
        <v>587</v>
      </c>
      <c r="E5136" s="34">
        <f>ROUND(0.93*1.3,4)</f>
        <v>1.2090000000000001</v>
      </c>
      <c r="F5136" s="28">
        <v>24.9375</v>
      </c>
      <c r="G5136" s="49">
        <f>IF(ISNUMBER(F5136),E5136*F5136,"")</f>
        <v>30.149437500000001</v>
      </c>
      <c r="H5136" s="65"/>
      <c r="I5136" s="66"/>
      <c r="J5136" s="125">
        <v>0</v>
      </c>
    </row>
    <row r="5137" spans="1:10" ht="15.75" hidden="1" thickBot="1" x14ac:dyDescent="0.3">
      <c r="A5137" s="249"/>
      <c r="B5137" s="238"/>
      <c r="C5137" s="155" t="s">
        <v>9852</v>
      </c>
      <c r="D5137" s="155" t="s">
        <v>587</v>
      </c>
      <c r="E5137" s="34">
        <f>ROUND(0.93*1.3,4)</f>
        <v>1.2090000000000001</v>
      </c>
      <c r="F5137" s="49">
        <v>26.257999999999999</v>
      </c>
      <c r="G5137" s="49">
        <f>IF(ISNUMBER(F5137),E5137*F5137,"")</f>
        <v>31.745922</v>
      </c>
      <c r="H5137" s="65"/>
      <c r="I5137" s="66"/>
      <c r="J5137" s="125">
        <v>0</v>
      </c>
    </row>
    <row r="5138" spans="1:10" ht="15.75" hidden="1" thickBot="1" x14ac:dyDescent="0.3">
      <c r="A5138" s="249"/>
      <c r="B5138" s="238"/>
      <c r="C5138" s="155"/>
      <c r="D5138" s="42"/>
      <c r="E5138" s="34"/>
      <c r="F5138" s="49" t="s">
        <v>418</v>
      </c>
      <c r="G5138" s="49" t="str">
        <f>IF(ISNUMBER(F5138),E5138*F5138,"")</f>
        <v/>
      </c>
      <c r="H5138" s="65"/>
      <c r="I5138" s="66"/>
      <c r="J5138" s="125">
        <v>0</v>
      </c>
    </row>
    <row r="5139" spans="1:10" ht="15.75" hidden="1" thickBot="1" x14ac:dyDescent="0.3">
      <c r="A5139" s="234" t="s">
        <v>11226</v>
      </c>
      <c r="B5139" s="237" t="s">
        <v>11227</v>
      </c>
      <c r="C5139" s="160"/>
      <c r="D5139" s="23" t="s">
        <v>16</v>
      </c>
      <c r="E5139" s="24"/>
      <c r="F5139" s="44" t="s">
        <v>418</v>
      </c>
      <c r="G5139" s="25" t="str">
        <f>IF(ISNUMBER(F5139),E5139*F5139,"")</f>
        <v/>
      </c>
      <c r="H5139" s="26"/>
      <c r="I5139" s="27"/>
      <c r="J5139" s="125">
        <v>0</v>
      </c>
    </row>
    <row r="5140" spans="1:10" ht="15.75" hidden="1" thickBot="1" x14ac:dyDescent="0.3">
      <c r="A5140" s="249"/>
      <c r="B5140" s="238"/>
      <c r="C5140" s="151"/>
      <c r="D5140" s="29"/>
      <c r="E5140" s="30"/>
      <c r="F5140" s="49" t="s">
        <v>418</v>
      </c>
      <c r="G5140" s="49" t="str">
        <f>IF(ISNUMBER(F5140),E5140*F5140,"")</f>
        <v/>
      </c>
      <c r="H5140" s="65"/>
      <c r="I5140" s="66"/>
      <c r="J5140" s="125">
        <v>0</v>
      </c>
    </row>
    <row r="5141" spans="1:10" ht="15.75" hidden="1" thickBot="1" x14ac:dyDescent="0.3">
      <c r="A5141" s="249"/>
      <c r="B5141" s="238"/>
      <c r="C5141" s="155" t="s">
        <v>1044</v>
      </c>
      <c r="D5141" s="155" t="s">
        <v>774</v>
      </c>
      <c r="E5141" s="34">
        <f>ROUND(0.089*1.5,4)</f>
        <v>0.13350000000000001</v>
      </c>
      <c r="F5141" s="28">
        <v>27.454999999999998</v>
      </c>
      <c r="G5141" s="49">
        <f>IF(ISNUMBER(F5141),E5141*F5141,"")</f>
        <v>3.6652425000000002</v>
      </c>
      <c r="H5141" s="35">
        <f>SUM(G5141:G5145)</f>
        <v>101.07111750000001</v>
      </c>
      <c r="I5141" s="36"/>
      <c r="J5141" s="125">
        <v>0</v>
      </c>
    </row>
    <row r="5142" spans="1:10" ht="26.25" hidden="1" thickBot="1" x14ac:dyDescent="0.3">
      <c r="A5142" s="249"/>
      <c r="B5142" s="238"/>
      <c r="C5142" s="155" t="s">
        <v>11264</v>
      </c>
      <c r="D5142" s="33" t="s">
        <v>205</v>
      </c>
      <c r="E5142" s="34">
        <v>1</v>
      </c>
      <c r="F5142" s="28" t="s">
        <v>418</v>
      </c>
      <c r="G5142" s="49" t="str">
        <f>IF(ISNUMBER(F5142),E5142*F5142,"")</f>
        <v/>
      </c>
      <c r="H5142" s="65"/>
      <c r="I5142" s="66"/>
      <c r="J5142" s="125">
        <v>0</v>
      </c>
    </row>
    <row r="5143" spans="1:10" ht="26.25" hidden="1" thickBot="1" x14ac:dyDescent="0.3">
      <c r="A5143" s="249"/>
      <c r="B5143" s="238"/>
      <c r="C5143" s="155" t="s">
        <v>824</v>
      </c>
      <c r="D5143" s="155" t="s">
        <v>587</v>
      </c>
      <c r="E5143" s="34">
        <f>ROUND(0.93*1.5,4)</f>
        <v>1.395</v>
      </c>
      <c r="F5143" s="28">
        <v>18.6295</v>
      </c>
      <c r="G5143" s="49">
        <f>IF(ISNUMBER(F5143),E5143*F5143,"")</f>
        <v>25.988152500000002</v>
      </c>
      <c r="H5143" s="65"/>
      <c r="I5143" s="66"/>
      <c r="J5143" s="125">
        <v>0</v>
      </c>
    </row>
    <row r="5144" spans="1:10" ht="26.25" hidden="1" thickBot="1" x14ac:dyDescent="0.3">
      <c r="A5144" s="249"/>
      <c r="B5144" s="238"/>
      <c r="C5144" s="155" t="s">
        <v>825</v>
      </c>
      <c r="D5144" s="155" t="s">
        <v>587</v>
      </c>
      <c r="E5144" s="34">
        <f>ROUND(0.93*1.5,4)</f>
        <v>1.395</v>
      </c>
      <c r="F5144" s="28">
        <v>24.9375</v>
      </c>
      <c r="G5144" s="49">
        <f>IF(ISNUMBER(F5144),E5144*F5144,"")</f>
        <v>34.787812500000001</v>
      </c>
      <c r="H5144" s="65"/>
      <c r="I5144" s="66"/>
      <c r="J5144" s="125">
        <v>0</v>
      </c>
    </row>
    <row r="5145" spans="1:10" ht="15.75" hidden="1" thickBot="1" x14ac:dyDescent="0.3">
      <c r="A5145" s="249"/>
      <c r="B5145" s="238"/>
      <c r="C5145" s="155" t="s">
        <v>9852</v>
      </c>
      <c r="D5145" s="155" t="s">
        <v>587</v>
      </c>
      <c r="E5145" s="34">
        <f>ROUND(0.93*1.5,4)</f>
        <v>1.395</v>
      </c>
      <c r="F5145" s="49">
        <v>26.257999999999999</v>
      </c>
      <c r="G5145" s="49">
        <f>IF(ISNUMBER(F5145),E5145*F5145,"")</f>
        <v>36.629910000000002</v>
      </c>
      <c r="H5145" s="65"/>
      <c r="I5145" s="66"/>
      <c r="J5145" s="125">
        <v>0</v>
      </c>
    </row>
    <row r="5146" spans="1:10" ht="15.75" hidden="1" thickBot="1" x14ac:dyDescent="0.3">
      <c r="A5146" s="249"/>
      <c r="B5146" s="238"/>
      <c r="C5146" s="155"/>
      <c r="D5146" s="42"/>
      <c r="E5146" s="34"/>
      <c r="F5146" s="49" t="s">
        <v>418</v>
      </c>
      <c r="G5146" s="49" t="str">
        <f>IF(ISNUMBER(F5146),E5146*F5146,"")</f>
        <v/>
      </c>
      <c r="H5146" s="65"/>
      <c r="I5146" s="66"/>
      <c r="J5146" s="125">
        <v>0</v>
      </c>
    </row>
    <row r="5147" spans="1:10" ht="15.75" hidden="1" thickBot="1" x14ac:dyDescent="0.3">
      <c r="A5147" s="234" t="s">
        <v>11228</v>
      </c>
      <c r="B5147" s="237" t="s">
        <v>11229</v>
      </c>
      <c r="C5147" s="160"/>
      <c r="D5147" s="23" t="s">
        <v>16</v>
      </c>
      <c r="E5147" s="24"/>
      <c r="F5147" s="44" t="s">
        <v>418</v>
      </c>
      <c r="G5147" s="25" t="str">
        <f>IF(ISNUMBER(F5147),E5147*F5147,"")</f>
        <v/>
      </c>
      <c r="H5147" s="26"/>
      <c r="I5147" s="27"/>
      <c r="J5147" s="125">
        <v>0</v>
      </c>
    </row>
    <row r="5148" spans="1:10" ht="15.75" hidden="1" thickBot="1" x14ac:dyDescent="0.3">
      <c r="A5148" s="249"/>
      <c r="B5148" s="238"/>
      <c r="C5148" s="151"/>
      <c r="D5148" s="29"/>
      <c r="E5148" s="30"/>
      <c r="F5148" s="49" t="s">
        <v>418</v>
      </c>
      <c r="G5148" s="49" t="str">
        <f>IF(ISNUMBER(F5148),E5148*F5148,"")</f>
        <v/>
      </c>
      <c r="H5148" s="65"/>
      <c r="I5148" s="66"/>
      <c r="J5148" s="125">
        <v>0</v>
      </c>
    </row>
    <row r="5149" spans="1:10" ht="26.25" hidden="1" thickBot="1" x14ac:dyDescent="0.3">
      <c r="A5149" s="249"/>
      <c r="B5149" s="238"/>
      <c r="C5149" s="155" t="s">
        <v>11265</v>
      </c>
      <c r="D5149" s="33" t="s">
        <v>205</v>
      </c>
      <c r="E5149" s="34">
        <v>1</v>
      </c>
      <c r="F5149" s="28" t="s">
        <v>418</v>
      </c>
      <c r="G5149" s="49" t="str">
        <f>IF(ISNUMBER(F5149),E5149*F5149,"")</f>
        <v/>
      </c>
      <c r="H5149" s="35">
        <f>SUM(G5149:G5151)</f>
        <v>17.078264000000001</v>
      </c>
      <c r="I5149" s="36"/>
      <c r="J5149" s="125">
        <v>0</v>
      </c>
    </row>
    <row r="5150" spans="1:10" ht="26.25" hidden="1" thickBot="1" x14ac:dyDescent="0.3">
      <c r="A5150" s="249"/>
      <c r="B5150" s="238"/>
      <c r="C5150" s="155" t="s">
        <v>824</v>
      </c>
      <c r="D5150" s="155" t="s">
        <v>587</v>
      </c>
      <c r="E5150" s="34">
        <v>0.39200000000000002</v>
      </c>
      <c r="F5150" s="28">
        <v>18.6295</v>
      </c>
      <c r="G5150" s="49">
        <f>IF(ISNUMBER(F5150),E5150*F5150,"")</f>
        <v>7.3027640000000007</v>
      </c>
      <c r="H5150" s="65"/>
      <c r="I5150" s="66"/>
      <c r="J5150" s="125">
        <v>0</v>
      </c>
    </row>
    <row r="5151" spans="1:10" ht="26.25" hidden="1" thickBot="1" x14ac:dyDescent="0.3">
      <c r="A5151" s="249"/>
      <c r="B5151" s="238"/>
      <c r="C5151" s="155" t="s">
        <v>825</v>
      </c>
      <c r="D5151" s="155" t="s">
        <v>587</v>
      </c>
      <c r="E5151" s="34">
        <v>0.39200000000000002</v>
      </c>
      <c r="F5151" s="28">
        <v>24.9375</v>
      </c>
      <c r="G5151" s="49">
        <f>IF(ISNUMBER(F5151),E5151*F5151,"")</f>
        <v>9.775500000000001</v>
      </c>
      <c r="H5151" s="65"/>
      <c r="I5151" s="66"/>
      <c r="J5151" s="125">
        <v>0</v>
      </c>
    </row>
    <row r="5152" spans="1:10" ht="15.75" hidden="1" thickBot="1" x14ac:dyDescent="0.3">
      <c r="A5152" s="249"/>
      <c r="B5152" s="238"/>
      <c r="C5152" s="155"/>
      <c r="D5152" s="42"/>
      <c r="E5152" s="34"/>
      <c r="F5152" s="49" t="s">
        <v>418</v>
      </c>
      <c r="G5152" s="49" t="str">
        <f>IF(ISNUMBER(F5152),E5152*F5152,"")</f>
        <v/>
      </c>
      <c r="H5152" s="65"/>
      <c r="I5152" s="66"/>
      <c r="J5152" s="125">
        <v>0</v>
      </c>
    </row>
    <row r="5153" spans="1:10" ht="15.75" hidden="1" thickBot="1" x14ac:dyDescent="0.3">
      <c r="A5153" s="234" t="s">
        <v>11230</v>
      </c>
      <c r="B5153" s="237" t="s">
        <v>11231</v>
      </c>
      <c r="C5153" s="160"/>
      <c r="D5153" s="23" t="s">
        <v>16</v>
      </c>
      <c r="E5153" s="24"/>
      <c r="F5153" s="44" t="s">
        <v>418</v>
      </c>
      <c r="G5153" s="25" t="str">
        <f>IF(ISNUMBER(F5153),E5153*F5153,"")</f>
        <v/>
      </c>
      <c r="H5153" s="26"/>
      <c r="I5153" s="27"/>
      <c r="J5153" s="125">
        <v>0</v>
      </c>
    </row>
    <row r="5154" spans="1:10" ht="15.75" hidden="1" thickBot="1" x14ac:dyDescent="0.3">
      <c r="A5154" s="249"/>
      <c r="B5154" s="238"/>
      <c r="C5154" s="151"/>
      <c r="D5154" s="29"/>
      <c r="E5154" s="30"/>
      <c r="F5154" s="49" t="s">
        <v>418</v>
      </c>
      <c r="G5154" s="49" t="str">
        <f>IF(ISNUMBER(F5154),E5154*F5154,"")</f>
        <v/>
      </c>
      <c r="H5154" s="65"/>
      <c r="I5154" s="66"/>
      <c r="J5154" s="125">
        <v>0</v>
      </c>
    </row>
    <row r="5155" spans="1:10" ht="15.75" hidden="1" thickBot="1" x14ac:dyDescent="0.3">
      <c r="A5155" s="249"/>
      <c r="B5155" s="238"/>
      <c r="C5155" s="155" t="s">
        <v>1044</v>
      </c>
      <c r="D5155" s="155" t="s">
        <v>774</v>
      </c>
      <c r="E5155" s="34">
        <f>ROUND(0.089*1.3,4)</f>
        <v>0.1157</v>
      </c>
      <c r="F5155" s="28">
        <v>27.454999999999998</v>
      </c>
      <c r="G5155" s="49">
        <f>IF(ISNUMBER(F5155),E5155*F5155,"")</f>
        <v>3.1765434999999997</v>
      </c>
      <c r="H5155" s="35">
        <f>SUM(G5155:G5159)</f>
        <v>87.594968499999993</v>
      </c>
      <c r="I5155" s="36"/>
      <c r="J5155" s="125">
        <v>0</v>
      </c>
    </row>
    <row r="5156" spans="1:10" ht="15.75" hidden="1" thickBot="1" x14ac:dyDescent="0.3">
      <c r="A5156" s="249"/>
      <c r="B5156" s="238"/>
      <c r="C5156" s="155" t="s">
        <v>11266</v>
      </c>
      <c r="D5156" s="33" t="s">
        <v>205</v>
      </c>
      <c r="E5156" s="34">
        <v>1</v>
      </c>
      <c r="F5156" s="28" t="s">
        <v>418</v>
      </c>
      <c r="G5156" s="49" t="str">
        <f>IF(ISNUMBER(F5156),E5156*F5156,"")</f>
        <v/>
      </c>
      <c r="H5156" s="65"/>
      <c r="I5156" s="66"/>
      <c r="J5156" s="125">
        <v>0</v>
      </c>
    </row>
    <row r="5157" spans="1:10" ht="26.25" hidden="1" thickBot="1" x14ac:dyDescent="0.3">
      <c r="A5157" s="249"/>
      <c r="B5157" s="238"/>
      <c r="C5157" s="155" t="s">
        <v>824</v>
      </c>
      <c r="D5157" s="155" t="s">
        <v>587</v>
      </c>
      <c r="E5157" s="34">
        <f>ROUND(0.93*1.3,4)</f>
        <v>1.2090000000000001</v>
      </c>
      <c r="F5157" s="28">
        <v>18.6295</v>
      </c>
      <c r="G5157" s="49">
        <f>IF(ISNUMBER(F5157),E5157*F5157,"")</f>
        <v>22.523065500000001</v>
      </c>
      <c r="H5157" s="65"/>
      <c r="I5157" s="66"/>
      <c r="J5157" s="125">
        <v>0</v>
      </c>
    </row>
    <row r="5158" spans="1:10" ht="26.25" hidden="1" thickBot="1" x14ac:dyDescent="0.3">
      <c r="A5158" s="249"/>
      <c r="B5158" s="238"/>
      <c r="C5158" s="155" t="s">
        <v>825</v>
      </c>
      <c r="D5158" s="155" t="s">
        <v>587</v>
      </c>
      <c r="E5158" s="34">
        <f>ROUND(0.93*1.3,4)</f>
        <v>1.2090000000000001</v>
      </c>
      <c r="F5158" s="28">
        <v>24.9375</v>
      </c>
      <c r="G5158" s="49">
        <f>IF(ISNUMBER(F5158),E5158*F5158,"")</f>
        <v>30.149437500000001</v>
      </c>
      <c r="H5158" s="65"/>
      <c r="I5158" s="66"/>
      <c r="J5158" s="125">
        <v>0</v>
      </c>
    </row>
    <row r="5159" spans="1:10" ht="15.75" hidden="1" thickBot="1" x14ac:dyDescent="0.3">
      <c r="A5159" s="249"/>
      <c r="B5159" s="238"/>
      <c r="C5159" s="155" t="s">
        <v>9852</v>
      </c>
      <c r="D5159" s="155" t="s">
        <v>587</v>
      </c>
      <c r="E5159" s="34">
        <f>ROUND(0.93*1.3,4)</f>
        <v>1.2090000000000001</v>
      </c>
      <c r="F5159" s="49">
        <v>26.257999999999999</v>
      </c>
      <c r="G5159" s="49">
        <f>IF(ISNUMBER(F5159),E5159*F5159,"")</f>
        <v>31.745922</v>
      </c>
      <c r="H5159" s="65"/>
      <c r="I5159" s="66"/>
      <c r="J5159" s="125">
        <v>0</v>
      </c>
    </row>
    <row r="5160" spans="1:10" ht="15.75" hidden="1" thickBot="1" x14ac:dyDescent="0.3">
      <c r="A5160" s="249"/>
      <c r="B5160" s="238"/>
      <c r="C5160" s="155"/>
      <c r="D5160" s="42"/>
      <c r="E5160" s="34"/>
      <c r="F5160" s="49" t="s">
        <v>418</v>
      </c>
      <c r="G5160" s="49" t="str">
        <f>IF(ISNUMBER(F5160),E5160*F5160,"")</f>
        <v/>
      </c>
      <c r="H5160" s="65"/>
      <c r="I5160" s="66"/>
      <c r="J5160" s="125">
        <v>0</v>
      </c>
    </row>
    <row r="5161" spans="1:10" ht="15.75" hidden="1" thickBot="1" x14ac:dyDescent="0.3">
      <c r="A5161" s="234" t="s">
        <v>11232</v>
      </c>
      <c r="B5161" s="237" t="s">
        <v>11233</v>
      </c>
      <c r="C5161" s="160"/>
      <c r="D5161" s="23" t="s">
        <v>69</v>
      </c>
      <c r="E5161" s="24"/>
      <c r="F5161" s="44" t="s">
        <v>418</v>
      </c>
      <c r="G5161" s="25" t="str">
        <f>IF(ISNUMBER(F5161),E5161*F5161,"")</f>
        <v/>
      </c>
      <c r="H5161" s="26"/>
      <c r="I5161" s="27"/>
      <c r="J5161" s="125">
        <v>0</v>
      </c>
    </row>
    <row r="5162" spans="1:10" ht="15.75" hidden="1" thickBot="1" x14ac:dyDescent="0.3">
      <c r="A5162" s="249"/>
      <c r="B5162" s="238"/>
      <c r="C5162" s="151"/>
      <c r="D5162" s="29"/>
      <c r="E5162" s="30"/>
      <c r="F5162" s="49" t="s">
        <v>418</v>
      </c>
      <c r="G5162" s="49" t="str">
        <f>IF(ISNUMBER(F5162),E5162*F5162,"")</f>
        <v/>
      </c>
      <c r="H5162" s="65"/>
      <c r="I5162" s="66"/>
      <c r="J5162" s="125">
        <v>0</v>
      </c>
    </row>
    <row r="5163" spans="1:10" ht="39" hidden="1" thickBot="1" x14ac:dyDescent="0.3">
      <c r="A5163" s="249"/>
      <c r="B5163" s="238"/>
      <c r="C5163" s="155" t="s">
        <v>11267</v>
      </c>
      <c r="D5163" s="33" t="s">
        <v>69</v>
      </c>
      <c r="E5163" s="34">
        <v>1.0210999999999999</v>
      </c>
      <c r="F5163" s="28" t="s">
        <v>418</v>
      </c>
      <c r="G5163" s="49" t="str">
        <f>IF(ISNUMBER(F5163),E5163*F5163,"")</f>
        <v/>
      </c>
      <c r="H5163" s="35">
        <f>SUM(G5163:G5165)</f>
        <v>4.1824320000000004</v>
      </c>
      <c r="I5163" s="36"/>
      <c r="J5163" s="125">
        <v>0</v>
      </c>
    </row>
    <row r="5164" spans="1:10" ht="26.25" hidden="1" thickBot="1" x14ac:dyDescent="0.3">
      <c r="A5164" s="249"/>
      <c r="B5164" s="238"/>
      <c r="C5164" s="155" t="s">
        <v>824</v>
      </c>
      <c r="D5164" s="155" t="s">
        <v>587</v>
      </c>
      <c r="E5164" s="34">
        <f>5*0.064*0.3</f>
        <v>9.6000000000000002E-2</v>
      </c>
      <c r="F5164" s="28">
        <v>18.6295</v>
      </c>
      <c r="G5164" s="49">
        <f>IF(ISNUMBER(F5164),E5164*F5164,"")</f>
        <v>1.788432</v>
      </c>
      <c r="H5164" s="65"/>
      <c r="I5164" s="66"/>
      <c r="J5164" s="125">
        <v>0</v>
      </c>
    </row>
    <row r="5165" spans="1:10" ht="26.25" hidden="1" thickBot="1" x14ac:dyDescent="0.3">
      <c r="A5165" s="249"/>
      <c r="B5165" s="238"/>
      <c r="C5165" s="155" t="s">
        <v>825</v>
      </c>
      <c r="D5165" s="155" t="s">
        <v>587</v>
      </c>
      <c r="E5165" s="34">
        <f>5*0.064*0.3</f>
        <v>9.6000000000000002E-2</v>
      </c>
      <c r="F5165" s="28">
        <v>24.9375</v>
      </c>
      <c r="G5165" s="49">
        <f>IF(ISNUMBER(F5165),E5165*F5165,"")</f>
        <v>2.3940000000000001</v>
      </c>
      <c r="H5165" s="65"/>
      <c r="I5165" s="66"/>
      <c r="J5165" s="125">
        <v>0</v>
      </c>
    </row>
    <row r="5166" spans="1:10" ht="15.75" hidden="1" thickBot="1" x14ac:dyDescent="0.3">
      <c r="A5166" s="249"/>
      <c r="B5166" s="238"/>
      <c r="C5166" s="155"/>
      <c r="D5166" s="42"/>
      <c r="E5166" s="34"/>
      <c r="F5166" s="49" t="s">
        <v>418</v>
      </c>
      <c r="G5166" s="49" t="str">
        <f>IF(ISNUMBER(F5166),E5166*F5166,"")</f>
        <v/>
      </c>
      <c r="H5166" s="65"/>
      <c r="I5166" s="66"/>
      <c r="J5166" s="125">
        <v>0</v>
      </c>
    </row>
    <row r="5167" spans="1:10" ht="15.75" hidden="1" thickBot="1" x14ac:dyDescent="0.3">
      <c r="A5167" s="234" t="s">
        <v>11234</v>
      </c>
      <c r="B5167" s="237" t="s">
        <v>11235</v>
      </c>
      <c r="C5167" s="160"/>
      <c r="D5167" s="23" t="s">
        <v>16</v>
      </c>
      <c r="E5167" s="24"/>
      <c r="F5167" s="44" t="s">
        <v>418</v>
      </c>
      <c r="G5167" s="25" t="str">
        <f>IF(ISNUMBER(F5167),E5167*F5167,"")</f>
        <v/>
      </c>
      <c r="H5167" s="26"/>
      <c r="I5167" s="27"/>
      <c r="J5167" s="125">
        <v>0</v>
      </c>
    </row>
    <row r="5168" spans="1:10" ht="15.75" hidden="1" thickBot="1" x14ac:dyDescent="0.3">
      <c r="A5168" s="249"/>
      <c r="B5168" s="238"/>
      <c r="C5168" s="151"/>
      <c r="D5168" s="29"/>
      <c r="E5168" s="30"/>
      <c r="F5168" s="49" t="s">
        <v>418</v>
      </c>
      <c r="G5168" s="49" t="str">
        <f>IF(ISNUMBER(F5168),E5168*F5168,"")</f>
        <v/>
      </c>
      <c r="H5168" s="65"/>
      <c r="I5168" s="66"/>
      <c r="J5168" s="125">
        <v>0</v>
      </c>
    </row>
    <row r="5169" spans="1:10" ht="15.75" hidden="1" thickBot="1" x14ac:dyDescent="0.3">
      <c r="A5169" s="249"/>
      <c r="B5169" s="238"/>
      <c r="C5169" s="155" t="s">
        <v>1044</v>
      </c>
      <c r="D5169" s="155" t="s">
        <v>774</v>
      </c>
      <c r="E5169" s="34">
        <v>8.9999999999999993E-3</v>
      </c>
      <c r="F5169" s="28">
        <v>27.454999999999998</v>
      </c>
      <c r="G5169" s="49">
        <f>IF(ISNUMBER(F5169),E5169*F5169,"")</f>
        <v>0.24709499999999995</v>
      </c>
      <c r="H5169" s="35">
        <f>SUM(G5169:G5173)</f>
        <v>8.2071450000000006</v>
      </c>
      <c r="I5169" s="36"/>
      <c r="J5169" s="125">
        <v>0</v>
      </c>
    </row>
    <row r="5170" spans="1:10" ht="26.25" hidden="1" thickBot="1" x14ac:dyDescent="0.3">
      <c r="A5170" s="249"/>
      <c r="B5170" s="238"/>
      <c r="C5170" s="155" t="s">
        <v>11268</v>
      </c>
      <c r="D5170" s="33" t="s">
        <v>205</v>
      </c>
      <c r="E5170" s="34">
        <v>1</v>
      </c>
      <c r="F5170" s="28" t="s">
        <v>418</v>
      </c>
      <c r="G5170" s="49" t="str">
        <f>IF(ISNUMBER(F5170),E5170*F5170,"")</f>
        <v/>
      </c>
      <c r="H5170" s="65"/>
      <c r="I5170" s="66"/>
      <c r="J5170" s="125">
        <v>0</v>
      </c>
    </row>
    <row r="5171" spans="1:10" ht="26.25" hidden="1" thickBot="1" x14ac:dyDescent="0.3">
      <c r="A5171" s="249"/>
      <c r="B5171" s="238"/>
      <c r="C5171" s="155" t="s">
        <v>824</v>
      </c>
      <c r="D5171" s="155" t="s">
        <v>587</v>
      </c>
      <c r="E5171" s="34">
        <v>0.114</v>
      </c>
      <c r="F5171" s="28">
        <v>18.6295</v>
      </c>
      <c r="G5171" s="49">
        <f>IF(ISNUMBER(F5171),E5171*F5171,"")</f>
        <v>2.1237630000000003</v>
      </c>
      <c r="H5171" s="65"/>
      <c r="I5171" s="66"/>
      <c r="J5171" s="125">
        <v>0</v>
      </c>
    </row>
    <row r="5172" spans="1:10" ht="26.25" hidden="1" thickBot="1" x14ac:dyDescent="0.3">
      <c r="A5172" s="249"/>
      <c r="B5172" s="238"/>
      <c r="C5172" s="155" t="s">
        <v>825</v>
      </c>
      <c r="D5172" s="155" t="s">
        <v>587</v>
      </c>
      <c r="E5172" s="34">
        <v>0.114</v>
      </c>
      <c r="F5172" s="28">
        <v>24.9375</v>
      </c>
      <c r="G5172" s="49">
        <f>IF(ISNUMBER(F5172),E5172*F5172,"")</f>
        <v>2.8428750000000003</v>
      </c>
      <c r="H5172" s="65"/>
      <c r="I5172" s="66"/>
      <c r="J5172" s="125">
        <v>0</v>
      </c>
    </row>
    <row r="5173" spans="1:10" ht="15.75" hidden="1" thickBot="1" x14ac:dyDescent="0.3">
      <c r="A5173" s="249"/>
      <c r="B5173" s="238"/>
      <c r="C5173" s="155" t="s">
        <v>9852</v>
      </c>
      <c r="D5173" s="155" t="s">
        <v>587</v>
      </c>
      <c r="E5173" s="34">
        <v>0.114</v>
      </c>
      <c r="F5173" s="49">
        <v>26.257999999999999</v>
      </c>
      <c r="G5173" s="49">
        <f>IF(ISNUMBER(F5173),E5173*F5173,"")</f>
        <v>2.9934120000000002</v>
      </c>
      <c r="H5173" s="65"/>
      <c r="I5173" s="66"/>
      <c r="J5173" s="125">
        <v>0</v>
      </c>
    </row>
    <row r="5174" spans="1:10" ht="15.75" hidden="1" thickBot="1" x14ac:dyDescent="0.3">
      <c r="A5174" s="249"/>
      <c r="B5174" s="238"/>
      <c r="C5174" s="155"/>
      <c r="D5174" s="42"/>
      <c r="E5174" s="34"/>
      <c r="F5174" s="49" t="s">
        <v>418</v>
      </c>
      <c r="G5174" s="49" t="str">
        <f>IF(ISNUMBER(F5174),E5174*F5174,"")</f>
        <v/>
      </c>
      <c r="H5174" s="65"/>
      <c r="I5174" s="66"/>
      <c r="J5174" s="125">
        <v>0</v>
      </c>
    </row>
    <row r="5175" spans="1:10" ht="15.75" hidden="1" thickBot="1" x14ac:dyDescent="0.3">
      <c r="A5175" s="234" t="s">
        <v>11236</v>
      </c>
      <c r="B5175" s="237" t="s">
        <v>11237</v>
      </c>
      <c r="C5175" s="160"/>
      <c r="D5175" s="23" t="s">
        <v>16</v>
      </c>
      <c r="E5175" s="24"/>
      <c r="F5175" s="44" t="s">
        <v>418</v>
      </c>
      <c r="G5175" s="25" t="str">
        <f>IF(ISNUMBER(F5175),E5175*F5175,"")</f>
        <v/>
      </c>
      <c r="H5175" s="26"/>
      <c r="I5175" s="27"/>
      <c r="J5175" s="125">
        <v>0</v>
      </c>
    </row>
    <row r="5176" spans="1:10" ht="15.75" hidden="1" thickBot="1" x14ac:dyDescent="0.3">
      <c r="A5176" s="249"/>
      <c r="B5176" s="238"/>
      <c r="C5176" s="151"/>
      <c r="D5176" s="29"/>
      <c r="E5176" s="30"/>
      <c r="F5176" s="49" t="s">
        <v>418</v>
      </c>
      <c r="G5176" s="49" t="str">
        <f>IF(ISNUMBER(F5176),E5176*F5176,"")</f>
        <v/>
      </c>
      <c r="H5176" s="65"/>
      <c r="I5176" s="66"/>
      <c r="J5176" s="125">
        <v>0</v>
      </c>
    </row>
    <row r="5177" spans="1:10" ht="15.75" hidden="1" thickBot="1" x14ac:dyDescent="0.3">
      <c r="A5177" s="249"/>
      <c r="B5177" s="238"/>
      <c r="C5177" s="155" t="s">
        <v>1044</v>
      </c>
      <c r="D5177" s="155" t="s">
        <v>774</v>
      </c>
      <c r="E5177" s="34">
        <f>ROUND(0.089*1.3,4)</f>
        <v>0.1157</v>
      </c>
      <c r="F5177" s="28">
        <v>27.454999999999998</v>
      </c>
      <c r="G5177" s="49">
        <f>IF(ISNUMBER(F5177),E5177*F5177,"")</f>
        <v>3.1765434999999997</v>
      </c>
      <c r="H5177" s="35">
        <f>SUM(G5177:G5181)</f>
        <v>59.455493500000003</v>
      </c>
      <c r="I5177" s="36"/>
      <c r="J5177" s="125">
        <v>0</v>
      </c>
    </row>
    <row r="5178" spans="1:10" ht="26.25" hidden="1" thickBot="1" x14ac:dyDescent="0.3">
      <c r="A5178" s="249"/>
      <c r="B5178" s="238"/>
      <c r="C5178" s="155" t="s">
        <v>11269</v>
      </c>
      <c r="D5178" s="33" t="s">
        <v>205</v>
      </c>
      <c r="E5178" s="34">
        <v>1</v>
      </c>
      <c r="F5178" s="28" t="s">
        <v>418</v>
      </c>
      <c r="G5178" s="49" t="str">
        <f>IF(ISNUMBER(F5178),E5178*F5178,"")</f>
        <v/>
      </c>
      <c r="H5178" s="65"/>
      <c r="I5178" s="66"/>
      <c r="J5178" s="125">
        <v>0</v>
      </c>
    </row>
    <row r="5179" spans="1:10" ht="26.25" hidden="1" thickBot="1" x14ac:dyDescent="0.3">
      <c r="A5179" s="249"/>
      <c r="B5179" s="238"/>
      <c r="C5179" s="155" t="s">
        <v>824</v>
      </c>
      <c r="D5179" s="155" t="s">
        <v>587</v>
      </c>
      <c r="E5179" s="34">
        <f>ROUND(0.62*1.3,4)</f>
        <v>0.80600000000000005</v>
      </c>
      <c r="F5179" s="28">
        <v>18.6295</v>
      </c>
      <c r="G5179" s="49">
        <f>IF(ISNUMBER(F5179),E5179*F5179,"")</f>
        <v>15.015377000000001</v>
      </c>
      <c r="H5179" s="65"/>
      <c r="I5179" s="66"/>
      <c r="J5179" s="125">
        <v>0</v>
      </c>
    </row>
    <row r="5180" spans="1:10" ht="26.25" hidden="1" thickBot="1" x14ac:dyDescent="0.3">
      <c r="A5180" s="249"/>
      <c r="B5180" s="238"/>
      <c r="C5180" s="155" t="s">
        <v>825</v>
      </c>
      <c r="D5180" s="155" t="s">
        <v>587</v>
      </c>
      <c r="E5180" s="34">
        <f>ROUND(0.62*1.3,4)</f>
        <v>0.80600000000000005</v>
      </c>
      <c r="F5180" s="28">
        <v>24.9375</v>
      </c>
      <c r="G5180" s="49">
        <f>IF(ISNUMBER(F5180),E5180*F5180,"")</f>
        <v>20.099625</v>
      </c>
      <c r="H5180" s="65"/>
      <c r="I5180" s="66"/>
      <c r="J5180" s="125">
        <v>0</v>
      </c>
    </row>
    <row r="5181" spans="1:10" ht="15.75" hidden="1" thickBot="1" x14ac:dyDescent="0.3">
      <c r="A5181" s="249"/>
      <c r="B5181" s="238"/>
      <c r="C5181" s="155" t="s">
        <v>9852</v>
      </c>
      <c r="D5181" s="155" t="s">
        <v>587</v>
      </c>
      <c r="E5181" s="34">
        <f>ROUND(0.62*1.3,4)</f>
        <v>0.80600000000000005</v>
      </c>
      <c r="F5181" s="49">
        <v>26.257999999999999</v>
      </c>
      <c r="G5181" s="49">
        <f>IF(ISNUMBER(F5181),E5181*F5181,"")</f>
        <v>21.163948000000001</v>
      </c>
      <c r="H5181" s="65"/>
      <c r="I5181" s="66"/>
      <c r="J5181" s="125">
        <v>0</v>
      </c>
    </row>
    <row r="5182" spans="1:10" ht="15.75" hidden="1" thickBot="1" x14ac:dyDescent="0.3">
      <c r="A5182" s="249"/>
      <c r="B5182" s="238"/>
      <c r="C5182" s="155"/>
      <c r="D5182" s="42"/>
      <c r="E5182" s="34"/>
      <c r="F5182" s="49" t="s">
        <v>418</v>
      </c>
      <c r="G5182" s="49" t="str">
        <f>IF(ISNUMBER(F5182),E5182*F5182,"")</f>
        <v/>
      </c>
      <c r="H5182" s="65"/>
      <c r="I5182" s="66"/>
      <c r="J5182" s="125">
        <v>0</v>
      </c>
    </row>
    <row r="5183" spans="1:10" ht="15.75" hidden="1" thickBot="1" x14ac:dyDescent="0.3">
      <c r="A5183" s="234" t="s">
        <v>11238</v>
      </c>
      <c r="B5183" s="237" t="s">
        <v>11239</v>
      </c>
      <c r="C5183" s="160"/>
      <c r="D5183" s="23" t="s">
        <v>16</v>
      </c>
      <c r="E5183" s="24"/>
      <c r="F5183" s="44" t="s">
        <v>418</v>
      </c>
      <c r="G5183" s="25" t="str">
        <f>IF(ISNUMBER(F5183),E5183*F5183,"")</f>
        <v/>
      </c>
      <c r="H5183" s="26"/>
      <c r="I5183" s="27"/>
      <c r="J5183" s="125">
        <v>0</v>
      </c>
    </row>
    <row r="5184" spans="1:10" ht="15.75" hidden="1" thickBot="1" x14ac:dyDescent="0.3">
      <c r="A5184" s="249"/>
      <c r="B5184" s="238"/>
      <c r="C5184" s="151"/>
      <c r="D5184" s="29"/>
      <c r="E5184" s="30"/>
      <c r="F5184" s="49" t="s">
        <v>418</v>
      </c>
      <c r="G5184" s="49" t="str">
        <f>IF(ISNUMBER(F5184),E5184*F5184,"")</f>
        <v/>
      </c>
      <c r="H5184" s="65"/>
      <c r="I5184" s="66"/>
      <c r="J5184" s="125">
        <v>0</v>
      </c>
    </row>
    <row r="5185" spans="1:10" ht="15.75" hidden="1" thickBot="1" x14ac:dyDescent="0.3">
      <c r="A5185" s="249"/>
      <c r="B5185" s="238"/>
      <c r="C5185" s="155" t="s">
        <v>1044</v>
      </c>
      <c r="D5185" s="155" t="s">
        <v>774</v>
      </c>
      <c r="E5185" s="34">
        <f>ROUND(0.133*1.3,4)</f>
        <v>0.1729</v>
      </c>
      <c r="F5185" s="28">
        <v>27.454999999999998</v>
      </c>
      <c r="G5185" s="49">
        <f>IF(ISNUMBER(F5185),E5185*F5185,"")</f>
        <v>4.7469694999999996</v>
      </c>
      <c r="H5185" s="35">
        <f>SUM(G5185:G5189)</f>
        <v>92.070114499999988</v>
      </c>
      <c r="I5185" s="36"/>
      <c r="J5185" s="125">
        <v>0</v>
      </c>
    </row>
    <row r="5186" spans="1:10" ht="15.75" hidden="1" thickBot="1" x14ac:dyDescent="0.3">
      <c r="A5186" s="249"/>
      <c r="B5186" s="238"/>
      <c r="C5186" s="155" t="s">
        <v>11270</v>
      </c>
      <c r="D5186" s="33" t="s">
        <v>205</v>
      </c>
      <c r="E5186" s="34">
        <v>1</v>
      </c>
      <c r="F5186" s="28" t="s">
        <v>418</v>
      </c>
      <c r="G5186" s="49" t="str">
        <f>IF(ISNUMBER(F5186),E5186*F5186,"")</f>
        <v/>
      </c>
      <c r="H5186" s="65"/>
      <c r="I5186" s="66"/>
      <c r="J5186" s="125">
        <v>0</v>
      </c>
    </row>
    <row r="5187" spans="1:10" ht="26.25" hidden="1" thickBot="1" x14ac:dyDescent="0.3">
      <c r="A5187" s="249"/>
      <c r="B5187" s="238"/>
      <c r="C5187" s="155" t="s">
        <v>824</v>
      </c>
      <c r="D5187" s="155" t="s">
        <v>587</v>
      </c>
      <c r="E5187" s="34">
        <f>ROUND(0.962*1.3,4)</f>
        <v>1.2505999999999999</v>
      </c>
      <c r="F5187" s="28">
        <v>18.6295</v>
      </c>
      <c r="G5187" s="49">
        <f>IF(ISNUMBER(F5187),E5187*F5187,"")</f>
        <v>23.2980527</v>
      </c>
      <c r="H5187" s="65"/>
      <c r="I5187" s="66"/>
      <c r="J5187" s="125">
        <v>0</v>
      </c>
    </row>
    <row r="5188" spans="1:10" ht="26.25" hidden="1" thickBot="1" x14ac:dyDescent="0.3">
      <c r="A5188" s="249"/>
      <c r="B5188" s="238"/>
      <c r="C5188" s="155" t="s">
        <v>825</v>
      </c>
      <c r="D5188" s="155" t="s">
        <v>587</v>
      </c>
      <c r="E5188" s="34">
        <f>ROUND(0.962*1.3,4)</f>
        <v>1.2505999999999999</v>
      </c>
      <c r="F5188" s="28">
        <v>24.9375</v>
      </c>
      <c r="G5188" s="49">
        <f>IF(ISNUMBER(F5188),E5188*F5188,"")</f>
        <v>31.186837499999999</v>
      </c>
      <c r="H5188" s="65"/>
      <c r="I5188" s="66"/>
      <c r="J5188" s="125">
        <v>0</v>
      </c>
    </row>
    <row r="5189" spans="1:10" ht="15.75" hidden="1" thickBot="1" x14ac:dyDescent="0.3">
      <c r="A5189" s="249"/>
      <c r="B5189" s="238"/>
      <c r="C5189" s="155" t="s">
        <v>9852</v>
      </c>
      <c r="D5189" s="155" t="s">
        <v>587</v>
      </c>
      <c r="E5189" s="34">
        <f>ROUND(0.962*1.3,4)</f>
        <v>1.2505999999999999</v>
      </c>
      <c r="F5189" s="49">
        <v>26.257999999999999</v>
      </c>
      <c r="G5189" s="49">
        <f>IF(ISNUMBER(F5189),E5189*F5189,"")</f>
        <v>32.838254799999994</v>
      </c>
      <c r="H5189" s="65"/>
      <c r="I5189" s="66"/>
      <c r="J5189" s="125">
        <v>0</v>
      </c>
    </row>
    <row r="5190" spans="1:10" ht="15.75" hidden="1" thickBot="1" x14ac:dyDescent="0.3">
      <c r="A5190" s="249"/>
      <c r="B5190" s="238"/>
      <c r="C5190" s="155"/>
      <c r="D5190" s="42"/>
      <c r="E5190" s="34"/>
      <c r="F5190" s="49" t="s">
        <v>418</v>
      </c>
      <c r="G5190" s="49" t="str">
        <f>IF(ISNUMBER(F5190),E5190*F5190,"")</f>
        <v/>
      </c>
      <c r="H5190" s="65"/>
      <c r="I5190" s="66"/>
      <c r="J5190" s="125">
        <v>0</v>
      </c>
    </row>
    <row r="5191" spans="1:10" ht="15.75" hidden="1" thickBot="1" x14ac:dyDescent="0.3">
      <c r="A5191" s="234" t="s">
        <v>11240</v>
      </c>
      <c r="B5191" s="237" t="s">
        <v>11241</v>
      </c>
      <c r="C5191" s="160"/>
      <c r="D5191" s="23" t="s">
        <v>69</v>
      </c>
      <c r="E5191" s="24"/>
      <c r="F5191" s="44" t="s">
        <v>418</v>
      </c>
      <c r="G5191" s="25" t="str">
        <f>IF(ISNUMBER(F5191),E5191*F5191,"")</f>
        <v/>
      </c>
      <c r="H5191" s="26"/>
      <c r="I5191" s="27"/>
      <c r="J5191" s="125">
        <v>0</v>
      </c>
    </row>
    <row r="5192" spans="1:10" ht="15.75" hidden="1" thickBot="1" x14ac:dyDescent="0.3">
      <c r="A5192" s="249"/>
      <c r="B5192" s="238"/>
      <c r="C5192" s="151"/>
      <c r="D5192" s="29"/>
      <c r="E5192" s="30"/>
      <c r="F5192" s="49" t="s">
        <v>418</v>
      </c>
      <c r="G5192" s="49" t="str">
        <f>IF(ISNUMBER(F5192),E5192*F5192,"")</f>
        <v/>
      </c>
      <c r="H5192" s="65"/>
      <c r="I5192" s="66"/>
      <c r="J5192" s="125">
        <v>0</v>
      </c>
    </row>
    <row r="5193" spans="1:10" ht="39" hidden="1" thickBot="1" x14ac:dyDescent="0.3">
      <c r="A5193" s="249"/>
      <c r="B5193" s="238"/>
      <c r="C5193" s="155" t="s">
        <v>2377</v>
      </c>
      <c r="D5193" s="155" t="s">
        <v>814</v>
      </c>
      <c r="E5193" s="34">
        <f>0.0211/2</f>
        <v>1.055E-2</v>
      </c>
      <c r="F5193" s="28">
        <v>205.3235</v>
      </c>
      <c r="G5193" s="49">
        <f>IF(ISNUMBER(F5193),E5193*F5193,"")</f>
        <v>2.1661629250000001</v>
      </c>
      <c r="H5193" s="35">
        <f>SUM(G5193:G5202)</f>
        <v>633.47438651476261</v>
      </c>
      <c r="I5193" s="36"/>
      <c r="J5193" s="125">
        <v>0</v>
      </c>
    </row>
    <row r="5194" spans="1:10" ht="39" hidden="1" thickBot="1" x14ac:dyDescent="0.3">
      <c r="A5194" s="249"/>
      <c r="B5194" s="238"/>
      <c r="C5194" s="155" t="s">
        <v>2621</v>
      </c>
      <c r="D5194" s="155" t="s">
        <v>816</v>
      </c>
      <c r="E5194" s="34">
        <f>0.1011/2</f>
        <v>5.0549999999999998E-2</v>
      </c>
      <c r="F5194" s="28">
        <v>83.447999999999993</v>
      </c>
      <c r="G5194" s="49">
        <f>IF(ISNUMBER(F5194),E5194*F5194,"")</f>
        <v>4.2182963999999998</v>
      </c>
      <c r="H5194" s="65"/>
      <c r="I5194" s="66"/>
      <c r="J5194" s="125">
        <v>0</v>
      </c>
    </row>
    <row r="5195" spans="1:10" ht="15.75" hidden="1" thickBot="1" x14ac:dyDescent="0.3">
      <c r="A5195" s="249"/>
      <c r="B5195" s="238"/>
      <c r="C5195" s="155" t="s">
        <v>92</v>
      </c>
      <c r="D5195" s="155" t="s">
        <v>774</v>
      </c>
      <c r="E5195" s="34">
        <f>0.1875/2</f>
        <v>9.375E-2</v>
      </c>
      <c r="F5195" s="28">
        <v>28.594999999999999</v>
      </c>
      <c r="G5195" s="49">
        <f>IF(ISNUMBER(F5195),E5195*F5195,"")</f>
        <v>2.6807812499999999</v>
      </c>
      <c r="H5195" s="65"/>
      <c r="I5195" s="66"/>
      <c r="J5195" s="125">
        <v>0</v>
      </c>
    </row>
    <row r="5196" spans="1:10" ht="15.75" hidden="1" thickBot="1" x14ac:dyDescent="0.3">
      <c r="A5196" s="249"/>
      <c r="B5196" s="238"/>
      <c r="C5196" s="155" t="s">
        <v>9747</v>
      </c>
      <c r="D5196" s="155" t="s">
        <v>587</v>
      </c>
      <c r="E5196" s="34">
        <f>0.1083/2</f>
        <v>5.4149999999999997E-2</v>
      </c>
      <c r="F5196" s="28">
        <v>25.621499999999997</v>
      </c>
      <c r="G5196" s="49">
        <f>IF(ISNUMBER(F5196),E5196*F5196,"")</f>
        <v>1.3874042249999998</v>
      </c>
      <c r="H5196" s="65"/>
      <c r="I5196" s="66"/>
      <c r="J5196" s="125">
        <v>0</v>
      </c>
    </row>
    <row r="5197" spans="1:10" ht="15.75" hidden="1" thickBot="1" x14ac:dyDescent="0.3">
      <c r="A5197" s="249"/>
      <c r="B5197" s="238"/>
      <c r="C5197" s="155" t="s">
        <v>588</v>
      </c>
      <c r="D5197" s="155" t="s">
        <v>587</v>
      </c>
      <c r="E5197" s="156">
        <f>0.1083/2</f>
        <v>5.4149999999999997E-2</v>
      </c>
      <c r="F5197" s="49">
        <v>19.189999999999998</v>
      </c>
      <c r="G5197" s="49">
        <f>IF(ISNUMBER(F5197),E5197*F5197,"")</f>
        <v>1.0391384999999997</v>
      </c>
      <c r="H5197" s="65"/>
      <c r="I5197" s="66"/>
      <c r="J5197" s="125">
        <v>0</v>
      </c>
    </row>
    <row r="5198" spans="1:10" ht="15.75" hidden="1" thickBot="1" x14ac:dyDescent="0.3">
      <c r="A5198" s="249"/>
      <c r="B5198" s="238"/>
      <c r="C5198" s="155" t="s">
        <v>9852</v>
      </c>
      <c r="D5198" s="155" t="s">
        <v>587</v>
      </c>
      <c r="E5198" s="34">
        <f>0.4792/2</f>
        <v>0.23960000000000001</v>
      </c>
      <c r="F5198" s="49">
        <v>26.257999999999999</v>
      </c>
      <c r="G5198" s="49">
        <f>IF(ISNUMBER(F5198),E5198*F5198,"")</f>
        <v>6.2914168000000004</v>
      </c>
      <c r="H5198" s="65"/>
      <c r="I5198" s="66"/>
      <c r="J5198" s="125">
        <v>0</v>
      </c>
    </row>
    <row r="5199" spans="1:10" ht="26.25" hidden="1" thickBot="1" x14ac:dyDescent="0.3">
      <c r="A5199" s="249"/>
      <c r="B5199" s="238"/>
      <c r="C5199" s="155" t="s">
        <v>10399</v>
      </c>
      <c r="D5199" s="155" t="s">
        <v>385</v>
      </c>
      <c r="E5199" s="34">
        <v>1</v>
      </c>
      <c r="F5199" s="49">
        <v>527.87699999999995</v>
      </c>
      <c r="G5199" s="49">
        <f>IF(ISNUMBER(F5199),E5199*F5199,"")</f>
        <v>527.87699999999995</v>
      </c>
      <c r="H5199" s="65"/>
      <c r="I5199" s="66"/>
      <c r="J5199" s="125">
        <v>0</v>
      </c>
    </row>
    <row r="5200" spans="1:10" ht="39" hidden="1" thickBot="1" x14ac:dyDescent="0.3">
      <c r="A5200" s="249"/>
      <c r="B5200" s="238"/>
      <c r="C5200" s="155" t="s">
        <v>10759</v>
      </c>
      <c r="D5200" s="155" t="s">
        <v>1155</v>
      </c>
      <c r="E5200" s="34">
        <f>21.75/1000</f>
        <v>2.1749999999999999E-2</v>
      </c>
      <c r="F5200" s="49">
        <v>38.111612650000005</v>
      </c>
      <c r="G5200" s="49">
        <f>IF(ISNUMBER(F5200),E5200*F5200,"")</f>
        <v>0.82892757513750004</v>
      </c>
      <c r="H5200" s="65"/>
      <c r="I5200" s="66"/>
      <c r="J5200" s="125">
        <v>0</v>
      </c>
    </row>
    <row r="5201" spans="1:10" ht="39" hidden="1" thickBot="1" x14ac:dyDescent="0.3">
      <c r="A5201" s="249"/>
      <c r="B5201" s="238"/>
      <c r="C5201" s="155" t="s">
        <v>10635</v>
      </c>
      <c r="D5201" s="155" t="s">
        <v>1293</v>
      </c>
      <c r="E5201" s="34">
        <f>21.75/1000*1030</f>
        <v>22.4025</v>
      </c>
      <c r="F5201" s="49">
        <v>2.8005648499999998</v>
      </c>
      <c r="G5201" s="49">
        <f>IF(ISNUMBER(F5201),E5201*F5201,"")</f>
        <v>62.739654052124997</v>
      </c>
      <c r="H5201" s="65"/>
      <c r="I5201" s="66"/>
      <c r="J5201" s="125">
        <v>0</v>
      </c>
    </row>
    <row r="5202" spans="1:10" ht="51.75" hidden="1" thickBot="1" x14ac:dyDescent="0.3">
      <c r="A5202" s="249"/>
      <c r="B5202" s="238"/>
      <c r="C5202" s="155" t="s">
        <v>10637</v>
      </c>
      <c r="D5202" s="155" t="s">
        <v>1293</v>
      </c>
      <c r="E5202" s="34">
        <f>21.75/1000*1000</f>
        <v>21.75</v>
      </c>
      <c r="F5202" s="49">
        <v>1.11474045</v>
      </c>
      <c r="G5202" s="49">
        <f>IF(ISNUMBER(F5202),E5202*F5202,"")</f>
        <v>24.2456047875</v>
      </c>
      <c r="H5202" s="65"/>
      <c r="I5202" s="66"/>
      <c r="J5202" s="125">
        <v>0</v>
      </c>
    </row>
    <row r="5203" spans="1:10" ht="15.75" hidden="1" thickBot="1" x14ac:dyDescent="0.3">
      <c r="A5203" s="249"/>
      <c r="B5203" s="238"/>
      <c r="C5203" s="155"/>
      <c r="D5203" s="33"/>
      <c r="E5203" s="34"/>
      <c r="F5203" s="49" t="s">
        <v>418</v>
      </c>
      <c r="G5203" s="49" t="str">
        <f>IF(ISNUMBER(F5203),E5203*F5203,"")</f>
        <v/>
      </c>
      <c r="H5203" s="65"/>
      <c r="I5203" s="66"/>
      <c r="J5203" s="125">
        <v>0</v>
      </c>
    </row>
    <row r="5204" spans="1:10" ht="15.75" hidden="1" thickBot="1" x14ac:dyDescent="0.3">
      <c r="A5204" s="249"/>
      <c r="B5204" s="238"/>
      <c r="C5204" s="43" t="s">
        <v>15203</v>
      </c>
      <c r="D5204" s="33"/>
      <c r="E5204" s="34"/>
      <c r="F5204" s="49" t="s">
        <v>418</v>
      </c>
      <c r="G5204" s="49" t="str">
        <f>IF(ISNUMBER(F5204),E5204*F5204,"")</f>
        <v/>
      </c>
      <c r="H5204" s="65"/>
      <c r="I5204" s="66"/>
      <c r="J5204" s="125">
        <v>0</v>
      </c>
    </row>
    <row r="5205" spans="1:10" ht="15.75" hidden="1" thickBot="1" x14ac:dyDescent="0.3">
      <c r="A5205" s="249"/>
      <c r="B5205" s="238"/>
      <c r="C5205" s="155"/>
      <c r="D5205" s="42"/>
      <c r="E5205" s="34"/>
      <c r="F5205" s="49" t="s">
        <v>418</v>
      </c>
      <c r="G5205" s="49" t="str">
        <f>IF(ISNUMBER(F5205),E5205*F5205,"")</f>
        <v/>
      </c>
      <c r="H5205" s="65"/>
      <c r="I5205" s="66"/>
      <c r="J5205" s="125">
        <v>0</v>
      </c>
    </row>
    <row r="5206" spans="1:10" ht="15.75" hidden="1" thickBot="1" x14ac:dyDescent="0.3">
      <c r="A5206" s="234" t="s">
        <v>11242</v>
      </c>
      <c r="B5206" s="237" t="s">
        <v>11243</v>
      </c>
      <c r="C5206" s="160"/>
      <c r="D5206" s="23" t="s">
        <v>69</v>
      </c>
      <c r="E5206" s="24"/>
      <c r="F5206" s="44" t="s">
        <v>418</v>
      </c>
      <c r="G5206" s="25" t="str">
        <f>IF(ISNUMBER(F5206),E5206*F5206,"")</f>
        <v/>
      </c>
      <c r="H5206" s="26"/>
      <c r="I5206" s="27"/>
      <c r="J5206" s="125">
        <v>0</v>
      </c>
    </row>
    <row r="5207" spans="1:10" ht="15.75" hidden="1" thickBot="1" x14ac:dyDescent="0.3">
      <c r="A5207" s="249"/>
      <c r="B5207" s="238"/>
      <c r="C5207" s="151"/>
      <c r="D5207" s="29"/>
      <c r="E5207" s="30"/>
      <c r="F5207" s="49" t="s">
        <v>418</v>
      </c>
      <c r="G5207" s="49" t="str">
        <f>IF(ISNUMBER(F5207),E5207*F5207,"")</f>
        <v/>
      </c>
      <c r="H5207" s="65"/>
      <c r="I5207" s="66"/>
      <c r="J5207" s="125">
        <v>0</v>
      </c>
    </row>
    <row r="5208" spans="1:10" ht="39" hidden="1" thickBot="1" x14ac:dyDescent="0.3">
      <c r="A5208" s="249"/>
      <c r="B5208" s="238"/>
      <c r="C5208" s="155" t="s">
        <v>2377</v>
      </c>
      <c r="D5208" s="155" t="s">
        <v>814</v>
      </c>
      <c r="E5208" s="156">
        <f>0.0211/2</f>
        <v>1.055E-2</v>
      </c>
      <c r="F5208" s="28">
        <v>205.3235</v>
      </c>
      <c r="G5208" s="49">
        <f>IF(ISNUMBER(F5208),E5208*F5208,"")</f>
        <v>2.1661629250000001</v>
      </c>
      <c r="H5208" s="35">
        <f>SUM(G5208:G5219)</f>
        <v>1000.088000288025</v>
      </c>
      <c r="I5208" s="36"/>
      <c r="J5208" s="125">
        <v>0</v>
      </c>
    </row>
    <row r="5209" spans="1:10" ht="39" hidden="1" thickBot="1" x14ac:dyDescent="0.3">
      <c r="A5209" s="249"/>
      <c r="B5209" s="238"/>
      <c r="C5209" s="155" t="s">
        <v>2621</v>
      </c>
      <c r="D5209" s="155" t="s">
        <v>816</v>
      </c>
      <c r="E5209" s="156">
        <f>0.1011/2</f>
        <v>5.0549999999999998E-2</v>
      </c>
      <c r="F5209" s="28">
        <v>83.447999999999993</v>
      </c>
      <c r="G5209" s="49">
        <f>IF(ISNUMBER(F5209),E5209*F5209,"")</f>
        <v>4.2182963999999998</v>
      </c>
      <c r="H5209" s="65"/>
      <c r="I5209" s="66"/>
      <c r="J5209" s="125">
        <v>0</v>
      </c>
    </row>
    <row r="5210" spans="1:10" ht="15.75" hidden="1" thickBot="1" x14ac:dyDescent="0.3">
      <c r="A5210" s="249"/>
      <c r="B5210" s="238"/>
      <c r="C5210" s="155" t="s">
        <v>92</v>
      </c>
      <c r="D5210" s="155" t="s">
        <v>774</v>
      </c>
      <c r="E5210" s="156">
        <f>0.1875/2</f>
        <v>9.375E-2</v>
      </c>
      <c r="F5210" s="28">
        <v>28.594999999999999</v>
      </c>
      <c r="G5210" s="49">
        <f>IF(ISNUMBER(F5210),E5210*F5210,"")</f>
        <v>2.6807812499999999</v>
      </c>
      <c r="H5210" s="65"/>
      <c r="I5210" s="66"/>
      <c r="J5210" s="125">
        <v>0</v>
      </c>
    </row>
    <row r="5211" spans="1:10" ht="15.75" hidden="1" thickBot="1" x14ac:dyDescent="0.3">
      <c r="A5211" s="249"/>
      <c r="B5211" s="238"/>
      <c r="C5211" s="155" t="s">
        <v>9747</v>
      </c>
      <c r="D5211" s="155" t="s">
        <v>587</v>
      </c>
      <c r="E5211" s="156">
        <f>0.1083/2</f>
        <v>5.4149999999999997E-2</v>
      </c>
      <c r="F5211" s="28">
        <v>25.621499999999997</v>
      </c>
      <c r="G5211" s="49">
        <f>IF(ISNUMBER(F5211),E5211*F5211,"")</f>
        <v>1.3874042249999998</v>
      </c>
      <c r="H5211" s="65"/>
      <c r="I5211" s="66"/>
      <c r="J5211" s="125">
        <v>0</v>
      </c>
    </row>
    <row r="5212" spans="1:10" ht="15.75" hidden="1" thickBot="1" x14ac:dyDescent="0.3">
      <c r="A5212" s="249"/>
      <c r="B5212" s="238"/>
      <c r="C5212" s="155" t="s">
        <v>588</v>
      </c>
      <c r="D5212" s="155" t="s">
        <v>587</v>
      </c>
      <c r="E5212" s="156">
        <f>0.1083/2</f>
        <v>5.4149999999999997E-2</v>
      </c>
      <c r="F5212" s="49">
        <v>19.189999999999998</v>
      </c>
      <c r="G5212" s="49">
        <f>IF(ISNUMBER(F5212),E5212*F5212,"")</f>
        <v>1.0391384999999997</v>
      </c>
      <c r="H5212" s="65"/>
      <c r="I5212" s="66"/>
      <c r="J5212" s="125">
        <v>0</v>
      </c>
    </row>
    <row r="5213" spans="1:10" ht="15.75" hidden="1" thickBot="1" x14ac:dyDescent="0.3">
      <c r="A5213" s="249"/>
      <c r="B5213" s="238"/>
      <c r="C5213" s="155" t="s">
        <v>9852</v>
      </c>
      <c r="D5213" s="155" t="s">
        <v>587</v>
      </c>
      <c r="E5213" s="156">
        <f>0.4792/2</f>
        <v>0.23960000000000001</v>
      </c>
      <c r="F5213" s="49">
        <v>26.257999999999999</v>
      </c>
      <c r="G5213" s="49">
        <f>IF(ISNUMBER(F5213),E5213*F5213,"")</f>
        <v>6.2914168000000004</v>
      </c>
      <c r="H5213" s="65"/>
      <c r="I5213" s="66"/>
      <c r="J5213" s="125">
        <v>0</v>
      </c>
    </row>
    <row r="5214" spans="1:10" ht="26.25" hidden="1" thickBot="1" x14ac:dyDescent="0.3">
      <c r="A5214" s="249"/>
      <c r="B5214" s="238"/>
      <c r="C5214" s="155" t="s">
        <v>10290</v>
      </c>
      <c r="D5214" s="155" t="s">
        <v>385</v>
      </c>
      <c r="E5214" s="156">
        <v>1</v>
      </c>
      <c r="F5214" s="49">
        <v>894.69099999999992</v>
      </c>
      <c r="G5214" s="49">
        <f>IF(ISNUMBER(F5214),E5214*F5214,"")</f>
        <v>894.69099999999992</v>
      </c>
      <c r="H5214" s="65"/>
      <c r="I5214" s="66"/>
      <c r="J5214" s="125">
        <v>0</v>
      </c>
    </row>
    <row r="5215" spans="1:10" ht="39" hidden="1" thickBot="1" x14ac:dyDescent="0.3">
      <c r="A5215" s="249"/>
      <c r="B5215" s="238"/>
      <c r="C5215" s="155" t="s">
        <v>10761</v>
      </c>
      <c r="D5215" s="155" t="s">
        <v>1155</v>
      </c>
      <c r="E5215" s="156">
        <f>21.75/1000</f>
        <v>2.1749999999999999E-2</v>
      </c>
      <c r="F5215" s="49">
        <v>28.898452799999998</v>
      </c>
      <c r="G5215" s="49">
        <f>IF(ISNUMBER(F5215),E5215*F5215,"")</f>
        <v>0.62854134839999987</v>
      </c>
      <c r="H5215" s="65"/>
      <c r="I5215" s="66"/>
      <c r="J5215" s="125">
        <v>0</v>
      </c>
    </row>
    <row r="5216" spans="1:10" ht="39" hidden="1" thickBot="1" x14ac:dyDescent="0.3">
      <c r="A5216" s="249"/>
      <c r="B5216" s="238"/>
      <c r="C5216" s="155" t="s">
        <v>10635</v>
      </c>
      <c r="D5216" s="155" t="s">
        <v>1293</v>
      </c>
      <c r="E5216" s="156">
        <f>21.75/1000*1030</f>
        <v>22.4025</v>
      </c>
      <c r="F5216" s="49">
        <v>2.8005648499999998</v>
      </c>
      <c r="G5216" s="49">
        <f>IF(ISNUMBER(F5216),E5216*F5216,"")</f>
        <v>62.739654052124997</v>
      </c>
      <c r="H5216" s="65"/>
      <c r="I5216" s="66"/>
      <c r="J5216" s="125">
        <v>0</v>
      </c>
    </row>
    <row r="5217" spans="1:10" ht="51.75" hidden="1" thickBot="1" x14ac:dyDescent="0.3">
      <c r="A5217" s="249"/>
      <c r="B5217" s="238"/>
      <c r="C5217" s="155" t="s">
        <v>10637</v>
      </c>
      <c r="D5217" s="155" t="s">
        <v>1293</v>
      </c>
      <c r="E5217" s="156">
        <f>21.75/1000*1000</f>
        <v>21.75</v>
      </c>
      <c r="F5217" s="49">
        <v>1.11474045</v>
      </c>
      <c r="G5217" s="49">
        <f>IF(ISNUMBER(F5217),E5217*F5217,"")</f>
        <v>24.2456047875</v>
      </c>
      <c r="H5217" s="65"/>
      <c r="I5217" s="66"/>
      <c r="J5217" s="125">
        <v>0</v>
      </c>
    </row>
    <row r="5218" spans="1:10" ht="15.75" hidden="1" thickBot="1" x14ac:dyDescent="0.3">
      <c r="A5218" s="249"/>
      <c r="B5218" s="238"/>
      <c r="C5218" s="155"/>
      <c r="D5218" s="33"/>
      <c r="E5218" s="34"/>
      <c r="F5218" s="49"/>
      <c r="G5218" s="49"/>
      <c r="H5218" s="65"/>
      <c r="I5218" s="66"/>
      <c r="J5218" s="125">
        <v>0</v>
      </c>
    </row>
    <row r="5219" spans="1:10" ht="15.75" hidden="1" thickBot="1" x14ac:dyDescent="0.3">
      <c r="A5219" s="249"/>
      <c r="B5219" s="238"/>
      <c r="C5219" s="43" t="s">
        <v>15203</v>
      </c>
      <c r="D5219" s="33"/>
      <c r="E5219" s="34"/>
      <c r="F5219" s="49" t="s">
        <v>418</v>
      </c>
      <c r="G5219" s="49" t="str">
        <f>IF(ISNUMBER(F5219),E5219*F5219,"")</f>
        <v/>
      </c>
      <c r="H5219" s="65"/>
      <c r="I5219" s="66"/>
      <c r="J5219" s="125">
        <v>0</v>
      </c>
    </row>
    <row r="5220" spans="1:10" ht="15.75" hidden="1" thickBot="1" x14ac:dyDescent="0.3">
      <c r="A5220" s="249"/>
      <c r="B5220" s="238"/>
      <c r="C5220" s="155"/>
      <c r="D5220" s="42"/>
      <c r="E5220" s="34"/>
      <c r="F5220" s="49" t="s">
        <v>418</v>
      </c>
      <c r="G5220" s="49" t="str">
        <f>IF(ISNUMBER(F5220),E5220*F5220,"")</f>
        <v/>
      </c>
      <c r="H5220" s="65"/>
      <c r="I5220" s="66"/>
      <c r="J5220" s="125">
        <v>0</v>
      </c>
    </row>
    <row r="5221" spans="1:10" ht="15.75" hidden="1" thickBot="1" x14ac:dyDescent="0.3">
      <c r="A5221" s="234" t="s">
        <v>11244</v>
      </c>
      <c r="B5221" s="237" t="s">
        <v>11245</v>
      </c>
      <c r="C5221" s="160"/>
      <c r="D5221" s="23" t="s">
        <v>16</v>
      </c>
      <c r="E5221" s="24"/>
      <c r="F5221" s="44" t="s">
        <v>418</v>
      </c>
      <c r="G5221" s="25" t="str">
        <f>IF(ISNUMBER(F5221),E5221*F5221,"")</f>
        <v/>
      </c>
      <c r="H5221" s="26"/>
      <c r="I5221" s="27"/>
      <c r="J5221" s="125">
        <v>0</v>
      </c>
    </row>
    <row r="5222" spans="1:10" ht="15.75" hidden="1" thickBot="1" x14ac:dyDescent="0.3">
      <c r="A5222" s="249"/>
      <c r="B5222" s="238"/>
      <c r="C5222" s="151"/>
      <c r="D5222" s="29"/>
      <c r="E5222" s="30"/>
      <c r="F5222" s="49" t="s">
        <v>418</v>
      </c>
      <c r="G5222" s="49" t="str">
        <f>IF(ISNUMBER(F5222),E5222*F5222,"")</f>
        <v/>
      </c>
      <c r="H5222" s="65"/>
      <c r="I5222" s="66"/>
      <c r="J5222" s="125">
        <v>0</v>
      </c>
    </row>
    <row r="5223" spans="1:10" ht="15.75" hidden="1" thickBot="1" x14ac:dyDescent="0.3">
      <c r="A5223" s="249"/>
      <c r="B5223" s="238"/>
      <c r="C5223" s="155" t="s">
        <v>237</v>
      </c>
      <c r="D5223" s="155" t="s">
        <v>205</v>
      </c>
      <c r="E5223" s="34">
        <v>8.3999999999999995E-3</v>
      </c>
      <c r="F5223" s="28">
        <v>17.166499999999999</v>
      </c>
      <c r="G5223" s="49">
        <f>IF(ISNUMBER(F5223),E5223*F5223,"")</f>
        <v>0.14419859999999998</v>
      </c>
      <c r="H5223" s="35">
        <f>SUM(G5223:G5226)</f>
        <v>33.049665900000001</v>
      </c>
      <c r="I5223" s="36"/>
      <c r="J5223" s="125">
        <v>0</v>
      </c>
    </row>
    <row r="5224" spans="1:10" ht="15.75" hidden="1" thickBot="1" x14ac:dyDescent="0.3">
      <c r="A5224" s="249"/>
      <c r="B5224" s="238"/>
      <c r="C5224" s="155" t="s">
        <v>1008</v>
      </c>
      <c r="D5224" s="155" t="s">
        <v>205</v>
      </c>
      <c r="E5224" s="34">
        <v>1</v>
      </c>
      <c r="F5224" s="28">
        <v>29.773</v>
      </c>
      <c r="G5224" s="49">
        <f>IF(ISNUMBER(F5224),E5224*F5224,"")</f>
        <v>29.773</v>
      </c>
      <c r="H5224" s="65"/>
      <c r="I5224" s="66"/>
      <c r="J5224" s="125">
        <v>0</v>
      </c>
    </row>
    <row r="5225" spans="1:10" ht="26.25" hidden="1" thickBot="1" x14ac:dyDescent="0.3">
      <c r="A5225" s="249"/>
      <c r="B5225" s="238"/>
      <c r="C5225" s="155" t="s">
        <v>824</v>
      </c>
      <c r="D5225" s="155" t="s">
        <v>587</v>
      </c>
      <c r="E5225" s="34">
        <v>7.1900000000000006E-2</v>
      </c>
      <c r="F5225" s="28">
        <v>18.6295</v>
      </c>
      <c r="G5225" s="49">
        <f>IF(ISNUMBER(F5225),E5225*F5225,"")</f>
        <v>1.3394610500000002</v>
      </c>
      <c r="H5225" s="65"/>
      <c r="I5225" s="66"/>
      <c r="J5225" s="125">
        <v>0</v>
      </c>
    </row>
    <row r="5226" spans="1:10" ht="26.25" hidden="1" thickBot="1" x14ac:dyDescent="0.3">
      <c r="A5226" s="249"/>
      <c r="B5226" s="238"/>
      <c r="C5226" s="155" t="s">
        <v>825</v>
      </c>
      <c r="D5226" s="155" t="s">
        <v>587</v>
      </c>
      <c r="E5226" s="34">
        <v>7.1900000000000006E-2</v>
      </c>
      <c r="F5226" s="28">
        <v>24.9375</v>
      </c>
      <c r="G5226" s="49">
        <f>IF(ISNUMBER(F5226),E5226*F5226,"")</f>
        <v>1.7930062500000001</v>
      </c>
      <c r="H5226" s="65"/>
      <c r="I5226" s="66"/>
      <c r="J5226" s="125">
        <v>0</v>
      </c>
    </row>
    <row r="5227" spans="1:10" ht="15.75" hidden="1" thickBot="1" x14ac:dyDescent="0.3">
      <c r="A5227" s="249"/>
      <c r="B5227" s="238"/>
      <c r="C5227" s="155"/>
      <c r="D5227" s="42"/>
      <c r="E5227" s="34"/>
      <c r="F5227" s="49" t="s">
        <v>418</v>
      </c>
      <c r="G5227" s="49" t="str">
        <f>IF(ISNUMBER(F5227),E5227*F5227,"")</f>
        <v/>
      </c>
      <c r="H5227" s="65"/>
      <c r="I5227" s="66"/>
      <c r="J5227" s="125">
        <v>0</v>
      </c>
    </row>
    <row r="5228" spans="1:10" ht="15.75" hidden="1" thickBot="1" x14ac:dyDescent="0.3">
      <c r="A5228" s="234" t="s">
        <v>11246</v>
      </c>
      <c r="B5228" s="237" t="s">
        <v>11247</v>
      </c>
      <c r="C5228" s="160"/>
      <c r="D5228" s="23" t="s">
        <v>16</v>
      </c>
      <c r="E5228" s="24"/>
      <c r="F5228" s="44" t="s">
        <v>418</v>
      </c>
      <c r="G5228" s="25" t="str">
        <f>IF(ISNUMBER(F5228),E5228*F5228,"")</f>
        <v/>
      </c>
      <c r="H5228" s="26"/>
      <c r="I5228" s="27"/>
      <c r="J5228" s="125">
        <v>0</v>
      </c>
    </row>
    <row r="5229" spans="1:10" ht="15.75" hidden="1" thickBot="1" x14ac:dyDescent="0.3">
      <c r="A5229" s="249"/>
      <c r="B5229" s="238"/>
      <c r="C5229" s="151"/>
      <c r="D5229" s="29"/>
      <c r="E5229" s="30"/>
      <c r="F5229" s="49" t="s">
        <v>418</v>
      </c>
      <c r="G5229" s="49" t="str">
        <f>IF(ISNUMBER(F5229),E5229*F5229,"")</f>
        <v/>
      </c>
      <c r="H5229" s="65"/>
      <c r="I5229" s="66"/>
      <c r="J5229" s="125">
        <v>0</v>
      </c>
    </row>
    <row r="5230" spans="1:10" ht="15.75" hidden="1" thickBot="1" x14ac:dyDescent="0.3">
      <c r="A5230" s="249"/>
      <c r="B5230" s="238"/>
      <c r="C5230" s="155" t="s">
        <v>237</v>
      </c>
      <c r="D5230" s="155" t="s">
        <v>205</v>
      </c>
      <c r="E5230" s="34">
        <v>4.5199999999999997E-2</v>
      </c>
      <c r="F5230" s="28">
        <v>17.166499999999999</v>
      </c>
      <c r="G5230" s="49">
        <f>IF(ISNUMBER(F5230),E5230*F5230,"")</f>
        <v>0.77592579999999989</v>
      </c>
      <c r="H5230" s="35">
        <f>SUM(G5230:G5233)</f>
        <v>32.2530833</v>
      </c>
      <c r="I5230" s="36"/>
      <c r="J5230" s="125">
        <v>0</v>
      </c>
    </row>
    <row r="5231" spans="1:10" ht="15.75" hidden="1" thickBot="1" x14ac:dyDescent="0.3">
      <c r="A5231" s="249"/>
      <c r="B5231" s="238"/>
      <c r="C5231" s="155" t="s">
        <v>11247</v>
      </c>
      <c r="D5231" s="33" t="s">
        <v>205</v>
      </c>
      <c r="E5231" s="34">
        <v>1</v>
      </c>
      <c r="F5231" s="28" t="s">
        <v>418</v>
      </c>
      <c r="G5231" s="49" t="str">
        <f>IF(ISNUMBER(F5231),E5231*F5231,"")</f>
        <v/>
      </c>
      <c r="H5231" s="65"/>
      <c r="I5231" s="66"/>
      <c r="J5231" s="125">
        <v>0</v>
      </c>
    </row>
    <row r="5232" spans="1:10" ht="26.25" hidden="1" thickBot="1" x14ac:dyDescent="0.3">
      <c r="A5232" s="249"/>
      <c r="B5232" s="238"/>
      <c r="C5232" s="155" t="s">
        <v>824</v>
      </c>
      <c r="D5232" s="155" t="s">
        <v>587</v>
      </c>
      <c r="E5232" s="34">
        <v>0.72250000000000003</v>
      </c>
      <c r="F5232" s="28">
        <v>18.6295</v>
      </c>
      <c r="G5232" s="49">
        <f>IF(ISNUMBER(F5232),E5232*F5232,"")</f>
        <v>13.45981375</v>
      </c>
      <c r="H5232" s="65"/>
      <c r="I5232" s="66"/>
      <c r="J5232" s="125">
        <v>0</v>
      </c>
    </row>
    <row r="5233" spans="1:10" ht="26.25" hidden="1" thickBot="1" x14ac:dyDescent="0.3">
      <c r="A5233" s="249"/>
      <c r="B5233" s="238"/>
      <c r="C5233" s="155" t="s">
        <v>825</v>
      </c>
      <c r="D5233" s="155" t="s">
        <v>587</v>
      </c>
      <c r="E5233" s="34">
        <v>0.72250000000000003</v>
      </c>
      <c r="F5233" s="28">
        <v>24.9375</v>
      </c>
      <c r="G5233" s="49">
        <f>IF(ISNUMBER(F5233),E5233*F5233,"")</f>
        <v>18.017343750000002</v>
      </c>
      <c r="H5233" s="65"/>
      <c r="I5233" s="66"/>
      <c r="J5233" s="125">
        <v>0</v>
      </c>
    </row>
    <row r="5234" spans="1:10" ht="15.75" hidden="1" thickBot="1" x14ac:dyDescent="0.3">
      <c r="A5234" s="249"/>
      <c r="B5234" s="238"/>
      <c r="C5234" s="155"/>
      <c r="D5234" s="42"/>
      <c r="E5234" s="34"/>
      <c r="F5234" s="49" t="s">
        <v>418</v>
      </c>
      <c r="G5234" s="49" t="str">
        <f>IF(ISNUMBER(F5234),E5234*F5234,"")</f>
        <v/>
      </c>
      <c r="H5234" s="65"/>
      <c r="I5234" s="66"/>
      <c r="J5234" s="125">
        <v>0</v>
      </c>
    </row>
    <row r="5235" spans="1:10" ht="15.75" hidden="1" thickBot="1" x14ac:dyDescent="0.3">
      <c r="A5235" s="234" t="s">
        <v>11248</v>
      </c>
      <c r="B5235" s="237" t="s">
        <v>11249</v>
      </c>
      <c r="C5235" s="160"/>
      <c r="D5235" s="23" t="s">
        <v>69</v>
      </c>
      <c r="E5235" s="24"/>
      <c r="F5235" s="44" t="s">
        <v>418</v>
      </c>
      <c r="G5235" s="25" t="str">
        <f>IF(ISNUMBER(F5235),E5235*F5235,"")</f>
        <v/>
      </c>
      <c r="H5235" s="26"/>
      <c r="I5235" s="27"/>
      <c r="J5235" s="125">
        <v>0</v>
      </c>
    </row>
    <row r="5236" spans="1:10" ht="15.75" hidden="1" thickBot="1" x14ac:dyDescent="0.3">
      <c r="A5236" s="249"/>
      <c r="B5236" s="238"/>
      <c r="C5236" s="151"/>
      <c r="D5236" s="29"/>
      <c r="E5236" s="30"/>
      <c r="F5236" s="49" t="s">
        <v>418</v>
      </c>
      <c r="G5236" s="49" t="str">
        <f>IF(ISNUMBER(F5236),E5236*F5236,"")</f>
        <v/>
      </c>
      <c r="H5236" s="65"/>
      <c r="I5236" s="66"/>
      <c r="J5236" s="125">
        <v>0</v>
      </c>
    </row>
    <row r="5237" spans="1:10" ht="15.75" hidden="1" thickBot="1" x14ac:dyDescent="0.3">
      <c r="A5237" s="249"/>
      <c r="B5237" s="238"/>
      <c r="C5237" s="155" t="s">
        <v>11271</v>
      </c>
      <c r="D5237" s="33" t="s">
        <v>69</v>
      </c>
      <c r="E5237" s="34">
        <v>1.05</v>
      </c>
      <c r="F5237" s="28" t="s">
        <v>418</v>
      </c>
      <c r="G5237" s="49" t="str">
        <f>IF(ISNUMBER(F5237),E5237*F5237,"")</f>
        <v/>
      </c>
      <c r="H5237" s="35">
        <f>SUM(G5237:G5239)</f>
        <v>3.2333791500000002</v>
      </c>
      <c r="I5237" s="36"/>
      <c r="J5237" s="125">
        <v>0</v>
      </c>
    </row>
    <row r="5238" spans="1:10" ht="15.75" hidden="1" thickBot="1" x14ac:dyDescent="0.3">
      <c r="A5238" s="249"/>
      <c r="B5238" s="238"/>
      <c r="C5238" s="155" t="s">
        <v>1022</v>
      </c>
      <c r="D5238" s="155" t="s">
        <v>587</v>
      </c>
      <c r="E5238" s="34">
        <v>7.1099999999999997E-2</v>
      </c>
      <c r="F5238" s="28">
        <v>19.522500000000001</v>
      </c>
      <c r="G5238" s="49">
        <f>IF(ISNUMBER(F5238),E5238*F5238,"")</f>
        <v>1.38804975</v>
      </c>
      <c r="H5238" s="65"/>
      <c r="I5238" s="66"/>
      <c r="J5238" s="125">
        <v>0</v>
      </c>
    </row>
    <row r="5239" spans="1:10" ht="15.75" hidden="1" thickBot="1" x14ac:dyDescent="0.3">
      <c r="A5239" s="249"/>
      <c r="B5239" s="238"/>
      <c r="C5239" s="155" t="s">
        <v>1023</v>
      </c>
      <c r="D5239" s="155" t="s">
        <v>587</v>
      </c>
      <c r="E5239" s="34">
        <v>7.1099999999999997E-2</v>
      </c>
      <c r="F5239" s="28">
        <v>25.954000000000001</v>
      </c>
      <c r="G5239" s="49">
        <f>IF(ISNUMBER(F5239),E5239*F5239,"")</f>
        <v>1.8453294</v>
      </c>
      <c r="H5239" s="65"/>
      <c r="I5239" s="66"/>
      <c r="J5239" s="125">
        <v>0</v>
      </c>
    </row>
    <row r="5240" spans="1:10" ht="15.75" hidden="1" thickBot="1" x14ac:dyDescent="0.3">
      <c r="A5240" s="249"/>
      <c r="B5240" s="238"/>
      <c r="C5240" s="155"/>
      <c r="D5240" s="42"/>
      <c r="E5240" s="34"/>
      <c r="F5240" s="49" t="s">
        <v>418</v>
      </c>
      <c r="G5240" s="49" t="str">
        <f>IF(ISNUMBER(F5240),E5240*F5240,"")</f>
        <v/>
      </c>
      <c r="H5240" s="65"/>
      <c r="I5240" s="66"/>
      <c r="J5240" s="125">
        <v>0</v>
      </c>
    </row>
    <row r="5241" spans="1:10" ht="15.75" hidden="1" thickBot="1" x14ac:dyDescent="0.3">
      <c r="A5241" s="234" t="s">
        <v>11250</v>
      </c>
      <c r="B5241" s="237" t="s">
        <v>11251</v>
      </c>
      <c r="C5241" s="160"/>
      <c r="D5241" s="23" t="s">
        <v>69</v>
      </c>
      <c r="E5241" s="24"/>
      <c r="F5241" s="44" t="s">
        <v>418</v>
      </c>
      <c r="G5241" s="25" t="str">
        <f>IF(ISNUMBER(F5241),E5241*F5241,"")</f>
        <v/>
      </c>
      <c r="H5241" s="26"/>
      <c r="I5241" s="27"/>
      <c r="J5241" s="125">
        <v>0</v>
      </c>
    </row>
    <row r="5242" spans="1:10" ht="15.75" hidden="1" thickBot="1" x14ac:dyDescent="0.3">
      <c r="A5242" s="249"/>
      <c r="B5242" s="238"/>
      <c r="C5242" s="151"/>
      <c r="D5242" s="29"/>
      <c r="E5242" s="30"/>
      <c r="F5242" s="49" t="s">
        <v>418</v>
      </c>
      <c r="G5242" s="49" t="str">
        <f>IF(ISNUMBER(F5242),E5242*F5242,"")</f>
        <v/>
      </c>
      <c r="H5242" s="65"/>
      <c r="I5242" s="66"/>
      <c r="J5242" s="125">
        <v>0</v>
      </c>
    </row>
    <row r="5243" spans="1:10" ht="15.75" hidden="1" thickBot="1" x14ac:dyDescent="0.3">
      <c r="A5243" s="249"/>
      <c r="B5243" s="238"/>
      <c r="C5243" s="155" t="s">
        <v>11272</v>
      </c>
      <c r="D5243" s="33" t="s">
        <v>69</v>
      </c>
      <c r="E5243" s="34">
        <v>1.05</v>
      </c>
      <c r="F5243" s="28" t="s">
        <v>418</v>
      </c>
      <c r="G5243" s="49" t="str">
        <f>IF(ISNUMBER(F5243),E5243*F5243,"")</f>
        <v/>
      </c>
      <c r="H5243" s="35">
        <f>SUM(G5243:G5245)</f>
        <v>6.3121382000000006</v>
      </c>
      <c r="I5243" s="36"/>
      <c r="J5243" s="125">
        <v>0</v>
      </c>
    </row>
    <row r="5244" spans="1:10" ht="15.75" hidden="1" thickBot="1" x14ac:dyDescent="0.3">
      <c r="A5244" s="249"/>
      <c r="B5244" s="238"/>
      <c r="C5244" s="155" t="s">
        <v>1022</v>
      </c>
      <c r="D5244" s="155" t="s">
        <v>587</v>
      </c>
      <c r="E5244" s="34">
        <v>0.13880000000000001</v>
      </c>
      <c r="F5244" s="28">
        <v>19.522500000000001</v>
      </c>
      <c r="G5244" s="49">
        <f>IF(ISNUMBER(F5244),E5244*F5244,"")</f>
        <v>2.7097230000000003</v>
      </c>
      <c r="H5244" s="65"/>
      <c r="I5244" s="66"/>
      <c r="J5244" s="125">
        <v>0</v>
      </c>
    </row>
    <row r="5245" spans="1:10" ht="15.75" hidden="1" thickBot="1" x14ac:dyDescent="0.3">
      <c r="A5245" s="249"/>
      <c r="B5245" s="238"/>
      <c r="C5245" s="155" t="s">
        <v>1023</v>
      </c>
      <c r="D5245" s="155" t="s">
        <v>587</v>
      </c>
      <c r="E5245" s="34">
        <v>0.13880000000000001</v>
      </c>
      <c r="F5245" s="28">
        <v>25.954000000000001</v>
      </c>
      <c r="G5245" s="49">
        <f>IF(ISNUMBER(F5245),E5245*F5245,"")</f>
        <v>3.6024152000000003</v>
      </c>
      <c r="H5245" s="65"/>
      <c r="I5245" s="66"/>
      <c r="J5245" s="125">
        <v>0</v>
      </c>
    </row>
    <row r="5246" spans="1:10" ht="15.75" hidden="1" thickBot="1" x14ac:dyDescent="0.3">
      <c r="A5246" s="249"/>
      <c r="B5246" s="238"/>
      <c r="C5246" s="155"/>
      <c r="D5246" s="42"/>
      <c r="E5246" s="34"/>
      <c r="F5246" s="49" t="s">
        <v>418</v>
      </c>
      <c r="G5246" s="49" t="str">
        <f>IF(ISNUMBER(F5246),E5246*F5246,"")</f>
        <v/>
      </c>
      <c r="H5246" s="65"/>
      <c r="I5246" s="66"/>
      <c r="J5246" s="125">
        <v>0</v>
      </c>
    </row>
    <row r="5247" spans="1:10" ht="15.75" hidden="1" thickBot="1" x14ac:dyDescent="0.3">
      <c r="A5247" s="234" t="s">
        <v>11252</v>
      </c>
      <c r="B5247" s="237" t="s">
        <v>13565</v>
      </c>
      <c r="C5247" s="160"/>
      <c r="D5247" s="23" t="s">
        <v>69</v>
      </c>
      <c r="E5247" s="24"/>
      <c r="F5247" s="37" t="s">
        <v>418</v>
      </c>
      <c r="G5247" s="25" t="str">
        <f>IF(ISNUMBER(F5247),E5247*F5247,"")</f>
        <v/>
      </c>
      <c r="H5247" s="26"/>
      <c r="I5247" s="27"/>
      <c r="J5247" s="125">
        <v>0</v>
      </c>
    </row>
    <row r="5248" spans="1:10" ht="15.75" hidden="1" thickBot="1" x14ac:dyDescent="0.3">
      <c r="A5248" s="235"/>
      <c r="B5248" s="238"/>
      <c r="C5248" s="151"/>
      <c r="D5248" s="29"/>
      <c r="E5248" s="30"/>
      <c r="F5248" s="38" t="s">
        <v>418</v>
      </c>
      <c r="G5248" s="28" t="str">
        <f>IF(ISNUMBER(F5248),E5248*F5248,"")</f>
        <v/>
      </c>
      <c r="H5248" s="32"/>
      <c r="I5248" s="28"/>
      <c r="J5248" s="125">
        <v>0</v>
      </c>
    </row>
    <row r="5249" spans="1:10" ht="39" hidden="1" thickBot="1" x14ac:dyDescent="0.3">
      <c r="A5249" s="235"/>
      <c r="B5249" s="238"/>
      <c r="C5249" s="155" t="s">
        <v>25277</v>
      </c>
      <c r="D5249" s="155" t="s">
        <v>385</v>
      </c>
      <c r="E5249" s="34">
        <v>1.1000000000000001</v>
      </c>
      <c r="F5249" s="28">
        <v>3.8949999999999996</v>
      </c>
      <c r="G5249" s="31">
        <f>IF(ISNUMBER(F5249),E5249*F5249,"")</f>
        <v>4.2844999999999995</v>
      </c>
      <c r="H5249" s="35">
        <f>SUM(G5249:G5252)</f>
        <v>13.310317</v>
      </c>
      <c r="I5249" s="36"/>
      <c r="J5249" s="125">
        <v>0</v>
      </c>
    </row>
    <row r="5250" spans="1:10" ht="15.75" hidden="1" thickBot="1" x14ac:dyDescent="0.3">
      <c r="A5250" s="235"/>
      <c r="B5250" s="238"/>
      <c r="C5250" s="155" t="s">
        <v>1022</v>
      </c>
      <c r="D5250" s="155" t="s">
        <v>587</v>
      </c>
      <c r="E5250" s="34">
        <v>0.123</v>
      </c>
      <c r="F5250" s="28">
        <v>19.522500000000001</v>
      </c>
      <c r="G5250" s="31">
        <f>IF(ISNUMBER(F5250),E5250*F5250,"")</f>
        <v>2.4012674999999999</v>
      </c>
      <c r="H5250" s="32"/>
      <c r="I5250" s="28"/>
      <c r="J5250" s="125">
        <v>0</v>
      </c>
    </row>
    <row r="5251" spans="1:10" ht="15.75" hidden="1" thickBot="1" x14ac:dyDescent="0.3">
      <c r="A5251" s="235"/>
      <c r="B5251" s="238"/>
      <c r="C5251" s="155" t="s">
        <v>1023</v>
      </c>
      <c r="D5251" s="155" t="s">
        <v>587</v>
      </c>
      <c r="E5251" s="34">
        <v>0.123</v>
      </c>
      <c r="F5251" s="28">
        <v>25.954000000000001</v>
      </c>
      <c r="G5251" s="31">
        <f>IF(ISNUMBER(F5251),E5251*F5251,"")</f>
        <v>3.192342</v>
      </c>
      <c r="H5251" s="32"/>
      <c r="I5251" s="28"/>
      <c r="J5251" s="125">
        <v>0</v>
      </c>
    </row>
    <row r="5252" spans="1:10" ht="51.75" hidden="1" thickBot="1" x14ac:dyDescent="0.3">
      <c r="A5252" s="235"/>
      <c r="B5252" s="238"/>
      <c r="C5252" s="155" t="s">
        <v>8119</v>
      </c>
      <c r="D5252" s="155" t="s">
        <v>385</v>
      </c>
      <c r="E5252" s="34">
        <v>1</v>
      </c>
      <c r="F5252" s="31">
        <v>3.4322075000000001</v>
      </c>
      <c r="G5252" s="28">
        <f>IF(ISNUMBER(F5252),E5252*F5252,"")</f>
        <v>3.4322075000000001</v>
      </c>
      <c r="H5252" s="32"/>
      <c r="I5252" s="28"/>
      <c r="J5252" s="125">
        <v>0</v>
      </c>
    </row>
    <row r="5253" spans="1:10" ht="15.75" hidden="1" thickBot="1" x14ac:dyDescent="0.3">
      <c r="A5253" s="236"/>
      <c r="B5253" s="239"/>
      <c r="C5253" s="155"/>
      <c r="D5253" s="33"/>
      <c r="E5253" s="34"/>
      <c r="F5253" s="28" t="s">
        <v>418</v>
      </c>
      <c r="G5253" s="28" t="str">
        <f>IF(ISNUMBER(F5253),E5253*F5253,"")</f>
        <v/>
      </c>
      <c r="H5253" s="32"/>
      <c r="I5253" s="28"/>
      <c r="J5253" s="125">
        <v>0</v>
      </c>
    </row>
    <row r="5254" spans="1:10" ht="15.75" hidden="1" thickBot="1" x14ac:dyDescent="0.3">
      <c r="A5254" s="241" t="s">
        <v>11253</v>
      </c>
      <c r="B5254" s="244" t="s">
        <v>19784</v>
      </c>
      <c r="C5254" s="160"/>
      <c r="D5254" s="23" t="s">
        <v>16</v>
      </c>
      <c r="E5254" s="24"/>
      <c r="F5254" s="37" t="s">
        <v>418</v>
      </c>
      <c r="G5254" s="25" t="str">
        <f>IF(ISNUMBER(F5254),E5254*F5254,"")</f>
        <v/>
      </c>
      <c r="H5254" s="26"/>
      <c r="I5254" s="27"/>
      <c r="J5254" s="125">
        <v>0</v>
      </c>
    </row>
    <row r="5255" spans="1:10" ht="15.75" hidden="1" thickBot="1" x14ac:dyDescent="0.3">
      <c r="A5255" s="242"/>
      <c r="B5255" s="245"/>
      <c r="C5255" s="151"/>
      <c r="D5255" s="29"/>
      <c r="E5255" s="30"/>
      <c r="F5255" s="38" t="s">
        <v>418</v>
      </c>
      <c r="G5255" s="28" t="str">
        <f>IF(ISNUMBER(F5255),E5255*F5255,"")</f>
        <v/>
      </c>
      <c r="H5255" s="32"/>
      <c r="I5255" s="28"/>
      <c r="J5255" s="125">
        <v>0</v>
      </c>
    </row>
    <row r="5256" spans="1:10" ht="64.5" hidden="1" thickBot="1" x14ac:dyDescent="0.3">
      <c r="A5256" s="242"/>
      <c r="B5256" s="245"/>
      <c r="C5256" s="155" t="s">
        <v>2379</v>
      </c>
      <c r="D5256" s="155" t="s">
        <v>814</v>
      </c>
      <c r="E5256" s="34">
        <f>ROUND(0.0087*3.33,4)</f>
        <v>2.9000000000000001E-2</v>
      </c>
      <c r="F5256" s="28">
        <v>138.3295</v>
      </c>
      <c r="G5256" s="31">
        <f>IF(ISNUMBER(F5256),E5256*F5256,"")</f>
        <v>4.0115555000000001</v>
      </c>
      <c r="H5256" s="35">
        <f>SUM(G5256:G5264)</f>
        <v>1723.9741505830082</v>
      </c>
      <c r="I5256" s="36"/>
      <c r="J5256" s="125">
        <v>0</v>
      </c>
    </row>
    <row r="5257" spans="1:10" ht="64.5" hidden="1" thickBot="1" x14ac:dyDescent="0.3">
      <c r="A5257" s="242"/>
      <c r="B5257" s="245"/>
      <c r="C5257" s="155" t="s">
        <v>2623</v>
      </c>
      <c r="D5257" s="155" t="s">
        <v>816</v>
      </c>
      <c r="E5257" s="34">
        <f>ROUND(0.0178*3.33,4)</f>
        <v>5.9299999999999999E-2</v>
      </c>
      <c r="F5257" s="28">
        <v>56.876499999999993</v>
      </c>
      <c r="G5257" s="31">
        <f>IF(ISNUMBER(F5257),E5257*F5257,"")</f>
        <v>3.3727764499999995</v>
      </c>
      <c r="H5257" s="32"/>
      <c r="I5257" s="28"/>
      <c r="J5257" s="125">
        <v>0</v>
      </c>
    </row>
    <row r="5258" spans="1:10" ht="15.75" hidden="1" thickBot="1" x14ac:dyDescent="0.3">
      <c r="A5258" s="242"/>
      <c r="B5258" s="245"/>
      <c r="C5258" s="155" t="s">
        <v>10396</v>
      </c>
      <c r="D5258" s="155" t="s">
        <v>205</v>
      </c>
      <c r="E5258" s="34">
        <f>ROUND(134.764*3.33,4)</f>
        <v>448.76409999999998</v>
      </c>
      <c r="F5258" s="31">
        <v>0.60799999999999998</v>
      </c>
      <c r="G5258" s="28">
        <f>IF(ISNUMBER(F5258),E5258*F5258,"")</f>
        <v>272.8485728</v>
      </c>
      <c r="H5258" s="32"/>
      <c r="I5258" s="28"/>
      <c r="J5258" s="125">
        <v>0</v>
      </c>
    </row>
    <row r="5259" spans="1:10" ht="39" hidden="1" thickBot="1" x14ac:dyDescent="0.3">
      <c r="A5259" s="242"/>
      <c r="B5259" s="245"/>
      <c r="C5259" s="155" t="s">
        <v>880</v>
      </c>
      <c r="D5259" s="155" t="s">
        <v>85</v>
      </c>
      <c r="E5259" s="34">
        <f>ROUND(0.00136*3.33,4)</f>
        <v>4.4999999999999997E-3</v>
      </c>
      <c r="F5259" s="28">
        <v>675.01386778699998</v>
      </c>
      <c r="G5259" s="31">
        <f>IF(ISNUMBER(F5259),E5259*F5259,"")</f>
        <v>3.0375624050414998</v>
      </c>
      <c r="H5259" s="32"/>
      <c r="I5259" s="36"/>
      <c r="J5259" s="125">
        <v>0</v>
      </c>
    </row>
    <row r="5260" spans="1:10" ht="15.75" hidden="1" thickBot="1" x14ac:dyDescent="0.3">
      <c r="A5260" s="242"/>
      <c r="B5260" s="245"/>
      <c r="C5260" s="155" t="s">
        <v>595</v>
      </c>
      <c r="D5260" s="155" t="s">
        <v>587</v>
      </c>
      <c r="E5260" s="34">
        <f>ROUND(4.5403*3.33,4)</f>
        <v>15.119199999999999</v>
      </c>
      <c r="F5260" s="28">
        <v>25.65</v>
      </c>
      <c r="G5260" s="31">
        <f>IF(ISNUMBER(F5260),E5260*F5260,"")</f>
        <v>387.80747999999994</v>
      </c>
      <c r="H5260" s="32"/>
      <c r="I5260" s="28"/>
      <c r="J5260" s="125">
        <v>0</v>
      </c>
    </row>
    <row r="5261" spans="1:10" ht="15.75" hidden="1" thickBot="1" x14ac:dyDescent="0.3">
      <c r="A5261" s="242"/>
      <c r="B5261" s="245"/>
      <c r="C5261" s="155" t="s">
        <v>588</v>
      </c>
      <c r="D5261" s="155" t="s">
        <v>587</v>
      </c>
      <c r="E5261" s="34">
        <f>ROUND(3.5674*3.33,4)</f>
        <v>11.8794</v>
      </c>
      <c r="F5261" s="31">
        <v>19.189999999999998</v>
      </c>
      <c r="G5261" s="28">
        <f>IF(ISNUMBER(F5261),E5261*F5261,"")</f>
        <v>227.96568599999998</v>
      </c>
      <c r="H5261" s="32"/>
      <c r="I5261" s="28"/>
      <c r="J5261" s="125">
        <v>0</v>
      </c>
    </row>
    <row r="5262" spans="1:10" ht="26.25" hidden="1" thickBot="1" x14ac:dyDescent="0.3">
      <c r="A5262" s="242"/>
      <c r="B5262" s="245"/>
      <c r="C5262" s="155" t="s">
        <v>9182</v>
      </c>
      <c r="D5262" s="155" t="s">
        <v>85</v>
      </c>
      <c r="E5262" s="34">
        <f>ROUND(0.1012*3.33,4)</f>
        <v>0.33700000000000002</v>
      </c>
      <c r="F5262" s="28">
        <v>828.55930512949988</v>
      </c>
      <c r="G5262" s="31">
        <f>IF(ISNUMBER(F5262),E5262*F5262,"")</f>
        <v>279.22448582864149</v>
      </c>
      <c r="H5262" s="32"/>
      <c r="I5262" s="36"/>
      <c r="J5262" s="125">
        <v>0</v>
      </c>
    </row>
    <row r="5263" spans="1:10" ht="26.25" hidden="1" thickBot="1" x14ac:dyDescent="0.3">
      <c r="A5263" s="242"/>
      <c r="B5263" s="245"/>
      <c r="C5263" s="155" t="s">
        <v>5409</v>
      </c>
      <c r="D5263" s="155" t="s">
        <v>85</v>
      </c>
      <c r="E5263" s="34">
        <f>ROUND(0.0448*3.33,4)</f>
        <v>0.1492</v>
      </c>
      <c r="F5263" s="28">
        <v>2756.5278945400514</v>
      </c>
      <c r="G5263" s="31">
        <f>IF(ISNUMBER(F5263),E5263*F5263,"")</f>
        <v>411.27396186537567</v>
      </c>
      <c r="H5263" s="32"/>
      <c r="I5263" s="28"/>
      <c r="J5263" s="125">
        <v>0</v>
      </c>
    </row>
    <row r="5264" spans="1:10" ht="26.25" hidden="1" thickBot="1" x14ac:dyDescent="0.3">
      <c r="A5264" s="242"/>
      <c r="B5264" s="245"/>
      <c r="C5264" s="155" t="s">
        <v>11528</v>
      </c>
      <c r="D5264" s="155" t="s">
        <v>85</v>
      </c>
      <c r="E5264" s="34">
        <f>ROUND(0.081*3.33,4)</f>
        <v>0.2697</v>
      </c>
      <c r="F5264" s="31">
        <v>498.45038833499996</v>
      </c>
      <c r="G5264" s="28">
        <f>IF(ISNUMBER(F5264),E5264*F5264,"")</f>
        <v>134.43206973394948</v>
      </c>
      <c r="H5264" s="32"/>
      <c r="I5264" s="28"/>
      <c r="J5264" s="125">
        <v>0</v>
      </c>
    </row>
    <row r="5265" spans="1:10" ht="15.75" hidden="1" thickBot="1" x14ac:dyDescent="0.3">
      <c r="A5265" s="243"/>
      <c r="B5265" s="246"/>
      <c r="C5265" s="155"/>
      <c r="D5265" s="33"/>
      <c r="E5265" s="34"/>
      <c r="F5265" s="28" t="s">
        <v>418</v>
      </c>
      <c r="G5265" s="28" t="str">
        <f>IF(ISNUMBER(F5265),E5265*F5265,"")</f>
        <v/>
      </c>
      <c r="H5265" s="32"/>
      <c r="I5265" s="28"/>
      <c r="J5265" s="125">
        <v>0</v>
      </c>
    </row>
    <row r="5266" spans="1:10" ht="15.75" hidden="1" thickBot="1" x14ac:dyDescent="0.3">
      <c r="A5266" s="234" t="s">
        <v>11254</v>
      </c>
      <c r="B5266" s="237" t="s">
        <v>11255</v>
      </c>
      <c r="C5266" s="160"/>
      <c r="D5266" s="23" t="s">
        <v>16</v>
      </c>
      <c r="E5266" s="24"/>
      <c r="F5266" s="37" t="s">
        <v>418</v>
      </c>
      <c r="G5266" s="25" t="str">
        <f>IF(ISNUMBER(F5266),E5266*F5266,"")</f>
        <v/>
      </c>
      <c r="H5266" s="26"/>
      <c r="I5266" s="27"/>
      <c r="J5266" s="125">
        <v>0</v>
      </c>
    </row>
    <row r="5267" spans="1:10" ht="15.75" hidden="1" thickBot="1" x14ac:dyDescent="0.3">
      <c r="A5267" s="235"/>
      <c r="B5267" s="238"/>
      <c r="C5267" s="151"/>
      <c r="D5267" s="29"/>
      <c r="E5267" s="30"/>
      <c r="F5267" s="38" t="s">
        <v>418</v>
      </c>
      <c r="G5267" s="28" t="str">
        <f>IF(ISNUMBER(F5267),E5267*F5267,"")</f>
        <v/>
      </c>
      <c r="H5267" s="32"/>
      <c r="I5267" s="28"/>
      <c r="J5267" s="125">
        <v>0</v>
      </c>
    </row>
    <row r="5268" spans="1:10" ht="15.75" hidden="1" thickBot="1" x14ac:dyDescent="0.3">
      <c r="A5268" s="235"/>
      <c r="B5268" s="238"/>
      <c r="C5268" s="155" t="s">
        <v>1076</v>
      </c>
      <c r="D5268" s="155" t="s">
        <v>587</v>
      </c>
      <c r="E5268" s="34">
        <v>40</v>
      </c>
      <c r="F5268" s="28">
        <v>122.9965</v>
      </c>
      <c r="G5268" s="31">
        <f>IF(ISNUMBER(F5268),E5268*F5268,"")</f>
        <v>4919.8599999999997</v>
      </c>
      <c r="H5268" s="35">
        <f>SUM(G5268:G5272)</f>
        <v>6511.67</v>
      </c>
      <c r="I5268" s="36"/>
      <c r="J5268" s="125">
        <v>0</v>
      </c>
    </row>
    <row r="5269" spans="1:10" ht="15.75" hidden="1" thickBot="1" x14ac:dyDescent="0.3">
      <c r="A5269" s="235"/>
      <c r="B5269" s="238"/>
      <c r="C5269" s="155" t="s">
        <v>9887</v>
      </c>
      <c r="D5269" s="155" t="s">
        <v>587</v>
      </c>
      <c r="E5269" s="34">
        <v>20</v>
      </c>
      <c r="F5269" s="28">
        <v>21.4605</v>
      </c>
      <c r="G5269" s="31">
        <f>IF(ISNUMBER(F5269),E5269*F5269,"")</f>
        <v>429.21</v>
      </c>
      <c r="H5269" s="32"/>
      <c r="I5269" s="28"/>
      <c r="J5269" s="125">
        <v>0</v>
      </c>
    </row>
    <row r="5270" spans="1:10" ht="15.75" hidden="1" thickBot="1" x14ac:dyDescent="0.3">
      <c r="A5270" s="235"/>
      <c r="B5270" s="238"/>
      <c r="C5270" s="155" t="s">
        <v>9898</v>
      </c>
      <c r="D5270" s="155" t="s">
        <v>587</v>
      </c>
      <c r="E5270" s="34">
        <v>20</v>
      </c>
      <c r="F5270" s="28">
        <v>30.618499999999994</v>
      </c>
      <c r="G5270" s="31">
        <f>IF(ISNUMBER(F5270),E5270*F5270,"")</f>
        <v>612.36999999999989</v>
      </c>
      <c r="H5270" s="32"/>
      <c r="I5270" s="28"/>
      <c r="J5270" s="125">
        <v>0</v>
      </c>
    </row>
    <row r="5271" spans="1:10" ht="15.75" hidden="1" thickBot="1" x14ac:dyDescent="0.3">
      <c r="A5271" s="235"/>
      <c r="B5271" s="238"/>
      <c r="C5271" s="155" t="s">
        <v>9758</v>
      </c>
      <c r="D5271" s="155" t="s">
        <v>587</v>
      </c>
      <c r="E5271" s="34">
        <v>20</v>
      </c>
      <c r="F5271" s="28">
        <v>14.782</v>
      </c>
      <c r="G5271" s="31">
        <f>IF(ISNUMBER(F5271),E5271*F5271,"")</f>
        <v>295.64</v>
      </c>
      <c r="H5271" s="32"/>
      <c r="I5271" s="28"/>
      <c r="J5271" s="125">
        <v>0</v>
      </c>
    </row>
    <row r="5272" spans="1:10" ht="15.75" hidden="1" thickBot="1" x14ac:dyDescent="0.3">
      <c r="A5272" s="235"/>
      <c r="B5272" s="238"/>
      <c r="C5272" s="155" t="s">
        <v>15</v>
      </c>
      <c r="D5272" s="33" t="s">
        <v>16</v>
      </c>
      <c r="E5272" s="34">
        <v>1</v>
      </c>
      <c r="F5272" s="31">
        <v>254.59</v>
      </c>
      <c r="G5272" s="28">
        <f>IF(ISNUMBER(F5272),E5272*F5272,"")</f>
        <v>254.59</v>
      </c>
      <c r="H5272" s="32"/>
      <c r="I5272" s="28"/>
      <c r="J5272" s="125">
        <v>0</v>
      </c>
    </row>
    <row r="5273" spans="1:10" ht="15.75" hidden="1" thickBot="1" x14ac:dyDescent="0.3">
      <c r="A5273" s="236"/>
      <c r="B5273" s="239"/>
      <c r="C5273" s="155"/>
      <c r="D5273" s="33"/>
      <c r="E5273" s="34"/>
      <c r="F5273" s="28" t="s">
        <v>418</v>
      </c>
      <c r="G5273" s="28" t="str">
        <f>IF(ISNUMBER(F5273),E5273*F5273,"")</f>
        <v/>
      </c>
      <c r="H5273" s="32"/>
      <c r="I5273" s="28"/>
      <c r="J5273" s="125">
        <v>0</v>
      </c>
    </row>
    <row r="5274" spans="1:10" ht="15.75" hidden="1" thickBot="1" x14ac:dyDescent="0.3">
      <c r="A5274" s="234" t="s">
        <v>11256</v>
      </c>
      <c r="B5274" s="237" t="s">
        <v>11257</v>
      </c>
      <c r="C5274" s="160"/>
      <c r="D5274" s="23" t="s">
        <v>69</v>
      </c>
      <c r="E5274" s="24"/>
      <c r="F5274" s="37" t="s">
        <v>418</v>
      </c>
      <c r="G5274" s="25" t="str">
        <f>IF(ISNUMBER(F5274),E5274*F5274,"")</f>
        <v/>
      </c>
      <c r="H5274" s="26"/>
      <c r="I5274" s="27"/>
      <c r="J5274" s="125">
        <v>0</v>
      </c>
    </row>
    <row r="5275" spans="1:10" ht="15.75" hidden="1" thickBot="1" x14ac:dyDescent="0.3">
      <c r="A5275" s="235"/>
      <c r="B5275" s="238"/>
      <c r="C5275" s="151"/>
      <c r="D5275" s="29"/>
      <c r="E5275" s="30"/>
      <c r="F5275" s="38" t="s">
        <v>418</v>
      </c>
      <c r="G5275" s="28" t="str">
        <f>IF(ISNUMBER(F5275),E5275*F5275,"")</f>
        <v/>
      </c>
      <c r="H5275" s="32"/>
      <c r="I5275" s="28"/>
      <c r="J5275" s="125">
        <v>0</v>
      </c>
    </row>
    <row r="5276" spans="1:10" ht="39" hidden="1" thickBot="1" x14ac:dyDescent="0.3">
      <c r="A5276" s="235"/>
      <c r="B5276" s="238"/>
      <c r="C5276" s="155" t="s">
        <v>38838</v>
      </c>
      <c r="D5276" s="155" t="s">
        <v>385</v>
      </c>
      <c r="E5276" s="34">
        <v>1.1000000000000001</v>
      </c>
      <c r="F5276" s="28">
        <v>6.4124999999999996</v>
      </c>
      <c r="G5276" s="31">
        <f>IF(ISNUMBER(F5276),E5276*F5276,"")</f>
        <v>7.05375</v>
      </c>
      <c r="H5276" s="35">
        <f>SUM(G5276:G5278)</f>
        <v>11.351279249999999</v>
      </c>
      <c r="I5276" s="36"/>
      <c r="J5276" s="125">
        <v>0</v>
      </c>
    </row>
    <row r="5277" spans="1:10" ht="15.75" hidden="1" thickBot="1" x14ac:dyDescent="0.3">
      <c r="A5277" s="235"/>
      <c r="B5277" s="238"/>
      <c r="C5277" s="155" t="s">
        <v>1022</v>
      </c>
      <c r="D5277" s="155" t="s">
        <v>587</v>
      </c>
      <c r="E5277" s="34">
        <v>9.4500000000000001E-2</v>
      </c>
      <c r="F5277" s="28">
        <v>19.522500000000001</v>
      </c>
      <c r="G5277" s="31">
        <f>IF(ISNUMBER(F5277),E5277*F5277,"")</f>
        <v>1.84487625</v>
      </c>
      <c r="H5277" s="32"/>
      <c r="I5277" s="28"/>
      <c r="J5277" s="125">
        <v>0</v>
      </c>
    </row>
    <row r="5278" spans="1:10" ht="15.75" hidden="1" thickBot="1" x14ac:dyDescent="0.3">
      <c r="A5278" s="235"/>
      <c r="B5278" s="238"/>
      <c r="C5278" s="155" t="s">
        <v>1023</v>
      </c>
      <c r="D5278" s="155" t="s">
        <v>587</v>
      </c>
      <c r="E5278" s="34">
        <v>9.4500000000000001E-2</v>
      </c>
      <c r="F5278" s="31">
        <v>25.954000000000001</v>
      </c>
      <c r="G5278" s="28">
        <f>IF(ISNUMBER(F5278),E5278*F5278,"")</f>
        <v>2.4526530000000002</v>
      </c>
      <c r="H5278" s="32"/>
      <c r="I5278" s="28"/>
      <c r="J5278" s="125">
        <v>0</v>
      </c>
    </row>
    <row r="5279" spans="1:10" ht="15.75" hidden="1" thickBot="1" x14ac:dyDescent="0.3">
      <c r="A5279" s="236"/>
      <c r="B5279" s="239"/>
      <c r="C5279" s="155"/>
      <c r="D5279" s="33"/>
      <c r="E5279" s="34"/>
      <c r="F5279" s="28" t="s">
        <v>418</v>
      </c>
      <c r="G5279" s="28" t="str">
        <f>IF(ISNUMBER(F5279),E5279*F5279,"")</f>
        <v/>
      </c>
      <c r="H5279" s="32"/>
      <c r="I5279" s="28"/>
      <c r="J5279" s="125">
        <v>0</v>
      </c>
    </row>
    <row r="5280" spans="1:10" ht="15.75" hidden="1" thickBot="1" x14ac:dyDescent="0.3">
      <c r="A5280" s="234" t="s">
        <v>11258</v>
      </c>
      <c r="B5280" s="237" t="s">
        <v>11259</v>
      </c>
      <c r="C5280" s="160"/>
      <c r="D5280" s="23" t="s">
        <v>16</v>
      </c>
      <c r="E5280" s="24"/>
      <c r="F5280" s="44" t="s">
        <v>418</v>
      </c>
      <c r="G5280" s="25" t="str">
        <f>IF(ISNUMBER(F5280),E5280*F5280,"")</f>
        <v/>
      </c>
      <c r="H5280" s="26"/>
      <c r="I5280" s="27"/>
      <c r="J5280" s="125">
        <v>0</v>
      </c>
    </row>
    <row r="5281" spans="1:10" ht="15.75" hidden="1" thickBot="1" x14ac:dyDescent="0.3">
      <c r="A5281" s="249"/>
      <c r="B5281" s="240"/>
      <c r="C5281" s="127"/>
      <c r="D5281" s="127"/>
      <c r="E5281" s="128"/>
      <c r="F5281" s="49" t="s">
        <v>418</v>
      </c>
      <c r="G5281" s="49" t="str">
        <f>IF(ISNUMBER(F5281),E5281*F5281,"")</f>
        <v/>
      </c>
      <c r="H5281" s="65"/>
      <c r="I5281" s="66"/>
      <c r="J5281" s="125">
        <v>0</v>
      </c>
    </row>
    <row r="5282" spans="1:10" ht="39" hidden="1" thickBot="1" x14ac:dyDescent="0.3">
      <c r="A5282" s="249"/>
      <c r="B5282" s="240"/>
      <c r="C5282" s="155" t="s">
        <v>27467</v>
      </c>
      <c r="D5282" s="155" t="s">
        <v>205</v>
      </c>
      <c r="E5282" s="130">
        <v>1</v>
      </c>
      <c r="F5282" s="28">
        <v>732.31700000000001</v>
      </c>
      <c r="G5282" s="49">
        <f>IF(ISNUMBER(F5282),E5282*F5282,"")</f>
        <v>732.31700000000001</v>
      </c>
      <c r="H5282" s="35">
        <f>SUM(G5282:G5285)</f>
        <v>777.05285894256974</v>
      </c>
      <c r="I5282" s="36"/>
      <c r="J5282" s="125">
        <v>0</v>
      </c>
    </row>
    <row r="5283" spans="1:10" ht="15.75" hidden="1" thickBot="1" x14ac:dyDescent="0.3">
      <c r="A5283" s="249"/>
      <c r="B5283" s="240"/>
      <c r="C5283" s="155" t="s">
        <v>595</v>
      </c>
      <c r="D5283" s="155" t="s">
        <v>587</v>
      </c>
      <c r="E5283" s="130">
        <v>1.0088999999999999</v>
      </c>
      <c r="F5283" s="28">
        <v>25.65</v>
      </c>
      <c r="G5283" s="49">
        <f>IF(ISNUMBER(F5283),E5283*F5283,"")</f>
        <v>25.878284999999995</v>
      </c>
      <c r="H5283" s="65"/>
      <c r="I5283" s="66"/>
      <c r="J5283" s="125">
        <v>0</v>
      </c>
    </row>
    <row r="5284" spans="1:10" ht="15.75" hidden="1" thickBot="1" x14ac:dyDescent="0.3">
      <c r="A5284" s="249"/>
      <c r="B5284" s="240"/>
      <c r="C5284" s="155" t="s">
        <v>588</v>
      </c>
      <c r="D5284" s="155" t="s">
        <v>587</v>
      </c>
      <c r="E5284" s="130">
        <v>0.79269999999999996</v>
      </c>
      <c r="F5284" s="28">
        <v>19.189999999999998</v>
      </c>
      <c r="G5284" s="49">
        <f>IF(ISNUMBER(F5284),E5284*F5284,"")</f>
        <v>15.211912999999997</v>
      </c>
      <c r="H5284" s="65"/>
      <c r="I5284" s="66"/>
      <c r="J5284" s="125">
        <v>0</v>
      </c>
    </row>
    <row r="5285" spans="1:10" ht="26.25" hidden="1" thickBot="1" x14ac:dyDescent="0.3">
      <c r="A5285" s="249"/>
      <c r="B5285" s="240"/>
      <c r="C5285" s="155" t="s">
        <v>9182</v>
      </c>
      <c r="D5285" s="155" t="s">
        <v>85</v>
      </c>
      <c r="E5285" s="130">
        <v>4.4000000000000003E-3</v>
      </c>
      <c r="F5285" s="28">
        <v>828.55930512949988</v>
      </c>
      <c r="G5285" s="49">
        <f>IF(ISNUMBER(F5285),E5285*F5285,"")</f>
        <v>3.6456609425697999</v>
      </c>
      <c r="H5285" s="65"/>
      <c r="I5285" s="66"/>
      <c r="J5285" s="125">
        <v>0</v>
      </c>
    </row>
    <row r="5286" spans="1:10" ht="15.75" hidden="1" thickBot="1" x14ac:dyDescent="0.3">
      <c r="A5286" s="250"/>
      <c r="B5286" s="239"/>
      <c r="C5286" s="164"/>
      <c r="D5286" s="132"/>
      <c r="E5286" s="61"/>
      <c r="F5286" s="68" t="s">
        <v>418</v>
      </c>
      <c r="G5286" s="68" t="str">
        <f>IF(ISNUMBER(F5286),E5286*F5286,"")</f>
        <v/>
      </c>
      <c r="H5286" s="69"/>
      <c r="I5286" s="66"/>
      <c r="J5286" s="125">
        <v>0</v>
      </c>
    </row>
    <row r="5287" spans="1:10" ht="15.75" hidden="1" thickBot="1" x14ac:dyDescent="0.3">
      <c r="A5287" s="234" t="s">
        <v>12099</v>
      </c>
      <c r="B5287" s="237" t="s">
        <v>16224</v>
      </c>
      <c r="C5287" s="160"/>
      <c r="D5287" s="23" t="s">
        <v>69</v>
      </c>
      <c r="E5287" s="24"/>
      <c r="F5287" s="44" t="s">
        <v>418</v>
      </c>
      <c r="G5287" s="25" t="str">
        <f>IF(ISNUMBER(F5287),E5287*F5287,"")</f>
        <v/>
      </c>
      <c r="H5287" s="26"/>
      <c r="I5287" s="27"/>
      <c r="J5287" s="125">
        <v>0</v>
      </c>
    </row>
    <row r="5288" spans="1:10" ht="15.75" hidden="1" thickBot="1" x14ac:dyDescent="0.3">
      <c r="A5288" s="249"/>
      <c r="B5288" s="238"/>
      <c r="C5288" s="133"/>
      <c r="D5288" s="133"/>
      <c r="E5288" s="134"/>
      <c r="F5288" s="49" t="s">
        <v>418</v>
      </c>
      <c r="G5288" s="49" t="str">
        <f>IF(ISNUMBER(F5288),E5288*F5288,"")</f>
        <v/>
      </c>
      <c r="H5288" s="65"/>
      <c r="I5288" s="66"/>
      <c r="J5288" s="125">
        <v>0</v>
      </c>
    </row>
    <row r="5289" spans="1:10" ht="26.25" hidden="1" thickBot="1" x14ac:dyDescent="0.3">
      <c r="A5289" s="249"/>
      <c r="B5289" s="238"/>
      <c r="C5289" s="155" t="s">
        <v>10294</v>
      </c>
      <c r="D5289" s="155" t="s">
        <v>385</v>
      </c>
      <c r="E5289" s="34">
        <v>1.0216000000000001</v>
      </c>
      <c r="F5289" s="28">
        <v>16.9575</v>
      </c>
      <c r="G5289" s="49">
        <f>IF(ISNUMBER(F5289),E5289*F5289,"")</f>
        <v>17.323782000000001</v>
      </c>
      <c r="H5289" s="35">
        <f>SUM(G5289:G5291)</f>
        <v>25.580800100000001</v>
      </c>
      <c r="I5289" s="36"/>
      <c r="J5289" s="125">
        <v>0</v>
      </c>
    </row>
    <row r="5290" spans="1:10" ht="26.25" hidden="1" thickBot="1" x14ac:dyDescent="0.3">
      <c r="A5290" s="249"/>
      <c r="B5290" s="238"/>
      <c r="C5290" s="155" t="s">
        <v>824</v>
      </c>
      <c r="D5290" s="155" t="s">
        <v>587</v>
      </c>
      <c r="E5290" s="34">
        <v>8.1799999999999998E-2</v>
      </c>
      <c r="F5290" s="28">
        <v>18.6295</v>
      </c>
      <c r="G5290" s="49">
        <f>IF(ISNUMBER(F5290),E5290*F5290,"")</f>
        <v>1.5238931</v>
      </c>
      <c r="H5290" s="65"/>
      <c r="I5290" s="66"/>
      <c r="J5290" s="125">
        <v>0</v>
      </c>
    </row>
    <row r="5291" spans="1:10" ht="26.25" hidden="1" thickBot="1" x14ac:dyDescent="0.3">
      <c r="A5291" s="249"/>
      <c r="B5291" s="238"/>
      <c r="C5291" s="155" t="s">
        <v>825</v>
      </c>
      <c r="D5291" s="155" t="s">
        <v>587</v>
      </c>
      <c r="E5291" s="34">
        <v>0.27</v>
      </c>
      <c r="F5291" s="28">
        <v>24.9375</v>
      </c>
      <c r="G5291" s="49">
        <f>IF(ISNUMBER(F5291),E5291*F5291,"")</f>
        <v>6.7331250000000002</v>
      </c>
      <c r="H5291" s="65"/>
      <c r="I5291" s="66"/>
      <c r="J5291" s="125">
        <v>0</v>
      </c>
    </row>
    <row r="5292" spans="1:10" ht="15.75" hidden="1" thickBot="1" x14ac:dyDescent="0.3">
      <c r="A5292" s="249"/>
      <c r="B5292" s="238"/>
      <c r="C5292" s="155"/>
      <c r="D5292" s="42"/>
      <c r="E5292" s="34"/>
      <c r="F5292" s="49" t="s">
        <v>418</v>
      </c>
      <c r="G5292" s="49" t="str">
        <f>IF(ISNUMBER(F5292),E5292*F5292,"")</f>
        <v/>
      </c>
      <c r="H5292" s="65"/>
      <c r="I5292" s="66"/>
      <c r="J5292" s="125">
        <v>0</v>
      </c>
    </row>
    <row r="5293" spans="1:10" ht="15.75" hidden="1" thickBot="1" x14ac:dyDescent="0.3">
      <c r="A5293" s="234" t="s">
        <v>12100</v>
      </c>
      <c r="B5293" s="237" t="s">
        <v>16225</v>
      </c>
      <c r="C5293" s="160"/>
      <c r="D5293" s="23" t="s">
        <v>69</v>
      </c>
      <c r="E5293" s="24"/>
      <c r="F5293" s="44" t="s">
        <v>418</v>
      </c>
      <c r="G5293" s="25" t="str">
        <f>IF(ISNUMBER(F5293),E5293*F5293,"")</f>
        <v/>
      </c>
      <c r="H5293" s="26"/>
      <c r="I5293" s="27"/>
      <c r="J5293" s="125">
        <v>0</v>
      </c>
    </row>
    <row r="5294" spans="1:10" ht="15.75" hidden="1" thickBot="1" x14ac:dyDescent="0.3">
      <c r="A5294" s="249"/>
      <c r="B5294" s="240"/>
      <c r="C5294" s="135"/>
      <c r="D5294" s="135"/>
      <c r="E5294" s="136"/>
      <c r="F5294" s="49" t="s">
        <v>418</v>
      </c>
      <c r="G5294" s="49" t="str">
        <f>IF(ISNUMBER(F5294),E5294*F5294,"")</f>
        <v/>
      </c>
      <c r="H5294" s="65"/>
      <c r="I5294" s="66"/>
      <c r="J5294" s="125">
        <v>0</v>
      </c>
    </row>
    <row r="5295" spans="1:10" ht="26.25" hidden="1" thickBot="1" x14ac:dyDescent="0.3">
      <c r="A5295" s="249"/>
      <c r="B5295" s="240"/>
      <c r="C5295" s="155" t="s">
        <v>10293</v>
      </c>
      <c r="D5295" s="155" t="s">
        <v>385</v>
      </c>
      <c r="E5295" s="130">
        <v>1.0216000000000001</v>
      </c>
      <c r="F5295" s="28">
        <v>23.483999999999998</v>
      </c>
      <c r="G5295" s="49">
        <f>IF(ISNUMBER(F5295),E5295*F5295,"")</f>
        <v>23.991254399999999</v>
      </c>
      <c r="H5295" s="35">
        <f>SUM(G5295:G5297)</f>
        <v>33.869894950000003</v>
      </c>
      <c r="I5295" s="36"/>
      <c r="J5295" s="125">
        <v>0</v>
      </c>
    </row>
    <row r="5296" spans="1:10" ht="26.25" hidden="1" thickBot="1" x14ac:dyDescent="0.3">
      <c r="A5296" s="249"/>
      <c r="B5296" s="240"/>
      <c r="C5296" s="155" t="s">
        <v>824</v>
      </c>
      <c r="D5296" s="155" t="s">
        <v>587</v>
      </c>
      <c r="E5296" s="130">
        <v>9.7900000000000001E-2</v>
      </c>
      <c r="F5296" s="28">
        <v>18.6295</v>
      </c>
      <c r="G5296" s="49">
        <f>IF(ISNUMBER(F5296),E5296*F5296,"")</f>
        <v>1.8238280499999999</v>
      </c>
      <c r="H5296" s="65"/>
      <c r="I5296" s="66"/>
      <c r="J5296" s="125">
        <v>0</v>
      </c>
    </row>
    <row r="5297" spans="1:10" ht="26.25" hidden="1" thickBot="1" x14ac:dyDescent="0.3">
      <c r="A5297" s="249"/>
      <c r="B5297" s="240"/>
      <c r="C5297" s="155" t="s">
        <v>825</v>
      </c>
      <c r="D5297" s="155" t="s">
        <v>587</v>
      </c>
      <c r="E5297" s="130">
        <v>0.32300000000000001</v>
      </c>
      <c r="F5297" s="28">
        <v>24.9375</v>
      </c>
      <c r="G5297" s="49">
        <f>IF(ISNUMBER(F5297),E5297*F5297,"")</f>
        <v>8.0548125000000006</v>
      </c>
      <c r="H5297" s="65"/>
      <c r="I5297" s="66"/>
      <c r="J5297" s="125">
        <v>0</v>
      </c>
    </row>
    <row r="5298" spans="1:10" ht="15.75" hidden="1" thickBot="1" x14ac:dyDescent="0.3">
      <c r="A5298" s="250"/>
      <c r="B5298" s="239"/>
      <c r="C5298" s="164"/>
      <c r="D5298" s="132"/>
      <c r="E5298" s="61"/>
      <c r="F5298" s="68" t="s">
        <v>418</v>
      </c>
      <c r="G5298" s="68" t="str">
        <f>IF(ISNUMBER(F5298),E5298*F5298,"")</f>
        <v/>
      </c>
      <c r="H5298" s="69"/>
      <c r="I5298" s="66"/>
      <c r="J5298" s="125">
        <v>0</v>
      </c>
    </row>
    <row r="5299" spans="1:10" ht="15.75" hidden="1" thickBot="1" x14ac:dyDescent="0.3">
      <c r="A5299" s="234" t="s">
        <v>12891</v>
      </c>
      <c r="B5299" s="237" t="s">
        <v>12913</v>
      </c>
      <c r="C5299" s="160"/>
      <c r="D5299" s="23" t="s">
        <v>16</v>
      </c>
      <c r="E5299" s="24"/>
      <c r="F5299" s="44" t="s">
        <v>418</v>
      </c>
      <c r="G5299" s="25" t="str">
        <f>IF(ISNUMBER(F5299),E5299*F5299,"")</f>
        <v/>
      </c>
      <c r="H5299" s="26"/>
      <c r="I5299" s="27"/>
      <c r="J5299" s="125">
        <v>0</v>
      </c>
    </row>
    <row r="5300" spans="1:10" ht="15.75" hidden="1" thickBot="1" x14ac:dyDescent="0.3">
      <c r="A5300" s="249"/>
      <c r="B5300" s="240"/>
      <c r="C5300" s="135"/>
      <c r="D5300" s="135"/>
      <c r="E5300" s="136"/>
      <c r="F5300" s="49" t="s">
        <v>418</v>
      </c>
      <c r="G5300" s="49" t="str">
        <f>IF(ISNUMBER(F5300),E5300*F5300,"")</f>
        <v/>
      </c>
      <c r="H5300" s="65"/>
      <c r="I5300" s="66"/>
      <c r="J5300" s="125">
        <v>0</v>
      </c>
    </row>
    <row r="5301" spans="1:10" ht="15.75" hidden="1" thickBot="1" x14ac:dyDescent="0.3">
      <c r="A5301" s="249"/>
      <c r="B5301" s="240"/>
      <c r="C5301" s="155" t="s">
        <v>13541</v>
      </c>
      <c r="D5301" s="129" t="s">
        <v>205</v>
      </c>
      <c r="E5301" s="130">
        <v>1</v>
      </c>
      <c r="F5301" s="28" t="s">
        <v>418</v>
      </c>
      <c r="G5301" s="49" t="str">
        <f>IF(ISNUMBER(F5301),E5301*F5301,"")</f>
        <v/>
      </c>
      <c r="H5301" s="35">
        <f>SUM(G5301:G5303)</f>
        <v>6.1190260000000007</v>
      </c>
      <c r="I5301" s="36"/>
      <c r="J5301" s="125">
        <v>0</v>
      </c>
    </row>
    <row r="5302" spans="1:10" ht="15.75" hidden="1" thickBot="1" x14ac:dyDescent="0.3">
      <c r="A5302" s="249"/>
      <c r="B5302" s="240"/>
      <c r="C5302" s="155" t="s">
        <v>1022</v>
      </c>
      <c r="D5302" s="155" t="s">
        <v>587</v>
      </c>
      <c r="E5302" s="130">
        <v>7.4800000000000005E-2</v>
      </c>
      <c r="F5302" s="28">
        <v>19.522500000000001</v>
      </c>
      <c r="G5302" s="49">
        <f>IF(ISNUMBER(F5302),E5302*F5302,"")</f>
        <v>1.4602830000000002</v>
      </c>
      <c r="H5302" s="65"/>
      <c r="I5302" s="66"/>
      <c r="J5302" s="125">
        <v>0</v>
      </c>
    </row>
    <row r="5303" spans="1:10" ht="15.75" hidden="1" thickBot="1" x14ac:dyDescent="0.3">
      <c r="A5303" s="249"/>
      <c r="B5303" s="240"/>
      <c r="C5303" s="155" t="s">
        <v>1023</v>
      </c>
      <c r="D5303" s="155" t="s">
        <v>587</v>
      </c>
      <c r="E5303" s="130">
        <v>0.17949999999999999</v>
      </c>
      <c r="F5303" s="28">
        <v>25.954000000000001</v>
      </c>
      <c r="G5303" s="49">
        <f>IF(ISNUMBER(F5303),E5303*F5303,"")</f>
        <v>4.6587430000000003</v>
      </c>
      <c r="H5303" s="65"/>
      <c r="I5303" s="66"/>
      <c r="J5303" s="125">
        <v>0</v>
      </c>
    </row>
    <row r="5304" spans="1:10" ht="15.75" hidden="1" thickBot="1" x14ac:dyDescent="0.3">
      <c r="A5304" s="250"/>
      <c r="B5304" s="239"/>
      <c r="C5304" s="164"/>
      <c r="D5304" s="132"/>
      <c r="E5304" s="61"/>
      <c r="F5304" s="68" t="s">
        <v>418</v>
      </c>
      <c r="G5304" s="68" t="str">
        <f>IF(ISNUMBER(F5304),E5304*F5304,"")</f>
        <v/>
      </c>
      <c r="H5304" s="69"/>
      <c r="I5304" s="66"/>
      <c r="J5304" s="125">
        <v>0</v>
      </c>
    </row>
    <row r="5305" spans="1:10" ht="15.75" hidden="1" thickBot="1" x14ac:dyDescent="0.3">
      <c r="A5305" s="241" t="s">
        <v>12892</v>
      </c>
      <c r="B5305" s="237" t="s">
        <v>12914</v>
      </c>
      <c r="C5305" s="160"/>
      <c r="D5305" s="23" t="s">
        <v>69</v>
      </c>
      <c r="E5305" s="24"/>
      <c r="F5305" s="44" t="s">
        <v>418</v>
      </c>
      <c r="G5305" s="25" t="str">
        <f>IF(ISNUMBER(F5305),E5305*F5305,"")</f>
        <v/>
      </c>
      <c r="H5305" s="26"/>
      <c r="I5305" s="27"/>
      <c r="J5305" s="125">
        <v>0</v>
      </c>
    </row>
    <row r="5306" spans="1:10" ht="15.75" hidden="1" thickBot="1" x14ac:dyDescent="0.3">
      <c r="A5306" s="247"/>
      <c r="B5306" s="240"/>
      <c r="C5306" s="151"/>
      <c r="D5306" s="29"/>
      <c r="E5306" s="30"/>
      <c r="F5306" s="49" t="s">
        <v>418</v>
      </c>
      <c r="G5306" s="49" t="str">
        <f>IF(ISNUMBER(F5306),E5306*F5306,"")</f>
        <v/>
      </c>
      <c r="H5306" s="65"/>
      <c r="I5306" s="66"/>
      <c r="J5306" s="125">
        <v>0</v>
      </c>
    </row>
    <row r="5307" spans="1:10" ht="15.75" hidden="1" thickBot="1" x14ac:dyDescent="0.3">
      <c r="A5307" s="247"/>
      <c r="B5307" s="240"/>
      <c r="C5307" s="155" t="s">
        <v>13542</v>
      </c>
      <c r="D5307" s="33" t="s">
        <v>69</v>
      </c>
      <c r="E5307" s="34">
        <v>1.05</v>
      </c>
      <c r="F5307" s="28" t="s">
        <v>418</v>
      </c>
      <c r="G5307" s="49" t="str">
        <f>IF(ISNUMBER(F5307),E5307*F5307,"")</f>
        <v/>
      </c>
      <c r="H5307" s="35">
        <f>SUM(G5307:G5309)</f>
        <v>0.12733420000000001</v>
      </c>
      <c r="I5307" s="36"/>
      <c r="J5307" s="125">
        <v>0</v>
      </c>
    </row>
    <row r="5308" spans="1:10" ht="15.75" hidden="1" thickBot="1" x14ac:dyDescent="0.3">
      <c r="A5308" s="247"/>
      <c r="B5308" s="240"/>
      <c r="C5308" s="155" t="s">
        <v>1022</v>
      </c>
      <c r="D5308" s="155" t="s">
        <v>587</v>
      </c>
      <c r="E5308" s="34">
        <v>2.8E-3</v>
      </c>
      <c r="F5308" s="28">
        <v>19.522500000000001</v>
      </c>
      <c r="G5308" s="49">
        <f>IF(ISNUMBER(F5308),E5308*F5308,"")</f>
        <v>5.4663000000000003E-2</v>
      </c>
      <c r="H5308" s="65"/>
      <c r="I5308" s="66"/>
      <c r="J5308" s="125">
        <v>0</v>
      </c>
    </row>
    <row r="5309" spans="1:10" ht="15.75" hidden="1" thickBot="1" x14ac:dyDescent="0.3">
      <c r="A5309" s="247"/>
      <c r="B5309" s="240"/>
      <c r="C5309" s="155" t="s">
        <v>1023</v>
      </c>
      <c r="D5309" s="155" t="s">
        <v>587</v>
      </c>
      <c r="E5309" s="34">
        <v>2.8E-3</v>
      </c>
      <c r="F5309" s="28">
        <v>25.954000000000001</v>
      </c>
      <c r="G5309" s="49">
        <f>IF(ISNUMBER(F5309),E5309*F5309,"")</f>
        <v>7.2671200000000005E-2</v>
      </c>
      <c r="H5309" s="65"/>
      <c r="I5309" s="66"/>
      <c r="J5309" s="125">
        <v>0</v>
      </c>
    </row>
    <row r="5310" spans="1:10" ht="15.75" hidden="1" thickBot="1" x14ac:dyDescent="0.3">
      <c r="A5310" s="247"/>
      <c r="B5310" s="240"/>
      <c r="C5310" s="155"/>
      <c r="D5310" s="42"/>
      <c r="E5310" s="34"/>
      <c r="F5310" s="49" t="s">
        <v>418</v>
      </c>
      <c r="G5310" s="49" t="str">
        <f>IF(ISNUMBER(F5310),E5310*F5310,"")</f>
        <v/>
      </c>
      <c r="H5310" s="65"/>
      <c r="I5310" s="66"/>
      <c r="J5310" s="125">
        <v>0</v>
      </c>
    </row>
    <row r="5311" spans="1:10" ht="15.75" hidden="1" thickBot="1" x14ac:dyDescent="0.3">
      <c r="A5311" s="241" t="s">
        <v>12893</v>
      </c>
      <c r="B5311" s="237" t="s">
        <v>20935</v>
      </c>
      <c r="C5311" s="160"/>
      <c r="D5311" s="23" t="s">
        <v>69</v>
      </c>
      <c r="E5311" s="24"/>
      <c r="F5311" s="44" t="s">
        <v>418</v>
      </c>
      <c r="G5311" s="25" t="str">
        <f>IF(ISNUMBER(F5311),E5311*F5311,"")</f>
        <v/>
      </c>
      <c r="H5311" s="26"/>
      <c r="I5311" s="27"/>
      <c r="J5311" s="125">
        <v>0</v>
      </c>
    </row>
    <row r="5312" spans="1:10" ht="15.75" hidden="1" thickBot="1" x14ac:dyDescent="0.3">
      <c r="A5312" s="247"/>
      <c r="B5312" s="240"/>
      <c r="C5312" s="151"/>
      <c r="D5312" s="29"/>
      <c r="E5312" s="30"/>
      <c r="F5312" s="49" t="s">
        <v>418</v>
      </c>
      <c r="G5312" s="49" t="str">
        <f>IF(ISNUMBER(F5312),E5312*F5312,"")</f>
        <v/>
      </c>
      <c r="H5312" s="65"/>
      <c r="I5312" s="66"/>
      <c r="J5312" s="125">
        <v>0</v>
      </c>
    </row>
    <row r="5313" spans="1:10" ht="15.75" hidden="1" thickBot="1" x14ac:dyDescent="0.3">
      <c r="A5313" s="247"/>
      <c r="B5313" s="240"/>
      <c r="C5313" s="155" t="s">
        <v>13543</v>
      </c>
      <c r="D5313" s="33" t="s">
        <v>69</v>
      </c>
      <c r="E5313" s="34">
        <v>1.05</v>
      </c>
      <c r="F5313" s="28" t="s">
        <v>418</v>
      </c>
      <c r="G5313" s="49" t="str">
        <f>IF(ISNUMBER(F5313),E5313*F5313,"")</f>
        <v/>
      </c>
      <c r="H5313" s="35">
        <f>SUM(G5313:G5315)</f>
        <v>3.2333791500000002</v>
      </c>
      <c r="I5313" s="36"/>
      <c r="J5313" s="125">
        <v>0</v>
      </c>
    </row>
    <row r="5314" spans="1:10" ht="15.75" hidden="1" thickBot="1" x14ac:dyDescent="0.3">
      <c r="A5314" s="247"/>
      <c r="B5314" s="240"/>
      <c r="C5314" s="155" t="s">
        <v>1022</v>
      </c>
      <c r="D5314" s="155" t="s">
        <v>587</v>
      </c>
      <c r="E5314" s="34">
        <v>7.1099999999999997E-2</v>
      </c>
      <c r="F5314" s="28">
        <v>19.522500000000001</v>
      </c>
      <c r="G5314" s="49">
        <f>IF(ISNUMBER(F5314),E5314*F5314,"")</f>
        <v>1.38804975</v>
      </c>
      <c r="H5314" s="65"/>
      <c r="I5314" s="66"/>
      <c r="J5314" s="125">
        <v>0</v>
      </c>
    </row>
    <row r="5315" spans="1:10" ht="15.75" hidden="1" thickBot="1" x14ac:dyDescent="0.3">
      <c r="A5315" s="247"/>
      <c r="B5315" s="240"/>
      <c r="C5315" s="155" t="s">
        <v>1023</v>
      </c>
      <c r="D5315" s="155" t="s">
        <v>587</v>
      </c>
      <c r="E5315" s="34">
        <v>7.1099999999999997E-2</v>
      </c>
      <c r="F5315" s="28">
        <v>25.954000000000001</v>
      </c>
      <c r="G5315" s="49">
        <f>IF(ISNUMBER(F5315),E5315*F5315,"")</f>
        <v>1.8453294</v>
      </c>
      <c r="H5315" s="65"/>
      <c r="I5315" s="66"/>
      <c r="J5315" s="125">
        <v>0</v>
      </c>
    </row>
    <row r="5316" spans="1:10" ht="15.75" hidden="1" thickBot="1" x14ac:dyDescent="0.3">
      <c r="A5316" s="247"/>
      <c r="B5316" s="240"/>
      <c r="C5316" s="155"/>
      <c r="D5316" s="42"/>
      <c r="E5316" s="34"/>
      <c r="F5316" s="49" t="s">
        <v>418</v>
      </c>
      <c r="G5316" s="49" t="str">
        <f>IF(ISNUMBER(F5316),E5316*F5316,"")</f>
        <v/>
      </c>
      <c r="H5316" s="65"/>
      <c r="I5316" s="66"/>
      <c r="J5316" s="125">
        <v>0</v>
      </c>
    </row>
    <row r="5317" spans="1:10" ht="15.75" hidden="1" thickBot="1" x14ac:dyDescent="0.3">
      <c r="A5317" s="241" t="s">
        <v>12894</v>
      </c>
      <c r="B5317" s="237" t="s">
        <v>12915</v>
      </c>
      <c r="C5317" s="160"/>
      <c r="D5317" s="23" t="s">
        <v>69</v>
      </c>
      <c r="E5317" s="24"/>
      <c r="F5317" s="44" t="s">
        <v>418</v>
      </c>
      <c r="G5317" s="25" t="str">
        <f>IF(ISNUMBER(F5317),E5317*F5317,"")</f>
        <v/>
      </c>
      <c r="H5317" s="26"/>
      <c r="I5317" s="27"/>
      <c r="J5317" s="125">
        <v>0</v>
      </c>
    </row>
    <row r="5318" spans="1:10" ht="15.75" hidden="1" thickBot="1" x14ac:dyDescent="0.3">
      <c r="A5318" s="247"/>
      <c r="B5318" s="240"/>
      <c r="C5318" s="151"/>
      <c r="D5318" s="29"/>
      <c r="E5318" s="30"/>
      <c r="F5318" s="49" t="s">
        <v>418</v>
      </c>
      <c r="G5318" s="49" t="str">
        <f>IF(ISNUMBER(F5318),E5318*F5318,"")</f>
        <v/>
      </c>
      <c r="H5318" s="65"/>
      <c r="I5318" s="66"/>
      <c r="J5318" s="125">
        <v>0</v>
      </c>
    </row>
    <row r="5319" spans="1:10" ht="15.75" hidden="1" thickBot="1" x14ac:dyDescent="0.3">
      <c r="A5319" s="247"/>
      <c r="B5319" s="240"/>
      <c r="C5319" s="137" t="s">
        <v>13544</v>
      </c>
      <c r="D5319" s="33" t="s">
        <v>69</v>
      </c>
      <c r="E5319" s="34">
        <v>1.05</v>
      </c>
      <c r="F5319" s="28" t="s">
        <v>418</v>
      </c>
      <c r="G5319" s="49" t="str">
        <f>IF(ISNUMBER(F5319),E5319*F5319,"")</f>
        <v/>
      </c>
      <c r="H5319" s="35">
        <f>SUM(G5319:G5321)</f>
        <v>0.12733420000000001</v>
      </c>
      <c r="I5319" s="36"/>
      <c r="J5319" s="125">
        <v>0</v>
      </c>
    </row>
    <row r="5320" spans="1:10" ht="15.75" hidden="1" thickBot="1" x14ac:dyDescent="0.3">
      <c r="A5320" s="247"/>
      <c r="B5320" s="240"/>
      <c r="C5320" s="155" t="s">
        <v>1022</v>
      </c>
      <c r="D5320" s="155" t="s">
        <v>587</v>
      </c>
      <c r="E5320" s="34">
        <v>2.8E-3</v>
      </c>
      <c r="F5320" s="28">
        <v>19.522500000000001</v>
      </c>
      <c r="G5320" s="49">
        <f>IF(ISNUMBER(F5320),E5320*F5320,"")</f>
        <v>5.4663000000000003E-2</v>
      </c>
      <c r="H5320" s="65"/>
      <c r="I5320" s="66"/>
      <c r="J5320" s="125">
        <v>0</v>
      </c>
    </row>
    <row r="5321" spans="1:10" ht="15.75" hidden="1" thickBot="1" x14ac:dyDescent="0.3">
      <c r="A5321" s="247"/>
      <c r="B5321" s="240"/>
      <c r="C5321" s="155" t="s">
        <v>1023</v>
      </c>
      <c r="D5321" s="155" t="s">
        <v>587</v>
      </c>
      <c r="E5321" s="34">
        <v>2.8E-3</v>
      </c>
      <c r="F5321" s="28">
        <v>25.954000000000001</v>
      </c>
      <c r="G5321" s="49">
        <f>IF(ISNUMBER(F5321),E5321*F5321,"")</f>
        <v>7.2671200000000005E-2</v>
      </c>
      <c r="H5321" s="65"/>
      <c r="I5321" s="66"/>
      <c r="J5321" s="125">
        <v>0</v>
      </c>
    </row>
    <row r="5322" spans="1:10" ht="15.75" hidden="1" thickBot="1" x14ac:dyDescent="0.3">
      <c r="A5322" s="247"/>
      <c r="B5322" s="240"/>
      <c r="C5322" s="155"/>
      <c r="D5322" s="42"/>
      <c r="E5322" s="34"/>
      <c r="F5322" s="49" t="s">
        <v>418</v>
      </c>
      <c r="G5322" s="49" t="str">
        <f>IF(ISNUMBER(F5322),E5322*F5322,"")</f>
        <v/>
      </c>
      <c r="H5322" s="65"/>
      <c r="I5322" s="66"/>
      <c r="J5322" s="125">
        <v>0</v>
      </c>
    </row>
    <row r="5323" spans="1:10" ht="15.75" hidden="1" thickBot="1" x14ac:dyDescent="0.3">
      <c r="A5323" s="241" t="s">
        <v>12895</v>
      </c>
      <c r="B5323" s="237" t="s">
        <v>12916</v>
      </c>
      <c r="C5323" s="160"/>
      <c r="D5323" s="23" t="s">
        <v>69</v>
      </c>
      <c r="E5323" s="24"/>
      <c r="F5323" s="44" t="s">
        <v>418</v>
      </c>
      <c r="G5323" s="25" t="str">
        <f>IF(ISNUMBER(F5323),E5323*F5323,"")</f>
        <v/>
      </c>
      <c r="H5323" s="26"/>
      <c r="I5323" s="27"/>
      <c r="J5323" s="125">
        <v>0</v>
      </c>
    </row>
    <row r="5324" spans="1:10" ht="15.75" hidden="1" thickBot="1" x14ac:dyDescent="0.3">
      <c r="A5324" s="247"/>
      <c r="B5324" s="240"/>
      <c r="C5324" s="151"/>
      <c r="D5324" s="29"/>
      <c r="E5324" s="30"/>
      <c r="F5324" s="49" t="s">
        <v>418</v>
      </c>
      <c r="G5324" s="49" t="str">
        <f>IF(ISNUMBER(F5324),E5324*F5324,"")</f>
        <v/>
      </c>
      <c r="H5324" s="65"/>
      <c r="I5324" s="66"/>
      <c r="J5324" s="125">
        <v>0</v>
      </c>
    </row>
    <row r="5325" spans="1:10" ht="15.75" hidden="1" thickBot="1" x14ac:dyDescent="0.3">
      <c r="A5325" s="247"/>
      <c r="B5325" s="240"/>
      <c r="C5325" s="137" t="s">
        <v>13545</v>
      </c>
      <c r="D5325" s="33" t="s">
        <v>69</v>
      </c>
      <c r="E5325" s="34">
        <v>1.05</v>
      </c>
      <c r="F5325" s="28" t="s">
        <v>418</v>
      </c>
      <c r="G5325" s="49" t="str">
        <f>IF(ISNUMBER(F5325),E5325*F5325,"")</f>
        <v/>
      </c>
      <c r="H5325" s="35">
        <f>SUM(G5325:G5327)</f>
        <v>0.12733420000000001</v>
      </c>
      <c r="I5325" s="36"/>
      <c r="J5325" s="125">
        <v>0</v>
      </c>
    </row>
    <row r="5326" spans="1:10" ht="15.75" hidden="1" thickBot="1" x14ac:dyDescent="0.3">
      <c r="A5326" s="247"/>
      <c r="B5326" s="240"/>
      <c r="C5326" s="155" t="s">
        <v>1022</v>
      </c>
      <c r="D5326" s="155" t="s">
        <v>587</v>
      </c>
      <c r="E5326" s="34">
        <v>2.8E-3</v>
      </c>
      <c r="F5326" s="28">
        <v>19.522500000000001</v>
      </c>
      <c r="G5326" s="49">
        <f>IF(ISNUMBER(F5326),E5326*F5326,"")</f>
        <v>5.4663000000000003E-2</v>
      </c>
      <c r="H5326" s="65"/>
      <c r="I5326" s="66"/>
      <c r="J5326" s="125">
        <v>0</v>
      </c>
    </row>
    <row r="5327" spans="1:10" ht="15.75" hidden="1" thickBot="1" x14ac:dyDescent="0.3">
      <c r="A5327" s="247"/>
      <c r="B5327" s="240"/>
      <c r="C5327" s="155" t="s">
        <v>1023</v>
      </c>
      <c r="D5327" s="155" t="s">
        <v>587</v>
      </c>
      <c r="E5327" s="34">
        <v>2.8E-3</v>
      </c>
      <c r="F5327" s="28">
        <v>25.954000000000001</v>
      </c>
      <c r="G5327" s="49">
        <f>IF(ISNUMBER(F5327),E5327*F5327,"")</f>
        <v>7.2671200000000005E-2</v>
      </c>
      <c r="H5327" s="65"/>
      <c r="I5327" s="66"/>
      <c r="J5327" s="125">
        <v>0</v>
      </c>
    </row>
    <row r="5328" spans="1:10" ht="15.75" hidden="1" thickBot="1" x14ac:dyDescent="0.3">
      <c r="A5328" s="247"/>
      <c r="B5328" s="240"/>
      <c r="C5328" s="155"/>
      <c r="D5328" s="42"/>
      <c r="E5328" s="34"/>
      <c r="F5328" s="49" t="s">
        <v>418</v>
      </c>
      <c r="G5328" s="49" t="str">
        <f>IF(ISNUMBER(F5328),E5328*F5328,"")</f>
        <v/>
      </c>
      <c r="H5328" s="65"/>
      <c r="I5328" s="66"/>
      <c r="J5328" s="125">
        <v>0</v>
      </c>
    </row>
    <row r="5329" spans="1:10" ht="15.75" hidden="1" thickBot="1" x14ac:dyDescent="0.3">
      <c r="A5329" s="241" t="s">
        <v>12896</v>
      </c>
      <c r="B5329" s="237" t="s">
        <v>12917</v>
      </c>
      <c r="C5329" s="160"/>
      <c r="D5329" s="23" t="s">
        <v>16</v>
      </c>
      <c r="E5329" s="24"/>
      <c r="F5329" s="37" t="s">
        <v>418</v>
      </c>
      <c r="G5329" s="25" t="str">
        <f>IF(ISNUMBER(F5329),E5329*F5329,"")</f>
        <v/>
      </c>
      <c r="H5329" s="26"/>
      <c r="I5329" s="27"/>
      <c r="J5329" s="125">
        <v>0</v>
      </c>
    </row>
    <row r="5330" spans="1:10" ht="15.75" hidden="1" thickBot="1" x14ac:dyDescent="0.3">
      <c r="A5330" s="242"/>
      <c r="B5330" s="240"/>
      <c r="C5330" s="151"/>
      <c r="D5330" s="29"/>
      <c r="E5330" s="30"/>
      <c r="F5330" s="38" t="s">
        <v>418</v>
      </c>
      <c r="G5330" s="28" t="str">
        <f>IF(ISNUMBER(F5330),E5330*F5330,"")</f>
        <v/>
      </c>
      <c r="H5330" s="32"/>
      <c r="I5330" s="28"/>
      <c r="J5330" s="125">
        <v>0</v>
      </c>
    </row>
    <row r="5331" spans="1:10" ht="15.75" hidden="1" thickBot="1" x14ac:dyDescent="0.3">
      <c r="A5331" s="242"/>
      <c r="B5331" s="240"/>
      <c r="C5331" s="155" t="s">
        <v>1022</v>
      </c>
      <c r="D5331" s="155" t="s">
        <v>587</v>
      </c>
      <c r="E5331" s="34">
        <v>0.59730000000000005</v>
      </c>
      <c r="F5331" s="28">
        <v>19.522500000000001</v>
      </c>
      <c r="G5331" s="31">
        <f>IF(ISNUMBER(F5331),E5331*F5331,"")</f>
        <v>11.660789250000002</v>
      </c>
      <c r="H5331" s="35">
        <f>SUM(G5331:G5334)</f>
        <v>70.16961345</v>
      </c>
      <c r="I5331" s="36"/>
      <c r="J5331" s="125">
        <v>0</v>
      </c>
    </row>
    <row r="5332" spans="1:10" ht="15.75" hidden="1" thickBot="1" x14ac:dyDescent="0.3">
      <c r="A5332" s="242"/>
      <c r="B5332" s="240"/>
      <c r="C5332" s="155" t="s">
        <v>1023</v>
      </c>
      <c r="D5332" s="155" t="s">
        <v>587</v>
      </c>
      <c r="E5332" s="34">
        <v>0.59730000000000005</v>
      </c>
      <c r="F5332" s="28">
        <v>25.954000000000001</v>
      </c>
      <c r="G5332" s="31">
        <f>IF(ISNUMBER(F5332),E5332*F5332,"")</f>
        <v>15.502324200000002</v>
      </c>
      <c r="H5332" s="32"/>
      <c r="I5332" s="28"/>
      <c r="J5332" s="125">
        <v>0</v>
      </c>
    </row>
    <row r="5333" spans="1:10" ht="39" hidden="1" thickBot="1" x14ac:dyDescent="0.3">
      <c r="A5333" s="242"/>
      <c r="B5333" s="240"/>
      <c r="C5333" s="155" t="s">
        <v>23958</v>
      </c>
      <c r="D5333" s="155" t="s">
        <v>205</v>
      </c>
      <c r="E5333" s="34">
        <v>2</v>
      </c>
      <c r="F5333" s="31">
        <v>0.19</v>
      </c>
      <c r="G5333" s="31">
        <f>IF(ISNUMBER(F5333),E5333*F5333,"")</f>
        <v>0.38</v>
      </c>
      <c r="H5333" s="32"/>
      <c r="I5333" s="28"/>
      <c r="J5333" s="125">
        <v>0</v>
      </c>
    </row>
    <row r="5334" spans="1:10" ht="26.25" hidden="1" thickBot="1" x14ac:dyDescent="0.3">
      <c r="A5334" s="242"/>
      <c r="B5334" s="240"/>
      <c r="C5334" s="155" t="s">
        <v>24653</v>
      </c>
      <c r="D5334" s="155" t="s">
        <v>205</v>
      </c>
      <c r="E5334" s="34">
        <v>1</v>
      </c>
      <c r="F5334" s="31">
        <v>42.626499999999993</v>
      </c>
      <c r="G5334" s="28">
        <f>IF(ISNUMBER(F5334),E5334*F5334,"")</f>
        <v>42.626499999999993</v>
      </c>
      <c r="H5334" s="32"/>
      <c r="I5334" s="28"/>
      <c r="J5334" s="125">
        <v>0</v>
      </c>
    </row>
    <row r="5335" spans="1:10" ht="15.75" hidden="1" thickBot="1" x14ac:dyDescent="0.3">
      <c r="A5335" s="243"/>
      <c r="B5335" s="239"/>
      <c r="C5335" s="155"/>
      <c r="D5335" s="33"/>
      <c r="E5335" s="34"/>
      <c r="F5335" s="28" t="s">
        <v>418</v>
      </c>
      <c r="G5335" s="28" t="str">
        <f>IF(ISNUMBER(F5335),E5335*F5335,"")</f>
        <v/>
      </c>
      <c r="H5335" s="32"/>
      <c r="I5335" s="28"/>
      <c r="J5335" s="125">
        <v>0</v>
      </c>
    </row>
    <row r="5336" spans="1:10" ht="15.75" hidden="1" thickBot="1" x14ac:dyDescent="0.3">
      <c r="A5336" s="241" t="s">
        <v>12897</v>
      </c>
      <c r="B5336" s="237" t="s">
        <v>13546</v>
      </c>
      <c r="C5336" s="160"/>
      <c r="D5336" s="23" t="s">
        <v>69</v>
      </c>
      <c r="E5336" s="24"/>
      <c r="F5336" s="37" t="s">
        <v>418</v>
      </c>
      <c r="G5336" s="25" t="str">
        <f>IF(ISNUMBER(F5336),E5336*F5336,"")</f>
        <v/>
      </c>
      <c r="H5336" s="26"/>
      <c r="I5336" s="27"/>
      <c r="J5336" s="125">
        <v>0</v>
      </c>
    </row>
    <row r="5337" spans="1:10" ht="15.75" hidden="1" thickBot="1" x14ac:dyDescent="0.3">
      <c r="A5337" s="242"/>
      <c r="B5337" s="240"/>
      <c r="C5337" s="151"/>
      <c r="D5337" s="29"/>
      <c r="E5337" s="30"/>
      <c r="F5337" s="38" t="s">
        <v>418</v>
      </c>
      <c r="G5337" s="28" t="str">
        <f>IF(ISNUMBER(F5337),E5337*F5337,"")</f>
        <v/>
      </c>
      <c r="H5337" s="32"/>
      <c r="I5337" s="28"/>
      <c r="J5337" s="125">
        <v>0</v>
      </c>
    </row>
    <row r="5338" spans="1:10" ht="15.75" hidden="1" thickBot="1" x14ac:dyDescent="0.3">
      <c r="A5338" s="242"/>
      <c r="B5338" s="240"/>
      <c r="C5338" s="155" t="s">
        <v>1022</v>
      </c>
      <c r="D5338" s="155" t="s">
        <v>587</v>
      </c>
      <c r="E5338" s="34">
        <v>0.12280000000000001</v>
      </c>
      <c r="F5338" s="28">
        <v>19.522500000000001</v>
      </c>
      <c r="G5338" s="31">
        <f>IF(ISNUMBER(F5338),E5338*F5338,"")</f>
        <v>2.3973630000000004</v>
      </c>
      <c r="H5338" s="35">
        <f>SUM(G5338:G5341)</f>
        <v>5.6280337000000014</v>
      </c>
      <c r="I5338" s="36"/>
      <c r="J5338" s="125">
        <v>0</v>
      </c>
    </row>
    <row r="5339" spans="1:10" ht="15.75" hidden="1" thickBot="1" x14ac:dyDescent="0.3">
      <c r="A5339" s="242"/>
      <c r="B5339" s="240"/>
      <c r="C5339" s="155" t="s">
        <v>1023</v>
      </c>
      <c r="D5339" s="155" t="s">
        <v>587</v>
      </c>
      <c r="E5339" s="34">
        <v>0.12280000000000001</v>
      </c>
      <c r="F5339" s="28">
        <v>25.954000000000001</v>
      </c>
      <c r="G5339" s="31">
        <f>IF(ISNUMBER(F5339),E5339*F5339,"")</f>
        <v>3.1871512000000002</v>
      </c>
      <c r="H5339" s="32"/>
      <c r="I5339" s="28"/>
      <c r="J5339" s="125">
        <v>0</v>
      </c>
    </row>
    <row r="5340" spans="1:10" ht="26.25" hidden="1" thickBot="1" x14ac:dyDescent="0.3">
      <c r="A5340" s="242"/>
      <c r="B5340" s="240"/>
      <c r="C5340" s="155" t="s">
        <v>25511</v>
      </c>
      <c r="D5340" s="155" t="s">
        <v>205</v>
      </c>
      <c r="E5340" s="34">
        <v>8.9999999999999993E-3</v>
      </c>
      <c r="F5340" s="31">
        <v>4.8354999999999997</v>
      </c>
      <c r="G5340" s="31">
        <f>IF(ISNUMBER(F5340),E5340*F5340,"")</f>
        <v>4.3519499999999996E-2</v>
      </c>
      <c r="H5340" s="32"/>
      <c r="I5340" s="28"/>
      <c r="J5340" s="125">
        <v>0</v>
      </c>
    </row>
    <row r="5341" spans="1:10" ht="15.75" hidden="1" thickBot="1" x14ac:dyDescent="0.3">
      <c r="A5341" s="242"/>
      <c r="B5341" s="240"/>
      <c r="C5341" s="155" t="s">
        <v>13546</v>
      </c>
      <c r="D5341" s="33" t="s">
        <v>69</v>
      </c>
      <c r="E5341" s="34">
        <v>1.0149999999999999</v>
      </c>
      <c r="F5341" s="31" t="s">
        <v>418</v>
      </c>
      <c r="G5341" s="28" t="str">
        <f>IF(ISNUMBER(F5341),E5341*F5341,"")</f>
        <v/>
      </c>
      <c r="H5341" s="32"/>
      <c r="I5341" s="28"/>
      <c r="J5341" s="125">
        <v>0</v>
      </c>
    </row>
    <row r="5342" spans="1:10" ht="15.75" hidden="1" thickBot="1" x14ac:dyDescent="0.3">
      <c r="A5342" s="243"/>
      <c r="B5342" s="239"/>
      <c r="C5342" s="155"/>
      <c r="D5342" s="33"/>
      <c r="E5342" s="34"/>
      <c r="F5342" s="28" t="s">
        <v>418</v>
      </c>
      <c r="G5342" s="28" t="str">
        <f>IF(ISNUMBER(F5342),E5342*F5342,"")</f>
        <v/>
      </c>
      <c r="H5342" s="32"/>
      <c r="I5342" s="28"/>
      <c r="J5342" s="125">
        <v>0</v>
      </c>
    </row>
    <row r="5343" spans="1:10" ht="15.75" hidden="1" thickBot="1" x14ac:dyDescent="0.3">
      <c r="A5343" s="241" t="s">
        <v>12898</v>
      </c>
      <c r="B5343" s="237" t="s">
        <v>13547</v>
      </c>
      <c r="C5343" s="160"/>
      <c r="D5343" s="23" t="s">
        <v>69</v>
      </c>
      <c r="E5343" s="24"/>
      <c r="F5343" s="37" t="s">
        <v>418</v>
      </c>
      <c r="G5343" s="25" t="str">
        <f>IF(ISNUMBER(F5343),E5343*F5343,"")</f>
        <v/>
      </c>
      <c r="H5343" s="26"/>
      <c r="I5343" s="27"/>
      <c r="J5343" s="125">
        <v>0</v>
      </c>
    </row>
    <row r="5344" spans="1:10" ht="15.75" hidden="1" thickBot="1" x14ac:dyDescent="0.3">
      <c r="A5344" s="242"/>
      <c r="B5344" s="240"/>
      <c r="C5344" s="151"/>
      <c r="D5344" s="29"/>
      <c r="E5344" s="30"/>
      <c r="F5344" s="38" t="s">
        <v>418</v>
      </c>
      <c r="G5344" s="28" t="str">
        <f>IF(ISNUMBER(F5344),E5344*F5344,"")</f>
        <v/>
      </c>
      <c r="H5344" s="32"/>
      <c r="I5344" s="28"/>
      <c r="J5344" s="125">
        <v>0</v>
      </c>
    </row>
    <row r="5345" spans="1:10" ht="15.75" hidden="1" thickBot="1" x14ac:dyDescent="0.3">
      <c r="A5345" s="242"/>
      <c r="B5345" s="240"/>
      <c r="C5345" s="155" t="s">
        <v>1022</v>
      </c>
      <c r="D5345" s="155" t="s">
        <v>587</v>
      </c>
      <c r="E5345" s="34">
        <v>0.25119999999999998</v>
      </c>
      <c r="F5345" s="28">
        <v>19.522500000000001</v>
      </c>
      <c r="G5345" s="31">
        <f>IF(ISNUMBER(F5345),E5345*F5345,"")</f>
        <v>4.9040520000000001</v>
      </c>
      <c r="H5345" s="35">
        <f>SUM(G5345:G5348)</f>
        <v>11.4672163</v>
      </c>
      <c r="I5345" s="36"/>
      <c r="J5345" s="125">
        <v>0</v>
      </c>
    </row>
    <row r="5346" spans="1:10" ht="15.75" hidden="1" thickBot="1" x14ac:dyDescent="0.3">
      <c r="A5346" s="242"/>
      <c r="B5346" s="240"/>
      <c r="C5346" s="155" t="s">
        <v>1023</v>
      </c>
      <c r="D5346" s="155" t="s">
        <v>587</v>
      </c>
      <c r="E5346" s="34">
        <v>0.25119999999999998</v>
      </c>
      <c r="F5346" s="28">
        <v>25.954000000000001</v>
      </c>
      <c r="G5346" s="31">
        <f>IF(ISNUMBER(F5346),E5346*F5346,"")</f>
        <v>6.5196448</v>
      </c>
      <c r="H5346" s="32"/>
      <c r="I5346" s="28"/>
      <c r="J5346" s="125">
        <v>0</v>
      </c>
    </row>
    <row r="5347" spans="1:10" ht="26.25" hidden="1" thickBot="1" x14ac:dyDescent="0.3">
      <c r="A5347" s="242"/>
      <c r="B5347" s="240"/>
      <c r="C5347" s="155" t="s">
        <v>25511</v>
      </c>
      <c r="D5347" s="155" t="s">
        <v>205</v>
      </c>
      <c r="E5347" s="34">
        <v>8.9999999999999993E-3</v>
      </c>
      <c r="F5347" s="31">
        <v>4.8354999999999997</v>
      </c>
      <c r="G5347" s="31">
        <f>IF(ISNUMBER(F5347),E5347*F5347,"")</f>
        <v>4.3519499999999996E-2</v>
      </c>
      <c r="H5347" s="32"/>
      <c r="I5347" s="28"/>
      <c r="J5347" s="125">
        <v>0</v>
      </c>
    </row>
    <row r="5348" spans="1:10" ht="15.75" hidden="1" thickBot="1" x14ac:dyDescent="0.3">
      <c r="A5348" s="242"/>
      <c r="B5348" s="240"/>
      <c r="C5348" s="155" t="s">
        <v>13547</v>
      </c>
      <c r="D5348" s="33" t="s">
        <v>69</v>
      </c>
      <c r="E5348" s="34">
        <v>1.0149999999999999</v>
      </c>
      <c r="F5348" s="31" t="s">
        <v>418</v>
      </c>
      <c r="G5348" s="28" t="str">
        <f>IF(ISNUMBER(F5348),E5348*F5348,"")</f>
        <v/>
      </c>
      <c r="H5348" s="32"/>
      <c r="I5348" s="28"/>
      <c r="J5348" s="125">
        <v>0</v>
      </c>
    </row>
    <row r="5349" spans="1:10" ht="15.75" hidden="1" thickBot="1" x14ac:dyDescent="0.3">
      <c r="A5349" s="243"/>
      <c r="B5349" s="239"/>
      <c r="C5349" s="155"/>
      <c r="D5349" s="33"/>
      <c r="E5349" s="34"/>
      <c r="F5349" s="28" t="s">
        <v>418</v>
      </c>
      <c r="G5349" s="28" t="str">
        <f>IF(ISNUMBER(F5349),E5349*F5349,"")</f>
        <v/>
      </c>
      <c r="H5349" s="32"/>
      <c r="I5349" s="28"/>
      <c r="J5349" s="125">
        <v>0</v>
      </c>
    </row>
    <row r="5350" spans="1:10" ht="15.75" hidden="1" thickBot="1" x14ac:dyDescent="0.3">
      <c r="A5350" s="241" t="s">
        <v>12899</v>
      </c>
      <c r="B5350" s="237" t="s">
        <v>12918</v>
      </c>
      <c r="C5350" s="160"/>
      <c r="D5350" s="23" t="s">
        <v>16</v>
      </c>
      <c r="E5350" s="24"/>
      <c r="F5350" s="44" t="s">
        <v>418</v>
      </c>
      <c r="G5350" s="25" t="str">
        <f>IF(ISNUMBER(F5350),E5350*F5350,"")</f>
        <v/>
      </c>
      <c r="H5350" s="26"/>
      <c r="I5350" s="27"/>
      <c r="J5350" s="125">
        <v>0</v>
      </c>
    </row>
    <row r="5351" spans="1:10" ht="15.75" hidden="1" thickBot="1" x14ac:dyDescent="0.3">
      <c r="A5351" s="247"/>
      <c r="B5351" s="240"/>
      <c r="C5351" s="151"/>
      <c r="D5351" s="29"/>
      <c r="E5351" s="30"/>
      <c r="F5351" s="49" t="s">
        <v>418</v>
      </c>
      <c r="G5351" s="49" t="str">
        <f>IF(ISNUMBER(F5351),E5351*F5351,"")</f>
        <v/>
      </c>
      <c r="H5351" s="65"/>
      <c r="I5351" s="66"/>
      <c r="J5351" s="125">
        <v>0</v>
      </c>
    </row>
    <row r="5352" spans="1:10" ht="15.75" hidden="1" thickBot="1" x14ac:dyDescent="0.3">
      <c r="A5352" s="247"/>
      <c r="B5352" s="240"/>
      <c r="C5352" s="137" t="s">
        <v>13548</v>
      </c>
      <c r="D5352" s="33" t="s">
        <v>16</v>
      </c>
      <c r="E5352" s="34">
        <v>1</v>
      </c>
      <c r="F5352" s="28" t="s">
        <v>418</v>
      </c>
      <c r="G5352" s="49" t="str">
        <f>IF(ISNUMBER(F5352),E5352*F5352,"")</f>
        <v/>
      </c>
      <c r="H5352" s="35">
        <f>SUM(G5352:G5354)</f>
        <v>113.69125000000001</v>
      </c>
      <c r="I5352" s="36"/>
      <c r="J5352" s="125">
        <v>0</v>
      </c>
    </row>
    <row r="5353" spans="1:10" ht="15.75" hidden="1" thickBot="1" x14ac:dyDescent="0.3">
      <c r="A5353" s="247"/>
      <c r="B5353" s="240"/>
      <c r="C5353" s="155" t="s">
        <v>1022</v>
      </c>
      <c r="D5353" s="155" t="s">
        <v>587</v>
      </c>
      <c r="E5353" s="34">
        <v>2.5</v>
      </c>
      <c r="F5353" s="28">
        <v>19.522500000000001</v>
      </c>
      <c r="G5353" s="49">
        <f>IF(ISNUMBER(F5353),E5353*F5353,"")</f>
        <v>48.806250000000006</v>
      </c>
      <c r="H5353" s="65"/>
      <c r="I5353" s="66"/>
      <c r="J5353" s="125">
        <v>0</v>
      </c>
    </row>
    <row r="5354" spans="1:10" ht="15.75" hidden="1" thickBot="1" x14ac:dyDescent="0.3">
      <c r="A5354" s="247"/>
      <c r="B5354" s="240"/>
      <c r="C5354" s="155" t="s">
        <v>1023</v>
      </c>
      <c r="D5354" s="155" t="s">
        <v>587</v>
      </c>
      <c r="E5354" s="34">
        <v>2.5</v>
      </c>
      <c r="F5354" s="28">
        <v>25.954000000000001</v>
      </c>
      <c r="G5354" s="49">
        <f>IF(ISNUMBER(F5354),E5354*F5354,"")</f>
        <v>64.885000000000005</v>
      </c>
      <c r="H5354" s="65"/>
      <c r="I5354" s="66"/>
      <c r="J5354" s="125">
        <v>0</v>
      </c>
    </row>
    <row r="5355" spans="1:10" ht="15.75" hidden="1" thickBot="1" x14ac:dyDescent="0.3">
      <c r="A5355" s="247"/>
      <c r="B5355" s="240"/>
      <c r="C5355" s="155"/>
      <c r="D5355" s="42"/>
      <c r="E5355" s="34"/>
      <c r="F5355" s="49" t="s">
        <v>418</v>
      </c>
      <c r="G5355" s="49" t="str">
        <f>IF(ISNUMBER(F5355),E5355*F5355,"")</f>
        <v/>
      </c>
      <c r="H5355" s="65"/>
      <c r="I5355" s="66"/>
      <c r="J5355" s="125">
        <v>0</v>
      </c>
    </row>
    <row r="5356" spans="1:10" ht="15.75" hidden="1" thickBot="1" x14ac:dyDescent="0.3">
      <c r="A5356" s="234" t="s">
        <v>12900</v>
      </c>
      <c r="B5356" s="237" t="s">
        <v>12919</v>
      </c>
      <c r="C5356" s="160"/>
      <c r="D5356" s="23" t="s">
        <v>69</v>
      </c>
      <c r="E5356" s="24"/>
      <c r="F5356" s="37" t="s">
        <v>418</v>
      </c>
      <c r="G5356" s="25" t="str">
        <f>IF(ISNUMBER(F5356),E5356*F5356,"")</f>
        <v/>
      </c>
      <c r="H5356" s="26"/>
      <c r="I5356" s="27"/>
      <c r="J5356" s="125">
        <v>0</v>
      </c>
    </row>
    <row r="5357" spans="1:10" ht="15.75" hidden="1" thickBot="1" x14ac:dyDescent="0.3">
      <c r="A5357" s="235"/>
      <c r="B5357" s="240"/>
      <c r="C5357" s="151"/>
      <c r="D5357" s="29"/>
      <c r="E5357" s="30"/>
      <c r="F5357" s="38" t="s">
        <v>418</v>
      </c>
      <c r="G5357" s="28" t="str">
        <f>IF(ISNUMBER(F5357),E5357*F5357,"")</f>
        <v/>
      </c>
      <c r="H5357" s="32"/>
      <c r="I5357" s="28"/>
      <c r="J5357" s="125">
        <v>0</v>
      </c>
    </row>
    <row r="5358" spans="1:10" ht="39" hidden="1" thickBot="1" x14ac:dyDescent="0.3">
      <c r="A5358" s="235"/>
      <c r="B5358" s="240"/>
      <c r="C5358" s="155" t="s">
        <v>13549</v>
      </c>
      <c r="D5358" s="33" t="s">
        <v>385</v>
      </c>
      <c r="E5358" s="34">
        <v>1.1000000000000001</v>
      </c>
      <c r="F5358" s="28">
        <v>0.95</v>
      </c>
      <c r="G5358" s="31">
        <f>IF(ISNUMBER(F5358),E5358*F5358,"")</f>
        <v>1.0449999999999999</v>
      </c>
      <c r="H5358" s="35">
        <f>SUM(G5358:G5360)</f>
        <v>8.8715056499999996</v>
      </c>
      <c r="I5358" s="36"/>
      <c r="J5358" s="125">
        <v>0</v>
      </c>
    </row>
    <row r="5359" spans="1:10" ht="15.75" hidden="1" thickBot="1" x14ac:dyDescent="0.3">
      <c r="A5359" s="235"/>
      <c r="B5359" s="240"/>
      <c r="C5359" s="155" t="s">
        <v>1022</v>
      </c>
      <c r="D5359" s="155" t="s">
        <v>587</v>
      </c>
      <c r="E5359" s="34">
        <v>0.1721</v>
      </c>
      <c r="F5359" s="28">
        <v>19.522500000000001</v>
      </c>
      <c r="G5359" s="31">
        <f>IF(ISNUMBER(F5359),E5359*F5359,"")</f>
        <v>3.3598222500000001</v>
      </c>
      <c r="H5359" s="32"/>
      <c r="I5359" s="28"/>
      <c r="J5359" s="125">
        <v>0</v>
      </c>
    </row>
    <row r="5360" spans="1:10" ht="15.75" hidden="1" thickBot="1" x14ac:dyDescent="0.3">
      <c r="A5360" s="235"/>
      <c r="B5360" s="240"/>
      <c r="C5360" s="155" t="s">
        <v>1023</v>
      </c>
      <c r="D5360" s="155" t="s">
        <v>587</v>
      </c>
      <c r="E5360" s="34">
        <v>0.1721</v>
      </c>
      <c r="F5360" s="31">
        <v>25.954000000000001</v>
      </c>
      <c r="G5360" s="28">
        <f>IF(ISNUMBER(F5360),E5360*F5360,"")</f>
        <v>4.4666834</v>
      </c>
      <c r="H5360" s="32"/>
      <c r="I5360" s="28"/>
      <c r="J5360" s="125">
        <v>0</v>
      </c>
    </row>
    <row r="5361" spans="1:10" ht="15.75" hidden="1" thickBot="1" x14ac:dyDescent="0.3">
      <c r="A5361" s="236"/>
      <c r="B5361" s="239"/>
      <c r="C5361" s="155"/>
      <c r="D5361" s="33"/>
      <c r="E5361" s="34"/>
      <c r="F5361" s="28" t="s">
        <v>418</v>
      </c>
      <c r="G5361" s="28" t="str">
        <f>IF(ISNUMBER(F5361),E5361*F5361,"")</f>
        <v/>
      </c>
      <c r="H5361" s="32"/>
      <c r="I5361" s="28"/>
      <c r="J5361" s="125">
        <v>0</v>
      </c>
    </row>
    <row r="5362" spans="1:10" ht="15.75" hidden="1" thickBot="1" x14ac:dyDescent="0.3">
      <c r="A5362" s="234" t="s">
        <v>12901</v>
      </c>
      <c r="B5362" s="237" t="s">
        <v>12920</v>
      </c>
      <c r="C5362" s="160"/>
      <c r="D5362" s="23" t="s">
        <v>16</v>
      </c>
      <c r="E5362" s="24"/>
      <c r="F5362" s="37" t="s">
        <v>418</v>
      </c>
      <c r="G5362" s="25" t="str">
        <f>IF(ISNUMBER(F5362),E5362*F5362,"")</f>
        <v/>
      </c>
      <c r="H5362" s="26"/>
      <c r="I5362" s="27"/>
      <c r="J5362" s="125">
        <v>0</v>
      </c>
    </row>
    <row r="5363" spans="1:10" ht="15.75" hidden="1" thickBot="1" x14ac:dyDescent="0.3">
      <c r="A5363" s="235"/>
      <c r="B5363" s="240"/>
      <c r="C5363" s="151"/>
      <c r="D5363" s="29"/>
      <c r="E5363" s="30"/>
      <c r="F5363" s="38" t="s">
        <v>418</v>
      </c>
      <c r="G5363" s="28" t="str">
        <f>IF(ISNUMBER(F5363),E5363*F5363,"")</f>
        <v/>
      </c>
      <c r="H5363" s="32"/>
      <c r="I5363" s="28"/>
      <c r="J5363" s="125">
        <v>0</v>
      </c>
    </row>
    <row r="5364" spans="1:10" ht="15.75" hidden="1" thickBot="1" x14ac:dyDescent="0.3">
      <c r="A5364" s="235"/>
      <c r="B5364" s="240"/>
      <c r="C5364" s="155" t="s">
        <v>1023</v>
      </c>
      <c r="D5364" s="155" t="s">
        <v>587</v>
      </c>
      <c r="E5364" s="34">
        <f>0.3/2</f>
        <v>0.15</v>
      </c>
      <c r="F5364" s="28">
        <v>25.954000000000001</v>
      </c>
      <c r="G5364" s="31">
        <f>IF(ISNUMBER(F5364),E5364*F5364,"")</f>
        <v>3.8931</v>
      </c>
      <c r="H5364" s="35">
        <f>SUM(G5364:G5367)</f>
        <v>6.8214749999999995</v>
      </c>
      <c r="I5364" s="36"/>
      <c r="J5364" s="125">
        <v>0</v>
      </c>
    </row>
    <row r="5365" spans="1:10" ht="15.75" hidden="1" thickBot="1" x14ac:dyDescent="0.3">
      <c r="A5365" s="235"/>
      <c r="B5365" s="240"/>
      <c r="C5365" s="155" t="s">
        <v>1022</v>
      </c>
      <c r="D5365" s="155" t="s">
        <v>587</v>
      </c>
      <c r="E5365" s="34">
        <f>0.3/2</f>
        <v>0.15</v>
      </c>
      <c r="F5365" s="28">
        <v>19.522500000000001</v>
      </c>
      <c r="G5365" s="31">
        <f>IF(ISNUMBER(F5365),E5365*F5365,"")</f>
        <v>2.928375</v>
      </c>
      <c r="H5365" s="32"/>
      <c r="I5365" s="28"/>
      <c r="J5365" s="125">
        <v>0</v>
      </c>
    </row>
    <row r="5366" spans="1:10" ht="26.25" hidden="1" thickBot="1" x14ac:dyDescent="0.3">
      <c r="A5366" s="235"/>
      <c r="B5366" s="240"/>
      <c r="C5366" s="155" t="s">
        <v>403</v>
      </c>
      <c r="D5366" s="33" t="s">
        <v>16</v>
      </c>
      <c r="E5366" s="34">
        <v>1</v>
      </c>
      <c r="F5366" s="31" t="s">
        <v>418</v>
      </c>
      <c r="G5366" s="31" t="str">
        <f>IF(ISNUMBER(F5366),E5366*F5366,"")</f>
        <v/>
      </c>
      <c r="H5366" s="32"/>
      <c r="I5366" s="28"/>
      <c r="J5366" s="125">
        <v>0</v>
      </c>
    </row>
    <row r="5367" spans="1:10" ht="26.25" hidden="1" thickBot="1" x14ac:dyDescent="0.3">
      <c r="A5367" s="235"/>
      <c r="B5367" s="240"/>
      <c r="C5367" s="155" t="s">
        <v>13551</v>
      </c>
      <c r="D5367" s="33" t="s">
        <v>16</v>
      </c>
      <c r="E5367" s="34">
        <v>1</v>
      </c>
      <c r="F5367" s="31" t="s">
        <v>418</v>
      </c>
      <c r="G5367" s="28" t="str">
        <f>IF(ISNUMBER(F5367),E5367*F5367,"")</f>
        <v/>
      </c>
      <c r="H5367" s="32"/>
      <c r="I5367" s="28"/>
      <c r="J5367" s="125">
        <v>0</v>
      </c>
    </row>
    <row r="5368" spans="1:10" ht="15.75" hidden="1" thickBot="1" x14ac:dyDescent="0.3">
      <c r="A5368" s="236"/>
      <c r="B5368" s="239"/>
      <c r="C5368" s="155"/>
      <c r="D5368" s="33"/>
      <c r="E5368" s="34"/>
      <c r="F5368" s="28" t="s">
        <v>418</v>
      </c>
      <c r="G5368" s="28" t="str">
        <f>IF(ISNUMBER(F5368),E5368*F5368,"")</f>
        <v/>
      </c>
      <c r="H5368" s="32"/>
      <c r="I5368" s="28"/>
      <c r="J5368" s="125">
        <v>0</v>
      </c>
    </row>
    <row r="5369" spans="1:10" ht="15.75" hidden="1" thickBot="1" x14ac:dyDescent="0.3">
      <c r="A5369" s="234" t="s">
        <v>12902</v>
      </c>
      <c r="B5369" s="237" t="s">
        <v>19785</v>
      </c>
      <c r="C5369" s="160"/>
      <c r="D5369" s="23" t="s">
        <v>69</v>
      </c>
      <c r="E5369" s="24"/>
      <c r="F5369" s="37" t="s">
        <v>418</v>
      </c>
      <c r="G5369" s="25" t="str">
        <f>IF(ISNUMBER(F5369),E5369*F5369,"")</f>
        <v/>
      </c>
      <c r="H5369" s="26"/>
      <c r="I5369" s="27"/>
      <c r="J5369" s="125">
        <v>0</v>
      </c>
    </row>
    <row r="5370" spans="1:10" ht="15.75" hidden="1" thickBot="1" x14ac:dyDescent="0.3">
      <c r="A5370" s="235"/>
      <c r="B5370" s="240"/>
      <c r="C5370" s="151"/>
      <c r="D5370" s="29"/>
      <c r="E5370" s="30"/>
      <c r="F5370" s="38" t="s">
        <v>418</v>
      </c>
      <c r="G5370" s="28" t="str">
        <f>IF(ISNUMBER(F5370),E5370*F5370,"")</f>
        <v/>
      </c>
      <c r="H5370" s="32"/>
      <c r="I5370" s="28"/>
      <c r="J5370" s="125">
        <v>0</v>
      </c>
    </row>
    <row r="5371" spans="1:10" ht="15.75" hidden="1" thickBot="1" x14ac:dyDescent="0.3">
      <c r="A5371" s="235"/>
      <c r="B5371" s="240"/>
      <c r="C5371" s="155" t="s">
        <v>1023</v>
      </c>
      <c r="D5371" s="155" t="s">
        <v>587</v>
      </c>
      <c r="E5371" s="34">
        <v>0.65</v>
      </c>
      <c r="F5371" s="28">
        <v>25.954000000000001</v>
      </c>
      <c r="G5371" s="31">
        <f>IF(ISNUMBER(F5371),E5371*F5371,"")</f>
        <v>16.870100000000001</v>
      </c>
      <c r="H5371" s="35">
        <f>SUM(G5371:G5373)</f>
        <v>29.559725</v>
      </c>
      <c r="I5371" s="36"/>
      <c r="J5371" s="125">
        <v>0</v>
      </c>
    </row>
    <row r="5372" spans="1:10" ht="15.75" hidden="1" thickBot="1" x14ac:dyDescent="0.3">
      <c r="A5372" s="235"/>
      <c r="B5372" s="240"/>
      <c r="C5372" s="155" t="s">
        <v>1022</v>
      </c>
      <c r="D5372" s="155" t="s">
        <v>587</v>
      </c>
      <c r="E5372" s="34">
        <v>0.65</v>
      </c>
      <c r="F5372" s="28">
        <v>19.522500000000001</v>
      </c>
      <c r="G5372" s="31">
        <f>IF(ISNUMBER(F5372),E5372*F5372,"")</f>
        <v>12.689625000000001</v>
      </c>
      <c r="H5372" s="32"/>
      <c r="I5372" s="28"/>
      <c r="J5372" s="125">
        <v>0</v>
      </c>
    </row>
    <row r="5373" spans="1:10" ht="26.25" hidden="1" thickBot="1" x14ac:dyDescent="0.3">
      <c r="A5373" s="235"/>
      <c r="B5373" s="240"/>
      <c r="C5373" s="155" t="s">
        <v>13552</v>
      </c>
      <c r="D5373" s="33" t="s">
        <v>69</v>
      </c>
      <c r="E5373" s="34">
        <v>1.05</v>
      </c>
      <c r="F5373" s="28" t="s">
        <v>418</v>
      </c>
      <c r="G5373" s="31" t="str">
        <f>IF(ISNUMBER(F5373),E5373*F5373,"")</f>
        <v/>
      </c>
      <c r="H5373" s="32"/>
      <c r="I5373" s="28"/>
      <c r="J5373" s="125">
        <v>0</v>
      </c>
    </row>
    <row r="5374" spans="1:10" ht="15.75" hidden="1" thickBot="1" x14ac:dyDescent="0.3">
      <c r="A5374" s="236"/>
      <c r="B5374" s="239"/>
      <c r="C5374" s="155"/>
      <c r="D5374" s="33"/>
      <c r="E5374" s="34"/>
      <c r="F5374" s="28" t="s">
        <v>418</v>
      </c>
      <c r="G5374" s="28" t="str">
        <f>IF(ISNUMBER(F5374),E5374*F5374,"")</f>
        <v/>
      </c>
      <c r="H5374" s="32"/>
      <c r="I5374" s="28"/>
      <c r="J5374" s="125">
        <v>0</v>
      </c>
    </row>
    <row r="5375" spans="1:10" ht="15.75" hidden="1" thickBot="1" x14ac:dyDescent="0.3">
      <c r="A5375" s="234" t="s">
        <v>12903</v>
      </c>
      <c r="B5375" s="237" t="s">
        <v>19786</v>
      </c>
      <c r="C5375" s="160"/>
      <c r="D5375" s="23" t="s">
        <v>69</v>
      </c>
      <c r="E5375" s="24"/>
      <c r="F5375" s="37" t="s">
        <v>418</v>
      </c>
      <c r="G5375" s="25" t="str">
        <f>IF(ISNUMBER(F5375),E5375*F5375,"")</f>
        <v/>
      </c>
      <c r="H5375" s="26"/>
      <c r="I5375" s="27"/>
      <c r="J5375" s="125">
        <v>0</v>
      </c>
    </row>
    <row r="5376" spans="1:10" ht="15.75" hidden="1" thickBot="1" x14ac:dyDescent="0.3">
      <c r="A5376" s="235"/>
      <c r="B5376" s="240"/>
      <c r="C5376" s="151"/>
      <c r="D5376" s="29"/>
      <c r="E5376" s="30"/>
      <c r="F5376" s="38" t="s">
        <v>418</v>
      </c>
      <c r="G5376" s="28" t="str">
        <f>IF(ISNUMBER(F5376),E5376*F5376,"")</f>
        <v/>
      </c>
      <c r="H5376" s="32"/>
      <c r="I5376" s="28"/>
      <c r="J5376" s="125">
        <v>0</v>
      </c>
    </row>
    <row r="5377" spans="1:10" ht="15.75" hidden="1" thickBot="1" x14ac:dyDescent="0.3">
      <c r="A5377" s="235"/>
      <c r="B5377" s="240"/>
      <c r="C5377" s="155" t="s">
        <v>1023</v>
      </c>
      <c r="D5377" s="155" t="s">
        <v>587</v>
      </c>
      <c r="E5377" s="156">
        <v>0.65</v>
      </c>
      <c r="F5377" s="28">
        <v>25.954000000000001</v>
      </c>
      <c r="G5377" s="31">
        <f>IF(ISNUMBER(F5377),E5377*F5377,"")</f>
        <v>16.870100000000001</v>
      </c>
      <c r="H5377" s="35">
        <f>SUM(G5377:G5379)</f>
        <v>29.559725</v>
      </c>
      <c r="I5377" s="36"/>
      <c r="J5377" s="125">
        <v>0</v>
      </c>
    </row>
    <row r="5378" spans="1:10" ht="15.75" hidden="1" thickBot="1" x14ac:dyDescent="0.3">
      <c r="A5378" s="235"/>
      <c r="B5378" s="240"/>
      <c r="C5378" s="155" t="s">
        <v>1022</v>
      </c>
      <c r="D5378" s="155" t="s">
        <v>587</v>
      </c>
      <c r="E5378" s="156">
        <v>0.65</v>
      </c>
      <c r="F5378" s="28">
        <v>19.522500000000001</v>
      </c>
      <c r="G5378" s="31">
        <f>IF(ISNUMBER(F5378),E5378*F5378,"")</f>
        <v>12.689625000000001</v>
      </c>
      <c r="H5378" s="32"/>
      <c r="I5378" s="28"/>
      <c r="J5378" s="125">
        <v>0</v>
      </c>
    </row>
    <row r="5379" spans="1:10" ht="26.25" hidden="1" thickBot="1" x14ac:dyDescent="0.3">
      <c r="A5379" s="235"/>
      <c r="B5379" s="240"/>
      <c r="C5379" s="155" t="s">
        <v>13553</v>
      </c>
      <c r="D5379" s="33" t="s">
        <v>69</v>
      </c>
      <c r="E5379" s="34">
        <v>1.05</v>
      </c>
      <c r="F5379" s="28" t="s">
        <v>418</v>
      </c>
      <c r="G5379" s="31" t="str">
        <f>IF(ISNUMBER(F5379),E5379*F5379,"")</f>
        <v/>
      </c>
      <c r="H5379" s="32"/>
      <c r="I5379" s="28"/>
      <c r="J5379" s="125">
        <v>0</v>
      </c>
    </row>
    <row r="5380" spans="1:10" ht="15.75" hidden="1" thickBot="1" x14ac:dyDescent="0.3">
      <c r="A5380" s="236"/>
      <c r="B5380" s="239"/>
      <c r="C5380" s="155"/>
      <c r="D5380" s="33"/>
      <c r="E5380" s="34"/>
      <c r="F5380" s="28" t="s">
        <v>418</v>
      </c>
      <c r="G5380" s="28" t="str">
        <f>IF(ISNUMBER(F5380),E5380*F5380,"")</f>
        <v/>
      </c>
      <c r="H5380" s="32"/>
      <c r="I5380" s="28"/>
      <c r="J5380" s="125">
        <v>0</v>
      </c>
    </row>
    <row r="5381" spans="1:10" ht="15.75" hidden="1" thickBot="1" x14ac:dyDescent="0.3">
      <c r="A5381" s="234" t="s">
        <v>12904</v>
      </c>
      <c r="B5381" s="237" t="s">
        <v>12921</v>
      </c>
      <c r="C5381" s="160"/>
      <c r="D5381" s="23" t="s">
        <v>16</v>
      </c>
      <c r="E5381" s="24"/>
      <c r="F5381" s="37" t="s">
        <v>418</v>
      </c>
      <c r="G5381" s="25" t="str">
        <f>IF(ISNUMBER(F5381),E5381*F5381,"")</f>
        <v/>
      </c>
      <c r="H5381" s="26"/>
      <c r="I5381" s="27"/>
      <c r="J5381" s="125">
        <v>0</v>
      </c>
    </row>
    <row r="5382" spans="1:10" ht="15.75" hidden="1" thickBot="1" x14ac:dyDescent="0.3">
      <c r="A5382" s="235"/>
      <c r="B5382" s="240"/>
      <c r="C5382" s="151"/>
      <c r="D5382" s="29"/>
      <c r="E5382" s="30"/>
      <c r="F5382" s="38" t="s">
        <v>418</v>
      </c>
      <c r="G5382" s="28" t="str">
        <f>IF(ISNUMBER(F5382),E5382*F5382,"")</f>
        <v/>
      </c>
      <c r="H5382" s="32"/>
      <c r="I5382" s="28"/>
      <c r="J5382" s="125">
        <v>0</v>
      </c>
    </row>
    <row r="5383" spans="1:10" ht="51.75" hidden="1" thickBot="1" x14ac:dyDescent="0.3">
      <c r="A5383" s="235"/>
      <c r="B5383" s="240"/>
      <c r="C5383" s="155" t="s">
        <v>21402</v>
      </c>
      <c r="D5383" s="33" t="s">
        <v>97</v>
      </c>
      <c r="E5383" s="34">
        <v>1</v>
      </c>
      <c r="F5383" s="31" t="s">
        <v>418</v>
      </c>
      <c r="G5383" s="28" t="str">
        <f>IF(ISNUMBER(F5383),E5383*F5383,"")</f>
        <v/>
      </c>
      <c r="H5383" s="35">
        <f>SUM(G5383:G5387)</f>
        <v>14.12687335</v>
      </c>
      <c r="I5383" s="36"/>
      <c r="J5383" s="125">
        <v>0</v>
      </c>
    </row>
    <row r="5384" spans="1:10" ht="26.25" hidden="1" thickBot="1" x14ac:dyDescent="0.3">
      <c r="A5384" s="235"/>
      <c r="B5384" s="240"/>
      <c r="C5384" s="155" t="s">
        <v>21403</v>
      </c>
      <c r="D5384" s="33" t="s">
        <v>97</v>
      </c>
      <c r="E5384" s="34">
        <v>1</v>
      </c>
      <c r="F5384" s="31" t="s">
        <v>418</v>
      </c>
      <c r="G5384" s="28" t="str">
        <f>IF(ISNUMBER(F5384),E5384*F5384,"")</f>
        <v/>
      </c>
      <c r="H5384" s="40"/>
      <c r="I5384" s="41"/>
      <c r="J5384" s="125">
        <v>0</v>
      </c>
    </row>
    <row r="5385" spans="1:10" ht="39" hidden="1" thickBot="1" x14ac:dyDescent="0.3">
      <c r="A5385" s="235"/>
      <c r="B5385" s="240"/>
      <c r="C5385" s="155" t="s">
        <v>21404</v>
      </c>
      <c r="D5385" s="33" t="s">
        <v>97</v>
      </c>
      <c r="E5385" s="34">
        <v>2</v>
      </c>
      <c r="F5385" s="31" t="s">
        <v>418</v>
      </c>
      <c r="G5385" s="28" t="str">
        <f>IF(ISNUMBER(F5385),E5385*F5385,"")</f>
        <v/>
      </c>
      <c r="H5385" s="40"/>
      <c r="I5385" s="41"/>
      <c r="J5385" s="125">
        <v>0</v>
      </c>
    </row>
    <row r="5386" spans="1:10" ht="15.75" hidden="1" thickBot="1" x14ac:dyDescent="0.3">
      <c r="A5386" s="235"/>
      <c r="B5386" s="240"/>
      <c r="C5386" s="155" t="s">
        <v>1022</v>
      </c>
      <c r="D5386" s="155" t="s">
        <v>587</v>
      </c>
      <c r="E5386" s="34">
        <v>0.17269999999999999</v>
      </c>
      <c r="F5386" s="28">
        <v>19.522500000000001</v>
      </c>
      <c r="G5386" s="28">
        <f>IF(ISNUMBER(F5386),E5386*F5386,"")</f>
        <v>3.3715357500000001</v>
      </c>
      <c r="H5386" s="32"/>
      <c r="I5386" s="28"/>
      <c r="J5386" s="125">
        <v>0</v>
      </c>
    </row>
    <row r="5387" spans="1:10" ht="15.75" hidden="1" thickBot="1" x14ac:dyDescent="0.3">
      <c r="A5387" s="235"/>
      <c r="B5387" s="240"/>
      <c r="C5387" s="155" t="s">
        <v>1023</v>
      </c>
      <c r="D5387" s="155" t="s">
        <v>587</v>
      </c>
      <c r="E5387" s="34">
        <v>0.41439999999999999</v>
      </c>
      <c r="F5387" s="28">
        <v>25.954000000000001</v>
      </c>
      <c r="G5387" s="28">
        <f>IF(ISNUMBER(F5387),E5387*F5387,"")</f>
        <v>10.755337600000001</v>
      </c>
      <c r="H5387" s="32"/>
      <c r="I5387" s="28"/>
      <c r="J5387" s="125">
        <v>0</v>
      </c>
    </row>
    <row r="5388" spans="1:10" ht="15.75" hidden="1" thickBot="1" x14ac:dyDescent="0.3">
      <c r="A5388" s="236"/>
      <c r="B5388" s="239"/>
      <c r="C5388" s="155"/>
      <c r="D5388" s="33"/>
      <c r="E5388" s="34"/>
      <c r="F5388" s="28" t="s">
        <v>418</v>
      </c>
      <c r="G5388" s="28" t="str">
        <f>IF(ISNUMBER(F5388),E5388*F5388,"")</f>
        <v/>
      </c>
      <c r="H5388" s="32"/>
      <c r="I5388" s="28"/>
      <c r="J5388" s="125">
        <v>0</v>
      </c>
    </row>
    <row r="5389" spans="1:10" ht="15.75" hidden="1" thickBot="1" x14ac:dyDescent="0.3">
      <c r="A5389" s="234" t="s">
        <v>12905</v>
      </c>
      <c r="B5389" s="237" t="s">
        <v>19670</v>
      </c>
      <c r="C5389" s="160"/>
      <c r="D5389" s="23" t="s">
        <v>16</v>
      </c>
      <c r="E5389" s="24"/>
      <c r="F5389" s="37" t="s">
        <v>418</v>
      </c>
      <c r="G5389" s="25" t="str">
        <f>IF(ISNUMBER(F5389),E5389*F5389,"")</f>
        <v/>
      </c>
      <c r="H5389" s="26"/>
      <c r="I5389" s="27"/>
      <c r="J5389" s="125">
        <v>0</v>
      </c>
    </row>
    <row r="5390" spans="1:10" ht="15.75" hidden="1" thickBot="1" x14ac:dyDescent="0.3">
      <c r="A5390" s="235"/>
      <c r="B5390" s="240"/>
      <c r="C5390" s="151"/>
      <c r="D5390" s="29"/>
      <c r="E5390" s="30"/>
      <c r="F5390" s="38" t="s">
        <v>418</v>
      </c>
      <c r="G5390" s="28" t="str">
        <f>IF(ISNUMBER(F5390),E5390*F5390,"")</f>
        <v/>
      </c>
      <c r="H5390" s="32"/>
      <c r="I5390" s="28"/>
      <c r="J5390" s="125">
        <v>0</v>
      </c>
    </row>
    <row r="5391" spans="1:10" ht="51.75" hidden="1" thickBot="1" x14ac:dyDescent="0.3">
      <c r="A5391" s="235"/>
      <c r="B5391" s="240"/>
      <c r="C5391" s="155" t="s">
        <v>2421</v>
      </c>
      <c r="D5391" s="155" t="s">
        <v>814</v>
      </c>
      <c r="E5391" s="34">
        <v>0.23880000000000001</v>
      </c>
      <c r="F5391" s="31">
        <v>274.27449999999999</v>
      </c>
      <c r="G5391" s="28">
        <f>IF(ISNUMBER(F5391),E5391*F5391,"")</f>
        <v>65.496750599999999</v>
      </c>
      <c r="H5391" s="35">
        <f>SUM(G5391:G5395)</f>
        <v>452.69690225000005</v>
      </c>
      <c r="I5391" s="36"/>
      <c r="J5391" s="125">
        <v>0</v>
      </c>
    </row>
    <row r="5392" spans="1:10" ht="26.25" hidden="1" thickBot="1" x14ac:dyDescent="0.3">
      <c r="A5392" s="235"/>
      <c r="B5392" s="240"/>
      <c r="C5392" s="155" t="s">
        <v>25511</v>
      </c>
      <c r="D5392" s="155" t="s">
        <v>205</v>
      </c>
      <c r="E5392" s="34">
        <v>1.4E-2</v>
      </c>
      <c r="F5392" s="31">
        <v>4.8354999999999997</v>
      </c>
      <c r="G5392" s="28">
        <f>IF(ISNUMBER(F5392),E5392*F5392,"")</f>
        <v>6.7696999999999993E-2</v>
      </c>
      <c r="H5392" s="40"/>
      <c r="I5392" s="41"/>
      <c r="J5392" s="125">
        <v>0</v>
      </c>
    </row>
    <row r="5393" spans="1:10" ht="26.25" hidden="1" thickBot="1" x14ac:dyDescent="0.3">
      <c r="A5393" s="235"/>
      <c r="B5393" s="240"/>
      <c r="C5393" s="155" t="s">
        <v>26090</v>
      </c>
      <c r="D5393" s="155" t="s">
        <v>205</v>
      </c>
      <c r="E5393" s="34">
        <v>1</v>
      </c>
      <c r="F5393" s="31">
        <v>376.30450000000002</v>
      </c>
      <c r="G5393" s="28">
        <f>IF(ISNUMBER(F5393),E5393*F5393,"")</f>
        <v>376.30450000000002</v>
      </c>
      <c r="H5393" s="40"/>
      <c r="I5393" s="41"/>
      <c r="J5393" s="125">
        <v>0</v>
      </c>
    </row>
    <row r="5394" spans="1:10" ht="15.75" hidden="1" thickBot="1" x14ac:dyDescent="0.3">
      <c r="A5394" s="235"/>
      <c r="B5394" s="240"/>
      <c r="C5394" s="155" t="s">
        <v>1022</v>
      </c>
      <c r="D5394" s="155" t="s">
        <v>587</v>
      </c>
      <c r="E5394" s="34">
        <v>0.23810000000000001</v>
      </c>
      <c r="F5394" s="28">
        <v>19.522500000000001</v>
      </c>
      <c r="G5394" s="28">
        <f>IF(ISNUMBER(F5394),E5394*F5394,"")</f>
        <v>4.6483072500000002</v>
      </c>
      <c r="H5394" s="32"/>
      <c r="I5394" s="28"/>
      <c r="J5394" s="125">
        <v>0</v>
      </c>
    </row>
    <row r="5395" spans="1:10" ht="15.75" hidden="1" thickBot="1" x14ac:dyDescent="0.3">
      <c r="A5395" s="235"/>
      <c r="B5395" s="240"/>
      <c r="C5395" s="155" t="s">
        <v>1023</v>
      </c>
      <c r="D5395" s="155" t="s">
        <v>587</v>
      </c>
      <c r="E5395" s="34">
        <v>0.23810000000000001</v>
      </c>
      <c r="F5395" s="28">
        <v>25.954000000000001</v>
      </c>
      <c r="G5395" s="28">
        <f>IF(ISNUMBER(F5395),E5395*F5395,"")</f>
        <v>6.1796474000000003</v>
      </c>
      <c r="H5395" s="32"/>
      <c r="I5395" s="28"/>
      <c r="J5395" s="125">
        <v>0</v>
      </c>
    </row>
    <row r="5396" spans="1:10" ht="15.75" hidden="1" thickBot="1" x14ac:dyDescent="0.3">
      <c r="A5396" s="236"/>
      <c r="B5396" s="239"/>
      <c r="C5396" s="155"/>
      <c r="D5396" s="33"/>
      <c r="E5396" s="34"/>
      <c r="F5396" s="28" t="s">
        <v>418</v>
      </c>
      <c r="G5396" s="28" t="str">
        <f>IF(ISNUMBER(F5396),E5396*F5396,"")</f>
        <v/>
      </c>
      <c r="H5396" s="32"/>
      <c r="I5396" s="28"/>
      <c r="J5396" s="125">
        <v>0</v>
      </c>
    </row>
    <row r="5397" spans="1:10" ht="15.75" hidden="1" thickBot="1" x14ac:dyDescent="0.3">
      <c r="A5397" s="234" t="s">
        <v>12906</v>
      </c>
      <c r="B5397" s="237" t="s">
        <v>19671</v>
      </c>
      <c r="C5397" s="160"/>
      <c r="D5397" s="23" t="s">
        <v>16</v>
      </c>
      <c r="E5397" s="24"/>
      <c r="F5397" s="37" t="s">
        <v>418</v>
      </c>
      <c r="G5397" s="25" t="str">
        <f>IF(ISNUMBER(F5397),E5397*F5397,"")</f>
        <v/>
      </c>
      <c r="H5397" s="26"/>
      <c r="I5397" s="27"/>
      <c r="J5397" s="125">
        <v>0</v>
      </c>
    </row>
    <row r="5398" spans="1:10" ht="15.75" hidden="1" thickBot="1" x14ac:dyDescent="0.3">
      <c r="A5398" s="235"/>
      <c r="B5398" s="240"/>
      <c r="C5398" s="151"/>
      <c r="D5398" s="29"/>
      <c r="E5398" s="30"/>
      <c r="F5398" s="38" t="s">
        <v>418</v>
      </c>
      <c r="G5398" s="28" t="str">
        <f>IF(ISNUMBER(F5398),E5398*F5398,"")</f>
        <v/>
      </c>
      <c r="H5398" s="32"/>
      <c r="I5398" s="28"/>
      <c r="J5398" s="125">
        <v>0</v>
      </c>
    </row>
    <row r="5399" spans="1:10" ht="51.75" hidden="1" thickBot="1" x14ac:dyDescent="0.3">
      <c r="A5399" s="235"/>
      <c r="B5399" s="240"/>
      <c r="C5399" s="155" t="s">
        <v>2421</v>
      </c>
      <c r="D5399" s="155" t="s">
        <v>814</v>
      </c>
      <c r="E5399" s="34">
        <v>0.23880000000000001</v>
      </c>
      <c r="F5399" s="31">
        <v>274.27449999999999</v>
      </c>
      <c r="G5399" s="28">
        <f>IF(ISNUMBER(F5399),E5399*F5399,"")</f>
        <v>65.496750599999999</v>
      </c>
      <c r="H5399" s="35">
        <f>SUM(G5399:G5403)</f>
        <v>578.67640225000002</v>
      </c>
      <c r="I5399" s="36"/>
      <c r="J5399" s="125">
        <v>0</v>
      </c>
    </row>
    <row r="5400" spans="1:10" ht="26.25" hidden="1" thickBot="1" x14ac:dyDescent="0.3">
      <c r="A5400" s="235"/>
      <c r="B5400" s="240"/>
      <c r="C5400" s="155" t="s">
        <v>25511</v>
      </c>
      <c r="D5400" s="155" t="s">
        <v>205</v>
      </c>
      <c r="E5400" s="34">
        <v>1.4E-2</v>
      </c>
      <c r="F5400" s="31">
        <v>4.8354999999999997</v>
      </c>
      <c r="G5400" s="28">
        <f>IF(ISNUMBER(F5400),E5400*F5400,"")</f>
        <v>6.7696999999999993E-2</v>
      </c>
      <c r="H5400" s="40"/>
      <c r="I5400" s="41"/>
      <c r="J5400" s="125">
        <v>0</v>
      </c>
    </row>
    <row r="5401" spans="1:10" ht="26.25" hidden="1" thickBot="1" x14ac:dyDescent="0.3">
      <c r="A5401" s="235"/>
      <c r="B5401" s="240"/>
      <c r="C5401" s="155" t="s">
        <v>26092</v>
      </c>
      <c r="D5401" s="155" t="s">
        <v>205</v>
      </c>
      <c r="E5401" s="34">
        <v>1</v>
      </c>
      <c r="F5401" s="31">
        <v>502.28399999999999</v>
      </c>
      <c r="G5401" s="28">
        <f>IF(ISNUMBER(F5401),E5401*F5401,"")</f>
        <v>502.28399999999999</v>
      </c>
      <c r="H5401" s="40"/>
      <c r="I5401" s="41"/>
      <c r="J5401" s="125">
        <v>0</v>
      </c>
    </row>
    <row r="5402" spans="1:10" ht="15.75" hidden="1" thickBot="1" x14ac:dyDescent="0.3">
      <c r="A5402" s="235"/>
      <c r="B5402" s="240"/>
      <c r="C5402" s="155" t="s">
        <v>1022</v>
      </c>
      <c r="D5402" s="155" t="s">
        <v>587</v>
      </c>
      <c r="E5402" s="34">
        <v>0.23810000000000001</v>
      </c>
      <c r="F5402" s="28">
        <v>19.522500000000001</v>
      </c>
      <c r="G5402" s="28">
        <f>IF(ISNUMBER(F5402),E5402*F5402,"")</f>
        <v>4.6483072500000002</v>
      </c>
      <c r="H5402" s="32"/>
      <c r="I5402" s="28"/>
      <c r="J5402" s="125">
        <v>0</v>
      </c>
    </row>
    <row r="5403" spans="1:10" ht="15.75" hidden="1" thickBot="1" x14ac:dyDescent="0.3">
      <c r="A5403" s="235"/>
      <c r="B5403" s="240"/>
      <c r="C5403" s="155" t="s">
        <v>1023</v>
      </c>
      <c r="D5403" s="155" t="s">
        <v>587</v>
      </c>
      <c r="E5403" s="34">
        <v>0.23810000000000001</v>
      </c>
      <c r="F5403" s="28">
        <v>25.954000000000001</v>
      </c>
      <c r="G5403" s="28">
        <f>IF(ISNUMBER(F5403),E5403*F5403,"")</f>
        <v>6.1796474000000003</v>
      </c>
      <c r="H5403" s="32"/>
      <c r="I5403" s="28"/>
      <c r="J5403" s="125">
        <v>0</v>
      </c>
    </row>
    <row r="5404" spans="1:10" ht="15.75" hidden="1" thickBot="1" x14ac:dyDescent="0.3">
      <c r="A5404" s="236"/>
      <c r="B5404" s="239"/>
      <c r="C5404" s="155"/>
      <c r="D5404" s="33"/>
      <c r="E5404" s="34"/>
      <c r="F5404" s="28" t="s">
        <v>418</v>
      </c>
      <c r="G5404" s="28" t="str">
        <f>IF(ISNUMBER(F5404),E5404*F5404,"")</f>
        <v/>
      </c>
      <c r="H5404" s="32"/>
      <c r="I5404" s="28"/>
      <c r="J5404" s="125">
        <v>0</v>
      </c>
    </row>
    <row r="5405" spans="1:10" ht="15.75" hidden="1" thickBot="1" x14ac:dyDescent="0.3">
      <c r="A5405" s="234" t="s">
        <v>12907</v>
      </c>
      <c r="B5405" s="237" t="s">
        <v>12922</v>
      </c>
      <c r="C5405" s="160"/>
      <c r="D5405" s="23" t="s">
        <v>16</v>
      </c>
      <c r="E5405" s="24"/>
      <c r="F5405" s="37" t="s">
        <v>418</v>
      </c>
      <c r="G5405" s="25" t="str">
        <f>IF(ISNUMBER(F5405),E5405*F5405,"")</f>
        <v/>
      </c>
      <c r="H5405" s="26"/>
      <c r="I5405" s="27"/>
      <c r="J5405" s="125">
        <v>0</v>
      </c>
    </row>
    <row r="5406" spans="1:10" ht="15.75" hidden="1" thickBot="1" x14ac:dyDescent="0.3">
      <c r="A5406" s="235"/>
      <c r="B5406" s="240"/>
      <c r="C5406" s="151"/>
      <c r="D5406" s="29"/>
      <c r="E5406" s="30"/>
      <c r="F5406" s="38" t="s">
        <v>418</v>
      </c>
      <c r="G5406" s="28" t="str">
        <f>IF(ISNUMBER(F5406),E5406*F5406,"")</f>
        <v/>
      </c>
      <c r="H5406" s="32"/>
      <c r="I5406" s="28"/>
      <c r="J5406" s="125">
        <v>0</v>
      </c>
    </row>
    <row r="5407" spans="1:10" ht="26.25" hidden="1" thickBot="1" x14ac:dyDescent="0.3">
      <c r="A5407" s="235"/>
      <c r="B5407" s="240"/>
      <c r="C5407" s="155" t="s">
        <v>38839</v>
      </c>
      <c r="D5407" s="155" t="s">
        <v>205</v>
      </c>
      <c r="E5407" s="34">
        <v>1</v>
      </c>
      <c r="F5407" s="31">
        <v>1845.6599999999999</v>
      </c>
      <c r="G5407" s="28">
        <f>IF(ISNUMBER(F5407),E5407*F5407,"")</f>
        <v>1845.6599999999999</v>
      </c>
      <c r="H5407" s="35">
        <f>SUM(G5407:G5410)</f>
        <v>1949.5004767499997</v>
      </c>
      <c r="I5407" s="36"/>
      <c r="J5407" s="125">
        <v>0</v>
      </c>
    </row>
    <row r="5408" spans="1:10" ht="51.75" hidden="1" thickBot="1" x14ac:dyDescent="0.3">
      <c r="A5408" s="235"/>
      <c r="B5408" s="240"/>
      <c r="C5408" s="155" t="s">
        <v>2421</v>
      </c>
      <c r="D5408" s="155" t="s">
        <v>814</v>
      </c>
      <c r="E5408" s="34">
        <v>0.111</v>
      </c>
      <c r="F5408" s="31">
        <v>274.27449999999999</v>
      </c>
      <c r="G5408" s="28">
        <f>IF(ISNUMBER(F5408),E5408*F5408,"")</f>
        <v>30.4444695</v>
      </c>
      <c r="H5408" s="40"/>
      <c r="I5408" s="41"/>
      <c r="J5408" s="125">
        <v>0</v>
      </c>
    </row>
    <row r="5409" spans="1:10" ht="15.75" hidden="1" thickBot="1" x14ac:dyDescent="0.3">
      <c r="A5409" s="235"/>
      <c r="B5409" s="240"/>
      <c r="C5409" s="155" t="s">
        <v>1022</v>
      </c>
      <c r="D5409" s="155" t="s">
        <v>587</v>
      </c>
      <c r="E5409" s="34">
        <f>1.413/2</f>
        <v>0.70650000000000002</v>
      </c>
      <c r="F5409" s="31">
        <v>19.522500000000001</v>
      </c>
      <c r="G5409" s="28">
        <f>IF(ISNUMBER(F5409),E5409*F5409,"")</f>
        <v>13.792646250000001</v>
      </c>
      <c r="H5409" s="40"/>
      <c r="I5409" s="41"/>
      <c r="J5409" s="125">
        <v>0</v>
      </c>
    </row>
    <row r="5410" spans="1:10" ht="15.75" hidden="1" thickBot="1" x14ac:dyDescent="0.3">
      <c r="A5410" s="235"/>
      <c r="B5410" s="240"/>
      <c r="C5410" s="155" t="s">
        <v>1023</v>
      </c>
      <c r="D5410" s="155" t="s">
        <v>587</v>
      </c>
      <c r="E5410" s="34">
        <f>4.593/2</f>
        <v>2.2965</v>
      </c>
      <c r="F5410" s="28">
        <v>25.954000000000001</v>
      </c>
      <c r="G5410" s="28">
        <f>IF(ISNUMBER(F5410),E5410*F5410,"")</f>
        <v>59.603361</v>
      </c>
      <c r="H5410" s="32"/>
      <c r="I5410" s="28"/>
      <c r="J5410" s="125">
        <v>0</v>
      </c>
    </row>
    <row r="5411" spans="1:10" ht="15.75" hidden="1" thickBot="1" x14ac:dyDescent="0.3">
      <c r="A5411" s="236"/>
      <c r="B5411" s="239"/>
      <c r="C5411" s="155"/>
      <c r="D5411" s="33"/>
      <c r="E5411" s="34"/>
      <c r="F5411" s="28" t="s">
        <v>418</v>
      </c>
      <c r="G5411" s="28" t="str">
        <f>IF(ISNUMBER(F5411),E5411*F5411,"")</f>
        <v/>
      </c>
      <c r="H5411" s="32"/>
      <c r="I5411" s="28"/>
      <c r="J5411" s="125">
        <v>0</v>
      </c>
    </row>
    <row r="5412" spans="1:10" ht="15.75" hidden="1" thickBot="1" x14ac:dyDescent="0.3">
      <c r="A5412" s="241" t="s">
        <v>12908</v>
      </c>
      <c r="B5412" s="244" t="s">
        <v>19787</v>
      </c>
      <c r="C5412" s="160"/>
      <c r="D5412" s="23" t="s">
        <v>16</v>
      </c>
      <c r="E5412" s="24"/>
      <c r="F5412" s="37" t="s">
        <v>418</v>
      </c>
      <c r="G5412" s="25" t="str">
        <f>IF(ISNUMBER(F5412),E5412*F5412,"")</f>
        <v/>
      </c>
      <c r="H5412" s="26"/>
      <c r="I5412" s="27"/>
      <c r="J5412" s="125">
        <v>0</v>
      </c>
    </row>
    <row r="5413" spans="1:10" ht="15.75" hidden="1" thickBot="1" x14ac:dyDescent="0.3">
      <c r="A5413" s="242"/>
      <c r="B5413" s="251"/>
      <c r="C5413" s="151"/>
      <c r="D5413" s="29"/>
      <c r="E5413" s="30"/>
      <c r="F5413" s="38" t="s">
        <v>418</v>
      </c>
      <c r="G5413" s="28" t="str">
        <f>IF(ISNUMBER(F5413),E5413*F5413,"")</f>
        <v/>
      </c>
      <c r="H5413" s="32"/>
      <c r="I5413" s="28"/>
      <c r="J5413" s="125">
        <v>0</v>
      </c>
    </row>
    <row r="5414" spans="1:10" ht="15.75" hidden="1" thickBot="1" x14ac:dyDescent="0.3">
      <c r="A5414" s="242"/>
      <c r="B5414" s="251"/>
      <c r="C5414" s="155" t="s">
        <v>10396</v>
      </c>
      <c r="D5414" s="155" t="s">
        <v>205</v>
      </c>
      <c r="E5414" s="34">
        <f>38.691*5/3</f>
        <v>64.484999999999999</v>
      </c>
      <c r="F5414" s="28">
        <v>0.60799999999999998</v>
      </c>
      <c r="G5414" s="31">
        <f>IF(ISNUMBER(F5414),E5414*F5414,"")</f>
        <v>39.206879999999998</v>
      </c>
      <c r="H5414" s="35">
        <f>SUM(G5414:G5420)</f>
        <v>288.06780805283529</v>
      </c>
      <c r="I5414" s="36"/>
      <c r="J5414" s="125">
        <v>0</v>
      </c>
    </row>
    <row r="5415" spans="1:10" ht="39" hidden="1" thickBot="1" x14ac:dyDescent="0.3">
      <c r="A5415" s="242"/>
      <c r="B5415" s="251"/>
      <c r="C5415" s="155" t="s">
        <v>880</v>
      </c>
      <c r="D5415" s="155" t="s">
        <v>85</v>
      </c>
      <c r="E5415" s="34">
        <f>0.0039*5/3</f>
        <v>6.4999999999999997E-3</v>
      </c>
      <c r="F5415" s="28">
        <v>675.01386778699998</v>
      </c>
      <c r="G5415" s="31">
        <f>IF(ISNUMBER(F5415),E5415*F5415,"")</f>
        <v>4.3875901406155</v>
      </c>
      <c r="H5415" s="32"/>
      <c r="I5415" s="28"/>
      <c r="J5415" s="125">
        <v>0</v>
      </c>
    </row>
    <row r="5416" spans="1:10" ht="15.75" hidden="1" thickBot="1" x14ac:dyDescent="0.3">
      <c r="A5416" s="242"/>
      <c r="B5416" s="251"/>
      <c r="C5416" s="155" t="s">
        <v>595</v>
      </c>
      <c r="D5416" s="155" t="s">
        <v>587</v>
      </c>
      <c r="E5416" s="34">
        <f>1.2686*5/3</f>
        <v>2.1143333333333332</v>
      </c>
      <c r="F5416" s="31">
        <v>25.65</v>
      </c>
      <c r="G5416" s="28">
        <f>IF(ISNUMBER(F5416),E5416*F5416,"")</f>
        <v>54.232649999999992</v>
      </c>
      <c r="H5416" s="32"/>
      <c r="I5416" s="28"/>
      <c r="J5416" s="125">
        <v>0</v>
      </c>
    </row>
    <row r="5417" spans="1:10" ht="15.75" hidden="1" thickBot="1" x14ac:dyDescent="0.3">
      <c r="A5417" s="242"/>
      <c r="B5417" s="251"/>
      <c r="C5417" s="155" t="s">
        <v>588</v>
      </c>
      <c r="D5417" s="155" t="s">
        <v>587</v>
      </c>
      <c r="E5417" s="34">
        <f>0.9967*5/3</f>
        <v>1.6611666666666667</v>
      </c>
      <c r="F5417" s="28">
        <v>19.189999999999998</v>
      </c>
      <c r="G5417" s="31">
        <f>IF(ISNUMBER(F5417),E5417*F5417,"")</f>
        <v>31.877788333333331</v>
      </c>
      <c r="H5417" s="32"/>
      <c r="I5417" s="36"/>
      <c r="J5417" s="125">
        <v>0</v>
      </c>
    </row>
    <row r="5418" spans="1:10" ht="26.25" hidden="1" thickBot="1" x14ac:dyDescent="0.3">
      <c r="A5418" s="242"/>
      <c r="B5418" s="251"/>
      <c r="C5418" s="155" t="s">
        <v>5407</v>
      </c>
      <c r="D5418" s="155" t="s">
        <v>85</v>
      </c>
      <c r="E5418" s="34">
        <f>0.0175*5/3</f>
        <v>2.9166666666666671E-2</v>
      </c>
      <c r="F5418" s="28">
        <v>3226.7811916955138</v>
      </c>
      <c r="G5418" s="31">
        <f>IF(ISNUMBER(F5418),E5418*F5418,"")</f>
        <v>94.114451424452497</v>
      </c>
      <c r="H5418" s="32"/>
      <c r="I5418" s="28"/>
      <c r="J5418" s="125">
        <v>0</v>
      </c>
    </row>
    <row r="5419" spans="1:10" ht="39" hidden="1" thickBot="1" x14ac:dyDescent="0.3">
      <c r="A5419" s="242"/>
      <c r="B5419" s="251"/>
      <c r="C5419" s="155" t="s">
        <v>9210</v>
      </c>
      <c r="D5419" s="155" t="s">
        <v>85</v>
      </c>
      <c r="E5419" s="34">
        <f>0.0278*5/3</f>
        <v>4.6333333333333331E-2</v>
      </c>
      <c r="F5419" s="31">
        <v>999.37196059799987</v>
      </c>
      <c r="G5419" s="28">
        <f>IF(ISNUMBER(F5419),E5419*F5419,"")</f>
        <v>46.304234174373988</v>
      </c>
      <c r="H5419" s="32"/>
      <c r="I5419" s="28"/>
      <c r="J5419" s="125">
        <v>0</v>
      </c>
    </row>
    <row r="5420" spans="1:10" ht="26.25" hidden="1" thickBot="1" x14ac:dyDescent="0.3">
      <c r="A5420" s="242"/>
      <c r="B5420" s="251"/>
      <c r="C5420" s="155" t="s">
        <v>11528</v>
      </c>
      <c r="D5420" s="155" t="s">
        <v>85</v>
      </c>
      <c r="E5420" s="34">
        <f>0.036</f>
        <v>3.5999999999999997E-2</v>
      </c>
      <c r="F5420" s="28">
        <v>498.45038833499996</v>
      </c>
      <c r="G5420" s="31">
        <f>IF(ISNUMBER(F5420),E5420*F5420,"")</f>
        <v>17.944213980059995</v>
      </c>
      <c r="H5420" s="32"/>
      <c r="I5420" s="36"/>
      <c r="J5420" s="125">
        <v>0</v>
      </c>
    </row>
    <row r="5421" spans="1:10" ht="15.75" hidden="1" thickBot="1" x14ac:dyDescent="0.3">
      <c r="A5421" s="243"/>
      <c r="B5421" s="246"/>
      <c r="C5421" s="155"/>
      <c r="D5421" s="33"/>
      <c r="E5421" s="34"/>
      <c r="F5421" s="28" t="s">
        <v>418</v>
      </c>
      <c r="G5421" s="28" t="str">
        <f>IF(ISNUMBER(F5421),E5421*F5421,"")</f>
        <v/>
      </c>
      <c r="H5421" s="32"/>
      <c r="I5421" s="28"/>
      <c r="J5421" s="125">
        <v>0</v>
      </c>
    </row>
    <row r="5422" spans="1:10" ht="15.75" hidden="1" thickBot="1" x14ac:dyDescent="0.3">
      <c r="A5422" s="241" t="s">
        <v>12909</v>
      </c>
      <c r="B5422" s="244" t="s">
        <v>19788</v>
      </c>
      <c r="C5422" s="160"/>
      <c r="D5422" s="23" t="s">
        <v>16</v>
      </c>
      <c r="E5422" s="24"/>
      <c r="F5422" s="37" t="s">
        <v>418</v>
      </c>
      <c r="G5422" s="25" t="str">
        <f>IF(ISNUMBER(F5422),E5422*F5422,"")</f>
        <v/>
      </c>
      <c r="H5422" s="26"/>
      <c r="I5422" s="27"/>
      <c r="J5422" s="125">
        <v>0</v>
      </c>
    </row>
    <row r="5423" spans="1:10" ht="15.75" hidden="1" thickBot="1" x14ac:dyDescent="0.3">
      <c r="A5423" s="242"/>
      <c r="B5423" s="251"/>
      <c r="C5423" s="151"/>
      <c r="D5423" s="29"/>
      <c r="E5423" s="30"/>
      <c r="F5423" s="38" t="s">
        <v>418</v>
      </c>
      <c r="G5423" s="28" t="str">
        <f>IF(ISNUMBER(F5423),E5423*F5423,"")</f>
        <v/>
      </c>
      <c r="H5423" s="32"/>
      <c r="I5423" s="28"/>
      <c r="J5423" s="125">
        <v>0</v>
      </c>
    </row>
    <row r="5424" spans="1:10" ht="64.5" hidden="1" thickBot="1" x14ac:dyDescent="0.3">
      <c r="A5424" s="242"/>
      <c r="B5424" s="251"/>
      <c r="C5424" s="155" t="s">
        <v>2379</v>
      </c>
      <c r="D5424" s="155" t="s">
        <v>814</v>
      </c>
      <c r="E5424" s="34">
        <f>ROUND(0.0087*8/6,4)</f>
        <v>1.1599999999999999E-2</v>
      </c>
      <c r="F5424" s="28">
        <v>138.3295</v>
      </c>
      <c r="G5424" s="31">
        <f>IF(ISNUMBER(F5424),E5424*F5424,"")</f>
        <v>1.6046221999999999</v>
      </c>
      <c r="H5424" s="35">
        <f>SUM(G5424:G5432)</f>
        <v>644.06138690914349</v>
      </c>
      <c r="I5424" s="36"/>
      <c r="J5424" s="125">
        <v>0</v>
      </c>
    </row>
    <row r="5425" spans="1:10" ht="64.5" hidden="1" thickBot="1" x14ac:dyDescent="0.3">
      <c r="A5425" s="242"/>
      <c r="B5425" s="251"/>
      <c r="C5425" s="155" t="s">
        <v>2623</v>
      </c>
      <c r="D5425" s="155" t="s">
        <v>816</v>
      </c>
      <c r="E5425" s="34">
        <f>ROUND(0.0178*8/6,4)</f>
        <v>2.3699999999999999E-2</v>
      </c>
      <c r="F5425" s="28">
        <v>56.876499999999993</v>
      </c>
      <c r="G5425" s="31">
        <f>IF(ISNUMBER(F5425),E5425*F5425,"")</f>
        <v>1.3479730499999998</v>
      </c>
      <c r="H5425" s="32"/>
      <c r="I5425" s="28"/>
      <c r="J5425" s="125">
        <v>0</v>
      </c>
    </row>
    <row r="5426" spans="1:10" ht="15.75" hidden="1" thickBot="1" x14ac:dyDescent="0.3">
      <c r="A5426" s="242"/>
      <c r="B5426" s="251"/>
      <c r="C5426" s="155" t="s">
        <v>10396</v>
      </c>
      <c r="D5426" s="155" t="s">
        <v>205</v>
      </c>
      <c r="E5426" s="34">
        <f>ROUND(134.764*8/6,4)</f>
        <v>179.68530000000001</v>
      </c>
      <c r="F5426" s="31">
        <v>0.60799999999999998</v>
      </c>
      <c r="G5426" s="28">
        <f>IF(ISNUMBER(F5426),E5426*F5426,"")</f>
        <v>109.2486624</v>
      </c>
      <c r="H5426" s="32"/>
      <c r="I5426" s="28"/>
      <c r="J5426" s="125">
        <v>0</v>
      </c>
    </row>
    <row r="5427" spans="1:10" ht="39" hidden="1" thickBot="1" x14ac:dyDescent="0.3">
      <c r="A5427" s="242"/>
      <c r="B5427" s="251"/>
      <c r="C5427" s="155" t="s">
        <v>880</v>
      </c>
      <c r="D5427" s="155" t="s">
        <v>85</v>
      </c>
      <c r="E5427" s="34">
        <f>ROUND(0.0136*8/6,4)</f>
        <v>1.8100000000000002E-2</v>
      </c>
      <c r="F5427" s="28">
        <v>675.01386778699998</v>
      </c>
      <c r="G5427" s="31">
        <f>IF(ISNUMBER(F5427),E5427*F5427,"")</f>
        <v>12.217751006944701</v>
      </c>
      <c r="H5427" s="32"/>
      <c r="I5427" s="36"/>
      <c r="J5427" s="125">
        <v>0</v>
      </c>
    </row>
    <row r="5428" spans="1:10" ht="15.75" hidden="1" thickBot="1" x14ac:dyDescent="0.3">
      <c r="A5428" s="242"/>
      <c r="B5428" s="251"/>
      <c r="C5428" s="155" t="s">
        <v>595</v>
      </c>
      <c r="D5428" s="155" t="s">
        <v>587</v>
      </c>
      <c r="E5428" s="34">
        <f>ROUND(4.5403*8/6,4)</f>
        <v>6.0537000000000001</v>
      </c>
      <c r="F5428" s="28">
        <v>25.65</v>
      </c>
      <c r="G5428" s="31">
        <f>IF(ISNUMBER(F5428),E5428*F5428,"")</f>
        <v>155.27740499999999</v>
      </c>
      <c r="H5428" s="32"/>
      <c r="I5428" s="28"/>
      <c r="J5428" s="125">
        <v>0</v>
      </c>
    </row>
    <row r="5429" spans="1:10" ht="15.75" hidden="1" thickBot="1" x14ac:dyDescent="0.3">
      <c r="A5429" s="242"/>
      <c r="B5429" s="251"/>
      <c r="C5429" s="155" t="s">
        <v>588</v>
      </c>
      <c r="D5429" s="155" t="s">
        <v>587</v>
      </c>
      <c r="E5429" s="34">
        <f>ROUND(3.5674*8/6,4)</f>
        <v>4.7565</v>
      </c>
      <c r="F5429" s="31">
        <v>19.189999999999998</v>
      </c>
      <c r="G5429" s="28">
        <f>IF(ISNUMBER(F5429),E5429*F5429,"")</f>
        <v>91.27723499999999</v>
      </c>
      <c r="H5429" s="32"/>
      <c r="I5429" s="28"/>
      <c r="J5429" s="125">
        <v>0</v>
      </c>
    </row>
    <row r="5430" spans="1:10" ht="26.25" hidden="1" thickBot="1" x14ac:dyDescent="0.3">
      <c r="A5430" s="242"/>
      <c r="B5430" s="251"/>
      <c r="C5430" s="155" t="s">
        <v>9182</v>
      </c>
      <c r="D5430" s="155" t="s">
        <v>85</v>
      </c>
      <c r="E5430" s="34">
        <f>ROUND(0.1012*8/6,4)</f>
        <v>0.13489999999999999</v>
      </c>
      <c r="F5430" s="28">
        <v>828.55930512949988</v>
      </c>
      <c r="G5430" s="31">
        <f>IF(ISNUMBER(F5430),E5430*F5430,"")</f>
        <v>111.77265026196953</v>
      </c>
      <c r="H5430" s="32"/>
      <c r="I5430" s="36"/>
      <c r="J5430" s="125">
        <v>0</v>
      </c>
    </row>
    <row r="5431" spans="1:10" ht="26.25" hidden="1" thickBot="1" x14ac:dyDescent="0.3">
      <c r="A5431" s="242"/>
      <c r="B5431" s="251"/>
      <c r="C5431" s="155" t="s">
        <v>5409</v>
      </c>
      <c r="D5431" s="155" t="s">
        <v>85</v>
      </c>
      <c r="E5431" s="34">
        <v>4.48E-2</v>
      </c>
      <c r="F5431" s="28">
        <v>2756.5278945400514</v>
      </c>
      <c r="G5431" s="31">
        <f>IF(ISNUMBER(F5431),E5431*F5431,"")</f>
        <v>123.4924496753943</v>
      </c>
      <c r="H5431" s="32"/>
      <c r="I5431" s="28"/>
      <c r="J5431" s="125">
        <v>0</v>
      </c>
    </row>
    <row r="5432" spans="1:10" ht="26.25" hidden="1" thickBot="1" x14ac:dyDescent="0.3">
      <c r="A5432" s="242"/>
      <c r="B5432" s="251"/>
      <c r="C5432" s="155" t="s">
        <v>11536</v>
      </c>
      <c r="D5432" s="155" t="s">
        <v>85</v>
      </c>
      <c r="E5432" s="34">
        <v>8.1000000000000003E-2</v>
      </c>
      <c r="F5432" s="31">
        <v>466.94615203499995</v>
      </c>
      <c r="G5432" s="28">
        <f>IF(ISNUMBER(F5432),E5432*F5432,"")</f>
        <v>37.822638314834997</v>
      </c>
      <c r="H5432" s="32"/>
      <c r="I5432" s="28"/>
      <c r="J5432" s="125">
        <v>0</v>
      </c>
    </row>
    <row r="5433" spans="1:10" ht="15.75" hidden="1" thickBot="1" x14ac:dyDescent="0.3">
      <c r="A5433" s="243"/>
      <c r="B5433" s="246"/>
      <c r="C5433" s="155"/>
      <c r="D5433" s="33"/>
      <c r="E5433" s="34"/>
      <c r="F5433" s="28" t="s">
        <v>418</v>
      </c>
      <c r="G5433" s="28" t="str">
        <f>IF(ISNUMBER(F5433),E5433*F5433,"")</f>
        <v/>
      </c>
      <c r="H5433" s="32"/>
      <c r="I5433" s="28"/>
      <c r="J5433" s="125">
        <v>0</v>
      </c>
    </row>
    <row r="5434" spans="1:10" ht="15.75" hidden="1" thickBot="1" x14ac:dyDescent="0.3">
      <c r="A5434" s="234" t="s">
        <v>12910</v>
      </c>
      <c r="B5434" s="237" t="s">
        <v>19789</v>
      </c>
      <c r="C5434" s="160"/>
      <c r="D5434" s="23" t="s">
        <v>16</v>
      </c>
      <c r="E5434" s="24"/>
      <c r="F5434" s="37" t="s">
        <v>418</v>
      </c>
      <c r="G5434" s="25" t="str">
        <f>IF(ISNUMBER(F5434),E5434*F5434,"")</f>
        <v/>
      </c>
      <c r="H5434" s="26"/>
      <c r="I5434" s="27"/>
      <c r="J5434" s="125">
        <v>0</v>
      </c>
    </row>
    <row r="5435" spans="1:10" ht="15.75" hidden="1" thickBot="1" x14ac:dyDescent="0.3">
      <c r="A5435" s="235"/>
      <c r="B5435" s="240"/>
      <c r="C5435" s="151"/>
      <c r="D5435" s="29"/>
      <c r="E5435" s="30"/>
      <c r="F5435" s="38" t="s">
        <v>418</v>
      </c>
      <c r="G5435" s="28" t="str">
        <f>IF(ISNUMBER(F5435),E5435*F5435,"")</f>
        <v/>
      </c>
      <c r="H5435" s="32"/>
      <c r="I5435" s="28"/>
      <c r="J5435" s="125">
        <v>0</v>
      </c>
    </row>
    <row r="5436" spans="1:10" ht="15.75" hidden="1" thickBot="1" x14ac:dyDescent="0.3">
      <c r="A5436" s="235"/>
      <c r="B5436" s="240"/>
      <c r="C5436" s="155" t="s">
        <v>13554</v>
      </c>
      <c r="D5436" s="33" t="s">
        <v>205</v>
      </c>
      <c r="E5436" s="34">
        <v>1</v>
      </c>
      <c r="F5436" s="31" t="s">
        <v>418</v>
      </c>
      <c r="G5436" s="28" t="str">
        <f>IF(ISNUMBER(F5436),E5436*F5436,"")</f>
        <v/>
      </c>
      <c r="H5436" s="35">
        <f>SUM(G5436:G5438)</f>
        <v>90.953000000000003</v>
      </c>
      <c r="I5436" s="36"/>
      <c r="J5436" s="125">
        <v>0</v>
      </c>
    </row>
    <row r="5437" spans="1:10" ht="15.75" hidden="1" thickBot="1" x14ac:dyDescent="0.3">
      <c r="A5437" s="235"/>
      <c r="B5437" s="240"/>
      <c r="C5437" s="155" t="s">
        <v>1022</v>
      </c>
      <c r="D5437" s="155" t="s">
        <v>587</v>
      </c>
      <c r="E5437" s="34">
        <v>2</v>
      </c>
      <c r="F5437" s="31">
        <v>19.522500000000001</v>
      </c>
      <c r="G5437" s="28">
        <f>IF(ISNUMBER(F5437),E5437*F5437,"")</f>
        <v>39.045000000000002</v>
      </c>
      <c r="H5437" s="40"/>
      <c r="I5437" s="41"/>
      <c r="J5437" s="125">
        <v>0</v>
      </c>
    </row>
    <row r="5438" spans="1:10" ht="15.75" hidden="1" thickBot="1" x14ac:dyDescent="0.3">
      <c r="A5438" s="235"/>
      <c r="B5438" s="240"/>
      <c r="C5438" s="155" t="s">
        <v>1023</v>
      </c>
      <c r="D5438" s="155" t="s">
        <v>587</v>
      </c>
      <c r="E5438" s="34">
        <v>2</v>
      </c>
      <c r="F5438" s="28">
        <v>25.954000000000001</v>
      </c>
      <c r="G5438" s="28">
        <f>IF(ISNUMBER(F5438),E5438*F5438,"")</f>
        <v>51.908000000000001</v>
      </c>
      <c r="H5438" s="32"/>
      <c r="I5438" s="28"/>
      <c r="J5438" s="125">
        <v>0</v>
      </c>
    </row>
    <row r="5439" spans="1:10" ht="15.75" hidden="1" thickBot="1" x14ac:dyDescent="0.3">
      <c r="A5439" s="236"/>
      <c r="B5439" s="239"/>
      <c r="C5439" s="155"/>
      <c r="D5439" s="33"/>
      <c r="E5439" s="34"/>
      <c r="F5439" s="28" t="s">
        <v>418</v>
      </c>
      <c r="G5439" s="28" t="str">
        <f>IF(ISNUMBER(F5439),E5439*F5439,"")</f>
        <v/>
      </c>
      <c r="H5439" s="32"/>
      <c r="I5439" s="28"/>
      <c r="J5439" s="125">
        <v>0</v>
      </c>
    </row>
    <row r="5440" spans="1:10" ht="15.75" hidden="1" thickBot="1" x14ac:dyDescent="0.3">
      <c r="A5440" s="234" t="s">
        <v>12911</v>
      </c>
      <c r="B5440" s="237" t="s">
        <v>19790</v>
      </c>
      <c r="C5440" s="160"/>
      <c r="D5440" s="23" t="s">
        <v>16</v>
      </c>
      <c r="E5440" s="24"/>
      <c r="F5440" s="37" t="s">
        <v>418</v>
      </c>
      <c r="G5440" s="25" t="str">
        <f>IF(ISNUMBER(F5440),E5440*F5440,"")</f>
        <v/>
      </c>
      <c r="H5440" s="26"/>
      <c r="I5440" s="27"/>
      <c r="J5440" s="125">
        <v>0</v>
      </c>
    </row>
    <row r="5441" spans="1:10" ht="15.75" hidden="1" thickBot="1" x14ac:dyDescent="0.3">
      <c r="A5441" s="235"/>
      <c r="B5441" s="240"/>
      <c r="C5441" s="151"/>
      <c r="D5441" s="29"/>
      <c r="E5441" s="30"/>
      <c r="F5441" s="38" t="s">
        <v>418</v>
      </c>
      <c r="G5441" s="28" t="str">
        <f>IF(ISNUMBER(F5441),E5441*F5441,"")</f>
        <v/>
      </c>
      <c r="H5441" s="32"/>
      <c r="I5441" s="28"/>
      <c r="J5441" s="125">
        <v>0</v>
      </c>
    </row>
    <row r="5442" spans="1:10" ht="15.75" hidden="1" thickBot="1" x14ac:dyDescent="0.3">
      <c r="A5442" s="235"/>
      <c r="B5442" s="240"/>
      <c r="C5442" s="155" t="s">
        <v>13555</v>
      </c>
      <c r="D5442" s="33" t="s">
        <v>205</v>
      </c>
      <c r="E5442" s="34">
        <v>1</v>
      </c>
      <c r="F5442" s="31" t="s">
        <v>418</v>
      </c>
      <c r="G5442" s="28" t="str">
        <f>IF(ISNUMBER(F5442),E5442*F5442,"")</f>
        <v/>
      </c>
      <c r="H5442" s="35">
        <f>SUM(G5442:G5444)</f>
        <v>90.953000000000003</v>
      </c>
      <c r="I5442" s="36"/>
      <c r="J5442" s="125">
        <v>0</v>
      </c>
    </row>
    <row r="5443" spans="1:10" ht="15.75" hidden="1" thickBot="1" x14ac:dyDescent="0.3">
      <c r="A5443" s="235"/>
      <c r="B5443" s="240"/>
      <c r="C5443" s="155" t="s">
        <v>1022</v>
      </c>
      <c r="D5443" s="155" t="s">
        <v>587</v>
      </c>
      <c r="E5443" s="34">
        <v>2</v>
      </c>
      <c r="F5443" s="31">
        <v>19.522500000000001</v>
      </c>
      <c r="G5443" s="28">
        <f>IF(ISNUMBER(F5443),E5443*F5443,"")</f>
        <v>39.045000000000002</v>
      </c>
      <c r="H5443" s="40"/>
      <c r="I5443" s="41"/>
      <c r="J5443" s="125">
        <v>0</v>
      </c>
    </row>
    <row r="5444" spans="1:10" ht="15.75" hidden="1" thickBot="1" x14ac:dyDescent="0.3">
      <c r="A5444" s="235"/>
      <c r="B5444" s="240"/>
      <c r="C5444" s="155" t="s">
        <v>1023</v>
      </c>
      <c r="D5444" s="155" t="s">
        <v>587</v>
      </c>
      <c r="E5444" s="34">
        <v>2</v>
      </c>
      <c r="F5444" s="28">
        <v>25.954000000000001</v>
      </c>
      <c r="G5444" s="28">
        <f>IF(ISNUMBER(F5444),E5444*F5444,"")</f>
        <v>51.908000000000001</v>
      </c>
      <c r="H5444" s="32"/>
      <c r="I5444" s="28"/>
      <c r="J5444" s="125">
        <v>0</v>
      </c>
    </row>
    <row r="5445" spans="1:10" ht="15.75" hidden="1" thickBot="1" x14ac:dyDescent="0.3">
      <c r="A5445" s="236"/>
      <c r="B5445" s="239"/>
      <c r="C5445" s="155"/>
      <c r="D5445" s="33"/>
      <c r="E5445" s="34"/>
      <c r="F5445" s="28" t="s">
        <v>418</v>
      </c>
      <c r="G5445" s="28" t="str">
        <f>IF(ISNUMBER(F5445),E5445*F5445,"")</f>
        <v/>
      </c>
      <c r="H5445" s="32"/>
      <c r="I5445" s="28"/>
      <c r="J5445" s="125">
        <v>0</v>
      </c>
    </row>
    <row r="5446" spans="1:10" ht="15.75" hidden="1" thickBot="1" x14ac:dyDescent="0.3">
      <c r="A5446" s="234" t="s">
        <v>12912</v>
      </c>
      <c r="B5446" s="237" t="s">
        <v>20943</v>
      </c>
      <c r="C5446" s="160"/>
      <c r="D5446" s="23" t="s">
        <v>16</v>
      </c>
      <c r="E5446" s="24"/>
      <c r="F5446" s="37" t="s">
        <v>418</v>
      </c>
      <c r="G5446" s="25" t="str">
        <f>IF(ISNUMBER(F5446),E5446*F5446,"")</f>
        <v/>
      </c>
      <c r="H5446" s="26"/>
      <c r="I5446" s="27"/>
      <c r="J5446" s="125">
        <v>0</v>
      </c>
    </row>
    <row r="5447" spans="1:10" ht="15.75" hidden="1" thickBot="1" x14ac:dyDescent="0.3">
      <c r="A5447" s="235"/>
      <c r="B5447" s="240"/>
      <c r="C5447" s="151"/>
      <c r="D5447" s="29"/>
      <c r="E5447" s="30"/>
      <c r="F5447" s="38" t="s">
        <v>418</v>
      </c>
      <c r="G5447" s="28" t="str">
        <f>IF(ISNUMBER(F5447),E5447*F5447,"")</f>
        <v/>
      </c>
      <c r="H5447" s="32"/>
      <c r="I5447" s="28"/>
      <c r="J5447" s="125">
        <v>0</v>
      </c>
    </row>
    <row r="5448" spans="1:10" ht="15.75" hidden="1" thickBot="1" x14ac:dyDescent="0.3">
      <c r="A5448" s="235"/>
      <c r="B5448" s="240"/>
      <c r="C5448" s="155" t="s">
        <v>1023</v>
      </c>
      <c r="D5448" s="155" t="s">
        <v>587</v>
      </c>
      <c r="E5448" s="34">
        <v>0.317</v>
      </c>
      <c r="F5448" s="28">
        <v>25.954000000000001</v>
      </c>
      <c r="G5448" s="31">
        <f>IF(ISNUMBER(F5448),E5448*F5448,"")</f>
        <v>8.2274180000000001</v>
      </c>
      <c r="H5448" s="35">
        <f>SUM(G5448:G5451)</f>
        <v>14.416050500000001</v>
      </c>
      <c r="I5448" s="36"/>
      <c r="J5448" s="125">
        <v>0</v>
      </c>
    </row>
    <row r="5449" spans="1:10" ht="15.75" hidden="1" thickBot="1" x14ac:dyDescent="0.3">
      <c r="A5449" s="235"/>
      <c r="B5449" s="240"/>
      <c r="C5449" s="155" t="s">
        <v>1022</v>
      </c>
      <c r="D5449" s="155" t="s">
        <v>587</v>
      </c>
      <c r="E5449" s="34">
        <v>0.317</v>
      </c>
      <c r="F5449" s="28">
        <v>19.522500000000001</v>
      </c>
      <c r="G5449" s="31">
        <f>IF(ISNUMBER(F5449),E5449*F5449,"")</f>
        <v>6.1886325000000006</v>
      </c>
      <c r="H5449" s="32"/>
      <c r="I5449" s="28"/>
      <c r="J5449" s="125">
        <v>0</v>
      </c>
    </row>
    <row r="5450" spans="1:10" ht="26.25" hidden="1" thickBot="1" x14ac:dyDescent="0.3">
      <c r="A5450" s="235"/>
      <c r="B5450" s="240"/>
      <c r="C5450" s="155" t="s">
        <v>403</v>
      </c>
      <c r="D5450" s="33" t="s">
        <v>16</v>
      </c>
      <c r="E5450" s="34">
        <v>1</v>
      </c>
      <c r="F5450" s="31" t="s">
        <v>418</v>
      </c>
      <c r="G5450" s="31" t="str">
        <f>IF(ISNUMBER(F5450),E5450*F5450,"")</f>
        <v/>
      </c>
      <c r="H5450" s="32"/>
      <c r="I5450" s="28"/>
      <c r="J5450" s="125">
        <v>0</v>
      </c>
    </row>
    <row r="5451" spans="1:10" ht="26.25" hidden="1" thickBot="1" x14ac:dyDescent="0.3">
      <c r="A5451" s="235"/>
      <c r="B5451" s="240"/>
      <c r="C5451" s="155" t="s">
        <v>13556</v>
      </c>
      <c r="D5451" s="33" t="s">
        <v>16</v>
      </c>
      <c r="E5451" s="34">
        <v>1</v>
      </c>
      <c r="F5451" s="31" t="s">
        <v>418</v>
      </c>
      <c r="G5451" s="28" t="str">
        <f>IF(ISNUMBER(F5451),E5451*F5451,"")</f>
        <v/>
      </c>
      <c r="H5451" s="32"/>
      <c r="I5451" s="28"/>
      <c r="J5451" s="125">
        <v>0</v>
      </c>
    </row>
    <row r="5452" spans="1:10" ht="15.75" hidden="1" thickBot="1" x14ac:dyDescent="0.3">
      <c r="A5452" s="236"/>
      <c r="B5452" s="239"/>
      <c r="C5452" s="155"/>
      <c r="D5452" s="33"/>
      <c r="E5452" s="34"/>
      <c r="F5452" s="28" t="s">
        <v>418</v>
      </c>
      <c r="G5452" s="28" t="str">
        <f>IF(ISNUMBER(F5452),E5452*F5452,"")</f>
        <v/>
      </c>
      <c r="H5452" s="32"/>
      <c r="I5452" s="28"/>
      <c r="J5452" s="125">
        <v>0</v>
      </c>
    </row>
    <row r="5453" spans="1:10" ht="15.75" hidden="1" thickBot="1" x14ac:dyDescent="0.3">
      <c r="A5453" s="234" t="s">
        <v>13153</v>
      </c>
      <c r="B5453" s="237" t="s">
        <v>12923</v>
      </c>
      <c r="C5453" s="160"/>
      <c r="D5453" s="23" t="s">
        <v>69</v>
      </c>
      <c r="E5453" s="24"/>
      <c r="F5453" s="37" t="s">
        <v>418</v>
      </c>
      <c r="G5453" s="25" t="str">
        <f>IF(ISNUMBER(F5453),E5453*F5453,"")</f>
        <v/>
      </c>
      <c r="H5453" s="26"/>
      <c r="I5453" s="27"/>
      <c r="J5453" s="125">
        <v>0</v>
      </c>
    </row>
    <row r="5454" spans="1:10" ht="15.75" hidden="1" thickBot="1" x14ac:dyDescent="0.3">
      <c r="A5454" s="235"/>
      <c r="B5454" s="240"/>
      <c r="C5454" s="151"/>
      <c r="D5454" s="29"/>
      <c r="E5454" s="30"/>
      <c r="F5454" s="38" t="s">
        <v>418</v>
      </c>
      <c r="G5454" s="28" t="str">
        <f>IF(ISNUMBER(F5454),E5454*F5454,"")</f>
        <v/>
      </c>
      <c r="H5454" s="32"/>
      <c r="I5454" s="28"/>
      <c r="J5454" s="125">
        <v>0</v>
      </c>
    </row>
    <row r="5455" spans="1:10" ht="15.75" hidden="1" thickBot="1" x14ac:dyDescent="0.3">
      <c r="A5455" s="235"/>
      <c r="B5455" s="240"/>
      <c r="C5455" s="155" t="s">
        <v>24104</v>
      </c>
      <c r="D5455" s="155" t="s">
        <v>385</v>
      </c>
      <c r="E5455" s="34">
        <v>1.05</v>
      </c>
      <c r="F5455" s="31">
        <v>54.130999999999993</v>
      </c>
      <c r="G5455" s="28">
        <f>IF(ISNUMBER(F5455),E5455*F5455,"")</f>
        <v>56.837549999999993</v>
      </c>
      <c r="H5455" s="35">
        <f>SUM(G5455:G5457)</f>
        <v>58.342822149999989</v>
      </c>
      <c r="I5455" s="36"/>
      <c r="J5455" s="125">
        <v>0</v>
      </c>
    </row>
    <row r="5456" spans="1:10" ht="15.75" hidden="1" thickBot="1" x14ac:dyDescent="0.3">
      <c r="A5456" s="235"/>
      <c r="B5456" s="240"/>
      <c r="C5456" s="155" t="s">
        <v>1022</v>
      </c>
      <c r="D5456" s="155" t="s">
        <v>587</v>
      </c>
      <c r="E5456" s="34">
        <v>3.3099999999999997E-2</v>
      </c>
      <c r="F5456" s="31">
        <v>19.522500000000001</v>
      </c>
      <c r="G5456" s="28">
        <f>IF(ISNUMBER(F5456),E5456*F5456,"")</f>
        <v>0.64619474999999993</v>
      </c>
      <c r="H5456" s="40"/>
      <c r="I5456" s="41"/>
      <c r="J5456" s="125">
        <v>0</v>
      </c>
    </row>
    <row r="5457" spans="1:10" ht="15.75" hidden="1" thickBot="1" x14ac:dyDescent="0.3">
      <c r="A5457" s="235"/>
      <c r="B5457" s="240"/>
      <c r="C5457" s="155" t="s">
        <v>1023</v>
      </c>
      <c r="D5457" s="155" t="s">
        <v>587</v>
      </c>
      <c r="E5457" s="34">
        <v>3.3099999999999997E-2</v>
      </c>
      <c r="F5457" s="28">
        <v>25.954000000000001</v>
      </c>
      <c r="G5457" s="28">
        <f>IF(ISNUMBER(F5457),E5457*F5457,"")</f>
        <v>0.85907739999999999</v>
      </c>
      <c r="H5457" s="32"/>
      <c r="I5457" s="28"/>
      <c r="J5457" s="125">
        <v>0</v>
      </c>
    </row>
    <row r="5458" spans="1:10" ht="15.75" hidden="1" thickBot="1" x14ac:dyDescent="0.3">
      <c r="A5458" s="236"/>
      <c r="B5458" s="239"/>
      <c r="C5458" s="155"/>
      <c r="D5458" s="33"/>
      <c r="E5458" s="34"/>
      <c r="F5458" s="28" t="s">
        <v>418</v>
      </c>
      <c r="G5458" s="28" t="str">
        <f>IF(ISNUMBER(F5458),E5458*F5458,"")</f>
        <v/>
      </c>
      <c r="H5458" s="32"/>
      <c r="I5458" s="28"/>
      <c r="J5458" s="125">
        <v>0</v>
      </c>
    </row>
    <row r="5459" spans="1:10" ht="15.75" hidden="1" thickBot="1" x14ac:dyDescent="0.3">
      <c r="A5459" s="234" t="s">
        <v>13154</v>
      </c>
      <c r="B5459" s="237" t="s">
        <v>12924</v>
      </c>
      <c r="C5459" s="160"/>
      <c r="D5459" s="23" t="s">
        <v>16</v>
      </c>
      <c r="E5459" s="24"/>
      <c r="F5459" s="37" t="s">
        <v>418</v>
      </c>
      <c r="G5459" s="25" t="str">
        <f>IF(ISNUMBER(F5459),E5459*F5459,"")</f>
        <v/>
      </c>
      <c r="H5459" s="26"/>
      <c r="I5459" s="27"/>
      <c r="J5459" s="125">
        <v>0</v>
      </c>
    </row>
    <row r="5460" spans="1:10" ht="15.75" hidden="1" thickBot="1" x14ac:dyDescent="0.3">
      <c r="A5460" s="235"/>
      <c r="B5460" s="240"/>
      <c r="C5460" s="151"/>
      <c r="D5460" s="29"/>
      <c r="E5460" s="30"/>
      <c r="F5460" s="38" t="s">
        <v>418</v>
      </c>
      <c r="G5460" s="28" t="str">
        <f>IF(ISNUMBER(F5460),E5460*F5460,"")</f>
        <v/>
      </c>
      <c r="H5460" s="32"/>
      <c r="I5460" s="28"/>
      <c r="J5460" s="125">
        <v>0</v>
      </c>
    </row>
    <row r="5461" spans="1:10" ht="15.75" hidden="1" thickBot="1" x14ac:dyDescent="0.3">
      <c r="A5461" s="235"/>
      <c r="B5461" s="240"/>
      <c r="C5461" s="155" t="s">
        <v>13557</v>
      </c>
      <c r="D5461" s="33" t="s">
        <v>16</v>
      </c>
      <c r="E5461" s="34">
        <v>1</v>
      </c>
      <c r="F5461" s="31" t="s">
        <v>418</v>
      </c>
      <c r="G5461" s="28" t="str">
        <f>IF(ISNUMBER(F5461),E5461*F5461,"")</f>
        <v/>
      </c>
      <c r="H5461" s="35">
        <f>SUM(G5461:G5463)</f>
        <v>17.653977300000001</v>
      </c>
      <c r="I5461" s="36"/>
      <c r="J5461" s="125">
        <v>0</v>
      </c>
    </row>
    <row r="5462" spans="1:10" ht="15.75" hidden="1" thickBot="1" x14ac:dyDescent="0.3">
      <c r="A5462" s="235"/>
      <c r="B5462" s="240"/>
      <c r="C5462" s="155" t="s">
        <v>1022</v>
      </c>
      <c r="D5462" s="155" t="s">
        <v>587</v>
      </c>
      <c r="E5462" s="34">
        <v>0.38819999999999999</v>
      </c>
      <c r="F5462" s="31">
        <v>19.522500000000001</v>
      </c>
      <c r="G5462" s="28">
        <f>IF(ISNUMBER(F5462),E5462*F5462,"")</f>
        <v>7.5786344999999997</v>
      </c>
      <c r="H5462" s="40"/>
      <c r="I5462" s="41"/>
      <c r="J5462" s="125">
        <v>0</v>
      </c>
    </row>
    <row r="5463" spans="1:10" ht="15.75" hidden="1" thickBot="1" x14ac:dyDescent="0.3">
      <c r="A5463" s="235"/>
      <c r="B5463" s="240"/>
      <c r="C5463" s="155" t="s">
        <v>1023</v>
      </c>
      <c r="D5463" s="155" t="s">
        <v>587</v>
      </c>
      <c r="E5463" s="156">
        <v>0.38819999999999999</v>
      </c>
      <c r="F5463" s="28">
        <v>25.954000000000001</v>
      </c>
      <c r="G5463" s="28">
        <f>IF(ISNUMBER(F5463),E5463*F5463,"")</f>
        <v>10.0753428</v>
      </c>
      <c r="H5463" s="32"/>
      <c r="I5463" s="28"/>
      <c r="J5463" s="125">
        <v>0</v>
      </c>
    </row>
    <row r="5464" spans="1:10" ht="15.75" hidden="1" thickBot="1" x14ac:dyDescent="0.3">
      <c r="A5464" s="236"/>
      <c r="B5464" s="239"/>
      <c r="C5464" s="155"/>
      <c r="D5464" s="33"/>
      <c r="E5464" s="34"/>
      <c r="F5464" s="28" t="s">
        <v>418</v>
      </c>
      <c r="G5464" s="28" t="str">
        <f>IF(ISNUMBER(F5464),E5464*F5464,"")</f>
        <v/>
      </c>
      <c r="H5464" s="32"/>
      <c r="I5464" s="28"/>
      <c r="J5464" s="125">
        <v>0</v>
      </c>
    </row>
    <row r="5465" spans="1:10" ht="15.75" hidden="1" thickBot="1" x14ac:dyDescent="0.3">
      <c r="A5465" s="234" t="s">
        <v>13155</v>
      </c>
      <c r="B5465" s="237" t="s">
        <v>19791</v>
      </c>
      <c r="C5465" s="160"/>
      <c r="D5465" s="23" t="s">
        <v>69</v>
      </c>
      <c r="E5465" s="24"/>
      <c r="F5465" s="37" t="s">
        <v>418</v>
      </c>
      <c r="G5465" s="25" t="str">
        <f>IF(ISNUMBER(F5465),E5465*F5465,"")</f>
        <v/>
      </c>
      <c r="H5465" s="26"/>
      <c r="I5465" s="27"/>
      <c r="J5465" s="125">
        <v>0</v>
      </c>
    </row>
    <row r="5466" spans="1:10" ht="15.75" hidden="1" thickBot="1" x14ac:dyDescent="0.3">
      <c r="A5466" s="235"/>
      <c r="B5466" s="240"/>
      <c r="C5466" s="151"/>
      <c r="D5466" s="29"/>
      <c r="E5466" s="30"/>
      <c r="F5466" s="38" t="s">
        <v>418</v>
      </c>
      <c r="G5466" s="28" t="str">
        <f>IF(ISNUMBER(F5466),E5466*F5466,"")</f>
        <v/>
      </c>
      <c r="H5466" s="32"/>
      <c r="I5466" s="28"/>
      <c r="J5466" s="125">
        <v>0</v>
      </c>
    </row>
    <row r="5467" spans="1:10" ht="15.75" hidden="1" thickBot="1" x14ac:dyDescent="0.3">
      <c r="A5467" s="235"/>
      <c r="B5467" s="240"/>
      <c r="C5467" s="155" t="s">
        <v>1023</v>
      </c>
      <c r="D5467" s="155" t="s">
        <v>587</v>
      </c>
      <c r="E5467" s="34">
        <v>0.75</v>
      </c>
      <c r="F5467" s="28">
        <v>25.954000000000001</v>
      </c>
      <c r="G5467" s="31">
        <f>IF(ISNUMBER(F5467),E5467*F5467,"")</f>
        <v>19.465499999999999</v>
      </c>
      <c r="H5467" s="35">
        <f>SUM(G5467:G5469)</f>
        <v>34.107374999999998</v>
      </c>
      <c r="I5467" s="36"/>
      <c r="J5467" s="125">
        <v>0</v>
      </c>
    </row>
    <row r="5468" spans="1:10" ht="15.75" hidden="1" thickBot="1" x14ac:dyDescent="0.3">
      <c r="A5468" s="235"/>
      <c r="B5468" s="240"/>
      <c r="C5468" s="155" t="s">
        <v>1022</v>
      </c>
      <c r="D5468" s="155" t="s">
        <v>587</v>
      </c>
      <c r="E5468" s="34">
        <v>0.75</v>
      </c>
      <c r="F5468" s="28">
        <v>19.522500000000001</v>
      </c>
      <c r="G5468" s="31">
        <f>IF(ISNUMBER(F5468),E5468*F5468,"")</f>
        <v>14.641875000000001</v>
      </c>
      <c r="H5468" s="32"/>
      <c r="I5468" s="28"/>
      <c r="J5468" s="125">
        <v>0</v>
      </c>
    </row>
    <row r="5469" spans="1:10" ht="26.25" hidden="1" thickBot="1" x14ac:dyDescent="0.3">
      <c r="A5469" s="235"/>
      <c r="B5469" s="240"/>
      <c r="C5469" s="155" t="s">
        <v>13558</v>
      </c>
      <c r="D5469" s="33" t="s">
        <v>69</v>
      </c>
      <c r="E5469" s="34">
        <v>1.05</v>
      </c>
      <c r="F5469" s="28" t="s">
        <v>418</v>
      </c>
      <c r="G5469" s="31" t="str">
        <f>IF(ISNUMBER(F5469),E5469*F5469,"")</f>
        <v/>
      </c>
      <c r="H5469" s="32"/>
      <c r="I5469" s="28"/>
      <c r="J5469" s="125">
        <v>0</v>
      </c>
    </row>
    <row r="5470" spans="1:10" ht="15.75" hidden="1" thickBot="1" x14ac:dyDescent="0.3">
      <c r="A5470" s="236"/>
      <c r="B5470" s="239"/>
      <c r="C5470" s="155"/>
      <c r="D5470" s="33"/>
      <c r="E5470" s="34"/>
      <c r="F5470" s="28" t="s">
        <v>418</v>
      </c>
      <c r="G5470" s="28" t="str">
        <f>IF(ISNUMBER(F5470),E5470*F5470,"")</f>
        <v/>
      </c>
      <c r="H5470" s="32"/>
      <c r="I5470" s="28"/>
      <c r="J5470" s="125">
        <v>0</v>
      </c>
    </row>
    <row r="5471" spans="1:10" ht="15.75" hidden="1" thickBot="1" x14ac:dyDescent="0.3">
      <c r="A5471" s="234" t="s">
        <v>13156</v>
      </c>
      <c r="B5471" s="237" t="s">
        <v>12925</v>
      </c>
      <c r="C5471" s="160"/>
      <c r="D5471" s="23" t="s">
        <v>1305</v>
      </c>
      <c r="E5471" s="24"/>
      <c r="F5471" s="37" t="s">
        <v>418</v>
      </c>
      <c r="G5471" s="25" t="str">
        <f>IF(ISNUMBER(F5471),E5471*F5471,"")</f>
        <v/>
      </c>
      <c r="H5471" s="26"/>
      <c r="I5471" s="27"/>
      <c r="J5471" s="125">
        <v>0</v>
      </c>
    </row>
    <row r="5472" spans="1:10" ht="15.75" hidden="1" thickBot="1" x14ac:dyDescent="0.3">
      <c r="A5472" s="235"/>
      <c r="B5472" s="240"/>
      <c r="C5472" s="151"/>
      <c r="D5472" s="29"/>
      <c r="E5472" s="30"/>
      <c r="F5472" s="38" t="s">
        <v>418</v>
      </c>
      <c r="G5472" s="28" t="str">
        <f>IF(ISNUMBER(F5472),E5472*F5472,"")</f>
        <v/>
      </c>
      <c r="H5472" s="32"/>
      <c r="I5472" s="28"/>
      <c r="J5472" s="125">
        <v>0</v>
      </c>
    </row>
    <row r="5473" spans="1:10" ht="15.75" hidden="1" thickBot="1" x14ac:dyDescent="0.3">
      <c r="A5473" s="235"/>
      <c r="B5473" s="240"/>
      <c r="C5473" s="155" t="s">
        <v>9900</v>
      </c>
      <c r="D5473" s="155" t="s">
        <v>587</v>
      </c>
      <c r="E5473" s="34">
        <v>1</v>
      </c>
      <c r="F5473" s="28">
        <v>158.94450000000001</v>
      </c>
      <c r="G5473" s="31">
        <f>IF(ISNUMBER(F5473),E5473*F5473,"")</f>
        <v>158.94450000000001</v>
      </c>
      <c r="H5473" s="35">
        <f>SUM(G5473:G5473)</f>
        <v>158.94450000000001</v>
      </c>
      <c r="I5473" s="36"/>
      <c r="J5473" s="125">
        <v>0</v>
      </c>
    </row>
    <row r="5474" spans="1:10" ht="15.75" hidden="1" thickBot="1" x14ac:dyDescent="0.3">
      <c r="A5474" s="236"/>
      <c r="B5474" s="239"/>
      <c r="C5474" s="155"/>
      <c r="D5474" s="33"/>
      <c r="E5474" s="34"/>
      <c r="F5474" s="28" t="s">
        <v>418</v>
      </c>
      <c r="G5474" s="28" t="str">
        <f>IF(ISNUMBER(F5474),E5474*F5474,"")</f>
        <v/>
      </c>
      <c r="H5474" s="32"/>
      <c r="I5474" s="28"/>
      <c r="J5474" s="125">
        <v>0</v>
      </c>
    </row>
    <row r="5475" spans="1:10" ht="15.75" hidden="1" thickBot="1" x14ac:dyDescent="0.3">
      <c r="A5475" s="234" t="s">
        <v>13157</v>
      </c>
      <c r="B5475" s="237" t="s">
        <v>12926</v>
      </c>
      <c r="C5475" s="160"/>
      <c r="D5475" s="23" t="s">
        <v>16</v>
      </c>
      <c r="E5475" s="24"/>
      <c r="F5475" s="37" t="s">
        <v>418</v>
      </c>
      <c r="G5475" s="25" t="str">
        <f>IF(ISNUMBER(F5475),E5475*F5475,"")</f>
        <v/>
      </c>
      <c r="H5475" s="26"/>
      <c r="I5475" s="27"/>
      <c r="J5475" s="125">
        <v>0</v>
      </c>
    </row>
    <row r="5476" spans="1:10" ht="15.75" hidden="1" thickBot="1" x14ac:dyDescent="0.3">
      <c r="A5476" s="235"/>
      <c r="B5476" s="240"/>
      <c r="C5476" s="151"/>
      <c r="D5476" s="29"/>
      <c r="E5476" s="30"/>
      <c r="F5476" s="38" t="s">
        <v>418</v>
      </c>
      <c r="G5476" s="28" t="str">
        <f>IF(ISNUMBER(F5476),E5476*F5476,"")</f>
        <v/>
      </c>
      <c r="H5476" s="32"/>
      <c r="I5476" s="28"/>
      <c r="J5476" s="125">
        <v>0</v>
      </c>
    </row>
    <row r="5477" spans="1:10" ht="39" hidden="1" thickBot="1" x14ac:dyDescent="0.3">
      <c r="A5477" s="235"/>
      <c r="B5477" s="240"/>
      <c r="C5477" s="155" t="s">
        <v>996</v>
      </c>
      <c r="D5477" s="155" t="s">
        <v>205</v>
      </c>
      <c r="E5477" s="34">
        <v>3</v>
      </c>
      <c r="F5477" s="28">
        <v>0.57950000000000002</v>
      </c>
      <c r="G5477" s="31">
        <f>IF(ISNUMBER(F5477),E5477*F5477,"")</f>
        <v>1.7385000000000002</v>
      </c>
      <c r="H5477" s="35">
        <f>SUM(G5477:G5480)</f>
        <v>16.965143699999999</v>
      </c>
      <c r="I5477" s="36"/>
      <c r="J5477" s="125">
        <v>0</v>
      </c>
    </row>
    <row r="5478" spans="1:10" ht="15.75" hidden="1" thickBot="1" x14ac:dyDescent="0.3">
      <c r="A5478" s="235"/>
      <c r="B5478" s="240"/>
      <c r="C5478" s="155" t="s">
        <v>13559</v>
      </c>
      <c r="D5478" s="33" t="s">
        <v>205</v>
      </c>
      <c r="E5478" s="34">
        <v>1</v>
      </c>
      <c r="F5478" s="28" t="s">
        <v>418</v>
      </c>
      <c r="G5478" s="31" t="str">
        <f>IF(ISNUMBER(F5478),E5478*F5478,"")</f>
        <v/>
      </c>
      <c r="H5478" s="32"/>
      <c r="I5478" s="28"/>
      <c r="J5478" s="125">
        <v>0</v>
      </c>
    </row>
    <row r="5479" spans="1:10" ht="15.75" hidden="1" thickBot="1" x14ac:dyDescent="0.3">
      <c r="A5479" s="235"/>
      <c r="B5479" s="240"/>
      <c r="C5479" s="155" t="s">
        <v>1023</v>
      </c>
      <c r="D5479" s="155" t="s">
        <v>587</v>
      </c>
      <c r="E5479" s="34">
        <v>0.4743</v>
      </c>
      <c r="F5479" s="28">
        <v>25.954000000000001</v>
      </c>
      <c r="G5479" s="31">
        <f>IF(ISNUMBER(F5479),E5479*F5479,"")</f>
        <v>12.3099822</v>
      </c>
      <c r="H5479" s="32"/>
      <c r="I5479" s="28"/>
      <c r="J5479" s="125">
        <v>0</v>
      </c>
    </row>
    <row r="5480" spans="1:10" ht="15.75" hidden="1" thickBot="1" x14ac:dyDescent="0.3">
      <c r="A5480" s="235"/>
      <c r="B5480" s="240"/>
      <c r="C5480" s="155" t="s">
        <v>1022</v>
      </c>
      <c r="D5480" s="155" t="s">
        <v>587</v>
      </c>
      <c r="E5480" s="34">
        <v>0.14940000000000001</v>
      </c>
      <c r="F5480" s="28">
        <v>19.522500000000001</v>
      </c>
      <c r="G5480" s="31">
        <f>IF(ISNUMBER(F5480),E5480*F5480,"")</f>
        <v>2.9166615</v>
      </c>
      <c r="H5480" s="32"/>
      <c r="I5480" s="28"/>
      <c r="J5480" s="125">
        <v>0</v>
      </c>
    </row>
    <row r="5481" spans="1:10" ht="15.75" hidden="1" thickBot="1" x14ac:dyDescent="0.3">
      <c r="A5481" s="236"/>
      <c r="B5481" s="239"/>
      <c r="C5481" s="155"/>
      <c r="D5481" s="33"/>
      <c r="E5481" s="34"/>
      <c r="F5481" s="28" t="s">
        <v>418</v>
      </c>
      <c r="G5481" s="28" t="str">
        <f>IF(ISNUMBER(F5481),E5481*F5481,"")</f>
        <v/>
      </c>
      <c r="H5481" s="32"/>
      <c r="I5481" s="28"/>
      <c r="J5481" s="125">
        <v>0</v>
      </c>
    </row>
    <row r="5482" spans="1:10" ht="15.75" hidden="1" thickBot="1" x14ac:dyDescent="0.3">
      <c r="A5482" s="234" t="s">
        <v>13158</v>
      </c>
      <c r="B5482" s="237" t="s">
        <v>12927</v>
      </c>
      <c r="C5482" s="160"/>
      <c r="D5482" s="23" t="s">
        <v>76</v>
      </c>
      <c r="E5482" s="24"/>
      <c r="F5482" s="37" t="s">
        <v>418</v>
      </c>
      <c r="G5482" s="25" t="str">
        <f>IF(ISNUMBER(F5482),E5482*F5482,"")</f>
        <v/>
      </c>
      <c r="H5482" s="26"/>
      <c r="I5482" s="27"/>
      <c r="J5482" s="125">
        <v>0</v>
      </c>
    </row>
    <row r="5483" spans="1:10" ht="15.75" hidden="1" thickBot="1" x14ac:dyDescent="0.3">
      <c r="A5483" s="235"/>
      <c r="B5483" s="240"/>
      <c r="C5483" s="151"/>
      <c r="D5483" s="29"/>
      <c r="E5483" s="30"/>
      <c r="F5483" s="38" t="s">
        <v>418</v>
      </c>
      <c r="G5483" s="28" t="str">
        <f>IF(ISNUMBER(F5483),E5483*F5483,"")</f>
        <v/>
      </c>
      <c r="H5483" s="32"/>
      <c r="I5483" s="28"/>
      <c r="J5483" s="125">
        <v>0</v>
      </c>
    </row>
    <row r="5484" spans="1:10" ht="15.75" hidden="1" thickBot="1" x14ac:dyDescent="0.3">
      <c r="A5484" s="235"/>
      <c r="B5484" s="240"/>
      <c r="C5484" s="155" t="s">
        <v>26637</v>
      </c>
      <c r="D5484" s="155" t="s">
        <v>76</v>
      </c>
      <c r="E5484" s="34">
        <v>1</v>
      </c>
      <c r="F5484" s="28">
        <v>6.3174999999999999</v>
      </c>
      <c r="G5484" s="31">
        <f>IF(ISNUMBER(F5484),E5484*F5484,"")</f>
        <v>6.3174999999999999</v>
      </c>
      <c r="H5484" s="35">
        <f>SUM(G5484:G5484)</f>
        <v>6.3174999999999999</v>
      </c>
      <c r="I5484" s="36"/>
      <c r="J5484" s="125">
        <v>0</v>
      </c>
    </row>
    <row r="5485" spans="1:10" ht="15.75" hidden="1" thickBot="1" x14ac:dyDescent="0.3">
      <c r="A5485" s="236"/>
      <c r="B5485" s="239"/>
      <c r="C5485" s="155"/>
      <c r="D5485" s="33"/>
      <c r="E5485" s="34"/>
      <c r="F5485" s="28" t="s">
        <v>418</v>
      </c>
      <c r="G5485" s="28" t="str">
        <f>IF(ISNUMBER(F5485),E5485*F5485,"")</f>
        <v/>
      </c>
      <c r="H5485" s="32"/>
      <c r="I5485" s="28"/>
      <c r="J5485" s="125">
        <v>0</v>
      </c>
    </row>
    <row r="5486" spans="1:10" ht="15.75" hidden="1" thickBot="1" x14ac:dyDescent="0.3">
      <c r="A5486" s="241" t="s">
        <v>13159</v>
      </c>
      <c r="B5486" s="237" t="s">
        <v>12928</v>
      </c>
      <c r="C5486" s="160"/>
      <c r="D5486" s="23" t="s">
        <v>1628</v>
      </c>
      <c r="E5486" s="24"/>
      <c r="F5486" s="44" t="s">
        <v>418</v>
      </c>
      <c r="G5486" s="25" t="str">
        <f>IF(ISNUMBER(F5486),E5486*F5486,"")</f>
        <v/>
      </c>
      <c r="H5486" s="26"/>
      <c r="I5486" s="27"/>
      <c r="J5486" s="125">
        <v>0</v>
      </c>
    </row>
    <row r="5487" spans="1:10" ht="15.75" hidden="1" thickBot="1" x14ac:dyDescent="0.3">
      <c r="A5487" s="247"/>
      <c r="B5487" s="240"/>
      <c r="C5487" s="135"/>
      <c r="D5487" s="135"/>
      <c r="E5487" s="136"/>
      <c r="F5487" s="49" t="s">
        <v>418</v>
      </c>
      <c r="G5487" s="49" t="str">
        <f>IF(ISNUMBER(F5487),E5487*F5487,"")</f>
        <v/>
      </c>
      <c r="H5487" s="65"/>
      <c r="I5487" s="66"/>
      <c r="J5487" s="125">
        <v>0</v>
      </c>
    </row>
    <row r="5488" spans="1:10" ht="15.75" hidden="1" thickBot="1" x14ac:dyDescent="0.3">
      <c r="A5488" s="247"/>
      <c r="B5488" s="240"/>
      <c r="C5488" s="155" t="s">
        <v>9900</v>
      </c>
      <c r="D5488" s="155" t="s">
        <v>587</v>
      </c>
      <c r="E5488" s="130" t="e">
        <f>IF(#REF!="Desonerado",ROUND(220/(1+82.01%),4),ROUND(220/(1+110.69%),4))</f>
        <v>#REF!</v>
      </c>
      <c r="F5488" s="28">
        <v>158.94450000000001</v>
      </c>
      <c r="G5488" s="49" t="e">
        <f>IF(ISNUMBER(F5488),E5488*F5488,"")</f>
        <v>#REF!</v>
      </c>
      <c r="H5488" s="35" t="e">
        <f>SUM(G5488:G5488)</f>
        <v>#REF!</v>
      </c>
      <c r="I5488" s="36"/>
      <c r="J5488" s="125">
        <v>0</v>
      </c>
    </row>
    <row r="5489" spans="1:10" ht="15.75" hidden="1" thickBot="1" x14ac:dyDescent="0.3">
      <c r="A5489" s="247"/>
      <c r="B5489" s="240"/>
      <c r="C5489" s="135"/>
      <c r="D5489" s="135"/>
      <c r="E5489" s="136"/>
      <c r="F5489" s="49" t="s">
        <v>418</v>
      </c>
      <c r="G5489" s="49" t="str">
        <f>IF(ISNUMBER(F5489),E5489*F5489,"")</f>
        <v/>
      </c>
      <c r="H5489" s="65"/>
      <c r="I5489" s="66"/>
      <c r="J5489" s="125">
        <v>0</v>
      </c>
    </row>
    <row r="5490" spans="1:10" ht="26.25" hidden="1" thickBot="1" x14ac:dyDescent="0.3">
      <c r="A5490" s="247"/>
      <c r="B5490" s="240"/>
      <c r="C5490" s="43" t="s">
        <v>657</v>
      </c>
      <c r="D5490" s="135"/>
      <c r="E5490" s="136"/>
      <c r="F5490" s="49" t="s">
        <v>418</v>
      </c>
      <c r="G5490" s="49" t="str">
        <f>IF(ISNUMBER(F5490),E5490*F5490,"")</f>
        <v/>
      </c>
      <c r="H5490" s="65"/>
      <c r="I5490" s="66"/>
      <c r="J5490" s="125">
        <v>0</v>
      </c>
    </row>
    <row r="5491" spans="1:10" ht="15.75" hidden="1" thickBot="1" x14ac:dyDescent="0.3">
      <c r="A5491" s="248"/>
      <c r="B5491" s="239"/>
      <c r="C5491" s="164"/>
      <c r="D5491" s="132"/>
      <c r="E5491" s="61"/>
      <c r="F5491" s="68" t="s">
        <v>418</v>
      </c>
      <c r="G5491" s="68" t="str">
        <f>IF(ISNUMBER(F5491),E5491*F5491,"")</f>
        <v/>
      </c>
      <c r="H5491" s="69"/>
      <c r="I5491" s="66"/>
      <c r="J5491" s="125">
        <v>0</v>
      </c>
    </row>
    <row r="5492" spans="1:10" ht="15.75" hidden="1" thickBot="1" x14ac:dyDescent="0.3">
      <c r="A5492" s="241" t="s">
        <v>13160</v>
      </c>
      <c r="B5492" s="237" t="s">
        <v>12929</v>
      </c>
      <c r="C5492" s="160"/>
      <c r="D5492" s="23" t="s">
        <v>1628</v>
      </c>
      <c r="E5492" s="24"/>
      <c r="F5492" s="44" t="s">
        <v>418</v>
      </c>
      <c r="G5492" s="25" t="str">
        <f>IF(ISNUMBER(F5492),E5492*F5492,"")</f>
        <v/>
      </c>
      <c r="H5492" s="26"/>
      <c r="I5492" s="27"/>
      <c r="J5492" s="125">
        <v>0</v>
      </c>
    </row>
    <row r="5493" spans="1:10" ht="15.75" hidden="1" thickBot="1" x14ac:dyDescent="0.3">
      <c r="A5493" s="247"/>
      <c r="B5493" s="240"/>
      <c r="C5493" s="135"/>
      <c r="D5493" s="135"/>
      <c r="E5493" s="136"/>
      <c r="F5493" s="49" t="s">
        <v>418</v>
      </c>
      <c r="G5493" s="49" t="str">
        <f>IF(ISNUMBER(F5493),E5493*F5493,"")</f>
        <v/>
      </c>
      <c r="H5493" s="65"/>
      <c r="I5493" s="66"/>
      <c r="J5493" s="125">
        <v>0</v>
      </c>
    </row>
    <row r="5494" spans="1:10" ht="15.75" hidden="1" thickBot="1" x14ac:dyDescent="0.3">
      <c r="A5494" s="247"/>
      <c r="B5494" s="240"/>
      <c r="C5494" s="155" t="s">
        <v>9900</v>
      </c>
      <c r="D5494" s="155" t="s">
        <v>587</v>
      </c>
      <c r="E5494" s="130" t="e">
        <f>IF(#REF!="Desonerado",ROUND(220/(1+82.01%),4),ROUND(220/(1+110.69%),4))</f>
        <v>#REF!</v>
      </c>
      <c r="F5494" s="28">
        <v>158.94450000000001</v>
      </c>
      <c r="G5494" s="49" t="e">
        <f>IF(ISNUMBER(F5494),E5494*F5494,"")</f>
        <v>#REF!</v>
      </c>
      <c r="H5494" s="35" t="e">
        <f>SUM(G5494:G5494)</f>
        <v>#REF!</v>
      </c>
      <c r="I5494" s="36"/>
      <c r="J5494" s="125">
        <v>0</v>
      </c>
    </row>
    <row r="5495" spans="1:10" ht="15.75" hidden="1" thickBot="1" x14ac:dyDescent="0.3">
      <c r="A5495" s="247"/>
      <c r="B5495" s="240"/>
      <c r="C5495" s="135"/>
      <c r="D5495" s="135"/>
      <c r="E5495" s="136"/>
      <c r="F5495" s="49" t="s">
        <v>418</v>
      </c>
      <c r="G5495" s="49" t="str">
        <f>IF(ISNUMBER(F5495),E5495*F5495,"")</f>
        <v/>
      </c>
      <c r="H5495" s="65"/>
      <c r="I5495" s="66"/>
      <c r="J5495" s="125">
        <v>0</v>
      </c>
    </row>
    <row r="5496" spans="1:10" ht="26.25" hidden="1" thickBot="1" x14ac:dyDescent="0.3">
      <c r="A5496" s="247"/>
      <c r="B5496" s="240"/>
      <c r="C5496" s="43" t="s">
        <v>657</v>
      </c>
      <c r="D5496" s="135"/>
      <c r="E5496" s="136"/>
      <c r="F5496" s="49" t="s">
        <v>418</v>
      </c>
      <c r="G5496" s="49" t="str">
        <f>IF(ISNUMBER(F5496),E5496*F5496,"")</f>
        <v/>
      </c>
      <c r="H5496" s="65"/>
      <c r="I5496" s="66"/>
      <c r="J5496" s="125">
        <v>0</v>
      </c>
    </row>
    <row r="5497" spans="1:10" ht="15.75" hidden="1" thickBot="1" x14ac:dyDescent="0.3">
      <c r="A5497" s="248"/>
      <c r="B5497" s="239"/>
      <c r="C5497" s="164"/>
      <c r="D5497" s="132"/>
      <c r="E5497" s="61"/>
      <c r="F5497" s="68" t="s">
        <v>418</v>
      </c>
      <c r="G5497" s="68" t="str">
        <f>IF(ISNUMBER(F5497),E5497*F5497,"")</f>
        <v/>
      </c>
      <c r="H5497" s="69"/>
      <c r="I5497" s="66"/>
      <c r="J5497" s="125">
        <v>0</v>
      </c>
    </row>
    <row r="5498" spans="1:10" ht="15.75" hidden="1" thickBot="1" x14ac:dyDescent="0.3">
      <c r="A5498" s="241" t="s">
        <v>13161</v>
      </c>
      <c r="B5498" s="237" t="s">
        <v>12930</v>
      </c>
      <c r="C5498" s="160"/>
      <c r="D5498" s="23" t="s">
        <v>1628</v>
      </c>
      <c r="E5498" s="24"/>
      <c r="F5498" s="44" t="s">
        <v>418</v>
      </c>
      <c r="G5498" s="25" t="str">
        <f>IF(ISNUMBER(F5498),E5498*F5498,"")</f>
        <v/>
      </c>
      <c r="H5498" s="26"/>
      <c r="I5498" s="27"/>
      <c r="J5498" s="125">
        <v>0</v>
      </c>
    </row>
    <row r="5499" spans="1:10" ht="15.75" hidden="1" thickBot="1" x14ac:dyDescent="0.3">
      <c r="A5499" s="247"/>
      <c r="B5499" s="240"/>
      <c r="C5499" s="135"/>
      <c r="D5499" s="135"/>
      <c r="E5499" s="136"/>
      <c r="F5499" s="49" t="s">
        <v>418</v>
      </c>
      <c r="G5499" s="49" t="str">
        <f>IF(ISNUMBER(F5499),E5499*F5499,"")</f>
        <v/>
      </c>
      <c r="H5499" s="65"/>
      <c r="I5499" s="66"/>
      <c r="J5499" s="125">
        <v>0</v>
      </c>
    </row>
    <row r="5500" spans="1:10" ht="26.25" hidden="1" thickBot="1" x14ac:dyDescent="0.3">
      <c r="A5500" s="247"/>
      <c r="B5500" s="240"/>
      <c r="C5500" s="155" t="s">
        <v>988</v>
      </c>
      <c r="D5500" s="155" t="s">
        <v>587</v>
      </c>
      <c r="E5500" s="130" t="e">
        <f>IF(#REF!="Desonerado",ROUND(220/(1+82.01%),4),ROUND(220/(1+110.69%),4))</f>
        <v>#REF!</v>
      </c>
      <c r="F5500" s="28">
        <v>24.272500000000001</v>
      </c>
      <c r="G5500" s="49" t="e">
        <f>IF(ISNUMBER(F5500),E5500*F5500,"")</f>
        <v>#REF!</v>
      </c>
      <c r="H5500" s="35" t="e">
        <f>SUM(G5500:G5500)</f>
        <v>#REF!</v>
      </c>
      <c r="I5500" s="36"/>
      <c r="J5500" s="125">
        <v>0</v>
      </c>
    </row>
    <row r="5501" spans="1:10" ht="15.75" hidden="1" thickBot="1" x14ac:dyDescent="0.3">
      <c r="A5501" s="247"/>
      <c r="B5501" s="240"/>
      <c r="C5501" s="135"/>
      <c r="D5501" s="135"/>
      <c r="E5501" s="136"/>
      <c r="F5501" s="49" t="s">
        <v>418</v>
      </c>
      <c r="G5501" s="49" t="str">
        <f>IF(ISNUMBER(F5501),E5501*F5501,"")</f>
        <v/>
      </c>
      <c r="H5501" s="65"/>
      <c r="I5501" s="66"/>
      <c r="J5501" s="125">
        <v>0</v>
      </c>
    </row>
    <row r="5502" spans="1:10" ht="26.25" hidden="1" thickBot="1" x14ac:dyDescent="0.3">
      <c r="A5502" s="247"/>
      <c r="B5502" s="240"/>
      <c r="C5502" s="43" t="s">
        <v>657</v>
      </c>
      <c r="D5502" s="135"/>
      <c r="E5502" s="136"/>
      <c r="F5502" s="49" t="s">
        <v>418</v>
      </c>
      <c r="G5502" s="49" t="str">
        <f>IF(ISNUMBER(F5502),E5502*F5502,"")</f>
        <v/>
      </c>
      <c r="H5502" s="65"/>
      <c r="I5502" s="66"/>
      <c r="J5502" s="125">
        <v>0</v>
      </c>
    </row>
    <row r="5503" spans="1:10" ht="15.75" hidden="1" thickBot="1" x14ac:dyDescent="0.3">
      <c r="A5503" s="248"/>
      <c r="B5503" s="239"/>
      <c r="C5503" s="164"/>
      <c r="D5503" s="132"/>
      <c r="E5503" s="61"/>
      <c r="F5503" s="68" t="s">
        <v>418</v>
      </c>
      <c r="G5503" s="68" t="str">
        <f>IF(ISNUMBER(F5503),E5503*F5503,"")</f>
        <v/>
      </c>
      <c r="H5503" s="69"/>
      <c r="I5503" s="66"/>
      <c r="J5503" s="125">
        <v>0</v>
      </c>
    </row>
    <row r="5504" spans="1:10" ht="15.75" hidden="1" thickBot="1" x14ac:dyDescent="0.3">
      <c r="A5504" s="241" t="s">
        <v>13162</v>
      </c>
      <c r="B5504" s="237" t="s">
        <v>12931</v>
      </c>
      <c r="C5504" s="160"/>
      <c r="D5504" s="23" t="s">
        <v>1628</v>
      </c>
      <c r="E5504" s="24"/>
      <c r="F5504" s="44" t="s">
        <v>418</v>
      </c>
      <c r="G5504" s="25" t="str">
        <f>IF(ISNUMBER(F5504),E5504*F5504,"")</f>
        <v/>
      </c>
      <c r="H5504" s="26"/>
      <c r="I5504" s="27"/>
      <c r="J5504" s="125">
        <v>0</v>
      </c>
    </row>
    <row r="5505" spans="1:10" ht="15.75" hidden="1" thickBot="1" x14ac:dyDescent="0.3">
      <c r="A5505" s="247"/>
      <c r="B5505" s="240"/>
      <c r="C5505" s="135"/>
      <c r="D5505" s="135"/>
      <c r="E5505" s="136"/>
      <c r="F5505" s="49" t="s">
        <v>418</v>
      </c>
      <c r="G5505" s="49" t="str">
        <f>IF(ISNUMBER(F5505),E5505*F5505,"")</f>
        <v/>
      </c>
      <c r="H5505" s="65"/>
      <c r="I5505" s="66"/>
      <c r="J5505" s="125">
        <v>0</v>
      </c>
    </row>
    <row r="5506" spans="1:10" ht="15.75" hidden="1" thickBot="1" x14ac:dyDescent="0.3">
      <c r="A5506" s="247"/>
      <c r="B5506" s="240"/>
      <c r="C5506" s="155" t="s">
        <v>10179</v>
      </c>
      <c r="D5506" s="155" t="s">
        <v>587</v>
      </c>
      <c r="E5506" s="130" t="e">
        <f>IF(#REF!="Desonerado",ROUND(220/(1+82.01%),4),ROUND(220/(1+110.69%),4))</f>
        <v>#REF!</v>
      </c>
      <c r="F5506" s="28">
        <v>16.111999999999998</v>
      </c>
      <c r="G5506" s="49" t="e">
        <f>IF(ISNUMBER(F5506),E5506*F5506,"")</f>
        <v>#REF!</v>
      </c>
      <c r="H5506" s="35" t="e">
        <f>SUM(G5506:G5506)</f>
        <v>#REF!</v>
      </c>
      <c r="I5506" s="36"/>
      <c r="J5506" s="125">
        <v>0</v>
      </c>
    </row>
    <row r="5507" spans="1:10" ht="15.75" hidden="1" thickBot="1" x14ac:dyDescent="0.3">
      <c r="A5507" s="247"/>
      <c r="B5507" s="240"/>
      <c r="C5507" s="135"/>
      <c r="D5507" s="135"/>
      <c r="E5507" s="136"/>
      <c r="F5507" s="49" t="s">
        <v>418</v>
      </c>
      <c r="G5507" s="49" t="str">
        <f>IF(ISNUMBER(F5507),E5507*F5507,"")</f>
        <v/>
      </c>
      <c r="H5507" s="65"/>
      <c r="I5507" s="66"/>
      <c r="J5507" s="125">
        <v>0</v>
      </c>
    </row>
    <row r="5508" spans="1:10" ht="26.25" hidden="1" thickBot="1" x14ac:dyDescent="0.3">
      <c r="A5508" s="247"/>
      <c r="B5508" s="240"/>
      <c r="C5508" s="43" t="s">
        <v>657</v>
      </c>
      <c r="D5508" s="135"/>
      <c r="E5508" s="136"/>
      <c r="F5508" s="49" t="s">
        <v>418</v>
      </c>
      <c r="G5508" s="49" t="str">
        <f>IF(ISNUMBER(F5508),E5508*F5508,"")</f>
        <v/>
      </c>
      <c r="H5508" s="65"/>
      <c r="I5508" s="66"/>
      <c r="J5508" s="125">
        <v>0</v>
      </c>
    </row>
    <row r="5509" spans="1:10" ht="15.75" hidden="1" thickBot="1" x14ac:dyDescent="0.3">
      <c r="A5509" s="248"/>
      <c r="B5509" s="239"/>
      <c r="C5509" s="164"/>
      <c r="D5509" s="132"/>
      <c r="E5509" s="61"/>
      <c r="F5509" s="68" t="s">
        <v>418</v>
      </c>
      <c r="G5509" s="68" t="str">
        <f>IF(ISNUMBER(F5509),E5509*F5509,"")</f>
        <v/>
      </c>
      <c r="H5509" s="69"/>
      <c r="I5509" s="66"/>
      <c r="J5509" s="125">
        <v>0</v>
      </c>
    </row>
    <row r="5510" spans="1:10" ht="15.75" hidden="1" thickBot="1" x14ac:dyDescent="0.3">
      <c r="A5510" s="241" t="s">
        <v>13163</v>
      </c>
      <c r="B5510" s="237" t="s">
        <v>12932</v>
      </c>
      <c r="C5510" s="160"/>
      <c r="D5510" s="23" t="s">
        <v>1628</v>
      </c>
      <c r="E5510" s="24"/>
      <c r="F5510" s="44" t="s">
        <v>418</v>
      </c>
      <c r="G5510" s="25" t="str">
        <f>IF(ISNUMBER(F5510),E5510*F5510,"")</f>
        <v/>
      </c>
      <c r="H5510" s="26"/>
      <c r="I5510" s="27"/>
      <c r="J5510" s="125">
        <v>0</v>
      </c>
    </row>
    <row r="5511" spans="1:10" ht="15.75" hidden="1" thickBot="1" x14ac:dyDescent="0.3">
      <c r="A5511" s="247"/>
      <c r="B5511" s="240"/>
      <c r="C5511" s="135"/>
      <c r="D5511" s="135"/>
      <c r="E5511" s="136"/>
      <c r="F5511" s="49" t="s">
        <v>418</v>
      </c>
      <c r="G5511" s="49" t="str">
        <f>IF(ISNUMBER(F5511),E5511*F5511,"")</f>
        <v/>
      </c>
      <c r="H5511" s="65"/>
      <c r="I5511" s="66"/>
      <c r="J5511" s="125">
        <v>0</v>
      </c>
    </row>
    <row r="5512" spans="1:10" ht="15.75" hidden="1" thickBot="1" x14ac:dyDescent="0.3">
      <c r="A5512" s="247"/>
      <c r="B5512" s="240"/>
      <c r="C5512" s="155" t="s">
        <v>9883</v>
      </c>
      <c r="D5512" s="155" t="s">
        <v>587</v>
      </c>
      <c r="E5512" s="130" t="e">
        <f>IF(#REF!="Desonerado",ROUND(220/(1+82.01%),4),ROUND(220/(1+110.69%),4))</f>
        <v>#REF!</v>
      </c>
      <c r="F5512" s="28">
        <v>16.263999999999999</v>
      </c>
      <c r="G5512" s="49" t="e">
        <f>IF(ISNUMBER(F5512),E5512*F5512,"")</f>
        <v>#REF!</v>
      </c>
      <c r="H5512" s="35" t="e">
        <f>SUM(G5512:G5512)</f>
        <v>#REF!</v>
      </c>
      <c r="I5512" s="36"/>
      <c r="J5512" s="125">
        <v>0</v>
      </c>
    </row>
    <row r="5513" spans="1:10" ht="15.75" hidden="1" thickBot="1" x14ac:dyDescent="0.3">
      <c r="A5513" s="247"/>
      <c r="B5513" s="240"/>
      <c r="C5513" s="135"/>
      <c r="D5513" s="135"/>
      <c r="E5513" s="136"/>
      <c r="F5513" s="49" t="s">
        <v>418</v>
      </c>
      <c r="G5513" s="49" t="str">
        <f>IF(ISNUMBER(F5513),E5513*F5513,"")</f>
        <v/>
      </c>
      <c r="H5513" s="65"/>
      <c r="I5513" s="66"/>
      <c r="J5513" s="125">
        <v>0</v>
      </c>
    </row>
    <row r="5514" spans="1:10" ht="26.25" hidden="1" thickBot="1" x14ac:dyDescent="0.3">
      <c r="A5514" s="247"/>
      <c r="B5514" s="240"/>
      <c r="C5514" s="43" t="s">
        <v>657</v>
      </c>
      <c r="D5514" s="135"/>
      <c r="E5514" s="136"/>
      <c r="F5514" s="49" t="s">
        <v>418</v>
      </c>
      <c r="G5514" s="49" t="str">
        <f>IF(ISNUMBER(F5514),E5514*F5514,"")</f>
        <v/>
      </c>
      <c r="H5514" s="65"/>
      <c r="I5514" s="66"/>
      <c r="J5514" s="125">
        <v>0</v>
      </c>
    </row>
    <row r="5515" spans="1:10" ht="15.75" hidden="1" thickBot="1" x14ac:dyDescent="0.3">
      <c r="A5515" s="248"/>
      <c r="B5515" s="239"/>
      <c r="C5515" s="164"/>
      <c r="D5515" s="132"/>
      <c r="E5515" s="61"/>
      <c r="F5515" s="68" t="s">
        <v>418</v>
      </c>
      <c r="G5515" s="68" t="str">
        <f>IF(ISNUMBER(F5515),E5515*F5515,"")</f>
        <v/>
      </c>
      <c r="H5515" s="69"/>
      <c r="I5515" s="66"/>
      <c r="J5515" s="125">
        <v>0</v>
      </c>
    </row>
    <row r="5516" spans="1:10" ht="15.75" hidden="1" thickBot="1" x14ac:dyDescent="0.3">
      <c r="A5516" s="241" t="s">
        <v>13164</v>
      </c>
      <c r="B5516" s="237" t="s">
        <v>12933</v>
      </c>
      <c r="C5516" s="160"/>
      <c r="D5516" s="23" t="s">
        <v>1628</v>
      </c>
      <c r="E5516" s="24"/>
      <c r="F5516" s="44" t="s">
        <v>418</v>
      </c>
      <c r="G5516" s="25" t="str">
        <f>IF(ISNUMBER(F5516),E5516*F5516,"")</f>
        <v/>
      </c>
      <c r="H5516" s="26"/>
      <c r="I5516" s="27"/>
      <c r="J5516" s="125">
        <v>0</v>
      </c>
    </row>
    <row r="5517" spans="1:10" ht="15.75" hidden="1" thickBot="1" x14ac:dyDescent="0.3">
      <c r="A5517" s="247"/>
      <c r="B5517" s="240"/>
      <c r="C5517" s="135"/>
      <c r="D5517" s="135"/>
      <c r="E5517" s="136"/>
      <c r="F5517" s="49" t="s">
        <v>418</v>
      </c>
      <c r="G5517" s="49" t="str">
        <f>IF(ISNUMBER(F5517),E5517*F5517,"")</f>
        <v/>
      </c>
      <c r="H5517" s="65"/>
      <c r="I5517" s="66"/>
      <c r="J5517" s="125">
        <v>0</v>
      </c>
    </row>
    <row r="5518" spans="1:10" ht="15.75" hidden="1" thickBot="1" x14ac:dyDescent="0.3">
      <c r="A5518" s="247"/>
      <c r="B5518" s="240"/>
      <c r="C5518" s="155" t="s">
        <v>9887</v>
      </c>
      <c r="D5518" s="155" t="s">
        <v>587</v>
      </c>
      <c r="E5518" s="130" t="e">
        <f>IF(#REF!="Desonerado",ROUND(220/(1+82.01%),4),ROUND(220/(1+110.69%),4))</f>
        <v>#REF!</v>
      </c>
      <c r="F5518" s="28">
        <v>21.4605</v>
      </c>
      <c r="G5518" s="49" t="e">
        <f>IF(ISNUMBER(F5518),E5518*F5518,"")</f>
        <v>#REF!</v>
      </c>
      <c r="H5518" s="35" t="e">
        <f>SUM(G5518:G5518)</f>
        <v>#REF!</v>
      </c>
      <c r="I5518" s="36"/>
      <c r="J5518" s="125">
        <v>0</v>
      </c>
    </row>
    <row r="5519" spans="1:10" ht="15.75" hidden="1" thickBot="1" x14ac:dyDescent="0.3">
      <c r="A5519" s="247"/>
      <c r="B5519" s="240"/>
      <c r="C5519" s="135"/>
      <c r="D5519" s="135"/>
      <c r="E5519" s="136"/>
      <c r="F5519" s="49" t="s">
        <v>418</v>
      </c>
      <c r="G5519" s="49" t="str">
        <f>IF(ISNUMBER(F5519),E5519*F5519,"")</f>
        <v/>
      </c>
      <c r="H5519" s="65"/>
      <c r="I5519" s="66"/>
      <c r="J5519" s="125">
        <v>0</v>
      </c>
    </row>
    <row r="5520" spans="1:10" ht="26.25" hidden="1" thickBot="1" x14ac:dyDescent="0.3">
      <c r="A5520" s="247"/>
      <c r="B5520" s="240"/>
      <c r="C5520" s="43" t="s">
        <v>657</v>
      </c>
      <c r="D5520" s="135"/>
      <c r="E5520" s="136"/>
      <c r="F5520" s="49" t="s">
        <v>418</v>
      </c>
      <c r="G5520" s="49" t="str">
        <f>IF(ISNUMBER(F5520),E5520*F5520,"")</f>
        <v/>
      </c>
      <c r="H5520" s="65"/>
      <c r="I5520" s="66"/>
      <c r="J5520" s="125">
        <v>0</v>
      </c>
    </row>
    <row r="5521" spans="1:10" ht="15.75" hidden="1" thickBot="1" x14ac:dyDescent="0.3">
      <c r="A5521" s="248"/>
      <c r="B5521" s="239"/>
      <c r="C5521" s="164"/>
      <c r="D5521" s="132"/>
      <c r="E5521" s="61"/>
      <c r="F5521" s="68" t="s">
        <v>418</v>
      </c>
      <c r="G5521" s="68" t="str">
        <f>IF(ISNUMBER(F5521),E5521*F5521,"")</f>
        <v/>
      </c>
      <c r="H5521" s="69"/>
      <c r="I5521" s="66"/>
      <c r="J5521" s="125">
        <v>0</v>
      </c>
    </row>
    <row r="5522" spans="1:10" ht="15.75" hidden="1" thickBot="1" x14ac:dyDescent="0.3">
      <c r="A5522" s="241" t="s">
        <v>13165</v>
      </c>
      <c r="B5522" s="237" t="s">
        <v>12934</v>
      </c>
      <c r="C5522" s="160"/>
      <c r="D5522" s="23" t="s">
        <v>1628</v>
      </c>
      <c r="E5522" s="24"/>
      <c r="F5522" s="44" t="s">
        <v>418</v>
      </c>
      <c r="G5522" s="25" t="str">
        <f>IF(ISNUMBER(F5522),E5522*F5522,"")</f>
        <v/>
      </c>
      <c r="H5522" s="26"/>
      <c r="I5522" s="27"/>
      <c r="J5522" s="125">
        <v>0</v>
      </c>
    </row>
    <row r="5523" spans="1:10" ht="15.75" hidden="1" thickBot="1" x14ac:dyDescent="0.3">
      <c r="A5523" s="247"/>
      <c r="B5523" s="240"/>
      <c r="C5523" s="135"/>
      <c r="D5523" s="135"/>
      <c r="E5523" s="136"/>
      <c r="F5523" s="49" t="s">
        <v>418</v>
      </c>
      <c r="G5523" s="49" t="str">
        <f>IF(ISNUMBER(F5523),E5523*F5523,"")</f>
        <v/>
      </c>
      <c r="H5523" s="65"/>
      <c r="I5523" s="66"/>
      <c r="J5523" s="125">
        <v>0</v>
      </c>
    </row>
    <row r="5524" spans="1:10" ht="15.75" hidden="1" thickBot="1" x14ac:dyDescent="0.3">
      <c r="A5524" s="247"/>
      <c r="B5524" s="240"/>
      <c r="C5524" s="155" t="s">
        <v>9775</v>
      </c>
      <c r="D5524" s="155" t="s">
        <v>587</v>
      </c>
      <c r="E5524" s="130" t="e">
        <f>IF(#REF!="Desonerado",ROUND(220/(1+82.01%),4),ROUND(220/(1+110.69%),4))</f>
        <v>#REF!</v>
      </c>
      <c r="F5524" s="28">
        <v>28.727999999999998</v>
      </c>
      <c r="G5524" s="49" t="e">
        <f>IF(ISNUMBER(F5524),E5524*F5524,"")</f>
        <v>#REF!</v>
      </c>
      <c r="H5524" s="35" t="e">
        <f>SUM(G5524:G5524)</f>
        <v>#REF!</v>
      </c>
      <c r="I5524" s="36"/>
      <c r="J5524" s="125">
        <v>0</v>
      </c>
    </row>
    <row r="5525" spans="1:10" ht="15.75" hidden="1" thickBot="1" x14ac:dyDescent="0.3">
      <c r="A5525" s="247"/>
      <c r="B5525" s="240"/>
      <c r="C5525" s="135"/>
      <c r="D5525" s="135"/>
      <c r="E5525" s="136"/>
      <c r="F5525" s="49" t="s">
        <v>418</v>
      </c>
      <c r="G5525" s="49" t="str">
        <f>IF(ISNUMBER(F5525),E5525*F5525,"")</f>
        <v/>
      </c>
      <c r="H5525" s="65"/>
      <c r="I5525" s="66"/>
      <c r="J5525" s="125">
        <v>0</v>
      </c>
    </row>
    <row r="5526" spans="1:10" ht="26.25" hidden="1" thickBot="1" x14ac:dyDescent="0.3">
      <c r="A5526" s="247"/>
      <c r="B5526" s="240"/>
      <c r="C5526" s="43" t="s">
        <v>657</v>
      </c>
      <c r="D5526" s="135"/>
      <c r="E5526" s="136"/>
      <c r="F5526" s="49" t="s">
        <v>418</v>
      </c>
      <c r="G5526" s="49" t="str">
        <f>IF(ISNUMBER(F5526),E5526*F5526,"")</f>
        <v/>
      </c>
      <c r="H5526" s="65"/>
      <c r="I5526" s="66"/>
      <c r="J5526" s="125">
        <v>0</v>
      </c>
    </row>
    <row r="5527" spans="1:10" ht="15.75" hidden="1" thickBot="1" x14ac:dyDescent="0.3">
      <c r="A5527" s="248"/>
      <c r="B5527" s="239"/>
      <c r="C5527" s="164"/>
      <c r="D5527" s="132"/>
      <c r="E5527" s="61"/>
      <c r="F5527" s="68" t="s">
        <v>418</v>
      </c>
      <c r="G5527" s="68" t="str">
        <f>IF(ISNUMBER(F5527),E5527*F5527,"")</f>
        <v/>
      </c>
      <c r="H5527" s="69"/>
      <c r="I5527" s="66"/>
      <c r="J5527" s="125">
        <v>0</v>
      </c>
    </row>
    <row r="5528" spans="1:10" ht="15.75" hidden="1" thickBot="1" x14ac:dyDescent="0.3">
      <c r="A5528" s="241" t="s">
        <v>13166</v>
      </c>
      <c r="B5528" s="237" t="s">
        <v>12935</v>
      </c>
      <c r="C5528" s="160"/>
      <c r="D5528" s="23" t="s">
        <v>1628</v>
      </c>
      <c r="E5528" s="24"/>
      <c r="F5528" s="44" t="s">
        <v>418</v>
      </c>
      <c r="G5528" s="25" t="str">
        <f>IF(ISNUMBER(F5528),E5528*F5528,"")</f>
        <v/>
      </c>
      <c r="H5528" s="26"/>
      <c r="I5528" s="27"/>
      <c r="J5528" s="125">
        <v>0</v>
      </c>
    </row>
    <row r="5529" spans="1:10" ht="15.75" hidden="1" thickBot="1" x14ac:dyDescent="0.3">
      <c r="A5529" s="247"/>
      <c r="B5529" s="240"/>
      <c r="C5529" s="135"/>
      <c r="D5529" s="135"/>
      <c r="E5529" s="136"/>
      <c r="F5529" s="49" t="s">
        <v>418</v>
      </c>
      <c r="G5529" s="49" t="str">
        <f>IF(ISNUMBER(F5529),E5529*F5529,"")</f>
        <v/>
      </c>
      <c r="H5529" s="65"/>
      <c r="I5529" s="66"/>
      <c r="J5529" s="125">
        <v>0</v>
      </c>
    </row>
    <row r="5530" spans="1:10" ht="15.75" hidden="1" thickBot="1" x14ac:dyDescent="0.3">
      <c r="A5530" s="247"/>
      <c r="B5530" s="240"/>
      <c r="C5530" s="155" t="s">
        <v>9775</v>
      </c>
      <c r="D5530" s="155" t="s">
        <v>587</v>
      </c>
      <c r="E5530" s="130" t="e">
        <f>IF(#REF!="Desonerado",ROUND(220/(1+82.01%),4),ROUND(220/(1+110.69%),4))</f>
        <v>#REF!</v>
      </c>
      <c r="F5530" s="28">
        <v>28.727999999999998</v>
      </c>
      <c r="G5530" s="49" t="e">
        <f>IF(ISNUMBER(F5530),E5530*F5530,"")</f>
        <v>#REF!</v>
      </c>
      <c r="H5530" s="35" t="e">
        <f>SUM(G5530:G5530)</f>
        <v>#REF!</v>
      </c>
      <c r="I5530" s="36"/>
      <c r="J5530" s="125">
        <v>0</v>
      </c>
    </row>
    <row r="5531" spans="1:10" ht="15.75" hidden="1" thickBot="1" x14ac:dyDescent="0.3">
      <c r="A5531" s="247"/>
      <c r="B5531" s="240"/>
      <c r="C5531" s="135"/>
      <c r="D5531" s="135"/>
      <c r="E5531" s="136"/>
      <c r="F5531" s="49" t="s">
        <v>418</v>
      </c>
      <c r="G5531" s="49" t="str">
        <f>IF(ISNUMBER(F5531),E5531*F5531,"")</f>
        <v/>
      </c>
      <c r="H5531" s="65"/>
      <c r="I5531" s="66"/>
      <c r="J5531" s="125">
        <v>0</v>
      </c>
    </row>
    <row r="5532" spans="1:10" ht="26.25" hidden="1" thickBot="1" x14ac:dyDescent="0.3">
      <c r="A5532" s="247"/>
      <c r="B5532" s="240"/>
      <c r="C5532" s="43" t="s">
        <v>657</v>
      </c>
      <c r="D5532" s="135"/>
      <c r="E5532" s="136"/>
      <c r="F5532" s="49" t="s">
        <v>418</v>
      </c>
      <c r="G5532" s="49" t="str">
        <f>IF(ISNUMBER(F5532),E5532*F5532,"")</f>
        <v/>
      </c>
      <c r="H5532" s="65"/>
      <c r="I5532" s="66"/>
      <c r="J5532" s="125">
        <v>0</v>
      </c>
    </row>
    <row r="5533" spans="1:10" ht="15.75" hidden="1" thickBot="1" x14ac:dyDescent="0.3">
      <c r="A5533" s="248"/>
      <c r="B5533" s="239"/>
      <c r="C5533" s="164"/>
      <c r="D5533" s="132"/>
      <c r="E5533" s="61"/>
      <c r="F5533" s="68" t="s">
        <v>418</v>
      </c>
      <c r="G5533" s="68" t="str">
        <f>IF(ISNUMBER(F5533),E5533*F5533,"")</f>
        <v/>
      </c>
      <c r="H5533" s="69"/>
      <c r="I5533" s="66"/>
      <c r="J5533" s="125">
        <v>0</v>
      </c>
    </row>
    <row r="5534" spans="1:10" ht="15.75" hidden="1" thickBot="1" x14ac:dyDescent="0.3">
      <c r="A5534" s="241" t="s">
        <v>13167</v>
      </c>
      <c r="B5534" s="237" t="s">
        <v>12936</v>
      </c>
      <c r="C5534" s="160"/>
      <c r="D5534" s="23" t="s">
        <v>1628</v>
      </c>
      <c r="E5534" s="24"/>
      <c r="F5534" s="44" t="s">
        <v>418</v>
      </c>
      <c r="G5534" s="25" t="str">
        <f>IF(ISNUMBER(F5534),E5534*F5534,"")</f>
        <v/>
      </c>
      <c r="H5534" s="26"/>
      <c r="I5534" s="27"/>
      <c r="J5534" s="125">
        <v>0</v>
      </c>
    </row>
    <row r="5535" spans="1:10" ht="15.75" hidden="1" thickBot="1" x14ac:dyDescent="0.3">
      <c r="A5535" s="247"/>
      <c r="B5535" s="240"/>
      <c r="C5535" s="135"/>
      <c r="D5535" s="135"/>
      <c r="E5535" s="136"/>
      <c r="F5535" s="49" t="s">
        <v>418</v>
      </c>
      <c r="G5535" s="49" t="str">
        <f>IF(ISNUMBER(F5535),E5535*F5535,"")</f>
        <v/>
      </c>
      <c r="H5535" s="65"/>
      <c r="I5535" s="66"/>
      <c r="J5535" s="125">
        <v>0</v>
      </c>
    </row>
    <row r="5536" spans="1:10" ht="15.75" hidden="1" thickBot="1" x14ac:dyDescent="0.3">
      <c r="A5536" s="247"/>
      <c r="B5536" s="240"/>
      <c r="C5536" s="155" t="s">
        <v>9775</v>
      </c>
      <c r="D5536" s="155" t="s">
        <v>587</v>
      </c>
      <c r="E5536" s="130" t="e">
        <f>IF(#REF!="Desonerado",ROUND(220/(1+82.01%),4),ROUND(220/(1+110.69%),4))</f>
        <v>#REF!</v>
      </c>
      <c r="F5536" s="28">
        <v>28.727999999999998</v>
      </c>
      <c r="G5536" s="49" t="e">
        <f>IF(ISNUMBER(F5536),E5536*F5536,"")</f>
        <v>#REF!</v>
      </c>
      <c r="H5536" s="35" t="e">
        <f>SUM(G5536:G5536)</f>
        <v>#REF!</v>
      </c>
      <c r="I5536" s="36"/>
      <c r="J5536" s="125">
        <v>0</v>
      </c>
    </row>
    <row r="5537" spans="1:10" ht="15.75" hidden="1" thickBot="1" x14ac:dyDescent="0.3">
      <c r="A5537" s="247"/>
      <c r="B5537" s="240"/>
      <c r="C5537" s="135"/>
      <c r="D5537" s="135"/>
      <c r="E5537" s="136"/>
      <c r="F5537" s="49" t="s">
        <v>418</v>
      </c>
      <c r="G5537" s="49" t="str">
        <f>IF(ISNUMBER(F5537),E5537*F5537,"")</f>
        <v/>
      </c>
      <c r="H5537" s="65"/>
      <c r="I5537" s="66"/>
      <c r="J5537" s="125">
        <v>0</v>
      </c>
    </row>
    <row r="5538" spans="1:10" ht="26.25" hidden="1" thickBot="1" x14ac:dyDescent="0.3">
      <c r="A5538" s="247"/>
      <c r="B5538" s="240"/>
      <c r="C5538" s="43" t="s">
        <v>657</v>
      </c>
      <c r="D5538" s="135"/>
      <c r="E5538" s="136"/>
      <c r="F5538" s="49" t="s">
        <v>418</v>
      </c>
      <c r="G5538" s="49" t="str">
        <f>IF(ISNUMBER(F5538),E5538*F5538,"")</f>
        <v/>
      </c>
      <c r="H5538" s="65"/>
      <c r="I5538" s="66"/>
      <c r="J5538" s="125">
        <v>0</v>
      </c>
    </row>
    <row r="5539" spans="1:10" ht="15.75" hidden="1" thickBot="1" x14ac:dyDescent="0.3">
      <c r="A5539" s="248"/>
      <c r="B5539" s="239"/>
      <c r="C5539" s="164"/>
      <c r="D5539" s="132"/>
      <c r="E5539" s="61"/>
      <c r="F5539" s="68" t="s">
        <v>418</v>
      </c>
      <c r="G5539" s="68" t="str">
        <f>IF(ISNUMBER(F5539),E5539*F5539,"")</f>
        <v/>
      </c>
      <c r="H5539" s="69"/>
      <c r="I5539" s="66"/>
      <c r="J5539" s="125">
        <v>0</v>
      </c>
    </row>
    <row r="5540" spans="1:10" ht="15.75" hidden="1" thickBot="1" x14ac:dyDescent="0.3">
      <c r="A5540" s="241" t="s">
        <v>13168</v>
      </c>
      <c r="B5540" s="237" t="s">
        <v>12937</v>
      </c>
      <c r="C5540" s="160"/>
      <c r="D5540" s="23" t="s">
        <v>1628</v>
      </c>
      <c r="E5540" s="24"/>
      <c r="F5540" s="44" t="s">
        <v>418</v>
      </c>
      <c r="G5540" s="25" t="str">
        <f>IF(ISNUMBER(F5540),E5540*F5540,"")</f>
        <v/>
      </c>
      <c r="H5540" s="26"/>
      <c r="I5540" s="27"/>
      <c r="J5540" s="125">
        <v>0</v>
      </c>
    </row>
    <row r="5541" spans="1:10" ht="15.75" hidden="1" thickBot="1" x14ac:dyDescent="0.3">
      <c r="A5541" s="247"/>
      <c r="B5541" s="240"/>
      <c r="C5541" s="135"/>
      <c r="D5541" s="135"/>
      <c r="E5541" s="136"/>
      <c r="F5541" s="49" t="s">
        <v>418</v>
      </c>
      <c r="G5541" s="49" t="str">
        <f>IF(ISNUMBER(F5541),E5541*F5541,"")</f>
        <v/>
      </c>
      <c r="H5541" s="65"/>
      <c r="I5541" s="66"/>
      <c r="J5541" s="125">
        <v>0</v>
      </c>
    </row>
    <row r="5542" spans="1:10" ht="15.75" hidden="1" thickBot="1" x14ac:dyDescent="0.3">
      <c r="A5542" s="247"/>
      <c r="B5542" s="240"/>
      <c r="C5542" s="155" t="s">
        <v>9775</v>
      </c>
      <c r="D5542" s="155" t="s">
        <v>587</v>
      </c>
      <c r="E5542" s="130" t="e">
        <f>IF(#REF!="Desonerado",ROUND(220/(1+82.01%),4),ROUND(220/(1+110.69%),4))</f>
        <v>#REF!</v>
      </c>
      <c r="F5542" s="28">
        <v>28.727999999999998</v>
      </c>
      <c r="G5542" s="49" t="e">
        <f>IF(ISNUMBER(F5542),E5542*F5542,"")</f>
        <v>#REF!</v>
      </c>
      <c r="H5542" s="35" t="e">
        <f>SUM(G5542:G5542)</f>
        <v>#REF!</v>
      </c>
      <c r="I5542" s="36"/>
      <c r="J5542" s="125">
        <v>0</v>
      </c>
    </row>
    <row r="5543" spans="1:10" ht="15.75" hidden="1" thickBot="1" x14ac:dyDescent="0.3">
      <c r="A5543" s="247"/>
      <c r="B5543" s="240"/>
      <c r="C5543" s="135"/>
      <c r="D5543" s="135"/>
      <c r="E5543" s="136"/>
      <c r="F5543" s="49" t="s">
        <v>418</v>
      </c>
      <c r="G5543" s="49" t="str">
        <f>IF(ISNUMBER(F5543),E5543*F5543,"")</f>
        <v/>
      </c>
      <c r="H5543" s="65"/>
      <c r="I5543" s="66"/>
      <c r="J5543" s="125">
        <v>0</v>
      </c>
    </row>
    <row r="5544" spans="1:10" ht="26.25" hidden="1" thickBot="1" x14ac:dyDescent="0.3">
      <c r="A5544" s="247"/>
      <c r="B5544" s="240"/>
      <c r="C5544" s="43" t="s">
        <v>657</v>
      </c>
      <c r="D5544" s="135"/>
      <c r="E5544" s="136"/>
      <c r="F5544" s="49" t="s">
        <v>418</v>
      </c>
      <c r="G5544" s="49" t="str">
        <f>IF(ISNUMBER(F5544),E5544*F5544,"")</f>
        <v/>
      </c>
      <c r="H5544" s="65"/>
      <c r="I5544" s="66"/>
      <c r="J5544" s="125">
        <v>0</v>
      </c>
    </row>
    <row r="5545" spans="1:10" ht="15.75" hidden="1" thickBot="1" x14ac:dyDescent="0.3">
      <c r="A5545" s="248"/>
      <c r="B5545" s="239"/>
      <c r="C5545" s="164"/>
      <c r="D5545" s="132"/>
      <c r="E5545" s="61"/>
      <c r="F5545" s="68" t="s">
        <v>418</v>
      </c>
      <c r="G5545" s="68" t="str">
        <f>IF(ISNUMBER(F5545),E5545*F5545,"")</f>
        <v/>
      </c>
      <c r="H5545" s="69"/>
      <c r="I5545" s="66"/>
      <c r="J5545" s="125">
        <v>0</v>
      </c>
    </row>
    <row r="5546" spans="1:10" ht="15.75" hidden="1" thickBot="1" x14ac:dyDescent="0.3">
      <c r="A5546" s="241" t="s">
        <v>13169</v>
      </c>
      <c r="B5546" s="237" t="s">
        <v>12938</v>
      </c>
      <c r="C5546" s="160"/>
      <c r="D5546" s="23" t="s">
        <v>1628</v>
      </c>
      <c r="E5546" s="24"/>
      <c r="F5546" s="44" t="s">
        <v>418</v>
      </c>
      <c r="G5546" s="25" t="str">
        <f>IF(ISNUMBER(F5546),E5546*F5546,"")</f>
        <v/>
      </c>
      <c r="H5546" s="26"/>
      <c r="I5546" s="27"/>
      <c r="J5546" s="125">
        <v>0</v>
      </c>
    </row>
    <row r="5547" spans="1:10" ht="15.75" hidden="1" thickBot="1" x14ac:dyDescent="0.3">
      <c r="A5547" s="247"/>
      <c r="B5547" s="240"/>
      <c r="C5547" s="135"/>
      <c r="D5547" s="135"/>
      <c r="E5547" s="136"/>
      <c r="F5547" s="49" t="s">
        <v>418</v>
      </c>
      <c r="G5547" s="49" t="str">
        <f>IF(ISNUMBER(F5547),E5547*F5547,"")</f>
        <v/>
      </c>
      <c r="H5547" s="65"/>
      <c r="I5547" s="66"/>
      <c r="J5547" s="125">
        <v>0</v>
      </c>
    </row>
    <row r="5548" spans="1:10" ht="15.75" hidden="1" thickBot="1" x14ac:dyDescent="0.3">
      <c r="A5548" s="247"/>
      <c r="B5548" s="240"/>
      <c r="C5548" s="155" t="s">
        <v>1023</v>
      </c>
      <c r="D5548" s="155" t="s">
        <v>587</v>
      </c>
      <c r="E5548" s="130" t="e">
        <f>IF(#REF!="Desonerado",ROUND(220/(1+82.01%),4),ROUND(220/(1+110.69%),4))</f>
        <v>#REF!</v>
      </c>
      <c r="F5548" s="28">
        <v>25.954000000000001</v>
      </c>
      <c r="G5548" s="49" t="e">
        <f>IF(ISNUMBER(F5548),E5548*F5548,"")</f>
        <v>#REF!</v>
      </c>
      <c r="H5548" s="35" t="e">
        <f>SUM(G5548:G5548)</f>
        <v>#REF!</v>
      </c>
      <c r="I5548" s="36"/>
      <c r="J5548" s="125">
        <v>0</v>
      </c>
    </row>
    <row r="5549" spans="1:10" ht="15.75" hidden="1" thickBot="1" x14ac:dyDescent="0.3">
      <c r="A5549" s="247"/>
      <c r="B5549" s="240"/>
      <c r="C5549" s="135"/>
      <c r="D5549" s="135"/>
      <c r="E5549" s="136"/>
      <c r="F5549" s="49" t="s">
        <v>418</v>
      </c>
      <c r="G5549" s="49" t="str">
        <f>IF(ISNUMBER(F5549),E5549*F5549,"")</f>
        <v/>
      </c>
      <c r="H5549" s="65"/>
      <c r="I5549" s="66"/>
      <c r="J5549" s="125">
        <v>0</v>
      </c>
    </row>
    <row r="5550" spans="1:10" ht="26.25" hidden="1" thickBot="1" x14ac:dyDescent="0.3">
      <c r="A5550" s="247"/>
      <c r="B5550" s="240"/>
      <c r="C5550" s="43" t="s">
        <v>657</v>
      </c>
      <c r="D5550" s="135"/>
      <c r="E5550" s="136"/>
      <c r="F5550" s="49" t="s">
        <v>418</v>
      </c>
      <c r="G5550" s="49" t="str">
        <f>IF(ISNUMBER(F5550),E5550*F5550,"")</f>
        <v/>
      </c>
      <c r="H5550" s="65"/>
      <c r="I5550" s="66"/>
      <c r="J5550" s="125">
        <v>0</v>
      </c>
    </row>
    <row r="5551" spans="1:10" ht="15.75" hidden="1" thickBot="1" x14ac:dyDescent="0.3">
      <c r="A5551" s="248"/>
      <c r="B5551" s="239"/>
      <c r="C5551" s="164"/>
      <c r="D5551" s="132"/>
      <c r="E5551" s="61"/>
      <c r="F5551" s="68" t="s">
        <v>418</v>
      </c>
      <c r="G5551" s="68" t="str">
        <f>IF(ISNUMBER(F5551),E5551*F5551,"")</f>
        <v/>
      </c>
      <c r="H5551" s="69"/>
      <c r="I5551" s="66"/>
      <c r="J5551" s="125">
        <v>0</v>
      </c>
    </row>
    <row r="5552" spans="1:10" ht="15.75" hidden="1" thickBot="1" x14ac:dyDescent="0.3">
      <c r="A5552" s="241" t="s">
        <v>13170</v>
      </c>
      <c r="B5552" s="237" t="s">
        <v>12939</v>
      </c>
      <c r="C5552" s="160"/>
      <c r="D5552" s="23" t="s">
        <v>1628</v>
      </c>
      <c r="E5552" s="24"/>
      <c r="F5552" s="44" t="s">
        <v>418</v>
      </c>
      <c r="G5552" s="25" t="str">
        <f>IF(ISNUMBER(F5552),E5552*F5552,"")</f>
        <v/>
      </c>
      <c r="H5552" s="26"/>
      <c r="I5552" s="27"/>
      <c r="J5552" s="125">
        <v>0</v>
      </c>
    </row>
    <row r="5553" spans="1:10" ht="15.75" hidden="1" thickBot="1" x14ac:dyDescent="0.3">
      <c r="A5553" s="247"/>
      <c r="B5553" s="240"/>
      <c r="C5553" s="135"/>
      <c r="D5553" s="135"/>
      <c r="E5553" s="136"/>
      <c r="F5553" s="49" t="s">
        <v>418</v>
      </c>
      <c r="G5553" s="49" t="str">
        <f>IF(ISNUMBER(F5553),E5553*F5553,"")</f>
        <v/>
      </c>
      <c r="H5553" s="65"/>
      <c r="I5553" s="66"/>
      <c r="J5553" s="125">
        <v>0</v>
      </c>
    </row>
    <row r="5554" spans="1:10" ht="15.75" hidden="1" thickBot="1" x14ac:dyDescent="0.3">
      <c r="A5554" s="247"/>
      <c r="B5554" s="240"/>
      <c r="C5554" s="155" t="s">
        <v>1022</v>
      </c>
      <c r="D5554" s="155" t="s">
        <v>587</v>
      </c>
      <c r="E5554" s="130">
        <f>ROUND(220/(1+110.69%),4)</f>
        <v>104.4188</v>
      </c>
      <c r="F5554" s="28">
        <v>19.522500000000001</v>
      </c>
      <c r="G5554" s="49">
        <f>IF(ISNUMBER(F5554),E5554*F5554,"")</f>
        <v>2038.5160230000001</v>
      </c>
      <c r="H5554" s="35">
        <f>SUM(G5554:G5554)</f>
        <v>2038.5160230000001</v>
      </c>
      <c r="I5554" s="36"/>
      <c r="J5554" s="125">
        <v>0</v>
      </c>
    </row>
    <row r="5555" spans="1:10" ht="15.75" hidden="1" thickBot="1" x14ac:dyDescent="0.3">
      <c r="A5555" s="247"/>
      <c r="B5555" s="240"/>
      <c r="C5555" s="135"/>
      <c r="D5555" s="135"/>
      <c r="E5555" s="136"/>
      <c r="F5555" s="49" t="s">
        <v>418</v>
      </c>
      <c r="G5555" s="49" t="str">
        <f>IF(ISNUMBER(F5555),E5555*F5555,"")</f>
        <v/>
      </c>
      <c r="H5555" s="65"/>
      <c r="I5555" s="66"/>
      <c r="J5555" s="125">
        <v>0</v>
      </c>
    </row>
    <row r="5556" spans="1:10" ht="26.25" hidden="1" thickBot="1" x14ac:dyDescent="0.3">
      <c r="A5556" s="247"/>
      <c r="B5556" s="240"/>
      <c r="C5556" s="43" t="s">
        <v>657</v>
      </c>
      <c r="D5556" s="135"/>
      <c r="E5556" s="136"/>
      <c r="F5556" s="49" t="s">
        <v>418</v>
      </c>
      <c r="G5556" s="49" t="str">
        <f>IF(ISNUMBER(F5556),E5556*F5556,"")</f>
        <v/>
      </c>
      <c r="H5556" s="65"/>
      <c r="I5556" s="66"/>
      <c r="J5556" s="125">
        <v>0</v>
      </c>
    </row>
    <row r="5557" spans="1:10" ht="15.75" hidden="1" thickBot="1" x14ac:dyDescent="0.3">
      <c r="A5557" s="248"/>
      <c r="B5557" s="239"/>
      <c r="C5557" s="164"/>
      <c r="D5557" s="132"/>
      <c r="E5557" s="61"/>
      <c r="F5557" s="68" t="s">
        <v>418</v>
      </c>
      <c r="G5557" s="68" t="str">
        <f>IF(ISNUMBER(F5557),E5557*F5557,"")</f>
        <v/>
      </c>
      <c r="H5557" s="69"/>
      <c r="I5557" s="66"/>
      <c r="J5557" s="125">
        <v>0</v>
      </c>
    </row>
    <row r="5558" spans="1:10" ht="15.75" hidden="1" thickBot="1" x14ac:dyDescent="0.3">
      <c r="A5558" s="241" t="s">
        <v>13171</v>
      </c>
      <c r="B5558" s="237" t="s">
        <v>12940</v>
      </c>
      <c r="C5558" s="160"/>
      <c r="D5558" s="23" t="s">
        <v>1628</v>
      </c>
      <c r="E5558" s="24"/>
      <c r="F5558" s="44" t="s">
        <v>418</v>
      </c>
      <c r="G5558" s="25" t="str">
        <f>IF(ISNUMBER(F5558),E5558*F5558,"")</f>
        <v/>
      </c>
      <c r="H5558" s="26"/>
      <c r="I5558" s="27"/>
      <c r="J5558" s="125">
        <v>0</v>
      </c>
    </row>
    <row r="5559" spans="1:10" ht="15.75" hidden="1" thickBot="1" x14ac:dyDescent="0.3">
      <c r="A5559" s="247"/>
      <c r="B5559" s="240"/>
      <c r="C5559" s="135"/>
      <c r="D5559" s="135"/>
      <c r="E5559" s="136"/>
      <c r="F5559" s="49" t="s">
        <v>418</v>
      </c>
      <c r="G5559" s="49" t="str">
        <f>IF(ISNUMBER(F5559),E5559*F5559,"")</f>
        <v/>
      </c>
      <c r="H5559" s="65"/>
      <c r="I5559" s="66"/>
      <c r="J5559" s="125">
        <v>0</v>
      </c>
    </row>
    <row r="5560" spans="1:10" ht="15.75" hidden="1" thickBot="1" x14ac:dyDescent="0.3">
      <c r="A5560" s="247"/>
      <c r="B5560" s="240"/>
      <c r="C5560" s="155" t="s">
        <v>9775</v>
      </c>
      <c r="D5560" s="155" t="s">
        <v>587</v>
      </c>
      <c r="E5560" s="130" t="e">
        <f>IF(#REF!="Desonerado",ROUND(220/(1+82.01%),4),ROUND(220/(1+110.69%),4))</f>
        <v>#REF!</v>
      </c>
      <c r="F5560" s="28">
        <v>28.727999999999998</v>
      </c>
      <c r="G5560" s="49" t="e">
        <f>IF(ISNUMBER(F5560),E5560*F5560,"")</f>
        <v>#REF!</v>
      </c>
      <c r="H5560" s="35" t="e">
        <f>SUM(G5560:G5560)</f>
        <v>#REF!</v>
      </c>
      <c r="I5560" s="36"/>
      <c r="J5560" s="125">
        <v>0</v>
      </c>
    </row>
    <row r="5561" spans="1:10" ht="15.75" hidden="1" thickBot="1" x14ac:dyDescent="0.3">
      <c r="A5561" s="247"/>
      <c r="B5561" s="240"/>
      <c r="C5561" s="135"/>
      <c r="D5561" s="135"/>
      <c r="E5561" s="136"/>
      <c r="F5561" s="49" t="s">
        <v>418</v>
      </c>
      <c r="G5561" s="49" t="str">
        <f>IF(ISNUMBER(F5561),E5561*F5561,"")</f>
        <v/>
      </c>
      <c r="H5561" s="65"/>
      <c r="I5561" s="66"/>
      <c r="J5561" s="125">
        <v>0</v>
      </c>
    </row>
    <row r="5562" spans="1:10" ht="26.25" hidden="1" thickBot="1" x14ac:dyDescent="0.3">
      <c r="A5562" s="247"/>
      <c r="B5562" s="240"/>
      <c r="C5562" s="43" t="s">
        <v>657</v>
      </c>
      <c r="D5562" s="135"/>
      <c r="E5562" s="136"/>
      <c r="F5562" s="49" t="s">
        <v>418</v>
      </c>
      <c r="G5562" s="49" t="str">
        <f>IF(ISNUMBER(F5562),E5562*F5562,"")</f>
        <v/>
      </c>
      <c r="H5562" s="65"/>
      <c r="I5562" s="66"/>
      <c r="J5562" s="125">
        <v>0</v>
      </c>
    </row>
    <row r="5563" spans="1:10" ht="15.75" hidden="1" thickBot="1" x14ac:dyDescent="0.3">
      <c r="A5563" s="248"/>
      <c r="B5563" s="239"/>
      <c r="C5563" s="164"/>
      <c r="D5563" s="132"/>
      <c r="E5563" s="61"/>
      <c r="F5563" s="68" t="s">
        <v>418</v>
      </c>
      <c r="G5563" s="68" t="str">
        <f>IF(ISNUMBER(F5563),E5563*F5563,"")</f>
        <v/>
      </c>
      <c r="H5563" s="69"/>
      <c r="I5563" s="66"/>
      <c r="J5563" s="125">
        <v>0</v>
      </c>
    </row>
    <row r="5564" spans="1:10" ht="15.75" hidden="1" thickBot="1" x14ac:dyDescent="0.3">
      <c r="A5564" s="241" t="s">
        <v>13172</v>
      </c>
      <c r="B5564" s="237" t="s">
        <v>12941</v>
      </c>
      <c r="C5564" s="160"/>
      <c r="D5564" s="23" t="s">
        <v>1628</v>
      </c>
      <c r="E5564" s="24"/>
      <c r="F5564" s="44" t="s">
        <v>418</v>
      </c>
      <c r="G5564" s="25" t="str">
        <f>IF(ISNUMBER(F5564),E5564*F5564,"")</f>
        <v/>
      </c>
      <c r="H5564" s="26"/>
      <c r="I5564" s="27"/>
      <c r="J5564" s="125">
        <v>0</v>
      </c>
    </row>
    <row r="5565" spans="1:10" ht="15.75" hidden="1" thickBot="1" x14ac:dyDescent="0.3">
      <c r="A5565" s="247"/>
      <c r="B5565" s="240"/>
      <c r="C5565" s="135"/>
      <c r="D5565" s="135"/>
      <c r="E5565" s="136"/>
      <c r="F5565" s="49" t="s">
        <v>418</v>
      </c>
      <c r="G5565" s="49" t="str">
        <f>IF(ISNUMBER(F5565),E5565*F5565,"")</f>
        <v/>
      </c>
      <c r="H5565" s="65"/>
      <c r="I5565" s="66"/>
      <c r="J5565" s="125">
        <v>0</v>
      </c>
    </row>
    <row r="5566" spans="1:10" ht="15.75" hidden="1" thickBot="1" x14ac:dyDescent="0.3">
      <c r="A5566" s="247"/>
      <c r="B5566" s="240"/>
      <c r="C5566" s="155" t="s">
        <v>9775</v>
      </c>
      <c r="D5566" s="155" t="s">
        <v>587</v>
      </c>
      <c r="E5566" s="130" t="e">
        <f>IF(#REF!="Desonerado",ROUND(220/(1+82.01%),4),ROUND(220/(1+110.69%),4))</f>
        <v>#REF!</v>
      </c>
      <c r="F5566" s="28">
        <v>28.727999999999998</v>
      </c>
      <c r="G5566" s="49" t="e">
        <f>IF(ISNUMBER(F5566),E5566*F5566,"")</f>
        <v>#REF!</v>
      </c>
      <c r="H5566" s="35" t="e">
        <f>SUM(G5566:G5566)</f>
        <v>#REF!</v>
      </c>
      <c r="I5566" s="36"/>
      <c r="J5566" s="125">
        <v>0</v>
      </c>
    </row>
    <row r="5567" spans="1:10" ht="15.75" hidden="1" thickBot="1" x14ac:dyDescent="0.3">
      <c r="A5567" s="247"/>
      <c r="B5567" s="240"/>
      <c r="C5567" s="135"/>
      <c r="D5567" s="135"/>
      <c r="E5567" s="136"/>
      <c r="F5567" s="49" t="s">
        <v>418</v>
      </c>
      <c r="G5567" s="49" t="str">
        <f>IF(ISNUMBER(F5567),E5567*F5567,"")</f>
        <v/>
      </c>
      <c r="H5567" s="65"/>
      <c r="I5567" s="66"/>
      <c r="J5567" s="125">
        <v>0</v>
      </c>
    </row>
    <row r="5568" spans="1:10" ht="26.25" hidden="1" thickBot="1" x14ac:dyDescent="0.3">
      <c r="A5568" s="247"/>
      <c r="B5568" s="240"/>
      <c r="C5568" s="43" t="s">
        <v>657</v>
      </c>
      <c r="D5568" s="135"/>
      <c r="E5568" s="136"/>
      <c r="F5568" s="49" t="s">
        <v>418</v>
      </c>
      <c r="G5568" s="49" t="str">
        <f>IF(ISNUMBER(F5568),E5568*F5568,"")</f>
        <v/>
      </c>
      <c r="H5568" s="65"/>
      <c r="I5568" s="66"/>
      <c r="J5568" s="125">
        <v>0</v>
      </c>
    </row>
    <row r="5569" spans="1:10" ht="15.75" hidden="1" thickBot="1" x14ac:dyDescent="0.3">
      <c r="A5569" s="248"/>
      <c r="B5569" s="239"/>
      <c r="C5569" s="164"/>
      <c r="D5569" s="132"/>
      <c r="E5569" s="61"/>
      <c r="F5569" s="68" t="s">
        <v>418</v>
      </c>
      <c r="G5569" s="68" t="str">
        <f>IF(ISNUMBER(F5569),E5569*F5569,"")</f>
        <v/>
      </c>
      <c r="H5569" s="69"/>
      <c r="I5569" s="66"/>
      <c r="J5569" s="125">
        <v>0</v>
      </c>
    </row>
    <row r="5570" spans="1:10" ht="15.75" hidden="1" thickBot="1" x14ac:dyDescent="0.3">
      <c r="A5570" s="241" t="s">
        <v>13173</v>
      </c>
      <c r="B5570" s="237" t="s">
        <v>12942</v>
      </c>
      <c r="C5570" s="160"/>
      <c r="D5570" s="23" t="s">
        <v>1628</v>
      </c>
      <c r="E5570" s="24"/>
      <c r="F5570" s="44" t="s">
        <v>418</v>
      </c>
      <c r="G5570" s="25" t="str">
        <f>IF(ISNUMBER(F5570),E5570*F5570,"")</f>
        <v/>
      </c>
      <c r="H5570" s="26"/>
      <c r="I5570" s="27"/>
      <c r="J5570" s="125">
        <v>0</v>
      </c>
    </row>
    <row r="5571" spans="1:10" ht="15.75" hidden="1" thickBot="1" x14ac:dyDescent="0.3">
      <c r="A5571" s="247"/>
      <c r="B5571" s="240"/>
      <c r="C5571" s="135"/>
      <c r="D5571" s="135"/>
      <c r="E5571" s="136"/>
      <c r="F5571" s="49" t="s">
        <v>418</v>
      </c>
      <c r="G5571" s="49" t="str">
        <f>IF(ISNUMBER(F5571),E5571*F5571,"")</f>
        <v/>
      </c>
      <c r="H5571" s="65"/>
      <c r="I5571" s="66"/>
      <c r="J5571" s="125">
        <v>0</v>
      </c>
    </row>
    <row r="5572" spans="1:10" ht="15.75" hidden="1" thickBot="1" x14ac:dyDescent="0.3">
      <c r="A5572" s="247"/>
      <c r="B5572" s="240"/>
      <c r="C5572" s="155" t="s">
        <v>9775</v>
      </c>
      <c r="D5572" s="155" t="s">
        <v>587</v>
      </c>
      <c r="E5572" s="130" t="e">
        <f>IF(#REF!="Desonerado",ROUND(220/(1+82.01%),4),ROUND(220/(1+110.69%),4))</f>
        <v>#REF!</v>
      </c>
      <c r="F5572" s="28">
        <v>28.727999999999998</v>
      </c>
      <c r="G5572" s="49" t="e">
        <f>IF(ISNUMBER(F5572),E5572*F5572,"")</f>
        <v>#REF!</v>
      </c>
      <c r="H5572" s="35" t="e">
        <f>SUM(G5572:G5572)</f>
        <v>#REF!</v>
      </c>
      <c r="I5572" s="36"/>
      <c r="J5572" s="125">
        <v>0</v>
      </c>
    </row>
    <row r="5573" spans="1:10" ht="15.75" hidden="1" thickBot="1" x14ac:dyDescent="0.3">
      <c r="A5573" s="247"/>
      <c r="B5573" s="240"/>
      <c r="C5573" s="135"/>
      <c r="D5573" s="135"/>
      <c r="E5573" s="136"/>
      <c r="F5573" s="49" t="s">
        <v>418</v>
      </c>
      <c r="G5573" s="49" t="str">
        <f>IF(ISNUMBER(F5573),E5573*F5573,"")</f>
        <v/>
      </c>
      <c r="H5573" s="65"/>
      <c r="I5573" s="66"/>
      <c r="J5573" s="125">
        <v>0</v>
      </c>
    </row>
    <row r="5574" spans="1:10" ht="26.25" hidden="1" thickBot="1" x14ac:dyDescent="0.3">
      <c r="A5574" s="247"/>
      <c r="B5574" s="240"/>
      <c r="C5574" s="43" t="s">
        <v>657</v>
      </c>
      <c r="D5574" s="135"/>
      <c r="E5574" s="136"/>
      <c r="F5574" s="49" t="s">
        <v>418</v>
      </c>
      <c r="G5574" s="49" t="str">
        <f>IF(ISNUMBER(F5574),E5574*F5574,"")</f>
        <v/>
      </c>
      <c r="H5574" s="65"/>
      <c r="I5574" s="66"/>
      <c r="J5574" s="125">
        <v>0</v>
      </c>
    </row>
    <row r="5575" spans="1:10" ht="15.75" hidden="1" thickBot="1" x14ac:dyDescent="0.3">
      <c r="A5575" s="248"/>
      <c r="B5575" s="239"/>
      <c r="C5575" s="164"/>
      <c r="D5575" s="132"/>
      <c r="E5575" s="61"/>
      <c r="F5575" s="68" t="s">
        <v>418</v>
      </c>
      <c r="G5575" s="68" t="str">
        <f>IF(ISNUMBER(F5575),E5575*F5575,"")</f>
        <v/>
      </c>
      <c r="H5575" s="69"/>
      <c r="I5575" s="66"/>
      <c r="J5575" s="125">
        <v>0</v>
      </c>
    </row>
    <row r="5576" spans="1:10" ht="15.75" hidden="1" thickBot="1" x14ac:dyDescent="0.3">
      <c r="A5576" s="241" t="s">
        <v>13174</v>
      </c>
      <c r="B5576" s="237" t="s">
        <v>12943</v>
      </c>
      <c r="C5576" s="160"/>
      <c r="D5576" s="23" t="s">
        <v>1628</v>
      </c>
      <c r="E5576" s="24"/>
      <c r="F5576" s="44" t="s">
        <v>418</v>
      </c>
      <c r="G5576" s="25" t="str">
        <f>IF(ISNUMBER(F5576),E5576*F5576,"")</f>
        <v/>
      </c>
      <c r="H5576" s="26"/>
      <c r="I5576" s="27"/>
      <c r="J5576" s="125">
        <v>0</v>
      </c>
    </row>
    <row r="5577" spans="1:10" ht="15.75" hidden="1" thickBot="1" x14ac:dyDescent="0.3">
      <c r="A5577" s="247"/>
      <c r="B5577" s="240"/>
      <c r="C5577" s="135"/>
      <c r="D5577" s="135"/>
      <c r="E5577" s="136"/>
      <c r="F5577" s="49" t="s">
        <v>418</v>
      </c>
      <c r="G5577" s="49" t="str">
        <f>IF(ISNUMBER(F5577),E5577*F5577,"")</f>
        <v/>
      </c>
      <c r="H5577" s="65"/>
      <c r="I5577" s="66"/>
      <c r="J5577" s="125">
        <v>0</v>
      </c>
    </row>
    <row r="5578" spans="1:10" ht="15.75" hidden="1" thickBot="1" x14ac:dyDescent="0.3">
      <c r="A5578" s="247"/>
      <c r="B5578" s="240"/>
      <c r="C5578" s="155" t="s">
        <v>9775</v>
      </c>
      <c r="D5578" s="155" t="s">
        <v>587</v>
      </c>
      <c r="E5578" s="130" t="e">
        <f>IF(#REF!="Desonerado",ROUND(220/(1+82.01%),4),ROUND(220/(1+110.69%),4))</f>
        <v>#REF!</v>
      </c>
      <c r="F5578" s="28">
        <v>28.727999999999998</v>
      </c>
      <c r="G5578" s="49" t="e">
        <f>IF(ISNUMBER(F5578),E5578*F5578,"")</f>
        <v>#REF!</v>
      </c>
      <c r="H5578" s="35" t="e">
        <f>SUM(G5578:G5578)</f>
        <v>#REF!</v>
      </c>
      <c r="I5578" s="36"/>
      <c r="J5578" s="125">
        <v>0</v>
      </c>
    </row>
    <row r="5579" spans="1:10" ht="15.75" hidden="1" thickBot="1" x14ac:dyDescent="0.3">
      <c r="A5579" s="247"/>
      <c r="B5579" s="240"/>
      <c r="C5579" s="135"/>
      <c r="D5579" s="135"/>
      <c r="E5579" s="136"/>
      <c r="F5579" s="49" t="s">
        <v>418</v>
      </c>
      <c r="G5579" s="49" t="str">
        <f>IF(ISNUMBER(F5579),E5579*F5579,"")</f>
        <v/>
      </c>
      <c r="H5579" s="65"/>
      <c r="I5579" s="66"/>
      <c r="J5579" s="125">
        <v>0</v>
      </c>
    </row>
    <row r="5580" spans="1:10" ht="26.25" hidden="1" thickBot="1" x14ac:dyDescent="0.3">
      <c r="A5580" s="247"/>
      <c r="B5580" s="240"/>
      <c r="C5580" s="43" t="s">
        <v>657</v>
      </c>
      <c r="D5580" s="135"/>
      <c r="E5580" s="136"/>
      <c r="F5580" s="49" t="s">
        <v>418</v>
      </c>
      <c r="G5580" s="49" t="str">
        <f>IF(ISNUMBER(F5580),E5580*F5580,"")</f>
        <v/>
      </c>
      <c r="H5580" s="65"/>
      <c r="I5580" s="66"/>
      <c r="J5580" s="125">
        <v>0</v>
      </c>
    </row>
    <row r="5581" spans="1:10" ht="15.75" hidden="1" thickBot="1" x14ac:dyDescent="0.3">
      <c r="A5581" s="248"/>
      <c r="B5581" s="239"/>
      <c r="C5581" s="164"/>
      <c r="D5581" s="132"/>
      <c r="E5581" s="61"/>
      <c r="F5581" s="68" t="s">
        <v>418</v>
      </c>
      <c r="G5581" s="68" t="str">
        <f>IF(ISNUMBER(F5581),E5581*F5581,"")</f>
        <v/>
      </c>
      <c r="H5581" s="69"/>
      <c r="I5581" s="66"/>
      <c r="J5581" s="125">
        <v>0</v>
      </c>
    </row>
    <row r="5582" spans="1:10" ht="15.75" hidden="1" thickBot="1" x14ac:dyDescent="0.3">
      <c r="A5582" s="241" t="s">
        <v>13175</v>
      </c>
      <c r="B5582" s="237" t="s">
        <v>12944</v>
      </c>
      <c r="C5582" s="160"/>
      <c r="D5582" s="23" t="s">
        <v>1628</v>
      </c>
      <c r="E5582" s="24"/>
      <c r="F5582" s="44" t="s">
        <v>418</v>
      </c>
      <c r="G5582" s="25" t="str">
        <f>IF(ISNUMBER(F5582),E5582*F5582,"")</f>
        <v/>
      </c>
      <c r="H5582" s="26"/>
      <c r="I5582" s="27"/>
      <c r="J5582" s="125">
        <v>0</v>
      </c>
    </row>
    <row r="5583" spans="1:10" ht="15.75" hidden="1" thickBot="1" x14ac:dyDescent="0.3">
      <c r="A5583" s="247"/>
      <c r="B5583" s="240"/>
      <c r="C5583" s="135"/>
      <c r="D5583" s="135"/>
      <c r="E5583" s="136"/>
      <c r="F5583" s="49" t="s">
        <v>418</v>
      </c>
      <c r="G5583" s="49" t="str">
        <f>IF(ISNUMBER(F5583),E5583*F5583,"")</f>
        <v/>
      </c>
      <c r="H5583" s="65"/>
      <c r="I5583" s="66"/>
      <c r="J5583" s="125">
        <v>0</v>
      </c>
    </row>
    <row r="5584" spans="1:10" ht="15.75" hidden="1" thickBot="1" x14ac:dyDescent="0.3">
      <c r="A5584" s="247"/>
      <c r="B5584" s="240"/>
      <c r="C5584" s="155" t="s">
        <v>1023</v>
      </c>
      <c r="D5584" s="155" t="s">
        <v>587</v>
      </c>
      <c r="E5584" s="130" t="e">
        <f>IF(#REF!="Desonerado",ROUND(220/(1+82.01%),4),ROUND(220/(1+110.69%),4))</f>
        <v>#REF!</v>
      </c>
      <c r="F5584" s="28">
        <v>25.954000000000001</v>
      </c>
      <c r="G5584" s="49" t="e">
        <f>IF(ISNUMBER(F5584),E5584*F5584,"")</f>
        <v>#REF!</v>
      </c>
      <c r="H5584" s="35" t="e">
        <f>SUM(G5584:G5584)</f>
        <v>#REF!</v>
      </c>
      <c r="I5584" s="36"/>
      <c r="J5584" s="125">
        <v>0</v>
      </c>
    </row>
    <row r="5585" spans="1:10" ht="15.75" hidden="1" thickBot="1" x14ac:dyDescent="0.3">
      <c r="A5585" s="247"/>
      <c r="B5585" s="240"/>
      <c r="C5585" s="135"/>
      <c r="D5585" s="135"/>
      <c r="E5585" s="136"/>
      <c r="F5585" s="49" t="s">
        <v>418</v>
      </c>
      <c r="G5585" s="49" t="str">
        <f>IF(ISNUMBER(F5585),E5585*F5585,"")</f>
        <v/>
      </c>
      <c r="H5585" s="65"/>
      <c r="I5585" s="66"/>
      <c r="J5585" s="125">
        <v>0</v>
      </c>
    </row>
    <row r="5586" spans="1:10" ht="26.25" hidden="1" thickBot="1" x14ac:dyDescent="0.3">
      <c r="A5586" s="247"/>
      <c r="B5586" s="240"/>
      <c r="C5586" s="43" t="s">
        <v>657</v>
      </c>
      <c r="D5586" s="135"/>
      <c r="E5586" s="136"/>
      <c r="F5586" s="49" t="s">
        <v>418</v>
      </c>
      <c r="G5586" s="49" t="str">
        <f>IF(ISNUMBER(F5586),E5586*F5586,"")</f>
        <v/>
      </c>
      <c r="H5586" s="65"/>
      <c r="I5586" s="66"/>
      <c r="J5586" s="125">
        <v>0</v>
      </c>
    </row>
    <row r="5587" spans="1:10" ht="15.75" hidden="1" thickBot="1" x14ac:dyDescent="0.3">
      <c r="A5587" s="248"/>
      <c r="B5587" s="239"/>
      <c r="C5587" s="164"/>
      <c r="D5587" s="132"/>
      <c r="E5587" s="61"/>
      <c r="F5587" s="68" t="s">
        <v>418</v>
      </c>
      <c r="G5587" s="68" t="str">
        <f>IF(ISNUMBER(F5587),E5587*F5587,"")</f>
        <v/>
      </c>
      <c r="H5587" s="69"/>
      <c r="I5587" s="66"/>
      <c r="J5587" s="125">
        <v>0</v>
      </c>
    </row>
    <row r="5588" spans="1:10" ht="15.75" hidden="1" thickBot="1" x14ac:dyDescent="0.3">
      <c r="A5588" s="241" t="s">
        <v>13176</v>
      </c>
      <c r="B5588" s="237" t="s">
        <v>12945</v>
      </c>
      <c r="C5588" s="160"/>
      <c r="D5588" s="23" t="s">
        <v>1628</v>
      </c>
      <c r="E5588" s="24"/>
      <c r="F5588" s="44" t="s">
        <v>418</v>
      </c>
      <c r="G5588" s="25" t="str">
        <f>IF(ISNUMBER(F5588),E5588*F5588,"")</f>
        <v/>
      </c>
      <c r="H5588" s="26"/>
      <c r="I5588" s="27"/>
      <c r="J5588" s="125">
        <v>0</v>
      </c>
    </row>
    <row r="5589" spans="1:10" ht="15.75" hidden="1" thickBot="1" x14ac:dyDescent="0.3">
      <c r="A5589" s="247"/>
      <c r="B5589" s="240"/>
      <c r="C5589" s="135"/>
      <c r="D5589" s="135"/>
      <c r="E5589" s="136"/>
      <c r="F5589" s="49" t="s">
        <v>418</v>
      </c>
      <c r="G5589" s="49" t="str">
        <f>IF(ISNUMBER(F5589),E5589*F5589,"")</f>
        <v/>
      </c>
      <c r="H5589" s="65"/>
      <c r="I5589" s="66"/>
      <c r="J5589" s="125">
        <v>0</v>
      </c>
    </row>
    <row r="5590" spans="1:10" ht="15.75" hidden="1" thickBot="1" x14ac:dyDescent="0.3">
      <c r="A5590" s="247"/>
      <c r="B5590" s="240"/>
      <c r="C5590" s="155" t="s">
        <v>1023</v>
      </c>
      <c r="D5590" s="155" t="s">
        <v>587</v>
      </c>
      <c r="E5590" s="130" t="e">
        <f>IF(#REF!="Desonerado",ROUND(220/(1+82.01%),4),ROUND(220/(1+110.69%),4))</f>
        <v>#REF!</v>
      </c>
      <c r="F5590" s="28">
        <v>25.954000000000001</v>
      </c>
      <c r="G5590" s="49" t="e">
        <f>IF(ISNUMBER(F5590),E5590*F5590,"")</f>
        <v>#REF!</v>
      </c>
      <c r="H5590" s="35" t="e">
        <f>SUM(G5590:G5590)</f>
        <v>#REF!</v>
      </c>
      <c r="I5590" s="36"/>
      <c r="J5590" s="125">
        <v>0</v>
      </c>
    </row>
    <row r="5591" spans="1:10" ht="15.75" hidden="1" thickBot="1" x14ac:dyDescent="0.3">
      <c r="A5591" s="247"/>
      <c r="B5591" s="240"/>
      <c r="C5591" s="135"/>
      <c r="D5591" s="135"/>
      <c r="E5591" s="136"/>
      <c r="F5591" s="49" t="s">
        <v>418</v>
      </c>
      <c r="G5591" s="49" t="str">
        <f>IF(ISNUMBER(F5591),E5591*F5591,"")</f>
        <v/>
      </c>
      <c r="H5591" s="65"/>
      <c r="I5591" s="66"/>
      <c r="J5591" s="125">
        <v>0</v>
      </c>
    </row>
    <row r="5592" spans="1:10" ht="26.25" hidden="1" thickBot="1" x14ac:dyDescent="0.3">
      <c r="A5592" s="247"/>
      <c r="B5592" s="240"/>
      <c r="C5592" s="43" t="s">
        <v>657</v>
      </c>
      <c r="D5592" s="135"/>
      <c r="E5592" s="136"/>
      <c r="F5592" s="49" t="s">
        <v>418</v>
      </c>
      <c r="G5592" s="49" t="str">
        <f>IF(ISNUMBER(F5592),E5592*F5592,"")</f>
        <v/>
      </c>
      <c r="H5592" s="65"/>
      <c r="I5592" s="66"/>
      <c r="J5592" s="125">
        <v>0</v>
      </c>
    </row>
    <row r="5593" spans="1:10" ht="15.75" hidden="1" thickBot="1" x14ac:dyDescent="0.3">
      <c r="A5593" s="248"/>
      <c r="B5593" s="239"/>
      <c r="C5593" s="164"/>
      <c r="D5593" s="132"/>
      <c r="E5593" s="61"/>
      <c r="F5593" s="68" t="s">
        <v>418</v>
      </c>
      <c r="G5593" s="68" t="str">
        <f>IF(ISNUMBER(F5593),E5593*F5593,"")</f>
        <v/>
      </c>
      <c r="H5593" s="69"/>
      <c r="I5593" s="66"/>
      <c r="J5593" s="125">
        <v>0</v>
      </c>
    </row>
    <row r="5594" spans="1:10" ht="15.75" hidden="1" thickBot="1" x14ac:dyDescent="0.3">
      <c r="A5594" s="241" t="s">
        <v>13177</v>
      </c>
      <c r="B5594" s="237" t="s">
        <v>12946</v>
      </c>
      <c r="C5594" s="160"/>
      <c r="D5594" s="23" t="s">
        <v>1628</v>
      </c>
      <c r="E5594" s="24"/>
      <c r="F5594" s="44" t="s">
        <v>418</v>
      </c>
      <c r="G5594" s="25" t="str">
        <f>IF(ISNUMBER(F5594),E5594*F5594,"")</f>
        <v/>
      </c>
      <c r="H5594" s="26"/>
      <c r="I5594" s="27"/>
      <c r="J5594" s="125">
        <v>0</v>
      </c>
    </row>
    <row r="5595" spans="1:10" ht="15.75" hidden="1" thickBot="1" x14ac:dyDescent="0.3">
      <c r="A5595" s="247"/>
      <c r="B5595" s="240"/>
      <c r="C5595" s="135"/>
      <c r="D5595" s="135"/>
      <c r="E5595" s="136"/>
      <c r="F5595" s="49" t="s">
        <v>418</v>
      </c>
      <c r="G5595" s="49" t="str">
        <f>IF(ISNUMBER(F5595),E5595*F5595,"")</f>
        <v/>
      </c>
      <c r="H5595" s="65"/>
      <c r="I5595" s="66"/>
      <c r="J5595" s="125">
        <v>0</v>
      </c>
    </row>
    <row r="5596" spans="1:10" ht="15.75" hidden="1" thickBot="1" x14ac:dyDescent="0.3">
      <c r="A5596" s="247"/>
      <c r="B5596" s="240"/>
      <c r="C5596" s="155" t="s">
        <v>1023</v>
      </c>
      <c r="D5596" s="155" t="s">
        <v>587</v>
      </c>
      <c r="E5596" s="130" t="e">
        <f>IF(#REF!="Desonerado",ROUND(220/(1+82.01%),4),ROUND(220/(1+110.69%),4))</f>
        <v>#REF!</v>
      </c>
      <c r="F5596" s="28">
        <v>25.954000000000001</v>
      </c>
      <c r="G5596" s="49" t="e">
        <f>IF(ISNUMBER(F5596),E5596*F5596,"")</f>
        <v>#REF!</v>
      </c>
      <c r="H5596" s="35" t="e">
        <f>SUM(G5596:G5596)</f>
        <v>#REF!</v>
      </c>
      <c r="I5596" s="36"/>
      <c r="J5596" s="125">
        <v>0</v>
      </c>
    </row>
    <row r="5597" spans="1:10" ht="15.75" hidden="1" thickBot="1" x14ac:dyDescent="0.3">
      <c r="A5597" s="247"/>
      <c r="B5597" s="240"/>
      <c r="C5597" s="135"/>
      <c r="D5597" s="135"/>
      <c r="E5597" s="136"/>
      <c r="F5597" s="49" t="s">
        <v>418</v>
      </c>
      <c r="G5597" s="49" t="str">
        <f>IF(ISNUMBER(F5597),E5597*F5597,"")</f>
        <v/>
      </c>
      <c r="H5597" s="65"/>
      <c r="I5597" s="66"/>
      <c r="J5597" s="125">
        <v>0</v>
      </c>
    </row>
    <row r="5598" spans="1:10" ht="26.25" hidden="1" thickBot="1" x14ac:dyDescent="0.3">
      <c r="A5598" s="247"/>
      <c r="B5598" s="240"/>
      <c r="C5598" s="43" t="s">
        <v>657</v>
      </c>
      <c r="D5598" s="135"/>
      <c r="E5598" s="136"/>
      <c r="F5598" s="49" t="s">
        <v>418</v>
      </c>
      <c r="G5598" s="49" t="str">
        <f>IF(ISNUMBER(F5598),E5598*F5598,"")</f>
        <v/>
      </c>
      <c r="H5598" s="65"/>
      <c r="I5598" s="66"/>
      <c r="J5598" s="125">
        <v>0</v>
      </c>
    </row>
    <row r="5599" spans="1:10" ht="15.75" hidden="1" thickBot="1" x14ac:dyDescent="0.3">
      <c r="A5599" s="248"/>
      <c r="B5599" s="239"/>
      <c r="C5599" s="164"/>
      <c r="D5599" s="132"/>
      <c r="E5599" s="61"/>
      <c r="F5599" s="68" t="s">
        <v>418</v>
      </c>
      <c r="G5599" s="68" t="str">
        <f>IF(ISNUMBER(F5599),E5599*F5599,"")</f>
        <v/>
      </c>
      <c r="H5599" s="69"/>
      <c r="I5599" s="66"/>
      <c r="J5599" s="125">
        <v>0</v>
      </c>
    </row>
    <row r="5600" spans="1:10" ht="15.75" hidden="1" thickBot="1" x14ac:dyDescent="0.3">
      <c r="A5600" s="241" t="s">
        <v>13178</v>
      </c>
      <c r="B5600" s="237" t="s">
        <v>12947</v>
      </c>
      <c r="C5600" s="160"/>
      <c r="D5600" s="23" t="s">
        <v>1628</v>
      </c>
      <c r="E5600" s="24"/>
      <c r="F5600" s="44" t="s">
        <v>418</v>
      </c>
      <c r="G5600" s="25" t="str">
        <f>IF(ISNUMBER(F5600),E5600*F5600,"")</f>
        <v/>
      </c>
      <c r="H5600" s="26"/>
      <c r="I5600" s="27"/>
      <c r="J5600" s="125">
        <v>0</v>
      </c>
    </row>
    <row r="5601" spans="1:10" ht="15.75" hidden="1" thickBot="1" x14ac:dyDescent="0.3">
      <c r="A5601" s="247"/>
      <c r="B5601" s="240"/>
      <c r="C5601" s="135"/>
      <c r="D5601" s="135"/>
      <c r="E5601" s="136"/>
      <c r="F5601" s="49" t="s">
        <v>418</v>
      </c>
      <c r="G5601" s="49" t="str">
        <f>IF(ISNUMBER(F5601),E5601*F5601,"")</f>
        <v/>
      </c>
      <c r="H5601" s="65"/>
      <c r="I5601" s="66"/>
      <c r="J5601" s="125">
        <v>0</v>
      </c>
    </row>
    <row r="5602" spans="1:10" ht="15.75" hidden="1" thickBot="1" x14ac:dyDescent="0.3">
      <c r="A5602" s="247"/>
      <c r="B5602" s="240"/>
      <c r="C5602" s="155" t="s">
        <v>1023</v>
      </c>
      <c r="D5602" s="155" t="s">
        <v>587</v>
      </c>
      <c r="E5602" s="130" t="e">
        <f>IF(#REF!="Desonerado",ROUND(220/(1+82.01%),4),ROUND(220/(1+110.69%),4))</f>
        <v>#REF!</v>
      </c>
      <c r="F5602" s="28">
        <v>25.954000000000001</v>
      </c>
      <c r="G5602" s="49" t="e">
        <f>IF(ISNUMBER(F5602),E5602*F5602,"")</f>
        <v>#REF!</v>
      </c>
      <c r="H5602" s="35" t="e">
        <f>SUM(G5602:G5602)</f>
        <v>#REF!</v>
      </c>
      <c r="I5602" s="36"/>
      <c r="J5602" s="125">
        <v>0</v>
      </c>
    </row>
    <row r="5603" spans="1:10" ht="15.75" hidden="1" thickBot="1" x14ac:dyDescent="0.3">
      <c r="A5603" s="247"/>
      <c r="B5603" s="240"/>
      <c r="C5603" s="135"/>
      <c r="D5603" s="135"/>
      <c r="E5603" s="136"/>
      <c r="F5603" s="49" t="s">
        <v>418</v>
      </c>
      <c r="G5603" s="49" t="str">
        <f>IF(ISNUMBER(F5603),E5603*F5603,"")</f>
        <v/>
      </c>
      <c r="H5603" s="65"/>
      <c r="I5603" s="66"/>
      <c r="J5603" s="125">
        <v>0</v>
      </c>
    </row>
    <row r="5604" spans="1:10" ht="26.25" hidden="1" thickBot="1" x14ac:dyDescent="0.3">
      <c r="A5604" s="247"/>
      <c r="B5604" s="240"/>
      <c r="C5604" s="43" t="s">
        <v>657</v>
      </c>
      <c r="D5604" s="135"/>
      <c r="E5604" s="136"/>
      <c r="F5604" s="49" t="s">
        <v>418</v>
      </c>
      <c r="G5604" s="49" t="str">
        <f>IF(ISNUMBER(F5604),E5604*F5604,"")</f>
        <v/>
      </c>
      <c r="H5604" s="65"/>
      <c r="I5604" s="66"/>
      <c r="J5604" s="125">
        <v>0</v>
      </c>
    </row>
    <row r="5605" spans="1:10" ht="15.75" hidden="1" thickBot="1" x14ac:dyDescent="0.3">
      <c r="A5605" s="248"/>
      <c r="B5605" s="239"/>
      <c r="C5605" s="164"/>
      <c r="D5605" s="132"/>
      <c r="E5605" s="61"/>
      <c r="F5605" s="68" t="s">
        <v>418</v>
      </c>
      <c r="G5605" s="68" t="str">
        <f>IF(ISNUMBER(F5605),E5605*F5605,"")</f>
        <v/>
      </c>
      <c r="H5605" s="69"/>
      <c r="I5605" s="66"/>
      <c r="J5605" s="125">
        <v>0</v>
      </c>
    </row>
    <row r="5606" spans="1:10" ht="15.75" hidden="1" thickBot="1" x14ac:dyDescent="0.3">
      <c r="A5606" s="234" t="s">
        <v>13179</v>
      </c>
      <c r="B5606" s="237" t="s">
        <v>12948</v>
      </c>
      <c r="C5606" s="160"/>
      <c r="D5606" s="23" t="s">
        <v>28</v>
      </c>
      <c r="E5606" s="24"/>
      <c r="F5606" s="44" t="s">
        <v>418</v>
      </c>
      <c r="G5606" s="25" t="str">
        <f>IF(ISNUMBER(F5606),E5606*F5606,"")</f>
        <v/>
      </c>
      <c r="H5606" s="26"/>
      <c r="I5606" s="27"/>
      <c r="J5606" s="125">
        <v>0</v>
      </c>
    </row>
    <row r="5607" spans="1:10" ht="15.75" hidden="1" thickBot="1" x14ac:dyDescent="0.3">
      <c r="A5607" s="249"/>
      <c r="B5607" s="240"/>
      <c r="C5607" s="135"/>
      <c r="D5607" s="135"/>
      <c r="E5607" s="136"/>
      <c r="F5607" s="49" t="s">
        <v>418</v>
      </c>
      <c r="G5607" s="49" t="str">
        <f>IF(ISNUMBER(F5607),E5607*F5607,"")</f>
        <v/>
      </c>
      <c r="H5607" s="65"/>
      <c r="I5607" s="66"/>
      <c r="J5607" s="125">
        <v>0</v>
      </c>
    </row>
    <row r="5608" spans="1:10" ht="26.25" hidden="1" thickBot="1" x14ac:dyDescent="0.3">
      <c r="A5608" s="249"/>
      <c r="B5608" s="240"/>
      <c r="C5608" s="155" t="s">
        <v>10248</v>
      </c>
      <c r="D5608" s="155" t="s">
        <v>774</v>
      </c>
      <c r="E5608" s="130">
        <v>1</v>
      </c>
      <c r="F5608" s="28">
        <v>13.375999999999999</v>
      </c>
      <c r="G5608" s="49">
        <f>IF(ISNUMBER(F5608),E5608*F5608,"")</f>
        <v>13.375999999999999</v>
      </c>
      <c r="H5608" s="35">
        <f>SUM(G5608:G5608)</f>
        <v>13.375999999999999</v>
      </c>
      <c r="I5608" s="36"/>
      <c r="J5608" s="125">
        <v>0</v>
      </c>
    </row>
    <row r="5609" spans="1:10" ht="15.75" hidden="1" thickBot="1" x14ac:dyDescent="0.3">
      <c r="A5609" s="250"/>
      <c r="B5609" s="239"/>
      <c r="C5609" s="164"/>
      <c r="D5609" s="132"/>
      <c r="E5609" s="61"/>
      <c r="F5609" s="68" t="s">
        <v>418</v>
      </c>
      <c r="G5609" s="68" t="str">
        <f>IF(ISNUMBER(F5609),E5609*F5609,"")</f>
        <v/>
      </c>
      <c r="H5609" s="69"/>
      <c r="I5609" s="66"/>
      <c r="J5609" s="125">
        <v>0</v>
      </c>
    </row>
    <row r="5610" spans="1:10" ht="15.75" hidden="1" thickBot="1" x14ac:dyDescent="0.3">
      <c r="A5610" s="234" t="s">
        <v>13180</v>
      </c>
      <c r="B5610" s="237" t="s">
        <v>12949</v>
      </c>
      <c r="C5610" s="160"/>
      <c r="D5610" s="23" t="s">
        <v>28</v>
      </c>
      <c r="E5610" s="24"/>
      <c r="F5610" s="44" t="s">
        <v>418</v>
      </c>
      <c r="G5610" s="25" t="str">
        <f>IF(ISNUMBER(F5610),E5610*F5610,"")</f>
        <v/>
      </c>
      <c r="H5610" s="26"/>
      <c r="I5610" s="27"/>
      <c r="J5610" s="125">
        <v>0</v>
      </c>
    </row>
    <row r="5611" spans="1:10" ht="15.75" hidden="1" thickBot="1" x14ac:dyDescent="0.3">
      <c r="A5611" s="249"/>
      <c r="B5611" s="240"/>
      <c r="C5611" s="135"/>
      <c r="D5611" s="135"/>
      <c r="E5611" s="136"/>
      <c r="F5611" s="49" t="s">
        <v>418</v>
      </c>
      <c r="G5611" s="49" t="str">
        <f>IF(ISNUMBER(F5611),E5611*F5611,"")</f>
        <v/>
      </c>
      <c r="H5611" s="65"/>
      <c r="I5611" s="66"/>
      <c r="J5611" s="125">
        <v>0</v>
      </c>
    </row>
    <row r="5612" spans="1:10" ht="26.25" hidden="1" thickBot="1" x14ac:dyDescent="0.3">
      <c r="A5612" s="249"/>
      <c r="B5612" s="240"/>
      <c r="C5612" s="155" t="s">
        <v>91</v>
      </c>
      <c r="D5612" s="155" t="s">
        <v>774</v>
      </c>
      <c r="E5612" s="130">
        <v>1</v>
      </c>
      <c r="F5612" s="28">
        <v>9.9085000000000001</v>
      </c>
      <c r="G5612" s="49">
        <f>IF(ISNUMBER(F5612),E5612*F5612,"")</f>
        <v>9.9085000000000001</v>
      </c>
      <c r="H5612" s="35">
        <f>SUM(G5612:G5612)</f>
        <v>9.9085000000000001</v>
      </c>
      <c r="I5612" s="36"/>
      <c r="J5612" s="125">
        <v>0</v>
      </c>
    </row>
    <row r="5613" spans="1:10" ht="15.75" hidden="1" thickBot="1" x14ac:dyDescent="0.3">
      <c r="A5613" s="250"/>
      <c r="B5613" s="239"/>
      <c r="C5613" s="164"/>
      <c r="D5613" s="132"/>
      <c r="E5613" s="61"/>
      <c r="F5613" s="68" t="s">
        <v>418</v>
      </c>
      <c r="G5613" s="68" t="str">
        <f>IF(ISNUMBER(F5613),E5613*F5613,"")</f>
        <v/>
      </c>
      <c r="H5613" s="69"/>
      <c r="I5613" s="66"/>
      <c r="J5613" s="125">
        <v>0</v>
      </c>
    </row>
    <row r="5614" spans="1:10" ht="15.75" hidden="1" thickBot="1" x14ac:dyDescent="0.3">
      <c r="A5614" s="234" t="s">
        <v>13181</v>
      </c>
      <c r="B5614" s="237" t="s">
        <v>12950</v>
      </c>
      <c r="C5614" s="160"/>
      <c r="D5614" s="23" t="s">
        <v>16</v>
      </c>
      <c r="E5614" s="24"/>
      <c r="F5614" s="44" t="s">
        <v>418</v>
      </c>
      <c r="G5614" s="25" t="str">
        <f>IF(ISNUMBER(F5614),E5614*F5614,"")</f>
        <v/>
      </c>
      <c r="H5614" s="26"/>
      <c r="I5614" s="27"/>
      <c r="J5614" s="125">
        <v>0</v>
      </c>
    </row>
    <row r="5615" spans="1:10" ht="15.75" hidden="1" thickBot="1" x14ac:dyDescent="0.3">
      <c r="A5615" s="249"/>
      <c r="B5615" s="240"/>
      <c r="C5615" s="135"/>
      <c r="D5615" s="135"/>
      <c r="E5615" s="136"/>
      <c r="F5615" s="49" t="s">
        <v>418</v>
      </c>
      <c r="G5615" s="49" t="str">
        <f>IF(ISNUMBER(F5615),E5615*F5615,"")</f>
        <v/>
      </c>
      <c r="H5615" s="65"/>
      <c r="I5615" s="66"/>
      <c r="J5615" s="125">
        <v>0</v>
      </c>
    </row>
    <row r="5616" spans="1:10" ht="26.25" hidden="1" thickBot="1" x14ac:dyDescent="0.3">
      <c r="A5616" s="249"/>
      <c r="B5616" s="240"/>
      <c r="C5616" s="155" t="s">
        <v>24637</v>
      </c>
      <c r="D5616" s="155" t="s">
        <v>205</v>
      </c>
      <c r="E5616" s="130">
        <v>1</v>
      </c>
      <c r="F5616" s="28">
        <v>8.2934999999999999</v>
      </c>
      <c r="G5616" s="49">
        <f>IF(ISNUMBER(F5616),E5616*F5616,"")</f>
        <v>8.2934999999999999</v>
      </c>
      <c r="H5616" s="35">
        <f>SUM(G5616:G5616)</f>
        <v>8.2934999999999999</v>
      </c>
      <c r="I5616" s="36"/>
      <c r="J5616" s="125">
        <v>0</v>
      </c>
    </row>
    <row r="5617" spans="1:10" ht="15.75" hidden="1" thickBot="1" x14ac:dyDescent="0.3">
      <c r="A5617" s="250"/>
      <c r="B5617" s="239"/>
      <c r="C5617" s="164"/>
      <c r="D5617" s="132"/>
      <c r="E5617" s="61"/>
      <c r="F5617" s="68" t="s">
        <v>418</v>
      </c>
      <c r="G5617" s="68" t="str">
        <f>IF(ISNUMBER(F5617),E5617*F5617,"")</f>
        <v/>
      </c>
      <c r="H5617" s="69"/>
      <c r="I5617" s="66"/>
      <c r="J5617" s="125">
        <v>0</v>
      </c>
    </row>
    <row r="5618" spans="1:10" ht="15.75" hidden="1" thickBot="1" x14ac:dyDescent="0.3">
      <c r="A5618" s="234" t="s">
        <v>13182</v>
      </c>
      <c r="B5618" s="237" t="s">
        <v>12951</v>
      </c>
      <c r="C5618" s="160"/>
      <c r="D5618" s="23" t="s">
        <v>16</v>
      </c>
      <c r="E5618" s="24"/>
      <c r="F5618" s="44" t="s">
        <v>418</v>
      </c>
      <c r="G5618" s="25" t="str">
        <f>IF(ISNUMBER(F5618),E5618*F5618,"")</f>
        <v/>
      </c>
      <c r="H5618" s="26"/>
      <c r="I5618" s="27"/>
      <c r="J5618" s="125">
        <v>0</v>
      </c>
    </row>
    <row r="5619" spans="1:10" ht="15.75" hidden="1" thickBot="1" x14ac:dyDescent="0.3">
      <c r="A5619" s="249"/>
      <c r="B5619" s="240"/>
      <c r="C5619" s="135"/>
      <c r="D5619" s="135"/>
      <c r="E5619" s="136"/>
      <c r="F5619" s="49" t="s">
        <v>418</v>
      </c>
      <c r="G5619" s="49" t="str">
        <f>IF(ISNUMBER(F5619),E5619*F5619,"")</f>
        <v/>
      </c>
      <c r="H5619" s="65"/>
      <c r="I5619" s="66"/>
      <c r="J5619" s="125">
        <v>0</v>
      </c>
    </row>
    <row r="5620" spans="1:10" ht="26.25" hidden="1" thickBot="1" x14ac:dyDescent="0.3">
      <c r="A5620" s="249"/>
      <c r="B5620" s="240"/>
      <c r="C5620" s="155" t="s">
        <v>24635</v>
      </c>
      <c r="D5620" s="155" t="s">
        <v>205</v>
      </c>
      <c r="E5620" s="130">
        <v>1</v>
      </c>
      <c r="F5620" s="28">
        <v>13.936499999999999</v>
      </c>
      <c r="G5620" s="49">
        <f>IF(ISNUMBER(F5620),E5620*F5620,"")</f>
        <v>13.936499999999999</v>
      </c>
      <c r="H5620" s="35">
        <f>SUM(G5620:G5620)</f>
        <v>13.936499999999999</v>
      </c>
      <c r="I5620" s="36"/>
      <c r="J5620" s="125">
        <v>0</v>
      </c>
    </row>
    <row r="5621" spans="1:10" ht="15.75" hidden="1" thickBot="1" x14ac:dyDescent="0.3">
      <c r="A5621" s="250"/>
      <c r="B5621" s="239"/>
      <c r="C5621" s="164"/>
      <c r="D5621" s="132"/>
      <c r="E5621" s="61"/>
      <c r="F5621" s="68" t="s">
        <v>418</v>
      </c>
      <c r="G5621" s="68" t="str">
        <f>IF(ISNUMBER(F5621),E5621*F5621,"")</f>
        <v/>
      </c>
      <c r="H5621" s="69"/>
      <c r="I5621" s="66"/>
      <c r="J5621" s="125">
        <v>0</v>
      </c>
    </row>
    <row r="5622" spans="1:10" ht="15.75" hidden="1" thickBot="1" x14ac:dyDescent="0.3">
      <c r="A5622" s="234" t="s">
        <v>13183</v>
      </c>
      <c r="B5622" s="237" t="s">
        <v>12952</v>
      </c>
      <c r="C5622" s="160"/>
      <c r="D5622" s="23" t="s">
        <v>16</v>
      </c>
      <c r="E5622" s="24"/>
      <c r="F5622" s="44" t="s">
        <v>418</v>
      </c>
      <c r="G5622" s="25" t="str">
        <f>IF(ISNUMBER(F5622),E5622*F5622,"")</f>
        <v/>
      </c>
      <c r="H5622" s="26"/>
      <c r="I5622" s="27"/>
      <c r="J5622" s="125">
        <v>0</v>
      </c>
    </row>
    <row r="5623" spans="1:10" ht="15.75" hidden="1" thickBot="1" x14ac:dyDescent="0.3">
      <c r="A5623" s="249"/>
      <c r="B5623" s="240"/>
      <c r="C5623" s="135"/>
      <c r="D5623" s="135"/>
      <c r="E5623" s="136"/>
      <c r="F5623" s="49" t="s">
        <v>418</v>
      </c>
      <c r="G5623" s="49" t="str">
        <f>IF(ISNUMBER(F5623),E5623*F5623,"")</f>
        <v/>
      </c>
      <c r="H5623" s="65"/>
      <c r="I5623" s="66"/>
      <c r="J5623" s="125">
        <v>0</v>
      </c>
    </row>
    <row r="5624" spans="1:10" ht="26.25" hidden="1" thickBot="1" x14ac:dyDescent="0.3">
      <c r="A5624" s="249"/>
      <c r="B5624" s="240"/>
      <c r="C5624" s="155" t="s">
        <v>38840</v>
      </c>
      <c r="D5624" s="155" t="s">
        <v>205</v>
      </c>
      <c r="E5624" s="130">
        <v>1</v>
      </c>
      <c r="F5624" s="28">
        <v>17.081</v>
      </c>
      <c r="G5624" s="49">
        <f>IF(ISNUMBER(F5624),E5624*F5624,"")</f>
        <v>17.081</v>
      </c>
      <c r="H5624" s="35">
        <f>SUM(G5624:G5624)</f>
        <v>17.081</v>
      </c>
      <c r="I5624" s="36"/>
      <c r="J5624" s="125">
        <v>0</v>
      </c>
    </row>
    <row r="5625" spans="1:10" ht="15.75" hidden="1" thickBot="1" x14ac:dyDescent="0.3">
      <c r="A5625" s="250"/>
      <c r="B5625" s="239"/>
      <c r="C5625" s="164"/>
      <c r="D5625" s="132"/>
      <c r="E5625" s="61"/>
      <c r="F5625" s="68" t="s">
        <v>418</v>
      </c>
      <c r="G5625" s="68" t="str">
        <f>IF(ISNUMBER(F5625),E5625*F5625,"")</f>
        <v/>
      </c>
      <c r="H5625" s="69"/>
      <c r="I5625" s="66"/>
      <c r="J5625" s="125">
        <v>0</v>
      </c>
    </row>
    <row r="5626" spans="1:10" ht="15.75" hidden="1" thickBot="1" x14ac:dyDescent="0.3">
      <c r="A5626" s="234" t="s">
        <v>13184</v>
      </c>
      <c r="B5626" s="237" t="s">
        <v>12953</v>
      </c>
      <c r="C5626" s="160"/>
      <c r="D5626" s="23" t="s">
        <v>16</v>
      </c>
      <c r="E5626" s="24"/>
      <c r="F5626" s="44" t="s">
        <v>418</v>
      </c>
      <c r="G5626" s="25" t="str">
        <f>IF(ISNUMBER(F5626),E5626*F5626,"")</f>
        <v/>
      </c>
      <c r="H5626" s="26"/>
      <c r="I5626" s="27"/>
      <c r="J5626" s="125">
        <v>0</v>
      </c>
    </row>
    <row r="5627" spans="1:10" ht="15.75" hidden="1" thickBot="1" x14ac:dyDescent="0.3">
      <c r="A5627" s="249"/>
      <c r="B5627" s="240"/>
      <c r="C5627" s="135"/>
      <c r="D5627" s="135"/>
      <c r="E5627" s="136"/>
      <c r="F5627" s="49" t="s">
        <v>418</v>
      </c>
      <c r="G5627" s="49" t="str">
        <f>IF(ISNUMBER(F5627),E5627*F5627,"")</f>
        <v/>
      </c>
      <c r="H5627" s="65"/>
      <c r="I5627" s="66"/>
      <c r="J5627" s="125">
        <v>0</v>
      </c>
    </row>
    <row r="5628" spans="1:10" ht="26.25" hidden="1" thickBot="1" x14ac:dyDescent="0.3">
      <c r="A5628" s="249"/>
      <c r="B5628" s="240"/>
      <c r="C5628" s="155" t="s">
        <v>24632</v>
      </c>
      <c r="D5628" s="155" t="s">
        <v>205</v>
      </c>
      <c r="E5628" s="130">
        <v>1</v>
      </c>
      <c r="F5628" s="28">
        <v>22.704999999999998</v>
      </c>
      <c r="G5628" s="49">
        <f>IF(ISNUMBER(F5628),E5628*F5628,"")</f>
        <v>22.704999999999998</v>
      </c>
      <c r="H5628" s="35">
        <f>SUM(G5628:G5628)</f>
        <v>22.704999999999998</v>
      </c>
      <c r="I5628" s="36"/>
      <c r="J5628" s="125">
        <v>0</v>
      </c>
    </row>
    <row r="5629" spans="1:10" ht="15.75" hidden="1" thickBot="1" x14ac:dyDescent="0.3">
      <c r="A5629" s="250"/>
      <c r="B5629" s="239"/>
      <c r="C5629" s="164"/>
      <c r="D5629" s="132"/>
      <c r="E5629" s="61"/>
      <c r="F5629" s="68" t="s">
        <v>418</v>
      </c>
      <c r="G5629" s="68" t="str">
        <f>IF(ISNUMBER(F5629),E5629*F5629,"")</f>
        <v/>
      </c>
      <c r="H5629" s="69"/>
      <c r="I5629" s="66"/>
      <c r="J5629" s="125">
        <v>0</v>
      </c>
    </row>
    <row r="5630" spans="1:10" ht="15.75" hidden="1" thickBot="1" x14ac:dyDescent="0.3">
      <c r="A5630" s="234" t="s">
        <v>13185</v>
      </c>
      <c r="B5630" s="237" t="s">
        <v>13571</v>
      </c>
      <c r="C5630" s="160"/>
      <c r="D5630" s="23" t="s">
        <v>16</v>
      </c>
      <c r="E5630" s="24"/>
      <c r="F5630" s="44" t="s">
        <v>418</v>
      </c>
      <c r="G5630" s="25" t="str">
        <f>IF(ISNUMBER(F5630),E5630*F5630,"")</f>
        <v/>
      </c>
      <c r="H5630" s="26"/>
      <c r="I5630" s="27"/>
      <c r="J5630" s="125">
        <v>0</v>
      </c>
    </row>
    <row r="5631" spans="1:10" ht="15.75" hidden="1" thickBot="1" x14ac:dyDescent="0.3">
      <c r="A5631" s="249"/>
      <c r="B5631" s="240"/>
      <c r="C5631" s="135"/>
      <c r="D5631" s="135"/>
      <c r="E5631" s="136"/>
      <c r="F5631" s="49" t="s">
        <v>418</v>
      </c>
      <c r="G5631" s="49" t="str">
        <f>IF(ISNUMBER(F5631),E5631*F5631,"")</f>
        <v/>
      </c>
      <c r="H5631" s="65"/>
      <c r="I5631" s="66"/>
      <c r="J5631" s="125">
        <v>0</v>
      </c>
    </row>
    <row r="5632" spans="1:10" ht="26.25" hidden="1" thickBot="1" x14ac:dyDescent="0.3">
      <c r="A5632" s="249"/>
      <c r="B5632" s="240"/>
      <c r="C5632" s="155" t="s">
        <v>24636</v>
      </c>
      <c r="D5632" s="155" t="s">
        <v>205</v>
      </c>
      <c r="E5632" s="130">
        <v>1</v>
      </c>
      <c r="F5632" s="28">
        <v>33.307000000000002</v>
      </c>
      <c r="G5632" s="49">
        <f>IF(ISNUMBER(F5632),E5632*F5632,"")</f>
        <v>33.307000000000002</v>
      </c>
      <c r="H5632" s="35">
        <f>SUM(G5632:G5632)</f>
        <v>33.307000000000002</v>
      </c>
      <c r="I5632" s="36"/>
      <c r="J5632" s="125">
        <v>0</v>
      </c>
    </row>
    <row r="5633" spans="1:10" ht="15.75" hidden="1" thickBot="1" x14ac:dyDescent="0.3">
      <c r="A5633" s="250"/>
      <c r="B5633" s="239"/>
      <c r="C5633" s="164"/>
      <c r="D5633" s="132"/>
      <c r="E5633" s="61"/>
      <c r="F5633" s="68" t="s">
        <v>418</v>
      </c>
      <c r="G5633" s="68" t="str">
        <f>IF(ISNUMBER(F5633),E5633*F5633,"")</f>
        <v/>
      </c>
      <c r="H5633" s="69"/>
      <c r="I5633" s="66"/>
      <c r="J5633" s="125">
        <v>0</v>
      </c>
    </row>
    <row r="5634" spans="1:10" ht="15.75" hidden="1" thickBot="1" x14ac:dyDescent="0.3">
      <c r="A5634" s="234" t="s">
        <v>13186</v>
      </c>
      <c r="B5634" s="237" t="s">
        <v>12954</v>
      </c>
      <c r="C5634" s="160"/>
      <c r="D5634" s="23" t="s">
        <v>16</v>
      </c>
      <c r="E5634" s="24"/>
      <c r="F5634" s="44" t="s">
        <v>418</v>
      </c>
      <c r="G5634" s="25" t="str">
        <f>IF(ISNUMBER(F5634),E5634*F5634,"")</f>
        <v/>
      </c>
      <c r="H5634" s="26"/>
      <c r="I5634" s="27"/>
      <c r="J5634" s="125">
        <v>0</v>
      </c>
    </row>
    <row r="5635" spans="1:10" ht="15.75" hidden="1" thickBot="1" x14ac:dyDescent="0.3">
      <c r="A5635" s="249"/>
      <c r="B5635" s="240"/>
      <c r="C5635" s="135"/>
      <c r="D5635" s="135"/>
      <c r="E5635" s="136"/>
      <c r="F5635" s="49" t="s">
        <v>418</v>
      </c>
      <c r="G5635" s="49" t="str">
        <f>IF(ISNUMBER(F5635),E5635*F5635,"")</f>
        <v/>
      </c>
      <c r="H5635" s="65"/>
      <c r="I5635" s="66"/>
      <c r="J5635" s="125">
        <v>0</v>
      </c>
    </row>
    <row r="5636" spans="1:10" ht="26.25" hidden="1" thickBot="1" x14ac:dyDescent="0.3">
      <c r="A5636" s="249"/>
      <c r="B5636" s="240"/>
      <c r="C5636" s="155" t="s">
        <v>24638</v>
      </c>
      <c r="D5636" s="155" t="s">
        <v>205</v>
      </c>
      <c r="E5636" s="130">
        <v>1</v>
      </c>
      <c r="F5636" s="28">
        <v>92.49199999999999</v>
      </c>
      <c r="G5636" s="49">
        <f>IF(ISNUMBER(F5636),E5636*F5636,"")</f>
        <v>92.49199999999999</v>
      </c>
      <c r="H5636" s="35">
        <f>SUM(G5636:G5636)</f>
        <v>92.49199999999999</v>
      </c>
      <c r="I5636" s="36"/>
      <c r="J5636" s="125">
        <v>0</v>
      </c>
    </row>
    <row r="5637" spans="1:10" ht="15.75" hidden="1" thickBot="1" x14ac:dyDescent="0.3">
      <c r="A5637" s="250"/>
      <c r="B5637" s="239"/>
      <c r="C5637" s="164"/>
      <c r="D5637" s="132"/>
      <c r="E5637" s="61"/>
      <c r="F5637" s="68" t="s">
        <v>418</v>
      </c>
      <c r="G5637" s="68" t="str">
        <f>IF(ISNUMBER(F5637),E5637*F5637,"")</f>
        <v/>
      </c>
      <c r="H5637" s="69"/>
      <c r="I5637" s="66"/>
      <c r="J5637" s="125">
        <v>0</v>
      </c>
    </row>
    <row r="5638" spans="1:10" ht="15.75" hidden="1" thickBot="1" x14ac:dyDescent="0.3">
      <c r="A5638" s="234" t="s">
        <v>13187</v>
      </c>
      <c r="B5638" s="237" t="s">
        <v>12955</v>
      </c>
      <c r="C5638" s="160"/>
      <c r="D5638" s="23" t="s">
        <v>16</v>
      </c>
      <c r="E5638" s="24"/>
      <c r="F5638" s="44" t="s">
        <v>418</v>
      </c>
      <c r="G5638" s="25" t="str">
        <f>IF(ISNUMBER(F5638),E5638*F5638,"")</f>
        <v/>
      </c>
      <c r="H5638" s="26"/>
      <c r="I5638" s="27"/>
      <c r="J5638" s="125">
        <v>0</v>
      </c>
    </row>
    <row r="5639" spans="1:10" ht="15.75" hidden="1" thickBot="1" x14ac:dyDescent="0.3">
      <c r="A5639" s="249"/>
      <c r="B5639" s="240"/>
      <c r="C5639" s="135"/>
      <c r="D5639" s="135"/>
      <c r="E5639" s="136"/>
      <c r="F5639" s="49" t="s">
        <v>418</v>
      </c>
      <c r="G5639" s="49" t="str">
        <f>IF(ISNUMBER(F5639),E5639*F5639,"")</f>
        <v/>
      </c>
      <c r="H5639" s="65"/>
      <c r="I5639" s="66"/>
      <c r="J5639" s="125">
        <v>0</v>
      </c>
    </row>
    <row r="5640" spans="1:10" ht="26.25" hidden="1" thickBot="1" x14ac:dyDescent="0.3">
      <c r="A5640" s="249"/>
      <c r="B5640" s="240"/>
      <c r="C5640" s="155" t="s">
        <v>24630</v>
      </c>
      <c r="D5640" s="155" t="s">
        <v>205</v>
      </c>
      <c r="E5640" s="130">
        <v>1</v>
      </c>
      <c r="F5640" s="28">
        <v>169.77449999999999</v>
      </c>
      <c r="G5640" s="49">
        <f>IF(ISNUMBER(F5640),E5640*F5640,"")</f>
        <v>169.77449999999999</v>
      </c>
      <c r="H5640" s="35">
        <f>SUM(G5640:G5640)</f>
        <v>169.77449999999999</v>
      </c>
      <c r="I5640" s="36"/>
      <c r="J5640" s="125">
        <v>0</v>
      </c>
    </row>
    <row r="5641" spans="1:10" ht="15.75" hidden="1" thickBot="1" x14ac:dyDescent="0.3">
      <c r="A5641" s="250"/>
      <c r="B5641" s="239"/>
      <c r="C5641" s="164"/>
      <c r="D5641" s="132"/>
      <c r="E5641" s="61"/>
      <c r="F5641" s="68" t="s">
        <v>418</v>
      </c>
      <c r="G5641" s="68" t="str">
        <f>IF(ISNUMBER(F5641),E5641*F5641,"")</f>
        <v/>
      </c>
      <c r="H5641" s="69"/>
      <c r="I5641" s="66"/>
      <c r="J5641" s="125">
        <v>0</v>
      </c>
    </row>
    <row r="5642" spans="1:10" ht="15.75" hidden="1" thickBot="1" x14ac:dyDescent="0.3">
      <c r="A5642" s="234" t="s">
        <v>13188</v>
      </c>
      <c r="B5642" s="237" t="s">
        <v>12956</v>
      </c>
      <c r="C5642" s="160"/>
      <c r="D5642" s="23" t="s">
        <v>16</v>
      </c>
      <c r="E5642" s="24"/>
      <c r="F5642" s="44" t="s">
        <v>418</v>
      </c>
      <c r="G5642" s="25" t="str">
        <f>IF(ISNUMBER(F5642),E5642*F5642,"")</f>
        <v/>
      </c>
      <c r="H5642" s="26"/>
      <c r="I5642" s="27"/>
      <c r="J5642" s="125">
        <v>0</v>
      </c>
    </row>
    <row r="5643" spans="1:10" ht="15.75" hidden="1" thickBot="1" x14ac:dyDescent="0.3">
      <c r="A5643" s="249"/>
      <c r="B5643" s="240"/>
      <c r="C5643" s="135"/>
      <c r="D5643" s="135"/>
      <c r="E5643" s="136"/>
      <c r="F5643" s="49" t="s">
        <v>418</v>
      </c>
      <c r="G5643" s="49" t="str">
        <f>IF(ISNUMBER(F5643),E5643*F5643,"")</f>
        <v/>
      </c>
      <c r="H5643" s="65"/>
      <c r="I5643" s="66"/>
      <c r="J5643" s="125">
        <v>0</v>
      </c>
    </row>
    <row r="5644" spans="1:10" ht="15.75" hidden="1" thickBot="1" x14ac:dyDescent="0.3">
      <c r="A5644" s="249"/>
      <c r="B5644" s="240"/>
      <c r="C5644" s="155" t="s">
        <v>27456</v>
      </c>
      <c r="D5644" s="155" t="s">
        <v>205</v>
      </c>
      <c r="E5644" s="130">
        <v>1</v>
      </c>
      <c r="F5644" s="28">
        <v>2.9164999999999996</v>
      </c>
      <c r="G5644" s="49">
        <f>IF(ISNUMBER(F5644),E5644*F5644,"")</f>
        <v>2.9164999999999996</v>
      </c>
      <c r="H5644" s="35">
        <f>SUM(G5644:G5644)</f>
        <v>2.9164999999999996</v>
      </c>
      <c r="I5644" s="36"/>
      <c r="J5644" s="125">
        <v>0</v>
      </c>
    </row>
    <row r="5645" spans="1:10" ht="15.75" hidden="1" thickBot="1" x14ac:dyDescent="0.3">
      <c r="A5645" s="250"/>
      <c r="B5645" s="239"/>
      <c r="C5645" s="164"/>
      <c r="D5645" s="132"/>
      <c r="E5645" s="61"/>
      <c r="F5645" s="68" t="s">
        <v>418</v>
      </c>
      <c r="G5645" s="68" t="str">
        <f>IF(ISNUMBER(F5645),E5645*F5645,"")</f>
        <v/>
      </c>
      <c r="H5645" s="69"/>
      <c r="I5645" s="66"/>
      <c r="J5645" s="125">
        <v>0</v>
      </c>
    </row>
    <row r="5646" spans="1:10" ht="15.75" hidden="1" thickBot="1" x14ac:dyDescent="0.3">
      <c r="A5646" s="234" t="s">
        <v>13189</v>
      </c>
      <c r="B5646" s="237" t="s">
        <v>12957</v>
      </c>
      <c r="C5646" s="160"/>
      <c r="D5646" s="23" t="s">
        <v>16</v>
      </c>
      <c r="E5646" s="24"/>
      <c r="F5646" s="44" t="s">
        <v>418</v>
      </c>
      <c r="G5646" s="25" t="str">
        <f>IF(ISNUMBER(F5646),E5646*F5646,"")</f>
        <v/>
      </c>
      <c r="H5646" s="26"/>
      <c r="I5646" s="27"/>
      <c r="J5646" s="125">
        <v>0</v>
      </c>
    </row>
    <row r="5647" spans="1:10" ht="15.75" hidden="1" thickBot="1" x14ac:dyDescent="0.3">
      <c r="A5647" s="249"/>
      <c r="B5647" s="240"/>
      <c r="C5647" s="135"/>
      <c r="D5647" s="135"/>
      <c r="E5647" s="136"/>
      <c r="F5647" s="49" t="s">
        <v>418</v>
      </c>
      <c r="G5647" s="49" t="str">
        <f>IF(ISNUMBER(F5647),E5647*F5647,"")</f>
        <v/>
      </c>
      <c r="H5647" s="65"/>
      <c r="I5647" s="66"/>
      <c r="J5647" s="125">
        <v>0</v>
      </c>
    </row>
    <row r="5648" spans="1:10" ht="26.25" hidden="1" thickBot="1" x14ac:dyDescent="0.3">
      <c r="A5648" s="249"/>
      <c r="B5648" s="240"/>
      <c r="C5648" s="155" t="s">
        <v>27779</v>
      </c>
      <c r="D5648" s="155" t="s">
        <v>205</v>
      </c>
      <c r="E5648" s="130">
        <v>1</v>
      </c>
      <c r="F5648" s="28">
        <v>2.7645</v>
      </c>
      <c r="G5648" s="49">
        <f>IF(ISNUMBER(F5648),E5648*F5648,"")</f>
        <v>2.7645</v>
      </c>
      <c r="H5648" s="35">
        <f>SUM(G5648:G5648)</f>
        <v>2.7645</v>
      </c>
      <c r="I5648" s="36"/>
      <c r="J5648" s="125">
        <v>0</v>
      </c>
    </row>
    <row r="5649" spans="1:10" ht="15.75" hidden="1" thickBot="1" x14ac:dyDescent="0.3">
      <c r="A5649" s="250"/>
      <c r="B5649" s="239"/>
      <c r="C5649" s="164"/>
      <c r="D5649" s="132"/>
      <c r="E5649" s="61"/>
      <c r="F5649" s="68" t="s">
        <v>418</v>
      </c>
      <c r="G5649" s="68" t="str">
        <f>IF(ISNUMBER(F5649),E5649*F5649,"")</f>
        <v/>
      </c>
      <c r="H5649" s="69"/>
      <c r="I5649" s="66"/>
      <c r="J5649" s="125">
        <v>0</v>
      </c>
    </row>
    <row r="5650" spans="1:10" ht="15.75" hidden="1" thickBot="1" x14ac:dyDescent="0.3">
      <c r="A5650" s="234" t="s">
        <v>13190</v>
      </c>
      <c r="B5650" s="237" t="s">
        <v>12958</v>
      </c>
      <c r="C5650" s="160"/>
      <c r="D5650" s="23" t="s">
        <v>16</v>
      </c>
      <c r="E5650" s="24"/>
      <c r="F5650" s="44" t="s">
        <v>418</v>
      </c>
      <c r="G5650" s="25" t="str">
        <f>IF(ISNUMBER(F5650),E5650*F5650,"")</f>
        <v/>
      </c>
      <c r="H5650" s="26"/>
      <c r="I5650" s="27"/>
      <c r="J5650" s="125">
        <v>0</v>
      </c>
    </row>
    <row r="5651" spans="1:10" ht="15.75" hidden="1" thickBot="1" x14ac:dyDescent="0.3">
      <c r="A5651" s="249"/>
      <c r="B5651" s="240"/>
      <c r="C5651" s="135"/>
      <c r="D5651" s="135"/>
      <c r="E5651" s="136"/>
      <c r="F5651" s="49" t="s">
        <v>418</v>
      </c>
      <c r="G5651" s="49" t="str">
        <f>IF(ISNUMBER(F5651),E5651*F5651,"")</f>
        <v/>
      </c>
      <c r="H5651" s="65"/>
      <c r="I5651" s="66"/>
      <c r="J5651" s="125">
        <v>0</v>
      </c>
    </row>
    <row r="5652" spans="1:10" ht="26.25" hidden="1" thickBot="1" x14ac:dyDescent="0.3">
      <c r="A5652" s="249"/>
      <c r="B5652" s="240"/>
      <c r="C5652" s="155" t="s">
        <v>27781</v>
      </c>
      <c r="D5652" s="155" t="s">
        <v>205</v>
      </c>
      <c r="E5652" s="130">
        <v>1</v>
      </c>
      <c r="F5652" s="28">
        <v>3.1159999999999997</v>
      </c>
      <c r="G5652" s="49">
        <f>IF(ISNUMBER(F5652),E5652*F5652,"")</f>
        <v>3.1159999999999997</v>
      </c>
      <c r="H5652" s="35">
        <f>SUM(G5652:G5652)</f>
        <v>3.1159999999999997</v>
      </c>
      <c r="I5652" s="36"/>
      <c r="J5652" s="125">
        <v>0</v>
      </c>
    </row>
    <row r="5653" spans="1:10" ht="15.75" hidden="1" thickBot="1" x14ac:dyDescent="0.3">
      <c r="A5653" s="250"/>
      <c r="B5653" s="239"/>
      <c r="C5653" s="164"/>
      <c r="D5653" s="132"/>
      <c r="E5653" s="61"/>
      <c r="F5653" s="68" t="s">
        <v>418</v>
      </c>
      <c r="G5653" s="68" t="str">
        <f>IF(ISNUMBER(F5653),E5653*F5653,"")</f>
        <v/>
      </c>
      <c r="H5653" s="69"/>
      <c r="I5653" s="66"/>
      <c r="J5653" s="125">
        <v>0</v>
      </c>
    </row>
    <row r="5654" spans="1:10" ht="15.75" hidden="1" thickBot="1" x14ac:dyDescent="0.3">
      <c r="A5654" s="234" t="s">
        <v>13191</v>
      </c>
      <c r="B5654" s="237" t="s">
        <v>12959</v>
      </c>
      <c r="C5654" s="160"/>
      <c r="D5654" s="23" t="s">
        <v>16</v>
      </c>
      <c r="E5654" s="24"/>
      <c r="F5654" s="44" t="s">
        <v>418</v>
      </c>
      <c r="G5654" s="25" t="str">
        <f>IF(ISNUMBER(F5654),E5654*F5654,"")</f>
        <v/>
      </c>
      <c r="H5654" s="26"/>
      <c r="I5654" s="27"/>
      <c r="J5654" s="125">
        <v>0</v>
      </c>
    </row>
    <row r="5655" spans="1:10" ht="15.75" hidden="1" thickBot="1" x14ac:dyDescent="0.3">
      <c r="A5655" s="249"/>
      <c r="B5655" s="240"/>
      <c r="C5655" s="135"/>
      <c r="D5655" s="135"/>
      <c r="E5655" s="136"/>
      <c r="F5655" s="49" t="s">
        <v>418</v>
      </c>
      <c r="G5655" s="49" t="str">
        <f>IF(ISNUMBER(F5655),E5655*F5655,"")</f>
        <v/>
      </c>
      <c r="H5655" s="65"/>
      <c r="I5655" s="66"/>
      <c r="J5655" s="125">
        <v>0</v>
      </c>
    </row>
    <row r="5656" spans="1:10" ht="26.25" hidden="1" thickBot="1" x14ac:dyDescent="0.3">
      <c r="A5656" s="249"/>
      <c r="B5656" s="240"/>
      <c r="C5656" s="155" t="s">
        <v>27783</v>
      </c>
      <c r="D5656" s="155" t="s">
        <v>205</v>
      </c>
      <c r="E5656" s="130">
        <v>1</v>
      </c>
      <c r="F5656" s="28">
        <v>5.415</v>
      </c>
      <c r="G5656" s="49">
        <f>IF(ISNUMBER(F5656),E5656*F5656,"")</f>
        <v>5.415</v>
      </c>
      <c r="H5656" s="35">
        <f>SUM(G5656:G5656)</f>
        <v>5.415</v>
      </c>
      <c r="I5656" s="36"/>
      <c r="J5656" s="125">
        <v>0</v>
      </c>
    </row>
    <row r="5657" spans="1:10" ht="15.75" hidden="1" thickBot="1" x14ac:dyDescent="0.3">
      <c r="A5657" s="250"/>
      <c r="B5657" s="239"/>
      <c r="C5657" s="164"/>
      <c r="D5657" s="132"/>
      <c r="E5657" s="61"/>
      <c r="F5657" s="68" t="s">
        <v>418</v>
      </c>
      <c r="G5657" s="68" t="str">
        <f>IF(ISNUMBER(F5657),E5657*F5657,"")</f>
        <v/>
      </c>
      <c r="H5657" s="69"/>
      <c r="I5657" s="66"/>
      <c r="J5657" s="125">
        <v>0</v>
      </c>
    </row>
    <row r="5658" spans="1:10" ht="15.75" hidden="1" thickBot="1" x14ac:dyDescent="0.3">
      <c r="A5658" s="234" t="s">
        <v>13192</v>
      </c>
      <c r="B5658" s="237" t="s">
        <v>12960</v>
      </c>
      <c r="C5658" s="160"/>
      <c r="D5658" s="23" t="s">
        <v>16</v>
      </c>
      <c r="E5658" s="24"/>
      <c r="F5658" s="44" t="s">
        <v>418</v>
      </c>
      <c r="G5658" s="25" t="str">
        <f>IF(ISNUMBER(F5658),E5658*F5658,"")</f>
        <v/>
      </c>
      <c r="H5658" s="26"/>
      <c r="I5658" s="27"/>
      <c r="J5658" s="125">
        <v>0</v>
      </c>
    </row>
    <row r="5659" spans="1:10" ht="15.75" hidden="1" thickBot="1" x14ac:dyDescent="0.3">
      <c r="A5659" s="249"/>
      <c r="B5659" s="240"/>
      <c r="C5659" s="135"/>
      <c r="D5659" s="135"/>
      <c r="E5659" s="136"/>
      <c r="F5659" s="49" t="s">
        <v>418</v>
      </c>
      <c r="G5659" s="49" t="str">
        <f>IF(ISNUMBER(F5659),E5659*F5659,"")</f>
        <v/>
      </c>
      <c r="H5659" s="65"/>
      <c r="I5659" s="66"/>
      <c r="J5659" s="125">
        <v>0</v>
      </c>
    </row>
    <row r="5660" spans="1:10" ht="26.25" hidden="1" thickBot="1" x14ac:dyDescent="0.3">
      <c r="A5660" s="249"/>
      <c r="B5660" s="240"/>
      <c r="C5660" s="155" t="s">
        <v>27785</v>
      </c>
      <c r="D5660" s="155" t="s">
        <v>205</v>
      </c>
      <c r="E5660" s="130">
        <v>1</v>
      </c>
      <c r="F5660" s="28">
        <v>6.7449999999999992</v>
      </c>
      <c r="G5660" s="49">
        <f>IF(ISNUMBER(F5660),E5660*F5660,"")</f>
        <v>6.7449999999999992</v>
      </c>
      <c r="H5660" s="35">
        <f>SUM(G5660:G5660)</f>
        <v>6.7449999999999992</v>
      </c>
      <c r="I5660" s="36"/>
      <c r="J5660" s="125">
        <v>0</v>
      </c>
    </row>
    <row r="5661" spans="1:10" ht="15.75" hidden="1" thickBot="1" x14ac:dyDescent="0.3">
      <c r="A5661" s="250"/>
      <c r="B5661" s="239"/>
      <c r="C5661" s="164"/>
      <c r="D5661" s="132"/>
      <c r="E5661" s="61"/>
      <c r="F5661" s="68" t="s">
        <v>418</v>
      </c>
      <c r="G5661" s="68" t="str">
        <f>IF(ISNUMBER(F5661),E5661*F5661,"")</f>
        <v/>
      </c>
      <c r="H5661" s="69"/>
      <c r="I5661" s="66"/>
      <c r="J5661" s="125">
        <v>0</v>
      </c>
    </row>
    <row r="5662" spans="1:10" ht="15.75" hidden="1" thickBot="1" x14ac:dyDescent="0.3">
      <c r="A5662" s="234" t="s">
        <v>13193</v>
      </c>
      <c r="B5662" s="237" t="s">
        <v>12961</v>
      </c>
      <c r="C5662" s="160"/>
      <c r="D5662" s="23" t="s">
        <v>16</v>
      </c>
      <c r="E5662" s="24"/>
      <c r="F5662" s="44" t="s">
        <v>418</v>
      </c>
      <c r="G5662" s="25" t="str">
        <f>IF(ISNUMBER(F5662),E5662*F5662,"")</f>
        <v/>
      </c>
      <c r="H5662" s="26"/>
      <c r="I5662" s="27"/>
      <c r="J5662" s="125">
        <v>0</v>
      </c>
    </row>
    <row r="5663" spans="1:10" ht="15.75" hidden="1" thickBot="1" x14ac:dyDescent="0.3">
      <c r="A5663" s="249"/>
      <c r="B5663" s="240"/>
      <c r="C5663" s="135"/>
      <c r="D5663" s="135"/>
      <c r="E5663" s="136"/>
      <c r="F5663" s="49" t="s">
        <v>418</v>
      </c>
      <c r="G5663" s="49" t="str">
        <f>IF(ISNUMBER(F5663),E5663*F5663,"")</f>
        <v/>
      </c>
      <c r="H5663" s="65"/>
      <c r="I5663" s="66"/>
      <c r="J5663" s="125">
        <v>0</v>
      </c>
    </row>
    <row r="5664" spans="1:10" ht="26.25" hidden="1" thickBot="1" x14ac:dyDescent="0.3">
      <c r="A5664" s="249"/>
      <c r="B5664" s="240"/>
      <c r="C5664" s="155" t="s">
        <v>27786</v>
      </c>
      <c r="D5664" s="155" t="s">
        <v>205</v>
      </c>
      <c r="E5664" s="130">
        <v>1</v>
      </c>
      <c r="F5664" s="28">
        <v>8.3125</v>
      </c>
      <c r="G5664" s="49">
        <f>IF(ISNUMBER(F5664),E5664*F5664,"")</f>
        <v>8.3125</v>
      </c>
      <c r="H5664" s="35">
        <f>SUM(G5664:G5664)</f>
        <v>8.3125</v>
      </c>
      <c r="I5664" s="36"/>
      <c r="J5664" s="125">
        <v>0</v>
      </c>
    </row>
    <row r="5665" spans="1:10" ht="15.75" hidden="1" thickBot="1" x14ac:dyDescent="0.3">
      <c r="A5665" s="250"/>
      <c r="B5665" s="239"/>
      <c r="C5665" s="164"/>
      <c r="D5665" s="132"/>
      <c r="E5665" s="61"/>
      <c r="F5665" s="68" t="s">
        <v>418</v>
      </c>
      <c r="G5665" s="68" t="str">
        <f>IF(ISNUMBER(F5665),E5665*F5665,"")</f>
        <v/>
      </c>
      <c r="H5665" s="69"/>
      <c r="I5665" s="66"/>
      <c r="J5665" s="125">
        <v>0</v>
      </c>
    </row>
    <row r="5666" spans="1:10" ht="15.75" hidden="1" thickBot="1" x14ac:dyDescent="0.3">
      <c r="A5666" s="234" t="s">
        <v>13194</v>
      </c>
      <c r="B5666" s="237" t="s">
        <v>12962</v>
      </c>
      <c r="C5666" s="160"/>
      <c r="D5666" s="23" t="s">
        <v>16</v>
      </c>
      <c r="E5666" s="24"/>
      <c r="F5666" s="44" t="s">
        <v>418</v>
      </c>
      <c r="G5666" s="25" t="str">
        <f>IF(ISNUMBER(F5666),E5666*F5666,"")</f>
        <v/>
      </c>
      <c r="H5666" s="26"/>
      <c r="I5666" s="27"/>
      <c r="J5666" s="125">
        <v>0</v>
      </c>
    </row>
    <row r="5667" spans="1:10" ht="15.75" hidden="1" thickBot="1" x14ac:dyDescent="0.3">
      <c r="A5667" s="249"/>
      <c r="B5667" s="240"/>
      <c r="C5667" s="135"/>
      <c r="D5667" s="135"/>
      <c r="E5667" s="136"/>
      <c r="F5667" s="49" t="s">
        <v>418</v>
      </c>
      <c r="G5667" s="49" t="str">
        <f>IF(ISNUMBER(F5667),E5667*F5667,"")</f>
        <v/>
      </c>
      <c r="H5667" s="65"/>
      <c r="I5667" s="66"/>
      <c r="J5667" s="125">
        <v>0</v>
      </c>
    </row>
    <row r="5668" spans="1:10" ht="39" hidden="1" thickBot="1" x14ac:dyDescent="0.3">
      <c r="A5668" s="249"/>
      <c r="B5668" s="240"/>
      <c r="C5668" s="155" t="s">
        <v>27776</v>
      </c>
      <c r="D5668" s="155" t="s">
        <v>205</v>
      </c>
      <c r="E5668" s="130">
        <v>1</v>
      </c>
      <c r="F5668" s="28">
        <v>11.685</v>
      </c>
      <c r="G5668" s="49">
        <f>IF(ISNUMBER(F5668),E5668*F5668,"")</f>
        <v>11.685</v>
      </c>
      <c r="H5668" s="35">
        <f>SUM(G5668:G5668)</f>
        <v>11.685</v>
      </c>
      <c r="I5668" s="36"/>
      <c r="J5668" s="125">
        <v>0</v>
      </c>
    </row>
    <row r="5669" spans="1:10" ht="15.75" hidden="1" thickBot="1" x14ac:dyDescent="0.3">
      <c r="A5669" s="250"/>
      <c r="B5669" s="239"/>
      <c r="C5669" s="164"/>
      <c r="D5669" s="132"/>
      <c r="E5669" s="61"/>
      <c r="F5669" s="68" t="s">
        <v>418</v>
      </c>
      <c r="G5669" s="68" t="str">
        <f>IF(ISNUMBER(F5669),E5669*F5669,"")</f>
        <v/>
      </c>
      <c r="H5669" s="69"/>
      <c r="I5669" s="66"/>
      <c r="J5669" s="125">
        <v>0</v>
      </c>
    </row>
    <row r="5670" spans="1:10" ht="15.75" hidden="1" thickBot="1" x14ac:dyDescent="0.3">
      <c r="A5670" s="234" t="s">
        <v>13195</v>
      </c>
      <c r="B5670" s="237" t="s">
        <v>12963</v>
      </c>
      <c r="C5670" s="160"/>
      <c r="D5670" s="23" t="s">
        <v>16</v>
      </c>
      <c r="E5670" s="24"/>
      <c r="F5670" s="44" t="s">
        <v>418</v>
      </c>
      <c r="G5670" s="25" t="str">
        <f>IF(ISNUMBER(F5670),E5670*F5670,"")</f>
        <v/>
      </c>
      <c r="H5670" s="26"/>
      <c r="I5670" s="27"/>
      <c r="J5670" s="125">
        <v>0</v>
      </c>
    </row>
    <row r="5671" spans="1:10" ht="15.75" hidden="1" thickBot="1" x14ac:dyDescent="0.3">
      <c r="A5671" s="249"/>
      <c r="B5671" s="240"/>
      <c r="C5671" s="135"/>
      <c r="D5671" s="135"/>
      <c r="E5671" s="136"/>
      <c r="F5671" s="49" t="s">
        <v>418</v>
      </c>
      <c r="G5671" s="49" t="str">
        <f>IF(ISNUMBER(F5671),E5671*F5671,"")</f>
        <v/>
      </c>
      <c r="H5671" s="65"/>
      <c r="I5671" s="66"/>
      <c r="J5671" s="125">
        <v>0</v>
      </c>
    </row>
    <row r="5672" spans="1:10" ht="26.25" hidden="1" thickBot="1" x14ac:dyDescent="0.3">
      <c r="A5672" s="249"/>
      <c r="B5672" s="240"/>
      <c r="C5672" s="155" t="s">
        <v>27793</v>
      </c>
      <c r="D5672" s="155" t="s">
        <v>205</v>
      </c>
      <c r="E5672" s="130">
        <v>1</v>
      </c>
      <c r="F5672" s="28">
        <v>26.305499999999999</v>
      </c>
      <c r="G5672" s="49">
        <f>IF(ISNUMBER(F5672),E5672*F5672,"")</f>
        <v>26.305499999999999</v>
      </c>
      <c r="H5672" s="35">
        <f>SUM(G5672:G5672)</f>
        <v>26.305499999999999</v>
      </c>
      <c r="I5672" s="36"/>
      <c r="J5672" s="125">
        <v>0</v>
      </c>
    </row>
    <row r="5673" spans="1:10" ht="15.75" hidden="1" thickBot="1" x14ac:dyDescent="0.3">
      <c r="A5673" s="250"/>
      <c r="B5673" s="239"/>
      <c r="C5673" s="164"/>
      <c r="D5673" s="132"/>
      <c r="E5673" s="61"/>
      <c r="F5673" s="68" t="s">
        <v>418</v>
      </c>
      <c r="G5673" s="68" t="str">
        <f>IF(ISNUMBER(F5673),E5673*F5673,"")</f>
        <v/>
      </c>
      <c r="H5673" s="69"/>
      <c r="I5673" s="66"/>
      <c r="J5673" s="125">
        <v>0</v>
      </c>
    </row>
    <row r="5674" spans="1:10" ht="15.75" hidden="1" thickBot="1" x14ac:dyDescent="0.3">
      <c r="A5674" s="234" t="s">
        <v>13196</v>
      </c>
      <c r="B5674" s="237" t="s">
        <v>12964</v>
      </c>
      <c r="C5674" s="160"/>
      <c r="D5674" s="23" t="s">
        <v>16</v>
      </c>
      <c r="E5674" s="24"/>
      <c r="F5674" s="44" t="s">
        <v>418</v>
      </c>
      <c r="G5674" s="25" t="str">
        <f>IF(ISNUMBER(F5674),E5674*F5674,"")</f>
        <v/>
      </c>
      <c r="H5674" s="26"/>
      <c r="I5674" s="27"/>
      <c r="J5674" s="125">
        <v>0</v>
      </c>
    </row>
    <row r="5675" spans="1:10" ht="15.75" hidden="1" thickBot="1" x14ac:dyDescent="0.3">
      <c r="A5675" s="249"/>
      <c r="B5675" s="240"/>
      <c r="C5675" s="135"/>
      <c r="D5675" s="135"/>
      <c r="E5675" s="136"/>
      <c r="F5675" s="49" t="s">
        <v>418</v>
      </c>
      <c r="G5675" s="49" t="str">
        <f>IF(ISNUMBER(F5675),E5675*F5675,"")</f>
        <v/>
      </c>
      <c r="H5675" s="65"/>
      <c r="I5675" s="66"/>
      <c r="J5675" s="125">
        <v>0</v>
      </c>
    </row>
    <row r="5676" spans="1:10" ht="26.25" hidden="1" thickBot="1" x14ac:dyDescent="0.3">
      <c r="A5676" s="249"/>
      <c r="B5676" s="240"/>
      <c r="C5676" s="155" t="s">
        <v>27796</v>
      </c>
      <c r="D5676" s="155" t="s">
        <v>205</v>
      </c>
      <c r="E5676" s="130">
        <v>1</v>
      </c>
      <c r="F5676" s="28">
        <v>28.747</v>
      </c>
      <c r="G5676" s="49">
        <f>IF(ISNUMBER(F5676),E5676*F5676,"")</f>
        <v>28.747</v>
      </c>
      <c r="H5676" s="35">
        <f>SUM(G5676:G5676)</f>
        <v>28.747</v>
      </c>
      <c r="I5676" s="36"/>
      <c r="J5676" s="125">
        <v>0</v>
      </c>
    </row>
    <row r="5677" spans="1:10" ht="15.75" hidden="1" thickBot="1" x14ac:dyDescent="0.3">
      <c r="A5677" s="250"/>
      <c r="B5677" s="239"/>
      <c r="C5677" s="164"/>
      <c r="D5677" s="132"/>
      <c r="E5677" s="61"/>
      <c r="F5677" s="68" t="s">
        <v>418</v>
      </c>
      <c r="G5677" s="68" t="str">
        <f>IF(ISNUMBER(F5677),E5677*F5677,"")</f>
        <v/>
      </c>
      <c r="H5677" s="69"/>
      <c r="I5677" s="66"/>
      <c r="J5677" s="125">
        <v>0</v>
      </c>
    </row>
    <row r="5678" spans="1:10" ht="15.75" hidden="1" thickBot="1" x14ac:dyDescent="0.3">
      <c r="A5678" s="234" t="s">
        <v>13197</v>
      </c>
      <c r="B5678" s="237" t="s">
        <v>12965</v>
      </c>
      <c r="C5678" s="160"/>
      <c r="D5678" s="23" t="s">
        <v>16</v>
      </c>
      <c r="E5678" s="24"/>
      <c r="F5678" s="44" t="s">
        <v>418</v>
      </c>
      <c r="G5678" s="25" t="str">
        <f>IF(ISNUMBER(F5678),E5678*F5678,"")</f>
        <v/>
      </c>
      <c r="H5678" s="26"/>
      <c r="I5678" s="27"/>
      <c r="J5678" s="125">
        <v>0</v>
      </c>
    </row>
    <row r="5679" spans="1:10" ht="15.75" hidden="1" thickBot="1" x14ac:dyDescent="0.3">
      <c r="A5679" s="249"/>
      <c r="B5679" s="240"/>
      <c r="C5679" s="135"/>
      <c r="D5679" s="135"/>
      <c r="E5679" s="136"/>
      <c r="F5679" s="49" t="s">
        <v>418</v>
      </c>
      <c r="G5679" s="49" t="str">
        <f>IF(ISNUMBER(F5679),E5679*F5679,"")</f>
        <v/>
      </c>
      <c r="H5679" s="65"/>
      <c r="I5679" s="66"/>
      <c r="J5679" s="125">
        <v>0</v>
      </c>
    </row>
    <row r="5680" spans="1:10" ht="26.25" hidden="1" thickBot="1" x14ac:dyDescent="0.3">
      <c r="A5680" s="249"/>
      <c r="B5680" s="240"/>
      <c r="C5680" s="155" t="s">
        <v>27797</v>
      </c>
      <c r="D5680" s="155" t="s">
        <v>205</v>
      </c>
      <c r="E5680" s="130">
        <v>1</v>
      </c>
      <c r="F5680" s="28">
        <v>37.933499999999995</v>
      </c>
      <c r="G5680" s="49">
        <f>IF(ISNUMBER(F5680),E5680*F5680,"")</f>
        <v>37.933499999999995</v>
      </c>
      <c r="H5680" s="35">
        <f>SUM(G5680:G5680)</f>
        <v>37.933499999999995</v>
      </c>
      <c r="I5680" s="36"/>
      <c r="J5680" s="125">
        <v>0</v>
      </c>
    </row>
    <row r="5681" spans="1:10" ht="15.75" hidden="1" thickBot="1" x14ac:dyDescent="0.3">
      <c r="A5681" s="250"/>
      <c r="B5681" s="239"/>
      <c r="C5681" s="164"/>
      <c r="D5681" s="132"/>
      <c r="E5681" s="61"/>
      <c r="F5681" s="68" t="s">
        <v>418</v>
      </c>
      <c r="G5681" s="68" t="str">
        <f>IF(ISNUMBER(F5681),E5681*F5681,"")</f>
        <v/>
      </c>
      <c r="H5681" s="69"/>
      <c r="I5681" s="66"/>
      <c r="J5681" s="125">
        <v>0</v>
      </c>
    </row>
    <row r="5682" spans="1:10" ht="15.75" hidden="1" thickBot="1" x14ac:dyDescent="0.3">
      <c r="A5682" s="234" t="s">
        <v>13198</v>
      </c>
      <c r="B5682" s="237" t="s">
        <v>12966</v>
      </c>
      <c r="C5682" s="160"/>
      <c r="D5682" s="23" t="s">
        <v>16</v>
      </c>
      <c r="E5682" s="24"/>
      <c r="F5682" s="44" t="s">
        <v>418</v>
      </c>
      <c r="G5682" s="25" t="str">
        <f>IF(ISNUMBER(F5682),E5682*F5682,"")</f>
        <v/>
      </c>
      <c r="H5682" s="26"/>
      <c r="I5682" s="27"/>
      <c r="J5682" s="125">
        <v>0</v>
      </c>
    </row>
    <row r="5683" spans="1:10" ht="15.75" hidden="1" thickBot="1" x14ac:dyDescent="0.3">
      <c r="A5683" s="249"/>
      <c r="B5683" s="240"/>
      <c r="C5683" s="135"/>
      <c r="D5683" s="135"/>
      <c r="E5683" s="136"/>
      <c r="F5683" s="49" t="s">
        <v>418</v>
      </c>
      <c r="G5683" s="49" t="str">
        <f>IF(ISNUMBER(F5683),E5683*F5683,"")</f>
        <v/>
      </c>
      <c r="H5683" s="65"/>
      <c r="I5683" s="66"/>
      <c r="J5683" s="125">
        <v>0</v>
      </c>
    </row>
    <row r="5684" spans="1:10" ht="26.25" hidden="1" thickBot="1" x14ac:dyDescent="0.3">
      <c r="A5684" s="249"/>
      <c r="B5684" s="240"/>
      <c r="C5684" s="155" t="s">
        <v>27800</v>
      </c>
      <c r="D5684" s="155" t="s">
        <v>205</v>
      </c>
      <c r="E5684" s="130">
        <v>1</v>
      </c>
      <c r="F5684" s="28">
        <v>55.195</v>
      </c>
      <c r="G5684" s="49">
        <f>IF(ISNUMBER(F5684),E5684*F5684,"")</f>
        <v>55.195</v>
      </c>
      <c r="H5684" s="35">
        <f>SUM(G5684:G5684)</f>
        <v>55.195</v>
      </c>
      <c r="I5684" s="36"/>
      <c r="J5684" s="125">
        <v>0</v>
      </c>
    </row>
    <row r="5685" spans="1:10" ht="15.75" hidden="1" thickBot="1" x14ac:dyDescent="0.3">
      <c r="A5685" s="250"/>
      <c r="B5685" s="239"/>
      <c r="C5685" s="164"/>
      <c r="D5685" s="132"/>
      <c r="E5685" s="61"/>
      <c r="F5685" s="68" t="s">
        <v>418</v>
      </c>
      <c r="G5685" s="68" t="str">
        <f>IF(ISNUMBER(F5685),E5685*F5685,"")</f>
        <v/>
      </c>
      <c r="H5685" s="69"/>
      <c r="I5685" s="66"/>
      <c r="J5685" s="125">
        <v>0</v>
      </c>
    </row>
    <row r="5686" spans="1:10" ht="15.75" hidden="1" thickBot="1" x14ac:dyDescent="0.3">
      <c r="A5686" s="234" t="s">
        <v>13199</v>
      </c>
      <c r="B5686" s="237" t="s">
        <v>12978</v>
      </c>
      <c r="C5686" s="160"/>
      <c r="D5686" s="23" t="s">
        <v>69</v>
      </c>
      <c r="E5686" s="24"/>
      <c r="F5686" s="44" t="s">
        <v>418</v>
      </c>
      <c r="G5686" s="25" t="str">
        <f>IF(ISNUMBER(F5686),E5686*F5686,"")</f>
        <v/>
      </c>
      <c r="H5686" s="26"/>
      <c r="I5686" s="27"/>
      <c r="J5686" s="125">
        <v>0</v>
      </c>
    </row>
    <row r="5687" spans="1:10" ht="15.75" hidden="1" thickBot="1" x14ac:dyDescent="0.3">
      <c r="A5687" s="249"/>
      <c r="B5687" s="240"/>
      <c r="C5687" s="135"/>
      <c r="D5687" s="135"/>
      <c r="E5687" s="136"/>
      <c r="F5687" s="49" t="s">
        <v>418</v>
      </c>
      <c r="G5687" s="49" t="str">
        <f>IF(ISNUMBER(F5687),E5687*F5687,"")</f>
        <v/>
      </c>
      <c r="H5687" s="65"/>
      <c r="I5687" s="66"/>
      <c r="J5687" s="125">
        <v>0</v>
      </c>
    </row>
    <row r="5688" spans="1:10" ht="15.75" hidden="1" thickBot="1" x14ac:dyDescent="0.3">
      <c r="A5688" s="249"/>
      <c r="B5688" s="240"/>
      <c r="C5688" s="155" t="s">
        <v>24100</v>
      </c>
      <c r="D5688" s="155" t="s">
        <v>385</v>
      </c>
      <c r="E5688" s="130">
        <v>1</v>
      </c>
      <c r="F5688" s="28">
        <v>18.106999999999999</v>
      </c>
      <c r="G5688" s="49">
        <f>IF(ISNUMBER(F5688),E5688*F5688,"")</f>
        <v>18.106999999999999</v>
      </c>
      <c r="H5688" s="35">
        <f>SUM(G5688:G5688)</f>
        <v>18.106999999999999</v>
      </c>
      <c r="I5688" s="36"/>
      <c r="J5688" s="125">
        <v>0</v>
      </c>
    </row>
    <row r="5689" spans="1:10" ht="15.75" hidden="1" thickBot="1" x14ac:dyDescent="0.3">
      <c r="A5689" s="250"/>
      <c r="B5689" s="239"/>
      <c r="C5689" s="164"/>
      <c r="D5689" s="132"/>
      <c r="E5689" s="61"/>
      <c r="F5689" s="68" t="s">
        <v>418</v>
      </c>
      <c r="G5689" s="68" t="str">
        <f>IF(ISNUMBER(F5689),E5689*F5689,"")</f>
        <v/>
      </c>
      <c r="H5689" s="69"/>
      <c r="I5689" s="66"/>
      <c r="J5689" s="125">
        <v>0</v>
      </c>
    </row>
    <row r="5690" spans="1:10" ht="15.75" hidden="1" thickBot="1" x14ac:dyDescent="0.3">
      <c r="A5690" s="234" t="s">
        <v>13200</v>
      </c>
      <c r="B5690" s="237" t="s">
        <v>12979</v>
      </c>
      <c r="C5690" s="160"/>
      <c r="D5690" s="23" t="s">
        <v>69</v>
      </c>
      <c r="E5690" s="24"/>
      <c r="F5690" s="44" t="s">
        <v>418</v>
      </c>
      <c r="G5690" s="25" t="str">
        <f>IF(ISNUMBER(F5690),E5690*F5690,"")</f>
        <v/>
      </c>
      <c r="H5690" s="26"/>
      <c r="I5690" s="27"/>
      <c r="J5690" s="125">
        <v>0</v>
      </c>
    </row>
    <row r="5691" spans="1:10" ht="15.75" hidden="1" thickBot="1" x14ac:dyDescent="0.3">
      <c r="A5691" s="249"/>
      <c r="B5691" s="240"/>
      <c r="C5691" s="135"/>
      <c r="D5691" s="135"/>
      <c r="E5691" s="136"/>
      <c r="F5691" s="49" t="s">
        <v>418</v>
      </c>
      <c r="G5691" s="49" t="str">
        <f>IF(ISNUMBER(F5691),E5691*F5691,"")</f>
        <v/>
      </c>
      <c r="H5691" s="65"/>
      <c r="I5691" s="66"/>
      <c r="J5691" s="125">
        <v>0</v>
      </c>
    </row>
    <row r="5692" spans="1:10" ht="15.75" hidden="1" thickBot="1" x14ac:dyDescent="0.3">
      <c r="A5692" s="249"/>
      <c r="B5692" s="240"/>
      <c r="C5692" s="155" t="s">
        <v>24102</v>
      </c>
      <c r="D5692" s="155" t="s">
        <v>385</v>
      </c>
      <c r="E5692" s="130">
        <v>1</v>
      </c>
      <c r="F5692" s="28">
        <v>25.802</v>
      </c>
      <c r="G5692" s="49">
        <f>IF(ISNUMBER(F5692),E5692*F5692,"")</f>
        <v>25.802</v>
      </c>
      <c r="H5692" s="35">
        <f>SUM(G5692:G5692)</f>
        <v>25.802</v>
      </c>
      <c r="I5692" s="36"/>
      <c r="J5692" s="125">
        <v>0</v>
      </c>
    </row>
    <row r="5693" spans="1:10" ht="15.75" hidden="1" thickBot="1" x14ac:dyDescent="0.3">
      <c r="A5693" s="250"/>
      <c r="B5693" s="239"/>
      <c r="C5693" s="164"/>
      <c r="D5693" s="132"/>
      <c r="E5693" s="61"/>
      <c r="F5693" s="68" t="s">
        <v>418</v>
      </c>
      <c r="G5693" s="68" t="str">
        <f>IF(ISNUMBER(F5693),E5693*F5693,"")</f>
        <v/>
      </c>
      <c r="H5693" s="69"/>
      <c r="I5693" s="66"/>
      <c r="J5693" s="125">
        <v>0</v>
      </c>
    </row>
    <row r="5694" spans="1:10" ht="15.75" hidden="1" thickBot="1" x14ac:dyDescent="0.3">
      <c r="A5694" s="234" t="s">
        <v>13201</v>
      </c>
      <c r="B5694" s="237" t="s">
        <v>12980</v>
      </c>
      <c r="C5694" s="160"/>
      <c r="D5694" s="23" t="s">
        <v>69</v>
      </c>
      <c r="E5694" s="24"/>
      <c r="F5694" s="44" t="s">
        <v>418</v>
      </c>
      <c r="G5694" s="25" t="str">
        <f>IF(ISNUMBER(F5694),E5694*F5694,"")</f>
        <v/>
      </c>
      <c r="H5694" s="26"/>
      <c r="I5694" s="27"/>
      <c r="J5694" s="125">
        <v>0</v>
      </c>
    </row>
    <row r="5695" spans="1:10" ht="15.75" hidden="1" thickBot="1" x14ac:dyDescent="0.3">
      <c r="A5695" s="249"/>
      <c r="B5695" s="240"/>
      <c r="C5695" s="135"/>
      <c r="D5695" s="135"/>
      <c r="E5695" s="136"/>
      <c r="F5695" s="49" t="s">
        <v>418</v>
      </c>
      <c r="G5695" s="49" t="str">
        <f>IF(ISNUMBER(F5695),E5695*F5695,"")</f>
        <v/>
      </c>
      <c r="H5695" s="65"/>
      <c r="I5695" s="66"/>
      <c r="J5695" s="125">
        <v>0</v>
      </c>
    </row>
    <row r="5696" spans="1:10" ht="15.75" hidden="1" thickBot="1" x14ac:dyDescent="0.3">
      <c r="A5696" s="249"/>
      <c r="B5696" s="240"/>
      <c r="C5696" s="155" t="s">
        <v>24103</v>
      </c>
      <c r="D5696" s="155" t="s">
        <v>385</v>
      </c>
      <c r="E5696" s="130">
        <v>1</v>
      </c>
      <c r="F5696" s="28">
        <v>38</v>
      </c>
      <c r="G5696" s="49">
        <f>IF(ISNUMBER(F5696),E5696*F5696,"")</f>
        <v>38</v>
      </c>
      <c r="H5696" s="35">
        <f>SUM(G5696:G5696)</f>
        <v>38</v>
      </c>
      <c r="I5696" s="36"/>
      <c r="J5696" s="125">
        <v>0</v>
      </c>
    </row>
    <row r="5697" spans="1:10" ht="15.75" hidden="1" thickBot="1" x14ac:dyDescent="0.3">
      <c r="A5697" s="250"/>
      <c r="B5697" s="239"/>
      <c r="C5697" s="164"/>
      <c r="D5697" s="132"/>
      <c r="E5697" s="61"/>
      <c r="F5697" s="68" t="s">
        <v>418</v>
      </c>
      <c r="G5697" s="68" t="str">
        <f>IF(ISNUMBER(F5697),E5697*F5697,"")</f>
        <v/>
      </c>
      <c r="H5697" s="69"/>
      <c r="I5697" s="66"/>
      <c r="J5697" s="125">
        <v>0</v>
      </c>
    </row>
    <row r="5698" spans="1:10" ht="15.75" hidden="1" thickBot="1" x14ac:dyDescent="0.3">
      <c r="A5698" s="234" t="s">
        <v>13202</v>
      </c>
      <c r="B5698" s="237" t="s">
        <v>12981</v>
      </c>
      <c r="C5698" s="160"/>
      <c r="D5698" s="23" t="s">
        <v>69</v>
      </c>
      <c r="E5698" s="24"/>
      <c r="F5698" s="44" t="s">
        <v>418</v>
      </c>
      <c r="G5698" s="25" t="str">
        <f>IF(ISNUMBER(F5698),E5698*F5698,"")</f>
        <v/>
      </c>
      <c r="H5698" s="26"/>
      <c r="I5698" s="27"/>
      <c r="J5698" s="125">
        <v>0</v>
      </c>
    </row>
    <row r="5699" spans="1:10" ht="15.75" hidden="1" thickBot="1" x14ac:dyDescent="0.3">
      <c r="A5699" s="249"/>
      <c r="B5699" s="240"/>
      <c r="C5699" s="135"/>
      <c r="D5699" s="135"/>
      <c r="E5699" s="136"/>
      <c r="F5699" s="49" t="s">
        <v>418</v>
      </c>
      <c r="G5699" s="49" t="str">
        <f>IF(ISNUMBER(F5699),E5699*F5699,"")</f>
        <v/>
      </c>
      <c r="H5699" s="65"/>
      <c r="I5699" s="66"/>
      <c r="J5699" s="125">
        <v>0</v>
      </c>
    </row>
    <row r="5700" spans="1:10" ht="15.75" hidden="1" thickBot="1" x14ac:dyDescent="0.3">
      <c r="A5700" s="249"/>
      <c r="B5700" s="240"/>
      <c r="C5700" s="155" t="s">
        <v>24104</v>
      </c>
      <c r="D5700" s="155" t="s">
        <v>385</v>
      </c>
      <c r="E5700" s="130">
        <v>1</v>
      </c>
      <c r="F5700" s="28">
        <v>54.130999999999993</v>
      </c>
      <c r="G5700" s="49">
        <f>IF(ISNUMBER(F5700),E5700*F5700,"")</f>
        <v>54.130999999999993</v>
      </c>
      <c r="H5700" s="35">
        <f>SUM(G5700:G5700)</f>
        <v>54.130999999999993</v>
      </c>
      <c r="I5700" s="36"/>
      <c r="J5700" s="125">
        <v>0</v>
      </c>
    </row>
    <row r="5701" spans="1:10" ht="15.75" hidden="1" thickBot="1" x14ac:dyDescent="0.3">
      <c r="A5701" s="250"/>
      <c r="B5701" s="239"/>
      <c r="C5701" s="164"/>
      <c r="D5701" s="132"/>
      <c r="E5701" s="61"/>
      <c r="F5701" s="68" t="s">
        <v>418</v>
      </c>
      <c r="G5701" s="68" t="str">
        <f>IF(ISNUMBER(F5701),E5701*F5701,"")</f>
        <v/>
      </c>
      <c r="H5701" s="69"/>
      <c r="I5701" s="66"/>
      <c r="J5701" s="125">
        <v>0</v>
      </c>
    </row>
    <row r="5702" spans="1:10" ht="15.75" hidden="1" thickBot="1" x14ac:dyDescent="0.3">
      <c r="A5702" s="234" t="s">
        <v>13203</v>
      </c>
      <c r="B5702" s="237" t="s">
        <v>12982</v>
      </c>
      <c r="C5702" s="160"/>
      <c r="D5702" s="23" t="s">
        <v>69</v>
      </c>
      <c r="E5702" s="24"/>
      <c r="F5702" s="44" t="s">
        <v>418</v>
      </c>
      <c r="G5702" s="25" t="str">
        <f>IF(ISNUMBER(F5702),E5702*F5702,"")</f>
        <v/>
      </c>
      <c r="H5702" s="26"/>
      <c r="I5702" s="27"/>
      <c r="J5702" s="125">
        <v>0</v>
      </c>
    </row>
    <row r="5703" spans="1:10" ht="15.75" hidden="1" thickBot="1" x14ac:dyDescent="0.3">
      <c r="A5703" s="249"/>
      <c r="B5703" s="240"/>
      <c r="C5703" s="135"/>
      <c r="D5703" s="135"/>
      <c r="E5703" s="136"/>
      <c r="F5703" s="49" t="s">
        <v>418</v>
      </c>
      <c r="G5703" s="49" t="str">
        <f>IF(ISNUMBER(F5703),E5703*F5703,"")</f>
        <v/>
      </c>
      <c r="H5703" s="65"/>
      <c r="I5703" s="66"/>
      <c r="J5703" s="125">
        <v>0</v>
      </c>
    </row>
    <row r="5704" spans="1:10" ht="15.75" hidden="1" thickBot="1" x14ac:dyDescent="0.3">
      <c r="A5704" s="249"/>
      <c r="B5704" s="240"/>
      <c r="C5704" s="155" t="s">
        <v>24105</v>
      </c>
      <c r="D5704" s="155" t="s">
        <v>385</v>
      </c>
      <c r="E5704" s="130">
        <v>1</v>
      </c>
      <c r="F5704" s="28">
        <v>71.506499999999988</v>
      </c>
      <c r="G5704" s="49">
        <f>IF(ISNUMBER(F5704),E5704*F5704,"")</f>
        <v>71.506499999999988</v>
      </c>
      <c r="H5704" s="35">
        <f>SUM(G5704:G5704)</f>
        <v>71.506499999999988</v>
      </c>
      <c r="I5704" s="36"/>
      <c r="J5704" s="125">
        <v>0</v>
      </c>
    </row>
    <row r="5705" spans="1:10" ht="15.75" hidden="1" thickBot="1" x14ac:dyDescent="0.3">
      <c r="A5705" s="250"/>
      <c r="B5705" s="239"/>
      <c r="C5705" s="164"/>
      <c r="D5705" s="132"/>
      <c r="E5705" s="61"/>
      <c r="F5705" s="68" t="s">
        <v>418</v>
      </c>
      <c r="G5705" s="68" t="str">
        <f>IF(ISNUMBER(F5705),E5705*F5705,"")</f>
        <v/>
      </c>
      <c r="H5705" s="69"/>
      <c r="I5705" s="66"/>
      <c r="J5705" s="125">
        <v>0</v>
      </c>
    </row>
    <row r="5706" spans="1:10" ht="15.75" hidden="1" thickBot="1" x14ac:dyDescent="0.3">
      <c r="A5706" s="241" t="s">
        <v>13204</v>
      </c>
      <c r="B5706" s="237" t="s">
        <v>12984</v>
      </c>
      <c r="C5706" s="160"/>
      <c r="D5706" s="23" t="s">
        <v>69</v>
      </c>
      <c r="E5706" s="24"/>
      <c r="F5706" s="44" t="s">
        <v>418</v>
      </c>
      <c r="G5706" s="25" t="str">
        <f>IF(ISNUMBER(F5706),E5706*F5706,"")</f>
        <v/>
      </c>
      <c r="H5706" s="26"/>
      <c r="I5706" s="27"/>
      <c r="J5706" s="125">
        <v>0</v>
      </c>
    </row>
    <row r="5707" spans="1:10" ht="15.75" hidden="1" thickBot="1" x14ac:dyDescent="0.3">
      <c r="A5707" s="247"/>
      <c r="B5707" s="240"/>
      <c r="C5707" s="135"/>
      <c r="D5707" s="135"/>
      <c r="E5707" s="136"/>
      <c r="F5707" s="49" t="s">
        <v>418</v>
      </c>
      <c r="G5707" s="49" t="str">
        <f>IF(ISNUMBER(F5707),E5707*F5707,"")</f>
        <v/>
      </c>
      <c r="H5707" s="65"/>
      <c r="I5707" s="66"/>
      <c r="J5707" s="125">
        <v>0</v>
      </c>
    </row>
    <row r="5708" spans="1:10" ht="26.25" hidden="1" thickBot="1" x14ac:dyDescent="0.3">
      <c r="A5708" s="247"/>
      <c r="B5708" s="240"/>
      <c r="C5708" s="155" t="s">
        <v>25247</v>
      </c>
      <c r="D5708" s="155" t="s">
        <v>385</v>
      </c>
      <c r="E5708" s="130">
        <v>1</v>
      </c>
      <c r="F5708" s="28">
        <v>10.145999999999999</v>
      </c>
      <c r="G5708" s="49">
        <f>IF(ISNUMBER(F5708),E5708*F5708,"")</f>
        <v>10.145999999999999</v>
      </c>
      <c r="H5708" s="35">
        <f>SUM(G5708:G5708)</f>
        <v>10.145999999999999</v>
      </c>
      <c r="I5708" s="36"/>
      <c r="J5708" s="125">
        <v>0</v>
      </c>
    </row>
    <row r="5709" spans="1:10" ht="15.75" hidden="1" thickBot="1" x14ac:dyDescent="0.3">
      <c r="A5709" s="248"/>
      <c r="B5709" s="239"/>
      <c r="C5709" s="164"/>
      <c r="D5709" s="132"/>
      <c r="E5709" s="61"/>
      <c r="F5709" s="68" t="s">
        <v>418</v>
      </c>
      <c r="G5709" s="68" t="str">
        <f>IF(ISNUMBER(F5709),E5709*F5709,"")</f>
        <v/>
      </c>
      <c r="H5709" s="69"/>
      <c r="I5709" s="66"/>
      <c r="J5709" s="125">
        <v>0</v>
      </c>
    </row>
    <row r="5710" spans="1:10" ht="15.75" hidden="1" thickBot="1" x14ac:dyDescent="0.3">
      <c r="A5710" s="241" t="s">
        <v>13205</v>
      </c>
      <c r="B5710" s="237" t="s">
        <v>12985</v>
      </c>
      <c r="C5710" s="160"/>
      <c r="D5710" s="23" t="s">
        <v>69</v>
      </c>
      <c r="E5710" s="24"/>
      <c r="F5710" s="44" t="s">
        <v>418</v>
      </c>
      <c r="G5710" s="25" t="str">
        <f>IF(ISNUMBER(F5710),E5710*F5710,"")</f>
        <v/>
      </c>
      <c r="H5710" s="26"/>
      <c r="I5710" s="27"/>
      <c r="J5710" s="125">
        <v>0</v>
      </c>
    </row>
    <row r="5711" spans="1:10" ht="15.75" hidden="1" thickBot="1" x14ac:dyDescent="0.3">
      <c r="A5711" s="247"/>
      <c r="B5711" s="240"/>
      <c r="C5711" s="135"/>
      <c r="D5711" s="135"/>
      <c r="E5711" s="136"/>
      <c r="F5711" s="49" t="s">
        <v>418</v>
      </c>
      <c r="G5711" s="49" t="str">
        <f>IF(ISNUMBER(F5711),E5711*F5711,"")</f>
        <v/>
      </c>
      <c r="H5711" s="65"/>
      <c r="I5711" s="66"/>
      <c r="J5711" s="125">
        <v>0</v>
      </c>
    </row>
    <row r="5712" spans="1:10" ht="26.25" hidden="1" thickBot="1" x14ac:dyDescent="0.3">
      <c r="A5712" s="247"/>
      <c r="B5712" s="240"/>
      <c r="C5712" s="155" t="s">
        <v>25246</v>
      </c>
      <c r="D5712" s="155" t="s">
        <v>385</v>
      </c>
      <c r="E5712" s="130">
        <v>1</v>
      </c>
      <c r="F5712" s="28">
        <v>13.11</v>
      </c>
      <c r="G5712" s="49">
        <f>IF(ISNUMBER(F5712),E5712*F5712,"")</f>
        <v>13.11</v>
      </c>
      <c r="H5712" s="35">
        <f>SUM(G5712:G5712)</f>
        <v>13.11</v>
      </c>
      <c r="I5712" s="36"/>
      <c r="J5712" s="125">
        <v>0</v>
      </c>
    </row>
    <row r="5713" spans="1:10" ht="15.75" hidden="1" thickBot="1" x14ac:dyDescent="0.3">
      <c r="A5713" s="248"/>
      <c r="B5713" s="239"/>
      <c r="C5713" s="164"/>
      <c r="D5713" s="132"/>
      <c r="E5713" s="61"/>
      <c r="F5713" s="68" t="s">
        <v>418</v>
      </c>
      <c r="G5713" s="68" t="str">
        <f>IF(ISNUMBER(F5713),E5713*F5713,"")</f>
        <v/>
      </c>
      <c r="H5713" s="69"/>
      <c r="I5713" s="66"/>
      <c r="J5713" s="125">
        <v>0</v>
      </c>
    </row>
    <row r="5714" spans="1:10" ht="15.75" hidden="1" thickBot="1" x14ac:dyDescent="0.3">
      <c r="A5714" s="241" t="s">
        <v>13206</v>
      </c>
      <c r="B5714" s="237" t="s">
        <v>12986</v>
      </c>
      <c r="C5714" s="160"/>
      <c r="D5714" s="23" t="s">
        <v>69</v>
      </c>
      <c r="E5714" s="24"/>
      <c r="F5714" s="44" t="s">
        <v>418</v>
      </c>
      <c r="G5714" s="25" t="str">
        <f>IF(ISNUMBER(F5714),E5714*F5714,"")</f>
        <v/>
      </c>
      <c r="H5714" s="26"/>
      <c r="I5714" s="27"/>
      <c r="J5714" s="125">
        <v>0</v>
      </c>
    </row>
    <row r="5715" spans="1:10" ht="15.75" hidden="1" thickBot="1" x14ac:dyDescent="0.3">
      <c r="A5715" s="247"/>
      <c r="B5715" s="240"/>
      <c r="C5715" s="135"/>
      <c r="D5715" s="135"/>
      <c r="E5715" s="136"/>
      <c r="F5715" s="49" t="s">
        <v>418</v>
      </c>
      <c r="G5715" s="49" t="str">
        <f>IF(ISNUMBER(F5715),E5715*F5715,"")</f>
        <v/>
      </c>
      <c r="H5715" s="65"/>
      <c r="I5715" s="66"/>
      <c r="J5715" s="125">
        <v>0</v>
      </c>
    </row>
    <row r="5716" spans="1:10" ht="26.25" hidden="1" thickBot="1" x14ac:dyDescent="0.3">
      <c r="A5716" s="247"/>
      <c r="B5716" s="240"/>
      <c r="C5716" s="155" t="s">
        <v>20956</v>
      </c>
      <c r="D5716" s="129" t="s">
        <v>69</v>
      </c>
      <c r="E5716" s="130">
        <v>1</v>
      </c>
      <c r="F5716" s="28">
        <v>0.95</v>
      </c>
      <c r="G5716" s="49">
        <f>IF(ISNUMBER(F5716),E5716*F5716,"")</f>
        <v>0.95</v>
      </c>
      <c r="H5716" s="35">
        <f>SUM(G5716:G5716)</f>
        <v>0.95</v>
      </c>
      <c r="I5716" s="36"/>
      <c r="J5716" s="125">
        <v>0</v>
      </c>
    </row>
    <row r="5717" spans="1:10" ht="15.75" hidden="1" thickBot="1" x14ac:dyDescent="0.3">
      <c r="A5717" s="248"/>
      <c r="B5717" s="239"/>
      <c r="C5717" s="164"/>
      <c r="D5717" s="132"/>
      <c r="E5717" s="61"/>
      <c r="F5717" s="68" t="s">
        <v>418</v>
      </c>
      <c r="G5717" s="68" t="str">
        <f>IF(ISNUMBER(F5717),E5717*F5717,"")</f>
        <v/>
      </c>
      <c r="H5717" s="69"/>
      <c r="I5717" s="66"/>
      <c r="J5717" s="125">
        <v>0</v>
      </c>
    </row>
    <row r="5718" spans="1:10" ht="15.75" hidden="1" thickBot="1" x14ac:dyDescent="0.3">
      <c r="A5718" s="241" t="s">
        <v>13207</v>
      </c>
      <c r="B5718" s="237" t="s">
        <v>12987</v>
      </c>
      <c r="C5718" s="160"/>
      <c r="D5718" s="23" t="s">
        <v>69</v>
      </c>
      <c r="E5718" s="24"/>
      <c r="F5718" s="44" t="s">
        <v>418</v>
      </c>
      <c r="G5718" s="25" t="str">
        <f>IF(ISNUMBER(F5718),E5718*F5718,"")</f>
        <v/>
      </c>
      <c r="H5718" s="26"/>
      <c r="I5718" s="27"/>
      <c r="J5718" s="125">
        <v>0</v>
      </c>
    </row>
    <row r="5719" spans="1:10" ht="15.75" hidden="1" thickBot="1" x14ac:dyDescent="0.3">
      <c r="A5719" s="247"/>
      <c r="B5719" s="240"/>
      <c r="C5719" s="135"/>
      <c r="D5719" s="135"/>
      <c r="E5719" s="136"/>
      <c r="F5719" s="49" t="s">
        <v>418</v>
      </c>
      <c r="G5719" s="49" t="str">
        <f>IF(ISNUMBER(F5719),E5719*F5719,"")</f>
        <v/>
      </c>
      <c r="H5719" s="65"/>
      <c r="I5719" s="66"/>
      <c r="J5719" s="125">
        <v>0</v>
      </c>
    </row>
    <row r="5720" spans="1:10" ht="26.25" hidden="1" thickBot="1" x14ac:dyDescent="0.3">
      <c r="A5720" s="247"/>
      <c r="B5720" s="240"/>
      <c r="C5720" s="155" t="s">
        <v>20957</v>
      </c>
      <c r="D5720" s="129" t="s">
        <v>69</v>
      </c>
      <c r="E5720" s="130">
        <v>1</v>
      </c>
      <c r="F5720" s="28">
        <v>0.95</v>
      </c>
      <c r="G5720" s="49">
        <f>IF(ISNUMBER(F5720),E5720*F5720,"")</f>
        <v>0.95</v>
      </c>
      <c r="H5720" s="35">
        <f>SUM(G5720:G5720)</f>
        <v>0.95</v>
      </c>
      <c r="I5720" s="36"/>
      <c r="J5720" s="125">
        <v>0</v>
      </c>
    </row>
    <row r="5721" spans="1:10" ht="15.75" hidden="1" thickBot="1" x14ac:dyDescent="0.3">
      <c r="A5721" s="248"/>
      <c r="B5721" s="239"/>
      <c r="C5721" s="164"/>
      <c r="D5721" s="132"/>
      <c r="E5721" s="61"/>
      <c r="F5721" s="68" t="s">
        <v>418</v>
      </c>
      <c r="G5721" s="68" t="str">
        <f>IF(ISNUMBER(F5721),E5721*F5721,"")</f>
        <v/>
      </c>
      <c r="H5721" s="69"/>
      <c r="I5721" s="66"/>
      <c r="J5721" s="125">
        <v>0</v>
      </c>
    </row>
    <row r="5722" spans="1:10" ht="15.75" hidden="1" thickBot="1" x14ac:dyDescent="0.3">
      <c r="A5722" s="241" t="s">
        <v>13208</v>
      </c>
      <c r="B5722" s="237" t="s">
        <v>12988</v>
      </c>
      <c r="C5722" s="160"/>
      <c r="D5722" s="23" t="s">
        <v>69</v>
      </c>
      <c r="E5722" s="24"/>
      <c r="F5722" s="44" t="s">
        <v>418</v>
      </c>
      <c r="G5722" s="25" t="str">
        <f>IF(ISNUMBER(F5722),E5722*F5722,"")</f>
        <v/>
      </c>
      <c r="H5722" s="26"/>
      <c r="I5722" s="27"/>
      <c r="J5722" s="125">
        <v>0</v>
      </c>
    </row>
    <row r="5723" spans="1:10" ht="15.75" hidden="1" thickBot="1" x14ac:dyDescent="0.3">
      <c r="A5723" s="247"/>
      <c r="B5723" s="240"/>
      <c r="C5723" s="135"/>
      <c r="D5723" s="135"/>
      <c r="E5723" s="136"/>
      <c r="F5723" s="49" t="s">
        <v>418</v>
      </c>
      <c r="G5723" s="49" t="str">
        <f>IF(ISNUMBER(F5723),E5723*F5723,"")</f>
        <v/>
      </c>
      <c r="H5723" s="65"/>
      <c r="I5723" s="66"/>
      <c r="J5723" s="125">
        <v>0</v>
      </c>
    </row>
    <row r="5724" spans="1:10" ht="26.25" hidden="1" thickBot="1" x14ac:dyDescent="0.3">
      <c r="A5724" s="247"/>
      <c r="B5724" s="240"/>
      <c r="C5724" s="155" t="s">
        <v>20958</v>
      </c>
      <c r="D5724" s="129" t="s">
        <v>69</v>
      </c>
      <c r="E5724" s="130">
        <v>1</v>
      </c>
      <c r="F5724" s="28">
        <v>0.95</v>
      </c>
      <c r="G5724" s="49">
        <f>IF(ISNUMBER(F5724),E5724*F5724,"")</f>
        <v>0.95</v>
      </c>
      <c r="H5724" s="35">
        <f>SUM(G5724:G5724)</f>
        <v>0.95</v>
      </c>
      <c r="I5724" s="36"/>
      <c r="J5724" s="125">
        <v>0</v>
      </c>
    </row>
    <row r="5725" spans="1:10" ht="15.75" hidden="1" thickBot="1" x14ac:dyDescent="0.3">
      <c r="A5725" s="248"/>
      <c r="B5725" s="239"/>
      <c r="C5725" s="164"/>
      <c r="D5725" s="132"/>
      <c r="E5725" s="61"/>
      <c r="F5725" s="68" t="s">
        <v>418</v>
      </c>
      <c r="G5725" s="68" t="str">
        <f>IF(ISNUMBER(F5725),E5725*F5725,"")</f>
        <v/>
      </c>
      <c r="H5725" s="69"/>
      <c r="I5725" s="66"/>
      <c r="J5725" s="125">
        <v>0</v>
      </c>
    </row>
    <row r="5726" spans="1:10" ht="15.75" hidden="1" thickBot="1" x14ac:dyDescent="0.3">
      <c r="A5726" s="241" t="s">
        <v>13209</v>
      </c>
      <c r="B5726" s="237" t="s">
        <v>12989</v>
      </c>
      <c r="C5726" s="160"/>
      <c r="D5726" s="23" t="s">
        <v>69</v>
      </c>
      <c r="E5726" s="24"/>
      <c r="F5726" s="44" t="s">
        <v>418</v>
      </c>
      <c r="G5726" s="25" t="str">
        <f>IF(ISNUMBER(F5726),E5726*F5726,"")</f>
        <v/>
      </c>
      <c r="H5726" s="26"/>
      <c r="I5726" s="27"/>
      <c r="J5726" s="125">
        <v>0</v>
      </c>
    </row>
    <row r="5727" spans="1:10" ht="15.75" hidden="1" thickBot="1" x14ac:dyDescent="0.3">
      <c r="A5727" s="247"/>
      <c r="B5727" s="240"/>
      <c r="C5727" s="135"/>
      <c r="D5727" s="135"/>
      <c r="E5727" s="136"/>
      <c r="F5727" s="49" t="s">
        <v>418</v>
      </c>
      <c r="G5727" s="49" t="str">
        <f>IF(ISNUMBER(F5727),E5727*F5727,"")</f>
        <v/>
      </c>
      <c r="H5727" s="65"/>
      <c r="I5727" s="66"/>
      <c r="J5727" s="125">
        <v>0</v>
      </c>
    </row>
    <row r="5728" spans="1:10" ht="26.25" hidden="1" thickBot="1" x14ac:dyDescent="0.3">
      <c r="A5728" s="247"/>
      <c r="B5728" s="240"/>
      <c r="C5728" s="155" t="s">
        <v>20961</v>
      </c>
      <c r="D5728" s="129" t="s">
        <v>69</v>
      </c>
      <c r="E5728" s="130">
        <v>1</v>
      </c>
      <c r="F5728" s="28">
        <v>0.95</v>
      </c>
      <c r="G5728" s="49">
        <f>IF(ISNUMBER(F5728),E5728*F5728,"")</f>
        <v>0.95</v>
      </c>
      <c r="H5728" s="35">
        <f>SUM(G5728:G5728)</f>
        <v>0.95</v>
      </c>
      <c r="I5728" s="36"/>
      <c r="J5728" s="125">
        <v>0</v>
      </c>
    </row>
    <row r="5729" spans="1:10" ht="15.75" hidden="1" thickBot="1" x14ac:dyDescent="0.3">
      <c r="A5729" s="248"/>
      <c r="B5729" s="239"/>
      <c r="C5729" s="164"/>
      <c r="D5729" s="132"/>
      <c r="E5729" s="61"/>
      <c r="F5729" s="68" t="s">
        <v>418</v>
      </c>
      <c r="G5729" s="68" t="str">
        <f>IF(ISNUMBER(F5729),E5729*F5729,"")</f>
        <v/>
      </c>
      <c r="H5729" s="69"/>
      <c r="I5729" s="66"/>
      <c r="J5729" s="125">
        <v>0</v>
      </c>
    </row>
    <row r="5730" spans="1:10" ht="15.75" hidden="1" thickBot="1" x14ac:dyDescent="0.3">
      <c r="A5730" s="241" t="s">
        <v>13210</v>
      </c>
      <c r="B5730" s="237" t="s">
        <v>13572</v>
      </c>
      <c r="C5730" s="160"/>
      <c r="D5730" s="23" t="s">
        <v>69</v>
      </c>
      <c r="E5730" s="24"/>
      <c r="F5730" s="44" t="s">
        <v>418</v>
      </c>
      <c r="G5730" s="25" t="str">
        <f>IF(ISNUMBER(F5730),E5730*F5730,"")</f>
        <v/>
      </c>
      <c r="H5730" s="26"/>
      <c r="I5730" s="27"/>
      <c r="J5730" s="125">
        <v>0</v>
      </c>
    </row>
    <row r="5731" spans="1:10" ht="15.75" hidden="1" thickBot="1" x14ac:dyDescent="0.3">
      <c r="A5731" s="247"/>
      <c r="B5731" s="240"/>
      <c r="C5731" s="135"/>
      <c r="D5731" s="135"/>
      <c r="E5731" s="136"/>
      <c r="F5731" s="49" t="s">
        <v>418</v>
      </c>
      <c r="G5731" s="49" t="str">
        <f>IF(ISNUMBER(F5731),E5731*F5731,"")</f>
        <v/>
      </c>
      <c r="H5731" s="65"/>
      <c r="I5731" s="66"/>
      <c r="J5731" s="125">
        <v>0</v>
      </c>
    </row>
    <row r="5732" spans="1:10" ht="26.25" hidden="1" thickBot="1" x14ac:dyDescent="0.3">
      <c r="A5732" s="247"/>
      <c r="B5732" s="240"/>
      <c r="C5732" s="155" t="s">
        <v>20964</v>
      </c>
      <c r="D5732" s="129" t="s">
        <v>69</v>
      </c>
      <c r="E5732" s="130">
        <v>1</v>
      </c>
      <c r="F5732" s="28">
        <v>0.95</v>
      </c>
      <c r="G5732" s="49">
        <f>IF(ISNUMBER(F5732),E5732*F5732,"")</f>
        <v>0.95</v>
      </c>
      <c r="H5732" s="35">
        <f>SUM(G5732:G5732)</f>
        <v>0.95</v>
      </c>
      <c r="I5732" s="36"/>
      <c r="J5732" s="125">
        <v>0</v>
      </c>
    </row>
    <row r="5733" spans="1:10" ht="15.75" hidden="1" thickBot="1" x14ac:dyDescent="0.3">
      <c r="A5733" s="248"/>
      <c r="B5733" s="239"/>
      <c r="C5733" s="164"/>
      <c r="D5733" s="132"/>
      <c r="E5733" s="61"/>
      <c r="F5733" s="68" t="s">
        <v>418</v>
      </c>
      <c r="G5733" s="68" t="str">
        <f>IF(ISNUMBER(F5733),E5733*F5733,"")</f>
        <v/>
      </c>
      <c r="H5733" s="69"/>
      <c r="I5733" s="66"/>
      <c r="J5733" s="125">
        <v>0</v>
      </c>
    </row>
    <row r="5734" spans="1:10" ht="15.75" hidden="1" thickBot="1" x14ac:dyDescent="0.3">
      <c r="A5734" s="241" t="s">
        <v>13211</v>
      </c>
      <c r="B5734" s="237" t="s">
        <v>12990</v>
      </c>
      <c r="C5734" s="160"/>
      <c r="D5734" s="23" t="s">
        <v>69</v>
      </c>
      <c r="E5734" s="24"/>
      <c r="F5734" s="44" t="s">
        <v>418</v>
      </c>
      <c r="G5734" s="25" t="str">
        <f>IF(ISNUMBER(F5734),E5734*F5734,"")</f>
        <v/>
      </c>
      <c r="H5734" s="26"/>
      <c r="I5734" s="27"/>
      <c r="J5734" s="125">
        <v>0</v>
      </c>
    </row>
    <row r="5735" spans="1:10" ht="15.75" hidden="1" thickBot="1" x14ac:dyDescent="0.3">
      <c r="A5735" s="247"/>
      <c r="B5735" s="240"/>
      <c r="C5735" s="135"/>
      <c r="D5735" s="135"/>
      <c r="E5735" s="136"/>
      <c r="F5735" s="49" t="s">
        <v>418</v>
      </c>
      <c r="G5735" s="49" t="str">
        <f>IF(ISNUMBER(F5735),E5735*F5735,"")</f>
        <v/>
      </c>
      <c r="H5735" s="65"/>
      <c r="I5735" s="66"/>
      <c r="J5735" s="125">
        <v>0</v>
      </c>
    </row>
    <row r="5736" spans="1:10" ht="26.25" hidden="1" thickBot="1" x14ac:dyDescent="0.3">
      <c r="A5736" s="247"/>
      <c r="B5736" s="240"/>
      <c r="C5736" s="155" t="s">
        <v>20965</v>
      </c>
      <c r="D5736" s="129" t="s">
        <v>97</v>
      </c>
      <c r="E5736" s="130">
        <v>1</v>
      </c>
      <c r="F5736" s="28">
        <v>0.95</v>
      </c>
      <c r="G5736" s="49">
        <f>IF(ISNUMBER(F5736),E5736*F5736,"")</f>
        <v>0.95</v>
      </c>
      <c r="H5736" s="35">
        <f>SUM(G5736:G5736)</f>
        <v>0.95</v>
      </c>
      <c r="I5736" s="36"/>
      <c r="J5736" s="125">
        <v>0</v>
      </c>
    </row>
    <row r="5737" spans="1:10" ht="15.75" hidden="1" thickBot="1" x14ac:dyDescent="0.3">
      <c r="A5737" s="248"/>
      <c r="B5737" s="239"/>
      <c r="C5737" s="164"/>
      <c r="D5737" s="132"/>
      <c r="E5737" s="61"/>
      <c r="F5737" s="68" t="s">
        <v>418</v>
      </c>
      <c r="G5737" s="68" t="str">
        <f>IF(ISNUMBER(F5737),E5737*F5737,"")</f>
        <v/>
      </c>
      <c r="H5737" s="69"/>
      <c r="I5737" s="66"/>
      <c r="J5737" s="125">
        <v>0</v>
      </c>
    </row>
    <row r="5738" spans="1:10" ht="15.75" hidden="1" thickBot="1" x14ac:dyDescent="0.3">
      <c r="A5738" s="241" t="s">
        <v>13212</v>
      </c>
      <c r="B5738" s="237" t="s">
        <v>12995</v>
      </c>
      <c r="C5738" s="160"/>
      <c r="D5738" s="23" t="s">
        <v>16</v>
      </c>
      <c r="E5738" s="24"/>
      <c r="F5738" s="44" t="s">
        <v>418</v>
      </c>
      <c r="G5738" s="25" t="str">
        <f>IF(ISNUMBER(F5738),E5738*F5738,"")</f>
        <v/>
      </c>
      <c r="H5738" s="26"/>
      <c r="I5738" s="27"/>
      <c r="J5738" s="125">
        <v>0</v>
      </c>
    </row>
    <row r="5739" spans="1:10" ht="15.75" hidden="1" thickBot="1" x14ac:dyDescent="0.3">
      <c r="A5739" s="247"/>
      <c r="B5739" s="240"/>
      <c r="C5739" s="135"/>
      <c r="D5739" s="135"/>
      <c r="E5739" s="136"/>
      <c r="F5739" s="49" t="s">
        <v>418</v>
      </c>
      <c r="G5739" s="49" t="str">
        <f>IF(ISNUMBER(F5739),E5739*F5739,"")</f>
        <v/>
      </c>
      <c r="H5739" s="65"/>
      <c r="I5739" s="66"/>
      <c r="J5739" s="125">
        <v>0</v>
      </c>
    </row>
    <row r="5740" spans="1:10" ht="26.25" hidden="1" thickBot="1" x14ac:dyDescent="0.3">
      <c r="A5740" s="247"/>
      <c r="B5740" s="240"/>
      <c r="C5740" s="155" t="s">
        <v>26265</v>
      </c>
      <c r="D5740" s="155" t="s">
        <v>205</v>
      </c>
      <c r="E5740" s="130">
        <v>1</v>
      </c>
      <c r="F5740" s="28">
        <v>1.7575000000000001</v>
      </c>
      <c r="G5740" s="49">
        <f>IF(ISNUMBER(F5740),E5740*F5740,"")</f>
        <v>1.7575000000000001</v>
      </c>
      <c r="H5740" s="35">
        <f>SUM(G5740:G5740)</f>
        <v>1.7575000000000001</v>
      </c>
      <c r="I5740" s="36"/>
      <c r="J5740" s="125">
        <v>0</v>
      </c>
    </row>
    <row r="5741" spans="1:10" ht="15.75" hidden="1" thickBot="1" x14ac:dyDescent="0.3">
      <c r="A5741" s="248"/>
      <c r="B5741" s="239"/>
      <c r="C5741" s="164"/>
      <c r="D5741" s="132"/>
      <c r="E5741" s="61"/>
      <c r="F5741" s="68" t="s">
        <v>418</v>
      </c>
      <c r="G5741" s="68" t="str">
        <f>IF(ISNUMBER(F5741),E5741*F5741,"")</f>
        <v/>
      </c>
      <c r="H5741" s="69"/>
      <c r="I5741" s="66"/>
      <c r="J5741" s="125">
        <v>0</v>
      </c>
    </row>
    <row r="5742" spans="1:10" ht="15.75" hidden="1" thickBot="1" x14ac:dyDescent="0.3">
      <c r="A5742" s="234" t="s">
        <v>13213</v>
      </c>
      <c r="B5742" s="237" t="s">
        <v>12996</v>
      </c>
      <c r="C5742" s="160"/>
      <c r="D5742" s="23" t="s">
        <v>16</v>
      </c>
      <c r="E5742" s="24"/>
      <c r="F5742" s="44" t="s">
        <v>418</v>
      </c>
      <c r="G5742" s="25" t="str">
        <f>IF(ISNUMBER(F5742),E5742*F5742,"")</f>
        <v/>
      </c>
      <c r="H5742" s="26"/>
      <c r="I5742" s="27"/>
      <c r="J5742" s="125">
        <v>0</v>
      </c>
    </row>
    <row r="5743" spans="1:10" ht="15.75" hidden="1" thickBot="1" x14ac:dyDescent="0.3">
      <c r="A5743" s="249"/>
      <c r="B5743" s="240"/>
      <c r="C5743" s="135"/>
      <c r="D5743" s="135"/>
      <c r="E5743" s="136"/>
      <c r="F5743" s="49" t="s">
        <v>418</v>
      </c>
      <c r="G5743" s="49" t="str">
        <f>IF(ISNUMBER(F5743),E5743*F5743,"")</f>
        <v/>
      </c>
      <c r="H5743" s="65"/>
      <c r="I5743" s="66"/>
      <c r="J5743" s="125">
        <v>0</v>
      </c>
    </row>
    <row r="5744" spans="1:10" ht="26.25" hidden="1" thickBot="1" x14ac:dyDescent="0.3">
      <c r="A5744" s="249"/>
      <c r="B5744" s="240"/>
      <c r="C5744" s="155" t="s">
        <v>25080</v>
      </c>
      <c r="D5744" s="155" t="s">
        <v>205</v>
      </c>
      <c r="E5744" s="130">
        <v>1</v>
      </c>
      <c r="F5744" s="28">
        <v>4.3795000000000002</v>
      </c>
      <c r="G5744" s="49">
        <f>IF(ISNUMBER(F5744),E5744*F5744,"")</f>
        <v>4.3795000000000002</v>
      </c>
      <c r="H5744" s="35">
        <f>SUM(G5744:G5744)</f>
        <v>4.3795000000000002</v>
      </c>
      <c r="I5744" s="36"/>
      <c r="J5744" s="125">
        <v>0</v>
      </c>
    </row>
    <row r="5745" spans="1:10" ht="15.75" hidden="1" thickBot="1" x14ac:dyDescent="0.3">
      <c r="A5745" s="250"/>
      <c r="B5745" s="239"/>
      <c r="C5745" s="164"/>
      <c r="D5745" s="132"/>
      <c r="E5745" s="61"/>
      <c r="F5745" s="68" t="s">
        <v>418</v>
      </c>
      <c r="G5745" s="68" t="str">
        <f>IF(ISNUMBER(F5745),E5745*F5745,"")</f>
        <v/>
      </c>
      <c r="H5745" s="69"/>
      <c r="I5745" s="66"/>
      <c r="J5745" s="125">
        <v>0</v>
      </c>
    </row>
    <row r="5746" spans="1:10" ht="15.75" hidden="1" thickBot="1" x14ac:dyDescent="0.3">
      <c r="A5746" s="234" t="s">
        <v>13214</v>
      </c>
      <c r="B5746" s="237" t="s">
        <v>12997</v>
      </c>
      <c r="C5746" s="160"/>
      <c r="D5746" s="23" t="s">
        <v>16</v>
      </c>
      <c r="E5746" s="24"/>
      <c r="F5746" s="44" t="s">
        <v>418</v>
      </c>
      <c r="G5746" s="25" t="str">
        <f>IF(ISNUMBER(F5746),E5746*F5746,"")</f>
        <v/>
      </c>
      <c r="H5746" s="26"/>
      <c r="I5746" s="27"/>
      <c r="J5746" s="125">
        <v>0</v>
      </c>
    </row>
    <row r="5747" spans="1:10" ht="15.75" hidden="1" thickBot="1" x14ac:dyDescent="0.3">
      <c r="A5747" s="249"/>
      <c r="B5747" s="240"/>
      <c r="C5747" s="135"/>
      <c r="D5747" s="135"/>
      <c r="E5747" s="136"/>
      <c r="F5747" s="49" t="s">
        <v>418</v>
      </c>
      <c r="G5747" s="49" t="str">
        <f>IF(ISNUMBER(F5747),E5747*F5747,"")</f>
        <v/>
      </c>
      <c r="H5747" s="65"/>
      <c r="I5747" s="66"/>
      <c r="J5747" s="125">
        <v>0</v>
      </c>
    </row>
    <row r="5748" spans="1:10" ht="39" hidden="1" thickBot="1" x14ac:dyDescent="0.3">
      <c r="A5748" s="249"/>
      <c r="B5748" s="240"/>
      <c r="C5748" s="155" t="s">
        <v>24749</v>
      </c>
      <c r="D5748" s="155" t="s">
        <v>205</v>
      </c>
      <c r="E5748" s="130">
        <v>1</v>
      </c>
      <c r="F5748" s="28">
        <v>1.6624999999999999</v>
      </c>
      <c r="G5748" s="49">
        <f>IF(ISNUMBER(F5748),E5748*F5748,"")</f>
        <v>1.6624999999999999</v>
      </c>
      <c r="H5748" s="35">
        <f>SUM(G5748:G5748)</f>
        <v>1.6624999999999999</v>
      </c>
      <c r="I5748" s="36"/>
      <c r="J5748" s="125">
        <v>0</v>
      </c>
    </row>
    <row r="5749" spans="1:10" ht="15.75" hidden="1" thickBot="1" x14ac:dyDescent="0.3">
      <c r="A5749" s="250"/>
      <c r="B5749" s="239"/>
      <c r="C5749" s="164"/>
      <c r="D5749" s="132"/>
      <c r="E5749" s="61"/>
      <c r="F5749" s="68" t="s">
        <v>418</v>
      </c>
      <c r="G5749" s="68" t="str">
        <f>IF(ISNUMBER(F5749),E5749*F5749,"")</f>
        <v/>
      </c>
      <c r="H5749" s="69"/>
      <c r="I5749" s="66"/>
      <c r="J5749" s="125">
        <v>0</v>
      </c>
    </row>
    <row r="5750" spans="1:10" ht="15.75" hidden="1" thickBot="1" x14ac:dyDescent="0.3">
      <c r="A5750" s="234" t="s">
        <v>13215</v>
      </c>
      <c r="B5750" s="237" t="s">
        <v>12998</v>
      </c>
      <c r="C5750" s="160"/>
      <c r="D5750" s="23" t="s">
        <v>16</v>
      </c>
      <c r="E5750" s="24"/>
      <c r="F5750" s="44" t="s">
        <v>418</v>
      </c>
      <c r="G5750" s="25" t="str">
        <f>IF(ISNUMBER(F5750),E5750*F5750,"")</f>
        <v/>
      </c>
      <c r="H5750" s="26"/>
      <c r="I5750" s="27"/>
      <c r="J5750" s="125">
        <v>0</v>
      </c>
    </row>
    <row r="5751" spans="1:10" ht="15.75" hidden="1" thickBot="1" x14ac:dyDescent="0.3">
      <c r="A5751" s="249"/>
      <c r="B5751" s="240"/>
      <c r="C5751" s="135"/>
      <c r="D5751" s="135"/>
      <c r="E5751" s="136"/>
      <c r="F5751" s="49" t="s">
        <v>418</v>
      </c>
      <c r="G5751" s="49" t="str">
        <f>IF(ISNUMBER(F5751),E5751*F5751,"")</f>
        <v/>
      </c>
      <c r="H5751" s="65"/>
      <c r="I5751" s="66"/>
      <c r="J5751" s="125">
        <v>0</v>
      </c>
    </row>
    <row r="5752" spans="1:10" ht="39" hidden="1" thickBot="1" x14ac:dyDescent="0.3">
      <c r="A5752" s="249"/>
      <c r="B5752" s="240"/>
      <c r="C5752" s="155" t="s">
        <v>24716</v>
      </c>
      <c r="D5752" s="155" t="s">
        <v>205</v>
      </c>
      <c r="E5752" s="130">
        <v>1</v>
      </c>
      <c r="F5752" s="28">
        <v>7.8469999999999995</v>
      </c>
      <c r="G5752" s="49">
        <f>IF(ISNUMBER(F5752),E5752*F5752,"")</f>
        <v>7.8469999999999995</v>
      </c>
      <c r="H5752" s="35">
        <f>SUM(G5752:G5752)</f>
        <v>7.8469999999999995</v>
      </c>
      <c r="I5752" s="36"/>
      <c r="J5752" s="125">
        <v>0</v>
      </c>
    </row>
    <row r="5753" spans="1:10" ht="15.75" hidden="1" thickBot="1" x14ac:dyDescent="0.3">
      <c r="A5753" s="250"/>
      <c r="B5753" s="239"/>
      <c r="C5753" s="164"/>
      <c r="D5753" s="132"/>
      <c r="E5753" s="61"/>
      <c r="F5753" s="68" t="s">
        <v>418</v>
      </c>
      <c r="G5753" s="68" t="str">
        <f>IF(ISNUMBER(F5753),E5753*F5753,"")</f>
        <v/>
      </c>
      <c r="H5753" s="69"/>
      <c r="I5753" s="66"/>
      <c r="J5753" s="125">
        <v>0</v>
      </c>
    </row>
    <row r="5754" spans="1:10" ht="15.75" hidden="1" thickBot="1" x14ac:dyDescent="0.3">
      <c r="A5754" s="241" t="s">
        <v>13216</v>
      </c>
      <c r="B5754" s="237" t="s">
        <v>12999</v>
      </c>
      <c r="C5754" s="160"/>
      <c r="D5754" s="23" t="s">
        <v>16</v>
      </c>
      <c r="E5754" s="24"/>
      <c r="F5754" s="44" t="s">
        <v>418</v>
      </c>
      <c r="G5754" s="25" t="str">
        <f>IF(ISNUMBER(F5754),E5754*F5754,"")</f>
        <v/>
      </c>
      <c r="H5754" s="26"/>
      <c r="I5754" s="27"/>
      <c r="J5754" s="125">
        <v>0</v>
      </c>
    </row>
    <row r="5755" spans="1:10" ht="15.75" hidden="1" thickBot="1" x14ac:dyDescent="0.3">
      <c r="A5755" s="247"/>
      <c r="B5755" s="240"/>
      <c r="C5755" s="135"/>
      <c r="D5755" s="135"/>
      <c r="E5755" s="136"/>
      <c r="F5755" s="49" t="s">
        <v>418</v>
      </c>
      <c r="G5755" s="49" t="str">
        <f>IF(ISNUMBER(F5755),E5755*F5755,"")</f>
        <v/>
      </c>
      <c r="H5755" s="65"/>
      <c r="I5755" s="66"/>
      <c r="J5755" s="125">
        <v>0</v>
      </c>
    </row>
    <row r="5756" spans="1:10" ht="26.25" hidden="1" thickBot="1" x14ac:dyDescent="0.3">
      <c r="A5756" s="247"/>
      <c r="B5756" s="240"/>
      <c r="C5756" s="155" t="s">
        <v>26266</v>
      </c>
      <c r="D5756" s="155" t="s">
        <v>205</v>
      </c>
      <c r="E5756" s="130">
        <v>1</v>
      </c>
      <c r="F5756" s="28">
        <v>1.8619999999999999</v>
      </c>
      <c r="G5756" s="49">
        <f>IF(ISNUMBER(F5756),E5756*F5756,"")</f>
        <v>1.8619999999999999</v>
      </c>
      <c r="H5756" s="35">
        <f>SUM(G5756:G5756)</f>
        <v>1.8619999999999999</v>
      </c>
      <c r="I5756" s="36"/>
      <c r="J5756" s="125">
        <v>0</v>
      </c>
    </row>
    <row r="5757" spans="1:10" ht="15.75" hidden="1" thickBot="1" x14ac:dyDescent="0.3">
      <c r="A5757" s="248"/>
      <c r="B5757" s="239"/>
      <c r="C5757" s="164"/>
      <c r="D5757" s="132"/>
      <c r="E5757" s="61"/>
      <c r="F5757" s="68" t="s">
        <v>418</v>
      </c>
      <c r="G5757" s="68" t="str">
        <f>IF(ISNUMBER(F5757),E5757*F5757,"")</f>
        <v/>
      </c>
      <c r="H5757" s="69"/>
      <c r="I5757" s="66"/>
      <c r="J5757" s="125">
        <v>0</v>
      </c>
    </row>
    <row r="5758" spans="1:10" ht="15.75" hidden="1" thickBot="1" x14ac:dyDescent="0.3">
      <c r="A5758" s="241" t="s">
        <v>13217</v>
      </c>
      <c r="B5758" s="237" t="s">
        <v>13000</v>
      </c>
      <c r="C5758" s="160"/>
      <c r="D5758" s="23" t="s">
        <v>16</v>
      </c>
      <c r="E5758" s="24"/>
      <c r="F5758" s="44" t="s">
        <v>418</v>
      </c>
      <c r="G5758" s="25" t="str">
        <f>IF(ISNUMBER(F5758),E5758*F5758,"")</f>
        <v/>
      </c>
      <c r="H5758" s="26"/>
      <c r="I5758" s="27"/>
      <c r="J5758" s="125">
        <v>0</v>
      </c>
    </row>
    <row r="5759" spans="1:10" ht="15.75" hidden="1" thickBot="1" x14ac:dyDescent="0.3">
      <c r="A5759" s="247"/>
      <c r="B5759" s="240"/>
      <c r="C5759" s="135"/>
      <c r="D5759" s="135"/>
      <c r="E5759" s="136"/>
      <c r="F5759" s="49" t="s">
        <v>418</v>
      </c>
      <c r="G5759" s="49" t="str">
        <f>IF(ISNUMBER(F5759),E5759*F5759,"")</f>
        <v/>
      </c>
      <c r="H5759" s="65"/>
      <c r="I5759" s="66"/>
      <c r="J5759" s="125">
        <v>0</v>
      </c>
    </row>
    <row r="5760" spans="1:10" ht="26.25" hidden="1" thickBot="1" x14ac:dyDescent="0.3">
      <c r="A5760" s="247"/>
      <c r="B5760" s="240"/>
      <c r="C5760" s="155" t="s">
        <v>25081</v>
      </c>
      <c r="D5760" s="155" t="s">
        <v>205</v>
      </c>
      <c r="E5760" s="130">
        <v>1</v>
      </c>
      <c r="F5760" s="28">
        <v>4.9589999999999996</v>
      </c>
      <c r="G5760" s="49">
        <f>IF(ISNUMBER(F5760),E5760*F5760,"")</f>
        <v>4.9589999999999996</v>
      </c>
      <c r="H5760" s="35">
        <f>SUM(G5760:G5760)</f>
        <v>4.9589999999999996</v>
      </c>
      <c r="I5760" s="36"/>
      <c r="J5760" s="125">
        <v>0</v>
      </c>
    </row>
    <row r="5761" spans="1:10" ht="15.75" hidden="1" thickBot="1" x14ac:dyDescent="0.3">
      <c r="A5761" s="248"/>
      <c r="B5761" s="239"/>
      <c r="C5761" s="164"/>
      <c r="D5761" s="132"/>
      <c r="E5761" s="61"/>
      <c r="F5761" s="68" t="s">
        <v>418</v>
      </c>
      <c r="G5761" s="68" t="str">
        <f>IF(ISNUMBER(F5761),E5761*F5761,"")</f>
        <v/>
      </c>
      <c r="H5761" s="69"/>
      <c r="I5761" s="66"/>
      <c r="J5761" s="125">
        <v>0</v>
      </c>
    </row>
    <row r="5762" spans="1:10" ht="15.75" hidden="1" thickBot="1" x14ac:dyDescent="0.3">
      <c r="A5762" s="241" t="s">
        <v>13218</v>
      </c>
      <c r="B5762" s="237" t="s">
        <v>13001</v>
      </c>
      <c r="C5762" s="160"/>
      <c r="D5762" s="23" t="s">
        <v>16</v>
      </c>
      <c r="E5762" s="24"/>
      <c r="F5762" s="44" t="s">
        <v>418</v>
      </c>
      <c r="G5762" s="25" t="str">
        <f>IF(ISNUMBER(F5762),E5762*F5762,"")</f>
        <v/>
      </c>
      <c r="H5762" s="26"/>
      <c r="I5762" s="27"/>
      <c r="J5762" s="125">
        <v>0</v>
      </c>
    </row>
    <row r="5763" spans="1:10" ht="15.75" hidden="1" thickBot="1" x14ac:dyDescent="0.3">
      <c r="A5763" s="247"/>
      <c r="B5763" s="240"/>
      <c r="C5763" s="135"/>
      <c r="D5763" s="135"/>
      <c r="E5763" s="136"/>
      <c r="F5763" s="49" t="s">
        <v>418</v>
      </c>
      <c r="G5763" s="49" t="str">
        <f>IF(ISNUMBER(F5763),E5763*F5763,"")</f>
        <v/>
      </c>
      <c r="H5763" s="65"/>
      <c r="I5763" s="66"/>
      <c r="J5763" s="125">
        <v>0</v>
      </c>
    </row>
    <row r="5764" spans="1:10" ht="39" hidden="1" thickBot="1" x14ac:dyDescent="0.3">
      <c r="A5764" s="247"/>
      <c r="B5764" s="240"/>
      <c r="C5764" s="155" t="s">
        <v>24746</v>
      </c>
      <c r="D5764" s="155" t="s">
        <v>205</v>
      </c>
      <c r="E5764" s="130">
        <v>1</v>
      </c>
      <c r="F5764" s="28">
        <v>2.964</v>
      </c>
      <c r="G5764" s="49">
        <f>IF(ISNUMBER(F5764),E5764*F5764,"")</f>
        <v>2.964</v>
      </c>
      <c r="H5764" s="35">
        <f>SUM(G5764:G5764)</f>
        <v>2.964</v>
      </c>
      <c r="I5764" s="36"/>
      <c r="J5764" s="125">
        <v>0</v>
      </c>
    </row>
    <row r="5765" spans="1:10" ht="15.75" hidden="1" thickBot="1" x14ac:dyDescent="0.3">
      <c r="A5765" s="248"/>
      <c r="B5765" s="239"/>
      <c r="C5765" s="164"/>
      <c r="D5765" s="132"/>
      <c r="E5765" s="61"/>
      <c r="F5765" s="68" t="s">
        <v>418</v>
      </c>
      <c r="G5765" s="68" t="str">
        <f>IF(ISNUMBER(F5765),E5765*F5765,"")</f>
        <v/>
      </c>
      <c r="H5765" s="69"/>
      <c r="I5765" s="66"/>
      <c r="J5765" s="125">
        <v>0</v>
      </c>
    </row>
    <row r="5766" spans="1:10" ht="15.75" hidden="1" thickBot="1" x14ac:dyDescent="0.3">
      <c r="A5766" s="241" t="s">
        <v>13219</v>
      </c>
      <c r="B5766" s="237" t="s">
        <v>13002</v>
      </c>
      <c r="C5766" s="160"/>
      <c r="D5766" s="23" t="s">
        <v>16</v>
      </c>
      <c r="E5766" s="24"/>
      <c r="F5766" s="44" t="s">
        <v>418</v>
      </c>
      <c r="G5766" s="25" t="str">
        <f>IF(ISNUMBER(F5766),E5766*F5766,"")</f>
        <v/>
      </c>
      <c r="H5766" s="26"/>
      <c r="I5766" s="27"/>
      <c r="J5766" s="125">
        <v>0</v>
      </c>
    </row>
    <row r="5767" spans="1:10" ht="15.75" hidden="1" thickBot="1" x14ac:dyDescent="0.3">
      <c r="A5767" s="247"/>
      <c r="B5767" s="240"/>
      <c r="C5767" s="135"/>
      <c r="D5767" s="135"/>
      <c r="E5767" s="136"/>
      <c r="F5767" s="49" t="s">
        <v>418</v>
      </c>
      <c r="G5767" s="49" t="str">
        <f>IF(ISNUMBER(F5767),E5767*F5767,"")</f>
        <v/>
      </c>
      <c r="H5767" s="65"/>
      <c r="I5767" s="66"/>
      <c r="J5767" s="125">
        <v>0</v>
      </c>
    </row>
    <row r="5768" spans="1:10" ht="39" hidden="1" thickBot="1" x14ac:dyDescent="0.3">
      <c r="A5768" s="247"/>
      <c r="B5768" s="240"/>
      <c r="C5768" s="155" t="s">
        <v>24712</v>
      </c>
      <c r="D5768" s="155" t="s">
        <v>205</v>
      </c>
      <c r="E5768" s="130">
        <v>1</v>
      </c>
      <c r="F5768" s="28">
        <v>9.4334999999999987</v>
      </c>
      <c r="G5768" s="49">
        <f>IF(ISNUMBER(F5768),E5768*F5768,"")</f>
        <v>9.4334999999999987</v>
      </c>
      <c r="H5768" s="35">
        <f>SUM(G5768:G5768)</f>
        <v>9.4334999999999987</v>
      </c>
      <c r="I5768" s="36"/>
      <c r="J5768" s="125">
        <v>0</v>
      </c>
    </row>
    <row r="5769" spans="1:10" ht="15.75" hidden="1" thickBot="1" x14ac:dyDescent="0.3">
      <c r="A5769" s="248"/>
      <c r="B5769" s="239"/>
      <c r="C5769" s="164"/>
      <c r="D5769" s="132"/>
      <c r="E5769" s="61"/>
      <c r="F5769" s="68" t="s">
        <v>418</v>
      </c>
      <c r="G5769" s="68" t="str">
        <f>IF(ISNUMBER(F5769),E5769*F5769,"")</f>
        <v/>
      </c>
      <c r="H5769" s="69"/>
      <c r="I5769" s="66"/>
      <c r="J5769" s="125">
        <v>0</v>
      </c>
    </row>
    <row r="5770" spans="1:10" ht="15.75" hidden="1" thickBot="1" x14ac:dyDescent="0.3">
      <c r="A5770" s="241" t="s">
        <v>13220</v>
      </c>
      <c r="B5770" s="237" t="s">
        <v>13003</v>
      </c>
      <c r="C5770" s="160"/>
      <c r="D5770" s="23" t="s">
        <v>16</v>
      </c>
      <c r="E5770" s="24"/>
      <c r="F5770" s="44" t="s">
        <v>418</v>
      </c>
      <c r="G5770" s="25" t="str">
        <f>IF(ISNUMBER(F5770),E5770*F5770,"")</f>
        <v/>
      </c>
      <c r="H5770" s="26"/>
      <c r="I5770" s="27"/>
      <c r="J5770" s="125">
        <v>0</v>
      </c>
    </row>
    <row r="5771" spans="1:10" ht="15.75" hidden="1" thickBot="1" x14ac:dyDescent="0.3">
      <c r="A5771" s="247"/>
      <c r="B5771" s="240"/>
      <c r="C5771" s="135"/>
      <c r="D5771" s="135"/>
      <c r="E5771" s="136"/>
      <c r="F5771" s="49" t="s">
        <v>418</v>
      </c>
      <c r="G5771" s="49" t="str">
        <f>IF(ISNUMBER(F5771),E5771*F5771,"")</f>
        <v/>
      </c>
      <c r="H5771" s="65"/>
      <c r="I5771" s="66"/>
      <c r="J5771" s="125">
        <v>0</v>
      </c>
    </row>
    <row r="5772" spans="1:10" ht="26.25" hidden="1" thickBot="1" x14ac:dyDescent="0.3">
      <c r="A5772" s="247"/>
      <c r="B5772" s="240"/>
      <c r="C5772" s="155" t="s">
        <v>26267</v>
      </c>
      <c r="D5772" s="155" t="s">
        <v>205</v>
      </c>
      <c r="E5772" s="130">
        <v>1</v>
      </c>
      <c r="F5772" s="28">
        <v>2.1755</v>
      </c>
      <c r="G5772" s="49">
        <f>IF(ISNUMBER(F5772),E5772*F5772,"")</f>
        <v>2.1755</v>
      </c>
      <c r="H5772" s="35">
        <f>SUM(G5772:G5772)</f>
        <v>2.1755</v>
      </c>
      <c r="I5772" s="36"/>
      <c r="J5772" s="125">
        <v>0</v>
      </c>
    </row>
    <row r="5773" spans="1:10" ht="15.75" hidden="1" thickBot="1" x14ac:dyDescent="0.3">
      <c r="A5773" s="248"/>
      <c r="B5773" s="239"/>
      <c r="C5773" s="164"/>
      <c r="D5773" s="132"/>
      <c r="E5773" s="61"/>
      <c r="F5773" s="68" t="s">
        <v>418</v>
      </c>
      <c r="G5773" s="68" t="str">
        <f>IF(ISNUMBER(F5773),E5773*F5773,"")</f>
        <v/>
      </c>
      <c r="H5773" s="69"/>
      <c r="I5773" s="66"/>
      <c r="J5773" s="125">
        <v>0</v>
      </c>
    </row>
    <row r="5774" spans="1:10" ht="15.75" hidden="1" thickBot="1" x14ac:dyDescent="0.3">
      <c r="A5774" s="241" t="s">
        <v>13221</v>
      </c>
      <c r="B5774" s="237" t="s">
        <v>13004</v>
      </c>
      <c r="C5774" s="160"/>
      <c r="D5774" s="23" t="s">
        <v>16</v>
      </c>
      <c r="E5774" s="24"/>
      <c r="F5774" s="44" t="s">
        <v>418</v>
      </c>
      <c r="G5774" s="25" t="str">
        <f>IF(ISNUMBER(F5774),E5774*F5774,"")</f>
        <v/>
      </c>
      <c r="H5774" s="26"/>
      <c r="I5774" s="27"/>
      <c r="J5774" s="125">
        <v>0</v>
      </c>
    </row>
    <row r="5775" spans="1:10" ht="15.75" hidden="1" thickBot="1" x14ac:dyDescent="0.3">
      <c r="A5775" s="247"/>
      <c r="B5775" s="240"/>
      <c r="C5775" s="135"/>
      <c r="D5775" s="135"/>
      <c r="E5775" s="136"/>
      <c r="F5775" s="49" t="s">
        <v>418</v>
      </c>
      <c r="G5775" s="49" t="str">
        <f>IF(ISNUMBER(F5775),E5775*F5775,"")</f>
        <v/>
      </c>
      <c r="H5775" s="65"/>
      <c r="I5775" s="66"/>
      <c r="J5775" s="125">
        <v>0</v>
      </c>
    </row>
    <row r="5776" spans="1:10" ht="26.25" hidden="1" thickBot="1" x14ac:dyDescent="0.3">
      <c r="A5776" s="247"/>
      <c r="B5776" s="240"/>
      <c r="C5776" s="155" t="s">
        <v>25082</v>
      </c>
      <c r="D5776" s="155" t="s">
        <v>205</v>
      </c>
      <c r="E5776" s="130">
        <v>1</v>
      </c>
      <c r="F5776" s="28">
        <v>6.7354999999999992</v>
      </c>
      <c r="G5776" s="49">
        <f>IF(ISNUMBER(F5776),E5776*F5776,"")</f>
        <v>6.7354999999999992</v>
      </c>
      <c r="H5776" s="35">
        <f>SUM(G5776:G5776)</f>
        <v>6.7354999999999992</v>
      </c>
      <c r="I5776" s="36"/>
      <c r="J5776" s="125">
        <v>0</v>
      </c>
    </row>
    <row r="5777" spans="1:10" ht="15.75" hidden="1" thickBot="1" x14ac:dyDescent="0.3">
      <c r="A5777" s="248"/>
      <c r="B5777" s="239"/>
      <c r="C5777" s="164"/>
      <c r="D5777" s="132"/>
      <c r="E5777" s="61"/>
      <c r="F5777" s="68" t="s">
        <v>418</v>
      </c>
      <c r="G5777" s="68" t="str">
        <f>IF(ISNUMBER(F5777),E5777*F5777,"")</f>
        <v/>
      </c>
      <c r="H5777" s="69"/>
      <c r="I5777" s="66"/>
      <c r="J5777" s="125">
        <v>0</v>
      </c>
    </row>
    <row r="5778" spans="1:10" ht="15.75" hidden="1" thickBot="1" x14ac:dyDescent="0.3">
      <c r="A5778" s="241" t="s">
        <v>13222</v>
      </c>
      <c r="B5778" s="237" t="s">
        <v>13005</v>
      </c>
      <c r="C5778" s="160"/>
      <c r="D5778" s="23" t="s">
        <v>16</v>
      </c>
      <c r="E5778" s="24"/>
      <c r="F5778" s="44" t="s">
        <v>418</v>
      </c>
      <c r="G5778" s="25" t="str">
        <f>IF(ISNUMBER(F5778),E5778*F5778,"")</f>
        <v/>
      </c>
      <c r="H5778" s="26"/>
      <c r="I5778" s="27"/>
      <c r="J5778" s="125">
        <v>0</v>
      </c>
    </row>
    <row r="5779" spans="1:10" ht="15.75" hidden="1" thickBot="1" x14ac:dyDescent="0.3">
      <c r="A5779" s="247"/>
      <c r="B5779" s="240"/>
      <c r="C5779" s="135"/>
      <c r="D5779" s="135"/>
      <c r="E5779" s="136"/>
      <c r="F5779" s="49" t="s">
        <v>418</v>
      </c>
      <c r="G5779" s="49" t="str">
        <f>IF(ISNUMBER(F5779),E5779*F5779,"")</f>
        <v/>
      </c>
      <c r="H5779" s="65"/>
      <c r="I5779" s="66"/>
      <c r="J5779" s="125">
        <v>0</v>
      </c>
    </row>
    <row r="5780" spans="1:10" ht="39" hidden="1" thickBot="1" x14ac:dyDescent="0.3">
      <c r="A5780" s="247"/>
      <c r="B5780" s="240"/>
      <c r="C5780" s="155" t="s">
        <v>24744</v>
      </c>
      <c r="D5780" s="155" t="s">
        <v>205</v>
      </c>
      <c r="E5780" s="130">
        <v>1</v>
      </c>
      <c r="F5780" s="28">
        <v>4.1704999999999997</v>
      </c>
      <c r="G5780" s="49">
        <f>IF(ISNUMBER(F5780),E5780*F5780,"")</f>
        <v>4.1704999999999997</v>
      </c>
      <c r="H5780" s="35">
        <f>SUM(G5780:G5780)</f>
        <v>4.1704999999999997</v>
      </c>
      <c r="I5780" s="36"/>
      <c r="J5780" s="125">
        <v>0</v>
      </c>
    </row>
    <row r="5781" spans="1:10" ht="15.75" hidden="1" thickBot="1" x14ac:dyDescent="0.3">
      <c r="A5781" s="248"/>
      <c r="B5781" s="239"/>
      <c r="C5781" s="164"/>
      <c r="D5781" s="132"/>
      <c r="E5781" s="61"/>
      <c r="F5781" s="68" t="s">
        <v>418</v>
      </c>
      <c r="G5781" s="68" t="str">
        <f>IF(ISNUMBER(F5781),E5781*F5781,"")</f>
        <v/>
      </c>
      <c r="H5781" s="69"/>
      <c r="I5781" s="66"/>
      <c r="J5781" s="125">
        <v>0</v>
      </c>
    </row>
    <row r="5782" spans="1:10" ht="15.75" hidden="1" thickBot="1" x14ac:dyDescent="0.3">
      <c r="A5782" s="241" t="s">
        <v>13223</v>
      </c>
      <c r="B5782" s="237" t="s">
        <v>13006</v>
      </c>
      <c r="C5782" s="160"/>
      <c r="D5782" s="23" t="s">
        <v>16</v>
      </c>
      <c r="E5782" s="24"/>
      <c r="F5782" s="44" t="s">
        <v>418</v>
      </c>
      <c r="G5782" s="25" t="str">
        <f>IF(ISNUMBER(F5782),E5782*F5782,"")</f>
        <v/>
      </c>
      <c r="H5782" s="26"/>
      <c r="I5782" s="27"/>
      <c r="J5782" s="125">
        <v>0</v>
      </c>
    </row>
    <row r="5783" spans="1:10" ht="15.75" hidden="1" thickBot="1" x14ac:dyDescent="0.3">
      <c r="A5783" s="247"/>
      <c r="B5783" s="240"/>
      <c r="C5783" s="135"/>
      <c r="D5783" s="135"/>
      <c r="E5783" s="136"/>
      <c r="F5783" s="49" t="s">
        <v>418</v>
      </c>
      <c r="G5783" s="49" t="str">
        <f>IF(ISNUMBER(F5783),E5783*F5783,"")</f>
        <v/>
      </c>
      <c r="H5783" s="65"/>
      <c r="I5783" s="66"/>
      <c r="J5783" s="125">
        <v>0</v>
      </c>
    </row>
    <row r="5784" spans="1:10" ht="39" hidden="1" thickBot="1" x14ac:dyDescent="0.3">
      <c r="A5784" s="247"/>
      <c r="B5784" s="240"/>
      <c r="C5784" s="155" t="s">
        <v>24710</v>
      </c>
      <c r="D5784" s="155" t="s">
        <v>205</v>
      </c>
      <c r="E5784" s="130">
        <v>1</v>
      </c>
      <c r="F5784" s="28">
        <v>11.741999999999999</v>
      </c>
      <c r="G5784" s="49">
        <f>IF(ISNUMBER(F5784),E5784*F5784,"")</f>
        <v>11.741999999999999</v>
      </c>
      <c r="H5784" s="35">
        <f>SUM(G5784:G5784)</f>
        <v>11.741999999999999</v>
      </c>
      <c r="I5784" s="36"/>
      <c r="J5784" s="125">
        <v>0</v>
      </c>
    </row>
    <row r="5785" spans="1:10" ht="15.75" hidden="1" thickBot="1" x14ac:dyDescent="0.3">
      <c r="A5785" s="248"/>
      <c r="B5785" s="239"/>
      <c r="C5785" s="164"/>
      <c r="D5785" s="132"/>
      <c r="E5785" s="61"/>
      <c r="F5785" s="68" t="s">
        <v>418</v>
      </c>
      <c r="G5785" s="68" t="str">
        <f>IF(ISNUMBER(F5785),E5785*F5785,"")</f>
        <v/>
      </c>
      <c r="H5785" s="69"/>
      <c r="I5785" s="66"/>
      <c r="J5785" s="125">
        <v>0</v>
      </c>
    </row>
    <row r="5786" spans="1:10" ht="15.75" hidden="1" thickBot="1" x14ac:dyDescent="0.3">
      <c r="A5786" s="241" t="s">
        <v>13224</v>
      </c>
      <c r="B5786" s="237" t="s">
        <v>13007</v>
      </c>
      <c r="C5786" s="160"/>
      <c r="D5786" s="23" t="s">
        <v>16</v>
      </c>
      <c r="E5786" s="24"/>
      <c r="F5786" s="44" t="s">
        <v>418</v>
      </c>
      <c r="G5786" s="25" t="str">
        <f>IF(ISNUMBER(F5786),E5786*F5786,"")</f>
        <v/>
      </c>
      <c r="H5786" s="26"/>
      <c r="I5786" s="27"/>
      <c r="J5786" s="125">
        <v>0</v>
      </c>
    </row>
    <row r="5787" spans="1:10" ht="15.75" hidden="1" thickBot="1" x14ac:dyDescent="0.3">
      <c r="A5787" s="247"/>
      <c r="B5787" s="240"/>
      <c r="C5787" s="135"/>
      <c r="D5787" s="135"/>
      <c r="E5787" s="136"/>
      <c r="F5787" s="49" t="s">
        <v>418</v>
      </c>
      <c r="G5787" s="49" t="str">
        <f>IF(ISNUMBER(F5787),E5787*F5787,"")</f>
        <v/>
      </c>
      <c r="H5787" s="65"/>
      <c r="I5787" s="66"/>
      <c r="J5787" s="125">
        <v>0</v>
      </c>
    </row>
    <row r="5788" spans="1:10" ht="26.25" hidden="1" thickBot="1" x14ac:dyDescent="0.3">
      <c r="A5788" s="247"/>
      <c r="B5788" s="240"/>
      <c r="C5788" s="155" t="s">
        <v>26268</v>
      </c>
      <c r="D5788" s="155" t="s">
        <v>205</v>
      </c>
      <c r="E5788" s="130">
        <v>1</v>
      </c>
      <c r="F5788" s="28">
        <v>3.8474999999999997</v>
      </c>
      <c r="G5788" s="49">
        <f>IF(ISNUMBER(F5788),E5788*F5788,"")</f>
        <v>3.8474999999999997</v>
      </c>
      <c r="H5788" s="35">
        <f>SUM(G5788:G5788)</f>
        <v>3.8474999999999997</v>
      </c>
      <c r="I5788" s="36"/>
      <c r="J5788" s="125">
        <v>0</v>
      </c>
    </row>
    <row r="5789" spans="1:10" ht="15.75" hidden="1" thickBot="1" x14ac:dyDescent="0.3">
      <c r="A5789" s="248"/>
      <c r="B5789" s="239"/>
      <c r="C5789" s="164"/>
      <c r="D5789" s="132"/>
      <c r="E5789" s="61"/>
      <c r="F5789" s="68" t="s">
        <v>418</v>
      </c>
      <c r="G5789" s="68" t="str">
        <f>IF(ISNUMBER(F5789),E5789*F5789,"")</f>
        <v/>
      </c>
      <c r="H5789" s="69"/>
      <c r="I5789" s="66"/>
      <c r="J5789" s="125">
        <v>0</v>
      </c>
    </row>
    <row r="5790" spans="1:10" ht="15.75" hidden="1" thickBot="1" x14ac:dyDescent="0.3">
      <c r="A5790" s="241" t="s">
        <v>13225</v>
      </c>
      <c r="B5790" s="237" t="s">
        <v>13008</v>
      </c>
      <c r="C5790" s="160"/>
      <c r="D5790" s="23" t="s">
        <v>16</v>
      </c>
      <c r="E5790" s="24"/>
      <c r="F5790" s="44" t="s">
        <v>418</v>
      </c>
      <c r="G5790" s="25" t="str">
        <f>IF(ISNUMBER(F5790),E5790*F5790,"")</f>
        <v/>
      </c>
      <c r="H5790" s="26"/>
      <c r="I5790" s="27"/>
      <c r="J5790" s="125">
        <v>0</v>
      </c>
    </row>
    <row r="5791" spans="1:10" ht="15.75" hidden="1" thickBot="1" x14ac:dyDescent="0.3">
      <c r="A5791" s="247"/>
      <c r="B5791" s="240"/>
      <c r="C5791" s="135"/>
      <c r="D5791" s="135"/>
      <c r="E5791" s="136"/>
      <c r="F5791" s="49" t="s">
        <v>418</v>
      </c>
      <c r="G5791" s="49" t="str">
        <f>IF(ISNUMBER(F5791),E5791*F5791,"")</f>
        <v/>
      </c>
      <c r="H5791" s="65"/>
      <c r="I5791" s="66"/>
      <c r="J5791" s="125">
        <v>0</v>
      </c>
    </row>
    <row r="5792" spans="1:10" ht="26.25" hidden="1" thickBot="1" x14ac:dyDescent="0.3">
      <c r="A5792" s="247"/>
      <c r="B5792" s="240"/>
      <c r="C5792" s="155" t="s">
        <v>25083</v>
      </c>
      <c r="D5792" s="155" t="s">
        <v>205</v>
      </c>
      <c r="E5792" s="130">
        <v>1</v>
      </c>
      <c r="F5792" s="28">
        <v>15.342499999999998</v>
      </c>
      <c r="G5792" s="49">
        <f>IF(ISNUMBER(F5792),E5792*F5792,"")</f>
        <v>15.342499999999998</v>
      </c>
      <c r="H5792" s="35">
        <f>SUM(G5792:G5792)</f>
        <v>15.342499999999998</v>
      </c>
      <c r="I5792" s="36"/>
      <c r="J5792" s="125">
        <v>0</v>
      </c>
    </row>
    <row r="5793" spans="1:10" ht="15.75" hidden="1" thickBot="1" x14ac:dyDescent="0.3">
      <c r="A5793" s="248"/>
      <c r="B5793" s="239"/>
      <c r="C5793" s="164"/>
      <c r="D5793" s="132"/>
      <c r="E5793" s="61"/>
      <c r="F5793" s="68" t="s">
        <v>418</v>
      </c>
      <c r="G5793" s="68" t="str">
        <f>IF(ISNUMBER(F5793),E5793*F5793,"")</f>
        <v/>
      </c>
      <c r="H5793" s="69"/>
      <c r="I5793" s="66"/>
      <c r="J5793" s="125">
        <v>0</v>
      </c>
    </row>
    <row r="5794" spans="1:10" ht="15.75" hidden="1" thickBot="1" x14ac:dyDescent="0.3">
      <c r="A5794" s="241" t="s">
        <v>13226</v>
      </c>
      <c r="B5794" s="237" t="s">
        <v>13009</v>
      </c>
      <c r="C5794" s="160"/>
      <c r="D5794" s="23" t="s">
        <v>16</v>
      </c>
      <c r="E5794" s="24"/>
      <c r="F5794" s="44" t="s">
        <v>418</v>
      </c>
      <c r="G5794" s="25" t="str">
        <f>IF(ISNUMBER(F5794),E5794*F5794,"")</f>
        <v/>
      </c>
      <c r="H5794" s="26"/>
      <c r="I5794" s="27"/>
      <c r="J5794" s="125">
        <v>0</v>
      </c>
    </row>
    <row r="5795" spans="1:10" ht="15.75" hidden="1" thickBot="1" x14ac:dyDescent="0.3">
      <c r="A5795" s="247"/>
      <c r="B5795" s="240"/>
      <c r="C5795" s="135"/>
      <c r="D5795" s="135"/>
      <c r="E5795" s="136"/>
      <c r="F5795" s="49" t="s">
        <v>418</v>
      </c>
      <c r="G5795" s="49" t="str">
        <f>IF(ISNUMBER(F5795),E5795*F5795,"")</f>
        <v/>
      </c>
      <c r="H5795" s="65"/>
      <c r="I5795" s="66"/>
      <c r="J5795" s="125">
        <v>0</v>
      </c>
    </row>
    <row r="5796" spans="1:10" ht="39" hidden="1" thickBot="1" x14ac:dyDescent="0.3">
      <c r="A5796" s="247"/>
      <c r="B5796" s="240"/>
      <c r="C5796" s="155" t="s">
        <v>24743</v>
      </c>
      <c r="D5796" s="155" t="s">
        <v>205</v>
      </c>
      <c r="E5796" s="130">
        <v>1</v>
      </c>
      <c r="F5796" s="28">
        <v>6.5074999999999994</v>
      </c>
      <c r="G5796" s="49">
        <f>IF(ISNUMBER(F5796),E5796*F5796,"")</f>
        <v>6.5074999999999994</v>
      </c>
      <c r="H5796" s="35">
        <f>SUM(G5796:G5796)</f>
        <v>6.5074999999999994</v>
      </c>
      <c r="I5796" s="36"/>
      <c r="J5796" s="125">
        <v>0</v>
      </c>
    </row>
    <row r="5797" spans="1:10" ht="15.75" hidden="1" thickBot="1" x14ac:dyDescent="0.3">
      <c r="A5797" s="248"/>
      <c r="B5797" s="239"/>
      <c r="C5797" s="164"/>
      <c r="D5797" s="132"/>
      <c r="E5797" s="61"/>
      <c r="F5797" s="68" t="s">
        <v>418</v>
      </c>
      <c r="G5797" s="68" t="str">
        <f>IF(ISNUMBER(F5797),E5797*F5797,"")</f>
        <v/>
      </c>
      <c r="H5797" s="69"/>
      <c r="I5797" s="66"/>
      <c r="J5797" s="125">
        <v>0</v>
      </c>
    </row>
    <row r="5798" spans="1:10" ht="15.75" hidden="1" thickBot="1" x14ac:dyDescent="0.3">
      <c r="A5798" s="241" t="s">
        <v>13227</v>
      </c>
      <c r="B5798" s="237" t="s">
        <v>13010</v>
      </c>
      <c r="C5798" s="160"/>
      <c r="D5798" s="23" t="s">
        <v>16</v>
      </c>
      <c r="E5798" s="24"/>
      <c r="F5798" s="44" t="s">
        <v>418</v>
      </c>
      <c r="G5798" s="25" t="str">
        <f>IF(ISNUMBER(F5798),E5798*F5798,"")</f>
        <v/>
      </c>
      <c r="H5798" s="26"/>
      <c r="I5798" s="27"/>
      <c r="J5798" s="125">
        <v>0</v>
      </c>
    </row>
    <row r="5799" spans="1:10" ht="15.75" hidden="1" thickBot="1" x14ac:dyDescent="0.3">
      <c r="A5799" s="247"/>
      <c r="B5799" s="240"/>
      <c r="C5799" s="135"/>
      <c r="D5799" s="135"/>
      <c r="E5799" s="136"/>
      <c r="F5799" s="49" t="s">
        <v>418</v>
      </c>
      <c r="G5799" s="49" t="str">
        <f>IF(ISNUMBER(F5799),E5799*F5799,"")</f>
        <v/>
      </c>
      <c r="H5799" s="65"/>
      <c r="I5799" s="66"/>
      <c r="J5799" s="125">
        <v>0</v>
      </c>
    </row>
    <row r="5800" spans="1:10" ht="39" hidden="1" thickBot="1" x14ac:dyDescent="0.3">
      <c r="A5800" s="247"/>
      <c r="B5800" s="240"/>
      <c r="C5800" s="155" t="s">
        <v>24709</v>
      </c>
      <c r="D5800" s="155" t="s">
        <v>205</v>
      </c>
      <c r="E5800" s="130">
        <v>1</v>
      </c>
      <c r="F5800" s="28">
        <v>18.173499999999997</v>
      </c>
      <c r="G5800" s="49">
        <f>IF(ISNUMBER(F5800),E5800*F5800,"")</f>
        <v>18.173499999999997</v>
      </c>
      <c r="H5800" s="35">
        <f>SUM(G5800:G5800)</f>
        <v>18.173499999999997</v>
      </c>
      <c r="I5800" s="36"/>
      <c r="J5800" s="125">
        <v>0</v>
      </c>
    </row>
    <row r="5801" spans="1:10" ht="15.75" hidden="1" thickBot="1" x14ac:dyDescent="0.3">
      <c r="A5801" s="248"/>
      <c r="B5801" s="239"/>
      <c r="C5801" s="164"/>
      <c r="D5801" s="132"/>
      <c r="E5801" s="61"/>
      <c r="F5801" s="68" t="s">
        <v>418</v>
      </c>
      <c r="G5801" s="68" t="str">
        <f>IF(ISNUMBER(F5801),E5801*F5801,"")</f>
        <v/>
      </c>
      <c r="H5801" s="69"/>
      <c r="I5801" s="66"/>
      <c r="J5801" s="125">
        <v>0</v>
      </c>
    </row>
    <row r="5802" spans="1:10" ht="15.75" hidden="1" thickBot="1" x14ac:dyDescent="0.3">
      <c r="A5802" s="241" t="s">
        <v>13228</v>
      </c>
      <c r="B5802" s="237" t="s">
        <v>13011</v>
      </c>
      <c r="C5802" s="160"/>
      <c r="D5802" s="23" t="s">
        <v>16</v>
      </c>
      <c r="E5802" s="24"/>
      <c r="F5802" s="44" t="s">
        <v>418</v>
      </c>
      <c r="G5802" s="25" t="str">
        <f>IF(ISNUMBER(F5802),E5802*F5802,"")</f>
        <v/>
      </c>
      <c r="H5802" s="26"/>
      <c r="I5802" s="27"/>
      <c r="J5802" s="125">
        <v>0</v>
      </c>
    </row>
    <row r="5803" spans="1:10" ht="15.75" hidden="1" thickBot="1" x14ac:dyDescent="0.3">
      <c r="A5803" s="247"/>
      <c r="B5803" s="240"/>
      <c r="C5803" s="135"/>
      <c r="D5803" s="135"/>
      <c r="E5803" s="136"/>
      <c r="F5803" s="49" t="s">
        <v>418</v>
      </c>
      <c r="G5803" s="49" t="str">
        <f>IF(ISNUMBER(F5803),E5803*F5803,"")</f>
        <v/>
      </c>
      <c r="H5803" s="65"/>
      <c r="I5803" s="66"/>
      <c r="J5803" s="125">
        <v>0</v>
      </c>
    </row>
    <row r="5804" spans="1:10" ht="26.25" hidden="1" thickBot="1" x14ac:dyDescent="0.3">
      <c r="A5804" s="247"/>
      <c r="B5804" s="240"/>
      <c r="C5804" s="155" t="s">
        <v>26269</v>
      </c>
      <c r="D5804" s="155" t="s">
        <v>205</v>
      </c>
      <c r="E5804" s="130">
        <v>1</v>
      </c>
      <c r="F5804" s="28">
        <v>5.5765000000000002</v>
      </c>
      <c r="G5804" s="49">
        <f>IF(ISNUMBER(F5804),E5804*F5804,"")</f>
        <v>5.5765000000000002</v>
      </c>
      <c r="H5804" s="35">
        <f>SUM(G5804:G5804)</f>
        <v>5.5765000000000002</v>
      </c>
      <c r="I5804" s="36"/>
      <c r="J5804" s="125">
        <v>0</v>
      </c>
    </row>
    <row r="5805" spans="1:10" ht="15.75" hidden="1" thickBot="1" x14ac:dyDescent="0.3">
      <c r="A5805" s="248"/>
      <c r="B5805" s="239"/>
      <c r="C5805" s="164"/>
      <c r="D5805" s="132"/>
      <c r="E5805" s="61"/>
      <c r="F5805" s="68" t="s">
        <v>418</v>
      </c>
      <c r="G5805" s="68" t="str">
        <f>IF(ISNUMBER(F5805),E5805*F5805,"")</f>
        <v/>
      </c>
      <c r="H5805" s="69"/>
      <c r="I5805" s="66"/>
      <c r="J5805" s="125">
        <v>0</v>
      </c>
    </row>
    <row r="5806" spans="1:10" ht="15.75" hidden="1" thickBot="1" x14ac:dyDescent="0.3">
      <c r="A5806" s="241" t="s">
        <v>13229</v>
      </c>
      <c r="B5806" s="237" t="s">
        <v>12965</v>
      </c>
      <c r="C5806" s="160"/>
      <c r="D5806" s="23" t="s">
        <v>16</v>
      </c>
      <c r="E5806" s="24"/>
      <c r="F5806" s="44" t="s">
        <v>418</v>
      </c>
      <c r="G5806" s="25" t="str">
        <f>IF(ISNUMBER(F5806),E5806*F5806,"")</f>
        <v/>
      </c>
      <c r="H5806" s="26"/>
      <c r="I5806" s="27"/>
      <c r="J5806" s="125">
        <v>0</v>
      </c>
    </row>
    <row r="5807" spans="1:10" ht="15.75" hidden="1" thickBot="1" x14ac:dyDescent="0.3">
      <c r="A5807" s="247"/>
      <c r="B5807" s="240"/>
      <c r="C5807" s="135"/>
      <c r="D5807" s="135"/>
      <c r="E5807" s="136"/>
      <c r="F5807" s="49" t="s">
        <v>418</v>
      </c>
      <c r="G5807" s="49" t="str">
        <f>IF(ISNUMBER(F5807),E5807*F5807,"")</f>
        <v/>
      </c>
      <c r="H5807" s="65"/>
      <c r="I5807" s="66"/>
      <c r="J5807" s="125">
        <v>0</v>
      </c>
    </row>
    <row r="5808" spans="1:10" ht="26.25" hidden="1" thickBot="1" x14ac:dyDescent="0.3">
      <c r="A5808" s="247"/>
      <c r="B5808" s="240"/>
      <c r="C5808" s="155" t="s">
        <v>25084</v>
      </c>
      <c r="D5808" s="155" t="s">
        <v>205</v>
      </c>
      <c r="E5808" s="130">
        <v>1</v>
      </c>
      <c r="F5808" s="28">
        <v>18.705500000000001</v>
      </c>
      <c r="G5808" s="49">
        <f>IF(ISNUMBER(F5808),E5808*F5808,"")</f>
        <v>18.705500000000001</v>
      </c>
      <c r="H5808" s="35">
        <f>SUM(G5808:G5808)</f>
        <v>18.705500000000001</v>
      </c>
      <c r="I5808" s="36"/>
      <c r="J5808" s="125">
        <v>0</v>
      </c>
    </row>
    <row r="5809" spans="1:10" ht="15.75" hidden="1" thickBot="1" x14ac:dyDescent="0.3">
      <c r="A5809" s="248"/>
      <c r="B5809" s="239"/>
      <c r="C5809" s="164"/>
      <c r="D5809" s="132"/>
      <c r="E5809" s="61"/>
      <c r="F5809" s="68" t="s">
        <v>418</v>
      </c>
      <c r="G5809" s="68" t="str">
        <f>IF(ISNUMBER(F5809),E5809*F5809,"")</f>
        <v/>
      </c>
      <c r="H5809" s="69"/>
      <c r="I5809" s="66"/>
      <c r="J5809" s="125">
        <v>0</v>
      </c>
    </row>
    <row r="5810" spans="1:10" ht="15.75" hidden="1" thickBot="1" x14ac:dyDescent="0.3">
      <c r="A5810" s="241" t="s">
        <v>13230</v>
      </c>
      <c r="B5810" s="237" t="s">
        <v>13012</v>
      </c>
      <c r="C5810" s="160"/>
      <c r="D5810" s="23" t="s">
        <v>16</v>
      </c>
      <c r="E5810" s="24"/>
      <c r="F5810" s="44" t="s">
        <v>418</v>
      </c>
      <c r="G5810" s="25" t="str">
        <f>IF(ISNUMBER(F5810),E5810*F5810,"")</f>
        <v/>
      </c>
      <c r="H5810" s="26"/>
      <c r="I5810" s="27"/>
      <c r="J5810" s="125">
        <v>0</v>
      </c>
    </row>
    <row r="5811" spans="1:10" ht="15.75" hidden="1" thickBot="1" x14ac:dyDescent="0.3">
      <c r="A5811" s="247"/>
      <c r="B5811" s="240"/>
      <c r="C5811" s="135"/>
      <c r="D5811" s="135"/>
      <c r="E5811" s="136"/>
      <c r="F5811" s="49" t="s">
        <v>418</v>
      </c>
      <c r="G5811" s="49" t="str">
        <f>IF(ISNUMBER(F5811),E5811*F5811,"")</f>
        <v/>
      </c>
      <c r="H5811" s="65"/>
      <c r="I5811" s="66"/>
      <c r="J5811" s="125">
        <v>0</v>
      </c>
    </row>
    <row r="5812" spans="1:10" ht="39" hidden="1" thickBot="1" x14ac:dyDescent="0.3">
      <c r="A5812" s="247"/>
      <c r="B5812" s="240"/>
      <c r="C5812" s="155" t="s">
        <v>24748</v>
      </c>
      <c r="D5812" s="155" t="s">
        <v>205</v>
      </c>
      <c r="E5812" s="130">
        <v>1</v>
      </c>
      <c r="F5812" s="28">
        <v>7.2104999999999997</v>
      </c>
      <c r="G5812" s="49">
        <f>IF(ISNUMBER(F5812),E5812*F5812,"")</f>
        <v>7.2104999999999997</v>
      </c>
      <c r="H5812" s="35">
        <f>SUM(G5812:G5812)</f>
        <v>7.2104999999999997</v>
      </c>
      <c r="I5812" s="36"/>
      <c r="J5812" s="125">
        <v>0</v>
      </c>
    </row>
    <row r="5813" spans="1:10" ht="15.75" hidden="1" thickBot="1" x14ac:dyDescent="0.3">
      <c r="A5813" s="248"/>
      <c r="B5813" s="239"/>
      <c r="C5813" s="164"/>
      <c r="D5813" s="132"/>
      <c r="E5813" s="61"/>
      <c r="F5813" s="68" t="s">
        <v>418</v>
      </c>
      <c r="G5813" s="68" t="str">
        <f>IF(ISNUMBER(F5813),E5813*F5813,"")</f>
        <v/>
      </c>
      <c r="H5813" s="69"/>
      <c r="I5813" s="66"/>
      <c r="J5813" s="125">
        <v>0</v>
      </c>
    </row>
    <row r="5814" spans="1:10" ht="15.75" hidden="1" thickBot="1" x14ac:dyDescent="0.3">
      <c r="A5814" s="241" t="s">
        <v>13231</v>
      </c>
      <c r="B5814" s="237" t="s">
        <v>13013</v>
      </c>
      <c r="C5814" s="160"/>
      <c r="D5814" s="23" t="s">
        <v>16</v>
      </c>
      <c r="E5814" s="24"/>
      <c r="F5814" s="44" t="s">
        <v>418</v>
      </c>
      <c r="G5814" s="25" t="str">
        <f>IF(ISNUMBER(F5814),E5814*F5814,"")</f>
        <v/>
      </c>
      <c r="H5814" s="26"/>
      <c r="I5814" s="27"/>
      <c r="J5814" s="125">
        <v>0</v>
      </c>
    </row>
    <row r="5815" spans="1:10" ht="15.75" hidden="1" thickBot="1" x14ac:dyDescent="0.3">
      <c r="A5815" s="247"/>
      <c r="B5815" s="240"/>
      <c r="C5815" s="135"/>
      <c r="D5815" s="135"/>
      <c r="E5815" s="136"/>
      <c r="F5815" s="49" t="s">
        <v>418</v>
      </c>
      <c r="G5815" s="49" t="str">
        <f>IF(ISNUMBER(F5815),E5815*F5815,"")</f>
        <v/>
      </c>
      <c r="H5815" s="65"/>
      <c r="I5815" s="66"/>
      <c r="J5815" s="125">
        <v>0</v>
      </c>
    </row>
    <row r="5816" spans="1:10" ht="39" hidden="1" thickBot="1" x14ac:dyDescent="0.3">
      <c r="A5816" s="247"/>
      <c r="B5816" s="240"/>
      <c r="C5816" s="155" t="s">
        <v>24715</v>
      </c>
      <c r="D5816" s="155" t="s">
        <v>205</v>
      </c>
      <c r="E5816" s="130">
        <v>1</v>
      </c>
      <c r="F5816" s="28">
        <v>36.831499999999998</v>
      </c>
      <c r="G5816" s="49">
        <f>IF(ISNUMBER(F5816),E5816*F5816,"")</f>
        <v>36.831499999999998</v>
      </c>
      <c r="H5816" s="35">
        <f>SUM(G5816:G5816)</f>
        <v>36.831499999999998</v>
      </c>
      <c r="I5816" s="36"/>
      <c r="J5816" s="125">
        <v>0</v>
      </c>
    </row>
    <row r="5817" spans="1:10" ht="15.75" hidden="1" thickBot="1" x14ac:dyDescent="0.3">
      <c r="A5817" s="248"/>
      <c r="B5817" s="239"/>
      <c r="C5817" s="164"/>
      <c r="D5817" s="132"/>
      <c r="E5817" s="61"/>
      <c r="F5817" s="68" t="s">
        <v>418</v>
      </c>
      <c r="G5817" s="68" t="str">
        <f>IF(ISNUMBER(F5817),E5817*F5817,"")</f>
        <v/>
      </c>
      <c r="H5817" s="69"/>
      <c r="I5817" s="66"/>
      <c r="J5817" s="125">
        <v>0</v>
      </c>
    </row>
    <row r="5818" spans="1:10" ht="15.75" hidden="1" thickBot="1" x14ac:dyDescent="0.3">
      <c r="A5818" s="241" t="s">
        <v>13232</v>
      </c>
      <c r="B5818" s="237" t="s">
        <v>13014</v>
      </c>
      <c r="C5818" s="160"/>
      <c r="D5818" s="23" t="s">
        <v>16</v>
      </c>
      <c r="E5818" s="24"/>
      <c r="F5818" s="44" t="s">
        <v>418</v>
      </c>
      <c r="G5818" s="25" t="str">
        <f>IF(ISNUMBER(F5818),E5818*F5818,"")</f>
        <v/>
      </c>
      <c r="H5818" s="26"/>
      <c r="I5818" s="27"/>
      <c r="J5818" s="125">
        <v>0</v>
      </c>
    </row>
    <row r="5819" spans="1:10" ht="15.75" hidden="1" thickBot="1" x14ac:dyDescent="0.3">
      <c r="A5819" s="247"/>
      <c r="B5819" s="240"/>
      <c r="C5819" s="135"/>
      <c r="D5819" s="135"/>
      <c r="E5819" s="136"/>
      <c r="F5819" s="49" t="s">
        <v>418</v>
      </c>
      <c r="G5819" s="49" t="str">
        <f>IF(ISNUMBER(F5819),E5819*F5819,"")</f>
        <v/>
      </c>
      <c r="H5819" s="65"/>
      <c r="I5819" s="66"/>
      <c r="J5819" s="125">
        <v>0</v>
      </c>
    </row>
    <row r="5820" spans="1:10" ht="26.25" hidden="1" thickBot="1" x14ac:dyDescent="0.3">
      <c r="A5820" s="247"/>
      <c r="B5820" s="240"/>
      <c r="C5820" s="155" t="s">
        <v>26270</v>
      </c>
      <c r="D5820" s="155" t="s">
        <v>205</v>
      </c>
      <c r="E5820" s="130">
        <v>1</v>
      </c>
      <c r="F5820" s="28">
        <v>7.770999999999999</v>
      </c>
      <c r="G5820" s="49">
        <f>IF(ISNUMBER(F5820),E5820*F5820,"")</f>
        <v>7.770999999999999</v>
      </c>
      <c r="H5820" s="35">
        <f>SUM(G5820:G5820)</f>
        <v>7.770999999999999</v>
      </c>
      <c r="I5820" s="36"/>
      <c r="J5820" s="125">
        <v>0</v>
      </c>
    </row>
    <row r="5821" spans="1:10" ht="15.75" hidden="1" thickBot="1" x14ac:dyDescent="0.3">
      <c r="A5821" s="248"/>
      <c r="B5821" s="239"/>
      <c r="C5821" s="164"/>
      <c r="D5821" s="132"/>
      <c r="E5821" s="61"/>
      <c r="F5821" s="68" t="s">
        <v>418</v>
      </c>
      <c r="G5821" s="68" t="str">
        <f>IF(ISNUMBER(F5821),E5821*F5821,"")</f>
        <v/>
      </c>
      <c r="H5821" s="69"/>
      <c r="I5821" s="66"/>
      <c r="J5821" s="125">
        <v>0</v>
      </c>
    </row>
    <row r="5822" spans="1:10" ht="15.75" hidden="1" thickBot="1" x14ac:dyDescent="0.3">
      <c r="A5822" s="241" t="s">
        <v>13233</v>
      </c>
      <c r="B5822" s="237" t="s">
        <v>13015</v>
      </c>
      <c r="C5822" s="160"/>
      <c r="D5822" s="23" t="s">
        <v>16</v>
      </c>
      <c r="E5822" s="24"/>
      <c r="F5822" s="44" t="s">
        <v>418</v>
      </c>
      <c r="G5822" s="25" t="str">
        <f>IF(ISNUMBER(F5822),E5822*F5822,"")</f>
        <v/>
      </c>
      <c r="H5822" s="26"/>
      <c r="I5822" s="27"/>
      <c r="J5822" s="125">
        <v>0</v>
      </c>
    </row>
    <row r="5823" spans="1:10" ht="15.75" hidden="1" thickBot="1" x14ac:dyDescent="0.3">
      <c r="A5823" s="247"/>
      <c r="B5823" s="240"/>
      <c r="C5823" s="135"/>
      <c r="D5823" s="135"/>
      <c r="E5823" s="136"/>
      <c r="F5823" s="49" t="s">
        <v>418</v>
      </c>
      <c r="G5823" s="49" t="str">
        <f>IF(ISNUMBER(F5823),E5823*F5823,"")</f>
        <v/>
      </c>
      <c r="H5823" s="65"/>
      <c r="I5823" s="66"/>
      <c r="J5823" s="125">
        <v>0</v>
      </c>
    </row>
    <row r="5824" spans="1:10" ht="26.25" hidden="1" thickBot="1" x14ac:dyDescent="0.3">
      <c r="A5824" s="247"/>
      <c r="B5824" s="240"/>
      <c r="C5824" s="155" t="s">
        <v>25085</v>
      </c>
      <c r="D5824" s="155" t="s">
        <v>205</v>
      </c>
      <c r="E5824" s="130">
        <v>1</v>
      </c>
      <c r="F5824" s="28">
        <v>27.464499999999997</v>
      </c>
      <c r="G5824" s="49">
        <f>IF(ISNUMBER(F5824),E5824*F5824,"")</f>
        <v>27.464499999999997</v>
      </c>
      <c r="H5824" s="35">
        <f>SUM(G5824:G5824)</f>
        <v>27.464499999999997</v>
      </c>
      <c r="I5824" s="36"/>
      <c r="J5824" s="125">
        <v>0</v>
      </c>
    </row>
    <row r="5825" spans="1:10" ht="15.75" hidden="1" thickBot="1" x14ac:dyDescent="0.3">
      <c r="A5825" s="248"/>
      <c r="B5825" s="239"/>
      <c r="C5825" s="164"/>
      <c r="D5825" s="132"/>
      <c r="E5825" s="61"/>
      <c r="F5825" s="68" t="s">
        <v>418</v>
      </c>
      <c r="G5825" s="68" t="str">
        <f>IF(ISNUMBER(F5825),E5825*F5825,"")</f>
        <v/>
      </c>
      <c r="H5825" s="69"/>
      <c r="I5825" s="66"/>
      <c r="J5825" s="125">
        <v>0</v>
      </c>
    </row>
    <row r="5826" spans="1:10" ht="15.75" hidden="1" thickBot="1" x14ac:dyDescent="0.3">
      <c r="A5826" s="241" t="s">
        <v>13234</v>
      </c>
      <c r="B5826" s="237" t="s">
        <v>13016</v>
      </c>
      <c r="C5826" s="160"/>
      <c r="D5826" s="23" t="s">
        <v>16</v>
      </c>
      <c r="E5826" s="24"/>
      <c r="F5826" s="44" t="s">
        <v>418</v>
      </c>
      <c r="G5826" s="25" t="str">
        <f>IF(ISNUMBER(F5826),E5826*F5826,"")</f>
        <v/>
      </c>
      <c r="H5826" s="26"/>
      <c r="I5826" s="27"/>
      <c r="J5826" s="125">
        <v>0</v>
      </c>
    </row>
    <row r="5827" spans="1:10" ht="15.75" hidden="1" thickBot="1" x14ac:dyDescent="0.3">
      <c r="A5827" s="247"/>
      <c r="B5827" s="240"/>
      <c r="C5827" s="135"/>
      <c r="D5827" s="135"/>
      <c r="E5827" s="136"/>
      <c r="F5827" s="49" t="s">
        <v>418</v>
      </c>
      <c r="G5827" s="49" t="str">
        <f>IF(ISNUMBER(F5827),E5827*F5827,"")</f>
        <v/>
      </c>
      <c r="H5827" s="65"/>
      <c r="I5827" s="66"/>
      <c r="J5827" s="125">
        <v>0</v>
      </c>
    </row>
    <row r="5828" spans="1:10" ht="39" hidden="1" thickBot="1" x14ac:dyDescent="0.3">
      <c r="A5828" s="247"/>
      <c r="B5828" s="240"/>
      <c r="C5828" s="155" t="s">
        <v>24713</v>
      </c>
      <c r="D5828" s="155" t="s">
        <v>205</v>
      </c>
      <c r="E5828" s="130">
        <v>1</v>
      </c>
      <c r="F5828" s="28">
        <v>86.525999999999996</v>
      </c>
      <c r="G5828" s="49">
        <f>IF(ISNUMBER(F5828),E5828*F5828,"")</f>
        <v>86.525999999999996</v>
      </c>
      <c r="H5828" s="35">
        <f>SUM(G5828:G5828)</f>
        <v>86.525999999999996</v>
      </c>
      <c r="I5828" s="36"/>
      <c r="J5828" s="125">
        <v>0</v>
      </c>
    </row>
    <row r="5829" spans="1:10" ht="15.75" hidden="1" thickBot="1" x14ac:dyDescent="0.3">
      <c r="A5829" s="248"/>
      <c r="B5829" s="239"/>
      <c r="C5829" s="164"/>
      <c r="D5829" s="132"/>
      <c r="E5829" s="61"/>
      <c r="F5829" s="68" t="s">
        <v>418</v>
      </c>
      <c r="G5829" s="68" t="str">
        <f>IF(ISNUMBER(F5829),E5829*F5829,"")</f>
        <v/>
      </c>
      <c r="H5829" s="69"/>
      <c r="I5829" s="66"/>
      <c r="J5829" s="125">
        <v>0</v>
      </c>
    </row>
    <row r="5830" spans="1:10" ht="15.75" hidden="1" thickBot="1" x14ac:dyDescent="0.3">
      <c r="A5830" s="241" t="s">
        <v>13235</v>
      </c>
      <c r="B5830" s="237" t="s">
        <v>13017</v>
      </c>
      <c r="C5830" s="160"/>
      <c r="D5830" s="23" t="s">
        <v>16</v>
      </c>
      <c r="E5830" s="24"/>
      <c r="F5830" s="44" t="s">
        <v>418</v>
      </c>
      <c r="G5830" s="25" t="str">
        <f>IF(ISNUMBER(F5830),E5830*F5830,"")</f>
        <v/>
      </c>
      <c r="H5830" s="26"/>
      <c r="I5830" s="27"/>
      <c r="J5830" s="125">
        <v>0</v>
      </c>
    </row>
    <row r="5831" spans="1:10" ht="15.75" hidden="1" thickBot="1" x14ac:dyDescent="0.3">
      <c r="A5831" s="247"/>
      <c r="B5831" s="240"/>
      <c r="C5831" s="135"/>
      <c r="D5831" s="135"/>
      <c r="E5831" s="136"/>
      <c r="F5831" s="49" t="s">
        <v>418</v>
      </c>
      <c r="G5831" s="49" t="str">
        <f>IF(ISNUMBER(F5831),E5831*F5831,"")</f>
        <v/>
      </c>
      <c r="H5831" s="65"/>
      <c r="I5831" s="66"/>
      <c r="J5831" s="125">
        <v>0</v>
      </c>
    </row>
    <row r="5832" spans="1:10" ht="26.25" hidden="1" thickBot="1" x14ac:dyDescent="0.3">
      <c r="A5832" s="247"/>
      <c r="B5832" s="240"/>
      <c r="C5832" s="155" t="s">
        <v>26271</v>
      </c>
      <c r="D5832" s="155" t="s">
        <v>205</v>
      </c>
      <c r="E5832" s="130">
        <v>1</v>
      </c>
      <c r="F5832" s="28">
        <v>11.342999999999998</v>
      </c>
      <c r="G5832" s="49">
        <f>IF(ISNUMBER(F5832),E5832*F5832,"")</f>
        <v>11.342999999999998</v>
      </c>
      <c r="H5832" s="35">
        <f>SUM(G5832:G5832)</f>
        <v>11.342999999999998</v>
      </c>
      <c r="I5832" s="36"/>
      <c r="J5832" s="125">
        <v>0</v>
      </c>
    </row>
    <row r="5833" spans="1:10" ht="15.75" hidden="1" thickBot="1" x14ac:dyDescent="0.3">
      <c r="A5833" s="248"/>
      <c r="B5833" s="239"/>
      <c r="C5833" s="164"/>
      <c r="D5833" s="132"/>
      <c r="E5833" s="61"/>
      <c r="F5833" s="68" t="s">
        <v>418</v>
      </c>
      <c r="G5833" s="68" t="str">
        <f>IF(ISNUMBER(F5833),E5833*F5833,"")</f>
        <v/>
      </c>
      <c r="H5833" s="69"/>
      <c r="I5833" s="66"/>
      <c r="J5833" s="125">
        <v>0</v>
      </c>
    </row>
    <row r="5834" spans="1:10" ht="15.75" hidden="1" thickBot="1" x14ac:dyDescent="0.3">
      <c r="A5834" s="241" t="s">
        <v>13236</v>
      </c>
      <c r="B5834" s="237" t="s">
        <v>13018</v>
      </c>
      <c r="C5834" s="160"/>
      <c r="D5834" s="23" t="s">
        <v>16</v>
      </c>
      <c r="E5834" s="24"/>
      <c r="F5834" s="44" t="s">
        <v>418</v>
      </c>
      <c r="G5834" s="25" t="str">
        <f>IF(ISNUMBER(F5834),E5834*F5834,"")</f>
        <v/>
      </c>
      <c r="H5834" s="26"/>
      <c r="I5834" s="27"/>
      <c r="J5834" s="125">
        <v>0</v>
      </c>
    </row>
    <row r="5835" spans="1:10" ht="15.75" hidden="1" thickBot="1" x14ac:dyDescent="0.3">
      <c r="A5835" s="247"/>
      <c r="B5835" s="240"/>
      <c r="C5835" s="135"/>
      <c r="D5835" s="135"/>
      <c r="E5835" s="136"/>
      <c r="F5835" s="49" t="s">
        <v>418</v>
      </c>
      <c r="G5835" s="49" t="str">
        <f>IF(ISNUMBER(F5835),E5835*F5835,"")</f>
        <v/>
      </c>
      <c r="H5835" s="65"/>
      <c r="I5835" s="66"/>
      <c r="J5835" s="125">
        <v>0</v>
      </c>
    </row>
    <row r="5836" spans="1:10" ht="26.25" hidden="1" thickBot="1" x14ac:dyDescent="0.3">
      <c r="A5836" s="247"/>
      <c r="B5836" s="240"/>
      <c r="C5836" s="155" t="s">
        <v>25086</v>
      </c>
      <c r="D5836" s="155" t="s">
        <v>205</v>
      </c>
      <c r="E5836" s="130">
        <v>1</v>
      </c>
      <c r="F5836" s="28">
        <v>69.549499999999995</v>
      </c>
      <c r="G5836" s="49">
        <f>IF(ISNUMBER(F5836),E5836*F5836,"")</f>
        <v>69.549499999999995</v>
      </c>
      <c r="H5836" s="35">
        <f>SUM(G5836:G5836)</f>
        <v>69.549499999999995</v>
      </c>
      <c r="I5836" s="36"/>
      <c r="J5836" s="125">
        <v>0</v>
      </c>
    </row>
    <row r="5837" spans="1:10" ht="15.75" hidden="1" thickBot="1" x14ac:dyDescent="0.3">
      <c r="A5837" s="248"/>
      <c r="B5837" s="239"/>
      <c r="C5837" s="164"/>
      <c r="D5837" s="132"/>
      <c r="E5837" s="61"/>
      <c r="F5837" s="68" t="s">
        <v>418</v>
      </c>
      <c r="G5837" s="68" t="str">
        <f>IF(ISNUMBER(F5837),E5837*F5837,"")</f>
        <v/>
      </c>
      <c r="H5837" s="69"/>
      <c r="I5837" s="66"/>
      <c r="J5837" s="125">
        <v>0</v>
      </c>
    </row>
    <row r="5838" spans="1:10" ht="15.75" hidden="1" thickBot="1" x14ac:dyDescent="0.3">
      <c r="A5838" s="241" t="s">
        <v>13237</v>
      </c>
      <c r="B5838" s="237" t="s">
        <v>13019</v>
      </c>
      <c r="C5838" s="160"/>
      <c r="D5838" s="23" t="s">
        <v>16</v>
      </c>
      <c r="E5838" s="24"/>
      <c r="F5838" s="44" t="s">
        <v>418</v>
      </c>
      <c r="G5838" s="25" t="str">
        <f>IF(ISNUMBER(F5838),E5838*F5838,"")</f>
        <v/>
      </c>
      <c r="H5838" s="26"/>
      <c r="I5838" s="27"/>
      <c r="J5838" s="125">
        <v>0</v>
      </c>
    </row>
    <row r="5839" spans="1:10" ht="15.75" hidden="1" thickBot="1" x14ac:dyDescent="0.3">
      <c r="A5839" s="247"/>
      <c r="B5839" s="240"/>
      <c r="C5839" s="135"/>
      <c r="D5839" s="135"/>
      <c r="E5839" s="136"/>
      <c r="F5839" s="49" t="s">
        <v>418</v>
      </c>
      <c r="G5839" s="49" t="str">
        <f>IF(ISNUMBER(F5839),E5839*F5839,"")</f>
        <v/>
      </c>
      <c r="H5839" s="65"/>
      <c r="I5839" s="66"/>
      <c r="J5839" s="125">
        <v>0</v>
      </c>
    </row>
    <row r="5840" spans="1:10" ht="39" hidden="1" thickBot="1" x14ac:dyDescent="0.3">
      <c r="A5840" s="247"/>
      <c r="B5840" s="240"/>
      <c r="C5840" s="155" t="s">
        <v>24750</v>
      </c>
      <c r="D5840" s="155" t="s">
        <v>205</v>
      </c>
      <c r="E5840" s="130">
        <v>1</v>
      </c>
      <c r="F5840" s="28">
        <v>23.778500000000001</v>
      </c>
      <c r="G5840" s="49">
        <f>IF(ISNUMBER(F5840),E5840*F5840,"")</f>
        <v>23.778500000000001</v>
      </c>
      <c r="H5840" s="35">
        <f>SUM(G5840:G5840)</f>
        <v>23.778500000000001</v>
      </c>
      <c r="I5840" s="36"/>
      <c r="J5840" s="125">
        <v>0</v>
      </c>
    </row>
    <row r="5841" spans="1:10" ht="15.75" hidden="1" thickBot="1" x14ac:dyDescent="0.3">
      <c r="A5841" s="248"/>
      <c r="B5841" s="239"/>
      <c r="C5841" s="164"/>
      <c r="D5841" s="132"/>
      <c r="E5841" s="61"/>
      <c r="F5841" s="68" t="s">
        <v>418</v>
      </c>
      <c r="G5841" s="68" t="str">
        <f>IF(ISNUMBER(F5841),E5841*F5841,"")</f>
        <v/>
      </c>
      <c r="H5841" s="69"/>
      <c r="I5841" s="66"/>
      <c r="J5841" s="125">
        <v>0</v>
      </c>
    </row>
    <row r="5842" spans="1:10" ht="15.75" hidden="1" thickBot="1" x14ac:dyDescent="0.3">
      <c r="A5842" s="241" t="s">
        <v>13238</v>
      </c>
      <c r="B5842" s="237" t="s">
        <v>13020</v>
      </c>
      <c r="C5842" s="160"/>
      <c r="D5842" s="23" t="s">
        <v>16</v>
      </c>
      <c r="E5842" s="24"/>
      <c r="F5842" s="44" t="s">
        <v>418</v>
      </c>
      <c r="G5842" s="25" t="str">
        <f>IF(ISNUMBER(F5842),E5842*F5842,"")</f>
        <v/>
      </c>
      <c r="H5842" s="26"/>
      <c r="I5842" s="27"/>
      <c r="J5842" s="125">
        <v>0</v>
      </c>
    </row>
    <row r="5843" spans="1:10" ht="15.75" hidden="1" thickBot="1" x14ac:dyDescent="0.3">
      <c r="A5843" s="247"/>
      <c r="B5843" s="240"/>
      <c r="C5843" s="135"/>
      <c r="D5843" s="135"/>
      <c r="E5843" s="136"/>
      <c r="F5843" s="49" t="s">
        <v>418</v>
      </c>
      <c r="G5843" s="49" t="str">
        <f>IF(ISNUMBER(F5843),E5843*F5843,"")</f>
        <v/>
      </c>
      <c r="H5843" s="65"/>
      <c r="I5843" s="66"/>
      <c r="J5843" s="125">
        <v>0</v>
      </c>
    </row>
    <row r="5844" spans="1:10" ht="39" hidden="1" thickBot="1" x14ac:dyDescent="0.3">
      <c r="A5844" s="247"/>
      <c r="B5844" s="240"/>
      <c r="C5844" s="155" t="s">
        <v>24717</v>
      </c>
      <c r="D5844" s="155" t="s">
        <v>205</v>
      </c>
      <c r="E5844" s="130">
        <v>1</v>
      </c>
      <c r="F5844" s="28">
        <v>104.32899999999999</v>
      </c>
      <c r="G5844" s="49">
        <f>IF(ISNUMBER(F5844),E5844*F5844,"")</f>
        <v>104.32899999999999</v>
      </c>
      <c r="H5844" s="35">
        <f>SUM(G5844:G5844)</f>
        <v>104.32899999999999</v>
      </c>
      <c r="I5844" s="36"/>
      <c r="J5844" s="125">
        <v>0</v>
      </c>
    </row>
    <row r="5845" spans="1:10" ht="15.75" hidden="1" thickBot="1" x14ac:dyDescent="0.3">
      <c r="A5845" s="248"/>
      <c r="B5845" s="239"/>
      <c r="C5845" s="164"/>
      <c r="D5845" s="132"/>
      <c r="E5845" s="61"/>
      <c r="F5845" s="68" t="s">
        <v>418</v>
      </c>
      <c r="G5845" s="68" t="str">
        <f>IF(ISNUMBER(F5845),E5845*F5845,"")</f>
        <v/>
      </c>
      <c r="H5845" s="69"/>
      <c r="I5845" s="66"/>
      <c r="J5845" s="125">
        <v>0</v>
      </c>
    </row>
    <row r="5846" spans="1:10" ht="15.75" hidden="1" thickBot="1" x14ac:dyDescent="0.3">
      <c r="A5846" s="241" t="s">
        <v>13239</v>
      </c>
      <c r="B5846" s="237" t="s">
        <v>13021</v>
      </c>
      <c r="C5846" s="160"/>
      <c r="D5846" s="23" t="s">
        <v>16</v>
      </c>
      <c r="E5846" s="24"/>
      <c r="F5846" s="44" t="s">
        <v>418</v>
      </c>
      <c r="G5846" s="25" t="str">
        <f>IF(ISNUMBER(F5846),E5846*F5846,"")</f>
        <v/>
      </c>
      <c r="H5846" s="26"/>
      <c r="I5846" s="27"/>
      <c r="J5846" s="125">
        <v>0</v>
      </c>
    </row>
    <row r="5847" spans="1:10" ht="15.75" hidden="1" thickBot="1" x14ac:dyDescent="0.3">
      <c r="A5847" s="247"/>
      <c r="B5847" s="240"/>
      <c r="C5847" s="135"/>
      <c r="D5847" s="135"/>
      <c r="E5847" s="136"/>
      <c r="F5847" s="49" t="s">
        <v>418</v>
      </c>
      <c r="G5847" s="49" t="str">
        <f>IF(ISNUMBER(F5847),E5847*F5847,"")</f>
        <v/>
      </c>
      <c r="H5847" s="65"/>
      <c r="I5847" s="66"/>
      <c r="J5847" s="125">
        <v>0</v>
      </c>
    </row>
    <row r="5848" spans="1:10" ht="26.25" hidden="1" thickBot="1" x14ac:dyDescent="0.3">
      <c r="A5848" s="247"/>
      <c r="B5848" s="240"/>
      <c r="C5848" s="155" t="s">
        <v>26272</v>
      </c>
      <c r="D5848" s="155" t="s">
        <v>205</v>
      </c>
      <c r="E5848" s="130">
        <v>1</v>
      </c>
      <c r="F5848" s="28">
        <v>17.2805</v>
      </c>
      <c r="G5848" s="49">
        <f>IF(ISNUMBER(F5848),E5848*F5848,"")</f>
        <v>17.2805</v>
      </c>
      <c r="H5848" s="35">
        <f>SUM(G5848:G5848)</f>
        <v>17.2805</v>
      </c>
      <c r="I5848" s="36"/>
      <c r="J5848" s="125">
        <v>0</v>
      </c>
    </row>
    <row r="5849" spans="1:10" ht="15.75" hidden="1" thickBot="1" x14ac:dyDescent="0.3">
      <c r="A5849" s="248"/>
      <c r="B5849" s="239"/>
      <c r="C5849" s="164"/>
      <c r="D5849" s="132"/>
      <c r="E5849" s="61"/>
      <c r="F5849" s="68" t="s">
        <v>418</v>
      </c>
      <c r="G5849" s="68" t="str">
        <f>IF(ISNUMBER(F5849),E5849*F5849,"")</f>
        <v/>
      </c>
      <c r="H5849" s="69"/>
      <c r="I5849" s="66"/>
      <c r="J5849" s="125">
        <v>0</v>
      </c>
    </row>
    <row r="5850" spans="1:10" ht="15.75" hidden="1" thickBot="1" x14ac:dyDescent="0.3">
      <c r="A5850" s="241" t="s">
        <v>13240</v>
      </c>
      <c r="B5850" s="237" t="s">
        <v>13022</v>
      </c>
      <c r="C5850" s="160"/>
      <c r="D5850" s="23" t="s">
        <v>16</v>
      </c>
      <c r="E5850" s="24"/>
      <c r="F5850" s="44" t="s">
        <v>418</v>
      </c>
      <c r="G5850" s="25" t="str">
        <f>IF(ISNUMBER(F5850),E5850*F5850,"")</f>
        <v/>
      </c>
      <c r="H5850" s="26"/>
      <c r="I5850" s="27"/>
      <c r="J5850" s="125">
        <v>0</v>
      </c>
    </row>
    <row r="5851" spans="1:10" ht="15.75" hidden="1" thickBot="1" x14ac:dyDescent="0.3">
      <c r="A5851" s="247"/>
      <c r="B5851" s="240"/>
      <c r="C5851" s="135"/>
      <c r="D5851" s="135"/>
      <c r="E5851" s="136"/>
      <c r="F5851" s="49" t="s">
        <v>418</v>
      </c>
      <c r="G5851" s="49" t="str">
        <f>IF(ISNUMBER(F5851),E5851*F5851,"")</f>
        <v/>
      </c>
      <c r="H5851" s="65"/>
      <c r="I5851" s="66"/>
      <c r="J5851" s="125">
        <v>0</v>
      </c>
    </row>
    <row r="5852" spans="1:10" ht="26.25" hidden="1" thickBot="1" x14ac:dyDescent="0.3">
      <c r="A5852" s="247"/>
      <c r="B5852" s="240"/>
      <c r="C5852" s="155" t="s">
        <v>25087</v>
      </c>
      <c r="D5852" s="155" t="s">
        <v>205</v>
      </c>
      <c r="E5852" s="130">
        <v>1</v>
      </c>
      <c r="F5852" s="28">
        <v>91.313999999999993</v>
      </c>
      <c r="G5852" s="49">
        <f>IF(ISNUMBER(F5852),E5852*F5852,"")</f>
        <v>91.313999999999993</v>
      </c>
      <c r="H5852" s="35">
        <f>SUM(G5852:G5852)</f>
        <v>91.313999999999993</v>
      </c>
      <c r="I5852" s="36"/>
      <c r="J5852" s="125">
        <v>0</v>
      </c>
    </row>
    <row r="5853" spans="1:10" ht="15.75" hidden="1" thickBot="1" x14ac:dyDescent="0.3">
      <c r="A5853" s="248"/>
      <c r="B5853" s="239"/>
      <c r="C5853" s="164"/>
      <c r="D5853" s="132"/>
      <c r="E5853" s="61"/>
      <c r="F5853" s="68" t="s">
        <v>418</v>
      </c>
      <c r="G5853" s="68" t="str">
        <f>IF(ISNUMBER(F5853),E5853*F5853,"")</f>
        <v/>
      </c>
      <c r="H5853" s="69"/>
      <c r="I5853" s="66"/>
      <c r="J5853" s="125">
        <v>0</v>
      </c>
    </row>
    <row r="5854" spans="1:10" ht="15.75" hidden="1" thickBot="1" x14ac:dyDescent="0.3">
      <c r="A5854" s="241" t="s">
        <v>13241</v>
      </c>
      <c r="B5854" s="237" t="s">
        <v>13023</v>
      </c>
      <c r="C5854" s="160"/>
      <c r="D5854" s="23" t="s">
        <v>16</v>
      </c>
      <c r="E5854" s="24"/>
      <c r="F5854" s="44" t="s">
        <v>418</v>
      </c>
      <c r="G5854" s="25" t="str">
        <f>IF(ISNUMBER(F5854),E5854*F5854,"")</f>
        <v/>
      </c>
      <c r="H5854" s="26"/>
      <c r="I5854" s="27"/>
      <c r="J5854" s="125">
        <v>0</v>
      </c>
    </row>
    <row r="5855" spans="1:10" ht="15.75" hidden="1" thickBot="1" x14ac:dyDescent="0.3">
      <c r="A5855" s="247"/>
      <c r="B5855" s="240"/>
      <c r="C5855" s="135"/>
      <c r="D5855" s="135"/>
      <c r="E5855" s="136"/>
      <c r="F5855" s="49" t="s">
        <v>418</v>
      </c>
      <c r="G5855" s="49" t="str">
        <f>IF(ISNUMBER(F5855),E5855*F5855,"")</f>
        <v/>
      </c>
      <c r="H5855" s="65"/>
      <c r="I5855" s="66"/>
      <c r="J5855" s="125">
        <v>0</v>
      </c>
    </row>
    <row r="5856" spans="1:10" ht="39" hidden="1" thickBot="1" x14ac:dyDescent="0.3">
      <c r="A5856" s="247"/>
      <c r="B5856" s="240"/>
      <c r="C5856" s="155" t="s">
        <v>24751</v>
      </c>
      <c r="D5856" s="155" t="s">
        <v>205</v>
      </c>
      <c r="E5856" s="130">
        <v>1</v>
      </c>
      <c r="F5856" s="28">
        <v>37.268499999999996</v>
      </c>
      <c r="G5856" s="49">
        <f>IF(ISNUMBER(F5856),E5856*F5856,"")</f>
        <v>37.268499999999996</v>
      </c>
      <c r="H5856" s="35">
        <f>SUM(G5856:G5856)</f>
        <v>37.268499999999996</v>
      </c>
      <c r="I5856" s="36"/>
      <c r="J5856" s="125">
        <v>0</v>
      </c>
    </row>
    <row r="5857" spans="1:10" ht="15.75" hidden="1" thickBot="1" x14ac:dyDescent="0.3">
      <c r="A5857" s="248"/>
      <c r="B5857" s="239"/>
      <c r="C5857" s="164"/>
      <c r="D5857" s="132"/>
      <c r="E5857" s="61"/>
      <c r="F5857" s="68" t="s">
        <v>418</v>
      </c>
      <c r="G5857" s="68" t="str">
        <f>IF(ISNUMBER(F5857),E5857*F5857,"")</f>
        <v/>
      </c>
      <c r="H5857" s="69"/>
      <c r="I5857" s="66"/>
      <c r="J5857" s="125">
        <v>0</v>
      </c>
    </row>
    <row r="5858" spans="1:10" ht="15.75" hidden="1" thickBot="1" x14ac:dyDescent="0.3">
      <c r="A5858" s="241" t="s">
        <v>13242</v>
      </c>
      <c r="B5858" s="237" t="s">
        <v>13024</v>
      </c>
      <c r="C5858" s="160"/>
      <c r="D5858" s="23" t="s">
        <v>16</v>
      </c>
      <c r="E5858" s="24"/>
      <c r="F5858" s="44" t="s">
        <v>418</v>
      </c>
      <c r="G5858" s="25" t="str">
        <f>IF(ISNUMBER(F5858),E5858*F5858,"")</f>
        <v/>
      </c>
      <c r="H5858" s="26"/>
      <c r="I5858" s="27"/>
      <c r="J5858" s="125">
        <v>0</v>
      </c>
    </row>
    <row r="5859" spans="1:10" ht="15.75" hidden="1" thickBot="1" x14ac:dyDescent="0.3">
      <c r="A5859" s="247"/>
      <c r="B5859" s="240"/>
      <c r="C5859" s="135"/>
      <c r="D5859" s="135"/>
      <c r="E5859" s="136"/>
      <c r="F5859" s="49" t="s">
        <v>418</v>
      </c>
      <c r="G5859" s="49" t="str">
        <f>IF(ISNUMBER(F5859),E5859*F5859,"")</f>
        <v/>
      </c>
      <c r="H5859" s="65"/>
      <c r="I5859" s="66"/>
      <c r="J5859" s="125">
        <v>0</v>
      </c>
    </row>
    <row r="5860" spans="1:10" ht="39" hidden="1" thickBot="1" x14ac:dyDescent="0.3">
      <c r="A5860" s="247"/>
      <c r="B5860" s="240"/>
      <c r="C5860" s="155" t="s">
        <v>24718</v>
      </c>
      <c r="D5860" s="155" t="s">
        <v>205</v>
      </c>
      <c r="E5860" s="130">
        <v>1</v>
      </c>
      <c r="F5860" s="28">
        <v>192.03299999999999</v>
      </c>
      <c r="G5860" s="49">
        <f>IF(ISNUMBER(F5860),E5860*F5860,"")</f>
        <v>192.03299999999999</v>
      </c>
      <c r="H5860" s="35">
        <f>SUM(G5860:G5860)</f>
        <v>192.03299999999999</v>
      </c>
      <c r="I5860" s="36"/>
      <c r="J5860" s="125">
        <v>0</v>
      </c>
    </row>
    <row r="5861" spans="1:10" ht="15.75" hidden="1" thickBot="1" x14ac:dyDescent="0.3">
      <c r="A5861" s="248"/>
      <c r="B5861" s="239"/>
      <c r="C5861" s="164"/>
      <c r="D5861" s="132"/>
      <c r="E5861" s="61"/>
      <c r="F5861" s="68" t="s">
        <v>418</v>
      </c>
      <c r="G5861" s="68" t="str">
        <f>IF(ISNUMBER(F5861),E5861*F5861,"")</f>
        <v/>
      </c>
      <c r="H5861" s="69"/>
      <c r="I5861" s="66"/>
      <c r="J5861" s="125">
        <v>0</v>
      </c>
    </row>
    <row r="5862" spans="1:10" ht="15.75" hidden="1" thickBot="1" x14ac:dyDescent="0.3">
      <c r="A5862" s="241" t="s">
        <v>13243</v>
      </c>
      <c r="B5862" s="237" t="s">
        <v>13025</v>
      </c>
      <c r="C5862" s="160"/>
      <c r="D5862" s="23" t="s">
        <v>16</v>
      </c>
      <c r="E5862" s="24"/>
      <c r="F5862" s="44" t="s">
        <v>418</v>
      </c>
      <c r="G5862" s="25" t="str">
        <f>IF(ISNUMBER(F5862),E5862*F5862,"")</f>
        <v/>
      </c>
      <c r="H5862" s="26"/>
      <c r="I5862" s="27"/>
      <c r="J5862" s="125">
        <v>0</v>
      </c>
    </row>
    <row r="5863" spans="1:10" ht="15.75" hidden="1" thickBot="1" x14ac:dyDescent="0.3">
      <c r="A5863" s="247"/>
      <c r="B5863" s="240"/>
      <c r="C5863" s="135"/>
      <c r="D5863" s="135"/>
      <c r="E5863" s="136"/>
      <c r="F5863" s="49" t="s">
        <v>418</v>
      </c>
      <c r="G5863" s="49" t="str">
        <f>IF(ISNUMBER(F5863),E5863*F5863,"")</f>
        <v/>
      </c>
      <c r="H5863" s="65"/>
      <c r="I5863" s="66"/>
      <c r="J5863" s="125">
        <v>0</v>
      </c>
    </row>
    <row r="5864" spans="1:10" ht="26.25" hidden="1" thickBot="1" x14ac:dyDescent="0.3">
      <c r="A5864" s="247"/>
      <c r="B5864" s="240"/>
      <c r="C5864" s="155" t="s">
        <v>26264</v>
      </c>
      <c r="D5864" s="155" t="s">
        <v>205</v>
      </c>
      <c r="E5864" s="130">
        <v>1</v>
      </c>
      <c r="F5864" s="28">
        <v>27.264999999999997</v>
      </c>
      <c r="G5864" s="49">
        <f>IF(ISNUMBER(F5864),E5864*F5864,"")</f>
        <v>27.264999999999997</v>
      </c>
      <c r="H5864" s="35">
        <f>SUM(G5864:G5864)</f>
        <v>27.264999999999997</v>
      </c>
      <c r="I5864" s="36"/>
      <c r="J5864" s="125">
        <v>0</v>
      </c>
    </row>
    <row r="5865" spans="1:10" ht="15.75" hidden="1" thickBot="1" x14ac:dyDescent="0.3">
      <c r="A5865" s="248"/>
      <c r="B5865" s="239"/>
      <c r="C5865" s="164"/>
      <c r="D5865" s="132"/>
      <c r="E5865" s="61"/>
      <c r="F5865" s="68" t="s">
        <v>418</v>
      </c>
      <c r="G5865" s="68" t="str">
        <f>IF(ISNUMBER(F5865),E5865*F5865,"")</f>
        <v/>
      </c>
      <c r="H5865" s="69"/>
      <c r="I5865" s="66"/>
      <c r="J5865" s="125">
        <v>0</v>
      </c>
    </row>
    <row r="5866" spans="1:10" ht="15.75" hidden="1" thickBot="1" x14ac:dyDescent="0.3">
      <c r="A5866" s="241" t="s">
        <v>13244</v>
      </c>
      <c r="B5866" s="237" t="s">
        <v>13026</v>
      </c>
      <c r="C5866" s="160"/>
      <c r="D5866" s="23" t="s">
        <v>16</v>
      </c>
      <c r="E5866" s="24"/>
      <c r="F5866" s="44" t="s">
        <v>418</v>
      </c>
      <c r="G5866" s="25" t="str">
        <f>IF(ISNUMBER(F5866),E5866*F5866,"")</f>
        <v/>
      </c>
      <c r="H5866" s="26"/>
      <c r="I5866" s="27"/>
      <c r="J5866" s="125">
        <v>0</v>
      </c>
    </row>
    <row r="5867" spans="1:10" ht="15.75" hidden="1" thickBot="1" x14ac:dyDescent="0.3">
      <c r="A5867" s="247"/>
      <c r="B5867" s="240"/>
      <c r="C5867" s="135"/>
      <c r="D5867" s="135"/>
      <c r="E5867" s="136"/>
      <c r="F5867" s="49" t="s">
        <v>418</v>
      </c>
      <c r="G5867" s="49" t="str">
        <f>IF(ISNUMBER(F5867),E5867*F5867,"")</f>
        <v/>
      </c>
      <c r="H5867" s="65"/>
      <c r="I5867" s="66"/>
      <c r="J5867" s="125">
        <v>0</v>
      </c>
    </row>
    <row r="5868" spans="1:10" ht="26.25" hidden="1" thickBot="1" x14ac:dyDescent="0.3">
      <c r="A5868" s="247"/>
      <c r="B5868" s="240"/>
      <c r="C5868" s="155" t="s">
        <v>25079</v>
      </c>
      <c r="D5868" s="155" t="s">
        <v>205</v>
      </c>
      <c r="E5868" s="130">
        <v>1</v>
      </c>
      <c r="F5868" s="28">
        <v>154.869</v>
      </c>
      <c r="G5868" s="49">
        <f>IF(ISNUMBER(F5868),E5868*F5868,"")</f>
        <v>154.869</v>
      </c>
      <c r="H5868" s="35">
        <f>SUM(G5868:G5868)</f>
        <v>154.869</v>
      </c>
      <c r="I5868" s="36"/>
      <c r="J5868" s="125">
        <v>0</v>
      </c>
    </row>
    <row r="5869" spans="1:10" ht="15.75" hidden="1" thickBot="1" x14ac:dyDescent="0.3">
      <c r="A5869" s="248"/>
      <c r="B5869" s="239"/>
      <c r="C5869" s="164"/>
      <c r="D5869" s="132"/>
      <c r="E5869" s="61"/>
      <c r="F5869" s="68" t="s">
        <v>418</v>
      </c>
      <c r="G5869" s="68" t="str">
        <f>IF(ISNUMBER(F5869),E5869*F5869,"")</f>
        <v/>
      </c>
      <c r="H5869" s="69"/>
      <c r="I5869" s="66"/>
      <c r="J5869" s="125">
        <v>0</v>
      </c>
    </row>
    <row r="5870" spans="1:10" ht="15.75" hidden="1" thickBot="1" x14ac:dyDescent="0.3">
      <c r="A5870" s="241" t="s">
        <v>13245</v>
      </c>
      <c r="B5870" s="237" t="s">
        <v>13027</v>
      </c>
      <c r="C5870" s="160"/>
      <c r="D5870" s="23" t="s">
        <v>69</v>
      </c>
      <c r="E5870" s="24"/>
      <c r="F5870" s="44" t="s">
        <v>418</v>
      </c>
      <c r="G5870" s="25" t="str">
        <f>IF(ISNUMBER(F5870),E5870*F5870,"")</f>
        <v/>
      </c>
      <c r="H5870" s="26"/>
      <c r="I5870" s="27"/>
      <c r="J5870" s="125">
        <v>0</v>
      </c>
    </row>
    <row r="5871" spans="1:10" ht="15.75" hidden="1" thickBot="1" x14ac:dyDescent="0.3">
      <c r="A5871" s="247"/>
      <c r="B5871" s="240"/>
      <c r="C5871" s="135"/>
      <c r="D5871" s="135"/>
      <c r="E5871" s="136"/>
      <c r="F5871" s="49" t="s">
        <v>418</v>
      </c>
      <c r="G5871" s="49" t="str">
        <f>IF(ISNUMBER(F5871),E5871*F5871,"")</f>
        <v/>
      </c>
      <c r="H5871" s="65"/>
      <c r="I5871" s="66"/>
      <c r="J5871" s="125">
        <v>0</v>
      </c>
    </row>
    <row r="5872" spans="1:10" ht="26.25" hidden="1" thickBot="1" x14ac:dyDescent="0.3">
      <c r="A5872" s="247"/>
      <c r="B5872" s="240"/>
      <c r="C5872" s="155" t="s">
        <v>25271</v>
      </c>
      <c r="D5872" s="155" t="s">
        <v>385</v>
      </c>
      <c r="E5872" s="130">
        <v>1</v>
      </c>
      <c r="F5872" s="28">
        <v>4.7404999999999999</v>
      </c>
      <c r="G5872" s="49">
        <f>IF(ISNUMBER(F5872),E5872*F5872,"")</f>
        <v>4.7404999999999999</v>
      </c>
      <c r="H5872" s="35">
        <f>SUM(G5872:G5872)</f>
        <v>4.7404999999999999</v>
      </c>
      <c r="I5872" s="36"/>
      <c r="J5872" s="125">
        <v>0</v>
      </c>
    </row>
    <row r="5873" spans="1:10" ht="15.75" hidden="1" thickBot="1" x14ac:dyDescent="0.3">
      <c r="A5873" s="248"/>
      <c r="B5873" s="239"/>
      <c r="C5873" s="164"/>
      <c r="D5873" s="132"/>
      <c r="E5873" s="61"/>
      <c r="F5873" s="68" t="s">
        <v>418</v>
      </c>
      <c r="G5873" s="68" t="str">
        <f>IF(ISNUMBER(F5873),E5873*F5873,"")</f>
        <v/>
      </c>
      <c r="H5873" s="69"/>
      <c r="I5873" s="66"/>
      <c r="J5873" s="125">
        <v>0</v>
      </c>
    </row>
    <row r="5874" spans="1:10" ht="15.75" hidden="1" thickBot="1" x14ac:dyDescent="0.3">
      <c r="A5874" s="241" t="s">
        <v>13246</v>
      </c>
      <c r="B5874" s="237" t="s">
        <v>13028</v>
      </c>
      <c r="C5874" s="160"/>
      <c r="D5874" s="23" t="s">
        <v>69</v>
      </c>
      <c r="E5874" s="24"/>
      <c r="F5874" s="44" t="s">
        <v>418</v>
      </c>
      <c r="G5874" s="25" t="str">
        <f>IF(ISNUMBER(F5874),E5874*F5874,"")</f>
        <v/>
      </c>
      <c r="H5874" s="26"/>
      <c r="I5874" s="27"/>
      <c r="J5874" s="125">
        <v>0</v>
      </c>
    </row>
    <row r="5875" spans="1:10" ht="15.75" hidden="1" thickBot="1" x14ac:dyDescent="0.3">
      <c r="A5875" s="247"/>
      <c r="B5875" s="240"/>
      <c r="C5875" s="135"/>
      <c r="D5875" s="135"/>
      <c r="E5875" s="136"/>
      <c r="F5875" s="49" t="s">
        <v>418</v>
      </c>
      <c r="G5875" s="49" t="str">
        <f>IF(ISNUMBER(F5875),E5875*F5875,"")</f>
        <v/>
      </c>
      <c r="H5875" s="65"/>
      <c r="I5875" s="66"/>
      <c r="J5875" s="125">
        <v>0</v>
      </c>
    </row>
    <row r="5876" spans="1:10" ht="26.25" hidden="1" thickBot="1" x14ac:dyDescent="0.3">
      <c r="A5876" s="247"/>
      <c r="B5876" s="240"/>
      <c r="C5876" s="155" t="s">
        <v>25272</v>
      </c>
      <c r="D5876" s="155" t="s">
        <v>385</v>
      </c>
      <c r="E5876" s="130">
        <v>1</v>
      </c>
      <c r="F5876" s="28">
        <v>9.1199999999999992</v>
      </c>
      <c r="G5876" s="49">
        <f>IF(ISNUMBER(F5876),E5876*F5876,"")</f>
        <v>9.1199999999999992</v>
      </c>
      <c r="H5876" s="35">
        <f>SUM(G5876:G5876)</f>
        <v>9.1199999999999992</v>
      </c>
      <c r="I5876" s="36"/>
      <c r="J5876" s="125">
        <v>0</v>
      </c>
    </row>
    <row r="5877" spans="1:10" ht="15.75" hidden="1" thickBot="1" x14ac:dyDescent="0.3">
      <c r="A5877" s="248"/>
      <c r="B5877" s="239"/>
      <c r="C5877" s="164"/>
      <c r="D5877" s="132"/>
      <c r="E5877" s="61"/>
      <c r="F5877" s="68" t="s">
        <v>418</v>
      </c>
      <c r="G5877" s="68" t="str">
        <f>IF(ISNUMBER(F5877),E5877*F5877,"")</f>
        <v/>
      </c>
      <c r="H5877" s="69"/>
      <c r="I5877" s="66"/>
      <c r="J5877" s="125">
        <v>0</v>
      </c>
    </row>
    <row r="5878" spans="1:10" ht="15.75" hidden="1" thickBot="1" x14ac:dyDescent="0.3">
      <c r="A5878" s="241" t="s">
        <v>13247</v>
      </c>
      <c r="B5878" s="237" t="s">
        <v>13029</v>
      </c>
      <c r="C5878" s="160"/>
      <c r="D5878" s="23" t="s">
        <v>69</v>
      </c>
      <c r="E5878" s="24"/>
      <c r="F5878" s="44" t="s">
        <v>418</v>
      </c>
      <c r="G5878" s="25" t="str">
        <f>IF(ISNUMBER(F5878),E5878*F5878,"")</f>
        <v/>
      </c>
      <c r="H5878" s="26"/>
      <c r="I5878" s="27"/>
      <c r="J5878" s="125">
        <v>0</v>
      </c>
    </row>
    <row r="5879" spans="1:10" ht="15.75" hidden="1" thickBot="1" x14ac:dyDescent="0.3">
      <c r="A5879" s="247"/>
      <c r="B5879" s="240"/>
      <c r="C5879" s="135"/>
      <c r="D5879" s="135"/>
      <c r="E5879" s="136"/>
      <c r="F5879" s="49" t="s">
        <v>418</v>
      </c>
      <c r="G5879" s="49" t="str">
        <f>IF(ISNUMBER(F5879),E5879*F5879,"")</f>
        <v/>
      </c>
      <c r="H5879" s="65"/>
      <c r="I5879" s="66"/>
      <c r="J5879" s="125">
        <v>0</v>
      </c>
    </row>
    <row r="5880" spans="1:10" ht="39" hidden="1" thickBot="1" x14ac:dyDescent="0.3">
      <c r="A5880" s="247"/>
      <c r="B5880" s="240"/>
      <c r="C5880" s="155" t="s">
        <v>25253</v>
      </c>
      <c r="D5880" s="155" t="s">
        <v>385</v>
      </c>
      <c r="E5880" s="130">
        <v>1</v>
      </c>
      <c r="F5880" s="28">
        <v>11.257499999999999</v>
      </c>
      <c r="G5880" s="49">
        <f>IF(ISNUMBER(F5880),E5880*F5880,"")</f>
        <v>11.257499999999999</v>
      </c>
      <c r="H5880" s="35">
        <f>SUM(G5880:G5880)</f>
        <v>11.257499999999999</v>
      </c>
      <c r="I5880" s="36"/>
      <c r="J5880" s="125">
        <v>0</v>
      </c>
    </row>
    <row r="5881" spans="1:10" ht="15.75" hidden="1" thickBot="1" x14ac:dyDescent="0.3">
      <c r="A5881" s="248"/>
      <c r="B5881" s="239"/>
      <c r="C5881" s="164"/>
      <c r="D5881" s="132"/>
      <c r="E5881" s="61"/>
      <c r="F5881" s="68" t="s">
        <v>418</v>
      </c>
      <c r="G5881" s="68" t="str">
        <f>IF(ISNUMBER(F5881),E5881*F5881,"")</f>
        <v/>
      </c>
      <c r="H5881" s="69"/>
      <c r="I5881" s="66"/>
      <c r="J5881" s="125">
        <v>0</v>
      </c>
    </row>
    <row r="5882" spans="1:10" ht="15.75" hidden="1" thickBot="1" x14ac:dyDescent="0.3">
      <c r="A5882" s="241" t="s">
        <v>13248</v>
      </c>
      <c r="B5882" s="237" t="s">
        <v>13030</v>
      </c>
      <c r="C5882" s="160"/>
      <c r="D5882" s="23" t="s">
        <v>69</v>
      </c>
      <c r="E5882" s="24"/>
      <c r="F5882" s="44" t="s">
        <v>418</v>
      </c>
      <c r="G5882" s="25" t="str">
        <f>IF(ISNUMBER(F5882),E5882*F5882,"")</f>
        <v/>
      </c>
      <c r="H5882" s="26"/>
      <c r="I5882" s="27"/>
      <c r="J5882" s="125">
        <v>0</v>
      </c>
    </row>
    <row r="5883" spans="1:10" ht="15.75" hidden="1" thickBot="1" x14ac:dyDescent="0.3">
      <c r="A5883" s="247"/>
      <c r="B5883" s="240"/>
      <c r="C5883" s="135"/>
      <c r="D5883" s="135"/>
      <c r="E5883" s="136"/>
      <c r="F5883" s="49" t="s">
        <v>418</v>
      </c>
      <c r="G5883" s="49" t="str">
        <f>IF(ISNUMBER(F5883),E5883*F5883,"")</f>
        <v/>
      </c>
      <c r="H5883" s="65"/>
      <c r="I5883" s="66"/>
      <c r="J5883" s="125">
        <v>0</v>
      </c>
    </row>
    <row r="5884" spans="1:10" ht="39" hidden="1" thickBot="1" x14ac:dyDescent="0.3">
      <c r="A5884" s="247"/>
      <c r="B5884" s="240"/>
      <c r="C5884" s="155" t="s">
        <v>25254</v>
      </c>
      <c r="D5884" s="155" t="s">
        <v>385</v>
      </c>
      <c r="E5884" s="130">
        <v>1</v>
      </c>
      <c r="F5884" s="28">
        <v>14.762999999999998</v>
      </c>
      <c r="G5884" s="49">
        <f>IF(ISNUMBER(F5884),E5884*F5884,"")</f>
        <v>14.762999999999998</v>
      </c>
      <c r="H5884" s="35">
        <f>SUM(G5884:G5884)</f>
        <v>14.762999999999998</v>
      </c>
      <c r="I5884" s="36"/>
      <c r="J5884" s="125">
        <v>0</v>
      </c>
    </row>
    <row r="5885" spans="1:10" ht="15.75" hidden="1" thickBot="1" x14ac:dyDescent="0.3">
      <c r="A5885" s="248"/>
      <c r="B5885" s="239"/>
      <c r="C5885" s="164"/>
      <c r="D5885" s="132"/>
      <c r="E5885" s="61"/>
      <c r="F5885" s="68" t="s">
        <v>418</v>
      </c>
      <c r="G5885" s="68" t="str">
        <f>IF(ISNUMBER(F5885),E5885*F5885,"")</f>
        <v/>
      </c>
      <c r="H5885" s="69"/>
      <c r="I5885" s="66"/>
      <c r="J5885" s="125">
        <v>0</v>
      </c>
    </row>
    <row r="5886" spans="1:10" ht="15.75" hidden="1" thickBot="1" x14ac:dyDescent="0.3">
      <c r="A5886" s="241" t="s">
        <v>13249</v>
      </c>
      <c r="B5886" s="237" t="s">
        <v>13031</v>
      </c>
      <c r="C5886" s="160"/>
      <c r="D5886" s="23" t="s">
        <v>69</v>
      </c>
      <c r="E5886" s="24"/>
      <c r="F5886" s="44" t="s">
        <v>418</v>
      </c>
      <c r="G5886" s="25" t="str">
        <f>IF(ISNUMBER(F5886),E5886*F5886,"")</f>
        <v/>
      </c>
      <c r="H5886" s="26"/>
      <c r="I5886" s="27"/>
      <c r="J5886" s="125">
        <v>0</v>
      </c>
    </row>
    <row r="5887" spans="1:10" ht="15.75" hidden="1" thickBot="1" x14ac:dyDescent="0.3">
      <c r="A5887" s="247"/>
      <c r="B5887" s="240"/>
      <c r="C5887" s="135"/>
      <c r="D5887" s="135"/>
      <c r="E5887" s="136"/>
      <c r="F5887" s="49" t="s">
        <v>418</v>
      </c>
      <c r="G5887" s="49" t="str">
        <f>IF(ISNUMBER(F5887),E5887*F5887,"")</f>
        <v/>
      </c>
      <c r="H5887" s="65"/>
      <c r="I5887" s="66"/>
      <c r="J5887" s="125">
        <v>0</v>
      </c>
    </row>
    <row r="5888" spans="1:10" ht="39" hidden="1" thickBot="1" x14ac:dyDescent="0.3">
      <c r="A5888" s="247"/>
      <c r="B5888" s="240"/>
      <c r="C5888" s="155" t="s">
        <v>25255</v>
      </c>
      <c r="D5888" s="155" t="s">
        <v>385</v>
      </c>
      <c r="E5888" s="130">
        <v>1</v>
      </c>
      <c r="F5888" s="28">
        <v>22.2775</v>
      </c>
      <c r="G5888" s="49">
        <f>IF(ISNUMBER(F5888),E5888*F5888,"")</f>
        <v>22.2775</v>
      </c>
      <c r="H5888" s="35">
        <f>SUM(G5888:G5888)</f>
        <v>22.2775</v>
      </c>
      <c r="I5888" s="36"/>
      <c r="J5888" s="125">
        <v>0</v>
      </c>
    </row>
    <row r="5889" spans="1:10" ht="15.75" hidden="1" thickBot="1" x14ac:dyDescent="0.3">
      <c r="A5889" s="248"/>
      <c r="B5889" s="239"/>
      <c r="C5889" s="164"/>
      <c r="D5889" s="132"/>
      <c r="E5889" s="61"/>
      <c r="F5889" s="68" t="s">
        <v>418</v>
      </c>
      <c r="G5889" s="68" t="str">
        <f>IF(ISNUMBER(F5889),E5889*F5889,"")</f>
        <v/>
      </c>
      <c r="H5889" s="69"/>
      <c r="I5889" s="66"/>
      <c r="J5889" s="125">
        <v>0</v>
      </c>
    </row>
    <row r="5890" spans="1:10" ht="15.75" hidden="1" thickBot="1" x14ac:dyDescent="0.3">
      <c r="A5890" s="241" t="s">
        <v>13250</v>
      </c>
      <c r="B5890" s="237" t="s">
        <v>13032</v>
      </c>
      <c r="C5890" s="160"/>
      <c r="D5890" s="23" t="s">
        <v>69</v>
      </c>
      <c r="E5890" s="24"/>
      <c r="F5890" s="44" t="s">
        <v>418</v>
      </c>
      <c r="G5890" s="25" t="str">
        <f>IF(ISNUMBER(F5890),E5890*F5890,"")</f>
        <v/>
      </c>
      <c r="H5890" s="26"/>
      <c r="I5890" s="27"/>
      <c r="J5890" s="125">
        <v>0</v>
      </c>
    </row>
    <row r="5891" spans="1:10" ht="15.75" hidden="1" thickBot="1" x14ac:dyDescent="0.3">
      <c r="A5891" s="247"/>
      <c r="B5891" s="240"/>
      <c r="C5891" s="135"/>
      <c r="D5891" s="135"/>
      <c r="E5891" s="136"/>
      <c r="F5891" s="49" t="s">
        <v>418</v>
      </c>
      <c r="G5891" s="49" t="str">
        <f>IF(ISNUMBER(F5891),E5891*F5891,"")</f>
        <v/>
      </c>
      <c r="H5891" s="65"/>
      <c r="I5891" s="66"/>
      <c r="J5891" s="125">
        <v>0</v>
      </c>
    </row>
    <row r="5892" spans="1:10" ht="39" hidden="1" thickBot="1" x14ac:dyDescent="0.3">
      <c r="A5892" s="247"/>
      <c r="B5892" s="240"/>
      <c r="C5892" s="155" t="s">
        <v>1072</v>
      </c>
      <c r="D5892" s="155" t="s">
        <v>385</v>
      </c>
      <c r="E5892" s="130">
        <v>1</v>
      </c>
      <c r="F5892" s="28">
        <v>28.670999999999999</v>
      </c>
      <c r="G5892" s="49">
        <f>IF(ISNUMBER(F5892),E5892*F5892,"")</f>
        <v>28.670999999999999</v>
      </c>
      <c r="H5892" s="35">
        <f>SUM(G5892:G5892)</f>
        <v>28.670999999999999</v>
      </c>
      <c r="I5892" s="36"/>
      <c r="J5892" s="125">
        <v>0</v>
      </c>
    </row>
    <row r="5893" spans="1:10" ht="15.75" hidden="1" thickBot="1" x14ac:dyDescent="0.3">
      <c r="A5893" s="248"/>
      <c r="B5893" s="239"/>
      <c r="C5893" s="164"/>
      <c r="D5893" s="132"/>
      <c r="E5893" s="61"/>
      <c r="F5893" s="68" t="s">
        <v>418</v>
      </c>
      <c r="G5893" s="68" t="str">
        <f>IF(ISNUMBER(F5893),E5893*F5893,"")</f>
        <v/>
      </c>
      <c r="H5893" s="69"/>
      <c r="I5893" s="66"/>
      <c r="J5893" s="125">
        <v>0</v>
      </c>
    </row>
    <row r="5894" spans="1:10" ht="15.75" hidden="1" thickBot="1" x14ac:dyDescent="0.3">
      <c r="A5894" s="241" t="s">
        <v>13251</v>
      </c>
      <c r="B5894" s="237" t="s">
        <v>13033</v>
      </c>
      <c r="C5894" s="160"/>
      <c r="D5894" s="23" t="s">
        <v>69</v>
      </c>
      <c r="E5894" s="24"/>
      <c r="F5894" s="44" t="s">
        <v>418</v>
      </c>
      <c r="G5894" s="25" t="str">
        <f>IF(ISNUMBER(F5894),E5894*F5894,"")</f>
        <v/>
      </c>
      <c r="H5894" s="26"/>
      <c r="I5894" s="27"/>
      <c r="J5894" s="125">
        <v>0</v>
      </c>
    </row>
    <row r="5895" spans="1:10" ht="15.75" hidden="1" thickBot="1" x14ac:dyDescent="0.3">
      <c r="A5895" s="247"/>
      <c r="B5895" s="240"/>
      <c r="C5895" s="135"/>
      <c r="D5895" s="135"/>
      <c r="E5895" s="136"/>
      <c r="F5895" s="49" t="s">
        <v>418</v>
      </c>
      <c r="G5895" s="49" t="str">
        <f>IF(ISNUMBER(F5895),E5895*F5895,"")</f>
        <v/>
      </c>
      <c r="H5895" s="65"/>
      <c r="I5895" s="66"/>
      <c r="J5895" s="125">
        <v>0</v>
      </c>
    </row>
    <row r="5896" spans="1:10" ht="39" hidden="1" thickBot="1" x14ac:dyDescent="0.3">
      <c r="A5896" s="247"/>
      <c r="B5896" s="240"/>
      <c r="C5896" s="155" t="s">
        <v>25256</v>
      </c>
      <c r="D5896" s="155" t="s">
        <v>385</v>
      </c>
      <c r="E5896" s="130">
        <v>1</v>
      </c>
      <c r="F5896" s="28">
        <v>38.19</v>
      </c>
      <c r="G5896" s="49">
        <f>IF(ISNUMBER(F5896),E5896*F5896,"")</f>
        <v>38.19</v>
      </c>
      <c r="H5896" s="35">
        <f>SUM(G5896:G5896)</f>
        <v>38.19</v>
      </c>
      <c r="I5896" s="36"/>
      <c r="J5896" s="125">
        <v>0</v>
      </c>
    </row>
    <row r="5897" spans="1:10" ht="15.75" hidden="1" thickBot="1" x14ac:dyDescent="0.3">
      <c r="A5897" s="248"/>
      <c r="B5897" s="239"/>
      <c r="C5897" s="164"/>
      <c r="D5897" s="132"/>
      <c r="E5897" s="61"/>
      <c r="F5897" s="68" t="s">
        <v>418</v>
      </c>
      <c r="G5897" s="68" t="str">
        <f>IF(ISNUMBER(F5897),E5897*F5897,"")</f>
        <v/>
      </c>
      <c r="H5897" s="69"/>
      <c r="I5897" s="66"/>
      <c r="J5897" s="125">
        <v>0</v>
      </c>
    </row>
    <row r="5898" spans="1:10" ht="15.75" hidden="1" thickBot="1" x14ac:dyDescent="0.3">
      <c r="A5898" s="241" t="s">
        <v>13252</v>
      </c>
      <c r="B5898" s="237" t="s">
        <v>13034</v>
      </c>
      <c r="C5898" s="160"/>
      <c r="D5898" s="23" t="s">
        <v>69</v>
      </c>
      <c r="E5898" s="24"/>
      <c r="F5898" s="44" t="s">
        <v>418</v>
      </c>
      <c r="G5898" s="25" t="str">
        <f>IF(ISNUMBER(F5898),E5898*F5898,"")</f>
        <v/>
      </c>
      <c r="H5898" s="26"/>
      <c r="I5898" s="27"/>
      <c r="J5898" s="125">
        <v>0</v>
      </c>
    </row>
    <row r="5899" spans="1:10" ht="15.75" hidden="1" thickBot="1" x14ac:dyDescent="0.3">
      <c r="A5899" s="247"/>
      <c r="B5899" s="240"/>
      <c r="C5899" s="135"/>
      <c r="D5899" s="135"/>
      <c r="E5899" s="136"/>
      <c r="F5899" s="49" t="s">
        <v>418</v>
      </c>
      <c r="G5899" s="49" t="str">
        <f>IF(ISNUMBER(F5899),E5899*F5899,"")</f>
        <v/>
      </c>
      <c r="H5899" s="65"/>
      <c r="I5899" s="66"/>
      <c r="J5899" s="125">
        <v>0</v>
      </c>
    </row>
    <row r="5900" spans="1:10" ht="39" hidden="1" thickBot="1" x14ac:dyDescent="0.3">
      <c r="A5900" s="247"/>
      <c r="B5900" s="240"/>
      <c r="C5900" s="155" t="s">
        <v>25277</v>
      </c>
      <c r="D5900" s="155" t="s">
        <v>385</v>
      </c>
      <c r="E5900" s="130">
        <v>1</v>
      </c>
      <c r="F5900" s="28">
        <v>3.8949999999999996</v>
      </c>
      <c r="G5900" s="49">
        <f>IF(ISNUMBER(F5900),E5900*F5900,"")</f>
        <v>3.8949999999999996</v>
      </c>
      <c r="H5900" s="35">
        <f>SUM(G5900:G5900)</f>
        <v>3.8949999999999996</v>
      </c>
      <c r="I5900" s="36"/>
      <c r="J5900" s="125">
        <v>0</v>
      </c>
    </row>
    <row r="5901" spans="1:10" ht="15.75" hidden="1" thickBot="1" x14ac:dyDescent="0.3">
      <c r="A5901" s="248"/>
      <c r="B5901" s="239"/>
      <c r="C5901" s="164"/>
      <c r="D5901" s="132"/>
      <c r="E5901" s="61"/>
      <c r="F5901" s="68" t="s">
        <v>418</v>
      </c>
      <c r="G5901" s="68" t="str">
        <f>IF(ISNUMBER(F5901),E5901*F5901,"")</f>
        <v/>
      </c>
      <c r="H5901" s="69"/>
      <c r="I5901" s="66"/>
      <c r="J5901" s="125">
        <v>0</v>
      </c>
    </row>
    <row r="5902" spans="1:10" ht="15.75" hidden="1" thickBot="1" x14ac:dyDescent="0.3">
      <c r="A5902" s="241" t="s">
        <v>13253</v>
      </c>
      <c r="B5902" s="237" t="s">
        <v>13035</v>
      </c>
      <c r="C5902" s="160"/>
      <c r="D5902" s="23" t="s">
        <v>16</v>
      </c>
      <c r="E5902" s="24"/>
      <c r="F5902" s="44" t="s">
        <v>418</v>
      </c>
      <c r="G5902" s="25" t="str">
        <f>IF(ISNUMBER(F5902),E5902*F5902,"")</f>
        <v/>
      </c>
      <c r="H5902" s="26"/>
      <c r="I5902" s="27"/>
      <c r="J5902" s="125">
        <v>0</v>
      </c>
    </row>
    <row r="5903" spans="1:10" ht="15.75" hidden="1" thickBot="1" x14ac:dyDescent="0.3">
      <c r="A5903" s="247"/>
      <c r="B5903" s="240"/>
      <c r="C5903" s="135"/>
      <c r="D5903" s="135"/>
      <c r="E5903" s="136"/>
      <c r="F5903" s="49" t="s">
        <v>418</v>
      </c>
      <c r="G5903" s="49" t="str">
        <f>IF(ISNUMBER(F5903),E5903*F5903,"")</f>
        <v/>
      </c>
      <c r="H5903" s="65"/>
      <c r="I5903" s="66"/>
      <c r="J5903" s="125">
        <v>0</v>
      </c>
    </row>
    <row r="5904" spans="1:10" ht="26.25" hidden="1" thickBot="1" x14ac:dyDescent="0.3">
      <c r="A5904" s="247"/>
      <c r="B5904" s="240"/>
      <c r="C5904" s="155" t="s">
        <v>27460</v>
      </c>
      <c r="D5904" s="155" t="s">
        <v>205</v>
      </c>
      <c r="E5904" s="130">
        <v>1</v>
      </c>
      <c r="F5904" s="28">
        <v>6.4694999999999991</v>
      </c>
      <c r="G5904" s="49">
        <f>IF(ISNUMBER(F5904),E5904*F5904,"")</f>
        <v>6.4694999999999991</v>
      </c>
      <c r="H5904" s="35">
        <f>SUM(G5904:G5904)</f>
        <v>6.4694999999999991</v>
      </c>
      <c r="I5904" s="36"/>
      <c r="J5904" s="125">
        <v>0</v>
      </c>
    </row>
    <row r="5905" spans="1:10" ht="15.75" hidden="1" thickBot="1" x14ac:dyDescent="0.3">
      <c r="A5905" s="248"/>
      <c r="B5905" s="239"/>
      <c r="C5905" s="164"/>
      <c r="D5905" s="132"/>
      <c r="E5905" s="61"/>
      <c r="F5905" s="68" t="s">
        <v>418</v>
      </c>
      <c r="G5905" s="68" t="str">
        <f>IF(ISNUMBER(F5905),E5905*F5905,"")</f>
        <v/>
      </c>
      <c r="H5905" s="69"/>
      <c r="I5905" s="66"/>
      <c r="J5905" s="125">
        <v>0</v>
      </c>
    </row>
    <row r="5906" spans="1:10" ht="15.75" hidden="1" thickBot="1" x14ac:dyDescent="0.3">
      <c r="A5906" s="241" t="s">
        <v>13254</v>
      </c>
      <c r="B5906" s="237" t="s">
        <v>13036</v>
      </c>
      <c r="C5906" s="160"/>
      <c r="D5906" s="23" t="s">
        <v>69</v>
      </c>
      <c r="E5906" s="24"/>
      <c r="F5906" s="44" t="s">
        <v>418</v>
      </c>
      <c r="G5906" s="25" t="str">
        <f>IF(ISNUMBER(F5906),E5906*F5906,"")</f>
        <v/>
      </c>
      <c r="H5906" s="26"/>
      <c r="I5906" s="27"/>
      <c r="J5906" s="125">
        <v>0</v>
      </c>
    </row>
    <row r="5907" spans="1:10" ht="15.75" hidden="1" thickBot="1" x14ac:dyDescent="0.3">
      <c r="A5907" s="247"/>
      <c r="B5907" s="240"/>
      <c r="C5907" s="135"/>
      <c r="D5907" s="135"/>
      <c r="E5907" s="136"/>
      <c r="F5907" s="49" t="s">
        <v>418</v>
      </c>
      <c r="G5907" s="49" t="str">
        <f>IF(ISNUMBER(F5907),E5907*F5907,"")</f>
        <v/>
      </c>
      <c r="H5907" s="65"/>
      <c r="I5907" s="66"/>
      <c r="J5907" s="125">
        <v>0</v>
      </c>
    </row>
    <row r="5908" spans="1:10" ht="39" hidden="1" thickBot="1" x14ac:dyDescent="0.3">
      <c r="A5908" s="247"/>
      <c r="B5908" s="240"/>
      <c r="C5908" s="155" t="s">
        <v>38838</v>
      </c>
      <c r="D5908" s="155" t="s">
        <v>385</v>
      </c>
      <c r="E5908" s="130">
        <v>1</v>
      </c>
      <c r="F5908" s="28">
        <v>6.4124999999999996</v>
      </c>
      <c r="G5908" s="49">
        <f>IF(ISNUMBER(F5908),E5908*F5908,"")</f>
        <v>6.4124999999999996</v>
      </c>
      <c r="H5908" s="35">
        <f>SUM(G5908:G5908)</f>
        <v>6.4124999999999996</v>
      </c>
      <c r="I5908" s="36"/>
      <c r="J5908" s="125">
        <v>0</v>
      </c>
    </row>
    <row r="5909" spans="1:10" ht="15.75" hidden="1" thickBot="1" x14ac:dyDescent="0.3">
      <c r="A5909" s="248"/>
      <c r="B5909" s="239"/>
      <c r="C5909" s="164"/>
      <c r="D5909" s="132"/>
      <c r="E5909" s="61"/>
      <c r="F5909" s="68" t="s">
        <v>418</v>
      </c>
      <c r="G5909" s="68" t="str">
        <f>IF(ISNUMBER(F5909),E5909*F5909,"")</f>
        <v/>
      </c>
      <c r="H5909" s="69"/>
      <c r="I5909" s="66"/>
      <c r="J5909" s="125">
        <v>0</v>
      </c>
    </row>
    <row r="5910" spans="1:10" ht="15.75" hidden="1" thickBot="1" x14ac:dyDescent="0.3">
      <c r="A5910" s="241" t="s">
        <v>13255</v>
      </c>
      <c r="B5910" s="237" t="s">
        <v>13037</v>
      </c>
      <c r="C5910" s="160"/>
      <c r="D5910" s="23" t="s">
        <v>16</v>
      </c>
      <c r="E5910" s="24"/>
      <c r="F5910" s="44" t="s">
        <v>418</v>
      </c>
      <c r="G5910" s="25" t="str">
        <f>IF(ISNUMBER(F5910),E5910*F5910,"")</f>
        <v/>
      </c>
      <c r="H5910" s="26"/>
      <c r="I5910" s="27"/>
      <c r="J5910" s="125">
        <v>0</v>
      </c>
    </row>
    <row r="5911" spans="1:10" ht="15.75" hidden="1" thickBot="1" x14ac:dyDescent="0.3">
      <c r="A5911" s="247"/>
      <c r="B5911" s="240"/>
      <c r="C5911" s="135"/>
      <c r="D5911" s="135"/>
      <c r="E5911" s="136"/>
      <c r="F5911" s="49" t="s">
        <v>418</v>
      </c>
      <c r="G5911" s="49" t="str">
        <f>IF(ISNUMBER(F5911),E5911*F5911,"")</f>
        <v/>
      </c>
      <c r="H5911" s="65"/>
      <c r="I5911" s="66"/>
      <c r="J5911" s="125">
        <v>0</v>
      </c>
    </row>
    <row r="5912" spans="1:10" ht="26.25" hidden="1" thickBot="1" x14ac:dyDescent="0.3">
      <c r="A5912" s="247"/>
      <c r="B5912" s="240"/>
      <c r="C5912" s="155" t="s">
        <v>27461</v>
      </c>
      <c r="D5912" s="155" t="s">
        <v>205</v>
      </c>
      <c r="E5912" s="130">
        <v>1</v>
      </c>
      <c r="F5912" s="28">
        <v>7.391</v>
      </c>
      <c r="G5912" s="49">
        <f>IF(ISNUMBER(F5912),E5912*F5912,"")</f>
        <v>7.391</v>
      </c>
      <c r="H5912" s="35">
        <f>SUM(G5912:G5912)</f>
        <v>7.391</v>
      </c>
      <c r="I5912" s="36"/>
      <c r="J5912" s="125">
        <v>0</v>
      </c>
    </row>
    <row r="5913" spans="1:10" ht="15.75" hidden="1" thickBot="1" x14ac:dyDescent="0.3">
      <c r="A5913" s="248"/>
      <c r="B5913" s="239"/>
      <c r="C5913" s="164"/>
      <c r="D5913" s="132"/>
      <c r="E5913" s="61"/>
      <c r="F5913" s="68" t="s">
        <v>418</v>
      </c>
      <c r="G5913" s="68" t="str">
        <f>IF(ISNUMBER(F5913),E5913*F5913,"")</f>
        <v/>
      </c>
      <c r="H5913" s="69"/>
      <c r="I5913" s="66"/>
      <c r="J5913" s="125">
        <v>0</v>
      </c>
    </row>
    <row r="5914" spans="1:10" ht="15.75" hidden="1" thickBot="1" x14ac:dyDescent="0.3">
      <c r="A5914" s="241" t="s">
        <v>13256</v>
      </c>
      <c r="B5914" s="237" t="s">
        <v>13038</v>
      </c>
      <c r="C5914" s="160"/>
      <c r="D5914" s="23" t="s">
        <v>69</v>
      </c>
      <c r="E5914" s="24"/>
      <c r="F5914" s="44" t="s">
        <v>418</v>
      </c>
      <c r="G5914" s="25" t="str">
        <f>IF(ISNUMBER(F5914),E5914*F5914,"")</f>
        <v/>
      </c>
      <c r="H5914" s="26"/>
      <c r="I5914" s="27"/>
      <c r="J5914" s="125">
        <v>0</v>
      </c>
    </row>
    <row r="5915" spans="1:10" ht="15.75" hidden="1" thickBot="1" x14ac:dyDescent="0.3">
      <c r="A5915" s="247"/>
      <c r="B5915" s="240"/>
      <c r="C5915" s="135"/>
      <c r="D5915" s="135"/>
      <c r="E5915" s="136"/>
      <c r="F5915" s="49" t="s">
        <v>418</v>
      </c>
      <c r="G5915" s="49" t="str">
        <f>IF(ISNUMBER(F5915),E5915*F5915,"")</f>
        <v/>
      </c>
      <c r="H5915" s="65"/>
      <c r="I5915" s="66"/>
      <c r="J5915" s="125">
        <v>0</v>
      </c>
    </row>
    <row r="5916" spans="1:10" ht="39" hidden="1" thickBot="1" x14ac:dyDescent="0.3">
      <c r="A5916" s="247"/>
      <c r="B5916" s="240"/>
      <c r="C5916" s="155" t="s">
        <v>38833</v>
      </c>
      <c r="D5916" s="155" t="s">
        <v>385</v>
      </c>
      <c r="E5916" s="130">
        <v>1</v>
      </c>
      <c r="F5916" s="28">
        <v>8.9774999999999991</v>
      </c>
      <c r="G5916" s="49">
        <f>IF(ISNUMBER(F5916),E5916*F5916,"")</f>
        <v>8.9774999999999991</v>
      </c>
      <c r="H5916" s="35">
        <f>SUM(G5916:G5916)</f>
        <v>8.9774999999999991</v>
      </c>
      <c r="I5916" s="36"/>
      <c r="J5916" s="125">
        <v>0</v>
      </c>
    </row>
    <row r="5917" spans="1:10" ht="15.75" hidden="1" thickBot="1" x14ac:dyDescent="0.3">
      <c r="A5917" s="248"/>
      <c r="B5917" s="239"/>
      <c r="C5917" s="164"/>
      <c r="D5917" s="132"/>
      <c r="E5917" s="61"/>
      <c r="F5917" s="68" t="s">
        <v>418</v>
      </c>
      <c r="G5917" s="68" t="str">
        <f>IF(ISNUMBER(F5917),E5917*F5917,"")</f>
        <v/>
      </c>
      <c r="H5917" s="69"/>
      <c r="I5917" s="66"/>
      <c r="J5917" s="125">
        <v>0</v>
      </c>
    </row>
    <row r="5918" spans="1:10" ht="15.75" hidden="1" thickBot="1" x14ac:dyDescent="0.3">
      <c r="A5918" s="241" t="s">
        <v>13257</v>
      </c>
      <c r="B5918" s="237" t="s">
        <v>13039</v>
      </c>
      <c r="C5918" s="160"/>
      <c r="D5918" s="23" t="s">
        <v>16</v>
      </c>
      <c r="E5918" s="24"/>
      <c r="F5918" s="44" t="s">
        <v>418</v>
      </c>
      <c r="G5918" s="25" t="str">
        <f>IF(ISNUMBER(F5918),E5918*F5918,"")</f>
        <v/>
      </c>
      <c r="H5918" s="26"/>
      <c r="I5918" s="27"/>
      <c r="J5918" s="125">
        <v>0</v>
      </c>
    </row>
    <row r="5919" spans="1:10" ht="15.75" hidden="1" thickBot="1" x14ac:dyDescent="0.3">
      <c r="A5919" s="247"/>
      <c r="B5919" s="240"/>
      <c r="C5919" s="135"/>
      <c r="D5919" s="135"/>
      <c r="E5919" s="136"/>
      <c r="F5919" s="49" t="s">
        <v>418</v>
      </c>
      <c r="G5919" s="49" t="str">
        <f>IF(ISNUMBER(F5919),E5919*F5919,"")</f>
        <v/>
      </c>
      <c r="H5919" s="65"/>
      <c r="I5919" s="66"/>
      <c r="J5919" s="125">
        <v>0</v>
      </c>
    </row>
    <row r="5920" spans="1:10" ht="26.25" hidden="1" thickBot="1" x14ac:dyDescent="0.3">
      <c r="A5920" s="247"/>
      <c r="B5920" s="240"/>
      <c r="C5920" s="155" t="s">
        <v>27462</v>
      </c>
      <c r="D5920" s="155" t="s">
        <v>205</v>
      </c>
      <c r="E5920" s="130">
        <v>1</v>
      </c>
      <c r="F5920" s="28">
        <v>10.8965</v>
      </c>
      <c r="G5920" s="49">
        <f>IF(ISNUMBER(F5920),E5920*F5920,"")</f>
        <v>10.8965</v>
      </c>
      <c r="H5920" s="35">
        <f>SUM(G5920:G5920)</f>
        <v>10.8965</v>
      </c>
      <c r="I5920" s="36"/>
      <c r="J5920" s="125">
        <v>0</v>
      </c>
    </row>
    <row r="5921" spans="1:10" ht="15.75" hidden="1" thickBot="1" x14ac:dyDescent="0.3">
      <c r="A5921" s="248"/>
      <c r="B5921" s="239"/>
      <c r="C5921" s="164"/>
      <c r="D5921" s="132"/>
      <c r="E5921" s="61"/>
      <c r="F5921" s="68" t="s">
        <v>418</v>
      </c>
      <c r="G5921" s="68" t="str">
        <f>IF(ISNUMBER(F5921),E5921*F5921,"")</f>
        <v/>
      </c>
      <c r="H5921" s="69"/>
      <c r="I5921" s="66"/>
      <c r="J5921" s="125">
        <v>0</v>
      </c>
    </row>
    <row r="5922" spans="1:10" ht="15.75" hidden="1" thickBot="1" x14ac:dyDescent="0.3">
      <c r="A5922" s="241" t="s">
        <v>13258</v>
      </c>
      <c r="B5922" s="237" t="s">
        <v>13040</v>
      </c>
      <c r="C5922" s="160"/>
      <c r="D5922" s="23" t="s">
        <v>69</v>
      </c>
      <c r="E5922" s="24"/>
      <c r="F5922" s="44" t="s">
        <v>418</v>
      </c>
      <c r="G5922" s="25" t="str">
        <f>IF(ISNUMBER(F5922),E5922*F5922,"")</f>
        <v/>
      </c>
      <c r="H5922" s="26"/>
      <c r="I5922" s="27"/>
      <c r="J5922" s="125">
        <v>0</v>
      </c>
    </row>
    <row r="5923" spans="1:10" ht="15.75" hidden="1" thickBot="1" x14ac:dyDescent="0.3">
      <c r="A5923" s="247"/>
      <c r="B5923" s="240"/>
      <c r="C5923" s="135"/>
      <c r="D5923" s="135"/>
      <c r="E5923" s="136"/>
      <c r="F5923" s="49" t="s">
        <v>418</v>
      </c>
      <c r="G5923" s="49" t="str">
        <f>IF(ISNUMBER(F5923),E5923*F5923,"")</f>
        <v/>
      </c>
      <c r="H5923" s="65"/>
      <c r="I5923" s="66"/>
      <c r="J5923" s="125">
        <v>0</v>
      </c>
    </row>
    <row r="5924" spans="1:10" ht="15.75" hidden="1" thickBot="1" x14ac:dyDescent="0.3">
      <c r="A5924" s="247"/>
      <c r="B5924" s="240"/>
      <c r="C5924" s="155" t="s">
        <v>25238</v>
      </c>
      <c r="D5924" s="155" t="s">
        <v>385</v>
      </c>
      <c r="E5924" s="130">
        <v>1</v>
      </c>
      <c r="F5924" s="28">
        <v>5.9089999999999998</v>
      </c>
      <c r="G5924" s="49">
        <f>IF(ISNUMBER(F5924),E5924*F5924,"")</f>
        <v>5.9089999999999998</v>
      </c>
      <c r="H5924" s="35">
        <f>SUM(G5924:G5924)</f>
        <v>5.9089999999999998</v>
      </c>
      <c r="I5924" s="36"/>
      <c r="J5924" s="125">
        <v>0</v>
      </c>
    </row>
    <row r="5925" spans="1:10" ht="15.75" hidden="1" thickBot="1" x14ac:dyDescent="0.3">
      <c r="A5925" s="248"/>
      <c r="B5925" s="239"/>
      <c r="C5925" s="164"/>
      <c r="D5925" s="132"/>
      <c r="E5925" s="61"/>
      <c r="F5925" s="68" t="s">
        <v>418</v>
      </c>
      <c r="G5925" s="68" t="str">
        <f>IF(ISNUMBER(F5925),E5925*F5925,"")</f>
        <v/>
      </c>
      <c r="H5925" s="69"/>
      <c r="I5925" s="66"/>
      <c r="J5925" s="125">
        <v>0</v>
      </c>
    </row>
    <row r="5926" spans="1:10" ht="15.75" hidden="1" thickBot="1" x14ac:dyDescent="0.3">
      <c r="A5926" s="241" t="s">
        <v>13259</v>
      </c>
      <c r="B5926" s="237" t="s">
        <v>13041</v>
      </c>
      <c r="C5926" s="160"/>
      <c r="D5926" s="23" t="s">
        <v>16</v>
      </c>
      <c r="E5926" s="24"/>
      <c r="F5926" s="44" t="s">
        <v>418</v>
      </c>
      <c r="G5926" s="25" t="str">
        <f>IF(ISNUMBER(F5926),E5926*F5926,"")</f>
        <v/>
      </c>
      <c r="H5926" s="26"/>
      <c r="I5926" s="27"/>
      <c r="J5926" s="125">
        <v>0</v>
      </c>
    </row>
    <row r="5927" spans="1:10" ht="15.75" hidden="1" thickBot="1" x14ac:dyDescent="0.3">
      <c r="A5927" s="247"/>
      <c r="B5927" s="240"/>
      <c r="C5927" s="135"/>
      <c r="D5927" s="135"/>
      <c r="E5927" s="136"/>
      <c r="F5927" s="49" t="s">
        <v>418</v>
      </c>
      <c r="G5927" s="49" t="str">
        <f>IF(ISNUMBER(F5927),E5927*F5927,"")</f>
        <v/>
      </c>
      <c r="H5927" s="65"/>
      <c r="I5927" s="66"/>
      <c r="J5927" s="125">
        <v>0</v>
      </c>
    </row>
    <row r="5928" spans="1:10" ht="15.75" hidden="1" thickBot="1" x14ac:dyDescent="0.3">
      <c r="A5928" s="247"/>
      <c r="B5928" s="240"/>
      <c r="C5928" s="155" t="s">
        <v>26261</v>
      </c>
      <c r="D5928" s="155" t="s">
        <v>205</v>
      </c>
      <c r="E5928" s="130">
        <v>1</v>
      </c>
      <c r="F5928" s="28">
        <v>0.97849999999999993</v>
      </c>
      <c r="G5928" s="49">
        <f>IF(ISNUMBER(F5928),E5928*F5928,"")</f>
        <v>0.97849999999999993</v>
      </c>
      <c r="H5928" s="35">
        <f>SUM(G5928:G5928)</f>
        <v>0.97849999999999993</v>
      </c>
      <c r="I5928" s="36"/>
      <c r="J5928" s="125">
        <v>0</v>
      </c>
    </row>
    <row r="5929" spans="1:10" ht="15.75" hidden="1" thickBot="1" x14ac:dyDescent="0.3">
      <c r="A5929" s="248"/>
      <c r="B5929" s="239"/>
      <c r="C5929" s="164"/>
      <c r="D5929" s="132"/>
      <c r="E5929" s="61"/>
      <c r="F5929" s="68" t="s">
        <v>418</v>
      </c>
      <c r="G5929" s="68" t="str">
        <f>IF(ISNUMBER(F5929),E5929*F5929,"")</f>
        <v/>
      </c>
      <c r="H5929" s="69"/>
      <c r="I5929" s="66"/>
      <c r="J5929" s="125">
        <v>0</v>
      </c>
    </row>
    <row r="5930" spans="1:10" ht="15.75" hidden="1" thickBot="1" x14ac:dyDescent="0.3">
      <c r="A5930" s="241" t="s">
        <v>13260</v>
      </c>
      <c r="B5930" s="237" t="s">
        <v>13042</v>
      </c>
      <c r="C5930" s="160"/>
      <c r="D5930" s="23" t="s">
        <v>16</v>
      </c>
      <c r="E5930" s="24"/>
      <c r="F5930" s="44" t="s">
        <v>418</v>
      </c>
      <c r="G5930" s="25" t="str">
        <f>IF(ISNUMBER(F5930),E5930*F5930,"")</f>
        <v/>
      </c>
      <c r="H5930" s="26"/>
      <c r="I5930" s="27"/>
      <c r="J5930" s="125">
        <v>0</v>
      </c>
    </row>
    <row r="5931" spans="1:10" ht="15.75" hidden="1" thickBot="1" x14ac:dyDescent="0.3">
      <c r="A5931" s="247"/>
      <c r="B5931" s="240"/>
      <c r="C5931" s="135"/>
      <c r="D5931" s="135"/>
      <c r="E5931" s="136"/>
      <c r="F5931" s="49" t="s">
        <v>418</v>
      </c>
      <c r="G5931" s="49" t="str">
        <f>IF(ISNUMBER(F5931),E5931*F5931,"")</f>
        <v/>
      </c>
      <c r="H5931" s="65"/>
      <c r="I5931" s="66"/>
      <c r="J5931" s="125">
        <v>0</v>
      </c>
    </row>
    <row r="5932" spans="1:10" ht="26.25" hidden="1" thickBot="1" x14ac:dyDescent="0.3">
      <c r="A5932" s="247"/>
      <c r="B5932" s="240"/>
      <c r="C5932" s="155" t="s">
        <v>25068</v>
      </c>
      <c r="D5932" s="155" t="s">
        <v>205</v>
      </c>
      <c r="E5932" s="130">
        <v>1</v>
      </c>
      <c r="F5932" s="28">
        <v>2.1185</v>
      </c>
      <c r="G5932" s="49">
        <f>IF(ISNUMBER(F5932),E5932*F5932,"")</f>
        <v>2.1185</v>
      </c>
      <c r="H5932" s="35">
        <f>SUM(G5932:G5932)</f>
        <v>2.1185</v>
      </c>
      <c r="I5932" s="36"/>
      <c r="J5932" s="125">
        <v>0</v>
      </c>
    </row>
    <row r="5933" spans="1:10" ht="15.75" hidden="1" thickBot="1" x14ac:dyDescent="0.3">
      <c r="A5933" s="248"/>
      <c r="B5933" s="239"/>
      <c r="C5933" s="164"/>
      <c r="D5933" s="132"/>
      <c r="E5933" s="61"/>
      <c r="F5933" s="68" t="s">
        <v>418</v>
      </c>
      <c r="G5933" s="68" t="str">
        <f>IF(ISNUMBER(F5933),E5933*F5933,"")</f>
        <v/>
      </c>
      <c r="H5933" s="69"/>
      <c r="I5933" s="66"/>
      <c r="J5933" s="125">
        <v>0</v>
      </c>
    </row>
    <row r="5934" spans="1:10" ht="15.75" hidden="1" thickBot="1" x14ac:dyDescent="0.3">
      <c r="A5934" s="241" t="s">
        <v>13261</v>
      </c>
      <c r="B5934" s="237" t="s">
        <v>13043</v>
      </c>
      <c r="C5934" s="160"/>
      <c r="D5934" s="23" t="s">
        <v>69</v>
      </c>
      <c r="E5934" s="24"/>
      <c r="F5934" s="44" t="s">
        <v>418</v>
      </c>
      <c r="G5934" s="25" t="str">
        <f>IF(ISNUMBER(F5934),E5934*F5934,"")</f>
        <v/>
      </c>
      <c r="H5934" s="26"/>
      <c r="I5934" s="27"/>
      <c r="J5934" s="125">
        <v>0</v>
      </c>
    </row>
    <row r="5935" spans="1:10" ht="15.75" hidden="1" thickBot="1" x14ac:dyDescent="0.3">
      <c r="A5935" s="247"/>
      <c r="B5935" s="240"/>
      <c r="C5935" s="135"/>
      <c r="D5935" s="135"/>
      <c r="E5935" s="136"/>
      <c r="F5935" s="49" t="s">
        <v>418</v>
      </c>
      <c r="G5935" s="49" t="str">
        <f>IF(ISNUMBER(F5935),E5935*F5935,"")</f>
        <v/>
      </c>
      <c r="H5935" s="65"/>
      <c r="I5935" s="66"/>
      <c r="J5935" s="125">
        <v>0</v>
      </c>
    </row>
    <row r="5936" spans="1:10" ht="15.75" hidden="1" thickBot="1" x14ac:dyDescent="0.3">
      <c r="A5936" s="247"/>
      <c r="B5936" s="240"/>
      <c r="C5936" s="155" t="s">
        <v>25231</v>
      </c>
      <c r="D5936" s="155" t="s">
        <v>385</v>
      </c>
      <c r="E5936" s="130">
        <v>1</v>
      </c>
      <c r="F5936" s="28">
        <v>9.2434999999999992</v>
      </c>
      <c r="G5936" s="49">
        <f>IF(ISNUMBER(F5936),E5936*F5936,"")</f>
        <v>9.2434999999999992</v>
      </c>
      <c r="H5936" s="35">
        <f>SUM(G5936:G5936)</f>
        <v>9.2434999999999992</v>
      </c>
      <c r="I5936" s="36"/>
      <c r="J5936" s="125">
        <v>0</v>
      </c>
    </row>
    <row r="5937" spans="1:10" ht="15.75" hidden="1" thickBot="1" x14ac:dyDescent="0.3">
      <c r="A5937" s="248"/>
      <c r="B5937" s="239"/>
      <c r="C5937" s="164"/>
      <c r="D5937" s="132"/>
      <c r="E5937" s="61"/>
      <c r="F5937" s="68" t="s">
        <v>418</v>
      </c>
      <c r="G5937" s="68" t="str">
        <f>IF(ISNUMBER(F5937),E5937*F5937,"")</f>
        <v/>
      </c>
      <c r="H5937" s="69"/>
      <c r="I5937" s="66"/>
      <c r="J5937" s="125">
        <v>0</v>
      </c>
    </row>
    <row r="5938" spans="1:10" ht="15.75" hidden="1" thickBot="1" x14ac:dyDescent="0.3">
      <c r="A5938" s="241" t="s">
        <v>13262</v>
      </c>
      <c r="B5938" s="237" t="s">
        <v>13044</v>
      </c>
      <c r="C5938" s="160"/>
      <c r="D5938" s="23" t="s">
        <v>16</v>
      </c>
      <c r="E5938" s="24"/>
      <c r="F5938" s="44" t="s">
        <v>418</v>
      </c>
      <c r="G5938" s="25" t="str">
        <f>IF(ISNUMBER(F5938),E5938*F5938,"")</f>
        <v/>
      </c>
      <c r="H5938" s="26"/>
      <c r="I5938" s="27"/>
      <c r="J5938" s="125">
        <v>0</v>
      </c>
    </row>
    <row r="5939" spans="1:10" ht="15.75" hidden="1" thickBot="1" x14ac:dyDescent="0.3">
      <c r="A5939" s="247"/>
      <c r="B5939" s="240"/>
      <c r="C5939" s="135"/>
      <c r="D5939" s="135"/>
      <c r="E5939" s="136"/>
      <c r="F5939" s="49" t="s">
        <v>418</v>
      </c>
      <c r="G5939" s="49" t="str">
        <f>IF(ISNUMBER(F5939),E5939*F5939,"")</f>
        <v/>
      </c>
      <c r="H5939" s="65"/>
      <c r="I5939" s="66"/>
      <c r="J5939" s="125">
        <v>0</v>
      </c>
    </row>
    <row r="5940" spans="1:10" ht="15.75" hidden="1" thickBot="1" x14ac:dyDescent="0.3">
      <c r="A5940" s="247"/>
      <c r="B5940" s="240"/>
      <c r="C5940" s="155" t="s">
        <v>26258</v>
      </c>
      <c r="D5940" s="155" t="s">
        <v>205</v>
      </c>
      <c r="E5940" s="130">
        <v>1</v>
      </c>
      <c r="F5940" s="28">
        <v>1.3679999999999999</v>
      </c>
      <c r="G5940" s="49">
        <f>IF(ISNUMBER(F5940),E5940*F5940,"")</f>
        <v>1.3679999999999999</v>
      </c>
      <c r="H5940" s="35">
        <f>SUM(G5940:G5940)</f>
        <v>1.3679999999999999</v>
      </c>
      <c r="I5940" s="36"/>
      <c r="J5940" s="125">
        <v>0</v>
      </c>
    </row>
    <row r="5941" spans="1:10" ht="15.75" hidden="1" thickBot="1" x14ac:dyDescent="0.3">
      <c r="A5941" s="248"/>
      <c r="B5941" s="239"/>
      <c r="C5941" s="164"/>
      <c r="D5941" s="132"/>
      <c r="E5941" s="61"/>
      <c r="F5941" s="68" t="s">
        <v>418</v>
      </c>
      <c r="G5941" s="68" t="str">
        <f>IF(ISNUMBER(F5941),E5941*F5941,"")</f>
        <v/>
      </c>
      <c r="H5941" s="69"/>
      <c r="I5941" s="66"/>
      <c r="J5941" s="125">
        <v>0</v>
      </c>
    </row>
    <row r="5942" spans="1:10" ht="15.75" hidden="1" thickBot="1" x14ac:dyDescent="0.3">
      <c r="A5942" s="241" t="s">
        <v>13263</v>
      </c>
      <c r="B5942" s="237" t="s">
        <v>13045</v>
      </c>
      <c r="C5942" s="160"/>
      <c r="D5942" s="23" t="s">
        <v>16</v>
      </c>
      <c r="E5942" s="24"/>
      <c r="F5942" s="44" t="s">
        <v>418</v>
      </c>
      <c r="G5942" s="25" t="str">
        <f>IF(ISNUMBER(F5942),E5942*F5942,"")</f>
        <v/>
      </c>
      <c r="H5942" s="26"/>
      <c r="I5942" s="27"/>
      <c r="J5942" s="125">
        <v>0</v>
      </c>
    </row>
    <row r="5943" spans="1:10" ht="15.75" hidden="1" thickBot="1" x14ac:dyDescent="0.3">
      <c r="A5943" s="247"/>
      <c r="B5943" s="240"/>
      <c r="C5943" s="135"/>
      <c r="D5943" s="135"/>
      <c r="E5943" s="136"/>
      <c r="F5943" s="49" t="s">
        <v>418</v>
      </c>
      <c r="G5943" s="49" t="str">
        <f>IF(ISNUMBER(F5943),E5943*F5943,"")</f>
        <v/>
      </c>
      <c r="H5943" s="65"/>
      <c r="I5943" s="66"/>
      <c r="J5943" s="125">
        <v>0</v>
      </c>
    </row>
    <row r="5944" spans="1:10" ht="26.25" hidden="1" thickBot="1" x14ac:dyDescent="0.3">
      <c r="A5944" s="247"/>
      <c r="B5944" s="240"/>
      <c r="C5944" s="155" t="s">
        <v>25067</v>
      </c>
      <c r="D5944" s="155" t="s">
        <v>205</v>
      </c>
      <c r="E5944" s="130">
        <v>1</v>
      </c>
      <c r="F5944" s="28">
        <v>2.9259999999999997</v>
      </c>
      <c r="G5944" s="49">
        <f>IF(ISNUMBER(F5944),E5944*F5944,"")</f>
        <v>2.9259999999999997</v>
      </c>
      <c r="H5944" s="35">
        <f>SUM(G5944:G5944)</f>
        <v>2.9259999999999997</v>
      </c>
      <c r="I5944" s="36"/>
      <c r="J5944" s="125">
        <v>0</v>
      </c>
    </row>
    <row r="5945" spans="1:10" ht="15.75" hidden="1" thickBot="1" x14ac:dyDescent="0.3">
      <c r="A5945" s="248"/>
      <c r="B5945" s="239"/>
      <c r="C5945" s="164"/>
      <c r="D5945" s="132"/>
      <c r="E5945" s="61"/>
      <c r="F5945" s="68" t="s">
        <v>418</v>
      </c>
      <c r="G5945" s="68" t="str">
        <f>IF(ISNUMBER(F5945),E5945*F5945,"")</f>
        <v/>
      </c>
      <c r="H5945" s="69"/>
      <c r="I5945" s="66"/>
      <c r="J5945" s="125">
        <v>0</v>
      </c>
    </row>
    <row r="5946" spans="1:10" ht="15.75" hidden="1" thickBot="1" x14ac:dyDescent="0.3">
      <c r="A5946" s="241" t="s">
        <v>13264</v>
      </c>
      <c r="B5946" s="237" t="s">
        <v>13046</v>
      </c>
      <c r="C5946" s="160"/>
      <c r="D5946" s="23" t="s">
        <v>69</v>
      </c>
      <c r="E5946" s="24"/>
      <c r="F5946" s="44" t="s">
        <v>418</v>
      </c>
      <c r="G5946" s="25" t="str">
        <f>IF(ISNUMBER(F5946),E5946*F5946,"")</f>
        <v/>
      </c>
      <c r="H5946" s="26"/>
      <c r="I5946" s="27"/>
      <c r="J5946" s="125">
        <v>0</v>
      </c>
    </row>
    <row r="5947" spans="1:10" ht="15.75" hidden="1" thickBot="1" x14ac:dyDescent="0.3">
      <c r="A5947" s="247"/>
      <c r="B5947" s="240"/>
      <c r="C5947" s="135"/>
      <c r="D5947" s="135"/>
      <c r="E5947" s="136"/>
      <c r="F5947" s="49" t="s">
        <v>418</v>
      </c>
      <c r="G5947" s="49" t="str">
        <f>IF(ISNUMBER(F5947),E5947*F5947,"")</f>
        <v/>
      </c>
      <c r="H5947" s="65"/>
      <c r="I5947" s="66"/>
      <c r="J5947" s="125">
        <v>0</v>
      </c>
    </row>
    <row r="5948" spans="1:10" ht="15.75" hidden="1" thickBot="1" x14ac:dyDescent="0.3">
      <c r="A5948" s="247"/>
      <c r="B5948" s="240"/>
      <c r="C5948" s="155" t="s">
        <v>25233</v>
      </c>
      <c r="D5948" s="155" t="s">
        <v>385</v>
      </c>
      <c r="E5948" s="130">
        <v>1</v>
      </c>
      <c r="F5948" s="28">
        <v>12.302499999999998</v>
      </c>
      <c r="G5948" s="49">
        <f>IF(ISNUMBER(F5948),E5948*F5948,"")</f>
        <v>12.302499999999998</v>
      </c>
      <c r="H5948" s="35">
        <f>SUM(G5948:G5948)</f>
        <v>12.302499999999998</v>
      </c>
      <c r="I5948" s="36"/>
      <c r="J5948" s="125">
        <v>0</v>
      </c>
    </row>
    <row r="5949" spans="1:10" ht="15.75" hidden="1" thickBot="1" x14ac:dyDescent="0.3">
      <c r="A5949" s="248"/>
      <c r="B5949" s="239"/>
      <c r="C5949" s="164"/>
      <c r="D5949" s="132"/>
      <c r="E5949" s="61"/>
      <c r="F5949" s="68" t="s">
        <v>418</v>
      </c>
      <c r="G5949" s="68" t="str">
        <f>IF(ISNUMBER(F5949),E5949*F5949,"")</f>
        <v/>
      </c>
      <c r="H5949" s="69"/>
      <c r="I5949" s="66"/>
      <c r="J5949" s="125">
        <v>0</v>
      </c>
    </row>
    <row r="5950" spans="1:10" ht="15.75" hidden="1" thickBot="1" x14ac:dyDescent="0.3">
      <c r="A5950" s="241" t="s">
        <v>13265</v>
      </c>
      <c r="B5950" s="237" t="s">
        <v>13047</v>
      </c>
      <c r="C5950" s="160"/>
      <c r="D5950" s="23" t="s">
        <v>16</v>
      </c>
      <c r="E5950" s="24"/>
      <c r="F5950" s="44" t="s">
        <v>418</v>
      </c>
      <c r="G5950" s="25" t="str">
        <f>IF(ISNUMBER(F5950),E5950*F5950,"")</f>
        <v/>
      </c>
      <c r="H5950" s="26"/>
      <c r="I5950" s="27"/>
      <c r="J5950" s="125">
        <v>0</v>
      </c>
    </row>
    <row r="5951" spans="1:10" ht="15.75" hidden="1" thickBot="1" x14ac:dyDescent="0.3">
      <c r="A5951" s="247"/>
      <c r="B5951" s="240"/>
      <c r="C5951" s="135"/>
      <c r="D5951" s="135"/>
      <c r="E5951" s="136"/>
      <c r="F5951" s="49" t="s">
        <v>418</v>
      </c>
      <c r="G5951" s="49" t="str">
        <f>IF(ISNUMBER(F5951),E5951*F5951,"")</f>
        <v/>
      </c>
      <c r="H5951" s="65"/>
      <c r="I5951" s="66"/>
      <c r="J5951" s="125">
        <v>0</v>
      </c>
    </row>
    <row r="5952" spans="1:10" ht="15.75" hidden="1" thickBot="1" x14ac:dyDescent="0.3">
      <c r="A5952" s="247"/>
      <c r="B5952" s="240"/>
      <c r="C5952" s="155" t="s">
        <v>26256</v>
      </c>
      <c r="D5952" s="155" t="s">
        <v>205</v>
      </c>
      <c r="E5952" s="130">
        <v>1</v>
      </c>
      <c r="F5952" s="28">
        <v>2.1280000000000001</v>
      </c>
      <c r="G5952" s="49">
        <f>IF(ISNUMBER(F5952),E5952*F5952,"")</f>
        <v>2.1280000000000001</v>
      </c>
      <c r="H5952" s="35">
        <f>SUM(G5952:G5952)</f>
        <v>2.1280000000000001</v>
      </c>
      <c r="I5952" s="36"/>
      <c r="J5952" s="125">
        <v>0</v>
      </c>
    </row>
    <row r="5953" spans="1:10" ht="15.75" hidden="1" thickBot="1" x14ac:dyDescent="0.3">
      <c r="A5953" s="248"/>
      <c r="B5953" s="239"/>
      <c r="C5953" s="164"/>
      <c r="D5953" s="132"/>
      <c r="E5953" s="61"/>
      <c r="F5953" s="68" t="s">
        <v>418</v>
      </c>
      <c r="G5953" s="68" t="str">
        <f>IF(ISNUMBER(F5953),E5953*F5953,"")</f>
        <v/>
      </c>
      <c r="H5953" s="69"/>
      <c r="I5953" s="66"/>
      <c r="J5953" s="125">
        <v>0</v>
      </c>
    </row>
    <row r="5954" spans="1:10" ht="15.75" hidden="1" thickBot="1" x14ac:dyDescent="0.3">
      <c r="A5954" s="241" t="s">
        <v>13266</v>
      </c>
      <c r="B5954" s="237" t="s">
        <v>13048</v>
      </c>
      <c r="C5954" s="160"/>
      <c r="D5954" s="23" t="s">
        <v>16</v>
      </c>
      <c r="E5954" s="24"/>
      <c r="F5954" s="44" t="s">
        <v>418</v>
      </c>
      <c r="G5954" s="25" t="str">
        <f>IF(ISNUMBER(F5954),E5954*F5954,"")</f>
        <v/>
      </c>
      <c r="H5954" s="26"/>
      <c r="I5954" s="27"/>
      <c r="J5954" s="125">
        <v>0</v>
      </c>
    </row>
    <row r="5955" spans="1:10" ht="15.75" hidden="1" thickBot="1" x14ac:dyDescent="0.3">
      <c r="A5955" s="247"/>
      <c r="B5955" s="240"/>
      <c r="C5955" s="135"/>
      <c r="D5955" s="135"/>
      <c r="E5955" s="136"/>
      <c r="F5955" s="49" t="s">
        <v>418</v>
      </c>
      <c r="G5955" s="49" t="str">
        <f>IF(ISNUMBER(F5955),E5955*F5955,"")</f>
        <v/>
      </c>
      <c r="H5955" s="65"/>
      <c r="I5955" s="66"/>
      <c r="J5955" s="125">
        <v>0</v>
      </c>
    </row>
    <row r="5956" spans="1:10" ht="26.25" hidden="1" thickBot="1" x14ac:dyDescent="0.3">
      <c r="A5956" s="247"/>
      <c r="B5956" s="240"/>
      <c r="C5956" s="155" t="s">
        <v>25070</v>
      </c>
      <c r="D5956" s="155" t="s">
        <v>205</v>
      </c>
      <c r="E5956" s="130">
        <v>1</v>
      </c>
      <c r="F5956" s="28">
        <v>3.8665000000000003</v>
      </c>
      <c r="G5956" s="49">
        <f>IF(ISNUMBER(F5956),E5956*F5956,"")</f>
        <v>3.8665000000000003</v>
      </c>
      <c r="H5956" s="35">
        <f>SUM(G5956:G5956)</f>
        <v>3.8665000000000003</v>
      </c>
      <c r="I5956" s="36"/>
      <c r="J5956" s="125">
        <v>0</v>
      </c>
    </row>
    <row r="5957" spans="1:10" ht="15.75" hidden="1" thickBot="1" x14ac:dyDescent="0.3">
      <c r="A5957" s="248"/>
      <c r="B5957" s="239"/>
      <c r="C5957" s="164"/>
      <c r="D5957" s="132"/>
      <c r="E5957" s="61"/>
      <c r="F5957" s="68" t="s">
        <v>418</v>
      </c>
      <c r="G5957" s="68" t="str">
        <f>IF(ISNUMBER(F5957),E5957*F5957,"")</f>
        <v/>
      </c>
      <c r="H5957" s="69"/>
      <c r="I5957" s="66"/>
      <c r="J5957" s="125">
        <v>0</v>
      </c>
    </row>
    <row r="5958" spans="1:10" ht="15.75" hidden="1" thickBot="1" x14ac:dyDescent="0.3">
      <c r="A5958" s="241" t="s">
        <v>13267</v>
      </c>
      <c r="B5958" s="237" t="s">
        <v>13049</v>
      </c>
      <c r="C5958" s="160"/>
      <c r="D5958" s="23" t="s">
        <v>69</v>
      </c>
      <c r="E5958" s="24"/>
      <c r="F5958" s="44" t="s">
        <v>418</v>
      </c>
      <c r="G5958" s="25" t="str">
        <f>IF(ISNUMBER(F5958),E5958*F5958,"")</f>
        <v/>
      </c>
      <c r="H5958" s="26"/>
      <c r="I5958" s="27"/>
      <c r="J5958" s="125">
        <v>0</v>
      </c>
    </row>
    <row r="5959" spans="1:10" ht="15.75" hidden="1" thickBot="1" x14ac:dyDescent="0.3">
      <c r="A5959" s="247"/>
      <c r="B5959" s="240"/>
      <c r="C5959" s="135"/>
      <c r="D5959" s="135"/>
      <c r="E5959" s="136"/>
      <c r="F5959" s="49" t="s">
        <v>418</v>
      </c>
      <c r="G5959" s="49" t="str">
        <f>IF(ISNUMBER(F5959),E5959*F5959,"")</f>
        <v/>
      </c>
      <c r="H5959" s="65"/>
      <c r="I5959" s="66"/>
      <c r="J5959" s="125">
        <v>0</v>
      </c>
    </row>
    <row r="5960" spans="1:10" ht="15.75" hidden="1" thickBot="1" x14ac:dyDescent="0.3">
      <c r="A5960" s="247"/>
      <c r="B5960" s="240"/>
      <c r="C5960" s="155" t="s">
        <v>25232</v>
      </c>
      <c r="D5960" s="155" t="s">
        <v>385</v>
      </c>
      <c r="E5960" s="130">
        <v>1</v>
      </c>
      <c r="F5960" s="28">
        <v>13.527999999999999</v>
      </c>
      <c r="G5960" s="49">
        <f>IF(ISNUMBER(F5960),E5960*F5960,"")</f>
        <v>13.527999999999999</v>
      </c>
      <c r="H5960" s="35">
        <f>SUM(G5960:G5960)</f>
        <v>13.527999999999999</v>
      </c>
      <c r="I5960" s="36"/>
      <c r="J5960" s="125">
        <v>0</v>
      </c>
    </row>
    <row r="5961" spans="1:10" ht="15.75" hidden="1" thickBot="1" x14ac:dyDescent="0.3">
      <c r="A5961" s="248"/>
      <c r="B5961" s="239"/>
      <c r="C5961" s="164"/>
      <c r="D5961" s="132"/>
      <c r="E5961" s="61"/>
      <c r="F5961" s="68" t="s">
        <v>418</v>
      </c>
      <c r="G5961" s="68" t="str">
        <f>IF(ISNUMBER(F5961),E5961*F5961,"")</f>
        <v/>
      </c>
      <c r="H5961" s="69"/>
      <c r="I5961" s="66"/>
      <c r="J5961" s="125">
        <v>0</v>
      </c>
    </row>
    <row r="5962" spans="1:10" ht="15.75" hidden="1" thickBot="1" x14ac:dyDescent="0.3">
      <c r="A5962" s="241" t="s">
        <v>13268</v>
      </c>
      <c r="B5962" s="237" t="s">
        <v>13050</v>
      </c>
      <c r="C5962" s="160"/>
      <c r="D5962" s="23" t="s">
        <v>16</v>
      </c>
      <c r="E5962" s="24"/>
      <c r="F5962" s="44" t="s">
        <v>418</v>
      </c>
      <c r="G5962" s="25" t="str">
        <f>IF(ISNUMBER(F5962),E5962*F5962,"")</f>
        <v/>
      </c>
      <c r="H5962" s="26"/>
      <c r="I5962" s="27"/>
      <c r="J5962" s="125">
        <v>0</v>
      </c>
    </row>
    <row r="5963" spans="1:10" ht="15.75" hidden="1" thickBot="1" x14ac:dyDescent="0.3">
      <c r="A5963" s="247"/>
      <c r="B5963" s="240"/>
      <c r="C5963" s="135"/>
      <c r="D5963" s="135"/>
      <c r="E5963" s="136"/>
      <c r="F5963" s="49" t="s">
        <v>418</v>
      </c>
      <c r="G5963" s="49" t="str">
        <f>IF(ISNUMBER(F5963),E5963*F5963,"")</f>
        <v/>
      </c>
      <c r="H5963" s="65"/>
      <c r="I5963" s="66"/>
      <c r="J5963" s="125">
        <v>0</v>
      </c>
    </row>
    <row r="5964" spans="1:10" ht="15.75" hidden="1" thickBot="1" x14ac:dyDescent="0.3">
      <c r="A5964" s="247"/>
      <c r="B5964" s="240"/>
      <c r="C5964" s="155" t="s">
        <v>26255</v>
      </c>
      <c r="D5964" s="155" t="s">
        <v>205</v>
      </c>
      <c r="E5964" s="130">
        <v>1</v>
      </c>
      <c r="F5964" s="28">
        <v>2.9164999999999996</v>
      </c>
      <c r="G5964" s="49">
        <f>IF(ISNUMBER(F5964),E5964*F5964,"")</f>
        <v>2.9164999999999996</v>
      </c>
      <c r="H5964" s="35">
        <f>SUM(G5964:G5964)</f>
        <v>2.9164999999999996</v>
      </c>
      <c r="I5964" s="36"/>
      <c r="J5964" s="125">
        <v>0</v>
      </c>
    </row>
    <row r="5965" spans="1:10" ht="15.75" hidden="1" thickBot="1" x14ac:dyDescent="0.3">
      <c r="A5965" s="248"/>
      <c r="B5965" s="239"/>
      <c r="C5965" s="164"/>
      <c r="D5965" s="132"/>
      <c r="E5965" s="61"/>
      <c r="F5965" s="68" t="s">
        <v>418</v>
      </c>
      <c r="G5965" s="68" t="str">
        <f>IF(ISNUMBER(F5965),E5965*F5965,"")</f>
        <v/>
      </c>
      <c r="H5965" s="69"/>
      <c r="I5965" s="66"/>
      <c r="J5965" s="125">
        <v>0</v>
      </c>
    </row>
    <row r="5966" spans="1:10" ht="15.75" hidden="1" thickBot="1" x14ac:dyDescent="0.3">
      <c r="A5966" s="241" t="s">
        <v>13269</v>
      </c>
      <c r="B5966" s="237" t="s">
        <v>13051</v>
      </c>
      <c r="C5966" s="160"/>
      <c r="D5966" s="23" t="s">
        <v>16</v>
      </c>
      <c r="E5966" s="24"/>
      <c r="F5966" s="44" t="s">
        <v>418</v>
      </c>
      <c r="G5966" s="25" t="str">
        <f>IF(ISNUMBER(F5966),E5966*F5966,"")</f>
        <v/>
      </c>
      <c r="H5966" s="26"/>
      <c r="I5966" s="27"/>
      <c r="J5966" s="125">
        <v>0</v>
      </c>
    </row>
    <row r="5967" spans="1:10" ht="15.75" hidden="1" thickBot="1" x14ac:dyDescent="0.3">
      <c r="A5967" s="247"/>
      <c r="B5967" s="240"/>
      <c r="C5967" s="135"/>
      <c r="D5967" s="135"/>
      <c r="E5967" s="136"/>
      <c r="F5967" s="49" t="s">
        <v>418</v>
      </c>
      <c r="G5967" s="49" t="str">
        <f>IF(ISNUMBER(F5967),E5967*F5967,"")</f>
        <v/>
      </c>
      <c r="H5967" s="65"/>
      <c r="I5967" s="66"/>
      <c r="J5967" s="125">
        <v>0</v>
      </c>
    </row>
    <row r="5968" spans="1:10" ht="26.25" hidden="1" thickBot="1" x14ac:dyDescent="0.3">
      <c r="A5968" s="247"/>
      <c r="B5968" s="240"/>
      <c r="C5968" s="155" t="s">
        <v>25069</v>
      </c>
      <c r="D5968" s="155" t="s">
        <v>205</v>
      </c>
      <c r="E5968" s="130">
        <v>1</v>
      </c>
      <c r="F5968" s="28">
        <v>4.6834999999999996</v>
      </c>
      <c r="G5968" s="49">
        <f>IF(ISNUMBER(F5968),E5968*F5968,"")</f>
        <v>4.6834999999999996</v>
      </c>
      <c r="H5968" s="35">
        <f>SUM(G5968:G5968)</f>
        <v>4.6834999999999996</v>
      </c>
      <c r="I5968" s="36"/>
      <c r="J5968" s="125">
        <v>0</v>
      </c>
    </row>
    <row r="5969" spans="1:10" ht="15.75" hidden="1" thickBot="1" x14ac:dyDescent="0.3">
      <c r="A5969" s="248"/>
      <c r="B5969" s="239"/>
      <c r="C5969" s="164"/>
      <c r="D5969" s="132"/>
      <c r="E5969" s="61"/>
      <c r="F5969" s="68" t="s">
        <v>418</v>
      </c>
      <c r="G5969" s="68" t="str">
        <f>IF(ISNUMBER(F5969),E5969*F5969,"")</f>
        <v/>
      </c>
      <c r="H5969" s="69"/>
      <c r="I5969" s="66"/>
      <c r="J5969" s="125">
        <v>0</v>
      </c>
    </row>
    <row r="5970" spans="1:10" ht="15.75" hidden="1" thickBot="1" x14ac:dyDescent="0.3">
      <c r="A5970" s="241" t="s">
        <v>13270</v>
      </c>
      <c r="B5970" s="237" t="s">
        <v>13052</v>
      </c>
      <c r="C5970" s="160"/>
      <c r="D5970" s="23" t="s">
        <v>69</v>
      </c>
      <c r="E5970" s="24"/>
      <c r="F5970" s="44" t="s">
        <v>418</v>
      </c>
      <c r="G5970" s="25" t="str">
        <f>IF(ISNUMBER(F5970),E5970*F5970,"")</f>
        <v/>
      </c>
      <c r="H5970" s="26"/>
      <c r="I5970" s="27"/>
      <c r="J5970" s="125">
        <v>0</v>
      </c>
    </row>
    <row r="5971" spans="1:10" ht="15.75" hidden="1" thickBot="1" x14ac:dyDescent="0.3">
      <c r="A5971" s="247"/>
      <c r="B5971" s="240"/>
      <c r="C5971" s="135"/>
      <c r="D5971" s="135"/>
      <c r="E5971" s="136"/>
      <c r="F5971" s="49" t="s">
        <v>418</v>
      </c>
      <c r="G5971" s="49" t="str">
        <f>IF(ISNUMBER(F5971),E5971*F5971,"")</f>
        <v/>
      </c>
      <c r="H5971" s="65"/>
      <c r="I5971" s="66"/>
      <c r="J5971" s="125">
        <v>0</v>
      </c>
    </row>
    <row r="5972" spans="1:10" ht="15.75" hidden="1" thickBot="1" x14ac:dyDescent="0.3">
      <c r="A5972" s="247"/>
      <c r="B5972" s="240"/>
      <c r="C5972" s="155" t="s">
        <v>25235</v>
      </c>
      <c r="D5972" s="155" t="s">
        <v>385</v>
      </c>
      <c r="E5972" s="130">
        <v>1</v>
      </c>
      <c r="F5972" s="28">
        <v>22.106499999999997</v>
      </c>
      <c r="G5972" s="49">
        <f>IF(ISNUMBER(F5972),E5972*F5972,"")</f>
        <v>22.106499999999997</v>
      </c>
      <c r="H5972" s="35">
        <f>SUM(G5972:G5972)</f>
        <v>22.106499999999997</v>
      </c>
      <c r="I5972" s="36"/>
      <c r="J5972" s="125">
        <v>0</v>
      </c>
    </row>
    <row r="5973" spans="1:10" ht="15.75" hidden="1" thickBot="1" x14ac:dyDescent="0.3">
      <c r="A5973" s="248"/>
      <c r="B5973" s="239"/>
      <c r="C5973" s="164"/>
      <c r="D5973" s="132"/>
      <c r="E5973" s="61"/>
      <c r="F5973" s="68" t="s">
        <v>418</v>
      </c>
      <c r="G5973" s="68" t="str">
        <f>IF(ISNUMBER(F5973),E5973*F5973,"")</f>
        <v/>
      </c>
      <c r="H5973" s="69"/>
      <c r="I5973" s="66"/>
      <c r="J5973" s="125">
        <v>0</v>
      </c>
    </row>
    <row r="5974" spans="1:10" ht="15.75" hidden="1" thickBot="1" x14ac:dyDescent="0.3">
      <c r="A5974" s="241" t="s">
        <v>13271</v>
      </c>
      <c r="B5974" s="237" t="s">
        <v>13053</v>
      </c>
      <c r="C5974" s="160"/>
      <c r="D5974" s="23" t="s">
        <v>16</v>
      </c>
      <c r="E5974" s="24"/>
      <c r="F5974" s="44" t="s">
        <v>418</v>
      </c>
      <c r="G5974" s="25" t="str">
        <f>IF(ISNUMBER(F5974),E5974*F5974,"")</f>
        <v/>
      </c>
      <c r="H5974" s="26"/>
      <c r="I5974" s="27"/>
      <c r="J5974" s="125">
        <v>0</v>
      </c>
    </row>
    <row r="5975" spans="1:10" ht="15.75" hidden="1" thickBot="1" x14ac:dyDescent="0.3">
      <c r="A5975" s="247"/>
      <c r="B5975" s="240"/>
      <c r="C5975" s="135"/>
      <c r="D5975" s="135"/>
      <c r="E5975" s="136"/>
      <c r="F5975" s="49" t="s">
        <v>418</v>
      </c>
      <c r="G5975" s="49" t="str">
        <f>IF(ISNUMBER(F5975),E5975*F5975,"")</f>
        <v/>
      </c>
      <c r="H5975" s="65"/>
      <c r="I5975" s="66"/>
      <c r="J5975" s="125">
        <v>0</v>
      </c>
    </row>
    <row r="5976" spans="1:10" ht="15.75" hidden="1" thickBot="1" x14ac:dyDescent="0.3">
      <c r="A5976" s="247"/>
      <c r="B5976" s="240"/>
      <c r="C5976" s="155" t="s">
        <v>26260</v>
      </c>
      <c r="D5976" s="155" t="s">
        <v>205</v>
      </c>
      <c r="E5976" s="130">
        <v>1</v>
      </c>
      <c r="F5976" s="28">
        <v>4.2275</v>
      </c>
      <c r="G5976" s="49">
        <f>IF(ISNUMBER(F5976),E5976*F5976,"")</f>
        <v>4.2275</v>
      </c>
      <c r="H5976" s="35">
        <f>SUM(G5976:G5976)</f>
        <v>4.2275</v>
      </c>
      <c r="I5976" s="36"/>
      <c r="J5976" s="125">
        <v>0</v>
      </c>
    </row>
    <row r="5977" spans="1:10" ht="15.75" hidden="1" thickBot="1" x14ac:dyDescent="0.3">
      <c r="A5977" s="248"/>
      <c r="B5977" s="239"/>
      <c r="C5977" s="164"/>
      <c r="D5977" s="132"/>
      <c r="E5977" s="61"/>
      <c r="F5977" s="68" t="s">
        <v>418</v>
      </c>
      <c r="G5977" s="68" t="str">
        <f>IF(ISNUMBER(F5977),E5977*F5977,"")</f>
        <v/>
      </c>
      <c r="H5977" s="69"/>
      <c r="I5977" s="66"/>
      <c r="J5977" s="125">
        <v>0</v>
      </c>
    </row>
    <row r="5978" spans="1:10" ht="15.75" hidden="1" thickBot="1" x14ac:dyDescent="0.3">
      <c r="A5978" s="241" t="s">
        <v>13272</v>
      </c>
      <c r="B5978" s="237" t="s">
        <v>13054</v>
      </c>
      <c r="C5978" s="160"/>
      <c r="D5978" s="23" t="s">
        <v>16</v>
      </c>
      <c r="E5978" s="24"/>
      <c r="F5978" s="44" t="s">
        <v>418</v>
      </c>
      <c r="G5978" s="25" t="str">
        <f>IF(ISNUMBER(F5978),E5978*F5978,"")</f>
        <v/>
      </c>
      <c r="H5978" s="26"/>
      <c r="I5978" s="27"/>
      <c r="J5978" s="125">
        <v>0</v>
      </c>
    </row>
    <row r="5979" spans="1:10" ht="15.75" hidden="1" thickBot="1" x14ac:dyDescent="0.3">
      <c r="A5979" s="247"/>
      <c r="B5979" s="240"/>
      <c r="C5979" s="135"/>
      <c r="D5979" s="135"/>
      <c r="E5979" s="136"/>
      <c r="F5979" s="49" t="s">
        <v>418</v>
      </c>
      <c r="G5979" s="49" t="str">
        <f>IF(ISNUMBER(F5979),E5979*F5979,"")</f>
        <v/>
      </c>
      <c r="H5979" s="65"/>
      <c r="I5979" s="66"/>
      <c r="J5979" s="125">
        <v>0</v>
      </c>
    </row>
    <row r="5980" spans="1:10" ht="26.25" hidden="1" thickBot="1" x14ac:dyDescent="0.3">
      <c r="A5980" s="247"/>
      <c r="B5980" s="240"/>
      <c r="C5980" s="155" t="s">
        <v>25075</v>
      </c>
      <c r="D5980" s="155" t="s">
        <v>205</v>
      </c>
      <c r="E5980" s="130">
        <v>1</v>
      </c>
      <c r="F5980" s="28">
        <v>7.6094999999999997</v>
      </c>
      <c r="G5980" s="49">
        <f>IF(ISNUMBER(F5980),E5980*F5980,"")</f>
        <v>7.6094999999999997</v>
      </c>
      <c r="H5980" s="35">
        <f>SUM(G5980:G5980)</f>
        <v>7.6094999999999997</v>
      </c>
      <c r="I5980" s="36"/>
      <c r="J5980" s="125">
        <v>0</v>
      </c>
    </row>
    <row r="5981" spans="1:10" ht="15.75" hidden="1" thickBot="1" x14ac:dyDescent="0.3">
      <c r="A5981" s="248"/>
      <c r="B5981" s="239"/>
      <c r="C5981" s="164"/>
      <c r="D5981" s="132"/>
      <c r="E5981" s="61"/>
      <c r="F5981" s="68" t="s">
        <v>418</v>
      </c>
      <c r="G5981" s="68" t="str">
        <f>IF(ISNUMBER(F5981),E5981*F5981,"")</f>
        <v/>
      </c>
      <c r="H5981" s="69"/>
      <c r="I5981" s="66"/>
      <c r="J5981" s="125">
        <v>0</v>
      </c>
    </row>
    <row r="5982" spans="1:10" ht="15.75" hidden="1" thickBot="1" x14ac:dyDescent="0.3">
      <c r="A5982" s="241" t="s">
        <v>13273</v>
      </c>
      <c r="B5982" s="237" t="s">
        <v>13055</v>
      </c>
      <c r="C5982" s="160"/>
      <c r="D5982" s="23" t="s">
        <v>69</v>
      </c>
      <c r="E5982" s="24"/>
      <c r="F5982" s="44" t="s">
        <v>418</v>
      </c>
      <c r="G5982" s="25" t="str">
        <f>IF(ISNUMBER(F5982),E5982*F5982,"")</f>
        <v/>
      </c>
      <c r="H5982" s="26"/>
      <c r="I5982" s="27"/>
      <c r="J5982" s="125">
        <v>0</v>
      </c>
    </row>
    <row r="5983" spans="1:10" ht="15.75" hidden="1" thickBot="1" x14ac:dyDescent="0.3">
      <c r="A5983" s="247"/>
      <c r="B5983" s="240"/>
      <c r="C5983" s="135"/>
      <c r="D5983" s="135"/>
      <c r="E5983" s="136"/>
      <c r="F5983" s="49" t="s">
        <v>418</v>
      </c>
      <c r="G5983" s="49" t="str">
        <f>IF(ISNUMBER(F5983),E5983*F5983,"")</f>
        <v/>
      </c>
      <c r="H5983" s="65"/>
      <c r="I5983" s="66"/>
      <c r="J5983" s="125">
        <v>0</v>
      </c>
    </row>
    <row r="5984" spans="1:10" ht="15.75" hidden="1" thickBot="1" x14ac:dyDescent="0.3">
      <c r="A5984" s="247"/>
      <c r="B5984" s="240"/>
      <c r="C5984" s="155" t="s">
        <v>25237</v>
      </c>
      <c r="D5984" s="155" t="s">
        <v>385</v>
      </c>
      <c r="E5984" s="130">
        <v>1</v>
      </c>
      <c r="F5984" s="28">
        <v>40.441499999999998</v>
      </c>
      <c r="G5984" s="49">
        <f>IF(ISNUMBER(F5984),E5984*F5984,"")</f>
        <v>40.441499999999998</v>
      </c>
      <c r="H5984" s="35">
        <f>SUM(G5984:G5984)</f>
        <v>40.441499999999998</v>
      </c>
      <c r="I5984" s="36"/>
      <c r="J5984" s="125">
        <v>0</v>
      </c>
    </row>
    <row r="5985" spans="1:10" ht="15.75" hidden="1" thickBot="1" x14ac:dyDescent="0.3">
      <c r="A5985" s="248"/>
      <c r="B5985" s="239"/>
      <c r="C5985" s="164"/>
      <c r="D5985" s="132"/>
      <c r="E5985" s="61"/>
      <c r="F5985" s="68" t="s">
        <v>418</v>
      </c>
      <c r="G5985" s="68" t="str">
        <f>IF(ISNUMBER(F5985),E5985*F5985,"")</f>
        <v/>
      </c>
      <c r="H5985" s="69"/>
      <c r="I5985" s="66"/>
      <c r="J5985" s="125">
        <v>0</v>
      </c>
    </row>
    <row r="5986" spans="1:10" ht="15.75" hidden="1" thickBot="1" x14ac:dyDescent="0.3">
      <c r="A5986" s="241" t="s">
        <v>13274</v>
      </c>
      <c r="B5986" s="237" t="s">
        <v>13056</v>
      </c>
      <c r="C5986" s="160"/>
      <c r="D5986" s="23" t="s">
        <v>16</v>
      </c>
      <c r="E5986" s="24"/>
      <c r="F5986" s="44" t="s">
        <v>418</v>
      </c>
      <c r="G5986" s="25" t="str">
        <f>IF(ISNUMBER(F5986),E5986*F5986,"")</f>
        <v/>
      </c>
      <c r="H5986" s="26"/>
      <c r="I5986" s="27"/>
      <c r="J5986" s="125">
        <v>0</v>
      </c>
    </row>
    <row r="5987" spans="1:10" ht="15.75" hidden="1" thickBot="1" x14ac:dyDescent="0.3">
      <c r="A5987" s="247"/>
      <c r="B5987" s="240"/>
      <c r="C5987" s="135"/>
      <c r="D5987" s="135"/>
      <c r="E5987" s="136"/>
      <c r="F5987" s="49" t="s">
        <v>418</v>
      </c>
      <c r="G5987" s="49" t="str">
        <f>IF(ISNUMBER(F5987),E5987*F5987,"")</f>
        <v/>
      </c>
      <c r="H5987" s="65"/>
      <c r="I5987" s="66"/>
      <c r="J5987" s="125">
        <v>0</v>
      </c>
    </row>
    <row r="5988" spans="1:10" ht="15.75" hidden="1" thickBot="1" x14ac:dyDescent="0.3">
      <c r="A5988" s="247"/>
      <c r="B5988" s="240"/>
      <c r="C5988" s="155" t="s">
        <v>26262</v>
      </c>
      <c r="D5988" s="155" t="s">
        <v>205</v>
      </c>
      <c r="E5988" s="130">
        <v>1</v>
      </c>
      <c r="F5988" s="28">
        <v>12.625499999999999</v>
      </c>
      <c r="G5988" s="49">
        <f>IF(ISNUMBER(F5988),E5988*F5988,"")</f>
        <v>12.625499999999999</v>
      </c>
      <c r="H5988" s="35">
        <f>SUM(G5988:G5988)</f>
        <v>12.625499999999999</v>
      </c>
      <c r="I5988" s="36"/>
      <c r="J5988" s="125">
        <v>0</v>
      </c>
    </row>
    <row r="5989" spans="1:10" ht="15.75" hidden="1" thickBot="1" x14ac:dyDescent="0.3">
      <c r="A5989" s="248"/>
      <c r="B5989" s="239"/>
      <c r="C5989" s="164"/>
      <c r="D5989" s="132"/>
      <c r="E5989" s="61"/>
      <c r="F5989" s="68" t="s">
        <v>418</v>
      </c>
      <c r="G5989" s="68" t="str">
        <f>IF(ISNUMBER(F5989),E5989*F5989,"")</f>
        <v/>
      </c>
      <c r="H5989" s="69"/>
      <c r="I5989" s="66"/>
      <c r="J5989" s="125">
        <v>0</v>
      </c>
    </row>
    <row r="5990" spans="1:10" ht="15.75" hidden="1" thickBot="1" x14ac:dyDescent="0.3">
      <c r="A5990" s="241" t="s">
        <v>13275</v>
      </c>
      <c r="B5990" s="237" t="s">
        <v>13057</v>
      </c>
      <c r="C5990" s="160"/>
      <c r="D5990" s="23" t="s">
        <v>16</v>
      </c>
      <c r="E5990" s="24"/>
      <c r="F5990" s="44" t="s">
        <v>418</v>
      </c>
      <c r="G5990" s="25" t="str">
        <f>IF(ISNUMBER(F5990),E5990*F5990,"")</f>
        <v/>
      </c>
      <c r="H5990" s="26"/>
      <c r="I5990" s="27"/>
      <c r="J5990" s="125">
        <v>0</v>
      </c>
    </row>
    <row r="5991" spans="1:10" ht="15.75" hidden="1" thickBot="1" x14ac:dyDescent="0.3">
      <c r="A5991" s="247"/>
      <c r="B5991" s="240"/>
      <c r="C5991" s="135"/>
      <c r="D5991" s="135"/>
      <c r="E5991" s="136"/>
      <c r="F5991" s="49" t="s">
        <v>418</v>
      </c>
      <c r="G5991" s="49" t="str">
        <f>IF(ISNUMBER(F5991),E5991*F5991,"")</f>
        <v/>
      </c>
      <c r="H5991" s="65"/>
      <c r="I5991" s="66"/>
      <c r="J5991" s="125">
        <v>0</v>
      </c>
    </row>
    <row r="5992" spans="1:10" ht="26.25" hidden="1" thickBot="1" x14ac:dyDescent="0.3">
      <c r="A5992" s="247"/>
      <c r="B5992" s="240"/>
      <c r="C5992" s="155" t="s">
        <v>25077</v>
      </c>
      <c r="D5992" s="155" t="s">
        <v>205</v>
      </c>
      <c r="E5992" s="130">
        <v>1</v>
      </c>
      <c r="F5992" s="28">
        <v>19.437000000000001</v>
      </c>
      <c r="G5992" s="49">
        <f>IF(ISNUMBER(F5992),E5992*F5992,"")</f>
        <v>19.437000000000001</v>
      </c>
      <c r="H5992" s="35">
        <f>SUM(G5992:G5992)</f>
        <v>19.437000000000001</v>
      </c>
      <c r="I5992" s="36"/>
      <c r="J5992" s="125">
        <v>0</v>
      </c>
    </row>
    <row r="5993" spans="1:10" ht="15.75" hidden="1" thickBot="1" x14ac:dyDescent="0.3">
      <c r="A5993" s="248"/>
      <c r="B5993" s="239"/>
      <c r="C5993" s="164"/>
      <c r="D5993" s="132"/>
      <c r="E5993" s="61"/>
      <c r="F5993" s="68" t="s">
        <v>418</v>
      </c>
      <c r="G5993" s="68" t="str">
        <f>IF(ISNUMBER(F5993),E5993*F5993,"")</f>
        <v/>
      </c>
      <c r="H5993" s="69"/>
      <c r="I5993" s="66"/>
      <c r="J5993" s="125">
        <v>0</v>
      </c>
    </row>
    <row r="5994" spans="1:10" ht="15.75" hidden="1" thickBot="1" x14ac:dyDescent="0.3">
      <c r="A5994" s="241" t="s">
        <v>13276</v>
      </c>
      <c r="B5994" s="237" t="s">
        <v>13058</v>
      </c>
      <c r="C5994" s="160"/>
      <c r="D5994" s="23" t="s">
        <v>16</v>
      </c>
      <c r="E5994" s="24"/>
      <c r="F5994" s="44" t="s">
        <v>418</v>
      </c>
      <c r="G5994" s="25" t="str">
        <f>IF(ISNUMBER(F5994),E5994*F5994,"")</f>
        <v/>
      </c>
      <c r="H5994" s="26"/>
      <c r="I5994" s="27"/>
      <c r="J5994" s="125">
        <v>0</v>
      </c>
    </row>
    <row r="5995" spans="1:10" ht="15.75" hidden="1" thickBot="1" x14ac:dyDescent="0.3">
      <c r="A5995" s="247"/>
      <c r="B5995" s="240"/>
      <c r="C5995" s="135"/>
      <c r="D5995" s="135"/>
      <c r="E5995" s="136"/>
      <c r="F5995" s="49" t="s">
        <v>418</v>
      </c>
      <c r="G5995" s="49" t="str">
        <f>IF(ISNUMBER(F5995),E5995*F5995,"")</f>
        <v/>
      </c>
      <c r="H5995" s="65"/>
      <c r="I5995" s="66"/>
      <c r="J5995" s="125">
        <v>0</v>
      </c>
    </row>
    <row r="5996" spans="1:10" ht="26.25" hidden="1" thickBot="1" x14ac:dyDescent="0.3">
      <c r="A5996" s="247"/>
      <c r="B5996" s="240"/>
      <c r="C5996" s="155" t="s">
        <v>13513</v>
      </c>
      <c r="D5996" s="129" t="s">
        <v>16</v>
      </c>
      <c r="E5996" s="130">
        <v>1</v>
      </c>
      <c r="F5996" s="28">
        <v>0.95</v>
      </c>
      <c r="G5996" s="49">
        <f>IF(ISNUMBER(F5996),E5996*F5996,"")</f>
        <v>0.95</v>
      </c>
      <c r="H5996" s="35">
        <f>SUM(G5996:G5996)</f>
        <v>0.95</v>
      </c>
      <c r="I5996" s="36"/>
      <c r="J5996" s="125">
        <v>0</v>
      </c>
    </row>
    <row r="5997" spans="1:10" ht="15.75" hidden="1" thickBot="1" x14ac:dyDescent="0.3">
      <c r="A5997" s="248"/>
      <c r="B5997" s="239"/>
      <c r="C5997" s="164"/>
      <c r="D5997" s="132"/>
      <c r="E5997" s="61"/>
      <c r="F5997" s="68" t="s">
        <v>418</v>
      </c>
      <c r="G5997" s="68" t="str">
        <f>IF(ISNUMBER(F5997),E5997*F5997,"")</f>
        <v/>
      </c>
      <c r="H5997" s="69"/>
      <c r="I5997" s="66"/>
      <c r="J5997" s="125">
        <v>0</v>
      </c>
    </row>
    <row r="5998" spans="1:10" ht="15.75" hidden="1" customHeight="1" thickBot="1" x14ac:dyDescent="0.3">
      <c r="A5998" s="241" t="s">
        <v>13277</v>
      </c>
      <c r="B5998" s="237" t="s">
        <v>13059</v>
      </c>
      <c r="C5998" s="160"/>
      <c r="D5998" s="23" t="s">
        <v>16</v>
      </c>
      <c r="E5998" s="24"/>
      <c r="F5998" s="44" t="s">
        <v>418</v>
      </c>
      <c r="G5998" s="25" t="str">
        <f>IF(ISNUMBER(F5998),E5998*F5998,"")</f>
        <v/>
      </c>
      <c r="H5998" s="26"/>
      <c r="I5998" s="27"/>
      <c r="J5998" s="125">
        <v>0</v>
      </c>
    </row>
    <row r="5999" spans="1:10" ht="15.75" hidden="1" thickBot="1" x14ac:dyDescent="0.3">
      <c r="A5999" s="247"/>
      <c r="B5999" s="240"/>
      <c r="C5999" s="135"/>
      <c r="D5999" s="135"/>
      <c r="E5999" s="136"/>
      <c r="F5999" s="49" t="s">
        <v>418</v>
      </c>
      <c r="G5999" s="49" t="str">
        <f>IF(ISNUMBER(F5999),E5999*F5999,"")</f>
        <v/>
      </c>
      <c r="H5999" s="65"/>
      <c r="I5999" s="66"/>
      <c r="J5999" s="125">
        <v>0</v>
      </c>
    </row>
    <row r="6000" spans="1:10" ht="26.25" hidden="1" thickBot="1" x14ac:dyDescent="0.3">
      <c r="A6000" s="247"/>
      <c r="B6000" s="240"/>
      <c r="C6000" s="155" t="s">
        <v>13515</v>
      </c>
      <c r="D6000" s="129" t="s">
        <v>16</v>
      </c>
      <c r="E6000" s="130">
        <v>1</v>
      </c>
      <c r="F6000" s="28">
        <v>0.95</v>
      </c>
      <c r="G6000" s="49">
        <f>IF(ISNUMBER(F6000),E6000*F6000,"")</f>
        <v>0.95</v>
      </c>
      <c r="H6000" s="35">
        <f>SUM(G6000:G6000)</f>
        <v>0.95</v>
      </c>
      <c r="I6000" s="36"/>
      <c r="J6000" s="125">
        <v>0</v>
      </c>
    </row>
    <row r="6001" spans="1:10" ht="15.75" hidden="1" thickBot="1" x14ac:dyDescent="0.3">
      <c r="A6001" s="248"/>
      <c r="B6001" s="239"/>
      <c r="C6001" s="164"/>
      <c r="D6001" s="132"/>
      <c r="E6001" s="61"/>
      <c r="F6001" s="68" t="s">
        <v>418</v>
      </c>
      <c r="G6001" s="68" t="str">
        <f>IF(ISNUMBER(F6001),E6001*F6001,"")</f>
        <v/>
      </c>
      <c r="H6001" s="69"/>
      <c r="I6001" s="66"/>
      <c r="J6001" s="125">
        <v>0</v>
      </c>
    </row>
    <row r="6002" spans="1:10" ht="15.75" hidden="1" customHeight="1" thickBot="1" x14ac:dyDescent="0.3">
      <c r="A6002" s="241" t="s">
        <v>13278</v>
      </c>
      <c r="B6002" s="237" t="s">
        <v>13060</v>
      </c>
      <c r="C6002" s="160"/>
      <c r="D6002" s="23" t="s">
        <v>16</v>
      </c>
      <c r="E6002" s="24"/>
      <c r="F6002" s="44" t="s">
        <v>418</v>
      </c>
      <c r="G6002" s="25" t="str">
        <f>IF(ISNUMBER(F6002),E6002*F6002,"")</f>
        <v/>
      </c>
      <c r="H6002" s="26"/>
      <c r="I6002" s="27"/>
      <c r="J6002" s="125">
        <v>0</v>
      </c>
    </row>
    <row r="6003" spans="1:10" ht="15.75" hidden="1" thickBot="1" x14ac:dyDescent="0.3">
      <c r="A6003" s="247"/>
      <c r="B6003" s="240"/>
      <c r="C6003" s="135"/>
      <c r="D6003" s="135"/>
      <c r="E6003" s="136"/>
      <c r="F6003" s="49" t="s">
        <v>418</v>
      </c>
      <c r="G6003" s="49" t="str">
        <f>IF(ISNUMBER(F6003),E6003*F6003,"")</f>
        <v/>
      </c>
      <c r="H6003" s="65"/>
      <c r="I6003" s="66"/>
      <c r="J6003" s="125">
        <v>0</v>
      </c>
    </row>
    <row r="6004" spans="1:10" ht="26.25" hidden="1" thickBot="1" x14ac:dyDescent="0.3">
      <c r="A6004" s="247"/>
      <c r="B6004" s="240"/>
      <c r="C6004" s="155" t="s">
        <v>13517</v>
      </c>
      <c r="D6004" s="129" t="s">
        <v>16</v>
      </c>
      <c r="E6004" s="130">
        <v>1</v>
      </c>
      <c r="F6004" s="28">
        <v>0.95</v>
      </c>
      <c r="G6004" s="49">
        <f>IF(ISNUMBER(F6004),E6004*F6004,"")</f>
        <v>0.95</v>
      </c>
      <c r="H6004" s="35">
        <f>SUM(G6004:G6004)</f>
        <v>0.95</v>
      </c>
      <c r="I6004" s="36"/>
      <c r="J6004" s="125">
        <v>0</v>
      </c>
    </row>
    <row r="6005" spans="1:10" ht="15.75" hidden="1" thickBot="1" x14ac:dyDescent="0.3">
      <c r="A6005" s="248"/>
      <c r="B6005" s="239"/>
      <c r="C6005" s="164"/>
      <c r="D6005" s="132"/>
      <c r="E6005" s="61"/>
      <c r="F6005" s="68" t="s">
        <v>418</v>
      </c>
      <c r="G6005" s="68" t="str">
        <f>IF(ISNUMBER(F6005),E6005*F6005,"")</f>
        <v/>
      </c>
      <c r="H6005" s="69"/>
      <c r="I6005" s="66"/>
      <c r="J6005" s="125">
        <v>0</v>
      </c>
    </row>
    <row r="6006" spans="1:10" ht="15.75" hidden="1" thickBot="1" x14ac:dyDescent="0.3">
      <c r="A6006" s="241" t="s">
        <v>13279</v>
      </c>
      <c r="B6006" s="237" t="s">
        <v>13061</v>
      </c>
      <c r="C6006" s="160"/>
      <c r="D6006" s="23" t="s">
        <v>16</v>
      </c>
      <c r="E6006" s="24"/>
      <c r="F6006" s="44" t="s">
        <v>418</v>
      </c>
      <c r="G6006" s="25" t="str">
        <f>IF(ISNUMBER(F6006),E6006*F6006,"")</f>
        <v/>
      </c>
      <c r="H6006" s="26"/>
      <c r="I6006" s="27"/>
      <c r="J6006" s="125">
        <v>0</v>
      </c>
    </row>
    <row r="6007" spans="1:10" ht="15.75" hidden="1" thickBot="1" x14ac:dyDescent="0.3">
      <c r="A6007" s="247"/>
      <c r="B6007" s="240"/>
      <c r="C6007" s="135"/>
      <c r="D6007" s="135"/>
      <c r="E6007" s="136"/>
      <c r="F6007" s="49" t="s">
        <v>418</v>
      </c>
      <c r="G6007" s="49" t="str">
        <f>IF(ISNUMBER(F6007),E6007*F6007,"")</f>
        <v/>
      </c>
      <c r="H6007" s="65"/>
      <c r="I6007" s="66"/>
      <c r="J6007" s="125">
        <v>0</v>
      </c>
    </row>
    <row r="6008" spans="1:10" ht="26.25" hidden="1" thickBot="1" x14ac:dyDescent="0.3">
      <c r="A6008" s="247"/>
      <c r="B6008" s="240"/>
      <c r="C6008" s="155" t="s">
        <v>13519</v>
      </c>
      <c r="D6008" s="129" t="s">
        <v>16</v>
      </c>
      <c r="E6008" s="130">
        <v>1</v>
      </c>
      <c r="F6008" s="28">
        <v>0.95</v>
      </c>
      <c r="G6008" s="49">
        <f>IF(ISNUMBER(F6008),E6008*F6008,"")</f>
        <v>0.95</v>
      </c>
      <c r="H6008" s="35">
        <f>SUM(G6008:G6008)</f>
        <v>0.95</v>
      </c>
      <c r="I6008" s="36"/>
      <c r="J6008" s="125">
        <v>0</v>
      </c>
    </row>
    <row r="6009" spans="1:10" ht="15.75" hidden="1" thickBot="1" x14ac:dyDescent="0.3">
      <c r="A6009" s="248"/>
      <c r="B6009" s="239"/>
      <c r="C6009" s="164"/>
      <c r="D6009" s="132"/>
      <c r="E6009" s="61"/>
      <c r="F6009" s="68" t="s">
        <v>418</v>
      </c>
      <c r="G6009" s="68" t="str">
        <f>IF(ISNUMBER(F6009),E6009*F6009,"")</f>
        <v/>
      </c>
      <c r="H6009" s="69"/>
      <c r="I6009" s="66"/>
      <c r="J6009" s="125">
        <v>0</v>
      </c>
    </row>
    <row r="6010" spans="1:10" ht="15.75" hidden="1" thickBot="1" x14ac:dyDescent="0.3">
      <c r="A6010" s="241" t="s">
        <v>13280</v>
      </c>
      <c r="B6010" s="237" t="s">
        <v>13062</v>
      </c>
      <c r="C6010" s="160"/>
      <c r="D6010" s="23" t="s">
        <v>16</v>
      </c>
      <c r="E6010" s="24"/>
      <c r="F6010" s="44" t="s">
        <v>418</v>
      </c>
      <c r="G6010" s="25" t="str">
        <f>IF(ISNUMBER(F6010),E6010*F6010,"")</f>
        <v/>
      </c>
      <c r="H6010" s="26"/>
      <c r="I6010" s="27"/>
      <c r="J6010" s="125">
        <v>0</v>
      </c>
    </row>
    <row r="6011" spans="1:10" ht="15.75" hidden="1" thickBot="1" x14ac:dyDescent="0.3">
      <c r="A6011" s="247"/>
      <c r="B6011" s="240"/>
      <c r="C6011" s="135"/>
      <c r="D6011" s="135"/>
      <c r="E6011" s="136"/>
      <c r="F6011" s="49" t="s">
        <v>418</v>
      </c>
      <c r="G6011" s="49" t="str">
        <f>IF(ISNUMBER(F6011),E6011*F6011,"")</f>
        <v/>
      </c>
      <c r="H6011" s="65"/>
      <c r="I6011" s="66"/>
      <c r="J6011" s="125">
        <v>0</v>
      </c>
    </row>
    <row r="6012" spans="1:10" ht="15.75" hidden="1" thickBot="1" x14ac:dyDescent="0.3">
      <c r="A6012" s="247"/>
      <c r="B6012" s="240"/>
      <c r="C6012" s="155" t="s">
        <v>13522</v>
      </c>
      <c r="D6012" s="129" t="s">
        <v>16</v>
      </c>
      <c r="E6012" s="130">
        <v>1</v>
      </c>
      <c r="F6012" s="28">
        <v>0.95</v>
      </c>
      <c r="G6012" s="49">
        <f>IF(ISNUMBER(F6012),E6012*F6012,"")</f>
        <v>0.95</v>
      </c>
      <c r="H6012" s="35">
        <f>SUM(G6012:G6012)</f>
        <v>0.95</v>
      </c>
      <c r="I6012" s="36"/>
      <c r="J6012" s="125">
        <v>0</v>
      </c>
    </row>
    <row r="6013" spans="1:10" ht="15.75" hidden="1" thickBot="1" x14ac:dyDescent="0.3">
      <c r="A6013" s="248"/>
      <c r="B6013" s="239"/>
      <c r="C6013" s="164"/>
      <c r="D6013" s="132"/>
      <c r="E6013" s="61"/>
      <c r="F6013" s="68" t="s">
        <v>418</v>
      </c>
      <c r="G6013" s="68" t="str">
        <f>IF(ISNUMBER(F6013),E6013*F6013,"")</f>
        <v/>
      </c>
      <c r="H6013" s="69"/>
      <c r="I6013" s="66"/>
      <c r="J6013" s="125">
        <v>0</v>
      </c>
    </row>
    <row r="6014" spans="1:10" ht="15.75" hidden="1" thickBot="1" x14ac:dyDescent="0.3">
      <c r="A6014" s="241" t="s">
        <v>13281</v>
      </c>
      <c r="B6014" s="237" t="s">
        <v>13063</v>
      </c>
      <c r="C6014" s="160"/>
      <c r="D6014" s="23" t="s">
        <v>16</v>
      </c>
      <c r="E6014" s="24"/>
      <c r="F6014" s="44" t="s">
        <v>418</v>
      </c>
      <c r="G6014" s="25" t="str">
        <f>IF(ISNUMBER(F6014),E6014*F6014,"")</f>
        <v/>
      </c>
      <c r="H6014" s="26"/>
      <c r="I6014" s="27"/>
      <c r="J6014" s="125">
        <v>0</v>
      </c>
    </row>
    <row r="6015" spans="1:10" ht="15.75" hidden="1" thickBot="1" x14ac:dyDescent="0.3">
      <c r="A6015" s="247"/>
      <c r="B6015" s="240"/>
      <c r="C6015" s="135"/>
      <c r="D6015" s="135"/>
      <c r="E6015" s="136"/>
      <c r="F6015" s="49" t="s">
        <v>418</v>
      </c>
      <c r="G6015" s="49" t="str">
        <f>IF(ISNUMBER(F6015),E6015*F6015,"")</f>
        <v/>
      </c>
      <c r="H6015" s="65"/>
      <c r="I6015" s="66"/>
      <c r="J6015" s="125">
        <v>0</v>
      </c>
    </row>
    <row r="6016" spans="1:10" ht="15.75" hidden="1" thickBot="1" x14ac:dyDescent="0.3">
      <c r="A6016" s="247"/>
      <c r="B6016" s="240"/>
      <c r="C6016" s="155" t="s">
        <v>13524</v>
      </c>
      <c r="D6016" s="129" t="s">
        <v>16</v>
      </c>
      <c r="E6016" s="130">
        <v>1</v>
      </c>
      <c r="F6016" s="28">
        <v>0.95</v>
      </c>
      <c r="G6016" s="49">
        <f>IF(ISNUMBER(F6016),E6016*F6016,"")</f>
        <v>0.95</v>
      </c>
      <c r="H6016" s="35">
        <f>SUM(G6016:G6016)</f>
        <v>0.95</v>
      </c>
      <c r="I6016" s="36"/>
      <c r="J6016" s="125">
        <v>0</v>
      </c>
    </row>
    <row r="6017" spans="1:10" ht="15.75" hidden="1" thickBot="1" x14ac:dyDescent="0.3">
      <c r="A6017" s="248"/>
      <c r="B6017" s="239"/>
      <c r="C6017" s="164"/>
      <c r="D6017" s="132"/>
      <c r="E6017" s="61"/>
      <c r="F6017" s="68" t="s">
        <v>418</v>
      </c>
      <c r="G6017" s="68" t="str">
        <f>IF(ISNUMBER(F6017),E6017*F6017,"")</f>
        <v/>
      </c>
      <c r="H6017" s="69"/>
      <c r="I6017" s="66"/>
      <c r="J6017" s="125">
        <v>0</v>
      </c>
    </row>
    <row r="6018" spans="1:10" ht="15.75" hidden="1" thickBot="1" x14ac:dyDescent="0.3">
      <c r="A6018" s="241" t="s">
        <v>13282</v>
      </c>
      <c r="B6018" s="237" t="s">
        <v>13064</v>
      </c>
      <c r="C6018" s="160"/>
      <c r="D6018" s="23" t="s">
        <v>16</v>
      </c>
      <c r="E6018" s="24"/>
      <c r="F6018" s="44" t="s">
        <v>418</v>
      </c>
      <c r="G6018" s="25" t="str">
        <f>IF(ISNUMBER(F6018),E6018*F6018,"")</f>
        <v/>
      </c>
      <c r="H6018" s="26"/>
      <c r="I6018" s="27"/>
      <c r="J6018" s="125">
        <v>0</v>
      </c>
    </row>
    <row r="6019" spans="1:10" ht="15.75" hidden="1" thickBot="1" x14ac:dyDescent="0.3">
      <c r="A6019" s="247"/>
      <c r="B6019" s="240"/>
      <c r="C6019" s="135"/>
      <c r="D6019" s="135"/>
      <c r="E6019" s="136"/>
      <c r="F6019" s="49" t="s">
        <v>418</v>
      </c>
      <c r="G6019" s="49" t="str">
        <f>IF(ISNUMBER(F6019),E6019*F6019,"")</f>
        <v/>
      </c>
      <c r="H6019" s="65"/>
      <c r="I6019" s="66"/>
      <c r="J6019" s="125">
        <v>0</v>
      </c>
    </row>
    <row r="6020" spans="1:10" ht="15.75" hidden="1" thickBot="1" x14ac:dyDescent="0.3">
      <c r="A6020" s="247"/>
      <c r="B6020" s="240"/>
      <c r="C6020" s="155" t="s">
        <v>13526</v>
      </c>
      <c r="D6020" s="129" t="s">
        <v>16</v>
      </c>
      <c r="E6020" s="130">
        <v>1</v>
      </c>
      <c r="F6020" s="28">
        <v>0.95</v>
      </c>
      <c r="G6020" s="49">
        <f>IF(ISNUMBER(F6020),E6020*F6020,"")</f>
        <v>0.95</v>
      </c>
      <c r="H6020" s="35">
        <f>SUM(G6020:G6020)</f>
        <v>0.95</v>
      </c>
      <c r="I6020" s="36"/>
      <c r="J6020" s="125">
        <v>0</v>
      </c>
    </row>
    <row r="6021" spans="1:10" ht="15.75" hidden="1" thickBot="1" x14ac:dyDescent="0.3">
      <c r="A6021" s="248"/>
      <c r="B6021" s="239"/>
      <c r="C6021" s="164"/>
      <c r="D6021" s="132"/>
      <c r="E6021" s="61"/>
      <c r="F6021" s="68" t="s">
        <v>418</v>
      </c>
      <c r="G6021" s="68" t="str">
        <f>IF(ISNUMBER(F6021),E6021*F6021,"")</f>
        <v/>
      </c>
      <c r="H6021" s="69"/>
      <c r="I6021" s="66"/>
      <c r="J6021" s="125">
        <v>0</v>
      </c>
    </row>
    <row r="6022" spans="1:10" ht="15.75" hidden="1" thickBot="1" x14ac:dyDescent="0.3">
      <c r="A6022" s="241" t="s">
        <v>13283</v>
      </c>
      <c r="B6022" s="237" t="s">
        <v>13065</v>
      </c>
      <c r="C6022" s="160"/>
      <c r="D6022" s="23" t="s">
        <v>16</v>
      </c>
      <c r="E6022" s="24"/>
      <c r="F6022" s="44" t="s">
        <v>418</v>
      </c>
      <c r="G6022" s="25" t="str">
        <f>IF(ISNUMBER(F6022),E6022*F6022,"")</f>
        <v/>
      </c>
      <c r="H6022" s="26"/>
      <c r="I6022" s="27"/>
      <c r="J6022" s="125">
        <v>0</v>
      </c>
    </row>
    <row r="6023" spans="1:10" ht="15.75" hidden="1" thickBot="1" x14ac:dyDescent="0.3">
      <c r="A6023" s="247"/>
      <c r="B6023" s="240"/>
      <c r="C6023" s="135"/>
      <c r="D6023" s="135"/>
      <c r="E6023" s="136"/>
      <c r="F6023" s="49" t="s">
        <v>418</v>
      </c>
      <c r="G6023" s="49" t="str">
        <f>IF(ISNUMBER(F6023),E6023*F6023,"")</f>
        <v/>
      </c>
      <c r="H6023" s="65"/>
      <c r="I6023" s="66"/>
      <c r="J6023" s="125">
        <v>0</v>
      </c>
    </row>
    <row r="6024" spans="1:10" ht="15.75" hidden="1" thickBot="1" x14ac:dyDescent="0.3">
      <c r="A6024" s="247"/>
      <c r="B6024" s="240"/>
      <c r="C6024" s="155" t="s">
        <v>13528</v>
      </c>
      <c r="D6024" s="129" t="s">
        <v>16</v>
      </c>
      <c r="E6024" s="130">
        <v>1</v>
      </c>
      <c r="F6024" s="28">
        <v>0.95</v>
      </c>
      <c r="G6024" s="49">
        <f>IF(ISNUMBER(F6024),E6024*F6024,"")</f>
        <v>0.95</v>
      </c>
      <c r="H6024" s="35">
        <f>SUM(G6024:G6024)</f>
        <v>0.95</v>
      </c>
      <c r="I6024" s="36"/>
      <c r="J6024" s="125">
        <v>0</v>
      </c>
    </row>
    <row r="6025" spans="1:10" ht="15.75" hidden="1" thickBot="1" x14ac:dyDescent="0.3">
      <c r="A6025" s="248"/>
      <c r="B6025" s="239"/>
      <c r="C6025" s="164"/>
      <c r="D6025" s="132"/>
      <c r="E6025" s="61"/>
      <c r="F6025" s="68" t="s">
        <v>418</v>
      </c>
      <c r="G6025" s="68" t="str">
        <f>IF(ISNUMBER(F6025),E6025*F6025,"")</f>
        <v/>
      </c>
      <c r="H6025" s="69"/>
      <c r="I6025" s="66"/>
      <c r="J6025" s="125">
        <v>0</v>
      </c>
    </row>
    <row r="6026" spans="1:10" ht="15.75" hidden="1" thickBot="1" x14ac:dyDescent="0.3">
      <c r="A6026" s="241" t="s">
        <v>13284</v>
      </c>
      <c r="B6026" s="237" t="s">
        <v>13066</v>
      </c>
      <c r="C6026" s="160"/>
      <c r="D6026" s="23" t="s">
        <v>16</v>
      </c>
      <c r="E6026" s="24"/>
      <c r="F6026" s="44" t="s">
        <v>418</v>
      </c>
      <c r="G6026" s="25" t="str">
        <f>IF(ISNUMBER(F6026),E6026*F6026,"")</f>
        <v/>
      </c>
      <c r="H6026" s="26"/>
      <c r="I6026" s="27"/>
      <c r="J6026" s="125">
        <v>0</v>
      </c>
    </row>
    <row r="6027" spans="1:10" ht="15.75" hidden="1" thickBot="1" x14ac:dyDescent="0.3">
      <c r="A6027" s="247"/>
      <c r="B6027" s="240"/>
      <c r="C6027" s="135"/>
      <c r="D6027" s="135"/>
      <c r="E6027" s="136"/>
      <c r="F6027" s="49" t="s">
        <v>418</v>
      </c>
      <c r="G6027" s="49" t="str">
        <f>IF(ISNUMBER(F6027),E6027*F6027,"")</f>
        <v/>
      </c>
      <c r="H6027" s="65"/>
      <c r="I6027" s="66"/>
      <c r="J6027" s="125">
        <v>0</v>
      </c>
    </row>
    <row r="6028" spans="1:10" ht="26.25" hidden="1" thickBot="1" x14ac:dyDescent="0.3">
      <c r="A6028" s="247"/>
      <c r="B6028" s="240"/>
      <c r="C6028" s="155" t="s">
        <v>25553</v>
      </c>
      <c r="D6028" s="155" t="s">
        <v>205</v>
      </c>
      <c r="E6028" s="130">
        <v>1</v>
      </c>
      <c r="F6028" s="28">
        <v>5.8994999999999997</v>
      </c>
      <c r="G6028" s="49">
        <f>IF(ISNUMBER(F6028),E6028*F6028,"")</f>
        <v>5.8994999999999997</v>
      </c>
      <c r="H6028" s="35">
        <f>SUM(G6028:G6028)</f>
        <v>5.8994999999999997</v>
      </c>
      <c r="I6028" s="36"/>
      <c r="J6028" s="125">
        <v>0</v>
      </c>
    </row>
    <row r="6029" spans="1:10" ht="15.75" hidden="1" thickBot="1" x14ac:dyDescent="0.3">
      <c r="A6029" s="248"/>
      <c r="B6029" s="239"/>
      <c r="C6029" s="164"/>
      <c r="D6029" s="132"/>
      <c r="E6029" s="61"/>
      <c r="F6029" s="68" t="s">
        <v>418</v>
      </c>
      <c r="G6029" s="68" t="str">
        <f>IF(ISNUMBER(F6029),E6029*F6029,"")</f>
        <v/>
      </c>
      <c r="H6029" s="69"/>
      <c r="I6029" s="66"/>
      <c r="J6029" s="125">
        <v>0</v>
      </c>
    </row>
    <row r="6030" spans="1:10" ht="15.75" hidden="1" thickBot="1" x14ac:dyDescent="0.3">
      <c r="A6030" s="241" t="s">
        <v>13285</v>
      </c>
      <c r="B6030" s="237" t="s">
        <v>19667</v>
      </c>
      <c r="C6030" s="160"/>
      <c r="D6030" s="23" t="s">
        <v>16</v>
      </c>
      <c r="E6030" s="24"/>
      <c r="F6030" s="44" t="s">
        <v>418</v>
      </c>
      <c r="G6030" s="25" t="str">
        <f>IF(ISNUMBER(F6030),E6030*F6030,"")</f>
        <v/>
      </c>
      <c r="H6030" s="26"/>
      <c r="I6030" s="27"/>
      <c r="J6030" s="125">
        <v>0</v>
      </c>
    </row>
    <row r="6031" spans="1:10" ht="15.75" hidden="1" thickBot="1" x14ac:dyDescent="0.3">
      <c r="A6031" s="247"/>
      <c r="B6031" s="240"/>
      <c r="C6031" s="135"/>
      <c r="D6031" s="135"/>
      <c r="E6031" s="136"/>
      <c r="F6031" s="49" t="s">
        <v>418</v>
      </c>
      <c r="G6031" s="49" t="str">
        <f>IF(ISNUMBER(F6031),E6031*F6031,"")</f>
        <v/>
      </c>
      <c r="H6031" s="65"/>
      <c r="I6031" s="66"/>
      <c r="J6031" s="125">
        <v>0</v>
      </c>
    </row>
    <row r="6032" spans="1:10" ht="26.25" hidden="1" thickBot="1" x14ac:dyDescent="0.3">
      <c r="A6032" s="247"/>
      <c r="B6032" s="240"/>
      <c r="C6032" s="155" t="s">
        <v>38841</v>
      </c>
      <c r="D6032" s="155" t="s">
        <v>205</v>
      </c>
      <c r="E6032" s="130">
        <v>1</v>
      </c>
      <c r="F6032" s="28">
        <v>474.82899999999995</v>
      </c>
      <c r="G6032" s="49">
        <f>IF(ISNUMBER(F6032),E6032*F6032,"")</f>
        <v>474.82899999999995</v>
      </c>
      <c r="H6032" s="35">
        <f>SUM(G6032:G6032)</f>
        <v>474.82899999999995</v>
      </c>
      <c r="I6032" s="36"/>
      <c r="J6032" s="125">
        <v>0</v>
      </c>
    </row>
    <row r="6033" spans="1:10" ht="15.75" hidden="1" thickBot="1" x14ac:dyDescent="0.3">
      <c r="A6033" s="248"/>
      <c r="B6033" s="239"/>
      <c r="C6033" s="164"/>
      <c r="D6033" s="132"/>
      <c r="E6033" s="61"/>
      <c r="F6033" s="68" t="s">
        <v>418</v>
      </c>
      <c r="G6033" s="68" t="str">
        <f>IF(ISNUMBER(F6033),E6033*F6033,"")</f>
        <v/>
      </c>
      <c r="H6033" s="69"/>
      <c r="I6033" s="66"/>
      <c r="J6033" s="125">
        <v>0</v>
      </c>
    </row>
    <row r="6034" spans="1:10" ht="15.75" hidden="1" thickBot="1" x14ac:dyDescent="0.3">
      <c r="A6034" s="241" t="s">
        <v>13286</v>
      </c>
      <c r="B6034" s="237" t="s">
        <v>19668</v>
      </c>
      <c r="C6034" s="160"/>
      <c r="D6034" s="23" t="s">
        <v>16</v>
      </c>
      <c r="E6034" s="24"/>
      <c r="F6034" s="44" t="s">
        <v>418</v>
      </c>
      <c r="G6034" s="25" t="str">
        <f>IF(ISNUMBER(F6034),E6034*F6034,"")</f>
        <v/>
      </c>
      <c r="H6034" s="26"/>
      <c r="I6034" s="27"/>
      <c r="J6034" s="125">
        <v>0</v>
      </c>
    </row>
    <row r="6035" spans="1:10" ht="15.75" hidden="1" thickBot="1" x14ac:dyDescent="0.3">
      <c r="A6035" s="247"/>
      <c r="B6035" s="240"/>
      <c r="C6035" s="135"/>
      <c r="D6035" s="135"/>
      <c r="E6035" s="136"/>
      <c r="F6035" s="49" t="s">
        <v>418</v>
      </c>
      <c r="G6035" s="49" t="str">
        <f>IF(ISNUMBER(F6035),E6035*F6035,"")</f>
        <v/>
      </c>
      <c r="H6035" s="65"/>
      <c r="I6035" s="66"/>
      <c r="J6035" s="125">
        <v>0</v>
      </c>
    </row>
    <row r="6036" spans="1:10" ht="26.25" hidden="1" thickBot="1" x14ac:dyDescent="0.3">
      <c r="A6036" s="247"/>
      <c r="B6036" s="240"/>
      <c r="C6036" s="155" t="s">
        <v>38842</v>
      </c>
      <c r="D6036" s="155" t="s">
        <v>205</v>
      </c>
      <c r="E6036" s="130">
        <v>1</v>
      </c>
      <c r="F6036" s="28">
        <v>1842.981</v>
      </c>
      <c r="G6036" s="49">
        <f>IF(ISNUMBER(F6036),E6036*F6036,"")</f>
        <v>1842.981</v>
      </c>
      <c r="H6036" s="35">
        <f>SUM(G6036:G6036)</f>
        <v>1842.981</v>
      </c>
      <c r="I6036" s="36"/>
      <c r="J6036" s="125">
        <v>0</v>
      </c>
    </row>
    <row r="6037" spans="1:10" ht="15.75" hidden="1" thickBot="1" x14ac:dyDescent="0.3">
      <c r="A6037" s="248"/>
      <c r="B6037" s="239"/>
      <c r="C6037" s="164"/>
      <c r="D6037" s="132"/>
      <c r="E6037" s="61"/>
      <c r="F6037" s="68" t="s">
        <v>418</v>
      </c>
      <c r="G6037" s="68" t="str">
        <f>IF(ISNUMBER(F6037),E6037*F6037,"")</f>
        <v/>
      </c>
      <c r="H6037" s="69"/>
      <c r="I6037" s="66"/>
      <c r="J6037" s="125">
        <v>0</v>
      </c>
    </row>
    <row r="6038" spans="1:10" ht="15.75" hidden="1" thickBot="1" x14ac:dyDescent="0.3">
      <c r="A6038" s="241" t="s">
        <v>13287</v>
      </c>
      <c r="B6038" s="237" t="s">
        <v>19669</v>
      </c>
      <c r="C6038" s="160"/>
      <c r="D6038" s="23" t="s">
        <v>16</v>
      </c>
      <c r="E6038" s="24"/>
      <c r="F6038" s="44" t="s">
        <v>418</v>
      </c>
      <c r="G6038" s="25" t="str">
        <f>IF(ISNUMBER(F6038),E6038*F6038,"")</f>
        <v/>
      </c>
      <c r="H6038" s="26"/>
      <c r="I6038" s="27"/>
      <c r="J6038" s="125">
        <v>0</v>
      </c>
    </row>
    <row r="6039" spans="1:10" ht="15.75" hidden="1" thickBot="1" x14ac:dyDescent="0.3">
      <c r="A6039" s="247"/>
      <c r="B6039" s="240"/>
      <c r="C6039" s="135"/>
      <c r="D6039" s="135"/>
      <c r="E6039" s="136"/>
      <c r="F6039" s="49" t="s">
        <v>418</v>
      </c>
      <c r="G6039" s="49" t="str">
        <f>IF(ISNUMBER(F6039),E6039*F6039,"")</f>
        <v/>
      </c>
      <c r="H6039" s="65"/>
      <c r="I6039" s="66"/>
      <c r="J6039" s="125">
        <v>0</v>
      </c>
    </row>
    <row r="6040" spans="1:10" ht="26.25" hidden="1" thickBot="1" x14ac:dyDescent="0.3">
      <c r="A6040" s="247"/>
      <c r="B6040" s="240"/>
      <c r="C6040" s="155" t="s">
        <v>38843</v>
      </c>
      <c r="D6040" s="155" t="s">
        <v>205</v>
      </c>
      <c r="E6040" s="130">
        <v>1</v>
      </c>
      <c r="F6040" s="28">
        <v>2170.123</v>
      </c>
      <c r="G6040" s="49">
        <f>IF(ISNUMBER(F6040),E6040*F6040,"")</f>
        <v>2170.123</v>
      </c>
      <c r="H6040" s="35">
        <f>SUM(G6040:G6040)</f>
        <v>2170.123</v>
      </c>
      <c r="I6040" s="36"/>
      <c r="J6040" s="125">
        <v>0</v>
      </c>
    </row>
    <row r="6041" spans="1:10" ht="15.75" hidden="1" thickBot="1" x14ac:dyDescent="0.3">
      <c r="A6041" s="248"/>
      <c r="B6041" s="239"/>
      <c r="C6041" s="164"/>
      <c r="D6041" s="132"/>
      <c r="E6041" s="61"/>
      <c r="F6041" s="68" t="s">
        <v>418</v>
      </c>
      <c r="G6041" s="68" t="str">
        <f>IF(ISNUMBER(F6041),E6041*F6041,"")</f>
        <v/>
      </c>
      <c r="H6041" s="69"/>
      <c r="I6041" s="66"/>
      <c r="J6041" s="125">
        <v>0</v>
      </c>
    </row>
    <row r="6042" spans="1:10" ht="15.75" hidden="1" thickBot="1" x14ac:dyDescent="0.3">
      <c r="A6042" s="241" t="s">
        <v>13288</v>
      </c>
      <c r="B6042" s="237" t="s">
        <v>13067</v>
      </c>
      <c r="C6042" s="160"/>
      <c r="D6042" s="23" t="s">
        <v>16</v>
      </c>
      <c r="E6042" s="24"/>
      <c r="F6042" s="44" t="s">
        <v>418</v>
      </c>
      <c r="G6042" s="25" t="str">
        <f>IF(ISNUMBER(F6042),E6042*F6042,"")</f>
        <v/>
      </c>
      <c r="H6042" s="26"/>
      <c r="I6042" s="27"/>
      <c r="J6042" s="125">
        <v>0</v>
      </c>
    </row>
    <row r="6043" spans="1:10" ht="15.75" hidden="1" thickBot="1" x14ac:dyDescent="0.3">
      <c r="A6043" s="247"/>
      <c r="B6043" s="240"/>
      <c r="C6043" s="135"/>
      <c r="D6043" s="135"/>
      <c r="E6043" s="136"/>
      <c r="F6043" s="49" t="s">
        <v>418</v>
      </c>
      <c r="G6043" s="49" t="str">
        <f>IF(ISNUMBER(F6043),E6043*F6043,"")</f>
        <v/>
      </c>
      <c r="H6043" s="65"/>
      <c r="I6043" s="66"/>
      <c r="J6043" s="125">
        <v>0</v>
      </c>
    </row>
    <row r="6044" spans="1:10" ht="15.75" hidden="1" thickBot="1" x14ac:dyDescent="0.3">
      <c r="A6044" s="247"/>
      <c r="B6044" s="240"/>
      <c r="C6044" s="155" t="s">
        <v>23952</v>
      </c>
      <c r="D6044" s="155" t="s">
        <v>205</v>
      </c>
      <c r="E6044" s="130">
        <v>1</v>
      </c>
      <c r="F6044" s="28">
        <v>38.997499999999995</v>
      </c>
      <c r="G6044" s="49">
        <f>IF(ISNUMBER(F6044),E6044*F6044,"")</f>
        <v>38.997499999999995</v>
      </c>
      <c r="H6044" s="35">
        <f>SUM(G6044:G6044)</f>
        <v>38.997499999999995</v>
      </c>
      <c r="I6044" s="36"/>
      <c r="J6044" s="125">
        <v>0</v>
      </c>
    </row>
    <row r="6045" spans="1:10" ht="15.75" hidden="1" thickBot="1" x14ac:dyDescent="0.3">
      <c r="A6045" s="248"/>
      <c r="B6045" s="239"/>
      <c r="C6045" s="164"/>
      <c r="D6045" s="132"/>
      <c r="E6045" s="61"/>
      <c r="F6045" s="68" t="s">
        <v>418</v>
      </c>
      <c r="G6045" s="68" t="str">
        <f>IF(ISNUMBER(F6045),E6045*F6045,"")</f>
        <v/>
      </c>
      <c r="H6045" s="69"/>
      <c r="I6045" s="66"/>
      <c r="J6045" s="125">
        <v>0</v>
      </c>
    </row>
    <row r="6046" spans="1:10" ht="15.75" hidden="1" thickBot="1" x14ac:dyDescent="0.3">
      <c r="A6046" s="241" t="s">
        <v>13289</v>
      </c>
      <c r="B6046" s="237" t="s">
        <v>13069</v>
      </c>
      <c r="C6046" s="160"/>
      <c r="D6046" s="23" t="s">
        <v>16</v>
      </c>
      <c r="E6046" s="24"/>
      <c r="F6046" s="44" t="s">
        <v>418</v>
      </c>
      <c r="G6046" s="25" t="str">
        <f>IF(ISNUMBER(F6046),E6046*F6046,"")</f>
        <v/>
      </c>
      <c r="H6046" s="26"/>
      <c r="I6046" s="27"/>
      <c r="J6046" s="125">
        <v>0</v>
      </c>
    </row>
    <row r="6047" spans="1:10" ht="15.75" hidden="1" thickBot="1" x14ac:dyDescent="0.3">
      <c r="A6047" s="247"/>
      <c r="B6047" s="240"/>
      <c r="C6047" s="135"/>
      <c r="D6047" s="135"/>
      <c r="E6047" s="136"/>
      <c r="F6047" s="49" t="s">
        <v>418</v>
      </c>
      <c r="G6047" s="49" t="str">
        <f>IF(ISNUMBER(F6047),E6047*F6047,"")</f>
        <v/>
      </c>
      <c r="H6047" s="65"/>
      <c r="I6047" s="66"/>
      <c r="J6047" s="125">
        <v>0</v>
      </c>
    </row>
    <row r="6048" spans="1:10" ht="15.75" hidden="1" thickBot="1" x14ac:dyDescent="0.3">
      <c r="A6048" s="247"/>
      <c r="B6048" s="240"/>
      <c r="C6048" s="155" t="s">
        <v>24531</v>
      </c>
      <c r="D6048" s="155" t="s">
        <v>205</v>
      </c>
      <c r="E6048" s="130">
        <v>1</v>
      </c>
      <c r="F6048" s="28">
        <v>1.3204999999999998</v>
      </c>
      <c r="G6048" s="49">
        <f>IF(ISNUMBER(F6048),E6048*F6048,"")</f>
        <v>1.3204999999999998</v>
      </c>
      <c r="H6048" s="35">
        <f>SUM(G6048:G6048)</f>
        <v>1.3204999999999998</v>
      </c>
      <c r="I6048" s="36"/>
      <c r="J6048" s="125">
        <v>0</v>
      </c>
    </row>
    <row r="6049" spans="1:10" ht="15.75" hidden="1" thickBot="1" x14ac:dyDescent="0.3">
      <c r="A6049" s="248"/>
      <c r="B6049" s="239"/>
      <c r="C6049" s="164"/>
      <c r="D6049" s="132"/>
      <c r="E6049" s="61"/>
      <c r="F6049" s="68" t="s">
        <v>418</v>
      </c>
      <c r="G6049" s="68" t="str">
        <f>IF(ISNUMBER(F6049),E6049*F6049,"")</f>
        <v/>
      </c>
      <c r="H6049" s="69"/>
      <c r="I6049" s="66"/>
      <c r="J6049" s="125">
        <v>0</v>
      </c>
    </row>
    <row r="6050" spans="1:10" ht="15.75" hidden="1" thickBot="1" x14ac:dyDescent="0.3">
      <c r="A6050" s="241" t="s">
        <v>13291</v>
      </c>
      <c r="B6050" s="237" t="s">
        <v>19665</v>
      </c>
      <c r="C6050" s="160"/>
      <c r="D6050" s="23" t="s">
        <v>16</v>
      </c>
      <c r="E6050" s="24"/>
      <c r="F6050" s="44" t="s">
        <v>418</v>
      </c>
      <c r="G6050" s="25" t="str">
        <f>IF(ISNUMBER(F6050),E6050*F6050,"")</f>
        <v/>
      </c>
      <c r="H6050" s="26"/>
      <c r="I6050" s="27"/>
      <c r="J6050" s="125">
        <v>0</v>
      </c>
    </row>
    <row r="6051" spans="1:10" ht="15.75" hidden="1" thickBot="1" x14ac:dyDescent="0.3">
      <c r="A6051" s="247"/>
      <c r="B6051" s="240"/>
      <c r="C6051" s="135"/>
      <c r="D6051" s="135"/>
      <c r="E6051" s="136"/>
      <c r="F6051" s="49" t="s">
        <v>418</v>
      </c>
      <c r="G6051" s="49" t="str">
        <f>IF(ISNUMBER(F6051),E6051*F6051,"")</f>
        <v/>
      </c>
      <c r="H6051" s="65"/>
      <c r="I6051" s="66"/>
      <c r="J6051" s="125">
        <v>0</v>
      </c>
    </row>
    <row r="6052" spans="1:10" ht="26.25" hidden="1" thickBot="1" x14ac:dyDescent="0.3">
      <c r="A6052" s="247"/>
      <c r="B6052" s="240"/>
      <c r="C6052" s="155" t="s">
        <v>24292</v>
      </c>
      <c r="D6052" s="155" t="s">
        <v>205</v>
      </c>
      <c r="E6052" s="130">
        <v>1</v>
      </c>
      <c r="F6052" s="28">
        <v>3.8759999999999999</v>
      </c>
      <c r="G6052" s="49">
        <f>IF(ISNUMBER(F6052),E6052*F6052,"")</f>
        <v>3.8759999999999999</v>
      </c>
      <c r="H6052" s="35">
        <f>SUM(G6052:G6052)</f>
        <v>3.8759999999999999</v>
      </c>
      <c r="I6052" s="36"/>
      <c r="J6052" s="125">
        <v>0</v>
      </c>
    </row>
    <row r="6053" spans="1:10" ht="15.75" hidden="1" thickBot="1" x14ac:dyDescent="0.3">
      <c r="A6053" s="248"/>
      <c r="B6053" s="239"/>
      <c r="C6053" s="164"/>
      <c r="D6053" s="132"/>
      <c r="E6053" s="61"/>
      <c r="F6053" s="68" t="s">
        <v>418</v>
      </c>
      <c r="G6053" s="68" t="str">
        <f>IF(ISNUMBER(F6053),E6053*F6053,"")</f>
        <v/>
      </c>
      <c r="H6053" s="69"/>
      <c r="I6053" s="66"/>
      <c r="J6053" s="125">
        <v>0</v>
      </c>
    </row>
    <row r="6054" spans="1:10" ht="15.75" hidden="1" thickBot="1" x14ac:dyDescent="0.3">
      <c r="A6054" s="241" t="s">
        <v>13290</v>
      </c>
      <c r="B6054" s="237" t="s">
        <v>19664</v>
      </c>
      <c r="C6054" s="160"/>
      <c r="D6054" s="23" t="s">
        <v>16</v>
      </c>
      <c r="E6054" s="24"/>
      <c r="F6054" s="44" t="s">
        <v>418</v>
      </c>
      <c r="G6054" s="25" t="str">
        <f>IF(ISNUMBER(F6054),E6054*F6054,"")</f>
        <v/>
      </c>
      <c r="H6054" s="26"/>
      <c r="I6054" s="27"/>
      <c r="J6054" s="125">
        <v>0</v>
      </c>
    </row>
    <row r="6055" spans="1:10" ht="15.75" hidden="1" thickBot="1" x14ac:dyDescent="0.3">
      <c r="A6055" s="247"/>
      <c r="B6055" s="240"/>
      <c r="C6055" s="135"/>
      <c r="D6055" s="135"/>
      <c r="E6055" s="136"/>
      <c r="F6055" s="49" t="s">
        <v>418</v>
      </c>
      <c r="G6055" s="49" t="str">
        <f>IF(ISNUMBER(F6055),E6055*F6055,"")</f>
        <v/>
      </c>
      <c r="H6055" s="65"/>
      <c r="I6055" s="66"/>
      <c r="J6055" s="125">
        <v>0</v>
      </c>
    </row>
    <row r="6056" spans="1:10" ht="26.25" hidden="1" thickBot="1" x14ac:dyDescent="0.3">
      <c r="A6056" s="247"/>
      <c r="B6056" s="240"/>
      <c r="C6056" s="155" t="s">
        <v>24290</v>
      </c>
      <c r="D6056" s="155" t="s">
        <v>205</v>
      </c>
      <c r="E6056" s="130">
        <v>1</v>
      </c>
      <c r="F6056" s="28">
        <v>1.9474999999999998</v>
      </c>
      <c r="G6056" s="49">
        <f>IF(ISNUMBER(F6056),E6056*F6056,"")</f>
        <v>1.9474999999999998</v>
      </c>
      <c r="H6056" s="35">
        <f>SUM(G6056:G6056)</f>
        <v>1.9474999999999998</v>
      </c>
      <c r="I6056" s="36"/>
      <c r="J6056" s="125">
        <v>0</v>
      </c>
    </row>
    <row r="6057" spans="1:10" ht="15.75" hidden="1" thickBot="1" x14ac:dyDescent="0.3">
      <c r="A6057" s="248"/>
      <c r="B6057" s="239"/>
      <c r="C6057" s="164"/>
      <c r="D6057" s="132"/>
      <c r="E6057" s="61"/>
      <c r="F6057" s="68" t="s">
        <v>418</v>
      </c>
      <c r="G6057" s="68" t="str">
        <f>IF(ISNUMBER(F6057),E6057*F6057,"")</f>
        <v/>
      </c>
      <c r="H6057" s="69"/>
      <c r="I6057" s="66"/>
      <c r="J6057" s="125">
        <v>0</v>
      </c>
    </row>
    <row r="6058" spans="1:10" ht="15.75" hidden="1" thickBot="1" x14ac:dyDescent="0.3">
      <c r="A6058" s="241" t="s">
        <v>13291</v>
      </c>
      <c r="B6058" s="237" t="s">
        <v>19665</v>
      </c>
      <c r="C6058" s="160"/>
      <c r="D6058" s="23" t="s">
        <v>16</v>
      </c>
      <c r="E6058" s="24"/>
      <c r="F6058" s="44" t="s">
        <v>418</v>
      </c>
      <c r="G6058" s="25" t="str">
        <f>IF(ISNUMBER(F6058),E6058*F6058,"")</f>
        <v/>
      </c>
      <c r="H6058" s="26"/>
      <c r="I6058" s="27"/>
      <c r="J6058" s="125">
        <v>0</v>
      </c>
    </row>
    <row r="6059" spans="1:10" ht="15.75" hidden="1" thickBot="1" x14ac:dyDescent="0.3">
      <c r="A6059" s="247"/>
      <c r="B6059" s="240"/>
      <c r="C6059" s="135"/>
      <c r="D6059" s="135"/>
      <c r="E6059" s="136"/>
      <c r="F6059" s="49" t="s">
        <v>418</v>
      </c>
      <c r="G6059" s="49" t="str">
        <f>IF(ISNUMBER(F6059),E6059*F6059,"")</f>
        <v/>
      </c>
      <c r="H6059" s="65"/>
      <c r="I6059" s="66"/>
      <c r="J6059" s="125">
        <v>0</v>
      </c>
    </row>
    <row r="6060" spans="1:10" ht="26.25" hidden="1" thickBot="1" x14ac:dyDescent="0.3">
      <c r="A6060" s="247"/>
      <c r="B6060" s="240"/>
      <c r="C6060" s="155" t="s">
        <v>24292</v>
      </c>
      <c r="D6060" s="155" t="s">
        <v>205</v>
      </c>
      <c r="E6060" s="130">
        <v>1</v>
      </c>
      <c r="F6060" s="28">
        <v>3.8759999999999999</v>
      </c>
      <c r="G6060" s="49">
        <f>IF(ISNUMBER(F6060),E6060*F6060,"")</f>
        <v>3.8759999999999999</v>
      </c>
      <c r="H6060" s="35">
        <f>SUM(G6060:G6060)</f>
        <v>3.8759999999999999</v>
      </c>
      <c r="I6060" s="36"/>
      <c r="J6060" s="125">
        <v>0</v>
      </c>
    </row>
    <row r="6061" spans="1:10" ht="15.75" hidden="1" thickBot="1" x14ac:dyDescent="0.3">
      <c r="A6061" s="248"/>
      <c r="B6061" s="239"/>
      <c r="C6061" s="164"/>
      <c r="D6061" s="132"/>
      <c r="E6061" s="61"/>
      <c r="F6061" s="68" t="s">
        <v>418</v>
      </c>
      <c r="G6061" s="68" t="str">
        <f>IF(ISNUMBER(F6061),E6061*F6061,"")</f>
        <v/>
      </c>
      <c r="H6061" s="69"/>
      <c r="I6061" s="66"/>
      <c r="J6061" s="125">
        <v>0</v>
      </c>
    </row>
    <row r="6062" spans="1:10" ht="15.75" hidden="1" thickBot="1" x14ac:dyDescent="0.3">
      <c r="A6062" s="241" t="s">
        <v>13292</v>
      </c>
      <c r="B6062" s="237" t="s">
        <v>19663</v>
      </c>
      <c r="C6062" s="160"/>
      <c r="D6062" s="23" t="s">
        <v>16</v>
      </c>
      <c r="E6062" s="24"/>
      <c r="F6062" s="44" t="s">
        <v>418</v>
      </c>
      <c r="G6062" s="25" t="str">
        <f>IF(ISNUMBER(F6062),E6062*F6062,"")</f>
        <v/>
      </c>
      <c r="H6062" s="26"/>
      <c r="I6062" s="27"/>
      <c r="J6062" s="125">
        <v>0</v>
      </c>
    </row>
    <row r="6063" spans="1:10" ht="15.75" hidden="1" thickBot="1" x14ac:dyDescent="0.3">
      <c r="A6063" s="247"/>
      <c r="B6063" s="240"/>
      <c r="C6063" s="135"/>
      <c r="D6063" s="135"/>
      <c r="E6063" s="136"/>
      <c r="F6063" s="49" t="s">
        <v>418</v>
      </c>
      <c r="G6063" s="49" t="str">
        <f>IF(ISNUMBER(F6063),E6063*F6063,"")</f>
        <v/>
      </c>
      <c r="H6063" s="65"/>
      <c r="I6063" s="66"/>
      <c r="J6063" s="125">
        <v>0</v>
      </c>
    </row>
    <row r="6064" spans="1:10" ht="26.25" hidden="1" thickBot="1" x14ac:dyDescent="0.3">
      <c r="A6064" s="247"/>
      <c r="B6064" s="240"/>
      <c r="C6064" s="155" t="s">
        <v>13530</v>
      </c>
      <c r="D6064" s="129" t="s">
        <v>16</v>
      </c>
      <c r="E6064" s="130">
        <v>1</v>
      </c>
      <c r="F6064" s="28">
        <v>0.95</v>
      </c>
      <c r="G6064" s="49">
        <f>IF(ISNUMBER(F6064),E6064*F6064,"")</f>
        <v>0.95</v>
      </c>
      <c r="H6064" s="35">
        <f>SUM(G6064:G6064)</f>
        <v>0.95</v>
      </c>
      <c r="I6064" s="36"/>
      <c r="J6064" s="125">
        <v>0</v>
      </c>
    </row>
    <row r="6065" spans="1:10" ht="15.75" hidden="1" thickBot="1" x14ac:dyDescent="0.3">
      <c r="A6065" s="248"/>
      <c r="B6065" s="239"/>
      <c r="C6065" s="164"/>
      <c r="D6065" s="132"/>
      <c r="E6065" s="61"/>
      <c r="F6065" s="68" t="s">
        <v>418</v>
      </c>
      <c r="G6065" s="68" t="str">
        <f>IF(ISNUMBER(F6065),E6065*F6065,"")</f>
        <v/>
      </c>
      <c r="H6065" s="69"/>
      <c r="I6065" s="66"/>
      <c r="J6065" s="125">
        <v>0</v>
      </c>
    </row>
    <row r="6066" spans="1:10" ht="15.75" hidden="1" thickBot="1" x14ac:dyDescent="0.3">
      <c r="A6066" s="241" t="s">
        <v>13293</v>
      </c>
      <c r="B6066" s="237" t="s">
        <v>13070</v>
      </c>
      <c r="C6066" s="160"/>
      <c r="D6066" s="23" t="s">
        <v>16</v>
      </c>
      <c r="E6066" s="24"/>
      <c r="F6066" s="44" t="s">
        <v>418</v>
      </c>
      <c r="G6066" s="25" t="str">
        <f>IF(ISNUMBER(F6066),E6066*F6066,"")</f>
        <v/>
      </c>
      <c r="H6066" s="26"/>
      <c r="I6066" s="27"/>
      <c r="J6066" s="125">
        <v>0</v>
      </c>
    </row>
    <row r="6067" spans="1:10" ht="15.75" hidden="1" thickBot="1" x14ac:dyDescent="0.3">
      <c r="A6067" s="247"/>
      <c r="B6067" s="240"/>
      <c r="C6067" s="135"/>
      <c r="D6067" s="135"/>
      <c r="E6067" s="136"/>
      <c r="F6067" s="49" t="s">
        <v>418</v>
      </c>
      <c r="G6067" s="49" t="str">
        <f>IF(ISNUMBER(F6067),E6067*F6067,"")</f>
        <v/>
      </c>
      <c r="H6067" s="65"/>
      <c r="I6067" s="66"/>
      <c r="J6067" s="125">
        <v>0</v>
      </c>
    </row>
    <row r="6068" spans="1:10" ht="26.25" hidden="1" thickBot="1" x14ac:dyDescent="0.3">
      <c r="A6068" s="247"/>
      <c r="B6068" s="240"/>
      <c r="C6068" s="155" t="s">
        <v>23380</v>
      </c>
      <c r="D6068" s="155" t="s">
        <v>205</v>
      </c>
      <c r="E6068" s="130">
        <v>1</v>
      </c>
      <c r="F6068" s="28">
        <v>7.657</v>
      </c>
      <c r="G6068" s="49">
        <f>IF(ISNUMBER(F6068),E6068*F6068,"")</f>
        <v>7.657</v>
      </c>
      <c r="H6068" s="35">
        <f>SUM(G6068:G6068)</f>
        <v>7.657</v>
      </c>
      <c r="I6068" s="36"/>
      <c r="J6068" s="125">
        <v>0</v>
      </c>
    </row>
    <row r="6069" spans="1:10" ht="15.75" hidden="1" thickBot="1" x14ac:dyDescent="0.3">
      <c r="A6069" s="248"/>
      <c r="B6069" s="239"/>
      <c r="C6069" s="164"/>
      <c r="D6069" s="132"/>
      <c r="E6069" s="61"/>
      <c r="F6069" s="68" t="s">
        <v>418</v>
      </c>
      <c r="G6069" s="68" t="str">
        <f>IF(ISNUMBER(F6069),E6069*F6069,"")</f>
        <v/>
      </c>
      <c r="H6069" s="69"/>
      <c r="I6069" s="66"/>
      <c r="J6069" s="125">
        <v>0</v>
      </c>
    </row>
    <row r="6070" spans="1:10" ht="15.75" hidden="1" thickBot="1" x14ac:dyDescent="0.3">
      <c r="A6070" s="241" t="s">
        <v>13294</v>
      </c>
      <c r="B6070" s="237" t="s">
        <v>20936</v>
      </c>
      <c r="C6070" s="160"/>
      <c r="D6070" s="23" t="s">
        <v>16</v>
      </c>
      <c r="E6070" s="24"/>
      <c r="F6070" s="44" t="s">
        <v>418</v>
      </c>
      <c r="G6070" s="25" t="str">
        <f>IF(ISNUMBER(F6070),E6070*F6070,"")</f>
        <v/>
      </c>
      <c r="H6070" s="26"/>
      <c r="I6070" s="27"/>
      <c r="J6070" s="125">
        <v>0</v>
      </c>
    </row>
    <row r="6071" spans="1:10" ht="15.75" hidden="1" thickBot="1" x14ac:dyDescent="0.3">
      <c r="A6071" s="247"/>
      <c r="B6071" s="240"/>
      <c r="C6071" s="135"/>
      <c r="D6071" s="135"/>
      <c r="E6071" s="136"/>
      <c r="F6071" s="49" t="s">
        <v>418</v>
      </c>
      <c r="G6071" s="49" t="str">
        <f>IF(ISNUMBER(F6071),E6071*F6071,"")</f>
        <v/>
      </c>
      <c r="H6071" s="65"/>
      <c r="I6071" s="66"/>
      <c r="J6071" s="125">
        <v>0</v>
      </c>
    </row>
    <row r="6072" spans="1:10" ht="15.75" hidden="1" thickBot="1" x14ac:dyDescent="0.3">
      <c r="A6072" s="247"/>
      <c r="B6072" s="240"/>
      <c r="C6072" s="155" t="s">
        <v>13531</v>
      </c>
      <c r="D6072" s="129" t="s">
        <v>16</v>
      </c>
      <c r="E6072" s="130">
        <v>1</v>
      </c>
      <c r="F6072" s="28">
        <v>0.95</v>
      </c>
      <c r="G6072" s="49">
        <f>IF(ISNUMBER(F6072),E6072*F6072,"")</f>
        <v>0.95</v>
      </c>
      <c r="H6072" s="35">
        <f>SUM(G6072:G6072)</f>
        <v>0.95</v>
      </c>
      <c r="I6072" s="36"/>
      <c r="J6072" s="125">
        <v>0</v>
      </c>
    </row>
    <row r="6073" spans="1:10" ht="15.75" hidden="1" thickBot="1" x14ac:dyDescent="0.3">
      <c r="A6073" s="248"/>
      <c r="B6073" s="239"/>
      <c r="C6073" s="164"/>
      <c r="D6073" s="132"/>
      <c r="E6073" s="61"/>
      <c r="F6073" s="68" t="s">
        <v>418</v>
      </c>
      <c r="G6073" s="68" t="str">
        <f>IF(ISNUMBER(F6073),E6073*F6073,"")</f>
        <v/>
      </c>
      <c r="H6073" s="69"/>
      <c r="I6073" s="66"/>
      <c r="J6073" s="125">
        <v>0</v>
      </c>
    </row>
    <row r="6074" spans="1:10" ht="15.75" hidden="1" thickBot="1" x14ac:dyDescent="0.3">
      <c r="A6074" s="241" t="s">
        <v>13295</v>
      </c>
      <c r="B6074" s="237" t="s">
        <v>19662</v>
      </c>
      <c r="C6074" s="160"/>
      <c r="D6074" s="23" t="s">
        <v>16</v>
      </c>
      <c r="E6074" s="24"/>
      <c r="F6074" s="44" t="s">
        <v>418</v>
      </c>
      <c r="G6074" s="25" t="str">
        <f>IF(ISNUMBER(F6074),E6074*F6074,"")</f>
        <v/>
      </c>
      <c r="H6074" s="26"/>
      <c r="I6074" s="27"/>
      <c r="J6074" s="125">
        <v>0</v>
      </c>
    </row>
    <row r="6075" spans="1:10" ht="15.75" hidden="1" thickBot="1" x14ac:dyDescent="0.3">
      <c r="A6075" s="247"/>
      <c r="B6075" s="240"/>
      <c r="C6075" s="135"/>
      <c r="D6075" s="135"/>
      <c r="E6075" s="136"/>
      <c r="F6075" s="49" t="s">
        <v>418</v>
      </c>
      <c r="G6075" s="49" t="str">
        <f>IF(ISNUMBER(F6075),E6075*F6075,"")</f>
        <v/>
      </c>
      <c r="H6075" s="65"/>
      <c r="I6075" s="66"/>
      <c r="J6075" s="125">
        <v>0</v>
      </c>
    </row>
    <row r="6076" spans="1:10" ht="26.25" hidden="1" thickBot="1" x14ac:dyDescent="0.3">
      <c r="A6076" s="247"/>
      <c r="B6076" s="240"/>
      <c r="C6076" s="155" t="s">
        <v>26945</v>
      </c>
      <c r="D6076" s="155" t="s">
        <v>205</v>
      </c>
      <c r="E6076" s="130">
        <v>1</v>
      </c>
      <c r="F6076" s="28">
        <v>25.364999999999998</v>
      </c>
      <c r="G6076" s="49">
        <f>IF(ISNUMBER(F6076),E6076*F6076,"")</f>
        <v>25.364999999999998</v>
      </c>
      <c r="H6076" s="35">
        <f>SUM(G6076:G6076)</f>
        <v>25.364999999999998</v>
      </c>
      <c r="I6076" s="36"/>
      <c r="J6076" s="125">
        <v>0</v>
      </c>
    </row>
    <row r="6077" spans="1:10" ht="15.75" hidden="1" thickBot="1" x14ac:dyDescent="0.3">
      <c r="A6077" s="248"/>
      <c r="B6077" s="239"/>
      <c r="C6077" s="164"/>
      <c r="D6077" s="132"/>
      <c r="E6077" s="61"/>
      <c r="F6077" s="68" t="s">
        <v>418</v>
      </c>
      <c r="G6077" s="68" t="str">
        <f>IF(ISNUMBER(F6077),E6077*F6077,"")</f>
        <v/>
      </c>
      <c r="H6077" s="69"/>
      <c r="I6077" s="66"/>
      <c r="J6077" s="125">
        <v>0</v>
      </c>
    </row>
    <row r="6078" spans="1:10" ht="15.75" hidden="1" thickBot="1" x14ac:dyDescent="0.3">
      <c r="A6078" s="241" t="s">
        <v>13296</v>
      </c>
      <c r="B6078" s="237" t="s">
        <v>13071</v>
      </c>
      <c r="C6078" s="160"/>
      <c r="D6078" s="23" t="s">
        <v>16</v>
      </c>
      <c r="E6078" s="24"/>
      <c r="F6078" s="44" t="s">
        <v>418</v>
      </c>
      <c r="G6078" s="25" t="str">
        <f>IF(ISNUMBER(F6078),E6078*F6078,"")</f>
        <v/>
      </c>
      <c r="H6078" s="26"/>
      <c r="I6078" s="27"/>
      <c r="J6078" s="125">
        <v>0</v>
      </c>
    </row>
    <row r="6079" spans="1:10" ht="15.75" hidden="1" thickBot="1" x14ac:dyDescent="0.3">
      <c r="A6079" s="247"/>
      <c r="B6079" s="240"/>
      <c r="C6079" s="135"/>
      <c r="D6079" s="135"/>
      <c r="E6079" s="136"/>
      <c r="F6079" s="49" t="s">
        <v>418</v>
      </c>
      <c r="G6079" s="49" t="str">
        <f>IF(ISNUMBER(F6079),E6079*F6079,"")</f>
        <v/>
      </c>
      <c r="H6079" s="65"/>
      <c r="I6079" s="66"/>
      <c r="J6079" s="125">
        <v>0</v>
      </c>
    </row>
    <row r="6080" spans="1:10" ht="39" hidden="1" thickBot="1" x14ac:dyDescent="0.3">
      <c r="A6080" s="247"/>
      <c r="B6080" s="240"/>
      <c r="C6080" s="155" t="s">
        <v>27156</v>
      </c>
      <c r="D6080" s="155" t="s">
        <v>205</v>
      </c>
      <c r="E6080" s="130">
        <v>1</v>
      </c>
      <c r="F6080" s="28">
        <v>135.964</v>
      </c>
      <c r="G6080" s="49">
        <f>IF(ISNUMBER(F6080),E6080*F6080,"")</f>
        <v>135.964</v>
      </c>
      <c r="H6080" s="35">
        <f>SUM(G6080:G6080)</f>
        <v>135.964</v>
      </c>
      <c r="I6080" s="36"/>
      <c r="J6080" s="125">
        <v>0</v>
      </c>
    </row>
    <row r="6081" spans="1:10" ht="15.75" hidden="1" thickBot="1" x14ac:dyDescent="0.3">
      <c r="A6081" s="248"/>
      <c r="B6081" s="239"/>
      <c r="C6081" s="164"/>
      <c r="D6081" s="132"/>
      <c r="E6081" s="61"/>
      <c r="F6081" s="68" t="s">
        <v>418</v>
      </c>
      <c r="G6081" s="68" t="str">
        <f>IF(ISNUMBER(F6081),E6081*F6081,"")</f>
        <v/>
      </c>
      <c r="H6081" s="69"/>
      <c r="I6081" s="66"/>
      <c r="J6081" s="125">
        <v>0</v>
      </c>
    </row>
    <row r="6082" spans="1:10" ht="15.75" hidden="1" thickBot="1" x14ac:dyDescent="0.3">
      <c r="A6082" s="241" t="s">
        <v>13297</v>
      </c>
      <c r="B6082" s="237" t="s">
        <v>13072</v>
      </c>
      <c r="C6082" s="160"/>
      <c r="D6082" s="23" t="s">
        <v>16</v>
      </c>
      <c r="E6082" s="24"/>
      <c r="F6082" s="44" t="s">
        <v>418</v>
      </c>
      <c r="G6082" s="25" t="str">
        <f>IF(ISNUMBER(F6082),E6082*F6082,"")</f>
        <v/>
      </c>
      <c r="H6082" s="26"/>
      <c r="I6082" s="27"/>
      <c r="J6082" s="125">
        <v>0</v>
      </c>
    </row>
    <row r="6083" spans="1:10" ht="15.75" hidden="1" thickBot="1" x14ac:dyDescent="0.3">
      <c r="A6083" s="247"/>
      <c r="B6083" s="240"/>
      <c r="C6083" s="135"/>
      <c r="D6083" s="135"/>
      <c r="E6083" s="136"/>
      <c r="F6083" s="49" t="s">
        <v>418</v>
      </c>
      <c r="G6083" s="49" t="str">
        <f>IF(ISNUMBER(F6083),E6083*F6083,"")</f>
        <v/>
      </c>
      <c r="H6083" s="65"/>
      <c r="I6083" s="66"/>
      <c r="J6083" s="125">
        <v>0</v>
      </c>
    </row>
    <row r="6084" spans="1:10" ht="39" hidden="1" thickBot="1" x14ac:dyDescent="0.3">
      <c r="A6084" s="247"/>
      <c r="B6084" s="240"/>
      <c r="C6084" s="155" t="s">
        <v>27157</v>
      </c>
      <c r="D6084" s="155" t="s">
        <v>205</v>
      </c>
      <c r="E6084" s="130">
        <v>1</v>
      </c>
      <c r="F6084" s="28">
        <v>251.90200000000002</v>
      </c>
      <c r="G6084" s="49">
        <f>IF(ISNUMBER(F6084),E6084*F6084,"")</f>
        <v>251.90200000000002</v>
      </c>
      <c r="H6084" s="35">
        <f>SUM(G6084:G6084)</f>
        <v>251.90200000000002</v>
      </c>
      <c r="I6084" s="36"/>
      <c r="J6084" s="125">
        <v>0</v>
      </c>
    </row>
    <row r="6085" spans="1:10" ht="15.75" hidden="1" thickBot="1" x14ac:dyDescent="0.3">
      <c r="A6085" s="248"/>
      <c r="B6085" s="239"/>
      <c r="C6085" s="164"/>
      <c r="D6085" s="132"/>
      <c r="E6085" s="61"/>
      <c r="F6085" s="68" t="s">
        <v>418</v>
      </c>
      <c r="G6085" s="68" t="str">
        <f>IF(ISNUMBER(F6085),E6085*F6085,"")</f>
        <v/>
      </c>
      <c r="H6085" s="69"/>
      <c r="I6085" s="66"/>
      <c r="J6085" s="125">
        <v>0</v>
      </c>
    </row>
    <row r="6086" spans="1:10" ht="15.75" hidden="1" thickBot="1" x14ac:dyDescent="0.3">
      <c r="A6086" s="241" t="s">
        <v>13298</v>
      </c>
      <c r="B6086" s="237" t="s">
        <v>13073</v>
      </c>
      <c r="C6086" s="160"/>
      <c r="D6086" s="23" t="s">
        <v>16</v>
      </c>
      <c r="E6086" s="24"/>
      <c r="F6086" s="44" t="s">
        <v>418</v>
      </c>
      <c r="G6086" s="25" t="str">
        <f>IF(ISNUMBER(F6086),E6086*F6086,"")</f>
        <v/>
      </c>
      <c r="H6086" s="26"/>
      <c r="I6086" s="27"/>
      <c r="J6086" s="125">
        <v>0</v>
      </c>
    </row>
    <row r="6087" spans="1:10" ht="15.75" hidden="1" thickBot="1" x14ac:dyDescent="0.3">
      <c r="A6087" s="247"/>
      <c r="B6087" s="240"/>
      <c r="C6087" s="135"/>
      <c r="D6087" s="135"/>
      <c r="E6087" s="136"/>
      <c r="F6087" s="49" t="s">
        <v>418</v>
      </c>
      <c r="G6087" s="49" t="str">
        <f>IF(ISNUMBER(F6087),E6087*F6087,"")</f>
        <v/>
      </c>
      <c r="H6087" s="65"/>
      <c r="I6087" s="66"/>
      <c r="J6087" s="125">
        <v>0</v>
      </c>
    </row>
    <row r="6088" spans="1:10" ht="39" hidden="1" thickBot="1" x14ac:dyDescent="0.3">
      <c r="A6088" s="247"/>
      <c r="B6088" s="240"/>
      <c r="C6088" s="155" t="s">
        <v>27158</v>
      </c>
      <c r="D6088" s="155" t="s">
        <v>205</v>
      </c>
      <c r="E6088" s="130">
        <v>1</v>
      </c>
      <c r="F6088" s="28">
        <v>545.92699999999991</v>
      </c>
      <c r="G6088" s="49">
        <f>IF(ISNUMBER(F6088),E6088*F6088,"")</f>
        <v>545.92699999999991</v>
      </c>
      <c r="H6088" s="35">
        <f>SUM(G6088:G6088)</f>
        <v>545.92699999999991</v>
      </c>
      <c r="I6088" s="36"/>
      <c r="J6088" s="125">
        <v>0</v>
      </c>
    </row>
    <row r="6089" spans="1:10" ht="15.75" hidden="1" thickBot="1" x14ac:dyDescent="0.3">
      <c r="A6089" s="248"/>
      <c r="B6089" s="239"/>
      <c r="C6089" s="164"/>
      <c r="D6089" s="132"/>
      <c r="E6089" s="61"/>
      <c r="F6089" s="68" t="s">
        <v>418</v>
      </c>
      <c r="G6089" s="68" t="str">
        <f>IF(ISNUMBER(F6089),E6089*F6089,"")</f>
        <v/>
      </c>
      <c r="H6089" s="69"/>
      <c r="I6089" s="66"/>
      <c r="J6089" s="125">
        <v>0</v>
      </c>
    </row>
    <row r="6090" spans="1:10" ht="15.75" hidden="1" thickBot="1" x14ac:dyDescent="0.3">
      <c r="A6090" s="241" t="s">
        <v>13299</v>
      </c>
      <c r="B6090" s="237" t="s">
        <v>13074</v>
      </c>
      <c r="C6090" s="160"/>
      <c r="D6090" s="23" t="s">
        <v>16</v>
      </c>
      <c r="E6090" s="24"/>
      <c r="F6090" s="44" t="s">
        <v>418</v>
      </c>
      <c r="G6090" s="25" t="str">
        <f>IF(ISNUMBER(F6090),E6090*F6090,"")</f>
        <v/>
      </c>
      <c r="H6090" s="26"/>
      <c r="I6090" s="27"/>
      <c r="J6090" s="125">
        <v>0</v>
      </c>
    </row>
    <row r="6091" spans="1:10" ht="15.75" hidden="1" thickBot="1" x14ac:dyDescent="0.3">
      <c r="A6091" s="247"/>
      <c r="B6091" s="240"/>
      <c r="C6091" s="135"/>
      <c r="D6091" s="135"/>
      <c r="E6091" s="136"/>
      <c r="F6091" s="49" t="s">
        <v>418</v>
      </c>
      <c r="G6091" s="49" t="str">
        <f>IF(ISNUMBER(F6091),E6091*F6091,"")</f>
        <v/>
      </c>
      <c r="H6091" s="65"/>
      <c r="I6091" s="66"/>
      <c r="J6091" s="125">
        <v>0</v>
      </c>
    </row>
    <row r="6092" spans="1:10" ht="39" hidden="1" thickBot="1" x14ac:dyDescent="0.3">
      <c r="A6092" s="247"/>
      <c r="B6092" s="240"/>
      <c r="C6092" s="155" t="s">
        <v>27358</v>
      </c>
      <c r="D6092" s="155" t="s">
        <v>205</v>
      </c>
      <c r="E6092" s="130">
        <v>1</v>
      </c>
      <c r="F6092" s="28">
        <v>69.454499999999996</v>
      </c>
      <c r="G6092" s="49">
        <f>IF(ISNUMBER(F6092),E6092*F6092,"")</f>
        <v>69.454499999999996</v>
      </c>
      <c r="H6092" s="35">
        <f>SUM(G6092:G6092)</f>
        <v>69.454499999999996</v>
      </c>
      <c r="I6092" s="36"/>
      <c r="J6092" s="125">
        <v>0</v>
      </c>
    </row>
    <row r="6093" spans="1:10" ht="15.75" hidden="1" thickBot="1" x14ac:dyDescent="0.3">
      <c r="A6093" s="248"/>
      <c r="B6093" s="239"/>
      <c r="C6093" s="164"/>
      <c r="D6093" s="132"/>
      <c r="E6093" s="61"/>
      <c r="F6093" s="68" t="s">
        <v>418</v>
      </c>
      <c r="G6093" s="68" t="str">
        <f>IF(ISNUMBER(F6093),E6093*F6093,"")</f>
        <v/>
      </c>
      <c r="H6093" s="69"/>
      <c r="I6093" s="66"/>
      <c r="J6093" s="125">
        <v>0</v>
      </c>
    </row>
    <row r="6094" spans="1:10" ht="15.75" hidden="1" thickBot="1" x14ac:dyDescent="0.3">
      <c r="A6094" s="241" t="s">
        <v>13300</v>
      </c>
      <c r="B6094" s="237" t="s">
        <v>13075</v>
      </c>
      <c r="C6094" s="160"/>
      <c r="D6094" s="23" t="s">
        <v>16</v>
      </c>
      <c r="E6094" s="24"/>
      <c r="F6094" s="44" t="s">
        <v>418</v>
      </c>
      <c r="G6094" s="25" t="str">
        <f>IF(ISNUMBER(F6094),E6094*F6094,"")</f>
        <v/>
      </c>
      <c r="H6094" s="26"/>
      <c r="I6094" s="27"/>
      <c r="J6094" s="125">
        <v>0</v>
      </c>
    </row>
    <row r="6095" spans="1:10" ht="15.75" hidden="1" thickBot="1" x14ac:dyDescent="0.3">
      <c r="A6095" s="247"/>
      <c r="B6095" s="240"/>
      <c r="C6095" s="135"/>
      <c r="D6095" s="135"/>
      <c r="E6095" s="136"/>
      <c r="F6095" s="49" t="s">
        <v>418</v>
      </c>
      <c r="G6095" s="49" t="str">
        <f>IF(ISNUMBER(F6095),E6095*F6095,"")</f>
        <v/>
      </c>
      <c r="H6095" s="65"/>
      <c r="I6095" s="66"/>
      <c r="J6095" s="125">
        <v>0</v>
      </c>
    </row>
    <row r="6096" spans="1:10" ht="26.25" hidden="1" thickBot="1" x14ac:dyDescent="0.3">
      <c r="A6096" s="247"/>
      <c r="B6096" s="240"/>
      <c r="C6096" s="155" t="s">
        <v>38844</v>
      </c>
      <c r="D6096" s="155" t="s">
        <v>205</v>
      </c>
      <c r="E6096" s="130">
        <v>1</v>
      </c>
      <c r="F6096" s="28">
        <v>39.567499999999995</v>
      </c>
      <c r="G6096" s="49">
        <f>IF(ISNUMBER(F6096),E6096*F6096,"")</f>
        <v>39.567499999999995</v>
      </c>
      <c r="H6096" s="35">
        <f>SUM(G6096:G6096)</f>
        <v>39.567499999999995</v>
      </c>
      <c r="I6096" s="36"/>
      <c r="J6096" s="125">
        <v>0</v>
      </c>
    </row>
    <row r="6097" spans="1:10" ht="15.75" hidden="1" thickBot="1" x14ac:dyDescent="0.3">
      <c r="A6097" s="248"/>
      <c r="B6097" s="239"/>
      <c r="C6097" s="164"/>
      <c r="D6097" s="132"/>
      <c r="E6097" s="61"/>
      <c r="F6097" s="68" t="s">
        <v>418</v>
      </c>
      <c r="G6097" s="68" t="str">
        <f>IF(ISNUMBER(F6097),E6097*F6097,"")</f>
        <v/>
      </c>
      <c r="H6097" s="69"/>
      <c r="I6097" s="66"/>
      <c r="J6097" s="125">
        <v>0</v>
      </c>
    </row>
    <row r="6098" spans="1:10" ht="15.75" hidden="1" thickBot="1" x14ac:dyDescent="0.3">
      <c r="A6098" s="241" t="s">
        <v>13301</v>
      </c>
      <c r="B6098" s="237" t="s">
        <v>13076</v>
      </c>
      <c r="C6098" s="160"/>
      <c r="D6098" s="23" t="s">
        <v>16</v>
      </c>
      <c r="E6098" s="24"/>
      <c r="F6098" s="44" t="s">
        <v>418</v>
      </c>
      <c r="G6098" s="25" t="str">
        <f>IF(ISNUMBER(F6098),E6098*F6098,"")</f>
        <v/>
      </c>
      <c r="H6098" s="26"/>
      <c r="I6098" s="27"/>
      <c r="J6098" s="125">
        <v>0</v>
      </c>
    </row>
    <row r="6099" spans="1:10" ht="15.75" hidden="1" thickBot="1" x14ac:dyDescent="0.3">
      <c r="A6099" s="247"/>
      <c r="B6099" s="240"/>
      <c r="C6099" s="135"/>
      <c r="D6099" s="135"/>
      <c r="E6099" s="136"/>
      <c r="F6099" s="49" t="s">
        <v>418</v>
      </c>
      <c r="G6099" s="49" t="str">
        <f>IF(ISNUMBER(F6099),E6099*F6099,"")</f>
        <v/>
      </c>
      <c r="H6099" s="65"/>
      <c r="I6099" s="66"/>
      <c r="J6099" s="125">
        <v>0</v>
      </c>
    </row>
    <row r="6100" spans="1:10" ht="39" hidden="1" thickBot="1" x14ac:dyDescent="0.3">
      <c r="A6100" s="247"/>
      <c r="B6100" s="240"/>
      <c r="C6100" s="155" t="s">
        <v>26701</v>
      </c>
      <c r="D6100" s="155" t="s">
        <v>205</v>
      </c>
      <c r="E6100" s="130">
        <v>1</v>
      </c>
      <c r="F6100" s="28">
        <v>122.94899999999998</v>
      </c>
      <c r="G6100" s="49">
        <f>IF(ISNUMBER(F6100),E6100*F6100,"")</f>
        <v>122.94899999999998</v>
      </c>
      <c r="H6100" s="35">
        <f>SUM(G6100:G6100)</f>
        <v>122.94899999999998</v>
      </c>
      <c r="I6100" s="36"/>
      <c r="J6100" s="125">
        <v>0</v>
      </c>
    </row>
    <row r="6101" spans="1:10" ht="15.75" hidden="1" thickBot="1" x14ac:dyDescent="0.3">
      <c r="A6101" s="248"/>
      <c r="B6101" s="239"/>
      <c r="C6101" s="164"/>
      <c r="D6101" s="132"/>
      <c r="E6101" s="61"/>
      <c r="F6101" s="68" t="s">
        <v>418</v>
      </c>
      <c r="G6101" s="68" t="str">
        <f>IF(ISNUMBER(F6101),E6101*F6101,"")</f>
        <v/>
      </c>
      <c r="H6101" s="69"/>
      <c r="I6101" s="66"/>
      <c r="J6101" s="125">
        <v>0</v>
      </c>
    </row>
    <row r="6102" spans="1:10" s="169" customFormat="1" ht="15.75" hidden="1" thickBot="1" x14ac:dyDescent="0.3">
      <c r="A6102" s="241" t="s">
        <v>13302</v>
      </c>
      <c r="B6102" s="237" t="s">
        <v>13077</v>
      </c>
      <c r="C6102" s="160"/>
      <c r="D6102" s="145" t="s">
        <v>16</v>
      </c>
      <c r="E6102" s="146"/>
      <c r="F6102" s="44" t="s">
        <v>418</v>
      </c>
      <c r="G6102" s="147" t="str">
        <f>IF(ISNUMBER(F6102),E6102*F6102,"")</f>
        <v/>
      </c>
      <c r="H6102" s="148"/>
      <c r="I6102" s="149"/>
      <c r="J6102" s="125">
        <v>0</v>
      </c>
    </row>
    <row r="6103" spans="1:10" s="169" customFormat="1" ht="15.75" hidden="1" thickBot="1" x14ac:dyDescent="0.3">
      <c r="A6103" s="247"/>
      <c r="B6103" s="240"/>
      <c r="C6103" s="135"/>
      <c r="D6103" s="135"/>
      <c r="E6103" s="136"/>
      <c r="F6103" s="49" t="s">
        <v>418</v>
      </c>
      <c r="G6103" s="49" t="str">
        <f>IF(ISNUMBER(F6103),E6103*F6103,"")</f>
        <v/>
      </c>
      <c r="H6103" s="65"/>
      <c r="I6103" s="66"/>
      <c r="J6103" s="125">
        <v>0</v>
      </c>
    </row>
    <row r="6104" spans="1:10" s="169" customFormat="1" ht="26.25" hidden="1" thickBot="1" x14ac:dyDescent="0.3">
      <c r="A6104" s="247"/>
      <c r="B6104" s="240"/>
      <c r="C6104" s="155" t="s">
        <v>26511</v>
      </c>
      <c r="D6104" s="155" t="s">
        <v>205</v>
      </c>
      <c r="E6104" s="130">
        <v>1</v>
      </c>
      <c r="F6104" s="28">
        <v>6.9444999999999997</v>
      </c>
      <c r="G6104" s="49">
        <f>IF(ISNUMBER(F6104),E6104*F6104,"")</f>
        <v>6.9444999999999997</v>
      </c>
      <c r="H6104" s="35">
        <f>SUM(G6104:G6104)</f>
        <v>6.9444999999999997</v>
      </c>
      <c r="I6104" s="36"/>
      <c r="J6104" s="125">
        <v>0</v>
      </c>
    </row>
    <row r="6105" spans="1:10" s="169" customFormat="1" ht="15.75" hidden="1" thickBot="1" x14ac:dyDescent="0.3">
      <c r="A6105" s="248"/>
      <c r="B6105" s="239"/>
      <c r="C6105" s="164"/>
      <c r="D6105" s="132"/>
      <c r="E6105" s="165"/>
      <c r="F6105" s="68" t="s">
        <v>418</v>
      </c>
      <c r="G6105" s="68" t="str">
        <f>IF(ISNUMBER(F6105),E6105*F6105,"")</f>
        <v/>
      </c>
      <c r="H6105" s="69"/>
      <c r="I6105" s="66"/>
      <c r="J6105" s="125">
        <v>0</v>
      </c>
    </row>
    <row r="6106" spans="1:10" s="169" customFormat="1" ht="15.75" hidden="1" thickBot="1" x14ac:dyDescent="0.3">
      <c r="A6106" s="241" t="s">
        <v>13303</v>
      </c>
      <c r="B6106" s="237" t="s">
        <v>13078</v>
      </c>
      <c r="C6106" s="160"/>
      <c r="D6106" s="145" t="s">
        <v>16</v>
      </c>
      <c r="E6106" s="146"/>
      <c r="F6106" s="44" t="s">
        <v>418</v>
      </c>
      <c r="G6106" s="147" t="str">
        <f>IF(ISNUMBER(F6106),E6106*F6106,"")</f>
        <v/>
      </c>
      <c r="H6106" s="148"/>
      <c r="I6106" s="149"/>
      <c r="J6106" s="125">
        <v>0</v>
      </c>
    </row>
    <row r="6107" spans="1:10" s="169" customFormat="1" ht="15.75" hidden="1" thickBot="1" x14ac:dyDescent="0.3">
      <c r="A6107" s="247"/>
      <c r="B6107" s="240"/>
      <c r="C6107" s="135"/>
      <c r="D6107" s="135"/>
      <c r="E6107" s="136"/>
      <c r="F6107" s="49" t="s">
        <v>418</v>
      </c>
      <c r="G6107" s="49" t="str">
        <f>IF(ISNUMBER(F6107),E6107*F6107,"")</f>
        <v/>
      </c>
      <c r="H6107" s="65"/>
      <c r="I6107" s="66"/>
      <c r="J6107" s="125">
        <v>0</v>
      </c>
    </row>
    <row r="6108" spans="1:10" s="169" customFormat="1" ht="26.25" hidden="1" thickBot="1" x14ac:dyDescent="0.3">
      <c r="A6108" s="247"/>
      <c r="B6108" s="240"/>
      <c r="C6108" s="155" t="s">
        <v>26512</v>
      </c>
      <c r="D6108" s="155" t="s">
        <v>205</v>
      </c>
      <c r="E6108" s="130">
        <v>1</v>
      </c>
      <c r="F6108" s="28">
        <v>12.530499999999998</v>
      </c>
      <c r="G6108" s="49">
        <f>IF(ISNUMBER(F6108),E6108*F6108,"")</f>
        <v>12.530499999999998</v>
      </c>
      <c r="H6108" s="35">
        <f>SUM(G6108:G6108)</f>
        <v>12.530499999999998</v>
      </c>
      <c r="I6108" s="36"/>
      <c r="J6108" s="125">
        <v>0</v>
      </c>
    </row>
    <row r="6109" spans="1:10" s="169" customFormat="1" ht="15.75" hidden="1" thickBot="1" x14ac:dyDescent="0.3">
      <c r="A6109" s="248"/>
      <c r="B6109" s="239"/>
      <c r="C6109" s="164"/>
      <c r="D6109" s="132"/>
      <c r="E6109" s="165"/>
      <c r="F6109" s="68" t="s">
        <v>418</v>
      </c>
      <c r="G6109" s="68" t="str">
        <f>IF(ISNUMBER(F6109),E6109*F6109,"")</f>
        <v/>
      </c>
      <c r="H6109" s="69"/>
      <c r="I6109" s="66"/>
      <c r="J6109" s="125">
        <v>0</v>
      </c>
    </row>
    <row r="6110" spans="1:10" ht="15.75" hidden="1" thickBot="1" x14ac:dyDescent="0.3">
      <c r="A6110" s="241" t="s">
        <v>13304</v>
      </c>
      <c r="B6110" s="237" t="s">
        <v>19661</v>
      </c>
      <c r="C6110" s="160"/>
      <c r="D6110" s="23" t="s">
        <v>16</v>
      </c>
      <c r="E6110" s="24"/>
      <c r="F6110" s="44" t="s">
        <v>418</v>
      </c>
      <c r="G6110" s="25" t="str">
        <f>IF(ISNUMBER(F6110),E6110*F6110,"")</f>
        <v/>
      </c>
      <c r="H6110" s="26"/>
      <c r="I6110" s="27"/>
      <c r="J6110" s="125">
        <v>0</v>
      </c>
    </row>
    <row r="6111" spans="1:10" ht="15.75" hidden="1" thickBot="1" x14ac:dyDescent="0.3">
      <c r="A6111" s="247"/>
      <c r="B6111" s="240"/>
      <c r="C6111" s="135"/>
      <c r="D6111" s="135"/>
      <c r="E6111" s="136"/>
      <c r="F6111" s="49" t="s">
        <v>418</v>
      </c>
      <c r="G6111" s="49" t="str">
        <f>IF(ISNUMBER(F6111),E6111*F6111,"")</f>
        <v/>
      </c>
      <c r="H6111" s="65"/>
      <c r="I6111" s="66"/>
      <c r="J6111" s="125">
        <v>0</v>
      </c>
    </row>
    <row r="6112" spans="1:10" ht="15.75" hidden="1" thickBot="1" x14ac:dyDescent="0.3">
      <c r="A6112" s="247"/>
      <c r="B6112" s="240"/>
      <c r="C6112" s="155" t="s">
        <v>26457</v>
      </c>
      <c r="D6112" s="155" t="s">
        <v>385</v>
      </c>
      <c r="E6112" s="130">
        <v>3</v>
      </c>
      <c r="F6112" s="28">
        <v>58.624499999999998</v>
      </c>
      <c r="G6112" s="49">
        <f>IF(ISNUMBER(F6112),E6112*F6112,"")</f>
        <v>175.87349999999998</v>
      </c>
      <c r="H6112" s="35">
        <f>SUM(G6112:G6112)</f>
        <v>175.87349999999998</v>
      </c>
      <c r="I6112" s="36"/>
      <c r="J6112" s="125">
        <v>0</v>
      </c>
    </row>
    <row r="6113" spans="1:10" ht="15.75" hidden="1" thickBot="1" x14ac:dyDescent="0.3">
      <c r="A6113" s="248"/>
      <c r="B6113" s="239"/>
      <c r="C6113" s="164"/>
      <c r="D6113" s="132"/>
      <c r="E6113" s="61"/>
      <c r="F6113" s="68" t="s">
        <v>418</v>
      </c>
      <c r="G6113" s="68" t="str">
        <f>IF(ISNUMBER(F6113),E6113*F6113,"")</f>
        <v/>
      </c>
      <c r="H6113" s="69"/>
      <c r="I6113" s="66"/>
      <c r="J6113" s="125">
        <v>0</v>
      </c>
    </row>
    <row r="6114" spans="1:10" ht="15.75" hidden="1" thickBot="1" x14ac:dyDescent="0.3">
      <c r="A6114" s="241" t="s">
        <v>13306</v>
      </c>
      <c r="B6114" s="237" t="s">
        <v>13080</v>
      </c>
      <c r="C6114" s="160"/>
      <c r="D6114" s="23" t="s">
        <v>16</v>
      </c>
      <c r="E6114" s="24"/>
      <c r="F6114" s="44" t="s">
        <v>418</v>
      </c>
      <c r="G6114" s="25" t="str">
        <f>IF(ISNUMBER(F6114),E6114*F6114,"")</f>
        <v/>
      </c>
      <c r="H6114" s="26"/>
      <c r="I6114" s="27"/>
      <c r="J6114" s="125">
        <v>0</v>
      </c>
    </row>
    <row r="6115" spans="1:10" ht="15.75" hidden="1" thickBot="1" x14ac:dyDescent="0.3">
      <c r="A6115" s="247"/>
      <c r="B6115" s="240"/>
      <c r="C6115" s="135"/>
      <c r="D6115" s="135"/>
      <c r="E6115" s="136"/>
      <c r="F6115" s="49" t="s">
        <v>418</v>
      </c>
      <c r="G6115" s="49" t="str">
        <f>IF(ISNUMBER(F6115),E6115*F6115,"")</f>
        <v/>
      </c>
      <c r="H6115" s="65"/>
      <c r="I6115" s="66"/>
      <c r="J6115" s="125">
        <v>0</v>
      </c>
    </row>
    <row r="6116" spans="1:10" ht="26.25" hidden="1" thickBot="1" x14ac:dyDescent="0.3">
      <c r="A6116" s="247"/>
      <c r="B6116" s="240"/>
      <c r="C6116" s="155" t="s">
        <v>27421</v>
      </c>
      <c r="D6116" s="155" t="s">
        <v>205</v>
      </c>
      <c r="E6116" s="130">
        <v>1</v>
      </c>
      <c r="F6116" s="28">
        <v>4.8449999999999998</v>
      </c>
      <c r="G6116" s="49">
        <f>IF(ISNUMBER(F6116),E6116*F6116,"")</f>
        <v>4.8449999999999998</v>
      </c>
      <c r="H6116" s="35">
        <f>SUM(G6116:G6116)</f>
        <v>4.8449999999999998</v>
      </c>
      <c r="I6116" s="36"/>
      <c r="J6116" s="125">
        <v>0</v>
      </c>
    </row>
    <row r="6117" spans="1:10" ht="15.75" hidden="1" thickBot="1" x14ac:dyDescent="0.3">
      <c r="A6117" s="248"/>
      <c r="B6117" s="239"/>
      <c r="C6117" s="164"/>
      <c r="D6117" s="132"/>
      <c r="E6117" s="61"/>
      <c r="F6117" s="68" t="s">
        <v>418</v>
      </c>
      <c r="G6117" s="68" t="str">
        <f>IF(ISNUMBER(F6117),E6117*F6117,"")</f>
        <v/>
      </c>
      <c r="H6117" s="69"/>
      <c r="I6117" s="66"/>
      <c r="J6117" s="125">
        <v>0</v>
      </c>
    </row>
    <row r="6118" spans="1:10" s="144" customFormat="1" ht="15.75" hidden="1" thickBot="1" x14ac:dyDescent="0.3">
      <c r="A6118" s="241" t="s">
        <v>13305</v>
      </c>
      <c r="B6118" s="237" t="s">
        <v>13079</v>
      </c>
      <c r="C6118" s="160"/>
      <c r="D6118" s="145" t="s">
        <v>13152</v>
      </c>
      <c r="E6118" s="146"/>
      <c r="F6118" s="44" t="s">
        <v>418</v>
      </c>
      <c r="G6118" s="147" t="str">
        <f>IF(ISNUMBER(F6118),E6118*F6118,"")</f>
        <v/>
      </c>
      <c r="H6118" s="148"/>
      <c r="I6118" s="149"/>
      <c r="J6118" s="125">
        <v>0</v>
      </c>
    </row>
    <row r="6119" spans="1:10" s="144" customFormat="1" ht="15.75" hidden="1" thickBot="1" x14ac:dyDescent="0.3">
      <c r="A6119" s="247"/>
      <c r="B6119" s="240"/>
      <c r="C6119" s="135"/>
      <c r="D6119" s="135"/>
      <c r="E6119" s="136"/>
      <c r="F6119" s="49" t="s">
        <v>418</v>
      </c>
      <c r="G6119" s="49" t="str">
        <f>IF(ISNUMBER(F6119),E6119*F6119,"")</f>
        <v/>
      </c>
      <c r="H6119" s="65"/>
      <c r="I6119" s="66"/>
      <c r="J6119" s="125">
        <v>0</v>
      </c>
    </row>
    <row r="6120" spans="1:10" s="144" customFormat="1" ht="26.25" hidden="1" thickBot="1" x14ac:dyDescent="0.3">
      <c r="A6120" s="247"/>
      <c r="B6120" s="240"/>
      <c r="C6120" s="155" t="s">
        <v>652</v>
      </c>
      <c r="D6120" s="155" t="s">
        <v>774</v>
      </c>
      <c r="E6120" s="130">
        <v>1</v>
      </c>
      <c r="F6120" s="28">
        <v>51.841499999999996</v>
      </c>
      <c r="G6120" s="49">
        <f>IF(ISNUMBER(F6120),E6120*F6120,"")</f>
        <v>51.841499999999996</v>
      </c>
      <c r="H6120" s="35">
        <f>SUM(G6120:G6120)</f>
        <v>51.841499999999996</v>
      </c>
      <c r="I6120" s="36"/>
      <c r="J6120" s="125">
        <v>0</v>
      </c>
    </row>
    <row r="6121" spans="1:10" s="144" customFormat="1" ht="15.75" hidden="1" thickBot="1" x14ac:dyDescent="0.3">
      <c r="A6121" s="248"/>
      <c r="B6121" s="239"/>
      <c r="C6121" s="164"/>
      <c r="D6121" s="132"/>
      <c r="E6121" s="165"/>
      <c r="F6121" s="68" t="s">
        <v>418</v>
      </c>
      <c r="G6121" s="68" t="str">
        <f>IF(ISNUMBER(F6121),E6121*F6121,"")</f>
        <v/>
      </c>
      <c r="H6121" s="69"/>
      <c r="I6121" s="66"/>
      <c r="J6121" s="125">
        <v>0</v>
      </c>
    </row>
    <row r="6122" spans="1:10" ht="15.75" hidden="1" thickBot="1" x14ac:dyDescent="0.3">
      <c r="A6122" s="241" t="s">
        <v>13307</v>
      </c>
      <c r="B6122" s="237" t="s">
        <v>13081</v>
      </c>
      <c r="C6122" s="160"/>
      <c r="D6122" s="23" t="s">
        <v>16</v>
      </c>
      <c r="E6122" s="24"/>
      <c r="F6122" s="44" t="s">
        <v>418</v>
      </c>
      <c r="G6122" s="25" t="str">
        <f>IF(ISNUMBER(F6122),E6122*F6122,"")</f>
        <v/>
      </c>
      <c r="H6122" s="26"/>
      <c r="I6122" s="27"/>
      <c r="J6122" s="125">
        <v>0</v>
      </c>
    </row>
    <row r="6123" spans="1:10" ht="15.75" hidden="1" thickBot="1" x14ac:dyDescent="0.3">
      <c r="A6123" s="247"/>
      <c r="B6123" s="240"/>
      <c r="C6123" s="135"/>
      <c r="D6123" s="135"/>
      <c r="E6123" s="136"/>
      <c r="F6123" s="49" t="s">
        <v>418</v>
      </c>
      <c r="G6123" s="49" t="str">
        <f>IF(ISNUMBER(F6123),E6123*F6123,"")</f>
        <v/>
      </c>
      <c r="H6123" s="65"/>
      <c r="I6123" s="66"/>
      <c r="J6123" s="125">
        <v>0</v>
      </c>
    </row>
    <row r="6124" spans="1:10" ht="39" hidden="1" thickBot="1" x14ac:dyDescent="0.3">
      <c r="A6124" s="247"/>
      <c r="B6124" s="240"/>
      <c r="C6124" s="155" t="s">
        <v>27467</v>
      </c>
      <c r="D6124" s="155" t="s">
        <v>205</v>
      </c>
      <c r="E6124" s="130">
        <v>1</v>
      </c>
      <c r="F6124" s="28">
        <v>732.31700000000001</v>
      </c>
      <c r="G6124" s="49">
        <f>IF(ISNUMBER(F6124),E6124*F6124,"")</f>
        <v>732.31700000000001</v>
      </c>
      <c r="H6124" s="35">
        <f>SUM(G6124:G6124)</f>
        <v>732.31700000000001</v>
      </c>
      <c r="I6124" s="36"/>
      <c r="J6124" s="125">
        <v>0</v>
      </c>
    </row>
    <row r="6125" spans="1:10" ht="15.75" hidden="1" thickBot="1" x14ac:dyDescent="0.3">
      <c r="A6125" s="248"/>
      <c r="B6125" s="239"/>
      <c r="C6125" s="164"/>
      <c r="D6125" s="132"/>
      <c r="E6125" s="61"/>
      <c r="F6125" s="68" t="s">
        <v>418</v>
      </c>
      <c r="G6125" s="68" t="str">
        <f>IF(ISNUMBER(F6125),E6125*F6125,"")</f>
        <v/>
      </c>
      <c r="H6125" s="69"/>
      <c r="I6125" s="66"/>
      <c r="J6125" s="125">
        <v>0</v>
      </c>
    </row>
    <row r="6126" spans="1:10" ht="15.75" hidden="1" thickBot="1" x14ac:dyDescent="0.3">
      <c r="A6126" s="241" t="s">
        <v>13308</v>
      </c>
      <c r="B6126" s="237" t="s">
        <v>13082</v>
      </c>
      <c r="C6126" s="160"/>
      <c r="D6126" s="23" t="s">
        <v>16</v>
      </c>
      <c r="E6126" s="24"/>
      <c r="F6126" s="44" t="s">
        <v>418</v>
      </c>
      <c r="G6126" s="25" t="str">
        <f>IF(ISNUMBER(F6126),E6126*F6126,"")</f>
        <v/>
      </c>
      <c r="H6126" s="26"/>
      <c r="I6126" s="27"/>
      <c r="J6126" s="125">
        <v>0</v>
      </c>
    </row>
    <row r="6127" spans="1:10" ht="15.75" hidden="1" thickBot="1" x14ac:dyDescent="0.3">
      <c r="A6127" s="247"/>
      <c r="B6127" s="240"/>
      <c r="C6127" s="135"/>
      <c r="D6127" s="135"/>
      <c r="E6127" s="136"/>
      <c r="F6127" s="49" t="s">
        <v>418</v>
      </c>
      <c r="G6127" s="49" t="str">
        <f>IF(ISNUMBER(F6127),E6127*F6127,"")</f>
        <v/>
      </c>
      <c r="H6127" s="65"/>
      <c r="I6127" s="66"/>
      <c r="J6127" s="125">
        <v>0</v>
      </c>
    </row>
    <row r="6128" spans="1:10" ht="39" hidden="1" thickBot="1" x14ac:dyDescent="0.3">
      <c r="A6128" s="247"/>
      <c r="B6128" s="240"/>
      <c r="C6128" s="155" t="s">
        <v>27466</v>
      </c>
      <c r="D6128" s="155" t="s">
        <v>205</v>
      </c>
      <c r="E6128" s="130">
        <v>1</v>
      </c>
      <c r="F6128" s="28">
        <v>597.63549999999998</v>
      </c>
      <c r="G6128" s="49">
        <f>IF(ISNUMBER(F6128),E6128*F6128,"")</f>
        <v>597.63549999999998</v>
      </c>
      <c r="H6128" s="35">
        <f>SUM(G6128:G6128)</f>
        <v>597.63549999999998</v>
      </c>
      <c r="I6128" s="36"/>
      <c r="J6128" s="125">
        <v>0</v>
      </c>
    </row>
    <row r="6129" spans="1:10" ht="15.75" hidden="1" thickBot="1" x14ac:dyDescent="0.3">
      <c r="A6129" s="248"/>
      <c r="B6129" s="239"/>
      <c r="C6129" s="164"/>
      <c r="D6129" s="132"/>
      <c r="E6129" s="61"/>
      <c r="F6129" s="68" t="s">
        <v>418</v>
      </c>
      <c r="G6129" s="68" t="str">
        <f>IF(ISNUMBER(F6129),E6129*F6129,"")</f>
        <v/>
      </c>
      <c r="H6129" s="69"/>
      <c r="I6129" s="66"/>
      <c r="J6129" s="125">
        <v>0</v>
      </c>
    </row>
    <row r="6130" spans="1:10" ht="15.75" hidden="1" thickBot="1" x14ac:dyDescent="0.3">
      <c r="A6130" s="241" t="s">
        <v>13309</v>
      </c>
      <c r="B6130" s="237" t="s">
        <v>13083</v>
      </c>
      <c r="C6130" s="160"/>
      <c r="D6130" s="23" t="s">
        <v>16</v>
      </c>
      <c r="E6130" s="24"/>
      <c r="F6130" s="44" t="s">
        <v>418</v>
      </c>
      <c r="G6130" s="25" t="str">
        <f>IF(ISNUMBER(F6130),E6130*F6130,"")</f>
        <v/>
      </c>
      <c r="H6130" s="26"/>
      <c r="I6130" s="27"/>
      <c r="J6130" s="125">
        <v>0</v>
      </c>
    </row>
    <row r="6131" spans="1:10" ht="15.75" hidden="1" thickBot="1" x14ac:dyDescent="0.3">
      <c r="A6131" s="247"/>
      <c r="B6131" s="240"/>
      <c r="C6131" s="135"/>
      <c r="D6131" s="135"/>
      <c r="E6131" s="136"/>
      <c r="F6131" s="49" t="s">
        <v>418</v>
      </c>
      <c r="G6131" s="49" t="str">
        <f>IF(ISNUMBER(F6131),E6131*F6131,"")</f>
        <v/>
      </c>
      <c r="H6131" s="65"/>
      <c r="I6131" s="66"/>
      <c r="J6131" s="125">
        <v>0</v>
      </c>
    </row>
    <row r="6132" spans="1:10" ht="39" hidden="1" thickBot="1" x14ac:dyDescent="0.3">
      <c r="A6132" s="247"/>
      <c r="B6132" s="240"/>
      <c r="C6132" s="155" t="s">
        <v>31205</v>
      </c>
      <c r="D6132" s="155" t="s">
        <v>205</v>
      </c>
      <c r="E6132" s="130">
        <v>1</v>
      </c>
      <c r="F6132" s="28">
        <v>305.54849999999999</v>
      </c>
      <c r="G6132" s="49">
        <f>IF(ISNUMBER(F6132),E6132*F6132,"")</f>
        <v>305.54849999999999</v>
      </c>
      <c r="H6132" s="35">
        <f>SUM(G6132:G6132)</f>
        <v>305.54849999999999</v>
      </c>
      <c r="I6132" s="36"/>
      <c r="J6132" s="125">
        <v>0</v>
      </c>
    </row>
    <row r="6133" spans="1:10" ht="15.75" hidden="1" thickBot="1" x14ac:dyDescent="0.3">
      <c r="A6133" s="248"/>
      <c r="B6133" s="239"/>
      <c r="C6133" s="164"/>
      <c r="D6133" s="132"/>
      <c r="E6133" s="61"/>
      <c r="F6133" s="68" t="s">
        <v>418</v>
      </c>
      <c r="G6133" s="68" t="str">
        <f>IF(ISNUMBER(F6133),E6133*F6133,"")</f>
        <v/>
      </c>
      <c r="H6133" s="69"/>
      <c r="I6133" s="66"/>
      <c r="J6133" s="125">
        <v>0</v>
      </c>
    </row>
    <row r="6134" spans="1:10" ht="15.75" hidden="1" thickBot="1" x14ac:dyDescent="0.3">
      <c r="A6134" s="241" t="s">
        <v>13310</v>
      </c>
      <c r="B6134" s="237" t="s">
        <v>19660</v>
      </c>
      <c r="C6134" s="160"/>
      <c r="D6134" s="23" t="s">
        <v>70</v>
      </c>
      <c r="E6134" s="24"/>
      <c r="F6134" s="44" t="s">
        <v>418</v>
      </c>
      <c r="G6134" s="25" t="str">
        <f>IF(ISNUMBER(F6134),E6134*F6134,"")</f>
        <v/>
      </c>
      <c r="H6134" s="26"/>
      <c r="I6134" s="27"/>
      <c r="J6134" s="125">
        <v>0</v>
      </c>
    </row>
    <row r="6135" spans="1:10" ht="15.75" hidden="1" thickBot="1" x14ac:dyDescent="0.3">
      <c r="A6135" s="247"/>
      <c r="B6135" s="240"/>
      <c r="C6135" s="135"/>
      <c r="D6135" s="135"/>
      <c r="E6135" s="136"/>
      <c r="F6135" s="49" t="s">
        <v>418</v>
      </c>
      <c r="G6135" s="49" t="str">
        <f>IF(ISNUMBER(F6135),E6135*F6135,"")</f>
        <v/>
      </c>
      <c r="H6135" s="65"/>
      <c r="I6135" s="66"/>
      <c r="J6135" s="125">
        <v>0</v>
      </c>
    </row>
    <row r="6136" spans="1:10" ht="51.75" hidden="1" thickBot="1" x14ac:dyDescent="0.3">
      <c r="A6136" s="247"/>
      <c r="B6136" s="240"/>
      <c r="C6136" s="155" t="s">
        <v>26936</v>
      </c>
      <c r="D6136" s="155" t="s">
        <v>205</v>
      </c>
      <c r="E6136" s="130">
        <f>1/0.13/0.26</f>
        <v>29.585798816568044</v>
      </c>
      <c r="F6136" s="28">
        <v>20.937999999999999</v>
      </c>
      <c r="G6136" s="49">
        <f>IF(ISNUMBER(F6136),E6136*F6136,"")</f>
        <v>619.46745562130172</v>
      </c>
      <c r="H6136" s="35">
        <f>SUM(G6136:G6136)</f>
        <v>619.46745562130172</v>
      </c>
      <c r="I6136" s="36"/>
      <c r="J6136" s="125">
        <v>0</v>
      </c>
    </row>
    <row r="6137" spans="1:10" ht="15.75" hidden="1" thickBot="1" x14ac:dyDescent="0.3">
      <c r="A6137" s="248"/>
      <c r="B6137" s="239"/>
      <c r="C6137" s="164"/>
      <c r="D6137" s="132"/>
      <c r="E6137" s="61"/>
      <c r="F6137" s="68" t="s">
        <v>418</v>
      </c>
      <c r="G6137" s="68" t="str">
        <f>IF(ISNUMBER(F6137),E6137*F6137,"")</f>
        <v/>
      </c>
      <c r="H6137" s="69"/>
      <c r="I6137" s="66"/>
      <c r="J6137" s="125">
        <v>0</v>
      </c>
    </row>
    <row r="6138" spans="1:10" ht="15.75" hidden="1" thickBot="1" x14ac:dyDescent="0.3">
      <c r="A6138" s="234" t="s">
        <v>13311</v>
      </c>
      <c r="B6138" s="237" t="s">
        <v>13084</v>
      </c>
      <c r="C6138" s="160"/>
      <c r="D6138" s="23" t="s">
        <v>16</v>
      </c>
      <c r="E6138" s="24"/>
      <c r="F6138" s="44" t="s">
        <v>418</v>
      </c>
      <c r="G6138" s="25" t="str">
        <f>IF(ISNUMBER(F6138),E6138*F6138,"")</f>
        <v/>
      </c>
      <c r="H6138" s="26"/>
      <c r="I6138" s="27"/>
      <c r="J6138" s="125">
        <v>0</v>
      </c>
    </row>
    <row r="6139" spans="1:10" ht="15.75" hidden="1" thickBot="1" x14ac:dyDescent="0.3">
      <c r="A6139" s="249"/>
      <c r="B6139" s="240"/>
      <c r="C6139" s="135"/>
      <c r="D6139" s="135"/>
      <c r="E6139" s="136"/>
      <c r="F6139" s="49" t="s">
        <v>418</v>
      </c>
      <c r="G6139" s="49" t="str">
        <f>IF(ISNUMBER(F6139),E6139*F6139,"")</f>
        <v/>
      </c>
      <c r="H6139" s="65"/>
      <c r="I6139" s="66"/>
      <c r="J6139" s="125">
        <v>0</v>
      </c>
    </row>
    <row r="6140" spans="1:10" ht="15.75" hidden="1" thickBot="1" x14ac:dyDescent="0.3">
      <c r="A6140" s="249"/>
      <c r="B6140" s="240"/>
      <c r="C6140" s="155" t="s">
        <v>1023</v>
      </c>
      <c r="D6140" s="155" t="s">
        <v>587</v>
      </c>
      <c r="E6140" s="130">
        <v>0.55000000000000004</v>
      </c>
      <c r="F6140" s="28">
        <v>25.954000000000001</v>
      </c>
      <c r="G6140" s="49">
        <f>IF(ISNUMBER(F6140),E6140*F6140,"")</f>
        <v>14.274700000000001</v>
      </c>
      <c r="H6140" s="35">
        <f>SUM(G6140:G6144)</f>
        <v>26.979525000000002</v>
      </c>
      <c r="I6140" s="36"/>
      <c r="J6140" s="125">
        <v>0</v>
      </c>
    </row>
    <row r="6141" spans="1:10" ht="15.75" hidden="1" thickBot="1" x14ac:dyDescent="0.3">
      <c r="A6141" s="249"/>
      <c r="B6141" s="240"/>
      <c r="C6141" s="155" t="s">
        <v>1022</v>
      </c>
      <c r="D6141" s="155" t="s">
        <v>587</v>
      </c>
      <c r="E6141" s="130">
        <v>0.55000000000000004</v>
      </c>
      <c r="F6141" s="28">
        <v>19.522500000000001</v>
      </c>
      <c r="G6141" s="49">
        <f>IF(ISNUMBER(F6141),E6141*F6141,"")</f>
        <v>10.737375000000002</v>
      </c>
      <c r="H6141" s="39"/>
      <c r="I6141" s="36"/>
      <c r="J6141" s="125">
        <v>0</v>
      </c>
    </row>
    <row r="6142" spans="1:10" ht="15.75" hidden="1" thickBot="1" x14ac:dyDescent="0.3">
      <c r="A6142" s="249"/>
      <c r="B6142" s="240"/>
      <c r="C6142" s="155" t="s">
        <v>20969</v>
      </c>
      <c r="D6142" s="129" t="s">
        <v>16</v>
      </c>
      <c r="E6142" s="130">
        <v>0.04</v>
      </c>
      <c r="F6142" s="28">
        <v>0.95</v>
      </c>
      <c r="G6142" s="49">
        <f>IF(ISNUMBER(F6142),E6142*F6142,"")</f>
        <v>3.7999999999999999E-2</v>
      </c>
      <c r="H6142" s="39"/>
      <c r="I6142" s="36"/>
      <c r="J6142" s="125">
        <v>0</v>
      </c>
    </row>
    <row r="6143" spans="1:10" ht="15.75" hidden="1" thickBot="1" x14ac:dyDescent="0.3">
      <c r="A6143" s="249"/>
      <c r="B6143" s="240"/>
      <c r="C6143" s="155" t="s">
        <v>20968</v>
      </c>
      <c r="D6143" s="129" t="s">
        <v>16</v>
      </c>
      <c r="E6143" s="130">
        <v>1</v>
      </c>
      <c r="F6143" s="28">
        <v>0.95</v>
      </c>
      <c r="G6143" s="49">
        <f>IF(ISNUMBER(F6143),E6143*F6143,"")</f>
        <v>0.95</v>
      </c>
      <c r="H6143" s="39"/>
      <c r="I6143" s="36"/>
      <c r="J6143" s="125">
        <v>0</v>
      </c>
    </row>
    <row r="6144" spans="1:10" ht="15.75" hidden="1" thickBot="1" x14ac:dyDescent="0.3">
      <c r="A6144" s="249"/>
      <c r="B6144" s="240"/>
      <c r="C6144" s="155" t="s">
        <v>20970</v>
      </c>
      <c r="D6144" s="129" t="s">
        <v>16</v>
      </c>
      <c r="E6144" s="130">
        <v>1.0309999999999999</v>
      </c>
      <c r="F6144" s="28">
        <v>0.95</v>
      </c>
      <c r="G6144" s="49">
        <f>IF(ISNUMBER(F6144),E6144*F6144,"")</f>
        <v>0.97944999999999982</v>
      </c>
      <c r="H6144" s="39"/>
      <c r="I6144" s="36"/>
      <c r="J6144" s="125">
        <v>0</v>
      </c>
    </row>
    <row r="6145" spans="1:10" ht="15.75" hidden="1" thickBot="1" x14ac:dyDescent="0.3">
      <c r="A6145" s="250"/>
      <c r="B6145" s="239"/>
      <c r="C6145" s="155"/>
      <c r="D6145" s="129"/>
      <c r="E6145" s="130"/>
      <c r="F6145" s="28" t="s">
        <v>418</v>
      </c>
      <c r="G6145" s="49"/>
      <c r="H6145" s="39"/>
      <c r="I6145" s="36"/>
      <c r="J6145" s="125">
        <v>0</v>
      </c>
    </row>
    <row r="6146" spans="1:10" ht="15.75" hidden="1" thickBot="1" x14ac:dyDescent="0.3">
      <c r="A6146" s="241" t="s">
        <v>13315</v>
      </c>
      <c r="B6146" s="237" t="s">
        <v>13088</v>
      </c>
      <c r="C6146" s="160"/>
      <c r="D6146" s="23" t="s">
        <v>16</v>
      </c>
      <c r="E6146" s="24"/>
      <c r="F6146" s="44" t="s">
        <v>418</v>
      </c>
      <c r="G6146" s="25" t="str">
        <f>IF(ISNUMBER(F6146),E6146*F6146,"")</f>
        <v/>
      </c>
      <c r="H6146" s="26"/>
      <c r="I6146" s="27"/>
      <c r="J6146" s="125">
        <v>0</v>
      </c>
    </row>
    <row r="6147" spans="1:10" ht="15.75" hidden="1" thickBot="1" x14ac:dyDescent="0.3">
      <c r="A6147" s="247"/>
      <c r="B6147" s="240"/>
      <c r="C6147" s="135"/>
      <c r="D6147" s="135"/>
      <c r="E6147" s="136"/>
      <c r="F6147" s="49" t="s">
        <v>418</v>
      </c>
      <c r="G6147" s="49" t="str">
        <f>IF(ISNUMBER(F6147),E6147*F6147,"")</f>
        <v/>
      </c>
      <c r="H6147" s="65"/>
      <c r="I6147" s="66"/>
      <c r="J6147" s="125">
        <v>0</v>
      </c>
    </row>
    <row r="6148" spans="1:10" ht="26.25" hidden="1" thickBot="1" x14ac:dyDescent="0.3">
      <c r="A6148" s="247"/>
      <c r="B6148" s="240"/>
      <c r="C6148" s="155" t="s">
        <v>24695</v>
      </c>
      <c r="D6148" s="155" t="s">
        <v>205</v>
      </c>
      <c r="E6148" s="130">
        <v>1</v>
      </c>
      <c r="F6148" s="28">
        <v>34.674999999999997</v>
      </c>
      <c r="G6148" s="49">
        <f>IF(ISNUMBER(F6148),E6148*F6148,"")</f>
        <v>34.674999999999997</v>
      </c>
      <c r="H6148" s="35">
        <f>SUM(G6148:G6148)</f>
        <v>34.674999999999997</v>
      </c>
      <c r="I6148" s="36"/>
      <c r="J6148" s="125">
        <v>0</v>
      </c>
    </row>
    <row r="6149" spans="1:10" ht="15.75" hidden="1" thickBot="1" x14ac:dyDescent="0.3">
      <c r="A6149" s="248"/>
      <c r="B6149" s="239"/>
      <c r="C6149" s="164"/>
      <c r="D6149" s="132"/>
      <c r="E6149" s="61"/>
      <c r="F6149" s="68" t="s">
        <v>418</v>
      </c>
      <c r="G6149" s="68" t="str">
        <f>IF(ISNUMBER(F6149),E6149*F6149,"")</f>
        <v/>
      </c>
      <c r="H6149" s="69"/>
      <c r="I6149" s="66"/>
      <c r="J6149" s="125">
        <v>0</v>
      </c>
    </row>
    <row r="6150" spans="1:10" ht="15.75" hidden="1" thickBot="1" x14ac:dyDescent="0.3">
      <c r="A6150" s="241" t="s">
        <v>13338</v>
      </c>
      <c r="B6150" s="237" t="s">
        <v>13109</v>
      </c>
      <c r="C6150" s="160"/>
      <c r="D6150" s="23" t="s">
        <v>16</v>
      </c>
      <c r="E6150" s="24"/>
      <c r="F6150" s="44" t="s">
        <v>418</v>
      </c>
      <c r="G6150" s="25" t="str">
        <f>IF(ISNUMBER(F6150),E6150*F6150,"")</f>
        <v/>
      </c>
      <c r="H6150" s="26"/>
      <c r="I6150" s="27"/>
      <c r="J6150" s="125">
        <v>0</v>
      </c>
    </row>
    <row r="6151" spans="1:10" ht="15.75" hidden="1" thickBot="1" x14ac:dyDescent="0.3">
      <c r="A6151" s="247"/>
      <c r="B6151" s="240"/>
      <c r="C6151" s="135"/>
      <c r="D6151" s="135"/>
      <c r="E6151" s="136"/>
      <c r="F6151" s="49" t="s">
        <v>418</v>
      </c>
      <c r="G6151" s="49" t="str">
        <f>IF(ISNUMBER(F6151),E6151*F6151,"")</f>
        <v/>
      </c>
      <c r="H6151" s="65"/>
      <c r="I6151" s="66"/>
      <c r="J6151" s="125">
        <v>0</v>
      </c>
    </row>
    <row r="6152" spans="1:10" ht="15.75" hidden="1" thickBot="1" x14ac:dyDescent="0.3">
      <c r="A6152" s="247"/>
      <c r="B6152" s="240"/>
      <c r="C6152" s="155" t="s">
        <v>23527</v>
      </c>
      <c r="D6152" s="155" t="s">
        <v>205</v>
      </c>
      <c r="E6152" s="130">
        <v>1</v>
      </c>
      <c r="F6152" s="28">
        <v>116.73599999999999</v>
      </c>
      <c r="G6152" s="49">
        <f>IF(ISNUMBER(F6152),E6152*F6152,"")</f>
        <v>116.73599999999999</v>
      </c>
      <c r="H6152" s="35">
        <f>SUM(G6152:G6152)</f>
        <v>116.73599999999999</v>
      </c>
      <c r="I6152" s="36"/>
      <c r="J6152" s="125">
        <v>0</v>
      </c>
    </row>
    <row r="6153" spans="1:10" ht="15.75" hidden="1" thickBot="1" x14ac:dyDescent="0.3">
      <c r="A6153" s="248"/>
      <c r="B6153" s="239"/>
      <c r="C6153" s="164"/>
      <c r="D6153" s="132"/>
      <c r="E6153" s="61"/>
      <c r="F6153" s="68" t="s">
        <v>418</v>
      </c>
      <c r="G6153" s="68" t="str">
        <f>IF(ISNUMBER(F6153),E6153*F6153,"")</f>
        <v/>
      </c>
      <c r="H6153" s="69"/>
      <c r="I6153" s="66"/>
      <c r="J6153" s="125">
        <v>0</v>
      </c>
    </row>
    <row r="6154" spans="1:10" ht="15.75" hidden="1" thickBot="1" x14ac:dyDescent="0.3">
      <c r="A6154" s="241" t="s">
        <v>13363</v>
      </c>
      <c r="B6154" s="237" t="s">
        <v>13133</v>
      </c>
      <c r="C6154" s="160"/>
      <c r="D6154" s="23" t="s">
        <v>76</v>
      </c>
      <c r="E6154" s="24"/>
      <c r="F6154" s="44" t="s">
        <v>418</v>
      </c>
      <c r="G6154" s="25" t="str">
        <f>IF(ISNUMBER(F6154),E6154*F6154,"")</f>
        <v/>
      </c>
      <c r="H6154" s="26"/>
      <c r="I6154" s="27"/>
      <c r="J6154" s="125">
        <v>0</v>
      </c>
    </row>
    <row r="6155" spans="1:10" ht="15.75" hidden="1" thickBot="1" x14ac:dyDescent="0.3">
      <c r="A6155" s="247"/>
      <c r="B6155" s="240"/>
      <c r="C6155" s="135"/>
      <c r="D6155" s="135"/>
      <c r="E6155" s="136"/>
      <c r="F6155" s="49" t="s">
        <v>418</v>
      </c>
      <c r="G6155" s="49" t="str">
        <f>IF(ISNUMBER(F6155),E6155*F6155,"")</f>
        <v/>
      </c>
      <c r="H6155" s="65"/>
      <c r="I6155" s="66"/>
      <c r="J6155" s="125">
        <v>0</v>
      </c>
    </row>
    <row r="6156" spans="1:10" ht="15.75" hidden="1" thickBot="1" x14ac:dyDescent="0.3">
      <c r="A6156" s="247"/>
      <c r="B6156" s="240"/>
      <c r="C6156" s="155" t="s">
        <v>27126</v>
      </c>
      <c r="D6156" s="155" t="s">
        <v>205</v>
      </c>
      <c r="E6156" s="130">
        <v>0.5</v>
      </c>
      <c r="F6156" s="28">
        <v>235.79</v>
      </c>
      <c r="G6156" s="49">
        <f>IF(ISNUMBER(F6156),E6156*F6156,"")</f>
        <v>117.895</v>
      </c>
      <c r="H6156" s="35">
        <f>SUM(G6156:G6156)</f>
        <v>117.895</v>
      </c>
      <c r="I6156" s="36"/>
      <c r="J6156" s="125">
        <v>0</v>
      </c>
    </row>
    <row r="6157" spans="1:10" ht="15.75" hidden="1" thickBot="1" x14ac:dyDescent="0.3">
      <c r="A6157" s="248"/>
      <c r="B6157" s="239"/>
      <c r="C6157" s="164"/>
      <c r="D6157" s="132"/>
      <c r="E6157" s="61"/>
      <c r="F6157" s="68" t="s">
        <v>418</v>
      </c>
      <c r="G6157" s="68" t="str">
        <f>IF(ISNUMBER(F6157),E6157*F6157,"")</f>
        <v/>
      </c>
      <c r="H6157" s="69"/>
      <c r="I6157" s="66"/>
      <c r="J6157" s="125">
        <v>0</v>
      </c>
    </row>
    <row r="6158" spans="1:10" ht="15.75" hidden="1" thickBot="1" x14ac:dyDescent="0.3">
      <c r="A6158" s="241" t="s">
        <v>13364</v>
      </c>
      <c r="B6158" s="244" t="s">
        <v>13134</v>
      </c>
      <c r="C6158" s="160"/>
      <c r="D6158" s="23" t="s">
        <v>70</v>
      </c>
      <c r="E6158" s="24"/>
      <c r="F6158" s="37" t="s">
        <v>418</v>
      </c>
      <c r="G6158" s="25" t="str">
        <f>IF(ISNUMBER(F6158),E6158*F6158,"")</f>
        <v/>
      </c>
      <c r="H6158" s="26"/>
      <c r="I6158" s="27"/>
      <c r="J6158" s="125">
        <v>0</v>
      </c>
    </row>
    <row r="6159" spans="1:10" ht="15.75" hidden="1" thickBot="1" x14ac:dyDescent="0.3">
      <c r="A6159" s="242"/>
      <c r="B6159" s="251"/>
      <c r="C6159" s="151"/>
      <c r="D6159" s="29"/>
      <c r="E6159" s="30"/>
      <c r="F6159" s="38" t="s">
        <v>418</v>
      </c>
      <c r="G6159" s="28" t="str">
        <f>IF(ISNUMBER(F6159),E6159*F6159,"")</f>
        <v/>
      </c>
      <c r="H6159" s="32"/>
      <c r="I6159" s="28"/>
      <c r="J6159" s="125">
        <v>0</v>
      </c>
    </row>
    <row r="6160" spans="1:10" ht="15.75" hidden="1" thickBot="1" x14ac:dyDescent="0.3">
      <c r="A6160" s="242"/>
      <c r="B6160" s="251"/>
      <c r="C6160" s="155" t="s">
        <v>595</v>
      </c>
      <c r="D6160" s="155" t="s">
        <v>587</v>
      </c>
      <c r="E6160" s="34">
        <f>0.1*1.3</f>
        <v>0.13</v>
      </c>
      <c r="F6160" s="28">
        <v>25.65</v>
      </c>
      <c r="G6160" s="31">
        <f>IF(ISNUMBER(F6160),E6160*F6160,"")</f>
        <v>3.3344999999999998</v>
      </c>
      <c r="H6160" s="35">
        <f>SUM(G6160:G6167)</f>
        <v>16.678199999999997</v>
      </c>
      <c r="I6160" s="36"/>
      <c r="J6160" s="125">
        <v>0</v>
      </c>
    </row>
    <row r="6161" spans="1:10" ht="15.75" hidden="1" thickBot="1" x14ac:dyDescent="0.3">
      <c r="A6161" s="242"/>
      <c r="B6161" s="251"/>
      <c r="C6161" s="155" t="s">
        <v>588</v>
      </c>
      <c r="D6161" s="155" t="s">
        <v>587</v>
      </c>
      <c r="E6161" s="34">
        <f>0.1*1.3</f>
        <v>0.13</v>
      </c>
      <c r="F6161" s="28">
        <v>19.189999999999998</v>
      </c>
      <c r="G6161" s="31">
        <f>IF(ISNUMBER(F6161),E6161*F6161,"")</f>
        <v>2.4946999999999999</v>
      </c>
      <c r="H6161" s="32"/>
      <c r="I6161" s="28"/>
      <c r="J6161" s="125">
        <v>0</v>
      </c>
    </row>
    <row r="6162" spans="1:10" ht="15.75" hidden="1" thickBot="1" x14ac:dyDescent="0.3">
      <c r="A6162" s="242"/>
      <c r="B6162" s="251"/>
      <c r="C6162" s="155" t="s">
        <v>13566</v>
      </c>
      <c r="D6162" s="33" t="s">
        <v>774</v>
      </c>
      <c r="E6162" s="34">
        <v>0.1</v>
      </c>
      <c r="F6162" s="31" t="s">
        <v>418</v>
      </c>
      <c r="G6162" s="28" t="str">
        <f>IF(ISNUMBER(F6162),E6162*F6162,"")</f>
        <v/>
      </c>
      <c r="H6162" s="32"/>
      <c r="I6162" s="28"/>
      <c r="J6162" s="125">
        <v>0</v>
      </c>
    </row>
    <row r="6163" spans="1:10" ht="26.25" hidden="1" thickBot="1" x14ac:dyDescent="0.3">
      <c r="A6163" s="242"/>
      <c r="B6163" s="251"/>
      <c r="C6163" s="155" t="s">
        <v>13567</v>
      </c>
      <c r="D6163" s="33" t="s">
        <v>70</v>
      </c>
      <c r="E6163" s="34">
        <v>1.1000000000000001</v>
      </c>
      <c r="F6163" s="28" t="s">
        <v>418</v>
      </c>
      <c r="G6163" s="31" t="str">
        <f>IF(ISNUMBER(F6163),E6163*F6163,"")</f>
        <v/>
      </c>
      <c r="H6163" s="32"/>
      <c r="I6163" s="36"/>
      <c r="J6163" s="125">
        <v>0</v>
      </c>
    </row>
    <row r="6164" spans="1:10" ht="15.75" hidden="1" thickBot="1" x14ac:dyDescent="0.3">
      <c r="A6164" s="242"/>
      <c r="B6164" s="251"/>
      <c r="C6164" s="155" t="s">
        <v>595</v>
      </c>
      <c r="D6164" s="155" t="s">
        <v>587</v>
      </c>
      <c r="E6164" s="34">
        <v>0.2</v>
      </c>
      <c r="F6164" s="28">
        <v>25.65</v>
      </c>
      <c r="G6164" s="31">
        <f>IF(ISNUMBER(F6164),E6164*F6164,"")</f>
        <v>5.13</v>
      </c>
      <c r="H6164" s="32"/>
      <c r="I6164" s="28"/>
      <c r="J6164" s="125">
        <v>0</v>
      </c>
    </row>
    <row r="6165" spans="1:10" ht="15.75" hidden="1" thickBot="1" x14ac:dyDescent="0.3">
      <c r="A6165" s="242"/>
      <c r="B6165" s="251"/>
      <c r="C6165" s="155" t="s">
        <v>588</v>
      </c>
      <c r="D6165" s="155" t="s">
        <v>587</v>
      </c>
      <c r="E6165" s="34">
        <v>0.2</v>
      </c>
      <c r="F6165" s="31">
        <v>19.189999999999998</v>
      </c>
      <c r="G6165" s="28">
        <f>IF(ISNUMBER(F6165),E6165*F6165,"")</f>
        <v>3.8379999999999996</v>
      </c>
      <c r="H6165" s="32"/>
      <c r="I6165" s="28"/>
      <c r="J6165" s="125">
        <v>0</v>
      </c>
    </row>
    <row r="6166" spans="1:10" ht="15.75" hidden="1" thickBot="1" x14ac:dyDescent="0.3">
      <c r="A6166" s="242"/>
      <c r="B6166" s="251"/>
      <c r="C6166" s="155" t="s">
        <v>24537</v>
      </c>
      <c r="D6166" s="155" t="s">
        <v>774</v>
      </c>
      <c r="E6166" s="34">
        <v>1.5</v>
      </c>
      <c r="F6166" s="28">
        <v>1.254</v>
      </c>
      <c r="G6166" s="31">
        <f>IF(ISNUMBER(F6166),E6166*F6166,"")</f>
        <v>1.881</v>
      </c>
      <c r="H6166" s="32"/>
      <c r="I6166" s="36"/>
      <c r="J6166" s="125">
        <v>0</v>
      </c>
    </row>
    <row r="6167" spans="1:10" ht="15.75" hidden="1" thickBot="1" x14ac:dyDescent="0.3">
      <c r="A6167" s="242"/>
      <c r="B6167" s="251"/>
      <c r="C6167" s="155" t="s">
        <v>1284</v>
      </c>
      <c r="D6167" s="33" t="s">
        <v>774</v>
      </c>
      <c r="E6167" s="34">
        <f>ROUND(E6166*0.1,2)</f>
        <v>0.15</v>
      </c>
      <c r="F6167" s="28" t="s">
        <v>418</v>
      </c>
      <c r="G6167" s="31" t="str">
        <f>IF(ISNUMBER(F6167),E6167*F6167,"")</f>
        <v/>
      </c>
      <c r="H6167" s="32"/>
      <c r="I6167" s="28"/>
      <c r="J6167" s="125">
        <v>0</v>
      </c>
    </row>
    <row r="6168" spans="1:10" ht="15.75" hidden="1" thickBot="1" x14ac:dyDescent="0.3">
      <c r="A6168" s="243"/>
      <c r="B6168" s="246"/>
      <c r="C6168" s="155"/>
      <c r="D6168" s="33"/>
      <c r="E6168" s="34"/>
      <c r="F6168" s="28" t="s">
        <v>418</v>
      </c>
      <c r="G6168" s="28" t="str">
        <f>IF(ISNUMBER(F6168),E6168*F6168,"")</f>
        <v/>
      </c>
      <c r="H6168" s="32"/>
      <c r="I6168" s="28"/>
      <c r="J6168" s="125">
        <v>0</v>
      </c>
    </row>
    <row r="6169" spans="1:10" ht="15.75" hidden="1" thickBot="1" x14ac:dyDescent="0.3">
      <c r="A6169" s="241" t="s">
        <v>13365</v>
      </c>
      <c r="B6169" s="244" t="s">
        <v>13135</v>
      </c>
      <c r="C6169" s="160"/>
      <c r="D6169" s="23" t="s">
        <v>70</v>
      </c>
      <c r="E6169" s="24"/>
      <c r="F6169" s="37" t="s">
        <v>418</v>
      </c>
      <c r="G6169" s="25" t="str">
        <f>IF(ISNUMBER(F6169),E6169*F6169,"")</f>
        <v/>
      </c>
      <c r="H6169" s="26"/>
      <c r="I6169" s="27"/>
      <c r="J6169" s="125">
        <v>0</v>
      </c>
    </row>
    <row r="6170" spans="1:10" ht="15.75" hidden="1" thickBot="1" x14ac:dyDescent="0.3">
      <c r="A6170" s="242"/>
      <c r="B6170" s="251"/>
      <c r="C6170" s="151"/>
      <c r="D6170" s="29"/>
      <c r="E6170" s="30"/>
      <c r="F6170" s="38" t="s">
        <v>418</v>
      </c>
      <c r="G6170" s="28" t="str">
        <f>IF(ISNUMBER(F6170),E6170*F6170,"")</f>
        <v/>
      </c>
      <c r="H6170" s="32"/>
      <c r="I6170" s="28"/>
      <c r="J6170" s="125">
        <v>0</v>
      </c>
    </row>
    <row r="6171" spans="1:10" ht="15.75" hidden="1" thickBot="1" x14ac:dyDescent="0.3">
      <c r="A6171" s="242"/>
      <c r="B6171" s="251"/>
      <c r="C6171" s="155" t="s">
        <v>595</v>
      </c>
      <c r="D6171" s="155" t="s">
        <v>587</v>
      </c>
      <c r="E6171" s="34">
        <v>0.1</v>
      </c>
      <c r="F6171" s="28">
        <v>25.65</v>
      </c>
      <c r="G6171" s="31">
        <f>IF(ISNUMBER(F6171),E6171*F6171,"")</f>
        <v>2.5649999999999999</v>
      </c>
      <c r="H6171" s="35">
        <f>SUM(G6171:G6178)</f>
        <v>15.333</v>
      </c>
      <c r="I6171" s="36"/>
      <c r="J6171" s="125">
        <v>0</v>
      </c>
    </row>
    <row r="6172" spans="1:10" ht="15.75" hidden="1" thickBot="1" x14ac:dyDescent="0.3">
      <c r="A6172" s="242"/>
      <c r="B6172" s="251"/>
      <c r="C6172" s="155" t="s">
        <v>588</v>
      </c>
      <c r="D6172" s="155" t="s">
        <v>587</v>
      </c>
      <c r="E6172" s="34">
        <v>0.1</v>
      </c>
      <c r="F6172" s="28">
        <v>19.189999999999998</v>
      </c>
      <c r="G6172" s="31">
        <f>IF(ISNUMBER(F6172),E6172*F6172,"")</f>
        <v>1.9189999999999998</v>
      </c>
      <c r="H6172" s="32"/>
      <c r="I6172" s="28"/>
      <c r="J6172" s="125">
        <v>0</v>
      </c>
    </row>
    <row r="6173" spans="1:10" ht="15.75" hidden="1" thickBot="1" x14ac:dyDescent="0.3">
      <c r="A6173" s="242"/>
      <c r="B6173" s="251"/>
      <c r="C6173" s="155" t="s">
        <v>13566</v>
      </c>
      <c r="D6173" s="33" t="s">
        <v>774</v>
      </c>
      <c r="E6173" s="34">
        <v>0.1</v>
      </c>
      <c r="F6173" s="31" t="s">
        <v>418</v>
      </c>
      <c r="G6173" s="28" t="str">
        <f>IF(ISNUMBER(F6173),E6173*F6173,"")</f>
        <v/>
      </c>
      <c r="H6173" s="32"/>
      <c r="I6173" s="28"/>
      <c r="J6173" s="125">
        <v>0</v>
      </c>
    </row>
    <row r="6174" spans="1:10" ht="26.25" hidden="1" thickBot="1" x14ac:dyDescent="0.3">
      <c r="A6174" s="242"/>
      <c r="B6174" s="251"/>
      <c r="C6174" s="155" t="s">
        <v>13568</v>
      </c>
      <c r="D6174" s="33" t="s">
        <v>70</v>
      </c>
      <c r="E6174" s="34">
        <v>1.1000000000000001</v>
      </c>
      <c r="F6174" s="28" t="s">
        <v>418</v>
      </c>
      <c r="G6174" s="31" t="str">
        <f>IF(ISNUMBER(F6174),E6174*F6174,"")</f>
        <v/>
      </c>
      <c r="H6174" s="32"/>
      <c r="I6174" s="36"/>
      <c r="J6174" s="125">
        <v>0</v>
      </c>
    </row>
    <row r="6175" spans="1:10" ht="15.75" hidden="1" thickBot="1" x14ac:dyDescent="0.3">
      <c r="A6175" s="242"/>
      <c r="B6175" s="251"/>
      <c r="C6175" s="155" t="s">
        <v>595</v>
      </c>
      <c r="D6175" s="155" t="s">
        <v>587</v>
      </c>
      <c r="E6175" s="34">
        <v>0.2</v>
      </c>
      <c r="F6175" s="28">
        <v>25.65</v>
      </c>
      <c r="G6175" s="31">
        <f>IF(ISNUMBER(F6175),E6175*F6175,"")</f>
        <v>5.13</v>
      </c>
      <c r="H6175" s="32"/>
      <c r="I6175" s="28"/>
      <c r="J6175" s="125">
        <v>0</v>
      </c>
    </row>
    <row r="6176" spans="1:10" ht="15.75" hidden="1" thickBot="1" x14ac:dyDescent="0.3">
      <c r="A6176" s="242"/>
      <c r="B6176" s="251"/>
      <c r="C6176" s="155" t="s">
        <v>588</v>
      </c>
      <c r="D6176" s="155" t="s">
        <v>587</v>
      </c>
      <c r="E6176" s="34">
        <v>0.2</v>
      </c>
      <c r="F6176" s="31">
        <v>19.189999999999998</v>
      </c>
      <c r="G6176" s="28">
        <f>IF(ISNUMBER(F6176),E6176*F6176,"")</f>
        <v>3.8379999999999996</v>
      </c>
      <c r="H6176" s="32"/>
      <c r="I6176" s="28"/>
      <c r="J6176" s="125">
        <v>0</v>
      </c>
    </row>
    <row r="6177" spans="1:10" ht="15.75" hidden="1" thickBot="1" x14ac:dyDescent="0.3">
      <c r="A6177" s="242"/>
      <c r="B6177" s="251"/>
      <c r="C6177" s="155" t="s">
        <v>24537</v>
      </c>
      <c r="D6177" s="155" t="s">
        <v>774</v>
      </c>
      <c r="E6177" s="34">
        <v>1.5</v>
      </c>
      <c r="F6177" s="28">
        <v>1.254</v>
      </c>
      <c r="G6177" s="31">
        <f>IF(ISNUMBER(F6177),E6177*F6177,"")</f>
        <v>1.881</v>
      </c>
      <c r="H6177" s="32"/>
      <c r="I6177" s="36"/>
      <c r="J6177" s="125">
        <v>0</v>
      </c>
    </row>
    <row r="6178" spans="1:10" ht="15.75" hidden="1" thickBot="1" x14ac:dyDescent="0.3">
      <c r="A6178" s="242"/>
      <c r="B6178" s="251"/>
      <c r="C6178" s="155" t="s">
        <v>1284</v>
      </c>
      <c r="D6178" s="33" t="s">
        <v>774</v>
      </c>
      <c r="E6178" s="34">
        <f>ROUND(E6177*0.1,2)</f>
        <v>0.15</v>
      </c>
      <c r="F6178" s="28" t="s">
        <v>418</v>
      </c>
      <c r="G6178" s="31" t="str">
        <f>IF(ISNUMBER(F6178),E6178*F6178,"")</f>
        <v/>
      </c>
      <c r="H6178" s="32"/>
      <c r="I6178" s="28"/>
      <c r="J6178" s="125">
        <v>0</v>
      </c>
    </row>
    <row r="6179" spans="1:10" ht="15.75" hidden="1" thickBot="1" x14ac:dyDescent="0.3">
      <c r="A6179" s="243"/>
      <c r="B6179" s="246"/>
      <c r="C6179" s="155"/>
      <c r="D6179" s="33"/>
      <c r="E6179" s="34"/>
      <c r="F6179" s="28" t="s">
        <v>418</v>
      </c>
      <c r="G6179" s="28" t="str">
        <f>IF(ISNUMBER(F6179),E6179*F6179,"")</f>
        <v/>
      </c>
      <c r="H6179" s="32"/>
      <c r="I6179" s="28"/>
      <c r="J6179" s="125">
        <v>0</v>
      </c>
    </row>
    <row r="6180" spans="1:10" ht="15.75" hidden="1" thickBot="1" x14ac:dyDescent="0.3">
      <c r="A6180" s="234" t="s">
        <v>13366</v>
      </c>
      <c r="B6180" s="237" t="s">
        <v>13136</v>
      </c>
      <c r="C6180" s="160"/>
      <c r="D6180" s="23" t="s">
        <v>69</v>
      </c>
      <c r="E6180" s="24"/>
      <c r="F6180" s="44" t="s">
        <v>418</v>
      </c>
      <c r="G6180" s="25" t="str">
        <f>IF(ISNUMBER(F6180),E6180*F6180,"")</f>
        <v/>
      </c>
      <c r="H6180" s="26"/>
      <c r="I6180" s="27"/>
      <c r="J6180" s="125">
        <v>0</v>
      </c>
    </row>
    <row r="6181" spans="1:10" ht="15.75" hidden="1" thickBot="1" x14ac:dyDescent="0.3">
      <c r="A6181" s="249"/>
      <c r="B6181" s="240"/>
      <c r="C6181" s="135"/>
      <c r="D6181" s="135"/>
      <c r="E6181" s="136"/>
      <c r="F6181" s="49" t="s">
        <v>418</v>
      </c>
      <c r="G6181" s="49" t="str">
        <f>IF(ISNUMBER(F6181),E6181*F6181,"")</f>
        <v/>
      </c>
      <c r="H6181" s="65"/>
      <c r="I6181" s="66"/>
      <c r="J6181" s="125">
        <v>0</v>
      </c>
    </row>
    <row r="6182" spans="1:10" ht="26.25" hidden="1" thickBot="1" x14ac:dyDescent="0.3">
      <c r="A6182" s="249"/>
      <c r="B6182" s="240"/>
      <c r="C6182" s="155" t="s">
        <v>93</v>
      </c>
      <c r="D6182" s="155" t="s">
        <v>85</v>
      </c>
      <c r="E6182" s="130">
        <v>0.23</v>
      </c>
      <c r="F6182" s="28">
        <v>16.34</v>
      </c>
      <c r="G6182" s="49">
        <f>IF(ISNUMBER(F6182),E6182*F6182,"")</f>
        <v>3.7582</v>
      </c>
      <c r="H6182" s="35">
        <f>SUM(G6182:G6185)</f>
        <v>12.598140000000001</v>
      </c>
      <c r="I6182" s="36"/>
      <c r="J6182" s="125">
        <v>0</v>
      </c>
    </row>
    <row r="6183" spans="1:10" ht="39" hidden="1" thickBot="1" x14ac:dyDescent="0.3">
      <c r="A6183" s="249"/>
      <c r="B6183" s="240"/>
      <c r="C6183" s="155" t="s">
        <v>23405</v>
      </c>
      <c r="D6183" s="155" t="s">
        <v>774</v>
      </c>
      <c r="E6183" s="130">
        <v>3.2000000000000001E-2</v>
      </c>
      <c r="F6183" s="28">
        <v>74.575000000000003</v>
      </c>
      <c r="G6183" s="49">
        <f>IF(ISNUMBER(F6183),E6183*F6183,"")</f>
        <v>2.3864000000000001</v>
      </c>
      <c r="H6183" s="39"/>
      <c r="I6183" s="36"/>
      <c r="J6183" s="125">
        <v>0</v>
      </c>
    </row>
    <row r="6184" spans="1:10" ht="15.75" hidden="1" thickBot="1" x14ac:dyDescent="0.3">
      <c r="A6184" s="249"/>
      <c r="B6184" s="240"/>
      <c r="C6184" s="155" t="s">
        <v>664</v>
      </c>
      <c r="D6184" s="155" t="s">
        <v>587</v>
      </c>
      <c r="E6184" s="130">
        <v>0.09</v>
      </c>
      <c r="F6184" s="28">
        <v>19.189999999999998</v>
      </c>
      <c r="G6184" s="49">
        <f>IF(ISNUMBER(F6184),E6184*F6184,"")</f>
        <v>1.7270999999999996</v>
      </c>
      <c r="H6184" s="39"/>
      <c r="I6184" s="36"/>
      <c r="J6184" s="125">
        <v>0</v>
      </c>
    </row>
    <row r="6185" spans="1:10" ht="15.75" hidden="1" thickBot="1" x14ac:dyDescent="0.3">
      <c r="A6185" s="249"/>
      <c r="B6185" s="240"/>
      <c r="C6185" s="155" t="s">
        <v>9852</v>
      </c>
      <c r="D6185" s="155" t="s">
        <v>587</v>
      </c>
      <c r="E6185" s="130">
        <v>0.18</v>
      </c>
      <c r="F6185" s="28">
        <v>26.257999999999999</v>
      </c>
      <c r="G6185" s="49">
        <f>IF(ISNUMBER(F6185),E6185*F6185,"")</f>
        <v>4.7264399999999993</v>
      </c>
      <c r="H6185" s="39"/>
      <c r="I6185" s="36"/>
      <c r="J6185" s="125">
        <v>0</v>
      </c>
    </row>
    <row r="6186" spans="1:10" ht="15.75" hidden="1" thickBot="1" x14ac:dyDescent="0.3">
      <c r="A6186" s="250"/>
      <c r="B6186" s="239"/>
      <c r="C6186" s="155"/>
      <c r="D6186" s="129"/>
      <c r="E6186" s="130"/>
      <c r="F6186" s="28" t="s">
        <v>418</v>
      </c>
      <c r="G6186" s="49"/>
      <c r="H6186" s="39"/>
      <c r="I6186" s="36"/>
      <c r="J6186" s="125">
        <v>0</v>
      </c>
    </row>
    <row r="6187" spans="1:10" ht="15.75" hidden="1" thickBot="1" x14ac:dyDescent="0.3">
      <c r="A6187" s="234" t="s">
        <v>13367</v>
      </c>
      <c r="B6187" s="237" t="s">
        <v>13137</v>
      </c>
      <c r="C6187" s="160"/>
      <c r="D6187" s="23" t="s">
        <v>70</v>
      </c>
      <c r="E6187" s="24"/>
      <c r="F6187" s="44" t="s">
        <v>418</v>
      </c>
      <c r="G6187" s="25" t="str">
        <f>IF(ISNUMBER(F6187),E6187*F6187,"")</f>
        <v/>
      </c>
      <c r="H6187" s="26"/>
      <c r="I6187" s="27"/>
      <c r="J6187" s="125">
        <v>0</v>
      </c>
    </row>
    <row r="6188" spans="1:10" ht="15.75" hidden="1" thickBot="1" x14ac:dyDescent="0.3">
      <c r="A6188" s="249"/>
      <c r="B6188" s="240"/>
      <c r="C6188" s="135"/>
      <c r="D6188" s="135"/>
      <c r="E6188" s="136"/>
      <c r="F6188" s="49" t="s">
        <v>418</v>
      </c>
      <c r="G6188" s="49" t="str">
        <f>IF(ISNUMBER(F6188),E6188*F6188,"")</f>
        <v/>
      </c>
      <c r="H6188" s="65"/>
      <c r="I6188" s="66"/>
      <c r="J6188" s="125">
        <v>0</v>
      </c>
    </row>
    <row r="6189" spans="1:10" ht="15.75" hidden="1" thickBot="1" x14ac:dyDescent="0.3">
      <c r="A6189" s="249"/>
      <c r="B6189" s="240"/>
      <c r="C6189" s="155" t="s">
        <v>595</v>
      </c>
      <c r="D6189" s="155" t="s">
        <v>587</v>
      </c>
      <c r="E6189" s="34">
        <v>0.5</v>
      </c>
      <c r="F6189" s="28">
        <v>25.65</v>
      </c>
      <c r="G6189" s="31">
        <f>IF(ISNUMBER(F6189),E6189*F6189,"")</f>
        <v>12.824999999999999</v>
      </c>
      <c r="H6189" s="35">
        <f>SUM(G6189:G6190)</f>
        <v>32.015000000000001</v>
      </c>
      <c r="I6189" s="36"/>
      <c r="J6189" s="125">
        <v>0</v>
      </c>
    </row>
    <row r="6190" spans="1:10" ht="15.75" hidden="1" thickBot="1" x14ac:dyDescent="0.3">
      <c r="A6190" s="249"/>
      <c r="B6190" s="240"/>
      <c r="C6190" s="155" t="s">
        <v>588</v>
      </c>
      <c r="D6190" s="155" t="s">
        <v>587</v>
      </c>
      <c r="E6190" s="34">
        <v>1</v>
      </c>
      <c r="F6190" s="31">
        <v>19.189999999999998</v>
      </c>
      <c r="G6190" s="28">
        <f>IF(ISNUMBER(F6190),E6190*F6190,"")</f>
        <v>19.189999999999998</v>
      </c>
      <c r="H6190" s="39"/>
      <c r="I6190" s="36"/>
      <c r="J6190" s="125">
        <v>0</v>
      </c>
    </row>
    <row r="6191" spans="1:10" ht="15.75" hidden="1" thickBot="1" x14ac:dyDescent="0.3">
      <c r="A6191" s="250"/>
      <c r="B6191" s="239"/>
      <c r="C6191" s="155"/>
      <c r="D6191" s="129"/>
      <c r="E6191" s="130"/>
      <c r="F6191" s="28" t="s">
        <v>418</v>
      </c>
      <c r="G6191" s="49"/>
      <c r="H6191" s="39"/>
      <c r="I6191" s="36"/>
      <c r="J6191" s="125">
        <v>0</v>
      </c>
    </row>
    <row r="6192" spans="1:10" ht="15.75" hidden="1" thickBot="1" x14ac:dyDescent="0.3">
      <c r="A6192" s="234" t="s">
        <v>13368</v>
      </c>
      <c r="B6192" s="237" t="s">
        <v>13138</v>
      </c>
      <c r="C6192" s="160"/>
      <c r="D6192" s="23" t="s">
        <v>70</v>
      </c>
      <c r="E6192" s="24"/>
      <c r="F6192" s="44" t="s">
        <v>418</v>
      </c>
      <c r="G6192" s="25" t="str">
        <f>IF(ISNUMBER(F6192),E6192*F6192,"")</f>
        <v/>
      </c>
      <c r="H6192" s="26"/>
      <c r="I6192" s="27"/>
      <c r="J6192" s="125">
        <v>0</v>
      </c>
    </row>
    <row r="6193" spans="1:10" ht="15.75" hidden="1" thickBot="1" x14ac:dyDescent="0.3">
      <c r="A6193" s="249"/>
      <c r="B6193" s="240"/>
      <c r="C6193" s="135"/>
      <c r="D6193" s="135"/>
      <c r="E6193" s="136"/>
      <c r="F6193" s="49" t="s">
        <v>418</v>
      </c>
      <c r="G6193" s="49" t="str">
        <f>IF(ISNUMBER(F6193),E6193*F6193,"")</f>
        <v/>
      </c>
      <c r="H6193" s="65"/>
      <c r="I6193" s="66"/>
      <c r="J6193" s="125">
        <v>0</v>
      </c>
    </row>
    <row r="6194" spans="1:10" ht="15.75" hidden="1" thickBot="1" x14ac:dyDescent="0.3">
      <c r="A6194" s="249"/>
      <c r="B6194" s="240"/>
      <c r="C6194" s="155" t="s">
        <v>595</v>
      </c>
      <c r="D6194" s="155" t="s">
        <v>587</v>
      </c>
      <c r="E6194" s="34">
        <v>1.5</v>
      </c>
      <c r="F6194" s="28">
        <v>25.65</v>
      </c>
      <c r="G6194" s="31">
        <f>IF(ISNUMBER(F6194),E6194*F6194,"")</f>
        <v>38.474999999999994</v>
      </c>
      <c r="H6194" s="35">
        <f>SUM(G6194:G6195)</f>
        <v>57.664999999999992</v>
      </c>
      <c r="I6194" s="36"/>
      <c r="J6194" s="125">
        <v>0</v>
      </c>
    </row>
    <row r="6195" spans="1:10" ht="15.75" hidden="1" thickBot="1" x14ac:dyDescent="0.3">
      <c r="A6195" s="249"/>
      <c r="B6195" s="240"/>
      <c r="C6195" s="155" t="s">
        <v>588</v>
      </c>
      <c r="D6195" s="155" t="s">
        <v>587</v>
      </c>
      <c r="E6195" s="34">
        <v>1</v>
      </c>
      <c r="F6195" s="31">
        <v>19.189999999999998</v>
      </c>
      <c r="G6195" s="28">
        <f>IF(ISNUMBER(F6195),E6195*F6195,"")</f>
        <v>19.189999999999998</v>
      </c>
      <c r="H6195" s="39"/>
      <c r="I6195" s="36"/>
      <c r="J6195" s="125">
        <v>0</v>
      </c>
    </row>
    <row r="6196" spans="1:10" ht="15.75" hidden="1" thickBot="1" x14ac:dyDescent="0.3">
      <c r="A6196" s="250"/>
      <c r="B6196" s="239"/>
      <c r="C6196" s="155"/>
      <c r="D6196" s="129"/>
      <c r="E6196" s="130"/>
      <c r="F6196" s="28" t="s">
        <v>418</v>
      </c>
      <c r="G6196" s="49"/>
      <c r="H6196" s="39"/>
      <c r="I6196" s="36"/>
      <c r="J6196" s="125">
        <v>0</v>
      </c>
    </row>
    <row r="6197" spans="1:10" ht="15.75" hidden="1" thickBot="1" x14ac:dyDescent="0.3">
      <c r="A6197" s="234" t="s">
        <v>13369</v>
      </c>
      <c r="B6197" s="237" t="s">
        <v>19656</v>
      </c>
      <c r="C6197" s="160"/>
      <c r="D6197" s="23" t="s">
        <v>81</v>
      </c>
      <c r="E6197" s="24"/>
      <c r="F6197" s="44" t="s">
        <v>418</v>
      </c>
      <c r="G6197" s="25" t="str">
        <f>IF(ISNUMBER(F6197),E6197*F6197,"")</f>
        <v/>
      </c>
      <c r="H6197" s="26"/>
      <c r="I6197" s="27"/>
      <c r="J6197" s="125">
        <v>0</v>
      </c>
    </row>
    <row r="6198" spans="1:10" ht="15.75" hidden="1" thickBot="1" x14ac:dyDescent="0.3">
      <c r="A6198" s="249"/>
      <c r="B6198" s="240"/>
      <c r="C6198" s="135"/>
      <c r="D6198" s="135"/>
      <c r="E6198" s="136"/>
      <c r="F6198" s="49" t="s">
        <v>418</v>
      </c>
      <c r="G6198" s="49" t="str">
        <f>IF(ISNUMBER(F6198),E6198*F6198,"")</f>
        <v/>
      </c>
      <c r="H6198" s="65"/>
      <c r="I6198" s="66"/>
      <c r="J6198" s="125">
        <v>0</v>
      </c>
    </row>
    <row r="6199" spans="1:10" ht="15.75" hidden="1" thickBot="1" x14ac:dyDescent="0.3">
      <c r="A6199" s="249"/>
      <c r="B6199" s="240"/>
      <c r="C6199" s="155" t="s">
        <v>595</v>
      </c>
      <c r="D6199" s="155" t="s">
        <v>587</v>
      </c>
      <c r="E6199" s="130">
        <v>7.4147999999999996</v>
      </c>
      <c r="F6199" s="28">
        <v>25.65</v>
      </c>
      <c r="G6199" s="49">
        <f>IF(ISNUMBER(F6199),E6199*F6199,"")</f>
        <v>190.18961999999999</v>
      </c>
      <c r="H6199" s="35">
        <f>SUM(G6199:G6201)</f>
        <v>285.04962799999998</v>
      </c>
      <c r="I6199" s="36"/>
      <c r="J6199" s="125">
        <v>0</v>
      </c>
    </row>
    <row r="6200" spans="1:10" ht="15.75" hidden="1" thickBot="1" x14ac:dyDescent="0.3">
      <c r="A6200" s="249"/>
      <c r="B6200" s="240"/>
      <c r="C6200" s="155" t="s">
        <v>588</v>
      </c>
      <c r="D6200" s="155" t="s">
        <v>587</v>
      </c>
      <c r="E6200" s="130">
        <v>4.9432</v>
      </c>
      <c r="F6200" s="28">
        <v>19.189999999999998</v>
      </c>
      <c r="G6200" s="49">
        <f>IF(ISNUMBER(F6200),E6200*F6200,"")</f>
        <v>94.860007999999993</v>
      </c>
      <c r="H6200" s="39"/>
      <c r="I6200" s="36"/>
      <c r="J6200" s="125">
        <v>0</v>
      </c>
    </row>
    <row r="6201" spans="1:10" ht="15.75" hidden="1" thickBot="1" x14ac:dyDescent="0.3">
      <c r="A6201" s="249"/>
      <c r="B6201" s="240"/>
      <c r="C6201" s="155" t="s">
        <v>13569</v>
      </c>
      <c r="D6201" s="129" t="s">
        <v>28</v>
      </c>
      <c r="E6201" s="130">
        <f>1.203*2000</f>
        <v>2406</v>
      </c>
      <c r="F6201" s="28" t="s">
        <v>418</v>
      </c>
      <c r="G6201" s="49" t="str">
        <f>IF(ISNUMBER(F6201),E6201*F6201,"")</f>
        <v/>
      </c>
      <c r="H6201" s="39"/>
      <c r="I6201" s="36"/>
      <c r="J6201" s="125">
        <v>0</v>
      </c>
    </row>
    <row r="6202" spans="1:10" ht="15.75" hidden="1" thickBot="1" x14ac:dyDescent="0.3">
      <c r="A6202" s="249"/>
      <c r="B6202" s="240"/>
      <c r="C6202" s="155"/>
      <c r="D6202" s="129"/>
      <c r="E6202" s="130"/>
      <c r="F6202" s="28" t="s">
        <v>418</v>
      </c>
      <c r="G6202" s="49"/>
      <c r="H6202" s="39"/>
      <c r="I6202" s="36"/>
      <c r="J6202" s="125">
        <v>0</v>
      </c>
    </row>
    <row r="6203" spans="1:10" ht="39" hidden="1" thickBot="1" x14ac:dyDescent="0.3">
      <c r="A6203" s="249"/>
      <c r="B6203" s="240"/>
      <c r="C6203" s="47" t="s">
        <v>13570</v>
      </c>
      <c r="D6203" s="129"/>
      <c r="E6203" s="130"/>
      <c r="F6203" s="28" t="s">
        <v>418</v>
      </c>
      <c r="G6203" s="49"/>
      <c r="H6203" s="39"/>
      <c r="I6203" s="36"/>
      <c r="J6203" s="125">
        <v>0</v>
      </c>
    </row>
    <row r="6204" spans="1:10" ht="15.75" hidden="1" thickBot="1" x14ac:dyDescent="0.3">
      <c r="A6204" s="250"/>
      <c r="B6204" s="239"/>
      <c r="C6204" s="155"/>
      <c r="D6204" s="129"/>
      <c r="E6204" s="130"/>
      <c r="F6204" s="28" t="s">
        <v>418</v>
      </c>
      <c r="G6204" s="49"/>
      <c r="H6204" s="39"/>
      <c r="I6204" s="36"/>
      <c r="J6204" s="125">
        <v>0</v>
      </c>
    </row>
    <row r="6205" spans="1:10" ht="15.75" hidden="1" thickBot="1" x14ac:dyDescent="0.3">
      <c r="A6205" s="234" t="s">
        <v>13370</v>
      </c>
      <c r="B6205" s="237" t="s">
        <v>19655</v>
      </c>
      <c r="C6205" s="160"/>
      <c r="D6205" s="23" t="s">
        <v>28</v>
      </c>
      <c r="E6205" s="24"/>
      <c r="F6205" s="44" t="s">
        <v>418</v>
      </c>
      <c r="G6205" s="25" t="str">
        <f>IF(ISNUMBER(F6205),E6205*F6205,"")</f>
        <v/>
      </c>
      <c r="H6205" s="26"/>
      <c r="I6205" s="27"/>
      <c r="J6205" s="125">
        <v>0</v>
      </c>
    </row>
    <row r="6206" spans="1:10" ht="15.75" hidden="1" thickBot="1" x14ac:dyDescent="0.3">
      <c r="A6206" s="249"/>
      <c r="B6206" s="240"/>
      <c r="C6206" s="135"/>
      <c r="D6206" s="135"/>
      <c r="E6206" s="136"/>
      <c r="F6206" s="49" t="s">
        <v>418</v>
      </c>
      <c r="G6206" s="49" t="str">
        <f>IF(ISNUMBER(F6206),E6206*F6206,"")</f>
        <v/>
      </c>
      <c r="H6206" s="65"/>
      <c r="I6206" s="66"/>
      <c r="J6206" s="125">
        <v>0</v>
      </c>
    </row>
    <row r="6207" spans="1:10" ht="39" hidden="1" thickBot="1" x14ac:dyDescent="0.3">
      <c r="A6207" s="249"/>
      <c r="B6207" s="240"/>
      <c r="C6207" s="155" t="s">
        <v>775</v>
      </c>
      <c r="D6207" s="155" t="s">
        <v>205</v>
      </c>
      <c r="E6207" s="130">
        <v>0.21199999999999999</v>
      </c>
      <c r="F6207" s="28">
        <v>0.20899999999999999</v>
      </c>
      <c r="G6207" s="49">
        <f>IF(ISNUMBER(F6207),E6207*F6207,"")</f>
        <v>4.4308E-2</v>
      </c>
      <c r="H6207" s="35">
        <f>SUM(G6207:G6211)</f>
        <v>13.309754600000002</v>
      </c>
      <c r="I6207" s="36"/>
      <c r="J6207" s="125">
        <v>0</v>
      </c>
    </row>
    <row r="6208" spans="1:10" ht="26.25" hidden="1" thickBot="1" x14ac:dyDescent="0.3">
      <c r="A6208" s="249"/>
      <c r="B6208" s="240"/>
      <c r="C6208" s="155" t="s">
        <v>10385</v>
      </c>
      <c r="D6208" s="155" t="s">
        <v>774</v>
      </c>
      <c r="E6208" s="130">
        <v>2.5000000000000001E-2</v>
      </c>
      <c r="F6208" s="28">
        <v>26.41</v>
      </c>
      <c r="G6208" s="49">
        <f>IF(ISNUMBER(F6208),E6208*F6208,"")</f>
        <v>0.66025</v>
      </c>
      <c r="H6208" s="39"/>
      <c r="I6208" s="36"/>
      <c r="J6208" s="125">
        <v>0</v>
      </c>
    </row>
    <row r="6209" spans="1:10" ht="15.75" hidden="1" thickBot="1" x14ac:dyDescent="0.3">
      <c r="A6209" s="249"/>
      <c r="B6209" s="240"/>
      <c r="C6209" s="155" t="s">
        <v>776</v>
      </c>
      <c r="D6209" s="155" t="s">
        <v>587</v>
      </c>
      <c r="E6209" s="130">
        <v>4.3E-3</v>
      </c>
      <c r="F6209" s="28">
        <v>18.201999999999998</v>
      </c>
      <c r="G6209" s="49">
        <f>IF(ISNUMBER(F6209),E6209*F6209,"")</f>
        <v>7.8268599999999994E-2</v>
      </c>
      <c r="H6209" s="39"/>
      <c r="I6209" s="36"/>
      <c r="J6209" s="125">
        <v>0</v>
      </c>
    </row>
    <row r="6210" spans="1:10" ht="15.75" hidden="1" thickBot="1" x14ac:dyDescent="0.3">
      <c r="A6210" s="249"/>
      <c r="B6210" s="240"/>
      <c r="C6210" s="155" t="s">
        <v>777</v>
      </c>
      <c r="D6210" s="155" t="s">
        <v>587</v>
      </c>
      <c r="E6210" s="130">
        <v>2.6100000000000002E-2</v>
      </c>
      <c r="F6210" s="28">
        <v>25.46</v>
      </c>
      <c r="G6210" s="49">
        <f>IF(ISNUMBER(F6210),E6210*F6210,"")</f>
        <v>0.66450600000000004</v>
      </c>
      <c r="H6210" s="39"/>
      <c r="I6210" s="36"/>
      <c r="J6210" s="125">
        <v>0</v>
      </c>
    </row>
    <row r="6211" spans="1:10" ht="15.75" hidden="1" thickBot="1" x14ac:dyDescent="0.3">
      <c r="A6211" s="249"/>
      <c r="B6211" s="240"/>
      <c r="C6211" s="155" t="s">
        <v>16455</v>
      </c>
      <c r="D6211" s="155" t="s">
        <v>774</v>
      </c>
      <c r="E6211" s="130">
        <v>1</v>
      </c>
      <c r="F6211" s="28">
        <v>11.862422</v>
      </c>
      <c r="G6211" s="49">
        <f>IF(ISNUMBER(F6211),E6211*F6211,"")</f>
        <v>11.862422</v>
      </c>
      <c r="H6211" s="39"/>
      <c r="I6211" s="36"/>
      <c r="J6211" s="125">
        <v>0</v>
      </c>
    </row>
    <row r="6212" spans="1:10" ht="15.75" hidden="1" thickBot="1" x14ac:dyDescent="0.3">
      <c r="A6212" s="250"/>
      <c r="B6212" s="239"/>
      <c r="C6212" s="155"/>
      <c r="D6212" s="129"/>
      <c r="E6212" s="130"/>
      <c r="F6212" s="28" t="s">
        <v>418</v>
      </c>
      <c r="G6212" s="49"/>
      <c r="H6212" s="39"/>
      <c r="I6212" s="36"/>
      <c r="J6212" s="125">
        <v>0</v>
      </c>
    </row>
    <row r="6213" spans="1:10" ht="15.75" hidden="1" thickBot="1" x14ac:dyDescent="0.3">
      <c r="A6213" s="234" t="s">
        <v>13371</v>
      </c>
      <c r="B6213" s="237" t="s">
        <v>19654</v>
      </c>
      <c r="C6213" s="160"/>
      <c r="D6213" s="23" t="s">
        <v>81</v>
      </c>
      <c r="E6213" s="24"/>
      <c r="F6213" s="44" t="s">
        <v>418</v>
      </c>
      <c r="G6213" s="25" t="str">
        <f>IF(ISNUMBER(F6213),E6213*F6213,"")</f>
        <v/>
      </c>
      <c r="H6213" s="26"/>
      <c r="I6213" s="27"/>
      <c r="J6213" s="125">
        <v>0</v>
      </c>
    </row>
    <row r="6214" spans="1:10" ht="15.75" hidden="1" thickBot="1" x14ac:dyDescent="0.3">
      <c r="A6214" s="249"/>
      <c r="B6214" s="240"/>
      <c r="C6214" s="135"/>
      <c r="D6214" s="135"/>
      <c r="E6214" s="136"/>
      <c r="F6214" s="49" t="s">
        <v>418</v>
      </c>
      <c r="G6214" s="49" t="str">
        <f>IF(ISNUMBER(F6214),E6214*F6214,"")</f>
        <v/>
      </c>
      <c r="H6214" s="65"/>
      <c r="I6214" s="66"/>
      <c r="J6214" s="125">
        <v>0</v>
      </c>
    </row>
    <row r="6215" spans="1:10" ht="39" hidden="1" thickBot="1" x14ac:dyDescent="0.3">
      <c r="A6215" s="249"/>
      <c r="B6215" s="240"/>
      <c r="C6215" s="155" t="s">
        <v>13610</v>
      </c>
      <c r="D6215" s="155" t="s">
        <v>85</v>
      </c>
      <c r="E6215" s="130">
        <v>1.103</v>
      </c>
      <c r="F6215" s="28">
        <v>754.47673804588499</v>
      </c>
      <c r="G6215" s="49">
        <f>IF(ISNUMBER(F6215),E6215*F6215,"")</f>
        <v>832.18784206461112</v>
      </c>
      <c r="H6215" s="35">
        <f>SUM(G6215:G6220)</f>
        <v>1116.5322565646111</v>
      </c>
      <c r="I6215" s="36"/>
      <c r="J6215" s="125">
        <v>0</v>
      </c>
    </row>
    <row r="6216" spans="1:10" ht="15.75" hidden="1" thickBot="1" x14ac:dyDescent="0.3">
      <c r="A6216" s="249"/>
      <c r="B6216" s="240"/>
      <c r="C6216" s="155" t="s">
        <v>871</v>
      </c>
      <c r="D6216" s="155" t="s">
        <v>587</v>
      </c>
      <c r="E6216" s="130">
        <v>1.19</v>
      </c>
      <c r="F6216" s="28">
        <v>25.289000000000001</v>
      </c>
      <c r="G6216" s="49">
        <f>IF(ISNUMBER(F6216),E6216*F6216,"")</f>
        <v>30.093910000000001</v>
      </c>
      <c r="H6216" s="39"/>
      <c r="I6216" s="36"/>
      <c r="J6216" s="125">
        <v>0</v>
      </c>
    </row>
    <row r="6217" spans="1:10" ht="15.75" hidden="1" thickBot="1" x14ac:dyDescent="0.3">
      <c r="A6217" s="249"/>
      <c r="B6217" s="240"/>
      <c r="C6217" s="155" t="s">
        <v>595</v>
      </c>
      <c r="D6217" s="155" t="s">
        <v>587</v>
      </c>
      <c r="E6217" s="130">
        <v>3.5710000000000002</v>
      </c>
      <c r="F6217" s="28">
        <v>25.65</v>
      </c>
      <c r="G6217" s="49">
        <f>IF(ISNUMBER(F6217),E6217*F6217,"")</f>
        <v>91.596149999999994</v>
      </c>
      <c r="H6217" s="39"/>
      <c r="I6217" s="36"/>
      <c r="J6217" s="125">
        <v>0</v>
      </c>
    </row>
    <row r="6218" spans="1:10" ht="15.75" hidden="1" thickBot="1" x14ac:dyDescent="0.3">
      <c r="A6218" s="249"/>
      <c r="B6218" s="240"/>
      <c r="C6218" s="155" t="s">
        <v>588</v>
      </c>
      <c r="D6218" s="155" t="s">
        <v>587</v>
      </c>
      <c r="E6218" s="130">
        <v>8.407</v>
      </c>
      <c r="F6218" s="28">
        <v>19.189999999999998</v>
      </c>
      <c r="G6218" s="49">
        <f>IF(ISNUMBER(F6218),E6218*F6218,"")</f>
        <v>161.33032999999998</v>
      </c>
      <c r="H6218" s="39"/>
      <c r="I6218" s="36"/>
      <c r="J6218" s="125">
        <v>0</v>
      </c>
    </row>
    <row r="6219" spans="1:10" ht="26.25" hidden="1" thickBot="1" x14ac:dyDescent="0.3">
      <c r="A6219" s="249"/>
      <c r="B6219" s="240"/>
      <c r="C6219" s="155" t="s">
        <v>1016</v>
      </c>
      <c r="D6219" s="155" t="s">
        <v>814</v>
      </c>
      <c r="E6219" s="130">
        <v>0.94199999999999995</v>
      </c>
      <c r="F6219" s="28">
        <v>1.2825</v>
      </c>
      <c r="G6219" s="49">
        <f>IF(ISNUMBER(F6219),E6219*F6219,"")</f>
        <v>1.2081149999999998</v>
      </c>
      <c r="H6219" s="39"/>
      <c r="I6219" s="36"/>
      <c r="J6219" s="125">
        <v>0</v>
      </c>
    </row>
    <row r="6220" spans="1:10" ht="26.25" hidden="1" thickBot="1" x14ac:dyDescent="0.3">
      <c r="A6220" s="249"/>
      <c r="B6220" s="240"/>
      <c r="C6220" s="155" t="s">
        <v>1017</v>
      </c>
      <c r="D6220" s="155" t="s">
        <v>816</v>
      </c>
      <c r="E6220" s="130">
        <v>0.249</v>
      </c>
      <c r="F6220" s="28">
        <v>0.46549999999999997</v>
      </c>
      <c r="G6220" s="49">
        <f>IF(ISNUMBER(F6220),E6220*F6220,"")</f>
        <v>0.1159095</v>
      </c>
      <c r="H6220" s="39"/>
      <c r="I6220" s="36"/>
      <c r="J6220" s="125">
        <v>0</v>
      </c>
    </row>
    <row r="6221" spans="1:10" ht="15.75" hidden="1" thickBot="1" x14ac:dyDescent="0.3">
      <c r="A6221" s="250"/>
      <c r="B6221" s="239"/>
      <c r="C6221" s="155"/>
      <c r="D6221" s="129"/>
      <c r="E6221" s="130"/>
      <c r="F6221" s="28" t="s">
        <v>418</v>
      </c>
      <c r="G6221" s="49"/>
      <c r="H6221" s="39"/>
      <c r="I6221" s="36"/>
      <c r="J6221" s="125">
        <v>0</v>
      </c>
    </row>
    <row r="6222" spans="1:10" ht="15.75" hidden="1" thickBot="1" x14ac:dyDescent="0.3">
      <c r="A6222" s="234" t="s">
        <v>13372</v>
      </c>
      <c r="B6222" s="237" t="s">
        <v>19653</v>
      </c>
      <c r="C6222" s="160"/>
      <c r="D6222" s="23" t="s">
        <v>16</v>
      </c>
      <c r="E6222" s="24"/>
      <c r="F6222" s="44" t="s">
        <v>418</v>
      </c>
      <c r="G6222" s="25" t="str">
        <f>IF(ISNUMBER(F6222),E6222*F6222,"")</f>
        <v/>
      </c>
      <c r="H6222" s="26"/>
      <c r="I6222" s="27"/>
      <c r="J6222" s="125">
        <v>0</v>
      </c>
    </row>
    <row r="6223" spans="1:10" ht="15.75" hidden="1" thickBot="1" x14ac:dyDescent="0.3">
      <c r="A6223" s="249"/>
      <c r="B6223" s="240"/>
      <c r="C6223" s="135"/>
      <c r="D6223" s="135"/>
      <c r="E6223" s="136"/>
      <c r="F6223" s="49" t="s">
        <v>418</v>
      </c>
      <c r="G6223" s="49" t="str">
        <f>IF(ISNUMBER(F6223),E6223*F6223,"")</f>
        <v/>
      </c>
      <c r="H6223" s="65"/>
      <c r="I6223" s="66"/>
      <c r="J6223" s="125">
        <v>0</v>
      </c>
    </row>
    <row r="6224" spans="1:10" ht="26.25" hidden="1" thickBot="1" x14ac:dyDescent="0.3">
      <c r="A6224" s="249"/>
      <c r="B6224" s="240"/>
      <c r="C6224" s="155" t="s">
        <v>975</v>
      </c>
      <c r="D6224" s="155" t="s">
        <v>814</v>
      </c>
      <c r="E6224" s="130">
        <v>0.36699999999999999</v>
      </c>
      <c r="F6224" s="28">
        <v>24.738</v>
      </c>
      <c r="G6224" s="49">
        <f>IF(ISNUMBER(F6224),E6224*F6224,"")</f>
        <v>9.0788460000000004</v>
      </c>
      <c r="H6224" s="35">
        <f>SUM(G6224:G6227)</f>
        <v>60.328809499999998</v>
      </c>
      <c r="I6224" s="36"/>
      <c r="J6224" s="125">
        <v>0</v>
      </c>
    </row>
    <row r="6225" spans="1:10" ht="26.25" hidden="1" thickBot="1" x14ac:dyDescent="0.3">
      <c r="A6225" s="249"/>
      <c r="B6225" s="240"/>
      <c r="C6225" s="155" t="s">
        <v>976</v>
      </c>
      <c r="D6225" s="155" t="s">
        <v>816</v>
      </c>
      <c r="E6225" s="130">
        <v>0.80500000000000005</v>
      </c>
      <c r="F6225" s="28">
        <v>23.122999999999998</v>
      </c>
      <c r="G6225" s="49">
        <f>IF(ISNUMBER(F6225),E6225*F6225,"")</f>
        <v>18.614014999999998</v>
      </c>
      <c r="H6225" s="39"/>
      <c r="I6225" s="36"/>
      <c r="J6225" s="125">
        <v>0</v>
      </c>
    </row>
    <row r="6226" spans="1:10" ht="26.25" hidden="1" thickBot="1" x14ac:dyDescent="0.3">
      <c r="A6226" s="249"/>
      <c r="B6226" s="240"/>
      <c r="C6226" s="155" t="s">
        <v>824</v>
      </c>
      <c r="D6226" s="155" t="s">
        <v>587</v>
      </c>
      <c r="E6226" s="130">
        <v>0.183</v>
      </c>
      <c r="F6226" s="28">
        <v>18.6295</v>
      </c>
      <c r="G6226" s="49">
        <f>IF(ISNUMBER(F6226),E6226*F6226,"")</f>
        <v>3.4091985</v>
      </c>
      <c r="H6226" s="39"/>
      <c r="I6226" s="36"/>
      <c r="J6226" s="125">
        <v>0</v>
      </c>
    </row>
    <row r="6227" spans="1:10" ht="26.25" hidden="1" thickBot="1" x14ac:dyDescent="0.3">
      <c r="A6227" s="249"/>
      <c r="B6227" s="240"/>
      <c r="C6227" s="155" t="s">
        <v>825</v>
      </c>
      <c r="D6227" s="155" t="s">
        <v>587</v>
      </c>
      <c r="E6227" s="130">
        <v>1.1719999999999999</v>
      </c>
      <c r="F6227" s="28">
        <v>24.9375</v>
      </c>
      <c r="G6227" s="49">
        <f>IF(ISNUMBER(F6227),E6227*F6227,"")</f>
        <v>29.226749999999999</v>
      </c>
      <c r="H6227" s="39"/>
      <c r="I6227" s="36"/>
      <c r="J6227" s="125">
        <v>0</v>
      </c>
    </row>
    <row r="6228" spans="1:10" ht="15.75" hidden="1" thickBot="1" x14ac:dyDescent="0.3">
      <c r="A6228" s="250"/>
      <c r="B6228" s="239"/>
      <c r="C6228" s="155"/>
      <c r="D6228" s="129"/>
      <c r="E6228" s="130"/>
      <c r="F6228" s="28" t="s">
        <v>418</v>
      </c>
      <c r="G6228" s="49"/>
      <c r="H6228" s="39"/>
      <c r="I6228" s="36"/>
      <c r="J6228" s="125">
        <v>0</v>
      </c>
    </row>
    <row r="6229" spans="1:10" ht="15.75" hidden="1" thickBot="1" x14ac:dyDescent="0.3">
      <c r="A6229" s="234" t="s">
        <v>13373</v>
      </c>
      <c r="B6229" s="244" t="s">
        <v>13139</v>
      </c>
      <c r="C6229" s="160"/>
      <c r="D6229" s="168" t="s">
        <v>28</v>
      </c>
      <c r="E6229" s="24"/>
      <c r="F6229" s="44" t="s">
        <v>418</v>
      </c>
      <c r="G6229" s="25" t="str">
        <f>IF(ISNUMBER(F6229),E6229*F6229,"")</f>
        <v/>
      </c>
      <c r="H6229" s="26"/>
      <c r="I6229" s="27"/>
      <c r="J6229" s="125">
        <v>0</v>
      </c>
    </row>
    <row r="6230" spans="1:10" ht="15.75" hidden="1" thickBot="1" x14ac:dyDescent="0.3">
      <c r="A6230" s="249"/>
      <c r="B6230" s="251"/>
      <c r="C6230" s="135"/>
      <c r="D6230" s="135"/>
      <c r="E6230" s="136"/>
      <c r="F6230" s="49" t="s">
        <v>418</v>
      </c>
      <c r="G6230" s="49" t="str">
        <f>IF(ISNUMBER(F6230),E6230*F6230,"")</f>
        <v/>
      </c>
      <c r="H6230" s="65"/>
      <c r="I6230" s="66"/>
      <c r="J6230" s="125">
        <v>0</v>
      </c>
    </row>
    <row r="6231" spans="1:10" ht="15.75" hidden="1" thickBot="1" x14ac:dyDescent="0.3">
      <c r="A6231" s="249"/>
      <c r="B6231" s="251"/>
      <c r="C6231" s="155" t="s">
        <v>595</v>
      </c>
      <c r="D6231" s="155" t="s">
        <v>587</v>
      </c>
      <c r="E6231" s="130">
        <f>1/5</f>
        <v>0.2</v>
      </c>
      <c r="F6231" s="28">
        <v>25.65</v>
      </c>
      <c r="G6231" s="49">
        <f>IF(ISNUMBER(F6231),E6231*F6231,"")</f>
        <v>5.13</v>
      </c>
      <c r="H6231" s="35">
        <f>SUM(G6231:G6233)</f>
        <v>69.587500000000006</v>
      </c>
      <c r="I6231" s="36"/>
      <c r="J6231" s="125">
        <v>0</v>
      </c>
    </row>
    <row r="6232" spans="1:10" ht="15.75" hidden="1" thickBot="1" x14ac:dyDescent="0.3">
      <c r="A6232" s="249"/>
      <c r="B6232" s="251"/>
      <c r="C6232" s="155" t="s">
        <v>588</v>
      </c>
      <c r="D6232" s="155" t="s">
        <v>587</v>
      </c>
      <c r="E6232" s="130">
        <f>1/5</f>
        <v>0.2</v>
      </c>
      <c r="F6232" s="28">
        <v>19.189999999999998</v>
      </c>
      <c r="G6232" s="49">
        <f>IF(ISNUMBER(F6232),E6232*F6232,"")</f>
        <v>3.8379999999999996</v>
      </c>
      <c r="H6232" s="39"/>
      <c r="I6232" s="36"/>
      <c r="J6232" s="125">
        <v>0</v>
      </c>
    </row>
    <row r="6233" spans="1:10" ht="26.25" hidden="1" thickBot="1" x14ac:dyDescent="0.3">
      <c r="A6233" s="249"/>
      <c r="B6233" s="251"/>
      <c r="C6233" s="155" t="s">
        <v>10232</v>
      </c>
      <c r="D6233" s="155" t="s">
        <v>774</v>
      </c>
      <c r="E6233" s="130">
        <v>1</v>
      </c>
      <c r="F6233" s="28">
        <v>60.619500000000002</v>
      </c>
      <c r="G6233" s="49">
        <f>IF(ISNUMBER(F6233),E6233*F6233,"")</f>
        <v>60.619500000000002</v>
      </c>
      <c r="H6233" s="39"/>
      <c r="I6233" s="36"/>
      <c r="J6233" s="125">
        <v>0</v>
      </c>
    </row>
    <row r="6234" spans="1:10" ht="15.75" hidden="1" thickBot="1" x14ac:dyDescent="0.3">
      <c r="A6234" s="250"/>
      <c r="B6234" s="246"/>
      <c r="C6234" s="155"/>
      <c r="D6234" s="129"/>
      <c r="E6234" s="130"/>
      <c r="F6234" s="28" t="s">
        <v>418</v>
      </c>
      <c r="G6234" s="49"/>
      <c r="H6234" s="39"/>
      <c r="I6234" s="36"/>
      <c r="J6234" s="125">
        <v>0</v>
      </c>
    </row>
    <row r="6235" spans="1:10" ht="15.75" hidden="1" thickBot="1" x14ac:dyDescent="0.3">
      <c r="A6235" s="234" t="s">
        <v>13374</v>
      </c>
      <c r="B6235" s="237" t="s">
        <v>19652</v>
      </c>
      <c r="C6235" s="160"/>
      <c r="D6235" s="23" t="s">
        <v>69</v>
      </c>
      <c r="E6235" s="24"/>
      <c r="F6235" s="44" t="s">
        <v>418</v>
      </c>
      <c r="G6235" s="25" t="str">
        <f>IF(ISNUMBER(F6235),E6235*F6235,"")</f>
        <v/>
      </c>
      <c r="H6235" s="26"/>
      <c r="I6235" s="27"/>
      <c r="J6235" s="125">
        <v>0</v>
      </c>
    </row>
    <row r="6236" spans="1:10" ht="15.75" hidden="1" thickBot="1" x14ac:dyDescent="0.3">
      <c r="A6236" s="249"/>
      <c r="B6236" s="240"/>
      <c r="C6236" s="135"/>
      <c r="D6236" s="135"/>
      <c r="E6236" s="136"/>
      <c r="F6236" s="49" t="s">
        <v>418</v>
      </c>
      <c r="G6236" s="49" t="str">
        <f>IF(ISNUMBER(F6236),E6236*F6236,"")</f>
        <v/>
      </c>
      <c r="H6236" s="65"/>
      <c r="I6236" s="66"/>
      <c r="J6236" s="125">
        <v>0</v>
      </c>
    </row>
    <row r="6237" spans="1:10" ht="15.75" hidden="1" thickBot="1" x14ac:dyDescent="0.3">
      <c r="A6237" s="249"/>
      <c r="B6237" s="240"/>
      <c r="C6237" s="155" t="s">
        <v>595</v>
      </c>
      <c r="D6237" s="155" t="s">
        <v>587</v>
      </c>
      <c r="E6237" s="130">
        <v>1.103</v>
      </c>
      <c r="F6237" s="28">
        <v>25.65</v>
      </c>
      <c r="G6237" s="49">
        <f>IF(ISNUMBER(F6237),E6237*F6237,"")</f>
        <v>28.291949999999996</v>
      </c>
      <c r="H6237" s="35">
        <f>SUM(G6237:G6240)</f>
        <v>139.1383428327461</v>
      </c>
      <c r="I6237" s="36"/>
      <c r="J6237" s="125">
        <v>0</v>
      </c>
    </row>
    <row r="6238" spans="1:10" ht="15.75" hidden="1" thickBot="1" x14ac:dyDescent="0.3">
      <c r="A6238" s="249"/>
      <c r="B6238" s="240"/>
      <c r="C6238" s="155" t="s">
        <v>588</v>
      </c>
      <c r="D6238" s="155" t="s">
        <v>587</v>
      </c>
      <c r="E6238" s="130">
        <v>1.33</v>
      </c>
      <c r="F6238" s="28">
        <v>19.189999999999998</v>
      </c>
      <c r="G6238" s="49">
        <f>IF(ISNUMBER(F6238),E6238*F6238,"")</f>
        <v>25.522699999999997</v>
      </c>
      <c r="H6238" s="39"/>
      <c r="I6238" s="36"/>
      <c r="J6238" s="125">
        <v>0</v>
      </c>
    </row>
    <row r="6239" spans="1:10" ht="15.75" hidden="1" thickBot="1" x14ac:dyDescent="0.3">
      <c r="A6239" s="249"/>
      <c r="B6239" s="240"/>
      <c r="C6239" s="155" t="s">
        <v>16448</v>
      </c>
      <c r="D6239" s="155" t="s">
        <v>774</v>
      </c>
      <c r="E6239" s="130">
        <v>2.1230000000000002</v>
      </c>
      <c r="F6239" s="28">
        <v>9.6272696</v>
      </c>
      <c r="G6239" s="49">
        <f>IF(ISNUMBER(F6239),E6239*F6239,"")</f>
        <v>20.438693360800002</v>
      </c>
      <c r="H6239" s="39"/>
      <c r="I6239" s="36"/>
      <c r="J6239" s="125">
        <v>0</v>
      </c>
    </row>
    <row r="6240" spans="1:10" ht="39" hidden="1" thickBot="1" x14ac:dyDescent="0.3">
      <c r="A6240" s="249"/>
      <c r="B6240" s="240"/>
      <c r="C6240" s="155" t="s">
        <v>13610</v>
      </c>
      <c r="D6240" s="155" t="s">
        <v>85</v>
      </c>
      <c r="E6240" s="130">
        <v>8.5999999999999993E-2</v>
      </c>
      <c r="F6240" s="28">
        <v>754.47673804588499</v>
      </c>
      <c r="G6240" s="49">
        <f>IF(ISNUMBER(F6240),E6240*F6240,"")</f>
        <v>64.884999471946102</v>
      </c>
      <c r="H6240" s="39"/>
      <c r="I6240" s="36"/>
      <c r="J6240" s="125">
        <v>0</v>
      </c>
    </row>
    <row r="6241" spans="1:10" ht="15.75" hidden="1" thickBot="1" x14ac:dyDescent="0.3">
      <c r="A6241" s="250"/>
      <c r="B6241" s="239"/>
      <c r="C6241" s="155"/>
      <c r="D6241" s="129"/>
      <c r="E6241" s="130"/>
      <c r="F6241" s="28" t="s">
        <v>418</v>
      </c>
      <c r="G6241" s="49"/>
      <c r="H6241" s="39"/>
      <c r="I6241" s="36"/>
      <c r="J6241" s="125">
        <v>0</v>
      </c>
    </row>
    <row r="6242" spans="1:10" ht="15.75" hidden="1" thickBot="1" x14ac:dyDescent="0.3">
      <c r="A6242" s="234" t="s">
        <v>13375</v>
      </c>
      <c r="B6242" s="237" t="s">
        <v>19651</v>
      </c>
      <c r="C6242" s="160"/>
      <c r="D6242" s="23" t="s">
        <v>16</v>
      </c>
      <c r="E6242" s="24"/>
      <c r="F6242" s="44" t="s">
        <v>418</v>
      </c>
      <c r="G6242" s="25" t="str">
        <f>IF(ISNUMBER(F6242),E6242*F6242,"")</f>
        <v/>
      </c>
      <c r="H6242" s="26"/>
      <c r="I6242" s="27"/>
      <c r="J6242" s="125">
        <v>0</v>
      </c>
    </row>
    <row r="6243" spans="1:10" ht="15.75" hidden="1" thickBot="1" x14ac:dyDescent="0.3">
      <c r="A6243" s="249"/>
      <c r="B6243" s="240"/>
      <c r="C6243" s="135"/>
      <c r="D6243" s="135"/>
      <c r="E6243" s="136"/>
      <c r="F6243" s="49" t="s">
        <v>418</v>
      </c>
      <c r="G6243" s="49" t="str">
        <f>IF(ISNUMBER(F6243),E6243*F6243,"")</f>
        <v/>
      </c>
      <c r="H6243" s="65"/>
      <c r="I6243" s="66"/>
      <c r="J6243" s="125">
        <v>0</v>
      </c>
    </row>
    <row r="6244" spans="1:10" ht="15.75" hidden="1" thickBot="1" x14ac:dyDescent="0.3">
      <c r="A6244" s="249"/>
      <c r="B6244" s="240"/>
      <c r="C6244" s="155" t="s">
        <v>588</v>
      </c>
      <c r="D6244" s="155" t="s">
        <v>587</v>
      </c>
      <c r="E6244" s="130">
        <v>0.36299999999999999</v>
      </c>
      <c r="F6244" s="28">
        <v>19.189999999999998</v>
      </c>
      <c r="G6244" s="49">
        <f>IF(ISNUMBER(F6244),E6244*F6244,"")</f>
        <v>6.9659699999999987</v>
      </c>
      <c r="H6244" s="35">
        <f>SUM(G6244:G6246)</f>
        <v>15.418423999999998</v>
      </c>
      <c r="I6244" s="36"/>
      <c r="J6244" s="125">
        <v>0</v>
      </c>
    </row>
    <row r="6245" spans="1:10" ht="26.25" hidden="1" thickBot="1" x14ac:dyDescent="0.3">
      <c r="A6245" s="249"/>
      <c r="B6245" s="240"/>
      <c r="C6245" s="155" t="s">
        <v>12395</v>
      </c>
      <c r="D6245" s="155" t="s">
        <v>816</v>
      </c>
      <c r="E6245" s="130">
        <v>0.20030000000000001</v>
      </c>
      <c r="F6245" s="28">
        <v>22.220500000000001</v>
      </c>
      <c r="G6245" s="49">
        <f>IF(ISNUMBER(F6245),E6245*F6245,"")</f>
        <v>4.4507661500000006</v>
      </c>
      <c r="H6245" s="39"/>
      <c r="I6245" s="36"/>
      <c r="J6245" s="125">
        <v>0</v>
      </c>
    </row>
    <row r="6246" spans="1:10" ht="26.25" hidden="1" thickBot="1" x14ac:dyDescent="0.3">
      <c r="A6246" s="249"/>
      <c r="B6246" s="240"/>
      <c r="C6246" s="155" t="s">
        <v>12392</v>
      </c>
      <c r="D6246" s="155" t="s">
        <v>814</v>
      </c>
      <c r="E6246" s="130">
        <v>0.16270000000000001</v>
      </c>
      <c r="F6246" s="28">
        <v>24.595499999999998</v>
      </c>
      <c r="G6246" s="49">
        <f>IF(ISNUMBER(F6246),E6246*F6246,"")</f>
        <v>4.0016878499999997</v>
      </c>
      <c r="H6246" s="39"/>
      <c r="I6246" s="36"/>
      <c r="J6246" s="125">
        <v>0</v>
      </c>
    </row>
    <row r="6247" spans="1:10" ht="15.75" hidden="1" thickBot="1" x14ac:dyDescent="0.3">
      <c r="A6247" s="250"/>
      <c r="B6247" s="239"/>
      <c r="C6247" s="155"/>
      <c r="D6247" s="129"/>
      <c r="E6247" s="130"/>
      <c r="F6247" s="28" t="s">
        <v>418</v>
      </c>
      <c r="G6247" s="49"/>
      <c r="H6247" s="39"/>
      <c r="I6247" s="36"/>
      <c r="J6247" s="125">
        <v>0</v>
      </c>
    </row>
    <row r="6248" spans="1:10" ht="15.75" hidden="1" thickBot="1" x14ac:dyDescent="0.3">
      <c r="A6248" s="234" t="s">
        <v>13376</v>
      </c>
      <c r="B6248" s="237" t="s">
        <v>13140</v>
      </c>
      <c r="C6248" s="160"/>
      <c r="D6248" s="23" t="s">
        <v>16</v>
      </c>
      <c r="E6248" s="24"/>
      <c r="F6248" s="44" t="s">
        <v>418</v>
      </c>
      <c r="G6248" s="25" t="str">
        <f>IF(ISNUMBER(F6248),E6248*F6248,"")</f>
        <v/>
      </c>
      <c r="H6248" s="26"/>
      <c r="I6248" s="27"/>
      <c r="J6248" s="125">
        <v>0</v>
      </c>
    </row>
    <row r="6249" spans="1:10" ht="15.75" hidden="1" thickBot="1" x14ac:dyDescent="0.3">
      <c r="A6249" s="249"/>
      <c r="B6249" s="240"/>
      <c r="C6249" s="135"/>
      <c r="D6249" s="135"/>
      <c r="E6249" s="136"/>
      <c r="F6249" s="49" t="s">
        <v>418</v>
      </c>
      <c r="G6249" s="49" t="str">
        <f>IF(ISNUMBER(F6249),E6249*F6249,"")</f>
        <v/>
      </c>
      <c r="H6249" s="65"/>
      <c r="I6249" s="66"/>
      <c r="J6249" s="125">
        <v>0</v>
      </c>
    </row>
    <row r="6250" spans="1:10" ht="39" hidden="1" thickBot="1" x14ac:dyDescent="0.3">
      <c r="A6250" s="249"/>
      <c r="B6250" s="240"/>
      <c r="C6250" s="155" t="s">
        <v>10280</v>
      </c>
      <c r="D6250" s="129" t="s">
        <v>205</v>
      </c>
      <c r="E6250" s="130">
        <v>1</v>
      </c>
      <c r="F6250" s="28" t="s">
        <v>418</v>
      </c>
      <c r="G6250" s="49" t="str">
        <f>IF(ISNUMBER(F6250),E6250*F6250,"")</f>
        <v/>
      </c>
      <c r="H6250" s="35">
        <f>SUM(G6250:G6252)</f>
        <v>69.274352450000009</v>
      </c>
      <c r="I6250" s="36"/>
      <c r="J6250" s="125">
        <v>0</v>
      </c>
    </row>
    <row r="6251" spans="1:10" ht="15.75" hidden="1" thickBot="1" x14ac:dyDescent="0.3">
      <c r="A6251" s="249"/>
      <c r="B6251" s="240"/>
      <c r="C6251" s="155" t="s">
        <v>1022</v>
      </c>
      <c r="D6251" s="155" t="s">
        <v>587</v>
      </c>
      <c r="E6251" s="130">
        <v>1.5233000000000001</v>
      </c>
      <c r="F6251" s="28">
        <v>19.522500000000001</v>
      </c>
      <c r="G6251" s="49">
        <f>IF(ISNUMBER(F6251),E6251*F6251,"")</f>
        <v>29.738624250000004</v>
      </c>
      <c r="H6251" s="39"/>
      <c r="I6251" s="36"/>
      <c r="J6251" s="125">
        <v>0</v>
      </c>
    </row>
    <row r="6252" spans="1:10" ht="15.75" hidden="1" thickBot="1" x14ac:dyDescent="0.3">
      <c r="A6252" s="249"/>
      <c r="B6252" s="240"/>
      <c r="C6252" s="155" t="s">
        <v>1023</v>
      </c>
      <c r="D6252" s="155" t="s">
        <v>587</v>
      </c>
      <c r="E6252" s="130">
        <v>1.5233000000000001</v>
      </c>
      <c r="F6252" s="28">
        <v>25.954000000000001</v>
      </c>
      <c r="G6252" s="49">
        <f>IF(ISNUMBER(F6252),E6252*F6252,"")</f>
        <v>39.535728200000001</v>
      </c>
      <c r="H6252" s="39"/>
      <c r="I6252" s="36"/>
      <c r="J6252" s="125">
        <v>0</v>
      </c>
    </row>
    <row r="6253" spans="1:10" ht="15.75" hidden="1" thickBot="1" x14ac:dyDescent="0.3">
      <c r="A6253" s="250"/>
      <c r="B6253" s="239"/>
      <c r="C6253" s="155"/>
      <c r="D6253" s="129"/>
      <c r="E6253" s="130"/>
      <c r="F6253" s="28" t="s">
        <v>418</v>
      </c>
      <c r="G6253" s="49"/>
      <c r="H6253" s="39"/>
      <c r="I6253" s="36"/>
      <c r="J6253" s="125">
        <v>0</v>
      </c>
    </row>
    <row r="6254" spans="1:10" ht="15.75" hidden="1" thickBot="1" x14ac:dyDescent="0.3">
      <c r="A6254" s="234" t="s">
        <v>13377</v>
      </c>
      <c r="B6254" s="237" t="s">
        <v>19650</v>
      </c>
      <c r="C6254" s="160"/>
      <c r="D6254" s="23" t="s">
        <v>81</v>
      </c>
      <c r="E6254" s="24"/>
      <c r="F6254" s="44" t="s">
        <v>418</v>
      </c>
      <c r="G6254" s="25" t="str">
        <f>IF(ISNUMBER(F6254),E6254*F6254,"")</f>
        <v/>
      </c>
      <c r="H6254" s="26"/>
      <c r="I6254" s="27"/>
      <c r="J6254" s="125">
        <v>0</v>
      </c>
    </row>
    <row r="6255" spans="1:10" ht="15.75" hidden="1" thickBot="1" x14ac:dyDescent="0.3">
      <c r="A6255" s="249"/>
      <c r="B6255" s="240"/>
      <c r="C6255" s="135"/>
      <c r="D6255" s="135"/>
      <c r="E6255" s="136"/>
      <c r="F6255" s="49" t="s">
        <v>418</v>
      </c>
      <c r="G6255" s="49" t="str">
        <f>IF(ISNUMBER(F6255),E6255*F6255,"")</f>
        <v/>
      </c>
      <c r="H6255" s="65"/>
      <c r="I6255" s="66"/>
      <c r="J6255" s="125">
        <v>0</v>
      </c>
    </row>
    <row r="6256" spans="1:10" ht="39" hidden="1" thickBot="1" x14ac:dyDescent="0.3">
      <c r="A6256" s="249"/>
      <c r="B6256" s="240"/>
      <c r="C6256" s="155" t="s">
        <v>24604</v>
      </c>
      <c r="D6256" s="155" t="s">
        <v>85</v>
      </c>
      <c r="E6256" s="130">
        <v>1.103</v>
      </c>
      <c r="F6256" s="28">
        <v>1169.2884999999999</v>
      </c>
      <c r="G6256" s="49">
        <f>IF(ISNUMBER(F6256),E6256*F6256,"")</f>
        <v>1289.7252154999999</v>
      </c>
      <c r="H6256" s="35">
        <f>SUM(G6256:G6261)</f>
        <v>1328.266611</v>
      </c>
      <c r="I6256" s="36"/>
      <c r="J6256" s="125">
        <v>0</v>
      </c>
    </row>
    <row r="6257" spans="1:10" ht="15.75" hidden="1" thickBot="1" x14ac:dyDescent="0.3">
      <c r="A6257" s="249"/>
      <c r="B6257" s="240"/>
      <c r="C6257" s="155" t="s">
        <v>871</v>
      </c>
      <c r="D6257" s="155" t="s">
        <v>587</v>
      </c>
      <c r="E6257" s="130">
        <v>0.125</v>
      </c>
      <c r="F6257" s="28">
        <v>25.289000000000001</v>
      </c>
      <c r="G6257" s="49">
        <f>IF(ISNUMBER(F6257),E6257*F6257,"")</f>
        <v>3.1611250000000002</v>
      </c>
      <c r="H6257" s="39"/>
      <c r="I6257" s="36"/>
      <c r="J6257" s="125">
        <v>0</v>
      </c>
    </row>
    <row r="6258" spans="1:10" ht="15.75" hidden="1" thickBot="1" x14ac:dyDescent="0.3">
      <c r="A6258" s="249"/>
      <c r="B6258" s="240"/>
      <c r="C6258" s="155" t="s">
        <v>595</v>
      </c>
      <c r="D6258" s="155" t="s">
        <v>587</v>
      </c>
      <c r="E6258" s="130">
        <v>0.753</v>
      </c>
      <c r="F6258" s="28">
        <v>25.65</v>
      </c>
      <c r="G6258" s="49">
        <f>IF(ISNUMBER(F6258),E6258*F6258,"")</f>
        <v>19.314449999999997</v>
      </c>
      <c r="H6258" s="39"/>
      <c r="I6258" s="36"/>
      <c r="J6258" s="125">
        <v>0</v>
      </c>
    </row>
    <row r="6259" spans="1:10" ht="15.75" hidden="1" thickBot="1" x14ac:dyDescent="0.3">
      <c r="A6259" s="249"/>
      <c r="B6259" s="240"/>
      <c r="C6259" s="155" t="s">
        <v>588</v>
      </c>
      <c r="D6259" s="155" t="s">
        <v>587</v>
      </c>
      <c r="E6259" s="130">
        <v>0.82599999999999996</v>
      </c>
      <c r="F6259" s="28">
        <v>19.189999999999998</v>
      </c>
      <c r="G6259" s="49">
        <f>IF(ISNUMBER(F6259),E6259*F6259,"")</f>
        <v>15.850939999999998</v>
      </c>
      <c r="H6259" s="39"/>
      <c r="I6259" s="36"/>
      <c r="J6259" s="125">
        <v>0</v>
      </c>
    </row>
    <row r="6260" spans="1:10" ht="26.25" hidden="1" thickBot="1" x14ac:dyDescent="0.3">
      <c r="A6260" s="249"/>
      <c r="B6260" s="240"/>
      <c r="C6260" s="155" t="s">
        <v>1016</v>
      </c>
      <c r="D6260" s="155" t="s">
        <v>814</v>
      </c>
      <c r="E6260" s="130">
        <v>0.12</v>
      </c>
      <c r="F6260" s="28">
        <v>1.2825</v>
      </c>
      <c r="G6260" s="49">
        <f>IF(ISNUMBER(F6260),E6260*F6260,"")</f>
        <v>0.15389999999999998</v>
      </c>
      <c r="H6260" s="39"/>
      <c r="I6260" s="36"/>
      <c r="J6260" s="125">
        <v>0</v>
      </c>
    </row>
    <row r="6261" spans="1:10" ht="26.25" hidden="1" thickBot="1" x14ac:dyDescent="0.3">
      <c r="A6261" s="249"/>
      <c r="B6261" s="240"/>
      <c r="C6261" s="155" t="s">
        <v>1017</v>
      </c>
      <c r="D6261" s="155" t="s">
        <v>816</v>
      </c>
      <c r="E6261" s="130">
        <v>0.13100000000000001</v>
      </c>
      <c r="F6261" s="28">
        <v>0.46549999999999997</v>
      </c>
      <c r="G6261" s="49">
        <f>IF(ISNUMBER(F6261),E6261*F6261,"")</f>
        <v>6.09805E-2</v>
      </c>
      <c r="H6261" s="39"/>
      <c r="I6261" s="36"/>
      <c r="J6261" s="125">
        <v>0</v>
      </c>
    </row>
    <row r="6262" spans="1:10" ht="15.75" hidden="1" thickBot="1" x14ac:dyDescent="0.3">
      <c r="A6262" s="250"/>
      <c r="B6262" s="239"/>
      <c r="C6262" s="155"/>
      <c r="D6262" s="129"/>
      <c r="E6262" s="130"/>
      <c r="F6262" s="28" t="s">
        <v>418</v>
      </c>
      <c r="G6262" s="49"/>
      <c r="H6262" s="39"/>
      <c r="I6262" s="36"/>
      <c r="J6262" s="125">
        <v>0</v>
      </c>
    </row>
    <row r="6263" spans="1:10" ht="15.75" hidden="1" thickBot="1" x14ac:dyDescent="0.3">
      <c r="A6263" s="234" t="s">
        <v>13378</v>
      </c>
      <c r="B6263" s="237" t="s">
        <v>19649</v>
      </c>
      <c r="C6263" s="160"/>
      <c r="D6263" s="23" t="s">
        <v>69</v>
      </c>
      <c r="E6263" s="24"/>
      <c r="F6263" s="44" t="s">
        <v>418</v>
      </c>
      <c r="G6263" s="25" t="str">
        <f>IF(ISNUMBER(F6263),E6263*F6263,"")</f>
        <v/>
      </c>
      <c r="H6263" s="26"/>
      <c r="I6263" s="27"/>
      <c r="J6263" s="125">
        <v>0</v>
      </c>
    </row>
    <row r="6264" spans="1:10" ht="15.75" hidden="1" thickBot="1" x14ac:dyDescent="0.3">
      <c r="A6264" s="249"/>
      <c r="B6264" s="240"/>
      <c r="C6264" s="135"/>
      <c r="D6264" s="135"/>
      <c r="E6264" s="136"/>
      <c r="F6264" s="49" t="s">
        <v>418</v>
      </c>
      <c r="G6264" s="49" t="str">
        <f>IF(ISNUMBER(F6264),E6264*F6264,"")</f>
        <v/>
      </c>
      <c r="H6264" s="65"/>
      <c r="I6264" s="66"/>
      <c r="J6264" s="125">
        <v>0</v>
      </c>
    </row>
    <row r="6265" spans="1:10" ht="39" hidden="1" thickBot="1" x14ac:dyDescent="0.3">
      <c r="A6265" s="249"/>
      <c r="B6265" s="240"/>
      <c r="C6265" s="155" t="s">
        <v>24606</v>
      </c>
      <c r="D6265" s="155" t="s">
        <v>85</v>
      </c>
      <c r="E6265" s="130">
        <v>0.1426</v>
      </c>
      <c r="F6265" s="28">
        <v>1120.867</v>
      </c>
      <c r="G6265" s="49">
        <f>IF(ISNUMBER(F6265),E6265*F6265,"")</f>
        <v>159.83563419999999</v>
      </c>
      <c r="H6265" s="35">
        <f>SUM(G6265:G6272)</f>
        <v>205.48246505201499</v>
      </c>
      <c r="I6265" s="36"/>
      <c r="J6265" s="125">
        <v>0</v>
      </c>
    </row>
    <row r="6266" spans="1:10" ht="15.75" hidden="1" thickBot="1" x14ac:dyDescent="0.3">
      <c r="A6266" s="249"/>
      <c r="B6266" s="240"/>
      <c r="C6266" s="155" t="s">
        <v>588</v>
      </c>
      <c r="D6266" s="155" t="s">
        <v>587</v>
      </c>
      <c r="E6266" s="130">
        <v>0.27950000000000003</v>
      </c>
      <c r="F6266" s="28">
        <v>19.189999999999998</v>
      </c>
      <c r="G6266" s="49">
        <f>IF(ISNUMBER(F6266),E6266*F6266,"")</f>
        <v>5.3636049999999997</v>
      </c>
      <c r="H6266" s="39"/>
      <c r="I6266" s="36"/>
      <c r="J6266" s="125">
        <v>0</v>
      </c>
    </row>
    <row r="6267" spans="1:10" ht="51.75" hidden="1" thickBot="1" x14ac:dyDescent="0.3">
      <c r="A6267" s="249"/>
      <c r="B6267" s="240"/>
      <c r="C6267" s="155" t="s">
        <v>2506</v>
      </c>
      <c r="D6267" s="155" t="s">
        <v>814</v>
      </c>
      <c r="E6267" s="130">
        <v>3.4200000000000001E-2</v>
      </c>
      <c r="F6267" s="28">
        <v>397.60349999999994</v>
      </c>
      <c r="G6267" s="49">
        <f>IF(ISNUMBER(F6267),E6267*F6267,"")</f>
        <v>13.598039699999999</v>
      </c>
      <c r="H6267" s="39"/>
      <c r="I6267" s="36"/>
      <c r="J6267" s="125">
        <v>0</v>
      </c>
    </row>
    <row r="6268" spans="1:10" ht="51.75" hidden="1" thickBot="1" x14ac:dyDescent="0.3">
      <c r="A6268" s="249"/>
      <c r="B6268" s="240"/>
      <c r="C6268" s="155" t="s">
        <v>2764</v>
      </c>
      <c r="D6268" s="155" t="s">
        <v>816</v>
      </c>
      <c r="E6268" s="130">
        <v>6.1199999999999997E-2</v>
      </c>
      <c r="F6268" s="28">
        <v>162.01299999999998</v>
      </c>
      <c r="G6268" s="49">
        <f>IF(ISNUMBER(F6268),E6268*F6268,"")</f>
        <v>9.9151955999999988</v>
      </c>
      <c r="H6268" s="39"/>
      <c r="I6268" s="36"/>
      <c r="J6268" s="125">
        <v>0</v>
      </c>
    </row>
    <row r="6269" spans="1:10" ht="26.25" hidden="1" thickBot="1" x14ac:dyDescent="0.3">
      <c r="A6269" s="249"/>
      <c r="B6269" s="240"/>
      <c r="C6269" s="155" t="s">
        <v>656</v>
      </c>
      <c r="D6269" s="155" t="s">
        <v>587</v>
      </c>
      <c r="E6269" s="130">
        <v>6.4000000000000003E-3</v>
      </c>
      <c r="F6269" s="28">
        <v>122.71149999999999</v>
      </c>
      <c r="G6269" s="49">
        <f>IF(ISNUMBER(F6269),E6269*F6269,"")</f>
        <v>0.78535359999999999</v>
      </c>
      <c r="H6269" s="39"/>
      <c r="I6269" s="36"/>
      <c r="J6269" s="125">
        <v>0</v>
      </c>
    </row>
    <row r="6270" spans="1:10" ht="26.25" hidden="1" thickBot="1" x14ac:dyDescent="0.3">
      <c r="A6270" s="249"/>
      <c r="B6270" s="240"/>
      <c r="C6270" s="155" t="s">
        <v>18114</v>
      </c>
      <c r="D6270" s="155" t="s">
        <v>774</v>
      </c>
      <c r="E6270" s="130">
        <v>1.3913</v>
      </c>
      <c r="F6270" s="28">
        <v>10.3904502</v>
      </c>
      <c r="G6270" s="49">
        <f>IF(ISNUMBER(F6270),E6270*F6270,"")</f>
        <v>14.456233363259999</v>
      </c>
      <c r="H6270" s="39"/>
      <c r="I6270" s="36"/>
      <c r="J6270" s="125">
        <v>0</v>
      </c>
    </row>
    <row r="6271" spans="1:10" ht="39" hidden="1" thickBot="1" x14ac:dyDescent="0.3">
      <c r="A6271" s="249"/>
      <c r="B6271" s="240"/>
      <c r="C6271" s="155" t="s">
        <v>10601</v>
      </c>
      <c r="D6271" s="155" t="s">
        <v>1292</v>
      </c>
      <c r="E6271" s="130">
        <v>5.2400000000000002E-2</v>
      </c>
      <c r="F6271" s="28">
        <v>3.2108755499999999</v>
      </c>
      <c r="G6271" s="49">
        <f>IF(ISNUMBER(F6271),E6271*F6271,"")</f>
        <v>0.16824987882</v>
      </c>
      <c r="H6271" s="39"/>
      <c r="I6271" s="36"/>
      <c r="J6271" s="125">
        <v>0</v>
      </c>
    </row>
    <row r="6272" spans="1:10" ht="51.75" hidden="1" thickBot="1" x14ac:dyDescent="0.3">
      <c r="A6272" s="249"/>
      <c r="B6272" s="240"/>
      <c r="C6272" s="155" t="s">
        <v>10661</v>
      </c>
      <c r="D6272" s="155" t="s">
        <v>85</v>
      </c>
      <c r="E6272" s="130">
        <v>0.15709999999999999</v>
      </c>
      <c r="F6272" s="28">
        <v>8.6578848500000003</v>
      </c>
      <c r="G6272" s="49">
        <f>IF(ISNUMBER(F6272),E6272*F6272,"")</f>
        <v>1.3601537099350001</v>
      </c>
      <c r="H6272" s="39"/>
      <c r="I6272" s="36"/>
      <c r="J6272" s="125">
        <v>0</v>
      </c>
    </row>
    <row r="6273" spans="1:10" ht="15.75" hidden="1" thickBot="1" x14ac:dyDescent="0.3">
      <c r="A6273" s="250"/>
      <c r="B6273" s="239"/>
      <c r="C6273" s="155"/>
      <c r="D6273" s="129"/>
      <c r="E6273" s="130"/>
      <c r="F6273" s="28" t="s">
        <v>418</v>
      </c>
      <c r="G6273" s="49"/>
      <c r="H6273" s="39"/>
      <c r="I6273" s="36"/>
      <c r="J6273" s="125">
        <v>0</v>
      </c>
    </row>
    <row r="6274" spans="1:10" ht="15.75" hidden="1" thickBot="1" x14ac:dyDescent="0.3">
      <c r="A6274" s="234" t="s">
        <v>13379</v>
      </c>
      <c r="B6274" s="237" t="s">
        <v>19648</v>
      </c>
      <c r="C6274" s="160"/>
      <c r="D6274" s="23" t="s">
        <v>28</v>
      </c>
      <c r="E6274" s="24"/>
      <c r="F6274" s="44" t="s">
        <v>418</v>
      </c>
      <c r="G6274" s="25" t="str">
        <f>IF(ISNUMBER(F6274),E6274*F6274,"")</f>
        <v/>
      </c>
      <c r="H6274" s="26"/>
      <c r="I6274" s="27"/>
      <c r="J6274" s="125">
        <v>0</v>
      </c>
    </row>
    <row r="6275" spans="1:10" ht="15.75" hidden="1" thickBot="1" x14ac:dyDescent="0.3">
      <c r="A6275" s="249"/>
      <c r="B6275" s="240"/>
      <c r="C6275" s="135"/>
      <c r="D6275" s="135"/>
      <c r="E6275" s="136"/>
      <c r="F6275" s="49" t="s">
        <v>418</v>
      </c>
      <c r="G6275" s="49" t="str">
        <f>IF(ISNUMBER(F6275),E6275*F6275,"")</f>
        <v/>
      </c>
      <c r="H6275" s="65"/>
      <c r="I6275" s="66"/>
      <c r="J6275" s="125">
        <v>0</v>
      </c>
    </row>
    <row r="6276" spans="1:10" ht="39" hidden="1" thickBot="1" x14ac:dyDescent="0.3">
      <c r="A6276" s="249"/>
      <c r="B6276" s="240"/>
      <c r="C6276" s="155" t="s">
        <v>775</v>
      </c>
      <c r="D6276" s="155" t="s">
        <v>205</v>
      </c>
      <c r="E6276" s="130">
        <v>1.19</v>
      </c>
      <c r="F6276" s="28">
        <v>0.20899999999999999</v>
      </c>
      <c r="G6276" s="49">
        <f>IF(ISNUMBER(F6276),E6276*F6276,"")</f>
        <v>0.24870999999999999</v>
      </c>
      <c r="H6276" s="35">
        <f>SUM(G6276:G6280)</f>
        <v>15.593509000000001</v>
      </c>
      <c r="I6276" s="36"/>
      <c r="J6276" s="125">
        <v>0</v>
      </c>
    </row>
    <row r="6277" spans="1:10" ht="26.25" hidden="1" thickBot="1" x14ac:dyDescent="0.3">
      <c r="A6277" s="249"/>
      <c r="B6277" s="240"/>
      <c r="C6277" s="155" t="s">
        <v>10385</v>
      </c>
      <c r="D6277" s="155" t="s">
        <v>774</v>
      </c>
      <c r="E6277" s="130">
        <v>2.5000000000000001E-2</v>
      </c>
      <c r="F6277" s="28">
        <v>26.41</v>
      </c>
      <c r="G6277" s="49">
        <f>IF(ISNUMBER(F6277),E6277*F6277,"")</f>
        <v>0.66025</v>
      </c>
      <c r="H6277" s="39"/>
      <c r="I6277" s="36"/>
      <c r="J6277" s="125">
        <v>0</v>
      </c>
    </row>
    <row r="6278" spans="1:10" ht="15.75" hidden="1" thickBot="1" x14ac:dyDescent="0.3">
      <c r="A6278" s="249"/>
      <c r="B6278" s="240"/>
      <c r="C6278" s="155" t="s">
        <v>776</v>
      </c>
      <c r="D6278" s="155" t="s">
        <v>587</v>
      </c>
      <c r="E6278" s="130">
        <v>1.7500000000000002E-2</v>
      </c>
      <c r="F6278" s="28">
        <v>18.201999999999998</v>
      </c>
      <c r="G6278" s="49">
        <f>IF(ISNUMBER(F6278),E6278*F6278,"")</f>
        <v>0.31853500000000001</v>
      </c>
      <c r="H6278" s="39"/>
      <c r="I6278" s="36"/>
      <c r="J6278" s="125">
        <v>0</v>
      </c>
    </row>
    <row r="6279" spans="1:10" ht="15.75" hidden="1" thickBot="1" x14ac:dyDescent="0.3">
      <c r="A6279" s="249"/>
      <c r="B6279" s="240"/>
      <c r="C6279" s="155" t="s">
        <v>777</v>
      </c>
      <c r="D6279" s="155" t="s">
        <v>587</v>
      </c>
      <c r="E6279" s="130">
        <v>0.1069</v>
      </c>
      <c r="F6279" s="28">
        <v>25.46</v>
      </c>
      <c r="G6279" s="49">
        <f>IF(ISNUMBER(F6279),E6279*F6279,"")</f>
        <v>2.7216740000000001</v>
      </c>
      <c r="H6279" s="39"/>
      <c r="I6279" s="36"/>
      <c r="J6279" s="125">
        <v>0</v>
      </c>
    </row>
    <row r="6280" spans="1:10" ht="15.75" hidden="1" thickBot="1" x14ac:dyDescent="0.3">
      <c r="A6280" s="249"/>
      <c r="B6280" s="240"/>
      <c r="C6280" s="155" t="s">
        <v>16443</v>
      </c>
      <c r="D6280" s="155" t="s">
        <v>774</v>
      </c>
      <c r="E6280" s="130">
        <v>1</v>
      </c>
      <c r="F6280" s="28">
        <v>11.64434</v>
      </c>
      <c r="G6280" s="49">
        <f>IF(ISNUMBER(F6280),E6280*F6280,"")</f>
        <v>11.64434</v>
      </c>
      <c r="H6280" s="39"/>
      <c r="I6280" s="36"/>
      <c r="J6280" s="125">
        <v>0</v>
      </c>
    </row>
    <row r="6281" spans="1:10" ht="15.75" hidden="1" thickBot="1" x14ac:dyDescent="0.3">
      <c r="A6281" s="250"/>
      <c r="B6281" s="239"/>
      <c r="C6281" s="155"/>
      <c r="D6281" s="129"/>
      <c r="E6281" s="130"/>
      <c r="F6281" s="28" t="s">
        <v>418</v>
      </c>
      <c r="G6281" s="49"/>
      <c r="H6281" s="39"/>
      <c r="I6281" s="36"/>
      <c r="J6281" s="125">
        <v>0</v>
      </c>
    </row>
    <row r="6282" spans="1:10" ht="15.75" hidden="1" thickBot="1" x14ac:dyDescent="0.3">
      <c r="A6282" s="234" t="s">
        <v>13380</v>
      </c>
      <c r="B6282" s="237" t="s">
        <v>13141</v>
      </c>
      <c r="C6282" s="160"/>
      <c r="D6282" s="23" t="s">
        <v>70</v>
      </c>
      <c r="E6282" s="24"/>
      <c r="F6282" s="44" t="s">
        <v>418</v>
      </c>
      <c r="G6282" s="25" t="str">
        <f>IF(ISNUMBER(F6282),E6282*F6282,"")</f>
        <v/>
      </c>
      <c r="H6282" s="26"/>
      <c r="I6282" s="27"/>
      <c r="J6282" s="125">
        <v>0</v>
      </c>
    </row>
    <row r="6283" spans="1:10" ht="15.75" hidden="1" thickBot="1" x14ac:dyDescent="0.3">
      <c r="A6283" s="249"/>
      <c r="B6283" s="240"/>
      <c r="C6283" s="135"/>
      <c r="D6283" s="135"/>
      <c r="E6283" s="136"/>
      <c r="F6283" s="49" t="s">
        <v>418</v>
      </c>
      <c r="G6283" s="49" t="str">
        <f>IF(ISNUMBER(F6283),E6283*F6283,"")</f>
        <v/>
      </c>
      <c r="H6283" s="65"/>
      <c r="I6283" s="66"/>
      <c r="J6283" s="125">
        <v>0</v>
      </c>
    </row>
    <row r="6284" spans="1:10" ht="39" hidden="1" thickBot="1" x14ac:dyDescent="0.3">
      <c r="A6284" s="249"/>
      <c r="B6284" s="240"/>
      <c r="C6284" s="155" t="s">
        <v>10253</v>
      </c>
      <c r="D6284" s="155" t="s">
        <v>85</v>
      </c>
      <c r="E6284" s="130">
        <v>8.14E-2</v>
      </c>
      <c r="F6284" s="28">
        <v>1049.75</v>
      </c>
      <c r="G6284" s="49">
        <f>IF(ISNUMBER(F6284),E6284*F6284,"")</f>
        <v>85.449650000000005</v>
      </c>
      <c r="H6284" s="35">
        <f>SUM(G6284:G6288)</f>
        <v>129.564762</v>
      </c>
      <c r="I6284" s="36"/>
      <c r="J6284" s="125">
        <v>0</v>
      </c>
    </row>
    <row r="6285" spans="1:10" ht="26.25" hidden="1" thickBot="1" x14ac:dyDescent="0.3">
      <c r="A6285" s="249"/>
      <c r="B6285" s="240"/>
      <c r="C6285" s="155" t="s">
        <v>10262</v>
      </c>
      <c r="D6285" s="155" t="s">
        <v>774</v>
      </c>
      <c r="E6285" s="130">
        <v>4</v>
      </c>
      <c r="F6285" s="28">
        <v>10.069999999999999</v>
      </c>
      <c r="G6285" s="49">
        <f>IF(ISNUMBER(F6285),E6285*F6285,"")</f>
        <v>40.279999999999994</v>
      </c>
      <c r="H6285" s="39"/>
      <c r="I6285" s="36"/>
      <c r="J6285" s="125">
        <v>0</v>
      </c>
    </row>
    <row r="6286" spans="1:10" ht="15.75" hidden="1" thickBot="1" x14ac:dyDescent="0.3">
      <c r="A6286" s="249"/>
      <c r="B6286" s="240"/>
      <c r="C6286" s="155" t="s">
        <v>595</v>
      </c>
      <c r="D6286" s="155" t="s">
        <v>587</v>
      </c>
      <c r="E6286" s="130">
        <v>0.1119</v>
      </c>
      <c r="F6286" s="28">
        <v>25.65</v>
      </c>
      <c r="G6286" s="49">
        <f>IF(ISNUMBER(F6286),E6286*F6286,"")</f>
        <v>2.8702349999999996</v>
      </c>
      <c r="H6286" s="39"/>
      <c r="I6286" s="36"/>
      <c r="J6286" s="125">
        <v>0</v>
      </c>
    </row>
    <row r="6287" spans="1:10" ht="15.75" hidden="1" thickBot="1" x14ac:dyDescent="0.3">
      <c r="A6287" s="249"/>
      <c r="B6287" s="240"/>
      <c r="C6287" s="155" t="s">
        <v>588</v>
      </c>
      <c r="D6287" s="155" t="s">
        <v>587</v>
      </c>
      <c r="E6287" s="130">
        <v>4.6600000000000003E-2</v>
      </c>
      <c r="F6287" s="28">
        <v>19.189999999999998</v>
      </c>
      <c r="G6287" s="49">
        <f>IF(ISNUMBER(F6287),E6287*F6287,"")</f>
        <v>0.89425399999999999</v>
      </c>
      <c r="H6287" s="39"/>
      <c r="I6287" s="36"/>
      <c r="J6287" s="125">
        <v>0</v>
      </c>
    </row>
    <row r="6288" spans="1:10" ht="26.25" hidden="1" thickBot="1" x14ac:dyDescent="0.3">
      <c r="A6288" s="249"/>
      <c r="B6288" s="240"/>
      <c r="C6288" s="155" t="s">
        <v>21629</v>
      </c>
      <c r="D6288" s="155" t="s">
        <v>814</v>
      </c>
      <c r="E6288" s="130">
        <v>7.0000000000000001E-3</v>
      </c>
      <c r="F6288" s="28">
        <v>10.088999999999999</v>
      </c>
      <c r="G6288" s="49">
        <f>IF(ISNUMBER(F6288),E6288*F6288,"")</f>
        <v>7.0622999999999991E-2</v>
      </c>
      <c r="H6288" s="39"/>
      <c r="I6288" s="36"/>
      <c r="J6288" s="125">
        <v>0</v>
      </c>
    </row>
    <row r="6289" spans="1:10" ht="15.75" hidden="1" thickBot="1" x14ac:dyDescent="0.3">
      <c r="A6289" s="250"/>
      <c r="B6289" s="239"/>
      <c r="C6289" s="155"/>
      <c r="D6289" s="129"/>
      <c r="E6289" s="130"/>
      <c r="F6289" s="28" t="s">
        <v>418</v>
      </c>
      <c r="G6289" s="49"/>
      <c r="H6289" s="39"/>
      <c r="I6289" s="36"/>
      <c r="J6289" s="125">
        <v>0</v>
      </c>
    </row>
    <row r="6290" spans="1:10" ht="15.75" hidden="1" thickBot="1" x14ac:dyDescent="0.3">
      <c r="A6290" s="234" t="s">
        <v>13381</v>
      </c>
      <c r="B6290" s="237" t="s">
        <v>19635</v>
      </c>
      <c r="C6290" s="160"/>
      <c r="D6290" s="23" t="s">
        <v>69</v>
      </c>
      <c r="E6290" s="24"/>
      <c r="F6290" s="44" t="s">
        <v>418</v>
      </c>
      <c r="G6290" s="25" t="str">
        <f>IF(ISNUMBER(F6290),E6290*F6290,"")</f>
        <v/>
      </c>
      <c r="H6290" s="26"/>
      <c r="I6290" s="27"/>
      <c r="J6290" s="125">
        <v>0</v>
      </c>
    </row>
    <row r="6291" spans="1:10" ht="15.75" hidden="1" thickBot="1" x14ac:dyDescent="0.3">
      <c r="A6291" s="249"/>
      <c r="B6291" s="240"/>
      <c r="C6291" s="135"/>
      <c r="D6291" s="135"/>
      <c r="E6291" s="136"/>
      <c r="F6291" s="49" t="s">
        <v>418</v>
      </c>
      <c r="G6291" s="49" t="str">
        <f>IF(ISNUMBER(F6291),E6291*F6291,"")</f>
        <v/>
      </c>
      <c r="H6291" s="65"/>
      <c r="I6291" s="66"/>
      <c r="J6291" s="125">
        <v>0</v>
      </c>
    </row>
    <row r="6292" spans="1:10" ht="26.25" hidden="1" thickBot="1" x14ac:dyDescent="0.3">
      <c r="A6292" s="249"/>
      <c r="B6292" s="240"/>
      <c r="C6292" s="155" t="s">
        <v>1210</v>
      </c>
      <c r="D6292" s="155" t="s">
        <v>385</v>
      </c>
      <c r="E6292" s="130">
        <v>1.0353000000000001</v>
      </c>
      <c r="F6292" s="28">
        <v>56.686500000000002</v>
      </c>
      <c r="G6292" s="49">
        <f>IF(ISNUMBER(F6292),E6292*F6292,"")</f>
        <v>58.687533450000011</v>
      </c>
      <c r="H6292" s="35">
        <f>SUM(G6292:G6295)</f>
        <v>64.549958750000016</v>
      </c>
      <c r="I6292" s="36"/>
      <c r="J6292" s="125">
        <v>0</v>
      </c>
    </row>
    <row r="6293" spans="1:10" ht="15.75" hidden="1" thickBot="1" x14ac:dyDescent="0.3">
      <c r="A6293" s="249"/>
      <c r="B6293" s="240"/>
      <c r="C6293" s="155" t="s">
        <v>26048</v>
      </c>
      <c r="D6293" s="155" t="s">
        <v>205</v>
      </c>
      <c r="E6293" s="130">
        <v>7.2999999999999995E-2</v>
      </c>
      <c r="F6293" s="28">
        <v>2.1849999999999996</v>
      </c>
      <c r="G6293" s="49">
        <f>IF(ISNUMBER(F6293),E6293*F6293,"")</f>
        <v>0.15950499999999995</v>
      </c>
      <c r="H6293" s="39"/>
      <c r="I6293" s="36"/>
      <c r="J6293" s="125">
        <v>0</v>
      </c>
    </row>
    <row r="6294" spans="1:10" ht="26.25" hidden="1" thickBot="1" x14ac:dyDescent="0.3">
      <c r="A6294" s="249"/>
      <c r="B6294" s="240"/>
      <c r="C6294" s="155" t="s">
        <v>824</v>
      </c>
      <c r="D6294" s="155" t="s">
        <v>587</v>
      </c>
      <c r="E6294" s="130">
        <v>0.13089999999999999</v>
      </c>
      <c r="F6294" s="28">
        <v>18.6295</v>
      </c>
      <c r="G6294" s="49">
        <f>IF(ISNUMBER(F6294),E6294*F6294,"")</f>
        <v>2.43860155</v>
      </c>
      <c r="H6294" s="39"/>
      <c r="I6294" s="36"/>
      <c r="J6294" s="125">
        <v>0</v>
      </c>
    </row>
    <row r="6295" spans="1:10" ht="26.25" hidden="1" thickBot="1" x14ac:dyDescent="0.3">
      <c r="A6295" s="249"/>
      <c r="B6295" s="240"/>
      <c r="C6295" s="155" t="s">
        <v>825</v>
      </c>
      <c r="D6295" s="155" t="s">
        <v>587</v>
      </c>
      <c r="E6295" s="130">
        <v>0.13089999999999999</v>
      </c>
      <c r="F6295" s="28">
        <v>24.9375</v>
      </c>
      <c r="G6295" s="49">
        <f>IF(ISNUMBER(F6295),E6295*F6295,"")</f>
        <v>3.2643187499999997</v>
      </c>
      <c r="H6295" s="39"/>
      <c r="I6295" s="36"/>
      <c r="J6295" s="125">
        <v>0</v>
      </c>
    </row>
    <row r="6296" spans="1:10" ht="15.75" hidden="1" thickBot="1" x14ac:dyDescent="0.3">
      <c r="A6296" s="250"/>
      <c r="B6296" s="239"/>
      <c r="C6296" s="155"/>
      <c r="D6296" s="129"/>
      <c r="E6296" s="130"/>
      <c r="F6296" s="28" t="s">
        <v>418</v>
      </c>
      <c r="G6296" s="49"/>
      <c r="H6296" s="39"/>
      <c r="I6296" s="36"/>
      <c r="J6296" s="125">
        <v>0</v>
      </c>
    </row>
    <row r="6297" spans="1:10" ht="15.75" hidden="1" thickBot="1" x14ac:dyDescent="0.3">
      <c r="A6297" s="234" t="s">
        <v>13382</v>
      </c>
      <c r="B6297" s="244" t="s">
        <v>13142</v>
      </c>
      <c r="C6297" s="160"/>
      <c r="D6297" s="23" t="s">
        <v>70</v>
      </c>
      <c r="E6297" s="24"/>
      <c r="F6297" s="44" t="s">
        <v>418</v>
      </c>
      <c r="G6297" s="25" t="str">
        <f>IF(ISNUMBER(F6297),E6297*F6297,"")</f>
        <v/>
      </c>
      <c r="H6297" s="26"/>
      <c r="I6297" s="27"/>
      <c r="J6297" s="125">
        <v>0</v>
      </c>
    </row>
    <row r="6298" spans="1:10" ht="15.75" hidden="1" thickBot="1" x14ac:dyDescent="0.3">
      <c r="A6298" s="249"/>
      <c r="B6298" s="251"/>
      <c r="C6298" s="135"/>
      <c r="D6298" s="135"/>
      <c r="E6298" s="136"/>
      <c r="F6298" s="49" t="s">
        <v>418</v>
      </c>
      <c r="G6298" s="49" t="str">
        <f>IF(ISNUMBER(F6298),E6298*F6298,"")</f>
        <v/>
      </c>
      <c r="H6298" s="65"/>
      <c r="I6298" s="66"/>
      <c r="J6298" s="125">
        <v>0</v>
      </c>
    </row>
    <row r="6299" spans="1:10" ht="26.25" hidden="1" thickBot="1" x14ac:dyDescent="0.3">
      <c r="A6299" s="249"/>
      <c r="B6299" s="251"/>
      <c r="C6299" s="155" t="s">
        <v>23864</v>
      </c>
      <c r="D6299" s="155" t="s">
        <v>205</v>
      </c>
      <c r="E6299" s="130">
        <v>10.204000000000001</v>
      </c>
      <c r="F6299" s="28">
        <v>6.7829999999999995</v>
      </c>
      <c r="G6299" s="49">
        <f>IF(ISNUMBER(F6299),E6299*F6299,"")</f>
        <v>69.213731999999993</v>
      </c>
      <c r="H6299" s="35">
        <f>SUM(G6299:G6305)</f>
        <v>119.97924104849193</v>
      </c>
      <c r="I6299" s="36"/>
      <c r="J6299" s="125">
        <v>0</v>
      </c>
    </row>
    <row r="6300" spans="1:10" ht="26.25" hidden="1" thickBot="1" x14ac:dyDescent="0.3">
      <c r="A6300" s="249"/>
      <c r="B6300" s="251"/>
      <c r="C6300" s="155" t="s">
        <v>26477</v>
      </c>
      <c r="D6300" s="155" t="s">
        <v>205</v>
      </c>
      <c r="E6300" s="130">
        <v>1.46</v>
      </c>
      <c r="F6300" s="28">
        <v>3.8759999999999999</v>
      </c>
      <c r="G6300" s="49">
        <f>IF(ISNUMBER(F6300),E6300*F6300,"")</f>
        <v>5.6589599999999995</v>
      </c>
      <c r="H6300" s="39"/>
      <c r="I6300" s="36"/>
      <c r="J6300" s="125">
        <v>0</v>
      </c>
    </row>
    <row r="6301" spans="1:10" ht="26.25" hidden="1" thickBot="1" x14ac:dyDescent="0.3">
      <c r="A6301" s="249"/>
      <c r="B6301" s="251"/>
      <c r="C6301" s="155" t="s">
        <v>23860</v>
      </c>
      <c r="D6301" s="155" t="s">
        <v>205</v>
      </c>
      <c r="E6301" s="130">
        <v>1.46</v>
      </c>
      <c r="F6301" s="28">
        <v>6.2035</v>
      </c>
      <c r="G6301" s="49">
        <f>IF(ISNUMBER(F6301),E6301*F6301,"")</f>
        <v>9.0571099999999998</v>
      </c>
      <c r="H6301" s="39"/>
      <c r="I6301" s="36"/>
      <c r="J6301" s="125">
        <v>0</v>
      </c>
    </row>
    <row r="6302" spans="1:10" ht="26.25" hidden="1" thickBot="1" x14ac:dyDescent="0.3">
      <c r="A6302" s="249"/>
      <c r="B6302" s="251"/>
      <c r="C6302" s="155" t="s">
        <v>24357</v>
      </c>
      <c r="D6302" s="155" t="s">
        <v>205</v>
      </c>
      <c r="E6302" s="130">
        <v>0.97</v>
      </c>
      <c r="F6302" s="28">
        <v>7.637999999999999</v>
      </c>
      <c r="G6302" s="49">
        <f>IF(ISNUMBER(F6302),E6302*F6302,"")</f>
        <v>7.4088599999999989</v>
      </c>
      <c r="H6302" s="39"/>
      <c r="I6302" s="36"/>
      <c r="J6302" s="125">
        <v>0</v>
      </c>
    </row>
    <row r="6303" spans="1:10" ht="15.75" hidden="1" thickBot="1" x14ac:dyDescent="0.3">
      <c r="A6303" s="249"/>
      <c r="B6303" s="251"/>
      <c r="C6303" s="155" t="s">
        <v>595</v>
      </c>
      <c r="D6303" s="155" t="s">
        <v>587</v>
      </c>
      <c r="E6303" s="130">
        <v>0.45</v>
      </c>
      <c r="F6303" s="28">
        <v>25.65</v>
      </c>
      <c r="G6303" s="49">
        <f>IF(ISNUMBER(F6303),E6303*F6303,"")</f>
        <v>11.5425</v>
      </c>
      <c r="H6303" s="39"/>
      <c r="I6303" s="36"/>
      <c r="J6303" s="125">
        <v>0</v>
      </c>
    </row>
    <row r="6304" spans="1:10" ht="15.75" hidden="1" thickBot="1" x14ac:dyDescent="0.3">
      <c r="A6304" s="249"/>
      <c r="B6304" s="251"/>
      <c r="C6304" s="155" t="s">
        <v>588</v>
      </c>
      <c r="D6304" s="155" t="s">
        <v>587</v>
      </c>
      <c r="E6304" s="130">
        <v>0.45</v>
      </c>
      <c r="F6304" s="28">
        <v>19.189999999999998</v>
      </c>
      <c r="G6304" s="49">
        <f>IF(ISNUMBER(F6304),E6304*F6304,"")</f>
        <v>8.6354999999999986</v>
      </c>
      <c r="H6304" s="39"/>
      <c r="I6304" s="36"/>
      <c r="J6304" s="125">
        <v>0</v>
      </c>
    </row>
    <row r="6305" spans="1:10" ht="51.75" hidden="1" thickBot="1" x14ac:dyDescent="0.3">
      <c r="A6305" s="249"/>
      <c r="B6305" s="251"/>
      <c r="C6305" s="155" t="s">
        <v>9188</v>
      </c>
      <c r="D6305" s="155" t="s">
        <v>85</v>
      </c>
      <c r="E6305" s="130">
        <v>1.1299999999999999E-2</v>
      </c>
      <c r="F6305" s="28">
        <v>748.9008007514999</v>
      </c>
      <c r="G6305" s="49">
        <f>IF(ISNUMBER(F6305),E6305*F6305,"")</f>
        <v>8.4625790484919481</v>
      </c>
      <c r="H6305" s="39"/>
      <c r="I6305" s="36"/>
      <c r="J6305" s="125">
        <v>0</v>
      </c>
    </row>
    <row r="6306" spans="1:10" ht="15.75" hidden="1" thickBot="1" x14ac:dyDescent="0.3">
      <c r="A6306" s="250"/>
      <c r="B6306" s="246"/>
      <c r="C6306" s="155"/>
      <c r="D6306" s="129"/>
      <c r="E6306" s="130"/>
      <c r="F6306" s="28" t="s">
        <v>418</v>
      </c>
      <c r="G6306" s="49"/>
      <c r="H6306" s="39"/>
      <c r="I6306" s="36"/>
      <c r="J6306" s="125">
        <v>0</v>
      </c>
    </row>
    <row r="6307" spans="1:10" ht="15.75" hidden="1" thickBot="1" x14ac:dyDescent="0.3">
      <c r="A6307" s="234" t="s">
        <v>13383</v>
      </c>
      <c r="B6307" s="237" t="s">
        <v>13143</v>
      </c>
      <c r="C6307" s="160"/>
      <c r="D6307" s="23" t="s">
        <v>16</v>
      </c>
      <c r="E6307" s="24"/>
      <c r="F6307" s="44" t="s">
        <v>418</v>
      </c>
      <c r="G6307" s="25" t="str">
        <f>IF(ISNUMBER(F6307),E6307*F6307,"")</f>
        <v/>
      </c>
      <c r="H6307" s="26"/>
      <c r="I6307" s="27"/>
      <c r="J6307" s="125">
        <v>0</v>
      </c>
    </row>
    <row r="6308" spans="1:10" ht="15.75" hidden="1" thickBot="1" x14ac:dyDescent="0.3">
      <c r="A6308" s="249"/>
      <c r="B6308" s="240"/>
      <c r="C6308" s="135"/>
      <c r="D6308" s="135"/>
      <c r="E6308" s="136"/>
      <c r="F6308" s="49" t="s">
        <v>418</v>
      </c>
      <c r="G6308" s="49" t="str">
        <f>IF(ISNUMBER(F6308),E6308*F6308,"")</f>
        <v/>
      </c>
      <c r="H6308" s="65"/>
      <c r="I6308" s="66"/>
      <c r="J6308" s="125">
        <v>0</v>
      </c>
    </row>
    <row r="6309" spans="1:10" ht="15.75" hidden="1" thickBot="1" x14ac:dyDescent="0.3">
      <c r="A6309" s="249"/>
      <c r="B6309" s="240"/>
      <c r="C6309" s="155" t="s">
        <v>24359</v>
      </c>
      <c r="D6309" s="155" t="s">
        <v>205</v>
      </c>
      <c r="E6309" s="130">
        <v>21</v>
      </c>
      <c r="F6309" s="28">
        <v>5.2629999999999999</v>
      </c>
      <c r="G6309" s="49">
        <f>IF(ISNUMBER(F6309),E6309*F6309,"")</f>
        <v>110.523</v>
      </c>
      <c r="H6309" s="35">
        <f>SUM(G6309:G6329)</f>
        <v>1873.0938090906493</v>
      </c>
      <c r="I6309" s="36"/>
      <c r="J6309" s="125">
        <v>0</v>
      </c>
    </row>
    <row r="6310" spans="1:10" ht="26.25" hidden="1" thickBot="1" x14ac:dyDescent="0.3">
      <c r="A6310" s="249"/>
      <c r="B6310" s="240"/>
      <c r="C6310" s="155" t="s">
        <v>1014</v>
      </c>
      <c r="D6310" s="155" t="s">
        <v>76</v>
      </c>
      <c r="E6310" s="130">
        <v>8.2000000000000007E-3</v>
      </c>
      <c r="F6310" s="28">
        <v>7.8564999999999996</v>
      </c>
      <c r="G6310" s="49">
        <f>IF(ISNUMBER(F6310),E6310*F6310,"")</f>
        <v>6.4423300000000003E-2</v>
      </c>
      <c r="H6310" s="39"/>
      <c r="I6310" s="36"/>
      <c r="J6310" s="125">
        <v>0</v>
      </c>
    </row>
    <row r="6311" spans="1:10" ht="26.25" hidden="1" thickBot="1" x14ac:dyDescent="0.3">
      <c r="A6311" s="249"/>
      <c r="B6311" s="240"/>
      <c r="C6311" s="155" t="s">
        <v>11621</v>
      </c>
      <c r="D6311" s="155" t="s">
        <v>385</v>
      </c>
      <c r="E6311" s="130">
        <v>0.17760000000000001</v>
      </c>
      <c r="F6311" s="28">
        <v>5.548</v>
      </c>
      <c r="G6311" s="49">
        <f>IF(ISNUMBER(F6311),E6311*F6311,"")</f>
        <v>0.9853248</v>
      </c>
      <c r="H6311" s="39"/>
      <c r="I6311" s="36"/>
      <c r="J6311" s="125">
        <v>0</v>
      </c>
    </row>
    <row r="6312" spans="1:10" ht="26.25" hidden="1" thickBot="1" x14ac:dyDescent="0.3">
      <c r="A6312" s="249"/>
      <c r="B6312" s="240"/>
      <c r="C6312" s="155" t="s">
        <v>11623</v>
      </c>
      <c r="D6312" s="155" t="s">
        <v>385</v>
      </c>
      <c r="E6312" s="130">
        <v>0.2112</v>
      </c>
      <c r="F6312" s="28">
        <v>1.9379999999999999</v>
      </c>
      <c r="G6312" s="49">
        <f>IF(ISNUMBER(F6312),E6312*F6312,"")</f>
        <v>0.40930559999999999</v>
      </c>
      <c r="H6312" s="39"/>
      <c r="I6312" s="36"/>
      <c r="J6312" s="125">
        <v>0</v>
      </c>
    </row>
    <row r="6313" spans="1:10" ht="15.75" hidden="1" thickBot="1" x14ac:dyDescent="0.3">
      <c r="A6313" s="249"/>
      <c r="B6313" s="240"/>
      <c r="C6313" s="155" t="s">
        <v>27103</v>
      </c>
      <c r="D6313" s="155" t="s">
        <v>774</v>
      </c>
      <c r="E6313" s="130">
        <v>1.8700000000000001E-2</v>
      </c>
      <c r="F6313" s="28">
        <v>20.6815</v>
      </c>
      <c r="G6313" s="49">
        <f>IF(ISNUMBER(F6313),E6313*F6313,"")</f>
        <v>0.38674405000000001</v>
      </c>
      <c r="H6313" s="39"/>
      <c r="I6313" s="36"/>
      <c r="J6313" s="125">
        <v>0</v>
      </c>
    </row>
    <row r="6314" spans="1:10" ht="64.5" hidden="1" thickBot="1" x14ac:dyDescent="0.3">
      <c r="A6314" s="249"/>
      <c r="B6314" s="240"/>
      <c r="C6314" s="155" t="s">
        <v>2379</v>
      </c>
      <c r="D6314" s="155" t="s">
        <v>814</v>
      </c>
      <c r="E6314" s="130">
        <v>3.1300000000000001E-2</v>
      </c>
      <c r="F6314" s="28">
        <v>138.3295</v>
      </c>
      <c r="G6314" s="49">
        <f>IF(ISNUMBER(F6314),E6314*F6314,"")</f>
        <v>4.3297133500000005</v>
      </c>
      <c r="H6314" s="39"/>
      <c r="I6314" s="36"/>
      <c r="J6314" s="125">
        <v>0</v>
      </c>
    </row>
    <row r="6315" spans="1:10" ht="64.5" hidden="1" thickBot="1" x14ac:dyDescent="0.3">
      <c r="A6315" s="249"/>
      <c r="B6315" s="240"/>
      <c r="C6315" s="155" t="s">
        <v>2623</v>
      </c>
      <c r="D6315" s="155" t="s">
        <v>816</v>
      </c>
      <c r="E6315" s="130">
        <v>6.3700000000000007E-2</v>
      </c>
      <c r="F6315" s="28">
        <v>56.876499999999993</v>
      </c>
      <c r="G6315" s="49">
        <f>IF(ISNUMBER(F6315),E6315*F6315,"")</f>
        <v>3.6230330500000001</v>
      </c>
      <c r="H6315" s="39"/>
      <c r="I6315" s="36"/>
      <c r="J6315" s="125">
        <v>0</v>
      </c>
    </row>
    <row r="6316" spans="1:10" ht="39" hidden="1" thickBot="1" x14ac:dyDescent="0.3">
      <c r="A6316" s="249"/>
      <c r="B6316" s="240"/>
      <c r="C6316" s="155" t="s">
        <v>31184</v>
      </c>
      <c r="D6316" s="155" t="s">
        <v>385</v>
      </c>
      <c r="E6316" s="130">
        <v>0.66239999999999999</v>
      </c>
      <c r="F6316" s="28">
        <v>15.095499999999999</v>
      </c>
      <c r="G6316" s="49">
        <f>IF(ISNUMBER(F6316),E6316*F6316,"")</f>
        <v>9.9992591999999991</v>
      </c>
      <c r="H6316" s="39"/>
      <c r="I6316" s="36"/>
      <c r="J6316" s="125">
        <v>0</v>
      </c>
    </row>
    <row r="6317" spans="1:10" ht="26.25" hidden="1" thickBot="1" x14ac:dyDescent="0.3">
      <c r="A6317" s="249"/>
      <c r="B6317" s="240"/>
      <c r="C6317" s="155" t="s">
        <v>23872</v>
      </c>
      <c r="D6317" s="155" t="s">
        <v>205</v>
      </c>
      <c r="E6317" s="130">
        <v>47.175699999999999</v>
      </c>
      <c r="F6317" s="28">
        <v>8.4740000000000002</v>
      </c>
      <c r="G6317" s="49">
        <f>IF(ISNUMBER(F6317),E6317*F6317,"")</f>
        <v>399.76688180000002</v>
      </c>
      <c r="H6317" s="39"/>
      <c r="I6317" s="36"/>
      <c r="J6317" s="125">
        <v>0</v>
      </c>
    </row>
    <row r="6318" spans="1:10" ht="26.25" hidden="1" thickBot="1" x14ac:dyDescent="0.3">
      <c r="A6318" s="249"/>
      <c r="B6318" s="240"/>
      <c r="C6318" s="155" t="s">
        <v>38845</v>
      </c>
      <c r="D6318" s="155" t="s">
        <v>205</v>
      </c>
      <c r="E6318" s="130">
        <v>1</v>
      </c>
      <c r="F6318" s="28">
        <v>63.982499999999995</v>
      </c>
      <c r="G6318" s="49">
        <f>IF(ISNUMBER(F6318),E6318*F6318,"")</f>
        <v>63.982499999999995</v>
      </c>
      <c r="H6318" s="39"/>
      <c r="I6318" s="36"/>
      <c r="J6318" s="125">
        <v>0</v>
      </c>
    </row>
    <row r="6319" spans="1:10" ht="39" hidden="1" thickBot="1" x14ac:dyDescent="0.3">
      <c r="A6319" s="249"/>
      <c r="B6319" s="240"/>
      <c r="C6319" s="155" t="s">
        <v>880</v>
      </c>
      <c r="D6319" s="155" t="s">
        <v>85</v>
      </c>
      <c r="E6319" s="130">
        <v>4.1799999999999997E-2</v>
      </c>
      <c r="F6319" s="28">
        <v>675.01386778699998</v>
      </c>
      <c r="G6319" s="49">
        <f>IF(ISNUMBER(F6319),E6319*F6319,"")</f>
        <v>28.215579673496595</v>
      </c>
      <c r="H6319" s="39"/>
      <c r="I6319" s="36"/>
      <c r="J6319" s="125">
        <v>0</v>
      </c>
    </row>
    <row r="6320" spans="1:10" ht="15.75" hidden="1" thickBot="1" x14ac:dyDescent="0.3">
      <c r="A6320" s="249"/>
      <c r="B6320" s="240"/>
      <c r="C6320" s="155" t="s">
        <v>595</v>
      </c>
      <c r="D6320" s="155" t="s">
        <v>587</v>
      </c>
      <c r="E6320" s="130">
        <v>9.5631000000000004</v>
      </c>
      <c r="F6320" s="28">
        <v>25.65</v>
      </c>
      <c r="G6320" s="49">
        <f>IF(ISNUMBER(F6320),E6320*F6320,"")</f>
        <v>245.29351499999999</v>
      </c>
      <c r="H6320" s="39"/>
      <c r="I6320" s="36"/>
      <c r="J6320" s="125">
        <v>0</v>
      </c>
    </row>
    <row r="6321" spans="1:10" ht="15.75" hidden="1" thickBot="1" x14ac:dyDescent="0.3">
      <c r="A6321" s="249"/>
      <c r="B6321" s="240"/>
      <c r="C6321" s="155" t="s">
        <v>588</v>
      </c>
      <c r="D6321" s="155" t="s">
        <v>587</v>
      </c>
      <c r="E6321" s="130">
        <v>7.5138999999999996</v>
      </c>
      <c r="F6321" s="28">
        <v>19.189999999999998</v>
      </c>
      <c r="G6321" s="49">
        <f>IF(ISNUMBER(F6321),E6321*F6321,"")</f>
        <v>144.19174099999998</v>
      </c>
      <c r="H6321" s="39"/>
      <c r="I6321" s="36"/>
      <c r="J6321" s="125">
        <v>0</v>
      </c>
    </row>
    <row r="6322" spans="1:10" ht="26.25" hidden="1" thickBot="1" x14ac:dyDescent="0.3">
      <c r="A6322" s="249"/>
      <c r="B6322" s="240"/>
      <c r="C6322" s="155" t="s">
        <v>9182</v>
      </c>
      <c r="D6322" s="155" t="s">
        <v>85</v>
      </c>
      <c r="E6322" s="130">
        <v>0.47460000000000002</v>
      </c>
      <c r="F6322" s="28">
        <v>828.55930512949988</v>
      </c>
      <c r="G6322" s="49">
        <f>IF(ISNUMBER(F6322),E6322*F6322,"")</f>
        <v>393.23424621446065</v>
      </c>
      <c r="H6322" s="39"/>
      <c r="I6322" s="36"/>
      <c r="J6322" s="125">
        <v>0</v>
      </c>
    </row>
    <row r="6323" spans="1:10" ht="26.25" hidden="1" thickBot="1" x14ac:dyDescent="0.3">
      <c r="A6323" s="249"/>
      <c r="B6323" s="240"/>
      <c r="C6323" s="155" t="s">
        <v>14541</v>
      </c>
      <c r="D6323" s="155" t="s">
        <v>85</v>
      </c>
      <c r="E6323" s="130">
        <v>2.9899999999999999E-2</v>
      </c>
      <c r="F6323" s="28">
        <v>1421.4659791876941</v>
      </c>
      <c r="G6323" s="49">
        <f>IF(ISNUMBER(F6323),E6323*F6323,"")</f>
        <v>42.501832777712053</v>
      </c>
      <c r="H6323" s="39"/>
      <c r="I6323" s="36"/>
      <c r="J6323" s="125">
        <v>0</v>
      </c>
    </row>
    <row r="6324" spans="1:10" ht="26.25" hidden="1" thickBot="1" x14ac:dyDescent="0.3">
      <c r="A6324" s="249"/>
      <c r="B6324" s="240"/>
      <c r="C6324" s="155" t="s">
        <v>14543</v>
      </c>
      <c r="D6324" s="155" t="s">
        <v>85</v>
      </c>
      <c r="E6324" s="130">
        <v>6.1499999999999999E-2</v>
      </c>
      <c r="F6324" s="28">
        <v>1387.540377187694</v>
      </c>
      <c r="G6324" s="49">
        <f>IF(ISNUMBER(F6324),E6324*F6324,"")</f>
        <v>85.333733197043188</v>
      </c>
      <c r="H6324" s="39"/>
      <c r="I6324" s="36"/>
      <c r="J6324" s="125">
        <v>0</v>
      </c>
    </row>
    <row r="6325" spans="1:10" ht="26.25" hidden="1" thickBot="1" x14ac:dyDescent="0.3">
      <c r="A6325" s="249"/>
      <c r="B6325" s="240"/>
      <c r="C6325" s="155" t="s">
        <v>14526</v>
      </c>
      <c r="D6325" s="155" t="s">
        <v>774</v>
      </c>
      <c r="E6325" s="130">
        <v>0.98719999999999997</v>
      </c>
      <c r="F6325" s="28">
        <v>12.182571999999999</v>
      </c>
      <c r="G6325" s="49">
        <f>IF(ISNUMBER(F6325),E6325*F6325,"")</f>
        <v>12.026635078399998</v>
      </c>
      <c r="H6325" s="39"/>
      <c r="I6325" s="36"/>
      <c r="J6325" s="125">
        <v>0</v>
      </c>
    </row>
    <row r="6326" spans="1:10" ht="26.25" hidden="1" thickBot="1" x14ac:dyDescent="0.3">
      <c r="A6326" s="249"/>
      <c r="B6326" s="240"/>
      <c r="C6326" s="155" t="s">
        <v>14528</v>
      </c>
      <c r="D6326" s="155" t="s">
        <v>774</v>
      </c>
      <c r="E6326" s="130">
        <v>2.468</v>
      </c>
      <c r="F6326" s="28">
        <v>11.704513</v>
      </c>
      <c r="G6326" s="49">
        <f>IF(ISNUMBER(F6326),E6326*F6326,"")</f>
        <v>28.886738084000001</v>
      </c>
      <c r="H6326" s="39"/>
      <c r="I6326" s="36"/>
      <c r="J6326" s="125">
        <v>0</v>
      </c>
    </row>
    <row r="6327" spans="1:10" ht="39" hidden="1" thickBot="1" x14ac:dyDescent="0.3">
      <c r="A6327" s="249"/>
      <c r="B6327" s="240"/>
      <c r="C6327" s="155" t="s">
        <v>13610</v>
      </c>
      <c r="D6327" s="155" t="s">
        <v>85</v>
      </c>
      <c r="E6327" s="130">
        <v>0.1628</v>
      </c>
      <c r="F6327" s="28">
        <v>754.47673804588499</v>
      </c>
      <c r="G6327" s="49">
        <f>IF(ISNUMBER(F6327),E6327*F6327,"")</f>
        <v>122.82881295387007</v>
      </c>
      <c r="H6327" s="39"/>
      <c r="I6327" s="36"/>
      <c r="J6327" s="125">
        <v>0</v>
      </c>
    </row>
    <row r="6328" spans="1:10" ht="26.25" hidden="1" thickBot="1" x14ac:dyDescent="0.3">
      <c r="A6328" s="249"/>
      <c r="B6328" s="240"/>
      <c r="C6328" s="155" t="s">
        <v>5409</v>
      </c>
      <c r="D6328" s="155" t="s">
        <v>85</v>
      </c>
      <c r="E6328" s="130">
        <v>6.1600000000000002E-2</v>
      </c>
      <c r="F6328" s="28">
        <v>2756.5278945400514</v>
      </c>
      <c r="G6328" s="49">
        <f>IF(ISNUMBER(F6328),E6328*F6328,"")</f>
        <v>169.80211830366719</v>
      </c>
      <c r="H6328" s="39"/>
      <c r="I6328" s="36"/>
      <c r="J6328" s="125">
        <v>0</v>
      </c>
    </row>
    <row r="6329" spans="1:10" ht="26.25" hidden="1" thickBot="1" x14ac:dyDescent="0.3">
      <c r="A6329" s="249"/>
      <c r="B6329" s="240"/>
      <c r="C6329" s="155" t="s">
        <v>11522</v>
      </c>
      <c r="D6329" s="155" t="s">
        <v>870</v>
      </c>
      <c r="E6329" s="130">
        <v>1.17</v>
      </c>
      <c r="F6329" s="28">
        <v>5.7339073999999997</v>
      </c>
      <c r="G6329" s="49">
        <f>IF(ISNUMBER(F6329),E6329*F6329,"")</f>
        <v>6.7086716579999992</v>
      </c>
      <c r="H6329" s="39"/>
      <c r="I6329" s="36"/>
      <c r="J6329" s="125">
        <v>0</v>
      </c>
    </row>
    <row r="6330" spans="1:10" ht="15.75" hidden="1" thickBot="1" x14ac:dyDescent="0.3">
      <c r="A6330" s="250"/>
      <c r="B6330" s="239"/>
      <c r="C6330" s="155"/>
      <c r="D6330" s="129"/>
      <c r="E6330" s="130"/>
      <c r="F6330" s="28" t="s">
        <v>418</v>
      </c>
      <c r="G6330" s="49"/>
      <c r="H6330" s="39"/>
      <c r="I6330" s="36"/>
      <c r="J6330" s="125">
        <v>0</v>
      </c>
    </row>
    <row r="6331" spans="1:10" ht="15.75" hidden="1" thickBot="1" x14ac:dyDescent="0.3">
      <c r="A6331" s="234" t="s">
        <v>13384</v>
      </c>
      <c r="B6331" s="237" t="s">
        <v>13144</v>
      </c>
      <c r="C6331" s="160"/>
      <c r="D6331" s="23" t="s">
        <v>69</v>
      </c>
      <c r="E6331" s="24"/>
      <c r="F6331" s="44" t="s">
        <v>418</v>
      </c>
      <c r="G6331" s="25" t="str">
        <f>IF(ISNUMBER(F6331),E6331*F6331,"")</f>
        <v/>
      </c>
      <c r="H6331" s="26"/>
      <c r="I6331" s="27"/>
      <c r="J6331" s="125">
        <v>0</v>
      </c>
    </row>
    <row r="6332" spans="1:10" ht="15.75" hidden="1" thickBot="1" x14ac:dyDescent="0.3">
      <c r="A6332" s="249"/>
      <c r="B6332" s="240"/>
      <c r="C6332" s="135"/>
      <c r="D6332" s="135"/>
      <c r="E6332" s="136"/>
      <c r="F6332" s="49" t="s">
        <v>418</v>
      </c>
      <c r="G6332" s="49" t="str">
        <f>IF(ISNUMBER(F6332),E6332*F6332,"")</f>
        <v/>
      </c>
      <c r="H6332" s="65"/>
      <c r="I6332" s="66"/>
      <c r="J6332" s="125">
        <v>0</v>
      </c>
    </row>
    <row r="6333" spans="1:10" ht="26.25" hidden="1" thickBot="1" x14ac:dyDescent="0.3">
      <c r="A6333" s="249"/>
      <c r="B6333" s="240"/>
      <c r="C6333" s="155" t="s">
        <v>14497</v>
      </c>
      <c r="D6333" s="155" t="s">
        <v>774</v>
      </c>
      <c r="E6333" s="130" t="e">
        <f>3.12/#REF!</f>
        <v>#REF!</v>
      </c>
      <c r="F6333" s="28">
        <v>13.832569999999999</v>
      </c>
      <c r="G6333" s="49" t="e">
        <f>IF(ISNUMBER(F6333),E6333*F6333,"")</f>
        <v>#REF!</v>
      </c>
      <c r="H6333" s="35" t="e">
        <f>SUM(G6333:G6339)</f>
        <v>#REF!</v>
      </c>
      <c r="I6333" s="36"/>
      <c r="J6333" s="125">
        <v>0</v>
      </c>
    </row>
    <row r="6334" spans="1:10" ht="39" hidden="1" thickBot="1" x14ac:dyDescent="0.3">
      <c r="A6334" s="249"/>
      <c r="B6334" s="240"/>
      <c r="C6334" s="155" t="s">
        <v>13604</v>
      </c>
      <c r="D6334" s="155" t="s">
        <v>85</v>
      </c>
      <c r="E6334" s="130">
        <v>0.17299999999999999</v>
      </c>
      <c r="F6334" s="28">
        <v>763.92139896954995</v>
      </c>
      <c r="G6334" s="49">
        <f>IF(ISNUMBER(F6334),E6334*F6334,"")</f>
        <v>132.15840202173214</v>
      </c>
      <c r="H6334" s="39"/>
      <c r="I6334" s="36"/>
      <c r="J6334" s="125">
        <v>0</v>
      </c>
    </row>
    <row r="6335" spans="1:10" ht="39" hidden="1" thickBot="1" x14ac:dyDescent="0.3">
      <c r="A6335" s="249"/>
      <c r="B6335" s="240"/>
      <c r="C6335" s="155" t="s">
        <v>5151</v>
      </c>
      <c r="D6335" s="155" t="s">
        <v>870</v>
      </c>
      <c r="E6335" s="130">
        <v>2.56</v>
      </c>
      <c r="F6335" s="28">
        <v>99.47081399999999</v>
      </c>
      <c r="G6335" s="49">
        <f>IF(ISNUMBER(F6335),E6335*F6335,"")</f>
        <v>254.64528383999999</v>
      </c>
      <c r="H6335" s="39"/>
      <c r="I6335" s="36"/>
      <c r="J6335" s="125">
        <v>0</v>
      </c>
    </row>
    <row r="6336" spans="1:10" ht="39" hidden="1" thickBot="1" x14ac:dyDescent="0.3">
      <c r="A6336" s="249"/>
      <c r="B6336" s="240"/>
      <c r="C6336" s="155" t="s">
        <v>12580</v>
      </c>
      <c r="D6336" s="155" t="s">
        <v>85</v>
      </c>
      <c r="E6336" s="130">
        <v>3.3000000000000002E-2</v>
      </c>
      <c r="F6336" s="28">
        <v>1148.9352114695298</v>
      </c>
      <c r="G6336" s="49">
        <f>IF(ISNUMBER(F6336),E6336*F6336,"")</f>
        <v>37.914861978494486</v>
      </c>
      <c r="H6336" s="39"/>
      <c r="I6336" s="36"/>
      <c r="J6336" s="125">
        <v>0</v>
      </c>
    </row>
    <row r="6337" spans="1:10" ht="15.75" hidden="1" thickBot="1" x14ac:dyDescent="0.3">
      <c r="A6337" s="249"/>
      <c r="B6337" s="240"/>
      <c r="C6337" s="155" t="s">
        <v>595</v>
      </c>
      <c r="D6337" s="155" t="s">
        <v>587</v>
      </c>
      <c r="E6337" s="130">
        <v>0.25</v>
      </c>
      <c r="F6337" s="28">
        <v>25.65</v>
      </c>
      <c r="G6337" s="49">
        <f>IF(ISNUMBER(F6337),E6337*F6337,"")</f>
        <v>6.4124999999999996</v>
      </c>
      <c r="H6337" s="39"/>
      <c r="I6337" s="36"/>
      <c r="J6337" s="125">
        <v>0</v>
      </c>
    </row>
    <row r="6338" spans="1:10" ht="15.75" hidden="1" thickBot="1" x14ac:dyDescent="0.3">
      <c r="A6338" s="249"/>
      <c r="B6338" s="240"/>
      <c r="C6338" s="155" t="s">
        <v>588</v>
      </c>
      <c r="D6338" s="155" t="s">
        <v>587</v>
      </c>
      <c r="E6338" s="130">
        <v>0.5</v>
      </c>
      <c r="F6338" s="28">
        <v>19.189999999999998</v>
      </c>
      <c r="G6338" s="49">
        <f>IF(ISNUMBER(F6338),E6338*F6338,"")</f>
        <v>9.5949999999999989</v>
      </c>
      <c r="H6338" s="39"/>
      <c r="I6338" s="36"/>
      <c r="J6338" s="125">
        <v>0</v>
      </c>
    </row>
    <row r="6339" spans="1:10" ht="15.75" hidden="1" thickBot="1" x14ac:dyDescent="0.3">
      <c r="A6339" s="249"/>
      <c r="B6339" s="240"/>
      <c r="C6339" s="155" t="s">
        <v>13561</v>
      </c>
      <c r="D6339" s="129" t="s">
        <v>16</v>
      </c>
      <c r="E6339" s="130">
        <v>1.7</v>
      </c>
      <c r="F6339" s="28">
        <v>0.95</v>
      </c>
      <c r="G6339" s="49">
        <f>IF(ISNUMBER(F6339),E6339*F6339,"")</f>
        <v>1.615</v>
      </c>
      <c r="H6339" s="39"/>
      <c r="I6339" s="36"/>
      <c r="J6339" s="125">
        <v>0</v>
      </c>
    </row>
    <row r="6340" spans="1:10" ht="15.75" hidden="1" thickBot="1" x14ac:dyDescent="0.3">
      <c r="A6340" s="250"/>
      <c r="B6340" s="239"/>
      <c r="C6340" s="155"/>
      <c r="D6340" s="129"/>
      <c r="E6340" s="130"/>
      <c r="F6340" s="28" t="s">
        <v>418</v>
      </c>
      <c r="G6340" s="49"/>
      <c r="H6340" s="39"/>
      <c r="I6340" s="36"/>
      <c r="J6340" s="125">
        <v>0</v>
      </c>
    </row>
    <row r="6341" spans="1:10" ht="15.75" hidden="1" thickBot="1" x14ac:dyDescent="0.3">
      <c r="A6341" s="234" t="s">
        <v>13385</v>
      </c>
      <c r="B6341" s="237" t="s">
        <v>13145</v>
      </c>
      <c r="C6341" s="160"/>
      <c r="D6341" s="23" t="s">
        <v>16</v>
      </c>
      <c r="E6341" s="24"/>
      <c r="F6341" s="44" t="s">
        <v>418</v>
      </c>
      <c r="G6341" s="25" t="str">
        <f>IF(ISNUMBER(F6341),E6341*F6341,"")</f>
        <v/>
      </c>
      <c r="H6341" s="26"/>
      <c r="I6341" s="27"/>
      <c r="J6341" s="125">
        <v>0</v>
      </c>
    </row>
    <row r="6342" spans="1:10" ht="15.75" hidden="1" thickBot="1" x14ac:dyDescent="0.3">
      <c r="A6342" s="249"/>
      <c r="B6342" s="240"/>
      <c r="C6342" s="135"/>
      <c r="D6342" s="135"/>
      <c r="E6342" s="136"/>
      <c r="F6342" s="49" t="s">
        <v>418</v>
      </c>
      <c r="G6342" s="49" t="str">
        <f>IF(ISNUMBER(F6342),E6342*F6342,"")</f>
        <v/>
      </c>
      <c r="H6342" s="65"/>
      <c r="I6342" s="66"/>
      <c r="J6342" s="125">
        <v>0</v>
      </c>
    </row>
    <row r="6343" spans="1:10" ht="15.75" hidden="1" thickBot="1" x14ac:dyDescent="0.3">
      <c r="A6343" s="249"/>
      <c r="B6343" s="240"/>
      <c r="C6343" s="155" t="s">
        <v>588</v>
      </c>
      <c r="D6343" s="155" t="s">
        <v>587</v>
      </c>
      <c r="E6343" s="130">
        <v>1.5444</v>
      </c>
      <c r="F6343" s="28">
        <v>19.189999999999998</v>
      </c>
      <c r="G6343" s="49">
        <f>IF(ISNUMBER(F6343),E6343*F6343,"")</f>
        <v>29.637035999999995</v>
      </c>
      <c r="H6343" s="35">
        <f>SUM(G6343:G6348)</f>
        <v>137.79244504999997</v>
      </c>
      <c r="I6343" s="36"/>
      <c r="J6343" s="125">
        <v>0</v>
      </c>
    </row>
    <row r="6344" spans="1:10" ht="15.75" hidden="1" thickBot="1" x14ac:dyDescent="0.3">
      <c r="A6344" s="249"/>
      <c r="B6344" s="240"/>
      <c r="C6344" s="155" t="s">
        <v>954</v>
      </c>
      <c r="D6344" s="155" t="s">
        <v>587</v>
      </c>
      <c r="E6344" s="130">
        <v>1.5444</v>
      </c>
      <c r="F6344" s="28">
        <v>20.576999999999998</v>
      </c>
      <c r="G6344" s="49">
        <f>IF(ISNUMBER(F6344),E6344*F6344,"")</f>
        <v>31.779118799999996</v>
      </c>
      <c r="H6344" s="39"/>
      <c r="I6344" s="36"/>
      <c r="J6344" s="125">
        <v>0</v>
      </c>
    </row>
    <row r="6345" spans="1:10" ht="64.5" hidden="1" thickBot="1" x14ac:dyDescent="0.3">
      <c r="A6345" s="249"/>
      <c r="B6345" s="240"/>
      <c r="C6345" s="155" t="s">
        <v>2379</v>
      </c>
      <c r="D6345" s="155" t="s">
        <v>814</v>
      </c>
      <c r="E6345" s="130">
        <v>0.1333</v>
      </c>
      <c r="F6345" s="28">
        <v>138.3295</v>
      </c>
      <c r="G6345" s="49">
        <f>IF(ISNUMBER(F6345),E6345*F6345,"")</f>
        <v>18.439322350000001</v>
      </c>
      <c r="H6345" s="39"/>
      <c r="I6345" s="36"/>
      <c r="J6345" s="125">
        <v>0</v>
      </c>
    </row>
    <row r="6346" spans="1:10" ht="64.5" hidden="1" thickBot="1" x14ac:dyDescent="0.3">
      <c r="A6346" s="249"/>
      <c r="B6346" s="240"/>
      <c r="C6346" s="155" t="s">
        <v>2623</v>
      </c>
      <c r="D6346" s="155" t="s">
        <v>816</v>
      </c>
      <c r="E6346" s="130">
        <v>0.54459999999999997</v>
      </c>
      <c r="F6346" s="28">
        <v>56.876499999999993</v>
      </c>
      <c r="G6346" s="49">
        <f>IF(ISNUMBER(F6346),E6346*F6346,"")</f>
        <v>30.974941899999994</v>
      </c>
      <c r="H6346" s="39"/>
      <c r="I6346" s="36"/>
      <c r="J6346" s="125">
        <v>0</v>
      </c>
    </row>
    <row r="6347" spans="1:10" ht="15.75" hidden="1" thickBot="1" x14ac:dyDescent="0.3">
      <c r="A6347" s="249"/>
      <c r="B6347" s="240"/>
      <c r="C6347" s="155" t="s">
        <v>588</v>
      </c>
      <c r="D6347" s="155" t="s">
        <v>587</v>
      </c>
      <c r="E6347" s="130">
        <v>0.67800000000000005</v>
      </c>
      <c r="F6347" s="28">
        <v>19.189999999999998</v>
      </c>
      <c r="G6347" s="49">
        <f>IF(ISNUMBER(F6347),E6347*F6347,"")</f>
        <v>13.010819999999999</v>
      </c>
      <c r="H6347" s="39"/>
      <c r="I6347" s="36"/>
      <c r="J6347" s="125">
        <v>0</v>
      </c>
    </row>
    <row r="6348" spans="1:10" ht="15.75" hidden="1" thickBot="1" x14ac:dyDescent="0.3">
      <c r="A6348" s="249"/>
      <c r="B6348" s="240"/>
      <c r="C6348" s="155" t="s">
        <v>954</v>
      </c>
      <c r="D6348" s="155" t="s">
        <v>587</v>
      </c>
      <c r="E6348" s="130">
        <v>0.67800000000000005</v>
      </c>
      <c r="F6348" s="28">
        <v>20.576999999999998</v>
      </c>
      <c r="G6348" s="49">
        <f>IF(ISNUMBER(F6348),E6348*F6348,"")</f>
        <v>13.951205999999999</v>
      </c>
      <c r="H6348" s="39"/>
      <c r="I6348" s="36"/>
      <c r="J6348" s="125">
        <v>0</v>
      </c>
    </row>
    <row r="6349" spans="1:10" ht="15.75" hidden="1" thickBot="1" x14ac:dyDescent="0.3">
      <c r="A6349" s="250"/>
      <c r="B6349" s="239"/>
      <c r="C6349" s="155"/>
      <c r="D6349" s="129"/>
      <c r="E6349" s="130"/>
      <c r="F6349" s="28" t="s">
        <v>418</v>
      </c>
      <c r="G6349" s="49"/>
      <c r="H6349" s="39"/>
      <c r="I6349" s="36"/>
      <c r="J6349" s="125">
        <v>0</v>
      </c>
    </row>
    <row r="6350" spans="1:10" ht="15.75" hidden="1" thickBot="1" x14ac:dyDescent="0.3">
      <c r="A6350" s="234" t="s">
        <v>13386</v>
      </c>
      <c r="B6350" s="237" t="s">
        <v>13146</v>
      </c>
      <c r="C6350" s="160"/>
      <c r="D6350" s="23" t="s">
        <v>70</v>
      </c>
      <c r="E6350" s="24"/>
      <c r="F6350" s="44" t="s">
        <v>418</v>
      </c>
      <c r="G6350" s="25" t="str">
        <f>IF(ISNUMBER(F6350),E6350*F6350,"")</f>
        <v/>
      </c>
      <c r="H6350" s="26"/>
      <c r="I6350" s="27"/>
      <c r="J6350" s="125">
        <v>0</v>
      </c>
    </row>
    <row r="6351" spans="1:10" ht="15.75" hidden="1" thickBot="1" x14ac:dyDescent="0.3">
      <c r="A6351" s="249"/>
      <c r="B6351" s="240"/>
      <c r="C6351" s="135"/>
      <c r="D6351" s="135"/>
      <c r="E6351" s="136"/>
      <c r="F6351" s="49" t="s">
        <v>418</v>
      </c>
      <c r="G6351" s="49" t="str">
        <f>IF(ISNUMBER(F6351),E6351*F6351,"")</f>
        <v/>
      </c>
      <c r="H6351" s="65"/>
      <c r="I6351" s="66"/>
      <c r="J6351" s="125">
        <v>0</v>
      </c>
    </row>
    <row r="6352" spans="1:10" ht="15.75" hidden="1" thickBot="1" x14ac:dyDescent="0.3">
      <c r="A6352" s="249"/>
      <c r="B6352" s="240"/>
      <c r="C6352" s="155" t="s">
        <v>588</v>
      </c>
      <c r="D6352" s="155" t="s">
        <v>587</v>
      </c>
      <c r="E6352" s="130">
        <v>9.7100000000000006E-2</v>
      </c>
      <c r="F6352" s="28">
        <v>19.189999999999998</v>
      </c>
      <c r="G6352" s="49">
        <f>IF(ISNUMBER(F6352),E6352*F6352,"")</f>
        <v>1.8633489999999999</v>
      </c>
      <c r="H6352" s="35">
        <f>SUM(G6352:G6353)</f>
        <v>3.1008931</v>
      </c>
      <c r="I6352" s="36"/>
      <c r="J6352" s="125">
        <v>0</v>
      </c>
    </row>
    <row r="6353" spans="1:10" ht="15.75" hidden="1" thickBot="1" x14ac:dyDescent="0.3">
      <c r="A6353" s="249"/>
      <c r="B6353" s="240"/>
      <c r="C6353" s="155" t="s">
        <v>1170</v>
      </c>
      <c r="D6353" s="155" t="s">
        <v>587</v>
      </c>
      <c r="E6353" s="130">
        <v>4.9399999999999999E-2</v>
      </c>
      <c r="F6353" s="28">
        <v>25.051500000000001</v>
      </c>
      <c r="G6353" s="49">
        <f>IF(ISNUMBER(F6353),E6353*F6353,"")</f>
        <v>1.2375441</v>
      </c>
      <c r="H6353" s="39"/>
      <c r="I6353" s="36"/>
      <c r="J6353" s="125">
        <v>0</v>
      </c>
    </row>
    <row r="6354" spans="1:10" ht="15.75" hidden="1" thickBot="1" x14ac:dyDescent="0.3">
      <c r="A6354" s="250"/>
      <c r="B6354" s="239"/>
      <c r="C6354" s="155"/>
      <c r="D6354" s="129"/>
      <c r="E6354" s="130"/>
      <c r="F6354" s="28" t="s">
        <v>418</v>
      </c>
      <c r="G6354" s="49"/>
      <c r="H6354" s="39"/>
      <c r="I6354" s="36"/>
      <c r="J6354" s="125">
        <v>0</v>
      </c>
    </row>
    <row r="6355" spans="1:10" ht="15.75" hidden="1" thickBot="1" x14ac:dyDescent="0.3">
      <c r="A6355" s="234" t="s">
        <v>13387</v>
      </c>
      <c r="B6355" s="237" t="s">
        <v>13147</v>
      </c>
      <c r="C6355" s="160"/>
      <c r="D6355" s="23" t="s">
        <v>69</v>
      </c>
      <c r="E6355" s="24"/>
      <c r="F6355" s="44" t="s">
        <v>418</v>
      </c>
      <c r="G6355" s="25" t="str">
        <f>IF(ISNUMBER(F6355),E6355*F6355,"")</f>
        <v/>
      </c>
      <c r="H6355" s="26"/>
      <c r="I6355" s="27"/>
      <c r="J6355" s="125">
        <v>0</v>
      </c>
    </row>
    <row r="6356" spans="1:10" ht="15.75" hidden="1" thickBot="1" x14ac:dyDescent="0.3">
      <c r="A6356" s="249"/>
      <c r="B6356" s="240"/>
      <c r="C6356" s="135"/>
      <c r="D6356" s="135"/>
      <c r="E6356" s="136"/>
      <c r="F6356" s="49" t="s">
        <v>418</v>
      </c>
      <c r="G6356" s="49" t="str">
        <f>IF(ISNUMBER(F6356),E6356*F6356,"")</f>
        <v/>
      </c>
      <c r="H6356" s="65"/>
      <c r="I6356" s="66"/>
      <c r="J6356" s="125">
        <v>0</v>
      </c>
    </row>
    <row r="6357" spans="1:10" ht="39" hidden="1" thickBot="1" x14ac:dyDescent="0.3">
      <c r="A6357" s="249"/>
      <c r="B6357" s="240"/>
      <c r="C6357" s="155" t="s">
        <v>31146</v>
      </c>
      <c r="D6357" s="155" t="s">
        <v>385</v>
      </c>
      <c r="E6357" s="130">
        <v>0.74450000000000005</v>
      </c>
      <c r="F6357" s="28">
        <v>5.8140000000000001</v>
      </c>
      <c r="G6357" s="49">
        <f>IF(ISNUMBER(F6357),E6357*F6357,"")</f>
        <v>4.3285230000000006</v>
      </c>
      <c r="H6357" s="35">
        <f>SUM(G6357:G6367)</f>
        <v>53.473557481833446</v>
      </c>
      <c r="I6357" s="36"/>
      <c r="J6357" s="125">
        <v>0</v>
      </c>
    </row>
    <row r="6358" spans="1:10" ht="39" hidden="1" thickBot="1" x14ac:dyDescent="0.3">
      <c r="A6358" s="249"/>
      <c r="B6358" s="240"/>
      <c r="C6358" s="155" t="s">
        <v>29885</v>
      </c>
      <c r="D6358" s="155" t="s">
        <v>385</v>
      </c>
      <c r="E6358" s="130">
        <v>0.41249999999999998</v>
      </c>
      <c r="F6358" s="28">
        <v>20.9</v>
      </c>
      <c r="G6358" s="49">
        <f>IF(ISNUMBER(F6358),E6358*F6358,"")</f>
        <v>8.6212499999999981</v>
      </c>
      <c r="H6358" s="39"/>
      <c r="I6358" s="36"/>
      <c r="J6358" s="125">
        <v>0</v>
      </c>
    </row>
    <row r="6359" spans="1:10" ht="15.75" hidden="1" thickBot="1" x14ac:dyDescent="0.3">
      <c r="A6359" s="249"/>
      <c r="B6359" s="240"/>
      <c r="C6359" s="155" t="s">
        <v>1235</v>
      </c>
      <c r="D6359" s="155" t="s">
        <v>774</v>
      </c>
      <c r="E6359" s="130">
        <v>0.111</v>
      </c>
      <c r="F6359" s="28">
        <v>20.291999999999998</v>
      </c>
      <c r="G6359" s="49">
        <f>IF(ISNUMBER(F6359),E6359*F6359,"")</f>
        <v>2.2524119999999996</v>
      </c>
      <c r="H6359" s="39"/>
      <c r="I6359" s="36"/>
      <c r="J6359" s="125">
        <v>0</v>
      </c>
    </row>
    <row r="6360" spans="1:10" ht="15.75" hidden="1" thickBot="1" x14ac:dyDescent="0.3">
      <c r="A6360" s="249"/>
      <c r="B6360" s="240"/>
      <c r="C6360" s="155" t="s">
        <v>27846</v>
      </c>
      <c r="D6360" s="155" t="s">
        <v>76</v>
      </c>
      <c r="E6360" s="130">
        <v>2.5600000000000001E-2</v>
      </c>
      <c r="F6360" s="28">
        <v>31.8155</v>
      </c>
      <c r="G6360" s="49">
        <f>IF(ISNUMBER(F6360),E6360*F6360,"")</f>
        <v>0.8144768</v>
      </c>
      <c r="H6360" s="39"/>
      <c r="I6360" s="36"/>
      <c r="J6360" s="125">
        <v>0</v>
      </c>
    </row>
    <row r="6361" spans="1:10" ht="26.25" hidden="1" thickBot="1" x14ac:dyDescent="0.3">
      <c r="A6361" s="249"/>
      <c r="B6361" s="240"/>
      <c r="C6361" s="155" t="s">
        <v>27429</v>
      </c>
      <c r="D6361" s="155" t="s">
        <v>385</v>
      </c>
      <c r="E6361" s="130">
        <v>0.55000000000000004</v>
      </c>
      <c r="F6361" s="28">
        <v>6.27</v>
      </c>
      <c r="G6361" s="49">
        <f>IF(ISNUMBER(F6361),E6361*F6361,"")</f>
        <v>3.4485000000000001</v>
      </c>
      <c r="H6361" s="39"/>
      <c r="I6361" s="36"/>
      <c r="J6361" s="125">
        <v>0</v>
      </c>
    </row>
    <row r="6362" spans="1:10" ht="15.75" hidden="1" thickBot="1" x14ac:dyDescent="0.3">
      <c r="A6362" s="249"/>
      <c r="B6362" s="240"/>
      <c r="C6362" s="155" t="s">
        <v>662</v>
      </c>
      <c r="D6362" s="155" t="s">
        <v>587</v>
      </c>
      <c r="E6362" s="130">
        <v>0.35630000000000001</v>
      </c>
      <c r="F6362" s="28">
        <v>24.367499999999996</v>
      </c>
      <c r="G6362" s="49">
        <f>IF(ISNUMBER(F6362),E6362*F6362,"")</f>
        <v>8.682140249999998</v>
      </c>
      <c r="H6362" s="39"/>
      <c r="I6362" s="36"/>
      <c r="J6362" s="125">
        <v>0</v>
      </c>
    </row>
    <row r="6363" spans="1:10" ht="15.75" hidden="1" thickBot="1" x14ac:dyDescent="0.3">
      <c r="A6363" s="249"/>
      <c r="B6363" s="240"/>
      <c r="C6363" s="155" t="s">
        <v>871</v>
      </c>
      <c r="D6363" s="155" t="s">
        <v>587</v>
      </c>
      <c r="E6363" s="130">
        <v>0.71250000000000002</v>
      </c>
      <c r="F6363" s="28">
        <v>25.289000000000001</v>
      </c>
      <c r="G6363" s="49">
        <f>IF(ISNUMBER(F6363),E6363*F6363,"")</f>
        <v>18.0184125</v>
      </c>
      <c r="H6363" s="39"/>
      <c r="I6363" s="36"/>
      <c r="J6363" s="125">
        <v>0</v>
      </c>
    </row>
    <row r="6364" spans="1:10" ht="26.25" hidden="1" thickBot="1" x14ac:dyDescent="0.3">
      <c r="A6364" s="249"/>
      <c r="B6364" s="240"/>
      <c r="C6364" s="155" t="s">
        <v>1018</v>
      </c>
      <c r="D6364" s="155" t="s">
        <v>814</v>
      </c>
      <c r="E6364" s="130">
        <v>3.8999999999999998E-3</v>
      </c>
      <c r="F6364" s="28">
        <v>21.992499999999996</v>
      </c>
      <c r="G6364" s="49">
        <f>IF(ISNUMBER(F6364),E6364*F6364,"")</f>
        <v>8.5770749999999979E-2</v>
      </c>
      <c r="H6364" s="39"/>
      <c r="I6364" s="36"/>
      <c r="J6364" s="125">
        <v>0</v>
      </c>
    </row>
    <row r="6365" spans="1:10" ht="26.25" hidden="1" thickBot="1" x14ac:dyDescent="0.3">
      <c r="A6365" s="249"/>
      <c r="B6365" s="240"/>
      <c r="C6365" s="155" t="s">
        <v>1019</v>
      </c>
      <c r="D6365" s="155" t="s">
        <v>816</v>
      </c>
      <c r="E6365" s="130">
        <v>1.6799999999999999E-2</v>
      </c>
      <c r="F6365" s="28">
        <v>20.576999999999998</v>
      </c>
      <c r="G6365" s="49">
        <f>IF(ISNUMBER(F6365),E6365*F6365,"")</f>
        <v>0.34569359999999993</v>
      </c>
      <c r="H6365" s="39"/>
      <c r="I6365" s="36"/>
      <c r="J6365" s="125">
        <v>0</v>
      </c>
    </row>
    <row r="6366" spans="1:10" ht="39" hidden="1" thickBot="1" x14ac:dyDescent="0.3">
      <c r="A6366" s="249"/>
      <c r="B6366" s="240"/>
      <c r="C6366" s="155" t="s">
        <v>13614</v>
      </c>
      <c r="D6366" s="155" t="s">
        <v>85</v>
      </c>
      <c r="E6366" s="130">
        <v>4.5999999999999999E-3</v>
      </c>
      <c r="F6366" s="28">
        <v>683.82027322466502</v>
      </c>
      <c r="G6366" s="49">
        <f>IF(ISNUMBER(F6366),E6366*F6366,"")</f>
        <v>3.1455732568334591</v>
      </c>
      <c r="H6366" s="39"/>
      <c r="I6366" s="36"/>
      <c r="J6366" s="125">
        <v>0</v>
      </c>
    </row>
    <row r="6367" spans="1:10" ht="15.75" hidden="1" thickBot="1" x14ac:dyDescent="0.3">
      <c r="A6367" s="249"/>
      <c r="B6367" s="240"/>
      <c r="C6367" s="155" t="s">
        <v>9622</v>
      </c>
      <c r="D6367" s="155" t="s">
        <v>205</v>
      </c>
      <c r="E6367" s="130">
        <v>1.5</v>
      </c>
      <c r="F6367" s="28">
        <v>2.4872035499999998</v>
      </c>
      <c r="G6367" s="49">
        <f>IF(ISNUMBER(F6367),E6367*F6367,"")</f>
        <v>3.7308053249999995</v>
      </c>
      <c r="H6367" s="39"/>
      <c r="I6367" s="36"/>
      <c r="J6367" s="125">
        <v>0</v>
      </c>
    </row>
    <row r="6368" spans="1:10" ht="15.75" hidden="1" thickBot="1" x14ac:dyDescent="0.3">
      <c r="A6368" s="250"/>
      <c r="B6368" s="239"/>
      <c r="C6368" s="155"/>
      <c r="D6368" s="129"/>
      <c r="E6368" s="130"/>
      <c r="F6368" s="28" t="s">
        <v>418</v>
      </c>
      <c r="G6368" s="49"/>
      <c r="H6368" s="39"/>
      <c r="I6368" s="36"/>
      <c r="J6368" s="125">
        <v>0</v>
      </c>
    </row>
    <row r="6369" spans="1:10" ht="15.75" hidden="1" thickBot="1" x14ac:dyDescent="0.3">
      <c r="A6369" s="234" t="s">
        <v>13388</v>
      </c>
      <c r="B6369" s="244" t="s">
        <v>13148</v>
      </c>
      <c r="C6369" s="160"/>
      <c r="D6369" s="23" t="s">
        <v>16</v>
      </c>
      <c r="E6369" s="24"/>
      <c r="F6369" s="44" t="s">
        <v>418</v>
      </c>
      <c r="G6369" s="25" t="str">
        <f>IF(ISNUMBER(F6369),E6369*F6369,"")</f>
        <v/>
      </c>
      <c r="H6369" s="26"/>
      <c r="I6369" s="27"/>
      <c r="J6369" s="125">
        <v>0</v>
      </c>
    </row>
    <row r="6370" spans="1:10" ht="15.75" hidden="1" thickBot="1" x14ac:dyDescent="0.3">
      <c r="A6370" s="249"/>
      <c r="B6370" s="251"/>
      <c r="C6370" s="135"/>
      <c r="D6370" s="135"/>
      <c r="E6370" s="136"/>
      <c r="F6370" s="49" t="s">
        <v>418</v>
      </c>
      <c r="G6370" s="49" t="str">
        <f>IF(ISNUMBER(F6370),E6370*F6370,"")</f>
        <v/>
      </c>
      <c r="H6370" s="65"/>
      <c r="I6370" s="66"/>
      <c r="J6370" s="125">
        <v>0</v>
      </c>
    </row>
    <row r="6371" spans="1:10" ht="26.25" hidden="1" thickBot="1" x14ac:dyDescent="0.3">
      <c r="A6371" s="249"/>
      <c r="B6371" s="251"/>
      <c r="C6371" s="155" t="s">
        <v>13562</v>
      </c>
      <c r="D6371" s="129" t="s">
        <v>205</v>
      </c>
      <c r="E6371" s="130">
        <v>4</v>
      </c>
      <c r="F6371" s="28">
        <v>0.95</v>
      </c>
      <c r="G6371" s="49">
        <f>IF(ISNUMBER(F6371),E6371*F6371,"")</f>
        <v>3.8</v>
      </c>
      <c r="H6371" s="35">
        <f>SUM(G6371:G6380)</f>
        <v>444.11228352799992</v>
      </c>
      <c r="I6371" s="36"/>
      <c r="J6371" s="125">
        <v>0</v>
      </c>
    </row>
    <row r="6372" spans="1:10" ht="15.75" hidden="1" thickBot="1" x14ac:dyDescent="0.3">
      <c r="A6372" s="249"/>
      <c r="B6372" s="251"/>
      <c r="C6372" s="155" t="s">
        <v>595</v>
      </c>
      <c r="D6372" s="155" t="s">
        <v>587</v>
      </c>
      <c r="E6372" s="130">
        <v>0.4</v>
      </c>
      <c r="F6372" s="28">
        <v>25.65</v>
      </c>
      <c r="G6372" s="49">
        <f>IF(ISNUMBER(F6372),E6372*F6372,"")</f>
        <v>10.26</v>
      </c>
      <c r="H6372" s="39"/>
      <c r="I6372" s="36"/>
      <c r="J6372" s="125">
        <v>0</v>
      </c>
    </row>
    <row r="6373" spans="1:10" ht="15.75" hidden="1" thickBot="1" x14ac:dyDescent="0.3">
      <c r="A6373" s="249"/>
      <c r="B6373" s="251"/>
      <c r="C6373" s="155" t="s">
        <v>1048</v>
      </c>
      <c r="D6373" s="155" t="s">
        <v>587</v>
      </c>
      <c r="E6373" s="130">
        <v>1.5</v>
      </c>
      <c r="F6373" s="28">
        <v>25.46</v>
      </c>
      <c r="G6373" s="49">
        <f>IF(ISNUMBER(F6373),E6373*F6373,"")</f>
        <v>38.19</v>
      </c>
      <c r="H6373" s="39"/>
      <c r="I6373" s="36"/>
      <c r="J6373" s="125">
        <v>0</v>
      </c>
    </row>
    <row r="6374" spans="1:10" ht="15.75" hidden="1" thickBot="1" x14ac:dyDescent="0.3">
      <c r="A6374" s="249"/>
      <c r="B6374" s="251"/>
      <c r="C6374" s="155" t="s">
        <v>588</v>
      </c>
      <c r="D6374" s="155" t="s">
        <v>587</v>
      </c>
      <c r="E6374" s="130">
        <v>0.4</v>
      </c>
      <c r="F6374" s="28">
        <v>19.189999999999998</v>
      </c>
      <c r="G6374" s="49">
        <f>IF(ISNUMBER(F6374),E6374*F6374,"")</f>
        <v>7.6759999999999993</v>
      </c>
      <c r="H6374" s="39"/>
      <c r="I6374" s="36"/>
      <c r="J6374" s="125">
        <v>0</v>
      </c>
    </row>
    <row r="6375" spans="1:10" ht="15.75" hidden="1" thickBot="1" x14ac:dyDescent="0.3">
      <c r="A6375" s="249"/>
      <c r="B6375" s="251"/>
      <c r="C6375" s="155" t="s">
        <v>1043</v>
      </c>
      <c r="D6375" s="155" t="s">
        <v>774</v>
      </c>
      <c r="E6375" s="130">
        <f>0.023*74.69</f>
        <v>1.71787</v>
      </c>
      <c r="F6375" s="28">
        <v>10.336</v>
      </c>
      <c r="G6375" s="49">
        <f>IF(ISNUMBER(F6375),E6375*F6375,"")</f>
        <v>17.755904319999999</v>
      </c>
      <c r="H6375" s="39"/>
      <c r="I6375" s="36"/>
      <c r="J6375" s="125">
        <v>0</v>
      </c>
    </row>
    <row r="6376" spans="1:10" ht="26.25" hidden="1" thickBot="1" x14ac:dyDescent="0.3">
      <c r="A6376" s="249"/>
      <c r="B6376" s="251"/>
      <c r="C6376" s="155" t="s">
        <v>27965</v>
      </c>
      <c r="D6376" s="155" t="s">
        <v>385</v>
      </c>
      <c r="E6376" s="130">
        <v>3.05</v>
      </c>
      <c r="F6376" s="28">
        <v>113.38249999999999</v>
      </c>
      <c r="G6376" s="49">
        <f>IF(ISNUMBER(F6376),E6376*F6376,"")</f>
        <v>345.81662499999993</v>
      </c>
      <c r="H6376" s="39"/>
      <c r="I6376" s="36"/>
      <c r="J6376" s="125">
        <v>0</v>
      </c>
    </row>
    <row r="6377" spans="1:10" ht="26.25" hidden="1" thickBot="1" x14ac:dyDescent="0.3">
      <c r="A6377" s="249"/>
      <c r="B6377" s="251"/>
      <c r="C6377" s="155" t="s">
        <v>910</v>
      </c>
      <c r="D6377" s="155" t="s">
        <v>205</v>
      </c>
      <c r="E6377" s="130">
        <v>4</v>
      </c>
      <c r="F6377" s="28">
        <v>2.6219999999999999</v>
      </c>
      <c r="G6377" s="49">
        <f>IF(ISNUMBER(F6377),E6377*F6377,"")</f>
        <v>10.488</v>
      </c>
      <c r="H6377" s="39"/>
      <c r="I6377" s="36"/>
      <c r="J6377" s="125">
        <v>0</v>
      </c>
    </row>
    <row r="6378" spans="1:10" ht="15.75" hidden="1" thickBot="1" x14ac:dyDescent="0.3">
      <c r="A6378" s="249"/>
      <c r="B6378" s="251"/>
      <c r="C6378" s="155" t="s">
        <v>1227</v>
      </c>
      <c r="D6378" s="155" t="s">
        <v>774</v>
      </c>
      <c r="E6378" s="130">
        <v>0.02</v>
      </c>
      <c r="F6378" s="28">
        <v>139.15599999999998</v>
      </c>
      <c r="G6378" s="49">
        <f>IF(ISNUMBER(F6378),E6378*F6378,"")</f>
        <v>2.7831199999999998</v>
      </c>
      <c r="H6378" s="39"/>
      <c r="I6378" s="36"/>
      <c r="J6378" s="125">
        <v>0</v>
      </c>
    </row>
    <row r="6379" spans="1:10" ht="15.75" hidden="1" thickBot="1" x14ac:dyDescent="0.3">
      <c r="A6379" s="249"/>
      <c r="B6379" s="251"/>
      <c r="C6379" s="155" t="s">
        <v>962</v>
      </c>
      <c r="D6379" s="155" t="s">
        <v>587</v>
      </c>
      <c r="E6379" s="34">
        <f>0.5708*0.48</f>
        <v>0.27398399999999995</v>
      </c>
      <c r="F6379" s="28">
        <v>26.799499999999998</v>
      </c>
      <c r="G6379" s="49">
        <f>IF(ISNUMBER(F6379),E6379*F6379,"")</f>
        <v>7.342634207999998</v>
      </c>
      <c r="H6379" s="39"/>
      <c r="I6379" s="36"/>
      <c r="J6379" s="125">
        <v>0</v>
      </c>
    </row>
    <row r="6380" spans="1:10" ht="15.75" hidden="1" thickBot="1" x14ac:dyDescent="0.3">
      <c r="A6380" s="249"/>
      <c r="B6380" s="251"/>
      <c r="C6380" s="155" t="s">
        <v>136</v>
      </c>
      <c r="D6380" s="45" t="s">
        <v>76</v>
      </c>
      <c r="E6380" s="34">
        <f>ROUND(0.48*3*3.6/75,4)</f>
        <v>6.9099999999999995E-2</v>
      </c>
      <c r="F6380" s="28" t="s">
        <v>418</v>
      </c>
      <c r="G6380" s="49" t="str">
        <f>IF(ISNUMBER(F6380),E6380*F6380,"")</f>
        <v/>
      </c>
      <c r="H6380" s="39"/>
      <c r="I6380" s="36"/>
      <c r="J6380" s="125">
        <v>0</v>
      </c>
    </row>
    <row r="6381" spans="1:10" ht="15.75" hidden="1" thickBot="1" x14ac:dyDescent="0.3">
      <c r="A6381" s="249"/>
      <c r="B6381" s="251"/>
      <c r="C6381" s="155"/>
      <c r="D6381" s="129"/>
      <c r="E6381" s="130"/>
      <c r="F6381" s="28" t="s">
        <v>418</v>
      </c>
      <c r="G6381" s="49"/>
      <c r="H6381" s="39"/>
      <c r="I6381" s="36"/>
      <c r="J6381" s="125">
        <v>0</v>
      </c>
    </row>
    <row r="6382" spans="1:10" ht="39" hidden="1" thickBot="1" x14ac:dyDescent="0.3">
      <c r="A6382" s="249"/>
      <c r="B6382" s="251"/>
      <c r="C6382" s="47" t="s">
        <v>10305</v>
      </c>
      <c r="D6382" s="129"/>
      <c r="E6382" s="130"/>
      <c r="F6382" s="28" t="s">
        <v>418</v>
      </c>
      <c r="G6382" s="49"/>
      <c r="H6382" s="39"/>
      <c r="I6382" s="36"/>
      <c r="J6382" s="125">
        <v>0</v>
      </c>
    </row>
    <row r="6383" spans="1:10" ht="15.75" hidden="1" thickBot="1" x14ac:dyDescent="0.3">
      <c r="A6383" s="250"/>
      <c r="B6383" s="246"/>
      <c r="C6383" s="155"/>
      <c r="D6383" s="129"/>
      <c r="E6383" s="130"/>
      <c r="F6383" s="28" t="s">
        <v>418</v>
      </c>
      <c r="G6383" s="49"/>
      <c r="H6383" s="39"/>
      <c r="I6383" s="36"/>
      <c r="J6383" s="125">
        <v>0</v>
      </c>
    </row>
    <row r="6384" spans="1:10" ht="15.75" hidden="1" thickBot="1" x14ac:dyDescent="0.3">
      <c r="A6384" s="234" t="s">
        <v>13389</v>
      </c>
      <c r="B6384" s="237" t="s">
        <v>13149</v>
      </c>
      <c r="C6384" s="160"/>
      <c r="D6384" s="23" t="s">
        <v>16</v>
      </c>
      <c r="E6384" s="24"/>
      <c r="F6384" s="37" t="s">
        <v>418</v>
      </c>
      <c r="G6384" s="25" t="str">
        <f>IF(ISNUMBER(F6384),E6384*F6384,"")</f>
        <v/>
      </c>
      <c r="H6384" s="26"/>
      <c r="I6384" s="27"/>
      <c r="J6384" s="125">
        <v>0</v>
      </c>
    </row>
    <row r="6385" spans="1:10" ht="15.75" hidden="1" thickBot="1" x14ac:dyDescent="0.3">
      <c r="A6385" s="235"/>
      <c r="B6385" s="240"/>
      <c r="C6385" s="151"/>
      <c r="D6385" s="29"/>
      <c r="E6385" s="30"/>
      <c r="F6385" s="38" t="s">
        <v>418</v>
      </c>
      <c r="G6385" s="28" t="str">
        <f>IF(ISNUMBER(F6385),E6385*F6385,"")</f>
        <v/>
      </c>
      <c r="H6385" s="32"/>
      <c r="I6385" s="28"/>
      <c r="J6385" s="125">
        <v>0</v>
      </c>
    </row>
    <row r="6386" spans="1:10" ht="26.25" hidden="1" thickBot="1" x14ac:dyDescent="0.3">
      <c r="A6386" s="235"/>
      <c r="B6386" s="240"/>
      <c r="C6386" s="155" t="s">
        <v>13564</v>
      </c>
      <c r="D6386" s="33" t="s">
        <v>205</v>
      </c>
      <c r="E6386" s="34">
        <v>1</v>
      </c>
      <c r="F6386" s="31" t="s">
        <v>418</v>
      </c>
      <c r="G6386" s="28" t="str">
        <f>IF(ISNUMBER(F6386),E6386*F6386,"")</f>
        <v/>
      </c>
      <c r="H6386" s="35">
        <f>SUM(G6386:G6389)</f>
        <v>88.821095500000013</v>
      </c>
      <c r="I6386" s="36"/>
      <c r="J6386" s="125">
        <v>0</v>
      </c>
    </row>
    <row r="6387" spans="1:10" ht="51.75" hidden="1" thickBot="1" x14ac:dyDescent="0.3">
      <c r="A6387" s="235"/>
      <c r="B6387" s="240"/>
      <c r="C6387" s="155" t="s">
        <v>2421</v>
      </c>
      <c r="D6387" s="155" t="s">
        <v>814</v>
      </c>
      <c r="E6387" s="34">
        <v>0.111</v>
      </c>
      <c r="F6387" s="31">
        <v>274.27449999999999</v>
      </c>
      <c r="G6387" s="28">
        <f>IF(ISNUMBER(F6387),E6387*F6387,"")</f>
        <v>30.4444695</v>
      </c>
      <c r="H6387" s="40"/>
      <c r="I6387" s="41"/>
      <c r="J6387" s="125">
        <v>0</v>
      </c>
    </row>
    <row r="6388" spans="1:10" ht="15.75" hidden="1" thickBot="1" x14ac:dyDescent="0.3">
      <c r="A6388" s="235"/>
      <c r="B6388" s="240"/>
      <c r="C6388" s="155" t="s">
        <v>1022</v>
      </c>
      <c r="D6388" s="155" t="s">
        <v>587</v>
      </c>
      <c r="E6388" s="34">
        <f>1.124/2</f>
        <v>0.56200000000000006</v>
      </c>
      <c r="F6388" s="31">
        <v>19.522500000000001</v>
      </c>
      <c r="G6388" s="28">
        <f>IF(ISNUMBER(F6388),E6388*F6388,"")</f>
        <v>10.971645000000002</v>
      </c>
      <c r="H6388" s="40"/>
      <c r="I6388" s="41"/>
      <c r="J6388" s="125">
        <v>0</v>
      </c>
    </row>
    <row r="6389" spans="1:10" ht="15.75" hidden="1" thickBot="1" x14ac:dyDescent="0.3">
      <c r="A6389" s="235"/>
      <c r="B6389" s="240"/>
      <c r="C6389" s="155" t="s">
        <v>1023</v>
      </c>
      <c r="D6389" s="155" t="s">
        <v>587</v>
      </c>
      <c r="E6389" s="34">
        <f>3.653/2</f>
        <v>1.8265</v>
      </c>
      <c r="F6389" s="28">
        <v>25.954000000000001</v>
      </c>
      <c r="G6389" s="28">
        <f>IF(ISNUMBER(F6389),E6389*F6389,"")</f>
        <v>47.404980999999999</v>
      </c>
      <c r="H6389" s="32"/>
      <c r="I6389" s="28"/>
      <c r="J6389" s="125">
        <v>0</v>
      </c>
    </row>
    <row r="6390" spans="1:10" ht="15.75" hidden="1" thickBot="1" x14ac:dyDescent="0.3">
      <c r="A6390" s="236"/>
      <c r="B6390" s="239"/>
      <c r="C6390" s="155"/>
      <c r="D6390" s="33"/>
      <c r="E6390" s="34"/>
      <c r="F6390" s="28" t="s">
        <v>418</v>
      </c>
      <c r="G6390" s="28" t="str">
        <f>IF(ISNUMBER(F6390),E6390*F6390,"")</f>
        <v/>
      </c>
      <c r="H6390" s="32"/>
      <c r="I6390" s="28"/>
      <c r="J6390" s="125">
        <v>0</v>
      </c>
    </row>
    <row r="6391" spans="1:10" ht="15.75" hidden="1" thickBot="1" x14ac:dyDescent="0.3">
      <c r="A6391" s="234" t="s">
        <v>13390</v>
      </c>
      <c r="B6391" s="237" t="s">
        <v>13150</v>
      </c>
      <c r="C6391" s="160"/>
      <c r="D6391" s="23" t="s">
        <v>16</v>
      </c>
      <c r="E6391" s="24"/>
      <c r="F6391" s="37" t="s">
        <v>418</v>
      </c>
      <c r="G6391" s="25" t="str">
        <f>IF(ISNUMBER(F6391),E6391*F6391,"")</f>
        <v/>
      </c>
      <c r="H6391" s="26"/>
      <c r="I6391" s="27"/>
      <c r="J6391" s="125">
        <v>0</v>
      </c>
    </row>
    <row r="6392" spans="1:10" ht="15.75" hidden="1" thickBot="1" x14ac:dyDescent="0.3">
      <c r="A6392" s="235"/>
      <c r="B6392" s="240"/>
      <c r="C6392" s="151"/>
      <c r="D6392" s="29"/>
      <c r="E6392" s="30"/>
      <c r="F6392" s="38" t="s">
        <v>418</v>
      </c>
      <c r="G6392" s="28" t="str">
        <f>IF(ISNUMBER(F6392),E6392*F6392,"")</f>
        <v/>
      </c>
      <c r="H6392" s="32"/>
      <c r="I6392" s="28"/>
      <c r="J6392" s="125">
        <v>0</v>
      </c>
    </row>
    <row r="6393" spans="1:10" ht="26.25" hidden="1" thickBot="1" x14ac:dyDescent="0.3">
      <c r="A6393" s="235"/>
      <c r="B6393" s="240"/>
      <c r="C6393" s="155" t="s">
        <v>17269</v>
      </c>
      <c r="D6393" s="33" t="s">
        <v>205</v>
      </c>
      <c r="E6393" s="34">
        <v>1</v>
      </c>
      <c r="F6393" s="31">
        <v>0.95</v>
      </c>
      <c r="G6393" s="28">
        <f>IF(ISNUMBER(F6393),E6393*F6393,"")</f>
        <v>0.95</v>
      </c>
      <c r="H6393" s="35">
        <f>SUM(G6393:G6395)</f>
        <v>12.319125</v>
      </c>
      <c r="I6393" s="36"/>
      <c r="J6393" s="125">
        <v>0</v>
      </c>
    </row>
    <row r="6394" spans="1:10" ht="15.75" hidden="1" thickBot="1" x14ac:dyDescent="0.3">
      <c r="A6394" s="235"/>
      <c r="B6394" s="240"/>
      <c r="C6394" s="155" t="s">
        <v>1022</v>
      </c>
      <c r="D6394" s="155" t="s">
        <v>587</v>
      </c>
      <c r="E6394" s="34">
        <v>0.25</v>
      </c>
      <c r="F6394" s="31">
        <v>19.522500000000001</v>
      </c>
      <c r="G6394" s="28">
        <f>IF(ISNUMBER(F6394),E6394*F6394,"")</f>
        <v>4.8806250000000002</v>
      </c>
      <c r="H6394" s="40"/>
      <c r="I6394" s="41"/>
      <c r="J6394" s="125">
        <v>0</v>
      </c>
    </row>
    <row r="6395" spans="1:10" ht="15.75" hidden="1" thickBot="1" x14ac:dyDescent="0.3">
      <c r="A6395" s="235"/>
      <c r="B6395" s="240"/>
      <c r="C6395" s="155" t="s">
        <v>1023</v>
      </c>
      <c r="D6395" s="155" t="s">
        <v>587</v>
      </c>
      <c r="E6395" s="34">
        <v>0.25</v>
      </c>
      <c r="F6395" s="28">
        <v>25.954000000000001</v>
      </c>
      <c r="G6395" s="28">
        <f>IF(ISNUMBER(F6395),E6395*F6395,"")</f>
        <v>6.4885000000000002</v>
      </c>
      <c r="H6395" s="32"/>
      <c r="I6395" s="28"/>
      <c r="J6395" s="125">
        <v>0</v>
      </c>
    </row>
    <row r="6396" spans="1:10" ht="15.75" hidden="1" thickBot="1" x14ac:dyDescent="0.3">
      <c r="A6396" s="236"/>
      <c r="B6396" s="239"/>
      <c r="C6396" s="164"/>
      <c r="D6396" s="50"/>
      <c r="E6396" s="61"/>
      <c r="F6396" s="62" t="s">
        <v>418</v>
      </c>
      <c r="G6396" s="62" t="str">
        <f>IF(ISNUMBER(F6396),E6396*F6396,"")</f>
        <v/>
      </c>
      <c r="H6396" s="64"/>
      <c r="I6396" s="28"/>
      <c r="J6396" s="125">
        <v>0</v>
      </c>
    </row>
    <row r="6397" spans="1:10" ht="15.75" hidden="1" thickBot="1" x14ac:dyDescent="0.3">
      <c r="A6397" s="234" t="s">
        <v>14326</v>
      </c>
      <c r="B6397" s="237" t="s">
        <v>14333</v>
      </c>
      <c r="C6397" s="160"/>
      <c r="D6397" s="23" t="s">
        <v>69</v>
      </c>
      <c r="E6397" s="24"/>
      <c r="F6397" s="37" t="s">
        <v>418</v>
      </c>
      <c r="G6397" s="25" t="str">
        <f>IF(ISNUMBER(F6397),E6397*F6397,"")</f>
        <v/>
      </c>
      <c r="H6397" s="26"/>
      <c r="I6397" s="27"/>
      <c r="J6397" s="125">
        <v>0</v>
      </c>
    </row>
    <row r="6398" spans="1:10" ht="15.75" hidden="1" thickBot="1" x14ac:dyDescent="0.3">
      <c r="A6398" s="235"/>
      <c r="B6398" s="240"/>
      <c r="C6398" s="151"/>
      <c r="D6398" s="29"/>
      <c r="E6398" s="30"/>
      <c r="F6398" s="38" t="s">
        <v>418</v>
      </c>
      <c r="G6398" s="28" t="str">
        <f>IF(ISNUMBER(F6398),E6398*F6398,"")</f>
        <v/>
      </c>
      <c r="H6398" s="32"/>
      <c r="I6398" s="28"/>
      <c r="J6398" s="125">
        <v>0</v>
      </c>
    </row>
    <row r="6399" spans="1:10" ht="26.25" hidden="1" thickBot="1" x14ac:dyDescent="0.3">
      <c r="A6399" s="235"/>
      <c r="B6399" s="240"/>
      <c r="C6399" s="155" t="s">
        <v>825</v>
      </c>
      <c r="D6399" s="155" t="s">
        <v>587</v>
      </c>
      <c r="E6399" s="34">
        <v>0.13</v>
      </c>
      <c r="F6399" s="31">
        <v>24.9375</v>
      </c>
      <c r="G6399" s="28">
        <f>IF(ISNUMBER(F6399),E6399*F6399,"")</f>
        <v>3.2418750000000003</v>
      </c>
      <c r="H6399" s="35">
        <f>SUM(G6399:G6402)</f>
        <v>199.94310849999997</v>
      </c>
      <c r="I6399" s="36"/>
      <c r="J6399" s="125">
        <v>0</v>
      </c>
    </row>
    <row r="6400" spans="1:10" ht="26.25" hidden="1" thickBot="1" x14ac:dyDescent="0.3">
      <c r="A6400" s="235"/>
      <c r="B6400" s="240"/>
      <c r="C6400" s="155" t="s">
        <v>824</v>
      </c>
      <c r="D6400" s="155" t="s">
        <v>587</v>
      </c>
      <c r="E6400" s="34">
        <v>0.13</v>
      </c>
      <c r="F6400" s="31">
        <v>18.6295</v>
      </c>
      <c r="G6400" s="28">
        <f>IF(ISNUMBER(F6400),E6400*F6400,"")</f>
        <v>2.4218350000000002</v>
      </c>
      <c r="H6400" s="40"/>
      <c r="I6400" s="41"/>
      <c r="J6400" s="125">
        <v>0</v>
      </c>
    </row>
    <row r="6401" spans="1:10" ht="15.75" hidden="1" thickBot="1" x14ac:dyDescent="0.3">
      <c r="A6401" s="235"/>
      <c r="B6401" s="240"/>
      <c r="C6401" s="155" t="s">
        <v>9852</v>
      </c>
      <c r="D6401" s="155" t="s">
        <v>587</v>
      </c>
      <c r="E6401" s="34">
        <v>0.13</v>
      </c>
      <c r="F6401" s="31">
        <v>26.257999999999999</v>
      </c>
      <c r="G6401" s="28">
        <f>IF(ISNUMBER(F6401),E6401*F6401,"")</f>
        <v>3.4135399999999998</v>
      </c>
      <c r="H6401" s="40"/>
      <c r="I6401" s="41"/>
      <c r="J6401" s="125">
        <v>0</v>
      </c>
    </row>
    <row r="6402" spans="1:10" ht="26.25" hidden="1" thickBot="1" x14ac:dyDescent="0.3">
      <c r="A6402" s="235"/>
      <c r="B6402" s="240"/>
      <c r="C6402" s="155" t="s">
        <v>27964</v>
      </c>
      <c r="D6402" s="155" t="s">
        <v>385</v>
      </c>
      <c r="E6402" s="34">
        <v>1.0389999999999999</v>
      </c>
      <c r="F6402" s="28">
        <v>183.70149999999998</v>
      </c>
      <c r="G6402" s="28">
        <f>IF(ISNUMBER(F6402),E6402*F6402,"")</f>
        <v>190.86585849999997</v>
      </c>
      <c r="H6402" s="32"/>
      <c r="I6402" s="28"/>
      <c r="J6402" s="125">
        <v>0</v>
      </c>
    </row>
    <row r="6403" spans="1:10" ht="15.75" hidden="1" thickBot="1" x14ac:dyDescent="0.3">
      <c r="A6403" s="236"/>
      <c r="B6403" s="239"/>
      <c r="C6403" s="155"/>
      <c r="D6403" s="33"/>
      <c r="E6403" s="34"/>
      <c r="F6403" s="28" t="s">
        <v>418</v>
      </c>
      <c r="G6403" s="28" t="str">
        <f>IF(ISNUMBER(F6403),E6403*F6403,"")</f>
        <v/>
      </c>
      <c r="H6403" s="32"/>
      <c r="I6403" s="28"/>
      <c r="J6403" s="125">
        <v>0</v>
      </c>
    </row>
    <row r="6404" spans="1:10" ht="15.75" hidden="1" thickBot="1" x14ac:dyDescent="0.3">
      <c r="A6404" s="234" t="s">
        <v>14327</v>
      </c>
      <c r="B6404" s="237" t="s">
        <v>14334</v>
      </c>
      <c r="C6404" s="160"/>
      <c r="D6404" s="23" t="s">
        <v>16</v>
      </c>
      <c r="E6404" s="24"/>
      <c r="F6404" s="37" t="s">
        <v>418</v>
      </c>
      <c r="G6404" s="25" t="str">
        <f>IF(ISNUMBER(F6404),E6404*F6404,"")</f>
        <v/>
      </c>
      <c r="H6404" s="26"/>
      <c r="I6404" s="27"/>
      <c r="J6404" s="125">
        <v>0</v>
      </c>
    </row>
    <row r="6405" spans="1:10" ht="15.75" hidden="1" thickBot="1" x14ac:dyDescent="0.3">
      <c r="A6405" s="235"/>
      <c r="B6405" s="240"/>
      <c r="C6405" s="151"/>
      <c r="D6405" s="29"/>
      <c r="E6405" s="30"/>
      <c r="F6405" s="38" t="s">
        <v>418</v>
      </c>
      <c r="G6405" s="28" t="str">
        <f>IF(ISNUMBER(F6405),E6405*F6405,"")</f>
        <v/>
      </c>
      <c r="H6405" s="32"/>
      <c r="I6405" s="28"/>
      <c r="J6405" s="125">
        <v>0</v>
      </c>
    </row>
    <row r="6406" spans="1:10" ht="26.25" hidden="1" thickBot="1" x14ac:dyDescent="0.3">
      <c r="A6406" s="235"/>
      <c r="B6406" s="240"/>
      <c r="C6406" s="155" t="s">
        <v>825</v>
      </c>
      <c r="D6406" s="155" t="s">
        <v>587</v>
      </c>
      <c r="E6406" s="130">
        <v>3</v>
      </c>
      <c r="F6406" s="28">
        <v>24.9375</v>
      </c>
      <c r="G6406" s="28">
        <f>IF(ISNUMBER(F6406),E6406*F6406,"")</f>
        <v>74.8125</v>
      </c>
      <c r="H6406" s="35">
        <f>SUM(G6406:G6406)</f>
        <v>74.8125</v>
      </c>
      <c r="I6406" s="36"/>
      <c r="J6406" s="125">
        <v>0</v>
      </c>
    </row>
    <row r="6407" spans="1:10" ht="15.75" hidden="1" thickBot="1" x14ac:dyDescent="0.3">
      <c r="A6407" s="236"/>
      <c r="B6407" s="239"/>
      <c r="C6407" s="164"/>
      <c r="D6407" s="50"/>
      <c r="E6407" s="61"/>
      <c r="F6407" s="62" t="s">
        <v>418</v>
      </c>
      <c r="G6407" s="62" t="str">
        <f>IF(ISNUMBER(F6407),E6407*F6407,"")</f>
        <v/>
      </c>
      <c r="H6407" s="64"/>
      <c r="I6407" s="28"/>
      <c r="J6407" s="125">
        <v>0</v>
      </c>
    </row>
    <row r="6408" spans="1:10" ht="15.75" hidden="1" thickBot="1" x14ac:dyDescent="0.3">
      <c r="A6408" s="234" t="s">
        <v>14328</v>
      </c>
      <c r="B6408" s="237" t="s">
        <v>14335</v>
      </c>
      <c r="C6408" s="160"/>
      <c r="D6408" s="23" t="s">
        <v>16</v>
      </c>
      <c r="E6408" s="24"/>
      <c r="F6408" s="37" t="s">
        <v>418</v>
      </c>
      <c r="G6408" s="25" t="str">
        <f>IF(ISNUMBER(F6408),E6408*F6408,"")</f>
        <v/>
      </c>
      <c r="H6408" s="26"/>
      <c r="I6408" s="27"/>
      <c r="J6408" s="125">
        <v>0</v>
      </c>
    </row>
    <row r="6409" spans="1:10" ht="15.75" hidden="1" thickBot="1" x14ac:dyDescent="0.3">
      <c r="A6409" s="235"/>
      <c r="B6409" s="240"/>
      <c r="C6409" s="151"/>
      <c r="D6409" s="29"/>
      <c r="E6409" s="30"/>
      <c r="F6409" s="38" t="s">
        <v>418</v>
      </c>
      <c r="G6409" s="28" t="str">
        <f>IF(ISNUMBER(F6409),E6409*F6409,"")</f>
        <v/>
      </c>
      <c r="H6409" s="32"/>
      <c r="I6409" s="28"/>
      <c r="J6409" s="125">
        <v>0</v>
      </c>
    </row>
    <row r="6410" spans="1:10" ht="26.25" hidden="1" thickBot="1" x14ac:dyDescent="0.3">
      <c r="A6410" s="235"/>
      <c r="B6410" s="240"/>
      <c r="C6410" s="155" t="s">
        <v>825</v>
      </c>
      <c r="D6410" s="155" t="s">
        <v>587</v>
      </c>
      <c r="E6410" s="130">
        <v>5.2</v>
      </c>
      <c r="F6410" s="31">
        <v>24.9375</v>
      </c>
      <c r="G6410" s="28">
        <f>IF(ISNUMBER(F6410),E6410*F6410,"")</f>
        <v>129.67500000000001</v>
      </c>
      <c r="H6410" s="35">
        <f>SUM(G6410:G6411)</f>
        <v>226.54840000000002</v>
      </c>
      <c r="I6410" s="36"/>
      <c r="J6410" s="125">
        <v>0</v>
      </c>
    </row>
    <row r="6411" spans="1:10" ht="26.25" hidden="1" thickBot="1" x14ac:dyDescent="0.3">
      <c r="A6411" s="235"/>
      <c r="B6411" s="240"/>
      <c r="C6411" s="155" t="s">
        <v>824</v>
      </c>
      <c r="D6411" s="155" t="s">
        <v>587</v>
      </c>
      <c r="E6411" s="130">
        <v>5.2</v>
      </c>
      <c r="F6411" s="28">
        <v>18.6295</v>
      </c>
      <c r="G6411" s="28">
        <f>IF(ISNUMBER(F6411),E6411*F6411,"")</f>
        <v>96.873400000000004</v>
      </c>
      <c r="H6411" s="32"/>
      <c r="I6411" s="28"/>
      <c r="J6411" s="125">
        <v>0</v>
      </c>
    </row>
    <row r="6412" spans="1:10" ht="15.75" hidden="1" thickBot="1" x14ac:dyDescent="0.3">
      <c r="A6412" s="236"/>
      <c r="B6412" s="239"/>
      <c r="C6412" s="164"/>
      <c r="D6412" s="50"/>
      <c r="E6412" s="61"/>
      <c r="F6412" s="62" t="s">
        <v>418</v>
      </c>
      <c r="G6412" s="62" t="str">
        <f>IF(ISNUMBER(F6412),E6412*F6412,"")</f>
        <v/>
      </c>
      <c r="H6412" s="64"/>
      <c r="I6412" s="28"/>
      <c r="J6412" s="125">
        <v>0</v>
      </c>
    </row>
    <row r="6413" spans="1:10" ht="15.75" hidden="1" thickBot="1" x14ac:dyDescent="0.3">
      <c r="A6413" s="234" t="s">
        <v>14329</v>
      </c>
      <c r="B6413" s="237" t="s">
        <v>14336</v>
      </c>
      <c r="C6413" s="160"/>
      <c r="D6413" s="23" t="s">
        <v>16</v>
      </c>
      <c r="E6413" s="24"/>
      <c r="F6413" s="37" t="s">
        <v>418</v>
      </c>
      <c r="G6413" s="25" t="str">
        <f>IF(ISNUMBER(F6413),E6413*F6413,"")</f>
        <v/>
      </c>
      <c r="H6413" s="26"/>
      <c r="I6413" s="27"/>
      <c r="J6413" s="125">
        <v>0</v>
      </c>
    </row>
    <row r="6414" spans="1:10" ht="15.75" hidden="1" thickBot="1" x14ac:dyDescent="0.3">
      <c r="A6414" s="235"/>
      <c r="B6414" s="240"/>
      <c r="C6414" s="151"/>
      <c r="D6414" s="29"/>
      <c r="E6414" s="30"/>
      <c r="F6414" s="38" t="s">
        <v>418</v>
      </c>
      <c r="G6414" s="28" t="str">
        <f>IF(ISNUMBER(F6414),E6414*F6414,"")</f>
        <v/>
      </c>
      <c r="H6414" s="32"/>
      <c r="I6414" s="28"/>
      <c r="J6414" s="125">
        <v>0</v>
      </c>
    </row>
    <row r="6415" spans="1:10" ht="15.75" hidden="1" thickBot="1" x14ac:dyDescent="0.3">
      <c r="A6415" s="235"/>
      <c r="B6415" s="240"/>
      <c r="C6415" s="155" t="s">
        <v>588</v>
      </c>
      <c r="D6415" s="155" t="s">
        <v>587</v>
      </c>
      <c r="E6415" s="130">
        <v>0.9</v>
      </c>
      <c r="F6415" s="28">
        <v>19.189999999999998</v>
      </c>
      <c r="G6415" s="28">
        <f>IF(ISNUMBER(F6415),E6415*F6415,"")</f>
        <v>17.270999999999997</v>
      </c>
      <c r="H6415" s="35">
        <f>SUM(G6415:G6415)</f>
        <v>17.270999999999997</v>
      </c>
      <c r="I6415" s="36"/>
      <c r="J6415" s="125">
        <v>0</v>
      </c>
    </row>
    <row r="6416" spans="1:10" ht="15.75" hidden="1" thickBot="1" x14ac:dyDescent="0.3">
      <c r="A6416" s="236"/>
      <c r="B6416" s="239"/>
      <c r="C6416" s="164"/>
      <c r="D6416" s="50"/>
      <c r="E6416" s="61"/>
      <c r="F6416" s="62" t="s">
        <v>418</v>
      </c>
      <c r="G6416" s="62" t="str">
        <f>IF(ISNUMBER(F6416),E6416*F6416,"")</f>
        <v/>
      </c>
      <c r="H6416" s="64"/>
      <c r="I6416" s="28"/>
      <c r="J6416" s="125">
        <v>0</v>
      </c>
    </row>
    <row r="6417" spans="1:10" ht="15.75" hidden="1" thickBot="1" x14ac:dyDescent="0.3">
      <c r="A6417" s="234" t="s">
        <v>14330</v>
      </c>
      <c r="B6417" s="237" t="s">
        <v>14337</v>
      </c>
      <c r="C6417" s="160"/>
      <c r="D6417" s="23" t="s">
        <v>16</v>
      </c>
      <c r="E6417" s="24"/>
      <c r="F6417" s="37" t="s">
        <v>418</v>
      </c>
      <c r="G6417" s="25" t="str">
        <f>IF(ISNUMBER(F6417),E6417*F6417,"")</f>
        <v/>
      </c>
      <c r="H6417" s="26"/>
      <c r="I6417" s="27"/>
      <c r="J6417" s="125">
        <v>0</v>
      </c>
    </row>
    <row r="6418" spans="1:10" ht="15.75" hidden="1" thickBot="1" x14ac:dyDescent="0.3">
      <c r="A6418" s="235"/>
      <c r="B6418" s="240"/>
      <c r="C6418" s="151"/>
      <c r="D6418" s="29"/>
      <c r="E6418" s="30"/>
      <c r="F6418" s="38" t="s">
        <v>418</v>
      </c>
      <c r="G6418" s="28" t="str">
        <f>IF(ISNUMBER(F6418),E6418*F6418,"")</f>
        <v/>
      </c>
      <c r="H6418" s="32"/>
      <c r="I6418" s="28"/>
      <c r="J6418" s="125">
        <v>0</v>
      </c>
    </row>
    <row r="6419" spans="1:10" ht="15.75" hidden="1" thickBot="1" x14ac:dyDescent="0.3">
      <c r="A6419" s="235"/>
      <c r="B6419" s="240"/>
      <c r="C6419" s="155" t="s">
        <v>588</v>
      </c>
      <c r="D6419" s="155" t="s">
        <v>587</v>
      </c>
      <c r="E6419" s="130">
        <f>0.9*1.5</f>
        <v>1.35</v>
      </c>
      <c r="F6419" s="28">
        <v>19.189999999999998</v>
      </c>
      <c r="G6419" s="28">
        <f>IF(ISNUMBER(F6419),E6419*F6419,"")</f>
        <v>25.906499999999998</v>
      </c>
      <c r="H6419" s="35">
        <f>SUM(G6419:G6419)</f>
        <v>25.906499999999998</v>
      </c>
      <c r="I6419" s="36"/>
      <c r="J6419" s="125">
        <v>0</v>
      </c>
    </row>
    <row r="6420" spans="1:10" ht="15.75" hidden="1" thickBot="1" x14ac:dyDescent="0.3">
      <c r="A6420" s="236"/>
      <c r="B6420" s="239"/>
      <c r="C6420" s="164"/>
      <c r="D6420" s="50"/>
      <c r="E6420" s="61"/>
      <c r="F6420" s="62" t="s">
        <v>418</v>
      </c>
      <c r="G6420" s="62" t="str">
        <f>IF(ISNUMBER(F6420),E6420*F6420,"")</f>
        <v/>
      </c>
      <c r="H6420" s="64"/>
      <c r="I6420" s="28"/>
      <c r="J6420" s="125">
        <v>0</v>
      </c>
    </row>
    <row r="6421" spans="1:10" ht="15.75" hidden="1" thickBot="1" x14ac:dyDescent="0.3">
      <c r="A6421" s="234" t="s">
        <v>14331</v>
      </c>
      <c r="B6421" s="237" t="s">
        <v>14338</v>
      </c>
      <c r="C6421" s="160"/>
      <c r="D6421" s="23" t="s">
        <v>70</v>
      </c>
      <c r="E6421" s="24"/>
      <c r="F6421" s="37" t="s">
        <v>418</v>
      </c>
      <c r="G6421" s="25" t="str">
        <f>IF(ISNUMBER(F6421),E6421*F6421,"")</f>
        <v/>
      </c>
      <c r="H6421" s="26"/>
      <c r="I6421" s="27"/>
      <c r="J6421" s="125">
        <v>0</v>
      </c>
    </row>
    <row r="6422" spans="1:10" ht="15.75" hidden="1" thickBot="1" x14ac:dyDescent="0.3">
      <c r="A6422" s="235"/>
      <c r="B6422" s="240"/>
      <c r="C6422" s="151"/>
      <c r="D6422" s="29"/>
      <c r="E6422" s="30"/>
      <c r="F6422" s="38" t="s">
        <v>418</v>
      </c>
      <c r="G6422" s="28" t="str">
        <f>IF(ISNUMBER(F6422),E6422*F6422,"")</f>
        <v/>
      </c>
      <c r="H6422" s="32"/>
      <c r="I6422" s="28"/>
      <c r="J6422" s="125">
        <v>0</v>
      </c>
    </row>
    <row r="6423" spans="1:10" ht="15.75" hidden="1" thickBot="1" x14ac:dyDescent="0.3">
      <c r="A6423" s="235"/>
      <c r="B6423" s="240"/>
      <c r="C6423" s="155" t="s">
        <v>595</v>
      </c>
      <c r="D6423" s="155" t="s">
        <v>587</v>
      </c>
      <c r="E6423" s="130">
        <v>0.09</v>
      </c>
      <c r="F6423" s="31">
        <v>25.65</v>
      </c>
      <c r="G6423" s="28">
        <f>IF(ISNUMBER(F6423),E6423*F6423,"")</f>
        <v>2.3085</v>
      </c>
      <c r="H6423" s="35">
        <f>SUM(G6423:G6424)</f>
        <v>19.579499999999996</v>
      </c>
      <c r="I6423" s="36"/>
      <c r="J6423" s="125">
        <v>0</v>
      </c>
    </row>
    <row r="6424" spans="1:10" ht="15.75" hidden="1" thickBot="1" x14ac:dyDescent="0.3">
      <c r="A6424" s="235"/>
      <c r="B6424" s="240"/>
      <c r="C6424" s="155" t="s">
        <v>588</v>
      </c>
      <c r="D6424" s="155" t="s">
        <v>587</v>
      </c>
      <c r="E6424" s="130">
        <v>0.9</v>
      </c>
      <c r="F6424" s="28">
        <v>19.189999999999998</v>
      </c>
      <c r="G6424" s="28">
        <f>IF(ISNUMBER(F6424),E6424*F6424,"")</f>
        <v>17.270999999999997</v>
      </c>
      <c r="H6424" s="32"/>
      <c r="I6424" s="28"/>
      <c r="J6424" s="125">
        <v>0</v>
      </c>
    </row>
    <row r="6425" spans="1:10" ht="15.75" hidden="1" thickBot="1" x14ac:dyDescent="0.3">
      <c r="A6425" s="236"/>
      <c r="B6425" s="239"/>
      <c r="C6425" s="164"/>
      <c r="D6425" s="50"/>
      <c r="E6425" s="61"/>
      <c r="F6425" s="62" t="s">
        <v>418</v>
      </c>
      <c r="G6425" s="62" t="str">
        <f>IF(ISNUMBER(F6425),E6425*F6425,"")</f>
        <v/>
      </c>
      <c r="H6425" s="64"/>
      <c r="I6425" s="28"/>
      <c r="J6425" s="125">
        <v>0</v>
      </c>
    </row>
    <row r="6426" spans="1:10" ht="15.75" hidden="1" thickBot="1" x14ac:dyDescent="0.3">
      <c r="A6426" s="234" t="s">
        <v>14332</v>
      </c>
      <c r="B6426" s="237" t="s">
        <v>14339</v>
      </c>
      <c r="C6426" s="160"/>
      <c r="D6426" s="23" t="s">
        <v>70</v>
      </c>
      <c r="E6426" s="24"/>
      <c r="F6426" s="37" t="s">
        <v>418</v>
      </c>
      <c r="G6426" s="25" t="str">
        <f>IF(ISNUMBER(F6426),E6426*F6426,"")</f>
        <v/>
      </c>
      <c r="H6426" s="26"/>
      <c r="I6426" s="27"/>
      <c r="J6426" s="125">
        <v>0</v>
      </c>
    </row>
    <row r="6427" spans="1:10" ht="15.75" hidden="1" thickBot="1" x14ac:dyDescent="0.3">
      <c r="A6427" s="235"/>
      <c r="B6427" s="240"/>
      <c r="C6427" s="151"/>
      <c r="D6427" s="29"/>
      <c r="E6427" s="30"/>
      <c r="F6427" s="38" t="s">
        <v>418</v>
      </c>
      <c r="G6427" s="28" t="str">
        <f>IF(ISNUMBER(F6427),E6427*F6427,"")</f>
        <v/>
      </c>
      <c r="H6427" s="32"/>
      <c r="I6427" s="28"/>
      <c r="J6427" s="125">
        <v>0</v>
      </c>
    </row>
    <row r="6428" spans="1:10" ht="15.75" hidden="1" thickBot="1" x14ac:dyDescent="0.3">
      <c r="A6428" s="235"/>
      <c r="B6428" s="240"/>
      <c r="C6428" s="155" t="s">
        <v>588</v>
      </c>
      <c r="D6428" s="155" t="s">
        <v>587</v>
      </c>
      <c r="E6428" s="34">
        <v>9.7100000000000006E-2</v>
      </c>
      <c r="F6428" s="31">
        <v>19.189999999999998</v>
      </c>
      <c r="G6428" s="28">
        <f>IF(ISNUMBER(F6428),E6428*F6428,"")</f>
        <v>1.8633489999999999</v>
      </c>
      <c r="H6428" s="35">
        <f>SUM(G6428:G6429)</f>
        <v>3.1008931</v>
      </c>
      <c r="I6428" s="36"/>
      <c r="J6428" s="125">
        <v>0</v>
      </c>
    </row>
    <row r="6429" spans="1:10" ht="15.75" hidden="1" thickBot="1" x14ac:dyDescent="0.3">
      <c r="A6429" s="235"/>
      <c r="B6429" s="240"/>
      <c r="C6429" s="155" t="s">
        <v>1170</v>
      </c>
      <c r="D6429" s="155" t="s">
        <v>587</v>
      </c>
      <c r="E6429" s="34">
        <v>4.9399999999999999E-2</v>
      </c>
      <c r="F6429" s="28">
        <v>25.051500000000001</v>
      </c>
      <c r="G6429" s="28">
        <f>IF(ISNUMBER(F6429),E6429*F6429,"")</f>
        <v>1.2375441</v>
      </c>
      <c r="H6429" s="32"/>
      <c r="I6429" s="28"/>
      <c r="J6429" s="125">
        <v>0</v>
      </c>
    </row>
    <row r="6430" spans="1:10" ht="15.75" hidden="1" thickBot="1" x14ac:dyDescent="0.3">
      <c r="A6430" s="236"/>
      <c r="B6430" s="239"/>
      <c r="C6430" s="164"/>
      <c r="D6430" s="50"/>
      <c r="E6430" s="61"/>
      <c r="F6430" s="62" t="s">
        <v>418</v>
      </c>
      <c r="G6430" s="62" t="str">
        <f>IF(ISNUMBER(F6430),E6430*F6430,"")</f>
        <v/>
      </c>
      <c r="H6430" s="64"/>
      <c r="I6430" s="28"/>
      <c r="J6430" s="125">
        <v>0</v>
      </c>
    </row>
    <row r="6431" spans="1:10" ht="15.75" hidden="1" thickBot="1" x14ac:dyDescent="0.3">
      <c r="A6431" s="234" t="s">
        <v>14599</v>
      </c>
      <c r="B6431" s="237" t="s">
        <v>15727</v>
      </c>
      <c r="C6431" s="160"/>
      <c r="D6431" s="23" t="s">
        <v>70</v>
      </c>
      <c r="E6431" s="24"/>
      <c r="F6431" s="37" t="s">
        <v>418</v>
      </c>
      <c r="G6431" s="25" t="str">
        <f>IF(ISNUMBER(F6431),E6431*F6431,"")</f>
        <v/>
      </c>
      <c r="H6431" s="26"/>
      <c r="I6431" s="27"/>
      <c r="J6431" s="125">
        <v>0</v>
      </c>
    </row>
    <row r="6432" spans="1:10" ht="15.75" hidden="1" thickBot="1" x14ac:dyDescent="0.3">
      <c r="A6432" s="249"/>
      <c r="B6432" s="238"/>
      <c r="C6432" s="151"/>
      <c r="D6432" s="29"/>
      <c r="E6432" s="30"/>
      <c r="F6432" s="38" t="s">
        <v>418</v>
      </c>
      <c r="G6432" s="28" t="str">
        <f>IF(ISNUMBER(F6432),E6432*F6432,"")</f>
        <v/>
      </c>
      <c r="H6432" s="32"/>
      <c r="I6432" s="28"/>
      <c r="J6432" s="125">
        <v>0</v>
      </c>
    </row>
    <row r="6433" spans="1:10" ht="26.25" hidden="1" thickBot="1" x14ac:dyDescent="0.3">
      <c r="A6433" s="249"/>
      <c r="B6433" s="238"/>
      <c r="C6433" s="155" t="s">
        <v>9741</v>
      </c>
      <c r="D6433" s="155" t="s">
        <v>587</v>
      </c>
      <c r="E6433" s="34">
        <v>0.5</v>
      </c>
      <c r="F6433" s="31">
        <v>18.544</v>
      </c>
      <c r="G6433" s="28">
        <f>IF(ISNUMBER(F6433),E6433*F6433,"")</f>
        <v>9.2720000000000002</v>
      </c>
      <c r="H6433" s="35">
        <f>SUM(G6433:G6434)</f>
        <v>20.068750000000001</v>
      </c>
      <c r="I6433" s="36"/>
      <c r="J6433" s="125">
        <v>0</v>
      </c>
    </row>
    <row r="6434" spans="1:10" ht="26.25" hidden="1" thickBot="1" x14ac:dyDescent="0.3">
      <c r="A6434" s="249"/>
      <c r="B6434" s="238"/>
      <c r="C6434" s="155" t="s">
        <v>863</v>
      </c>
      <c r="D6434" s="155" t="s">
        <v>587</v>
      </c>
      <c r="E6434" s="34">
        <v>0.5</v>
      </c>
      <c r="F6434" s="31">
        <v>21.593499999999999</v>
      </c>
      <c r="G6434" s="28">
        <f>IF(ISNUMBER(F6434),E6434*F6434,"")</f>
        <v>10.796749999999999</v>
      </c>
      <c r="H6434" s="32"/>
      <c r="I6434" s="28"/>
      <c r="J6434" s="125">
        <v>0</v>
      </c>
    </row>
    <row r="6435" spans="1:10" ht="15.75" hidden="1" thickBot="1" x14ac:dyDescent="0.3">
      <c r="A6435" s="250"/>
      <c r="B6435" s="239"/>
      <c r="C6435" s="155"/>
      <c r="D6435" s="33"/>
      <c r="E6435" s="34"/>
      <c r="F6435" s="28" t="s">
        <v>418</v>
      </c>
      <c r="G6435" s="28" t="str">
        <f>IF(ISNUMBER(F6435),E6435*F6435,"")</f>
        <v/>
      </c>
      <c r="H6435" s="32"/>
      <c r="I6435" s="28"/>
      <c r="J6435" s="125">
        <v>0</v>
      </c>
    </row>
    <row r="6436" spans="1:10" ht="15.75" hidden="1" thickBot="1" x14ac:dyDescent="0.3">
      <c r="A6436" s="234" t="s">
        <v>14600</v>
      </c>
      <c r="B6436" s="237" t="s">
        <v>12953</v>
      </c>
      <c r="C6436" s="160"/>
      <c r="D6436" s="23" t="s">
        <v>16</v>
      </c>
      <c r="E6436" s="24"/>
      <c r="F6436" s="37" t="s">
        <v>418</v>
      </c>
      <c r="G6436" s="25" t="str">
        <f>IF(ISNUMBER(F6436),E6436*F6436,"")</f>
        <v/>
      </c>
      <c r="H6436" s="26"/>
      <c r="I6436" s="27"/>
      <c r="J6436" s="125">
        <v>0</v>
      </c>
    </row>
    <row r="6437" spans="1:10" ht="15.75" hidden="1" thickBot="1" x14ac:dyDescent="0.3">
      <c r="A6437" s="249"/>
      <c r="B6437" s="238"/>
      <c r="C6437" s="151"/>
      <c r="D6437" s="29"/>
      <c r="E6437" s="30"/>
      <c r="F6437" s="38" t="s">
        <v>418</v>
      </c>
      <c r="G6437" s="28" t="str">
        <f>IF(ISNUMBER(F6437),E6437*F6437,"")</f>
        <v/>
      </c>
      <c r="H6437" s="32"/>
      <c r="I6437" s="28"/>
      <c r="J6437" s="125">
        <v>0</v>
      </c>
    </row>
    <row r="6438" spans="1:10" ht="26.25" hidden="1" thickBot="1" x14ac:dyDescent="0.3">
      <c r="A6438" s="249"/>
      <c r="B6438" s="238"/>
      <c r="C6438" s="155" t="s">
        <v>24640</v>
      </c>
      <c r="D6438" s="155" t="s">
        <v>205</v>
      </c>
      <c r="E6438" s="34">
        <v>1</v>
      </c>
      <c r="F6438" s="31">
        <v>26.257999999999999</v>
      </c>
      <c r="G6438" s="28">
        <f>IF(ISNUMBER(F6438),E6438*F6438,"")</f>
        <v>26.257999999999999</v>
      </c>
      <c r="H6438" s="35">
        <f>SUM(G6438:G6441)</f>
        <v>49.139772200000003</v>
      </c>
      <c r="I6438" s="36"/>
      <c r="J6438" s="125">
        <v>0</v>
      </c>
    </row>
    <row r="6439" spans="1:10" ht="39" hidden="1" thickBot="1" x14ac:dyDescent="0.3">
      <c r="A6439" s="249"/>
      <c r="B6439" s="238"/>
      <c r="C6439" s="155" t="s">
        <v>23958</v>
      </c>
      <c r="D6439" s="155" t="s">
        <v>205</v>
      </c>
      <c r="E6439" s="34">
        <v>2</v>
      </c>
      <c r="F6439" s="31">
        <v>0.19</v>
      </c>
      <c r="G6439" s="28">
        <f>IF(ISNUMBER(F6439),E6439*F6439,"")</f>
        <v>0.38</v>
      </c>
      <c r="H6439" s="32"/>
      <c r="I6439" s="28"/>
      <c r="J6439" s="125">
        <v>0</v>
      </c>
    </row>
    <row r="6440" spans="1:10" ht="15.75" hidden="1" thickBot="1" x14ac:dyDescent="0.3">
      <c r="A6440" s="249"/>
      <c r="B6440" s="238"/>
      <c r="C6440" s="155" t="s">
        <v>1022</v>
      </c>
      <c r="D6440" s="155" t="s">
        <v>587</v>
      </c>
      <c r="E6440" s="34">
        <v>0.49480000000000002</v>
      </c>
      <c r="F6440" s="31">
        <v>19.522500000000001</v>
      </c>
      <c r="G6440" s="28">
        <f>IF(ISNUMBER(F6440),E6440*F6440,"")</f>
        <v>9.659733000000001</v>
      </c>
      <c r="H6440" s="32"/>
      <c r="I6440" s="28"/>
      <c r="J6440" s="125">
        <v>0</v>
      </c>
    </row>
    <row r="6441" spans="1:10" ht="15.75" hidden="1" thickBot="1" x14ac:dyDescent="0.3">
      <c r="A6441" s="249"/>
      <c r="B6441" s="238"/>
      <c r="C6441" s="155" t="s">
        <v>1023</v>
      </c>
      <c r="D6441" s="155" t="s">
        <v>587</v>
      </c>
      <c r="E6441" s="34">
        <v>0.49480000000000002</v>
      </c>
      <c r="F6441" s="31">
        <v>25.954000000000001</v>
      </c>
      <c r="G6441" s="28">
        <f>IF(ISNUMBER(F6441),E6441*F6441,"")</f>
        <v>12.8420392</v>
      </c>
      <c r="H6441" s="32"/>
      <c r="I6441" s="28"/>
      <c r="J6441" s="125">
        <v>0</v>
      </c>
    </row>
    <row r="6442" spans="1:10" ht="15.75" hidden="1" thickBot="1" x14ac:dyDescent="0.3">
      <c r="A6442" s="250"/>
      <c r="B6442" s="239"/>
      <c r="C6442" s="155"/>
      <c r="D6442" s="33"/>
      <c r="E6442" s="34"/>
      <c r="F6442" s="28" t="s">
        <v>418</v>
      </c>
      <c r="G6442" s="28" t="str">
        <f>IF(ISNUMBER(F6442),E6442*F6442,"")</f>
        <v/>
      </c>
      <c r="H6442" s="32"/>
      <c r="I6442" s="28"/>
      <c r="J6442" s="125">
        <v>0</v>
      </c>
    </row>
    <row r="6443" spans="1:10" ht="15.75" hidden="1" thickBot="1" x14ac:dyDescent="0.3">
      <c r="A6443" s="234" t="s">
        <v>14601</v>
      </c>
      <c r="B6443" s="237" t="s">
        <v>14604</v>
      </c>
      <c r="C6443" s="160"/>
      <c r="D6443" s="23" t="s">
        <v>70</v>
      </c>
      <c r="E6443" s="24"/>
      <c r="F6443" s="37" t="s">
        <v>418</v>
      </c>
      <c r="G6443" s="25" t="str">
        <f>IF(ISNUMBER(F6443),E6443*F6443,"")</f>
        <v/>
      </c>
      <c r="H6443" s="26"/>
      <c r="I6443" s="27"/>
      <c r="J6443" s="125">
        <v>0</v>
      </c>
    </row>
    <row r="6444" spans="1:10" ht="15.75" hidden="1" thickBot="1" x14ac:dyDescent="0.3">
      <c r="A6444" s="235"/>
      <c r="B6444" s="240"/>
      <c r="C6444" s="151"/>
      <c r="D6444" s="29"/>
      <c r="E6444" s="30"/>
      <c r="F6444" s="38" t="s">
        <v>418</v>
      </c>
      <c r="G6444" s="28" t="str">
        <f>IF(ISNUMBER(F6444),E6444*F6444,"")</f>
        <v/>
      </c>
      <c r="H6444" s="32"/>
      <c r="I6444" s="28"/>
      <c r="J6444" s="125">
        <v>0</v>
      </c>
    </row>
    <row r="6445" spans="1:10" ht="15.75" hidden="1" thickBot="1" x14ac:dyDescent="0.3">
      <c r="A6445" s="235"/>
      <c r="B6445" s="240"/>
      <c r="C6445" s="155" t="s">
        <v>1138</v>
      </c>
      <c r="D6445" s="155" t="s">
        <v>587</v>
      </c>
      <c r="E6445" s="34">
        <v>0.45910000000000001</v>
      </c>
      <c r="F6445" s="31">
        <v>23.645499999999998</v>
      </c>
      <c r="G6445" s="28">
        <f>IF(ISNUMBER(F6445),E6445*F6445,"")</f>
        <v>10.85564905</v>
      </c>
      <c r="H6445" s="35">
        <f>SUM(G6445:G6446)</f>
        <v>13.89150705</v>
      </c>
      <c r="I6445" s="36"/>
      <c r="J6445" s="125">
        <v>0</v>
      </c>
    </row>
    <row r="6446" spans="1:10" ht="15.75" hidden="1" thickBot="1" x14ac:dyDescent="0.3">
      <c r="A6446" s="235"/>
      <c r="B6446" s="240"/>
      <c r="C6446" s="155" t="s">
        <v>588</v>
      </c>
      <c r="D6446" s="155" t="s">
        <v>587</v>
      </c>
      <c r="E6446" s="34">
        <v>0.15820000000000001</v>
      </c>
      <c r="F6446" s="28">
        <v>19.189999999999998</v>
      </c>
      <c r="G6446" s="28">
        <f>IF(ISNUMBER(F6446),E6446*F6446,"")</f>
        <v>3.0358579999999997</v>
      </c>
      <c r="H6446" s="32"/>
      <c r="I6446" s="28"/>
      <c r="J6446" s="125">
        <v>0</v>
      </c>
    </row>
    <row r="6447" spans="1:10" ht="15.75" hidden="1" thickBot="1" x14ac:dyDescent="0.3">
      <c r="A6447" s="236"/>
      <c r="B6447" s="239"/>
      <c r="C6447" s="164"/>
      <c r="D6447" s="50"/>
      <c r="E6447" s="61"/>
      <c r="F6447" s="62" t="s">
        <v>418</v>
      </c>
      <c r="G6447" s="62" t="str">
        <f>IF(ISNUMBER(F6447),E6447*F6447,"")</f>
        <v/>
      </c>
      <c r="H6447" s="64"/>
      <c r="I6447" s="28"/>
      <c r="J6447" s="125">
        <v>0</v>
      </c>
    </row>
    <row r="6448" spans="1:10" ht="15.75" hidden="1" thickBot="1" x14ac:dyDescent="0.3">
      <c r="A6448" s="234" t="s">
        <v>14602</v>
      </c>
      <c r="B6448" s="237" t="s">
        <v>14605</v>
      </c>
      <c r="C6448" s="160"/>
      <c r="D6448" s="23" t="s">
        <v>70</v>
      </c>
      <c r="E6448" s="24"/>
      <c r="F6448" s="37" t="s">
        <v>418</v>
      </c>
      <c r="G6448" s="25" t="str">
        <f>IF(ISNUMBER(F6448),E6448*F6448,"")</f>
        <v/>
      </c>
      <c r="H6448" s="26"/>
      <c r="I6448" s="27"/>
      <c r="J6448" s="125">
        <v>0</v>
      </c>
    </row>
    <row r="6449" spans="1:10" ht="15.75" hidden="1" thickBot="1" x14ac:dyDescent="0.3">
      <c r="A6449" s="235"/>
      <c r="B6449" s="240"/>
      <c r="C6449" s="151"/>
      <c r="D6449" s="29"/>
      <c r="E6449" s="30"/>
      <c r="F6449" s="38" t="s">
        <v>418</v>
      </c>
      <c r="G6449" s="28" t="str">
        <f>IF(ISNUMBER(F6449),E6449*F6449,"")</f>
        <v/>
      </c>
      <c r="H6449" s="32"/>
      <c r="I6449" s="28"/>
      <c r="J6449" s="125">
        <v>0</v>
      </c>
    </row>
    <row r="6450" spans="1:10" ht="26.25" hidden="1" thickBot="1" x14ac:dyDescent="0.3">
      <c r="A6450" s="235"/>
      <c r="B6450" s="240"/>
      <c r="C6450" s="155" t="s">
        <v>23674</v>
      </c>
      <c r="D6450" s="155" t="s">
        <v>85</v>
      </c>
      <c r="E6450" s="34">
        <v>5.6800000000000003E-2</v>
      </c>
      <c r="F6450" s="31">
        <v>66.5</v>
      </c>
      <c r="G6450" s="28">
        <f>IF(ISNUMBER(F6450),E6450*F6450,"")</f>
        <v>3.7772000000000001</v>
      </c>
      <c r="H6450" s="35">
        <f>SUM(G6450:G6455)</f>
        <v>13.986955450000002</v>
      </c>
      <c r="I6450" s="36"/>
      <c r="J6450" s="125">
        <v>0</v>
      </c>
    </row>
    <row r="6451" spans="1:10" ht="15.75" hidden="1" thickBot="1" x14ac:dyDescent="0.3">
      <c r="A6451" s="235"/>
      <c r="B6451" s="240"/>
      <c r="C6451" s="155" t="s">
        <v>1136</v>
      </c>
      <c r="D6451" s="155" t="s">
        <v>85</v>
      </c>
      <c r="E6451" s="34">
        <v>6.4000000000000003E-3</v>
      </c>
      <c r="F6451" s="28">
        <v>212.01149999999998</v>
      </c>
      <c r="G6451" s="28">
        <f>IF(ISNUMBER(F6451),E6451*F6451,"")</f>
        <v>1.3568735999999999</v>
      </c>
      <c r="H6451" s="32"/>
      <c r="I6451" s="28"/>
      <c r="J6451" s="125">
        <v>0</v>
      </c>
    </row>
    <row r="6452" spans="1:10" ht="15.75" hidden="1" thickBot="1" x14ac:dyDescent="0.3">
      <c r="A6452" s="235"/>
      <c r="B6452" s="240"/>
      <c r="C6452" s="155" t="s">
        <v>1138</v>
      </c>
      <c r="D6452" s="155" t="s">
        <v>587</v>
      </c>
      <c r="E6452" s="34">
        <v>0.2041</v>
      </c>
      <c r="F6452" s="28">
        <v>23.645499999999998</v>
      </c>
      <c r="G6452" s="28">
        <f>IF(ISNUMBER(F6452),E6452*F6452,"")</f>
        <v>4.82604655</v>
      </c>
      <c r="H6452" s="32"/>
      <c r="I6452" s="28"/>
      <c r="J6452" s="125">
        <v>0</v>
      </c>
    </row>
    <row r="6453" spans="1:10" ht="15.75" hidden="1" thickBot="1" x14ac:dyDescent="0.3">
      <c r="A6453" s="235"/>
      <c r="B6453" s="240"/>
      <c r="C6453" s="155" t="s">
        <v>588</v>
      </c>
      <c r="D6453" s="155" t="s">
        <v>587</v>
      </c>
      <c r="E6453" s="34">
        <v>0.2041</v>
      </c>
      <c r="F6453" s="28">
        <v>19.189999999999998</v>
      </c>
      <c r="G6453" s="28">
        <f>IF(ISNUMBER(F6453),E6453*F6453,"")</f>
        <v>3.9166789999999998</v>
      </c>
      <c r="H6453" s="32"/>
      <c r="I6453" s="28"/>
      <c r="J6453" s="125">
        <v>0</v>
      </c>
    </row>
    <row r="6454" spans="1:10" ht="39" hidden="1" thickBot="1" x14ac:dyDescent="0.3">
      <c r="A6454" s="235"/>
      <c r="B6454" s="240"/>
      <c r="C6454" s="155" t="s">
        <v>969</v>
      </c>
      <c r="D6454" s="155" t="s">
        <v>814</v>
      </c>
      <c r="E6454" s="34">
        <v>5.4999999999999997E-3</v>
      </c>
      <c r="F6454" s="28">
        <v>10.183999999999999</v>
      </c>
      <c r="G6454" s="28">
        <f>IF(ISNUMBER(F6454),E6454*F6454,"")</f>
        <v>5.6011999999999992E-2</v>
      </c>
      <c r="H6454" s="32"/>
      <c r="I6454" s="28"/>
      <c r="J6454" s="125">
        <v>0</v>
      </c>
    </row>
    <row r="6455" spans="1:10" ht="39" hidden="1" thickBot="1" x14ac:dyDescent="0.3">
      <c r="A6455" s="235"/>
      <c r="B6455" s="240"/>
      <c r="C6455" s="155" t="s">
        <v>1139</v>
      </c>
      <c r="D6455" s="155" t="s">
        <v>816</v>
      </c>
      <c r="E6455" s="34">
        <v>9.6600000000000005E-2</v>
      </c>
      <c r="F6455" s="28">
        <v>0.5605</v>
      </c>
      <c r="G6455" s="28">
        <f>IF(ISNUMBER(F6455),E6455*F6455,"")</f>
        <v>5.4144299999999999E-2</v>
      </c>
      <c r="H6455" s="32"/>
      <c r="I6455" s="28"/>
      <c r="J6455" s="125">
        <v>0</v>
      </c>
    </row>
    <row r="6456" spans="1:10" ht="15.75" hidden="1" thickBot="1" x14ac:dyDescent="0.3">
      <c r="A6456" s="236"/>
      <c r="B6456" s="239"/>
      <c r="C6456" s="164"/>
      <c r="D6456" s="50"/>
      <c r="E6456" s="61"/>
      <c r="F6456" s="62" t="s">
        <v>418</v>
      </c>
      <c r="G6456" s="62" t="str">
        <f>IF(ISNUMBER(F6456),E6456*F6456,"")</f>
        <v/>
      </c>
      <c r="H6456" s="64"/>
      <c r="I6456" s="28"/>
      <c r="J6456" s="125">
        <v>0</v>
      </c>
    </row>
    <row r="6457" spans="1:10" ht="15.75" hidden="1" thickBot="1" x14ac:dyDescent="0.3">
      <c r="A6457" s="234" t="s">
        <v>14603</v>
      </c>
      <c r="B6457" s="237" t="s">
        <v>19647</v>
      </c>
      <c r="C6457" s="160"/>
      <c r="D6457" s="23" t="s">
        <v>16</v>
      </c>
      <c r="E6457" s="24"/>
      <c r="F6457" s="37" t="s">
        <v>418</v>
      </c>
      <c r="G6457" s="25" t="str">
        <f>IF(ISNUMBER(F6457),E6457*F6457,"")</f>
        <v/>
      </c>
      <c r="H6457" s="26"/>
      <c r="I6457" s="27"/>
      <c r="J6457" s="125">
        <v>0</v>
      </c>
    </row>
    <row r="6458" spans="1:10" ht="15.75" hidden="1" thickBot="1" x14ac:dyDescent="0.3">
      <c r="A6458" s="235"/>
      <c r="B6458" s="240"/>
      <c r="C6458" s="151"/>
      <c r="D6458" s="29"/>
      <c r="E6458" s="30"/>
      <c r="F6458" s="38" t="s">
        <v>418</v>
      </c>
      <c r="G6458" s="28" t="str">
        <f>IF(ISNUMBER(F6458),E6458*F6458,"")</f>
        <v/>
      </c>
      <c r="H6458" s="32"/>
      <c r="I6458" s="28"/>
      <c r="J6458" s="125">
        <v>0</v>
      </c>
    </row>
    <row r="6459" spans="1:10" ht="26.25" hidden="1" thickBot="1" x14ac:dyDescent="0.3">
      <c r="A6459" s="235"/>
      <c r="B6459" s="240"/>
      <c r="C6459" s="155" t="s">
        <v>27775</v>
      </c>
      <c r="D6459" s="155" t="s">
        <v>205</v>
      </c>
      <c r="E6459" s="34">
        <v>3</v>
      </c>
      <c r="F6459" s="31">
        <v>1.6815</v>
      </c>
      <c r="G6459" s="28">
        <f>IF(ISNUMBER(F6459),E6459*F6459,"")</f>
        <v>5.0445000000000002</v>
      </c>
      <c r="H6459" s="35">
        <f>SUM(G6459:G6462)</f>
        <v>86.650316050000001</v>
      </c>
      <c r="I6459" s="36"/>
      <c r="J6459" s="125">
        <v>0</v>
      </c>
    </row>
    <row r="6460" spans="1:10" ht="15.75" hidden="1" thickBot="1" x14ac:dyDescent="0.3">
      <c r="A6460" s="235"/>
      <c r="B6460" s="240"/>
      <c r="C6460" s="155" t="s">
        <v>25137</v>
      </c>
      <c r="D6460" s="155" t="s">
        <v>205</v>
      </c>
      <c r="E6460" s="34">
        <v>1</v>
      </c>
      <c r="F6460" s="31">
        <v>63.155999999999999</v>
      </c>
      <c r="G6460" s="28">
        <f>IF(ISNUMBER(F6460),E6460*F6460,"")</f>
        <v>63.155999999999999</v>
      </c>
      <c r="H6460" s="40"/>
      <c r="I6460" s="41"/>
      <c r="J6460" s="125">
        <v>0</v>
      </c>
    </row>
    <row r="6461" spans="1:10" ht="15.75" hidden="1" thickBot="1" x14ac:dyDescent="0.3">
      <c r="A6461" s="235"/>
      <c r="B6461" s="240"/>
      <c r="C6461" s="155" t="s">
        <v>1022</v>
      </c>
      <c r="D6461" s="155" t="s">
        <v>587</v>
      </c>
      <c r="E6461" s="34">
        <v>0.40570000000000001</v>
      </c>
      <c r="F6461" s="31">
        <v>19.522500000000001</v>
      </c>
      <c r="G6461" s="28">
        <f>IF(ISNUMBER(F6461),E6461*F6461,"")</f>
        <v>7.9202782500000009</v>
      </c>
      <c r="H6461" s="40"/>
      <c r="I6461" s="41"/>
      <c r="J6461" s="125">
        <v>0</v>
      </c>
    </row>
    <row r="6462" spans="1:10" ht="15.75" hidden="1" thickBot="1" x14ac:dyDescent="0.3">
      <c r="A6462" s="235"/>
      <c r="B6462" s="240"/>
      <c r="C6462" s="155" t="s">
        <v>1023</v>
      </c>
      <c r="D6462" s="155" t="s">
        <v>587</v>
      </c>
      <c r="E6462" s="34">
        <v>0.40570000000000001</v>
      </c>
      <c r="F6462" s="28">
        <v>25.954000000000001</v>
      </c>
      <c r="G6462" s="28">
        <f>IF(ISNUMBER(F6462),E6462*F6462,"")</f>
        <v>10.5295378</v>
      </c>
      <c r="H6462" s="32"/>
      <c r="I6462" s="28"/>
      <c r="J6462" s="125">
        <v>0</v>
      </c>
    </row>
    <row r="6463" spans="1:10" ht="15.75" hidden="1" thickBot="1" x14ac:dyDescent="0.3">
      <c r="A6463" s="236"/>
      <c r="B6463" s="239"/>
      <c r="C6463" s="155"/>
      <c r="D6463" s="33"/>
      <c r="E6463" s="34"/>
      <c r="F6463" s="28" t="s">
        <v>418</v>
      </c>
      <c r="G6463" s="28" t="str">
        <f>IF(ISNUMBER(F6463),E6463*F6463,"")</f>
        <v/>
      </c>
      <c r="H6463" s="32"/>
      <c r="I6463" s="28"/>
      <c r="J6463" s="125">
        <v>0</v>
      </c>
    </row>
    <row r="6464" spans="1:10" ht="15.75" hidden="1" thickBot="1" x14ac:dyDescent="0.3">
      <c r="A6464" s="234" t="s">
        <v>14606</v>
      </c>
      <c r="B6464" s="237" t="s">
        <v>20937</v>
      </c>
      <c r="C6464" s="160"/>
      <c r="D6464" s="23" t="s">
        <v>16</v>
      </c>
      <c r="E6464" s="24"/>
      <c r="F6464" s="37" t="s">
        <v>418</v>
      </c>
      <c r="G6464" s="25" t="str">
        <f>IF(ISNUMBER(F6464),E6464*F6464,"")</f>
        <v/>
      </c>
      <c r="H6464" s="26"/>
      <c r="I6464" s="27"/>
      <c r="J6464" s="125">
        <v>0</v>
      </c>
    </row>
    <row r="6465" spans="1:10" ht="15.75" hidden="1" thickBot="1" x14ac:dyDescent="0.3">
      <c r="A6465" s="235"/>
      <c r="B6465" s="240"/>
      <c r="C6465" s="151"/>
      <c r="D6465" s="29"/>
      <c r="E6465" s="30"/>
      <c r="F6465" s="38" t="s">
        <v>418</v>
      </c>
      <c r="G6465" s="28" t="str">
        <f>IF(ISNUMBER(F6465),E6465*F6465,"")</f>
        <v/>
      </c>
      <c r="H6465" s="32"/>
      <c r="I6465" s="28"/>
      <c r="J6465" s="125">
        <v>0</v>
      </c>
    </row>
    <row r="6466" spans="1:10" ht="26.25" hidden="1" thickBot="1" x14ac:dyDescent="0.3">
      <c r="A6466" s="235"/>
      <c r="B6466" s="240"/>
      <c r="C6466" s="155" t="s">
        <v>24530</v>
      </c>
      <c r="D6466" s="155" t="s">
        <v>205</v>
      </c>
      <c r="E6466" s="34">
        <v>4</v>
      </c>
      <c r="F6466" s="31">
        <v>25.792499999999997</v>
      </c>
      <c r="G6466" s="28">
        <f>IF(ISNUMBER(F6466),E6466*F6466,"")</f>
        <v>103.16999999999999</v>
      </c>
      <c r="H6466" s="35">
        <f>SUM(G6466:G6469)</f>
        <v>213.02870300000001</v>
      </c>
      <c r="I6466" s="36"/>
      <c r="J6466" s="125">
        <v>0</v>
      </c>
    </row>
    <row r="6467" spans="1:10" ht="15.75" hidden="1" thickBot="1" x14ac:dyDescent="0.3">
      <c r="A6467" s="235"/>
      <c r="B6467" s="240"/>
      <c r="C6467" s="155" t="s">
        <v>14921</v>
      </c>
      <c r="D6467" s="33" t="s">
        <v>205</v>
      </c>
      <c r="E6467" s="34">
        <v>1</v>
      </c>
      <c r="F6467" s="31" t="s">
        <v>418</v>
      </c>
      <c r="G6467" s="28" t="str">
        <f>IF(ISNUMBER(F6467),E6467*F6467,"")</f>
        <v/>
      </c>
      <c r="H6467" s="40"/>
      <c r="I6467" s="41"/>
      <c r="J6467" s="125">
        <v>0</v>
      </c>
    </row>
    <row r="6468" spans="1:10" ht="15.75" hidden="1" thickBot="1" x14ac:dyDescent="0.3">
      <c r="A6468" s="235"/>
      <c r="B6468" s="240"/>
      <c r="C6468" s="155" t="s">
        <v>1022</v>
      </c>
      <c r="D6468" s="155" t="s">
        <v>587</v>
      </c>
      <c r="E6468" s="34">
        <v>1.0580000000000001</v>
      </c>
      <c r="F6468" s="31">
        <v>19.522500000000001</v>
      </c>
      <c r="G6468" s="28">
        <f>IF(ISNUMBER(F6468),E6468*F6468,"")</f>
        <v>20.654805000000003</v>
      </c>
      <c r="H6468" s="40"/>
      <c r="I6468" s="41"/>
      <c r="J6468" s="125">
        <v>0</v>
      </c>
    </row>
    <row r="6469" spans="1:10" ht="15.75" hidden="1" thickBot="1" x14ac:dyDescent="0.3">
      <c r="A6469" s="235"/>
      <c r="B6469" s="240"/>
      <c r="C6469" s="155" t="s">
        <v>1023</v>
      </c>
      <c r="D6469" s="155" t="s">
        <v>587</v>
      </c>
      <c r="E6469" s="34">
        <v>3.4369999999999998</v>
      </c>
      <c r="F6469" s="28">
        <v>25.954000000000001</v>
      </c>
      <c r="G6469" s="28">
        <f>IF(ISNUMBER(F6469),E6469*F6469,"")</f>
        <v>89.203897999999995</v>
      </c>
      <c r="H6469" s="32"/>
      <c r="I6469" s="28"/>
      <c r="J6469" s="125">
        <v>0</v>
      </c>
    </row>
    <row r="6470" spans="1:10" ht="15.75" hidden="1" thickBot="1" x14ac:dyDescent="0.3">
      <c r="A6470" s="236"/>
      <c r="B6470" s="239"/>
      <c r="C6470" s="155"/>
      <c r="D6470" s="33"/>
      <c r="E6470" s="34"/>
      <c r="F6470" s="28" t="s">
        <v>418</v>
      </c>
      <c r="G6470" s="28" t="str">
        <f>IF(ISNUMBER(F6470),E6470*F6470,"")</f>
        <v/>
      </c>
      <c r="H6470" s="32"/>
      <c r="I6470" s="28"/>
      <c r="J6470" s="125">
        <v>0</v>
      </c>
    </row>
    <row r="6471" spans="1:10" ht="15.75" hidden="1" thickBot="1" x14ac:dyDescent="0.3">
      <c r="A6471" s="234" t="s">
        <v>14607</v>
      </c>
      <c r="B6471" s="237" t="s">
        <v>14920</v>
      </c>
      <c r="C6471" s="160"/>
      <c r="D6471" s="23" t="s">
        <v>16</v>
      </c>
      <c r="E6471" s="24"/>
      <c r="F6471" s="37" t="s">
        <v>418</v>
      </c>
      <c r="G6471" s="25" t="str">
        <f>IF(ISNUMBER(F6471),E6471*F6471,"")</f>
        <v/>
      </c>
      <c r="H6471" s="26"/>
      <c r="I6471" s="27"/>
      <c r="J6471" s="125">
        <v>0</v>
      </c>
    </row>
    <row r="6472" spans="1:10" ht="15.75" hidden="1" thickBot="1" x14ac:dyDescent="0.3">
      <c r="A6472" s="235"/>
      <c r="B6472" s="240"/>
      <c r="C6472" s="151"/>
      <c r="D6472" s="29"/>
      <c r="E6472" s="30"/>
      <c r="F6472" s="38" t="s">
        <v>418</v>
      </c>
      <c r="G6472" s="28" t="str">
        <f>IF(ISNUMBER(F6472),E6472*F6472,"")</f>
        <v/>
      </c>
      <c r="H6472" s="32"/>
      <c r="I6472" s="28"/>
      <c r="J6472" s="125">
        <v>0</v>
      </c>
    </row>
    <row r="6473" spans="1:10" ht="15.75" hidden="1" thickBot="1" x14ac:dyDescent="0.3">
      <c r="A6473" s="235"/>
      <c r="B6473" s="240"/>
      <c r="C6473" s="155" t="s">
        <v>14920</v>
      </c>
      <c r="D6473" s="42" t="s">
        <v>16</v>
      </c>
      <c r="E6473" s="34">
        <v>1</v>
      </c>
      <c r="F6473" s="31" t="s">
        <v>418</v>
      </c>
      <c r="G6473" s="28" t="str">
        <f>IF(ISNUMBER(F6473),E6473*F6473,"")</f>
        <v/>
      </c>
      <c r="H6473" s="35">
        <f>SUM(G6473:G6476)</f>
        <v>46.002877269443204</v>
      </c>
      <c r="I6473" s="36"/>
      <c r="J6473" s="125">
        <v>0</v>
      </c>
    </row>
    <row r="6474" spans="1:10" ht="39" hidden="1" thickBot="1" x14ac:dyDescent="0.3">
      <c r="A6474" s="235"/>
      <c r="B6474" s="240"/>
      <c r="C6474" s="155" t="s">
        <v>9105</v>
      </c>
      <c r="D6474" s="155" t="s">
        <v>85</v>
      </c>
      <c r="E6474" s="34">
        <v>1.9199999999999998E-2</v>
      </c>
      <c r="F6474" s="31">
        <v>895.02183434599988</v>
      </c>
      <c r="G6474" s="28">
        <f>IF(ISNUMBER(F6474),E6474*F6474,"")</f>
        <v>17.184419219443196</v>
      </c>
      <c r="H6474" s="40"/>
      <c r="I6474" s="41"/>
      <c r="J6474" s="125">
        <v>0</v>
      </c>
    </row>
    <row r="6475" spans="1:10" ht="15.75" hidden="1" thickBot="1" x14ac:dyDescent="0.3">
      <c r="A6475" s="235"/>
      <c r="B6475" s="240"/>
      <c r="C6475" s="155" t="s">
        <v>1022</v>
      </c>
      <c r="D6475" s="155" t="s">
        <v>587</v>
      </c>
      <c r="E6475" s="34">
        <v>0.63370000000000004</v>
      </c>
      <c r="F6475" s="31">
        <v>19.522500000000001</v>
      </c>
      <c r="G6475" s="28">
        <f>IF(ISNUMBER(F6475),E6475*F6475,"")</f>
        <v>12.371408250000002</v>
      </c>
      <c r="H6475" s="40"/>
      <c r="I6475" s="41"/>
      <c r="J6475" s="125">
        <v>0</v>
      </c>
    </row>
    <row r="6476" spans="1:10" ht="15.75" hidden="1" thickBot="1" x14ac:dyDescent="0.3">
      <c r="A6476" s="235"/>
      <c r="B6476" s="240"/>
      <c r="C6476" s="155" t="s">
        <v>1023</v>
      </c>
      <c r="D6476" s="155" t="s">
        <v>587</v>
      </c>
      <c r="E6476" s="34">
        <v>0.63370000000000004</v>
      </c>
      <c r="F6476" s="28">
        <v>25.954000000000001</v>
      </c>
      <c r="G6476" s="28">
        <f>IF(ISNUMBER(F6476),E6476*F6476,"")</f>
        <v>16.447049800000002</v>
      </c>
      <c r="H6476" s="32"/>
      <c r="I6476" s="28"/>
      <c r="J6476" s="125">
        <v>0</v>
      </c>
    </row>
    <row r="6477" spans="1:10" ht="15.75" hidden="1" thickBot="1" x14ac:dyDescent="0.3">
      <c r="A6477" s="236"/>
      <c r="B6477" s="239"/>
      <c r="C6477" s="164"/>
      <c r="D6477" s="50"/>
      <c r="E6477" s="61"/>
      <c r="F6477" s="62" t="s">
        <v>418</v>
      </c>
      <c r="G6477" s="62" t="str">
        <f>IF(ISNUMBER(F6477),E6477*F6477,"")</f>
        <v/>
      </c>
      <c r="H6477" s="64"/>
      <c r="I6477" s="28"/>
      <c r="J6477" s="125">
        <v>0</v>
      </c>
    </row>
    <row r="6478" spans="1:10" ht="15.75" hidden="1" thickBot="1" x14ac:dyDescent="0.3">
      <c r="A6478" s="234" t="s">
        <v>14608</v>
      </c>
      <c r="B6478" s="237" t="s">
        <v>15204</v>
      </c>
      <c r="C6478" s="160"/>
      <c r="D6478" s="23" t="s">
        <v>16</v>
      </c>
      <c r="E6478" s="24"/>
      <c r="F6478" s="37" t="s">
        <v>418</v>
      </c>
      <c r="G6478" s="25" t="str">
        <f>IF(ISNUMBER(F6478),E6478*F6478,"")</f>
        <v/>
      </c>
      <c r="H6478" s="26"/>
      <c r="I6478" s="27"/>
      <c r="J6478" s="125">
        <v>0</v>
      </c>
    </row>
    <row r="6479" spans="1:10" ht="15.75" hidden="1" thickBot="1" x14ac:dyDescent="0.3">
      <c r="A6479" s="235"/>
      <c r="B6479" s="238"/>
      <c r="C6479" s="151"/>
      <c r="D6479" s="29"/>
      <c r="E6479" s="30"/>
      <c r="F6479" s="38" t="s">
        <v>418</v>
      </c>
      <c r="G6479" s="28" t="str">
        <f>IF(ISNUMBER(F6479),E6479*F6479,"")</f>
        <v/>
      </c>
      <c r="H6479" s="32"/>
      <c r="I6479" s="28"/>
      <c r="J6479" s="125">
        <v>0</v>
      </c>
    </row>
    <row r="6480" spans="1:10" ht="26.25" hidden="1" thickBot="1" x14ac:dyDescent="0.3">
      <c r="A6480" s="235"/>
      <c r="B6480" s="238"/>
      <c r="C6480" s="155" t="s">
        <v>17260</v>
      </c>
      <c r="D6480" s="42" t="s">
        <v>16</v>
      </c>
      <c r="E6480" s="34">
        <v>1</v>
      </c>
      <c r="F6480" s="31" t="s">
        <v>418</v>
      </c>
      <c r="G6480" s="28" t="str">
        <f>IF(ISNUMBER(F6480),E6480*F6480,"")</f>
        <v/>
      </c>
      <c r="H6480" s="35">
        <f>SUM(G6480:G6483)</f>
        <v>46.002877269443204</v>
      </c>
      <c r="I6480" s="36"/>
      <c r="J6480" s="125">
        <v>0</v>
      </c>
    </row>
    <row r="6481" spans="1:10" ht="39" hidden="1" thickBot="1" x14ac:dyDescent="0.3">
      <c r="A6481" s="235"/>
      <c r="B6481" s="238"/>
      <c r="C6481" s="155" t="s">
        <v>9105</v>
      </c>
      <c r="D6481" s="155" t="s">
        <v>85</v>
      </c>
      <c r="E6481" s="34">
        <v>1.9199999999999998E-2</v>
      </c>
      <c r="F6481" s="28">
        <v>895.02183434599988</v>
      </c>
      <c r="G6481" s="28">
        <f>IF(ISNUMBER(F6481),E6481*F6481,"")</f>
        <v>17.184419219443196</v>
      </c>
      <c r="H6481" s="32"/>
      <c r="I6481" s="28"/>
      <c r="J6481" s="125">
        <v>0</v>
      </c>
    </row>
    <row r="6482" spans="1:10" ht="15.75" hidden="1" thickBot="1" x14ac:dyDescent="0.3">
      <c r="A6482" s="235"/>
      <c r="B6482" s="238"/>
      <c r="C6482" s="155" t="s">
        <v>1022</v>
      </c>
      <c r="D6482" s="155" t="s">
        <v>587</v>
      </c>
      <c r="E6482" s="34">
        <v>0.63370000000000004</v>
      </c>
      <c r="F6482" s="28">
        <v>19.522500000000001</v>
      </c>
      <c r="G6482" s="28">
        <f>IF(ISNUMBER(F6482),E6482*F6482,"")</f>
        <v>12.371408250000002</v>
      </c>
      <c r="H6482" s="32"/>
      <c r="I6482" s="28"/>
      <c r="J6482" s="125">
        <v>0</v>
      </c>
    </row>
    <row r="6483" spans="1:10" ht="15.75" hidden="1" thickBot="1" x14ac:dyDescent="0.3">
      <c r="A6483" s="235"/>
      <c r="B6483" s="238"/>
      <c r="C6483" s="155" t="s">
        <v>1023</v>
      </c>
      <c r="D6483" s="155" t="s">
        <v>587</v>
      </c>
      <c r="E6483" s="34">
        <v>0.63370000000000004</v>
      </c>
      <c r="F6483" s="28">
        <v>25.954000000000001</v>
      </c>
      <c r="G6483" s="31">
        <f>IF(ISNUMBER(F6483),E6483*F6483,"")</f>
        <v>16.447049800000002</v>
      </c>
      <c r="H6483" s="32"/>
      <c r="I6483" s="28"/>
      <c r="J6483" s="125">
        <v>0</v>
      </c>
    </row>
    <row r="6484" spans="1:10" ht="15.75" hidden="1" thickBot="1" x14ac:dyDescent="0.3">
      <c r="A6484" s="235"/>
      <c r="B6484" s="239"/>
      <c r="C6484" s="155"/>
      <c r="D6484" s="33"/>
      <c r="E6484" s="34"/>
      <c r="F6484" s="28" t="s">
        <v>418</v>
      </c>
      <c r="G6484" s="28" t="str">
        <f>IF(ISNUMBER(F6484),E6484*F6484,"")</f>
        <v/>
      </c>
      <c r="H6484" s="32"/>
      <c r="I6484" s="28"/>
      <c r="J6484" s="125">
        <v>0</v>
      </c>
    </row>
    <row r="6485" spans="1:10" ht="15.75" hidden="1" thickBot="1" x14ac:dyDescent="0.3">
      <c r="A6485" s="234" t="s">
        <v>14609</v>
      </c>
      <c r="B6485" s="237" t="s">
        <v>15205</v>
      </c>
      <c r="C6485" s="160"/>
      <c r="D6485" s="23" t="s">
        <v>16</v>
      </c>
      <c r="E6485" s="24"/>
      <c r="F6485" s="37" t="s">
        <v>418</v>
      </c>
      <c r="G6485" s="25" t="str">
        <f>IF(ISNUMBER(F6485),E6485*F6485,"")</f>
        <v/>
      </c>
      <c r="H6485" s="26"/>
      <c r="I6485" s="27"/>
      <c r="J6485" s="125">
        <v>0</v>
      </c>
    </row>
    <row r="6486" spans="1:10" ht="15.75" hidden="1" thickBot="1" x14ac:dyDescent="0.3">
      <c r="A6486" s="235"/>
      <c r="B6486" s="238"/>
      <c r="C6486" s="151"/>
      <c r="D6486" s="29"/>
      <c r="E6486" s="30"/>
      <c r="F6486" s="38" t="s">
        <v>418</v>
      </c>
      <c r="G6486" s="28" t="str">
        <f>IF(ISNUMBER(F6486),E6486*F6486,"")</f>
        <v/>
      </c>
      <c r="H6486" s="32"/>
      <c r="I6486" s="28"/>
      <c r="J6486" s="125">
        <v>0</v>
      </c>
    </row>
    <row r="6487" spans="1:10" ht="26.25" hidden="1" thickBot="1" x14ac:dyDescent="0.3">
      <c r="A6487" s="235"/>
      <c r="B6487" s="238"/>
      <c r="C6487" s="155" t="s">
        <v>17259</v>
      </c>
      <c r="D6487" s="42" t="s">
        <v>16</v>
      </c>
      <c r="E6487" s="34">
        <v>1</v>
      </c>
      <c r="F6487" s="31" t="s">
        <v>418</v>
      </c>
      <c r="G6487" s="28" t="str">
        <f>IF(ISNUMBER(F6487),E6487*F6487,"")</f>
        <v/>
      </c>
      <c r="H6487" s="35">
        <f>SUM(G6487:G6490)</f>
        <v>46.002877269443204</v>
      </c>
      <c r="I6487" s="36"/>
      <c r="J6487" s="125">
        <v>0</v>
      </c>
    </row>
    <row r="6488" spans="1:10" ht="39" hidden="1" thickBot="1" x14ac:dyDescent="0.3">
      <c r="A6488" s="235"/>
      <c r="B6488" s="238"/>
      <c r="C6488" s="155" t="s">
        <v>9105</v>
      </c>
      <c r="D6488" s="155" t="s">
        <v>85</v>
      </c>
      <c r="E6488" s="34">
        <v>1.9199999999999998E-2</v>
      </c>
      <c r="F6488" s="28">
        <v>895.02183434599988</v>
      </c>
      <c r="G6488" s="28">
        <f>IF(ISNUMBER(F6488),E6488*F6488,"")</f>
        <v>17.184419219443196</v>
      </c>
      <c r="H6488" s="32"/>
      <c r="I6488" s="28"/>
      <c r="J6488" s="125">
        <v>0</v>
      </c>
    </row>
    <row r="6489" spans="1:10" ht="15.75" hidden="1" thickBot="1" x14ac:dyDescent="0.3">
      <c r="A6489" s="235"/>
      <c r="B6489" s="238"/>
      <c r="C6489" s="155" t="s">
        <v>1022</v>
      </c>
      <c r="D6489" s="155" t="s">
        <v>587</v>
      </c>
      <c r="E6489" s="34">
        <v>0.63370000000000004</v>
      </c>
      <c r="F6489" s="28">
        <v>19.522500000000001</v>
      </c>
      <c r="G6489" s="28">
        <f>IF(ISNUMBER(F6489),E6489*F6489,"")</f>
        <v>12.371408250000002</v>
      </c>
      <c r="H6489" s="32"/>
      <c r="I6489" s="28"/>
      <c r="J6489" s="125">
        <v>0</v>
      </c>
    </row>
    <row r="6490" spans="1:10" ht="15.75" hidden="1" thickBot="1" x14ac:dyDescent="0.3">
      <c r="A6490" s="235"/>
      <c r="B6490" s="238"/>
      <c r="C6490" s="155" t="s">
        <v>1023</v>
      </c>
      <c r="D6490" s="155" t="s">
        <v>587</v>
      </c>
      <c r="E6490" s="34">
        <v>0.63370000000000004</v>
      </c>
      <c r="F6490" s="28">
        <v>25.954000000000001</v>
      </c>
      <c r="G6490" s="31">
        <f>IF(ISNUMBER(F6490),E6490*F6490,"")</f>
        <v>16.447049800000002</v>
      </c>
      <c r="H6490" s="32"/>
      <c r="I6490" s="28"/>
      <c r="J6490" s="125">
        <v>0</v>
      </c>
    </row>
    <row r="6491" spans="1:10" ht="15.75" hidden="1" thickBot="1" x14ac:dyDescent="0.3">
      <c r="A6491" s="235"/>
      <c r="B6491" s="239"/>
      <c r="C6491" s="155"/>
      <c r="D6491" s="33"/>
      <c r="E6491" s="34"/>
      <c r="F6491" s="28" t="s">
        <v>418</v>
      </c>
      <c r="G6491" s="28" t="str">
        <f>IF(ISNUMBER(F6491),E6491*F6491,"")</f>
        <v/>
      </c>
      <c r="H6491" s="32"/>
      <c r="I6491" s="28"/>
      <c r="J6491" s="125">
        <v>0</v>
      </c>
    </row>
    <row r="6492" spans="1:10" ht="15.75" hidden="1" thickBot="1" x14ac:dyDescent="0.3">
      <c r="A6492" s="234" t="s">
        <v>14610</v>
      </c>
      <c r="B6492" s="237" t="s">
        <v>15206</v>
      </c>
      <c r="C6492" s="160"/>
      <c r="D6492" s="23" t="s">
        <v>16</v>
      </c>
      <c r="E6492" s="24"/>
      <c r="F6492" s="37" t="s">
        <v>418</v>
      </c>
      <c r="G6492" s="25" t="str">
        <f>IF(ISNUMBER(F6492),E6492*F6492,"")</f>
        <v/>
      </c>
      <c r="H6492" s="26"/>
      <c r="I6492" s="27"/>
      <c r="J6492" s="125">
        <v>0</v>
      </c>
    </row>
    <row r="6493" spans="1:10" ht="15.75" hidden="1" thickBot="1" x14ac:dyDescent="0.3">
      <c r="A6493" s="235"/>
      <c r="B6493" s="240"/>
      <c r="C6493" s="151"/>
      <c r="D6493" s="29"/>
      <c r="E6493" s="30"/>
      <c r="F6493" s="38" t="s">
        <v>418</v>
      </c>
      <c r="G6493" s="28" t="str">
        <f>IF(ISNUMBER(F6493),E6493*F6493,"")</f>
        <v/>
      </c>
      <c r="H6493" s="32"/>
      <c r="I6493" s="28"/>
      <c r="J6493" s="125">
        <v>0</v>
      </c>
    </row>
    <row r="6494" spans="1:10" ht="26.25" hidden="1" thickBot="1" x14ac:dyDescent="0.3">
      <c r="A6494" s="235"/>
      <c r="B6494" s="240"/>
      <c r="C6494" s="155" t="s">
        <v>23586</v>
      </c>
      <c r="D6494" s="155" t="s">
        <v>205</v>
      </c>
      <c r="E6494" s="130">
        <v>1</v>
      </c>
      <c r="F6494" s="28">
        <v>10.468999999999999</v>
      </c>
      <c r="G6494" s="28">
        <f>IF(ISNUMBER(F6494),E6494*F6494,"")</f>
        <v>10.468999999999999</v>
      </c>
      <c r="H6494" s="35">
        <f>SUM(G6494:G6494)</f>
        <v>10.468999999999999</v>
      </c>
      <c r="I6494" s="36"/>
      <c r="J6494" s="125">
        <v>0</v>
      </c>
    </row>
    <row r="6495" spans="1:10" ht="15.75" hidden="1" thickBot="1" x14ac:dyDescent="0.3">
      <c r="A6495" s="236"/>
      <c r="B6495" s="239"/>
      <c r="C6495" s="164"/>
      <c r="D6495" s="50"/>
      <c r="E6495" s="61"/>
      <c r="F6495" s="62" t="s">
        <v>418</v>
      </c>
      <c r="G6495" s="62" t="str">
        <f>IF(ISNUMBER(F6495),E6495*F6495,"")</f>
        <v/>
      </c>
      <c r="H6495" s="64"/>
      <c r="I6495" s="28"/>
      <c r="J6495" s="125">
        <v>0</v>
      </c>
    </row>
    <row r="6496" spans="1:10" ht="15.75" hidden="1" thickBot="1" x14ac:dyDescent="0.3">
      <c r="A6496" s="234" t="s">
        <v>14611</v>
      </c>
      <c r="B6496" s="237" t="s">
        <v>10370</v>
      </c>
      <c r="C6496" s="160"/>
      <c r="D6496" s="23" t="s">
        <v>16</v>
      </c>
      <c r="E6496" s="24"/>
      <c r="F6496" s="37" t="s">
        <v>418</v>
      </c>
      <c r="G6496" s="25" t="str">
        <f>IF(ISNUMBER(F6496),E6496*F6496,"")</f>
        <v/>
      </c>
      <c r="H6496" s="26"/>
      <c r="I6496" s="27"/>
      <c r="J6496" s="125">
        <v>0</v>
      </c>
    </row>
    <row r="6497" spans="1:10" ht="15.75" hidden="1" thickBot="1" x14ac:dyDescent="0.3">
      <c r="A6497" s="235"/>
      <c r="B6497" s="240"/>
      <c r="C6497" s="151"/>
      <c r="D6497" s="29"/>
      <c r="E6497" s="30"/>
      <c r="F6497" s="38" t="s">
        <v>418</v>
      </c>
      <c r="G6497" s="28" t="str">
        <f>IF(ISNUMBER(F6497),E6497*F6497,"")</f>
        <v/>
      </c>
      <c r="H6497" s="32"/>
      <c r="I6497" s="28"/>
      <c r="J6497" s="125">
        <v>0</v>
      </c>
    </row>
    <row r="6498" spans="1:10" ht="26.25" hidden="1" thickBot="1" x14ac:dyDescent="0.3">
      <c r="A6498" s="235"/>
      <c r="B6498" s="240"/>
      <c r="C6498" s="155" t="s">
        <v>23540</v>
      </c>
      <c r="D6498" s="155" t="s">
        <v>205</v>
      </c>
      <c r="E6498" s="130">
        <v>1</v>
      </c>
      <c r="F6498" s="28">
        <v>4.7119999999999997</v>
      </c>
      <c r="G6498" s="28">
        <f>IF(ISNUMBER(F6498),E6498*F6498,"")</f>
        <v>4.7119999999999997</v>
      </c>
      <c r="H6498" s="35">
        <f>SUM(G6498:G6498)</f>
        <v>4.7119999999999997</v>
      </c>
      <c r="I6498" s="36"/>
      <c r="J6498" s="125">
        <v>0</v>
      </c>
    </row>
    <row r="6499" spans="1:10" ht="15.75" hidden="1" thickBot="1" x14ac:dyDescent="0.3">
      <c r="A6499" s="236"/>
      <c r="B6499" s="239"/>
      <c r="C6499" s="164"/>
      <c r="D6499" s="50"/>
      <c r="E6499" s="61"/>
      <c r="F6499" s="62" t="s">
        <v>418</v>
      </c>
      <c r="G6499" s="62" t="str">
        <f>IF(ISNUMBER(F6499),E6499*F6499,"")</f>
        <v/>
      </c>
      <c r="H6499" s="64"/>
      <c r="I6499" s="28"/>
      <c r="J6499" s="125">
        <v>0</v>
      </c>
    </row>
    <row r="6500" spans="1:10" ht="15.75" hidden="1" thickBot="1" x14ac:dyDescent="0.3">
      <c r="A6500" s="234" t="s">
        <v>14612</v>
      </c>
      <c r="B6500" s="237" t="s">
        <v>15207</v>
      </c>
      <c r="C6500" s="160"/>
      <c r="D6500" s="23" t="s">
        <v>28</v>
      </c>
      <c r="E6500" s="24"/>
      <c r="F6500" s="37" t="s">
        <v>418</v>
      </c>
      <c r="G6500" s="25" t="str">
        <f>IF(ISNUMBER(F6500),E6500*F6500,"")</f>
        <v/>
      </c>
      <c r="H6500" s="26"/>
      <c r="I6500" s="27"/>
      <c r="J6500" s="125">
        <v>0</v>
      </c>
    </row>
    <row r="6501" spans="1:10" ht="15.75" hidden="1" thickBot="1" x14ac:dyDescent="0.3">
      <c r="A6501" s="235"/>
      <c r="B6501" s="240"/>
      <c r="C6501" s="151"/>
      <c r="D6501" s="29"/>
      <c r="E6501" s="30"/>
      <c r="F6501" s="38" t="s">
        <v>418</v>
      </c>
      <c r="G6501" s="28" t="str">
        <f>IF(ISNUMBER(F6501),E6501*F6501,"")</f>
        <v/>
      </c>
      <c r="H6501" s="32"/>
      <c r="I6501" s="28"/>
      <c r="J6501" s="125">
        <v>0</v>
      </c>
    </row>
    <row r="6502" spans="1:10" ht="15.75" hidden="1" thickBot="1" x14ac:dyDescent="0.3">
      <c r="A6502" s="235"/>
      <c r="B6502" s="240"/>
      <c r="C6502" s="155" t="s">
        <v>27268</v>
      </c>
      <c r="D6502" s="155" t="s">
        <v>774</v>
      </c>
      <c r="E6502" s="130">
        <v>1</v>
      </c>
      <c r="F6502" s="28">
        <v>6.5739999999999998</v>
      </c>
      <c r="G6502" s="28">
        <f>IF(ISNUMBER(F6502),E6502*F6502,"")</f>
        <v>6.5739999999999998</v>
      </c>
      <c r="H6502" s="35">
        <f>SUM(G6502:G6502)</f>
        <v>6.5739999999999998</v>
      </c>
      <c r="I6502" s="36"/>
      <c r="J6502" s="125">
        <v>0</v>
      </c>
    </row>
    <row r="6503" spans="1:10" ht="15.75" hidden="1" thickBot="1" x14ac:dyDescent="0.3">
      <c r="A6503" s="236"/>
      <c r="B6503" s="239"/>
      <c r="C6503" s="164"/>
      <c r="D6503" s="50"/>
      <c r="E6503" s="61"/>
      <c r="F6503" s="62" t="s">
        <v>418</v>
      </c>
      <c r="G6503" s="62" t="str">
        <f>IF(ISNUMBER(F6503),E6503*F6503,"")</f>
        <v/>
      </c>
      <c r="H6503" s="64"/>
      <c r="I6503" s="28"/>
      <c r="J6503" s="125">
        <v>0</v>
      </c>
    </row>
    <row r="6504" spans="1:10" ht="15.75" hidden="1" thickBot="1" x14ac:dyDescent="0.3">
      <c r="A6504" s="234" t="s">
        <v>14613</v>
      </c>
      <c r="B6504" s="237" t="s">
        <v>13440</v>
      </c>
      <c r="C6504" s="160"/>
      <c r="D6504" s="23" t="s">
        <v>16</v>
      </c>
      <c r="E6504" s="24"/>
      <c r="F6504" s="37" t="s">
        <v>418</v>
      </c>
      <c r="G6504" s="25" t="str">
        <f>IF(ISNUMBER(F6504),E6504*F6504,"")</f>
        <v/>
      </c>
      <c r="H6504" s="26"/>
      <c r="I6504" s="27"/>
      <c r="J6504" s="125">
        <v>0</v>
      </c>
    </row>
    <row r="6505" spans="1:10" ht="15.75" hidden="1" thickBot="1" x14ac:dyDescent="0.3">
      <c r="A6505" s="235"/>
      <c r="B6505" s="240"/>
      <c r="C6505" s="151"/>
      <c r="D6505" s="29"/>
      <c r="E6505" s="30"/>
      <c r="F6505" s="38" t="s">
        <v>418</v>
      </c>
      <c r="G6505" s="28" t="str">
        <f>IF(ISNUMBER(F6505),E6505*F6505,"")</f>
        <v/>
      </c>
      <c r="H6505" s="32"/>
      <c r="I6505" s="28"/>
      <c r="J6505" s="125">
        <v>0</v>
      </c>
    </row>
    <row r="6506" spans="1:10" ht="15.75" hidden="1" thickBot="1" x14ac:dyDescent="0.3">
      <c r="A6506" s="235"/>
      <c r="B6506" s="240"/>
      <c r="C6506" s="155" t="s">
        <v>23731</v>
      </c>
      <c r="D6506" s="155" t="s">
        <v>205</v>
      </c>
      <c r="E6506" s="130">
        <v>1</v>
      </c>
      <c r="F6506" s="28">
        <v>38.475000000000001</v>
      </c>
      <c r="G6506" s="28">
        <f>IF(ISNUMBER(F6506),E6506*F6506,"")</f>
        <v>38.475000000000001</v>
      </c>
      <c r="H6506" s="35">
        <f>SUM(G6506:G6506)</f>
        <v>38.475000000000001</v>
      </c>
      <c r="I6506" s="36"/>
      <c r="J6506" s="125">
        <v>0</v>
      </c>
    </row>
    <row r="6507" spans="1:10" ht="15.75" hidden="1" thickBot="1" x14ac:dyDescent="0.3">
      <c r="A6507" s="236"/>
      <c r="B6507" s="239"/>
      <c r="C6507" s="164"/>
      <c r="D6507" s="50"/>
      <c r="E6507" s="61"/>
      <c r="F6507" s="62" t="s">
        <v>418</v>
      </c>
      <c r="G6507" s="62" t="str">
        <f>IF(ISNUMBER(F6507),E6507*F6507,"")</f>
        <v/>
      </c>
      <c r="H6507" s="64"/>
      <c r="I6507" s="28"/>
      <c r="J6507" s="125">
        <v>0</v>
      </c>
    </row>
    <row r="6508" spans="1:10" ht="15.75" hidden="1" thickBot="1" x14ac:dyDescent="0.3">
      <c r="A6508" s="234" t="s">
        <v>14614</v>
      </c>
      <c r="B6508" s="237" t="s">
        <v>15208</v>
      </c>
      <c r="C6508" s="160"/>
      <c r="D6508" s="23" t="s">
        <v>16</v>
      </c>
      <c r="E6508" s="24"/>
      <c r="F6508" s="37" t="s">
        <v>418</v>
      </c>
      <c r="G6508" s="25" t="str">
        <f>IF(ISNUMBER(F6508),E6508*F6508,"")</f>
        <v/>
      </c>
      <c r="H6508" s="26"/>
      <c r="I6508" s="27"/>
      <c r="J6508" s="125">
        <v>0</v>
      </c>
    </row>
    <row r="6509" spans="1:10" ht="15.75" hidden="1" thickBot="1" x14ac:dyDescent="0.3">
      <c r="A6509" s="235"/>
      <c r="B6509" s="240"/>
      <c r="C6509" s="151"/>
      <c r="D6509" s="29"/>
      <c r="E6509" s="30"/>
      <c r="F6509" s="38" t="s">
        <v>418</v>
      </c>
      <c r="G6509" s="28" t="str">
        <f>IF(ISNUMBER(F6509),E6509*F6509,"")</f>
        <v/>
      </c>
      <c r="H6509" s="32"/>
      <c r="I6509" s="28"/>
      <c r="J6509" s="125">
        <v>0</v>
      </c>
    </row>
    <row r="6510" spans="1:10" ht="26.25" hidden="1" thickBot="1" x14ac:dyDescent="0.3">
      <c r="A6510" s="235"/>
      <c r="B6510" s="240"/>
      <c r="C6510" s="155" t="s">
        <v>23809</v>
      </c>
      <c r="D6510" s="155" t="s">
        <v>205</v>
      </c>
      <c r="E6510" s="130">
        <v>1</v>
      </c>
      <c r="F6510" s="28">
        <v>150.17600000000002</v>
      </c>
      <c r="G6510" s="28">
        <f>IF(ISNUMBER(F6510),E6510*F6510,"")</f>
        <v>150.17600000000002</v>
      </c>
      <c r="H6510" s="35">
        <f>SUM(G6510:G6510)</f>
        <v>150.17600000000002</v>
      </c>
      <c r="I6510" s="36"/>
      <c r="J6510" s="125">
        <v>0</v>
      </c>
    </row>
    <row r="6511" spans="1:10" ht="15.75" hidden="1" thickBot="1" x14ac:dyDescent="0.3">
      <c r="A6511" s="236"/>
      <c r="B6511" s="239"/>
      <c r="C6511" s="164"/>
      <c r="D6511" s="50"/>
      <c r="E6511" s="61"/>
      <c r="F6511" s="62" t="s">
        <v>418</v>
      </c>
      <c r="G6511" s="62" t="str">
        <f>IF(ISNUMBER(F6511),E6511*F6511,"")</f>
        <v/>
      </c>
      <c r="H6511" s="64"/>
      <c r="I6511" s="28"/>
      <c r="J6511" s="125">
        <v>0</v>
      </c>
    </row>
    <row r="6512" spans="1:10" ht="15.75" hidden="1" thickBot="1" x14ac:dyDescent="0.3">
      <c r="A6512" s="234" t="s">
        <v>14615</v>
      </c>
      <c r="B6512" s="237" t="s">
        <v>15209</v>
      </c>
      <c r="C6512" s="160"/>
      <c r="D6512" s="23" t="s">
        <v>16</v>
      </c>
      <c r="E6512" s="24"/>
      <c r="F6512" s="37" t="s">
        <v>418</v>
      </c>
      <c r="G6512" s="25" t="str">
        <f>IF(ISNUMBER(F6512),E6512*F6512,"")</f>
        <v/>
      </c>
      <c r="H6512" s="26"/>
      <c r="I6512" s="27"/>
      <c r="J6512" s="125">
        <v>0</v>
      </c>
    </row>
    <row r="6513" spans="1:10" ht="15.75" hidden="1" thickBot="1" x14ac:dyDescent="0.3">
      <c r="A6513" s="235"/>
      <c r="B6513" s="240"/>
      <c r="C6513" s="151"/>
      <c r="D6513" s="29"/>
      <c r="E6513" s="30"/>
      <c r="F6513" s="38" t="s">
        <v>418</v>
      </c>
      <c r="G6513" s="28" t="str">
        <f>IF(ISNUMBER(F6513),E6513*F6513,"")</f>
        <v/>
      </c>
      <c r="H6513" s="32"/>
      <c r="I6513" s="28"/>
      <c r="J6513" s="125">
        <v>0</v>
      </c>
    </row>
    <row r="6514" spans="1:10" ht="26.25" hidden="1" thickBot="1" x14ac:dyDescent="0.3">
      <c r="A6514" s="235"/>
      <c r="B6514" s="240"/>
      <c r="C6514" s="155" t="s">
        <v>23810</v>
      </c>
      <c r="D6514" s="155" t="s">
        <v>205</v>
      </c>
      <c r="E6514" s="130">
        <v>1</v>
      </c>
      <c r="F6514" s="28">
        <v>160.13200000000001</v>
      </c>
      <c r="G6514" s="28">
        <f>IF(ISNUMBER(F6514),E6514*F6514,"")</f>
        <v>160.13200000000001</v>
      </c>
      <c r="H6514" s="35">
        <f>SUM(G6514:G6514)</f>
        <v>160.13200000000001</v>
      </c>
      <c r="I6514" s="36"/>
      <c r="J6514" s="125">
        <v>0</v>
      </c>
    </row>
    <row r="6515" spans="1:10" ht="15.75" hidden="1" thickBot="1" x14ac:dyDescent="0.3">
      <c r="A6515" s="236"/>
      <c r="B6515" s="239"/>
      <c r="C6515" s="164"/>
      <c r="D6515" s="50"/>
      <c r="E6515" s="61"/>
      <c r="F6515" s="62" t="s">
        <v>418</v>
      </c>
      <c r="G6515" s="62" t="str">
        <f>IF(ISNUMBER(F6515),E6515*F6515,"")</f>
        <v/>
      </c>
      <c r="H6515" s="64"/>
      <c r="I6515" s="28"/>
      <c r="J6515" s="125">
        <v>0</v>
      </c>
    </row>
    <row r="6516" spans="1:10" ht="15.75" hidden="1" thickBot="1" x14ac:dyDescent="0.3">
      <c r="A6516" s="234" t="s">
        <v>14616</v>
      </c>
      <c r="B6516" s="237" t="s">
        <v>15210</v>
      </c>
      <c r="C6516" s="160"/>
      <c r="D6516" s="23" t="s">
        <v>16</v>
      </c>
      <c r="E6516" s="24"/>
      <c r="F6516" s="37" t="s">
        <v>418</v>
      </c>
      <c r="G6516" s="25" t="str">
        <f>IF(ISNUMBER(F6516),E6516*F6516,"")</f>
        <v/>
      </c>
      <c r="H6516" s="26"/>
      <c r="I6516" s="27"/>
      <c r="J6516" s="125">
        <v>0</v>
      </c>
    </row>
    <row r="6517" spans="1:10" ht="15.75" hidden="1" thickBot="1" x14ac:dyDescent="0.3">
      <c r="A6517" s="235"/>
      <c r="B6517" s="240"/>
      <c r="C6517" s="151"/>
      <c r="D6517" s="29"/>
      <c r="E6517" s="30"/>
      <c r="F6517" s="38" t="s">
        <v>418</v>
      </c>
      <c r="G6517" s="28" t="str">
        <f>IF(ISNUMBER(F6517),E6517*F6517,"")</f>
        <v/>
      </c>
      <c r="H6517" s="32"/>
      <c r="I6517" s="28"/>
      <c r="J6517" s="125">
        <v>0</v>
      </c>
    </row>
    <row r="6518" spans="1:10" ht="26.25" hidden="1" thickBot="1" x14ac:dyDescent="0.3">
      <c r="A6518" s="235"/>
      <c r="B6518" s="240"/>
      <c r="C6518" s="155" t="s">
        <v>29766</v>
      </c>
      <c r="D6518" s="155" t="s">
        <v>205</v>
      </c>
      <c r="E6518" s="130">
        <v>1</v>
      </c>
      <c r="F6518" s="28">
        <v>3.8949999999999996</v>
      </c>
      <c r="G6518" s="28">
        <f>IF(ISNUMBER(F6518),E6518*F6518,"")</f>
        <v>3.8949999999999996</v>
      </c>
      <c r="H6518" s="35">
        <f>SUM(G6518:G6518)</f>
        <v>3.8949999999999996</v>
      </c>
      <c r="I6518" s="36"/>
      <c r="J6518" s="125">
        <v>0</v>
      </c>
    </row>
    <row r="6519" spans="1:10" ht="15.75" hidden="1" thickBot="1" x14ac:dyDescent="0.3">
      <c r="A6519" s="236"/>
      <c r="B6519" s="239"/>
      <c r="C6519" s="164"/>
      <c r="D6519" s="50"/>
      <c r="E6519" s="61"/>
      <c r="F6519" s="62" t="s">
        <v>418</v>
      </c>
      <c r="G6519" s="62" t="str">
        <f>IF(ISNUMBER(F6519),E6519*F6519,"")</f>
        <v/>
      </c>
      <c r="H6519" s="64"/>
      <c r="I6519" s="28"/>
      <c r="J6519" s="125">
        <v>0</v>
      </c>
    </row>
    <row r="6520" spans="1:10" ht="15.75" hidden="1" thickBot="1" x14ac:dyDescent="0.3">
      <c r="A6520" s="234" t="s">
        <v>14617</v>
      </c>
      <c r="B6520" s="237" t="s">
        <v>15211</v>
      </c>
      <c r="C6520" s="160"/>
      <c r="D6520" s="23" t="s">
        <v>16</v>
      </c>
      <c r="E6520" s="24"/>
      <c r="F6520" s="37" t="s">
        <v>418</v>
      </c>
      <c r="G6520" s="25" t="str">
        <f>IF(ISNUMBER(F6520),E6520*F6520,"")</f>
        <v/>
      </c>
      <c r="H6520" s="26"/>
      <c r="I6520" s="27"/>
      <c r="J6520" s="125">
        <v>0</v>
      </c>
    </row>
    <row r="6521" spans="1:10" ht="15.75" hidden="1" thickBot="1" x14ac:dyDescent="0.3">
      <c r="A6521" s="235"/>
      <c r="B6521" s="240"/>
      <c r="C6521" s="151"/>
      <c r="D6521" s="29"/>
      <c r="E6521" s="30"/>
      <c r="F6521" s="38" t="s">
        <v>418</v>
      </c>
      <c r="G6521" s="28" t="str">
        <f>IF(ISNUMBER(F6521),E6521*F6521,"")</f>
        <v/>
      </c>
      <c r="H6521" s="32"/>
      <c r="I6521" s="28"/>
      <c r="J6521" s="125">
        <v>0</v>
      </c>
    </row>
    <row r="6522" spans="1:10" ht="26.25" hidden="1" thickBot="1" x14ac:dyDescent="0.3">
      <c r="A6522" s="235"/>
      <c r="B6522" s="240"/>
      <c r="C6522" s="155" t="s">
        <v>28360</v>
      </c>
      <c r="D6522" s="155" t="s">
        <v>205</v>
      </c>
      <c r="E6522" s="130">
        <v>1</v>
      </c>
      <c r="F6522" s="28">
        <v>228.48449999999997</v>
      </c>
      <c r="G6522" s="28">
        <f>IF(ISNUMBER(F6522),E6522*F6522,"")</f>
        <v>228.48449999999997</v>
      </c>
      <c r="H6522" s="35">
        <f>SUM(G6522:G6522)</f>
        <v>228.48449999999997</v>
      </c>
      <c r="I6522" s="36"/>
      <c r="J6522" s="125">
        <v>0</v>
      </c>
    </row>
    <row r="6523" spans="1:10" ht="15.75" hidden="1" thickBot="1" x14ac:dyDescent="0.3">
      <c r="A6523" s="236"/>
      <c r="B6523" s="239"/>
      <c r="C6523" s="164"/>
      <c r="D6523" s="50"/>
      <c r="E6523" s="61"/>
      <c r="F6523" s="62" t="s">
        <v>418</v>
      </c>
      <c r="G6523" s="62" t="str">
        <f>IF(ISNUMBER(F6523),E6523*F6523,"")</f>
        <v/>
      </c>
      <c r="H6523" s="64"/>
      <c r="I6523" s="28"/>
      <c r="J6523" s="125">
        <v>0</v>
      </c>
    </row>
    <row r="6524" spans="1:10" ht="15.75" hidden="1" thickBot="1" x14ac:dyDescent="0.3">
      <c r="A6524" s="234" t="s">
        <v>14618</v>
      </c>
      <c r="B6524" s="237" t="s">
        <v>15212</v>
      </c>
      <c r="C6524" s="160"/>
      <c r="D6524" s="23" t="s">
        <v>16</v>
      </c>
      <c r="E6524" s="24"/>
      <c r="F6524" s="37" t="s">
        <v>418</v>
      </c>
      <c r="G6524" s="25" t="str">
        <f>IF(ISNUMBER(F6524),E6524*F6524,"")</f>
        <v/>
      </c>
      <c r="H6524" s="26"/>
      <c r="I6524" s="27"/>
      <c r="J6524" s="125">
        <v>0</v>
      </c>
    </row>
    <row r="6525" spans="1:10" ht="15.75" hidden="1" thickBot="1" x14ac:dyDescent="0.3">
      <c r="A6525" s="235"/>
      <c r="B6525" s="240"/>
      <c r="C6525" s="151"/>
      <c r="D6525" s="29"/>
      <c r="E6525" s="30"/>
      <c r="F6525" s="38" t="s">
        <v>418</v>
      </c>
      <c r="G6525" s="28" t="str">
        <f>IF(ISNUMBER(F6525),E6525*F6525,"")</f>
        <v/>
      </c>
      <c r="H6525" s="32"/>
      <c r="I6525" s="28"/>
      <c r="J6525" s="125">
        <v>0</v>
      </c>
    </row>
    <row r="6526" spans="1:10" ht="26.25" hidden="1" thickBot="1" x14ac:dyDescent="0.3">
      <c r="A6526" s="235"/>
      <c r="B6526" s="240"/>
      <c r="C6526" s="155" t="s">
        <v>23949</v>
      </c>
      <c r="D6526" s="155" t="s">
        <v>205</v>
      </c>
      <c r="E6526" s="130">
        <v>1</v>
      </c>
      <c r="F6526" s="28">
        <v>22.8855</v>
      </c>
      <c r="G6526" s="28">
        <f>IF(ISNUMBER(F6526),E6526*F6526,"")</f>
        <v>22.8855</v>
      </c>
      <c r="H6526" s="35">
        <f>SUM(G6526:G6526)</f>
        <v>22.8855</v>
      </c>
      <c r="I6526" s="36"/>
      <c r="J6526" s="125">
        <v>0</v>
      </c>
    </row>
    <row r="6527" spans="1:10" ht="15.75" hidden="1" thickBot="1" x14ac:dyDescent="0.3">
      <c r="A6527" s="236"/>
      <c r="B6527" s="239"/>
      <c r="C6527" s="164"/>
      <c r="D6527" s="50"/>
      <c r="E6527" s="61"/>
      <c r="F6527" s="62" t="s">
        <v>418</v>
      </c>
      <c r="G6527" s="62" t="str">
        <f>IF(ISNUMBER(F6527),E6527*F6527,"")</f>
        <v/>
      </c>
      <c r="H6527" s="64"/>
      <c r="I6527" s="28"/>
      <c r="J6527" s="125">
        <v>0</v>
      </c>
    </row>
    <row r="6528" spans="1:10" ht="15.75" hidden="1" thickBot="1" x14ac:dyDescent="0.3">
      <c r="A6528" s="234" t="s">
        <v>14619</v>
      </c>
      <c r="B6528" s="237" t="s">
        <v>15213</v>
      </c>
      <c r="C6528" s="160"/>
      <c r="D6528" s="23" t="s">
        <v>16</v>
      </c>
      <c r="E6528" s="24"/>
      <c r="F6528" s="37" t="s">
        <v>418</v>
      </c>
      <c r="G6528" s="25" t="str">
        <f>IF(ISNUMBER(F6528),E6528*F6528,"")</f>
        <v/>
      </c>
      <c r="H6528" s="26"/>
      <c r="I6528" s="27"/>
      <c r="J6528" s="125">
        <v>0</v>
      </c>
    </row>
    <row r="6529" spans="1:10" ht="15.75" hidden="1" thickBot="1" x14ac:dyDescent="0.3">
      <c r="A6529" s="235"/>
      <c r="B6529" s="240"/>
      <c r="C6529" s="151"/>
      <c r="D6529" s="29"/>
      <c r="E6529" s="30"/>
      <c r="F6529" s="38" t="s">
        <v>418</v>
      </c>
      <c r="G6529" s="28" t="str">
        <f>IF(ISNUMBER(F6529),E6529*F6529,"")</f>
        <v/>
      </c>
      <c r="H6529" s="32"/>
      <c r="I6529" s="28"/>
      <c r="J6529" s="125">
        <v>0</v>
      </c>
    </row>
    <row r="6530" spans="1:10" ht="39" hidden="1" thickBot="1" x14ac:dyDescent="0.3">
      <c r="A6530" s="235"/>
      <c r="B6530" s="240"/>
      <c r="C6530" s="155" t="s">
        <v>29922</v>
      </c>
      <c r="D6530" s="155" t="s">
        <v>205</v>
      </c>
      <c r="E6530" s="130">
        <v>1</v>
      </c>
      <c r="F6530" s="28">
        <v>44.716499999999996</v>
      </c>
      <c r="G6530" s="28">
        <f>IF(ISNUMBER(F6530),E6530*F6530,"")</f>
        <v>44.716499999999996</v>
      </c>
      <c r="H6530" s="35">
        <f>SUM(G6530:G6530)</f>
        <v>44.716499999999996</v>
      </c>
      <c r="I6530" s="36"/>
      <c r="J6530" s="125">
        <v>0</v>
      </c>
    </row>
    <row r="6531" spans="1:10" ht="15.75" hidden="1" thickBot="1" x14ac:dyDescent="0.3">
      <c r="A6531" s="236"/>
      <c r="B6531" s="239"/>
      <c r="C6531" s="164"/>
      <c r="D6531" s="50"/>
      <c r="E6531" s="61"/>
      <c r="F6531" s="62" t="s">
        <v>418</v>
      </c>
      <c r="G6531" s="62" t="str">
        <f>IF(ISNUMBER(F6531),E6531*F6531,"")</f>
        <v/>
      </c>
      <c r="H6531" s="64"/>
      <c r="I6531" s="28"/>
      <c r="J6531" s="125">
        <v>0</v>
      </c>
    </row>
    <row r="6532" spans="1:10" ht="15.75" hidden="1" thickBot="1" x14ac:dyDescent="0.3">
      <c r="A6532" s="234" t="s">
        <v>14620</v>
      </c>
      <c r="B6532" s="237" t="s">
        <v>15214</v>
      </c>
      <c r="C6532" s="160"/>
      <c r="D6532" s="23" t="s">
        <v>16</v>
      </c>
      <c r="E6532" s="24"/>
      <c r="F6532" s="37" t="s">
        <v>418</v>
      </c>
      <c r="G6532" s="25" t="str">
        <f>IF(ISNUMBER(F6532),E6532*F6532,"")</f>
        <v/>
      </c>
      <c r="H6532" s="26"/>
      <c r="I6532" s="27"/>
      <c r="J6532" s="125">
        <v>0</v>
      </c>
    </row>
    <row r="6533" spans="1:10" ht="15.75" hidden="1" thickBot="1" x14ac:dyDescent="0.3">
      <c r="A6533" s="235"/>
      <c r="B6533" s="240"/>
      <c r="C6533" s="151"/>
      <c r="D6533" s="29"/>
      <c r="E6533" s="30"/>
      <c r="F6533" s="38" t="s">
        <v>418</v>
      </c>
      <c r="G6533" s="28" t="str">
        <f>IF(ISNUMBER(F6533),E6533*F6533,"")</f>
        <v/>
      </c>
      <c r="H6533" s="32"/>
      <c r="I6533" s="28"/>
      <c r="J6533" s="125">
        <v>0</v>
      </c>
    </row>
    <row r="6534" spans="1:10" ht="39" hidden="1" thickBot="1" x14ac:dyDescent="0.3">
      <c r="A6534" s="235"/>
      <c r="B6534" s="240"/>
      <c r="C6534" s="155" t="s">
        <v>38846</v>
      </c>
      <c r="D6534" s="155" t="s">
        <v>205</v>
      </c>
      <c r="E6534" s="130">
        <v>1</v>
      </c>
      <c r="F6534" s="28">
        <v>343.5865</v>
      </c>
      <c r="G6534" s="28">
        <f>IF(ISNUMBER(F6534),E6534*F6534,"")</f>
        <v>343.5865</v>
      </c>
      <c r="H6534" s="35">
        <f>SUM(G6534:G6534)</f>
        <v>343.5865</v>
      </c>
      <c r="I6534" s="36"/>
      <c r="J6534" s="125">
        <v>0</v>
      </c>
    </row>
    <row r="6535" spans="1:10" ht="15.75" hidden="1" thickBot="1" x14ac:dyDescent="0.3">
      <c r="A6535" s="236"/>
      <c r="B6535" s="239"/>
      <c r="C6535" s="164"/>
      <c r="D6535" s="50"/>
      <c r="E6535" s="61"/>
      <c r="F6535" s="62" t="s">
        <v>418</v>
      </c>
      <c r="G6535" s="62" t="str">
        <f>IF(ISNUMBER(F6535),E6535*F6535,"")</f>
        <v/>
      </c>
      <c r="H6535" s="64"/>
      <c r="I6535" s="28"/>
      <c r="J6535" s="125">
        <v>0</v>
      </c>
    </row>
    <row r="6536" spans="1:10" ht="15.75" hidden="1" thickBot="1" x14ac:dyDescent="0.3">
      <c r="A6536" s="234" t="s">
        <v>14621</v>
      </c>
      <c r="B6536" s="237" t="s">
        <v>15215</v>
      </c>
      <c r="C6536" s="160"/>
      <c r="D6536" s="23" t="s">
        <v>16</v>
      </c>
      <c r="E6536" s="24"/>
      <c r="F6536" s="37" t="s">
        <v>418</v>
      </c>
      <c r="G6536" s="25" t="str">
        <f>IF(ISNUMBER(F6536),E6536*F6536,"")</f>
        <v/>
      </c>
      <c r="H6536" s="26"/>
      <c r="I6536" s="27"/>
      <c r="J6536" s="125">
        <v>0</v>
      </c>
    </row>
    <row r="6537" spans="1:10" ht="15.75" hidden="1" thickBot="1" x14ac:dyDescent="0.3">
      <c r="A6537" s="235"/>
      <c r="B6537" s="240"/>
      <c r="C6537" s="151"/>
      <c r="D6537" s="29"/>
      <c r="E6537" s="30"/>
      <c r="F6537" s="38" t="s">
        <v>418</v>
      </c>
      <c r="G6537" s="28" t="str">
        <f>IF(ISNUMBER(F6537),E6537*F6537,"")</f>
        <v/>
      </c>
      <c r="H6537" s="32"/>
      <c r="I6537" s="28"/>
      <c r="J6537" s="125">
        <v>0</v>
      </c>
    </row>
    <row r="6538" spans="1:10" ht="64.5" hidden="1" thickBot="1" x14ac:dyDescent="0.3">
      <c r="A6538" s="235"/>
      <c r="B6538" s="240"/>
      <c r="C6538" s="155" t="s">
        <v>24247</v>
      </c>
      <c r="D6538" s="155" t="s">
        <v>205</v>
      </c>
      <c r="E6538" s="130">
        <v>1</v>
      </c>
      <c r="F6538" s="28">
        <v>356.8295</v>
      </c>
      <c r="G6538" s="28">
        <f>IF(ISNUMBER(F6538),E6538*F6538,"")</f>
        <v>356.8295</v>
      </c>
      <c r="H6538" s="35">
        <f>SUM(G6538:G6538)</f>
        <v>356.8295</v>
      </c>
      <c r="I6538" s="36"/>
      <c r="J6538" s="125">
        <v>0</v>
      </c>
    </row>
    <row r="6539" spans="1:10" ht="15.75" hidden="1" thickBot="1" x14ac:dyDescent="0.3">
      <c r="A6539" s="236"/>
      <c r="B6539" s="239"/>
      <c r="C6539" s="164"/>
      <c r="D6539" s="50"/>
      <c r="E6539" s="61"/>
      <c r="F6539" s="62" t="s">
        <v>418</v>
      </c>
      <c r="G6539" s="62" t="str">
        <f>IF(ISNUMBER(F6539),E6539*F6539,"")</f>
        <v/>
      </c>
      <c r="H6539" s="64"/>
      <c r="I6539" s="28"/>
      <c r="J6539" s="125">
        <v>0</v>
      </c>
    </row>
    <row r="6540" spans="1:10" ht="15.75" hidden="1" thickBot="1" x14ac:dyDescent="0.3">
      <c r="A6540" s="234" t="s">
        <v>14622</v>
      </c>
      <c r="B6540" s="237" t="s">
        <v>15216</v>
      </c>
      <c r="C6540" s="160"/>
      <c r="D6540" s="23" t="s">
        <v>16</v>
      </c>
      <c r="E6540" s="24"/>
      <c r="F6540" s="37" t="s">
        <v>418</v>
      </c>
      <c r="G6540" s="25" t="str">
        <f>IF(ISNUMBER(F6540),E6540*F6540,"")</f>
        <v/>
      </c>
      <c r="H6540" s="26"/>
      <c r="I6540" s="27"/>
      <c r="J6540" s="125">
        <v>0</v>
      </c>
    </row>
    <row r="6541" spans="1:10" ht="15.75" hidden="1" thickBot="1" x14ac:dyDescent="0.3">
      <c r="A6541" s="235"/>
      <c r="B6541" s="240"/>
      <c r="C6541" s="151"/>
      <c r="D6541" s="29"/>
      <c r="E6541" s="30"/>
      <c r="F6541" s="38" t="s">
        <v>418</v>
      </c>
      <c r="G6541" s="28" t="str">
        <f>IF(ISNUMBER(F6541),E6541*F6541,"")</f>
        <v/>
      </c>
      <c r="H6541" s="32"/>
      <c r="I6541" s="28"/>
      <c r="J6541" s="125">
        <v>0</v>
      </c>
    </row>
    <row r="6542" spans="1:10" ht="26.25" hidden="1" thickBot="1" x14ac:dyDescent="0.3">
      <c r="A6542" s="235"/>
      <c r="B6542" s="240"/>
      <c r="C6542" s="155" t="s">
        <v>24312</v>
      </c>
      <c r="D6542" s="155" t="s">
        <v>205</v>
      </c>
      <c r="E6542" s="130">
        <v>1</v>
      </c>
      <c r="F6542" s="28">
        <v>49.058</v>
      </c>
      <c r="G6542" s="28">
        <f>IF(ISNUMBER(F6542),E6542*F6542,"")</f>
        <v>49.058</v>
      </c>
      <c r="H6542" s="35">
        <f>SUM(G6542:G6542)</f>
        <v>49.058</v>
      </c>
      <c r="I6542" s="36"/>
      <c r="J6542" s="125">
        <v>0</v>
      </c>
    </row>
    <row r="6543" spans="1:10" ht="15.75" hidden="1" thickBot="1" x14ac:dyDescent="0.3">
      <c r="A6543" s="236"/>
      <c r="B6543" s="239"/>
      <c r="C6543" s="164"/>
      <c r="D6543" s="50"/>
      <c r="E6543" s="61"/>
      <c r="F6543" s="62" t="s">
        <v>418</v>
      </c>
      <c r="G6543" s="62" t="str">
        <f>IF(ISNUMBER(F6543),E6543*F6543,"")</f>
        <v/>
      </c>
      <c r="H6543" s="64"/>
      <c r="I6543" s="28"/>
      <c r="J6543" s="125">
        <v>0</v>
      </c>
    </row>
    <row r="6544" spans="1:10" ht="15.75" hidden="1" thickBot="1" x14ac:dyDescent="0.3">
      <c r="A6544" s="234" t="s">
        <v>14623</v>
      </c>
      <c r="B6544" s="237" t="s">
        <v>15217</v>
      </c>
      <c r="C6544" s="160"/>
      <c r="D6544" s="23" t="s">
        <v>16</v>
      </c>
      <c r="E6544" s="24"/>
      <c r="F6544" s="37" t="s">
        <v>418</v>
      </c>
      <c r="G6544" s="25" t="str">
        <f>IF(ISNUMBER(F6544),E6544*F6544,"")</f>
        <v/>
      </c>
      <c r="H6544" s="26"/>
      <c r="I6544" s="27"/>
      <c r="J6544" s="125">
        <v>0</v>
      </c>
    </row>
    <row r="6545" spans="1:10" ht="15.75" hidden="1" thickBot="1" x14ac:dyDescent="0.3">
      <c r="A6545" s="235"/>
      <c r="B6545" s="240"/>
      <c r="C6545" s="151"/>
      <c r="D6545" s="29"/>
      <c r="E6545" s="30"/>
      <c r="F6545" s="38" t="s">
        <v>418</v>
      </c>
      <c r="G6545" s="28" t="str">
        <f>IF(ISNUMBER(F6545),E6545*F6545,"")</f>
        <v/>
      </c>
      <c r="H6545" s="32"/>
      <c r="I6545" s="28"/>
      <c r="J6545" s="125">
        <v>0</v>
      </c>
    </row>
    <row r="6546" spans="1:10" ht="26.25" hidden="1" thickBot="1" x14ac:dyDescent="0.3">
      <c r="A6546" s="235"/>
      <c r="B6546" s="240"/>
      <c r="C6546" s="155" t="s">
        <v>24308</v>
      </c>
      <c r="D6546" s="155" t="s">
        <v>205</v>
      </c>
      <c r="E6546" s="130">
        <v>1</v>
      </c>
      <c r="F6546" s="28">
        <v>91.484999999999999</v>
      </c>
      <c r="G6546" s="28">
        <f>IF(ISNUMBER(F6546),E6546*F6546,"")</f>
        <v>91.484999999999999</v>
      </c>
      <c r="H6546" s="35">
        <f>SUM(G6546:G6546)</f>
        <v>91.484999999999999</v>
      </c>
      <c r="I6546" s="36"/>
      <c r="J6546" s="125">
        <v>0</v>
      </c>
    </row>
    <row r="6547" spans="1:10" ht="15.75" hidden="1" thickBot="1" x14ac:dyDescent="0.3">
      <c r="A6547" s="236"/>
      <c r="B6547" s="239"/>
      <c r="C6547" s="164"/>
      <c r="D6547" s="50"/>
      <c r="E6547" s="61"/>
      <c r="F6547" s="62" t="s">
        <v>418</v>
      </c>
      <c r="G6547" s="62" t="str">
        <f>IF(ISNUMBER(F6547),E6547*F6547,"")</f>
        <v/>
      </c>
      <c r="H6547" s="64"/>
      <c r="I6547" s="28"/>
      <c r="J6547" s="125">
        <v>0</v>
      </c>
    </row>
    <row r="6548" spans="1:10" ht="15.75" hidden="1" thickBot="1" x14ac:dyDescent="0.3">
      <c r="A6548" s="234" t="s">
        <v>15218</v>
      </c>
      <c r="B6548" s="237" t="s">
        <v>15219</v>
      </c>
      <c r="C6548" s="160"/>
      <c r="D6548" s="23" t="s">
        <v>16</v>
      </c>
      <c r="E6548" s="24"/>
      <c r="F6548" s="37" t="s">
        <v>418</v>
      </c>
      <c r="G6548" s="25" t="str">
        <f>IF(ISNUMBER(F6548),E6548*F6548,"")</f>
        <v/>
      </c>
      <c r="H6548" s="26"/>
      <c r="I6548" s="27"/>
      <c r="J6548" s="125">
        <v>0</v>
      </c>
    </row>
    <row r="6549" spans="1:10" ht="15.75" hidden="1" thickBot="1" x14ac:dyDescent="0.3">
      <c r="A6549" s="235"/>
      <c r="B6549" s="240"/>
      <c r="C6549" s="151"/>
      <c r="D6549" s="29"/>
      <c r="E6549" s="30"/>
      <c r="F6549" s="38" t="s">
        <v>418</v>
      </c>
      <c r="G6549" s="28" t="str">
        <f>IF(ISNUMBER(F6549),E6549*F6549,"")</f>
        <v/>
      </c>
      <c r="H6549" s="32"/>
      <c r="I6549" s="28"/>
      <c r="J6549" s="125">
        <v>0</v>
      </c>
    </row>
    <row r="6550" spans="1:10" ht="26.25" hidden="1" thickBot="1" x14ac:dyDescent="0.3">
      <c r="A6550" s="235"/>
      <c r="B6550" s="240"/>
      <c r="C6550" s="155" t="s">
        <v>940</v>
      </c>
      <c r="D6550" s="155" t="s">
        <v>205</v>
      </c>
      <c r="E6550" s="130">
        <v>1</v>
      </c>
      <c r="F6550" s="28">
        <v>75.524999999999991</v>
      </c>
      <c r="G6550" s="28">
        <f>IF(ISNUMBER(F6550),E6550*F6550,"")</f>
        <v>75.524999999999991</v>
      </c>
      <c r="H6550" s="35">
        <f>SUM(G6550:G6550)</f>
        <v>75.524999999999991</v>
      </c>
      <c r="I6550" s="36"/>
      <c r="J6550" s="125">
        <v>0</v>
      </c>
    </row>
    <row r="6551" spans="1:10" ht="15.75" hidden="1" thickBot="1" x14ac:dyDescent="0.3">
      <c r="A6551" s="236"/>
      <c r="B6551" s="239"/>
      <c r="C6551" s="164"/>
      <c r="D6551" s="50"/>
      <c r="E6551" s="61"/>
      <c r="F6551" s="62" t="s">
        <v>418</v>
      </c>
      <c r="G6551" s="62" t="str">
        <f>IF(ISNUMBER(F6551),E6551*F6551,"")</f>
        <v/>
      </c>
      <c r="H6551" s="64"/>
      <c r="I6551" s="28"/>
      <c r="J6551" s="125">
        <v>0</v>
      </c>
    </row>
    <row r="6552" spans="1:10" ht="15.75" hidden="1" thickBot="1" x14ac:dyDescent="0.3">
      <c r="A6552" s="234" t="s">
        <v>15220</v>
      </c>
      <c r="B6552" s="237" t="s">
        <v>13441</v>
      </c>
      <c r="C6552" s="160"/>
      <c r="D6552" s="23" t="s">
        <v>16</v>
      </c>
      <c r="E6552" s="24"/>
      <c r="F6552" s="37" t="s">
        <v>418</v>
      </c>
      <c r="G6552" s="25" t="str">
        <f>IF(ISNUMBER(F6552),E6552*F6552,"")</f>
        <v/>
      </c>
      <c r="H6552" s="26"/>
      <c r="I6552" s="27"/>
      <c r="J6552" s="125">
        <v>0</v>
      </c>
    </row>
    <row r="6553" spans="1:10" ht="15.75" hidden="1" thickBot="1" x14ac:dyDescent="0.3">
      <c r="A6553" s="235"/>
      <c r="B6553" s="240"/>
      <c r="C6553" s="151"/>
      <c r="D6553" s="29"/>
      <c r="E6553" s="30"/>
      <c r="F6553" s="38" t="s">
        <v>418</v>
      </c>
      <c r="G6553" s="28" t="str">
        <f>IF(ISNUMBER(F6553),E6553*F6553,"")</f>
        <v/>
      </c>
      <c r="H6553" s="32"/>
      <c r="I6553" s="28"/>
      <c r="J6553" s="125">
        <v>0</v>
      </c>
    </row>
    <row r="6554" spans="1:10" ht="26.25" hidden="1" thickBot="1" x14ac:dyDescent="0.3">
      <c r="A6554" s="235"/>
      <c r="B6554" s="240"/>
      <c r="C6554" s="155" t="s">
        <v>24893</v>
      </c>
      <c r="D6554" s="155" t="s">
        <v>205</v>
      </c>
      <c r="E6554" s="130">
        <v>1</v>
      </c>
      <c r="F6554" s="28">
        <v>139.49799999999999</v>
      </c>
      <c r="G6554" s="28">
        <f>IF(ISNUMBER(F6554),E6554*F6554,"")</f>
        <v>139.49799999999999</v>
      </c>
      <c r="H6554" s="35">
        <f>SUM(G6554:G6554)</f>
        <v>139.49799999999999</v>
      </c>
      <c r="I6554" s="36"/>
      <c r="J6554" s="125">
        <v>0</v>
      </c>
    </row>
    <row r="6555" spans="1:10" ht="15.75" hidden="1" thickBot="1" x14ac:dyDescent="0.3">
      <c r="A6555" s="236"/>
      <c r="B6555" s="239"/>
      <c r="C6555" s="164"/>
      <c r="D6555" s="50"/>
      <c r="E6555" s="61"/>
      <c r="F6555" s="62" t="s">
        <v>418</v>
      </c>
      <c r="G6555" s="62" t="str">
        <f>IF(ISNUMBER(F6555),E6555*F6555,"")</f>
        <v/>
      </c>
      <c r="H6555" s="64"/>
      <c r="I6555" s="28"/>
      <c r="J6555" s="125">
        <v>0</v>
      </c>
    </row>
    <row r="6556" spans="1:10" ht="15.75" hidden="1" thickBot="1" x14ac:dyDescent="0.3">
      <c r="A6556" s="234" t="s">
        <v>15221</v>
      </c>
      <c r="B6556" s="237" t="s">
        <v>19646</v>
      </c>
      <c r="C6556" s="160"/>
      <c r="D6556" s="23" t="s">
        <v>16</v>
      </c>
      <c r="E6556" s="24"/>
      <c r="F6556" s="37" t="s">
        <v>418</v>
      </c>
      <c r="G6556" s="25" t="str">
        <f>IF(ISNUMBER(F6556),E6556*F6556,"")</f>
        <v/>
      </c>
      <c r="H6556" s="26"/>
      <c r="I6556" s="27"/>
      <c r="J6556" s="125">
        <v>0</v>
      </c>
    </row>
    <row r="6557" spans="1:10" ht="15.75" hidden="1" thickBot="1" x14ac:dyDescent="0.3">
      <c r="A6557" s="235"/>
      <c r="B6557" s="240"/>
      <c r="C6557" s="151"/>
      <c r="D6557" s="29"/>
      <c r="E6557" s="30"/>
      <c r="F6557" s="38" t="s">
        <v>418</v>
      </c>
      <c r="G6557" s="28" t="str">
        <f>IF(ISNUMBER(F6557),E6557*F6557,"")</f>
        <v/>
      </c>
      <c r="H6557" s="32"/>
      <c r="I6557" s="28"/>
      <c r="J6557" s="125">
        <v>0</v>
      </c>
    </row>
    <row r="6558" spans="1:10" ht="26.25" hidden="1" thickBot="1" x14ac:dyDescent="0.3">
      <c r="A6558" s="235"/>
      <c r="B6558" s="240"/>
      <c r="C6558" s="155" t="s">
        <v>26388</v>
      </c>
      <c r="D6558" s="155" t="s">
        <v>205</v>
      </c>
      <c r="E6558" s="130">
        <v>1</v>
      </c>
      <c r="F6558" s="28">
        <v>108.82249999999999</v>
      </c>
      <c r="G6558" s="28">
        <f>IF(ISNUMBER(F6558),E6558*F6558,"")</f>
        <v>108.82249999999999</v>
      </c>
      <c r="H6558" s="35">
        <f>SUM(G6558:G6558)</f>
        <v>108.82249999999999</v>
      </c>
      <c r="I6558" s="36"/>
      <c r="J6558" s="125">
        <v>0</v>
      </c>
    </row>
    <row r="6559" spans="1:10" ht="15.75" hidden="1" thickBot="1" x14ac:dyDescent="0.3">
      <c r="A6559" s="236"/>
      <c r="B6559" s="239"/>
      <c r="C6559" s="164"/>
      <c r="D6559" s="50"/>
      <c r="E6559" s="61"/>
      <c r="F6559" s="62" t="s">
        <v>418</v>
      </c>
      <c r="G6559" s="62" t="str">
        <f>IF(ISNUMBER(F6559),E6559*F6559,"")</f>
        <v/>
      </c>
      <c r="H6559" s="64"/>
      <c r="I6559" s="28"/>
      <c r="J6559" s="125">
        <v>0</v>
      </c>
    </row>
    <row r="6560" spans="1:10" ht="15.75" hidden="1" thickBot="1" x14ac:dyDescent="0.3">
      <c r="A6560" s="234" t="s">
        <v>15222</v>
      </c>
      <c r="B6560" s="237" t="s">
        <v>10367</v>
      </c>
      <c r="C6560" s="160"/>
      <c r="D6560" s="23" t="s">
        <v>16</v>
      </c>
      <c r="E6560" s="24"/>
      <c r="F6560" s="37" t="s">
        <v>418</v>
      </c>
      <c r="G6560" s="25" t="str">
        <f>IF(ISNUMBER(F6560),E6560*F6560,"")</f>
        <v/>
      </c>
      <c r="H6560" s="26"/>
      <c r="I6560" s="27"/>
      <c r="J6560" s="125">
        <v>0</v>
      </c>
    </row>
    <row r="6561" spans="1:10" ht="15.75" hidden="1" thickBot="1" x14ac:dyDescent="0.3">
      <c r="A6561" s="235"/>
      <c r="B6561" s="240"/>
      <c r="C6561" s="151"/>
      <c r="D6561" s="29"/>
      <c r="E6561" s="30"/>
      <c r="F6561" s="38" t="s">
        <v>418</v>
      </c>
      <c r="G6561" s="28" t="str">
        <f>IF(ISNUMBER(F6561),E6561*F6561,"")</f>
        <v/>
      </c>
      <c r="H6561" s="32"/>
      <c r="I6561" s="28"/>
      <c r="J6561" s="125">
        <v>0</v>
      </c>
    </row>
    <row r="6562" spans="1:10" ht="26.25" hidden="1" thickBot="1" x14ac:dyDescent="0.3">
      <c r="A6562" s="235"/>
      <c r="B6562" s="240"/>
      <c r="C6562" s="155" t="s">
        <v>26537</v>
      </c>
      <c r="D6562" s="155" t="s">
        <v>205</v>
      </c>
      <c r="E6562" s="130">
        <v>1</v>
      </c>
      <c r="F6562" s="28">
        <v>138.58599999999998</v>
      </c>
      <c r="G6562" s="28">
        <f>IF(ISNUMBER(F6562),E6562*F6562,"")</f>
        <v>138.58599999999998</v>
      </c>
      <c r="H6562" s="35">
        <f>SUM(G6562:G6562)</f>
        <v>138.58599999999998</v>
      </c>
      <c r="I6562" s="36"/>
      <c r="J6562" s="125">
        <v>0</v>
      </c>
    </row>
    <row r="6563" spans="1:10" ht="15.75" hidden="1" thickBot="1" x14ac:dyDescent="0.3">
      <c r="A6563" s="236"/>
      <c r="B6563" s="239"/>
      <c r="C6563" s="164"/>
      <c r="D6563" s="50"/>
      <c r="E6563" s="61"/>
      <c r="F6563" s="62" t="s">
        <v>418</v>
      </c>
      <c r="G6563" s="62" t="str">
        <f>IF(ISNUMBER(F6563),E6563*F6563,"")</f>
        <v/>
      </c>
      <c r="H6563" s="64"/>
      <c r="I6563" s="28"/>
      <c r="J6563" s="125">
        <v>0</v>
      </c>
    </row>
    <row r="6564" spans="1:10" ht="15.75" hidden="1" thickBot="1" x14ac:dyDescent="0.3">
      <c r="A6564" s="234" t="s">
        <v>15223</v>
      </c>
      <c r="B6564" s="237" t="s">
        <v>15224</v>
      </c>
      <c r="C6564" s="160"/>
      <c r="D6564" s="23" t="s">
        <v>16</v>
      </c>
      <c r="E6564" s="24"/>
      <c r="F6564" s="37" t="s">
        <v>418</v>
      </c>
      <c r="G6564" s="25" t="str">
        <f>IF(ISNUMBER(F6564),E6564*F6564,"")</f>
        <v/>
      </c>
      <c r="H6564" s="26"/>
      <c r="I6564" s="27"/>
      <c r="J6564" s="125">
        <v>0</v>
      </c>
    </row>
    <row r="6565" spans="1:10" ht="15.75" hidden="1" thickBot="1" x14ac:dyDescent="0.3">
      <c r="A6565" s="235"/>
      <c r="B6565" s="240"/>
      <c r="C6565" s="151"/>
      <c r="D6565" s="29"/>
      <c r="E6565" s="30"/>
      <c r="F6565" s="38" t="s">
        <v>418</v>
      </c>
      <c r="G6565" s="28" t="str">
        <f>IF(ISNUMBER(F6565),E6565*F6565,"")</f>
        <v/>
      </c>
      <c r="H6565" s="32"/>
      <c r="I6565" s="28"/>
      <c r="J6565" s="125">
        <v>0</v>
      </c>
    </row>
    <row r="6566" spans="1:10" ht="15.75" hidden="1" thickBot="1" x14ac:dyDescent="0.3">
      <c r="A6566" s="235"/>
      <c r="B6566" s="240"/>
      <c r="C6566" s="155" t="s">
        <v>27178</v>
      </c>
      <c r="D6566" s="155" t="s">
        <v>205</v>
      </c>
      <c r="E6566" s="130">
        <v>1</v>
      </c>
      <c r="F6566" s="28">
        <v>23.141999999999999</v>
      </c>
      <c r="G6566" s="28">
        <f>IF(ISNUMBER(F6566),E6566*F6566,"")</f>
        <v>23.141999999999999</v>
      </c>
      <c r="H6566" s="35">
        <f>SUM(G6566:G6566)</f>
        <v>23.141999999999999</v>
      </c>
      <c r="I6566" s="36"/>
      <c r="J6566" s="125">
        <v>0</v>
      </c>
    </row>
    <row r="6567" spans="1:10" ht="15.75" hidden="1" thickBot="1" x14ac:dyDescent="0.3">
      <c r="A6567" s="236"/>
      <c r="B6567" s="239"/>
      <c r="C6567" s="164"/>
      <c r="D6567" s="50"/>
      <c r="E6567" s="61"/>
      <c r="F6567" s="62" t="s">
        <v>418</v>
      </c>
      <c r="G6567" s="62" t="str">
        <f>IF(ISNUMBER(F6567),E6567*F6567,"")</f>
        <v/>
      </c>
      <c r="H6567" s="64"/>
      <c r="I6567" s="28"/>
      <c r="J6567" s="125">
        <v>0</v>
      </c>
    </row>
    <row r="6568" spans="1:10" ht="15.75" hidden="1" thickBot="1" x14ac:dyDescent="0.3">
      <c r="A6568" s="234" t="s">
        <v>15225</v>
      </c>
      <c r="B6568" s="237" t="s">
        <v>11245</v>
      </c>
      <c r="C6568" s="160"/>
      <c r="D6568" s="23" t="s">
        <v>16</v>
      </c>
      <c r="E6568" s="24"/>
      <c r="F6568" s="37" t="s">
        <v>418</v>
      </c>
      <c r="G6568" s="25" t="str">
        <f>IF(ISNUMBER(F6568),E6568*F6568,"")</f>
        <v/>
      </c>
      <c r="H6568" s="26"/>
      <c r="I6568" s="27"/>
      <c r="J6568" s="125">
        <v>0</v>
      </c>
    </row>
    <row r="6569" spans="1:10" ht="15.75" hidden="1" thickBot="1" x14ac:dyDescent="0.3">
      <c r="A6569" s="235"/>
      <c r="B6569" s="240"/>
      <c r="C6569" s="151"/>
      <c r="D6569" s="29"/>
      <c r="E6569" s="30"/>
      <c r="F6569" s="38" t="s">
        <v>418</v>
      </c>
      <c r="G6569" s="28" t="str">
        <f>IF(ISNUMBER(F6569),E6569*F6569,"")</f>
        <v/>
      </c>
      <c r="H6569" s="32"/>
      <c r="I6569" s="28"/>
      <c r="J6569" s="125">
        <v>0</v>
      </c>
    </row>
    <row r="6570" spans="1:10" ht="15.75" hidden="1" thickBot="1" x14ac:dyDescent="0.3">
      <c r="A6570" s="235"/>
      <c r="B6570" s="240"/>
      <c r="C6570" s="155" t="s">
        <v>1008</v>
      </c>
      <c r="D6570" s="155" t="s">
        <v>205</v>
      </c>
      <c r="E6570" s="130">
        <v>1</v>
      </c>
      <c r="F6570" s="28">
        <v>29.773</v>
      </c>
      <c r="G6570" s="28">
        <f>IF(ISNUMBER(F6570),E6570*F6570,"")</f>
        <v>29.773</v>
      </c>
      <c r="H6570" s="35">
        <f>SUM(G6570:G6570)</f>
        <v>29.773</v>
      </c>
      <c r="I6570" s="36"/>
      <c r="J6570" s="125">
        <v>0</v>
      </c>
    </row>
    <row r="6571" spans="1:10" ht="15.75" hidden="1" thickBot="1" x14ac:dyDescent="0.3">
      <c r="A6571" s="236"/>
      <c r="B6571" s="239"/>
      <c r="C6571" s="164"/>
      <c r="D6571" s="50"/>
      <c r="E6571" s="61"/>
      <c r="F6571" s="62" t="s">
        <v>418</v>
      </c>
      <c r="G6571" s="62" t="str">
        <f>IF(ISNUMBER(F6571),E6571*F6571,"")</f>
        <v/>
      </c>
      <c r="H6571" s="64"/>
      <c r="I6571" s="28"/>
      <c r="J6571" s="125">
        <v>0</v>
      </c>
    </row>
    <row r="6572" spans="1:10" ht="15.75" hidden="1" thickBot="1" x14ac:dyDescent="0.3">
      <c r="A6572" s="234" t="s">
        <v>15226</v>
      </c>
      <c r="B6572" s="237" t="s">
        <v>15227</v>
      </c>
      <c r="C6572" s="160"/>
      <c r="D6572" s="23" t="s">
        <v>16</v>
      </c>
      <c r="E6572" s="24"/>
      <c r="F6572" s="37" t="s">
        <v>418</v>
      </c>
      <c r="G6572" s="25" t="str">
        <f>IF(ISNUMBER(F6572),E6572*F6572,"")</f>
        <v/>
      </c>
      <c r="H6572" s="26"/>
      <c r="I6572" s="27"/>
      <c r="J6572" s="125">
        <v>0</v>
      </c>
    </row>
    <row r="6573" spans="1:10" ht="15.75" hidden="1" thickBot="1" x14ac:dyDescent="0.3">
      <c r="A6573" s="235"/>
      <c r="B6573" s="240"/>
      <c r="C6573" s="151"/>
      <c r="D6573" s="29"/>
      <c r="E6573" s="30"/>
      <c r="F6573" s="38" t="s">
        <v>418</v>
      </c>
      <c r="G6573" s="28" t="str">
        <f>IF(ISNUMBER(F6573),E6573*F6573,"")</f>
        <v/>
      </c>
      <c r="H6573" s="32"/>
      <c r="I6573" s="28"/>
      <c r="J6573" s="125">
        <v>0</v>
      </c>
    </row>
    <row r="6574" spans="1:10" ht="15.75" hidden="1" thickBot="1" x14ac:dyDescent="0.3">
      <c r="A6574" s="235"/>
      <c r="B6574" s="240"/>
      <c r="C6574" s="155" t="s">
        <v>28367</v>
      </c>
      <c r="D6574" s="155" t="s">
        <v>205</v>
      </c>
      <c r="E6574" s="130">
        <v>1</v>
      </c>
      <c r="F6574" s="28">
        <v>34.370999999999995</v>
      </c>
      <c r="G6574" s="28">
        <f>IF(ISNUMBER(F6574),E6574*F6574,"")</f>
        <v>34.370999999999995</v>
      </c>
      <c r="H6574" s="35">
        <f>SUM(G6574:G6574)</f>
        <v>34.370999999999995</v>
      </c>
      <c r="I6574" s="36"/>
      <c r="J6574" s="125">
        <v>0</v>
      </c>
    </row>
    <row r="6575" spans="1:10" ht="15.75" hidden="1" thickBot="1" x14ac:dyDescent="0.3">
      <c r="A6575" s="236"/>
      <c r="B6575" s="239"/>
      <c r="C6575" s="164"/>
      <c r="D6575" s="50"/>
      <c r="E6575" s="61"/>
      <c r="F6575" s="62" t="s">
        <v>418</v>
      </c>
      <c r="G6575" s="62" t="str">
        <f>IF(ISNUMBER(F6575),E6575*F6575,"")</f>
        <v/>
      </c>
      <c r="H6575" s="64"/>
      <c r="I6575" s="28"/>
      <c r="J6575" s="125">
        <v>0</v>
      </c>
    </row>
    <row r="6576" spans="1:10" ht="15.75" hidden="1" thickBot="1" x14ac:dyDescent="0.3">
      <c r="A6576" s="234" t="s">
        <v>15228</v>
      </c>
      <c r="B6576" s="237" t="s">
        <v>15229</v>
      </c>
      <c r="C6576" s="160"/>
      <c r="D6576" s="23" t="s">
        <v>16</v>
      </c>
      <c r="E6576" s="24"/>
      <c r="F6576" s="37" t="s">
        <v>418</v>
      </c>
      <c r="G6576" s="25" t="str">
        <f>IF(ISNUMBER(F6576),E6576*F6576,"")</f>
        <v/>
      </c>
      <c r="H6576" s="26"/>
      <c r="I6576" s="27"/>
      <c r="J6576" s="125">
        <v>0</v>
      </c>
    </row>
    <row r="6577" spans="1:10" ht="15.75" hidden="1" thickBot="1" x14ac:dyDescent="0.3">
      <c r="A6577" s="235"/>
      <c r="B6577" s="240"/>
      <c r="C6577" s="151"/>
      <c r="D6577" s="29"/>
      <c r="E6577" s="30"/>
      <c r="F6577" s="38" t="s">
        <v>418</v>
      </c>
      <c r="G6577" s="28" t="str">
        <f>IF(ISNUMBER(F6577),E6577*F6577,"")</f>
        <v/>
      </c>
      <c r="H6577" s="32"/>
      <c r="I6577" s="28"/>
      <c r="J6577" s="125">
        <v>0</v>
      </c>
    </row>
    <row r="6578" spans="1:10" ht="26.25" hidden="1" thickBot="1" x14ac:dyDescent="0.3">
      <c r="A6578" s="235"/>
      <c r="B6578" s="240"/>
      <c r="C6578" s="155" t="s">
        <v>521</v>
      </c>
      <c r="D6578" s="155" t="s">
        <v>205</v>
      </c>
      <c r="E6578" s="130">
        <v>1</v>
      </c>
      <c r="F6578" s="28">
        <v>83.343500000000006</v>
      </c>
      <c r="G6578" s="28">
        <f>IF(ISNUMBER(F6578),E6578*F6578,"")</f>
        <v>83.343500000000006</v>
      </c>
      <c r="H6578" s="35">
        <f>SUM(G6578:G6578)</f>
        <v>83.343500000000006</v>
      </c>
      <c r="I6578" s="36"/>
      <c r="J6578" s="125">
        <v>0</v>
      </c>
    </row>
    <row r="6579" spans="1:10" ht="15.75" hidden="1" thickBot="1" x14ac:dyDescent="0.3">
      <c r="A6579" s="236"/>
      <c r="B6579" s="239"/>
      <c r="C6579" s="164"/>
      <c r="D6579" s="50"/>
      <c r="E6579" s="61"/>
      <c r="F6579" s="62" t="s">
        <v>418</v>
      </c>
      <c r="G6579" s="62" t="str">
        <f>IF(ISNUMBER(F6579),E6579*F6579,"")</f>
        <v/>
      </c>
      <c r="H6579" s="64"/>
      <c r="I6579" s="28"/>
      <c r="J6579" s="125">
        <v>0</v>
      </c>
    </row>
    <row r="6580" spans="1:10" ht="15.75" hidden="1" thickBot="1" x14ac:dyDescent="0.3">
      <c r="A6580" s="234" t="s">
        <v>15230</v>
      </c>
      <c r="B6580" s="237" t="s">
        <v>15231</v>
      </c>
      <c r="C6580" s="160"/>
      <c r="D6580" s="23" t="s">
        <v>16</v>
      </c>
      <c r="E6580" s="24"/>
      <c r="F6580" s="37" t="s">
        <v>418</v>
      </c>
      <c r="G6580" s="25" t="str">
        <f>IF(ISNUMBER(F6580),E6580*F6580,"")</f>
        <v/>
      </c>
      <c r="H6580" s="26"/>
      <c r="I6580" s="27"/>
      <c r="J6580" s="125">
        <v>0</v>
      </c>
    </row>
    <row r="6581" spans="1:10" ht="15.75" hidden="1" thickBot="1" x14ac:dyDescent="0.3">
      <c r="A6581" s="235"/>
      <c r="B6581" s="240"/>
      <c r="C6581" s="151"/>
      <c r="D6581" s="29"/>
      <c r="E6581" s="30"/>
      <c r="F6581" s="38" t="s">
        <v>418</v>
      </c>
      <c r="G6581" s="28" t="str">
        <f>IF(ISNUMBER(F6581),E6581*F6581,"")</f>
        <v/>
      </c>
      <c r="H6581" s="32"/>
      <c r="I6581" s="28"/>
      <c r="J6581" s="125">
        <v>0</v>
      </c>
    </row>
    <row r="6582" spans="1:10" ht="15.75" hidden="1" thickBot="1" x14ac:dyDescent="0.3">
      <c r="A6582" s="235"/>
      <c r="B6582" s="240"/>
      <c r="C6582" s="155" t="s">
        <v>28366</v>
      </c>
      <c r="D6582" s="155" t="s">
        <v>205</v>
      </c>
      <c r="E6582" s="130">
        <v>1</v>
      </c>
      <c r="F6582" s="28">
        <v>128.51599999999999</v>
      </c>
      <c r="G6582" s="28">
        <f>IF(ISNUMBER(F6582),E6582*F6582,"")</f>
        <v>128.51599999999999</v>
      </c>
      <c r="H6582" s="35">
        <f>SUM(G6582:G6582)</f>
        <v>128.51599999999999</v>
      </c>
      <c r="I6582" s="36"/>
      <c r="J6582" s="125">
        <v>0</v>
      </c>
    </row>
    <row r="6583" spans="1:10" ht="15.75" hidden="1" thickBot="1" x14ac:dyDescent="0.3">
      <c r="A6583" s="236"/>
      <c r="B6583" s="239"/>
      <c r="C6583" s="164"/>
      <c r="D6583" s="50"/>
      <c r="E6583" s="61"/>
      <c r="F6583" s="62" t="s">
        <v>418</v>
      </c>
      <c r="G6583" s="62" t="str">
        <f>IF(ISNUMBER(F6583),E6583*F6583,"")</f>
        <v/>
      </c>
      <c r="H6583" s="64"/>
      <c r="I6583" s="28"/>
      <c r="J6583" s="125">
        <v>0</v>
      </c>
    </row>
    <row r="6584" spans="1:10" ht="15.75" hidden="1" thickBot="1" x14ac:dyDescent="0.3">
      <c r="A6584" s="234" t="s">
        <v>15232</v>
      </c>
      <c r="B6584" s="237" t="s">
        <v>15233</v>
      </c>
      <c r="C6584" s="160"/>
      <c r="D6584" s="23" t="s">
        <v>16</v>
      </c>
      <c r="E6584" s="24"/>
      <c r="F6584" s="37" t="s">
        <v>418</v>
      </c>
      <c r="G6584" s="25" t="str">
        <f>IF(ISNUMBER(F6584),E6584*F6584,"")</f>
        <v/>
      </c>
      <c r="H6584" s="26"/>
      <c r="I6584" s="27"/>
      <c r="J6584" s="125">
        <v>0</v>
      </c>
    </row>
    <row r="6585" spans="1:10" ht="15.75" hidden="1" thickBot="1" x14ac:dyDescent="0.3">
      <c r="A6585" s="235"/>
      <c r="B6585" s="240"/>
      <c r="C6585" s="151"/>
      <c r="D6585" s="29"/>
      <c r="E6585" s="30"/>
      <c r="F6585" s="38" t="s">
        <v>418</v>
      </c>
      <c r="G6585" s="28" t="str">
        <f>IF(ISNUMBER(F6585),E6585*F6585,"")</f>
        <v/>
      </c>
      <c r="H6585" s="32"/>
      <c r="I6585" s="28"/>
      <c r="J6585" s="125">
        <v>0</v>
      </c>
    </row>
    <row r="6586" spans="1:10" ht="15.75" hidden="1" thickBot="1" x14ac:dyDescent="0.3">
      <c r="A6586" s="235"/>
      <c r="B6586" s="240"/>
      <c r="C6586" s="155" t="s">
        <v>1008</v>
      </c>
      <c r="D6586" s="155" t="s">
        <v>205</v>
      </c>
      <c r="E6586" s="130">
        <v>1</v>
      </c>
      <c r="F6586" s="28">
        <v>29.773</v>
      </c>
      <c r="G6586" s="28">
        <f>IF(ISNUMBER(F6586),E6586*F6586,"")</f>
        <v>29.773</v>
      </c>
      <c r="H6586" s="35">
        <f>SUM(G6586:G6586)</f>
        <v>29.773</v>
      </c>
      <c r="I6586" s="36"/>
      <c r="J6586" s="125">
        <v>0</v>
      </c>
    </row>
    <row r="6587" spans="1:10" ht="15.75" hidden="1" thickBot="1" x14ac:dyDescent="0.3">
      <c r="A6587" s="236"/>
      <c r="B6587" s="239"/>
      <c r="C6587" s="164"/>
      <c r="D6587" s="50"/>
      <c r="E6587" s="61"/>
      <c r="F6587" s="62" t="s">
        <v>418</v>
      </c>
      <c r="G6587" s="62" t="str">
        <f>IF(ISNUMBER(F6587),E6587*F6587,"")</f>
        <v/>
      </c>
      <c r="H6587" s="64"/>
      <c r="I6587" s="28"/>
      <c r="J6587" s="125">
        <v>0</v>
      </c>
    </row>
    <row r="6588" spans="1:10" ht="15.75" hidden="1" thickBot="1" x14ac:dyDescent="0.3">
      <c r="A6588" s="234" t="s">
        <v>15234</v>
      </c>
      <c r="B6588" s="237" t="s">
        <v>15235</v>
      </c>
      <c r="C6588" s="160"/>
      <c r="D6588" s="23" t="s">
        <v>16</v>
      </c>
      <c r="E6588" s="24"/>
      <c r="F6588" s="37" t="s">
        <v>418</v>
      </c>
      <c r="G6588" s="25" t="str">
        <f>IF(ISNUMBER(F6588),E6588*F6588,"")</f>
        <v/>
      </c>
      <c r="H6588" s="26"/>
      <c r="I6588" s="27"/>
      <c r="J6588" s="125">
        <v>0</v>
      </c>
    </row>
    <row r="6589" spans="1:10" ht="15.75" hidden="1" thickBot="1" x14ac:dyDescent="0.3">
      <c r="A6589" s="235"/>
      <c r="B6589" s="240"/>
      <c r="C6589" s="151"/>
      <c r="D6589" s="29"/>
      <c r="E6589" s="30"/>
      <c r="F6589" s="38" t="s">
        <v>418</v>
      </c>
      <c r="G6589" s="28" t="str">
        <f>IF(ISNUMBER(F6589),E6589*F6589,"")</f>
        <v/>
      </c>
      <c r="H6589" s="32"/>
      <c r="I6589" s="28"/>
      <c r="J6589" s="125">
        <v>0</v>
      </c>
    </row>
    <row r="6590" spans="1:10" ht="26.25" hidden="1" thickBot="1" x14ac:dyDescent="0.3">
      <c r="A6590" s="235"/>
      <c r="B6590" s="240"/>
      <c r="C6590" s="155" t="s">
        <v>27243</v>
      </c>
      <c r="D6590" s="155" t="s">
        <v>205</v>
      </c>
      <c r="E6590" s="130">
        <v>1</v>
      </c>
      <c r="F6590" s="28">
        <v>56.904999999999994</v>
      </c>
      <c r="G6590" s="28">
        <f>IF(ISNUMBER(F6590),E6590*F6590,"")</f>
        <v>56.904999999999994</v>
      </c>
      <c r="H6590" s="35">
        <f>SUM(G6590:G6590)</f>
        <v>56.904999999999994</v>
      </c>
      <c r="I6590" s="36"/>
      <c r="J6590" s="125">
        <v>0</v>
      </c>
    </row>
    <row r="6591" spans="1:10" ht="15.75" hidden="1" thickBot="1" x14ac:dyDescent="0.3">
      <c r="A6591" s="236"/>
      <c r="B6591" s="239"/>
      <c r="C6591" s="164"/>
      <c r="D6591" s="50"/>
      <c r="E6591" s="61"/>
      <c r="F6591" s="62" t="s">
        <v>418</v>
      </c>
      <c r="G6591" s="62" t="str">
        <f>IF(ISNUMBER(F6591),E6591*F6591,"")</f>
        <v/>
      </c>
      <c r="H6591" s="64"/>
      <c r="I6591" s="28"/>
      <c r="J6591" s="125">
        <v>0</v>
      </c>
    </row>
    <row r="6592" spans="1:10" ht="15.75" hidden="1" thickBot="1" x14ac:dyDescent="0.3">
      <c r="A6592" s="234" t="s">
        <v>15236</v>
      </c>
      <c r="B6592" s="237" t="s">
        <v>15237</v>
      </c>
      <c r="C6592" s="160"/>
      <c r="D6592" s="23" t="s">
        <v>16</v>
      </c>
      <c r="E6592" s="24"/>
      <c r="F6592" s="37" t="s">
        <v>418</v>
      </c>
      <c r="G6592" s="25" t="str">
        <f>IF(ISNUMBER(F6592),E6592*F6592,"")</f>
        <v/>
      </c>
      <c r="H6592" s="26"/>
      <c r="I6592" s="27"/>
      <c r="J6592" s="125">
        <v>0</v>
      </c>
    </row>
    <row r="6593" spans="1:10" ht="15.75" hidden="1" thickBot="1" x14ac:dyDescent="0.3">
      <c r="A6593" s="235"/>
      <c r="B6593" s="240"/>
      <c r="C6593" s="151"/>
      <c r="D6593" s="29"/>
      <c r="E6593" s="30"/>
      <c r="F6593" s="38" t="s">
        <v>418</v>
      </c>
      <c r="G6593" s="28" t="str">
        <f>IF(ISNUMBER(F6593),E6593*F6593,"")</f>
        <v/>
      </c>
      <c r="H6593" s="32"/>
      <c r="I6593" s="28"/>
      <c r="J6593" s="125">
        <v>0</v>
      </c>
    </row>
    <row r="6594" spans="1:10" ht="26.25" hidden="1" thickBot="1" x14ac:dyDescent="0.3">
      <c r="A6594" s="235"/>
      <c r="B6594" s="240"/>
      <c r="C6594" s="155" t="s">
        <v>27245</v>
      </c>
      <c r="D6594" s="155" t="s">
        <v>205</v>
      </c>
      <c r="E6594" s="130">
        <v>1</v>
      </c>
      <c r="F6594" s="28">
        <v>45.077500000000001</v>
      </c>
      <c r="G6594" s="28">
        <f>IF(ISNUMBER(F6594),E6594*F6594,"")</f>
        <v>45.077500000000001</v>
      </c>
      <c r="H6594" s="35">
        <f>SUM(G6594:G6594)</f>
        <v>45.077500000000001</v>
      </c>
      <c r="I6594" s="36"/>
      <c r="J6594" s="125">
        <v>0</v>
      </c>
    </row>
    <row r="6595" spans="1:10" ht="15.75" hidden="1" thickBot="1" x14ac:dyDescent="0.3">
      <c r="A6595" s="236"/>
      <c r="B6595" s="239"/>
      <c r="C6595" s="164"/>
      <c r="D6595" s="50"/>
      <c r="E6595" s="61"/>
      <c r="F6595" s="62" t="s">
        <v>418</v>
      </c>
      <c r="G6595" s="62" t="str">
        <f>IF(ISNUMBER(F6595),E6595*F6595,"")</f>
        <v/>
      </c>
      <c r="H6595" s="64"/>
      <c r="I6595" s="28"/>
      <c r="J6595" s="125">
        <v>0</v>
      </c>
    </row>
    <row r="6596" spans="1:10" ht="15.75" hidden="1" thickBot="1" x14ac:dyDescent="0.3">
      <c r="A6596" s="234" t="s">
        <v>15238</v>
      </c>
      <c r="B6596" s="237" t="s">
        <v>15239</v>
      </c>
      <c r="C6596" s="160"/>
      <c r="D6596" s="23" t="s">
        <v>16</v>
      </c>
      <c r="E6596" s="24"/>
      <c r="F6596" s="37" t="s">
        <v>418</v>
      </c>
      <c r="G6596" s="25" t="str">
        <f>IF(ISNUMBER(F6596),E6596*F6596,"")</f>
        <v/>
      </c>
      <c r="H6596" s="26"/>
      <c r="I6596" s="27"/>
      <c r="J6596" s="125">
        <v>0</v>
      </c>
    </row>
    <row r="6597" spans="1:10" ht="15.75" hidden="1" thickBot="1" x14ac:dyDescent="0.3">
      <c r="A6597" s="235"/>
      <c r="B6597" s="240"/>
      <c r="C6597" s="151"/>
      <c r="D6597" s="29"/>
      <c r="E6597" s="30"/>
      <c r="F6597" s="38" t="s">
        <v>418</v>
      </c>
      <c r="G6597" s="28" t="str">
        <f>IF(ISNUMBER(F6597),E6597*F6597,"")</f>
        <v/>
      </c>
      <c r="H6597" s="32"/>
      <c r="I6597" s="28"/>
      <c r="J6597" s="125">
        <v>0</v>
      </c>
    </row>
    <row r="6598" spans="1:10" ht="26.25" hidden="1" thickBot="1" x14ac:dyDescent="0.3">
      <c r="A6598" s="235"/>
      <c r="B6598" s="240"/>
      <c r="C6598" s="155" t="s">
        <v>27241</v>
      </c>
      <c r="D6598" s="155" t="s">
        <v>205</v>
      </c>
      <c r="E6598" s="130">
        <v>1</v>
      </c>
      <c r="F6598" s="28">
        <v>33.069499999999998</v>
      </c>
      <c r="G6598" s="28">
        <f>IF(ISNUMBER(F6598),E6598*F6598,"")</f>
        <v>33.069499999999998</v>
      </c>
      <c r="H6598" s="35">
        <f>SUM(G6598:G6598)</f>
        <v>33.069499999999998</v>
      </c>
      <c r="I6598" s="36"/>
      <c r="J6598" s="125">
        <v>0</v>
      </c>
    </row>
    <row r="6599" spans="1:10" ht="15.75" hidden="1" thickBot="1" x14ac:dyDescent="0.3">
      <c r="A6599" s="236"/>
      <c r="B6599" s="239"/>
      <c r="C6599" s="164"/>
      <c r="D6599" s="50"/>
      <c r="E6599" s="61"/>
      <c r="F6599" s="62" t="s">
        <v>418</v>
      </c>
      <c r="G6599" s="62" t="str">
        <f>IF(ISNUMBER(F6599),E6599*F6599,"")</f>
        <v/>
      </c>
      <c r="H6599" s="64"/>
      <c r="I6599" s="28"/>
      <c r="J6599" s="125">
        <v>0</v>
      </c>
    </row>
    <row r="6600" spans="1:10" ht="15.75" hidden="1" thickBot="1" x14ac:dyDescent="0.3">
      <c r="A6600" s="234" t="s">
        <v>15240</v>
      </c>
      <c r="B6600" s="237" t="s">
        <v>15241</v>
      </c>
      <c r="C6600" s="160"/>
      <c r="D6600" s="23" t="s">
        <v>16</v>
      </c>
      <c r="E6600" s="24"/>
      <c r="F6600" s="37" t="s">
        <v>418</v>
      </c>
      <c r="G6600" s="25" t="str">
        <f>IF(ISNUMBER(F6600),E6600*F6600,"")</f>
        <v/>
      </c>
      <c r="H6600" s="26"/>
      <c r="I6600" s="27"/>
      <c r="J6600" s="125">
        <v>0</v>
      </c>
    </row>
    <row r="6601" spans="1:10" ht="15.75" hidden="1" thickBot="1" x14ac:dyDescent="0.3">
      <c r="A6601" s="235"/>
      <c r="B6601" s="240"/>
      <c r="C6601" s="151"/>
      <c r="D6601" s="29"/>
      <c r="E6601" s="30"/>
      <c r="F6601" s="38" t="s">
        <v>418</v>
      </c>
      <c r="G6601" s="28" t="str">
        <f>IF(ISNUMBER(F6601),E6601*F6601,"")</f>
        <v/>
      </c>
      <c r="H6601" s="32"/>
      <c r="I6601" s="28"/>
      <c r="J6601" s="125">
        <v>0</v>
      </c>
    </row>
    <row r="6602" spans="1:10" ht="26.25" hidden="1" thickBot="1" x14ac:dyDescent="0.3">
      <c r="A6602" s="235"/>
      <c r="B6602" s="240"/>
      <c r="C6602" s="155" t="s">
        <v>27246</v>
      </c>
      <c r="D6602" s="155" t="s">
        <v>205</v>
      </c>
      <c r="E6602" s="130">
        <v>1</v>
      </c>
      <c r="F6602" s="28">
        <v>19.8645</v>
      </c>
      <c r="G6602" s="28">
        <f>IF(ISNUMBER(F6602),E6602*F6602,"")</f>
        <v>19.8645</v>
      </c>
      <c r="H6602" s="35">
        <f>SUM(G6602:G6602)</f>
        <v>19.8645</v>
      </c>
      <c r="I6602" s="36"/>
      <c r="J6602" s="125">
        <v>0</v>
      </c>
    </row>
    <row r="6603" spans="1:10" ht="15.75" hidden="1" thickBot="1" x14ac:dyDescent="0.3">
      <c r="A6603" s="236"/>
      <c r="B6603" s="239"/>
      <c r="C6603" s="164"/>
      <c r="D6603" s="50"/>
      <c r="E6603" s="61"/>
      <c r="F6603" s="62" t="s">
        <v>418</v>
      </c>
      <c r="G6603" s="62" t="str">
        <f>IF(ISNUMBER(F6603),E6603*F6603,"")</f>
        <v/>
      </c>
      <c r="H6603" s="64"/>
      <c r="I6603" s="28"/>
      <c r="J6603" s="125">
        <v>0</v>
      </c>
    </row>
    <row r="6604" spans="1:10" ht="15.75" hidden="1" thickBot="1" x14ac:dyDescent="0.3">
      <c r="A6604" s="234" t="s">
        <v>15242</v>
      </c>
      <c r="B6604" s="237" t="s">
        <v>15243</v>
      </c>
      <c r="C6604" s="160"/>
      <c r="D6604" s="23" t="s">
        <v>16</v>
      </c>
      <c r="E6604" s="24"/>
      <c r="F6604" s="37" t="s">
        <v>418</v>
      </c>
      <c r="G6604" s="25" t="str">
        <f>IF(ISNUMBER(F6604),E6604*F6604,"")</f>
        <v/>
      </c>
      <c r="H6604" s="26"/>
      <c r="I6604" s="27"/>
      <c r="J6604" s="125">
        <v>0</v>
      </c>
    </row>
    <row r="6605" spans="1:10" ht="15.75" hidden="1" thickBot="1" x14ac:dyDescent="0.3">
      <c r="A6605" s="235"/>
      <c r="B6605" s="240"/>
      <c r="C6605" s="151"/>
      <c r="D6605" s="29"/>
      <c r="E6605" s="30"/>
      <c r="F6605" s="38" t="s">
        <v>418</v>
      </c>
      <c r="G6605" s="28" t="str">
        <f>IF(ISNUMBER(F6605),E6605*F6605,"")</f>
        <v/>
      </c>
      <c r="H6605" s="32"/>
      <c r="I6605" s="28"/>
      <c r="J6605" s="125">
        <v>0</v>
      </c>
    </row>
    <row r="6606" spans="1:10" ht="26.25" hidden="1" thickBot="1" x14ac:dyDescent="0.3">
      <c r="A6606" s="235"/>
      <c r="B6606" s="240"/>
      <c r="C6606" s="155" t="s">
        <v>27249</v>
      </c>
      <c r="D6606" s="155" t="s">
        <v>205</v>
      </c>
      <c r="E6606" s="130">
        <v>1</v>
      </c>
      <c r="F6606" s="28">
        <v>164.38799999999998</v>
      </c>
      <c r="G6606" s="28">
        <f>IF(ISNUMBER(F6606),E6606*F6606,"")</f>
        <v>164.38799999999998</v>
      </c>
      <c r="H6606" s="35">
        <f>SUM(G6606:G6606)</f>
        <v>164.38799999999998</v>
      </c>
      <c r="I6606" s="36"/>
      <c r="J6606" s="125">
        <v>0</v>
      </c>
    </row>
    <row r="6607" spans="1:10" ht="15.75" hidden="1" thickBot="1" x14ac:dyDescent="0.3">
      <c r="A6607" s="236"/>
      <c r="B6607" s="239"/>
      <c r="C6607" s="164"/>
      <c r="D6607" s="50"/>
      <c r="E6607" s="61"/>
      <c r="F6607" s="62" t="s">
        <v>418</v>
      </c>
      <c r="G6607" s="62" t="str">
        <f>IF(ISNUMBER(F6607),E6607*F6607,"")</f>
        <v/>
      </c>
      <c r="H6607" s="64"/>
      <c r="I6607" s="28"/>
      <c r="J6607" s="125">
        <v>0</v>
      </c>
    </row>
    <row r="6608" spans="1:10" ht="15.75" hidden="1" thickBot="1" x14ac:dyDescent="0.3">
      <c r="A6608" s="234" t="s">
        <v>15244</v>
      </c>
      <c r="B6608" s="237" t="s">
        <v>15245</v>
      </c>
      <c r="C6608" s="160"/>
      <c r="D6608" s="23" t="s">
        <v>16</v>
      </c>
      <c r="E6608" s="24"/>
      <c r="F6608" s="37" t="s">
        <v>418</v>
      </c>
      <c r="G6608" s="25" t="str">
        <f>IF(ISNUMBER(F6608),E6608*F6608,"")</f>
        <v/>
      </c>
      <c r="H6608" s="26"/>
      <c r="I6608" s="27"/>
      <c r="J6608" s="125">
        <v>0</v>
      </c>
    </row>
    <row r="6609" spans="1:10" ht="15.75" hidden="1" thickBot="1" x14ac:dyDescent="0.3">
      <c r="A6609" s="235"/>
      <c r="B6609" s="240"/>
      <c r="C6609" s="151"/>
      <c r="D6609" s="29"/>
      <c r="E6609" s="30"/>
      <c r="F6609" s="38" t="s">
        <v>418</v>
      </c>
      <c r="G6609" s="28" t="str">
        <f>IF(ISNUMBER(F6609),E6609*F6609,"")</f>
        <v/>
      </c>
      <c r="H6609" s="32"/>
      <c r="I6609" s="28"/>
      <c r="J6609" s="125">
        <v>0</v>
      </c>
    </row>
    <row r="6610" spans="1:10" ht="26.25" hidden="1" thickBot="1" x14ac:dyDescent="0.3">
      <c r="A6610" s="235"/>
      <c r="B6610" s="240"/>
      <c r="C6610" s="155" t="s">
        <v>27248</v>
      </c>
      <c r="D6610" s="155" t="s">
        <v>205</v>
      </c>
      <c r="E6610" s="130">
        <v>1</v>
      </c>
      <c r="F6610" s="28">
        <v>79.268000000000001</v>
      </c>
      <c r="G6610" s="28">
        <f>IF(ISNUMBER(F6610),E6610*F6610,"")</f>
        <v>79.268000000000001</v>
      </c>
      <c r="H6610" s="35">
        <f>SUM(G6610:G6610)</f>
        <v>79.268000000000001</v>
      </c>
      <c r="I6610" s="36"/>
      <c r="J6610" s="125">
        <v>0</v>
      </c>
    </row>
    <row r="6611" spans="1:10" ht="15.75" hidden="1" thickBot="1" x14ac:dyDescent="0.3">
      <c r="A6611" s="236"/>
      <c r="B6611" s="239"/>
      <c r="C6611" s="164"/>
      <c r="D6611" s="50"/>
      <c r="E6611" s="61"/>
      <c r="F6611" s="62" t="s">
        <v>418</v>
      </c>
      <c r="G6611" s="62" t="str">
        <f>IF(ISNUMBER(F6611),E6611*F6611,"")</f>
        <v/>
      </c>
      <c r="H6611" s="64"/>
      <c r="I6611" s="28"/>
      <c r="J6611" s="125">
        <v>0</v>
      </c>
    </row>
    <row r="6612" spans="1:10" ht="15.75" hidden="1" thickBot="1" x14ac:dyDescent="0.3">
      <c r="A6612" s="234" t="s">
        <v>15246</v>
      </c>
      <c r="B6612" s="237" t="s">
        <v>15247</v>
      </c>
      <c r="C6612" s="160"/>
      <c r="D6612" s="23" t="s">
        <v>16</v>
      </c>
      <c r="E6612" s="24"/>
      <c r="F6612" s="37" t="s">
        <v>418</v>
      </c>
      <c r="G6612" s="25" t="str">
        <f>IF(ISNUMBER(F6612),E6612*F6612,"")</f>
        <v/>
      </c>
      <c r="H6612" s="26"/>
      <c r="I6612" s="27"/>
      <c r="J6612" s="125">
        <v>0</v>
      </c>
    </row>
    <row r="6613" spans="1:10" ht="15.75" hidden="1" thickBot="1" x14ac:dyDescent="0.3">
      <c r="A6613" s="235"/>
      <c r="B6613" s="240"/>
      <c r="C6613" s="151"/>
      <c r="D6613" s="29"/>
      <c r="E6613" s="30"/>
      <c r="F6613" s="38" t="s">
        <v>418</v>
      </c>
      <c r="G6613" s="28" t="str">
        <f>IF(ISNUMBER(F6613),E6613*F6613,"")</f>
        <v/>
      </c>
      <c r="H6613" s="32"/>
      <c r="I6613" s="28"/>
      <c r="J6613" s="125">
        <v>0</v>
      </c>
    </row>
    <row r="6614" spans="1:10" ht="26.25" hidden="1" thickBot="1" x14ac:dyDescent="0.3">
      <c r="A6614" s="235"/>
      <c r="B6614" s="240"/>
      <c r="C6614" s="155" t="s">
        <v>27250</v>
      </c>
      <c r="D6614" s="155" t="s">
        <v>205</v>
      </c>
      <c r="E6614" s="130">
        <v>1</v>
      </c>
      <c r="F6614" s="28">
        <v>199.02499999999998</v>
      </c>
      <c r="G6614" s="28">
        <f>IF(ISNUMBER(F6614),E6614*F6614,"")</f>
        <v>199.02499999999998</v>
      </c>
      <c r="H6614" s="35">
        <f>SUM(G6614:G6614)</f>
        <v>199.02499999999998</v>
      </c>
      <c r="I6614" s="36"/>
      <c r="J6614" s="125">
        <v>0</v>
      </c>
    </row>
    <row r="6615" spans="1:10" ht="15.75" hidden="1" thickBot="1" x14ac:dyDescent="0.3">
      <c r="A6615" s="236"/>
      <c r="B6615" s="239"/>
      <c r="C6615" s="164"/>
      <c r="D6615" s="50"/>
      <c r="E6615" s="61"/>
      <c r="F6615" s="62" t="s">
        <v>418</v>
      </c>
      <c r="G6615" s="62" t="str">
        <f>IF(ISNUMBER(F6615),E6615*F6615,"")</f>
        <v/>
      </c>
      <c r="H6615" s="64"/>
      <c r="I6615" s="28"/>
      <c r="J6615" s="125">
        <v>0</v>
      </c>
    </row>
    <row r="6616" spans="1:10" ht="15.75" hidden="1" thickBot="1" x14ac:dyDescent="0.3">
      <c r="A6616" s="234" t="s">
        <v>15248</v>
      </c>
      <c r="B6616" s="237" t="s">
        <v>15249</v>
      </c>
      <c r="C6616" s="160"/>
      <c r="D6616" s="23" t="s">
        <v>16</v>
      </c>
      <c r="E6616" s="24"/>
      <c r="F6616" s="37" t="s">
        <v>418</v>
      </c>
      <c r="G6616" s="25" t="str">
        <f>IF(ISNUMBER(F6616),E6616*F6616,"")</f>
        <v/>
      </c>
      <c r="H6616" s="26"/>
      <c r="I6616" s="27"/>
      <c r="J6616" s="125">
        <v>0</v>
      </c>
    </row>
    <row r="6617" spans="1:10" ht="15.75" hidden="1" thickBot="1" x14ac:dyDescent="0.3">
      <c r="A6617" s="235"/>
      <c r="B6617" s="240"/>
      <c r="C6617" s="151"/>
      <c r="D6617" s="29"/>
      <c r="E6617" s="30"/>
      <c r="F6617" s="38" t="s">
        <v>418</v>
      </c>
      <c r="G6617" s="28" t="str">
        <f>IF(ISNUMBER(F6617),E6617*F6617,"")</f>
        <v/>
      </c>
      <c r="H6617" s="32"/>
      <c r="I6617" s="28"/>
      <c r="J6617" s="125">
        <v>0</v>
      </c>
    </row>
    <row r="6618" spans="1:10" ht="26.25" hidden="1" thickBot="1" x14ac:dyDescent="0.3">
      <c r="A6618" s="235"/>
      <c r="B6618" s="240"/>
      <c r="C6618" s="155" t="s">
        <v>27251</v>
      </c>
      <c r="D6618" s="155" t="s">
        <v>205</v>
      </c>
      <c r="E6618" s="130">
        <v>1</v>
      </c>
      <c r="F6618" s="28">
        <v>20.947499999999998</v>
      </c>
      <c r="G6618" s="28">
        <f>IF(ISNUMBER(F6618),E6618*F6618,"")</f>
        <v>20.947499999999998</v>
      </c>
      <c r="H6618" s="35">
        <f>SUM(G6618:G6618)</f>
        <v>20.947499999999998</v>
      </c>
      <c r="I6618" s="36"/>
      <c r="J6618" s="125">
        <v>0</v>
      </c>
    </row>
    <row r="6619" spans="1:10" ht="15.75" hidden="1" thickBot="1" x14ac:dyDescent="0.3">
      <c r="A6619" s="236"/>
      <c r="B6619" s="239"/>
      <c r="C6619" s="164"/>
      <c r="D6619" s="50"/>
      <c r="E6619" s="61"/>
      <c r="F6619" s="62" t="s">
        <v>418</v>
      </c>
      <c r="G6619" s="62" t="str">
        <f>IF(ISNUMBER(F6619),E6619*F6619,"")</f>
        <v/>
      </c>
      <c r="H6619" s="64"/>
      <c r="I6619" s="28"/>
      <c r="J6619" s="125">
        <v>0</v>
      </c>
    </row>
    <row r="6620" spans="1:10" ht="15.75" hidden="1" thickBot="1" x14ac:dyDescent="0.3">
      <c r="A6620" s="234" t="s">
        <v>15250</v>
      </c>
      <c r="B6620" s="237" t="s">
        <v>15251</v>
      </c>
      <c r="C6620" s="160"/>
      <c r="D6620" s="23" t="s">
        <v>16</v>
      </c>
      <c r="E6620" s="24"/>
      <c r="F6620" s="37" t="s">
        <v>418</v>
      </c>
      <c r="G6620" s="25" t="str">
        <f>IF(ISNUMBER(F6620),E6620*F6620,"")</f>
        <v/>
      </c>
      <c r="H6620" s="26"/>
      <c r="I6620" s="27"/>
      <c r="J6620" s="125">
        <v>0</v>
      </c>
    </row>
    <row r="6621" spans="1:10" ht="15.75" hidden="1" thickBot="1" x14ac:dyDescent="0.3">
      <c r="A6621" s="235"/>
      <c r="B6621" s="240"/>
      <c r="C6621" s="151"/>
      <c r="D6621" s="29"/>
      <c r="E6621" s="30"/>
      <c r="F6621" s="38" t="s">
        <v>418</v>
      </c>
      <c r="G6621" s="28" t="str">
        <f>IF(ISNUMBER(F6621),E6621*F6621,"")</f>
        <v/>
      </c>
      <c r="H6621" s="32"/>
      <c r="I6621" s="28"/>
      <c r="J6621" s="125">
        <v>0</v>
      </c>
    </row>
    <row r="6622" spans="1:10" ht="26.25" hidden="1" thickBot="1" x14ac:dyDescent="0.3">
      <c r="A6622" s="235"/>
      <c r="B6622" s="240"/>
      <c r="C6622" s="155" t="s">
        <v>27252</v>
      </c>
      <c r="D6622" s="155" t="s">
        <v>205</v>
      </c>
      <c r="E6622" s="130">
        <v>1</v>
      </c>
      <c r="F6622" s="28">
        <v>414.69399999999996</v>
      </c>
      <c r="G6622" s="28">
        <f>IF(ISNUMBER(F6622),E6622*F6622,"")</f>
        <v>414.69399999999996</v>
      </c>
      <c r="H6622" s="35">
        <f>SUM(G6622:G6622)</f>
        <v>414.69399999999996</v>
      </c>
      <c r="I6622" s="36"/>
      <c r="J6622" s="125">
        <v>0</v>
      </c>
    </row>
    <row r="6623" spans="1:10" ht="15.75" hidden="1" thickBot="1" x14ac:dyDescent="0.3">
      <c r="A6623" s="236"/>
      <c r="B6623" s="239"/>
      <c r="C6623" s="164"/>
      <c r="D6623" s="50"/>
      <c r="E6623" s="61"/>
      <c r="F6623" s="62" t="s">
        <v>418</v>
      </c>
      <c r="G6623" s="62" t="str">
        <f>IF(ISNUMBER(F6623),E6623*F6623,"")</f>
        <v/>
      </c>
      <c r="H6623" s="64"/>
      <c r="I6623" s="28"/>
      <c r="J6623" s="125">
        <v>0</v>
      </c>
    </row>
    <row r="6624" spans="1:10" ht="15.75" hidden="1" thickBot="1" x14ac:dyDescent="0.3">
      <c r="A6624" s="234" t="s">
        <v>15252</v>
      </c>
      <c r="B6624" s="237" t="s">
        <v>15253</v>
      </c>
      <c r="C6624" s="160"/>
      <c r="D6624" s="23" t="s">
        <v>16</v>
      </c>
      <c r="E6624" s="24"/>
      <c r="F6624" s="37" t="s">
        <v>418</v>
      </c>
      <c r="G6624" s="25" t="str">
        <f>IF(ISNUMBER(F6624),E6624*F6624,"")</f>
        <v/>
      </c>
      <c r="H6624" s="26"/>
      <c r="I6624" s="27"/>
      <c r="J6624" s="125">
        <v>0</v>
      </c>
    </row>
    <row r="6625" spans="1:10" ht="15.75" hidden="1" thickBot="1" x14ac:dyDescent="0.3">
      <c r="A6625" s="235"/>
      <c r="B6625" s="240"/>
      <c r="C6625" s="151"/>
      <c r="D6625" s="29"/>
      <c r="E6625" s="30"/>
      <c r="F6625" s="38" t="s">
        <v>418</v>
      </c>
      <c r="G6625" s="28" t="str">
        <f>IF(ISNUMBER(F6625),E6625*F6625,"")</f>
        <v/>
      </c>
      <c r="H6625" s="32"/>
      <c r="I6625" s="28"/>
      <c r="J6625" s="125">
        <v>0</v>
      </c>
    </row>
    <row r="6626" spans="1:10" ht="26.25" hidden="1" thickBot="1" x14ac:dyDescent="0.3">
      <c r="A6626" s="235"/>
      <c r="B6626" s="240"/>
      <c r="C6626" s="155" t="s">
        <v>27261</v>
      </c>
      <c r="D6626" s="155" t="s">
        <v>205</v>
      </c>
      <c r="E6626" s="130">
        <v>1</v>
      </c>
      <c r="F6626" s="28">
        <v>14.078999999999999</v>
      </c>
      <c r="G6626" s="28">
        <f>IF(ISNUMBER(F6626),E6626*F6626,"")</f>
        <v>14.078999999999999</v>
      </c>
      <c r="H6626" s="35">
        <f>SUM(G6626:G6626)</f>
        <v>14.078999999999999</v>
      </c>
      <c r="I6626" s="36"/>
      <c r="J6626" s="125">
        <v>0</v>
      </c>
    </row>
    <row r="6627" spans="1:10" ht="15.75" hidden="1" thickBot="1" x14ac:dyDescent="0.3">
      <c r="A6627" s="236"/>
      <c r="B6627" s="239"/>
      <c r="C6627" s="164"/>
      <c r="D6627" s="50"/>
      <c r="E6627" s="61"/>
      <c r="F6627" s="62" t="s">
        <v>418</v>
      </c>
      <c r="G6627" s="62" t="str">
        <f>IF(ISNUMBER(F6627),E6627*F6627,"")</f>
        <v/>
      </c>
      <c r="H6627" s="64"/>
      <c r="I6627" s="28"/>
      <c r="J6627" s="125">
        <v>0</v>
      </c>
    </row>
    <row r="6628" spans="1:10" ht="15.75" hidden="1" thickBot="1" x14ac:dyDescent="0.3">
      <c r="A6628" s="234" t="s">
        <v>15254</v>
      </c>
      <c r="B6628" s="237" t="s">
        <v>15255</v>
      </c>
      <c r="C6628" s="160"/>
      <c r="D6628" s="23" t="s">
        <v>16</v>
      </c>
      <c r="E6628" s="24"/>
      <c r="F6628" s="37" t="s">
        <v>418</v>
      </c>
      <c r="G6628" s="25" t="str">
        <f>IF(ISNUMBER(F6628),E6628*F6628,"")</f>
        <v/>
      </c>
      <c r="H6628" s="26"/>
      <c r="I6628" s="27"/>
      <c r="J6628" s="125">
        <v>0</v>
      </c>
    </row>
    <row r="6629" spans="1:10" ht="15.75" hidden="1" thickBot="1" x14ac:dyDescent="0.3">
      <c r="A6629" s="235"/>
      <c r="B6629" s="240"/>
      <c r="C6629" s="151"/>
      <c r="D6629" s="29"/>
      <c r="E6629" s="30"/>
      <c r="F6629" s="38" t="s">
        <v>418</v>
      </c>
      <c r="G6629" s="28" t="str">
        <f>IF(ISNUMBER(F6629),E6629*F6629,"")</f>
        <v/>
      </c>
      <c r="H6629" s="32"/>
      <c r="I6629" s="28"/>
      <c r="J6629" s="125">
        <v>0</v>
      </c>
    </row>
    <row r="6630" spans="1:10" ht="26.25" hidden="1" thickBot="1" x14ac:dyDescent="0.3">
      <c r="A6630" s="235"/>
      <c r="B6630" s="240"/>
      <c r="C6630" s="155" t="s">
        <v>27262</v>
      </c>
      <c r="D6630" s="155" t="s">
        <v>205</v>
      </c>
      <c r="E6630" s="130">
        <v>1</v>
      </c>
      <c r="F6630" s="28">
        <v>16.805500000000002</v>
      </c>
      <c r="G6630" s="28">
        <f>IF(ISNUMBER(F6630),E6630*F6630,"")</f>
        <v>16.805500000000002</v>
      </c>
      <c r="H6630" s="35">
        <f>SUM(G6630:G6630)</f>
        <v>16.805500000000002</v>
      </c>
      <c r="I6630" s="36"/>
      <c r="J6630" s="125">
        <v>0</v>
      </c>
    </row>
    <row r="6631" spans="1:10" ht="15.75" hidden="1" thickBot="1" x14ac:dyDescent="0.3">
      <c r="A6631" s="236"/>
      <c r="B6631" s="239"/>
      <c r="C6631" s="164"/>
      <c r="D6631" s="50"/>
      <c r="E6631" s="61"/>
      <c r="F6631" s="62" t="s">
        <v>418</v>
      </c>
      <c r="G6631" s="62" t="str">
        <f>IF(ISNUMBER(F6631),E6631*F6631,"")</f>
        <v/>
      </c>
      <c r="H6631" s="64"/>
      <c r="I6631" s="28"/>
      <c r="J6631" s="125">
        <v>0</v>
      </c>
    </row>
    <row r="6632" spans="1:10" ht="15.75" hidden="1" thickBot="1" x14ac:dyDescent="0.3">
      <c r="A6632" s="234" t="s">
        <v>15256</v>
      </c>
      <c r="B6632" s="237" t="s">
        <v>15257</v>
      </c>
      <c r="C6632" s="160"/>
      <c r="D6632" s="23" t="s">
        <v>16</v>
      </c>
      <c r="E6632" s="24"/>
      <c r="F6632" s="37" t="s">
        <v>418</v>
      </c>
      <c r="G6632" s="25" t="str">
        <f>IF(ISNUMBER(F6632),E6632*F6632,"")</f>
        <v/>
      </c>
      <c r="H6632" s="26"/>
      <c r="I6632" s="27"/>
      <c r="J6632" s="125">
        <v>0</v>
      </c>
    </row>
    <row r="6633" spans="1:10" ht="15.75" hidden="1" thickBot="1" x14ac:dyDescent="0.3">
      <c r="A6633" s="235"/>
      <c r="B6633" s="240"/>
      <c r="C6633" s="151"/>
      <c r="D6633" s="29"/>
      <c r="E6633" s="30"/>
      <c r="F6633" s="38" t="s">
        <v>418</v>
      </c>
      <c r="G6633" s="28" t="str">
        <f>IF(ISNUMBER(F6633),E6633*F6633,"")</f>
        <v/>
      </c>
      <c r="H6633" s="32"/>
      <c r="I6633" s="28"/>
      <c r="J6633" s="125">
        <v>0</v>
      </c>
    </row>
    <row r="6634" spans="1:10" ht="26.25" hidden="1" thickBot="1" x14ac:dyDescent="0.3">
      <c r="A6634" s="235"/>
      <c r="B6634" s="240"/>
      <c r="C6634" s="155" t="s">
        <v>27227</v>
      </c>
      <c r="D6634" s="155" t="s">
        <v>205</v>
      </c>
      <c r="E6634" s="130">
        <v>1</v>
      </c>
      <c r="F6634" s="28">
        <v>15.560999999999998</v>
      </c>
      <c r="G6634" s="28">
        <f>IF(ISNUMBER(F6634),E6634*F6634,"")</f>
        <v>15.560999999999998</v>
      </c>
      <c r="H6634" s="35">
        <f>SUM(G6634:G6634)</f>
        <v>15.560999999999998</v>
      </c>
      <c r="I6634" s="36"/>
      <c r="J6634" s="125">
        <v>0</v>
      </c>
    </row>
    <row r="6635" spans="1:10" ht="15.75" hidden="1" thickBot="1" x14ac:dyDescent="0.3">
      <c r="A6635" s="236"/>
      <c r="B6635" s="239"/>
      <c r="C6635" s="164"/>
      <c r="D6635" s="50"/>
      <c r="E6635" s="61"/>
      <c r="F6635" s="62" t="s">
        <v>418</v>
      </c>
      <c r="G6635" s="62" t="str">
        <f>IF(ISNUMBER(F6635),E6635*F6635,"")</f>
        <v/>
      </c>
      <c r="H6635" s="64"/>
      <c r="I6635" s="28"/>
      <c r="J6635" s="125">
        <v>0</v>
      </c>
    </row>
    <row r="6636" spans="1:10" ht="15.75" hidden="1" thickBot="1" x14ac:dyDescent="0.3">
      <c r="A6636" s="234" t="s">
        <v>15258</v>
      </c>
      <c r="B6636" s="237" t="s">
        <v>15259</v>
      </c>
      <c r="C6636" s="160"/>
      <c r="D6636" s="23" t="s">
        <v>16</v>
      </c>
      <c r="E6636" s="24"/>
      <c r="F6636" s="37" t="s">
        <v>418</v>
      </c>
      <c r="G6636" s="25" t="str">
        <f>IF(ISNUMBER(F6636),E6636*F6636,"")</f>
        <v/>
      </c>
      <c r="H6636" s="26"/>
      <c r="I6636" s="27"/>
      <c r="J6636" s="125">
        <v>0</v>
      </c>
    </row>
    <row r="6637" spans="1:10" ht="15.75" hidden="1" thickBot="1" x14ac:dyDescent="0.3">
      <c r="A6637" s="235"/>
      <c r="B6637" s="240"/>
      <c r="C6637" s="151"/>
      <c r="D6637" s="29"/>
      <c r="E6637" s="30"/>
      <c r="F6637" s="38" t="s">
        <v>418</v>
      </c>
      <c r="G6637" s="28" t="str">
        <f>IF(ISNUMBER(F6637),E6637*F6637,"")</f>
        <v/>
      </c>
      <c r="H6637" s="32"/>
      <c r="I6637" s="28"/>
      <c r="J6637" s="125">
        <v>0</v>
      </c>
    </row>
    <row r="6638" spans="1:10" ht="26.25" hidden="1" thickBot="1" x14ac:dyDescent="0.3">
      <c r="A6638" s="235"/>
      <c r="B6638" s="240"/>
      <c r="C6638" s="155" t="s">
        <v>27225</v>
      </c>
      <c r="D6638" s="155" t="s">
        <v>205</v>
      </c>
      <c r="E6638" s="130">
        <v>1</v>
      </c>
      <c r="F6638" s="28">
        <v>42.664499999999997</v>
      </c>
      <c r="G6638" s="28">
        <f>IF(ISNUMBER(F6638),E6638*F6638,"")</f>
        <v>42.664499999999997</v>
      </c>
      <c r="H6638" s="35">
        <f>SUM(G6638:G6638)</f>
        <v>42.664499999999997</v>
      </c>
      <c r="I6638" s="36"/>
      <c r="J6638" s="125">
        <v>0</v>
      </c>
    </row>
    <row r="6639" spans="1:10" ht="15.75" hidden="1" thickBot="1" x14ac:dyDescent="0.3">
      <c r="A6639" s="236"/>
      <c r="B6639" s="239"/>
      <c r="C6639" s="164"/>
      <c r="D6639" s="50"/>
      <c r="E6639" s="61"/>
      <c r="F6639" s="62" t="s">
        <v>418</v>
      </c>
      <c r="G6639" s="62" t="str">
        <f>IF(ISNUMBER(F6639),E6639*F6639,"")</f>
        <v/>
      </c>
      <c r="H6639" s="64"/>
      <c r="I6639" s="28"/>
      <c r="J6639" s="125">
        <v>0</v>
      </c>
    </row>
    <row r="6640" spans="1:10" ht="15.75" hidden="1" thickBot="1" x14ac:dyDescent="0.3">
      <c r="A6640" s="234" t="s">
        <v>15260</v>
      </c>
      <c r="B6640" s="237" t="s">
        <v>19645</v>
      </c>
      <c r="C6640" s="160"/>
      <c r="D6640" s="23" t="s">
        <v>16</v>
      </c>
      <c r="E6640" s="24"/>
      <c r="F6640" s="37" t="s">
        <v>418</v>
      </c>
      <c r="G6640" s="25" t="str">
        <f>IF(ISNUMBER(F6640),E6640*F6640,"")</f>
        <v/>
      </c>
      <c r="H6640" s="26"/>
      <c r="I6640" s="27"/>
      <c r="J6640" s="125">
        <v>0</v>
      </c>
    </row>
    <row r="6641" spans="1:10" ht="15.75" hidden="1" thickBot="1" x14ac:dyDescent="0.3">
      <c r="A6641" s="235"/>
      <c r="B6641" s="240"/>
      <c r="C6641" s="151"/>
      <c r="D6641" s="29"/>
      <c r="E6641" s="30"/>
      <c r="F6641" s="38" t="s">
        <v>418</v>
      </c>
      <c r="G6641" s="28" t="str">
        <f>IF(ISNUMBER(F6641),E6641*F6641,"")</f>
        <v/>
      </c>
      <c r="H6641" s="32"/>
      <c r="I6641" s="28"/>
      <c r="J6641" s="125">
        <v>0</v>
      </c>
    </row>
    <row r="6642" spans="1:10" ht="26.25" hidden="1" thickBot="1" x14ac:dyDescent="0.3">
      <c r="A6642" s="235"/>
      <c r="B6642" s="240"/>
      <c r="C6642" s="155" t="s">
        <v>27236</v>
      </c>
      <c r="D6642" s="155" t="s">
        <v>205</v>
      </c>
      <c r="E6642" s="130">
        <v>1</v>
      </c>
      <c r="F6642" s="28">
        <v>75.952500000000001</v>
      </c>
      <c r="G6642" s="28">
        <f>IF(ISNUMBER(F6642),E6642*F6642,"")</f>
        <v>75.952500000000001</v>
      </c>
      <c r="H6642" s="35">
        <f>SUM(G6642:G6642)</f>
        <v>75.952500000000001</v>
      </c>
      <c r="I6642" s="36"/>
      <c r="J6642" s="125">
        <v>0</v>
      </c>
    </row>
    <row r="6643" spans="1:10" ht="15.75" hidden="1" thickBot="1" x14ac:dyDescent="0.3">
      <c r="A6643" s="236"/>
      <c r="B6643" s="239"/>
      <c r="C6643" s="164"/>
      <c r="D6643" s="50"/>
      <c r="E6643" s="61"/>
      <c r="F6643" s="62" t="s">
        <v>418</v>
      </c>
      <c r="G6643" s="62" t="str">
        <f>IF(ISNUMBER(F6643),E6643*F6643,"")</f>
        <v/>
      </c>
      <c r="H6643" s="64"/>
      <c r="I6643" s="28"/>
      <c r="J6643" s="125">
        <v>0</v>
      </c>
    </row>
    <row r="6644" spans="1:10" ht="15.75" hidden="1" thickBot="1" x14ac:dyDescent="0.3">
      <c r="A6644" s="234" t="s">
        <v>15261</v>
      </c>
      <c r="B6644" s="237" t="s">
        <v>15262</v>
      </c>
      <c r="C6644" s="160"/>
      <c r="D6644" s="23" t="s">
        <v>16</v>
      </c>
      <c r="E6644" s="24"/>
      <c r="F6644" s="37" t="s">
        <v>418</v>
      </c>
      <c r="G6644" s="25" t="str">
        <f>IF(ISNUMBER(F6644),E6644*F6644,"")</f>
        <v/>
      </c>
      <c r="H6644" s="26"/>
      <c r="I6644" s="27"/>
      <c r="J6644" s="125">
        <v>0</v>
      </c>
    </row>
    <row r="6645" spans="1:10" ht="15.75" hidden="1" thickBot="1" x14ac:dyDescent="0.3">
      <c r="A6645" s="235"/>
      <c r="B6645" s="240"/>
      <c r="C6645" s="151"/>
      <c r="D6645" s="29"/>
      <c r="E6645" s="30"/>
      <c r="F6645" s="38" t="s">
        <v>418</v>
      </c>
      <c r="G6645" s="28" t="str">
        <f>IF(ISNUMBER(F6645),E6645*F6645,"")</f>
        <v/>
      </c>
      <c r="H6645" s="32"/>
      <c r="I6645" s="28"/>
      <c r="J6645" s="125">
        <v>0</v>
      </c>
    </row>
    <row r="6646" spans="1:10" ht="51.75" hidden="1" thickBot="1" x14ac:dyDescent="0.3">
      <c r="A6646" s="235"/>
      <c r="B6646" s="240"/>
      <c r="C6646" s="155" t="s">
        <v>27260</v>
      </c>
      <c r="D6646" s="155" t="s">
        <v>205</v>
      </c>
      <c r="E6646" s="130">
        <v>1</v>
      </c>
      <c r="F6646" s="28">
        <v>148.58000000000001</v>
      </c>
      <c r="G6646" s="28">
        <f>IF(ISNUMBER(F6646),E6646*F6646,"")</f>
        <v>148.58000000000001</v>
      </c>
      <c r="H6646" s="35">
        <f>SUM(G6646:G6646)</f>
        <v>148.58000000000001</v>
      </c>
      <c r="I6646" s="36"/>
      <c r="J6646" s="125">
        <v>0</v>
      </c>
    </row>
    <row r="6647" spans="1:10" ht="15.75" hidden="1" thickBot="1" x14ac:dyDescent="0.3">
      <c r="A6647" s="236"/>
      <c r="B6647" s="239"/>
      <c r="C6647" s="164"/>
      <c r="D6647" s="50"/>
      <c r="E6647" s="61"/>
      <c r="F6647" s="62" t="s">
        <v>418</v>
      </c>
      <c r="G6647" s="62" t="str">
        <f>IF(ISNUMBER(F6647),E6647*F6647,"")</f>
        <v/>
      </c>
      <c r="H6647" s="64"/>
      <c r="I6647" s="28"/>
      <c r="J6647" s="125">
        <v>0</v>
      </c>
    </row>
    <row r="6648" spans="1:10" ht="15.75" hidden="1" thickBot="1" x14ac:dyDescent="0.3">
      <c r="A6648" s="234" t="s">
        <v>15263</v>
      </c>
      <c r="B6648" s="237" t="s">
        <v>15264</v>
      </c>
      <c r="C6648" s="160"/>
      <c r="D6648" s="23" t="s">
        <v>16</v>
      </c>
      <c r="E6648" s="24"/>
      <c r="F6648" s="37" t="s">
        <v>418</v>
      </c>
      <c r="G6648" s="25" t="str">
        <f>IF(ISNUMBER(F6648),E6648*F6648,"")</f>
        <v/>
      </c>
      <c r="H6648" s="26"/>
      <c r="I6648" s="27"/>
      <c r="J6648" s="125">
        <v>0</v>
      </c>
    </row>
    <row r="6649" spans="1:10" ht="15.75" hidden="1" thickBot="1" x14ac:dyDescent="0.3">
      <c r="A6649" s="235"/>
      <c r="B6649" s="240"/>
      <c r="C6649" s="151"/>
      <c r="D6649" s="29"/>
      <c r="E6649" s="30"/>
      <c r="F6649" s="38" t="s">
        <v>418</v>
      </c>
      <c r="G6649" s="28" t="str">
        <f>IF(ISNUMBER(F6649),E6649*F6649,"")</f>
        <v/>
      </c>
      <c r="H6649" s="32"/>
      <c r="I6649" s="28"/>
      <c r="J6649" s="125">
        <v>0</v>
      </c>
    </row>
    <row r="6650" spans="1:10" ht="26.25" hidden="1" thickBot="1" x14ac:dyDescent="0.3">
      <c r="A6650" s="235"/>
      <c r="B6650" s="240"/>
      <c r="C6650" s="155" t="s">
        <v>27787</v>
      </c>
      <c r="D6650" s="155" t="s">
        <v>205</v>
      </c>
      <c r="E6650" s="130">
        <v>1</v>
      </c>
      <c r="F6650" s="28">
        <v>20.9665</v>
      </c>
      <c r="G6650" s="28">
        <f>IF(ISNUMBER(F6650),E6650*F6650,"")</f>
        <v>20.9665</v>
      </c>
      <c r="H6650" s="35">
        <f>SUM(G6650:G6650)</f>
        <v>20.9665</v>
      </c>
      <c r="I6650" s="36"/>
      <c r="J6650" s="125">
        <v>0</v>
      </c>
    </row>
    <row r="6651" spans="1:10" ht="15.75" hidden="1" thickBot="1" x14ac:dyDescent="0.3">
      <c r="A6651" s="236"/>
      <c r="B6651" s="239"/>
      <c r="C6651" s="164"/>
      <c r="D6651" s="50"/>
      <c r="E6651" s="61"/>
      <c r="F6651" s="62" t="s">
        <v>418</v>
      </c>
      <c r="G6651" s="62" t="str">
        <f>IF(ISNUMBER(F6651),E6651*F6651,"")</f>
        <v/>
      </c>
      <c r="H6651" s="64"/>
      <c r="I6651" s="28"/>
      <c r="J6651" s="125">
        <v>0</v>
      </c>
    </row>
    <row r="6652" spans="1:10" ht="15.75" hidden="1" thickBot="1" x14ac:dyDescent="0.3">
      <c r="A6652" s="234" t="s">
        <v>15265</v>
      </c>
      <c r="B6652" s="237" t="s">
        <v>15266</v>
      </c>
      <c r="C6652" s="160"/>
      <c r="D6652" s="23" t="s">
        <v>16</v>
      </c>
      <c r="E6652" s="24"/>
      <c r="F6652" s="37" t="s">
        <v>418</v>
      </c>
      <c r="G6652" s="25" t="str">
        <f>IF(ISNUMBER(F6652),E6652*F6652,"")</f>
        <v/>
      </c>
      <c r="H6652" s="26"/>
      <c r="I6652" s="27"/>
      <c r="J6652" s="125">
        <v>0</v>
      </c>
    </row>
    <row r="6653" spans="1:10" ht="15.75" hidden="1" thickBot="1" x14ac:dyDescent="0.3">
      <c r="A6653" s="235"/>
      <c r="B6653" s="240"/>
      <c r="C6653" s="151"/>
      <c r="D6653" s="29"/>
      <c r="E6653" s="30"/>
      <c r="F6653" s="38" t="s">
        <v>418</v>
      </c>
      <c r="G6653" s="28" t="str">
        <f>IF(ISNUMBER(F6653),E6653*F6653,"")</f>
        <v/>
      </c>
      <c r="H6653" s="32"/>
      <c r="I6653" s="28"/>
      <c r="J6653" s="125">
        <v>0</v>
      </c>
    </row>
    <row r="6654" spans="1:10" ht="26.25" hidden="1" thickBot="1" x14ac:dyDescent="0.3">
      <c r="A6654" s="235"/>
      <c r="B6654" s="240"/>
      <c r="C6654" s="155" t="s">
        <v>27789</v>
      </c>
      <c r="D6654" s="155" t="s">
        <v>205</v>
      </c>
      <c r="E6654" s="130">
        <v>1</v>
      </c>
      <c r="F6654" s="28">
        <v>8.7210000000000001</v>
      </c>
      <c r="G6654" s="28">
        <f>IF(ISNUMBER(F6654),E6654*F6654,"")</f>
        <v>8.7210000000000001</v>
      </c>
      <c r="H6654" s="35">
        <f>SUM(G6654:G6654)</f>
        <v>8.7210000000000001</v>
      </c>
      <c r="I6654" s="36"/>
      <c r="J6654" s="125">
        <v>0</v>
      </c>
    </row>
    <row r="6655" spans="1:10" ht="15.75" hidden="1" thickBot="1" x14ac:dyDescent="0.3">
      <c r="A6655" s="236"/>
      <c r="B6655" s="239"/>
      <c r="C6655" s="164"/>
      <c r="D6655" s="50"/>
      <c r="E6655" s="61"/>
      <c r="F6655" s="62" t="s">
        <v>418</v>
      </c>
      <c r="G6655" s="62" t="str">
        <f>IF(ISNUMBER(F6655),E6655*F6655,"")</f>
        <v/>
      </c>
      <c r="H6655" s="64"/>
      <c r="I6655" s="28"/>
      <c r="J6655" s="125">
        <v>0</v>
      </c>
    </row>
    <row r="6656" spans="1:10" ht="15.75" hidden="1" thickBot="1" x14ac:dyDescent="0.3">
      <c r="A6656" s="234" t="s">
        <v>15267</v>
      </c>
      <c r="B6656" s="237" t="s">
        <v>15268</v>
      </c>
      <c r="C6656" s="160"/>
      <c r="D6656" s="23" t="s">
        <v>16</v>
      </c>
      <c r="E6656" s="24"/>
      <c r="F6656" s="37" t="s">
        <v>418</v>
      </c>
      <c r="G6656" s="25" t="str">
        <f>IF(ISNUMBER(F6656),E6656*F6656,"")</f>
        <v/>
      </c>
      <c r="H6656" s="26"/>
      <c r="I6656" s="27"/>
      <c r="J6656" s="125">
        <v>0</v>
      </c>
    </row>
    <row r="6657" spans="1:10" ht="15.75" hidden="1" thickBot="1" x14ac:dyDescent="0.3">
      <c r="A6657" s="235"/>
      <c r="B6657" s="240"/>
      <c r="C6657" s="151"/>
      <c r="D6657" s="29"/>
      <c r="E6657" s="30"/>
      <c r="F6657" s="38" t="s">
        <v>418</v>
      </c>
      <c r="G6657" s="28" t="str">
        <f>IF(ISNUMBER(F6657),E6657*F6657,"")</f>
        <v/>
      </c>
      <c r="H6657" s="32"/>
      <c r="I6657" s="28"/>
      <c r="J6657" s="125">
        <v>0</v>
      </c>
    </row>
    <row r="6658" spans="1:10" ht="26.25" hidden="1" thickBot="1" x14ac:dyDescent="0.3">
      <c r="A6658" s="235"/>
      <c r="B6658" s="240"/>
      <c r="C6658" s="155" t="s">
        <v>27790</v>
      </c>
      <c r="D6658" s="155" t="s">
        <v>205</v>
      </c>
      <c r="E6658" s="130">
        <v>1</v>
      </c>
      <c r="F6658" s="28">
        <v>16.777000000000001</v>
      </c>
      <c r="G6658" s="28">
        <f>IF(ISNUMBER(F6658),E6658*F6658,"")</f>
        <v>16.777000000000001</v>
      </c>
      <c r="H6658" s="35">
        <f>SUM(G6658:G6658)</f>
        <v>16.777000000000001</v>
      </c>
      <c r="I6658" s="36"/>
      <c r="J6658" s="125">
        <v>0</v>
      </c>
    </row>
    <row r="6659" spans="1:10" ht="15.75" hidden="1" thickBot="1" x14ac:dyDescent="0.3">
      <c r="A6659" s="236"/>
      <c r="B6659" s="239"/>
      <c r="C6659" s="164"/>
      <c r="D6659" s="50"/>
      <c r="E6659" s="61"/>
      <c r="F6659" s="62" t="s">
        <v>418</v>
      </c>
      <c r="G6659" s="62" t="str">
        <f>IF(ISNUMBER(F6659),E6659*F6659,"")</f>
        <v/>
      </c>
      <c r="H6659" s="64"/>
      <c r="I6659" s="28"/>
      <c r="J6659" s="125">
        <v>0</v>
      </c>
    </row>
    <row r="6660" spans="1:10" ht="15.75" hidden="1" thickBot="1" x14ac:dyDescent="0.3">
      <c r="A6660" s="234" t="s">
        <v>15269</v>
      </c>
      <c r="B6660" s="237" t="s">
        <v>15270</v>
      </c>
      <c r="C6660" s="160"/>
      <c r="D6660" s="23" t="s">
        <v>16</v>
      </c>
      <c r="E6660" s="24"/>
      <c r="F6660" s="37" t="s">
        <v>418</v>
      </c>
      <c r="G6660" s="25" t="str">
        <f>IF(ISNUMBER(F6660),E6660*F6660,"")</f>
        <v/>
      </c>
      <c r="H6660" s="26"/>
      <c r="I6660" s="27"/>
      <c r="J6660" s="125">
        <v>0</v>
      </c>
    </row>
    <row r="6661" spans="1:10" ht="15.75" hidden="1" thickBot="1" x14ac:dyDescent="0.3">
      <c r="A6661" s="235"/>
      <c r="B6661" s="240"/>
      <c r="C6661" s="151"/>
      <c r="D6661" s="29"/>
      <c r="E6661" s="30"/>
      <c r="F6661" s="38" t="s">
        <v>418</v>
      </c>
      <c r="G6661" s="28" t="str">
        <f>IF(ISNUMBER(F6661),E6661*F6661,"")</f>
        <v/>
      </c>
      <c r="H6661" s="32"/>
      <c r="I6661" s="28"/>
      <c r="J6661" s="125">
        <v>0</v>
      </c>
    </row>
    <row r="6662" spans="1:10" ht="39" hidden="1" thickBot="1" x14ac:dyDescent="0.3">
      <c r="A6662" s="235"/>
      <c r="B6662" s="240"/>
      <c r="C6662" s="155" t="s">
        <v>27875</v>
      </c>
      <c r="D6662" s="155" t="s">
        <v>205</v>
      </c>
      <c r="E6662" s="130">
        <v>1</v>
      </c>
      <c r="F6662" s="28">
        <v>136.54349999999999</v>
      </c>
      <c r="G6662" s="28">
        <f>IF(ISNUMBER(F6662),E6662*F6662,"")</f>
        <v>136.54349999999999</v>
      </c>
      <c r="H6662" s="35">
        <f>SUM(G6662:G6662)</f>
        <v>136.54349999999999</v>
      </c>
      <c r="I6662" s="36"/>
      <c r="J6662" s="125">
        <v>0</v>
      </c>
    </row>
    <row r="6663" spans="1:10" ht="15.75" hidden="1" thickBot="1" x14ac:dyDescent="0.3">
      <c r="A6663" s="236"/>
      <c r="B6663" s="239"/>
      <c r="C6663" s="164"/>
      <c r="D6663" s="50"/>
      <c r="E6663" s="61"/>
      <c r="F6663" s="62" t="s">
        <v>418</v>
      </c>
      <c r="G6663" s="62" t="str">
        <f>IF(ISNUMBER(F6663),E6663*F6663,"")</f>
        <v/>
      </c>
      <c r="H6663" s="64"/>
      <c r="I6663" s="28"/>
      <c r="J6663" s="125">
        <v>0</v>
      </c>
    </row>
    <row r="6664" spans="1:10" ht="15.75" hidden="1" thickBot="1" x14ac:dyDescent="0.3">
      <c r="A6664" s="234" t="s">
        <v>15271</v>
      </c>
      <c r="B6664" s="237" t="s">
        <v>15272</v>
      </c>
      <c r="C6664" s="160"/>
      <c r="D6664" s="23" t="s">
        <v>16</v>
      </c>
      <c r="E6664" s="24"/>
      <c r="F6664" s="37" t="s">
        <v>418</v>
      </c>
      <c r="G6664" s="25" t="str">
        <f>IF(ISNUMBER(F6664),E6664*F6664,"")</f>
        <v/>
      </c>
      <c r="H6664" s="26"/>
      <c r="I6664" s="27"/>
      <c r="J6664" s="125">
        <v>0</v>
      </c>
    </row>
    <row r="6665" spans="1:10" ht="15.75" hidden="1" thickBot="1" x14ac:dyDescent="0.3">
      <c r="A6665" s="235"/>
      <c r="B6665" s="240"/>
      <c r="C6665" s="151"/>
      <c r="D6665" s="29"/>
      <c r="E6665" s="30"/>
      <c r="F6665" s="38" t="s">
        <v>418</v>
      </c>
      <c r="G6665" s="28" t="str">
        <f>IF(ISNUMBER(F6665),E6665*F6665,"")</f>
        <v/>
      </c>
      <c r="H6665" s="32"/>
      <c r="I6665" s="28"/>
      <c r="J6665" s="125">
        <v>0</v>
      </c>
    </row>
    <row r="6666" spans="1:10" ht="39" hidden="1" thickBot="1" x14ac:dyDescent="0.3">
      <c r="A6666" s="235"/>
      <c r="B6666" s="240"/>
      <c r="C6666" s="155" t="s">
        <v>27876</v>
      </c>
      <c r="D6666" s="155" t="s">
        <v>205</v>
      </c>
      <c r="E6666" s="130">
        <v>1</v>
      </c>
      <c r="F6666" s="28">
        <v>112.024</v>
      </c>
      <c r="G6666" s="28">
        <f>IF(ISNUMBER(F6666),E6666*F6666,"")</f>
        <v>112.024</v>
      </c>
      <c r="H6666" s="35">
        <f>SUM(G6666:G6666)</f>
        <v>112.024</v>
      </c>
      <c r="I6666" s="36"/>
      <c r="J6666" s="125">
        <v>0</v>
      </c>
    </row>
    <row r="6667" spans="1:10" ht="15.75" hidden="1" thickBot="1" x14ac:dyDescent="0.3">
      <c r="A6667" s="236"/>
      <c r="B6667" s="239"/>
      <c r="C6667" s="164"/>
      <c r="D6667" s="50"/>
      <c r="E6667" s="61"/>
      <c r="F6667" s="62" t="s">
        <v>418</v>
      </c>
      <c r="G6667" s="62" t="str">
        <f>IF(ISNUMBER(F6667),E6667*F6667,"")</f>
        <v/>
      </c>
      <c r="H6667" s="64"/>
      <c r="I6667" s="28"/>
      <c r="J6667" s="125">
        <v>0</v>
      </c>
    </row>
    <row r="6668" spans="1:10" ht="15.75" hidden="1" thickBot="1" x14ac:dyDescent="0.3">
      <c r="A6668" s="234" t="s">
        <v>15273</v>
      </c>
      <c r="B6668" s="237" t="s">
        <v>15274</v>
      </c>
      <c r="C6668" s="160"/>
      <c r="D6668" s="23" t="s">
        <v>16</v>
      </c>
      <c r="E6668" s="24"/>
      <c r="F6668" s="37" t="s">
        <v>418</v>
      </c>
      <c r="G6668" s="25" t="str">
        <f>IF(ISNUMBER(F6668),E6668*F6668,"")</f>
        <v/>
      </c>
      <c r="H6668" s="26"/>
      <c r="I6668" s="27"/>
      <c r="J6668" s="125">
        <v>0</v>
      </c>
    </row>
    <row r="6669" spans="1:10" ht="15.75" hidden="1" thickBot="1" x14ac:dyDescent="0.3">
      <c r="A6669" s="235"/>
      <c r="B6669" s="240"/>
      <c r="C6669" s="151"/>
      <c r="D6669" s="29"/>
      <c r="E6669" s="30"/>
      <c r="F6669" s="38" t="s">
        <v>418</v>
      </c>
      <c r="G6669" s="28" t="str">
        <f>IF(ISNUMBER(F6669),E6669*F6669,"")</f>
        <v/>
      </c>
      <c r="H6669" s="32"/>
      <c r="I6669" s="28"/>
      <c r="J6669" s="125">
        <v>0</v>
      </c>
    </row>
    <row r="6670" spans="1:10" ht="26.25" hidden="1" thickBot="1" x14ac:dyDescent="0.3">
      <c r="A6670" s="235"/>
      <c r="B6670" s="240"/>
      <c r="C6670" s="155" t="s">
        <v>27879</v>
      </c>
      <c r="D6670" s="155" t="s">
        <v>205</v>
      </c>
      <c r="E6670" s="130">
        <v>1</v>
      </c>
      <c r="F6670" s="28">
        <v>65.777999999999992</v>
      </c>
      <c r="G6670" s="28">
        <f>IF(ISNUMBER(F6670),E6670*F6670,"")</f>
        <v>65.777999999999992</v>
      </c>
      <c r="H6670" s="35">
        <f>SUM(G6670:G6670)</f>
        <v>65.777999999999992</v>
      </c>
      <c r="I6670" s="36"/>
      <c r="J6670" s="125">
        <v>0</v>
      </c>
    </row>
    <row r="6671" spans="1:10" ht="15.75" hidden="1" thickBot="1" x14ac:dyDescent="0.3">
      <c r="A6671" s="236"/>
      <c r="B6671" s="239"/>
      <c r="C6671" s="164"/>
      <c r="D6671" s="50"/>
      <c r="E6671" s="61"/>
      <c r="F6671" s="62" t="s">
        <v>418</v>
      </c>
      <c r="G6671" s="62" t="str">
        <f>IF(ISNUMBER(F6671),E6671*F6671,"")</f>
        <v/>
      </c>
      <c r="H6671" s="64"/>
      <c r="I6671" s="28"/>
      <c r="J6671" s="125">
        <v>0</v>
      </c>
    </row>
    <row r="6672" spans="1:10" ht="15.75" hidden="1" thickBot="1" x14ac:dyDescent="0.3">
      <c r="A6672" s="234" t="s">
        <v>15275</v>
      </c>
      <c r="B6672" s="237" t="s">
        <v>15276</v>
      </c>
      <c r="C6672" s="160"/>
      <c r="D6672" s="23" t="s">
        <v>16</v>
      </c>
      <c r="E6672" s="24"/>
      <c r="F6672" s="37" t="s">
        <v>418</v>
      </c>
      <c r="G6672" s="25" t="str">
        <f>IF(ISNUMBER(F6672),E6672*F6672,"")</f>
        <v/>
      </c>
      <c r="H6672" s="26"/>
      <c r="I6672" s="27"/>
      <c r="J6672" s="125">
        <v>0</v>
      </c>
    </row>
    <row r="6673" spans="1:10" ht="15.75" hidden="1" thickBot="1" x14ac:dyDescent="0.3">
      <c r="A6673" s="235"/>
      <c r="B6673" s="240"/>
      <c r="C6673" s="151"/>
      <c r="D6673" s="29"/>
      <c r="E6673" s="30"/>
      <c r="F6673" s="38" t="s">
        <v>418</v>
      </c>
      <c r="G6673" s="28" t="str">
        <f>IF(ISNUMBER(F6673),E6673*F6673,"")</f>
        <v/>
      </c>
      <c r="H6673" s="32"/>
      <c r="I6673" s="28"/>
      <c r="J6673" s="125">
        <v>0</v>
      </c>
    </row>
    <row r="6674" spans="1:10" ht="26.25" hidden="1" thickBot="1" x14ac:dyDescent="0.3">
      <c r="A6674" s="235"/>
      <c r="B6674" s="240"/>
      <c r="C6674" s="155" t="s">
        <v>27880</v>
      </c>
      <c r="D6674" s="155" t="s">
        <v>205</v>
      </c>
      <c r="E6674" s="130">
        <v>1</v>
      </c>
      <c r="F6674" s="28">
        <v>175.18949999999998</v>
      </c>
      <c r="G6674" s="28">
        <f>IF(ISNUMBER(F6674),E6674*F6674,"")</f>
        <v>175.18949999999998</v>
      </c>
      <c r="H6674" s="35">
        <f>SUM(G6674:G6674)</f>
        <v>175.18949999999998</v>
      </c>
      <c r="I6674" s="36"/>
      <c r="J6674" s="125">
        <v>0</v>
      </c>
    </row>
    <row r="6675" spans="1:10" ht="15.75" hidden="1" thickBot="1" x14ac:dyDescent="0.3">
      <c r="A6675" s="236"/>
      <c r="B6675" s="239"/>
      <c r="C6675" s="164"/>
      <c r="D6675" s="50"/>
      <c r="E6675" s="61"/>
      <c r="F6675" s="62" t="s">
        <v>418</v>
      </c>
      <c r="G6675" s="62" t="str">
        <f>IF(ISNUMBER(F6675),E6675*F6675,"")</f>
        <v/>
      </c>
      <c r="H6675" s="64"/>
      <c r="I6675" s="28"/>
      <c r="J6675" s="125">
        <v>0</v>
      </c>
    </row>
    <row r="6676" spans="1:10" ht="15.75" hidden="1" thickBot="1" x14ac:dyDescent="0.3">
      <c r="A6676" s="234" t="s">
        <v>15277</v>
      </c>
      <c r="B6676" s="237" t="s">
        <v>15278</v>
      </c>
      <c r="C6676" s="160"/>
      <c r="D6676" s="23" t="s">
        <v>16</v>
      </c>
      <c r="E6676" s="24"/>
      <c r="F6676" s="37" t="s">
        <v>418</v>
      </c>
      <c r="G6676" s="25" t="str">
        <f>IF(ISNUMBER(F6676),E6676*F6676,"")</f>
        <v/>
      </c>
      <c r="H6676" s="26"/>
      <c r="I6676" s="27"/>
      <c r="J6676" s="125">
        <v>0</v>
      </c>
    </row>
    <row r="6677" spans="1:10" ht="15.75" hidden="1" thickBot="1" x14ac:dyDescent="0.3">
      <c r="A6677" s="235"/>
      <c r="B6677" s="240"/>
      <c r="C6677" s="151"/>
      <c r="D6677" s="29"/>
      <c r="E6677" s="30"/>
      <c r="F6677" s="38" t="s">
        <v>418</v>
      </c>
      <c r="G6677" s="28" t="str">
        <f>IF(ISNUMBER(F6677),E6677*F6677,"")</f>
        <v/>
      </c>
      <c r="H6677" s="32"/>
      <c r="I6677" s="28"/>
      <c r="J6677" s="125">
        <v>0</v>
      </c>
    </row>
    <row r="6678" spans="1:10" ht="26.25" hidden="1" thickBot="1" x14ac:dyDescent="0.3">
      <c r="A6678" s="235"/>
      <c r="B6678" s="240"/>
      <c r="C6678" s="155" t="s">
        <v>27878</v>
      </c>
      <c r="D6678" s="155" t="s">
        <v>205</v>
      </c>
      <c r="E6678" s="130">
        <v>1</v>
      </c>
      <c r="F6678" s="28">
        <v>29.231499999999997</v>
      </c>
      <c r="G6678" s="28">
        <f>IF(ISNUMBER(F6678),E6678*F6678,"")</f>
        <v>29.231499999999997</v>
      </c>
      <c r="H6678" s="35">
        <f>SUM(G6678:G6678)</f>
        <v>29.231499999999997</v>
      </c>
      <c r="I6678" s="36"/>
      <c r="J6678" s="125">
        <v>0</v>
      </c>
    </row>
    <row r="6679" spans="1:10" ht="15.75" hidden="1" thickBot="1" x14ac:dyDescent="0.3">
      <c r="A6679" s="236"/>
      <c r="B6679" s="239"/>
      <c r="C6679" s="164"/>
      <c r="D6679" s="50"/>
      <c r="E6679" s="61"/>
      <c r="F6679" s="62" t="s">
        <v>418</v>
      </c>
      <c r="G6679" s="62" t="str">
        <f>IF(ISNUMBER(F6679),E6679*F6679,"")</f>
        <v/>
      </c>
      <c r="H6679" s="64"/>
      <c r="I6679" s="28"/>
      <c r="J6679" s="125">
        <v>0</v>
      </c>
    </row>
    <row r="6680" spans="1:10" ht="15.75" hidden="1" thickBot="1" x14ac:dyDescent="0.3">
      <c r="A6680" s="234" t="s">
        <v>15279</v>
      </c>
      <c r="B6680" s="237" t="s">
        <v>19638</v>
      </c>
      <c r="C6680" s="160"/>
      <c r="D6680" s="23" t="s">
        <v>69</v>
      </c>
      <c r="E6680" s="24"/>
      <c r="F6680" s="37" t="s">
        <v>418</v>
      </c>
      <c r="G6680" s="25" t="str">
        <f>IF(ISNUMBER(F6680),E6680*F6680,"")</f>
        <v/>
      </c>
      <c r="H6680" s="26"/>
      <c r="I6680" s="27"/>
      <c r="J6680" s="125">
        <v>0</v>
      </c>
    </row>
    <row r="6681" spans="1:10" ht="15.75" hidden="1" thickBot="1" x14ac:dyDescent="0.3">
      <c r="A6681" s="235"/>
      <c r="B6681" s="240"/>
      <c r="C6681" s="151"/>
      <c r="D6681" s="29"/>
      <c r="E6681" s="30"/>
      <c r="F6681" s="38" t="s">
        <v>418</v>
      </c>
      <c r="G6681" s="28" t="str">
        <f>IF(ISNUMBER(F6681),E6681*F6681,"")</f>
        <v/>
      </c>
      <c r="H6681" s="32"/>
      <c r="I6681" s="28"/>
      <c r="J6681" s="125">
        <v>0</v>
      </c>
    </row>
    <row r="6682" spans="1:10" ht="26.25" hidden="1" thickBot="1" x14ac:dyDescent="0.3">
      <c r="A6682" s="235"/>
      <c r="B6682" s="240"/>
      <c r="C6682" s="155" t="s">
        <v>823</v>
      </c>
      <c r="D6682" s="155" t="s">
        <v>385</v>
      </c>
      <c r="E6682" s="130">
        <v>1</v>
      </c>
      <c r="F6682" s="28">
        <v>46.265000000000001</v>
      </c>
      <c r="G6682" s="28">
        <f>IF(ISNUMBER(F6682),E6682*F6682,"")</f>
        <v>46.265000000000001</v>
      </c>
      <c r="H6682" s="35">
        <f t="shared" ref="H6682" si="1">SUM(G6682:G6682)</f>
        <v>46.265000000000001</v>
      </c>
      <c r="I6682" s="36"/>
      <c r="J6682" s="125">
        <v>0</v>
      </c>
    </row>
    <row r="6683" spans="1:10" ht="15.75" hidden="1" thickBot="1" x14ac:dyDescent="0.3">
      <c r="A6683" s="236"/>
      <c r="B6683" s="239"/>
      <c r="C6683" s="164"/>
      <c r="D6683" s="50"/>
      <c r="E6683" s="61"/>
      <c r="F6683" s="62" t="s">
        <v>418</v>
      </c>
      <c r="G6683" s="62" t="str">
        <f>IF(ISNUMBER(F6683),E6683*F6683,"")</f>
        <v/>
      </c>
      <c r="H6683" s="64"/>
      <c r="I6683" s="28"/>
      <c r="J6683" s="125">
        <v>0</v>
      </c>
    </row>
    <row r="6684" spans="1:10" ht="15.75" hidden="1" thickBot="1" x14ac:dyDescent="0.3">
      <c r="A6684" s="234" t="s">
        <v>15280</v>
      </c>
      <c r="B6684" s="237" t="s">
        <v>15281</v>
      </c>
      <c r="C6684" s="160"/>
      <c r="D6684" s="23" t="s">
        <v>69</v>
      </c>
      <c r="E6684" s="24"/>
      <c r="F6684" s="37" t="s">
        <v>418</v>
      </c>
      <c r="G6684" s="25" t="str">
        <f>IF(ISNUMBER(F6684),E6684*F6684,"")</f>
        <v/>
      </c>
      <c r="H6684" s="26"/>
      <c r="I6684" s="27"/>
      <c r="J6684" s="125">
        <v>0</v>
      </c>
    </row>
    <row r="6685" spans="1:10" ht="15.75" hidden="1" thickBot="1" x14ac:dyDescent="0.3">
      <c r="A6685" s="235"/>
      <c r="B6685" s="240"/>
      <c r="C6685" s="151"/>
      <c r="D6685" s="29"/>
      <c r="E6685" s="30"/>
      <c r="F6685" s="38" t="s">
        <v>418</v>
      </c>
      <c r="G6685" s="28" t="str">
        <f>IF(ISNUMBER(F6685),E6685*F6685,"")</f>
        <v/>
      </c>
      <c r="H6685" s="32"/>
      <c r="I6685" s="28"/>
      <c r="J6685" s="125">
        <v>0</v>
      </c>
    </row>
    <row r="6686" spans="1:10" ht="26.25" hidden="1" thickBot="1" x14ac:dyDescent="0.3">
      <c r="A6686" s="235"/>
      <c r="B6686" s="240"/>
      <c r="C6686" s="155" t="s">
        <v>827</v>
      </c>
      <c r="D6686" s="155" t="s">
        <v>385</v>
      </c>
      <c r="E6686" s="130">
        <v>1</v>
      </c>
      <c r="F6686" s="28">
        <v>58.709999999999994</v>
      </c>
      <c r="G6686" s="28">
        <f>IF(ISNUMBER(F6686),E6686*F6686,"")</f>
        <v>58.709999999999994</v>
      </c>
      <c r="H6686" s="35">
        <f t="shared" ref="H6686" si="2">SUM(G6686:G6686)</f>
        <v>58.709999999999994</v>
      </c>
      <c r="I6686" s="36"/>
      <c r="J6686" s="125">
        <v>0</v>
      </c>
    </row>
    <row r="6687" spans="1:10" ht="15.75" hidden="1" thickBot="1" x14ac:dyDescent="0.3">
      <c r="A6687" s="236"/>
      <c r="B6687" s="239"/>
      <c r="C6687" s="164"/>
      <c r="D6687" s="50"/>
      <c r="E6687" s="61"/>
      <c r="F6687" s="62" t="s">
        <v>418</v>
      </c>
      <c r="G6687" s="62" t="str">
        <f>IF(ISNUMBER(F6687),E6687*F6687,"")</f>
        <v/>
      </c>
      <c r="H6687" s="64"/>
      <c r="I6687" s="28"/>
      <c r="J6687" s="125">
        <v>0</v>
      </c>
    </row>
    <row r="6688" spans="1:10" ht="15.75" hidden="1" thickBot="1" x14ac:dyDescent="0.3">
      <c r="A6688" s="234" t="s">
        <v>15282</v>
      </c>
      <c r="B6688" s="237" t="s">
        <v>19639</v>
      </c>
      <c r="C6688" s="160"/>
      <c r="D6688" s="23" t="s">
        <v>69</v>
      </c>
      <c r="E6688" s="24"/>
      <c r="F6688" s="37" t="s">
        <v>418</v>
      </c>
      <c r="G6688" s="25" t="str">
        <f>IF(ISNUMBER(F6688),E6688*F6688,"")</f>
        <v/>
      </c>
      <c r="H6688" s="26"/>
      <c r="I6688" s="27"/>
      <c r="J6688" s="125">
        <v>0</v>
      </c>
    </row>
    <row r="6689" spans="1:10" ht="15.75" hidden="1" thickBot="1" x14ac:dyDescent="0.3">
      <c r="A6689" s="235"/>
      <c r="B6689" s="240"/>
      <c r="C6689" s="151"/>
      <c r="D6689" s="29"/>
      <c r="E6689" s="30"/>
      <c r="F6689" s="38" t="s">
        <v>418</v>
      </c>
      <c r="G6689" s="28" t="str">
        <f>IF(ISNUMBER(F6689),E6689*F6689,"")</f>
        <v/>
      </c>
      <c r="H6689" s="32"/>
      <c r="I6689" s="28"/>
      <c r="J6689" s="125">
        <v>0</v>
      </c>
    </row>
    <row r="6690" spans="1:10" ht="26.25" hidden="1" thickBot="1" x14ac:dyDescent="0.3">
      <c r="A6690" s="235"/>
      <c r="B6690" s="240"/>
      <c r="C6690" s="155" t="s">
        <v>829</v>
      </c>
      <c r="D6690" s="155" t="s">
        <v>385</v>
      </c>
      <c r="E6690" s="130">
        <v>1</v>
      </c>
      <c r="F6690" s="28">
        <v>115.14</v>
      </c>
      <c r="G6690" s="28">
        <f>IF(ISNUMBER(F6690),E6690*F6690,"")</f>
        <v>115.14</v>
      </c>
      <c r="H6690" s="35">
        <f t="shared" ref="H6690" si="3">SUM(G6690:G6690)</f>
        <v>115.14</v>
      </c>
      <c r="I6690" s="36"/>
      <c r="J6690" s="125">
        <v>0</v>
      </c>
    </row>
    <row r="6691" spans="1:10" ht="15.75" hidden="1" thickBot="1" x14ac:dyDescent="0.3">
      <c r="A6691" s="236"/>
      <c r="B6691" s="239"/>
      <c r="C6691" s="164"/>
      <c r="D6691" s="50"/>
      <c r="E6691" s="61"/>
      <c r="F6691" s="62" t="s">
        <v>418</v>
      </c>
      <c r="G6691" s="62" t="str">
        <f>IF(ISNUMBER(F6691),E6691*F6691,"")</f>
        <v/>
      </c>
      <c r="H6691" s="64"/>
      <c r="I6691" s="28"/>
      <c r="J6691" s="125">
        <v>0</v>
      </c>
    </row>
    <row r="6692" spans="1:10" ht="15.75" hidden="1" thickBot="1" x14ac:dyDescent="0.3">
      <c r="A6692" s="234" t="s">
        <v>15283</v>
      </c>
      <c r="B6692" s="237" t="s">
        <v>19640</v>
      </c>
      <c r="C6692" s="160"/>
      <c r="D6692" s="23" t="s">
        <v>69</v>
      </c>
      <c r="E6692" s="24"/>
      <c r="F6692" s="37" t="s">
        <v>418</v>
      </c>
      <c r="G6692" s="25" t="str">
        <f>IF(ISNUMBER(F6692),E6692*F6692,"")</f>
        <v/>
      </c>
      <c r="H6692" s="26"/>
      <c r="I6692" s="27"/>
      <c r="J6692" s="125">
        <v>0</v>
      </c>
    </row>
    <row r="6693" spans="1:10" ht="15.75" hidden="1" thickBot="1" x14ac:dyDescent="0.3">
      <c r="A6693" s="235"/>
      <c r="B6693" s="240"/>
      <c r="C6693" s="151"/>
      <c r="D6693" s="29"/>
      <c r="E6693" s="30"/>
      <c r="F6693" s="38" t="s">
        <v>418</v>
      </c>
      <c r="G6693" s="28" t="str">
        <f>IF(ISNUMBER(F6693),E6693*F6693,"")</f>
        <v/>
      </c>
      <c r="H6693" s="32"/>
      <c r="I6693" s="28"/>
      <c r="J6693" s="125">
        <v>0</v>
      </c>
    </row>
    <row r="6694" spans="1:10" ht="26.25" hidden="1" thickBot="1" x14ac:dyDescent="0.3">
      <c r="A6694" s="235"/>
      <c r="B6694" s="240"/>
      <c r="C6694" s="155" t="s">
        <v>28050</v>
      </c>
      <c r="D6694" s="155" t="s">
        <v>385</v>
      </c>
      <c r="E6694" s="130">
        <v>1</v>
      </c>
      <c r="F6694" s="28">
        <v>85.262500000000003</v>
      </c>
      <c r="G6694" s="28">
        <f>IF(ISNUMBER(F6694),E6694*F6694,"")</f>
        <v>85.262500000000003</v>
      </c>
      <c r="H6694" s="35">
        <f t="shared" ref="H6694" si="4">SUM(G6694:G6694)</f>
        <v>85.262500000000003</v>
      </c>
      <c r="I6694" s="36"/>
      <c r="J6694" s="125">
        <v>0</v>
      </c>
    </row>
    <row r="6695" spans="1:10" ht="15.75" hidden="1" thickBot="1" x14ac:dyDescent="0.3">
      <c r="A6695" s="236"/>
      <c r="B6695" s="239"/>
      <c r="C6695" s="164"/>
      <c r="D6695" s="50"/>
      <c r="E6695" s="61"/>
      <c r="F6695" s="62" t="s">
        <v>418</v>
      </c>
      <c r="G6695" s="62" t="str">
        <f>IF(ISNUMBER(F6695),E6695*F6695,"")</f>
        <v/>
      </c>
      <c r="H6695" s="64"/>
      <c r="I6695" s="28"/>
      <c r="J6695" s="125">
        <v>0</v>
      </c>
    </row>
    <row r="6696" spans="1:10" ht="15.75" hidden="1" thickBot="1" x14ac:dyDescent="0.3">
      <c r="A6696" s="234" t="s">
        <v>15284</v>
      </c>
      <c r="B6696" s="237" t="s">
        <v>19641</v>
      </c>
      <c r="C6696" s="160"/>
      <c r="D6696" s="23" t="s">
        <v>69</v>
      </c>
      <c r="E6696" s="24"/>
      <c r="F6696" s="37" t="s">
        <v>418</v>
      </c>
      <c r="G6696" s="25" t="str">
        <f>IF(ISNUMBER(F6696),E6696*F6696,"")</f>
        <v/>
      </c>
      <c r="H6696" s="26"/>
      <c r="I6696" s="27"/>
      <c r="J6696" s="125">
        <v>0</v>
      </c>
    </row>
    <row r="6697" spans="1:10" ht="15.75" hidden="1" thickBot="1" x14ac:dyDescent="0.3">
      <c r="A6697" s="235"/>
      <c r="B6697" s="240"/>
      <c r="C6697" s="151"/>
      <c r="D6697" s="29"/>
      <c r="E6697" s="30"/>
      <c r="F6697" s="38" t="s">
        <v>418</v>
      </c>
      <c r="G6697" s="28" t="str">
        <f>IF(ISNUMBER(F6697),E6697*F6697,"")</f>
        <v/>
      </c>
      <c r="H6697" s="32"/>
      <c r="I6697" s="28"/>
      <c r="J6697" s="125">
        <v>0</v>
      </c>
    </row>
    <row r="6698" spans="1:10" ht="26.25" hidden="1" thickBot="1" x14ac:dyDescent="0.3">
      <c r="A6698" s="235"/>
      <c r="B6698" s="240"/>
      <c r="C6698" s="155" t="s">
        <v>28051</v>
      </c>
      <c r="D6698" s="155" t="s">
        <v>385</v>
      </c>
      <c r="E6698" s="130">
        <v>1</v>
      </c>
      <c r="F6698" s="28">
        <v>166.98150000000001</v>
      </c>
      <c r="G6698" s="28">
        <f>IF(ISNUMBER(F6698),E6698*F6698,"")</f>
        <v>166.98150000000001</v>
      </c>
      <c r="H6698" s="35">
        <f t="shared" ref="H6698" si="5">SUM(G6698:G6698)</f>
        <v>166.98150000000001</v>
      </c>
      <c r="I6698" s="36"/>
      <c r="J6698" s="125">
        <v>0</v>
      </c>
    </row>
    <row r="6699" spans="1:10" ht="15.75" hidden="1" thickBot="1" x14ac:dyDescent="0.3">
      <c r="A6699" s="236"/>
      <c r="B6699" s="239"/>
      <c r="C6699" s="164"/>
      <c r="D6699" s="50"/>
      <c r="E6699" s="61"/>
      <c r="F6699" s="62" t="s">
        <v>418</v>
      </c>
      <c r="G6699" s="62" t="str">
        <f>IF(ISNUMBER(F6699),E6699*F6699,"")</f>
        <v/>
      </c>
      <c r="H6699" s="64"/>
      <c r="I6699" s="28"/>
      <c r="J6699" s="125">
        <v>0</v>
      </c>
    </row>
    <row r="6700" spans="1:10" ht="15.75" hidden="1" thickBot="1" x14ac:dyDescent="0.3">
      <c r="A6700" s="234" t="s">
        <v>15285</v>
      </c>
      <c r="B6700" s="237" t="s">
        <v>19642</v>
      </c>
      <c r="C6700" s="160"/>
      <c r="D6700" s="23" t="s">
        <v>69</v>
      </c>
      <c r="E6700" s="24"/>
      <c r="F6700" s="37" t="s">
        <v>418</v>
      </c>
      <c r="G6700" s="25" t="str">
        <f>IF(ISNUMBER(F6700),E6700*F6700,"")</f>
        <v/>
      </c>
      <c r="H6700" s="26"/>
      <c r="I6700" s="27"/>
      <c r="J6700" s="125">
        <v>0</v>
      </c>
    </row>
    <row r="6701" spans="1:10" ht="15.75" hidden="1" thickBot="1" x14ac:dyDescent="0.3">
      <c r="A6701" s="235"/>
      <c r="B6701" s="240"/>
      <c r="C6701" s="151"/>
      <c r="D6701" s="29"/>
      <c r="E6701" s="30"/>
      <c r="F6701" s="38" t="s">
        <v>418</v>
      </c>
      <c r="G6701" s="28" t="str">
        <f>IF(ISNUMBER(F6701),E6701*F6701,"")</f>
        <v/>
      </c>
      <c r="H6701" s="32"/>
      <c r="I6701" s="28"/>
      <c r="J6701" s="125">
        <v>0</v>
      </c>
    </row>
    <row r="6702" spans="1:10" ht="26.25" hidden="1" thickBot="1" x14ac:dyDescent="0.3">
      <c r="A6702" s="235"/>
      <c r="B6702" s="240"/>
      <c r="C6702" s="155" t="s">
        <v>28052</v>
      </c>
      <c r="D6702" s="155" t="s">
        <v>385</v>
      </c>
      <c r="E6702" s="130">
        <v>1</v>
      </c>
      <c r="F6702" s="28">
        <v>235.24849999999998</v>
      </c>
      <c r="G6702" s="28">
        <f>IF(ISNUMBER(F6702),E6702*F6702,"")</f>
        <v>235.24849999999998</v>
      </c>
      <c r="H6702" s="35">
        <f t="shared" ref="H6702" si="6">SUM(G6702:G6702)</f>
        <v>235.24849999999998</v>
      </c>
      <c r="I6702" s="36"/>
      <c r="J6702" s="125">
        <v>0</v>
      </c>
    </row>
    <row r="6703" spans="1:10" ht="15.75" hidden="1" thickBot="1" x14ac:dyDescent="0.3">
      <c r="A6703" s="236"/>
      <c r="B6703" s="239"/>
      <c r="C6703" s="164"/>
      <c r="D6703" s="50"/>
      <c r="E6703" s="61"/>
      <c r="F6703" s="62" t="s">
        <v>418</v>
      </c>
      <c r="G6703" s="62" t="str">
        <f>IF(ISNUMBER(F6703),E6703*F6703,"")</f>
        <v/>
      </c>
      <c r="H6703" s="64"/>
      <c r="I6703" s="28"/>
      <c r="J6703" s="125">
        <v>0</v>
      </c>
    </row>
    <row r="6704" spans="1:10" ht="15.75" hidden="1" thickBot="1" x14ac:dyDescent="0.3">
      <c r="A6704" s="234" t="s">
        <v>15286</v>
      </c>
      <c r="B6704" s="237" t="s">
        <v>19643</v>
      </c>
      <c r="C6704" s="160"/>
      <c r="D6704" s="23" t="s">
        <v>69</v>
      </c>
      <c r="E6704" s="24"/>
      <c r="F6704" s="37" t="s">
        <v>418</v>
      </c>
      <c r="G6704" s="25" t="str">
        <f>IF(ISNUMBER(F6704),E6704*F6704,"")</f>
        <v/>
      </c>
      <c r="H6704" s="26"/>
      <c r="I6704" s="27"/>
      <c r="J6704" s="125">
        <v>0</v>
      </c>
    </row>
    <row r="6705" spans="1:10" ht="15.75" hidden="1" thickBot="1" x14ac:dyDescent="0.3">
      <c r="A6705" s="235"/>
      <c r="B6705" s="240"/>
      <c r="C6705" s="151"/>
      <c r="D6705" s="29"/>
      <c r="E6705" s="30"/>
      <c r="F6705" s="38" t="s">
        <v>418</v>
      </c>
      <c r="G6705" s="28" t="str">
        <f>IF(ISNUMBER(F6705),E6705*F6705,"")</f>
        <v/>
      </c>
      <c r="H6705" s="32"/>
      <c r="I6705" s="28"/>
      <c r="J6705" s="125">
        <v>0</v>
      </c>
    </row>
    <row r="6706" spans="1:10" ht="26.25" hidden="1" thickBot="1" x14ac:dyDescent="0.3">
      <c r="A6706" s="235"/>
      <c r="B6706" s="240"/>
      <c r="C6706" s="155" t="s">
        <v>28053</v>
      </c>
      <c r="D6706" s="155" t="s">
        <v>385</v>
      </c>
      <c r="E6706" s="130">
        <v>1</v>
      </c>
      <c r="F6706" s="28">
        <v>343.9</v>
      </c>
      <c r="G6706" s="28">
        <f>IF(ISNUMBER(F6706),E6706*F6706,"")</f>
        <v>343.9</v>
      </c>
      <c r="H6706" s="35">
        <f t="shared" ref="H6706" si="7">SUM(G6706:G6706)</f>
        <v>343.9</v>
      </c>
      <c r="I6706" s="36"/>
      <c r="J6706" s="125">
        <v>0</v>
      </c>
    </row>
    <row r="6707" spans="1:10" ht="15.75" hidden="1" thickBot="1" x14ac:dyDescent="0.3">
      <c r="A6707" s="236"/>
      <c r="B6707" s="239"/>
      <c r="C6707" s="164"/>
      <c r="D6707" s="50"/>
      <c r="E6707" s="61"/>
      <c r="F6707" s="62" t="s">
        <v>418</v>
      </c>
      <c r="G6707" s="62" t="str">
        <f>IF(ISNUMBER(F6707),E6707*F6707,"")</f>
        <v/>
      </c>
      <c r="H6707" s="64"/>
      <c r="I6707" s="28"/>
      <c r="J6707" s="125">
        <v>0</v>
      </c>
    </row>
    <row r="6708" spans="1:10" ht="15.75" hidden="1" thickBot="1" x14ac:dyDescent="0.3">
      <c r="A6708" s="234" t="s">
        <v>15287</v>
      </c>
      <c r="B6708" s="237" t="s">
        <v>19644</v>
      </c>
      <c r="C6708" s="160"/>
      <c r="D6708" s="23" t="s">
        <v>69</v>
      </c>
      <c r="E6708" s="24"/>
      <c r="F6708" s="37" t="s">
        <v>418</v>
      </c>
      <c r="G6708" s="25" t="str">
        <f>IF(ISNUMBER(F6708),E6708*F6708,"")</f>
        <v/>
      </c>
      <c r="H6708" s="26"/>
      <c r="I6708" s="27"/>
      <c r="J6708" s="125">
        <v>0</v>
      </c>
    </row>
    <row r="6709" spans="1:10" ht="15.75" hidden="1" thickBot="1" x14ac:dyDescent="0.3">
      <c r="A6709" s="235"/>
      <c r="B6709" s="240"/>
      <c r="C6709" s="151"/>
      <c r="D6709" s="29"/>
      <c r="E6709" s="30"/>
      <c r="F6709" s="38" t="s">
        <v>418</v>
      </c>
      <c r="G6709" s="28" t="str">
        <f>IF(ISNUMBER(F6709),E6709*F6709,"")</f>
        <v/>
      </c>
      <c r="H6709" s="32"/>
      <c r="I6709" s="28"/>
      <c r="J6709" s="125">
        <v>0</v>
      </c>
    </row>
    <row r="6710" spans="1:10" ht="26.25" hidden="1" thickBot="1" x14ac:dyDescent="0.3">
      <c r="A6710" s="235"/>
      <c r="B6710" s="240"/>
      <c r="C6710" s="155" t="s">
        <v>28048</v>
      </c>
      <c r="D6710" s="155" t="s">
        <v>385</v>
      </c>
      <c r="E6710" s="130">
        <v>1</v>
      </c>
      <c r="F6710" s="28">
        <v>507.09099999999995</v>
      </c>
      <c r="G6710" s="28">
        <f>IF(ISNUMBER(F6710),E6710*F6710,"")</f>
        <v>507.09099999999995</v>
      </c>
      <c r="H6710" s="35">
        <f t="shared" ref="H6710" si="8">SUM(G6710:G6710)</f>
        <v>507.09099999999995</v>
      </c>
      <c r="I6710" s="36"/>
      <c r="J6710" s="125">
        <v>0</v>
      </c>
    </row>
    <row r="6711" spans="1:10" ht="15.75" hidden="1" thickBot="1" x14ac:dyDescent="0.3">
      <c r="A6711" s="236"/>
      <c r="B6711" s="239"/>
      <c r="C6711" s="164"/>
      <c r="D6711" s="50"/>
      <c r="E6711" s="61"/>
      <c r="F6711" s="62" t="s">
        <v>418</v>
      </c>
      <c r="G6711" s="62" t="str">
        <f>IF(ISNUMBER(F6711),E6711*F6711,"")</f>
        <v/>
      </c>
      <c r="H6711" s="64"/>
      <c r="I6711" s="28"/>
      <c r="J6711" s="125">
        <v>0</v>
      </c>
    </row>
    <row r="6712" spans="1:10" ht="15.75" hidden="1" thickBot="1" x14ac:dyDescent="0.3">
      <c r="A6712" s="234" t="s">
        <v>15288</v>
      </c>
      <c r="B6712" s="237" t="s">
        <v>15289</v>
      </c>
      <c r="C6712" s="160"/>
      <c r="D6712" s="23" t="s">
        <v>69</v>
      </c>
      <c r="E6712" s="24"/>
      <c r="F6712" s="37" t="s">
        <v>418</v>
      </c>
      <c r="G6712" s="25" t="str">
        <f>IF(ISNUMBER(F6712),E6712*F6712,"")</f>
        <v/>
      </c>
      <c r="H6712" s="26"/>
      <c r="I6712" s="27"/>
      <c r="J6712" s="125">
        <v>0</v>
      </c>
    </row>
    <row r="6713" spans="1:10" ht="15.75" hidden="1" thickBot="1" x14ac:dyDescent="0.3">
      <c r="A6713" s="235"/>
      <c r="B6713" s="240"/>
      <c r="C6713" s="151"/>
      <c r="D6713" s="29"/>
      <c r="E6713" s="30"/>
      <c r="F6713" s="38" t="s">
        <v>418</v>
      </c>
      <c r="G6713" s="28" t="str">
        <f>IF(ISNUMBER(F6713),E6713*F6713,"")</f>
        <v/>
      </c>
      <c r="H6713" s="32"/>
      <c r="I6713" s="28"/>
      <c r="J6713" s="125">
        <v>0</v>
      </c>
    </row>
    <row r="6714" spans="1:10" ht="15.75" hidden="1" thickBot="1" x14ac:dyDescent="0.3">
      <c r="A6714" s="235"/>
      <c r="B6714" s="240"/>
      <c r="C6714" s="155" t="s">
        <v>10291</v>
      </c>
      <c r="D6714" s="155" t="s">
        <v>385</v>
      </c>
      <c r="E6714" s="130">
        <v>1</v>
      </c>
      <c r="F6714" s="28">
        <v>21.204000000000001</v>
      </c>
      <c r="G6714" s="28">
        <f>IF(ISNUMBER(F6714),E6714*F6714,"")</f>
        <v>21.204000000000001</v>
      </c>
      <c r="H6714" s="35">
        <f t="shared" ref="H6714" si="9">SUM(G6714:G6714)</f>
        <v>21.204000000000001</v>
      </c>
      <c r="I6714" s="36"/>
      <c r="J6714" s="125">
        <v>0</v>
      </c>
    </row>
    <row r="6715" spans="1:10" ht="15.75" hidden="1" thickBot="1" x14ac:dyDescent="0.3">
      <c r="A6715" s="236"/>
      <c r="B6715" s="239"/>
      <c r="C6715" s="164"/>
      <c r="D6715" s="50"/>
      <c r="E6715" s="61"/>
      <c r="F6715" s="62" t="s">
        <v>418</v>
      </c>
      <c r="G6715" s="62" t="str">
        <f>IF(ISNUMBER(F6715),E6715*F6715,"")</f>
        <v/>
      </c>
      <c r="H6715" s="64"/>
      <c r="I6715" s="28"/>
      <c r="J6715" s="125">
        <v>0</v>
      </c>
    </row>
    <row r="6716" spans="1:10" ht="15.75" hidden="1" thickBot="1" x14ac:dyDescent="0.3">
      <c r="A6716" s="234" t="s">
        <v>15290</v>
      </c>
      <c r="B6716" s="237" t="s">
        <v>15291</v>
      </c>
      <c r="C6716" s="160"/>
      <c r="D6716" s="23" t="s">
        <v>69</v>
      </c>
      <c r="E6716" s="24"/>
      <c r="F6716" s="37" t="s">
        <v>418</v>
      </c>
      <c r="G6716" s="25" t="str">
        <f>IF(ISNUMBER(F6716),E6716*F6716,"")</f>
        <v/>
      </c>
      <c r="H6716" s="26"/>
      <c r="I6716" s="27"/>
      <c r="J6716" s="125">
        <v>0</v>
      </c>
    </row>
    <row r="6717" spans="1:10" ht="15.75" hidden="1" thickBot="1" x14ac:dyDescent="0.3">
      <c r="A6717" s="235"/>
      <c r="B6717" s="240"/>
      <c r="C6717" s="151"/>
      <c r="D6717" s="29"/>
      <c r="E6717" s="30"/>
      <c r="F6717" s="38" t="s">
        <v>418</v>
      </c>
      <c r="G6717" s="28" t="str">
        <f>IF(ISNUMBER(F6717),E6717*F6717,"")</f>
        <v/>
      </c>
      <c r="H6717" s="32"/>
      <c r="I6717" s="28"/>
      <c r="J6717" s="125">
        <v>0</v>
      </c>
    </row>
    <row r="6718" spans="1:10" ht="15.75" hidden="1" thickBot="1" x14ac:dyDescent="0.3">
      <c r="A6718" s="235"/>
      <c r="B6718" s="240"/>
      <c r="C6718" s="155" t="s">
        <v>10292</v>
      </c>
      <c r="D6718" s="155" t="s">
        <v>385</v>
      </c>
      <c r="E6718" s="130">
        <v>1</v>
      </c>
      <c r="F6718" s="28">
        <v>36.517999999999994</v>
      </c>
      <c r="G6718" s="28">
        <f>IF(ISNUMBER(F6718),E6718*F6718,"")</f>
        <v>36.517999999999994</v>
      </c>
      <c r="H6718" s="35">
        <f t="shared" ref="H6718" si="10">SUM(G6718:G6718)</f>
        <v>36.517999999999994</v>
      </c>
      <c r="I6718" s="36"/>
      <c r="J6718" s="125">
        <v>0</v>
      </c>
    </row>
    <row r="6719" spans="1:10" ht="15.75" hidden="1" thickBot="1" x14ac:dyDescent="0.3">
      <c r="A6719" s="236"/>
      <c r="B6719" s="239"/>
      <c r="C6719" s="164"/>
      <c r="D6719" s="50"/>
      <c r="E6719" s="61"/>
      <c r="F6719" s="62" t="s">
        <v>418</v>
      </c>
      <c r="G6719" s="62" t="str">
        <f>IF(ISNUMBER(F6719),E6719*F6719,"")</f>
        <v/>
      </c>
      <c r="H6719" s="64"/>
      <c r="I6719" s="28"/>
      <c r="J6719" s="125">
        <v>0</v>
      </c>
    </row>
    <row r="6720" spans="1:10" ht="15.75" hidden="1" thickBot="1" x14ac:dyDescent="0.3">
      <c r="A6720" s="234" t="s">
        <v>15292</v>
      </c>
      <c r="B6720" s="237" t="s">
        <v>15293</v>
      </c>
      <c r="C6720" s="160"/>
      <c r="D6720" s="23" t="s">
        <v>69</v>
      </c>
      <c r="E6720" s="24"/>
      <c r="F6720" s="37" t="s">
        <v>418</v>
      </c>
      <c r="G6720" s="25" t="str">
        <f>IF(ISNUMBER(F6720),E6720*F6720,"")</f>
        <v/>
      </c>
      <c r="H6720" s="26"/>
      <c r="I6720" s="27"/>
      <c r="J6720" s="125">
        <v>0</v>
      </c>
    </row>
    <row r="6721" spans="1:10" ht="15.75" hidden="1" thickBot="1" x14ac:dyDescent="0.3">
      <c r="A6721" s="235"/>
      <c r="B6721" s="240"/>
      <c r="C6721" s="151"/>
      <c r="D6721" s="29"/>
      <c r="E6721" s="30"/>
      <c r="F6721" s="38" t="s">
        <v>418</v>
      </c>
      <c r="G6721" s="28" t="str">
        <f>IF(ISNUMBER(F6721),E6721*F6721,"")</f>
        <v/>
      </c>
      <c r="H6721" s="32"/>
      <c r="I6721" s="28"/>
      <c r="J6721" s="125">
        <v>0</v>
      </c>
    </row>
    <row r="6722" spans="1:10" ht="26.25" hidden="1" thickBot="1" x14ac:dyDescent="0.3">
      <c r="A6722" s="235"/>
      <c r="B6722" s="240"/>
      <c r="C6722" s="155" t="s">
        <v>38847</v>
      </c>
      <c r="D6722" s="155" t="s">
        <v>385</v>
      </c>
      <c r="E6722" s="130">
        <v>1</v>
      </c>
      <c r="F6722" s="28">
        <v>43.396000000000001</v>
      </c>
      <c r="G6722" s="28">
        <f>IF(ISNUMBER(F6722),E6722*F6722,"")</f>
        <v>43.396000000000001</v>
      </c>
      <c r="H6722" s="35">
        <f t="shared" ref="H6722" si="11">SUM(G6722:G6722)</f>
        <v>43.396000000000001</v>
      </c>
      <c r="I6722" s="36"/>
      <c r="J6722" s="125">
        <v>0</v>
      </c>
    </row>
    <row r="6723" spans="1:10" ht="15.75" hidden="1" thickBot="1" x14ac:dyDescent="0.3">
      <c r="A6723" s="236"/>
      <c r="B6723" s="239"/>
      <c r="C6723" s="164"/>
      <c r="D6723" s="50"/>
      <c r="E6723" s="61"/>
      <c r="F6723" s="62" t="s">
        <v>418</v>
      </c>
      <c r="G6723" s="62" t="str">
        <f>IF(ISNUMBER(F6723),E6723*F6723,"")</f>
        <v/>
      </c>
      <c r="H6723" s="64"/>
      <c r="I6723" s="28"/>
      <c r="J6723" s="125">
        <v>0</v>
      </c>
    </row>
    <row r="6724" spans="1:10" ht="15.75" hidden="1" thickBot="1" x14ac:dyDescent="0.3">
      <c r="A6724" s="234" t="s">
        <v>15294</v>
      </c>
      <c r="B6724" s="237" t="s">
        <v>15295</v>
      </c>
      <c r="C6724" s="160"/>
      <c r="D6724" s="23" t="s">
        <v>69</v>
      </c>
      <c r="E6724" s="24"/>
      <c r="F6724" s="37" t="s">
        <v>418</v>
      </c>
      <c r="G6724" s="25" t="str">
        <f>IF(ISNUMBER(F6724),E6724*F6724,"")</f>
        <v/>
      </c>
      <c r="H6724" s="26"/>
      <c r="I6724" s="27"/>
      <c r="J6724" s="125">
        <v>0</v>
      </c>
    </row>
    <row r="6725" spans="1:10" ht="15.75" hidden="1" thickBot="1" x14ac:dyDescent="0.3">
      <c r="A6725" s="235"/>
      <c r="B6725" s="240"/>
      <c r="C6725" s="151"/>
      <c r="D6725" s="29"/>
      <c r="E6725" s="30"/>
      <c r="F6725" s="38" t="s">
        <v>418</v>
      </c>
      <c r="G6725" s="28" t="str">
        <f>IF(ISNUMBER(F6725),E6725*F6725,"")</f>
        <v/>
      </c>
      <c r="H6725" s="32"/>
      <c r="I6725" s="28"/>
      <c r="J6725" s="125">
        <v>0</v>
      </c>
    </row>
    <row r="6726" spans="1:10" ht="26.25" hidden="1" thickBot="1" x14ac:dyDescent="0.3">
      <c r="A6726" s="235"/>
      <c r="B6726" s="240"/>
      <c r="C6726" s="155" t="s">
        <v>38848</v>
      </c>
      <c r="D6726" s="155" t="s">
        <v>385</v>
      </c>
      <c r="E6726" s="130">
        <v>1</v>
      </c>
      <c r="F6726" s="28">
        <v>17.0335</v>
      </c>
      <c r="G6726" s="28">
        <f>IF(ISNUMBER(F6726),E6726*F6726,"")</f>
        <v>17.0335</v>
      </c>
      <c r="H6726" s="35">
        <f t="shared" ref="H6726" si="12">SUM(G6726:G6726)</f>
        <v>17.0335</v>
      </c>
      <c r="I6726" s="36"/>
      <c r="J6726" s="125">
        <v>0</v>
      </c>
    </row>
    <row r="6727" spans="1:10" ht="15.75" hidden="1" thickBot="1" x14ac:dyDescent="0.3">
      <c r="A6727" s="236"/>
      <c r="B6727" s="239"/>
      <c r="C6727" s="164"/>
      <c r="D6727" s="50"/>
      <c r="E6727" s="61"/>
      <c r="F6727" s="62" t="s">
        <v>418</v>
      </c>
      <c r="G6727" s="62" t="str">
        <f>IF(ISNUMBER(F6727),E6727*F6727,"")</f>
        <v/>
      </c>
      <c r="H6727" s="64"/>
      <c r="I6727" s="28"/>
      <c r="J6727" s="125">
        <v>0</v>
      </c>
    </row>
    <row r="6728" spans="1:10" ht="15.75" hidden="1" thickBot="1" x14ac:dyDescent="0.3">
      <c r="A6728" s="234" t="s">
        <v>15296</v>
      </c>
      <c r="B6728" s="237" t="s">
        <v>15297</v>
      </c>
      <c r="C6728" s="160"/>
      <c r="D6728" s="23" t="s">
        <v>69</v>
      </c>
      <c r="E6728" s="24"/>
      <c r="F6728" s="37" t="s">
        <v>418</v>
      </c>
      <c r="G6728" s="25" t="str">
        <f>IF(ISNUMBER(F6728),E6728*F6728,"")</f>
        <v/>
      </c>
      <c r="H6728" s="26"/>
      <c r="I6728" s="27"/>
      <c r="J6728" s="125">
        <v>0</v>
      </c>
    </row>
    <row r="6729" spans="1:10" ht="15.75" hidden="1" thickBot="1" x14ac:dyDescent="0.3">
      <c r="A6729" s="235"/>
      <c r="B6729" s="240"/>
      <c r="C6729" s="151"/>
      <c r="D6729" s="29"/>
      <c r="E6729" s="30"/>
      <c r="F6729" s="38" t="s">
        <v>418</v>
      </c>
      <c r="G6729" s="28" t="str">
        <f>IF(ISNUMBER(F6729),E6729*F6729,"")</f>
        <v/>
      </c>
      <c r="H6729" s="32"/>
      <c r="I6729" s="28"/>
      <c r="J6729" s="125">
        <v>0</v>
      </c>
    </row>
    <row r="6730" spans="1:10" ht="26.25" hidden="1" thickBot="1" x14ac:dyDescent="0.3">
      <c r="A6730" s="235"/>
      <c r="B6730" s="240"/>
      <c r="C6730" s="155" t="s">
        <v>38849</v>
      </c>
      <c r="D6730" s="155" t="s">
        <v>385</v>
      </c>
      <c r="E6730" s="130">
        <v>1</v>
      </c>
      <c r="F6730" s="28">
        <v>22.172999999999998</v>
      </c>
      <c r="G6730" s="28">
        <f>IF(ISNUMBER(F6730),E6730*F6730,"")</f>
        <v>22.172999999999998</v>
      </c>
      <c r="H6730" s="35">
        <f t="shared" ref="H6730" si="13">SUM(G6730:G6730)</f>
        <v>22.172999999999998</v>
      </c>
      <c r="I6730" s="36"/>
      <c r="J6730" s="125">
        <v>0</v>
      </c>
    </row>
    <row r="6731" spans="1:10" ht="15.75" hidden="1" thickBot="1" x14ac:dyDescent="0.3">
      <c r="A6731" s="236"/>
      <c r="B6731" s="239"/>
      <c r="C6731" s="164"/>
      <c r="D6731" s="50"/>
      <c r="E6731" s="61"/>
      <c r="F6731" s="62" t="s">
        <v>418</v>
      </c>
      <c r="G6731" s="62" t="str">
        <f>IF(ISNUMBER(F6731),E6731*F6731,"")</f>
        <v/>
      </c>
      <c r="H6731" s="64"/>
      <c r="I6731" s="28"/>
      <c r="J6731" s="125">
        <v>0</v>
      </c>
    </row>
    <row r="6732" spans="1:10" ht="15.75" hidden="1" thickBot="1" x14ac:dyDescent="0.3">
      <c r="A6732" s="234" t="s">
        <v>15298</v>
      </c>
      <c r="B6732" s="237" t="s">
        <v>15299</v>
      </c>
      <c r="C6732" s="160"/>
      <c r="D6732" s="23" t="s">
        <v>69</v>
      </c>
      <c r="E6732" s="24"/>
      <c r="F6732" s="37" t="s">
        <v>418</v>
      </c>
      <c r="G6732" s="25" t="str">
        <f>IF(ISNUMBER(F6732),E6732*F6732,"")</f>
        <v/>
      </c>
      <c r="H6732" s="26"/>
      <c r="I6732" s="27"/>
      <c r="J6732" s="125">
        <v>0</v>
      </c>
    </row>
    <row r="6733" spans="1:10" ht="15.75" hidden="1" thickBot="1" x14ac:dyDescent="0.3">
      <c r="A6733" s="235"/>
      <c r="B6733" s="240"/>
      <c r="C6733" s="151"/>
      <c r="D6733" s="29"/>
      <c r="E6733" s="30"/>
      <c r="F6733" s="38" t="s">
        <v>418</v>
      </c>
      <c r="G6733" s="28" t="str">
        <f>IF(ISNUMBER(F6733),E6733*F6733,"")</f>
        <v/>
      </c>
      <c r="H6733" s="32"/>
      <c r="I6733" s="28"/>
      <c r="J6733" s="125">
        <v>0</v>
      </c>
    </row>
    <row r="6734" spans="1:10" ht="26.25" hidden="1" thickBot="1" x14ac:dyDescent="0.3">
      <c r="A6734" s="235"/>
      <c r="B6734" s="240"/>
      <c r="C6734" s="155" t="s">
        <v>38850</v>
      </c>
      <c r="D6734" s="155" t="s">
        <v>385</v>
      </c>
      <c r="E6734" s="130">
        <v>1</v>
      </c>
      <c r="F6734" s="28">
        <v>29.773</v>
      </c>
      <c r="G6734" s="28">
        <f>IF(ISNUMBER(F6734),E6734*F6734,"")</f>
        <v>29.773</v>
      </c>
      <c r="H6734" s="35">
        <f t="shared" ref="H6734" si="14">SUM(G6734:G6734)</f>
        <v>29.773</v>
      </c>
      <c r="I6734" s="36"/>
      <c r="J6734" s="125">
        <v>0</v>
      </c>
    </row>
    <row r="6735" spans="1:10" ht="15.75" hidden="1" thickBot="1" x14ac:dyDescent="0.3">
      <c r="A6735" s="236"/>
      <c r="B6735" s="239"/>
      <c r="C6735" s="164"/>
      <c r="D6735" s="50"/>
      <c r="E6735" s="61"/>
      <c r="F6735" s="62" t="s">
        <v>418</v>
      </c>
      <c r="G6735" s="62" t="str">
        <f>IF(ISNUMBER(F6735),E6735*F6735,"")</f>
        <v/>
      </c>
      <c r="H6735" s="64"/>
      <c r="I6735" s="28"/>
      <c r="J6735" s="125">
        <v>0</v>
      </c>
    </row>
    <row r="6736" spans="1:10" ht="15.75" hidden="1" thickBot="1" x14ac:dyDescent="0.3">
      <c r="A6736" s="234" t="s">
        <v>15300</v>
      </c>
      <c r="B6736" s="237" t="s">
        <v>15301</v>
      </c>
      <c r="C6736" s="160"/>
      <c r="D6736" s="23" t="s">
        <v>69</v>
      </c>
      <c r="E6736" s="24"/>
      <c r="F6736" s="37" t="s">
        <v>418</v>
      </c>
      <c r="G6736" s="25" t="str">
        <f>IF(ISNUMBER(F6736),E6736*F6736,"")</f>
        <v/>
      </c>
      <c r="H6736" s="26"/>
      <c r="I6736" s="27"/>
      <c r="J6736" s="125">
        <v>0</v>
      </c>
    </row>
    <row r="6737" spans="1:10" ht="15.75" hidden="1" thickBot="1" x14ac:dyDescent="0.3">
      <c r="A6737" s="235"/>
      <c r="B6737" s="240"/>
      <c r="C6737" s="151"/>
      <c r="D6737" s="29"/>
      <c r="E6737" s="30"/>
      <c r="F6737" s="38" t="s">
        <v>418</v>
      </c>
      <c r="G6737" s="28" t="str">
        <f>IF(ISNUMBER(F6737),E6737*F6737,"")</f>
        <v/>
      </c>
      <c r="H6737" s="32"/>
      <c r="I6737" s="28"/>
      <c r="J6737" s="125">
        <v>0</v>
      </c>
    </row>
    <row r="6738" spans="1:10" ht="26.25" hidden="1" thickBot="1" x14ac:dyDescent="0.3">
      <c r="A6738" s="235"/>
      <c r="B6738" s="240"/>
      <c r="C6738" s="155" t="s">
        <v>38851</v>
      </c>
      <c r="D6738" s="155" t="s">
        <v>385</v>
      </c>
      <c r="E6738" s="130">
        <v>1</v>
      </c>
      <c r="F6738" s="28">
        <v>62.576500000000003</v>
      </c>
      <c r="G6738" s="28">
        <f>IF(ISNUMBER(F6738),E6738*F6738,"")</f>
        <v>62.576500000000003</v>
      </c>
      <c r="H6738" s="35">
        <f t="shared" ref="H6738" si="15">SUM(G6738:G6738)</f>
        <v>62.576500000000003</v>
      </c>
      <c r="I6738" s="36"/>
      <c r="J6738" s="125">
        <v>0</v>
      </c>
    </row>
    <row r="6739" spans="1:10" ht="15.75" hidden="1" thickBot="1" x14ac:dyDescent="0.3">
      <c r="A6739" s="236"/>
      <c r="B6739" s="239"/>
      <c r="C6739" s="164"/>
      <c r="D6739" s="50"/>
      <c r="E6739" s="61"/>
      <c r="F6739" s="62" t="s">
        <v>418</v>
      </c>
      <c r="G6739" s="62" t="str">
        <f>IF(ISNUMBER(F6739),E6739*F6739,"")</f>
        <v/>
      </c>
      <c r="H6739" s="64"/>
      <c r="I6739" s="28"/>
      <c r="J6739" s="125">
        <v>0</v>
      </c>
    </row>
    <row r="6740" spans="1:10" ht="15.75" hidden="1" thickBot="1" x14ac:dyDescent="0.3">
      <c r="A6740" s="234" t="s">
        <v>15302</v>
      </c>
      <c r="B6740" s="237" t="s">
        <v>15303</v>
      </c>
      <c r="C6740" s="160"/>
      <c r="D6740" s="23" t="s">
        <v>69</v>
      </c>
      <c r="E6740" s="24"/>
      <c r="F6740" s="37" t="s">
        <v>418</v>
      </c>
      <c r="G6740" s="25" t="str">
        <f>IF(ISNUMBER(F6740),E6740*F6740,"")</f>
        <v/>
      </c>
      <c r="H6740" s="26"/>
      <c r="I6740" s="27"/>
      <c r="J6740" s="125">
        <v>0</v>
      </c>
    </row>
    <row r="6741" spans="1:10" ht="15.75" hidden="1" thickBot="1" x14ac:dyDescent="0.3">
      <c r="A6741" s="235"/>
      <c r="B6741" s="240"/>
      <c r="C6741" s="151"/>
      <c r="D6741" s="29"/>
      <c r="E6741" s="30"/>
      <c r="F6741" s="38" t="s">
        <v>418</v>
      </c>
      <c r="G6741" s="28" t="str">
        <f>IF(ISNUMBER(F6741),E6741*F6741,"")</f>
        <v/>
      </c>
      <c r="H6741" s="32"/>
      <c r="I6741" s="28"/>
      <c r="J6741" s="125">
        <v>0</v>
      </c>
    </row>
    <row r="6742" spans="1:10" ht="26.25" hidden="1" thickBot="1" x14ac:dyDescent="0.3">
      <c r="A6742" s="235"/>
      <c r="B6742" s="240"/>
      <c r="C6742" s="155" t="s">
        <v>38852</v>
      </c>
      <c r="D6742" s="155" t="s">
        <v>385</v>
      </c>
      <c r="E6742" s="130">
        <v>1</v>
      </c>
      <c r="F6742" s="28">
        <v>87.551999999999992</v>
      </c>
      <c r="G6742" s="28">
        <f>IF(ISNUMBER(F6742),E6742*F6742,"")</f>
        <v>87.551999999999992</v>
      </c>
      <c r="H6742" s="35">
        <f t="shared" ref="H6742" si="16">SUM(G6742:G6742)</f>
        <v>87.551999999999992</v>
      </c>
      <c r="I6742" s="36"/>
      <c r="J6742" s="125">
        <v>0</v>
      </c>
    </row>
    <row r="6743" spans="1:10" ht="15.75" hidden="1" thickBot="1" x14ac:dyDescent="0.3">
      <c r="A6743" s="236"/>
      <c r="B6743" s="239"/>
      <c r="C6743" s="164"/>
      <c r="D6743" s="50"/>
      <c r="E6743" s="61"/>
      <c r="F6743" s="62" t="s">
        <v>418</v>
      </c>
      <c r="G6743" s="62" t="str">
        <f>IF(ISNUMBER(F6743),E6743*F6743,"")</f>
        <v/>
      </c>
      <c r="H6743" s="64"/>
      <c r="I6743" s="28"/>
      <c r="J6743" s="125">
        <v>0</v>
      </c>
    </row>
    <row r="6744" spans="1:10" ht="15.75" hidden="1" thickBot="1" x14ac:dyDescent="0.3">
      <c r="A6744" s="234" t="s">
        <v>15304</v>
      </c>
      <c r="B6744" s="237" t="s">
        <v>15305</v>
      </c>
      <c r="C6744" s="160"/>
      <c r="D6744" s="23" t="s">
        <v>69</v>
      </c>
      <c r="E6744" s="24"/>
      <c r="F6744" s="37" t="s">
        <v>418</v>
      </c>
      <c r="G6744" s="25" t="str">
        <f>IF(ISNUMBER(F6744),E6744*F6744,"")</f>
        <v/>
      </c>
      <c r="H6744" s="26"/>
      <c r="I6744" s="27"/>
      <c r="J6744" s="125">
        <v>0</v>
      </c>
    </row>
    <row r="6745" spans="1:10" ht="15.75" hidden="1" thickBot="1" x14ac:dyDescent="0.3">
      <c r="A6745" s="235"/>
      <c r="B6745" s="240"/>
      <c r="C6745" s="151"/>
      <c r="D6745" s="29"/>
      <c r="E6745" s="30"/>
      <c r="F6745" s="38" t="s">
        <v>418</v>
      </c>
      <c r="G6745" s="28" t="str">
        <f>IF(ISNUMBER(F6745),E6745*F6745,"")</f>
        <v/>
      </c>
      <c r="H6745" s="32"/>
      <c r="I6745" s="28"/>
      <c r="J6745" s="125">
        <v>0</v>
      </c>
    </row>
    <row r="6746" spans="1:10" ht="26.25" hidden="1" thickBot="1" x14ac:dyDescent="0.3">
      <c r="A6746" s="235"/>
      <c r="B6746" s="240"/>
      <c r="C6746" s="155" t="s">
        <v>38853</v>
      </c>
      <c r="D6746" s="155" t="s">
        <v>385</v>
      </c>
      <c r="E6746" s="130">
        <v>1</v>
      </c>
      <c r="F6746" s="28">
        <v>100.5955</v>
      </c>
      <c r="G6746" s="28">
        <f>IF(ISNUMBER(F6746),E6746*F6746,"")</f>
        <v>100.5955</v>
      </c>
      <c r="H6746" s="35">
        <f t="shared" ref="H6746" si="17">SUM(G6746:G6746)</f>
        <v>100.5955</v>
      </c>
      <c r="I6746" s="36"/>
      <c r="J6746" s="125">
        <v>0</v>
      </c>
    </row>
    <row r="6747" spans="1:10" ht="15.75" hidden="1" thickBot="1" x14ac:dyDescent="0.3">
      <c r="A6747" s="236"/>
      <c r="B6747" s="239"/>
      <c r="C6747" s="164"/>
      <c r="D6747" s="50"/>
      <c r="E6747" s="61"/>
      <c r="F6747" s="62" t="s">
        <v>418</v>
      </c>
      <c r="G6747" s="62" t="str">
        <f>IF(ISNUMBER(F6747),E6747*F6747,"")</f>
        <v/>
      </c>
      <c r="H6747" s="64"/>
      <c r="I6747" s="28"/>
      <c r="J6747" s="125">
        <v>0</v>
      </c>
    </row>
    <row r="6748" spans="1:10" ht="15.75" hidden="1" thickBot="1" x14ac:dyDescent="0.3">
      <c r="A6748" s="234" t="s">
        <v>15306</v>
      </c>
      <c r="B6748" s="237" t="s">
        <v>15307</v>
      </c>
      <c r="C6748" s="160"/>
      <c r="D6748" s="23" t="s">
        <v>16</v>
      </c>
      <c r="E6748" s="24"/>
      <c r="F6748" s="37" t="s">
        <v>418</v>
      </c>
      <c r="G6748" s="25" t="str">
        <f>IF(ISNUMBER(F6748),E6748*F6748,"")</f>
        <v/>
      </c>
      <c r="H6748" s="26"/>
      <c r="I6748" s="27"/>
      <c r="J6748" s="125">
        <v>0</v>
      </c>
    </row>
    <row r="6749" spans="1:10" ht="15.75" hidden="1" thickBot="1" x14ac:dyDescent="0.3">
      <c r="A6749" s="235"/>
      <c r="B6749" s="240"/>
      <c r="C6749" s="151"/>
      <c r="D6749" s="29"/>
      <c r="E6749" s="30"/>
      <c r="F6749" s="38" t="s">
        <v>418</v>
      </c>
      <c r="G6749" s="28" t="str">
        <f>IF(ISNUMBER(F6749),E6749*F6749,"")</f>
        <v/>
      </c>
      <c r="H6749" s="32"/>
      <c r="I6749" s="28"/>
      <c r="J6749" s="125">
        <v>0</v>
      </c>
    </row>
    <row r="6750" spans="1:10" ht="15.75" hidden="1" thickBot="1" x14ac:dyDescent="0.3">
      <c r="A6750" s="235"/>
      <c r="B6750" s="240"/>
      <c r="C6750" s="155" t="s">
        <v>26593</v>
      </c>
      <c r="D6750" s="155" t="s">
        <v>205</v>
      </c>
      <c r="E6750" s="130">
        <v>1</v>
      </c>
      <c r="F6750" s="28">
        <v>33.202500000000001</v>
      </c>
      <c r="G6750" s="28">
        <f>IF(ISNUMBER(F6750),E6750*F6750,"")</f>
        <v>33.202500000000001</v>
      </c>
      <c r="H6750" s="35">
        <f t="shared" ref="H6750" si="18">SUM(G6750:G6750)</f>
        <v>33.202500000000001</v>
      </c>
      <c r="I6750" s="36"/>
      <c r="J6750" s="125">
        <v>0</v>
      </c>
    </row>
    <row r="6751" spans="1:10" ht="15.75" hidden="1" thickBot="1" x14ac:dyDescent="0.3">
      <c r="A6751" s="236"/>
      <c r="B6751" s="239"/>
      <c r="C6751" s="164"/>
      <c r="D6751" s="50"/>
      <c r="E6751" s="61"/>
      <c r="F6751" s="62" t="s">
        <v>418</v>
      </c>
      <c r="G6751" s="62" t="str">
        <f>IF(ISNUMBER(F6751),E6751*F6751,"")</f>
        <v/>
      </c>
      <c r="H6751" s="64"/>
      <c r="I6751" s="28"/>
      <c r="J6751" s="125">
        <v>0</v>
      </c>
    </row>
    <row r="6752" spans="1:10" ht="15.75" hidden="1" thickBot="1" x14ac:dyDescent="0.3">
      <c r="A6752" s="234" t="s">
        <v>15308</v>
      </c>
      <c r="B6752" s="237" t="s">
        <v>15309</v>
      </c>
      <c r="C6752" s="160"/>
      <c r="D6752" s="23" t="s">
        <v>16</v>
      </c>
      <c r="E6752" s="24"/>
      <c r="F6752" s="37" t="s">
        <v>418</v>
      </c>
      <c r="G6752" s="25" t="str">
        <f>IF(ISNUMBER(F6752),E6752*F6752,"")</f>
        <v/>
      </c>
      <c r="H6752" s="26"/>
      <c r="I6752" s="27"/>
      <c r="J6752" s="125">
        <v>0</v>
      </c>
    </row>
    <row r="6753" spans="1:10" ht="15.75" hidden="1" thickBot="1" x14ac:dyDescent="0.3">
      <c r="A6753" s="235"/>
      <c r="B6753" s="240"/>
      <c r="C6753" s="151"/>
      <c r="D6753" s="29"/>
      <c r="E6753" s="30"/>
      <c r="F6753" s="38" t="s">
        <v>418</v>
      </c>
      <c r="G6753" s="28" t="str">
        <f>IF(ISNUMBER(F6753),E6753*F6753,"")</f>
        <v/>
      </c>
      <c r="H6753" s="32"/>
      <c r="I6753" s="28"/>
      <c r="J6753" s="125">
        <v>0</v>
      </c>
    </row>
    <row r="6754" spans="1:10" ht="15.75" hidden="1" thickBot="1" x14ac:dyDescent="0.3">
      <c r="A6754" s="235"/>
      <c r="B6754" s="240"/>
      <c r="C6754" s="155" t="s">
        <v>26592</v>
      </c>
      <c r="D6754" s="155" t="s">
        <v>205</v>
      </c>
      <c r="E6754" s="130">
        <v>1</v>
      </c>
      <c r="F6754" s="28">
        <v>50.824999999999996</v>
      </c>
      <c r="G6754" s="28">
        <f>IF(ISNUMBER(F6754),E6754*F6754,"")</f>
        <v>50.824999999999996</v>
      </c>
      <c r="H6754" s="35">
        <f t="shared" ref="H6754" si="19">SUM(G6754:G6754)</f>
        <v>50.824999999999996</v>
      </c>
      <c r="I6754" s="36"/>
      <c r="J6754" s="125">
        <v>0</v>
      </c>
    </row>
    <row r="6755" spans="1:10" ht="15.75" hidden="1" thickBot="1" x14ac:dyDescent="0.3">
      <c r="A6755" s="236"/>
      <c r="B6755" s="239"/>
      <c r="C6755" s="164"/>
      <c r="D6755" s="50"/>
      <c r="E6755" s="61"/>
      <c r="F6755" s="62" t="s">
        <v>418</v>
      </c>
      <c r="G6755" s="62" t="str">
        <f>IF(ISNUMBER(F6755),E6755*F6755,"")</f>
        <v/>
      </c>
      <c r="H6755" s="64"/>
      <c r="I6755" s="28"/>
      <c r="J6755" s="125">
        <v>0</v>
      </c>
    </row>
    <row r="6756" spans="1:10" ht="15.75" hidden="1" thickBot="1" x14ac:dyDescent="0.3">
      <c r="A6756" s="234" t="s">
        <v>15310</v>
      </c>
      <c r="B6756" s="237" t="s">
        <v>15311</v>
      </c>
      <c r="C6756" s="160"/>
      <c r="D6756" s="23" t="s">
        <v>16</v>
      </c>
      <c r="E6756" s="24"/>
      <c r="F6756" s="37" t="s">
        <v>418</v>
      </c>
      <c r="G6756" s="25" t="str">
        <f>IF(ISNUMBER(F6756),E6756*F6756,"")</f>
        <v/>
      </c>
      <c r="H6756" s="26"/>
      <c r="I6756" s="27"/>
      <c r="J6756" s="125">
        <v>0</v>
      </c>
    </row>
    <row r="6757" spans="1:10" ht="15.75" hidden="1" thickBot="1" x14ac:dyDescent="0.3">
      <c r="A6757" s="235"/>
      <c r="B6757" s="240"/>
      <c r="C6757" s="151"/>
      <c r="D6757" s="29"/>
      <c r="E6757" s="30"/>
      <c r="F6757" s="38" t="s">
        <v>418</v>
      </c>
      <c r="G6757" s="28" t="str">
        <f>IF(ISNUMBER(F6757),E6757*F6757,"")</f>
        <v/>
      </c>
      <c r="H6757" s="32"/>
      <c r="I6757" s="28"/>
      <c r="J6757" s="125">
        <v>0</v>
      </c>
    </row>
    <row r="6758" spans="1:10" ht="15.75" hidden="1" thickBot="1" x14ac:dyDescent="0.3">
      <c r="A6758" s="235"/>
      <c r="B6758" s="240"/>
      <c r="C6758" s="155" t="s">
        <v>26596</v>
      </c>
      <c r="D6758" s="155" t="s">
        <v>205</v>
      </c>
      <c r="E6758" s="130">
        <v>1</v>
      </c>
      <c r="F6758" s="28">
        <v>82.6785</v>
      </c>
      <c r="G6758" s="28">
        <f>IF(ISNUMBER(F6758),E6758*F6758,"")</f>
        <v>82.6785</v>
      </c>
      <c r="H6758" s="35">
        <f t="shared" ref="H6758" si="20">SUM(G6758:G6758)</f>
        <v>82.6785</v>
      </c>
      <c r="I6758" s="36"/>
      <c r="J6758" s="125">
        <v>0</v>
      </c>
    </row>
    <row r="6759" spans="1:10" ht="15.75" hidden="1" thickBot="1" x14ac:dyDescent="0.3">
      <c r="A6759" s="236"/>
      <c r="B6759" s="239"/>
      <c r="C6759" s="164"/>
      <c r="D6759" s="50"/>
      <c r="E6759" s="61"/>
      <c r="F6759" s="62" t="s">
        <v>418</v>
      </c>
      <c r="G6759" s="62" t="str">
        <f>IF(ISNUMBER(F6759),E6759*F6759,"")</f>
        <v/>
      </c>
      <c r="H6759" s="64"/>
      <c r="I6759" s="28"/>
      <c r="J6759" s="125">
        <v>0</v>
      </c>
    </row>
    <row r="6760" spans="1:10" ht="15.75" hidden="1" thickBot="1" x14ac:dyDescent="0.3">
      <c r="A6760" s="234" t="s">
        <v>15312</v>
      </c>
      <c r="B6760" s="237" t="s">
        <v>15313</v>
      </c>
      <c r="C6760" s="160"/>
      <c r="D6760" s="23" t="s">
        <v>69</v>
      </c>
      <c r="E6760" s="24"/>
      <c r="F6760" s="37" t="s">
        <v>418</v>
      </c>
      <c r="G6760" s="25" t="str">
        <f>IF(ISNUMBER(F6760),E6760*F6760,"")</f>
        <v/>
      </c>
      <c r="H6760" s="26"/>
      <c r="I6760" s="27"/>
      <c r="J6760" s="125">
        <v>0</v>
      </c>
    </row>
    <row r="6761" spans="1:10" ht="15.75" hidden="1" thickBot="1" x14ac:dyDescent="0.3">
      <c r="A6761" s="235"/>
      <c r="B6761" s="240"/>
      <c r="C6761" s="151"/>
      <c r="D6761" s="29"/>
      <c r="E6761" s="30"/>
      <c r="F6761" s="38" t="s">
        <v>418</v>
      </c>
      <c r="G6761" s="28" t="str">
        <f>IF(ISNUMBER(F6761),E6761*F6761,"")</f>
        <v/>
      </c>
      <c r="H6761" s="32"/>
      <c r="I6761" s="28"/>
      <c r="J6761" s="125">
        <v>0</v>
      </c>
    </row>
    <row r="6762" spans="1:10" ht="15.75" hidden="1" thickBot="1" x14ac:dyDescent="0.3">
      <c r="A6762" s="235"/>
      <c r="B6762" s="240"/>
      <c r="C6762" s="155" t="s">
        <v>28005</v>
      </c>
      <c r="D6762" s="155" t="s">
        <v>385</v>
      </c>
      <c r="E6762" s="130">
        <v>1</v>
      </c>
      <c r="F6762" s="28">
        <v>308.1515</v>
      </c>
      <c r="G6762" s="28">
        <f>IF(ISNUMBER(F6762),E6762*F6762,"")</f>
        <v>308.1515</v>
      </c>
      <c r="H6762" s="35">
        <f t="shared" ref="H6762" si="21">SUM(G6762:G6762)</f>
        <v>308.1515</v>
      </c>
      <c r="I6762" s="36"/>
      <c r="J6762" s="125">
        <v>0</v>
      </c>
    </row>
    <row r="6763" spans="1:10" ht="15.75" hidden="1" thickBot="1" x14ac:dyDescent="0.3">
      <c r="A6763" s="236"/>
      <c r="B6763" s="239"/>
      <c r="C6763" s="164"/>
      <c r="D6763" s="50"/>
      <c r="E6763" s="61"/>
      <c r="F6763" s="62" t="s">
        <v>418</v>
      </c>
      <c r="G6763" s="62" t="str">
        <f>IF(ISNUMBER(F6763),E6763*F6763,"")</f>
        <v/>
      </c>
      <c r="H6763" s="64"/>
      <c r="I6763" s="28"/>
      <c r="J6763" s="125">
        <v>0</v>
      </c>
    </row>
    <row r="6764" spans="1:10" ht="15.75" hidden="1" thickBot="1" x14ac:dyDescent="0.3">
      <c r="A6764" s="234" t="s">
        <v>15314</v>
      </c>
      <c r="B6764" s="237" t="s">
        <v>19634</v>
      </c>
      <c r="C6764" s="160"/>
      <c r="D6764" s="23" t="s">
        <v>69</v>
      </c>
      <c r="E6764" s="24"/>
      <c r="F6764" s="37" t="s">
        <v>418</v>
      </c>
      <c r="G6764" s="25" t="str">
        <f>IF(ISNUMBER(F6764),E6764*F6764,"")</f>
        <v/>
      </c>
      <c r="H6764" s="26"/>
      <c r="I6764" s="27"/>
      <c r="J6764" s="125">
        <v>0</v>
      </c>
    </row>
    <row r="6765" spans="1:10" ht="15.75" hidden="1" thickBot="1" x14ac:dyDescent="0.3">
      <c r="A6765" s="235"/>
      <c r="B6765" s="240"/>
      <c r="C6765" s="151"/>
      <c r="D6765" s="29"/>
      <c r="E6765" s="30"/>
      <c r="F6765" s="38" t="s">
        <v>418</v>
      </c>
      <c r="G6765" s="28" t="str">
        <f>IF(ISNUMBER(F6765),E6765*F6765,"")</f>
        <v/>
      </c>
      <c r="H6765" s="32"/>
      <c r="I6765" s="28"/>
      <c r="J6765" s="125">
        <v>0</v>
      </c>
    </row>
    <row r="6766" spans="1:10" ht="26.25" hidden="1" thickBot="1" x14ac:dyDescent="0.3">
      <c r="A6766" s="235"/>
      <c r="B6766" s="240"/>
      <c r="C6766" s="155" t="s">
        <v>38854</v>
      </c>
      <c r="D6766" s="155" t="s">
        <v>385</v>
      </c>
      <c r="E6766" s="130">
        <v>1</v>
      </c>
      <c r="F6766" s="28">
        <v>14.25</v>
      </c>
      <c r="G6766" s="28">
        <f>IF(ISNUMBER(F6766),E6766*F6766,"")</f>
        <v>14.25</v>
      </c>
      <c r="H6766" s="35">
        <f t="shared" ref="H6766" si="22">SUM(G6766:G6766)</f>
        <v>14.25</v>
      </c>
      <c r="I6766" s="36"/>
      <c r="J6766" s="125">
        <v>0</v>
      </c>
    </row>
    <row r="6767" spans="1:10" ht="15.75" hidden="1" thickBot="1" x14ac:dyDescent="0.3">
      <c r="A6767" s="236"/>
      <c r="B6767" s="239"/>
      <c r="C6767" s="164"/>
      <c r="D6767" s="50"/>
      <c r="E6767" s="61"/>
      <c r="F6767" s="62" t="s">
        <v>418</v>
      </c>
      <c r="G6767" s="62" t="str">
        <f>IF(ISNUMBER(F6767),E6767*F6767,"")</f>
        <v/>
      </c>
      <c r="H6767" s="64"/>
      <c r="I6767" s="28"/>
      <c r="J6767" s="125">
        <v>0</v>
      </c>
    </row>
    <row r="6768" spans="1:10" ht="15.75" hidden="1" thickBot="1" x14ac:dyDescent="0.3">
      <c r="A6768" s="234" t="s">
        <v>15315</v>
      </c>
      <c r="B6768" s="237" t="s">
        <v>19635</v>
      </c>
      <c r="C6768" s="160"/>
      <c r="D6768" s="23" t="s">
        <v>69</v>
      </c>
      <c r="E6768" s="24"/>
      <c r="F6768" s="37" t="s">
        <v>418</v>
      </c>
      <c r="G6768" s="25" t="str">
        <f>IF(ISNUMBER(F6768),E6768*F6768,"")</f>
        <v/>
      </c>
      <c r="H6768" s="26"/>
      <c r="I6768" s="27"/>
      <c r="J6768" s="125">
        <v>0</v>
      </c>
    </row>
    <row r="6769" spans="1:10" ht="15.75" hidden="1" thickBot="1" x14ac:dyDescent="0.3">
      <c r="A6769" s="235"/>
      <c r="B6769" s="240"/>
      <c r="C6769" s="151"/>
      <c r="D6769" s="29"/>
      <c r="E6769" s="30"/>
      <c r="F6769" s="38" t="s">
        <v>418</v>
      </c>
      <c r="G6769" s="28" t="str">
        <f>IF(ISNUMBER(F6769),E6769*F6769,"")</f>
        <v/>
      </c>
      <c r="H6769" s="32"/>
      <c r="I6769" s="28"/>
      <c r="J6769" s="125">
        <v>0</v>
      </c>
    </row>
    <row r="6770" spans="1:10" ht="26.25" hidden="1" thickBot="1" x14ac:dyDescent="0.3">
      <c r="A6770" s="235"/>
      <c r="B6770" s="240"/>
      <c r="C6770" s="155" t="s">
        <v>38855</v>
      </c>
      <c r="D6770" s="155" t="s">
        <v>385</v>
      </c>
      <c r="E6770" s="130">
        <v>1</v>
      </c>
      <c r="F6770" s="28">
        <v>37.249499999999998</v>
      </c>
      <c r="G6770" s="28">
        <f>IF(ISNUMBER(F6770),E6770*F6770,"")</f>
        <v>37.249499999999998</v>
      </c>
      <c r="H6770" s="35">
        <f t="shared" ref="H6770" si="23">SUM(G6770:G6770)</f>
        <v>37.249499999999998</v>
      </c>
      <c r="I6770" s="36"/>
      <c r="J6770" s="125">
        <v>0</v>
      </c>
    </row>
    <row r="6771" spans="1:10" ht="15.75" hidden="1" thickBot="1" x14ac:dyDescent="0.3">
      <c r="A6771" s="236"/>
      <c r="B6771" s="239"/>
      <c r="C6771" s="164"/>
      <c r="D6771" s="50"/>
      <c r="E6771" s="61"/>
      <c r="F6771" s="62" t="s">
        <v>418</v>
      </c>
      <c r="G6771" s="62" t="str">
        <f>IF(ISNUMBER(F6771),E6771*F6771,"")</f>
        <v/>
      </c>
      <c r="H6771" s="64"/>
      <c r="I6771" s="28"/>
      <c r="J6771" s="125">
        <v>0</v>
      </c>
    </row>
    <row r="6772" spans="1:10" ht="15.75" hidden="1" thickBot="1" x14ac:dyDescent="0.3">
      <c r="A6772" s="234" t="s">
        <v>15316</v>
      </c>
      <c r="B6772" s="237" t="s">
        <v>15317</v>
      </c>
      <c r="C6772" s="160"/>
      <c r="D6772" s="23" t="s">
        <v>69</v>
      </c>
      <c r="E6772" s="24"/>
      <c r="F6772" s="37" t="s">
        <v>418</v>
      </c>
      <c r="G6772" s="25" t="str">
        <f>IF(ISNUMBER(F6772),E6772*F6772,"")</f>
        <v/>
      </c>
      <c r="H6772" s="26"/>
      <c r="I6772" s="27"/>
      <c r="J6772" s="125">
        <v>0</v>
      </c>
    </row>
    <row r="6773" spans="1:10" ht="15.75" hidden="1" thickBot="1" x14ac:dyDescent="0.3">
      <c r="A6773" s="235"/>
      <c r="B6773" s="240"/>
      <c r="C6773" s="151"/>
      <c r="D6773" s="29"/>
      <c r="E6773" s="30"/>
      <c r="F6773" s="38" t="s">
        <v>418</v>
      </c>
      <c r="G6773" s="28" t="str">
        <f>IF(ISNUMBER(F6773),E6773*F6773,"")</f>
        <v/>
      </c>
      <c r="H6773" s="32"/>
      <c r="I6773" s="28"/>
      <c r="J6773" s="125">
        <v>0</v>
      </c>
    </row>
    <row r="6774" spans="1:10" ht="26.25" hidden="1" thickBot="1" x14ac:dyDescent="0.3">
      <c r="A6774" s="235"/>
      <c r="B6774" s="240"/>
      <c r="C6774" s="155" t="s">
        <v>38856</v>
      </c>
      <c r="D6774" s="155" t="s">
        <v>385</v>
      </c>
      <c r="E6774" s="130">
        <v>1</v>
      </c>
      <c r="F6774" s="28">
        <v>6.2224999999999993</v>
      </c>
      <c r="G6774" s="28">
        <f>IF(ISNUMBER(F6774),E6774*F6774,"")</f>
        <v>6.2224999999999993</v>
      </c>
      <c r="H6774" s="35">
        <f t="shared" ref="H6774" si="24">SUM(G6774:G6774)</f>
        <v>6.2224999999999993</v>
      </c>
      <c r="I6774" s="36"/>
      <c r="J6774" s="125">
        <v>0</v>
      </c>
    </row>
    <row r="6775" spans="1:10" ht="15.75" hidden="1" thickBot="1" x14ac:dyDescent="0.3">
      <c r="A6775" s="236"/>
      <c r="B6775" s="239"/>
      <c r="C6775" s="164"/>
      <c r="D6775" s="50"/>
      <c r="E6775" s="61"/>
      <c r="F6775" s="62" t="s">
        <v>418</v>
      </c>
      <c r="G6775" s="62" t="str">
        <f>IF(ISNUMBER(F6775),E6775*F6775,"")</f>
        <v/>
      </c>
      <c r="H6775" s="64"/>
      <c r="I6775" s="28"/>
      <c r="J6775" s="125">
        <v>0</v>
      </c>
    </row>
    <row r="6776" spans="1:10" ht="15.75" hidden="1" thickBot="1" x14ac:dyDescent="0.3">
      <c r="A6776" s="234" t="s">
        <v>15318</v>
      </c>
      <c r="B6776" s="237" t="s">
        <v>19636</v>
      </c>
      <c r="C6776" s="160"/>
      <c r="D6776" s="23" t="s">
        <v>69</v>
      </c>
      <c r="E6776" s="24"/>
      <c r="F6776" s="37" t="s">
        <v>418</v>
      </c>
      <c r="G6776" s="25" t="str">
        <f>IF(ISNUMBER(F6776),E6776*F6776,"")</f>
        <v/>
      </c>
      <c r="H6776" s="26"/>
      <c r="I6776" s="27"/>
      <c r="J6776" s="125">
        <v>0</v>
      </c>
    </row>
    <row r="6777" spans="1:10" ht="15.75" hidden="1" thickBot="1" x14ac:dyDescent="0.3">
      <c r="A6777" s="235"/>
      <c r="B6777" s="240"/>
      <c r="C6777" s="151"/>
      <c r="D6777" s="29"/>
      <c r="E6777" s="30"/>
      <c r="F6777" s="38" t="s">
        <v>418</v>
      </c>
      <c r="G6777" s="28" t="str">
        <f>IF(ISNUMBER(F6777),E6777*F6777,"")</f>
        <v/>
      </c>
      <c r="H6777" s="32"/>
      <c r="I6777" s="28"/>
      <c r="J6777" s="125">
        <v>0</v>
      </c>
    </row>
    <row r="6778" spans="1:10" ht="26.25" hidden="1" thickBot="1" x14ac:dyDescent="0.3">
      <c r="A6778" s="235"/>
      <c r="B6778" s="240"/>
      <c r="C6778" s="155" t="s">
        <v>28255</v>
      </c>
      <c r="D6778" s="155" t="s">
        <v>385</v>
      </c>
      <c r="E6778" s="130">
        <v>1</v>
      </c>
      <c r="F6778" s="28">
        <v>10.279</v>
      </c>
      <c r="G6778" s="28">
        <f>IF(ISNUMBER(F6778),E6778*F6778,"")</f>
        <v>10.279</v>
      </c>
      <c r="H6778" s="35">
        <f t="shared" ref="H6778" si="25">SUM(G6778:G6778)</f>
        <v>10.279</v>
      </c>
      <c r="I6778" s="36"/>
      <c r="J6778" s="125">
        <v>0</v>
      </c>
    </row>
    <row r="6779" spans="1:10" ht="15.75" hidden="1" thickBot="1" x14ac:dyDescent="0.3">
      <c r="A6779" s="236"/>
      <c r="B6779" s="239"/>
      <c r="C6779" s="164"/>
      <c r="D6779" s="50"/>
      <c r="E6779" s="61"/>
      <c r="F6779" s="62" t="s">
        <v>418</v>
      </c>
      <c r="G6779" s="62" t="str">
        <f>IF(ISNUMBER(F6779),E6779*F6779,"")</f>
        <v/>
      </c>
      <c r="H6779" s="64"/>
      <c r="I6779" s="28"/>
      <c r="J6779" s="125">
        <v>0</v>
      </c>
    </row>
    <row r="6780" spans="1:10" ht="15.75" hidden="1" thickBot="1" x14ac:dyDescent="0.3">
      <c r="A6780" s="234" t="s">
        <v>15319</v>
      </c>
      <c r="B6780" s="237" t="s">
        <v>19637</v>
      </c>
      <c r="C6780" s="160"/>
      <c r="D6780" s="23" t="s">
        <v>69</v>
      </c>
      <c r="E6780" s="24"/>
      <c r="F6780" s="37" t="s">
        <v>418</v>
      </c>
      <c r="G6780" s="25" t="str">
        <f>IF(ISNUMBER(F6780),E6780*F6780,"")</f>
        <v/>
      </c>
      <c r="H6780" s="26"/>
      <c r="I6780" s="27"/>
      <c r="J6780" s="125">
        <v>0</v>
      </c>
    </row>
    <row r="6781" spans="1:10" ht="15.75" hidden="1" thickBot="1" x14ac:dyDescent="0.3">
      <c r="A6781" s="235"/>
      <c r="B6781" s="240"/>
      <c r="C6781" s="151"/>
      <c r="D6781" s="29"/>
      <c r="E6781" s="30"/>
      <c r="F6781" s="38" t="s">
        <v>418</v>
      </c>
      <c r="G6781" s="28" t="str">
        <f>IF(ISNUMBER(F6781),E6781*F6781,"")</f>
        <v/>
      </c>
      <c r="H6781" s="32"/>
      <c r="I6781" s="28"/>
      <c r="J6781" s="125">
        <v>0</v>
      </c>
    </row>
    <row r="6782" spans="1:10" ht="26.25" hidden="1" thickBot="1" x14ac:dyDescent="0.3">
      <c r="A6782" s="235"/>
      <c r="B6782" s="240"/>
      <c r="C6782" s="155" t="s">
        <v>28256</v>
      </c>
      <c r="D6782" s="155" t="s">
        <v>385</v>
      </c>
      <c r="E6782" s="130">
        <v>1</v>
      </c>
      <c r="F6782" s="28">
        <v>13.489999999999998</v>
      </c>
      <c r="G6782" s="28">
        <f>IF(ISNUMBER(F6782),E6782*F6782,"")</f>
        <v>13.489999999999998</v>
      </c>
      <c r="H6782" s="35">
        <f t="shared" ref="H6782" si="26">SUM(G6782:G6782)</f>
        <v>13.489999999999998</v>
      </c>
      <c r="I6782" s="36"/>
      <c r="J6782" s="125">
        <v>0</v>
      </c>
    </row>
    <row r="6783" spans="1:10" ht="15.75" hidden="1" thickBot="1" x14ac:dyDescent="0.3">
      <c r="A6783" s="236"/>
      <c r="B6783" s="239"/>
      <c r="C6783" s="164"/>
      <c r="D6783" s="50"/>
      <c r="E6783" s="61"/>
      <c r="F6783" s="62" t="s">
        <v>418</v>
      </c>
      <c r="G6783" s="62" t="str">
        <f>IF(ISNUMBER(F6783),E6783*F6783,"")</f>
        <v/>
      </c>
      <c r="H6783" s="64"/>
      <c r="I6783" s="28"/>
      <c r="J6783" s="125">
        <v>0</v>
      </c>
    </row>
    <row r="6784" spans="1:10" ht="15.75" hidden="1" thickBot="1" x14ac:dyDescent="0.3">
      <c r="A6784" s="234" t="s">
        <v>15320</v>
      </c>
      <c r="B6784" s="237" t="s">
        <v>15321</v>
      </c>
      <c r="C6784" s="160"/>
      <c r="D6784" s="23" t="s">
        <v>69</v>
      </c>
      <c r="E6784" s="24"/>
      <c r="F6784" s="37" t="s">
        <v>418</v>
      </c>
      <c r="G6784" s="25" t="str">
        <f>IF(ISNUMBER(F6784),E6784*F6784,"")</f>
        <v/>
      </c>
      <c r="H6784" s="26"/>
      <c r="I6784" s="27"/>
      <c r="J6784" s="125">
        <v>0</v>
      </c>
    </row>
    <row r="6785" spans="1:10" ht="15.75" hidden="1" thickBot="1" x14ac:dyDescent="0.3">
      <c r="A6785" s="235"/>
      <c r="B6785" s="240"/>
      <c r="C6785" s="151"/>
      <c r="D6785" s="29"/>
      <c r="E6785" s="30"/>
      <c r="F6785" s="38" t="s">
        <v>418</v>
      </c>
      <c r="G6785" s="28" t="str">
        <f>IF(ISNUMBER(F6785),E6785*F6785,"")</f>
        <v/>
      </c>
      <c r="H6785" s="32"/>
      <c r="I6785" s="28"/>
      <c r="J6785" s="125">
        <v>0</v>
      </c>
    </row>
    <row r="6786" spans="1:10" ht="15.75" hidden="1" thickBot="1" x14ac:dyDescent="0.3">
      <c r="A6786" s="235"/>
      <c r="B6786" s="240"/>
      <c r="C6786" s="155" t="s">
        <v>38857</v>
      </c>
      <c r="D6786" s="155" t="s">
        <v>385</v>
      </c>
      <c r="E6786" s="130">
        <v>1</v>
      </c>
      <c r="F6786" s="28">
        <v>34.978999999999999</v>
      </c>
      <c r="G6786" s="28">
        <f>IF(ISNUMBER(F6786),E6786*F6786,"")</f>
        <v>34.978999999999999</v>
      </c>
      <c r="H6786" s="35">
        <f t="shared" ref="H6786" si="27">SUM(G6786:G6786)</f>
        <v>34.978999999999999</v>
      </c>
      <c r="I6786" s="36"/>
      <c r="J6786" s="125">
        <v>0</v>
      </c>
    </row>
    <row r="6787" spans="1:10" ht="15.75" hidden="1" thickBot="1" x14ac:dyDescent="0.3">
      <c r="A6787" s="236"/>
      <c r="B6787" s="239"/>
      <c r="C6787" s="164"/>
      <c r="D6787" s="50"/>
      <c r="E6787" s="61"/>
      <c r="F6787" s="62" t="s">
        <v>418</v>
      </c>
      <c r="G6787" s="62" t="str">
        <f>IF(ISNUMBER(F6787),E6787*F6787,"")</f>
        <v/>
      </c>
      <c r="H6787" s="64"/>
      <c r="I6787" s="28"/>
      <c r="J6787" s="125">
        <v>0</v>
      </c>
    </row>
    <row r="6788" spans="1:10" ht="15.75" hidden="1" thickBot="1" x14ac:dyDescent="0.3">
      <c r="A6788" s="234" t="s">
        <v>15322</v>
      </c>
      <c r="B6788" s="237" t="s">
        <v>15323</v>
      </c>
      <c r="C6788" s="160"/>
      <c r="D6788" s="23" t="s">
        <v>69</v>
      </c>
      <c r="E6788" s="24"/>
      <c r="F6788" s="37" t="s">
        <v>418</v>
      </c>
      <c r="G6788" s="25" t="str">
        <f>IF(ISNUMBER(F6788),E6788*F6788,"")</f>
        <v/>
      </c>
      <c r="H6788" s="26"/>
      <c r="I6788" s="27"/>
      <c r="J6788" s="125">
        <v>0</v>
      </c>
    </row>
    <row r="6789" spans="1:10" ht="15.75" hidden="1" thickBot="1" x14ac:dyDescent="0.3">
      <c r="A6789" s="235"/>
      <c r="B6789" s="240"/>
      <c r="C6789" s="151"/>
      <c r="D6789" s="29"/>
      <c r="E6789" s="30"/>
      <c r="F6789" s="38" t="s">
        <v>418</v>
      </c>
      <c r="G6789" s="28" t="str">
        <f>IF(ISNUMBER(F6789),E6789*F6789,"")</f>
        <v/>
      </c>
      <c r="H6789" s="32"/>
      <c r="I6789" s="28"/>
      <c r="J6789" s="125">
        <v>0</v>
      </c>
    </row>
    <row r="6790" spans="1:10" ht="15.75" hidden="1" thickBot="1" x14ac:dyDescent="0.3">
      <c r="A6790" s="235"/>
      <c r="B6790" s="240"/>
      <c r="C6790" s="155" t="s">
        <v>28265</v>
      </c>
      <c r="D6790" s="155" t="s">
        <v>385</v>
      </c>
      <c r="E6790" s="130">
        <v>1</v>
      </c>
      <c r="F6790" s="28">
        <v>23.702499999999997</v>
      </c>
      <c r="G6790" s="28">
        <f>IF(ISNUMBER(F6790),E6790*F6790,"")</f>
        <v>23.702499999999997</v>
      </c>
      <c r="H6790" s="35">
        <f t="shared" ref="H6790" si="28">SUM(G6790:G6790)</f>
        <v>23.702499999999997</v>
      </c>
      <c r="I6790" s="36"/>
      <c r="J6790" s="125">
        <v>0</v>
      </c>
    </row>
    <row r="6791" spans="1:10" ht="15.75" hidden="1" thickBot="1" x14ac:dyDescent="0.3">
      <c r="A6791" s="236"/>
      <c r="B6791" s="239"/>
      <c r="C6791" s="164"/>
      <c r="D6791" s="50"/>
      <c r="E6791" s="61"/>
      <c r="F6791" s="62" t="s">
        <v>418</v>
      </c>
      <c r="G6791" s="62" t="str">
        <f>IF(ISNUMBER(F6791),E6791*F6791,"")</f>
        <v/>
      </c>
      <c r="H6791" s="64"/>
      <c r="I6791" s="28"/>
      <c r="J6791" s="125">
        <v>0</v>
      </c>
    </row>
    <row r="6792" spans="1:10" ht="15.75" hidden="1" thickBot="1" x14ac:dyDescent="0.3">
      <c r="A6792" s="234" t="s">
        <v>15324</v>
      </c>
      <c r="B6792" s="237" t="s">
        <v>15325</v>
      </c>
      <c r="C6792" s="160"/>
      <c r="D6792" s="23" t="s">
        <v>69</v>
      </c>
      <c r="E6792" s="24"/>
      <c r="F6792" s="37" t="s">
        <v>418</v>
      </c>
      <c r="G6792" s="25" t="str">
        <f>IF(ISNUMBER(F6792),E6792*F6792,"")</f>
        <v/>
      </c>
      <c r="H6792" s="26"/>
      <c r="I6792" s="27"/>
      <c r="J6792" s="125">
        <v>0</v>
      </c>
    </row>
    <row r="6793" spans="1:10" ht="15.75" hidden="1" thickBot="1" x14ac:dyDescent="0.3">
      <c r="A6793" s="235"/>
      <c r="B6793" s="240"/>
      <c r="C6793" s="151"/>
      <c r="D6793" s="29"/>
      <c r="E6793" s="30"/>
      <c r="F6793" s="38" t="s">
        <v>418</v>
      </c>
      <c r="G6793" s="28" t="str">
        <f>IF(ISNUMBER(F6793),E6793*F6793,"")</f>
        <v/>
      </c>
      <c r="H6793" s="32"/>
      <c r="I6793" s="28"/>
      <c r="J6793" s="125">
        <v>0</v>
      </c>
    </row>
    <row r="6794" spans="1:10" ht="15.75" hidden="1" thickBot="1" x14ac:dyDescent="0.3">
      <c r="A6794" s="235"/>
      <c r="B6794" s="240"/>
      <c r="C6794" s="155" t="s">
        <v>38858</v>
      </c>
      <c r="D6794" s="155" t="s">
        <v>385</v>
      </c>
      <c r="E6794" s="130">
        <v>1</v>
      </c>
      <c r="F6794" s="28">
        <v>68.580500000000001</v>
      </c>
      <c r="G6794" s="28">
        <f>IF(ISNUMBER(F6794),E6794*F6794,"")</f>
        <v>68.580500000000001</v>
      </c>
      <c r="H6794" s="35">
        <f t="shared" ref="H6794" si="29">SUM(G6794:G6794)</f>
        <v>68.580500000000001</v>
      </c>
      <c r="I6794" s="36"/>
      <c r="J6794" s="125">
        <v>0</v>
      </c>
    </row>
    <row r="6795" spans="1:10" ht="15.75" hidden="1" thickBot="1" x14ac:dyDescent="0.3">
      <c r="A6795" s="236"/>
      <c r="B6795" s="239"/>
      <c r="C6795" s="164"/>
      <c r="D6795" s="50"/>
      <c r="E6795" s="61"/>
      <c r="F6795" s="62" t="s">
        <v>418</v>
      </c>
      <c r="G6795" s="62" t="str">
        <f>IF(ISNUMBER(F6795),E6795*F6795,"")</f>
        <v/>
      </c>
      <c r="H6795" s="64"/>
      <c r="I6795" s="28"/>
      <c r="J6795" s="125">
        <v>0</v>
      </c>
    </row>
    <row r="6796" spans="1:10" ht="15.75" hidden="1" thickBot="1" x14ac:dyDescent="0.3">
      <c r="A6796" s="234" t="s">
        <v>15326</v>
      </c>
      <c r="B6796" s="237" t="s">
        <v>15327</v>
      </c>
      <c r="C6796" s="160"/>
      <c r="D6796" s="23" t="s">
        <v>69</v>
      </c>
      <c r="E6796" s="24"/>
      <c r="F6796" s="37" t="s">
        <v>418</v>
      </c>
      <c r="G6796" s="25" t="str">
        <f>IF(ISNUMBER(F6796),E6796*F6796,"")</f>
        <v/>
      </c>
      <c r="H6796" s="26"/>
      <c r="I6796" s="27"/>
      <c r="J6796" s="125">
        <v>0</v>
      </c>
    </row>
    <row r="6797" spans="1:10" ht="15.75" hidden="1" thickBot="1" x14ac:dyDescent="0.3">
      <c r="A6797" s="235"/>
      <c r="B6797" s="240"/>
      <c r="C6797" s="151"/>
      <c r="D6797" s="29"/>
      <c r="E6797" s="30"/>
      <c r="F6797" s="38" t="s">
        <v>418</v>
      </c>
      <c r="G6797" s="28" t="str">
        <f>IF(ISNUMBER(F6797),E6797*F6797,"")</f>
        <v/>
      </c>
      <c r="H6797" s="32"/>
      <c r="I6797" s="28"/>
      <c r="J6797" s="125">
        <v>0</v>
      </c>
    </row>
    <row r="6798" spans="1:10" ht="15.75" hidden="1" thickBot="1" x14ac:dyDescent="0.3">
      <c r="A6798" s="235"/>
      <c r="B6798" s="240"/>
      <c r="C6798" s="155" t="s">
        <v>38859</v>
      </c>
      <c r="D6798" s="155" t="s">
        <v>385</v>
      </c>
      <c r="E6798" s="130">
        <v>1</v>
      </c>
      <c r="F6798" s="28">
        <v>50.055499999999995</v>
      </c>
      <c r="G6798" s="28">
        <f>IF(ISNUMBER(F6798),E6798*F6798,"")</f>
        <v>50.055499999999995</v>
      </c>
      <c r="H6798" s="35">
        <f t="shared" ref="H6798" si="30">SUM(G6798:G6798)</f>
        <v>50.055499999999995</v>
      </c>
      <c r="I6798" s="36"/>
      <c r="J6798" s="125">
        <v>0</v>
      </c>
    </row>
    <row r="6799" spans="1:10" ht="15.75" hidden="1" thickBot="1" x14ac:dyDescent="0.3">
      <c r="A6799" s="236"/>
      <c r="B6799" s="239"/>
      <c r="C6799" s="164"/>
      <c r="D6799" s="50"/>
      <c r="E6799" s="61"/>
      <c r="F6799" s="62" t="s">
        <v>418</v>
      </c>
      <c r="G6799" s="62" t="str">
        <f>IF(ISNUMBER(F6799),E6799*F6799,"")</f>
        <v/>
      </c>
      <c r="H6799" s="64"/>
      <c r="I6799" s="28"/>
      <c r="J6799" s="125">
        <v>0</v>
      </c>
    </row>
    <row r="6800" spans="1:10" ht="15.75" hidden="1" thickBot="1" x14ac:dyDescent="0.3">
      <c r="A6800" s="234" t="s">
        <v>15328</v>
      </c>
      <c r="B6800" s="237" t="s">
        <v>15329</v>
      </c>
      <c r="C6800" s="160"/>
      <c r="D6800" s="23" t="s">
        <v>69</v>
      </c>
      <c r="E6800" s="24"/>
      <c r="F6800" s="37" t="s">
        <v>418</v>
      </c>
      <c r="G6800" s="25" t="str">
        <f>IF(ISNUMBER(F6800),E6800*F6800,"")</f>
        <v/>
      </c>
      <c r="H6800" s="26"/>
      <c r="I6800" s="27"/>
      <c r="J6800" s="125">
        <v>0</v>
      </c>
    </row>
    <row r="6801" spans="1:10" ht="15.75" hidden="1" thickBot="1" x14ac:dyDescent="0.3">
      <c r="A6801" s="235"/>
      <c r="B6801" s="240"/>
      <c r="C6801" s="151"/>
      <c r="D6801" s="29"/>
      <c r="E6801" s="30"/>
      <c r="F6801" s="38" t="s">
        <v>418</v>
      </c>
      <c r="G6801" s="28" t="str">
        <f>IF(ISNUMBER(F6801),E6801*F6801,"")</f>
        <v/>
      </c>
      <c r="H6801" s="32"/>
      <c r="I6801" s="28"/>
      <c r="J6801" s="125">
        <v>0</v>
      </c>
    </row>
    <row r="6802" spans="1:10" ht="15.75" hidden="1" thickBot="1" x14ac:dyDescent="0.3">
      <c r="A6802" s="235"/>
      <c r="B6802" s="240"/>
      <c r="C6802" s="142" t="s">
        <v>15529</v>
      </c>
      <c r="D6802" s="42" t="s">
        <v>69</v>
      </c>
      <c r="E6802" s="130">
        <v>1</v>
      </c>
      <c r="F6802" s="28">
        <v>0.95</v>
      </c>
      <c r="G6802" s="28">
        <f>IF(ISNUMBER(F6802),E6802*F6802,"")</f>
        <v>0.95</v>
      </c>
      <c r="H6802" s="35">
        <f t="shared" ref="H6802" si="31">SUM(G6802:G6802)</f>
        <v>0.95</v>
      </c>
      <c r="I6802" s="36"/>
      <c r="J6802" s="125">
        <v>0</v>
      </c>
    </row>
    <row r="6803" spans="1:10" ht="15.75" hidden="1" thickBot="1" x14ac:dyDescent="0.3">
      <c r="A6803" s="236"/>
      <c r="B6803" s="239"/>
      <c r="C6803" s="164"/>
      <c r="D6803" s="50"/>
      <c r="E6803" s="61"/>
      <c r="F6803" s="62" t="s">
        <v>418</v>
      </c>
      <c r="G6803" s="62" t="str">
        <f>IF(ISNUMBER(F6803),E6803*F6803,"")</f>
        <v/>
      </c>
      <c r="H6803" s="64"/>
      <c r="I6803" s="28"/>
      <c r="J6803" s="125">
        <v>0</v>
      </c>
    </row>
    <row r="6804" spans="1:10" ht="15.75" hidden="1" thickBot="1" x14ac:dyDescent="0.3">
      <c r="A6804" s="234" t="s">
        <v>15330</v>
      </c>
      <c r="B6804" s="237" t="s">
        <v>15331</v>
      </c>
      <c r="C6804" s="160"/>
      <c r="D6804" s="23" t="s">
        <v>69</v>
      </c>
      <c r="E6804" s="24"/>
      <c r="F6804" s="37" t="s">
        <v>418</v>
      </c>
      <c r="G6804" s="25" t="str">
        <f>IF(ISNUMBER(F6804),E6804*F6804,"")</f>
        <v/>
      </c>
      <c r="H6804" s="26"/>
      <c r="I6804" s="27"/>
      <c r="J6804" s="125">
        <v>0</v>
      </c>
    </row>
    <row r="6805" spans="1:10" ht="15.75" hidden="1" thickBot="1" x14ac:dyDescent="0.3">
      <c r="A6805" s="235"/>
      <c r="B6805" s="240"/>
      <c r="C6805" s="151"/>
      <c r="D6805" s="29"/>
      <c r="E6805" s="30"/>
      <c r="F6805" s="38" t="s">
        <v>418</v>
      </c>
      <c r="G6805" s="28" t="str">
        <f>IF(ISNUMBER(F6805),E6805*F6805,"")</f>
        <v/>
      </c>
      <c r="H6805" s="32"/>
      <c r="I6805" s="28"/>
      <c r="J6805" s="125">
        <v>0</v>
      </c>
    </row>
    <row r="6806" spans="1:10" ht="15.75" hidden="1" thickBot="1" x14ac:dyDescent="0.3">
      <c r="A6806" s="235"/>
      <c r="B6806" s="240"/>
      <c r="C6806" s="155" t="s">
        <v>38860</v>
      </c>
      <c r="D6806" s="155" t="s">
        <v>385</v>
      </c>
      <c r="E6806" s="130">
        <v>1</v>
      </c>
      <c r="F6806" s="28">
        <v>11.342999999999998</v>
      </c>
      <c r="G6806" s="28">
        <f>IF(ISNUMBER(F6806),E6806*F6806,"")</f>
        <v>11.342999999999998</v>
      </c>
      <c r="H6806" s="35">
        <f t="shared" ref="H6806" si="32">SUM(G6806:G6806)</f>
        <v>11.342999999999998</v>
      </c>
      <c r="I6806" s="36"/>
      <c r="J6806" s="125">
        <v>0</v>
      </c>
    </row>
    <row r="6807" spans="1:10" ht="15.75" hidden="1" thickBot="1" x14ac:dyDescent="0.3">
      <c r="A6807" s="236"/>
      <c r="B6807" s="239"/>
      <c r="C6807" s="164"/>
      <c r="D6807" s="50"/>
      <c r="E6807" s="61"/>
      <c r="F6807" s="62" t="s">
        <v>418</v>
      </c>
      <c r="G6807" s="62" t="str">
        <f>IF(ISNUMBER(F6807),E6807*F6807,"")</f>
        <v/>
      </c>
      <c r="H6807" s="64"/>
      <c r="I6807" s="28"/>
      <c r="J6807" s="125">
        <v>0</v>
      </c>
    </row>
    <row r="6808" spans="1:10" ht="15.75" hidden="1" thickBot="1" x14ac:dyDescent="0.3">
      <c r="A6808" s="234" t="s">
        <v>15332</v>
      </c>
      <c r="B6808" s="237" t="s">
        <v>15333</v>
      </c>
      <c r="C6808" s="160"/>
      <c r="D6808" s="23" t="s">
        <v>69</v>
      </c>
      <c r="E6808" s="24"/>
      <c r="F6808" s="37" t="s">
        <v>418</v>
      </c>
      <c r="G6808" s="25" t="str">
        <f>IF(ISNUMBER(F6808),E6808*F6808,"")</f>
        <v/>
      </c>
      <c r="H6808" s="26"/>
      <c r="I6808" s="27"/>
      <c r="J6808" s="125">
        <v>0</v>
      </c>
    </row>
    <row r="6809" spans="1:10" ht="15.75" hidden="1" thickBot="1" x14ac:dyDescent="0.3">
      <c r="A6809" s="235"/>
      <c r="B6809" s="240"/>
      <c r="C6809" s="151"/>
      <c r="D6809" s="29"/>
      <c r="E6809" s="30"/>
      <c r="F6809" s="38" t="s">
        <v>418</v>
      </c>
      <c r="G6809" s="28" t="str">
        <f>IF(ISNUMBER(F6809),E6809*F6809,"")</f>
        <v/>
      </c>
      <c r="H6809" s="32"/>
      <c r="I6809" s="28"/>
      <c r="J6809" s="125">
        <v>0</v>
      </c>
    </row>
    <row r="6810" spans="1:10" ht="15.75" hidden="1" thickBot="1" x14ac:dyDescent="0.3">
      <c r="A6810" s="235"/>
      <c r="B6810" s="240"/>
      <c r="C6810" s="142" t="s">
        <v>15644</v>
      </c>
      <c r="D6810" s="42" t="s">
        <v>69</v>
      </c>
      <c r="E6810" s="130">
        <v>1</v>
      </c>
      <c r="F6810" s="28">
        <v>0.95</v>
      </c>
      <c r="G6810" s="28">
        <f>IF(ISNUMBER(F6810),E6810*F6810,"")</f>
        <v>0.95</v>
      </c>
      <c r="H6810" s="35">
        <f t="shared" ref="H6810" si="33">SUM(G6810:G6810)</f>
        <v>0.95</v>
      </c>
      <c r="I6810" s="36"/>
      <c r="J6810" s="125">
        <v>0</v>
      </c>
    </row>
    <row r="6811" spans="1:10" ht="15.75" hidden="1" thickBot="1" x14ac:dyDescent="0.3">
      <c r="A6811" s="236"/>
      <c r="B6811" s="239"/>
      <c r="C6811" s="164"/>
      <c r="D6811" s="50"/>
      <c r="E6811" s="61"/>
      <c r="F6811" s="62" t="s">
        <v>418</v>
      </c>
      <c r="G6811" s="62" t="str">
        <f>IF(ISNUMBER(F6811),E6811*F6811,"")</f>
        <v/>
      </c>
      <c r="H6811" s="64"/>
      <c r="I6811" s="28"/>
      <c r="J6811" s="125">
        <v>0</v>
      </c>
    </row>
    <row r="6812" spans="1:10" ht="15.75" hidden="1" thickBot="1" x14ac:dyDescent="0.3">
      <c r="A6812" s="234" t="s">
        <v>15334</v>
      </c>
      <c r="B6812" s="237" t="s">
        <v>19628</v>
      </c>
      <c r="C6812" s="160"/>
      <c r="D6812" s="23" t="s">
        <v>69</v>
      </c>
      <c r="E6812" s="24"/>
      <c r="F6812" s="37" t="s">
        <v>418</v>
      </c>
      <c r="G6812" s="25" t="str">
        <f>IF(ISNUMBER(F6812),E6812*F6812,"")</f>
        <v/>
      </c>
      <c r="H6812" s="26"/>
      <c r="I6812" s="27"/>
      <c r="J6812" s="125">
        <v>0</v>
      </c>
    </row>
    <row r="6813" spans="1:10" ht="15.75" hidden="1" thickBot="1" x14ac:dyDescent="0.3">
      <c r="A6813" s="235"/>
      <c r="B6813" s="240"/>
      <c r="C6813" s="151"/>
      <c r="D6813" s="29"/>
      <c r="E6813" s="30"/>
      <c r="F6813" s="38" t="s">
        <v>418</v>
      </c>
      <c r="G6813" s="28" t="str">
        <f>IF(ISNUMBER(F6813),E6813*F6813,"")</f>
        <v/>
      </c>
      <c r="H6813" s="32"/>
      <c r="I6813" s="28"/>
      <c r="J6813" s="125">
        <v>0</v>
      </c>
    </row>
    <row r="6814" spans="1:10" ht="15.75" hidden="1" thickBot="1" x14ac:dyDescent="0.3">
      <c r="A6814" s="235"/>
      <c r="B6814" s="240"/>
      <c r="C6814" s="155" t="s">
        <v>28272</v>
      </c>
      <c r="D6814" s="155" t="s">
        <v>385</v>
      </c>
      <c r="E6814" s="130">
        <v>1</v>
      </c>
      <c r="F6814" s="28">
        <v>4.1040000000000001</v>
      </c>
      <c r="G6814" s="28">
        <f>IF(ISNUMBER(F6814),E6814*F6814,"")</f>
        <v>4.1040000000000001</v>
      </c>
      <c r="H6814" s="35">
        <f t="shared" ref="H6814" si="34">SUM(G6814:G6814)</f>
        <v>4.1040000000000001</v>
      </c>
      <c r="I6814" s="36"/>
      <c r="J6814" s="125">
        <v>0</v>
      </c>
    </row>
    <row r="6815" spans="1:10" ht="15.75" hidden="1" thickBot="1" x14ac:dyDescent="0.3">
      <c r="A6815" s="236"/>
      <c r="B6815" s="239"/>
      <c r="C6815" s="164"/>
      <c r="D6815" s="50"/>
      <c r="E6815" s="61"/>
      <c r="F6815" s="62" t="s">
        <v>418</v>
      </c>
      <c r="G6815" s="62" t="str">
        <f>IF(ISNUMBER(F6815),E6815*F6815,"")</f>
        <v/>
      </c>
      <c r="H6815" s="64"/>
      <c r="I6815" s="28"/>
      <c r="J6815" s="125">
        <v>0</v>
      </c>
    </row>
    <row r="6816" spans="1:10" ht="15.75" hidden="1" thickBot="1" x14ac:dyDescent="0.3">
      <c r="A6816" s="234" t="s">
        <v>15335</v>
      </c>
      <c r="B6816" s="237" t="s">
        <v>19629</v>
      </c>
      <c r="C6816" s="160"/>
      <c r="D6816" s="23" t="s">
        <v>69</v>
      </c>
      <c r="E6816" s="24"/>
      <c r="F6816" s="37" t="s">
        <v>418</v>
      </c>
      <c r="G6816" s="25" t="str">
        <f>IF(ISNUMBER(F6816),E6816*F6816,"")</f>
        <v/>
      </c>
      <c r="H6816" s="26"/>
      <c r="I6816" s="27"/>
      <c r="J6816" s="125">
        <v>0</v>
      </c>
    </row>
    <row r="6817" spans="1:10" ht="15.75" hidden="1" thickBot="1" x14ac:dyDescent="0.3">
      <c r="A6817" s="235"/>
      <c r="B6817" s="240"/>
      <c r="C6817" s="151"/>
      <c r="D6817" s="29"/>
      <c r="E6817" s="30"/>
      <c r="F6817" s="38" t="s">
        <v>418</v>
      </c>
      <c r="G6817" s="28" t="str">
        <f>IF(ISNUMBER(F6817),E6817*F6817,"")</f>
        <v/>
      </c>
      <c r="H6817" s="32"/>
      <c r="I6817" s="28"/>
      <c r="J6817" s="125">
        <v>0</v>
      </c>
    </row>
    <row r="6818" spans="1:10" ht="15.75" hidden="1" thickBot="1" x14ac:dyDescent="0.3">
      <c r="A6818" s="235"/>
      <c r="B6818" s="240"/>
      <c r="C6818" s="155" t="s">
        <v>28273</v>
      </c>
      <c r="D6818" s="155" t="s">
        <v>385</v>
      </c>
      <c r="E6818" s="130">
        <v>1</v>
      </c>
      <c r="F6818" s="28">
        <v>4.6360000000000001</v>
      </c>
      <c r="G6818" s="28">
        <f>IF(ISNUMBER(F6818),E6818*F6818,"")</f>
        <v>4.6360000000000001</v>
      </c>
      <c r="H6818" s="35">
        <f t="shared" ref="H6818" si="35">SUM(G6818:G6818)</f>
        <v>4.6360000000000001</v>
      </c>
      <c r="I6818" s="36"/>
      <c r="J6818" s="125">
        <v>0</v>
      </c>
    </row>
    <row r="6819" spans="1:10" ht="15.75" hidden="1" thickBot="1" x14ac:dyDescent="0.3">
      <c r="A6819" s="236"/>
      <c r="B6819" s="239"/>
      <c r="C6819" s="164"/>
      <c r="D6819" s="50"/>
      <c r="E6819" s="61"/>
      <c r="F6819" s="62" t="s">
        <v>418</v>
      </c>
      <c r="G6819" s="62" t="str">
        <f>IF(ISNUMBER(F6819),E6819*F6819,"")</f>
        <v/>
      </c>
      <c r="H6819" s="64"/>
      <c r="I6819" s="28"/>
      <c r="J6819" s="125">
        <v>0</v>
      </c>
    </row>
    <row r="6820" spans="1:10" ht="15.75" hidden="1" thickBot="1" x14ac:dyDescent="0.3">
      <c r="A6820" s="234" t="s">
        <v>15336</v>
      </c>
      <c r="B6820" s="237" t="s">
        <v>19630</v>
      </c>
      <c r="C6820" s="160"/>
      <c r="D6820" s="23" t="s">
        <v>69</v>
      </c>
      <c r="E6820" s="24"/>
      <c r="F6820" s="37" t="s">
        <v>418</v>
      </c>
      <c r="G6820" s="25" t="str">
        <f>IF(ISNUMBER(F6820),E6820*F6820,"")</f>
        <v/>
      </c>
      <c r="H6820" s="26"/>
      <c r="I6820" s="27"/>
      <c r="J6820" s="125">
        <v>0</v>
      </c>
    </row>
    <row r="6821" spans="1:10" ht="15.75" hidden="1" thickBot="1" x14ac:dyDescent="0.3">
      <c r="A6821" s="235"/>
      <c r="B6821" s="240"/>
      <c r="C6821" s="151"/>
      <c r="D6821" s="29"/>
      <c r="E6821" s="30"/>
      <c r="F6821" s="38" t="s">
        <v>418</v>
      </c>
      <c r="G6821" s="28" t="str">
        <f>IF(ISNUMBER(F6821),E6821*F6821,"")</f>
        <v/>
      </c>
      <c r="H6821" s="32"/>
      <c r="I6821" s="28"/>
      <c r="J6821" s="125">
        <v>0</v>
      </c>
    </row>
    <row r="6822" spans="1:10" ht="15.75" hidden="1" thickBot="1" x14ac:dyDescent="0.3">
      <c r="A6822" s="235"/>
      <c r="B6822" s="240"/>
      <c r="C6822" s="155" t="s">
        <v>28274</v>
      </c>
      <c r="D6822" s="155" t="s">
        <v>385</v>
      </c>
      <c r="E6822" s="130">
        <v>1</v>
      </c>
      <c r="F6822" s="28">
        <v>10.003499999999999</v>
      </c>
      <c r="G6822" s="28">
        <f>IF(ISNUMBER(F6822),E6822*F6822,"")</f>
        <v>10.003499999999999</v>
      </c>
      <c r="H6822" s="35">
        <f t="shared" ref="H6822" si="36">SUM(G6822:G6822)</f>
        <v>10.003499999999999</v>
      </c>
      <c r="I6822" s="36"/>
      <c r="J6822" s="125">
        <v>0</v>
      </c>
    </row>
    <row r="6823" spans="1:10" ht="15.75" hidden="1" thickBot="1" x14ac:dyDescent="0.3">
      <c r="A6823" s="236"/>
      <c r="B6823" s="239"/>
      <c r="C6823" s="164"/>
      <c r="D6823" s="50"/>
      <c r="E6823" s="61"/>
      <c r="F6823" s="62" t="s">
        <v>418</v>
      </c>
      <c r="G6823" s="62" t="str">
        <f>IF(ISNUMBER(F6823),E6823*F6823,"")</f>
        <v/>
      </c>
      <c r="H6823" s="64"/>
      <c r="I6823" s="28"/>
      <c r="J6823" s="125">
        <v>0</v>
      </c>
    </row>
    <row r="6824" spans="1:10" ht="15.75" hidden="1" thickBot="1" x14ac:dyDescent="0.3">
      <c r="A6824" s="234" t="s">
        <v>15337</v>
      </c>
      <c r="B6824" s="237" t="s">
        <v>19631</v>
      </c>
      <c r="C6824" s="160"/>
      <c r="D6824" s="23" t="s">
        <v>69</v>
      </c>
      <c r="E6824" s="24"/>
      <c r="F6824" s="37" t="s">
        <v>418</v>
      </c>
      <c r="G6824" s="25" t="str">
        <f>IF(ISNUMBER(F6824),E6824*F6824,"")</f>
        <v/>
      </c>
      <c r="H6824" s="26"/>
      <c r="I6824" s="27"/>
      <c r="J6824" s="125">
        <v>0</v>
      </c>
    </row>
    <row r="6825" spans="1:10" ht="15.75" hidden="1" thickBot="1" x14ac:dyDescent="0.3">
      <c r="A6825" s="235"/>
      <c r="B6825" s="240"/>
      <c r="C6825" s="151"/>
      <c r="D6825" s="29"/>
      <c r="E6825" s="30"/>
      <c r="F6825" s="38" t="s">
        <v>418</v>
      </c>
      <c r="G6825" s="28" t="str">
        <f>IF(ISNUMBER(F6825),E6825*F6825,"")</f>
        <v/>
      </c>
      <c r="H6825" s="32"/>
      <c r="I6825" s="28"/>
      <c r="J6825" s="125">
        <v>0</v>
      </c>
    </row>
    <row r="6826" spans="1:10" ht="15.75" hidden="1" thickBot="1" x14ac:dyDescent="0.3">
      <c r="A6826" s="235"/>
      <c r="B6826" s="240"/>
      <c r="C6826" s="155" t="s">
        <v>28275</v>
      </c>
      <c r="D6826" s="155" t="s">
        <v>385</v>
      </c>
      <c r="E6826" s="130">
        <v>1</v>
      </c>
      <c r="F6826" s="28">
        <v>15.712999999999999</v>
      </c>
      <c r="G6826" s="28">
        <f>IF(ISNUMBER(F6826),E6826*F6826,"")</f>
        <v>15.712999999999999</v>
      </c>
      <c r="H6826" s="35">
        <f t="shared" ref="H6826" si="37">SUM(G6826:G6826)</f>
        <v>15.712999999999999</v>
      </c>
      <c r="I6826" s="36"/>
      <c r="J6826" s="125">
        <v>0</v>
      </c>
    </row>
    <row r="6827" spans="1:10" ht="15.75" hidden="1" thickBot="1" x14ac:dyDescent="0.3">
      <c r="A6827" s="236"/>
      <c r="B6827" s="239"/>
      <c r="C6827" s="164"/>
      <c r="D6827" s="50"/>
      <c r="E6827" s="61"/>
      <c r="F6827" s="62" t="s">
        <v>418</v>
      </c>
      <c r="G6827" s="62" t="str">
        <f>IF(ISNUMBER(F6827),E6827*F6827,"")</f>
        <v/>
      </c>
      <c r="H6827" s="64"/>
      <c r="I6827" s="28"/>
      <c r="J6827" s="125">
        <v>0</v>
      </c>
    </row>
    <row r="6828" spans="1:10" ht="15.75" hidden="1" thickBot="1" x14ac:dyDescent="0.3">
      <c r="A6828" s="234" t="s">
        <v>15338</v>
      </c>
      <c r="B6828" s="237" t="s">
        <v>19632</v>
      </c>
      <c r="C6828" s="160"/>
      <c r="D6828" s="23" t="s">
        <v>69</v>
      </c>
      <c r="E6828" s="24"/>
      <c r="F6828" s="37" t="s">
        <v>418</v>
      </c>
      <c r="G6828" s="25" t="str">
        <f>IF(ISNUMBER(F6828),E6828*F6828,"")</f>
        <v/>
      </c>
      <c r="H6828" s="26"/>
      <c r="I6828" s="27"/>
      <c r="J6828" s="125">
        <v>0</v>
      </c>
    </row>
    <row r="6829" spans="1:10" ht="15.75" hidden="1" thickBot="1" x14ac:dyDescent="0.3">
      <c r="A6829" s="235"/>
      <c r="B6829" s="240"/>
      <c r="C6829" s="151"/>
      <c r="D6829" s="29"/>
      <c r="E6829" s="30"/>
      <c r="F6829" s="38" t="s">
        <v>418</v>
      </c>
      <c r="G6829" s="28" t="str">
        <f>IF(ISNUMBER(F6829),E6829*F6829,"")</f>
        <v/>
      </c>
      <c r="H6829" s="32"/>
      <c r="I6829" s="28"/>
      <c r="J6829" s="125">
        <v>0</v>
      </c>
    </row>
    <row r="6830" spans="1:10" ht="15.75" hidden="1" thickBot="1" x14ac:dyDescent="0.3">
      <c r="A6830" s="235"/>
      <c r="B6830" s="240"/>
      <c r="C6830" s="155" t="s">
        <v>28276</v>
      </c>
      <c r="D6830" s="155" t="s">
        <v>385</v>
      </c>
      <c r="E6830" s="130">
        <v>1</v>
      </c>
      <c r="F6830" s="28">
        <v>17.233000000000001</v>
      </c>
      <c r="G6830" s="28">
        <f>IF(ISNUMBER(F6830),E6830*F6830,"")</f>
        <v>17.233000000000001</v>
      </c>
      <c r="H6830" s="35">
        <f t="shared" ref="H6830" si="38">SUM(G6830:G6830)</f>
        <v>17.233000000000001</v>
      </c>
      <c r="I6830" s="36"/>
      <c r="J6830" s="125">
        <v>0</v>
      </c>
    </row>
    <row r="6831" spans="1:10" ht="15.75" hidden="1" thickBot="1" x14ac:dyDescent="0.3">
      <c r="A6831" s="236"/>
      <c r="B6831" s="239"/>
      <c r="C6831" s="164"/>
      <c r="D6831" s="50"/>
      <c r="E6831" s="61"/>
      <c r="F6831" s="62" t="s">
        <v>418</v>
      </c>
      <c r="G6831" s="62" t="str">
        <f>IF(ISNUMBER(F6831),E6831*F6831,"")</f>
        <v/>
      </c>
      <c r="H6831" s="64"/>
      <c r="I6831" s="28"/>
      <c r="J6831" s="125">
        <v>0</v>
      </c>
    </row>
    <row r="6832" spans="1:10" ht="15.75" hidden="1" thickBot="1" x14ac:dyDescent="0.3">
      <c r="A6832" s="234" t="s">
        <v>15339</v>
      </c>
      <c r="B6832" s="237" t="s">
        <v>19633</v>
      </c>
      <c r="C6832" s="160"/>
      <c r="D6832" s="23" t="s">
        <v>69</v>
      </c>
      <c r="E6832" s="24"/>
      <c r="F6832" s="37" t="s">
        <v>418</v>
      </c>
      <c r="G6832" s="25" t="str">
        <f>IF(ISNUMBER(F6832),E6832*F6832,"")</f>
        <v/>
      </c>
      <c r="H6832" s="26"/>
      <c r="I6832" s="27"/>
      <c r="J6832" s="125">
        <v>0</v>
      </c>
    </row>
    <row r="6833" spans="1:10" ht="15.75" hidden="1" thickBot="1" x14ac:dyDescent="0.3">
      <c r="A6833" s="235"/>
      <c r="B6833" s="240"/>
      <c r="C6833" s="151"/>
      <c r="D6833" s="29"/>
      <c r="E6833" s="30"/>
      <c r="F6833" s="38" t="s">
        <v>418</v>
      </c>
      <c r="G6833" s="28" t="str">
        <f>IF(ISNUMBER(F6833),E6833*F6833,"")</f>
        <v/>
      </c>
      <c r="H6833" s="32"/>
      <c r="I6833" s="28"/>
      <c r="J6833" s="125">
        <v>0</v>
      </c>
    </row>
    <row r="6834" spans="1:10" ht="15.75" hidden="1" thickBot="1" x14ac:dyDescent="0.3">
      <c r="A6834" s="235"/>
      <c r="B6834" s="240"/>
      <c r="C6834" s="155" t="s">
        <v>28277</v>
      </c>
      <c r="D6834" s="155" t="s">
        <v>385</v>
      </c>
      <c r="E6834" s="130">
        <v>1</v>
      </c>
      <c r="F6834" s="28">
        <v>28.347999999999999</v>
      </c>
      <c r="G6834" s="28">
        <f>IF(ISNUMBER(F6834),E6834*F6834,"")</f>
        <v>28.347999999999999</v>
      </c>
      <c r="H6834" s="35">
        <f t="shared" ref="H6834" si="39">SUM(G6834:G6834)</f>
        <v>28.347999999999999</v>
      </c>
      <c r="I6834" s="36"/>
      <c r="J6834" s="125">
        <v>0</v>
      </c>
    </row>
    <row r="6835" spans="1:10" ht="15.75" hidden="1" thickBot="1" x14ac:dyDescent="0.3">
      <c r="A6835" s="236"/>
      <c r="B6835" s="239"/>
      <c r="C6835" s="164"/>
      <c r="D6835" s="50"/>
      <c r="E6835" s="61"/>
      <c r="F6835" s="62" t="s">
        <v>418</v>
      </c>
      <c r="G6835" s="62" t="str">
        <f>IF(ISNUMBER(F6835),E6835*F6835,"")</f>
        <v/>
      </c>
      <c r="H6835" s="64"/>
      <c r="I6835" s="28"/>
      <c r="J6835" s="125">
        <v>0</v>
      </c>
    </row>
    <row r="6836" spans="1:10" ht="15.75" hidden="1" thickBot="1" x14ac:dyDescent="0.3">
      <c r="A6836" s="234" t="s">
        <v>15340</v>
      </c>
      <c r="B6836" s="237" t="s">
        <v>15341</v>
      </c>
      <c r="C6836" s="160"/>
      <c r="D6836" s="23" t="s">
        <v>69</v>
      </c>
      <c r="E6836" s="24"/>
      <c r="F6836" s="37" t="s">
        <v>418</v>
      </c>
      <c r="G6836" s="25" t="str">
        <f>IF(ISNUMBER(F6836),E6836*F6836,"")</f>
        <v/>
      </c>
      <c r="H6836" s="26"/>
      <c r="I6836" s="27"/>
      <c r="J6836" s="125">
        <v>0</v>
      </c>
    </row>
    <row r="6837" spans="1:10" ht="15.75" hidden="1" thickBot="1" x14ac:dyDescent="0.3">
      <c r="A6837" s="235"/>
      <c r="B6837" s="240"/>
      <c r="C6837" s="151"/>
      <c r="D6837" s="29"/>
      <c r="E6837" s="30"/>
      <c r="F6837" s="38" t="s">
        <v>418</v>
      </c>
      <c r="G6837" s="28" t="str">
        <f>IF(ISNUMBER(F6837),E6837*F6837,"")</f>
        <v/>
      </c>
      <c r="H6837" s="32"/>
      <c r="I6837" s="28"/>
      <c r="J6837" s="125">
        <v>0</v>
      </c>
    </row>
    <row r="6838" spans="1:10" ht="15.75" hidden="1" thickBot="1" x14ac:dyDescent="0.3">
      <c r="A6838" s="235"/>
      <c r="B6838" s="240"/>
      <c r="C6838" s="155" t="s">
        <v>28278</v>
      </c>
      <c r="D6838" s="155" t="s">
        <v>385</v>
      </c>
      <c r="E6838" s="130">
        <v>1</v>
      </c>
      <c r="F6838" s="28">
        <v>46.977499999999999</v>
      </c>
      <c r="G6838" s="28">
        <f>IF(ISNUMBER(F6838),E6838*F6838,"")</f>
        <v>46.977499999999999</v>
      </c>
      <c r="H6838" s="35">
        <f t="shared" ref="H6838" si="40">SUM(G6838:G6838)</f>
        <v>46.977499999999999</v>
      </c>
      <c r="I6838" s="36"/>
      <c r="J6838" s="125">
        <v>0</v>
      </c>
    </row>
    <row r="6839" spans="1:10" ht="15.75" hidden="1" thickBot="1" x14ac:dyDescent="0.3">
      <c r="A6839" s="236"/>
      <c r="B6839" s="239"/>
      <c r="C6839" s="164"/>
      <c r="D6839" s="50"/>
      <c r="E6839" s="61"/>
      <c r="F6839" s="62" t="s">
        <v>418</v>
      </c>
      <c r="G6839" s="62" t="str">
        <f>IF(ISNUMBER(F6839),E6839*F6839,"")</f>
        <v/>
      </c>
      <c r="H6839" s="64"/>
      <c r="I6839" s="28"/>
      <c r="J6839" s="125">
        <v>0</v>
      </c>
    </row>
    <row r="6840" spans="1:10" ht="15.75" hidden="1" thickBot="1" x14ac:dyDescent="0.3">
      <c r="A6840" s="234" t="s">
        <v>15342</v>
      </c>
      <c r="B6840" s="237" t="s">
        <v>15343</v>
      </c>
      <c r="C6840" s="160"/>
      <c r="D6840" s="23" t="s">
        <v>69</v>
      </c>
      <c r="E6840" s="24"/>
      <c r="F6840" s="37" t="s">
        <v>418</v>
      </c>
      <c r="G6840" s="25" t="str">
        <f>IF(ISNUMBER(F6840),E6840*F6840,"")</f>
        <v/>
      </c>
      <c r="H6840" s="26"/>
      <c r="I6840" s="27"/>
      <c r="J6840" s="125">
        <v>0</v>
      </c>
    </row>
    <row r="6841" spans="1:10" ht="15.75" hidden="1" thickBot="1" x14ac:dyDescent="0.3">
      <c r="A6841" s="235"/>
      <c r="B6841" s="240"/>
      <c r="C6841" s="151"/>
      <c r="D6841" s="29"/>
      <c r="E6841" s="30"/>
      <c r="F6841" s="38" t="s">
        <v>418</v>
      </c>
      <c r="G6841" s="28" t="str">
        <f>IF(ISNUMBER(F6841),E6841*F6841,"")</f>
        <v/>
      </c>
      <c r="H6841" s="32"/>
      <c r="I6841" s="28"/>
      <c r="J6841" s="125">
        <v>0</v>
      </c>
    </row>
    <row r="6842" spans="1:10" ht="15.75" hidden="1" thickBot="1" x14ac:dyDescent="0.3">
      <c r="A6842" s="235"/>
      <c r="B6842" s="240"/>
      <c r="C6842" s="155" t="s">
        <v>28279</v>
      </c>
      <c r="D6842" s="155" t="s">
        <v>385</v>
      </c>
      <c r="E6842" s="130">
        <v>1</v>
      </c>
      <c r="F6842" s="28">
        <v>65.350499999999997</v>
      </c>
      <c r="G6842" s="28">
        <f>IF(ISNUMBER(F6842),E6842*F6842,"")</f>
        <v>65.350499999999997</v>
      </c>
      <c r="H6842" s="35">
        <f t="shared" ref="H6842" si="41">SUM(G6842:G6842)</f>
        <v>65.350499999999997</v>
      </c>
      <c r="I6842" s="36"/>
      <c r="J6842" s="125">
        <v>0</v>
      </c>
    </row>
    <row r="6843" spans="1:10" ht="15.75" hidden="1" thickBot="1" x14ac:dyDescent="0.3">
      <c r="A6843" s="236"/>
      <c r="B6843" s="239"/>
      <c r="C6843" s="164"/>
      <c r="D6843" s="50"/>
      <c r="E6843" s="61"/>
      <c r="F6843" s="62" t="s">
        <v>418</v>
      </c>
      <c r="G6843" s="62" t="str">
        <f>IF(ISNUMBER(F6843),E6843*F6843,"")</f>
        <v/>
      </c>
      <c r="H6843" s="64"/>
      <c r="I6843" s="28"/>
      <c r="J6843" s="125">
        <v>0</v>
      </c>
    </row>
    <row r="6844" spans="1:10" ht="15.75" hidden="1" thickBot="1" x14ac:dyDescent="0.3">
      <c r="A6844" s="234" t="s">
        <v>15344</v>
      </c>
      <c r="B6844" s="237" t="s">
        <v>15345</v>
      </c>
      <c r="C6844" s="160"/>
      <c r="D6844" s="23" t="s">
        <v>69</v>
      </c>
      <c r="E6844" s="24"/>
      <c r="F6844" s="37" t="s">
        <v>418</v>
      </c>
      <c r="G6844" s="25" t="str">
        <f>IF(ISNUMBER(F6844),E6844*F6844,"")</f>
        <v/>
      </c>
      <c r="H6844" s="26"/>
      <c r="I6844" s="27"/>
      <c r="J6844" s="125">
        <v>0</v>
      </c>
    </row>
    <row r="6845" spans="1:10" ht="15.75" hidden="1" thickBot="1" x14ac:dyDescent="0.3">
      <c r="A6845" s="235"/>
      <c r="B6845" s="240"/>
      <c r="C6845" s="151"/>
      <c r="D6845" s="29"/>
      <c r="E6845" s="30"/>
      <c r="F6845" s="38" t="s">
        <v>418</v>
      </c>
      <c r="G6845" s="28" t="str">
        <f>IF(ISNUMBER(F6845),E6845*F6845,"")</f>
        <v/>
      </c>
      <c r="H6845" s="32"/>
      <c r="I6845" s="28"/>
      <c r="J6845" s="125">
        <v>0</v>
      </c>
    </row>
    <row r="6846" spans="1:10" ht="15.75" hidden="1" thickBot="1" x14ac:dyDescent="0.3">
      <c r="A6846" s="235"/>
      <c r="B6846" s="240"/>
      <c r="C6846" s="155" t="s">
        <v>28271</v>
      </c>
      <c r="D6846" s="155" t="s">
        <v>385</v>
      </c>
      <c r="E6846" s="130">
        <v>1</v>
      </c>
      <c r="F6846" s="28">
        <v>102.27699999999999</v>
      </c>
      <c r="G6846" s="28">
        <f>IF(ISNUMBER(F6846),E6846*F6846,"")</f>
        <v>102.27699999999999</v>
      </c>
      <c r="H6846" s="35">
        <f t="shared" ref="H6846" si="42">SUM(G6846:G6846)</f>
        <v>102.27699999999999</v>
      </c>
      <c r="I6846" s="36"/>
      <c r="J6846" s="125">
        <v>0</v>
      </c>
    </row>
    <row r="6847" spans="1:10" ht="15.75" hidden="1" thickBot="1" x14ac:dyDescent="0.3">
      <c r="A6847" s="236"/>
      <c r="B6847" s="239"/>
      <c r="C6847" s="164"/>
      <c r="D6847" s="50"/>
      <c r="E6847" s="61"/>
      <c r="F6847" s="62" t="s">
        <v>418</v>
      </c>
      <c r="G6847" s="62" t="str">
        <f>IF(ISNUMBER(F6847),E6847*F6847,"")</f>
        <v/>
      </c>
      <c r="H6847" s="64"/>
      <c r="I6847" s="28"/>
      <c r="J6847" s="125">
        <v>0</v>
      </c>
    </row>
    <row r="6848" spans="1:10" ht="15.75" hidden="1" thickBot="1" x14ac:dyDescent="0.3">
      <c r="A6848" s="234" t="s">
        <v>15346</v>
      </c>
      <c r="B6848" s="237" t="s">
        <v>15347</v>
      </c>
      <c r="C6848" s="160"/>
      <c r="D6848" s="23" t="s">
        <v>16</v>
      </c>
      <c r="E6848" s="24"/>
      <c r="F6848" s="37" t="s">
        <v>418</v>
      </c>
      <c r="G6848" s="25" t="str">
        <f>IF(ISNUMBER(F6848),E6848*F6848,"")</f>
        <v/>
      </c>
      <c r="H6848" s="26"/>
      <c r="I6848" s="27"/>
      <c r="J6848" s="125">
        <v>0</v>
      </c>
    </row>
    <row r="6849" spans="1:10" ht="15.75" hidden="1" thickBot="1" x14ac:dyDescent="0.3">
      <c r="A6849" s="235"/>
      <c r="B6849" s="240"/>
      <c r="C6849" s="151"/>
      <c r="D6849" s="29"/>
      <c r="E6849" s="30"/>
      <c r="F6849" s="38" t="s">
        <v>418</v>
      </c>
      <c r="G6849" s="28" t="str">
        <f>IF(ISNUMBER(F6849),E6849*F6849,"")</f>
        <v/>
      </c>
      <c r="H6849" s="32"/>
      <c r="I6849" s="28"/>
      <c r="J6849" s="125">
        <v>0</v>
      </c>
    </row>
    <row r="6850" spans="1:10" ht="15.75" hidden="1" thickBot="1" x14ac:dyDescent="0.3">
      <c r="A6850" s="235"/>
      <c r="B6850" s="240"/>
      <c r="C6850" s="155" t="s">
        <v>28394</v>
      </c>
      <c r="D6850" s="155" t="s">
        <v>205</v>
      </c>
      <c r="E6850" s="130">
        <v>1</v>
      </c>
      <c r="F6850" s="28">
        <v>35.387499999999996</v>
      </c>
      <c r="G6850" s="28">
        <f>IF(ISNUMBER(F6850),E6850*F6850,"")</f>
        <v>35.387499999999996</v>
      </c>
      <c r="H6850" s="35">
        <f t="shared" ref="H6850" si="43">SUM(G6850:G6850)</f>
        <v>35.387499999999996</v>
      </c>
      <c r="I6850" s="36"/>
      <c r="J6850" s="125">
        <v>0</v>
      </c>
    </row>
    <row r="6851" spans="1:10" ht="15.75" hidden="1" thickBot="1" x14ac:dyDescent="0.3">
      <c r="A6851" s="236"/>
      <c r="B6851" s="239"/>
      <c r="C6851" s="164"/>
      <c r="D6851" s="50"/>
      <c r="E6851" s="61"/>
      <c r="F6851" s="62" t="s">
        <v>418</v>
      </c>
      <c r="G6851" s="62" t="str">
        <f>IF(ISNUMBER(F6851),E6851*F6851,"")</f>
        <v/>
      </c>
      <c r="H6851" s="64"/>
      <c r="I6851" s="28"/>
      <c r="J6851" s="125">
        <v>0</v>
      </c>
    </row>
    <row r="6852" spans="1:10" ht="15.75" hidden="1" thickBot="1" x14ac:dyDescent="0.3">
      <c r="A6852" s="234" t="s">
        <v>15348</v>
      </c>
      <c r="B6852" s="237" t="s">
        <v>15349</v>
      </c>
      <c r="C6852" s="160"/>
      <c r="D6852" s="23" t="s">
        <v>16</v>
      </c>
      <c r="E6852" s="24"/>
      <c r="F6852" s="37" t="s">
        <v>418</v>
      </c>
      <c r="G6852" s="25" t="str">
        <f>IF(ISNUMBER(F6852),E6852*F6852,"")</f>
        <v/>
      </c>
      <c r="H6852" s="26"/>
      <c r="I6852" s="27"/>
      <c r="J6852" s="125">
        <v>0</v>
      </c>
    </row>
    <row r="6853" spans="1:10" ht="15.75" hidden="1" thickBot="1" x14ac:dyDescent="0.3">
      <c r="A6853" s="235"/>
      <c r="B6853" s="240"/>
      <c r="C6853" s="151"/>
      <c r="D6853" s="29"/>
      <c r="E6853" s="30"/>
      <c r="F6853" s="38" t="s">
        <v>418</v>
      </c>
      <c r="G6853" s="28" t="str">
        <f>IF(ISNUMBER(F6853),E6853*F6853,"")</f>
        <v/>
      </c>
      <c r="H6853" s="32"/>
      <c r="I6853" s="28"/>
      <c r="J6853" s="125">
        <v>0</v>
      </c>
    </row>
    <row r="6854" spans="1:10" ht="15.75" hidden="1" thickBot="1" x14ac:dyDescent="0.3">
      <c r="A6854" s="235"/>
      <c r="B6854" s="240"/>
      <c r="C6854" s="155" t="s">
        <v>28396</v>
      </c>
      <c r="D6854" s="155" t="s">
        <v>205</v>
      </c>
      <c r="E6854" s="130">
        <v>1</v>
      </c>
      <c r="F6854" s="28">
        <v>48.335999999999999</v>
      </c>
      <c r="G6854" s="28">
        <f>IF(ISNUMBER(F6854),E6854*F6854,"")</f>
        <v>48.335999999999999</v>
      </c>
      <c r="H6854" s="35">
        <f t="shared" ref="H6854" si="44">SUM(G6854:G6854)</f>
        <v>48.335999999999999</v>
      </c>
      <c r="I6854" s="36"/>
      <c r="J6854" s="125">
        <v>0</v>
      </c>
    </row>
    <row r="6855" spans="1:10" ht="15.75" hidden="1" thickBot="1" x14ac:dyDescent="0.3">
      <c r="A6855" s="236"/>
      <c r="B6855" s="239"/>
      <c r="C6855" s="164"/>
      <c r="D6855" s="50"/>
      <c r="E6855" s="61"/>
      <c r="F6855" s="62" t="s">
        <v>418</v>
      </c>
      <c r="G6855" s="62" t="str">
        <f>IF(ISNUMBER(F6855),E6855*F6855,"")</f>
        <v/>
      </c>
      <c r="H6855" s="64"/>
      <c r="I6855" s="28"/>
      <c r="J6855" s="125">
        <v>0</v>
      </c>
    </row>
    <row r="6856" spans="1:10" ht="15.75" hidden="1" thickBot="1" x14ac:dyDescent="0.3">
      <c r="A6856" s="234" t="s">
        <v>15350</v>
      </c>
      <c r="B6856" s="237" t="s">
        <v>15351</v>
      </c>
      <c r="C6856" s="160"/>
      <c r="D6856" s="23" t="s">
        <v>16</v>
      </c>
      <c r="E6856" s="24"/>
      <c r="F6856" s="37" t="s">
        <v>418</v>
      </c>
      <c r="G6856" s="25" t="str">
        <f>IF(ISNUMBER(F6856),E6856*F6856,"")</f>
        <v/>
      </c>
      <c r="H6856" s="26"/>
      <c r="I6856" s="27"/>
      <c r="J6856" s="125">
        <v>0</v>
      </c>
    </row>
    <row r="6857" spans="1:10" ht="15.75" hidden="1" thickBot="1" x14ac:dyDescent="0.3">
      <c r="A6857" s="235"/>
      <c r="B6857" s="240"/>
      <c r="C6857" s="151"/>
      <c r="D6857" s="29"/>
      <c r="E6857" s="30"/>
      <c r="F6857" s="38" t="s">
        <v>418</v>
      </c>
      <c r="G6857" s="28" t="str">
        <f>IF(ISNUMBER(F6857),E6857*F6857,"")</f>
        <v/>
      </c>
      <c r="H6857" s="32"/>
      <c r="I6857" s="28"/>
      <c r="J6857" s="125">
        <v>0</v>
      </c>
    </row>
    <row r="6858" spans="1:10" ht="26.25" hidden="1" thickBot="1" x14ac:dyDescent="0.3">
      <c r="A6858" s="235"/>
      <c r="B6858" s="240"/>
      <c r="C6858" s="155" t="s">
        <v>28370</v>
      </c>
      <c r="D6858" s="155" t="s">
        <v>205</v>
      </c>
      <c r="E6858" s="130">
        <v>1</v>
      </c>
      <c r="F6858" s="28">
        <v>62.728499999999997</v>
      </c>
      <c r="G6858" s="28">
        <f>IF(ISNUMBER(F6858),E6858*F6858,"")</f>
        <v>62.728499999999997</v>
      </c>
      <c r="H6858" s="35">
        <f t="shared" ref="H6858" si="45">SUM(G6858:G6858)</f>
        <v>62.728499999999997</v>
      </c>
      <c r="I6858" s="36"/>
      <c r="J6858" s="125">
        <v>0</v>
      </c>
    </row>
    <row r="6859" spans="1:10" ht="15.75" hidden="1" thickBot="1" x14ac:dyDescent="0.3">
      <c r="A6859" s="236"/>
      <c r="B6859" s="239"/>
      <c r="C6859" s="164"/>
      <c r="D6859" s="50"/>
      <c r="E6859" s="61"/>
      <c r="F6859" s="62" t="s">
        <v>418</v>
      </c>
      <c r="G6859" s="62" t="str">
        <f>IF(ISNUMBER(F6859),E6859*F6859,"")</f>
        <v/>
      </c>
      <c r="H6859" s="64"/>
      <c r="I6859" s="28"/>
      <c r="J6859" s="125">
        <v>0</v>
      </c>
    </row>
    <row r="6860" spans="1:10" ht="15.75" hidden="1" thickBot="1" x14ac:dyDescent="0.3">
      <c r="A6860" s="234" t="s">
        <v>15352</v>
      </c>
      <c r="B6860" s="237" t="s">
        <v>15353</v>
      </c>
      <c r="C6860" s="160"/>
      <c r="D6860" s="23" t="s">
        <v>16</v>
      </c>
      <c r="E6860" s="24"/>
      <c r="F6860" s="37" t="s">
        <v>418</v>
      </c>
      <c r="G6860" s="25" t="str">
        <f>IF(ISNUMBER(F6860),E6860*F6860,"")</f>
        <v/>
      </c>
      <c r="H6860" s="26"/>
      <c r="I6860" s="27"/>
      <c r="J6860" s="125">
        <v>0</v>
      </c>
    </row>
    <row r="6861" spans="1:10" ht="15.75" hidden="1" thickBot="1" x14ac:dyDescent="0.3">
      <c r="A6861" s="235"/>
      <c r="B6861" s="240"/>
      <c r="C6861" s="151"/>
      <c r="D6861" s="29"/>
      <c r="E6861" s="30"/>
      <c r="F6861" s="38" t="s">
        <v>418</v>
      </c>
      <c r="G6861" s="28" t="str">
        <f>IF(ISNUMBER(F6861),E6861*F6861,"")</f>
        <v/>
      </c>
      <c r="H6861" s="32"/>
      <c r="I6861" s="28"/>
      <c r="J6861" s="125">
        <v>0</v>
      </c>
    </row>
    <row r="6862" spans="1:10" ht="26.25" hidden="1" thickBot="1" x14ac:dyDescent="0.3">
      <c r="A6862" s="235"/>
      <c r="B6862" s="240"/>
      <c r="C6862" s="155" t="s">
        <v>28372</v>
      </c>
      <c r="D6862" s="155" t="s">
        <v>205</v>
      </c>
      <c r="E6862" s="130">
        <v>1</v>
      </c>
      <c r="F6862" s="28">
        <v>160.97749999999999</v>
      </c>
      <c r="G6862" s="28">
        <f>IF(ISNUMBER(F6862),E6862*F6862,"")</f>
        <v>160.97749999999999</v>
      </c>
      <c r="H6862" s="35">
        <f t="shared" ref="H6862" si="46">SUM(G6862:G6862)</f>
        <v>160.97749999999999</v>
      </c>
      <c r="I6862" s="36"/>
      <c r="J6862" s="125">
        <v>0</v>
      </c>
    </row>
    <row r="6863" spans="1:10" ht="15.75" hidden="1" thickBot="1" x14ac:dyDescent="0.3">
      <c r="A6863" s="236"/>
      <c r="B6863" s="239"/>
      <c r="C6863" s="164"/>
      <c r="D6863" s="50"/>
      <c r="E6863" s="61"/>
      <c r="F6863" s="62" t="s">
        <v>418</v>
      </c>
      <c r="G6863" s="62" t="str">
        <f>IF(ISNUMBER(F6863),E6863*F6863,"")</f>
        <v/>
      </c>
      <c r="H6863" s="64"/>
      <c r="I6863" s="28"/>
      <c r="J6863" s="125">
        <v>0</v>
      </c>
    </row>
    <row r="6864" spans="1:10" ht="15.75" hidden="1" thickBot="1" x14ac:dyDescent="0.3">
      <c r="A6864" s="234" t="s">
        <v>15354</v>
      </c>
      <c r="B6864" s="237" t="s">
        <v>20938</v>
      </c>
      <c r="C6864" s="160"/>
      <c r="D6864" s="23" t="s">
        <v>16</v>
      </c>
      <c r="E6864" s="24"/>
      <c r="F6864" s="37" t="s">
        <v>418</v>
      </c>
      <c r="G6864" s="25" t="str">
        <f>IF(ISNUMBER(F6864),E6864*F6864,"")</f>
        <v/>
      </c>
      <c r="H6864" s="26"/>
      <c r="I6864" s="27"/>
      <c r="J6864" s="125">
        <v>0</v>
      </c>
    </row>
    <row r="6865" spans="1:10" ht="15.75" hidden="1" thickBot="1" x14ac:dyDescent="0.3">
      <c r="A6865" s="235"/>
      <c r="B6865" s="240"/>
      <c r="C6865" s="151"/>
      <c r="D6865" s="29"/>
      <c r="E6865" s="30"/>
      <c r="F6865" s="38" t="s">
        <v>418</v>
      </c>
      <c r="G6865" s="28" t="str">
        <f>IF(ISNUMBER(F6865),E6865*F6865,"")</f>
        <v/>
      </c>
      <c r="H6865" s="32"/>
      <c r="I6865" s="28"/>
      <c r="J6865" s="125">
        <v>0</v>
      </c>
    </row>
    <row r="6866" spans="1:10" ht="26.25" hidden="1" thickBot="1" x14ac:dyDescent="0.3">
      <c r="A6866" s="235"/>
      <c r="B6866" s="240"/>
      <c r="C6866" s="155" t="s">
        <v>28382</v>
      </c>
      <c r="D6866" s="155" t="s">
        <v>205</v>
      </c>
      <c r="E6866" s="130">
        <v>1</v>
      </c>
      <c r="F6866" s="28">
        <v>90.677499999999995</v>
      </c>
      <c r="G6866" s="28">
        <f>IF(ISNUMBER(F6866),E6866*F6866,"")</f>
        <v>90.677499999999995</v>
      </c>
      <c r="H6866" s="35">
        <f>SUM(G6866:G6866)</f>
        <v>90.677499999999995</v>
      </c>
      <c r="I6866" s="36"/>
      <c r="J6866" s="125">
        <v>0</v>
      </c>
    </row>
    <row r="6867" spans="1:10" ht="15.75" hidden="1" thickBot="1" x14ac:dyDescent="0.3">
      <c r="A6867" s="236"/>
      <c r="B6867" s="239"/>
      <c r="C6867" s="164"/>
      <c r="D6867" s="50"/>
      <c r="E6867" s="61"/>
      <c r="F6867" s="62" t="s">
        <v>418</v>
      </c>
      <c r="G6867" s="62" t="str">
        <f>IF(ISNUMBER(F6867),E6867*F6867,"")</f>
        <v/>
      </c>
      <c r="H6867" s="64"/>
      <c r="I6867" s="28"/>
      <c r="J6867" s="125">
        <v>0</v>
      </c>
    </row>
    <row r="6868" spans="1:10" ht="15.75" hidden="1" thickBot="1" x14ac:dyDescent="0.3">
      <c r="A6868" s="234" t="s">
        <v>15355</v>
      </c>
      <c r="B6868" s="237" t="s">
        <v>20939</v>
      </c>
      <c r="C6868" s="160"/>
      <c r="D6868" s="23" t="s">
        <v>16</v>
      </c>
      <c r="E6868" s="24"/>
      <c r="F6868" s="37" t="s">
        <v>418</v>
      </c>
      <c r="G6868" s="25" t="str">
        <f>IF(ISNUMBER(F6868),E6868*F6868,"")</f>
        <v/>
      </c>
      <c r="H6868" s="26"/>
      <c r="I6868" s="27"/>
      <c r="J6868" s="125">
        <v>0</v>
      </c>
    </row>
    <row r="6869" spans="1:10" ht="15.75" hidden="1" thickBot="1" x14ac:dyDescent="0.3">
      <c r="A6869" s="235"/>
      <c r="B6869" s="240"/>
      <c r="C6869" s="151"/>
      <c r="D6869" s="29"/>
      <c r="E6869" s="30"/>
      <c r="F6869" s="38" t="s">
        <v>418</v>
      </c>
      <c r="G6869" s="28" t="str">
        <f>IF(ISNUMBER(F6869),E6869*F6869,"")</f>
        <v/>
      </c>
      <c r="H6869" s="32"/>
      <c r="I6869" s="28"/>
      <c r="J6869" s="125">
        <v>0</v>
      </c>
    </row>
    <row r="6870" spans="1:10" ht="26.25" hidden="1" thickBot="1" x14ac:dyDescent="0.3">
      <c r="A6870" s="235"/>
      <c r="B6870" s="240"/>
      <c r="C6870" s="155" t="s">
        <v>28381</v>
      </c>
      <c r="D6870" s="155" t="s">
        <v>205</v>
      </c>
      <c r="E6870" s="130">
        <v>1</v>
      </c>
      <c r="F6870" s="28">
        <v>288.87599999999998</v>
      </c>
      <c r="G6870" s="28">
        <f>IF(ISNUMBER(F6870),E6870*F6870,"")</f>
        <v>288.87599999999998</v>
      </c>
      <c r="H6870" s="35">
        <f>SUM(G6870:G6870)</f>
        <v>288.87599999999998</v>
      </c>
      <c r="I6870" s="36"/>
      <c r="J6870" s="125">
        <v>0</v>
      </c>
    </row>
    <row r="6871" spans="1:10" ht="15.75" hidden="1" thickBot="1" x14ac:dyDescent="0.3">
      <c r="A6871" s="236"/>
      <c r="B6871" s="239"/>
      <c r="C6871" s="164"/>
      <c r="D6871" s="50"/>
      <c r="E6871" s="61"/>
      <c r="F6871" s="62" t="s">
        <v>418</v>
      </c>
      <c r="G6871" s="62" t="str">
        <f>IF(ISNUMBER(F6871),E6871*F6871,"")</f>
        <v/>
      </c>
      <c r="H6871" s="64"/>
      <c r="I6871" s="28"/>
      <c r="J6871" s="125">
        <v>0</v>
      </c>
    </row>
    <row r="6872" spans="1:10" ht="15.75" hidden="1" thickBot="1" x14ac:dyDescent="0.3">
      <c r="A6872" s="234" t="s">
        <v>15356</v>
      </c>
      <c r="B6872" s="237" t="s">
        <v>15357</v>
      </c>
      <c r="C6872" s="160"/>
      <c r="D6872" s="23" t="s">
        <v>16</v>
      </c>
      <c r="E6872" s="24"/>
      <c r="F6872" s="37" t="s">
        <v>418</v>
      </c>
      <c r="G6872" s="25" t="str">
        <f>IF(ISNUMBER(F6872),E6872*F6872,"")</f>
        <v/>
      </c>
      <c r="H6872" s="26"/>
      <c r="I6872" s="27"/>
      <c r="J6872" s="125">
        <v>0</v>
      </c>
    </row>
    <row r="6873" spans="1:10" ht="15.75" hidden="1" thickBot="1" x14ac:dyDescent="0.3">
      <c r="A6873" s="235"/>
      <c r="B6873" s="240"/>
      <c r="C6873" s="151"/>
      <c r="D6873" s="29"/>
      <c r="E6873" s="30"/>
      <c r="F6873" s="38" t="s">
        <v>418</v>
      </c>
      <c r="G6873" s="28" t="str">
        <f>IF(ISNUMBER(F6873),E6873*F6873,"")</f>
        <v/>
      </c>
      <c r="H6873" s="32"/>
      <c r="I6873" s="28"/>
      <c r="J6873" s="125">
        <v>0</v>
      </c>
    </row>
    <row r="6874" spans="1:10" ht="26.25" hidden="1" thickBot="1" x14ac:dyDescent="0.3">
      <c r="A6874" s="235"/>
      <c r="B6874" s="240"/>
      <c r="C6874" s="155" t="s">
        <v>28392</v>
      </c>
      <c r="D6874" s="155" t="s">
        <v>205</v>
      </c>
      <c r="E6874" s="130">
        <v>1</v>
      </c>
      <c r="F6874" s="28">
        <v>349.98950000000002</v>
      </c>
      <c r="G6874" s="28">
        <f>IF(ISNUMBER(F6874),E6874*F6874,"")</f>
        <v>349.98950000000002</v>
      </c>
      <c r="H6874" s="35">
        <f>SUM(G6874:G6874)</f>
        <v>349.98950000000002</v>
      </c>
      <c r="I6874" s="36"/>
      <c r="J6874" s="125">
        <v>0</v>
      </c>
    </row>
    <row r="6875" spans="1:10" ht="15.75" hidden="1" thickBot="1" x14ac:dyDescent="0.3">
      <c r="A6875" s="236"/>
      <c r="B6875" s="239"/>
      <c r="C6875" s="164"/>
      <c r="D6875" s="50"/>
      <c r="E6875" s="61"/>
      <c r="F6875" s="62" t="s">
        <v>418</v>
      </c>
      <c r="G6875" s="62" t="str">
        <f>IF(ISNUMBER(F6875),E6875*F6875,"")</f>
        <v/>
      </c>
      <c r="H6875" s="64"/>
      <c r="I6875" s="28"/>
      <c r="J6875" s="125">
        <v>0</v>
      </c>
    </row>
    <row r="6876" spans="1:10" ht="15.75" hidden="1" thickBot="1" x14ac:dyDescent="0.3">
      <c r="A6876" s="234" t="s">
        <v>15358</v>
      </c>
      <c r="B6876" s="237" t="s">
        <v>15359</v>
      </c>
      <c r="C6876" s="160"/>
      <c r="D6876" s="23" t="s">
        <v>16</v>
      </c>
      <c r="E6876" s="24"/>
      <c r="F6876" s="37" t="s">
        <v>418</v>
      </c>
      <c r="G6876" s="25" t="str">
        <f>IF(ISNUMBER(F6876),E6876*F6876,"")</f>
        <v/>
      </c>
      <c r="H6876" s="26"/>
      <c r="I6876" s="27"/>
      <c r="J6876" s="125">
        <v>0</v>
      </c>
    </row>
    <row r="6877" spans="1:10" ht="15.75" hidden="1" thickBot="1" x14ac:dyDescent="0.3">
      <c r="A6877" s="235"/>
      <c r="B6877" s="240"/>
      <c r="C6877" s="151"/>
      <c r="D6877" s="29"/>
      <c r="E6877" s="30"/>
      <c r="F6877" s="38" t="s">
        <v>418</v>
      </c>
      <c r="G6877" s="28" t="str">
        <f>IF(ISNUMBER(F6877),E6877*F6877,"")</f>
        <v/>
      </c>
      <c r="H6877" s="32"/>
      <c r="I6877" s="28"/>
      <c r="J6877" s="125">
        <v>0</v>
      </c>
    </row>
    <row r="6878" spans="1:10" ht="26.25" hidden="1" thickBot="1" x14ac:dyDescent="0.3">
      <c r="A6878" s="235"/>
      <c r="B6878" s="240"/>
      <c r="C6878" s="155" t="s">
        <v>28393</v>
      </c>
      <c r="D6878" s="155" t="s">
        <v>205</v>
      </c>
      <c r="E6878" s="130">
        <v>1</v>
      </c>
      <c r="F6878" s="28">
        <v>607.42999999999995</v>
      </c>
      <c r="G6878" s="28">
        <f>IF(ISNUMBER(F6878),E6878*F6878,"")</f>
        <v>607.42999999999995</v>
      </c>
      <c r="H6878" s="35">
        <f>SUM(G6878:G6878)</f>
        <v>607.42999999999995</v>
      </c>
      <c r="I6878" s="36"/>
      <c r="J6878" s="125">
        <v>0</v>
      </c>
    </row>
    <row r="6879" spans="1:10" ht="15.75" hidden="1" thickBot="1" x14ac:dyDescent="0.3">
      <c r="A6879" s="236"/>
      <c r="B6879" s="239"/>
      <c r="C6879" s="164"/>
      <c r="D6879" s="50"/>
      <c r="E6879" s="61"/>
      <c r="F6879" s="62" t="s">
        <v>418</v>
      </c>
      <c r="G6879" s="62" t="str">
        <f>IF(ISNUMBER(F6879),E6879*F6879,"")</f>
        <v/>
      </c>
      <c r="H6879" s="64"/>
      <c r="I6879" s="28"/>
      <c r="J6879" s="125">
        <v>0</v>
      </c>
    </row>
    <row r="6880" spans="1:10" ht="15.75" hidden="1" thickBot="1" x14ac:dyDescent="0.3">
      <c r="A6880" s="234" t="s">
        <v>15360</v>
      </c>
      <c r="B6880" s="237" t="s">
        <v>15361</v>
      </c>
      <c r="C6880" s="160"/>
      <c r="D6880" s="23" t="s">
        <v>16</v>
      </c>
      <c r="E6880" s="24"/>
      <c r="F6880" s="37" t="s">
        <v>418</v>
      </c>
      <c r="G6880" s="25" t="str">
        <f>IF(ISNUMBER(F6880),E6880*F6880,"")</f>
        <v/>
      </c>
      <c r="H6880" s="26"/>
      <c r="I6880" s="27"/>
      <c r="J6880" s="125">
        <v>0</v>
      </c>
    </row>
    <row r="6881" spans="1:10" ht="15.75" hidden="1" thickBot="1" x14ac:dyDescent="0.3">
      <c r="A6881" s="235"/>
      <c r="B6881" s="240"/>
      <c r="C6881" s="151"/>
      <c r="D6881" s="29"/>
      <c r="E6881" s="30"/>
      <c r="F6881" s="38" t="s">
        <v>418</v>
      </c>
      <c r="G6881" s="28" t="str">
        <f>IF(ISNUMBER(F6881),E6881*F6881,"")</f>
        <v/>
      </c>
      <c r="H6881" s="32"/>
      <c r="I6881" s="28"/>
      <c r="J6881" s="125">
        <v>0</v>
      </c>
    </row>
    <row r="6882" spans="1:10" ht="26.25" hidden="1" thickBot="1" x14ac:dyDescent="0.3">
      <c r="A6882" s="235"/>
      <c r="B6882" s="240"/>
      <c r="C6882" s="155" t="s">
        <v>28390</v>
      </c>
      <c r="D6882" s="155" t="s">
        <v>205</v>
      </c>
      <c r="E6882" s="130">
        <v>1</v>
      </c>
      <c r="F6882" s="28">
        <v>159.94200000000001</v>
      </c>
      <c r="G6882" s="28">
        <f>IF(ISNUMBER(F6882),E6882*F6882,"")</f>
        <v>159.94200000000001</v>
      </c>
      <c r="H6882" s="35">
        <f>SUM(G6882:G6882)</f>
        <v>159.94200000000001</v>
      </c>
      <c r="I6882" s="36"/>
      <c r="J6882" s="125">
        <v>0</v>
      </c>
    </row>
    <row r="6883" spans="1:10" ht="15.75" hidden="1" thickBot="1" x14ac:dyDescent="0.3">
      <c r="A6883" s="236"/>
      <c r="B6883" s="239"/>
      <c r="C6883" s="164"/>
      <c r="D6883" s="50"/>
      <c r="E6883" s="61"/>
      <c r="F6883" s="62" t="s">
        <v>418</v>
      </c>
      <c r="G6883" s="62" t="str">
        <f>IF(ISNUMBER(F6883),E6883*F6883,"")</f>
        <v/>
      </c>
      <c r="H6883" s="64"/>
      <c r="I6883" s="28"/>
      <c r="J6883" s="125">
        <v>0</v>
      </c>
    </row>
    <row r="6884" spans="1:10" ht="15.75" hidden="1" thickBot="1" x14ac:dyDescent="0.3">
      <c r="A6884" s="234" t="s">
        <v>15362</v>
      </c>
      <c r="B6884" s="237" t="s">
        <v>15363</v>
      </c>
      <c r="C6884" s="160"/>
      <c r="D6884" s="23" t="s">
        <v>16</v>
      </c>
      <c r="E6884" s="24"/>
      <c r="F6884" s="37" t="s">
        <v>418</v>
      </c>
      <c r="G6884" s="25" t="str">
        <f>IF(ISNUMBER(F6884),E6884*F6884,"")</f>
        <v/>
      </c>
      <c r="H6884" s="26"/>
      <c r="I6884" s="27"/>
      <c r="J6884" s="125">
        <v>0</v>
      </c>
    </row>
    <row r="6885" spans="1:10" ht="15.75" hidden="1" thickBot="1" x14ac:dyDescent="0.3">
      <c r="A6885" s="235"/>
      <c r="B6885" s="240"/>
      <c r="C6885" s="151"/>
      <c r="D6885" s="29"/>
      <c r="E6885" s="30"/>
      <c r="F6885" s="38" t="s">
        <v>418</v>
      </c>
      <c r="G6885" s="28" t="str">
        <f>IF(ISNUMBER(F6885),E6885*F6885,"")</f>
        <v/>
      </c>
      <c r="H6885" s="32"/>
      <c r="I6885" s="28"/>
      <c r="J6885" s="125">
        <v>0</v>
      </c>
    </row>
    <row r="6886" spans="1:10" ht="26.25" hidden="1" thickBot="1" x14ac:dyDescent="0.3">
      <c r="A6886" s="235"/>
      <c r="B6886" s="240"/>
      <c r="C6886" s="155" t="s">
        <v>28389</v>
      </c>
      <c r="D6886" s="155" t="s">
        <v>205</v>
      </c>
      <c r="E6886" s="130">
        <v>1</v>
      </c>
      <c r="F6886" s="28">
        <v>256.29099999999994</v>
      </c>
      <c r="G6886" s="28">
        <f>IF(ISNUMBER(F6886),E6886*F6886,"")</f>
        <v>256.29099999999994</v>
      </c>
      <c r="H6886" s="35">
        <f>SUM(G6886:G6886)</f>
        <v>256.29099999999994</v>
      </c>
      <c r="I6886" s="36"/>
      <c r="J6886" s="125">
        <v>0</v>
      </c>
    </row>
    <row r="6887" spans="1:10" ht="15.75" hidden="1" thickBot="1" x14ac:dyDescent="0.3">
      <c r="A6887" s="236"/>
      <c r="B6887" s="239"/>
      <c r="C6887" s="164"/>
      <c r="D6887" s="50"/>
      <c r="E6887" s="61"/>
      <c r="F6887" s="62" t="s">
        <v>418</v>
      </c>
      <c r="G6887" s="62" t="str">
        <f>IF(ISNUMBER(F6887),E6887*F6887,"")</f>
        <v/>
      </c>
      <c r="H6887" s="64"/>
      <c r="I6887" s="28"/>
      <c r="J6887" s="125">
        <v>0</v>
      </c>
    </row>
    <row r="6888" spans="1:10" ht="15.75" hidden="1" thickBot="1" x14ac:dyDescent="0.3">
      <c r="A6888" s="234" t="s">
        <v>15364</v>
      </c>
      <c r="B6888" s="237" t="s">
        <v>13454</v>
      </c>
      <c r="C6888" s="160"/>
      <c r="D6888" s="23" t="s">
        <v>16</v>
      </c>
      <c r="E6888" s="24"/>
      <c r="F6888" s="37" t="s">
        <v>418</v>
      </c>
      <c r="G6888" s="25" t="str">
        <f>IF(ISNUMBER(F6888),E6888*F6888,"")</f>
        <v/>
      </c>
      <c r="H6888" s="26"/>
      <c r="I6888" s="27"/>
      <c r="J6888" s="125">
        <v>0</v>
      </c>
    </row>
    <row r="6889" spans="1:10" ht="15.75" hidden="1" thickBot="1" x14ac:dyDescent="0.3">
      <c r="A6889" s="235"/>
      <c r="B6889" s="240"/>
      <c r="C6889" s="151"/>
      <c r="D6889" s="29"/>
      <c r="E6889" s="30"/>
      <c r="F6889" s="38" t="s">
        <v>418</v>
      </c>
      <c r="G6889" s="28" t="str">
        <f>IF(ISNUMBER(F6889),E6889*F6889,"")</f>
        <v/>
      </c>
      <c r="H6889" s="32"/>
      <c r="I6889" s="28"/>
      <c r="J6889" s="125">
        <v>0</v>
      </c>
    </row>
    <row r="6890" spans="1:10" ht="26.25" hidden="1" thickBot="1" x14ac:dyDescent="0.3">
      <c r="A6890" s="235"/>
      <c r="B6890" s="240"/>
      <c r="C6890" s="155" t="s">
        <v>28363</v>
      </c>
      <c r="D6890" s="155" t="s">
        <v>205</v>
      </c>
      <c r="E6890" s="130">
        <v>1</v>
      </c>
      <c r="F6890" s="28">
        <v>44.526499999999999</v>
      </c>
      <c r="G6890" s="28">
        <f>IF(ISNUMBER(F6890),E6890*F6890,"")</f>
        <v>44.526499999999999</v>
      </c>
      <c r="H6890" s="35">
        <f>SUM(G6890:G6890)</f>
        <v>44.526499999999999</v>
      </c>
      <c r="I6890" s="36"/>
      <c r="J6890" s="125">
        <v>0</v>
      </c>
    </row>
    <row r="6891" spans="1:10" ht="15.75" hidden="1" thickBot="1" x14ac:dyDescent="0.3">
      <c r="A6891" s="236"/>
      <c r="B6891" s="239"/>
      <c r="C6891" s="164"/>
      <c r="D6891" s="50"/>
      <c r="E6891" s="61"/>
      <c r="F6891" s="62" t="s">
        <v>418</v>
      </c>
      <c r="G6891" s="62" t="str">
        <f>IF(ISNUMBER(F6891),E6891*F6891,"")</f>
        <v/>
      </c>
      <c r="H6891" s="64"/>
      <c r="I6891" s="28"/>
      <c r="J6891" s="125">
        <v>0</v>
      </c>
    </row>
    <row r="6892" spans="1:10" ht="15.75" hidden="1" thickBot="1" x14ac:dyDescent="0.3">
      <c r="A6892" s="234" t="s">
        <v>15365</v>
      </c>
      <c r="B6892" s="237" t="s">
        <v>13448</v>
      </c>
      <c r="C6892" s="160"/>
      <c r="D6892" s="23" t="s">
        <v>16</v>
      </c>
      <c r="E6892" s="24"/>
      <c r="F6892" s="37" t="s">
        <v>418</v>
      </c>
      <c r="G6892" s="25" t="str">
        <f>IF(ISNUMBER(F6892),E6892*F6892,"")</f>
        <v/>
      </c>
      <c r="H6892" s="26"/>
      <c r="I6892" s="27"/>
      <c r="J6892" s="125">
        <v>0</v>
      </c>
    </row>
    <row r="6893" spans="1:10" ht="15.75" hidden="1" thickBot="1" x14ac:dyDescent="0.3">
      <c r="A6893" s="235"/>
      <c r="B6893" s="240"/>
      <c r="C6893" s="151"/>
      <c r="D6893" s="29"/>
      <c r="E6893" s="30"/>
      <c r="F6893" s="38" t="s">
        <v>418</v>
      </c>
      <c r="G6893" s="28" t="str">
        <f>IF(ISNUMBER(F6893),E6893*F6893,"")</f>
        <v/>
      </c>
      <c r="H6893" s="32"/>
      <c r="I6893" s="28"/>
      <c r="J6893" s="125">
        <v>0</v>
      </c>
    </row>
    <row r="6894" spans="1:10" ht="15.75" hidden="1" thickBot="1" x14ac:dyDescent="0.3">
      <c r="A6894" s="235"/>
      <c r="B6894" s="240"/>
      <c r="C6894" s="155" t="s">
        <v>27377</v>
      </c>
      <c r="D6894" s="155" t="s">
        <v>205</v>
      </c>
      <c r="E6894" s="130">
        <v>1</v>
      </c>
      <c r="F6894" s="28">
        <v>149.91</v>
      </c>
      <c r="G6894" s="28">
        <f>IF(ISNUMBER(F6894),E6894*F6894,"")</f>
        <v>149.91</v>
      </c>
      <c r="H6894" s="35">
        <f>SUM(G6894:G6894)</f>
        <v>149.91</v>
      </c>
      <c r="I6894" s="36"/>
      <c r="J6894" s="125">
        <v>0</v>
      </c>
    </row>
    <row r="6895" spans="1:10" ht="15.75" hidden="1" thickBot="1" x14ac:dyDescent="0.3">
      <c r="A6895" s="236"/>
      <c r="B6895" s="239"/>
      <c r="C6895" s="164"/>
      <c r="D6895" s="50"/>
      <c r="E6895" s="61"/>
      <c r="F6895" s="62" t="s">
        <v>418</v>
      </c>
      <c r="G6895" s="62" t="str">
        <f>IF(ISNUMBER(F6895),E6895*F6895,"")</f>
        <v/>
      </c>
      <c r="H6895" s="64"/>
      <c r="I6895" s="28"/>
      <c r="J6895" s="125">
        <v>0</v>
      </c>
    </row>
    <row r="6896" spans="1:10" ht="15.75" hidden="1" thickBot="1" x14ac:dyDescent="0.3">
      <c r="A6896" s="234" t="s">
        <v>15366</v>
      </c>
      <c r="B6896" s="237" t="s">
        <v>1832</v>
      </c>
      <c r="C6896" s="160"/>
      <c r="D6896" s="23" t="s">
        <v>16</v>
      </c>
      <c r="E6896" s="24"/>
      <c r="F6896" s="37" t="s">
        <v>418</v>
      </c>
      <c r="G6896" s="25" t="str">
        <f>IF(ISNUMBER(F6896),E6896*F6896,"")</f>
        <v/>
      </c>
      <c r="H6896" s="26"/>
      <c r="I6896" s="27"/>
      <c r="J6896" s="125">
        <v>0</v>
      </c>
    </row>
    <row r="6897" spans="1:10" ht="15.75" hidden="1" thickBot="1" x14ac:dyDescent="0.3">
      <c r="A6897" s="235"/>
      <c r="B6897" s="240"/>
      <c r="C6897" s="151"/>
      <c r="D6897" s="29"/>
      <c r="E6897" s="30"/>
      <c r="F6897" s="38" t="s">
        <v>418</v>
      </c>
      <c r="G6897" s="28" t="str">
        <f>IF(ISNUMBER(F6897),E6897*F6897,"")</f>
        <v/>
      </c>
      <c r="H6897" s="32"/>
      <c r="I6897" s="28"/>
      <c r="J6897" s="125">
        <v>0</v>
      </c>
    </row>
    <row r="6898" spans="1:10" ht="26.25" hidden="1" thickBot="1" x14ac:dyDescent="0.3">
      <c r="A6898" s="235"/>
      <c r="B6898" s="240"/>
      <c r="C6898" s="155" t="s">
        <v>1037</v>
      </c>
      <c r="D6898" s="155" t="s">
        <v>205</v>
      </c>
      <c r="E6898" s="130">
        <v>1</v>
      </c>
      <c r="F6898" s="28">
        <v>94.268500000000003</v>
      </c>
      <c r="G6898" s="28">
        <f>IF(ISNUMBER(F6898),E6898*F6898,"")</f>
        <v>94.268500000000003</v>
      </c>
      <c r="H6898" s="35">
        <f>SUM(G6898:G6898)</f>
        <v>94.268500000000003</v>
      </c>
      <c r="I6898" s="36"/>
      <c r="J6898" s="125">
        <v>0</v>
      </c>
    </row>
    <row r="6899" spans="1:10" ht="15.75" hidden="1" thickBot="1" x14ac:dyDescent="0.3">
      <c r="A6899" s="236"/>
      <c r="B6899" s="239"/>
      <c r="C6899" s="164"/>
      <c r="D6899" s="50"/>
      <c r="E6899" s="61"/>
      <c r="F6899" s="62" t="s">
        <v>418</v>
      </c>
      <c r="G6899" s="62" t="str">
        <f>IF(ISNUMBER(F6899),E6899*F6899,"")</f>
        <v/>
      </c>
      <c r="H6899" s="64"/>
      <c r="I6899" s="28"/>
      <c r="J6899" s="125">
        <v>0</v>
      </c>
    </row>
    <row r="6900" spans="1:10" ht="15.75" hidden="1" thickBot="1" x14ac:dyDescent="0.3">
      <c r="A6900" s="234" t="s">
        <v>15367</v>
      </c>
      <c r="B6900" s="237" t="s">
        <v>19627</v>
      </c>
      <c r="C6900" s="160"/>
      <c r="D6900" s="23" t="s">
        <v>16</v>
      </c>
      <c r="E6900" s="24"/>
      <c r="F6900" s="37" t="s">
        <v>418</v>
      </c>
      <c r="G6900" s="25" t="str">
        <f>IF(ISNUMBER(F6900),E6900*F6900,"")</f>
        <v/>
      </c>
      <c r="H6900" s="26"/>
      <c r="I6900" s="27"/>
      <c r="J6900" s="125">
        <v>0</v>
      </c>
    </row>
    <row r="6901" spans="1:10" ht="15.75" hidden="1" thickBot="1" x14ac:dyDescent="0.3">
      <c r="A6901" s="235"/>
      <c r="B6901" s="240"/>
      <c r="C6901" s="151"/>
      <c r="D6901" s="29"/>
      <c r="E6901" s="30"/>
      <c r="F6901" s="38" t="s">
        <v>418</v>
      </c>
      <c r="G6901" s="28" t="str">
        <f>IF(ISNUMBER(F6901),E6901*F6901,"")</f>
        <v/>
      </c>
      <c r="H6901" s="32"/>
      <c r="I6901" s="28"/>
      <c r="J6901" s="125">
        <v>0</v>
      </c>
    </row>
    <row r="6902" spans="1:10" ht="26.25" hidden="1" thickBot="1" x14ac:dyDescent="0.3">
      <c r="A6902" s="235"/>
      <c r="B6902" s="240"/>
      <c r="C6902" s="155" t="s">
        <v>23461</v>
      </c>
      <c r="D6902" s="155" t="s">
        <v>205</v>
      </c>
      <c r="E6902" s="130">
        <v>1</v>
      </c>
      <c r="F6902" s="28">
        <v>340.84099999999995</v>
      </c>
      <c r="G6902" s="28">
        <f>IF(ISNUMBER(F6902),E6902*F6902,"")</f>
        <v>340.84099999999995</v>
      </c>
      <c r="H6902" s="35">
        <f>SUM(G6902:G6902)</f>
        <v>340.84099999999995</v>
      </c>
      <c r="I6902" s="36"/>
      <c r="J6902" s="125">
        <v>0</v>
      </c>
    </row>
    <row r="6903" spans="1:10" ht="15.75" hidden="1" thickBot="1" x14ac:dyDescent="0.3">
      <c r="A6903" s="236"/>
      <c r="B6903" s="239"/>
      <c r="C6903" s="164"/>
      <c r="D6903" s="50"/>
      <c r="E6903" s="61"/>
      <c r="F6903" s="62" t="s">
        <v>418</v>
      </c>
      <c r="G6903" s="62" t="str">
        <f>IF(ISNUMBER(F6903),E6903*F6903,"")</f>
        <v/>
      </c>
      <c r="H6903" s="64"/>
      <c r="I6903" s="28"/>
      <c r="J6903" s="125">
        <v>0</v>
      </c>
    </row>
    <row r="6904" spans="1:10" ht="15.75" hidden="1" thickBot="1" x14ac:dyDescent="0.3">
      <c r="A6904" s="234" t="s">
        <v>15368</v>
      </c>
      <c r="B6904" s="237" t="s">
        <v>15369</v>
      </c>
      <c r="C6904" s="160"/>
      <c r="D6904" s="23" t="s">
        <v>16</v>
      </c>
      <c r="E6904" s="24"/>
      <c r="F6904" s="37" t="s">
        <v>418</v>
      </c>
      <c r="G6904" s="25" t="str">
        <f>IF(ISNUMBER(F6904),E6904*F6904,"")</f>
        <v/>
      </c>
      <c r="H6904" s="26"/>
      <c r="I6904" s="27"/>
      <c r="J6904" s="125">
        <v>0</v>
      </c>
    </row>
    <row r="6905" spans="1:10" ht="15.75" hidden="1" thickBot="1" x14ac:dyDescent="0.3">
      <c r="A6905" s="235"/>
      <c r="B6905" s="240"/>
      <c r="C6905" s="151"/>
      <c r="D6905" s="29"/>
      <c r="E6905" s="30"/>
      <c r="F6905" s="38" t="s">
        <v>418</v>
      </c>
      <c r="G6905" s="28" t="str">
        <f>IF(ISNUMBER(F6905),E6905*F6905,"")</f>
        <v/>
      </c>
      <c r="H6905" s="32"/>
      <c r="I6905" s="28"/>
      <c r="J6905" s="125">
        <v>0</v>
      </c>
    </row>
    <row r="6906" spans="1:10" ht="26.25" hidden="1" thickBot="1" x14ac:dyDescent="0.3">
      <c r="A6906" s="235"/>
      <c r="B6906" s="240"/>
      <c r="C6906" s="155" t="s">
        <v>23450</v>
      </c>
      <c r="D6906" s="155" t="s">
        <v>205</v>
      </c>
      <c r="E6906" s="130">
        <v>1</v>
      </c>
      <c r="F6906" s="28">
        <v>12.4735</v>
      </c>
      <c r="G6906" s="28">
        <f>IF(ISNUMBER(F6906),E6906*F6906,"")</f>
        <v>12.4735</v>
      </c>
      <c r="H6906" s="35">
        <f>SUM(G6906:G6906)</f>
        <v>12.4735</v>
      </c>
      <c r="I6906" s="36"/>
      <c r="J6906" s="125">
        <v>0</v>
      </c>
    </row>
    <row r="6907" spans="1:10" ht="15.75" hidden="1" thickBot="1" x14ac:dyDescent="0.3">
      <c r="A6907" s="236"/>
      <c r="B6907" s="239"/>
      <c r="C6907" s="164"/>
      <c r="D6907" s="50"/>
      <c r="E6907" s="61"/>
      <c r="F6907" s="62" t="s">
        <v>418</v>
      </c>
      <c r="G6907" s="62" t="str">
        <f>IF(ISNUMBER(F6907),E6907*F6907,"")</f>
        <v/>
      </c>
      <c r="H6907" s="64"/>
      <c r="I6907" s="28"/>
      <c r="J6907" s="125">
        <v>0</v>
      </c>
    </row>
    <row r="6908" spans="1:10" ht="15.75" hidden="1" thickBot="1" x14ac:dyDescent="0.3">
      <c r="A6908" s="234" t="s">
        <v>15370</v>
      </c>
      <c r="B6908" s="237" t="s">
        <v>19626</v>
      </c>
      <c r="C6908" s="160"/>
      <c r="D6908" s="23" t="s">
        <v>16</v>
      </c>
      <c r="E6908" s="24"/>
      <c r="F6908" s="37" t="s">
        <v>418</v>
      </c>
      <c r="G6908" s="25" t="str">
        <f>IF(ISNUMBER(F6908),E6908*F6908,"")</f>
        <v/>
      </c>
      <c r="H6908" s="26"/>
      <c r="I6908" s="27"/>
      <c r="J6908" s="125">
        <v>0</v>
      </c>
    </row>
    <row r="6909" spans="1:10" ht="15.75" hidden="1" thickBot="1" x14ac:dyDescent="0.3">
      <c r="A6909" s="235"/>
      <c r="B6909" s="240"/>
      <c r="C6909" s="151"/>
      <c r="D6909" s="29"/>
      <c r="E6909" s="30"/>
      <c r="F6909" s="38" t="s">
        <v>418</v>
      </c>
      <c r="G6909" s="28" t="str">
        <f>IF(ISNUMBER(F6909),E6909*F6909,"")</f>
        <v/>
      </c>
      <c r="H6909" s="32"/>
      <c r="I6909" s="28"/>
      <c r="J6909" s="125">
        <v>0</v>
      </c>
    </row>
    <row r="6910" spans="1:10" ht="39" hidden="1" thickBot="1" x14ac:dyDescent="0.3">
      <c r="A6910" s="235"/>
      <c r="B6910" s="240"/>
      <c r="C6910" s="155" t="s">
        <v>23599</v>
      </c>
      <c r="D6910" s="155" t="s">
        <v>205</v>
      </c>
      <c r="E6910" s="130">
        <v>1</v>
      </c>
      <c r="F6910" s="28">
        <v>303.0215</v>
      </c>
      <c r="G6910" s="28">
        <f>IF(ISNUMBER(F6910),E6910*F6910,"")</f>
        <v>303.0215</v>
      </c>
      <c r="H6910" s="35">
        <f>SUM(G6910:G6910)</f>
        <v>303.0215</v>
      </c>
      <c r="I6910" s="36"/>
      <c r="J6910" s="125">
        <v>0</v>
      </c>
    </row>
    <row r="6911" spans="1:10" ht="15.75" hidden="1" thickBot="1" x14ac:dyDescent="0.3">
      <c r="A6911" s="236"/>
      <c r="B6911" s="239"/>
      <c r="C6911" s="164"/>
      <c r="D6911" s="50"/>
      <c r="E6911" s="61"/>
      <c r="F6911" s="62" t="s">
        <v>418</v>
      </c>
      <c r="G6911" s="62" t="str">
        <f>IF(ISNUMBER(F6911),E6911*F6911,"")</f>
        <v/>
      </c>
      <c r="H6911" s="64"/>
      <c r="I6911" s="28"/>
      <c r="J6911" s="125">
        <v>0</v>
      </c>
    </row>
    <row r="6912" spans="1:10" ht="15.75" hidden="1" thickBot="1" x14ac:dyDescent="0.3">
      <c r="A6912" s="234" t="s">
        <v>15371</v>
      </c>
      <c r="B6912" s="237" t="s">
        <v>19625</v>
      </c>
      <c r="C6912" s="160"/>
      <c r="D6912" s="23" t="s">
        <v>16</v>
      </c>
      <c r="E6912" s="24"/>
      <c r="F6912" s="37" t="s">
        <v>418</v>
      </c>
      <c r="G6912" s="25" t="str">
        <f>IF(ISNUMBER(F6912),E6912*F6912,"")</f>
        <v/>
      </c>
      <c r="H6912" s="26"/>
      <c r="I6912" s="27"/>
      <c r="J6912" s="125">
        <v>0</v>
      </c>
    </row>
    <row r="6913" spans="1:10" ht="15.75" hidden="1" thickBot="1" x14ac:dyDescent="0.3">
      <c r="A6913" s="235"/>
      <c r="B6913" s="240"/>
      <c r="C6913" s="151"/>
      <c r="D6913" s="29"/>
      <c r="E6913" s="30"/>
      <c r="F6913" s="38" t="s">
        <v>418</v>
      </c>
      <c r="G6913" s="28" t="str">
        <f>IF(ISNUMBER(F6913),E6913*F6913,"")</f>
        <v/>
      </c>
      <c r="H6913" s="32"/>
      <c r="I6913" s="28"/>
      <c r="J6913" s="125">
        <v>0</v>
      </c>
    </row>
    <row r="6914" spans="1:10" ht="39" hidden="1" thickBot="1" x14ac:dyDescent="0.3">
      <c r="A6914" s="235"/>
      <c r="B6914" s="240"/>
      <c r="C6914" s="155" t="s">
        <v>23620</v>
      </c>
      <c r="D6914" s="155" t="s">
        <v>205</v>
      </c>
      <c r="E6914" s="130">
        <v>1</v>
      </c>
      <c r="F6914" s="28">
        <v>5272.9559999999992</v>
      </c>
      <c r="G6914" s="28">
        <f>IF(ISNUMBER(F6914),E6914*F6914,"")</f>
        <v>5272.9559999999992</v>
      </c>
      <c r="H6914" s="35">
        <f>SUM(G6914:G6914)</f>
        <v>5272.9559999999992</v>
      </c>
      <c r="I6914" s="36"/>
      <c r="J6914" s="125">
        <v>0</v>
      </c>
    </row>
    <row r="6915" spans="1:10" ht="15.75" hidden="1" thickBot="1" x14ac:dyDescent="0.3">
      <c r="A6915" s="236"/>
      <c r="B6915" s="239"/>
      <c r="C6915" s="164"/>
      <c r="D6915" s="50"/>
      <c r="E6915" s="61"/>
      <c r="F6915" s="62" t="s">
        <v>418</v>
      </c>
      <c r="G6915" s="62" t="str">
        <f>IF(ISNUMBER(F6915),E6915*F6915,"")</f>
        <v/>
      </c>
      <c r="H6915" s="64"/>
      <c r="I6915" s="28"/>
      <c r="J6915" s="125">
        <v>0</v>
      </c>
    </row>
    <row r="6916" spans="1:10" ht="15.75" hidden="1" thickBot="1" x14ac:dyDescent="0.3">
      <c r="A6916" s="234" t="s">
        <v>15372</v>
      </c>
      <c r="B6916" s="237" t="s">
        <v>19624</v>
      </c>
      <c r="C6916" s="160"/>
      <c r="D6916" s="23" t="s">
        <v>16</v>
      </c>
      <c r="E6916" s="24"/>
      <c r="F6916" s="37" t="s">
        <v>418</v>
      </c>
      <c r="G6916" s="25" t="str">
        <f>IF(ISNUMBER(F6916),E6916*F6916,"")</f>
        <v/>
      </c>
      <c r="H6916" s="26"/>
      <c r="I6916" s="27"/>
      <c r="J6916" s="125">
        <v>0</v>
      </c>
    </row>
    <row r="6917" spans="1:10" ht="15.75" hidden="1" thickBot="1" x14ac:dyDescent="0.3">
      <c r="A6917" s="235"/>
      <c r="B6917" s="240"/>
      <c r="C6917" s="151"/>
      <c r="D6917" s="29"/>
      <c r="E6917" s="30"/>
      <c r="F6917" s="38" t="s">
        <v>418</v>
      </c>
      <c r="G6917" s="28" t="str">
        <f>IF(ISNUMBER(F6917),E6917*F6917,"")</f>
        <v/>
      </c>
      <c r="H6917" s="32"/>
      <c r="I6917" s="28"/>
      <c r="J6917" s="125">
        <v>0</v>
      </c>
    </row>
    <row r="6918" spans="1:10" ht="26.25" hidden="1" thickBot="1" x14ac:dyDescent="0.3">
      <c r="A6918" s="235"/>
      <c r="B6918" s="240"/>
      <c r="C6918" s="155" t="s">
        <v>24047</v>
      </c>
      <c r="D6918" s="155" t="s">
        <v>205</v>
      </c>
      <c r="E6918" s="130">
        <v>1</v>
      </c>
      <c r="F6918" s="28">
        <v>4.5694999999999997</v>
      </c>
      <c r="G6918" s="28">
        <f>IF(ISNUMBER(F6918),E6918*F6918,"")</f>
        <v>4.5694999999999997</v>
      </c>
      <c r="H6918" s="35">
        <f>SUM(G6918:G6918)</f>
        <v>4.5694999999999997</v>
      </c>
      <c r="I6918" s="36"/>
      <c r="J6918" s="125">
        <v>0</v>
      </c>
    </row>
    <row r="6919" spans="1:10" ht="15.75" hidden="1" thickBot="1" x14ac:dyDescent="0.3">
      <c r="A6919" s="236"/>
      <c r="B6919" s="239"/>
      <c r="C6919" s="164"/>
      <c r="D6919" s="50"/>
      <c r="E6919" s="61"/>
      <c r="F6919" s="62" t="s">
        <v>418</v>
      </c>
      <c r="G6919" s="62" t="str">
        <f>IF(ISNUMBER(F6919),E6919*F6919,"")</f>
        <v/>
      </c>
      <c r="H6919" s="64"/>
      <c r="I6919" s="28"/>
      <c r="J6919" s="125">
        <v>0</v>
      </c>
    </row>
    <row r="6920" spans="1:10" ht="15.75" hidden="1" thickBot="1" x14ac:dyDescent="0.3">
      <c r="A6920" s="234" t="s">
        <v>15373</v>
      </c>
      <c r="B6920" s="237" t="s">
        <v>15374</v>
      </c>
      <c r="C6920" s="160"/>
      <c r="D6920" s="23" t="s">
        <v>16</v>
      </c>
      <c r="E6920" s="24"/>
      <c r="F6920" s="37" t="s">
        <v>418</v>
      </c>
      <c r="G6920" s="25" t="str">
        <f>IF(ISNUMBER(F6920),E6920*F6920,"")</f>
        <v/>
      </c>
      <c r="H6920" s="26"/>
      <c r="I6920" s="27"/>
      <c r="J6920" s="125">
        <v>0</v>
      </c>
    </row>
    <row r="6921" spans="1:10" ht="15.75" hidden="1" thickBot="1" x14ac:dyDescent="0.3">
      <c r="A6921" s="235"/>
      <c r="B6921" s="240"/>
      <c r="C6921" s="151"/>
      <c r="D6921" s="29"/>
      <c r="E6921" s="30"/>
      <c r="F6921" s="38" t="s">
        <v>418</v>
      </c>
      <c r="G6921" s="28" t="str">
        <f>IF(ISNUMBER(F6921),E6921*F6921,"")</f>
        <v/>
      </c>
      <c r="H6921" s="32"/>
      <c r="I6921" s="28"/>
      <c r="J6921" s="125">
        <v>0</v>
      </c>
    </row>
    <row r="6922" spans="1:10" ht="15.75" hidden="1" thickBot="1" x14ac:dyDescent="0.3">
      <c r="A6922" s="235"/>
      <c r="B6922" s="240"/>
      <c r="C6922" s="155" t="s">
        <v>26954</v>
      </c>
      <c r="D6922" s="155" t="s">
        <v>205</v>
      </c>
      <c r="E6922" s="130">
        <v>1</v>
      </c>
      <c r="F6922" s="28">
        <v>102.49549999999999</v>
      </c>
      <c r="G6922" s="28">
        <f>IF(ISNUMBER(F6922),E6922*F6922,"")</f>
        <v>102.49549999999999</v>
      </c>
      <c r="H6922" s="35">
        <f>SUM(G6922:G6922)</f>
        <v>102.49549999999999</v>
      </c>
      <c r="I6922" s="36"/>
      <c r="J6922" s="125">
        <v>0</v>
      </c>
    </row>
    <row r="6923" spans="1:10" ht="15.75" hidden="1" thickBot="1" x14ac:dyDescent="0.3">
      <c r="A6923" s="236"/>
      <c r="B6923" s="239"/>
      <c r="C6923" s="164"/>
      <c r="D6923" s="50"/>
      <c r="E6923" s="61"/>
      <c r="F6923" s="62" t="s">
        <v>418</v>
      </c>
      <c r="G6923" s="62" t="str">
        <f>IF(ISNUMBER(F6923),E6923*F6923,"")</f>
        <v/>
      </c>
      <c r="H6923" s="64"/>
      <c r="I6923" s="28"/>
      <c r="J6923" s="125">
        <v>0</v>
      </c>
    </row>
    <row r="6924" spans="1:10" ht="15.75" hidden="1" thickBot="1" x14ac:dyDescent="0.3">
      <c r="A6924" s="234" t="s">
        <v>15375</v>
      </c>
      <c r="B6924" s="237" t="s">
        <v>15376</v>
      </c>
      <c r="C6924" s="160"/>
      <c r="D6924" s="23" t="s">
        <v>16</v>
      </c>
      <c r="E6924" s="24"/>
      <c r="F6924" s="37" t="s">
        <v>418</v>
      </c>
      <c r="G6924" s="25" t="str">
        <f>IF(ISNUMBER(F6924),E6924*F6924,"")</f>
        <v/>
      </c>
      <c r="H6924" s="26"/>
      <c r="I6924" s="27"/>
      <c r="J6924" s="125">
        <v>0</v>
      </c>
    </row>
    <row r="6925" spans="1:10" ht="15.75" hidden="1" thickBot="1" x14ac:dyDescent="0.3">
      <c r="A6925" s="235"/>
      <c r="B6925" s="240"/>
      <c r="C6925" s="151"/>
      <c r="D6925" s="29"/>
      <c r="E6925" s="30"/>
      <c r="F6925" s="38" t="s">
        <v>418</v>
      </c>
      <c r="G6925" s="28" t="str">
        <f>IF(ISNUMBER(F6925),E6925*F6925,"")</f>
        <v/>
      </c>
      <c r="H6925" s="32"/>
      <c r="I6925" s="28"/>
      <c r="J6925" s="125">
        <v>0</v>
      </c>
    </row>
    <row r="6926" spans="1:10" ht="26.25" hidden="1" thickBot="1" x14ac:dyDescent="0.3">
      <c r="A6926" s="235"/>
      <c r="B6926" s="240"/>
      <c r="C6926" s="155" t="s">
        <v>24220</v>
      </c>
      <c r="D6926" s="155" t="s">
        <v>205</v>
      </c>
      <c r="E6926" s="130">
        <v>1</v>
      </c>
      <c r="F6926" s="28">
        <v>423.9375</v>
      </c>
      <c r="G6926" s="28">
        <f>IF(ISNUMBER(F6926),E6926*F6926,"")</f>
        <v>423.9375</v>
      </c>
      <c r="H6926" s="35">
        <f>SUM(G6926:G6926)</f>
        <v>423.9375</v>
      </c>
      <c r="I6926" s="36"/>
      <c r="J6926" s="125">
        <v>0</v>
      </c>
    </row>
    <row r="6927" spans="1:10" ht="15.75" hidden="1" thickBot="1" x14ac:dyDescent="0.3">
      <c r="A6927" s="236"/>
      <c r="B6927" s="239"/>
      <c r="C6927" s="164"/>
      <c r="D6927" s="50"/>
      <c r="E6927" s="61"/>
      <c r="F6927" s="62" t="s">
        <v>418</v>
      </c>
      <c r="G6927" s="62" t="str">
        <f>IF(ISNUMBER(F6927),E6927*F6927,"")</f>
        <v/>
      </c>
      <c r="H6927" s="64"/>
      <c r="I6927" s="28"/>
      <c r="J6927" s="125">
        <v>0</v>
      </c>
    </row>
    <row r="6928" spans="1:10" ht="15.75" hidden="1" thickBot="1" x14ac:dyDescent="0.3">
      <c r="A6928" s="234" t="s">
        <v>15377</v>
      </c>
      <c r="B6928" s="237" t="s">
        <v>19623</v>
      </c>
      <c r="C6928" s="160"/>
      <c r="D6928" s="23" t="s">
        <v>16</v>
      </c>
      <c r="E6928" s="24"/>
      <c r="F6928" s="37" t="s">
        <v>418</v>
      </c>
      <c r="G6928" s="25" t="str">
        <f>IF(ISNUMBER(F6928),E6928*F6928,"")</f>
        <v/>
      </c>
      <c r="H6928" s="26"/>
      <c r="I6928" s="27"/>
      <c r="J6928" s="125">
        <v>0</v>
      </c>
    </row>
    <row r="6929" spans="1:10" ht="15.75" hidden="1" thickBot="1" x14ac:dyDescent="0.3">
      <c r="A6929" s="235"/>
      <c r="B6929" s="240"/>
      <c r="C6929" s="151"/>
      <c r="D6929" s="29"/>
      <c r="E6929" s="30"/>
      <c r="F6929" s="38" t="s">
        <v>418</v>
      </c>
      <c r="G6929" s="28" t="str">
        <f>IF(ISNUMBER(F6929),E6929*F6929,"")</f>
        <v/>
      </c>
      <c r="H6929" s="32"/>
      <c r="I6929" s="28"/>
      <c r="J6929" s="125">
        <v>0</v>
      </c>
    </row>
    <row r="6930" spans="1:10" ht="26.25" hidden="1" thickBot="1" x14ac:dyDescent="0.3">
      <c r="A6930" s="235"/>
      <c r="B6930" s="240"/>
      <c r="C6930" s="155" t="s">
        <v>24364</v>
      </c>
      <c r="D6930" s="155" t="s">
        <v>205</v>
      </c>
      <c r="E6930" s="130">
        <v>1</v>
      </c>
      <c r="F6930" s="28">
        <v>4.0754999999999999</v>
      </c>
      <c r="G6930" s="28">
        <f>IF(ISNUMBER(F6930),E6930*F6930,"")</f>
        <v>4.0754999999999999</v>
      </c>
      <c r="H6930" s="35">
        <f>SUM(G6930:G6930)</f>
        <v>4.0754999999999999</v>
      </c>
      <c r="I6930" s="36"/>
      <c r="J6930" s="125">
        <v>0</v>
      </c>
    </row>
    <row r="6931" spans="1:10" ht="15.75" hidden="1" thickBot="1" x14ac:dyDescent="0.3">
      <c r="A6931" s="236"/>
      <c r="B6931" s="239"/>
      <c r="C6931" s="164"/>
      <c r="D6931" s="50"/>
      <c r="E6931" s="61"/>
      <c r="F6931" s="62" t="s">
        <v>418</v>
      </c>
      <c r="G6931" s="62" t="str">
        <f>IF(ISNUMBER(F6931),E6931*F6931,"")</f>
        <v/>
      </c>
      <c r="H6931" s="64"/>
      <c r="I6931" s="28"/>
      <c r="J6931" s="125">
        <v>0</v>
      </c>
    </row>
    <row r="6932" spans="1:10" ht="15.75" hidden="1" thickBot="1" x14ac:dyDescent="0.3">
      <c r="A6932" s="234" t="s">
        <v>15378</v>
      </c>
      <c r="B6932" s="237" t="s">
        <v>15379</v>
      </c>
      <c r="C6932" s="160"/>
      <c r="D6932" s="23" t="s">
        <v>16</v>
      </c>
      <c r="E6932" s="24"/>
      <c r="F6932" s="37" t="s">
        <v>418</v>
      </c>
      <c r="G6932" s="25" t="str">
        <f>IF(ISNUMBER(F6932),E6932*F6932,"")</f>
        <v/>
      </c>
      <c r="H6932" s="26"/>
      <c r="I6932" s="27"/>
      <c r="J6932" s="125">
        <v>0</v>
      </c>
    </row>
    <row r="6933" spans="1:10" ht="15.75" hidden="1" thickBot="1" x14ac:dyDescent="0.3">
      <c r="A6933" s="235"/>
      <c r="B6933" s="240"/>
      <c r="C6933" s="151"/>
      <c r="D6933" s="29"/>
      <c r="E6933" s="30"/>
      <c r="F6933" s="38" t="s">
        <v>418</v>
      </c>
      <c r="G6933" s="28" t="str">
        <f>IF(ISNUMBER(F6933),E6933*F6933,"")</f>
        <v/>
      </c>
      <c r="H6933" s="32"/>
      <c r="I6933" s="28"/>
      <c r="J6933" s="125">
        <v>0</v>
      </c>
    </row>
    <row r="6934" spans="1:10" ht="39" hidden="1" thickBot="1" x14ac:dyDescent="0.3">
      <c r="A6934" s="235"/>
      <c r="B6934" s="240"/>
      <c r="C6934" s="155" t="s">
        <v>27411</v>
      </c>
      <c r="D6934" s="155" t="s">
        <v>205</v>
      </c>
      <c r="E6934" s="130">
        <v>1</v>
      </c>
      <c r="F6934" s="28">
        <v>25.478999999999999</v>
      </c>
      <c r="G6934" s="28">
        <f>IF(ISNUMBER(F6934),E6934*F6934,"")</f>
        <v>25.478999999999999</v>
      </c>
      <c r="H6934" s="35">
        <f>SUM(G6934:G6934)</f>
        <v>25.478999999999999</v>
      </c>
      <c r="I6934" s="36"/>
      <c r="J6934" s="125">
        <v>0</v>
      </c>
    </row>
    <row r="6935" spans="1:10" ht="15.75" hidden="1" thickBot="1" x14ac:dyDescent="0.3">
      <c r="A6935" s="236"/>
      <c r="B6935" s="239"/>
      <c r="C6935" s="164"/>
      <c r="D6935" s="50"/>
      <c r="E6935" s="61"/>
      <c r="F6935" s="62" t="s">
        <v>418</v>
      </c>
      <c r="G6935" s="62" t="str">
        <f>IF(ISNUMBER(F6935),E6935*F6935,"")</f>
        <v/>
      </c>
      <c r="H6935" s="64"/>
      <c r="I6935" s="28"/>
      <c r="J6935" s="125">
        <v>0</v>
      </c>
    </row>
    <row r="6936" spans="1:10" ht="15.75" hidden="1" thickBot="1" x14ac:dyDescent="0.3">
      <c r="A6936" s="234" t="s">
        <v>15380</v>
      </c>
      <c r="B6936" s="237" t="s">
        <v>15381</v>
      </c>
      <c r="C6936" s="160"/>
      <c r="D6936" s="23" t="s">
        <v>16</v>
      </c>
      <c r="E6936" s="24"/>
      <c r="F6936" s="37" t="s">
        <v>418</v>
      </c>
      <c r="G6936" s="25" t="str">
        <f>IF(ISNUMBER(F6936),E6936*F6936,"")</f>
        <v/>
      </c>
      <c r="H6936" s="26"/>
      <c r="I6936" s="27"/>
      <c r="J6936" s="125">
        <v>0</v>
      </c>
    </row>
    <row r="6937" spans="1:10" ht="15.75" hidden="1" thickBot="1" x14ac:dyDescent="0.3">
      <c r="A6937" s="235"/>
      <c r="B6937" s="240"/>
      <c r="C6937" s="151"/>
      <c r="D6937" s="29"/>
      <c r="E6937" s="30"/>
      <c r="F6937" s="38" t="s">
        <v>418</v>
      </c>
      <c r="G6937" s="28" t="str">
        <f>IF(ISNUMBER(F6937),E6937*F6937,"")</f>
        <v/>
      </c>
      <c r="H6937" s="32"/>
      <c r="I6937" s="28"/>
      <c r="J6937" s="125">
        <v>0</v>
      </c>
    </row>
    <row r="6938" spans="1:10" ht="15.75" hidden="1" thickBot="1" x14ac:dyDescent="0.3">
      <c r="A6938" s="235"/>
      <c r="B6938" s="240"/>
      <c r="C6938" s="155" t="s">
        <v>24398</v>
      </c>
      <c r="D6938" s="155" t="s">
        <v>205</v>
      </c>
      <c r="E6938" s="130">
        <v>1</v>
      </c>
      <c r="F6938" s="28">
        <v>13.328499999999998</v>
      </c>
      <c r="G6938" s="28">
        <f>IF(ISNUMBER(F6938),E6938*F6938,"")</f>
        <v>13.328499999999998</v>
      </c>
      <c r="H6938" s="35">
        <f>SUM(G6938:G6938)</f>
        <v>13.328499999999998</v>
      </c>
      <c r="I6938" s="36"/>
      <c r="J6938" s="125">
        <v>0</v>
      </c>
    </row>
    <row r="6939" spans="1:10" ht="15.75" hidden="1" thickBot="1" x14ac:dyDescent="0.3">
      <c r="A6939" s="236"/>
      <c r="B6939" s="239"/>
      <c r="C6939" s="164"/>
      <c r="D6939" s="50"/>
      <c r="E6939" s="61"/>
      <c r="F6939" s="62" t="s">
        <v>418</v>
      </c>
      <c r="G6939" s="62" t="str">
        <f>IF(ISNUMBER(F6939),E6939*F6939,"")</f>
        <v/>
      </c>
      <c r="H6939" s="64"/>
      <c r="I6939" s="28"/>
      <c r="J6939" s="125">
        <v>0</v>
      </c>
    </row>
    <row r="6940" spans="1:10" ht="15.75" hidden="1" thickBot="1" x14ac:dyDescent="0.3">
      <c r="A6940" s="234" t="s">
        <v>15382</v>
      </c>
      <c r="B6940" s="237" t="s">
        <v>15383</v>
      </c>
      <c r="C6940" s="160"/>
      <c r="D6940" s="23" t="s">
        <v>16</v>
      </c>
      <c r="E6940" s="24"/>
      <c r="F6940" s="37" t="s">
        <v>418</v>
      </c>
      <c r="G6940" s="25" t="str">
        <f>IF(ISNUMBER(F6940),E6940*F6940,"")</f>
        <v/>
      </c>
      <c r="H6940" s="26"/>
      <c r="I6940" s="27"/>
      <c r="J6940" s="125">
        <v>0</v>
      </c>
    </row>
    <row r="6941" spans="1:10" ht="15.75" hidden="1" thickBot="1" x14ac:dyDescent="0.3">
      <c r="A6941" s="235"/>
      <c r="B6941" s="240"/>
      <c r="C6941" s="151"/>
      <c r="D6941" s="29"/>
      <c r="E6941" s="30"/>
      <c r="F6941" s="38" t="s">
        <v>418</v>
      </c>
      <c r="G6941" s="28" t="str">
        <f>IF(ISNUMBER(F6941),E6941*F6941,"")</f>
        <v/>
      </c>
      <c r="H6941" s="32"/>
      <c r="I6941" s="28"/>
      <c r="J6941" s="125">
        <v>0</v>
      </c>
    </row>
    <row r="6942" spans="1:10" ht="26.25" hidden="1" thickBot="1" x14ac:dyDescent="0.3">
      <c r="A6942" s="235"/>
      <c r="B6942" s="240"/>
      <c r="C6942" s="155" t="s">
        <v>27508</v>
      </c>
      <c r="D6942" s="155" t="s">
        <v>205</v>
      </c>
      <c r="E6942" s="130">
        <v>1</v>
      </c>
      <c r="F6942" s="28">
        <v>13.090999999999999</v>
      </c>
      <c r="G6942" s="28">
        <f>IF(ISNUMBER(F6942),E6942*F6942,"")</f>
        <v>13.090999999999999</v>
      </c>
      <c r="H6942" s="35">
        <f>SUM(G6942:G6942)</f>
        <v>13.090999999999999</v>
      </c>
      <c r="I6942" s="36"/>
      <c r="J6942" s="125">
        <v>0</v>
      </c>
    </row>
    <row r="6943" spans="1:10" ht="15.75" hidden="1" thickBot="1" x14ac:dyDescent="0.3">
      <c r="A6943" s="236"/>
      <c r="B6943" s="239"/>
      <c r="C6943" s="164"/>
      <c r="D6943" s="50"/>
      <c r="E6943" s="61"/>
      <c r="F6943" s="62" t="s">
        <v>418</v>
      </c>
      <c r="G6943" s="62" t="str">
        <f>IF(ISNUMBER(F6943),E6943*F6943,"")</f>
        <v/>
      </c>
      <c r="H6943" s="64"/>
      <c r="I6943" s="28"/>
      <c r="J6943" s="125">
        <v>0</v>
      </c>
    </row>
    <row r="6944" spans="1:10" ht="15.75" hidden="1" thickBot="1" x14ac:dyDescent="0.3">
      <c r="A6944" s="234" t="s">
        <v>15384</v>
      </c>
      <c r="B6944" s="237" t="s">
        <v>19622</v>
      </c>
      <c r="C6944" s="160"/>
      <c r="D6944" s="23" t="s">
        <v>16</v>
      </c>
      <c r="E6944" s="24"/>
      <c r="F6944" s="37" t="s">
        <v>418</v>
      </c>
      <c r="G6944" s="25" t="str">
        <f>IF(ISNUMBER(F6944),E6944*F6944,"")</f>
        <v/>
      </c>
      <c r="H6944" s="26"/>
      <c r="I6944" s="27"/>
      <c r="J6944" s="125">
        <v>0</v>
      </c>
    </row>
    <row r="6945" spans="1:10" ht="15.75" hidden="1" thickBot="1" x14ac:dyDescent="0.3">
      <c r="A6945" s="235"/>
      <c r="B6945" s="240"/>
      <c r="C6945" s="151"/>
      <c r="D6945" s="29"/>
      <c r="E6945" s="30"/>
      <c r="F6945" s="38" t="s">
        <v>418</v>
      </c>
      <c r="G6945" s="28" t="str">
        <f>IF(ISNUMBER(F6945),E6945*F6945,"")</f>
        <v/>
      </c>
      <c r="H6945" s="32"/>
      <c r="I6945" s="28"/>
      <c r="J6945" s="125">
        <v>0</v>
      </c>
    </row>
    <row r="6946" spans="1:10" ht="26.25" hidden="1" thickBot="1" x14ac:dyDescent="0.3">
      <c r="A6946" s="235"/>
      <c r="B6946" s="240"/>
      <c r="C6946" s="155" t="s">
        <v>24707</v>
      </c>
      <c r="D6946" s="155" t="s">
        <v>205</v>
      </c>
      <c r="E6946" s="130">
        <v>1</v>
      </c>
      <c r="F6946" s="28">
        <v>15.275999999999998</v>
      </c>
      <c r="G6946" s="28">
        <f>IF(ISNUMBER(F6946),E6946*F6946,"")</f>
        <v>15.275999999999998</v>
      </c>
      <c r="H6946" s="35">
        <f>SUM(G6946:G6946)</f>
        <v>15.275999999999998</v>
      </c>
      <c r="I6946" s="36"/>
      <c r="J6946" s="125">
        <v>0</v>
      </c>
    </row>
    <row r="6947" spans="1:10" ht="15.75" hidden="1" thickBot="1" x14ac:dyDescent="0.3">
      <c r="A6947" s="236"/>
      <c r="B6947" s="239"/>
      <c r="C6947" s="164"/>
      <c r="D6947" s="50"/>
      <c r="E6947" s="61"/>
      <c r="F6947" s="62" t="s">
        <v>418</v>
      </c>
      <c r="G6947" s="62" t="str">
        <f>IF(ISNUMBER(F6947),E6947*F6947,"")</f>
        <v/>
      </c>
      <c r="H6947" s="64"/>
      <c r="I6947" s="28"/>
      <c r="J6947" s="125">
        <v>0</v>
      </c>
    </row>
    <row r="6948" spans="1:10" ht="15.75" hidden="1" thickBot="1" x14ac:dyDescent="0.3">
      <c r="A6948" s="234" t="s">
        <v>15385</v>
      </c>
      <c r="B6948" s="237" t="s">
        <v>15386</v>
      </c>
      <c r="C6948" s="160"/>
      <c r="D6948" s="23" t="s">
        <v>16</v>
      </c>
      <c r="E6948" s="24"/>
      <c r="F6948" s="37" t="s">
        <v>418</v>
      </c>
      <c r="G6948" s="25" t="str">
        <f>IF(ISNUMBER(F6948),E6948*F6948,"")</f>
        <v/>
      </c>
      <c r="H6948" s="26"/>
      <c r="I6948" s="27"/>
      <c r="J6948" s="125">
        <v>0</v>
      </c>
    </row>
    <row r="6949" spans="1:10" ht="15.75" hidden="1" thickBot="1" x14ac:dyDescent="0.3">
      <c r="A6949" s="235"/>
      <c r="B6949" s="240"/>
      <c r="C6949" s="151"/>
      <c r="D6949" s="29"/>
      <c r="E6949" s="30"/>
      <c r="F6949" s="38" t="s">
        <v>418</v>
      </c>
      <c r="G6949" s="28" t="str">
        <f>IF(ISNUMBER(F6949),E6949*F6949,"")</f>
        <v/>
      </c>
      <c r="H6949" s="32"/>
      <c r="I6949" s="28"/>
      <c r="J6949" s="125">
        <v>0</v>
      </c>
    </row>
    <row r="6950" spans="1:10" ht="26.25" hidden="1" thickBot="1" x14ac:dyDescent="0.3">
      <c r="A6950" s="235"/>
      <c r="B6950" s="240"/>
      <c r="C6950" s="155" t="s">
        <v>25031</v>
      </c>
      <c r="D6950" s="155" t="s">
        <v>205</v>
      </c>
      <c r="E6950" s="130">
        <v>1</v>
      </c>
      <c r="F6950" s="28">
        <v>124.85850000000001</v>
      </c>
      <c r="G6950" s="28">
        <f>IF(ISNUMBER(F6950),E6950*F6950,"")</f>
        <v>124.85850000000001</v>
      </c>
      <c r="H6950" s="35">
        <f>SUM(G6950:G6950)</f>
        <v>124.85850000000001</v>
      </c>
      <c r="I6950" s="36"/>
      <c r="J6950" s="125">
        <v>0</v>
      </c>
    </row>
    <row r="6951" spans="1:10" ht="15.75" hidden="1" thickBot="1" x14ac:dyDescent="0.3">
      <c r="A6951" s="236"/>
      <c r="B6951" s="239"/>
      <c r="C6951" s="164"/>
      <c r="D6951" s="50"/>
      <c r="E6951" s="61"/>
      <c r="F6951" s="62" t="s">
        <v>418</v>
      </c>
      <c r="G6951" s="62" t="str">
        <f>IF(ISNUMBER(F6951),E6951*F6951,"")</f>
        <v/>
      </c>
      <c r="H6951" s="64"/>
      <c r="I6951" s="28"/>
      <c r="J6951" s="125">
        <v>0</v>
      </c>
    </row>
    <row r="6952" spans="1:10" ht="15.75" hidden="1" thickBot="1" x14ac:dyDescent="0.3">
      <c r="A6952" s="234" t="s">
        <v>15387</v>
      </c>
      <c r="B6952" s="237" t="s">
        <v>15388</v>
      </c>
      <c r="C6952" s="160"/>
      <c r="D6952" s="23" t="s">
        <v>16</v>
      </c>
      <c r="E6952" s="24"/>
      <c r="F6952" s="37" t="s">
        <v>418</v>
      </c>
      <c r="G6952" s="25" t="str">
        <f>IF(ISNUMBER(F6952),E6952*F6952,"")</f>
        <v/>
      </c>
      <c r="H6952" s="26"/>
      <c r="I6952" s="27"/>
      <c r="J6952" s="125">
        <v>0</v>
      </c>
    </row>
    <row r="6953" spans="1:10" ht="15.75" hidden="1" thickBot="1" x14ac:dyDescent="0.3">
      <c r="A6953" s="235"/>
      <c r="B6953" s="240"/>
      <c r="C6953" s="151"/>
      <c r="D6953" s="29"/>
      <c r="E6953" s="30"/>
      <c r="F6953" s="38" t="s">
        <v>418</v>
      </c>
      <c r="G6953" s="28" t="str">
        <f>IF(ISNUMBER(F6953),E6953*F6953,"")</f>
        <v/>
      </c>
      <c r="H6953" s="32"/>
      <c r="I6953" s="28"/>
      <c r="J6953" s="125">
        <v>0</v>
      </c>
    </row>
    <row r="6954" spans="1:10" ht="15.75" hidden="1" thickBot="1" x14ac:dyDescent="0.3">
      <c r="A6954" s="235"/>
      <c r="B6954" s="240"/>
      <c r="C6954" s="142" t="s">
        <v>15512</v>
      </c>
      <c r="D6954" s="42" t="s">
        <v>16</v>
      </c>
      <c r="E6954" s="130">
        <v>1</v>
      </c>
      <c r="F6954" s="28">
        <v>0.95</v>
      </c>
      <c r="G6954" s="28">
        <f>IF(ISNUMBER(F6954),E6954*F6954,"")</f>
        <v>0.95</v>
      </c>
      <c r="H6954" s="35">
        <f>SUM(G6954:G6954)</f>
        <v>0.95</v>
      </c>
      <c r="I6954" s="36"/>
      <c r="J6954" s="125">
        <v>0</v>
      </c>
    </row>
    <row r="6955" spans="1:10" ht="15.75" hidden="1" thickBot="1" x14ac:dyDescent="0.3">
      <c r="A6955" s="236"/>
      <c r="B6955" s="239"/>
      <c r="C6955" s="164"/>
      <c r="D6955" s="50"/>
      <c r="E6955" s="61"/>
      <c r="F6955" s="62" t="s">
        <v>418</v>
      </c>
      <c r="G6955" s="62" t="str">
        <f>IF(ISNUMBER(F6955),E6955*F6955,"")</f>
        <v/>
      </c>
      <c r="H6955" s="64"/>
      <c r="I6955" s="28"/>
      <c r="J6955" s="125">
        <v>0</v>
      </c>
    </row>
    <row r="6956" spans="1:10" ht="15.75" hidden="1" thickBot="1" x14ac:dyDescent="0.3">
      <c r="A6956" s="234" t="s">
        <v>15389</v>
      </c>
      <c r="B6956" s="237" t="s">
        <v>15390</v>
      </c>
      <c r="C6956" s="160"/>
      <c r="D6956" s="23" t="s">
        <v>16</v>
      </c>
      <c r="E6956" s="24"/>
      <c r="F6956" s="37" t="s">
        <v>418</v>
      </c>
      <c r="G6956" s="25" t="str">
        <f>IF(ISNUMBER(F6956),E6956*F6956,"")</f>
        <v/>
      </c>
      <c r="H6956" s="26"/>
      <c r="I6956" s="27"/>
      <c r="J6956" s="125">
        <v>0</v>
      </c>
    </row>
    <row r="6957" spans="1:10" ht="15.75" hidden="1" thickBot="1" x14ac:dyDescent="0.3">
      <c r="A6957" s="235"/>
      <c r="B6957" s="240"/>
      <c r="C6957" s="151"/>
      <c r="D6957" s="29"/>
      <c r="E6957" s="30"/>
      <c r="F6957" s="38" t="s">
        <v>418</v>
      </c>
      <c r="G6957" s="28" t="str">
        <f>IF(ISNUMBER(F6957),E6957*F6957,"")</f>
        <v/>
      </c>
      <c r="H6957" s="32"/>
      <c r="I6957" s="28"/>
      <c r="J6957" s="125">
        <v>0</v>
      </c>
    </row>
    <row r="6958" spans="1:10" ht="26.25" hidden="1" thickBot="1" x14ac:dyDescent="0.3">
      <c r="A6958" s="235"/>
      <c r="B6958" s="240"/>
      <c r="C6958" s="155" t="s">
        <v>25033</v>
      </c>
      <c r="D6958" s="155" t="s">
        <v>205</v>
      </c>
      <c r="E6958" s="130">
        <v>1</v>
      </c>
      <c r="F6958" s="28">
        <v>292.47649999999999</v>
      </c>
      <c r="G6958" s="28">
        <f>IF(ISNUMBER(F6958),E6958*F6958,"")</f>
        <v>292.47649999999999</v>
      </c>
      <c r="H6958" s="35">
        <f t="shared" ref="H6958" si="47">SUM(G6958:G6958)</f>
        <v>292.47649999999999</v>
      </c>
      <c r="I6958" s="36"/>
      <c r="J6958" s="125">
        <v>0</v>
      </c>
    </row>
    <row r="6959" spans="1:10" ht="15.75" hidden="1" thickBot="1" x14ac:dyDescent="0.3">
      <c r="A6959" s="236"/>
      <c r="B6959" s="239"/>
      <c r="C6959" s="164"/>
      <c r="D6959" s="50"/>
      <c r="E6959" s="61"/>
      <c r="F6959" s="62" t="s">
        <v>418</v>
      </c>
      <c r="G6959" s="62" t="str">
        <f>IF(ISNUMBER(F6959),E6959*F6959,"")</f>
        <v/>
      </c>
      <c r="H6959" s="64"/>
      <c r="I6959" s="28"/>
      <c r="J6959" s="125">
        <v>0</v>
      </c>
    </row>
    <row r="6960" spans="1:10" ht="15.75" hidden="1" thickBot="1" x14ac:dyDescent="0.3">
      <c r="A6960" s="234" t="s">
        <v>15391</v>
      </c>
      <c r="B6960" s="237" t="s">
        <v>15392</v>
      </c>
      <c r="C6960" s="160"/>
      <c r="D6960" s="23" t="s">
        <v>16</v>
      </c>
      <c r="E6960" s="24"/>
      <c r="F6960" s="37" t="s">
        <v>418</v>
      </c>
      <c r="G6960" s="25" t="str">
        <f>IF(ISNUMBER(F6960),E6960*F6960,"")</f>
        <v/>
      </c>
      <c r="H6960" s="26"/>
      <c r="I6960" s="27"/>
      <c r="J6960" s="125">
        <v>0</v>
      </c>
    </row>
    <row r="6961" spans="1:10" ht="15.75" hidden="1" thickBot="1" x14ac:dyDescent="0.3">
      <c r="A6961" s="235"/>
      <c r="B6961" s="240"/>
      <c r="C6961" s="151"/>
      <c r="D6961" s="29"/>
      <c r="E6961" s="30"/>
      <c r="F6961" s="38" t="s">
        <v>418</v>
      </c>
      <c r="G6961" s="28" t="str">
        <f>IF(ISNUMBER(F6961),E6961*F6961,"")</f>
        <v/>
      </c>
      <c r="H6961" s="32"/>
      <c r="I6961" s="28"/>
      <c r="J6961" s="125">
        <v>0</v>
      </c>
    </row>
    <row r="6962" spans="1:10" ht="26.25" hidden="1" thickBot="1" x14ac:dyDescent="0.3">
      <c r="A6962" s="235"/>
      <c r="B6962" s="240"/>
      <c r="C6962" s="155" t="s">
        <v>24925</v>
      </c>
      <c r="D6962" s="155" t="s">
        <v>205</v>
      </c>
      <c r="E6962" s="130">
        <v>1</v>
      </c>
      <c r="F6962" s="28">
        <v>33.905499999999996</v>
      </c>
      <c r="G6962" s="28">
        <f>IF(ISNUMBER(F6962),E6962*F6962,"")</f>
        <v>33.905499999999996</v>
      </c>
      <c r="H6962" s="35">
        <f t="shared" ref="H6962" si="48">SUM(G6962:G6962)</f>
        <v>33.905499999999996</v>
      </c>
      <c r="I6962" s="36"/>
      <c r="J6962" s="125">
        <v>0</v>
      </c>
    </row>
    <row r="6963" spans="1:10" ht="15.75" hidden="1" thickBot="1" x14ac:dyDescent="0.3">
      <c r="A6963" s="236"/>
      <c r="B6963" s="239"/>
      <c r="C6963" s="164"/>
      <c r="D6963" s="50"/>
      <c r="E6963" s="61"/>
      <c r="F6963" s="62" t="s">
        <v>418</v>
      </c>
      <c r="G6963" s="62" t="str">
        <f>IF(ISNUMBER(F6963),E6963*F6963,"")</f>
        <v/>
      </c>
      <c r="H6963" s="64"/>
      <c r="I6963" s="28"/>
      <c r="J6963" s="125">
        <v>0</v>
      </c>
    </row>
    <row r="6964" spans="1:10" ht="15.75" hidden="1" thickBot="1" x14ac:dyDescent="0.3">
      <c r="A6964" s="234" t="s">
        <v>15393</v>
      </c>
      <c r="B6964" s="237" t="s">
        <v>19621</v>
      </c>
      <c r="C6964" s="160"/>
      <c r="D6964" s="23" t="s">
        <v>16</v>
      </c>
      <c r="E6964" s="24"/>
      <c r="F6964" s="37" t="s">
        <v>418</v>
      </c>
      <c r="G6964" s="25" t="str">
        <f>IF(ISNUMBER(F6964),E6964*F6964,"")</f>
        <v/>
      </c>
      <c r="H6964" s="26"/>
      <c r="I6964" s="27"/>
      <c r="J6964" s="125">
        <v>0</v>
      </c>
    </row>
    <row r="6965" spans="1:10" ht="15.75" hidden="1" thickBot="1" x14ac:dyDescent="0.3">
      <c r="A6965" s="235"/>
      <c r="B6965" s="240"/>
      <c r="C6965" s="151"/>
      <c r="D6965" s="29"/>
      <c r="E6965" s="30"/>
      <c r="F6965" s="38" t="s">
        <v>418</v>
      </c>
      <c r="G6965" s="28" t="str">
        <f>IF(ISNUMBER(F6965),E6965*F6965,"")</f>
        <v/>
      </c>
      <c r="H6965" s="32"/>
      <c r="I6965" s="28"/>
      <c r="J6965" s="125">
        <v>0</v>
      </c>
    </row>
    <row r="6966" spans="1:10" ht="26.25" hidden="1" thickBot="1" x14ac:dyDescent="0.3">
      <c r="A6966" s="235"/>
      <c r="B6966" s="240"/>
      <c r="C6966" s="155" t="s">
        <v>25515</v>
      </c>
      <c r="D6966" s="155" t="s">
        <v>205</v>
      </c>
      <c r="E6966" s="130">
        <v>1</v>
      </c>
      <c r="F6966" s="28">
        <v>38.864499999999992</v>
      </c>
      <c r="G6966" s="28">
        <f>IF(ISNUMBER(F6966),E6966*F6966,"")</f>
        <v>38.864499999999992</v>
      </c>
      <c r="H6966" s="35">
        <f t="shared" ref="H6966" si="49">SUM(G6966:G6966)</f>
        <v>38.864499999999992</v>
      </c>
      <c r="I6966" s="36"/>
      <c r="J6966" s="125">
        <v>0</v>
      </c>
    </row>
    <row r="6967" spans="1:10" ht="15.75" hidden="1" thickBot="1" x14ac:dyDescent="0.3">
      <c r="A6967" s="236"/>
      <c r="B6967" s="239"/>
      <c r="C6967" s="164"/>
      <c r="D6967" s="50"/>
      <c r="E6967" s="61"/>
      <c r="F6967" s="62" t="s">
        <v>418</v>
      </c>
      <c r="G6967" s="62" t="str">
        <f>IF(ISNUMBER(F6967),E6967*F6967,"")</f>
        <v/>
      </c>
      <c r="H6967" s="64"/>
      <c r="I6967" s="28"/>
      <c r="J6967" s="125">
        <v>0</v>
      </c>
    </row>
    <row r="6968" spans="1:10" ht="15.75" hidden="1" thickBot="1" x14ac:dyDescent="0.3">
      <c r="A6968" s="234" t="s">
        <v>15394</v>
      </c>
      <c r="B6968" s="237" t="s">
        <v>19620</v>
      </c>
      <c r="C6968" s="160"/>
      <c r="D6968" s="23" t="s">
        <v>16</v>
      </c>
      <c r="E6968" s="24"/>
      <c r="F6968" s="37" t="s">
        <v>418</v>
      </c>
      <c r="G6968" s="25" t="str">
        <f>IF(ISNUMBER(F6968),E6968*F6968,"")</f>
        <v/>
      </c>
      <c r="H6968" s="26"/>
      <c r="I6968" s="27"/>
      <c r="J6968" s="125">
        <v>0</v>
      </c>
    </row>
    <row r="6969" spans="1:10" ht="15.75" hidden="1" thickBot="1" x14ac:dyDescent="0.3">
      <c r="A6969" s="235"/>
      <c r="B6969" s="240"/>
      <c r="C6969" s="151"/>
      <c r="D6969" s="29"/>
      <c r="E6969" s="30"/>
      <c r="F6969" s="38" t="s">
        <v>418</v>
      </c>
      <c r="G6969" s="28" t="str">
        <f>IF(ISNUMBER(F6969),E6969*F6969,"")</f>
        <v/>
      </c>
      <c r="H6969" s="32"/>
      <c r="I6969" s="28"/>
      <c r="J6969" s="125">
        <v>0</v>
      </c>
    </row>
    <row r="6970" spans="1:10" ht="26.25" hidden="1" thickBot="1" x14ac:dyDescent="0.3">
      <c r="A6970" s="235"/>
      <c r="B6970" s="240"/>
      <c r="C6970" s="155" t="s">
        <v>23458</v>
      </c>
      <c r="D6970" s="155" t="s">
        <v>205</v>
      </c>
      <c r="E6970" s="130">
        <v>1</v>
      </c>
      <c r="F6970" s="28">
        <v>51.148000000000003</v>
      </c>
      <c r="G6970" s="28">
        <f>IF(ISNUMBER(F6970),E6970*F6970,"")</f>
        <v>51.148000000000003</v>
      </c>
      <c r="H6970" s="35">
        <f t="shared" ref="H6970" si="50">SUM(G6970:G6970)</f>
        <v>51.148000000000003</v>
      </c>
      <c r="I6970" s="36"/>
      <c r="J6970" s="125">
        <v>0</v>
      </c>
    </row>
    <row r="6971" spans="1:10" ht="15.75" hidden="1" thickBot="1" x14ac:dyDescent="0.3">
      <c r="A6971" s="236"/>
      <c r="B6971" s="239"/>
      <c r="C6971" s="164"/>
      <c r="D6971" s="50"/>
      <c r="E6971" s="61"/>
      <c r="F6971" s="62" t="s">
        <v>418</v>
      </c>
      <c r="G6971" s="62" t="str">
        <f>IF(ISNUMBER(F6971),E6971*F6971,"")</f>
        <v/>
      </c>
      <c r="H6971" s="64"/>
      <c r="I6971" s="28"/>
      <c r="J6971" s="125">
        <v>0</v>
      </c>
    </row>
    <row r="6972" spans="1:10" ht="15.75" hidden="1" thickBot="1" x14ac:dyDescent="0.3">
      <c r="A6972" s="234" t="s">
        <v>15395</v>
      </c>
      <c r="B6972" s="237" t="s">
        <v>19619</v>
      </c>
      <c r="C6972" s="160"/>
      <c r="D6972" s="23" t="s">
        <v>16</v>
      </c>
      <c r="E6972" s="24"/>
      <c r="F6972" s="37" t="s">
        <v>418</v>
      </c>
      <c r="G6972" s="25" t="str">
        <f>IF(ISNUMBER(F6972),E6972*F6972,"")</f>
        <v/>
      </c>
      <c r="H6972" s="26"/>
      <c r="I6972" s="27"/>
      <c r="J6972" s="125">
        <v>0</v>
      </c>
    </row>
    <row r="6973" spans="1:10" ht="15.75" hidden="1" thickBot="1" x14ac:dyDescent="0.3">
      <c r="A6973" s="235"/>
      <c r="B6973" s="240"/>
      <c r="C6973" s="151"/>
      <c r="D6973" s="29"/>
      <c r="E6973" s="30"/>
      <c r="F6973" s="38" t="s">
        <v>418</v>
      </c>
      <c r="G6973" s="28" t="str">
        <f>IF(ISNUMBER(F6973),E6973*F6973,"")</f>
        <v/>
      </c>
      <c r="H6973" s="32"/>
      <c r="I6973" s="28"/>
      <c r="J6973" s="125">
        <v>0</v>
      </c>
    </row>
    <row r="6974" spans="1:10" ht="26.25" hidden="1" thickBot="1" x14ac:dyDescent="0.3">
      <c r="A6974" s="235"/>
      <c r="B6974" s="240"/>
      <c r="C6974" s="155" t="s">
        <v>23454</v>
      </c>
      <c r="D6974" s="155" t="s">
        <v>205</v>
      </c>
      <c r="E6974" s="130">
        <v>1</v>
      </c>
      <c r="F6974" s="28">
        <v>13.756</v>
      </c>
      <c r="G6974" s="28">
        <f>IF(ISNUMBER(F6974),E6974*F6974,"")</f>
        <v>13.756</v>
      </c>
      <c r="H6974" s="35">
        <f t="shared" ref="H6974" si="51">SUM(G6974:G6974)</f>
        <v>13.756</v>
      </c>
      <c r="I6974" s="36"/>
      <c r="J6974" s="125">
        <v>0</v>
      </c>
    </row>
    <row r="6975" spans="1:10" ht="15.75" hidden="1" thickBot="1" x14ac:dyDescent="0.3">
      <c r="A6975" s="236"/>
      <c r="B6975" s="239"/>
      <c r="C6975" s="164"/>
      <c r="D6975" s="50"/>
      <c r="E6975" s="61"/>
      <c r="F6975" s="62" t="s">
        <v>418</v>
      </c>
      <c r="G6975" s="62" t="str">
        <f>IF(ISNUMBER(F6975),E6975*F6975,"")</f>
        <v/>
      </c>
      <c r="H6975" s="64"/>
      <c r="I6975" s="28"/>
      <c r="J6975" s="125">
        <v>0</v>
      </c>
    </row>
    <row r="6976" spans="1:10" ht="15.75" hidden="1" thickBot="1" x14ac:dyDescent="0.3">
      <c r="A6976" s="234" t="s">
        <v>15396</v>
      </c>
      <c r="B6976" s="237" t="s">
        <v>19618</v>
      </c>
      <c r="C6976" s="160"/>
      <c r="D6976" s="23" t="s">
        <v>16</v>
      </c>
      <c r="E6976" s="24"/>
      <c r="F6976" s="37" t="s">
        <v>418</v>
      </c>
      <c r="G6976" s="25" t="str">
        <f>IF(ISNUMBER(F6976),E6976*F6976,"")</f>
        <v/>
      </c>
      <c r="H6976" s="26"/>
      <c r="I6976" s="27"/>
      <c r="J6976" s="125">
        <v>0</v>
      </c>
    </row>
    <row r="6977" spans="1:10" ht="15.75" hidden="1" thickBot="1" x14ac:dyDescent="0.3">
      <c r="A6977" s="235"/>
      <c r="B6977" s="240"/>
      <c r="C6977" s="151"/>
      <c r="D6977" s="29"/>
      <c r="E6977" s="30"/>
      <c r="F6977" s="38" t="s">
        <v>418</v>
      </c>
      <c r="G6977" s="28" t="str">
        <f>IF(ISNUMBER(F6977),E6977*F6977,"")</f>
        <v/>
      </c>
      <c r="H6977" s="32"/>
      <c r="I6977" s="28"/>
      <c r="J6977" s="125">
        <v>0</v>
      </c>
    </row>
    <row r="6978" spans="1:10" ht="15.75" hidden="1" thickBot="1" x14ac:dyDescent="0.3">
      <c r="A6978" s="235"/>
      <c r="B6978" s="240"/>
      <c r="C6978" s="155" t="s">
        <v>25778</v>
      </c>
      <c r="D6978" s="155" t="s">
        <v>205</v>
      </c>
      <c r="E6978" s="130">
        <v>1</v>
      </c>
      <c r="F6978" s="28">
        <v>9.5854999999999997</v>
      </c>
      <c r="G6978" s="28">
        <f>IF(ISNUMBER(F6978),E6978*F6978,"")</f>
        <v>9.5854999999999997</v>
      </c>
      <c r="H6978" s="35">
        <f t="shared" ref="H6978" si="52">SUM(G6978:G6978)</f>
        <v>9.5854999999999997</v>
      </c>
      <c r="I6978" s="36"/>
      <c r="J6978" s="125">
        <v>0</v>
      </c>
    </row>
    <row r="6979" spans="1:10" ht="15.75" hidden="1" thickBot="1" x14ac:dyDescent="0.3">
      <c r="A6979" s="236"/>
      <c r="B6979" s="239"/>
      <c r="C6979" s="164"/>
      <c r="D6979" s="50"/>
      <c r="E6979" s="61"/>
      <c r="F6979" s="62" t="s">
        <v>418</v>
      </c>
      <c r="G6979" s="62" t="str">
        <f>IF(ISNUMBER(F6979),E6979*F6979,"")</f>
        <v/>
      </c>
      <c r="H6979" s="64"/>
      <c r="I6979" s="28"/>
      <c r="J6979" s="125">
        <v>0</v>
      </c>
    </row>
    <row r="6980" spans="1:10" ht="15.75" hidden="1" thickBot="1" x14ac:dyDescent="0.3">
      <c r="A6980" s="234" t="s">
        <v>15397</v>
      </c>
      <c r="B6980" s="237" t="s">
        <v>19617</v>
      </c>
      <c r="C6980" s="160"/>
      <c r="D6980" s="23" t="s">
        <v>16</v>
      </c>
      <c r="E6980" s="24"/>
      <c r="F6980" s="37" t="s">
        <v>418</v>
      </c>
      <c r="G6980" s="25" t="str">
        <f>IF(ISNUMBER(F6980),E6980*F6980,"")</f>
        <v/>
      </c>
      <c r="H6980" s="26"/>
      <c r="I6980" s="27"/>
      <c r="J6980" s="125">
        <v>0</v>
      </c>
    </row>
    <row r="6981" spans="1:10" ht="15.75" hidden="1" thickBot="1" x14ac:dyDescent="0.3">
      <c r="A6981" s="235"/>
      <c r="B6981" s="240"/>
      <c r="C6981" s="151"/>
      <c r="D6981" s="29"/>
      <c r="E6981" s="30"/>
      <c r="F6981" s="38" t="s">
        <v>418</v>
      </c>
      <c r="G6981" s="28" t="str">
        <f>IF(ISNUMBER(F6981),E6981*F6981,"")</f>
        <v/>
      </c>
      <c r="H6981" s="32"/>
      <c r="I6981" s="28"/>
      <c r="J6981" s="125">
        <v>0</v>
      </c>
    </row>
    <row r="6982" spans="1:10" ht="26.25" hidden="1" thickBot="1" x14ac:dyDescent="0.3">
      <c r="A6982" s="235"/>
      <c r="B6982" s="240"/>
      <c r="C6982" s="155" t="s">
        <v>25899</v>
      </c>
      <c r="D6982" s="155" t="s">
        <v>205</v>
      </c>
      <c r="E6982" s="130">
        <v>1</v>
      </c>
      <c r="F6982" s="28">
        <v>30.361999999999998</v>
      </c>
      <c r="G6982" s="28">
        <f>IF(ISNUMBER(F6982),E6982*F6982,"")</f>
        <v>30.361999999999998</v>
      </c>
      <c r="H6982" s="35">
        <f t="shared" ref="H6982" si="53">SUM(G6982:G6982)</f>
        <v>30.361999999999998</v>
      </c>
      <c r="I6982" s="36"/>
      <c r="J6982" s="125">
        <v>0</v>
      </c>
    </row>
    <row r="6983" spans="1:10" ht="15.75" hidden="1" thickBot="1" x14ac:dyDescent="0.3">
      <c r="A6983" s="236"/>
      <c r="B6983" s="239"/>
      <c r="C6983" s="164"/>
      <c r="D6983" s="50"/>
      <c r="E6983" s="61"/>
      <c r="F6983" s="62" t="s">
        <v>418</v>
      </c>
      <c r="G6983" s="62" t="str">
        <f>IF(ISNUMBER(F6983),E6983*F6983,"")</f>
        <v/>
      </c>
      <c r="H6983" s="64"/>
      <c r="I6983" s="28"/>
      <c r="J6983" s="125">
        <v>0</v>
      </c>
    </row>
    <row r="6984" spans="1:10" ht="15.75" hidden="1" thickBot="1" x14ac:dyDescent="0.3">
      <c r="A6984" s="234" t="s">
        <v>15398</v>
      </c>
      <c r="B6984" s="237" t="s">
        <v>19616</v>
      </c>
      <c r="C6984" s="160"/>
      <c r="D6984" s="23" t="s">
        <v>16</v>
      </c>
      <c r="E6984" s="24"/>
      <c r="F6984" s="37" t="s">
        <v>418</v>
      </c>
      <c r="G6984" s="25" t="str">
        <f>IF(ISNUMBER(F6984),E6984*F6984,"")</f>
        <v/>
      </c>
      <c r="H6984" s="26"/>
      <c r="I6984" s="27"/>
      <c r="J6984" s="125">
        <v>0</v>
      </c>
    </row>
    <row r="6985" spans="1:10" ht="15.75" hidden="1" thickBot="1" x14ac:dyDescent="0.3">
      <c r="A6985" s="235"/>
      <c r="B6985" s="240"/>
      <c r="C6985" s="151"/>
      <c r="D6985" s="29"/>
      <c r="E6985" s="30"/>
      <c r="F6985" s="38" t="s">
        <v>418</v>
      </c>
      <c r="G6985" s="28" t="str">
        <f>IF(ISNUMBER(F6985),E6985*F6985,"")</f>
        <v/>
      </c>
      <c r="H6985" s="32"/>
      <c r="I6985" s="28"/>
      <c r="J6985" s="125">
        <v>0</v>
      </c>
    </row>
    <row r="6986" spans="1:10" ht="15.75" hidden="1" thickBot="1" x14ac:dyDescent="0.3">
      <c r="A6986" s="235"/>
      <c r="B6986" s="240"/>
      <c r="C6986" s="155" t="s">
        <v>25777</v>
      </c>
      <c r="D6986" s="155" t="s">
        <v>205</v>
      </c>
      <c r="E6986" s="130">
        <v>1</v>
      </c>
      <c r="F6986" s="28">
        <v>6.6499999999999995</v>
      </c>
      <c r="G6986" s="28">
        <f>IF(ISNUMBER(F6986),E6986*F6986,"")</f>
        <v>6.6499999999999995</v>
      </c>
      <c r="H6986" s="35">
        <f t="shared" ref="H6986" si="54">SUM(G6986:G6986)</f>
        <v>6.6499999999999995</v>
      </c>
      <c r="I6986" s="36"/>
      <c r="J6986" s="125">
        <v>0</v>
      </c>
    </row>
    <row r="6987" spans="1:10" ht="15.75" hidden="1" thickBot="1" x14ac:dyDescent="0.3">
      <c r="A6987" s="236"/>
      <c r="B6987" s="239"/>
      <c r="C6987" s="164"/>
      <c r="D6987" s="50"/>
      <c r="E6987" s="61"/>
      <c r="F6987" s="62" t="s">
        <v>418</v>
      </c>
      <c r="G6987" s="62" t="str">
        <f>IF(ISNUMBER(F6987),E6987*F6987,"")</f>
        <v/>
      </c>
      <c r="H6987" s="64"/>
      <c r="I6987" s="28"/>
      <c r="J6987" s="125">
        <v>0</v>
      </c>
    </row>
    <row r="6988" spans="1:10" ht="15.75" hidden="1" thickBot="1" x14ac:dyDescent="0.3">
      <c r="A6988" s="234" t="s">
        <v>15399</v>
      </c>
      <c r="B6988" s="237" t="s">
        <v>15400</v>
      </c>
      <c r="C6988" s="160"/>
      <c r="D6988" s="23" t="s">
        <v>16</v>
      </c>
      <c r="E6988" s="24"/>
      <c r="F6988" s="37" t="s">
        <v>418</v>
      </c>
      <c r="G6988" s="25" t="str">
        <f>IF(ISNUMBER(F6988),E6988*F6988,"")</f>
        <v/>
      </c>
      <c r="H6988" s="26"/>
      <c r="I6988" s="27"/>
      <c r="J6988" s="125">
        <v>0</v>
      </c>
    </row>
    <row r="6989" spans="1:10" ht="15.75" hidden="1" thickBot="1" x14ac:dyDescent="0.3">
      <c r="A6989" s="235"/>
      <c r="B6989" s="240"/>
      <c r="C6989" s="151"/>
      <c r="D6989" s="29"/>
      <c r="E6989" s="30"/>
      <c r="F6989" s="38" t="s">
        <v>418</v>
      </c>
      <c r="G6989" s="28" t="str">
        <f>IF(ISNUMBER(F6989),E6989*F6989,"")</f>
        <v/>
      </c>
      <c r="H6989" s="32"/>
      <c r="I6989" s="28"/>
      <c r="J6989" s="125">
        <v>0</v>
      </c>
    </row>
    <row r="6990" spans="1:10" ht="26.25" hidden="1" thickBot="1" x14ac:dyDescent="0.3">
      <c r="A6990" s="235"/>
      <c r="B6990" s="240"/>
      <c r="C6990" s="155" t="s">
        <v>25844</v>
      </c>
      <c r="D6990" s="155" t="s">
        <v>205</v>
      </c>
      <c r="E6990" s="130">
        <v>1</v>
      </c>
      <c r="F6990" s="28">
        <v>3.6194999999999999</v>
      </c>
      <c r="G6990" s="28">
        <f>IF(ISNUMBER(F6990),E6990*F6990,"")</f>
        <v>3.6194999999999999</v>
      </c>
      <c r="H6990" s="35">
        <f t="shared" ref="H6990" si="55">SUM(G6990:G6990)</f>
        <v>3.6194999999999999</v>
      </c>
      <c r="I6990" s="36"/>
      <c r="J6990" s="125">
        <v>0</v>
      </c>
    </row>
    <row r="6991" spans="1:10" ht="15.75" hidden="1" thickBot="1" x14ac:dyDescent="0.3">
      <c r="A6991" s="236"/>
      <c r="B6991" s="239"/>
      <c r="C6991" s="164"/>
      <c r="D6991" s="50"/>
      <c r="E6991" s="61"/>
      <c r="F6991" s="62" t="s">
        <v>418</v>
      </c>
      <c r="G6991" s="62" t="str">
        <f>IF(ISNUMBER(F6991),E6991*F6991,"")</f>
        <v/>
      </c>
      <c r="H6991" s="64"/>
      <c r="I6991" s="28"/>
      <c r="J6991" s="125">
        <v>0</v>
      </c>
    </row>
    <row r="6992" spans="1:10" ht="15.75" hidden="1" thickBot="1" x14ac:dyDescent="0.3">
      <c r="A6992" s="234" t="s">
        <v>15401</v>
      </c>
      <c r="B6992" s="237" t="s">
        <v>19615</v>
      </c>
      <c r="C6992" s="160"/>
      <c r="D6992" s="23" t="s">
        <v>16</v>
      </c>
      <c r="E6992" s="24"/>
      <c r="F6992" s="37" t="s">
        <v>418</v>
      </c>
      <c r="G6992" s="25" t="str">
        <f>IF(ISNUMBER(F6992),E6992*F6992,"")</f>
        <v/>
      </c>
      <c r="H6992" s="26"/>
      <c r="I6992" s="27"/>
      <c r="J6992" s="125">
        <v>0</v>
      </c>
    </row>
    <row r="6993" spans="1:10" ht="15.75" hidden="1" thickBot="1" x14ac:dyDescent="0.3">
      <c r="A6993" s="235"/>
      <c r="B6993" s="240"/>
      <c r="C6993" s="151"/>
      <c r="D6993" s="29"/>
      <c r="E6993" s="30"/>
      <c r="F6993" s="38" t="s">
        <v>418</v>
      </c>
      <c r="G6993" s="28" t="str">
        <f>IF(ISNUMBER(F6993),E6993*F6993,"")</f>
        <v/>
      </c>
      <c r="H6993" s="32"/>
      <c r="I6993" s="28"/>
      <c r="J6993" s="125">
        <v>0</v>
      </c>
    </row>
    <row r="6994" spans="1:10" ht="15.75" hidden="1" thickBot="1" x14ac:dyDescent="0.3">
      <c r="A6994" s="235"/>
      <c r="B6994" s="240"/>
      <c r="C6994" s="155" t="s">
        <v>25787</v>
      </c>
      <c r="D6994" s="155" t="s">
        <v>205</v>
      </c>
      <c r="E6994" s="130">
        <v>1</v>
      </c>
      <c r="F6994" s="28">
        <v>4.8544999999999998</v>
      </c>
      <c r="G6994" s="28">
        <f>IF(ISNUMBER(F6994),E6994*F6994,"")</f>
        <v>4.8544999999999998</v>
      </c>
      <c r="H6994" s="35">
        <f t="shared" ref="H6994" si="56">SUM(G6994:G6994)</f>
        <v>4.8544999999999998</v>
      </c>
      <c r="I6994" s="36"/>
      <c r="J6994" s="125">
        <v>0</v>
      </c>
    </row>
    <row r="6995" spans="1:10" ht="15.75" hidden="1" thickBot="1" x14ac:dyDescent="0.3">
      <c r="A6995" s="236"/>
      <c r="B6995" s="239"/>
      <c r="C6995" s="164"/>
      <c r="D6995" s="50"/>
      <c r="E6995" s="61"/>
      <c r="F6995" s="62" t="s">
        <v>418</v>
      </c>
      <c r="G6995" s="62" t="str">
        <f>IF(ISNUMBER(F6995),E6995*F6995,"")</f>
        <v/>
      </c>
      <c r="H6995" s="64"/>
      <c r="I6995" s="28"/>
      <c r="J6995" s="125">
        <v>0</v>
      </c>
    </row>
    <row r="6996" spans="1:10" ht="15.75" hidden="1" thickBot="1" x14ac:dyDescent="0.3">
      <c r="A6996" s="234" t="s">
        <v>15402</v>
      </c>
      <c r="B6996" s="237" t="s">
        <v>19614</v>
      </c>
      <c r="C6996" s="160"/>
      <c r="D6996" s="23" t="s">
        <v>16</v>
      </c>
      <c r="E6996" s="24"/>
      <c r="F6996" s="37" t="s">
        <v>418</v>
      </c>
      <c r="G6996" s="25" t="str">
        <f>IF(ISNUMBER(F6996),E6996*F6996,"")</f>
        <v/>
      </c>
      <c r="H6996" s="26"/>
      <c r="I6996" s="27"/>
      <c r="J6996" s="125">
        <v>0</v>
      </c>
    </row>
    <row r="6997" spans="1:10" ht="15.75" hidden="1" thickBot="1" x14ac:dyDescent="0.3">
      <c r="A6997" s="235"/>
      <c r="B6997" s="240"/>
      <c r="C6997" s="151"/>
      <c r="D6997" s="29"/>
      <c r="E6997" s="30"/>
      <c r="F6997" s="38" t="s">
        <v>418</v>
      </c>
      <c r="G6997" s="28" t="str">
        <f>IF(ISNUMBER(F6997),E6997*F6997,"")</f>
        <v/>
      </c>
      <c r="H6997" s="32"/>
      <c r="I6997" s="28"/>
      <c r="J6997" s="125">
        <v>0</v>
      </c>
    </row>
    <row r="6998" spans="1:10" ht="15.75" hidden="1" thickBot="1" x14ac:dyDescent="0.3">
      <c r="A6998" s="235"/>
      <c r="B6998" s="240"/>
      <c r="C6998" s="155" t="s">
        <v>25788</v>
      </c>
      <c r="D6998" s="155" t="s">
        <v>205</v>
      </c>
      <c r="E6998" s="130">
        <v>1</v>
      </c>
      <c r="F6998" s="28">
        <v>10.326499999999999</v>
      </c>
      <c r="G6998" s="28">
        <f>IF(ISNUMBER(F6998),E6998*F6998,"")</f>
        <v>10.326499999999999</v>
      </c>
      <c r="H6998" s="35">
        <f t="shared" ref="H6998" si="57">SUM(G6998:G6998)</f>
        <v>10.326499999999999</v>
      </c>
      <c r="I6998" s="36"/>
      <c r="J6998" s="125">
        <v>0</v>
      </c>
    </row>
    <row r="6999" spans="1:10" ht="15.75" hidden="1" thickBot="1" x14ac:dyDescent="0.3">
      <c r="A6999" s="236"/>
      <c r="B6999" s="239"/>
      <c r="C6999" s="164"/>
      <c r="D6999" s="50"/>
      <c r="E6999" s="61"/>
      <c r="F6999" s="62" t="s">
        <v>418</v>
      </c>
      <c r="G6999" s="62" t="str">
        <f>IF(ISNUMBER(F6999),E6999*F6999,"")</f>
        <v/>
      </c>
      <c r="H6999" s="64"/>
      <c r="I6999" s="28"/>
      <c r="J6999" s="125">
        <v>0</v>
      </c>
    </row>
    <row r="7000" spans="1:10" ht="15.75" hidden="1" thickBot="1" x14ac:dyDescent="0.3">
      <c r="A7000" s="234" t="s">
        <v>15403</v>
      </c>
      <c r="B7000" s="237" t="s">
        <v>19613</v>
      </c>
      <c r="C7000" s="160"/>
      <c r="D7000" s="23" t="s">
        <v>16</v>
      </c>
      <c r="E7000" s="24"/>
      <c r="F7000" s="37" t="s">
        <v>418</v>
      </c>
      <c r="G7000" s="25" t="str">
        <f>IF(ISNUMBER(F7000),E7000*F7000,"")</f>
        <v/>
      </c>
      <c r="H7000" s="26"/>
      <c r="I7000" s="27"/>
      <c r="J7000" s="125">
        <v>0</v>
      </c>
    </row>
    <row r="7001" spans="1:10" ht="15.75" hidden="1" thickBot="1" x14ac:dyDescent="0.3">
      <c r="A7001" s="235"/>
      <c r="B7001" s="240"/>
      <c r="C7001" s="151"/>
      <c r="D7001" s="29"/>
      <c r="E7001" s="30"/>
      <c r="F7001" s="38" t="s">
        <v>418</v>
      </c>
      <c r="G7001" s="28" t="str">
        <f>IF(ISNUMBER(F7001),E7001*F7001,"")</f>
        <v/>
      </c>
      <c r="H7001" s="32"/>
      <c r="I7001" s="28"/>
      <c r="J7001" s="125">
        <v>0</v>
      </c>
    </row>
    <row r="7002" spans="1:10" ht="26.25" hidden="1" thickBot="1" x14ac:dyDescent="0.3">
      <c r="A7002" s="235"/>
      <c r="B7002" s="240"/>
      <c r="C7002" s="155" t="s">
        <v>25857</v>
      </c>
      <c r="D7002" s="155" t="s">
        <v>205</v>
      </c>
      <c r="E7002" s="130">
        <v>1</v>
      </c>
      <c r="F7002" s="28">
        <v>32.3095</v>
      </c>
      <c r="G7002" s="28">
        <f>IF(ISNUMBER(F7002),E7002*F7002,"")</f>
        <v>32.3095</v>
      </c>
      <c r="H7002" s="35">
        <f t="shared" ref="H7002" si="58">SUM(G7002:G7002)</f>
        <v>32.3095</v>
      </c>
      <c r="I7002" s="36"/>
      <c r="J7002" s="125">
        <v>0</v>
      </c>
    </row>
    <row r="7003" spans="1:10" ht="15.75" hidden="1" thickBot="1" x14ac:dyDescent="0.3">
      <c r="A7003" s="236"/>
      <c r="B7003" s="239"/>
      <c r="C7003" s="164"/>
      <c r="D7003" s="50"/>
      <c r="E7003" s="61"/>
      <c r="F7003" s="62" t="s">
        <v>418</v>
      </c>
      <c r="G7003" s="62" t="str">
        <f>IF(ISNUMBER(F7003),E7003*F7003,"")</f>
        <v/>
      </c>
      <c r="H7003" s="64"/>
      <c r="I7003" s="28"/>
      <c r="J7003" s="125">
        <v>0</v>
      </c>
    </row>
    <row r="7004" spans="1:10" ht="15.75" hidden="1" thickBot="1" x14ac:dyDescent="0.3">
      <c r="A7004" s="234" t="s">
        <v>15404</v>
      </c>
      <c r="B7004" s="237" t="s">
        <v>19612</v>
      </c>
      <c r="C7004" s="160"/>
      <c r="D7004" s="23" t="s">
        <v>16</v>
      </c>
      <c r="E7004" s="24"/>
      <c r="F7004" s="37" t="s">
        <v>418</v>
      </c>
      <c r="G7004" s="25" t="str">
        <f>IF(ISNUMBER(F7004),E7004*F7004,"")</f>
        <v/>
      </c>
      <c r="H7004" s="26"/>
      <c r="I7004" s="27"/>
      <c r="J7004" s="125">
        <v>0</v>
      </c>
    </row>
    <row r="7005" spans="1:10" ht="15.75" hidden="1" thickBot="1" x14ac:dyDescent="0.3">
      <c r="A7005" s="235"/>
      <c r="B7005" s="240"/>
      <c r="C7005" s="151"/>
      <c r="D7005" s="29"/>
      <c r="E7005" s="30"/>
      <c r="F7005" s="38" t="s">
        <v>418</v>
      </c>
      <c r="G7005" s="28" t="str">
        <f>IF(ISNUMBER(F7005),E7005*F7005,"")</f>
        <v/>
      </c>
      <c r="H7005" s="32"/>
      <c r="I7005" s="28"/>
      <c r="J7005" s="125">
        <v>0</v>
      </c>
    </row>
    <row r="7006" spans="1:10" ht="26.25" hidden="1" thickBot="1" x14ac:dyDescent="0.3">
      <c r="A7006" s="235"/>
      <c r="B7006" s="240"/>
      <c r="C7006" s="155" t="s">
        <v>27645</v>
      </c>
      <c r="D7006" s="155" t="s">
        <v>205</v>
      </c>
      <c r="E7006" s="130">
        <v>1</v>
      </c>
      <c r="F7006" s="28">
        <v>34.551499999999997</v>
      </c>
      <c r="G7006" s="28">
        <f>IF(ISNUMBER(F7006),E7006*F7006,"")</f>
        <v>34.551499999999997</v>
      </c>
      <c r="H7006" s="35">
        <f t="shared" ref="H7006" si="59">SUM(G7006:G7006)</f>
        <v>34.551499999999997</v>
      </c>
      <c r="I7006" s="36"/>
      <c r="J7006" s="125">
        <v>0</v>
      </c>
    </row>
    <row r="7007" spans="1:10" ht="15.75" hidden="1" thickBot="1" x14ac:dyDescent="0.3">
      <c r="A7007" s="236"/>
      <c r="B7007" s="239"/>
      <c r="C7007" s="164"/>
      <c r="D7007" s="50"/>
      <c r="E7007" s="61"/>
      <c r="F7007" s="62" t="s">
        <v>418</v>
      </c>
      <c r="G7007" s="62" t="str">
        <f>IF(ISNUMBER(F7007),E7007*F7007,"")</f>
        <v/>
      </c>
      <c r="H7007" s="64"/>
      <c r="I7007" s="28"/>
      <c r="J7007" s="125">
        <v>0</v>
      </c>
    </row>
    <row r="7008" spans="1:10" ht="15.75" hidden="1" thickBot="1" x14ac:dyDescent="0.3">
      <c r="A7008" s="234" t="s">
        <v>15405</v>
      </c>
      <c r="B7008" s="237" t="s">
        <v>19611</v>
      </c>
      <c r="C7008" s="160"/>
      <c r="D7008" s="23" t="s">
        <v>69</v>
      </c>
      <c r="E7008" s="24"/>
      <c r="F7008" s="37" t="s">
        <v>418</v>
      </c>
      <c r="G7008" s="25" t="str">
        <f>IF(ISNUMBER(F7008),E7008*F7008,"")</f>
        <v/>
      </c>
      <c r="H7008" s="26"/>
      <c r="I7008" s="27"/>
      <c r="J7008" s="125">
        <v>0</v>
      </c>
    </row>
    <row r="7009" spans="1:10" ht="15.75" hidden="1" thickBot="1" x14ac:dyDescent="0.3">
      <c r="A7009" s="235"/>
      <c r="B7009" s="240"/>
      <c r="C7009" s="151"/>
      <c r="D7009" s="29"/>
      <c r="E7009" s="30"/>
      <c r="F7009" s="38" t="s">
        <v>418</v>
      </c>
      <c r="G7009" s="28" t="str">
        <f>IF(ISNUMBER(F7009),E7009*F7009,"")</f>
        <v/>
      </c>
      <c r="H7009" s="32"/>
      <c r="I7009" s="28"/>
      <c r="J7009" s="125">
        <v>0</v>
      </c>
    </row>
    <row r="7010" spans="1:10" ht="39" hidden="1" thickBot="1" x14ac:dyDescent="0.3">
      <c r="A7010" s="235"/>
      <c r="B7010" s="240"/>
      <c r="C7010" s="155" t="s">
        <v>968</v>
      </c>
      <c r="D7010" s="155" t="s">
        <v>385</v>
      </c>
      <c r="E7010" s="130">
        <v>1</v>
      </c>
      <c r="F7010" s="28">
        <v>11.257499999999999</v>
      </c>
      <c r="G7010" s="28">
        <f>IF(ISNUMBER(F7010),E7010*F7010,"")</f>
        <v>11.257499999999999</v>
      </c>
      <c r="H7010" s="35">
        <f t="shared" ref="H7010" si="60">SUM(G7010:G7010)</f>
        <v>11.257499999999999</v>
      </c>
      <c r="I7010" s="36"/>
      <c r="J7010" s="125">
        <v>0</v>
      </c>
    </row>
    <row r="7011" spans="1:10" ht="15.75" hidden="1" thickBot="1" x14ac:dyDescent="0.3">
      <c r="A7011" s="236"/>
      <c r="B7011" s="239"/>
      <c r="C7011" s="164"/>
      <c r="D7011" s="50"/>
      <c r="E7011" s="61"/>
      <c r="F7011" s="62" t="s">
        <v>418</v>
      </c>
      <c r="G7011" s="62" t="str">
        <f>IF(ISNUMBER(F7011),E7011*F7011,"")</f>
        <v/>
      </c>
      <c r="H7011" s="64"/>
      <c r="I7011" s="28"/>
      <c r="J7011" s="125">
        <v>0</v>
      </c>
    </row>
    <row r="7012" spans="1:10" ht="15.75" hidden="1" thickBot="1" x14ac:dyDescent="0.3">
      <c r="A7012" s="234" t="s">
        <v>15406</v>
      </c>
      <c r="B7012" s="237" t="s">
        <v>19610</v>
      </c>
      <c r="C7012" s="160"/>
      <c r="D7012" s="23" t="s">
        <v>69</v>
      </c>
      <c r="E7012" s="24"/>
      <c r="F7012" s="37" t="s">
        <v>418</v>
      </c>
      <c r="G7012" s="25" t="str">
        <f>IF(ISNUMBER(F7012),E7012*F7012,"")</f>
        <v/>
      </c>
      <c r="H7012" s="26"/>
      <c r="I7012" s="27"/>
      <c r="J7012" s="125">
        <v>0</v>
      </c>
    </row>
    <row r="7013" spans="1:10" ht="15.75" hidden="1" thickBot="1" x14ac:dyDescent="0.3">
      <c r="A7013" s="235"/>
      <c r="B7013" s="240"/>
      <c r="C7013" s="151"/>
      <c r="D7013" s="29"/>
      <c r="E7013" s="30"/>
      <c r="F7013" s="38" t="s">
        <v>418</v>
      </c>
      <c r="G7013" s="28" t="str">
        <f>IF(ISNUMBER(F7013),E7013*F7013,"")</f>
        <v/>
      </c>
      <c r="H7013" s="32"/>
      <c r="I7013" s="28"/>
      <c r="J7013" s="125">
        <v>0</v>
      </c>
    </row>
    <row r="7014" spans="1:10" ht="26.25" hidden="1" thickBot="1" x14ac:dyDescent="0.3">
      <c r="A7014" s="235"/>
      <c r="B7014" s="240"/>
      <c r="C7014" s="155" t="s">
        <v>24692</v>
      </c>
      <c r="D7014" s="155" t="s">
        <v>385</v>
      </c>
      <c r="E7014" s="130">
        <v>1</v>
      </c>
      <c r="F7014" s="28">
        <v>42.094500000000004</v>
      </c>
      <c r="G7014" s="28">
        <f>IF(ISNUMBER(F7014),E7014*F7014,"")</f>
        <v>42.094500000000004</v>
      </c>
      <c r="H7014" s="35">
        <f t="shared" ref="H7014" si="61">SUM(G7014:G7014)</f>
        <v>42.094500000000004</v>
      </c>
      <c r="I7014" s="36"/>
      <c r="J7014" s="125">
        <v>0</v>
      </c>
    </row>
    <row r="7015" spans="1:10" ht="15.75" hidden="1" thickBot="1" x14ac:dyDescent="0.3">
      <c r="A7015" s="236"/>
      <c r="B7015" s="239"/>
      <c r="C7015" s="164"/>
      <c r="D7015" s="50"/>
      <c r="E7015" s="61"/>
      <c r="F7015" s="62" t="s">
        <v>418</v>
      </c>
      <c r="G7015" s="62" t="str">
        <f>IF(ISNUMBER(F7015),E7015*F7015,"")</f>
        <v/>
      </c>
      <c r="H7015" s="64"/>
      <c r="I7015" s="28"/>
      <c r="J7015" s="125">
        <v>0</v>
      </c>
    </row>
    <row r="7016" spans="1:10" ht="15.75" hidden="1" thickBot="1" x14ac:dyDescent="0.3">
      <c r="A7016" s="234" t="s">
        <v>15407</v>
      </c>
      <c r="B7016" s="237" t="s">
        <v>19609</v>
      </c>
      <c r="C7016" s="160"/>
      <c r="D7016" s="23" t="s">
        <v>16</v>
      </c>
      <c r="E7016" s="24"/>
      <c r="F7016" s="37" t="s">
        <v>418</v>
      </c>
      <c r="G7016" s="25" t="str">
        <f>IF(ISNUMBER(F7016),E7016*F7016,"")</f>
        <v/>
      </c>
      <c r="H7016" s="26"/>
      <c r="I7016" s="27"/>
      <c r="J7016" s="125">
        <v>0</v>
      </c>
    </row>
    <row r="7017" spans="1:10" ht="15.75" hidden="1" thickBot="1" x14ac:dyDescent="0.3">
      <c r="A7017" s="235"/>
      <c r="B7017" s="240"/>
      <c r="C7017" s="151"/>
      <c r="D7017" s="29"/>
      <c r="E7017" s="30"/>
      <c r="F7017" s="38" t="s">
        <v>418</v>
      </c>
      <c r="G7017" s="28" t="str">
        <f>IF(ISNUMBER(F7017),E7017*F7017,"")</f>
        <v/>
      </c>
      <c r="H7017" s="32"/>
      <c r="I7017" s="28"/>
      <c r="J7017" s="125">
        <v>0</v>
      </c>
    </row>
    <row r="7018" spans="1:10" ht="15.75" hidden="1" thickBot="1" x14ac:dyDescent="0.3">
      <c r="A7018" s="235"/>
      <c r="B7018" s="240"/>
      <c r="C7018" s="155" t="s">
        <v>26178</v>
      </c>
      <c r="D7018" s="155" t="s">
        <v>205</v>
      </c>
      <c r="E7018" s="130">
        <v>1</v>
      </c>
      <c r="F7018" s="28">
        <v>23.427</v>
      </c>
      <c r="G7018" s="28">
        <f>IF(ISNUMBER(F7018),E7018*F7018,"")</f>
        <v>23.427</v>
      </c>
      <c r="H7018" s="35">
        <f t="shared" ref="H7018" si="62">SUM(G7018:G7018)</f>
        <v>23.427</v>
      </c>
      <c r="I7018" s="36"/>
      <c r="J7018" s="125">
        <v>0</v>
      </c>
    </row>
    <row r="7019" spans="1:10" ht="15.75" hidden="1" thickBot="1" x14ac:dyDescent="0.3">
      <c r="A7019" s="236"/>
      <c r="B7019" s="239"/>
      <c r="C7019" s="164"/>
      <c r="D7019" s="50"/>
      <c r="E7019" s="61"/>
      <c r="F7019" s="62" t="s">
        <v>418</v>
      </c>
      <c r="G7019" s="62" t="str">
        <f>IF(ISNUMBER(F7019),E7019*F7019,"")</f>
        <v/>
      </c>
      <c r="H7019" s="64"/>
      <c r="I7019" s="28"/>
      <c r="J7019" s="125">
        <v>0</v>
      </c>
    </row>
    <row r="7020" spans="1:10" ht="15.75" hidden="1" thickBot="1" x14ac:dyDescent="0.3">
      <c r="A7020" s="234" t="s">
        <v>15408</v>
      </c>
      <c r="B7020" s="237" t="s">
        <v>19608</v>
      </c>
      <c r="C7020" s="160"/>
      <c r="D7020" s="23" t="s">
        <v>16</v>
      </c>
      <c r="E7020" s="24"/>
      <c r="F7020" s="37" t="s">
        <v>418</v>
      </c>
      <c r="G7020" s="25" t="str">
        <f>IF(ISNUMBER(F7020),E7020*F7020,"")</f>
        <v/>
      </c>
      <c r="H7020" s="26"/>
      <c r="I7020" s="27"/>
      <c r="J7020" s="125">
        <v>0</v>
      </c>
    </row>
    <row r="7021" spans="1:10" ht="15.75" hidden="1" thickBot="1" x14ac:dyDescent="0.3">
      <c r="A7021" s="235"/>
      <c r="B7021" s="240"/>
      <c r="C7021" s="151"/>
      <c r="D7021" s="29"/>
      <c r="E7021" s="30"/>
      <c r="F7021" s="38" t="s">
        <v>418</v>
      </c>
      <c r="G7021" s="28" t="str">
        <f>IF(ISNUMBER(F7021),E7021*F7021,"")</f>
        <v/>
      </c>
      <c r="H7021" s="32"/>
      <c r="I7021" s="28"/>
      <c r="J7021" s="125">
        <v>0</v>
      </c>
    </row>
    <row r="7022" spans="1:10" ht="15.75" hidden="1" thickBot="1" x14ac:dyDescent="0.3">
      <c r="A7022" s="235"/>
      <c r="B7022" s="240"/>
      <c r="C7022" s="155" t="s">
        <v>26246</v>
      </c>
      <c r="D7022" s="155" t="s">
        <v>205</v>
      </c>
      <c r="E7022" s="130">
        <v>1</v>
      </c>
      <c r="F7022" s="28">
        <v>12.587499999999999</v>
      </c>
      <c r="G7022" s="28">
        <f>IF(ISNUMBER(F7022),E7022*F7022,"")</f>
        <v>12.587499999999999</v>
      </c>
      <c r="H7022" s="35">
        <f t="shared" ref="H7022" si="63">SUM(G7022:G7022)</f>
        <v>12.587499999999999</v>
      </c>
      <c r="I7022" s="36"/>
      <c r="J7022" s="125">
        <v>0</v>
      </c>
    </row>
    <row r="7023" spans="1:10" ht="15.75" hidden="1" thickBot="1" x14ac:dyDescent="0.3">
      <c r="A7023" s="236"/>
      <c r="B7023" s="239"/>
      <c r="C7023" s="164"/>
      <c r="D7023" s="50"/>
      <c r="E7023" s="61"/>
      <c r="F7023" s="62" t="s">
        <v>418</v>
      </c>
      <c r="G7023" s="62" t="str">
        <f>IF(ISNUMBER(F7023),E7023*F7023,"")</f>
        <v/>
      </c>
      <c r="H7023" s="64"/>
      <c r="I7023" s="28"/>
      <c r="J7023" s="125">
        <v>0</v>
      </c>
    </row>
    <row r="7024" spans="1:10" ht="15.75" hidden="1" thickBot="1" x14ac:dyDescent="0.3">
      <c r="A7024" s="234" t="s">
        <v>15409</v>
      </c>
      <c r="B7024" s="237" t="s">
        <v>15410</v>
      </c>
      <c r="C7024" s="160"/>
      <c r="D7024" s="23" t="s">
        <v>16</v>
      </c>
      <c r="E7024" s="24"/>
      <c r="F7024" s="37" t="s">
        <v>418</v>
      </c>
      <c r="G7024" s="25" t="str">
        <f>IF(ISNUMBER(F7024),E7024*F7024,"")</f>
        <v/>
      </c>
      <c r="H7024" s="26"/>
      <c r="I7024" s="27"/>
      <c r="J7024" s="125">
        <v>0</v>
      </c>
    </row>
    <row r="7025" spans="1:10" ht="15.75" hidden="1" thickBot="1" x14ac:dyDescent="0.3">
      <c r="A7025" s="235"/>
      <c r="B7025" s="240"/>
      <c r="C7025" s="151"/>
      <c r="D7025" s="29"/>
      <c r="E7025" s="30"/>
      <c r="F7025" s="38" t="s">
        <v>418</v>
      </c>
      <c r="G7025" s="28" t="str">
        <f>IF(ISNUMBER(F7025),E7025*F7025,"")</f>
        <v/>
      </c>
      <c r="H7025" s="32"/>
      <c r="I7025" s="28"/>
      <c r="J7025" s="125">
        <v>0</v>
      </c>
    </row>
    <row r="7026" spans="1:10" ht="26.25" hidden="1" thickBot="1" x14ac:dyDescent="0.3">
      <c r="A7026" s="235"/>
      <c r="B7026" s="240"/>
      <c r="C7026" s="155" t="s">
        <v>26271</v>
      </c>
      <c r="D7026" s="155" t="s">
        <v>205</v>
      </c>
      <c r="E7026" s="130">
        <v>1</v>
      </c>
      <c r="F7026" s="28">
        <v>11.342999999999998</v>
      </c>
      <c r="G7026" s="28">
        <f>IF(ISNUMBER(F7026),E7026*F7026,"")</f>
        <v>11.342999999999998</v>
      </c>
      <c r="H7026" s="35">
        <f t="shared" ref="H7026" si="64">SUM(G7026:G7026)</f>
        <v>11.342999999999998</v>
      </c>
      <c r="I7026" s="36"/>
      <c r="J7026" s="125">
        <v>0</v>
      </c>
    </row>
    <row r="7027" spans="1:10" ht="15.75" hidden="1" thickBot="1" x14ac:dyDescent="0.3">
      <c r="A7027" s="236"/>
      <c r="B7027" s="239"/>
      <c r="C7027" s="164"/>
      <c r="D7027" s="50"/>
      <c r="E7027" s="61"/>
      <c r="F7027" s="62" t="s">
        <v>418</v>
      </c>
      <c r="G7027" s="62" t="str">
        <f>IF(ISNUMBER(F7027),E7027*F7027,"")</f>
        <v/>
      </c>
      <c r="H7027" s="64"/>
      <c r="I7027" s="28"/>
      <c r="J7027" s="125">
        <v>0</v>
      </c>
    </row>
    <row r="7028" spans="1:10" ht="15.75" hidden="1" thickBot="1" x14ac:dyDescent="0.3">
      <c r="A7028" s="234" t="s">
        <v>15411</v>
      </c>
      <c r="B7028" s="237" t="s">
        <v>15412</v>
      </c>
      <c r="C7028" s="160"/>
      <c r="D7028" s="23" t="s">
        <v>16</v>
      </c>
      <c r="E7028" s="24"/>
      <c r="F7028" s="37" t="s">
        <v>418</v>
      </c>
      <c r="G7028" s="25" t="str">
        <f>IF(ISNUMBER(F7028),E7028*F7028,"")</f>
        <v/>
      </c>
      <c r="H7028" s="26"/>
      <c r="I7028" s="27"/>
      <c r="J7028" s="125">
        <v>0</v>
      </c>
    </row>
    <row r="7029" spans="1:10" ht="15.75" hidden="1" thickBot="1" x14ac:dyDescent="0.3">
      <c r="A7029" s="235"/>
      <c r="B7029" s="240"/>
      <c r="C7029" s="151"/>
      <c r="D7029" s="29"/>
      <c r="E7029" s="30"/>
      <c r="F7029" s="38" t="s">
        <v>418</v>
      </c>
      <c r="G7029" s="28" t="str">
        <f>IF(ISNUMBER(F7029),E7029*F7029,"")</f>
        <v/>
      </c>
      <c r="H7029" s="32"/>
      <c r="I7029" s="28"/>
      <c r="J7029" s="125">
        <v>0</v>
      </c>
    </row>
    <row r="7030" spans="1:10" ht="26.25" hidden="1" thickBot="1" x14ac:dyDescent="0.3">
      <c r="A7030" s="235"/>
      <c r="B7030" s="240"/>
      <c r="C7030" s="155" t="s">
        <v>26270</v>
      </c>
      <c r="D7030" s="155" t="s">
        <v>205</v>
      </c>
      <c r="E7030" s="130">
        <v>1</v>
      </c>
      <c r="F7030" s="28">
        <v>7.770999999999999</v>
      </c>
      <c r="G7030" s="28">
        <f>IF(ISNUMBER(F7030),E7030*F7030,"")</f>
        <v>7.770999999999999</v>
      </c>
      <c r="H7030" s="35">
        <f t="shared" ref="H7030" si="65">SUM(G7030:G7030)</f>
        <v>7.770999999999999</v>
      </c>
      <c r="I7030" s="36"/>
      <c r="J7030" s="125">
        <v>0</v>
      </c>
    </row>
    <row r="7031" spans="1:10" ht="15.75" hidden="1" thickBot="1" x14ac:dyDescent="0.3">
      <c r="A7031" s="236"/>
      <c r="B7031" s="239"/>
      <c r="C7031" s="164"/>
      <c r="D7031" s="50"/>
      <c r="E7031" s="61"/>
      <c r="F7031" s="62" t="s">
        <v>418</v>
      </c>
      <c r="G7031" s="62" t="str">
        <f>IF(ISNUMBER(F7031),E7031*F7031,"")</f>
        <v/>
      </c>
      <c r="H7031" s="64"/>
      <c r="I7031" s="28"/>
      <c r="J7031" s="125">
        <v>0</v>
      </c>
    </row>
    <row r="7032" spans="1:10" ht="15.75" hidden="1" thickBot="1" x14ac:dyDescent="0.3">
      <c r="A7032" s="234" t="s">
        <v>15413</v>
      </c>
      <c r="B7032" s="237" t="s">
        <v>15414</v>
      </c>
      <c r="C7032" s="160"/>
      <c r="D7032" s="23" t="s">
        <v>16</v>
      </c>
      <c r="E7032" s="24"/>
      <c r="F7032" s="37" t="s">
        <v>418</v>
      </c>
      <c r="G7032" s="25" t="str">
        <f>IF(ISNUMBER(F7032),E7032*F7032,"")</f>
        <v/>
      </c>
      <c r="H7032" s="26"/>
      <c r="I7032" s="27"/>
      <c r="J7032" s="125">
        <v>0</v>
      </c>
    </row>
    <row r="7033" spans="1:10" ht="15.75" hidden="1" thickBot="1" x14ac:dyDescent="0.3">
      <c r="A7033" s="235"/>
      <c r="B7033" s="240"/>
      <c r="C7033" s="151"/>
      <c r="D7033" s="29"/>
      <c r="E7033" s="30"/>
      <c r="F7033" s="38" t="s">
        <v>418</v>
      </c>
      <c r="G7033" s="28" t="str">
        <f>IF(ISNUMBER(F7033),E7033*F7033,"")</f>
        <v/>
      </c>
      <c r="H7033" s="32"/>
      <c r="I7033" s="28"/>
      <c r="J7033" s="125">
        <v>0</v>
      </c>
    </row>
    <row r="7034" spans="1:10" ht="26.25" hidden="1" thickBot="1" x14ac:dyDescent="0.3">
      <c r="A7034" s="235"/>
      <c r="B7034" s="240"/>
      <c r="C7034" s="155" t="s">
        <v>26272</v>
      </c>
      <c r="D7034" s="155" t="s">
        <v>205</v>
      </c>
      <c r="E7034" s="130">
        <v>1</v>
      </c>
      <c r="F7034" s="28">
        <v>17.2805</v>
      </c>
      <c r="G7034" s="28">
        <f>IF(ISNUMBER(F7034),E7034*F7034,"")</f>
        <v>17.2805</v>
      </c>
      <c r="H7034" s="35">
        <f t="shared" ref="H7034" si="66">SUM(G7034:G7034)</f>
        <v>17.2805</v>
      </c>
      <c r="I7034" s="36"/>
      <c r="J7034" s="125">
        <v>0</v>
      </c>
    </row>
    <row r="7035" spans="1:10" ht="15.75" hidden="1" thickBot="1" x14ac:dyDescent="0.3">
      <c r="A7035" s="236"/>
      <c r="B7035" s="239"/>
      <c r="C7035" s="164"/>
      <c r="D7035" s="50"/>
      <c r="E7035" s="61"/>
      <c r="F7035" s="62" t="s">
        <v>418</v>
      </c>
      <c r="G7035" s="62" t="str">
        <f>IF(ISNUMBER(F7035),E7035*F7035,"")</f>
        <v/>
      </c>
      <c r="H7035" s="64"/>
      <c r="I7035" s="28"/>
      <c r="J7035" s="125">
        <v>0</v>
      </c>
    </row>
    <row r="7036" spans="1:10" ht="15.75" hidden="1" thickBot="1" x14ac:dyDescent="0.3">
      <c r="A7036" s="234" t="s">
        <v>15415</v>
      </c>
      <c r="B7036" s="237" t="s">
        <v>15416</v>
      </c>
      <c r="C7036" s="160"/>
      <c r="D7036" s="23" t="s">
        <v>16</v>
      </c>
      <c r="E7036" s="24"/>
      <c r="F7036" s="37" t="s">
        <v>418</v>
      </c>
      <c r="G7036" s="25" t="str">
        <f>IF(ISNUMBER(F7036),E7036*F7036,"")</f>
        <v/>
      </c>
      <c r="H7036" s="26"/>
      <c r="I7036" s="27"/>
      <c r="J7036" s="125">
        <v>0</v>
      </c>
    </row>
    <row r="7037" spans="1:10" ht="15.75" hidden="1" thickBot="1" x14ac:dyDescent="0.3">
      <c r="A7037" s="235"/>
      <c r="B7037" s="240"/>
      <c r="C7037" s="151"/>
      <c r="D7037" s="29"/>
      <c r="E7037" s="30"/>
      <c r="F7037" s="38" t="s">
        <v>418</v>
      </c>
      <c r="G7037" s="28" t="str">
        <f>IF(ISNUMBER(F7037),E7037*F7037,"")</f>
        <v/>
      </c>
      <c r="H7037" s="32"/>
      <c r="I7037" s="28"/>
      <c r="J7037" s="125">
        <v>0</v>
      </c>
    </row>
    <row r="7038" spans="1:10" ht="15.75" hidden="1" thickBot="1" x14ac:dyDescent="0.3">
      <c r="A7038" s="235"/>
      <c r="B7038" s="240"/>
      <c r="C7038" s="155" t="s">
        <v>27655</v>
      </c>
      <c r="D7038" s="155" t="s">
        <v>205</v>
      </c>
      <c r="E7038" s="130">
        <v>1</v>
      </c>
      <c r="F7038" s="28">
        <v>243.80799999999996</v>
      </c>
      <c r="G7038" s="28">
        <f>IF(ISNUMBER(F7038),E7038*F7038,"")</f>
        <v>243.80799999999996</v>
      </c>
      <c r="H7038" s="35">
        <f t="shared" ref="H7038" si="67">SUM(G7038:G7038)</f>
        <v>243.80799999999996</v>
      </c>
      <c r="I7038" s="36"/>
      <c r="J7038" s="125">
        <v>0</v>
      </c>
    </row>
    <row r="7039" spans="1:10" ht="15.75" hidden="1" thickBot="1" x14ac:dyDescent="0.3">
      <c r="A7039" s="236"/>
      <c r="B7039" s="239"/>
      <c r="C7039" s="164"/>
      <c r="D7039" s="50"/>
      <c r="E7039" s="61"/>
      <c r="F7039" s="62" t="s">
        <v>418</v>
      </c>
      <c r="G7039" s="62" t="str">
        <f>IF(ISNUMBER(F7039),E7039*F7039,"")</f>
        <v/>
      </c>
      <c r="H7039" s="64"/>
      <c r="I7039" s="28"/>
      <c r="J7039" s="125">
        <v>0</v>
      </c>
    </row>
    <row r="7040" spans="1:10" ht="15.75" hidden="1" thickBot="1" x14ac:dyDescent="0.3">
      <c r="A7040" s="234" t="s">
        <v>15417</v>
      </c>
      <c r="B7040" s="237" t="s">
        <v>15418</v>
      </c>
      <c r="C7040" s="160"/>
      <c r="D7040" s="23" t="s">
        <v>16</v>
      </c>
      <c r="E7040" s="24"/>
      <c r="F7040" s="37" t="s">
        <v>418</v>
      </c>
      <c r="G7040" s="25" t="str">
        <f>IF(ISNUMBER(F7040),E7040*F7040,"")</f>
        <v/>
      </c>
      <c r="H7040" s="26"/>
      <c r="I7040" s="27"/>
      <c r="J7040" s="125">
        <v>0</v>
      </c>
    </row>
    <row r="7041" spans="1:10" ht="15.75" hidden="1" thickBot="1" x14ac:dyDescent="0.3">
      <c r="A7041" s="235"/>
      <c r="B7041" s="240"/>
      <c r="C7041" s="151"/>
      <c r="D7041" s="29"/>
      <c r="E7041" s="30"/>
      <c r="F7041" s="38" t="s">
        <v>418</v>
      </c>
      <c r="G7041" s="28" t="str">
        <f>IF(ISNUMBER(F7041),E7041*F7041,"")</f>
        <v/>
      </c>
      <c r="H7041" s="32"/>
      <c r="I7041" s="28"/>
      <c r="J7041" s="125">
        <v>0</v>
      </c>
    </row>
    <row r="7042" spans="1:10" ht="15.75" hidden="1" thickBot="1" x14ac:dyDescent="0.3">
      <c r="A7042" s="235"/>
      <c r="B7042" s="240"/>
      <c r="C7042" s="155" t="s">
        <v>27656</v>
      </c>
      <c r="D7042" s="155" t="s">
        <v>205</v>
      </c>
      <c r="E7042" s="130">
        <v>1</v>
      </c>
      <c r="F7042" s="28">
        <v>130.86249999999998</v>
      </c>
      <c r="G7042" s="28">
        <f>IF(ISNUMBER(F7042),E7042*F7042,"")</f>
        <v>130.86249999999998</v>
      </c>
      <c r="H7042" s="35">
        <f t="shared" ref="H7042" si="68">SUM(G7042:G7042)</f>
        <v>130.86249999999998</v>
      </c>
      <c r="I7042" s="36"/>
      <c r="J7042" s="125">
        <v>0</v>
      </c>
    </row>
    <row r="7043" spans="1:10" ht="15.75" hidden="1" thickBot="1" x14ac:dyDescent="0.3">
      <c r="A7043" s="236"/>
      <c r="B7043" s="239"/>
      <c r="C7043" s="164"/>
      <c r="D7043" s="50"/>
      <c r="E7043" s="61"/>
      <c r="F7043" s="62" t="s">
        <v>418</v>
      </c>
      <c r="G7043" s="62" t="str">
        <f>IF(ISNUMBER(F7043),E7043*F7043,"")</f>
        <v/>
      </c>
      <c r="H7043" s="64"/>
      <c r="I7043" s="28"/>
      <c r="J7043" s="125">
        <v>0</v>
      </c>
    </row>
    <row r="7044" spans="1:10" ht="15.75" hidden="1" thickBot="1" x14ac:dyDescent="0.3">
      <c r="A7044" s="234" t="s">
        <v>15419</v>
      </c>
      <c r="B7044" s="237" t="s">
        <v>15420</v>
      </c>
      <c r="C7044" s="160"/>
      <c r="D7044" s="23" t="s">
        <v>16</v>
      </c>
      <c r="E7044" s="24"/>
      <c r="F7044" s="37" t="s">
        <v>418</v>
      </c>
      <c r="G7044" s="25" t="str">
        <f>IF(ISNUMBER(F7044),E7044*F7044,"")</f>
        <v/>
      </c>
      <c r="H7044" s="26"/>
      <c r="I7044" s="27"/>
      <c r="J7044" s="125">
        <v>0</v>
      </c>
    </row>
    <row r="7045" spans="1:10" ht="15.75" hidden="1" thickBot="1" x14ac:dyDescent="0.3">
      <c r="A7045" s="235"/>
      <c r="B7045" s="240"/>
      <c r="C7045" s="151"/>
      <c r="D7045" s="29"/>
      <c r="E7045" s="30"/>
      <c r="F7045" s="38" t="s">
        <v>418</v>
      </c>
      <c r="G7045" s="28" t="str">
        <f>IF(ISNUMBER(F7045),E7045*F7045,"")</f>
        <v/>
      </c>
      <c r="H7045" s="32"/>
      <c r="I7045" s="28"/>
      <c r="J7045" s="125">
        <v>0</v>
      </c>
    </row>
    <row r="7046" spans="1:10" ht="15.75" hidden="1" thickBot="1" x14ac:dyDescent="0.3">
      <c r="A7046" s="235"/>
      <c r="B7046" s="240"/>
      <c r="C7046" s="155" t="s">
        <v>27658</v>
      </c>
      <c r="D7046" s="155" t="s">
        <v>205</v>
      </c>
      <c r="E7046" s="130">
        <v>1</v>
      </c>
      <c r="F7046" s="28">
        <v>385.38650000000001</v>
      </c>
      <c r="G7046" s="28">
        <f>IF(ISNUMBER(F7046),E7046*F7046,"")</f>
        <v>385.38650000000001</v>
      </c>
      <c r="H7046" s="35">
        <f t="shared" ref="H7046" si="69">SUM(G7046:G7046)</f>
        <v>385.38650000000001</v>
      </c>
      <c r="I7046" s="36"/>
      <c r="J7046" s="125">
        <v>0</v>
      </c>
    </row>
    <row r="7047" spans="1:10" ht="15.75" hidden="1" thickBot="1" x14ac:dyDescent="0.3">
      <c r="A7047" s="236"/>
      <c r="B7047" s="239"/>
      <c r="C7047" s="164"/>
      <c r="D7047" s="50"/>
      <c r="E7047" s="61"/>
      <c r="F7047" s="62" t="s">
        <v>418</v>
      </c>
      <c r="G7047" s="62" t="str">
        <f>IF(ISNUMBER(F7047),E7047*F7047,"")</f>
        <v/>
      </c>
      <c r="H7047" s="64"/>
      <c r="I7047" s="28"/>
      <c r="J7047" s="125">
        <v>0</v>
      </c>
    </row>
    <row r="7048" spans="1:10" ht="15.75" hidden="1" thickBot="1" x14ac:dyDescent="0.3">
      <c r="A7048" s="234" t="s">
        <v>15421</v>
      </c>
      <c r="B7048" s="237" t="s">
        <v>19607</v>
      </c>
      <c r="C7048" s="160"/>
      <c r="D7048" s="23" t="s">
        <v>16</v>
      </c>
      <c r="E7048" s="24"/>
      <c r="F7048" s="37" t="s">
        <v>418</v>
      </c>
      <c r="G7048" s="25" t="str">
        <f>IF(ISNUMBER(F7048),E7048*F7048,"")</f>
        <v/>
      </c>
      <c r="H7048" s="26"/>
      <c r="I7048" s="27"/>
      <c r="J7048" s="125">
        <v>0</v>
      </c>
    </row>
    <row r="7049" spans="1:10" ht="15.75" hidden="1" thickBot="1" x14ac:dyDescent="0.3">
      <c r="A7049" s="235"/>
      <c r="B7049" s="240"/>
      <c r="C7049" s="151"/>
      <c r="D7049" s="29"/>
      <c r="E7049" s="30"/>
      <c r="F7049" s="38" t="s">
        <v>418</v>
      </c>
      <c r="G7049" s="28" t="str">
        <f>IF(ISNUMBER(F7049),E7049*F7049,"")</f>
        <v/>
      </c>
      <c r="H7049" s="32"/>
      <c r="I7049" s="28"/>
      <c r="J7049" s="125">
        <v>0</v>
      </c>
    </row>
    <row r="7050" spans="1:10" ht="26.25" hidden="1" thickBot="1" x14ac:dyDescent="0.3">
      <c r="A7050" s="235"/>
      <c r="B7050" s="240"/>
      <c r="C7050" s="155" t="s">
        <v>25922</v>
      </c>
      <c r="D7050" s="155" t="s">
        <v>205</v>
      </c>
      <c r="E7050" s="130">
        <v>1</v>
      </c>
      <c r="F7050" s="28">
        <v>35.320999999999998</v>
      </c>
      <c r="G7050" s="28">
        <f>IF(ISNUMBER(F7050),E7050*F7050,"")</f>
        <v>35.320999999999998</v>
      </c>
      <c r="H7050" s="35">
        <f t="shared" ref="H7050" si="70">SUM(G7050:G7050)</f>
        <v>35.320999999999998</v>
      </c>
      <c r="I7050" s="36"/>
      <c r="J7050" s="125">
        <v>0</v>
      </c>
    </row>
    <row r="7051" spans="1:10" ht="15.75" hidden="1" thickBot="1" x14ac:dyDescent="0.3">
      <c r="A7051" s="236"/>
      <c r="B7051" s="239"/>
      <c r="C7051" s="164"/>
      <c r="D7051" s="50"/>
      <c r="E7051" s="61"/>
      <c r="F7051" s="62" t="s">
        <v>418</v>
      </c>
      <c r="G7051" s="62" t="str">
        <f>IF(ISNUMBER(F7051),E7051*F7051,"")</f>
        <v/>
      </c>
      <c r="H7051" s="64"/>
      <c r="I7051" s="28"/>
      <c r="J7051" s="125">
        <v>0</v>
      </c>
    </row>
    <row r="7052" spans="1:10" ht="15.75" hidden="1" thickBot="1" x14ac:dyDescent="0.3">
      <c r="A7052" s="234" t="s">
        <v>15422</v>
      </c>
      <c r="B7052" s="237" t="s">
        <v>19606</v>
      </c>
      <c r="C7052" s="160"/>
      <c r="D7052" s="23" t="s">
        <v>16</v>
      </c>
      <c r="E7052" s="24"/>
      <c r="F7052" s="37" t="s">
        <v>418</v>
      </c>
      <c r="G7052" s="25" t="str">
        <f>IF(ISNUMBER(F7052),E7052*F7052,"")</f>
        <v/>
      </c>
      <c r="H7052" s="26"/>
      <c r="I7052" s="27"/>
      <c r="J7052" s="125">
        <v>0</v>
      </c>
    </row>
    <row r="7053" spans="1:10" ht="15.75" hidden="1" thickBot="1" x14ac:dyDescent="0.3">
      <c r="A7053" s="235"/>
      <c r="B7053" s="240"/>
      <c r="C7053" s="151"/>
      <c r="D7053" s="29"/>
      <c r="E7053" s="30"/>
      <c r="F7053" s="38" t="s">
        <v>418</v>
      </c>
      <c r="G7053" s="28" t="str">
        <f>IF(ISNUMBER(F7053),E7053*F7053,"")</f>
        <v/>
      </c>
      <c r="H7053" s="32"/>
      <c r="I7053" s="28"/>
      <c r="J7053" s="125">
        <v>0</v>
      </c>
    </row>
    <row r="7054" spans="1:10" ht="15.75" hidden="1" thickBot="1" x14ac:dyDescent="0.3">
      <c r="A7054" s="235"/>
      <c r="B7054" s="240"/>
      <c r="C7054" s="155" t="s">
        <v>28335</v>
      </c>
      <c r="D7054" s="155" t="s">
        <v>205</v>
      </c>
      <c r="E7054" s="130">
        <v>1</v>
      </c>
      <c r="F7054" s="28">
        <v>18.335000000000001</v>
      </c>
      <c r="G7054" s="28">
        <f>IF(ISNUMBER(F7054),E7054*F7054,"")</f>
        <v>18.335000000000001</v>
      </c>
      <c r="H7054" s="35">
        <f t="shared" ref="H7054:H7114" si="71">SUM(G7054:G7054)</f>
        <v>18.335000000000001</v>
      </c>
      <c r="I7054" s="36"/>
      <c r="J7054" s="125">
        <v>0</v>
      </c>
    </row>
    <row r="7055" spans="1:10" ht="15.75" hidden="1" thickBot="1" x14ac:dyDescent="0.3">
      <c r="A7055" s="236"/>
      <c r="B7055" s="239"/>
      <c r="C7055" s="164"/>
      <c r="D7055" s="50"/>
      <c r="E7055" s="61"/>
      <c r="F7055" s="62" t="s">
        <v>418</v>
      </c>
      <c r="G7055" s="62" t="str">
        <f>IF(ISNUMBER(F7055),E7055*F7055,"")</f>
        <v/>
      </c>
      <c r="H7055" s="64"/>
      <c r="I7055" s="28"/>
      <c r="J7055" s="125">
        <v>0</v>
      </c>
    </row>
    <row r="7056" spans="1:10" ht="15.75" hidden="1" thickBot="1" x14ac:dyDescent="0.3">
      <c r="A7056" s="234" t="s">
        <v>15423</v>
      </c>
      <c r="B7056" s="237" t="s">
        <v>19605</v>
      </c>
      <c r="C7056" s="160"/>
      <c r="D7056" s="23" t="s">
        <v>16</v>
      </c>
      <c r="E7056" s="24"/>
      <c r="F7056" s="37" t="s">
        <v>418</v>
      </c>
      <c r="G7056" s="25" t="str">
        <f>IF(ISNUMBER(F7056),E7056*F7056,"")</f>
        <v/>
      </c>
      <c r="H7056" s="26"/>
      <c r="I7056" s="27"/>
      <c r="J7056" s="125">
        <v>0</v>
      </c>
    </row>
    <row r="7057" spans="1:10" ht="15.75" hidden="1" thickBot="1" x14ac:dyDescent="0.3">
      <c r="A7057" s="235"/>
      <c r="B7057" s="240"/>
      <c r="C7057" s="151"/>
      <c r="D7057" s="29"/>
      <c r="E7057" s="30"/>
      <c r="F7057" s="38" t="s">
        <v>418</v>
      </c>
      <c r="G7057" s="28" t="str">
        <f>IF(ISNUMBER(F7057),E7057*F7057,"")</f>
        <v/>
      </c>
      <c r="H7057" s="32"/>
      <c r="I7057" s="28"/>
      <c r="J7057" s="125">
        <v>0</v>
      </c>
    </row>
    <row r="7058" spans="1:10" ht="15.75" hidden="1" thickBot="1" x14ac:dyDescent="0.3">
      <c r="A7058" s="235"/>
      <c r="B7058" s="240"/>
      <c r="C7058" s="155" t="s">
        <v>28336</v>
      </c>
      <c r="D7058" s="155" t="s">
        <v>205</v>
      </c>
      <c r="E7058" s="130">
        <v>1</v>
      </c>
      <c r="F7058" s="28">
        <v>24.395999999999997</v>
      </c>
      <c r="G7058" s="28">
        <f>IF(ISNUMBER(F7058),E7058*F7058,"")</f>
        <v>24.395999999999997</v>
      </c>
      <c r="H7058" s="35">
        <f t="shared" si="71"/>
        <v>24.395999999999997</v>
      </c>
      <c r="I7058" s="36"/>
      <c r="J7058" s="125">
        <v>0</v>
      </c>
    </row>
    <row r="7059" spans="1:10" ht="15.75" hidden="1" thickBot="1" x14ac:dyDescent="0.3">
      <c r="A7059" s="236"/>
      <c r="B7059" s="239"/>
      <c r="C7059" s="164"/>
      <c r="D7059" s="50"/>
      <c r="E7059" s="61"/>
      <c r="F7059" s="62" t="s">
        <v>418</v>
      </c>
      <c r="G7059" s="62" t="str">
        <f>IF(ISNUMBER(F7059),E7059*F7059,"")</f>
        <v/>
      </c>
      <c r="H7059" s="64"/>
      <c r="I7059" s="28"/>
      <c r="J7059" s="125">
        <v>0</v>
      </c>
    </row>
    <row r="7060" spans="1:10" ht="15.75" hidden="1" thickBot="1" x14ac:dyDescent="0.3">
      <c r="A7060" s="234" t="s">
        <v>15424</v>
      </c>
      <c r="B7060" s="237" t="s">
        <v>15425</v>
      </c>
      <c r="C7060" s="160"/>
      <c r="D7060" s="23" t="s">
        <v>16</v>
      </c>
      <c r="E7060" s="24"/>
      <c r="F7060" s="37" t="s">
        <v>418</v>
      </c>
      <c r="G7060" s="25" t="str">
        <f>IF(ISNUMBER(F7060),E7060*F7060,"")</f>
        <v/>
      </c>
      <c r="H7060" s="26"/>
      <c r="I7060" s="27"/>
      <c r="J7060" s="125">
        <v>0</v>
      </c>
    </row>
    <row r="7061" spans="1:10" ht="15.75" hidden="1" thickBot="1" x14ac:dyDescent="0.3">
      <c r="A7061" s="235"/>
      <c r="B7061" s="240"/>
      <c r="C7061" s="151"/>
      <c r="D7061" s="29"/>
      <c r="E7061" s="30"/>
      <c r="F7061" s="38" t="s">
        <v>418</v>
      </c>
      <c r="G7061" s="28" t="str">
        <f>IF(ISNUMBER(F7061),E7061*F7061,"")</f>
        <v/>
      </c>
      <c r="H7061" s="32"/>
      <c r="I7061" s="28"/>
      <c r="J7061" s="125">
        <v>0</v>
      </c>
    </row>
    <row r="7062" spans="1:10" ht="26.25" hidden="1" thickBot="1" x14ac:dyDescent="0.3">
      <c r="A7062" s="235"/>
      <c r="B7062" s="240"/>
      <c r="C7062" s="155" t="s">
        <v>28304</v>
      </c>
      <c r="D7062" s="155" t="s">
        <v>205</v>
      </c>
      <c r="E7062" s="130">
        <v>1</v>
      </c>
      <c r="F7062" s="28">
        <v>65.435999999999993</v>
      </c>
      <c r="G7062" s="28">
        <f>IF(ISNUMBER(F7062),E7062*F7062,"")</f>
        <v>65.435999999999993</v>
      </c>
      <c r="H7062" s="35">
        <f t="shared" si="71"/>
        <v>65.435999999999993</v>
      </c>
      <c r="I7062" s="36"/>
      <c r="J7062" s="125">
        <v>0</v>
      </c>
    </row>
    <row r="7063" spans="1:10" ht="15.75" hidden="1" thickBot="1" x14ac:dyDescent="0.3">
      <c r="A7063" s="236"/>
      <c r="B7063" s="239"/>
      <c r="C7063" s="164"/>
      <c r="D7063" s="50"/>
      <c r="E7063" s="61"/>
      <c r="F7063" s="62" t="s">
        <v>418</v>
      </c>
      <c r="G7063" s="62" t="str">
        <f>IF(ISNUMBER(F7063),E7063*F7063,"")</f>
        <v/>
      </c>
      <c r="H7063" s="64"/>
      <c r="I7063" s="28"/>
      <c r="J7063" s="125">
        <v>0</v>
      </c>
    </row>
    <row r="7064" spans="1:10" ht="15.75" hidden="1" thickBot="1" x14ac:dyDescent="0.3">
      <c r="A7064" s="234" t="s">
        <v>15426</v>
      </c>
      <c r="B7064" s="237" t="s">
        <v>15427</v>
      </c>
      <c r="C7064" s="160"/>
      <c r="D7064" s="23" t="s">
        <v>16</v>
      </c>
      <c r="E7064" s="24"/>
      <c r="F7064" s="37" t="s">
        <v>418</v>
      </c>
      <c r="G7064" s="25" t="str">
        <f>IF(ISNUMBER(F7064),E7064*F7064,"")</f>
        <v/>
      </c>
      <c r="H7064" s="26"/>
      <c r="I7064" s="27"/>
      <c r="J7064" s="125">
        <v>0</v>
      </c>
    </row>
    <row r="7065" spans="1:10" ht="15.75" hidden="1" thickBot="1" x14ac:dyDescent="0.3">
      <c r="A7065" s="235"/>
      <c r="B7065" s="240"/>
      <c r="C7065" s="151"/>
      <c r="D7065" s="29"/>
      <c r="E7065" s="30"/>
      <c r="F7065" s="38" t="s">
        <v>418</v>
      </c>
      <c r="G7065" s="28" t="str">
        <f>IF(ISNUMBER(F7065),E7065*F7065,"")</f>
        <v/>
      </c>
      <c r="H7065" s="32"/>
      <c r="I7065" s="28"/>
      <c r="J7065" s="125">
        <v>0</v>
      </c>
    </row>
    <row r="7066" spans="1:10" ht="26.25" hidden="1" thickBot="1" x14ac:dyDescent="0.3">
      <c r="A7066" s="235"/>
      <c r="B7066" s="240"/>
      <c r="C7066" s="155" t="s">
        <v>28303</v>
      </c>
      <c r="D7066" s="155" t="s">
        <v>205</v>
      </c>
      <c r="E7066" s="130">
        <v>1</v>
      </c>
      <c r="F7066" s="28">
        <v>87.722999999999999</v>
      </c>
      <c r="G7066" s="28">
        <f>IF(ISNUMBER(F7066),E7066*F7066,"")</f>
        <v>87.722999999999999</v>
      </c>
      <c r="H7066" s="35">
        <f t="shared" si="71"/>
        <v>87.722999999999999</v>
      </c>
      <c r="I7066" s="36"/>
      <c r="J7066" s="125">
        <v>0</v>
      </c>
    </row>
    <row r="7067" spans="1:10" ht="15.75" hidden="1" thickBot="1" x14ac:dyDescent="0.3">
      <c r="A7067" s="236"/>
      <c r="B7067" s="239"/>
      <c r="C7067" s="164"/>
      <c r="D7067" s="50"/>
      <c r="E7067" s="61"/>
      <c r="F7067" s="62" t="s">
        <v>418</v>
      </c>
      <c r="G7067" s="62" t="str">
        <f>IF(ISNUMBER(F7067),E7067*F7067,"")</f>
        <v/>
      </c>
      <c r="H7067" s="64"/>
      <c r="I7067" s="28"/>
      <c r="J7067" s="125">
        <v>0</v>
      </c>
    </row>
    <row r="7068" spans="1:10" ht="15.75" hidden="1" thickBot="1" x14ac:dyDescent="0.3">
      <c r="A7068" s="234" t="s">
        <v>15428</v>
      </c>
      <c r="B7068" s="237" t="s">
        <v>15429</v>
      </c>
      <c r="C7068" s="160"/>
      <c r="D7068" s="23" t="s">
        <v>16</v>
      </c>
      <c r="E7068" s="24"/>
      <c r="F7068" s="37" t="s">
        <v>418</v>
      </c>
      <c r="G7068" s="25" t="str">
        <f>IF(ISNUMBER(F7068),E7068*F7068,"")</f>
        <v/>
      </c>
      <c r="H7068" s="26"/>
      <c r="I7068" s="27"/>
      <c r="J7068" s="125">
        <v>0</v>
      </c>
    </row>
    <row r="7069" spans="1:10" ht="15.75" hidden="1" thickBot="1" x14ac:dyDescent="0.3">
      <c r="A7069" s="235"/>
      <c r="B7069" s="240"/>
      <c r="C7069" s="151"/>
      <c r="D7069" s="29"/>
      <c r="E7069" s="30"/>
      <c r="F7069" s="38" t="s">
        <v>418</v>
      </c>
      <c r="G7069" s="28" t="str">
        <f>IF(ISNUMBER(F7069),E7069*F7069,"")</f>
        <v/>
      </c>
      <c r="H7069" s="32"/>
      <c r="I7069" s="28"/>
      <c r="J7069" s="125">
        <v>0</v>
      </c>
    </row>
    <row r="7070" spans="1:10" ht="26.25" hidden="1" thickBot="1" x14ac:dyDescent="0.3">
      <c r="A7070" s="235"/>
      <c r="B7070" s="240"/>
      <c r="C7070" s="155" t="s">
        <v>28309</v>
      </c>
      <c r="D7070" s="155" t="s">
        <v>205</v>
      </c>
      <c r="E7070" s="130">
        <v>1</v>
      </c>
      <c r="F7070" s="28">
        <v>96.215999999999994</v>
      </c>
      <c r="G7070" s="28">
        <f>IF(ISNUMBER(F7070),E7070*F7070,"")</f>
        <v>96.215999999999994</v>
      </c>
      <c r="H7070" s="35">
        <f t="shared" si="71"/>
        <v>96.215999999999994</v>
      </c>
      <c r="I7070" s="36"/>
      <c r="J7070" s="125">
        <v>0</v>
      </c>
    </row>
    <row r="7071" spans="1:10" ht="15.75" hidden="1" thickBot="1" x14ac:dyDescent="0.3">
      <c r="A7071" s="236"/>
      <c r="B7071" s="239"/>
      <c r="C7071" s="164"/>
      <c r="D7071" s="50"/>
      <c r="E7071" s="61"/>
      <c r="F7071" s="62" t="s">
        <v>418</v>
      </c>
      <c r="G7071" s="62" t="str">
        <f>IF(ISNUMBER(F7071),E7071*F7071,"")</f>
        <v/>
      </c>
      <c r="H7071" s="64"/>
      <c r="I7071" s="28"/>
      <c r="J7071" s="125">
        <v>0</v>
      </c>
    </row>
    <row r="7072" spans="1:10" ht="15.75" hidden="1" thickBot="1" x14ac:dyDescent="0.3">
      <c r="A7072" s="234" t="s">
        <v>15430</v>
      </c>
      <c r="B7072" s="237" t="s">
        <v>15431</v>
      </c>
      <c r="C7072" s="160"/>
      <c r="D7072" s="23" t="s">
        <v>16</v>
      </c>
      <c r="E7072" s="24"/>
      <c r="F7072" s="37" t="s">
        <v>418</v>
      </c>
      <c r="G7072" s="25" t="str">
        <f>IF(ISNUMBER(F7072),E7072*F7072,"")</f>
        <v/>
      </c>
      <c r="H7072" s="26"/>
      <c r="I7072" s="27"/>
      <c r="J7072" s="125">
        <v>0</v>
      </c>
    </row>
    <row r="7073" spans="1:10" ht="15.75" hidden="1" thickBot="1" x14ac:dyDescent="0.3">
      <c r="A7073" s="235"/>
      <c r="B7073" s="240"/>
      <c r="C7073" s="151"/>
      <c r="D7073" s="29"/>
      <c r="E7073" s="30"/>
      <c r="F7073" s="38" t="s">
        <v>418</v>
      </c>
      <c r="G7073" s="28" t="str">
        <f>IF(ISNUMBER(F7073),E7073*F7073,"")</f>
        <v/>
      </c>
      <c r="H7073" s="32"/>
      <c r="I7073" s="28"/>
      <c r="J7073" s="125">
        <v>0</v>
      </c>
    </row>
    <row r="7074" spans="1:10" ht="26.25" hidden="1" thickBot="1" x14ac:dyDescent="0.3">
      <c r="A7074" s="235"/>
      <c r="B7074" s="240"/>
      <c r="C7074" s="155" t="s">
        <v>28311</v>
      </c>
      <c r="D7074" s="155" t="s">
        <v>205</v>
      </c>
      <c r="E7074" s="130">
        <v>1</v>
      </c>
      <c r="F7074" s="28">
        <v>246.62950000000001</v>
      </c>
      <c r="G7074" s="28">
        <f>IF(ISNUMBER(F7074),E7074*F7074,"")</f>
        <v>246.62950000000001</v>
      </c>
      <c r="H7074" s="35">
        <f t="shared" si="71"/>
        <v>246.62950000000001</v>
      </c>
      <c r="I7074" s="36"/>
      <c r="J7074" s="125">
        <v>0</v>
      </c>
    </row>
    <row r="7075" spans="1:10" ht="15.75" hidden="1" thickBot="1" x14ac:dyDescent="0.3">
      <c r="A7075" s="236"/>
      <c r="B7075" s="239"/>
      <c r="C7075" s="164"/>
      <c r="D7075" s="50"/>
      <c r="E7075" s="61"/>
      <c r="F7075" s="62" t="s">
        <v>418</v>
      </c>
      <c r="G7075" s="62" t="str">
        <f>IF(ISNUMBER(F7075),E7075*F7075,"")</f>
        <v/>
      </c>
      <c r="H7075" s="64"/>
      <c r="I7075" s="28"/>
      <c r="J7075" s="125">
        <v>0</v>
      </c>
    </row>
    <row r="7076" spans="1:10" ht="15.75" hidden="1" thickBot="1" x14ac:dyDescent="0.3">
      <c r="A7076" s="234" t="s">
        <v>15432</v>
      </c>
      <c r="B7076" s="237" t="s">
        <v>15433</v>
      </c>
      <c r="C7076" s="160"/>
      <c r="D7076" s="23" t="s">
        <v>16</v>
      </c>
      <c r="E7076" s="24"/>
      <c r="F7076" s="37" t="s">
        <v>418</v>
      </c>
      <c r="G7076" s="25" t="str">
        <f>IF(ISNUMBER(F7076),E7076*F7076,"")</f>
        <v/>
      </c>
      <c r="H7076" s="26"/>
      <c r="I7076" s="27"/>
      <c r="J7076" s="125">
        <v>0</v>
      </c>
    </row>
    <row r="7077" spans="1:10" ht="15.75" hidden="1" thickBot="1" x14ac:dyDescent="0.3">
      <c r="A7077" s="235"/>
      <c r="B7077" s="240"/>
      <c r="C7077" s="151"/>
      <c r="D7077" s="29"/>
      <c r="E7077" s="30"/>
      <c r="F7077" s="38" t="s">
        <v>418</v>
      </c>
      <c r="G7077" s="28" t="str">
        <f>IF(ISNUMBER(F7077),E7077*F7077,"")</f>
        <v/>
      </c>
      <c r="H7077" s="32"/>
      <c r="I7077" s="28"/>
      <c r="J7077" s="125">
        <v>0</v>
      </c>
    </row>
    <row r="7078" spans="1:10" ht="26.25" hidden="1" thickBot="1" x14ac:dyDescent="0.3">
      <c r="A7078" s="235"/>
      <c r="B7078" s="240"/>
      <c r="C7078" s="155" t="s">
        <v>28312</v>
      </c>
      <c r="D7078" s="155" t="s">
        <v>205</v>
      </c>
      <c r="E7078" s="130">
        <v>1</v>
      </c>
      <c r="F7078" s="28">
        <v>346.22749999999996</v>
      </c>
      <c r="G7078" s="28">
        <f>IF(ISNUMBER(F7078),E7078*F7078,"")</f>
        <v>346.22749999999996</v>
      </c>
      <c r="H7078" s="35">
        <f t="shared" si="71"/>
        <v>346.22749999999996</v>
      </c>
      <c r="I7078" s="36"/>
      <c r="J7078" s="125">
        <v>0</v>
      </c>
    </row>
    <row r="7079" spans="1:10" ht="15.75" hidden="1" thickBot="1" x14ac:dyDescent="0.3">
      <c r="A7079" s="236"/>
      <c r="B7079" s="239"/>
      <c r="C7079" s="164"/>
      <c r="D7079" s="50"/>
      <c r="E7079" s="61"/>
      <c r="F7079" s="62" t="s">
        <v>418</v>
      </c>
      <c r="G7079" s="62" t="str">
        <f>IF(ISNUMBER(F7079),E7079*F7079,"")</f>
        <v/>
      </c>
      <c r="H7079" s="64"/>
      <c r="I7079" s="28"/>
      <c r="J7079" s="125">
        <v>0</v>
      </c>
    </row>
    <row r="7080" spans="1:10" ht="15.75" hidden="1" thickBot="1" x14ac:dyDescent="0.3">
      <c r="A7080" s="234" t="s">
        <v>15434</v>
      </c>
      <c r="B7080" s="237" t="s">
        <v>15435</v>
      </c>
      <c r="C7080" s="160"/>
      <c r="D7080" s="23" t="s">
        <v>16</v>
      </c>
      <c r="E7080" s="24"/>
      <c r="F7080" s="37" t="s">
        <v>418</v>
      </c>
      <c r="G7080" s="25" t="str">
        <f>IF(ISNUMBER(F7080),E7080*F7080,"")</f>
        <v/>
      </c>
      <c r="H7080" s="26"/>
      <c r="I7080" s="27"/>
      <c r="J7080" s="125">
        <v>0</v>
      </c>
    </row>
    <row r="7081" spans="1:10" ht="15.75" hidden="1" thickBot="1" x14ac:dyDescent="0.3">
      <c r="A7081" s="235"/>
      <c r="B7081" s="240"/>
      <c r="C7081" s="151"/>
      <c r="D7081" s="29"/>
      <c r="E7081" s="30"/>
      <c r="F7081" s="38" t="s">
        <v>418</v>
      </c>
      <c r="G7081" s="28" t="str">
        <f>IF(ISNUMBER(F7081),E7081*F7081,"")</f>
        <v/>
      </c>
      <c r="H7081" s="32"/>
      <c r="I7081" s="28"/>
      <c r="J7081" s="125">
        <v>0</v>
      </c>
    </row>
    <row r="7082" spans="1:10" ht="26.25" hidden="1" thickBot="1" x14ac:dyDescent="0.3">
      <c r="A7082" s="235"/>
      <c r="B7082" s="240"/>
      <c r="C7082" s="155" t="s">
        <v>1007</v>
      </c>
      <c r="D7082" s="155" t="s">
        <v>205</v>
      </c>
      <c r="E7082" s="130">
        <v>1</v>
      </c>
      <c r="F7082" s="28">
        <v>31.425999999999998</v>
      </c>
      <c r="G7082" s="28">
        <f>IF(ISNUMBER(F7082),E7082*F7082,"")</f>
        <v>31.425999999999998</v>
      </c>
      <c r="H7082" s="35">
        <f t="shared" si="71"/>
        <v>31.425999999999998</v>
      </c>
      <c r="I7082" s="36"/>
      <c r="J7082" s="125">
        <v>0</v>
      </c>
    </row>
    <row r="7083" spans="1:10" ht="15.75" hidden="1" thickBot="1" x14ac:dyDescent="0.3">
      <c r="A7083" s="236"/>
      <c r="B7083" s="239"/>
      <c r="C7083" s="164"/>
      <c r="D7083" s="50"/>
      <c r="E7083" s="61"/>
      <c r="F7083" s="62" t="s">
        <v>418</v>
      </c>
      <c r="G7083" s="62" t="str">
        <f>IF(ISNUMBER(F7083),E7083*F7083,"")</f>
        <v/>
      </c>
      <c r="H7083" s="64"/>
      <c r="I7083" s="28"/>
      <c r="J7083" s="125">
        <v>0</v>
      </c>
    </row>
    <row r="7084" spans="1:10" ht="15.75" hidden="1" thickBot="1" x14ac:dyDescent="0.3">
      <c r="A7084" s="234" t="s">
        <v>15436</v>
      </c>
      <c r="B7084" s="237" t="s">
        <v>15437</v>
      </c>
      <c r="C7084" s="160"/>
      <c r="D7084" s="23" t="s">
        <v>16</v>
      </c>
      <c r="E7084" s="24"/>
      <c r="F7084" s="37" t="s">
        <v>418</v>
      </c>
      <c r="G7084" s="25" t="str">
        <f>IF(ISNUMBER(F7084),E7084*F7084,"")</f>
        <v/>
      </c>
      <c r="H7084" s="26"/>
      <c r="I7084" s="27"/>
      <c r="J7084" s="125">
        <v>0</v>
      </c>
    </row>
    <row r="7085" spans="1:10" ht="15.75" hidden="1" thickBot="1" x14ac:dyDescent="0.3">
      <c r="A7085" s="235"/>
      <c r="B7085" s="240"/>
      <c r="C7085" s="151"/>
      <c r="D7085" s="29"/>
      <c r="E7085" s="30"/>
      <c r="F7085" s="38" t="s">
        <v>418</v>
      </c>
      <c r="G7085" s="28" t="str">
        <f>IF(ISNUMBER(F7085),E7085*F7085,"")</f>
        <v/>
      </c>
      <c r="H7085" s="32"/>
      <c r="I7085" s="28"/>
      <c r="J7085" s="125">
        <v>0</v>
      </c>
    </row>
    <row r="7086" spans="1:10" ht="26.25" hidden="1" thickBot="1" x14ac:dyDescent="0.3">
      <c r="A7086" s="235"/>
      <c r="B7086" s="240"/>
      <c r="C7086" s="155" t="s">
        <v>28308</v>
      </c>
      <c r="D7086" s="155" t="s">
        <v>205</v>
      </c>
      <c r="E7086" s="130">
        <v>1</v>
      </c>
      <c r="F7086" s="28">
        <v>159.19149999999999</v>
      </c>
      <c r="G7086" s="28">
        <f>IF(ISNUMBER(F7086),E7086*F7086,"")</f>
        <v>159.19149999999999</v>
      </c>
      <c r="H7086" s="35">
        <f t="shared" si="71"/>
        <v>159.19149999999999</v>
      </c>
      <c r="I7086" s="36"/>
      <c r="J7086" s="125">
        <v>0</v>
      </c>
    </row>
    <row r="7087" spans="1:10" ht="15.75" hidden="1" thickBot="1" x14ac:dyDescent="0.3">
      <c r="A7087" s="236"/>
      <c r="B7087" s="239"/>
      <c r="C7087" s="164"/>
      <c r="D7087" s="50"/>
      <c r="E7087" s="61"/>
      <c r="F7087" s="62" t="s">
        <v>418</v>
      </c>
      <c r="G7087" s="62" t="str">
        <f>IF(ISNUMBER(F7087),E7087*F7087,"")</f>
        <v/>
      </c>
      <c r="H7087" s="64"/>
      <c r="I7087" s="28"/>
      <c r="J7087" s="125">
        <v>0</v>
      </c>
    </row>
    <row r="7088" spans="1:10" ht="15.75" hidden="1" thickBot="1" x14ac:dyDescent="0.3">
      <c r="A7088" s="234" t="s">
        <v>15438</v>
      </c>
      <c r="B7088" s="237" t="s">
        <v>15439</v>
      </c>
      <c r="C7088" s="160"/>
      <c r="D7088" s="23" t="s">
        <v>16</v>
      </c>
      <c r="E7088" s="24"/>
      <c r="F7088" s="37" t="s">
        <v>418</v>
      </c>
      <c r="G7088" s="25" t="str">
        <f>IF(ISNUMBER(F7088),E7088*F7088,"")</f>
        <v/>
      </c>
      <c r="H7088" s="26"/>
      <c r="I7088" s="27"/>
      <c r="J7088" s="125">
        <v>0</v>
      </c>
    </row>
    <row r="7089" spans="1:10" ht="15.75" hidden="1" thickBot="1" x14ac:dyDescent="0.3">
      <c r="A7089" s="235"/>
      <c r="B7089" s="240"/>
      <c r="C7089" s="151"/>
      <c r="D7089" s="29"/>
      <c r="E7089" s="30"/>
      <c r="F7089" s="38" t="s">
        <v>418</v>
      </c>
      <c r="G7089" s="28" t="str">
        <f>IF(ISNUMBER(F7089),E7089*F7089,"")</f>
        <v/>
      </c>
      <c r="H7089" s="32"/>
      <c r="I7089" s="28"/>
      <c r="J7089" s="125">
        <v>0</v>
      </c>
    </row>
    <row r="7090" spans="1:10" ht="15.75" hidden="1" thickBot="1" x14ac:dyDescent="0.3">
      <c r="A7090" s="235"/>
      <c r="B7090" s="240"/>
      <c r="C7090" s="155" t="s">
        <v>27515</v>
      </c>
      <c r="D7090" s="155" t="s">
        <v>205</v>
      </c>
      <c r="E7090" s="130">
        <v>1</v>
      </c>
      <c r="F7090" s="28">
        <v>39.567499999999995</v>
      </c>
      <c r="G7090" s="28">
        <f>IF(ISNUMBER(F7090),E7090*F7090,"")</f>
        <v>39.567499999999995</v>
      </c>
      <c r="H7090" s="35">
        <f t="shared" si="71"/>
        <v>39.567499999999995</v>
      </c>
      <c r="I7090" s="36"/>
      <c r="J7090" s="125">
        <v>0</v>
      </c>
    </row>
    <row r="7091" spans="1:10" ht="15.75" hidden="1" thickBot="1" x14ac:dyDescent="0.3">
      <c r="A7091" s="236"/>
      <c r="B7091" s="239"/>
      <c r="C7091" s="164"/>
      <c r="D7091" s="50"/>
      <c r="E7091" s="61"/>
      <c r="F7091" s="62" t="s">
        <v>418</v>
      </c>
      <c r="G7091" s="62" t="str">
        <f>IF(ISNUMBER(F7091),E7091*F7091,"")</f>
        <v/>
      </c>
      <c r="H7091" s="64"/>
      <c r="I7091" s="28"/>
      <c r="J7091" s="125">
        <v>0</v>
      </c>
    </row>
    <row r="7092" spans="1:10" ht="15.75" hidden="1" thickBot="1" x14ac:dyDescent="0.3">
      <c r="A7092" s="234" t="s">
        <v>15440</v>
      </c>
      <c r="B7092" s="237" t="s">
        <v>15441</v>
      </c>
      <c r="C7092" s="160"/>
      <c r="D7092" s="23" t="s">
        <v>16</v>
      </c>
      <c r="E7092" s="24"/>
      <c r="F7092" s="37" t="s">
        <v>418</v>
      </c>
      <c r="G7092" s="25" t="str">
        <f>IF(ISNUMBER(F7092),E7092*F7092,"")</f>
        <v/>
      </c>
      <c r="H7092" s="26"/>
      <c r="I7092" s="27"/>
      <c r="J7092" s="125">
        <v>0</v>
      </c>
    </row>
    <row r="7093" spans="1:10" ht="15.75" hidden="1" thickBot="1" x14ac:dyDescent="0.3">
      <c r="A7093" s="235"/>
      <c r="B7093" s="240"/>
      <c r="C7093" s="151"/>
      <c r="D7093" s="29"/>
      <c r="E7093" s="30"/>
      <c r="F7093" s="38" t="s">
        <v>418</v>
      </c>
      <c r="G7093" s="28" t="str">
        <f>IF(ISNUMBER(F7093),E7093*F7093,"")</f>
        <v/>
      </c>
      <c r="H7093" s="32"/>
      <c r="I7093" s="28"/>
      <c r="J7093" s="125">
        <v>0</v>
      </c>
    </row>
    <row r="7094" spans="1:10" ht="15.75" hidden="1" thickBot="1" x14ac:dyDescent="0.3">
      <c r="A7094" s="235"/>
      <c r="B7094" s="240"/>
      <c r="C7094" s="155" t="s">
        <v>27517</v>
      </c>
      <c r="D7094" s="155" t="s">
        <v>205</v>
      </c>
      <c r="E7094" s="130">
        <v>1</v>
      </c>
      <c r="F7094" s="28">
        <v>8.9014999999999986</v>
      </c>
      <c r="G7094" s="28">
        <f>IF(ISNUMBER(F7094),E7094*F7094,"")</f>
        <v>8.9014999999999986</v>
      </c>
      <c r="H7094" s="35">
        <f t="shared" si="71"/>
        <v>8.9014999999999986</v>
      </c>
      <c r="I7094" s="36"/>
      <c r="J7094" s="125">
        <v>0</v>
      </c>
    </row>
    <row r="7095" spans="1:10" ht="15.75" hidden="1" thickBot="1" x14ac:dyDescent="0.3">
      <c r="A7095" s="236"/>
      <c r="B7095" s="239"/>
      <c r="C7095" s="164"/>
      <c r="D7095" s="50"/>
      <c r="E7095" s="61"/>
      <c r="F7095" s="62" t="s">
        <v>418</v>
      </c>
      <c r="G7095" s="62" t="str">
        <f>IF(ISNUMBER(F7095),E7095*F7095,"")</f>
        <v/>
      </c>
      <c r="H7095" s="64"/>
      <c r="I7095" s="28"/>
      <c r="J7095" s="125">
        <v>0</v>
      </c>
    </row>
    <row r="7096" spans="1:10" ht="15.75" hidden="1" thickBot="1" x14ac:dyDescent="0.3">
      <c r="A7096" s="234" t="s">
        <v>15442</v>
      </c>
      <c r="B7096" s="237" t="s">
        <v>15443</v>
      </c>
      <c r="C7096" s="160"/>
      <c r="D7096" s="23" t="s">
        <v>16</v>
      </c>
      <c r="E7096" s="24"/>
      <c r="F7096" s="37" t="s">
        <v>418</v>
      </c>
      <c r="G7096" s="25" t="str">
        <f>IF(ISNUMBER(F7096),E7096*F7096,"")</f>
        <v/>
      </c>
      <c r="H7096" s="26"/>
      <c r="I7096" s="27"/>
      <c r="J7096" s="125">
        <v>0</v>
      </c>
    </row>
    <row r="7097" spans="1:10" ht="15.75" hidden="1" thickBot="1" x14ac:dyDescent="0.3">
      <c r="A7097" s="235"/>
      <c r="B7097" s="240"/>
      <c r="C7097" s="151"/>
      <c r="D7097" s="29"/>
      <c r="E7097" s="30"/>
      <c r="F7097" s="38" t="s">
        <v>418</v>
      </c>
      <c r="G7097" s="28" t="str">
        <f>IF(ISNUMBER(F7097),E7097*F7097,"")</f>
        <v/>
      </c>
      <c r="H7097" s="32"/>
      <c r="I7097" s="28"/>
      <c r="J7097" s="125">
        <v>0</v>
      </c>
    </row>
    <row r="7098" spans="1:10" ht="15.75" hidden="1" thickBot="1" x14ac:dyDescent="0.3">
      <c r="A7098" s="235"/>
      <c r="B7098" s="240"/>
      <c r="C7098" s="155" t="s">
        <v>27519</v>
      </c>
      <c r="D7098" s="155" t="s">
        <v>205</v>
      </c>
      <c r="E7098" s="130">
        <v>1</v>
      </c>
      <c r="F7098" s="28">
        <v>118.997</v>
      </c>
      <c r="G7098" s="28">
        <f>IF(ISNUMBER(F7098),E7098*F7098,"")</f>
        <v>118.997</v>
      </c>
      <c r="H7098" s="35">
        <f t="shared" si="71"/>
        <v>118.997</v>
      </c>
      <c r="I7098" s="36"/>
      <c r="J7098" s="125">
        <v>0</v>
      </c>
    </row>
    <row r="7099" spans="1:10" ht="15.75" hidden="1" thickBot="1" x14ac:dyDescent="0.3">
      <c r="A7099" s="236"/>
      <c r="B7099" s="239"/>
      <c r="C7099" s="164"/>
      <c r="D7099" s="50"/>
      <c r="E7099" s="61"/>
      <c r="F7099" s="62" t="s">
        <v>418</v>
      </c>
      <c r="G7099" s="62" t="str">
        <f>IF(ISNUMBER(F7099),E7099*F7099,"")</f>
        <v/>
      </c>
      <c r="H7099" s="64"/>
      <c r="I7099" s="28"/>
      <c r="J7099" s="125">
        <v>0</v>
      </c>
    </row>
    <row r="7100" spans="1:10" ht="15.75" hidden="1" thickBot="1" x14ac:dyDescent="0.3">
      <c r="A7100" s="234" t="s">
        <v>15444</v>
      </c>
      <c r="B7100" s="237" t="s">
        <v>15445</v>
      </c>
      <c r="C7100" s="160"/>
      <c r="D7100" s="23" t="s">
        <v>16</v>
      </c>
      <c r="E7100" s="24"/>
      <c r="F7100" s="37" t="s">
        <v>418</v>
      </c>
      <c r="G7100" s="25" t="str">
        <f>IF(ISNUMBER(F7100),E7100*F7100,"")</f>
        <v/>
      </c>
      <c r="H7100" s="26"/>
      <c r="I7100" s="27"/>
      <c r="J7100" s="125">
        <v>0</v>
      </c>
    </row>
    <row r="7101" spans="1:10" ht="15.75" hidden="1" thickBot="1" x14ac:dyDescent="0.3">
      <c r="A7101" s="235"/>
      <c r="B7101" s="240"/>
      <c r="C7101" s="151"/>
      <c r="D7101" s="29"/>
      <c r="E7101" s="30"/>
      <c r="F7101" s="38" t="s">
        <v>418</v>
      </c>
      <c r="G7101" s="28" t="str">
        <f>IF(ISNUMBER(F7101),E7101*F7101,"")</f>
        <v/>
      </c>
      <c r="H7101" s="32"/>
      <c r="I7101" s="28"/>
      <c r="J7101" s="125">
        <v>0</v>
      </c>
    </row>
    <row r="7102" spans="1:10" ht="15.75" hidden="1" thickBot="1" x14ac:dyDescent="0.3">
      <c r="A7102" s="235"/>
      <c r="B7102" s="240"/>
      <c r="C7102" s="155" t="s">
        <v>27520</v>
      </c>
      <c r="D7102" s="155" t="s">
        <v>205</v>
      </c>
      <c r="E7102" s="130">
        <v>1</v>
      </c>
      <c r="F7102" s="28">
        <v>62.671499999999995</v>
      </c>
      <c r="G7102" s="28">
        <f>IF(ISNUMBER(F7102),E7102*F7102,"")</f>
        <v>62.671499999999995</v>
      </c>
      <c r="H7102" s="35">
        <f t="shared" si="71"/>
        <v>62.671499999999995</v>
      </c>
      <c r="I7102" s="36"/>
      <c r="J7102" s="125">
        <v>0</v>
      </c>
    </row>
    <row r="7103" spans="1:10" ht="15.75" hidden="1" thickBot="1" x14ac:dyDescent="0.3">
      <c r="A7103" s="236"/>
      <c r="B7103" s="239"/>
      <c r="C7103" s="164"/>
      <c r="D7103" s="50"/>
      <c r="E7103" s="61"/>
      <c r="F7103" s="62" t="s">
        <v>418</v>
      </c>
      <c r="G7103" s="62" t="str">
        <f>IF(ISNUMBER(F7103),E7103*F7103,"")</f>
        <v/>
      </c>
      <c r="H7103" s="64"/>
      <c r="I7103" s="28"/>
      <c r="J7103" s="125">
        <v>0</v>
      </c>
    </row>
    <row r="7104" spans="1:10" ht="15.75" hidden="1" thickBot="1" x14ac:dyDescent="0.3">
      <c r="A7104" s="234" t="s">
        <v>15446</v>
      </c>
      <c r="B7104" s="237" t="s">
        <v>19604</v>
      </c>
      <c r="C7104" s="160"/>
      <c r="D7104" s="23" t="s">
        <v>16</v>
      </c>
      <c r="E7104" s="24"/>
      <c r="F7104" s="37" t="s">
        <v>418</v>
      </c>
      <c r="G7104" s="25" t="str">
        <f>IF(ISNUMBER(F7104),E7104*F7104,"")</f>
        <v/>
      </c>
      <c r="H7104" s="26"/>
      <c r="I7104" s="27"/>
      <c r="J7104" s="125">
        <v>0</v>
      </c>
    </row>
    <row r="7105" spans="1:10" ht="15.75" hidden="1" thickBot="1" x14ac:dyDescent="0.3">
      <c r="A7105" s="235"/>
      <c r="B7105" s="240"/>
      <c r="C7105" s="151"/>
      <c r="D7105" s="29"/>
      <c r="E7105" s="30"/>
      <c r="F7105" s="38" t="s">
        <v>418</v>
      </c>
      <c r="G7105" s="28" t="str">
        <f>IF(ISNUMBER(F7105),E7105*F7105,"")</f>
        <v/>
      </c>
      <c r="H7105" s="32"/>
      <c r="I7105" s="28"/>
      <c r="J7105" s="125">
        <v>0</v>
      </c>
    </row>
    <row r="7106" spans="1:10" ht="26.25" hidden="1" thickBot="1" x14ac:dyDescent="0.3">
      <c r="A7106" s="235"/>
      <c r="B7106" s="240"/>
      <c r="C7106" s="155" t="s">
        <v>27545</v>
      </c>
      <c r="D7106" s="155" t="s">
        <v>205</v>
      </c>
      <c r="E7106" s="130">
        <v>1</v>
      </c>
      <c r="F7106" s="28">
        <v>69.378500000000003</v>
      </c>
      <c r="G7106" s="28">
        <f>IF(ISNUMBER(F7106),E7106*F7106,"")</f>
        <v>69.378500000000003</v>
      </c>
      <c r="H7106" s="35">
        <f t="shared" si="71"/>
        <v>69.378500000000003</v>
      </c>
      <c r="I7106" s="36"/>
      <c r="J7106" s="125">
        <v>0</v>
      </c>
    </row>
    <row r="7107" spans="1:10" ht="15.75" hidden="1" thickBot="1" x14ac:dyDescent="0.3">
      <c r="A7107" s="236"/>
      <c r="B7107" s="239"/>
      <c r="C7107" s="164"/>
      <c r="D7107" s="50"/>
      <c r="E7107" s="61"/>
      <c r="F7107" s="62" t="s">
        <v>418</v>
      </c>
      <c r="G7107" s="62" t="str">
        <f>IF(ISNUMBER(F7107),E7107*F7107,"")</f>
        <v/>
      </c>
      <c r="H7107" s="64"/>
      <c r="I7107" s="28"/>
      <c r="J7107" s="125">
        <v>0</v>
      </c>
    </row>
    <row r="7108" spans="1:10" ht="15.75" hidden="1" thickBot="1" x14ac:dyDescent="0.3">
      <c r="A7108" s="234" t="s">
        <v>15447</v>
      </c>
      <c r="B7108" s="237" t="s">
        <v>19603</v>
      </c>
      <c r="C7108" s="160"/>
      <c r="D7108" s="23" t="s">
        <v>16</v>
      </c>
      <c r="E7108" s="24"/>
      <c r="F7108" s="37" t="s">
        <v>418</v>
      </c>
      <c r="G7108" s="25" t="str">
        <f>IF(ISNUMBER(F7108),E7108*F7108,"")</f>
        <v/>
      </c>
      <c r="H7108" s="26"/>
      <c r="I7108" s="27"/>
      <c r="J7108" s="125">
        <v>0</v>
      </c>
    </row>
    <row r="7109" spans="1:10" ht="15.75" hidden="1" thickBot="1" x14ac:dyDescent="0.3">
      <c r="A7109" s="235"/>
      <c r="B7109" s="240"/>
      <c r="C7109" s="151"/>
      <c r="D7109" s="29"/>
      <c r="E7109" s="30"/>
      <c r="F7109" s="38" t="s">
        <v>418</v>
      </c>
      <c r="G7109" s="28" t="str">
        <f>IF(ISNUMBER(F7109),E7109*F7109,"")</f>
        <v/>
      </c>
      <c r="H7109" s="32"/>
      <c r="I7109" s="28"/>
      <c r="J7109" s="125">
        <v>0</v>
      </c>
    </row>
    <row r="7110" spans="1:10" ht="26.25" hidden="1" thickBot="1" x14ac:dyDescent="0.3">
      <c r="A7110" s="235"/>
      <c r="B7110" s="240"/>
      <c r="C7110" s="155" t="s">
        <v>27498</v>
      </c>
      <c r="D7110" s="155" t="s">
        <v>205</v>
      </c>
      <c r="E7110" s="130">
        <v>1</v>
      </c>
      <c r="F7110" s="28">
        <v>5.4719999999999995</v>
      </c>
      <c r="G7110" s="28">
        <f>IF(ISNUMBER(F7110),E7110*F7110,"")</f>
        <v>5.4719999999999995</v>
      </c>
      <c r="H7110" s="35">
        <f t="shared" si="71"/>
        <v>5.4719999999999995</v>
      </c>
      <c r="I7110" s="36"/>
      <c r="J7110" s="125">
        <v>0</v>
      </c>
    </row>
    <row r="7111" spans="1:10" ht="15.75" hidden="1" thickBot="1" x14ac:dyDescent="0.3">
      <c r="A7111" s="236"/>
      <c r="B7111" s="239"/>
      <c r="C7111" s="164"/>
      <c r="D7111" s="50"/>
      <c r="E7111" s="61"/>
      <c r="F7111" s="62" t="s">
        <v>418</v>
      </c>
      <c r="G7111" s="62" t="str">
        <f>IF(ISNUMBER(F7111),E7111*F7111,"")</f>
        <v/>
      </c>
      <c r="H7111" s="64"/>
      <c r="I7111" s="28"/>
      <c r="J7111" s="125">
        <v>0</v>
      </c>
    </row>
    <row r="7112" spans="1:10" ht="15.75" hidden="1" thickBot="1" x14ac:dyDescent="0.3">
      <c r="A7112" s="234" t="s">
        <v>15448</v>
      </c>
      <c r="B7112" s="237" t="s">
        <v>19602</v>
      </c>
      <c r="C7112" s="160"/>
      <c r="D7112" s="23" t="s">
        <v>16</v>
      </c>
      <c r="E7112" s="24"/>
      <c r="F7112" s="37" t="s">
        <v>418</v>
      </c>
      <c r="G7112" s="25" t="str">
        <f>IF(ISNUMBER(F7112),E7112*F7112,"")</f>
        <v/>
      </c>
      <c r="H7112" s="26"/>
      <c r="I7112" s="27"/>
      <c r="J7112" s="125">
        <v>0</v>
      </c>
    </row>
    <row r="7113" spans="1:10" ht="15.75" hidden="1" thickBot="1" x14ac:dyDescent="0.3">
      <c r="A7113" s="235"/>
      <c r="B7113" s="240"/>
      <c r="C7113" s="151"/>
      <c r="D7113" s="29"/>
      <c r="E7113" s="30"/>
      <c r="F7113" s="38" t="s">
        <v>418</v>
      </c>
      <c r="G7113" s="28" t="str">
        <f>IF(ISNUMBER(F7113),E7113*F7113,"")</f>
        <v/>
      </c>
      <c r="H7113" s="32"/>
      <c r="I7113" s="28"/>
      <c r="J7113" s="125">
        <v>0</v>
      </c>
    </row>
    <row r="7114" spans="1:10" ht="26.25" hidden="1" thickBot="1" x14ac:dyDescent="0.3">
      <c r="A7114" s="235"/>
      <c r="B7114" s="240"/>
      <c r="C7114" s="155" t="s">
        <v>27499</v>
      </c>
      <c r="D7114" s="155" t="s">
        <v>205</v>
      </c>
      <c r="E7114" s="130">
        <v>1</v>
      </c>
      <c r="F7114" s="28">
        <v>10.9725</v>
      </c>
      <c r="G7114" s="28">
        <f>IF(ISNUMBER(F7114),E7114*F7114,"")</f>
        <v>10.9725</v>
      </c>
      <c r="H7114" s="35">
        <f t="shared" si="71"/>
        <v>10.9725</v>
      </c>
      <c r="I7114" s="36"/>
      <c r="J7114" s="125">
        <v>0</v>
      </c>
    </row>
    <row r="7115" spans="1:10" ht="15.75" hidden="1" thickBot="1" x14ac:dyDescent="0.3">
      <c r="A7115" s="236"/>
      <c r="B7115" s="239"/>
      <c r="C7115" s="164"/>
      <c r="D7115" s="50"/>
      <c r="E7115" s="61"/>
      <c r="F7115" s="62" t="s">
        <v>418</v>
      </c>
      <c r="G7115" s="62" t="str">
        <f>IF(ISNUMBER(F7115),E7115*F7115,"")</f>
        <v/>
      </c>
      <c r="H7115" s="64"/>
      <c r="I7115" s="28"/>
      <c r="J7115" s="125">
        <v>0</v>
      </c>
    </row>
    <row r="7116" spans="1:10" ht="15.75" hidden="1" thickBot="1" x14ac:dyDescent="0.3">
      <c r="A7116" s="234" t="s">
        <v>15449</v>
      </c>
      <c r="B7116" s="237" t="s">
        <v>19601</v>
      </c>
      <c r="C7116" s="160"/>
      <c r="D7116" s="23" t="s">
        <v>16</v>
      </c>
      <c r="E7116" s="24"/>
      <c r="F7116" s="37" t="s">
        <v>418</v>
      </c>
      <c r="G7116" s="25" t="str">
        <f>IF(ISNUMBER(F7116),E7116*F7116,"")</f>
        <v/>
      </c>
      <c r="H7116" s="26"/>
      <c r="I7116" s="27"/>
      <c r="J7116" s="125">
        <v>0</v>
      </c>
    </row>
    <row r="7117" spans="1:10" ht="15.75" hidden="1" thickBot="1" x14ac:dyDescent="0.3">
      <c r="A7117" s="235"/>
      <c r="B7117" s="240"/>
      <c r="C7117" s="151"/>
      <c r="D7117" s="29"/>
      <c r="E7117" s="30"/>
      <c r="F7117" s="38" t="s">
        <v>418</v>
      </c>
      <c r="G7117" s="28" t="str">
        <f>IF(ISNUMBER(F7117),E7117*F7117,"")</f>
        <v/>
      </c>
      <c r="H7117" s="32"/>
      <c r="I7117" s="28"/>
      <c r="J7117" s="125">
        <v>0</v>
      </c>
    </row>
    <row r="7118" spans="1:10" ht="15.75" hidden="1" thickBot="1" x14ac:dyDescent="0.3">
      <c r="A7118" s="235"/>
      <c r="B7118" s="240"/>
      <c r="C7118" s="155" t="s">
        <v>26136</v>
      </c>
      <c r="D7118" s="155" t="s">
        <v>205</v>
      </c>
      <c r="E7118" s="130">
        <v>1</v>
      </c>
      <c r="F7118" s="28">
        <v>2.6884999999999999</v>
      </c>
      <c r="G7118" s="28">
        <f>IF(ISNUMBER(F7118),E7118*F7118,"")</f>
        <v>2.6884999999999999</v>
      </c>
      <c r="H7118" s="35">
        <f t="shared" ref="H7118:H7214" si="72">SUM(G7118:G7118)</f>
        <v>2.6884999999999999</v>
      </c>
      <c r="I7118" s="36"/>
      <c r="J7118" s="125">
        <v>0</v>
      </c>
    </row>
    <row r="7119" spans="1:10" ht="15.75" hidden="1" thickBot="1" x14ac:dyDescent="0.3">
      <c r="A7119" s="236"/>
      <c r="B7119" s="239"/>
      <c r="C7119" s="164"/>
      <c r="D7119" s="50"/>
      <c r="E7119" s="61"/>
      <c r="F7119" s="62" t="s">
        <v>418</v>
      </c>
      <c r="G7119" s="62" t="str">
        <f>IF(ISNUMBER(F7119),E7119*F7119,"")</f>
        <v/>
      </c>
      <c r="H7119" s="64"/>
      <c r="I7119" s="28"/>
      <c r="J7119" s="125">
        <v>0</v>
      </c>
    </row>
    <row r="7120" spans="1:10" ht="15.75" hidden="1" thickBot="1" x14ac:dyDescent="0.3">
      <c r="A7120" s="234" t="s">
        <v>15450</v>
      </c>
      <c r="B7120" s="237" t="s">
        <v>19600</v>
      </c>
      <c r="C7120" s="160"/>
      <c r="D7120" s="23" t="s">
        <v>16</v>
      </c>
      <c r="E7120" s="24"/>
      <c r="F7120" s="37" t="s">
        <v>418</v>
      </c>
      <c r="G7120" s="25" t="str">
        <f>IF(ISNUMBER(F7120),E7120*F7120,"")</f>
        <v/>
      </c>
      <c r="H7120" s="26"/>
      <c r="I7120" s="27"/>
      <c r="J7120" s="125">
        <v>0</v>
      </c>
    </row>
    <row r="7121" spans="1:10" ht="15.75" hidden="1" thickBot="1" x14ac:dyDescent="0.3">
      <c r="A7121" s="235"/>
      <c r="B7121" s="240"/>
      <c r="C7121" s="151"/>
      <c r="D7121" s="29"/>
      <c r="E7121" s="30"/>
      <c r="F7121" s="38" t="s">
        <v>418</v>
      </c>
      <c r="G7121" s="28" t="str">
        <f>IF(ISNUMBER(F7121),E7121*F7121,"")</f>
        <v/>
      </c>
      <c r="H7121" s="32"/>
      <c r="I7121" s="28"/>
      <c r="J7121" s="125">
        <v>0</v>
      </c>
    </row>
    <row r="7122" spans="1:10" ht="15.75" hidden="1" thickBot="1" x14ac:dyDescent="0.3">
      <c r="A7122" s="235"/>
      <c r="B7122" s="240"/>
      <c r="C7122" s="155" t="s">
        <v>26137</v>
      </c>
      <c r="D7122" s="155" t="s">
        <v>205</v>
      </c>
      <c r="E7122" s="130">
        <v>1</v>
      </c>
      <c r="F7122" s="28">
        <v>5.9944999999999995</v>
      </c>
      <c r="G7122" s="28">
        <f>IF(ISNUMBER(F7122),E7122*F7122,"")</f>
        <v>5.9944999999999995</v>
      </c>
      <c r="H7122" s="35">
        <f t="shared" si="72"/>
        <v>5.9944999999999995</v>
      </c>
      <c r="I7122" s="36"/>
      <c r="J7122" s="125">
        <v>0</v>
      </c>
    </row>
    <row r="7123" spans="1:10" ht="15.75" hidden="1" thickBot="1" x14ac:dyDescent="0.3">
      <c r="A7123" s="236"/>
      <c r="B7123" s="239"/>
      <c r="C7123" s="164"/>
      <c r="D7123" s="50"/>
      <c r="E7123" s="61"/>
      <c r="F7123" s="62" t="s">
        <v>418</v>
      </c>
      <c r="G7123" s="62" t="str">
        <f>IF(ISNUMBER(F7123),E7123*F7123,"")</f>
        <v/>
      </c>
      <c r="H7123" s="64"/>
      <c r="I7123" s="28"/>
      <c r="J7123" s="125">
        <v>0</v>
      </c>
    </row>
    <row r="7124" spans="1:10" ht="15.75" hidden="1" thickBot="1" x14ac:dyDescent="0.3">
      <c r="A7124" s="234" t="s">
        <v>15451</v>
      </c>
      <c r="B7124" s="237" t="s">
        <v>15452</v>
      </c>
      <c r="C7124" s="160"/>
      <c r="D7124" s="23" t="s">
        <v>16</v>
      </c>
      <c r="E7124" s="24"/>
      <c r="F7124" s="37" t="s">
        <v>418</v>
      </c>
      <c r="G7124" s="25" t="str">
        <f>IF(ISNUMBER(F7124),E7124*F7124,"")</f>
        <v/>
      </c>
      <c r="H7124" s="26"/>
      <c r="I7124" s="27"/>
      <c r="J7124" s="125">
        <v>0</v>
      </c>
    </row>
    <row r="7125" spans="1:10" ht="15.75" hidden="1" thickBot="1" x14ac:dyDescent="0.3">
      <c r="A7125" s="235"/>
      <c r="B7125" s="240"/>
      <c r="C7125" s="151"/>
      <c r="D7125" s="29"/>
      <c r="E7125" s="30"/>
      <c r="F7125" s="38" t="s">
        <v>418</v>
      </c>
      <c r="G7125" s="28" t="str">
        <f>IF(ISNUMBER(F7125),E7125*F7125,"")</f>
        <v/>
      </c>
      <c r="H7125" s="32"/>
      <c r="I7125" s="28"/>
      <c r="J7125" s="125">
        <v>0</v>
      </c>
    </row>
    <row r="7126" spans="1:10" ht="15.75" hidden="1" thickBot="1" x14ac:dyDescent="0.3">
      <c r="A7126" s="235"/>
      <c r="B7126" s="240"/>
      <c r="C7126" s="155" t="s">
        <v>38861</v>
      </c>
      <c r="D7126" s="155" t="s">
        <v>205</v>
      </c>
      <c r="E7126" s="130">
        <v>1</v>
      </c>
      <c r="F7126" s="28">
        <v>13.3475</v>
      </c>
      <c r="G7126" s="28">
        <f>IF(ISNUMBER(F7126),E7126*F7126,"")</f>
        <v>13.3475</v>
      </c>
      <c r="H7126" s="35">
        <f t="shared" si="72"/>
        <v>13.3475</v>
      </c>
      <c r="I7126" s="36"/>
      <c r="J7126" s="125">
        <v>0</v>
      </c>
    </row>
    <row r="7127" spans="1:10" ht="15.75" hidden="1" thickBot="1" x14ac:dyDescent="0.3">
      <c r="A7127" s="236"/>
      <c r="B7127" s="239"/>
      <c r="C7127" s="164"/>
      <c r="D7127" s="50"/>
      <c r="E7127" s="61"/>
      <c r="F7127" s="62" t="s">
        <v>418</v>
      </c>
      <c r="G7127" s="62" t="str">
        <f>IF(ISNUMBER(F7127),E7127*F7127,"")</f>
        <v/>
      </c>
      <c r="H7127" s="64"/>
      <c r="I7127" s="28"/>
      <c r="J7127" s="125">
        <v>0</v>
      </c>
    </row>
    <row r="7128" spans="1:10" ht="15.75" hidden="1" thickBot="1" x14ac:dyDescent="0.3">
      <c r="A7128" s="234" t="s">
        <v>15453</v>
      </c>
      <c r="B7128" s="237" t="s">
        <v>15454</v>
      </c>
      <c r="C7128" s="160"/>
      <c r="D7128" s="23" t="s">
        <v>16</v>
      </c>
      <c r="E7128" s="24"/>
      <c r="F7128" s="37" t="s">
        <v>418</v>
      </c>
      <c r="G7128" s="25" t="str">
        <f>IF(ISNUMBER(F7128),E7128*F7128,"")</f>
        <v/>
      </c>
      <c r="H7128" s="26"/>
      <c r="I7128" s="27"/>
      <c r="J7128" s="125">
        <v>0</v>
      </c>
    </row>
    <row r="7129" spans="1:10" ht="15.75" hidden="1" thickBot="1" x14ac:dyDescent="0.3">
      <c r="A7129" s="235"/>
      <c r="B7129" s="240"/>
      <c r="C7129" s="151"/>
      <c r="D7129" s="29"/>
      <c r="E7129" s="30"/>
      <c r="F7129" s="38" t="s">
        <v>418</v>
      </c>
      <c r="G7129" s="28" t="str">
        <f>IF(ISNUMBER(F7129),E7129*F7129,"")</f>
        <v/>
      </c>
      <c r="H7129" s="32"/>
      <c r="I7129" s="28"/>
      <c r="J7129" s="125">
        <v>0</v>
      </c>
    </row>
    <row r="7130" spans="1:10" ht="15.75" hidden="1" thickBot="1" x14ac:dyDescent="0.3">
      <c r="A7130" s="235"/>
      <c r="B7130" s="240"/>
      <c r="C7130" s="142" t="s">
        <v>15645</v>
      </c>
      <c r="D7130" s="42" t="s">
        <v>16</v>
      </c>
      <c r="E7130" s="130">
        <v>1</v>
      </c>
      <c r="F7130" s="28">
        <v>0.95</v>
      </c>
      <c r="G7130" s="28">
        <f>IF(ISNUMBER(F7130),E7130*F7130,"")</f>
        <v>0.95</v>
      </c>
      <c r="H7130" s="35">
        <f t="shared" si="72"/>
        <v>0.95</v>
      </c>
      <c r="I7130" s="36"/>
      <c r="J7130" s="125">
        <v>0</v>
      </c>
    </row>
    <row r="7131" spans="1:10" ht="15.75" hidden="1" thickBot="1" x14ac:dyDescent="0.3">
      <c r="A7131" s="236"/>
      <c r="B7131" s="239"/>
      <c r="C7131" s="164"/>
      <c r="D7131" s="50"/>
      <c r="E7131" s="61"/>
      <c r="F7131" s="62" t="s">
        <v>418</v>
      </c>
      <c r="G7131" s="62" t="str">
        <f>IF(ISNUMBER(F7131),E7131*F7131,"")</f>
        <v/>
      </c>
      <c r="H7131" s="64"/>
      <c r="I7131" s="28"/>
      <c r="J7131" s="125">
        <v>0</v>
      </c>
    </row>
    <row r="7132" spans="1:10" ht="15.75" hidden="1" thickBot="1" x14ac:dyDescent="0.3">
      <c r="A7132" s="234" t="s">
        <v>15455</v>
      </c>
      <c r="B7132" s="237" t="s">
        <v>19599</v>
      </c>
      <c r="C7132" s="160"/>
      <c r="D7132" s="23" t="s">
        <v>16</v>
      </c>
      <c r="E7132" s="24"/>
      <c r="F7132" s="37" t="s">
        <v>418</v>
      </c>
      <c r="G7132" s="25" t="str">
        <f>IF(ISNUMBER(F7132),E7132*F7132,"")</f>
        <v/>
      </c>
      <c r="H7132" s="26"/>
      <c r="I7132" s="27"/>
      <c r="J7132" s="125">
        <v>0</v>
      </c>
    </row>
    <row r="7133" spans="1:10" ht="15.75" hidden="1" thickBot="1" x14ac:dyDescent="0.3">
      <c r="A7133" s="235"/>
      <c r="B7133" s="240"/>
      <c r="C7133" s="151"/>
      <c r="D7133" s="29"/>
      <c r="E7133" s="30"/>
      <c r="F7133" s="38" t="s">
        <v>418</v>
      </c>
      <c r="G7133" s="28" t="str">
        <f>IF(ISNUMBER(F7133),E7133*F7133,"")</f>
        <v/>
      </c>
      <c r="H7133" s="32"/>
      <c r="I7133" s="28"/>
      <c r="J7133" s="125">
        <v>0</v>
      </c>
    </row>
    <row r="7134" spans="1:10" ht="15.75" hidden="1" thickBot="1" x14ac:dyDescent="0.3">
      <c r="A7134" s="235"/>
      <c r="B7134" s="240"/>
      <c r="C7134" s="155" t="s">
        <v>26287</v>
      </c>
      <c r="D7134" s="155" t="s">
        <v>205</v>
      </c>
      <c r="E7134" s="130">
        <v>1</v>
      </c>
      <c r="F7134" s="28">
        <v>14.905499999999998</v>
      </c>
      <c r="G7134" s="28">
        <f>IF(ISNUMBER(F7134),E7134*F7134,"")</f>
        <v>14.905499999999998</v>
      </c>
      <c r="H7134" s="35">
        <f t="shared" si="72"/>
        <v>14.905499999999998</v>
      </c>
      <c r="I7134" s="36"/>
      <c r="J7134" s="125">
        <v>0</v>
      </c>
    </row>
    <row r="7135" spans="1:10" ht="15.75" hidden="1" thickBot="1" x14ac:dyDescent="0.3">
      <c r="A7135" s="236"/>
      <c r="B7135" s="239"/>
      <c r="C7135" s="164"/>
      <c r="D7135" s="50"/>
      <c r="E7135" s="61"/>
      <c r="F7135" s="62" t="s">
        <v>418</v>
      </c>
      <c r="G7135" s="62" t="str">
        <f>IF(ISNUMBER(F7135),E7135*F7135,"")</f>
        <v/>
      </c>
      <c r="H7135" s="64"/>
      <c r="I7135" s="28"/>
      <c r="J7135" s="125">
        <v>0</v>
      </c>
    </row>
    <row r="7136" spans="1:10" ht="15.75" hidden="1" thickBot="1" x14ac:dyDescent="0.3">
      <c r="A7136" s="234" t="s">
        <v>15456</v>
      </c>
      <c r="B7136" s="237" t="s">
        <v>19598</v>
      </c>
      <c r="C7136" s="160"/>
      <c r="D7136" s="23" t="s">
        <v>16</v>
      </c>
      <c r="E7136" s="24"/>
      <c r="F7136" s="37" t="s">
        <v>418</v>
      </c>
      <c r="G7136" s="25" t="str">
        <f>IF(ISNUMBER(F7136),E7136*F7136,"")</f>
        <v/>
      </c>
      <c r="H7136" s="26"/>
      <c r="I7136" s="27"/>
      <c r="J7136" s="125">
        <v>0</v>
      </c>
    </row>
    <row r="7137" spans="1:10" ht="15.75" hidden="1" thickBot="1" x14ac:dyDescent="0.3">
      <c r="A7137" s="235"/>
      <c r="B7137" s="240"/>
      <c r="C7137" s="151"/>
      <c r="D7137" s="29"/>
      <c r="E7137" s="30"/>
      <c r="F7137" s="38" t="s">
        <v>418</v>
      </c>
      <c r="G7137" s="28" t="str">
        <f>IF(ISNUMBER(F7137),E7137*F7137,"")</f>
        <v/>
      </c>
      <c r="H7137" s="32"/>
      <c r="I7137" s="28"/>
      <c r="J7137" s="125">
        <v>0</v>
      </c>
    </row>
    <row r="7138" spans="1:10" ht="15.75" hidden="1" thickBot="1" x14ac:dyDescent="0.3">
      <c r="A7138" s="235"/>
      <c r="B7138" s="240"/>
      <c r="C7138" s="155" t="s">
        <v>38862</v>
      </c>
      <c r="D7138" s="155" t="s">
        <v>205</v>
      </c>
      <c r="E7138" s="130">
        <v>1</v>
      </c>
      <c r="F7138" s="28">
        <v>80.256</v>
      </c>
      <c r="G7138" s="28">
        <f>IF(ISNUMBER(F7138),E7138*F7138,"")</f>
        <v>80.256</v>
      </c>
      <c r="H7138" s="35">
        <f t="shared" si="72"/>
        <v>80.256</v>
      </c>
      <c r="I7138" s="36"/>
      <c r="J7138" s="125">
        <v>0</v>
      </c>
    </row>
    <row r="7139" spans="1:10" ht="15.75" hidden="1" thickBot="1" x14ac:dyDescent="0.3">
      <c r="A7139" s="236"/>
      <c r="B7139" s="239"/>
      <c r="C7139" s="164"/>
      <c r="D7139" s="50"/>
      <c r="E7139" s="61"/>
      <c r="F7139" s="62" t="s">
        <v>418</v>
      </c>
      <c r="G7139" s="62" t="str">
        <f>IF(ISNUMBER(F7139),E7139*F7139,"")</f>
        <v/>
      </c>
      <c r="H7139" s="64"/>
      <c r="I7139" s="28"/>
      <c r="J7139" s="125">
        <v>0</v>
      </c>
    </row>
    <row r="7140" spans="1:10" ht="15.75" hidden="1" thickBot="1" x14ac:dyDescent="0.3">
      <c r="A7140" s="234" t="s">
        <v>15457</v>
      </c>
      <c r="B7140" s="237" t="s">
        <v>19597</v>
      </c>
      <c r="C7140" s="160"/>
      <c r="D7140" s="23" t="s">
        <v>16</v>
      </c>
      <c r="E7140" s="24"/>
      <c r="F7140" s="37" t="s">
        <v>418</v>
      </c>
      <c r="G7140" s="25" t="str">
        <f>IF(ISNUMBER(F7140),E7140*F7140,"")</f>
        <v/>
      </c>
      <c r="H7140" s="26"/>
      <c r="I7140" s="27"/>
      <c r="J7140" s="125">
        <v>0</v>
      </c>
    </row>
    <row r="7141" spans="1:10" ht="15.75" hidden="1" thickBot="1" x14ac:dyDescent="0.3">
      <c r="A7141" s="235"/>
      <c r="B7141" s="240"/>
      <c r="C7141" s="151"/>
      <c r="D7141" s="29"/>
      <c r="E7141" s="30"/>
      <c r="F7141" s="38" t="s">
        <v>418</v>
      </c>
      <c r="G7141" s="28" t="str">
        <f>IF(ISNUMBER(F7141),E7141*F7141,"")</f>
        <v/>
      </c>
      <c r="H7141" s="32"/>
      <c r="I7141" s="28"/>
      <c r="J7141" s="125">
        <v>0</v>
      </c>
    </row>
    <row r="7142" spans="1:10" ht="15.75" hidden="1" thickBot="1" x14ac:dyDescent="0.3">
      <c r="A7142" s="235"/>
      <c r="B7142" s="240"/>
      <c r="C7142" s="155" t="s">
        <v>38863</v>
      </c>
      <c r="D7142" s="155" t="s">
        <v>205</v>
      </c>
      <c r="E7142" s="130">
        <v>1</v>
      </c>
      <c r="F7142" s="28">
        <v>192.98299999999998</v>
      </c>
      <c r="G7142" s="28">
        <f>IF(ISNUMBER(F7142),E7142*F7142,"")</f>
        <v>192.98299999999998</v>
      </c>
      <c r="H7142" s="35">
        <f t="shared" si="72"/>
        <v>192.98299999999998</v>
      </c>
      <c r="I7142" s="36"/>
      <c r="J7142" s="125">
        <v>0</v>
      </c>
    </row>
    <row r="7143" spans="1:10" ht="15.75" hidden="1" thickBot="1" x14ac:dyDescent="0.3">
      <c r="A7143" s="236"/>
      <c r="B7143" s="239"/>
      <c r="C7143" s="164"/>
      <c r="D7143" s="50"/>
      <c r="E7143" s="61"/>
      <c r="F7143" s="62" t="s">
        <v>418</v>
      </c>
      <c r="G7143" s="62" t="str">
        <f>IF(ISNUMBER(F7143),E7143*F7143,"")</f>
        <v/>
      </c>
      <c r="H7143" s="64"/>
      <c r="I7143" s="28"/>
      <c r="J7143" s="125">
        <v>0</v>
      </c>
    </row>
    <row r="7144" spans="1:10" ht="15.75" hidden="1" thickBot="1" x14ac:dyDescent="0.3">
      <c r="A7144" s="234" t="s">
        <v>15470</v>
      </c>
      <c r="B7144" s="237" t="s">
        <v>15471</v>
      </c>
      <c r="C7144" s="160"/>
      <c r="D7144" s="23" t="s">
        <v>1628</v>
      </c>
      <c r="E7144" s="24"/>
      <c r="F7144" s="37" t="s">
        <v>418</v>
      </c>
      <c r="G7144" s="25" t="str">
        <f>IF(ISNUMBER(F7144),E7144*F7144,"")</f>
        <v/>
      </c>
      <c r="H7144" s="26"/>
      <c r="I7144" s="27"/>
      <c r="J7144" s="125">
        <v>0</v>
      </c>
    </row>
    <row r="7145" spans="1:10" ht="15.75" hidden="1" thickBot="1" x14ac:dyDescent="0.3">
      <c r="A7145" s="235"/>
      <c r="B7145" s="238"/>
      <c r="C7145" s="151"/>
      <c r="D7145" s="29"/>
      <c r="E7145" s="30"/>
      <c r="F7145" s="38" t="s">
        <v>418</v>
      </c>
      <c r="G7145" s="31" t="str">
        <f>IF(ISNUMBER(F7145),E7145*F7145,"")</f>
        <v/>
      </c>
      <c r="H7145" s="32"/>
      <c r="I7145" s="28"/>
      <c r="J7145" s="125">
        <v>0</v>
      </c>
    </row>
    <row r="7146" spans="1:10" ht="26.25" hidden="1" thickBot="1" x14ac:dyDescent="0.3">
      <c r="A7146" s="235"/>
      <c r="B7146" s="238"/>
      <c r="C7146" s="155" t="s">
        <v>656</v>
      </c>
      <c r="D7146" s="155" t="s">
        <v>587</v>
      </c>
      <c r="E7146" s="130" t="e">
        <f>IF(#REF!="Desonerado",ROUND(220/(1+82.01%),4),ROUND(220/(1+110.69%),4))</f>
        <v>#REF!</v>
      </c>
      <c r="F7146" s="28">
        <v>122.71149999999999</v>
      </c>
      <c r="G7146" s="31" t="e">
        <f>IF(ISNUMBER(F7146),E7146*F7146,"")</f>
        <v>#REF!</v>
      </c>
      <c r="H7146" s="35" t="e">
        <f>SUM(G7146:G7146)</f>
        <v>#REF!</v>
      </c>
      <c r="I7146" s="36"/>
      <c r="J7146" s="125">
        <v>0</v>
      </c>
    </row>
    <row r="7147" spans="1:10" ht="15.75" hidden="1" thickBot="1" x14ac:dyDescent="0.3">
      <c r="A7147" s="235"/>
      <c r="B7147" s="238"/>
      <c r="C7147" s="155"/>
      <c r="D7147" s="42"/>
      <c r="E7147" s="34"/>
      <c r="F7147" s="28" t="s">
        <v>418</v>
      </c>
      <c r="G7147" s="31" t="str">
        <f>IF(ISNUMBER(F7147),E7147*F7147,"")</f>
        <v/>
      </c>
      <c r="H7147" s="32"/>
      <c r="I7147" s="36"/>
      <c r="J7147" s="125">
        <v>0</v>
      </c>
    </row>
    <row r="7148" spans="1:10" ht="26.25" hidden="1" thickBot="1" x14ac:dyDescent="0.3">
      <c r="A7148" s="235"/>
      <c r="B7148" s="238"/>
      <c r="C7148" s="43" t="s">
        <v>657</v>
      </c>
      <c r="D7148" s="42"/>
      <c r="E7148" s="34"/>
      <c r="F7148" s="28" t="s">
        <v>418</v>
      </c>
      <c r="G7148" s="31" t="str">
        <f>IF(ISNUMBER(F7148),E7148*F7148,"")</f>
        <v/>
      </c>
      <c r="H7148" s="32"/>
      <c r="I7148" s="36"/>
      <c r="J7148" s="125">
        <v>0</v>
      </c>
    </row>
    <row r="7149" spans="1:10" ht="15.75" hidden="1" thickBot="1" x14ac:dyDescent="0.3">
      <c r="A7149" s="236"/>
      <c r="B7149" s="239"/>
      <c r="C7149" s="155"/>
      <c r="D7149" s="33"/>
      <c r="E7149" s="34"/>
      <c r="F7149" s="28" t="s">
        <v>418</v>
      </c>
      <c r="G7149" s="31" t="str">
        <f>IF(ISNUMBER(F7149),E7149*F7149,"")</f>
        <v/>
      </c>
      <c r="H7149" s="32"/>
      <c r="I7149" s="28"/>
      <c r="J7149" s="125">
        <v>0</v>
      </c>
    </row>
    <row r="7150" spans="1:10" ht="15.75" hidden="1" thickBot="1" x14ac:dyDescent="0.3">
      <c r="A7150" s="234" t="s">
        <v>15472</v>
      </c>
      <c r="B7150" s="237" t="s">
        <v>15473</v>
      </c>
      <c r="C7150" s="160"/>
      <c r="D7150" s="23" t="s">
        <v>1628</v>
      </c>
      <c r="E7150" s="24"/>
      <c r="F7150" s="37" t="s">
        <v>418</v>
      </c>
      <c r="G7150" s="25" t="str">
        <f>IF(ISNUMBER(F7150),E7150*F7150,"")</f>
        <v/>
      </c>
      <c r="H7150" s="26"/>
      <c r="I7150" s="27"/>
      <c r="J7150" s="125">
        <v>0</v>
      </c>
    </row>
    <row r="7151" spans="1:10" ht="15.75" hidden="1" thickBot="1" x14ac:dyDescent="0.3">
      <c r="A7151" s="235"/>
      <c r="B7151" s="238"/>
      <c r="C7151" s="151"/>
      <c r="D7151" s="29"/>
      <c r="E7151" s="30"/>
      <c r="F7151" s="38" t="s">
        <v>418</v>
      </c>
      <c r="G7151" s="31" t="str">
        <f>IF(ISNUMBER(F7151),E7151*F7151,"")</f>
        <v/>
      </c>
      <c r="H7151" s="32"/>
      <c r="I7151" s="28"/>
      <c r="J7151" s="125">
        <v>0</v>
      </c>
    </row>
    <row r="7152" spans="1:10" ht="26.25" hidden="1" thickBot="1" x14ac:dyDescent="0.3">
      <c r="A7152" s="235"/>
      <c r="B7152" s="238"/>
      <c r="C7152" s="155" t="s">
        <v>656</v>
      </c>
      <c r="D7152" s="155" t="s">
        <v>587</v>
      </c>
      <c r="E7152" s="130" t="e">
        <f>IF(#REF!="Desonerado",ROUND(220/(1+82.01%),4),ROUND(220/(1+110.69%),4))</f>
        <v>#REF!</v>
      </c>
      <c r="F7152" s="28">
        <v>122.71149999999999</v>
      </c>
      <c r="G7152" s="31" t="e">
        <f>IF(ISNUMBER(F7152),E7152*F7152,"")</f>
        <v>#REF!</v>
      </c>
      <c r="H7152" s="35" t="e">
        <f>SUM(G7152:G7152)</f>
        <v>#REF!</v>
      </c>
      <c r="I7152" s="36"/>
      <c r="J7152" s="125">
        <v>0</v>
      </c>
    </row>
    <row r="7153" spans="1:10" ht="15.75" hidden="1" thickBot="1" x14ac:dyDescent="0.3">
      <c r="A7153" s="235"/>
      <c r="B7153" s="238"/>
      <c r="C7153" s="155"/>
      <c r="D7153" s="42"/>
      <c r="E7153" s="34"/>
      <c r="F7153" s="28" t="s">
        <v>418</v>
      </c>
      <c r="G7153" s="31" t="str">
        <f>IF(ISNUMBER(F7153),E7153*F7153,"")</f>
        <v/>
      </c>
      <c r="H7153" s="32"/>
      <c r="I7153" s="36"/>
      <c r="J7153" s="125">
        <v>0</v>
      </c>
    </row>
    <row r="7154" spans="1:10" ht="26.25" hidden="1" thickBot="1" x14ac:dyDescent="0.3">
      <c r="A7154" s="235"/>
      <c r="B7154" s="238"/>
      <c r="C7154" s="43" t="s">
        <v>657</v>
      </c>
      <c r="D7154" s="42"/>
      <c r="E7154" s="34"/>
      <c r="F7154" s="28" t="s">
        <v>418</v>
      </c>
      <c r="G7154" s="31" t="str">
        <f>IF(ISNUMBER(F7154),E7154*F7154,"")</f>
        <v/>
      </c>
      <c r="H7154" s="32"/>
      <c r="I7154" s="36"/>
      <c r="J7154" s="125">
        <v>0</v>
      </c>
    </row>
    <row r="7155" spans="1:10" ht="15.75" hidden="1" thickBot="1" x14ac:dyDescent="0.3">
      <c r="A7155" s="236"/>
      <c r="B7155" s="239"/>
      <c r="C7155" s="155"/>
      <c r="D7155" s="33"/>
      <c r="E7155" s="34"/>
      <c r="F7155" s="28" t="s">
        <v>418</v>
      </c>
      <c r="G7155" s="31" t="str">
        <f>IF(ISNUMBER(F7155),E7155*F7155,"")</f>
        <v/>
      </c>
      <c r="H7155" s="32"/>
      <c r="I7155" s="28"/>
      <c r="J7155" s="125">
        <v>0</v>
      </c>
    </row>
    <row r="7156" spans="1:10" ht="15.75" hidden="1" thickBot="1" x14ac:dyDescent="0.3">
      <c r="A7156" s="234" t="s">
        <v>15474</v>
      </c>
      <c r="B7156" s="237" t="s">
        <v>15475</v>
      </c>
      <c r="C7156" s="160"/>
      <c r="D7156" s="23" t="s">
        <v>1628</v>
      </c>
      <c r="E7156" s="24"/>
      <c r="F7156" s="37" t="s">
        <v>418</v>
      </c>
      <c r="G7156" s="25" t="str">
        <f>IF(ISNUMBER(F7156),E7156*F7156,"")</f>
        <v/>
      </c>
      <c r="H7156" s="26"/>
      <c r="I7156" s="27"/>
      <c r="J7156" s="125">
        <v>0</v>
      </c>
    </row>
    <row r="7157" spans="1:10" ht="15.75" hidden="1" thickBot="1" x14ac:dyDescent="0.3">
      <c r="A7157" s="235"/>
      <c r="B7157" s="238"/>
      <c r="C7157" s="151"/>
      <c r="D7157" s="29"/>
      <c r="E7157" s="30"/>
      <c r="F7157" s="38" t="s">
        <v>418</v>
      </c>
      <c r="G7157" s="31" t="str">
        <f>IF(ISNUMBER(F7157),E7157*F7157,"")</f>
        <v/>
      </c>
      <c r="H7157" s="32"/>
      <c r="I7157" s="28"/>
      <c r="J7157" s="125">
        <v>0</v>
      </c>
    </row>
    <row r="7158" spans="1:10" ht="15.75" hidden="1" thickBot="1" x14ac:dyDescent="0.3">
      <c r="A7158" s="235"/>
      <c r="B7158" s="238"/>
      <c r="C7158" s="155" t="s">
        <v>9889</v>
      </c>
      <c r="D7158" s="155" t="s">
        <v>587</v>
      </c>
      <c r="E7158" s="130" t="e">
        <f>IF(#REF!="Desonerado",ROUND(220/(1+82.01%),4),ROUND(220/(1+110.69%),4))</f>
        <v>#REF!</v>
      </c>
      <c r="F7158" s="28">
        <v>33.316499999999998</v>
      </c>
      <c r="G7158" s="31" t="e">
        <f>IF(ISNUMBER(F7158),E7158*F7158,"")</f>
        <v>#REF!</v>
      </c>
      <c r="H7158" s="35" t="e">
        <f>SUM(G7158:G7158)</f>
        <v>#REF!</v>
      </c>
      <c r="I7158" s="36"/>
      <c r="J7158" s="125">
        <v>0</v>
      </c>
    </row>
    <row r="7159" spans="1:10" ht="15.75" hidden="1" thickBot="1" x14ac:dyDescent="0.3">
      <c r="A7159" s="235"/>
      <c r="B7159" s="238"/>
      <c r="C7159" s="155"/>
      <c r="D7159" s="42"/>
      <c r="E7159" s="34"/>
      <c r="F7159" s="28" t="s">
        <v>418</v>
      </c>
      <c r="G7159" s="31" t="str">
        <f>IF(ISNUMBER(F7159),E7159*F7159,"")</f>
        <v/>
      </c>
      <c r="H7159" s="32"/>
      <c r="I7159" s="36"/>
      <c r="J7159" s="125">
        <v>0</v>
      </c>
    </row>
    <row r="7160" spans="1:10" ht="26.25" hidden="1" thickBot="1" x14ac:dyDescent="0.3">
      <c r="A7160" s="235"/>
      <c r="B7160" s="238"/>
      <c r="C7160" s="43" t="s">
        <v>657</v>
      </c>
      <c r="D7160" s="42"/>
      <c r="E7160" s="34"/>
      <c r="F7160" s="28" t="s">
        <v>418</v>
      </c>
      <c r="G7160" s="31" t="str">
        <f>IF(ISNUMBER(F7160),E7160*F7160,"")</f>
        <v/>
      </c>
      <c r="H7160" s="32"/>
      <c r="I7160" s="36"/>
      <c r="J7160" s="125">
        <v>0</v>
      </c>
    </row>
    <row r="7161" spans="1:10" ht="15.75" hidden="1" thickBot="1" x14ac:dyDescent="0.3">
      <c r="A7161" s="236"/>
      <c r="B7161" s="239"/>
      <c r="C7161" s="155"/>
      <c r="D7161" s="33"/>
      <c r="E7161" s="34"/>
      <c r="F7161" s="28" t="s">
        <v>418</v>
      </c>
      <c r="G7161" s="31" t="str">
        <f>IF(ISNUMBER(F7161),E7161*F7161,"")</f>
        <v/>
      </c>
      <c r="H7161" s="32"/>
      <c r="I7161" s="28"/>
      <c r="J7161" s="125">
        <v>0</v>
      </c>
    </row>
    <row r="7162" spans="1:10" ht="15.75" hidden="1" thickBot="1" x14ac:dyDescent="0.3">
      <c r="A7162" s="234" t="s">
        <v>15476</v>
      </c>
      <c r="B7162" s="237" t="s">
        <v>15477</v>
      </c>
      <c r="C7162" s="160"/>
      <c r="D7162" s="23" t="s">
        <v>1628</v>
      </c>
      <c r="E7162" s="24"/>
      <c r="F7162" s="37" t="s">
        <v>418</v>
      </c>
      <c r="G7162" s="25" t="str">
        <f>IF(ISNUMBER(F7162),E7162*F7162,"")</f>
        <v/>
      </c>
      <c r="H7162" s="26"/>
      <c r="I7162" s="27"/>
      <c r="J7162" s="125">
        <v>0</v>
      </c>
    </row>
    <row r="7163" spans="1:10" ht="15.75" hidden="1" thickBot="1" x14ac:dyDescent="0.3">
      <c r="A7163" s="235"/>
      <c r="B7163" s="238"/>
      <c r="C7163" s="151"/>
      <c r="D7163" s="29"/>
      <c r="E7163" s="30"/>
      <c r="F7163" s="38" t="s">
        <v>418</v>
      </c>
      <c r="G7163" s="31" t="str">
        <f>IF(ISNUMBER(F7163),E7163*F7163,"")</f>
        <v/>
      </c>
      <c r="H7163" s="32"/>
      <c r="I7163" s="28"/>
      <c r="J7163" s="125">
        <v>0</v>
      </c>
    </row>
    <row r="7164" spans="1:10" ht="26.25" hidden="1" thickBot="1" x14ac:dyDescent="0.3">
      <c r="A7164" s="235"/>
      <c r="B7164" s="238"/>
      <c r="C7164" s="155" t="s">
        <v>825</v>
      </c>
      <c r="D7164" s="155" t="s">
        <v>587</v>
      </c>
      <c r="E7164" s="130" t="e">
        <f>IF(#REF!="Desonerado",ROUND(220/(1+82.01%),4),ROUND(220/(1+110.69%),4))</f>
        <v>#REF!</v>
      </c>
      <c r="F7164" s="28">
        <v>24.9375</v>
      </c>
      <c r="G7164" s="31" t="e">
        <f>IF(ISNUMBER(F7164),E7164*F7164,"")</f>
        <v>#REF!</v>
      </c>
      <c r="H7164" s="35" t="e">
        <f>SUM(G7164:G7164)</f>
        <v>#REF!</v>
      </c>
      <c r="I7164" s="36"/>
      <c r="J7164" s="125">
        <v>0</v>
      </c>
    </row>
    <row r="7165" spans="1:10" ht="15.75" hidden="1" thickBot="1" x14ac:dyDescent="0.3">
      <c r="A7165" s="235"/>
      <c r="B7165" s="238"/>
      <c r="C7165" s="155"/>
      <c r="D7165" s="42"/>
      <c r="E7165" s="34"/>
      <c r="F7165" s="28" t="s">
        <v>418</v>
      </c>
      <c r="G7165" s="31" t="str">
        <f>IF(ISNUMBER(F7165),E7165*F7165,"")</f>
        <v/>
      </c>
      <c r="H7165" s="32"/>
      <c r="I7165" s="36"/>
      <c r="J7165" s="125">
        <v>0</v>
      </c>
    </row>
    <row r="7166" spans="1:10" ht="26.25" hidden="1" thickBot="1" x14ac:dyDescent="0.3">
      <c r="A7166" s="235"/>
      <c r="B7166" s="238"/>
      <c r="C7166" s="43" t="s">
        <v>657</v>
      </c>
      <c r="D7166" s="42"/>
      <c r="E7166" s="34"/>
      <c r="F7166" s="28" t="s">
        <v>418</v>
      </c>
      <c r="G7166" s="31" t="str">
        <f>IF(ISNUMBER(F7166),E7166*F7166,"")</f>
        <v/>
      </c>
      <c r="H7166" s="32"/>
      <c r="I7166" s="36"/>
      <c r="J7166" s="125">
        <v>0</v>
      </c>
    </row>
    <row r="7167" spans="1:10" ht="15.75" hidden="1" thickBot="1" x14ac:dyDescent="0.3">
      <c r="A7167" s="236"/>
      <c r="B7167" s="239"/>
      <c r="C7167" s="155"/>
      <c r="D7167" s="33"/>
      <c r="E7167" s="34"/>
      <c r="F7167" s="28" t="s">
        <v>418</v>
      </c>
      <c r="G7167" s="31" t="str">
        <f>IF(ISNUMBER(F7167),E7167*F7167,"")</f>
        <v/>
      </c>
      <c r="H7167" s="32"/>
      <c r="I7167" s="28"/>
      <c r="J7167" s="125">
        <v>0</v>
      </c>
    </row>
    <row r="7168" spans="1:10" ht="15.75" hidden="1" thickBot="1" x14ac:dyDescent="0.3">
      <c r="A7168" s="234" t="s">
        <v>15478</v>
      </c>
      <c r="B7168" s="237" t="s">
        <v>15479</v>
      </c>
      <c r="C7168" s="160"/>
      <c r="D7168" s="23" t="s">
        <v>1628</v>
      </c>
      <c r="E7168" s="24"/>
      <c r="F7168" s="37" t="s">
        <v>418</v>
      </c>
      <c r="G7168" s="25" t="str">
        <f>IF(ISNUMBER(F7168),E7168*F7168,"")</f>
        <v/>
      </c>
      <c r="H7168" s="26"/>
      <c r="I7168" s="27"/>
      <c r="J7168" s="125">
        <v>0</v>
      </c>
    </row>
    <row r="7169" spans="1:10" ht="15.75" hidden="1" thickBot="1" x14ac:dyDescent="0.3">
      <c r="A7169" s="235"/>
      <c r="B7169" s="238"/>
      <c r="C7169" s="151"/>
      <c r="D7169" s="29"/>
      <c r="E7169" s="30"/>
      <c r="F7169" s="38" t="s">
        <v>418</v>
      </c>
      <c r="G7169" s="31" t="str">
        <f>IF(ISNUMBER(F7169),E7169*F7169,"")</f>
        <v/>
      </c>
      <c r="H7169" s="32"/>
      <c r="I7169" s="28"/>
      <c r="J7169" s="125">
        <v>0</v>
      </c>
    </row>
    <row r="7170" spans="1:10" ht="15.75" hidden="1" thickBot="1" x14ac:dyDescent="0.3">
      <c r="A7170" s="235"/>
      <c r="B7170" s="238"/>
      <c r="C7170" s="155" t="s">
        <v>25714</v>
      </c>
      <c r="D7170" s="155" t="s">
        <v>587</v>
      </c>
      <c r="E7170" s="130" t="e">
        <f>IF(#REF!="Desonerado",ROUND(220/(1+82.01%),4),ROUND(220/(1+110.69%),4))</f>
        <v>#REF!</v>
      </c>
      <c r="F7170" s="28">
        <v>18.040499999999998</v>
      </c>
      <c r="G7170" s="31" t="e">
        <f>IF(ISNUMBER(F7170),E7170*F7170,"")</f>
        <v>#REF!</v>
      </c>
      <c r="H7170" s="35" t="e">
        <f>SUM(G7170:G7170)</f>
        <v>#REF!</v>
      </c>
      <c r="I7170" s="36"/>
      <c r="J7170" s="125">
        <v>0</v>
      </c>
    </row>
    <row r="7171" spans="1:10" ht="15.75" hidden="1" thickBot="1" x14ac:dyDescent="0.3">
      <c r="A7171" s="235"/>
      <c r="B7171" s="238"/>
      <c r="C7171" s="155"/>
      <c r="D7171" s="42"/>
      <c r="E7171" s="34"/>
      <c r="F7171" s="28" t="s">
        <v>418</v>
      </c>
      <c r="G7171" s="31" t="str">
        <f>IF(ISNUMBER(F7171),E7171*F7171,"")</f>
        <v/>
      </c>
      <c r="H7171" s="32"/>
      <c r="I7171" s="36"/>
      <c r="J7171" s="125">
        <v>0</v>
      </c>
    </row>
    <row r="7172" spans="1:10" ht="26.25" hidden="1" thickBot="1" x14ac:dyDescent="0.3">
      <c r="A7172" s="235"/>
      <c r="B7172" s="238"/>
      <c r="C7172" s="43" t="s">
        <v>657</v>
      </c>
      <c r="D7172" s="42"/>
      <c r="E7172" s="34"/>
      <c r="F7172" s="28" t="s">
        <v>418</v>
      </c>
      <c r="G7172" s="31" t="str">
        <f>IF(ISNUMBER(F7172),E7172*F7172,"")</f>
        <v/>
      </c>
      <c r="H7172" s="32"/>
      <c r="I7172" s="36"/>
      <c r="J7172" s="125">
        <v>0</v>
      </c>
    </row>
    <row r="7173" spans="1:10" ht="15.75" hidden="1" thickBot="1" x14ac:dyDescent="0.3">
      <c r="A7173" s="236"/>
      <c r="B7173" s="239"/>
      <c r="C7173" s="155"/>
      <c r="D7173" s="33"/>
      <c r="E7173" s="34"/>
      <c r="F7173" s="28" t="s">
        <v>418</v>
      </c>
      <c r="G7173" s="31" t="str">
        <f>IF(ISNUMBER(F7173),E7173*F7173,"")</f>
        <v/>
      </c>
      <c r="H7173" s="32"/>
      <c r="I7173" s="28"/>
      <c r="J7173" s="125">
        <v>0</v>
      </c>
    </row>
    <row r="7174" spans="1:10" ht="15.75" hidden="1" thickBot="1" x14ac:dyDescent="0.3">
      <c r="A7174" s="234" t="s">
        <v>15480</v>
      </c>
      <c r="B7174" s="237" t="s">
        <v>15481</v>
      </c>
      <c r="C7174" s="160"/>
      <c r="D7174" s="23" t="s">
        <v>1628</v>
      </c>
      <c r="E7174" s="24"/>
      <c r="F7174" s="37" t="s">
        <v>418</v>
      </c>
      <c r="G7174" s="25" t="str">
        <f>IF(ISNUMBER(F7174),E7174*F7174,"")</f>
        <v/>
      </c>
      <c r="H7174" s="26"/>
      <c r="I7174" s="27"/>
      <c r="J7174" s="125">
        <v>0</v>
      </c>
    </row>
    <row r="7175" spans="1:10" ht="15.75" hidden="1" thickBot="1" x14ac:dyDescent="0.3">
      <c r="A7175" s="235"/>
      <c r="B7175" s="238"/>
      <c r="C7175" s="135"/>
      <c r="D7175" s="29"/>
      <c r="E7175" s="30"/>
      <c r="F7175" s="38" t="s">
        <v>418</v>
      </c>
      <c r="G7175" s="31" t="str">
        <f>IF(ISNUMBER(F7175),E7175*F7175,"")</f>
        <v/>
      </c>
      <c r="H7175" s="32"/>
      <c r="I7175" s="28"/>
      <c r="J7175" s="125">
        <v>0</v>
      </c>
    </row>
    <row r="7176" spans="1:10" ht="26.25" hidden="1" thickBot="1" x14ac:dyDescent="0.3">
      <c r="A7176" s="235"/>
      <c r="B7176" s="238"/>
      <c r="C7176" s="155" t="s">
        <v>825</v>
      </c>
      <c r="D7176" s="155" t="s">
        <v>587</v>
      </c>
      <c r="E7176" s="130" t="e">
        <f>IF(#REF!="Desonerado",ROUND(220/(1+82.01%),4),ROUND(220/(1+110.69%),4))</f>
        <v>#REF!</v>
      </c>
      <c r="F7176" s="28">
        <v>24.9375</v>
      </c>
      <c r="G7176" s="31" t="e">
        <f>IF(ISNUMBER(F7176),E7176*F7176,"")</f>
        <v>#REF!</v>
      </c>
      <c r="H7176" s="35" t="e">
        <f>SUM(G7176:G7176)</f>
        <v>#REF!</v>
      </c>
      <c r="I7176" s="36"/>
      <c r="J7176" s="125">
        <v>0</v>
      </c>
    </row>
    <row r="7177" spans="1:10" ht="15.75" hidden="1" thickBot="1" x14ac:dyDescent="0.3">
      <c r="A7177" s="235"/>
      <c r="B7177" s="238"/>
      <c r="C7177" s="135"/>
      <c r="D7177" s="42"/>
      <c r="E7177" s="34"/>
      <c r="F7177" s="28" t="s">
        <v>418</v>
      </c>
      <c r="G7177" s="31" t="str">
        <f>IF(ISNUMBER(F7177),E7177*F7177,"")</f>
        <v/>
      </c>
      <c r="H7177" s="32"/>
      <c r="I7177" s="36"/>
      <c r="J7177" s="125">
        <v>0</v>
      </c>
    </row>
    <row r="7178" spans="1:10" ht="26.25" hidden="1" thickBot="1" x14ac:dyDescent="0.3">
      <c r="A7178" s="235"/>
      <c r="B7178" s="238"/>
      <c r="C7178" s="43" t="s">
        <v>657</v>
      </c>
      <c r="D7178" s="42"/>
      <c r="E7178" s="34"/>
      <c r="F7178" s="28" t="s">
        <v>418</v>
      </c>
      <c r="G7178" s="31" t="str">
        <f>IF(ISNUMBER(F7178),E7178*F7178,"")</f>
        <v/>
      </c>
      <c r="H7178" s="32"/>
      <c r="I7178" s="36"/>
      <c r="J7178" s="125">
        <v>0</v>
      </c>
    </row>
    <row r="7179" spans="1:10" ht="15.75" hidden="1" thickBot="1" x14ac:dyDescent="0.3">
      <c r="A7179" s="236"/>
      <c r="B7179" s="239"/>
      <c r="C7179" s="164"/>
      <c r="D7179" s="33"/>
      <c r="E7179" s="34"/>
      <c r="F7179" s="28" t="s">
        <v>418</v>
      </c>
      <c r="G7179" s="31" t="str">
        <f>IF(ISNUMBER(F7179),E7179*F7179,"")</f>
        <v/>
      </c>
      <c r="H7179" s="32"/>
      <c r="I7179" s="28"/>
      <c r="J7179" s="125">
        <v>0</v>
      </c>
    </row>
    <row r="7180" spans="1:10" ht="15.75" hidden="1" thickBot="1" x14ac:dyDescent="0.3">
      <c r="A7180" s="234" t="s">
        <v>15482</v>
      </c>
      <c r="B7180" s="237" t="s">
        <v>15483</v>
      </c>
      <c r="C7180" s="160"/>
      <c r="D7180" s="23" t="s">
        <v>1628</v>
      </c>
      <c r="E7180" s="24"/>
      <c r="F7180" s="37" t="s">
        <v>418</v>
      </c>
      <c r="G7180" s="25" t="str">
        <f>IF(ISNUMBER(F7180),E7180*F7180,"")</f>
        <v/>
      </c>
      <c r="H7180" s="26"/>
      <c r="I7180" s="27"/>
      <c r="J7180" s="125">
        <v>0</v>
      </c>
    </row>
    <row r="7181" spans="1:10" ht="15.75" hidden="1" thickBot="1" x14ac:dyDescent="0.3">
      <c r="A7181" s="235"/>
      <c r="B7181" s="238"/>
      <c r="C7181" s="135"/>
      <c r="D7181" s="29"/>
      <c r="E7181" s="30"/>
      <c r="F7181" s="38" t="s">
        <v>418</v>
      </c>
      <c r="G7181" s="31" t="str">
        <f>IF(ISNUMBER(F7181),E7181*F7181,"")</f>
        <v/>
      </c>
      <c r="H7181" s="32"/>
      <c r="I7181" s="28"/>
      <c r="J7181" s="125">
        <v>0</v>
      </c>
    </row>
    <row r="7182" spans="1:10" ht="26.25" hidden="1" thickBot="1" x14ac:dyDescent="0.3">
      <c r="A7182" s="235"/>
      <c r="B7182" s="238"/>
      <c r="C7182" s="155" t="s">
        <v>825</v>
      </c>
      <c r="D7182" s="155" t="s">
        <v>587</v>
      </c>
      <c r="E7182" s="130" t="e">
        <f>IF(#REF!="Desonerado",ROUND(220/(1+82.01%),4),ROUND(220/(1+110.69%),4))</f>
        <v>#REF!</v>
      </c>
      <c r="F7182" s="28">
        <v>24.9375</v>
      </c>
      <c r="G7182" s="31" t="e">
        <f>IF(ISNUMBER(F7182),E7182*F7182,"")</f>
        <v>#REF!</v>
      </c>
      <c r="H7182" s="35" t="e">
        <f>SUM(G7182:G7182)</f>
        <v>#REF!</v>
      </c>
      <c r="I7182" s="36"/>
      <c r="J7182" s="125">
        <v>0</v>
      </c>
    </row>
    <row r="7183" spans="1:10" ht="15.75" hidden="1" thickBot="1" x14ac:dyDescent="0.3">
      <c r="A7183" s="235"/>
      <c r="B7183" s="238"/>
      <c r="C7183" s="135"/>
      <c r="D7183" s="42"/>
      <c r="E7183" s="34"/>
      <c r="F7183" s="28" t="s">
        <v>418</v>
      </c>
      <c r="G7183" s="31" t="str">
        <f>IF(ISNUMBER(F7183),E7183*F7183,"")</f>
        <v/>
      </c>
      <c r="H7183" s="32"/>
      <c r="I7183" s="36"/>
      <c r="J7183" s="125">
        <v>0</v>
      </c>
    </row>
    <row r="7184" spans="1:10" ht="26.25" hidden="1" thickBot="1" x14ac:dyDescent="0.3">
      <c r="A7184" s="235"/>
      <c r="B7184" s="238"/>
      <c r="C7184" s="43" t="s">
        <v>657</v>
      </c>
      <c r="D7184" s="42"/>
      <c r="E7184" s="34"/>
      <c r="F7184" s="28" t="s">
        <v>418</v>
      </c>
      <c r="G7184" s="31" t="str">
        <f>IF(ISNUMBER(F7184),E7184*F7184,"")</f>
        <v/>
      </c>
      <c r="H7184" s="32"/>
      <c r="I7184" s="36"/>
      <c r="J7184" s="125">
        <v>0</v>
      </c>
    </row>
    <row r="7185" spans="1:10" ht="15.75" hidden="1" thickBot="1" x14ac:dyDescent="0.3">
      <c r="A7185" s="236"/>
      <c r="B7185" s="239"/>
      <c r="C7185" s="164"/>
      <c r="D7185" s="33"/>
      <c r="E7185" s="34"/>
      <c r="F7185" s="28" t="s">
        <v>418</v>
      </c>
      <c r="G7185" s="31" t="str">
        <f>IF(ISNUMBER(F7185),E7185*F7185,"")</f>
        <v/>
      </c>
      <c r="H7185" s="32"/>
      <c r="I7185" s="28"/>
      <c r="J7185" s="125">
        <v>0</v>
      </c>
    </row>
    <row r="7186" spans="1:10" ht="15.75" hidden="1" thickBot="1" x14ac:dyDescent="0.3">
      <c r="A7186" s="234" t="s">
        <v>15484</v>
      </c>
      <c r="B7186" s="237" t="s">
        <v>15485</v>
      </c>
      <c r="C7186" s="160"/>
      <c r="D7186" s="23" t="s">
        <v>1628</v>
      </c>
      <c r="E7186" s="24"/>
      <c r="F7186" s="37" t="s">
        <v>418</v>
      </c>
      <c r="G7186" s="25" t="str">
        <f>IF(ISNUMBER(F7186),E7186*F7186,"")</f>
        <v/>
      </c>
      <c r="H7186" s="26"/>
      <c r="I7186" s="27"/>
      <c r="J7186" s="125">
        <v>0</v>
      </c>
    </row>
    <row r="7187" spans="1:10" ht="15.75" hidden="1" thickBot="1" x14ac:dyDescent="0.3">
      <c r="A7187" s="235"/>
      <c r="B7187" s="238"/>
      <c r="C7187" s="135"/>
      <c r="D7187" s="29"/>
      <c r="E7187" s="30"/>
      <c r="F7187" s="38" t="s">
        <v>418</v>
      </c>
      <c r="G7187" s="31" t="str">
        <f>IF(ISNUMBER(F7187),E7187*F7187,"")</f>
        <v/>
      </c>
      <c r="H7187" s="32"/>
      <c r="I7187" s="28"/>
      <c r="J7187" s="125">
        <v>0</v>
      </c>
    </row>
    <row r="7188" spans="1:10" ht="26.25" hidden="1" thickBot="1" x14ac:dyDescent="0.3">
      <c r="A7188" s="235"/>
      <c r="B7188" s="238"/>
      <c r="C7188" s="155" t="s">
        <v>824</v>
      </c>
      <c r="D7188" s="155" t="s">
        <v>587</v>
      </c>
      <c r="E7188" s="130" t="e">
        <f>IF(#REF!="Desonerado",ROUND(220/(1+82.01%),4),ROUND(220/(1+110.69%),4))</f>
        <v>#REF!</v>
      </c>
      <c r="F7188" s="28">
        <v>18.6295</v>
      </c>
      <c r="G7188" s="31" t="e">
        <f>IF(ISNUMBER(F7188),E7188*F7188,"")</f>
        <v>#REF!</v>
      </c>
      <c r="H7188" s="35" t="e">
        <f>SUM(G7188:G7188)</f>
        <v>#REF!</v>
      </c>
      <c r="I7188" s="36"/>
      <c r="J7188" s="125">
        <v>0</v>
      </c>
    </row>
    <row r="7189" spans="1:10" ht="15.75" hidden="1" thickBot="1" x14ac:dyDescent="0.3">
      <c r="A7189" s="235"/>
      <c r="B7189" s="238"/>
      <c r="C7189" s="135"/>
      <c r="D7189" s="42"/>
      <c r="E7189" s="34"/>
      <c r="F7189" s="28" t="s">
        <v>418</v>
      </c>
      <c r="G7189" s="31" t="str">
        <f>IF(ISNUMBER(F7189),E7189*F7189,"")</f>
        <v/>
      </c>
      <c r="H7189" s="32"/>
      <c r="I7189" s="36"/>
      <c r="J7189" s="125">
        <v>0</v>
      </c>
    </row>
    <row r="7190" spans="1:10" ht="26.25" hidden="1" thickBot="1" x14ac:dyDescent="0.3">
      <c r="A7190" s="235"/>
      <c r="B7190" s="238"/>
      <c r="C7190" s="43" t="s">
        <v>657</v>
      </c>
      <c r="D7190" s="42"/>
      <c r="E7190" s="34"/>
      <c r="F7190" s="28" t="s">
        <v>418</v>
      </c>
      <c r="G7190" s="31" t="str">
        <f>IF(ISNUMBER(F7190),E7190*F7190,"")</f>
        <v/>
      </c>
      <c r="H7190" s="32"/>
      <c r="I7190" s="36"/>
      <c r="J7190" s="125">
        <v>0</v>
      </c>
    </row>
    <row r="7191" spans="1:10" ht="15.75" hidden="1" thickBot="1" x14ac:dyDescent="0.3">
      <c r="A7191" s="236"/>
      <c r="B7191" s="239"/>
      <c r="C7191" s="164"/>
      <c r="D7191" s="33"/>
      <c r="E7191" s="34"/>
      <c r="F7191" s="28" t="s">
        <v>418</v>
      </c>
      <c r="G7191" s="31" t="str">
        <f>IF(ISNUMBER(F7191),E7191*F7191,"")</f>
        <v/>
      </c>
      <c r="H7191" s="32"/>
      <c r="I7191" s="28"/>
      <c r="J7191" s="125">
        <v>0</v>
      </c>
    </row>
    <row r="7192" spans="1:10" ht="15.75" hidden="1" thickBot="1" x14ac:dyDescent="0.3">
      <c r="A7192" s="234" t="s">
        <v>15486</v>
      </c>
      <c r="B7192" s="237" t="s">
        <v>15487</v>
      </c>
      <c r="C7192" s="160"/>
      <c r="D7192" s="23" t="s">
        <v>1628</v>
      </c>
      <c r="E7192" s="24"/>
      <c r="F7192" s="37" t="s">
        <v>418</v>
      </c>
      <c r="G7192" s="25" t="str">
        <f>IF(ISNUMBER(F7192),E7192*F7192,"")</f>
        <v/>
      </c>
      <c r="H7192" s="26"/>
      <c r="I7192" s="27"/>
      <c r="J7192" s="125">
        <v>0</v>
      </c>
    </row>
    <row r="7193" spans="1:10" ht="15.75" hidden="1" thickBot="1" x14ac:dyDescent="0.3">
      <c r="A7193" s="235"/>
      <c r="B7193" s="238"/>
      <c r="C7193" s="135"/>
      <c r="D7193" s="29"/>
      <c r="E7193" s="30"/>
      <c r="F7193" s="38" t="s">
        <v>418</v>
      </c>
      <c r="G7193" s="31" t="str">
        <f>IF(ISNUMBER(F7193),E7193*F7193,"")</f>
        <v/>
      </c>
      <c r="H7193" s="32"/>
      <c r="I7193" s="28"/>
      <c r="J7193" s="125">
        <v>0</v>
      </c>
    </row>
    <row r="7194" spans="1:10" ht="26.25" hidden="1" thickBot="1" x14ac:dyDescent="0.3">
      <c r="A7194" s="235"/>
      <c r="B7194" s="238"/>
      <c r="C7194" s="155" t="s">
        <v>824</v>
      </c>
      <c r="D7194" s="155" t="s">
        <v>587</v>
      </c>
      <c r="E7194" s="130" t="e">
        <f>IF(#REF!="Desonerado",ROUND(220/(1+82.01%),4),ROUND(220/(1+110.69%),4))</f>
        <v>#REF!</v>
      </c>
      <c r="F7194" s="28">
        <v>18.6295</v>
      </c>
      <c r="G7194" s="31" t="e">
        <f>IF(ISNUMBER(F7194),E7194*F7194,"")</f>
        <v>#REF!</v>
      </c>
      <c r="H7194" s="35" t="e">
        <f>SUM(G7194:G7194)</f>
        <v>#REF!</v>
      </c>
      <c r="I7194" s="36"/>
      <c r="J7194" s="125">
        <v>0</v>
      </c>
    </row>
    <row r="7195" spans="1:10" ht="15.75" hidden="1" thickBot="1" x14ac:dyDescent="0.3">
      <c r="A7195" s="235"/>
      <c r="B7195" s="238"/>
      <c r="C7195" s="135"/>
      <c r="D7195" s="42"/>
      <c r="E7195" s="34"/>
      <c r="F7195" s="28" t="s">
        <v>418</v>
      </c>
      <c r="G7195" s="31" t="str">
        <f>IF(ISNUMBER(F7195),E7195*F7195,"")</f>
        <v/>
      </c>
      <c r="H7195" s="32"/>
      <c r="I7195" s="36"/>
      <c r="J7195" s="125">
        <v>0</v>
      </c>
    </row>
    <row r="7196" spans="1:10" ht="26.25" hidden="1" thickBot="1" x14ac:dyDescent="0.3">
      <c r="A7196" s="235"/>
      <c r="B7196" s="238"/>
      <c r="C7196" s="43" t="s">
        <v>657</v>
      </c>
      <c r="D7196" s="42"/>
      <c r="E7196" s="34"/>
      <c r="F7196" s="28" t="s">
        <v>418</v>
      </c>
      <c r="G7196" s="31" t="str">
        <f>IF(ISNUMBER(F7196),E7196*F7196,"")</f>
        <v/>
      </c>
      <c r="H7196" s="32"/>
      <c r="I7196" s="36"/>
      <c r="J7196" s="125">
        <v>0</v>
      </c>
    </row>
    <row r="7197" spans="1:10" ht="15.75" hidden="1" thickBot="1" x14ac:dyDescent="0.3">
      <c r="A7197" s="236"/>
      <c r="B7197" s="239"/>
      <c r="C7197" s="164"/>
      <c r="D7197" s="33"/>
      <c r="E7197" s="34"/>
      <c r="F7197" s="28" t="s">
        <v>418</v>
      </c>
      <c r="G7197" s="31" t="str">
        <f>IF(ISNUMBER(F7197),E7197*F7197,"")</f>
        <v/>
      </c>
      <c r="H7197" s="32"/>
      <c r="I7197" s="28"/>
      <c r="J7197" s="125">
        <v>0</v>
      </c>
    </row>
    <row r="7198" spans="1:10" ht="15.75" hidden="1" thickBot="1" x14ac:dyDescent="0.3">
      <c r="A7198" s="234" t="s">
        <v>15488</v>
      </c>
      <c r="B7198" s="237" t="s">
        <v>15489</v>
      </c>
      <c r="C7198" s="160"/>
      <c r="D7198" s="23" t="s">
        <v>1628</v>
      </c>
      <c r="E7198" s="24"/>
      <c r="F7198" s="37" t="s">
        <v>418</v>
      </c>
      <c r="G7198" s="25" t="str">
        <f>IF(ISNUMBER(F7198),E7198*F7198,"")</f>
        <v/>
      </c>
      <c r="H7198" s="26"/>
      <c r="I7198" s="27"/>
      <c r="J7198" s="125">
        <v>0</v>
      </c>
    </row>
    <row r="7199" spans="1:10" ht="15.75" hidden="1" thickBot="1" x14ac:dyDescent="0.3">
      <c r="A7199" s="235"/>
      <c r="B7199" s="238"/>
      <c r="C7199" s="135"/>
      <c r="D7199" s="29"/>
      <c r="E7199" s="30"/>
      <c r="F7199" s="38" t="s">
        <v>418</v>
      </c>
      <c r="G7199" s="31" t="str">
        <f>IF(ISNUMBER(F7199),E7199*F7199,"")</f>
        <v/>
      </c>
      <c r="H7199" s="32"/>
      <c r="I7199" s="28"/>
      <c r="J7199" s="125">
        <v>0</v>
      </c>
    </row>
    <row r="7200" spans="1:10" ht="26.25" hidden="1" thickBot="1" x14ac:dyDescent="0.3">
      <c r="A7200" s="235"/>
      <c r="B7200" s="238"/>
      <c r="C7200" s="155" t="s">
        <v>824</v>
      </c>
      <c r="D7200" s="155" t="s">
        <v>587</v>
      </c>
      <c r="E7200" s="130" t="e">
        <f>IF(#REF!="Desonerado",ROUND(220/(1+82.01%),4),ROUND(220/(1+110.69%),4))</f>
        <v>#REF!</v>
      </c>
      <c r="F7200" s="28">
        <v>18.6295</v>
      </c>
      <c r="G7200" s="31" t="e">
        <f>IF(ISNUMBER(F7200),E7200*F7200,"")</f>
        <v>#REF!</v>
      </c>
      <c r="H7200" s="35" t="e">
        <f>SUM(G7200:G7200)</f>
        <v>#REF!</v>
      </c>
      <c r="I7200" s="36"/>
      <c r="J7200" s="125">
        <v>0</v>
      </c>
    </row>
    <row r="7201" spans="1:10" ht="15.75" hidden="1" thickBot="1" x14ac:dyDescent="0.3">
      <c r="A7201" s="235"/>
      <c r="B7201" s="238"/>
      <c r="C7201" s="135"/>
      <c r="D7201" s="42"/>
      <c r="E7201" s="34"/>
      <c r="F7201" s="28" t="s">
        <v>418</v>
      </c>
      <c r="G7201" s="31" t="str">
        <f>IF(ISNUMBER(F7201),E7201*F7201,"")</f>
        <v/>
      </c>
      <c r="H7201" s="32"/>
      <c r="I7201" s="36"/>
      <c r="J7201" s="125">
        <v>0</v>
      </c>
    </row>
    <row r="7202" spans="1:10" ht="26.25" hidden="1" thickBot="1" x14ac:dyDescent="0.3">
      <c r="A7202" s="235"/>
      <c r="B7202" s="238"/>
      <c r="C7202" s="43" t="s">
        <v>657</v>
      </c>
      <c r="D7202" s="42"/>
      <c r="E7202" s="34"/>
      <c r="F7202" s="28" t="s">
        <v>418</v>
      </c>
      <c r="G7202" s="31" t="str">
        <f>IF(ISNUMBER(F7202),E7202*F7202,"")</f>
        <v/>
      </c>
      <c r="H7202" s="32"/>
      <c r="I7202" s="36"/>
      <c r="J7202" s="125">
        <v>0</v>
      </c>
    </row>
    <row r="7203" spans="1:10" ht="15.75" hidden="1" thickBot="1" x14ac:dyDescent="0.3">
      <c r="A7203" s="236"/>
      <c r="B7203" s="239"/>
      <c r="C7203" s="164"/>
      <c r="D7203" s="33"/>
      <c r="E7203" s="34"/>
      <c r="F7203" s="28" t="s">
        <v>418</v>
      </c>
      <c r="G7203" s="31" t="str">
        <f>IF(ISNUMBER(F7203),E7203*F7203,"")</f>
        <v/>
      </c>
      <c r="H7203" s="32"/>
      <c r="I7203" s="28"/>
      <c r="J7203" s="125">
        <v>0</v>
      </c>
    </row>
    <row r="7204" spans="1:10" ht="15.75" hidden="1" thickBot="1" x14ac:dyDescent="0.3">
      <c r="A7204" s="234" t="s">
        <v>15490</v>
      </c>
      <c r="B7204" s="237" t="s">
        <v>19596</v>
      </c>
      <c r="C7204" s="160"/>
      <c r="D7204" s="23" t="s">
        <v>16</v>
      </c>
      <c r="E7204" s="24"/>
      <c r="F7204" s="37" t="s">
        <v>418</v>
      </c>
      <c r="G7204" s="25" t="str">
        <f>IF(ISNUMBER(F7204),E7204*F7204,"")</f>
        <v/>
      </c>
      <c r="H7204" s="26"/>
      <c r="I7204" s="27"/>
      <c r="J7204" s="125">
        <v>0</v>
      </c>
    </row>
    <row r="7205" spans="1:10" ht="15.75" hidden="1" thickBot="1" x14ac:dyDescent="0.3">
      <c r="A7205" s="235"/>
      <c r="B7205" s="240"/>
      <c r="C7205" s="151"/>
      <c r="D7205" s="29"/>
      <c r="E7205" s="30"/>
      <c r="F7205" s="38" t="s">
        <v>418</v>
      </c>
      <c r="G7205" s="28" t="str">
        <f>IF(ISNUMBER(F7205),E7205*F7205,"")</f>
        <v/>
      </c>
      <c r="H7205" s="32"/>
      <c r="I7205" s="28"/>
      <c r="J7205" s="125">
        <v>0</v>
      </c>
    </row>
    <row r="7206" spans="1:10" ht="39" hidden="1" thickBot="1" x14ac:dyDescent="0.3">
      <c r="A7206" s="235"/>
      <c r="B7206" s="240"/>
      <c r="C7206" s="155" t="s">
        <v>26380</v>
      </c>
      <c r="D7206" s="155" t="s">
        <v>205</v>
      </c>
      <c r="E7206" s="130">
        <v>1</v>
      </c>
      <c r="F7206" s="28">
        <v>905.22649999999999</v>
      </c>
      <c r="G7206" s="28">
        <f>IF(ISNUMBER(F7206),E7206*F7206,"")</f>
        <v>905.22649999999999</v>
      </c>
      <c r="H7206" s="35">
        <f t="shared" si="72"/>
        <v>905.22649999999999</v>
      </c>
      <c r="I7206" s="36"/>
      <c r="J7206" s="125">
        <v>0</v>
      </c>
    </row>
    <row r="7207" spans="1:10" ht="15.75" hidden="1" thickBot="1" x14ac:dyDescent="0.3">
      <c r="A7207" s="236"/>
      <c r="B7207" s="239"/>
      <c r="C7207" s="164"/>
      <c r="D7207" s="50"/>
      <c r="E7207" s="61"/>
      <c r="F7207" s="62" t="s">
        <v>418</v>
      </c>
      <c r="G7207" s="62" t="str">
        <f>IF(ISNUMBER(F7207),E7207*F7207,"")</f>
        <v/>
      </c>
      <c r="H7207" s="64"/>
      <c r="I7207" s="28"/>
      <c r="J7207" s="125">
        <v>0</v>
      </c>
    </row>
    <row r="7208" spans="1:10" ht="15.75" hidden="1" thickBot="1" x14ac:dyDescent="0.3">
      <c r="A7208" s="234" t="s">
        <v>15491</v>
      </c>
      <c r="B7208" s="237" t="s">
        <v>15492</v>
      </c>
      <c r="C7208" s="160"/>
      <c r="D7208" s="23" t="s">
        <v>16</v>
      </c>
      <c r="E7208" s="24"/>
      <c r="F7208" s="37" t="s">
        <v>418</v>
      </c>
      <c r="G7208" s="25" t="str">
        <f>IF(ISNUMBER(F7208),E7208*F7208,"")</f>
        <v/>
      </c>
      <c r="H7208" s="26"/>
      <c r="I7208" s="27"/>
      <c r="J7208" s="125">
        <v>0</v>
      </c>
    </row>
    <row r="7209" spans="1:10" ht="15.75" hidden="1" thickBot="1" x14ac:dyDescent="0.3">
      <c r="A7209" s="235"/>
      <c r="B7209" s="240"/>
      <c r="C7209" s="151"/>
      <c r="D7209" s="29"/>
      <c r="E7209" s="30"/>
      <c r="F7209" s="38" t="s">
        <v>418</v>
      </c>
      <c r="G7209" s="28" t="str">
        <f>IF(ISNUMBER(F7209),E7209*F7209,"")</f>
        <v/>
      </c>
      <c r="H7209" s="32"/>
      <c r="I7209" s="28"/>
      <c r="J7209" s="125">
        <v>0</v>
      </c>
    </row>
    <row r="7210" spans="1:10" ht="26.25" hidden="1" thickBot="1" x14ac:dyDescent="0.3">
      <c r="A7210" s="235"/>
      <c r="B7210" s="240"/>
      <c r="C7210" s="155" t="s">
        <v>26389</v>
      </c>
      <c r="D7210" s="155" t="s">
        <v>205</v>
      </c>
      <c r="E7210" s="130">
        <v>1</v>
      </c>
      <c r="F7210" s="28">
        <v>172.62450000000001</v>
      </c>
      <c r="G7210" s="28">
        <f>IF(ISNUMBER(F7210),E7210*F7210,"")</f>
        <v>172.62450000000001</v>
      </c>
      <c r="H7210" s="35">
        <f t="shared" si="72"/>
        <v>172.62450000000001</v>
      </c>
      <c r="I7210" s="36"/>
      <c r="J7210" s="125">
        <v>0</v>
      </c>
    </row>
    <row r="7211" spans="1:10" ht="15.75" hidden="1" thickBot="1" x14ac:dyDescent="0.3">
      <c r="A7211" s="236"/>
      <c r="B7211" s="239"/>
      <c r="C7211" s="164"/>
      <c r="D7211" s="50"/>
      <c r="E7211" s="61"/>
      <c r="F7211" s="62" t="s">
        <v>418</v>
      </c>
      <c r="G7211" s="62" t="str">
        <f>IF(ISNUMBER(F7211),E7211*F7211,"")</f>
        <v/>
      </c>
      <c r="H7211" s="64"/>
      <c r="I7211" s="28"/>
      <c r="J7211" s="125">
        <v>0</v>
      </c>
    </row>
    <row r="7212" spans="1:10" ht="15.75" hidden="1" thickBot="1" x14ac:dyDescent="0.3">
      <c r="A7212" s="234" t="s">
        <v>15493</v>
      </c>
      <c r="B7212" s="237" t="s">
        <v>19595</v>
      </c>
      <c r="C7212" s="160"/>
      <c r="D7212" s="23" t="s">
        <v>16</v>
      </c>
      <c r="E7212" s="24"/>
      <c r="F7212" s="37" t="s">
        <v>418</v>
      </c>
      <c r="G7212" s="25" t="str">
        <f>IF(ISNUMBER(F7212),E7212*F7212,"")</f>
        <v/>
      </c>
      <c r="H7212" s="26"/>
      <c r="I7212" s="27"/>
      <c r="J7212" s="125">
        <v>0</v>
      </c>
    </row>
    <row r="7213" spans="1:10" ht="15.75" hidden="1" thickBot="1" x14ac:dyDescent="0.3">
      <c r="A7213" s="235"/>
      <c r="B7213" s="240"/>
      <c r="C7213" s="151"/>
      <c r="D7213" s="29"/>
      <c r="E7213" s="30"/>
      <c r="F7213" s="38" t="s">
        <v>418</v>
      </c>
      <c r="G7213" s="28" t="str">
        <f>IF(ISNUMBER(F7213),E7213*F7213,"")</f>
        <v/>
      </c>
      <c r="H7213" s="32"/>
      <c r="I7213" s="28"/>
      <c r="J7213" s="125">
        <v>0</v>
      </c>
    </row>
    <row r="7214" spans="1:10" ht="26.25" hidden="1" thickBot="1" x14ac:dyDescent="0.3">
      <c r="A7214" s="235"/>
      <c r="B7214" s="240"/>
      <c r="C7214" s="155" t="s">
        <v>23992</v>
      </c>
      <c r="D7214" s="155" t="s">
        <v>205</v>
      </c>
      <c r="E7214" s="130">
        <v>1</v>
      </c>
      <c r="F7214" s="28">
        <v>60.8095</v>
      </c>
      <c r="G7214" s="28">
        <f>IF(ISNUMBER(F7214),E7214*F7214,"")</f>
        <v>60.8095</v>
      </c>
      <c r="H7214" s="35">
        <f t="shared" si="72"/>
        <v>60.8095</v>
      </c>
      <c r="I7214" s="36"/>
      <c r="J7214" s="125">
        <v>0</v>
      </c>
    </row>
    <row r="7215" spans="1:10" ht="15.75" hidden="1" thickBot="1" x14ac:dyDescent="0.3">
      <c r="A7215" s="236"/>
      <c r="B7215" s="239"/>
      <c r="C7215" s="164"/>
      <c r="D7215" s="50"/>
      <c r="E7215" s="61"/>
      <c r="F7215" s="62" t="s">
        <v>418</v>
      </c>
      <c r="G7215" s="62" t="str">
        <f>IF(ISNUMBER(F7215),E7215*F7215,"")</f>
        <v/>
      </c>
      <c r="H7215" s="64"/>
      <c r="I7215" s="28"/>
      <c r="J7215" s="125">
        <v>0</v>
      </c>
    </row>
    <row r="7216" spans="1:10" ht="15.75" hidden="1" thickBot="1" x14ac:dyDescent="0.3">
      <c r="A7216" s="234" t="s">
        <v>15494</v>
      </c>
      <c r="B7216" s="237" t="s">
        <v>15495</v>
      </c>
      <c r="C7216" s="160"/>
      <c r="D7216" s="23" t="s">
        <v>69</v>
      </c>
      <c r="E7216" s="24"/>
      <c r="F7216" s="37" t="s">
        <v>418</v>
      </c>
      <c r="G7216" s="25" t="str">
        <f>IF(ISNUMBER(F7216),E7216*F7216,"")</f>
        <v/>
      </c>
      <c r="H7216" s="26"/>
      <c r="I7216" s="27"/>
      <c r="J7216" s="125">
        <v>0</v>
      </c>
    </row>
    <row r="7217" spans="1:10" ht="15.75" hidden="1" thickBot="1" x14ac:dyDescent="0.3">
      <c r="A7217" s="235"/>
      <c r="B7217" s="240"/>
      <c r="C7217" s="151"/>
      <c r="D7217" s="29"/>
      <c r="E7217" s="30"/>
      <c r="F7217" s="38" t="s">
        <v>418</v>
      </c>
      <c r="G7217" s="28" t="str">
        <f>IF(ISNUMBER(F7217),E7217*F7217,"")</f>
        <v/>
      </c>
      <c r="H7217" s="32"/>
      <c r="I7217" s="28"/>
      <c r="J7217" s="125">
        <v>0</v>
      </c>
    </row>
    <row r="7218" spans="1:10" ht="26.25" hidden="1" thickBot="1" x14ac:dyDescent="0.3">
      <c r="A7218" s="235"/>
      <c r="B7218" s="240"/>
      <c r="C7218" s="155" t="s">
        <v>38864</v>
      </c>
      <c r="D7218" s="155" t="s">
        <v>385</v>
      </c>
      <c r="E7218" s="130">
        <v>1</v>
      </c>
      <c r="F7218" s="28">
        <v>47.946499999999993</v>
      </c>
      <c r="G7218" s="28">
        <f>IF(ISNUMBER(F7218),E7218*F7218,"")</f>
        <v>47.946499999999993</v>
      </c>
      <c r="H7218" s="35">
        <f t="shared" ref="H7218" si="73">SUM(G7218:G7218)</f>
        <v>47.946499999999993</v>
      </c>
      <c r="I7218" s="36"/>
      <c r="J7218" s="125">
        <v>0</v>
      </c>
    </row>
    <row r="7219" spans="1:10" ht="15.75" hidden="1" thickBot="1" x14ac:dyDescent="0.3">
      <c r="A7219" s="236"/>
      <c r="B7219" s="239"/>
      <c r="C7219" s="164"/>
      <c r="D7219" s="50"/>
      <c r="E7219" s="61"/>
      <c r="F7219" s="62" t="s">
        <v>418</v>
      </c>
      <c r="G7219" s="62" t="str">
        <f>IF(ISNUMBER(F7219),E7219*F7219,"")</f>
        <v/>
      </c>
      <c r="H7219" s="64"/>
      <c r="I7219" s="28"/>
      <c r="J7219" s="125">
        <v>0</v>
      </c>
    </row>
    <row r="7220" spans="1:10" ht="15.75" hidden="1" thickBot="1" x14ac:dyDescent="0.3">
      <c r="A7220" s="234" t="s">
        <v>15496</v>
      </c>
      <c r="B7220" s="237" t="s">
        <v>19792</v>
      </c>
      <c r="C7220" s="160"/>
      <c r="D7220" s="23" t="s">
        <v>16</v>
      </c>
      <c r="E7220" s="24"/>
      <c r="F7220" s="37" t="s">
        <v>418</v>
      </c>
      <c r="G7220" s="25" t="str">
        <f>IF(ISNUMBER(F7220),E7220*F7220,"")</f>
        <v/>
      </c>
      <c r="H7220" s="26"/>
      <c r="I7220" s="27"/>
      <c r="J7220" s="125">
        <v>0</v>
      </c>
    </row>
    <row r="7221" spans="1:10" ht="15.75" hidden="1" thickBot="1" x14ac:dyDescent="0.3">
      <c r="A7221" s="235"/>
      <c r="B7221" s="238"/>
      <c r="C7221" s="151"/>
      <c r="D7221" s="29"/>
      <c r="E7221" s="30"/>
      <c r="F7221" s="38" t="s">
        <v>418</v>
      </c>
      <c r="G7221" s="28" t="str">
        <f>IF(ISNUMBER(F7221),E7221*F7221,"")</f>
        <v/>
      </c>
      <c r="H7221" s="32"/>
      <c r="I7221" s="28"/>
      <c r="J7221" s="125">
        <v>0</v>
      </c>
    </row>
    <row r="7222" spans="1:10" ht="26.25" hidden="1" thickBot="1" x14ac:dyDescent="0.3">
      <c r="A7222" s="235"/>
      <c r="B7222" s="238"/>
      <c r="C7222" s="155" t="s">
        <v>9741</v>
      </c>
      <c r="D7222" s="155" t="s">
        <v>587</v>
      </c>
      <c r="E7222" s="34">
        <v>3.5</v>
      </c>
      <c r="F7222" s="28">
        <v>18.544</v>
      </c>
      <c r="G7222" s="31">
        <f>IF(ISNUMBER(F7222),E7222*F7222,"")</f>
        <v>64.903999999999996</v>
      </c>
      <c r="H7222" s="35">
        <f>SUM(G7222:G7224)</f>
        <v>159.79949999999999</v>
      </c>
      <c r="I7222" s="36"/>
      <c r="J7222" s="125">
        <v>0</v>
      </c>
    </row>
    <row r="7223" spans="1:10" ht="26.25" hidden="1" thickBot="1" x14ac:dyDescent="0.3">
      <c r="A7223" s="235"/>
      <c r="B7223" s="238"/>
      <c r="C7223" s="155" t="s">
        <v>460</v>
      </c>
      <c r="D7223" s="155" t="s">
        <v>587</v>
      </c>
      <c r="E7223" s="34">
        <v>3.5</v>
      </c>
      <c r="F7223" s="28">
        <v>27.113</v>
      </c>
      <c r="G7223" s="31">
        <f>IF(ISNUMBER(F7223),E7223*F7223,"")</f>
        <v>94.895499999999998</v>
      </c>
      <c r="H7223" s="32"/>
      <c r="I7223" s="28"/>
      <c r="J7223" s="125">
        <v>0</v>
      </c>
    </row>
    <row r="7224" spans="1:10" ht="15.75" hidden="1" thickBot="1" x14ac:dyDescent="0.3">
      <c r="A7224" s="235"/>
      <c r="B7224" s="238"/>
      <c r="C7224" s="155" t="s">
        <v>15726</v>
      </c>
      <c r="D7224" s="33" t="s">
        <v>97</v>
      </c>
      <c r="E7224" s="34">
        <v>1</v>
      </c>
      <c r="F7224" s="31" t="s">
        <v>418</v>
      </c>
      <c r="G7224" s="31" t="str">
        <f>IF(ISNUMBER(F7224),E7224*F7224,"")</f>
        <v/>
      </c>
      <c r="H7224" s="32"/>
      <c r="I7224" s="28"/>
      <c r="J7224" s="125">
        <v>0</v>
      </c>
    </row>
    <row r="7225" spans="1:10" ht="15.75" hidden="1" thickBot="1" x14ac:dyDescent="0.3">
      <c r="A7225" s="236"/>
      <c r="B7225" s="239"/>
      <c r="C7225" s="155"/>
      <c r="D7225" s="33"/>
      <c r="E7225" s="34"/>
      <c r="F7225" s="28" t="s">
        <v>418</v>
      </c>
      <c r="G7225" s="28" t="str">
        <f>IF(ISNUMBER(F7225),E7225*F7225,"")</f>
        <v/>
      </c>
      <c r="H7225" s="32"/>
      <c r="I7225" s="28"/>
      <c r="J7225" s="125">
        <v>0</v>
      </c>
    </row>
    <row r="7226" spans="1:10" ht="15.75" hidden="1" thickBot="1" x14ac:dyDescent="0.3">
      <c r="A7226" s="234" t="s">
        <v>15497</v>
      </c>
      <c r="B7226" s="237" t="s">
        <v>15725</v>
      </c>
      <c r="C7226" s="160"/>
      <c r="D7226" s="23" t="s">
        <v>16</v>
      </c>
      <c r="E7226" s="24"/>
      <c r="F7226" s="44" t="s">
        <v>418</v>
      </c>
      <c r="G7226" s="25" t="str">
        <f>IF(ISNUMBER(F7226),E7226*F7226,"")</f>
        <v/>
      </c>
      <c r="H7226" s="26"/>
      <c r="I7226" s="27"/>
      <c r="J7226" s="125">
        <v>0</v>
      </c>
    </row>
    <row r="7227" spans="1:10" ht="15.75" hidden="1" thickBot="1" x14ac:dyDescent="0.3">
      <c r="A7227" s="249"/>
      <c r="B7227" s="240"/>
      <c r="C7227" s="135"/>
      <c r="D7227" s="135"/>
      <c r="E7227" s="136"/>
      <c r="F7227" s="49" t="s">
        <v>418</v>
      </c>
      <c r="G7227" s="49" t="str">
        <f>IF(ISNUMBER(F7227),E7227*F7227,"")</f>
        <v/>
      </c>
      <c r="H7227" s="65"/>
      <c r="I7227" s="66"/>
      <c r="J7227" s="125">
        <v>0</v>
      </c>
    </row>
    <row r="7228" spans="1:10" ht="39" hidden="1" thickBot="1" x14ac:dyDescent="0.3">
      <c r="A7228" s="249"/>
      <c r="B7228" s="240"/>
      <c r="C7228" s="155" t="s">
        <v>9105</v>
      </c>
      <c r="D7228" s="155" t="s">
        <v>85</v>
      </c>
      <c r="E7228" s="34">
        <v>1.9199999999999998E-2</v>
      </c>
      <c r="F7228" s="28">
        <v>895.02183434599988</v>
      </c>
      <c r="G7228" s="49">
        <f>IF(ISNUMBER(F7228),E7228*F7228,"")</f>
        <v>17.184419219443196</v>
      </c>
      <c r="H7228" s="35">
        <f>SUM(G7228:G7230)</f>
        <v>46.002877269443204</v>
      </c>
      <c r="I7228" s="36"/>
      <c r="J7228" s="125">
        <v>0</v>
      </c>
    </row>
    <row r="7229" spans="1:10" ht="15.75" hidden="1" thickBot="1" x14ac:dyDescent="0.3">
      <c r="A7229" s="249"/>
      <c r="B7229" s="240"/>
      <c r="C7229" s="155" t="s">
        <v>1022</v>
      </c>
      <c r="D7229" s="155" t="s">
        <v>587</v>
      </c>
      <c r="E7229" s="34">
        <v>0.63370000000000004</v>
      </c>
      <c r="F7229" s="28">
        <v>19.522500000000001</v>
      </c>
      <c r="G7229" s="49">
        <f>IF(ISNUMBER(F7229),E7229*F7229,"")</f>
        <v>12.371408250000002</v>
      </c>
      <c r="H7229" s="39"/>
      <c r="I7229" s="36"/>
      <c r="J7229" s="125">
        <v>0</v>
      </c>
    </row>
    <row r="7230" spans="1:10" ht="15.75" hidden="1" thickBot="1" x14ac:dyDescent="0.3">
      <c r="A7230" s="249"/>
      <c r="B7230" s="240"/>
      <c r="C7230" s="155" t="s">
        <v>1023</v>
      </c>
      <c r="D7230" s="155" t="s">
        <v>587</v>
      </c>
      <c r="E7230" s="34">
        <v>0.63370000000000004</v>
      </c>
      <c r="F7230" s="28">
        <v>25.954000000000001</v>
      </c>
      <c r="G7230" s="49">
        <f>IF(ISNUMBER(F7230),E7230*F7230,"")</f>
        <v>16.447049800000002</v>
      </c>
      <c r="H7230" s="39"/>
      <c r="I7230" s="36"/>
      <c r="J7230" s="125">
        <v>0</v>
      </c>
    </row>
    <row r="7231" spans="1:10" ht="15.75" hidden="1" thickBot="1" x14ac:dyDescent="0.3">
      <c r="A7231" s="250"/>
      <c r="B7231" s="239"/>
      <c r="C7231" s="155"/>
      <c r="D7231" s="129"/>
      <c r="E7231" s="130"/>
      <c r="F7231" s="28" t="s">
        <v>418</v>
      </c>
      <c r="G7231" s="49"/>
      <c r="H7231" s="39"/>
      <c r="I7231" s="36"/>
      <c r="J7231" s="125">
        <v>0</v>
      </c>
    </row>
    <row r="7232" spans="1:10" ht="15.75" hidden="1" thickBot="1" x14ac:dyDescent="0.3">
      <c r="A7232" s="234" t="s">
        <v>15498</v>
      </c>
      <c r="B7232" s="237" t="s">
        <v>15728</v>
      </c>
      <c r="C7232" s="160"/>
      <c r="D7232" s="23" t="s">
        <v>16</v>
      </c>
      <c r="E7232" s="24"/>
      <c r="F7232" s="44" t="s">
        <v>418</v>
      </c>
      <c r="G7232" s="25" t="str">
        <f>IF(ISNUMBER(F7232),E7232*F7232,"")</f>
        <v/>
      </c>
      <c r="H7232" s="26"/>
      <c r="I7232" s="27"/>
      <c r="J7232" s="125">
        <v>0</v>
      </c>
    </row>
    <row r="7233" spans="1:10" ht="15.75" hidden="1" thickBot="1" x14ac:dyDescent="0.3">
      <c r="A7233" s="249"/>
      <c r="B7233" s="240"/>
      <c r="C7233" s="135"/>
      <c r="D7233" s="135"/>
      <c r="E7233" s="136"/>
      <c r="F7233" s="49" t="s">
        <v>418</v>
      </c>
      <c r="G7233" s="49" t="str">
        <f>IF(ISNUMBER(F7233),E7233*F7233,"")</f>
        <v/>
      </c>
      <c r="H7233" s="65"/>
      <c r="I7233" s="66"/>
      <c r="J7233" s="125">
        <v>0</v>
      </c>
    </row>
    <row r="7234" spans="1:10" ht="26.25" hidden="1" thickBot="1" x14ac:dyDescent="0.3">
      <c r="A7234" s="249"/>
      <c r="B7234" s="240"/>
      <c r="C7234" s="155" t="s">
        <v>24638</v>
      </c>
      <c r="D7234" s="155" t="s">
        <v>205</v>
      </c>
      <c r="E7234" s="130">
        <v>1</v>
      </c>
      <c r="F7234" s="28">
        <v>92.49199999999999</v>
      </c>
      <c r="G7234" s="49">
        <f>IF(ISNUMBER(F7234),E7234*F7234,"")</f>
        <v>92.49199999999999</v>
      </c>
      <c r="H7234" s="35">
        <f>SUM(G7234:G7237)</f>
        <v>120.03511345</v>
      </c>
      <c r="I7234" s="36"/>
      <c r="J7234" s="125">
        <v>0</v>
      </c>
    </row>
    <row r="7235" spans="1:10" ht="39" hidden="1" thickBot="1" x14ac:dyDescent="0.3">
      <c r="A7235" s="249"/>
      <c r="B7235" s="240"/>
      <c r="C7235" s="155" t="s">
        <v>23958</v>
      </c>
      <c r="D7235" s="155" t="s">
        <v>205</v>
      </c>
      <c r="E7235" s="34">
        <v>2</v>
      </c>
      <c r="F7235" s="31">
        <v>0.19</v>
      </c>
      <c r="G7235" s="31">
        <f>IF(ISNUMBER(F7235),E7235*F7235,"")</f>
        <v>0.38</v>
      </c>
      <c r="H7235" s="32"/>
      <c r="I7235" s="28"/>
      <c r="J7235" s="125">
        <v>0</v>
      </c>
    </row>
    <row r="7236" spans="1:10" ht="15.75" hidden="1" thickBot="1" x14ac:dyDescent="0.3">
      <c r="A7236" s="249"/>
      <c r="B7236" s="240"/>
      <c r="C7236" s="155" t="s">
        <v>1022</v>
      </c>
      <c r="D7236" s="155" t="s">
        <v>587</v>
      </c>
      <c r="E7236" s="34">
        <v>0.59730000000000005</v>
      </c>
      <c r="F7236" s="28">
        <v>19.522500000000001</v>
      </c>
      <c r="G7236" s="49">
        <f>IF(ISNUMBER(F7236),E7236*F7236,"")</f>
        <v>11.660789250000002</v>
      </c>
      <c r="H7236" s="39"/>
      <c r="I7236" s="36"/>
      <c r="J7236" s="125">
        <v>0</v>
      </c>
    </row>
    <row r="7237" spans="1:10" ht="15.75" hidden="1" thickBot="1" x14ac:dyDescent="0.3">
      <c r="A7237" s="249"/>
      <c r="B7237" s="240"/>
      <c r="C7237" s="155" t="s">
        <v>1023</v>
      </c>
      <c r="D7237" s="155" t="s">
        <v>587</v>
      </c>
      <c r="E7237" s="34">
        <v>0.59730000000000005</v>
      </c>
      <c r="F7237" s="28">
        <v>25.954000000000001</v>
      </c>
      <c r="G7237" s="49">
        <f>IF(ISNUMBER(F7237),E7237*F7237,"")</f>
        <v>15.502324200000002</v>
      </c>
      <c r="H7237" s="39"/>
      <c r="I7237" s="36"/>
      <c r="J7237" s="125">
        <v>0</v>
      </c>
    </row>
    <row r="7238" spans="1:10" ht="15.75" hidden="1" thickBot="1" x14ac:dyDescent="0.3">
      <c r="A7238" s="250"/>
      <c r="B7238" s="239"/>
      <c r="C7238" s="164"/>
      <c r="D7238" s="132"/>
      <c r="E7238" s="61"/>
      <c r="F7238" s="68" t="s">
        <v>418</v>
      </c>
      <c r="G7238" s="68" t="str">
        <f>IF(ISNUMBER(F7238),E7238*F7238,"")</f>
        <v/>
      </c>
      <c r="H7238" s="69"/>
      <c r="I7238" s="66"/>
      <c r="J7238" s="125">
        <v>0</v>
      </c>
    </row>
    <row r="7239" spans="1:10" ht="15.75" hidden="1" thickBot="1" x14ac:dyDescent="0.3">
      <c r="A7239" s="234" t="s">
        <v>15499</v>
      </c>
      <c r="B7239" s="237" t="s">
        <v>16280</v>
      </c>
      <c r="C7239" s="160"/>
      <c r="D7239" s="23" t="s">
        <v>15730</v>
      </c>
      <c r="E7239" s="24"/>
      <c r="F7239" s="37" t="s">
        <v>418</v>
      </c>
      <c r="G7239" s="25" t="str">
        <f>IF(ISNUMBER(F7239),E7239*F7239,"")</f>
        <v/>
      </c>
      <c r="H7239" s="26"/>
      <c r="I7239" s="27"/>
      <c r="J7239" s="125">
        <v>0</v>
      </c>
    </row>
    <row r="7240" spans="1:10" ht="15.75" hidden="1" thickBot="1" x14ac:dyDescent="0.3">
      <c r="A7240" s="235"/>
      <c r="B7240" s="240"/>
      <c r="C7240" s="127"/>
      <c r="D7240" s="29"/>
      <c r="E7240" s="30"/>
      <c r="F7240" s="38" t="s">
        <v>418</v>
      </c>
      <c r="G7240" s="28" t="str">
        <f>IF(ISNUMBER(F7240),E7240*F7240,"")</f>
        <v/>
      </c>
      <c r="H7240" s="32"/>
      <c r="I7240" s="28"/>
      <c r="J7240" s="125">
        <v>0</v>
      </c>
    </row>
    <row r="7241" spans="1:10" ht="15.75" hidden="1" thickBot="1" x14ac:dyDescent="0.3">
      <c r="A7241" s="235"/>
      <c r="B7241" s="240"/>
      <c r="C7241" s="155" t="s">
        <v>16283</v>
      </c>
      <c r="D7241" s="33" t="s">
        <v>76</v>
      </c>
      <c r="E7241" s="34">
        <v>0.91</v>
      </c>
      <c r="F7241" s="28" t="s">
        <v>418</v>
      </c>
      <c r="G7241" s="28" t="str">
        <f>IF(ISNUMBER(F7241),E7241*F7241,"")</f>
        <v/>
      </c>
      <c r="H7241" s="35">
        <f>SUM(G7241:G7242)</f>
        <v>0</v>
      </c>
      <c r="I7241" s="36"/>
      <c r="J7241" s="125">
        <v>0</v>
      </c>
    </row>
    <row r="7242" spans="1:10" ht="15.75" hidden="1" thickBot="1" x14ac:dyDescent="0.3">
      <c r="A7242" s="235"/>
      <c r="B7242" s="240"/>
      <c r="C7242" s="155" t="s">
        <v>15729</v>
      </c>
      <c r="D7242" s="33" t="s">
        <v>76</v>
      </c>
      <c r="E7242" s="34">
        <v>0.09</v>
      </c>
      <c r="F7242" s="28" t="s">
        <v>418</v>
      </c>
      <c r="G7242" s="28" t="str">
        <f>IF(ISNUMBER(F7242),E7242*F7242,"")</f>
        <v/>
      </c>
      <c r="H7242" s="32"/>
      <c r="I7242" s="36"/>
      <c r="J7242" s="125">
        <v>0</v>
      </c>
    </row>
    <row r="7243" spans="1:10" ht="15.75" hidden="1" thickBot="1" x14ac:dyDescent="0.3">
      <c r="A7243" s="236"/>
      <c r="B7243" s="239"/>
      <c r="C7243" s="155"/>
      <c r="D7243" s="50"/>
      <c r="E7243" s="61"/>
      <c r="F7243" s="62" t="s">
        <v>418</v>
      </c>
      <c r="G7243" s="62" t="str">
        <f>IF(ISNUMBER(F7243),E7243*F7243,"")</f>
        <v/>
      </c>
      <c r="H7243" s="64"/>
      <c r="I7243" s="28"/>
      <c r="J7243" s="125">
        <v>0</v>
      </c>
    </row>
    <row r="7244" spans="1:10" ht="15.75" hidden="1" thickBot="1" x14ac:dyDescent="0.3">
      <c r="A7244" s="234" t="s">
        <v>15500</v>
      </c>
      <c r="B7244" s="237" t="s">
        <v>16281</v>
      </c>
      <c r="C7244" s="160"/>
      <c r="D7244" s="23" t="s">
        <v>15730</v>
      </c>
      <c r="E7244" s="24"/>
      <c r="F7244" s="37" t="s">
        <v>418</v>
      </c>
      <c r="G7244" s="25" t="str">
        <f>IF(ISNUMBER(F7244),E7244*F7244,"")</f>
        <v/>
      </c>
      <c r="H7244" s="26"/>
      <c r="I7244" s="27"/>
      <c r="J7244" s="125">
        <v>0</v>
      </c>
    </row>
    <row r="7245" spans="1:10" ht="15.75" hidden="1" thickBot="1" x14ac:dyDescent="0.3">
      <c r="A7245" s="235"/>
      <c r="B7245" s="240"/>
      <c r="C7245" s="151"/>
      <c r="D7245" s="29"/>
      <c r="E7245" s="30"/>
      <c r="F7245" s="38" t="s">
        <v>418</v>
      </c>
      <c r="G7245" s="28" t="str">
        <f>IF(ISNUMBER(F7245),E7245*F7245,"")</f>
        <v/>
      </c>
      <c r="H7245" s="32"/>
      <c r="I7245" s="28"/>
      <c r="J7245" s="125">
        <v>0</v>
      </c>
    </row>
    <row r="7246" spans="1:10" ht="15.75" hidden="1" thickBot="1" x14ac:dyDescent="0.3">
      <c r="A7246" s="235"/>
      <c r="B7246" s="240"/>
      <c r="C7246" s="155" t="s">
        <v>16283</v>
      </c>
      <c r="D7246" s="33" t="s">
        <v>76</v>
      </c>
      <c r="E7246" s="34">
        <v>0.96</v>
      </c>
      <c r="F7246" s="28" t="s">
        <v>418</v>
      </c>
      <c r="G7246" s="28" t="str">
        <f>IF(ISNUMBER(F7246),E7246*F7246,"")</f>
        <v/>
      </c>
      <c r="H7246" s="35">
        <f>SUM(G7246:G7247)</f>
        <v>0</v>
      </c>
      <c r="I7246" s="36"/>
      <c r="J7246" s="125">
        <v>0</v>
      </c>
    </row>
    <row r="7247" spans="1:10" ht="15.75" hidden="1" thickBot="1" x14ac:dyDescent="0.3">
      <c r="A7247" s="235"/>
      <c r="B7247" s="240"/>
      <c r="C7247" s="155" t="s">
        <v>15731</v>
      </c>
      <c r="D7247" s="33" t="s">
        <v>76</v>
      </c>
      <c r="E7247" s="34">
        <v>0.04</v>
      </c>
      <c r="F7247" s="28" t="s">
        <v>418</v>
      </c>
      <c r="G7247" s="28" t="str">
        <f>IF(ISNUMBER(F7247),E7247*F7247,"")</f>
        <v/>
      </c>
      <c r="H7247" s="32"/>
      <c r="I7247" s="36"/>
      <c r="J7247" s="125">
        <v>0</v>
      </c>
    </row>
    <row r="7248" spans="1:10" ht="15.75" hidden="1" thickBot="1" x14ac:dyDescent="0.3">
      <c r="A7248" s="236"/>
      <c r="B7248" s="239"/>
      <c r="C7248" s="155"/>
      <c r="D7248" s="50"/>
      <c r="E7248" s="61"/>
      <c r="F7248" s="62" t="s">
        <v>418</v>
      </c>
      <c r="G7248" s="62" t="str">
        <f>IF(ISNUMBER(F7248),E7248*F7248,"")</f>
        <v/>
      </c>
      <c r="H7248" s="64"/>
      <c r="I7248" s="28"/>
      <c r="J7248" s="125">
        <v>0</v>
      </c>
    </row>
    <row r="7249" spans="1:10" ht="15.75" hidden="1" thickBot="1" x14ac:dyDescent="0.3">
      <c r="A7249" s="234" t="s">
        <v>15501</v>
      </c>
      <c r="B7249" s="237" t="s">
        <v>16282</v>
      </c>
      <c r="C7249" s="160"/>
      <c r="D7249" s="23" t="s">
        <v>15730</v>
      </c>
      <c r="E7249" s="24"/>
      <c r="F7249" s="37" t="s">
        <v>418</v>
      </c>
      <c r="G7249" s="25" t="str">
        <f>IF(ISNUMBER(F7249),E7249*F7249,"")</f>
        <v/>
      </c>
      <c r="H7249" s="26"/>
      <c r="I7249" s="27"/>
      <c r="J7249" s="125">
        <v>0</v>
      </c>
    </row>
    <row r="7250" spans="1:10" ht="15.75" hidden="1" thickBot="1" x14ac:dyDescent="0.3">
      <c r="A7250" s="235"/>
      <c r="B7250" s="238"/>
      <c r="C7250" s="127"/>
      <c r="D7250" s="29"/>
      <c r="E7250" s="30"/>
      <c r="F7250" s="38" t="s">
        <v>418</v>
      </c>
      <c r="G7250" s="31" t="str">
        <f>IF(ISNUMBER(F7250),E7250*F7250,"")</f>
        <v/>
      </c>
      <c r="H7250" s="32"/>
      <c r="I7250" s="28"/>
      <c r="J7250" s="125">
        <v>0</v>
      </c>
    </row>
    <row r="7251" spans="1:10" ht="15.75" hidden="1" thickBot="1" x14ac:dyDescent="0.3">
      <c r="A7251" s="235"/>
      <c r="B7251" s="238"/>
      <c r="C7251" s="129" t="s">
        <v>16283</v>
      </c>
      <c r="D7251" s="129" t="s">
        <v>76</v>
      </c>
      <c r="E7251" s="130">
        <v>0.5</v>
      </c>
      <c r="F7251" s="28" t="s">
        <v>418</v>
      </c>
      <c r="G7251" s="31" t="str">
        <f>IF(ISNUMBER(F7251),E7251*F7251,"")</f>
        <v/>
      </c>
      <c r="H7251" s="35">
        <f>SUM(G7251:G7252)</f>
        <v>0</v>
      </c>
      <c r="I7251" s="36"/>
      <c r="J7251" s="125">
        <v>0</v>
      </c>
    </row>
    <row r="7252" spans="1:10" ht="15.75" hidden="1" thickBot="1" x14ac:dyDescent="0.3">
      <c r="A7252" s="235"/>
      <c r="B7252" s="238"/>
      <c r="C7252" s="129" t="s">
        <v>15732</v>
      </c>
      <c r="D7252" s="129" t="s">
        <v>76</v>
      </c>
      <c r="E7252" s="130">
        <v>0.5</v>
      </c>
      <c r="F7252" s="28" t="s">
        <v>418</v>
      </c>
      <c r="G7252" s="28" t="str">
        <f>IF(ISNUMBER(F7252),E7252*F7252,"")</f>
        <v/>
      </c>
      <c r="H7252" s="32"/>
      <c r="I7252" s="36"/>
      <c r="J7252" s="125">
        <v>0</v>
      </c>
    </row>
    <row r="7253" spans="1:10" ht="15.75" hidden="1" thickBot="1" x14ac:dyDescent="0.3">
      <c r="A7253" s="236"/>
      <c r="B7253" s="239"/>
      <c r="C7253" s="164"/>
      <c r="D7253" s="33"/>
      <c r="E7253" s="34"/>
      <c r="F7253" s="28" t="s">
        <v>418</v>
      </c>
      <c r="G7253" s="31" t="str">
        <f>IF(ISNUMBER(F7253),E7253*F7253,"")</f>
        <v/>
      </c>
      <c r="H7253" s="32"/>
      <c r="I7253" s="28"/>
      <c r="J7253" s="125">
        <v>0</v>
      </c>
    </row>
    <row r="7254" spans="1:10" ht="15.75" hidden="1" thickBot="1" x14ac:dyDescent="0.3">
      <c r="A7254" s="234" t="s">
        <v>15733</v>
      </c>
      <c r="B7254" s="237" t="s">
        <v>15734</v>
      </c>
      <c r="C7254" s="160"/>
      <c r="D7254" s="23" t="s">
        <v>16</v>
      </c>
      <c r="E7254" s="24"/>
      <c r="F7254" s="37" t="s">
        <v>418</v>
      </c>
      <c r="G7254" s="25" t="str">
        <f>IF(ISNUMBER(F7254),E7254*F7254,"")</f>
        <v/>
      </c>
      <c r="H7254" s="26"/>
      <c r="I7254" s="27"/>
      <c r="J7254" s="125">
        <v>0</v>
      </c>
    </row>
    <row r="7255" spans="1:10" ht="15.75" hidden="1" thickBot="1" x14ac:dyDescent="0.3">
      <c r="A7255" s="235"/>
      <c r="B7255" s="240"/>
      <c r="C7255" s="127"/>
      <c r="D7255" s="29"/>
      <c r="E7255" s="30"/>
      <c r="F7255" s="38" t="s">
        <v>418</v>
      </c>
      <c r="G7255" s="28" t="str">
        <f>IF(ISNUMBER(F7255),E7255*F7255,"")</f>
        <v/>
      </c>
      <c r="H7255" s="32"/>
      <c r="I7255" s="28"/>
      <c r="J7255" s="125">
        <v>0</v>
      </c>
    </row>
    <row r="7256" spans="1:10" ht="26.25" hidden="1" thickBot="1" x14ac:dyDescent="0.3">
      <c r="A7256" s="235"/>
      <c r="B7256" s="240"/>
      <c r="C7256" s="155" t="s">
        <v>24848</v>
      </c>
      <c r="D7256" s="155" t="s">
        <v>205</v>
      </c>
      <c r="E7256" s="130">
        <v>1</v>
      </c>
      <c r="F7256" s="28">
        <v>38.323</v>
      </c>
      <c r="G7256" s="28">
        <f>IF(ISNUMBER(F7256),E7256*F7256,"")</f>
        <v>38.323</v>
      </c>
      <c r="H7256" s="35">
        <f t="shared" ref="H7256" si="74">SUM(G7256:G7256)</f>
        <v>38.323</v>
      </c>
      <c r="I7256" s="36"/>
      <c r="J7256" s="125">
        <v>0</v>
      </c>
    </row>
    <row r="7257" spans="1:10" ht="15.75" hidden="1" thickBot="1" x14ac:dyDescent="0.3">
      <c r="A7257" s="236"/>
      <c r="B7257" s="239"/>
      <c r="C7257" s="164"/>
      <c r="D7257" s="50"/>
      <c r="E7257" s="61"/>
      <c r="F7257" s="62" t="s">
        <v>418</v>
      </c>
      <c r="G7257" s="62" t="str">
        <f>IF(ISNUMBER(F7257),E7257*F7257,"")</f>
        <v/>
      </c>
      <c r="H7257" s="64"/>
      <c r="I7257" s="28"/>
      <c r="J7257" s="125">
        <v>0</v>
      </c>
    </row>
    <row r="7258" spans="1:10" ht="15.75" hidden="1" thickBot="1" x14ac:dyDescent="0.3">
      <c r="A7258" s="234" t="s">
        <v>15735</v>
      </c>
      <c r="B7258" s="237" t="s">
        <v>15736</v>
      </c>
      <c r="C7258" s="160"/>
      <c r="D7258" s="23" t="s">
        <v>16</v>
      </c>
      <c r="E7258" s="24"/>
      <c r="F7258" s="37" t="s">
        <v>418</v>
      </c>
      <c r="G7258" s="25" t="str">
        <f>IF(ISNUMBER(F7258),E7258*F7258,"")</f>
        <v/>
      </c>
      <c r="H7258" s="26"/>
      <c r="I7258" s="27"/>
      <c r="J7258" s="125">
        <v>0</v>
      </c>
    </row>
    <row r="7259" spans="1:10" ht="15.75" hidden="1" thickBot="1" x14ac:dyDescent="0.3">
      <c r="A7259" s="235"/>
      <c r="B7259" s="240"/>
      <c r="C7259" s="127"/>
      <c r="D7259" s="29"/>
      <c r="E7259" s="30"/>
      <c r="F7259" s="38" t="s">
        <v>418</v>
      </c>
      <c r="G7259" s="28" t="str">
        <f>IF(ISNUMBER(F7259),E7259*F7259,"")</f>
        <v/>
      </c>
      <c r="H7259" s="32"/>
      <c r="I7259" s="28"/>
      <c r="J7259" s="125">
        <v>0</v>
      </c>
    </row>
    <row r="7260" spans="1:10" ht="26.25" hidden="1" thickBot="1" x14ac:dyDescent="0.3">
      <c r="A7260" s="235"/>
      <c r="B7260" s="240"/>
      <c r="C7260" s="155" t="s">
        <v>28304</v>
      </c>
      <c r="D7260" s="155" t="s">
        <v>205</v>
      </c>
      <c r="E7260" s="130">
        <v>1</v>
      </c>
      <c r="F7260" s="28">
        <v>65.435999999999993</v>
      </c>
      <c r="G7260" s="28">
        <f>IF(ISNUMBER(F7260),E7260*F7260,"")</f>
        <v>65.435999999999993</v>
      </c>
      <c r="H7260" s="35">
        <f t="shared" ref="H7260" si="75">SUM(G7260:G7260)</f>
        <v>65.435999999999993</v>
      </c>
      <c r="I7260" s="36"/>
      <c r="J7260" s="125">
        <v>0</v>
      </c>
    </row>
    <row r="7261" spans="1:10" ht="15.75" hidden="1" thickBot="1" x14ac:dyDescent="0.3">
      <c r="A7261" s="236"/>
      <c r="B7261" s="239"/>
      <c r="C7261" s="164"/>
      <c r="D7261" s="50"/>
      <c r="E7261" s="61"/>
      <c r="F7261" s="62" t="s">
        <v>418</v>
      </c>
      <c r="G7261" s="62" t="str">
        <f>IF(ISNUMBER(F7261),E7261*F7261,"")</f>
        <v/>
      </c>
      <c r="H7261" s="64"/>
      <c r="I7261" s="28"/>
      <c r="J7261" s="125">
        <v>0</v>
      </c>
    </row>
    <row r="7262" spans="1:10" ht="15.75" hidden="1" thickBot="1" x14ac:dyDescent="0.3">
      <c r="A7262" s="234" t="s">
        <v>15737</v>
      </c>
      <c r="B7262" s="237" t="s">
        <v>15738</v>
      </c>
      <c r="C7262" s="160"/>
      <c r="D7262" s="23" t="s">
        <v>69</v>
      </c>
      <c r="E7262" s="24"/>
      <c r="F7262" s="37" t="s">
        <v>418</v>
      </c>
      <c r="G7262" s="25" t="str">
        <f>IF(ISNUMBER(F7262),E7262*F7262,"")</f>
        <v/>
      </c>
      <c r="H7262" s="26"/>
      <c r="I7262" s="27"/>
      <c r="J7262" s="125">
        <v>0</v>
      </c>
    </row>
    <row r="7263" spans="1:10" ht="15.75" hidden="1" thickBot="1" x14ac:dyDescent="0.3">
      <c r="A7263" s="235"/>
      <c r="B7263" s="238"/>
      <c r="C7263" s="127"/>
      <c r="D7263" s="29"/>
      <c r="E7263" s="30"/>
      <c r="F7263" s="38" t="s">
        <v>418</v>
      </c>
      <c r="G7263" s="31" t="str">
        <f>IF(ISNUMBER(F7263),E7263*F7263,"")</f>
        <v/>
      </c>
      <c r="H7263" s="32"/>
      <c r="I7263" s="28"/>
      <c r="J7263" s="125">
        <v>0</v>
      </c>
    </row>
    <row r="7264" spans="1:10" ht="26.25" hidden="1" thickBot="1" x14ac:dyDescent="0.3">
      <c r="A7264" s="235"/>
      <c r="B7264" s="238"/>
      <c r="C7264" s="155" t="s">
        <v>38864</v>
      </c>
      <c r="D7264" s="155" t="s">
        <v>385</v>
      </c>
      <c r="E7264" s="34">
        <v>1</v>
      </c>
      <c r="F7264" s="28">
        <v>47.946499999999993</v>
      </c>
      <c r="G7264" s="31">
        <f>IF(ISNUMBER(F7264),E7264*F7264,"")</f>
        <v>47.946499999999993</v>
      </c>
      <c r="H7264" s="35">
        <f>SUM(G7264:G7264)</f>
        <v>47.946499999999993</v>
      </c>
      <c r="I7264" s="36"/>
      <c r="J7264" s="125">
        <v>0</v>
      </c>
    </row>
    <row r="7265" spans="1:10" ht="15.75" hidden="1" thickBot="1" x14ac:dyDescent="0.3">
      <c r="A7265" s="236"/>
      <c r="B7265" s="239"/>
      <c r="C7265" s="164"/>
      <c r="D7265" s="33"/>
      <c r="E7265" s="34"/>
      <c r="F7265" s="28" t="s">
        <v>418</v>
      </c>
      <c r="G7265" s="31" t="str">
        <f>IF(ISNUMBER(F7265),E7265*F7265,"")</f>
        <v/>
      </c>
      <c r="H7265" s="32"/>
      <c r="I7265" s="28"/>
      <c r="J7265" s="125">
        <v>0</v>
      </c>
    </row>
    <row r="7266" spans="1:10" ht="15.75" hidden="1" thickBot="1" x14ac:dyDescent="0.3">
      <c r="A7266" s="234" t="s">
        <v>15739</v>
      </c>
      <c r="B7266" s="237" t="s">
        <v>15740</v>
      </c>
      <c r="C7266" s="160"/>
      <c r="D7266" s="23" t="s">
        <v>16</v>
      </c>
      <c r="E7266" s="24"/>
      <c r="F7266" s="37" t="s">
        <v>418</v>
      </c>
      <c r="G7266" s="25" t="str">
        <f>IF(ISNUMBER(F7266),E7266*F7266,"")</f>
        <v/>
      </c>
      <c r="H7266" s="26"/>
      <c r="I7266" s="27"/>
      <c r="J7266" s="125">
        <v>0</v>
      </c>
    </row>
    <row r="7267" spans="1:10" ht="15.75" hidden="1" thickBot="1" x14ac:dyDescent="0.3">
      <c r="A7267" s="235"/>
      <c r="B7267" s="240"/>
      <c r="C7267" s="151"/>
      <c r="D7267" s="29"/>
      <c r="E7267" s="30"/>
      <c r="F7267" s="38" t="s">
        <v>418</v>
      </c>
      <c r="G7267" s="28" t="str">
        <f>IF(ISNUMBER(F7267),E7267*F7267,"")</f>
        <v/>
      </c>
      <c r="H7267" s="32"/>
      <c r="I7267" s="28"/>
      <c r="J7267" s="125">
        <v>0</v>
      </c>
    </row>
    <row r="7268" spans="1:10" ht="26.25" hidden="1" thickBot="1" x14ac:dyDescent="0.3">
      <c r="A7268" s="235"/>
      <c r="B7268" s="240"/>
      <c r="C7268" s="155" t="s">
        <v>23873</v>
      </c>
      <c r="D7268" s="155" t="s">
        <v>205</v>
      </c>
      <c r="E7268" s="130">
        <v>1</v>
      </c>
      <c r="F7268" s="28">
        <v>9.4619999999999997</v>
      </c>
      <c r="G7268" s="28">
        <f>IF(ISNUMBER(F7268),E7268*F7268,"")</f>
        <v>9.4619999999999997</v>
      </c>
      <c r="H7268" s="35">
        <f t="shared" ref="H7268" si="76">SUM(G7268:G7268)</f>
        <v>9.4619999999999997</v>
      </c>
      <c r="I7268" s="36"/>
      <c r="J7268" s="125">
        <v>0</v>
      </c>
    </row>
    <row r="7269" spans="1:10" ht="15.75" hidden="1" thickBot="1" x14ac:dyDescent="0.3">
      <c r="A7269" s="236"/>
      <c r="B7269" s="239"/>
      <c r="C7269" s="164"/>
      <c r="D7269" s="50"/>
      <c r="E7269" s="61"/>
      <c r="F7269" s="62" t="s">
        <v>418</v>
      </c>
      <c r="G7269" s="62" t="str">
        <f>IF(ISNUMBER(F7269),E7269*F7269,"")</f>
        <v/>
      </c>
      <c r="H7269" s="64"/>
      <c r="I7269" s="28"/>
      <c r="J7269" s="125">
        <v>0</v>
      </c>
    </row>
    <row r="7270" spans="1:10" ht="15.75" hidden="1" thickBot="1" x14ac:dyDescent="0.3">
      <c r="A7270" s="234" t="s">
        <v>15741</v>
      </c>
      <c r="B7270" s="237" t="s">
        <v>15742</v>
      </c>
      <c r="C7270" s="160"/>
      <c r="D7270" s="23" t="s">
        <v>16</v>
      </c>
      <c r="E7270" s="24"/>
      <c r="F7270" s="37" t="s">
        <v>418</v>
      </c>
      <c r="G7270" s="25" t="str">
        <f>IF(ISNUMBER(F7270),E7270*F7270,"")</f>
        <v/>
      </c>
      <c r="H7270" s="26"/>
      <c r="I7270" s="27"/>
      <c r="J7270" s="125">
        <v>0</v>
      </c>
    </row>
    <row r="7271" spans="1:10" ht="15.75" hidden="1" thickBot="1" x14ac:dyDescent="0.3">
      <c r="A7271" s="235"/>
      <c r="B7271" s="240"/>
      <c r="C7271" s="151"/>
      <c r="D7271" s="29"/>
      <c r="E7271" s="30"/>
      <c r="F7271" s="38" t="s">
        <v>418</v>
      </c>
      <c r="G7271" s="28" t="str">
        <f>IF(ISNUMBER(F7271),E7271*F7271,"")</f>
        <v/>
      </c>
      <c r="H7271" s="32"/>
      <c r="I7271" s="28"/>
      <c r="J7271" s="125">
        <v>0</v>
      </c>
    </row>
    <row r="7272" spans="1:10" ht="15.75" hidden="1" thickBot="1" x14ac:dyDescent="0.3">
      <c r="A7272" s="235"/>
      <c r="B7272" s="240"/>
      <c r="C7272" s="142" t="s">
        <v>15756</v>
      </c>
      <c r="D7272" s="33" t="s">
        <v>16</v>
      </c>
      <c r="E7272" s="130">
        <v>1</v>
      </c>
      <c r="F7272" s="28">
        <v>0.95</v>
      </c>
      <c r="G7272" s="28">
        <f>IF(ISNUMBER(F7272),E7272*F7272,"")</f>
        <v>0.95</v>
      </c>
      <c r="H7272" s="35">
        <f t="shared" ref="H7272" si="77">SUM(G7272:G7272)</f>
        <v>0.95</v>
      </c>
      <c r="I7272" s="36"/>
      <c r="J7272" s="125">
        <v>0</v>
      </c>
    </row>
    <row r="7273" spans="1:10" ht="15.75" hidden="1" thickBot="1" x14ac:dyDescent="0.3">
      <c r="A7273" s="236"/>
      <c r="B7273" s="239"/>
      <c r="C7273" s="164"/>
      <c r="D7273" s="50"/>
      <c r="E7273" s="61"/>
      <c r="F7273" s="62" t="s">
        <v>418</v>
      </c>
      <c r="G7273" s="62" t="str">
        <f>IF(ISNUMBER(F7273),E7273*F7273,"")</f>
        <v/>
      </c>
      <c r="H7273" s="64"/>
      <c r="I7273" s="28"/>
      <c r="J7273" s="125">
        <v>0</v>
      </c>
    </row>
    <row r="7274" spans="1:10" ht="15.75" hidden="1" thickBot="1" x14ac:dyDescent="0.3">
      <c r="A7274" s="234" t="s">
        <v>15743</v>
      </c>
      <c r="B7274" s="237" t="s">
        <v>15744</v>
      </c>
      <c r="C7274" s="160"/>
      <c r="D7274" s="23" t="s">
        <v>16</v>
      </c>
      <c r="E7274" s="24"/>
      <c r="F7274" s="37" t="s">
        <v>418</v>
      </c>
      <c r="G7274" s="25" t="str">
        <f>IF(ISNUMBER(F7274),E7274*F7274,"")</f>
        <v/>
      </c>
      <c r="H7274" s="26"/>
      <c r="I7274" s="27"/>
      <c r="J7274" s="125">
        <v>0</v>
      </c>
    </row>
    <row r="7275" spans="1:10" ht="15.75" hidden="1" thickBot="1" x14ac:dyDescent="0.3">
      <c r="A7275" s="235"/>
      <c r="B7275" s="238"/>
      <c r="C7275" s="151"/>
      <c r="D7275" s="29"/>
      <c r="E7275" s="30"/>
      <c r="F7275" s="38" t="s">
        <v>418</v>
      </c>
      <c r="G7275" s="31" t="str">
        <f>IF(ISNUMBER(F7275),E7275*F7275,"")</f>
        <v/>
      </c>
      <c r="H7275" s="32"/>
      <c r="I7275" s="28"/>
      <c r="J7275" s="125">
        <v>0</v>
      </c>
    </row>
    <row r="7276" spans="1:10" ht="26.25" hidden="1" thickBot="1" x14ac:dyDescent="0.3">
      <c r="A7276" s="235"/>
      <c r="B7276" s="238"/>
      <c r="C7276" s="155" t="s">
        <v>26484</v>
      </c>
      <c r="D7276" s="155" t="s">
        <v>205</v>
      </c>
      <c r="E7276" s="34">
        <v>1</v>
      </c>
      <c r="F7276" s="28">
        <v>2.8594999999999997</v>
      </c>
      <c r="G7276" s="31">
        <f>IF(ISNUMBER(F7276),E7276*F7276,"")</f>
        <v>2.8594999999999997</v>
      </c>
      <c r="H7276" s="35">
        <f>SUM(G7276:G7276)</f>
        <v>2.8594999999999997</v>
      </c>
      <c r="I7276" s="36"/>
      <c r="J7276" s="125">
        <v>0</v>
      </c>
    </row>
    <row r="7277" spans="1:10" ht="15.75" hidden="1" thickBot="1" x14ac:dyDescent="0.3">
      <c r="A7277" s="236"/>
      <c r="B7277" s="239"/>
      <c r="C7277" s="155"/>
      <c r="D7277" s="33"/>
      <c r="E7277" s="34"/>
      <c r="F7277" s="28" t="s">
        <v>418</v>
      </c>
      <c r="G7277" s="31" t="str">
        <f>IF(ISNUMBER(F7277),E7277*F7277,"")</f>
        <v/>
      </c>
      <c r="H7277" s="32"/>
      <c r="I7277" s="28"/>
      <c r="J7277" s="125">
        <v>0</v>
      </c>
    </row>
    <row r="7278" spans="1:10" ht="15.75" hidden="1" thickBot="1" x14ac:dyDescent="0.3">
      <c r="A7278" s="234" t="s">
        <v>15745</v>
      </c>
      <c r="B7278" s="237" t="s">
        <v>15746</v>
      </c>
      <c r="C7278" s="160"/>
      <c r="D7278" s="23" t="s">
        <v>15753</v>
      </c>
      <c r="E7278" s="24"/>
      <c r="F7278" s="37" t="s">
        <v>418</v>
      </c>
      <c r="G7278" s="25" t="str">
        <f>IF(ISNUMBER(F7278),E7278*F7278,"")</f>
        <v/>
      </c>
      <c r="H7278" s="26"/>
      <c r="I7278" s="27"/>
      <c r="J7278" s="125">
        <v>0</v>
      </c>
    </row>
    <row r="7279" spans="1:10" ht="15.75" hidden="1" thickBot="1" x14ac:dyDescent="0.3">
      <c r="A7279" s="235"/>
      <c r="B7279" s="238"/>
      <c r="C7279" s="151"/>
      <c r="D7279" s="29"/>
      <c r="E7279" s="30"/>
      <c r="F7279" s="38" t="s">
        <v>418</v>
      </c>
      <c r="G7279" s="31" t="str">
        <f>IF(ISNUMBER(F7279),E7279*F7279,"")</f>
        <v/>
      </c>
      <c r="H7279" s="32"/>
      <c r="I7279" s="28"/>
      <c r="J7279" s="125">
        <v>0</v>
      </c>
    </row>
    <row r="7280" spans="1:10" ht="15.75" hidden="1" thickBot="1" x14ac:dyDescent="0.3">
      <c r="A7280" s="235"/>
      <c r="B7280" s="238"/>
      <c r="C7280" s="155" t="s">
        <v>807</v>
      </c>
      <c r="D7280" s="155" t="s">
        <v>774</v>
      </c>
      <c r="E7280" s="34">
        <v>25</v>
      </c>
      <c r="F7280" s="28">
        <v>1.9284999999999997</v>
      </c>
      <c r="G7280" s="31">
        <f>IF(ISNUMBER(F7280),E7280*F7280,"")</f>
        <v>48.212499999999991</v>
      </c>
      <c r="H7280" s="35">
        <f>SUM(G7280:G7280)</f>
        <v>48.212499999999991</v>
      </c>
      <c r="I7280" s="36"/>
      <c r="J7280" s="125">
        <v>0</v>
      </c>
    </row>
    <row r="7281" spans="1:10" ht="15.75" hidden="1" thickBot="1" x14ac:dyDescent="0.3">
      <c r="A7281" s="236"/>
      <c r="B7281" s="239"/>
      <c r="C7281" s="155"/>
      <c r="D7281" s="33"/>
      <c r="E7281" s="34"/>
      <c r="F7281" s="28" t="s">
        <v>418</v>
      </c>
      <c r="G7281" s="31" t="str">
        <f>IF(ISNUMBER(F7281),E7281*F7281,"")</f>
        <v/>
      </c>
      <c r="H7281" s="32"/>
      <c r="I7281" s="28"/>
      <c r="J7281" s="125">
        <v>0</v>
      </c>
    </row>
    <row r="7282" spans="1:10" ht="15.75" hidden="1" thickBot="1" x14ac:dyDescent="0.3">
      <c r="A7282" s="234" t="s">
        <v>15747</v>
      </c>
      <c r="B7282" s="237" t="s">
        <v>15748</v>
      </c>
      <c r="C7282" s="160"/>
      <c r="D7282" s="23" t="s">
        <v>70</v>
      </c>
      <c r="E7282" s="24"/>
      <c r="F7282" s="37" t="s">
        <v>418</v>
      </c>
      <c r="G7282" s="25" t="str">
        <f>IF(ISNUMBER(F7282),E7282*F7282,"")</f>
        <v/>
      </c>
      <c r="H7282" s="26"/>
      <c r="I7282" s="27"/>
      <c r="J7282" s="125">
        <v>0</v>
      </c>
    </row>
    <row r="7283" spans="1:10" ht="15.75" hidden="1" thickBot="1" x14ac:dyDescent="0.3">
      <c r="A7283" s="235"/>
      <c r="B7283" s="238"/>
      <c r="C7283" s="151"/>
      <c r="D7283" s="29"/>
      <c r="E7283" s="30"/>
      <c r="F7283" s="38" t="s">
        <v>418</v>
      </c>
      <c r="G7283" s="31" t="str">
        <f>IF(ISNUMBER(F7283),E7283*F7283,"")</f>
        <v/>
      </c>
      <c r="H7283" s="32"/>
      <c r="I7283" s="28"/>
      <c r="J7283" s="125">
        <v>0</v>
      </c>
    </row>
    <row r="7284" spans="1:10" ht="26.25" hidden="1" thickBot="1" x14ac:dyDescent="0.3">
      <c r="A7284" s="235"/>
      <c r="B7284" s="238"/>
      <c r="C7284" s="155" t="s">
        <v>27699</v>
      </c>
      <c r="D7284" s="155" t="s">
        <v>870</v>
      </c>
      <c r="E7284" s="34">
        <v>1</v>
      </c>
      <c r="F7284" s="28">
        <v>14.648999999999999</v>
      </c>
      <c r="G7284" s="31">
        <f>IF(ISNUMBER(F7284),E7284*F7284,"")</f>
        <v>14.648999999999999</v>
      </c>
      <c r="H7284" s="35">
        <f>SUM(G7284:G7284)</f>
        <v>14.648999999999999</v>
      </c>
      <c r="I7284" s="36"/>
      <c r="J7284" s="125">
        <v>0</v>
      </c>
    </row>
    <row r="7285" spans="1:10" ht="15.75" hidden="1" thickBot="1" x14ac:dyDescent="0.3">
      <c r="A7285" s="236"/>
      <c r="B7285" s="239"/>
      <c r="C7285" s="155"/>
      <c r="D7285" s="33"/>
      <c r="E7285" s="34"/>
      <c r="F7285" s="28" t="s">
        <v>418</v>
      </c>
      <c r="G7285" s="31" t="str">
        <f>IF(ISNUMBER(F7285),E7285*F7285,"")</f>
        <v/>
      </c>
      <c r="H7285" s="32"/>
      <c r="I7285" s="28"/>
      <c r="J7285" s="125">
        <v>0</v>
      </c>
    </row>
    <row r="7286" spans="1:10" ht="15.75" hidden="1" thickBot="1" x14ac:dyDescent="0.3">
      <c r="A7286" s="234" t="s">
        <v>15749</v>
      </c>
      <c r="B7286" s="237" t="s">
        <v>15750</v>
      </c>
      <c r="C7286" s="160"/>
      <c r="D7286" s="23" t="s">
        <v>69</v>
      </c>
      <c r="E7286" s="24"/>
      <c r="F7286" s="37" t="s">
        <v>418</v>
      </c>
      <c r="G7286" s="25" t="str">
        <f>IF(ISNUMBER(F7286),E7286*F7286,"")</f>
        <v/>
      </c>
      <c r="H7286" s="26"/>
      <c r="I7286" s="27"/>
      <c r="J7286" s="125">
        <v>0</v>
      </c>
    </row>
    <row r="7287" spans="1:10" ht="15.75" hidden="1" thickBot="1" x14ac:dyDescent="0.3">
      <c r="A7287" s="235"/>
      <c r="B7287" s="238"/>
      <c r="C7287" s="151"/>
      <c r="D7287" s="29"/>
      <c r="E7287" s="30"/>
      <c r="F7287" s="38" t="s">
        <v>418</v>
      </c>
      <c r="G7287" s="31" t="str">
        <f>IF(ISNUMBER(F7287),E7287*F7287,"")</f>
        <v/>
      </c>
      <c r="H7287" s="32"/>
      <c r="I7287" s="28"/>
      <c r="J7287" s="125">
        <v>0</v>
      </c>
    </row>
    <row r="7288" spans="1:10" ht="15.75" hidden="1" thickBot="1" x14ac:dyDescent="0.3">
      <c r="A7288" s="235"/>
      <c r="B7288" s="238"/>
      <c r="C7288" s="155" t="s">
        <v>1298</v>
      </c>
      <c r="D7288" s="155" t="s">
        <v>774</v>
      </c>
      <c r="E7288" s="34">
        <v>0.109</v>
      </c>
      <c r="F7288" s="28">
        <v>9.3384999999999998</v>
      </c>
      <c r="G7288" s="31">
        <f>IF(ISNUMBER(F7288),E7288*F7288,"")</f>
        <v>1.0178965</v>
      </c>
      <c r="H7288" s="35">
        <f>SUM(G7288:G7288)</f>
        <v>1.0178965</v>
      </c>
      <c r="I7288" s="36"/>
      <c r="J7288" s="125">
        <v>0</v>
      </c>
    </row>
    <row r="7289" spans="1:10" ht="15.75" hidden="1" thickBot="1" x14ac:dyDescent="0.3">
      <c r="A7289" s="236"/>
      <c r="B7289" s="239"/>
      <c r="C7289" s="155"/>
      <c r="D7289" s="33"/>
      <c r="E7289" s="34"/>
      <c r="F7289" s="28" t="s">
        <v>418</v>
      </c>
      <c r="G7289" s="31" t="str">
        <f>IF(ISNUMBER(F7289),E7289*F7289,"")</f>
        <v/>
      </c>
      <c r="H7289" s="32"/>
      <c r="I7289" s="28"/>
      <c r="J7289" s="125">
        <v>0</v>
      </c>
    </row>
    <row r="7290" spans="1:10" ht="15.75" hidden="1" thickBot="1" x14ac:dyDescent="0.3">
      <c r="A7290" s="234" t="s">
        <v>15751</v>
      </c>
      <c r="B7290" s="237" t="s">
        <v>15752</v>
      </c>
      <c r="C7290" s="160"/>
      <c r="D7290" s="23" t="s">
        <v>15754</v>
      </c>
      <c r="E7290" s="24"/>
      <c r="F7290" s="37" t="s">
        <v>418</v>
      </c>
      <c r="G7290" s="25" t="str">
        <f>IF(ISNUMBER(F7290),E7290*F7290,"")</f>
        <v/>
      </c>
      <c r="H7290" s="26"/>
      <c r="I7290" s="27"/>
      <c r="J7290" s="125">
        <v>0</v>
      </c>
    </row>
    <row r="7291" spans="1:10" ht="15.75" hidden="1" thickBot="1" x14ac:dyDescent="0.3">
      <c r="A7291" s="235"/>
      <c r="B7291" s="238"/>
      <c r="C7291" s="151"/>
      <c r="D7291" s="29"/>
      <c r="E7291" s="30"/>
      <c r="F7291" s="38" t="s">
        <v>418</v>
      </c>
      <c r="G7291" s="31" t="str">
        <f>IF(ISNUMBER(F7291),E7291*F7291,"")</f>
        <v/>
      </c>
      <c r="H7291" s="32"/>
      <c r="I7291" s="28"/>
      <c r="J7291" s="125">
        <v>0</v>
      </c>
    </row>
    <row r="7292" spans="1:10" ht="15.75" hidden="1" thickBot="1" x14ac:dyDescent="0.3">
      <c r="A7292" s="235"/>
      <c r="B7292" s="238"/>
      <c r="C7292" s="155" t="s">
        <v>16214</v>
      </c>
      <c r="D7292" s="33" t="s">
        <v>81</v>
      </c>
      <c r="E7292" s="34">
        <v>0.1</v>
      </c>
      <c r="F7292" s="28">
        <v>0.95</v>
      </c>
      <c r="G7292" s="31">
        <f>IF(ISNUMBER(F7292),E7292*F7292,"")</f>
        <v>9.5000000000000001E-2</v>
      </c>
      <c r="H7292" s="35">
        <f>SUM(G7292:G7292)</f>
        <v>9.5000000000000001E-2</v>
      </c>
      <c r="I7292" s="36"/>
      <c r="J7292" s="125">
        <v>0</v>
      </c>
    </row>
    <row r="7293" spans="1:10" ht="15.75" hidden="1" thickBot="1" x14ac:dyDescent="0.3">
      <c r="A7293" s="236"/>
      <c r="B7293" s="239"/>
      <c r="C7293" s="164"/>
      <c r="D7293" s="50"/>
      <c r="E7293" s="61"/>
      <c r="F7293" s="62" t="s">
        <v>418</v>
      </c>
      <c r="G7293" s="63" t="str">
        <f>IF(ISNUMBER(F7293),E7293*F7293,"")</f>
        <v/>
      </c>
      <c r="H7293" s="64"/>
      <c r="I7293" s="28"/>
      <c r="J7293" s="125">
        <v>0</v>
      </c>
    </row>
    <row r="7294" spans="1:10" ht="15.75" hidden="1" thickBot="1" x14ac:dyDescent="0.3">
      <c r="A7294" s="234" t="s">
        <v>16219</v>
      </c>
      <c r="B7294" s="237" t="s">
        <v>19593</v>
      </c>
      <c r="C7294" s="160"/>
      <c r="D7294" s="23" t="s">
        <v>16</v>
      </c>
      <c r="E7294" s="24"/>
      <c r="F7294" s="37" t="s">
        <v>418</v>
      </c>
      <c r="G7294" s="25" t="str">
        <f>IF(ISNUMBER(F7294),E7294*F7294,"")</f>
        <v/>
      </c>
      <c r="H7294" s="26"/>
      <c r="I7294" s="27"/>
      <c r="J7294" s="125">
        <v>0</v>
      </c>
    </row>
    <row r="7295" spans="1:10" ht="15.75" hidden="1" thickBot="1" x14ac:dyDescent="0.3">
      <c r="A7295" s="235"/>
      <c r="B7295" s="238"/>
      <c r="C7295" s="151"/>
      <c r="D7295" s="29"/>
      <c r="E7295" s="30"/>
      <c r="F7295" s="38" t="s">
        <v>418</v>
      </c>
      <c r="G7295" s="31" t="str">
        <f>IF(ISNUMBER(F7295),E7295*F7295,"")</f>
        <v/>
      </c>
      <c r="H7295" s="32"/>
      <c r="I7295" s="28"/>
      <c r="J7295" s="125">
        <v>0</v>
      </c>
    </row>
    <row r="7296" spans="1:10" ht="15.75" hidden="1" thickBot="1" x14ac:dyDescent="0.3">
      <c r="A7296" s="235"/>
      <c r="B7296" s="238"/>
      <c r="C7296" s="155" t="s">
        <v>16274</v>
      </c>
      <c r="D7296" s="33" t="s">
        <v>16</v>
      </c>
      <c r="E7296" s="34">
        <v>1</v>
      </c>
      <c r="F7296" s="28">
        <v>0.95</v>
      </c>
      <c r="G7296" s="31">
        <f>IF(ISNUMBER(F7296),E7296*F7296,"")</f>
        <v>0.95</v>
      </c>
      <c r="H7296" s="35">
        <f>SUM(G7296:G7296)</f>
        <v>0.95</v>
      </c>
      <c r="I7296" s="36"/>
      <c r="J7296" s="125">
        <v>0</v>
      </c>
    </row>
    <row r="7297" spans="1:10" ht="15.75" hidden="1" thickBot="1" x14ac:dyDescent="0.3">
      <c r="A7297" s="236"/>
      <c r="B7297" s="239"/>
      <c r="C7297" s="164"/>
      <c r="D7297" s="50"/>
      <c r="E7297" s="61"/>
      <c r="F7297" s="62" t="s">
        <v>418</v>
      </c>
      <c r="G7297" s="63" t="str">
        <f>IF(ISNUMBER(F7297),E7297*F7297,"")</f>
        <v/>
      </c>
      <c r="H7297" s="64"/>
      <c r="I7297" s="28"/>
      <c r="J7297" s="125">
        <v>0</v>
      </c>
    </row>
    <row r="7298" spans="1:10" ht="15.75" hidden="1" thickBot="1" x14ac:dyDescent="0.3">
      <c r="A7298" s="234" t="s">
        <v>16220</v>
      </c>
      <c r="B7298" s="237" t="s">
        <v>16223</v>
      </c>
      <c r="C7298" s="160"/>
      <c r="D7298" s="23" t="s">
        <v>16</v>
      </c>
      <c r="E7298" s="24"/>
      <c r="F7298" s="37" t="s">
        <v>418</v>
      </c>
      <c r="G7298" s="25" t="str">
        <f>IF(ISNUMBER(F7298),E7298*F7298,"")</f>
        <v/>
      </c>
      <c r="H7298" s="26"/>
      <c r="I7298" s="27"/>
      <c r="J7298" s="125">
        <v>0</v>
      </c>
    </row>
    <row r="7299" spans="1:10" ht="15.75" hidden="1" thickBot="1" x14ac:dyDescent="0.3">
      <c r="A7299" s="235"/>
      <c r="B7299" s="238"/>
      <c r="C7299" s="151"/>
      <c r="D7299" s="29"/>
      <c r="E7299" s="30"/>
      <c r="F7299" s="38" t="s">
        <v>418</v>
      </c>
      <c r="G7299" s="31" t="str">
        <f>IF(ISNUMBER(F7299),E7299*F7299,"")</f>
        <v/>
      </c>
      <c r="H7299" s="32"/>
      <c r="I7299" s="28"/>
      <c r="J7299" s="125">
        <v>0</v>
      </c>
    </row>
    <row r="7300" spans="1:10" ht="15.75" hidden="1" thickBot="1" x14ac:dyDescent="0.3">
      <c r="A7300" s="235"/>
      <c r="B7300" s="238"/>
      <c r="C7300" s="155" t="s">
        <v>16276</v>
      </c>
      <c r="D7300" s="33" t="s">
        <v>16</v>
      </c>
      <c r="E7300" s="34">
        <v>1</v>
      </c>
      <c r="F7300" s="28">
        <v>0.95</v>
      </c>
      <c r="G7300" s="31">
        <f>IF(ISNUMBER(F7300),E7300*F7300,"")</f>
        <v>0.95</v>
      </c>
      <c r="H7300" s="35">
        <f>SUM(G7300:G7300)</f>
        <v>0.95</v>
      </c>
      <c r="I7300" s="36"/>
      <c r="J7300" s="125">
        <v>0</v>
      </c>
    </row>
    <row r="7301" spans="1:10" ht="15.75" hidden="1" thickBot="1" x14ac:dyDescent="0.3">
      <c r="A7301" s="236"/>
      <c r="B7301" s="239"/>
      <c r="C7301" s="164"/>
      <c r="D7301" s="50"/>
      <c r="E7301" s="61"/>
      <c r="F7301" s="62" t="s">
        <v>418</v>
      </c>
      <c r="G7301" s="63" t="str">
        <f>IF(ISNUMBER(F7301),E7301*F7301,"")</f>
        <v/>
      </c>
      <c r="H7301" s="64"/>
      <c r="I7301" s="28"/>
      <c r="J7301" s="125">
        <v>0</v>
      </c>
    </row>
    <row r="7302" spans="1:10" ht="15.75" hidden="1" thickBot="1" x14ac:dyDescent="0.3">
      <c r="A7302" s="234" t="s">
        <v>16221</v>
      </c>
      <c r="B7302" s="237" t="s">
        <v>19594</v>
      </c>
      <c r="C7302" s="160"/>
      <c r="D7302" s="23" t="s">
        <v>16</v>
      </c>
      <c r="E7302" s="24"/>
      <c r="F7302" s="37" t="s">
        <v>418</v>
      </c>
      <c r="G7302" s="25" t="str">
        <f>IF(ISNUMBER(F7302),E7302*F7302,"")</f>
        <v/>
      </c>
      <c r="H7302" s="26"/>
      <c r="I7302" s="27"/>
      <c r="J7302" s="125">
        <v>0</v>
      </c>
    </row>
    <row r="7303" spans="1:10" ht="15.75" hidden="1" thickBot="1" x14ac:dyDescent="0.3">
      <c r="A7303" s="235"/>
      <c r="B7303" s="238"/>
      <c r="C7303" s="151"/>
      <c r="D7303" s="29"/>
      <c r="E7303" s="30"/>
      <c r="F7303" s="38" t="s">
        <v>418</v>
      </c>
      <c r="G7303" s="31" t="str">
        <f>IF(ISNUMBER(F7303),E7303*F7303,"")</f>
        <v/>
      </c>
      <c r="H7303" s="32"/>
      <c r="I7303" s="28"/>
      <c r="J7303" s="125">
        <v>0</v>
      </c>
    </row>
    <row r="7304" spans="1:10" ht="15.75" hidden="1" thickBot="1" x14ac:dyDescent="0.3">
      <c r="A7304" s="235"/>
      <c r="B7304" s="238"/>
      <c r="C7304" s="155" t="s">
        <v>16278</v>
      </c>
      <c r="D7304" s="33" t="s">
        <v>16</v>
      </c>
      <c r="E7304" s="34">
        <v>1</v>
      </c>
      <c r="F7304" s="28">
        <v>0.95</v>
      </c>
      <c r="G7304" s="31">
        <f>IF(ISNUMBER(F7304),E7304*F7304,"")</f>
        <v>0.95</v>
      </c>
      <c r="H7304" s="35">
        <f>SUM(G7304:G7304)</f>
        <v>0.95</v>
      </c>
      <c r="I7304" s="36"/>
      <c r="J7304" s="125">
        <v>0</v>
      </c>
    </row>
    <row r="7305" spans="1:10" ht="15.75" hidden="1" thickBot="1" x14ac:dyDescent="0.3">
      <c r="A7305" s="236"/>
      <c r="B7305" s="239"/>
      <c r="C7305" s="164"/>
      <c r="D7305" s="50"/>
      <c r="E7305" s="61"/>
      <c r="F7305" s="62" t="s">
        <v>418</v>
      </c>
      <c r="G7305" s="63" t="str">
        <f>IF(ISNUMBER(F7305),E7305*F7305,"")</f>
        <v/>
      </c>
      <c r="H7305" s="64"/>
      <c r="I7305" s="28"/>
      <c r="J7305" s="125">
        <v>0</v>
      </c>
    </row>
    <row r="7306" spans="1:10" ht="15.75" hidden="1" thickBot="1" x14ac:dyDescent="0.3">
      <c r="A7306" s="234" t="s">
        <v>16222</v>
      </c>
      <c r="B7306" s="237" t="s">
        <v>16224</v>
      </c>
      <c r="C7306" s="160"/>
      <c r="D7306" s="23" t="s">
        <v>69</v>
      </c>
      <c r="E7306" s="24"/>
      <c r="F7306" s="37" t="s">
        <v>418</v>
      </c>
      <c r="G7306" s="25" t="str">
        <f>IF(ISNUMBER(F7306),E7306*F7306,"")</f>
        <v/>
      </c>
      <c r="H7306" s="26"/>
      <c r="I7306" s="27"/>
      <c r="J7306" s="125">
        <v>0</v>
      </c>
    </row>
    <row r="7307" spans="1:10" ht="15.75" hidden="1" thickBot="1" x14ac:dyDescent="0.3">
      <c r="A7307" s="235"/>
      <c r="B7307" s="238"/>
      <c r="C7307" s="151"/>
      <c r="D7307" s="29"/>
      <c r="E7307" s="30"/>
      <c r="F7307" s="38" t="s">
        <v>418</v>
      </c>
      <c r="G7307" s="31" t="str">
        <f>IF(ISNUMBER(F7307),E7307*F7307,"")</f>
        <v/>
      </c>
      <c r="H7307" s="32"/>
      <c r="I7307" s="28"/>
      <c r="J7307" s="125">
        <v>0</v>
      </c>
    </row>
    <row r="7308" spans="1:10" ht="26.25" hidden="1" thickBot="1" x14ac:dyDescent="0.3">
      <c r="A7308" s="235"/>
      <c r="B7308" s="238"/>
      <c r="C7308" s="155" t="s">
        <v>10294</v>
      </c>
      <c r="D7308" s="155" t="s">
        <v>385</v>
      </c>
      <c r="E7308" s="34">
        <v>1</v>
      </c>
      <c r="F7308" s="28">
        <v>16.9575</v>
      </c>
      <c r="G7308" s="31">
        <f>IF(ISNUMBER(F7308),E7308*F7308,"")</f>
        <v>16.9575</v>
      </c>
      <c r="H7308" s="35">
        <f>SUM(G7308:G7308)</f>
        <v>16.9575</v>
      </c>
      <c r="I7308" s="36"/>
      <c r="J7308" s="125">
        <v>0</v>
      </c>
    </row>
    <row r="7309" spans="1:10" ht="15.75" hidden="1" thickBot="1" x14ac:dyDescent="0.3">
      <c r="A7309" s="236"/>
      <c r="B7309" s="239"/>
      <c r="C7309" s="164"/>
      <c r="D7309" s="50"/>
      <c r="E7309" s="61"/>
      <c r="F7309" s="62" t="s">
        <v>418</v>
      </c>
      <c r="G7309" s="63" t="str">
        <f>IF(ISNUMBER(F7309),E7309*F7309,"")</f>
        <v/>
      </c>
      <c r="H7309" s="64"/>
      <c r="I7309" s="28"/>
      <c r="J7309" s="125">
        <v>0</v>
      </c>
    </row>
    <row r="7310" spans="1:10" ht="15.75" hidden="1" thickBot="1" x14ac:dyDescent="0.3">
      <c r="A7310" s="234" t="s">
        <v>16226</v>
      </c>
      <c r="B7310" s="237" t="s">
        <v>16225</v>
      </c>
      <c r="C7310" s="160"/>
      <c r="D7310" s="23" t="s">
        <v>69</v>
      </c>
      <c r="E7310" s="24"/>
      <c r="F7310" s="37" t="s">
        <v>418</v>
      </c>
      <c r="G7310" s="25" t="str">
        <f>IF(ISNUMBER(F7310),E7310*F7310,"")</f>
        <v/>
      </c>
      <c r="H7310" s="26"/>
      <c r="I7310" s="27"/>
      <c r="J7310" s="125">
        <v>0</v>
      </c>
    </row>
    <row r="7311" spans="1:10" ht="15.75" hidden="1" thickBot="1" x14ac:dyDescent="0.3">
      <c r="A7311" s="235"/>
      <c r="B7311" s="238"/>
      <c r="C7311" s="151"/>
      <c r="D7311" s="29"/>
      <c r="E7311" s="30"/>
      <c r="F7311" s="38" t="s">
        <v>418</v>
      </c>
      <c r="G7311" s="31" t="str">
        <f>IF(ISNUMBER(F7311),E7311*F7311,"")</f>
        <v/>
      </c>
      <c r="H7311" s="32"/>
      <c r="I7311" s="28"/>
      <c r="J7311" s="125">
        <v>0</v>
      </c>
    </row>
    <row r="7312" spans="1:10" ht="26.25" hidden="1" thickBot="1" x14ac:dyDescent="0.3">
      <c r="A7312" s="235"/>
      <c r="B7312" s="238"/>
      <c r="C7312" s="155" t="s">
        <v>10293</v>
      </c>
      <c r="D7312" s="155" t="s">
        <v>385</v>
      </c>
      <c r="E7312" s="34">
        <v>1</v>
      </c>
      <c r="F7312" s="28">
        <v>23.483999999999998</v>
      </c>
      <c r="G7312" s="31">
        <f>IF(ISNUMBER(F7312),E7312*F7312,"")</f>
        <v>23.483999999999998</v>
      </c>
      <c r="H7312" s="35">
        <f>SUM(G7312:G7312)</f>
        <v>23.483999999999998</v>
      </c>
      <c r="I7312" s="36"/>
      <c r="J7312" s="125">
        <v>0</v>
      </c>
    </row>
    <row r="7313" spans="1:10" ht="15.75" hidden="1" thickBot="1" x14ac:dyDescent="0.3">
      <c r="A7313" s="236"/>
      <c r="B7313" s="239"/>
      <c r="C7313" s="164"/>
      <c r="D7313" s="50"/>
      <c r="E7313" s="61"/>
      <c r="F7313" s="62" t="s">
        <v>418</v>
      </c>
      <c r="G7313" s="63" t="str">
        <f>IF(ISNUMBER(F7313),E7313*F7313,"")</f>
        <v/>
      </c>
      <c r="H7313" s="64"/>
      <c r="I7313" s="28"/>
      <c r="J7313" s="125">
        <v>0</v>
      </c>
    </row>
    <row r="7314" spans="1:10" ht="15.75" hidden="1" thickBot="1" x14ac:dyDescent="0.3">
      <c r="A7314" s="234" t="s">
        <v>16227</v>
      </c>
      <c r="B7314" s="237" t="s">
        <v>17149</v>
      </c>
      <c r="C7314" s="160"/>
      <c r="D7314" s="23" t="s">
        <v>70</v>
      </c>
      <c r="E7314" s="24"/>
      <c r="F7314" s="44" t="s">
        <v>418</v>
      </c>
      <c r="G7314" s="25" t="str">
        <f>IF(ISNUMBER(F7314),E7314*F7314,"")</f>
        <v/>
      </c>
      <c r="H7314" s="26"/>
      <c r="I7314" s="27"/>
      <c r="J7314" s="125">
        <v>0</v>
      </c>
    </row>
    <row r="7315" spans="1:10" ht="15.75" hidden="1" thickBot="1" x14ac:dyDescent="0.3">
      <c r="A7315" s="249"/>
      <c r="B7315" s="240"/>
      <c r="C7315" s="135"/>
      <c r="D7315" s="135"/>
      <c r="E7315" s="136"/>
      <c r="F7315" s="49" t="s">
        <v>418</v>
      </c>
      <c r="G7315" s="49" t="str">
        <f>IF(ISNUMBER(F7315),E7315*F7315,"")</f>
        <v/>
      </c>
      <c r="H7315" s="65"/>
      <c r="I7315" s="66"/>
      <c r="J7315" s="125">
        <v>0</v>
      </c>
    </row>
    <row r="7316" spans="1:10" ht="39" hidden="1" thickBot="1" x14ac:dyDescent="0.3">
      <c r="A7316" s="249"/>
      <c r="B7316" s="240"/>
      <c r="C7316" s="155" t="s">
        <v>38865</v>
      </c>
      <c r="D7316" s="155" t="s">
        <v>870</v>
      </c>
      <c r="E7316" s="130">
        <v>1.05</v>
      </c>
      <c r="F7316" s="28">
        <v>269.9615</v>
      </c>
      <c r="G7316" s="49">
        <f>IF(ISNUMBER(F7316),E7316*F7316,"")</f>
        <v>283.45957500000003</v>
      </c>
      <c r="H7316" s="35">
        <f>SUM(G7316:G7319)</f>
        <v>364.18312700000001</v>
      </c>
      <c r="I7316" s="36"/>
      <c r="J7316" s="125">
        <v>0</v>
      </c>
    </row>
    <row r="7317" spans="1:10" ht="15.75" hidden="1" thickBot="1" x14ac:dyDescent="0.3">
      <c r="A7317" s="249"/>
      <c r="B7317" s="240"/>
      <c r="C7317" s="155" t="s">
        <v>23679</v>
      </c>
      <c r="D7317" s="155" t="s">
        <v>774</v>
      </c>
      <c r="E7317" s="34">
        <v>9.8000000000000007</v>
      </c>
      <c r="F7317" s="31">
        <v>3.952</v>
      </c>
      <c r="G7317" s="31">
        <f>IF(ISNUMBER(F7317),E7317*F7317,"")</f>
        <v>38.729600000000005</v>
      </c>
      <c r="H7317" s="32"/>
      <c r="I7317" s="28"/>
      <c r="J7317" s="125">
        <v>0</v>
      </c>
    </row>
    <row r="7318" spans="1:10" ht="15.75" hidden="1" thickBot="1" x14ac:dyDescent="0.3">
      <c r="A7318" s="249"/>
      <c r="B7318" s="240"/>
      <c r="C7318" s="155" t="s">
        <v>1087</v>
      </c>
      <c r="D7318" s="155" t="s">
        <v>587</v>
      </c>
      <c r="E7318" s="34">
        <v>1.196</v>
      </c>
      <c r="F7318" s="28">
        <v>25.516999999999999</v>
      </c>
      <c r="G7318" s="49">
        <f>IF(ISNUMBER(F7318),E7318*F7318,"")</f>
        <v>30.518331999999997</v>
      </c>
      <c r="H7318" s="39"/>
      <c r="I7318" s="36"/>
      <c r="J7318" s="125">
        <v>0</v>
      </c>
    </row>
    <row r="7319" spans="1:10" ht="15.75" hidden="1" thickBot="1" x14ac:dyDescent="0.3">
      <c r="A7319" s="249"/>
      <c r="B7319" s="240"/>
      <c r="C7319" s="155" t="s">
        <v>588</v>
      </c>
      <c r="D7319" s="155" t="s">
        <v>587</v>
      </c>
      <c r="E7319" s="34">
        <v>0.59799999999999998</v>
      </c>
      <c r="F7319" s="28">
        <v>19.189999999999998</v>
      </c>
      <c r="G7319" s="49">
        <f>IF(ISNUMBER(F7319),E7319*F7319,"")</f>
        <v>11.475619999999997</v>
      </c>
      <c r="H7319" s="39"/>
      <c r="I7319" s="36"/>
      <c r="J7319" s="125">
        <v>0</v>
      </c>
    </row>
    <row r="7320" spans="1:10" ht="15.75" hidden="1" thickBot="1" x14ac:dyDescent="0.3">
      <c r="A7320" s="250"/>
      <c r="B7320" s="239"/>
      <c r="C7320" s="164"/>
      <c r="D7320" s="132"/>
      <c r="E7320" s="61"/>
      <c r="F7320" s="68" t="s">
        <v>418</v>
      </c>
      <c r="G7320" s="68" t="str">
        <f>IF(ISNUMBER(F7320),E7320*F7320,"")</f>
        <v/>
      </c>
      <c r="H7320" s="69"/>
      <c r="I7320" s="66"/>
      <c r="J7320" s="125">
        <v>0</v>
      </c>
    </row>
    <row r="7321" spans="1:10" ht="15.75" hidden="1" thickBot="1" x14ac:dyDescent="0.3">
      <c r="A7321" s="234" t="s">
        <v>16228</v>
      </c>
      <c r="B7321" s="237" t="s">
        <v>17150</v>
      </c>
      <c r="C7321" s="160"/>
      <c r="D7321" s="23" t="s">
        <v>69</v>
      </c>
      <c r="E7321" s="24"/>
      <c r="F7321" s="44" t="s">
        <v>418</v>
      </c>
      <c r="G7321" s="25" t="str">
        <f>IF(ISNUMBER(F7321),E7321*F7321,"")</f>
        <v/>
      </c>
      <c r="H7321" s="26"/>
      <c r="I7321" s="27"/>
      <c r="J7321" s="125">
        <v>0</v>
      </c>
    </row>
    <row r="7322" spans="1:10" ht="15.75" hidden="1" thickBot="1" x14ac:dyDescent="0.3">
      <c r="A7322" s="249"/>
      <c r="B7322" s="240"/>
      <c r="C7322" s="135"/>
      <c r="D7322" s="135"/>
      <c r="E7322" s="136"/>
      <c r="F7322" s="49" t="s">
        <v>418</v>
      </c>
      <c r="G7322" s="49" t="str">
        <f>IF(ISNUMBER(F7322),E7322*F7322,"")</f>
        <v/>
      </c>
      <c r="H7322" s="65"/>
      <c r="I7322" s="66"/>
      <c r="J7322" s="125">
        <v>0</v>
      </c>
    </row>
    <row r="7323" spans="1:10" ht="39" hidden="1" thickBot="1" x14ac:dyDescent="0.3">
      <c r="A7323" s="249"/>
      <c r="B7323" s="240"/>
      <c r="C7323" s="155" t="s">
        <v>25278</v>
      </c>
      <c r="D7323" s="155" t="s">
        <v>385</v>
      </c>
      <c r="E7323" s="130">
        <v>1.1000000000000001</v>
      </c>
      <c r="F7323" s="28">
        <v>12.520999999999999</v>
      </c>
      <c r="G7323" s="49">
        <f>IF(ISNUMBER(F7323),E7323*F7323,"")</f>
        <v>13.773099999999999</v>
      </c>
      <c r="H7323" s="35">
        <f>SUM(G7323:G7325)</f>
        <v>21.599605650000001</v>
      </c>
      <c r="I7323" s="36"/>
      <c r="J7323" s="125">
        <v>0</v>
      </c>
    </row>
    <row r="7324" spans="1:10" ht="15.75" hidden="1" thickBot="1" x14ac:dyDescent="0.3">
      <c r="A7324" s="249"/>
      <c r="B7324" s="240"/>
      <c r="C7324" s="155" t="s">
        <v>1022</v>
      </c>
      <c r="D7324" s="155" t="s">
        <v>587</v>
      </c>
      <c r="E7324" s="34">
        <v>0.1721</v>
      </c>
      <c r="F7324" s="31">
        <v>19.522500000000001</v>
      </c>
      <c r="G7324" s="31">
        <f>IF(ISNUMBER(F7324),E7324*F7324,"")</f>
        <v>3.3598222500000001</v>
      </c>
      <c r="H7324" s="32"/>
      <c r="I7324" s="28"/>
      <c r="J7324" s="125">
        <v>0</v>
      </c>
    </row>
    <row r="7325" spans="1:10" ht="15.75" hidden="1" thickBot="1" x14ac:dyDescent="0.3">
      <c r="A7325" s="249"/>
      <c r="B7325" s="240"/>
      <c r="C7325" s="155" t="s">
        <v>1023</v>
      </c>
      <c r="D7325" s="155" t="s">
        <v>587</v>
      </c>
      <c r="E7325" s="34">
        <v>0.1721</v>
      </c>
      <c r="F7325" s="28">
        <v>25.954000000000001</v>
      </c>
      <c r="G7325" s="49">
        <f>IF(ISNUMBER(F7325),E7325*F7325,"")</f>
        <v>4.4666834</v>
      </c>
      <c r="H7325" s="39"/>
      <c r="I7325" s="36"/>
      <c r="J7325" s="125">
        <v>0</v>
      </c>
    </row>
    <row r="7326" spans="1:10" ht="15.75" hidden="1" thickBot="1" x14ac:dyDescent="0.3">
      <c r="A7326" s="250"/>
      <c r="B7326" s="239"/>
      <c r="C7326" s="164"/>
      <c r="D7326" s="132"/>
      <c r="E7326" s="61"/>
      <c r="F7326" s="68" t="s">
        <v>418</v>
      </c>
      <c r="G7326" s="68" t="str">
        <f>IF(ISNUMBER(F7326),E7326*F7326,"")</f>
        <v/>
      </c>
      <c r="H7326" s="69"/>
      <c r="I7326" s="66"/>
      <c r="J7326" s="125">
        <v>0</v>
      </c>
    </row>
    <row r="7327" spans="1:10" ht="15.75" hidden="1" thickBot="1" x14ac:dyDescent="0.3">
      <c r="A7327" s="234" t="s">
        <v>16229</v>
      </c>
      <c r="B7327" s="237" t="s">
        <v>19592</v>
      </c>
      <c r="C7327" s="160"/>
      <c r="D7327" s="23" t="s">
        <v>16</v>
      </c>
      <c r="E7327" s="24"/>
      <c r="F7327" s="44" t="s">
        <v>418</v>
      </c>
      <c r="G7327" s="25" t="str">
        <f>IF(ISNUMBER(F7327),E7327*F7327,"")</f>
        <v/>
      </c>
      <c r="H7327" s="26"/>
      <c r="I7327" s="27"/>
      <c r="J7327" s="125">
        <v>0</v>
      </c>
    </row>
    <row r="7328" spans="1:10" ht="15.75" hidden="1" thickBot="1" x14ac:dyDescent="0.3">
      <c r="A7328" s="249"/>
      <c r="B7328" s="240"/>
      <c r="C7328" s="135"/>
      <c r="D7328" s="135"/>
      <c r="E7328" s="136"/>
      <c r="F7328" s="49" t="s">
        <v>418</v>
      </c>
      <c r="G7328" s="49" t="str">
        <f>IF(ISNUMBER(F7328),E7328*F7328,"")</f>
        <v/>
      </c>
      <c r="H7328" s="65"/>
      <c r="I7328" s="66"/>
      <c r="J7328" s="125">
        <v>0</v>
      </c>
    </row>
    <row r="7329" spans="1:10" ht="15.75" hidden="1" thickBot="1" x14ac:dyDescent="0.3">
      <c r="A7329" s="249"/>
      <c r="B7329" s="240"/>
      <c r="C7329" s="155" t="s">
        <v>24103</v>
      </c>
      <c r="D7329" s="155" t="s">
        <v>385</v>
      </c>
      <c r="E7329" s="130">
        <v>9</v>
      </c>
      <c r="F7329" s="28">
        <v>38</v>
      </c>
      <c r="G7329" s="49">
        <f>IF(ISNUMBER(F7329),E7329*F7329,"")</f>
        <v>342</v>
      </c>
      <c r="H7329" s="35">
        <f>SUM(G7329:G7333)</f>
        <v>3303.5750109999999</v>
      </c>
      <c r="I7329" s="36"/>
      <c r="J7329" s="125">
        <v>0</v>
      </c>
    </row>
    <row r="7330" spans="1:10" ht="51.75" hidden="1" thickBot="1" x14ac:dyDescent="0.3">
      <c r="A7330" s="249"/>
      <c r="B7330" s="240"/>
      <c r="C7330" s="155" t="s">
        <v>2421</v>
      </c>
      <c r="D7330" s="155" t="s">
        <v>814</v>
      </c>
      <c r="E7330" s="34">
        <v>7.6999999999999999E-2</v>
      </c>
      <c r="F7330" s="31">
        <v>274.27449999999999</v>
      </c>
      <c r="G7330" s="31">
        <f>IF(ISNUMBER(F7330),E7330*F7330,"")</f>
        <v>21.1191365</v>
      </c>
      <c r="H7330" s="32"/>
      <c r="I7330" s="28"/>
      <c r="J7330" s="125">
        <v>0</v>
      </c>
    </row>
    <row r="7331" spans="1:10" ht="15.75" hidden="1" thickBot="1" x14ac:dyDescent="0.3">
      <c r="A7331" s="249"/>
      <c r="B7331" s="240"/>
      <c r="C7331" s="155" t="s">
        <v>1022</v>
      </c>
      <c r="D7331" s="155" t="s">
        <v>587</v>
      </c>
      <c r="E7331" s="34">
        <v>1.2330000000000001</v>
      </c>
      <c r="F7331" s="28">
        <v>19.522500000000001</v>
      </c>
      <c r="G7331" s="49">
        <f>IF(ISNUMBER(F7331),E7331*F7331,"")</f>
        <v>24.071242500000004</v>
      </c>
      <c r="H7331" s="39"/>
      <c r="I7331" s="36"/>
      <c r="J7331" s="125">
        <v>0</v>
      </c>
    </row>
    <row r="7332" spans="1:10" ht="15.75" hidden="1" thickBot="1" x14ac:dyDescent="0.3">
      <c r="A7332" s="249"/>
      <c r="B7332" s="240"/>
      <c r="C7332" s="155" t="s">
        <v>1023</v>
      </c>
      <c r="D7332" s="155" t="s">
        <v>587</v>
      </c>
      <c r="E7332" s="34">
        <v>4.008</v>
      </c>
      <c r="F7332" s="28">
        <v>25.954000000000001</v>
      </c>
      <c r="G7332" s="49">
        <f>IF(ISNUMBER(F7332),E7332*F7332,"")</f>
        <v>104.02363200000001</v>
      </c>
      <c r="H7332" s="39"/>
      <c r="I7332" s="36"/>
      <c r="J7332" s="125">
        <v>0</v>
      </c>
    </row>
    <row r="7333" spans="1:10" ht="26.25" hidden="1" thickBot="1" x14ac:dyDescent="0.3">
      <c r="A7333" s="249"/>
      <c r="B7333" s="240"/>
      <c r="C7333" s="155" t="s">
        <v>27037</v>
      </c>
      <c r="D7333" s="155" t="s">
        <v>205</v>
      </c>
      <c r="E7333" s="34">
        <v>1</v>
      </c>
      <c r="F7333" s="28">
        <v>2812.3609999999999</v>
      </c>
      <c r="G7333" s="49">
        <f>IF(ISNUMBER(F7333),E7333*F7333,"")</f>
        <v>2812.3609999999999</v>
      </c>
      <c r="H7333" s="39"/>
      <c r="I7333" s="36"/>
      <c r="J7333" s="125">
        <v>0</v>
      </c>
    </row>
    <row r="7334" spans="1:10" ht="15.75" hidden="1" thickBot="1" x14ac:dyDescent="0.3">
      <c r="A7334" s="250"/>
      <c r="B7334" s="239"/>
      <c r="C7334" s="164"/>
      <c r="D7334" s="132"/>
      <c r="E7334" s="61"/>
      <c r="F7334" s="68" t="s">
        <v>418</v>
      </c>
      <c r="G7334" s="68" t="str">
        <f>IF(ISNUMBER(F7334),E7334*F7334,"")</f>
        <v/>
      </c>
      <c r="H7334" s="69"/>
      <c r="I7334" s="66"/>
      <c r="J7334" s="125">
        <v>0</v>
      </c>
    </row>
    <row r="7335" spans="1:10" ht="15.75" hidden="1" thickBot="1" x14ac:dyDescent="0.3">
      <c r="A7335" s="234" t="s">
        <v>16230</v>
      </c>
      <c r="B7335" s="237" t="s">
        <v>19591</v>
      </c>
      <c r="C7335" s="160"/>
      <c r="D7335" s="23" t="s">
        <v>16</v>
      </c>
      <c r="E7335" s="24"/>
      <c r="F7335" s="44" t="s">
        <v>418</v>
      </c>
      <c r="G7335" s="25" t="str">
        <f>IF(ISNUMBER(F7335),E7335*F7335,"")</f>
        <v/>
      </c>
      <c r="H7335" s="26"/>
      <c r="I7335" s="27"/>
      <c r="J7335" s="125">
        <v>0</v>
      </c>
    </row>
    <row r="7336" spans="1:10" ht="15.75" hidden="1" thickBot="1" x14ac:dyDescent="0.3">
      <c r="A7336" s="249"/>
      <c r="B7336" s="240"/>
      <c r="C7336" s="135"/>
      <c r="D7336" s="135"/>
      <c r="E7336" s="136"/>
      <c r="F7336" s="49" t="s">
        <v>418</v>
      </c>
      <c r="G7336" s="49" t="str">
        <f>IF(ISNUMBER(F7336),E7336*F7336,"")</f>
        <v/>
      </c>
      <c r="H7336" s="65"/>
      <c r="I7336" s="66"/>
      <c r="J7336" s="125">
        <v>0</v>
      </c>
    </row>
    <row r="7337" spans="1:10" ht="15.75" hidden="1" thickBot="1" x14ac:dyDescent="0.3">
      <c r="A7337" s="249"/>
      <c r="B7337" s="240"/>
      <c r="C7337" s="155" t="s">
        <v>24103</v>
      </c>
      <c r="D7337" s="155" t="s">
        <v>385</v>
      </c>
      <c r="E7337" s="130">
        <v>12</v>
      </c>
      <c r="F7337" s="28">
        <v>38</v>
      </c>
      <c r="G7337" s="49">
        <f>IF(ISNUMBER(F7337),E7337*F7337,"")</f>
        <v>456</v>
      </c>
      <c r="H7337" s="35">
        <f>SUM(G7337:G7341)</f>
        <v>2469.1654344999997</v>
      </c>
      <c r="I7337" s="36"/>
      <c r="J7337" s="125">
        <v>0</v>
      </c>
    </row>
    <row r="7338" spans="1:10" ht="51.75" hidden="1" thickBot="1" x14ac:dyDescent="0.3">
      <c r="A7338" s="249"/>
      <c r="B7338" s="240"/>
      <c r="C7338" s="155" t="s">
        <v>2421</v>
      </c>
      <c r="D7338" s="155" t="s">
        <v>814</v>
      </c>
      <c r="E7338" s="34">
        <v>9.9000000000000005E-2</v>
      </c>
      <c r="F7338" s="31">
        <v>274.27449999999999</v>
      </c>
      <c r="G7338" s="31">
        <f>IF(ISNUMBER(F7338),E7338*F7338,"")</f>
        <v>27.1531755</v>
      </c>
      <c r="H7338" s="32"/>
      <c r="I7338" s="28"/>
      <c r="J7338" s="125">
        <v>0</v>
      </c>
    </row>
    <row r="7339" spans="1:10" ht="15.75" hidden="1" thickBot="1" x14ac:dyDescent="0.3">
      <c r="A7339" s="249"/>
      <c r="B7339" s="240"/>
      <c r="C7339" s="155" t="s">
        <v>1022</v>
      </c>
      <c r="D7339" s="155" t="s">
        <v>587</v>
      </c>
      <c r="E7339" s="34">
        <v>2.234</v>
      </c>
      <c r="F7339" s="28">
        <v>19.522500000000001</v>
      </c>
      <c r="G7339" s="49">
        <f>IF(ISNUMBER(F7339),E7339*F7339,"")</f>
        <v>43.613264999999998</v>
      </c>
      <c r="H7339" s="39"/>
      <c r="I7339" s="36"/>
      <c r="J7339" s="125">
        <v>0</v>
      </c>
    </row>
    <row r="7340" spans="1:10" ht="15.75" hidden="1" thickBot="1" x14ac:dyDescent="0.3">
      <c r="A7340" s="249"/>
      <c r="B7340" s="240"/>
      <c r="C7340" s="155" t="s">
        <v>1023</v>
      </c>
      <c r="D7340" s="155" t="s">
        <v>587</v>
      </c>
      <c r="E7340" s="34">
        <v>7.2610000000000001</v>
      </c>
      <c r="F7340" s="28">
        <v>25.954000000000001</v>
      </c>
      <c r="G7340" s="49">
        <f>IF(ISNUMBER(F7340),E7340*F7340,"")</f>
        <v>188.45199400000001</v>
      </c>
      <c r="H7340" s="39"/>
      <c r="I7340" s="36"/>
      <c r="J7340" s="125">
        <v>0</v>
      </c>
    </row>
    <row r="7341" spans="1:10" ht="26.25" hidden="1" thickBot="1" x14ac:dyDescent="0.3">
      <c r="A7341" s="249"/>
      <c r="B7341" s="240"/>
      <c r="C7341" s="155" t="s">
        <v>27055</v>
      </c>
      <c r="D7341" s="155" t="s">
        <v>205</v>
      </c>
      <c r="E7341" s="34">
        <v>1</v>
      </c>
      <c r="F7341" s="28">
        <v>1753.9469999999999</v>
      </c>
      <c r="G7341" s="49">
        <f>IF(ISNUMBER(F7341),E7341*F7341,"")</f>
        <v>1753.9469999999999</v>
      </c>
      <c r="H7341" s="39"/>
      <c r="I7341" s="36"/>
      <c r="J7341" s="125">
        <v>0</v>
      </c>
    </row>
    <row r="7342" spans="1:10" ht="15.75" hidden="1" thickBot="1" x14ac:dyDescent="0.3">
      <c r="A7342" s="250"/>
      <c r="B7342" s="239"/>
      <c r="C7342" s="164"/>
      <c r="D7342" s="132"/>
      <c r="E7342" s="61"/>
      <c r="F7342" s="68" t="s">
        <v>418</v>
      </c>
      <c r="G7342" s="68" t="str">
        <f>IF(ISNUMBER(F7342),E7342*F7342,"")</f>
        <v/>
      </c>
      <c r="H7342" s="69"/>
      <c r="I7342" s="66"/>
      <c r="J7342" s="125">
        <v>0</v>
      </c>
    </row>
    <row r="7343" spans="1:10" ht="15.75" hidden="1" thickBot="1" x14ac:dyDescent="0.3">
      <c r="A7343" s="234" t="s">
        <v>16231</v>
      </c>
      <c r="B7343" s="237" t="s">
        <v>17248</v>
      </c>
      <c r="C7343" s="160"/>
      <c r="D7343" s="23" t="s">
        <v>16</v>
      </c>
      <c r="E7343" s="24"/>
      <c r="F7343" s="44" t="s">
        <v>418</v>
      </c>
      <c r="G7343" s="25" t="str">
        <f>IF(ISNUMBER(F7343),E7343*F7343,"")</f>
        <v/>
      </c>
      <c r="H7343" s="26"/>
      <c r="I7343" s="27"/>
      <c r="J7343" s="125">
        <v>0</v>
      </c>
    </row>
    <row r="7344" spans="1:10" ht="15.75" hidden="1" thickBot="1" x14ac:dyDescent="0.3">
      <c r="A7344" s="249"/>
      <c r="B7344" s="240"/>
      <c r="C7344" s="135"/>
      <c r="D7344" s="135"/>
      <c r="E7344" s="136"/>
      <c r="F7344" s="49" t="s">
        <v>418</v>
      </c>
      <c r="G7344" s="49" t="str">
        <f>IF(ISNUMBER(F7344),E7344*F7344,"")</f>
        <v/>
      </c>
      <c r="H7344" s="65"/>
      <c r="I7344" s="66"/>
      <c r="J7344" s="125">
        <v>0</v>
      </c>
    </row>
    <row r="7345" spans="1:10" ht="26.25" hidden="1" thickBot="1" x14ac:dyDescent="0.3">
      <c r="A7345" s="249"/>
      <c r="B7345" s="240"/>
      <c r="C7345" s="155" t="s">
        <v>17253</v>
      </c>
      <c r="D7345" s="33" t="s">
        <v>16</v>
      </c>
      <c r="E7345" s="34">
        <v>1</v>
      </c>
      <c r="F7345" s="28">
        <v>0.95</v>
      </c>
      <c r="G7345" s="49">
        <f>IF(ISNUMBER(F7345),E7345*F7345,"")</f>
        <v>0.95</v>
      </c>
      <c r="H7345" s="35">
        <f>SUM(G7345:G7347)</f>
        <v>12.319125</v>
      </c>
      <c r="I7345" s="36"/>
      <c r="J7345" s="125">
        <v>0</v>
      </c>
    </row>
    <row r="7346" spans="1:10" ht="15.75" hidden="1" thickBot="1" x14ac:dyDescent="0.3">
      <c r="A7346" s="249"/>
      <c r="B7346" s="240"/>
      <c r="C7346" s="155" t="s">
        <v>1022</v>
      </c>
      <c r="D7346" s="155" t="s">
        <v>587</v>
      </c>
      <c r="E7346" s="34">
        <v>0.25</v>
      </c>
      <c r="F7346" s="31">
        <v>19.522500000000001</v>
      </c>
      <c r="G7346" s="31">
        <f>IF(ISNUMBER(F7346),E7346*F7346,"")</f>
        <v>4.8806250000000002</v>
      </c>
      <c r="H7346" s="32"/>
      <c r="I7346" s="28"/>
      <c r="J7346" s="125">
        <v>0</v>
      </c>
    </row>
    <row r="7347" spans="1:10" ht="15.75" hidden="1" thickBot="1" x14ac:dyDescent="0.3">
      <c r="A7347" s="249"/>
      <c r="B7347" s="240"/>
      <c r="C7347" s="155" t="s">
        <v>1023</v>
      </c>
      <c r="D7347" s="155" t="s">
        <v>587</v>
      </c>
      <c r="E7347" s="34">
        <v>0.25</v>
      </c>
      <c r="F7347" s="28">
        <v>25.954000000000001</v>
      </c>
      <c r="G7347" s="49">
        <f>IF(ISNUMBER(F7347),E7347*F7347,"")</f>
        <v>6.4885000000000002</v>
      </c>
      <c r="H7347" s="39"/>
      <c r="I7347" s="36"/>
      <c r="J7347" s="125">
        <v>0</v>
      </c>
    </row>
    <row r="7348" spans="1:10" ht="15.75" hidden="1" thickBot="1" x14ac:dyDescent="0.3">
      <c r="A7348" s="250"/>
      <c r="B7348" s="239"/>
      <c r="C7348" s="164"/>
      <c r="D7348" s="132"/>
      <c r="E7348" s="61"/>
      <c r="F7348" s="68" t="s">
        <v>418</v>
      </c>
      <c r="G7348" s="68" t="str">
        <f>IF(ISNUMBER(F7348),E7348*F7348,"")</f>
        <v/>
      </c>
      <c r="H7348" s="69"/>
      <c r="I7348" s="66"/>
      <c r="J7348" s="125">
        <v>0</v>
      </c>
    </row>
    <row r="7349" spans="1:10" ht="15.75" hidden="1" thickBot="1" x14ac:dyDescent="0.3">
      <c r="A7349" s="234" t="s">
        <v>16232</v>
      </c>
      <c r="B7349" s="237" t="s">
        <v>17249</v>
      </c>
      <c r="C7349" s="160"/>
      <c r="D7349" s="23" t="s">
        <v>16</v>
      </c>
      <c r="E7349" s="24"/>
      <c r="F7349" s="44" t="s">
        <v>418</v>
      </c>
      <c r="G7349" s="25" t="str">
        <f>IF(ISNUMBER(F7349),E7349*F7349,"")</f>
        <v/>
      </c>
      <c r="H7349" s="26"/>
      <c r="I7349" s="27"/>
      <c r="J7349" s="125">
        <v>0</v>
      </c>
    </row>
    <row r="7350" spans="1:10" ht="15.75" hidden="1" thickBot="1" x14ac:dyDescent="0.3">
      <c r="A7350" s="249"/>
      <c r="B7350" s="240"/>
      <c r="C7350" s="135"/>
      <c r="D7350" s="135"/>
      <c r="E7350" s="136"/>
      <c r="F7350" s="49" t="s">
        <v>418</v>
      </c>
      <c r="G7350" s="49" t="str">
        <f>IF(ISNUMBER(F7350),E7350*F7350,"")</f>
        <v/>
      </c>
      <c r="H7350" s="65"/>
      <c r="I7350" s="66"/>
      <c r="J7350" s="125">
        <v>0</v>
      </c>
    </row>
    <row r="7351" spans="1:10" ht="15.75" hidden="1" thickBot="1" x14ac:dyDescent="0.3">
      <c r="A7351" s="249"/>
      <c r="B7351" s="240"/>
      <c r="C7351" s="155" t="s">
        <v>1022</v>
      </c>
      <c r="D7351" s="155" t="s">
        <v>587</v>
      </c>
      <c r="E7351" s="34">
        <v>5</v>
      </c>
      <c r="F7351" s="31">
        <v>19.522500000000001</v>
      </c>
      <c r="G7351" s="49">
        <f>IF(ISNUMBER(F7351),E7351*F7351,"")</f>
        <v>97.612500000000011</v>
      </c>
      <c r="H7351" s="35">
        <f>SUM(G7351:G7352)</f>
        <v>227.38250000000002</v>
      </c>
      <c r="I7351" s="36"/>
      <c r="J7351" s="125">
        <v>0</v>
      </c>
    </row>
    <row r="7352" spans="1:10" ht="15.75" hidden="1" thickBot="1" x14ac:dyDescent="0.3">
      <c r="A7352" s="249"/>
      <c r="B7352" s="240"/>
      <c r="C7352" s="155" t="s">
        <v>1023</v>
      </c>
      <c r="D7352" s="155" t="s">
        <v>587</v>
      </c>
      <c r="E7352" s="34">
        <v>5</v>
      </c>
      <c r="F7352" s="28">
        <v>25.954000000000001</v>
      </c>
      <c r="G7352" s="31">
        <f>IF(ISNUMBER(F7352),E7352*F7352,"")</f>
        <v>129.77000000000001</v>
      </c>
      <c r="H7352" s="32"/>
      <c r="I7352" s="28"/>
      <c r="J7352" s="125">
        <v>0</v>
      </c>
    </row>
    <row r="7353" spans="1:10" ht="15.75" hidden="1" thickBot="1" x14ac:dyDescent="0.3">
      <c r="A7353" s="250"/>
      <c r="B7353" s="239"/>
      <c r="C7353" s="164"/>
      <c r="D7353" s="132"/>
      <c r="E7353" s="61"/>
      <c r="F7353" s="68" t="s">
        <v>418</v>
      </c>
      <c r="G7353" s="68" t="str">
        <f>IF(ISNUMBER(F7353),E7353*F7353,"")</f>
        <v/>
      </c>
      <c r="H7353" s="69"/>
      <c r="I7353" s="66"/>
      <c r="J7353" s="125">
        <v>0</v>
      </c>
    </row>
    <row r="7354" spans="1:10" ht="15.75" hidden="1" thickBot="1" x14ac:dyDescent="0.3">
      <c r="A7354" s="234" t="s">
        <v>16233</v>
      </c>
      <c r="B7354" s="237" t="s">
        <v>17250</v>
      </c>
      <c r="C7354" s="160"/>
      <c r="D7354" s="23" t="s">
        <v>16</v>
      </c>
      <c r="E7354" s="24"/>
      <c r="F7354" s="44" t="s">
        <v>418</v>
      </c>
      <c r="G7354" s="25" t="str">
        <f>IF(ISNUMBER(F7354),E7354*F7354,"")</f>
        <v/>
      </c>
      <c r="H7354" s="26"/>
      <c r="I7354" s="27"/>
      <c r="J7354" s="125">
        <v>0</v>
      </c>
    </row>
    <row r="7355" spans="1:10" ht="15.75" hidden="1" thickBot="1" x14ac:dyDescent="0.3">
      <c r="A7355" s="249"/>
      <c r="B7355" s="240"/>
      <c r="C7355" s="135"/>
      <c r="D7355" s="135"/>
      <c r="E7355" s="136"/>
      <c r="F7355" s="49" t="s">
        <v>418</v>
      </c>
      <c r="G7355" s="49" t="str">
        <f>IF(ISNUMBER(F7355),E7355*F7355,"")</f>
        <v/>
      </c>
      <c r="H7355" s="65"/>
      <c r="I7355" s="66"/>
      <c r="J7355" s="125">
        <v>0</v>
      </c>
    </row>
    <row r="7356" spans="1:10" ht="15.75" hidden="1" thickBot="1" x14ac:dyDescent="0.3">
      <c r="A7356" s="249"/>
      <c r="B7356" s="240"/>
      <c r="C7356" s="155" t="s">
        <v>1022</v>
      </c>
      <c r="D7356" s="155" t="s">
        <v>587</v>
      </c>
      <c r="E7356" s="34">
        <v>0.8</v>
      </c>
      <c r="F7356" s="31">
        <v>19.522500000000001</v>
      </c>
      <c r="G7356" s="49">
        <f>IF(ISNUMBER(F7356),E7356*F7356,"")</f>
        <v>15.618000000000002</v>
      </c>
      <c r="H7356" s="35">
        <f>SUM(G7356:G7357)</f>
        <v>36.381200000000007</v>
      </c>
      <c r="I7356" s="36"/>
      <c r="J7356" s="125">
        <v>0</v>
      </c>
    </row>
    <row r="7357" spans="1:10" ht="15.75" hidden="1" thickBot="1" x14ac:dyDescent="0.3">
      <c r="A7357" s="249"/>
      <c r="B7357" s="240"/>
      <c r="C7357" s="155" t="s">
        <v>1023</v>
      </c>
      <c r="D7357" s="155" t="s">
        <v>587</v>
      </c>
      <c r="E7357" s="34">
        <v>0.8</v>
      </c>
      <c r="F7357" s="28">
        <v>25.954000000000001</v>
      </c>
      <c r="G7357" s="31">
        <f>IF(ISNUMBER(F7357),E7357*F7357,"")</f>
        <v>20.763200000000001</v>
      </c>
      <c r="H7357" s="32"/>
      <c r="I7357" s="28"/>
      <c r="J7357" s="125">
        <v>0</v>
      </c>
    </row>
    <row r="7358" spans="1:10" ht="15.75" hidden="1" thickBot="1" x14ac:dyDescent="0.3">
      <c r="A7358" s="250"/>
      <c r="B7358" s="239"/>
      <c r="C7358" s="164"/>
      <c r="D7358" s="132"/>
      <c r="E7358" s="61"/>
      <c r="F7358" s="68" t="s">
        <v>418</v>
      </c>
      <c r="G7358" s="68" t="str">
        <f>IF(ISNUMBER(F7358),E7358*F7358,"")</f>
        <v/>
      </c>
      <c r="H7358" s="69"/>
      <c r="I7358" s="66"/>
      <c r="J7358" s="125">
        <v>0</v>
      </c>
    </row>
    <row r="7359" spans="1:10" ht="15.75" hidden="1" thickBot="1" x14ac:dyDescent="0.3">
      <c r="A7359" s="234" t="s">
        <v>16234</v>
      </c>
      <c r="B7359" s="237" t="s">
        <v>19590</v>
      </c>
      <c r="C7359" s="160"/>
      <c r="D7359" s="23" t="s">
        <v>69</v>
      </c>
      <c r="E7359" s="24"/>
      <c r="F7359" s="37" t="s">
        <v>418</v>
      </c>
      <c r="G7359" s="25" t="str">
        <f>IF(ISNUMBER(F7359),E7359*F7359,"")</f>
        <v/>
      </c>
      <c r="H7359" s="26"/>
      <c r="I7359" s="27"/>
      <c r="J7359" s="125">
        <v>0</v>
      </c>
    </row>
    <row r="7360" spans="1:10" ht="15.75" hidden="1" thickBot="1" x14ac:dyDescent="0.3">
      <c r="A7360" s="235"/>
      <c r="B7360" s="238"/>
      <c r="C7360" s="151"/>
      <c r="D7360" s="29"/>
      <c r="E7360" s="30"/>
      <c r="F7360" s="38" t="s">
        <v>418</v>
      </c>
      <c r="G7360" s="28" t="str">
        <f>IF(ISNUMBER(F7360),E7360*F7360,"")</f>
        <v/>
      </c>
      <c r="H7360" s="32"/>
      <c r="I7360" s="28"/>
      <c r="J7360" s="125">
        <v>0</v>
      </c>
    </row>
    <row r="7361" spans="1:10" ht="15.75" hidden="1" thickBot="1" x14ac:dyDescent="0.3">
      <c r="A7361" s="235"/>
      <c r="B7361" s="238"/>
      <c r="C7361" s="155" t="s">
        <v>1022</v>
      </c>
      <c r="D7361" s="155" t="s">
        <v>587</v>
      </c>
      <c r="E7361" s="34">
        <v>6.08E-2</v>
      </c>
      <c r="F7361" s="28">
        <v>19.522500000000001</v>
      </c>
      <c r="G7361" s="31">
        <f>IF(ISNUMBER(F7361),E7361*F7361,"")</f>
        <v>1.186968</v>
      </c>
      <c r="H7361" s="35">
        <f>SUM(G7361:G7364)</f>
        <v>2.8084906999999997</v>
      </c>
      <c r="I7361" s="36"/>
      <c r="J7361" s="125">
        <v>0</v>
      </c>
    </row>
    <row r="7362" spans="1:10" ht="15.75" hidden="1" thickBot="1" x14ac:dyDescent="0.3">
      <c r="A7362" s="235"/>
      <c r="B7362" s="238"/>
      <c r="C7362" s="155" t="s">
        <v>1023</v>
      </c>
      <c r="D7362" s="155" t="s">
        <v>587</v>
      </c>
      <c r="E7362" s="34">
        <v>6.08E-2</v>
      </c>
      <c r="F7362" s="28">
        <v>25.954000000000001</v>
      </c>
      <c r="G7362" s="31">
        <f>IF(ISNUMBER(F7362),E7362*F7362,"")</f>
        <v>1.5780031999999999</v>
      </c>
      <c r="H7362" s="32"/>
      <c r="I7362" s="28"/>
      <c r="J7362" s="125">
        <v>0</v>
      </c>
    </row>
    <row r="7363" spans="1:10" ht="26.25" hidden="1" thickBot="1" x14ac:dyDescent="0.3">
      <c r="A7363" s="235"/>
      <c r="B7363" s="238"/>
      <c r="C7363" s="155" t="s">
        <v>17255</v>
      </c>
      <c r="D7363" s="33" t="s">
        <v>69</v>
      </c>
      <c r="E7363" s="34">
        <v>1.0149999999999999</v>
      </c>
      <c r="F7363" s="31" t="s">
        <v>418</v>
      </c>
      <c r="G7363" s="31" t="str">
        <f>IF(ISNUMBER(F7363),E7363*F7363,"")</f>
        <v/>
      </c>
      <c r="H7363" s="32"/>
      <c r="I7363" s="28"/>
      <c r="J7363" s="125">
        <v>0</v>
      </c>
    </row>
    <row r="7364" spans="1:10" ht="26.25" hidden="1" thickBot="1" x14ac:dyDescent="0.3">
      <c r="A7364" s="235"/>
      <c r="B7364" s="238"/>
      <c r="C7364" s="155" t="s">
        <v>25511</v>
      </c>
      <c r="D7364" s="155" t="s">
        <v>205</v>
      </c>
      <c r="E7364" s="34">
        <v>8.9999999999999993E-3</v>
      </c>
      <c r="F7364" s="31">
        <v>4.8354999999999997</v>
      </c>
      <c r="G7364" s="31">
        <f>IF(ISNUMBER(F7364),E7364*F7364,"")</f>
        <v>4.3519499999999996E-2</v>
      </c>
      <c r="H7364" s="32"/>
      <c r="I7364" s="28"/>
      <c r="J7364" s="125">
        <v>0</v>
      </c>
    </row>
    <row r="7365" spans="1:10" ht="15.75" hidden="1" thickBot="1" x14ac:dyDescent="0.3">
      <c r="A7365" s="236"/>
      <c r="B7365" s="239"/>
      <c r="C7365" s="155"/>
      <c r="D7365" s="33"/>
      <c r="E7365" s="34"/>
      <c r="F7365" s="28" t="s">
        <v>418</v>
      </c>
      <c r="G7365" s="28" t="str">
        <f>IF(ISNUMBER(F7365),E7365*F7365,"")</f>
        <v/>
      </c>
      <c r="H7365" s="32"/>
      <c r="I7365" s="28"/>
      <c r="J7365" s="125">
        <v>0</v>
      </c>
    </row>
    <row r="7366" spans="1:10" ht="15.75" hidden="1" thickBot="1" x14ac:dyDescent="0.3">
      <c r="A7366" s="234" t="s">
        <v>16235</v>
      </c>
      <c r="B7366" s="237" t="s">
        <v>20940</v>
      </c>
      <c r="C7366" s="160"/>
      <c r="D7366" s="23" t="s">
        <v>16</v>
      </c>
      <c r="E7366" s="24"/>
      <c r="F7366" s="37" t="s">
        <v>418</v>
      </c>
      <c r="G7366" s="25" t="str">
        <f>IF(ISNUMBER(F7366),E7366*F7366,"")</f>
        <v/>
      </c>
      <c r="H7366" s="26"/>
      <c r="I7366" s="27"/>
      <c r="J7366" s="125">
        <v>0</v>
      </c>
    </row>
    <row r="7367" spans="1:10" ht="15.75" hidden="1" thickBot="1" x14ac:dyDescent="0.3">
      <c r="A7367" s="235"/>
      <c r="B7367" s="238"/>
      <c r="C7367" s="151"/>
      <c r="D7367" s="29"/>
      <c r="E7367" s="30"/>
      <c r="F7367" s="38" t="s">
        <v>418</v>
      </c>
      <c r="G7367" s="28" t="str">
        <f>IF(ISNUMBER(F7367),E7367*F7367,"")</f>
        <v/>
      </c>
      <c r="H7367" s="32"/>
      <c r="I7367" s="28"/>
      <c r="J7367" s="125">
        <v>0</v>
      </c>
    </row>
    <row r="7368" spans="1:10" ht="39" hidden="1" thickBot="1" x14ac:dyDescent="0.3">
      <c r="A7368" s="235"/>
      <c r="B7368" s="238"/>
      <c r="C7368" s="155" t="s">
        <v>17258</v>
      </c>
      <c r="D7368" s="42" t="s">
        <v>16</v>
      </c>
      <c r="E7368" s="34">
        <v>1</v>
      </c>
      <c r="F7368" s="31" t="s">
        <v>418</v>
      </c>
      <c r="G7368" s="28" t="str">
        <f>IF(ISNUMBER(F7368),E7368*F7368,"")</f>
        <v/>
      </c>
      <c r="H7368" s="35">
        <f>SUM(G7368:G7371)</f>
        <v>46.002877269443204</v>
      </c>
      <c r="I7368" s="36"/>
      <c r="J7368" s="125">
        <v>0</v>
      </c>
    </row>
    <row r="7369" spans="1:10" ht="39" hidden="1" thickBot="1" x14ac:dyDescent="0.3">
      <c r="A7369" s="235"/>
      <c r="B7369" s="238"/>
      <c r="C7369" s="155" t="s">
        <v>9105</v>
      </c>
      <c r="D7369" s="155" t="s">
        <v>85</v>
      </c>
      <c r="E7369" s="34">
        <v>1.9199999999999998E-2</v>
      </c>
      <c r="F7369" s="28">
        <v>895.02183434599988</v>
      </c>
      <c r="G7369" s="28">
        <f>IF(ISNUMBER(F7369),E7369*F7369,"")</f>
        <v>17.184419219443196</v>
      </c>
      <c r="H7369" s="32"/>
      <c r="I7369" s="28"/>
      <c r="J7369" s="125">
        <v>0</v>
      </c>
    </row>
    <row r="7370" spans="1:10" ht="15.75" hidden="1" thickBot="1" x14ac:dyDescent="0.3">
      <c r="A7370" s="235"/>
      <c r="B7370" s="238"/>
      <c r="C7370" s="155" t="s">
        <v>1022</v>
      </c>
      <c r="D7370" s="155" t="s">
        <v>587</v>
      </c>
      <c r="E7370" s="34">
        <v>0.63370000000000004</v>
      </c>
      <c r="F7370" s="28">
        <v>19.522500000000001</v>
      </c>
      <c r="G7370" s="28">
        <f>IF(ISNUMBER(F7370),E7370*F7370,"")</f>
        <v>12.371408250000002</v>
      </c>
      <c r="H7370" s="32"/>
      <c r="I7370" s="28"/>
      <c r="J7370" s="125">
        <v>0</v>
      </c>
    </row>
    <row r="7371" spans="1:10" ht="15.75" hidden="1" thickBot="1" x14ac:dyDescent="0.3">
      <c r="A7371" s="235"/>
      <c r="B7371" s="238"/>
      <c r="C7371" s="155" t="s">
        <v>1023</v>
      </c>
      <c r="D7371" s="155" t="s">
        <v>587</v>
      </c>
      <c r="E7371" s="34">
        <v>0.63370000000000004</v>
      </c>
      <c r="F7371" s="28">
        <v>25.954000000000001</v>
      </c>
      <c r="G7371" s="31">
        <f>IF(ISNUMBER(F7371),E7371*F7371,"")</f>
        <v>16.447049800000002</v>
      </c>
      <c r="H7371" s="32"/>
      <c r="I7371" s="28"/>
      <c r="J7371" s="125">
        <v>0</v>
      </c>
    </row>
    <row r="7372" spans="1:10" ht="15.75" hidden="1" thickBot="1" x14ac:dyDescent="0.3">
      <c r="A7372" s="235"/>
      <c r="B7372" s="239"/>
      <c r="C7372" s="155"/>
      <c r="D7372" s="33"/>
      <c r="E7372" s="34"/>
      <c r="F7372" s="28" t="s">
        <v>418</v>
      </c>
      <c r="G7372" s="28" t="str">
        <f>IF(ISNUMBER(F7372),E7372*F7372,"")</f>
        <v/>
      </c>
      <c r="H7372" s="32"/>
      <c r="I7372" s="28"/>
      <c r="J7372" s="125">
        <v>0</v>
      </c>
    </row>
    <row r="7373" spans="1:10" ht="15.75" hidden="1" thickBot="1" x14ac:dyDescent="0.3">
      <c r="A7373" s="234" t="s">
        <v>16236</v>
      </c>
      <c r="B7373" s="237" t="s">
        <v>19589</v>
      </c>
      <c r="C7373" s="160"/>
      <c r="D7373" s="23" t="s">
        <v>16</v>
      </c>
      <c r="E7373" s="24"/>
      <c r="F7373" s="37" t="s">
        <v>418</v>
      </c>
      <c r="G7373" s="25" t="str">
        <f>IF(ISNUMBER(F7373),E7373*F7373,"")</f>
        <v/>
      </c>
      <c r="H7373" s="26"/>
      <c r="I7373" s="27"/>
      <c r="J7373" s="125">
        <v>0</v>
      </c>
    </row>
    <row r="7374" spans="1:10" ht="15.75" hidden="1" thickBot="1" x14ac:dyDescent="0.3">
      <c r="A7374" s="235"/>
      <c r="B7374" s="238"/>
      <c r="C7374" s="151"/>
      <c r="D7374" s="29"/>
      <c r="E7374" s="30"/>
      <c r="F7374" s="38" t="s">
        <v>418</v>
      </c>
      <c r="G7374" s="28" t="str">
        <f>IF(ISNUMBER(F7374),E7374*F7374,"")</f>
        <v/>
      </c>
      <c r="H7374" s="32"/>
      <c r="I7374" s="28"/>
      <c r="J7374" s="125">
        <v>0</v>
      </c>
    </row>
    <row r="7375" spans="1:10" ht="51.75" hidden="1" thickBot="1" x14ac:dyDescent="0.3">
      <c r="A7375" s="235"/>
      <c r="B7375" s="238"/>
      <c r="C7375" s="155" t="s">
        <v>2421</v>
      </c>
      <c r="D7375" s="155" t="s">
        <v>814</v>
      </c>
      <c r="E7375" s="34">
        <v>0.23880000000000001</v>
      </c>
      <c r="F7375" s="31">
        <v>274.27449999999999</v>
      </c>
      <c r="G7375" s="28">
        <f>IF(ISNUMBER(F7375),E7375*F7375,"")</f>
        <v>65.496750599999999</v>
      </c>
      <c r="H7375" s="35">
        <f>SUM(G7375:G7379)</f>
        <v>864.60740225000006</v>
      </c>
      <c r="I7375" s="36"/>
      <c r="J7375" s="125">
        <v>0</v>
      </c>
    </row>
    <row r="7376" spans="1:10" ht="26.25" hidden="1" thickBot="1" x14ac:dyDescent="0.3">
      <c r="A7376" s="235"/>
      <c r="B7376" s="238"/>
      <c r="C7376" s="155" t="s">
        <v>25511</v>
      </c>
      <c r="D7376" s="155" t="s">
        <v>205</v>
      </c>
      <c r="E7376" s="34">
        <v>1.4E-2</v>
      </c>
      <c r="F7376" s="28">
        <v>4.8354999999999997</v>
      </c>
      <c r="G7376" s="28">
        <f>IF(ISNUMBER(F7376),E7376*F7376,"")</f>
        <v>6.7696999999999993E-2</v>
      </c>
      <c r="H7376" s="32"/>
      <c r="I7376" s="28"/>
      <c r="J7376" s="125">
        <v>0</v>
      </c>
    </row>
    <row r="7377" spans="1:10" ht="26.25" hidden="1" thickBot="1" x14ac:dyDescent="0.3">
      <c r="A7377" s="235"/>
      <c r="B7377" s="238"/>
      <c r="C7377" s="155" t="s">
        <v>26087</v>
      </c>
      <c r="D7377" s="155" t="s">
        <v>205</v>
      </c>
      <c r="E7377" s="34">
        <v>1</v>
      </c>
      <c r="F7377" s="28">
        <v>788.21500000000003</v>
      </c>
      <c r="G7377" s="28">
        <f>IF(ISNUMBER(F7377),E7377*F7377,"")</f>
        <v>788.21500000000003</v>
      </c>
      <c r="H7377" s="32"/>
      <c r="I7377" s="28"/>
      <c r="J7377" s="125">
        <v>0</v>
      </c>
    </row>
    <row r="7378" spans="1:10" ht="15.75" hidden="1" thickBot="1" x14ac:dyDescent="0.3">
      <c r="A7378" s="235"/>
      <c r="B7378" s="238"/>
      <c r="C7378" s="155" t="s">
        <v>1022</v>
      </c>
      <c r="D7378" s="155" t="s">
        <v>587</v>
      </c>
      <c r="E7378" s="34">
        <v>0.23810000000000001</v>
      </c>
      <c r="F7378" s="28">
        <v>19.522500000000001</v>
      </c>
      <c r="G7378" s="28">
        <f>IF(ISNUMBER(F7378),E7378*F7378,"")</f>
        <v>4.6483072500000002</v>
      </c>
      <c r="H7378" s="32"/>
      <c r="I7378" s="28"/>
      <c r="J7378" s="125">
        <v>0</v>
      </c>
    </row>
    <row r="7379" spans="1:10" ht="15.75" hidden="1" thickBot="1" x14ac:dyDescent="0.3">
      <c r="A7379" s="235"/>
      <c r="B7379" s="238"/>
      <c r="C7379" s="155" t="s">
        <v>1023</v>
      </c>
      <c r="D7379" s="155" t="s">
        <v>587</v>
      </c>
      <c r="E7379" s="34">
        <v>0.23810000000000001</v>
      </c>
      <c r="F7379" s="28">
        <v>25.954000000000001</v>
      </c>
      <c r="G7379" s="31">
        <f>IF(ISNUMBER(F7379),E7379*F7379,"")</f>
        <v>6.1796474000000003</v>
      </c>
      <c r="H7379" s="32"/>
      <c r="I7379" s="28"/>
      <c r="J7379" s="125">
        <v>0</v>
      </c>
    </row>
    <row r="7380" spans="1:10" ht="15.75" hidden="1" thickBot="1" x14ac:dyDescent="0.3">
      <c r="A7380" s="235"/>
      <c r="B7380" s="239"/>
      <c r="C7380" s="155"/>
      <c r="D7380" s="33"/>
      <c r="E7380" s="34"/>
      <c r="F7380" s="28" t="s">
        <v>418</v>
      </c>
      <c r="G7380" s="28" t="str">
        <f>IF(ISNUMBER(F7380),E7380*F7380,"")</f>
        <v/>
      </c>
      <c r="H7380" s="32"/>
      <c r="I7380" s="28"/>
      <c r="J7380" s="125">
        <v>0</v>
      </c>
    </row>
    <row r="7381" spans="1:10" ht="15.75" hidden="1" thickBot="1" x14ac:dyDescent="0.3">
      <c r="A7381" s="234" t="s">
        <v>16237</v>
      </c>
      <c r="B7381" s="237" t="s">
        <v>17252</v>
      </c>
      <c r="C7381" s="160"/>
      <c r="D7381" s="23" t="s">
        <v>69</v>
      </c>
      <c r="E7381" s="24"/>
      <c r="F7381" s="44" t="s">
        <v>418</v>
      </c>
      <c r="G7381" s="25" t="str">
        <f>IF(ISNUMBER(F7381),E7381*F7381,"")</f>
        <v/>
      </c>
      <c r="H7381" s="26"/>
      <c r="I7381" s="27"/>
      <c r="J7381" s="125">
        <v>0</v>
      </c>
    </row>
    <row r="7382" spans="1:10" ht="15.75" hidden="1" thickBot="1" x14ac:dyDescent="0.3">
      <c r="A7382" s="249"/>
      <c r="B7382" s="240"/>
      <c r="C7382" s="135"/>
      <c r="D7382" s="135"/>
      <c r="E7382" s="136"/>
      <c r="F7382" s="49" t="s">
        <v>418</v>
      </c>
      <c r="G7382" s="49" t="str">
        <f>IF(ISNUMBER(F7382),E7382*F7382,"")</f>
        <v/>
      </c>
      <c r="H7382" s="65"/>
      <c r="I7382" s="66"/>
      <c r="J7382" s="125">
        <v>0</v>
      </c>
    </row>
    <row r="7383" spans="1:10" ht="39" hidden="1" thickBot="1" x14ac:dyDescent="0.3">
      <c r="A7383" s="249"/>
      <c r="B7383" s="240"/>
      <c r="C7383" s="155" t="s">
        <v>25276</v>
      </c>
      <c r="D7383" s="155" t="s">
        <v>385</v>
      </c>
      <c r="E7383" s="130">
        <v>1.1000000000000001</v>
      </c>
      <c r="F7383" s="28">
        <v>4.4649999999999999</v>
      </c>
      <c r="G7383" s="49">
        <f>IF(ISNUMBER(F7383),E7383*F7383,"")</f>
        <v>4.9115000000000002</v>
      </c>
      <c r="H7383" s="35">
        <f>SUM(G7383:G7385)</f>
        <v>7.9675208</v>
      </c>
      <c r="I7383" s="36"/>
      <c r="J7383" s="125">
        <v>0</v>
      </c>
    </row>
    <row r="7384" spans="1:10" ht="15.75" hidden="1" thickBot="1" x14ac:dyDescent="0.3">
      <c r="A7384" s="249"/>
      <c r="B7384" s="240"/>
      <c r="C7384" s="155" t="s">
        <v>1022</v>
      </c>
      <c r="D7384" s="155" t="s">
        <v>587</v>
      </c>
      <c r="E7384" s="34">
        <v>6.7199999999999996E-2</v>
      </c>
      <c r="F7384" s="31">
        <v>19.522500000000001</v>
      </c>
      <c r="G7384" s="31">
        <f>IF(ISNUMBER(F7384),E7384*F7384,"")</f>
        <v>1.311912</v>
      </c>
      <c r="H7384" s="32"/>
      <c r="I7384" s="28"/>
      <c r="J7384" s="125">
        <v>0</v>
      </c>
    </row>
    <row r="7385" spans="1:10" ht="15.75" hidden="1" thickBot="1" x14ac:dyDescent="0.3">
      <c r="A7385" s="249"/>
      <c r="B7385" s="240"/>
      <c r="C7385" s="155" t="s">
        <v>1023</v>
      </c>
      <c r="D7385" s="155" t="s">
        <v>587</v>
      </c>
      <c r="E7385" s="34">
        <v>6.7199999999999996E-2</v>
      </c>
      <c r="F7385" s="28">
        <v>25.954000000000001</v>
      </c>
      <c r="G7385" s="49">
        <f>IF(ISNUMBER(F7385),E7385*F7385,"")</f>
        <v>1.7441088</v>
      </c>
      <c r="H7385" s="39"/>
      <c r="I7385" s="36"/>
      <c r="J7385" s="125">
        <v>0</v>
      </c>
    </row>
    <row r="7386" spans="1:10" ht="15.75" hidden="1" thickBot="1" x14ac:dyDescent="0.3">
      <c r="A7386" s="250"/>
      <c r="B7386" s="239"/>
      <c r="C7386" s="164"/>
      <c r="D7386" s="132"/>
      <c r="E7386" s="61"/>
      <c r="F7386" s="68" t="s">
        <v>418</v>
      </c>
      <c r="G7386" s="68" t="str">
        <f>IF(ISNUMBER(F7386),E7386*F7386,"")</f>
        <v/>
      </c>
      <c r="H7386" s="69"/>
      <c r="I7386" s="66"/>
      <c r="J7386" s="125">
        <v>0</v>
      </c>
    </row>
    <row r="7387" spans="1:10" ht="15.75" hidden="1" thickBot="1" x14ac:dyDescent="0.3">
      <c r="A7387" s="234" t="s">
        <v>16238</v>
      </c>
      <c r="B7387" s="237" t="s">
        <v>12983</v>
      </c>
      <c r="C7387" s="160"/>
      <c r="D7387" s="23" t="s">
        <v>69</v>
      </c>
      <c r="E7387" s="24"/>
      <c r="F7387" s="37" t="s">
        <v>418</v>
      </c>
      <c r="G7387" s="25" t="str">
        <f>IF(ISNUMBER(F7387),E7387*F7387,"")</f>
        <v/>
      </c>
      <c r="H7387" s="26"/>
      <c r="I7387" s="27"/>
      <c r="J7387" s="125">
        <v>0</v>
      </c>
    </row>
    <row r="7388" spans="1:10" ht="15.75" hidden="1" thickBot="1" x14ac:dyDescent="0.3">
      <c r="A7388" s="235"/>
      <c r="B7388" s="238"/>
      <c r="C7388" s="151"/>
      <c r="D7388" s="29"/>
      <c r="E7388" s="30"/>
      <c r="F7388" s="38" t="s">
        <v>418</v>
      </c>
      <c r="G7388" s="28" t="str">
        <f>IF(ISNUMBER(F7388),E7388*F7388,"")</f>
        <v/>
      </c>
      <c r="H7388" s="32"/>
      <c r="I7388" s="28"/>
      <c r="J7388" s="125">
        <v>0</v>
      </c>
    </row>
    <row r="7389" spans="1:10" ht="15.75" hidden="1" thickBot="1" x14ac:dyDescent="0.3">
      <c r="A7389" s="235"/>
      <c r="B7389" s="238"/>
      <c r="C7389" s="155" t="s">
        <v>1022</v>
      </c>
      <c r="D7389" s="155" t="s">
        <v>587</v>
      </c>
      <c r="E7389" s="34">
        <v>1.2999999999999999E-2</v>
      </c>
      <c r="F7389" s="28">
        <v>19.522500000000001</v>
      </c>
      <c r="G7389" s="31">
        <f>IF(ISNUMBER(F7389),E7389*F7389,"")</f>
        <v>0.25379249999999998</v>
      </c>
      <c r="H7389" s="35">
        <f>SUM(G7389:G7392)</f>
        <v>0.63954949999999999</v>
      </c>
      <c r="I7389" s="36"/>
      <c r="J7389" s="125">
        <v>0</v>
      </c>
    </row>
    <row r="7390" spans="1:10" ht="15.75" hidden="1" thickBot="1" x14ac:dyDescent="0.3">
      <c r="A7390" s="235"/>
      <c r="B7390" s="238"/>
      <c r="C7390" s="155" t="s">
        <v>1023</v>
      </c>
      <c r="D7390" s="155" t="s">
        <v>587</v>
      </c>
      <c r="E7390" s="34">
        <v>1.2999999999999999E-2</v>
      </c>
      <c r="F7390" s="28">
        <v>25.954000000000001</v>
      </c>
      <c r="G7390" s="31">
        <f>IF(ISNUMBER(F7390),E7390*F7390,"")</f>
        <v>0.33740199999999998</v>
      </c>
      <c r="H7390" s="32"/>
      <c r="I7390" s="28"/>
      <c r="J7390" s="125">
        <v>0</v>
      </c>
    </row>
    <row r="7391" spans="1:10" ht="26.25" hidden="1" thickBot="1" x14ac:dyDescent="0.3">
      <c r="A7391" s="235"/>
      <c r="B7391" s="238"/>
      <c r="C7391" s="155" t="s">
        <v>17268</v>
      </c>
      <c r="D7391" s="33" t="s">
        <v>69</v>
      </c>
      <c r="E7391" s="34">
        <v>1.0269999999999999</v>
      </c>
      <c r="F7391" s="31" t="s">
        <v>418</v>
      </c>
      <c r="G7391" s="31" t="str">
        <f>IF(ISNUMBER(F7391),E7391*F7391,"")</f>
        <v/>
      </c>
      <c r="H7391" s="32"/>
      <c r="I7391" s="28"/>
      <c r="J7391" s="125">
        <v>0</v>
      </c>
    </row>
    <row r="7392" spans="1:10" ht="26.25" hidden="1" thickBot="1" x14ac:dyDescent="0.3">
      <c r="A7392" s="235"/>
      <c r="B7392" s="238"/>
      <c r="C7392" s="155" t="s">
        <v>25511</v>
      </c>
      <c r="D7392" s="155" t="s">
        <v>205</v>
      </c>
      <c r="E7392" s="34">
        <v>0.01</v>
      </c>
      <c r="F7392" s="31">
        <v>4.8354999999999997</v>
      </c>
      <c r="G7392" s="31">
        <f>IF(ISNUMBER(F7392),E7392*F7392,"")</f>
        <v>4.8354999999999995E-2</v>
      </c>
      <c r="H7392" s="32"/>
      <c r="I7392" s="28"/>
      <c r="J7392" s="125">
        <v>0</v>
      </c>
    </row>
    <row r="7393" spans="1:10" ht="15.75" hidden="1" thickBot="1" x14ac:dyDescent="0.3">
      <c r="A7393" s="236"/>
      <c r="B7393" s="239"/>
      <c r="C7393" s="155"/>
      <c r="D7393" s="33"/>
      <c r="E7393" s="34"/>
      <c r="F7393" s="28" t="s">
        <v>418</v>
      </c>
      <c r="G7393" s="28" t="str">
        <f>IF(ISNUMBER(F7393),E7393*F7393,"")</f>
        <v/>
      </c>
      <c r="H7393" s="32"/>
      <c r="I7393" s="28"/>
      <c r="J7393" s="125">
        <v>0</v>
      </c>
    </row>
    <row r="7394" spans="1:10" ht="15.75" hidden="1" thickBot="1" x14ac:dyDescent="0.3">
      <c r="A7394" s="234" t="s">
        <v>16239</v>
      </c>
      <c r="B7394" s="237" t="s">
        <v>12991</v>
      </c>
      <c r="C7394" s="160"/>
      <c r="D7394" s="23" t="s">
        <v>69</v>
      </c>
      <c r="E7394" s="24"/>
      <c r="F7394" s="37" t="s">
        <v>418</v>
      </c>
      <c r="G7394" s="25" t="str">
        <f>IF(ISNUMBER(F7394),E7394*F7394,"")</f>
        <v/>
      </c>
      <c r="H7394" s="26"/>
      <c r="I7394" s="27"/>
      <c r="J7394" s="125">
        <v>0</v>
      </c>
    </row>
    <row r="7395" spans="1:10" ht="15.75" hidden="1" thickBot="1" x14ac:dyDescent="0.3">
      <c r="A7395" s="235"/>
      <c r="B7395" s="238"/>
      <c r="C7395" s="151"/>
      <c r="D7395" s="29"/>
      <c r="E7395" s="30"/>
      <c r="F7395" s="38" t="s">
        <v>418</v>
      </c>
      <c r="G7395" s="28" t="str">
        <f>IF(ISNUMBER(F7395),E7395*F7395,"")</f>
        <v/>
      </c>
      <c r="H7395" s="32"/>
      <c r="I7395" s="28"/>
      <c r="J7395" s="125">
        <v>0</v>
      </c>
    </row>
    <row r="7396" spans="1:10" ht="15.75" hidden="1" thickBot="1" x14ac:dyDescent="0.3">
      <c r="A7396" s="235"/>
      <c r="B7396" s="238"/>
      <c r="C7396" s="155" t="s">
        <v>17256</v>
      </c>
      <c r="D7396" s="33" t="s">
        <v>69</v>
      </c>
      <c r="E7396" s="34">
        <v>1.05</v>
      </c>
      <c r="F7396" s="28">
        <v>0.95</v>
      </c>
      <c r="G7396" s="31">
        <f>IF(ISNUMBER(F7396),E7396*F7396,"")</f>
        <v>0.99749999999999994</v>
      </c>
      <c r="H7396" s="35">
        <f>SUM(G7396:G7398)</f>
        <v>23.735750000000003</v>
      </c>
      <c r="I7396" s="36"/>
      <c r="J7396" s="125">
        <v>0</v>
      </c>
    </row>
    <row r="7397" spans="1:10" ht="15.75" hidden="1" thickBot="1" x14ac:dyDescent="0.3">
      <c r="A7397" s="235"/>
      <c r="B7397" s="238"/>
      <c r="C7397" s="155" t="s">
        <v>1022</v>
      </c>
      <c r="D7397" s="155" t="s">
        <v>587</v>
      </c>
      <c r="E7397" s="34">
        <v>0.5</v>
      </c>
      <c r="F7397" s="28">
        <v>19.522500000000001</v>
      </c>
      <c r="G7397" s="31">
        <f>IF(ISNUMBER(F7397),E7397*F7397,"")</f>
        <v>9.7612500000000004</v>
      </c>
      <c r="H7397" s="32"/>
      <c r="I7397" s="28"/>
      <c r="J7397" s="125">
        <v>0</v>
      </c>
    </row>
    <row r="7398" spans="1:10" ht="15.75" hidden="1" thickBot="1" x14ac:dyDescent="0.3">
      <c r="A7398" s="235"/>
      <c r="B7398" s="238"/>
      <c r="C7398" s="155" t="s">
        <v>1023</v>
      </c>
      <c r="D7398" s="155" t="s">
        <v>587</v>
      </c>
      <c r="E7398" s="34">
        <v>0.5</v>
      </c>
      <c r="F7398" s="28">
        <v>25.954000000000001</v>
      </c>
      <c r="G7398" s="31">
        <f>IF(ISNUMBER(F7398),E7398*F7398,"")</f>
        <v>12.977</v>
      </c>
      <c r="H7398" s="32"/>
      <c r="I7398" s="28"/>
      <c r="J7398" s="125">
        <v>0</v>
      </c>
    </row>
    <row r="7399" spans="1:10" ht="15.75" hidden="1" thickBot="1" x14ac:dyDescent="0.3">
      <c r="A7399" s="236"/>
      <c r="B7399" s="239"/>
      <c r="C7399" s="155"/>
      <c r="D7399" s="33"/>
      <c r="E7399" s="34"/>
      <c r="F7399" s="28" t="s">
        <v>418</v>
      </c>
      <c r="G7399" s="28" t="str">
        <f>IF(ISNUMBER(F7399),E7399*F7399,"")</f>
        <v/>
      </c>
      <c r="H7399" s="32"/>
      <c r="I7399" s="28"/>
      <c r="J7399" s="125">
        <v>0</v>
      </c>
    </row>
    <row r="7400" spans="1:10" ht="15.75" hidden="1" thickBot="1" x14ac:dyDescent="0.3">
      <c r="A7400" s="234" t="s">
        <v>16240</v>
      </c>
      <c r="B7400" s="237" t="s">
        <v>12992</v>
      </c>
      <c r="C7400" s="160"/>
      <c r="D7400" s="23" t="s">
        <v>69</v>
      </c>
      <c r="E7400" s="24"/>
      <c r="F7400" s="37" t="s">
        <v>418</v>
      </c>
      <c r="G7400" s="25" t="str">
        <f>IF(ISNUMBER(F7400),E7400*F7400,"")</f>
        <v/>
      </c>
      <c r="H7400" s="26"/>
      <c r="I7400" s="27"/>
      <c r="J7400" s="125">
        <v>0</v>
      </c>
    </row>
    <row r="7401" spans="1:10" ht="15.75" hidden="1" thickBot="1" x14ac:dyDescent="0.3">
      <c r="A7401" s="235"/>
      <c r="B7401" s="238"/>
      <c r="C7401" s="151"/>
      <c r="D7401" s="29"/>
      <c r="E7401" s="30"/>
      <c r="F7401" s="38" t="s">
        <v>418</v>
      </c>
      <c r="G7401" s="28" t="str">
        <f>IF(ISNUMBER(F7401),E7401*F7401,"")</f>
        <v/>
      </c>
      <c r="H7401" s="32"/>
      <c r="I7401" s="28"/>
      <c r="J7401" s="125">
        <v>0</v>
      </c>
    </row>
    <row r="7402" spans="1:10" ht="15.75" hidden="1" thickBot="1" x14ac:dyDescent="0.3">
      <c r="A7402" s="235"/>
      <c r="B7402" s="238"/>
      <c r="C7402" s="155" t="s">
        <v>17257</v>
      </c>
      <c r="D7402" s="33" t="s">
        <v>69</v>
      </c>
      <c r="E7402" s="34">
        <v>1.05</v>
      </c>
      <c r="F7402" s="28">
        <v>0.95</v>
      </c>
      <c r="G7402" s="31">
        <f>IF(ISNUMBER(F7402),E7402*F7402,"")</f>
        <v>0.99749999999999994</v>
      </c>
      <c r="H7402" s="35">
        <f>SUM(G7402:G7404)</f>
        <v>35.104875</v>
      </c>
      <c r="I7402" s="36"/>
      <c r="J7402" s="125">
        <v>0</v>
      </c>
    </row>
    <row r="7403" spans="1:10" ht="15.75" hidden="1" thickBot="1" x14ac:dyDescent="0.3">
      <c r="A7403" s="235"/>
      <c r="B7403" s="238"/>
      <c r="C7403" s="155" t="s">
        <v>1023</v>
      </c>
      <c r="D7403" s="155" t="s">
        <v>587</v>
      </c>
      <c r="E7403" s="34">
        <v>0.75</v>
      </c>
      <c r="F7403" s="28">
        <v>25.954000000000001</v>
      </c>
      <c r="G7403" s="31">
        <f>IF(ISNUMBER(F7403),E7403*F7403,"")</f>
        <v>19.465499999999999</v>
      </c>
      <c r="H7403" s="32"/>
      <c r="I7403" s="28"/>
      <c r="J7403" s="125">
        <v>0</v>
      </c>
    </row>
    <row r="7404" spans="1:10" ht="15.75" hidden="1" thickBot="1" x14ac:dyDescent="0.3">
      <c r="A7404" s="235"/>
      <c r="B7404" s="238"/>
      <c r="C7404" s="155" t="s">
        <v>1022</v>
      </c>
      <c r="D7404" s="155" t="s">
        <v>587</v>
      </c>
      <c r="E7404" s="34">
        <v>0.75</v>
      </c>
      <c r="F7404" s="28">
        <v>19.522500000000001</v>
      </c>
      <c r="G7404" s="31">
        <f>IF(ISNUMBER(F7404),E7404*F7404,"")</f>
        <v>14.641875000000001</v>
      </c>
      <c r="H7404" s="32"/>
      <c r="I7404" s="28"/>
      <c r="J7404" s="125">
        <v>0</v>
      </c>
    </row>
    <row r="7405" spans="1:10" ht="15.75" hidden="1" thickBot="1" x14ac:dyDescent="0.3">
      <c r="A7405" s="236"/>
      <c r="B7405" s="239"/>
      <c r="C7405" s="155"/>
      <c r="D7405" s="33"/>
      <c r="E7405" s="34"/>
      <c r="F7405" s="28" t="s">
        <v>418</v>
      </c>
      <c r="G7405" s="28" t="str">
        <f>IF(ISNUMBER(F7405),E7405*F7405,"")</f>
        <v/>
      </c>
      <c r="H7405" s="32"/>
      <c r="I7405" s="28"/>
      <c r="J7405" s="125">
        <v>0</v>
      </c>
    </row>
    <row r="7406" spans="1:10" ht="15.75" hidden="1" thickBot="1" x14ac:dyDescent="0.3">
      <c r="A7406" s="234" t="s">
        <v>16241</v>
      </c>
      <c r="B7406" s="237" t="s">
        <v>12993</v>
      </c>
      <c r="C7406" s="160"/>
      <c r="D7406" s="23" t="s">
        <v>69</v>
      </c>
      <c r="E7406" s="24"/>
      <c r="F7406" s="37" t="s">
        <v>418</v>
      </c>
      <c r="G7406" s="25" t="str">
        <f>IF(ISNUMBER(F7406),E7406*F7406,"")</f>
        <v/>
      </c>
      <c r="H7406" s="26"/>
      <c r="I7406" s="27"/>
      <c r="J7406" s="125">
        <v>0</v>
      </c>
    </row>
    <row r="7407" spans="1:10" ht="15.75" hidden="1" thickBot="1" x14ac:dyDescent="0.3">
      <c r="A7407" s="235"/>
      <c r="B7407" s="238"/>
      <c r="C7407" s="151"/>
      <c r="D7407" s="29"/>
      <c r="E7407" s="30"/>
      <c r="F7407" s="38" t="s">
        <v>418</v>
      </c>
      <c r="G7407" s="28" t="str">
        <f>IF(ISNUMBER(F7407),E7407*F7407,"")</f>
        <v/>
      </c>
      <c r="H7407" s="32"/>
      <c r="I7407" s="28"/>
      <c r="J7407" s="125">
        <v>0</v>
      </c>
    </row>
    <row r="7408" spans="1:10" ht="15.75" hidden="1" thickBot="1" x14ac:dyDescent="0.3">
      <c r="A7408" s="235"/>
      <c r="B7408" s="238"/>
      <c r="C7408" s="155" t="s">
        <v>17263</v>
      </c>
      <c r="D7408" s="33" t="s">
        <v>69</v>
      </c>
      <c r="E7408" s="34">
        <v>1.05</v>
      </c>
      <c r="F7408" s="28">
        <v>0.95</v>
      </c>
      <c r="G7408" s="31">
        <f>IF(ISNUMBER(F7408),E7408*F7408,"")</f>
        <v>0.99749999999999994</v>
      </c>
      <c r="H7408" s="35">
        <f>SUM(G7408:G7410)</f>
        <v>35.104875</v>
      </c>
      <c r="I7408" s="36"/>
      <c r="J7408" s="125">
        <v>0</v>
      </c>
    </row>
    <row r="7409" spans="1:10" ht="15.75" hidden="1" thickBot="1" x14ac:dyDescent="0.3">
      <c r="A7409" s="235"/>
      <c r="B7409" s="238"/>
      <c r="C7409" s="155" t="s">
        <v>1023</v>
      </c>
      <c r="D7409" s="155" t="s">
        <v>587</v>
      </c>
      <c r="E7409" s="34">
        <v>0.75</v>
      </c>
      <c r="F7409" s="28">
        <v>25.954000000000001</v>
      </c>
      <c r="G7409" s="31">
        <f>IF(ISNUMBER(F7409),E7409*F7409,"")</f>
        <v>19.465499999999999</v>
      </c>
      <c r="H7409" s="32"/>
      <c r="I7409" s="28"/>
      <c r="J7409" s="125">
        <v>0</v>
      </c>
    </row>
    <row r="7410" spans="1:10" ht="15.75" hidden="1" thickBot="1" x14ac:dyDescent="0.3">
      <c r="A7410" s="235"/>
      <c r="B7410" s="238"/>
      <c r="C7410" s="155" t="s">
        <v>1022</v>
      </c>
      <c r="D7410" s="155" t="s">
        <v>587</v>
      </c>
      <c r="E7410" s="34">
        <v>0.75</v>
      </c>
      <c r="F7410" s="28">
        <v>19.522500000000001</v>
      </c>
      <c r="G7410" s="31">
        <f>IF(ISNUMBER(F7410),E7410*F7410,"")</f>
        <v>14.641875000000001</v>
      </c>
      <c r="H7410" s="32"/>
      <c r="I7410" s="28"/>
      <c r="J7410" s="125">
        <v>0</v>
      </c>
    </row>
    <row r="7411" spans="1:10" ht="15.75" hidden="1" thickBot="1" x14ac:dyDescent="0.3">
      <c r="A7411" s="236"/>
      <c r="B7411" s="239"/>
      <c r="C7411" s="155"/>
      <c r="D7411" s="33"/>
      <c r="E7411" s="34"/>
      <c r="F7411" s="28" t="s">
        <v>418</v>
      </c>
      <c r="G7411" s="28" t="str">
        <f>IF(ISNUMBER(F7411),E7411*F7411,"")</f>
        <v/>
      </c>
      <c r="H7411" s="32"/>
      <c r="I7411" s="28"/>
      <c r="J7411" s="125">
        <v>0</v>
      </c>
    </row>
    <row r="7412" spans="1:10" ht="15.75" hidden="1" thickBot="1" x14ac:dyDescent="0.3">
      <c r="A7412" s="234" t="s">
        <v>16242</v>
      </c>
      <c r="B7412" s="237" t="s">
        <v>12994</v>
      </c>
      <c r="C7412" s="160"/>
      <c r="D7412" s="23" t="s">
        <v>69</v>
      </c>
      <c r="E7412" s="24"/>
      <c r="F7412" s="37" t="s">
        <v>418</v>
      </c>
      <c r="G7412" s="25" t="str">
        <f>IF(ISNUMBER(F7412),E7412*F7412,"")</f>
        <v/>
      </c>
      <c r="H7412" s="26"/>
      <c r="I7412" s="27"/>
      <c r="J7412" s="125">
        <v>0</v>
      </c>
    </row>
    <row r="7413" spans="1:10" ht="15.75" hidden="1" thickBot="1" x14ac:dyDescent="0.3">
      <c r="A7413" s="235"/>
      <c r="B7413" s="238"/>
      <c r="C7413" s="151"/>
      <c r="D7413" s="29"/>
      <c r="E7413" s="30"/>
      <c r="F7413" s="38" t="s">
        <v>418</v>
      </c>
      <c r="G7413" s="28" t="str">
        <f>IF(ISNUMBER(F7413),E7413*F7413,"")</f>
        <v/>
      </c>
      <c r="H7413" s="32"/>
      <c r="I7413" s="28"/>
      <c r="J7413" s="125">
        <v>0</v>
      </c>
    </row>
    <row r="7414" spans="1:10" ht="15.75" hidden="1" thickBot="1" x14ac:dyDescent="0.3">
      <c r="A7414" s="235"/>
      <c r="B7414" s="238"/>
      <c r="C7414" s="155" t="s">
        <v>17262</v>
      </c>
      <c r="D7414" s="33" t="s">
        <v>69</v>
      </c>
      <c r="E7414" s="34">
        <v>1.05</v>
      </c>
      <c r="F7414" s="28">
        <v>0.95</v>
      </c>
      <c r="G7414" s="31">
        <f>IF(ISNUMBER(F7414),E7414*F7414,"")</f>
        <v>0.99749999999999994</v>
      </c>
      <c r="H7414" s="35">
        <f>SUM(G7414:G7416)</f>
        <v>46.474000000000004</v>
      </c>
      <c r="I7414" s="36"/>
      <c r="J7414" s="125">
        <v>0</v>
      </c>
    </row>
    <row r="7415" spans="1:10" ht="15.75" hidden="1" thickBot="1" x14ac:dyDescent="0.3">
      <c r="A7415" s="235"/>
      <c r="B7415" s="238"/>
      <c r="C7415" s="155" t="s">
        <v>1023</v>
      </c>
      <c r="D7415" s="155" t="s">
        <v>587</v>
      </c>
      <c r="E7415" s="34">
        <v>1</v>
      </c>
      <c r="F7415" s="28">
        <v>25.954000000000001</v>
      </c>
      <c r="G7415" s="31">
        <f>IF(ISNUMBER(F7415),E7415*F7415,"")</f>
        <v>25.954000000000001</v>
      </c>
      <c r="H7415" s="32"/>
      <c r="I7415" s="28"/>
      <c r="J7415" s="125">
        <v>0</v>
      </c>
    </row>
    <row r="7416" spans="1:10" ht="15.75" hidden="1" thickBot="1" x14ac:dyDescent="0.3">
      <c r="A7416" s="235"/>
      <c r="B7416" s="238"/>
      <c r="C7416" s="155" t="s">
        <v>1022</v>
      </c>
      <c r="D7416" s="155" t="s">
        <v>587</v>
      </c>
      <c r="E7416" s="34">
        <v>1</v>
      </c>
      <c r="F7416" s="28">
        <v>19.522500000000001</v>
      </c>
      <c r="G7416" s="31">
        <f>IF(ISNUMBER(F7416),E7416*F7416,"")</f>
        <v>19.522500000000001</v>
      </c>
      <c r="H7416" s="32"/>
      <c r="I7416" s="28"/>
      <c r="J7416" s="125">
        <v>0</v>
      </c>
    </row>
    <row r="7417" spans="1:10" ht="15.75" hidden="1" thickBot="1" x14ac:dyDescent="0.3">
      <c r="A7417" s="236"/>
      <c r="B7417" s="239"/>
      <c r="C7417" s="155"/>
      <c r="D7417" s="33"/>
      <c r="E7417" s="34"/>
      <c r="F7417" s="28" t="s">
        <v>418</v>
      </c>
      <c r="G7417" s="28" t="str">
        <f>IF(ISNUMBER(F7417),E7417*F7417,"")</f>
        <v/>
      </c>
      <c r="H7417" s="32"/>
      <c r="I7417" s="28"/>
      <c r="J7417" s="125">
        <v>0</v>
      </c>
    </row>
    <row r="7418" spans="1:10" ht="15.75" hidden="1" thickBot="1" x14ac:dyDescent="0.3">
      <c r="A7418" s="234" t="s">
        <v>16243</v>
      </c>
      <c r="B7418" s="237" t="s">
        <v>17251</v>
      </c>
      <c r="C7418" s="160"/>
      <c r="D7418" s="23" t="s">
        <v>16</v>
      </c>
      <c r="E7418" s="24"/>
      <c r="F7418" s="37" t="s">
        <v>418</v>
      </c>
      <c r="G7418" s="25" t="str">
        <f>IF(ISNUMBER(F7418),E7418*F7418,"")</f>
        <v/>
      </c>
      <c r="H7418" s="26"/>
      <c r="I7418" s="27"/>
      <c r="J7418" s="125">
        <v>0</v>
      </c>
    </row>
    <row r="7419" spans="1:10" ht="15.75" hidden="1" thickBot="1" x14ac:dyDescent="0.3">
      <c r="A7419" s="235"/>
      <c r="B7419" s="238"/>
      <c r="C7419" s="151"/>
      <c r="D7419" s="29"/>
      <c r="E7419" s="30"/>
      <c r="F7419" s="38" t="s">
        <v>418</v>
      </c>
      <c r="G7419" s="28" t="str">
        <f>IF(ISNUMBER(F7419),E7419*F7419,"")</f>
        <v/>
      </c>
      <c r="H7419" s="32"/>
      <c r="I7419" s="28"/>
      <c r="J7419" s="125">
        <v>0</v>
      </c>
    </row>
    <row r="7420" spans="1:10" ht="15.75" hidden="1" thickBot="1" x14ac:dyDescent="0.3">
      <c r="A7420" s="235"/>
      <c r="B7420" s="238"/>
      <c r="C7420" s="155" t="s">
        <v>9900</v>
      </c>
      <c r="D7420" s="155" t="s">
        <v>587</v>
      </c>
      <c r="E7420" s="34">
        <v>40</v>
      </c>
      <c r="F7420" s="31">
        <v>158.94450000000001</v>
      </c>
      <c r="G7420" s="28">
        <f>IF(ISNUMBER(F7420),E7420*F7420,"")</f>
        <v>6357.7800000000007</v>
      </c>
      <c r="H7420" s="35">
        <f>SUM(G7420:G7422)</f>
        <v>7041.5800000000008</v>
      </c>
      <c r="I7420" s="36"/>
      <c r="J7420" s="125">
        <v>0</v>
      </c>
    </row>
    <row r="7421" spans="1:10" ht="15.75" hidden="1" thickBot="1" x14ac:dyDescent="0.3">
      <c r="A7421" s="235"/>
      <c r="B7421" s="238"/>
      <c r="C7421" s="155" t="s">
        <v>9887</v>
      </c>
      <c r="D7421" s="155" t="s">
        <v>587</v>
      </c>
      <c r="E7421" s="34">
        <v>20</v>
      </c>
      <c r="F7421" s="28">
        <v>21.4605</v>
      </c>
      <c r="G7421" s="31">
        <f>IF(ISNUMBER(F7421),E7421*F7421,"")</f>
        <v>429.21</v>
      </c>
      <c r="H7421" s="32"/>
      <c r="I7421" s="28"/>
      <c r="J7421" s="125">
        <v>0</v>
      </c>
    </row>
    <row r="7422" spans="1:10" s="144" customFormat="1" ht="15.75" hidden="1" thickBot="1" x14ac:dyDescent="0.3">
      <c r="A7422" s="235"/>
      <c r="B7422" s="238"/>
      <c r="C7422" s="155" t="s">
        <v>15</v>
      </c>
      <c r="D7422" s="155" t="s">
        <v>16</v>
      </c>
      <c r="E7422" s="156">
        <v>1</v>
      </c>
      <c r="F7422" s="28">
        <v>254.59</v>
      </c>
      <c r="G7422" s="31">
        <f>IF(ISNUMBER(F7422),E7422*F7422,"")</f>
        <v>254.59</v>
      </c>
      <c r="H7422" s="32"/>
      <c r="I7422" s="28"/>
      <c r="J7422" s="125">
        <v>0</v>
      </c>
    </row>
    <row r="7423" spans="1:10" ht="15.75" hidden="1" thickBot="1" x14ac:dyDescent="0.3">
      <c r="A7423" s="235"/>
      <c r="B7423" s="239"/>
      <c r="C7423" s="155"/>
      <c r="D7423" s="33"/>
      <c r="E7423" s="34"/>
      <c r="F7423" s="28" t="s">
        <v>418</v>
      </c>
      <c r="G7423" s="28" t="str">
        <f>IF(ISNUMBER(F7423),E7423*F7423,"")</f>
        <v/>
      </c>
      <c r="H7423" s="32"/>
      <c r="I7423" s="28"/>
      <c r="J7423" s="125">
        <v>0</v>
      </c>
    </row>
    <row r="7424" spans="1:10" ht="15.75" hidden="1" thickBot="1" x14ac:dyDescent="0.3">
      <c r="A7424" s="234" t="s">
        <v>16244</v>
      </c>
      <c r="B7424" s="237" t="s">
        <v>19588</v>
      </c>
      <c r="C7424" s="160"/>
      <c r="D7424" s="23" t="s">
        <v>16</v>
      </c>
      <c r="E7424" s="24"/>
      <c r="F7424" s="37" t="s">
        <v>418</v>
      </c>
      <c r="G7424" s="25" t="str">
        <f>IF(ISNUMBER(F7424),E7424*F7424,"")</f>
        <v/>
      </c>
      <c r="H7424" s="26"/>
      <c r="I7424" s="27"/>
      <c r="J7424" s="125">
        <v>0</v>
      </c>
    </row>
    <row r="7425" spans="1:10" ht="15.75" hidden="1" thickBot="1" x14ac:dyDescent="0.3">
      <c r="A7425" s="235"/>
      <c r="B7425" s="238"/>
      <c r="C7425" s="151"/>
      <c r="D7425" s="29"/>
      <c r="E7425" s="30"/>
      <c r="F7425" s="38" t="s">
        <v>418</v>
      </c>
      <c r="G7425" s="28" t="str">
        <f>IF(ISNUMBER(F7425),E7425*F7425,"")</f>
        <v/>
      </c>
      <c r="H7425" s="32"/>
      <c r="I7425" s="28"/>
      <c r="J7425" s="125">
        <v>0</v>
      </c>
    </row>
    <row r="7426" spans="1:10" ht="51.75" hidden="1" thickBot="1" x14ac:dyDescent="0.3">
      <c r="A7426" s="235"/>
      <c r="B7426" s="238"/>
      <c r="C7426" s="155" t="s">
        <v>2421</v>
      </c>
      <c r="D7426" s="155" t="s">
        <v>814</v>
      </c>
      <c r="E7426" s="34">
        <v>0.23880000000000001</v>
      </c>
      <c r="F7426" s="31">
        <v>274.27449999999999</v>
      </c>
      <c r="G7426" s="28">
        <f>IF(ISNUMBER(F7426),E7426*F7426,"")</f>
        <v>65.496750599999999</v>
      </c>
      <c r="H7426" s="35">
        <f>SUM(G7426:G7430)</f>
        <v>754.96790224999995</v>
      </c>
      <c r="I7426" s="36"/>
      <c r="J7426" s="125">
        <v>0</v>
      </c>
    </row>
    <row r="7427" spans="1:10" ht="26.25" hidden="1" thickBot="1" x14ac:dyDescent="0.3">
      <c r="A7427" s="235"/>
      <c r="B7427" s="238"/>
      <c r="C7427" s="155" t="s">
        <v>25511</v>
      </c>
      <c r="D7427" s="155" t="s">
        <v>205</v>
      </c>
      <c r="E7427" s="34">
        <v>1.4E-2</v>
      </c>
      <c r="F7427" s="28">
        <v>4.8354999999999997</v>
      </c>
      <c r="G7427" s="28">
        <f>IF(ISNUMBER(F7427),E7427*F7427,"")</f>
        <v>6.7696999999999993E-2</v>
      </c>
      <c r="H7427" s="32"/>
      <c r="I7427" s="28"/>
      <c r="J7427" s="125">
        <v>0</v>
      </c>
    </row>
    <row r="7428" spans="1:10" ht="26.25" hidden="1" thickBot="1" x14ac:dyDescent="0.3">
      <c r="A7428" s="235"/>
      <c r="B7428" s="238"/>
      <c r="C7428" s="155" t="s">
        <v>26086</v>
      </c>
      <c r="D7428" s="155" t="s">
        <v>205</v>
      </c>
      <c r="E7428" s="34">
        <v>1</v>
      </c>
      <c r="F7428" s="28">
        <v>678.57549999999992</v>
      </c>
      <c r="G7428" s="28">
        <f>IF(ISNUMBER(F7428),E7428*F7428,"")</f>
        <v>678.57549999999992</v>
      </c>
      <c r="H7428" s="32"/>
      <c r="I7428" s="28"/>
      <c r="J7428" s="125">
        <v>0</v>
      </c>
    </row>
    <row r="7429" spans="1:10" ht="15.75" hidden="1" thickBot="1" x14ac:dyDescent="0.3">
      <c r="A7429" s="235"/>
      <c r="B7429" s="238"/>
      <c r="C7429" s="155" t="s">
        <v>1022</v>
      </c>
      <c r="D7429" s="155" t="s">
        <v>587</v>
      </c>
      <c r="E7429" s="34">
        <v>0.23810000000000001</v>
      </c>
      <c r="F7429" s="28">
        <v>19.522500000000001</v>
      </c>
      <c r="G7429" s="28">
        <f>IF(ISNUMBER(F7429),E7429*F7429,"")</f>
        <v>4.6483072500000002</v>
      </c>
      <c r="H7429" s="32"/>
      <c r="I7429" s="28"/>
      <c r="J7429" s="125">
        <v>0</v>
      </c>
    </row>
    <row r="7430" spans="1:10" ht="15.75" hidden="1" thickBot="1" x14ac:dyDescent="0.3">
      <c r="A7430" s="235"/>
      <c r="B7430" s="238"/>
      <c r="C7430" s="155" t="s">
        <v>1023</v>
      </c>
      <c r="D7430" s="155" t="s">
        <v>587</v>
      </c>
      <c r="E7430" s="34">
        <v>0.23810000000000001</v>
      </c>
      <c r="F7430" s="28">
        <v>25.954000000000001</v>
      </c>
      <c r="G7430" s="31">
        <f>IF(ISNUMBER(F7430),E7430*F7430,"")</f>
        <v>6.1796474000000003</v>
      </c>
      <c r="H7430" s="32"/>
      <c r="I7430" s="28"/>
      <c r="J7430" s="125">
        <v>0</v>
      </c>
    </row>
    <row r="7431" spans="1:10" ht="15.75" hidden="1" thickBot="1" x14ac:dyDescent="0.3">
      <c r="A7431" s="235"/>
      <c r="B7431" s="239"/>
      <c r="C7431" s="155"/>
      <c r="D7431" s="33"/>
      <c r="E7431" s="34"/>
      <c r="F7431" s="28" t="s">
        <v>418</v>
      </c>
      <c r="G7431" s="28" t="str">
        <f>IF(ISNUMBER(F7431),E7431*F7431,"")</f>
        <v/>
      </c>
      <c r="H7431" s="32"/>
      <c r="I7431" s="28"/>
      <c r="J7431" s="125">
        <v>0</v>
      </c>
    </row>
    <row r="7432" spans="1:10" ht="15.75" hidden="1" thickBot="1" x14ac:dyDescent="0.3">
      <c r="A7432" s="234" t="s">
        <v>16245</v>
      </c>
      <c r="B7432" s="237" t="s">
        <v>17273</v>
      </c>
      <c r="C7432" s="160"/>
      <c r="D7432" s="23" t="s">
        <v>16</v>
      </c>
      <c r="E7432" s="24"/>
      <c r="F7432" s="44" t="s">
        <v>418</v>
      </c>
      <c r="G7432" s="25" t="str">
        <f>IF(ISNUMBER(F7432),E7432*F7432,"")</f>
        <v/>
      </c>
      <c r="H7432" s="26"/>
      <c r="I7432" s="27"/>
      <c r="J7432" s="125">
        <v>0</v>
      </c>
    </row>
    <row r="7433" spans="1:10" ht="15.75" hidden="1" thickBot="1" x14ac:dyDescent="0.3">
      <c r="A7433" s="235"/>
      <c r="B7433" s="238"/>
      <c r="C7433" s="135"/>
      <c r="D7433" s="135"/>
      <c r="E7433" s="136"/>
      <c r="F7433" s="49" t="s">
        <v>418</v>
      </c>
      <c r="G7433" s="49" t="str">
        <f>IF(ISNUMBER(F7433),E7433*F7433,"")</f>
        <v/>
      </c>
      <c r="H7433" s="65"/>
      <c r="I7433" s="28"/>
      <c r="J7433" s="125">
        <v>0</v>
      </c>
    </row>
    <row r="7434" spans="1:10" ht="26.25" hidden="1" thickBot="1" x14ac:dyDescent="0.3">
      <c r="A7434" s="235"/>
      <c r="B7434" s="238"/>
      <c r="C7434" s="155" t="s">
        <v>17271</v>
      </c>
      <c r="D7434" s="33" t="s">
        <v>16</v>
      </c>
      <c r="E7434" s="34">
        <v>1</v>
      </c>
      <c r="F7434" s="28">
        <v>0.95</v>
      </c>
      <c r="G7434" s="49">
        <f>IF(ISNUMBER(F7434),E7434*F7434,"")</f>
        <v>0.95</v>
      </c>
      <c r="H7434" s="35">
        <f>SUM(G7434:G7436)</f>
        <v>12.319125</v>
      </c>
      <c r="I7434" s="36"/>
      <c r="J7434" s="125">
        <v>0</v>
      </c>
    </row>
    <row r="7435" spans="1:10" ht="15.75" hidden="1" thickBot="1" x14ac:dyDescent="0.3">
      <c r="A7435" s="235"/>
      <c r="B7435" s="238"/>
      <c r="C7435" s="155" t="s">
        <v>1022</v>
      </c>
      <c r="D7435" s="155" t="s">
        <v>587</v>
      </c>
      <c r="E7435" s="34">
        <v>0.25</v>
      </c>
      <c r="F7435" s="31">
        <v>19.522500000000001</v>
      </c>
      <c r="G7435" s="31">
        <f>IF(ISNUMBER(F7435),E7435*F7435,"")</f>
        <v>4.8806250000000002</v>
      </c>
      <c r="H7435" s="32"/>
      <c r="I7435" s="28"/>
      <c r="J7435" s="125">
        <v>0</v>
      </c>
    </row>
    <row r="7436" spans="1:10" ht="15.75" hidden="1" thickBot="1" x14ac:dyDescent="0.3">
      <c r="A7436" s="235"/>
      <c r="B7436" s="238"/>
      <c r="C7436" s="155" t="s">
        <v>1023</v>
      </c>
      <c r="D7436" s="155" t="s">
        <v>587</v>
      </c>
      <c r="E7436" s="34">
        <v>0.25</v>
      </c>
      <c r="F7436" s="28">
        <v>25.954000000000001</v>
      </c>
      <c r="G7436" s="49">
        <f>IF(ISNUMBER(F7436),E7436*F7436,"")</f>
        <v>6.4885000000000002</v>
      </c>
      <c r="H7436" s="39"/>
      <c r="I7436" s="28"/>
      <c r="J7436" s="125">
        <v>0</v>
      </c>
    </row>
    <row r="7437" spans="1:10" ht="15.75" hidden="1" thickBot="1" x14ac:dyDescent="0.3">
      <c r="A7437" s="235"/>
      <c r="B7437" s="239"/>
      <c r="C7437" s="155"/>
      <c r="D7437" s="33"/>
      <c r="E7437" s="34"/>
      <c r="F7437" s="28" t="s">
        <v>418</v>
      </c>
      <c r="G7437" s="28" t="str">
        <f>IF(ISNUMBER(F7437),E7437*F7437,"")</f>
        <v/>
      </c>
      <c r="H7437" s="32"/>
      <c r="I7437" s="28"/>
      <c r="J7437" s="125">
        <v>0</v>
      </c>
    </row>
    <row r="7438" spans="1:10" ht="15.75" hidden="1" thickBot="1" x14ac:dyDescent="0.3">
      <c r="A7438" s="234" t="s">
        <v>16246</v>
      </c>
      <c r="B7438" s="237" t="s">
        <v>13067</v>
      </c>
      <c r="C7438" s="160"/>
      <c r="D7438" s="23" t="s">
        <v>16</v>
      </c>
      <c r="E7438" s="24"/>
      <c r="F7438" s="37" t="s">
        <v>418</v>
      </c>
      <c r="G7438" s="25" t="str">
        <f>IF(ISNUMBER(F7438),E7438*F7438,"")</f>
        <v/>
      </c>
      <c r="H7438" s="26"/>
      <c r="I7438" s="27"/>
      <c r="J7438" s="125">
        <v>0</v>
      </c>
    </row>
    <row r="7439" spans="1:10" ht="15.75" hidden="1" thickBot="1" x14ac:dyDescent="0.3">
      <c r="A7439" s="235"/>
      <c r="B7439" s="240"/>
      <c r="C7439" s="127"/>
      <c r="D7439" s="127"/>
      <c r="E7439" s="128"/>
      <c r="F7439" s="38" t="s">
        <v>418</v>
      </c>
      <c r="G7439" s="28" t="str">
        <f>IF(ISNUMBER(F7439),E7439*F7439,"")</f>
        <v/>
      </c>
      <c r="H7439" s="32"/>
      <c r="I7439" s="28"/>
      <c r="J7439" s="125">
        <v>0</v>
      </c>
    </row>
    <row r="7440" spans="1:10" ht="15.75" hidden="1" thickBot="1" x14ac:dyDescent="0.3">
      <c r="A7440" s="235"/>
      <c r="B7440" s="240"/>
      <c r="C7440" s="155" t="s">
        <v>23952</v>
      </c>
      <c r="D7440" s="155" t="s">
        <v>205</v>
      </c>
      <c r="E7440" s="130">
        <v>1</v>
      </c>
      <c r="F7440" s="31">
        <v>38.997499999999995</v>
      </c>
      <c r="G7440" s="28">
        <f>IF(ISNUMBER(F7440),E7440*F7440,"")</f>
        <v>38.997499999999995</v>
      </c>
      <c r="H7440" s="35">
        <f>SUM(G7440:G7443)</f>
        <v>135.09993509999998</v>
      </c>
      <c r="I7440" s="36"/>
      <c r="J7440" s="125">
        <v>0</v>
      </c>
    </row>
    <row r="7441" spans="1:10" ht="51.75" hidden="1" thickBot="1" x14ac:dyDescent="0.3">
      <c r="A7441" s="235"/>
      <c r="B7441" s="240"/>
      <c r="C7441" s="155" t="s">
        <v>2421</v>
      </c>
      <c r="D7441" s="155" t="s">
        <v>814</v>
      </c>
      <c r="E7441" s="130">
        <v>0.23880000000000001</v>
      </c>
      <c r="F7441" s="28">
        <v>274.27449999999999</v>
      </c>
      <c r="G7441" s="28">
        <f>IF(ISNUMBER(F7441),E7441*F7441,"")</f>
        <v>65.496750599999999</v>
      </c>
      <c r="H7441" s="32"/>
      <c r="I7441" s="28"/>
      <c r="J7441" s="125">
        <v>0</v>
      </c>
    </row>
    <row r="7442" spans="1:10" ht="15.75" hidden="1" thickBot="1" x14ac:dyDescent="0.3">
      <c r="A7442" s="235"/>
      <c r="B7442" s="240"/>
      <c r="C7442" s="155" t="s">
        <v>1022</v>
      </c>
      <c r="D7442" s="155" t="s">
        <v>587</v>
      </c>
      <c r="E7442" s="130">
        <v>0.67300000000000004</v>
      </c>
      <c r="F7442" s="28">
        <v>19.522500000000001</v>
      </c>
      <c r="G7442" s="28">
        <f>IF(ISNUMBER(F7442),E7442*F7442,"")</f>
        <v>13.138642500000001</v>
      </c>
      <c r="H7442" s="32"/>
      <c r="I7442" s="28"/>
      <c r="J7442" s="125">
        <v>0</v>
      </c>
    </row>
    <row r="7443" spans="1:10" ht="15.75" hidden="1" thickBot="1" x14ac:dyDescent="0.3">
      <c r="A7443" s="235"/>
      <c r="B7443" s="240"/>
      <c r="C7443" s="155" t="s">
        <v>1023</v>
      </c>
      <c r="D7443" s="155" t="s">
        <v>587</v>
      </c>
      <c r="E7443" s="130">
        <v>0.67300000000000004</v>
      </c>
      <c r="F7443" s="28">
        <v>25.954000000000001</v>
      </c>
      <c r="G7443" s="28">
        <f>IF(ISNUMBER(F7443),E7443*F7443,"")</f>
        <v>17.467042000000003</v>
      </c>
      <c r="H7443" s="32"/>
      <c r="I7443" s="28"/>
      <c r="J7443" s="125">
        <v>0</v>
      </c>
    </row>
    <row r="7444" spans="1:10" ht="15.75" hidden="1" thickBot="1" x14ac:dyDescent="0.3">
      <c r="A7444" s="236"/>
      <c r="B7444" s="239"/>
      <c r="C7444" s="164"/>
      <c r="D7444" s="50"/>
      <c r="E7444" s="61"/>
      <c r="F7444" s="62" t="s">
        <v>418</v>
      </c>
      <c r="G7444" s="62" t="str">
        <f>IF(ISNUMBER(F7444),E7444*F7444,"")</f>
        <v/>
      </c>
      <c r="H7444" s="64"/>
      <c r="I7444" s="28"/>
      <c r="J7444" s="125">
        <v>0</v>
      </c>
    </row>
    <row r="7445" spans="1:10" ht="15.75" hidden="1" thickBot="1" x14ac:dyDescent="0.3">
      <c r="A7445" s="234" t="s">
        <v>16247</v>
      </c>
      <c r="B7445" s="237" t="s">
        <v>20941</v>
      </c>
      <c r="C7445" s="160"/>
      <c r="D7445" s="23" t="s">
        <v>16</v>
      </c>
      <c r="E7445" s="24"/>
      <c r="F7445" s="37" t="s">
        <v>418</v>
      </c>
      <c r="G7445" s="25" t="str">
        <f>IF(ISNUMBER(F7445),E7445*F7445,"")</f>
        <v/>
      </c>
      <c r="H7445" s="26"/>
      <c r="I7445" s="27"/>
      <c r="J7445" s="125">
        <v>0</v>
      </c>
    </row>
    <row r="7446" spans="1:10" ht="15.75" hidden="1" thickBot="1" x14ac:dyDescent="0.3">
      <c r="A7446" s="235"/>
      <c r="B7446" s="238"/>
      <c r="C7446" s="151"/>
      <c r="D7446" s="29"/>
      <c r="E7446" s="30"/>
      <c r="F7446" s="38" t="s">
        <v>418</v>
      </c>
      <c r="G7446" s="28" t="str">
        <f>IF(ISNUMBER(F7446),E7446*F7446,"")</f>
        <v/>
      </c>
      <c r="H7446" s="32"/>
      <c r="I7446" s="28"/>
      <c r="J7446" s="125">
        <v>0</v>
      </c>
    </row>
    <row r="7447" spans="1:10" ht="39" hidden="1" thickBot="1" x14ac:dyDescent="0.3">
      <c r="A7447" s="235"/>
      <c r="B7447" s="238"/>
      <c r="C7447" s="155" t="s">
        <v>17895</v>
      </c>
      <c r="D7447" s="42" t="s">
        <v>16</v>
      </c>
      <c r="E7447" s="34">
        <v>1</v>
      </c>
      <c r="F7447" s="31" t="s">
        <v>418</v>
      </c>
      <c r="G7447" s="28" t="str">
        <f>IF(ISNUMBER(F7447),E7447*F7447,"")</f>
        <v/>
      </c>
      <c r="H7447" s="35">
        <f>SUM(G7447:G7450)</f>
        <v>46.002877269443204</v>
      </c>
      <c r="I7447" s="36"/>
      <c r="J7447" s="125">
        <v>0</v>
      </c>
    </row>
    <row r="7448" spans="1:10" ht="39" hidden="1" thickBot="1" x14ac:dyDescent="0.3">
      <c r="A7448" s="235"/>
      <c r="B7448" s="238"/>
      <c r="C7448" s="155" t="s">
        <v>9105</v>
      </c>
      <c r="D7448" s="155" t="s">
        <v>85</v>
      </c>
      <c r="E7448" s="34">
        <v>1.9199999999999998E-2</v>
      </c>
      <c r="F7448" s="28">
        <v>895.02183434599988</v>
      </c>
      <c r="G7448" s="28">
        <f>IF(ISNUMBER(F7448),E7448*F7448,"")</f>
        <v>17.184419219443196</v>
      </c>
      <c r="H7448" s="32"/>
      <c r="I7448" s="28"/>
      <c r="J7448" s="125">
        <v>0</v>
      </c>
    </row>
    <row r="7449" spans="1:10" ht="15.75" hidden="1" thickBot="1" x14ac:dyDescent="0.3">
      <c r="A7449" s="235"/>
      <c r="B7449" s="238"/>
      <c r="C7449" s="155" t="s">
        <v>1022</v>
      </c>
      <c r="D7449" s="155" t="s">
        <v>587</v>
      </c>
      <c r="E7449" s="34">
        <v>0.63370000000000004</v>
      </c>
      <c r="F7449" s="28">
        <v>19.522500000000001</v>
      </c>
      <c r="G7449" s="28">
        <f>IF(ISNUMBER(F7449),E7449*F7449,"")</f>
        <v>12.371408250000002</v>
      </c>
      <c r="H7449" s="32"/>
      <c r="I7449" s="28"/>
      <c r="J7449" s="125">
        <v>0</v>
      </c>
    </row>
    <row r="7450" spans="1:10" ht="15.75" hidden="1" thickBot="1" x14ac:dyDescent="0.3">
      <c r="A7450" s="235"/>
      <c r="B7450" s="238"/>
      <c r="C7450" s="155" t="s">
        <v>1023</v>
      </c>
      <c r="D7450" s="155" t="s">
        <v>587</v>
      </c>
      <c r="E7450" s="34">
        <v>0.63370000000000004</v>
      </c>
      <c r="F7450" s="28">
        <v>25.954000000000001</v>
      </c>
      <c r="G7450" s="31">
        <f>IF(ISNUMBER(F7450),E7450*F7450,"")</f>
        <v>16.447049800000002</v>
      </c>
      <c r="H7450" s="32"/>
      <c r="I7450" s="28"/>
      <c r="J7450" s="125">
        <v>0</v>
      </c>
    </row>
    <row r="7451" spans="1:10" ht="15.75" hidden="1" thickBot="1" x14ac:dyDescent="0.3">
      <c r="A7451" s="235"/>
      <c r="B7451" s="239"/>
      <c r="C7451" s="155"/>
      <c r="D7451" s="33"/>
      <c r="E7451" s="34"/>
      <c r="F7451" s="28" t="s">
        <v>418</v>
      </c>
      <c r="G7451" s="28" t="str">
        <f>IF(ISNUMBER(F7451),E7451*F7451,"")</f>
        <v/>
      </c>
      <c r="H7451" s="32"/>
      <c r="I7451" s="28"/>
      <c r="J7451" s="125">
        <v>0</v>
      </c>
    </row>
    <row r="7452" spans="1:10" ht="15.75" hidden="1" thickBot="1" x14ac:dyDescent="0.3">
      <c r="A7452" s="234" t="s">
        <v>16248</v>
      </c>
      <c r="B7452" s="237" t="s">
        <v>17899</v>
      </c>
      <c r="C7452" s="160"/>
      <c r="D7452" s="23" t="s">
        <v>16</v>
      </c>
      <c r="E7452" s="24"/>
      <c r="F7452" s="44" t="s">
        <v>418</v>
      </c>
      <c r="G7452" s="25" t="str">
        <f>IF(ISNUMBER(F7452),E7452*F7452,"")</f>
        <v/>
      </c>
      <c r="H7452" s="26"/>
      <c r="I7452" s="27"/>
      <c r="J7452" s="125">
        <v>0</v>
      </c>
    </row>
    <row r="7453" spans="1:10" ht="15.75" hidden="1" thickBot="1" x14ac:dyDescent="0.3">
      <c r="A7453" s="249"/>
      <c r="B7453" s="240"/>
      <c r="C7453" s="135"/>
      <c r="D7453" s="135"/>
      <c r="E7453" s="136"/>
      <c r="F7453" s="49" t="s">
        <v>418</v>
      </c>
      <c r="G7453" s="49" t="str">
        <f>IF(ISNUMBER(F7453),E7453*F7453,"")</f>
        <v/>
      </c>
      <c r="H7453" s="65"/>
      <c r="I7453" s="66"/>
      <c r="J7453" s="125">
        <v>0</v>
      </c>
    </row>
    <row r="7454" spans="1:10" ht="26.25" hidden="1" thickBot="1" x14ac:dyDescent="0.3">
      <c r="A7454" s="249"/>
      <c r="B7454" s="240"/>
      <c r="C7454" s="155" t="s">
        <v>24665</v>
      </c>
      <c r="D7454" s="155" t="s">
        <v>205</v>
      </c>
      <c r="E7454" s="130">
        <v>1</v>
      </c>
      <c r="F7454" s="28">
        <v>13.0435</v>
      </c>
      <c r="G7454" s="49">
        <f>IF(ISNUMBER(F7454),E7454*F7454,"")</f>
        <v>13.0435</v>
      </c>
      <c r="H7454" s="35">
        <f>SUM(G7454:G7457)</f>
        <v>31.650481200000002</v>
      </c>
      <c r="I7454" s="36"/>
      <c r="J7454" s="125">
        <v>0</v>
      </c>
    </row>
    <row r="7455" spans="1:10" ht="39" hidden="1" thickBot="1" x14ac:dyDescent="0.3">
      <c r="A7455" s="249"/>
      <c r="B7455" s="240"/>
      <c r="C7455" s="155" t="s">
        <v>23958</v>
      </c>
      <c r="D7455" s="155" t="s">
        <v>205</v>
      </c>
      <c r="E7455" s="34">
        <v>2</v>
      </c>
      <c r="F7455" s="31">
        <v>0.19</v>
      </c>
      <c r="G7455" s="31">
        <f>IF(ISNUMBER(F7455),E7455*F7455,"")</f>
        <v>0.38</v>
      </c>
      <c r="H7455" s="32"/>
      <c r="I7455" s="28"/>
      <c r="J7455" s="125">
        <v>0</v>
      </c>
    </row>
    <row r="7456" spans="1:10" ht="15.75" hidden="1" thickBot="1" x14ac:dyDescent="0.3">
      <c r="A7456" s="249"/>
      <c r="B7456" s="240"/>
      <c r="C7456" s="155" t="s">
        <v>1022</v>
      </c>
      <c r="D7456" s="155" t="s">
        <v>587</v>
      </c>
      <c r="E7456" s="34">
        <v>0.40079999999999999</v>
      </c>
      <c r="F7456" s="28">
        <v>19.522500000000001</v>
      </c>
      <c r="G7456" s="49">
        <f>IF(ISNUMBER(F7456),E7456*F7456,"")</f>
        <v>7.8246180000000001</v>
      </c>
      <c r="H7456" s="39"/>
      <c r="I7456" s="36"/>
      <c r="J7456" s="125">
        <v>0</v>
      </c>
    </row>
    <row r="7457" spans="1:10" ht="15.75" hidden="1" thickBot="1" x14ac:dyDescent="0.3">
      <c r="A7457" s="249"/>
      <c r="B7457" s="240"/>
      <c r="C7457" s="155" t="s">
        <v>1023</v>
      </c>
      <c r="D7457" s="155" t="s">
        <v>587</v>
      </c>
      <c r="E7457" s="34">
        <v>0.40079999999999999</v>
      </c>
      <c r="F7457" s="28">
        <v>25.954000000000001</v>
      </c>
      <c r="G7457" s="49">
        <f>IF(ISNUMBER(F7457),E7457*F7457,"")</f>
        <v>10.4023632</v>
      </c>
      <c r="H7457" s="39"/>
      <c r="I7457" s="36"/>
      <c r="J7457" s="125">
        <v>0</v>
      </c>
    </row>
    <row r="7458" spans="1:10" ht="15.75" hidden="1" thickBot="1" x14ac:dyDescent="0.3">
      <c r="A7458" s="250"/>
      <c r="B7458" s="239"/>
      <c r="C7458" s="164"/>
      <c r="D7458" s="132"/>
      <c r="E7458" s="61"/>
      <c r="F7458" s="68" t="s">
        <v>418</v>
      </c>
      <c r="G7458" s="68" t="str">
        <f>IF(ISNUMBER(F7458),E7458*F7458,"")</f>
        <v/>
      </c>
      <c r="H7458" s="69"/>
      <c r="I7458" s="66"/>
      <c r="J7458" s="125">
        <v>0</v>
      </c>
    </row>
    <row r="7459" spans="1:10" ht="15.75" hidden="1" thickBot="1" x14ac:dyDescent="0.3">
      <c r="A7459" s="234" t="s">
        <v>16249</v>
      </c>
      <c r="B7459" s="237" t="s">
        <v>20942</v>
      </c>
      <c r="C7459" s="160"/>
      <c r="D7459" s="23" t="s">
        <v>16</v>
      </c>
      <c r="E7459" s="24"/>
      <c r="F7459" s="44" t="s">
        <v>418</v>
      </c>
      <c r="G7459" s="25" t="str">
        <f>IF(ISNUMBER(F7459),E7459*F7459,"")</f>
        <v/>
      </c>
      <c r="H7459" s="26"/>
      <c r="I7459" s="27"/>
      <c r="J7459" s="125">
        <v>0</v>
      </c>
    </row>
    <row r="7460" spans="1:10" ht="15.75" hidden="1" thickBot="1" x14ac:dyDescent="0.3">
      <c r="A7460" s="249"/>
      <c r="B7460" s="240"/>
      <c r="C7460" s="135"/>
      <c r="D7460" s="135"/>
      <c r="E7460" s="136"/>
      <c r="F7460" s="49" t="s">
        <v>418</v>
      </c>
      <c r="G7460" s="49" t="str">
        <f>IF(ISNUMBER(F7460),E7460*F7460,"")</f>
        <v/>
      </c>
      <c r="H7460" s="65"/>
      <c r="I7460" s="66"/>
      <c r="J7460" s="125">
        <v>0</v>
      </c>
    </row>
    <row r="7461" spans="1:10" ht="26.25" hidden="1" thickBot="1" x14ac:dyDescent="0.3">
      <c r="A7461" s="249"/>
      <c r="B7461" s="240"/>
      <c r="C7461" s="155" t="s">
        <v>24916</v>
      </c>
      <c r="D7461" s="155" t="s">
        <v>205</v>
      </c>
      <c r="E7461" s="130">
        <v>1</v>
      </c>
      <c r="F7461" s="28">
        <v>3.3344999999999998</v>
      </c>
      <c r="G7461" s="49">
        <f>IF(ISNUMBER(F7461),E7461*F7461,"")</f>
        <v>3.3344999999999998</v>
      </c>
      <c r="H7461" s="35">
        <f>SUM(G7461:G7461)</f>
        <v>3.3344999999999998</v>
      </c>
      <c r="I7461" s="36"/>
      <c r="J7461" s="125">
        <v>0</v>
      </c>
    </row>
    <row r="7462" spans="1:10" ht="15.75" hidden="1" thickBot="1" x14ac:dyDescent="0.3">
      <c r="A7462" s="250"/>
      <c r="B7462" s="239"/>
      <c r="C7462" s="164"/>
      <c r="D7462" s="132"/>
      <c r="E7462" s="61"/>
      <c r="F7462" s="68" t="s">
        <v>418</v>
      </c>
      <c r="G7462" s="68" t="str">
        <f>IF(ISNUMBER(F7462),E7462*F7462,"")</f>
        <v/>
      </c>
      <c r="H7462" s="69"/>
      <c r="I7462" s="66"/>
      <c r="J7462" s="125">
        <v>0</v>
      </c>
    </row>
    <row r="7463" spans="1:10" ht="15.75" hidden="1" thickBot="1" x14ac:dyDescent="0.3">
      <c r="A7463" s="234" t="s">
        <v>16250</v>
      </c>
      <c r="B7463" s="237" t="s">
        <v>17900</v>
      </c>
      <c r="C7463" s="160"/>
      <c r="D7463" s="145" t="s">
        <v>70</v>
      </c>
      <c r="E7463" s="24"/>
      <c r="F7463" s="44" t="s">
        <v>418</v>
      </c>
      <c r="G7463" s="25" t="str">
        <f>IF(ISNUMBER(F7463),E7463*F7463,"")</f>
        <v/>
      </c>
      <c r="H7463" s="26"/>
      <c r="I7463" s="27"/>
      <c r="J7463" s="125">
        <v>0</v>
      </c>
    </row>
    <row r="7464" spans="1:10" ht="15.75" hidden="1" thickBot="1" x14ac:dyDescent="0.3">
      <c r="A7464" s="249"/>
      <c r="B7464" s="240"/>
      <c r="C7464" s="127"/>
      <c r="D7464" s="127"/>
      <c r="E7464" s="128"/>
      <c r="F7464" s="49" t="s">
        <v>418</v>
      </c>
      <c r="G7464" s="49" t="str">
        <f>IF(ISNUMBER(F7464),E7464*F7464,"")</f>
        <v/>
      </c>
      <c r="H7464" s="65"/>
      <c r="I7464" s="66"/>
      <c r="J7464" s="125">
        <v>0</v>
      </c>
    </row>
    <row r="7465" spans="1:10" ht="51.75" hidden="1" thickBot="1" x14ac:dyDescent="0.3">
      <c r="A7465" s="249"/>
      <c r="B7465" s="240"/>
      <c r="C7465" s="129" t="s">
        <v>17896</v>
      </c>
      <c r="D7465" s="129" t="s">
        <v>70</v>
      </c>
      <c r="E7465" s="130">
        <v>1.0798000000000001</v>
      </c>
      <c r="F7465" s="49" t="s">
        <v>418</v>
      </c>
      <c r="G7465" s="49" t="str">
        <f>IF(ISNUMBER(F7465),E7465*F7465,"")</f>
        <v/>
      </c>
      <c r="H7465" s="35">
        <f>SUM(G7465:G7469)</f>
        <v>39.504875999999996</v>
      </c>
      <c r="I7465" s="36"/>
      <c r="J7465" s="125">
        <v>0</v>
      </c>
    </row>
    <row r="7466" spans="1:10" ht="15.75" hidden="1" thickBot="1" x14ac:dyDescent="0.3">
      <c r="A7466" s="249"/>
      <c r="B7466" s="240"/>
      <c r="C7466" s="155" t="s">
        <v>23677</v>
      </c>
      <c r="D7466" s="155" t="s">
        <v>774</v>
      </c>
      <c r="E7466" s="130">
        <v>6.85</v>
      </c>
      <c r="F7466" s="49">
        <v>2.0804999999999998</v>
      </c>
      <c r="G7466" s="49">
        <f>IF(ISNUMBER(F7466),E7466*F7466,"")</f>
        <v>14.251424999999998</v>
      </c>
      <c r="H7466" s="65"/>
      <c r="I7466" s="66"/>
      <c r="J7466" s="125">
        <v>0</v>
      </c>
    </row>
    <row r="7467" spans="1:10" ht="15.75" hidden="1" thickBot="1" x14ac:dyDescent="0.3">
      <c r="A7467" s="249"/>
      <c r="B7467" s="240"/>
      <c r="C7467" s="155" t="s">
        <v>27268</v>
      </c>
      <c r="D7467" s="155" t="s">
        <v>774</v>
      </c>
      <c r="E7467" s="130">
        <v>0.22</v>
      </c>
      <c r="F7467" s="49">
        <v>6.5739999999999998</v>
      </c>
      <c r="G7467" s="49">
        <f>IF(ISNUMBER(F7467),E7467*F7467,"")</f>
        <v>1.44628</v>
      </c>
      <c r="H7467" s="65"/>
      <c r="I7467" s="66"/>
      <c r="J7467" s="125">
        <v>0</v>
      </c>
    </row>
    <row r="7468" spans="1:10" ht="15.75" hidden="1" thickBot="1" x14ac:dyDescent="0.3">
      <c r="A7468" s="249"/>
      <c r="B7468" s="240"/>
      <c r="C7468" s="155" t="s">
        <v>1087</v>
      </c>
      <c r="D7468" s="155" t="s">
        <v>587</v>
      </c>
      <c r="E7468" s="130">
        <v>0.69699999999999995</v>
      </c>
      <c r="F7468" s="49">
        <v>25.516999999999999</v>
      </c>
      <c r="G7468" s="49">
        <f>IF(ISNUMBER(F7468),E7468*F7468,"")</f>
        <v>17.785349</v>
      </c>
      <c r="H7468" s="65"/>
      <c r="I7468" s="66"/>
      <c r="J7468" s="125">
        <v>0</v>
      </c>
    </row>
    <row r="7469" spans="1:10" ht="15.75" hidden="1" thickBot="1" x14ac:dyDescent="0.3">
      <c r="A7469" s="249"/>
      <c r="B7469" s="240"/>
      <c r="C7469" s="155" t="s">
        <v>588</v>
      </c>
      <c r="D7469" s="155" t="s">
        <v>587</v>
      </c>
      <c r="E7469" s="130">
        <v>0.31380000000000002</v>
      </c>
      <c r="F7469" s="49">
        <v>19.189999999999998</v>
      </c>
      <c r="G7469" s="49">
        <f>IF(ISNUMBER(F7469),E7469*F7469,"")</f>
        <v>6.0218219999999993</v>
      </c>
      <c r="H7469" s="65"/>
      <c r="I7469" s="66"/>
      <c r="J7469" s="125">
        <v>0</v>
      </c>
    </row>
    <row r="7470" spans="1:10" ht="15.75" hidden="1" thickBot="1" x14ac:dyDescent="0.3">
      <c r="A7470" s="250"/>
      <c r="B7470" s="239"/>
      <c r="C7470" s="164"/>
      <c r="D7470" s="132"/>
      <c r="E7470" s="61"/>
      <c r="F7470" s="68" t="s">
        <v>418</v>
      </c>
      <c r="G7470" s="68" t="str">
        <f>IF(ISNUMBER(F7470),E7470*F7470,"")</f>
        <v/>
      </c>
      <c r="H7470" s="69"/>
      <c r="I7470" s="66"/>
      <c r="J7470" s="125">
        <v>0</v>
      </c>
    </row>
    <row r="7471" spans="1:10" ht="15.75" hidden="1" thickBot="1" x14ac:dyDescent="0.3">
      <c r="A7471" s="234" t="s">
        <v>16251</v>
      </c>
      <c r="B7471" s="237" t="s">
        <v>17901</v>
      </c>
      <c r="C7471" s="160"/>
      <c r="D7471" s="145" t="s">
        <v>70</v>
      </c>
      <c r="E7471" s="24"/>
      <c r="F7471" s="44" t="s">
        <v>418</v>
      </c>
      <c r="G7471" s="25" t="str">
        <f>IF(ISNUMBER(F7471),E7471*F7471,"")</f>
        <v/>
      </c>
      <c r="H7471" s="26"/>
      <c r="I7471" s="27"/>
      <c r="J7471" s="125">
        <v>0</v>
      </c>
    </row>
    <row r="7472" spans="1:10" ht="15.75" hidden="1" thickBot="1" x14ac:dyDescent="0.3">
      <c r="A7472" s="249"/>
      <c r="B7472" s="240"/>
      <c r="C7472" s="127"/>
      <c r="D7472" s="127"/>
      <c r="E7472" s="128"/>
      <c r="F7472" s="49" t="s">
        <v>418</v>
      </c>
      <c r="G7472" s="49" t="str">
        <f>IF(ISNUMBER(F7472),E7472*F7472,"")</f>
        <v/>
      </c>
      <c r="H7472" s="65"/>
      <c r="I7472" s="66"/>
      <c r="J7472" s="125">
        <v>0</v>
      </c>
    </row>
    <row r="7473" spans="1:10" ht="26.25" hidden="1" thickBot="1" x14ac:dyDescent="0.3">
      <c r="A7473" s="249"/>
      <c r="B7473" s="240"/>
      <c r="C7473" s="129" t="s">
        <v>17897</v>
      </c>
      <c r="D7473" s="129" t="s">
        <v>70</v>
      </c>
      <c r="E7473" s="130">
        <v>1.0798000000000001</v>
      </c>
      <c r="F7473" s="49" t="s">
        <v>418</v>
      </c>
      <c r="G7473" s="49" t="str">
        <f>IF(ISNUMBER(F7473),E7473*F7473,"")</f>
        <v/>
      </c>
      <c r="H7473" s="35">
        <f>SUM(G7473:G7477)</f>
        <v>39.504875999999996</v>
      </c>
      <c r="I7473" s="36"/>
      <c r="J7473" s="125">
        <v>0</v>
      </c>
    </row>
    <row r="7474" spans="1:10" ht="15.75" hidden="1" thickBot="1" x14ac:dyDescent="0.3">
      <c r="A7474" s="249"/>
      <c r="B7474" s="240"/>
      <c r="C7474" s="155" t="s">
        <v>23677</v>
      </c>
      <c r="D7474" s="155" t="s">
        <v>774</v>
      </c>
      <c r="E7474" s="130">
        <v>6.85</v>
      </c>
      <c r="F7474" s="49">
        <v>2.0804999999999998</v>
      </c>
      <c r="G7474" s="49">
        <f>IF(ISNUMBER(F7474),E7474*F7474,"")</f>
        <v>14.251424999999998</v>
      </c>
      <c r="H7474" s="65"/>
      <c r="I7474" s="66"/>
      <c r="J7474" s="125">
        <v>0</v>
      </c>
    </row>
    <row r="7475" spans="1:10" ht="15.75" hidden="1" thickBot="1" x14ac:dyDescent="0.3">
      <c r="A7475" s="249"/>
      <c r="B7475" s="240"/>
      <c r="C7475" s="155" t="s">
        <v>27268</v>
      </c>
      <c r="D7475" s="155" t="s">
        <v>774</v>
      </c>
      <c r="E7475" s="130">
        <v>0.22</v>
      </c>
      <c r="F7475" s="49">
        <v>6.5739999999999998</v>
      </c>
      <c r="G7475" s="49">
        <f>IF(ISNUMBER(F7475),E7475*F7475,"")</f>
        <v>1.44628</v>
      </c>
      <c r="H7475" s="65"/>
      <c r="I7475" s="66"/>
      <c r="J7475" s="125">
        <v>0</v>
      </c>
    </row>
    <row r="7476" spans="1:10" ht="15.75" hidden="1" thickBot="1" x14ac:dyDescent="0.3">
      <c r="A7476" s="249"/>
      <c r="B7476" s="240"/>
      <c r="C7476" s="155" t="s">
        <v>1087</v>
      </c>
      <c r="D7476" s="155" t="s">
        <v>587</v>
      </c>
      <c r="E7476" s="130">
        <v>0.69699999999999995</v>
      </c>
      <c r="F7476" s="49">
        <v>25.516999999999999</v>
      </c>
      <c r="G7476" s="49">
        <f>IF(ISNUMBER(F7476),E7476*F7476,"")</f>
        <v>17.785349</v>
      </c>
      <c r="H7476" s="65"/>
      <c r="I7476" s="66"/>
      <c r="J7476" s="125">
        <v>0</v>
      </c>
    </row>
    <row r="7477" spans="1:10" ht="15.75" hidden="1" thickBot="1" x14ac:dyDescent="0.3">
      <c r="A7477" s="249"/>
      <c r="B7477" s="240"/>
      <c r="C7477" s="155" t="s">
        <v>588</v>
      </c>
      <c r="D7477" s="155" t="s">
        <v>587</v>
      </c>
      <c r="E7477" s="130">
        <v>0.31380000000000002</v>
      </c>
      <c r="F7477" s="49">
        <v>19.189999999999998</v>
      </c>
      <c r="G7477" s="49">
        <f>IF(ISNUMBER(F7477),E7477*F7477,"")</f>
        <v>6.0218219999999993</v>
      </c>
      <c r="H7477" s="65"/>
      <c r="I7477" s="66"/>
      <c r="J7477" s="125">
        <v>0</v>
      </c>
    </row>
    <row r="7478" spans="1:10" ht="15.75" hidden="1" thickBot="1" x14ac:dyDescent="0.3">
      <c r="A7478" s="250"/>
      <c r="B7478" s="239"/>
      <c r="C7478" s="164"/>
      <c r="D7478" s="132"/>
      <c r="E7478" s="61"/>
      <c r="F7478" s="68" t="s">
        <v>418</v>
      </c>
      <c r="G7478" s="68" t="str">
        <f>IF(ISNUMBER(F7478),E7478*F7478,"")</f>
        <v/>
      </c>
      <c r="H7478" s="69"/>
      <c r="I7478" s="66"/>
      <c r="J7478" s="125">
        <v>0</v>
      </c>
    </row>
    <row r="7479" spans="1:10" ht="15.75" hidden="1" thickBot="1" x14ac:dyDescent="0.3">
      <c r="A7479" s="234" t="s">
        <v>16252</v>
      </c>
      <c r="B7479" s="237" t="s">
        <v>17902</v>
      </c>
      <c r="C7479" s="160"/>
      <c r="D7479" s="145" t="s">
        <v>70</v>
      </c>
      <c r="E7479" s="24"/>
      <c r="F7479" s="44" t="s">
        <v>418</v>
      </c>
      <c r="G7479" s="25" t="str">
        <f>IF(ISNUMBER(F7479),E7479*F7479,"")</f>
        <v/>
      </c>
      <c r="H7479" s="26"/>
      <c r="I7479" s="27"/>
      <c r="J7479" s="125">
        <v>0</v>
      </c>
    </row>
    <row r="7480" spans="1:10" ht="15.75" hidden="1" thickBot="1" x14ac:dyDescent="0.3">
      <c r="A7480" s="249"/>
      <c r="B7480" s="240"/>
      <c r="C7480" s="127"/>
      <c r="D7480" s="127"/>
      <c r="E7480" s="128"/>
      <c r="F7480" s="49" t="s">
        <v>418</v>
      </c>
      <c r="G7480" s="49" t="str">
        <f>IF(ISNUMBER(F7480),E7480*F7480,"")</f>
        <v/>
      </c>
      <c r="H7480" s="65"/>
      <c r="I7480" s="66"/>
      <c r="J7480" s="125">
        <v>0</v>
      </c>
    </row>
    <row r="7481" spans="1:10" ht="26.25" hidden="1" thickBot="1" x14ac:dyDescent="0.3">
      <c r="A7481" s="249"/>
      <c r="B7481" s="240"/>
      <c r="C7481" s="129" t="s">
        <v>17898</v>
      </c>
      <c r="D7481" s="129" t="s">
        <v>70</v>
      </c>
      <c r="E7481" s="130">
        <v>1.0798000000000001</v>
      </c>
      <c r="F7481" s="49" t="s">
        <v>418</v>
      </c>
      <c r="G7481" s="49" t="str">
        <f>IF(ISNUMBER(F7481),E7481*F7481,"")</f>
        <v/>
      </c>
      <c r="H7481" s="35">
        <f>SUM(G7481:G7485)</f>
        <v>39.504875999999996</v>
      </c>
      <c r="I7481" s="36"/>
      <c r="J7481" s="125">
        <v>0</v>
      </c>
    </row>
    <row r="7482" spans="1:10" ht="15.75" hidden="1" thickBot="1" x14ac:dyDescent="0.3">
      <c r="A7482" s="249"/>
      <c r="B7482" s="240"/>
      <c r="C7482" s="155" t="s">
        <v>23677</v>
      </c>
      <c r="D7482" s="155" t="s">
        <v>774</v>
      </c>
      <c r="E7482" s="130">
        <v>6.85</v>
      </c>
      <c r="F7482" s="49">
        <v>2.0804999999999998</v>
      </c>
      <c r="G7482" s="49">
        <f>IF(ISNUMBER(F7482),E7482*F7482,"")</f>
        <v>14.251424999999998</v>
      </c>
      <c r="H7482" s="65"/>
      <c r="I7482" s="66"/>
      <c r="J7482" s="125">
        <v>0</v>
      </c>
    </row>
    <row r="7483" spans="1:10" ht="15.75" hidden="1" thickBot="1" x14ac:dyDescent="0.3">
      <c r="A7483" s="249"/>
      <c r="B7483" s="240"/>
      <c r="C7483" s="155" t="s">
        <v>27268</v>
      </c>
      <c r="D7483" s="155" t="s">
        <v>774</v>
      </c>
      <c r="E7483" s="130">
        <v>0.22</v>
      </c>
      <c r="F7483" s="49">
        <v>6.5739999999999998</v>
      </c>
      <c r="G7483" s="49">
        <f>IF(ISNUMBER(F7483),E7483*F7483,"")</f>
        <v>1.44628</v>
      </c>
      <c r="H7483" s="65"/>
      <c r="I7483" s="66"/>
      <c r="J7483" s="125">
        <v>0</v>
      </c>
    </row>
    <row r="7484" spans="1:10" ht="15.75" hidden="1" thickBot="1" x14ac:dyDescent="0.3">
      <c r="A7484" s="249"/>
      <c r="B7484" s="240"/>
      <c r="C7484" s="155" t="s">
        <v>1087</v>
      </c>
      <c r="D7484" s="155" t="s">
        <v>587</v>
      </c>
      <c r="E7484" s="130">
        <v>0.69699999999999995</v>
      </c>
      <c r="F7484" s="49">
        <v>25.516999999999999</v>
      </c>
      <c r="G7484" s="49">
        <f>IF(ISNUMBER(F7484),E7484*F7484,"")</f>
        <v>17.785349</v>
      </c>
      <c r="H7484" s="65"/>
      <c r="I7484" s="66"/>
      <c r="J7484" s="125">
        <v>0</v>
      </c>
    </row>
    <row r="7485" spans="1:10" ht="15.75" hidden="1" thickBot="1" x14ac:dyDescent="0.3">
      <c r="A7485" s="249"/>
      <c r="B7485" s="240"/>
      <c r="C7485" s="155" t="s">
        <v>588</v>
      </c>
      <c r="D7485" s="155" t="s">
        <v>587</v>
      </c>
      <c r="E7485" s="130">
        <v>0.31380000000000002</v>
      </c>
      <c r="F7485" s="49">
        <v>19.189999999999998</v>
      </c>
      <c r="G7485" s="49">
        <f>IF(ISNUMBER(F7485),E7485*F7485,"")</f>
        <v>6.0218219999999993</v>
      </c>
      <c r="H7485" s="65"/>
      <c r="I7485" s="66"/>
      <c r="J7485" s="125">
        <v>0</v>
      </c>
    </row>
    <row r="7486" spans="1:10" ht="15.75" hidden="1" thickBot="1" x14ac:dyDescent="0.3">
      <c r="A7486" s="250"/>
      <c r="B7486" s="239"/>
      <c r="C7486" s="164"/>
      <c r="D7486" s="132"/>
      <c r="E7486" s="61"/>
      <c r="F7486" s="68" t="s">
        <v>418</v>
      </c>
      <c r="G7486" s="68" t="str">
        <f>IF(ISNUMBER(F7486),E7486*F7486,"")</f>
        <v/>
      </c>
      <c r="H7486" s="69"/>
      <c r="I7486" s="66"/>
      <c r="J7486" s="125">
        <v>0</v>
      </c>
    </row>
    <row r="7487" spans="1:10" s="144" customFormat="1" ht="15.75" hidden="1" thickBot="1" x14ac:dyDescent="0.3">
      <c r="A7487" s="234" t="s">
        <v>16253</v>
      </c>
      <c r="B7487" s="237" t="s">
        <v>18728</v>
      </c>
      <c r="C7487" s="160"/>
      <c r="D7487" s="145" t="s">
        <v>70</v>
      </c>
      <c r="E7487" s="146"/>
      <c r="F7487" s="44" t="s">
        <v>418</v>
      </c>
      <c r="G7487" s="147" t="str">
        <f>IF(ISNUMBER(F7487),E7487*F7487,"")</f>
        <v/>
      </c>
      <c r="H7487" s="148"/>
      <c r="I7487" s="149"/>
      <c r="J7487" s="125">
        <v>0</v>
      </c>
    </row>
    <row r="7488" spans="1:10" s="144" customFormat="1" ht="15.75" hidden="1" thickBot="1" x14ac:dyDescent="0.3">
      <c r="A7488" s="249"/>
      <c r="B7488" s="240"/>
      <c r="C7488" s="127"/>
      <c r="D7488" s="127"/>
      <c r="E7488" s="128"/>
      <c r="F7488" s="49" t="s">
        <v>418</v>
      </c>
      <c r="G7488" s="49" t="str">
        <f>IF(ISNUMBER(F7488),E7488*F7488,"")</f>
        <v/>
      </c>
      <c r="H7488" s="65"/>
      <c r="I7488" s="66"/>
      <c r="J7488" s="125">
        <v>0</v>
      </c>
    </row>
    <row r="7489" spans="1:10" s="144" customFormat="1" ht="15.75" hidden="1" thickBot="1" x14ac:dyDescent="0.3">
      <c r="A7489" s="249"/>
      <c r="B7489" s="240"/>
      <c r="C7489" s="155" t="s">
        <v>588</v>
      </c>
      <c r="D7489" s="155" t="s">
        <v>587</v>
      </c>
      <c r="E7489" s="130">
        <v>0.4</v>
      </c>
      <c r="F7489" s="49">
        <v>19.189999999999998</v>
      </c>
      <c r="G7489" s="49">
        <f>IF(ISNUMBER(F7489),E7489*F7489,"")</f>
        <v>7.6759999999999993</v>
      </c>
      <c r="H7489" s="35">
        <f>SUM(G7489:G7491)</f>
        <v>16.318711467812498</v>
      </c>
      <c r="I7489" s="36"/>
      <c r="J7489" s="125">
        <v>0</v>
      </c>
    </row>
    <row r="7490" spans="1:10" s="144" customFormat="1" ht="26.25" hidden="1" thickBot="1" x14ac:dyDescent="0.3">
      <c r="A7490" s="249"/>
      <c r="B7490" s="240"/>
      <c r="C7490" s="155" t="s">
        <v>892</v>
      </c>
      <c r="D7490" s="155" t="s">
        <v>85</v>
      </c>
      <c r="E7490" s="130">
        <v>5.0000000000000001E-3</v>
      </c>
      <c r="F7490" s="49">
        <v>1097.7422935625</v>
      </c>
      <c r="G7490" s="49">
        <f>IF(ISNUMBER(F7490),E7490*F7490,"")</f>
        <v>5.4887114678125002</v>
      </c>
      <c r="H7490" s="65"/>
      <c r="I7490" s="66"/>
      <c r="J7490" s="125">
        <v>0</v>
      </c>
    </row>
    <row r="7491" spans="1:10" s="144" customFormat="1" ht="15.75" hidden="1" thickBot="1" x14ac:dyDescent="0.3">
      <c r="A7491" s="249"/>
      <c r="B7491" s="240"/>
      <c r="C7491" s="155" t="s">
        <v>38866</v>
      </c>
      <c r="D7491" s="155" t="s">
        <v>205</v>
      </c>
      <c r="E7491" s="130">
        <v>0.5</v>
      </c>
      <c r="F7491" s="49">
        <v>6.3079999999999998</v>
      </c>
      <c r="G7491" s="49">
        <f>IF(ISNUMBER(F7491),E7491*F7491,"")</f>
        <v>3.1539999999999999</v>
      </c>
      <c r="H7491" s="65"/>
      <c r="I7491" s="66"/>
      <c r="J7491" s="125">
        <v>0</v>
      </c>
    </row>
    <row r="7492" spans="1:10" s="144" customFormat="1" ht="15.75" hidden="1" thickBot="1" x14ac:dyDescent="0.3">
      <c r="A7492" s="250"/>
      <c r="B7492" s="239"/>
      <c r="C7492" s="164"/>
      <c r="D7492" s="132"/>
      <c r="E7492" s="165"/>
      <c r="F7492" s="68" t="s">
        <v>418</v>
      </c>
      <c r="G7492" s="68" t="str">
        <f>IF(ISNUMBER(F7492),E7492*F7492,"")</f>
        <v/>
      </c>
      <c r="H7492" s="69"/>
      <c r="I7492" s="66"/>
      <c r="J7492" s="125">
        <v>0</v>
      </c>
    </row>
    <row r="7493" spans="1:10" s="144" customFormat="1" ht="15.75" hidden="1" thickBot="1" x14ac:dyDescent="0.3">
      <c r="A7493" s="234" t="s">
        <v>16254</v>
      </c>
      <c r="B7493" s="237" t="s">
        <v>18729</v>
      </c>
      <c r="C7493" s="160"/>
      <c r="D7493" s="145" t="s">
        <v>16</v>
      </c>
      <c r="E7493" s="146"/>
      <c r="F7493" s="44" t="s">
        <v>418</v>
      </c>
      <c r="G7493" s="147" t="str">
        <f>IF(ISNUMBER(F7493),E7493*F7493,"")</f>
        <v/>
      </c>
      <c r="H7493" s="148"/>
      <c r="I7493" s="149"/>
      <c r="J7493" s="125">
        <v>0</v>
      </c>
    </row>
    <row r="7494" spans="1:10" s="144" customFormat="1" ht="15.75" hidden="1" thickBot="1" x14ac:dyDescent="0.3">
      <c r="A7494" s="249"/>
      <c r="B7494" s="240"/>
      <c r="C7494" s="127"/>
      <c r="D7494" s="127"/>
      <c r="E7494" s="128"/>
      <c r="F7494" s="49" t="s">
        <v>418</v>
      </c>
      <c r="G7494" s="49" t="str">
        <f>IF(ISNUMBER(F7494),E7494*F7494,"")</f>
        <v/>
      </c>
      <c r="H7494" s="65"/>
      <c r="I7494" s="66"/>
      <c r="J7494" s="125">
        <v>0</v>
      </c>
    </row>
    <row r="7495" spans="1:10" s="144" customFormat="1" ht="15.75" hidden="1" thickBot="1" x14ac:dyDescent="0.3">
      <c r="A7495" s="249"/>
      <c r="B7495" s="240"/>
      <c r="C7495" s="155" t="s">
        <v>9900</v>
      </c>
      <c r="D7495" s="155" t="s">
        <v>587</v>
      </c>
      <c r="E7495" s="156">
        <v>40</v>
      </c>
      <c r="F7495" s="49">
        <v>158.94450000000001</v>
      </c>
      <c r="G7495" s="49">
        <f>IF(ISNUMBER(F7495),E7495*F7495,"")</f>
        <v>6357.7800000000007</v>
      </c>
      <c r="H7495" s="35">
        <f>SUM(G7495:G7497)</f>
        <v>7041.5800000000008</v>
      </c>
      <c r="I7495" s="36"/>
      <c r="J7495" s="125">
        <v>0</v>
      </c>
    </row>
    <row r="7496" spans="1:10" s="144" customFormat="1" ht="15.75" hidden="1" thickBot="1" x14ac:dyDescent="0.3">
      <c r="A7496" s="249"/>
      <c r="B7496" s="240"/>
      <c r="C7496" s="155" t="s">
        <v>9887</v>
      </c>
      <c r="D7496" s="155" t="s">
        <v>587</v>
      </c>
      <c r="E7496" s="156">
        <v>20</v>
      </c>
      <c r="F7496" s="49">
        <v>21.4605</v>
      </c>
      <c r="G7496" s="49">
        <f>IF(ISNUMBER(F7496),E7496*F7496,"")</f>
        <v>429.21</v>
      </c>
      <c r="H7496" s="65"/>
      <c r="I7496" s="66"/>
      <c r="J7496" s="125">
        <v>0</v>
      </c>
    </row>
    <row r="7497" spans="1:10" s="144" customFormat="1" ht="15.75" hidden="1" thickBot="1" x14ac:dyDescent="0.3">
      <c r="A7497" s="249"/>
      <c r="B7497" s="240"/>
      <c r="C7497" s="155" t="s">
        <v>15</v>
      </c>
      <c r="D7497" s="155" t="s">
        <v>16</v>
      </c>
      <c r="E7497" s="156">
        <v>1</v>
      </c>
      <c r="F7497" s="49">
        <v>254.59</v>
      </c>
      <c r="G7497" s="49">
        <f>IF(ISNUMBER(F7497),E7497*F7497,"")</f>
        <v>254.59</v>
      </c>
      <c r="H7497" s="65"/>
      <c r="I7497" s="66"/>
      <c r="J7497" s="125">
        <v>0</v>
      </c>
    </row>
    <row r="7498" spans="1:10" s="144" customFormat="1" ht="15.75" hidden="1" thickBot="1" x14ac:dyDescent="0.3">
      <c r="A7498" s="250"/>
      <c r="B7498" s="239"/>
      <c r="C7498" s="164"/>
      <c r="D7498" s="132"/>
      <c r="E7498" s="165"/>
      <c r="F7498" s="68" t="s">
        <v>418</v>
      </c>
      <c r="G7498" s="68" t="str">
        <f>IF(ISNUMBER(F7498),E7498*F7498,"")</f>
        <v/>
      </c>
      <c r="H7498" s="69"/>
      <c r="I7498" s="66"/>
      <c r="J7498" s="125">
        <v>0</v>
      </c>
    </row>
    <row r="7499" spans="1:10" ht="15.75" hidden="1" thickBot="1" x14ac:dyDescent="0.3">
      <c r="A7499" s="234" t="s">
        <v>16255</v>
      </c>
      <c r="B7499" s="237" t="s">
        <v>18730</v>
      </c>
      <c r="C7499" s="160"/>
      <c r="D7499" s="145" t="s">
        <v>16</v>
      </c>
      <c r="E7499" s="146"/>
      <c r="F7499" s="161" t="s">
        <v>418</v>
      </c>
      <c r="G7499" s="147" t="str">
        <f>IF(ISNUMBER(F7499),E7499*F7499,"")</f>
        <v/>
      </c>
      <c r="H7499" s="148"/>
      <c r="I7499" s="149"/>
      <c r="J7499" s="125">
        <v>0</v>
      </c>
    </row>
    <row r="7500" spans="1:10" ht="15.75" hidden="1" thickBot="1" x14ac:dyDescent="0.3">
      <c r="A7500" s="235"/>
      <c r="B7500" s="238"/>
      <c r="C7500" s="151"/>
      <c r="D7500" s="151"/>
      <c r="E7500" s="152"/>
      <c r="F7500" s="162" t="s">
        <v>418</v>
      </c>
      <c r="G7500" s="150" t="str">
        <f>IF(ISNUMBER(F7500),E7500*F7500,"")</f>
        <v/>
      </c>
      <c r="H7500" s="154"/>
      <c r="I7500" s="150"/>
      <c r="J7500" s="125">
        <v>0</v>
      </c>
    </row>
    <row r="7501" spans="1:10" ht="26.25" hidden="1" thickBot="1" x14ac:dyDescent="0.3">
      <c r="A7501" s="235"/>
      <c r="B7501" s="238"/>
      <c r="C7501" s="155" t="s">
        <v>9741</v>
      </c>
      <c r="D7501" s="155" t="s">
        <v>587</v>
      </c>
      <c r="E7501" s="156">
        <v>3.5</v>
      </c>
      <c r="F7501" s="150">
        <v>18.544</v>
      </c>
      <c r="G7501" s="153">
        <f>IF(ISNUMBER(F7501),E7501*F7501,"")</f>
        <v>64.903999999999996</v>
      </c>
      <c r="H7501" s="35">
        <f>SUM(G7501:G7506)</f>
        <v>159.79949999999999</v>
      </c>
      <c r="I7501" s="159"/>
      <c r="J7501" s="125">
        <v>0</v>
      </c>
    </row>
    <row r="7502" spans="1:10" ht="26.25" hidden="1" thickBot="1" x14ac:dyDescent="0.3">
      <c r="A7502" s="235"/>
      <c r="B7502" s="238"/>
      <c r="C7502" s="155" t="s">
        <v>460</v>
      </c>
      <c r="D7502" s="155" t="s">
        <v>587</v>
      </c>
      <c r="E7502" s="156">
        <v>3.5</v>
      </c>
      <c r="F7502" s="150">
        <v>27.113</v>
      </c>
      <c r="G7502" s="153">
        <f>IF(ISNUMBER(F7502),E7502*F7502,"")</f>
        <v>94.895499999999998</v>
      </c>
      <c r="H7502" s="154"/>
      <c r="I7502" s="150"/>
      <c r="J7502" s="125">
        <v>0</v>
      </c>
    </row>
    <row r="7503" spans="1:10" ht="15.75" hidden="1" thickBot="1" x14ac:dyDescent="0.3">
      <c r="A7503" s="235"/>
      <c r="B7503" s="238"/>
      <c r="C7503" s="155" t="s">
        <v>19419</v>
      </c>
      <c r="D7503" s="155" t="s">
        <v>97</v>
      </c>
      <c r="E7503" s="156">
        <v>1</v>
      </c>
      <c r="F7503" s="153" t="s">
        <v>418</v>
      </c>
      <c r="G7503" s="153" t="str">
        <f>IF(ISNUMBER(F7503),E7503*F7503,"")</f>
        <v/>
      </c>
      <c r="H7503" s="154"/>
      <c r="I7503" s="150"/>
      <c r="J7503" s="125">
        <v>0</v>
      </c>
    </row>
    <row r="7504" spans="1:10" ht="15.75" hidden="1" thickBot="1" x14ac:dyDescent="0.3">
      <c r="A7504" s="235"/>
      <c r="B7504" s="238"/>
      <c r="C7504" s="155" t="s">
        <v>19420</v>
      </c>
      <c r="D7504" s="155" t="s">
        <v>97</v>
      </c>
      <c r="E7504" s="156">
        <v>1</v>
      </c>
      <c r="F7504" s="153" t="s">
        <v>418</v>
      </c>
      <c r="G7504" s="153" t="str">
        <f>IF(ISNUMBER(F7504),E7504*F7504,"")</f>
        <v/>
      </c>
      <c r="H7504" s="154"/>
      <c r="I7504" s="150"/>
      <c r="J7504" s="125">
        <v>0</v>
      </c>
    </row>
    <row r="7505" spans="1:10" ht="15.75" hidden="1" thickBot="1" x14ac:dyDescent="0.3">
      <c r="A7505" s="235"/>
      <c r="B7505" s="238"/>
      <c r="C7505" s="155" t="s">
        <v>19421</v>
      </c>
      <c r="D7505" s="155" t="s">
        <v>97</v>
      </c>
      <c r="E7505" s="156">
        <v>1</v>
      </c>
      <c r="F7505" s="153" t="s">
        <v>418</v>
      </c>
      <c r="G7505" s="153" t="str">
        <f>IF(ISNUMBER(F7505),E7505*F7505,"")</f>
        <v/>
      </c>
      <c r="H7505" s="154"/>
      <c r="I7505" s="150"/>
      <c r="J7505" s="125">
        <v>0</v>
      </c>
    </row>
    <row r="7506" spans="1:10" ht="15.75" hidden="1" thickBot="1" x14ac:dyDescent="0.3">
      <c r="A7506" s="235"/>
      <c r="B7506" s="238"/>
      <c r="C7506" s="155" t="s">
        <v>19422</v>
      </c>
      <c r="D7506" s="155" t="s">
        <v>97</v>
      </c>
      <c r="E7506" s="156">
        <v>1</v>
      </c>
      <c r="F7506" s="153" t="s">
        <v>418</v>
      </c>
      <c r="G7506" s="153" t="str">
        <f>IF(ISNUMBER(F7506),E7506*F7506,"")</f>
        <v/>
      </c>
      <c r="H7506" s="154"/>
      <c r="I7506" s="150"/>
      <c r="J7506" s="125">
        <v>0</v>
      </c>
    </row>
    <row r="7507" spans="1:10" ht="15.75" hidden="1" thickBot="1" x14ac:dyDescent="0.3">
      <c r="A7507" s="236"/>
      <c r="B7507" s="239"/>
      <c r="C7507" s="155"/>
      <c r="D7507" s="155"/>
      <c r="E7507" s="156"/>
      <c r="F7507" s="150" t="s">
        <v>418</v>
      </c>
      <c r="G7507" s="150" t="str">
        <f>IF(ISNUMBER(F7507),E7507*F7507,"")</f>
        <v/>
      </c>
      <c r="H7507" s="154"/>
      <c r="I7507" s="150"/>
      <c r="J7507" s="125">
        <v>0</v>
      </c>
    </row>
    <row r="7508" spans="1:10" ht="15.75" hidden="1" thickBot="1" x14ac:dyDescent="0.3">
      <c r="A7508" s="234" t="s">
        <v>16256</v>
      </c>
      <c r="B7508" s="237" t="s">
        <v>19793</v>
      </c>
      <c r="C7508" s="160"/>
      <c r="D7508" s="145" t="s">
        <v>16</v>
      </c>
      <c r="E7508" s="146"/>
      <c r="F7508" s="161" t="s">
        <v>418</v>
      </c>
      <c r="G7508" s="147" t="str">
        <f>IF(ISNUMBER(F7508),E7508*F7508,"")</f>
        <v/>
      </c>
      <c r="H7508" s="148"/>
      <c r="I7508" s="149"/>
      <c r="J7508" s="125">
        <v>0</v>
      </c>
    </row>
    <row r="7509" spans="1:10" ht="15.75" hidden="1" thickBot="1" x14ac:dyDescent="0.3">
      <c r="A7509" s="235"/>
      <c r="B7509" s="238"/>
      <c r="C7509" s="151"/>
      <c r="D7509" s="151"/>
      <c r="E7509" s="152"/>
      <c r="F7509" s="162" t="s">
        <v>418</v>
      </c>
      <c r="G7509" s="150" t="str">
        <f>IF(ISNUMBER(F7509),E7509*F7509,"")</f>
        <v/>
      </c>
      <c r="H7509" s="154"/>
      <c r="I7509" s="150"/>
      <c r="J7509" s="125">
        <v>0</v>
      </c>
    </row>
    <row r="7510" spans="1:10" ht="26.25" hidden="1" thickBot="1" x14ac:dyDescent="0.3">
      <c r="A7510" s="235"/>
      <c r="B7510" s="238"/>
      <c r="C7510" s="155" t="s">
        <v>9741</v>
      </c>
      <c r="D7510" s="155" t="s">
        <v>587</v>
      </c>
      <c r="E7510" s="156">
        <v>3.5</v>
      </c>
      <c r="F7510" s="150">
        <v>18.544</v>
      </c>
      <c r="G7510" s="153">
        <f>IF(ISNUMBER(F7510),E7510*F7510,"")</f>
        <v>64.903999999999996</v>
      </c>
      <c r="H7510" s="158">
        <f>SUM(G7510:G7512)</f>
        <v>159.79949999999999</v>
      </c>
      <c r="I7510" s="159"/>
      <c r="J7510" s="125">
        <v>0</v>
      </c>
    </row>
    <row r="7511" spans="1:10" ht="26.25" hidden="1" thickBot="1" x14ac:dyDescent="0.3">
      <c r="A7511" s="235"/>
      <c r="B7511" s="238"/>
      <c r="C7511" s="155" t="s">
        <v>460</v>
      </c>
      <c r="D7511" s="155" t="s">
        <v>587</v>
      </c>
      <c r="E7511" s="156">
        <v>3.5</v>
      </c>
      <c r="F7511" s="150">
        <v>27.113</v>
      </c>
      <c r="G7511" s="153">
        <f>IF(ISNUMBER(F7511),E7511*F7511,"")</f>
        <v>94.895499999999998</v>
      </c>
      <c r="H7511" s="154"/>
      <c r="I7511" s="150"/>
      <c r="J7511" s="125">
        <v>0</v>
      </c>
    </row>
    <row r="7512" spans="1:10" ht="15.75" hidden="1" thickBot="1" x14ac:dyDescent="0.3">
      <c r="A7512" s="235"/>
      <c r="B7512" s="238"/>
      <c r="C7512" s="155" t="s">
        <v>19423</v>
      </c>
      <c r="D7512" s="155" t="s">
        <v>97</v>
      </c>
      <c r="E7512" s="156">
        <v>1</v>
      </c>
      <c r="F7512" s="153" t="s">
        <v>418</v>
      </c>
      <c r="G7512" s="153" t="str">
        <f>IF(ISNUMBER(F7512),E7512*F7512,"")</f>
        <v/>
      </c>
      <c r="H7512" s="154"/>
      <c r="I7512" s="150"/>
      <c r="J7512" s="125">
        <v>0</v>
      </c>
    </row>
    <row r="7513" spans="1:10" ht="15.75" hidden="1" thickBot="1" x14ac:dyDescent="0.3">
      <c r="A7513" s="236"/>
      <c r="B7513" s="239"/>
      <c r="C7513" s="155"/>
      <c r="D7513" s="155"/>
      <c r="E7513" s="156"/>
      <c r="F7513" s="150" t="s">
        <v>418</v>
      </c>
      <c r="G7513" s="150" t="str">
        <f>IF(ISNUMBER(F7513),E7513*F7513,"")</f>
        <v/>
      </c>
      <c r="H7513" s="154"/>
      <c r="I7513" s="150"/>
      <c r="J7513" s="125">
        <v>0</v>
      </c>
    </row>
    <row r="7514" spans="1:10" ht="15.75" hidden="1" thickBot="1" x14ac:dyDescent="0.3">
      <c r="A7514" s="234" t="s">
        <v>16257</v>
      </c>
      <c r="B7514" s="237" t="s">
        <v>19794</v>
      </c>
      <c r="C7514" s="160"/>
      <c r="D7514" s="145" t="s">
        <v>16</v>
      </c>
      <c r="E7514" s="146"/>
      <c r="F7514" s="161" t="s">
        <v>418</v>
      </c>
      <c r="G7514" s="147" t="str">
        <f>IF(ISNUMBER(F7514),E7514*F7514,"")</f>
        <v/>
      </c>
      <c r="H7514" s="148"/>
      <c r="I7514" s="149"/>
      <c r="J7514" s="125">
        <v>0</v>
      </c>
    </row>
    <row r="7515" spans="1:10" ht="15.75" hidden="1" thickBot="1" x14ac:dyDescent="0.3">
      <c r="A7515" s="235"/>
      <c r="B7515" s="238"/>
      <c r="C7515" s="151"/>
      <c r="D7515" s="151"/>
      <c r="E7515" s="152"/>
      <c r="F7515" s="162" t="s">
        <v>418</v>
      </c>
      <c r="G7515" s="150" t="str">
        <f>IF(ISNUMBER(F7515),E7515*F7515,"")</f>
        <v/>
      </c>
      <c r="H7515" s="154"/>
      <c r="I7515" s="150"/>
      <c r="J7515" s="125">
        <v>0</v>
      </c>
    </row>
    <row r="7516" spans="1:10" ht="26.25" hidden="1" thickBot="1" x14ac:dyDescent="0.3">
      <c r="A7516" s="235"/>
      <c r="B7516" s="238"/>
      <c r="C7516" s="155" t="s">
        <v>9741</v>
      </c>
      <c r="D7516" s="155" t="s">
        <v>587</v>
      </c>
      <c r="E7516" s="156">
        <v>3.5</v>
      </c>
      <c r="F7516" s="150">
        <v>18.544</v>
      </c>
      <c r="G7516" s="153">
        <f>IF(ISNUMBER(F7516),E7516*F7516,"")</f>
        <v>64.903999999999996</v>
      </c>
      <c r="H7516" s="158">
        <f>SUM(G7516:G7518)</f>
        <v>160.74949999999998</v>
      </c>
      <c r="I7516" s="159"/>
      <c r="J7516" s="125">
        <v>0</v>
      </c>
    </row>
    <row r="7517" spans="1:10" ht="26.25" hidden="1" thickBot="1" x14ac:dyDescent="0.3">
      <c r="A7517" s="235"/>
      <c r="B7517" s="238"/>
      <c r="C7517" s="155" t="s">
        <v>460</v>
      </c>
      <c r="D7517" s="155" t="s">
        <v>587</v>
      </c>
      <c r="E7517" s="156">
        <v>3.5</v>
      </c>
      <c r="F7517" s="150">
        <v>27.113</v>
      </c>
      <c r="G7517" s="153">
        <f>IF(ISNUMBER(F7517),E7517*F7517,"")</f>
        <v>94.895499999999998</v>
      </c>
      <c r="H7517" s="154"/>
      <c r="I7517" s="150"/>
      <c r="J7517" s="125">
        <v>0</v>
      </c>
    </row>
    <row r="7518" spans="1:10" ht="15.75" hidden="1" thickBot="1" x14ac:dyDescent="0.3">
      <c r="A7518" s="235"/>
      <c r="B7518" s="238"/>
      <c r="C7518" s="155" t="s">
        <v>19424</v>
      </c>
      <c r="D7518" s="155" t="s">
        <v>97</v>
      </c>
      <c r="E7518" s="156">
        <v>1</v>
      </c>
      <c r="F7518" s="153">
        <v>0.95</v>
      </c>
      <c r="G7518" s="153">
        <f>IF(ISNUMBER(F7518),E7518*F7518,"")</f>
        <v>0.95</v>
      </c>
      <c r="H7518" s="154"/>
      <c r="I7518" s="150"/>
      <c r="J7518" s="125">
        <v>0</v>
      </c>
    </row>
    <row r="7519" spans="1:10" ht="15.75" hidden="1" thickBot="1" x14ac:dyDescent="0.3">
      <c r="A7519" s="236"/>
      <c r="B7519" s="239"/>
      <c r="C7519" s="155"/>
      <c r="D7519" s="155"/>
      <c r="E7519" s="156"/>
      <c r="F7519" s="150" t="s">
        <v>418</v>
      </c>
      <c r="G7519" s="150" t="str">
        <f>IF(ISNUMBER(F7519),E7519*F7519,"")</f>
        <v/>
      </c>
      <c r="H7519" s="154"/>
      <c r="I7519" s="150"/>
      <c r="J7519" s="125">
        <v>0</v>
      </c>
    </row>
    <row r="7520" spans="1:10" ht="15.75" hidden="1" thickBot="1" x14ac:dyDescent="0.3">
      <c r="A7520" s="234" t="s">
        <v>16258</v>
      </c>
      <c r="B7520" s="237" t="s">
        <v>18731</v>
      </c>
      <c r="C7520" s="160"/>
      <c r="D7520" s="145" t="s">
        <v>16</v>
      </c>
      <c r="E7520" s="146"/>
      <c r="F7520" s="161" t="s">
        <v>418</v>
      </c>
      <c r="G7520" s="147" t="str">
        <f>IF(ISNUMBER(F7520),E7520*F7520,"")</f>
        <v/>
      </c>
      <c r="H7520" s="148"/>
      <c r="I7520" s="149"/>
      <c r="J7520" s="125">
        <v>0</v>
      </c>
    </row>
    <row r="7521" spans="1:10" ht="15.75" hidden="1" thickBot="1" x14ac:dyDescent="0.3">
      <c r="A7521" s="235"/>
      <c r="B7521" s="238"/>
      <c r="C7521" s="151"/>
      <c r="D7521" s="151"/>
      <c r="E7521" s="152"/>
      <c r="F7521" s="162" t="s">
        <v>418</v>
      </c>
      <c r="G7521" s="150" t="str">
        <f>IF(ISNUMBER(F7521),E7521*F7521,"")</f>
        <v/>
      </c>
      <c r="H7521" s="154"/>
      <c r="I7521" s="150"/>
      <c r="J7521" s="125">
        <v>0</v>
      </c>
    </row>
    <row r="7522" spans="1:10" ht="26.25" hidden="1" thickBot="1" x14ac:dyDescent="0.3">
      <c r="A7522" s="235"/>
      <c r="B7522" s="238"/>
      <c r="C7522" s="155" t="s">
        <v>27778</v>
      </c>
      <c r="D7522" s="155" t="s">
        <v>205</v>
      </c>
      <c r="E7522" s="156">
        <v>10</v>
      </c>
      <c r="F7522" s="153">
        <v>1.0069999999999999</v>
      </c>
      <c r="G7522" s="150">
        <f>IF(ISNUMBER(F7522),E7522*F7522,"")</f>
        <v>10.069999999999999</v>
      </c>
      <c r="H7522" s="158">
        <f>SUM(G7522:G7532)</f>
        <v>874.86499779999997</v>
      </c>
      <c r="I7522" s="159"/>
      <c r="J7522" s="125">
        <v>0</v>
      </c>
    </row>
    <row r="7523" spans="1:10" ht="15.75" hidden="1" thickBot="1" x14ac:dyDescent="0.3">
      <c r="A7523" s="235"/>
      <c r="B7523" s="238"/>
      <c r="C7523" s="155" t="s">
        <v>1251</v>
      </c>
      <c r="D7523" s="155" t="s">
        <v>587</v>
      </c>
      <c r="E7523" s="156">
        <v>5.3597999999999999</v>
      </c>
      <c r="F7523" s="150">
        <v>19.731499999999997</v>
      </c>
      <c r="G7523" s="150">
        <f>IF(ISNUMBER(F7523),E7523*F7523,"")</f>
        <v>105.75689369999998</v>
      </c>
      <c r="H7523" s="154"/>
      <c r="I7523" s="150"/>
      <c r="J7523" s="125">
        <v>0</v>
      </c>
    </row>
    <row r="7524" spans="1:10" ht="39" hidden="1" thickBot="1" x14ac:dyDescent="0.3">
      <c r="A7524" s="235"/>
      <c r="B7524" s="238"/>
      <c r="C7524" s="155" t="s">
        <v>2557</v>
      </c>
      <c r="D7524" s="155" t="s">
        <v>814</v>
      </c>
      <c r="E7524" s="156">
        <v>0.4118</v>
      </c>
      <c r="F7524" s="150">
        <v>317.28100000000001</v>
      </c>
      <c r="G7524" s="150">
        <f>IF(ISNUMBER(F7524),E7524*F7524,"")</f>
        <v>130.65631580000002</v>
      </c>
      <c r="H7524" s="154"/>
      <c r="I7524" s="150"/>
      <c r="J7524" s="125">
        <v>0</v>
      </c>
    </row>
    <row r="7525" spans="1:10" ht="39" hidden="1" thickBot="1" x14ac:dyDescent="0.3">
      <c r="A7525" s="235"/>
      <c r="B7525" s="238"/>
      <c r="C7525" s="155" t="s">
        <v>2822</v>
      </c>
      <c r="D7525" s="155" t="s">
        <v>816</v>
      </c>
      <c r="E7525" s="156">
        <v>3.0331999999999999</v>
      </c>
      <c r="F7525" s="150">
        <v>160.48349999999999</v>
      </c>
      <c r="G7525" s="150">
        <f>IF(ISNUMBER(F7525),E7525*F7525,"")</f>
        <v>486.77855219999998</v>
      </c>
      <c r="H7525" s="154"/>
      <c r="I7525" s="150"/>
      <c r="J7525" s="125">
        <v>0</v>
      </c>
    </row>
    <row r="7526" spans="1:10" ht="26.25" hidden="1" thickBot="1" x14ac:dyDescent="0.3">
      <c r="A7526" s="235"/>
      <c r="B7526" s="238"/>
      <c r="C7526" s="155" t="s">
        <v>10194</v>
      </c>
      <c r="D7526" s="155" t="s">
        <v>587</v>
      </c>
      <c r="E7526" s="156">
        <v>5.3597999999999999</v>
      </c>
      <c r="F7526" s="150">
        <v>26.419499999999999</v>
      </c>
      <c r="G7526" s="150">
        <f>IF(ISNUMBER(F7526),E7526*F7526,"")</f>
        <v>141.6032361</v>
      </c>
      <c r="H7526" s="154"/>
      <c r="I7526" s="150"/>
      <c r="J7526" s="125">
        <v>0</v>
      </c>
    </row>
    <row r="7527" spans="1:10" ht="15.75" hidden="1" thickBot="1" x14ac:dyDescent="0.3">
      <c r="A7527" s="235"/>
      <c r="B7527" s="238"/>
      <c r="C7527" s="155" t="s">
        <v>19426</v>
      </c>
      <c r="D7527" s="163" t="s">
        <v>16</v>
      </c>
      <c r="E7527" s="156">
        <v>1</v>
      </c>
      <c r="F7527" s="150" t="s">
        <v>418</v>
      </c>
      <c r="G7527" s="150" t="str">
        <f>IF(ISNUMBER(F7527),E7527*F7527,"")</f>
        <v/>
      </c>
      <c r="H7527" s="154"/>
      <c r="I7527" s="150"/>
      <c r="J7527" s="125">
        <v>0</v>
      </c>
    </row>
    <row r="7528" spans="1:10" ht="39" hidden="1" thickBot="1" x14ac:dyDescent="0.3">
      <c r="A7528" s="235"/>
      <c r="B7528" s="238"/>
      <c r="C7528" s="155" t="s">
        <v>19427</v>
      </c>
      <c r="D7528" s="163" t="s">
        <v>16</v>
      </c>
      <c r="E7528" s="156">
        <v>1</v>
      </c>
      <c r="F7528" s="150" t="s">
        <v>418</v>
      </c>
      <c r="G7528" s="150" t="str">
        <f>IF(ISNUMBER(F7528),E7528*F7528,"")</f>
        <v/>
      </c>
      <c r="H7528" s="154"/>
      <c r="I7528" s="150"/>
      <c r="J7528" s="125">
        <v>0</v>
      </c>
    </row>
    <row r="7529" spans="1:10" ht="26.25" hidden="1" thickBot="1" x14ac:dyDescent="0.3">
      <c r="A7529" s="235"/>
      <c r="B7529" s="238"/>
      <c r="C7529" s="155" t="s">
        <v>19428</v>
      </c>
      <c r="D7529" s="163" t="s">
        <v>16</v>
      </c>
      <c r="E7529" s="156">
        <v>1</v>
      </c>
      <c r="F7529" s="150" t="s">
        <v>418</v>
      </c>
      <c r="G7529" s="150" t="str">
        <f>IF(ISNUMBER(F7529),E7529*F7529,"")</f>
        <v/>
      </c>
      <c r="H7529" s="154"/>
      <c r="I7529" s="150"/>
      <c r="J7529" s="125">
        <v>0</v>
      </c>
    </row>
    <row r="7530" spans="1:10" ht="39" hidden="1" thickBot="1" x14ac:dyDescent="0.3">
      <c r="A7530" s="235"/>
      <c r="B7530" s="238"/>
      <c r="C7530" s="155" t="s">
        <v>19429</v>
      </c>
      <c r="D7530" s="163" t="s">
        <v>16</v>
      </c>
      <c r="E7530" s="156">
        <v>2</v>
      </c>
      <c r="F7530" s="150" t="s">
        <v>418</v>
      </c>
      <c r="G7530" s="150" t="str">
        <f>IF(ISNUMBER(F7530),E7530*F7530,"")</f>
        <v/>
      </c>
      <c r="H7530" s="154"/>
      <c r="I7530" s="150"/>
      <c r="J7530" s="125">
        <v>0</v>
      </c>
    </row>
    <row r="7531" spans="1:10" ht="26.25" hidden="1" thickBot="1" x14ac:dyDescent="0.3">
      <c r="A7531" s="235"/>
      <c r="B7531" s="238"/>
      <c r="C7531" s="155" t="s">
        <v>19430</v>
      </c>
      <c r="D7531" s="163" t="s">
        <v>16</v>
      </c>
      <c r="E7531" s="156">
        <v>1</v>
      </c>
      <c r="F7531" s="150" t="s">
        <v>418</v>
      </c>
      <c r="G7531" s="150" t="str">
        <f>IF(ISNUMBER(F7531),E7531*F7531,"")</f>
        <v/>
      </c>
      <c r="H7531" s="154"/>
      <c r="I7531" s="150"/>
      <c r="J7531" s="125">
        <v>0</v>
      </c>
    </row>
    <row r="7532" spans="1:10" ht="39" hidden="1" thickBot="1" x14ac:dyDescent="0.3">
      <c r="A7532" s="235"/>
      <c r="B7532" s="238"/>
      <c r="C7532" s="155" t="s">
        <v>19431</v>
      </c>
      <c r="D7532" s="163" t="s">
        <v>16</v>
      </c>
      <c r="E7532" s="156">
        <v>1</v>
      </c>
      <c r="F7532" s="150" t="s">
        <v>418</v>
      </c>
      <c r="G7532" s="150" t="str">
        <f>IF(ISNUMBER(F7532),E7532*F7532,"")</f>
        <v/>
      </c>
      <c r="H7532" s="154"/>
      <c r="I7532" s="150"/>
      <c r="J7532" s="125">
        <v>0</v>
      </c>
    </row>
    <row r="7533" spans="1:10" ht="15.75" hidden="1" thickBot="1" x14ac:dyDescent="0.3">
      <c r="A7533" s="235"/>
      <c r="B7533" s="239"/>
      <c r="C7533" s="155"/>
      <c r="D7533" s="155"/>
      <c r="E7533" s="156"/>
      <c r="F7533" s="150" t="s">
        <v>418</v>
      </c>
      <c r="G7533" s="150" t="str">
        <f>IF(ISNUMBER(F7533),E7533*F7533,"")</f>
        <v/>
      </c>
      <c r="H7533" s="154"/>
      <c r="I7533" s="150"/>
      <c r="J7533" s="125">
        <v>0</v>
      </c>
    </row>
    <row r="7534" spans="1:10" ht="15.75" hidden="1" thickBot="1" x14ac:dyDescent="0.3">
      <c r="A7534" s="234" t="s">
        <v>16259</v>
      </c>
      <c r="B7534" s="237" t="s">
        <v>18732</v>
      </c>
      <c r="C7534" s="160"/>
      <c r="D7534" s="145" t="s">
        <v>16</v>
      </c>
      <c r="E7534" s="146"/>
      <c r="F7534" s="161" t="s">
        <v>418</v>
      </c>
      <c r="G7534" s="147" t="str">
        <f>IF(ISNUMBER(F7534),E7534*F7534,"")</f>
        <v/>
      </c>
      <c r="H7534" s="148"/>
      <c r="I7534" s="149"/>
      <c r="J7534" s="125">
        <v>0</v>
      </c>
    </row>
    <row r="7535" spans="1:10" ht="15.75" hidden="1" thickBot="1" x14ac:dyDescent="0.3">
      <c r="A7535" s="235"/>
      <c r="B7535" s="238"/>
      <c r="C7535" s="151"/>
      <c r="D7535" s="151"/>
      <c r="E7535" s="152"/>
      <c r="F7535" s="162" t="s">
        <v>418</v>
      </c>
      <c r="G7535" s="150" t="str">
        <f>IF(ISNUMBER(F7535),E7535*F7535,"")</f>
        <v/>
      </c>
      <c r="H7535" s="154"/>
      <c r="I7535" s="150"/>
      <c r="J7535" s="125">
        <v>0</v>
      </c>
    </row>
    <row r="7536" spans="1:10" ht="26.25" hidden="1" thickBot="1" x14ac:dyDescent="0.3">
      <c r="A7536" s="235"/>
      <c r="B7536" s="238"/>
      <c r="C7536" s="155" t="s">
        <v>27778</v>
      </c>
      <c r="D7536" s="155" t="s">
        <v>205</v>
      </c>
      <c r="E7536" s="156">
        <v>10</v>
      </c>
      <c r="F7536" s="153">
        <v>1.0069999999999999</v>
      </c>
      <c r="G7536" s="150">
        <f>IF(ISNUMBER(F7536),E7536*F7536,"")</f>
        <v>10.069999999999999</v>
      </c>
      <c r="H7536" s="158">
        <f>SUM(G7536:G7546)</f>
        <v>874.86499779999997</v>
      </c>
      <c r="I7536" s="159"/>
      <c r="J7536" s="125">
        <v>0</v>
      </c>
    </row>
    <row r="7537" spans="1:10" ht="15.75" hidden="1" thickBot="1" x14ac:dyDescent="0.3">
      <c r="A7537" s="235"/>
      <c r="B7537" s="238"/>
      <c r="C7537" s="155" t="s">
        <v>1251</v>
      </c>
      <c r="D7537" s="155" t="s">
        <v>587</v>
      </c>
      <c r="E7537" s="156">
        <v>5.3597999999999999</v>
      </c>
      <c r="F7537" s="150">
        <v>19.731499999999997</v>
      </c>
      <c r="G7537" s="150">
        <f>IF(ISNUMBER(F7537),E7537*F7537,"")</f>
        <v>105.75689369999998</v>
      </c>
      <c r="H7537" s="154"/>
      <c r="I7537" s="150"/>
      <c r="J7537" s="125">
        <v>0</v>
      </c>
    </row>
    <row r="7538" spans="1:10" ht="39" hidden="1" thickBot="1" x14ac:dyDescent="0.3">
      <c r="A7538" s="235"/>
      <c r="B7538" s="238"/>
      <c r="C7538" s="155" t="s">
        <v>2557</v>
      </c>
      <c r="D7538" s="155" t="s">
        <v>814</v>
      </c>
      <c r="E7538" s="156">
        <v>0.4118</v>
      </c>
      <c r="F7538" s="150">
        <v>317.28100000000001</v>
      </c>
      <c r="G7538" s="150">
        <f>IF(ISNUMBER(F7538),E7538*F7538,"")</f>
        <v>130.65631580000002</v>
      </c>
      <c r="H7538" s="154"/>
      <c r="I7538" s="150"/>
      <c r="J7538" s="125">
        <v>0</v>
      </c>
    </row>
    <row r="7539" spans="1:10" ht="39" hidden="1" thickBot="1" x14ac:dyDescent="0.3">
      <c r="A7539" s="235"/>
      <c r="B7539" s="238"/>
      <c r="C7539" s="155" t="s">
        <v>2822</v>
      </c>
      <c r="D7539" s="155" t="s">
        <v>816</v>
      </c>
      <c r="E7539" s="156">
        <v>3.0331999999999999</v>
      </c>
      <c r="F7539" s="150">
        <v>160.48349999999999</v>
      </c>
      <c r="G7539" s="150">
        <f>IF(ISNUMBER(F7539),E7539*F7539,"")</f>
        <v>486.77855219999998</v>
      </c>
      <c r="H7539" s="154"/>
      <c r="I7539" s="150"/>
      <c r="J7539" s="125">
        <v>0</v>
      </c>
    </row>
    <row r="7540" spans="1:10" ht="26.25" hidden="1" thickBot="1" x14ac:dyDescent="0.3">
      <c r="A7540" s="235"/>
      <c r="B7540" s="238"/>
      <c r="C7540" s="155" t="s">
        <v>10194</v>
      </c>
      <c r="D7540" s="155" t="s">
        <v>587</v>
      </c>
      <c r="E7540" s="156">
        <v>5.3597999999999999</v>
      </c>
      <c r="F7540" s="150">
        <v>26.419499999999999</v>
      </c>
      <c r="G7540" s="150">
        <f>IF(ISNUMBER(F7540),E7540*F7540,"")</f>
        <v>141.6032361</v>
      </c>
      <c r="H7540" s="154"/>
      <c r="I7540" s="150"/>
      <c r="J7540" s="125">
        <v>0</v>
      </c>
    </row>
    <row r="7541" spans="1:10" ht="15.75" hidden="1" thickBot="1" x14ac:dyDescent="0.3">
      <c r="A7541" s="235"/>
      <c r="B7541" s="238"/>
      <c r="C7541" s="155" t="s">
        <v>19432</v>
      </c>
      <c r="D7541" s="163" t="s">
        <v>16</v>
      </c>
      <c r="E7541" s="156">
        <v>1</v>
      </c>
      <c r="F7541" s="150" t="s">
        <v>418</v>
      </c>
      <c r="G7541" s="150" t="str">
        <f>IF(ISNUMBER(F7541),E7541*F7541,"")</f>
        <v/>
      </c>
      <c r="H7541" s="154"/>
      <c r="I7541" s="150"/>
      <c r="J7541" s="125">
        <v>0</v>
      </c>
    </row>
    <row r="7542" spans="1:10" ht="39" hidden="1" thickBot="1" x14ac:dyDescent="0.3">
      <c r="A7542" s="235"/>
      <c r="B7542" s="238"/>
      <c r="C7542" s="155" t="s">
        <v>19427</v>
      </c>
      <c r="D7542" s="163" t="s">
        <v>16</v>
      </c>
      <c r="E7542" s="156">
        <v>1</v>
      </c>
      <c r="F7542" s="150" t="s">
        <v>418</v>
      </c>
      <c r="G7542" s="150" t="str">
        <f>IF(ISNUMBER(F7542),E7542*F7542,"")</f>
        <v/>
      </c>
      <c r="H7542" s="154"/>
      <c r="I7542" s="150"/>
      <c r="J7542" s="125">
        <v>0</v>
      </c>
    </row>
    <row r="7543" spans="1:10" ht="26.25" hidden="1" thickBot="1" x14ac:dyDescent="0.3">
      <c r="A7543" s="235"/>
      <c r="B7543" s="238"/>
      <c r="C7543" s="155" t="s">
        <v>19428</v>
      </c>
      <c r="D7543" s="163" t="s">
        <v>16</v>
      </c>
      <c r="E7543" s="156">
        <v>1</v>
      </c>
      <c r="F7543" s="150" t="s">
        <v>418</v>
      </c>
      <c r="G7543" s="150" t="str">
        <f>IF(ISNUMBER(F7543),E7543*F7543,"")</f>
        <v/>
      </c>
      <c r="H7543" s="154"/>
      <c r="I7543" s="150"/>
      <c r="J7543" s="125">
        <v>0</v>
      </c>
    </row>
    <row r="7544" spans="1:10" ht="39" hidden="1" thickBot="1" x14ac:dyDescent="0.3">
      <c r="A7544" s="235"/>
      <c r="B7544" s="238"/>
      <c r="C7544" s="155" t="s">
        <v>19429</v>
      </c>
      <c r="D7544" s="163" t="s">
        <v>16</v>
      </c>
      <c r="E7544" s="156">
        <v>2</v>
      </c>
      <c r="F7544" s="150" t="s">
        <v>418</v>
      </c>
      <c r="G7544" s="150" t="str">
        <f>IF(ISNUMBER(F7544),E7544*F7544,"")</f>
        <v/>
      </c>
      <c r="H7544" s="154"/>
      <c r="I7544" s="150"/>
      <c r="J7544" s="125">
        <v>0</v>
      </c>
    </row>
    <row r="7545" spans="1:10" ht="26.25" hidden="1" thickBot="1" x14ac:dyDescent="0.3">
      <c r="A7545" s="235"/>
      <c r="B7545" s="238"/>
      <c r="C7545" s="155" t="s">
        <v>19430</v>
      </c>
      <c r="D7545" s="163" t="s">
        <v>16</v>
      </c>
      <c r="E7545" s="156">
        <v>1</v>
      </c>
      <c r="F7545" s="150" t="s">
        <v>418</v>
      </c>
      <c r="G7545" s="150" t="str">
        <f>IF(ISNUMBER(F7545),E7545*F7545,"")</f>
        <v/>
      </c>
      <c r="H7545" s="154"/>
      <c r="I7545" s="150"/>
      <c r="J7545" s="125">
        <v>0</v>
      </c>
    </row>
    <row r="7546" spans="1:10" ht="39" hidden="1" thickBot="1" x14ac:dyDescent="0.3">
      <c r="A7546" s="235"/>
      <c r="B7546" s="238"/>
      <c r="C7546" s="155" t="s">
        <v>19431</v>
      </c>
      <c r="D7546" s="163" t="s">
        <v>16</v>
      </c>
      <c r="E7546" s="156">
        <v>1</v>
      </c>
      <c r="F7546" s="150" t="s">
        <v>418</v>
      </c>
      <c r="G7546" s="150" t="str">
        <f>IF(ISNUMBER(F7546),E7546*F7546,"")</f>
        <v/>
      </c>
      <c r="H7546" s="154"/>
      <c r="I7546" s="150"/>
      <c r="J7546" s="125">
        <v>0</v>
      </c>
    </row>
    <row r="7547" spans="1:10" ht="15.75" hidden="1" thickBot="1" x14ac:dyDescent="0.3">
      <c r="A7547" s="235"/>
      <c r="B7547" s="239"/>
      <c r="C7547" s="155"/>
      <c r="D7547" s="155"/>
      <c r="E7547" s="156"/>
      <c r="F7547" s="150" t="s">
        <v>418</v>
      </c>
      <c r="G7547" s="150" t="str">
        <f>IF(ISNUMBER(F7547),E7547*F7547,"")</f>
        <v/>
      </c>
      <c r="H7547" s="154"/>
      <c r="I7547" s="150"/>
      <c r="J7547" s="125">
        <v>0</v>
      </c>
    </row>
    <row r="7548" spans="1:10" ht="15.75" hidden="1" thickBot="1" x14ac:dyDescent="0.3">
      <c r="A7548" s="234" t="s">
        <v>16260</v>
      </c>
      <c r="B7548" s="237" t="s">
        <v>18733</v>
      </c>
      <c r="C7548" s="160"/>
      <c r="D7548" s="145" t="s">
        <v>16</v>
      </c>
      <c r="E7548" s="146"/>
      <c r="F7548" s="161" t="s">
        <v>418</v>
      </c>
      <c r="G7548" s="147" t="str">
        <f>IF(ISNUMBER(F7548),E7548*F7548,"")</f>
        <v/>
      </c>
      <c r="H7548" s="148"/>
      <c r="I7548" s="149"/>
      <c r="J7548" s="125">
        <v>0</v>
      </c>
    </row>
    <row r="7549" spans="1:10" ht="15.75" hidden="1" thickBot="1" x14ac:dyDescent="0.3">
      <c r="A7549" s="235"/>
      <c r="B7549" s="238"/>
      <c r="C7549" s="151"/>
      <c r="D7549" s="151"/>
      <c r="E7549" s="152"/>
      <c r="F7549" s="162" t="s">
        <v>418</v>
      </c>
      <c r="G7549" s="150" t="str">
        <f>IF(ISNUMBER(F7549),E7549*F7549,"")</f>
        <v/>
      </c>
      <c r="H7549" s="154"/>
      <c r="I7549" s="150"/>
      <c r="J7549" s="125">
        <v>0</v>
      </c>
    </row>
    <row r="7550" spans="1:10" ht="26.25" hidden="1" thickBot="1" x14ac:dyDescent="0.3">
      <c r="A7550" s="235"/>
      <c r="B7550" s="238"/>
      <c r="C7550" s="155" t="s">
        <v>18733</v>
      </c>
      <c r="D7550" s="163" t="s">
        <v>16</v>
      </c>
      <c r="E7550" s="156">
        <v>1</v>
      </c>
      <c r="F7550" s="153" t="s">
        <v>418</v>
      </c>
      <c r="G7550" s="150" t="str">
        <f>IF(ISNUMBER(F7550),E7550*F7550,"")</f>
        <v/>
      </c>
      <c r="H7550" s="158">
        <f>SUM(G7550:G7553)</f>
        <v>46.002877269443204</v>
      </c>
      <c r="I7550" s="159"/>
      <c r="J7550" s="125">
        <v>0</v>
      </c>
    </row>
    <row r="7551" spans="1:10" ht="39" hidden="1" thickBot="1" x14ac:dyDescent="0.3">
      <c r="A7551" s="235"/>
      <c r="B7551" s="238"/>
      <c r="C7551" s="155" t="s">
        <v>9105</v>
      </c>
      <c r="D7551" s="155" t="s">
        <v>85</v>
      </c>
      <c r="E7551" s="156">
        <v>1.9199999999999998E-2</v>
      </c>
      <c r="F7551" s="150">
        <v>895.02183434599988</v>
      </c>
      <c r="G7551" s="150">
        <f>IF(ISNUMBER(F7551),E7551*F7551,"")</f>
        <v>17.184419219443196</v>
      </c>
      <c r="H7551" s="154"/>
      <c r="I7551" s="150"/>
      <c r="J7551" s="125">
        <v>0</v>
      </c>
    </row>
    <row r="7552" spans="1:10" ht="15.75" hidden="1" thickBot="1" x14ac:dyDescent="0.3">
      <c r="A7552" s="235"/>
      <c r="B7552" s="238"/>
      <c r="C7552" s="155" t="s">
        <v>1022</v>
      </c>
      <c r="D7552" s="155" t="s">
        <v>587</v>
      </c>
      <c r="E7552" s="156">
        <v>0.63370000000000004</v>
      </c>
      <c r="F7552" s="150">
        <v>19.522500000000001</v>
      </c>
      <c r="G7552" s="150">
        <f>IF(ISNUMBER(F7552),E7552*F7552,"")</f>
        <v>12.371408250000002</v>
      </c>
      <c r="H7552" s="154"/>
      <c r="I7552" s="150"/>
      <c r="J7552" s="125">
        <v>0</v>
      </c>
    </row>
    <row r="7553" spans="1:10" ht="15.75" hidden="1" thickBot="1" x14ac:dyDescent="0.3">
      <c r="A7553" s="235"/>
      <c r="B7553" s="238"/>
      <c r="C7553" s="155" t="s">
        <v>1023</v>
      </c>
      <c r="D7553" s="155" t="s">
        <v>587</v>
      </c>
      <c r="E7553" s="156">
        <v>0.63370000000000004</v>
      </c>
      <c r="F7553" s="150">
        <v>25.954000000000001</v>
      </c>
      <c r="G7553" s="153">
        <f>IF(ISNUMBER(F7553),E7553*F7553,"")</f>
        <v>16.447049800000002</v>
      </c>
      <c r="H7553" s="154"/>
      <c r="I7553" s="150"/>
      <c r="J7553" s="125">
        <v>0</v>
      </c>
    </row>
    <row r="7554" spans="1:10" ht="15.75" hidden="1" thickBot="1" x14ac:dyDescent="0.3">
      <c r="A7554" s="235"/>
      <c r="B7554" s="239"/>
      <c r="C7554" s="155"/>
      <c r="D7554" s="155"/>
      <c r="E7554" s="156"/>
      <c r="F7554" s="150" t="s">
        <v>418</v>
      </c>
      <c r="G7554" s="150" t="str">
        <f>IF(ISNUMBER(F7554),E7554*F7554,"")</f>
        <v/>
      </c>
      <c r="H7554" s="154"/>
      <c r="I7554" s="150"/>
      <c r="J7554" s="125">
        <v>0</v>
      </c>
    </row>
    <row r="7555" spans="1:10" ht="15.75" hidden="1" thickBot="1" x14ac:dyDescent="0.3">
      <c r="A7555" s="241" t="s">
        <v>16261</v>
      </c>
      <c r="B7555" s="244" t="s">
        <v>19435</v>
      </c>
      <c r="C7555" s="160"/>
      <c r="D7555" s="23" t="s">
        <v>16</v>
      </c>
      <c r="E7555" s="24"/>
      <c r="F7555" s="37" t="s">
        <v>418</v>
      </c>
      <c r="G7555" s="25" t="str">
        <f>IF(ISNUMBER(F7555),E7555*F7555,"")</f>
        <v/>
      </c>
      <c r="H7555" s="26"/>
      <c r="I7555" s="27"/>
      <c r="J7555" s="125">
        <v>0</v>
      </c>
    </row>
    <row r="7556" spans="1:10" ht="15.75" hidden="1" thickBot="1" x14ac:dyDescent="0.3">
      <c r="A7556" s="242"/>
      <c r="B7556" s="245"/>
      <c r="C7556" s="151"/>
      <c r="D7556" s="29"/>
      <c r="E7556" s="30"/>
      <c r="F7556" s="38" t="s">
        <v>418</v>
      </c>
      <c r="G7556" s="31" t="str">
        <f>IF(ISNUMBER(F7556),E7556*F7556,"")</f>
        <v/>
      </c>
      <c r="H7556" s="32"/>
      <c r="I7556" s="28"/>
      <c r="J7556" s="125">
        <v>0</v>
      </c>
    </row>
    <row r="7557" spans="1:10" ht="26.25" hidden="1" thickBot="1" x14ac:dyDescent="0.3">
      <c r="A7557" s="242"/>
      <c r="B7557" s="245"/>
      <c r="C7557" s="155" t="s">
        <v>24933</v>
      </c>
      <c r="D7557" s="155" t="s">
        <v>205</v>
      </c>
      <c r="E7557" s="34">
        <v>1</v>
      </c>
      <c r="F7557" s="28">
        <v>7.4574999999999996</v>
      </c>
      <c r="G7557" s="31">
        <f>IF(ISNUMBER(F7557),E7557*F7557,"")</f>
        <v>7.4574999999999996</v>
      </c>
      <c r="H7557" s="35">
        <f>SUM(G7557:G7557)</f>
        <v>7.4574999999999996</v>
      </c>
      <c r="I7557" s="36"/>
      <c r="J7557" s="125">
        <v>0</v>
      </c>
    </row>
    <row r="7558" spans="1:10" ht="15.75" hidden="1" thickBot="1" x14ac:dyDescent="0.3">
      <c r="A7558" s="243"/>
      <c r="B7558" s="246"/>
      <c r="C7558" s="164"/>
      <c r="D7558" s="50"/>
      <c r="E7558" s="61"/>
      <c r="F7558" s="62" t="s">
        <v>418</v>
      </c>
      <c r="G7558" s="63" t="str">
        <f>IF(ISNUMBER(F7558),E7558*F7558,"")</f>
        <v/>
      </c>
      <c r="H7558" s="64"/>
      <c r="I7558" s="28"/>
      <c r="J7558" s="125">
        <v>0</v>
      </c>
    </row>
    <row r="7559" spans="1:10" ht="15.75" hidden="1" thickBot="1" x14ac:dyDescent="0.3">
      <c r="A7559" s="241" t="s">
        <v>16262</v>
      </c>
      <c r="B7559" s="244" t="s">
        <v>19436</v>
      </c>
      <c r="C7559" s="160"/>
      <c r="D7559" s="145" t="s">
        <v>16</v>
      </c>
      <c r="E7559" s="24"/>
      <c r="F7559" s="37" t="s">
        <v>418</v>
      </c>
      <c r="G7559" s="25" t="str">
        <f>IF(ISNUMBER(F7559),E7559*F7559,"")</f>
        <v/>
      </c>
      <c r="H7559" s="26"/>
      <c r="I7559" s="27"/>
      <c r="J7559" s="125">
        <v>0</v>
      </c>
    </row>
    <row r="7560" spans="1:10" ht="15.75" hidden="1" thickBot="1" x14ac:dyDescent="0.3">
      <c r="A7560" s="242"/>
      <c r="B7560" s="245"/>
      <c r="C7560" s="151"/>
      <c r="D7560" s="151"/>
      <c r="E7560" s="30"/>
      <c r="F7560" s="38" t="s">
        <v>418</v>
      </c>
      <c r="G7560" s="31" t="str">
        <f>IF(ISNUMBER(F7560),E7560*F7560,"")</f>
        <v/>
      </c>
      <c r="H7560" s="32"/>
      <c r="I7560" s="28"/>
      <c r="J7560" s="125">
        <v>0</v>
      </c>
    </row>
    <row r="7561" spans="1:10" ht="26.25" hidden="1" thickBot="1" x14ac:dyDescent="0.3">
      <c r="A7561" s="242"/>
      <c r="B7561" s="245"/>
      <c r="C7561" s="155" t="s">
        <v>25853</v>
      </c>
      <c r="D7561" s="155" t="s">
        <v>205</v>
      </c>
      <c r="E7561" s="34">
        <v>1</v>
      </c>
      <c r="F7561" s="28">
        <v>0.8075</v>
      </c>
      <c r="G7561" s="31">
        <f>IF(ISNUMBER(F7561),E7561*F7561,"")</f>
        <v>0.8075</v>
      </c>
      <c r="H7561" s="35">
        <f>SUM(G7561:G7561)</f>
        <v>0.8075</v>
      </c>
      <c r="I7561" s="36"/>
      <c r="J7561" s="125">
        <v>0</v>
      </c>
    </row>
    <row r="7562" spans="1:10" ht="15.75" hidden="1" thickBot="1" x14ac:dyDescent="0.3">
      <c r="A7562" s="243"/>
      <c r="B7562" s="246"/>
      <c r="C7562" s="164"/>
      <c r="D7562" s="164"/>
      <c r="E7562" s="61"/>
      <c r="F7562" s="62" t="s">
        <v>418</v>
      </c>
      <c r="G7562" s="63" t="str">
        <f>IF(ISNUMBER(F7562),E7562*F7562,"")</f>
        <v/>
      </c>
      <c r="H7562" s="64"/>
      <c r="I7562" s="28"/>
      <c r="J7562" s="125">
        <v>0</v>
      </c>
    </row>
    <row r="7563" spans="1:10" ht="15.75" hidden="1" thickBot="1" x14ac:dyDescent="0.3">
      <c r="A7563" s="241" t="s">
        <v>16263</v>
      </c>
      <c r="B7563" s="244" t="s">
        <v>19437</v>
      </c>
      <c r="C7563" s="160"/>
      <c r="D7563" s="145" t="s">
        <v>16</v>
      </c>
      <c r="E7563" s="24"/>
      <c r="F7563" s="37" t="s">
        <v>418</v>
      </c>
      <c r="G7563" s="25" t="str">
        <f>IF(ISNUMBER(F7563),E7563*F7563,"")</f>
        <v/>
      </c>
      <c r="H7563" s="26"/>
      <c r="I7563" s="27"/>
      <c r="J7563" s="125">
        <v>0</v>
      </c>
    </row>
    <row r="7564" spans="1:10" ht="15.75" hidden="1" thickBot="1" x14ac:dyDescent="0.3">
      <c r="A7564" s="242"/>
      <c r="B7564" s="245"/>
      <c r="C7564" s="151"/>
      <c r="D7564" s="151"/>
      <c r="E7564" s="30"/>
      <c r="F7564" s="38" t="s">
        <v>418</v>
      </c>
      <c r="G7564" s="31" t="str">
        <f>IF(ISNUMBER(F7564),E7564*F7564,"")</f>
        <v/>
      </c>
      <c r="H7564" s="32"/>
      <c r="I7564" s="28"/>
      <c r="J7564" s="125">
        <v>0</v>
      </c>
    </row>
    <row r="7565" spans="1:10" ht="26.25" hidden="1" thickBot="1" x14ac:dyDescent="0.3">
      <c r="A7565" s="242"/>
      <c r="B7565" s="245"/>
      <c r="C7565" s="155" t="s">
        <v>25895</v>
      </c>
      <c r="D7565" s="155" t="s">
        <v>205</v>
      </c>
      <c r="E7565" s="34">
        <v>1</v>
      </c>
      <c r="F7565" s="28">
        <v>1.6719999999999999</v>
      </c>
      <c r="G7565" s="31">
        <f>IF(ISNUMBER(F7565),E7565*F7565,"")</f>
        <v>1.6719999999999999</v>
      </c>
      <c r="H7565" s="35">
        <f>SUM(G7565:G7565)</f>
        <v>1.6719999999999999</v>
      </c>
      <c r="I7565" s="36"/>
      <c r="J7565" s="125">
        <v>0</v>
      </c>
    </row>
    <row r="7566" spans="1:10" ht="15.75" hidden="1" thickBot="1" x14ac:dyDescent="0.3">
      <c r="A7566" s="243"/>
      <c r="B7566" s="246"/>
      <c r="C7566" s="164"/>
      <c r="D7566" s="164"/>
      <c r="E7566" s="61"/>
      <c r="F7566" s="62" t="s">
        <v>418</v>
      </c>
      <c r="G7566" s="63" t="str">
        <f>IF(ISNUMBER(F7566),E7566*F7566,"")</f>
        <v/>
      </c>
      <c r="H7566" s="64"/>
      <c r="I7566" s="28"/>
      <c r="J7566" s="125">
        <v>0</v>
      </c>
    </row>
    <row r="7567" spans="1:10" ht="15.75" hidden="1" thickBot="1" x14ac:dyDescent="0.3">
      <c r="A7567" s="241" t="s">
        <v>16264</v>
      </c>
      <c r="B7567" s="244" t="s">
        <v>19438</v>
      </c>
      <c r="C7567" s="160"/>
      <c r="D7567" s="145" t="s">
        <v>16</v>
      </c>
      <c r="E7567" s="24"/>
      <c r="F7567" s="37" t="s">
        <v>418</v>
      </c>
      <c r="G7567" s="25" t="str">
        <f>IF(ISNUMBER(F7567),E7567*F7567,"")</f>
        <v/>
      </c>
      <c r="H7567" s="26"/>
      <c r="I7567" s="27"/>
      <c r="J7567" s="125">
        <v>0</v>
      </c>
    </row>
    <row r="7568" spans="1:10" ht="15.75" hidden="1" thickBot="1" x14ac:dyDescent="0.3">
      <c r="A7568" s="242"/>
      <c r="B7568" s="245"/>
      <c r="C7568" s="151"/>
      <c r="D7568" s="151"/>
      <c r="E7568" s="30"/>
      <c r="F7568" s="38" t="s">
        <v>418</v>
      </c>
      <c r="G7568" s="31" t="str">
        <f>IF(ISNUMBER(F7568),E7568*F7568,"")</f>
        <v/>
      </c>
      <c r="H7568" s="32"/>
      <c r="I7568" s="28"/>
      <c r="J7568" s="125">
        <v>0</v>
      </c>
    </row>
    <row r="7569" spans="1:10" ht="26.25" hidden="1" thickBot="1" x14ac:dyDescent="0.3">
      <c r="A7569" s="242"/>
      <c r="B7569" s="245"/>
      <c r="C7569" s="155" t="s">
        <v>25832</v>
      </c>
      <c r="D7569" s="155" t="s">
        <v>205</v>
      </c>
      <c r="E7569" s="34">
        <v>1</v>
      </c>
      <c r="F7569" s="28">
        <v>2.7075</v>
      </c>
      <c r="G7569" s="31">
        <f>IF(ISNUMBER(F7569),E7569*F7569,"")</f>
        <v>2.7075</v>
      </c>
      <c r="H7569" s="35">
        <f>SUM(G7569:G7569)</f>
        <v>2.7075</v>
      </c>
      <c r="I7569" s="36"/>
      <c r="J7569" s="125">
        <v>0</v>
      </c>
    </row>
    <row r="7570" spans="1:10" ht="15.75" hidden="1" thickBot="1" x14ac:dyDescent="0.3">
      <c r="A7570" s="243"/>
      <c r="B7570" s="246"/>
      <c r="C7570" s="164"/>
      <c r="D7570" s="164"/>
      <c r="E7570" s="61"/>
      <c r="F7570" s="62" t="s">
        <v>418</v>
      </c>
      <c r="G7570" s="63" t="str">
        <f>IF(ISNUMBER(F7570),E7570*F7570,"")</f>
        <v/>
      </c>
      <c r="H7570" s="64"/>
      <c r="I7570" s="28"/>
      <c r="J7570" s="125">
        <v>0</v>
      </c>
    </row>
    <row r="7571" spans="1:10" ht="15.75" hidden="1" thickBot="1" x14ac:dyDescent="0.3">
      <c r="A7571" s="241" t="s">
        <v>16265</v>
      </c>
      <c r="B7571" s="244" t="s">
        <v>19439</v>
      </c>
      <c r="C7571" s="160"/>
      <c r="D7571" s="145" t="s">
        <v>16</v>
      </c>
      <c r="E7571" s="24"/>
      <c r="F7571" s="37" t="s">
        <v>418</v>
      </c>
      <c r="G7571" s="25" t="str">
        <f>IF(ISNUMBER(F7571),E7571*F7571,"")</f>
        <v/>
      </c>
      <c r="H7571" s="26"/>
      <c r="I7571" s="27"/>
      <c r="J7571" s="125">
        <v>0</v>
      </c>
    </row>
    <row r="7572" spans="1:10" ht="15.75" hidden="1" thickBot="1" x14ac:dyDescent="0.3">
      <c r="A7572" s="242"/>
      <c r="B7572" s="245"/>
      <c r="C7572" s="151"/>
      <c r="D7572" s="151"/>
      <c r="E7572" s="30"/>
      <c r="F7572" s="38" t="s">
        <v>418</v>
      </c>
      <c r="G7572" s="31" t="str">
        <f>IF(ISNUMBER(F7572),E7572*F7572,"")</f>
        <v/>
      </c>
      <c r="H7572" s="32"/>
      <c r="I7572" s="28"/>
      <c r="J7572" s="125">
        <v>0</v>
      </c>
    </row>
    <row r="7573" spans="1:10" ht="26.25" hidden="1" thickBot="1" x14ac:dyDescent="0.3">
      <c r="A7573" s="242"/>
      <c r="B7573" s="245"/>
      <c r="C7573" s="155" t="s">
        <v>25838</v>
      </c>
      <c r="D7573" s="155" t="s">
        <v>205</v>
      </c>
      <c r="E7573" s="34">
        <v>1</v>
      </c>
      <c r="F7573" s="28">
        <v>5.9754999999999994</v>
      </c>
      <c r="G7573" s="31">
        <f>IF(ISNUMBER(F7573),E7573*F7573,"")</f>
        <v>5.9754999999999994</v>
      </c>
      <c r="H7573" s="35">
        <f>SUM(G7573:G7573)</f>
        <v>5.9754999999999994</v>
      </c>
      <c r="I7573" s="36"/>
      <c r="J7573" s="125">
        <v>0</v>
      </c>
    </row>
    <row r="7574" spans="1:10" ht="15.75" hidden="1" thickBot="1" x14ac:dyDescent="0.3">
      <c r="A7574" s="243"/>
      <c r="B7574" s="246"/>
      <c r="C7574" s="164"/>
      <c r="D7574" s="164"/>
      <c r="E7574" s="61"/>
      <c r="F7574" s="62" t="s">
        <v>418</v>
      </c>
      <c r="G7574" s="63" t="str">
        <f>IF(ISNUMBER(F7574),E7574*F7574,"")</f>
        <v/>
      </c>
      <c r="H7574" s="64"/>
      <c r="I7574" s="28"/>
      <c r="J7574" s="125">
        <v>0</v>
      </c>
    </row>
    <row r="7575" spans="1:10" ht="15.75" hidden="1" thickBot="1" x14ac:dyDescent="0.3">
      <c r="A7575" s="241" t="s">
        <v>16266</v>
      </c>
      <c r="B7575" s="244" t="s">
        <v>19440</v>
      </c>
      <c r="C7575" s="160"/>
      <c r="D7575" s="145" t="s">
        <v>16</v>
      </c>
      <c r="E7575" s="24"/>
      <c r="F7575" s="37" t="s">
        <v>418</v>
      </c>
      <c r="G7575" s="25" t="str">
        <f>IF(ISNUMBER(F7575),E7575*F7575,"")</f>
        <v/>
      </c>
      <c r="H7575" s="26"/>
      <c r="I7575" s="27"/>
      <c r="J7575" s="125">
        <v>0</v>
      </c>
    </row>
    <row r="7576" spans="1:10" ht="15.75" hidden="1" thickBot="1" x14ac:dyDescent="0.3">
      <c r="A7576" s="242"/>
      <c r="B7576" s="245"/>
      <c r="C7576" s="151"/>
      <c r="D7576" s="151"/>
      <c r="E7576" s="30"/>
      <c r="F7576" s="38" t="s">
        <v>418</v>
      </c>
      <c r="G7576" s="31" t="str">
        <f>IF(ISNUMBER(F7576),E7576*F7576,"")</f>
        <v/>
      </c>
      <c r="H7576" s="32"/>
      <c r="I7576" s="28"/>
      <c r="J7576" s="125">
        <v>0</v>
      </c>
    </row>
    <row r="7577" spans="1:10" ht="26.25" hidden="1" thickBot="1" x14ac:dyDescent="0.3">
      <c r="A7577" s="242"/>
      <c r="B7577" s="245"/>
      <c r="C7577" s="155" t="s">
        <v>25839</v>
      </c>
      <c r="D7577" s="155" t="s">
        <v>205</v>
      </c>
      <c r="E7577" s="34">
        <v>1</v>
      </c>
      <c r="F7577" s="28">
        <v>8.9965000000000011</v>
      </c>
      <c r="G7577" s="31">
        <f>IF(ISNUMBER(F7577),E7577*F7577,"")</f>
        <v>8.9965000000000011</v>
      </c>
      <c r="H7577" s="35">
        <f>SUM(G7577:G7577)</f>
        <v>8.9965000000000011</v>
      </c>
      <c r="I7577" s="36"/>
      <c r="J7577" s="125">
        <v>0</v>
      </c>
    </row>
    <row r="7578" spans="1:10" ht="15.75" hidden="1" thickBot="1" x14ac:dyDescent="0.3">
      <c r="A7578" s="243"/>
      <c r="B7578" s="246"/>
      <c r="C7578" s="164"/>
      <c r="D7578" s="164"/>
      <c r="E7578" s="61"/>
      <c r="F7578" s="62" t="s">
        <v>418</v>
      </c>
      <c r="G7578" s="63" t="str">
        <f>IF(ISNUMBER(F7578),E7578*F7578,"")</f>
        <v/>
      </c>
      <c r="H7578" s="64"/>
      <c r="I7578" s="28"/>
      <c r="J7578" s="125">
        <v>0</v>
      </c>
    </row>
    <row r="7579" spans="1:10" ht="15.75" hidden="1" thickBot="1" x14ac:dyDescent="0.3">
      <c r="A7579" s="241" t="s">
        <v>16267</v>
      </c>
      <c r="B7579" s="244" t="s">
        <v>19441</v>
      </c>
      <c r="C7579" s="160"/>
      <c r="D7579" s="145" t="s">
        <v>16</v>
      </c>
      <c r="E7579" s="24"/>
      <c r="F7579" s="37" t="s">
        <v>418</v>
      </c>
      <c r="G7579" s="25" t="str">
        <f>IF(ISNUMBER(F7579),E7579*F7579,"")</f>
        <v/>
      </c>
      <c r="H7579" s="26"/>
      <c r="I7579" s="27"/>
      <c r="J7579" s="125">
        <v>0</v>
      </c>
    </row>
    <row r="7580" spans="1:10" ht="15.75" hidden="1" thickBot="1" x14ac:dyDescent="0.3">
      <c r="A7580" s="242"/>
      <c r="B7580" s="245"/>
      <c r="C7580" s="151"/>
      <c r="D7580" s="151"/>
      <c r="E7580" s="30"/>
      <c r="F7580" s="38" t="s">
        <v>418</v>
      </c>
      <c r="G7580" s="31" t="str">
        <f>IF(ISNUMBER(F7580),E7580*F7580,"")</f>
        <v/>
      </c>
      <c r="H7580" s="32"/>
      <c r="I7580" s="28"/>
      <c r="J7580" s="125">
        <v>0</v>
      </c>
    </row>
    <row r="7581" spans="1:10" ht="26.25" hidden="1" thickBot="1" x14ac:dyDescent="0.3">
      <c r="A7581" s="242"/>
      <c r="B7581" s="245"/>
      <c r="C7581" s="155" t="s">
        <v>27642</v>
      </c>
      <c r="D7581" s="155" t="s">
        <v>205</v>
      </c>
      <c r="E7581" s="34">
        <v>1</v>
      </c>
      <c r="F7581" s="28">
        <v>1.3394999999999999</v>
      </c>
      <c r="G7581" s="31">
        <f>IF(ISNUMBER(F7581),E7581*F7581,"")</f>
        <v>1.3394999999999999</v>
      </c>
      <c r="H7581" s="35">
        <f>SUM(G7581:G7581)</f>
        <v>1.3394999999999999</v>
      </c>
      <c r="I7581" s="36"/>
      <c r="J7581" s="125">
        <v>0</v>
      </c>
    </row>
    <row r="7582" spans="1:10" ht="15.75" hidden="1" thickBot="1" x14ac:dyDescent="0.3">
      <c r="A7582" s="243"/>
      <c r="B7582" s="246"/>
      <c r="C7582" s="164"/>
      <c r="D7582" s="164"/>
      <c r="E7582" s="61"/>
      <c r="F7582" s="62" t="s">
        <v>418</v>
      </c>
      <c r="G7582" s="63" t="str">
        <f>IF(ISNUMBER(F7582),E7582*F7582,"")</f>
        <v/>
      </c>
      <c r="H7582" s="64"/>
      <c r="I7582" s="28"/>
      <c r="J7582" s="125">
        <v>0</v>
      </c>
    </row>
    <row r="7583" spans="1:10" ht="15.75" hidden="1" thickBot="1" x14ac:dyDescent="0.3">
      <c r="A7583" s="241" t="s">
        <v>16268</v>
      </c>
      <c r="B7583" s="244" t="s">
        <v>19442</v>
      </c>
      <c r="C7583" s="160"/>
      <c r="D7583" s="145" t="s">
        <v>16</v>
      </c>
      <c r="E7583" s="24"/>
      <c r="F7583" s="37" t="s">
        <v>418</v>
      </c>
      <c r="G7583" s="25" t="str">
        <f>IF(ISNUMBER(F7583),E7583*F7583,"")</f>
        <v/>
      </c>
      <c r="H7583" s="26"/>
      <c r="I7583" s="27"/>
      <c r="J7583" s="125">
        <v>0</v>
      </c>
    </row>
    <row r="7584" spans="1:10" ht="15.75" hidden="1" thickBot="1" x14ac:dyDescent="0.3">
      <c r="A7584" s="242"/>
      <c r="B7584" s="245"/>
      <c r="C7584" s="151"/>
      <c r="D7584" s="151"/>
      <c r="E7584" s="30"/>
      <c r="F7584" s="38" t="s">
        <v>418</v>
      </c>
      <c r="G7584" s="31" t="str">
        <f>IF(ISNUMBER(F7584),E7584*F7584,"")</f>
        <v/>
      </c>
      <c r="H7584" s="32"/>
      <c r="I7584" s="28"/>
      <c r="J7584" s="125">
        <v>0</v>
      </c>
    </row>
    <row r="7585" spans="1:10" ht="26.25" hidden="1" thickBot="1" x14ac:dyDescent="0.3">
      <c r="A7585" s="242"/>
      <c r="B7585" s="245"/>
      <c r="C7585" s="155" t="s">
        <v>27624</v>
      </c>
      <c r="D7585" s="155" t="s">
        <v>205</v>
      </c>
      <c r="E7585" s="34">
        <v>1</v>
      </c>
      <c r="F7585" s="28">
        <v>4.7214999999999998</v>
      </c>
      <c r="G7585" s="31">
        <f>IF(ISNUMBER(F7585),E7585*F7585,"")</f>
        <v>4.7214999999999998</v>
      </c>
      <c r="H7585" s="35">
        <f>SUM(G7585:G7585)</f>
        <v>4.7214999999999998</v>
      </c>
      <c r="I7585" s="36"/>
      <c r="J7585" s="125">
        <v>0</v>
      </c>
    </row>
    <row r="7586" spans="1:10" ht="15.75" hidden="1" thickBot="1" x14ac:dyDescent="0.3">
      <c r="A7586" s="243"/>
      <c r="B7586" s="246"/>
      <c r="C7586" s="164"/>
      <c r="D7586" s="164"/>
      <c r="E7586" s="61"/>
      <c r="F7586" s="62" t="s">
        <v>418</v>
      </c>
      <c r="G7586" s="63" t="str">
        <f>IF(ISNUMBER(F7586),E7586*F7586,"")</f>
        <v/>
      </c>
      <c r="H7586" s="64"/>
      <c r="I7586" s="28"/>
      <c r="J7586" s="125">
        <v>0</v>
      </c>
    </row>
    <row r="7587" spans="1:10" ht="15.75" hidden="1" thickBot="1" x14ac:dyDescent="0.3">
      <c r="A7587" s="241" t="s">
        <v>16269</v>
      </c>
      <c r="B7587" s="244" t="s">
        <v>19443</v>
      </c>
      <c r="C7587" s="160"/>
      <c r="D7587" s="145" t="s">
        <v>16</v>
      </c>
      <c r="E7587" s="24"/>
      <c r="F7587" s="37" t="s">
        <v>418</v>
      </c>
      <c r="G7587" s="25" t="str">
        <f>IF(ISNUMBER(F7587),E7587*F7587,"")</f>
        <v/>
      </c>
      <c r="H7587" s="26"/>
      <c r="I7587" s="27"/>
      <c r="J7587" s="125">
        <v>0</v>
      </c>
    </row>
    <row r="7588" spans="1:10" ht="15.75" hidden="1" thickBot="1" x14ac:dyDescent="0.3">
      <c r="A7588" s="242"/>
      <c r="B7588" s="245"/>
      <c r="C7588" s="151"/>
      <c r="D7588" s="151"/>
      <c r="E7588" s="30"/>
      <c r="F7588" s="38" t="s">
        <v>418</v>
      </c>
      <c r="G7588" s="31" t="str">
        <f>IF(ISNUMBER(F7588),E7588*F7588,"")</f>
        <v/>
      </c>
      <c r="H7588" s="32"/>
      <c r="I7588" s="28"/>
      <c r="J7588" s="125">
        <v>0</v>
      </c>
    </row>
    <row r="7589" spans="1:10" ht="26.25" hidden="1" thickBot="1" x14ac:dyDescent="0.3">
      <c r="A7589" s="242"/>
      <c r="B7589" s="245"/>
      <c r="C7589" s="155" t="s">
        <v>27623</v>
      </c>
      <c r="D7589" s="155" t="s">
        <v>205</v>
      </c>
      <c r="E7589" s="34">
        <v>1</v>
      </c>
      <c r="F7589" s="28">
        <v>5.8045</v>
      </c>
      <c r="G7589" s="31">
        <f>IF(ISNUMBER(F7589),E7589*F7589,"")</f>
        <v>5.8045</v>
      </c>
      <c r="H7589" s="35">
        <f>SUM(G7589:G7589)</f>
        <v>5.8045</v>
      </c>
      <c r="I7589" s="36"/>
      <c r="J7589" s="125">
        <v>0</v>
      </c>
    </row>
    <row r="7590" spans="1:10" ht="15.75" hidden="1" thickBot="1" x14ac:dyDescent="0.3">
      <c r="A7590" s="243"/>
      <c r="B7590" s="246"/>
      <c r="C7590" s="164"/>
      <c r="D7590" s="164"/>
      <c r="E7590" s="61"/>
      <c r="F7590" s="62" t="s">
        <v>418</v>
      </c>
      <c r="G7590" s="63" t="str">
        <f>IF(ISNUMBER(F7590),E7590*F7590,"")</f>
        <v/>
      </c>
      <c r="H7590" s="64"/>
      <c r="I7590" s="28"/>
      <c r="J7590" s="125">
        <v>0</v>
      </c>
    </row>
    <row r="7591" spans="1:10" ht="15.75" hidden="1" thickBot="1" x14ac:dyDescent="0.3">
      <c r="A7591" s="241" t="s">
        <v>16270</v>
      </c>
      <c r="B7591" s="244" t="s">
        <v>19444</v>
      </c>
      <c r="C7591" s="160"/>
      <c r="D7591" s="145" t="s">
        <v>16</v>
      </c>
      <c r="E7591" s="24"/>
      <c r="F7591" s="37" t="s">
        <v>418</v>
      </c>
      <c r="G7591" s="25" t="str">
        <f>IF(ISNUMBER(F7591),E7591*F7591,"")</f>
        <v/>
      </c>
      <c r="H7591" s="26"/>
      <c r="I7591" s="27"/>
      <c r="J7591" s="125">
        <v>0</v>
      </c>
    </row>
    <row r="7592" spans="1:10" ht="15.75" hidden="1" thickBot="1" x14ac:dyDescent="0.3">
      <c r="A7592" s="242"/>
      <c r="B7592" s="245"/>
      <c r="C7592" s="151"/>
      <c r="D7592" s="151"/>
      <c r="E7592" s="30"/>
      <c r="F7592" s="38" t="s">
        <v>418</v>
      </c>
      <c r="G7592" s="31" t="str">
        <f>IF(ISNUMBER(F7592),E7592*F7592,"")</f>
        <v/>
      </c>
      <c r="H7592" s="32"/>
      <c r="I7592" s="28"/>
      <c r="J7592" s="125">
        <v>0</v>
      </c>
    </row>
    <row r="7593" spans="1:10" ht="15.75" hidden="1" thickBot="1" x14ac:dyDescent="0.3">
      <c r="A7593" s="242"/>
      <c r="B7593" s="245"/>
      <c r="C7593" s="155" t="s">
        <v>24394</v>
      </c>
      <c r="D7593" s="155" t="s">
        <v>205</v>
      </c>
      <c r="E7593" s="34">
        <v>1</v>
      </c>
      <c r="F7593" s="28">
        <v>1.3964999999999999</v>
      </c>
      <c r="G7593" s="31">
        <f>IF(ISNUMBER(F7593),E7593*F7593,"")</f>
        <v>1.3964999999999999</v>
      </c>
      <c r="H7593" s="35">
        <f>SUM(G7593:G7593)</f>
        <v>1.3964999999999999</v>
      </c>
      <c r="I7593" s="36"/>
      <c r="J7593" s="125">
        <v>0</v>
      </c>
    </row>
    <row r="7594" spans="1:10" ht="15.75" hidden="1" thickBot="1" x14ac:dyDescent="0.3">
      <c r="A7594" s="243"/>
      <c r="B7594" s="246"/>
      <c r="C7594" s="164"/>
      <c r="D7594" s="164"/>
      <c r="E7594" s="61"/>
      <c r="F7594" s="62" t="s">
        <v>418</v>
      </c>
      <c r="G7594" s="63" t="str">
        <f>IF(ISNUMBER(F7594),E7594*F7594,"")</f>
        <v/>
      </c>
      <c r="H7594" s="64"/>
      <c r="I7594" s="28"/>
      <c r="J7594" s="125">
        <v>0</v>
      </c>
    </row>
    <row r="7595" spans="1:10" ht="15.75" hidden="1" thickBot="1" x14ac:dyDescent="0.3">
      <c r="A7595" s="241" t="s">
        <v>16271</v>
      </c>
      <c r="B7595" s="244" t="s">
        <v>19445</v>
      </c>
      <c r="C7595" s="160"/>
      <c r="D7595" s="145" t="s">
        <v>16</v>
      </c>
      <c r="E7595" s="24"/>
      <c r="F7595" s="37" t="s">
        <v>418</v>
      </c>
      <c r="G7595" s="25" t="str">
        <f>IF(ISNUMBER(F7595),E7595*F7595,"")</f>
        <v/>
      </c>
      <c r="H7595" s="26"/>
      <c r="I7595" s="27"/>
      <c r="J7595" s="125">
        <v>0</v>
      </c>
    </row>
    <row r="7596" spans="1:10" ht="15.75" hidden="1" thickBot="1" x14ac:dyDescent="0.3">
      <c r="A7596" s="242"/>
      <c r="B7596" s="245"/>
      <c r="C7596" s="151"/>
      <c r="D7596" s="151"/>
      <c r="E7596" s="30"/>
      <c r="F7596" s="38" t="s">
        <v>418</v>
      </c>
      <c r="G7596" s="31" t="str">
        <f>IF(ISNUMBER(F7596),E7596*F7596,"")</f>
        <v/>
      </c>
      <c r="H7596" s="32"/>
      <c r="I7596" s="28"/>
      <c r="J7596" s="125">
        <v>0</v>
      </c>
    </row>
    <row r="7597" spans="1:10" ht="26.25" hidden="1" thickBot="1" x14ac:dyDescent="0.3">
      <c r="A7597" s="242"/>
      <c r="B7597" s="245"/>
      <c r="C7597" s="155" t="s">
        <v>26326</v>
      </c>
      <c r="D7597" s="155" t="s">
        <v>205</v>
      </c>
      <c r="E7597" s="34">
        <v>1</v>
      </c>
      <c r="F7597" s="28">
        <v>2.052</v>
      </c>
      <c r="G7597" s="31">
        <f>IF(ISNUMBER(F7597),E7597*F7597,"")</f>
        <v>2.052</v>
      </c>
      <c r="H7597" s="35">
        <f>SUM(G7597:G7597)</f>
        <v>2.052</v>
      </c>
      <c r="I7597" s="36"/>
      <c r="J7597" s="125">
        <v>0</v>
      </c>
    </row>
    <row r="7598" spans="1:10" ht="15.75" hidden="1" thickBot="1" x14ac:dyDescent="0.3">
      <c r="A7598" s="243"/>
      <c r="B7598" s="246"/>
      <c r="C7598" s="164"/>
      <c r="D7598" s="164"/>
      <c r="E7598" s="61"/>
      <c r="F7598" s="62" t="s">
        <v>418</v>
      </c>
      <c r="G7598" s="63" t="str">
        <f>IF(ISNUMBER(F7598),E7598*F7598,"")</f>
        <v/>
      </c>
      <c r="H7598" s="64"/>
      <c r="I7598" s="28"/>
      <c r="J7598" s="125">
        <v>0</v>
      </c>
    </row>
    <row r="7599" spans="1:10" ht="15.75" hidden="1" thickBot="1" x14ac:dyDescent="0.3">
      <c r="A7599" s="241" t="s">
        <v>16272</v>
      </c>
      <c r="B7599" s="244" t="s">
        <v>19446</v>
      </c>
      <c r="C7599" s="160"/>
      <c r="D7599" s="145" t="s">
        <v>16</v>
      </c>
      <c r="E7599" s="24"/>
      <c r="F7599" s="37" t="s">
        <v>418</v>
      </c>
      <c r="G7599" s="25" t="str">
        <f>IF(ISNUMBER(F7599),E7599*F7599,"")</f>
        <v/>
      </c>
      <c r="H7599" s="26"/>
      <c r="I7599" s="27"/>
      <c r="J7599" s="125">
        <v>0</v>
      </c>
    </row>
    <row r="7600" spans="1:10" ht="15.75" hidden="1" thickBot="1" x14ac:dyDescent="0.3">
      <c r="A7600" s="242"/>
      <c r="B7600" s="245"/>
      <c r="C7600" s="151"/>
      <c r="D7600" s="151"/>
      <c r="E7600" s="30"/>
      <c r="F7600" s="38" t="s">
        <v>418</v>
      </c>
      <c r="G7600" s="31" t="str">
        <f>IF(ISNUMBER(F7600),E7600*F7600,"")</f>
        <v/>
      </c>
      <c r="H7600" s="32"/>
      <c r="I7600" s="28"/>
      <c r="J7600" s="125">
        <v>0</v>
      </c>
    </row>
    <row r="7601" spans="1:10" ht="15.75" hidden="1" thickBot="1" x14ac:dyDescent="0.3">
      <c r="A7601" s="242"/>
      <c r="B7601" s="245"/>
      <c r="C7601" s="155" t="s">
        <v>26322</v>
      </c>
      <c r="D7601" s="155" t="s">
        <v>205</v>
      </c>
      <c r="E7601" s="34">
        <v>1</v>
      </c>
      <c r="F7601" s="28">
        <v>6.6784999999999997</v>
      </c>
      <c r="G7601" s="31">
        <f>IF(ISNUMBER(F7601),E7601*F7601,"")</f>
        <v>6.6784999999999997</v>
      </c>
      <c r="H7601" s="35">
        <f>SUM(G7601:G7601)</f>
        <v>6.6784999999999997</v>
      </c>
      <c r="I7601" s="36"/>
      <c r="J7601" s="125">
        <v>0</v>
      </c>
    </row>
    <row r="7602" spans="1:10" ht="15.75" hidden="1" thickBot="1" x14ac:dyDescent="0.3">
      <c r="A7602" s="243"/>
      <c r="B7602" s="246"/>
      <c r="C7602" s="164"/>
      <c r="D7602" s="164"/>
      <c r="E7602" s="61"/>
      <c r="F7602" s="62" t="s">
        <v>418</v>
      </c>
      <c r="G7602" s="63" t="str">
        <f>IF(ISNUMBER(F7602),E7602*F7602,"")</f>
        <v/>
      </c>
      <c r="H7602" s="64"/>
      <c r="I7602" s="28"/>
      <c r="J7602" s="125">
        <v>0</v>
      </c>
    </row>
    <row r="7603" spans="1:10" ht="15.75" hidden="1" thickBot="1" x14ac:dyDescent="0.3">
      <c r="A7603" s="241" t="s">
        <v>16273</v>
      </c>
      <c r="B7603" s="244" t="s">
        <v>19447</v>
      </c>
      <c r="C7603" s="160"/>
      <c r="D7603" s="145" t="s">
        <v>16</v>
      </c>
      <c r="E7603" s="24"/>
      <c r="F7603" s="37" t="s">
        <v>418</v>
      </c>
      <c r="G7603" s="25" t="str">
        <f>IF(ISNUMBER(F7603),E7603*F7603,"")</f>
        <v/>
      </c>
      <c r="H7603" s="26"/>
      <c r="I7603" s="27"/>
      <c r="J7603" s="125">
        <v>0</v>
      </c>
    </row>
    <row r="7604" spans="1:10" ht="15.75" hidden="1" thickBot="1" x14ac:dyDescent="0.3">
      <c r="A7604" s="242"/>
      <c r="B7604" s="245"/>
      <c r="C7604" s="151"/>
      <c r="D7604" s="151"/>
      <c r="E7604" s="30"/>
      <c r="F7604" s="38" t="s">
        <v>418</v>
      </c>
      <c r="G7604" s="31" t="str">
        <f>IF(ISNUMBER(F7604),E7604*F7604,"")</f>
        <v/>
      </c>
      <c r="H7604" s="32"/>
      <c r="I7604" s="28"/>
      <c r="J7604" s="125">
        <v>0</v>
      </c>
    </row>
    <row r="7605" spans="1:10" ht="15.75" hidden="1" thickBot="1" x14ac:dyDescent="0.3">
      <c r="A7605" s="242"/>
      <c r="B7605" s="245"/>
      <c r="C7605" s="155" t="s">
        <v>26323</v>
      </c>
      <c r="D7605" s="155" t="s">
        <v>205</v>
      </c>
      <c r="E7605" s="34">
        <v>1</v>
      </c>
      <c r="F7605" s="28">
        <v>7.3339999999999996</v>
      </c>
      <c r="G7605" s="31">
        <f>IF(ISNUMBER(F7605),E7605*F7605,"")</f>
        <v>7.3339999999999996</v>
      </c>
      <c r="H7605" s="35">
        <f>SUM(G7605:G7605)</f>
        <v>7.3339999999999996</v>
      </c>
      <c r="I7605" s="36"/>
      <c r="J7605" s="125">
        <v>0</v>
      </c>
    </row>
    <row r="7606" spans="1:10" ht="15.75" hidden="1" thickBot="1" x14ac:dyDescent="0.3">
      <c r="A7606" s="243"/>
      <c r="B7606" s="246"/>
      <c r="C7606" s="164"/>
      <c r="D7606" s="164"/>
      <c r="E7606" s="61"/>
      <c r="F7606" s="62" t="s">
        <v>418</v>
      </c>
      <c r="G7606" s="63" t="str">
        <f>IF(ISNUMBER(F7606),E7606*F7606,"")</f>
        <v/>
      </c>
      <c r="H7606" s="64"/>
      <c r="I7606" s="28"/>
      <c r="J7606" s="125">
        <v>0</v>
      </c>
    </row>
    <row r="7607" spans="1:10" ht="15.75" hidden="1" thickBot="1" x14ac:dyDescent="0.3">
      <c r="A7607" s="241" t="s">
        <v>17151</v>
      </c>
      <c r="B7607" s="244" t="s">
        <v>19448</v>
      </c>
      <c r="C7607" s="160"/>
      <c r="D7607" s="145" t="s">
        <v>16</v>
      </c>
      <c r="E7607" s="24"/>
      <c r="F7607" s="37" t="s">
        <v>418</v>
      </c>
      <c r="G7607" s="25" t="str">
        <f>IF(ISNUMBER(F7607),E7607*F7607,"")</f>
        <v/>
      </c>
      <c r="H7607" s="26"/>
      <c r="I7607" s="27"/>
      <c r="J7607" s="125">
        <v>0</v>
      </c>
    </row>
    <row r="7608" spans="1:10" ht="15.75" hidden="1" thickBot="1" x14ac:dyDescent="0.3">
      <c r="A7608" s="242"/>
      <c r="B7608" s="245"/>
      <c r="C7608" s="151"/>
      <c r="D7608" s="151"/>
      <c r="E7608" s="30"/>
      <c r="F7608" s="38" t="s">
        <v>418</v>
      </c>
      <c r="G7608" s="31" t="str">
        <f>IF(ISNUMBER(F7608),E7608*F7608,"")</f>
        <v/>
      </c>
      <c r="H7608" s="32"/>
      <c r="I7608" s="28"/>
      <c r="J7608" s="125">
        <v>0</v>
      </c>
    </row>
    <row r="7609" spans="1:10" ht="26.25" hidden="1" thickBot="1" x14ac:dyDescent="0.3">
      <c r="A7609" s="242"/>
      <c r="B7609" s="245"/>
      <c r="C7609" s="155" t="s">
        <v>26162</v>
      </c>
      <c r="D7609" s="155" t="s">
        <v>205</v>
      </c>
      <c r="E7609" s="34">
        <v>1</v>
      </c>
      <c r="F7609" s="28">
        <v>13.774999999999999</v>
      </c>
      <c r="G7609" s="31">
        <f>IF(ISNUMBER(F7609),E7609*F7609,"")</f>
        <v>13.774999999999999</v>
      </c>
      <c r="H7609" s="35">
        <f>SUM(G7609:G7609)</f>
        <v>13.774999999999999</v>
      </c>
      <c r="I7609" s="36"/>
      <c r="J7609" s="125">
        <v>0</v>
      </c>
    </row>
    <row r="7610" spans="1:10" ht="15.75" hidden="1" thickBot="1" x14ac:dyDescent="0.3">
      <c r="A7610" s="243"/>
      <c r="B7610" s="246"/>
      <c r="C7610" s="164"/>
      <c r="D7610" s="164"/>
      <c r="E7610" s="61"/>
      <c r="F7610" s="62" t="s">
        <v>418</v>
      </c>
      <c r="G7610" s="63" t="str">
        <f>IF(ISNUMBER(F7610),E7610*F7610,"")</f>
        <v/>
      </c>
      <c r="H7610" s="64"/>
      <c r="I7610" s="28"/>
      <c r="J7610" s="125">
        <v>0</v>
      </c>
    </row>
    <row r="7611" spans="1:10" ht="15.75" hidden="1" thickBot="1" x14ac:dyDescent="0.3">
      <c r="A7611" s="241" t="s">
        <v>17152</v>
      </c>
      <c r="B7611" s="244" t="s">
        <v>19449</v>
      </c>
      <c r="C7611" s="160"/>
      <c r="D7611" s="145" t="s">
        <v>16</v>
      </c>
      <c r="E7611" s="24"/>
      <c r="F7611" s="37" t="s">
        <v>418</v>
      </c>
      <c r="G7611" s="25" t="str">
        <f>IF(ISNUMBER(F7611),E7611*F7611,"")</f>
        <v/>
      </c>
      <c r="H7611" s="26"/>
      <c r="I7611" s="27"/>
      <c r="J7611" s="125">
        <v>0</v>
      </c>
    </row>
    <row r="7612" spans="1:10" ht="15.75" hidden="1" thickBot="1" x14ac:dyDescent="0.3">
      <c r="A7612" s="242"/>
      <c r="B7612" s="245"/>
      <c r="C7612" s="151"/>
      <c r="D7612" s="151"/>
      <c r="E7612" s="30"/>
      <c r="F7612" s="38" t="s">
        <v>418</v>
      </c>
      <c r="G7612" s="31" t="str">
        <f>IF(ISNUMBER(F7612),E7612*F7612,"")</f>
        <v/>
      </c>
      <c r="H7612" s="32"/>
      <c r="I7612" s="28"/>
      <c r="J7612" s="125">
        <v>0</v>
      </c>
    </row>
    <row r="7613" spans="1:10" ht="15.75" hidden="1" thickBot="1" x14ac:dyDescent="0.3">
      <c r="A7613" s="242"/>
      <c r="B7613" s="245"/>
      <c r="C7613" s="155" t="s">
        <v>26283</v>
      </c>
      <c r="D7613" s="155" t="s">
        <v>205</v>
      </c>
      <c r="E7613" s="34">
        <v>1</v>
      </c>
      <c r="F7613" s="28">
        <v>0.91199999999999992</v>
      </c>
      <c r="G7613" s="31">
        <f>IF(ISNUMBER(F7613),E7613*F7613,"")</f>
        <v>0.91199999999999992</v>
      </c>
      <c r="H7613" s="35">
        <f>SUM(G7613:G7613)</f>
        <v>0.91199999999999992</v>
      </c>
      <c r="I7613" s="36"/>
      <c r="J7613" s="125">
        <v>0</v>
      </c>
    </row>
    <row r="7614" spans="1:10" ht="15.75" hidden="1" thickBot="1" x14ac:dyDescent="0.3">
      <c r="A7614" s="243"/>
      <c r="B7614" s="246"/>
      <c r="C7614" s="164"/>
      <c r="D7614" s="164"/>
      <c r="E7614" s="61"/>
      <c r="F7614" s="62" t="s">
        <v>418</v>
      </c>
      <c r="G7614" s="63" t="str">
        <f>IF(ISNUMBER(F7614),E7614*F7614,"")</f>
        <v/>
      </c>
      <c r="H7614" s="64"/>
      <c r="I7614" s="28"/>
      <c r="J7614" s="125">
        <v>0</v>
      </c>
    </row>
    <row r="7615" spans="1:10" ht="15.75" hidden="1" thickBot="1" x14ac:dyDescent="0.3">
      <c r="A7615" s="241" t="s">
        <v>17153</v>
      </c>
      <c r="B7615" s="244" t="s">
        <v>19450</v>
      </c>
      <c r="C7615" s="160"/>
      <c r="D7615" s="145" t="s">
        <v>16</v>
      </c>
      <c r="E7615" s="24"/>
      <c r="F7615" s="37" t="s">
        <v>418</v>
      </c>
      <c r="G7615" s="25" t="str">
        <f>IF(ISNUMBER(F7615),E7615*F7615,"")</f>
        <v/>
      </c>
      <c r="H7615" s="26"/>
      <c r="I7615" s="27"/>
      <c r="J7615" s="125">
        <v>0</v>
      </c>
    </row>
    <row r="7616" spans="1:10" ht="15.75" hidden="1" thickBot="1" x14ac:dyDescent="0.3">
      <c r="A7616" s="242"/>
      <c r="B7616" s="245"/>
      <c r="C7616" s="151"/>
      <c r="D7616" s="151"/>
      <c r="E7616" s="30"/>
      <c r="F7616" s="38" t="s">
        <v>418</v>
      </c>
      <c r="G7616" s="31" t="str">
        <f>IF(ISNUMBER(F7616),E7616*F7616,"")</f>
        <v/>
      </c>
      <c r="H7616" s="32"/>
      <c r="I7616" s="28"/>
      <c r="J7616" s="125">
        <v>0</v>
      </c>
    </row>
    <row r="7617" spans="1:10" ht="15.75" hidden="1" thickBot="1" x14ac:dyDescent="0.3">
      <c r="A7617" s="242"/>
      <c r="B7617" s="245"/>
      <c r="C7617" s="155" t="s">
        <v>38867</v>
      </c>
      <c r="D7617" s="155" t="s">
        <v>205</v>
      </c>
      <c r="E7617" s="34">
        <v>1</v>
      </c>
      <c r="F7617" s="28">
        <v>8.9205000000000005</v>
      </c>
      <c r="G7617" s="31">
        <f>IF(ISNUMBER(F7617),E7617*F7617,"")</f>
        <v>8.9205000000000005</v>
      </c>
      <c r="H7617" s="35">
        <f>SUM(G7617:G7617)</f>
        <v>8.9205000000000005</v>
      </c>
      <c r="I7617" s="36"/>
      <c r="J7617" s="125">
        <v>0</v>
      </c>
    </row>
    <row r="7618" spans="1:10" ht="15.75" hidden="1" thickBot="1" x14ac:dyDescent="0.3">
      <c r="A7618" s="243"/>
      <c r="B7618" s="246"/>
      <c r="C7618" s="164"/>
      <c r="D7618" s="164"/>
      <c r="E7618" s="61"/>
      <c r="F7618" s="62" t="s">
        <v>418</v>
      </c>
      <c r="G7618" s="63" t="str">
        <f>IF(ISNUMBER(F7618),E7618*F7618,"")</f>
        <v/>
      </c>
      <c r="H7618" s="64"/>
      <c r="I7618" s="28"/>
      <c r="J7618" s="125">
        <v>0</v>
      </c>
    </row>
    <row r="7619" spans="1:10" ht="15.75" hidden="1" thickBot="1" x14ac:dyDescent="0.3">
      <c r="A7619" s="241" t="s">
        <v>17154</v>
      </c>
      <c r="B7619" s="244" t="s">
        <v>19451</v>
      </c>
      <c r="C7619" s="160"/>
      <c r="D7619" s="145" t="s">
        <v>16</v>
      </c>
      <c r="E7619" s="24"/>
      <c r="F7619" s="37" t="s">
        <v>418</v>
      </c>
      <c r="G7619" s="25" t="str">
        <f>IF(ISNUMBER(F7619),E7619*F7619,"")</f>
        <v/>
      </c>
      <c r="H7619" s="26"/>
      <c r="I7619" s="27"/>
      <c r="J7619" s="125">
        <v>0</v>
      </c>
    </row>
    <row r="7620" spans="1:10" ht="15.75" hidden="1" thickBot="1" x14ac:dyDescent="0.3">
      <c r="A7620" s="242"/>
      <c r="B7620" s="245"/>
      <c r="C7620" s="151"/>
      <c r="D7620" s="151"/>
      <c r="E7620" s="30"/>
      <c r="F7620" s="38" t="s">
        <v>418</v>
      </c>
      <c r="G7620" s="31" t="str">
        <f>IF(ISNUMBER(F7620),E7620*F7620,"")</f>
        <v/>
      </c>
      <c r="H7620" s="32"/>
      <c r="I7620" s="28"/>
      <c r="J7620" s="125">
        <v>0</v>
      </c>
    </row>
    <row r="7621" spans="1:10" ht="26.25" hidden="1" thickBot="1" x14ac:dyDescent="0.3">
      <c r="A7621" s="242"/>
      <c r="B7621" s="245"/>
      <c r="C7621" s="155" t="s">
        <v>23444</v>
      </c>
      <c r="D7621" s="155" t="s">
        <v>205</v>
      </c>
      <c r="E7621" s="34">
        <v>1</v>
      </c>
      <c r="F7621" s="28">
        <v>0.99749999999999994</v>
      </c>
      <c r="G7621" s="31">
        <f>IF(ISNUMBER(F7621),E7621*F7621,"")</f>
        <v>0.99749999999999994</v>
      </c>
      <c r="H7621" s="35">
        <f>SUM(G7621:G7621)</f>
        <v>0.99749999999999994</v>
      </c>
      <c r="I7621" s="36"/>
      <c r="J7621" s="125">
        <v>0</v>
      </c>
    </row>
    <row r="7622" spans="1:10" ht="15.75" hidden="1" thickBot="1" x14ac:dyDescent="0.3">
      <c r="A7622" s="243"/>
      <c r="B7622" s="246"/>
      <c r="C7622" s="164"/>
      <c r="D7622" s="164"/>
      <c r="E7622" s="61"/>
      <c r="F7622" s="62" t="s">
        <v>418</v>
      </c>
      <c r="G7622" s="63" t="str">
        <f>IF(ISNUMBER(F7622),E7622*F7622,"")</f>
        <v/>
      </c>
      <c r="H7622" s="64"/>
      <c r="I7622" s="28"/>
      <c r="J7622" s="125">
        <v>0</v>
      </c>
    </row>
    <row r="7623" spans="1:10" ht="15.75" hidden="1" thickBot="1" x14ac:dyDescent="0.3">
      <c r="A7623" s="241" t="s">
        <v>17155</v>
      </c>
      <c r="B7623" s="244" t="s">
        <v>19452</v>
      </c>
      <c r="C7623" s="160"/>
      <c r="D7623" s="145" t="s">
        <v>16</v>
      </c>
      <c r="E7623" s="24"/>
      <c r="F7623" s="37" t="s">
        <v>418</v>
      </c>
      <c r="G7623" s="25" t="str">
        <f>IF(ISNUMBER(F7623),E7623*F7623,"")</f>
        <v/>
      </c>
      <c r="H7623" s="26"/>
      <c r="I7623" s="27"/>
      <c r="J7623" s="125">
        <v>0</v>
      </c>
    </row>
    <row r="7624" spans="1:10" ht="15.75" hidden="1" thickBot="1" x14ac:dyDescent="0.3">
      <c r="A7624" s="242"/>
      <c r="B7624" s="245"/>
      <c r="C7624" s="151"/>
      <c r="D7624" s="151"/>
      <c r="E7624" s="30"/>
      <c r="F7624" s="38" t="s">
        <v>418</v>
      </c>
      <c r="G7624" s="31" t="str">
        <f>IF(ISNUMBER(F7624),E7624*F7624,"")</f>
        <v/>
      </c>
      <c r="H7624" s="32"/>
      <c r="I7624" s="28"/>
      <c r="J7624" s="125">
        <v>0</v>
      </c>
    </row>
    <row r="7625" spans="1:10" ht="26.25" hidden="1" thickBot="1" x14ac:dyDescent="0.3">
      <c r="A7625" s="242"/>
      <c r="B7625" s="245"/>
      <c r="C7625" s="155" t="s">
        <v>23454</v>
      </c>
      <c r="D7625" s="155" t="s">
        <v>205</v>
      </c>
      <c r="E7625" s="34">
        <v>1</v>
      </c>
      <c r="F7625" s="28">
        <v>13.756</v>
      </c>
      <c r="G7625" s="31">
        <f>IF(ISNUMBER(F7625),E7625*F7625,"")</f>
        <v>13.756</v>
      </c>
      <c r="H7625" s="35">
        <f>SUM(G7625:G7625)</f>
        <v>13.756</v>
      </c>
      <c r="I7625" s="36"/>
      <c r="J7625" s="125">
        <v>0</v>
      </c>
    </row>
    <row r="7626" spans="1:10" ht="15.75" hidden="1" thickBot="1" x14ac:dyDescent="0.3">
      <c r="A7626" s="243"/>
      <c r="B7626" s="246"/>
      <c r="C7626" s="164"/>
      <c r="D7626" s="164"/>
      <c r="E7626" s="61"/>
      <c r="F7626" s="62" t="s">
        <v>418</v>
      </c>
      <c r="G7626" s="63" t="str">
        <f>IF(ISNUMBER(F7626),E7626*F7626,"")</f>
        <v/>
      </c>
      <c r="H7626" s="64"/>
      <c r="I7626" s="28"/>
      <c r="J7626" s="125">
        <v>0</v>
      </c>
    </row>
    <row r="7627" spans="1:10" ht="15.75" hidden="1" thickBot="1" x14ac:dyDescent="0.3">
      <c r="A7627" s="241" t="s">
        <v>17156</v>
      </c>
      <c r="B7627" s="244" t="s">
        <v>19453</v>
      </c>
      <c r="C7627" s="160"/>
      <c r="D7627" s="145" t="s">
        <v>16</v>
      </c>
      <c r="E7627" s="24"/>
      <c r="F7627" s="37" t="s">
        <v>418</v>
      </c>
      <c r="G7627" s="25" t="str">
        <f>IF(ISNUMBER(F7627),E7627*F7627,"")</f>
        <v/>
      </c>
      <c r="H7627" s="26"/>
      <c r="I7627" s="27"/>
      <c r="J7627" s="125">
        <v>0</v>
      </c>
    </row>
    <row r="7628" spans="1:10" ht="15.75" hidden="1" thickBot="1" x14ac:dyDescent="0.3">
      <c r="A7628" s="242"/>
      <c r="B7628" s="245"/>
      <c r="C7628" s="151"/>
      <c r="D7628" s="151"/>
      <c r="E7628" s="30"/>
      <c r="F7628" s="38" t="s">
        <v>418</v>
      </c>
      <c r="G7628" s="31" t="str">
        <f>IF(ISNUMBER(F7628),E7628*F7628,"")</f>
        <v/>
      </c>
      <c r="H7628" s="32"/>
      <c r="I7628" s="28"/>
      <c r="J7628" s="125">
        <v>0</v>
      </c>
    </row>
    <row r="7629" spans="1:10" ht="26.25" hidden="1" thickBot="1" x14ac:dyDescent="0.3">
      <c r="A7629" s="242"/>
      <c r="B7629" s="245"/>
      <c r="C7629" s="155" t="s">
        <v>25854</v>
      </c>
      <c r="D7629" s="155" t="s">
        <v>205</v>
      </c>
      <c r="E7629" s="34">
        <v>1</v>
      </c>
      <c r="F7629" s="28">
        <v>2.7075</v>
      </c>
      <c r="G7629" s="31">
        <f>IF(ISNUMBER(F7629),E7629*F7629,"")</f>
        <v>2.7075</v>
      </c>
      <c r="H7629" s="35">
        <f>SUM(G7629:G7629)</f>
        <v>2.7075</v>
      </c>
      <c r="I7629" s="36"/>
      <c r="J7629" s="125">
        <v>0</v>
      </c>
    </row>
    <row r="7630" spans="1:10" ht="15.75" hidden="1" thickBot="1" x14ac:dyDescent="0.3">
      <c r="A7630" s="243"/>
      <c r="B7630" s="246"/>
      <c r="C7630" s="164"/>
      <c r="D7630" s="164"/>
      <c r="E7630" s="61"/>
      <c r="F7630" s="62" t="s">
        <v>418</v>
      </c>
      <c r="G7630" s="63" t="str">
        <f>IF(ISNUMBER(F7630),E7630*F7630,"")</f>
        <v/>
      </c>
      <c r="H7630" s="64"/>
      <c r="I7630" s="28"/>
      <c r="J7630" s="125">
        <v>0</v>
      </c>
    </row>
    <row r="7631" spans="1:10" ht="15.75" hidden="1" thickBot="1" x14ac:dyDescent="0.3">
      <c r="A7631" s="241" t="s">
        <v>17157</v>
      </c>
      <c r="B7631" s="244" t="s">
        <v>19454</v>
      </c>
      <c r="C7631" s="160"/>
      <c r="D7631" s="145" t="s">
        <v>16</v>
      </c>
      <c r="E7631" s="24"/>
      <c r="F7631" s="37" t="s">
        <v>418</v>
      </c>
      <c r="G7631" s="25" t="str">
        <f>IF(ISNUMBER(F7631),E7631*F7631,"")</f>
        <v/>
      </c>
      <c r="H7631" s="26"/>
      <c r="I7631" s="27"/>
      <c r="J7631" s="125">
        <v>0</v>
      </c>
    </row>
    <row r="7632" spans="1:10" ht="15.75" hidden="1" thickBot="1" x14ac:dyDescent="0.3">
      <c r="A7632" s="242"/>
      <c r="B7632" s="245"/>
      <c r="C7632" s="151"/>
      <c r="D7632" s="151"/>
      <c r="E7632" s="30"/>
      <c r="F7632" s="38" t="s">
        <v>418</v>
      </c>
      <c r="G7632" s="31" t="str">
        <f>IF(ISNUMBER(F7632),E7632*F7632,"")</f>
        <v/>
      </c>
      <c r="H7632" s="32"/>
      <c r="I7632" s="28"/>
      <c r="J7632" s="125">
        <v>0</v>
      </c>
    </row>
    <row r="7633" spans="1:10" ht="26.25" hidden="1" thickBot="1" x14ac:dyDescent="0.3">
      <c r="A7633" s="242"/>
      <c r="B7633" s="245"/>
      <c r="C7633" s="155" t="s">
        <v>25896</v>
      </c>
      <c r="D7633" s="155" t="s">
        <v>205</v>
      </c>
      <c r="E7633" s="34">
        <v>1</v>
      </c>
      <c r="F7633" s="28">
        <v>4.6265000000000001</v>
      </c>
      <c r="G7633" s="31">
        <f>IF(ISNUMBER(F7633),E7633*F7633,"")</f>
        <v>4.6265000000000001</v>
      </c>
      <c r="H7633" s="35">
        <f>SUM(G7633:G7633)</f>
        <v>4.6265000000000001</v>
      </c>
      <c r="I7633" s="36"/>
      <c r="J7633" s="125">
        <v>0</v>
      </c>
    </row>
    <row r="7634" spans="1:10" ht="15.75" hidden="1" thickBot="1" x14ac:dyDescent="0.3">
      <c r="A7634" s="243"/>
      <c r="B7634" s="246"/>
      <c r="C7634" s="164"/>
      <c r="D7634" s="164"/>
      <c r="E7634" s="61"/>
      <c r="F7634" s="62" t="s">
        <v>418</v>
      </c>
      <c r="G7634" s="63" t="str">
        <f>IF(ISNUMBER(F7634),E7634*F7634,"")</f>
        <v/>
      </c>
      <c r="H7634" s="64"/>
      <c r="I7634" s="28"/>
      <c r="J7634" s="125">
        <v>0</v>
      </c>
    </row>
    <row r="7635" spans="1:10" ht="15.75" hidden="1" thickBot="1" x14ac:dyDescent="0.3">
      <c r="A7635" s="241" t="s">
        <v>17158</v>
      </c>
      <c r="B7635" s="244" t="s">
        <v>19455</v>
      </c>
      <c r="C7635" s="160"/>
      <c r="D7635" s="145" t="s">
        <v>16</v>
      </c>
      <c r="E7635" s="24"/>
      <c r="F7635" s="37" t="s">
        <v>418</v>
      </c>
      <c r="G7635" s="25" t="str">
        <f>IF(ISNUMBER(F7635),E7635*F7635,"")</f>
        <v/>
      </c>
      <c r="H7635" s="26"/>
      <c r="I7635" s="27"/>
      <c r="J7635" s="125">
        <v>0</v>
      </c>
    </row>
    <row r="7636" spans="1:10" ht="15.75" hidden="1" thickBot="1" x14ac:dyDescent="0.3">
      <c r="A7636" s="242"/>
      <c r="B7636" s="245"/>
      <c r="C7636" s="151"/>
      <c r="D7636" s="151"/>
      <c r="E7636" s="30"/>
      <c r="F7636" s="38" t="s">
        <v>418</v>
      </c>
      <c r="G7636" s="31" t="str">
        <f>IF(ISNUMBER(F7636),E7636*F7636,"")</f>
        <v/>
      </c>
      <c r="H7636" s="32"/>
      <c r="I7636" s="28"/>
      <c r="J7636" s="125">
        <v>0</v>
      </c>
    </row>
    <row r="7637" spans="1:10" ht="15.75" hidden="1" thickBot="1" x14ac:dyDescent="0.3">
      <c r="A7637" s="242"/>
      <c r="B7637" s="245"/>
      <c r="C7637" s="155" t="s">
        <v>24395</v>
      </c>
      <c r="D7637" s="155" t="s">
        <v>205</v>
      </c>
      <c r="E7637" s="34">
        <v>1</v>
      </c>
      <c r="F7637" s="28">
        <v>2.2799999999999998</v>
      </c>
      <c r="G7637" s="31">
        <f>IF(ISNUMBER(F7637),E7637*F7637,"")</f>
        <v>2.2799999999999998</v>
      </c>
      <c r="H7637" s="35">
        <f>SUM(G7637:G7637)</f>
        <v>2.2799999999999998</v>
      </c>
      <c r="I7637" s="36"/>
      <c r="J7637" s="125">
        <v>0</v>
      </c>
    </row>
    <row r="7638" spans="1:10" ht="15.75" hidden="1" thickBot="1" x14ac:dyDescent="0.3">
      <c r="A7638" s="243"/>
      <c r="B7638" s="246"/>
      <c r="C7638" s="164"/>
      <c r="D7638" s="164"/>
      <c r="E7638" s="61"/>
      <c r="F7638" s="62" t="s">
        <v>418</v>
      </c>
      <c r="G7638" s="63" t="str">
        <f>IF(ISNUMBER(F7638),E7638*F7638,"")</f>
        <v/>
      </c>
      <c r="H7638" s="64"/>
      <c r="I7638" s="28"/>
      <c r="J7638" s="125">
        <v>0</v>
      </c>
    </row>
    <row r="7639" spans="1:10" ht="15.75" hidden="1" thickBot="1" x14ac:dyDescent="0.3">
      <c r="A7639" s="241" t="s">
        <v>17159</v>
      </c>
      <c r="B7639" s="244" t="s">
        <v>19456</v>
      </c>
      <c r="C7639" s="160"/>
      <c r="D7639" s="145" t="s">
        <v>16</v>
      </c>
      <c r="E7639" s="24"/>
      <c r="F7639" s="37" t="s">
        <v>418</v>
      </c>
      <c r="G7639" s="25" t="str">
        <f>IF(ISNUMBER(F7639),E7639*F7639,"")</f>
        <v/>
      </c>
      <c r="H7639" s="26"/>
      <c r="I7639" s="27"/>
      <c r="J7639" s="125">
        <v>0</v>
      </c>
    </row>
    <row r="7640" spans="1:10" ht="15.75" hidden="1" thickBot="1" x14ac:dyDescent="0.3">
      <c r="A7640" s="242"/>
      <c r="B7640" s="245"/>
      <c r="C7640" s="151"/>
      <c r="D7640" s="151"/>
      <c r="E7640" s="30"/>
      <c r="F7640" s="38" t="s">
        <v>418</v>
      </c>
      <c r="G7640" s="31" t="str">
        <f>IF(ISNUMBER(F7640),E7640*F7640,"")</f>
        <v/>
      </c>
      <c r="H7640" s="32"/>
      <c r="I7640" s="28"/>
      <c r="J7640" s="125">
        <v>0</v>
      </c>
    </row>
    <row r="7641" spans="1:10" ht="26.25" hidden="1" thickBot="1" x14ac:dyDescent="0.3">
      <c r="A7641" s="242"/>
      <c r="B7641" s="245"/>
      <c r="C7641" s="155" t="s">
        <v>24918</v>
      </c>
      <c r="D7641" s="155" t="s">
        <v>205</v>
      </c>
      <c r="E7641" s="34">
        <v>1</v>
      </c>
      <c r="F7641" s="28">
        <v>7.2104999999999997</v>
      </c>
      <c r="G7641" s="31">
        <f>IF(ISNUMBER(F7641),E7641*F7641,"")</f>
        <v>7.2104999999999997</v>
      </c>
      <c r="H7641" s="35">
        <f>SUM(G7641:G7641)</f>
        <v>7.2104999999999997</v>
      </c>
      <c r="I7641" s="36"/>
      <c r="J7641" s="125">
        <v>0</v>
      </c>
    </row>
    <row r="7642" spans="1:10" ht="15.75" hidden="1" thickBot="1" x14ac:dyDescent="0.3">
      <c r="A7642" s="243"/>
      <c r="B7642" s="246"/>
      <c r="C7642" s="164"/>
      <c r="D7642" s="164"/>
      <c r="E7642" s="61"/>
      <c r="F7642" s="62" t="s">
        <v>418</v>
      </c>
      <c r="G7642" s="63" t="str">
        <f>IF(ISNUMBER(F7642),E7642*F7642,"")</f>
        <v/>
      </c>
      <c r="H7642" s="64"/>
      <c r="I7642" s="28"/>
      <c r="J7642" s="125">
        <v>0</v>
      </c>
    </row>
    <row r="7643" spans="1:10" ht="15.75" hidden="1" thickBot="1" x14ac:dyDescent="0.3">
      <c r="A7643" s="241" t="s">
        <v>17160</v>
      </c>
      <c r="B7643" s="244" t="s">
        <v>19457</v>
      </c>
      <c r="C7643" s="160"/>
      <c r="D7643" s="145" t="s">
        <v>16</v>
      </c>
      <c r="E7643" s="24"/>
      <c r="F7643" s="37" t="s">
        <v>418</v>
      </c>
      <c r="G7643" s="25" t="str">
        <f>IF(ISNUMBER(F7643),E7643*F7643,"")</f>
        <v/>
      </c>
      <c r="H7643" s="26"/>
      <c r="I7643" s="27"/>
      <c r="J7643" s="125">
        <v>0</v>
      </c>
    </row>
    <row r="7644" spans="1:10" ht="15.75" hidden="1" thickBot="1" x14ac:dyDescent="0.3">
      <c r="A7644" s="242"/>
      <c r="B7644" s="245"/>
      <c r="C7644" s="151"/>
      <c r="D7644" s="151"/>
      <c r="E7644" s="30"/>
      <c r="F7644" s="38" t="s">
        <v>418</v>
      </c>
      <c r="G7644" s="31" t="str">
        <f>IF(ISNUMBER(F7644),E7644*F7644,"")</f>
        <v/>
      </c>
      <c r="H7644" s="32"/>
      <c r="I7644" s="28"/>
      <c r="J7644" s="125">
        <v>0</v>
      </c>
    </row>
    <row r="7645" spans="1:10" ht="26.25" hidden="1" thickBot="1" x14ac:dyDescent="0.3">
      <c r="A7645" s="242"/>
      <c r="B7645" s="245"/>
      <c r="C7645" s="155" t="s">
        <v>27643</v>
      </c>
      <c r="D7645" s="155" t="s">
        <v>205</v>
      </c>
      <c r="E7645" s="34">
        <v>1</v>
      </c>
      <c r="F7645" s="28">
        <v>4.2084999999999999</v>
      </c>
      <c r="G7645" s="31">
        <f>IF(ISNUMBER(F7645),E7645*F7645,"")</f>
        <v>4.2084999999999999</v>
      </c>
      <c r="H7645" s="35">
        <f>SUM(G7645:G7645)</f>
        <v>4.2084999999999999</v>
      </c>
      <c r="I7645" s="36"/>
      <c r="J7645" s="125">
        <v>0</v>
      </c>
    </row>
    <row r="7646" spans="1:10" ht="15.75" hidden="1" thickBot="1" x14ac:dyDescent="0.3">
      <c r="A7646" s="243"/>
      <c r="B7646" s="246"/>
      <c r="C7646" s="164"/>
      <c r="D7646" s="164"/>
      <c r="E7646" s="61"/>
      <c r="F7646" s="62" t="s">
        <v>418</v>
      </c>
      <c r="G7646" s="63" t="str">
        <f>IF(ISNUMBER(F7646),E7646*F7646,"")</f>
        <v/>
      </c>
      <c r="H7646" s="64"/>
      <c r="I7646" s="28"/>
      <c r="J7646" s="125">
        <v>0</v>
      </c>
    </row>
    <row r="7647" spans="1:10" ht="15.75" hidden="1" thickBot="1" x14ac:dyDescent="0.3">
      <c r="A7647" s="241" t="s">
        <v>17161</v>
      </c>
      <c r="B7647" s="244" t="s">
        <v>19458</v>
      </c>
      <c r="C7647" s="160"/>
      <c r="D7647" s="145" t="s">
        <v>16</v>
      </c>
      <c r="E7647" s="24"/>
      <c r="F7647" s="37" t="s">
        <v>418</v>
      </c>
      <c r="G7647" s="25" t="str">
        <f>IF(ISNUMBER(F7647),E7647*F7647,"")</f>
        <v/>
      </c>
      <c r="H7647" s="26"/>
      <c r="I7647" s="27"/>
      <c r="J7647" s="125">
        <v>0</v>
      </c>
    </row>
    <row r="7648" spans="1:10" ht="15.75" hidden="1" thickBot="1" x14ac:dyDescent="0.3">
      <c r="A7648" s="242"/>
      <c r="B7648" s="245"/>
      <c r="C7648" s="151"/>
      <c r="D7648" s="151"/>
      <c r="E7648" s="30"/>
      <c r="F7648" s="38" t="s">
        <v>418</v>
      </c>
      <c r="G7648" s="31" t="str">
        <f>IF(ISNUMBER(F7648),E7648*F7648,"")</f>
        <v/>
      </c>
      <c r="H7648" s="32"/>
      <c r="I7648" s="28"/>
      <c r="J7648" s="125">
        <v>0</v>
      </c>
    </row>
    <row r="7649" spans="1:10" ht="15.75" hidden="1" thickBot="1" x14ac:dyDescent="0.3">
      <c r="A7649" s="242"/>
      <c r="B7649" s="245"/>
      <c r="C7649" s="155" t="s">
        <v>26284</v>
      </c>
      <c r="D7649" s="155" t="s">
        <v>205</v>
      </c>
      <c r="E7649" s="34">
        <v>1</v>
      </c>
      <c r="F7649" s="28">
        <v>2.2324999999999999</v>
      </c>
      <c r="G7649" s="31">
        <f>IF(ISNUMBER(F7649),E7649*F7649,"")</f>
        <v>2.2324999999999999</v>
      </c>
      <c r="H7649" s="35">
        <f>SUM(G7649:G7649)</f>
        <v>2.2324999999999999</v>
      </c>
      <c r="I7649" s="36"/>
      <c r="J7649" s="125">
        <v>0</v>
      </c>
    </row>
    <row r="7650" spans="1:10" ht="15.75" hidden="1" thickBot="1" x14ac:dyDescent="0.3">
      <c r="A7650" s="243"/>
      <c r="B7650" s="246"/>
      <c r="C7650" s="164"/>
      <c r="D7650" s="164"/>
      <c r="E7650" s="61"/>
      <c r="F7650" s="62" t="s">
        <v>418</v>
      </c>
      <c r="G7650" s="63" t="str">
        <f>IF(ISNUMBER(F7650),E7650*F7650,"")</f>
        <v/>
      </c>
      <c r="H7650" s="64"/>
      <c r="I7650" s="28"/>
      <c r="J7650" s="125">
        <v>0</v>
      </c>
    </row>
    <row r="7651" spans="1:10" ht="15.75" hidden="1" thickBot="1" x14ac:dyDescent="0.3">
      <c r="A7651" s="241" t="s">
        <v>17162</v>
      </c>
      <c r="B7651" s="244" t="s">
        <v>19459</v>
      </c>
      <c r="C7651" s="160"/>
      <c r="D7651" s="145" t="s">
        <v>16</v>
      </c>
      <c r="E7651" s="24"/>
      <c r="F7651" s="37" t="s">
        <v>418</v>
      </c>
      <c r="G7651" s="25" t="str">
        <f>IF(ISNUMBER(F7651),E7651*F7651,"")</f>
        <v/>
      </c>
      <c r="H7651" s="26"/>
      <c r="I7651" s="27"/>
      <c r="J7651" s="125">
        <v>0</v>
      </c>
    </row>
    <row r="7652" spans="1:10" ht="15.75" hidden="1" thickBot="1" x14ac:dyDescent="0.3">
      <c r="A7652" s="242"/>
      <c r="B7652" s="245"/>
      <c r="C7652" s="151"/>
      <c r="D7652" s="151"/>
      <c r="E7652" s="30"/>
      <c r="F7652" s="38" t="s">
        <v>418</v>
      </c>
      <c r="G7652" s="31" t="str">
        <f>IF(ISNUMBER(F7652),E7652*F7652,"")</f>
        <v/>
      </c>
      <c r="H7652" s="32"/>
      <c r="I7652" s="28"/>
      <c r="J7652" s="125">
        <v>0</v>
      </c>
    </row>
    <row r="7653" spans="1:10" ht="26.25" hidden="1" thickBot="1" x14ac:dyDescent="0.3">
      <c r="A7653" s="242"/>
      <c r="B7653" s="245"/>
      <c r="C7653" s="155" t="s">
        <v>26163</v>
      </c>
      <c r="D7653" s="155" t="s">
        <v>205</v>
      </c>
      <c r="E7653" s="34">
        <v>1</v>
      </c>
      <c r="F7653" s="28">
        <v>24.462499999999999</v>
      </c>
      <c r="G7653" s="31">
        <f>IF(ISNUMBER(F7653),E7653*F7653,"")</f>
        <v>24.462499999999999</v>
      </c>
      <c r="H7653" s="35">
        <f>SUM(G7653:G7653)</f>
        <v>24.462499999999999</v>
      </c>
      <c r="I7653" s="36"/>
      <c r="J7653" s="125">
        <v>0</v>
      </c>
    </row>
    <row r="7654" spans="1:10" ht="15.75" hidden="1" thickBot="1" x14ac:dyDescent="0.3">
      <c r="A7654" s="243"/>
      <c r="B7654" s="246"/>
      <c r="C7654" s="164"/>
      <c r="D7654" s="164"/>
      <c r="E7654" s="61"/>
      <c r="F7654" s="62" t="s">
        <v>418</v>
      </c>
      <c r="G7654" s="63" t="str">
        <f>IF(ISNUMBER(F7654),E7654*F7654,"")</f>
        <v/>
      </c>
      <c r="H7654" s="64"/>
      <c r="I7654" s="28"/>
      <c r="J7654" s="125">
        <v>0</v>
      </c>
    </row>
    <row r="7655" spans="1:10" ht="15.75" hidden="1" thickBot="1" x14ac:dyDescent="0.3">
      <c r="A7655" s="241" t="s">
        <v>17163</v>
      </c>
      <c r="B7655" s="244" t="s">
        <v>19460</v>
      </c>
      <c r="C7655" s="160"/>
      <c r="D7655" s="145" t="s">
        <v>16</v>
      </c>
      <c r="E7655" s="24"/>
      <c r="F7655" s="37" t="s">
        <v>418</v>
      </c>
      <c r="G7655" s="25" t="str">
        <f>IF(ISNUMBER(F7655),E7655*F7655,"")</f>
        <v/>
      </c>
      <c r="H7655" s="26"/>
      <c r="I7655" s="27"/>
      <c r="J7655" s="125">
        <v>0</v>
      </c>
    </row>
    <row r="7656" spans="1:10" ht="15.75" hidden="1" thickBot="1" x14ac:dyDescent="0.3">
      <c r="A7656" s="242"/>
      <c r="B7656" s="245"/>
      <c r="C7656" s="151"/>
      <c r="D7656" s="151"/>
      <c r="E7656" s="30"/>
      <c r="F7656" s="38" t="s">
        <v>418</v>
      </c>
      <c r="G7656" s="31" t="str">
        <f>IF(ISNUMBER(F7656),E7656*F7656,"")</f>
        <v/>
      </c>
      <c r="H7656" s="32"/>
      <c r="I7656" s="28"/>
      <c r="J7656" s="125">
        <v>0</v>
      </c>
    </row>
    <row r="7657" spans="1:10" ht="15.75" hidden="1" thickBot="1" x14ac:dyDescent="0.3">
      <c r="A7657" s="242"/>
      <c r="B7657" s="245"/>
      <c r="C7657" s="155" t="s">
        <v>38868</v>
      </c>
      <c r="D7657" s="155" t="s">
        <v>205</v>
      </c>
      <c r="E7657" s="34">
        <v>1</v>
      </c>
      <c r="F7657" s="28">
        <v>15.019499999999999</v>
      </c>
      <c r="G7657" s="31">
        <f>IF(ISNUMBER(F7657),E7657*F7657,"")</f>
        <v>15.019499999999999</v>
      </c>
      <c r="H7657" s="35">
        <f>SUM(G7657:G7657)</f>
        <v>15.019499999999999</v>
      </c>
      <c r="I7657" s="36"/>
      <c r="J7657" s="125">
        <v>0</v>
      </c>
    </row>
    <row r="7658" spans="1:10" ht="15.75" hidden="1" thickBot="1" x14ac:dyDescent="0.3">
      <c r="A7658" s="243"/>
      <c r="B7658" s="246"/>
      <c r="C7658" s="164"/>
      <c r="D7658" s="164"/>
      <c r="E7658" s="61"/>
      <c r="F7658" s="62" t="s">
        <v>418</v>
      </c>
      <c r="G7658" s="63" t="str">
        <f>IF(ISNUMBER(F7658),E7658*F7658,"")</f>
        <v/>
      </c>
      <c r="H7658" s="64"/>
      <c r="I7658" s="28"/>
      <c r="J7658" s="125">
        <v>0</v>
      </c>
    </row>
    <row r="7659" spans="1:10" ht="15.75" hidden="1" thickBot="1" x14ac:dyDescent="0.3">
      <c r="A7659" s="241" t="s">
        <v>17164</v>
      </c>
      <c r="B7659" s="244" t="s">
        <v>19461</v>
      </c>
      <c r="C7659" s="160"/>
      <c r="D7659" s="145" t="s">
        <v>16</v>
      </c>
      <c r="E7659" s="24"/>
      <c r="F7659" s="37" t="s">
        <v>418</v>
      </c>
      <c r="G7659" s="25" t="str">
        <f>IF(ISNUMBER(F7659),E7659*F7659,"")</f>
        <v/>
      </c>
      <c r="H7659" s="26"/>
      <c r="I7659" s="27"/>
      <c r="J7659" s="125">
        <v>0</v>
      </c>
    </row>
    <row r="7660" spans="1:10" ht="15.75" hidden="1" thickBot="1" x14ac:dyDescent="0.3">
      <c r="A7660" s="242"/>
      <c r="B7660" s="245"/>
      <c r="C7660" s="151"/>
      <c r="D7660" s="151"/>
      <c r="E7660" s="30"/>
      <c r="F7660" s="38" t="s">
        <v>418</v>
      </c>
      <c r="G7660" s="31" t="str">
        <f>IF(ISNUMBER(F7660),E7660*F7660,"")</f>
        <v/>
      </c>
      <c r="H7660" s="32"/>
      <c r="I7660" s="28"/>
      <c r="J7660" s="125">
        <v>0</v>
      </c>
    </row>
    <row r="7661" spans="1:10" ht="26.25" hidden="1" thickBot="1" x14ac:dyDescent="0.3">
      <c r="A7661" s="242"/>
      <c r="B7661" s="245"/>
      <c r="C7661" s="155" t="s">
        <v>24005</v>
      </c>
      <c r="D7661" s="155" t="s">
        <v>205</v>
      </c>
      <c r="E7661" s="34">
        <v>1</v>
      </c>
      <c r="F7661" s="28">
        <v>3.1444999999999999</v>
      </c>
      <c r="G7661" s="31">
        <f>IF(ISNUMBER(F7661),E7661*F7661,"")</f>
        <v>3.1444999999999999</v>
      </c>
      <c r="H7661" s="35">
        <f>SUM(G7661:G7661)</f>
        <v>3.1444999999999999</v>
      </c>
      <c r="I7661" s="36"/>
      <c r="J7661" s="125">
        <v>0</v>
      </c>
    </row>
    <row r="7662" spans="1:10" ht="15.75" hidden="1" thickBot="1" x14ac:dyDescent="0.3">
      <c r="A7662" s="243"/>
      <c r="B7662" s="246"/>
      <c r="C7662" s="164"/>
      <c r="D7662" s="164"/>
      <c r="E7662" s="61"/>
      <c r="F7662" s="62" t="s">
        <v>418</v>
      </c>
      <c r="G7662" s="63" t="str">
        <f>IF(ISNUMBER(F7662),E7662*F7662,"")</f>
        <v/>
      </c>
      <c r="H7662" s="64"/>
      <c r="I7662" s="28"/>
      <c r="J7662" s="125">
        <v>0</v>
      </c>
    </row>
    <row r="7663" spans="1:10" ht="15.75" hidden="1" thickBot="1" x14ac:dyDescent="0.3">
      <c r="A7663" s="241" t="s">
        <v>17165</v>
      </c>
      <c r="B7663" s="244" t="s">
        <v>19462</v>
      </c>
      <c r="C7663" s="160"/>
      <c r="D7663" s="145" t="s">
        <v>16</v>
      </c>
      <c r="E7663" s="24"/>
      <c r="F7663" s="37" t="s">
        <v>418</v>
      </c>
      <c r="G7663" s="25" t="str">
        <f>IF(ISNUMBER(F7663),E7663*F7663,"")</f>
        <v/>
      </c>
      <c r="H7663" s="26"/>
      <c r="I7663" s="27"/>
      <c r="J7663" s="125">
        <v>0</v>
      </c>
    </row>
    <row r="7664" spans="1:10" ht="15.75" hidden="1" thickBot="1" x14ac:dyDescent="0.3">
      <c r="A7664" s="242"/>
      <c r="B7664" s="245"/>
      <c r="C7664" s="151"/>
      <c r="D7664" s="151"/>
      <c r="E7664" s="30"/>
      <c r="F7664" s="38" t="s">
        <v>418</v>
      </c>
      <c r="G7664" s="31" t="str">
        <f>IF(ISNUMBER(F7664),E7664*F7664,"")</f>
        <v/>
      </c>
      <c r="H7664" s="32"/>
      <c r="I7664" s="28"/>
      <c r="J7664" s="125">
        <v>0</v>
      </c>
    </row>
    <row r="7665" spans="1:10" ht="26.25" hidden="1" thickBot="1" x14ac:dyDescent="0.3">
      <c r="A7665" s="242"/>
      <c r="B7665" s="245"/>
      <c r="C7665" s="155" t="s">
        <v>24001</v>
      </c>
      <c r="D7665" s="155" t="s">
        <v>205</v>
      </c>
      <c r="E7665" s="34">
        <v>1</v>
      </c>
      <c r="F7665" s="28">
        <v>1.0640000000000001</v>
      </c>
      <c r="G7665" s="31">
        <f>IF(ISNUMBER(F7665),E7665*F7665,"")</f>
        <v>1.0640000000000001</v>
      </c>
      <c r="H7665" s="35">
        <f>SUM(G7665:G7665)</f>
        <v>1.0640000000000001</v>
      </c>
      <c r="I7665" s="36"/>
      <c r="J7665" s="125">
        <v>0</v>
      </c>
    </row>
    <row r="7666" spans="1:10" ht="15.75" hidden="1" thickBot="1" x14ac:dyDescent="0.3">
      <c r="A7666" s="243"/>
      <c r="B7666" s="246"/>
      <c r="C7666" s="164"/>
      <c r="D7666" s="164"/>
      <c r="E7666" s="61"/>
      <c r="F7666" s="62" t="s">
        <v>418</v>
      </c>
      <c r="G7666" s="63" t="str">
        <f>IF(ISNUMBER(F7666),E7666*F7666,"")</f>
        <v/>
      </c>
      <c r="H7666" s="64"/>
      <c r="I7666" s="28"/>
      <c r="J7666" s="125">
        <v>0</v>
      </c>
    </row>
    <row r="7667" spans="1:10" ht="15.75" hidden="1" thickBot="1" x14ac:dyDescent="0.3">
      <c r="A7667" s="241" t="s">
        <v>17166</v>
      </c>
      <c r="B7667" s="244" t="s">
        <v>19463</v>
      </c>
      <c r="C7667" s="160"/>
      <c r="D7667" s="145" t="s">
        <v>16</v>
      </c>
      <c r="E7667" s="24"/>
      <c r="F7667" s="37" t="s">
        <v>418</v>
      </c>
      <c r="G7667" s="25" t="str">
        <f>IF(ISNUMBER(F7667),E7667*F7667,"")</f>
        <v/>
      </c>
      <c r="H7667" s="26"/>
      <c r="I7667" s="27"/>
      <c r="J7667" s="125">
        <v>0</v>
      </c>
    </row>
    <row r="7668" spans="1:10" ht="15.75" hidden="1" thickBot="1" x14ac:dyDescent="0.3">
      <c r="A7668" s="242"/>
      <c r="B7668" s="245"/>
      <c r="C7668" s="151"/>
      <c r="D7668" s="151"/>
      <c r="E7668" s="30"/>
      <c r="F7668" s="38" t="s">
        <v>418</v>
      </c>
      <c r="G7668" s="31" t="str">
        <f>IF(ISNUMBER(F7668),E7668*F7668,"")</f>
        <v/>
      </c>
      <c r="H7668" s="32"/>
      <c r="I7668" s="28"/>
      <c r="J7668" s="125">
        <v>0</v>
      </c>
    </row>
    <row r="7669" spans="1:10" ht="26.25" hidden="1" thickBot="1" x14ac:dyDescent="0.3">
      <c r="A7669" s="242"/>
      <c r="B7669" s="245"/>
      <c r="C7669" s="155" t="s">
        <v>23445</v>
      </c>
      <c r="D7669" s="155" t="s">
        <v>205</v>
      </c>
      <c r="E7669" s="34">
        <v>1</v>
      </c>
      <c r="F7669" s="28">
        <v>2.0044999999999997</v>
      </c>
      <c r="G7669" s="31">
        <f>IF(ISNUMBER(F7669),E7669*F7669,"")</f>
        <v>2.0044999999999997</v>
      </c>
      <c r="H7669" s="35">
        <f>SUM(G7669:G7669)</f>
        <v>2.0044999999999997</v>
      </c>
      <c r="I7669" s="36"/>
      <c r="J7669" s="125">
        <v>0</v>
      </c>
    </row>
    <row r="7670" spans="1:10" ht="15.75" hidden="1" thickBot="1" x14ac:dyDescent="0.3">
      <c r="A7670" s="243"/>
      <c r="B7670" s="246"/>
      <c r="C7670" s="164"/>
      <c r="D7670" s="164"/>
      <c r="E7670" s="61"/>
      <c r="F7670" s="62" t="s">
        <v>418</v>
      </c>
      <c r="G7670" s="63" t="str">
        <f>IF(ISNUMBER(F7670),E7670*F7670,"")</f>
        <v/>
      </c>
      <c r="H7670" s="64"/>
      <c r="I7670" s="28"/>
      <c r="J7670" s="125">
        <v>0</v>
      </c>
    </row>
    <row r="7671" spans="1:10" ht="15.75" hidden="1" thickBot="1" x14ac:dyDescent="0.3">
      <c r="A7671" s="241" t="s">
        <v>17167</v>
      </c>
      <c r="B7671" s="244" t="s">
        <v>19464</v>
      </c>
      <c r="C7671" s="160"/>
      <c r="D7671" s="145" t="s">
        <v>16</v>
      </c>
      <c r="E7671" s="24"/>
      <c r="F7671" s="37" t="s">
        <v>418</v>
      </c>
      <c r="G7671" s="25" t="str">
        <f>IF(ISNUMBER(F7671),E7671*F7671,"")</f>
        <v/>
      </c>
      <c r="H7671" s="26"/>
      <c r="I7671" s="27"/>
      <c r="J7671" s="125">
        <v>0</v>
      </c>
    </row>
    <row r="7672" spans="1:10" ht="15.75" hidden="1" thickBot="1" x14ac:dyDescent="0.3">
      <c r="A7672" s="242"/>
      <c r="B7672" s="245"/>
      <c r="C7672" s="151"/>
      <c r="D7672" s="151"/>
      <c r="E7672" s="30"/>
      <c r="F7672" s="38" t="s">
        <v>418</v>
      </c>
      <c r="G7672" s="31" t="str">
        <f>IF(ISNUMBER(F7672),E7672*F7672,"")</f>
        <v/>
      </c>
      <c r="H7672" s="32"/>
      <c r="I7672" s="28"/>
      <c r="J7672" s="125">
        <v>0</v>
      </c>
    </row>
    <row r="7673" spans="1:10" ht="26.25" hidden="1" thickBot="1" x14ac:dyDescent="0.3">
      <c r="A7673" s="242"/>
      <c r="B7673" s="245"/>
      <c r="C7673" s="155" t="s">
        <v>23455</v>
      </c>
      <c r="D7673" s="155" t="s">
        <v>205</v>
      </c>
      <c r="E7673" s="34">
        <v>1</v>
      </c>
      <c r="F7673" s="28">
        <v>20.690999999999999</v>
      </c>
      <c r="G7673" s="31">
        <f>IF(ISNUMBER(F7673),E7673*F7673,"")</f>
        <v>20.690999999999999</v>
      </c>
      <c r="H7673" s="35">
        <f>SUM(G7673:G7673)</f>
        <v>20.690999999999999</v>
      </c>
      <c r="I7673" s="36"/>
      <c r="J7673" s="125">
        <v>0</v>
      </c>
    </row>
    <row r="7674" spans="1:10" ht="15.75" hidden="1" thickBot="1" x14ac:dyDescent="0.3">
      <c r="A7674" s="243"/>
      <c r="B7674" s="246"/>
      <c r="C7674" s="164"/>
      <c r="D7674" s="164"/>
      <c r="E7674" s="61"/>
      <c r="F7674" s="62" t="s">
        <v>418</v>
      </c>
      <c r="G7674" s="63" t="str">
        <f>IF(ISNUMBER(F7674),E7674*F7674,"")</f>
        <v/>
      </c>
      <c r="H7674" s="64"/>
      <c r="I7674" s="28"/>
      <c r="J7674" s="125">
        <v>0</v>
      </c>
    </row>
    <row r="7675" spans="1:10" ht="15.75" hidden="1" thickBot="1" x14ac:dyDescent="0.3">
      <c r="A7675" s="241" t="s">
        <v>17168</v>
      </c>
      <c r="B7675" s="244" t="s">
        <v>19465</v>
      </c>
      <c r="C7675" s="160"/>
      <c r="D7675" s="145" t="s">
        <v>16</v>
      </c>
      <c r="E7675" s="24"/>
      <c r="F7675" s="37" t="s">
        <v>418</v>
      </c>
      <c r="G7675" s="25" t="str">
        <f>IF(ISNUMBER(F7675),E7675*F7675,"")</f>
        <v/>
      </c>
      <c r="H7675" s="26"/>
      <c r="I7675" s="27"/>
      <c r="J7675" s="125">
        <v>0</v>
      </c>
    </row>
    <row r="7676" spans="1:10" ht="15.75" hidden="1" thickBot="1" x14ac:dyDescent="0.3">
      <c r="A7676" s="242"/>
      <c r="B7676" s="245"/>
      <c r="C7676" s="151"/>
      <c r="D7676" s="151"/>
      <c r="E7676" s="30"/>
      <c r="F7676" s="38" t="s">
        <v>418</v>
      </c>
      <c r="G7676" s="31" t="str">
        <f>IF(ISNUMBER(F7676),E7676*F7676,"")</f>
        <v/>
      </c>
      <c r="H7676" s="32"/>
      <c r="I7676" s="28"/>
      <c r="J7676" s="125">
        <v>0</v>
      </c>
    </row>
    <row r="7677" spans="1:10" ht="26.25" hidden="1" thickBot="1" x14ac:dyDescent="0.3">
      <c r="A7677" s="242"/>
      <c r="B7677" s="245"/>
      <c r="C7677" s="155" t="s">
        <v>25855</v>
      </c>
      <c r="D7677" s="155" t="s">
        <v>205</v>
      </c>
      <c r="E7677" s="34">
        <v>1</v>
      </c>
      <c r="F7677" s="28">
        <v>6.593</v>
      </c>
      <c r="G7677" s="31">
        <f>IF(ISNUMBER(F7677),E7677*F7677,"")</f>
        <v>6.593</v>
      </c>
      <c r="H7677" s="35">
        <f>SUM(G7677:G7677)</f>
        <v>6.593</v>
      </c>
      <c r="I7677" s="36"/>
      <c r="J7677" s="125">
        <v>0</v>
      </c>
    </row>
    <row r="7678" spans="1:10" ht="15.75" hidden="1" thickBot="1" x14ac:dyDescent="0.3">
      <c r="A7678" s="243"/>
      <c r="B7678" s="246"/>
      <c r="C7678" s="164"/>
      <c r="D7678" s="164"/>
      <c r="E7678" s="61"/>
      <c r="F7678" s="62" t="s">
        <v>418</v>
      </c>
      <c r="G7678" s="63" t="str">
        <f>IF(ISNUMBER(F7678),E7678*F7678,"")</f>
        <v/>
      </c>
      <c r="H7678" s="64"/>
      <c r="I7678" s="28"/>
      <c r="J7678" s="125">
        <v>0</v>
      </c>
    </row>
    <row r="7679" spans="1:10" s="144" customFormat="1" ht="15.75" hidden="1" thickBot="1" x14ac:dyDescent="0.3">
      <c r="A7679" s="241" t="s">
        <v>17169</v>
      </c>
      <c r="B7679" s="244" t="s">
        <v>19466</v>
      </c>
      <c r="C7679" s="160"/>
      <c r="D7679" s="145" t="s">
        <v>16</v>
      </c>
      <c r="E7679" s="146"/>
      <c r="F7679" s="37" t="s">
        <v>418</v>
      </c>
      <c r="G7679" s="147" t="str">
        <f>IF(ISNUMBER(F7679),E7679*F7679,"")</f>
        <v/>
      </c>
      <c r="H7679" s="148"/>
      <c r="I7679" s="149"/>
      <c r="J7679" s="125">
        <v>0</v>
      </c>
    </row>
    <row r="7680" spans="1:10" s="144" customFormat="1" ht="15.75" hidden="1" thickBot="1" x14ac:dyDescent="0.3">
      <c r="A7680" s="242"/>
      <c r="B7680" s="245"/>
      <c r="C7680" s="151"/>
      <c r="D7680" s="151"/>
      <c r="E7680" s="152"/>
      <c r="F7680" s="38" t="s">
        <v>418</v>
      </c>
      <c r="G7680" s="31" t="str">
        <f>IF(ISNUMBER(F7680),E7680*F7680,"")</f>
        <v/>
      </c>
      <c r="H7680" s="32"/>
      <c r="I7680" s="28"/>
      <c r="J7680" s="125">
        <v>0</v>
      </c>
    </row>
    <row r="7681" spans="1:10" s="144" customFormat="1" ht="15.75" hidden="1" thickBot="1" x14ac:dyDescent="0.3">
      <c r="A7681" s="242"/>
      <c r="B7681" s="245"/>
      <c r="C7681" s="155" t="s">
        <v>24396</v>
      </c>
      <c r="D7681" s="155" t="s">
        <v>205</v>
      </c>
      <c r="E7681" s="156">
        <v>1</v>
      </c>
      <c r="F7681" s="28">
        <v>4.3890000000000002</v>
      </c>
      <c r="G7681" s="31">
        <f>IF(ISNUMBER(F7681),E7681*F7681,"")</f>
        <v>4.3890000000000002</v>
      </c>
      <c r="H7681" s="35">
        <f>SUM(G7681:G7681)</f>
        <v>4.3890000000000002</v>
      </c>
      <c r="I7681" s="36"/>
      <c r="J7681" s="125">
        <v>0</v>
      </c>
    </row>
    <row r="7682" spans="1:10" s="144" customFormat="1" ht="15.75" hidden="1" thickBot="1" x14ac:dyDescent="0.3">
      <c r="A7682" s="243"/>
      <c r="B7682" s="246"/>
      <c r="C7682" s="164"/>
      <c r="D7682" s="164"/>
      <c r="E7682" s="165"/>
      <c r="F7682" s="62" t="s">
        <v>418</v>
      </c>
      <c r="G7682" s="63" t="str">
        <f>IF(ISNUMBER(F7682),E7682*F7682,"")</f>
        <v/>
      </c>
      <c r="H7682" s="64"/>
      <c r="I7682" s="28"/>
      <c r="J7682" s="125">
        <v>0</v>
      </c>
    </row>
    <row r="7683" spans="1:10" s="144" customFormat="1" ht="15.75" hidden="1" thickBot="1" x14ac:dyDescent="0.3">
      <c r="A7683" s="241" t="s">
        <v>17170</v>
      </c>
      <c r="B7683" s="244" t="s">
        <v>19467</v>
      </c>
      <c r="C7683" s="160"/>
      <c r="D7683" s="145" t="s">
        <v>16</v>
      </c>
      <c r="E7683" s="146"/>
      <c r="F7683" s="37" t="s">
        <v>418</v>
      </c>
      <c r="G7683" s="147" t="str">
        <f>IF(ISNUMBER(F7683),E7683*F7683,"")</f>
        <v/>
      </c>
      <c r="H7683" s="148"/>
      <c r="I7683" s="149"/>
      <c r="J7683" s="125">
        <v>0</v>
      </c>
    </row>
    <row r="7684" spans="1:10" s="144" customFormat="1" ht="15.75" hidden="1" thickBot="1" x14ac:dyDescent="0.3">
      <c r="A7684" s="242"/>
      <c r="B7684" s="245"/>
      <c r="C7684" s="151"/>
      <c r="D7684" s="151"/>
      <c r="E7684" s="152"/>
      <c r="F7684" s="38" t="s">
        <v>418</v>
      </c>
      <c r="G7684" s="31" t="str">
        <f>IF(ISNUMBER(F7684),E7684*F7684,"")</f>
        <v/>
      </c>
      <c r="H7684" s="32"/>
      <c r="I7684" s="28"/>
      <c r="J7684" s="125">
        <v>0</v>
      </c>
    </row>
    <row r="7685" spans="1:10" s="144" customFormat="1" ht="26.25" hidden="1" thickBot="1" x14ac:dyDescent="0.3">
      <c r="A7685" s="242"/>
      <c r="B7685" s="245"/>
      <c r="C7685" s="155" t="s">
        <v>24919</v>
      </c>
      <c r="D7685" s="155" t="s">
        <v>205</v>
      </c>
      <c r="E7685" s="156">
        <v>1</v>
      </c>
      <c r="F7685" s="28">
        <v>13.423500000000001</v>
      </c>
      <c r="G7685" s="31">
        <f>IF(ISNUMBER(F7685),E7685*F7685,"")</f>
        <v>13.423500000000001</v>
      </c>
      <c r="H7685" s="35">
        <f>SUM(G7685:G7685)</f>
        <v>13.423500000000001</v>
      </c>
      <c r="I7685" s="36"/>
      <c r="J7685" s="125">
        <v>0</v>
      </c>
    </row>
    <row r="7686" spans="1:10" s="144" customFormat="1" ht="15.75" hidden="1" thickBot="1" x14ac:dyDescent="0.3">
      <c r="A7686" s="243"/>
      <c r="B7686" s="246"/>
      <c r="C7686" s="164"/>
      <c r="D7686" s="164"/>
      <c r="E7686" s="165"/>
      <c r="F7686" s="62" t="s">
        <v>418</v>
      </c>
      <c r="G7686" s="63" t="str">
        <f>IF(ISNUMBER(F7686),E7686*F7686,"")</f>
        <v/>
      </c>
      <c r="H7686" s="64"/>
      <c r="I7686" s="28"/>
      <c r="J7686" s="125">
        <v>0</v>
      </c>
    </row>
    <row r="7687" spans="1:10" s="144" customFormat="1" ht="15.75" hidden="1" thickBot="1" x14ac:dyDescent="0.3">
      <c r="A7687" s="241" t="s">
        <v>17171</v>
      </c>
      <c r="B7687" s="244" t="s">
        <v>19468</v>
      </c>
      <c r="C7687" s="160"/>
      <c r="D7687" s="145" t="s">
        <v>16</v>
      </c>
      <c r="E7687" s="146"/>
      <c r="F7687" s="37" t="s">
        <v>418</v>
      </c>
      <c r="G7687" s="147" t="str">
        <f>IF(ISNUMBER(F7687),E7687*F7687,"")</f>
        <v/>
      </c>
      <c r="H7687" s="148"/>
      <c r="I7687" s="149"/>
      <c r="J7687" s="125">
        <v>0</v>
      </c>
    </row>
    <row r="7688" spans="1:10" s="144" customFormat="1" ht="15.75" hidden="1" thickBot="1" x14ac:dyDescent="0.3">
      <c r="A7688" s="242"/>
      <c r="B7688" s="245"/>
      <c r="C7688" s="151"/>
      <c r="D7688" s="151"/>
      <c r="E7688" s="152"/>
      <c r="F7688" s="38" t="s">
        <v>418</v>
      </c>
      <c r="G7688" s="31" t="str">
        <f>IF(ISNUMBER(F7688),E7688*F7688,"")</f>
        <v/>
      </c>
      <c r="H7688" s="32"/>
      <c r="I7688" s="28"/>
      <c r="J7688" s="125">
        <v>0</v>
      </c>
    </row>
    <row r="7689" spans="1:10" s="144" customFormat="1" ht="26.25" hidden="1" thickBot="1" x14ac:dyDescent="0.3">
      <c r="A7689" s="242"/>
      <c r="B7689" s="245"/>
      <c r="C7689" s="155" t="s">
        <v>25897</v>
      </c>
      <c r="D7689" s="155" t="s">
        <v>205</v>
      </c>
      <c r="E7689" s="156">
        <v>1</v>
      </c>
      <c r="F7689" s="28">
        <v>6.6499999999999995</v>
      </c>
      <c r="G7689" s="31">
        <f>IF(ISNUMBER(F7689),E7689*F7689,"")</f>
        <v>6.6499999999999995</v>
      </c>
      <c r="H7689" s="35">
        <f>SUM(G7689:G7689)</f>
        <v>6.6499999999999995</v>
      </c>
      <c r="I7689" s="36"/>
      <c r="J7689" s="125">
        <v>0</v>
      </c>
    </row>
    <row r="7690" spans="1:10" s="144" customFormat="1" ht="15.75" hidden="1" thickBot="1" x14ac:dyDescent="0.3">
      <c r="A7690" s="243"/>
      <c r="B7690" s="246"/>
      <c r="C7690" s="164"/>
      <c r="D7690" s="164"/>
      <c r="E7690" s="165"/>
      <c r="F7690" s="62" t="s">
        <v>418</v>
      </c>
      <c r="G7690" s="63" t="str">
        <f>IF(ISNUMBER(F7690),E7690*F7690,"")</f>
        <v/>
      </c>
      <c r="H7690" s="64"/>
      <c r="I7690" s="28"/>
      <c r="J7690" s="125">
        <v>0</v>
      </c>
    </row>
    <row r="7691" spans="1:10" s="144" customFormat="1" ht="15.75" hidden="1" thickBot="1" x14ac:dyDescent="0.3">
      <c r="A7691" s="241" t="s">
        <v>17172</v>
      </c>
      <c r="B7691" s="244" t="s">
        <v>19469</v>
      </c>
      <c r="C7691" s="160"/>
      <c r="D7691" s="145" t="s">
        <v>16</v>
      </c>
      <c r="E7691" s="146"/>
      <c r="F7691" s="37" t="s">
        <v>418</v>
      </c>
      <c r="G7691" s="147" t="str">
        <f>IF(ISNUMBER(F7691),E7691*F7691,"")</f>
        <v/>
      </c>
      <c r="H7691" s="148"/>
      <c r="I7691" s="149"/>
      <c r="J7691" s="125">
        <v>0</v>
      </c>
    </row>
    <row r="7692" spans="1:10" s="144" customFormat="1" ht="15.75" hidden="1" thickBot="1" x14ac:dyDescent="0.3">
      <c r="A7692" s="242"/>
      <c r="B7692" s="245"/>
      <c r="C7692" s="151"/>
      <c r="D7692" s="151"/>
      <c r="E7692" s="152"/>
      <c r="F7692" s="38" t="s">
        <v>418</v>
      </c>
      <c r="G7692" s="31" t="str">
        <f>IF(ISNUMBER(F7692),E7692*F7692,"")</f>
        <v/>
      </c>
      <c r="H7692" s="32"/>
      <c r="I7692" s="28"/>
      <c r="J7692" s="125">
        <v>0</v>
      </c>
    </row>
    <row r="7693" spans="1:10" s="144" customFormat="1" ht="26.25" hidden="1" thickBot="1" x14ac:dyDescent="0.3">
      <c r="A7693" s="242"/>
      <c r="B7693" s="245"/>
      <c r="C7693" s="155" t="s">
        <v>27644</v>
      </c>
      <c r="D7693" s="155" t="s">
        <v>205</v>
      </c>
      <c r="E7693" s="156">
        <v>1</v>
      </c>
      <c r="F7693" s="28">
        <v>10.298</v>
      </c>
      <c r="G7693" s="31">
        <f>IF(ISNUMBER(F7693),E7693*F7693,"")</f>
        <v>10.298</v>
      </c>
      <c r="H7693" s="35">
        <f>SUM(G7693:G7693)</f>
        <v>10.298</v>
      </c>
      <c r="I7693" s="36"/>
      <c r="J7693" s="125">
        <v>0</v>
      </c>
    </row>
    <row r="7694" spans="1:10" s="144" customFormat="1" ht="15.75" hidden="1" thickBot="1" x14ac:dyDescent="0.3">
      <c r="A7694" s="243"/>
      <c r="B7694" s="246"/>
      <c r="C7694" s="164"/>
      <c r="D7694" s="164"/>
      <c r="E7694" s="165"/>
      <c r="F7694" s="62" t="s">
        <v>418</v>
      </c>
      <c r="G7694" s="63" t="str">
        <f>IF(ISNUMBER(F7694),E7694*F7694,"")</f>
        <v/>
      </c>
      <c r="H7694" s="64"/>
      <c r="I7694" s="28"/>
      <c r="J7694" s="125">
        <v>0</v>
      </c>
    </row>
    <row r="7695" spans="1:10" s="144" customFormat="1" ht="15.75" hidden="1" thickBot="1" x14ac:dyDescent="0.3">
      <c r="A7695" s="241" t="s">
        <v>17173</v>
      </c>
      <c r="B7695" s="244" t="s">
        <v>19470</v>
      </c>
      <c r="C7695" s="160"/>
      <c r="D7695" s="145" t="s">
        <v>16</v>
      </c>
      <c r="E7695" s="146"/>
      <c r="F7695" s="37" t="s">
        <v>418</v>
      </c>
      <c r="G7695" s="147" t="str">
        <f>IF(ISNUMBER(F7695),E7695*F7695,"")</f>
        <v/>
      </c>
      <c r="H7695" s="148"/>
      <c r="I7695" s="149"/>
      <c r="J7695" s="125">
        <v>0</v>
      </c>
    </row>
    <row r="7696" spans="1:10" s="144" customFormat="1" ht="15.75" hidden="1" thickBot="1" x14ac:dyDescent="0.3">
      <c r="A7696" s="242"/>
      <c r="B7696" s="245"/>
      <c r="C7696" s="151"/>
      <c r="D7696" s="151"/>
      <c r="E7696" s="152"/>
      <c r="F7696" s="38" t="s">
        <v>418</v>
      </c>
      <c r="G7696" s="31" t="str">
        <f>IF(ISNUMBER(F7696),E7696*F7696,"")</f>
        <v/>
      </c>
      <c r="H7696" s="32"/>
      <c r="I7696" s="28"/>
      <c r="J7696" s="125">
        <v>0</v>
      </c>
    </row>
    <row r="7697" spans="1:10" s="144" customFormat="1" ht="15.75" hidden="1" thickBot="1" x14ac:dyDescent="0.3">
      <c r="A7697" s="242"/>
      <c r="B7697" s="245"/>
      <c r="C7697" s="155" t="s">
        <v>26285</v>
      </c>
      <c r="D7697" s="155" t="s">
        <v>205</v>
      </c>
      <c r="E7697" s="156">
        <v>1</v>
      </c>
      <c r="F7697" s="28">
        <v>4.75</v>
      </c>
      <c r="G7697" s="31">
        <f>IF(ISNUMBER(F7697),E7697*F7697,"")</f>
        <v>4.75</v>
      </c>
      <c r="H7697" s="35">
        <f>SUM(G7697:G7697)</f>
        <v>4.75</v>
      </c>
      <c r="I7697" s="36"/>
      <c r="J7697" s="125">
        <v>0</v>
      </c>
    </row>
    <row r="7698" spans="1:10" s="144" customFormat="1" ht="15.75" hidden="1" thickBot="1" x14ac:dyDescent="0.3">
      <c r="A7698" s="243"/>
      <c r="B7698" s="246"/>
      <c r="C7698" s="164"/>
      <c r="D7698" s="164"/>
      <c r="E7698" s="165"/>
      <c r="F7698" s="62" t="s">
        <v>418</v>
      </c>
      <c r="G7698" s="63" t="str">
        <f>IF(ISNUMBER(F7698),E7698*F7698,"")</f>
        <v/>
      </c>
      <c r="H7698" s="64"/>
      <c r="I7698" s="28"/>
      <c r="J7698" s="125">
        <v>0</v>
      </c>
    </row>
    <row r="7699" spans="1:10" s="144" customFormat="1" ht="15.75" hidden="1" thickBot="1" x14ac:dyDescent="0.3">
      <c r="A7699" s="241" t="s">
        <v>17174</v>
      </c>
      <c r="B7699" s="244" t="s">
        <v>19471</v>
      </c>
      <c r="C7699" s="160"/>
      <c r="D7699" s="145" t="s">
        <v>16</v>
      </c>
      <c r="E7699" s="146"/>
      <c r="F7699" s="37" t="s">
        <v>418</v>
      </c>
      <c r="G7699" s="147" t="str">
        <f>IF(ISNUMBER(F7699),E7699*F7699,"")</f>
        <v/>
      </c>
      <c r="H7699" s="148"/>
      <c r="I7699" s="149"/>
      <c r="J7699" s="125">
        <v>0</v>
      </c>
    </row>
    <row r="7700" spans="1:10" s="144" customFormat="1" ht="15.75" hidden="1" thickBot="1" x14ac:dyDescent="0.3">
      <c r="A7700" s="242"/>
      <c r="B7700" s="245"/>
      <c r="C7700" s="151"/>
      <c r="D7700" s="151"/>
      <c r="E7700" s="152"/>
      <c r="F7700" s="38" t="s">
        <v>418</v>
      </c>
      <c r="G7700" s="31" t="str">
        <f>IF(ISNUMBER(F7700),E7700*F7700,"")</f>
        <v/>
      </c>
      <c r="H7700" s="32"/>
      <c r="I7700" s="28"/>
      <c r="J7700" s="125">
        <v>0</v>
      </c>
    </row>
    <row r="7701" spans="1:10" s="144" customFormat="1" ht="26.25" hidden="1" thickBot="1" x14ac:dyDescent="0.3">
      <c r="A7701" s="242"/>
      <c r="B7701" s="245"/>
      <c r="C7701" s="155" t="s">
        <v>26164</v>
      </c>
      <c r="D7701" s="155" t="s">
        <v>205</v>
      </c>
      <c r="E7701" s="156">
        <v>1</v>
      </c>
      <c r="F7701" s="28">
        <v>31.616</v>
      </c>
      <c r="G7701" s="31">
        <f>IF(ISNUMBER(F7701),E7701*F7701,"")</f>
        <v>31.616</v>
      </c>
      <c r="H7701" s="35">
        <f>SUM(G7701:G7701)</f>
        <v>31.616</v>
      </c>
      <c r="I7701" s="36"/>
      <c r="J7701" s="125">
        <v>0</v>
      </c>
    </row>
    <row r="7702" spans="1:10" s="144" customFormat="1" ht="15.75" hidden="1" thickBot="1" x14ac:dyDescent="0.3">
      <c r="A7702" s="243"/>
      <c r="B7702" s="246"/>
      <c r="C7702" s="164"/>
      <c r="D7702" s="164"/>
      <c r="E7702" s="165"/>
      <c r="F7702" s="62" t="s">
        <v>418</v>
      </c>
      <c r="G7702" s="63" t="str">
        <f>IF(ISNUMBER(F7702),E7702*F7702,"")</f>
        <v/>
      </c>
      <c r="H7702" s="64"/>
      <c r="I7702" s="28"/>
      <c r="J7702" s="125">
        <v>0</v>
      </c>
    </row>
    <row r="7703" spans="1:10" s="144" customFormat="1" ht="15.75" hidden="1" thickBot="1" x14ac:dyDescent="0.3">
      <c r="A7703" s="241" t="s">
        <v>17175</v>
      </c>
      <c r="B7703" s="244" t="s">
        <v>19472</v>
      </c>
      <c r="C7703" s="160"/>
      <c r="D7703" s="145" t="s">
        <v>16</v>
      </c>
      <c r="E7703" s="146"/>
      <c r="F7703" s="37" t="s">
        <v>418</v>
      </c>
      <c r="G7703" s="147" t="str">
        <f>IF(ISNUMBER(F7703),E7703*F7703,"")</f>
        <v/>
      </c>
      <c r="H7703" s="148"/>
      <c r="I7703" s="149"/>
      <c r="J7703" s="125">
        <v>0</v>
      </c>
    </row>
    <row r="7704" spans="1:10" s="144" customFormat="1" ht="15.75" hidden="1" thickBot="1" x14ac:dyDescent="0.3">
      <c r="A7704" s="242"/>
      <c r="B7704" s="245"/>
      <c r="C7704" s="151"/>
      <c r="D7704" s="151"/>
      <c r="E7704" s="152"/>
      <c r="F7704" s="38" t="s">
        <v>418</v>
      </c>
      <c r="G7704" s="31" t="str">
        <f>IF(ISNUMBER(F7704),E7704*F7704,"")</f>
        <v/>
      </c>
      <c r="H7704" s="32"/>
      <c r="I7704" s="28"/>
      <c r="J7704" s="125">
        <v>0</v>
      </c>
    </row>
    <row r="7705" spans="1:10" s="144" customFormat="1" ht="15.75" hidden="1" thickBot="1" x14ac:dyDescent="0.3">
      <c r="A7705" s="242"/>
      <c r="B7705" s="245"/>
      <c r="C7705" s="155" t="s">
        <v>38869</v>
      </c>
      <c r="D7705" s="155" t="s">
        <v>205</v>
      </c>
      <c r="E7705" s="156">
        <v>1</v>
      </c>
      <c r="F7705" s="28">
        <v>28.889499999999998</v>
      </c>
      <c r="G7705" s="31">
        <f>IF(ISNUMBER(F7705),E7705*F7705,"")</f>
        <v>28.889499999999998</v>
      </c>
      <c r="H7705" s="35">
        <f>SUM(G7705:G7705)</f>
        <v>28.889499999999998</v>
      </c>
      <c r="I7705" s="36"/>
      <c r="J7705" s="125">
        <v>0</v>
      </c>
    </row>
    <row r="7706" spans="1:10" s="144" customFormat="1" ht="15.75" hidden="1" thickBot="1" x14ac:dyDescent="0.3">
      <c r="A7706" s="243"/>
      <c r="B7706" s="246"/>
      <c r="C7706" s="164"/>
      <c r="D7706" s="164"/>
      <c r="E7706" s="165"/>
      <c r="F7706" s="62" t="s">
        <v>418</v>
      </c>
      <c r="G7706" s="63" t="str">
        <f>IF(ISNUMBER(F7706),E7706*F7706,"")</f>
        <v/>
      </c>
      <c r="H7706" s="64"/>
      <c r="I7706" s="28"/>
      <c r="J7706" s="125">
        <v>0</v>
      </c>
    </row>
    <row r="7707" spans="1:10" s="144" customFormat="1" ht="15.75" hidden="1" thickBot="1" x14ac:dyDescent="0.3">
      <c r="A7707" s="241" t="s">
        <v>17176</v>
      </c>
      <c r="B7707" s="244" t="s">
        <v>19473</v>
      </c>
      <c r="C7707" s="160"/>
      <c r="D7707" s="145" t="s">
        <v>16</v>
      </c>
      <c r="E7707" s="146"/>
      <c r="F7707" s="37" t="s">
        <v>418</v>
      </c>
      <c r="G7707" s="147" t="str">
        <f>IF(ISNUMBER(F7707),E7707*F7707,"")</f>
        <v/>
      </c>
      <c r="H7707" s="148"/>
      <c r="I7707" s="149"/>
      <c r="J7707" s="125">
        <v>0</v>
      </c>
    </row>
    <row r="7708" spans="1:10" s="144" customFormat="1" ht="15.75" hidden="1" thickBot="1" x14ac:dyDescent="0.3">
      <c r="A7708" s="242"/>
      <c r="B7708" s="245"/>
      <c r="C7708" s="151"/>
      <c r="D7708" s="151"/>
      <c r="E7708" s="152"/>
      <c r="F7708" s="38" t="s">
        <v>418</v>
      </c>
      <c r="G7708" s="31" t="str">
        <f>IF(ISNUMBER(F7708),E7708*F7708,"")</f>
        <v/>
      </c>
      <c r="H7708" s="32"/>
      <c r="I7708" s="28"/>
      <c r="J7708" s="125">
        <v>0</v>
      </c>
    </row>
    <row r="7709" spans="1:10" s="144" customFormat="1" ht="26.25" hidden="1" thickBot="1" x14ac:dyDescent="0.3">
      <c r="A7709" s="242"/>
      <c r="B7709" s="245"/>
      <c r="C7709" s="155" t="s">
        <v>24002</v>
      </c>
      <c r="D7709" s="155" t="s">
        <v>205</v>
      </c>
      <c r="E7709" s="156">
        <v>1</v>
      </c>
      <c r="F7709" s="28">
        <v>2.3465000000000003</v>
      </c>
      <c r="G7709" s="31">
        <f>IF(ISNUMBER(F7709),E7709*F7709,"")</f>
        <v>2.3465000000000003</v>
      </c>
      <c r="H7709" s="35">
        <f>SUM(G7709:G7709)</f>
        <v>2.3465000000000003</v>
      </c>
      <c r="I7709" s="36"/>
      <c r="J7709" s="125">
        <v>0</v>
      </c>
    </row>
    <row r="7710" spans="1:10" s="144" customFormat="1" ht="15.75" hidden="1" thickBot="1" x14ac:dyDescent="0.3">
      <c r="A7710" s="243"/>
      <c r="B7710" s="246"/>
      <c r="C7710" s="164"/>
      <c r="D7710" s="164"/>
      <c r="E7710" s="165"/>
      <c r="F7710" s="62" t="s">
        <v>418</v>
      </c>
      <c r="G7710" s="63" t="str">
        <f>IF(ISNUMBER(F7710),E7710*F7710,"")</f>
        <v/>
      </c>
      <c r="H7710" s="64"/>
      <c r="I7710" s="28"/>
      <c r="J7710" s="125">
        <v>0</v>
      </c>
    </row>
    <row r="7711" spans="1:10" s="144" customFormat="1" ht="15.75" hidden="1" thickBot="1" x14ac:dyDescent="0.3">
      <c r="A7711" s="241" t="s">
        <v>17177</v>
      </c>
      <c r="B7711" s="244" t="s">
        <v>19474</v>
      </c>
      <c r="C7711" s="160"/>
      <c r="D7711" s="145" t="s">
        <v>16</v>
      </c>
      <c r="E7711" s="146"/>
      <c r="F7711" s="37" t="s">
        <v>418</v>
      </c>
      <c r="G7711" s="147" t="str">
        <f>IF(ISNUMBER(F7711),E7711*F7711,"")</f>
        <v/>
      </c>
      <c r="H7711" s="148"/>
      <c r="I7711" s="149"/>
      <c r="J7711" s="125">
        <v>0</v>
      </c>
    </row>
    <row r="7712" spans="1:10" s="144" customFormat="1" ht="15.75" hidden="1" thickBot="1" x14ac:dyDescent="0.3">
      <c r="A7712" s="242"/>
      <c r="B7712" s="245"/>
      <c r="C7712" s="151"/>
      <c r="D7712" s="151"/>
      <c r="E7712" s="152"/>
      <c r="F7712" s="38" t="s">
        <v>418</v>
      </c>
      <c r="G7712" s="31" t="str">
        <f>IF(ISNUMBER(F7712),E7712*F7712,"")</f>
        <v/>
      </c>
      <c r="H7712" s="32"/>
      <c r="I7712" s="28"/>
      <c r="J7712" s="125">
        <v>0</v>
      </c>
    </row>
    <row r="7713" spans="1:10" s="144" customFormat="1" ht="26.25" hidden="1" thickBot="1" x14ac:dyDescent="0.3">
      <c r="A7713" s="242"/>
      <c r="B7713" s="245"/>
      <c r="C7713" s="155" t="s">
        <v>23447</v>
      </c>
      <c r="D7713" s="155" t="s">
        <v>205</v>
      </c>
      <c r="E7713" s="156">
        <v>1</v>
      </c>
      <c r="F7713" s="28">
        <v>4.1324999999999994</v>
      </c>
      <c r="G7713" s="31">
        <f>IF(ISNUMBER(F7713),E7713*F7713,"")</f>
        <v>4.1324999999999994</v>
      </c>
      <c r="H7713" s="35">
        <f>SUM(G7713:G7713)</f>
        <v>4.1324999999999994</v>
      </c>
      <c r="I7713" s="36"/>
      <c r="J7713" s="125">
        <v>0</v>
      </c>
    </row>
    <row r="7714" spans="1:10" s="144" customFormat="1" ht="15.75" hidden="1" thickBot="1" x14ac:dyDescent="0.3">
      <c r="A7714" s="243"/>
      <c r="B7714" s="246"/>
      <c r="C7714" s="164"/>
      <c r="D7714" s="164"/>
      <c r="E7714" s="165"/>
      <c r="F7714" s="62" t="s">
        <v>418</v>
      </c>
      <c r="G7714" s="63" t="str">
        <f>IF(ISNUMBER(F7714),E7714*F7714,"")</f>
        <v/>
      </c>
      <c r="H7714" s="64"/>
      <c r="I7714" s="28"/>
      <c r="J7714" s="125">
        <v>0</v>
      </c>
    </row>
    <row r="7715" spans="1:10" s="144" customFormat="1" ht="15.75" hidden="1" thickBot="1" x14ac:dyDescent="0.3">
      <c r="A7715" s="241" t="s">
        <v>17178</v>
      </c>
      <c r="B7715" s="244" t="s">
        <v>19475</v>
      </c>
      <c r="C7715" s="160"/>
      <c r="D7715" s="145" t="s">
        <v>16</v>
      </c>
      <c r="E7715" s="146"/>
      <c r="F7715" s="37" t="s">
        <v>418</v>
      </c>
      <c r="G7715" s="147" t="str">
        <f>IF(ISNUMBER(F7715),E7715*F7715,"")</f>
        <v/>
      </c>
      <c r="H7715" s="148"/>
      <c r="I7715" s="149"/>
      <c r="J7715" s="125">
        <v>0</v>
      </c>
    </row>
    <row r="7716" spans="1:10" s="144" customFormat="1" ht="15.75" hidden="1" thickBot="1" x14ac:dyDescent="0.3">
      <c r="A7716" s="242"/>
      <c r="B7716" s="245"/>
      <c r="C7716" s="151"/>
      <c r="D7716" s="151"/>
      <c r="E7716" s="152"/>
      <c r="F7716" s="38" t="s">
        <v>418</v>
      </c>
      <c r="G7716" s="31" t="str">
        <f>IF(ISNUMBER(F7716),E7716*F7716,"")</f>
        <v/>
      </c>
      <c r="H7716" s="32"/>
      <c r="I7716" s="28"/>
      <c r="J7716" s="125">
        <v>0</v>
      </c>
    </row>
    <row r="7717" spans="1:10" s="144" customFormat="1" ht="26.25" hidden="1" thickBot="1" x14ac:dyDescent="0.3">
      <c r="A7717" s="242"/>
      <c r="B7717" s="245"/>
      <c r="C7717" s="155" t="s">
        <v>23456</v>
      </c>
      <c r="D7717" s="155" t="s">
        <v>205</v>
      </c>
      <c r="E7717" s="156">
        <v>1</v>
      </c>
      <c r="F7717" s="28">
        <v>30.97</v>
      </c>
      <c r="G7717" s="31">
        <f>IF(ISNUMBER(F7717),E7717*F7717,"")</f>
        <v>30.97</v>
      </c>
      <c r="H7717" s="35">
        <f>SUM(G7717:G7717)</f>
        <v>30.97</v>
      </c>
      <c r="I7717" s="36"/>
      <c r="J7717" s="125">
        <v>0</v>
      </c>
    </row>
    <row r="7718" spans="1:10" s="144" customFormat="1" ht="15.75" hidden="1" thickBot="1" x14ac:dyDescent="0.3">
      <c r="A7718" s="243"/>
      <c r="B7718" s="246"/>
      <c r="C7718" s="164"/>
      <c r="D7718" s="164"/>
      <c r="E7718" s="165"/>
      <c r="F7718" s="62" t="s">
        <v>418</v>
      </c>
      <c r="G7718" s="63" t="str">
        <f>IF(ISNUMBER(F7718),E7718*F7718,"")</f>
        <v/>
      </c>
      <c r="H7718" s="64"/>
      <c r="I7718" s="28"/>
      <c r="J7718" s="125">
        <v>0</v>
      </c>
    </row>
    <row r="7719" spans="1:10" s="144" customFormat="1" ht="15.75" hidden="1" thickBot="1" x14ac:dyDescent="0.3">
      <c r="A7719" s="241" t="s">
        <v>17179</v>
      </c>
      <c r="B7719" s="244" t="s">
        <v>19476</v>
      </c>
      <c r="C7719" s="160"/>
      <c r="D7719" s="145" t="s">
        <v>16</v>
      </c>
      <c r="E7719" s="146"/>
      <c r="F7719" s="37" t="s">
        <v>418</v>
      </c>
      <c r="G7719" s="147" t="str">
        <f>IF(ISNUMBER(F7719),E7719*F7719,"")</f>
        <v/>
      </c>
      <c r="H7719" s="148"/>
      <c r="I7719" s="149"/>
      <c r="J7719" s="125">
        <v>0</v>
      </c>
    </row>
    <row r="7720" spans="1:10" s="144" customFormat="1" ht="15.75" hidden="1" thickBot="1" x14ac:dyDescent="0.3">
      <c r="A7720" s="242"/>
      <c r="B7720" s="245"/>
      <c r="C7720" s="151"/>
      <c r="D7720" s="151"/>
      <c r="E7720" s="152"/>
      <c r="F7720" s="38" t="s">
        <v>418</v>
      </c>
      <c r="G7720" s="31" t="str">
        <f>IF(ISNUMBER(F7720),E7720*F7720,"")</f>
        <v/>
      </c>
      <c r="H7720" s="32"/>
      <c r="I7720" s="28"/>
      <c r="J7720" s="125">
        <v>0</v>
      </c>
    </row>
    <row r="7721" spans="1:10" s="144" customFormat="1" ht="26.25" hidden="1" thickBot="1" x14ac:dyDescent="0.3">
      <c r="A7721" s="242"/>
      <c r="B7721" s="245"/>
      <c r="C7721" s="155" t="s">
        <v>25856</v>
      </c>
      <c r="D7721" s="155" t="s">
        <v>205</v>
      </c>
      <c r="E7721" s="156">
        <v>1</v>
      </c>
      <c r="F7721" s="28">
        <v>5.5765000000000002</v>
      </c>
      <c r="G7721" s="31">
        <f>IF(ISNUMBER(F7721),E7721*F7721,"")</f>
        <v>5.5765000000000002</v>
      </c>
      <c r="H7721" s="35">
        <f>SUM(G7721:G7721)</f>
        <v>5.5765000000000002</v>
      </c>
      <c r="I7721" s="36"/>
      <c r="J7721" s="125">
        <v>0</v>
      </c>
    </row>
    <row r="7722" spans="1:10" s="144" customFormat="1" ht="15.75" hidden="1" thickBot="1" x14ac:dyDescent="0.3">
      <c r="A7722" s="243"/>
      <c r="B7722" s="246"/>
      <c r="C7722" s="164"/>
      <c r="D7722" s="164"/>
      <c r="E7722" s="165"/>
      <c r="F7722" s="62" t="s">
        <v>418</v>
      </c>
      <c r="G7722" s="63" t="str">
        <f>IF(ISNUMBER(F7722),E7722*F7722,"")</f>
        <v/>
      </c>
      <c r="H7722" s="64"/>
      <c r="I7722" s="28"/>
      <c r="J7722" s="125">
        <v>0</v>
      </c>
    </row>
    <row r="7723" spans="1:10" s="144" customFormat="1" ht="15.75" hidden="1" thickBot="1" x14ac:dyDescent="0.3">
      <c r="A7723" s="241" t="s">
        <v>17180</v>
      </c>
      <c r="B7723" s="244" t="s">
        <v>19477</v>
      </c>
      <c r="C7723" s="160"/>
      <c r="D7723" s="145" t="s">
        <v>16</v>
      </c>
      <c r="E7723" s="146"/>
      <c r="F7723" s="37" t="s">
        <v>418</v>
      </c>
      <c r="G7723" s="147" t="str">
        <f>IF(ISNUMBER(F7723),E7723*F7723,"")</f>
        <v/>
      </c>
      <c r="H7723" s="148"/>
      <c r="I7723" s="149"/>
      <c r="J7723" s="125">
        <v>0</v>
      </c>
    </row>
    <row r="7724" spans="1:10" s="144" customFormat="1" ht="15.75" hidden="1" thickBot="1" x14ac:dyDescent="0.3">
      <c r="A7724" s="242"/>
      <c r="B7724" s="245"/>
      <c r="C7724" s="151"/>
      <c r="D7724" s="151"/>
      <c r="E7724" s="152"/>
      <c r="F7724" s="38" t="s">
        <v>418</v>
      </c>
      <c r="G7724" s="31" t="str">
        <f>IF(ISNUMBER(F7724),E7724*F7724,"")</f>
        <v/>
      </c>
      <c r="H7724" s="32"/>
      <c r="I7724" s="28"/>
      <c r="J7724" s="125">
        <v>0</v>
      </c>
    </row>
    <row r="7725" spans="1:10" s="144" customFormat="1" ht="15.75" hidden="1" thickBot="1" x14ac:dyDescent="0.3">
      <c r="A7725" s="242"/>
      <c r="B7725" s="245"/>
      <c r="C7725" s="155" t="s">
        <v>24397</v>
      </c>
      <c r="D7725" s="155" t="s">
        <v>205</v>
      </c>
      <c r="E7725" s="156">
        <v>1</v>
      </c>
      <c r="F7725" s="28">
        <v>7.9229999999999992</v>
      </c>
      <c r="G7725" s="31">
        <f>IF(ISNUMBER(F7725),E7725*F7725,"")</f>
        <v>7.9229999999999992</v>
      </c>
      <c r="H7725" s="35">
        <f>SUM(G7725:G7725)</f>
        <v>7.9229999999999992</v>
      </c>
      <c r="I7725" s="36"/>
      <c r="J7725" s="125">
        <v>0</v>
      </c>
    </row>
    <row r="7726" spans="1:10" s="144" customFormat="1" ht="15.75" hidden="1" thickBot="1" x14ac:dyDescent="0.3">
      <c r="A7726" s="243"/>
      <c r="B7726" s="246"/>
      <c r="C7726" s="164"/>
      <c r="D7726" s="164"/>
      <c r="E7726" s="165"/>
      <c r="F7726" s="62" t="s">
        <v>418</v>
      </c>
      <c r="G7726" s="63" t="str">
        <f>IF(ISNUMBER(F7726),E7726*F7726,"")</f>
        <v/>
      </c>
      <c r="H7726" s="64"/>
      <c r="I7726" s="28"/>
      <c r="J7726" s="125">
        <v>0</v>
      </c>
    </row>
    <row r="7727" spans="1:10" s="144" customFormat="1" ht="15.75" hidden="1" thickBot="1" x14ac:dyDescent="0.3">
      <c r="A7727" s="241" t="s">
        <v>17181</v>
      </c>
      <c r="B7727" s="244" t="s">
        <v>19478</v>
      </c>
      <c r="C7727" s="160"/>
      <c r="D7727" s="145" t="s">
        <v>16</v>
      </c>
      <c r="E7727" s="146"/>
      <c r="F7727" s="37" t="s">
        <v>418</v>
      </c>
      <c r="G7727" s="147" t="str">
        <f>IF(ISNUMBER(F7727),E7727*F7727,"")</f>
        <v/>
      </c>
      <c r="H7727" s="148"/>
      <c r="I7727" s="149"/>
      <c r="J7727" s="125">
        <v>0</v>
      </c>
    </row>
    <row r="7728" spans="1:10" s="144" customFormat="1" ht="15.75" hidden="1" thickBot="1" x14ac:dyDescent="0.3">
      <c r="A7728" s="242"/>
      <c r="B7728" s="245"/>
      <c r="C7728" s="151"/>
      <c r="D7728" s="151"/>
      <c r="E7728" s="152"/>
      <c r="F7728" s="38" t="s">
        <v>418</v>
      </c>
      <c r="G7728" s="31" t="str">
        <f>IF(ISNUMBER(F7728),E7728*F7728,"")</f>
        <v/>
      </c>
      <c r="H7728" s="32"/>
      <c r="I7728" s="28"/>
      <c r="J7728" s="125">
        <v>0</v>
      </c>
    </row>
    <row r="7729" spans="1:10" s="144" customFormat="1" ht="26.25" hidden="1" thickBot="1" x14ac:dyDescent="0.3">
      <c r="A7729" s="242"/>
      <c r="B7729" s="245"/>
      <c r="C7729" s="155" t="s">
        <v>24920</v>
      </c>
      <c r="D7729" s="155" t="s">
        <v>205</v>
      </c>
      <c r="E7729" s="156">
        <v>1</v>
      </c>
      <c r="F7729" s="28">
        <v>14.563499999999999</v>
      </c>
      <c r="G7729" s="31">
        <f>IF(ISNUMBER(F7729),E7729*F7729,"")</f>
        <v>14.563499999999999</v>
      </c>
      <c r="H7729" s="35">
        <f>SUM(G7729:G7729)</f>
        <v>14.563499999999999</v>
      </c>
      <c r="I7729" s="36"/>
      <c r="J7729" s="125">
        <v>0</v>
      </c>
    </row>
    <row r="7730" spans="1:10" s="144" customFormat="1" ht="15.75" hidden="1" thickBot="1" x14ac:dyDescent="0.3">
      <c r="A7730" s="243"/>
      <c r="B7730" s="246"/>
      <c r="C7730" s="164"/>
      <c r="D7730" s="164"/>
      <c r="E7730" s="165"/>
      <c r="F7730" s="62" t="s">
        <v>418</v>
      </c>
      <c r="G7730" s="63" t="str">
        <f>IF(ISNUMBER(F7730),E7730*F7730,"")</f>
        <v/>
      </c>
      <c r="H7730" s="64"/>
      <c r="I7730" s="28"/>
      <c r="J7730" s="125">
        <v>0</v>
      </c>
    </row>
    <row r="7731" spans="1:10" s="144" customFormat="1" ht="15.75" hidden="1" thickBot="1" x14ac:dyDescent="0.3">
      <c r="A7731" s="241" t="s">
        <v>17182</v>
      </c>
      <c r="B7731" s="244" t="s">
        <v>19479</v>
      </c>
      <c r="C7731" s="160"/>
      <c r="D7731" s="145" t="s">
        <v>16</v>
      </c>
      <c r="E7731" s="146"/>
      <c r="F7731" s="37" t="s">
        <v>418</v>
      </c>
      <c r="G7731" s="147" t="str">
        <f>IF(ISNUMBER(F7731),E7731*F7731,"")</f>
        <v/>
      </c>
      <c r="H7731" s="148"/>
      <c r="I7731" s="149"/>
      <c r="J7731" s="125">
        <v>0</v>
      </c>
    </row>
    <row r="7732" spans="1:10" s="144" customFormat="1" ht="15.75" hidden="1" thickBot="1" x14ac:dyDescent="0.3">
      <c r="A7732" s="242"/>
      <c r="B7732" s="245"/>
      <c r="C7732" s="151"/>
      <c r="D7732" s="151"/>
      <c r="E7732" s="152"/>
      <c r="F7732" s="38" t="s">
        <v>418</v>
      </c>
      <c r="G7732" s="31" t="str">
        <f>IF(ISNUMBER(F7732),E7732*F7732,"")</f>
        <v/>
      </c>
      <c r="H7732" s="32"/>
      <c r="I7732" s="28"/>
      <c r="J7732" s="125">
        <v>0</v>
      </c>
    </row>
    <row r="7733" spans="1:10" s="144" customFormat="1" ht="26.25" hidden="1" thickBot="1" x14ac:dyDescent="0.3">
      <c r="A7733" s="242"/>
      <c r="B7733" s="245"/>
      <c r="C7733" s="155" t="s">
        <v>25898</v>
      </c>
      <c r="D7733" s="155" t="s">
        <v>205</v>
      </c>
      <c r="E7733" s="156">
        <v>1</v>
      </c>
      <c r="F7733" s="28">
        <v>8.36</v>
      </c>
      <c r="G7733" s="31">
        <f>IF(ISNUMBER(F7733),E7733*F7733,"")</f>
        <v>8.36</v>
      </c>
      <c r="H7733" s="35">
        <f>SUM(G7733:G7733)</f>
        <v>8.36</v>
      </c>
      <c r="I7733" s="36"/>
      <c r="J7733" s="125">
        <v>0</v>
      </c>
    </row>
    <row r="7734" spans="1:10" s="144" customFormat="1" ht="15.75" hidden="1" thickBot="1" x14ac:dyDescent="0.3">
      <c r="A7734" s="243"/>
      <c r="B7734" s="246"/>
      <c r="C7734" s="164"/>
      <c r="D7734" s="164"/>
      <c r="E7734" s="165"/>
      <c r="F7734" s="62" t="s">
        <v>418</v>
      </c>
      <c r="G7734" s="63" t="str">
        <f>IF(ISNUMBER(F7734),E7734*F7734,"")</f>
        <v/>
      </c>
      <c r="H7734" s="64"/>
      <c r="I7734" s="28"/>
      <c r="J7734" s="125">
        <v>0</v>
      </c>
    </row>
    <row r="7735" spans="1:10" s="144" customFormat="1" ht="15.75" hidden="1" thickBot="1" x14ac:dyDescent="0.3">
      <c r="A7735" s="241" t="s">
        <v>17183</v>
      </c>
      <c r="B7735" s="244" t="s">
        <v>19480</v>
      </c>
      <c r="C7735" s="160"/>
      <c r="D7735" s="145" t="s">
        <v>16</v>
      </c>
      <c r="E7735" s="146"/>
      <c r="F7735" s="37" t="s">
        <v>418</v>
      </c>
      <c r="G7735" s="147" t="str">
        <f>IF(ISNUMBER(F7735),E7735*F7735,"")</f>
        <v/>
      </c>
      <c r="H7735" s="148"/>
      <c r="I7735" s="149"/>
      <c r="J7735" s="125">
        <v>0</v>
      </c>
    </row>
    <row r="7736" spans="1:10" s="144" customFormat="1" ht="15.75" hidden="1" thickBot="1" x14ac:dyDescent="0.3">
      <c r="A7736" s="242"/>
      <c r="B7736" s="245"/>
      <c r="C7736" s="151"/>
      <c r="D7736" s="151"/>
      <c r="E7736" s="152"/>
      <c r="F7736" s="38" t="s">
        <v>418</v>
      </c>
      <c r="G7736" s="31" t="str">
        <f>IF(ISNUMBER(F7736),E7736*F7736,"")</f>
        <v/>
      </c>
      <c r="H7736" s="32"/>
      <c r="I7736" s="28"/>
      <c r="J7736" s="125">
        <v>0</v>
      </c>
    </row>
    <row r="7737" spans="1:10" s="144" customFormat="1" ht="26.25" hidden="1" thickBot="1" x14ac:dyDescent="0.3">
      <c r="A7737" s="242"/>
      <c r="B7737" s="245"/>
      <c r="C7737" s="155" t="s">
        <v>27649</v>
      </c>
      <c r="D7737" s="155" t="s">
        <v>205</v>
      </c>
      <c r="E7737" s="156">
        <v>1</v>
      </c>
      <c r="F7737" s="28">
        <v>10.763499999999999</v>
      </c>
      <c r="G7737" s="31">
        <f>IF(ISNUMBER(F7737),E7737*F7737,"")</f>
        <v>10.763499999999999</v>
      </c>
      <c r="H7737" s="35">
        <f>SUM(G7737:G7737)</f>
        <v>10.763499999999999</v>
      </c>
      <c r="I7737" s="36"/>
      <c r="J7737" s="125">
        <v>0</v>
      </c>
    </row>
    <row r="7738" spans="1:10" s="144" customFormat="1" ht="15.75" hidden="1" thickBot="1" x14ac:dyDescent="0.3">
      <c r="A7738" s="243"/>
      <c r="B7738" s="246"/>
      <c r="C7738" s="164"/>
      <c r="D7738" s="164"/>
      <c r="E7738" s="165"/>
      <c r="F7738" s="62" t="s">
        <v>418</v>
      </c>
      <c r="G7738" s="63" t="str">
        <f>IF(ISNUMBER(F7738),E7738*F7738,"")</f>
        <v/>
      </c>
      <c r="H7738" s="64"/>
      <c r="I7738" s="28"/>
      <c r="J7738" s="125">
        <v>0</v>
      </c>
    </row>
    <row r="7739" spans="1:10" s="144" customFormat="1" ht="15.75" hidden="1" thickBot="1" x14ac:dyDescent="0.3">
      <c r="A7739" s="241" t="s">
        <v>17184</v>
      </c>
      <c r="B7739" s="244" t="s">
        <v>19481</v>
      </c>
      <c r="C7739" s="160"/>
      <c r="D7739" s="145" t="s">
        <v>16</v>
      </c>
      <c r="E7739" s="146"/>
      <c r="F7739" s="37" t="s">
        <v>418</v>
      </c>
      <c r="G7739" s="147" t="str">
        <f>IF(ISNUMBER(F7739),E7739*F7739,"")</f>
        <v/>
      </c>
      <c r="H7739" s="148"/>
      <c r="I7739" s="149"/>
      <c r="J7739" s="125">
        <v>0</v>
      </c>
    </row>
    <row r="7740" spans="1:10" s="144" customFormat="1" ht="15.75" hidden="1" thickBot="1" x14ac:dyDescent="0.3">
      <c r="A7740" s="242"/>
      <c r="B7740" s="245"/>
      <c r="C7740" s="151"/>
      <c r="D7740" s="151"/>
      <c r="E7740" s="152"/>
      <c r="F7740" s="38" t="s">
        <v>418</v>
      </c>
      <c r="G7740" s="31" t="str">
        <f>IF(ISNUMBER(F7740),E7740*F7740,"")</f>
        <v/>
      </c>
      <c r="H7740" s="32"/>
      <c r="I7740" s="28"/>
      <c r="J7740" s="125">
        <v>0</v>
      </c>
    </row>
    <row r="7741" spans="1:10" s="144" customFormat="1" ht="15.75" hidden="1" thickBot="1" x14ac:dyDescent="0.3">
      <c r="A7741" s="242"/>
      <c r="B7741" s="245"/>
      <c r="C7741" s="155" t="s">
        <v>26286</v>
      </c>
      <c r="D7741" s="155" t="s">
        <v>205</v>
      </c>
      <c r="E7741" s="156">
        <v>1</v>
      </c>
      <c r="F7741" s="28">
        <v>4.8734999999999999</v>
      </c>
      <c r="G7741" s="31">
        <f>IF(ISNUMBER(F7741),E7741*F7741,"")</f>
        <v>4.8734999999999999</v>
      </c>
      <c r="H7741" s="35">
        <f>SUM(G7741:G7741)</f>
        <v>4.8734999999999999</v>
      </c>
      <c r="I7741" s="36"/>
      <c r="J7741" s="125">
        <v>0</v>
      </c>
    </row>
    <row r="7742" spans="1:10" s="144" customFormat="1" ht="15.75" hidden="1" thickBot="1" x14ac:dyDescent="0.3">
      <c r="A7742" s="243"/>
      <c r="B7742" s="246"/>
      <c r="C7742" s="164"/>
      <c r="D7742" s="164"/>
      <c r="E7742" s="165"/>
      <c r="F7742" s="62" t="s">
        <v>418</v>
      </c>
      <c r="G7742" s="63" t="str">
        <f>IF(ISNUMBER(F7742),E7742*F7742,"")</f>
        <v/>
      </c>
      <c r="H7742" s="64"/>
      <c r="I7742" s="28"/>
      <c r="J7742" s="125">
        <v>0</v>
      </c>
    </row>
    <row r="7743" spans="1:10" s="144" customFormat="1" ht="15.75" hidden="1" thickBot="1" x14ac:dyDescent="0.3">
      <c r="A7743" s="241" t="s">
        <v>17185</v>
      </c>
      <c r="B7743" s="244" t="s">
        <v>19482</v>
      </c>
      <c r="C7743" s="160"/>
      <c r="D7743" s="145" t="s">
        <v>16</v>
      </c>
      <c r="E7743" s="146"/>
      <c r="F7743" s="37" t="s">
        <v>418</v>
      </c>
      <c r="G7743" s="147" t="str">
        <f>IF(ISNUMBER(F7743),E7743*F7743,"")</f>
        <v/>
      </c>
      <c r="H7743" s="148"/>
      <c r="I7743" s="149"/>
      <c r="J7743" s="125">
        <v>0</v>
      </c>
    </row>
    <row r="7744" spans="1:10" s="144" customFormat="1" ht="15.75" hidden="1" thickBot="1" x14ac:dyDescent="0.3">
      <c r="A7744" s="242"/>
      <c r="B7744" s="245"/>
      <c r="C7744" s="151"/>
      <c r="D7744" s="151"/>
      <c r="E7744" s="152"/>
      <c r="F7744" s="38" t="s">
        <v>418</v>
      </c>
      <c r="G7744" s="31" t="str">
        <f>IF(ISNUMBER(F7744),E7744*F7744,"")</f>
        <v/>
      </c>
      <c r="H7744" s="32"/>
      <c r="I7744" s="28"/>
      <c r="J7744" s="125">
        <v>0</v>
      </c>
    </row>
    <row r="7745" spans="1:10" s="144" customFormat="1" ht="26.25" hidden="1" thickBot="1" x14ac:dyDescent="0.3">
      <c r="A7745" s="242"/>
      <c r="B7745" s="245"/>
      <c r="C7745" s="155" t="s">
        <v>26165</v>
      </c>
      <c r="D7745" s="155" t="s">
        <v>205</v>
      </c>
      <c r="E7745" s="156">
        <v>1</v>
      </c>
      <c r="F7745" s="28">
        <v>31.882000000000001</v>
      </c>
      <c r="G7745" s="31">
        <f>IF(ISNUMBER(F7745),E7745*F7745,"")</f>
        <v>31.882000000000001</v>
      </c>
      <c r="H7745" s="35">
        <f>SUM(G7745:G7745)</f>
        <v>31.882000000000001</v>
      </c>
      <c r="I7745" s="36"/>
      <c r="J7745" s="125">
        <v>0</v>
      </c>
    </row>
    <row r="7746" spans="1:10" s="144" customFormat="1" ht="15.75" hidden="1" thickBot="1" x14ac:dyDescent="0.3">
      <c r="A7746" s="243"/>
      <c r="B7746" s="246"/>
      <c r="C7746" s="164"/>
      <c r="D7746" s="164"/>
      <c r="E7746" s="165"/>
      <c r="F7746" s="62" t="s">
        <v>418</v>
      </c>
      <c r="G7746" s="63" t="str">
        <f>IF(ISNUMBER(F7746),E7746*F7746,"")</f>
        <v/>
      </c>
      <c r="H7746" s="64"/>
      <c r="I7746" s="28"/>
      <c r="J7746" s="125">
        <v>0</v>
      </c>
    </row>
    <row r="7747" spans="1:10" s="144" customFormat="1" ht="15.75" hidden="1" thickBot="1" x14ac:dyDescent="0.3">
      <c r="A7747" s="241" t="s">
        <v>17186</v>
      </c>
      <c r="B7747" s="244" t="s">
        <v>19483</v>
      </c>
      <c r="C7747" s="160"/>
      <c r="D7747" s="145" t="s">
        <v>16</v>
      </c>
      <c r="E7747" s="146"/>
      <c r="F7747" s="37" t="s">
        <v>418</v>
      </c>
      <c r="G7747" s="147" t="str">
        <f>IF(ISNUMBER(F7747),E7747*F7747,"")</f>
        <v/>
      </c>
      <c r="H7747" s="148"/>
      <c r="I7747" s="149"/>
      <c r="J7747" s="125">
        <v>0</v>
      </c>
    </row>
    <row r="7748" spans="1:10" s="144" customFormat="1" ht="15.75" hidden="1" thickBot="1" x14ac:dyDescent="0.3">
      <c r="A7748" s="242"/>
      <c r="B7748" s="245"/>
      <c r="C7748" s="151"/>
      <c r="D7748" s="151"/>
      <c r="E7748" s="152"/>
      <c r="F7748" s="38" t="s">
        <v>418</v>
      </c>
      <c r="G7748" s="31" t="str">
        <f>IF(ISNUMBER(F7748),E7748*F7748,"")</f>
        <v/>
      </c>
      <c r="H7748" s="32"/>
      <c r="I7748" s="28"/>
      <c r="J7748" s="125">
        <v>0</v>
      </c>
    </row>
    <row r="7749" spans="1:10" s="144" customFormat="1" ht="15.75" hidden="1" thickBot="1" x14ac:dyDescent="0.3">
      <c r="A7749" s="242"/>
      <c r="B7749" s="245"/>
      <c r="C7749" s="155" t="s">
        <v>38870</v>
      </c>
      <c r="D7749" s="155" t="s">
        <v>205</v>
      </c>
      <c r="E7749" s="156">
        <v>1</v>
      </c>
      <c r="F7749" s="28">
        <v>30.846499999999999</v>
      </c>
      <c r="G7749" s="31">
        <f>IF(ISNUMBER(F7749),E7749*F7749,"")</f>
        <v>30.846499999999999</v>
      </c>
      <c r="H7749" s="35">
        <f>SUM(G7749:G7749)</f>
        <v>30.846499999999999</v>
      </c>
      <c r="I7749" s="36"/>
      <c r="J7749" s="125">
        <v>0</v>
      </c>
    </row>
    <row r="7750" spans="1:10" s="144" customFormat="1" ht="15.75" hidden="1" thickBot="1" x14ac:dyDescent="0.3">
      <c r="A7750" s="243"/>
      <c r="B7750" s="246"/>
      <c r="C7750" s="164"/>
      <c r="D7750" s="164"/>
      <c r="E7750" s="165"/>
      <c r="F7750" s="62" t="s">
        <v>418</v>
      </c>
      <c r="G7750" s="63" t="str">
        <f>IF(ISNUMBER(F7750),E7750*F7750,"")</f>
        <v/>
      </c>
      <c r="H7750" s="64"/>
      <c r="I7750" s="28"/>
      <c r="J7750" s="125">
        <v>0</v>
      </c>
    </row>
    <row r="7751" spans="1:10" s="144" customFormat="1" ht="15.75" hidden="1" thickBot="1" x14ac:dyDescent="0.3">
      <c r="A7751" s="241" t="s">
        <v>17187</v>
      </c>
      <c r="B7751" s="244" t="s">
        <v>19484</v>
      </c>
      <c r="C7751" s="160"/>
      <c r="D7751" s="145" t="s">
        <v>16</v>
      </c>
      <c r="E7751" s="146"/>
      <c r="F7751" s="37" t="s">
        <v>418</v>
      </c>
      <c r="G7751" s="147" t="str">
        <f>IF(ISNUMBER(F7751),E7751*F7751,"")</f>
        <v/>
      </c>
      <c r="H7751" s="148"/>
      <c r="I7751" s="149"/>
      <c r="J7751" s="125">
        <v>0</v>
      </c>
    </row>
    <row r="7752" spans="1:10" s="144" customFormat="1" ht="15.75" hidden="1" thickBot="1" x14ac:dyDescent="0.3">
      <c r="A7752" s="242"/>
      <c r="B7752" s="245"/>
      <c r="C7752" s="151"/>
      <c r="D7752" s="151"/>
      <c r="E7752" s="152"/>
      <c r="F7752" s="38" t="s">
        <v>418</v>
      </c>
      <c r="G7752" s="31" t="str">
        <f>IF(ISNUMBER(F7752),E7752*F7752,"")</f>
        <v/>
      </c>
      <c r="H7752" s="32"/>
      <c r="I7752" s="28"/>
      <c r="J7752" s="125">
        <v>0</v>
      </c>
    </row>
    <row r="7753" spans="1:10" s="144" customFormat="1" ht="26.25" hidden="1" thickBot="1" x14ac:dyDescent="0.3">
      <c r="A7753" s="242"/>
      <c r="B7753" s="245"/>
      <c r="C7753" s="155" t="s">
        <v>24003</v>
      </c>
      <c r="D7753" s="155" t="s">
        <v>205</v>
      </c>
      <c r="E7753" s="156">
        <v>1</v>
      </c>
      <c r="F7753" s="28">
        <v>4.0754999999999999</v>
      </c>
      <c r="G7753" s="31">
        <f>IF(ISNUMBER(F7753),E7753*F7753,"")</f>
        <v>4.0754999999999999</v>
      </c>
      <c r="H7753" s="35">
        <f>SUM(G7753:G7753)</f>
        <v>4.0754999999999999</v>
      </c>
      <c r="I7753" s="36"/>
      <c r="J7753" s="125">
        <v>0</v>
      </c>
    </row>
    <row r="7754" spans="1:10" s="144" customFormat="1" ht="15.75" hidden="1" thickBot="1" x14ac:dyDescent="0.3">
      <c r="A7754" s="243"/>
      <c r="B7754" s="246"/>
      <c r="C7754" s="164"/>
      <c r="D7754" s="164"/>
      <c r="E7754" s="165"/>
      <c r="F7754" s="62" t="s">
        <v>418</v>
      </c>
      <c r="G7754" s="63" t="str">
        <f>IF(ISNUMBER(F7754),E7754*F7754,"")</f>
        <v/>
      </c>
      <c r="H7754" s="64"/>
      <c r="I7754" s="28"/>
      <c r="J7754" s="125">
        <v>0</v>
      </c>
    </row>
    <row r="7755" spans="1:10" s="144" customFormat="1" ht="15.75" hidden="1" thickBot="1" x14ac:dyDescent="0.3">
      <c r="A7755" s="241" t="s">
        <v>17188</v>
      </c>
      <c r="B7755" s="244" t="s">
        <v>19485</v>
      </c>
      <c r="C7755" s="160"/>
      <c r="D7755" s="145" t="s">
        <v>16</v>
      </c>
      <c r="E7755" s="146"/>
      <c r="F7755" s="37" t="s">
        <v>418</v>
      </c>
      <c r="G7755" s="147" t="str">
        <f>IF(ISNUMBER(F7755),E7755*F7755,"")</f>
        <v/>
      </c>
      <c r="H7755" s="148"/>
      <c r="I7755" s="149"/>
      <c r="J7755" s="125">
        <v>0</v>
      </c>
    </row>
    <row r="7756" spans="1:10" s="144" customFormat="1" ht="15.75" hidden="1" thickBot="1" x14ac:dyDescent="0.3">
      <c r="A7756" s="242"/>
      <c r="B7756" s="245"/>
      <c r="C7756" s="151"/>
      <c r="D7756" s="151"/>
      <c r="E7756" s="152"/>
      <c r="F7756" s="38" t="s">
        <v>418</v>
      </c>
      <c r="G7756" s="31" t="str">
        <f>IF(ISNUMBER(F7756),E7756*F7756,"")</f>
        <v/>
      </c>
      <c r="H7756" s="32"/>
      <c r="I7756" s="28"/>
      <c r="J7756" s="125">
        <v>0</v>
      </c>
    </row>
    <row r="7757" spans="1:10" s="144" customFormat="1" ht="26.25" hidden="1" thickBot="1" x14ac:dyDescent="0.3">
      <c r="A7757" s="242"/>
      <c r="B7757" s="245"/>
      <c r="C7757" s="155" t="s">
        <v>23449</v>
      </c>
      <c r="D7757" s="155" t="s">
        <v>205</v>
      </c>
      <c r="E7757" s="156">
        <v>1</v>
      </c>
      <c r="F7757" s="28">
        <v>4.9779999999999998</v>
      </c>
      <c r="G7757" s="31">
        <f>IF(ISNUMBER(F7757),E7757*F7757,"")</f>
        <v>4.9779999999999998</v>
      </c>
      <c r="H7757" s="35">
        <f>SUM(G7757:G7757)</f>
        <v>4.9779999999999998</v>
      </c>
      <c r="I7757" s="36"/>
      <c r="J7757" s="125">
        <v>0</v>
      </c>
    </row>
    <row r="7758" spans="1:10" s="144" customFormat="1" ht="15.75" hidden="1" thickBot="1" x14ac:dyDescent="0.3">
      <c r="A7758" s="243"/>
      <c r="B7758" s="246"/>
      <c r="C7758" s="164"/>
      <c r="D7758" s="164"/>
      <c r="E7758" s="165"/>
      <c r="F7758" s="62" t="s">
        <v>418</v>
      </c>
      <c r="G7758" s="63" t="str">
        <f>IF(ISNUMBER(F7758),E7758*F7758,"")</f>
        <v/>
      </c>
      <c r="H7758" s="64"/>
      <c r="I7758" s="28"/>
      <c r="J7758" s="125">
        <v>0</v>
      </c>
    </row>
    <row r="7759" spans="1:10" s="144" customFormat="1" ht="15.75" hidden="1" thickBot="1" x14ac:dyDescent="0.3">
      <c r="A7759" s="241" t="s">
        <v>17189</v>
      </c>
      <c r="B7759" s="244" t="s">
        <v>19486</v>
      </c>
      <c r="C7759" s="160"/>
      <c r="D7759" s="145" t="s">
        <v>16</v>
      </c>
      <c r="E7759" s="146"/>
      <c r="F7759" s="37" t="s">
        <v>418</v>
      </c>
      <c r="G7759" s="147" t="str">
        <f>IF(ISNUMBER(F7759),E7759*F7759,"")</f>
        <v/>
      </c>
      <c r="H7759" s="148"/>
      <c r="I7759" s="149"/>
      <c r="J7759" s="125">
        <v>0</v>
      </c>
    </row>
    <row r="7760" spans="1:10" s="144" customFormat="1" ht="15.75" hidden="1" thickBot="1" x14ac:dyDescent="0.3">
      <c r="A7760" s="242"/>
      <c r="B7760" s="245"/>
      <c r="C7760" s="151"/>
      <c r="D7760" s="151"/>
      <c r="E7760" s="152"/>
      <c r="F7760" s="38" t="s">
        <v>418</v>
      </c>
      <c r="G7760" s="31" t="str">
        <f>IF(ISNUMBER(F7760),E7760*F7760,"")</f>
        <v/>
      </c>
      <c r="H7760" s="32"/>
      <c r="I7760" s="28"/>
      <c r="J7760" s="125">
        <v>0</v>
      </c>
    </row>
    <row r="7761" spans="1:10" s="144" customFormat="1" ht="26.25" hidden="1" thickBot="1" x14ac:dyDescent="0.3">
      <c r="A7761" s="242"/>
      <c r="B7761" s="245"/>
      <c r="C7761" s="155" t="s">
        <v>23457</v>
      </c>
      <c r="D7761" s="155" t="s">
        <v>205</v>
      </c>
      <c r="E7761" s="156">
        <v>1</v>
      </c>
      <c r="F7761" s="28">
        <v>29.269499999999997</v>
      </c>
      <c r="G7761" s="31">
        <f>IF(ISNUMBER(F7761),E7761*F7761,"")</f>
        <v>29.269499999999997</v>
      </c>
      <c r="H7761" s="35">
        <f>SUM(G7761:G7761)</f>
        <v>29.269499999999997</v>
      </c>
      <c r="I7761" s="36"/>
      <c r="J7761" s="125">
        <v>0</v>
      </c>
    </row>
    <row r="7762" spans="1:10" s="144" customFormat="1" ht="15.75" hidden="1" thickBot="1" x14ac:dyDescent="0.3">
      <c r="A7762" s="243"/>
      <c r="B7762" s="246"/>
      <c r="C7762" s="164"/>
      <c r="D7762" s="164"/>
      <c r="E7762" s="165"/>
      <c r="F7762" s="62" t="s">
        <v>418</v>
      </c>
      <c r="G7762" s="63" t="str">
        <f>IF(ISNUMBER(F7762),E7762*F7762,"")</f>
        <v/>
      </c>
      <c r="H7762" s="64"/>
      <c r="I7762" s="28"/>
      <c r="J7762" s="125">
        <v>0</v>
      </c>
    </row>
    <row r="7763" spans="1:10" s="144" customFormat="1" ht="15.75" hidden="1" thickBot="1" x14ac:dyDescent="0.3">
      <c r="A7763" s="241" t="s">
        <v>17190</v>
      </c>
      <c r="B7763" s="244" t="s">
        <v>19487</v>
      </c>
      <c r="C7763" s="160"/>
      <c r="D7763" s="145" t="s">
        <v>16</v>
      </c>
      <c r="E7763" s="146"/>
      <c r="F7763" s="37" t="s">
        <v>418</v>
      </c>
      <c r="G7763" s="147" t="str">
        <f>IF(ISNUMBER(F7763),E7763*F7763,"")</f>
        <v/>
      </c>
      <c r="H7763" s="148"/>
      <c r="I7763" s="149"/>
      <c r="J7763" s="125">
        <v>0</v>
      </c>
    </row>
    <row r="7764" spans="1:10" s="144" customFormat="1" ht="15.75" hidden="1" thickBot="1" x14ac:dyDescent="0.3">
      <c r="A7764" s="242"/>
      <c r="B7764" s="245"/>
      <c r="C7764" s="151"/>
      <c r="D7764" s="151"/>
      <c r="E7764" s="152"/>
      <c r="F7764" s="38" t="s">
        <v>418</v>
      </c>
      <c r="G7764" s="31" t="str">
        <f>IF(ISNUMBER(F7764),E7764*F7764,"")</f>
        <v/>
      </c>
      <c r="H7764" s="32"/>
      <c r="I7764" s="28"/>
      <c r="J7764" s="125">
        <v>0</v>
      </c>
    </row>
    <row r="7765" spans="1:10" s="144" customFormat="1" ht="26.25" hidden="1" thickBot="1" x14ac:dyDescent="0.3">
      <c r="A7765" s="242"/>
      <c r="B7765" s="245"/>
      <c r="C7765" s="155" t="s">
        <v>24921</v>
      </c>
      <c r="D7765" s="155" t="s">
        <v>205</v>
      </c>
      <c r="E7765" s="156">
        <v>1</v>
      </c>
      <c r="F7765" s="28">
        <v>38.057000000000002</v>
      </c>
      <c r="G7765" s="31">
        <f>IF(ISNUMBER(F7765),E7765*F7765,"")</f>
        <v>38.057000000000002</v>
      </c>
      <c r="H7765" s="35">
        <f>SUM(G7765:G7765)</f>
        <v>38.057000000000002</v>
      </c>
      <c r="I7765" s="36"/>
      <c r="J7765" s="125">
        <v>0</v>
      </c>
    </row>
    <row r="7766" spans="1:10" s="144" customFormat="1" ht="15.75" hidden="1" thickBot="1" x14ac:dyDescent="0.3">
      <c r="A7766" s="243"/>
      <c r="B7766" s="246"/>
      <c r="C7766" s="164"/>
      <c r="D7766" s="164"/>
      <c r="E7766" s="165"/>
      <c r="F7766" s="62" t="s">
        <v>418</v>
      </c>
      <c r="G7766" s="63" t="str">
        <f>IF(ISNUMBER(F7766),E7766*F7766,"")</f>
        <v/>
      </c>
      <c r="H7766" s="64"/>
      <c r="I7766" s="28"/>
      <c r="J7766" s="125">
        <v>0</v>
      </c>
    </row>
    <row r="7767" spans="1:10" s="144" customFormat="1" ht="15.75" hidden="1" thickBot="1" x14ac:dyDescent="0.3">
      <c r="A7767" s="241" t="s">
        <v>17191</v>
      </c>
      <c r="B7767" s="244" t="s">
        <v>19488</v>
      </c>
      <c r="C7767" s="160"/>
      <c r="D7767" s="145" t="s">
        <v>16</v>
      </c>
      <c r="E7767" s="146"/>
      <c r="F7767" s="37" t="s">
        <v>418</v>
      </c>
      <c r="G7767" s="147" t="str">
        <f>IF(ISNUMBER(F7767),E7767*F7767,"")</f>
        <v/>
      </c>
      <c r="H7767" s="148"/>
      <c r="I7767" s="149"/>
      <c r="J7767" s="125">
        <v>0</v>
      </c>
    </row>
    <row r="7768" spans="1:10" s="144" customFormat="1" ht="15.75" hidden="1" thickBot="1" x14ac:dyDescent="0.3">
      <c r="A7768" s="242"/>
      <c r="B7768" s="245"/>
      <c r="C7768" s="151"/>
      <c r="D7768" s="151"/>
      <c r="E7768" s="152"/>
      <c r="F7768" s="38" t="s">
        <v>418</v>
      </c>
      <c r="G7768" s="31" t="str">
        <f>IF(ISNUMBER(F7768),E7768*F7768,"")</f>
        <v/>
      </c>
      <c r="H7768" s="32"/>
      <c r="I7768" s="28"/>
      <c r="J7768" s="125">
        <v>0</v>
      </c>
    </row>
    <row r="7769" spans="1:10" s="144" customFormat="1" ht="26.25" hidden="1" thickBot="1" x14ac:dyDescent="0.3">
      <c r="A7769" s="242"/>
      <c r="B7769" s="245"/>
      <c r="C7769" s="155" t="s">
        <v>26167</v>
      </c>
      <c r="D7769" s="155" t="s">
        <v>205</v>
      </c>
      <c r="E7769" s="156">
        <v>1</v>
      </c>
      <c r="F7769" s="28">
        <v>43.823500000000003</v>
      </c>
      <c r="G7769" s="31">
        <f>IF(ISNUMBER(F7769),E7769*F7769,"")</f>
        <v>43.823500000000003</v>
      </c>
      <c r="H7769" s="35">
        <f>SUM(G7769:G7769)</f>
        <v>43.823500000000003</v>
      </c>
      <c r="I7769" s="36"/>
      <c r="J7769" s="125">
        <v>0</v>
      </c>
    </row>
    <row r="7770" spans="1:10" s="144" customFormat="1" ht="15.75" hidden="1" thickBot="1" x14ac:dyDescent="0.3">
      <c r="A7770" s="243"/>
      <c r="B7770" s="246"/>
      <c r="C7770" s="164"/>
      <c r="D7770" s="164"/>
      <c r="E7770" s="165"/>
      <c r="F7770" s="62" t="s">
        <v>418</v>
      </c>
      <c r="G7770" s="63" t="str">
        <f>IF(ISNUMBER(F7770),E7770*F7770,"")</f>
        <v/>
      </c>
      <c r="H7770" s="64"/>
      <c r="I7770" s="28"/>
      <c r="J7770" s="125">
        <v>0</v>
      </c>
    </row>
    <row r="7771" spans="1:10" s="144" customFormat="1" ht="15.75" hidden="1" thickBot="1" x14ac:dyDescent="0.3">
      <c r="A7771" s="241" t="s">
        <v>17192</v>
      </c>
      <c r="B7771" s="244" t="s">
        <v>19489</v>
      </c>
      <c r="C7771" s="160"/>
      <c r="D7771" s="145" t="s">
        <v>16</v>
      </c>
      <c r="E7771" s="146"/>
      <c r="F7771" s="37" t="s">
        <v>418</v>
      </c>
      <c r="G7771" s="147" t="str">
        <f>IF(ISNUMBER(F7771),E7771*F7771,"")</f>
        <v/>
      </c>
      <c r="H7771" s="148"/>
      <c r="I7771" s="149"/>
      <c r="J7771" s="125">
        <v>0</v>
      </c>
    </row>
    <row r="7772" spans="1:10" s="144" customFormat="1" ht="15.75" hidden="1" thickBot="1" x14ac:dyDescent="0.3">
      <c r="A7772" s="242"/>
      <c r="B7772" s="245"/>
      <c r="C7772" s="151"/>
      <c r="D7772" s="151"/>
      <c r="E7772" s="152"/>
      <c r="F7772" s="38" t="s">
        <v>418</v>
      </c>
      <c r="G7772" s="31" t="str">
        <f>IF(ISNUMBER(F7772),E7772*F7772,"")</f>
        <v/>
      </c>
      <c r="H7772" s="32"/>
      <c r="I7772" s="28"/>
      <c r="J7772" s="125">
        <v>0</v>
      </c>
    </row>
    <row r="7773" spans="1:10" s="144" customFormat="1" ht="26.25" hidden="1" thickBot="1" x14ac:dyDescent="0.3">
      <c r="A7773" s="242"/>
      <c r="B7773" s="245"/>
      <c r="C7773" s="155" t="s">
        <v>24004</v>
      </c>
      <c r="D7773" s="155" t="s">
        <v>205</v>
      </c>
      <c r="E7773" s="156">
        <v>1</v>
      </c>
      <c r="F7773" s="28">
        <v>7.6094999999999997</v>
      </c>
      <c r="G7773" s="31">
        <f>IF(ISNUMBER(F7773),E7773*F7773,"")</f>
        <v>7.6094999999999997</v>
      </c>
      <c r="H7773" s="35">
        <f>SUM(G7773:G7773)</f>
        <v>7.6094999999999997</v>
      </c>
      <c r="I7773" s="36"/>
      <c r="J7773" s="125">
        <v>0</v>
      </c>
    </row>
    <row r="7774" spans="1:10" s="144" customFormat="1" ht="15.75" hidden="1" thickBot="1" x14ac:dyDescent="0.3">
      <c r="A7774" s="243"/>
      <c r="B7774" s="246"/>
      <c r="C7774" s="164"/>
      <c r="D7774" s="164"/>
      <c r="E7774" s="165"/>
      <c r="F7774" s="62" t="s">
        <v>418</v>
      </c>
      <c r="G7774" s="63" t="str">
        <f>IF(ISNUMBER(F7774),E7774*F7774,"")</f>
        <v/>
      </c>
      <c r="H7774" s="64"/>
      <c r="I7774" s="28"/>
      <c r="J7774" s="125">
        <v>0</v>
      </c>
    </row>
    <row r="7775" spans="1:10" s="144" customFormat="1" ht="15.75" hidden="1" thickBot="1" x14ac:dyDescent="0.3">
      <c r="A7775" s="241" t="s">
        <v>17193</v>
      </c>
      <c r="B7775" s="244" t="s">
        <v>19490</v>
      </c>
      <c r="C7775" s="160"/>
      <c r="D7775" s="145" t="s">
        <v>16</v>
      </c>
      <c r="E7775" s="146"/>
      <c r="F7775" s="37" t="s">
        <v>418</v>
      </c>
      <c r="G7775" s="147" t="str">
        <f>IF(ISNUMBER(F7775),E7775*F7775,"")</f>
        <v/>
      </c>
      <c r="H7775" s="148"/>
      <c r="I7775" s="149"/>
      <c r="J7775" s="125">
        <v>0</v>
      </c>
    </row>
    <row r="7776" spans="1:10" s="144" customFormat="1" ht="15.75" hidden="1" thickBot="1" x14ac:dyDescent="0.3">
      <c r="A7776" s="242"/>
      <c r="B7776" s="245"/>
      <c r="C7776" s="151"/>
      <c r="D7776" s="151"/>
      <c r="E7776" s="152"/>
      <c r="F7776" s="38" t="s">
        <v>418</v>
      </c>
      <c r="G7776" s="31" t="str">
        <f>IF(ISNUMBER(F7776),E7776*F7776,"")</f>
        <v/>
      </c>
      <c r="H7776" s="32"/>
      <c r="I7776" s="28"/>
      <c r="J7776" s="125">
        <v>0</v>
      </c>
    </row>
    <row r="7777" spans="1:10" s="144" customFormat="1" ht="26.25" hidden="1" thickBot="1" x14ac:dyDescent="0.3">
      <c r="A7777" s="242"/>
      <c r="B7777" s="245"/>
      <c r="C7777" s="155" t="s">
        <v>23458</v>
      </c>
      <c r="D7777" s="155" t="s">
        <v>205</v>
      </c>
      <c r="E7777" s="156">
        <v>1</v>
      </c>
      <c r="F7777" s="28">
        <v>51.148000000000003</v>
      </c>
      <c r="G7777" s="31">
        <f>IF(ISNUMBER(F7777),E7777*F7777,"")</f>
        <v>51.148000000000003</v>
      </c>
      <c r="H7777" s="35">
        <f>SUM(G7777:G7777)</f>
        <v>51.148000000000003</v>
      </c>
      <c r="I7777" s="36"/>
      <c r="J7777" s="125">
        <v>0</v>
      </c>
    </row>
    <row r="7778" spans="1:10" s="144" customFormat="1" ht="15.75" hidden="1" thickBot="1" x14ac:dyDescent="0.3">
      <c r="A7778" s="243"/>
      <c r="B7778" s="246"/>
      <c r="C7778" s="164"/>
      <c r="D7778" s="164"/>
      <c r="E7778" s="165"/>
      <c r="F7778" s="62" t="s">
        <v>418</v>
      </c>
      <c r="G7778" s="63" t="str">
        <f>IF(ISNUMBER(F7778),E7778*F7778,"")</f>
        <v/>
      </c>
      <c r="H7778" s="64"/>
      <c r="I7778" s="28"/>
      <c r="J7778" s="125">
        <v>0</v>
      </c>
    </row>
    <row r="7779" spans="1:10" s="144" customFormat="1" ht="15.75" hidden="1" thickBot="1" x14ac:dyDescent="0.3">
      <c r="A7779" s="241" t="s">
        <v>17194</v>
      </c>
      <c r="B7779" s="244" t="s">
        <v>19491</v>
      </c>
      <c r="C7779" s="160"/>
      <c r="D7779" s="145" t="s">
        <v>16</v>
      </c>
      <c r="E7779" s="146"/>
      <c r="F7779" s="37" t="s">
        <v>418</v>
      </c>
      <c r="G7779" s="147" t="str">
        <f>IF(ISNUMBER(F7779),E7779*F7779,"")</f>
        <v/>
      </c>
      <c r="H7779" s="148"/>
      <c r="I7779" s="149"/>
      <c r="J7779" s="125">
        <v>0</v>
      </c>
    </row>
    <row r="7780" spans="1:10" s="144" customFormat="1" ht="15.75" hidden="1" thickBot="1" x14ac:dyDescent="0.3">
      <c r="A7780" s="242"/>
      <c r="B7780" s="245"/>
      <c r="C7780" s="151"/>
      <c r="D7780" s="151"/>
      <c r="E7780" s="152"/>
      <c r="F7780" s="38" t="s">
        <v>418</v>
      </c>
      <c r="G7780" s="31" t="str">
        <f>IF(ISNUMBER(F7780),E7780*F7780,"")</f>
        <v/>
      </c>
      <c r="H7780" s="32"/>
      <c r="I7780" s="28"/>
      <c r="J7780" s="125">
        <v>0</v>
      </c>
    </row>
    <row r="7781" spans="1:10" s="144" customFormat="1" ht="26.25" hidden="1" thickBot="1" x14ac:dyDescent="0.3">
      <c r="A7781" s="242"/>
      <c r="B7781" s="245"/>
      <c r="C7781" s="155" t="s">
        <v>25902</v>
      </c>
      <c r="D7781" s="155" t="s">
        <v>205</v>
      </c>
      <c r="E7781" s="156">
        <v>1</v>
      </c>
      <c r="F7781" s="28">
        <v>95.294499999999999</v>
      </c>
      <c r="G7781" s="31">
        <f>IF(ISNUMBER(F7781),E7781*F7781,"")</f>
        <v>95.294499999999999</v>
      </c>
      <c r="H7781" s="35">
        <f>SUM(G7781:G7781)</f>
        <v>95.294499999999999</v>
      </c>
      <c r="I7781" s="36"/>
      <c r="J7781" s="125">
        <v>0</v>
      </c>
    </row>
    <row r="7782" spans="1:10" s="144" customFormat="1" ht="15.75" hidden="1" thickBot="1" x14ac:dyDescent="0.3">
      <c r="A7782" s="243"/>
      <c r="B7782" s="246"/>
      <c r="C7782" s="164"/>
      <c r="D7782" s="164"/>
      <c r="E7782" s="165"/>
      <c r="F7782" s="62" t="s">
        <v>418</v>
      </c>
      <c r="G7782" s="63" t="str">
        <f>IF(ISNUMBER(F7782),E7782*F7782,"")</f>
        <v/>
      </c>
      <c r="H7782" s="64"/>
      <c r="I7782" s="28"/>
      <c r="J7782" s="125">
        <v>0</v>
      </c>
    </row>
    <row r="7783" spans="1:10" s="144" customFormat="1" ht="15.75" hidden="1" thickBot="1" x14ac:dyDescent="0.3">
      <c r="A7783" s="241" t="s">
        <v>17195</v>
      </c>
      <c r="B7783" s="244" t="s">
        <v>19492</v>
      </c>
      <c r="C7783" s="160"/>
      <c r="D7783" s="145" t="s">
        <v>16</v>
      </c>
      <c r="E7783" s="146"/>
      <c r="F7783" s="37" t="s">
        <v>418</v>
      </c>
      <c r="G7783" s="147" t="str">
        <f>IF(ISNUMBER(F7783),E7783*F7783,"")</f>
        <v/>
      </c>
      <c r="H7783" s="148"/>
      <c r="I7783" s="149"/>
      <c r="J7783" s="125">
        <v>0</v>
      </c>
    </row>
    <row r="7784" spans="1:10" s="144" customFormat="1" ht="15.75" hidden="1" thickBot="1" x14ac:dyDescent="0.3">
      <c r="A7784" s="242"/>
      <c r="B7784" s="245"/>
      <c r="C7784" s="151"/>
      <c r="D7784" s="151"/>
      <c r="E7784" s="152"/>
      <c r="F7784" s="38" t="s">
        <v>418</v>
      </c>
      <c r="G7784" s="31" t="str">
        <f>IF(ISNUMBER(F7784),E7784*F7784,"")</f>
        <v/>
      </c>
      <c r="H7784" s="32"/>
      <c r="I7784" s="28"/>
      <c r="J7784" s="125">
        <v>0</v>
      </c>
    </row>
    <row r="7785" spans="1:10" s="144" customFormat="1" ht="15.75" hidden="1" thickBot="1" x14ac:dyDescent="0.3">
      <c r="A7785" s="242"/>
      <c r="B7785" s="245"/>
      <c r="C7785" s="155" t="s">
        <v>24399</v>
      </c>
      <c r="D7785" s="155" t="s">
        <v>205</v>
      </c>
      <c r="E7785" s="156">
        <v>1</v>
      </c>
      <c r="F7785" s="28">
        <v>23.322499999999998</v>
      </c>
      <c r="G7785" s="31">
        <f>IF(ISNUMBER(F7785),E7785*F7785,"")</f>
        <v>23.322499999999998</v>
      </c>
      <c r="H7785" s="35">
        <f>SUM(G7785:G7785)</f>
        <v>23.322499999999998</v>
      </c>
      <c r="I7785" s="36"/>
      <c r="J7785" s="125">
        <v>0</v>
      </c>
    </row>
    <row r="7786" spans="1:10" s="144" customFormat="1" ht="15.75" hidden="1" thickBot="1" x14ac:dyDescent="0.3">
      <c r="A7786" s="243"/>
      <c r="B7786" s="246"/>
      <c r="C7786" s="164"/>
      <c r="D7786" s="164"/>
      <c r="E7786" s="165"/>
      <c r="F7786" s="62" t="s">
        <v>418</v>
      </c>
      <c r="G7786" s="63" t="str">
        <f>IF(ISNUMBER(F7786),E7786*F7786,"")</f>
        <v/>
      </c>
      <c r="H7786" s="64"/>
      <c r="I7786" s="28"/>
      <c r="J7786" s="125">
        <v>0</v>
      </c>
    </row>
    <row r="7787" spans="1:10" s="144" customFormat="1" ht="15.75" hidden="1" thickBot="1" x14ac:dyDescent="0.3">
      <c r="A7787" s="241" t="s">
        <v>17196</v>
      </c>
      <c r="B7787" s="244" t="s">
        <v>19493</v>
      </c>
      <c r="C7787" s="160"/>
      <c r="D7787" s="145" t="s">
        <v>16</v>
      </c>
      <c r="E7787" s="146"/>
      <c r="F7787" s="37" t="s">
        <v>418</v>
      </c>
      <c r="G7787" s="147" t="str">
        <f>IF(ISNUMBER(F7787),E7787*F7787,"")</f>
        <v/>
      </c>
      <c r="H7787" s="148"/>
      <c r="I7787" s="149"/>
      <c r="J7787" s="125">
        <v>0</v>
      </c>
    </row>
    <row r="7788" spans="1:10" s="144" customFormat="1" ht="15.75" hidden="1" thickBot="1" x14ac:dyDescent="0.3">
      <c r="A7788" s="242"/>
      <c r="B7788" s="245"/>
      <c r="C7788" s="151"/>
      <c r="D7788" s="151"/>
      <c r="E7788" s="152"/>
      <c r="F7788" s="38" t="s">
        <v>418</v>
      </c>
      <c r="G7788" s="31" t="str">
        <f>IF(ISNUMBER(F7788),E7788*F7788,"")</f>
        <v/>
      </c>
      <c r="H7788" s="32"/>
      <c r="I7788" s="28"/>
      <c r="J7788" s="125">
        <v>0</v>
      </c>
    </row>
    <row r="7789" spans="1:10" s="144" customFormat="1" ht="26.25" hidden="1" thickBot="1" x14ac:dyDescent="0.3">
      <c r="A7789" s="242"/>
      <c r="B7789" s="245"/>
      <c r="C7789" s="155" t="s">
        <v>25900</v>
      </c>
      <c r="D7789" s="155" t="s">
        <v>205</v>
      </c>
      <c r="E7789" s="156">
        <v>1</v>
      </c>
      <c r="F7789" s="28">
        <v>72.79849999999999</v>
      </c>
      <c r="G7789" s="31">
        <f>IF(ISNUMBER(F7789),E7789*F7789,"")</f>
        <v>72.79849999999999</v>
      </c>
      <c r="H7789" s="35">
        <f>SUM(G7789:G7789)</f>
        <v>72.79849999999999</v>
      </c>
      <c r="I7789" s="36"/>
      <c r="J7789" s="125">
        <v>0</v>
      </c>
    </row>
    <row r="7790" spans="1:10" s="144" customFormat="1" ht="15.75" hidden="1" thickBot="1" x14ac:dyDescent="0.3">
      <c r="A7790" s="243"/>
      <c r="B7790" s="246"/>
      <c r="C7790" s="164"/>
      <c r="D7790" s="164"/>
      <c r="E7790" s="165"/>
      <c r="F7790" s="62" t="s">
        <v>418</v>
      </c>
      <c r="G7790" s="63" t="str">
        <f>IF(ISNUMBER(F7790),E7790*F7790,"")</f>
        <v/>
      </c>
      <c r="H7790" s="64"/>
      <c r="I7790" s="28"/>
      <c r="J7790" s="125">
        <v>0</v>
      </c>
    </row>
    <row r="7791" spans="1:10" s="144" customFormat="1" ht="15.75" hidden="1" thickBot="1" x14ac:dyDescent="0.3">
      <c r="A7791" s="241" t="s">
        <v>17197</v>
      </c>
      <c r="B7791" s="244" t="s">
        <v>19494</v>
      </c>
      <c r="C7791" s="160"/>
      <c r="D7791" s="145" t="s">
        <v>16</v>
      </c>
      <c r="E7791" s="146"/>
      <c r="F7791" s="37" t="s">
        <v>418</v>
      </c>
      <c r="G7791" s="147" t="str">
        <f>IF(ISNUMBER(F7791),E7791*F7791,"")</f>
        <v/>
      </c>
      <c r="H7791" s="148"/>
      <c r="I7791" s="149"/>
      <c r="J7791" s="125">
        <v>0</v>
      </c>
    </row>
    <row r="7792" spans="1:10" s="144" customFormat="1" ht="15.75" hidden="1" thickBot="1" x14ac:dyDescent="0.3">
      <c r="A7792" s="242"/>
      <c r="B7792" s="245"/>
      <c r="C7792" s="151"/>
      <c r="D7792" s="151"/>
      <c r="E7792" s="152"/>
      <c r="F7792" s="38" t="s">
        <v>418</v>
      </c>
      <c r="G7792" s="31" t="str">
        <f>IF(ISNUMBER(F7792),E7792*F7792,"")</f>
        <v/>
      </c>
      <c r="H7792" s="32"/>
      <c r="I7792" s="28"/>
      <c r="J7792" s="125">
        <v>0</v>
      </c>
    </row>
    <row r="7793" spans="1:10" s="144" customFormat="1" ht="26.25" hidden="1" thickBot="1" x14ac:dyDescent="0.3">
      <c r="A7793" s="242"/>
      <c r="B7793" s="245"/>
      <c r="C7793" s="155" t="s">
        <v>24922</v>
      </c>
      <c r="D7793" s="155" t="s">
        <v>205</v>
      </c>
      <c r="E7793" s="156">
        <v>1</v>
      </c>
      <c r="F7793" s="28">
        <v>58.444000000000003</v>
      </c>
      <c r="G7793" s="31">
        <f>IF(ISNUMBER(F7793),E7793*F7793,"")</f>
        <v>58.444000000000003</v>
      </c>
      <c r="H7793" s="35">
        <f>SUM(G7793:G7793)</f>
        <v>58.444000000000003</v>
      </c>
      <c r="I7793" s="36"/>
      <c r="J7793" s="125">
        <v>0</v>
      </c>
    </row>
    <row r="7794" spans="1:10" s="144" customFormat="1" ht="15.75" hidden="1" thickBot="1" x14ac:dyDescent="0.3">
      <c r="A7794" s="243"/>
      <c r="B7794" s="246"/>
      <c r="C7794" s="164"/>
      <c r="D7794" s="164"/>
      <c r="E7794" s="165"/>
      <c r="F7794" s="62" t="s">
        <v>418</v>
      </c>
      <c r="G7794" s="63" t="str">
        <f>IF(ISNUMBER(F7794),E7794*F7794,"")</f>
        <v/>
      </c>
      <c r="H7794" s="64"/>
      <c r="I7794" s="28"/>
      <c r="J7794" s="125">
        <v>0</v>
      </c>
    </row>
    <row r="7795" spans="1:10" s="144" customFormat="1" ht="15.75" hidden="1" thickBot="1" x14ac:dyDescent="0.3">
      <c r="A7795" s="241" t="s">
        <v>17198</v>
      </c>
      <c r="B7795" s="244" t="s">
        <v>19495</v>
      </c>
      <c r="C7795" s="160"/>
      <c r="D7795" s="145" t="s">
        <v>16</v>
      </c>
      <c r="E7795" s="146"/>
      <c r="F7795" s="37" t="s">
        <v>418</v>
      </c>
      <c r="G7795" s="147" t="str">
        <f>IF(ISNUMBER(F7795),E7795*F7795,"")</f>
        <v/>
      </c>
      <c r="H7795" s="148"/>
      <c r="I7795" s="149"/>
      <c r="J7795" s="125">
        <v>0</v>
      </c>
    </row>
    <row r="7796" spans="1:10" s="144" customFormat="1" ht="15.75" hidden="1" thickBot="1" x14ac:dyDescent="0.3">
      <c r="A7796" s="242"/>
      <c r="B7796" s="245"/>
      <c r="C7796" s="151"/>
      <c r="D7796" s="151"/>
      <c r="E7796" s="152"/>
      <c r="F7796" s="38" t="s">
        <v>418</v>
      </c>
      <c r="G7796" s="31" t="str">
        <f>IF(ISNUMBER(F7796),E7796*F7796,"")</f>
        <v/>
      </c>
      <c r="H7796" s="32"/>
      <c r="I7796" s="28"/>
      <c r="J7796" s="125">
        <v>0</v>
      </c>
    </row>
    <row r="7797" spans="1:10" s="144" customFormat="1" ht="26.25" hidden="1" thickBot="1" x14ac:dyDescent="0.3">
      <c r="A7797" s="242"/>
      <c r="B7797" s="245"/>
      <c r="C7797" s="155" t="s">
        <v>27646</v>
      </c>
      <c r="D7797" s="155" t="s">
        <v>205</v>
      </c>
      <c r="E7797" s="156">
        <v>1</v>
      </c>
      <c r="F7797" s="28">
        <v>64.105999999999995</v>
      </c>
      <c r="G7797" s="31">
        <f>IF(ISNUMBER(F7797),E7797*F7797,"")</f>
        <v>64.105999999999995</v>
      </c>
      <c r="H7797" s="35">
        <f>SUM(G7797:G7797)</f>
        <v>64.105999999999995</v>
      </c>
      <c r="I7797" s="36"/>
      <c r="J7797" s="125">
        <v>0</v>
      </c>
    </row>
    <row r="7798" spans="1:10" s="144" customFormat="1" ht="15.75" hidden="1" thickBot="1" x14ac:dyDescent="0.3">
      <c r="A7798" s="243"/>
      <c r="B7798" s="246"/>
      <c r="C7798" s="164"/>
      <c r="D7798" s="164"/>
      <c r="E7798" s="165"/>
      <c r="F7798" s="62" t="s">
        <v>418</v>
      </c>
      <c r="G7798" s="63" t="str">
        <f>IF(ISNUMBER(F7798),E7798*F7798,"")</f>
        <v/>
      </c>
      <c r="H7798" s="64"/>
      <c r="I7798" s="28"/>
      <c r="J7798" s="125">
        <v>0</v>
      </c>
    </row>
    <row r="7799" spans="1:10" s="144" customFormat="1" ht="15.75" hidden="1" thickBot="1" x14ac:dyDescent="0.3">
      <c r="A7799" s="241" t="s">
        <v>17199</v>
      </c>
      <c r="B7799" s="244" t="s">
        <v>19496</v>
      </c>
      <c r="C7799" s="160"/>
      <c r="D7799" s="145" t="s">
        <v>16</v>
      </c>
      <c r="E7799" s="146"/>
      <c r="F7799" s="37" t="s">
        <v>418</v>
      </c>
      <c r="G7799" s="147" t="str">
        <f>IF(ISNUMBER(F7799),E7799*F7799,"")</f>
        <v/>
      </c>
      <c r="H7799" s="148"/>
      <c r="I7799" s="149"/>
      <c r="J7799" s="125">
        <v>0</v>
      </c>
    </row>
    <row r="7800" spans="1:10" s="144" customFormat="1" ht="15.75" hidden="1" thickBot="1" x14ac:dyDescent="0.3">
      <c r="A7800" s="242"/>
      <c r="B7800" s="245"/>
      <c r="C7800" s="151"/>
      <c r="D7800" s="151"/>
      <c r="E7800" s="152"/>
      <c r="F7800" s="38" t="s">
        <v>418</v>
      </c>
      <c r="G7800" s="31" t="str">
        <f>IF(ISNUMBER(F7800),E7800*F7800,"")</f>
        <v/>
      </c>
      <c r="H7800" s="32"/>
      <c r="I7800" s="28"/>
      <c r="J7800" s="125">
        <v>0</v>
      </c>
    </row>
    <row r="7801" spans="1:10" s="144" customFormat="1" ht="15.75" hidden="1" thickBot="1" x14ac:dyDescent="0.3">
      <c r="A7801" s="242"/>
      <c r="B7801" s="245"/>
      <c r="C7801" s="155" t="s">
        <v>26289</v>
      </c>
      <c r="D7801" s="155" t="s">
        <v>205</v>
      </c>
      <c r="E7801" s="156">
        <v>1</v>
      </c>
      <c r="F7801" s="28">
        <v>21.802499999999998</v>
      </c>
      <c r="G7801" s="31">
        <f>IF(ISNUMBER(F7801),E7801*F7801,"")</f>
        <v>21.802499999999998</v>
      </c>
      <c r="H7801" s="35">
        <f>SUM(G7801:G7801)</f>
        <v>21.802499999999998</v>
      </c>
      <c r="I7801" s="36"/>
      <c r="J7801" s="125">
        <v>0</v>
      </c>
    </row>
    <row r="7802" spans="1:10" s="144" customFormat="1" ht="15.75" hidden="1" thickBot="1" x14ac:dyDescent="0.3">
      <c r="A7802" s="243"/>
      <c r="B7802" s="246"/>
      <c r="C7802" s="164"/>
      <c r="D7802" s="164"/>
      <c r="E7802" s="165"/>
      <c r="F7802" s="62" t="s">
        <v>418</v>
      </c>
      <c r="G7802" s="63" t="str">
        <f>IF(ISNUMBER(F7802),E7802*F7802,"")</f>
        <v/>
      </c>
      <c r="H7802" s="64"/>
      <c r="I7802" s="28"/>
      <c r="J7802" s="125">
        <v>0</v>
      </c>
    </row>
    <row r="7803" spans="1:10" s="144" customFormat="1" ht="15.75" hidden="1" thickBot="1" x14ac:dyDescent="0.3">
      <c r="A7803" s="241" t="s">
        <v>17200</v>
      </c>
      <c r="B7803" s="244" t="s">
        <v>19497</v>
      </c>
      <c r="C7803" s="160"/>
      <c r="D7803" s="145" t="s">
        <v>16</v>
      </c>
      <c r="E7803" s="146"/>
      <c r="F7803" s="37" t="s">
        <v>418</v>
      </c>
      <c r="G7803" s="147" t="str">
        <f>IF(ISNUMBER(F7803),E7803*F7803,"")</f>
        <v/>
      </c>
      <c r="H7803" s="148"/>
      <c r="I7803" s="149"/>
      <c r="J7803" s="125">
        <v>0</v>
      </c>
    </row>
    <row r="7804" spans="1:10" s="144" customFormat="1" ht="15.75" hidden="1" thickBot="1" x14ac:dyDescent="0.3">
      <c r="A7804" s="242"/>
      <c r="B7804" s="245"/>
      <c r="C7804" s="151"/>
      <c r="D7804" s="151"/>
      <c r="E7804" s="152"/>
      <c r="F7804" s="38" t="s">
        <v>418</v>
      </c>
      <c r="G7804" s="31" t="str">
        <f>IF(ISNUMBER(F7804),E7804*F7804,"")</f>
        <v/>
      </c>
      <c r="H7804" s="32"/>
      <c r="I7804" s="28"/>
      <c r="J7804" s="125">
        <v>0</v>
      </c>
    </row>
    <row r="7805" spans="1:10" s="144" customFormat="1" ht="26.25" hidden="1" thickBot="1" x14ac:dyDescent="0.3">
      <c r="A7805" s="242"/>
      <c r="B7805" s="245"/>
      <c r="C7805" s="155" t="s">
        <v>26177</v>
      </c>
      <c r="D7805" s="155" t="s">
        <v>205</v>
      </c>
      <c r="E7805" s="156">
        <v>1</v>
      </c>
      <c r="F7805" s="28">
        <v>49.817999999999998</v>
      </c>
      <c r="G7805" s="31">
        <f>IF(ISNUMBER(F7805),E7805*F7805,"")</f>
        <v>49.817999999999998</v>
      </c>
      <c r="H7805" s="35">
        <f>SUM(G7805:G7805)</f>
        <v>49.817999999999998</v>
      </c>
      <c r="I7805" s="36"/>
      <c r="J7805" s="125">
        <v>0</v>
      </c>
    </row>
    <row r="7806" spans="1:10" s="144" customFormat="1" ht="15.75" hidden="1" thickBot="1" x14ac:dyDescent="0.3">
      <c r="A7806" s="243"/>
      <c r="B7806" s="246"/>
      <c r="C7806" s="164"/>
      <c r="D7806" s="164"/>
      <c r="E7806" s="165"/>
      <c r="F7806" s="62" t="s">
        <v>418</v>
      </c>
      <c r="G7806" s="63" t="str">
        <f>IF(ISNUMBER(F7806),E7806*F7806,"")</f>
        <v/>
      </c>
      <c r="H7806" s="64"/>
      <c r="I7806" s="28"/>
      <c r="J7806" s="125">
        <v>0</v>
      </c>
    </row>
    <row r="7807" spans="1:10" s="144" customFormat="1" ht="15.75" hidden="1" thickBot="1" x14ac:dyDescent="0.3">
      <c r="A7807" s="241" t="s">
        <v>17201</v>
      </c>
      <c r="B7807" s="244" t="s">
        <v>19498</v>
      </c>
      <c r="C7807" s="160"/>
      <c r="D7807" s="145" t="s">
        <v>16</v>
      </c>
      <c r="E7807" s="146"/>
      <c r="F7807" s="37" t="s">
        <v>418</v>
      </c>
      <c r="G7807" s="147" t="str">
        <f>IF(ISNUMBER(F7807),E7807*F7807,"")</f>
        <v/>
      </c>
      <c r="H7807" s="148"/>
      <c r="I7807" s="149"/>
      <c r="J7807" s="125">
        <v>0</v>
      </c>
    </row>
    <row r="7808" spans="1:10" s="144" customFormat="1" ht="15.75" hidden="1" thickBot="1" x14ac:dyDescent="0.3">
      <c r="A7808" s="242"/>
      <c r="B7808" s="245"/>
      <c r="C7808" s="151"/>
      <c r="D7808" s="151"/>
      <c r="E7808" s="152"/>
      <c r="F7808" s="38" t="s">
        <v>418</v>
      </c>
      <c r="G7808" s="31" t="str">
        <f>IF(ISNUMBER(F7808),E7808*F7808,"")</f>
        <v/>
      </c>
      <c r="H7808" s="32"/>
      <c r="I7808" s="28"/>
      <c r="J7808" s="125">
        <v>0</v>
      </c>
    </row>
    <row r="7809" spans="1:10" s="144" customFormat="1" ht="15.75" hidden="1" thickBot="1" x14ac:dyDescent="0.3">
      <c r="A7809" s="242"/>
      <c r="B7809" s="245"/>
      <c r="C7809" s="155" t="s">
        <v>38871</v>
      </c>
      <c r="D7809" s="155" t="s">
        <v>205</v>
      </c>
      <c r="E7809" s="156">
        <v>1</v>
      </c>
      <c r="F7809" s="28">
        <v>163.44749999999999</v>
      </c>
      <c r="G7809" s="31">
        <f>IF(ISNUMBER(F7809),E7809*F7809,"")</f>
        <v>163.44749999999999</v>
      </c>
      <c r="H7809" s="35">
        <f>SUM(G7809:G7809)</f>
        <v>163.44749999999999</v>
      </c>
      <c r="I7809" s="36"/>
      <c r="J7809" s="125">
        <v>0</v>
      </c>
    </row>
    <row r="7810" spans="1:10" s="144" customFormat="1" ht="15.75" hidden="1" thickBot="1" x14ac:dyDescent="0.3">
      <c r="A7810" s="243"/>
      <c r="B7810" s="246"/>
      <c r="C7810" s="164"/>
      <c r="D7810" s="164"/>
      <c r="E7810" s="165"/>
      <c r="F7810" s="62" t="s">
        <v>418</v>
      </c>
      <c r="G7810" s="63" t="str">
        <f>IF(ISNUMBER(F7810),E7810*F7810,"")</f>
        <v/>
      </c>
      <c r="H7810" s="64"/>
      <c r="I7810" s="28"/>
      <c r="J7810" s="125">
        <v>0</v>
      </c>
    </row>
    <row r="7811" spans="1:10" s="144" customFormat="1" ht="15.75" hidden="1" thickBot="1" x14ac:dyDescent="0.3">
      <c r="A7811" s="241" t="s">
        <v>17202</v>
      </c>
      <c r="B7811" s="244" t="s">
        <v>19499</v>
      </c>
      <c r="C7811" s="160"/>
      <c r="D7811" s="145" t="s">
        <v>16</v>
      </c>
      <c r="E7811" s="146"/>
      <c r="F7811" s="37" t="s">
        <v>418</v>
      </c>
      <c r="G7811" s="147" t="str">
        <f>IF(ISNUMBER(F7811),E7811*F7811,"")</f>
        <v/>
      </c>
      <c r="H7811" s="148"/>
      <c r="I7811" s="149"/>
      <c r="J7811" s="125">
        <v>0</v>
      </c>
    </row>
    <row r="7812" spans="1:10" s="144" customFormat="1" ht="15.75" hidden="1" thickBot="1" x14ac:dyDescent="0.3">
      <c r="A7812" s="242"/>
      <c r="B7812" s="245"/>
      <c r="C7812" s="151"/>
      <c r="D7812" s="151"/>
      <c r="E7812" s="152"/>
      <c r="F7812" s="38" t="s">
        <v>418</v>
      </c>
      <c r="G7812" s="31" t="str">
        <f>IF(ISNUMBER(F7812),E7812*F7812,"")</f>
        <v/>
      </c>
      <c r="H7812" s="32"/>
      <c r="I7812" s="28"/>
      <c r="J7812" s="125">
        <v>0</v>
      </c>
    </row>
    <row r="7813" spans="1:10" s="144" customFormat="1" ht="15.75" hidden="1" thickBot="1" x14ac:dyDescent="0.3">
      <c r="A7813" s="242"/>
      <c r="B7813" s="245"/>
      <c r="C7813" s="155" t="s">
        <v>19796</v>
      </c>
      <c r="D7813" s="155" t="s">
        <v>16</v>
      </c>
      <c r="E7813" s="156">
        <v>1</v>
      </c>
      <c r="F7813" s="28">
        <v>0.95</v>
      </c>
      <c r="G7813" s="31">
        <f>IF(ISNUMBER(F7813),E7813*F7813,"")</f>
        <v>0.95</v>
      </c>
      <c r="H7813" s="35">
        <f>SUM(G7813:G7813)</f>
        <v>0.95</v>
      </c>
      <c r="I7813" s="36"/>
      <c r="J7813" s="125">
        <v>0</v>
      </c>
    </row>
    <row r="7814" spans="1:10" s="144" customFormat="1" ht="15.75" hidden="1" thickBot="1" x14ac:dyDescent="0.3">
      <c r="A7814" s="243"/>
      <c r="B7814" s="246"/>
      <c r="C7814" s="164"/>
      <c r="D7814" s="164"/>
      <c r="E7814" s="165"/>
      <c r="F7814" s="62" t="s">
        <v>418</v>
      </c>
      <c r="G7814" s="63" t="str">
        <f>IF(ISNUMBER(F7814),E7814*F7814,"")</f>
        <v/>
      </c>
      <c r="H7814" s="64"/>
      <c r="I7814" s="28"/>
      <c r="J7814" s="125">
        <v>0</v>
      </c>
    </row>
    <row r="7815" spans="1:10" s="144" customFormat="1" ht="15.75" hidden="1" thickBot="1" x14ac:dyDescent="0.3">
      <c r="A7815" s="241" t="s">
        <v>17203</v>
      </c>
      <c r="B7815" s="244" t="s">
        <v>19500</v>
      </c>
      <c r="C7815" s="160"/>
      <c r="D7815" s="145" t="s">
        <v>16</v>
      </c>
      <c r="E7815" s="146"/>
      <c r="F7815" s="37" t="s">
        <v>418</v>
      </c>
      <c r="G7815" s="147" t="str">
        <f>IF(ISNUMBER(F7815),E7815*F7815,"")</f>
        <v/>
      </c>
      <c r="H7815" s="148"/>
      <c r="I7815" s="149"/>
      <c r="J7815" s="125">
        <v>0</v>
      </c>
    </row>
    <row r="7816" spans="1:10" s="144" customFormat="1" ht="15.75" hidden="1" thickBot="1" x14ac:dyDescent="0.3">
      <c r="A7816" s="242"/>
      <c r="B7816" s="245"/>
      <c r="C7816" s="151"/>
      <c r="D7816" s="151"/>
      <c r="E7816" s="152"/>
      <c r="F7816" s="38" t="s">
        <v>418</v>
      </c>
      <c r="G7816" s="31" t="str">
        <f>IF(ISNUMBER(F7816),E7816*F7816,"")</f>
        <v/>
      </c>
      <c r="H7816" s="32"/>
      <c r="I7816" s="28"/>
      <c r="J7816" s="125">
        <v>0</v>
      </c>
    </row>
    <row r="7817" spans="1:10" s="144" customFormat="1" ht="26.25" hidden="1" thickBot="1" x14ac:dyDescent="0.3">
      <c r="A7817" s="242"/>
      <c r="B7817" s="245"/>
      <c r="C7817" s="155" t="s">
        <v>23451</v>
      </c>
      <c r="D7817" s="155" t="s">
        <v>205</v>
      </c>
      <c r="E7817" s="156">
        <v>1</v>
      </c>
      <c r="F7817" s="28">
        <v>21.698</v>
      </c>
      <c r="G7817" s="31">
        <f>IF(ISNUMBER(F7817),E7817*F7817,"")</f>
        <v>21.698</v>
      </c>
      <c r="H7817" s="35">
        <f>SUM(G7817:G7817)</f>
        <v>21.698</v>
      </c>
      <c r="I7817" s="36"/>
      <c r="J7817" s="125">
        <v>0</v>
      </c>
    </row>
    <row r="7818" spans="1:10" s="144" customFormat="1" ht="15.75" hidden="1" thickBot="1" x14ac:dyDescent="0.3">
      <c r="A7818" s="243"/>
      <c r="B7818" s="246"/>
      <c r="C7818" s="164"/>
      <c r="D7818" s="164"/>
      <c r="E7818" s="165"/>
      <c r="F7818" s="62" t="s">
        <v>418</v>
      </c>
      <c r="G7818" s="63" t="str">
        <f>IF(ISNUMBER(F7818),E7818*F7818,"")</f>
        <v/>
      </c>
      <c r="H7818" s="64"/>
      <c r="I7818" s="28"/>
      <c r="J7818" s="125">
        <v>0</v>
      </c>
    </row>
    <row r="7819" spans="1:10" s="144" customFormat="1" ht="15.75" hidden="1" thickBot="1" x14ac:dyDescent="0.3">
      <c r="A7819" s="241" t="s">
        <v>17204</v>
      </c>
      <c r="B7819" s="244" t="s">
        <v>19501</v>
      </c>
      <c r="C7819" s="160"/>
      <c r="D7819" s="145" t="s">
        <v>16</v>
      </c>
      <c r="E7819" s="146"/>
      <c r="F7819" s="37" t="s">
        <v>418</v>
      </c>
      <c r="G7819" s="147" t="str">
        <f>IF(ISNUMBER(F7819),E7819*F7819,"")</f>
        <v/>
      </c>
      <c r="H7819" s="148"/>
      <c r="I7819" s="149"/>
      <c r="J7819" s="125">
        <v>0</v>
      </c>
    </row>
    <row r="7820" spans="1:10" s="144" customFormat="1" ht="15.75" hidden="1" thickBot="1" x14ac:dyDescent="0.3">
      <c r="A7820" s="242"/>
      <c r="B7820" s="245"/>
      <c r="C7820" s="151"/>
      <c r="D7820" s="151"/>
      <c r="E7820" s="152"/>
      <c r="F7820" s="38" t="s">
        <v>418</v>
      </c>
      <c r="G7820" s="31" t="str">
        <f>IF(ISNUMBER(F7820),E7820*F7820,"")</f>
        <v/>
      </c>
      <c r="H7820" s="32"/>
      <c r="I7820" s="28"/>
      <c r="J7820" s="125">
        <v>0</v>
      </c>
    </row>
    <row r="7821" spans="1:10" s="144" customFormat="1" ht="26.25" hidden="1" thickBot="1" x14ac:dyDescent="0.3">
      <c r="A7821" s="242"/>
      <c r="B7821" s="245"/>
      <c r="C7821" s="155" t="s">
        <v>38872</v>
      </c>
      <c r="D7821" s="155" t="s">
        <v>205</v>
      </c>
      <c r="E7821" s="156">
        <v>1</v>
      </c>
      <c r="F7821" s="28">
        <v>238.393</v>
      </c>
      <c r="G7821" s="31">
        <f>IF(ISNUMBER(F7821),E7821*F7821,"")</f>
        <v>238.393</v>
      </c>
      <c r="H7821" s="35">
        <f>SUM(G7821:G7821)</f>
        <v>238.393</v>
      </c>
      <c r="I7821" s="36"/>
      <c r="J7821" s="125">
        <v>0</v>
      </c>
    </row>
    <row r="7822" spans="1:10" s="144" customFormat="1" ht="15.75" hidden="1" thickBot="1" x14ac:dyDescent="0.3">
      <c r="A7822" s="243"/>
      <c r="B7822" s="246"/>
      <c r="C7822" s="164"/>
      <c r="D7822" s="164"/>
      <c r="E7822" s="165"/>
      <c r="F7822" s="62" t="s">
        <v>418</v>
      </c>
      <c r="G7822" s="63" t="str">
        <f>IF(ISNUMBER(F7822),E7822*F7822,"")</f>
        <v/>
      </c>
      <c r="H7822" s="64"/>
      <c r="I7822" s="28"/>
      <c r="J7822" s="125">
        <v>0</v>
      </c>
    </row>
    <row r="7823" spans="1:10" s="144" customFormat="1" ht="15.75" hidden="1" thickBot="1" x14ac:dyDescent="0.3">
      <c r="A7823" s="241" t="s">
        <v>17205</v>
      </c>
      <c r="B7823" s="244" t="s">
        <v>19502</v>
      </c>
      <c r="C7823" s="160"/>
      <c r="D7823" s="145" t="s">
        <v>16</v>
      </c>
      <c r="E7823" s="146"/>
      <c r="F7823" s="37" t="s">
        <v>418</v>
      </c>
      <c r="G7823" s="147" t="str">
        <f>IF(ISNUMBER(F7823),E7823*F7823,"")</f>
        <v/>
      </c>
      <c r="H7823" s="148"/>
      <c r="I7823" s="149"/>
      <c r="J7823" s="125">
        <v>0</v>
      </c>
    </row>
    <row r="7824" spans="1:10" s="144" customFormat="1" ht="15.75" hidden="1" thickBot="1" x14ac:dyDescent="0.3">
      <c r="A7824" s="242"/>
      <c r="B7824" s="245"/>
      <c r="C7824" s="151"/>
      <c r="D7824" s="151"/>
      <c r="E7824" s="152"/>
      <c r="F7824" s="38" t="s">
        <v>418</v>
      </c>
      <c r="G7824" s="31" t="str">
        <f>IF(ISNUMBER(F7824),E7824*F7824,"")</f>
        <v/>
      </c>
      <c r="H7824" s="32"/>
      <c r="I7824" s="28"/>
      <c r="J7824" s="125">
        <v>0</v>
      </c>
    </row>
    <row r="7825" spans="1:10" s="144" customFormat="1" ht="26.25" hidden="1" thickBot="1" x14ac:dyDescent="0.3">
      <c r="A7825" s="242"/>
      <c r="B7825" s="245"/>
      <c r="C7825" s="155" t="s">
        <v>25858</v>
      </c>
      <c r="D7825" s="155" t="s">
        <v>205</v>
      </c>
      <c r="E7825" s="156">
        <v>1</v>
      </c>
      <c r="F7825" s="28">
        <v>113.9335</v>
      </c>
      <c r="G7825" s="31">
        <f>IF(ISNUMBER(F7825),E7825*F7825,"")</f>
        <v>113.9335</v>
      </c>
      <c r="H7825" s="35">
        <f>SUM(G7825:G7825)</f>
        <v>113.9335</v>
      </c>
      <c r="I7825" s="36"/>
      <c r="J7825" s="125">
        <v>0</v>
      </c>
    </row>
    <row r="7826" spans="1:10" s="144" customFormat="1" ht="15.75" hidden="1" thickBot="1" x14ac:dyDescent="0.3">
      <c r="A7826" s="243"/>
      <c r="B7826" s="246"/>
      <c r="C7826" s="164"/>
      <c r="D7826" s="164"/>
      <c r="E7826" s="165"/>
      <c r="F7826" s="62" t="s">
        <v>418</v>
      </c>
      <c r="G7826" s="63" t="str">
        <f>IF(ISNUMBER(F7826),E7826*F7826,"")</f>
        <v/>
      </c>
      <c r="H7826" s="64"/>
      <c r="I7826" s="28"/>
      <c r="J7826" s="125">
        <v>0</v>
      </c>
    </row>
    <row r="7827" spans="1:10" s="144" customFormat="1" ht="15.75" hidden="1" thickBot="1" x14ac:dyDescent="0.3">
      <c r="A7827" s="241" t="s">
        <v>17206</v>
      </c>
      <c r="B7827" s="244" t="s">
        <v>19503</v>
      </c>
      <c r="C7827" s="160"/>
      <c r="D7827" s="145" t="s">
        <v>16</v>
      </c>
      <c r="E7827" s="146"/>
      <c r="F7827" s="37" t="s">
        <v>418</v>
      </c>
      <c r="G7827" s="147" t="str">
        <f>IF(ISNUMBER(F7827),E7827*F7827,"")</f>
        <v/>
      </c>
      <c r="H7827" s="148"/>
      <c r="I7827" s="149"/>
      <c r="J7827" s="125">
        <v>0</v>
      </c>
    </row>
    <row r="7828" spans="1:10" s="144" customFormat="1" ht="15.75" hidden="1" thickBot="1" x14ac:dyDescent="0.3">
      <c r="A7828" s="242"/>
      <c r="B7828" s="245"/>
      <c r="C7828" s="151"/>
      <c r="D7828" s="151"/>
      <c r="E7828" s="152"/>
      <c r="F7828" s="38" t="s">
        <v>418</v>
      </c>
      <c r="G7828" s="31" t="str">
        <f>IF(ISNUMBER(F7828),E7828*F7828,"")</f>
        <v/>
      </c>
      <c r="H7828" s="32"/>
      <c r="I7828" s="28"/>
      <c r="J7828" s="125">
        <v>0</v>
      </c>
    </row>
    <row r="7829" spans="1:10" s="144" customFormat="1" ht="26.25" hidden="1" thickBot="1" x14ac:dyDescent="0.3">
      <c r="A7829" s="242"/>
      <c r="B7829" s="245"/>
      <c r="C7829" s="155" t="s">
        <v>38873</v>
      </c>
      <c r="D7829" s="155" t="s">
        <v>205</v>
      </c>
      <c r="E7829" s="156">
        <v>1</v>
      </c>
      <c r="F7829" s="28">
        <v>32.338000000000001</v>
      </c>
      <c r="G7829" s="31">
        <f>IF(ISNUMBER(F7829),E7829*F7829,"")</f>
        <v>32.338000000000001</v>
      </c>
      <c r="H7829" s="35">
        <f>SUM(G7829:G7829)</f>
        <v>32.338000000000001</v>
      </c>
      <c r="I7829" s="36"/>
      <c r="J7829" s="125">
        <v>0</v>
      </c>
    </row>
    <row r="7830" spans="1:10" s="144" customFormat="1" ht="15.75" hidden="1" thickBot="1" x14ac:dyDescent="0.3">
      <c r="A7830" s="243"/>
      <c r="B7830" s="246"/>
      <c r="C7830" s="164"/>
      <c r="D7830" s="164"/>
      <c r="E7830" s="165"/>
      <c r="F7830" s="62" t="s">
        <v>418</v>
      </c>
      <c r="G7830" s="63" t="str">
        <f>IF(ISNUMBER(F7830),E7830*F7830,"")</f>
        <v/>
      </c>
      <c r="H7830" s="64"/>
      <c r="I7830" s="28"/>
      <c r="J7830" s="125">
        <v>0</v>
      </c>
    </row>
    <row r="7831" spans="1:10" s="144" customFormat="1" ht="15.75" hidden="1" thickBot="1" x14ac:dyDescent="0.3">
      <c r="A7831" s="241" t="s">
        <v>17207</v>
      </c>
      <c r="B7831" s="244" t="s">
        <v>19504</v>
      </c>
      <c r="C7831" s="160"/>
      <c r="D7831" s="145" t="s">
        <v>16</v>
      </c>
      <c r="E7831" s="146"/>
      <c r="F7831" s="37" t="s">
        <v>418</v>
      </c>
      <c r="G7831" s="147" t="str">
        <f>IF(ISNUMBER(F7831),E7831*F7831,"")</f>
        <v/>
      </c>
      <c r="H7831" s="148"/>
      <c r="I7831" s="149"/>
      <c r="J7831" s="125">
        <v>0</v>
      </c>
    </row>
    <row r="7832" spans="1:10" s="144" customFormat="1" ht="15.75" hidden="1" thickBot="1" x14ac:dyDescent="0.3">
      <c r="A7832" s="242"/>
      <c r="B7832" s="245"/>
      <c r="C7832" s="151"/>
      <c r="D7832" s="151"/>
      <c r="E7832" s="152"/>
      <c r="F7832" s="38" t="s">
        <v>418</v>
      </c>
      <c r="G7832" s="31" t="str">
        <f>IF(ISNUMBER(F7832),E7832*F7832,"")</f>
        <v/>
      </c>
      <c r="H7832" s="32"/>
      <c r="I7832" s="28"/>
      <c r="J7832" s="125">
        <v>0</v>
      </c>
    </row>
    <row r="7833" spans="1:10" s="144" customFormat="1" ht="26.25" hidden="1" thickBot="1" x14ac:dyDescent="0.3">
      <c r="A7833" s="242"/>
      <c r="B7833" s="245"/>
      <c r="C7833" s="155" t="s">
        <v>25901</v>
      </c>
      <c r="D7833" s="155" t="s">
        <v>205</v>
      </c>
      <c r="E7833" s="156">
        <v>1</v>
      </c>
      <c r="F7833" s="28">
        <v>89.850999999999999</v>
      </c>
      <c r="G7833" s="31">
        <f>IF(ISNUMBER(F7833),E7833*F7833,"")</f>
        <v>89.850999999999999</v>
      </c>
      <c r="H7833" s="35">
        <f>SUM(G7833:G7833)</f>
        <v>89.850999999999999</v>
      </c>
      <c r="I7833" s="36"/>
      <c r="J7833" s="125">
        <v>0</v>
      </c>
    </row>
    <row r="7834" spans="1:10" s="144" customFormat="1" ht="15.75" hidden="1" thickBot="1" x14ac:dyDescent="0.3">
      <c r="A7834" s="243"/>
      <c r="B7834" s="246"/>
      <c r="C7834" s="164"/>
      <c r="D7834" s="164"/>
      <c r="E7834" s="165"/>
      <c r="F7834" s="62" t="s">
        <v>418</v>
      </c>
      <c r="G7834" s="63" t="str">
        <f>IF(ISNUMBER(F7834),E7834*F7834,"")</f>
        <v/>
      </c>
      <c r="H7834" s="64"/>
      <c r="I7834" s="28"/>
      <c r="J7834" s="125">
        <v>0</v>
      </c>
    </row>
    <row r="7835" spans="1:10" s="144" customFormat="1" ht="15.75" hidden="1" thickBot="1" x14ac:dyDescent="0.3">
      <c r="A7835" s="241" t="s">
        <v>17208</v>
      </c>
      <c r="B7835" s="244" t="s">
        <v>19505</v>
      </c>
      <c r="C7835" s="160"/>
      <c r="D7835" s="145" t="s">
        <v>16</v>
      </c>
      <c r="E7835" s="146"/>
      <c r="F7835" s="37" t="s">
        <v>418</v>
      </c>
      <c r="G7835" s="147" t="str">
        <f>IF(ISNUMBER(F7835),E7835*F7835,"")</f>
        <v/>
      </c>
      <c r="H7835" s="148"/>
      <c r="I7835" s="149"/>
      <c r="J7835" s="125">
        <v>0</v>
      </c>
    </row>
    <row r="7836" spans="1:10" s="144" customFormat="1" ht="15.75" hidden="1" thickBot="1" x14ac:dyDescent="0.3">
      <c r="A7836" s="242"/>
      <c r="B7836" s="245"/>
      <c r="C7836" s="151"/>
      <c r="D7836" s="151"/>
      <c r="E7836" s="152"/>
      <c r="F7836" s="38" t="s">
        <v>418</v>
      </c>
      <c r="G7836" s="31" t="str">
        <f>IF(ISNUMBER(F7836),E7836*F7836,"")</f>
        <v/>
      </c>
      <c r="H7836" s="32"/>
      <c r="I7836" s="28"/>
      <c r="J7836" s="125">
        <v>0</v>
      </c>
    </row>
    <row r="7837" spans="1:10" s="144" customFormat="1" ht="26.25" hidden="1" thickBot="1" x14ac:dyDescent="0.3">
      <c r="A7837" s="242"/>
      <c r="B7837" s="245"/>
      <c r="C7837" s="155" t="s">
        <v>24924</v>
      </c>
      <c r="D7837" s="155" t="s">
        <v>205</v>
      </c>
      <c r="E7837" s="156">
        <v>1</v>
      </c>
      <c r="F7837" s="28">
        <v>74.869500000000002</v>
      </c>
      <c r="G7837" s="31">
        <f>IF(ISNUMBER(F7837),E7837*F7837,"")</f>
        <v>74.869500000000002</v>
      </c>
      <c r="H7837" s="35">
        <f>SUM(G7837:G7837)</f>
        <v>74.869500000000002</v>
      </c>
      <c r="I7837" s="36"/>
      <c r="J7837" s="125">
        <v>0</v>
      </c>
    </row>
    <row r="7838" spans="1:10" s="144" customFormat="1" ht="15.75" hidden="1" thickBot="1" x14ac:dyDescent="0.3">
      <c r="A7838" s="243"/>
      <c r="B7838" s="246"/>
      <c r="C7838" s="164"/>
      <c r="D7838" s="164"/>
      <c r="E7838" s="165"/>
      <c r="F7838" s="62" t="s">
        <v>418</v>
      </c>
      <c r="G7838" s="63" t="str">
        <f>IF(ISNUMBER(F7838),E7838*F7838,"")</f>
        <v/>
      </c>
      <c r="H7838" s="64"/>
      <c r="I7838" s="28"/>
      <c r="J7838" s="125">
        <v>0</v>
      </c>
    </row>
    <row r="7839" spans="1:10" s="144" customFormat="1" ht="15.75" hidden="1" thickBot="1" x14ac:dyDescent="0.3">
      <c r="A7839" s="241" t="s">
        <v>17209</v>
      </c>
      <c r="B7839" s="244" t="s">
        <v>19506</v>
      </c>
      <c r="C7839" s="160"/>
      <c r="D7839" s="145" t="s">
        <v>16</v>
      </c>
      <c r="E7839" s="146"/>
      <c r="F7839" s="37" t="s">
        <v>418</v>
      </c>
      <c r="G7839" s="147" t="str">
        <f>IF(ISNUMBER(F7839),E7839*F7839,"")</f>
        <v/>
      </c>
      <c r="H7839" s="148"/>
      <c r="I7839" s="149"/>
      <c r="J7839" s="125">
        <v>0</v>
      </c>
    </row>
    <row r="7840" spans="1:10" s="144" customFormat="1" ht="15.75" hidden="1" thickBot="1" x14ac:dyDescent="0.3">
      <c r="A7840" s="242"/>
      <c r="B7840" s="245"/>
      <c r="C7840" s="151"/>
      <c r="D7840" s="151"/>
      <c r="E7840" s="152"/>
      <c r="F7840" s="38" t="s">
        <v>418</v>
      </c>
      <c r="G7840" s="31" t="str">
        <f>IF(ISNUMBER(F7840),E7840*F7840,"")</f>
        <v/>
      </c>
      <c r="H7840" s="32"/>
      <c r="I7840" s="28"/>
      <c r="J7840" s="125">
        <v>0</v>
      </c>
    </row>
    <row r="7841" spans="1:10" s="144" customFormat="1" ht="26.25" hidden="1" thickBot="1" x14ac:dyDescent="0.3">
      <c r="A7841" s="242"/>
      <c r="B7841" s="245"/>
      <c r="C7841" s="155" t="s">
        <v>27648</v>
      </c>
      <c r="D7841" s="155" t="s">
        <v>205</v>
      </c>
      <c r="E7841" s="156">
        <v>1</v>
      </c>
      <c r="F7841" s="28">
        <v>87.171999999999997</v>
      </c>
      <c r="G7841" s="31">
        <f>IF(ISNUMBER(F7841),E7841*F7841,"")</f>
        <v>87.171999999999997</v>
      </c>
      <c r="H7841" s="35">
        <f>SUM(G7841:G7841)</f>
        <v>87.171999999999997</v>
      </c>
      <c r="I7841" s="36"/>
      <c r="J7841" s="125">
        <v>0</v>
      </c>
    </row>
    <row r="7842" spans="1:10" s="144" customFormat="1" ht="15.75" hidden="1" thickBot="1" x14ac:dyDescent="0.3">
      <c r="A7842" s="243"/>
      <c r="B7842" s="246"/>
      <c r="C7842" s="164"/>
      <c r="D7842" s="164"/>
      <c r="E7842" s="165"/>
      <c r="F7842" s="62" t="s">
        <v>418</v>
      </c>
      <c r="G7842" s="63" t="str">
        <f>IF(ISNUMBER(F7842),E7842*F7842,"")</f>
        <v/>
      </c>
      <c r="H7842" s="64"/>
      <c r="I7842" s="28"/>
      <c r="J7842" s="125">
        <v>0</v>
      </c>
    </row>
    <row r="7843" spans="1:10" s="144" customFormat="1" ht="15.75" hidden="1" thickBot="1" x14ac:dyDescent="0.3">
      <c r="A7843" s="241" t="s">
        <v>17210</v>
      </c>
      <c r="B7843" s="244" t="s">
        <v>19507</v>
      </c>
      <c r="C7843" s="160"/>
      <c r="D7843" s="145" t="s">
        <v>16</v>
      </c>
      <c r="E7843" s="146"/>
      <c r="F7843" s="37" t="s">
        <v>418</v>
      </c>
      <c r="G7843" s="147" t="str">
        <f>IF(ISNUMBER(F7843),E7843*F7843,"")</f>
        <v/>
      </c>
      <c r="H7843" s="148"/>
      <c r="I7843" s="149"/>
      <c r="J7843" s="125">
        <v>0</v>
      </c>
    </row>
    <row r="7844" spans="1:10" s="144" customFormat="1" ht="15.75" hidden="1" thickBot="1" x14ac:dyDescent="0.3">
      <c r="A7844" s="242"/>
      <c r="B7844" s="245"/>
      <c r="C7844" s="151"/>
      <c r="D7844" s="151"/>
      <c r="E7844" s="152"/>
      <c r="F7844" s="38" t="s">
        <v>418</v>
      </c>
      <c r="G7844" s="31" t="str">
        <f>IF(ISNUMBER(F7844),E7844*F7844,"")</f>
        <v/>
      </c>
      <c r="H7844" s="32"/>
      <c r="I7844" s="28"/>
      <c r="J7844" s="125">
        <v>0</v>
      </c>
    </row>
    <row r="7845" spans="1:10" s="144" customFormat="1" ht="15.75" hidden="1" thickBot="1" x14ac:dyDescent="0.3">
      <c r="A7845" s="242"/>
      <c r="B7845" s="245"/>
      <c r="C7845" s="155" t="s">
        <v>26290</v>
      </c>
      <c r="D7845" s="155" t="s">
        <v>205</v>
      </c>
      <c r="E7845" s="156">
        <v>1</v>
      </c>
      <c r="F7845" s="28">
        <v>48.953499999999998</v>
      </c>
      <c r="G7845" s="31">
        <f>IF(ISNUMBER(F7845),E7845*F7845,"")</f>
        <v>48.953499999999998</v>
      </c>
      <c r="H7845" s="35">
        <f>SUM(G7845:G7845)</f>
        <v>48.953499999999998</v>
      </c>
      <c r="I7845" s="36"/>
      <c r="J7845" s="125">
        <v>0</v>
      </c>
    </row>
    <row r="7846" spans="1:10" s="144" customFormat="1" ht="15.75" hidden="1" thickBot="1" x14ac:dyDescent="0.3">
      <c r="A7846" s="243"/>
      <c r="B7846" s="246"/>
      <c r="C7846" s="164"/>
      <c r="D7846" s="164"/>
      <c r="E7846" s="165"/>
      <c r="F7846" s="62" t="s">
        <v>418</v>
      </c>
      <c r="G7846" s="63" t="str">
        <f>IF(ISNUMBER(F7846),E7846*F7846,"")</f>
        <v/>
      </c>
      <c r="H7846" s="64"/>
      <c r="I7846" s="28"/>
      <c r="J7846" s="125">
        <v>0</v>
      </c>
    </row>
    <row r="7847" spans="1:10" s="144" customFormat="1" ht="15.75" hidden="1" thickBot="1" x14ac:dyDescent="0.3">
      <c r="A7847" s="241" t="s">
        <v>17211</v>
      </c>
      <c r="B7847" s="244" t="s">
        <v>19508</v>
      </c>
      <c r="C7847" s="160"/>
      <c r="D7847" s="145" t="s">
        <v>16</v>
      </c>
      <c r="E7847" s="146"/>
      <c r="F7847" s="37" t="s">
        <v>418</v>
      </c>
      <c r="G7847" s="147" t="str">
        <f>IF(ISNUMBER(F7847),E7847*F7847,"")</f>
        <v/>
      </c>
      <c r="H7847" s="148"/>
      <c r="I7847" s="149"/>
      <c r="J7847" s="125">
        <v>0</v>
      </c>
    </row>
    <row r="7848" spans="1:10" s="144" customFormat="1" ht="15.75" hidden="1" thickBot="1" x14ac:dyDescent="0.3">
      <c r="A7848" s="242"/>
      <c r="B7848" s="245"/>
      <c r="C7848" s="151"/>
      <c r="D7848" s="151"/>
      <c r="E7848" s="152"/>
      <c r="F7848" s="38" t="s">
        <v>418</v>
      </c>
      <c r="G7848" s="31" t="str">
        <f>IF(ISNUMBER(F7848),E7848*F7848,"")</f>
        <v/>
      </c>
      <c r="H7848" s="32"/>
      <c r="I7848" s="28"/>
      <c r="J7848" s="125">
        <v>0</v>
      </c>
    </row>
    <row r="7849" spans="1:10" s="144" customFormat="1" ht="26.25" hidden="1" thickBot="1" x14ac:dyDescent="0.3">
      <c r="A7849" s="242"/>
      <c r="B7849" s="245"/>
      <c r="C7849" s="155" t="s">
        <v>26177</v>
      </c>
      <c r="D7849" s="155" t="s">
        <v>205</v>
      </c>
      <c r="E7849" s="156">
        <v>1</v>
      </c>
      <c r="F7849" s="28">
        <v>49.817999999999998</v>
      </c>
      <c r="G7849" s="31">
        <f>IF(ISNUMBER(F7849),E7849*F7849,"")</f>
        <v>49.817999999999998</v>
      </c>
      <c r="H7849" s="35">
        <f>SUM(G7849:G7849)</f>
        <v>49.817999999999998</v>
      </c>
      <c r="I7849" s="36"/>
      <c r="J7849" s="125">
        <v>0</v>
      </c>
    </row>
    <row r="7850" spans="1:10" s="144" customFormat="1" ht="15.75" hidden="1" thickBot="1" x14ac:dyDescent="0.3">
      <c r="A7850" s="243"/>
      <c r="B7850" s="246"/>
      <c r="C7850" s="164"/>
      <c r="D7850" s="164"/>
      <c r="E7850" s="165"/>
      <c r="F7850" s="62" t="s">
        <v>418</v>
      </c>
      <c r="G7850" s="63" t="str">
        <f>IF(ISNUMBER(F7850),E7850*F7850,"")</f>
        <v/>
      </c>
      <c r="H7850" s="64"/>
      <c r="I7850" s="28"/>
      <c r="J7850" s="125">
        <v>0</v>
      </c>
    </row>
    <row r="7851" spans="1:10" s="144" customFormat="1" ht="15.75" hidden="1" thickBot="1" x14ac:dyDescent="0.3">
      <c r="A7851" s="241" t="s">
        <v>17212</v>
      </c>
      <c r="B7851" s="244" t="s">
        <v>19509</v>
      </c>
      <c r="C7851" s="160"/>
      <c r="D7851" s="145" t="s">
        <v>16</v>
      </c>
      <c r="E7851" s="146"/>
      <c r="F7851" s="37" t="s">
        <v>418</v>
      </c>
      <c r="G7851" s="147" t="str">
        <f>IF(ISNUMBER(F7851),E7851*F7851,"")</f>
        <v/>
      </c>
      <c r="H7851" s="148"/>
      <c r="I7851" s="149"/>
      <c r="J7851" s="125">
        <v>0</v>
      </c>
    </row>
    <row r="7852" spans="1:10" s="144" customFormat="1" ht="15.75" hidden="1" thickBot="1" x14ac:dyDescent="0.3">
      <c r="A7852" s="242"/>
      <c r="B7852" s="245"/>
      <c r="C7852" s="151"/>
      <c r="D7852" s="151"/>
      <c r="E7852" s="152"/>
      <c r="F7852" s="38" t="s">
        <v>418</v>
      </c>
      <c r="G7852" s="31" t="str">
        <f>IF(ISNUMBER(F7852),E7852*F7852,"")</f>
        <v/>
      </c>
      <c r="H7852" s="32"/>
      <c r="I7852" s="28"/>
      <c r="J7852" s="125">
        <v>0</v>
      </c>
    </row>
    <row r="7853" spans="1:10" s="144" customFormat="1" ht="15.75" hidden="1" thickBot="1" x14ac:dyDescent="0.3">
      <c r="A7853" s="242"/>
      <c r="B7853" s="245"/>
      <c r="C7853" s="155" t="s">
        <v>19798</v>
      </c>
      <c r="D7853" s="155" t="s">
        <v>16</v>
      </c>
      <c r="E7853" s="156">
        <v>1</v>
      </c>
      <c r="F7853" s="28">
        <v>0.95</v>
      </c>
      <c r="G7853" s="31">
        <f>IF(ISNUMBER(F7853),E7853*F7853,"")</f>
        <v>0.95</v>
      </c>
      <c r="H7853" s="35">
        <f>SUM(G7853:G7853)</f>
        <v>0.95</v>
      </c>
      <c r="I7853" s="36"/>
      <c r="J7853" s="125">
        <v>0</v>
      </c>
    </row>
    <row r="7854" spans="1:10" s="144" customFormat="1" ht="15.75" hidden="1" thickBot="1" x14ac:dyDescent="0.3">
      <c r="A7854" s="243"/>
      <c r="B7854" s="246"/>
      <c r="C7854" s="164"/>
      <c r="D7854" s="164"/>
      <c r="E7854" s="165"/>
      <c r="F7854" s="62" t="s">
        <v>418</v>
      </c>
      <c r="G7854" s="63" t="str">
        <f>IF(ISNUMBER(F7854),E7854*F7854,"")</f>
        <v/>
      </c>
      <c r="H7854" s="64"/>
      <c r="I7854" s="28"/>
      <c r="J7854" s="125">
        <v>0</v>
      </c>
    </row>
    <row r="7855" spans="1:10" s="144" customFormat="1" ht="15.75" hidden="1" thickBot="1" x14ac:dyDescent="0.3">
      <c r="A7855" s="241" t="s">
        <v>17213</v>
      </c>
      <c r="B7855" s="244" t="s">
        <v>19510</v>
      </c>
      <c r="C7855" s="160"/>
      <c r="D7855" s="145" t="s">
        <v>16</v>
      </c>
      <c r="E7855" s="146"/>
      <c r="F7855" s="37" t="s">
        <v>418</v>
      </c>
      <c r="G7855" s="147" t="str">
        <f>IF(ISNUMBER(F7855),E7855*F7855,"")</f>
        <v/>
      </c>
      <c r="H7855" s="148"/>
      <c r="I7855" s="149"/>
      <c r="J7855" s="125">
        <v>0</v>
      </c>
    </row>
    <row r="7856" spans="1:10" s="144" customFormat="1" ht="15.75" hidden="1" thickBot="1" x14ac:dyDescent="0.3">
      <c r="A7856" s="242"/>
      <c r="B7856" s="245"/>
      <c r="C7856" s="151"/>
      <c r="D7856" s="151"/>
      <c r="E7856" s="152"/>
      <c r="F7856" s="38" t="s">
        <v>418</v>
      </c>
      <c r="G7856" s="31" t="str">
        <f>IF(ISNUMBER(F7856),E7856*F7856,"")</f>
        <v/>
      </c>
      <c r="H7856" s="32"/>
      <c r="I7856" s="28"/>
      <c r="J7856" s="125">
        <v>0</v>
      </c>
    </row>
    <row r="7857" spans="1:10" s="144" customFormat="1" ht="26.25" hidden="1" thickBot="1" x14ac:dyDescent="0.3">
      <c r="A7857" s="242"/>
      <c r="B7857" s="245"/>
      <c r="C7857" s="155" t="s">
        <v>23452</v>
      </c>
      <c r="D7857" s="155" t="s">
        <v>205</v>
      </c>
      <c r="E7857" s="156">
        <v>1</v>
      </c>
      <c r="F7857" s="28">
        <v>29.915499999999998</v>
      </c>
      <c r="G7857" s="31">
        <f>IF(ISNUMBER(F7857),E7857*F7857,"")</f>
        <v>29.915499999999998</v>
      </c>
      <c r="H7857" s="35">
        <f>SUM(G7857:G7857)</f>
        <v>29.915499999999998</v>
      </c>
      <c r="I7857" s="36"/>
      <c r="J7857" s="125">
        <v>0</v>
      </c>
    </row>
    <row r="7858" spans="1:10" s="144" customFormat="1" ht="15.75" hidden="1" thickBot="1" x14ac:dyDescent="0.3">
      <c r="A7858" s="243"/>
      <c r="B7858" s="246"/>
      <c r="C7858" s="164"/>
      <c r="D7858" s="164"/>
      <c r="E7858" s="165"/>
      <c r="F7858" s="62" t="s">
        <v>418</v>
      </c>
      <c r="G7858" s="63" t="str">
        <f>IF(ISNUMBER(F7858),E7858*F7858,"")</f>
        <v/>
      </c>
      <c r="H7858" s="64"/>
      <c r="I7858" s="28"/>
      <c r="J7858" s="125">
        <v>0</v>
      </c>
    </row>
    <row r="7859" spans="1:10" s="144" customFormat="1" ht="15.75" hidden="1" thickBot="1" x14ac:dyDescent="0.3">
      <c r="A7859" s="241" t="s">
        <v>17214</v>
      </c>
      <c r="B7859" s="244" t="s">
        <v>19511</v>
      </c>
      <c r="C7859" s="160"/>
      <c r="D7859" s="145" t="s">
        <v>16</v>
      </c>
      <c r="E7859" s="146"/>
      <c r="F7859" s="37" t="s">
        <v>418</v>
      </c>
      <c r="G7859" s="147" t="str">
        <f>IF(ISNUMBER(F7859),E7859*F7859,"")</f>
        <v/>
      </c>
      <c r="H7859" s="148"/>
      <c r="I7859" s="149"/>
      <c r="J7859" s="125">
        <v>0</v>
      </c>
    </row>
    <row r="7860" spans="1:10" s="144" customFormat="1" ht="15.75" hidden="1" thickBot="1" x14ac:dyDescent="0.3">
      <c r="A7860" s="242"/>
      <c r="B7860" s="245"/>
      <c r="C7860" s="151"/>
      <c r="D7860" s="151"/>
      <c r="E7860" s="152"/>
      <c r="F7860" s="38" t="s">
        <v>418</v>
      </c>
      <c r="G7860" s="31" t="str">
        <f>IF(ISNUMBER(F7860),E7860*F7860,"")</f>
        <v/>
      </c>
      <c r="H7860" s="32"/>
      <c r="I7860" s="28"/>
      <c r="J7860" s="125">
        <v>0</v>
      </c>
    </row>
    <row r="7861" spans="1:10" s="144" customFormat="1" ht="26.25" hidden="1" thickBot="1" x14ac:dyDescent="0.3">
      <c r="A7861" s="242"/>
      <c r="B7861" s="245"/>
      <c r="C7861" s="155" t="s">
        <v>25851</v>
      </c>
      <c r="D7861" s="155" t="s">
        <v>205</v>
      </c>
      <c r="E7861" s="156">
        <v>1</v>
      </c>
      <c r="F7861" s="28">
        <v>230.869</v>
      </c>
      <c r="G7861" s="31">
        <f>IF(ISNUMBER(F7861),E7861*F7861,"")</f>
        <v>230.869</v>
      </c>
      <c r="H7861" s="35">
        <f>SUM(G7861:G7861)</f>
        <v>230.869</v>
      </c>
      <c r="I7861" s="36"/>
      <c r="J7861" s="125">
        <v>0</v>
      </c>
    </row>
    <row r="7862" spans="1:10" s="144" customFormat="1" ht="15.75" hidden="1" thickBot="1" x14ac:dyDescent="0.3">
      <c r="A7862" s="243"/>
      <c r="B7862" s="246"/>
      <c r="C7862" s="164"/>
      <c r="D7862" s="164"/>
      <c r="E7862" s="165"/>
      <c r="F7862" s="62" t="s">
        <v>418</v>
      </c>
      <c r="G7862" s="63" t="str">
        <f>IF(ISNUMBER(F7862),E7862*F7862,"")</f>
        <v/>
      </c>
      <c r="H7862" s="64"/>
      <c r="I7862" s="28"/>
      <c r="J7862" s="125">
        <v>0</v>
      </c>
    </row>
    <row r="7863" spans="1:10" s="144" customFormat="1" ht="15.75" hidden="1" thickBot="1" x14ac:dyDescent="0.3">
      <c r="A7863" s="241" t="s">
        <v>17215</v>
      </c>
      <c r="B7863" s="244" t="s">
        <v>19512</v>
      </c>
      <c r="C7863" s="160"/>
      <c r="D7863" s="145" t="s">
        <v>16</v>
      </c>
      <c r="E7863" s="146"/>
      <c r="F7863" s="37" t="s">
        <v>418</v>
      </c>
      <c r="G7863" s="147" t="str">
        <f>IF(ISNUMBER(F7863),E7863*F7863,"")</f>
        <v/>
      </c>
      <c r="H7863" s="148"/>
      <c r="I7863" s="149"/>
      <c r="J7863" s="125">
        <v>0</v>
      </c>
    </row>
    <row r="7864" spans="1:10" s="144" customFormat="1" ht="15.75" hidden="1" thickBot="1" x14ac:dyDescent="0.3">
      <c r="A7864" s="242"/>
      <c r="B7864" s="245"/>
      <c r="C7864" s="151"/>
      <c r="D7864" s="151"/>
      <c r="E7864" s="152"/>
      <c r="F7864" s="38" t="s">
        <v>418</v>
      </c>
      <c r="G7864" s="31" t="str">
        <f>IF(ISNUMBER(F7864),E7864*F7864,"")</f>
        <v/>
      </c>
      <c r="H7864" s="32"/>
      <c r="I7864" s="28"/>
      <c r="J7864" s="125">
        <v>0</v>
      </c>
    </row>
    <row r="7865" spans="1:10" s="144" customFormat="1" ht="15.75" hidden="1" thickBot="1" x14ac:dyDescent="0.3">
      <c r="A7865" s="242"/>
      <c r="B7865" s="245"/>
      <c r="C7865" s="155" t="s">
        <v>19799</v>
      </c>
      <c r="D7865" s="155" t="s">
        <v>16</v>
      </c>
      <c r="E7865" s="156">
        <v>1</v>
      </c>
      <c r="F7865" s="28">
        <v>0.95</v>
      </c>
      <c r="G7865" s="31">
        <f>IF(ISNUMBER(F7865),E7865*F7865,"")</f>
        <v>0.95</v>
      </c>
      <c r="H7865" s="35">
        <f>SUM(G7865:G7865)</f>
        <v>0.95</v>
      </c>
      <c r="I7865" s="36"/>
      <c r="J7865" s="125">
        <v>0</v>
      </c>
    </row>
    <row r="7866" spans="1:10" s="144" customFormat="1" ht="15.75" hidden="1" thickBot="1" x14ac:dyDescent="0.3">
      <c r="A7866" s="243"/>
      <c r="B7866" s="246"/>
      <c r="C7866" s="164"/>
      <c r="D7866" s="164"/>
      <c r="E7866" s="165"/>
      <c r="F7866" s="62" t="s">
        <v>418</v>
      </c>
      <c r="G7866" s="63" t="str">
        <f>IF(ISNUMBER(F7866),E7866*F7866,"")</f>
        <v/>
      </c>
      <c r="H7866" s="64"/>
      <c r="I7866" s="28"/>
      <c r="J7866" s="125">
        <v>0</v>
      </c>
    </row>
    <row r="7867" spans="1:10" s="144" customFormat="1" ht="15.75" hidden="1" thickBot="1" x14ac:dyDescent="0.3">
      <c r="A7867" s="241" t="s">
        <v>17216</v>
      </c>
      <c r="B7867" s="244" t="s">
        <v>19513</v>
      </c>
      <c r="C7867" s="160"/>
      <c r="D7867" s="145" t="s">
        <v>16</v>
      </c>
      <c r="E7867" s="146"/>
      <c r="F7867" s="37" t="s">
        <v>418</v>
      </c>
      <c r="G7867" s="147" t="str">
        <f>IF(ISNUMBER(F7867),E7867*F7867,"")</f>
        <v/>
      </c>
      <c r="H7867" s="148"/>
      <c r="I7867" s="149"/>
      <c r="J7867" s="125">
        <v>0</v>
      </c>
    </row>
    <row r="7868" spans="1:10" s="144" customFormat="1" ht="15.75" hidden="1" thickBot="1" x14ac:dyDescent="0.3">
      <c r="A7868" s="242"/>
      <c r="B7868" s="245"/>
      <c r="C7868" s="151"/>
      <c r="D7868" s="151"/>
      <c r="E7868" s="152"/>
      <c r="F7868" s="38" t="s">
        <v>418</v>
      </c>
      <c r="G7868" s="31" t="str">
        <f>IF(ISNUMBER(F7868),E7868*F7868,"")</f>
        <v/>
      </c>
      <c r="H7868" s="32"/>
      <c r="I7868" s="28"/>
      <c r="J7868" s="125">
        <v>0</v>
      </c>
    </row>
    <row r="7869" spans="1:10" s="144" customFormat="1" ht="26.25" hidden="1" thickBot="1" x14ac:dyDescent="0.3">
      <c r="A7869" s="242"/>
      <c r="B7869" s="245"/>
      <c r="C7869" s="155" t="s">
        <v>38874</v>
      </c>
      <c r="D7869" s="155" t="s">
        <v>205</v>
      </c>
      <c r="E7869" s="156">
        <v>1</v>
      </c>
      <c r="F7869" s="28">
        <v>49.513999999999996</v>
      </c>
      <c r="G7869" s="31">
        <f>IF(ISNUMBER(F7869),E7869*F7869,"")</f>
        <v>49.513999999999996</v>
      </c>
      <c r="H7869" s="35">
        <f>SUM(G7869:G7869)</f>
        <v>49.513999999999996</v>
      </c>
      <c r="I7869" s="36"/>
      <c r="J7869" s="125">
        <v>0</v>
      </c>
    </row>
    <row r="7870" spans="1:10" s="144" customFormat="1" ht="15.75" hidden="1" thickBot="1" x14ac:dyDescent="0.3">
      <c r="A7870" s="243"/>
      <c r="B7870" s="246"/>
      <c r="C7870" s="164"/>
      <c r="D7870" s="164"/>
      <c r="E7870" s="165"/>
      <c r="F7870" s="62" t="s">
        <v>418</v>
      </c>
      <c r="G7870" s="63" t="str">
        <f>IF(ISNUMBER(F7870),E7870*F7870,"")</f>
        <v/>
      </c>
      <c r="H7870" s="64"/>
      <c r="I7870" s="28"/>
      <c r="J7870" s="125">
        <v>0</v>
      </c>
    </row>
    <row r="7871" spans="1:10" s="144" customFormat="1" ht="15.75" hidden="1" thickBot="1" x14ac:dyDescent="0.3">
      <c r="A7871" s="241" t="s">
        <v>17217</v>
      </c>
      <c r="B7871" s="244" t="s">
        <v>19514</v>
      </c>
      <c r="C7871" s="160"/>
      <c r="D7871" s="145" t="s">
        <v>16</v>
      </c>
      <c r="E7871" s="146"/>
      <c r="F7871" s="37" t="s">
        <v>418</v>
      </c>
      <c r="G7871" s="147" t="str">
        <f>IF(ISNUMBER(F7871),E7871*F7871,"")</f>
        <v/>
      </c>
      <c r="H7871" s="148"/>
      <c r="I7871" s="149"/>
      <c r="J7871" s="125">
        <v>0</v>
      </c>
    </row>
    <row r="7872" spans="1:10" s="144" customFormat="1" ht="15.75" hidden="1" thickBot="1" x14ac:dyDescent="0.3">
      <c r="A7872" s="242"/>
      <c r="B7872" s="245"/>
      <c r="C7872" s="151"/>
      <c r="D7872" s="151"/>
      <c r="E7872" s="152"/>
      <c r="F7872" s="38" t="s">
        <v>418</v>
      </c>
      <c r="G7872" s="31" t="str">
        <f>IF(ISNUMBER(F7872),E7872*F7872,"")</f>
        <v/>
      </c>
      <c r="H7872" s="32"/>
      <c r="I7872" s="28"/>
      <c r="J7872" s="125">
        <v>0</v>
      </c>
    </row>
    <row r="7873" spans="1:10" s="144" customFormat="1" ht="26.25" hidden="1" thickBot="1" x14ac:dyDescent="0.3">
      <c r="A7873" s="242"/>
      <c r="B7873" s="245"/>
      <c r="C7873" s="155" t="s">
        <v>24954</v>
      </c>
      <c r="D7873" s="155" t="s">
        <v>205</v>
      </c>
      <c r="E7873" s="156">
        <v>1</v>
      </c>
      <c r="F7873" s="28">
        <v>252.18699999999995</v>
      </c>
      <c r="G7873" s="31">
        <f>IF(ISNUMBER(F7873),E7873*F7873,"")</f>
        <v>252.18699999999995</v>
      </c>
      <c r="H7873" s="35">
        <f>SUM(G7873:G7873)</f>
        <v>252.18699999999995</v>
      </c>
      <c r="I7873" s="36"/>
      <c r="J7873" s="125">
        <v>0</v>
      </c>
    </row>
    <row r="7874" spans="1:10" s="144" customFormat="1" ht="15.75" hidden="1" thickBot="1" x14ac:dyDescent="0.3">
      <c r="A7874" s="243"/>
      <c r="B7874" s="246"/>
      <c r="C7874" s="164"/>
      <c r="D7874" s="164"/>
      <c r="E7874" s="165"/>
      <c r="F7874" s="62" t="s">
        <v>418</v>
      </c>
      <c r="G7874" s="63" t="str">
        <f>IF(ISNUMBER(F7874),E7874*F7874,"")</f>
        <v/>
      </c>
      <c r="H7874" s="64"/>
      <c r="I7874" s="28"/>
      <c r="J7874" s="125">
        <v>0</v>
      </c>
    </row>
    <row r="7875" spans="1:10" s="144" customFormat="1" ht="15.75" hidden="1" thickBot="1" x14ac:dyDescent="0.3">
      <c r="A7875" s="241" t="s">
        <v>17218</v>
      </c>
      <c r="B7875" s="244" t="s">
        <v>19515</v>
      </c>
      <c r="C7875" s="160"/>
      <c r="D7875" s="145" t="s">
        <v>16</v>
      </c>
      <c r="E7875" s="146"/>
      <c r="F7875" s="37" t="s">
        <v>418</v>
      </c>
      <c r="G7875" s="147" t="str">
        <f>IF(ISNUMBER(F7875),E7875*F7875,"")</f>
        <v/>
      </c>
      <c r="H7875" s="148"/>
      <c r="I7875" s="149"/>
      <c r="J7875" s="125">
        <v>0</v>
      </c>
    </row>
    <row r="7876" spans="1:10" s="144" customFormat="1" ht="15.75" hidden="1" thickBot="1" x14ac:dyDescent="0.3">
      <c r="A7876" s="242"/>
      <c r="B7876" s="245"/>
      <c r="C7876" s="151"/>
      <c r="D7876" s="151"/>
      <c r="E7876" s="152"/>
      <c r="F7876" s="38" t="s">
        <v>418</v>
      </c>
      <c r="G7876" s="31" t="str">
        <f>IF(ISNUMBER(F7876),E7876*F7876,"")</f>
        <v/>
      </c>
      <c r="H7876" s="32"/>
      <c r="I7876" s="28"/>
      <c r="J7876" s="125">
        <v>0</v>
      </c>
    </row>
    <row r="7877" spans="1:10" s="144" customFormat="1" ht="15.75" hidden="1" thickBot="1" x14ac:dyDescent="0.3">
      <c r="A7877" s="242"/>
      <c r="B7877" s="245"/>
      <c r="C7877" s="155" t="s">
        <v>26281</v>
      </c>
      <c r="D7877" s="155" t="s">
        <v>205</v>
      </c>
      <c r="E7877" s="156">
        <v>1</v>
      </c>
      <c r="F7877" s="28">
        <v>83.125</v>
      </c>
      <c r="G7877" s="31">
        <f>IF(ISNUMBER(F7877),E7877*F7877,"")</f>
        <v>83.125</v>
      </c>
      <c r="H7877" s="35">
        <f>SUM(G7877:G7877)</f>
        <v>83.125</v>
      </c>
      <c r="I7877" s="36"/>
      <c r="J7877" s="125">
        <v>0</v>
      </c>
    </row>
    <row r="7878" spans="1:10" s="144" customFormat="1" ht="15.75" hidden="1" thickBot="1" x14ac:dyDescent="0.3">
      <c r="A7878" s="243"/>
      <c r="B7878" s="246"/>
      <c r="C7878" s="164"/>
      <c r="D7878" s="164"/>
      <c r="E7878" s="165"/>
      <c r="F7878" s="62" t="s">
        <v>418</v>
      </c>
      <c r="G7878" s="63" t="str">
        <f>IF(ISNUMBER(F7878),E7878*F7878,"")</f>
        <v/>
      </c>
      <c r="H7878" s="64"/>
      <c r="I7878" s="28"/>
      <c r="J7878" s="125">
        <v>0</v>
      </c>
    </row>
    <row r="7879" spans="1:10" s="144" customFormat="1" ht="15.75" hidden="1" thickBot="1" x14ac:dyDescent="0.3">
      <c r="A7879" s="241" t="e">
        <f>#REF!</f>
        <v>#REF!</v>
      </c>
      <c r="B7879" s="244" t="s">
        <v>19516</v>
      </c>
      <c r="C7879" s="160"/>
      <c r="D7879" s="145" t="s">
        <v>16</v>
      </c>
      <c r="E7879" s="146"/>
      <c r="F7879" s="37" t="s">
        <v>418</v>
      </c>
      <c r="G7879" s="147" t="str">
        <f>IF(ISNUMBER(F7879),E7879*F7879,"")</f>
        <v/>
      </c>
      <c r="H7879" s="148"/>
      <c r="I7879" s="149"/>
      <c r="J7879" s="125">
        <v>0</v>
      </c>
    </row>
    <row r="7880" spans="1:10" s="144" customFormat="1" ht="15.75" hidden="1" thickBot="1" x14ac:dyDescent="0.3">
      <c r="A7880" s="247"/>
      <c r="B7880" s="245"/>
      <c r="C7880" s="151"/>
      <c r="D7880" s="151"/>
      <c r="E7880" s="152"/>
      <c r="F7880" s="38" t="s">
        <v>418</v>
      </c>
      <c r="G7880" s="31" t="str">
        <f>IF(ISNUMBER(F7880),E7880*F7880,"")</f>
        <v/>
      </c>
      <c r="H7880" s="32"/>
      <c r="I7880" s="28"/>
      <c r="J7880" s="125">
        <v>0</v>
      </c>
    </row>
    <row r="7881" spans="1:10" s="144" customFormat="1" ht="26.25" hidden="1" thickBot="1" x14ac:dyDescent="0.3">
      <c r="A7881" s="247"/>
      <c r="B7881" s="245"/>
      <c r="C7881" s="155" t="s">
        <v>26175</v>
      </c>
      <c r="D7881" s="155" t="s">
        <v>205</v>
      </c>
      <c r="E7881" s="156">
        <v>1</v>
      </c>
      <c r="F7881" s="28">
        <v>79.286999999999992</v>
      </c>
      <c r="G7881" s="31">
        <f>IF(ISNUMBER(F7881),E7881*F7881,"")</f>
        <v>79.286999999999992</v>
      </c>
      <c r="H7881" s="35">
        <f>SUM(G7881:G7881)</f>
        <v>79.286999999999992</v>
      </c>
      <c r="I7881" s="36"/>
      <c r="J7881" s="125">
        <v>0</v>
      </c>
    </row>
    <row r="7882" spans="1:10" s="144" customFormat="1" ht="15.75" hidden="1" thickBot="1" x14ac:dyDescent="0.3">
      <c r="A7882" s="248"/>
      <c r="B7882" s="246"/>
      <c r="C7882" s="164"/>
      <c r="D7882" s="164"/>
      <c r="E7882" s="165"/>
      <c r="F7882" s="62" t="s">
        <v>418</v>
      </c>
      <c r="G7882" s="63" t="str">
        <f>IF(ISNUMBER(F7882),E7882*F7882,"")</f>
        <v/>
      </c>
      <c r="H7882" s="64"/>
      <c r="I7882" s="28"/>
      <c r="J7882" s="125">
        <v>0</v>
      </c>
    </row>
    <row r="7883" spans="1:10" s="144" customFormat="1" ht="15.75" hidden="1" thickBot="1" x14ac:dyDescent="0.3">
      <c r="A7883" s="241" t="e">
        <f>#REF!</f>
        <v>#REF!</v>
      </c>
      <c r="B7883" s="244" t="s">
        <v>19517</v>
      </c>
      <c r="C7883" s="160"/>
      <c r="D7883" s="145" t="s">
        <v>16</v>
      </c>
      <c r="E7883" s="146"/>
      <c r="F7883" s="37" t="s">
        <v>418</v>
      </c>
      <c r="G7883" s="147" t="str">
        <f>IF(ISNUMBER(F7883),E7883*F7883,"")</f>
        <v/>
      </c>
      <c r="H7883" s="148"/>
      <c r="I7883" s="149"/>
      <c r="J7883" s="125">
        <v>0</v>
      </c>
    </row>
    <row r="7884" spans="1:10" s="144" customFormat="1" ht="15.75" hidden="1" thickBot="1" x14ac:dyDescent="0.3">
      <c r="A7884" s="247"/>
      <c r="B7884" s="245"/>
      <c r="C7884" s="151"/>
      <c r="D7884" s="151"/>
      <c r="E7884" s="152"/>
      <c r="F7884" s="38" t="s">
        <v>418</v>
      </c>
      <c r="G7884" s="31" t="str">
        <f>IF(ISNUMBER(F7884),E7884*F7884,"")</f>
        <v/>
      </c>
      <c r="H7884" s="32"/>
      <c r="I7884" s="28"/>
      <c r="J7884" s="125">
        <v>0</v>
      </c>
    </row>
    <row r="7885" spans="1:10" s="144" customFormat="1" ht="15.75" hidden="1" thickBot="1" x14ac:dyDescent="0.3">
      <c r="A7885" s="247"/>
      <c r="B7885" s="245"/>
      <c r="C7885" s="155" t="s">
        <v>38875</v>
      </c>
      <c r="D7885" s="155" t="s">
        <v>205</v>
      </c>
      <c r="E7885" s="156">
        <v>1</v>
      </c>
      <c r="F7885" s="28">
        <v>425.19149999999996</v>
      </c>
      <c r="G7885" s="31">
        <f>IF(ISNUMBER(F7885),E7885*F7885,"")</f>
        <v>425.19149999999996</v>
      </c>
      <c r="H7885" s="35">
        <f>SUM(G7885:G7885)</f>
        <v>425.19149999999996</v>
      </c>
      <c r="I7885" s="36"/>
      <c r="J7885" s="125">
        <v>0</v>
      </c>
    </row>
    <row r="7886" spans="1:10" s="144" customFormat="1" ht="15.75" hidden="1" thickBot="1" x14ac:dyDescent="0.3">
      <c r="A7886" s="248"/>
      <c r="B7886" s="246"/>
      <c r="C7886" s="164"/>
      <c r="D7886" s="164"/>
      <c r="E7886" s="165"/>
      <c r="F7886" s="62" t="s">
        <v>418</v>
      </c>
      <c r="G7886" s="63" t="str">
        <f>IF(ISNUMBER(F7886),E7886*F7886,"")</f>
        <v/>
      </c>
      <c r="H7886" s="64"/>
      <c r="I7886" s="28"/>
      <c r="J7886" s="125">
        <v>0</v>
      </c>
    </row>
    <row r="7887" spans="1:10" s="144" customFormat="1" ht="15.75" hidden="1" thickBot="1" x14ac:dyDescent="0.3">
      <c r="A7887" s="241" t="s">
        <v>17219</v>
      </c>
      <c r="B7887" s="244" t="s">
        <v>19518</v>
      </c>
      <c r="C7887" s="160"/>
      <c r="D7887" s="145" t="s">
        <v>16</v>
      </c>
      <c r="E7887" s="146"/>
      <c r="F7887" s="37" t="s">
        <v>418</v>
      </c>
      <c r="G7887" s="147" t="str">
        <f>IF(ISNUMBER(F7887),E7887*F7887,"")</f>
        <v/>
      </c>
      <c r="H7887" s="148"/>
      <c r="I7887" s="149"/>
      <c r="J7887" s="125">
        <v>0</v>
      </c>
    </row>
    <row r="7888" spans="1:10" s="144" customFormat="1" ht="15.75" hidden="1" thickBot="1" x14ac:dyDescent="0.3">
      <c r="A7888" s="247"/>
      <c r="B7888" s="245"/>
      <c r="C7888" s="151"/>
      <c r="D7888" s="151"/>
      <c r="E7888" s="152"/>
      <c r="F7888" s="38" t="s">
        <v>418</v>
      </c>
      <c r="G7888" s="31" t="str">
        <f>IF(ISNUMBER(F7888),E7888*F7888,"")</f>
        <v/>
      </c>
      <c r="H7888" s="32"/>
      <c r="I7888" s="28"/>
      <c r="J7888" s="125">
        <v>0</v>
      </c>
    </row>
    <row r="7889" spans="1:10" s="144" customFormat="1" ht="26.25" hidden="1" thickBot="1" x14ac:dyDescent="0.3">
      <c r="A7889" s="247"/>
      <c r="B7889" s="245"/>
      <c r="C7889" s="155" t="s">
        <v>23441</v>
      </c>
      <c r="D7889" s="155" t="s">
        <v>205</v>
      </c>
      <c r="E7889" s="156">
        <v>1</v>
      </c>
      <c r="F7889" s="28">
        <v>48.288499999999999</v>
      </c>
      <c r="G7889" s="31">
        <f>IF(ISNUMBER(F7889),E7889*F7889,"")</f>
        <v>48.288499999999999</v>
      </c>
      <c r="H7889" s="35">
        <f>SUM(G7889:G7889)</f>
        <v>48.288499999999999</v>
      </c>
      <c r="I7889" s="36"/>
      <c r="J7889" s="125">
        <v>0</v>
      </c>
    </row>
    <row r="7890" spans="1:10" s="144" customFormat="1" ht="15.75" hidden="1" thickBot="1" x14ac:dyDescent="0.3">
      <c r="A7890" s="248"/>
      <c r="B7890" s="246"/>
      <c r="C7890" s="164"/>
      <c r="D7890" s="164"/>
      <c r="E7890" s="165"/>
      <c r="F7890" s="62" t="s">
        <v>418</v>
      </c>
      <c r="G7890" s="63" t="str">
        <f>IF(ISNUMBER(F7890),E7890*F7890,"")</f>
        <v/>
      </c>
      <c r="H7890" s="64"/>
      <c r="I7890" s="28"/>
      <c r="J7890" s="125">
        <v>0</v>
      </c>
    </row>
    <row r="7891" spans="1:10" s="144" customFormat="1" ht="15.75" hidden="1" thickBot="1" x14ac:dyDescent="0.3">
      <c r="A7891" s="241" t="s">
        <v>17220</v>
      </c>
      <c r="B7891" s="244" t="s">
        <v>19519</v>
      </c>
      <c r="C7891" s="160"/>
      <c r="D7891" s="145" t="s">
        <v>16</v>
      </c>
      <c r="E7891" s="146"/>
      <c r="F7891" s="37" t="s">
        <v>418</v>
      </c>
      <c r="G7891" s="147" t="str">
        <f>IF(ISNUMBER(F7891),E7891*F7891,"")</f>
        <v/>
      </c>
      <c r="H7891" s="148"/>
      <c r="I7891" s="149"/>
      <c r="J7891" s="125">
        <v>0</v>
      </c>
    </row>
    <row r="7892" spans="1:10" s="144" customFormat="1" ht="15.75" hidden="1" thickBot="1" x14ac:dyDescent="0.3">
      <c r="A7892" s="247"/>
      <c r="B7892" s="245"/>
      <c r="C7892" s="151"/>
      <c r="D7892" s="151"/>
      <c r="E7892" s="152"/>
      <c r="F7892" s="38" t="s">
        <v>418</v>
      </c>
      <c r="G7892" s="31" t="str">
        <f>IF(ISNUMBER(F7892),E7892*F7892,"")</f>
        <v/>
      </c>
      <c r="H7892" s="32"/>
      <c r="I7892" s="28"/>
      <c r="J7892" s="125">
        <v>0</v>
      </c>
    </row>
    <row r="7893" spans="1:10" s="144" customFormat="1" ht="26.25" hidden="1" thickBot="1" x14ac:dyDescent="0.3">
      <c r="A7893" s="247"/>
      <c r="B7893" s="245"/>
      <c r="C7893" s="155" t="s">
        <v>23459</v>
      </c>
      <c r="D7893" s="155" t="s">
        <v>205</v>
      </c>
      <c r="E7893" s="156">
        <v>1</v>
      </c>
      <c r="F7893" s="28">
        <v>298.18599999999998</v>
      </c>
      <c r="G7893" s="31">
        <f>IF(ISNUMBER(F7893),E7893*F7893,"")</f>
        <v>298.18599999999998</v>
      </c>
      <c r="H7893" s="35">
        <f>SUM(G7893:G7893)</f>
        <v>298.18599999999998</v>
      </c>
      <c r="I7893" s="36"/>
      <c r="J7893" s="125">
        <v>0</v>
      </c>
    </row>
    <row r="7894" spans="1:10" s="144" customFormat="1" ht="15.75" hidden="1" thickBot="1" x14ac:dyDescent="0.3">
      <c r="A7894" s="248"/>
      <c r="B7894" s="246"/>
      <c r="C7894" s="164"/>
      <c r="D7894" s="164"/>
      <c r="E7894" s="165"/>
      <c r="F7894" s="62" t="s">
        <v>418</v>
      </c>
      <c r="G7894" s="63" t="str">
        <f>IF(ISNUMBER(F7894),E7894*F7894,"")</f>
        <v/>
      </c>
      <c r="H7894" s="64"/>
      <c r="I7894" s="28"/>
      <c r="J7894" s="125">
        <v>0</v>
      </c>
    </row>
    <row r="7895" spans="1:10" s="144" customFormat="1" ht="15.75" hidden="1" thickBot="1" x14ac:dyDescent="0.3">
      <c r="A7895" s="241" t="s">
        <v>17221</v>
      </c>
      <c r="B7895" s="244" t="s">
        <v>19520</v>
      </c>
      <c r="C7895" s="160"/>
      <c r="D7895" s="145" t="s">
        <v>16</v>
      </c>
      <c r="E7895" s="146"/>
      <c r="F7895" s="37" t="s">
        <v>418</v>
      </c>
      <c r="G7895" s="147" t="str">
        <f>IF(ISNUMBER(F7895),E7895*F7895,"")</f>
        <v/>
      </c>
      <c r="H7895" s="148"/>
      <c r="I7895" s="149"/>
      <c r="J7895" s="125">
        <v>0</v>
      </c>
    </row>
    <row r="7896" spans="1:10" s="144" customFormat="1" ht="15.75" hidden="1" thickBot="1" x14ac:dyDescent="0.3">
      <c r="A7896" s="247"/>
      <c r="B7896" s="245"/>
      <c r="C7896" s="151"/>
      <c r="D7896" s="151"/>
      <c r="E7896" s="152"/>
      <c r="F7896" s="38" t="s">
        <v>418</v>
      </c>
      <c r="G7896" s="31" t="str">
        <f>IF(ISNUMBER(F7896),E7896*F7896,"")</f>
        <v/>
      </c>
      <c r="H7896" s="32"/>
      <c r="I7896" s="28"/>
      <c r="J7896" s="125">
        <v>0</v>
      </c>
    </row>
    <row r="7897" spans="1:10" s="144" customFormat="1" ht="15.75" hidden="1" thickBot="1" x14ac:dyDescent="0.3">
      <c r="A7897" s="247"/>
      <c r="B7897" s="245"/>
      <c r="C7897" s="155" t="s">
        <v>26285</v>
      </c>
      <c r="D7897" s="155" t="s">
        <v>205</v>
      </c>
      <c r="E7897" s="156">
        <v>1</v>
      </c>
      <c r="F7897" s="28">
        <v>4.75</v>
      </c>
      <c r="G7897" s="31">
        <f>IF(ISNUMBER(F7897),E7897*F7897,"")</f>
        <v>4.75</v>
      </c>
      <c r="H7897" s="35">
        <f>SUM(G7897:G7897)</f>
        <v>4.75</v>
      </c>
      <c r="I7897" s="36"/>
      <c r="J7897" s="125">
        <v>0</v>
      </c>
    </row>
    <row r="7898" spans="1:10" s="144" customFormat="1" ht="15.75" hidden="1" thickBot="1" x14ac:dyDescent="0.3">
      <c r="A7898" s="248"/>
      <c r="B7898" s="246"/>
      <c r="C7898" s="164"/>
      <c r="D7898" s="164"/>
      <c r="E7898" s="165"/>
      <c r="F7898" s="62" t="s">
        <v>418</v>
      </c>
      <c r="G7898" s="63" t="str">
        <f>IF(ISNUMBER(F7898),E7898*F7898,"")</f>
        <v/>
      </c>
      <c r="H7898" s="64"/>
      <c r="I7898" s="28"/>
      <c r="J7898" s="125">
        <v>0</v>
      </c>
    </row>
    <row r="7899" spans="1:10" s="144" customFormat="1" ht="15.75" hidden="1" thickBot="1" x14ac:dyDescent="0.3">
      <c r="A7899" s="241" t="s">
        <v>17222</v>
      </c>
      <c r="B7899" s="244" t="s">
        <v>19521</v>
      </c>
      <c r="C7899" s="160"/>
      <c r="D7899" s="145" t="s">
        <v>16</v>
      </c>
      <c r="E7899" s="146"/>
      <c r="F7899" s="37" t="s">
        <v>418</v>
      </c>
      <c r="G7899" s="147" t="str">
        <f>IF(ISNUMBER(F7899),E7899*F7899,"")</f>
        <v/>
      </c>
      <c r="H7899" s="148"/>
      <c r="I7899" s="149"/>
      <c r="J7899" s="125">
        <v>0</v>
      </c>
    </row>
    <row r="7900" spans="1:10" s="144" customFormat="1" ht="15.75" hidden="1" thickBot="1" x14ac:dyDescent="0.3">
      <c r="A7900" s="247"/>
      <c r="B7900" s="245"/>
      <c r="C7900" s="151"/>
      <c r="D7900" s="151"/>
      <c r="E7900" s="152"/>
      <c r="F7900" s="38" t="s">
        <v>418</v>
      </c>
      <c r="G7900" s="31" t="str">
        <f>IF(ISNUMBER(F7900),E7900*F7900,"")</f>
        <v/>
      </c>
      <c r="H7900" s="32"/>
      <c r="I7900" s="28"/>
      <c r="J7900" s="125">
        <v>0</v>
      </c>
    </row>
    <row r="7901" spans="1:10" s="144" customFormat="1" ht="15.75" hidden="1" thickBot="1" x14ac:dyDescent="0.3">
      <c r="A7901" s="247"/>
      <c r="B7901" s="245"/>
      <c r="C7901" s="155" t="s">
        <v>19521</v>
      </c>
      <c r="D7901" s="155" t="s">
        <v>16</v>
      </c>
      <c r="E7901" s="156">
        <v>1</v>
      </c>
      <c r="F7901" s="28">
        <v>0.95</v>
      </c>
      <c r="G7901" s="31">
        <f>IF(ISNUMBER(F7901),E7901*F7901,"")</f>
        <v>0.95</v>
      </c>
      <c r="H7901" s="35">
        <f>SUM(G7901:G7901)</f>
        <v>0.95</v>
      </c>
      <c r="I7901" s="36"/>
      <c r="J7901" s="125">
        <v>0</v>
      </c>
    </row>
    <row r="7902" spans="1:10" s="144" customFormat="1" ht="15.75" hidden="1" thickBot="1" x14ac:dyDescent="0.3">
      <c r="A7902" s="248"/>
      <c r="B7902" s="246"/>
      <c r="C7902" s="164"/>
      <c r="D7902" s="164"/>
      <c r="E7902" s="165"/>
      <c r="F7902" s="62" t="s">
        <v>418</v>
      </c>
      <c r="G7902" s="63" t="str">
        <f>IF(ISNUMBER(F7902),E7902*F7902,"")</f>
        <v/>
      </c>
      <c r="H7902" s="64"/>
      <c r="I7902" s="28"/>
      <c r="J7902" s="125">
        <v>0</v>
      </c>
    </row>
    <row r="7903" spans="1:10" s="144" customFormat="1" ht="15.75" hidden="1" thickBot="1" x14ac:dyDescent="0.3">
      <c r="A7903" s="241" t="s">
        <v>17223</v>
      </c>
      <c r="B7903" s="244" t="s">
        <v>19522</v>
      </c>
      <c r="C7903" s="160"/>
      <c r="D7903" s="145" t="s">
        <v>16</v>
      </c>
      <c r="E7903" s="146"/>
      <c r="F7903" s="37" t="s">
        <v>418</v>
      </c>
      <c r="G7903" s="147" t="str">
        <f>IF(ISNUMBER(F7903),E7903*F7903,"")</f>
        <v/>
      </c>
      <c r="H7903" s="148"/>
      <c r="I7903" s="149"/>
      <c r="J7903" s="125">
        <v>0</v>
      </c>
    </row>
    <row r="7904" spans="1:10" s="144" customFormat="1" ht="15.75" hidden="1" thickBot="1" x14ac:dyDescent="0.3">
      <c r="A7904" s="247"/>
      <c r="B7904" s="245"/>
      <c r="C7904" s="151"/>
      <c r="D7904" s="151"/>
      <c r="E7904" s="152"/>
      <c r="F7904" s="38" t="s">
        <v>418</v>
      </c>
      <c r="G7904" s="31" t="str">
        <f>IF(ISNUMBER(F7904),E7904*F7904,"")</f>
        <v/>
      </c>
      <c r="H7904" s="32"/>
      <c r="I7904" s="28"/>
      <c r="J7904" s="125">
        <v>0</v>
      </c>
    </row>
    <row r="7905" spans="1:10" s="144" customFormat="1" ht="26.25" hidden="1" thickBot="1" x14ac:dyDescent="0.3">
      <c r="A7905" s="247"/>
      <c r="B7905" s="245"/>
      <c r="C7905" s="155" t="s">
        <v>25924</v>
      </c>
      <c r="D7905" s="155" t="s">
        <v>205</v>
      </c>
      <c r="E7905" s="156">
        <v>1</v>
      </c>
      <c r="F7905" s="28">
        <v>3.61</v>
      </c>
      <c r="G7905" s="31">
        <f>IF(ISNUMBER(F7905),E7905*F7905,"")</f>
        <v>3.61</v>
      </c>
      <c r="H7905" s="35">
        <f>SUM(G7905:G7905)</f>
        <v>3.61</v>
      </c>
      <c r="I7905" s="36"/>
      <c r="J7905" s="125">
        <v>0</v>
      </c>
    </row>
    <row r="7906" spans="1:10" s="144" customFormat="1" ht="15.75" hidden="1" thickBot="1" x14ac:dyDescent="0.3">
      <c r="A7906" s="248"/>
      <c r="B7906" s="246"/>
      <c r="C7906" s="164"/>
      <c r="D7906" s="164"/>
      <c r="E7906" s="165"/>
      <c r="F7906" s="62" t="s">
        <v>418</v>
      </c>
      <c r="G7906" s="63" t="str">
        <f>IF(ISNUMBER(F7906),E7906*F7906,"")</f>
        <v/>
      </c>
      <c r="H7906" s="64"/>
      <c r="I7906" s="28"/>
      <c r="J7906" s="125">
        <v>0</v>
      </c>
    </row>
    <row r="7907" spans="1:10" s="144" customFormat="1" ht="15.75" hidden="1" thickBot="1" x14ac:dyDescent="0.3">
      <c r="A7907" s="241" t="s">
        <v>17224</v>
      </c>
      <c r="B7907" s="244" t="s">
        <v>19523</v>
      </c>
      <c r="C7907" s="160"/>
      <c r="D7907" s="145" t="s">
        <v>16</v>
      </c>
      <c r="E7907" s="146"/>
      <c r="F7907" s="37" t="s">
        <v>418</v>
      </c>
      <c r="G7907" s="147" t="str">
        <f>IF(ISNUMBER(F7907),E7907*F7907,"")</f>
        <v/>
      </c>
      <c r="H7907" s="148"/>
      <c r="I7907" s="149"/>
      <c r="J7907" s="125">
        <v>0</v>
      </c>
    </row>
    <row r="7908" spans="1:10" s="144" customFormat="1" ht="15.75" hidden="1" thickBot="1" x14ac:dyDescent="0.3">
      <c r="A7908" s="247"/>
      <c r="B7908" s="245"/>
      <c r="C7908" s="151"/>
      <c r="D7908" s="151"/>
      <c r="E7908" s="152"/>
      <c r="F7908" s="38" t="s">
        <v>418</v>
      </c>
      <c r="G7908" s="31" t="str">
        <f>IF(ISNUMBER(F7908),E7908*F7908,"")</f>
        <v/>
      </c>
      <c r="H7908" s="32"/>
      <c r="I7908" s="28"/>
      <c r="J7908" s="125">
        <v>0</v>
      </c>
    </row>
    <row r="7909" spans="1:10" s="144" customFormat="1" ht="26.25" hidden="1" thickBot="1" x14ac:dyDescent="0.3">
      <c r="A7909" s="247"/>
      <c r="B7909" s="245"/>
      <c r="C7909" s="155" t="s">
        <v>27613</v>
      </c>
      <c r="D7909" s="155" t="s">
        <v>205</v>
      </c>
      <c r="E7909" s="156">
        <v>1</v>
      </c>
      <c r="F7909" s="28">
        <v>3.5150000000000001</v>
      </c>
      <c r="G7909" s="31">
        <f>IF(ISNUMBER(F7909),E7909*F7909,"")</f>
        <v>3.5150000000000001</v>
      </c>
      <c r="H7909" s="35">
        <f>SUM(G7909:G7909)</f>
        <v>3.5150000000000001</v>
      </c>
      <c r="I7909" s="36"/>
      <c r="J7909" s="125">
        <v>0</v>
      </c>
    </row>
    <row r="7910" spans="1:10" s="144" customFormat="1" ht="15.75" hidden="1" thickBot="1" x14ac:dyDescent="0.3">
      <c r="A7910" s="248"/>
      <c r="B7910" s="246"/>
      <c r="C7910" s="164"/>
      <c r="D7910" s="164"/>
      <c r="E7910" s="165"/>
      <c r="F7910" s="62" t="s">
        <v>418</v>
      </c>
      <c r="G7910" s="63" t="str">
        <f>IF(ISNUMBER(F7910),E7910*F7910,"")</f>
        <v/>
      </c>
      <c r="H7910" s="64"/>
      <c r="I7910" s="28"/>
      <c r="J7910" s="125">
        <v>0</v>
      </c>
    </row>
    <row r="7911" spans="1:10" s="144" customFormat="1" ht="15.75" hidden="1" thickBot="1" x14ac:dyDescent="0.3">
      <c r="A7911" s="241" t="s">
        <v>17225</v>
      </c>
      <c r="B7911" s="244" t="s">
        <v>19524</v>
      </c>
      <c r="C7911" s="160"/>
      <c r="D7911" s="145" t="s">
        <v>16</v>
      </c>
      <c r="E7911" s="146"/>
      <c r="F7911" s="37" t="s">
        <v>418</v>
      </c>
      <c r="G7911" s="147" t="str">
        <f>IF(ISNUMBER(F7911),E7911*F7911,"")</f>
        <v/>
      </c>
      <c r="H7911" s="148"/>
      <c r="I7911" s="149"/>
      <c r="J7911" s="125">
        <v>0</v>
      </c>
    </row>
    <row r="7912" spans="1:10" s="144" customFormat="1" ht="15.75" hidden="1" thickBot="1" x14ac:dyDescent="0.3">
      <c r="A7912" s="247"/>
      <c r="B7912" s="245"/>
      <c r="C7912" s="151"/>
      <c r="D7912" s="151"/>
      <c r="E7912" s="152"/>
      <c r="F7912" s="38" t="s">
        <v>418</v>
      </c>
      <c r="G7912" s="31" t="str">
        <f>IF(ISNUMBER(F7912),E7912*F7912,"")</f>
        <v/>
      </c>
      <c r="H7912" s="32"/>
      <c r="I7912" s="28"/>
      <c r="J7912" s="125">
        <v>0</v>
      </c>
    </row>
    <row r="7913" spans="1:10" s="144" customFormat="1" ht="15.75" hidden="1" thickBot="1" x14ac:dyDescent="0.3">
      <c r="A7913" s="247"/>
      <c r="B7913" s="245"/>
      <c r="C7913" s="155" t="s">
        <v>24396</v>
      </c>
      <c r="D7913" s="155" t="s">
        <v>205</v>
      </c>
      <c r="E7913" s="156">
        <v>1</v>
      </c>
      <c r="F7913" s="28">
        <v>4.3890000000000002</v>
      </c>
      <c r="G7913" s="31">
        <f>IF(ISNUMBER(F7913),E7913*F7913,"")</f>
        <v>4.3890000000000002</v>
      </c>
      <c r="H7913" s="35">
        <f>SUM(G7913:G7913)</f>
        <v>4.3890000000000002</v>
      </c>
      <c r="I7913" s="36"/>
      <c r="J7913" s="125">
        <v>0</v>
      </c>
    </row>
    <row r="7914" spans="1:10" s="144" customFormat="1" ht="15.75" hidden="1" thickBot="1" x14ac:dyDescent="0.3">
      <c r="A7914" s="248"/>
      <c r="B7914" s="246"/>
      <c r="C7914" s="164"/>
      <c r="D7914" s="164"/>
      <c r="E7914" s="165"/>
      <c r="F7914" s="62" t="s">
        <v>418</v>
      </c>
      <c r="G7914" s="63" t="str">
        <f>IF(ISNUMBER(F7914),E7914*F7914,"")</f>
        <v/>
      </c>
      <c r="H7914" s="64"/>
      <c r="I7914" s="28"/>
      <c r="J7914" s="125">
        <v>0</v>
      </c>
    </row>
    <row r="7915" spans="1:10" s="144" customFormat="1" ht="15.75" hidden="1" thickBot="1" x14ac:dyDescent="0.3">
      <c r="A7915" s="241" t="s">
        <v>17226</v>
      </c>
      <c r="B7915" s="244" t="s">
        <v>19525</v>
      </c>
      <c r="C7915" s="160"/>
      <c r="D7915" s="145" t="s">
        <v>16</v>
      </c>
      <c r="E7915" s="146"/>
      <c r="F7915" s="37" t="s">
        <v>418</v>
      </c>
      <c r="G7915" s="147" t="str">
        <f>IF(ISNUMBER(F7915),E7915*F7915,"")</f>
        <v/>
      </c>
      <c r="H7915" s="148"/>
      <c r="I7915" s="149"/>
      <c r="J7915" s="125">
        <v>0</v>
      </c>
    </row>
    <row r="7916" spans="1:10" s="144" customFormat="1" ht="15.75" hidden="1" thickBot="1" x14ac:dyDescent="0.3">
      <c r="A7916" s="247"/>
      <c r="B7916" s="245"/>
      <c r="C7916" s="151"/>
      <c r="D7916" s="151"/>
      <c r="E7916" s="152"/>
      <c r="F7916" s="38" t="s">
        <v>418</v>
      </c>
      <c r="G7916" s="31" t="str">
        <f>IF(ISNUMBER(F7916),E7916*F7916,"")</f>
        <v/>
      </c>
      <c r="H7916" s="32"/>
      <c r="I7916" s="28"/>
      <c r="J7916" s="125">
        <v>0</v>
      </c>
    </row>
    <row r="7917" spans="1:10" s="144" customFormat="1" ht="26.25" hidden="1" thickBot="1" x14ac:dyDescent="0.3">
      <c r="A7917" s="247"/>
      <c r="B7917" s="245"/>
      <c r="C7917" s="155" t="s">
        <v>25823</v>
      </c>
      <c r="D7917" s="155" t="s">
        <v>205</v>
      </c>
      <c r="E7917" s="156">
        <v>1</v>
      </c>
      <c r="F7917" s="28">
        <v>5.415</v>
      </c>
      <c r="G7917" s="31">
        <f>IF(ISNUMBER(F7917),E7917*F7917,"")</f>
        <v>5.415</v>
      </c>
      <c r="H7917" s="35">
        <f>SUM(G7917:G7917)</f>
        <v>5.415</v>
      </c>
      <c r="I7917" s="36"/>
      <c r="J7917" s="125">
        <v>0</v>
      </c>
    </row>
    <row r="7918" spans="1:10" s="144" customFormat="1" ht="15.75" hidden="1" thickBot="1" x14ac:dyDescent="0.3">
      <c r="A7918" s="248"/>
      <c r="B7918" s="246"/>
      <c r="C7918" s="164"/>
      <c r="D7918" s="164"/>
      <c r="E7918" s="165"/>
      <c r="F7918" s="62" t="s">
        <v>418</v>
      </c>
      <c r="G7918" s="63" t="str">
        <f>IF(ISNUMBER(F7918),E7918*F7918,"")</f>
        <v/>
      </c>
      <c r="H7918" s="64"/>
      <c r="I7918" s="28"/>
      <c r="J7918" s="125">
        <v>0</v>
      </c>
    </row>
    <row r="7919" spans="1:10" s="144" customFormat="1" ht="15.75" hidden="1" thickBot="1" x14ac:dyDescent="0.3">
      <c r="A7919" s="241" t="s">
        <v>17227</v>
      </c>
      <c r="B7919" s="244" t="s">
        <v>19526</v>
      </c>
      <c r="C7919" s="160"/>
      <c r="D7919" s="145" t="s">
        <v>16</v>
      </c>
      <c r="E7919" s="146"/>
      <c r="F7919" s="37" t="s">
        <v>418</v>
      </c>
      <c r="G7919" s="147" t="str">
        <f>IF(ISNUMBER(F7919),E7919*F7919,"")</f>
        <v/>
      </c>
      <c r="H7919" s="148"/>
      <c r="I7919" s="149"/>
      <c r="J7919" s="125">
        <v>0</v>
      </c>
    </row>
    <row r="7920" spans="1:10" s="144" customFormat="1" ht="15.75" hidden="1" thickBot="1" x14ac:dyDescent="0.3">
      <c r="A7920" s="247"/>
      <c r="B7920" s="245"/>
      <c r="C7920" s="151"/>
      <c r="D7920" s="151"/>
      <c r="E7920" s="152"/>
      <c r="F7920" s="38" t="s">
        <v>418</v>
      </c>
      <c r="G7920" s="31" t="str">
        <f>IF(ISNUMBER(F7920),E7920*F7920,"")</f>
        <v/>
      </c>
      <c r="H7920" s="32"/>
      <c r="I7920" s="28"/>
      <c r="J7920" s="125">
        <v>0</v>
      </c>
    </row>
    <row r="7921" spans="1:10" s="144" customFormat="1" ht="26.25" hidden="1" thickBot="1" x14ac:dyDescent="0.3">
      <c r="A7921" s="247"/>
      <c r="B7921" s="245"/>
      <c r="C7921" s="155" t="s">
        <v>25848</v>
      </c>
      <c r="D7921" s="155" t="s">
        <v>205</v>
      </c>
      <c r="E7921" s="156">
        <v>1</v>
      </c>
      <c r="F7921" s="28">
        <v>2.1280000000000001</v>
      </c>
      <c r="G7921" s="31">
        <f>IF(ISNUMBER(F7921),E7921*F7921,"")</f>
        <v>2.1280000000000001</v>
      </c>
      <c r="H7921" s="35">
        <f>SUM(G7921:G7921)</f>
        <v>2.1280000000000001</v>
      </c>
      <c r="I7921" s="36"/>
      <c r="J7921" s="125">
        <v>0</v>
      </c>
    </row>
    <row r="7922" spans="1:10" s="144" customFormat="1" ht="15.75" hidden="1" thickBot="1" x14ac:dyDescent="0.3">
      <c r="A7922" s="248"/>
      <c r="B7922" s="246"/>
      <c r="C7922" s="164"/>
      <c r="D7922" s="164"/>
      <c r="E7922" s="165"/>
      <c r="F7922" s="62" t="s">
        <v>418</v>
      </c>
      <c r="G7922" s="63" t="str">
        <f>IF(ISNUMBER(F7922),E7922*F7922,"")</f>
        <v/>
      </c>
      <c r="H7922" s="64"/>
      <c r="I7922" s="28"/>
      <c r="J7922" s="125">
        <v>0</v>
      </c>
    </row>
    <row r="7923" spans="1:10" s="144" customFormat="1" ht="15.75" hidden="1" thickBot="1" x14ac:dyDescent="0.3">
      <c r="A7923" s="241" t="s">
        <v>17228</v>
      </c>
      <c r="B7923" s="244" t="s">
        <v>19527</v>
      </c>
      <c r="C7923" s="160"/>
      <c r="D7923" s="145" t="s">
        <v>16</v>
      </c>
      <c r="E7923" s="146"/>
      <c r="F7923" s="37" t="s">
        <v>418</v>
      </c>
      <c r="G7923" s="147" t="str">
        <f>IF(ISNUMBER(F7923),E7923*F7923,"")</f>
        <v/>
      </c>
      <c r="H7923" s="148"/>
      <c r="I7923" s="149"/>
      <c r="J7923" s="125">
        <v>0</v>
      </c>
    </row>
    <row r="7924" spans="1:10" s="144" customFormat="1" ht="15.75" hidden="1" thickBot="1" x14ac:dyDescent="0.3">
      <c r="A7924" s="247"/>
      <c r="B7924" s="245"/>
      <c r="C7924" s="151"/>
      <c r="D7924" s="151"/>
      <c r="E7924" s="152"/>
      <c r="F7924" s="38" t="s">
        <v>418</v>
      </c>
      <c r="G7924" s="31" t="str">
        <f>IF(ISNUMBER(F7924),E7924*F7924,"")</f>
        <v/>
      </c>
      <c r="H7924" s="32"/>
      <c r="I7924" s="28"/>
      <c r="J7924" s="125">
        <v>0</v>
      </c>
    </row>
    <row r="7925" spans="1:10" s="144" customFormat="1" ht="26.25" hidden="1" thickBot="1" x14ac:dyDescent="0.3">
      <c r="A7925" s="247"/>
      <c r="B7925" s="245"/>
      <c r="C7925" s="155" t="s">
        <v>25843</v>
      </c>
      <c r="D7925" s="155" t="s">
        <v>205</v>
      </c>
      <c r="E7925" s="156">
        <v>1</v>
      </c>
      <c r="F7925" s="28">
        <v>2.3559999999999999</v>
      </c>
      <c r="G7925" s="31">
        <f>IF(ISNUMBER(F7925),E7925*F7925,"")</f>
        <v>2.3559999999999999</v>
      </c>
      <c r="H7925" s="35">
        <f>SUM(G7925:G7925)</f>
        <v>2.3559999999999999</v>
      </c>
      <c r="I7925" s="36"/>
      <c r="J7925" s="125">
        <v>0</v>
      </c>
    </row>
    <row r="7926" spans="1:10" s="144" customFormat="1" ht="15.75" hidden="1" thickBot="1" x14ac:dyDescent="0.3">
      <c r="A7926" s="248"/>
      <c r="B7926" s="246"/>
      <c r="C7926" s="164"/>
      <c r="D7926" s="164"/>
      <c r="E7926" s="165"/>
      <c r="F7926" s="62" t="s">
        <v>418</v>
      </c>
      <c r="G7926" s="63" t="str">
        <f>IF(ISNUMBER(F7926),E7926*F7926,"")</f>
        <v/>
      </c>
      <c r="H7926" s="64"/>
      <c r="I7926" s="28"/>
      <c r="J7926" s="125">
        <v>0</v>
      </c>
    </row>
    <row r="7927" spans="1:10" s="144" customFormat="1" ht="15.75" hidden="1" thickBot="1" x14ac:dyDescent="0.3">
      <c r="A7927" s="241" t="s">
        <v>17229</v>
      </c>
      <c r="B7927" s="244" t="s">
        <v>19528</v>
      </c>
      <c r="C7927" s="160"/>
      <c r="D7927" s="145" t="s">
        <v>16</v>
      </c>
      <c r="E7927" s="146"/>
      <c r="F7927" s="37" t="s">
        <v>418</v>
      </c>
      <c r="G7927" s="147" t="str">
        <f>IF(ISNUMBER(F7927),E7927*F7927,"")</f>
        <v/>
      </c>
      <c r="H7927" s="148"/>
      <c r="I7927" s="149"/>
      <c r="J7927" s="125">
        <v>0</v>
      </c>
    </row>
    <row r="7928" spans="1:10" s="144" customFormat="1" ht="15.75" hidden="1" thickBot="1" x14ac:dyDescent="0.3">
      <c r="A7928" s="247"/>
      <c r="B7928" s="245"/>
      <c r="C7928" s="151"/>
      <c r="D7928" s="151"/>
      <c r="E7928" s="152"/>
      <c r="F7928" s="38" t="s">
        <v>418</v>
      </c>
      <c r="G7928" s="31" t="str">
        <f>IF(ISNUMBER(F7928),E7928*F7928,"")</f>
        <v/>
      </c>
      <c r="H7928" s="32"/>
      <c r="I7928" s="28"/>
      <c r="J7928" s="125">
        <v>0</v>
      </c>
    </row>
    <row r="7929" spans="1:10" s="144" customFormat="1" ht="15.75" hidden="1" thickBot="1" x14ac:dyDescent="0.3">
      <c r="A7929" s="247"/>
      <c r="B7929" s="245"/>
      <c r="C7929" s="155" t="s">
        <v>24948</v>
      </c>
      <c r="D7929" s="155" t="s">
        <v>205</v>
      </c>
      <c r="E7929" s="156">
        <v>1</v>
      </c>
      <c r="F7929" s="28">
        <v>6.6120000000000001</v>
      </c>
      <c r="G7929" s="31">
        <f>IF(ISNUMBER(F7929),E7929*F7929,"")</f>
        <v>6.6120000000000001</v>
      </c>
      <c r="H7929" s="35">
        <f>SUM(G7929:G7929)</f>
        <v>6.6120000000000001</v>
      </c>
      <c r="I7929" s="36"/>
      <c r="J7929" s="125">
        <v>0</v>
      </c>
    </row>
    <row r="7930" spans="1:10" s="144" customFormat="1" ht="15.75" hidden="1" thickBot="1" x14ac:dyDescent="0.3">
      <c r="A7930" s="248"/>
      <c r="B7930" s="246"/>
      <c r="C7930" s="164"/>
      <c r="D7930" s="164"/>
      <c r="E7930" s="165"/>
      <c r="F7930" s="62" t="s">
        <v>418</v>
      </c>
      <c r="G7930" s="63" t="str">
        <f>IF(ISNUMBER(F7930),E7930*F7930,"")</f>
        <v/>
      </c>
      <c r="H7930" s="64"/>
      <c r="I7930" s="28"/>
      <c r="J7930" s="125">
        <v>0</v>
      </c>
    </row>
    <row r="7931" spans="1:10" s="144" customFormat="1" ht="15.75" hidden="1" thickBot="1" x14ac:dyDescent="0.3">
      <c r="A7931" s="241" t="s">
        <v>17230</v>
      </c>
      <c r="B7931" s="244" t="s">
        <v>19529</v>
      </c>
      <c r="C7931" s="160"/>
      <c r="D7931" s="145" t="s">
        <v>16</v>
      </c>
      <c r="E7931" s="146"/>
      <c r="F7931" s="37" t="s">
        <v>418</v>
      </c>
      <c r="G7931" s="147" t="str">
        <f>IF(ISNUMBER(F7931),E7931*F7931,"")</f>
        <v/>
      </c>
      <c r="H7931" s="148"/>
      <c r="I7931" s="149"/>
      <c r="J7931" s="125">
        <v>0</v>
      </c>
    </row>
    <row r="7932" spans="1:10" s="144" customFormat="1" ht="15.75" hidden="1" thickBot="1" x14ac:dyDescent="0.3">
      <c r="A7932" s="247"/>
      <c r="B7932" s="245"/>
      <c r="C7932" s="151"/>
      <c r="D7932" s="151"/>
      <c r="E7932" s="152"/>
      <c r="F7932" s="38" t="s">
        <v>418</v>
      </c>
      <c r="G7932" s="31" t="str">
        <f>IF(ISNUMBER(F7932),E7932*F7932,"")</f>
        <v/>
      </c>
      <c r="H7932" s="32"/>
      <c r="I7932" s="28"/>
      <c r="J7932" s="125">
        <v>0</v>
      </c>
    </row>
    <row r="7933" spans="1:10" s="144" customFormat="1" ht="26.25" hidden="1" thickBot="1" x14ac:dyDescent="0.3">
      <c r="A7933" s="247"/>
      <c r="B7933" s="245"/>
      <c r="C7933" s="155" t="s">
        <v>26319</v>
      </c>
      <c r="D7933" s="155" t="s">
        <v>205</v>
      </c>
      <c r="E7933" s="156">
        <v>1</v>
      </c>
      <c r="F7933" s="28">
        <v>3.1635</v>
      </c>
      <c r="G7933" s="31">
        <f>IF(ISNUMBER(F7933),E7933*F7933,"")</f>
        <v>3.1635</v>
      </c>
      <c r="H7933" s="35">
        <f>SUM(G7933:G7933)</f>
        <v>3.1635</v>
      </c>
      <c r="I7933" s="36"/>
      <c r="J7933" s="125">
        <v>0</v>
      </c>
    </row>
    <row r="7934" spans="1:10" s="144" customFormat="1" ht="15.75" hidden="1" thickBot="1" x14ac:dyDescent="0.3">
      <c r="A7934" s="248"/>
      <c r="B7934" s="246"/>
      <c r="C7934" s="164"/>
      <c r="D7934" s="164"/>
      <c r="E7934" s="165"/>
      <c r="F7934" s="62" t="s">
        <v>418</v>
      </c>
      <c r="G7934" s="63" t="str">
        <f>IF(ISNUMBER(F7934),E7934*F7934,"")</f>
        <v/>
      </c>
      <c r="H7934" s="64"/>
      <c r="I7934" s="28"/>
      <c r="J7934" s="125">
        <v>0</v>
      </c>
    </row>
    <row r="7935" spans="1:10" s="144" customFormat="1" ht="15.75" hidden="1" thickBot="1" x14ac:dyDescent="0.3">
      <c r="A7935" s="241" t="s">
        <v>17231</v>
      </c>
      <c r="B7935" s="244" t="s">
        <v>19530</v>
      </c>
      <c r="C7935" s="160"/>
      <c r="D7935" s="145" t="s">
        <v>16</v>
      </c>
      <c r="E7935" s="146"/>
      <c r="F7935" s="37" t="s">
        <v>418</v>
      </c>
      <c r="G7935" s="147" t="str">
        <f>IF(ISNUMBER(F7935),E7935*F7935,"")</f>
        <v/>
      </c>
      <c r="H7935" s="148"/>
      <c r="I7935" s="149"/>
      <c r="J7935" s="125">
        <v>0</v>
      </c>
    </row>
    <row r="7936" spans="1:10" s="144" customFormat="1" ht="15.75" hidden="1" thickBot="1" x14ac:dyDescent="0.3">
      <c r="A7936" s="247"/>
      <c r="B7936" s="245"/>
      <c r="C7936" s="151"/>
      <c r="D7936" s="151"/>
      <c r="E7936" s="152"/>
      <c r="F7936" s="38" t="s">
        <v>418</v>
      </c>
      <c r="G7936" s="31" t="str">
        <f>IF(ISNUMBER(F7936),E7936*F7936,"")</f>
        <v/>
      </c>
      <c r="H7936" s="32"/>
      <c r="I7936" s="28"/>
      <c r="J7936" s="125">
        <v>0</v>
      </c>
    </row>
    <row r="7937" spans="1:10" s="144" customFormat="1" ht="15.75" hidden="1" thickBot="1" x14ac:dyDescent="0.3">
      <c r="A7937" s="247"/>
      <c r="B7937" s="245"/>
      <c r="C7937" s="155" t="s">
        <v>26182</v>
      </c>
      <c r="D7937" s="155" t="s">
        <v>205</v>
      </c>
      <c r="E7937" s="156">
        <v>1</v>
      </c>
      <c r="F7937" s="28">
        <v>10.754</v>
      </c>
      <c r="G7937" s="31">
        <f>IF(ISNUMBER(F7937),E7937*F7937,"")</f>
        <v>10.754</v>
      </c>
      <c r="H7937" s="35">
        <f>SUM(G7937:G7937)</f>
        <v>10.754</v>
      </c>
      <c r="I7937" s="36"/>
      <c r="J7937" s="125">
        <v>0</v>
      </c>
    </row>
    <row r="7938" spans="1:10" s="144" customFormat="1" ht="15.75" hidden="1" thickBot="1" x14ac:dyDescent="0.3">
      <c r="A7938" s="248"/>
      <c r="B7938" s="246"/>
      <c r="C7938" s="164"/>
      <c r="D7938" s="164"/>
      <c r="E7938" s="165"/>
      <c r="F7938" s="62" t="s">
        <v>418</v>
      </c>
      <c r="G7938" s="63" t="str">
        <f>IF(ISNUMBER(F7938),E7938*F7938,"")</f>
        <v/>
      </c>
      <c r="H7938" s="64"/>
      <c r="I7938" s="28"/>
      <c r="J7938" s="125">
        <v>0</v>
      </c>
    </row>
    <row r="7939" spans="1:10" s="144" customFormat="1" ht="15.75" hidden="1" thickBot="1" x14ac:dyDescent="0.3">
      <c r="A7939" s="241" t="s">
        <v>17232</v>
      </c>
      <c r="B7939" s="244" t="s">
        <v>19531</v>
      </c>
      <c r="C7939" s="160"/>
      <c r="D7939" s="145" t="s">
        <v>16</v>
      </c>
      <c r="E7939" s="146"/>
      <c r="F7939" s="37" t="s">
        <v>418</v>
      </c>
      <c r="G7939" s="147" t="str">
        <f>IF(ISNUMBER(F7939),E7939*F7939,"")</f>
        <v/>
      </c>
      <c r="H7939" s="148"/>
      <c r="I7939" s="149"/>
      <c r="J7939" s="125">
        <v>0</v>
      </c>
    </row>
    <row r="7940" spans="1:10" s="144" customFormat="1" ht="15.75" hidden="1" thickBot="1" x14ac:dyDescent="0.3">
      <c r="A7940" s="247"/>
      <c r="B7940" s="245"/>
      <c r="C7940" s="151"/>
      <c r="D7940" s="151"/>
      <c r="E7940" s="152"/>
      <c r="F7940" s="38" t="s">
        <v>418</v>
      </c>
      <c r="G7940" s="31" t="str">
        <f>IF(ISNUMBER(F7940),E7940*F7940,"")</f>
        <v/>
      </c>
      <c r="H7940" s="32"/>
      <c r="I7940" s="28"/>
      <c r="J7940" s="125">
        <v>0</v>
      </c>
    </row>
    <row r="7941" spans="1:10" s="144" customFormat="1" ht="26.25" hidden="1" thickBot="1" x14ac:dyDescent="0.3">
      <c r="A7941" s="247"/>
      <c r="B7941" s="245"/>
      <c r="C7941" s="155" t="s">
        <v>25925</v>
      </c>
      <c r="D7941" s="155" t="s">
        <v>205</v>
      </c>
      <c r="E7941" s="156">
        <v>1</v>
      </c>
      <c r="F7941" s="28">
        <v>9.4239999999999995</v>
      </c>
      <c r="G7941" s="31">
        <f>IF(ISNUMBER(F7941),E7941*F7941,"")</f>
        <v>9.4239999999999995</v>
      </c>
      <c r="H7941" s="35">
        <f>SUM(G7941:G7941)</f>
        <v>9.4239999999999995</v>
      </c>
      <c r="I7941" s="36"/>
      <c r="J7941" s="125">
        <v>0</v>
      </c>
    </row>
    <row r="7942" spans="1:10" s="144" customFormat="1" ht="15.75" hidden="1" thickBot="1" x14ac:dyDescent="0.3">
      <c r="A7942" s="248"/>
      <c r="B7942" s="246"/>
      <c r="C7942" s="164"/>
      <c r="D7942" s="164"/>
      <c r="E7942" s="165"/>
      <c r="F7942" s="62" t="s">
        <v>418</v>
      </c>
      <c r="G7942" s="63" t="str">
        <f>IF(ISNUMBER(F7942),E7942*F7942,"")</f>
        <v/>
      </c>
      <c r="H7942" s="64"/>
      <c r="I7942" s="28"/>
      <c r="J7942" s="125">
        <v>0</v>
      </c>
    </row>
    <row r="7943" spans="1:10" s="144" customFormat="1" ht="15.75" hidden="1" thickBot="1" x14ac:dyDescent="0.3">
      <c r="A7943" s="241" t="s">
        <v>17233</v>
      </c>
      <c r="B7943" s="244" t="s">
        <v>19532</v>
      </c>
      <c r="C7943" s="160"/>
      <c r="D7943" s="145" t="s">
        <v>16</v>
      </c>
      <c r="E7943" s="146"/>
      <c r="F7943" s="37" t="s">
        <v>418</v>
      </c>
      <c r="G7943" s="147" t="str">
        <f>IF(ISNUMBER(F7943),E7943*F7943,"")</f>
        <v/>
      </c>
      <c r="H7943" s="148"/>
      <c r="I7943" s="149"/>
      <c r="J7943" s="125">
        <v>0</v>
      </c>
    </row>
    <row r="7944" spans="1:10" s="144" customFormat="1" ht="15.75" hidden="1" thickBot="1" x14ac:dyDescent="0.3">
      <c r="A7944" s="247"/>
      <c r="B7944" s="245"/>
      <c r="C7944" s="151"/>
      <c r="D7944" s="151"/>
      <c r="E7944" s="152"/>
      <c r="F7944" s="38" t="s">
        <v>418</v>
      </c>
      <c r="G7944" s="31" t="str">
        <f>IF(ISNUMBER(F7944),E7944*F7944,"")</f>
        <v/>
      </c>
      <c r="H7944" s="32"/>
      <c r="I7944" s="28"/>
      <c r="J7944" s="125">
        <v>0</v>
      </c>
    </row>
    <row r="7945" spans="1:10" s="144" customFormat="1" ht="26.25" hidden="1" thickBot="1" x14ac:dyDescent="0.3">
      <c r="A7945" s="247"/>
      <c r="B7945" s="245"/>
      <c r="C7945" s="155" t="s">
        <v>27638</v>
      </c>
      <c r="D7945" s="155" t="s">
        <v>205</v>
      </c>
      <c r="E7945" s="156">
        <v>1</v>
      </c>
      <c r="F7945" s="28">
        <v>7.1819999999999995</v>
      </c>
      <c r="G7945" s="31">
        <f>IF(ISNUMBER(F7945),E7945*F7945,"")</f>
        <v>7.1819999999999995</v>
      </c>
      <c r="H7945" s="35">
        <f>SUM(G7945:G7945)</f>
        <v>7.1819999999999995</v>
      </c>
      <c r="I7945" s="36"/>
      <c r="J7945" s="125">
        <v>0</v>
      </c>
    </row>
    <row r="7946" spans="1:10" s="144" customFormat="1" ht="15.75" hidden="1" thickBot="1" x14ac:dyDescent="0.3">
      <c r="A7946" s="248"/>
      <c r="B7946" s="246"/>
      <c r="C7946" s="164"/>
      <c r="D7946" s="164"/>
      <c r="E7946" s="165"/>
      <c r="F7946" s="62" t="s">
        <v>418</v>
      </c>
      <c r="G7946" s="63" t="str">
        <f>IF(ISNUMBER(F7946),E7946*F7946,"")</f>
        <v/>
      </c>
      <c r="H7946" s="64"/>
      <c r="I7946" s="28"/>
      <c r="J7946" s="125">
        <v>0</v>
      </c>
    </row>
    <row r="7947" spans="1:10" s="144" customFormat="1" ht="15.75" hidden="1" thickBot="1" x14ac:dyDescent="0.3">
      <c r="A7947" s="241" t="s">
        <v>17234</v>
      </c>
      <c r="B7947" s="244" t="s">
        <v>19533</v>
      </c>
      <c r="C7947" s="160"/>
      <c r="D7947" s="145" t="s">
        <v>16</v>
      </c>
      <c r="E7947" s="146"/>
      <c r="F7947" s="37" t="s">
        <v>418</v>
      </c>
      <c r="G7947" s="147" t="str">
        <f>IF(ISNUMBER(F7947),E7947*F7947,"")</f>
        <v/>
      </c>
      <c r="H7947" s="148"/>
      <c r="I7947" s="149"/>
      <c r="J7947" s="125">
        <v>0</v>
      </c>
    </row>
    <row r="7948" spans="1:10" s="144" customFormat="1" ht="15.75" hidden="1" thickBot="1" x14ac:dyDescent="0.3">
      <c r="A7948" s="247"/>
      <c r="B7948" s="245"/>
      <c r="C7948" s="151"/>
      <c r="D7948" s="151"/>
      <c r="E7948" s="152"/>
      <c r="F7948" s="38" t="s">
        <v>418</v>
      </c>
      <c r="G7948" s="31" t="str">
        <f>IF(ISNUMBER(F7948),E7948*F7948,"")</f>
        <v/>
      </c>
      <c r="H7948" s="32"/>
      <c r="I7948" s="28"/>
      <c r="J7948" s="125">
        <v>0</v>
      </c>
    </row>
    <row r="7949" spans="1:10" s="144" customFormat="1" ht="15.75" hidden="1" thickBot="1" x14ac:dyDescent="0.3">
      <c r="A7949" s="247"/>
      <c r="B7949" s="245"/>
      <c r="C7949" s="155" t="s">
        <v>19802</v>
      </c>
      <c r="D7949" s="155" t="s">
        <v>16</v>
      </c>
      <c r="E7949" s="156">
        <v>1</v>
      </c>
      <c r="F7949" s="28">
        <v>0.95</v>
      </c>
      <c r="G7949" s="31">
        <f>IF(ISNUMBER(F7949),E7949*F7949,"")</f>
        <v>0.95</v>
      </c>
      <c r="H7949" s="35">
        <f>SUM(G7949:G7949)</f>
        <v>0.95</v>
      </c>
      <c r="I7949" s="36"/>
      <c r="J7949" s="125">
        <v>0</v>
      </c>
    </row>
    <row r="7950" spans="1:10" s="144" customFormat="1" ht="15.75" hidden="1" thickBot="1" x14ac:dyDescent="0.3">
      <c r="A7950" s="248"/>
      <c r="B7950" s="246"/>
      <c r="C7950" s="164"/>
      <c r="D7950" s="164"/>
      <c r="E7950" s="165"/>
      <c r="F7950" s="62" t="s">
        <v>418</v>
      </c>
      <c r="G7950" s="63" t="str">
        <f>IF(ISNUMBER(F7950),E7950*F7950,"")</f>
        <v/>
      </c>
      <c r="H7950" s="64"/>
      <c r="I7950" s="28"/>
      <c r="J7950" s="125">
        <v>0</v>
      </c>
    </row>
    <row r="7951" spans="1:10" s="144" customFormat="1" ht="15.75" hidden="1" thickBot="1" x14ac:dyDescent="0.3">
      <c r="A7951" s="241" t="s">
        <v>17235</v>
      </c>
      <c r="B7951" s="244" t="s">
        <v>19534</v>
      </c>
      <c r="C7951" s="160"/>
      <c r="D7951" s="145" t="s">
        <v>16</v>
      </c>
      <c r="E7951" s="146"/>
      <c r="F7951" s="37" t="s">
        <v>418</v>
      </c>
      <c r="G7951" s="147" t="str">
        <f>IF(ISNUMBER(F7951),E7951*F7951,"")</f>
        <v/>
      </c>
      <c r="H7951" s="148"/>
      <c r="I7951" s="149"/>
      <c r="J7951" s="125">
        <v>0</v>
      </c>
    </row>
    <row r="7952" spans="1:10" s="144" customFormat="1" ht="15.75" hidden="1" thickBot="1" x14ac:dyDescent="0.3">
      <c r="A7952" s="247"/>
      <c r="B7952" s="245"/>
      <c r="C7952" s="151"/>
      <c r="D7952" s="151"/>
      <c r="E7952" s="152"/>
      <c r="F7952" s="38" t="s">
        <v>418</v>
      </c>
      <c r="G7952" s="31" t="str">
        <f>IF(ISNUMBER(F7952),E7952*F7952,"")</f>
        <v/>
      </c>
      <c r="H7952" s="32"/>
      <c r="I7952" s="28"/>
      <c r="J7952" s="125">
        <v>0</v>
      </c>
    </row>
    <row r="7953" spans="1:10" s="144" customFormat="1" ht="26.25" hidden="1" thickBot="1" x14ac:dyDescent="0.3">
      <c r="A7953" s="247"/>
      <c r="B7953" s="245"/>
      <c r="C7953" s="155" t="s">
        <v>25849</v>
      </c>
      <c r="D7953" s="155" t="s">
        <v>205</v>
      </c>
      <c r="E7953" s="156">
        <v>1</v>
      </c>
      <c r="F7953" s="28">
        <v>2.9259999999999997</v>
      </c>
      <c r="G7953" s="31">
        <f>IF(ISNUMBER(F7953),E7953*F7953,"")</f>
        <v>2.9259999999999997</v>
      </c>
      <c r="H7953" s="35">
        <f>SUM(G7953:G7953)</f>
        <v>2.9259999999999997</v>
      </c>
      <c r="I7953" s="36"/>
      <c r="J7953" s="125">
        <v>0</v>
      </c>
    </row>
    <row r="7954" spans="1:10" s="144" customFormat="1" ht="15.75" hidden="1" thickBot="1" x14ac:dyDescent="0.3">
      <c r="A7954" s="248"/>
      <c r="B7954" s="246"/>
      <c r="C7954" s="164"/>
      <c r="D7954" s="164"/>
      <c r="E7954" s="165"/>
      <c r="F7954" s="62" t="s">
        <v>418</v>
      </c>
      <c r="G7954" s="63" t="str">
        <f>IF(ISNUMBER(F7954),E7954*F7954,"")</f>
        <v/>
      </c>
      <c r="H7954" s="64"/>
      <c r="I7954" s="28"/>
      <c r="J7954" s="125">
        <v>0</v>
      </c>
    </row>
    <row r="7955" spans="1:10" s="144" customFormat="1" ht="15.75" hidden="1" thickBot="1" x14ac:dyDescent="0.3">
      <c r="A7955" s="241" t="s">
        <v>17236</v>
      </c>
      <c r="B7955" s="244" t="s">
        <v>19535</v>
      </c>
      <c r="C7955" s="160"/>
      <c r="D7955" s="145" t="s">
        <v>16</v>
      </c>
      <c r="E7955" s="146"/>
      <c r="F7955" s="37" t="s">
        <v>418</v>
      </c>
      <c r="G7955" s="147" t="str">
        <f>IF(ISNUMBER(F7955),E7955*F7955,"")</f>
        <v/>
      </c>
      <c r="H7955" s="148"/>
      <c r="I7955" s="149"/>
      <c r="J7955" s="125">
        <v>0</v>
      </c>
    </row>
    <row r="7956" spans="1:10" s="144" customFormat="1" ht="15.75" hidden="1" thickBot="1" x14ac:dyDescent="0.3">
      <c r="A7956" s="247"/>
      <c r="B7956" s="245"/>
      <c r="C7956" s="151"/>
      <c r="D7956" s="151"/>
      <c r="E7956" s="152"/>
      <c r="F7956" s="38" t="s">
        <v>418</v>
      </c>
      <c r="G7956" s="31" t="str">
        <f>IF(ISNUMBER(F7956),E7956*F7956,"")</f>
        <v/>
      </c>
      <c r="H7956" s="32"/>
      <c r="I7956" s="28"/>
      <c r="J7956" s="125">
        <v>0</v>
      </c>
    </row>
    <row r="7957" spans="1:10" s="144" customFormat="1" ht="26.25" hidden="1" thickBot="1" x14ac:dyDescent="0.3">
      <c r="A7957" s="247"/>
      <c r="B7957" s="245"/>
      <c r="C7957" s="155" t="s">
        <v>24391</v>
      </c>
      <c r="D7957" s="155" t="s">
        <v>205</v>
      </c>
      <c r="E7957" s="156">
        <v>1</v>
      </c>
      <c r="F7957" s="28">
        <v>4.2844999999999995</v>
      </c>
      <c r="G7957" s="31">
        <f>IF(ISNUMBER(F7957),E7957*F7957,"")</f>
        <v>4.2844999999999995</v>
      </c>
      <c r="H7957" s="35">
        <f>SUM(G7957:G7957)</f>
        <v>4.2844999999999995</v>
      </c>
      <c r="I7957" s="36"/>
      <c r="J7957" s="125">
        <v>0</v>
      </c>
    </row>
    <row r="7958" spans="1:10" s="144" customFormat="1" ht="15.75" hidden="1" thickBot="1" x14ac:dyDescent="0.3">
      <c r="A7958" s="248"/>
      <c r="B7958" s="246"/>
      <c r="C7958" s="164"/>
      <c r="D7958" s="164"/>
      <c r="E7958" s="165"/>
      <c r="F7958" s="62" t="s">
        <v>418</v>
      </c>
      <c r="G7958" s="63" t="str">
        <f>IF(ISNUMBER(F7958),E7958*F7958,"")</f>
        <v/>
      </c>
      <c r="H7958" s="64"/>
      <c r="I7958" s="28"/>
      <c r="J7958" s="125">
        <v>0</v>
      </c>
    </row>
    <row r="7959" spans="1:10" s="144" customFormat="1" ht="15.75" hidden="1" thickBot="1" x14ac:dyDescent="0.3">
      <c r="A7959" s="241" t="s">
        <v>17237</v>
      </c>
      <c r="B7959" s="244" t="s">
        <v>19536</v>
      </c>
      <c r="C7959" s="160"/>
      <c r="D7959" s="145" t="s">
        <v>16</v>
      </c>
      <c r="E7959" s="146"/>
      <c r="F7959" s="37" t="s">
        <v>418</v>
      </c>
      <c r="G7959" s="147" t="str">
        <f>IF(ISNUMBER(F7959),E7959*F7959,"")</f>
        <v/>
      </c>
      <c r="H7959" s="148"/>
      <c r="I7959" s="149"/>
      <c r="J7959" s="125">
        <v>0</v>
      </c>
    </row>
    <row r="7960" spans="1:10" s="144" customFormat="1" ht="15.75" hidden="1" thickBot="1" x14ac:dyDescent="0.3">
      <c r="A7960" s="247"/>
      <c r="B7960" s="245"/>
      <c r="C7960" s="151"/>
      <c r="D7960" s="151"/>
      <c r="E7960" s="152"/>
      <c r="F7960" s="38" t="s">
        <v>418</v>
      </c>
      <c r="G7960" s="31" t="str">
        <f>IF(ISNUMBER(F7960),E7960*F7960,"")</f>
        <v/>
      </c>
      <c r="H7960" s="32"/>
      <c r="I7960" s="28"/>
      <c r="J7960" s="125">
        <v>0</v>
      </c>
    </row>
    <row r="7961" spans="1:10" s="144" customFormat="1" ht="26.25" hidden="1" thickBot="1" x14ac:dyDescent="0.3">
      <c r="A7961" s="247"/>
      <c r="B7961" s="245"/>
      <c r="C7961" s="155" t="s">
        <v>24056</v>
      </c>
      <c r="D7961" s="155" t="s">
        <v>205</v>
      </c>
      <c r="E7961" s="156">
        <v>1</v>
      </c>
      <c r="F7961" s="28">
        <v>5.0729999999999995</v>
      </c>
      <c r="G7961" s="31">
        <f>IF(ISNUMBER(F7961),E7961*F7961,"")</f>
        <v>5.0729999999999995</v>
      </c>
      <c r="H7961" s="35">
        <f>SUM(G7961:G7961)</f>
        <v>5.0729999999999995</v>
      </c>
      <c r="I7961" s="36"/>
      <c r="J7961" s="125">
        <v>0</v>
      </c>
    </row>
    <row r="7962" spans="1:10" s="144" customFormat="1" ht="15.75" hidden="1" thickBot="1" x14ac:dyDescent="0.3">
      <c r="A7962" s="248"/>
      <c r="B7962" s="246"/>
      <c r="C7962" s="164"/>
      <c r="D7962" s="164"/>
      <c r="E7962" s="165"/>
      <c r="F7962" s="62" t="s">
        <v>418</v>
      </c>
      <c r="G7962" s="63" t="str">
        <f>IF(ISNUMBER(F7962),E7962*F7962,"")</f>
        <v/>
      </c>
      <c r="H7962" s="64"/>
      <c r="I7962" s="28"/>
      <c r="J7962" s="125">
        <v>0</v>
      </c>
    </row>
    <row r="7963" spans="1:10" s="144" customFormat="1" ht="15.75" hidden="1" thickBot="1" x14ac:dyDescent="0.3">
      <c r="A7963" s="241" t="s">
        <v>17238</v>
      </c>
      <c r="B7963" s="244" t="s">
        <v>19537</v>
      </c>
      <c r="C7963" s="160"/>
      <c r="D7963" s="145" t="s">
        <v>16</v>
      </c>
      <c r="E7963" s="146"/>
      <c r="F7963" s="37" t="s">
        <v>418</v>
      </c>
      <c r="G7963" s="147" t="str">
        <f>IF(ISNUMBER(F7963),E7963*F7963,"")</f>
        <v/>
      </c>
      <c r="H7963" s="148"/>
      <c r="I7963" s="149"/>
      <c r="J7963" s="125">
        <v>0</v>
      </c>
    </row>
    <row r="7964" spans="1:10" s="144" customFormat="1" ht="15.75" hidden="1" thickBot="1" x14ac:dyDescent="0.3">
      <c r="A7964" s="247"/>
      <c r="B7964" s="245"/>
      <c r="C7964" s="151"/>
      <c r="D7964" s="151"/>
      <c r="E7964" s="152"/>
      <c r="F7964" s="38" t="s">
        <v>418</v>
      </c>
      <c r="G7964" s="31" t="str">
        <f>IF(ISNUMBER(F7964),E7964*F7964,"")</f>
        <v/>
      </c>
      <c r="H7964" s="32"/>
      <c r="I7964" s="28"/>
      <c r="J7964" s="125">
        <v>0</v>
      </c>
    </row>
    <row r="7965" spans="1:10" s="144" customFormat="1" ht="15.75" hidden="1" thickBot="1" x14ac:dyDescent="0.3">
      <c r="A7965" s="247"/>
      <c r="B7965" s="245"/>
      <c r="C7965" s="155" t="s">
        <v>24949</v>
      </c>
      <c r="D7965" s="155" t="s">
        <v>205</v>
      </c>
      <c r="E7965" s="156">
        <v>1</v>
      </c>
      <c r="F7965" s="28">
        <v>13.081499999999998</v>
      </c>
      <c r="G7965" s="31">
        <f>IF(ISNUMBER(F7965),E7965*F7965,"")</f>
        <v>13.081499999999998</v>
      </c>
      <c r="H7965" s="35">
        <f>SUM(G7965:G7965)</f>
        <v>13.081499999999998</v>
      </c>
      <c r="I7965" s="36"/>
      <c r="J7965" s="125">
        <v>0</v>
      </c>
    </row>
    <row r="7966" spans="1:10" s="144" customFormat="1" ht="15.75" hidden="1" thickBot="1" x14ac:dyDescent="0.3">
      <c r="A7966" s="248"/>
      <c r="B7966" s="246"/>
      <c r="C7966" s="164"/>
      <c r="D7966" s="164"/>
      <c r="E7966" s="165"/>
      <c r="F7966" s="62" t="s">
        <v>418</v>
      </c>
      <c r="G7966" s="63" t="str">
        <f>IF(ISNUMBER(F7966),E7966*F7966,"")</f>
        <v/>
      </c>
      <c r="H7966" s="64"/>
      <c r="I7966" s="28"/>
      <c r="J7966" s="125">
        <v>0</v>
      </c>
    </row>
    <row r="7967" spans="1:10" s="144" customFormat="1" ht="15.75" hidden="1" thickBot="1" x14ac:dyDescent="0.3">
      <c r="A7967" s="241" t="s">
        <v>17239</v>
      </c>
      <c r="B7967" s="244" t="s">
        <v>19538</v>
      </c>
      <c r="C7967" s="160"/>
      <c r="D7967" s="145" t="s">
        <v>16</v>
      </c>
      <c r="E7967" s="146"/>
      <c r="F7967" s="37" t="s">
        <v>418</v>
      </c>
      <c r="G7967" s="147" t="str">
        <f>IF(ISNUMBER(F7967),E7967*F7967,"")</f>
        <v/>
      </c>
      <c r="H7967" s="148"/>
      <c r="I7967" s="149"/>
      <c r="J7967" s="125">
        <v>0</v>
      </c>
    </row>
    <row r="7968" spans="1:10" s="144" customFormat="1" ht="15.75" hidden="1" thickBot="1" x14ac:dyDescent="0.3">
      <c r="A7968" s="247"/>
      <c r="B7968" s="245"/>
      <c r="C7968" s="151"/>
      <c r="D7968" s="151"/>
      <c r="E7968" s="152"/>
      <c r="F7968" s="38" t="s">
        <v>418</v>
      </c>
      <c r="G7968" s="31" t="str">
        <f>IF(ISNUMBER(F7968),E7968*F7968,"")</f>
        <v/>
      </c>
      <c r="H7968" s="32"/>
      <c r="I7968" s="28"/>
      <c r="J7968" s="125">
        <v>0</v>
      </c>
    </row>
    <row r="7969" spans="1:10" s="144" customFormat="1" ht="26.25" hidden="1" thickBot="1" x14ac:dyDescent="0.3">
      <c r="A7969" s="247"/>
      <c r="B7969" s="245"/>
      <c r="C7969" s="155" t="s">
        <v>26320</v>
      </c>
      <c r="D7969" s="155" t="s">
        <v>205</v>
      </c>
      <c r="E7969" s="156">
        <v>1</v>
      </c>
      <c r="F7969" s="28">
        <v>6.4124999999999996</v>
      </c>
      <c r="G7969" s="31">
        <f>IF(ISNUMBER(F7969),E7969*F7969,"")</f>
        <v>6.4124999999999996</v>
      </c>
      <c r="H7969" s="35">
        <f>SUM(G7969:G7969)</f>
        <v>6.4124999999999996</v>
      </c>
      <c r="I7969" s="36"/>
      <c r="J7969" s="125">
        <v>0</v>
      </c>
    </row>
    <row r="7970" spans="1:10" s="144" customFormat="1" ht="15.75" hidden="1" thickBot="1" x14ac:dyDescent="0.3">
      <c r="A7970" s="248"/>
      <c r="B7970" s="246"/>
      <c r="C7970" s="164"/>
      <c r="D7970" s="164"/>
      <c r="E7970" s="165"/>
      <c r="F7970" s="62" t="s">
        <v>418</v>
      </c>
      <c r="G7970" s="63" t="str">
        <f>IF(ISNUMBER(F7970),E7970*F7970,"")</f>
        <v/>
      </c>
      <c r="H7970" s="64"/>
      <c r="I7970" s="28"/>
      <c r="J7970" s="125">
        <v>0</v>
      </c>
    </row>
    <row r="7971" spans="1:10" s="144" customFormat="1" ht="15.75" hidden="1" thickBot="1" x14ac:dyDescent="0.3">
      <c r="A7971" s="241" t="s">
        <v>17240</v>
      </c>
      <c r="B7971" s="244" t="s">
        <v>19539</v>
      </c>
      <c r="C7971" s="160"/>
      <c r="D7971" s="145" t="s">
        <v>16</v>
      </c>
      <c r="E7971" s="146"/>
      <c r="F7971" s="37" t="s">
        <v>418</v>
      </c>
      <c r="G7971" s="147" t="str">
        <f>IF(ISNUMBER(F7971),E7971*F7971,"")</f>
        <v/>
      </c>
      <c r="H7971" s="148"/>
      <c r="I7971" s="149"/>
      <c r="J7971" s="125">
        <v>0</v>
      </c>
    </row>
    <row r="7972" spans="1:10" s="144" customFormat="1" ht="15.75" hidden="1" thickBot="1" x14ac:dyDescent="0.3">
      <c r="A7972" s="247"/>
      <c r="B7972" s="245"/>
      <c r="C7972" s="151"/>
      <c r="D7972" s="151"/>
      <c r="E7972" s="152"/>
      <c r="F7972" s="38" t="s">
        <v>418</v>
      </c>
      <c r="G7972" s="31" t="str">
        <f>IF(ISNUMBER(F7972),E7972*F7972,"")</f>
        <v/>
      </c>
      <c r="H7972" s="32"/>
      <c r="I7972" s="28"/>
      <c r="J7972" s="125">
        <v>0</v>
      </c>
    </row>
    <row r="7973" spans="1:10" s="144" customFormat="1" ht="26.25" hidden="1" thickBot="1" x14ac:dyDescent="0.3">
      <c r="A7973" s="247"/>
      <c r="B7973" s="245"/>
      <c r="C7973" s="155" t="s">
        <v>25850</v>
      </c>
      <c r="D7973" s="155" t="s">
        <v>205</v>
      </c>
      <c r="E7973" s="156">
        <v>1</v>
      </c>
      <c r="F7973" s="28">
        <v>6.6499999999999995</v>
      </c>
      <c r="G7973" s="31">
        <f>IF(ISNUMBER(F7973),E7973*F7973,"")</f>
        <v>6.6499999999999995</v>
      </c>
      <c r="H7973" s="35">
        <f>SUM(G7973:G7973)</f>
        <v>6.6499999999999995</v>
      </c>
      <c r="I7973" s="36"/>
      <c r="J7973" s="125">
        <v>0</v>
      </c>
    </row>
    <row r="7974" spans="1:10" s="144" customFormat="1" ht="15.75" hidden="1" thickBot="1" x14ac:dyDescent="0.3">
      <c r="A7974" s="248"/>
      <c r="B7974" s="246"/>
      <c r="C7974" s="164"/>
      <c r="D7974" s="164"/>
      <c r="E7974" s="165"/>
      <c r="F7974" s="62" t="s">
        <v>418</v>
      </c>
      <c r="G7974" s="63" t="str">
        <f>IF(ISNUMBER(F7974),E7974*F7974,"")</f>
        <v/>
      </c>
      <c r="H7974" s="64"/>
      <c r="I7974" s="28"/>
      <c r="J7974" s="125">
        <v>0</v>
      </c>
    </row>
    <row r="7975" spans="1:10" s="144" customFormat="1" ht="15.75" hidden="1" thickBot="1" x14ac:dyDescent="0.3">
      <c r="A7975" s="241" t="s">
        <v>17241</v>
      </c>
      <c r="B7975" s="244" t="s">
        <v>19540</v>
      </c>
      <c r="C7975" s="160"/>
      <c r="D7975" s="145" t="s">
        <v>16</v>
      </c>
      <c r="E7975" s="146"/>
      <c r="F7975" s="37" t="s">
        <v>418</v>
      </c>
      <c r="G7975" s="147" t="str">
        <f>IF(ISNUMBER(F7975),E7975*F7975,"")</f>
        <v/>
      </c>
      <c r="H7975" s="148"/>
      <c r="I7975" s="149"/>
      <c r="J7975" s="125">
        <v>0</v>
      </c>
    </row>
    <row r="7976" spans="1:10" s="144" customFormat="1" ht="15.75" hidden="1" thickBot="1" x14ac:dyDescent="0.3">
      <c r="A7976" s="247"/>
      <c r="B7976" s="245"/>
      <c r="C7976" s="151"/>
      <c r="D7976" s="151"/>
      <c r="E7976" s="152"/>
      <c r="F7976" s="38" t="s">
        <v>418</v>
      </c>
      <c r="G7976" s="31" t="str">
        <f>IF(ISNUMBER(F7976),E7976*F7976,"")</f>
        <v/>
      </c>
      <c r="H7976" s="32"/>
      <c r="I7976" s="28"/>
      <c r="J7976" s="125">
        <v>0</v>
      </c>
    </row>
    <row r="7977" spans="1:10" s="144" customFormat="1" ht="15.75" hidden="1" thickBot="1" x14ac:dyDescent="0.3">
      <c r="A7977" s="247"/>
      <c r="B7977" s="245"/>
      <c r="C7977" s="155" t="s">
        <v>24950</v>
      </c>
      <c r="D7977" s="155" t="s">
        <v>205</v>
      </c>
      <c r="E7977" s="156">
        <v>1</v>
      </c>
      <c r="F7977" s="28">
        <v>42.579000000000001</v>
      </c>
      <c r="G7977" s="31">
        <f>IF(ISNUMBER(F7977),E7977*F7977,"")</f>
        <v>42.579000000000001</v>
      </c>
      <c r="H7977" s="35">
        <f>SUM(G7977:G7977)</f>
        <v>42.579000000000001</v>
      </c>
      <c r="I7977" s="36"/>
      <c r="J7977" s="125">
        <v>0</v>
      </c>
    </row>
    <row r="7978" spans="1:10" s="144" customFormat="1" ht="15.75" hidden="1" thickBot="1" x14ac:dyDescent="0.3">
      <c r="A7978" s="248"/>
      <c r="B7978" s="246"/>
      <c r="C7978" s="164"/>
      <c r="D7978" s="164"/>
      <c r="E7978" s="165"/>
      <c r="F7978" s="62" t="s">
        <v>418</v>
      </c>
      <c r="G7978" s="63" t="str">
        <f>IF(ISNUMBER(F7978),E7978*F7978,"")</f>
        <v/>
      </c>
      <c r="H7978" s="64"/>
      <c r="I7978" s="28"/>
      <c r="J7978" s="125">
        <v>0</v>
      </c>
    </row>
    <row r="7979" spans="1:10" s="144" customFormat="1" ht="15.75" hidden="1" thickBot="1" x14ac:dyDescent="0.3">
      <c r="A7979" s="241" t="s">
        <v>17242</v>
      </c>
      <c r="B7979" s="244" t="s">
        <v>19541</v>
      </c>
      <c r="C7979" s="160"/>
      <c r="D7979" s="145" t="s">
        <v>16</v>
      </c>
      <c r="E7979" s="146"/>
      <c r="F7979" s="37" t="s">
        <v>418</v>
      </c>
      <c r="G7979" s="147" t="str">
        <f>IF(ISNUMBER(F7979),E7979*F7979,"")</f>
        <v/>
      </c>
      <c r="H7979" s="148"/>
      <c r="I7979" s="149"/>
      <c r="J7979" s="125">
        <v>0</v>
      </c>
    </row>
    <row r="7980" spans="1:10" s="144" customFormat="1" ht="15.75" hidden="1" thickBot="1" x14ac:dyDescent="0.3">
      <c r="A7980" s="247"/>
      <c r="B7980" s="245"/>
      <c r="C7980" s="151"/>
      <c r="D7980" s="151"/>
      <c r="E7980" s="152"/>
      <c r="F7980" s="38" t="s">
        <v>418</v>
      </c>
      <c r="G7980" s="31" t="str">
        <f>IF(ISNUMBER(F7980),E7980*F7980,"")</f>
        <v/>
      </c>
      <c r="H7980" s="32"/>
      <c r="I7980" s="28"/>
      <c r="J7980" s="125">
        <v>0</v>
      </c>
    </row>
    <row r="7981" spans="1:10" s="144" customFormat="1" ht="26.25" hidden="1" thickBot="1" x14ac:dyDescent="0.3">
      <c r="A7981" s="247"/>
      <c r="B7981" s="245"/>
      <c r="C7981" s="155" t="s">
        <v>25845</v>
      </c>
      <c r="D7981" s="155" t="s">
        <v>205</v>
      </c>
      <c r="E7981" s="156">
        <v>1</v>
      </c>
      <c r="F7981" s="28">
        <v>7.5810000000000004</v>
      </c>
      <c r="G7981" s="31">
        <f>IF(ISNUMBER(F7981),E7981*F7981,"")</f>
        <v>7.5810000000000004</v>
      </c>
      <c r="H7981" s="35">
        <f>SUM(G7981:G7981)</f>
        <v>7.5810000000000004</v>
      </c>
      <c r="I7981" s="36"/>
      <c r="J7981" s="125">
        <v>0</v>
      </c>
    </row>
    <row r="7982" spans="1:10" s="144" customFormat="1" ht="15.75" hidden="1" thickBot="1" x14ac:dyDescent="0.3">
      <c r="A7982" s="248"/>
      <c r="B7982" s="246"/>
      <c r="C7982" s="164"/>
      <c r="D7982" s="164"/>
      <c r="E7982" s="165"/>
      <c r="F7982" s="62" t="s">
        <v>418</v>
      </c>
      <c r="G7982" s="63" t="str">
        <f>IF(ISNUMBER(F7982),E7982*F7982,"")</f>
        <v/>
      </c>
      <c r="H7982" s="64"/>
      <c r="I7982" s="28"/>
      <c r="J7982" s="125">
        <v>0</v>
      </c>
    </row>
    <row r="7983" spans="1:10" s="144" customFormat="1" ht="15.75" hidden="1" thickBot="1" x14ac:dyDescent="0.3">
      <c r="A7983" s="241" t="s">
        <v>17243</v>
      </c>
      <c r="B7983" s="244" t="s">
        <v>19542</v>
      </c>
      <c r="C7983" s="160"/>
      <c r="D7983" s="145" t="s">
        <v>16</v>
      </c>
      <c r="E7983" s="146"/>
      <c r="F7983" s="37" t="s">
        <v>418</v>
      </c>
      <c r="G7983" s="147" t="str">
        <f>IF(ISNUMBER(F7983),E7983*F7983,"")</f>
        <v/>
      </c>
      <c r="H7983" s="148"/>
      <c r="I7983" s="149"/>
      <c r="J7983" s="125">
        <v>0</v>
      </c>
    </row>
    <row r="7984" spans="1:10" s="144" customFormat="1" ht="15.75" hidden="1" thickBot="1" x14ac:dyDescent="0.3">
      <c r="A7984" s="247"/>
      <c r="B7984" s="245"/>
      <c r="C7984" s="151"/>
      <c r="D7984" s="151"/>
      <c r="E7984" s="152"/>
      <c r="F7984" s="38" t="s">
        <v>418</v>
      </c>
      <c r="G7984" s="31" t="str">
        <f>IF(ISNUMBER(F7984),E7984*F7984,"")</f>
        <v/>
      </c>
      <c r="H7984" s="32"/>
      <c r="I7984" s="28"/>
      <c r="J7984" s="125">
        <v>0</v>
      </c>
    </row>
    <row r="7985" spans="1:10" s="144" customFormat="1" ht="15.75" hidden="1" thickBot="1" x14ac:dyDescent="0.3">
      <c r="A7985" s="247"/>
      <c r="B7985" s="245"/>
      <c r="C7985" s="155" t="s">
        <v>26183</v>
      </c>
      <c r="D7985" s="155" t="s">
        <v>205</v>
      </c>
      <c r="E7985" s="156">
        <v>1</v>
      </c>
      <c r="F7985" s="28">
        <v>11.950999999999999</v>
      </c>
      <c r="G7985" s="31">
        <f>IF(ISNUMBER(F7985),E7985*F7985,"")</f>
        <v>11.950999999999999</v>
      </c>
      <c r="H7985" s="35">
        <f>SUM(G7985:G7985)</f>
        <v>11.950999999999999</v>
      </c>
      <c r="I7985" s="36"/>
      <c r="J7985" s="125">
        <v>0</v>
      </c>
    </row>
    <row r="7986" spans="1:10" s="144" customFormat="1" ht="15.75" hidden="1" thickBot="1" x14ac:dyDescent="0.3">
      <c r="A7986" s="248"/>
      <c r="B7986" s="246"/>
      <c r="C7986" s="164"/>
      <c r="D7986" s="164"/>
      <c r="E7986" s="165"/>
      <c r="F7986" s="62" t="s">
        <v>418</v>
      </c>
      <c r="G7986" s="63" t="str">
        <f>IF(ISNUMBER(F7986),E7986*F7986,"")</f>
        <v/>
      </c>
      <c r="H7986" s="64"/>
      <c r="I7986" s="28"/>
      <c r="J7986" s="125">
        <v>0</v>
      </c>
    </row>
    <row r="7987" spans="1:10" s="144" customFormat="1" ht="15.75" hidden="1" thickBot="1" x14ac:dyDescent="0.3">
      <c r="A7987" s="241" t="s">
        <v>17244</v>
      </c>
      <c r="B7987" s="244" t="s">
        <v>19543</v>
      </c>
      <c r="C7987" s="160"/>
      <c r="D7987" s="145" t="s">
        <v>16</v>
      </c>
      <c r="E7987" s="146"/>
      <c r="F7987" s="37" t="s">
        <v>418</v>
      </c>
      <c r="G7987" s="147" t="str">
        <f>IF(ISNUMBER(F7987),E7987*F7987,"")</f>
        <v/>
      </c>
      <c r="H7987" s="148"/>
      <c r="I7987" s="149"/>
      <c r="J7987" s="125">
        <v>0</v>
      </c>
    </row>
    <row r="7988" spans="1:10" s="144" customFormat="1" ht="15.75" hidden="1" thickBot="1" x14ac:dyDescent="0.3">
      <c r="A7988" s="247"/>
      <c r="B7988" s="245"/>
      <c r="C7988" s="151"/>
      <c r="D7988" s="151"/>
      <c r="E7988" s="152"/>
      <c r="F7988" s="38" t="s">
        <v>418</v>
      </c>
      <c r="G7988" s="31" t="str">
        <f>IF(ISNUMBER(F7988),E7988*F7988,"")</f>
        <v/>
      </c>
      <c r="H7988" s="32"/>
      <c r="I7988" s="28"/>
      <c r="J7988" s="125">
        <v>0</v>
      </c>
    </row>
    <row r="7989" spans="1:10" s="144" customFormat="1" ht="15.75" hidden="1" thickBot="1" x14ac:dyDescent="0.3">
      <c r="A7989" s="247"/>
      <c r="B7989" s="245"/>
      <c r="C7989" s="155" t="s">
        <v>27682</v>
      </c>
      <c r="D7989" s="155" t="s">
        <v>205</v>
      </c>
      <c r="E7989" s="156">
        <v>1</v>
      </c>
      <c r="F7989" s="28">
        <v>27.416999999999998</v>
      </c>
      <c r="G7989" s="31">
        <f>IF(ISNUMBER(F7989),E7989*F7989,"")</f>
        <v>27.416999999999998</v>
      </c>
      <c r="H7989" s="35">
        <f>SUM(G7989:G7989)</f>
        <v>27.416999999999998</v>
      </c>
      <c r="I7989" s="36"/>
      <c r="J7989" s="125">
        <v>0</v>
      </c>
    </row>
    <row r="7990" spans="1:10" s="144" customFormat="1" ht="15.75" hidden="1" thickBot="1" x14ac:dyDescent="0.3">
      <c r="A7990" s="248"/>
      <c r="B7990" s="246"/>
      <c r="C7990" s="164"/>
      <c r="D7990" s="164"/>
      <c r="E7990" s="165"/>
      <c r="F7990" s="62" t="s">
        <v>418</v>
      </c>
      <c r="G7990" s="63" t="str">
        <f>IF(ISNUMBER(F7990),E7990*F7990,"")</f>
        <v/>
      </c>
      <c r="H7990" s="64"/>
      <c r="I7990" s="28"/>
      <c r="J7990" s="125">
        <v>0</v>
      </c>
    </row>
    <row r="7991" spans="1:10" s="144" customFormat="1" ht="15.75" hidden="1" thickBot="1" x14ac:dyDescent="0.3">
      <c r="A7991" s="241" t="s">
        <v>17245</v>
      </c>
      <c r="B7991" s="244" t="s">
        <v>19544</v>
      </c>
      <c r="C7991" s="160"/>
      <c r="D7991" s="145" t="s">
        <v>16</v>
      </c>
      <c r="E7991" s="146"/>
      <c r="F7991" s="37" t="s">
        <v>418</v>
      </c>
      <c r="G7991" s="147" t="str">
        <f>IF(ISNUMBER(F7991),E7991*F7991,"")</f>
        <v/>
      </c>
      <c r="H7991" s="148"/>
      <c r="I7991" s="149"/>
      <c r="J7991" s="125">
        <v>0</v>
      </c>
    </row>
    <row r="7992" spans="1:10" s="144" customFormat="1" ht="15.75" hidden="1" thickBot="1" x14ac:dyDescent="0.3">
      <c r="A7992" s="247"/>
      <c r="B7992" s="245"/>
      <c r="C7992" s="151"/>
      <c r="D7992" s="151"/>
      <c r="E7992" s="152"/>
      <c r="F7992" s="38" t="s">
        <v>418</v>
      </c>
      <c r="G7992" s="31" t="str">
        <f>IF(ISNUMBER(F7992),E7992*F7992,"")</f>
        <v/>
      </c>
      <c r="H7992" s="32"/>
      <c r="I7992" s="28"/>
      <c r="J7992" s="125">
        <v>0</v>
      </c>
    </row>
    <row r="7993" spans="1:10" s="144" customFormat="1" ht="15.75" hidden="1" thickBot="1" x14ac:dyDescent="0.3">
      <c r="A7993" s="247"/>
      <c r="B7993" s="245"/>
      <c r="C7993" s="155" t="s">
        <v>24389</v>
      </c>
      <c r="D7993" s="155" t="s">
        <v>205</v>
      </c>
      <c r="E7993" s="156">
        <v>1</v>
      </c>
      <c r="F7993" s="28">
        <v>10.164999999999999</v>
      </c>
      <c r="G7993" s="31">
        <f>IF(ISNUMBER(F7993),E7993*F7993,"")</f>
        <v>10.164999999999999</v>
      </c>
      <c r="H7993" s="35">
        <f>SUM(G7993:G7993)</f>
        <v>10.164999999999999</v>
      </c>
      <c r="I7993" s="36"/>
      <c r="J7993" s="125">
        <v>0</v>
      </c>
    </row>
    <row r="7994" spans="1:10" s="144" customFormat="1" ht="15.75" hidden="1" thickBot="1" x14ac:dyDescent="0.3">
      <c r="A7994" s="248"/>
      <c r="B7994" s="246"/>
      <c r="C7994" s="164"/>
      <c r="D7994" s="164"/>
      <c r="E7994" s="165"/>
      <c r="F7994" s="62" t="s">
        <v>418</v>
      </c>
      <c r="G7994" s="63" t="str">
        <f>IF(ISNUMBER(F7994),E7994*F7994,"")</f>
        <v/>
      </c>
      <c r="H7994" s="64"/>
      <c r="I7994" s="28"/>
      <c r="J7994" s="125">
        <v>0</v>
      </c>
    </row>
    <row r="7995" spans="1:10" s="144" customFormat="1" ht="15.75" hidden="1" thickBot="1" x14ac:dyDescent="0.3">
      <c r="A7995" s="241" t="s">
        <v>17246</v>
      </c>
      <c r="B7995" s="244" t="s">
        <v>19545</v>
      </c>
      <c r="C7995" s="160"/>
      <c r="D7995" s="145" t="s">
        <v>16</v>
      </c>
      <c r="E7995" s="146"/>
      <c r="F7995" s="37" t="s">
        <v>418</v>
      </c>
      <c r="G7995" s="147" t="str">
        <f>IF(ISNUMBER(F7995),E7995*F7995,"")</f>
        <v/>
      </c>
      <c r="H7995" s="148"/>
      <c r="I7995" s="149"/>
      <c r="J7995" s="125">
        <v>0</v>
      </c>
    </row>
    <row r="7996" spans="1:10" s="144" customFormat="1" ht="15.75" hidden="1" thickBot="1" x14ac:dyDescent="0.3">
      <c r="A7996" s="247"/>
      <c r="B7996" s="245"/>
      <c r="C7996" s="151"/>
      <c r="D7996" s="151"/>
      <c r="E7996" s="152"/>
      <c r="F7996" s="38" t="s">
        <v>418</v>
      </c>
      <c r="G7996" s="31" t="str">
        <f>IF(ISNUMBER(F7996),E7996*F7996,"")</f>
        <v/>
      </c>
      <c r="H7996" s="32"/>
      <c r="I7996" s="28"/>
      <c r="J7996" s="125">
        <v>0</v>
      </c>
    </row>
    <row r="7997" spans="1:10" s="144" customFormat="1" ht="15.75" hidden="1" thickBot="1" x14ac:dyDescent="0.3">
      <c r="A7997" s="247"/>
      <c r="B7997" s="245"/>
      <c r="C7997" s="155" t="s">
        <v>27211</v>
      </c>
      <c r="D7997" s="155" t="s">
        <v>205</v>
      </c>
      <c r="E7997" s="156">
        <v>1</v>
      </c>
      <c r="F7997" s="28">
        <v>7.4384999999999994</v>
      </c>
      <c r="G7997" s="31">
        <f>IF(ISNUMBER(F7997),E7997*F7997,"")</f>
        <v>7.4384999999999994</v>
      </c>
      <c r="H7997" s="35">
        <f>SUM(G7997:G7997)</f>
        <v>7.4384999999999994</v>
      </c>
      <c r="I7997" s="36"/>
      <c r="J7997" s="125">
        <v>0</v>
      </c>
    </row>
    <row r="7998" spans="1:10" s="144" customFormat="1" ht="15.75" hidden="1" thickBot="1" x14ac:dyDescent="0.3">
      <c r="A7998" s="248"/>
      <c r="B7998" s="246"/>
      <c r="C7998" s="164"/>
      <c r="D7998" s="164"/>
      <c r="E7998" s="165"/>
      <c r="F7998" s="62" t="s">
        <v>418</v>
      </c>
      <c r="G7998" s="63" t="str">
        <f>IF(ISNUMBER(F7998),E7998*F7998,"")</f>
        <v/>
      </c>
      <c r="H7998" s="64"/>
      <c r="I7998" s="28"/>
      <c r="J7998" s="125">
        <v>0</v>
      </c>
    </row>
    <row r="7999" spans="1:10" s="144" customFormat="1" ht="15.75" hidden="1" thickBot="1" x14ac:dyDescent="0.3">
      <c r="A7999" s="241" t="s">
        <v>17247</v>
      </c>
      <c r="B7999" s="244" t="s">
        <v>19546</v>
      </c>
      <c r="C7999" s="160"/>
      <c r="D7999" s="145" t="s">
        <v>16</v>
      </c>
      <c r="E7999" s="146"/>
      <c r="F7999" s="37" t="s">
        <v>418</v>
      </c>
      <c r="G7999" s="147" t="str">
        <f>IF(ISNUMBER(F7999),E7999*F7999,"")</f>
        <v/>
      </c>
      <c r="H7999" s="148"/>
      <c r="I7999" s="149"/>
      <c r="J7999" s="125">
        <v>0</v>
      </c>
    </row>
    <row r="8000" spans="1:10" s="144" customFormat="1" ht="15.75" hidden="1" thickBot="1" x14ac:dyDescent="0.3">
      <c r="A8000" s="247"/>
      <c r="B8000" s="245"/>
      <c r="C8000" s="151"/>
      <c r="D8000" s="151"/>
      <c r="E8000" s="152"/>
      <c r="F8000" s="38" t="s">
        <v>418</v>
      </c>
      <c r="G8000" s="31" t="str">
        <f>IF(ISNUMBER(F8000),E8000*F8000,"")</f>
        <v/>
      </c>
      <c r="H8000" s="32"/>
      <c r="I8000" s="28"/>
      <c r="J8000" s="125">
        <v>0</v>
      </c>
    </row>
    <row r="8001" spans="1:10" s="144" customFormat="1" ht="26.25" hidden="1" thickBot="1" x14ac:dyDescent="0.3">
      <c r="A8001" s="247"/>
      <c r="B8001" s="245"/>
      <c r="C8001" s="155" t="s">
        <v>26315</v>
      </c>
      <c r="D8001" s="155" t="s">
        <v>205</v>
      </c>
      <c r="E8001" s="156">
        <v>1</v>
      </c>
      <c r="F8001" s="28">
        <v>6.27</v>
      </c>
      <c r="G8001" s="31">
        <f>IF(ISNUMBER(F8001),E8001*F8001,"")</f>
        <v>6.27</v>
      </c>
      <c r="H8001" s="35">
        <f>SUM(G8001:G8001)</f>
        <v>6.27</v>
      </c>
      <c r="I8001" s="36"/>
      <c r="J8001" s="125">
        <v>0</v>
      </c>
    </row>
    <row r="8002" spans="1:10" s="144" customFormat="1" ht="15.75" hidden="1" thickBot="1" x14ac:dyDescent="0.3">
      <c r="A8002" s="248"/>
      <c r="B8002" s="246"/>
      <c r="C8002" s="164"/>
      <c r="D8002" s="164"/>
      <c r="E8002" s="165"/>
      <c r="F8002" s="62" t="s">
        <v>418</v>
      </c>
      <c r="G8002" s="63" t="str">
        <f>IF(ISNUMBER(F8002),E8002*F8002,"")</f>
        <v/>
      </c>
      <c r="H8002" s="64"/>
      <c r="I8002" s="28"/>
      <c r="J8002" s="125">
        <v>0</v>
      </c>
    </row>
    <row r="8003" spans="1:10" s="144" customFormat="1" ht="15.75" hidden="1" thickBot="1" x14ac:dyDescent="0.3">
      <c r="A8003" s="241" t="s">
        <v>18734</v>
      </c>
      <c r="B8003" s="244" t="s">
        <v>19547</v>
      </c>
      <c r="C8003" s="160"/>
      <c r="D8003" s="145" t="s">
        <v>16</v>
      </c>
      <c r="E8003" s="146"/>
      <c r="F8003" s="37" t="s">
        <v>418</v>
      </c>
      <c r="G8003" s="147" t="str">
        <f>IF(ISNUMBER(F8003),E8003*F8003,"")</f>
        <v/>
      </c>
      <c r="H8003" s="148"/>
      <c r="I8003" s="149"/>
      <c r="J8003" s="125">
        <v>0</v>
      </c>
    </row>
    <row r="8004" spans="1:10" s="144" customFormat="1" ht="15.75" hidden="1" thickBot="1" x14ac:dyDescent="0.3">
      <c r="A8004" s="247"/>
      <c r="B8004" s="245"/>
      <c r="C8004" s="151"/>
      <c r="D8004" s="151"/>
      <c r="E8004" s="152"/>
      <c r="F8004" s="38" t="s">
        <v>418</v>
      </c>
      <c r="G8004" s="31" t="str">
        <f>IF(ISNUMBER(F8004),E8004*F8004,"")</f>
        <v/>
      </c>
      <c r="H8004" s="32"/>
      <c r="I8004" s="28"/>
      <c r="J8004" s="125">
        <v>0</v>
      </c>
    </row>
    <row r="8005" spans="1:10" s="144" customFormat="1" ht="26.25" hidden="1" thickBot="1" x14ac:dyDescent="0.3">
      <c r="A8005" s="247"/>
      <c r="B8005" s="245"/>
      <c r="C8005" s="155" t="s">
        <v>25846</v>
      </c>
      <c r="D8005" s="155" t="s">
        <v>205</v>
      </c>
      <c r="E8005" s="156">
        <v>1</v>
      </c>
      <c r="F8005" s="28">
        <v>7.9419999999999993</v>
      </c>
      <c r="G8005" s="31">
        <f>IF(ISNUMBER(F8005),E8005*F8005,"")</f>
        <v>7.9419999999999993</v>
      </c>
      <c r="H8005" s="35">
        <f>SUM(G8005:G8005)</f>
        <v>7.9419999999999993</v>
      </c>
      <c r="I8005" s="36"/>
      <c r="J8005" s="125">
        <v>0</v>
      </c>
    </row>
    <row r="8006" spans="1:10" s="144" customFormat="1" ht="15.75" hidden="1" thickBot="1" x14ac:dyDescent="0.3">
      <c r="A8006" s="248"/>
      <c r="B8006" s="246"/>
      <c r="C8006" s="164"/>
      <c r="D8006" s="164"/>
      <c r="E8006" s="165"/>
      <c r="F8006" s="62" t="s">
        <v>418</v>
      </c>
      <c r="G8006" s="63" t="str">
        <f>IF(ISNUMBER(F8006),E8006*F8006,"")</f>
        <v/>
      </c>
      <c r="H8006" s="64"/>
      <c r="I8006" s="28"/>
      <c r="J8006" s="125">
        <v>0</v>
      </c>
    </row>
    <row r="8007" spans="1:10" s="144" customFormat="1" ht="15.75" hidden="1" thickBot="1" x14ac:dyDescent="0.3">
      <c r="A8007" s="241" t="s">
        <v>18735</v>
      </c>
      <c r="B8007" s="244" t="s">
        <v>19548</v>
      </c>
      <c r="C8007" s="160"/>
      <c r="D8007" s="145" t="s">
        <v>16</v>
      </c>
      <c r="E8007" s="146"/>
      <c r="F8007" s="37" t="s">
        <v>418</v>
      </c>
      <c r="G8007" s="147" t="str">
        <f>IF(ISNUMBER(F8007),E8007*F8007,"")</f>
        <v/>
      </c>
      <c r="H8007" s="148"/>
      <c r="I8007" s="149"/>
      <c r="J8007" s="125">
        <v>0</v>
      </c>
    </row>
    <row r="8008" spans="1:10" s="144" customFormat="1" ht="15.75" hidden="1" thickBot="1" x14ac:dyDescent="0.3">
      <c r="A8008" s="247"/>
      <c r="B8008" s="245"/>
      <c r="C8008" s="151"/>
      <c r="D8008" s="151"/>
      <c r="E8008" s="152"/>
      <c r="F8008" s="38" t="s">
        <v>418</v>
      </c>
      <c r="G8008" s="31" t="str">
        <f>IF(ISNUMBER(F8008),E8008*F8008,"")</f>
        <v/>
      </c>
      <c r="H8008" s="32"/>
      <c r="I8008" s="28"/>
      <c r="J8008" s="125">
        <v>0</v>
      </c>
    </row>
    <row r="8009" spans="1:10" s="144" customFormat="1" ht="15.75" hidden="1" thickBot="1" x14ac:dyDescent="0.3">
      <c r="A8009" s="247"/>
      <c r="B8009" s="245"/>
      <c r="C8009" s="155" t="s">
        <v>24946</v>
      </c>
      <c r="D8009" s="155" t="s">
        <v>205</v>
      </c>
      <c r="E8009" s="156">
        <v>1</v>
      </c>
      <c r="F8009" s="28">
        <v>55.736499999999999</v>
      </c>
      <c r="G8009" s="31">
        <f>IF(ISNUMBER(F8009),E8009*F8009,"")</f>
        <v>55.736499999999999</v>
      </c>
      <c r="H8009" s="35">
        <f>SUM(G8009:G8009)</f>
        <v>55.736499999999999</v>
      </c>
      <c r="I8009" s="36"/>
      <c r="J8009" s="125">
        <v>0</v>
      </c>
    </row>
    <row r="8010" spans="1:10" s="144" customFormat="1" ht="15.75" hidden="1" thickBot="1" x14ac:dyDescent="0.3">
      <c r="A8010" s="248"/>
      <c r="B8010" s="246"/>
      <c r="C8010" s="164"/>
      <c r="D8010" s="164"/>
      <c r="E8010" s="165"/>
      <c r="F8010" s="62" t="s">
        <v>418</v>
      </c>
      <c r="G8010" s="63" t="str">
        <f>IF(ISNUMBER(F8010),E8010*F8010,"")</f>
        <v/>
      </c>
      <c r="H8010" s="64"/>
      <c r="I8010" s="28"/>
      <c r="J8010" s="125">
        <v>0</v>
      </c>
    </row>
    <row r="8011" spans="1:10" s="144" customFormat="1" ht="15.75" hidden="1" thickBot="1" x14ac:dyDescent="0.3">
      <c r="A8011" s="241" t="s">
        <v>18736</v>
      </c>
      <c r="B8011" s="244" t="s">
        <v>19549</v>
      </c>
      <c r="C8011" s="160"/>
      <c r="D8011" s="145" t="s">
        <v>16</v>
      </c>
      <c r="E8011" s="146"/>
      <c r="F8011" s="37" t="s">
        <v>418</v>
      </c>
      <c r="G8011" s="147" t="str">
        <f>IF(ISNUMBER(F8011),E8011*F8011,"")</f>
        <v/>
      </c>
      <c r="H8011" s="148"/>
      <c r="I8011" s="149"/>
      <c r="J8011" s="125">
        <v>0</v>
      </c>
    </row>
    <row r="8012" spans="1:10" s="144" customFormat="1" ht="15.75" hidden="1" thickBot="1" x14ac:dyDescent="0.3">
      <c r="A8012" s="247"/>
      <c r="B8012" s="245"/>
      <c r="C8012" s="151"/>
      <c r="D8012" s="151"/>
      <c r="E8012" s="152"/>
      <c r="F8012" s="38" t="s">
        <v>418</v>
      </c>
      <c r="G8012" s="31" t="str">
        <f>IF(ISNUMBER(F8012),E8012*F8012,"")</f>
        <v/>
      </c>
      <c r="H8012" s="32"/>
      <c r="I8012" s="28"/>
      <c r="J8012" s="125">
        <v>0</v>
      </c>
    </row>
    <row r="8013" spans="1:10" s="144" customFormat="1" ht="26.25" hidden="1" thickBot="1" x14ac:dyDescent="0.3">
      <c r="A8013" s="247"/>
      <c r="B8013" s="245"/>
      <c r="C8013" s="155" t="s">
        <v>25841</v>
      </c>
      <c r="D8013" s="155" t="s">
        <v>205</v>
      </c>
      <c r="E8013" s="156">
        <v>1</v>
      </c>
      <c r="F8013" s="28">
        <v>8.7399999999999984</v>
      </c>
      <c r="G8013" s="31">
        <f>IF(ISNUMBER(F8013),E8013*F8013,"")</f>
        <v>8.7399999999999984</v>
      </c>
      <c r="H8013" s="35">
        <f>SUM(G8013:G8013)</f>
        <v>8.7399999999999984</v>
      </c>
      <c r="I8013" s="36"/>
      <c r="J8013" s="125">
        <v>0</v>
      </c>
    </row>
    <row r="8014" spans="1:10" s="144" customFormat="1" ht="15.75" hidden="1" thickBot="1" x14ac:dyDescent="0.3">
      <c r="A8014" s="248"/>
      <c r="B8014" s="246"/>
      <c r="C8014" s="164"/>
      <c r="D8014" s="164"/>
      <c r="E8014" s="165"/>
      <c r="F8014" s="62" t="s">
        <v>418</v>
      </c>
      <c r="G8014" s="63" t="str">
        <f>IF(ISNUMBER(F8014),E8014*F8014,"")</f>
        <v/>
      </c>
      <c r="H8014" s="64"/>
      <c r="I8014" s="28"/>
      <c r="J8014" s="125">
        <v>0</v>
      </c>
    </row>
    <row r="8015" spans="1:10" s="144" customFormat="1" ht="15.75" hidden="1" thickBot="1" x14ac:dyDescent="0.3">
      <c r="A8015" s="241" t="s">
        <v>18737</v>
      </c>
      <c r="B8015" s="244" t="s">
        <v>19550</v>
      </c>
      <c r="C8015" s="160"/>
      <c r="D8015" s="145" t="s">
        <v>16</v>
      </c>
      <c r="E8015" s="146"/>
      <c r="F8015" s="37" t="s">
        <v>418</v>
      </c>
      <c r="G8015" s="147" t="str">
        <f>IF(ISNUMBER(F8015),E8015*F8015,"")</f>
        <v/>
      </c>
      <c r="H8015" s="148"/>
      <c r="I8015" s="149"/>
      <c r="J8015" s="125">
        <v>0</v>
      </c>
    </row>
    <row r="8016" spans="1:10" s="144" customFormat="1" ht="15.75" hidden="1" thickBot="1" x14ac:dyDescent="0.3">
      <c r="A8016" s="247"/>
      <c r="B8016" s="245"/>
      <c r="C8016" s="151"/>
      <c r="D8016" s="151"/>
      <c r="E8016" s="152"/>
      <c r="F8016" s="38" t="s">
        <v>418</v>
      </c>
      <c r="G8016" s="31" t="str">
        <f>IF(ISNUMBER(F8016),E8016*F8016,"")</f>
        <v/>
      </c>
      <c r="H8016" s="32"/>
      <c r="I8016" s="28"/>
      <c r="J8016" s="125">
        <v>0</v>
      </c>
    </row>
    <row r="8017" spans="1:10" s="144" customFormat="1" ht="26.25" hidden="1" thickBot="1" x14ac:dyDescent="0.3">
      <c r="A8017" s="247"/>
      <c r="B8017" s="245"/>
      <c r="C8017" s="155" t="s">
        <v>25909</v>
      </c>
      <c r="D8017" s="155" t="s">
        <v>205</v>
      </c>
      <c r="E8017" s="156">
        <v>1</v>
      </c>
      <c r="F8017" s="28">
        <v>40.042499999999997</v>
      </c>
      <c r="G8017" s="31">
        <f>IF(ISNUMBER(F8017),E8017*F8017,"")</f>
        <v>40.042499999999997</v>
      </c>
      <c r="H8017" s="35">
        <f>SUM(G8017:G8017)</f>
        <v>40.042499999999997</v>
      </c>
      <c r="I8017" s="36"/>
      <c r="J8017" s="125">
        <v>0</v>
      </c>
    </row>
    <row r="8018" spans="1:10" s="144" customFormat="1" ht="15.75" hidden="1" thickBot="1" x14ac:dyDescent="0.3">
      <c r="A8018" s="248"/>
      <c r="B8018" s="246"/>
      <c r="C8018" s="164"/>
      <c r="D8018" s="164"/>
      <c r="E8018" s="165"/>
      <c r="F8018" s="62" t="s">
        <v>418</v>
      </c>
      <c r="G8018" s="63" t="str">
        <f>IF(ISNUMBER(F8018),E8018*F8018,"")</f>
        <v/>
      </c>
      <c r="H8018" s="64"/>
      <c r="I8018" s="28"/>
      <c r="J8018" s="125">
        <v>0</v>
      </c>
    </row>
    <row r="8019" spans="1:10" s="144" customFormat="1" ht="15.75" hidden="1" thickBot="1" x14ac:dyDescent="0.3">
      <c r="A8019" s="241" t="s">
        <v>18738</v>
      </c>
      <c r="B8019" s="244" t="s">
        <v>19551</v>
      </c>
      <c r="C8019" s="160"/>
      <c r="D8019" s="145" t="s">
        <v>16</v>
      </c>
      <c r="E8019" s="146"/>
      <c r="F8019" s="37" t="s">
        <v>418</v>
      </c>
      <c r="G8019" s="147" t="str">
        <f>IF(ISNUMBER(F8019),E8019*F8019,"")</f>
        <v/>
      </c>
      <c r="H8019" s="148"/>
      <c r="I8019" s="149"/>
      <c r="J8019" s="125">
        <v>0</v>
      </c>
    </row>
    <row r="8020" spans="1:10" s="144" customFormat="1" ht="15.75" hidden="1" thickBot="1" x14ac:dyDescent="0.3">
      <c r="A8020" s="247"/>
      <c r="B8020" s="245"/>
      <c r="C8020" s="151"/>
      <c r="D8020" s="151"/>
      <c r="E8020" s="152"/>
      <c r="F8020" s="38" t="s">
        <v>418</v>
      </c>
      <c r="G8020" s="31" t="str">
        <f>IF(ISNUMBER(F8020),E8020*F8020,"")</f>
        <v/>
      </c>
      <c r="H8020" s="32"/>
      <c r="I8020" s="28"/>
      <c r="J8020" s="125">
        <v>0</v>
      </c>
    </row>
    <row r="8021" spans="1:10" s="144" customFormat="1" ht="26.25" hidden="1" thickBot="1" x14ac:dyDescent="0.3">
      <c r="A8021" s="247"/>
      <c r="B8021" s="245"/>
      <c r="C8021" s="155" t="s">
        <v>25923</v>
      </c>
      <c r="D8021" s="155" t="s">
        <v>205</v>
      </c>
      <c r="E8021" s="156">
        <v>1</v>
      </c>
      <c r="F8021" s="28">
        <v>22.971</v>
      </c>
      <c r="G8021" s="31">
        <f>IF(ISNUMBER(F8021),E8021*F8021,"")</f>
        <v>22.971</v>
      </c>
      <c r="H8021" s="35">
        <f>SUM(G8021:G8021)</f>
        <v>22.971</v>
      </c>
      <c r="I8021" s="36"/>
      <c r="J8021" s="125">
        <v>0</v>
      </c>
    </row>
    <row r="8022" spans="1:10" s="144" customFormat="1" ht="15.75" hidden="1" thickBot="1" x14ac:dyDescent="0.3">
      <c r="A8022" s="248"/>
      <c r="B8022" s="246"/>
      <c r="C8022" s="164"/>
      <c r="D8022" s="164"/>
      <c r="E8022" s="165"/>
      <c r="F8022" s="62" t="s">
        <v>418</v>
      </c>
      <c r="G8022" s="63" t="str">
        <f>IF(ISNUMBER(F8022),E8022*F8022,"")</f>
        <v/>
      </c>
      <c r="H8022" s="64"/>
      <c r="I8022" s="28"/>
      <c r="J8022" s="125">
        <v>0</v>
      </c>
    </row>
    <row r="8023" spans="1:10" s="144" customFormat="1" ht="15.75" hidden="1" thickBot="1" x14ac:dyDescent="0.3">
      <c r="A8023" s="241" t="s">
        <v>18739</v>
      </c>
      <c r="B8023" s="244" t="s">
        <v>19552</v>
      </c>
      <c r="C8023" s="160"/>
      <c r="D8023" s="145" t="s">
        <v>16</v>
      </c>
      <c r="E8023" s="146"/>
      <c r="F8023" s="37" t="s">
        <v>418</v>
      </c>
      <c r="G8023" s="147" t="str">
        <f>IF(ISNUMBER(F8023),E8023*F8023,"")</f>
        <v/>
      </c>
      <c r="H8023" s="148"/>
      <c r="I8023" s="149"/>
      <c r="J8023" s="125">
        <v>0</v>
      </c>
    </row>
    <row r="8024" spans="1:10" s="144" customFormat="1" ht="15.75" hidden="1" thickBot="1" x14ac:dyDescent="0.3">
      <c r="A8024" s="247"/>
      <c r="B8024" s="245"/>
      <c r="C8024" s="151"/>
      <c r="D8024" s="151"/>
      <c r="E8024" s="152"/>
      <c r="F8024" s="38" t="s">
        <v>418</v>
      </c>
      <c r="G8024" s="31" t="str">
        <f>IF(ISNUMBER(F8024),E8024*F8024,"")</f>
        <v/>
      </c>
      <c r="H8024" s="32"/>
      <c r="I8024" s="28"/>
      <c r="J8024" s="125">
        <v>0</v>
      </c>
    </row>
    <row r="8025" spans="1:10" s="144" customFormat="1" ht="15.75" hidden="1" thickBot="1" x14ac:dyDescent="0.3">
      <c r="A8025" s="247"/>
      <c r="B8025" s="245"/>
      <c r="C8025" s="155" t="s">
        <v>24387</v>
      </c>
      <c r="D8025" s="155" t="s">
        <v>205</v>
      </c>
      <c r="E8025" s="156">
        <v>1</v>
      </c>
      <c r="F8025" s="28">
        <v>12.283499999999998</v>
      </c>
      <c r="G8025" s="31">
        <f>IF(ISNUMBER(F8025),E8025*F8025,"")</f>
        <v>12.283499999999998</v>
      </c>
      <c r="H8025" s="35">
        <f>SUM(G8025:G8025)</f>
        <v>12.283499999999998</v>
      </c>
      <c r="I8025" s="36"/>
      <c r="J8025" s="125">
        <v>0</v>
      </c>
    </row>
    <row r="8026" spans="1:10" s="144" customFormat="1" ht="15.75" hidden="1" thickBot="1" x14ac:dyDescent="0.3">
      <c r="A8026" s="248"/>
      <c r="B8026" s="246"/>
      <c r="C8026" s="164"/>
      <c r="D8026" s="164"/>
      <c r="E8026" s="165"/>
      <c r="F8026" s="62" t="s">
        <v>418</v>
      </c>
      <c r="G8026" s="63" t="str">
        <f>IF(ISNUMBER(F8026),E8026*F8026,"")</f>
        <v/>
      </c>
      <c r="H8026" s="64"/>
      <c r="I8026" s="28"/>
      <c r="J8026" s="125">
        <v>0</v>
      </c>
    </row>
    <row r="8027" spans="1:10" s="144" customFormat="1" ht="15.75" hidden="1" thickBot="1" x14ac:dyDescent="0.3">
      <c r="A8027" s="241" t="s">
        <v>18740</v>
      </c>
      <c r="B8027" s="244" t="s">
        <v>19553</v>
      </c>
      <c r="C8027" s="160"/>
      <c r="D8027" s="145" t="s">
        <v>16</v>
      </c>
      <c r="E8027" s="146"/>
      <c r="F8027" s="37" t="s">
        <v>418</v>
      </c>
      <c r="G8027" s="147" t="str">
        <f>IF(ISNUMBER(F8027),E8027*F8027,"")</f>
        <v/>
      </c>
      <c r="H8027" s="148"/>
      <c r="I8027" s="149"/>
      <c r="J8027" s="125">
        <v>0</v>
      </c>
    </row>
    <row r="8028" spans="1:10" s="144" customFormat="1" ht="15.75" hidden="1" thickBot="1" x14ac:dyDescent="0.3">
      <c r="A8028" s="247"/>
      <c r="B8028" s="245"/>
      <c r="C8028" s="151"/>
      <c r="D8028" s="151"/>
      <c r="E8028" s="152"/>
      <c r="F8028" s="38" t="s">
        <v>418</v>
      </c>
      <c r="G8028" s="31" t="str">
        <f>IF(ISNUMBER(F8028),E8028*F8028,"")</f>
        <v/>
      </c>
      <c r="H8028" s="32"/>
      <c r="I8028" s="28"/>
      <c r="J8028" s="125">
        <v>0</v>
      </c>
    </row>
    <row r="8029" spans="1:10" s="144" customFormat="1" ht="15.75" hidden="1" thickBot="1" x14ac:dyDescent="0.3">
      <c r="A8029" s="247"/>
      <c r="B8029" s="245"/>
      <c r="C8029" s="155" t="s">
        <v>27676</v>
      </c>
      <c r="D8029" s="155" t="s">
        <v>205</v>
      </c>
      <c r="E8029" s="156">
        <v>1</v>
      </c>
      <c r="F8029" s="28">
        <v>41.847499999999997</v>
      </c>
      <c r="G8029" s="31">
        <f>IF(ISNUMBER(F8029),E8029*F8029,"")</f>
        <v>41.847499999999997</v>
      </c>
      <c r="H8029" s="35">
        <f>SUM(G8029:G8029)</f>
        <v>41.847499999999997</v>
      </c>
      <c r="I8029" s="36"/>
      <c r="J8029" s="125">
        <v>0</v>
      </c>
    </row>
    <row r="8030" spans="1:10" s="144" customFormat="1" ht="15.75" hidden="1" thickBot="1" x14ac:dyDescent="0.3">
      <c r="A8030" s="248"/>
      <c r="B8030" s="246"/>
      <c r="C8030" s="164"/>
      <c r="D8030" s="164"/>
      <c r="E8030" s="165"/>
      <c r="F8030" s="62" t="s">
        <v>418</v>
      </c>
      <c r="G8030" s="63" t="str">
        <f>IF(ISNUMBER(F8030),E8030*F8030,"")</f>
        <v/>
      </c>
      <c r="H8030" s="64"/>
      <c r="I8030" s="28"/>
      <c r="J8030" s="125">
        <v>0</v>
      </c>
    </row>
    <row r="8031" spans="1:10" s="144" customFormat="1" ht="15.75" hidden="1" thickBot="1" x14ac:dyDescent="0.3">
      <c r="A8031" s="241" t="s">
        <v>18741</v>
      </c>
      <c r="B8031" s="244" t="s">
        <v>19554</v>
      </c>
      <c r="C8031" s="160"/>
      <c r="D8031" s="145" t="s">
        <v>16</v>
      </c>
      <c r="E8031" s="146"/>
      <c r="F8031" s="37" t="s">
        <v>418</v>
      </c>
      <c r="G8031" s="147" t="str">
        <f>IF(ISNUMBER(F8031),E8031*F8031,"")</f>
        <v/>
      </c>
      <c r="H8031" s="148"/>
      <c r="I8031" s="149"/>
      <c r="J8031" s="125">
        <v>0</v>
      </c>
    </row>
    <row r="8032" spans="1:10" s="144" customFormat="1" ht="15.75" hidden="1" thickBot="1" x14ac:dyDescent="0.3">
      <c r="A8032" s="247"/>
      <c r="B8032" s="245"/>
      <c r="C8032" s="151"/>
      <c r="D8032" s="151"/>
      <c r="E8032" s="152"/>
      <c r="F8032" s="38" t="s">
        <v>418</v>
      </c>
      <c r="G8032" s="31" t="str">
        <f>IF(ISNUMBER(F8032),E8032*F8032,"")</f>
        <v/>
      </c>
      <c r="H8032" s="32"/>
      <c r="I8032" s="28"/>
      <c r="J8032" s="125">
        <v>0</v>
      </c>
    </row>
    <row r="8033" spans="1:10" s="144" customFormat="1" ht="26.25" hidden="1" thickBot="1" x14ac:dyDescent="0.3">
      <c r="A8033" s="247"/>
      <c r="B8033" s="245"/>
      <c r="C8033" s="155" t="s">
        <v>38876</v>
      </c>
      <c r="D8033" s="155" t="s">
        <v>205</v>
      </c>
      <c r="E8033" s="156">
        <v>1</v>
      </c>
      <c r="F8033" s="28">
        <v>39.234999999999992</v>
      </c>
      <c r="G8033" s="31">
        <f>IF(ISNUMBER(F8033),E8033*F8033,"")</f>
        <v>39.234999999999992</v>
      </c>
      <c r="H8033" s="35">
        <f>SUM(G8033:G8033)</f>
        <v>39.234999999999992</v>
      </c>
      <c r="I8033" s="36"/>
      <c r="J8033" s="125">
        <v>0</v>
      </c>
    </row>
    <row r="8034" spans="1:10" s="144" customFormat="1" ht="15.75" hidden="1" thickBot="1" x14ac:dyDescent="0.3">
      <c r="A8034" s="248"/>
      <c r="B8034" s="246"/>
      <c r="C8034" s="164"/>
      <c r="D8034" s="164"/>
      <c r="E8034" s="165"/>
      <c r="F8034" s="62" t="s">
        <v>418</v>
      </c>
      <c r="G8034" s="63" t="str">
        <f>IF(ISNUMBER(F8034),E8034*F8034,"")</f>
        <v/>
      </c>
      <c r="H8034" s="64"/>
      <c r="I8034" s="28"/>
      <c r="J8034" s="125">
        <v>0</v>
      </c>
    </row>
    <row r="8035" spans="1:10" s="144" customFormat="1" ht="15.75" hidden="1" thickBot="1" x14ac:dyDescent="0.3">
      <c r="A8035" s="241" t="s">
        <v>18742</v>
      </c>
      <c r="B8035" s="244" t="s">
        <v>19555</v>
      </c>
      <c r="C8035" s="160"/>
      <c r="D8035" s="145" t="s">
        <v>16</v>
      </c>
      <c r="E8035" s="146"/>
      <c r="F8035" s="37" t="s">
        <v>418</v>
      </c>
      <c r="G8035" s="147" t="str">
        <f>IF(ISNUMBER(F8035),E8035*F8035,"")</f>
        <v/>
      </c>
      <c r="H8035" s="148"/>
      <c r="I8035" s="149"/>
      <c r="J8035" s="125">
        <v>0</v>
      </c>
    </row>
    <row r="8036" spans="1:10" s="144" customFormat="1" ht="15.75" hidden="1" thickBot="1" x14ac:dyDescent="0.3">
      <c r="A8036" s="247"/>
      <c r="B8036" s="245"/>
      <c r="C8036" s="151"/>
      <c r="D8036" s="151"/>
      <c r="E8036" s="152"/>
      <c r="F8036" s="38" t="s">
        <v>418</v>
      </c>
      <c r="G8036" s="31" t="str">
        <f>IF(ISNUMBER(F8036),E8036*F8036,"")</f>
        <v/>
      </c>
      <c r="H8036" s="32"/>
      <c r="I8036" s="28"/>
      <c r="J8036" s="125">
        <v>0</v>
      </c>
    </row>
    <row r="8037" spans="1:10" s="144" customFormat="1" ht="26.25" hidden="1" thickBot="1" x14ac:dyDescent="0.3">
      <c r="A8037" s="247"/>
      <c r="B8037" s="245"/>
      <c r="C8037" s="155" t="s">
        <v>25822</v>
      </c>
      <c r="D8037" s="155" t="s">
        <v>205</v>
      </c>
      <c r="E8037" s="156">
        <v>1</v>
      </c>
      <c r="F8037" s="28">
        <v>19.417999999999999</v>
      </c>
      <c r="G8037" s="31">
        <f>IF(ISNUMBER(F8037),E8037*F8037,"")</f>
        <v>19.417999999999999</v>
      </c>
      <c r="H8037" s="35">
        <f>SUM(G8037:G8037)</f>
        <v>19.417999999999999</v>
      </c>
      <c r="I8037" s="36"/>
      <c r="J8037" s="125">
        <v>0</v>
      </c>
    </row>
    <row r="8038" spans="1:10" s="144" customFormat="1" ht="15.75" hidden="1" thickBot="1" x14ac:dyDescent="0.3">
      <c r="A8038" s="248"/>
      <c r="B8038" s="246"/>
      <c r="C8038" s="164"/>
      <c r="D8038" s="164"/>
      <c r="E8038" s="165"/>
      <c r="F8038" s="62" t="s">
        <v>418</v>
      </c>
      <c r="G8038" s="63" t="str">
        <f>IF(ISNUMBER(F8038),E8038*F8038,"")</f>
        <v/>
      </c>
      <c r="H8038" s="64"/>
      <c r="I8038" s="28"/>
      <c r="J8038" s="125">
        <v>0</v>
      </c>
    </row>
    <row r="8039" spans="1:10" s="144" customFormat="1" ht="15.75" hidden="1" thickBot="1" x14ac:dyDescent="0.3">
      <c r="A8039" s="241" t="s">
        <v>18743</v>
      </c>
      <c r="B8039" s="244" t="s">
        <v>19556</v>
      </c>
      <c r="C8039" s="160"/>
      <c r="D8039" s="145" t="s">
        <v>16</v>
      </c>
      <c r="E8039" s="146"/>
      <c r="F8039" s="37" t="s">
        <v>418</v>
      </c>
      <c r="G8039" s="147" t="str">
        <f>IF(ISNUMBER(F8039),E8039*F8039,"")</f>
        <v/>
      </c>
      <c r="H8039" s="148"/>
      <c r="I8039" s="149"/>
      <c r="J8039" s="125">
        <v>0</v>
      </c>
    </row>
    <row r="8040" spans="1:10" s="144" customFormat="1" ht="15.75" hidden="1" thickBot="1" x14ac:dyDescent="0.3">
      <c r="A8040" s="247"/>
      <c r="B8040" s="245"/>
      <c r="C8040" s="151"/>
      <c r="D8040" s="151"/>
      <c r="E8040" s="152"/>
      <c r="F8040" s="38" t="s">
        <v>418</v>
      </c>
      <c r="G8040" s="31" t="str">
        <f>IF(ISNUMBER(F8040),E8040*F8040,"")</f>
        <v/>
      </c>
      <c r="H8040" s="32"/>
      <c r="I8040" s="28"/>
      <c r="J8040" s="125">
        <v>0</v>
      </c>
    </row>
    <row r="8041" spans="1:10" s="144" customFormat="1" ht="26.25" hidden="1" thickBot="1" x14ac:dyDescent="0.3">
      <c r="A8041" s="247"/>
      <c r="B8041" s="245"/>
      <c r="C8041" s="155" t="s">
        <v>27210</v>
      </c>
      <c r="D8041" s="155" t="s">
        <v>205</v>
      </c>
      <c r="E8041" s="156">
        <v>1</v>
      </c>
      <c r="F8041" s="28">
        <v>9.9465000000000003</v>
      </c>
      <c r="G8041" s="31">
        <f>IF(ISNUMBER(F8041),E8041*F8041,"")</f>
        <v>9.9465000000000003</v>
      </c>
      <c r="H8041" s="35">
        <f>SUM(G8041:G8041)</f>
        <v>9.9465000000000003</v>
      </c>
      <c r="I8041" s="36"/>
      <c r="J8041" s="125">
        <v>0</v>
      </c>
    </row>
    <row r="8042" spans="1:10" s="144" customFormat="1" ht="15.75" hidden="1" thickBot="1" x14ac:dyDescent="0.3">
      <c r="A8042" s="248"/>
      <c r="B8042" s="246"/>
      <c r="C8042" s="164"/>
      <c r="D8042" s="164"/>
      <c r="E8042" s="165"/>
      <c r="F8042" s="62" t="s">
        <v>418</v>
      </c>
      <c r="G8042" s="63" t="str">
        <f>IF(ISNUMBER(F8042),E8042*F8042,"")</f>
        <v/>
      </c>
      <c r="H8042" s="64"/>
      <c r="I8042" s="28"/>
      <c r="J8042" s="125">
        <v>0</v>
      </c>
    </row>
    <row r="8043" spans="1:10" s="144" customFormat="1" ht="15.75" hidden="1" thickBot="1" x14ac:dyDescent="0.3">
      <c r="A8043" s="241" t="s">
        <v>18744</v>
      </c>
      <c r="B8043" s="244" t="s">
        <v>19557</v>
      </c>
      <c r="C8043" s="160"/>
      <c r="D8043" s="145" t="s">
        <v>16</v>
      </c>
      <c r="E8043" s="146"/>
      <c r="F8043" s="37" t="s">
        <v>418</v>
      </c>
      <c r="G8043" s="147" t="str">
        <f>IF(ISNUMBER(F8043),E8043*F8043,"")</f>
        <v/>
      </c>
      <c r="H8043" s="148"/>
      <c r="I8043" s="149"/>
      <c r="J8043" s="125">
        <v>0</v>
      </c>
    </row>
    <row r="8044" spans="1:10" s="144" customFormat="1" ht="15.75" hidden="1" thickBot="1" x14ac:dyDescent="0.3">
      <c r="A8044" s="247"/>
      <c r="B8044" s="245"/>
      <c r="C8044" s="151"/>
      <c r="D8044" s="151"/>
      <c r="E8044" s="152"/>
      <c r="F8044" s="38" t="s">
        <v>418</v>
      </c>
      <c r="G8044" s="31" t="str">
        <f>IF(ISNUMBER(F8044),E8044*F8044,"")</f>
        <v/>
      </c>
      <c r="H8044" s="32"/>
      <c r="I8044" s="28"/>
      <c r="J8044" s="125">
        <v>0</v>
      </c>
    </row>
    <row r="8045" spans="1:10" s="144" customFormat="1" ht="26.25" hidden="1" thickBot="1" x14ac:dyDescent="0.3">
      <c r="A8045" s="247"/>
      <c r="B8045" s="245"/>
      <c r="C8045" s="155" t="s">
        <v>26316</v>
      </c>
      <c r="D8045" s="155" t="s">
        <v>205</v>
      </c>
      <c r="E8045" s="156">
        <v>1</v>
      </c>
      <c r="F8045" s="28">
        <v>31.359499999999997</v>
      </c>
      <c r="G8045" s="31">
        <f>IF(ISNUMBER(F8045),E8045*F8045,"")</f>
        <v>31.359499999999997</v>
      </c>
      <c r="H8045" s="35">
        <f>SUM(G8045:G8045)</f>
        <v>31.359499999999997</v>
      </c>
      <c r="I8045" s="36"/>
      <c r="J8045" s="125">
        <v>0</v>
      </c>
    </row>
    <row r="8046" spans="1:10" s="144" customFormat="1" ht="15.75" hidden="1" thickBot="1" x14ac:dyDescent="0.3">
      <c r="A8046" s="248"/>
      <c r="B8046" s="246"/>
      <c r="C8046" s="164"/>
      <c r="D8046" s="164"/>
      <c r="E8046" s="165"/>
      <c r="F8046" s="62" t="s">
        <v>418</v>
      </c>
      <c r="G8046" s="63" t="str">
        <f>IF(ISNUMBER(F8046),E8046*F8046,"")</f>
        <v/>
      </c>
      <c r="H8046" s="64"/>
      <c r="I8046" s="28"/>
      <c r="J8046" s="125">
        <v>0</v>
      </c>
    </row>
    <row r="8047" spans="1:10" s="144" customFormat="1" ht="15.75" hidden="1" thickBot="1" x14ac:dyDescent="0.3">
      <c r="A8047" s="241" t="s">
        <v>18745</v>
      </c>
      <c r="B8047" s="244" t="s">
        <v>19558</v>
      </c>
      <c r="C8047" s="160"/>
      <c r="D8047" s="145" t="s">
        <v>16</v>
      </c>
      <c r="E8047" s="146"/>
      <c r="F8047" s="37" t="s">
        <v>418</v>
      </c>
      <c r="G8047" s="147" t="str">
        <f>IF(ISNUMBER(F8047),E8047*F8047,"")</f>
        <v/>
      </c>
      <c r="H8047" s="148"/>
      <c r="I8047" s="149"/>
      <c r="J8047" s="125">
        <v>0</v>
      </c>
    </row>
    <row r="8048" spans="1:10" s="144" customFormat="1" ht="15.75" hidden="1" thickBot="1" x14ac:dyDescent="0.3">
      <c r="A8048" s="247"/>
      <c r="B8048" s="245"/>
      <c r="C8048" s="151"/>
      <c r="D8048" s="151"/>
      <c r="E8048" s="152"/>
      <c r="F8048" s="38" t="s">
        <v>418</v>
      </c>
      <c r="G8048" s="31" t="str">
        <f>IF(ISNUMBER(F8048),E8048*F8048,"")</f>
        <v/>
      </c>
      <c r="H8048" s="32"/>
      <c r="I8048" s="28"/>
      <c r="J8048" s="125">
        <v>0</v>
      </c>
    </row>
    <row r="8049" spans="1:10" s="144" customFormat="1" ht="15.75" hidden="1" thickBot="1" x14ac:dyDescent="0.3">
      <c r="A8049" s="247"/>
      <c r="B8049" s="245"/>
      <c r="C8049" s="155" t="s">
        <v>26179</v>
      </c>
      <c r="D8049" s="155" t="s">
        <v>205</v>
      </c>
      <c r="E8049" s="156">
        <v>1</v>
      </c>
      <c r="F8049" s="28">
        <v>71.553999999999988</v>
      </c>
      <c r="G8049" s="31">
        <f>IF(ISNUMBER(F8049),E8049*F8049,"")</f>
        <v>71.553999999999988</v>
      </c>
      <c r="H8049" s="35">
        <f>SUM(G8049:G8049)</f>
        <v>71.553999999999988</v>
      </c>
      <c r="I8049" s="36"/>
      <c r="J8049" s="125">
        <v>0</v>
      </c>
    </row>
    <row r="8050" spans="1:10" s="144" customFormat="1" ht="15.75" hidden="1" thickBot="1" x14ac:dyDescent="0.3">
      <c r="A8050" s="248"/>
      <c r="B8050" s="246"/>
      <c r="C8050" s="164"/>
      <c r="D8050" s="164"/>
      <c r="E8050" s="165"/>
      <c r="F8050" s="62" t="s">
        <v>418</v>
      </c>
      <c r="G8050" s="63" t="str">
        <f>IF(ISNUMBER(F8050),E8050*F8050,"")</f>
        <v/>
      </c>
      <c r="H8050" s="64"/>
      <c r="I8050" s="28"/>
      <c r="J8050" s="125">
        <v>0</v>
      </c>
    </row>
    <row r="8051" spans="1:10" s="144" customFormat="1" ht="15.75" hidden="1" thickBot="1" x14ac:dyDescent="0.3">
      <c r="A8051" s="241" t="s">
        <v>18746</v>
      </c>
      <c r="B8051" s="244" t="s">
        <v>19559</v>
      </c>
      <c r="C8051" s="160"/>
      <c r="D8051" s="145" t="s">
        <v>16</v>
      </c>
      <c r="E8051" s="146"/>
      <c r="F8051" s="37" t="s">
        <v>418</v>
      </c>
      <c r="G8051" s="147" t="str">
        <f>IF(ISNUMBER(F8051),E8051*F8051,"")</f>
        <v/>
      </c>
      <c r="H8051" s="148"/>
      <c r="I8051" s="149"/>
      <c r="J8051" s="125">
        <v>0</v>
      </c>
    </row>
    <row r="8052" spans="1:10" s="144" customFormat="1" ht="15.75" hidden="1" thickBot="1" x14ac:dyDescent="0.3">
      <c r="A8052" s="247"/>
      <c r="B8052" s="245"/>
      <c r="C8052" s="151"/>
      <c r="D8052" s="151"/>
      <c r="E8052" s="152"/>
      <c r="F8052" s="38" t="s">
        <v>418</v>
      </c>
      <c r="G8052" s="31" t="str">
        <f>IF(ISNUMBER(F8052),E8052*F8052,"")</f>
        <v/>
      </c>
      <c r="H8052" s="32"/>
      <c r="I8052" s="28"/>
      <c r="J8052" s="125">
        <v>0</v>
      </c>
    </row>
    <row r="8053" spans="1:10" s="144" customFormat="1" ht="26.25" hidden="1" thickBot="1" x14ac:dyDescent="0.3">
      <c r="A8053" s="247"/>
      <c r="B8053" s="245"/>
      <c r="C8053" s="155" t="s">
        <v>25919</v>
      </c>
      <c r="D8053" s="155" t="s">
        <v>205</v>
      </c>
      <c r="E8053" s="156">
        <v>1</v>
      </c>
      <c r="F8053" s="28">
        <v>174.75249999999997</v>
      </c>
      <c r="G8053" s="31">
        <f>IF(ISNUMBER(F8053),E8053*F8053,"")</f>
        <v>174.75249999999997</v>
      </c>
      <c r="H8053" s="35">
        <f>SUM(G8053:G8053)</f>
        <v>174.75249999999997</v>
      </c>
      <c r="I8053" s="36"/>
      <c r="J8053" s="125">
        <v>0</v>
      </c>
    </row>
    <row r="8054" spans="1:10" s="144" customFormat="1" ht="15.75" hidden="1" thickBot="1" x14ac:dyDescent="0.3">
      <c r="A8054" s="248"/>
      <c r="B8054" s="246"/>
      <c r="C8054" s="164"/>
      <c r="D8054" s="164"/>
      <c r="E8054" s="165"/>
      <c r="F8054" s="62" t="s">
        <v>418</v>
      </c>
      <c r="G8054" s="63" t="str">
        <f>IF(ISNUMBER(F8054),E8054*F8054,"")</f>
        <v/>
      </c>
      <c r="H8054" s="64"/>
      <c r="I8054" s="28"/>
      <c r="J8054" s="125">
        <v>0</v>
      </c>
    </row>
    <row r="8055" spans="1:10" s="144" customFormat="1" ht="15.75" hidden="1" thickBot="1" x14ac:dyDescent="0.3">
      <c r="A8055" s="241" t="s">
        <v>18747</v>
      </c>
      <c r="B8055" s="244" t="s">
        <v>19562</v>
      </c>
      <c r="C8055" s="160"/>
      <c r="D8055" s="145" t="s">
        <v>16</v>
      </c>
      <c r="E8055" s="146"/>
      <c r="F8055" s="37" t="s">
        <v>418</v>
      </c>
      <c r="G8055" s="147" t="str">
        <f>IF(ISNUMBER(F8055),E8055*F8055,"")</f>
        <v/>
      </c>
      <c r="H8055" s="148"/>
      <c r="I8055" s="149"/>
      <c r="J8055" s="125">
        <v>0</v>
      </c>
    </row>
    <row r="8056" spans="1:10" s="144" customFormat="1" ht="15.75" hidden="1" thickBot="1" x14ac:dyDescent="0.3">
      <c r="A8056" s="247"/>
      <c r="B8056" s="245"/>
      <c r="C8056" s="151"/>
      <c r="D8056" s="151"/>
      <c r="E8056" s="152"/>
      <c r="F8056" s="38" t="s">
        <v>418</v>
      </c>
      <c r="G8056" s="31" t="str">
        <f>IF(ISNUMBER(F8056),E8056*F8056,"")</f>
        <v/>
      </c>
      <c r="H8056" s="32"/>
      <c r="I8056" s="28"/>
      <c r="J8056" s="125">
        <v>0</v>
      </c>
    </row>
    <row r="8057" spans="1:10" s="144" customFormat="1" ht="15.75" hidden="1" thickBot="1" x14ac:dyDescent="0.3">
      <c r="A8057" s="247"/>
      <c r="B8057" s="245"/>
      <c r="C8057" s="155" t="s">
        <v>27680</v>
      </c>
      <c r="D8057" s="155" t="s">
        <v>205</v>
      </c>
      <c r="E8057" s="156">
        <v>1</v>
      </c>
      <c r="F8057" s="28">
        <v>110.85549999999999</v>
      </c>
      <c r="G8057" s="31">
        <f>IF(ISNUMBER(F8057),E8057*F8057,"")</f>
        <v>110.85549999999999</v>
      </c>
      <c r="H8057" s="35">
        <f>SUM(G8057:G8057)</f>
        <v>110.85549999999999</v>
      </c>
      <c r="I8057" s="36"/>
      <c r="J8057" s="125">
        <v>0</v>
      </c>
    </row>
    <row r="8058" spans="1:10" s="144" customFormat="1" ht="15.75" hidden="1" thickBot="1" x14ac:dyDescent="0.3">
      <c r="A8058" s="248"/>
      <c r="B8058" s="246"/>
      <c r="C8058" s="164"/>
      <c r="D8058" s="164"/>
      <c r="E8058" s="165"/>
      <c r="F8058" s="62" t="s">
        <v>418</v>
      </c>
      <c r="G8058" s="63" t="str">
        <f>IF(ISNUMBER(F8058),E8058*F8058,"")</f>
        <v/>
      </c>
      <c r="H8058" s="64"/>
      <c r="I8058" s="28"/>
      <c r="J8058" s="125">
        <v>0</v>
      </c>
    </row>
    <row r="8059" spans="1:10" s="144" customFormat="1" ht="15.75" hidden="1" thickBot="1" x14ac:dyDescent="0.3">
      <c r="A8059" s="241" t="s">
        <v>18748</v>
      </c>
      <c r="B8059" s="244" t="s">
        <v>19560</v>
      </c>
      <c r="C8059" s="160"/>
      <c r="D8059" s="145" t="s">
        <v>16</v>
      </c>
      <c r="E8059" s="146"/>
      <c r="F8059" s="37" t="s">
        <v>418</v>
      </c>
      <c r="G8059" s="147" t="str">
        <f>IF(ISNUMBER(F8059),E8059*F8059,"")</f>
        <v/>
      </c>
      <c r="H8059" s="148"/>
      <c r="I8059" s="149"/>
      <c r="J8059" s="125">
        <v>0</v>
      </c>
    </row>
    <row r="8060" spans="1:10" s="144" customFormat="1" ht="15.75" hidden="1" thickBot="1" x14ac:dyDescent="0.3">
      <c r="A8060" s="247"/>
      <c r="B8060" s="245"/>
      <c r="C8060" s="151"/>
      <c r="D8060" s="151"/>
      <c r="E8060" s="152"/>
      <c r="F8060" s="38" t="s">
        <v>418</v>
      </c>
      <c r="G8060" s="31" t="str">
        <f>IF(ISNUMBER(F8060),E8060*F8060,"")</f>
        <v/>
      </c>
      <c r="H8060" s="32"/>
      <c r="I8060" s="28"/>
      <c r="J8060" s="125">
        <v>0</v>
      </c>
    </row>
    <row r="8061" spans="1:10" s="144" customFormat="1" ht="26.25" hidden="1" thickBot="1" x14ac:dyDescent="0.3">
      <c r="A8061" s="247"/>
      <c r="B8061" s="245"/>
      <c r="C8061" s="155" t="s">
        <v>25847</v>
      </c>
      <c r="D8061" s="155" t="s">
        <v>205</v>
      </c>
      <c r="E8061" s="156">
        <v>1</v>
      </c>
      <c r="F8061" s="28">
        <v>57.674499999999995</v>
      </c>
      <c r="G8061" s="31">
        <f>IF(ISNUMBER(F8061),E8061*F8061,"")</f>
        <v>57.674499999999995</v>
      </c>
      <c r="H8061" s="35">
        <f>SUM(G8061:G8061)</f>
        <v>57.674499999999995</v>
      </c>
      <c r="I8061" s="36"/>
      <c r="J8061" s="125">
        <v>0</v>
      </c>
    </row>
    <row r="8062" spans="1:10" s="144" customFormat="1" ht="15.75" hidden="1" thickBot="1" x14ac:dyDescent="0.3">
      <c r="A8062" s="248"/>
      <c r="B8062" s="246"/>
      <c r="C8062" s="164"/>
      <c r="D8062" s="164"/>
      <c r="E8062" s="165"/>
      <c r="F8062" s="62" t="s">
        <v>418</v>
      </c>
      <c r="G8062" s="63" t="str">
        <f>IF(ISNUMBER(F8062),E8062*F8062,"")</f>
        <v/>
      </c>
      <c r="H8062" s="64"/>
      <c r="I8062" s="28"/>
      <c r="J8062" s="125">
        <v>0</v>
      </c>
    </row>
    <row r="8063" spans="1:10" s="144" customFormat="1" ht="15.75" hidden="1" thickBot="1" x14ac:dyDescent="0.3">
      <c r="A8063" s="241" t="s">
        <v>18749</v>
      </c>
      <c r="B8063" s="244" t="s">
        <v>19561</v>
      </c>
      <c r="C8063" s="160"/>
      <c r="D8063" s="145" t="s">
        <v>16</v>
      </c>
      <c r="E8063" s="146"/>
      <c r="F8063" s="37" t="s">
        <v>418</v>
      </c>
      <c r="G8063" s="147" t="str">
        <f>IF(ISNUMBER(F8063),E8063*F8063,"")</f>
        <v/>
      </c>
      <c r="H8063" s="148"/>
      <c r="I8063" s="149"/>
      <c r="J8063" s="125">
        <v>0</v>
      </c>
    </row>
    <row r="8064" spans="1:10" s="144" customFormat="1" ht="15.75" hidden="1" thickBot="1" x14ac:dyDescent="0.3">
      <c r="A8064" s="247"/>
      <c r="B8064" s="245"/>
      <c r="C8064" s="151"/>
      <c r="D8064" s="151"/>
      <c r="E8064" s="152"/>
      <c r="F8064" s="38" t="s">
        <v>418</v>
      </c>
      <c r="G8064" s="31" t="str">
        <f>IF(ISNUMBER(F8064),E8064*F8064,"")</f>
        <v/>
      </c>
      <c r="H8064" s="32"/>
      <c r="I8064" s="28"/>
      <c r="J8064" s="125">
        <v>0</v>
      </c>
    </row>
    <row r="8065" spans="1:10" s="144" customFormat="1" ht="26.25" hidden="1" thickBot="1" x14ac:dyDescent="0.3">
      <c r="A8065" s="247"/>
      <c r="B8065" s="245"/>
      <c r="C8065" s="155" t="s">
        <v>25842</v>
      </c>
      <c r="D8065" s="155" t="s">
        <v>205</v>
      </c>
      <c r="E8065" s="156">
        <v>1</v>
      </c>
      <c r="F8065" s="28">
        <v>62.642999999999994</v>
      </c>
      <c r="G8065" s="31">
        <f>IF(ISNUMBER(F8065),E8065*F8065,"")</f>
        <v>62.642999999999994</v>
      </c>
      <c r="H8065" s="35">
        <f>SUM(G8065:G8065)</f>
        <v>62.642999999999994</v>
      </c>
      <c r="I8065" s="36"/>
      <c r="J8065" s="125">
        <v>0</v>
      </c>
    </row>
    <row r="8066" spans="1:10" s="144" customFormat="1" ht="15.75" hidden="1" thickBot="1" x14ac:dyDescent="0.3">
      <c r="A8066" s="248"/>
      <c r="B8066" s="246"/>
      <c r="C8066" s="164"/>
      <c r="D8066" s="164"/>
      <c r="E8066" s="165"/>
      <c r="F8066" s="62" t="s">
        <v>418</v>
      </c>
      <c r="G8066" s="63" t="str">
        <f>IF(ISNUMBER(F8066),E8066*F8066,"")</f>
        <v/>
      </c>
      <c r="H8066" s="64"/>
      <c r="I8066" s="28"/>
      <c r="J8066" s="125">
        <v>0</v>
      </c>
    </row>
    <row r="8067" spans="1:10" s="144" customFormat="1" ht="15.75" hidden="1" thickBot="1" x14ac:dyDescent="0.3">
      <c r="A8067" s="241" t="s">
        <v>18750</v>
      </c>
      <c r="B8067" s="244" t="s">
        <v>19563</v>
      </c>
      <c r="C8067" s="160"/>
      <c r="D8067" s="145" t="s">
        <v>16</v>
      </c>
      <c r="E8067" s="146"/>
      <c r="F8067" s="37" t="s">
        <v>418</v>
      </c>
      <c r="G8067" s="147" t="str">
        <f>IF(ISNUMBER(F8067),E8067*F8067,"")</f>
        <v/>
      </c>
      <c r="H8067" s="148"/>
      <c r="I8067" s="149"/>
      <c r="J8067" s="125">
        <v>0</v>
      </c>
    </row>
    <row r="8068" spans="1:10" s="144" customFormat="1" ht="15.75" hidden="1" thickBot="1" x14ac:dyDescent="0.3">
      <c r="A8068" s="247"/>
      <c r="B8068" s="245"/>
      <c r="C8068" s="151"/>
      <c r="D8068" s="151"/>
      <c r="E8068" s="152"/>
      <c r="F8068" s="38" t="s">
        <v>418</v>
      </c>
      <c r="G8068" s="31" t="str">
        <f>IF(ISNUMBER(F8068),E8068*F8068,"")</f>
        <v/>
      </c>
      <c r="H8068" s="32"/>
      <c r="I8068" s="28"/>
      <c r="J8068" s="125">
        <v>0</v>
      </c>
    </row>
    <row r="8069" spans="1:10" s="144" customFormat="1" ht="26.25" hidden="1" thickBot="1" x14ac:dyDescent="0.3">
      <c r="A8069" s="247"/>
      <c r="B8069" s="245"/>
      <c r="C8069" s="155" t="s">
        <v>24938</v>
      </c>
      <c r="D8069" s="155" t="s">
        <v>205</v>
      </c>
      <c r="E8069" s="156">
        <v>1</v>
      </c>
      <c r="F8069" s="28">
        <v>145.673</v>
      </c>
      <c r="G8069" s="31">
        <f>IF(ISNUMBER(F8069),E8069*F8069,"")</f>
        <v>145.673</v>
      </c>
      <c r="H8069" s="35">
        <f>SUM(G8069:G8069)</f>
        <v>145.673</v>
      </c>
      <c r="I8069" s="36"/>
      <c r="J8069" s="125">
        <v>0</v>
      </c>
    </row>
    <row r="8070" spans="1:10" s="144" customFormat="1" ht="15.75" hidden="1" thickBot="1" x14ac:dyDescent="0.3">
      <c r="A8070" s="248"/>
      <c r="B8070" s="246"/>
      <c r="C8070" s="164"/>
      <c r="D8070" s="164"/>
      <c r="E8070" s="165"/>
      <c r="F8070" s="62" t="s">
        <v>418</v>
      </c>
      <c r="G8070" s="63" t="str">
        <f>IF(ISNUMBER(F8070),E8070*F8070,"")</f>
        <v/>
      </c>
      <c r="H8070" s="64"/>
      <c r="I8070" s="28"/>
      <c r="J8070" s="125">
        <v>0</v>
      </c>
    </row>
    <row r="8071" spans="1:10" s="144" customFormat="1" ht="15.75" hidden="1" thickBot="1" x14ac:dyDescent="0.3">
      <c r="A8071" s="241" t="s">
        <v>18751</v>
      </c>
      <c r="B8071" s="244" t="s">
        <v>19564</v>
      </c>
      <c r="C8071" s="160"/>
      <c r="D8071" s="145" t="s">
        <v>16</v>
      </c>
      <c r="E8071" s="146"/>
      <c r="F8071" s="37" t="s">
        <v>418</v>
      </c>
      <c r="G8071" s="147" t="str">
        <f>IF(ISNUMBER(F8071),E8071*F8071,"")</f>
        <v/>
      </c>
      <c r="H8071" s="148"/>
      <c r="I8071" s="149"/>
      <c r="J8071" s="125">
        <v>0</v>
      </c>
    </row>
    <row r="8072" spans="1:10" s="144" customFormat="1" ht="15.75" hidden="1" thickBot="1" x14ac:dyDescent="0.3">
      <c r="A8072" s="247"/>
      <c r="B8072" s="245"/>
      <c r="C8072" s="151"/>
      <c r="D8072" s="151"/>
      <c r="E8072" s="152"/>
      <c r="F8072" s="38" t="s">
        <v>418</v>
      </c>
      <c r="G8072" s="31" t="str">
        <f>IF(ISNUMBER(F8072),E8072*F8072,"")</f>
        <v/>
      </c>
      <c r="H8072" s="32"/>
      <c r="I8072" s="28"/>
      <c r="J8072" s="125">
        <v>0</v>
      </c>
    </row>
    <row r="8073" spans="1:10" s="144" customFormat="1" ht="15.75" hidden="1" thickBot="1" x14ac:dyDescent="0.3">
      <c r="A8073" s="247"/>
      <c r="B8073" s="245"/>
      <c r="C8073" s="155" t="s">
        <v>24388</v>
      </c>
      <c r="D8073" s="155" t="s">
        <v>205</v>
      </c>
      <c r="E8073" s="156">
        <v>1</v>
      </c>
      <c r="F8073" s="28">
        <v>60.220500000000001</v>
      </c>
      <c r="G8073" s="31">
        <f>IF(ISNUMBER(F8073),E8073*F8073,"")</f>
        <v>60.220500000000001</v>
      </c>
      <c r="H8073" s="35">
        <f>SUM(G8073:G8073)</f>
        <v>60.220500000000001</v>
      </c>
      <c r="I8073" s="36"/>
      <c r="J8073" s="125">
        <v>0</v>
      </c>
    </row>
    <row r="8074" spans="1:10" s="144" customFormat="1" ht="15.75" hidden="1" thickBot="1" x14ac:dyDescent="0.3">
      <c r="A8074" s="248"/>
      <c r="B8074" s="246"/>
      <c r="C8074" s="164"/>
      <c r="D8074" s="164"/>
      <c r="E8074" s="165"/>
      <c r="F8074" s="62" t="s">
        <v>418</v>
      </c>
      <c r="G8074" s="63" t="str">
        <f>IF(ISNUMBER(F8074),E8074*F8074,"")</f>
        <v/>
      </c>
      <c r="H8074" s="64"/>
      <c r="I8074" s="28"/>
      <c r="J8074" s="125">
        <v>0</v>
      </c>
    </row>
    <row r="8075" spans="1:10" s="144" customFormat="1" ht="15.75" hidden="1" thickBot="1" x14ac:dyDescent="0.3">
      <c r="A8075" s="241" t="s">
        <v>18752</v>
      </c>
      <c r="B8075" s="244" t="s">
        <v>19565</v>
      </c>
      <c r="C8075" s="160"/>
      <c r="D8075" s="145" t="s">
        <v>16</v>
      </c>
      <c r="E8075" s="146"/>
      <c r="F8075" s="37" t="s">
        <v>418</v>
      </c>
      <c r="G8075" s="147" t="str">
        <f>IF(ISNUMBER(F8075),E8075*F8075,"")</f>
        <v/>
      </c>
      <c r="H8075" s="148"/>
      <c r="I8075" s="149"/>
      <c r="J8075" s="125">
        <v>0</v>
      </c>
    </row>
    <row r="8076" spans="1:10" s="144" customFormat="1" ht="15.75" hidden="1" thickBot="1" x14ac:dyDescent="0.3">
      <c r="A8076" s="247"/>
      <c r="B8076" s="245"/>
      <c r="C8076" s="151"/>
      <c r="D8076" s="151"/>
      <c r="E8076" s="152"/>
      <c r="F8076" s="38" t="s">
        <v>418</v>
      </c>
      <c r="G8076" s="31" t="str">
        <f>IF(ISNUMBER(F8076),E8076*F8076,"")</f>
        <v/>
      </c>
      <c r="H8076" s="32"/>
      <c r="I8076" s="28"/>
      <c r="J8076" s="125">
        <v>0</v>
      </c>
    </row>
    <row r="8077" spans="1:10" s="144" customFormat="1" ht="26.25" hidden="1" thickBot="1" x14ac:dyDescent="0.3">
      <c r="A8077" s="247"/>
      <c r="B8077" s="245"/>
      <c r="C8077" s="155" t="s">
        <v>1209</v>
      </c>
      <c r="D8077" s="155" t="s">
        <v>205</v>
      </c>
      <c r="E8077" s="156">
        <v>1</v>
      </c>
      <c r="F8077" s="28">
        <v>52.829499999999996</v>
      </c>
      <c r="G8077" s="31">
        <f>IF(ISNUMBER(F8077),E8077*F8077,"")</f>
        <v>52.829499999999996</v>
      </c>
      <c r="H8077" s="35">
        <f>SUM(G8077:G8077)</f>
        <v>52.829499999999996</v>
      </c>
      <c r="I8077" s="36"/>
      <c r="J8077" s="125">
        <v>0</v>
      </c>
    </row>
    <row r="8078" spans="1:10" s="144" customFormat="1" ht="15.75" hidden="1" thickBot="1" x14ac:dyDescent="0.3">
      <c r="A8078" s="248"/>
      <c r="B8078" s="246"/>
      <c r="C8078" s="164"/>
      <c r="D8078" s="164"/>
      <c r="E8078" s="165"/>
      <c r="F8078" s="62" t="s">
        <v>418</v>
      </c>
      <c r="G8078" s="63" t="str">
        <f>IF(ISNUMBER(F8078),E8078*F8078,"")</f>
        <v/>
      </c>
      <c r="H8078" s="64"/>
      <c r="I8078" s="28"/>
      <c r="J8078" s="125">
        <v>0</v>
      </c>
    </row>
    <row r="8079" spans="1:10" s="144" customFormat="1" ht="15.75" hidden="1" thickBot="1" x14ac:dyDescent="0.3">
      <c r="A8079" s="241" t="s">
        <v>18753</v>
      </c>
      <c r="B8079" s="244" t="s">
        <v>19566</v>
      </c>
      <c r="C8079" s="160"/>
      <c r="D8079" s="145" t="s">
        <v>16</v>
      </c>
      <c r="E8079" s="146"/>
      <c r="F8079" s="37" t="s">
        <v>418</v>
      </c>
      <c r="G8079" s="147" t="str">
        <f>IF(ISNUMBER(F8079),E8079*F8079,"")</f>
        <v/>
      </c>
      <c r="H8079" s="148"/>
      <c r="I8079" s="149"/>
      <c r="J8079" s="125">
        <v>0</v>
      </c>
    </row>
    <row r="8080" spans="1:10" s="144" customFormat="1" ht="15.75" hidden="1" thickBot="1" x14ac:dyDescent="0.3">
      <c r="A8080" s="247"/>
      <c r="B8080" s="245"/>
      <c r="C8080" s="151"/>
      <c r="D8080" s="151"/>
      <c r="E8080" s="152"/>
      <c r="F8080" s="38" t="s">
        <v>418</v>
      </c>
      <c r="G8080" s="31" t="str">
        <f>IF(ISNUMBER(F8080),E8080*F8080,"")</f>
        <v/>
      </c>
      <c r="H8080" s="32"/>
      <c r="I8080" s="28"/>
      <c r="J8080" s="125">
        <v>0</v>
      </c>
    </row>
    <row r="8081" spans="1:10" s="144" customFormat="1" ht="26.25" hidden="1" thickBot="1" x14ac:dyDescent="0.3">
      <c r="A8081" s="247"/>
      <c r="B8081" s="245"/>
      <c r="C8081" s="155" t="s">
        <v>1054</v>
      </c>
      <c r="D8081" s="155" t="s">
        <v>205</v>
      </c>
      <c r="E8081" s="156">
        <v>1</v>
      </c>
      <c r="F8081" s="28">
        <v>34.418499999999995</v>
      </c>
      <c r="G8081" s="31">
        <f>IF(ISNUMBER(F8081),E8081*F8081,"")</f>
        <v>34.418499999999995</v>
      </c>
      <c r="H8081" s="35">
        <f>SUM(G8081:G8081)</f>
        <v>34.418499999999995</v>
      </c>
      <c r="I8081" s="36"/>
      <c r="J8081" s="125">
        <v>0</v>
      </c>
    </row>
    <row r="8082" spans="1:10" s="144" customFormat="1" ht="15.75" hidden="1" thickBot="1" x14ac:dyDescent="0.3">
      <c r="A8082" s="248"/>
      <c r="B8082" s="246"/>
      <c r="C8082" s="164"/>
      <c r="D8082" s="164"/>
      <c r="E8082" s="165"/>
      <c r="F8082" s="62" t="s">
        <v>418</v>
      </c>
      <c r="G8082" s="63" t="str">
        <f>IF(ISNUMBER(F8082),E8082*F8082,"")</f>
        <v/>
      </c>
      <c r="H8082" s="64"/>
      <c r="I8082" s="28"/>
      <c r="J8082" s="125">
        <v>0</v>
      </c>
    </row>
    <row r="8083" spans="1:10" s="144" customFormat="1" ht="15.75" hidden="1" thickBot="1" x14ac:dyDescent="0.3">
      <c r="A8083" s="241" t="s">
        <v>18754</v>
      </c>
      <c r="B8083" s="244" t="s">
        <v>19567</v>
      </c>
      <c r="C8083" s="160"/>
      <c r="D8083" s="145" t="s">
        <v>16</v>
      </c>
      <c r="E8083" s="146"/>
      <c r="F8083" s="37" t="s">
        <v>418</v>
      </c>
      <c r="G8083" s="147" t="str">
        <f>IF(ISNUMBER(F8083),E8083*F8083,"")</f>
        <v/>
      </c>
      <c r="H8083" s="148"/>
      <c r="I8083" s="149"/>
      <c r="J8083" s="125">
        <v>0</v>
      </c>
    </row>
    <row r="8084" spans="1:10" s="144" customFormat="1" ht="15.75" hidden="1" thickBot="1" x14ac:dyDescent="0.3">
      <c r="A8084" s="247"/>
      <c r="B8084" s="245"/>
      <c r="C8084" s="151"/>
      <c r="D8084" s="151"/>
      <c r="E8084" s="152"/>
      <c r="F8084" s="38" t="s">
        <v>418</v>
      </c>
      <c r="G8084" s="31" t="str">
        <f>IF(ISNUMBER(F8084),E8084*F8084,"")</f>
        <v/>
      </c>
      <c r="H8084" s="32"/>
      <c r="I8084" s="28"/>
      <c r="J8084" s="125">
        <v>0</v>
      </c>
    </row>
    <row r="8085" spans="1:10" s="144" customFormat="1" ht="26.25" hidden="1" thickBot="1" x14ac:dyDescent="0.3">
      <c r="A8085" s="247"/>
      <c r="B8085" s="245"/>
      <c r="C8085" s="155" t="s">
        <v>1062</v>
      </c>
      <c r="D8085" s="155" t="s">
        <v>205</v>
      </c>
      <c r="E8085" s="156">
        <v>1</v>
      </c>
      <c r="F8085" s="28">
        <v>21.384499999999999</v>
      </c>
      <c r="G8085" s="31">
        <f>IF(ISNUMBER(F8085),E8085*F8085,"")</f>
        <v>21.384499999999999</v>
      </c>
      <c r="H8085" s="35">
        <f>SUM(G8085:G8085)</f>
        <v>21.384499999999999</v>
      </c>
      <c r="I8085" s="36"/>
      <c r="J8085" s="125">
        <v>0</v>
      </c>
    </row>
    <row r="8086" spans="1:10" s="144" customFormat="1" ht="15.75" hidden="1" thickBot="1" x14ac:dyDescent="0.3">
      <c r="A8086" s="248"/>
      <c r="B8086" s="246"/>
      <c r="C8086" s="164"/>
      <c r="D8086" s="164"/>
      <c r="E8086" s="165"/>
      <c r="F8086" s="62" t="s">
        <v>418</v>
      </c>
      <c r="G8086" s="63" t="str">
        <f>IF(ISNUMBER(F8086),E8086*F8086,"")</f>
        <v/>
      </c>
      <c r="H8086" s="64"/>
      <c r="I8086" s="28"/>
      <c r="J8086" s="125">
        <v>0</v>
      </c>
    </row>
    <row r="8087" spans="1:10" s="144" customFormat="1" ht="15.75" hidden="1" thickBot="1" x14ac:dyDescent="0.3">
      <c r="A8087" s="241" t="s">
        <v>18755</v>
      </c>
      <c r="B8087" s="244" t="s">
        <v>19568</v>
      </c>
      <c r="C8087" s="160"/>
      <c r="D8087" s="145" t="s">
        <v>16</v>
      </c>
      <c r="E8087" s="146"/>
      <c r="F8087" s="37" t="s">
        <v>418</v>
      </c>
      <c r="G8087" s="147" t="str">
        <f>IF(ISNUMBER(F8087),E8087*F8087,"")</f>
        <v/>
      </c>
      <c r="H8087" s="148"/>
      <c r="I8087" s="149"/>
      <c r="J8087" s="125">
        <v>0</v>
      </c>
    </row>
    <row r="8088" spans="1:10" s="144" customFormat="1" ht="15.75" hidden="1" thickBot="1" x14ac:dyDescent="0.3">
      <c r="A8088" s="247"/>
      <c r="B8088" s="245"/>
      <c r="C8088" s="151"/>
      <c r="D8088" s="151"/>
      <c r="E8088" s="152"/>
      <c r="F8088" s="38" t="s">
        <v>418</v>
      </c>
      <c r="G8088" s="31" t="str">
        <f>IF(ISNUMBER(F8088),E8088*F8088,"")</f>
        <v/>
      </c>
      <c r="H8088" s="32"/>
      <c r="I8088" s="28"/>
      <c r="J8088" s="125">
        <v>0</v>
      </c>
    </row>
    <row r="8089" spans="1:10" s="144" customFormat="1" ht="26.25" hidden="1" thickBot="1" x14ac:dyDescent="0.3">
      <c r="A8089" s="247"/>
      <c r="B8089" s="245"/>
      <c r="C8089" s="155" t="s">
        <v>27510</v>
      </c>
      <c r="D8089" s="155" t="s">
        <v>205</v>
      </c>
      <c r="E8089" s="156">
        <v>1</v>
      </c>
      <c r="F8089" s="28">
        <v>49.238499999999995</v>
      </c>
      <c r="G8089" s="31">
        <f>IF(ISNUMBER(F8089),E8089*F8089,"")</f>
        <v>49.238499999999995</v>
      </c>
      <c r="H8089" s="35">
        <f>SUM(G8089:G8089)</f>
        <v>49.238499999999995</v>
      </c>
      <c r="I8089" s="36"/>
      <c r="J8089" s="125">
        <v>0</v>
      </c>
    </row>
    <row r="8090" spans="1:10" s="144" customFormat="1" ht="15.75" hidden="1" thickBot="1" x14ac:dyDescent="0.3">
      <c r="A8090" s="248"/>
      <c r="B8090" s="246"/>
      <c r="C8090" s="164"/>
      <c r="D8090" s="164"/>
      <c r="E8090" s="165"/>
      <c r="F8090" s="62" t="s">
        <v>418</v>
      </c>
      <c r="G8090" s="63" t="str">
        <f>IF(ISNUMBER(F8090),E8090*F8090,"")</f>
        <v/>
      </c>
      <c r="H8090" s="64"/>
      <c r="I8090" s="28"/>
      <c r="J8090" s="125">
        <v>0</v>
      </c>
    </row>
    <row r="8091" spans="1:10" s="144" customFormat="1" ht="15.75" hidden="1" thickBot="1" x14ac:dyDescent="0.3">
      <c r="A8091" s="241" t="s">
        <v>18756</v>
      </c>
      <c r="B8091" s="244" t="s">
        <v>19569</v>
      </c>
      <c r="C8091" s="160"/>
      <c r="D8091" s="145" t="s">
        <v>16</v>
      </c>
      <c r="E8091" s="146"/>
      <c r="F8091" s="37" t="s">
        <v>418</v>
      </c>
      <c r="G8091" s="147" t="str">
        <f>IF(ISNUMBER(F8091),E8091*F8091,"")</f>
        <v/>
      </c>
      <c r="H8091" s="148"/>
      <c r="I8091" s="149"/>
      <c r="J8091" s="125">
        <v>0</v>
      </c>
    </row>
    <row r="8092" spans="1:10" s="144" customFormat="1" ht="15.75" hidden="1" thickBot="1" x14ac:dyDescent="0.3">
      <c r="A8092" s="247"/>
      <c r="B8092" s="245"/>
      <c r="C8092" s="151"/>
      <c r="D8092" s="151"/>
      <c r="E8092" s="152"/>
      <c r="F8092" s="38" t="s">
        <v>418</v>
      </c>
      <c r="G8092" s="31" t="str">
        <f>IF(ISNUMBER(F8092),E8092*F8092,"")</f>
        <v/>
      </c>
      <c r="H8092" s="32"/>
      <c r="I8092" s="28"/>
      <c r="J8092" s="125">
        <v>0</v>
      </c>
    </row>
    <row r="8093" spans="1:10" s="144" customFormat="1" ht="26.25" hidden="1" thickBot="1" x14ac:dyDescent="0.3">
      <c r="A8093" s="247"/>
      <c r="B8093" s="245"/>
      <c r="C8093" s="155" t="s">
        <v>1058</v>
      </c>
      <c r="D8093" s="155" t="s">
        <v>205</v>
      </c>
      <c r="E8093" s="156">
        <v>1</v>
      </c>
      <c r="F8093" s="28">
        <v>52.829499999999996</v>
      </c>
      <c r="G8093" s="31">
        <f>IF(ISNUMBER(F8093),E8093*F8093,"")</f>
        <v>52.829499999999996</v>
      </c>
      <c r="H8093" s="35">
        <f>SUM(G8093:G8093)</f>
        <v>52.829499999999996</v>
      </c>
      <c r="I8093" s="36"/>
      <c r="J8093" s="125">
        <v>0</v>
      </c>
    </row>
    <row r="8094" spans="1:10" s="144" customFormat="1" ht="15.75" hidden="1" thickBot="1" x14ac:dyDescent="0.3">
      <c r="A8094" s="248"/>
      <c r="B8094" s="246"/>
      <c r="C8094" s="164"/>
      <c r="D8094" s="164"/>
      <c r="E8094" s="165"/>
      <c r="F8094" s="62" t="s">
        <v>418</v>
      </c>
      <c r="G8094" s="63" t="str">
        <f>IF(ISNUMBER(F8094),E8094*F8094,"")</f>
        <v/>
      </c>
      <c r="H8094" s="64"/>
      <c r="I8094" s="28"/>
      <c r="J8094" s="125">
        <v>0</v>
      </c>
    </row>
    <row r="8095" spans="1:10" s="144" customFormat="1" ht="15.75" hidden="1" thickBot="1" x14ac:dyDescent="0.3">
      <c r="A8095" s="241" t="s">
        <v>18757</v>
      </c>
      <c r="B8095" s="244" t="s">
        <v>19570</v>
      </c>
      <c r="C8095" s="160"/>
      <c r="D8095" s="145" t="s">
        <v>16</v>
      </c>
      <c r="E8095" s="146"/>
      <c r="F8095" s="37" t="s">
        <v>418</v>
      </c>
      <c r="G8095" s="147" t="str">
        <f>IF(ISNUMBER(F8095),E8095*F8095,"")</f>
        <v/>
      </c>
      <c r="H8095" s="148"/>
      <c r="I8095" s="149"/>
      <c r="J8095" s="125">
        <v>0</v>
      </c>
    </row>
    <row r="8096" spans="1:10" s="144" customFormat="1" ht="15.75" hidden="1" thickBot="1" x14ac:dyDescent="0.3">
      <c r="A8096" s="247"/>
      <c r="B8096" s="245"/>
      <c r="C8096" s="151"/>
      <c r="D8096" s="151"/>
      <c r="E8096" s="152"/>
      <c r="F8096" s="38" t="s">
        <v>418</v>
      </c>
      <c r="G8096" s="31" t="str">
        <f>IF(ISNUMBER(F8096),E8096*F8096,"")</f>
        <v/>
      </c>
      <c r="H8096" s="32"/>
      <c r="I8096" s="28"/>
      <c r="J8096" s="125">
        <v>0</v>
      </c>
    </row>
    <row r="8097" spans="1:10" s="144" customFormat="1" ht="26.25" hidden="1" thickBot="1" x14ac:dyDescent="0.3">
      <c r="A8097" s="247"/>
      <c r="B8097" s="245"/>
      <c r="C8097" s="155" t="s">
        <v>1064</v>
      </c>
      <c r="D8097" s="155" t="s">
        <v>205</v>
      </c>
      <c r="E8097" s="156">
        <v>1</v>
      </c>
      <c r="F8097" s="28">
        <v>27.122499999999999</v>
      </c>
      <c r="G8097" s="31">
        <f>IF(ISNUMBER(F8097),E8097*F8097,"")</f>
        <v>27.122499999999999</v>
      </c>
      <c r="H8097" s="35">
        <f>SUM(G8097:G8097)</f>
        <v>27.122499999999999</v>
      </c>
      <c r="I8097" s="36"/>
      <c r="J8097" s="125">
        <v>0</v>
      </c>
    </row>
    <row r="8098" spans="1:10" s="144" customFormat="1" ht="15.75" hidden="1" thickBot="1" x14ac:dyDescent="0.3">
      <c r="A8098" s="248"/>
      <c r="B8098" s="246"/>
      <c r="C8098" s="164"/>
      <c r="D8098" s="164"/>
      <c r="E8098" s="165"/>
      <c r="F8098" s="62" t="s">
        <v>418</v>
      </c>
      <c r="G8098" s="63" t="str">
        <f>IF(ISNUMBER(F8098),E8098*F8098,"")</f>
        <v/>
      </c>
      <c r="H8098" s="64"/>
      <c r="I8098" s="28"/>
      <c r="J8098" s="125">
        <v>0</v>
      </c>
    </row>
    <row r="8099" spans="1:10" s="144" customFormat="1" ht="15.75" hidden="1" thickBot="1" x14ac:dyDescent="0.3">
      <c r="A8099" s="241" t="s">
        <v>18758</v>
      </c>
      <c r="B8099" s="244" t="s">
        <v>19571</v>
      </c>
      <c r="C8099" s="160"/>
      <c r="D8099" s="145" t="s">
        <v>16</v>
      </c>
      <c r="E8099" s="146"/>
      <c r="F8099" s="37" t="s">
        <v>418</v>
      </c>
      <c r="G8099" s="147" t="str">
        <f>IF(ISNUMBER(F8099),E8099*F8099,"")</f>
        <v/>
      </c>
      <c r="H8099" s="148"/>
      <c r="I8099" s="149"/>
      <c r="J8099" s="125">
        <v>0</v>
      </c>
    </row>
    <row r="8100" spans="1:10" s="144" customFormat="1" ht="15.75" hidden="1" thickBot="1" x14ac:dyDescent="0.3">
      <c r="A8100" s="247"/>
      <c r="B8100" s="245"/>
      <c r="C8100" s="151"/>
      <c r="D8100" s="151"/>
      <c r="E8100" s="152"/>
      <c r="F8100" s="38" t="s">
        <v>418</v>
      </c>
      <c r="G8100" s="31" t="str">
        <f>IF(ISNUMBER(F8100),E8100*F8100,"")</f>
        <v/>
      </c>
      <c r="H8100" s="32"/>
      <c r="I8100" s="28"/>
      <c r="J8100" s="125">
        <v>0</v>
      </c>
    </row>
    <row r="8101" spans="1:10" s="144" customFormat="1" ht="26.25" hidden="1" thickBot="1" x14ac:dyDescent="0.3">
      <c r="A8101" s="247"/>
      <c r="B8101" s="245"/>
      <c r="C8101" s="155" t="s">
        <v>27511</v>
      </c>
      <c r="D8101" s="155" t="s">
        <v>205</v>
      </c>
      <c r="E8101" s="156">
        <v>1</v>
      </c>
      <c r="F8101" s="28">
        <v>63.440999999999995</v>
      </c>
      <c r="G8101" s="31">
        <f>IF(ISNUMBER(F8101),E8101*F8101,"")</f>
        <v>63.440999999999995</v>
      </c>
      <c r="H8101" s="35">
        <f>SUM(G8101:G8101)</f>
        <v>63.440999999999995</v>
      </c>
      <c r="I8101" s="36"/>
      <c r="J8101" s="125">
        <v>0</v>
      </c>
    </row>
    <row r="8102" spans="1:10" s="144" customFormat="1" ht="15.75" hidden="1" thickBot="1" x14ac:dyDescent="0.3">
      <c r="A8102" s="248"/>
      <c r="B8102" s="246"/>
      <c r="C8102" s="164"/>
      <c r="D8102" s="164"/>
      <c r="E8102" s="165"/>
      <c r="F8102" s="62" t="s">
        <v>418</v>
      </c>
      <c r="G8102" s="63" t="str">
        <f>IF(ISNUMBER(F8102),E8102*F8102,"")</f>
        <v/>
      </c>
      <c r="H8102" s="64"/>
      <c r="I8102" s="28"/>
      <c r="J8102" s="125">
        <v>0</v>
      </c>
    </row>
    <row r="8103" spans="1:10" s="144" customFormat="1" ht="15.75" hidden="1" thickBot="1" x14ac:dyDescent="0.3">
      <c r="A8103" s="241" t="s">
        <v>18759</v>
      </c>
      <c r="B8103" s="244" t="s">
        <v>19572</v>
      </c>
      <c r="C8103" s="160"/>
      <c r="D8103" s="145" t="s">
        <v>16</v>
      </c>
      <c r="E8103" s="146"/>
      <c r="F8103" s="37" t="s">
        <v>418</v>
      </c>
      <c r="G8103" s="147" t="str">
        <f>IF(ISNUMBER(F8103),E8103*F8103,"")</f>
        <v/>
      </c>
      <c r="H8103" s="148"/>
      <c r="I8103" s="149"/>
      <c r="J8103" s="125">
        <v>0</v>
      </c>
    </row>
    <row r="8104" spans="1:10" s="144" customFormat="1" ht="15.75" hidden="1" thickBot="1" x14ac:dyDescent="0.3">
      <c r="A8104" s="247"/>
      <c r="B8104" s="245"/>
      <c r="C8104" s="151"/>
      <c r="D8104" s="151"/>
      <c r="E8104" s="152"/>
      <c r="F8104" s="38" t="s">
        <v>418</v>
      </c>
      <c r="G8104" s="31" t="str">
        <f>IF(ISNUMBER(F8104),E8104*F8104,"")</f>
        <v/>
      </c>
      <c r="H8104" s="32"/>
      <c r="I8104" s="28"/>
      <c r="J8104" s="125">
        <v>0</v>
      </c>
    </row>
    <row r="8105" spans="1:10" s="144" customFormat="1" ht="26.25" hidden="1" thickBot="1" x14ac:dyDescent="0.3">
      <c r="A8105" s="247"/>
      <c r="B8105" s="245"/>
      <c r="C8105" s="155" t="s">
        <v>23966</v>
      </c>
      <c r="D8105" s="155" t="s">
        <v>205</v>
      </c>
      <c r="E8105" s="156">
        <v>1</v>
      </c>
      <c r="F8105" s="28">
        <v>30.4285</v>
      </c>
      <c r="G8105" s="31">
        <f>IF(ISNUMBER(F8105),E8105*F8105,"")</f>
        <v>30.4285</v>
      </c>
      <c r="H8105" s="35">
        <f>SUM(G8105:G8105)</f>
        <v>30.4285</v>
      </c>
      <c r="I8105" s="36"/>
      <c r="J8105" s="125">
        <v>0</v>
      </c>
    </row>
    <row r="8106" spans="1:10" s="144" customFormat="1" ht="15.75" hidden="1" thickBot="1" x14ac:dyDescent="0.3">
      <c r="A8106" s="248"/>
      <c r="B8106" s="246"/>
      <c r="C8106" s="164"/>
      <c r="D8106" s="164"/>
      <c r="E8106" s="165"/>
      <c r="F8106" s="62" t="s">
        <v>418</v>
      </c>
      <c r="G8106" s="63" t="str">
        <f>IF(ISNUMBER(F8106),E8106*F8106,"")</f>
        <v/>
      </c>
      <c r="H8106" s="64"/>
      <c r="I8106" s="28"/>
      <c r="J8106" s="125">
        <v>0</v>
      </c>
    </row>
    <row r="8107" spans="1:10" s="144" customFormat="1" ht="15.75" hidden="1" thickBot="1" x14ac:dyDescent="0.3">
      <c r="A8107" s="241" t="s">
        <v>18760</v>
      </c>
      <c r="B8107" s="244" t="s">
        <v>19573</v>
      </c>
      <c r="C8107" s="160"/>
      <c r="D8107" s="145" t="s">
        <v>16</v>
      </c>
      <c r="E8107" s="146"/>
      <c r="F8107" s="37" t="s">
        <v>418</v>
      </c>
      <c r="G8107" s="147" t="str">
        <f>IF(ISNUMBER(F8107),E8107*F8107,"")</f>
        <v/>
      </c>
      <c r="H8107" s="148"/>
      <c r="I8107" s="149"/>
      <c r="J8107" s="125">
        <v>0</v>
      </c>
    </row>
    <row r="8108" spans="1:10" s="144" customFormat="1" ht="15.75" hidden="1" thickBot="1" x14ac:dyDescent="0.3">
      <c r="A8108" s="247"/>
      <c r="B8108" s="245"/>
      <c r="C8108" s="151"/>
      <c r="D8108" s="151"/>
      <c r="E8108" s="152"/>
      <c r="F8108" s="38" t="s">
        <v>418</v>
      </c>
      <c r="G8108" s="31" t="str">
        <f>IF(ISNUMBER(F8108),E8108*F8108,"")</f>
        <v/>
      </c>
      <c r="H8108" s="32"/>
      <c r="I8108" s="28"/>
      <c r="J8108" s="125">
        <v>0</v>
      </c>
    </row>
    <row r="8109" spans="1:10" s="144" customFormat="1" ht="26.25" hidden="1" thickBot="1" x14ac:dyDescent="0.3">
      <c r="A8109" s="247"/>
      <c r="B8109" s="245"/>
      <c r="C8109" s="155" t="s">
        <v>24821</v>
      </c>
      <c r="D8109" s="155" t="s">
        <v>205</v>
      </c>
      <c r="E8109" s="156">
        <v>1</v>
      </c>
      <c r="F8109" s="28">
        <v>83.866</v>
      </c>
      <c r="G8109" s="31">
        <f>IF(ISNUMBER(F8109),E8109*F8109,"")</f>
        <v>83.866</v>
      </c>
      <c r="H8109" s="35">
        <f>SUM(G8109:G8109)</f>
        <v>83.866</v>
      </c>
      <c r="I8109" s="36"/>
      <c r="J8109" s="125">
        <v>0</v>
      </c>
    </row>
    <row r="8110" spans="1:10" s="144" customFormat="1" ht="15.75" hidden="1" thickBot="1" x14ac:dyDescent="0.3">
      <c r="A8110" s="248"/>
      <c r="B8110" s="246"/>
      <c r="C8110" s="164"/>
      <c r="D8110" s="164"/>
      <c r="E8110" s="165"/>
      <c r="F8110" s="62" t="s">
        <v>418</v>
      </c>
      <c r="G8110" s="63" t="str">
        <f>IF(ISNUMBER(F8110),E8110*F8110,"")</f>
        <v/>
      </c>
      <c r="H8110" s="64"/>
      <c r="I8110" s="28"/>
      <c r="J8110" s="125">
        <v>0</v>
      </c>
    </row>
    <row r="8111" spans="1:10" s="144" customFormat="1" ht="15.75" hidden="1" thickBot="1" x14ac:dyDescent="0.3">
      <c r="A8111" s="241" t="s">
        <v>18761</v>
      </c>
      <c r="B8111" s="244" t="s">
        <v>19574</v>
      </c>
      <c r="C8111" s="160"/>
      <c r="D8111" s="145" t="s">
        <v>16</v>
      </c>
      <c r="E8111" s="146"/>
      <c r="F8111" s="37" t="s">
        <v>418</v>
      </c>
      <c r="G8111" s="147" t="str">
        <f>IF(ISNUMBER(F8111),E8111*F8111,"")</f>
        <v/>
      </c>
      <c r="H8111" s="148"/>
      <c r="I8111" s="149"/>
      <c r="J8111" s="125">
        <v>0</v>
      </c>
    </row>
    <row r="8112" spans="1:10" s="144" customFormat="1" ht="15.75" hidden="1" thickBot="1" x14ac:dyDescent="0.3">
      <c r="A8112" s="247"/>
      <c r="B8112" s="245"/>
      <c r="C8112" s="151"/>
      <c r="D8112" s="151"/>
      <c r="E8112" s="152"/>
      <c r="F8112" s="38" t="s">
        <v>418</v>
      </c>
      <c r="G8112" s="31" t="str">
        <f>IF(ISNUMBER(F8112),E8112*F8112,"")</f>
        <v/>
      </c>
      <c r="H8112" s="32"/>
      <c r="I8112" s="28"/>
      <c r="J8112" s="125">
        <v>0</v>
      </c>
    </row>
    <row r="8113" spans="1:10" s="144" customFormat="1" ht="26.25" hidden="1" thickBot="1" x14ac:dyDescent="0.3">
      <c r="A8113" s="247"/>
      <c r="B8113" s="245"/>
      <c r="C8113" s="155" t="s">
        <v>26147</v>
      </c>
      <c r="D8113" s="155" t="s">
        <v>205</v>
      </c>
      <c r="E8113" s="156">
        <v>1</v>
      </c>
      <c r="F8113" s="28">
        <v>44.298499999999997</v>
      </c>
      <c r="G8113" s="31">
        <f>IF(ISNUMBER(F8113),E8113*F8113,"")</f>
        <v>44.298499999999997</v>
      </c>
      <c r="H8113" s="35">
        <f>SUM(G8113:G8113)</f>
        <v>44.298499999999997</v>
      </c>
      <c r="I8113" s="36"/>
      <c r="J8113" s="125">
        <v>0</v>
      </c>
    </row>
    <row r="8114" spans="1:10" s="144" customFormat="1" ht="15.75" hidden="1" thickBot="1" x14ac:dyDescent="0.3">
      <c r="A8114" s="248"/>
      <c r="B8114" s="246"/>
      <c r="C8114" s="164"/>
      <c r="D8114" s="164"/>
      <c r="E8114" s="165"/>
      <c r="F8114" s="62" t="s">
        <v>418</v>
      </c>
      <c r="G8114" s="63" t="str">
        <f>IF(ISNUMBER(F8114),E8114*F8114,"")</f>
        <v/>
      </c>
      <c r="H8114" s="64"/>
      <c r="I8114" s="28"/>
      <c r="J8114" s="125">
        <v>0</v>
      </c>
    </row>
    <row r="8115" spans="1:10" s="144" customFormat="1" ht="15.75" hidden="1" thickBot="1" x14ac:dyDescent="0.3">
      <c r="A8115" s="241" t="s">
        <v>18762</v>
      </c>
      <c r="B8115" s="244" t="s">
        <v>19575</v>
      </c>
      <c r="C8115" s="160"/>
      <c r="D8115" s="145" t="s">
        <v>16</v>
      </c>
      <c r="E8115" s="146"/>
      <c r="F8115" s="37" t="s">
        <v>418</v>
      </c>
      <c r="G8115" s="147" t="str">
        <f>IF(ISNUMBER(F8115),E8115*F8115,"")</f>
        <v/>
      </c>
      <c r="H8115" s="148"/>
      <c r="I8115" s="149"/>
      <c r="J8115" s="125">
        <v>0</v>
      </c>
    </row>
    <row r="8116" spans="1:10" s="144" customFormat="1" ht="15.75" hidden="1" thickBot="1" x14ac:dyDescent="0.3">
      <c r="A8116" s="247"/>
      <c r="B8116" s="245"/>
      <c r="C8116" s="151"/>
      <c r="D8116" s="151"/>
      <c r="E8116" s="152"/>
      <c r="F8116" s="38" t="s">
        <v>418</v>
      </c>
      <c r="G8116" s="31" t="str">
        <f>IF(ISNUMBER(F8116),E8116*F8116,"")</f>
        <v/>
      </c>
      <c r="H8116" s="32"/>
      <c r="I8116" s="28"/>
      <c r="J8116" s="125">
        <v>0</v>
      </c>
    </row>
    <row r="8117" spans="1:10" s="144" customFormat="1" ht="26.25" hidden="1" thickBot="1" x14ac:dyDescent="0.3">
      <c r="A8117" s="247"/>
      <c r="B8117" s="245"/>
      <c r="C8117" s="155" t="s">
        <v>27512</v>
      </c>
      <c r="D8117" s="155" t="s">
        <v>205</v>
      </c>
      <c r="E8117" s="156">
        <v>1</v>
      </c>
      <c r="F8117" s="28">
        <v>125.38099999999999</v>
      </c>
      <c r="G8117" s="31">
        <f>IF(ISNUMBER(F8117),E8117*F8117,"")</f>
        <v>125.38099999999999</v>
      </c>
      <c r="H8117" s="35">
        <f>SUM(G8117:G8117)</f>
        <v>125.38099999999999</v>
      </c>
      <c r="I8117" s="36"/>
      <c r="J8117" s="125">
        <v>0</v>
      </c>
    </row>
    <row r="8118" spans="1:10" s="144" customFormat="1" ht="15.75" hidden="1" thickBot="1" x14ac:dyDescent="0.3">
      <c r="A8118" s="248"/>
      <c r="B8118" s="246"/>
      <c r="C8118" s="164"/>
      <c r="D8118" s="164"/>
      <c r="E8118" s="165"/>
      <c r="F8118" s="62" t="s">
        <v>418</v>
      </c>
      <c r="G8118" s="63" t="str">
        <f>IF(ISNUMBER(F8118),E8118*F8118,"")</f>
        <v/>
      </c>
      <c r="H8118" s="64"/>
      <c r="I8118" s="28"/>
      <c r="J8118" s="125">
        <v>0</v>
      </c>
    </row>
    <row r="8119" spans="1:10" s="144" customFormat="1" ht="15.75" hidden="1" thickBot="1" x14ac:dyDescent="0.3">
      <c r="A8119" s="241" t="s">
        <v>18763</v>
      </c>
      <c r="B8119" s="244" t="s">
        <v>19576</v>
      </c>
      <c r="C8119" s="160"/>
      <c r="D8119" s="145" t="s">
        <v>16</v>
      </c>
      <c r="E8119" s="146"/>
      <c r="F8119" s="37" t="s">
        <v>418</v>
      </c>
      <c r="G8119" s="147" t="str">
        <f>IF(ISNUMBER(F8119),E8119*F8119,"")</f>
        <v/>
      </c>
      <c r="H8119" s="148"/>
      <c r="I8119" s="149"/>
      <c r="J8119" s="125">
        <v>0</v>
      </c>
    </row>
    <row r="8120" spans="1:10" s="144" customFormat="1" ht="15.75" hidden="1" thickBot="1" x14ac:dyDescent="0.3">
      <c r="A8120" s="247"/>
      <c r="B8120" s="245"/>
      <c r="C8120" s="151"/>
      <c r="D8120" s="151"/>
      <c r="E8120" s="152"/>
      <c r="F8120" s="38" t="s">
        <v>418</v>
      </c>
      <c r="G8120" s="31" t="str">
        <f>IF(ISNUMBER(F8120),E8120*F8120,"")</f>
        <v/>
      </c>
      <c r="H8120" s="32"/>
      <c r="I8120" s="28"/>
      <c r="J8120" s="125">
        <v>0</v>
      </c>
    </row>
    <row r="8121" spans="1:10" s="144" customFormat="1" ht="26.25" hidden="1" thickBot="1" x14ac:dyDescent="0.3">
      <c r="A8121" s="247"/>
      <c r="B8121" s="245"/>
      <c r="C8121" s="155" t="s">
        <v>23967</v>
      </c>
      <c r="D8121" s="155" t="s">
        <v>205</v>
      </c>
      <c r="E8121" s="156">
        <v>1</v>
      </c>
      <c r="F8121" s="28">
        <v>42.901999999999994</v>
      </c>
      <c r="G8121" s="31">
        <f>IF(ISNUMBER(F8121),E8121*F8121,"")</f>
        <v>42.901999999999994</v>
      </c>
      <c r="H8121" s="35">
        <f>SUM(G8121:G8121)</f>
        <v>42.901999999999994</v>
      </c>
      <c r="I8121" s="36"/>
      <c r="J8121" s="125">
        <v>0</v>
      </c>
    </row>
    <row r="8122" spans="1:10" s="144" customFormat="1" ht="15.75" hidden="1" thickBot="1" x14ac:dyDescent="0.3">
      <c r="A8122" s="248"/>
      <c r="B8122" s="246"/>
      <c r="C8122" s="164"/>
      <c r="D8122" s="164"/>
      <c r="E8122" s="165"/>
      <c r="F8122" s="62" t="s">
        <v>418</v>
      </c>
      <c r="G8122" s="63" t="str">
        <f>IF(ISNUMBER(F8122),E8122*F8122,"")</f>
        <v/>
      </c>
      <c r="H8122" s="64"/>
      <c r="I8122" s="28"/>
      <c r="J8122" s="125">
        <v>0</v>
      </c>
    </row>
    <row r="8123" spans="1:10" s="144" customFormat="1" ht="15.75" hidden="1" thickBot="1" x14ac:dyDescent="0.3">
      <c r="A8123" s="241" t="s">
        <v>18764</v>
      </c>
      <c r="B8123" s="244" t="s">
        <v>19577</v>
      </c>
      <c r="C8123" s="160"/>
      <c r="D8123" s="145" t="s">
        <v>16</v>
      </c>
      <c r="E8123" s="146"/>
      <c r="F8123" s="37" t="s">
        <v>418</v>
      </c>
      <c r="G8123" s="147" t="str">
        <f>IF(ISNUMBER(F8123),E8123*F8123,"")</f>
        <v/>
      </c>
      <c r="H8123" s="148"/>
      <c r="I8123" s="149"/>
      <c r="J8123" s="125">
        <v>0</v>
      </c>
    </row>
    <row r="8124" spans="1:10" s="144" customFormat="1" ht="15.75" hidden="1" thickBot="1" x14ac:dyDescent="0.3">
      <c r="A8124" s="247"/>
      <c r="B8124" s="245"/>
      <c r="C8124" s="151"/>
      <c r="D8124" s="151"/>
      <c r="E8124" s="152"/>
      <c r="F8124" s="38" t="s">
        <v>418</v>
      </c>
      <c r="G8124" s="31" t="str">
        <f>IF(ISNUMBER(F8124),E8124*F8124,"")</f>
        <v/>
      </c>
      <c r="H8124" s="32"/>
      <c r="I8124" s="28"/>
      <c r="J8124" s="125">
        <v>0</v>
      </c>
    </row>
    <row r="8125" spans="1:10" s="144" customFormat="1" ht="26.25" hidden="1" thickBot="1" x14ac:dyDescent="0.3">
      <c r="A8125" s="247"/>
      <c r="B8125" s="245"/>
      <c r="C8125" s="155" t="s">
        <v>24822</v>
      </c>
      <c r="D8125" s="155" t="s">
        <v>205</v>
      </c>
      <c r="E8125" s="156">
        <v>1</v>
      </c>
      <c r="F8125" s="28">
        <v>292.02049999999997</v>
      </c>
      <c r="G8125" s="31">
        <f>IF(ISNUMBER(F8125),E8125*F8125,"")</f>
        <v>292.02049999999997</v>
      </c>
      <c r="H8125" s="35">
        <f>SUM(G8125:G8125)</f>
        <v>292.02049999999997</v>
      </c>
      <c r="I8125" s="36"/>
      <c r="J8125" s="125">
        <v>0</v>
      </c>
    </row>
    <row r="8126" spans="1:10" s="144" customFormat="1" ht="15.75" hidden="1" thickBot="1" x14ac:dyDescent="0.3">
      <c r="A8126" s="248"/>
      <c r="B8126" s="246"/>
      <c r="C8126" s="164"/>
      <c r="D8126" s="164"/>
      <c r="E8126" s="165"/>
      <c r="F8126" s="62" t="s">
        <v>418</v>
      </c>
      <c r="G8126" s="63" t="str">
        <f>IF(ISNUMBER(F8126),E8126*F8126,"")</f>
        <v/>
      </c>
      <c r="H8126" s="64"/>
      <c r="I8126" s="28"/>
      <c r="J8126" s="125">
        <v>0</v>
      </c>
    </row>
    <row r="8127" spans="1:10" s="144" customFormat="1" ht="15.75" hidden="1" thickBot="1" x14ac:dyDescent="0.3">
      <c r="A8127" s="241" t="s">
        <v>18765</v>
      </c>
      <c r="B8127" s="244" t="s">
        <v>19578</v>
      </c>
      <c r="C8127" s="160"/>
      <c r="D8127" s="145" t="s">
        <v>16</v>
      </c>
      <c r="E8127" s="146"/>
      <c r="F8127" s="37" t="s">
        <v>418</v>
      </c>
      <c r="G8127" s="147" t="str">
        <f>IF(ISNUMBER(F8127),E8127*F8127,"")</f>
        <v/>
      </c>
      <c r="H8127" s="148"/>
      <c r="I8127" s="149"/>
      <c r="J8127" s="125">
        <v>0</v>
      </c>
    </row>
    <row r="8128" spans="1:10" s="144" customFormat="1" ht="15.75" hidden="1" thickBot="1" x14ac:dyDescent="0.3">
      <c r="A8128" s="247"/>
      <c r="B8128" s="245"/>
      <c r="C8128" s="151"/>
      <c r="D8128" s="151"/>
      <c r="E8128" s="152"/>
      <c r="F8128" s="38" t="s">
        <v>418</v>
      </c>
      <c r="G8128" s="31" t="str">
        <f>IF(ISNUMBER(F8128),E8128*F8128,"")</f>
        <v/>
      </c>
      <c r="H8128" s="32"/>
      <c r="I8128" s="28"/>
      <c r="J8128" s="125">
        <v>0</v>
      </c>
    </row>
    <row r="8129" spans="1:10" s="144" customFormat="1" ht="26.25" hidden="1" thickBot="1" x14ac:dyDescent="0.3">
      <c r="A8129" s="247"/>
      <c r="B8129" s="245"/>
      <c r="C8129" s="155" t="s">
        <v>26148</v>
      </c>
      <c r="D8129" s="155" t="s">
        <v>205</v>
      </c>
      <c r="E8129" s="156">
        <v>1</v>
      </c>
      <c r="F8129" s="28">
        <v>145.1885</v>
      </c>
      <c r="G8129" s="31">
        <f>IF(ISNUMBER(F8129),E8129*F8129,"")</f>
        <v>145.1885</v>
      </c>
      <c r="H8129" s="35">
        <f>SUM(G8129:G8129)</f>
        <v>145.1885</v>
      </c>
      <c r="I8129" s="36"/>
      <c r="J8129" s="125">
        <v>0</v>
      </c>
    </row>
    <row r="8130" spans="1:10" s="144" customFormat="1" ht="15.75" hidden="1" thickBot="1" x14ac:dyDescent="0.3">
      <c r="A8130" s="248"/>
      <c r="B8130" s="246"/>
      <c r="C8130" s="164"/>
      <c r="D8130" s="164"/>
      <c r="E8130" s="165"/>
      <c r="F8130" s="62" t="s">
        <v>418</v>
      </c>
      <c r="G8130" s="63" t="str">
        <f>IF(ISNUMBER(F8130),E8130*F8130,"")</f>
        <v/>
      </c>
      <c r="H8130" s="64"/>
      <c r="I8130" s="28"/>
      <c r="J8130" s="125">
        <v>0</v>
      </c>
    </row>
    <row r="8131" spans="1:10" s="144" customFormat="1" ht="15.75" hidden="1" thickBot="1" x14ac:dyDescent="0.3">
      <c r="A8131" s="241" t="s">
        <v>18766</v>
      </c>
      <c r="B8131" s="244" t="s">
        <v>19579</v>
      </c>
      <c r="C8131" s="160"/>
      <c r="D8131" s="145" t="s">
        <v>16</v>
      </c>
      <c r="E8131" s="146"/>
      <c r="F8131" s="37" t="s">
        <v>418</v>
      </c>
      <c r="G8131" s="147" t="str">
        <f>IF(ISNUMBER(F8131),E8131*F8131,"")</f>
        <v/>
      </c>
      <c r="H8131" s="148"/>
      <c r="I8131" s="149"/>
      <c r="J8131" s="125">
        <v>0</v>
      </c>
    </row>
    <row r="8132" spans="1:10" s="144" customFormat="1" ht="15.75" hidden="1" thickBot="1" x14ac:dyDescent="0.3">
      <c r="A8132" s="247"/>
      <c r="B8132" s="245"/>
      <c r="C8132" s="151"/>
      <c r="D8132" s="151"/>
      <c r="E8132" s="152"/>
      <c r="F8132" s="38" t="s">
        <v>418</v>
      </c>
      <c r="G8132" s="31" t="str">
        <f>IF(ISNUMBER(F8132),E8132*F8132,"")</f>
        <v/>
      </c>
      <c r="H8132" s="32"/>
      <c r="I8132" s="28"/>
      <c r="J8132" s="125">
        <v>0</v>
      </c>
    </row>
    <row r="8133" spans="1:10" s="144" customFormat="1" ht="26.25" hidden="1" thickBot="1" x14ac:dyDescent="0.3">
      <c r="A8133" s="247"/>
      <c r="B8133" s="245"/>
      <c r="C8133" s="155" t="s">
        <v>27513</v>
      </c>
      <c r="D8133" s="155" t="s">
        <v>205</v>
      </c>
      <c r="E8133" s="156">
        <v>1</v>
      </c>
      <c r="F8133" s="28">
        <v>356.92449999999997</v>
      </c>
      <c r="G8133" s="31">
        <f>IF(ISNUMBER(F8133),E8133*F8133,"")</f>
        <v>356.92449999999997</v>
      </c>
      <c r="H8133" s="35">
        <f>SUM(G8133:G8133)</f>
        <v>356.92449999999997</v>
      </c>
      <c r="I8133" s="36"/>
      <c r="J8133" s="125">
        <v>0</v>
      </c>
    </row>
    <row r="8134" spans="1:10" s="144" customFormat="1" ht="15.75" hidden="1" thickBot="1" x14ac:dyDescent="0.3">
      <c r="A8134" s="248"/>
      <c r="B8134" s="246"/>
      <c r="C8134" s="164"/>
      <c r="D8134" s="164"/>
      <c r="E8134" s="165"/>
      <c r="F8134" s="62" t="s">
        <v>418</v>
      </c>
      <c r="G8134" s="63" t="str">
        <f>IF(ISNUMBER(F8134),E8134*F8134,"")</f>
        <v/>
      </c>
      <c r="H8134" s="64"/>
      <c r="I8134" s="28"/>
      <c r="J8134" s="125">
        <v>0</v>
      </c>
    </row>
    <row r="8135" spans="1:10" s="144" customFormat="1" ht="15.75" hidden="1" thickBot="1" x14ac:dyDescent="0.3">
      <c r="A8135" s="241" t="s">
        <v>18767</v>
      </c>
      <c r="B8135" s="244" t="s">
        <v>19583</v>
      </c>
      <c r="C8135" s="160"/>
      <c r="D8135" s="145" t="s">
        <v>16</v>
      </c>
      <c r="E8135" s="146"/>
      <c r="F8135" s="37" t="s">
        <v>418</v>
      </c>
      <c r="G8135" s="147" t="str">
        <f>IF(ISNUMBER(F8135),E8135*F8135,"")</f>
        <v/>
      </c>
      <c r="H8135" s="148"/>
      <c r="I8135" s="149"/>
      <c r="J8135" s="125">
        <v>0</v>
      </c>
    </row>
    <row r="8136" spans="1:10" s="144" customFormat="1" ht="15.75" hidden="1" thickBot="1" x14ac:dyDescent="0.3">
      <c r="A8136" s="247"/>
      <c r="B8136" s="245"/>
      <c r="C8136" s="151"/>
      <c r="D8136" s="151"/>
      <c r="E8136" s="152"/>
      <c r="F8136" s="38" t="s">
        <v>418</v>
      </c>
      <c r="G8136" s="31" t="str">
        <f>IF(ISNUMBER(F8136),E8136*F8136,"")</f>
        <v/>
      </c>
      <c r="H8136" s="32"/>
      <c r="I8136" s="28"/>
      <c r="J8136" s="125">
        <v>0</v>
      </c>
    </row>
    <row r="8137" spans="1:10" s="144" customFormat="1" ht="26.25" hidden="1" thickBot="1" x14ac:dyDescent="0.3">
      <c r="A8137" s="247"/>
      <c r="B8137" s="245"/>
      <c r="C8137" s="155" t="s">
        <v>23968</v>
      </c>
      <c r="D8137" s="155" t="s">
        <v>205</v>
      </c>
      <c r="E8137" s="156">
        <v>1</v>
      </c>
      <c r="F8137" s="28">
        <v>133.72199999999998</v>
      </c>
      <c r="G8137" s="31">
        <f>IF(ISNUMBER(F8137),E8137*F8137,"")</f>
        <v>133.72199999999998</v>
      </c>
      <c r="H8137" s="35">
        <f>SUM(G8137:G8137)</f>
        <v>133.72199999999998</v>
      </c>
      <c r="I8137" s="36"/>
      <c r="J8137" s="125">
        <v>0</v>
      </c>
    </row>
    <row r="8138" spans="1:10" s="144" customFormat="1" ht="15.75" hidden="1" thickBot="1" x14ac:dyDescent="0.3">
      <c r="A8138" s="248"/>
      <c r="B8138" s="246"/>
      <c r="C8138" s="164"/>
      <c r="D8138" s="164"/>
      <c r="E8138" s="165"/>
      <c r="F8138" s="62" t="s">
        <v>418</v>
      </c>
      <c r="G8138" s="63" t="str">
        <f>IF(ISNUMBER(F8138),E8138*F8138,"")</f>
        <v/>
      </c>
      <c r="H8138" s="64"/>
      <c r="I8138" s="28"/>
      <c r="J8138" s="125">
        <v>0</v>
      </c>
    </row>
    <row r="8139" spans="1:10" s="144" customFormat="1" ht="15.75" hidden="1" thickBot="1" x14ac:dyDescent="0.3">
      <c r="A8139" s="241" t="s">
        <v>18768</v>
      </c>
      <c r="B8139" s="244" t="s">
        <v>19580</v>
      </c>
      <c r="C8139" s="160"/>
      <c r="D8139" s="145" t="s">
        <v>16</v>
      </c>
      <c r="E8139" s="146"/>
      <c r="F8139" s="37" t="s">
        <v>418</v>
      </c>
      <c r="G8139" s="147" t="str">
        <f>IF(ISNUMBER(F8139),E8139*F8139,"")</f>
        <v/>
      </c>
      <c r="H8139" s="148"/>
      <c r="I8139" s="149"/>
      <c r="J8139" s="125">
        <v>0</v>
      </c>
    </row>
    <row r="8140" spans="1:10" s="144" customFormat="1" ht="15.75" hidden="1" thickBot="1" x14ac:dyDescent="0.3">
      <c r="A8140" s="247"/>
      <c r="B8140" s="245"/>
      <c r="C8140" s="151"/>
      <c r="D8140" s="151"/>
      <c r="E8140" s="152"/>
      <c r="F8140" s="38" t="s">
        <v>418</v>
      </c>
      <c r="G8140" s="31" t="str">
        <f>IF(ISNUMBER(F8140),E8140*F8140,"")</f>
        <v/>
      </c>
      <c r="H8140" s="32"/>
      <c r="I8140" s="28"/>
      <c r="J8140" s="125">
        <v>0</v>
      </c>
    </row>
    <row r="8141" spans="1:10" s="144" customFormat="1" ht="26.25" hidden="1" thickBot="1" x14ac:dyDescent="0.3">
      <c r="A8141" s="247"/>
      <c r="B8141" s="245"/>
      <c r="C8141" s="155" t="s">
        <v>24823</v>
      </c>
      <c r="D8141" s="155" t="s">
        <v>205</v>
      </c>
      <c r="E8141" s="156">
        <v>1</v>
      </c>
      <c r="F8141" s="28">
        <v>280.03149999999999</v>
      </c>
      <c r="G8141" s="31">
        <f>IF(ISNUMBER(F8141),E8141*F8141,"")</f>
        <v>280.03149999999999</v>
      </c>
      <c r="H8141" s="35">
        <f>SUM(G8141:G8141)</f>
        <v>280.03149999999999</v>
      </c>
      <c r="I8141" s="36"/>
      <c r="J8141" s="125">
        <v>0</v>
      </c>
    </row>
    <row r="8142" spans="1:10" s="144" customFormat="1" ht="15.75" hidden="1" thickBot="1" x14ac:dyDescent="0.3">
      <c r="A8142" s="248"/>
      <c r="B8142" s="246"/>
      <c r="C8142" s="164"/>
      <c r="D8142" s="164"/>
      <c r="E8142" s="165"/>
      <c r="F8142" s="62" t="s">
        <v>418</v>
      </c>
      <c r="G8142" s="63" t="str">
        <f>IF(ISNUMBER(F8142),E8142*F8142,"")</f>
        <v/>
      </c>
      <c r="H8142" s="64"/>
      <c r="I8142" s="28"/>
      <c r="J8142" s="125">
        <v>0</v>
      </c>
    </row>
    <row r="8143" spans="1:10" s="144" customFormat="1" ht="15.75" hidden="1" thickBot="1" x14ac:dyDescent="0.3">
      <c r="A8143" s="241" t="s">
        <v>18769</v>
      </c>
      <c r="B8143" s="244" t="s">
        <v>19581</v>
      </c>
      <c r="C8143" s="160"/>
      <c r="D8143" s="145" t="s">
        <v>16</v>
      </c>
      <c r="E8143" s="146"/>
      <c r="F8143" s="37" t="s">
        <v>418</v>
      </c>
      <c r="G8143" s="147" t="str">
        <f>IF(ISNUMBER(F8143),E8143*F8143,"")</f>
        <v/>
      </c>
      <c r="H8143" s="148"/>
      <c r="I8143" s="149"/>
      <c r="J8143" s="125">
        <v>0</v>
      </c>
    </row>
    <row r="8144" spans="1:10" s="144" customFormat="1" ht="15.75" hidden="1" thickBot="1" x14ac:dyDescent="0.3">
      <c r="A8144" s="247"/>
      <c r="B8144" s="245"/>
      <c r="C8144" s="151"/>
      <c r="D8144" s="151"/>
      <c r="E8144" s="152"/>
      <c r="F8144" s="38" t="s">
        <v>418</v>
      </c>
      <c r="G8144" s="31" t="str">
        <f>IF(ISNUMBER(F8144),E8144*F8144,"")</f>
        <v/>
      </c>
      <c r="H8144" s="32"/>
      <c r="I8144" s="28"/>
      <c r="J8144" s="125">
        <v>0</v>
      </c>
    </row>
    <row r="8145" spans="1:10" s="144" customFormat="1" ht="26.25" hidden="1" thickBot="1" x14ac:dyDescent="0.3">
      <c r="A8145" s="247"/>
      <c r="B8145" s="245"/>
      <c r="C8145" s="155" t="s">
        <v>26149</v>
      </c>
      <c r="D8145" s="155" t="s">
        <v>205</v>
      </c>
      <c r="E8145" s="156">
        <v>1</v>
      </c>
      <c r="F8145" s="28">
        <v>222.29050000000001</v>
      </c>
      <c r="G8145" s="31">
        <f>IF(ISNUMBER(F8145),E8145*F8145,"")</f>
        <v>222.29050000000001</v>
      </c>
      <c r="H8145" s="35">
        <f>SUM(G8145:G8145)</f>
        <v>222.29050000000001</v>
      </c>
      <c r="I8145" s="36"/>
      <c r="J8145" s="125">
        <v>0</v>
      </c>
    </row>
    <row r="8146" spans="1:10" s="144" customFormat="1" ht="15.75" hidden="1" thickBot="1" x14ac:dyDescent="0.3">
      <c r="A8146" s="248"/>
      <c r="B8146" s="246"/>
      <c r="C8146" s="164"/>
      <c r="D8146" s="164"/>
      <c r="E8146" s="165"/>
      <c r="F8146" s="62" t="s">
        <v>418</v>
      </c>
      <c r="G8146" s="63" t="str">
        <f>IF(ISNUMBER(F8146),E8146*F8146,"")</f>
        <v/>
      </c>
      <c r="H8146" s="64"/>
      <c r="I8146" s="28"/>
      <c r="J8146" s="125">
        <v>0</v>
      </c>
    </row>
    <row r="8147" spans="1:10" s="144" customFormat="1" ht="15.75" hidden="1" thickBot="1" x14ac:dyDescent="0.3">
      <c r="A8147" s="241" t="s">
        <v>18770</v>
      </c>
      <c r="B8147" s="244" t="s">
        <v>19582</v>
      </c>
      <c r="C8147" s="160"/>
      <c r="D8147" s="145" t="s">
        <v>16</v>
      </c>
      <c r="E8147" s="146"/>
      <c r="F8147" s="37" t="s">
        <v>418</v>
      </c>
      <c r="G8147" s="147" t="str">
        <f>IF(ISNUMBER(F8147),E8147*F8147,"")</f>
        <v/>
      </c>
      <c r="H8147" s="148"/>
      <c r="I8147" s="149"/>
      <c r="J8147" s="125">
        <v>0</v>
      </c>
    </row>
    <row r="8148" spans="1:10" s="144" customFormat="1" ht="15.75" hidden="1" thickBot="1" x14ac:dyDescent="0.3">
      <c r="A8148" s="247"/>
      <c r="B8148" s="245"/>
      <c r="C8148" s="151"/>
      <c r="D8148" s="151"/>
      <c r="E8148" s="152"/>
      <c r="F8148" s="38" t="s">
        <v>418</v>
      </c>
      <c r="G8148" s="31" t="str">
        <f>IF(ISNUMBER(F8148),E8148*F8148,"")</f>
        <v/>
      </c>
      <c r="H8148" s="32"/>
      <c r="I8148" s="28"/>
      <c r="J8148" s="125">
        <v>0</v>
      </c>
    </row>
    <row r="8149" spans="1:10" s="144" customFormat="1" ht="26.25" hidden="1" thickBot="1" x14ac:dyDescent="0.3">
      <c r="A8149" s="247"/>
      <c r="B8149" s="245"/>
      <c r="C8149" s="155" t="s">
        <v>27514</v>
      </c>
      <c r="D8149" s="155" t="s">
        <v>205</v>
      </c>
      <c r="E8149" s="156">
        <v>1</v>
      </c>
      <c r="F8149" s="28">
        <v>558.42899999999997</v>
      </c>
      <c r="G8149" s="31">
        <f>IF(ISNUMBER(F8149),E8149*F8149,"")</f>
        <v>558.42899999999997</v>
      </c>
      <c r="H8149" s="35">
        <f>SUM(G8149:G8149)</f>
        <v>558.42899999999997</v>
      </c>
      <c r="I8149" s="36"/>
      <c r="J8149" s="125">
        <v>0</v>
      </c>
    </row>
    <row r="8150" spans="1:10" s="144" customFormat="1" ht="15.75" hidden="1" thickBot="1" x14ac:dyDescent="0.3">
      <c r="A8150" s="248"/>
      <c r="B8150" s="246"/>
      <c r="C8150" s="164"/>
      <c r="D8150" s="164"/>
      <c r="E8150" s="165"/>
      <c r="F8150" s="62" t="s">
        <v>418</v>
      </c>
      <c r="G8150" s="63" t="str">
        <f>IF(ISNUMBER(F8150),E8150*F8150,"")</f>
        <v/>
      </c>
      <c r="H8150" s="64"/>
      <c r="I8150" s="28"/>
      <c r="J8150" s="125">
        <v>0</v>
      </c>
    </row>
    <row r="8151" spans="1:10" s="144" customFormat="1" ht="15.75" hidden="1" thickBot="1" x14ac:dyDescent="0.3">
      <c r="A8151" s="241" t="s">
        <v>18771</v>
      </c>
      <c r="B8151" s="244" t="s">
        <v>18772</v>
      </c>
      <c r="C8151" s="160"/>
      <c r="D8151" s="145" t="s">
        <v>16</v>
      </c>
      <c r="E8151" s="146"/>
      <c r="F8151" s="37" t="s">
        <v>418</v>
      </c>
      <c r="G8151" s="147" t="str">
        <f>IF(ISNUMBER(F8151),E8151*F8151,"")</f>
        <v/>
      </c>
      <c r="H8151" s="148"/>
      <c r="I8151" s="149"/>
      <c r="J8151" s="125">
        <v>0</v>
      </c>
    </row>
    <row r="8152" spans="1:10" s="144" customFormat="1" ht="15.75" hidden="1" thickBot="1" x14ac:dyDescent="0.3">
      <c r="A8152" s="247"/>
      <c r="B8152" s="245"/>
      <c r="C8152" s="151"/>
      <c r="D8152" s="151"/>
      <c r="E8152" s="152"/>
      <c r="F8152" s="38" t="s">
        <v>418</v>
      </c>
      <c r="G8152" s="31" t="str">
        <f>IF(ISNUMBER(F8152),E8152*F8152,"")</f>
        <v/>
      </c>
      <c r="H8152" s="32"/>
      <c r="I8152" s="28"/>
      <c r="J8152" s="125">
        <v>0</v>
      </c>
    </row>
    <row r="8153" spans="1:10" s="144" customFormat="1" ht="39" hidden="1" thickBot="1" x14ac:dyDescent="0.3">
      <c r="A8153" s="247"/>
      <c r="B8153" s="245"/>
      <c r="C8153" s="155" t="s">
        <v>27898</v>
      </c>
      <c r="D8153" s="155" t="s">
        <v>205</v>
      </c>
      <c r="E8153" s="156">
        <v>1</v>
      </c>
      <c r="F8153" s="28">
        <v>34.865000000000002</v>
      </c>
      <c r="G8153" s="31">
        <f>IF(ISNUMBER(F8153),E8153*F8153,"")</f>
        <v>34.865000000000002</v>
      </c>
      <c r="H8153" s="35">
        <f>SUM(G8153:G8153)</f>
        <v>34.865000000000002</v>
      </c>
      <c r="I8153" s="36"/>
      <c r="J8153" s="125">
        <v>0</v>
      </c>
    </row>
    <row r="8154" spans="1:10" s="144" customFormat="1" ht="15.75" hidden="1" thickBot="1" x14ac:dyDescent="0.3">
      <c r="A8154" s="248"/>
      <c r="B8154" s="246"/>
      <c r="C8154" s="164"/>
      <c r="D8154" s="164"/>
      <c r="E8154" s="165"/>
      <c r="F8154" s="62" t="s">
        <v>418</v>
      </c>
      <c r="G8154" s="63" t="str">
        <f>IF(ISNUMBER(F8154),E8154*F8154,"")</f>
        <v/>
      </c>
      <c r="H8154" s="64"/>
      <c r="I8154" s="28"/>
      <c r="J8154" s="125">
        <v>0</v>
      </c>
    </row>
    <row r="8155" spans="1:10" s="144" customFormat="1" ht="15.75" hidden="1" thickBot="1" x14ac:dyDescent="0.3">
      <c r="A8155" s="241" t="s">
        <v>18773</v>
      </c>
      <c r="B8155" s="244" t="s">
        <v>18774</v>
      </c>
      <c r="C8155" s="160"/>
      <c r="D8155" s="145" t="s">
        <v>16</v>
      </c>
      <c r="E8155" s="146"/>
      <c r="F8155" s="37" t="s">
        <v>418</v>
      </c>
      <c r="G8155" s="147" t="str">
        <f>IF(ISNUMBER(F8155),E8155*F8155,"")</f>
        <v/>
      </c>
      <c r="H8155" s="148"/>
      <c r="I8155" s="149"/>
      <c r="J8155" s="125">
        <v>0</v>
      </c>
    </row>
    <row r="8156" spans="1:10" s="144" customFormat="1" ht="15.75" hidden="1" thickBot="1" x14ac:dyDescent="0.3">
      <c r="A8156" s="247"/>
      <c r="B8156" s="245"/>
      <c r="C8156" s="151"/>
      <c r="D8156" s="151"/>
      <c r="E8156" s="152"/>
      <c r="F8156" s="38" t="s">
        <v>418</v>
      </c>
      <c r="G8156" s="31" t="str">
        <f>IF(ISNUMBER(F8156),E8156*F8156,"")</f>
        <v/>
      </c>
      <c r="H8156" s="32"/>
      <c r="I8156" s="28"/>
      <c r="J8156" s="125">
        <v>0</v>
      </c>
    </row>
    <row r="8157" spans="1:10" s="144" customFormat="1" ht="26.25" hidden="1" thickBot="1" x14ac:dyDescent="0.3">
      <c r="A8157" s="247"/>
      <c r="B8157" s="245"/>
      <c r="C8157" s="155" t="s">
        <v>26620</v>
      </c>
      <c r="D8157" s="155" t="s">
        <v>205</v>
      </c>
      <c r="E8157" s="156">
        <v>1</v>
      </c>
      <c r="F8157" s="28">
        <v>12.4735</v>
      </c>
      <c r="G8157" s="31">
        <f>IF(ISNUMBER(F8157),E8157*F8157,"")</f>
        <v>12.4735</v>
      </c>
      <c r="H8157" s="35">
        <f>SUM(G8157:G8157)</f>
        <v>12.4735</v>
      </c>
      <c r="I8157" s="36"/>
      <c r="J8157" s="125">
        <v>0</v>
      </c>
    </row>
    <row r="8158" spans="1:10" s="144" customFormat="1" ht="15.75" hidden="1" thickBot="1" x14ac:dyDescent="0.3">
      <c r="A8158" s="248"/>
      <c r="B8158" s="246"/>
      <c r="C8158" s="164"/>
      <c r="D8158" s="164"/>
      <c r="E8158" s="165"/>
      <c r="F8158" s="62" t="s">
        <v>418</v>
      </c>
      <c r="G8158" s="63" t="str">
        <f>IF(ISNUMBER(F8158),E8158*F8158,"")</f>
        <v/>
      </c>
      <c r="H8158" s="64"/>
      <c r="I8158" s="28"/>
      <c r="J8158" s="125">
        <v>0</v>
      </c>
    </row>
    <row r="8159" spans="1:10" s="144" customFormat="1" ht="15.75" hidden="1" thickBot="1" x14ac:dyDescent="0.3">
      <c r="A8159" s="241" t="s">
        <v>18775</v>
      </c>
      <c r="B8159" s="244" t="s">
        <v>18776</v>
      </c>
      <c r="C8159" s="160"/>
      <c r="D8159" s="145" t="s">
        <v>16</v>
      </c>
      <c r="E8159" s="146"/>
      <c r="F8159" s="37" t="s">
        <v>418</v>
      </c>
      <c r="G8159" s="147" t="str">
        <f>IF(ISNUMBER(F8159),E8159*F8159,"")</f>
        <v/>
      </c>
      <c r="H8159" s="148"/>
      <c r="I8159" s="149"/>
      <c r="J8159" s="125">
        <v>0</v>
      </c>
    </row>
    <row r="8160" spans="1:10" s="144" customFormat="1" ht="15.75" hidden="1" thickBot="1" x14ac:dyDescent="0.3">
      <c r="A8160" s="247"/>
      <c r="B8160" s="245"/>
      <c r="C8160" s="151"/>
      <c r="D8160" s="151"/>
      <c r="E8160" s="152"/>
      <c r="F8160" s="38" t="s">
        <v>418</v>
      </c>
      <c r="G8160" s="31" t="str">
        <f>IF(ISNUMBER(F8160),E8160*F8160,"")</f>
        <v/>
      </c>
      <c r="H8160" s="32"/>
      <c r="I8160" s="28"/>
      <c r="J8160" s="125">
        <v>0</v>
      </c>
    </row>
    <row r="8161" spans="1:10" s="144" customFormat="1" ht="26.25" hidden="1" thickBot="1" x14ac:dyDescent="0.3">
      <c r="A8161" s="247"/>
      <c r="B8161" s="245"/>
      <c r="C8161" s="155" t="s">
        <v>26625</v>
      </c>
      <c r="D8161" s="155" t="s">
        <v>205</v>
      </c>
      <c r="E8161" s="156">
        <v>1</v>
      </c>
      <c r="F8161" s="28">
        <v>16.111999999999998</v>
      </c>
      <c r="G8161" s="31">
        <f>IF(ISNUMBER(F8161),E8161*F8161,"")</f>
        <v>16.111999999999998</v>
      </c>
      <c r="H8161" s="35">
        <f>SUM(G8161:G8161)</f>
        <v>16.111999999999998</v>
      </c>
      <c r="I8161" s="36"/>
      <c r="J8161" s="125">
        <v>0</v>
      </c>
    </row>
    <row r="8162" spans="1:10" s="144" customFormat="1" ht="15.75" hidden="1" thickBot="1" x14ac:dyDescent="0.3">
      <c r="A8162" s="248"/>
      <c r="B8162" s="246"/>
      <c r="C8162" s="164"/>
      <c r="D8162" s="164"/>
      <c r="E8162" s="165"/>
      <c r="F8162" s="62" t="s">
        <v>418</v>
      </c>
      <c r="G8162" s="63" t="str">
        <f>IF(ISNUMBER(F8162),E8162*F8162,"")</f>
        <v/>
      </c>
      <c r="H8162" s="64"/>
      <c r="I8162" s="28"/>
      <c r="J8162" s="125">
        <v>0</v>
      </c>
    </row>
    <row r="8163" spans="1:10" s="144" customFormat="1" ht="15.75" hidden="1" thickBot="1" x14ac:dyDescent="0.3">
      <c r="A8163" s="241" t="s">
        <v>18777</v>
      </c>
      <c r="B8163" s="244" t="s">
        <v>19584</v>
      </c>
      <c r="C8163" s="160"/>
      <c r="D8163" s="145" t="s">
        <v>16</v>
      </c>
      <c r="E8163" s="146"/>
      <c r="F8163" s="37" t="s">
        <v>418</v>
      </c>
      <c r="G8163" s="147" t="str">
        <f>IF(ISNUMBER(F8163),E8163*F8163,"")</f>
        <v/>
      </c>
      <c r="H8163" s="148"/>
      <c r="I8163" s="149"/>
      <c r="J8163" s="125">
        <v>0</v>
      </c>
    </row>
    <row r="8164" spans="1:10" s="144" customFormat="1" ht="15.75" hidden="1" thickBot="1" x14ac:dyDescent="0.3">
      <c r="A8164" s="247"/>
      <c r="B8164" s="245"/>
      <c r="C8164" s="151"/>
      <c r="D8164" s="151"/>
      <c r="E8164" s="152"/>
      <c r="F8164" s="38" t="s">
        <v>418</v>
      </c>
      <c r="G8164" s="31" t="str">
        <f>IF(ISNUMBER(F8164),E8164*F8164,"")</f>
        <v/>
      </c>
      <c r="H8164" s="32"/>
      <c r="I8164" s="28"/>
      <c r="J8164" s="125">
        <v>0</v>
      </c>
    </row>
    <row r="8165" spans="1:10" s="144" customFormat="1" ht="26.25" hidden="1" thickBot="1" x14ac:dyDescent="0.3">
      <c r="A8165" s="247"/>
      <c r="B8165" s="245"/>
      <c r="C8165" s="155" t="s">
        <v>23989</v>
      </c>
      <c r="D8165" s="155" t="s">
        <v>205</v>
      </c>
      <c r="E8165" s="156">
        <v>1</v>
      </c>
      <c r="F8165" s="28">
        <v>6.5264999999999995</v>
      </c>
      <c r="G8165" s="31">
        <f>IF(ISNUMBER(F8165),E8165*F8165,"")</f>
        <v>6.5264999999999995</v>
      </c>
      <c r="H8165" s="35">
        <f>SUM(G8165:G8165)</f>
        <v>6.5264999999999995</v>
      </c>
      <c r="I8165" s="36"/>
      <c r="J8165" s="125">
        <v>0</v>
      </c>
    </row>
    <row r="8166" spans="1:10" s="144" customFormat="1" ht="15.75" hidden="1" thickBot="1" x14ac:dyDescent="0.3">
      <c r="A8166" s="248"/>
      <c r="B8166" s="246"/>
      <c r="C8166" s="164"/>
      <c r="D8166" s="164"/>
      <c r="E8166" s="165"/>
      <c r="F8166" s="62" t="s">
        <v>418</v>
      </c>
      <c r="G8166" s="63" t="str">
        <f>IF(ISNUMBER(F8166),E8166*F8166,"")</f>
        <v/>
      </c>
      <c r="H8166" s="64"/>
      <c r="I8166" s="28"/>
      <c r="J8166" s="125">
        <v>0</v>
      </c>
    </row>
    <row r="8167" spans="1:10" s="144" customFormat="1" ht="15.75" hidden="1" thickBot="1" x14ac:dyDescent="0.3">
      <c r="A8167" s="241" t="s">
        <v>18778</v>
      </c>
      <c r="B8167" s="244" t="s">
        <v>19585</v>
      </c>
      <c r="C8167" s="160"/>
      <c r="D8167" s="145" t="s">
        <v>16</v>
      </c>
      <c r="E8167" s="146"/>
      <c r="F8167" s="37" t="s">
        <v>418</v>
      </c>
      <c r="G8167" s="147" t="str">
        <f>IF(ISNUMBER(F8167),E8167*F8167,"")</f>
        <v/>
      </c>
      <c r="H8167" s="148"/>
      <c r="I8167" s="149"/>
      <c r="J8167" s="125">
        <v>0</v>
      </c>
    </row>
    <row r="8168" spans="1:10" s="144" customFormat="1" ht="15.75" hidden="1" thickBot="1" x14ac:dyDescent="0.3">
      <c r="A8168" s="247"/>
      <c r="B8168" s="245"/>
      <c r="C8168" s="151"/>
      <c r="D8168" s="151"/>
      <c r="E8168" s="152"/>
      <c r="F8168" s="38" t="s">
        <v>418</v>
      </c>
      <c r="G8168" s="31" t="str">
        <f>IF(ISNUMBER(F8168),E8168*F8168,"")</f>
        <v/>
      </c>
      <c r="H8168" s="32"/>
      <c r="I8168" s="28"/>
      <c r="J8168" s="125">
        <v>0</v>
      </c>
    </row>
    <row r="8169" spans="1:10" s="144" customFormat="1" ht="15.75" hidden="1" thickBot="1" x14ac:dyDescent="0.3">
      <c r="A8169" s="247"/>
      <c r="B8169" s="245"/>
      <c r="C8169" s="155" t="s">
        <v>24041</v>
      </c>
      <c r="D8169" s="155" t="s">
        <v>205</v>
      </c>
      <c r="E8169" s="156">
        <v>1</v>
      </c>
      <c r="F8169" s="28">
        <v>1.3109999999999999</v>
      </c>
      <c r="G8169" s="31">
        <f>IF(ISNUMBER(F8169),E8169*F8169,"")</f>
        <v>1.3109999999999999</v>
      </c>
      <c r="H8169" s="35">
        <f>SUM(G8169:G8169)</f>
        <v>1.3109999999999999</v>
      </c>
      <c r="I8169" s="36"/>
      <c r="J8169" s="125">
        <v>0</v>
      </c>
    </row>
    <row r="8170" spans="1:10" s="144" customFormat="1" ht="15.75" hidden="1" thickBot="1" x14ac:dyDescent="0.3">
      <c r="A8170" s="248"/>
      <c r="B8170" s="246"/>
      <c r="C8170" s="164"/>
      <c r="D8170" s="164"/>
      <c r="E8170" s="165"/>
      <c r="F8170" s="62" t="s">
        <v>418</v>
      </c>
      <c r="G8170" s="63" t="str">
        <f>IF(ISNUMBER(F8170),E8170*F8170,"")</f>
        <v/>
      </c>
      <c r="H8170" s="64"/>
      <c r="I8170" s="28"/>
      <c r="J8170" s="125">
        <v>0</v>
      </c>
    </row>
    <row r="8171" spans="1:10" s="144" customFormat="1" ht="15.75" hidden="1" thickBot="1" x14ac:dyDescent="0.3">
      <c r="A8171" s="241" t="s">
        <v>18779</v>
      </c>
      <c r="B8171" s="244" t="s">
        <v>18780</v>
      </c>
      <c r="C8171" s="160"/>
      <c r="D8171" s="145" t="s">
        <v>16</v>
      </c>
      <c r="E8171" s="146"/>
      <c r="F8171" s="37" t="s">
        <v>418</v>
      </c>
      <c r="G8171" s="147" t="str">
        <f>IF(ISNUMBER(F8171),E8171*F8171,"")</f>
        <v/>
      </c>
      <c r="H8171" s="148"/>
      <c r="I8171" s="149"/>
      <c r="J8171" s="125">
        <v>0</v>
      </c>
    </row>
    <row r="8172" spans="1:10" s="144" customFormat="1" ht="15.75" hidden="1" thickBot="1" x14ac:dyDescent="0.3">
      <c r="A8172" s="247"/>
      <c r="B8172" s="245"/>
      <c r="C8172" s="151"/>
      <c r="D8172" s="151"/>
      <c r="E8172" s="152"/>
      <c r="F8172" s="38" t="s">
        <v>418</v>
      </c>
      <c r="G8172" s="31" t="str">
        <f>IF(ISNUMBER(F8172),E8172*F8172,"")</f>
        <v/>
      </c>
      <c r="H8172" s="32"/>
      <c r="I8172" s="28"/>
      <c r="J8172" s="125">
        <v>0</v>
      </c>
    </row>
    <row r="8173" spans="1:10" s="144" customFormat="1" ht="26.25" hidden="1" thickBot="1" x14ac:dyDescent="0.3">
      <c r="A8173" s="247"/>
      <c r="B8173" s="245"/>
      <c r="C8173" s="155" t="s">
        <v>26159</v>
      </c>
      <c r="D8173" s="155" t="s">
        <v>205</v>
      </c>
      <c r="E8173" s="156">
        <v>1</v>
      </c>
      <c r="F8173" s="28">
        <v>20.7575</v>
      </c>
      <c r="G8173" s="31">
        <f>IF(ISNUMBER(F8173),E8173*F8173,"")</f>
        <v>20.7575</v>
      </c>
      <c r="H8173" s="35">
        <f>SUM(G8173:G8173)</f>
        <v>20.7575</v>
      </c>
      <c r="I8173" s="36"/>
      <c r="J8173" s="125">
        <v>0</v>
      </c>
    </row>
    <row r="8174" spans="1:10" s="144" customFormat="1" ht="15.75" hidden="1" thickBot="1" x14ac:dyDescent="0.3">
      <c r="A8174" s="248"/>
      <c r="B8174" s="246"/>
      <c r="C8174" s="164"/>
      <c r="D8174" s="164"/>
      <c r="E8174" s="165"/>
      <c r="F8174" s="62" t="s">
        <v>418</v>
      </c>
      <c r="G8174" s="63" t="str">
        <f>IF(ISNUMBER(F8174),E8174*F8174,"")</f>
        <v/>
      </c>
      <c r="H8174" s="64"/>
      <c r="I8174" s="28"/>
      <c r="J8174" s="125">
        <v>0</v>
      </c>
    </row>
    <row r="8175" spans="1:10" s="144" customFormat="1" ht="15.75" hidden="1" thickBot="1" x14ac:dyDescent="0.3">
      <c r="A8175" s="241" t="s">
        <v>18781</v>
      </c>
      <c r="B8175" s="244" t="s">
        <v>18782</v>
      </c>
      <c r="C8175" s="160"/>
      <c r="D8175" s="145" t="s">
        <v>16</v>
      </c>
      <c r="E8175" s="146"/>
      <c r="F8175" s="37" t="s">
        <v>418</v>
      </c>
      <c r="G8175" s="147" t="str">
        <f>IF(ISNUMBER(F8175),E8175*F8175,"")</f>
        <v/>
      </c>
      <c r="H8175" s="148"/>
      <c r="I8175" s="149"/>
      <c r="J8175" s="125">
        <v>0</v>
      </c>
    </row>
    <row r="8176" spans="1:10" s="144" customFormat="1" ht="15.75" hidden="1" thickBot="1" x14ac:dyDescent="0.3">
      <c r="A8176" s="247"/>
      <c r="B8176" s="245"/>
      <c r="C8176" s="151"/>
      <c r="D8176" s="151"/>
      <c r="E8176" s="152"/>
      <c r="F8176" s="38" t="s">
        <v>418</v>
      </c>
      <c r="G8176" s="31" t="str">
        <f>IF(ISNUMBER(F8176),E8176*F8176,"")</f>
        <v/>
      </c>
      <c r="H8176" s="32"/>
      <c r="I8176" s="28"/>
      <c r="J8176" s="125">
        <v>0</v>
      </c>
    </row>
    <row r="8177" spans="1:10" s="144" customFormat="1" ht="26.25" hidden="1" thickBot="1" x14ac:dyDescent="0.3">
      <c r="A8177" s="247"/>
      <c r="B8177" s="245"/>
      <c r="C8177" s="155" t="s">
        <v>26156</v>
      </c>
      <c r="D8177" s="155" t="s">
        <v>205</v>
      </c>
      <c r="E8177" s="156">
        <v>1</v>
      </c>
      <c r="F8177" s="28">
        <v>52.0505</v>
      </c>
      <c r="G8177" s="31">
        <f>IF(ISNUMBER(F8177),E8177*F8177,"")</f>
        <v>52.0505</v>
      </c>
      <c r="H8177" s="35">
        <f>SUM(G8177:G8177)</f>
        <v>52.0505</v>
      </c>
      <c r="I8177" s="36"/>
      <c r="J8177" s="125">
        <v>0</v>
      </c>
    </row>
    <row r="8178" spans="1:10" s="144" customFormat="1" ht="15.75" hidden="1" thickBot="1" x14ac:dyDescent="0.3">
      <c r="A8178" s="248"/>
      <c r="B8178" s="246"/>
      <c r="C8178" s="164"/>
      <c r="D8178" s="164"/>
      <c r="E8178" s="165"/>
      <c r="F8178" s="62" t="s">
        <v>418</v>
      </c>
      <c r="G8178" s="63" t="str">
        <f>IF(ISNUMBER(F8178),E8178*F8178,"")</f>
        <v/>
      </c>
      <c r="H8178" s="64"/>
      <c r="I8178" s="28"/>
      <c r="J8178" s="125">
        <v>0</v>
      </c>
    </row>
    <row r="8179" spans="1:10" s="144" customFormat="1" ht="15.75" hidden="1" thickBot="1" x14ac:dyDescent="0.3">
      <c r="A8179" s="241" t="s">
        <v>18783</v>
      </c>
      <c r="B8179" s="244" t="s">
        <v>19586</v>
      </c>
      <c r="C8179" s="160"/>
      <c r="D8179" s="145" t="s">
        <v>16</v>
      </c>
      <c r="E8179" s="146"/>
      <c r="F8179" s="37" t="s">
        <v>418</v>
      </c>
      <c r="G8179" s="147" t="str">
        <f>IF(ISNUMBER(F8179),E8179*F8179,"")</f>
        <v/>
      </c>
      <c r="H8179" s="148"/>
      <c r="I8179" s="149"/>
      <c r="J8179" s="125">
        <v>0</v>
      </c>
    </row>
    <row r="8180" spans="1:10" s="144" customFormat="1" ht="15.75" hidden="1" thickBot="1" x14ac:dyDescent="0.3">
      <c r="A8180" s="247"/>
      <c r="B8180" s="245"/>
      <c r="C8180" s="151"/>
      <c r="D8180" s="151"/>
      <c r="E8180" s="152"/>
      <c r="F8180" s="38" t="s">
        <v>418</v>
      </c>
      <c r="G8180" s="31" t="str">
        <f>IF(ISNUMBER(F8180),E8180*F8180,"")</f>
        <v/>
      </c>
      <c r="H8180" s="32"/>
      <c r="I8180" s="28"/>
      <c r="J8180" s="125">
        <v>0</v>
      </c>
    </row>
    <row r="8181" spans="1:10" s="144" customFormat="1" ht="26.25" hidden="1" thickBot="1" x14ac:dyDescent="0.3">
      <c r="A8181" s="247"/>
      <c r="B8181" s="245"/>
      <c r="C8181" s="155" t="s">
        <v>26171</v>
      </c>
      <c r="D8181" s="155" t="s">
        <v>205</v>
      </c>
      <c r="E8181" s="156">
        <v>1</v>
      </c>
      <c r="F8181" s="28">
        <v>11.276499999999999</v>
      </c>
      <c r="G8181" s="31">
        <f>IF(ISNUMBER(F8181),E8181*F8181,"")</f>
        <v>11.276499999999999</v>
      </c>
      <c r="H8181" s="35">
        <f>SUM(G8181:G8181)</f>
        <v>11.276499999999999</v>
      </c>
      <c r="I8181" s="36"/>
      <c r="J8181" s="125">
        <v>0</v>
      </c>
    </row>
    <row r="8182" spans="1:10" s="144" customFormat="1" ht="15.75" hidden="1" thickBot="1" x14ac:dyDescent="0.3">
      <c r="A8182" s="248"/>
      <c r="B8182" s="246"/>
      <c r="C8182" s="164"/>
      <c r="D8182" s="164"/>
      <c r="E8182" s="165"/>
      <c r="F8182" s="62" t="s">
        <v>418</v>
      </c>
      <c r="G8182" s="63" t="str">
        <f>IF(ISNUMBER(F8182),E8182*F8182,"")</f>
        <v/>
      </c>
      <c r="H8182" s="64"/>
      <c r="I8182" s="28"/>
      <c r="J8182" s="125">
        <v>0</v>
      </c>
    </row>
    <row r="8183" spans="1:10" s="144" customFormat="1" ht="15.75" hidden="1" thickBot="1" x14ac:dyDescent="0.3">
      <c r="A8183" s="241" t="s">
        <v>18784</v>
      </c>
      <c r="B8183" s="244" t="s">
        <v>19587</v>
      </c>
      <c r="C8183" s="160"/>
      <c r="D8183" s="145" t="s">
        <v>16</v>
      </c>
      <c r="E8183" s="146"/>
      <c r="F8183" s="37" t="s">
        <v>418</v>
      </c>
      <c r="G8183" s="147" t="str">
        <f>IF(ISNUMBER(F8183),E8183*F8183,"")</f>
        <v/>
      </c>
      <c r="H8183" s="148"/>
      <c r="I8183" s="149"/>
      <c r="J8183" s="125">
        <v>0</v>
      </c>
    </row>
    <row r="8184" spans="1:10" s="144" customFormat="1" ht="15.75" hidden="1" thickBot="1" x14ac:dyDescent="0.3">
      <c r="A8184" s="247"/>
      <c r="B8184" s="245"/>
      <c r="C8184" s="151"/>
      <c r="D8184" s="151"/>
      <c r="E8184" s="152"/>
      <c r="F8184" s="38" t="s">
        <v>418</v>
      </c>
      <c r="G8184" s="31" t="str">
        <f>IF(ISNUMBER(F8184),E8184*F8184,"")</f>
        <v/>
      </c>
      <c r="H8184" s="32"/>
      <c r="I8184" s="28"/>
      <c r="J8184" s="125">
        <v>0</v>
      </c>
    </row>
    <row r="8185" spans="1:10" s="144" customFormat="1" ht="26.25" hidden="1" thickBot="1" x14ac:dyDescent="0.3">
      <c r="A8185" s="247"/>
      <c r="B8185" s="245"/>
      <c r="C8185" s="155" t="s">
        <v>26172</v>
      </c>
      <c r="D8185" s="155" t="s">
        <v>205</v>
      </c>
      <c r="E8185" s="156">
        <v>1</v>
      </c>
      <c r="F8185" s="28">
        <v>16.672499999999999</v>
      </c>
      <c r="G8185" s="31">
        <f>IF(ISNUMBER(F8185),E8185*F8185,"")</f>
        <v>16.672499999999999</v>
      </c>
      <c r="H8185" s="35">
        <f>SUM(G8185:G8185)</f>
        <v>16.672499999999999</v>
      </c>
      <c r="I8185" s="36"/>
      <c r="J8185" s="125">
        <v>0</v>
      </c>
    </row>
    <row r="8186" spans="1:10" s="144" customFormat="1" ht="15.75" hidden="1" thickBot="1" x14ac:dyDescent="0.3">
      <c r="A8186" s="248"/>
      <c r="B8186" s="246"/>
      <c r="C8186" s="164"/>
      <c r="D8186" s="164"/>
      <c r="E8186" s="165"/>
      <c r="F8186" s="62" t="s">
        <v>418</v>
      </c>
      <c r="G8186" s="63" t="str">
        <f>IF(ISNUMBER(F8186),E8186*F8186,"")</f>
        <v/>
      </c>
      <c r="H8186" s="64"/>
      <c r="I8186" s="28"/>
      <c r="J8186" s="125">
        <v>0</v>
      </c>
    </row>
    <row r="8187" spans="1:10" s="169" customFormat="1" ht="15.75" hidden="1" thickBot="1" x14ac:dyDescent="0.3">
      <c r="A8187" s="234" t="s">
        <v>18785</v>
      </c>
      <c r="B8187" s="237" t="s">
        <v>19803</v>
      </c>
      <c r="C8187" s="160"/>
      <c r="D8187" s="145" t="s">
        <v>69</v>
      </c>
      <c r="E8187" s="146"/>
      <c r="F8187" s="44" t="s">
        <v>418</v>
      </c>
      <c r="G8187" s="147" t="str">
        <f>IF(ISNUMBER(F8187),E8187*F8187,"")</f>
        <v/>
      </c>
      <c r="H8187" s="148"/>
      <c r="I8187" s="149"/>
      <c r="J8187" s="125">
        <v>0</v>
      </c>
    </row>
    <row r="8188" spans="1:10" s="169" customFormat="1" ht="15.75" hidden="1" thickBot="1" x14ac:dyDescent="0.3">
      <c r="A8188" s="249"/>
      <c r="B8188" s="238"/>
      <c r="C8188" s="151"/>
      <c r="D8188" s="151"/>
      <c r="E8188" s="152"/>
      <c r="F8188" s="49" t="s">
        <v>418</v>
      </c>
      <c r="G8188" s="49" t="str">
        <f>IF(ISNUMBER(F8188),E8188*F8188,"")</f>
        <v/>
      </c>
      <c r="H8188" s="65"/>
      <c r="I8188" s="66"/>
      <c r="J8188" s="125">
        <v>0</v>
      </c>
    </row>
    <row r="8189" spans="1:10" s="169" customFormat="1" ht="15.75" hidden="1" thickBot="1" x14ac:dyDescent="0.3">
      <c r="A8189" s="249"/>
      <c r="B8189" s="238"/>
      <c r="C8189" s="155" t="s">
        <v>22115</v>
      </c>
      <c r="D8189" s="42" t="s">
        <v>69</v>
      </c>
      <c r="E8189" s="156">
        <v>1</v>
      </c>
      <c r="F8189" s="49" t="s">
        <v>418</v>
      </c>
      <c r="G8189" s="49" t="str">
        <f>IF(ISNUMBER(F8189),E8189*F8189,"")</f>
        <v/>
      </c>
      <c r="H8189" s="35">
        <f>SUM(G8189:G8190)</f>
        <v>5.0973772849999994</v>
      </c>
      <c r="I8189" s="36"/>
      <c r="J8189" s="125">
        <v>0</v>
      </c>
    </row>
    <row r="8190" spans="1:10" s="169" customFormat="1" ht="15.75" hidden="1" thickBot="1" x14ac:dyDescent="0.3">
      <c r="A8190" s="249"/>
      <c r="B8190" s="238"/>
      <c r="C8190" s="155" t="s">
        <v>1078</v>
      </c>
      <c r="D8190" s="155" t="s">
        <v>587</v>
      </c>
      <c r="E8190" s="156">
        <f>0.5759*0.7/2</f>
        <v>0.20156499999999997</v>
      </c>
      <c r="F8190" s="49">
        <v>25.289000000000001</v>
      </c>
      <c r="G8190" s="49">
        <f>IF(ISNUMBER(F8190),E8190*F8190,"")</f>
        <v>5.0973772849999994</v>
      </c>
      <c r="H8190" s="65"/>
      <c r="I8190" s="66"/>
      <c r="J8190" s="125">
        <v>0</v>
      </c>
    </row>
    <row r="8191" spans="1:10" s="169" customFormat="1" ht="15.75" hidden="1" thickBot="1" x14ac:dyDescent="0.3">
      <c r="A8191" s="249"/>
      <c r="B8191" s="238"/>
      <c r="C8191" s="164"/>
      <c r="D8191" s="164"/>
      <c r="E8191" s="165"/>
      <c r="F8191" s="68" t="s">
        <v>418</v>
      </c>
      <c r="G8191" s="68" t="str">
        <f>IF(ISNUMBER(F8191),E8191*F8191,"")</f>
        <v/>
      </c>
      <c r="H8191" s="69"/>
      <c r="I8191" s="66"/>
      <c r="J8191" s="125">
        <v>0</v>
      </c>
    </row>
    <row r="8192" spans="1:10" s="144" customFormat="1" ht="15.75" hidden="1" thickBot="1" x14ac:dyDescent="0.3">
      <c r="A8192" s="241" t="s">
        <v>18786</v>
      </c>
      <c r="B8192" s="244" t="s">
        <v>19804</v>
      </c>
      <c r="C8192" s="160"/>
      <c r="D8192" s="145" t="s">
        <v>1628</v>
      </c>
      <c r="E8192" s="146"/>
      <c r="F8192" s="37" t="s">
        <v>418</v>
      </c>
      <c r="G8192" s="147" t="str">
        <f>IF(ISNUMBER(F8192),E8192*F8192,"")</f>
        <v/>
      </c>
      <c r="H8192" s="148"/>
      <c r="I8192" s="149"/>
      <c r="J8192" s="125">
        <v>0</v>
      </c>
    </row>
    <row r="8193" spans="1:10" s="144" customFormat="1" ht="15.75" hidden="1" thickBot="1" x14ac:dyDescent="0.3">
      <c r="A8193" s="247"/>
      <c r="B8193" s="245"/>
      <c r="C8193" s="151"/>
      <c r="D8193" s="151"/>
      <c r="E8193" s="152"/>
      <c r="F8193" s="38" t="s">
        <v>418</v>
      </c>
      <c r="G8193" s="31" t="str">
        <f>IF(ISNUMBER(F8193),E8193*F8193,"")</f>
        <v/>
      </c>
      <c r="H8193" s="32"/>
      <c r="I8193" s="28"/>
      <c r="J8193" s="125">
        <v>0</v>
      </c>
    </row>
    <row r="8194" spans="1:10" s="144" customFormat="1" ht="15.75" hidden="1" thickBot="1" x14ac:dyDescent="0.3">
      <c r="A8194" s="247"/>
      <c r="B8194" s="245"/>
      <c r="C8194" s="155" t="s">
        <v>1076</v>
      </c>
      <c r="D8194" s="155" t="s">
        <v>89</v>
      </c>
      <c r="E8194" s="130">
        <f>ROUND(1/(1+70.4%),4)</f>
        <v>0.58689999999999998</v>
      </c>
      <c r="F8194" s="28">
        <v>21369.014999999999</v>
      </c>
      <c r="G8194" s="28">
        <f>IF(ISNUMBER(F8194),E8194*F8194,"")</f>
        <v>12541.474903499999</v>
      </c>
      <c r="H8194" s="35">
        <f>SUM(G8194:G8194)</f>
        <v>12541.474903499999</v>
      </c>
      <c r="I8194" s="36"/>
      <c r="J8194" s="125">
        <v>0</v>
      </c>
    </row>
    <row r="8195" spans="1:10" s="144" customFormat="1" ht="15.75" hidden="1" thickBot="1" x14ac:dyDescent="0.3">
      <c r="A8195" s="248"/>
      <c r="B8195" s="246"/>
      <c r="C8195" s="164"/>
      <c r="D8195" s="164"/>
      <c r="E8195" s="165"/>
      <c r="F8195" s="62" t="s">
        <v>418</v>
      </c>
      <c r="G8195" s="63" t="str">
        <f>IF(ISNUMBER(F8195),E8195*F8195,"")</f>
        <v/>
      </c>
      <c r="H8195" s="64"/>
      <c r="I8195" s="28"/>
      <c r="J8195" s="125">
        <v>0</v>
      </c>
    </row>
    <row r="8196" spans="1:10" s="144" customFormat="1" ht="15.75" hidden="1" thickBot="1" x14ac:dyDescent="0.3">
      <c r="A8196" s="241" t="s">
        <v>18787</v>
      </c>
      <c r="B8196" s="244" t="s">
        <v>19808</v>
      </c>
      <c r="C8196" s="160"/>
      <c r="D8196" s="145" t="s">
        <v>70</v>
      </c>
      <c r="E8196" s="146"/>
      <c r="F8196" s="37" t="s">
        <v>418</v>
      </c>
      <c r="G8196" s="147" t="str">
        <f>IF(ISNUMBER(F8196),E8196*F8196,"")</f>
        <v/>
      </c>
      <c r="H8196" s="148"/>
      <c r="I8196" s="149"/>
      <c r="J8196" s="125">
        <v>0</v>
      </c>
    </row>
    <row r="8197" spans="1:10" s="144" customFormat="1" ht="15.75" hidden="1" thickBot="1" x14ac:dyDescent="0.3">
      <c r="A8197" s="247"/>
      <c r="B8197" s="245"/>
      <c r="C8197" s="151"/>
      <c r="D8197" s="151"/>
      <c r="E8197" s="152"/>
      <c r="F8197" s="38" t="s">
        <v>418</v>
      </c>
      <c r="G8197" s="31" t="str">
        <f>IF(ISNUMBER(F8197),E8197*F8197,"")</f>
        <v/>
      </c>
      <c r="H8197" s="32"/>
      <c r="I8197" s="28"/>
      <c r="J8197" s="125">
        <v>0</v>
      </c>
    </row>
    <row r="8198" spans="1:10" s="144" customFormat="1" ht="15.75" hidden="1" thickBot="1" x14ac:dyDescent="0.3">
      <c r="A8198" s="247"/>
      <c r="B8198" s="245"/>
      <c r="C8198" s="155" t="s">
        <v>28457</v>
      </c>
      <c r="D8198" s="155" t="s">
        <v>870</v>
      </c>
      <c r="E8198" s="156">
        <v>1</v>
      </c>
      <c r="F8198" s="28">
        <v>352.42150000000004</v>
      </c>
      <c r="G8198" s="31">
        <f>IF(ISNUMBER(F8198),E8198*F8198,"")</f>
        <v>352.42150000000004</v>
      </c>
      <c r="H8198" s="35">
        <f>SUM(G8198:G8204)</f>
        <v>478.47179400000005</v>
      </c>
      <c r="I8198" s="36"/>
      <c r="J8198" s="125">
        <v>0</v>
      </c>
    </row>
    <row r="8199" spans="1:10" s="144" customFormat="1" ht="39" hidden="1" thickBot="1" x14ac:dyDescent="0.3">
      <c r="A8199" s="247"/>
      <c r="B8199" s="245"/>
      <c r="C8199" s="155" t="s">
        <v>23958</v>
      </c>
      <c r="D8199" s="155" t="s">
        <v>205</v>
      </c>
      <c r="E8199" s="156">
        <v>2.1960000000000002</v>
      </c>
      <c r="F8199" s="28">
        <v>0.19</v>
      </c>
      <c r="G8199" s="31">
        <f>IF(ISNUMBER(F8199),E8199*F8199,"")</f>
        <v>0.41724000000000006</v>
      </c>
      <c r="H8199" s="32"/>
      <c r="I8199" s="36"/>
      <c r="J8199" s="125">
        <v>0</v>
      </c>
    </row>
    <row r="8200" spans="1:10" s="144" customFormat="1" ht="15.75" hidden="1" thickBot="1" x14ac:dyDescent="0.3">
      <c r="A8200" s="247"/>
      <c r="B8200" s="245"/>
      <c r="C8200" s="155" t="s">
        <v>710</v>
      </c>
      <c r="D8200" s="155" t="s">
        <v>774</v>
      </c>
      <c r="E8200" s="156">
        <v>0.96399999999999997</v>
      </c>
      <c r="F8200" s="28">
        <v>36.745999999999995</v>
      </c>
      <c r="G8200" s="31">
        <f>IF(ISNUMBER(F8200),E8200*F8200,"")</f>
        <v>35.423143999999994</v>
      </c>
      <c r="H8200" s="32"/>
      <c r="I8200" s="36"/>
      <c r="J8200" s="125">
        <v>0</v>
      </c>
    </row>
    <row r="8201" spans="1:10" s="144" customFormat="1" ht="26.25" hidden="1" thickBot="1" x14ac:dyDescent="0.3">
      <c r="A8201" s="247"/>
      <c r="B8201" s="245"/>
      <c r="C8201" s="155" t="s">
        <v>25509</v>
      </c>
      <c r="D8201" s="155" t="s">
        <v>385</v>
      </c>
      <c r="E8201" s="156">
        <v>2.992</v>
      </c>
      <c r="F8201" s="28">
        <v>4.484</v>
      </c>
      <c r="G8201" s="31">
        <f>IF(ISNUMBER(F8201),E8201*F8201,"")</f>
        <v>13.416128</v>
      </c>
      <c r="H8201" s="32"/>
      <c r="I8201" s="36"/>
      <c r="J8201" s="125">
        <v>0</v>
      </c>
    </row>
    <row r="8202" spans="1:10" s="144" customFormat="1" ht="15.75" hidden="1" thickBot="1" x14ac:dyDescent="0.3">
      <c r="A8202" s="247"/>
      <c r="B8202" s="245"/>
      <c r="C8202" s="155" t="s">
        <v>27384</v>
      </c>
      <c r="D8202" s="155" t="s">
        <v>205</v>
      </c>
      <c r="E8202" s="156">
        <v>0.39700000000000002</v>
      </c>
      <c r="F8202" s="28">
        <v>25.916</v>
      </c>
      <c r="G8202" s="31">
        <f>IF(ISNUMBER(F8202),E8202*F8202,"")</f>
        <v>10.288652000000001</v>
      </c>
      <c r="H8202" s="32"/>
      <c r="I8202" s="36"/>
      <c r="J8202" s="125">
        <v>0</v>
      </c>
    </row>
    <row r="8203" spans="1:10" s="144" customFormat="1" ht="15.75" hidden="1" thickBot="1" x14ac:dyDescent="0.3">
      <c r="A8203" s="247"/>
      <c r="B8203" s="245"/>
      <c r="C8203" s="155" t="s">
        <v>588</v>
      </c>
      <c r="D8203" s="155" t="s">
        <v>587</v>
      </c>
      <c r="E8203" s="156">
        <v>1.542</v>
      </c>
      <c r="F8203" s="28">
        <v>19.189999999999998</v>
      </c>
      <c r="G8203" s="31">
        <f>IF(ISNUMBER(F8203),E8203*F8203,"")</f>
        <v>29.590979999999998</v>
      </c>
      <c r="H8203" s="32"/>
      <c r="I8203" s="36"/>
      <c r="J8203" s="125">
        <v>0</v>
      </c>
    </row>
    <row r="8204" spans="1:10" s="144" customFormat="1" ht="15.75" hidden="1" thickBot="1" x14ac:dyDescent="0.3">
      <c r="A8204" s="247"/>
      <c r="B8204" s="245"/>
      <c r="C8204" s="155" t="s">
        <v>9864</v>
      </c>
      <c r="D8204" s="155" t="s">
        <v>587</v>
      </c>
      <c r="E8204" s="156">
        <v>1.5860000000000001</v>
      </c>
      <c r="F8204" s="28">
        <v>23.274999999999999</v>
      </c>
      <c r="G8204" s="31">
        <f>IF(ISNUMBER(F8204),E8204*F8204,"")</f>
        <v>36.914149999999999</v>
      </c>
      <c r="H8204" s="32"/>
      <c r="I8204" s="36"/>
      <c r="J8204" s="125">
        <v>0</v>
      </c>
    </row>
    <row r="8205" spans="1:10" s="144" customFormat="1" ht="15.75" hidden="1" thickBot="1" x14ac:dyDescent="0.3">
      <c r="A8205" s="248"/>
      <c r="B8205" s="246"/>
      <c r="C8205" s="164"/>
      <c r="D8205" s="164"/>
      <c r="E8205" s="165"/>
      <c r="F8205" s="62" t="s">
        <v>418</v>
      </c>
      <c r="G8205" s="63" t="str">
        <f>IF(ISNUMBER(F8205),E8205*F8205,"")</f>
        <v/>
      </c>
      <c r="H8205" s="64"/>
      <c r="I8205" s="28"/>
      <c r="J8205" s="125">
        <v>0</v>
      </c>
    </row>
    <row r="8206" spans="1:10" s="144" customFormat="1" ht="15.75" hidden="1" thickBot="1" x14ac:dyDescent="0.3">
      <c r="A8206" s="241" t="s">
        <v>18788</v>
      </c>
      <c r="B8206" s="244" t="s">
        <v>19809</v>
      </c>
      <c r="C8206" s="160"/>
      <c r="D8206" s="145" t="s">
        <v>70</v>
      </c>
      <c r="E8206" s="146"/>
      <c r="F8206" s="37" t="s">
        <v>418</v>
      </c>
      <c r="G8206" s="147" t="str">
        <f>IF(ISNUMBER(F8206),E8206*F8206,"")</f>
        <v/>
      </c>
      <c r="H8206" s="148"/>
      <c r="I8206" s="149"/>
      <c r="J8206" s="125">
        <v>0</v>
      </c>
    </row>
    <row r="8207" spans="1:10" s="144" customFormat="1" ht="15.75" hidden="1" thickBot="1" x14ac:dyDescent="0.3">
      <c r="A8207" s="247"/>
      <c r="B8207" s="245"/>
      <c r="C8207" s="151"/>
      <c r="D8207" s="151"/>
      <c r="E8207" s="152"/>
      <c r="F8207" s="38" t="s">
        <v>418</v>
      </c>
      <c r="G8207" s="31" t="str">
        <f>IF(ISNUMBER(F8207),E8207*F8207,"")</f>
        <v/>
      </c>
      <c r="H8207" s="32"/>
      <c r="I8207" s="28"/>
      <c r="J8207" s="125">
        <v>0</v>
      </c>
    </row>
    <row r="8208" spans="1:10" s="144" customFormat="1" ht="15.75" hidden="1" thickBot="1" x14ac:dyDescent="0.3">
      <c r="A8208" s="247"/>
      <c r="B8208" s="245"/>
      <c r="C8208" s="155" t="s">
        <v>28457</v>
      </c>
      <c r="D8208" s="155" t="s">
        <v>870</v>
      </c>
      <c r="E8208" s="156">
        <v>1</v>
      </c>
      <c r="F8208" s="28">
        <v>352.42150000000004</v>
      </c>
      <c r="G8208" s="31">
        <f>IF(ISNUMBER(F8208),E8208*F8208,"")</f>
        <v>352.42150000000004</v>
      </c>
      <c r="H8208" s="35">
        <f>SUM(G8208:G8214)</f>
        <v>478.47179400000005</v>
      </c>
      <c r="I8208" s="36"/>
      <c r="J8208" s="125">
        <v>0</v>
      </c>
    </row>
    <row r="8209" spans="1:10" s="144" customFormat="1" ht="39" hidden="1" thickBot="1" x14ac:dyDescent="0.3">
      <c r="A8209" s="247"/>
      <c r="B8209" s="245"/>
      <c r="C8209" s="155" t="s">
        <v>23958</v>
      </c>
      <c r="D8209" s="155" t="s">
        <v>205</v>
      </c>
      <c r="E8209" s="156">
        <v>2.1960000000000002</v>
      </c>
      <c r="F8209" s="28">
        <v>0.19</v>
      </c>
      <c r="G8209" s="31">
        <f>IF(ISNUMBER(F8209),E8209*F8209,"")</f>
        <v>0.41724000000000006</v>
      </c>
      <c r="H8209" s="32"/>
      <c r="I8209" s="36"/>
      <c r="J8209" s="125">
        <v>0</v>
      </c>
    </row>
    <row r="8210" spans="1:10" s="144" customFormat="1" ht="15.75" hidden="1" thickBot="1" x14ac:dyDescent="0.3">
      <c r="A8210" s="247"/>
      <c r="B8210" s="245"/>
      <c r="C8210" s="155" t="s">
        <v>710</v>
      </c>
      <c r="D8210" s="155" t="s">
        <v>774</v>
      </c>
      <c r="E8210" s="156">
        <v>0.96399999999999997</v>
      </c>
      <c r="F8210" s="28">
        <v>36.745999999999995</v>
      </c>
      <c r="G8210" s="31">
        <f>IF(ISNUMBER(F8210),E8210*F8210,"")</f>
        <v>35.423143999999994</v>
      </c>
      <c r="H8210" s="32"/>
      <c r="I8210" s="36"/>
      <c r="J8210" s="125">
        <v>0</v>
      </c>
    </row>
    <row r="8211" spans="1:10" s="144" customFormat="1" ht="26.25" hidden="1" thickBot="1" x14ac:dyDescent="0.3">
      <c r="A8211" s="247"/>
      <c r="B8211" s="245"/>
      <c r="C8211" s="155" t="s">
        <v>25509</v>
      </c>
      <c r="D8211" s="155" t="s">
        <v>385</v>
      </c>
      <c r="E8211" s="156">
        <v>2.992</v>
      </c>
      <c r="F8211" s="28">
        <v>4.484</v>
      </c>
      <c r="G8211" s="31">
        <f>IF(ISNUMBER(F8211),E8211*F8211,"")</f>
        <v>13.416128</v>
      </c>
      <c r="H8211" s="32"/>
      <c r="I8211" s="36"/>
      <c r="J8211" s="125">
        <v>0</v>
      </c>
    </row>
    <row r="8212" spans="1:10" s="144" customFormat="1" ht="15.75" hidden="1" thickBot="1" x14ac:dyDescent="0.3">
      <c r="A8212" s="247"/>
      <c r="B8212" s="245"/>
      <c r="C8212" s="155" t="s">
        <v>27384</v>
      </c>
      <c r="D8212" s="155" t="s">
        <v>205</v>
      </c>
      <c r="E8212" s="156">
        <v>0.39700000000000002</v>
      </c>
      <c r="F8212" s="28">
        <v>25.916</v>
      </c>
      <c r="G8212" s="31">
        <f>IF(ISNUMBER(F8212),E8212*F8212,"")</f>
        <v>10.288652000000001</v>
      </c>
      <c r="H8212" s="32"/>
      <c r="I8212" s="36"/>
      <c r="J8212" s="125">
        <v>0</v>
      </c>
    </row>
    <row r="8213" spans="1:10" s="144" customFormat="1" ht="15.75" hidden="1" thickBot="1" x14ac:dyDescent="0.3">
      <c r="A8213" s="247"/>
      <c r="B8213" s="245"/>
      <c r="C8213" s="155" t="s">
        <v>588</v>
      </c>
      <c r="D8213" s="155" t="s">
        <v>587</v>
      </c>
      <c r="E8213" s="156">
        <v>1.542</v>
      </c>
      <c r="F8213" s="28">
        <v>19.189999999999998</v>
      </c>
      <c r="G8213" s="31">
        <f>IF(ISNUMBER(F8213),E8213*F8213,"")</f>
        <v>29.590979999999998</v>
      </c>
      <c r="H8213" s="32"/>
      <c r="I8213" s="36"/>
      <c r="J8213" s="125">
        <v>0</v>
      </c>
    </row>
    <row r="8214" spans="1:10" s="144" customFormat="1" ht="15.75" hidden="1" thickBot="1" x14ac:dyDescent="0.3">
      <c r="A8214" s="247"/>
      <c r="B8214" s="245"/>
      <c r="C8214" s="155" t="s">
        <v>9864</v>
      </c>
      <c r="D8214" s="155" t="s">
        <v>587</v>
      </c>
      <c r="E8214" s="156">
        <v>1.5860000000000001</v>
      </c>
      <c r="F8214" s="28">
        <v>23.274999999999999</v>
      </c>
      <c r="G8214" s="31">
        <f>IF(ISNUMBER(F8214),E8214*F8214,"")</f>
        <v>36.914149999999999</v>
      </c>
      <c r="H8214" s="32"/>
      <c r="I8214" s="36"/>
      <c r="J8214" s="125">
        <v>0</v>
      </c>
    </row>
    <row r="8215" spans="1:10" s="144" customFormat="1" ht="15.75" hidden="1" thickBot="1" x14ac:dyDescent="0.3">
      <c r="A8215" s="248"/>
      <c r="B8215" s="246"/>
      <c r="C8215" s="164"/>
      <c r="D8215" s="164"/>
      <c r="E8215" s="165"/>
      <c r="F8215" s="62" t="s">
        <v>418</v>
      </c>
      <c r="G8215" s="63" t="str">
        <f>IF(ISNUMBER(F8215),E8215*F8215,"")</f>
        <v/>
      </c>
      <c r="H8215" s="64"/>
      <c r="I8215" s="28"/>
      <c r="J8215" s="125">
        <v>0</v>
      </c>
    </row>
    <row r="8216" spans="1:10" s="144" customFormat="1" ht="15.75" hidden="1" thickBot="1" x14ac:dyDescent="0.3">
      <c r="A8216" s="234" t="s">
        <v>18789</v>
      </c>
      <c r="B8216" s="237" t="s">
        <v>19805</v>
      </c>
      <c r="C8216" s="160"/>
      <c r="D8216" s="145" t="s">
        <v>70</v>
      </c>
      <c r="E8216" s="146"/>
      <c r="F8216" s="37" t="s">
        <v>418</v>
      </c>
      <c r="G8216" s="147" t="str">
        <f>IF(ISNUMBER(F8216),E8216*F8216,"")</f>
        <v/>
      </c>
      <c r="H8216" s="148"/>
      <c r="I8216" s="149"/>
      <c r="J8216" s="125">
        <v>0</v>
      </c>
    </row>
    <row r="8217" spans="1:10" s="144" customFormat="1" ht="15.75" hidden="1" thickBot="1" x14ac:dyDescent="0.3">
      <c r="A8217" s="235"/>
      <c r="B8217" s="238"/>
      <c r="C8217" s="151"/>
      <c r="D8217" s="151"/>
      <c r="E8217" s="152"/>
      <c r="F8217" s="38" t="s">
        <v>418</v>
      </c>
      <c r="G8217" s="28" t="str">
        <f>IF(ISNUMBER(F8217),E8217*F8217,"")</f>
        <v/>
      </c>
      <c r="H8217" s="32"/>
      <c r="I8217" s="28"/>
      <c r="J8217" s="125">
        <v>0</v>
      </c>
    </row>
    <row r="8218" spans="1:10" s="144" customFormat="1" ht="15.75" hidden="1" thickBot="1" x14ac:dyDescent="0.3">
      <c r="A8218" s="235"/>
      <c r="B8218" s="238"/>
      <c r="C8218" s="155" t="s">
        <v>595</v>
      </c>
      <c r="D8218" s="155" t="s">
        <v>587</v>
      </c>
      <c r="E8218" s="156">
        <f>0.09*0.7</f>
        <v>6.3E-2</v>
      </c>
      <c r="F8218" s="28">
        <v>25.65</v>
      </c>
      <c r="G8218" s="31">
        <f>IF(ISNUMBER(F8218),E8218*F8218,"")</f>
        <v>1.61595</v>
      </c>
      <c r="H8218" s="35">
        <f>SUM(G8218:G8219)</f>
        <v>13.705649999999999</v>
      </c>
      <c r="I8218" s="36"/>
      <c r="J8218" s="125">
        <v>0</v>
      </c>
    </row>
    <row r="8219" spans="1:10" s="144" customFormat="1" ht="15.75" hidden="1" thickBot="1" x14ac:dyDescent="0.3">
      <c r="A8219" s="235"/>
      <c r="B8219" s="238"/>
      <c r="C8219" s="155" t="s">
        <v>588</v>
      </c>
      <c r="D8219" s="155" t="s">
        <v>587</v>
      </c>
      <c r="E8219" s="156">
        <f>0.9*0.7</f>
        <v>0.63</v>
      </c>
      <c r="F8219" s="28">
        <v>19.189999999999998</v>
      </c>
      <c r="G8219" s="31">
        <f>IF(ISNUMBER(F8219),E8219*F8219,"")</f>
        <v>12.089699999999999</v>
      </c>
      <c r="H8219" s="32"/>
      <c r="I8219" s="28"/>
      <c r="J8219" s="125">
        <v>0</v>
      </c>
    </row>
    <row r="8220" spans="1:10" s="144" customFormat="1" ht="15.75" hidden="1" thickBot="1" x14ac:dyDescent="0.3">
      <c r="A8220" s="236"/>
      <c r="B8220" s="239"/>
      <c r="C8220" s="155"/>
      <c r="D8220" s="155"/>
      <c r="E8220" s="156"/>
      <c r="F8220" s="28" t="s">
        <v>418</v>
      </c>
      <c r="G8220" s="28" t="str">
        <f>IF(ISNUMBER(F8220),E8220*F8220,"")</f>
        <v/>
      </c>
      <c r="H8220" s="32"/>
      <c r="I8220" s="28"/>
      <c r="J8220" s="125">
        <v>0</v>
      </c>
    </row>
    <row r="8221" spans="1:10" s="144" customFormat="1" ht="15.75" hidden="1" thickBot="1" x14ac:dyDescent="0.3">
      <c r="A8221" s="241" t="s">
        <v>18790</v>
      </c>
      <c r="B8221" s="244" t="s">
        <v>19806</v>
      </c>
      <c r="C8221" s="160"/>
      <c r="D8221" s="145" t="s">
        <v>70</v>
      </c>
      <c r="E8221" s="146"/>
      <c r="F8221" s="37" t="s">
        <v>418</v>
      </c>
      <c r="G8221" s="147" t="str">
        <f>IF(ISNUMBER(F8221),E8221*F8221,"")</f>
        <v/>
      </c>
      <c r="H8221" s="148"/>
      <c r="I8221" s="149"/>
      <c r="J8221" s="125">
        <v>0</v>
      </c>
    </row>
    <row r="8222" spans="1:10" s="144" customFormat="1" ht="15.75" hidden="1" thickBot="1" x14ac:dyDescent="0.3">
      <c r="A8222" s="247"/>
      <c r="B8222" s="245"/>
      <c r="C8222" s="151"/>
      <c r="D8222" s="151"/>
      <c r="E8222" s="152"/>
      <c r="F8222" s="38" t="s">
        <v>418</v>
      </c>
      <c r="G8222" s="31" t="str">
        <f>IF(ISNUMBER(F8222),E8222*F8222,"")</f>
        <v/>
      </c>
      <c r="H8222" s="32"/>
      <c r="I8222" s="28"/>
      <c r="J8222" s="125">
        <v>0</v>
      </c>
    </row>
    <row r="8223" spans="1:10" s="144" customFormat="1" ht="39" hidden="1" thickBot="1" x14ac:dyDescent="0.3">
      <c r="A8223" s="247"/>
      <c r="B8223" s="245"/>
      <c r="C8223" s="155" t="s">
        <v>31179</v>
      </c>
      <c r="D8223" s="155" t="s">
        <v>385</v>
      </c>
      <c r="E8223" s="156">
        <v>1</v>
      </c>
      <c r="F8223" s="28">
        <v>24.795000000000002</v>
      </c>
      <c r="G8223" s="31">
        <f>IF(ISNUMBER(F8223),E8223*F8223,"")</f>
        <v>24.795000000000002</v>
      </c>
      <c r="H8223" s="35">
        <f>SUM(G8223:G8231)</f>
        <v>98.291725277869588</v>
      </c>
      <c r="I8223" s="36"/>
      <c r="J8223" s="125">
        <v>0</v>
      </c>
    </row>
    <row r="8224" spans="1:10" s="144" customFormat="1" ht="39" hidden="1" thickBot="1" x14ac:dyDescent="0.3">
      <c r="A8224" s="247"/>
      <c r="B8224" s="245"/>
      <c r="C8224" s="155" t="s">
        <v>29885</v>
      </c>
      <c r="D8224" s="155" t="s">
        <v>385</v>
      </c>
      <c r="E8224" s="156">
        <v>1.2273000000000001</v>
      </c>
      <c r="F8224" s="28">
        <v>20.9</v>
      </c>
      <c r="G8224" s="31">
        <f>IF(ISNUMBER(F8224),E8224*F8224,"")</f>
        <v>25.650569999999998</v>
      </c>
      <c r="H8224" s="32"/>
      <c r="I8224" s="36"/>
      <c r="J8224" s="125">
        <v>0</v>
      </c>
    </row>
    <row r="8225" spans="1:10" s="144" customFormat="1" ht="15.75" hidden="1" thickBot="1" x14ac:dyDescent="0.3">
      <c r="A8225" s="247"/>
      <c r="B8225" s="245"/>
      <c r="C8225" s="155" t="s">
        <v>27106</v>
      </c>
      <c r="D8225" s="155" t="s">
        <v>774</v>
      </c>
      <c r="E8225" s="156">
        <v>4.2799999999999998E-2</v>
      </c>
      <c r="F8225" s="28">
        <v>19.95</v>
      </c>
      <c r="G8225" s="31">
        <f>IF(ISNUMBER(F8225),E8225*F8225,"")</f>
        <v>0.85385999999999995</v>
      </c>
      <c r="H8225" s="32"/>
      <c r="I8225" s="36"/>
      <c r="J8225" s="125">
        <v>0</v>
      </c>
    </row>
    <row r="8226" spans="1:10" s="144" customFormat="1" ht="39" hidden="1" thickBot="1" x14ac:dyDescent="0.3">
      <c r="A8226" s="247"/>
      <c r="B8226" s="245"/>
      <c r="C8226" s="155" t="s">
        <v>10289</v>
      </c>
      <c r="D8226" s="155" t="s">
        <v>870</v>
      </c>
      <c r="E8226" s="156">
        <v>0.58530000000000004</v>
      </c>
      <c r="F8226" s="28">
        <v>45.561999999999998</v>
      </c>
      <c r="G8226" s="31">
        <f>IF(ISNUMBER(F8226),E8226*F8226,"")</f>
        <v>26.667438600000001</v>
      </c>
      <c r="H8226" s="32"/>
      <c r="I8226" s="36"/>
      <c r="J8226" s="125">
        <v>0</v>
      </c>
    </row>
    <row r="8227" spans="1:10" s="144" customFormat="1" ht="15.75" hidden="1" thickBot="1" x14ac:dyDescent="0.3">
      <c r="A8227" s="247"/>
      <c r="B8227" s="245"/>
      <c r="C8227" s="155" t="s">
        <v>662</v>
      </c>
      <c r="D8227" s="155" t="s">
        <v>587</v>
      </c>
      <c r="E8227" s="156">
        <v>0.18970000000000001</v>
      </c>
      <c r="F8227" s="28">
        <v>24.367499999999996</v>
      </c>
      <c r="G8227" s="31">
        <f>IF(ISNUMBER(F8227),E8227*F8227,"")</f>
        <v>4.6225147499999997</v>
      </c>
      <c r="H8227" s="32"/>
      <c r="I8227" s="36"/>
      <c r="J8227" s="125">
        <v>0</v>
      </c>
    </row>
    <row r="8228" spans="1:10" s="144" customFormat="1" ht="15.75" hidden="1" thickBot="1" x14ac:dyDescent="0.3">
      <c r="A8228" s="247"/>
      <c r="B8228" s="245"/>
      <c r="C8228" s="155" t="s">
        <v>871</v>
      </c>
      <c r="D8228" s="155" t="s">
        <v>587</v>
      </c>
      <c r="E8228" s="156">
        <v>0.56910000000000005</v>
      </c>
      <c r="F8228" s="28">
        <v>25.289000000000001</v>
      </c>
      <c r="G8228" s="31">
        <f>IF(ISNUMBER(F8228),E8228*F8228,"")</f>
        <v>14.391969900000003</v>
      </c>
      <c r="H8228" s="32"/>
      <c r="I8228" s="36"/>
      <c r="J8228" s="125">
        <v>0</v>
      </c>
    </row>
    <row r="8229" spans="1:10" s="144" customFormat="1" ht="26.25" hidden="1" thickBot="1" x14ac:dyDescent="0.3">
      <c r="A8229" s="247"/>
      <c r="B8229" s="245"/>
      <c r="C8229" s="155" t="s">
        <v>1018</v>
      </c>
      <c r="D8229" s="155" t="s">
        <v>814</v>
      </c>
      <c r="E8229" s="156">
        <v>4.4000000000000003E-3</v>
      </c>
      <c r="F8229" s="28">
        <v>21.992499999999996</v>
      </c>
      <c r="G8229" s="31">
        <f>IF(ISNUMBER(F8229),E8229*F8229,"")</f>
        <v>9.6766999999999992E-2</v>
      </c>
      <c r="H8229" s="32"/>
      <c r="I8229" s="36"/>
      <c r="J8229" s="125">
        <v>0</v>
      </c>
    </row>
    <row r="8230" spans="1:10" s="144" customFormat="1" ht="26.25" hidden="1" thickBot="1" x14ac:dyDescent="0.3">
      <c r="A8230" s="247"/>
      <c r="B8230" s="245"/>
      <c r="C8230" s="155" t="s">
        <v>1019</v>
      </c>
      <c r="D8230" s="155" t="s">
        <v>816</v>
      </c>
      <c r="E8230" s="156">
        <v>1.9099999999999999E-2</v>
      </c>
      <c r="F8230" s="28">
        <v>20.576999999999998</v>
      </c>
      <c r="G8230" s="31">
        <f>IF(ISNUMBER(F8230),E8230*F8230,"")</f>
        <v>0.39302069999999995</v>
      </c>
      <c r="H8230" s="32"/>
      <c r="I8230" s="36"/>
      <c r="J8230" s="125">
        <v>0</v>
      </c>
    </row>
    <row r="8231" spans="1:10" s="144" customFormat="1" ht="39" hidden="1" thickBot="1" x14ac:dyDescent="0.3">
      <c r="A8231" s="247"/>
      <c r="B8231" s="245"/>
      <c r="C8231" s="155" t="s">
        <v>13614</v>
      </c>
      <c r="D8231" s="155" t="s">
        <v>85</v>
      </c>
      <c r="E8231" s="156">
        <v>1.1999999999999999E-3</v>
      </c>
      <c r="F8231" s="28">
        <v>683.82027322466502</v>
      </c>
      <c r="G8231" s="31">
        <f>IF(ISNUMBER(F8231),E8231*F8231,"")</f>
        <v>0.8205843278695979</v>
      </c>
      <c r="H8231" s="32"/>
      <c r="I8231" s="36"/>
      <c r="J8231" s="125">
        <v>0</v>
      </c>
    </row>
    <row r="8232" spans="1:10" s="144" customFormat="1" ht="15.75" hidden="1" thickBot="1" x14ac:dyDescent="0.3">
      <c r="A8232" s="248"/>
      <c r="B8232" s="246"/>
      <c r="C8232" s="164"/>
      <c r="D8232" s="164"/>
      <c r="E8232" s="165"/>
      <c r="F8232" s="62" t="s">
        <v>418</v>
      </c>
      <c r="G8232" s="63" t="str">
        <f>IF(ISNUMBER(F8232),E8232*F8232,"")</f>
        <v/>
      </c>
      <c r="H8232" s="64"/>
      <c r="I8232" s="28"/>
      <c r="J8232" s="125">
        <v>0</v>
      </c>
    </row>
    <row r="8233" spans="1:10" s="144" customFormat="1" ht="15.75" hidden="1" thickBot="1" x14ac:dyDescent="0.3">
      <c r="A8233" s="241" t="s">
        <v>18791</v>
      </c>
      <c r="B8233" s="244" t="s">
        <v>19807</v>
      </c>
      <c r="C8233" s="160"/>
      <c r="D8233" s="145" t="s">
        <v>81</v>
      </c>
      <c r="E8233" s="146"/>
      <c r="F8233" s="37" t="s">
        <v>418</v>
      </c>
      <c r="G8233" s="147" t="str">
        <f>IF(ISNUMBER(F8233),E8233*F8233,"")</f>
        <v/>
      </c>
      <c r="H8233" s="148"/>
      <c r="I8233" s="149"/>
      <c r="J8233" s="125">
        <v>0</v>
      </c>
    </row>
    <row r="8234" spans="1:10" s="144" customFormat="1" ht="15.75" hidden="1" thickBot="1" x14ac:dyDescent="0.3">
      <c r="A8234" s="247"/>
      <c r="B8234" s="245"/>
      <c r="C8234" s="151"/>
      <c r="D8234" s="151"/>
      <c r="E8234" s="152"/>
      <c r="F8234" s="38" t="s">
        <v>418</v>
      </c>
      <c r="G8234" s="31" t="str">
        <f>IF(ISNUMBER(F8234),E8234*F8234,"")</f>
        <v/>
      </c>
      <c r="H8234" s="32"/>
      <c r="I8234" s="28"/>
      <c r="J8234" s="125">
        <v>0</v>
      </c>
    </row>
    <row r="8235" spans="1:10" s="144" customFormat="1" ht="26.25" hidden="1" thickBot="1" x14ac:dyDescent="0.3">
      <c r="A8235" s="247"/>
      <c r="B8235" s="245"/>
      <c r="C8235" s="155" t="s">
        <v>23689</v>
      </c>
      <c r="D8235" s="155" t="s">
        <v>85</v>
      </c>
      <c r="E8235" s="156">
        <v>1</v>
      </c>
      <c r="F8235" s="28">
        <v>48.563999999999993</v>
      </c>
      <c r="G8235" s="31">
        <f>IF(ISNUMBER(F8235),E8235*F8235,"")</f>
        <v>48.563999999999993</v>
      </c>
      <c r="H8235" s="35">
        <f>SUM(G8235:G8235)</f>
        <v>48.563999999999993</v>
      </c>
      <c r="I8235" s="36"/>
      <c r="J8235" s="125">
        <v>0</v>
      </c>
    </row>
    <row r="8236" spans="1:10" s="144" customFormat="1" ht="15.75" hidden="1" thickBot="1" x14ac:dyDescent="0.3">
      <c r="A8236" s="248"/>
      <c r="B8236" s="246"/>
      <c r="C8236" s="164"/>
      <c r="D8236" s="164"/>
      <c r="E8236" s="165"/>
      <c r="F8236" s="62" t="s">
        <v>418</v>
      </c>
      <c r="G8236" s="63" t="str">
        <f>IF(ISNUMBER(F8236),E8236*F8236,"")</f>
        <v/>
      </c>
      <c r="H8236" s="64"/>
      <c r="I8236" s="28"/>
      <c r="J8236" s="125">
        <v>0</v>
      </c>
    </row>
    <row r="8237" spans="1:10" s="144" customFormat="1" ht="15.75" hidden="1" thickBot="1" x14ac:dyDescent="0.3">
      <c r="A8237" s="234" t="s">
        <v>18792</v>
      </c>
      <c r="B8237" s="237" t="s">
        <v>19986</v>
      </c>
      <c r="C8237" s="160"/>
      <c r="D8237" s="145" t="s">
        <v>28</v>
      </c>
      <c r="E8237" s="146"/>
      <c r="F8237" s="44" t="s">
        <v>418</v>
      </c>
      <c r="G8237" s="147" t="str">
        <f>IF(ISNUMBER(F8237),E8237*F8237,"")</f>
        <v/>
      </c>
      <c r="H8237" s="148"/>
      <c r="I8237" s="149"/>
      <c r="J8237" s="125">
        <v>0</v>
      </c>
    </row>
    <row r="8238" spans="1:10" s="144" customFormat="1" ht="15.75" hidden="1" thickBot="1" x14ac:dyDescent="0.3">
      <c r="A8238" s="249"/>
      <c r="B8238" s="238"/>
      <c r="C8238" s="151"/>
      <c r="D8238" s="151"/>
      <c r="E8238" s="152"/>
      <c r="F8238" s="49" t="s">
        <v>418</v>
      </c>
      <c r="G8238" s="49" t="str">
        <f>IF(ISNUMBER(F8238),E8238*F8238,"")</f>
        <v/>
      </c>
      <c r="H8238" s="65"/>
      <c r="I8238" s="66"/>
      <c r="J8238" s="125">
        <v>0</v>
      </c>
    </row>
    <row r="8239" spans="1:10" s="144" customFormat="1" ht="15.75" hidden="1" thickBot="1" x14ac:dyDescent="0.3">
      <c r="A8239" s="249"/>
      <c r="B8239" s="238"/>
      <c r="C8239" s="155" t="s">
        <v>19992</v>
      </c>
      <c r="D8239" s="155" t="s">
        <v>774</v>
      </c>
      <c r="E8239" s="143">
        <v>1</v>
      </c>
      <c r="F8239" s="49" t="s">
        <v>418</v>
      </c>
      <c r="G8239" s="49" t="str">
        <f>IF(ISNUMBER(F8239),E8239*F8239,"")</f>
        <v/>
      </c>
      <c r="H8239" s="35">
        <f>SUM(G8239:G8240)</f>
        <v>9.0689981096408303</v>
      </c>
      <c r="I8239" s="36"/>
      <c r="J8239" s="125">
        <v>0</v>
      </c>
    </row>
    <row r="8240" spans="1:10" s="144" customFormat="1" ht="15.75" hidden="1" thickBot="1" x14ac:dyDescent="0.3">
      <c r="A8240" s="249"/>
      <c r="B8240" s="238"/>
      <c r="C8240" s="155" t="s">
        <v>588</v>
      </c>
      <c r="D8240" s="155" t="s">
        <v>587</v>
      </c>
      <c r="E8240" s="143">
        <f>0.25/0.529</f>
        <v>0.47258979206049145</v>
      </c>
      <c r="F8240" s="49">
        <v>19.189999999999998</v>
      </c>
      <c r="G8240" s="49">
        <f>IF(ISNUMBER(F8240),E8240*F8240,"")</f>
        <v>9.0689981096408303</v>
      </c>
      <c r="H8240" s="65"/>
      <c r="I8240" s="66"/>
      <c r="J8240" s="125">
        <v>0</v>
      </c>
    </row>
    <row r="8241" spans="1:10" s="144" customFormat="1" ht="15.75" hidden="1" thickBot="1" x14ac:dyDescent="0.3">
      <c r="A8241" s="250"/>
      <c r="B8241" s="239"/>
      <c r="C8241" s="155"/>
      <c r="D8241" s="155"/>
      <c r="E8241" s="156"/>
      <c r="F8241" s="49" t="s">
        <v>418</v>
      </c>
      <c r="G8241" s="49" t="str">
        <f>IF(ISNUMBER(F8241),E8241*F8241,"")</f>
        <v/>
      </c>
      <c r="H8241" s="65"/>
      <c r="I8241" s="66"/>
      <c r="J8241" s="125">
        <v>0</v>
      </c>
    </row>
    <row r="8242" spans="1:10" s="144" customFormat="1" ht="15.75" hidden="1" thickBot="1" x14ac:dyDescent="0.3">
      <c r="A8242" s="241" t="s">
        <v>18793</v>
      </c>
      <c r="B8242" s="244" t="s">
        <v>19987</v>
      </c>
      <c r="C8242" s="160"/>
      <c r="D8242" s="145" t="s">
        <v>16</v>
      </c>
      <c r="E8242" s="146"/>
      <c r="F8242" s="37" t="s">
        <v>418</v>
      </c>
      <c r="G8242" s="147" t="str">
        <f>IF(ISNUMBER(F8242),E8242*F8242,"")</f>
        <v/>
      </c>
      <c r="H8242" s="148"/>
      <c r="I8242" s="149"/>
      <c r="J8242" s="125">
        <v>0</v>
      </c>
    </row>
    <row r="8243" spans="1:10" s="144" customFormat="1" ht="15.75" hidden="1" thickBot="1" x14ac:dyDescent="0.3">
      <c r="A8243" s="247"/>
      <c r="B8243" s="245"/>
      <c r="C8243" s="151"/>
      <c r="D8243" s="151"/>
      <c r="E8243" s="152"/>
      <c r="F8243" s="38" t="s">
        <v>418</v>
      </c>
      <c r="G8243" s="31" t="str">
        <f>IF(ISNUMBER(F8243),E8243*F8243,"")</f>
        <v/>
      </c>
      <c r="H8243" s="32"/>
      <c r="I8243" s="28"/>
      <c r="J8243" s="125">
        <v>0</v>
      </c>
    </row>
    <row r="8244" spans="1:10" s="144" customFormat="1" ht="15.75" hidden="1" thickBot="1" x14ac:dyDescent="0.3">
      <c r="A8244" s="247"/>
      <c r="B8244" s="245"/>
      <c r="C8244" s="155" t="s">
        <v>588</v>
      </c>
      <c r="D8244" s="155" t="s">
        <v>587</v>
      </c>
      <c r="E8244" s="156">
        <v>19.401</v>
      </c>
      <c r="F8244" s="28">
        <v>19.189999999999998</v>
      </c>
      <c r="G8244" s="31">
        <f>IF(ISNUMBER(F8244),E8244*F8244,"")</f>
        <v>372.30518999999993</v>
      </c>
      <c r="H8244" s="35">
        <f>SUM(G8244:G8245)</f>
        <v>529.58627799999988</v>
      </c>
      <c r="I8244" s="36"/>
      <c r="J8244" s="125">
        <v>0</v>
      </c>
    </row>
    <row r="8245" spans="1:10" s="144" customFormat="1" ht="26.25" hidden="1" thickBot="1" x14ac:dyDescent="0.3">
      <c r="A8245" s="247"/>
      <c r="B8245" s="245"/>
      <c r="C8245" s="155" t="s">
        <v>9786</v>
      </c>
      <c r="D8245" s="155" t="s">
        <v>587</v>
      </c>
      <c r="E8245" s="156">
        <v>4.9039999999999999</v>
      </c>
      <c r="F8245" s="28">
        <v>32.071999999999996</v>
      </c>
      <c r="G8245" s="31">
        <f>IF(ISNUMBER(F8245),E8245*F8245,"")</f>
        <v>157.28108799999998</v>
      </c>
      <c r="H8245" s="32"/>
      <c r="I8245" s="36"/>
      <c r="J8245" s="125">
        <v>0</v>
      </c>
    </row>
    <row r="8246" spans="1:10" s="144" customFormat="1" ht="15.75" hidden="1" thickBot="1" x14ac:dyDescent="0.3">
      <c r="A8246" s="248"/>
      <c r="B8246" s="246"/>
      <c r="C8246" s="164"/>
      <c r="D8246" s="164"/>
      <c r="E8246" s="165"/>
      <c r="F8246" s="62" t="s">
        <v>418</v>
      </c>
      <c r="G8246" s="63" t="str">
        <f>IF(ISNUMBER(F8246),E8246*F8246,"")</f>
        <v/>
      </c>
      <c r="H8246" s="64"/>
      <c r="I8246" s="28"/>
      <c r="J8246" s="125">
        <v>0</v>
      </c>
    </row>
    <row r="8247" spans="1:10" s="144" customFormat="1" ht="15.75" hidden="1" thickBot="1" x14ac:dyDescent="0.3">
      <c r="A8247" s="241" t="s">
        <v>18794</v>
      </c>
      <c r="B8247" s="244" t="s">
        <v>19988</v>
      </c>
      <c r="C8247" s="160"/>
      <c r="D8247" s="145" t="s">
        <v>70</v>
      </c>
      <c r="E8247" s="146"/>
      <c r="F8247" s="37" t="s">
        <v>418</v>
      </c>
      <c r="G8247" s="147" t="str">
        <f>IF(ISNUMBER(F8247),E8247*F8247,"")</f>
        <v/>
      </c>
      <c r="H8247" s="148"/>
      <c r="I8247" s="149"/>
      <c r="J8247" s="125">
        <v>0</v>
      </c>
    </row>
    <row r="8248" spans="1:10" s="144" customFormat="1" ht="15.75" hidden="1" thickBot="1" x14ac:dyDescent="0.3">
      <c r="A8248" s="247"/>
      <c r="B8248" s="245"/>
      <c r="C8248" s="151"/>
      <c r="D8248" s="151"/>
      <c r="E8248" s="152"/>
      <c r="F8248" s="38" t="s">
        <v>418</v>
      </c>
      <c r="G8248" s="31" t="str">
        <f>IF(ISNUMBER(F8248),E8248*F8248,"")</f>
        <v/>
      </c>
      <c r="H8248" s="32"/>
      <c r="I8248" s="28"/>
      <c r="J8248" s="125">
        <v>0</v>
      </c>
    </row>
    <row r="8249" spans="1:10" s="144" customFormat="1" ht="26.25" hidden="1" thickBot="1" x14ac:dyDescent="0.3">
      <c r="A8249" s="247"/>
      <c r="B8249" s="245"/>
      <c r="C8249" s="155" t="s">
        <v>9741</v>
      </c>
      <c r="D8249" s="155" t="s">
        <v>587</v>
      </c>
      <c r="E8249" s="156">
        <v>0.5</v>
      </c>
      <c r="F8249" s="31">
        <v>18.544</v>
      </c>
      <c r="G8249" s="28">
        <f>IF(ISNUMBER(F8249),E8249*F8249,"")</f>
        <v>9.2720000000000002</v>
      </c>
      <c r="H8249" s="35">
        <f>SUM(G8249:G8252)</f>
        <v>21.018750000000001</v>
      </c>
      <c r="I8249" s="36"/>
      <c r="J8249" s="125">
        <v>0</v>
      </c>
    </row>
    <row r="8250" spans="1:10" s="144" customFormat="1" ht="26.25" hidden="1" thickBot="1" x14ac:dyDescent="0.3">
      <c r="A8250" s="247"/>
      <c r="B8250" s="245"/>
      <c r="C8250" s="155" t="s">
        <v>863</v>
      </c>
      <c r="D8250" s="155" t="s">
        <v>587</v>
      </c>
      <c r="E8250" s="156">
        <v>0.5</v>
      </c>
      <c r="F8250" s="31">
        <v>21.593499999999999</v>
      </c>
      <c r="G8250" s="28">
        <f>IF(ISNUMBER(F8250),E8250*F8250,"")</f>
        <v>10.796749999999999</v>
      </c>
      <c r="H8250" s="32"/>
      <c r="I8250" s="28"/>
      <c r="J8250" s="125">
        <v>0</v>
      </c>
    </row>
    <row r="8251" spans="1:10" s="144" customFormat="1" ht="26.25" hidden="1" thickBot="1" x14ac:dyDescent="0.3">
      <c r="A8251" s="247"/>
      <c r="B8251" s="245"/>
      <c r="C8251" s="155" t="s">
        <v>20904</v>
      </c>
      <c r="D8251" s="155" t="s">
        <v>870</v>
      </c>
      <c r="E8251" s="156">
        <v>1</v>
      </c>
      <c r="F8251" s="28">
        <v>0.95</v>
      </c>
      <c r="G8251" s="31">
        <f>IF(ISNUMBER(F8251),E8251*F8251,"")</f>
        <v>0.95</v>
      </c>
      <c r="H8251" s="32"/>
      <c r="I8251" s="36"/>
      <c r="J8251" s="125">
        <v>0</v>
      </c>
    </row>
    <row r="8252" spans="1:10" s="144" customFormat="1" ht="15.75" hidden="1" thickBot="1" x14ac:dyDescent="0.3">
      <c r="A8252" s="248"/>
      <c r="B8252" s="246"/>
      <c r="C8252" s="164"/>
      <c r="D8252" s="164"/>
      <c r="E8252" s="165"/>
      <c r="F8252" s="62" t="s">
        <v>418</v>
      </c>
      <c r="G8252" s="63" t="str">
        <f>IF(ISNUMBER(F8252),E8252*F8252,"")</f>
        <v/>
      </c>
      <c r="H8252" s="64"/>
      <c r="I8252" s="28"/>
      <c r="J8252" s="125">
        <v>0</v>
      </c>
    </row>
    <row r="8253" spans="1:10" s="144" customFormat="1" ht="15.75" hidden="1" thickBot="1" x14ac:dyDescent="0.3">
      <c r="A8253" s="241" t="s">
        <v>18795</v>
      </c>
      <c r="B8253" s="244" t="s">
        <v>19989</v>
      </c>
      <c r="C8253" s="160"/>
      <c r="D8253" s="145" t="s">
        <v>16</v>
      </c>
      <c r="E8253" s="146"/>
      <c r="F8253" s="37" t="s">
        <v>418</v>
      </c>
      <c r="G8253" s="147" t="str">
        <f>IF(ISNUMBER(F8253),E8253*F8253,"")</f>
        <v/>
      </c>
      <c r="H8253" s="148"/>
      <c r="I8253" s="149"/>
      <c r="J8253" s="125">
        <v>0</v>
      </c>
    </row>
    <row r="8254" spans="1:10" s="144" customFormat="1" ht="15.75" hidden="1" thickBot="1" x14ac:dyDescent="0.3">
      <c r="A8254" s="247"/>
      <c r="B8254" s="245"/>
      <c r="C8254" s="151"/>
      <c r="D8254" s="151"/>
      <c r="E8254" s="152"/>
      <c r="F8254" s="38" t="s">
        <v>418</v>
      </c>
      <c r="G8254" s="31" t="str">
        <f>IF(ISNUMBER(F8254),E8254*F8254,"")</f>
        <v/>
      </c>
      <c r="H8254" s="32"/>
      <c r="I8254" s="28"/>
      <c r="J8254" s="125">
        <v>0</v>
      </c>
    </row>
    <row r="8255" spans="1:10" s="144" customFormat="1" ht="15.75" hidden="1" thickBot="1" x14ac:dyDescent="0.3">
      <c r="A8255" s="247"/>
      <c r="B8255" s="245"/>
      <c r="C8255" s="155" t="s">
        <v>9900</v>
      </c>
      <c r="D8255" s="155" t="s">
        <v>587</v>
      </c>
      <c r="E8255" s="156">
        <v>40</v>
      </c>
      <c r="F8255" s="28">
        <v>158.94450000000001</v>
      </c>
      <c r="G8255" s="31">
        <f>IF(ISNUMBER(F8255),E8255*F8255,"")</f>
        <v>6357.7800000000007</v>
      </c>
      <c r="H8255" s="35">
        <f>SUM(G8255:G8257)</f>
        <v>7041.5800000000008</v>
      </c>
      <c r="I8255" s="36"/>
      <c r="J8255" s="125">
        <v>0</v>
      </c>
    </row>
    <row r="8256" spans="1:10" s="144" customFormat="1" ht="15.75" hidden="1" thickBot="1" x14ac:dyDescent="0.3">
      <c r="A8256" s="247"/>
      <c r="B8256" s="245"/>
      <c r="C8256" s="155" t="s">
        <v>9887</v>
      </c>
      <c r="D8256" s="155" t="s">
        <v>587</v>
      </c>
      <c r="E8256" s="156">
        <v>20</v>
      </c>
      <c r="F8256" s="28">
        <v>21.4605</v>
      </c>
      <c r="G8256" s="31">
        <f>IF(ISNUMBER(F8256),E8256*F8256,"")</f>
        <v>429.21</v>
      </c>
      <c r="H8256" s="32"/>
      <c r="I8256" s="36"/>
      <c r="J8256" s="125">
        <v>0</v>
      </c>
    </row>
    <row r="8257" spans="1:10" s="144" customFormat="1" ht="15.75" hidden="1" thickBot="1" x14ac:dyDescent="0.3">
      <c r="A8257" s="247"/>
      <c r="B8257" s="245"/>
      <c r="C8257" s="155" t="s">
        <v>15</v>
      </c>
      <c r="D8257" s="131" t="s">
        <v>16</v>
      </c>
      <c r="E8257" s="156">
        <v>1</v>
      </c>
      <c r="F8257" s="28">
        <v>254.59</v>
      </c>
      <c r="G8257" s="31">
        <f>IF(ISNUMBER(F8257),E8257*F8257,"")</f>
        <v>254.59</v>
      </c>
      <c r="H8257" s="32"/>
      <c r="I8257" s="36"/>
      <c r="J8257" s="125">
        <v>0</v>
      </c>
    </row>
    <row r="8258" spans="1:10" s="144" customFormat="1" ht="15.75" hidden="1" thickBot="1" x14ac:dyDescent="0.3">
      <c r="A8258" s="248"/>
      <c r="B8258" s="246"/>
      <c r="C8258" s="164"/>
      <c r="D8258" s="164"/>
      <c r="E8258" s="165"/>
      <c r="F8258" s="62" t="s">
        <v>418</v>
      </c>
      <c r="G8258" s="63" t="str">
        <f>IF(ISNUMBER(F8258),E8258*F8258,"")</f>
        <v/>
      </c>
      <c r="H8258" s="64"/>
      <c r="I8258" s="28"/>
      <c r="J8258" s="125">
        <v>0</v>
      </c>
    </row>
    <row r="8259" spans="1:10" s="144" customFormat="1" ht="15.75" hidden="1" thickBot="1" x14ac:dyDescent="0.3">
      <c r="A8259" s="234" t="s">
        <v>18796</v>
      </c>
      <c r="B8259" s="237" t="s">
        <v>19990</v>
      </c>
      <c r="C8259" s="160"/>
      <c r="D8259" s="145" t="s">
        <v>16</v>
      </c>
      <c r="E8259" s="146"/>
      <c r="F8259" s="37" t="s">
        <v>418</v>
      </c>
      <c r="G8259" s="147" t="str">
        <f>IF(ISNUMBER(F8259),E8259*F8259,"")</f>
        <v/>
      </c>
      <c r="H8259" s="148"/>
      <c r="I8259" s="149"/>
      <c r="J8259" s="125">
        <v>0</v>
      </c>
    </row>
    <row r="8260" spans="1:10" s="144" customFormat="1" ht="15.75" hidden="1" thickBot="1" x14ac:dyDescent="0.3">
      <c r="A8260" s="235"/>
      <c r="B8260" s="240"/>
      <c r="C8260" s="127"/>
      <c r="D8260" s="127"/>
      <c r="E8260" s="128"/>
      <c r="F8260" s="38" t="s">
        <v>418</v>
      </c>
      <c r="G8260" s="28" t="str">
        <f>IF(ISNUMBER(F8260),E8260*F8260,"")</f>
        <v/>
      </c>
      <c r="H8260" s="32"/>
      <c r="I8260" s="28"/>
      <c r="J8260" s="125">
        <v>0</v>
      </c>
    </row>
    <row r="8261" spans="1:10" s="144" customFormat="1" ht="39" hidden="1" thickBot="1" x14ac:dyDescent="0.3">
      <c r="A8261" s="235"/>
      <c r="B8261" s="240"/>
      <c r="C8261" s="129" t="s">
        <v>19991</v>
      </c>
      <c r="D8261" s="131" t="s">
        <v>16</v>
      </c>
      <c r="E8261" s="130">
        <v>1</v>
      </c>
      <c r="F8261" s="31" t="s">
        <v>418</v>
      </c>
      <c r="G8261" s="28" t="str">
        <f>IF(ISNUMBER(F8261),E8261*F8261,"")</f>
        <v/>
      </c>
      <c r="H8261" s="35">
        <f>SUM(G8261:G8264)</f>
        <v>46.002877269443204</v>
      </c>
      <c r="I8261" s="36"/>
      <c r="J8261" s="125">
        <v>0</v>
      </c>
    </row>
    <row r="8262" spans="1:10" s="144" customFormat="1" ht="39" hidden="1" thickBot="1" x14ac:dyDescent="0.3">
      <c r="A8262" s="235"/>
      <c r="B8262" s="240"/>
      <c r="C8262" s="155" t="s">
        <v>9105</v>
      </c>
      <c r="D8262" s="155" t="s">
        <v>85</v>
      </c>
      <c r="E8262" s="130">
        <v>1.9199999999999998E-2</v>
      </c>
      <c r="F8262" s="28">
        <v>895.02183434599988</v>
      </c>
      <c r="G8262" s="28">
        <f>IF(ISNUMBER(F8262),E8262*F8262,"")</f>
        <v>17.184419219443196</v>
      </c>
      <c r="H8262" s="32"/>
      <c r="I8262" s="28"/>
      <c r="J8262" s="125">
        <v>0</v>
      </c>
    </row>
    <row r="8263" spans="1:10" s="144" customFormat="1" ht="15.75" hidden="1" thickBot="1" x14ac:dyDescent="0.3">
      <c r="A8263" s="235"/>
      <c r="B8263" s="240"/>
      <c r="C8263" s="155" t="s">
        <v>1022</v>
      </c>
      <c r="D8263" s="155" t="s">
        <v>587</v>
      </c>
      <c r="E8263" s="130">
        <v>0.63370000000000004</v>
      </c>
      <c r="F8263" s="28">
        <v>19.522500000000001</v>
      </c>
      <c r="G8263" s="28">
        <f>IF(ISNUMBER(F8263),E8263*F8263,"")</f>
        <v>12.371408250000002</v>
      </c>
      <c r="H8263" s="32"/>
      <c r="I8263" s="28"/>
      <c r="J8263" s="125">
        <v>0</v>
      </c>
    </row>
    <row r="8264" spans="1:10" s="144" customFormat="1" ht="15.75" hidden="1" thickBot="1" x14ac:dyDescent="0.3">
      <c r="A8264" s="235"/>
      <c r="B8264" s="240"/>
      <c r="C8264" s="155" t="s">
        <v>1023</v>
      </c>
      <c r="D8264" s="155" t="s">
        <v>587</v>
      </c>
      <c r="E8264" s="130">
        <v>0.63370000000000004</v>
      </c>
      <c r="F8264" s="28">
        <v>25.954000000000001</v>
      </c>
      <c r="G8264" s="31">
        <f>IF(ISNUMBER(F8264),E8264*F8264,"")</f>
        <v>16.447049800000002</v>
      </c>
      <c r="H8264" s="32"/>
      <c r="I8264" s="28"/>
      <c r="J8264" s="125">
        <v>0</v>
      </c>
    </row>
    <row r="8265" spans="1:10" s="144" customFormat="1" ht="15.75" hidden="1" thickBot="1" x14ac:dyDescent="0.3">
      <c r="A8265" s="236"/>
      <c r="B8265" s="239"/>
      <c r="C8265" s="164"/>
      <c r="D8265" s="164"/>
      <c r="E8265" s="165"/>
      <c r="F8265" s="62" t="s">
        <v>418</v>
      </c>
      <c r="G8265" s="62" t="str">
        <f>IF(ISNUMBER(F8265),E8265*F8265,"")</f>
        <v/>
      </c>
      <c r="H8265" s="64"/>
      <c r="I8265" s="28"/>
      <c r="J8265" s="125">
        <v>0</v>
      </c>
    </row>
    <row r="8266" spans="1:10" s="144" customFormat="1" ht="15.75" hidden="1" thickBot="1" x14ac:dyDescent="0.3">
      <c r="A8266" s="241" t="s">
        <v>18797</v>
      </c>
      <c r="B8266" s="244" t="s">
        <v>19993</v>
      </c>
      <c r="C8266" s="160"/>
      <c r="D8266" s="145" t="s">
        <v>1628</v>
      </c>
      <c r="E8266" s="146"/>
      <c r="F8266" s="37" t="s">
        <v>418</v>
      </c>
      <c r="G8266" s="147" t="str">
        <f>IF(ISNUMBER(F8266),E8266*F8266,"")</f>
        <v/>
      </c>
      <c r="H8266" s="148"/>
      <c r="I8266" s="149"/>
      <c r="J8266" s="125">
        <v>0</v>
      </c>
    </row>
    <row r="8267" spans="1:10" s="144" customFormat="1" ht="15.75" hidden="1" thickBot="1" x14ac:dyDescent="0.3">
      <c r="A8267" s="247"/>
      <c r="B8267" s="245"/>
      <c r="C8267" s="151"/>
      <c r="D8267" s="151"/>
      <c r="E8267" s="152"/>
      <c r="F8267" s="38" t="s">
        <v>418</v>
      </c>
      <c r="G8267" s="31" t="str">
        <f>IF(ISNUMBER(F8267),E8267*F8267,"")</f>
        <v/>
      </c>
      <c r="H8267" s="32"/>
      <c r="I8267" s="28"/>
      <c r="J8267" s="125">
        <v>0</v>
      </c>
    </row>
    <row r="8268" spans="1:10" s="144" customFormat="1" ht="26.25" hidden="1" thickBot="1" x14ac:dyDescent="0.3">
      <c r="A8268" s="247"/>
      <c r="B8268" s="245"/>
      <c r="C8268" s="155" t="s">
        <v>988</v>
      </c>
      <c r="D8268" s="155" t="s">
        <v>587</v>
      </c>
      <c r="E8268" s="130" t="e">
        <f>IF(#REF!="Desonerado",ROUND(220/(1+82.01%),4),ROUND(220/(1+110.69%),4))</f>
        <v>#REF!</v>
      </c>
      <c r="F8268" s="28">
        <v>24.272500000000001</v>
      </c>
      <c r="G8268" s="31" t="e">
        <f>IF(ISNUMBER(F8268),E8268*F8268,"")</f>
        <v>#REF!</v>
      </c>
      <c r="H8268" s="35" t="e">
        <f>SUM(G8268:G8268)</f>
        <v>#REF!</v>
      </c>
      <c r="I8268" s="36"/>
      <c r="J8268" s="125">
        <v>0</v>
      </c>
    </row>
    <row r="8269" spans="1:10" s="144" customFormat="1" ht="15.75" hidden="1" thickBot="1" x14ac:dyDescent="0.3">
      <c r="A8269" s="247"/>
      <c r="B8269" s="245"/>
      <c r="C8269" s="155"/>
      <c r="D8269" s="129"/>
      <c r="E8269" s="130"/>
      <c r="F8269" s="28"/>
      <c r="G8269" s="31"/>
      <c r="H8269" s="64"/>
      <c r="I8269" s="36"/>
      <c r="J8269" s="125">
        <v>0</v>
      </c>
    </row>
    <row r="8270" spans="1:10" s="144" customFormat="1" ht="26.25" hidden="1" thickBot="1" x14ac:dyDescent="0.3">
      <c r="A8270" s="247"/>
      <c r="B8270" s="245"/>
      <c r="C8270" s="43" t="s">
        <v>657</v>
      </c>
      <c r="D8270" s="129"/>
      <c r="E8270" s="130"/>
      <c r="F8270" s="28"/>
      <c r="G8270" s="31"/>
      <c r="H8270" s="64"/>
      <c r="I8270" s="36"/>
      <c r="J8270" s="125">
        <v>0</v>
      </c>
    </row>
    <row r="8271" spans="1:10" s="144" customFormat="1" ht="15.75" hidden="1" thickBot="1" x14ac:dyDescent="0.3">
      <c r="A8271" s="248"/>
      <c r="B8271" s="246"/>
      <c r="C8271" s="164"/>
      <c r="D8271" s="164"/>
      <c r="E8271" s="165"/>
      <c r="F8271" s="62" t="s">
        <v>418</v>
      </c>
      <c r="G8271" s="63" t="str">
        <f>IF(ISNUMBER(F8271),E8271*F8271,"")</f>
        <v/>
      </c>
      <c r="H8271" s="64"/>
      <c r="I8271" s="28"/>
      <c r="J8271" s="125">
        <v>0</v>
      </c>
    </row>
    <row r="8272" spans="1:10" s="144" customFormat="1" ht="15.75" hidden="1" thickBot="1" x14ac:dyDescent="0.3">
      <c r="A8272" s="234" t="s">
        <v>18798</v>
      </c>
      <c r="B8272" s="237" t="s">
        <v>19994</v>
      </c>
      <c r="C8272" s="160"/>
      <c r="D8272" s="145" t="s">
        <v>70</v>
      </c>
      <c r="E8272" s="146"/>
      <c r="F8272" s="44" t="s">
        <v>418</v>
      </c>
      <c r="G8272" s="147" t="str">
        <f>IF(ISNUMBER(F8272),E8272*F8272,"")</f>
        <v/>
      </c>
      <c r="H8272" s="148"/>
      <c r="I8272" s="149"/>
      <c r="J8272" s="125">
        <v>0</v>
      </c>
    </row>
    <row r="8273" spans="1:10" s="144" customFormat="1" ht="15.75" hidden="1" thickBot="1" x14ac:dyDescent="0.3">
      <c r="A8273" s="249"/>
      <c r="B8273" s="238"/>
      <c r="C8273" s="151"/>
      <c r="D8273" s="151"/>
      <c r="E8273" s="152"/>
      <c r="F8273" s="49" t="s">
        <v>418</v>
      </c>
      <c r="G8273" s="49" t="str">
        <f>IF(ISNUMBER(F8273),E8273*F8273,"")</f>
        <v/>
      </c>
      <c r="H8273" s="65"/>
      <c r="I8273" s="66"/>
      <c r="J8273" s="125">
        <v>0</v>
      </c>
    </row>
    <row r="8274" spans="1:10" s="144" customFormat="1" ht="39" hidden="1" thickBot="1" x14ac:dyDescent="0.3">
      <c r="A8274" s="249"/>
      <c r="B8274" s="238"/>
      <c r="C8274" s="155" t="s">
        <v>1190</v>
      </c>
      <c r="D8274" s="155" t="s">
        <v>623</v>
      </c>
      <c r="E8274" s="156">
        <v>1.27</v>
      </c>
      <c r="F8274" s="49">
        <v>0.19949999999999998</v>
      </c>
      <c r="G8274" s="49">
        <f>IF(ISNUMBER(F8274),E8274*F8274,"")</f>
        <v>0.25336500000000001</v>
      </c>
      <c r="H8274" s="35">
        <f>SUM(G8274:G8279)</f>
        <v>10.237769049999999</v>
      </c>
      <c r="I8274" s="36"/>
      <c r="J8274" s="125">
        <v>0</v>
      </c>
    </row>
    <row r="8275" spans="1:10" s="144" customFormat="1" ht="26.25" hidden="1" thickBot="1" x14ac:dyDescent="0.3">
      <c r="A8275" s="249"/>
      <c r="B8275" s="238"/>
      <c r="C8275" s="155" t="s">
        <v>1191</v>
      </c>
      <c r="D8275" s="155" t="s">
        <v>205</v>
      </c>
      <c r="E8275" s="156">
        <v>1.27</v>
      </c>
      <c r="F8275" s="49">
        <v>3.1159999999999997</v>
      </c>
      <c r="G8275" s="49">
        <f>IF(ISNUMBER(F8275),E8275*F8275,"")</f>
        <v>3.9573199999999997</v>
      </c>
      <c r="H8275" s="65"/>
      <c r="I8275" s="66"/>
      <c r="J8275" s="125">
        <v>0</v>
      </c>
    </row>
    <row r="8276" spans="1:10" s="144" customFormat="1" ht="15.75" hidden="1" thickBot="1" x14ac:dyDescent="0.3">
      <c r="A8276" s="249"/>
      <c r="B8276" s="238"/>
      <c r="C8276" s="155" t="s">
        <v>588</v>
      </c>
      <c r="D8276" s="155" t="s">
        <v>587</v>
      </c>
      <c r="E8276" s="156">
        <v>0.15</v>
      </c>
      <c r="F8276" s="49">
        <v>19.189999999999998</v>
      </c>
      <c r="G8276" s="49">
        <f>IF(ISNUMBER(F8276),E8276*F8276,"")</f>
        <v>2.8784999999999994</v>
      </c>
      <c r="H8276" s="65"/>
      <c r="I8276" s="66"/>
      <c r="J8276" s="125">
        <v>0</v>
      </c>
    </row>
    <row r="8277" spans="1:10" s="144" customFormat="1" ht="15.75" hidden="1" thickBot="1" x14ac:dyDescent="0.3">
      <c r="A8277" s="249"/>
      <c r="B8277" s="238"/>
      <c r="C8277" s="155" t="s">
        <v>1170</v>
      </c>
      <c r="D8277" s="155" t="s">
        <v>587</v>
      </c>
      <c r="E8277" s="156">
        <v>0.115</v>
      </c>
      <c r="F8277" s="49">
        <v>25.051500000000001</v>
      </c>
      <c r="G8277" s="49">
        <f>IF(ISNUMBER(F8277),E8277*F8277,"")</f>
        <v>2.8809225000000001</v>
      </c>
      <c r="H8277" s="65"/>
      <c r="I8277" s="66"/>
      <c r="J8277" s="125">
        <v>0</v>
      </c>
    </row>
    <row r="8278" spans="1:10" s="144" customFormat="1" ht="26.25" hidden="1" thickBot="1" x14ac:dyDescent="0.3">
      <c r="A8278" s="249"/>
      <c r="B8278" s="238"/>
      <c r="C8278" s="155" t="s">
        <v>1171</v>
      </c>
      <c r="D8278" s="155" t="s">
        <v>814</v>
      </c>
      <c r="E8278" s="156">
        <v>5.0000000000000001E-3</v>
      </c>
      <c r="F8278" s="49">
        <v>23.103999999999999</v>
      </c>
      <c r="G8278" s="49">
        <f>IF(ISNUMBER(F8278),E8278*F8278,"")</f>
        <v>0.11552</v>
      </c>
      <c r="H8278" s="65"/>
      <c r="I8278" s="66"/>
      <c r="J8278" s="125">
        <v>0</v>
      </c>
    </row>
    <row r="8279" spans="1:10" s="144" customFormat="1" ht="26.25" hidden="1" thickBot="1" x14ac:dyDescent="0.3">
      <c r="A8279" s="249"/>
      <c r="B8279" s="238"/>
      <c r="C8279" s="155" t="s">
        <v>1172</v>
      </c>
      <c r="D8279" s="155" t="s">
        <v>816</v>
      </c>
      <c r="E8279" s="156">
        <v>6.8999999999999999E-3</v>
      </c>
      <c r="F8279" s="49">
        <v>22.049499999999998</v>
      </c>
      <c r="G8279" s="49">
        <f>IF(ISNUMBER(F8279),E8279*F8279,"")</f>
        <v>0.15214154999999999</v>
      </c>
      <c r="H8279" s="65"/>
      <c r="I8279" s="66"/>
      <c r="J8279" s="125">
        <v>0</v>
      </c>
    </row>
    <row r="8280" spans="1:10" s="144" customFormat="1" ht="15.75" hidden="1" thickBot="1" x14ac:dyDescent="0.3">
      <c r="A8280" s="250"/>
      <c r="B8280" s="239"/>
      <c r="C8280" s="164"/>
      <c r="D8280" s="164"/>
      <c r="E8280" s="165"/>
      <c r="F8280" s="68" t="s">
        <v>418</v>
      </c>
      <c r="G8280" s="68" t="str">
        <f>IF(ISNUMBER(F8280),E8280*F8280,"")</f>
        <v/>
      </c>
      <c r="H8280" s="69"/>
      <c r="I8280" s="66"/>
      <c r="J8280" s="125">
        <v>0</v>
      </c>
    </row>
    <row r="8281" spans="1:10" s="144" customFormat="1" ht="15.75" hidden="1" thickBot="1" x14ac:dyDescent="0.3">
      <c r="A8281" s="241" t="s">
        <v>18799</v>
      </c>
      <c r="B8281" s="244" t="s">
        <v>19995</v>
      </c>
      <c r="C8281" s="160"/>
      <c r="D8281" s="145" t="s">
        <v>69</v>
      </c>
      <c r="E8281" s="146"/>
      <c r="F8281" s="37" t="s">
        <v>418</v>
      </c>
      <c r="G8281" s="147" t="str">
        <f>IF(ISNUMBER(F8281),E8281*F8281,"")</f>
        <v/>
      </c>
      <c r="H8281" s="148"/>
      <c r="I8281" s="149"/>
      <c r="J8281" s="125">
        <v>0</v>
      </c>
    </row>
    <row r="8282" spans="1:10" s="144" customFormat="1" ht="15.75" hidden="1" thickBot="1" x14ac:dyDescent="0.3">
      <c r="A8282" s="247"/>
      <c r="B8282" s="245"/>
      <c r="C8282" s="151"/>
      <c r="D8282" s="151"/>
      <c r="E8282" s="152"/>
      <c r="F8282" s="38" t="s">
        <v>418</v>
      </c>
      <c r="G8282" s="31" t="str">
        <f>IF(ISNUMBER(F8282),E8282*F8282,"")</f>
        <v/>
      </c>
      <c r="H8282" s="32"/>
      <c r="I8282" s="28"/>
      <c r="J8282" s="125">
        <v>0</v>
      </c>
    </row>
    <row r="8283" spans="1:10" s="144" customFormat="1" ht="15.75" hidden="1" thickBot="1" x14ac:dyDescent="0.3">
      <c r="A8283" s="247"/>
      <c r="B8283" s="245"/>
      <c r="C8283" s="155" t="s">
        <v>649</v>
      </c>
      <c r="D8283" s="155" t="s">
        <v>774</v>
      </c>
      <c r="E8283" s="156">
        <v>1.5780000000000001</v>
      </c>
      <c r="F8283" s="28">
        <v>8.5499999999999989</v>
      </c>
      <c r="G8283" s="31">
        <f>IF(ISNUMBER(F8283),E8283*F8283,"")</f>
        <v>13.491899999999999</v>
      </c>
      <c r="H8283" s="35">
        <f>SUM(G8283:G8283)</f>
        <v>13.491899999999999</v>
      </c>
      <c r="I8283" s="36"/>
      <c r="J8283" s="125">
        <v>0</v>
      </c>
    </row>
    <row r="8284" spans="1:10" s="144" customFormat="1" ht="15.75" hidden="1" thickBot="1" x14ac:dyDescent="0.3">
      <c r="A8284" s="248"/>
      <c r="B8284" s="246"/>
      <c r="C8284" s="164"/>
      <c r="D8284" s="164"/>
      <c r="E8284" s="165"/>
      <c r="F8284" s="62" t="s">
        <v>418</v>
      </c>
      <c r="G8284" s="63" t="str">
        <f>IF(ISNUMBER(F8284),E8284*F8284,"")</f>
        <v/>
      </c>
      <c r="H8284" s="64"/>
      <c r="I8284" s="28"/>
      <c r="J8284" s="125">
        <v>0</v>
      </c>
    </row>
    <row r="8285" spans="1:10" s="144" customFormat="1" ht="15.75" hidden="1" thickBot="1" x14ac:dyDescent="0.3">
      <c r="A8285" s="234" t="s">
        <v>18800</v>
      </c>
      <c r="B8285" s="237" t="s">
        <v>19996</v>
      </c>
      <c r="C8285" s="160"/>
      <c r="D8285" s="145" t="s">
        <v>70</v>
      </c>
      <c r="E8285" s="146"/>
      <c r="F8285" s="44" t="s">
        <v>418</v>
      </c>
      <c r="G8285" s="147" t="str">
        <f>IF(ISNUMBER(F8285),E8285*F8285,"")</f>
        <v/>
      </c>
      <c r="H8285" s="148"/>
      <c r="I8285" s="149"/>
      <c r="J8285" s="125">
        <v>0</v>
      </c>
    </row>
    <row r="8286" spans="1:10" s="144" customFormat="1" ht="15.75" hidden="1" thickBot="1" x14ac:dyDescent="0.3">
      <c r="A8286" s="249"/>
      <c r="B8286" s="238"/>
      <c r="C8286" s="151"/>
      <c r="D8286" s="151"/>
      <c r="E8286" s="152"/>
      <c r="F8286" s="49" t="s">
        <v>418</v>
      </c>
      <c r="G8286" s="49" t="str">
        <f>IF(ISNUMBER(F8286),E8286*F8286,"")</f>
        <v/>
      </c>
      <c r="H8286" s="65"/>
      <c r="I8286" s="66"/>
      <c r="J8286" s="125">
        <v>0</v>
      </c>
    </row>
    <row r="8287" spans="1:10" s="144" customFormat="1" ht="15.75" hidden="1" thickBot="1" x14ac:dyDescent="0.3">
      <c r="A8287" s="249"/>
      <c r="B8287" s="238"/>
      <c r="C8287" s="155" t="s">
        <v>9864</v>
      </c>
      <c r="D8287" s="155" t="s">
        <v>587</v>
      </c>
      <c r="E8287" s="156">
        <v>2.5579999999999998</v>
      </c>
      <c r="F8287" s="49">
        <v>23.274999999999999</v>
      </c>
      <c r="G8287" s="49">
        <f>IF(ISNUMBER(F8287),E8287*F8287,"")</f>
        <v>59.537449999999993</v>
      </c>
      <c r="H8287" s="35">
        <f>SUM(G8287:G8289)</f>
        <v>906.23412699999994</v>
      </c>
      <c r="I8287" s="36"/>
      <c r="J8287" s="125">
        <v>0</v>
      </c>
    </row>
    <row r="8288" spans="1:10" s="144" customFormat="1" ht="15.75" hidden="1" thickBot="1" x14ac:dyDescent="0.3">
      <c r="A8288" s="249"/>
      <c r="B8288" s="238"/>
      <c r="C8288" s="155" t="s">
        <v>1251</v>
      </c>
      <c r="D8288" s="155" t="s">
        <v>587</v>
      </c>
      <c r="E8288" s="156">
        <v>2.5579999999999998</v>
      </c>
      <c r="F8288" s="49">
        <v>19.731499999999997</v>
      </c>
      <c r="G8288" s="49">
        <f>IF(ISNUMBER(F8288),E8288*F8288,"")</f>
        <v>50.473176999999986</v>
      </c>
      <c r="H8288" s="65"/>
      <c r="I8288" s="66"/>
      <c r="J8288" s="125">
        <v>0</v>
      </c>
    </row>
    <row r="8289" spans="1:10" s="144" customFormat="1" ht="26.25" hidden="1" thickBot="1" x14ac:dyDescent="0.3">
      <c r="A8289" s="249"/>
      <c r="B8289" s="238"/>
      <c r="C8289" s="155" t="s">
        <v>25204</v>
      </c>
      <c r="D8289" s="155" t="s">
        <v>205</v>
      </c>
      <c r="E8289" s="156">
        <v>1</v>
      </c>
      <c r="F8289" s="49">
        <v>796.22349999999994</v>
      </c>
      <c r="G8289" s="49">
        <f>IF(ISNUMBER(F8289),E8289*F8289,"")</f>
        <v>796.22349999999994</v>
      </c>
      <c r="H8289" s="65"/>
      <c r="I8289" s="66"/>
      <c r="J8289" s="125">
        <v>0</v>
      </c>
    </row>
    <row r="8290" spans="1:10" s="144" customFormat="1" ht="15.75" hidden="1" thickBot="1" x14ac:dyDescent="0.3">
      <c r="A8290" s="250"/>
      <c r="B8290" s="239"/>
      <c r="C8290" s="164"/>
      <c r="D8290" s="164"/>
      <c r="E8290" s="165"/>
      <c r="F8290" s="68" t="s">
        <v>418</v>
      </c>
      <c r="G8290" s="68" t="str">
        <f>IF(ISNUMBER(F8290),E8290*F8290,"")</f>
        <v/>
      </c>
      <c r="H8290" s="69"/>
      <c r="I8290" s="66"/>
      <c r="J8290" s="125">
        <v>0</v>
      </c>
    </row>
    <row r="8291" spans="1:10" s="144" customFormat="1" ht="15.75" hidden="1" thickBot="1" x14ac:dyDescent="0.3">
      <c r="A8291" s="234" t="s">
        <v>18801</v>
      </c>
      <c r="B8291" s="237" t="s">
        <v>19997</v>
      </c>
      <c r="C8291" s="160"/>
      <c r="D8291" s="145" t="s">
        <v>70</v>
      </c>
      <c r="E8291" s="146"/>
      <c r="F8291" s="44" t="s">
        <v>418</v>
      </c>
      <c r="G8291" s="147" t="str">
        <f>IF(ISNUMBER(F8291),E8291*F8291,"")</f>
        <v/>
      </c>
      <c r="H8291" s="148"/>
      <c r="I8291" s="149"/>
      <c r="J8291" s="125">
        <v>0</v>
      </c>
    </row>
    <row r="8292" spans="1:10" s="144" customFormat="1" ht="15.75" hidden="1" thickBot="1" x14ac:dyDescent="0.3">
      <c r="A8292" s="249"/>
      <c r="B8292" s="238"/>
      <c r="C8292" s="151"/>
      <c r="D8292" s="151"/>
      <c r="E8292" s="152"/>
      <c r="F8292" s="49" t="s">
        <v>418</v>
      </c>
      <c r="G8292" s="49" t="str">
        <f>IF(ISNUMBER(F8292),E8292*F8292,"")</f>
        <v/>
      </c>
      <c r="H8292" s="65"/>
      <c r="I8292" s="66"/>
      <c r="J8292" s="125">
        <v>0</v>
      </c>
    </row>
    <row r="8293" spans="1:10" s="144" customFormat="1" ht="26.25" hidden="1" thickBot="1" x14ac:dyDescent="0.3">
      <c r="A8293" s="249"/>
      <c r="B8293" s="238"/>
      <c r="C8293" s="155" t="s">
        <v>23673</v>
      </c>
      <c r="D8293" s="155" t="s">
        <v>85</v>
      </c>
      <c r="E8293" s="156">
        <v>4.0000000000000001E-3</v>
      </c>
      <c r="F8293" s="49">
        <v>66.5</v>
      </c>
      <c r="G8293" s="49">
        <f>IF(ISNUMBER(F8293),E8293*F8293,"")</f>
        <v>0.26600000000000001</v>
      </c>
      <c r="H8293" s="35">
        <f>SUM(G8293:G8298)</f>
        <v>200.23362799999998</v>
      </c>
      <c r="I8293" s="36"/>
      <c r="J8293" s="125">
        <v>0</v>
      </c>
    </row>
    <row r="8294" spans="1:10" s="144" customFormat="1" ht="26.25" hidden="1" thickBot="1" x14ac:dyDescent="0.3">
      <c r="A8294" s="249"/>
      <c r="B8294" s="238"/>
      <c r="C8294" s="155" t="s">
        <v>1154</v>
      </c>
      <c r="D8294" s="155" t="s">
        <v>85</v>
      </c>
      <c r="E8294" s="156">
        <v>8.5999999999999993E-2</v>
      </c>
      <c r="F8294" s="49">
        <v>67.364499999999992</v>
      </c>
      <c r="G8294" s="49">
        <f>IF(ISNUMBER(F8294),E8294*F8294,"")</f>
        <v>5.7933469999999989</v>
      </c>
      <c r="H8294" s="65"/>
      <c r="I8294" s="66"/>
      <c r="J8294" s="125">
        <v>0</v>
      </c>
    </row>
    <row r="8295" spans="1:10" s="144" customFormat="1" ht="15.75" hidden="1" thickBot="1" x14ac:dyDescent="0.3">
      <c r="A8295" s="249"/>
      <c r="B8295" s="238"/>
      <c r="C8295" s="155" t="s">
        <v>24537</v>
      </c>
      <c r="D8295" s="155" t="s">
        <v>774</v>
      </c>
      <c r="E8295" s="156">
        <v>37.07</v>
      </c>
      <c r="F8295" s="49">
        <v>1.254</v>
      </c>
      <c r="G8295" s="49">
        <f>IF(ISNUMBER(F8295),E8295*F8295,"")</f>
        <v>46.485779999999998</v>
      </c>
      <c r="H8295" s="65"/>
      <c r="I8295" s="66"/>
      <c r="J8295" s="125">
        <v>0</v>
      </c>
    </row>
    <row r="8296" spans="1:10" s="144" customFormat="1" ht="15.75" hidden="1" thickBot="1" x14ac:dyDescent="0.3">
      <c r="A8296" s="249"/>
      <c r="B8296" s="238"/>
      <c r="C8296" s="155" t="s">
        <v>38877</v>
      </c>
      <c r="D8296" s="155" t="s">
        <v>870</v>
      </c>
      <c r="E8296" s="156">
        <v>1</v>
      </c>
      <c r="F8296" s="49">
        <v>119.69999999999999</v>
      </c>
      <c r="G8296" s="49">
        <f>IF(ISNUMBER(F8296),E8296*F8296,"")</f>
        <v>119.69999999999999</v>
      </c>
      <c r="H8296" s="65"/>
      <c r="I8296" s="66"/>
      <c r="J8296" s="125">
        <v>0</v>
      </c>
    </row>
    <row r="8297" spans="1:10" s="144" customFormat="1" ht="15.75" hidden="1" thickBot="1" x14ac:dyDescent="0.3">
      <c r="A8297" s="249"/>
      <c r="B8297" s="238"/>
      <c r="C8297" s="155" t="s">
        <v>1138</v>
      </c>
      <c r="D8297" s="155" t="s">
        <v>587</v>
      </c>
      <c r="E8297" s="156">
        <v>0.84199999999999997</v>
      </c>
      <c r="F8297" s="49">
        <v>23.645499999999998</v>
      </c>
      <c r="G8297" s="49">
        <f>IF(ISNUMBER(F8297),E8297*F8297,"")</f>
        <v>19.909510999999998</v>
      </c>
      <c r="H8297" s="65"/>
      <c r="I8297" s="66"/>
      <c r="J8297" s="125">
        <v>0</v>
      </c>
    </row>
    <row r="8298" spans="1:10" s="144" customFormat="1" ht="15.75" hidden="1" thickBot="1" x14ac:dyDescent="0.3">
      <c r="A8298" s="249"/>
      <c r="B8298" s="238"/>
      <c r="C8298" s="155" t="s">
        <v>588</v>
      </c>
      <c r="D8298" s="155" t="s">
        <v>587</v>
      </c>
      <c r="E8298" s="156">
        <v>0.42099999999999999</v>
      </c>
      <c r="F8298" s="49">
        <v>19.189999999999998</v>
      </c>
      <c r="G8298" s="49">
        <f>IF(ISNUMBER(F8298),E8298*F8298,"")</f>
        <v>8.0789899999999992</v>
      </c>
      <c r="H8298" s="65"/>
      <c r="I8298" s="66"/>
      <c r="J8298" s="125">
        <v>0</v>
      </c>
    </row>
    <row r="8299" spans="1:10" s="144" customFormat="1" ht="15.75" hidden="1" thickBot="1" x14ac:dyDescent="0.3">
      <c r="A8299" s="250"/>
      <c r="B8299" s="239"/>
      <c r="C8299" s="164"/>
      <c r="D8299" s="164"/>
      <c r="E8299" s="165"/>
      <c r="F8299" s="68" t="s">
        <v>418</v>
      </c>
      <c r="G8299" s="68" t="str">
        <f>IF(ISNUMBER(F8299),E8299*F8299,"")</f>
        <v/>
      </c>
      <c r="H8299" s="69"/>
      <c r="I8299" s="66"/>
      <c r="J8299" s="125">
        <v>0</v>
      </c>
    </row>
    <row r="8300" spans="1:10" s="144" customFormat="1" ht="15.75" hidden="1" thickBot="1" x14ac:dyDescent="0.3">
      <c r="A8300" s="234" t="s">
        <v>18802</v>
      </c>
      <c r="B8300" s="237" t="s">
        <v>19998</v>
      </c>
      <c r="C8300" s="160"/>
      <c r="D8300" s="145" t="s">
        <v>70</v>
      </c>
      <c r="E8300" s="146"/>
      <c r="F8300" s="44" t="s">
        <v>418</v>
      </c>
      <c r="G8300" s="147" t="str">
        <f>IF(ISNUMBER(F8300),E8300*F8300,"")</f>
        <v/>
      </c>
      <c r="H8300" s="148"/>
      <c r="I8300" s="149"/>
      <c r="J8300" s="125">
        <v>0</v>
      </c>
    </row>
    <row r="8301" spans="1:10" s="144" customFormat="1" ht="15.75" hidden="1" thickBot="1" x14ac:dyDescent="0.3">
      <c r="A8301" s="249"/>
      <c r="B8301" s="238"/>
      <c r="C8301" s="151"/>
      <c r="D8301" s="151"/>
      <c r="E8301" s="152"/>
      <c r="F8301" s="49" t="s">
        <v>418</v>
      </c>
      <c r="G8301" s="49" t="str">
        <f>IF(ISNUMBER(F8301),E8301*F8301,"")</f>
        <v/>
      </c>
      <c r="H8301" s="65"/>
      <c r="I8301" s="66"/>
      <c r="J8301" s="125">
        <v>0</v>
      </c>
    </row>
    <row r="8302" spans="1:10" s="144" customFormat="1" ht="26.25" hidden="1" thickBot="1" x14ac:dyDescent="0.3">
      <c r="A8302" s="249"/>
      <c r="B8302" s="238"/>
      <c r="C8302" s="155" t="s">
        <v>23673</v>
      </c>
      <c r="D8302" s="155" t="s">
        <v>85</v>
      </c>
      <c r="E8302" s="156">
        <v>4.0000000000000001E-3</v>
      </c>
      <c r="F8302" s="49">
        <v>66.5</v>
      </c>
      <c r="G8302" s="49">
        <f>IF(ISNUMBER(F8302),E8302*F8302,"")</f>
        <v>0.26600000000000001</v>
      </c>
      <c r="H8302" s="35">
        <f>SUM(G8302:G8306)</f>
        <v>80.533627999999993</v>
      </c>
      <c r="I8302" s="36"/>
      <c r="J8302" s="125">
        <v>0</v>
      </c>
    </row>
    <row r="8303" spans="1:10" s="144" customFormat="1" ht="26.25" hidden="1" thickBot="1" x14ac:dyDescent="0.3">
      <c r="A8303" s="249"/>
      <c r="B8303" s="238"/>
      <c r="C8303" s="155" t="s">
        <v>1154</v>
      </c>
      <c r="D8303" s="155" t="s">
        <v>85</v>
      </c>
      <c r="E8303" s="156">
        <v>8.5999999999999993E-2</v>
      </c>
      <c r="F8303" s="49">
        <v>67.364499999999992</v>
      </c>
      <c r="G8303" s="49">
        <f>IF(ISNUMBER(F8303),E8303*F8303,"")</f>
        <v>5.7933469999999989</v>
      </c>
      <c r="H8303" s="65"/>
      <c r="I8303" s="66"/>
      <c r="J8303" s="125">
        <v>0</v>
      </c>
    </row>
    <row r="8304" spans="1:10" s="144" customFormat="1" ht="15.75" hidden="1" thickBot="1" x14ac:dyDescent="0.3">
      <c r="A8304" s="249"/>
      <c r="B8304" s="238"/>
      <c r="C8304" s="155" t="s">
        <v>24537</v>
      </c>
      <c r="D8304" s="155" t="s">
        <v>774</v>
      </c>
      <c r="E8304" s="156">
        <v>37.07</v>
      </c>
      <c r="F8304" s="49">
        <v>1.254</v>
      </c>
      <c r="G8304" s="49">
        <f>IF(ISNUMBER(F8304),E8304*F8304,"")</f>
        <v>46.485779999999998</v>
      </c>
      <c r="H8304" s="65"/>
      <c r="I8304" s="66"/>
      <c r="J8304" s="125">
        <v>0</v>
      </c>
    </row>
    <row r="8305" spans="1:10" s="144" customFormat="1" ht="15.75" hidden="1" thickBot="1" x14ac:dyDescent="0.3">
      <c r="A8305" s="249"/>
      <c r="B8305" s="238"/>
      <c r="C8305" s="155" t="s">
        <v>1138</v>
      </c>
      <c r="D8305" s="155" t="s">
        <v>587</v>
      </c>
      <c r="E8305" s="156">
        <v>0.84199999999999997</v>
      </c>
      <c r="F8305" s="49">
        <v>23.645499999999998</v>
      </c>
      <c r="G8305" s="49">
        <f>IF(ISNUMBER(F8305),E8305*F8305,"")</f>
        <v>19.909510999999998</v>
      </c>
      <c r="H8305" s="65"/>
      <c r="I8305" s="66"/>
      <c r="J8305" s="125">
        <v>0</v>
      </c>
    </row>
    <row r="8306" spans="1:10" s="144" customFormat="1" ht="15.75" hidden="1" thickBot="1" x14ac:dyDescent="0.3">
      <c r="A8306" s="249"/>
      <c r="B8306" s="238"/>
      <c r="C8306" s="155" t="s">
        <v>588</v>
      </c>
      <c r="D8306" s="155" t="s">
        <v>587</v>
      </c>
      <c r="E8306" s="156">
        <v>0.42099999999999999</v>
      </c>
      <c r="F8306" s="49">
        <v>19.189999999999998</v>
      </c>
      <c r="G8306" s="49">
        <f>IF(ISNUMBER(F8306),E8306*F8306,"")</f>
        <v>8.0789899999999992</v>
      </c>
      <c r="H8306" s="65"/>
      <c r="I8306" s="66"/>
      <c r="J8306" s="125">
        <v>0</v>
      </c>
    </row>
    <row r="8307" spans="1:10" s="144" customFormat="1" ht="15.75" hidden="1" thickBot="1" x14ac:dyDescent="0.3">
      <c r="A8307" s="250"/>
      <c r="B8307" s="239"/>
      <c r="C8307" s="164"/>
      <c r="D8307" s="164"/>
      <c r="E8307" s="165"/>
      <c r="F8307" s="68" t="s">
        <v>418</v>
      </c>
      <c r="G8307" s="68" t="str">
        <f>IF(ISNUMBER(F8307),E8307*F8307,"")</f>
        <v/>
      </c>
      <c r="H8307" s="69"/>
      <c r="I8307" s="66"/>
      <c r="J8307" s="125">
        <v>0</v>
      </c>
    </row>
    <row r="8308" spans="1:10" s="144" customFormat="1" ht="15.75" hidden="1" thickBot="1" x14ac:dyDescent="0.3">
      <c r="A8308" s="241" t="s">
        <v>18803</v>
      </c>
      <c r="B8308" s="244" t="s">
        <v>19999</v>
      </c>
      <c r="C8308" s="160"/>
      <c r="D8308" s="145" t="s">
        <v>70</v>
      </c>
      <c r="E8308" s="146"/>
      <c r="F8308" s="37" t="s">
        <v>418</v>
      </c>
      <c r="G8308" s="147" t="str">
        <f>IF(ISNUMBER(F8308),E8308*F8308,"")</f>
        <v/>
      </c>
      <c r="H8308" s="148"/>
      <c r="I8308" s="149"/>
      <c r="J8308" s="125">
        <v>0</v>
      </c>
    </row>
    <row r="8309" spans="1:10" s="144" customFormat="1" ht="15.75" hidden="1" thickBot="1" x14ac:dyDescent="0.3">
      <c r="A8309" s="247"/>
      <c r="B8309" s="245"/>
      <c r="C8309" s="151"/>
      <c r="D8309" s="151"/>
      <c r="E8309" s="152"/>
      <c r="F8309" s="38" t="s">
        <v>418</v>
      </c>
      <c r="G8309" s="31" t="str">
        <f>IF(ISNUMBER(F8309),E8309*F8309,"")</f>
        <v/>
      </c>
      <c r="H8309" s="32"/>
      <c r="I8309" s="28"/>
      <c r="J8309" s="125">
        <v>0</v>
      </c>
    </row>
    <row r="8310" spans="1:10" s="144" customFormat="1" ht="15.75" hidden="1" thickBot="1" x14ac:dyDescent="0.3">
      <c r="A8310" s="247"/>
      <c r="B8310" s="245"/>
      <c r="C8310" s="155" t="s">
        <v>28423</v>
      </c>
      <c r="D8310" s="155" t="s">
        <v>870</v>
      </c>
      <c r="E8310" s="156">
        <v>0.40500000000000003</v>
      </c>
      <c r="F8310" s="28">
        <v>4.7404999999999999</v>
      </c>
      <c r="G8310" s="31">
        <f>IF(ISNUMBER(F8310),E8310*F8310,"")</f>
        <v>1.9199025000000001</v>
      </c>
      <c r="H8310" s="35">
        <f>SUM(G8310:G8312)</f>
        <v>3.5039325000000003</v>
      </c>
      <c r="I8310" s="36"/>
      <c r="J8310" s="125">
        <v>0</v>
      </c>
    </row>
    <row r="8311" spans="1:10" s="144" customFormat="1" ht="15.75" hidden="1" thickBot="1" x14ac:dyDescent="0.3">
      <c r="A8311" s="247"/>
      <c r="B8311" s="245"/>
      <c r="C8311" s="155" t="s">
        <v>1251</v>
      </c>
      <c r="D8311" s="155" t="s">
        <v>587</v>
      </c>
      <c r="E8311" s="156">
        <v>1.2E-2</v>
      </c>
      <c r="F8311" s="28">
        <v>19.731499999999997</v>
      </c>
      <c r="G8311" s="31">
        <f>IF(ISNUMBER(F8311),E8311*F8311,"")</f>
        <v>0.23677799999999996</v>
      </c>
      <c r="H8311" s="32"/>
      <c r="I8311" s="36"/>
      <c r="J8311" s="125">
        <v>0</v>
      </c>
    </row>
    <row r="8312" spans="1:10" s="144" customFormat="1" ht="15.75" hidden="1" thickBot="1" x14ac:dyDescent="0.3">
      <c r="A8312" s="247"/>
      <c r="B8312" s="245"/>
      <c r="C8312" s="155" t="s">
        <v>889</v>
      </c>
      <c r="D8312" s="155" t="s">
        <v>587</v>
      </c>
      <c r="E8312" s="156">
        <v>5.7000000000000002E-2</v>
      </c>
      <c r="F8312" s="28">
        <v>23.635999999999999</v>
      </c>
      <c r="G8312" s="31">
        <f>IF(ISNUMBER(F8312),E8312*F8312,"")</f>
        <v>1.3472519999999999</v>
      </c>
      <c r="H8312" s="32"/>
      <c r="I8312" s="36"/>
      <c r="J8312" s="125">
        <v>0</v>
      </c>
    </row>
    <row r="8313" spans="1:10" s="144" customFormat="1" ht="15.75" hidden="1" thickBot="1" x14ac:dyDescent="0.3">
      <c r="A8313" s="248"/>
      <c r="B8313" s="246"/>
      <c r="C8313" s="164"/>
      <c r="D8313" s="164"/>
      <c r="E8313" s="165"/>
      <c r="F8313" s="62" t="s">
        <v>418</v>
      </c>
      <c r="G8313" s="63" t="str">
        <f>IF(ISNUMBER(F8313),E8313*F8313,"")</f>
        <v/>
      </c>
      <c r="H8313" s="64"/>
      <c r="I8313" s="28"/>
      <c r="J8313" s="125">
        <v>0</v>
      </c>
    </row>
    <row r="8314" spans="1:10" s="144" customFormat="1" ht="15.75" hidden="1" thickBot="1" x14ac:dyDescent="0.3">
      <c r="A8314" s="241" t="s">
        <v>18804</v>
      </c>
      <c r="B8314" s="244" t="s">
        <v>20000</v>
      </c>
      <c r="C8314" s="160"/>
      <c r="D8314" s="145" t="s">
        <v>69</v>
      </c>
      <c r="E8314" s="146"/>
      <c r="F8314" s="37" t="s">
        <v>418</v>
      </c>
      <c r="G8314" s="147" t="str">
        <f>IF(ISNUMBER(F8314),E8314*F8314,"")</f>
        <v/>
      </c>
      <c r="H8314" s="148"/>
      <c r="I8314" s="149"/>
      <c r="J8314" s="125">
        <v>0</v>
      </c>
    </row>
    <row r="8315" spans="1:10" s="144" customFormat="1" ht="15.75" hidden="1" thickBot="1" x14ac:dyDescent="0.3">
      <c r="A8315" s="247"/>
      <c r="B8315" s="245"/>
      <c r="C8315" s="151"/>
      <c r="D8315" s="151"/>
      <c r="E8315" s="152"/>
      <c r="F8315" s="38" t="s">
        <v>418</v>
      </c>
      <c r="G8315" s="31" t="str">
        <f>IF(ISNUMBER(F8315),E8315*F8315,"")</f>
        <v/>
      </c>
      <c r="H8315" s="32"/>
      <c r="I8315" s="28"/>
      <c r="J8315" s="125">
        <v>0</v>
      </c>
    </row>
    <row r="8316" spans="1:10" s="144" customFormat="1" ht="15.75" hidden="1" thickBot="1" x14ac:dyDescent="0.3">
      <c r="A8316" s="247"/>
      <c r="B8316" s="245"/>
      <c r="C8316" s="155" t="s">
        <v>1087</v>
      </c>
      <c r="D8316" s="155" t="s">
        <v>587</v>
      </c>
      <c r="E8316" s="156">
        <v>0.6</v>
      </c>
      <c r="F8316" s="28">
        <v>25.516999999999999</v>
      </c>
      <c r="G8316" s="31">
        <f>IF(ISNUMBER(F8316),E8316*F8316,"")</f>
        <v>15.310199999999998</v>
      </c>
      <c r="H8316" s="35">
        <f>SUM(G8316:G8318)</f>
        <v>23.936199999999996</v>
      </c>
      <c r="I8316" s="36"/>
      <c r="J8316" s="125">
        <v>0</v>
      </c>
    </row>
    <row r="8317" spans="1:10" s="144" customFormat="1" ht="15.75" hidden="1" thickBot="1" x14ac:dyDescent="0.3">
      <c r="A8317" s="247"/>
      <c r="B8317" s="245"/>
      <c r="C8317" s="155" t="s">
        <v>588</v>
      </c>
      <c r="D8317" s="155" t="s">
        <v>587</v>
      </c>
      <c r="E8317" s="156">
        <v>0.4</v>
      </c>
      <c r="F8317" s="28">
        <v>19.189999999999998</v>
      </c>
      <c r="G8317" s="31">
        <f>IF(ISNUMBER(F8317),E8317*F8317,"")</f>
        <v>7.6759999999999993</v>
      </c>
      <c r="H8317" s="32"/>
      <c r="I8317" s="36"/>
      <c r="J8317" s="125">
        <v>0</v>
      </c>
    </row>
    <row r="8318" spans="1:10" s="144" customFormat="1" ht="26.25" hidden="1" thickBot="1" x14ac:dyDescent="0.3">
      <c r="A8318" s="247"/>
      <c r="B8318" s="245"/>
      <c r="C8318" s="155" t="s">
        <v>20003</v>
      </c>
      <c r="D8318" s="155" t="s">
        <v>69</v>
      </c>
      <c r="E8318" s="156">
        <v>1</v>
      </c>
      <c r="F8318" s="28">
        <v>0.95</v>
      </c>
      <c r="G8318" s="31">
        <f>IF(ISNUMBER(F8318),E8318*F8318,"")</f>
        <v>0.95</v>
      </c>
      <c r="H8318" s="32"/>
      <c r="I8318" s="36"/>
      <c r="J8318" s="125">
        <v>0</v>
      </c>
    </row>
    <row r="8319" spans="1:10" s="144" customFormat="1" ht="15.75" hidden="1" thickBot="1" x14ac:dyDescent="0.3">
      <c r="A8319" s="248"/>
      <c r="B8319" s="246"/>
      <c r="C8319" s="164"/>
      <c r="D8319" s="164"/>
      <c r="E8319" s="165"/>
      <c r="F8319" s="62" t="s">
        <v>418</v>
      </c>
      <c r="G8319" s="63" t="str">
        <f>IF(ISNUMBER(F8319),E8319*F8319,"")</f>
        <v/>
      </c>
      <c r="H8319" s="64"/>
      <c r="I8319" s="28"/>
      <c r="J8319" s="125">
        <v>0</v>
      </c>
    </row>
    <row r="8320" spans="1:10" s="144" customFormat="1" ht="15.75" hidden="1" thickBot="1" x14ac:dyDescent="0.3">
      <c r="A8320" s="234" t="s">
        <v>18805</v>
      </c>
      <c r="B8320" s="237" t="s">
        <v>20001</v>
      </c>
      <c r="C8320" s="160"/>
      <c r="D8320" s="145" t="s">
        <v>70</v>
      </c>
      <c r="E8320" s="146"/>
      <c r="F8320" s="44" t="s">
        <v>418</v>
      </c>
      <c r="G8320" s="147" t="str">
        <f>IF(ISNUMBER(F8320),E8320*F8320,"")</f>
        <v/>
      </c>
      <c r="H8320" s="148"/>
      <c r="I8320" s="149"/>
      <c r="J8320" s="125">
        <v>0</v>
      </c>
    </row>
    <row r="8321" spans="1:10" s="144" customFormat="1" ht="15.75" hidden="1" thickBot="1" x14ac:dyDescent="0.3">
      <c r="A8321" s="249"/>
      <c r="B8321" s="238"/>
      <c r="C8321" s="151"/>
      <c r="D8321" s="151"/>
      <c r="E8321" s="152"/>
      <c r="F8321" s="49" t="s">
        <v>418</v>
      </c>
      <c r="G8321" s="49" t="str">
        <f>IF(ISNUMBER(F8321),E8321*F8321,"")</f>
        <v/>
      </c>
      <c r="H8321" s="65"/>
      <c r="I8321" s="66"/>
      <c r="J8321" s="125">
        <v>0</v>
      </c>
    </row>
    <row r="8322" spans="1:10" s="144" customFormat="1" ht="26.25" hidden="1" thickBot="1" x14ac:dyDescent="0.3">
      <c r="A8322" s="249"/>
      <c r="B8322" s="238"/>
      <c r="C8322" s="155" t="s">
        <v>9788</v>
      </c>
      <c r="D8322" s="155" t="s">
        <v>587</v>
      </c>
      <c r="E8322" s="156">
        <v>1.972</v>
      </c>
      <c r="F8322" s="49">
        <v>23.56</v>
      </c>
      <c r="G8322" s="49">
        <f>IF(ISNUMBER(F8322),E8322*F8322,"")</f>
        <v>46.460319999999996</v>
      </c>
      <c r="H8322" s="35">
        <f>SUM(G8322:G8325)</f>
        <v>65.765649999999994</v>
      </c>
      <c r="I8322" s="36"/>
      <c r="J8322" s="125">
        <v>0</v>
      </c>
    </row>
    <row r="8323" spans="1:10" s="144" customFormat="1" ht="15.75" hidden="1" thickBot="1" x14ac:dyDescent="0.3">
      <c r="A8323" s="249"/>
      <c r="B8323" s="238"/>
      <c r="C8323" s="155" t="s">
        <v>588</v>
      </c>
      <c r="D8323" s="155" t="s">
        <v>587</v>
      </c>
      <c r="E8323" s="156">
        <v>0.90700000000000003</v>
      </c>
      <c r="F8323" s="49">
        <v>19.189999999999998</v>
      </c>
      <c r="G8323" s="49">
        <f>IF(ISNUMBER(F8323),E8323*F8323,"")</f>
        <v>17.405329999999999</v>
      </c>
      <c r="H8323" s="65"/>
      <c r="I8323" s="66"/>
      <c r="J8323" s="125">
        <v>0</v>
      </c>
    </row>
    <row r="8324" spans="1:10" s="144" customFormat="1" ht="15.75" hidden="1" thickBot="1" x14ac:dyDescent="0.3">
      <c r="A8324" s="249"/>
      <c r="B8324" s="238"/>
      <c r="C8324" s="155" t="s">
        <v>20971</v>
      </c>
      <c r="D8324" s="155" t="s">
        <v>870</v>
      </c>
      <c r="E8324" s="156">
        <v>1</v>
      </c>
      <c r="F8324" s="49">
        <v>0.95</v>
      </c>
      <c r="G8324" s="49">
        <f>IF(ISNUMBER(F8324),E8324*F8324,"")</f>
        <v>0.95</v>
      </c>
      <c r="H8324" s="65"/>
      <c r="I8324" s="66"/>
      <c r="J8324" s="125">
        <v>0</v>
      </c>
    </row>
    <row r="8325" spans="1:10" s="144" customFormat="1" ht="15.75" hidden="1" thickBot="1" x14ac:dyDescent="0.3">
      <c r="A8325" s="249"/>
      <c r="B8325" s="238"/>
      <c r="C8325" s="155" t="s">
        <v>20972</v>
      </c>
      <c r="D8325" s="155" t="s">
        <v>870</v>
      </c>
      <c r="E8325" s="156">
        <v>1</v>
      </c>
      <c r="F8325" s="49">
        <v>0.95</v>
      </c>
      <c r="G8325" s="49">
        <f>IF(ISNUMBER(F8325),E8325*F8325,"")</f>
        <v>0.95</v>
      </c>
      <c r="H8325" s="65"/>
      <c r="I8325" s="66"/>
      <c r="J8325" s="125">
        <v>0</v>
      </c>
    </row>
    <row r="8326" spans="1:10" s="144" customFormat="1" ht="15.75" hidden="1" thickBot="1" x14ac:dyDescent="0.3">
      <c r="A8326" s="250"/>
      <c r="B8326" s="239"/>
      <c r="C8326" s="164"/>
      <c r="D8326" s="164"/>
      <c r="E8326" s="165"/>
      <c r="F8326" s="68" t="s">
        <v>418</v>
      </c>
      <c r="G8326" s="68" t="str">
        <f>IF(ISNUMBER(F8326),E8326*F8326,"")</f>
        <v/>
      </c>
      <c r="H8326" s="69"/>
      <c r="I8326" s="66"/>
      <c r="J8326" s="125">
        <v>0</v>
      </c>
    </row>
    <row r="8327" spans="1:10" s="144" customFormat="1" ht="15.75" hidden="1" thickBot="1" x14ac:dyDescent="0.3">
      <c r="A8327" s="234" t="s">
        <v>18806</v>
      </c>
      <c r="B8327" s="237" t="s">
        <v>20006</v>
      </c>
      <c r="C8327" s="160"/>
      <c r="D8327" s="145" t="s">
        <v>70</v>
      </c>
      <c r="E8327" s="146"/>
      <c r="F8327" s="44" t="s">
        <v>418</v>
      </c>
      <c r="G8327" s="147" t="str">
        <f>IF(ISNUMBER(F8327),E8327*F8327,"")</f>
        <v/>
      </c>
      <c r="H8327" s="148"/>
      <c r="I8327" s="149"/>
      <c r="J8327" s="125">
        <v>0</v>
      </c>
    </row>
    <row r="8328" spans="1:10" s="144" customFormat="1" ht="15.75" hidden="1" thickBot="1" x14ac:dyDescent="0.3">
      <c r="A8328" s="249"/>
      <c r="B8328" s="238"/>
      <c r="C8328" s="151"/>
      <c r="D8328" s="151"/>
      <c r="E8328" s="152"/>
      <c r="F8328" s="49" t="s">
        <v>418</v>
      </c>
      <c r="G8328" s="49" t="str">
        <f>IF(ISNUMBER(F8328),E8328*F8328,"")</f>
        <v/>
      </c>
      <c r="H8328" s="65"/>
      <c r="I8328" s="66"/>
      <c r="J8328" s="125">
        <v>0</v>
      </c>
    </row>
    <row r="8329" spans="1:10" s="144" customFormat="1" ht="39" hidden="1" thickBot="1" x14ac:dyDescent="0.3">
      <c r="A8329" s="249"/>
      <c r="B8329" s="238"/>
      <c r="C8329" s="155" t="s">
        <v>31631</v>
      </c>
      <c r="D8329" s="155" t="s">
        <v>385</v>
      </c>
      <c r="E8329" s="156">
        <v>0.1467</v>
      </c>
      <c r="F8329" s="49">
        <v>28.233999999999998</v>
      </c>
      <c r="G8329" s="49">
        <f>IF(ISNUMBER(F8329),E8329*F8329,"")</f>
        <v>4.1419277999999995</v>
      </c>
      <c r="H8329" s="35">
        <f>SUM(G8329:G8334)</f>
        <v>39.385048699999999</v>
      </c>
      <c r="I8329" s="36"/>
      <c r="J8329" s="125">
        <v>0</v>
      </c>
    </row>
    <row r="8330" spans="1:10" s="144" customFormat="1" ht="15.75" hidden="1" thickBot="1" x14ac:dyDescent="0.3">
      <c r="A8330" s="249"/>
      <c r="B8330" s="238"/>
      <c r="C8330" s="155" t="s">
        <v>27106</v>
      </c>
      <c r="D8330" s="155" t="s">
        <v>774</v>
      </c>
      <c r="E8330" s="156">
        <v>2.58E-2</v>
      </c>
      <c r="F8330" s="49">
        <v>19.95</v>
      </c>
      <c r="G8330" s="49">
        <f>IF(ISNUMBER(F8330),E8330*F8330,"")</f>
        <v>0.51471</v>
      </c>
      <c r="H8330" s="65"/>
      <c r="I8330" s="66"/>
      <c r="J8330" s="125">
        <v>0</v>
      </c>
    </row>
    <row r="8331" spans="1:10" s="144" customFormat="1" ht="39" hidden="1" thickBot="1" x14ac:dyDescent="0.3">
      <c r="A8331" s="249"/>
      <c r="B8331" s="238"/>
      <c r="C8331" s="155" t="s">
        <v>31185</v>
      </c>
      <c r="D8331" s="155" t="s">
        <v>385</v>
      </c>
      <c r="E8331" s="156">
        <v>0.42780000000000001</v>
      </c>
      <c r="F8331" s="49">
        <v>22.04</v>
      </c>
      <c r="G8331" s="49">
        <f>IF(ISNUMBER(F8331),E8331*F8331,"")</f>
        <v>9.4287119999999991</v>
      </c>
      <c r="H8331" s="65"/>
      <c r="I8331" s="66"/>
      <c r="J8331" s="125">
        <v>0</v>
      </c>
    </row>
    <row r="8332" spans="1:10" s="144" customFormat="1" ht="26.25" hidden="1" thickBot="1" x14ac:dyDescent="0.3">
      <c r="A8332" s="249"/>
      <c r="B8332" s="238"/>
      <c r="C8332" s="155" t="s">
        <v>26579</v>
      </c>
      <c r="D8332" s="155" t="s">
        <v>385</v>
      </c>
      <c r="E8332" s="156">
        <v>0.1086</v>
      </c>
      <c r="F8332" s="49">
        <v>8.2649999999999988</v>
      </c>
      <c r="G8332" s="49">
        <f>IF(ISNUMBER(F8332),E8332*F8332,"")</f>
        <v>0.8975789999999999</v>
      </c>
      <c r="H8332" s="65"/>
      <c r="I8332" s="66"/>
      <c r="J8332" s="125">
        <v>0</v>
      </c>
    </row>
    <row r="8333" spans="1:10" s="144" customFormat="1" ht="15.75" hidden="1" thickBot="1" x14ac:dyDescent="0.3">
      <c r="A8333" s="249"/>
      <c r="B8333" s="238"/>
      <c r="C8333" s="155" t="s">
        <v>871</v>
      </c>
      <c r="D8333" s="155" t="s">
        <v>587</v>
      </c>
      <c r="E8333" s="156">
        <v>0.72809999999999997</v>
      </c>
      <c r="F8333" s="49">
        <v>25.289000000000001</v>
      </c>
      <c r="G8333" s="49">
        <f>IF(ISNUMBER(F8333),E8333*F8333,"")</f>
        <v>18.4129209</v>
      </c>
      <c r="H8333" s="65"/>
      <c r="I8333" s="66"/>
      <c r="J8333" s="125">
        <v>0</v>
      </c>
    </row>
    <row r="8334" spans="1:10" s="144" customFormat="1" ht="15.75" hidden="1" thickBot="1" x14ac:dyDescent="0.3">
      <c r="A8334" s="249"/>
      <c r="B8334" s="238"/>
      <c r="C8334" s="155" t="s">
        <v>588</v>
      </c>
      <c r="D8334" s="155" t="s">
        <v>587</v>
      </c>
      <c r="E8334" s="156">
        <v>0.31209999999999999</v>
      </c>
      <c r="F8334" s="49">
        <v>19.189999999999998</v>
      </c>
      <c r="G8334" s="49">
        <f>IF(ISNUMBER(F8334),E8334*F8334,"")</f>
        <v>5.9891989999999993</v>
      </c>
      <c r="H8334" s="65"/>
      <c r="I8334" s="66"/>
      <c r="J8334" s="125">
        <v>0</v>
      </c>
    </row>
    <row r="8335" spans="1:10" s="144" customFormat="1" ht="15.75" hidden="1" thickBot="1" x14ac:dyDescent="0.3">
      <c r="A8335" s="250"/>
      <c r="B8335" s="239"/>
      <c r="C8335" s="164"/>
      <c r="D8335" s="164"/>
      <c r="E8335" s="165"/>
      <c r="F8335" s="68" t="s">
        <v>418</v>
      </c>
      <c r="G8335" s="68" t="str">
        <f>IF(ISNUMBER(F8335),E8335*F8335,"")</f>
        <v/>
      </c>
      <c r="H8335" s="69"/>
      <c r="I8335" s="66"/>
      <c r="J8335" s="125">
        <v>0</v>
      </c>
    </row>
    <row r="8336" spans="1:10" s="144" customFormat="1" ht="15.75" hidden="1" thickBot="1" x14ac:dyDescent="0.3">
      <c r="A8336" s="234" t="s">
        <v>18807</v>
      </c>
      <c r="B8336" s="237" t="s">
        <v>21389</v>
      </c>
      <c r="C8336" s="160"/>
      <c r="D8336" s="145" t="s">
        <v>16</v>
      </c>
      <c r="E8336" s="146"/>
      <c r="F8336" s="37" t="s">
        <v>418</v>
      </c>
      <c r="G8336" s="147" t="str">
        <f>IF(ISNUMBER(F8336),E8336*F8336,"")</f>
        <v/>
      </c>
      <c r="H8336" s="148"/>
      <c r="I8336" s="149"/>
      <c r="J8336" s="125">
        <v>0</v>
      </c>
    </row>
    <row r="8337" spans="1:10" s="144" customFormat="1" ht="15.75" hidden="1" thickBot="1" x14ac:dyDescent="0.3">
      <c r="A8337" s="235"/>
      <c r="B8337" s="238"/>
      <c r="C8337" s="151"/>
      <c r="D8337" s="151"/>
      <c r="E8337" s="152"/>
      <c r="F8337" s="38" t="s">
        <v>418</v>
      </c>
      <c r="G8337" s="28" t="str">
        <f>IF(ISNUMBER(F8337),E8337*F8337,"")</f>
        <v/>
      </c>
      <c r="H8337" s="32"/>
      <c r="I8337" s="28"/>
      <c r="J8337" s="125">
        <v>0</v>
      </c>
    </row>
    <row r="8338" spans="1:10" s="144" customFormat="1" ht="39" hidden="1" thickBot="1" x14ac:dyDescent="0.3">
      <c r="A8338" s="235"/>
      <c r="B8338" s="238"/>
      <c r="C8338" s="155" t="s">
        <v>21391</v>
      </c>
      <c r="D8338" s="155" t="s">
        <v>97</v>
      </c>
      <c r="E8338" s="156">
        <v>1</v>
      </c>
      <c r="F8338" s="31" t="s">
        <v>418</v>
      </c>
      <c r="G8338" s="28" t="str">
        <f>IF(ISNUMBER(F8338),E8338*F8338,"")</f>
        <v/>
      </c>
      <c r="H8338" s="35">
        <f>SUM(G8338:G8344)</f>
        <v>12.105595400000002</v>
      </c>
      <c r="I8338" s="36"/>
      <c r="J8338" s="125">
        <v>0</v>
      </c>
    </row>
    <row r="8339" spans="1:10" s="144" customFormat="1" ht="39" hidden="1" thickBot="1" x14ac:dyDescent="0.3">
      <c r="A8339" s="235"/>
      <c r="B8339" s="238"/>
      <c r="C8339" s="155" t="s">
        <v>21394</v>
      </c>
      <c r="D8339" s="155" t="s">
        <v>97</v>
      </c>
      <c r="E8339" s="156">
        <v>2</v>
      </c>
      <c r="F8339" s="31" t="s">
        <v>418</v>
      </c>
      <c r="G8339" s="28" t="str">
        <f>IF(ISNUMBER(F8339),E8339*F8339,"")</f>
        <v/>
      </c>
      <c r="H8339" s="40"/>
      <c r="I8339" s="41"/>
      <c r="J8339" s="125">
        <v>0</v>
      </c>
    </row>
    <row r="8340" spans="1:10" s="144" customFormat="1" ht="26.25" hidden="1" thickBot="1" x14ac:dyDescent="0.3">
      <c r="A8340" s="235"/>
      <c r="B8340" s="238"/>
      <c r="C8340" s="155" t="s">
        <v>21392</v>
      </c>
      <c r="D8340" s="155" t="s">
        <v>69</v>
      </c>
      <c r="E8340" s="156">
        <v>1.5</v>
      </c>
      <c r="F8340" s="31" t="s">
        <v>418</v>
      </c>
      <c r="G8340" s="28" t="str">
        <f>IF(ISNUMBER(F8340),E8340*F8340,"")</f>
        <v/>
      </c>
      <c r="H8340" s="32"/>
      <c r="I8340" s="28"/>
      <c r="J8340" s="125">
        <v>0</v>
      </c>
    </row>
    <row r="8341" spans="1:10" s="144" customFormat="1" ht="15.75" hidden="1" thickBot="1" x14ac:dyDescent="0.3">
      <c r="A8341" s="235"/>
      <c r="B8341" s="238"/>
      <c r="C8341" s="155" t="s">
        <v>436</v>
      </c>
      <c r="D8341" s="155" t="s">
        <v>97</v>
      </c>
      <c r="E8341" s="156">
        <v>1</v>
      </c>
      <c r="F8341" s="31" t="s">
        <v>418</v>
      </c>
      <c r="G8341" s="28" t="str">
        <f>IF(ISNUMBER(F8341),E8341*F8341,"")</f>
        <v/>
      </c>
      <c r="H8341" s="32"/>
      <c r="I8341" s="28"/>
      <c r="J8341" s="125">
        <v>0</v>
      </c>
    </row>
    <row r="8342" spans="1:10" s="144" customFormat="1" ht="15.75" hidden="1" thickBot="1" x14ac:dyDescent="0.3">
      <c r="A8342" s="235"/>
      <c r="B8342" s="238"/>
      <c r="C8342" s="155" t="s">
        <v>437</v>
      </c>
      <c r="D8342" s="155" t="s">
        <v>97</v>
      </c>
      <c r="E8342" s="156">
        <v>1</v>
      </c>
      <c r="F8342" s="31" t="s">
        <v>418</v>
      </c>
      <c r="G8342" s="28" t="str">
        <f>IF(ISNUMBER(F8342),E8342*F8342,"")</f>
        <v/>
      </c>
      <c r="H8342" s="32"/>
      <c r="I8342" s="28"/>
      <c r="J8342" s="125">
        <v>0</v>
      </c>
    </row>
    <row r="8343" spans="1:10" s="144" customFormat="1" ht="15.75" hidden="1" thickBot="1" x14ac:dyDescent="0.3">
      <c r="A8343" s="235"/>
      <c r="B8343" s="238"/>
      <c r="C8343" s="155" t="s">
        <v>1022</v>
      </c>
      <c r="D8343" s="155" t="s">
        <v>587</v>
      </c>
      <c r="E8343" s="156">
        <v>0.14799999999999999</v>
      </c>
      <c r="F8343" s="28">
        <v>19.522500000000001</v>
      </c>
      <c r="G8343" s="31">
        <f>IF(ISNUMBER(F8343),E8343*F8343,"")</f>
        <v>2.8893300000000002</v>
      </c>
      <c r="H8343" s="32"/>
      <c r="I8343" s="28"/>
      <c r="J8343" s="125">
        <v>0</v>
      </c>
    </row>
    <row r="8344" spans="1:10" s="144" customFormat="1" ht="15.75" hidden="1" thickBot="1" x14ac:dyDescent="0.3">
      <c r="A8344" s="235"/>
      <c r="B8344" s="238"/>
      <c r="C8344" s="155" t="s">
        <v>1023</v>
      </c>
      <c r="D8344" s="155" t="s">
        <v>587</v>
      </c>
      <c r="E8344" s="156">
        <v>0.35510000000000003</v>
      </c>
      <c r="F8344" s="28">
        <v>25.954000000000001</v>
      </c>
      <c r="G8344" s="28">
        <f>IF(ISNUMBER(F8344),E8344*F8344,"")</f>
        <v>9.2162654000000011</v>
      </c>
      <c r="H8344" s="32"/>
      <c r="I8344" s="28"/>
      <c r="J8344" s="125">
        <v>0</v>
      </c>
    </row>
    <row r="8345" spans="1:10" s="144" customFormat="1" ht="15.75" hidden="1" thickBot="1" x14ac:dyDescent="0.3">
      <c r="A8345" s="236"/>
      <c r="B8345" s="239"/>
      <c r="C8345" s="155"/>
      <c r="D8345" s="155"/>
      <c r="E8345" s="156"/>
      <c r="F8345" s="28" t="s">
        <v>418</v>
      </c>
      <c r="G8345" s="28" t="str">
        <f>IF(ISNUMBER(F8345),E8345*F8345,"")</f>
        <v/>
      </c>
      <c r="H8345" s="32"/>
      <c r="I8345" s="28"/>
      <c r="J8345" s="125">
        <v>0</v>
      </c>
    </row>
    <row r="8346" spans="1:10" s="144" customFormat="1" ht="15.75" hidden="1" thickBot="1" x14ac:dyDescent="0.3">
      <c r="A8346" s="234" t="s">
        <v>18808</v>
      </c>
      <c r="B8346" s="237" t="s">
        <v>21390</v>
      </c>
      <c r="C8346" s="160"/>
      <c r="D8346" s="145" t="s">
        <v>16</v>
      </c>
      <c r="E8346" s="146"/>
      <c r="F8346" s="37" t="s">
        <v>418</v>
      </c>
      <c r="G8346" s="147" t="str">
        <f>IF(ISNUMBER(F8346),E8346*F8346,"")</f>
        <v/>
      </c>
      <c r="H8346" s="148"/>
      <c r="I8346" s="149"/>
      <c r="J8346" s="125">
        <v>0</v>
      </c>
    </row>
    <row r="8347" spans="1:10" s="144" customFormat="1" ht="15.75" hidden="1" thickBot="1" x14ac:dyDescent="0.3">
      <c r="A8347" s="235"/>
      <c r="B8347" s="238"/>
      <c r="C8347" s="151"/>
      <c r="D8347" s="151"/>
      <c r="E8347" s="152"/>
      <c r="F8347" s="38" t="s">
        <v>418</v>
      </c>
      <c r="G8347" s="28" t="str">
        <f>IF(ISNUMBER(F8347),E8347*F8347,"")</f>
        <v/>
      </c>
      <c r="H8347" s="32"/>
      <c r="I8347" s="28"/>
      <c r="J8347" s="125">
        <v>0</v>
      </c>
    </row>
    <row r="8348" spans="1:10" s="144" customFormat="1" ht="39" hidden="1" thickBot="1" x14ac:dyDescent="0.3">
      <c r="A8348" s="235"/>
      <c r="B8348" s="238"/>
      <c r="C8348" s="155" t="s">
        <v>21393</v>
      </c>
      <c r="D8348" s="155" t="s">
        <v>97</v>
      </c>
      <c r="E8348" s="156">
        <v>1</v>
      </c>
      <c r="F8348" s="31" t="s">
        <v>418</v>
      </c>
      <c r="G8348" s="28" t="str">
        <f>IF(ISNUMBER(F8348),E8348*F8348,"")</f>
        <v/>
      </c>
      <c r="H8348" s="35">
        <f>SUM(G8348:G8354)</f>
        <v>14.12687335</v>
      </c>
      <c r="I8348" s="36"/>
      <c r="J8348" s="125">
        <v>0</v>
      </c>
    </row>
    <row r="8349" spans="1:10" s="144" customFormat="1" ht="39" hidden="1" thickBot="1" x14ac:dyDescent="0.3">
      <c r="A8349" s="235"/>
      <c r="B8349" s="238"/>
      <c r="C8349" s="155" t="s">
        <v>21394</v>
      </c>
      <c r="D8349" s="155" t="s">
        <v>97</v>
      </c>
      <c r="E8349" s="156">
        <v>2</v>
      </c>
      <c r="F8349" s="31" t="s">
        <v>418</v>
      </c>
      <c r="G8349" s="28" t="str">
        <f>IF(ISNUMBER(F8349),E8349*F8349,"")</f>
        <v/>
      </c>
      <c r="H8349" s="40"/>
      <c r="I8349" s="41"/>
      <c r="J8349" s="125">
        <v>0</v>
      </c>
    </row>
    <row r="8350" spans="1:10" s="144" customFormat="1" ht="26.25" hidden="1" thickBot="1" x14ac:dyDescent="0.3">
      <c r="A8350" s="235"/>
      <c r="B8350" s="238"/>
      <c r="C8350" s="155" t="s">
        <v>21392</v>
      </c>
      <c r="D8350" s="155" t="s">
        <v>69</v>
      </c>
      <c r="E8350" s="156">
        <v>1.5</v>
      </c>
      <c r="F8350" s="31" t="s">
        <v>418</v>
      </c>
      <c r="G8350" s="28" t="str">
        <f>IF(ISNUMBER(F8350),E8350*F8350,"")</f>
        <v/>
      </c>
      <c r="H8350" s="32"/>
      <c r="I8350" s="28"/>
      <c r="J8350" s="125">
        <v>0</v>
      </c>
    </row>
    <row r="8351" spans="1:10" s="144" customFormat="1" ht="15.75" hidden="1" thickBot="1" x14ac:dyDescent="0.3">
      <c r="A8351" s="235"/>
      <c r="B8351" s="238"/>
      <c r="C8351" s="155" t="s">
        <v>436</v>
      </c>
      <c r="D8351" s="155" t="s">
        <v>97</v>
      </c>
      <c r="E8351" s="156">
        <v>1</v>
      </c>
      <c r="F8351" s="31" t="s">
        <v>418</v>
      </c>
      <c r="G8351" s="28" t="str">
        <f>IF(ISNUMBER(F8351),E8351*F8351,"")</f>
        <v/>
      </c>
      <c r="H8351" s="32"/>
      <c r="I8351" s="28"/>
      <c r="J8351" s="125">
        <v>0</v>
      </c>
    </row>
    <row r="8352" spans="1:10" s="144" customFormat="1" ht="15.75" hidden="1" thickBot="1" x14ac:dyDescent="0.3">
      <c r="A8352" s="235"/>
      <c r="B8352" s="238"/>
      <c r="C8352" s="155" t="s">
        <v>437</v>
      </c>
      <c r="D8352" s="155" t="s">
        <v>97</v>
      </c>
      <c r="E8352" s="156">
        <v>1</v>
      </c>
      <c r="F8352" s="31" t="s">
        <v>418</v>
      </c>
      <c r="G8352" s="28" t="str">
        <f>IF(ISNUMBER(F8352),E8352*F8352,"")</f>
        <v/>
      </c>
      <c r="H8352" s="32"/>
      <c r="I8352" s="28"/>
      <c r="J8352" s="125">
        <v>0</v>
      </c>
    </row>
    <row r="8353" spans="1:10" s="144" customFormat="1" ht="15.75" hidden="1" thickBot="1" x14ac:dyDescent="0.3">
      <c r="A8353" s="235"/>
      <c r="B8353" s="238"/>
      <c r="C8353" s="155" t="s">
        <v>1022</v>
      </c>
      <c r="D8353" s="155" t="s">
        <v>587</v>
      </c>
      <c r="E8353" s="156">
        <v>0.17269999999999999</v>
      </c>
      <c r="F8353" s="28">
        <v>19.522500000000001</v>
      </c>
      <c r="G8353" s="28">
        <f>IF(ISNUMBER(F8353),E8353*F8353,"")</f>
        <v>3.3715357500000001</v>
      </c>
      <c r="H8353" s="32"/>
      <c r="I8353" s="28"/>
      <c r="J8353" s="125">
        <v>0</v>
      </c>
    </row>
    <row r="8354" spans="1:10" s="144" customFormat="1" ht="15.75" hidden="1" thickBot="1" x14ac:dyDescent="0.3">
      <c r="A8354" s="235"/>
      <c r="B8354" s="238"/>
      <c r="C8354" s="155" t="s">
        <v>1023</v>
      </c>
      <c r="D8354" s="155" t="s">
        <v>587</v>
      </c>
      <c r="E8354" s="156">
        <v>0.41439999999999999</v>
      </c>
      <c r="F8354" s="28">
        <v>25.954000000000001</v>
      </c>
      <c r="G8354" s="28">
        <f>IF(ISNUMBER(F8354),E8354*F8354,"")</f>
        <v>10.755337600000001</v>
      </c>
      <c r="H8354" s="32"/>
      <c r="I8354" s="28"/>
      <c r="J8354" s="125">
        <v>0</v>
      </c>
    </row>
    <row r="8355" spans="1:10" s="144" customFormat="1" ht="15.75" hidden="1" thickBot="1" x14ac:dyDescent="0.3">
      <c r="A8355" s="236"/>
      <c r="B8355" s="239"/>
      <c r="C8355" s="155"/>
      <c r="D8355" s="155"/>
      <c r="E8355" s="156"/>
      <c r="F8355" s="28" t="s">
        <v>418</v>
      </c>
      <c r="G8355" s="28" t="str">
        <f>IF(ISNUMBER(F8355),E8355*F8355,"")</f>
        <v/>
      </c>
      <c r="H8355" s="32"/>
      <c r="I8355" s="28"/>
      <c r="J8355" s="125">
        <v>0</v>
      </c>
    </row>
    <row r="8356" spans="1:10" s="144" customFormat="1" ht="15.75" hidden="1" thickBot="1" x14ac:dyDescent="0.3">
      <c r="A8356" s="241" t="s">
        <v>18809</v>
      </c>
      <c r="B8356" s="244" t="s">
        <v>20906</v>
      </c>
      <c r="C8356" s="160"/>
      <c r="D8356" s="145" t="s">
        <v>1628</v>
      </c>
      <c r="E8356" s="146"/>
      <c r="F8356" s="37" t="s">
        <v>418</v>
      </c>
      <c r="G8356" s="147" t="str">
        <f>IF(ISNUMBER(F8356),E8356*F8356,"")</f>
        <v/>
      </c>
      <c r="H8356" s="148"/>
      <c r="I8356" s="149"/>
      <c r="J8356" s="125">
        <v>0</v>
      </c>
    </row>
    <row r="8357" spans="1:10" s="144" customFormat="1" ht="15.75" hidden="1" thickBot="1" x14ac:dyDescent="0.3">
      <c r="A8357" s="247"/>
      <c r="B8357" s="245"/>
      <c r="C8357" s="151"/>
      <c r="D8357" s="151"/>
      <c r="E8357" s="152"/>
      <c r="F8357" s="38" t="s">
        <v>418</v>
      </c>
      <c r="G8357" s="31" t="str">
        <f>IF(ISNUMBER(F8357),E8357*F8357,"")</f>
        <v/>
      </c>
      <c r="H8357" s="32"/>
      <c r="I8357" s="28"/>
      <c r="J8357" s="125">
        <v>0</v>
      </c>
    </row>
    <row r="8358" spans="1:10" s="144" customFormat="1" ht="15.75" hidden="1" thickBot="1" x14ac:dyDescent="0.3">
      <c r="A8358" s="247"/>
      <c r="B8358" s="245"/>
      <c r="C8358" s="155" t="s">
        <v>1074</v>
      </c>
      <c r="D8358" s="155" t="s">
        <v>587</v>
      </c>
      <c r="E8358" s="130" t="e">
        <f>IF(#REF!="Desonerado",ROUND(220/(1+82.01%),4),ROUND(220/(1+110.69%),4))</f>
        <v>#REF!</v>
      </c>
      <c r="F8358" s="28">
        <v>24.795000000000002</v>
      </c>
      <c r="G8358" s="31" t="e">
        <f>IF(ISNUMBER(F8358),E8358*F8358,"")</f>
        <v>#REF!</v>
      </c>
      <c r="H8358" s="35" t="e">
        <f>SUM(G8358:G8358)</f>
        <v>#REF!</v>
      </c>
      <c r="I8358" s="36"/>
      <c r="J8358" s="125">
        <v>0</v>
      </c>
    </row>
    <row r="8359" spans="1:10" s="144" customFormat="1" ht="15.75" hidden="1" thickBot="1" x14ac:dyDescent="0.3">
      <c r="A8359" s="247"/>
      <c r="B8359" s="245"/>
      <c r="C8359" s="155"/>
      <c r="D8359" s="129"/>
      <c r="E8359" s="130"/>
      <c r="F8359" s="28"/>
      <c r="G8359" s="31"/>
      <c r="H8359" s="32"/>
      <c r="I8359" s="36"/>
      <c r="J8359" s="125">
        <v>0</v>
      </c>
    </row>
    <row r="8360" spans="1:10" s="144" customFormat="1" ht="26.25" hidden="1" thickBot="1" x14ac:dyDescent="0.3">
      <c r="A8360" s="247"/>
      <c r="B8360" s="245"/>
      <c r="C8360" s="43" t="s">
        <v>657</v>
      </c>
      <c r="D8360" s="129"/>
      <c r="E8360" s="130"/>
      <c r="F8360" s="28"/>
      <c r="G8360" s="31"/>
      <c r="H8360" s="32"/>
      <c r="I8360" s="36"/>
      <c r="J8360" s="125">
        <v>0</v>
      </c>
    </row>
    <row r="8361" spans="1:10" s="144" customFormat="1" ht="15.75" hidden="1" thickBot="1" x14ac:dyDescent="0.3">
      <c r="A8361" s="248"/>
      <c r="B8361" s="246"/>
      <c r="C8361" s="164"/>
      <c r="D8361" s="164"/>
      <c r="E8361" s="165"/>
      <c r="F8361" s="62" t="s">
        <v>418</v>
      </c>
      <c r="G8361" s="63" t="str">
        <f>IF(ISNUMBER(F8361),E8361*F8361,"")</f>
        <v/>
      </c>
      <c r="H8361" s="32"/>
      <c r="I8361" s="28"/>
      <c r="J8361" s="125">
        <v>0</v>
      </c>
    </row>
    <row r="8362" spans="1:10" s="144" customFormat="1" ht="15.75" hidden="1" thickBot="1" x14ac:dyDescent="0.3">
      <c r="A8362" s="241" t="s">
        <v>18810</v>
      </c>
      <c r="B8362" s="244" t="s">
        <v>20907</v>
      </c>
      <c r="C8362" s="160"/>
      <c r="D8362" s="145" t="s">
        <v>70</v>
      </c>
      <c r="E8362" s="146"/>
      <c r="F8362" s="37" t="s">
        <v>418</v>
      </c>
      <c r="G8362" s="147" t="str">
        <f>IF(ISNUMBER(F8362),E8362*F8362,"")</f>
        <v/>
      </c>
      <c r="H8362" s="148"/>
      <c r="I8362" s="149"/>
      <c r="J8362" s="125">
        <v>0</v>
      </c>
    </row>
    <row r="8363" spans="1:10" s="144" customFormat="1" ht="15.75" hidden="1" thickBot="1" x14ac:dyDescent="0.3">
      <c r="A8363" s="247"/>
      <c r="B8363" s="245"/>
      <c r="C8363" s="151"/>
      <c r="D8363" s="151"/>
      <c r="E8363" s="152"/>
      <c r="F8363" s="38" t="s">
        <v>418</v>
      </c>
      <c r="G8363" s="31" t="str">
        <f>IF(ISNUMBER(F8363),E8363*F8363,"")</f>
        <v/>
      </c>
      <c r="H8363" s="32"/>
      <c r="I8363" s="28"/>
      <c r="J8363" s="125">
        <v>0</v>
      </c>
    </row>
    <row r="8364" spans="1:10" s="144" customFormat="1" ht="15.75" hidden="1" thickBot="1" x14ac:dyDescent="0.3">
      <c r="A8364" s="247"/>
      <c r="B8364" s="245"/>
      <c r="C8364" s="155" t="s">
        <v>595</v>
      </c>
      <c r="D8364" s="155" t="s">
        <v>587</v>
      </c>
      <c r="E8364" s="156">
        <v>0.7</v>
      </c>
      <c r="F8364" s="28">
        <v>25.65</v>
      </c>
      <c r="G8364" s="31">
        <f>IF(ISNUMBER(F8364),E8364*F8364,"")</f>
        <v>17.954999999999998</v>
      </c>
      <c r="H8364" s="35">
        <f>SUM(G8364:G8366)</f>
        <v>99.58850000000001</v>
      </c>
      <c r="I8364" s="36"/>
      <c r="J8364" s="125">
        <v>0</v>
      </c>
    </row>
    <row r="8365" spans="1:10" s="144" customFormat="1" ht="15.75" hidden="1" thickBot="1" x14ac:dyDescent="0.3">
      <c r="A8365" s="247"/>
      <c r="B8365" s="245"/>
      <c r="C8365" s="155" t="s">
        <v>588</v>
      </c>
      <c r="D8365" s="155" t="s">
        <v>587</v>
      </c>
      <c r="E8365" s="156">
        <v>0.7</v>
      </c>
      <c r="F8365" s="28">
        <v>19.189999999999998</v>
      </c>
      <c r="G8365" s="31">
        <f>IF(ISNUMBER(F8365),E8365*F8365,"")</f>
        <v>13.432999999999998</v>
      </c>
      <c r="H8365" s="32"/>
      <c r="I8365" s="36"/>
      <c r="J8365" s="125">
        <v>0</v>
      </c>
    </row>
    <row r="8366" spans="1:10" s="144" customFormat="1" ht="26.25" hidden="1" thickBot="1" x14ac:dyDescent="0.3">
      <c r="A8366" s="247"/>
      <c r="B8366" s="245"/>
      <c r="C8366" s="155" t="s">
        <v>26920</v>
      </c>
      <c r="D8366" s="155" t="s">
        <v>870</v>
      </c>
      <c r="E8366" s="156">
        <v>1</v>
      </c>
      <c r="F8366" s="28">
        <v>68.200500000000005</v>
      </c>
      <c r="G8366" s="31">
        <f>IF(ISNUMBER(F8366),E8366*F8366,"")</f>
        <v>68.200500000000005</v>
      </c>
      <c r="H8366" s="32"/>
      <c r="I8366" s="36"/>
      <c r="J8366" s="125">
        <v>0</v>
      </c>
    </row>
    <row r="8367" spans="1:10" s="144" customFormat="1" ht="15.75" hidden="1" thickBot="1" x14ac:dyDescent="0.3">
      <c r="A8367" s="248"/>
      <c r="B8367" s="246"/>
      <c r="C8367" s="164"/>
      <c r="D8367" s="164"/>
      <c r="E8367" s="165"/>
      <c r="F8367" s="62" t="s">
        <v>418</v>
      </c>
      <c r="G8367" s="63" t="str">
        <f>IF(ISNUMBER(F8367),E8367*F8367,"")</f>
        <v/>
      </c>
      <c r="H8367" s="64"/>
      <c r="I8367" s="28"/>
      <c r="J8367" s="125">
        <v>0</v>
      </c>
    </row>
    <row r="8368" spans="1:10" s="144" customFormat="1" ht="15.75" hidden="1" thickBot="1" x14ac:dyDescent="0.3">
      <c r="A8368" s="241" t="s">
        <v>18811</v>
      </c>
      <c r="B8368" s="244" t="s">
        <v>20908</v>
      </c>
      <c r="C8368" s="160"/>
      <c r="D8368" s="145" t="s">
        <v>1628</v>
      </c>
      <c r="E8368" s="146"/>
      <c r="F8368" s="37" t="s">
        <v>418</v>
      </c>
      <c r="G8368" s="147" t="str">
        <f>IF(ISNUMBER(F8368),E8368*F8368,"")</f>
        <v/>
      </c>
      <c r="H8368" s="148"/>
      <c r="I8368" s="149"/>
      <c r="J8368" s="125">
        <v>0</v>
      </c>
    </row>
    <row r="8369" spans="1:10" s="144" customFormat="1" ht="15.75" hidden="1" thickBot="1" x14ac:dyDescent="0.3">
      <c r="A8369" s="247"/>
      <c r="B8369" s="245"/>
      <c r="C8369" s="151"/>
      <c r="D8369" s="151"/>
      <c r="E8369" s="152"/>
      <c r="F8369" s="38" t="s">
        <v>418</v>
      </c>
      <c r="G8369" s="31" t="str">
        <f>IF(ISNUMBER(F8369),E8369*F8369,"")</f>
        <v/>
      </c>
      <c r="H8369" s="32"/>
      <c r="I8369" s="28"/>
      <c r="J8369" s="125">
        <v>0</v>
      </c>
    </row>
    <row r="8370" spans="1:10" s="144" customFormat="1" ht="15.75" hidden="1" thickBot="1" x14ac:dyDescent="0.3">
      <c r="A8370" s="247"/>
      <c r="B8370" s="245"/>
      <c r="C8370" s="155" t="s">
        <v>1074</v>
      </c>
      <c r="D8370" s="155" t="s">
        <v>587</v>
      </c>
      <c r="E8370" s="130" t="e">
        <f>IF(#REF!="Desonerado",ROUND(220/(1+82.01%),4),ROUND(220/(1+110.69%),4))</f>
        <v>#REF!</v>
      </c>
      <c r="F8370" s="28">
        <v>24.795000000000002</v>
      </c>
      <c r="G8370" s="31" t="e">
        <f>IF(ISNUMBER(F8370),E8370*F8370,"")</f>
        <v>#REF!</v>
      </c>
      <c r="H8370" s="35" t="e">
        <f>SUM(G8370:G8370)</f>
        <v>#REF!</v>
      </c>
      <c r="I8370" s="36"/>
      <c r="J8370" s="125">
        <v>0</v>
      </c>
    </row>
    <row r="8371" spans="1:10" s="144" customFormat="1" ht="15.75" hidden="1" thickBot="1" x14ac:dyDescent="0.3">
      <c r="A8371" s="247"/>
      <c r="B8371" s="245"/>
      <c r="C8371" s="155"/>
      <c r="D8371" s="129"/>
      <c r="E8371" s="130"/>
      <c r="F8371" s="28"/>
      <c r="G8371" s="31"/>
      <c r="H8371" s="32"/>
      <c r="I8371" s="36"/>
      <c r="J8371" s="125">
        <v>0</v>
      </c>
    </row>
    <row r="8372" spans="1:10" s="144" customFormat="1" ht="26.25" hidden="1" thickBot="1" x14ac:dyDescent="0.3">
      <c r="A8372" s="247"/>
      <c r="B8372" s="245"/>
      <c r="C8372" s="43" t="s">
        <v>657</v>
      </c>
      <c r="D8372" s="129"/>
      <c r="E8372" s="130"/>
      <c r="F8372" s="28"/>
      <c r="G8372" s="31"/>
      <c r="H8372" s="32"/>
      <c r="I8372" s="36"/>
      <c r="J8372" s="125">
        <v>0</v>
      </c>
    </row>
    <row r="8373" spans="1:10" s="144" customFormat="1" ht="15.75" hidden="1" thickBot="1" x14ac:dyDescent="0.3">
      <c r="A8373" s="248"/>
      <c r="B8373" s="246"/>
      <c r="C8373" s="164"/>
      <c r="D8373" s="164"/>
      <c r="E8373" s="165"/>
      <c r="F8373" s="62" t="s">
        <v>418</v>
      </c>
      <c r="G8373" s="63" t="str">
        <f>IF(ISNUMBER(F8373),E8373*F8373,"")</f>
        <v/>
      </c>
      <c r="H8373" s="64"/>
      <c r="I8373" s="28"/>
      <c r="J8373" s="125">
        <v>0</v>
      </c>
    </row>
    <row r="8374" spans="1:10" s="144" customFormat="1" ht="15.75" hidden="1" thickBot="1" x14ac:dyDescent="0.3">
      <c r="A8374" s="234" t="s">
        <v>18812</v>
      </c>
      <c r="B8374" s="237" t="s">
        <v>20947</v>
      </c>
      <c r="C8374" s="160"/>
      <c r="D8374" s="145" t="s">
        <v>16</v>
      </c>
      <c r="E8374" s="146"/>
      <c r="F8374" s="44" t="s">
        <v>418</v>
      </c>
      <c r="G8374" s="147" t="str">
        <f>IF(ISNUMBER(F8374),E8374*F8374,"")</f>
        <v/>
      </c>
      <c r="H8374" s="148"/>
      <c r="I8374" s="149"/>
      <c r="J8374" s="125">
        <v>0</v>
      </c>
    </row>
    <row r="8375" spans="1:10" s="144" customFormat="1" ht="15.75" hidden="1" thickBot="1" x14ac:dyDescent="0.3">
      <c r="A8375" s="249"/>
      <c r="B8375" s="240"/>
      <c r="C8375" s="135"/>
      <c r="D8375" s="135"/>
      <c r="E8375" s="136"/>
      <c r="F8375" s="49" t="s">
        <v>418</v>
      </c>
      <c r="G8375" s="49" t="str">
        <f>IF(ISNUMBER(F8375),E8375*F8375,"")</f>
        <v/>
      </c>
      <c r="H8375" s="65"/>
      <c r="I8375" s="66"/>
      <c r="J8375" s="125">
        <v>0</v>
      </c>
    </row>
    <row r="8376" spans="1:10" s="144" customFormat="1" ht="15.75" hidden="1" thickBot="1" x14ac:dyDescent="0.3">
      <c r="A8376" s="249"/>
      <c r="B8376" s="240"/>
      <c r="C8376" s="155" t="s">
        <v>21414</v>
      </c>
      <c r="D8376" s="129" t="s">
        <v>205</v>
      </c>
      <c r="E8376" s="130">
        <v>1</v>
      </c>
      <c r="F8376" s="28" t="s">
        <v>418</v>
      </c>
      <c r="G8376" s="49" t="str">
        <f>IF(ISNUMBER(F8376),E8376*F8376,"")</f>
        <v/>
      </c>
      <c r="H8376" s="35">
        <f>SUM(G8376:G8379)</f>
        <v>70.03435245</v>
      </c>
      <c r="I8376" s="36"/>
      <c r="J8376" s="125">
        <v>0</v>
      </c>
    </row>
    <row r="8377" spans="1:10" s="144" customFormat="1" ht="39" hidden="1" thickBot="1" x14ac:dyDescent="0.3">
      <c r="A8377" s="249"/>
      <c r="B8377" s="240"/>
      <c r="C8377" s="155" t="s">
        <v>23958</v>
      </c>
      <c r="D8377" s="155" t="s">
        <v>205</v>
      </c>
      <c r="E8377" s="130">
        <v>4</v>
      </c>
      <c r="F8377" s="28">
        <v>0.19</v>
      </c>
      <c r="G8377" s="49">
        <f>IF(ISNUMBER(F8377),E8377*F8377,"")</f>
        <v>0.76</v>
      </c>
      <c r="H8377" s="65"/>
      <c r="I8377" s="66"/>
      <c r="J8377" s="125">
        <v>0</v>
      </c>
    </row>
    <row r="8378" spans="1:10" s="144" customFormat="1" ht="15.75" hidden="1" thickBot="1" x14ac:dyDescent="0.3">
      <c r="A8378" s="249"/>
      <c r="B8378" s="240"/>
      <c r="C8378" s="155" t="s">
        <v>1022</v>
      </c>
      <c r="D8378" s="155" t="s">
        <v>587</v>
      </c>
      <c r="E8378" s="130">
        <v>1.5233000000000001</v>
      </c>
      <c r="F8378" s="28">
        <v>19.522500000000001</v>
      </c>
      <c r="G8378" s="49">
        <f>IF(ISNUMBER(F8378),E8378*F8378,"")</f>
        <v>29.738624250000004</v>
      </c>
      <c r="H8378" s="65"/>
      <c r="I8378" s="66"/>
      <c r="J8378" s="125">
        <v>0</v>
      </c>
    </row>
    <row r="8379" spans="1:10" s="144" customFormat="1" ht="15.75" hidden="1" thickBot="1" x14ac:dyDescent="0.3">
      <c r="A8379" s="249"/>
      <c r="B8379" s="240"/>
      <c r="C8379" s="155" t="s">
        <v>1023</v>
      </c>
      <c r="D8379" s="155" t="s">
        <v>587</v>
      </c>
      <c r="E8379" s="130">
        <v>1.5233000000000001</v>
      </c>
      <c r="F8379" s="28">
        <v>25.954000000000001</v>
      </c>
      <c r="G8379" s="49">
        <f>IF(ISNUMBER(F8379),E8379*F8379,"")</f>
        <v>39.535728200000001</v>
      </c>
      <c r="H8379" s="65"/>
      <c r="I8379" s="66"/>
      <c r="J8379" s="125">
        <v>0</v>
      </c>
    </row>
    <row r="8380" spans="1:10" s="144" customFormat="1" ht="15.75" hidden="1" thickBot="1" x14ac:dyDescent="0.3">
      <c r="A8380" s="250"/>
      <c r="B8380" s="239"/>
      <c r="C8380" s="164"/>
      <c r="D8380" s="132"/>
      <c r="E8380" s="165"/>
      <c r="F8380" s="68" t="s">
        <v>418</v>
      </c>
      <c r="G8380" s="68" t="str">
        <f>IF(ISNUMBER(F8380),E8380*F8380,"")</f>
        <v/>
      </c>
      <c r="H8380" s="69"/>
      <c r="I8380" s="66"/>
      <c r="J8380" s="125">
        <v>0</v>
      </c>
    </row>
    <row r="8381" spans="1:10" s="144" customFormat="1" ht="15.75" hidden="1" thickBot="1" x14ac:dyDescent="0.3">
      <c r="A8381" s="241" t="s">
        <v>18813</v>
      </c>
      <c r="B8381" s="244" t="s">
        <v>20948</v>
      </c>
      <c r="C8381" s="160"/>
      <c r="D8381" s="145" t="s">
        <v>1305</v>
      </c>
      <c r="E8381" s="146"/>
      <c r="F8381" s="37" t="s">
        <v>418</v>
      </c>
      <c r="G8381" s="147" t="str">
        <f>IF(ISNUMBER(F8381),E8381*F8381,"")</f>
        <v/>
      </c>
      <c r="H8381" s="148"/>
      <c r="I8381" s="149"/>
      <c r="J8381" s="125">
        <v>0</v>
      </c>
    </row>
    <row r="8382" spans="1:10" s="144" customFormat="1" ht="15.75" hidden="1" thickBot="1" x14ac:dyDescent="0.3">
      <c r="A8382" s="247"/>
      <c r="B8382" s="245"/>
      <c r="C8382" s="151"/>
      <c r="D8382" s="151"/>
      <c r="E8382" s="152"/>
      <c r="F8382" s="38" t="s">
        <v>418</v>
      </c>
      <c r="G8382" s="31" t="str">
        <f>IF(ISNUMBER(F8382),E8382*F8382,"")</f>
        <v/>
      </c>
      <c r="H8382" s="32"/>
      <c r="I8382" s="28"/>
      <c r="J8382" s="125">
        <v>0</v>
      </c>
    </row>
    <row r="8383" spans="1:10" s="144" customFormat="1" ht="26.25" hidden="1" thickBot="1" x14ac:dyDescent="0.3">
      <c r="A8383" s="247"/>
      <c r="B8383" s="245"/>
      <c r="C8383" s="155" t="s">
        <v>656</v>
      </c>
      <c r="D8383" s="155" t="s">
        <v>587</v>
      </c>
      <c r="E8383" s="130">
        <v>1</v>
      </c>
      <c r="F8383" s="28">
        <v>122.71149999999999</v>
      </c>
      <c r="G8383" s="31">
        <f>IF(ISNUMBER(F8383),E8383*F8383,"")</f>
        <v>122.71149999999999</v>
      </c>
      <c r="H8383" s="35">
        <f>SUM(G8383:G8383)</f>
        <v>122.71149999999999</v>
      </c>
      <c r="I8383" s="36"/>
      <c r="J8383" s="125">
        <v>0</v>
      </c>
    </row>
    <row r="8384" spans="1:10" s="144" customFormat="1" ht="15.75" hidden="1" thickBot="1" x14ac:dyDescent="0.3">
      <c r="A8384" s="247"/>
      <c r="B8384" s="245"/>
      <c r="C8384" s="155"/>
      <c r="D8384" s="129"/>
      <c r="E8384" s="130"/>
      <c r="F8384" s="28"/>
      <c r="G8384" s="31"/>
      <c r="H8384" s="32"/>
      <c r="I8384" s="36"/>
      <c r="J8384" s="125">
        <v>0</v>
      </c>
    </row>
    <row r="8385" spans="1:10" s="144" customFormat="1" ht="15.75" hidden="1" thickBot="1" x14ac:dyDescent="0.3">
      <c r="A8385" s="234" t="s">
        <v>18814</v>
      </c>
      <c r="B8385" s="237" t="s">
        <v>13068</v>
      </c>
      <c r="C8385" s="160"/>
      <c r="D8385" s="145" t="s">
        <v>16</v>
      </c>
      <c r="E8385" s="146"/>
      <c r="F8385" s="44" t="s">
        <v>418</v>
      </c>
      <c r="G8385" s="147" t="str">
        <f>IF(ISNUMBER(F8385),E8385*F8385,"")</f>
        <v/>
      </c>
      <c r="H8385" s="148"/>
      <c r="I8385" s="149"/>
      <c r="J8385" s="125">
        <v>0</v>
      </c>
    </row>
    <row r="8386" spans="1:10" s="144" customFormat="1" ht="15.75" hidden="1" thickBot="1" x14ac:dyDescent="0.3">
      <c r="A8386" s="249"/>
      <c r="B8386" s="240"/>
      <c r="C8386" s="135"/>
      <c r="D8386" s="135"/>
      <c r="E8386" s="136"/>
      <c r="F8386" s="49" t="s">
        <v>418</v>
      </c>
      <c r="G8386" s="49" t="str">
        <f>IF(ISNUMBER(F8386),E8386*F8386,"")</f>
        <v/>
      </c>
      <c r="H8386" s="65"/>
      <c r="I8386" s="66"/>
      <c r="J8386" s="125">
        <v>0</v>
      </c>
    </row>
    <row r="8387" spans="1:10" s="144" customFormat="1" ht="15.75" hidden="1" thickBot="1" x14ac:dyDescent="0.3">
      <c r="A8387" s="249"/>
      <c r="B8387" s="240"/>
      <c r="C8387" s="155" t="s">
        <v>20950</v>
      </c>
      <c r="D8387" s="129" t="s">
        <v>205</v>
      </c>
      <c r="E8387" s="130">
        <v>1</v>
      </c>
      <c r="F8387" s="28" t="s">
        <v>418</v>
      </c>
      <c r="G8387" s="49" t="str">
        <f>IF(ISNUMBER(F8387),E8387*F8387,"")</f>
        <v/>
      </c>
      <c r="H8387" s="35">
        <f>SUM(G8387:G8389)</f>
        <v>6.1190260000000007</v>
      </c>
      <c r="I8387" s="36"/>
      <c r="J8387" s="125">
        <v>0</v>
      </c>
    </row>
    <row r="8388" spans="1:10" s="144" customFormat="1" ht="15.75" hidden="1" thickBot="1" x14ac:dyDescent="0.3">
      <c r="A8388" s="249"/>
      <c r="B8388" s="240"/>
      <c r="C8388" s="155" t="s">
        <v>1022</v>
      </c>
      <c r="D8388" s="155" t="s">
        <v>587</v>
      </c>
      <c r="E8388" s="130">
        <v>7.4800000000000005E-2</v>
      </c>
      <c r="F8388" s="28">
        <v>19.522500000000001</v>
      </c>
      <c r="G8388" s="49">
        <f>IF(ISNUMBER(F8388),E8388*F8388,"")</f>
        <v>1.4602830000000002</v>
      </c>
      <c r="H8388" s="65"/>
      <c r="I8388" s="66"/>
      <c r="J8388" s="125">
        <v>0</v>
      </c>
    </row>
    <row r="8389" spans="1:10" s="144" customFormat="1" ht="15.75" hidden="1" thickBot="1" x14ac:dyDescent="0.3">
      <c r="A8389" s="249"/>
      <c r="B8389" s="240"/>
      <c r="C8389" s="155" t="s">
        <v>1023</v>
      </c>
      <c r="D8389" s="155" t="s">
        <v>587</v>
      </c>
      <c r="E8389" s="130">
        <v>0.17949999999999999</v>
      </c>
      <c r="F8389" s="28">
        <v>25.954000000000001</v>
      </c>
      <c r="G8389" s="49">
        <f>IF(ISNUMBER(F8389),E8389*F8389,"")</f>
        <v>4.6587430000000003</v>
      </c>
      <c r="H8389" s="65"/>
      <c r="I8389" s="66"/>
      <c r="J8389" s="125">
        <v>0</v>
      </c>
    </row>
    <row r="8390" spans="1:10" s="144" customFormat="1" ht="15.75" hidden="1" thickBot="1" x14ac:dyDescent="0.3">
      <c r="A8390" s="250"/>
      <c r="B8390" s="239"/>
      <c r="C8390" s="164"/>
      <c r="D8390" s="132"/>
      <c r="E8390" s="165"/>
      <c r="F8390" s="68" t="s">
        <v>418</v>
      </c>
      <c r="G8390" s="68" t="str">
        <f>IF(ISNUMBER(F8390),E8390*F8390,"")</f>
        <v/>
      </c>
      <c r="H8390" s="69"/>
      <c r="I8390" s="66"/>
      <c r="J8390" s="125">
        <v>0</v>
      </c>
    </row>
    <row r="8391" spans="1:10" s="144" customFormat="1" ht="15.75" hidden="1" thickBot="1" x14ac:dyDescent="0.3">
      <c r="A8391" s="234" t="s">
        <v>18815</v>
      </c>
      <c r="B8391" s="237" t="s">
        <v>19666</v>
      </c>
      <c r="C8391" s="160"/>
      <c r="D8391" s="145" t="s">
        <v>16</v>
      </c>
      <c r="E8391" s="146"/>
      <c r="F8391" s="37" t="s">
        <v>418</v>
      </c>
      <c r="G8391" s="147" t="str">
        <f>IF(ISNUMBER(F8391),E8391*F8391,"")</f>
        <v/>
      </c>
      <c r="H8391" s="148"/>
      <c r="I8391" s="149"/>
      <c r="J8391" s="125">
        <v>0</v>
      </c>
    </row>
    <row r="8392" spans="1:10" s="144" customFormat="1" ht="15.75" hidden="1" thickBot="1" x14ac:dyDescent="0.3">
      <c r="A8392" s="235"/>
      <c r="B8392" s="238"/>
      <c r="C8392" s="151"/>
      <c r="D8392" s="151"/>
      <c r="E8392" s="152"/>
      <c r="F8392" s="38" t="s">
        <v>418</v>
      </c>
      <c r="G8392" s="28" t="str">
        <f>IF(ISNUMBER(F8392),E8392*F8392,"")</f>
        <v/>
      </c>
      <c r="H8392" s="32"/>
      <c r="I8392" s="28"/>
      <c r="J8392" s="125">
        <v>0</v>
      </c>
    </row>
    <row r="8393" spans="1:10" s="144" customFormat="1" ht="51.75" hidden="1" thickBot="1" x14ac:dyDescent="0.3">
      <c r="A8393" s="235"/>
      <c r="B8393" s="238"/>
      <c r="C8393" s="155" t="s">
        <v>21401</v>
      </c>
      <c r="D8393" s="155" t="s">
        <v>97</v>
      </c>
      <c r="E8393" s="156">
        <v>1</v>
      </c>
      <c r="F8393" s="31" t="s">
        <v>418</v>
      </c>
      <c r="G8393" s="28" t="str">
        <f>IF(ISNUMBER(F8393),E8393*F8393,"")</f>
        <v/>
      </c>
      <c r="H8393" s="35">
        <f>SUM(G8393:G8398)</f>
        <v>15.30449145</v>
      </c>
      <c r="I8393" s="36"/>
      <c r="J8393" s="125">
        <v>0</v>
      </c>
    </row>
    <row r="8394" spans="1:10" s="144" customFormat="1" ht="26.25" hidden="1" thickBot="1" x14ac:dyDescent="0.3">
      <c r="A8394" s="235"/>
      <c r="B8394" s="238"/>
      <c r="C8394" s="155" t="s">
        <v>21392</v>
      </c>
      <c r="D8394" s="155" t="s">
        <v>69</v>
      </c>
      <c r="E8394" s="156">
        <v>1.5</v>
      </c>
      <c r="F8394" s="31" t="s">
        <v>418</v>
      </c>
      <c r="G8394" s="28" t="str">
        <f>IF(ISNUMBER(F8394),E8394*F8394,"")</f>
        <v/>
      </c>
      <c r="H8394" s="32"/>
      <c r="I8394" s="28"/>
      <c r="J8394" s="125">
        <v>0</v>
      </c>
    </row>
    <row r="8395" spans="1:10" s="144" customFormat="1" ht="15.75" hidden="1" thickBot="1" x14ac:dyDescent="0.3">
      <c r="A8395" s="235"/>
      <c r="B8395" s="238"/>
      <c r="C8395" s="155" t="s">
        <v>436</v>
      </c>
      <c r="D8395" s="155" t="s">
        <v>97</v>
      </c>
      <c r="E8395" s="156">
        <v>1</v>
      </c>
      <c r="F8395" s="31" t="s">
        <v>418</v>
      </c>
      <c r="G8395" s="28" t="str">
        <f>IF(ISNUMBER(F8395),E8395*F8395,"")</f>
        <v/>
      </c>
      <c r="H8395" s="32"/>
      <c r="I8395" s="28"/>
      <c r="J8395" s="125">
        <v>0</v>
      </c>
    </row>
    <row r="8396" spans="1:10" s="144" customFormat="1" ht="15.75" hidden="1" thickBot="1" x14ac:dyDescent="0.3">
      <c r="A8396" s="235"/>
      <c r="B8396" s="238"/>
      <c r="C8396" s="155" t="s">
        <v>437</v>
      </c>
      <c r="D8396" s="155" t="s">
        <v>97</v>
      </c>
      <c r="E8396" s="156">
        <v>1</v>
      </c>
      <c r="F8396" s="31" t="s">
        <v>418</v>
      </c>
      <c r="G8396" s="28" t="str">
        <f>IF(ISNUMBER(F8396),E8396*F8396,"")</f>
        <v/>
      </c>
      <c r="H8396" s="32"/>
      <c r="I8396" s="28"/>
      <c r="J8396" s="125">
        <v>0</v>
      </c>
    </row>
    <row r="8397" spans="1:10" s="144" customFormat="1" ht="15.75" hidden="1" thickBot="1" x14ac:dyDescent="0.3">
      <c r="A8397" s="235"/>
      <c r="B8397" s="238"/>
      <c r="C8397" s="155" t="s">
        <v>1022</v>
      </c>
      <c r="D8397" s="155" t="s">
        <v>587</v>
      </c>
      <c r="E8397" s="156">
        <v>0.18329999999999999</v>
      </c>
      <c r="F8397" s="28">
        <v>19.522500000000001</v>
      </c>
      <c r="G8397" s="31">
        <f>IF(ISNUMBER(F8397),E8397*F8397,"")</f>
        <v>3.5784742500000002</v>
      </c>
      <c r="H8397" s="32"/>
      <c r="I8397" s="28"/>
      <c r="J8397" s="125">
        <v>0</v>
      </c>
    </row>
    <row r="8398" spans="1:10" s="144" customFormat="1" ht="15.75" hidden="1" thickBot="1" x14ac:dyDescent="0.3">
      <c r="A8398" s="235"/>
      <c r="B8398" s="238"/>
      <c r="C8398" s="155" t="s">
        <v>1023</v>
      </c>
      <c r="D8398" s="155" t="s">
        <v>587</v>
      </c>
      <c r="E8398" s="156">
        <v>0.45179999999999998</v>
      </c>
      <c r="F8398" s="28">
        <v>25.954000000000001</v>
      </c>
      <c r="G8398" s="28">
        <f>IF(ISNUMBER(F8398),E8398*F8398,"")</f>
        <v>11.726017199999999</v>
      </c>
      <c r="H8398" s="32"/>
      <c r="I8398" s="28"/>
      <c r="J8398" s="125">
        <v>0</v>
      </c>
    </row>
    <row r="8399" spans="1:10" s="144" customFormat="1" ht="15.75" hidden="1" thickBot="1" x14ac:dyDescent="0.3">
      <c r="A8399" s="236"/>
      <c r="B8399" s="239"/>
      <c r="C8399" s="155"/>
      <c r="D8399" s="155"/>
      <c r="E8399" s="156"/>
      <c r="F8399" s="28" t="s">
        <v>418</v>
      </c>
      <c r="G8399" s="28" t="str">
        <f>IF(ISNUMBER(F8399),E8399*F8399,"")</f>
        <v/>
      </c>
      <c r="H8399" s="32"/>
      <c r="I8399" s="28"/>
      <c r="J8399" s="125">
        <v>0</v>
      </c>
    </row>
    <row r="8400" spans="1:10" s="144" customFormat="1" ht="15.75" hidden="1" thickBot="1" x14ac:dyDescent="0.3">
      <c r="A8400" s="241" t="s">
        <v>18816</v>
      </c>
      <c r="B8400" s="244" t="s">
        <v>20949</v>
      </c>
      <c r="C8400" s="160"/>
      <c r="D8400" s="145" t="s">
        <v>70</v>
      </c>
      <c r="E8400" s="146"/>
      <c r="F8400" s="37" t="s">
        <v>418</v>
      </c>
      <c r="G8400" s="147" t="str">
        <f>IF(ISNUMBER(F8400),E8400*F8400,"")</f>
        <v/>
      </c>
      <c r="H8400" s="148"/>
      <c r="I8400" s="149"/>
      <c r="J8400" s="125">
        <v>0</v>
      </c>
    </row>
    <row r="8401" spans="1:10" s="144" customFormat="1" ht="15.75" hidden="1" thickBot="1" x14ac:dyDescent="0.3">
      <c r="A8401" s="247"/>
      <c r="B8401" s="245"/>
      <c r="C8401" s="151"/>
      <c r="D8401" s="151"/>
      <c r="E8401" s="152"/>
      <c r="F8401" s="38" t="s">
        <v>418</v>
      </c>
      <c r="G8401" s="31" t="str">
        <f>IF(ISNUMBER(F8401),E8401*F8401,"")</f>
        <v/>
      </c>
      <c r="H8401" s="32"/>
      <c r="I8401" s="28"/>
      <c r="J8401" s="125">
        <v>0</v>
      </c>
    </row>
    <row r="8402" spans="1:10" s="144" customFormat="1" ht="51.75" hidden="1" thickBot="1" x14ac:dyDescent="0.3">
      <c r="A8402" s="247"/>
      <c r="B8402" s="245"/>
      <c r="C8402" s="155" t="s">
        <v>20951</v>
      </c>
      <c r="D8402" s="155" t="s">
        <v>774</v>
      </c>
      <c r="E8402" s="156">
        <v>4</v>
      </c>
      <c r="F8402" s="28" t="s">
        <v>418</v>
      </c>
      <c r="G8402" s="31" t="str">
        <f>IF(ISNUMBER(F8402),E8402*F8402,"")</f>
        <v/>
      </c>
      <c r="H8402" s="35">
        <f>SUM(G8402:G8404)</f>
        <v>14.705354</v>
      </c>
      <c r="I8402" s="36"/>
      <c r="J8402" s="125">
        <v>0</v>
      </c>
    </row>
    <row r="8403" spans="1:10" s="144" customFormat="1" ht="15.75" hidden="1" thickBot="1" x14ac:dyDescent="0.3">
      <c r="A8403" s="247"/>
      <c r="B8403" s="245"/>
      <c r="C8403" s="155" t="s">
        <v>1251</v>
      </c>
      <c r="D8403" s="155" t="s">
        <v>587</v>
      </c>
      <c r="E8403" s="156">
        <v>0.108</v>
      </c>
      <c r="F8403" s="28">
        <v>19.731499999999997</v>
      </c>
      <c r="G8403" s="31">
        <f>IF(ISNUMBER(F8403),E8403*F8403,"")</f>
        <v>2.1310019999999996</v>
      </c>
      <c r="H8403" s="32"/>
      <c r="I8403" s="36"/>
      <c r="J8403" s="125">
        <v>0</v>
      </c>
    </row>
    <row r="8404" spans="1:10" s="144" customFormat="1" ht="15.75" hidden="1" thickBot="1" x14ac:dyDescent="0.3">
      <c r="A8404" s="247"/>
      <c r="B8404" s="245"/>
      <c r="C8404" s="155" t="s">
        <v>889</v>
      </c>
      <c r="D8404" s="155" t="s">
        <v>587</v>
      </c>
      <c r="E8404" s="156">
        <v>0.53200000000000003</v>
      </c>
      <c r="F8404" s="28">
        <v>23.635999999999999</v>
      </c>
      <c r="G8404" s="31">
        <f>IF(ISNUMBER(F8404),E8404*F8404,"")</f>
        <v>12.574352000000001</v>
      </c>
      <c r="H8404" s="32"/>
      <c r="I8404" s="36"/>
      <c r="J8404" s="125">
        <v>0</v>
      </c>
    </row>
    <row r="8405" spans="1:10" s="144" customFormat="1" ht="15.75" hidden="1" thickBot="1" x14ac:dyDescent="0.3">
      <c r="A8405" s="248"/>
      <c r="B8405" s="246"/>
      <c r="C8405" s="164"/>
      <c r="D8405" s="164"/>
      <c r="E8405" s="165"/>
      <c r="F8405" s="62" t="s">
        <v>418</v>
      </c>
      <c r="G8405" s="63" t="str">
        <f>IF(ISNUMBER(F8405),E8405*F8405,"")</f>
        <v/>
      </c>
      <c r="H8405" s="64"/>
      <c r="I8405" s="28"/>
      <c r="J8405" s="125">
        <v>0</v>
      </c>
    </row>
    <row r="8406" spans="1:10" s="144" customFormat="1" ht="15.75" hidden="1" thickBot="1" x14ac:dyDescent="0.3">
      <c r="A8406" s="234" t="s">
        <v>18817</v>
      </c>
      <c r="B8406" s="237" t="s">
        <v>21405</v>
      </c>
      <c r="C8406" s="160"/>
      <c r="D8406" s="145" t="s">
        <v>16</v>
      </c>
      <c r="E8406" s="146"/>
      <c r="F8406" s="37" t="s">
        <v>418</v>
      </c>
      <c r="G8406" s="147" t="str">
        <f>IF(ISNUMBER(F8406),E8406*F8406,"")</f>
        <v/>
      </c>
      <c r="H8406" s="148"/>
      <c r="I8406" s="149"/>
      <c r="J8406" s="125">
        <v>0</v>
      </c>
    </row>
    <row r="8407" spans="1:10" s="144" customFormat="1" ht="15.75" hidden="1" thickBot="1" x14ac:dyDescent="0.3">
      <c r="A8407" s="235"/>
      <c r="B8407" s="238"/>
      <c r="C8407" s="151"/>
      <c r="D8407" s="151"/>
      <c r="E8407" s="152"/>
      <c r="F8407" s="38" t="s">
        <v>418</v>
      </c>
      <c r="G8407" s="28" t="str">
        <f>IF(ISNUMBER(F8407),E8407*F8407,"")</f>
        <v/>
      </c>
      <c r="H8407" s="32"/>
      <c r="I8407" s="28"/>
      <c r="J8407" s="125">
        <v>0</v>
      </c>
    </row>
    <row r="8408" spans="1:10" s="144" customFormat="1" ht="15.75" hidden="1" thickBot="1" x14ac:dyDescent="0.3">
      <c r="A8408" s="235"/>
      <c r="B8408" s="238"/>
      <c r="C8408" s="155" t="s">
        <v>1022</v>
      </c>
      <c r="D8408" s="155" t="s">
        <v>587</v>
      </c>
      <c r="E8408" s="156">
        <v>0.32</v>
      </c>
      <c r="F8408" s="28">
        <v>19.522500000000001</v>
      </c>
      <c r="G8408" s="31">
        <f>IF(ISNUMBER(F8408),E8408*F8408,"")</f>
        <v>6.2472000000000003</v>
      </c>
      <c r="H8408" s="35">
        <f>SUM(G8408:G8410)</f>
        <v>14.552479999999999</v>
      </c>
      <c r="I8408" s="36"/>
      <c r="J8408" s="125">
        <v>0</v>
      </c>
    </row>
    <row r="8409" spans="1:10" s="144" customFormat="1" ht="15.75" hidden="1" thickBot="1" x14ac:dyDescent="0.3">
      <c r="A8409" s="235"/>
      <c r="B8409" s="238"/>
      <c r="C8409" s="155" t="s">
        <v>1023</v>
      </c>
      <c r="D8409" s="155" t="s">
        <v>587</v>
      </c>
      <c r="E8409" s="156">
        <v>0.32</v>
      </c>
      <c r="F8409" s="28">
        <v>25.954000000000001</v>
      </c>
      <c r="G8409" s="31">
        <f>IF(ISNUMBER(F8409),E8409*F8409,"")</f>
        <v>8.3052799999999998</v>
      </c>
      <c r="H8409" s="32"/>
      <c r="I8409" s="28"/>
      <c r="J8409" s="125">
        <v>0</v>
      </c>
    </row>
    <row r="8410" spans="1:10" s="144" customFormat="1" ht="15.75" hidden="1" thickBot="1" x14ac:dyDescent="0.3">
      <c r="A8410" s="235"/>
      <c r="B8410" s="238"/>
      <c r="C8410" s="155" t="s">
        <v>21412</v>
      </c>
      <c r="D8410" s="155" t="s">
        <v>97</v>
      </c>
      <c r="E8410" s="156">
        <v>1</v>
      </c>
      <c r="F8410" s="31" t="s">
        <v>418</v>
      </c>
      <c r="G8410" s="31" t="str">
        <f>IF(ISNUMBER(F8410),E8410*F8410,"")</f>
        <v/>
      </c>
      <c r="H8410" s="32"/>
      <c r="I8410" s="28"/>
      <c r="J8410" s="125">
        <v>0</v>
      </c>
    </row>
    <row r="8411" spans="1:10" s="144" customFormat="1" ht="15.75" hidden="1" thickBot="1" x14ac:dyDescent="0.3">
      <c r="A8411" s="236"/>
      <c r="B8411" s="239"/>
      <c r="C8411" s="155"/>
      <c r="D8411" s="155"/>
      <c r="E8411" s="156"/>
      <c r="F8411" s="28" t="s">
        <v>418</v>
      </c>
      <c r="G8411" s="28" t="str">
        <f>IF(ISNUMBER(F8411),E8411*F8411,"")</f>
        <v/>
      </c>
      <c r="H8411" s="32"/>
      <c r="I8411" s="28"/>
      <c r="J8411" s="125">
        <v>0</v>
      </c>
    </row>
    <row r="8412" spans="1:10" s="144" customFormat="1" ht="15.75" hidden="1" thickBot="1" x14ac:dyDescent="0.3">
      <c r="A8412" s="234" t="s">
        <v>18818</v>
      </c>
      <c r="B8412" s="237" t="s">
        <v>21406</v>
      </c>
      <c r="C8412" s="160"/>
      <c r="D8412" s="145" t="s">
        <v>69</v>
      </c>
      <c r="E8412" s="146"/>
      <c r="F8412" s="37" t="s">
        <v>418</v>
      </c>
      <c r="G8412" s="147" t="str">
        <f>IF(ISNUMBER(F8412),E8412*F8412,"")</f>
        <v/>
      </c>
      <c r="H8412" s="148"/>
      <c r="I8412" s="149"/>
      <c r="J8412" s="125">
        <v>0</v>
      </c>
    </row>
    <row r="8413" spans="1:10" s="144" customFormat="1" ht="15.75" hidden="1" thickBot="1" x14ac:dyDescent="0.3">
      <c r="A8413" s="235"/>
      <c r="B8413" s="238"/>
      <c r="C8413" s="151"/>
      <c r="D8413" s="151"/>
      <c r="E8413" s="152"/>
      <c r="F8413" s="38" t="s">
        <v>418</v>
      </c>
      <c r="G8413" s="28" t="str">
        <f>IF(ISNUMBER(F8413),E8413*F8413,"")</f>
        <v/>
      </c>
      <c r="H8413" s="32"/>
      <c r="I8413" s="28"/>
      <c r="J8413" s="125">
        <v>0</v>
      </c>
    </row>
    <row r="8414" spans="1:10" s="144" customFormat="1" ht="15.75" hidden="1" thickBot="1" x14ac:dyDescent="0.3">
      <c r="A8414" s="235"/>
      <c r="B8414" s="238"/>
      <c r="C8414" s="155" t="s">
        <v>1022</v>
      </c>
      <c r="D8414" s="155" t="s">
        <v>587</v>
      </c>
      <c r="E8414" s="156">
        <v>2.9000000000000001E-2</v>
      </c>
      <c r="F8414" s="28">
        <v>19.522500000000001</v>
      </c>
      <c r="G8414" s="31">
        <f>IF(ISNUMBER(F8414),E8414*F8414,"")</f>
        <v>0.56615250000000006</v>
      </c>
      <c r="H8414" s="35">
        <f>SUM(G8414:G8417)</f>
        <v>1.3642722</v>
      </c>
      <c r="I8414" s="36"/>
      <c r="J8414" s="125">
        <v>0</v>
      </c>
    </row>
    <row r="8415" spans="1:10" s="144" customFormat="1" ht="15.75" hidden="1" thickBot="1" x14ac:dyDescent="0.3">
      <c r="A8415" s="235"/>
      <c r="B8415" s="238"/>
      <c r="C8415" s="155" t="s">
        <v>1023</v>
      </c>
      <c r="D8415" s="155" t="s">
        <v>587</v>
      </c>
      <c r="E8415" s="156">
        <v>2.9000000000000001E-2</v>
      </c>
      <c r="F8415" s="28">
        <v>25.954000000000001</v>
      </c>
      <c r="G8415" s="31">
        <f>IF(ISNUMBER(F8415),E8415*F8415,"")</f>
        <v>0.75266600000000006</v>
      </c>
      <c r="H8415" s="32"/>
      <c r="I8415" s="28"/>
      <c r="J8415" s="125">
        <v>0</v>
      </c>
    </row>
    <row r="8416" spans="1:10" s="144" customFormat="1" ht="26.25" hidden="1" thickBot="1" x14ac:dyDescent="0.3">
      <c r="A8416" s="235"/>
      <c r="B8416" s="238"/>
      <c r="C8416" s="155" t="s">
        <v>21411</v>
      </c>
      <c r="D8416" s="155" t="s">
        <v>69</v>
      </c>
      <c r="E8416" s="156">
        <v>1.2434000000000001</v>
      </c>
      <c r="F8416" s="31" t="s">
        <v>418</v>
      </c>
      <c r="G8416" s="31" t="str">
        <f>IF(ISNUMBER(F8416),E8416*F8416,"")</f>
        <v/>
      </c>
      <c r="H8416" s="32"/>
      <c r="I8416" s="28"/>
      <c r="J8416" s="125">
        <v>0</v>
      </c>
    </row>
    <row r="8417" spans="1:10" s="144" customFormat="1" ht="26.25" hidden="1" thickBot="1" x14ac:dyDescent="0.3">
      <c r="A8417" s="235"/>
      <c r="B8417" s="238"/>
      <c r="C8417" s="155" t="s">
        <v>25511</v>
      </c>
      <c r="D8417" s="155" t="s">
        <v>205</v>
      </c>
      <c r="E8417" s="156">
        <v>9.4000000000000004E-3</v>
      </c>
      <c r="F8417" s="31">
        <v>4.8354999999999997</v>
      </c>
      <c r="G8417" s="31">
        <f>IF(ISNUMBER(F8417),E8417*F8417,"")</f>
        <v>4.54537E-2</v>
      </c>
      <c r="H8417" s="32"/>
      <c r="I8417" s="28"/>
      <c r="J8417" s="125">
        <v>0</v>
      </c>
    </row>
    <row r="8418" spans="1:10" s="144" customFormat="1" ht="15.75" hidden="1" thickBot="1" x14ac:dyDescent="0.3">
      <c r="A8418" s="236"/>
      <c r="B8418" s="239"/>
      <c r="C8418" s="155"/>
      <c r="D8418" s="155"/>
      <c r="E8418" s="156"/>
      <c r="F8418" s="28" t="s">
        <v>418</v>
      </c>
      <c r="G8418" s="28" t="str">
        <f>IF(ISNUMBER(F8418),E8418*F8418,"")</f>
        <v/>
      </c>
      <c r="H8418" s="32"/>
      <c r="I8418" s="28"/>
      <c r="J8418" s="125">
        <v>0</v>
      </c>
    </row>
    <row r="8419" spans="1:10" s="144" customFormat="1" ht="15.75" hidden="1" thickBot="1" x14ac:dyDescent="0.3">
      <c r="A8419" s="234" t="s">
        <v>18819</v>
      </c>
      <c r="B8419" s="237" t="s">
        <v>21407</v>
      </c>
      <c r="C8419" s="160"/>
      <c r="D8419" s="145" t="s">
        <v>16</v>
      </c>
      <c r="E8419" s="146"/>
      <c r="F8419" s="37" t="s">
        <v>418</v>
      </c>
      <c r="G8419" s="147" t="str">
        <f>IF(ISNUMBER(F8419),E8419*F8419,"")</f>
        <v/>
      </c>
      <c r="H8419" s="148"/>
      <c r="I8419" s="149"/>
      <c r="J8419" s="125">
        <v>0</v>
      </c>
    </row>
    <row r="8420" spans="1:10" s="144" customFormat="1" ht="15.75" hidden="1" thickBot="1" x14ac:dyDescent="0.3">
      <c r="A8420" s="235"/>
      <c r="B8420" s="238"/>
      <c r="C8420" s="151"/>
      <c r="D8420" s="151"/>
      <c r="E8420" s="152"/>
      <c r="F8420" s="38" t="s">
        <v>418</v>
      </c>
      <c r="G8420" s="28" t="str">
        <f>IF(ISNUMBER(F8420),E8420*F8420,"")</f>
        <v/>
      </c>
      <c r="H8420" s="32"/>
      <c r="I8420" s="28"/>
      <c r="J8420" s="125">
        <v>0</v>
      </c>
    </row>
    <row r="8421" spans="1:10" s="144" customFormat="1" ht="15.75" hidden="1" thickBot="1" x14ac:dyDescent="0.3">
      <c r="A8421" s="235"/>
      <c r="B8421" s="238"/>
      <c r="C8421" s="155" t="s">
        <v>1022</v>
      </c>
      <c r="D8421" s="155" t="s">
        <v>587</v>
      </c>
      <c r="E8421" s="156">
        <v>2</v>
      </c>
      <c r="F8421" s="28">
        <v>19.522500000000001</v>
      </c>
      <c r="G8421" s="31">
        <f>IF(ISNUMBER(F8421),E8421*F8421,"")</f>
        <v>39.045000000000002</v>
      </c>
      <c r="H8421" s="35">
        <f>SUM(G8421:G8423)</f>
        <v>90.953000000000003</v>
      </c>
      <c r="I8421" s="36"/>
      <c r="J8421" s="125">
        <v>0</v>
      </c>
    </row>
    <row r="8422" spans="1:10" s="144" customFormat="1" ht="15.75" hidden="1" thickBot="1" x14ac:dyDescent="0.3">
      <c r="A8422" s="235"/>
      <c r="B8422" s="238"/>
      <c r="C8422" s="155" t="s">
        <v>1023</v>
      </c>
      <c r="D8422" s="155" t="s">
        <v>587</v>
      </c>
      <c r="E8422" s="156">
        <v>2</v>
      </c>
      <c r="F8422" s="28">
        <v>25.954000000000001</v>
      </c>
      <c r="G8422" s="31">
        <f>IF(ISNUMBER(F8422),E8422*F8422,"")</f>
        <v>51.908000000000001</v>
      </c>
      <c r="H8422" s="32"/>
      <c r="I8422" s="28"/>
      <c r="J8422" s="125">
        <v>0</v>
      </c>
    </row>
    <row r="8423" spans="1:10" s="144" customFormat="1" ht="15.75" hidden="1" thickBot="1" x14ac:dyDescent="0.3">
      <c r="A8423" s="235"/>
      <c r="B8423" s="238"/>
      <c r="C8423" s="155" t="s">
        <v>21413</v>
      </c>
      <c r="D8423" s="155" t="s">
        <v>97</v>
      </c>
      <c r="E8423" s="156">
        <v>1</v>
      </c>
      <c r="F8423" s="31" t="s">
        <v>418</v>
      </c>
      <c r="G8423" s="31" t="str">
        <f>IF(ISNUMBER(F8423),E8423*F8423,"")</f>
        <v/>
      </c>
      <c r="H8423" s="32"/>
      <c r="I8423" s="28"/>
      <c r="J8423" s="125">
        <v>0</v>
      </c>
    </row>
    <row r="8424" spans="1:10" s="144" customFormat="1" ht="15.75" hidden="1" thickBot="1" x14ac:dyDescent="0.3">
      <c r="A8424" s="236"/>
      <c r="B8424" s="239"/>
      <c r="C8424" s="155"/>
      <c r="D8424" s="155"/>
      <c r="E8424" s="156"/>
      <c r="F8424" s="28" t="s">
        <v>418</v>
      </c>
      <c r="G8424" s="28" t="str">
        <f>IF(ISNUMBER(F8424),E8424*F8424,"")</f>
        <v/>
      </c>
      <c r="H8424" s="32"/>
      <c r="I8424" s="28"/>
      <c r="J8424" s="125">
        <v>0</v>
      </c>
    </row>
    <row r="8425" spans="1:10" s="144" customFormat="1" ht="15.75" hidden="1" thickBot="1" x14ac:dyDescent="0.3">
      <c r="A8425" s="234" t="s">
        <v>18820</v>
      </c>
      <c r="B8425" s="237" t="s">
        <v>21408</v>
      </c>
      <c r="C8425" s="160"/>
      <c r="D8425" s="145" t="s">
        <v>69</v>
      </c>
      <c r="E8425" s="146"/>
      <c r="F8425" s="37" t="s">
        <v>418</v>
      </c>
      <c r="G8425" s="147" t="str">
        <f>IF(ISNUMBER(F8425),E8425*F8425,"")</f>
        <v/>
      </c>
      <c r="H8425" s="148"/>
      <c r="I8425" s="149"/>
      <c r="J8425" s="125">
        <v>0</v>
      </c>
    </row>
    <row r="8426" spans="1:10" s="144" customFormat="1" ht="15.75" hidden="1" thickBot="1" x14ac:dyDescent="0.3">
      <c r="A8426" s="235"/>
      <c r="B8426" s="238"/>
      <c r="C8426" s="151"/>
      <c r="D8426" s="151"/>
      <c r="E8426" s="152"/>
      <c r="F8426" s="38" t="s">
        <v>418</v>
      </c>
      <c r="G8426" s="28" t="str">
        <f>IF(ISNUMBER(F8426),E8426*F8426,"")</f>
        <v/>
      </c>
      <c r="H8426" s="32"/>
      <c r="I8426" s="28"/>
      <c r="J8426" s="125">
        <v>0</v>
      </c>
    </row>
    <row r="8427" spans="1:10" s="144" customFormat="1" ht="15.75" hidden="1" thickBot="1" x14ac:dyDescent="0.3">
      <c r="A8427" s="235"/>
      <c r="B8427" s="238"/>
      <c r="C8427" s="155" t="s">
        <v>24103</v>
      </c>
      <c r="D8427" s="155" t="s">
        <v>385</v>
      </c>
      <c r="E8427" s="156">
        <v>1.05</v>
      </c>
      <c r="F8427" s="28">
        <v>38</v>
      </c>
      <c r="G8427" s="31">
        <f>IF(ISNUMBER(F8427),E8427*F8427,"")</f>
        <v>39.9</v>
      </c>
      <c r="H8427" s="35">
        <f>SUM(G8427:G8429)</f>
        <v>41.405272149999995</v>
      </c>
      <c r="I8427" s="36"/>
      <c r="J8427" s="125">
        <v>0</v>
      </c>
    </row>
    <row r="8428" spans="1:10" s="144" customFormat="1" ht="15.75" hidden="1" thickBot="1" x14ac:dyDescent="0.3">
      <c r="A8428" s="235"/>
      <c r="B8428" s="238"/>
      <c r="C8428" s="155" t="s">
        <v>1022</v>
      </c>
      <c r="D8428" s="155" t="s">
        <v>587</v>
      </c>
      <c r="E8428" s="156">
        <v>3.3099999999999997E-2</v>
      </c>
      <c r="F8428" s="28">
        <v>19.522500000000001</v>
      </c>
      <c r="G8428" s="31">
        <f>IF(ISNUMBER(F8428),E8428*F8428,"")</f>
        <v>0.64619474999999993</v>
      </c>
      <c r="H8428" s="32"/>
      <c r="I8428" s="28"/>
      <c r="J8428" s="125">
        <v>0</v>
      </c>
    </row>
    <row r="8429" spans="1:10" s="144" customFormat="1" ht="15.75" hidden="1" thickBot="1" x14ac:dyDescent="0.3">
      <c r="A8429" s="235"/>
      <c r="B8429" s="238"/>
      <c r="C8429" s="155" t="s">
        <v>1023</v>
      </c>
      <c r="D8429" s="155" t="s">
        <v>587</v>
      </c>
      <c r="E8429" s="156">
        <v>3.3099999999999997E-2</v>
      </c>
      <c r="F8429" s="31">
        <v>25.954000000000001</v>
      </c>
      <c r="G8429" s="31">
        <f>IF(ISNUMBER(F8429),E8429*F8429,"")</f>
        <v>0.85907739999999999</v>
      </c>
      <c r="H8429" s="32"/>
      <c r="I8429" s="28"/>
      <c r="J8429" s="125">
        <v>0</v>
      </c>
    </row>
    <row r="8430" spans="1:10" s="144" customFormat="1" ht="15.75" hidden="1" thickBot="1" x14ac:dyDescent="0.3">
      <c r="A8430" s="236"/>
      <c r="B8430" s="239"/>
      <c r="C8430" s="155"/>
      <c r="D8430" s="155"/>
      <c r="E8430" s="156"/>
      <c r="F8430" s="28" t="s">
        <v>418</v>
      </c>
      <c r="G8430" s="28" t="str">
        <f>IF(ISNUMBER(F8430),E8430*F8430,"")</f>
        <v/>
      </c>
      <c r="H8430" s="32"/>
      <c r="I8430" s="28"/>
      <c r="J8430" s="125">
        <v>0</v>
      </c>
    </row>
    <row r="8431" spans="1:10" s="144" customFormat="1" ht="15.75" hidden="1" thickBot="1" x14ac:dyDescent="0.3">
      <c r="A8431" s="234" t="s">
        <v>18821</v>
      </c>
      <c r="B8431" s="237" t="s">
        <v>21409</v>
      </c>
      <c r="C8431" s="160"/>
      <c r="D8431" s="145" t="s">
        <v>16</v>
      </c>
      <c r="E8431" s="146"/>
      <c r="F8431" s="37" t="s">
        <v>418</v>
      </c>
      <c r="G8431" s="147" t="str">
        <f>IF(ISNUMBER(F8431),E8431*F8431,"")</f>
        <v/>
      </c>
      <c r="H8431" s="148"/>
      <c r="I8431" s="149"/>
      <c r="J8431" s="125">
        <v>0</v>
      </c>
    </row>
    <row r="8432" spans="1:10" s="144" customFormat="1" ht="15.75" hidden="1" thickBot="1" x14ac:dyDescent="0.3">
      <c r="A8432" s="235"/>
      <c r="B8432" s="238"/>
      <c r="C8432" s="151"/>
      <c r="D8432" s="151"/>
      <c r="E8432" s="152"/>
      <c r="F8432" s="38" t="s">
        <v>418</v>
      </c>
      <c r="G8432" s="28" t="str">
        <f>IF(ISNUMBER(F8432),E8432*F8432,"")</f>
        <v/>
      </c>
      <c r="H8432" s="32"/>
      <c r="I8432" s="28"/>
      <c r="J8432" s="125">
        <v>0</v>
      </c>
    </row>
    <row r="8433" spans="1:10" s="144" customFormat="1" ht="26.25" hidden="1" thickBot="1" x14ac:dyDescent="0.3">
      <c r="A8433" s="235"/>
      <c r="B8433" s="238"/>
      <c r="C8433" s="155" t="s">
        <v>38844</v>
      </c>
      <c r="D8433" s="155" t="s">
        <v>205</v>
      </c>
      <c r="E8433" s="156">
        <v>1</v>
      </c>
      <c r="F8433" s="28">
        <v>39.567499999999995</v>
      </c>
      <c r="G8433" s="31">
        <f>IF(ISNUMBER(F8433),E8433*F8433,"")</f>
        <v>39.567499999999995</v>
      </c>
      <c r="H8433" s="35">
        <f>SUM(G8433:G8436)</f>
        <v>48.883729725823493</v>
      </c>
      <c r="I8433" s="36"/>
      <c r="J8433" s="125">
        <v>0</v>
      </c>
    </row>
    <row r="8434" spans="1:10" s="144" customFormat="1" ht="15.75" hidden="1" thickBot="1" x14ac:dyDescent="0.3">
      <c r="A8434" s="235"/>
      <c r="B8434" s="238"/>
      <c r="C8434" s="155" t="s">
        <v>595</v>
      </c>
      <c r="D8434" s="155" t="s">
        <v>587</v>
      </c>
      <c r="E8434" s="156">
        <v>0.1384</v>
      </c>
      <c r="F8434" s="28">
        <v>25.65</v>
      </c>
      <c r="G8434" s="31">
        <f>IF(ISNUMBER(F8434),E8434*F8434,"")</f>
        <v>3.5499599999999996</v>
      </c>
      <c r="H8434" s="32"/>
      <c r="I8434" s="28"/>
      <c r="J8434" s="125">
        <v>0</v>
      </c>
    </row>
    <row r="8435" spans="1:10" s="144" customFormat="1" ht="15.75" hidden="1" thickBot="1" x14ac:dyDescent="0.3">
      <c r="A8435" s="235"/>
      <c r="B8435" s="238"/>
      <c r="C8435" s="155" t="s">
        <v>588</v>
      </c>
      <c r="D8435" s="155" t="s">
        <v>587</v>
      </c>
      <c r="E8435" s="156">
        <v>0.10879999999999999</v>
      </c>
      <c r="F8435" s="31">
        <v>19.189999999999998</v>
      </c>
      <c r="G8435" s="31">
        <f>IF(ISNUMBER(F8435),E8435*F8435,"")</f>
        <v>2.0878719999999995</v>
      </c>
      <c r="H8435" s="32"/>
      <c r="I8435" s="28"/>
      <c r="J8435" s="125">
        <v>0</v>
      </c>
    </row>
    <row r="8436" spans="1:10" s="144" customFormat="1" ht="26.25" hidden="1" thickBot="1" x14ac:dyDescent="0.3">
      <c r="A8436" s="235"/>
      <c r="B8436" s="238"/>
      <c r="C8436" s="155" t="s">
        <v>11526</v>
      </c>
      <c r="D8436" s="155" t="s">
        <v>85</v>
      </c>
      <c r="E8436" s="156">
        <v>1.41E-2</v>
      </c>
      <c r="F8436" s="31">
        <v>260.87927133499994</v>
      </c>
      <c r="G8436" s="31">
        <f>IF(ISNUMBER(F8436),E8436*F8436,"")</f>
        <v>3.678397725823499</v>
      </c>
      <c r="H8436" s="32"/>
      <c r="I8436" s="28"/>
      <c r="J8436" s="125">
        <v>0</v>
      </c>
    </row>
    <row r="8437" spans="1:10" s="144" customFormat="1" ht="15.75" hidden="1" thickBot="1" x14ac:dyDescent="0.3">
      <c r="A8437" s="236"/>
      <c r="B8437" s="239"/>
      <c r="C8437" s="155"/>
      <c r="D8437" s="155"/>
      <c r="E8437" s="156"/>
      <c r="F8437" s="28" t="s">
        <v>418</v>
      </c>
      <c r="G8437" s="28" t="str">
        <f>IF(ISNUMBER(F8437),E8437*F8437,"")</f>
        <v/>
      </c>
      <c r="H8437" s="32"/>
      <c r="I8437" s="28"/>
      <c r="J8437" s="125">
        <v>0</v>
      </c>
    </row>
    <row r="8438" spans="1:10" s="144" customFormat="1" ht="15.75" hidden="1" thickBot="1" x14ac:dyDescent="0.3">
      <c r="A8438" s="234" t="s">
        <v>18822</v>
      </c>
      <c r="B8438" s="237" t="s">
        <v>21410</v>
      </c>
      <c r="C8438" s="160"/>
      <c r="D8438" s="145" t="s">
        <v>16</v>
      </c>
      <c r="E8438" s="146"/>
      <c r="F8438" s="37" t="s">
        <v>418</v>
      </c>
      <c r="G8438" s="147" t="str">
        <f>IF(ISNUMBER(F8438),E8438*F8438,"")</f>
        <v/>
      </c>
      <c r="H8438" s="148"/>
      <c r="I8438" s="149"/>
      <c r="J8438" s="125">
        <v>0</v>
      </c>
    </row>
    <row r="8439" spans="1:10" s="144" customFormat="1" ht="15.75" hidden="1" thickBot="1" x14ac:dyDescent="0.3">
      <c r="A8439" s="235"/>
      <c r="B8439" s="238"/>
      <c r="C8439" s="151"/>
      <c r="D8439" s="151"/>
      <c r="E8439" s="152"/>
      <c r="F8439" s="38" t="s">
        <v>418</v>
      </c>
      <c r="G8439" s="28" t="str">
        <f>IF(ISNUMBER(F8439),E8439*F8439,"")</f>
        <v/>
      </c>
      <c r="H8439" s="32"/>
      <c r="I8439" s="28"/>
      <c r="J8439" s="125">
        <v>0</v>
      </c>
    </row>
    <row r="8440" spans="1:10" s="144" customFormat="1" ht="26.25" hidden="1" thickBot="1" x14ac:dyDescent="0.3">
      <c r="A8440" s="235"/>
      <c r="B8440" s="238"/>
      <c r="C8440" s="155" t="s">
        <v>26512</v>
      </c>
      <c r="D8440" s="155" t="s">
        <v>205</v>
      </c>
      <c r="E8440" s="156">
        <v>1</v>
      </c>
      <c r="F8440" s="28">
        <v>12.530499999999998</v>
      </c>
      <c r="G8440" s="31">
        <f>IF(ISNUMBER(F8440),E8440*F8440,"")</f>
        <v>12.530499999999998</v>
      </c>
      <c r="H8440" s="35">
        <f>SUM(G8440:G8442)</f>
        <v>18.6516369</v>
      </c>
      <c r="I8440" s="36"/>
      <c r="J8440" s="125">
        <v>0</v>
      </c>
    </row>
    <row r="8441" spans="1:10" s="144" customFormat="1" ht="15.75" hidden="1" thickBot="1" x14ac:dyDescent="0.3">
      <c r="A8441" s="235"/>
      <c r="B8441" s="238"/>
      <c r="C8441" s="155" t="s">
        <v>1022</v>
      </c>
      <c r="D8441" s="155" t="s">
        <v>587</v>
      </c>
      <c r="E8441" s="156">
        <v>0.1346</v>
      </c>
      <c r="F8441" s="28">
        <v>19.522500000000001</v>
      </c>
      <c r="G8441" s="31">
        <f>IF(ISNUMBER(F8441),E8441*F8441,"")</f>
        <v>2.6277284999999999</v>
      </c>
      <c r="H8441" s="32"/>
      <c r="I8441" s="28"/>
      <c r="J8441" s="125">
        <v>0</v>
      </c>
    </row>
    <row r="8442" spans="1:10" s="144" customFormat="1" ht="15.75" hidden="1" thickBot="1" x14ac:dyDescent="0.3">
      <c r="A8442" s="235"/>
      <c r="B8442" s="238"/>
      <c r="C8442" s="155" t="s">
        <v>1023</v>
      </c>
      <c r="D8442" s="155" t="s">
        <v>587</v>
      </c>
      <c r="E8442" s="156">
        <v>0.1346</v>
      </c>
      <c r="F8442" s="31">
        <v>25.954000000000001</v>
      </c>
      <c r="G8442" s="31">
        <f>IF(ISNUMBER(F8442),E8442*F8442,"")</f>
        <v>3.4934083999999999</v>
      </c>
      <c r="H8442" s="32"/>
      <c r="I8442" s="28"/>
      <c r="J8442" s="125">
        <v>0</v>
      </c>
    </row>
    <row r="8443" spans="1:10" s="144" customFormat="1" ht="15.75" hidden="1" thickBot="1" x14ac:dyDescent="0.3">
      <c r="A8443" s="236"/>
      <c r="B8443" s="239"/>
      <c r="C8443" s="164"/>
      <c r="D8443" s="164"/>
      <c r="E8443" s="165"/>
      <c r="F8443" s="62" t="s">
        <v>418</v>
      </c>
      <c r="G8443" s="62" t="str">
        <f>IF(ISNUMBER(F8443),E8443*F8443,"")</f>
        <v/>
      </c>
      <c r="H8443" s="64"/>
      <c r="I8443" s="28"/>
      <c r="J8443" s="125">
        <v>0</v>
      </c>
    </row>
    <row r="8444" spans="1:10" s="144" customFormat="1" ht="15.75" hidden="1" thickBot="1" x14ac:dyDescent="0.3">
      <c r="A8444" s="241" t="s">
        <v>18823</v>
      </c>
      <c r="B8444" s="244" t="s">
        <v>21419</v>
      </c>
      <c r="C8444" s="160"/>
      <c r="D8444" s="145" t="s">
        <v>16</v>
      </c>
      <c r="E8444" s="146"/>
      <c r="F8444" s="37" t="s">
        <v>418</v>
      </c>
      <c r="G8444" s="147" t="str">
        <f>IF(ISNUMBER(F8444),E8444*F8444,"")</f>
        <v/>
      </c>
      <c r="H8444" s="148"/>
      <c r="I8444" s="149"/>
      <c r="J8444" s="125">
        <v>0</v>
      </c>
    </row>
    <row r="8445" spans="1:10" s="144" customFormat="1" ht="15.75" hidden="1" thickBot="1" x14ac:dyDescent="0.3">
      <c r="A8445" s="247"/>
      <c r="B8445" s="245"/>
      <c r="C8445" s="151"/>
      <c r="D8445" s="151"/>
      <c r="E8445" s="152"/>
      <c r="F8445" s="38" t="s">
        <v>418</v>
      </c>
      <c r="G8445" s="31" t="str">
        <f>IF(ISNUMBER(F8445),E8445*F8445,"")</f>
        <v/>
      </c>
      <c r="H8445" s="32"/>
      <c r="I8445" s="28"/>
      <c r="J8445" s="125">
        <v>0</v>
      </c>
    </row>
    <row r="8446" spans="1:10" s="144" customFormat="1" ht="26.25" hidden="1" thickBot="1" x14ac:dyDescent="0.3">
      <c r="A8446" s="247"/>
      <c r="B8446" s="245"/>
      <c r="C8446" s="155" t="s">
        <v>824</v>
      </c>
      <c r="D8446" s="155" t="s">
        <v>587</v>
      </c>
      <c r="E8446" s="130">
        <v>0.4</v>
      </c>
      <c r="F8446" s="28">
        <v>18.6295</v>
      </c>
      <c r="G8446" s="31">
        <f>IF(ISNUMBER(F8446),E8446*F8446,"")</f>
        <v>7.4518000000000004</v>
      </c>
      <c r="H8446" s="35">
        <f>SUM(G8446:G8448)</f>
        <v>108.9118</v>
      </c>
      <c r="I8446" s="36"/>
      <c r="J8446" s="125">
        <v>0</v>
      </c>
    </row>
    <row r="8447" spans="1:10" s="144" customFormat="1" ht="26.25" hidden="1" thickBot="1" x14ac:dyDescent="0.3">
      <c r="A8447" s="247"/>
      <c r="B8447" s="245"/>
      <c r="C8447" s="155" t="s">
        <v>825</v>
      </c>
      <c r="D8447" s="155" t="s">
        <v>587</v>
      </c>
      <c r="E8447" s="156">
        <v>0.4</v>
      </c>
      <c r="F8447" s="28">
        <v>24.9375</v>
      </c>
      <c r="G8447" s="31">
        <f>IF(ISNUMBER(F8447),E8447*F8447,"")</f>
        <v>9.9750000000000014</v>
      </c>
      <c r="H8447" s="32"/>
      <c r="I8447" s="28"/>
      <c r="J8447" s="125">
        <v>0</v>
      </c>
    </row>
    <row r="8448" spans="1:10" s="144" customFormat="1" ht="26.25" hidden="1" thickBot="1" x14ac:dyDescent="0.3">
      <c r="A8448" s="247"/>
      <c r="B8448" s="245"/>
      <c r="C8448" s="155" t="s">
        <v>24308</v>
      </c>
      <c r="D8448" s="155" t="s">
        <v>205</v>
      </c>
      <c r="E8448" s="156">
        <v>1</v>
      </c>
      <c r="F8448" s="31">
        <v>91.484999999999999</v>
      </c>
      <c r="G8448" s="31">
        <f>IF(ISNUMBER(F8448),E8448*F8448,"")</f>
        <v>91.484999999999999</v>
      </c>
      <c r="H8448" s="32"/>
      <c r="I8448" s="28"/>
      <c r="J8448" s="125">
        <v>0</v>
      </c>
    </row>
    <row r="8449" spans="1:10" s="144" customFormat="1" ht="15.75" hidden="1" thickBot="1" x14ac:dyDescent="0.3">
      <c r="A8449" s="247"/>
      <c r="B8449" s="245"/>
      <c r="C8449" s="155"/>
      <c r="D8449" s="129"/>
      <c r="E8449" s="130"/>
      <c r="F8449" s="28"/>
      <c r="G8449" s="31"/>
      <c r="H8449" s="32"/>
      <c r="I8449" s="36"/>
      <c r="J8449" s="125">
        <v>0</v>
      </c>
    </row>
    <row r="8450" spans="1:10" s="144" customFormat="1" ht="15.75" hidden="1" thickBot="1" x14ac:dyDescent="0.3">
      <c r="A8450" s="241" t="s">
        <v>18824</v>
      </c>
      <c r="B8450" s="244" t="s">
        <v>21418</v>
      </c>
      <c r="C8450" s="160"/>
      <c r="D8450" s="145" t="s">
        <v>69</v>
      </c>
      <c r="E8450" s="146"/>
      <c r="F8450" s="37" t="s">
        <v>418</v>
      </c>
      <c r="G8450" s="147" t="str">
        <f>IF(ISNUMBER(F8450),E8450*F8450,"")</f>
        <v/>
      </c>
      <c r="H8450" s="148"/>
      <c r="I8450" s="149"/>
      <c r="J8450" s="125">
        <v>0</v>
      </c>
    </row>
    <row r="8451" spans="1:10" s="144" customFormat="1" ht="15.75" hidden="1" thickBot="1" x14ac:dyDescent="0.3">
      <c r="A8451" s="247"/>
      <c r="B8451" s="245"/>
      <c r="C8451" s="151"/>
      <c r="D8451" s="151"/>
      <c r="E8451" s="152"/>
      <c r="F8451" s="38" t="s">
        <v>418</v>
      </c>
      <c r="G8451" s="31" t="str">
        <f>IF(ISNUMBER(F8451),E8451*F8451,"")</f>
        <v/>
      </c>
      <c r="H8451" s="32"/>
      <c r="I8451" s="28"/>
      <c r="J8451" s="125">
        <v>0</v>
      </c>
    </row>
    <row r="8452" spans="1:10" s="144" customFormat="1" ht="15.75" hidden="1" thickBot="1" x14ac:dyDescent="0.3">
      <c r="A8452" s="247"/>
      <c r="B8452" s="245"/>
      <c r="C8452" s="155" t="s">
        <v>23790</v>
      </c>
      <c r="D8452" s="155" t="s">
        <v>774</v>
      </c>
      <c r="E8452" s="156">
        <v>9.2240000000000002</v>
      </c>
      <c r="F8452" s="28">
        <v>11.228999999999999</v>
      </c>
      <c r="G8452" s="31">
        <f>IF(ISNUMBER(F8452),E8452*F8452,"")</f>
        <v>103.576296</v>
      </c>
      <c r="H8452" s="35">
        <f>SUM(G8452:G8465)</f>
        <v>565.99057249999998</v>
      </c>
      <c r="I8452" s="36"/>
      <c r="J8452" s="125">
        <v>0</v>
      </c>
    </row>
    <row r="8453" spans="1:10" s="144" customFormat="1" ht="15.75" hidden="1" thickBot="1" x14ac:dyDescent="0.3">
      <c r="A8453" s="247"/>
      <c r="B8453" s="245"/>
      <c r="C8453" s="155" t="s">
        <v>1043</v>
      </c>
      <c r="D8453" s="155" t="s">
        <v>774</v>
      </c>
      <c r="E8453" s="156">
        <v>0.89600000000000002</v>
      </c>
      <c r="F8453" s="31">
        <v>10.336</v>
      </c>
      <c r="G8453" s="31">
        <f>IF(ISNUMBER(F8453),E8453*F8453,"")</f>
        <v>9.261056</v>
      </c>
      <c r="H8453" s="32"/>
      <c r="I8453" s="28"/>
      <c r="J8453" s="125">
        <v>0</v>
      </c>
    </row>
    <row r="8454" spans="1:10" s="144" customFormat="1" ht="15.75" hidden="1" thickBot="1" x14ac:dyDescent="0.3">
      <c r="A8454" s="247"/>
      <c r="B8454" s="245"/>
      <c r="C8454" s="155" t="s">
        <v>1044</v>
      </c>
      <c r="D8454" s="155" t="s">
        <v>774</v>
      </c>
      <c r="E8454" s="156">
        <v>7.0999999999999994E-2</v>
      </c>
      <c r="F8454" s="31">
        <v>27.454999999999998</v>
      </c>
      <c r="G8454" s="31">
        <f>IF(ISNUMBER(F8454),E8454*F8454,"")</f>
        <v>1.9493049999999996</v>
      </c>
      <c r="H8454" s="32"/>
      <c r="I8454" s="28"/>
      <c r="J8454" s="125">
        <v>0</v>
      </c>
    </row>
    <row r="8455" spans="1:10" s="144" customFormat="1" ht="26.25" hidden="1" thickBot="1" x14ac:dyDescent="0.3">
      <c r="A8455" s="247"/>
      <c r="B8455" s="245"/>
      <c r="C8455" s="155" t="s">
        <v>910</v>
      </c>
      <c r="D8455" s="155" t="s">
        <v>205</v>
      </c>
      <c r="E8455" s="156">
        <v>3.3330000000000002</v>
      </c>
      <c r="F8455" s="31">
        <v>2.6219999999999999</v>
      </c>
      <c r="G8455" s="31">
        <f>IF(ISNUMBER(F8455),E8455*F8455,"")</f>
        <v>8.7391260000000006</v>
      </c>
      <c r="H8455" s="32"/>
      <c r="I8455" s="28"/>
      <c r="J8455" s="125">
        <v>0</v>
      </c>
    </row>
    <row r="8456" spans="1:10" s="144" customFormat="1" ht="26.25" hidden="1" thickBot="1" x14ac:dyDescent="0.3">
      <c r="A8456" s="247"/>
      <c r="B8456" s="245"/>
      <c r="C8456" s="155" t="s">
        <v>38864</v>
      </c>
      <c r="D8456" s="155" t="s">
        <v>385</v>
      </c>
      <c r="E8456" s="156">
        <v>0.9</v>
      </c>
      <c r="F8456" s="31">
        <v>47.946499999999993</v>
      </c>
      <c r="G8456" s="31">
        <f>IF(ISNUMBER(F8456),E8456*F8456,"")</f>
        <v>43.151849999999996</v>
      </c>
      <c r="H8456" s="32"/>
      <c r="I8456" s="28"/>
      <c r="J8456" s="125">
        <v>0</v>
      </c>
    </row>
    <row r="8457" spans="1:10" s="144" customFormat="1" ht="26.25" hidden="1" thickBot="1" x14ac:dyDescent="0.3">
      <c r="A8457" s="247"/>
      <c r="B8457" s="245"/>
      <c r="C8457" s="155" t="s">
        <v>38851</v>
      </c>
      <c r="D8457" s="155" t="s">
        <v>385</v>
      </c>
      <c r="E8457" s="156">
        <v>1.0289999999999999</v>
      </c>
      <c r="F8457" s="31">
        <v>62.576500000000003</v>
      </c>
      <c r="G8457" s="31">
        <f>IF(ISNUMBER(F8457),E8457*F8457,"")</f>
        <v>64.391218499999994</v>
      </c>
      <c r="H8457" s="32"/>
      <c r="I8457" s="28"/>
      <c r="J8457" s="125">
        <v>0</v>
      </c>
    </row>
    <row r="8458" spans="1:10" s="144" customFormat="1" ht="15.75" hidden="1" thickBot="1" x14ac:dyDescent="0.3">
      <c r="A8458" s="247"/>
      <c r="B8458" s="245"/>
      <c r="C8458" s="155" t="s">
        <v>664</v>
      </c>
      <c r="D8458" s="155" t="s">
        <v>587</v>
      </c>
      <c r="E8458" s="156">
        <v>4.7480000000000002</v>
      </c>
      <c r="F8458" s="31">
        <v>19.189999999999998</v>
      </c>
      <c r="G8458" s="31">
        <f>IF(ISNUMBER(F8458),E8458*F8458,"")</f>
        <v>91.11412</v>
      </c>
      <c r="H8458" s="32"/>
      <c r="I8458" s="28"/>
      <c r="J8458" s="125">
        <v>0</v>
      </c>
    </row>
    <row r="8459" spans="1:10" s="144" customFormat="1" ht="15.75" hidden="1" thickBot="1" x14ac:dyDescent="0.3">
      <c r="A8459" s="247"/>
      <c r="B8459" s="245"/>
      <c r="C8459" s="155" t="s">
        <v>1048</v>
      </c>
      <c r="D8459" s="155" t="s">
        <v>587</v>
      </c>
      <c r="E8459" s="156">
        <v>5.78</v>
      </c>
      <c r="F8459" s="31">
        <v>25.46</v>
      </c>
      <c r="G8459" s="31">
        <f>IF(ISNUMBER(F8459),E8459*F8459,"")</f>
        <v>147.15880000000001</v>
      </c>
      <c r="H8459" s="32"/>
      <c r="I8459" s="28"/>
      <c r="J8459" s="125">
        <v>0</v>
      </c>
    </row>
    <row r="8460" spans="1:10" s="144" customFormat="1" ht="39" hidden="1" thickBot="1" x14ac:dyDescent="0.3">
      <c r="A8460" s="247"/>
      <c r="B8460" s="245"/>
      <c r="C8460" s="155" t="s">
        <v>996</v>
      </c>
      <c r="D8460" s="155" t="s">
        <v>205</v>
      </c>
      <c r="E8460" s="156">
        <v>3.2730000000000001</v>
      </c>
      <c r="F8460" s="31">
        <v>0.57950000000000002</v>
      </c>
      <c r="G8460" s="31">
        <f>IF(ISNUMBER(F8460),E8460*F8460,"")</f>
        <v>1.8967035000000001</v>
      </c>
      <c r="H8460" s="32"/>
      <c r="I8460" s="28"/>
      <c r="J8460" s="125">
        <v>0</v>
      </c>
    </row>
    <row r="8461" spans="1:10" s="144" customFormat="1" ht="15.75" hidden="1" thickBot="1" x14ac:dyDescent="0.3">
      <c r="A8461" s="247"/>
      <c r="B8461" s="245"/>
      <c r="C8461" s="155" t="s">
        <v>1044</v>
      </c>
      <c r="D8461" s="155" t="s">
        <v>774</v>
      </c>
      <c r="E8461" s="156">
        <v>4.0000000000000001E-3</v>
      </c>
      <c r="F8461" s="31">
        <v>27.454999999999998</v>
      </c>
      <c r="G8461" s="31">
        <f>IF(ISNUMBER(F8461),E8461*F8461,"")</f>
        <v>0.10982</v>
      </c>
      <c r="H8461" s="32"/>
      <c r="I8461" s="28"/>
      <c r="J8461" s="125">
        <v>0</v>
      </c>
    </row>
    <row r="8462" spans="1:10" s="144" customFormat="1" ht="15.75" hidden="1" thickBot="1" x14ac:dyDescent="0.3">
      <c r="A8462" s="247"/>
      <c r="B8462" s="245"/>
      <c r="C8462" s="155" t="s">
        <v>27424</v>
      </c>
      <c r="D8462" s="155" t="s">
        <v>205</v>
      </c>
      <c r="E8462" s="156">
        <v>1.091</v>
      </c>
      <c r="F8462" s="31">
        <v>5.7189999999999994</v>
      </c>
      <c r="G8462" s="31">
        <f>IF(ISNUMBER(F8462),E8462*F8462,"")</f>
        <v>6.2394289999999994</v>
      </c>
      <c r="H8462" s="32"/>
      <c r="I8462" s="28"/>
      <c r="J8462" s="125">
        <v>0</v>
      </c>
    </row>
    <row r="8463" spans="1:10" s="144" customFormat="1" ht="26.25" hidden="1" thickBot="1" x14ac:dyDescent="0.3">
      <c r="A8463" s="247"/>
      <c r="B8463" s="245"/>
      <c r="C8463" s="155" t="s">
        <v>38864</v>
      </c>
      <c r="D8463" s="155" t="s">
        <v>385</v>
      </c>
      <c r="E8463" s="156">
        <v>1.0289999999999999</v>
      </c>
      <c r="F8463" s="31">
        <v>47.946499999999993</v>
      </c>
      <c r="G8463" s="31">
        <f>IF(ISNUMBER(F8463),E8463*F8463,"")</f>
        <v>49.336948499999991</v>
      </c>
      <c r="H8463" s="32"/>
      <c r="I8463" s="28"/>
      <c r="J8463" s="125">
        <v>0</v>
      </c>
    </row>
    <row r="8464" spans="1:10" s="144" customFormat="1" ht="15.75" hidden="1" thickBot="1" x14ac:dyDescent="0.3">
      <c r="A8464" s="247"/>
      <c r="B8464" s="245"/>
      <c r="C8464" s="155" t="s">
        <v>664</v>
      </c>
      <c r="D8464" s="155" t="s">
        <v>587</v>
      </c>
      <c r="E8464" s="156">
        <v>0.77800000000000002</v>
      </c>
      <c r="F8464" s="31">
        <v>19.189999999999998</v>
      </c>
      <c r="G8464" s="31">
        <f>IF(ISNUMBER(F8464),E8464*F8464,"")</f>
        <v>14.929819999999999</v>
      </c>
      <c r="H8464" s="32"/>
      <c r="I8464" s="28"/>
      <c r="J8464" s="125">
        <v>0</v>
      </c>
    </row>
    <row r="8465" spans="1:10" s="144" customFormat="1" ht="15.75" hidden="1" thickBot="1" x14ac:dyDescent="0.3">
      <c r="A8465" s="247"/>
      <c r="B8465" s="245"/>
      <c r="C8465" s="155" t="s">
        <v>1048</v>
      </c>
      <c r="D8465" s="155" t="s">
        <v>587</v>
      </c>
      <c r="E8465" s="156">
        <v>0.94799999999999995</v>
      </c>
      <c r="F8465" s="31">
        <v>25.46</v>
      </c>
      <c r="G8465" s="31">
        <f>IF(ISNUMBER(F8465),E8465*F8465,"")</f>
        <v>24.13608</v>
      </c>
      <c r="H8465" s="32"/>
      <c r="I8465" s="28"/>
      <c r="J8465" s="125">
        <v>0</v>
      </c>
    </row>
    <row r="8466" spans="1:10" s="144" customFormat="1" ht="15.75" hidden="1" thickBot="1" x14ac:dyDescent="0.3">
      <c r="A8466" s="247"/>
      <c r="B8466" s="245"/>
      <c r="C8466" s="155"/>
      <c r="D8466" s="129"/>
      <c r="E8466" s="130"/>
      <c r="F8466" s="28"/>
      <c r="G8466" s="31"/>
      <c r="H8466" s="32"/>
      <c r="I8466" s="36"/>
      <c r="J8466" s="125">
        <v>0</v>
      </c>
    </row>
    <row r="8467" spans="1:10" s="144" customFormat="1" ht="15.75" hidden="1" thickBot="1" x14ac:dyDescent="0.3">
      <c r="A8467" s="241" t="s">
        <v>18825</v>
      </c>
      <c r="B8467" s="244" t="s">
        <v>21417</v>
      </c>
      <c r="C8467" s="160"/>
      <c r="D8467" s="145" t="s">
        <v>16</v>
      </c>
      <c r="E8467" s="146"/>
      <c r="F8467" s="37" t="s">
        <v>418</v>
      </c>
      <c r="G8467" s="147" t="str">
        <f>IF(ISNUMBER(F8467),E8467*F8467,"")</f>
        <v/>
      </c>
      <c r="H8467" s="148"/>
      <c r="I8467" s="149"/>
      <c r="J8467" s="125">
        <v>0</v>
      </c>
    </row>
    <row r="8468" spans="1:10" s="144" customFormat="1" ht="15.75" hidden="1" thickBot="1" x14ac:dyDescent="0.3">
      <c r="A8468" s="247"/>
      <c r="B8468" s="245"/>
      <c r="C8468" s="151"/>
      <c r="D8468" s="151"/>
      <c r="E8468" s="152"/>
      <c r="F8468" s="38" t="s">
        <v>418</v>
      </c>
      <c r="G8468" s="31" t="str">
        <f>IF(ISNUMBER(F8468),E8468*F8468,"")</f>
        <v/>
      </c>
      <c r="H8468" s="32"/>
      <c r="I8468" s="28"/>
      <c r="J8468" s="125">
        <v>0</v>
      </c>
    </row>
    <row r="8469" spans="1:10" s="144" customFormat="1" ht="26.25" hidden="1" thickBot="1" x14ac:dyDescent="0.3">
      <c r="A8469" s="247"/>
      <c r="B8469" s="245"/>
      <c r="C8469" s="155" t="s">
        <v>825</v>
      </c>
      <c r="D8469" s="155" t="s">
        <v>587</v>
      </c>
      <c r="E8469" s="130">
        <v>5.1499999999999997E-2</v>
      </c>
      <c r="F8469" s="28">
        <v>24.9375</v>
      </c>
      <c r="G8469" s="31">
        <f>IF(ISNUMBER(F8469),E8469*F8469,"")</f>
        <v>1.2842812499999998</v>
      </c>
      <c r="H8469" s="35">
        <f>SUM(G8469:G8471)</f>
        <v>2.2725662499999997</v>
      </c>
      <c r="I8469" s="36"/>
      <c r="J8469" s="125">
        <v>0</v>
      </c>
    </row>
    <row r="8470" spans="1:10" s="169" customFormat="1" ht="15.75" hidden="1" thickBot="1" x14ac:dyDescent="0.3">
      <c r="A8470" s="247"/>
      <c r="B8470" s="245"/>
      <c r="C8470" s="155" t="s">
        <v>588</v>
      </c>
      <c r="D8470" s="155" t="s">
        <v>587</v>
      </c>
      <c r="E8470" s="130">
        <v>5.1499999999999997E-2</v>
      </c>
      <c r="F8470" s="31">
        <v>19.189999999999998</v>
      </c>
      <c r="G8470" s="31">
        <f>IF(ISNUMBER(F8470),E8470*F8470,"")</f>
        <v>0.98828499999999986</v>
      </c>
      <c r="H8470" s="32"/>
      <c r="I8470" s="28"/>
      <c r="J8470" s="125">
        <v>0</v>
      </c>
    </row>
    <row r="8471" spans="1:10" s="169" customFormat="1" ht="26.25" hidden="1" thickBot="1" x14ac:dyDescent="0.3">
      <c r="A8471" s="247"/>
      <c r="B8471" s="245"/>
      <c r="C8471" s="155" t="s">
        <v>21420</v>
      </c>
      <c r="D8471" s="155" t="s">
        <v>205</v>
      </c>
      <c r="E8471" s="156">
        <v>1</v>
      </c>
      <c r="F8471" s="31" t="s">
        <v>418</v>
      </c>
      <c r="G8471" s="31" t="str">
        <f>IF(ISNUMBER(F8471),E8471*F8471,"")</f>
        <v/>
      </c>
      <c r="H8471" s="32"/>
      <c r="I8471" s="28"/>
      <c r="J8471" s="125">
        <v>0</v>
      </c>
    </row>
    <row r="8472" spans="1:10" s="144" customFormat="1" ht="15.75" hidden="1" thickBot="1" x14ac:dyDescent="0.3">
      <c r="A8472" s="247"/>
      <c r="B8472" s="245"/>
      <c r="C8472" s="155"/>
      <c r="D8472" s="129"/>
      <c r="E8472" s="130"/>
      <c r="F8472" s="28"/>
      <c r="G8472" s="31"/>
      <c r="H8472" s="32"/>
      <c r="I8472" s="36"/>
      <c r="J8472" s="125">
        <v>0</v>
      </c>
    </row>
    <row r="8473" spans="1:10" s="144" customFormat="1" ht="15.75" hidden="1" thickBot="1" x14ac:dyDescent="0.3">
      <c r="A8473" s="241" t="s">
        <v>18826</v>
      </c>
      <c r="B8473" s="244" t="s">
        <v>21415</v>
      </c>
      <c r="C8473" s="160"/>
      <c r="D8473" s="145" t="s">
        <v>16</v>
      </c>
      <c r="E8473" s="146"/>
      <c r="F8473" s="37" t="s">
        <v>418</v>
      </c>
      <c r="G8473" s="147" t="str">
        <f>IF(ISNUMBER(F8473),E8473*F8473,"")</f>
        <v/>
      </c>
      <c r="H8473" s="148"/>
      <c r="I8473" s="149"/>
      <c r="J8473" s="125">
        <v>0</v>
      </c>
    </row>
    <row r="8474" spans="1:10" s="144" customFormat="1" ht="15.75" hidden="1" thickBot="1" x14ac:dyDescent="0.3">
      <c r="A8474" s="247"/>
      <c r="B8474" s="245"/>
      <c r="C8474" s="151"/>
      <c r="D8474" s="151"/>
      <c r="E8474" s="152"/>
      <c r="F8474" s="38" t="s">
        <v>418</v>
      </c>
      <c r="G8474" s="31" t="str">
        <f>IF(ISNUMBER(F8474),E8474*F8474,"")</f>
        <v/>
      </c>
      <c r="H8474" s="32"/>
      <c r="I8474" s="28"/>
      <c r="J8474" s="125">
        <v>0</v>
      </c>
    </row>
    <row r="8475" spans="1:10" s="144" customFormat="1" ht="15.75" hidden="1" thickBot="1" x14ac:dyDescent="0.3">
      <c r="A8475" s="247"/>
      <c r="B8475" s="245"/>
      <c r="C8475" s="155" t="s">
        <v>24767</v>
      </c>
      <c r="D8475" s="155" t="s">
        <v>205</v>
      </c>
      <c r="E8475" s="130">
        <v>1</v>
      </c>
      <c r="F8475" s="28">
        <v>32.109999999999992</v>
      </c>
      <c r="G8475" s="31">
        <f>IF(ISNUMBER(F8475),E8475*F8475,"")</f>
        <v>32.109999999999992</v>
      </c>
      <c r="H8475" s="35">
        <f>SUM(G8475:G8475)</f>
        <v>32.109999999999992</v>
      </c>
      <c r="I8475" s="36"/>
      <c r="J8475" s="125">
        <v>0</v>
      </c>
    </row>
    <row r="8476" spans="1:10" s="144" customFormat="1" ht="15.75" hidden="1" thickBot="1" x14ac:dyDescent="0.3">
      <c r="A8476" s="247"/>
      <c r="B8476" s="245"/>
      <c r="C8476" s="155"/>
      <c r="D8476" s="129"/>
      <c r="E8476" s="130"/>
      <c r="F8476" s="28"/>
      <c r="G8476" s="31"/>
      <c r="H8476" s="32"/>
      <c r="I8476" s="36"/>
      <c r="J8476" s="125">
        <v>0</v>
      </c>
    </row>
    <row r="8477" spans="1:10" s="144" customFormat="1" ht="15.75" hidden="1" thickBot="1" x14ac:dyDescent="0.3">
      <c r="A8477" s="241" t="s">
        <v>18827</v>
      </c>
      <c r="B8477" s="244" t="s">
        <v>21416</v>
      </c>
      <c r="C8477" s="160"/>
      <c r="D8477" s="145" t="s">
        <v>16</v>
      </c>
      <c r="E8477" s="146"/>
      <c r="F8477" s="37" t="s">
        <v>418</v>
      </c>
      <c r="G8477" s="147" t="str">
        <f>IF(ISNUMBER(F8477),E8477*F8477,"")</f>
        <v/>
      </c>
      <c r="H8477" s="148"/>
      <c r="I8477" s="149"/>
      <c r="J8477" s="125">
        <v>0</v>
      </c>
    </row>
    <row r="8478" spans="1:10" s="144" customFormat="1" ht="15.75" hidden="1" thickBot="1" x14ac:dyDescent="0.3">
      <c r="A8478" s="247"/>
      <c r="B8478" s="251"/>
      <c r="C8478" s="127"/>
      <c r="D8478" s="127"/>
      <c r="E8478" s="128"/>
      <c r="F8478" s="38" t="s">
        <v>418</v>
      </c>
      <c r="G8478" s="31" t="str">
        <f>IF(ISNUMBER(F8478),E8478*F8478,"")</f>
        <v/>
      </c>
      <c r="H8478" s="32"/>
      <c r="I8478" s="28"/>
      <c r="J8478" s="125">
        <v>0</v>
      </c>
    </row>
    <row r="8479" spans="1:10" s="144" customFormat="1" ht="26.25" hidden="1" thickBot="1" x14ac:dyDescent="0.3">
      <c r="A8479" s="247"/>
      <c r="B8479" s="251"/>
      <c r="C8479" s="129" t="s">
        <v>1066</v>
      </c>
      <c r="D8479" s="129" t="s">
        <v>205</v>
      </c>
      <c r="E8479" s="130">
        <v>1</v>
      </c>
      <c r="F8479" s="28">
        <v>4.8259999999999996</v>
      </c>
      <c r="G8479" s="31">
        <f>IF(ISNUMBER(F8479),E8479*F8479,"")</f>
        <v>4.8259999999999996</v>
      </c>
      <c r="H8479" s="35">
        <f>SUM(G8479:G8479)</f>
        <v>4.8259999999999996</v>
      </c>
      <c r="I8479" s="36"/>
      <c r="J8479" s="125">
        <v>0</v>
      </c>
    </row>
    <row r="8480" spans="1:10" s="144" customFormat="1" ht="15.75" hidden="1" thickBot="1" x14ac:dyDescent="0.3">
      <c r="A8480" s="248"/>
      <c r="B8480" s="246"/>
      <c r="C8480" s="164"/>
      <c r="D8480" s="164"/>
      <c r="E8480" s="165"/>
      <c r="F8480" s="62"/>
      <c r="G8480" s="63"/>
      <c r="H8480" s="64"/>
      <c r="I8480" s="36"/>
      <c r="J8480" s="125">
        <v>0</v>
      </c>
    </row>
    <row r="8481" spans="1:10" s="169" customFormat="1" ht="15.75" hidden="1" thickBot="1" x14ac:dyDescent="0.3">
      <c r="A8481" s="234" t="s">
        <v>18828</v>
      </c>
      <c r="B8481" s="237" t="s">
        <v>21421</v>
      </c>
      <c r="C8481" s="160"/>
      <c r="D8481" s="145" t="s">
        <v>16</v>
      </c>
      <c r="E8481" s="146"/>
      <c r="F8481" s="37" t="s">
        <v>418</v>
      </c>
      <c r="G8481" s="147" t="str">
        <f>IF(ISNUMBER(F8481),E8481*F8481,"")</f>
        <v/>
      </c>
      <c r="H8481" s="148"/>
      <c r="I8481" s="149"/>
      <c r="J8481" s="125">
        <v>0</v>
      </c>
    </row>
    <row r="8482" spans="1:10" s="169" customFormat="1" ht="15.75" hidden="1" thickBot="1" x14ac:dyDescent="0.3">
      <c r="A8482" s="235"/>
      <c r="B8482" s="238"/>
      <c r="C8482" s="151"/>
      <c r="D8482" s="151"/>
      <c r="E8482" s="152"/>
      <c r="F8482" s="38" t="s">
        <v>418</v>
      </c>
      <c r="G8482" s="28" t="str">
        <f>IF(ISNUMBER(F8482),E8482*F8482,"")</f>
        <v/>
      </c>
      <c r="H8482" s="32"/>
      <c r="I8482" s="28"/>
      <c r="J8482" s="125">
        <v>0</v>
      </c>
    </row>
    <row r="8483" spans="1:10" s="169" customFormat="1" ht="15.75" hidden="1" thickBot="1" x14ac:dyDescent="0.3">
      <c r="A8483" s="235"/>
      <c r="B8483" s="238"/>
      <c r="C8483" s="155" t="s">
        <v>21429</v>
      </c>
      <c r="D8483" s="155" t="s">
        <v>97</v>
      </c>
      <c r="E8483" s="156">
        <v>1</v>
      </c>
      <c r="F8483" s="31" t="s">
        <v>418</v>
      </c>
      <c r="G8483" s="31" t="str">
        <f>IF(ISNUMBER(F8483),E8483*F8483,"")</f>
        <v/>
      </c>
      <c r="H8483" s="35">
        <f>SUM(G8483:G8488)</f>
        <v>16.826305000000001</v>
      </c>
      <c r="I8483" s="36"/>
      <c r="J8483" s="125">
        <v>0</v>
      </c>
    </row>
    <row r="8484" spans="1:10" s="169" customFormat="1" ht="26.25" hidden="1" thickBot="1" x14ac:dyDescent="0.3">
      <c r="A8484" s="235"/>
      <c r="B8484" s="238"/>
      <c r="C8484" s="155" t="s">
        <v>21392</v>
      </c>
      <c r="D8484" s="155" t="s">
        <v>69</v>
      </c>
      <c r="E8484" s="156">
        <v>1.5</v>
      </c>
      <c r="F8484" s="31" t="s">
        <v>418</v>
      </c>
      <c r="G8484" s="28" t="str">
        <f>IF(ISNUMBER(F8484),E8484*F8484,"")</f>
        <v/>
      </c>
      <c r="H8484" s="32"/>
      <c r="I8484" s="28"/>
      <c r="J8484" s="125">
        <v>0</v>
      </c>
    </row>
    <row r="8485" spans="1:10" s="169" customFormat="1" ht="15.75" hidden="1" thickBot="1" x14ac:dyDescent="0.3">
      <c r="A8485" s="235"/>
      <c r="B8485" s="238"/>
      <c r="C8485" s="155" t="s">
        <v>436</v>
      </c>
      <c r="D8485" s="155" t="s">
        <v>97</v>
      </c>
      <c r="E8485" s="156">
        <v>1</v>
      </c>
      <c r="F8485" s="31" t="s">
        <v>418</v>
      </c>
      <c r="G8485" s="28" t="str">
        <f>IF(ISNUMBER(F8485),E8485*F8485,"")</f>
        <v/>
      </c>
      <c r="H8485" s="32"/>
      <c r="I8485" s="28"/>
      <c r="J8485" s="125">
        <v>0</v>
      </c>
    </row>
    <row r="8486" spans="1:10" s="169" customFormat="1" ht="15.75" hidden="1" thickBot="1" x14ac:dyDescent="0.3">
      <c r="A8486" s="235"/>
      <c r="B8486" s="238"/>
      <c r="C8486" s="155" t="s">
        <v>437</v>
      </c>
      <c r="D8486" s="155" t="s">
        <v>97</v>
      </c>
      <c r="E8486" s="156">
        <v>1</v>
      </c>
      <c r="F8486" s="31" t="s">
        <v>418</v>
      </c>
      <c r="G8486" s="28" t="str">
        <f>IF(ISNUMBER(F8486),E8486*F8486,"")</f>
        <v/>
      </c>
      <c r="H8486" s="32"/>
      <c r="I8486" s="28"/>
      <c r="J8486" s="125">
        <v>0</v>
      </c>
    </row>
    <row r="8487" spans="1:10" s="169" customFormat="1" ht="15.75" hidden="1" thickBot="1" x14ac:dyDescent="0.3">
      <c r="A8487" s="235"/>
      <c r="B8487" s="238"/>
      <c r="C8487" s="155" t="s">
        <v>1022</v>
      </c>
      <c r="D8487" s="155" t="s">
        <v>587</v>
      </c>
      <c r="E8487" s="156">
        <v>0.37</v>
      </c>
      <c r="F8487" s="28">
        <v>19.522500000000001</v>
      </c>
      <c r="G8487" s="31">
        <f>IF(ISNUMBER(F8487),E8487*F8487,"")</f>
        <v>7.223325</v>
      </c>
      <c r="H8487" s="32"/>
      <c r="I8487" s="28"/>
      <c r="J8487" s="125">
        <v>0</v>
      </c>
    </row>
    <row r="8488" spans="1:10" s="169" customFormat="1" ht="15.75" hidden="1" thickBot="1" x14ac:dyDescent="0.3">
      <c r="A8488" s="235"/>
      <c r="B8488" s="238"/>
      <c r="C8488" s="155" t="s">
        <v>1023</v>
      </c>
      <c r="D8488" s="155" t="s">
        <v>587</v>
      </c>
      <c r="E8488" s="156">
        <v>0.37</v>
      </c>
      <c r="F8488" s="28">
        <v>25.954000000000001</v>
      </c>
      <c r="G8488" s="28">
        <f>IF(ISNUMBER(F8488),E8488*F8488,"")</f>
        <v>9.6029800000000005</v>
      </c>
      <c r="H8488" s="32"/>
      <c r="I8488" s="28"/>
      <c r="J8488" s="125">
        <v>0</v>
      </c>
    </row>
    <row r="8489" spans="1:10" s="169" customFormat="1" ht="15.75" hidden="1" thickBot="1" x14ac:dyDescent="0.3">
      <c r="A8489" s="236"/>
      <c r="B8489" s="239"/>
      <c r="C8489" s="155"/>
      <c r="D8489" s="155"/>
      <c r="E8489" s="156"/>
      <c r="F8489" s="28" t="s">
        <v>418</v>
      </c>
      <c r="G8489" s="28" t="str">
        <f>IF(ISNUMBER(F8489),E8489*F8489,"")</f>
        <v/>
      </c>
      <c r="H8489" s="32"/>
      <c r="I8489" s="28"/>
      <c r="J8489" s="125">
        <v>0</v>
      </c>
    </row>
    <row r="8490" spans="1:10" s="169" customFormat="1" ht="15.75" hidden="1" thickBot="1" x14ac:dyDescent="0.3">
      <c r="A8490" s="234" t="s">
        <v>18829</v>
      </c>
      <c r="B8490" s="237" t="s">
        <v>21422</v>
      </c>
      <c r="C8490" s="160"/>
      <c r="D8490" s="145" t="s">
        <v>16</v>
      </c>
      <c r="E8490" s="146"/>
      <c r="F8490" s="37" t="s">
        <v>418</v>
      </c>
      <c r="G8490" s="147" t="str">
        <f>IF(ISNUMBER(F8490),E8490*F8490,"")</f>
        <v/>
      </c>
      <c r="H8490" s="148"/>
      <c r="I8490" s="149"/>
      <c r="J8490" s="125">
        <v>0</v>
      </c>
    </row>
    <row r="8491" spans="1:10" s="169" customFormat="1" ht="15.75" hidden="1" thickBot="1" x14ac:dyDescent="0.3">
      <c r="A8491" s="235"/>
      <c r="B8491" s="238"/>
      <c r="C8491" s="151"/>
      <c r="D8491" s="151"/>
      <c r="E8491" s="152"/>
      <c r="F8491" s="38" t="s">
        <v>418</v>
      </c>
      <c r="G8491" s="28" t="str">
        <f>IF(ISNUMBER(F8491),E8491*F8491,"")</f>
        <v/>
      </c>
      <c r="H8491" s="32"/>
      <c r="I8491" s="28"/>
      <c r="J8491" s="125">
        <v>0</v>
      </c>
    </row>
    <row r="8492" spans="1:10" s="169" customFormat="1" ht="15.75" hidden="1" thickBot="1" x14ac:dyDescent="0.3">
      <c r="A8492" s="235"/>
      <c r="B8492" s="238"/>
      <c r="C8492" s="155" t="s">
        <v>21430</v>
      </c>
      <c r="D8492" s="155" t="s">
        <v>97</v>
      </c>
      <c r="E8492" s="156">
        <v>1</v>
      </c>
      <c r="F8492" s="31" t="s">
        <v>418</v>
      </c>
      <c r="G8492" s="31" t="str">
        <f>IF(ISNUMBER(F8492),E8492*F8492,"")</f>
        <v/>
      </c>
      <c r="H8492" s="35">
        <f>SUM(G8492:G8497)</f>
        <v>16.826305000000001</v>
      </c>
      <c r="I8492" s="36"/>
      <c r="J8492" s="125">
        <v>0</v>
      </c>
    </row>
    <row r="8493" spans="1:10" s="169" customFormat="1" ht="26.25" hidden="1" thickBot="1" x14ac:dyDescent="0.3">
      <c r="A8493" s="235"/>
      <c r="B8493" s="238"/>
      <c r="C8493" s="155" t="s">
        <v>21392</v>
      </c>
      <c r="D8493" s="155" t="s">
        <v>69</v>
      </c>
      <c r="E8493" s="156">
        <v>1.5</v>
      </c>
      <c r="F8493" s="31" t="s">
        <v>418</v>
      </c>
      <c r="G8493" s="28" t="str">
        <f>IF(ISNUMBER(F8493),E8493*F8493,"")</f>
        <v/>
      </c>
      <c r="H8493" s="32"/>
      <c r="I8493" s="28"/>
      <c r="J8493" s="125">
        <v>0</v>
      </c>
    </row>
    <row r="8494" spans="1:10" s="169" customFormat="1" ht="15.75" hidden="1" thickBot="1" x14ac:dyDescent="0.3">
      <c r="A8494" s="235"/>
      <c r="B8494" s="238"/>
      <c r="C8494" s="155" t="s">
        <v>436</v>
      </c>
      <c r="D8494" s="155" t="s">
        <v>97</v>
      </c>
      <c r="E8494" s="156">
        <v>1</v>
      </c>
      <c r="F8494" s="31" t="s">
        <v>418</v>
      </c>
      <c r="G8494" s="28" t="str">
        <f>IF(ISNUMBER(F8494),E8494*F8494,"")</f>
        <v/>
      </c>
      <c r="H8494" s="32"/>
      <c r="I8494" s="28"/>
      <c r="J8494" s="125">
        <v>0</v>
      </c>
    </row>
    <row r="8495" spans="1:10" s="169" customFormat="1" ht="15.75" hidden="1" thickBot="1" x14ac:dyDescent="0.3">
      <c r="A8495" s="235"/>
      <c r="B8495" s="238"/>
      <c r="C8495" s="155" t="s">
        <v>437</v>
      </c>
      <c r="D8495" s="155" t="s">
        <v>97</v>
      </c>
      <c r="E8495" s="156">
        <v>1</v>
      </c>
      <c r="F8495" s="31" t="s">
        <v>418</v>
      </c>
      <c r="G8495" s="28" t="str">
        <f>IF(ISNUMBER(F8495),E8495*F8495,"")</f>
        <v/>
      </c>
      <c r="H8495" s="32"/>
      <c r="I8495" s="28"/>
      <c r="J8495" s="125">
        <v>0</v>
      </c>
    </row>
    <row r="8496" spans="1:10" s="169" customFormat="1" ht="15.75" hidden="1" thickBot="1" x14ac:dyDescent="0.3">
      <c r="A8496" s="235"/>
      <c r="B8496" s="238"/>
      <c r="C8496" s="155" t="s">
        <v>1022</v>
      </c>
      <c r="D8496" s="155" t="s">
        <v>587</v>
      </c>
      <c r="E8496" s="156">
        <v>0.37</v>
      </c>
      <c r="F8496" s="28">
        <v>19.522500000000001</v>
      </c>
      <c r="G8496" s="31">
        <f>IF(ISNUMBER(F8496),E8496*F8496,"")</f>
        <v>7.223325</v>
      </c>
      <c r="H8496" s="32"/>
      <c r="I8496" s="28"/>
      <c r="J8496" s="125">
        <v>0</v>
      </c>
    </row>
    <row r="8497" spans="1:10" s="169" customFormat="1" ht="15.75" hidden="1" thickBot="1" x14ac:dyDescent="0.3">
      <c r="A8497" s="235"/>
      <c r="B8497" s="238"/>
      <c r="C8497" s="155" t="s">
        <v>1023</v>
      </c>
      <c r="D8497" s="155" t="s">
        <v>587</v>
      </c>
      <c r="E8497" s="156">
        <v>0.37</v>
      </c>
      <c r="F8497" s="28">
        <v>25.954000000000001</v>
      </c>
      <c r="G8497" s="28">
        <f>IF(ISNUMBER(F8497),E8497*F8497,"")</f>
        <v>9.6029800000000005</v>
      </c>
      <c r="H8497" s="32"/>
      <c r="I8497" s="28"/>
      <c r="J8497" s="125">
        <v>0</v>
      </c>
    </row>
    <row r="8498" spans="1:10" s="169" customFormat="1" ht="15.75" hidden="1" thickBot="1" x14ac:dyDescent="0.3">
      <c r="A8498" s="236"/>
      <c r="B8498" s="239"/>
      <c r="C8498" s="155"/>
      <c r="D8498" s="155"/>
      <c r="E8498" s="156"/>
      <c r="F8498" s="28" t="s">
        <v>418</v>
      </c>
      <c r="G8498" s="28" t="str">
        <f>IF(ISNUMBER(F8498),E8498*F8498,"")</f>
        <v/>
      </c>
      <c r="H8498" s="32"/>
      <c r="I8498" s="28"/>
      <c r="J8498" s="125">
        <v>0</v>
      </c>
    </row>
    <row r="8499" spans="1:10" s="169" customFormat="1" ht="15.75" hidden="1" thickBot="1" x14ac:dyDescent="0.3">
      <c r="A8499" s="234" t="s">
        <v>18830</v>
      </c>
      <c r="B8499" s="237" t="s">
        <v>21423</v>
      </c>
      <c r="C8499" s="160"/>
      <c r="D8499" s="145" t="s">
        <v>16</v>
      </c>
      <c r="E8499" s="146"/>
      <c r="F8499" s="37" t="s">
        <v>418</v>
      </c>
      <c r="G8499" s="147" t="str">
        <f>IF(ISNUMBER(F8499),E8499*F8499,"")</f>
        <v/>
      </c>
      <c r="H8499" s="148"/>
      <c r="I8499" s="149"/>
      <c r="J8499" s="125">
        <v>0</v>
      </c>
    </row>
    <row r="8500" spans="1:10" s="169" customFormat="1" ht="15.75" hidden="1" thickBot="1" x14ac:dyDescent="0.3">
      <c r="A8500" s="235"/>
      <c r="B8500" s="238"/>
      <c r="C8500" s="151"/>
      <c r="D8500" s="151"/>
      <c r="E8500" s="152"/>
      <c r="F8500" s="38" t="s">
        <v>418</v>
      </c>
      <c r="G8500" s="28" t="str">
        <f>IF(ISNUMBER(F8500),E8500*F8500,"")</f>
        <v/>
      </c>
      <c r="H8500" s="32"/>
      <c r="I8500" s="28"/>
      <c r="J8500" s="125">
        <v>0</v>
      </c>
    </row>
    <row r="8501" spans="1:10" s="169" customFormat="1" ht="15.75" hidden="1" thickBot="1" x14ac:dyDescent="0.3">
      <c r="A8501" s="235"/>
      <c r="B8501" s="238"/>
      <c r="C8501" s="155" t="s">
        <v>1022</v>
      </c>
      <c r="D8501" s="155" t="s">
        <v>587</v>
      </c>
      <c r="E8501" s="156">
        <v>0.1</v>
      </c>
      <c r="F8501" s="28">
        <v>19.522500000000001</v>
      </c>
      <c r="G8501" s="28">
        <f>IF(ISNUMBER(F8501),E8501*F8501,"")</f>
        <v>1.9522500000000003</v>
      </c>
      <c r="H8501" s="35">
        <f>SUM(G8501:G8502)</f>
        <v>1.9522500000000003</v>
      </c>
      <c r="I8501" s="36"/>
      <c r="J8501" s="125">
        <v>0</v>
      </c>
    </row>
    <row r="8502" spans="1:10" s="169" customFormat="1" ht="15.75" hidden="1" thickBot="1" x14ac:dyDescent="0.3">
      <c r="A8502" s="235"/>
      <c r="B8502" s="238"/>
      <c r="C8502" s="155" t="s">
        <v>21431</v>
      </c>
      <c r="D8502" s="155" t="s">
        <v>16</v>
      </c>
      <c r="E8502" s="156">
        <v>1</v>
      </c>
      <c r="F8502" s="31" t="s">
        <v>418</v>
      </c>
      <c r="G8502" s="28" t="str">
        <f>IF(ISNUMBER(F8502),E8502*F8502,"")</f>
        <v/>
      </c>
      <c r="H8502" s="32"/>
      <c r="I8502" s="28"/>
      <c r="J8502" s="125">
        <v>0</v>
      </c>
    </row>
    <row r="8503" spans="1:10" s="169" customFormat="1" ht="15.75" hidden="1" thickBot="1" x14ac:dyDescent="0.3">
      <c r="A8503" s="236"/>
      <c r="B8503" s="239"/>
      <c r="C8503" s="155"/>
      <c r="D8503" s="155"/>
      <c r="E8503" s="156"/>
      <c r="F8503" s="28" t="s">
        <v>418</v>
      </c>
      <c r="G8503" s="28" t="str">
        <f>IF(ISNUMBER(F8503),E8503*F8503,"")</f>
        <v/>
      </c>
      <c r="H8503" s="32"/>
      <c r="I8503" s="28"/>
      <c r="J8503" s="125">
        <v>0</v>
      </c>
    </row>
    <row r="8504" spans="1:10" s="169" customFormat="1" ht="15.75" hidden="1" thickBot="1" x14ac:dyDescent="0.3">
      <c r="A8504" s="234" t="s">
        <v>18831</v>
      </c>
      <c r="B8504" s="237" t="s">
        <v>21424</v>
      </c>
      <c r="C8504" s="160"/>
      <c r="D8504" s="145" t="s">
        <v>16</v>
      </c>
      <c r="E8504" s="146"/>
      <c r="F8504" s="37" t="s">
        <v>418</v>
      </c>
      <c r="G8504" s="147" t="str">
        <f>IF(ISNUMBER(F8504),E8504*F8504,"")</f>
        <v/>
      </c>
      <c r="H8504" s="148"/>
      <c r="I8504" s="149"/>
      <c r="J8504" s="125">
        <v>0</v>
      </c>
    </row>
    <row r="8505" spans="1:10" s="169" customFormat="1" ht="15.75" hidden="1" thickBot="1" x14ac:dyDescent="0.3">
      <c r="A8505" s="235"/>
      <c r="B8505" s="238"/>
      <c r="C8505" s="151"/>
      <c r="D8505" s="151"/>
      <c r="E8505" s="152"/>
      <c r="F8505" s="38" t="s">
        <v>418</v>
      </c>
      <c r="G8505" s="28" t="str">
        <f>IF(ISNUMBER(F8505),E8505*F8505,"")</f>
        <v/>
      </c>
      <c r="H8505" s="32"/>
      <c r="I8505" s="28"/>
      <c r="J8505" s="125">
        <v>0</v>
      </c>
    </row>
    <row r="8506" spans="1:10" s="169" customFormat="1" ht="15.75" hidden="1" thickBot="1" x14ac:dyDescent="0.3">
      <c r="A8506" s="235"/>
      <c r="B8506" s="238"/>
      <c r="C8506" s="155" t="s">
        <v>1022</v>
      </c>
      <c r="D8506" s="155" t="s">
        <v>587</v>
      </c>
      <c r="E8506" s="156">
        <v>0.1</v>
      </c>
      <c r="F8506" s="28">
        <v>19.522500000000001</v>
      </c>
      <c r="G8506" s="28">
        <f>IF(ISNUMBER(F8506),E8506*F8506,"")</f>
        <v>1.9522500000000003</v>
      </c>
      <c r="H8506" s="35">
        <f>SUM(G8506:G8507)</f>
        <v>1.9522500000000003</v>
      </c>
      <c r="I8506" s="36"/>
      <c r="J8506" s="125">
        <v>0</v>
      </c>
    </row>
    <row r="8507" spans="1:10" s="169" customFormat="1" ht="15.75" hidden="1" thickBot="1" x14ac:dyDescent="0.3">
      <c r="A8507" s="235"/>
      <c r="B8507" s="238"/>
      <c r="C8507" s="155" t="s">
        <v>21432</v>
      </c>
      <c r="D8507" s="155" t="s">
        <v>16</v>
      </c>
      <c r="E8507" s="156">
        <v>1</v>
      </c>
      <c r="F8507" s="31" t="s">
        <v>418</v>
      </c>
      <c r="G8507" s="28" t="str">
        <f>IF(ISNUMBER(F8507),E8507*F8507,"")</f>
        <v/>
      </c>
      <c r="H8507" s="32"/>
      <c r="I8507" s="28"/>
      <c r="J8507" s="125">
        <v>0</v>
      </c>
    </row>
    <row r="8508" spans="1:10" s="169" customFormat="1" ht="15.75" hidden="1" thickBot="1" x14ac:dyDescent="0.3">
      <c r="A8508" s="236"/>
      <c r="B8508" s="239"/>
      <c r="C8508" s="155"/>
      <c r="D8508" s="155"/>
      <c r="E8508" s="156"/>
      <c r="F8508" s="28" t="s">
        <v>418</v>
      </c>
      <c r="G8508" s="28" t="str">
        <f>IF(ISNUMBER(F8508),E8508*F8508,"")</f>
        <v/>
      </c>
      <c r="H8508" s="32"/>
      <c r="I8508" s="28"/>
      <c r="J8508" s="125">
        <v>0</v>
      </c>
    </row>
    <row r="8509" spans="1:10" s="169" customFormat="1" ht="15.75" hidden="1" thickBot="1" x14ac:dyDescent="0.3">
      <c r="A8509" s="234" t="s">
        <v>18832</v>
      </c>
      <c r="B8509" s="237" t="s">
        <v>21425</v>
      </c>
      <c r="C8509" s="160"/>
      <c r="D8509" s="145" t="s">
        <v>16</v>
      </c>
      <c r="E8509" s="146"/>
      <c r="F8509" s="37" t="s">
        <v>418</v>
      </c>
      <c r="G8509" s="147" t="str">
        <f>IF(ISNUMBER(F8509),E8509*F8509,"")</f>
        <v/>
      </c>
      <c r="H8509" s="148"/>
      <c r="I8509" s="149"/>
      <c r="J8509" s="125">
        <v>0</v>
      </c>
    </row>
    <row r="8510" spans="1:10" s="169" customFormat="1" ht="15.75" hidden="1" thickBot="1" x14ac:dyDescent="0.3">
      <c r="A8510" s="235"/>
      <c r="B8510" s="238"/>
      <c r="C8510" s="151"/>
      <c r="D8510" s="151"/>
      <c r="E8510" s="152"/>
      <c r="F8510" s="38" t="s">
        <v>418</v>
      </c>
      <c r="G8510" s="28" t="str">
        <f>IF(ISNUMBER(F8510),E8510*F8510,"")</f>
        <v/>
      </c>
      <c r="H8510" s="32"/>
      <c r="I8510" s="28"/>
      <c r="J8510" s="125">
        <v>0</v>
      </c>
    </row>
    <row r="8511" spans="1:10" s="169" customFormat="1" ht="15.75" hidden="1" thickBot="1" x14ac:dyDescent="0.3">
      <c r="A8511" s="235"/>
      <c r="B8511" s="238"/>
      <c r="C8511" s="155" t="s">
        <v>1022</v>
      </c>
      <c r="D8511" s="155" t="s">
        <v>587</v>
      </c>
      <c r="E8511" s="156">
        <v>0.1</v>
      </c>
      <c r="F8511" s="28">
        <v>19.522500000000001</v>
      </c>
      <c r="G8511" s="28">
        <f>IF(ISNUMBER(F8511),E8511*F8511,"")</f>
        <v>1.9522500000000003</v>
      </c>
      <c r="H8511" s="35">
        <f>SUM(G8511:G8512)</f>
        <v>1.9522500000000003</v>
      </c>
      <c r="I8511" s="36"/>
      <c r="J8511" s="125">
        <v>0</v>
      </c>
    </row>
    <row r="8512" spans="1:10" s="169" customFormat="1" ht="15.75" hidden="1" thickBot="1" x14ac:dyDescent="0.3">
      <c r="A8512" s="235"/>
      <c r="B8512" s="238"/>
      <c r="C8512" s="155" t="s">
        <v>21433</v>
      </c>
      <c r="D8512" s="155" t="s">
        <v>16</v>
      </c>
      <c r="E8512" s="156">
        <v>1</v>
      </c>
      <c r="F8512" s="31" t="s">
        <v>418</v>
      </c>
      <c r="G8512" s="28" t="str">
        <f>IF(ISNUMBER(F8512),E8512*F8512,"")</f>
        <v/>
      </c>
      <c r="H8512" s="32"/>
      <c r="I8512" s="28"/>
      <c r="J8512" s="125">
        <v>0</v>
      </c>
    </row>
    <row r="8513" spans="1:10" s="169" customFormat="1" ht="15.75" hidden="1" thickBot="1" x14ac:dyDescent="0.3">
      <c r="A8513" s="236"/>
      <c r="B8513" s="239"/>
      <c r="C8513" s="155"/>
      <c r="D8513" s="155"/>
      <c r="E8513" s="156"/>
      <c r="F8513" s="28" t="s">
        <v>418</v>
      </c>
      <c r="G8513" s="28" t="str">
        <f>IF(ISNUMBER(F8513),E8513*F8513,"")</f>
        <v/>
      </c>
      <c r="H8513" s="32"/>
      <c r="I8513" s="28"/>
      <c r="J8513" s="125">
        <v>0</v>
      </c>
    </row>
    <row r="8514" spans="1:10" s="169" customFormat="1" ht="15.75" hidden="1" thickBot="1" x14ac:dyDescent="0.3">
      <c r="A8514" s="234" t="s">
        <v>18833</v>
      </c>
      <c r="B8514" s="237" t="s">
        <v>21426</v>
      </c>
      <c r="C8514" s="160"/>
      <c r="D8514" s="145" t="s">
        <v>16</v>
      </c>
      <c r="E8514" s="146"/>
      <c r="F8514" s="37" t="s">
        <v>418</v>
      </c>
      <c r="G8514" s="147" t="str">
        <f>IF(ISNUMBER(F8514),E8514*F8514,"")</f>
        <v/>
      </c>
      <c r="H8514" s="148"/>
      <c r="I8514" s="149"/>
      <c r="J8514" s="125">
        <v>0</v>
      </c>
    </row>
    <row r="8515" spans="1:10" s="169" customFormat="1" ht="15.75" hidden="1" thickBot="1" x14ac:dyDescent="0.3">
      <c r="A8515" s="235"/>
      <c r="B8515" s="238"/>
      <c r="C8515" s="151"/>
      <c r="D8515" s="151"/>
      <c r="E8515" s="152"/>
      <c r="F8515" s="38" t="s">
        <v>418</v>
      </c>
      <c r="G8515" s="28" t="str">
        <f>IF(ISNUMBER(F8515),E8515*F8515,"")</f>
        <v/>
      </c>
      <c r="H8515" s="32"/>
      <c r="I8515" s="28"/>
      <c r="J8515" s="125">
        <v>0</v>
      </c>
    </row>
    <row r="8516" spans="1:10" s="169" customFormat="1" ht="15.75" hidden="1" thickBot="1" x14ac:dyDescent="0.3">
      <c r="A8516" s="235"/>
      <c r="B8516" s="238"/>
      <c r="C8516" s="155" t="s">
        <v>1023</v>
      </c>
      <c r="D8516" s="155" t="s">
        <v>587</v>
      </c>
      <c r="E8516" s="156">
        <v>0.317</v>
      </c>
      <c r="F8516" s="28">
        <v>25.954000000000001</v>
      </c>
      <c r="G8516" s="31">
        <f>IF(ISNUMBER(F8516),E8516*F8516,"")</f>
        <v>8.2274180000000001</v>
      </c>
      <c r="H8516" s="35">
        <f>SUM(G8516:G8518)</f>
        <v>14.416050500000001</v>
      </c>
      <c r="I8516" s="36"/>
      <c r="J8516" s="125">
        <v>0</v>
      </c>
    </row>
    <row r="8517" spans="1:10" s="169" customFormat="1" ht="15.75" hidden="1" thickBot="1" x14ac:dyDescent="0.3">
      <c r="A8517" s="235"/>
      <c r="B8517" s="238"/>
      <c r="C8517" s="155" t="s">
        <v>1022</v>
      </c>
      <c r="D8517" s="155" t="s">
        <v>587</v>
      </c>
      <c r="E8517" s="156">
        <v>0.317</v>
      </c>
      <c r="F8517" s="28">
        <v>19.522500000000001</v>
      </c>
      <c r="G8517" s="31">
        <f>IF(ISNUMBER(F8517),E8517*F8517,"")</f>
        <v>6.1886325000000006</v>
      </c>
      <c r="H8517" s="32"/>
      <c r="I8517" s="28"/>
      <c r="J8517" s="125">
        <v>0</v>
      </c>
    </row>
    <row r="8518" spans="1:10" s="169" customFormat="1" ht="15.75" hidden="1" thickBot="1" x14ac:dyDescent="0.3">
      <c r="A8518" s="235"/>
      <c r="B8518" s="238"/>
      <c r="C8518" s="155" t="s">
        <v>21436</v>
      </c>
      <c r="D8518" s="155" t="s">
        <v>16</v>
      </c>
      <c r="E8518" s="156">
        <v>1</v>
      </c>
      <c r="F8518" s="31" t="s">
        <v>418</v>
      </c>
      <c r="G8518" s="28" t="str">
        <f>IF(ISNUMBER(F8518),E8518*F8518,"")</f>
        <v/>
      </c>
      <c r="H8518" s="32"/>
      <c r="I8518" s="28"/>
      <c r="J8518" s="125">
        <v>0</v>
      </c>
    </row>
    <row r="8519" spans="1:10" s="169" customFormat="1" ht="15.75" hidden="1" thickBot="1" x14ac:dyDescent="0.3">
      <c r="A8519" s="236"/>
      <c r="B8519" s="239"/>
      <c r="C8519" s="155"/>
      <c r="D8519" s="155"/>
      <c r="E8519" s="156"/>
      <c r="F8519" s="28" t="s">
        <v>418</v>
      </c>
      <c r="G8519" s="28" t="str">
        <f>IF(ISNUMBER(F8519),E8519*F8519,"")</f>
        <v/>
      </c>
      <c r="H8519" s="32"/>
      <c r="I8519" s="28"/>
      <c r="J8519" s="125">
        <v>0</v>
      </c>
    </row>
    <row r="8520" spans="1:10" s="169" customFormat="1" ht="15.75" hidden="1" thickBot="1" x14ac:dyDescent="0.3">
      <c r="A8520" s="234" t="s">
        <v>18834</v>
      </c>
      <c r="B8520" s="237" t="s">
        <v>21427</v>
      </c>
      <c r="C8520" s="160"/>
      <c r="D8520" s="145" t="s">
        <v>16</v>
      </c>
      <c r="E8520" s="146"/>
      <c r="F8520" s="37" t="s">
        <v>418</v>
      </c>
      <c r="G8520" s="147" t="str">
        <f>IF(ISNUMBER(F8520),E8520*F8520,"")</f>
        <v/>
      </c>
      <c r="H8520" s="148"/>
      <c r="I8520" s="149"/>
      <c r="J8520" s="125">
        <v>0</v>
      </c>
    </row>
    <row r="8521" spans="1:10" s="169" customFormat="1" ht="15.75" hidden="1" thickBot="1" x14ac:dyDescent="0.3">
      <c r="A8521" s="235"/>
      <c r="B8521" s="238"/>
      <c r="C8521" s="151"/>
      <c r="D8521" s="151"/>
      <c r="E8521" s="152"/>
      <c r="F8521" s="38" t="s">
        <v>418</v>
      </c>
      <c r="G8521" s="28" t="str">
        <f>IF(ISNUMBER(F8521),E8521*F8521,"")</f>
        <v/>
      </c>
      <c r="H8521" s="32"/>
      <c r="I8521" s="28"/>
      <c r="J8521" s="125">
        <v>0</v>
      </c>
    </row>
    <row r="8522" spans="1:10" s="169" customFormat="1" ht="15.75" hidden="1" thickBot="1" x14ac:dyDescent="0.3">
      <c r="A8522" s="235"/>
      <c r="B8522" s="238"/>
      <c r="C8522" s="155" t="s">
        <v>1022</v>
      </c>
      <c r="D8522" s="155" t="s">
        <v>587</v>
      </c>
      <c r="E8522" s="156">
        <v>0.34599999999999997</v>
      </c>
      <c r="F8522" s="28">
        <v>19.522500000000001</v>
      </c>
      <c r="G8522" s="31">
        <f>IF(ISNUMBER(F8522),E8522*F8522,"")</f>
        <v>6.754785</v>
      </c>
      <c r="H8522" s="35">
        <f>SUM(G8522:G8524)</f>
        <v>15.734869</v>
      </c>
      <c r="I8522" s="36"/>
      <c r="J8522" s="125">
        <v>0</v>
      </c>
    </row>
    <row r="8523" spans="1:10" s="169" customFormat="1" ht="15.75" hidden="1" thickBot="1" x14ac:dyDescent="0.3">
      <c r="A8523" s="235"/>
      <c r="B8523" s="238"/>
      <c r="C8523" s="155" t="s">
        <v>1023</v>
      </c>
      <c r="D8523" s="155" t="s">
        <v>587</v>
      </c>
      <c r="E8523" s="156">
        <v>0.34599999999999997</v>
      </c>
      <c r="F8523" s="28">
        <v>25.954000000000001</v>
      </c>
      <c r="G8523" s="31">
        <f>IF(ISNUMBER(F8523),E8523*F8523,"")</f>
        <v>8.9800839999999997</v>
      </c>
      <c r="H8523" s="32"/>
      <c r="I8523" s="28"/>
      <c r="J8523" s="125">
        <v>0</v>
      </c>
    </row>
    <row r="8524" spans="1:10" s="169" customFormat="1" ht="15.75" hidden="1" thickBot="1" x14ac:dyDescent="0.3">
      <c r="A8524" s="235"/>
      <c r="B8524" s="238"/>
      <c r="C8524" s="155" t="s">
        <v>21434</v>
      </c>
      <c r="D8524" s="155" t="s">
        <v>69</v>
      </c>
      <c r="E8524" s="156">
        <v>1</v>
      </c>
      <c r="F8524" s="31" t="s">
        <v>418</v>
      </c>
      <c r="G8524" s="31" t="str">
        <f>IF(ISNUMBER(F8524),E8524*F8524,"")</f>
        <v/>
      </c>
      <c r="H8524" s="32"/>
      <c r="I8524" s="28"/>
      <c r="J8524" s="125">
        <v>0</v>
      </c>
    </row>
    <row r="8525" spans="1:10" s="169" customFormat="1" ht="15.75" hidden="1" thickBot="1" x14ac:dyDescent="0.3">
      <c r="A8525" s="236"/>
      <c r="B8525" s="239"/>
      <c r="C8525" s="155"/>
      <c r="D8525" s="155"/>
      <c r="E8525" s="156"/>
      <c r="F8525" s="28" t="s">
        <v>418</v>
      </c>
      <c r="G8525" s="28" t="str">
        <f>IF(ISNUMBER(F8525),E8525*F8525,"")</f>
        <v/>
      </c>
      <c r="H8525" s="32"/>
      <c r="I8525" s="28"/>
      <c r="J8525" s="125">
        <v>0</v>
      </c>
    </row>
    <row r="8526" spans="1:10" s="169" customFormat="1" ht="15.75" hidden="1" thickBot="1" x14ac:dyDescent="0.3">
      <c r="A8526" s="234" t="s">
        <v>18835</v>
      </c>
      <c r="B8526" s="237" t="s">
        <v>21428</v>
      </c>
      <c r="C8526" s="160"/>
      <c r="D8526" s="145" t="s">
        <v>16</v>
      </c>
      <c r="E8526" s="146"/>
      <c r="F8526" s="37" t="s">
        <v>418</v>
      </c>
      <c r="G8526" s="147" t="str">
        <f>IF(ISNUMBER(F8526),E8526*F8526,"")</f>
        <v/>
      </c>
      <c r="H8526" s="148"/>
      <c r="I8526" s="149"/>
      <c r="J8526" s="125">
        <v>0</v>
      </c>
    </row>
    <row r="8527" spans="1:10" s="169" customFormat="1" ht="15.75" hidden="1" thickBot="1" x14ac:dyDescent="0.3">
      <c r="A8527" s="235"/>
      <c r="B8527" s="240"/>
      <c r="C8527" s="127"/>
      <c r="D8527" s="127"/>
      <c r="E8527" s="128"/>
      <c r="F8527" s="38" t="s">
        <v>418</v>
      </c>
      <c r="G8527" s="28" t="str">
        <f>IF(ISNUMBER(F8527),E8527*F8527,"")</f>
        <v/>
      </c>
      <c r="H8527" s="32"/>
      <c r="I8527" s="28"/>
      <c r="J8527" s="125">
        <v>0</v>
      </c>
    </row>
    <row r="8528" spans="1:10" s="169" customFormat="1" ht="15.75" hidden="1" thickBot="1" x14ac:dyDescent="0.3">
      <c r="A8528" s="235"/>
      <c r="B8528" s="240"/>
      <c r="C8528" s="129" t="s">
        <v>1022</v>
      </c>
      <c r="D8528" s="129" t="s">
        <v>587</v>
      </c>
      <c r="E8528" s="130">
        <v>0.34599999999999997</v>
      </c>
      <c r="F8528" s="28">
        <v>19.522500000000001</v>
      </c>
      <c r="G8528" s="31">
        <f>IF(ISNUMBER(F8528),E8528*F8528,"")</f>
        <v>6.754785</v>
      </c>
      <c r="H8528" s="35">
        <f>SUM(G8528:G8530)</f>
        <v>15.734869</v>
      </c>
      <c r="I8528" s="36"/>
      <c r="J8528" s="125">
        <v>0</v>
      </c>
    </row>
    <row r="8529" spans="1:10" s="169" customFormat="1" ht="15.75" hidden="1" thickBot="1" x14ac:dyDescent="0.3">
      <c r="A8529" s="235"/>
      <c r="B8529" s="240"/>
      <c r="C8529" s="129" t="s">
        <v>1023</v>
      </c>
      <c r="D8529" s="129" t="s">
        <v>587</v>
      </c>
      <c r="E8529" s="130">
        <v>0.34599999999999997</v>
      </c>
      <c r="F8529" s="28">
        <v>25.954000000000001</v>
      </c>
      <c r="G8529" s="31">
        <f>IF(ISNUMBER(F8529),E8529*F8529,"")</f>
        <v>8.9800839999999997</v>
      </c>
      <c r="H8529" s="32"/>
      <c r="I8529" s="28"/>
      <c r="J8529" s="125">
        <v>0</v>
      </c>
    </row>
    <row r="8530" spans="1:10" s="169" customFormat="1" ht="15.75" hidden="1" thickBot="1" x14ac:dyDescent="0.3">
      <c r="A8530" s="235"/>
      <c r="B8530" s="240"/>
      <c r="C8530" s="129" t="s">
        <v>21435</v>
      </c>
      <c r="D8530" s="129" t="s">
        <v>69</v>
      </c>
      <c r="E8530" s="130">
        <v>1</v>
      </c>
      <c r="F8530" s="31" t="s">
        <v>418</v>
      </c>
      <c r="G8530" s="31" t="str">
        <f>IF(ISNUMBER(F8530),E8530*F8530,"")</f>
        <v/>
      </c>
      <c r="H8530" s="32"/>
      <c r="I8530" s="28"/>
      <c r="J8530" s="125">
        <v>0</v>
      </c>
    </row>
    <row r="8531" spans="1:10" s="169" customFormat="1" ht="15.75" hidden="1" thickBot="1" x14ac:dyDescent="0.3">
      <c r="A8531" s="236"/>
      <c r="B8531" s="239"/>
      <c r="C8531" s="164"/>
      <c r="D8531" s="164"/>
      <c r="E8531" s="165"/>
      <c r="F8531" s="62" t="s">
        <v>418</v>
      </c>
      <c r="G8531" s="62" t="str">
        <f>IF(ISNUMBER(F8531),E8531*F8531,"")</f>
        <v/>
      </c>
      <c r="H8531" s="64"/>
      <c r="I8531" s="28"/>
      <c r="J8531" s="125">
        <v>0</v>
      </c>
    </row>
    <row r="8532" spans="1:10" s="169" customFormat="1" ht="15.75" hidden="1" thickBot="1" x14ac:dyDescent="0.3">
      <c r="A8532" s="234" t="s">
        <v>18836</v>
      </c>
      <c r="B8532" s="237" t="s">
        <v>22116</v>
      </c>
      <c r="C8532" s="160"/>
      <c r="D8532" s="145" t="s">
        <v>16</v>
      </c>
      <c r="E8532" s="146"/>
      <c r="F8532" s="37" t="s">
        <v>418</v>
      </c>
      <c r="G8532" s="147" t="str">
        <f>IF(ISNUMBER(F8532),E8532*F8532,"")</f>
        <v/>
      </c>
      <c r="H8532" s="148"/>
      <c r="I8532" s="149"/>
      <c r="J8532" s="125">
        <v>0</v>
      </c>
    </row>
    <row r="8533" spans="1:10" s="169" customFormat="1" ht="15.75" hidden="1" thickBot="1" x14ac:dyDescent="0.3">
      <c r="A8533" s="235"/>
      <c r="B8533" s="240"/>
      <c r="C8533" s="127"/>
      <c r="D8533" s="127"/>
      <c r="E8533" s="128"/>
      <c r="F8533" s="38" t="s">
        <v>418</v>
      </c>
      <c r="G8533" s="28" t="str">
        <f>IF(ISNUMBER(F8533),E8533*F8533,"")</f>
        <v/>
      </c>
      <c r="H8533" s="32"/>
      <c r="I8533" s="28"/>
      <c r="J8533" s="125">
        <v>0</v>
      </c>
    </row>
    <row r="8534" spans="1:10" s="169" customFormat="1" ht="15.75" hidden="1" thickBot="1" x14ac:dyDescent="0.3">
      <c r="A8534" s="235"/>
      <c r="B8534" s="240"/>
      <c r="C8534" s="129" t="s">
        <v>1022</v>
      </c>
      <c r="D8534" s="129" t="s">
        <v>587</v>
      </c>
      <c r="E8534" s="130">
        <f>0.0045*2.5</f>
        <v>1.125E-2</v>
      </c>
      <c r="F8534" s="28">
        <v>19.522500000000001</v>
      </c>
      <c r="G8534" s="31">
        <f>IF(ISNUMBER(F8534),E8534*F8534,"")</f>
        <v>0.21962812500000001</v>
      </c>
      <c r="H8534" s="35">
        <f>SUM(G8534:G8536)</f>
        <v>0.51161062499999999</v>
      </c>
      <c r="I8534" s="36"/>
      <c r="J8534" s="125">
        <v>0</v>
      </c>
    </row>
    <row r="8535" spans="1:10" s="169" customFormat="1" ht="15.75" hidden="1" thickBot="1" x14ac:dyDescent="0.3">
      <c r="A8535" s="235"/>
      <c r="B8535" s="240"/>
      <c r="C8535" s="129" t="s">
        <v>1023</v>
      </c>
      <c r="D8535" s="129" t="s">
        <v>587</v>
      </c>
      <c r="E8535" s="130">
        <f>0.0045*2.5</f>
        <v>1.125E-2</v>
      </c>
      <c r="F8535" s="28">
        <v>25.954000000000001</v>
      </c>
      <c r="G8535" s="31">
        <f>IF(ISNUMBER(F8535),E8535*F8535,"")</f>
        <v>0.29198249999999998</v>
      </c>
      <c r="H8535" s="32"/>
      <c r="I8535" s="28"/>
      <c r="J8535" s="125">
        <v>0</v>
      </c>
    </row>
    <row r="8536" spans="1:10" s="169" customFormat="1" ht="15.75" hidden="1" thickBot="1" x14ac:dyDescent="0.3">
      <c r="A8536" s="235"/>
      <c r="B8536" s="240"/>
      <c r="C8536" s="129" t="s">
        <v>22697</v>
      </c>
      <c r="D8536" s="155" t="s">
        <v>16</v>
      </c>
      <c r="E8536" s="130">
        <v>1</v>
      </c>
      <c r="F8536" s="31" t="s">
        <v>418</v>
      </c>
      <c r="G8536" s="31" t="str">
        <f>IF(ISNUMBER(F8536),E8536*F8536,"")</f>
        <v/>
      </c>
      <c r="H8536" s="32"/>
      <c r="I8536" s="28"/>
      <c r="J8536" s="125">
        <v>0</v>
      </c>
    </row>
    <row r="8537" spans="1:10" s="169" customFormat="1" ht="15.75" hidden="1" thickBot="1" x14ac:dyDescent="0.3">
      <c r="A8537" s="236"/>
      <c r="B8537" s="239"/>
      <c r="C8537" s="164"/>
      <c r="D8537" s="164"/>
      <c r="E8537" s="165"/>
      <c r="F8537" s="62" t="s">
        <v>418</v>
      </c>
      <c r="G8537" s="62" t="str">
        <f>IF(ISNUMBER(F8537),E8537*F8537,"")</f>
        <v/>
      </c>
      <c r="H8537" s="64"/>
      <c r="I8537" s="28"/>
      <c r="J8537" s="125">
        <v>0</v>
      </c>
    </row>
    <row r="8538" spans="1:10" s="169" customFormat="1" ht="15.75" hidden="1" thickBot="1" x14ac:dyDescent="0.3">
      <c r="A8538" s="234" t="s">
        <v>18837</v>
      </c>
      <c r="B8538" s="237" t="s">
        <v>22117</v>
      </c>
      <c r="C8538" s="160"/>
      <c r="D8538" s="145" t="s">
        <v>16</v>
      </c>
      <c r="E8538" s="146"/>
      <c r="F8538" s="37" t="s">
        <v>418</v>
      </c>
      <c r="G8538" s="147" t="str">
        <f>IF(ISNUMBER(F8538),E8538*F8538,"")</f>
        <v/>
      </c>
      <c r="H8538" s="148"/>
      <c r="I8538" s="149"/>
      <c r="J8538" s="125">
        <v>0</v>
      </c>
    </row>
    <row r="8539" spans="1:10" s="169" customFormat="1" ht="15.75" hidden="1" thickBot="1" x14ac:dyDescent="0.3">
      <c r="A8539" s="235"/>
      <c r="B8539" s="240"/>
      <c r="C8539" s="127"/>
      <c r="D8539" s="127"/>
      <c r="E8539" s="128"/>
      <c r="F8539" s="38" t="s">
        <v>418</v>
      </c>
      <c r="G8539" s="28" t="str">
        <f>IF(ISNUMBER(F8539),E8539*F8539,"")</f>
        <v/>
      </c>
      <c r="H8539" s="32"/>
      <c r="I8539" s="28"/>
      <c r="J8539" s="125">
        <v>0</v>
      </c>
    </row>
    <row r="8540" spans="1:10" s="169" customFormat="1" ht="26.25" hidden="1" thickBot="1" x14ac:dyDescent="0.3">
      <c r="A8540" s="235"/>
      <c r="B8540" s="240"/>
      <c r="C8540" s="129" t="s">
        <v>27171</v>
      </c>
      <c r="D8540" s="129" t="s">
        <v>205</v>
      </c>
      <c r="E8540" s="130">
        <v>1</v>
      </c>
      <c r="F8540" s="28">
        <v>1287.9624999999999</v>
      </c>
      <c r="G8540" s="31">
        <f>IF(ISNUMBER(F8540),E8540*F8540,"")</f>
        <v>1287.9624999999999</v>
      </c>
      <c r="H8540" s="35">
        <f>SUM(G8540:G8542)</f>
        <v>1334.6213889999999</v>
      </c>
      <c r="I8540" s="36"/>
      <c r="J8540" s="125">
        <v>0</v>
      </c>
    </row>
    <row r="8541" spans="1:10" s="169" customFormat="1" ht="15.75" hidden="1" thickBot="1" x14ac:dyDescent="0.3">
      <c r="A8541" s="235"/>
      <c r="B8541" s="240"/>
      <c r="C8541" s="129" t="s">
        <v>1022</v>
      </c>
      <c r="D8541" s="129" t="s">
        <v>587</v>
      </c>
      <c r="E8541" s="130">
        <v>1.026</v>
      </c>
      <c r="F8541" s="28">
        <v>19.522500000000001</v>
      </c>
      <c r="G8541" s="31">
        <f>IF(ISNUMBER(F8541),E8541*F8541,"")</f>
        <v>20.030085</v>
      </c>
      <c r="H8541" s="32"/>
      <c r="I8541" s="28"/>
      <c r="J8541" s="125">
        <v>0</v>
      </c>
    </row>
    <row r="8542" spans="1:10" s="169" customFormat="1" ht="15.75" hidden="1" thickBot="1" x14ac:dyDescent="0.3">
      <c r="A8542" s="235"/>
      <c r="B8542" s="240"/>
      <c r="C8542" s="129" t="s">
        <v>1023</v>
      </c>
      <c r="D8542" s="129" t="s">
        <v>587</v>
      </c>
      <c r="E8542" s="130">
        <v>1.026</v>
      </c>
      <c r="F8542" s="28">
        <v>25.954000000000001</v>
      </c>
      <c r="G8542" s="31">
        <f>IF(ISNUMBER(F8542),E8542*F8542,"")</f>
        <v>26.628804000000002</v>
      </c>
      <c r="H8542" s="32"/>
      <c r="I8542" s="28"/>
      <c r="J8542" s="125">
        <v>0</v>
      </c>
    </row>
    <row r="8543" spans="1:10" s="169" customFormat="1" ht="15.75" hidden="1" thickBot="1" x14ac:dyDescent="0.3">
      <c r="A8543" s="236"/>
      <c r="B8543" s="239"/>
      <c r="C8543" s="164"/>
      <c r="D8543" s="164"/>
      <c r="E8543" s="165"/>
      <c r="F8543" s="62" t="s">
        <v>418</v>
      </c>
      <c r="G8543" s="62" t="str">
        <f>IF(ISNUMBER(F8543),E8543*F8543,"")</f>
        <v/>
      </c>
      <c r="H8543" s="64"/>
      <c r="I8543" s="28"/>
      <c r="J8543" s="125">
        <v>0</v>
      </c>
    </row>
    <row r="8544" spans="1:10" s="169" customFormat="1" ht="15.75" hidden="1" thickBot="1" x14ac:dyDescent="0.3">
      <c r="A8544" s="234" t="s">
        <v>18838</v>
      </c>
      <c r="B8544" s="237" t="s">
        <v>22118</v>
      </c>
      <c r="C8544" s="160"/>
      <c r="D8544" s="145" t="s">
        <v>69</v>
      </c>
      <c r="E8544" s="146"/>
      <c r="F8544" s="37" t="s">
        <v>418</v>
      </c>
      <c r="G8544" s="147" t="str">
        <f>IF(ISNUMBER(F8544),E8544*F8544,"")</f>
        <v/>
      </c>
      <c r="H8544" s="148"/>
      <c r="I8544" s="149"/>
      <c r="J8544" s="125">
        <v>0</v>
      </c>
    </row>
    <row r="8545" spans="1:10" s="169" customFormat="1" ht="15.75" hidden="1" thickBot="1" x14ac:dyDescent="0.3">
      <c r="A8545" s="235"/>
      <c r="B8545" s="240"/>
      <c r="C8545" s="127"/>
      <c r="D8545" s="127"/>
      <c r="E8545" s="128"/>
      <c r="F8545" s="38" t="s">
        <v>418</v>
      </c>
      <c r="G8545" s="28" t="str">
        <f>IF(ISNUMBER(F8545),E8545*F8545,"")</f>
        <v/>
      </c>
      <c r="H8545" s="32"/>
      <c r="I8545" s="28"/>
      <c r="J8545" s="125">
        <v>0</v>
      </c>
    </row>
    <row r="8546" spans="1:10" s="169" customFormat="1" ht="15.75" hidden="1" thickBot="1" x14ac:dyDescent="0.3">
      <c r="A8546" s="235"/>
      <c r="B8546" s="240"/>
      <c r="C8546" s="129" t="s">
        <v>22118</v>
      </c>
      <c r="D8546" s="155" t="s">
        <v>69</v>
      </c>
      <c r="E8546" s="130">
        <v>1</v>
      </c>
      <c r="F8546" s="28" t="s">
        <v>418</v>
      </c>
      <c r="G8546" s="31" t="str">
        <f>IF(ISNUMBER(F8546),E8546*F8546,"")</f>
        <v/>
      </c>
      <c r="H8546" s="35">
        <f>SUM(G8546:G8548)</f>
        <v>4.7341036499999998</v>
      </c>
      <c r="I8546" s="36"/>
      <c r="J8546" s="125">
        <v>0</v>
      </c>
    </row>
    <row r="8547" spans="1:10" s="169" customFormat="1" ht="15.75" hidden="1" thickBot="1" x14ac:dyDescent="0.3">
      <c r="A8547" s="235"/>
      <c r="B8547" s="240"/>
      <c r="C8547" s="129" t="s">
        <v>1022</v>
      </c>
      <c r="D8547" s="129" t="s">
        <v>587</v>
      </c>
      <c r="E8547" s="130">
        <v>0.1041</v>
      </c>
      <c r="F8547" s="28">
        <v>19.522500000000001</v>
      </c>
      <c r="G8547" s="31">
        <f>IF(ISNUMBER(F8547),E8547*F8547,"")</f>
        <v>2.0322922500000002</v>
      </c>
      <c r="H8547" s="32"/>
      <c r="I8547" s="28"/>
      <c r="J8547" s="125">
        <v>0</v>
      </c>
    </row>
    <row r="8548" spans="1:10" s="169" customFormat="1" ht="15.75" hidden="1" thickBot="1" x14ac:dyDescent="0.3">
      <c r="A8548" s="235"/>
      <c r="B8548" s="240"/>
      <c r="C8548" s="129" t="s">
        <v>1023</v>
      </c>
      <c r="D8548" s="129" t="s">
        <v>587</v>
      </c>
      <c r="E8548" s="130">
        <v>0.1041</v>
      </c>
      <c r="F8548" s="28">
        <v>25.954000000000001</v>
      </c>
      <c r="G8548" s="31">
        <f>IF(ISNUMBER(F8548),E8548*F8548,"")</f>
        <v>2.7018114</v>
      </c>
      <c r="H8548" s="32"/>
      <c r="I8548" s="28"/>
      <c r="J8548" s="125">
        <v>0</v>
      </c>
    </row>
    <row r="8549" spans="1:10" s="169" customFormat="1" ht="15.75" hidden="1" thickBot="1" x14ac:dyDescent="0.3">
      <c r="A8549" s="236"/>
      <c r="B8549" s="239"/>
      <c r="C8549" s="164"/>
      <c r="D8549" s="164"/>
      <c r="E8549" s="165"/>
      <c r="F8549" s="62" t="s">
        <v>418</v>
      </c>
      <c r="G8549" s="62" t="str">
        <f>IF(ISNUMBER(F8549),E8549*F8549,"")</f>
        <v/>
      </c>
      <c r="H8549" s="64"/>
      <c r="I8549" s="28"/>
      <c r="J8549" s="125">
        <v>0</v>
      </c>
    </row>
    <row r="8550" spans="1:10" s="169" customFormat="1" ht="15.75" hidden="1" thickBot="1" x14ac:dyDescent="0.3">
      <c r="A8550" s="234" t="s">
        <v>18839</v>
      </c>
      <c r="B8550" s="237" t="s">
        <v>22119</v>
      </c>
      <c r="C8550" s="160"/>
      <c r="D8550" s="145" t="s">
        <v>16</v>
      </c>
      <c r="E8550" s="146"/>
      <c r="F8550" s="37" t="s">
        <v>418</v>
      </c>
      <c r="G8550" s="147" t="str">
        <f>IF(ISNUMBER(F8550),E8550*F8550,"")</f>
        <v/>
      </c>
      <c r="H8550" s="148"/>
      <c r="I8550" s="149"/>
      <c r="J8550" s="125">
        <v>0</v>
      </c>
    </row>
    <row r="8551" spans="1:10" s="169" customFormat="1" ht="15.75" hidden="1" thickBot="1" x14ac:dyDescent="0.3">
      <c r="A8551" s="235"/>
      <c r="B8551" s="240"/>
      <c r="C8551" s="127"/>
      <c r="D8551" s="127"/>
      <c r="E8551" s="128"/>
      <c r="F8551" s="38" t="s">
        <v>418</v>
      </c>
      <c r="G8551" s="28" t="str">
        <f>IF(ISNUMBER(F8551),E8551*F8551,"")</f>
        <v/>
      </c>
      <c r="H8551" s="32"/>
      <c r="I8551" s="28"/>
      <c r="J8551" s="125">
        <v>0</v>
      </c>
    </row>
    <row r="8552" spans="1:10" s="169" customFormat="1" ht="15.75" hidden="1" thickBot="1" x14ac:dyDescent="0.3">
      <c r="A8552" s="235"/>
      <c r="B8552" s="240"/>
      <c r="C8552" s="129" t="s">
        <v>22698</v>
      </c>
      <c r="D8552" s="155" t="s">
        <v>16</v>
      </c>
      <c r="E8552" s="130">
        <v>1</v>
      </c>
      <c r="F8552" s="28" t="s">
        <v>418</v>
      </c>
      <c r="G8552" s="31" t="str">
        <f>IF(ISNUMBER(F8552),E8552*F8552,"")</f>
        <v/>
      </c>
      <c r="H8552" s="35">
        <f>SUM(G8552:G8554)</f>
        <v>14.575218250000002</v>
      </c>
      <c r="I8552" s="36"/>
      <c r="J8552" s="125">
        <v>0</v>
      </c>
    </row>
    <row r="8553" spans="1:10" s="169" customFormat="1" ht="15.75" hidden="1" thickBot="1" x14ac:dyDescent="0.3">
      <c r="A8553" s="235"/>
      <c r="B8553" s="240"/>
      <c r="C8553" s="129" t="s">
        <v>1022</v>
      </c>
      <c r="D8553" s="129" t="s">
        <v>587</v>
      </c>
      <c r="E8553" s="130">
        <f>0.0641*5</f>
        <v>0.32050000000000001</v>
      </c>
      <c r="F8553" s="28">
        <v>19.522500000000001</v>
      </c>
      <c r="G8553" s="31">
        <f>IF(ISNUMBER(F8553),E8553*F8553,"")</f>
        <v>6.2569612500000007</v>
      </c>
      <c r="H8553" s="32"/>
      <c r="I8553" s="28"/>
      <c r="J8553" s="125">
        <v>0</v>
      </c>
    </row>
    <row r="8554" spans="1:10" s="169" customFormat="1" ht="15.75" hidden="1" thickBot="1" x14ac:dyDescent="0.3">
      <c r="A8554" s="235"/>
      <c r="B8554" s="240"/>
      <c r="C8554" s="129" t="s">
        <v>1023</v>
      </c>
      <c r="D8554" s="129" t="s">
        <v>587</v>
      </c>
      <c r="E8554" s="130">
        <f>0.0641*5</f>
        <v>0.32050000000000001</v>
      </c>
      <c r="F8554" s="28">
        <v>25.954000000000001</v>
      </c>
      <c r="G8554" s="31">
        <f>IF(ISNUMBER(F8554),E8554*F8554,"")</f>
        <v>8.3182570000000009</v>
      </c>
      <c r="H8554" s="32"/>
      <c r="I8554" s="28"/>
      <c r="J8554" s="125">
        <v>0</v>
      </c>
    </row>
    <row r="8555" spans="1:10" s="169" customFormat="1" ht="15.75" hidden="1" thickBot="1" x14ac:dyDescent="0.3">
      <c r="A8555" s="236"/>
      <c r="B8555" s="239"/>
      <c r="C8555" s="164"/>
      <c r="D8555" s="164"/>
      <c r="E8555" s="165"/>
      <c r="F8555" s="62" t="s">
        <v>418</v>
      </c>
      <c r="G8555" s="62" t="str">
        <f>IF(ISNUMBER(F8555),E8555*F8555,"")</f>
        <v/>
      </c>
      <c r="H8555" s="64"/>
      <c r="I8555" s="28"/>
      <c r="J8555" s="125">
        <v>0</v>
      </c>
    </row>
    <row r="8556" spans="1:10" s="169" customFormat="1" ht="15.75" hidden="1" thickBot="1" x14ac:dyDescent="0.3">
      <c r="A8556" s="234" t="s">
        <v>18840</v>
      </c>
      <c r="B8556" s="237" t="s">
        <v>22120</v>
      </c>
      <c r="C8556" s="160"/>
      <c r="D8556" s="145" t="s">
        <v>16</v>
      </c>
      <c r="E8556" s="146"/>
      <c r="F8556" s="37" t="s">
        <v>418</v>
      </c>
      <c r="G8556" s="147" t="str">
        <f>IF(ISNUMBER(F8556),E8556*F8556,"")</f>
        <v/>
      </c>
      <c r="H8556" s="148"/>
      <c r="I8556" s="149"/>
      <c r="J8556" s="125">
        <v>0</v>
      </c>
    </row>
    <row r="8557" spans="1:10" s="169" customFormat="1" ht="15.75" hidden="1" thickBot="1" x14ac:dyDescent="0.3">
      <c r="A8557" s="235"/>
      <c r="B8557" s="240"/>
      <c r="C8557" s="127"/>
      <c r="D8557" s="127"/>
      <c r="E8557" s="128"/>
      <c r="F8557" s="38" t="s">
        <v>418</v>
      </c>
      <c r="G8557" s="28" t="str">
        <f>IF(ISNUMBER(F8557),E8557*F8557,"")</f>
        <v/>
      </c>
      <c r="H8557" s="32"/>
      <c r="I8557" s="28"/>
      <c r="J8557" s="125">
        <v>0</v>
      </c>
    </row>
    <row r="8558" spans="1:10" s="169" customFormat="1" ht="15.75" hidden="1" thickBot="1" x14ac:dyDescent="0.3">
      <c r="A8558" s="235"/>
      <c r="B8558" s="240"/>
      <c r="C8558" s="129" t="s">
        <v>22699</v>
      </c>
      <c r="D8558" s="155" t="s">
        <v>16</v>
      </c>
      <c r="E8558" s="130">
        <v>1</v>
      </c>
      <c r="F8558" s="28" t="s">
        <v>418</v>
      </c>
      <c r="G8558" s="31" t="str">
        <f>IF(ISNUMBER(F8558),E8558*F8558,"")</f>
        <v/>
      </c>
      <c r="H8558" s="35">
        <f>SUM(G8558:G8560)</f>
        <v>108.50082049999997</v>
      </c>
      <c r="I8558" s="36"/>
      <c r="J8558" s="125">
        <v>0</v>
      </c>
    </row>
    <row r="8559" spans="1:10" s="169" customFormat="1" ht="15.75" hidden="1" thickBot="1" x14ac:dyDescent="0.3">
      <c r="A8559" s="235"/>
      <c r="B8559" s="240"/>
      <c r="C8559" s="129" t="s">
        <v>1251</v>
      </c>
      <c r="D8559" s="129" t="s">
        <v>587</v>
      </c>
      <c r="E8559" s="130">
        <v>2.2389999999999999</v>
      </c>
      <c r="F8559" s="28">
        <v>19.731499999999997</v>
      </c>
      <c r="G8559" s="31">
        <f>IF(ISNUMBER(F8559),E8559*F8559,"")</f>
        <v>44.178828499999987</v>
      </c>
      <c r="H8559" s="32"/>
      <c r="I8559" s="28"/>
      <c r="J8559" s="125">
        <v>0</v>
      </c>
    </row>
    <row r="8560" spans="1:10" s="169" customFormat="1" ht="15.75" hidden="1" thickBot="1" x14ac:dyDescent="0.3">
      <c r="A8560" s="235"/>
      <c r="B8560" s="240"/>
      <c r="C8560" s="129" t="s">
        <v>9775</v>
      </c>
      <c r="D8560" s="129" t="s">
        <v>587</v>
      </c>
      <c r="E8560" s="130">
        <v>2.2389999999999999</v>
      </c>
      <c r="F8560" s="28">
        <v>28.727999999999998</v>
      </c>
      <c r="G8560" s="31">
        <f>IF(ISNUMBER(F8560),E8560*F8560,"")</f>
        <v>64.321991999999995</v>
      </c>
      <c r="H8560" s="32"/>
      <c r="I8560" s="28"/>
      <c r="J8560" s="125">
        <v>0</v>
      </c>
    </row>
    <row r="8561" spans="1:10" s="169" customFormat="1" ht="15.75" hidden="1" thickBot="1" x14ac:dyDescent="0.3">
      <c r="A8561" s="236"/>
      <c r="B8561" s="239"/>
      <c r="C8561" s="164"/>
      <c r="D8561" s="164"/>
      <c r="E8561" s="165"/>
      <c r="F8561" s="62" t="s">
        <v>418</v>
      </c>
      <c r="G8561" s="62" t="str">
        <f>IF(ISNUMBER(F8561),E8561*F8561,"")</f>
        <v/>
      </c>
      <c r="H8561" s="64"/>
      <c r="I8561" s="28"/>
      <c r="J8561" s="125">
        <v>0</v>
      </c>
    </row>
    <row r="8562" spans="1:10" s="169" customFormat="1" ht="15.75" hidden="1" thickBot="1" x14ac:dyDescent="0.3">
      <c r="A8562" s="234" t="s">
        <v>18841</v>
      </c>
      <c r="B8562" s="237" t="s">
        <v>22121</v>
      </c>
      <c r="C8562" s="160"/>
      <c r="D8562" s="145" t="s">
        <v>16</v>
      </c>
      <c r="E8562" s="146"/>
      <c r="F8562" s="37" t="s">
        <v>418</v>
      </c>
      <c r="G8562" s="147" t="str">
        <f>IF(ISNUMBER(F8562),E8562*F8562,"")</f>
        <v/>
      </c>
      <c r="H8562" s="148"/>
      <c r="I8562" s="149"/>
      <c r="J8562" s="125">
        <v>0</v>
      </c>
    </row>
    <row r="8563" spans="1:10" s="169" customFormat="1" ht="15.75" hidden="1" thickBot="1" x14ac:dyDescent="0.3">
      <c r="A8563" s="235"/>
      <c r="B8563" s="240"/>
      <c r="C8563" s="127"/>
      <c r="D8563" s="127"/>
      <c r="E8563" s="128"/>
      <c r="F8563" s="38" t="s">
        <v>418</v>
      </c>
      <c r="G8563" s="28" t="str">
        <f>IF(ISNUMBER(F8563),E8563*F8563,"")</f>
        <v/>
      </c>
      <c r="H8563" s="32"/>
      <c r="I8563" s="28"/>
      <c r="J8563" s="125">
        <v>0</v>
      </c>
    </row>
    <row r="8564" spans="1:10" s="169" customFormat="1" ht="15.75" hidden="1" thickBot="1" x14ac:dyDescent="0.3">
      <c r="A8564" s="235"/>
      <c r="B8564" s="240"/>
      <c r="C8564" s="129" t="s">
        <v>22700</v>
      </c>
      <c r="D8564" s="155" t="s">
        <v>16</v>
      </c>
      <c r="E8564" s="130">
        <v>1</v>
      </c>
      <c r="F8564" s="28" t="s">
        <v>418</v>
      </c>
      <c r="G8564" s="31" t="str">
        <f>IF(ISNUMBER(F8564),E8564*F8564,"")</f>
        <v/>
      </c>
      <c r="H8564" s="35">
        <f>SUM(G8564:G8566)</f>
        <v>21.700164099999995</v>
      </c>
      <c r="I8564" s="36"/>
      <c r="J8564" s="125">
        <v>0</v>
      </c>
    </row>
    <row r="8565" spans="1:10" s="169" customFormat="1" ht="15.75" hidden="1" thickBot="1" x14ac:dyDescent="0.3">
      <c r="A8565" s="235"/>
      <c r="B8565" s="240"/>
      <c r="C8565" s="129" t="s">
        <v>1251</v>
      </c>
      <c r="D8565" s="129" t="s">
        <v>587</v>
      </c>
      <c r="E8565" s="130">
        <f>2.239*0.2</f>
        <v>0.44779999999999998</v>
      </c>
      <c r="F8565" s="28">
        <v>19.731499999999997</v>
      </c>
      <c r="G8565" s="31">
        <f>IF(ISNUMBER(F8565),E8565*F8565,"")</f>
        <v>8.8357656999999978</v>
      </c>
      <c r="H8565" s="32"/>
      <c r="I8565" s="28"/>
      <c r="J8565" s="125">
        <v>0</v>
      </c>
    </row>
    <row r="8566" spans="1:10" s="169" customFormat="1" ht="15.75" hidden="1" thickBot="1" x14ac:dyDescent="0.3">
      <c r="A8566" s="235"/>
      <c r="B8566" s="240"/>
      <c r="C8566" s="129" t="s">
        <v>9775</v>
      </c>
      <c r="D8566" s="129" t="s">
        <v>587</v>
      </c>
      <c r="E8566" s="130">
        <f>2.239*0.2</f>
        <v>0.44779999999999998</v>
      </c>
      <c r="F8566" s="28">
        <v>28.727999999999998</v>
      </c>
      <c r="G8566" s="31">
        <f>IF(ISNUMBER(F8566),E8566*F8566,"")</f>
        <v>12.864398399999999</v>
      </c>
      <c r="H8566" s="32"/>
      <c r="I8566" s="28"/>
      <c r="J8566" s="125">
        <v>0</v>
      </c>
    </row>
    <row r="8567" spans="1:10" s="169" customFormat="1" ht="15.75" hidden="1" thickBot="1" x14ac:dyDescent="0.3">
      <c r="A8567" s="236"/>
      <c r="B8567" s="239"/>
      <c r="C8567" s="164"/>
      <c r="D8567" s="164"/>
      <c r="E8567" s="165"/>
      <c r="F8567" s="62" t="s">
        <v>418</v>
      </c>
      <c r="G8567" s="62" t="str">
        <f>IF(ISNUMBER(F8567),E8567*F8567,"")</f>
        <v/>
      </c>
      <c r="H8567" s="64"/>
      <c r="I8567" s="28"/>
      <c r="J8567" s="125">
        <v>0</v>
      </c>
    </row>
    <row r="8568" spans="1:10" s="169" customFormat="1" ht="15.75" hidden="1" thickBot="1" x14ac:dyDescent="0.3">
      <c r="A8568" s="234" t="s">
        <v>18842</v>
      </c>
      <c r="B8568" s="237" t="s">
        <v>22122</v>
      </c>
      <c r="C8568" s="160"/>
      <c r="D8568" s="145" t="s">
        <v>69</v>
      </c>
      <c r="E8568" s="146"/>
      <c r="F8568" s="37" t="s">
        <v>418</v>
      </c>
      <c r="G8568" s="147" t="str">
        <f>IF(ISNUMBER(F8568),E8568*F8568,"")</f>
        <v/>
      </c>
      <c r="H8568" s="148"/>
      <c r="I8568" s="149"/>
      <c r="J8568" s="125">
        <v>0</v>
      </c>
    </row>
    <row r="8569" spans="1:10" s="169" customFormat="1" ht="15.75" hidden="1" thickBot="1" x14ac:dyDescent="0.3">
      <c r="A8569" s="235"/>
      <c r="B8569" s="238"/>
      <c r="C8569" s="151"/>
      <c r="D8569" s="151"/>
      <c r="E8569" s="152"/>
      <c r="F8569" s="38" t="s">
        <v>418</v>
      </c>
      <c r="G8569" s="28" t="str">
        <f>IF(ISNUMBER(F8569),E8569*F8569,"")</f>
        <v/>
      </c>
      <c r="H8569" s="32"/>
      <c r="I8569" s="28"/>
      <c r="J8569" s="125">
        <v>0</v>
      </c>
    </row>
    <row r="8570" spans="1:10" s="169" customFormat="1" ht="39" hidden="1" thickBot="1" x14ac:dyDescent="0.3">
      <c r="A8570" s="235"/>
      <c r="B8570" s="238"/>
      <c r="C8570" s="129" t="s">
        <v>13614</v>
      </c>
      <c r="D8570" s="129" t="s">
        <v>85</v>
      </c>
      <c r="E8570" s="156">
        <v>1.2E-2</v>
      </c>
      <c r="F8570" s="31">
        <v>683.82027322466502</v>
      </c>
      <c r="G8570" s="28">
        <f>IF(ISNUMBER(F8570),E8570*F8570,"")</f>
        <v>8.2058432786959798</v>
      </c>
      <c r="H8570" s="35">
        <f>SUM(G8570:G8575)</f>
        <v>65.692718278695978</v>
      </c>
      <c r="I8570" s="36"/>
      <c r="J8570" s="125">
        <v>0</v>
      </c>
    </row>
    <row r="8571" spans="1:10" s="169" customFormat="1" ht="51.75" hidden="1" thickBot="1" x14ac:dyDescent="0.3">
      <c r="A8571" s="235"/>
      <c r="B8571" s="238"/>
      <c r="C8571" s="155" t="s">
        <v>22701</v>
      </c>
      <c r="D8571" s="155" t="s">
        <v>205</v>
      </c>
      <c r="E8571" s="156">
        <v>0.3906</v>
      </c>
      <c r="F8571" s="31" t="s">
        <v>418</v>
      </c>
      <c r="G8571" s="28" t="str">
        <f>IF(ISNUMBER(F8571),E8571*F8571,"")</f>
        <v/>
      </c>
      <c r="H8571" s="40"/>
      <c r="I8571" s="41"/>
      <c r="J8571" s="125">
        <v>0</v>
      </c>
    </row>
    <row r="8572" spans="1:10" s="169" customFormat="1" ht="15.75" hidden="1" thickBot="1" x14ac:dyDescent="0.3">
      <c r="A8572" s="235"/>
      <c r="B8572" s="238"/>
      <c r="C8572" s="129" t="s">
        <v>1048</v>
      </c>
      <c r="D8572" s="129" t="s">
        <v>587</v>
      </c>
      <c r="E8572" s="156">
        <v>1.2875000000000001</v>
      </c>
      <c r="F8572" s="31">
        <v>25.46</v>
      </c>
      <c r="G8572" s="28">
        <f>IF(ISNUMBER(F8572),E8572*F8572,"")</f>
        <v>32.77975</v>
      </c>
      <c r="H8572" s="32"/>
      <c r="I8572" s="28"/>
      <c r="J8572" s="125">
        <v>0</v>
      </c>
    </row>
    <row r="8573" spans="1:10" s="169" customFormat="1" ht="15.75" hidden="1" thickBot="1" x14ac:dyDescent="0.3">
      <c r="A8573" s="235"/>
      <c r="B8573" s="238"/>
      <c r="C8573" s="129" t="s">
        <v>588</v>
      </c>
      <c r="D8573" s="129" t="s">
        <v>587</v>
      </c>
      <c r="E8573" s="156">
        <v>1.2875000000000001</v>
      </c>
      <c r="F8573" s="31">
        <v>19.189999999999998</v>
      </c>
      <c r="G8573" s="28">
        <f>IF(ISNUMBER(F8573),E8573*F8573,"")</f>
        <v>24.707124999999998</v>
      </c>
      <c r="H8573" s="32"/>
      <c r="I8573" s="28"/>
      <c r="J8573" s="125">
        <v>0</v>
      </c>
    </row>
    <row r="8574" spans="1:10" s="169" customFormat="1" ht="39" hidden="1" thickBot="1" x14ac:dyDescent="0.3">
      <c r="A8574" s="235"/>
      <c r="B8574" s="238"/>
      <c r="C8574" s="155" t="s">
        <v>22702</v>
      </c>
      <c r="D8574" s="155" t="s">
        <v>870</v>
      </c>
      <c r="E8574" s="156">
        <v>1.97</v>
      </c>
      <c r="F8574" s="31" t="s">
        <v>418</v>
      </c>
      <c r="G8574" s="28" t="str">
        <f>IF(ISNUMBER(F8574),E8574*F8574,"")</f>
        <v/>
      </c>
      <c r="H8574" s="32"/>
      <c r="I8574" s="28"/>
      <c r="J8574" s="125">
        <v>0</v>
      </c>
    </row>
    <row r="8575" spans="1:10" s="169" customFormat="1" ht="26.25" hidden="1" thickBot="1" x14ac:dyDescent="0.3">
      <c r="A8575" s="235"/>
      <c r="B8575" s="238"/>
      <c r="C8575" s="155" t="s">
        <v>22703</v>
      </c>
      <c r="D8575" s="155" t="s">
        <v>205</v>
      </c>
      <c r="E8575" s="156">
        <v>2.3437999999999999</v>
      </c>
      <c r="F8575" s="28" t="s">
        <v>418</v>
      </c>
      <c r="G8575" s="28" t="str">
        <f>IF(ISNUMBER(F8575),E8575*F8575,"")</f>
        <v/>
      </c>
      <c r="H8575" s="32"/>
      <c r="I8575" s="28"/>
      <c r="J8575" s="125">
        <v>0</v>
      </c>
    </row>
    <row r="8576" spans="1:10" s="169" customFormat="1" ht="15.75" hidden="1" thickBot="1" x14ac:dyDescent="0.3">
      <c r="A8576" s="235"/>
      <c r="B8576" s="238"/>
      <c r="C8576" s="155"/>
      <c r="D8576" s="155"/>
      <c r="E8576" s="156"/>
      <c r="F8576" s="28"/>
      <c r="G8576" s="28"/>
      <c r="H8576" s="32"/>
      <c r="I8576" s="28"/>
      <c r="J8576" s="125">
        <v>0</v>
      </c>
    </row>
    <row r="8577" spans="1:10" s="169" customFormat="1" ht="15.75" hidden="1" thickBot="1" x14ac:dyDescent="0.3">
      <c r="A8577" s="235"/>
      <c r="B8577" s="238"/>
      <c r="C8577" s="47" t="s">
        <v>22704</v>
      </c>
      <c r="D8577" s="155"/>
      <c r="E8577" s="156"/>
      <c r="F8577" s="28"/>
      <c r="G8577" s="28"/>
      <c r="H8577" s="32"/>
      <c r="I8577" s="28"/>
      <c r="J8577" s="125">
        <v>0</v>
      </c>
    </row>
    <row r="8578" spans="1:10" s="169" customFormat="1" ht="15.75" hidden="1" thickBot="1" x14ac:dyDescent="0.3">
      <c r="A8578" s="236"/>
      <c r="B8578" s="239"/>
      <c r="C8578" s="155"/>
      <c r="D8578" s="155"/>
      <c r="E8578" s="156"/>
      <c r="F8578" s="28" t="s">
        <v>418</v>
      </c>
      <c r="G8578" s="28" t="str">
        <f>IF(ISNUMBER(F8578),E8578*F8578,"")</f>
        <v/>
      </c>
      <c r="H8578" s="32"/>
      <c r="I8578" s="28"/>
      <c r="J8578" s="125">
        <v>0</v>
      </c>
    </row>
    <row r="8579" spans="1:10" s="169" customFormat="1" ht="15.75" hidden="1" thickBot="1" x14ac:dyDescent="0.3">
      <c r="A8579" s="234" t="s">
        <v>18843</v>
      </c>
      <c r="B8579" s="237" t="s">
        <v>22705</v>
      </c>
      <c r="C8579" s="160"/>
      <c r="D8579" s="145" t="s">
        <v>70</v>
      </c>
      <c r="E8579" s="146"/>
      <c r="F8579" s="37" t="s">
        <v>418</v>
      </c>
      <c r="G8579" s="147" t="str">
        <f>IF(ISNUMBER(F8579),E8579*F8579,"")</f>
        <v/>
      </c>
      <c r="H8579" s="148"/>
      <c r="I8579" s="149"/>
      <c r="J8579" s="125">
        <v>0</v>
      </c>
    </row>
    <row r="8580" spans="1:10" s="169" customFormat="1" ht="15.75" hidden="1" thickBot="1" x14ac:dyDescent="0.3">
      <c r="A8580" s="235"/>
      <c r="B8580" s="238"/>
      <c r="C8580" s="151"/>
      <c r="D8580" s="151"/>
      <c r="E8580" s="152"/>
      <c r="F8580" s="38" t="s">
        <v>418</v>
      </c>
      <c r="G8580" s="28" t="str">
        <f>IF(ISNUMBER(F8580),E8580*F8580,"")</f>
        <v/>
      </c>
      <c r="H8580" s="32"/>
      <c r="I8580" s="28"/>
      <c r="J8580" s="125">
        <v>0</v>
      </c>
    </row>
    <row r="8581" spans="1:10" s="169" customFormat="1" ht="39" hidden="1" thickBot="1" x14ac:dyDescent="0.3">
      <c r="A8581" s="235"/>
      <c r="B8581" s="238"/>
      <c r="C8581" s="155" t="s">
        <v>1169</v>
      </c>
      <c r="D8581" s="155" t="s">
        <v>623</v>
      </c>
      <c r="E8581" s="156">
        <v>4.1500000000000004</v>
      </c>
      <c r="F8581" s="31">
        <v>1.5389999999999999</v>
      </c>
      <c r="G8581" s="31">
        <f>IF(ISNUMBER(F8581),E8581*F8581,"")</f>
        <v>6.3868499999999999</v>
      </c>
      <c r="H8581" s="35">
        <f>SUM(G8581:G8586)</f>
        <v>9.0267669999999995</v>
      </c>
      <c r="I8581" s="36"/>
      <c r="J8581" s="125">
        <v>0</v>
      </c>
    </row>
    <row r="8582" spans="1:10" s="169" customFormat="1" ht="51.75" hidden="1" thickBot="1" x14ac:dyDescent="0.3">
      <c r="A8582" s="235"/>
      <c r="B8582" s="238"/>
      <c r="C8582" s="155" t="s">
        <v>22707</v>
      </c>
      <c r="D8582" s="155" t="s">
        <v>870</v>
      </c>
      <c r="E8582" s="156">
        <v>1.1459999999999999</v>
      </c>
      <c r="F8582" s="31" t="s">
        <v>418</v>
      </c>
      <c r="G8582" s="28" t="str">
        <f>IF(ISNUMBER(F8582),E8582*F8582,"")</f>
        <v/>
      </c>
      <c r="H8582" s="32"/>
      <c r="I8582" s="28"/>
      <c r="J8582" s="125">
        <v>0</v>
      </c>
    </row>
    <row r="8583" spans="1:10" s="169" customFormat="1" ht="15.75" hidden="1" thickBot="1" x14ac:dyDescent="0.3">
      <c r="A8583" s="235"/>
      <c r="B8583" s="238"/>
      <c r="C8583" s="155" t="s">
        <v>588</v>
      </c>
      <c r="D8583" s="155" t="s">
        <v>587</v>
      </c>
      <c r="E8583" s="156">
        <v>6.2E-2</v>
      </c>
      <c r="F8583" s="31">
        <v>19.189999999999998</v>
      </c>
      <c r="G8583" s="28">
        <f>IF(ISNUMBER(F8583),E8583*F8583,"")</f>
        <v>1.1897799999999998</v>
      </c>
      <c r="H8583" s="32"/>
      <c r="I8583" s="28"/>
      <c r="J8583" s="125">
        <v>0</v>
      </c>
    </row>
    <row r="8584" spans="1:10" s="169" customFormat="1" ht="15.75" hidden="1" thickBot="1" x14ac:dyDescent="0.3">
      <c r="A8584" s="235"/>
      <c r="B8584" s="238"/>
      <c r="C8584" s="155" t="s">
        <v>1170</v>
      </c>
      <c r="D8584" s="155" t="s">
        <v>587</v>
      </c>
      <c r="E8584" s="156">
        <v>5.6000000000000001E-2</v>
      </c>
      <c r="F8584" s="31">
        <v>25.051500000000001</v>
      </c>
      <c r="G8584" s="28">
        <f>IF(ISNUMBER(F8584),E8584*F8584,"")</f>
        <v>1.402884</v>
      </c>
      <c r="H8584" s="32"/>
      <c r="I8584" s="28"/>
      <c r="J8584" s="125">
        <v>0</v>
      </c>
    </row>
    <row r="8585" spans="1:10" s="169" customFormat="1" ht="26.25" hidden="1" thickBot="1" x14ac:dyDescent="0.3">
      <c r="A8585" s="235"/>
      <c r="B8585" s="238"/>
      <c r="C8585" s="155" t="s">
        <v>1171</v>
      </c>
      <c r="D8585" s="155" t="s">
        <v>814</v>
      </c>
      <c r="E8585" s="156">
        <v>8.9999999999999998E-4</v>
      </c>
      <c r="F8585" s="28">
        <v>23.103999999999999</v>
      </c>
      <c r="G8585" s="31">
        <f>IF(ISNUMBER(F8585),E8585*F8585,"")</f>
        <v>2.0793599999999999E-2</v>
      </c>
      <c r="H8585" s="32"/>
      <c r="I8585" s="28"/>
      <c r="J8585" s="125">
        <v>0</v>
      </c>
    </row>
    <row r="8586" spans="1:10" s="169" customFormat="1" ht="26.25" hidden="1" thickBot="1" x14ac:dyDescent="0.3">
      <c r="A8586" s="235"/>
      <c r="B8586" s="238"/>
      <c r="C8586" s="155" t="s">
        <v>1172</v>
      </c>
      <c r="D8586" s="155" t="s">
        <v>816</v>
      </c>
      <c r="E8586" s="156">
        <v>1.1999999999999999E-3</v>
      </c>
      <c r="F8586" s="28">
        <v>22.049499999999998</v>
      </c>
      <c r="G8586" s="28">
        <f>IF(ISNUMBER(F8586),E8586*F8586,"")</f>
        <v>2.6459399999999994E-2</v>
      </c>
      <c r="H8586" s="32"/>
      <c r="I8586" s="28"/>
      <c r="J8586" s="125">
        <v>0</v>
      </c>
    </row>
    <row r="8587" spans="1:10" s="169" customFormat="1" ht="15.75" hidden="1" thickBot="1" x14ac:dyDescent="0.3">
      <c r="A8587" s="236"/>
      <c r="B8587" s="239"/>
      <c r="C8587" s="155"/>
      <c r="D8587" s="155"/>
      <c r="E8587" s="156"/>
      <c r="F8587" s="28" t="s">
        <v>418</v>
      </c>
      <c r="G8587" s="28" t="str">
        <f>IF(ISNUMBER(F8587),E8587*F8587,"")</f>
        <v/>
      </c>
      <c r="H8587" s="32"/>
      <c r="I8587" s="28"/>
      <c r="J8587" s="125">
        <v>0</v>
      </c>
    </row>
    <row r="8588" spans="1:10" s="169" customFormat="1" ht="15.75" hidden="1" thickBot="1" x14ac:dyDescent="0.3">
      <c r="A8588" s="234" t="s">
        <v>18844</v>
      </c>
      <c r="B8588" s="237" t="s">
        <v>22123</v>
      </c>
      <c r="C8588" s="160"/>
      <c r="D8588" s="145" t="s">
        <v>16</v>
      </c>
      <c r="E8588" s="146"/>
      <c r="F8588" s="37" t="s">
        <v>418</v>
      </c>
      <c r="G8588" s="147" t="str">
        <f>IF(ISNUMBER(F8588),E8588*F8588,"")</f>
        <v/>
      </c>
      <c r="H8588" s="148"/>
      <c r="I8588" s="149"/>
      <c r="J8588" s="125">
        <v>0</v>
      </c>
    </row>
    <row r="8589" spans="1:10" s="169" customFormat="1" ht="15.75" hidden="1" thickBot="1" x14ac:dyDescent="0.3">
      <c r="A8589" s="235"/>
      <c r="B8589" s="238"/>
      <c r="C8589" s="151"/>
      <c r="D8589" s="151"/>
      <c r="E8589" s="152"/>
      <c r="F8589" s="38" t="s">
        <v>418</v>
      </c>
      <c r="G8589" s="28" t="str">
        <f>IF(ISNUMBER(F8589),E8589*F8589,"")</f>
        <v/>
      </c>
      <c r="H8589" s="32"/>
      <c r="I8589" s="28"/>
      <c r="J8589" s="125">
        <v>0</v>
      </c>
    </row>
    <row r="8590" spans="1:10" s="169" customFormat="1" ht="39" hidden="1" thickBot="1" x14ac:dyDescent="0.3">
      <c r="A8590" s="235"/>
      <c r="B8590" s="238"/>
      <c r="C8590" s="129" t="s">
        <v>26738</v>
      </c>
      <c r="D8590" s="129" t="s">
        <v>205</v>
      </c>
      <c r="E8590" s="156">
        <v>2</v>
      </c>
      <c r="F8590" s="31">
        <v>24.671499999999998</v>
      </c>
      <c r="G8590" s="28">
        <f>IF(ISNUMBER(F8590),E8590*F8590,"")</f>
        <v>49.342999999999996</v>
      </c>
      <c r="H8590" s="35">
        <f>SUM(G8590:G8596)</f>
        <v>453.23881360000001</v>
      </c>
      <c r="I8590" s="36"/>
      <c r="J8590" s="125">
        <v>0</v>
      </c>
    </row>
    <row r="8591" spans="1:10" s="169" customFormat="1" ht="26.25" hidden="1" thickBot="1" x14ac:dyDescent="0.3">
      <c r="A8591" s="235"/>
      <c r="B8591" s="238"/>
      <c r="C8591" s="129" t="s">
        <v>23586</v>
      </c>
      <c r="D8591" s="129" t="s">
        <v>205</v>
      </c>
      <c r="E8591" s="156">
        <v>1</v>
      </c>
      <c r="F8591" s="31">
        <v>10.468999999999999</v>
      </c>
      <c r="G8591" s="28">
        <f>IF(ISNUMBER(F8591),E8591*F8591,"")</f>
        <v>10.468999999999999</v>
      </c>
      <c r="H8591" s="40"/>
      <c r="I8591" s="41"/>
      <c r="J8591" s="125">
        <v>0</v>
      </c>
    </row>
    <row r="8592" spans="1:10" s="169" customFormat="1" ht="26.25" hidden="1" thickBot="1" x14ac:dyDescent="0.3">
      <c r="A8592" s="235"/>
      <c r="B8592" s="238"/>
      <c r="C8592" s="129" t="s">
        <v>23758</v>
      </c>
      <c r="D8592" s="129" t="s">
        <v>205</v>
      </c>
      <c r="E8592" s="156">
        <v>1</v>
      </c>
      <c r="F8592" s="31">
        <v>353.37150000000003</v>
      </c>
      <c r="G8592" s="28">
        <f>IF(ISNUMBER(F8592),E8592*F8592,"")</f>
        <v>353.37150000000003</v>
      </c>
      <c r="H8592" s="32"/>
      <c r="I8592" s="28"/>
      <c r="J8592" s="125">
        <v>0</v>
      </c>
    </row>
    <row r="8593" spans="1:10" s="169" customFormat="1" ht="15.75" hidden="1" thickBot="1" x14ac:dyDescent="0.3">
      <c r="A8593" s="235"/>
      <c r="B8593" s="238"/>
      <c r="C8593" s="129" t="s">
        <v>10395</v>
      </c>
      <c r="D8593" s="129" t="s">
        <v>774</v>
      </c>
      <c r="E8593" s="156">
        <v>8.8099999999999998E-2</v>
      </c>
      <c r="F8593" s="31">
        <v>138.6335</v>
      </c>
      <c r="G8593" s="28">
        <f>IF(ISNUMBER(F8593),E8593*F8593,"")</f>
        <v>12.213611349999999</v>
      </c>
      <c r="H8593" s="32"/>
      <c r="I8593" s="28"/>
      <c r="J8593" s="125">
        <v>0</v>
      </c>
    </row>
    <row r="8594" spans="1:10" s="169" customFormat="1" ht="26.25" hidden="1" thickBot="1" x14ac:dyDescent="0.3">
      <c r="A8594" s="235"/>
      <c r="B8594" s="238"/>
      <c r="C8594" s="129" t="s">
        <v>825</v>
      </c>
      <c r="D8594" s="129" t="s">
        <v>587</v>
      </c>
      <c r="E8594" s="156">
        <v>0.77910000000000001</v>
      </c>
      <c r="F8594" s="31">
        <v>24.9375</v>
      </c>
      <c r="G8594" s="28">
        <f>IF(ISNUMBER(F8594),E8594*F8594,"")</f>
        <v>19.428806250000001</v>
      </c>
      <c r="H8594" s="32"/>
      <c r="I8594" s="28"/>
      <c r="J8594" s="125">
        <v>0</v>
      </c>
    </row>
    <row r="8595" spans="1:10" s="169" customFormat="1" ht="15.75" hidden="1" thickBot="1" x14ac:dyDescent="0.3">
      <c r="A8595" s="235"/>
      <c r="B8595" s="238"/>
      <c r="C8595" s="129" t="s">
        <v>588</v>
      </c>
      <c r="D8595" s="129" t="s">
        <v>587</v>
      </c>
      <c r="E8595" s="156">
        <v>0.43840000000000001</v>
      </c>
      <c r="F8595" s="28">
        <v>19.189999999999998</v>
      </c>
      <c r="G8595" s="28">
        <f>IF(ISNUMBER(F8595),E8595*F8595,"")</f>
        <v>8.4128959999999999</v>
      </c>
      <c r="H8595" s="32"/>
      <c r="I8595" s="28"/>
      <c r="J8595" s="125">
        <v>0</v>
      </c>
    </row>
    <row r="8596" spans="1:10" s="169" customFormat="1" ht="26.25" hidden="1" thickBot="1" x14ac:dyDescent="0.3">
      <c r="A8596" s="235"/>
      <c r="B8596" s="238"/>
      <c r="C8596" s="155" t="s">
        <v>226</v>
      </c>
      <c r="D8596" s="155" t="s">
        <v>16</v>
      </c>
      <c r="E8596" s="156">
        <v>1</v>
      </c>
      <c r="F8596" s="31" t="s">
        <v>418</v>
      </c>
      <c r="G8596" s="28" t="str">
        <f>IF(ISNUMBER(F8596),E8596*F8596,"")</f>
        <v/>
      </c>
      <c r="H8596" s="32"/>
      <c r="I8596" s="28"/>
      <c r="J8596" s="125">
        <v>0</v>
      </c>
    </row>
    <row r="8597" spans="1:10" s="169" customFormat="1" ht="15.75" hidden="1" thickBot="1" x14ac:dyDescent="0.3">
      <c r="A8597" s="236"/>
      <c r="B8597" s="239"/>
      <c r="C8597" s="155"/>
      <c r="D8597" s="155"/>
      <c r="E8597" s="156"/>
      <c r="F8597" s="28" t="s">
        <v>418</v>
      </c>
      <c r="G8597" s="28" t="str">
        <f>IF(ISNUMBER(F8597),E8597*F8597,"")</f>
        <v/>
      </c>
      <c r="H8597" s="32"/>
      <c r="I8597" s="28"/>
      <c r="J8597" s="125">
        <v>0</v>
      </c>
    </row>
    <row r="8598" spans="1:10" s="169" customFormat="1" ht="15.75" hidden="1" thickBot="1" x14ac:dyDescent="0.3">
      <c r="A8598" s="234" t="s">
        <v>18845</v>
      </c>
      <c r="B8598" s="237" t="s">
        <v>22124</v>
      </c>
      <c r="C8598" s="160"/>
      <c r="D8598" s="145" t="s">
        <v>16</v>
      </c>
      <c r="E8598" s="146"/>
      <c r="F8598" s="37" t="s">
        <v>418</v>
      </c>
      <c r="G8598" s="147" t="str">
        <f>IF(ISNUMBER(F8598),E8598*F8598,"")</f>
        <v/>
      </c>
      <c r="H8598" s="148"/>
      <c r="I8598" s="149"/>
      <c r="J8598" s="125">
        <v>0</v>
      </c>
    </row>
    <row r="8599" spans="1:10" s="169" customFormat="1" ht="15.75" hidden="1" thickBot="1" x14ac:dyDescent="0.3">
      <c r="A8599" s="235"/>
      <c r="B8599" s="240"/>
      <c r="C8599" s="127"/>
      <c r="D8599" s="127"/>
      <c r="E8599" s="128"/>
      <c r="F8599" s="38" t="s">
        <v>418</v>
      </c>
      <c r="G8599" s="28" t="str">
        <f>IF(ISNUMBER(F8599),E8599*F8599,"")</f>
        <v/>
      </c>
      <c r="H8599" s="32"/>
      <c r="I8599" s="28"/>
      <c r="J8599" s="125">
        <v>0</v>
      </c>
    </row>
    <row r="8600" spans="1:10" s="169" customFormat="1" ht="39" hidden="1" thickBot="1" x14ac:dyDescent="0.3">
      <c r="A8600" s="235"/>
      <c r="B8600" s="240"/>
      <c r="C8600" s="129" t="s">
        <v>22706</v>
      </c>
      <c r="D8600" s="155" t="s">
        <v>16</v>
      </c>
      <c r="E8600" s="130">
        <v>1</v>
      </c>
      <c r="F8600" s="28" t="s">
        <v>418</v>
      </c>
      <c r="G8600" s="31" t="str">
        <f>IF(ISNUMBER(F8600),E8600*F8600,"")</f>
        <v/>
      </c>
      <c r="H8600" s="35">
        <f>SUM(G8600:G8602)</f>
        <v>51.104091000000004</v>
      </c>
      <c r="I8600" s="36"/>
      <c r="J8600" s="125">
        <v>0</v>
      </c>
    </row>
    <row r="8601" spans="1:10" s="169" customFormat="1" ht="26.25" hidden="1" thickBot="1" x14ac:dyDescent="0.3">
      <c r="A8601" s="235"/>
      <c r="B8601" s="240"/>
      <c r="C8601" s="129" t="s">
        <v>824</v>
      </c>
      <c r="D8601" s="129" t="s">
        <v>587</v>
      </c>
      <c r="E8601" s="130">
        <v>1.173</v>
      </c>
      <c r="F8601" s="28">
        <v>18.6295</v>
      </c>
      <c r="G8601" s="31">
        <f>IF(ISNUMBER(F8601),E8601*F8601,"")</f>
        <v>21.852403500000001</v>
      </c>
      <c r="H8601" s="32"/>
      <c r="I8601" s="28"/>
      <c r="J8601" s="125">
        <v>0</v>
      </c>
    </row>
    <row r="8602" spans="1:10" s="169" customFormat="1" ht="26.25" hidden="1" thickBot="1" x14ac:dyDescent="0.3">
      <c r="A8602" s="235"/>
      <c r="B8602" s="240"/>
      <c r="C8602" s="129" t="s">
        <v>825</v>
      </c>
      <c r="D8602" s="129" t="s">
        <v>587</v>
      </c>
      <c r="E8602" s="130">
        <v>1.173</v>
      </c>
      <c r="F8602" s="28">
        <v>24.9375</v>
      </c>
      <c r="G8602" s="31">
        <f>IF(ISNUMBER(F8602),E8602*F8602,"")</f>
        <v>29.251687500000003</v>
      </c>
      <c r="H8602" s="32"/>
      <c r="I8602" s="28"/>
      <c r="J8602" s="125">
        <v>0</v>
      </c>
    </row>
    <row r="8603" spans="1:10" s="169" customFormat="1" ht="15.75" hidden="1" thickBot="1" x14ac:dyDescent="0.3">
      <c r="A8603" s="236"/>
      <c r="B8603" s="239"/>
      <c r="C8603" s="164"/>
      <c r="D8603" s="164"/>
      <c r="E8603" s="165"/>
      <c r="F8603" s="62" t="s">
        <v>418</v>
      </c>
      <c r="G8603" s="62" t="str">
        <f>IF(ISNUMBER(F8603),E8603*F8603,"")</f>
        <v/>
      </c>
      <c r="H8603" s="64"/>
      <c r="I8603" s="28"/>
      <c r="J8603" s="125">
        <v>0</v>
      </c>
    </row>
    <row r="8604" spans="1:10" s="169" customFormat="1" ht="15.75" hidden="1" thickBot="1" x14ac:dyDescent="0.3">
      <c r="A8604" s="234" t="s">
        <v>18846</v>
      </c>
      <c r="B8604" s="237" t="s">
        <v>15303</v>
      </c>
      <c r="C8604" s="160"/>
      <c r="D8604" s="145" t="s">
        <v>69</v>
      </c>
      <c r="E8604" s="146"/>
      <c r="F8604" s="37" t="s">
        <v>418</v>
      </c>
      <c r="G8604" s="147" t="str">
        <f>IF(ISNUMBER(F8604),E8604*F8604,"")</f>
        <v/>
      </c>
      <c r="H8604" s="148"/>
      <c r="I8604" s="149"/>
      <c r="J8604" s="125">
        <v>0</v>
      </c>
    </row>
    <row r="8605" spans="1:10" s="169" customFormat="1" ht="15.75" hidden="1" thickBot="1" x14ac:dyDescent="0.3">
      <c r="A8605" s="235"/>
      <c r="B8605" s="240"/>
      <c r="C8605" s="127"/>
      <c r="D8605" s="127"/>
      <c r="E8605" s="128"/>
      <c r="F8605" s="38" t="s">
        <v>418</v>
      </c>
      <c r="G8605" s="28" t="str">
        <f>IF(ISNUMBER(F8605),E8605*F8605,"")</f>
        <v/>
      </c>
      <c r="H8605" s="32"/>
      <c r="I8605" s="28"/>
      <c r="J8605" s="125">
        <v>0</v>
      </c>
    </row>
    <row r="8606" spans="1:10" s="169" customFormat="1" ht="26.25" hidden="1" thickBot="1" x14ac:dyDescent="0.3">
      <c r="A8606" s="235"/>
      <c r="B8606" s="240"/>
      <c r="C8606" s="129" t="s">
        <v>38852</v>
      </c>
      <c r="D8606" s="129" t="s">
        <v>385</v>
      </c>
      <c r="E8606" s="130">
        <v>1.0389999999999999</v>
      </c>
      <c r="F8606" s="28">
        <v>87.551999999999992</v>
      </c>
      <c r="G8606" s="31">
        <f>IF(ISNUMBER(F8606),E8606*F8606,"")</f>
        <v>90.966527999999983</v>
      </c>
      <c r="H8606" s="35">
        <f>SUM(G8606:G8608)</f>
        <v>105.99714299999998</v>
      </c>
      <c r="I8606" s="36"/>
      <c r="J8606" s="125">
        <v>0</v>
      </c>
    </row>
    <row r="8607" spans="1:10" s="169" customFormat="1" ht="26.25" hidden="1" thickBot="1" x14ac:dyDescent="0.3">
      <c r="A8607" s="235"/>
      <c r="B8607" s="240"/>
      <c r="C8607" s="129" t="s">
        <v>824</v>
      </c>
      <c r="D8607" s="129" t="s">
        <v>587</v>
      </c>
      <c r="E8607" s="130">
        <v>0.34499999999999997</v>
      </c>
      <c r="F8607" s="28">
        <v>18.6295</v>
      </c>
      <c r="G8607" s="31">
        <f>IF(ISNUMBER(F8607),E8607*F8607,"")</f>
        <v>6.4271775</v>
      </c>
      <c r="H8607" s="32"/>
      <c r="I8607" s="28"/>
      <c r="J8607" s="125">
        <v>0</v>
      </c>
    </row>
    <row r="8608" spans="1:10" s="169" customFormat="1" ht="26.25" hidden="1" thickBot="1" x14ac:dyDescent="0.3">
      <c r="A8608" s="235"/>
      <c r="B8608" s="240"/>
      <c r="C8608" s="129" t="s">
        <v>825</v>
      </c>
      <c r="D8608" s="129" t="s">
        <v>587</v>
      </c>
      <c r="E8608" s="130">
        <v>0.34499999999999997</v>
      </c>
      <c r="F8608" s="28">
        <v>24.9375</v>
      </c>
      <c r="G8608" s="31">
        <f>IF(ISNUMBER(F8608),E8608*F8608,"")</f>
        <v>8.6034375000000001</v>
      </c>
      <c r="H8608" s="32"/>
      <c r="I8608" s="28"/>
      <c r="J8608" s="125">
        <v>0</v>
      </c>
    </row>
    <row r="8609" spans="1:10" s="169" customFormat="1" ht="15.75" hidden="1" thickBot="1" x14ac:dyDescent="0.3">
      <c r="A8609" s="236"/>
      <c r="B8609" s="239"/>
      <c r="C8609" s="164"/>
      <c r="D8609" s="164"/>
      <c r="E8609" s="165"/>
      <c r="F8609" s="62" t="s">
        <v>418</v>
      </c>
      <c r="G8609" s="62" t="str">
        <f>IF(ISNUMBER(F8609),E8609*F8609,"")</f>
        <v/>
      </c>
      <c r="H8609" s="64"/>
      <c r="I8609" s="28"/>
      <c r="J8609" s="125">
        <v>0</v>
      </c>
    </row>
    <row r="8610" spans="1:10" s="169" customFormat="1" ht="15.75" hidden="1" thickBot="1" x14ac:dyDescent="0.3">
      <c r="A8610" s="234" t="s">
        <v>18847</v>
      </c>
      <c r="B8610" s="237" t="s">
        <v>22125</v>
      </c>
      <c r="C8610" s="160"/>
      <c r="D8610" s="145" t="s">
        <v>69</v>
      </c>
      <c r="E8610" s="146"/>
      <c r="F8610" s="37" t="s">
        <v>418</v>
      </c>
      <c r="G8610" s="147" t="str">
        <f>IF(ISNUMBER(F8610),E8610*F8610,"")</f>
        <v/>
      </c>
      <c r="H8610" s="148"/>
      <c r="I8610" s="149"/>
      <c r="J8610" s="125">
        <v>0</v>
      </c>
    </row>
    <row r="8611" spans="1:10" s="169" customFormat="1" ht="15.75" hidden="1" thickBot="1" x14ac:dyDescent="0.3">
      <c r="A8611" s="235"/>
      <c r="B8611" s="240"/>
      <c r="C8611" s="127"/>
      <c r="D8611" s="127"/>
      <c r="E8611" s="128"/>
      <c r="F8611" s="38" t="s">
        <v>418</v>
      </c>
      <c r="G8611" s="28" t="str">
        <f>IF(ISNUMBER(F8611),E8611*F8611,"")</f>
        <v/>
      </c>
      <c r="H8611" s="32"/>
      <c r="I8611" s="28"/>
      <c r="J8611" s="125">
        <v>0</v>
      </c>
    </row>
    <row r="8612" spans="1:10" s="169" customFormat="1" ht="26.25" hidden="1" thickBot="1" x14ac:dyDescent="0.3">
      <c r="A8612" s="235"/>
      <c r="B8612" s="240"/>
      <c r="C8612" s="129" t="s">
        <v>38878</v>
      </c>
      <c r="D8612" s="129" t="s">
        <v>385</v>
      </c>
      <c r="E8612" s="130">
        <v>1.0389999999999999</v>
      </c>
      <c r="F8612" s="28">
        <v>145.78700000000001</v>
      </c>
      <c r="G8612" s="31">
        <f>IF(ISNUMBER(F8612),E8612*F8612,"")</f>
        <v>151.47269299999999</v>
      </c>
      <c r="H8612" s="35">
        <f>SUM(G8612:G8614)</f>
        <v>167.85388499999999</v>
      </c>
      <c r="I8612" s="36"/>
      <c r="J8612" s="125">
        <v>0</v>
      </c>
    </row>
    <row r="8613" spans="1:10" s="169" customFormat="1" ht="26.25" hidden="1" thickBot="1" x14ac:dyDescent="0.3">
      <c r="A8613" s="235"/>
      <c r="B8613" s="240"/>
      <c r="C8613" s="129" t="s">
        <v>824</v>
      </c>
      <c r="D8613" s="129" t="s">
        <v>587</v>
      </c>
      <c r="E8613" s="130">
        <v>0.376</v>
      </c>
      <c r="F8613" s="28">
        <v>18.6295</v>
      </c>
      <c r="G8613" s="31">
        <f>IF(ISNUMBER(F8613),E8613*F8613,"")</f>
        <v>7.0046920000000004</v>
      </c>
      <c r="H8613" s="32"/>
      <c r="I8613" s="28"/>
      <c r="J8613" s="125">
        <v>0</v>
      </c>
    </row>
    <row r="8614" spans="1:10" s="169" customFormat="1" ht="26.25" hidden="1" thickBot="1" x14ac:dyDescent="0.3">
      <c r="A8614" s="235"/>
      <c r="B8614" s="240"/>
      <c r="C8614" s="129" t="s">
        <v>825</v>
      </c>
      <c r="D8614" s="129" t="s">
        <v>587</v>
      </c>
      <c r="E8614" s="130">
        <v>0.376</v>
      </c>
      <c r="F8614" s="28">
        <v>24.9375</v>
      </c>
      <c r="G8614" s="31">
        <f>IF(ISNUMBER(F8614),E8614*F8614,"")</f>
        <v>9.3765000000000001</v>
      </c>
      <c r="H8614" s="32"/>
      <c r="I8614" s="28"/>
      <c r="J8614" s="125">
        <v>0</v>
      </c>
    </row>
    <row r="8615" spans="1:10" s="169" customFormat="1" ht="15.75" hidden="1" thickBot="1" x14ac:dyDescent="0.3">
      <c r="A8615" s="236"/>
      <c r="B8615" s="239"/>
      <c r="C8615" s="164"/>
      <c r="D8615" s="164"/>
      <c r="E8615" s="165"/>
      <c r="F8615" s="62" t="s">
        <v>418</v>
      </c>
      <c r="G8615" s="62" t="str">
        <f>IF(ISNUMBER(F8615),E8615*F8615,"")</f>
        <v/>
      </c>
      <c r="H8615" s="64"/>
      <c r="I8615" s="28"/>
      <c r="J8615" s="125">
        <v>0</v>
      </c>
    </row>
    <row r="8616" spans="1:10" s="169" customFormat="1" ht="15.75" hidden="1" thickBot="1" x14ac:dyDescent="0.3">
      <c r="A8616" s="234" t="s">
        <v>18848</v>
      </c>
      <c r="B8616" s="237" t="s">
        <v>22126</v>
      </c>
      <c r="C8616" s="160"/>
      <c r="D8616" s="145" t="s">
        <v>16</v>
      </c>
      <c r="E8616" s="146"/>
      <c r="F8616" s="37" t="s">
        <v>418</v>
      </c>
      <c r="G8616" s="147" t="str">
        <f>IF(ISNUMBER(F8616),E8616*F8616,"")</f>
        <v/>
      </c>
      <c r="H8616" s="148"/>
      <c r="I8616" s="149"/>
      <c r="J8616" s="125">
        <v>0</v>
      </c>
    </row>
    <row r="8617" spans="1:10" s="169" customFormat="1" ht="15.75" hidden="1" thickBot="1" x14ac:dyDescent="0.3">
      <c r="A8617" s="235"/>
      <c r="B8617" s="238"/>
      <c r="C8617" s="151"/>
      <c r="D8617" s="151"/>
      <c r="E8617" s="152"/>
      <c r="F8617" s="38" t="s">
        <v>418</v>
      </c>
      <c r="G8617" s="28" t="str">
        <f>IF(ISNUMBER(F8617),E8617*F8617,"")</f>
        <v/>
      </c>
      <c r="H8617" s="32"/>
      <c r="I8617" s="28"/>
      <c r="J8617" s="125">
        <v>0</v>
      </c>
    </row>
    <row r="8618" spans="1:10" s="169" customFormat="1" ht="39" hidden="1" thickBot="1" x14ac:dyDescent="0.3">
      <c r="A8618" s="235"/>
      <c r="B8618" s="238"/>
      <c r="C8618" s="155" t="s">
        <v>23961</v>
      </c>
      <c r="D8618" s="155" t="s">
        <v>205</v>
      </c>
      <c r="E8618" s="156">
        <v>2</v>
      </c>
      <c r="F8618" s="28">
        <v>0.69350000000000001</v>
      </c>
      <c r="G8618" s="31">
        <f>IF(ISNUMBER(F8618),E8618*F8618,"")</f>
        <v>1.387</v>
      </c>
      <c r="H8618" s="35">
        <f>SUM(G8618:G8621)</f>
        <v>21.314545799999998</v>
      </c>
      <c r="I8618" s="36"/>
      <c r="J8618" s="125">
        <v>0</v>
      </c>
    </row>
    <row r="8619" spans="1:10" s="169" customFormat="1" ht="26.25" hidden="1" thickBot="1" x14ac:dyDescent="0.3">
      <c r="A8619" s="235"/>
      <c r="B8619" s="238"/>
      <c r="C8619" s="155" t="s">
        <v>23351</v>
      </c>
      <c r="D8619" s="155" t="s">
        <v>16</v>
      </c>
      <c r="E8619" s="156">
        <v>1</v>
      </c>
      <c r="F8619" s="28" t="s">
        <v>418</v>
      </c>
      <c r="G8619" s="31" t="str">
        <f>IF(ISNUMBER(F8619),E8619*F8619,"")</f>
        <v/>
      </c>
      <c r="H8619" s="32"/>
      <c r="I8619" s="28"/>
      <c r="J8619" s="125">
        <v>0</v>
      </c>
    </row>
    <row r="8620" spans="1:10" s="169" customFormat="1" ht="26.25" hidden="1" thickBot="1" x14ac:dyDescent="0.3">
      <c r="A8620" s="235"/>
      <c r="B8620" s="238"/>
      <c r="C8620" s="155" t="s">
        <v>824</v>
      </c>
      <c r="D8620" s="155" t="s">
        <v>587</v>
      </c>
      <c r="E8620" s="156">
        <v>0.45739999999999997</v>
      </c>
      <c r="F8620" s="31">
        <v>18.6295</v>
      </c>
      <c r="G8620" s="31">
        <f>IF(ISNUMBER(F8620),E8620*F8620,"")</f>
        <v>8.5211332999999989</v>
      </c>
      <c r="H8620" s="32"/>
      <c r="I8620" s="28"/>
      <c r="J8620" s="125">
        <v>0</v>
      </c>
    </row>
    <row r="8621" spans="1:10" s="169" customFormat="1" ht="26.25" hidden="1" thickBot="1" x14ac:dyDescent="0.3">
      <c r="A8621" s="235"/>
      <c r="B8621" s="238"/>
      <c r="C8621" s="155" t="s">
        <v>825</v>
      </c>
      <c r="D8621" s="155" t="s">
        <v>587</v>
      </c>
      <c r="E8621" s="156">
        <v>0.45739999999999997</v>
      </c>
      <c r="F8621" s="31">
        <v>24.9375</v>
      </c>
      <c r="G8621" s="31">
        <f>IF(ISNUMBER(F8621),E8621*F8621,"")</f>
        <v>11.4064125</v>
      </c>
      <c r="H8621" s="32"/>
      <c r="I8621" s="28"/>
      <c r="J8621" s="125">
        <v>0</v>
      </c>
    </row>
    <row r="8622" spans="1:10" s="169" customFormat="1" ht="15.75" hidden="1" thickBot="1" x14ac:dyDescent="0.3">
      <c r="A8622" s="236"/>
      <c r="B8622" s="239"/>
      <c r="C8622" s="155"/>
      <c r="D8622" s="155"/>
      <c r="E8622" s="156"/>
      <c r="F8622" s="28" t="s">
        <v>418</v>
      </c>
      <c r="G8622" s="28" t="str">
        <f>IF(ISNUMBER(F8622),E8622*F8622,"")</f>
        <v/>
      </c>
      <c r="H8622" s="32"/>
      <c r="I8622" s="28"/>
      <c r="J8622" s="125">
        <v>0</v>
      </c>
    </row>
    <row r="8623" spans="1:10" s="169" customFormat="1" ht="15.75" hidden="1" thickBot="1" x14ac:dyDescent="0.3">
      <c r="A8623" s="234" t="s">
        <v>18849</v>
      </c>
      <c r="B8623" s="237" t="s">
        <v>22127</v>
      </c>
      <c r="C8623" s="160"/>
      <c r="D8623" s="145" t="s">
        <v>16</v>
      </c>
      <c r="E8623" s="146"/>
      <c r="F8623" s="44" t="s">
        <v>418</v>
      </c>
      <c r="G8623" s="147" t="str">
        <f>IF(ISNUMBER(F8623),E8623*F8623,"")</f>
        <v/>
      </c>
      <c r="H8623" s="148"/>
      <c r="I8623" s="149"/>
      <c r="J8623" s="125">
        <v>0</v>
      </c>
    </row>
    <row r="8624" spans="1:10" s="169" customFormat="1" ht="15.75" hidden="1" thickBot="1" x14ac:dyDescent="0.3">
      <c r="A8624" s="249"/>
      <c r="B8624" s="238"/>
      <c r="C8624" s="151"/>
      <c r="D8624" s="151"/>
      <c r="E8624" s="152"/>
      <c r="F8624" s="49" t="s">
        <v>418</v>
      </c>
      <c r="G8624" s="49" t="str">
        <f>IF(ISNUMBER(F8624),E8624*F8624,"")</f>
        <v/>
      </c>
      <c r="H8624" s="65"/>
      <c r="I8624" s="66"/>
      <c r="J8624" s="125">
        <v>0</v>
      </c>
    </row>
    <row r="8625" spans="1:10" s="169" customFormat="1" ht="15.75" hidden="1" thickBot="1" x14ac:dyDescent="0.3">
      <c r="A8625" s="249"/>
      <c r="B8625" s="238"/>
      <c r="C8625" s="155" t="s">
        <v>237</v>
      </c>
      <c r="D8625" s="155" t="s">
        <v>205</v>
      </c>
      <c r="E8625" s="156">
        <v>4.0000000000000001E-3</v>
      </c>
      <c r="F8625" s="49">
        <v>17.166499999999999</v>
      </c>
      <c r="G8625" s="49">
        <f>IF(ISNUMBER(F8625),E8625*F8625,"")</f>
        <v>6.8666000000000005E-2</v>
      </c>
      <c r="H8625" s="35">
        <f>SUM(G8625:G8629)</f>
        <v>42.096855999999995</v>
      </c>
      <c r="I8625" s="36"/>
      <c r="J8625" s="125">
        <v>0</v>
      </c>
    </row>
    <row r="8626" spans="1:10" s="169" customFormat="1" ht="39" hidden="1" thickBot="1" x14ac:dyDescent="0.3">
      <c r="A8626" s="249"/>
      <c r="B8626" s="238"/>
      <c r="C8626" s="155" t="s">
        <v>27412</v>
      </c>
      <c r="D8626" s="155" t="s">
        <v>205</v>
      </c>
      <c r="E8626" s="156">
        <v>1</v>
      </c>
      <c r="F8626" s="49">
        <v>34.902999999999999</v>
      </c>
      <c r="G8626" s="49">
        <f>IF(ISNUMBER(F8626),E8626*F8626,"")</f>
        <v>34.902999999999999</v>
      </c>
      <c r="H8626" s="65"/>
      <c r="I8626" s="66"/>
      <c r="J8626" s="125">
        <v>0</v>
      </c>
    </row>
    <row r="8627" spans="1:10" s="169" customFormat="1" ht="26.25" hidden="1" thickBot="1" x14ac:dyDescent="0.3">
      <c r="A8627" s="249"/>
      <c r="B8627" s="238"/>
      <c r="C8627" s="155" t="s">
        <v>24364</v>
      </c>
      <c r="D8627" s="155" t="s">
        <v>205</v>
      </c>
      <c r="E8627" s="156">
        <v>1</v>
      </c>
      <c r="F8627" s="49">
        <v>4.0754999999999999</v>
      </c>
      <c r="G8627" s="49">
        <f>IF(ISNUMBER(F8627),E8627*F8627,"")</f>
        <v>4.0754999999999999</v>
      </c>
      <c r="H8627" s="65"/>
      <c r="I8627" s="66"/>
      <c r="J8627" s="125">
        <v>0</v>
      </c>
    </row>
    <row r="8628" spans="1:10" s="169" customFormat="1" ht="26.25" hidden="1" thickBot="1" x14ac:dyDescent="0.3">
      <c r="A8628" s="249"/>
      <c r="B8628" s="238"/>
      <c r="C8628" s="155" t="s">
        <v>824</v>
      </c>
      <c r="D8628" s="155" t="s">
        <v>587</v>
      </c>
      <c r="E8628" s="156">
        <v>7.0000000000000007E-2</v>
      </c>
      <c r="F8628" s="49">
        <v>18.6295</v>
      </c>
      <c r="G8628" s="49">
        <f>IF(ISNUMBER(F8628),E8628*F8628,"")</f>
        <v>1.304065</v>
      </c>
      <c r="H8628" s="65"/>
      <c r="I8628" s="66"/>
      <c r="J8628" s="125">
        <v>0</v>
      </c>
    </row>
    <row r="8629" spans="1:10" s="169" customFormat="1" ht="26.25" hidden="1" thickBot="1" x14ac:dyDescent="0.3">
      <c r="A8629" s="249"/>
      <c r="B8629" s="238"/>
      <c r="C8629" s="155" t="s">
        <v>825</v>
      </c>
      <c r="D8629" s="155" t="s">
        <v>587</v>
      </c>
      <c r="E8629" s="156">
        <v>7.0000000000000007E-2</v>
      </c>
      <c r="F8629" s="49">
        <v>24.9375</v>
      </c>
      <c r="G8629" s="49">
        <f>IF(ISNUMBER(F8629),E8629*F8629,"")</f>
        <v>1.7456250000000002</v>
      </c>
      <c r="H8629" s="65"/>
      <c r="I8629" s="66"/>
      <c r="J8629" s="125">
        <v>0</v>
      </c>
    </row>
    <row r="8630" spans="1:10" s="169" customFormat="1" ht="15.75" hidden="1" thickBot="1" x14ac:dyDescent="0.3">
      <c r="A8630" s="250"/>
      <c r="B8630" s="239"/>
      <c r="C8630" s="164"/>
      <c r="D8630" s="164"/>
      <c r="E8630" s="165"/>
      <c r="F8630" s="68" t="s">
        <v>418</v>
      </c>
      <c r="G8630" s="68" t="str">
        <f>IF(ISNUMBER(F8630),E8630*F8630,"")</f>
        <v/>
      </c>
      <c r="H8630" s="69"/>
      <c r="I8630" s="66"/>
      <c r="J8630" s="125">
        <v>0</v>
      </c>
    </row>
    <row r="8631" spans="1:10" s="169" customFormat="1" ht="15.75" hidden="1" thickBot="1" x14ac:dyDescent="0.3">
      <c r="A8631" s="234" t="s">
        <v>18850</v>
      </c>
      <c r="B8631" s="237" t="s">
        <v>15297</v>
      </c>
      <c r="C8631" s="160"/>
      <c r="D8631" s="145" t="s">
        <v>69</v>
      </c>
      <c r="E8631" s="146"/>
      <c r="F8631" s="37" t="s">
        <v>418</v>
      </c>
      <c r="G8631" s="147" t="str">
        <f>IF(ISNUMBER(F8631),E8631*F8631,"")</f>
        <v/>
      </c>
      <c r="H8631" s="148"/>
      <c r="I8631" s="149"/>
      <c r="J8631" s="125">
        <v>0</v>
      </c>
    </row>
    <row r="8632" spans="1:10" s="169" customFormat="1" ht="15.75" hidden="1" thickBot="1" x14ac:dyDescent="0.3">
      <c r="A8632" s="235"/>
      <c r="B8632" s="240"/>
      <c r="C8632" s="127"/>
      <c r="D8632" s="127"/>
      <c r="E8632" s="128"/>
      <c r="F8632" s="38" t="s">
        <v>418</v>
      </c>
      <c r="G8632" s="28" t="str">
        <f>IF(ISNUMBER(F8632),E8632*F8632,"")</f>
        <v/>
      </c>
      <c r="H8632" s="32"/>
      <c r="I8632" s="28"/>
      <c r="J8632" s="125">
        <v>0</v>
      </c>
    </row>
    <row r="8633" spans="1:10" s="169" customFormat="1" ht="26.25" hidden="1" thickBot="1" x14ac:dyDescent="0.3">
      <c r="A8633" s="235"/>
      <c r="B8633" s="240"/>
      <c r="C8633" s="129" t="s">
        <v>38849</v>
      </c>
      <c r="D8633" s="129" t="s">
        <v>385</v>
      </c>
      <c r="E8633" s="130">
        <v>1.0389999999999999</v>
      </c>
      <c r="F8633" s="28">
        <v>22.172999999999998</v>
      </c>
      <c r="G8633" s="31">
        <f>IF(ISNUMBER(F8633),E8633*F8633,"")</f>
        <v>23.037746999999996</v>
      </c>
      <c r="H8633" s="35">
        <f>SUM(G8633:G8635)</f>
        <v>35.759310999999997</v>
      </c>
      <c r="I8633" s="36"/>
      <c r="J8633" s="125">
        <v>0</v>
      </c>
    </row>
    <row r="8634" spans="1:10" s="169" customFormat="1" ht="26.25" hidden="1" thickBot="1" x14ac:dyDescent="0.3">
      <c r="A8634" s="235"/>
      <c r="B8634" s="240"/>
      <c r="C8634" s="129" t="s">
        <v>824</v>
      </c>
      <c r="D8634" s="129" t="s">
        <v>587</v>
      </c>
      <c r="E8634" s="130">
        <v>0.29199999999999998</v>
      </c>
      <c r="F8634" s="28">
        <v>18.6295</v>
      </c>
      <c r="G8634" s="31">
        <f>IF(ISNUMBER(F8634),E8634*F8634,"")</f>
        <v>5.4398140000000001</v>
      </c>
      <c r="H8634" s="32"/>
      <c r="I8634" s="28"/>
      <c r="J8634" s="125">
        <v>0</v>
      </c>
    </row>
    <row r="8635" spans="1:10" s="169" customFormat="1" ht="26.25" hidden="1" thickBot="1" x14ac:dyDescent="0.3">
      <c r="A8635" s="235"/>
      <c r="B8635" s="240"/>
      <c r="C8635" s="129" t="s">
        <v>825</v>
      </c>
      <c r="D8635" s="129" t="s">
        <v>587</v>
      </c>
      <c r="E8635" s="130">
        <v>0.29199999999999998</v>
      </c>
      <c r="F8635" s="28">
        <v>24.9375</v>
      </c>
      <c r="G8635" s="31">
        <f>IF(ISNUMBER(F8635),E8635*F8635,"")</f>
        <v>7.2817499999999997</v>
      </c>
      <c r="H8635" s="32"/>
      <c r="I8635" s="28"/>
      <c r="J8635" s="125">
        <v>0</v>
      </c>
    </row>
    <row r="8636" spans="1:10" s="169" customFormat="1" ht="15.75" hidden="1" thickBot="1" x14ac:dyDescent="0.3">
      <c r="A8636" s="236"/>
      <c r="B8636" s="239"/>
      <c r="C8636" s="164"/>
      <c r="D8636" s="164"/>
      <c r="E8636" s="165"/>
      <c r="F8636" s="62" t="s">
        <v>418</v>
      </c>
      <c r="G8636" s="62" t="str">
        <f>IF(ISNUMBER(F8636),E8636*F8636,"")</f>
        <v/>
      </c>
      <c r="H8636" s="64"/>
      <c r="I8636" s="28"/>
      <c r="J8636" s="125">
        <v>0</v>
      </c>
    </row>
    <row r="8637" spans="1:10" s="169" customFormat="1" ht="15.75" hidden="1" thickBot="1" x14ac:dyDescent="0.3">
      <c r="A8637" s="241" t="s">
        <v>18851</v>
      </c>
      <c r="B8637" s="244" t="s">
        <v>22128</v>
      </c>
      <c r="C8637" s="160"/>
      <c r="D8637" s="145" t="s">
        <v>1628</v>
      </c>
      <c r="E8637" s="146"/>
      <c r="F8637" s="37" t="s">
        <v>418</v>
      </c>
      <c r="G8637" s="147" t="str">
        <f>IF(ISNUMBER(F8637),E8637*F8637,"")</f>
        <v/>
      </c>
      <c r="H8637" s="148"/>
      <c r="I8637" s="149"/>
      <c r="J8637" s="125">
        <v>0</v>
      </c>
    </row>
    <row r="8638" spans="1:10" s="169" customFormat="1" ht="15.75" hidden="1" thickBot="1" x14ac:dyDescent="0.3">
      <c r="A8638" s="247"/>
      <c r="B8638" s="245"/>
      <c r="C8638" s="151"/>
      <c r="D8638" s="151"/>
      <c r="E8638" s="152"/>
      <c r="F8638" s="38" t="s">
        <v>418</v>
      </c>
      <c r="G8638" s="31" t="str">
        <f>IF(ISNUMBER(F8638),E8638*F8638,"")</f>
        <v/>
      </c>
      <c r="H8638" s="32"/>
      <c r="I8638" s="28"/>
      <c r="J8638" s="125">
        <v>0</v>
      </c>
    </row>
    <row r="8639" spans="1:10" s="169" customFormat="1" ht="26.25" hidden="1" thickBot="1" x14ac:dyDescent="0.3">
      <c r="A8639" s="247"/>
      <c r="B8639" s="245"/>
      <c r="C8639" s="155" t="s">
        <v>656</v>
      </c>
      <c r="D8639" s="155" t="s">
        <v>587</v>
      </c>
      <c r="E8639" s="130" t="e">
        <f>IF(#REF!="Desonerado",ROUND(220/(1+110.69%),4),ROUND(220/(1+82.01%),4))</f>
        <v>#REF!</v>
      </c>
      <c r="F8639" s="28">
        <v>122.71149999999999</v>
      </c>
      <c r="G8639" s="31" t="e">
        <f>IF(ISNUMBER(F8639),E8639*F8639,"")</f>
        <v>#REF!</v>
      </c>
      <c r="H8639" s="35" t="e">
        <f>SUM(G8639:G8639)</f>
        <v>#REF!</v>
      </c>
      <c r="I8639" s="36"/>
      <c r="J8639" s="125">
        <v>0</v>
      </c>
    </row>
    <row r="8640" spans="1:10" s="169" customFormat="1" ht="15.75" hidden="1" thickBot="1" x14ac:dyDescent="0.3">
      <c r="A8640" s="247"/>
      <c r="B8640" s="245"/>
      <c r="C8640" s="155"/>
      <c r="D8640" s="129"/>
      <c r="E8640" s="130"/>
      <c r="F8640" s="28"/>
      <c r="G8640" s="31"/>
      <c r="H8640" s="32"/>
      <c r="I8640" s="36"/>
      <c r="J8640" s="125">
        <v>0</v>
      </c>
    </row>
    <row r="8641" spans="1:10" s="169" customFormat="1" ht="15.75" hidden="1" thickBot="1" x14ac:dyDescent="0.3">
      <c r="A8641" s="241" t="s">
        <v>18852</v>
      </c>
      <c r="B8641" s="244" t="s">
        <v>22129</v>
      </c>
      <c r="C8641" s="160"/>
      <c r="D8641" s="145" t="s">
        <v>1628</v>
      </c>
      <c r="E8641" s="146"/>
      <c r="F8641" s="37" t="s">
        <v>418</v>
      </c>
      <c r="G8641" s="147" t="str">
        <f>IF(ISNUMBER(F8641),E8641*F8641,"")</f>
        <v/>
      </c>
      <c r="H8641" s="148"/>
      <c r="I8641" s="149"/>
      <c r="J8641" s="125">
        <v>0</v>
      </c>
    </row>
    <row r="8642" spans="1:10" s="169" customFormat="1" ht="15.75" hidden="1" thickBot="1" x14ac:dyDescent="0.3">
      <c r="A8642" s="247"/>
      <c r="B8642" s="245"/>
      <c r="C8642" s="151"/>
      <c r="D8642" s="151"/>
      <c r="E8642" s="152"/>
      <c r="F8642" s="38" t="s">
        <v>418</v>
      </c>
      <c r="G8642" s="31" t="str">
        <f>IF(ISNUMBER(F8642),E8642*F8642,"")</f>
        <v/>
      </c>
      <c r="H8642" s="32"/>
      <c r="I8642" s="28"/>
      <c r="J8642" s="125">
        <v>0</v>
      </c>
    </row>
    <row r="8643" spans="1:10" s="169" customFormat="1" ht="15.75" hidden="1" thickBot="1" x14ac:dyDescent="0.3">
      <c r="A8643" s="247"/>
      <c r="B8643" s="245"/>
      <c r="C8643" s="155" t="s">
        <v>9900</v>
      </c>
      <c r="D8643" s="155" t="s">
        <v>587</v>
      </c>
      <c r="E8643" s="130" t="e">
        <f>IF(#REF!="Desonerado",ROUND(220/(1+110.69%),4),ROUND(220/(1+82.01%),4))</f>
        <v>#REF!</v>
      </c>
      <c r="F8643" s="28">
        <v>158.94450000000001</v>
      </c>
      <c r="G8643" s="31" t="e">
        <f>IF(ISNUMBER(F8643),E8643*F8643,"")</f>
        <v>#REF!</v>
      </c>
      <c r="H8643" s="35" t="e">
        <f>SUM(G8643:G8643)</f>
        <v>#REF!</v>
      </c>
      <c r="I8643" s="36"/>
      <c r="J8643" s="125">
        <v>0</v>
      </c>
    </row>
    <row r="8644" spans="1:10" s="169" customFormat="1" ht="15.75" hidden="1" thickBot="1" x14ac:dyDescent="0.3">
      <c r="A8644" s="247"/>
      <c r="B8644" s="245"/>
      <c r="C8644" s="155"/>
      <c r="D8644" s="129"/>
      <c r="E8644" s="130"/>
      <c r="F8644" s="28"/>
      <c r="G8644" s="31"/>
      <c r="H8644" s="32"/>
      <c r="I8644" s="36"/>
      <c r="J8644" s="125">
        <v>0</v>
      </c>
    </row>
    <row r="8645" spans="1:10" s="169" customFormat="1" ht="15.75" hidden="1" thickBot="1" x14ac:dyDescent="0.3">
      <c r="A8645" s="241" t="s">
        <v>18853</v>
      </c>
      <c r="B8645" s="244" t="s">
        <v>22130</v>
      </c>
      <c r="C8645" s="160"/>
      <c r="D8645" s="145" t="s">
        <v>1628</v>
      </c>
      <c r="E8645" s="146"/>
      <c r="F8645" s="37" t="s">
        <v>418</v>
      </c>
      <c r="G8645" s="147" t="str">
        <f>IF(ISNUMBER(F8645),E8645*F8645,"")</f>
        <v/>
      </c>
      <c r="H8645" s="148"/>
      <c r="I8645" s="149"/>
      <c r="J8645" s="125">
        <v>0</v>
      </c>
    </row>
    <row r="8646" spans="1:10" s="169" customFormat="1" ht="15.75" hidden="1" thickBot="1" x14ac:dyDescent="0.3">
      <c r="A8646" s="247"/>
      <c r="B8646" s="245"/>
      <c r="C8646" s="151"/>
      <c r="D8646" s="151"/>
      <c r="E8646" s="152"/>
      <c r="F8646" s="38" t="s">
        <v>418</v>
      </c>
      <c r="G8646" s="31" t="str">
        <f>IF(ISNUMBER(F8646),E8646*F8646,"")</f>
        <v/>
      </c>
      <c r="H8646" s="32"/>
      <c r="I8646" s="28"/>
      <c r="J8646" s="125">
        <v>0</v>
      </c>
    </row>
    <row r="8647" spans="1:10" s="169" customFormat="1" ht="15.75" hidden="1" thickBot="1" x14ac:dyDescent="0.3">
      <c r="A8647" s="247"/>
      <c r="B8647" s="245"/>
      <c r="C8647" s="155" t="s">
        <v>9889</v>
      </c>
      <c r="D8647" s="155" t="s">
        <v>587</v>
      </c>
      <c r="E8647" s="130" t="e">
        <f>IF(#REF!="Desonerado",ROUND(220/(1+110.69%),4),ROUND(220/(1+82.01%),4))</f>
        <v>#REF!</v>
      </c>
      <c r="F8647" s="28">
        <v>33.316499999999998</v>
      </c>
      <c r="G8647" s="31" t="e">
        <f>IF(ISNUMBER(F8647),E8647*F8647,"")</f>
        <v>#REF!</v>
      </c>
      <c r="H8647" s="35" t="e">
        <f>SUM(G8647:G8647)</f>
        <v>#REF!</v>
      </c>
      <c r="I8647" s="36"/>
      <c r="J8647" s="125">
        <v>0</v>
      </c>
    </row>
    <row r="8648" spans="1:10" s="169" customFormat="1" ht="15.75" hidden="1" thickBot="1" x14ac:dyDescent="0.3">
      <c r="A8648" s="247"/>
      <c r="B8648" s="245"/>
      <c r="C8648" s="155"/>
      <c r="D8648" s="129"/>
      <c r="E8648" s="130"/>
      <c r="F8648" s="28"/>
      <c r="G8648" s="31"/>
      <c r="H8648" s="32"/>
      <c r="I8648" s="36"/>
      <c r="J8648" s="125">
        <v>0</v>
      </c>
    </row>
    <row r="8649" spans="1:10" s="169" customFormat="1" ht="15.75" hidden="1" thickBot="1" x14ac:dyDescent="0.3">
      <c r="A8649" s="241" t="s">
        <v>18854</v>
      </c>
      <c r="B8649" s="244" t="s">
        <v>22131</v>
      </c>
      <c r="C8649" s="160"/>
      <c r="D8649" s="145" t="s">
        <v>1628</v>
      </c>
      <c r="E8649" s="146"/>
      <c r="F8649" s="37" t="s">
        <v>418</v>
      </c>
      <c r="G8649" s="147" t="str">
        <f>IF(ISNUMBER(F8649),E8649*F8649,"")</f>
        <v/>
      </c>
      <c r="H8649" s="148"/>
      <c r="I8649" s="149"/>
      <c r="J8649" s="125">
        <v>0</v>
      </c>
    </row>
    <row r="8650" spans="1:10" s="169" customFormat="1" ht="15.75" hidden="1" thickBot="1" x14ac:dyDescent="0.3">
      <c r="A8650" s="247"/>
      <c r="B8650" s="245"/>
      <c r="C8650" s="151"/>
      <c r="D8650" s="151"/>
      <c r="E8650" s="152"/>
      <c r="F8650" s="38" t="s">
        <v>418</v>
      </c>
      <c r="G8650" s="31" t="str">
        <f>IF(ISNUMBER(F8650),E8650*F8650,"")</f>
        <v/>
      </c>
      <c r="H8650" s="32"/>
      <c r="I8650" s="28"/>
      <c r="J8650" s="125">
        <v>0</v>
      </c>
    </row>
    <row r="8651" spans="1:10" s="169" customFormat="1" ht="15.75" hidden="1" thickBot="1" x14ac:dyDescent="0.3">
      <c r="A8651" s="247"/>
      <c r="B8651" s="245"/>
      <c r="C8651" s="155" t="s">
        <v>9775</v>
      </c>
      <c r="D8651" s="155" t="s">
        <v>587</v>
      </c>
      <c r="E8651" s="130" t="e">
        <f>IF(#REF!="Desonerado",ROUND(220/(1+110.69%),4),ROUND(220/(1+82.01%),4))</f>
        <v>#REF!</v>
      </c>
      <c r="F8651" s="28">
        <v>28.727999999999998</v>
      </c>
      <c r="G8651" s="31" t="e">
        <f>IF(ISNUMBER(F8651),E8651*F8651,"")</f>
        <v>#REF!</v>
      </c>
      <c r="H8651" s="35" t="e">
        <f>SUM(G8651:G8651)</f>
        <v>#REF!</v>
      </c>
      <c r="I8651" s="36"/>
      <c r="J8651" s="125">
        <v>0</v>
      </c>
    </row>
    <row r="8652" spans="1:10" s="169" customFormat="1" ht="15.75" hidden="1" thickBot="1" x14ac:dyDescent="0.3">
      <c r="A8652" s="247"/>
      <c r="B8652" s="245"/>
      <c r="C8652" s="155"/>
      <c r="D8652" s="129"/>
      <c r="E8652" s="130"/>
      <c r="F8652" s="28"/>
      <c r="G8652" s="31"/>
      <c r="H8652" s="32"/>
      <c r="I8652" s="36"/>
      <c r="J8652" s="125">
        <v>0</v>
      </c>
    </row>
    <row r="8653" spans="1:10" s="169" customFormat="1" ht="15.75" hidden="1" thickBot="1" x14ac:dyDescent="0.3">
      <c r="A8653" s="241" t="s">
        <v>18855</v>
      </c>
      <c r="B8653" s="244" t="s">
        <v>22132</v>
      </c>
      <c r="C8653" s="160"/>
      <c r="D8653" s="145" t="s">
        <v>1628</v>
      </c>
      <c r="E8653" s="146"/>
      <c r="F8653" s="37" t="s">
        <v>418</v>
      </c>
      <c r="G8653" s="147" t="str">
        <f>IF(ISNUMBER(F8653),E8653*F8653,"")</f>
        <v/>
      </c>
      <c r="H8653" s="148"/>
      <c r="I8653" s="149"/>
      <c r="J8653" s="125">
        <v>0</v>
      </c>
    </row>
    <row r="8654" spans="1:10" s="169" customFormat="1" ht="15.75" hidden="1" thickBot="1" x14ac:dyDescent="0.3">
      <c r="A8654" s="247"/>
      <c r="B8654" s="245"/>
      <c r="C8654" s="151"/>
      <c r="D8654" s="151"/>
      <c r="E8654" s="152"/>
      <c r="F8654" s="38" t="s">
        <v>418</v>
      </c>
      <c r="G8654" s="31" t="str">
        <f>IF(ISNUMBER(F8654),E8654*F8654,"")</f>
        <v/>
      </c>
      <c r="H8654" s="32"/>
      <c r="I8654" s="28"/>
      <c r="J8654" s="125">
        <v>0</v>
      </c>
    </row>
    <row r="8655" spans="1:10" s="169" customFormat="1" ht="15.75" hidden="1" thickBot="1" x14ac:dyDescent="0.3">
      <c r="A8655" s="247"/>
      <c r="B8655" s="245"/>
      <c r="C8655" s="155" t="s">
        <v>9775</v>
      </c>
      <c r="D8655" s="155" t="s">
        <v>587</v>
      </c>
      <c r="E8655" s="130" t="e">
        <f>IF(#REF!="Desonerado",ROUND(220/(1+110.69%),4),ROUND(220/(1+82.01%),4))</f>
        <v>#REF!</v>
      </c>
      <c r="F8655" s="28">
        <v>28.727999999999998</v>
      </c>
      <c r="G8655" s="31" t="e">
        <f>IF(ISNUMBER(F8655),E8655*F8655,"")</f>
        <v>#REF!</v>
      </c>
      <c r="H8655" s="35" t="e">
        <f>SUM(G8655:G8655)</f>
        <v>#REF!</v>
      </c>
      <c r="I8655" s="36"/>
      <c r="J8655" s="125">
        <v>0</v>
      </c>
    </row>
    <row r="8656" spans="1:10" s="169" customFormat="1" ht="15.75" hidden="1" thickBot="1" x14ac:dyDescent="0.3">
      <c r="A8656" s="247"/>
      <c r="B8656" s="245"/>
      <c r="C8656" s="155"/>
      <c r="D8656" s="129"/>
      <c r="E8656" s="130"/>
      <c r="F8656" s="28"/>
      <c r="G8656" s="31"/>
      <c r="H8656" s="32"/>
      <c r="I8656" s="36"/>
      <c r="J8656" s="125">
        <v>0</v>
      </c>
    </row>
    <row r="8657" spans="1:10" s="169" customFormat="1" ht="15.75" hidden="1" thickBot="1" x14ac:dyDescent="0.3">
      <c r="A8657" s="241" t="s">
        <v>18856</v>
      </c>
      <c r="B8657" s="244" t="s">
        <v>22133</v>
      </c>
      <c r="C8657" s="160"/>
      <c r="D8657" s="145" t="s">
        <v>1628</v>
      </c>
      <c r="E8657" s="146"/>
      <c r="F8657" s="37" t="s">
        <v>418</v>
      </c>
      <c r="G8657" s="147" t="str">
        <f>IF(ISNUMBER(F8657),E8657*F8657,"")</f>
        <v/>
      </c>
      <c r="H8657" s="148"/>
      <c r="I8657" s="149"/>
      <c r="J8657" s="125">
        <v>0</v>
      </c>
    </row>
    <row r="8658" spans="1:10" s="169" customFormat="1" ht="15.75" hidden="1" thickBot="1" x14ac:dyDescent="0.3">
      <c r="A8658" s="247"/>
      <c r="B8658" s="245"/>
      <c r="C8658" s="151"/>
      <c r="D8658" s="151"/>
      <c r="E8658" s="152"/>
      <c r="F8658" s="38" t="s">
        <v>418</v>
      </c>
      <c r="G8658" s="31" t="str">
        <f>IF(ISNUMBER(F8658),E8658*F8658,"")</f>
        <v/>
      </c>
      <c r="H8658" s="32"/>
      <c r="I8658" s="28"/>
      <c r="J8658" s="125">
        <v>0</v>
      </c>
    </row>
    <row r="8659" spans="1:10" s="169" customFormat="1" ht="15.75" hidden="1" thickBot="1" x14ac:dyDescent="0.3">
      <c r="A8659" s="247"/>
      <c r="B8659" s="245"/>
      <c r="C8659" s="155" t="s">
        <v>9775</v>
      </c>
      <c r="D8659" s="155" t="s">
        <v>587</v>
      </c>
      <c r="E8659" s="130" t="e">
        <f>IF(#REF!="Desonerado",ROUND(220/(1+110.69%),4),ROUND(220/(1+82.01%),4))</f>
        <v>#REF!</v>
      </c>
      <c r="F8659" s="28">
        <v>28.727999999999998</v>
      </c>
      <c r="G8659" s="31" t="e">
        <f>IF(ISNUMBER(F8659),E8659*F8659,"")</f>
        <v>#REF!</v>
      </c>
      <c r="H8659" s="35" t="e">
        <f>SUM(G8659:G8659)</f>
        <v>#REF!</v>
      </c>
      <c r="I8659" s="36"/>
      <c r="J8659" s="125">
        <v>0</v>
      </c>
    </row>
    <row r="8660" spans="1:10" s="169" customFormat="1" ht="15.75" hidden="1" thickBot="1" x14ac:dyDescent="0.3">
      <c r="A8660" s="247"/>
      <c r="B8660" s="245"/>
      <c r="C8660" s="155"/>
      <c r="D8660" s="129"/>
      <c r="E8660" s="130"/>
      <c r="F8660" s="28"/>
      <c r="G8660" s="31"/>
      <c r="H8660" s="32"/>
      <c r="I8660" s="36"/>
      <c r="J8660" s="125">
        <v>0</v>
      </c>
    </row>
    <row r="8661" spans="1:10" s="169" customFormat="1" ht="15.75" hidden="1" thickBot="1" x14ac:dyDescent="0.3">
      <c r="A8661" s="241" t="s">
        <v>18857</v>
      </c>
      <c r="B8661" s="244" t="s">
        <v>22134</v>
      </c>
      <c r="C8661" s="160"/>
      <c r="D8661" s="145" t="s">
        <v>1628</v>
      </c>
      <c r="E8661" s="146"/>
      <c r="F8661" s="37" t="s">
        <v>418</v>
      </c>
      <c r="G8661" s="147" t="str">
        <f>IF(ISNUMBER(F8661),E8661*F8661,"")</f>
        <v/>
      </c>
      <c r="H8661" s="148"/>
      <c r="I8661" s="149"/>
      <c r="J8661" s="125">
        <v>0</v>
      </c>
    </row>
    <row r="8662" spans="1:10" s="169" customFormat="1" ht="15.75" hidden="1" thickBot="1" x14ac:dyDescent="0.3">
      <c r="A8662" s="247"/>
      <c r="B8662" s="245"/>
      <c r="C8662" s="151"/>
      <c r="D8662" s="151"/>
      <c r="E8662" s="152"/>
      <c r="F8662" s="38" t="s">
        <v>418</v>
      </c>
      <c r="G8662" s="31" t="str">
        <f>IF(ISNUMBER(F8662),E8662*F8662,"")</f>
        <v/>
      </c>
      <c r="H8662" s="32"/>
      <c r="I8662" s="28"/>
      <c r="J8662" s="125">
        <v>0</v>
      </c>
    </row>
    <row r="8663" spans="1:10" s="169" customFormat="1" ht="26.25" hidden="1" thickBot="1" x14ac:dyDescent="0.3">
      <c r="A8663" s="247"/>
      <c r="B8663" s="245"/>
      <c r="C8663" s="155" t="s">
        <v>824</v>
      </c>
      <c r="D8663" s="155" t="s">
        <v>587</v>
      </c>
      <c r="E8663" s="130" t="e">
        <f>IF(#REF!="Desonerado",ROUND(220/(1+110.69%),4),ROUND(220/(1+82.01%),4))</f>
        <v>#REF!</v>
      </c>
      <c r="F8663" s="28">
        <v>18.6295</v>
      </c>
      <c r="G8663" s="31" t="e">
        <f>IF(ISNUMBER(F8663),E8663*F8663,"")</f>
        <v>#REF!</v>
      </c>
      <c r="H8663" s="35" t="e">
        <f>SUM(G8663:G8663)</f>
        <v>#REF!</v>
      </c>
      <c r="I8663" s="36"/>
      <c r="J8663" s="125">
        <v>0</v>
      </c>
    </row>
    <row r="8664" spans="1:10" s="169" customFormat="1" ht="15.75" hidden="1" thickBot="1" x14ac:dyDescent="0.3">
      <c r="A8664" s="247"/>
      <c r="B8664" s="245"/>
      <c r="C8664" s="155"/>
      <c r="D8664" s="129"/>
      <c r="E8664" s="130"/>
      <c r="F8664" s="28"/>
      <c r="G8664" s="31"/>
      <c r="H8664" s="32"/>
      <c r="I8664" s="36"/>
      <c r="J8664" s="125">
        <v>0</v>
      </c>
    </row>
    <row r="8665" spans="1:10" s="169" customFormat="1" ht="15.75" hidden="1" thickBot="1" x14ac:dyDescent="0.3">
      <c r="A8665" s="241" t="s">
        <v>18858</v>
      </c>
      <c r="B8665" s="244" t="s">
        <v>22135</v>
      </c>
      <c r="C8665" s="160"/>
      <c r="D8665" s="145" t="s">
        <v>1628</v>
      </c>
      <c r="E8665" s="146"/>
      <c r="F8665" s="37" t="s">
        <v>418</v>
      </c>
      <c r="G8665" s="147" t="str">
        <f>IF(ISNUMBER(F8665),E8665*F8665,"")</f>
        <v/>
      </c>
      <c r="H8665" s="148"/>
      <c r="I8665" s="149"/>
      <c r="J8665" s="125">
        <v>0</v>
      </c>
    </row>
    <row r="8666" spans="1:10" s="169" customFormat="1" ht="15.75" hidden="1" thickBot="1" x14ac:dyDescent="0.3">
      <c r="A8666" s="247"/>
      <c r="B8666" s="245"/>
      <c r="C8666" s="151"/>
      <c r="D8666" s="151"/>
      <c r="E8666" s="152"/>
      <c r="F8666" s="38" t="s">
        <v>418</v>
      </c>
      <c r="G8666" s="31" t="str">
        <f>IF(ISNUMBER(F8666),E8666*F8666,"")</f>
        <v/>
      </c>
      <c r="H8666" s="32"/>
      <c r="I8666" s="28"/>
      <c r="J8666" s="125">
        <v>0</v>
      </c>
    </row>
    <row r="8667" spans="1:10" s="169" customFormat="1" ht="15.75" hidden="1" thickBot="1" x14ac:dyDescent="0.3">
      <c r="A8667" s="247"/>
      <c r="B8667" s="245"/>
      <c r="C8667" s="155" t="s">
        <v>9883</v>
      </c>
      <c r="D8667" s="155" t="s">
        <v>587</v>
      </c>
      <c r="E8667" s="130" t="e">
        <f>IF(#REF!="Desonerado",ROUND(220/(1+110.69%),4),ROUND(220/(1+82.01%),4))</f>
        <v>#REF!</v>
      </c>
      <c r="F8667" s="28">
        <v>16.263999999999999</v>
      </c>
      <c r="G8667" s="31" t="e">
        <f>IF(ISNUMBER(F8667),E8667*F8667,"")</f>
        <v>#REF!</v>
      </c>
      <c r="H8667" s="35" t="e">
        <f>SUM(G8667:G8667)</f>
        <v>#REF!</v>
      </c>
      <c r="I8667" s="36"/>
      <c r="J8667" s="125">
        <v>0</v>
      </c>
    </row>
    <row r="8668" spans="1:10" s="169" customFormat="1" ht="15.75" hidden="1" thickBot="1" x14ac:dyDescent="0.3">
      <c r="A8668" s="247"/>
      <c r="B8668" s="245"/>
      <c r="C8668" s="155"/>
      <c r="D8668" s="129"/>
      <c r="E8668" s="130"/>
      <c r="F8668" s="28"/>
      <c r="G8668" s="31"/>
      <c r="H8668" s="32"/>
      <c r="I8668" s="36"/>
      <c r="J8668" s="125">
        <v>0</v>
      </c>
    </row>
    <row r="8669" spans="1:10" s="169" customFormat="1" ht="15.75" hidden="1" thickBot="1" x14ac:dyDescent="0.3">
      <c r="A8669" s="241" t="s">
        <v>18859</v>
      </c>
      <c r="B8669" s="244" t="s">
        <v>12931</v>
      </c>
      <c r="C8669" s="160"/>
      <c r="D8669" s="145" t="s">
        <v>1628</v>
      </c>
      <c r="E8669" s="146"/>
      <c r="F8669" s="37" t="s">
        <v>418</v>
      </c>
      <c r="G8669" s="147" t="str">
        <f>IF(ISNUMBER(F8669),E8669*F8669,"")</f>
        <v/>
      </c>
      <c r="H8669" s="148"/>
      <c r="I8669" s="149"/>
      <c r="J8669" s="125">
        <v>0</v>
      </c>
    </row>
    <row r="8670" spans="1:10" s="169" customFormat="1" ht="15.75" hidden="1" thickBot="1" x14ac:dyDescent="0.3">
      <c r="A8670" s="247"/>
      <c r="B8670" s="245"/>
      <c r="C8670" s="151"/>
      <c r="D8670" s="151"/>
      <c r="E8670" s="152"/>
      <c r="F8670" s="38" t="s">
        <v>418</v>
      </c>
      <c r="G8670" s="31" t="str">
        <f>IF(ISNUMBER(F8670),E8670*F8670,"")</f>
        <v/>
      </c>
      <c r="H8670" s="32"/>
      <c r="I8670" s="28"/>
      <c r="J8670" s="125">
        <v>0</v>
      </c>
    </row>
    <row r="8671" spans="1:10" s="169" customFormat="1" ht="15.75" hidden="1" thickBot="1" x14ac:dyDescent="0.3">
      <c r="A8671" s="247"/>
      <c r="B8671" s="245"/>
      <c r="C8671" s="155" t="s">
        <v>659</v>
      </c>
      <c r="D8671" s="155" t="s">
        <v>587</v>
      </c>
      <c r="E8671" s="130" t="e">
        <f>IF(#REF!="Desonerado",ROUND(220/(1+110.69%),4),ROUND(220/(1+82.01%),4))</f>
        <v>#REF!</v>
      </c>
      <c r="F8671" s="28">
        <v>16.900499999999997</v>
      </c>
      <c r="G8671" s="31" t="e">
        <f>IF(ISNUMBER(F8671),E8671*F8671,"")</f>
        <v>#REF!</v>
      </c>
      <c r="H8671" s="35" t="e">
        <f>SUM(G8671:G8671)</f>
        <v>#REF!</v>
      </c>
      <c r="I8671" s="36"/>
      <c r="J8671" s="125">
        <v>0</v>
      </c>
    </row>
    <row r="8672" spans="1:10" s="169" customFormat="1" ht="15.75" hidden="1" thickBot="1" x14ac:dyDescent="0.3">
      <c r="A8672" s="247"/>
      <c r="B8672" s="245"/>
      <c r="C8672" s="155"/>
      <c r="D8672" s="129"/>
      <c r="E8672" s="130"/>
      <c r="F8672" s="28"/>
      <c r="G8672" s="31"/>
      <c r="H8672" s="32"/>
      <c r="I8672" s="36"/>
      <c r="J8672" s="125">
        <v>0</v>
      </c>
    </row>
    <row r="8673" spans="1:10" s="169" customFormat="1" ht="15.75" hidden="1" thickBot="1" x14ac:dyDescent="0.3">
      <c r="A8673" s="241" t="s">
        <v>18860</v>
      </c>
      <c r="B8673" s="244" t="s">
        <v>22136</v>
      </c>
      <c r="C8673" s="160"/>
      <c r="D8673" s="145" t="s">
        <v>1628</v>
      </c>
      <c r="E8673" s="146"/>
      <c r="F8673" s="37" t="s">
        <v>418</v>
      </c>
      <c r="G8673" s="147" t="str">
        <f>IF(ISNUMBER(F8673),E8673*F8673,"")</f>
        <v/>
      </c>
      <c r="H8673" s="148"/>
      <c r="I8673" s="149"/>
      <c r="J8673" s="125">
        <v>0</v>
      </c>
    </row>
    <row r="8674" spans="1:10" s="169" customFormat="1" ht="15.75" hidden="1" thickBot="1" x14ac:dyDescent="0.3">
      <c r="A8674" s="247"/>
      <c r="B8674" s="245"/>
      <c r="C8674" s="151"/>
      <c r="D8674" s="151"/>
      <c r="E8674" s="152"/>
      <c r="F8674" s="38" t="s">
        <v>418</v>
      </c>
      <c r="G8674" s="31" t="str">
        <f>IF(ISNUMBER(F8674),E8674*F8674,"")</f>
        <v/>
      </c>
      <c r="H8674" s="32"/>
      <c r="I8674" s="28"/>
      <c r="J8674" s="125">
        <v>0</v>
      </c>
    </row>
    <row r="8675" spans="1:10" s="169" customFormat="1" ht="26.25" hidden="1" thickBot="1" x14ac:dyDescent="0.3">
      <c r="A8675" s="247"/>
      <c r="B8675" s="245"/>
      <c r="C8675" s="155" t="s">
        <v>825</v>
      </c>
      <c r="D8675" s="155" t="s">
        <v>587</v>
      </c>
      <c r="E8675" s="130" t="e">
        <f>IF(#REF!="Desonerado",ROUND(220/(1+110.69%),4),ROUND(220/(1+82.01%),4))</f>
        <v>#REF!</v>
      </c>
      <c r="F8675" s="28">
        <v>24.9375</v>
      </c>
      <c r="G8675" s="31" t="e">
        <f>IF(ISNUMBER(F8675),E8675*F8675,"")</f>
        <v>#REF!</v>
      </c>
      <c r="H8675" s="35" t="e">
        <f>SUM(G8675:G8675)</f>
        <v>#REF!</v>
      </c>
      <c r="I8675" s="36"/>
      <c r="J8675" s="125">
        <v>0</v>
      </c>
    </row>
    <row r="8676" spans="1:10" s="169" customFormat="1" ht="15.75" hidden="1" thickBot="1" x14ac:dyDescent="0.3">
      <c r="A8676" s="247"/>
      <c r="B8676" s="245"/>
      <c r="C8676" s="155"/>
      <c r="D8676" s="129"/>
      <c r="E8676" s="130"/>
      <c r="F8676" s="28"/>
      <c r="G8676" s="31"/>
      <c r="H8676" s="32"/>
      <c r="I8676" s="36"/>
      <c r="J8676" s="125">
        <v>0</v>
      </c>
    </row>
    <row r="8677" spans="1:10" s="169" customFormat="1" ht="15.75" hidden="1" thickBot="1" x14ac:dyDescent="0.3">
      <c r="A8677" s="241" t="s">
        <v>18861</v>
      </c>
      <c r="B8677" s="244" t="s">
        <v>22137</v>
      </c>
      <c r="C8677" s="160"/>
      <c r="D8677" s="145" t="s">
        <v>1628</v>
      </c>
      <c r="E8677" s="146"/>
      <c r="F8677" s="37" t="s">
        <v>418</v>
      </c>
      <c r="G8677" s="147" t="str">
        <f>IF(ISNUMBER(F8677),E8677*F8677,"")</f>
        <v/>
      </c>
      <c r="H8677" s="148"/>
      <c r="I8677" s="149"/>
      <c r="J8677" s="125">
        <v>0</v>
      </c>
    </row>
    <row r="8678" spans="1:10" s="169" customFormat="1" ht="15.75" hidden="1" thickBot="1" x14ac:dyDescent="0.3">
      <c r="A8678" s="247"/>
      <c r="B8678" s="245"/>
      <c r="C8678" s="151"/>
      <c r="D8678" s="151"/>
      <c r="E8678" s="152"/>
      <c r="F8678" s="38" t="s">
        <v>418</v>
      </c>
      <c r="G8678" s="31" t="str">
        <f>IF(ISNUMBER(F8678),E8678*F8678,"")</f>
        <v/>
      </c>
      <c r="H8678" s="32"/>
      <c r="I8678" s="28"/>
      <c r="J8678" s="125">
        <v>0</v>
      </c>
    </row>
    <row r="8679" spans="1:10" s="169" customFormat="1" ht="15.75" hidden="1" thickBot="1" x14ac:dyDescent="0.3">
      <c r="A8679" s="247"/>
      <c r="B8679" s="245"/>
      <c r="C8679" s="155" t="s">
        <v>9775</v>
      </c>
      <c r="D8679" s="155" t="s">
        <v>587</v>
      </c>
      <c r="E8679" s="130" t="e">
        <f>IF(#REF!="Desonerado",ROUND(220/(1+110.69%),4),ROUND(220/(1+82.01%),4))</f>
        <v>#REF!</v>
      </c>
      <c r="F8679" s="28">
        <v>28.727999999999998</v>
      </c>
      <c r="G8679" s="31" t="e">
        <f>IF(ISNUMBER(F8679),E8679*F8679,"")</f>
        <v>#REF!</v>
      </c>
      <c r="H8679" s="35" t="e">
        <f>SUM(G8679:G8679)</f>
        <v>#REF!</v>
      </c>
      <c r="I8679" s="36"/>
      <c r="J8679" s="125">
        <v>0</v>
      </c>
    </row>
    <row r="8680" spans="1:10" s="169" customFormat="1" ht="15.75" hidden="1" thickBot="1" x14ac:dyDescent="0.3">
      <c r="A8680" s="247"/>
      <c r="B8680" s="245"/>
      <c r="C8680" s="155"/>
      <c r="D8680" s="129"/>
      <c r="E8680" s="130"/>
      <c r="F8680" s="28"/>
      <c r="G8680" s="31"/>
      <c r="H8680" s="32"/>
      <c r="I8680" s="36"/>
      <c r="J8680" s="125">
        <v>0</v>
      </c>
    </row>
    <row r="8681" spans="1:10" s="169" customFormat="1" ht="15.75" hidden="1" thickBot="1" x14ac:dyDescent="0.3">
      <c r="A8681" s="241" t="s">
        <v>18862</v>
      </c>
      <c r="B8681" s="244" t="s">
        <v>22138</v>
      </c>
      <c r="C8681" s="160"/>
      <c r="D8681" s="145" t="s">
        <v>1628</v>
      </c>
      <c r="E8681" s="146"/>
      <c r="F8681" s="37" t="s">
        <v>418</v>
      </c>
      <c r="G8681" s="147" t="str">
        <f>IF(ISNUMBER(F8681),E8681*F8681,"")</f>
        <v/>
      </c>
      <c r="H8681" s="148"/>
      <c r="I8681" s="149"/>
      <c r="J8681" s="125">
        <v>0</v>
      </c>
    </row>
    <row r="8682" spans="1:10" s="169" customFormat="1" ht="15.75" hidden="1" thickBot="1" x14ac:dyDescent="0.3">
      <c r="A8682" s="247"/>
      <c r="B8682" s="245"/>
      <c r="C8682" s="151"/>
      <c r="D8682" s="151"/>
      <c r="E8682" s="152"/>
      <c r="F8682" s="38" t="s">
        <v>418</v>
      </c>
      <c r="G8682" s="31" t="str">
        <f>IF(ISNUMBER(F8682),E8682*F8682,"")</f>
        <v/>
      </c>
      <c r="H8682" s="32"/>
      <c r="I8682" s="28"/>
      <c r="J8682" s="125">
        <v>0</v>
      </c>
    </row>
    <row r="8683" spans="1:10" s="169" customFormat="1" ht="15.75" hidden="1" thickBot="1" x14ac:dyDescent="0.3">
      <c r="A8683" s="247"/>
      <c r="B8683" s="245"/>
      <c r="C8683" s="155" t="s">
        <v>9775</v>
      </c>
      <c r="D8683" s="155" t="s">
        <v>587</v>
      </c>
      <c r="E8683" s="130" t="e">
        <f>IF(#REF!="Desonerado",ROUND(220/(1+110.69%),4),ROUND(220/(1+82.01%),4))</f>
        <v>#REF!</v>
      </c>
      <c r="F8683" s="28">
        <v>28.727999999999998</v>
      </c>
      <c r="G8683" s="31" t="e">
        <f>IF(ISNUMBER(F8683),E8683*F8683,"")</f>
        <v>#REF!</v>
      </c>
      <c r="H8683" s="35" t="e">
        <f>SUM(G8683:G8683)</f>
        <v>#REF!</v>
      </c>
      <c r="I8683" s="36"/>
      <c r="J8683" s="125">
        <v>0</v>
      </c>
    </row>
    <row r="8684" spans="1:10" s="169" customFormat="1" ht="15.75" hidden="1" thickBot="1" x14ac:dyDescent="0.3">
      <c r="A8684" s="247"/>
      <c r="B8684" s="245"/>
      <c r="C8684" s="155"/>
      <c r="D8684" s="129"/>
      <c r="E8684" s="130"/>
      <c r="F8684" s="28"/>
      <c r="G8684" s="31"/>
      <c r="H8684" s="32"/>
      <c r="I8684" s="36"/>
      <c r="J8684" s="125">
        <v>0</v>
      </c>
    </row>
    <row r="8685" spans="1:10" s="169" customFormat="1" ht="15.75" hidden="1" thickBot="1" x14ac:dyDescent="0.3">
      <c r="A8685" s="241" t="s">
        <v>18863</v>
      </c>
      <c r="B8685" s="244" t="s">
        <v>22139</v>
      </c>
      <c r="C8685" s="160"/>
      <c r="D8685" s="145" t="s">
        <v>1628</v>
      </c>
      <c r="E8685" s="146"/>
      <c r="F8685" s="37" t="s">
        <v>418</v>
      </c>
      <c r="G8685" s="147" t="str">
        <f>IF(ISNUMBER(F8685),E8685*F8685,"")</f>
        <v/>
      </c>
      <c r="H8685" s="148"/>
      <c r="I8685" s="149"/>
      <c r="J8685" s="125">
        <v>0</v>
      </c>
    </row>
    <row r="8686" spans="1:10" s="169" customFormat="1" ht="15.75" hidden="1" thickBot="1" x14ac:dyDescent="0.3">
      <c r="A8686" s="247"/>
      <c r="B8686" s="245"/>
      <c r="C8686" s="151"/>
      <c r="D8686" s="151"/>
      <c r="E8686" s="152"/>
      <c r="F8686" s="38" t="s">
        <v>418</v>
      </c>
      <c r="G8686" s="31" t="str">
        <f>IF(ISNUMBER(F8686),E8686*F8686,"")</f>
        <v/>
      </c>
      <c r="H8686" s="32"/>
      <c r="I8686" s="28"/>
      <c r="J8686" s="125">
        <v>0</v>
      </c>
    </row>
    <row r="8687" spans="1:10" s="169" customFormat="1" ht="26.25" hidden="1" thickBot="1" x14ac:dyDescent="0.3">
      <c r="A8687" s="247"/>
      <c r="B8687" s="245"/>
      <c r="C8687" s="155" t="s">
        <v>824</v>
      </c>
      <c r="D8687" s="155" t="s">
        <v>587</v>
      </c>
      <c r="E8687" s="130" t="e">
        <f>IF(#REF!="Desonerado",ROUND(220/(1+110.69%),4),ROUND(220/(1+82.01%),4))</f>
        <v>#REF!</v>
      </c>
      <c r="F8687" s="28">
        <v>18.6295</v>
      </c>
      <c r="G8687" s="31" t="e">
        <f>IF(ISNUMBER(F8687),E8687*F8687,"")</f>
        <v>#REF!</v>
      </c>
      <c r="H8687" s="35" t="e">
        <f>SUM(G8687:G8687)</f>
        <v>#REF!</v>
      </c>
      <c r="I8687" s="36"/>
      <c r="J8687" s="125">
        <v>0</v>
      </c>
    </row>
    <row r="8688" spans="1:10" s="169" customFormat="1" ht="15.75" hidden="1" thickBot="1" x14ac:dyDescent="0.3">
      <c r="A8688" s="247"/>
      <c r="B8688" s="245"/>
      <c r="C8688" s="155"/>
      <c r="D8688" s="129"/>
      <c r="E8688" s="130"/>
      <c r="F8688" s="28"/>
      <c r="G8688" s="31"/>
      <c r="H8688" s="32"/>
      <c r="I8688" s="36"/>
      <c r="J8688" s="125">
        <v>0</v>
      </c>
    </row>
    <row r="8689" spans="1:10" s="169" customFormat="1" ht="15.75" hidden="1" thickBot="1" x14ac:dyDescent="0.3">
      <c r="A8689" s="241" t="s">
        <v>18864</v>
      </c>
      <c r="B8689" s="244" t="s">
        <v>22140</v>
      </c>
      <c r="C8689" s="160"/>
      <c r="D8689" s="145" t="s">
        <v>1628</v>
      </c>
      <c r="E8689" s="146"/>
      <c r="F8689" s="37" t="s">
        <v>418</v>
      </c>
      <c r="G8689" s="147" t="str">
        <f>IF(ISNUMBER(F8689),E8689*F8689,"")</f>
        <v/>
      </c>
      <c r="H8689" s="148"/>
      <c r="I8689" s="149"/>
      <c r="J8689" s="125">
        <v>0</v>
      </c>
    </row>
    <row r="8690" spans="1:10" s="169" customFormat="1" ht="15.75" hidden="1" thickBot="1" x14ac:dyDescent="0.3">
      <c r="A8690" s="247"/>
      <c r="B8690" s="245"/>
      <c r="C8690" s="151"/>
      <c r="D8690" s="151"/>
      <c r="E8690" s="152"/>
      <c r="F8690" s="38" t="s">
        <v>418</v>
      </c>
      <c r="G8690" s="31" t="str">
        <f>IF(ISNUMBER(F8690),E8690*F8690,"")</f>
        <v/>
      </c>
      <c r="H8690" s="32"/>
      <c r="I8690" s="28"/>
      <c r="J8690" s="125">
        <v>0</v>
      </c>
    </row>
    <row r="8691" spans="1:10" s="169" customFormat="1" ht="26.25" hidden="1" thickBot="1" x14ac:dyDescent="0.3">
      <c r="A8691" s="247"/>
      <c r="B8691" s="245"/>
      <c r="C8691" s="155" t="s">
        <v>824</v>
      </c>
      <c r="D8691" s="155" t="s">
        <v>587</v>
      </c>
      <c r="E8691" s="130" t="e">
        <f>IF(#REF!="Desonerado",ROUND(220/(1+110.69%),4),ROUND(220/(1+82.01%),4))</f>
        <v>#REF!</v>
      </c>
      <c r="F8691" s="28">
        <v>18.6295</v>
      </c>
      <c r="G8691" s="31" t="e">
        <f>IF(ISNUMBER(F8691),E8691*F8691,"")</f>
        <v>#REF!</v>
      </c>
      <c r="H8691" s="35" t="e">
        <f>SUM(G8691:G8691)</f>
        <v>#REF!</v>
      </c>
      <c r="I8691" s="36"/>
      <c r="J8691" s="125">
        <v>0</v>
      </c>
    </row>
    <row r="8692" spans="1:10" s="169" customFormat="1" ht="15.75" hidden="1" thickBot="1" x14ac:dyDescent="0.3">
      <c r="A8692" s="247"/>
      <c r="B8692" s="245"/>
      <c r="C8692" s="155"/>
      <c r="D8692" s="129"/>
      <c r="E8692" s="130"/>
      <c r="F8692" s="28"/>
      <c r="G8692" s="31"/>
      <c r="H8692" s="32"/>
      <c r="I8692" s="36"/>
      <c r="J8692" s="125">
        <v>0</v>
      </c>
    </row>
    <row r="8693" spans="1:10" s="169" customFormat="1" ht="15.75" thickBot="1" x14ac:dyDescent="0.3">
      <c r="A8693" s="234" t="s">
        <v>18887</v>
      </c>
      <c r="B8693" s="237" t="s">
        <v>22163</v>
      </c>
      <c r="C8693" s="160"/>
      <c r="D8693" s="145" t="s">
        <v>16</v>
      </c>
      <c r="E8693" s="146"/>
      <c r="F8693" s="37" t="s">
        <v>418</v>
      </c>
      <c r="G8693" s="147" t="str">
        <f>IF(ISNUMBER(F8693),E8693*F8693,"")</f>
        <v/>
      </c>
      <c r="H8693" s="148"/>
      <c r="I8693" s="149"/>
      <c r="J8693" s="125">
        <v>30</v>
      </c>
    </row>
    <row r="8694" spans="1:10" s="169" customFormat="1" x14ac:dyDescent="0.25">
      <c r="A8694" s="235"/>
      <c r="B8694" s="238"/>
      <c r="C8694" s="151"/>
      <c r="D8694" s="151"/>
      <c r="E8694" s="152"/>
      <c r="F8694" s="38" t="s">
        <v>418</v>
      </c>
      <c r="G8694" s="28" t="str">
        <f>IF(ISNUMBER(F8694),E8694*F8694,"")</f>
        <v/>
      </c>
      <c r="H8694" s="32"/>
      <c r="I8694" s="28"/>
      <c r="J8694" s="125">
        <v>30</v>
      </c>
    </row>
    <row r="8695" spans="1:10" s="169" customFormat="1" x14ac:dyDescent="0.25">
      <c r="A8695" s="235"/>
      <c r="B8695" s="238"/>
      <c r="C8695" s="155" t="s">
        <v>1076</v>
      </c>
      <c r="D8695" s="155" t="s">
        <v>587</v>
      </c>
      <c r="E8695" s="156">
        <v>20</v>
      </c>
      <c r="F8695" s="28">
        <v>122.9965</v>
      </c>
      <c r="G8695" s="28">
        <f>IF(ISNUMBER(F8695),E8695*F8695,"")</f>
        <v>2459.9299999999998</v>
      </c>
      <c r="H8695" s="35">
        <f>SUM(G8695:G8696)</f>
        <v>2714.52</v>
      </c>
      <c r="I8695" s="36"/>
      <c r="J8695" s="125">
        <v>30</v>
      </c>
    </row>
    <row r="8696" spans="1:10" s="169" customFormat="1" x14ac:dyDescent="0.25">
      <c r="A8696" s="235"/>
      <c r="B8696" s="238"/>
      <c r="C8696" s="155" t="s">
        <v>15</v>
      </c>
      <c r="D8696" s="155" t="s">
        <v>16</v>
      </c>
      <c r="E8696" s="156">
        <v>1</v>
      </c>
      <c r="F8696" s="31">
        <v>254.59</v>
      </c>
      <c r="G8696" s="28">
        <f>IF(ISNUMBER(F8696),E8696*F8696,"")</f>
        <v>254.59</v>
      </c>
      <c r="H8696" s="32"/>
      <c r="I8696" s="28"/>
      <c r="J8696" s="125">
        <v>30</v>
      </c>
    </row>
    <row r="8697" spans="1:10" s="169" customFormat="1" ht="15.75" thickBot="1" x14ac:dyDescent="0.3">
      <c r="A8697" s="236"/>
      <c r="B8697" s="239"/>
      <c r="C8697" s="164"/>
      <c r="D8697" s="164"/>
      <c r="E8697" s="165"/>
      <c r="F8697" s="62" t="s">
        <v>418</v>
      </c>
      <c r="G8697" s="62" t="str">
        <f>IF(ISNUMBER(F8697),E8697*F8697,"")</f>
        <v/>
      </c>
      <c r="H8697" s="64"/>
      <c r="I8697" s="28"/>
      <c r="J8697" s="125">
        <v>30</v>
      </c>
    </row>
    <row r="8698" spans="1:10" s="169" customFormat="1" ht="15.75" hidden="1" thickBot="1" x14ac:dyDescent="0.3">
      <c r="A8698" s="241" t="s">
        <v>19119</v>
      </c>
      <c r="B8698" s="244" t="s">
        <v>22376</v>
      </c>
      <c r="C8698" s="160"/>
      <c r="D8698" s="145" t="s">
        <v>16</v>
      </c>
      <c r="E8698" s="146"/>
      <c r="F8698" s="37" t="s">
        <v>418</v>
      </c>
      <c r="G8698" s="147" t="str">
        <f>IF(ISNUMBER(F8698),E8698*F8698,"")</f>
        <v/>
      </c>
      <c r="H8698" s="148"/>
      <c r="I8698" s="149"/>
      <c r="J8698" s="125">
        <v>0</v>
      </c>
    </row>
    <row r="8699" spans="1:10" s="169" customFormat="1" hidden="1" x14ac:dyDescent="0.25">
      <c r="A8699" s="247"/>
      <c r="B8699" s="245"/>
      <c r="C8699" s="151"/>
      <c r="D8699" s="151"/>
      <c r="E8699" s="152"/>
      <c r="F8699" s="38" t="s">
        <v>418</v>
      </c>
      <c r="G8699" s="31" t="str">
        <f>IF(ISNUMBER(F8699),E8699*F8699,"")</f>
        <v/>
      </c>
      <c r="H8699" s="32"/>
      <c r="I8699" s="28"/>
      <c r="J8699" s="125">
        <v>0</v>
      </c>
    </row>
    <row r="8700" spans="1:10" s="169" customFormat="1" hidden="1" x14ac:dyDescent="0.25">
      <c r="A8700" s="247"/>
      <c r="B8700" s="245"/>
      <c r="C8700" s="155" t="s">
        <v>1008</v>
      </c>
      <c r="D8700" s="155" t="s">
        <v>205</v>
      </c>
      <c r="E8700" s="130">
        <v>1</v>
      </c>
      <c r="F8700" s="28">
        <v>29.773</v>
      </c>
      <c r="G8700" s="31">
        <f>IF(ISNUMBER(F8700),E8700*F8700,"")</f>
        <v>29.773</v>
      </c>
      <c r="H8700" s="35">
        <f>SUM(G8700:G8700)</f>
        <v>29.773</v>
      </c>
      <c r="I8700" s="36"/>
      <c r="J8700" s="125">
        <v>0</v>
      </c>
    </row>
    <row r="8701" spans="1:10" s="169" customFormat="1" hidden="1" x14ac:dyDescent="0.25">
      <c r="A8701" s="247"/>
      <c r="B8701" s="245"/>
      <c r="C8701" s="155"/>
      <c r="D8701" s="129"/>
      <c r="E8701" s="130"/>
      <c r="F8701" s="28"/>
      <c r="G8701" s="31"/>
      <c r="H8701" s="32"/>
      <c r="I8701" s="36"/>
      <c r="J8701" s="125">
        <v>0</v>
      </c>
    </row>
    <row r="8702" spans="1:10" s="169" customFormat="1" ht="15.75" hidden="1" thickBot="1" x14ac:dyDescent="0.3">
      <c r="A8702" s="241" t="s">
        <v>19120</v>
      </c>
      <c r="B8702" s="244" t="s">
        <v>22377</v>
      </c>
      <c r="C8702" s="160"/>
      <c r="D8702" s="145" t="s">
        <v>16</v>
      </c>
      <c r="E8702" s="146"/>
      <c r="F8702" s="37" t="s">
        <v>418</v>
      </c>
      <c r="G8702" s="147" t="str">
        <f>IF(ISNUMBER(F8702),E8702*F8702,"")</f>
        <v/>
      </c>
      <c r="H8702" s="148"/>
      <c r="I8702" s="149"/>
      <c r="J8702" s="125">
        <v>0</v>
      </c>
    </row>
    <row r="8703" spans="1:10" s="169" customFormat="1" hidden="1" x14ac:dyDescent="0.25">
      <c r="A8703" s="247"/>
      <c r="B8703" s="245"/>
      <c r="C8703" s="151"/>
      <c r="D8703" s="151"/>
      <c r="E8703" s="152"/>
      <c r="F8703" s="38" t="s">
        <v>418</v>
      </c>
      <c r="G8703" s="31" t="str">
        <f>IF(ISNUMBER(F8703),E8703*F8703,"")</f>
        <v/>
      </c>
      <c r="H8703" s="32"/>
      <c r="I8703" s="28"/>
      <c r="J8703" s="125">
        <v>0</v>
      </c>
    </row>
    <row r="8704" spans="1:10" s="169" customFormat="1" hidden="1" x14ac:dyDescent="0.25">
      <c r="A8704" s="247"/>
      <c r="B8704" s="245"/>
      <c r="C8704" s="155" t="s">
        <v>28367</v>
      </c>
      <c r="D8704" s="155" t="s">
        <v>205</v>
      </c>
      <c r="E8704" s="130">
        <v>1</v>
      </c>
      <c r="F8704" s="28">
        <v>34.370999999999995</v>
      </c>
      <c r="G8704" s="31">
        <f>IF(ISNUMBER(F8704),E8704*F8704,"")</f>
        <v>34.370999999999995</v>
      </c>
      <c r="H8704" s="35">
        <f t="shared" ref="H8704" si="78">SUM(G8704:G8704)</f>
        <v>34.370999999999995</v>
      </c>
      <c r="I8704" s="36"/>
      <c r="J8704" s="125">
        <v>0</v>
      </c>
    </row>
    <row r="8705" spans="1:10" s="169" customFormat="1" hidden="1" x14ac:dyDescent="0.25">
      <c r="A8705" s="247"/>
      <c r="B8705" s="245"/>
      <c r="C8705" s="155"/>
      <c r="D8705" s="129"/>
      <c r="E8705" s="130"/>
      <c r="F8705" s="28"/>
      <c r="G8705" s="31"/>
      <c r="H8705" s="32"/>
      <c r="I8705" s="36"/>
      <c r="J8705" s="125">
        <v>0</v>
      </c>
    </row>
    <row r="8706" spans="1:10" s="169" customFormat="1" ht="15.75" hidden="1" thickBot="1" x14ac:dyDescent="0.3">
      <c r="A8706" s="241" t="s">
        <v>19121</v>
      </c>
      <c r="B8706" s="244" t="s">
        <v>22378</v>
      </c>
      <c r="C8706" s="160"/>
      <c r="D8706" s="145" t="s">
        <v>16</v>
      </c>
      <c r="E8706" s="146"/>
      <c r="F8706" s="37" t="s">
        <v>418</v>
      </c>
      <c r="G8706" s="147" t="str">
        <f>IF(ISNUMBER(F8706),E8706*F8706,"")</f>
        <v/>
      </c>
      <c r="H8706" s="148"/>
      <c r="I8706" s="149"/>
      <c r="J8706" s="125">
        <v>0</v>
      </c>
    </row>
    <row r="8707" spans="1:10" s="169" customFormat="1" hidden="1" x14ac:dyDescent="0.25">
      <c r="A8707" s="247"/>
      <c r="B8707" s="245"/>
      <c r="C8707" s="151"/>
      <c r="D8707" s="151"/>
      <c r="E8707" s="152"/>
      <c r="F8707" s="38" t="s">
        <v>418</v>
      </c>
      <c r="G8707" s="31" t="str">
        <f>IF(ISNUMBER(F8707),E8707*F8707,"")</f>
        <v/>
      </c>
      <c r="H8707" s="32"/>
      <c r="I8707" s="28"/>
      <c r="J8707" s="125">
        <v>0</v>
      </c>
    </row>
    <row r="8708" spans="1:10" s="169" customFormat="1" hidden="1" x14ac:dyDescent="0.25">
      <c r="A8708" s="247"/>
      <c r="B8708" s="245"/>
      <c r="C8708" s="155" t="s">
        <v>28364</v>
      </c>
      <c r="D8708" s="155" t="s">
        <v>205</v>
      </c>
      <c r="E8708" s="130">
        <v>1</v>
      </c>
      <c r="F8708" s="28">
        <v>46.398000000000003</v>
      </c>
      <c r="G8708" s="31">
        <f>IF(ISNUMBER(F8708),E8708*F8708,"")</f>
        <v>46.398000000000003</v>
      </c>
      <c r="H8708" s="35">
        <f t="shared" ref="H8708" si="79">SUM(G8708:G8708)</f>
        <v>46.398000000000003</v>
      </c>
      <c r="I8708" s="36"/>
      <c r="J8708" s="125">
        <v>0</v>
      </c>
    </row>
    <row r="8709" spans="1:10" s="169" customFormat="1" hidden="1" x14ac:dyDescent="0.25">
      <c r="A8709" s="247"/>
      <c r="B8709" s="245"/>
      <c r="C8709" s="155"/>
      <c r="D8709" s="129"/>
      <c r="E8709" s="130"/>
      <c r="F8709" s="28"/>
      <c r="G8709" s="31"/>
      <c r="H8709" s="32"/>
      <c r="I8709" s="36"/>
      <c r="J8709" s="125">
        <v>0</v>
      </c>
    </row>
    <row r="8710" spans="1:10" s="169" customFormat="1" ht="15.75" hidden="1" thickBot="1" x14ac:dyDescent="0.3">
      <c r="A8710" s="241" t="s">
        <v>19122</v>
      </c>
      <c r="B8710" s="244" t="s">
        <v>22379</v>
      </c>
      <c r="C8710" s="160"/>
      <c r="D8710" s="145" t="s">
        <v>16</v>
      </c>
      <c r="E8710" s="146"/>
      <c r="F8710" s="37" t="s">
        <v>418</v>
      </c>
      <c r="G8710" s="147" t="str">
        <f>IF(ISNUMBER(F8710),E8710*F8710,"")</f>
        <v/>
      </c>
      <c r="H8710" s="148"/>
      <c r="I8710" s="149"/>
      <c r="J8710" s="125">
        <v>0</v>
      </c>
    </row>
    <row r="8711" spans="1:10" s="169" customFormat="1" hidden="1" x14ac:dyDescent="0.25">
      <c r="A8711" s="247"/>
      <c r="B8711" s="245"/>
      <c r="C8711" s="151"/>
      <c r="D8711" s="151"/>
      <c r="E8711" s="152"/>
      <c r="F8711" s="38" t="s">
        <v>418</v>
      </c>
      <c r="G8711" s="31" t="str">
        <f>IF(ISNUMBER(F8711),E8711*F8711,"")</f>
        <v/>
      </c>
      <c r="H8711" s="32"/>
      <c r="I8711" s="28"/>
      <c r="J8711" s="125">
        <v>0</v>
      </c>
    </row>
    <row r="8712" spans="1:10" s="169" customFormat="1" ht="25.5" hidden="1" x14ac:dyDescent="0.25">
      <c r="A8712" s="247"/>
      <c r="B8712" s="245"/>
      <c r="C8712" s="155" t="s">
        <v>523</v>
      </c>
      <c r="D8712" s="155" t="s">
        <v>205</v>
      </c>
      <c r="E8712" s="130">
        <v>1</v>
      </c>
      <c r="F8712" s="28">
        <v>69.16</v>
      </c>
      <c r="G8712" s="31">
        <f>IF(ISNUMBER(F8712),E8712*F8712,"")</f>
        <v>69.16</v>
      </c>
      <c r="H8712" s="35">
        <f t="shared" ref="H8712" si="80">SUM(G8712:G8712)</f>
        <v>69.16</v>
      </c>
      <c r="I8712" s="36"/>
      <c r="J8712" s="125">
        <v>0</v>
      </c>
    </row>
    <row r="8713" spans="1:10" s="169" customFormat="1" hidden="1" x14ac:dyDescent="0.25">
      <c r="A8713" s="247"/>
      <c r="B8713" s="245"/>
      <c r="C8713" s="155"/>
      <c r="D8713" s="129"/>
      <c r="E8713" s="130"/>
      <c r="F8713" s="28"/>
      <c r="G8713" s="31"/>
      <c r="H8713" s="32"/>
      <c r="I8713" s="36"/>
      <c r="J8713" s="125">
        <v>0</v>
      </c>
    </row>
    <row r="8714" spans="1:10" s="169" customFormat="1" ht="15.75" hidden="1" thickBot="1" x14ac:dyDescent="0.3">
      <c r="A8714" s="241" t="s">
        <v>19123</v>
      </c>
      <c r="B8714" s="244" t="s">
        <v>22380</v>
      </c>
      <c r="C8714" s="160"/>
      <c r="D8714" s="145" t="s">
        <v>16</v>
      </c>
      <c r="E8714" s="146"/>
      <c r="F8714" s="37" t="s">
        <v>418</v>
      </c>
      <c r="G8714" s="147" t="str">
        <f>IF(ISNUMBER(F8714),E8714*F8714,"")</f>
        <v/>
      </c>
      <c r="H8714" s="148"/>
      <c r="I8714" s="149"/>
      <c r="J8714" s="125">
        <v>0</v>
      </c>
    </row>
    <row r="8715" spans="1:10" s="169" customFormat="1" hidden="1" x14ac:dyDescent="0.25">
      <c r="A8715" s="247"/>
      <c r="B8715" s="245"/>
      <c r="C8715" s="151"/>
      <c r="D8715" s="151"/>
      <c r="E8715" s="152"/>
      <c r="F8715" s="38" t="s">
        <v>418</v>
      </c>
      <c r="G8715" s="31" t="str">
        <f>IF(ISNUMBER(F8715),E8715*F8715,"")</f>
        <v/>
      </c>
      <c r="H8715" s="32"/>
      <c r="I8715" s="28"/>
      <c r="J8715" s="125">
        <v>0</v>
      </c>
    </row>
    <row r="8716" spans="1:10" s="169" customFormat="1" ht="25.5" hidden="1" x14ac:dyDescent="0.25">
      <c r="A8716" s="247"/>
      <c r="B8716" s="245"/>
      <c r="C8716" s="155" t="s">
        <v>521</v>
      </c>
      <c r="D8716" s="155" t="s">
        <v>205</v>
      </c>
      <c r="E8716" s="130">
        <v>1</v>
      </c>
      <c r="F8716" s="28">
        <v>83.343500000000006</v>
      </c>
      <c r="G8716" s="31">
        <f>IF(ISNUMBER(F8716),E8716*F8716,"")</f>
        <v>83.343500000000006</v>
      </c>
      <c r="H8716" s="35">
        <f t="shared" ref="H8716" si="81">SUM(G8716:G8716)</f>
        <v>83.343500000000006</v>
      </c>
      <c r="I8716" s="36"/>
      <c r="J8716" s="125">
        <v>0</v>
      </c>
    </row>
    <row r="8717" spans="1:10" s="169" customFormat="1" hidden="1" x14ac:dyDescent="0.25">
      <c r="A8717" s="247"/>
      <c r="B8717" s="245"/>
      <c r="C8717" s="155"/>
      <c r="D8717" s="129"/>
      <c r="E8717" s="130"/>
      <c r="F8717" s="28"/>
      <c r="G8717" s="31"/>
      <c r="H8717" s="32"/>
      <c r="I8717" s="36"/>
      <c r="J8717" s="125">
        <v>0</v>
      </c>
    </row>
    <row r="8718" spans="1:10" s="169" customFormat="1" ht="15.75" hidden="1" thickBot="1" x14ac:dyDescent="0.3">
      <c r="A8718" s="241" t="s">
        <v>19176</v>
      </c>
      <c r="B8718" s="244" t="s">
        <v>22432</v>
      </c>
      <c r="C8718" s="160"/>
      <c r="D8718" s="145" t="s">
        <v>69</v>
      </c>
      <c r="E8718" s="146"/>
      <c r="F8718" s="37" t="s">
        <v>418</v>
      </c>
      <c r="G8718" s="147" t="str">
        <f>IF(ISNUMBER(F8718),E8718*F8718,"")</f>
        <v/>
      </c>
      <c r="H8718" s="148"/>
      <c r="I8718" s="149"/>
      <c r="J8718" s="125">
        <v>0</v>
      </c>
    </row>
    <row r="8719" spans="1:10" s="169" customFormat="1" hidden="1" x14ac:dyDescent="0.25">
      <c r="A8719" s="247"/>
      <c r="B8719" s="245"/>
      <c r="C8719" s="151"/>
      <c r="D8719" s="151"/>
      <c r="E8719" s="152"/>
      <c r="F8719" s="38" t="s">
        <v>418</v>
      </c>
      <c r="G8719" s="31" t="str">
        <f>IF(ISNUMBER(F8719),E8719*F8719,"")</f>
        <v/>
      </c>
      <c r="H8719" s="32"/>
      <c r="I8719" s="28"/>
      <c r="J8719" s="125">
        <v>0</v>
      </c>
    </row>
    <row r="8720" spans="1:10" s="169" customFormat="1" ht="25.5" hidden="1" x14ac:dyDescent="0.25">
      <c r="A8720" s="247"/>
      <c r="B8720" s="245"/>
      <c r="C8720" s="155" t="s">
        <v>27961</v>
      </c>
      <c r="D8720" s="155" t="s">
        <v>385</v>
      </c>
      <c r="E8720" s="130">
        <v>1</v>
      </c>
      <c r="F8720" s="28">
        <v>41.210999999999999</v>
      </c>
      <c r="G8720" s="31">
        <f>IF(ISNUMBER(F8720),E8720*F8720,"")</f>
        <v>41.210999999999999</v>
      </c>
      <c r="H8720" s="35">
        <f t="shared" ref="H8720" si="82">SUM(G8720:G8720)</f>
        <v>41.210999999999999</v>
      </c>
      <c r="I8720" s="36"/>
      <c r="J8720" s="125">
        <v>0</v>
      </c>
    </row>
    <row r="8721" spans="1:10" s="169" customFormat="1" hidden="1" x14ac:dyDescent="0.25">
      <c r="A8721" s="247"/>
      <c r="B8721" s="245"/>
      <c r="C8721" s="155"/>
      <c r="D8721" s="129"/>
      <c r="E8721" s="130"/>
      <c r="F8721" s="28"/>
      <c r="G8721" s="31"/>
      <c r="H8721" s="32"/>
      <c r="I8721" s="36"/>
      <c r="J8721" s="125">
        <v>0</v>
      </c>
    </row>
    <row r="8722" spans="1:10" s="169" customFormat="1" ht="15.75" hidden="1" thickBot="1" x14ac:dyDescent="0.3">
      <c r="A8722" s="241" t="s">
        <v>19177</v>
      </c>
      <c r="B8722" s="244" t="s">
        <v>22433</v>
      </c>
      <c r="C8722" s="160"/>
      <c r="D8722" s="145" t="s">
        <v>16</v>
      </c>
      <c r="E8722" s="146"/>
      <c r="F8722" s="37" t="s">
        <v>418</v>
      </c>
      <c r="G8722" s="147" t="str">
        <f>IF(ISNUMBER(F8722),E8722*F8722,"")</f>
        <v/>
      </c>
      <c r="H8722" s="148"/>
      <c r="I8722" s="149"/>
      <c r="J8722" s="125">
        <v>0</v>
      </c>
    </row>
    <row r="8723" spans="1:10" s="169" customFormat="1" hidden="1" x14ac:dyDescent="0.25">
      <c r="A8723" s="247"/>
      <c r="B8723" s="245"/>
      <c r="C8723" s="151"/>
      <c r="D8723" s="151"/>
      <c r="E8723" s="152"/>
      <c r="F8723" s="38" t="s">
        <v>418</v>
      </c>
      <c r="G8723" s="31" t="str">
        <f>IF(ISNUMBER(F8723),E8723*F8723,"")</f>
        <v/>
      </c>
      <c r="H8723" s="32"/>
      <c r="I8723" s="28"/>
      <c r="J8723" s="125">
        <v>0</v>
      </c>
    </row>
    <row r="8724" spans="1:10" s="169" customFormat="1" ht="25.5" hidden="1" x14ac:dyDescent="0.25">
      <c r="A8724" s="247"/>
      <c r="B8724" s="245"/>
      <c r="C8724" s="155" t="s">
        <v>24851</v>
      </c>
      <c r="D8724" s="155" t="s">
        <v>205</v>
      </c>
      <c r="E8724" s="130">
        <v>1</v>
      </c>
      <c r="F8724" s="28">
        <v>9.1579999999999995</v>
      </c>
      <c r="G8724" s="31">
        <f>IF(ISNUMBER(F8724),E8724*F8724,"")</f>
        <v>9.1579999999999995</v>
      </c>
      <c r="H8724" s="35">
        <f t="shared" ref="H8724" si="83">SUM(G8724:G8724)</f>
        <v>9.1579999999999995</v>
      </c>
      <c r="I8724" s="36"/>
      <c r="J8724" s="125">
        <v>0</v>
      </c>
    </row>
    <row r="8725" spans="1:10" s="169" customFormat="1" hidden="1" x14ac:dyDescent="0.25">
      <c r="A8725" s="247"/>
      <c r="B8725" s="245"/>
      <c r="C8725" s="155"/>
      <c r="D8725" s="129"/>
      <c r="E8725" s="130"/>
      <c r="F8725" s="28"/>
      <c r="G8725" s="31"/>
      <c r="H8725" s="32"/>
      <c r="I8725" s="36"/>
      <c r="J8725" s="125">
        <v>0</v>
      </c>
    </row>
    <row r="8726" spans="1:10" s="169" customFormat="1" ht="15.75" hidden="1" thickBot="1" x14ac:dyDescent="0.3">
      <c r="A8726" s="241" t="s">
        <v>19178</v>
      </c>
      <c r="B8726" s="244" t="s">
        <v>22434</v>
      </c>
      <c r="C8726" s="160"/>
      <c r="D8726" s="145" t="s">
        <v>16</v>
      </c>
      <c r="E8726" s="146"/>
      <c r="F8726" s="37" t="s">
        <v>418</v>
      </c>
      <c r="G8726" s="147" t="str">
        <f>IF(ISNUMBER(F8726),E8726*F8726,"")</f>
        <v/>
      </c>
      <c r="H8726" s="148"/>
      <c r="I8726" s="149"/>
      <c r="J8726" s="125">
        <v>0</v>
      </c>
    </row>
    <row r="8727" spans="1:10" s="169" customFormat="1" hidden="1" x14ac:dyDescent="0.25">
      <c r="A8727" s="247"/>
      <c r="B8727" s="245"/>
      <c r="C8727" s="151"/>
      <c r="D8727" s="151"/>
      <c r="E8727" s="152"/>
      <c r="F8727" s="38" t="s">
        <v>418</v>
      </c>
      <c r="G8727" s="31" t="str">
        <f>IF(ISNUMBER(F8727),E8727*F8727,"")</f>
        <v/>
      </c>
      <c r="H8727" s="32"/>
      <c r="I8727" s="28"/>
      <c r="J8727" s="125">
        <v>0</v>
      </c>
    </row>
    <row r="8728" spans="1:10" s="169" customFormat="1" ht="25.5" hidden="1" x14ac:dyDescent="0.25">
      <c r="A8728" s="247"/>
      <c r="B8728" s="245"/>
      <c r="C8728" s="155" t="s">
        <v>28307</v>
      </c>
      <c r="D8728" s="155" t="s">
        <v>205</v>
      </c>
      <c r="E8728" s="130">
        <v>1</v>
      </c>
      <c r="F8728" s="28">
        <v>22.942499999999999</v>
      </c>
      <c r="G8728" s="31">
        <f>IF(ISNUMBER(F8728),E8728*F8728,"")</f>
        <v>22.942499999999999</v>
      </c>
      <c r="H8728" s="35">
        <f t="shared" ref="H8728:H8780" si="84">SUM(G8728:G8728)</f>
        <v>22.942499999999999</v>
      </c>
      <c r="I8728" s="36"/>
      <c r="J8728" s="125">
        <v>0</v>
      </c>
    </row>
    <row r="8729" spans="1:10" s="169" customFormat="1" hidden="1" x14ac:dyDescent="0.25">
      <c r="A8729" s="247"/>
      <c r="B8729" s="245"/>
      <c r="C8729" s="155"/>
      <c r="D8729" s="129"/>
      <c r="E8729" s="130"/>
      <c r="F8729" s="28"/>
      <c r="G8729" s="31"/>
      <c r="H8729" s="32"/>
      <c r="I8729" s="36"/>
      <c r="J8729" s="125">
        <v>0</v>
      </c>
    </row>
    <row r="8730" spans="1:10" s="169" customFormat="1" ht="15.75" hidden="1" thickBot="1" x14ac:dyDescent="0.3">
      <c r="A8730" s="241" t="s">
        <v>19179</v>
      </c>
      <c r="B8730" s="244" t="s">
        <v>22435</v>
      </c>
      <c r="C8730" s="160"/>
      <c r="D8730" s="145" t="s">
        <v>16</v>
      </c>
      <c r="E8730" s="146"/>
      <c r="F8730" s="37" t="s">
        <v>418</v>
      </c>
      <c r="G8730" s="147" t="str">
        <f>IF(ISNUMBER(F8730),E8730*F8730,"")</f>
        <v/>
      </c>
      <c r="H8730" s="148"/>
      <c r="I8730" s="149"/>
      <c r="J8730" s="125">
        <v>0</v>
      </c>
    </row>
    <row r="8731" spans="1:10" s="169" customFormat="1" hidden="1" x14ac:dyDescent="0.25">
      <c r="A8731" s="247"/>
      <c r="B8731" s="245"/>
      <c r="C8731" s="151"/>
      <c r="D8731" s="151"/>
      <c r="E8731" s="152"/>
      <c r="F8731" s="38" t="s">
        <v>418</v>
      </c>
      <c r="G8731" s="31" t="str">
        <f>IF(ISNUMBER(F8731),E8731*F8731,"")</f>
        <v/>
      </c>
      <c r="H8731" s="32"/>
      <c r="I8731" s="28"/>
      <c r="J8731" s="125">
        <v>0</v>
      </c>
    </row>
    <row r="8732" spans="1:10" s="169" customFormat="1" hidden="1" x14ac:dyDescent="0.25">
      <c r="A8732" s="247"/>
      <c r="B8732" s="245"/>
      <c r="C8732" s="155" t="s">
        <v>26591</v>
      </c>
      <c r="D8732" s="155" t="s">
        <v>205</v>
      </c>
      <c r="E8732" s="130">
        <v>1</v>
      </c>
      <c r="F8732" s="28">
        <v>5.3389999999999995</v>
      </c>
      <c r="G8732" s="31">
        <f>IF(ISNUMBER(F8732),E8732*F8732,"")</f>
        <v>5.3389999999999995</v>
      </c>
      <c r="H8732" s="35">
        <f t="shared" si="84"/>
        <v>5.3389999999999995</v>
      </c>
      <c r="I8732" s="36"/>
      <c r="J8732" s="125">
        <v>0</v>
      </c>
    </row>
    <row r="8733" spans="1:10" s="169" customFormat="1" hidden="1" x14ac:dyDescent="0.25">
      <c r="A8733" s="247"/>
      <c r="B8733" s="245"/>
      <c r="C8733" s="155"/>
      <c r="D8733" s="129"/>
      <c r="E8733" s="130"/>
      <c r="F8733" s="28"/>
      <c r="G8733" s="31"/>
      <c r="H8733" s="32"/>
      <c r="I8733" s="36"/>
      <c r="J8733" s="125">
        <v>0</v>
      </c>
    </row>
    <row r="8734" spans="1:10" s="169" customFormat="1" ht="15.75" hidden="1" thickBot="1" x14ac:dyDescent="0.3">
      <c r="A8734" s="241" t="s">
        <v>19180</v>
      </c>
      <c r="B8734" s="244" t="s">
        <v>22436</v>
      </c>
      <c r="C8734" s="160"/>
      <c r="D8734" s="145" t="s">
        <v>16</v>
      </c>
      <c r="E8734" s="146"/>
      <c r="F8734" s="37" t="s">
        <v>418</v>
      </c>
      <c r="G8734" s="147" t="str">
        <f>IF(ISNUMBER(F8734),E8734*F8734,"")</f>
        <v/>
      </c>
      <c r="H8734" s="148"/>
      <c r="I8734" s="149"/>
      <c r="J8734" s="125">
        <v>0</v>
      </c>
    </row>
    <row r="8735" spans="1:10" s="169" customFormat="1" hidden="1" x14ac:dyDescent="0.25">
      <c r="A8735" s="247"/>
      <c r="B8735" s="245"/>
      <c r="C8735" s="151"/>
      <c r="D8735" s="151"/>
      <c r="E8735" s="152"/>
      <c r="F8735" s="38" t="s">
        <v>418</v>
      </c>
      <c r="G8735" s="31" t="str">
        <f>IF(ISNUMBER(F8735),E8735*F8735,"")</f>
        <v/>
      </c>
      <c r="H8735" s="32"/>
      <c r="I8735" s="28"/>
      <c r="J8735" s="125">
        <v>0</v>
      </c>
    </row>
    <row r="8736" spans="1:10" s="169" customFormat="1" hidden="1" x14ac:dyDescent="0.25">
      <c r="A8736" s="247"/>
      <c r="B8736" s="245"/>
      <c r="C8736" s="155" t="s">
        <v>26187</v>
      </c>
      <c r="D8736" s="155" t="s">
        <v>205</v>
      </c>
      <c r="E8736" s="130">
        <v>1</v>
      </c>
      <c r="F8736" s="28">
        <v>5.7189999999999994</v>
      </c>
      <c r="G8736" s="31">
        <f>IF(ISNUMBER(F8736),E8736*F8736,"")</f>
        <v>5.7189999999999994</v>
      </c>
      <c r="H8736" s="35">
        <f t="shared" si="84"/>
        <v>5.7189999999999994</v>
      </c>
      <c r="I8736" s="36"/>
      <c r="J8736" s="125">
        <v>0</v>
      </c>
    </row>
    <row r="8737" spans="1:10" s="169" customFormat="1" hidden="1" x14ac:dyDescent="0.25">
      <c r="A8737" s="247"/>
      <c r="B8737" s="245"/>
      <c r="C8737" s="155"/>
      <c r="D8737" s="129"/>
      <c r="E8737" s="130"/>
      <c r="F8737" s="28"/>
      <c r="G8737" s="31"/>
      <c r="H8737" s="32"/>
      <c r="I8737" s="36"/>
      <c r="J8737" s="125">
        <v>0</v>
      </c>
    </row>
    <row r="8738" spans="1:10" s="169" customFormat="1" ht="15.75" hidden="1" thickBot="1" x14ac:dyDescent="0.3">
      <c r="A8738" s="241" t="s">
        <v>19181</v>
      </c>
      <c r="B8738" s="244" t="s">
        <v>22437</v>
      </c>
      <c r="C8738" s="160"/>
      <c r="D8738" s="145" t="s">
        <v>16</v>
      </c>
      <c r="E8738" s="146"/>
      <c r="F8738" s="37" t="s">
        <v>418</v>
      </c>
      <c r="G8738" s="147" t="str">
        <f>IF(ISNUMBER(F8738),E8738*F8738,"")</f>
        <v/>
      </c>
      <c r="H8738" s="148"/>
      <c r="I8738" s="149"/>
      <c r="J8738" s="125">
        <v>0</v>
      </c>
    </row>
    <row r="8739" spans="1:10" s="169" customFormat="1" hidden="1" x14ac:dyDescent="0.25">
      <c r="A8739" s="247"/>
      <c r="B8739" s="245"/>
      <c r="C8739" s="151"/>
      <c r="D8739" s="151"/>
      <c r="E8739" s="152"/>
      <c r="F8739" s="38" t="s">
        <v>418</v>
      </c>
      <c r="G8739" s="31" t="str">
        <f>IF(ISNUMBER(F8739),E8739*F8739,"")</f>
        <v/>
      </c>
      <c r="H8739" s="32"/>
      <c r="I8739" s="28"/>
      <c r="J8739" s="125">
        <v>0</v>
      </c>
    </row>
    <row r="8740" spans="1:10" s="169" customFormat="1" ht="25.5" hidden="1" x14ac:dyDescent="0.25">
      <c r="A8740" s="247"/>
      <c r="B8740" s="245"/>
      <c r="C8740" s="155" t="s">
        <v>24372</v>
      </c>
      <c r="D8740" s="155" t="s">
        <v>205</v>
      </c>
      <c r="E8740" s="130">
        <v>1</v>
      </c>
      <c r="F8740" s="28">
        <v>5.1014999999999997</v>
      </c>
      <c r="G8740" s="31">
        <f>IF(ISNUMBER(F8740),E8740*F8740,"")</f>
        <v>5.1014999999999997</v>
      </c>
      <c r="H8740" s="35">
        <f t="shared" si="84"/>
        <v>5.1014999999999997</v>
      </c>
      <c r="I8740" s="36"/>
      <c r="J8740" s="125">
        <v>0</v>
      </c>
    </row>
    <row r="8741" spans="1:10" s="169" customFormat="1" hidden="1" x14ac:dyDescent="0.25">
      <c r="A8741" s="247"/>
      <c r="B8741" s="245"/>
      <c r="C8741" s="155"/>
      <c r="D8741" s="129"/>
      <c r="E8741" s="130"/>
      <c r="F8741" s="28"/>
      <c r="G8741" s="31"/>
      <c r="H8741" s="32"/>
      <c r="I8741" s="36"/>
      <c r="J8741" s="125">
        <v>0</v>
      </c>
    </row>
    <row r="8742" spans="1:10" s="169" customFormat="1" ht="15.75" hidden="1" thickBot="1" x14ac:dyDescent="0.3">
      <c r="A8742" s="241" t="s">
        <v>19182</v>
      </c>
      <c r="B8742" s="244" t="s">
        <v>22438</v>
      </c>
      <c r="C8742" s="160"/>
      <c r="D8742" s="145" t="s">
        <v>16</v>
      </c>
      <c r="E8742" s="146"/>
      <c r="F8742" s="37" t="s">
        <v>418</v>
      </c>
      <c r="G8742" s="147" t="str">
        <f>IF(ISNUMBER(F8742),E8742*F8742,"")</f>
        <v/>
      </c>
      <c r="H8742" s="148"/>
      <c r="I8742" s="149"/>
      <c r="J8742" s="125">
        <v>0</v>
      </c>
    </row>
    <row r="8743" spans="1:10" s="169" customFormat="1" hidden="1" x14ac:dyDescent="0.25">
      <c r="A8743" s="247"/>
      <c r="B8743" s="245"/>
      <c r="C8743" s="151"/>
      <c r="D8743" s="151"/>
      <c r="E8743" s="152"/>
      <c r="F8743" s="38" t="s">
        <v>418</v>
      </c>
      <c r="G8743" s="31" t="str">
        <f>IF(ISNUMBER(F8743),E8743*F8743,"")</f>
        <v/>
      </c>
      <c r="H8743" s="32"/>
      <c r="I8743" s="28"/>
      <c r="J8743" s="125">
        <v>0</v>
      </c>
    </row>
    <row r="8744" spans="1:10" s="169" customFormat="1" hidden="1" x14ac:dyDescent="0.25">
      <c r="A8744" s="247"/>
      <c r="B8744" s="245"/>
      <c r="C8744" s="155" t="s">
        <v>27517</v>
      </c>
      <c r="D8744" s="155" t="s">
        <v>205</v>
      </c>
      <c r="E8744" s="130">
        <v>1</v>
      </c>
      <c r="F8744" s="28">
        <v>8.9014999999999986</v>
      </c>
      <c r="G8744" s="31">
        <f>IF(ISNUMBER(F8744),E8744*F8744,"")</f>
        <v>8.9014999999999986</v>
      </c>
      <c r="H8744" s="35">
        <f t="shared" si="84"/>
        <v>8.9014999999999986</v>
      </c>
      <c r="I8744" s="36"/>
      <c r="J8744" s="125">
        <v>0</v>
      </c>
    </row>
    <row r="8745" spans="1:10" s="169" customFormat="1" hidden="1" x14ac:dyDescent="0.25">
      <c r="A8745" s="247"/>
      <c r="B8745" s="245"/>
      <c r="C8745" s="155"/>
      <c r="D8745" s="129"/>
      <c r="E8745" s="130"/>
      <c r="F8745" s="28"/>
      <c r="G8745" s="31"/>
      <c r="H8745" s="32"/>
      <c r="I8745" s="36"/>
      <c r="J8745" s="125">
        <v>0</v>
      </c>
    </row>
    <row r="8746" spans="1:10" s="169" customFormat="1" ht="15.75" hidden="1" thickBot="1" x14ac:dyDescent="0.3">
      <c r="A8746" s="241" t="s">
        <v>19183</v>
      </c>
      <c r="B8746" s="244" t="s">
        <v>22439</v>
      </c>
      <c r="C8746" s="160"/>
      <c r="D8746" s="145" t="s">
        <v>16</v>
      </c>
      <c r="E8746" s="146"/>
      <c r="F8746" s="37" t="s">
        <v>418</v>
      </c>
      <c r="G8746" s="147" t="str">
        <f>IF(ISNUMBER(F8746),E8746*F8746,"")</f>
        <v/>
      </c>
      <c r="H8746" s="148"/>
      <c r="I8746" s="149"/>
      <c r="J8746" s="125">
        <v>0</v>
      </c>
    </row>
    <row r="8747" spans="1:10" s="169" customFormat="1" hidden="1" x14ac:dyDescent="0.25">
      <c r="A8747" s="247"/>
      <c r="B8747" s="245"/>
      <c r="C8747" s="151"/>
      <c r="D8747" s="151"/>
      <c r="E8747" s="152"/>
      <c r="F8747" s="38" t="s">
        <v>418</v>
      </c>
      <c r="G8747" s="31" t="str">
        <f>IF(ISNUMBER(F8747),E8747*F8747,"")</f>
        <v/>
      </c>
      <c r="H8747" s="32"/>
      <c r="I8747" s="28"/>
      <c r="J8747" s="125">
        <v>0</v>
      </c>
    </row>
    <row r="8748" spans="1:10" s="169" customFormat="1" hidden="1" x14ac:dyDescent="0.25">
      <c r="A8748" s="247"/>
      <c r="B8748" s="245"/>
      <c r="C8748" s="155" t="s">
        <v>1005</v>
      </c>
      <c r="D8748" s="155" t="s">
        <v>205</v>
      </c>
      <c r="E8748" s="130">
        <v>1</v>
      </c>
      <c r="F8748" s="28">
        <v>3.8949999999999996</v>
      </c>
      <c r="G8748" s="31">
        <f>IF(ISNUMBER(F8748),E8748*F8748,"")</f>
        <v>3.8949999999999996</v>
      </c>
      <c r="H8748" s="35">
        <f t="shared" si="84"/>
        <v>3.8949999999999996</v>
      </c>
      <c r="I8748" s="36"/>
      <c r="J8748" s="125">
        <v>0</v>
      </c>
    </row>
    <row r="8749" spans="1:10" s="169" customFormat="1" hidden="1" x14ac:dyDescent="0.25">
      <c r="A8749" s="247"/>
      <c r="B8749" s="245"/>
      <c r="C8749" s="155"/>
      <c r="D8749" s="129"/>
      <c r="E8749" s="130"/>
      <c r="F8749" s="28"/>
      <c r="G8749" s="31"/>
      <c r="H8749" s="32"/>
      <c r="I8749" s="36"/>
      <c r="J8749" s="125">
        <v>0</v>
      </c>
    </row>
    <row r="8750" spans="1:10" s="169" customFormat="1" ht="15.75" hidden="1" thickBot="1" x14ac:dyDescent="0.3">
      <c r="A8750" s="241" t="s">
        <v>19185</v>
      </c>
      <c r="B8750" s="244" t="s">
        <v>22441</v>
      </c>
      <c r="C8750" s="160"/>
      <c r="D8750" s="145" t="s">
        <v>69</v>
      </c>
      <c r="E8750" s="146"/>
      <c r="F8750" s="37" t="s">
        <v>418</v>
      </c>
      <c r="G8750" s="147" t="str">
        <f>IF(ISNUMBER(F8750),E8750*F8750,"")</f>
        <v/>
      </c>
      <c r="H8750" s="148"/>
      <c r="I8750" s="149"/>
      <c r="J8750" s="125">
        <v>0</v>
      </c>
    </row>
    <row r="8751" spans="1:10" s="169" customFormat="1" hidden="1" x14ac:dyDescent="0.25">
      <c r="A8751" s="247"/>
      <c r="B8751" s="245"/>
      <c r="C8751" s="151"/>
      <c r="D8751" s="151"/>
      <c r="E8751" s="152"/>
      <c r="F8751" s="38" t="s">
        <v>418</v>
      </c>
      <c r="G8751" s="31" t="str">
        <f>IF(ISNUMBER(F8751),E8751*F8751,"")</f>
        <v/>
      </c>
      <c r="H8751" s="32"/>
      <c r="I8751" s="28"/>
      <c r="J8751" s="125">
        <v>0</v>
      </c>
    </row>
    <row r="8752" spans="1:10" s="169" customFormat="1" ht="25.5" hidden="1" x14ac:dyDescent="0.25">
      <c r="A8752" s="247"/>
      <c r="B8752" s="245"/>
      <c r="C8752" s="155" t="s">
        <v>558</v>
      </c>
      <c r="D8752" s="155" t="s">
        <v>385</v>
      </c>
      <c r="E8752" s="130">
        <v>1</v>
      </c>
      <c r="F8752" s="28">
        <v>56.220999999999997</v>
      </c>
      <c r="G8752" s="31">
        <f>IF(ISNUMBER(F8752),E8752*F8752,"")</f>
        <v>56.220999999999997</v>
      </c>
      <c r="H8752" s="35">
        <f t="shared" si="84"/>
        <v>56.220999999999997</v>
      </c>
      <c r="I8752" s="36"/>
      <c r="J8752" s="125">
        <v>0</v>
      </c>
    </row>
    <row r="8753" spans="1:10" s="169" customFormat="1" hidden="1" x14ac:dyDescent="0.25">
      <c r="A8753" s="247"/>
      <c r="B8753" s="245"/>
      <c r="C8753" s="155"/>
      <c r="D8753" s="129"/>
      <c r="E8753" s="130"/>
      <c r="F8753" s="28"/>
      <c r="G8753" s="31"/>
      <c r="H8753" s="32"/>
      <c r="I8753" s="36"/>
      <c r="J8753" s="125">
        <v>0</v>
      </c>
    </row>
    <row r="8754" spans="1:10" s="169" customFormat="1" ht="15.75" hidden="1" thickBot="1" x14ac:dyDescent="0.3">
      <c r="A8754" s="241" t="s">
        <v>19186</v>
      </c>
      <c r="B8754" s="244" t="s">
        <v>22442</v>
      </c>
      <c r="C8754" s="160"/>
      <c r="D8754" s="145" t="s">
        <v>16</v>
      </c>
      <c r="E8754" s="146"/>
      <c r="F8754" s="37" t="s">
        <v>418</v>
      </c>
      <c r="G8754" s="147" t="str">
        <f>IF(ISNUMBER(F8754),E8754*F8754,"")</f>
        <v/>
      </c>
      <c r="H8754" s="148"/>
      <c r="I8754" s="149"/>
      <c r="J8754" s="125">
        <v>0</v>
      </c>
    </row>
    <row r="8755" spans="1:10" s="169" customFormat="1" hidden="1" x14ac:dyDescent="0.25">
      <c r="A8755" s="247"/>
      <c r="B8755" s="245"/>
      <c r="C8755" s="151"/>
      <c r="D8755" s="151"/>
      <c r="E8755" s="152"/>
      <c r="F8755" s="38" t="s">
        <v>418</v>
      </c>
      <c r="G8755" s="31" t="str">
        <f>IF(ISNUMBER(F8755),E8755*F8755,"")</f>
        <v/>
      </c>
      <c r="H8755" s="32"/>
      <c r="I8755" s="28"/>
      <c r="J8755" s="125">
        <v>0</v>
      </c>
    </row>
    <row r="8756" spans="1:10" s="169" customFormat="1" ht="25.5" hidden="1" x14ac:dyDescent="0.25">
      <c r="A8756" s="247"/>
      <c r="B8756" s="245"/>
      <c r="C8756" s="155" t="s">
        <v>24855</v>
      </c>
      <c r="D8756" s="155" t="s">
        <v>205</v>
      </c>
      <c r="E8756" s="130">
        <v>1</v>
      </c>
      <c r="F8756" s="28">
        <v>10.953499999999998</v>
      </c>
      <c r="G8756" s="31">
        <f>IF(ISNUMBER(F8756),E8756*F8756,"")</f>
        <v>10.953499999999998</v>
      </c>
      <c r="H8756" s="35">
        <f t="shared" si="84"/>
        <v>10.953499999999998</v>
      </c>
      <c r="I8756" s="36"/>
      <c r="J8756" s="125">
        <v>0</v>
      </c>
    </row>
    <row r="8757" spans="1:10" s="169" customFormat="1" hidden="1" x14ac:dyDescent="0.25">
      <c r="A8757" s="247"/>
      <c r="B8757" s="245"/>
      <c r="C8757" s="155"/>
      <c r="D8757" s="129"/>
      <c r="E8757" s="130"/>
      <c r="F8757" s="28"/>
      <c r="G8757" s="31"/>
      <c r="H8757" s="32"/>
      <c r="I8757" s="36"/>
      <c r="J8757" s="125">
        <v>0</v>
      </c>
    </row>
    <row r="8758" spans="1:10" s="169" customFormat="1" ht="15.75" hidden="1" thickBot="1" x14ac:dyDescent="0.3">
      <c r="A8758" s="241" t="s">
        <v>19187</v>
      </c>
      <c r="B8758" s="244" t="s">
        <v>22443</v>
      </c>
      <c r="C8758" s="160"/>
      <c r="D8758" s="145" t="s">
        <v>16</v>
      </c>
      <c r="E8758" s="146"/>
      <c r="F8758" s="37" t="s">
        <v>418</v>
      </c>
      <c r="G8758" s="147" t="str">
        <f>IF(ISNUMBER(F8758),E8758*F8758,"")</f>
        <v/>
      </c>
      <c r="H8758" s="148"/>
      <c r="I8758" s="149"/>
      <c r="J8758" s="125">
        <v>0</v>
      </c>
    </row>
    <row r="8759" spans="1:10" s="169" customFormat="1" hidden="1" x14ac:dyDescent="0.25">
      <c r="A8759" s="247"/>
      <c r="B8759" s="245"/>
      <c r="C8759" s="151"/>
      <c r="D8759" s="151"/>
      <c r="E8759" s="152"/>
      <c r="F8759" s="38" t="s">
        <v>418</v>
      </c>
      <c r="G8759" s="31" t="str">
        <f>IF(ISNUMBER(F8759),E8759*F8759,"")</f>
        <v/>
      </c>
      <c r="H8759" s="32"/>
      <c r="I8759" s="28"/>
      <c r="J8759" s="125">
        <v>0</v>
      </c>
    </row>
    <row r="8760" spans="1:10" s="169" customFormat="1" ht="25.5" hidden="1" x14ac:dyDescent="0.25">
      <c r="A8760" s="247"/>
      <c r="B8760" s="245"/>
      <c r="C8760" s="155" t="s">
        <v>28310</v>
      </c>
      <c r="D8760" s="155" t="s">
        <v>205</v>
      </c>
      <c r="E8760" s="130">
        <v>1</v>
      </c>
      <c r="F8760" s="28">
        <v>30.381</v>
      </c>
      <c r="G8760" s="31">
        <f>IF(ISNUMBER(F8760),E8760*F8760,"")</f>
        <v>30.381</v>
      </c>
      <c r="H8760" s="35">
        <f t="shared" si="84"/>
        <v>30.381</v>
      </c>
      <c r="I8760" s="36"/>
      <c r="J8760" s="125">
        <v>0</v>
      </c>
    </row>
    <row r="8761" spans="1:10" s="169" customFormat="1" hidden="1" x14ac:dyDescent="0.25">
      <c r="A8761" s="247"/>
      <c r="B8761" s="245"/>
      <c r="C8761" s="155"/>
      <c r="D8761" s="129"/>
      <c r="E8761" s="130"/>
      <c r="F8761" s="28"/>
      <c r="G8761" s="31"/>
      <c r="H8761" s="32"/>
      <c r="I8761" s="36"/>
      <c r="J8761" s="125">
        <v>0</v>
      </c>
    </row>
    <row r="8762" spans="1:10" s="169" customFormat="1" ht="15.75" hidden="1" thickBot="1" x14ac:dyDescent="0.3">
      <c r="A8762" s="241" t="s">
        <v>19188</v>
      </c>
      <c r="B8762" s="244" t="s">
        <v>22444</v>
      </c>
      <c r="C8762" s="160"/>
      <c r="D8762" s="145" t="s">
        <v>16</v>
      </c>
      <c r="E8762" s="146"/>
      <c r="F8762" s="37" t="s">
        <v>418</v>
      </c>
      <c r="G8762" s="147" t="str">
        <f>IF(ISNUMBER(F8762),E8762*F8762,"")</f>
        <v/>
      </c>
      <c r="H8762" s="148"/>
      <c r="I8762" s="149"/>
      <c r="J8762" s="125">
        <v>0</v>
      </c>
    </row>
    <row r="8763" spans="1:10" s="169" customFormat="1" hidden="1" x14ac:dyDescent="0.25">
      <c r="A8763" s="247"/>
      <c r="B8763" s="245"/>
      <c r="C8763" s="151"/>
      <c r="D8763" s="151"/>
      <c r="E8763" s="152"/>
      <c r="F8763" s="38" t="s">
        <v>418</v>
      </c>
      <c r="G8763" s="31" t="str">
        <f>IF(ISNUMBER(F8763),E8763*F8763,"")</f>
        <v/>
      </c>
      <c r="H8763" s="32"/>
      <c r="I8763" s="28"/>
      <c r="J8763" s="125">
        <v>0</v>
      </c>
    </row>
    <row r="8764" spans="1:10" s="169" customFormat="1" hidden="1" x14ac:dyDescent="0.25">
      <c r="A8764" s="247"/>
      <c r="B8764" s="245"/>
      <c r="C8764" s="155" t="s">
        <v>26594</v>
      </c>
      <c r="D8764" s="155" t="s">
        <v>205</v>
      </c>
      <c r="E8764" s="130">
        <v>1</v>
      </c>
      <c r="F8764" s="28">
        <v>7.4005000000000001</v>
      </c>
      <c r="G8764" s="31">
        <f>IF(ISNUMBER(F8764),E8764*F8764,"")</f>
        <v>7.4005000000000001</v>
      </c>
      <c r="H8764" s="35">
        <f t="shared" si="84"/>
        <v>7.4005000000000001</v>
      </c>
      <c r="I8764" s="36"/>
      <c r="J8764" s="125">
        <v>0</v>
      </c>
    </row>
    <row r="8765" spans="1:10" s="169" customFormat="1" hidden="1" x14ac:dyDescent="0.25">
      <c r="A8765" s="247"/>
      <c r="B8765" s="245"/>
      <c r="C8765" s="155"/>
      <c r="D8765" s="129"/>
      <c r="E8765" s="130"/>
      <c r="F8765" s="28"/>
      <c r="G8765" s="31"/>
      <c r="H8765" s="32"/>
      <c r="I8765" s="36"/>
      <c r="J8765" s="125">
        <v>0</v>
      </c>
    </row>
    <row r="8766" spans="1:10" s="169" customFormat="1" ht="15.75" hidden="1" thickBot="1" x14ac:dyDescent="0.3">
      <c r="A8766" s="241" t="s">
        <v>19189</v>
      </c>
      <c r="B8766" s="244" t="s">
        <v>22445</v>
      </c>
      <c r="C8766" s="160"/>
      <c r="D8766" s="145" t="s">
        <v>16</v>
      </c>
      <c r="E8766" s="146"/>
      <c r="F8766" s="37" t="s">
        <v>418</v>
      </c>
      <c r="G8766" s="147" t="str">
        <f>IF(ISNUMBER(F8766),E8766*F8766,"")</f>
        <v/>
      </c>
      <c r="H8766" s="148"/>
      <c r="I8766" s="149"/>
      <c r="J8766" s="125">
        <v>0</v>
      </c>
    </row>
    <row r="8767" spans="1:10" s="169" customFormat="1" hidden="1" x14ac:dyDescent="0.25">
      <c r="A8767" s="247"/>
      <c r="B8767" s="245"/>
      <c r="C8767" s="151"/>
      <c r="D8767" s="151"/>
      <c r="E8767" s="152"/>
      <c r="F8767" s="38" t="s">
        <v>418</v>
      </c>
      <c r="G8767" s="31" t="str">
        <f>IF(ISNUMBER(F8767),E8767*F8767,"")</f>
        <v/>
      </c>
      <c r="H8767" s="32"/>
      <c r="I8767" s="28"/>
      <c r="J8767" s="125">
        <v>0</v>
      </c>
    </row>
    <row r="8768" spans="1:10" s="169" customFormat="1" hidden="1" x14ac:dyDescent="0.25">
      <c r="A8768" s="247"/>
      <c r="B8768" s="245"/>
      <c r="C8768" s="155" t="s">
        <v>26192</v>
      </c>
      <c r="D8768" s="155" t="s">
        <v>205</v>
      </c>
      <c r="E8768" s="130">
        <v>1</v>
      </c>
      <c r="F8768" s="28">
        <v>7.7899999999999991</v>
      </c>
      <c r="G8768" s="31">
        <f>IF(ISNUMBER(F8768),E8768*F8768,"")</f>
        <v>7.7899999999999991</v>
      </c>
      <c r="H8768" s="35">
        <f t="shared" si="84"/>
        <v>7.7899999999999991</v>
      </c>
      <c r="I8768" s="36"/>
      <c r="J8768" s="125">
        <v>0</v>
      </c>
    </row>
    <row r="8769" spans="1:10" s="169" customFormat="1" hidden="1" x14ac:dyDescent="0.25">
      <c r="A8769" s="247"/>
      <c r="B8769" s="245"/>
      <c r="C8769" s="155"/>
      <c r="D8769" s="129"/>
      <c r="E8769" s="130"/>
      <c r="F8769" s="28"/>
      <c r="G8769" s="31"/>
      <c r="H8769" s="32"/>
      <c r="I8769" s="36"/>
      <c r="J8769" s="125">
        <v>0</v>
      </c>
    </row>
    <row r="8770" spans="1:10" s="169" customFormat="1" ht="15.75" hidden="1" thickBot="1" x14ac:dyDescent="0.3">
      <c r="A8770" s="241" t="s">
        <v>19190</v>
      </c>
      <c r="B8770" s="244" t="s">
        <v>22446</v>
      </c>
      <c r="C8770" s="160"/>
      <c r="D8770" s="145" t="s">
        <v>16</v>
      </c>
      <c r="E8770" s="146"/>
      <c r="F8770" s="37" t="s">
        <v>418</v>
      </c>
      <c r="G8770" s="147" t="str">
        <f>IF(ISNUMBER(F8770),E8770*F8770,"")</f>
        <v/>
      </c>
      <c r="H8770" s="148"/>
      <c r="I8770" s="149"/>
      <c r="J8770" s="125">
        <v>0</v>
      </c>
    </row>
    <row r="8771" spans="1:10" s="169" customFormat="1" hidden="1" x14ac:dyDescent="0.25">
      <c r="A8771" s="247"/>
      <c r="B8771" s="245"/>
      <c r="C8771" s="151"/>
      <c r="D8771" s="151"/>
      <c r="E8771" s="152"/>
      <c r="F8771" s="38" t="s">
        <v>418</v>
      </c>
      <c r="G8771" s="31" t="str">
        <f>IF(ISNUMBER(F8771),E8771*F8771,"")</f>
        <v/>
      </c>
      <c r="H8771" s="32"/>
      <c r="I8771" s="28"/>
      <c r="J8771" s="125">
        <v>0</v>
      </c>
    </row>
    <row r="8772" spans="1:10" s="169" customFormat="1" ht="25.5" hidden="1" x14ac:dyDescent="0.25">
      <c r="A8772" s="247"/>
      <c r="B8772" s="245"/>
      <c r="C8772" s="155" t="s">
        <v>24378</v>
      </c>
      <c r="D8772" s="155" t="s">
        <v>205</v>
      </c>
      <c r="E8772" s="130">
        <v>1</v>
      </c>
      <c r="F8772" s="28">
        <v>6.593</v>
      </c>
      <c r="G8772" s="31">
        <f>IF(ISNUMBER(F8772),E8772*F8772,"")</f>
        <v>6.593</v>
      </c>
      <c r="H8772" s="35">
        <f t="shared" si="84"/>
        <v>6.593</v>
      </c>
      <c r="I8772" s="36"/>
      <c r="J8772" s="125">
        <v>0</v>
      </c>
    </row>
    <row r="8773" spans="1:10" s="169" customFormat="1" hidden="1" x14ac:dyDescent="0.25">
      <c r="A8773" s="247"/>
      <c r="B8773" s="245"/>
      <c r="C8773" s="155"/>
      <c r="D8773" s="129"/>
      <c r="E8773" s="130"/>
      <c r="F8773" s="28"/>
      <c r="G8773" s="31"/>
      <c r="H8773" s="32"/>
      <c r="I8773" s="36"/>
      <c r="J8773" s="125">
        <v>0</v>
      </c>
    </row>
    <row r="8774" spans="1:10" s="169" customFormat="1" ht="15.75" hidden="1" thickBot="1" x14ac:dyDescent="0.3">
      <c r="A8774" s="241" t="s">
        <v>19191</v>
      </c>
      <c r="B8774" s="244" t="s">
        <v>22447</v>
      </c>
      <c r="C8774" s="160"/>
      <c r="D8774" s="145" t="s">
        <v>16</v>
      </c>
      <c r="E8774" s="146"/>
      <c r="F8774" s="37" t="s">
        <v>418</v>
      </c>
      <c r="G8774" s="147" t="str">
        <f>IF(ISNUMBER(F8774),E8774*F8774,"")</f>
        <v/>
      </c>
      <c r="H8774" s="148"/>
      <c r="I8774" s="149"/>
      <c r="J8774" s="125">
        <v>0</v>
      </c>
    </row>
    <row r="8775" spans="1:10" s="169" customFormat="1" hidden="1" x14ac:dyDescent="0.25">
      <c r="A8775" s="247"/>
      <c r="B8775" s="245"/>
      <c r="C8775" s="151"/>
      <c r="D8775" s="151"/>
      <c r="E8775" s="152"/>
      <c r="F8775" s="38" t="s">
        <v>418</v>
      </c>
      <c r="G8775" s="31" t="str">
        <f>IF(ISNUMBER(F8775),E8775*F8775,"")</f>
        <v/>
      </c>
      <c r="H8775" s="32"/>
      <c r="I8775" s="28"/>
      <c r="J8775" s="125">
        <v>0</v>
      </c>
    </row>
    <row r="8776" spans="1:10" s="169" customFormat="1" hidden="1" x14ac:dyDescent="0.25">
      <c r="A8776" s="247"/>
      <c r="B8776" s="245"/>
      <c r="C8776" s="155" t="s">
        <v>27522</v>
      </c>
      <c r="D8776" s="155" t="s">
        <v>205</v>
      </c>
      <c r="E8776" s="130">
        <v>1</v>
      </c>
      <c r="F8776" s="28">
        <v>12.673</v>
      </c>
      <c r="G8776" s="31">
        <f>IF(ISNUMBER(F8776),E8776*F8776,"")</f>
        <v>12.673</v>
      </c>
      <c r="H8776" s="35">
        <f t="shared" si="84"/>
        <v>12.673</v>
      </c>
      <c r="I8776" s="36"/>
      <c r="J8776" s="125">
        <v>0</v>
      </c>
    </row>
    <row r="8777" spans="1:10" s="169" customFormat="1" hidden="1" x14ac:dyDescent="0.25">
      <c r="A8777" s="247"/>
      <c r="B8777" s="245"/>
      <c r="C8777" s="155"/>
      <c r="D8777" s="129"/>
      <c r="E8777" s="130"/>
      <c r="F8777" s="28"/>
      <c r="G8777" s="31"/>
      <c r="H8777" s="32"/>
      <c r="I8777" s="36"/>
      <c r="J8777" s="125">
        <v>0</v>
      </c>
    </row>
    <row r="8778" spans="1:10" s="169" customFormat="1" ht="15.75" hidden="1" thickBot="1" x14ac:dyDescent="0.3">
      <c r="A8778" s="241" t="s">
        <v>19192</v>
      </c>
      <c r="B8778" s="244" t="s">
        <v>22448</v>
      </c>
      <c r="C8778" s="160"/>
      <c r="D8778" s="145" t="s">
        <v>16</v>
      </c>
      <c r="E8778" s="146"/>
      <c r="F8778" s="37" t="s">
        <v>418</v>
      </c>
      <c r="G8778" s="147" t="str">
        <f>IF(ISNUMBER(F8778),E8778*F8778,"")</f>
        <v/>
      </c>
      <c r="H8778" s="148"/>
      <c r="I8778" s="149"/>
      <c r="J8778" s="125">
        <v>0</v>
      </c>
    </row>
    <row r="8779" spans="1:10" s="169" customFormat="1" hidden="1" x14ac:dyDescent="0.25">
      <c r="A8779" s="247"/>
      <c r="B8779" s="245"/>
      <c r="C8779" s="151"/>
      <c r="D8779" s="151"/>
      <c r="E8779" s="152"/>
      <c r="F8779" s="38" t="s">
        <v>418</v>
      </c>
      <c r="G8779" s="31" t="str">
        <f>IF(ISNUMBER(F8779),E8779*F8779,"")</f>
        <v/>
      </c>
      <c r="H8779" s="32"/>
      <c r="I8779" s="28"/>
      <c r="J8779" s="125">
        <v>0</v>
      </c>
    </row>
    <row r="8780" spans="1:10" s="169" customFormat="1" hidden="1" x14ac:dyDescent="0.25">
      <c r="A8780" s="247"/>
      <c r="B8780" s="245"/>
      <c r="C8780" s="155" t="s">
        <v>26952</v>
      </c>
      <c r="D8780" s="155" t="s">
        <v>205</v>
      </c>
      <c r="E8780" s="130">
        <v>1</v>
      </c>
      <c r="F8780" s="28">
        <v>5.2629999999999999</v>
      </c>
      <c r="G8780" s="31">
        <f>IF(ISNUMBER(F8780),E8780*F8780,"")</f>
        <v>5.2629999999999999</v>
      </c>
      <c r="H8780" s="35">
        <f t="shared" si="84"/>
        <v>5.2629999999999999</v>
      </c>
      <c r="I8780" s="36"/>
      <c r="J8780" s="125">
        <v>0</v>
      </c>
    </row>
    <row r="8781" spans="1:10" s="169" customFormat="1" hidden="1" x14ac:dyDescent="0.25">
      <c r="A8781" s="247"/>
      <c r="B8781" s="245"/>
      <c r="C8781" s="155"/>
      <c r="D8781" s="129"/>
      <c r="E8781" s="130"/>
      <c r="F8781" s="28"/>
      <c r="G8781" s="31"/>
      <c r="H8781" s="32"/>
      <c r="I8781" s="36"/>
      <c r="J8781" s="125">
        <v>0</v>
      </c>
    </row>
    <row r="8782" spans="1:10" s="169" customFormat="1" ht="15.75" hidden="1" thickBot="1" x14ac:dyDescent="0.3">
      <c r="A8782" s="241" t="s">
        <v>19194</v>
      </c>
      <c r="B8782" s="244" t="s">
        <v>22450</v>
      </c>
      <c r="C8782" s="160"/>
      <c r="D8782" s="145" t="s">
        <v>16</v>
      </c>
      <c r="E8782" s="146"/>
      <c r="F8782" s="37" t="s">
        <v>418</v>
      </c>
      <c r="G8782" s="147" t="str">
        <f>IF(ISNUMBER(F8782),E8782*F8782,"")</f>
        <v/>
      </c>
      <c r="H8782" s="148"/>
      <c r="I8782" s="149"/>
      <c r="J8782" s="125">
        <v>0</v>
      </c>
    </row>
    <row r="8783" spans="1:10" s="169" customFormat="1" hidden="1" x14ac:dyDescent="0.25">
      <c r="A8783" s="247"/>
      <c r="B8783" s="245"/>
      <c r="C8783" s="151"/>
      <c r="D8783" s="151"/>
      <c r="E8783" s="152"/>
      <c r="F8783" s="38" t="s">
        <v>418</v>
      </c>
      <c r="G8783" s="31" t="str">
        <f>IF(ISNUMBER(F8783),E8783*F8783,"")</f>
        <v/>
      </c>
      <c r="H8783" s="32"/>
      <c r="I8783" s="28"/>
      <c r="J8783" s="125">
        <v>0</v>
      </c>
    </row>
    <row r="8784" spans="1:10" s="169" customFormat="1" ht="25.5" hidden="1" x14ac:dyDescent="0.25">
      <c r="A8784" s="247"/>
      <c r="B8784" s="245"/>
      <c r="C8784" s="155" t="s">
        <v>23989</v>
      </c>
      <c r="D8784" s="155" t="s">
        <v>205</v>
      </c>
      <c r="E8784" s="130">
        <v>1</v>
      </c>
      <c r="F8784" s="28">
        <v>6.5264999999999995</v>
      </c>
      <c r="G8784" s="31">
        <f>IF(ISNUMBER(F8784),E8784*F8784,"")</f>
        <v>6.5264999999999995</v>
      </c>
      <c r="H8784" s="35">
        <f t="shared" ref="H8784:H8840" si="85">SUM(G8784:G8784)</f>
        <v>6.5264999999999995</v>
      </c>
      <c r="I8784" s="36"/>
      <c r="J8784" s="125">
        <v>0</v>
      </c>
    </row>
    <row r="8785" spans="1:10" s="169" customFormat="1" hidden="1" x14ac:dyDescent="0.25">
      <c r="A8785" s="247"/>
      <c r="B8785" s="245"/>
      <c r="C8785" s="155"/>
      <c r="D8785" s="129"/>
      <c r="E8785" s="130"/>
      <c r="F8785" s="28"/>
      <c r="G8785" s="31"/>
      <c r="H8785" s="32"/>
      <c r="I8785" s="36"/>
      <c r="J8785" s="125">
        <v>0</v>
      </c>
    </row>
    <row r="8786" spans="1:10" s="169" customFormat="1" ht="15.75" hidden="1" thickBot="1" x14ac:dyDescent="0.3">
      <c r="A8786" s="241" t="s">
        <v>19195</v>
      </c>
      <c r="B8786" s="244" t="s">
        <v>22451</v>
      </c>
      <c r="C8786" s="160"/>
      <c r="D8786" s="145" t="s">
        <v>16</v>
      </c>
      <c r="E8786" s="146"/>
      <c r="F8786" s="37" t="s">
        <v>418</v>
      </c>
      <c r="G8786" s="147" t="str">
        <f>IF(ISNUMBER(F8786),E8786*F8786,"")</f>
        <v/>
      </c>
      <c r="H8786" s="148"/>
      <c r="I8786" s="149"/>
      <c r="J8786" s="125">
        <v>0</v>
      </c>
    </row>
    <row r="8787" spans="1:10" s="169" customFormat="1" hidden="1" x14ac:dyDescent="0.25">
      <c r="A8787" s="247"/>
      <c r="B8787" s="245"/>
      <c r="C8787" s="151"/>
      <c r="D8787" s="151"/>
      <c r="E8787" s="152"/>
      <c r="F8787" s="38" t="s">
        <v>418</v>
      </c>
      <c r="G8787" s="31" t="str">
        <f>IF(ISNUMBER(F8787),E8787*F8787,"")</f>
        <v/>
      </c>
      <c r="H8787" s="32"/>
      <c r="I8787" s="28"/>
      <c r="J8787" s="125">
        <v>0</v>
      </c>
    </row>
    <row r="8788" spans="1:10" s="169" customFormat="1" ht="25.5" hidden="1" x14ac:dyDescent="0.25">
      <c r="A8788" s="247"/>
      <c r="B8788" s="245"/>
      <c r="C8788" s="155" t="s">
        <v>26219</v>
      </c>
      <c r="D8788" s="155" t="s">
        <v>205</v>
      </c>
      <c r="E8788" s="130">
        <v>1</v>
      </c>
      <c r="F8788" s="28">
        <v>9.0439999999999987</v>
      </c>
      <c r="G8788" s="31">
        <f>IF(ISNUMBER(F8788),E8788*F8788,"")</f>
        <v>9.0439999999999987</v>
      </c>
      <c r="H8788" s="35">
        <f t="shared" si="85"/>
        <v>9.0439999999999987</v>
      </c>
      <c r="I8788" s="36"/>
      <c r="J8788" s="125">
        <v>0</v>
      </c>
    </row>
    <row r="8789" spans="1:10" s="169" customFormat="1" hidden="1" x14ac:dyDescent="0.25">
      <c r="A8789" s="247"/>
      <c r="B8789" s="245"/>
      <c r="C8789" s="155"/>
      <c r="D8789" s="129"/>
      <c r="E8789" s="130"/>
      <c r="F8789" s="28"/>
      <c r="G8789" s="31"/>
      <c r="H8789" s="32"/>
      <c r="I8789" s="36"/>
      <c r="J8789" s="125">
        <v>0</v>
      </c>
    </row>
    <row r="8790" spans="1:10" s="169" customFormat="1" ht="15.75" hidden="1" thickBot="1" x14ac:dyDescent="0.3">
      <c r="A8790" s="241" t="s">
        <v>19196</v>
      </c>
      <c r="B8790" s="244" t="s">
        <v>22452</v>
      </c>
      <c r="C8790" s="160"/>
      <c r="D8790" s="145" t="s">
        <v>16</v>
      </c>
      <c r="E8790" s="146"/>
      <c r="F8790" s="37" t="s">
        <v>418</v>
      </c>
      <c r="G8790" s="147" t="str">
        <f>IF(ISNUMBER(F8790),E8790*F8790,"")</f>
        <v/>
      </c>
      <c r="H8790" s="148"/>
      <c r="I8790" s="149"/>
      <c r="J8790" s="125">
        <v>0</v>
      </c>
    </row>
    <row r="8791" spans="1:10" s="169" customFormat="1" hidden="1" x14ac:dyDescent="0.25">
      <c r="A8791" s="247"/>
      <c r="B8791" s="245"/>
      <c r="C8791" s="151"/>
      <c r="D8791" s="151"/>
      <c r="E8791" s="152"/>
      <c r="F8791" s="38" t="s">
        <v>418</v>
      </c>
      <c r="G8791" s="31" t="str">
        <f>IF(ISNUMBER(F8791),E8791*F8791,"")</f>
        <v/>
      </c>
      <c r="H8791" s="32"/>
      <c r="I8791" s="28"/>
      <c r="J8791" s="125">
        <v>0</v>
      </c>
    </row>
    <row r="8792" spans="1:10" s="169" customFormat="1" ht="25.5" hidden="1" x14ac:dyDescent="0.25">
      <c r="A8792" s="247"/>
      <c r="B8792" s="245"/>
      <c r="C8792" s="155" t="s">
        <v>26614</v>
      </c>
      <c r="D8792" s="155" t="s">
        <v>205</v>
      </c>
      <c r="E8792" s="130">
        <v>1</v>
      </c>
      <c r="F8792" s="28">
        <v>8.4740000000000002</v>
      </c>
      <c r="G8792" s="31">
        <f>IF(ISNUMBER(F8792),E8792*F8792,"")</f>
        <v>8.4740000000000002</v>
      </c>
      <c r="H8792" s="35">
        <f t="shared" si="85"/>
        <v>8.4740000000000002</v>
      </c>
      <c r="I8792" s="36"/>
      <c r="J8792" s="125">
        <v>0</v>
      </c>
    </row>
    <row r="8793" spans="1:10" s="169" customFormat="1" hidden="1" x14ac:dyDescent="0.25">
      <c r="A8793" s="247"/>
      <c r="B8793" s="245"/>
      <c r="C8793" s="155"/>
      <c r="D8793" s="129"/>
      <c r="E8793" s="130"/>
      <c r="F8793" s="28"/>
      <c r="G8793" s="31"/>
      <c r="H8793" s="32"/>
      <c r="I8793" s="36"/>
      <c r="J8793" s="125">
        <v>0</v>
      </c>
    </row>
    <row r="8794" spans="1:10" s="169" customFormat="1" ht="15.75" hidden="1" thickBot="1" x14ac:dyDescent="0.3">
      <c r="A8794" s="241" t="s">
        <v>19197</v>
      </c>
      <c r="B8794" s="244" t="s">
        <v>22453</v>
      </c>
      <c r="C8794" s="160"/>
      <c r="D8794" s="145" t="s">
        <v>69</v>
      </c>
      <c r="E8794" s="146"/>
      <c r="F8794" s="37" t="s">
        <v>418</v>
      </c>
      <c r="G8794" s="147" t="str">
        <f>IF(ISNUMBER(F8794),E8794*F8794,"")</f>
        <v/>
      </c>
      <c r="H8794" s="148"/>
      <c r="I8794" s="149"/>
      <c r="J8794" s="125">
        <v>0</v>
      </c>
    </row>
    <row r="8795" spans="1:10" s="169" customFormat="1" hidden="1" x14ac:dyDescent="0.25">
      <c r="A8795" s="247"/>
      <c r="B8795" s="245"/>
      <c r="C8795" s="151"/>
      <c r="D8795" s="151"/>
      <c r="E8795" s="152"/>
      <c r="F8795" s="38" t="s">
        <v>418</v>
      </c>
      <c r="G8795" s="31" t="str">
        <f>IF(ISNUMBER(F8795),E8795*F8795,"")</f>
        <v/>
      </c>
      <c r="H8795" s="32"/>
      <c r="I8795" s="28"/>
      <c r="J8795" s="125">
        <v>0</v>
      </c>
    </row>
    <row r="8796" spans="1:10" s="169" customFormat="1" ht="25.5" hidden="1" x14ac:dyDescent="0.25">
      <c r="A8796" s="247"/>
      <c r="B8796" s="245"/>
      <c r="C8796" s="155" t="s">
        <v>10398</v>
      </c>
      <c r="D8796" s="155" t="s">
        <v>385</v>
      </c>
      <c r="E8796" s="130">
        <v>1</v>
      </c>
      <c r="F8796" s="28">
        <v>63.269999999999989</v>
      </c>
      <c r="G8796" s="31">
        <f>IF(ISNUMBER(F8796),E8796*F8796,"")</f>
        <v>63.269999999999989</v>
      </c>
      <c r="H8796" s="35">
        <f t="shared" si="85"/>
        <v>63.269999999999989</v>
      </c>
      <c r="I8796" s="36"/>
      <c r="J8796" s="125">
        <v>0</v>
      </c>
    </row>
    <row r="8797" spans="1:10" s="169" customFormat="1" hidden="1" x14ac:dyDescent="0.25">
      <c r="A8797" s="247"/>
      <c r="B8797" s="245"/>
      <c r="C8797" s="155"/>
      <c r="D8797" s="129"/>
      <c r="E8797" s="130"/>
      <c r="F8797" s="28"/>
      <c r="G8797" s="31"/>
      <c r="H8797" s="32"/>
      <c r="I8797" s="36"/>
      <c r="J8797" s="125">
        <v>0</v>
      </c>
    </row>
    <row r="8798" spans="1:10" s="169" customFormat="1" ht="15.75" hidden="1" thickBot="1" x14ac:dyDescent="0.3">
      <c r="A8798" s="241" t="s">
        <v>19198</v>
      </c>
      <c r="B8798" s="244" t="s">
        <v>22454</v>
      </c>
      <c r="C8798" s="160"/>
      <c r="D8798" s="145" t="s">
        <v>16</v>
      </c>
      <c r="E8798" s="146"/>
      <c r="F8798" s="37" t="s">
        <v>418</v>
      </c>
      <c r="G8798" s="147" t="str">
        <f>IF(ISNUMBER(F8798),E8798*F8798,"")</f>
        <v/>
      </c>
      <c r="H8798" s="148"/>
      <c r="I8798" s="149"/>
      <c r="J8798" s="125">
        <v>0</v>
      </c>
    </row>
    <row r="8799" spans="1:10" s="169" customFormat="1" hidden="1" x14ac:dyDescent="0.25">
      <c r="A8799" s="247"/>
      <c r="B8799" s="245"/>
      <c r="C8799" s="151"/>
      <c r="D8799" s="151"/>
      <c r="E8799" s="152"/>
      <c r="F8799" s="38" t="s">
        <v>418</v>
      </c>
      <c r="G8799" s="31" t="str">
        <f>IF(ISNUMBER(F8799),E8799*F8799,"")</f>
        <v/>
      </c>
      <c r="H8799" s="32"/>
      <c r="I8799" s="28"/>
      <c r="J8799" s="125">
        <v>0</v>
      </c>
    </row>
    <row r="8800" spans="1:10" s="169" customFormat="1" ht="25.5" hidden="1" x14ac:dyDescent="0.25">
      <c r="A8800" s="247"/>
      <c r="B8800" s="245"/>
      <c r="C8800" s="155" t="s">
        <v>24852</v>
      </c>
      <c r="D8800" s="155" t="s">
        <v>205</v>
      </c>
      <c r="E8800" s="130">
        <v>1</v>
      </c>
      <c r="F8800" s="28">
        <v>19.6555</v>
      </c>
      <c r="G8800" s="31">
        <f>IF(ISNUMBER(F8800),E8800*F8800,"")</f>
        <v>19.6555</v>
      </c>
      <c r="H8800" s="35">
        <f t="shared" si="85"/>
        <v>19.6555</v>
      </c>
      <c r="I8800" s="36"/>
      <c r="J8800" s="125">
        <v>0</v>
      </c>
    </row>
    <row r="8801" spans="1:10" s="169" customFormat="1" hidden="1" x14ac:dyDescent="0.25">
      <c r="A8801" s="247"/>
      <c r="B8801" s="245"/>
      <c r="C8801" s="155"/>
      <c r="D8801" s="129"/>
      <c r="E8801" s="130"/>
      <c r="F8801" s="28"/>
      <c r="G8801" s="31"/>
      <c r="H8801" s="32"/>
      <c r="I8801" s="36"/>
      <c r="J8801" s="125">
        <v>0</v>
      </c>
    </row>
    <row r="8802" spans="1:10" s="169" customFormat="1" ht="15.75" hidden="1" thickBot="1" x14ac:dyDescent="0.3">
      <c r="A8802" s="241" t="s">
        <v>19199</v>
      </c>
      <c r="B8802" s="244" t="s">
        <v>22455</v>
      </c>
      <c r="C8802" s="160"/>
      <c r="D8802" s="145" t="s">
        <v>16</v>
      </c>
      <c r="E8802" s="146"/>
      <c r="F8802" s="37" t="s">
        <v>418</v>
      </c>
      <c r="G8802" s="147" t="str">
        <f>IF(ISNUMBER(F8802),E8802*F8802,"")</f>
        <v/>
      </c>
      <c r="H8802" s="148"/>
      <c r="I8802" s="149"/>
      <c r="J8802" s="125">
        <v>0</v>
      </c>
    </row>
    <row r="8803" spans="1:10" s="169" customFormat="1" hidden="1" x14ac:dyDescent="0.25">
      <c r="A8803" s="247"/>
      <c r="B8803" s="245"/>
      <c r="C8803" s="151"/>
      <c r="D8803" s="151"/>
      <c r="E8803" s="152"/>
      <c r="F8803" s="38" t="s">
        <v>418</v>
      </c>
      <c r="G8803" s="31" t="str">
        <f>IF(ISNUMBER(F8803),E8803*F8803,"")</f>
        <v/>
      </c>
      <c r="H8803" s="32"/>
      <c r="I8803" s="28"/>
      <c r="J8803" s="125">
        <v>0</v>
      </c>
    </row>
    <row r="8804" spans="1:10" s="169" customFormat="1" ht="25.5" hidden="1" x14ac:dyDescent="0.25">
      <c r="A8804" s="247"/>
      <c r="B8804" s="245"/>
      <c r="C8804" s="155" t="s">
        <v>1007</v>
      </c>
      <c r="D8804" s="155" t="s">
        <v>205</v>
      </c>
      <c r="E8804" s="130">
        <v>1</v>
      </c>
      <c r="F8804" s="28">
        <v>31.425999999999998</v>
      </c>
      <c r="G8804" s="31">
        <f>IF(ISNUMBER(F8804),E8804*F8804,"")</f>
        <v>31.425999999999998</v>
      </c>
      <c r="H8804" s="35">
        <f t="shared" si="85"/>
        <v>31.425999999999998</v>
      </c>
      <c r="I8804" s="36"/>
      <c r="J8804" s="125">
        <v>0</v>
      </c>
    </row>
    <row r="8805" spans="1:10" s="169" customFormat="1" hidden="1" x14ac:dyDescent="0.25">
      <c r="A8805" s="247"/>
      <c r="B8805" s="245"/>
      <c r="C8805" s="155"/>
      <c r="D8805" s="129"/>
      <c r="E8805" s="130"/>
      <c r="F8805" s="28"/>
      <c r="G8805" s="31"/>
      <c r="H8805" s="32"/>
      <c r="I8805" s="36"/>
      <c r="J8805" s="125">
        <v>0</v>
      </c>
    </row>
    <row r="8806" spans="1:10" s="169" customFormat="1" ht="15.75" hidden="1" thickBot="1" x14ac:dyDescent="0.3">
      <c r="A8806" s="241" t="s">
        <v>19200</v>
      </c>
      <c r="B8806" s="244" t="s">
        <v>22456</v>
      </c>
      <c r="C8806" s="160"/>
      <c r="D8806" s="145" t="s">
        <v>16</v>
      </c>
      <c r="E8806" s="146"/>
      <c r="F8806" s="37" t="s">
        <v>418</v>
      </c>
      <c r="G8806" s="147" t="str">
        <f>IF(ISNUMBER(F8806),E8806*F8806,"")</f>
        <v/>
      </c>
      <c r="H8806" s="148"/>
      <c r="I8806" s="149"/>
      <c r="J8806" s="125">
        <v>0</v>
      </c>
    </row>
    <row r="8807" spans="1:10" s="169" customFormat="1" hidden="1" x14ac:dyDescent="0.25">
      <c r="A8807" s="247"/>
      <c r="B8807" s="245"/>
      <c r="C8807" s="151"/>
      <c r="D8807" s="151"/>
      <c r="E8807" s="152"/>
      <c r="F8807" s="38" t="s">
        <v>418</v>
      </c>
      <c r="G8807" s="31" t="str">
        <f>IF(ISNUMBER(F8807),E8807*F8807,"")</f>
        <v/>
      </c>
      <c r="H8807" s="32"/>
      <c r="I8807" s="28"/>
      <c r="J8807" s="125">
        <v>0</v>
      </c>
    </row>
    <row r="8808" spans="1:10" s="169" customFormat="1" hidden="1" x14ac:dyDescent="0.25">
      <c r="A8808" s="247"/>
      <c r="B8808" s="245"/>
      <c r="C8808" s="155" t="s">
        <v>1004</v>
      </c>
      <c r="D8808" s="155" t="s">
        <v>205</v>
      </c>
      <c r="E8808" s="130">
        <v>1</v>
      </c>
      <c r="F8808" s="28">
        <v>10.9155</v>
      </c>
      <c r="G8808" s="31">
        <f>IF(ISNUMBER(F8808),E8808*F8808,"")</f>
        <v>10.9155</v>
      </c>
      <c r="H8808" s="35">
        <f t="shared" si="85"/>
        <v>10.9155</v>
      </c>
      <c r="I8808" s="36"/>
      <c r="J8808" s="125">
        <v>0</v>
      </c>
    </row>
    <row r="8809" spans="1:10" s="169" customFormat="1" hidden="1" x14ac:dyDescent="0.25">
      <c r="A8809" s="247"/>
      <c r="B8809" s="245"/>
      <c r="C8809" s="155"/>
      <c r="D8809" s="129"/>
      <c r="E8809" s="130"/>
      <c r="F8809" s="28"/>
      <c r="G8809" s="31"/>
      <c r="H8809" s="32"/>
      <c r="I8809" s="36"/>
      <c r="J8809" s="125">
        <v>0</v>
      </c>
    </row>
    <row r="8810" spans="1:10" s="169" customFormat="1" ht="15.75" hidden="1" thickBot="1" x14ac:dyDescent="0.3">
      <c r="A8810" s="241" t="s">
        <v>19201</v>
      </c>
      <c r="B8810" s="244" t="s">
        <v>22457</v>
      </c>
      <c r="C8810" s="160"/>
      <c r="D8810" s="145" t="s">
        <v>16</v>
      </c>
      <c r="E8810" s="146"/>
      <c r="F8810" s="37" t="s">
        <v>418</v>
      </c>
      <c r="G8810" s="147" t="str">
        <f>IF(ISNUMBER(F8810),E8810*F8810,"")</f>
        <v/>
      </c>
      <c r="H8810" s="148"/>
      <c r="I8810" s="149"/>
      <c r="J8810" s="125">
        <v>0</v>
      </c>
    </row>
    <row r="8811" spans="1:10" s="169" customFormat="1" hidden="1" x14ac:dyDescent="0.25">
      <c r="A8811" s="247"/>
      <c r="B8811" s="245"/>
      <c r="C8811" s="151"/>
      <c r="D8811" s="151"/>
      <c r="E8811" s="152"/>
      <c r="F8811" s="38" t="s">
        <v>418</v>
      </c>
      <c r="G8811" s="31" t="str">
        <f>IF(ISNUMBER(F8811),E8811*F8811,"")</f>
        <v/>
      </c>
      <c r="H8811" s="32"/>
      <c r="I8811" s="28"/>
      <c r="J8811" s="125">
        <v>0</v>
      </c>
    </row>
    <row r="8812" spans="1:10" s="169" customFormat="1" hidden="1" x14ac:dyDescent="0.25">
      <c r="A8812" s="247"/>
      <c r="B8812" s="245"/>
      <c r="C8812" s="155" t="s">
        <v>26188</v>
      </c>
      <c r="D8812" s="155" t="s">
        <v>205</v>
      </c>
      <c r="E8812" s="130">
        <v>1</v>
      </c>
      <c r="F8812" s="28">
        <v>12.663499999999999</v>
      </c>
      <c r="G8812" s="31">
        <f>IF(ISNUMBER(F8812),E8812*F8812,"")</f>
        <v>12.663499999999999</v>
      </c>
      <c r="H8812" s="35">
        <f t="shared" si="85"/>
        <v>12.663499999999999</v>
      </c>
      <c r="I8812" s="36"/>
      <c r="J8812" s="125">
        <v>0</v>
      </c>
    </row>
    <row r="8813" spans="1:10" s="169" customFormat="1" hidden="1" x14ac:dyDescent="0.25">
      <c r="A8813" s="247"/>
      <c r="B8813" s="245"/>
      <c r="C8813" s="155"/>
      <c r="D8813" s="129"/>
      <c r="E8813" s="130"/>
      <c r="F8813" s="28"/>
      <c r="G8813" s="31"/>
      <c r="H8813" s="32"/>
      <c r="I8813" s="36"/>
      <c r="J8813" s="125">
        <v>0</v>
      </c>
    </row>
    <row r="8814" spans="1:10" s="169" customFormat="1" ht="15.75" hidden="1" thickBot="1" x14ac:dyDescent="0.3">
      <c r="A8814" s="241" t="s">
        <v>19202</v>
      </c>
      <c r="B8814" s="244" t="s">
        <v>22458</v>
      </c>
      <c r="C8814" s="160"/>
      <c r="D8814" s="145" t="s">
        <v>16</v>
      </c>
      <c r="E8814" s="146"/>
      <c r="F8814" s="37" t="s">
        <v>418</v>
      </c>
      <c r="G8814" s="147" t="str">
        <f>IF(ISNUMBER(F8814),E8814*F8814,"")</f>
        <v/>
      </c>
      <c r="H8814" s="148"/>
      <c r="I8814" s="149"/>
      <c r="J8814" s="125">
        <v>0</v>
      </c>
    </row>
    <row r="8815" spans="1:10" s="169" customFormat="1" hidden="1" x14ac:dyDescent="0.25">
      <c r="A8815" s="247"/>
      <c r="B8815" s="245"/>
      <c r="C8815" s="151"/>
      <c r="D8815" s="151"/>
      <c r="E8815" s="152"/>
      <c r="F8815" s="38" t="s">
        <v>418</v>
      </c>
      <c r="G8815" s="31" t="str">
        <f>IF(ISNUMBER(F8815),E8815*F8815,"")</f>
        <v/>
      </c>
      <c r="H8815" s="32"/>
      <c r="I8815" s="28"/>
      <c r="J8815" s="125">
        <v>0</v>
      </c>
    </row>
    <row r="8816" spans="1:10" s="169" customFormat="1" hidden="1" x14ac:dyDescent="0.25">
      <c r="A8816" s="247"/>
      <c r="B8816" s="245"/>
      <c r="C8816" s="155" t="s">
        <v>24374</v>
      </c>
      <c r="D8816" s="155" t="s">
        <v>205</v>
      </c>
      <c r="E8816" s="130">
        <v>1</v>
      </c>
      <c r="F8816" s="28">
        <v>9.613999999999999</v>
      </c>
      <c r="G8816" s="31">
        <f>IF(ISNUMBER(F8816),E8816*F8816,"")</f>
        <v>9.613999999999999</v>
      </c>
      <c r="H8816" s="35">
        <f t="shared" si="85"/>
        <v>9.613999999999999</v>
      </c>
      <c r="I8816" s="36"/>
      <c r="J8816" s="125">
        <v>0</v>
      </c>
    </row>
    <row r="8817" spans="1:10" s="169" customFormat="1" hidden="1" x14ac:dyDescent="0.25">
      <c r="A8817" s="247"/>
      <c r="B8817" s="245"/>
      <c r="C8817" s="155"/>
      <c r="D8817" s="129"/>
      <c r="E8817" s="130"/>
      <c r="F8817" s="28"/>
      <c r="G8817" s="31"/>
      <c r="H8817" s="32"/>
      <c r="I8817" s="36"/>
      <c r="J8817" s="125">
        <v>0</v>
      </c>
    </row>
    <row r="8818" spans="1:10" s="169" customFormat="1" ht="15.75" hidden="1" thickBot="1" x14ac:dyDescent="0.3">
      <c r="A8818" s="241" t="s">
        <v>19203</v>
      </c>
      <c r="B8818" s="244" t="s">
        <v>22459</v>
      </c>
      <c r="C8818" s="160"/>
      <c r="D8818" s="145" t="s">
        <v>16</v>
      </c>
      <c r="E8818" s="146"/>
      <c r="F8818" s="37" t="s">
        <v>418</v>
      </c>
      <c r="G8818" s="147" t="str">
        <f>IF(ISNUMBER(F8818),E8818*F8818,"")</f>
        <v/>
      </c>
      <c r="H8818" s="148"/>
      <c r="I8818" s="149"/>
      <c r="J8818" s="125">
        <v>0</v>
      </c>
    </row>
    <row r="8819" spans="1:10" s="169" customFormat="1" hidden="1" x14ac:dyDescent="0.25">
      <c r="A8819" s="247"/>
      <c r="B8819" s="245"/>
      <c r="C8819" s="151"/>
      <c r="D8819" s="151"/>
      <c r="E8819" s="152"/>
      <c r="F8819" s="38" t="s">
        <v>418</v>
      </c>
      <c r="G8819" s="31" t="str">
        <f>IF(ISNUMBER(F8819),E8819*F8819,"")</f>
        <v/>
      </c>
      <c r="H8819" s="32"/>
      <c r="I8819" s="28"/>
      <c r="J8819" s="125">
        <v>0</v>
      </c>
    </row>
    <row r="8820" spans="1:10" s="169" customFormat="1" hidden="1" x14ac:dyDescent="0.25">
      <c r="A8820" s="247"/>
      <c r="B8820" s="245"/>
      <c r="C8820" s="155" t="s">
        <v>27518</v>
      </c>
      <c r="D8820" s="155" t="s">
        <v>205</v>
      </c>
      <c r="E8820" s="130">
        <v>1</v>
      </c>
      <c r="F8820" s="28">
        <v>20.405999999999999</v>
      </c>
      <c r="G8820" s="31">
        <f>IF(ISNUMBER(F8820),E8820*F8820,"")</f>
        <v>20.405999999999999</v>
      </c>
      <c r="H8820" s="35">
        <f t="shared" si="85"/>
        <v>20.405999999999999</v>
      </c>
      <c r="I8820" s="36"/>
      <c r="J8820" s="125">
        <v>0</v>
      </c>
    </row>
    <row r="8821" spans="1:10" s="169" customFormat="1" hidden="1" x14ac:dyDescent="0.25">
      <c r="A8821" s="247"/>
      <c r="B8821" s="245"/>
      <c r="C8821" s="155"/>
      <c r="D8821" s="129"/>
      <c r="E8821" s="130"/>
      <c r="F8821" s="28"/>
      <c r="G8821" s="31"/>
      <c r="H8821" s="32"/>
      <c r="I8821" s="36"/>
      <c r="J8821" s="125">
        <v>0</v>
      </c>
    </row>
    <row r="8822" spans="1:10" s="169" customFormat="1" ht="15.75" hidden="1" thickBot="1" x14ac:dyDescent="0.3">
      <c r="A8822" s="241" t="s">
        <v>19204</v>
      </c>
      <c r="B8822" s="244" t="s">
        <v>22460</v>
      </c>
      <c r="C8822" s="160"/>
      <c r="D8822" s="145" t="s">
        <v>16</v>
      </c>
      <c r="E8822" s="146"/>
      <c r="F8822" s="37" t="s">
        <v>418</v>
      </c>
      <c r="G8822" s="147" t="str">
        <f>IF(ISNUMBER(F8822),E8822*F8822,"")</f>
        <v/>
      </c>
      <c r="H8822" s="148"/>
      <c r="I8822" s="149"/>
      <c r="J8822" s="125">
        <v>0</v>
      </c>
    </row>
    <row r="8823" spans="1:10" s="169" customFormat="1" hidden="1" x14ac:dyDescent="0.25">
      <c r="A8823" s="247"/>
      <c r="B8823" s="245"/>
      <c r="C8823" s="151"/>
      <c r="D8823" s="151"/>
      <c r="E8823" s="152"/>
      <c r="F8823" s="38" t="s">
        <v>418</v>
      </c>
      <c r="G8823" s="31" t="str">
        <f>IF(ISNUMBER(F8823),E8823*F8823,"")</f>
        <v/>
      </c>
      <c r="H8823" s="32"/>
      <c r="I8823" s="28"/>
      <c r="J8823" s="125">
        <v>0</v>
      </c>
    </row>
    <row r="8824" spans="1:10" s="169" customFormat="1" hidden="1" x14ac:dyDescent="0.25">
      <c r="A8824" s="247"/>
      <c r="B8824" s="245"/>
      <c r="C8824" s="155" t="s">
        <v>26948</v>
      </c>
      <c r="D8824" s="155" t="s">
        <v>205</v>
      </c>
      <c r="E8824" s="130">
        <v>1</v>
      </c>
      <c r="F8824" s="28">
        <v>7.3149999999999995</v>
      </c>
      <c r="G8824" s="31">
        <f>IF(ISNUMBER(F8824),E8824*F8824,"")</f>
        <v>7.3149999999999995</v>
      </c>
      <c r="H8824" s="35">
        <f t="shared" si="85"/>
        <v>7.3149999999999995</v>
      </c>
      <c r="I8824" s="36"/>
      <c r="J8824" s="125">
        <v>0</v>
      </c>
    </row>
    <row r="8825" spans="1:10" s="169" customFormat="1" hidden="1" x14ac:dyDescent="0.25">
      <c r="A8825" s="247"/>
      <c r="B8825" s="245"/>
      <c r="C8825" s="155"/>
      <c r="D8825" s="129"/>
      <c r="E8825" s="130"/>
      <c r="F8825" s="28"/>
      <c r="G8825" s="31"/>
      <c r="H8825" s="32"/>
      <c r="I8825" s="36"/>
      <c r="J8825" s="125">
        <v>0</v>
      </c>
    </row>
    <row r="8826" spans="1:10" s="169" customFormat="1" ht="15.75" hidden="1" thickBot="1" x14ac:dyDescent="0.3">
      <c r="A8826" s="241" t="s">
        <v>19206</v>
      </c>
      <c r="B8826" s="244" t="s">
        <v>22462</v>
      </c>
      <c r="C8826" s="160"/>
      <c r="D8826" s="145" t="s">
        <v>16</v>
      </c>
      <c r="E8826" s="146"/>
      <c r="F8826" s="37" t="s">
        <v>418</v>
      </c>
      <c r="G8826" s="147" t="str">
        <f>IF(ISNUMBER(F8826),E8826*F8826,"")</f>
        <v/>
      </c>
      <c r="H8826" s="148"/>
      <c r="I8826" s="149"/>
      <c r="J8826" s="125">
        <v>0</v>
      </c>
    </row>
    <row r="8827" spans="1:10" s="169" customFormat="1" hidden="1" x14ac:dyDescent="0.25">
      <c r="A8827" s="247"/>
      <c r="B8827" s="245"/>
      <c r="C8827" s="151"/>
      <c r="D8827" s="151"/>
      <c r="E8827" s="152"/>
      <c r="F8827" s="38" t="s">
        <v>418</v>
      </c>
      <c r="G8827" s="31" t="str">
        <f>IF(ISNUMBER(F8827),E8827*F8827,"")</f>
        <v/>
      </c>
      <c r="H8827" s="32"/>
      <c r="I8827" s="28"/>
      <c r="J8827" s="125">
        <v>0</v>
      </c>
    </row>
    <row r="8828" spans="1:10" s="169" customFormat="1" ht="25.5" hidden="1" x14ac:dyDescent="0.25">
      <c r="A8828" s="247"/>
      <c r="B8828" s="245"/>
      <c r="C8828" s="155" t="s">
        <v>23979</v>
      </c>
      <c r="D8828" s="155" t="s">
        <v>205</v>
      </c>
      <c r="E8828" s="130">
        <v>1</v>
      </c>
      <c r="F8828" s="28">
        <v>9.4524999999999988</v>
      </c>
      <c r="G8828" s="31">
        <f>IF(ISNUMBER(F8828),E8828*F8828,"")</f>
        <v>9.4524999999999988</v>
      </c>
      <c r="H8828" s="35">
        <f t="shared" si="85"/>
        <v>9.4524999999999988</v>
      </c>
      <c r="I8828" s="36"/>
      <c r="J8828" s="125">
        <v>0</v>
      </c>
    </row>
    <row r="8829" spans="1:10" s="169" customFormat="1" hidden="1" x14ac:dyDescent="0.25">
      <c r="A8829" s="247"/>
      <c r="B8829" s="245"/>
      <c r="C8829" s="155"/>
      <c r="D8829" s="129"/>
      <c r="E8829" s="130"/>
      <c r="F8829" s="28"/>
      <c r="G8829" s="31"/>
      <c r="H8829" s="32"/>
      <c r="I8829" s="36"/>
      <c r="J8829" s="125">
        <v>0</v>
      </c>
    </row>
    <row r="8830" spans="1:10" s="169" customFormat="1" ht="15.75" hidden="1" thickBot="1" x14ac:dyDescent="0.3">
      <c r="A8830" s="241" t="s">
        <v>19207</v>
      </c>
      <c r="B8830" s="244" t="s">
        <v>22463</v>
      </c>
      <c r="C8830" s="160"/>
      <c r="D8830" s="145" t="s">
        <v>16</v>
      </c>
      <c r="E8830" s="146"/>
      <c r="F8830" s="37" t="s">
        <v>418</v>
      </c>
      <c r="G8830" s="147" t="str">
        <f>IF(ISNUMBER(F8830),E8830*F8830,"")</f>
        <v/>
      </c>
      <c r="H8830" s="148"/>
      <c r="I8830" s="149"/>
      <c r="J8830" s="125">
        <v>0</v>
      </c>
    </row>
    <row r="8831" spans="1:10" s="169" customFormat="1" hidden="1" x14ac:dyDescent="0.25">
      <c r="A8831" s="247"/>
      <c r="B8831" s="245"/>
      <c r="C8831" s="151"/>
      <c r="D8831" s="151"/>
      <c r="E8831" s="152"/>
      <c r="F8831" s="38" t="s">
        <v>418</v>
      </c>
      <c r="G8831" s="31" t="str">
        <f>IF(ISNUMBER(F8831),E8831*F8831,"")</f>
        <v/>
      </c>
      <c r="H8831" s="32"/>
      <c r="I8831" s="28"/>
      <c r="J8831" s="125">
        <v>0</v>
      </c>
    </row>
    <row r="8832" spans="1:10" s="169" customFormat="1" ht="25.5" hidden="1" x14ac:dyDescent="0.25">
      <c r="A8832" s="247"/>
      <c r="B8832" s="245"/>
      <c r="C8832" s="155" t="s">
        <v>26212</v>
      </c>
      <c r="D8832" s="155" t="s">
        <v>205</v>
      </c>
      <c r="E8832" s="130">
        <v>1</v>
      </c>
      <c r="F8832" s="28">
        <v>12.7585</v>
      </c>
      <c r="G8832" s="31">
        <f>IF(ISNUMBER(F8832),E8832*F8832,"")</f>
        <v>12.7585</v>
      </c>
      <c r="H8832" s="35">
        <f t="shared" si="85"/>
        <v>12.7585</v>
      </c>
      <c r="I8832" s="36"/>
      <c r="J8832" s="125">
        <v>0</v>
      </c>
    </row>
    <row r="8833" spans="1:10" s="169" customFormat="1" hidden="1" x14ac:dyDescent="0.25">
      <c r="A8833" s="247"/>
      <c r="B8833" s="245"/>
      <c r="C8833" s="155"/>
      <c r="D8833" s="129"/>
      <c r="E8833" s="130"/>
      <c r="F8833" s="28"/>
      <c r="G8833" s="31"/>
      <c r="H8833" s="32"/>
      <c r="I8833" s="36"/>
      <c r="J8833" s="125">
        <v>0</v>
      </c>
    </row>
    <row r="8834" spans="1:10" s="169" customFormat="1" ht="15.75" hidden="1" thickBot="1" x14ac:dyDescent="0.3">
      <c r="A8834" s="241" t="s">
        <v>19208</v>
      </c>
      <c r="B8834" s="244" t="s">
        <v>22464</v>
      </c>
      <c r="C8834" s="160"/>
      <c r="D8834" s="145" t="s">
        <v>16</v>
      </c>
      <c r="E8834" s="146"/>
      <c r="F8834" s="37" t="s">
        <v>418</v>
      </c>
      <c r="G8834" s="147" t="str">
        <f>IF(ISNUMBER(F8834),E8834*F8834,"")</f>
        <v/>
      </c>
      <c r="H8834" s="148"/>
      <c r="I8834" s="149"/>
      <c r="J8834" s="125">
        <v>0</v>
      </c>
    </row>
    <row r="8835" spans="1:10" s="169" customFormat="1" hidden="1" x14ac:dyDescent="0.25">
      <c r="A8835" s="247"/>
      <c r="B8835" s="245"/>
      <c r="C8835" s="151"/>
      <c r="D8835" s="151"/>
      <c r="E8835" s="152"/>
      <c r="F8835" s="38" t="s">
        <v>418</v>
      </c>
      <c r="G8835" s="31" t="str">
        <f>IF(ISNUMBER(F8835),E8835*F8835,"")</f>
        <v/>
      </c>
      <c r="H8835" s="32"/>
      <c r="I8835" s="28"/>
      <c r="J8835" s="125">
        <v>0</v>
      </c>
    </row>
    <row r="8836" spans="1:10" s="169" customFormat="1" ht="25.5" hidden="1" x14ac:dyDescent="0.25">
      <c r="A8836" s="247"/>
      <c r="B8836" s="245"/>
      <c r="C8836" s="155" t="s">
        <v>26609</v>
      </c>
      <c r="D8836" s="155" t="s">
        <v>205</v>
      </c>
      <c r="E8836" s="130">
        <v>1</v>
      </c>
      <c r="F8836" s="28">
        <v>13.2905</v>
      </c>
      <c r="G8836" s="31">
        <f>IF(ISNUMBER(F8836),E8836*F8836,"")</f>
        <v>13.2905</v>
      </c>
      <c r="H8836" s="35">
        <f t="shared" si="85"/>
        <v>13.2905</v>
      </c>
      <c r="I8836" s="36"/>
      <c r="J8836" s="125">
        <v>0</v>
      </c>
    </row>
    <row r="8837" spans="1:10" s="169" customFormat="1" hidden="1" x14ac:dyDescent="0.25">
      <c r="A8837" s="247"/>
      <c r="B8837" s="245"/>
      <c r="C8837" s="155"/>
      <c r="D8837" s="129"/>
      <c r="E8837" s="130"/>
      <c r="F8837" s="28"/>
      <c r="G8837" s="31"/>
      <c r="H8837" s="32"/>
      <c r="I8837" s="36"/>
      <c r="J8837" s="125">
        <v>0</v>
      </c>
    </row>
    <row r="8838" spans="1:10" s="169" customFormat="1" ht="15.75" hidden="1" thickBot="1" x14ac:dyDescent="0.3">
      <c r="A8838" s="241" t="s">
        <v>19209</v>
      </c>
      <c r="B8838" s="244" t="s">
        <v>22465</v>
      </c>
      <c r="C8838" s="160"/>
      <c r="D8838" s="145" t="s">
        <v>69</v>
      </c>
      <c r="E8838" s="146"/>
      <c r="F8838" s="37" t="s">
        <v>418</v>
      </c>
      <c r="G8838" s="147" t="str">
        <f>IF(ISNUMBER(F8838),E8838*F8838,"")</f>
        <v/>
      </c>
      <c r="H8838" s="148"/>
      <c r="I8838" s="149"/>
      <c r="J8838" s="125">
        <v>0</v>
      </c>
    </row>
    <row r="8839" spans="1:10" s="169" customFormat="1" hidden="1" x14ac:dyDescent="0.25">
      <c r="A8839" s="247"/>
      <c r="B8839" s="245"/>
      <c r="C8839" s="151"/>
      <c r="D8839" s="151"/>
      <c r="E8839" s="152"/>
      <c r="F8839" s="38" t="s">
        <v>418</v>
      </c>
      <c r="G8839" s="31" t="str">
        <f>IF(ISNUMBER(F8839),E8839*F8839,"")</f>
        <v/>
      </c>
      <c r="H8839" s="32"/>
      <c r="I8839" s="28"/>
      <c r="J8839" s="125">
        <v>0</v>
      </c>
    </row>
    <row r="8840" spans="1:10" s="169" customFormat="1" ht="25.5" hidden="1" x14ac:dyDescent="0.25">
      <c r="A8840" s="247"/>
      <c r="B8840" s="245"/>
      <c r="C8840" s="155" t="s">
        <v>10397</v>
      </c>
      <c r="D8840" s="155" t="s">
        <v>385</v>
      </c>
      <c r="E8840" s="130">
        <v>1</v>
      </c>
      <c r="F8840" s="28">
        <v>84.787499999999994</v>
      </c>
      <c r="G8840" s="31">
        <f>IF(ISNUMBER(F8840),E8840*F8840,"")</f>
        <v>84.787499999999994</v>
      </c>
      <c r="H8840" s="35">
        <f t="shared" si="85"/>
        <v>84.787499999999994</v>
      </c>
      <c r="I8840" s="36"/>
      <c r="J8840" s="125">
        <v>0</v>
      </c>
    </row>
    <row r="8841" spans="1:10" s="169" customFormat="1" hidden="1" x14ac:dyDescent="0.25">
      <c r="A8841" s="247"/>
      <c r="B8841" s="245"/>
      <c r="C8841" s="155"/>
      <c r="D8841" s="129"/>
      <c r="E8841" s="130"/>
      <c r="F8841" s="28"/>
      <c r="G8841" s="31"/>
      <c r="H8841" s="32"/>
      <c r="I8841" s="36"/>
      <c r="J8841" s="125">
        <v>0</v>
      </c>
    </row>
    <row r="8842" spans="1:10" s="169" customFormat="1" ht="15.75" hidden="1" thickBot="1" x14ac:dyDescent="0.3">
      <c r="A8842" s="241" t="s">
        <v>19210</v>
      </c>
      <c r="B8842" s="244" t="s">
        <v>22466</v>
      </c>
      <c r="C8842" s="160"/>
      <c r="D8842" s="145" t="s">
        <v>16</v>
      </c>
      <c r="E8842" s="146"/>
      <c r="F8842" s="37" t="s">
        <v>418</v>
      </c>
      <c r="G8842" s="147" t="str">
        <f>IF(ISNUMBER(F8842),E8842*F8842,"")</f>
        <v/>
      </c>
      <c r="H8842" s="148"/>
      <c r="I8842" s="149"/>
      <c r="J8842" s="125">
        <v>0</v>
      </c>
    </row>
    <row r="8843" spans="1:10" s="169" customFormat="1" hidden="1" x14ac:dyDescent="0.25">
      <c r="A8843" s="247"/>
      <c r="B8843" s="245"/>
      <c r="C8843" s="151"/>
      <c r="D8843" s="151"/>
      <c r="E8843" s="152"/>
      <c r="F8843" s="38" t="s">
        <v>418</v>
      </c>
      <c r="G8843" s="31" t="str">
        <f>IF(ISNUMBER(F8843),E8843*F8843,"")</f>
        <v/>
      </c>
      <c r="H8843" s="32"/>
      <c r="I8843" s="28"/>
      <c r="J8843" s="125">
        <v>0</v>
      </c>
    </row>
    <row r="8844" spans="1:10" s="169" customFormat="1" ht="25.5" hidden="1" x14ac:dyDescent="0.25">
      <c r="A8844" s="247"/>
      <c r="B8844" s="245"/>
      <c r="C8844" s="155" t="s">
        <v>24850</v>
      </c>
      <c r="D8844" s="155" t="s">
        <v>205</v>
      </c>
      <c r="E8844" s="130">
        <v>1</v>
      </c>
      <c r="F8844" s="28">
        <v>31.596999999999998</v>
      </c>
      <c r="G8844" s="31">
        <f>IF(ISNUMBER(F8844),E8844*F8844,"")</f>
        <v>31.596999999999998</v>
      </c>
      <c r="H8844" s="35">
        <f t="shared" ref="H8844:H8900" si="86">SUM(G8844:G8844)</f>
        <v>31.596999999999998</v>
      </c>
      <c r="I8844" s="36"/>
      <c r="J8844" s="125">
        <v>0</v>
      </c>
    </row>
    <row r="8845" spans="1:10" s="169" customFormat="1" hidden="1" x14ac:dyDescent="0.25">
      <c r="A8845" s="247"/>
      <c r="B8845" s="245"/>
      <c r="C8845" s="155"/>
      <c r="D8845" s="129"/>
      <c r="E8845" s="130"/>
      <c r="F8845" s="28"/>
      <c r="G8845" s="31"/>
      <c r="H8845" s="32"/>
      <c r="I8845" s="36"/>
      <c r="J8845" s="125">
        <v>0</v>
      </c>
    </row>
    <row r="8846" spans="1:10" s="169" customFormat="1" ht="15.75" hidden="1" thickBot="1" x14ac:dyDescent="0.3">
      <c r="A8846" s="241" t="s">
        <v>19211</v>
      </c>
      <c r="B8846" s="244" t="s">
        <v>22467</v>
      </c>
      <c r="C8846" s="160"/>
      <c r="D8846" s="145" t="s">
        <v>16</v>
      </c>
      <c r="E8846" s="146"/>
      <c r="F8846" s="37" t="s">
        <v>418</v>
      </c>
      <c r="G8846" s="147" t="str">
        <f>IF(ISNUMBER(F8846),E8846*F8846,"")</f>
        <v/>
      </c>
      <c r="H8846" s="148"/>
      <c r="I8846" s="149"/>
      <c r="J8846" s="125">
        <v>0</v>
      </c>
    </row>
    <row r="8847" spans="1:10" s="169" customFormat="1" hidden="1" x14ac:dyDescent="0.25">
      <c r="A8847" s="247"/>
      <c r="B8847" s="245"/>
      <c r="C8847" s="151"/>
      <c r="D8847" s="151"/>
      <c r="E8847" s="152"/>
      <c r="F8847" s="38" t="s">
        <v>418</v>
      </c>
      <c r="G8847" s="31" t="str">
        <f>IF(ISNUMBER(F8847),E8847*F8847,"")</f>
        <v/>
      </c>
      <c r="H8847" s="32"/>
      <c r="I8847" s="28"/>
      <c r="J8847" s="125">
        <v>0</v>
      </c>
    </row>
    <row r="8848" spans="1:10" s="169" customFormat="1" ht="25.5" hidden="1" x14ac:dyDescent="0.25">
      <c r="A8848" s="247"/>
      <c r="B8848" s="245"/>
      <c r="C8848" s="155" t="s">
        <v>28305</v>
      </c>
      <c r="D8848" s="155" t="s">
        <v>205</v>
      </c>
      <c r="E8848" s="130">
        <v>1</v>
      </c>
      <c r="F8848" s="28">
        <v>52.573</v>
      </c>
      <c r="G8848" s="31">
        <f>IF(ISNUMBER(F8848),E8848*F8848,"")</f>
        <v>52.573</v>
      </c>
      <c r="H8848" s="35">
        <f t="shared" si="86"/>
        <v>52.573</v>
      </c>
      <c r="I8848" s="36"/>
      <c r="J8848" s="125">
        <v>0</v>
      </c>
    </row>
    <row r="8849" spans="1:10" s="169" customFormat="1" hidden="1" x14ac:dyDescent="0.25">
      <c r="A8849" s="247"/>
      <c r="B8849" s="245"/>
      <c r="C8849" s="155"/>
      <c r="D8849" s="129"/>
      <c r="E8849" s="130"/>
      <c r="F8849" s="28"/>
      <c r="G8849" s="31"/>
      <c r="H8849" s="32"/>
      <c r="I8849" s="36"/>
      <c r="J8849" s="125">
        <v>0</v>
      </c>
    </row>
    <row r="8850" spans="1:10" s="169" customFormat="1" ht="15.75" hidden="1" thickBot="1" x14ac:dyDescent="0.3">
      <c r="A8850" s="241" t="s">
        <v>19212</v>
      </c>
      <c r="B8850" s="244" t="s">
        <v>22468</v>
      </c>
      <c r="C8850" s="160"/>
      <c r="D8850" s="145" t="s">
        <v>16</v>
      </c>
      <c r="E8850" s="146"/>
      <c r="F8850" s="37" t="s">
        <v>418</v>
      </c>
      <c r="G8850" s="147" t="str">
        <f>IF(ISNUMBER(F8850),E8850*F8850,"")</f>
        <v/>
      </c>
      <c r="H8850" s="148"/>
      <c r="I8850" s="149"/>
      <c r="J8850" s="125">
        <v>0</v>
      </c>
    </row>
    <row r="8851" spans="1:10" s="169" customFormat="1" hidden="1" x14ac:dyDescent="0.25">
      <c r="A8851" s="247"/>
      <c r="B8851" s="245"/>
      <c r="C8851" s="151"/>
      <c r="D8851" s="151"/>
      <c r="E8851" s="152"/>
      <c r="F8851" s="38" t="s">
        <v>418</v>
      </c>
      <c r="G8851" s="31" t="str">
        <f>IF(ISNUMBER(F8851),E8851*F8851,"")</f>
        <v/>
      </c>
      <c r="H8851" s="32"/>
      <c r="I8851" s="28"/>
      <c r="J8851" s="125">
        <v>0</v>
      </c>
    </row>
    <row r="8852" spans="1:10" s="169" customFormat="1" hidden="1" x14ac:dyDescent="0.25">
      <c r="A8852" s="247"/>
      <c r="B8852" s="245"/>
      <c r="C8852" s="155" t="s">
        <v>26590</v>
      </c>
      <c r="D8852" s="155" t="s">
        <v>205</v>
      </c>
      <c r="E8852" s="130">
        <v>1</v>
      </c>
      <c r="F8852" s="28">
        <v>16.074000000000002</v>
      </c>
      <c r="G8852" s="31">
        <f>IF(ISNUMBER(F8852),E8852*F8852,"")</f>
        <v>16.074000000000002</v>
      </c>
      <c r="H8852" s="35">
        <f t="shared" si="86"/>
        <v>16.074000000000002</v>
      </c>
      <c r="I8852" s="36"/>
      <c r="J8852" s="125">
        <v>0</v>
      </c>
    </row>
    <row r="8853" spans="1:10" s="169" customFormat="1" hidden="1" x14ac:dyDescent="0.25">
      <c r="A8853" s="247"/>
      <c r="B8853" s="245"/>
      <c r="C8853" s="155"/>
      <c r="D8853" s="129"/>
      <c r="E8853" s="130"/>
      <c r="F8853" s="28"/>
      <c r="G8853" s="31"/>
      <c r="H8853" s="32"/>
      <c r="I8853" s="36"/>
      <c r="J8853" s="125">
        <v>0</v>
      </c>
    </row>
    <row r="8854" spans="1:10" s="169" customFormat="1" ht="15.75" hidden="1" thickBot="1" x14ac:dyDescent="0.3">
      <c r="A8854" s="241" t="s">
        <v>19213</v>
      </c>
      <c r="B8854" s="244" t="s">
        <v>22469</v>
      </c>
      <c r="C8854" s="160"/>
      <c r="D8854" s="145" t="s">
        <v>16</v>
      </c>
      <c r="E8854" s="146"/>
      <c r="F8854" s="37" t="s">
        <v>418</v>
      </c>
      <c r="G8854" s="147" t="str">
        <f>IF(ISNUMBER(F8854),E8854*F8854,"")</f>
        <v/>
      </c>
      <c r="H8854" s="148"/>
      <c r="I8854" s="149"/>
      <c r="J8854" s="125">
        <v>0</v>
      </c>
    </row>
    <row r="8855" spans="1:10" s="169" customFormat="1" hidden="1" x14ac:dyDescent="0.25">
      <c r="A8855" s="247"/>
      <c r="B8855" s="245"/>
      <c r="C8855" s="151"/>
      <c r="D8855" s="151"/>
      <c r="E8855" s="152"/>
      <c r="F8855" s="38" t="s">
        <v>418</v>
      </c>
      <c r="G8855" s="31" t="str">
        <f>IF(ISNUMBER(F8855),E8855*F8855,"")</f>
        <v/>
      </c>
      <c r="H8855" s="32"/>
      <c r="I8855" s="28"/>
      <c r="J8855" s="125">
        <v>0</v>
      </c>
    </row>
    <row r="8856" spans="1:10" s="169" customFormat="1" hidden="1" x14ac:dyDescent="0.25">
      <c r="A8856" s="247"/>
      <c r="B8856" s="245"/>
      <c r="C8856" s="155" t="s">
        <v>26186</v>
      </c>
      <c r="D8856" s="155" t="s">
        <v>205</v>
      </c>
      <c r="E8856" s="130">
        <v>1</v>
      </c>
      <c r="F8856" s="28">
        <v>17.698499999999999</v>
      </c>
      <c r="G8856" s="31">
        <f>IF(ISNUMBER(F8856),E8856*F8856,"")</f>
        <v>17.698499999999999</v>
      </c>
      <c r="H8856" s="35">
        <f t="shared" si="86"/>
        <v>17.698499999999999</v>
      </c>
      <c r="I8856" s="36"/>
      <c r="J8856" s="125">
        <v>0</v>
      </c>
    </row>
    <row r="8857" spans="1:10" s="169" customFormat="1" hidden="1" x14ac:dyDescent="0.25">
      <c r="A8857" s="247"/>
      <c r="B8857" s="245"/>
      <c r="C8857" s="155"/>
      <c r="D8857" s="129"/>
      <c r="E8857" s="130"/>
      <c r="F8857" s="28"/>
      <c r="G8857" s="31"/>
      <c r="H8857" s="32"/>
      <c r="I8857" s="36"/>
      <c r="J8857" s="125">
        <v>0</v>
      </c>
    </row>
    <row r="8858" spans="1:10" s="169" customFormat="1" ht="15.75" hidden="1" thickBot="1" x14ac:dyDescent="0.3">
      <c r="A8858" s="241" t="s">
        <v>19214</v>
      </c>
      <c r="B8858" s="244" t="s">
        <v>22470</v>
      </c>
      <c r="C8858" s="160"/>
      <c r="D8858" s="145" t="s">
        <v>16</v>
      </c>
      <c r="E8858" s="146"/>
      <c r="F8858" s="37" t="s">
        <v>418</v>
      </c>
      <c r="G8858" s="147" t="str">
        <f>IF(ISNUMBER(F8858),E8858*F8858,"")</f>
        <v/>
      </c>
      <c r="H8858" s="148"/>
      <c r="I8858" s="149"/>
      <c r="J8858" s="125">
        <v>0</v>
      </c>
    </row>
    <row r="8859" spans="1:10" s="169" customFormat="1" hidden="1" x14ac:dyDescent="0.25">
      <c r="A8859" s="247"/>
      <c r="B8859" s="245"/>
      <c r="C8859" s="151"/>
      <c r="D8859" s="151"/>
      <c r="E8859" s="152"/>
      <c r="F8859" s="38" t="s">
        <v>418</v>
      </c>
      <c r="G8859" s="31" t="str">
        <f>IF(ISNUMBER(F8859),E8859*F8859,"")</f>
        <v/>
      </c>
      <c r="H8859" s="32"/>
      <c r="I8859" s="28"/>
      <c r="J8859" s="125">
        <v>0</v>
      </c>
    </row>
    <row r="8860" spans="1:10" s="169" customFormat="1" ht="25.5" hidden="1" x14ac:dyDescent="0.25">
      <c r="A8860" s="247"/>
      <c r="B8860" s="245"/>
      <c r="C8860" s="155" t="s">
        <v>24371</v>
      </c>
      <c r="D8860" s="155" t="s">
        <v>205</v>
      </c>
      <c r="E8860" s="130">
        <v>1</v>
      </c>
      <c r="F8860" s="28">
        <v>14.677499999999998</v>
      </c>
      <c r="G8860" s="31">
        <f>IF(ISNUMBER(F8860),E8860*F8860,"")</f>
        <v>14.677499999999998</v>
      </c>
      <c r="H8860" s="35">
        <f t="shared" si="86"/>
        <v>14.677499999999998</v>
      </c>
      <c r="I8860" s="36"/>
      <c r="J8860" s="125">
        <v>0</v>
      </c>
    </row>
    <row r="8861" spans="1:10" s="169" customFormat="1" hidden="1" x14ac:dyDescent="0.25">
      <c r="A8861" s="247"/>
      <c r="B8861" s="245"/>
      <c r="C8861" s="155"/>
      <c r="D8861" s="129"/>
      <c r="E8861" s="130"/>
      <c r="F8861" s="28"/>
      <c r="G8861" s="31"/>
      <c r="H8861" s="32"/>
      <c r="I8861" s="36"/>
      <c r="J8861" s="125">
        <v>0</v>
      </c>
    </row>
    <row r="8862" spans="1:10" s="169" customFormat="1" ht="15.75" hidden="1" thickBot="1" x14ac:dyDescent="0.3">
      <c r="A8862" s="241" t="s">
        <v>19215</v>
      </c>
      <c r="B8862" s="244" t="s">
        <v>22471</v>
      </c>
      <c r="C8862" s="160"/>
      <c r="D8862" s="145" t="s">
        <v>16</v>
      </c>
      <c r="E8862" s="146"/>
      <c r="F8862" s="37" t="s">
        <v>418</v>
      </c>
      <c r="G8862" s="147" t="str">
        <f>IF(ISNUMBER(F8862),E8862*F8862,"")</f>
        <v/>
      </c>
      <c r="H8862" s="148"/>
      <c r="I8862" s="149"/>
      <c r="J8862" s="125">
        <v>0</v>
      </c>
    </row>
    <row r="8863" spans="1:10" s="169" customFormat="1" hidden="1" x14ac:dyDescent="0.25">
      <c r="A8863" s="247"/>
      <c r="B8863" s="245"/>
      <c r="C8863" s="151"/>
      <c r="D8863" s="151"/>
      <c r="E8863" s="152"/>
      <c r="F8863" s="38" t="s">
        <v>418</v>
      </c>
      <c r="G8863" s="31" t="str">
        <f>IF(ISNUMBER(F8863),E8863*F8863,"")</f>
        <v/>
      </c>
      <c r="H8863" s="32"/>
      <c r="I8863" s="28"/>
      <c r="J8863" s="125">
        <v>0</v>
      </c>
    </row>
    <row r="8864" spans="1:10" s="169" customFormat="1" hidden="1" x14ac:dyDescent="0.25">
      <c r="A8864" s="247"/>
      <c r="B8864" s="245"/>
      <c r="C8864" s="155" t="s">
        <v>27516</v>
      </c>
      <c r="D8864" s="155" t="s">
        <v>205</v>
      </c>
      <c r="E8864" s="130">
        <v>1</v>
      </c>
      <c r="F8864" s="28">
        <v>31.226499999999994</v>
      </c>
      <c r="G8864" s="31">
        <f>IF(ISNUMBER(F8864),E8864*F8864,"")</f>
        <v>31.226499999999994</v>
      </c>
      <c r="H8864" s="35">
        <f t="shared" si="86"/>
        <v>31.226499999999994</v>
      </c>
      <c r="I8864" s="36"/>
      <c r="J8864" s="125">
        <v>0</v>
      </c>
    </row>
    <row r="8865" spans="1:10" s="169" customFormat="1" hidden="1" x14ac:dyDescent="0.25">
      <c r="A8865" s="247"/>
      <c r="B8865" s="245"/>
      <c r="C8865" s="155"/>
      <c r="D8865" s="129"/>
      <c r="E8865" s="130"/>
      <c r="F8865" s="28"/>
      <c r="G8865" s="31"/>
      <c r="H8865" s="32"/>
      <c r="I8865" s="36"/>
      <c r="J8865" s="125">
        <v>0</v>
      </c>
    </row>
    <row r="8866" spans="1:10" s="169" customFormat="1" ht="15.75" hidden="1" thickBot="1" x14ac:dyDescent="0.3">
      <c r="A8866" s="241" t="s">
        <v>19216</v>
      </c>
      <c r="B8866" s="244" t="s">
        <v>22472</v>
      </c>
      <c r="C8866" s="160"/>
      <c r="D8866" s="145" t="s">
        <v>16</v>
      </c>
      <c r="E8866" s="146"/>
      <c r="F8866" s="37" t="s">
        <v>418</v>
      </c>
      <c r="G8866" s="147" t="str">
        <f>IF(ISNUMBER(F8866),E8866*F8866,"")</f>
        <v/>
      </c>
      <c r="H8866" s="148"/>
      <c r="I8866" s="149"/>
      <c r="J8866" s="125">
        <v>0</v>
      </c>
    </row>
    <row r="8867" spans="1:10" s="169" customFormat="1" hidden="1" x14ac:dyDescent="0.25">
      <c r="A8867" s="247"/>
      <c r="B8867" s="245"/>
      <c r="C8867" s="151"/>
      <c r="D8867" s="151"/>
      <c r="E8867" s="152"/>
      <c r="F8867" s="38" t="s">
        <v>418</v>
      </c>
      <c r="G8867" s="31" t="str">
        <f>IF(ISNUMBER(F8867),E8867*F8867,"")</f>
        <v/>
      </c>
      <c r="H8867" s="32"/>
      <c r="I8867" s="28"/>
      <c r="J8867" s="125">
        <v>0</v>
      </c>
    </row>
    <row r="8868" spans="1:10" s="169" customFormat="1" hidden="1" x14ac:dyDescent="0.25">
      <c r="A8868" s="247"/>
      <c r="B8868" s="245"/>
      <c r="C8868" s="155" t="s">
        <v>26947</v>
      </c>
      <c r="D8868" s="155" t="s">
        <v>205</v>
      </c>
      <c r="E8868" s="130">
        <v>1</v>
      </c>
      <c r="F8868" s="28">
        <v>11.4285</v>
      </c>
      <c r="G8868" s="31">
        <f>IF(ISNUMBER(F8868),E8868*F8868,"")</f>
        <v>11.4285</v>
      </c>
      <c r="H8868" s="35">
        <f t="shared" si="86"/>
        <v>11.4285</v>
      </c>
      <c r="I8868" s="36"/>
      <c r="J8868" s="125">
        <v>0</v>
      </c>
    </row>
    <row r="8869" spans="1:10" s="169" customFormat="1" hidden="1" x14ac:dyDescent="0.25">
      <c r="A8869" s="247"/>
      <c r="B8869" s="245"/>
      <c r="C8869" s="155"/>
      <c r="D8869" s="129"/>
      <c r="E8869" s="130"/>
      <c r="F8869" s="28"/>
      <c r="G8869" s="31"/>
      <c r="H8869" s="32"/>
      <c r="I8869" s="36"/>
      <c r="J8869" s="125">
        <v>0</v>
      </c>
    </row>
    <row r="8870" spans="1:10" s="169" customFormat="1" ht="15.75" hidden="1" thickBot="1" x14ac:dyDescent="0.3">
      <c r="A8870" s="241" t="s">
        <v>19218</v>
      </c>
      <c r="B8870" s="244" t="s">
        <v>22474</v>
      </c>
      <c r="C8870" s="160"/>
      <c r="D8870" s="145" t="s">
        <v>16</v>
      </c>
      <c r="E8870" s="146"/>
      <c r="F8870" s="37" t="s">
        <v>418</v>
      </c>
      <c r="G8870" s="147" t="str">
        <f>IF(ISNUMBER(F8870),E8870*F8870,"")</f>
        <v/>
      </c>
      <c r="H8870" s="148"/>
      <c r="I8870" s="149"/>
      <c r="J8870" s="125">
        <v>0</v>
      </c>
    </row>
    <row r="8871" spans="1:10" s="169" customFormat="1" hidden="1" x14ac:dyDescent="0.25">
      <c r="A8871" s="247"/>
      <c r="B8871" s="245"/>
      <c r="C8871" s="151"/>
      <c r="D8871" s="151"/>
      <c r="E8871" s="152"/>
      <c r="F8871" s="38" t="s">
        <v>418</v>
      </c>
      <c r="G8871" s="31" t="str">
        <f>IF(ISNUMBER(F8871),E8871*F8871,"")</f>
        <v/>
      </c>
      <c r="H8871" s="32"/>
      <c r="I8871" s="28"/>
      <c r="J8871" s="125">
        <v>0</v>
      </c>
    </row>
    <row r="8872" spans="1:10" s="169" customFormat="1" ht="25.5" hidden="1" x14ac:dyDescent="0.25">
      <c r="A8872" s="247"/>
      <c r="B8872" s="245"/>
      <c r="C8872" s="155" t="s">
        <v>23975</v>
      </c>
      <c r="D8872" s="155" t="s">
        <v>205</v>
      </c>
      <c r="E8872" s="130">
        <v>1</v>
      </c>
      <c r="F8872" s="28">
        <v>15.361500000000001</v>
      </c>
      <c r="G8872" s="31">
        <f>IF(ISNUMBER(F8872),E8872*F8872,"")</f>
        <v>15.361500000000001</v>
      </c>
      <c r="H8872" s="35">
        <f t="shared" si="86"/>
        <v>15.361500000000001</v>
      </c>
      <c r="I8872" s="36"/>
      <c r="J8872" s="125">
        <v>0</v>
      </c>
    </row>
    <row r="8873" spans="1:10" s="169" customFormat="1" hidden="1" x14ac:dyDescent="0.25">
      <c r="A8873" s="247"/>
      <c r="B8873" s="245"/>
      <c r="C8873" s="155"/>
      <c r="D8873" s="129"/>
      <c r="E8873" s="130"/>
      <c r="F8873" s="28"/>
      <c r="G8873" s="31"/>
      <c r="H8873" s="32"/>
      <c r="I8873" s="36"/>
      <c r="J8873" s="125">
        <v>0</v>
      </c>
    </row>
    <row r="8874" spans="1:10" s="169" customFormat="1" ht="15.75" hidden="1" thickBot="1" x14ac:dyDescent="0.3">
      <c r="A8874" s="241" t="s">
        <v>19219</v>
      </c>
      <c r="B8874" s="244" t="s">
        <v>22475</v>
      </c>
      <c r="C8874" s="160"/>
      <c r="D8874" s="145" t="s">
        <v>16</v>
      </c>
      <c r="E8874" s="146"/>
      <c r="F8874" s="37" t="s">
        <v>418</v>
      </c>
      <c r="G8874" s="147" t="str">
        <f>IF(ISNUMBER(F8874),E8874*F8874,"")</f>
        <v/>
      </c>
      <c r="H8874" s="148"/>
      <c r="I8874" s="149"/>
      <c r="J8874" s="125">
        <v>0</v>
      </c>
    </row>
    <row r="8875" spans="1:10" s="169" customFormat="1" hidden="1" x14ac:dyDescent="0.25">
      <c r="A8875" s="247"/>
      <c r="B8875" s="245"/>
      <c r="C8875" s="151"/>
      <c r="D8875" s="151"/>
      <c r="E8875" s="152"/>
      <c r="F8875" s="38" t="s">
        <v>418</v>
      </c>
      <c r="G8875" s="31" t="str">
        <f>IF(ISNUMBER(F8875),E8875*F8875,"")</f>
        <v/>
      </c>
      <c r="H8875" s="32"/>
      <c r="I8875" s="28"/>
      <c r="J8875" s="125">
        <v>0</v>
      </c>
    </row>
    <row r="8876" spans="1:10" s="169" customFormat="1" ht="25.5" hidden="1" x14ac:dyDescent="0.25">
      <c r="A8876" s="247"/>
      <c r="B8876" s="245"/>
      <c r="C8876" s="155" t="s">
        <v>26210</v>
      </c>
      <c r="D8876" s="155" t="s">
        <v>205</v>
      </c>
      <c r="E8876" s="130">
        <v>1</v>
      </c>
      <c r="F8876" s="28">
        <v>18.980999999999998</v>
      </c>
      <c r="G8876" s="31">
        <f>IF(ISNUMBER(F8876),E8876*F8876,"")</f>
        <v>18.980999999999998</v>
      </c>
      <c r="H8876" s="35">
        <f t="shared" si="86"/>
        <v>18.980999999999998</v>
      </c>
      <c r="I8876" s="36"/>
      <c r="J8876" s="125">
        <v>0</v>
      </c>
    </row>
    <row r="8877" spans="1:10" s="169" customFormat="1" hidden="1" x14ac:dyDescent="0.25">
      <c r="A8877" s="247"/>
      <c r="B8877" s="245"/>
      <c r="C8877" s="155"/>
      <c r="D8877" s="129"/>
      <c r="E8877" s="130"/>
      <c r="F8877" s="28"/>
      <c r="G8877" s="31"/>
      <c r="H8877" s="32"/>
      <c r="I8877" s="36"/>
      <c r="J8877" s="125">
        <v>0</v>
      </c>
    </row>
    <row r="8878" spans="1:10" s="169" customFormat="1" ht="15.75" hidden="1" thickBot="1" x14ac:dyDescent="0.3">
      <c r="A8878" s="241" t="s">
        <v>19220</v>
      </c>
      <c r="B8878" s="244" t="s">
        <v>22476</v>
      </c>
      <c r="C8878" s="160"/>
      <c r="D8878" s="145" t="s">
        <v>16</v>
      </c>
      <c r="E8878" s="146"/>
      <c r="F8878" s="37" t="s">
        <v>418</v>
      </c>
      <c r="G8878" s="147" t="str">
        <f>IF(ISNUMBER(F8878),E8878*F8878,"")</f>
        <v/>
      </c>
      <c r="H8878" s="148"/>
      <c r="I8878" s="149"/>
      <c r="J8878" s="125">
        <v>0</v>
      </c>
    </row>
    <row r="8879" spans="1:10" s="169" customFormat="1" hidden="1" x14ac:dyDescent="0.25">
      <c r="A8879" s="247"/>
      <c r="B8879" s="245"/>
      <c r="C8879" s="151"/>
      <c r="D8879" s="151"/>
      <c r="E8879" s="152"/>
      <c r="F8879" s="38" t="s">
        <v>418</v>
      </c>
      <c r="G8879" s="31" t="str">
        <f>IF(ISNUMBER(F8879),E8879*F8879,"")</f>
        <v/>
      </c>
      <c r="H8879" s="32"/>
      <c r="I8879" s="28"/>
      <c r="J8879" s="125">
        <v>0</v>
      </c>
    </row>
    <row r="8880" spans="1:10" s="169" customFormat="1" ht="25.5" hidden="1" x14ac:dyDescent="0.25">
      <c r="A8880" s="247"/>
      <c r="B8880" s="245"/>
      <c r="C8880" s="155" t="s">
        <v>26606</v>
      </c>
      <c r="D8880" s="155" t="s">
        <v>205</v>
      </c>
      <c r="E8880" s="130">
        <v>1</v>
      </c>
      <c r="F8880" s="28">
        <v>22.0305</v>
      </c>
      <c r="G8880" s="31">
        <f>IF(ISNUMBER(F8880),E8880*F8880,"")</f>
        <v>22.0305</v>
      </c>
      <c r="H8880" s="35">
        <f t="shared" si="86"/>
        <v>22.0305</v>
      </c>
      <c r="I8880" s="36"/>
      <c r="J8880" s="125">
        <v>0</v>
      </c>
    </row>
    <row r="8881" spans="1:10" s="169" customFormat="1" hidden="1" x14ac:dyDescent="0.25">
      <c r="A8881" s="247"/>
      <c r="B8881" s="245"/>
      <c r="C8881" s="155"/>
      <c r="D8881" s="129"/>
      <c r="E8881" s="130"/>
      <c r="F8881" s="28"/>
      <c r="G8881" s="31"/>
      <c r="H8881" s="32"/>
      <c r="I8881" s="36"/>
      <c r="J8881" s="125">
        <v>0</v>
      </c>
    </row>
    <row r="8882" spans="1:10" s="169" customFormat="1" ht="15.75" hidden="1" thickBot="1" x14ac:dyDescent="0.3">
      <c r="A8882" s="241" t="s">
        <v>19221</v>
      </c>
      <c r="B8882" s="244" t="s">
        <v>22477</v>
      </c>
      <c r="C8882" s="160"/>
      <c r="D8882" s="145" t="s">
        <v>16</v>
      </c>
      <c r="E8882" s="146"/>
      <c r="F8882" s="37" t="s">
        <v>418</v>
      </c>
      <c r="G8882" s="147" t="str">
        <f>IF(ISNUMBER(F8882),E8882*F8882,"")</f>
        <v/>
      </c>
      <c r="H8882" s="148"/>
      <c r="I8882" s="149"/>
      <c r="J8882" s="125">
        <v>0</v>
      </c>
    </row>
    <row r="8883" spans="1:10" s="169" customFormat="1" hidden="1" x14ac:dyDescent="0.25">
      <c r="A8883" s="247"/>
      <c r="B8883" s="245"/>
      <c r="C8883" s="151"/>
      <c r="D8883" s="151"/>
      <c r="E8883" s="152"/>
      <c r="F8883" s="38" t="s">
        <v>418</v>
      </c>
      <c r="G8883" s="31" t="str">
        <f>IF(ISNUMBER(F8883),E8883*F8883,"")</f>
        <v/>
      </c>
      <c r="H8883" s="32"/>
      <c r="I8883" s="28"/>
      <c r="J8883" s="125">
        <v>0</v>
      </c>
    </row>
    <row r="8884" spans="1:10" s="169" customFormat="1" ht="25.5" hidden="1" x14ac:dyDescent="0.25">
      <c r="A8884" s="247"/>
      <c r="B8884" s="245"/>
      <c r="C8884" s="155" t="s">
        <v>23974</v>
      </c>
      <c r="D8884" s="155" t="s">
        <v>205</v>
      </c>
      <c r="E8884" s="130">
        <v>1</v>
      </c>
      <c r="F8884" s="28">
        <v>15.029</v>
      </c>
      <c r="G8884" s="31">
        <f>IF(ISNUMBER(F8884),E8884*F8884,"")</f>
        <v>15.029</v>
      </c>
      <c r="H8884" s="35">
        <f t="shared" si="86"/>
        <v>15.029</v>
      </c>
      <c r="I8884" s="36"/>
      <c r="J8884" s="125">
        <v>0</v>
      </c>
    </row>
    <row r="8885" spans="1:10" s="169" customFormat="1" hidden="1" x14ac:dyDescent="0.25">
      <c r="A8885" s="247"/>
      <c r="B8885" s="245"/>
      <c r="C8885" s="155"/>
      <c r="D8885" s="129"/>
      <c r="E8885" s="130"/>
      <c r="F8885" s="28"/>
      <c r="G8885" s="31"/>
      <c r="H8885" s="32"/>
      <c r="I8885" s="36"/>
      <c r="J8885" s="125">
        <v>0</v>
      </c>
    </row>
    <row r="8886" spans="1:10" s="169" customFormat="1" ht="15.75" hidden="1" thickBot="1" x14ac:dyDescent="0.3">
      <c r="A8886" s="241" t="s">
        <v>19222</v>
      </c>
      <c r="B8886" s="244" t="s">
        <v>22478</v>
      </c>
      <c r="C8886" s="160"/>
      <c r="D8886" s="145" t="s">
        <v>16</v>
      </c>
      <c r="E8886" s="146"/>
      <c r="F8886" s="37" t="s">
        <v>418</v>
      </c>
      <c r="G8886" s="147" t="str">
        <f>IF(ISNUMBER(F8886),E8886*F8886,"")</f>
        <v/>
      </c>
      <c r="H8886" s="148"/>
      <c r="I8886" s="149"/>
      <c r="J8886" s="125">
        <v>0</v>
      </c>
    </row>
    <row r="8887" spans="1:10" s="169" customFormat="1" hidden="1" x14ac:dyDescent="0.25">
      <c r="A8887" s="247"/>
      <c r="B8887" s="245"/>
      <c r="C8887" s="151"/>
      <c r="D8887" s="151"/>
      <c r="E8887" s="152"/>
      <c r="F8887" s="38" t="s">
        <v>418</v>
      </c>
      <c r="G8887" s="31" t="str">
        <f>IF(ISNUMBER(F8887),E8887*F8887,"")</f>
        <v/>
      </c>
      <c r="H8887" s="32"/>
      <c r="I8887" s="28"/>
      <c r="J8887" s="125">
        <v>0</v>
      </c>
    </row>
    <row r="8888" spans="1:10" s="169" customFormat="1" ht="25.5" hidden="1" x14ac:dyDescent="0.25">
      <c r="A8888" s="247"/>
      <c r="B8888" s="245"/>
      <c r="C8888" s="155" t="s">
        <v>26209</v>
      </c>
      <c r="D8888" s="155" t="s">
        <v>205</v>
      </c>
      <c r="E8888" s="130">
        <v>1</v>
      </c>
      <c r="F8888" s="28">
        <v>19</v>
      </c>
      <c r="G8888" s="31">
        <f>IF(ISNUMBER(F8888),E8888*F8888,"")</f>
        <v>19</v>
      </c>
      <c r="H8888" s="35">
        <f t="shared" si="86"/>
        <v>19</v>
      </c>
      <c r="I8888" s="36"/>
      <c r="J8888" s="125">
        <v>0</v>
      </c>
    </row>
    <row r="8889" spans="1:10" s="169" customFormat="1" hidden="1" x14ac:dyDescent="0.25">
      <c r="A8889" s="247"/>
      <c r="B8889" s="245"/>
      <c r="C8889" s="155"/>
      <c r="D8889" s="129"/>
      <c r="E8889" s="130"/>
      <c r="F8889" s="28"/>
      <c r="G8889" s="31"/>
      <c r="H8889" s="32"/>
      <c r="I8889" s="36"/>
      <c r="J8889" s="125">
        <v>0</v>
      </c>
    </row>
    <row r="8890" spans="1:10" s="169" customFormat="1" ht="15.75" hidden="1" thickBot="1" x14ac:dyDescent="0.3">
      <c r="A8890" s="241" t="s">
        <v>19223</v>
      </c>
      <c r="B8890" s="244" t="s">
        <v>22479</v>
      </c>
      <c r="C8890" s="160"/>
      <c r="D8890" s="145" t="s">
        <v>16</v>
      </c>
      <c r="E8890" s="146"/>
      <c r="F8890" s="37" t="s">
        <v>418</v>
      </c>
      <c r="G8890" s="147" t="str">
        <f>IF(ISNUMBER(F8890),E8890*F8890,"")</f>
        <v/>
      </c>
      <c r="H8890" s="148"/>
      <c r="I8890" s="149"/>
      <c r="J8890" s="125">
        <v>0</v>
      </c>
    </row>
    <row r="8891" spans="1:10" s="169" customFormat="1" hidden="1" x14ac:dyDescent="0.25">
      <c r="A8891" s="247"/>
      <c r="B8891" s="245"/>
      <c r="C8891" s="151"/>
      <c r="D8891" s="151"/>
      <c r="E8891" s="152"/>
      <c r="F8891" s="38" t="s">
        <v>418</v>
      </c>
      <c r="G8891" s="31" t="str">
        <f>IF(ISNUMBER(F8891),E8891*F8891,"")</f>
        <v/>
      </c>
      <c r="H8891" s="32"/>
      <c r="I8891" s="28"/>
      <c r="J8891" s="125">
        <v>0</v>
      </c>
    </row>
    <row r="8892" spans="1:10" s="169" customFormat="1" ht="25.5" hidden="1" x14ac:dyDescent="0.25">
      <c r="A8892" s="247"/>
      <c r="B8892" s="245"/>
      <c r="C8892" s="155" t="s">
        <v>26605</v>
      </c>
      <c r="D8892" s="155" t="s">
        <v>205</v>
      </c>
      <c r="E8892" s="130">
        <v>1</v>
      </c>
      <c r="F8892" s="28">
        <v>22.0305</v>
      </c>
      <c r="G8892" s="31">
        <f>IF(ISNUMBER(F8892),E8892*F8892,"")</f>
        <v>22.0305</v>
      </c>
      <c r="H8892" s="35">
        <f t="shared" si="86"/>
        <v>22.0305</v>
      </c>
      <c r="I8892" s="36"/>
      <c r="J8892" s="125">
        <v>0</v>
      </c>
    </row>
    <row r="8893" spans="1:10" s="169" customFormat="1" hidden="1" x14ac:dyDescent="0.25">
      <c r="A8893" s="247"/>
      <c r="B8893" s="245"/>
      <c r="C8893" s="155"/>
      <c r="D8893" s="129"/>
      <c r="E8893" s="130"/>
      <c r="F8893" s="28"/>
      <c r="G8893" s="31"/>
      <c r="H8893" s="32"/>
      <c r="I8893" s="36"/>
      <c r="J8893" s="125">
        <v>0</v>
      </c>
    </row>
    <row r="8894" spans="1:10" s="169" customFormat="1" ht="15.75" hidden="1" thickBot="1" x14ac:dyDescent="0.3">
      <c r="A8894" s="241" t="s">
        <v>19224</v>
      </c>
      <c r="B8894" s="244" t="s">
        <v>22480</v>
      </c>
      <c r="C8894" s="160"/>
      <c r="D8894" s="145" t="s">
        <v>69</v>
      </c>
      <c r="E8894" s="146"/>
      <c r="F8894" s="37" t="s">
        <v>418</v>
      </c>
      <c r="G8894" s="147" t="str">
        <f>IF(ISNUMBER(F8894),E8894*F8894,"")</f>
        <v/>
      </c>
      <c r="H8894" s="148"/>
      <c r="I8894" s="149"/>
      <c r="J8894" s="125">
        <v>0</v>
      </c>
    </row>
    <row r="8895" spans="1:10" s="169" customFormat="1" hidden="1" x14ac:dyDescent="0.25">
      <c r="A8895" s="247"/>
      <c r="B8895" s="245"/>
      <c r="C8895" s="151"/>
      <c r="D8895" s="151"/>
      <c r="E8895" s="152"/>
      <c r="F8895" s="38" t="s">
        <v>418</v>
      </c>
      <c r="G8895" s="31" t="str">
        <f>IF(ISNUMBER(F8895),E8895*F8895,"")</f>
        <v/>
      </c>
      <c r="H8895" s="32"/>
      <c r="I8895" s="28"/>
      <c r="J8895" s="125">
        <v>0</v>
      </c>
    </row>
    <row r="8896" spans="1:10" s="169" customFormat="1" ht="25.5" hidden="1" x14ac:dyDescent="0.25">
      <c r="A8896" s="247"/>
      <c r="B8896" s="245"/>
      <c r="C8896" s="155" t="s">
        <v>554</v>
      </c>
      <c r="D8896" s="155" t="s">
        <v>385</v>
      </c>
      <c r="E8896" s="130">
        <v>1</v>
      </c>
      <c r="F8896" s="28">
        <v>92.397000000000006</v>
      </c>
      <c r="G8896" s="31">
        <f>IF(ISNUMBER(F8896),E8896*F8896,"")</f>
        <v>92.397000000000006</v>
      </c>
      <c r="H8896" s="35">
        <f t="shared" si="86"/>
        <v>92.397000000000006</v>
      </c>
      <c r="I8896" s="36"/>
      <c r="J8896" s="125">
        <v>0</v>
      </c>
    </row>
    <row r="8897" spans="1:10" s="169" customFormat="1" hidden="1" x14ac:dyDescent="0.25">
      <c r="A8897" s="247"/>
      <c r="B8897" s="245"/>
      <c r="C8897" s="155"/>
      <c r="D8897" s="129"/>
      <c r="E8897" s="130"/>
      <c r="F8897" s="28"/>
      <c r="G8897" s="31"/>
      <c r="H8897" s="32"/>
      <c r="I8897" s="36"/>
      <c r="J8897" s="125">
        <v>0</v>
      </c>
    </row>
    <row r="8898" spans="1:10" s="169" customFormat="1" ht="15.75" hidden="1" thickBot="1" x14ac:dyDescent="0.3">
      <c r="A8898" s="241" t="s">
        <v>19225</v>
      </c>
      <c r="B8898" s="244" t="s">
        <v>22481</v>
      </c>
      <c r="C8898" s="160"/>
      <c r="D8898" s="145" t="s">
        <v>16</v>
      </c>
      <c r="E8898" s="146"/>
      <c r="F8898" s="37" t="s">
        <v>418</v>
      </c>
      <c r="G8898" s="147" t="str">
        <f>IF(ISNUMBER(F8898),E8898*F8898,"")</f>
        <v/>
      </c>
      <c r="H8898" s="148"/>
      <c r="I8898" s="149"/>
      <c r="J8898" s="125">
        <v>0</v>
      </c>
    </row>
    <row r="8899" spans="1:10" s="169" customFormat="1" hidden="1" x14ac:dyDescent="0.25">
      <c r="A8899" s="247"/>
      <c r="B8899" s="245"/>
      <c r="C8899" s="151"/>
      <c r="D8899" s="151"/>
      <c r="E8899" s="152"/>
      <c r="F8899" s="38" t="s">
        <v>418</v>
      </c>
      <c r="G8899" s="31" t="str">
        <f>IF(ISNUMBER(F8899),E8899*F8899,"")</f>
        <v/>
      </c>
      <c r="H8899" s="32"/>
      <c r="I8899" s="28"/>
      <c r="J8899" s="125">
        <v>0</v>
      </c>
    </row>
    <row r="8900" spans="1:10" s="169" customFormat="1" ht="25.5" hidden="1" x14ac:dyDescent="0.25">
      <c r="A8900" s="247"/>
      <c r="B8900" s="245"/>
      <c r="C8900" s="155" t="s">
        <v>24848</v>
      </c>
      <c r="D8900" s="155" t="s">
        <v>205</v>
      </c>
      <c r="E8900" s="130">
        <v>1</v>
      </c>
      <c r="F8900" s="28">
        <v>38.323</v>
      </c>
      <c r="G8900" s="31">
        <f>IF(ISNUMBER(F8900),E8900*F8900,"")</f>
        <v>38.323</v>
      </c>
      <c r="H8900" s="35">
        <f t="shared" si="86"/>
        <v>38.323</v>
      </c>
      <c r="I8900" s="36"/>
      <c r="J8900" s="125">
        <v>0</v>
      </c>
    </row>
    <row r="8901" spans="1:10" s="169" customFormat="1" hidden="1" x14ac:dyDescent="0.25">
      <c r="A8901" s="247"/>
      <c r="B8901" s="245"/>
      <c r="C8901" s="155"/>
      <c r="D8901" s="129"/>
      <c r="E8901" s="130"/>
      <c r="F8901" s="28"/>
      <c r="G8901" s="31"/>
      <c r="H8901" s="32"/>
      <c r="I8901" s="36"/>
      <c r="J8901" s="125">
        <v>0</v>
      </c>
    </row>
    <row r="8902" spans="1:10" s="169" customFormat="1" ht="15.75" hidden="1" thickBot="1" x14ac:dyDescent="0.3">
      <c r="A8902" s="241" t="s">
        <v>19226</v>
      </c>
      <c r="B8902" s="244" t="s">
        <v>22482</v>
      </c>
      <c r="C8902" s="160"/>
      <c r="D8902" s="145" t="s">
        <v>16</v>
      </c>
      <c r="E8902" s="146"/>
      <c r="F8902" s="37" t="s">
        <v>418</v>
      </c>
      <c r="G8902" s="147" t="str">
        <f>IF(ISNUMBER(F8902),E8902*F8902,"")</f>
        <v/>
      </c>
      <c r="H8902" s="148"/>
      <c r="I8902" s="149"/>
      <c r="J8902" s="125">
        <v>0</v>
      </c>
    </row>
    <row r="8903" spans="1:10" s="169" customFormat="1" hidden="1" x14ac:dyDescent="0.25">
      <c r="A8903" s="247"/>
      <c r="B8903" s="245"/>
      <c r="C8903" s="151"/>
      <c r="D8903" s="151"/>
      <c r="E8903" s="152"/>
      <c r="F8903" s="38" t="s">
        <v>418</v>
      </c>
      <c r="G8903" s="31" t="str">
        <f>IF(ISNUMBER(F8903),E8903*F8903,"")</f>
        <v/>
      </c>
      <c r="H8903" s="32"/>
      <c r="I8903" s="28"/>
      <c r="J8903" s="125">
        <v>0</v>
      </c>
    </row>
    <row r="8904" spans="1:10" s="169" customFormat="1" ht="25.5" hidden="1" x14ac:dyDescent="0.25">
      <c r="A8904" s="247"/>
      <c r="B8904" s="245"/>
      <c r="C8904" s="155" t="s">
        <v>28304</v>
      </c>
      <c r="D8904" s="155" t="s">
        <v>205</v>
      </c>
      <c r="E8904" s="130">
        <v>1</v>
      </c>
      <c r="F8904" s="28">
        <v>65.435999999999993</v>
      </c>
      <c r="G8904" s="31">
        <f>IF(ISNUMBER(F8904),E8904*F8904,"")</f>
        <v>65.435999999999993</v>
      </c>
      <c r="H8904" s="35">
        <f t="shared" ref="H8904:H8960" si="87">SUM(G8904:G8904)</f>
        <v>65.435999999999993</v>
      </c>
      <c r="I8904" s="36"/>
      <c r="J8904" s="125">
        <v>0</v>
      </c>
    </row>
    <row r="8905" spans="1:10" s="169" customFormat="1" hidden="1" x14ac:dyDescent="0.25">
      <c r="A8905" s="247"/>
      <c r="B8905" s="245"/>
      <c r="C8905" s="155"/>
      <c r="D8905" s="129"/>
      <c r="E8905" s="130"/>
      <c r="F8905" s="28"/>
      <c r="G8905" s="31"/>
      <c r="H8905" s="32"/>
      <c r="I8905" s="36"/>
      <c r="J8905" s="125">
        <v>0</v>
      </c>
    </row>
    <row r="8906" spans="1:10" s="169" customFormat="1" ht="15.75" hidden="1" thickBot="1" x14ac:dyDescent="0.3">
      <c r="A8906" s="241" t="s">
        <v>19227</v>
      </c>
      <c r="B8906" s="244" t="s">
        <v>22483</v>
      </c>
      <c r="C8906" s="160"/>
      <c r="D8906" s="145" t="s">
        <v>16</v>
      </c>
      <c r="E8906" s="146"/>
      <c r="F8906" s="37" t="s">
        <v>418</v>
      </c>
      <c r="G8906" s="147" t="str">
        <f>IF(ISNUMBER(F8906),E8906*F8906,"")</f>
        <v/>
      </c>
      <c r="H8906" s="148"/>
      <c r="I8906" s="149"/>
      <c r="J8906" s="125">
        <v>0</v>
      </c>
    </row>
    <row r="8907" spans="1:10" s="169" customFormat="1" hidden="1" x14ac:dyDescent="0.25">
      <c r="A8907" s="247"/>
      <c r="B8907" s="245"/>
      <c r="C8907" s="151"/>
      <c r="D8907" s="151"/>
      <c r="E8907" s="152"/>
      <c r="F8907" s="38" t="s">
        <v>418</v>
      </c>
      <c r="G8907" s="31" t="str">
        <f>IF(ISNUMBER(F8907),E8907*F8907,"")</f>
        <v/>
      </c>
      <c r="H8907" s="32"/>
      <c r="I8907" s="28"/>
      <c r="J8907" s="125">
        <v>0</v>
      </c>
    </row>
    <row r="8908" spans="1:10" s="169" customFormat="1" hidden="1" x14ac:dyDescent="0.25">
      <c r="A8908" s="247"/>
      <c r="B8908" s="245"/>
      <c r="C8908" s="155" t="s">
        <v>26589</v>
      </c>
      <c r="D8908" s="155" t="s">
        <v>205</v>
      </c>
      <c r="E8908" s="130">
        <v>1</v>
      </c>
      <c r="F8908" s="28">
        <v>21.355999999999998</v>
      </c>
      <c r="G8908" s="31">
        <f>IF(ISNUMBER(F8908),E8908*F8908,"")</f>
        <v>21.355999999999998</v>
      </c>
      <c r="H8908" s="35">
        <f t="shared" si="87"/>
        <v>21.355999999999998</v>
      </c>
      <c r="I8908" s="36"/>
      <c r="J8908" s="125">
        <v>0</v>
      </c>
    </row>
    <row r="8909" spans="1:10" s="169" customFormat="1" hidden="1" x14ac:dyDescent="0.25">
      <c r="A8909" s="247"/>
      <c r="B8909" s="245"/>
      <c r="C8909" s="155"/>
      <c r="D8909" s="129"/>
      <c r="E8909" s="130"/>
      <c r="F8909" s="28"/>
      <c r="G8909" s="31"/>
      <c r="H8909" s="32"/>
      <c r="I8909" s="36"/>
      <c r="J8909" s="125">
        <v>0</v>
      </c>
    </row>
    <row r="8910" spans="1:10" s="169" customFormat="1" ht="15.75" hidden="1" thickBot="1" x14ac:dyDescent="0.3">
      <c r="A8910" s="241" t="s">
        <v>19228</v>
      </c>
      <c r="B8910" s="244" t="s">
        <v>22484</v>
      </c>
      <c r="C8910" s="160"/>
      <c r="D8910" s="145" t="s">
        <v>16</v>
      </c>
      <c r="E8910" s="146"/>
      <c r="F8910" s="37" t="s">
        <v>418</v>
      </c>
      <c r="G8910" s="147" t="str">
        <f>IF(ISNUMBER(F8910),E8910*F8910,"")</f>
        <v/>
      </c>
      <c r="H8910" s="148"/>
      <c r="I8910" s="149"/>
      <c r="J8910" s="125">
        <v>0</v>
      </c>
    </row>
    <row r="8911" spans="1:10" s="169" customFormat="1" hidden="1" x14ac:dyDescent="0.25">
      <c r="A8911" s="247"/>
      <c r="B8911" s="245"/>
      <c r="C8911" s="151"/>
      <c r="D8911" s="151"/>
      <c r="E8911" s="152"/>
      <c r="F8911" s="38" t="s">
        <v>418</v>
      </c>
      <c r="G8911" s="31" t="str">
        <f>IF(ISNUMBER(F8911),E8911*F8911,"")</f>
        <v/>
      </c>
      <c r="H8911" s="32"/>
      <c r="I8911" s="28"/>
      <c r="J8911" s="125">
        <v>0</v>
      </c>
    </row>
    <row r="8912" spans="1:10" s="169" customFormat="1" hidden="1" x14ac:dyDescent="0.25">
      <c r="A8912" s="247"/>
      <c r="B8912" s="245"/>
      <c r="C8912" s="155" t="s">
        <v>26185</v>
      </c>
      <c r="D8912" s="155" t="s">
        <v>205</v>
      </c>
      <c r="E8912" s="130">
        <v>1</v>
      </c>
      <c r="F8912" s="28">
        <v>21.669499999999999</v>
      </c>
      <c r="G8912" s="31">
        <f>IF(ISNUMBER(F8912),E8912*F8912,"")</f>
        <v>21.669499999999999</v>
      </c>
      <c r="H8912" s="35">
        <f t="shared" si="87"/>
        <v>21.669499999999999</v>
      </c>
      <c r="I8912" s="36"/>
      <c r="J8912" s="125">
        <v>0</v>
      </c>
    </row>
    <row r="8913" spans="1:10" s="169" customFormat="1" hidden="1" x14ac:dyDescent="0.25">
      <c r="A8913" s="247"/>
      <c r="B8913" s="245"/>
      <c r="C8913" s="155"/>
      <c r="D8913" s="129"/>
      <c r="E8913" s="130"/>
      <c r="F8913" s="28"/>
      <c r="G8913" s="31"/>
      <c r="H8913" s="32"/>
      <c r="I8913" s="36"/>
      <c r="J8913" s="125">
        <v>0</v>
      </c>
    </row>
    <row r="8914" spans="1:10" s="169" customFormat="1" ht="15.75" hidden="1" thickBot="1" x14ac:dyDescent="0.3">
      <c r="A8914" s="241" t="s">
        <v>19229</v>
      </c>
      <c r="B8914" s="244" t="s">
        <v>22485</v>
      </c>
      <c r="C8914" s="160"/>
      <c r="D8914" s="145" t="s">
        <v>16</v>
      </c>
      <c r="E8914" s="146"/>
      <c r="F8914" s="37" t="s">
        <v>418</v>
      </c>
      <c r="G8914" s="147" t="str">
        <f>IF(ISNUMBER(F8914),E8914*F8914,"")</f>
        <v/>
      </c>
      <c r="H8914" s="148"/>
      <c r="I8914" s="149"/>
      <c r="J8914" s="125">
        <v>0</v>
      </c>
    </row>
    <row r="8915" spans="1:10" s="169" customFormat="1" hidden="1" x14ac:dyDescent="0.25">
      <c r="A8915" s="247"/>
      <c r="B8915" s="245"/>
      <c r="C8915" s="151"/>
      <c r="D8915" s="151"/>
      <c r="E8915" s="152"/>
      <c r="F8915" s="38" t="s">
        <v>418</v>
      </c>
      <c r="G8915" s="31" t="str">
        <f>IF(ISNUMBER(F8915),E8915*F8915,"")</f>
        <v/>
      </c>
      <c r="H8915" s="32"/>
      <c r="I8915" s="28"/>
      <c r="J8915" s="125">
        <v>0</v>
      </c>
    </row>
    <row r="8916" spans="1:10" s="169" customFormat="1" ht="25.5" hidden="1" x14ac:dyDescent="0.25">
      <c r="A8916" s="247"/>
      <c r="B8916" s="245"/>
      <c r="C8916" s="155" t="s">
        <v>24370</v>
      </c>
      <c r="D8916" s="155" t="s">
        <v>205</v>
      </c>
      <c r="E8916" s="130">
        <v>1</v>
      </c>
      <c r="F8916" s="28">
        <v>18.125999999999998</v>
      </c>
      <c r="G8916" s="31">
        <f>IF(ISNUMBER(F8916),E8916*F8916,"")</f>
        <v>18.125999999999998</v>
      </c>
      <c r="H8916" s="35">
        <f t="shared" si="87"/>
        <v>18.125999999999998</v>
      </c>
      <c r="I8916" s="36"/>
      <c r="J8916" s="125">
        <v>0</v>
      </c>
    </row>
    <row r="8917" spans="1:10" s="169" customFormat="1" hidden="1" x14ac:dyDescent="0.25">
      <c r="A8917" s="247"/>
      <c r="B8917" s="245"/>
      <c r="C8917" s="155"/>
      <c r="D8917" s="129"/>
      <c r="E8917" s="130"/>
      <c r="F8917" s="28"/>
      <c r="G8917" s="31"/>
      <c r="H8917" s="32"/>
      <c r="I8917" s="36"/>
      <c r="J8917" s="125">
        <v>0</v>
      </c>
    </row>
    <row r="8918" spans="1:10" s="169" customFormat="1" ht="15.75" hidden="1" thickBot="1" x14ac:dyDescent="0.3">
      <c r="A8918" s="241" t="s">
        <v>19230</v>
      </c>
      <c r="B8918" s="244" t="s">
        <v>22486</v>
      </c>
      <c r="C8918" s="160"/>
      <c r="D8918" s="145" t="s">
        <v>16</v>
      </c>
      <c r="E8918" s="146"/>
      <c r="F8918" s="37" t="s">
        <v>418</v>
      </c>
      <c r="G8918" s="147" t="str">
        <f>IF(ISNUMBER(F8918),E8918*F8918,"")</f>
        <v/>
      </c>
      <c r="H8918" s="148"/>
      <c r="I8918" s="149"/>
      <c r="J8918" s="125">
        <v>0</v>
      </c>
    </row>
    <row r="8919" spans="1:10" s="169" customFormat="1" hidden="1" x14ac:dyDescent="0.25">
      <c r="A8919" s="247"/>
      <c r="B8919" s="245"/>
      <c r="C8919" s="151"/>
      <c r="D8919" s="151"/>
      <c r="E8919" s="152"/>
      <c r="F8919" s="38" t="s">
        <v>418</v>
      </c>
      <c r="G8919" s="31" t="str">
        <f>IF(ISNUMBER(F8919),E8919*F8919,"")</f>
        <v/>
      </c>
      <c r="H8919" s="32"/>
      <c r="I8919" s="28"/>
      <c r="J8919" s="125">
        <v>0</v>
      </c>
    </row>
    <row r="8920" spans="1:10" s="169" customFormat="1" hidden="1" x14ac:dyDescent="0.25">
      <c r="A8920" s="247"/>
      <c r="B8920" s="245"/>
      <c r="C8920" s="155" t="s">
        <v>27515</v>
      </c>
      <c r="D8920" s="155" t="s">
        <v>205</v>
      </c>
      <c r="E8920" s="130">
        <v>1</v>
      </c>
      <c r="F8920" s="28">
        <v>39.567499999999995</v>
      </c>
      <c r="G8920" s="31">
        <f>IF(ISNUMBER(F8920),E8920*F8920,"")</f>
        <v>39.567499999999995</v>
      </c>
      <c r="H8920" s="35">
        <f t="shared" si="87"/>
        <v>39.567499999999995</v>
      </c>
      <c r="I8920" s="36"/>
      <c r="J8920" s="125">
        <v>0</v>
      </c>
    </row>
    <row r="8921" spans="1:10" s="169" customFormat="1" hidden="1" x14ac:dyDescent="0.25">
      <c r="A8921" s="247"/>
      <c r="B8921" s="245"/>
      <c r="C8921" s="155"/>
      <c r="D8921" s="129"/>
      <c r="E8921" s="130"/>
      <c r="F8921" s="28"/>
      <c r="G8921" s="31"/>
      <c r="H8921" s="32"/>
      <c r="I8921" s="36"/>
      <c r="J8921" s="125">
        <v>0</v>
      </c>
    </row>
    <row r="8922" spans="1:10" s="169" customFormat="1" ht="15.75" hidden="1" thickBot="1" x14ac:dyDescent="0.3">
      <c r="A8922" s="241" t="s">
        <v>19231</v>
      </c>
      <c r="B8922" s="244" t="s">
        <v>22487</v>
      </c>
      <c r="C8922" s="160"/>
      <c r="D8922" s="145" t="s">
        <v>16</v>
      </c>
      <c r="E8922" s="146"/>
      <c r="F8922" s="37" t="s">
        <v>418</v>
      </c>
      <c r="G8922" s="147" t="str">
        <f>IF(ISNUMBER(F8922),E8922*F8922,"")</f>
        <v/>
      </c>
      <c r="H8922" s="148"/>
      <c r="I8922" s="149"/>
      <c r="J8922" s="125">
        <v>0</v>
      </c>
    </row>
    <row r="8923" spans="1:10" s="169" customFormat="1" hidden="1" x14ac:dyDescent="0.25">
      <c r="A8923" s="247"/>
      <c r="B8923" s="245"/>
      <c r="C8923" s="151"/>
      <c r="D8923" s="151"/>
      <c r="E8923" s="152"/>
      <c r="F8923" s="38" t="s">
        <v>418</v>
      </c>
      <c r="G8923" s="31" t="str">
        <f>IF(ISNUMBER(F8923),E8923*F8923,"")</f>
        <v/>
      </c>
      <c r="H8923" s="32"/>
      <c r="I8923" s="28"/>
      <c r="J8923" s="125">
        <v>0</v>
      </c>
    </row>
    <row r="8924" spans="1:10" s="169" customFormat="1" hidden="1" x14ac:dyDescent="0.25">
      <c r="A8924" s="247"/>
      <c r="B8924" s="245"/>
      <c r="C8924" s="155" t="s">
        <v>26946</v>
      </c>
      <c r="D8924" s="155" t="s">
        <v>205</v>
      </c>
      <c r="E8924" s="130">
        <v>1</v>
      </c>
      <c r="F8924" s="28">
        <v>13.318999999999999</v>
      </c>
      <c r="G8924" s="31">
        <f>IF(ISNUMBER(F8924),E8924*F8924,"")</f>
        <v>13.318999999999999</v>
      </c>
      <c r="H8924" s="35">
        <f t="shared" si="87"/>
        <v>13.318999999999999</v>
      </c>
      <c r="I8924" s="36"/>
      <c r="J8924" s="125">
        <v>0</v>
      </c>
    </row>
    <row r="8925" spans="1:10" s="169" customFormat="1" hidden="1" x14ac:dyDescent="0.25">
      <c r="A8925" s="247"/>
      <c r="B8925" s="245"/>
      <c r="C8925" s="155"/>
      <c r="D8925" s="129"/>
      <c r="E8925" s="130"/>
      <c r="F8925" s="28"/>
      <c r="G8925" s="31"/>
      <c r="H8925" s="32"/>
      <c r="I8925" s="36"/>
      <c r="J8925" s="125">
        <v>0</v>
      </c>
    </row>
    <row r="8926" spans="1:10" s="169" customFormat="1" ht="15.75" hidden="1" thickBot="1" x14ac:dyDescent="0.3">
      <c r="A8926" s="241" t="s">
        <v>19233</v>
      </c>
      <c r="B8926" s="244" t="s">
        <v>22489</v>
      </c>
      <c r="C8926" s="160"/>
      <c r="D8926" s="145" t="s">
        <v>16</v>
      </c>
      <c r="E8926" s="146"/>
      <c r="F8926" s="37" t="s">
        <v>418</v>
      </c>
      <c r="G8926" s="147" t="str">
        <f>IF(ISNUMBER(F8926),E8926*F8926,"")</f>
        <v/>
      </c>
      <c r="H8926" s="148"/>
      <c r="I8926" s="149"/>
      <c r="J8926" s="125">
        <v>0</v>
      </c>
    </row>
    <row r="8927" spans="1:10" s="169" customFormat="1" hidden="1" x14ac:dyDescent="0.25">
      <c r="A8927" s="247"/>
      <c r="B8927" s="245"/>
      <c r="C8927" s="151"/>
      <c r="D8927" s="151"/>
      <c r="E8927" s="152"/>
      <c r="F8927" s="38" t="s">
        <v>418</v>
      </c>
      <c r="G8927" s="31" t="str">
        <f>IF(ISNUMBER(F8927),E8927*F8927,"")</f>
        <v/>
      </c>
      <c r="H8927" s="32"/>
      <c r="I8927" s="28"/>
      <c r="J8927" s="125">
        <v>0</v>
      </c>
    </row>
    <row r="8928" spans="1:10" s="169" customFormat="1" ht="25.5" hidden="1" x14ac:dyDescent="0.25">
      <c r="A8928" s="247"/>
      <c r="B8928" s="245"/>
      <c r="C8928" s="155" t="s">
        <v>23971</v>
      </c>
      <c r="D8928" s="155" t="s">
        <v>205</v>
      </c>
      <c r="E8928" s="130">
        <v>1</v>
      </c>
      <c r="F8928" s="28">
        <v>19.550999999999998</v>
      </c>
      <c r="G8928" s="31">
        <f>IF(ISNUMBER(F8928),E8928*F8928,"")</f>
        <v>19.550999999999998</v>
      </c>
      <c r="H8928" s="35">
        <f t="shared" si="87"/>
        <v>19.550999999999998</v>
      </c>
      <c r="I8928" s="36"/>
      <c r="J8928" s="125">
        <v>0</v>
      </c>
    </row>
    <row r="8929" spans="1:10" s="169" customFormat="1" hidden="1" x14ac:dyDescent="0.25">
      <c r="A8929" s="247"/>
      <c r="B8929" s="245"/>
      <c r="C8929" s="155"/>
      <c r="D8929" s="129"/>
      <c r="E8929" s="130"/>
      <c r="F8929" s="28"/>
      <c r="G8929" s="31"/>
      <c r="H8929" s="32"/>
      <c r="I8929" s="36"/>
      <c r="J8929" s="125">
        <v>0</v>
      </c>
    </row>
    <row r="8930" spans="1:10" s="169" customFormat="1" ht="15.75" hidden="1" thickBot="1" x14ac:dyDescent="0.3">
      <c r="A8930" s="241" t="s">
        <v>19234</v>
      </c>
      <c r="B8930" s="244" t="s">
        <v>22490</v>
      </c>
      <c r="C8930" s="160"/>
      <c r="D8930" s="145" t="s">
        <v>16</v>
      </c>
      <c r="E8930" s="146"/>
      <c r="F8930" s="37" t="s">
        <v>418</v>
      </c>
      <c r="G8930" s="147" t="str">
        <f>IF(ISNUMBER(F8930),E8930*F8930,"")</f>
        <v/>
      </c>
      <c r="H8930" s="148"/>
      <c r="I8930" s="149"/>
      <c r="J8930" s="125">
        <v>0</v>
      </c>
    </row>
    <row r="8931" spans="1:10" s="169" customFormat="1" hidden="1" x14ac:dyDescent="0.25">
      <c r="A8931" s="247"/>
      <c r="B8931" s="245"/>
      <c r="C8931" s="151"/>
      <c r="D8931" s="151"/>
      <c r="E8931" s="152"/>
      <c r="F8931" s="38" t="s">
        <v>418</v>
      </c>
      <c r="G8931" s="31" t="str">
        <f>IF(ISNUMBER(F8931),E8931*F8931,"")</f>
        <v/>
      </c>
      <c r="H8931" s="32"/>
      <c r="I8931" s="28"/>
      <c r="J8931" s="125">
        <v>0</v>
      </c>
    </row>
    <row r="8932" spans="1:10" s="169" customFormat="1" ht="25.5" hidden="1" x14ac:dyDescent="0.25">
      <c r="A8932" s="247"/>
      <c r="B8932" s="245"/>
      <c r="C8932" s="155" t="s">
        <v>26206</v>
      </c>
      <c r="D8932" s="155" t="s">
        <v>205</v>
      </c>
      <c r="E8932" s="130">
        <v>1</v>
      </c>
      <c r="F8932" s="28">
        <v>23.008999999999997</v>
      </c>
      <c r="G8932" s="31">
        <f>IF(ISNUMBER(F8932),E8932*F8932,"")</f>
        <v>23.008999999999997</v>
      </c>
      <c r="H8932" s="35">
        <f t="shared" si="87"/>
        <v>23.008999999999997</v>
      </c>
      <c r="I8932" s="36"/>
      <c r="J8932" s="125">
        <v>0</v>
      </c>
    </row>
    <row r="8933" spans="1:10" s="169" customFormat="1" hidden="1" x14ac:dyDescent="0.25">
      <c r="A8933" s="247"/>
      <c r="B8933" s="245"/>
      <c r="C8933" s="155"/>
      <c r="D8933" s="129"/>
      <c r="E8933" s="130"/>
      <c r="F8933" s="28"/>
      <c r="G8933" s="31"/>
      <c r="H8933" s="32"/>
      <c r="I8933" s="36"/>
      <c r="J8933" s="125">
        <v>0</v>
      </c>
    </row>
    <row r="8934" spans="1:10" s="169" customFormat="1" ht="15.75" hidden="1" thickBot="1" x14ac:dyDescent="0.3">
      <c r="A8934" s="241" t="s">
        <v>19235</v>
      </c>
      <c r="B8934" s="244" t="s">
        <v>22491</v>
      </c>
      <c r="C8934" s="160"/>
      <c r="D8934" s="145" t="s">
        <v>16</v>
      </c>
      <c r="E8934" s="146"/>
      <c r="F8934" s="37" t="s">
        <v>418</v>
      </c>
      <c r="G8934" s="147" t="str">
        <f>IF(ISNUMBER(F8934),E8934*F8934,"")</f>
        <v/>
      </c>
      <c r="H8934" s="148"/>
      <c r="I8934" s="149"/>
      <c r="J8934" s="125">
        <v>0</v>
      </c>
    </row>
    <row r="8935" spans="1:10" s="169" customFormat="1" hidden="1" x14ac:dyDescent="0.25">
      <c r="A8935" s="247"/>
      <c r="B8935" s="245"/>
      <c r="C8935" s="151"/>
      <c r="D8935" s="151"/>
      <c r="E8935" s="152"/>
      <c r="F8935" s="38" t="s">
        <v>418</v>
      </c>
      <c r="G8935" s="31" t="str">
        <f>IF(ISNUMBER(F8935),E8935*F8935,"")</f>
        <v/>
      </c>
      <c r="H8935" s="32"/>
      <c r="I8935" s="28"/>
      <c r="J8935" s="125">
        <v>0</v>
      </c>
    </row>
    <row r="8936" spans="1:10" s="169" customFormat="1" ht="25.5" hidden="1" x14ac:dyDescent="0.25">
      <c r="A8936" s="247"/>
      <c r="B8936" s="245"/>
      <c r="C8936" s="155" t="s">
        <v>26602</v>
      </c>
      <c r="D8936" s="155" t="s">
        <v>205</v>
      </c>
      <c r="E8936" s="130">
        <v>1</v>
      </c>
      <c r="F8936" s="28">
        <v>28.195999999999998</v>
      </c>
      <c r="G8936" s="31">
        <f>IF(ISNUMBER(F8936),E8936*F8936,"")</f>
        <v>28.195999999999998</v>
      </c>
      <c r="H8936" s="35">
        <f t="shared" si="87"/>
        <v>28.195999999999998</v>
      </c>
      <c r="I8936" s="36"/>
      <c r="J8936" s="125">
        <v>0</v>
      </c>
    </row>
    <row r="8937" spans="1:10" s="169" customFormat="1" hidden="1" x14ac:dyDescent="0.25">
      <c r="A8937" s="247"/>
      <c r="B8937" s="245"/>
      <c r="C8937" s="155"/>
      <c r="D8937" s="129"/>
      <c r="E8937" s="130"/>
      <c r="F8937" s="28"/>
      <c r="G8937" s="31"/>
      <c r="H8937" s="32"/>
      <c r="I8937" s="36"/>
      <c r="J8937" s="125">
        <v>0</v>
      </c>
    </row>
    <row r="8938" spans="1:10" s="169" customFormat="1" ht="15.75" hidden="1" thickBot="1" x14ac:dyDescent="0.3">
      <c r="A8938" s="241" t="s">
        <v>19236</v>
      </c>
      <c r="B8938" s="244" t="s">
        <v>22492</v>
      </c>
      <c r="C8938" s="160"/>
      <c r="D8938" s="145" t="s">
        <v>69</v>
      </c>
      <c r="E8938" s="146"/>
      <c r="F8938" s="37" t="s">
        <v>418</v>
      </c>
      <c r="G8938" s="147" t="str">
        <f>IF(ISNUMBER(F8938),E8938*F8938,"")</f>
        <v/>
      </c>
      <c r="H8938" s="148"/>
      <c r="I8938" s="149"/>
      <c r="J8938" s="125">
        <v>0</v>
      </c>
    </row>
    <row r="8939" spans="1:10" s="169" customFormat="1" hidden="1" x14ac:dyDescent="0.25">
      <c r="A8939" s="247"/>
      <c r="B8939" s="245"/>
      <c r="C8939" s="151"/>
      <c r="D8939" s="151"/>
      <c r="E8939" s="152"/>
      <c r="F8939" s="38" t="s">
        <v>418</v>
      </c>
      <c r="G8939" s="31" t="str">
        <f>IF(ISNUMBER(F8939),E8939*F8939,"")</f>
        <v/>
      </c>
      <c r="H8939" s="32"/>
      <c r="I8939" s="28"/>
      <c r="J8939" s="125">
        <v>0</v>
      </c>
    </row>
    <row r="8940" spans="1:10" s="169" customFormat="1" ht="25.5" hidden="1" x14ac:dyDescent="0.25">
      <c r="A8940" s="247"/>
      <c r="B8940" s="245"/>
      <c r="C8940" s="155" t="s">
        <v>27965</v>
      </c>
      <c r="D8940" s="155" t="s">
        <v>385</v>
      </c>
      <c r="E8940" s="130">
        <v>1</v>
      </c>
      <c r="F8940" s="28">
        <v>113.38249999999999</v>
      </c>
      <c r="G8940" s="31">
        <f>IF(ISNUMBER(F8940),E8940*F8940,"")</f>
        <v>113.38249999999999</v>
      </c>
      <c r="H8940" s="35">
        <f t="shared" si="87"/>
        <v>113.38249999999999</v>
      </c>
      <c r="I8940" s="36"/>
      <c r="J8940" s="125">
        <v>0</v>
      </c>
    </row>
    <row r="8941" spans="1:10" s="169" customFormat="1" hidden="1" x14ac:dyDescent="0.25">
      <c r="A8941" s="247"/>
      <c r="B8941" s="245"/>
      <c r="C8941" s="155"/>
      <c r="D8941" s="129"/>
      <c r="E8941" s="130"/>
      <c r="F8941" s="28"/>
      <c r="G8941" s="31"/>
      <c r="H8941" s="32"/>
      <c r="I8941" s="36"/>
      <c r="J8941" s="125">
        <v>0</v>
      </c>
    </row>
    <row r="8942" spans="1:10" s="169" customFormat="1" ht="15.75" hidden="1" thickBot="1" x14ac:dyDescent="0.3">
      <c r="A8942" s="241" t="s">
        <v>19237</v>
      </c>
      <c r="B8942" s="244" t="s">
        <v>22493</v>
      </c>
      <c r="C8942" s="160"/>
      <c r="D8942" s="145" t="s">
        <v>16</v>
      </c>
      <c r="E8942" s="146"/>
      <c r="F8942" s="37" t="s">
        <v>418</v>
      </c>
      <c r="G8942" s="147" t="str">
        <f>IF(ISNUMBER(F8942),E8942*F8942,"")</f>
        <v/>
      </c>
      <c r="H8942" s="148"/>
      <c r="I8942" s="149"/>
      <c r="J8942" s="125">
        <v>0</v>
      </c>
    </row>
    <row r="8943" spans="1:10" s="169" customFormat="1" hidden="1" x14ac:dyDescent="0.25">
      <c r="A8943" s="247"/>
      <c r="B8943" s="245"/>
      <c r="C8943" s="151"/>
      <c r="D8943" s="151"/>
      <c r="E8943" s="152"/>
      <c r="F8943" s="38" t="s">
        <v>418</v>
      </c>
      <c r="G8943" s="31" t="str">
        <f>IF(ISNUMBER(F8943),E8943*F8943,"")</f>
        <v/>
      </c>
      <c r="H8943" s="32"/>
      <c r="I8943" s="28"/>
      <c r="J8943" s="125">
        <v>0</v>
      </c>
    </row>
    <row r="8944" spans="1:10" s="169" customFormat="1" ht="25.5" hidden="1" x14ac:dyDescent="0.25">
      <c r="A8944" s="247"/>
      <c r="B8944" s="245"/>
      <c r="C8944" s="155" t="s">
        <v>24863</v>
      </c>
      <c r="D8944" s="155" t="s">
        <v>205</v>
      </c>
      <c r="E8944" s="130">
        <v>1</v>
      </c>
      <c r="F8944" s="28">
        <v>47.138999999999996</v>
      </c>
      <c r="G8944" s="31">
        <f>IF(ISNUMBER(F8944),E8944*F8944,"")</f>
        <v>47.138999999999996</v>
      </c>
      <c r="H8944" s="35">
        <f t="shared" si="87"/>
        <v>47.138999999999996</v>
      </c>
      <c r="I8944" s="36"/>
      <c r="J8944" s="125">
        <v>0</v>
      </c>
    </row>
    <row r="8945" spans="1:10" s="169" customFormat="1" hidden="1" x14ac:dyDescent="0.25">
      <c r="A8945" s="247"/>
      <c r="B8945" s="245"/>
      <c r="C8945" s="155"/>
      <c r="D8945" s="129"/>
      <c r="E8945" s="130"/>
      <c r="F8945" s="28"/>
      <c r="G8945" s="31"/>
      <c r="H8945" s="32"/>
      <c r="I8945" s="36"/>
      <c r="J8945" s="125">
        <v>0</v>
      </c>
    </row>
    <row r="8946" spans="1:10" s="169" customFormat="1" ht="15.75" hidden="1" thickBot="1" x14ac:dyDescent="0.3">
      <c r="A8946" s="241" t="s">
        <v>19238</v>
      </c>
      <c r="B8946" s="244" t="s">
        <v>22494</v>
      </c>
      <c r="C8946" s="160"/>
      <c r="D8946" s="145" t="s">
        <v>16</v>
      </c>
      <c r="E8946" s="146"/>
      <c r="F8946" s="37" t="s">
        <v>418</v>
      </c>
      <c r="G8946" s="147" t="str">
        <f>IF(ISNUMBER(F8946),E8946*F8946,"")</f>
        <v/>
      </c>
      <c r="H8946" s="148"/>
      <c r="I8946" s="149"/>
      <c r="J8946" s="125">
        <v>0</v>
      </c>
    </row>
    <row r="8947" spans="1:10" s="169" customFormat="1" hidden="1" x14ac:dyDescent="0.25">
      <c r="A8947" s="247"/>
      <c r="B8947" s="245"/>
      <c r="C8947" s="151"/>
      <c r="D8947" s="151"/>
      <c r="E8947" s="152"/>
      <c r="F8947" s="38" t="s">
        <v>418</v>
      </c>
      <c r="G8947" s="31" t="str">
        <f>IF(ISNUMBER(F8947),E8947*F8947,"")</f>
        <v/>
      </c>
      <c r="H8947" s="32"/>
      <c r="I8947" s="28"/>
      <c r="J8947" s="125">
        <v>0</v>
      </c>
    </row>
    <row r="8948" spans="1:10" s="169" customFormat="1" ht="25.5" hidden="1" x14ac:dyDescent="0.25">
      <c r="A8948" s="247"/>
      <c r="B8948" s="245"/>
      <c r="C8948" s="155" t="s">
        <v>28309</v>
      </c>
      <c r="D8948" s="155" t="s">
        <v>205</v>
      </c>
      <c r="E8948" s="130">
        <v>1</v>
      </c>
      <c r="F8948" s="28">
        <v>96.215999999999994</v>
      </c>
      <c r="G8948" s="31">
        <f>IF(ISNUMBER(F8948),E8948*F8948,"")</f>
        <v>96.215999999999994</v>
      </c>
      <c r="H8948" s="35">
        <f t="shared" si="87"/>
        <v>96.215999999999994</v>
      </c>
      <c r="I8948" s="36"/>
      <c r="J8948" s="125">
        <v>0</v>
      </c>
    </row>
    <row r="8949" spans="1:10" s="169" customFormat="1" hidden="1" x14ac:dyDescent="0.25">
      <c r="A8949" s="247"/>
      <c r="B8949" s="245"/>
      <c r="C8949" s="155"/>
      <c r="D8949" s="129"/>
      <c r="E8949" s="130"/>
      <c r="F8949" s="28"/>
      <c r="G8949" s="31"/>
      <c r="H8949" s="32"/>
      <c r="I8949" s="36"/>
      <c r="J8949" s="125">
        <v>0</v>
      </c>
    </row>
    <row r="8950" spans="1:10" s="169" customFormat="1" ht="15.75" hidden="1" thickBot="1" x14ac:dyDescent="0.3">
      <c r="A8950" s="241" t="s">
        <v>19239</v>
      </c>
      <c r="B8950" s="244" t="s">
        <v>22495</v>
      </c>
      <c r="C8950" s="160"/>
      <c r="D8950" s="145" t="s">
        <v>16</v>
      </c>
      <c r="E8950" s="146"/>
      <c r="F8950" s="37" t="s">
        <v>418</v>
      </c>
      <c r="G8950" s="147" t="str">
        <f>IF(ISNUMBER(F8950),E8950*F8950,"")</f>
        <v/>
      </c>
      <c r="H8950" s="148"/>
      <c r="I8950" s="149"/>
      <c r="J8950" s="125">
        <v>0</v>
      </c>
    </row>
    <row r="8951" spans="1:10" s="169" customFormat="1" hidden="1" x14ac:dyDescent="0.25">
      <c r="A8951" s="247"/>
      <c r="B8951" s="245"/>
      <c r="C8951" s="151"/>
      <c r="D8951" s="151"/>
      <c r="E8951" s="152"/>
      <c r="F8951" s="38" t="s">
        <v>418</v>
      </c>
      <c r="G8951" s="31" t="str">
        <f>IF(ISNUMBER(F8951),E8951*F8951,"")</f>
        <v/>
      </c>
      <c r="H8951" s="32"/>
      <c r="I8951" s="28"/>
      <c r="J8951" s="125">
        <v>0</v>
      </c>
    </row>
    <row r="8952" spans="1:10" s="169" customFormat="1" hidden="1" x14ac:dyDescent="0.25">
      <c r="A8952" s="247"/>
      <c r="B8952" s="245"/>
      <c r="C8952" s="155" t="s">
        <v>26593</v>
      </c>
      <c r="D8952" s="155" t="s">
        <v>205</v>
      </c>
      <c r="E8952" s="130">
        <v>1</v>
      </c>
      <c r="F8952" s="28">
        <v>33.202500000000001</v>
      </c>
      <c r="G8952" s="31">
        <f>IF(ISNUMBER(F8952),E8952*F8952,"")</f>
        <v>33.202500000000001</v>
      </c>
      <c r="H8952" s="35">
        <f t="shared" si="87"/>
        <v>33.202500000000001</v>
      </c>
      <c r="I8952" s="36"/>
      <c r="J8952" s="125">
        <v>0</v>
      </c>
    </row>
    <row r="8953" spans="1:10" s="169" customFormat="1" hidden="1" x14ac:dyDescent="0.25">
      <c r="A8953" s="247"/>
      <c r="B8953" s="245"/>
      <c r="C8953" s="155"/>
      <c r="D8953" s="129"/>
      <c r="E8953" s="130"/>
      <c r="F8953" s="28"/>
      <c r="G8953" s="31"/>
      <c r="H8953" s="32"/>
      <c r="I8953" s="36"/>
      <c r="J8953" s="125">
        <v>0</v>
      </c>
    </row>
    <row r="8954" spans="1:10" s="169" customFormat="1" ht="15.75" hidden="1" thickBot="1" x14ac:dyDescent="0.3">
      <c r="A8954" s="241" t="s">
        <v>19240</v>
      </c>
      <c r="B8954" s="244" t="s">
        <v>22496</v>
      </c>
      <c r="C8954" s="160"/>
      <c r="D8954" s="145" t="s">
        <v>16</v>
      </c>
      <c r="E8954" s="146"/>
      <c r="F8954" s="37" t="s">
        <v>418</v>
      </c>
      <c r="G8954" s="147" t="str">
        <f>IF(ISNUMBER(F8954),E8954*F8954,"")</f>
        <v/>
      </c>
      <c r="H8954" s="148"/>
      <c r="I8954" s="149"/>
      <c r="J8954" s="125">
        <v>0</v>
      </c>
    </row>
    <row r="8955" spans="1:10" s="169" customFormat="1" hidden="1" x14ac:dyDescent="0.25">
      <c r="A8955" s="247"/>
      <c r="B8955" s="245"/>
      <c r="C8955" s="151"/>
      <c r="D8955" s="151"/>
      <c r="E8955" s="152"/>
      <c r="F8955" s="38" t="s">
        <v>418</v>
      </c>
      <c r="G8955" s="31" t="str">
        <f>IF(ISNUMBER(F8955),E8955*F8955,"")</f>
        <v/>
      </c>
      <c r="H8955" s="32"/>
      <c r="I8955" s="28"/>
      <c r="J8955" s="125">
        <v>0</v>
      </c>
    </row>
    <row r="8956" spans="1:10" s="169" customFormat="1" hidden="1" x14ac:dyDescent="0.25">
      <c r="A8956" s="247"/>
      <c r="B8956" s="245"/>
      <c r="C8956" s="155" t="s">
        <v>26191</v>
      </c>
      <c r="D8956" s="155" t="s">
        <v>205</v>
      </c>
      <c r="E8956" s="130">
        <v>1</v>
      </c>
      <c r="F8956" s="28">
        <v>33.183499999999995</v>
      </c>
      <c r="G8956" s="31">
        <f>IF(ISNUMBER(F8956),E8956*F8956,"")</f>
        <v>33.183499999999995</v>
      </c>
      <c r="H8956" s="35">
        <f t="shared" si="87"/>
        <v>33.183499999999995</v>
      </c>
      <c r="I8956" s="36"/>
      <c r="J8956" s="125">
        <v>0</v>
      </c>
    </row>
    <row r="8957" spans="1:10" s="169" customFormat="1" hidden="1" x14ac:dyDescent="0.25">
      <c r="A8957" s="247"/>
      <c r="B8957" s="245"/>
      <c r="C8957" s="155"/>
      <c r="D8957" s="129"/>
      <c r="E8957" s="130"/>
      <c r="F8957" s="28"/>
      <c r="G8957" s="31"/>
      <c r="H8957" s="32"/>
      <c r="I8957" s="36"/>
      <c r="J8957" s="125">
        <v>0</v>
      </c>
    </row>
    <row r="8958" spans="1:10" s="169" customFormat="1" ht="15.75" hidden="1" thickBot="1" x14ac:dyDescent="0.3">
      <c r="A8958" s="241" t="s">
        <v>19241</v>
      </c>
      <c r="B8958" s="244" t="s">
        <v>22497</v>
      </c>
      <c r="C8958" s="160"/>
      <c r="D8958" s="145" t="s">
        <v>16</v>
      </c>
      <c r="E8958" s="146"/>
      <c r="F8958" s="37" t="s">
        <v>418</v>
      </c>
      <c r="G8958" s="147" t="str">
        <f>IF(ISNUMBER(F8958),E8958*F8958,"")</f>
        <v/>
      </c>
      <c r="H8958" s="148"/>
      <c r="I8958" s="149"/>
      <c r="J8958" s="125">
        <v>0</v>
      </c>
    </row>
    <row r="8959" spans="1:10" s="169" customFormat="1" hidden="1" x14ac:dyDescent="0.25">
      <c r="A8959" s="247"/>
      <c r="B8959" s="245"/>
      <c r="C8959" s="151"/>
      <c r="D8959" s="151"/>
      <c r="E8959" s="152"/>
      <c r="F8959" s="38" t="s">
        <v>418</v>
      </c>
      <c r="G8959" s="31" t="str">
        <f>IF(ISNUMBER(F8959),E8959*F8959,"")</f>
        <v/>
      </c>
      <c r="H8959" s="32"/>
      <c r="I8959" s="28"/>
      <c r="J8959" s="125">
        <v>0</v>
      </c>
    </row>
    <row r="8960" spans="1:10" s="169" customFormat="1" hidden="1" x14ac:dyDescent="0.25">
      <c r="A8960" s="247"/>
      <c r="B8960" s="245"/>
      <c r="C8960" s="155" t="s">
        <v>24376</v>
      </c>
      <c r="D8960" s="155" t="s">
        <v>205</v>
      </c>
      <c r="E8960" s="130">
        <v>1</v>
      </c>
      <c r="F8960" s="28">
        <v>26.181999999999999</v>
      </c>
      <c r="G8960" s="31">
        <f>IF(ISNUMBER(F8960),E8960*F8960,"")</f>
        <v>26.181999999999999</v>
      </c>
      <c r="H8960" s="35">
        <f t="shared" si="87"/>
        <v>26.181999999999999</v>
      </c>
      <c r="I8960" s="36"/>
      <c r="J8960" s="125">
        <v>0</v>
      </c>
    </row>
    <row r="8961" spans="1:10" s="169" customFormat="1" hidden="1" x14ac:dyDescent="0.25">
      <c r="A8961" s="247"/>
      <c r="B8961" s="245"/>
      <c r="C8961" s="155"/>
      <c r="D8961" s="129"/>
      <c r="E8961" s="130"/>
      <c r="F8961" s="28"/>
      <c r="G8961" s="31"/>
      <c r="H8961" s="32"/>
      <c r="I8961" s="36"/>
      <c r="J8961" s="125">
        <v>0</v>
      </c>
    </row>
    <row r="8962" spans="1:10" s="169" customFormat="1" ht="15.75" hidden="1" thickBot="1" x14ac:dyDescent="0.3">
      <c r="A8962" s="241" t="s">
        <v>19242</v>
      </c>
      <c r="B8962" s="244" t="s">
        <v>22498</v>
      </c>
      <c r="C8962" s="160"/>
      <c r="D8962" s="145" t="s">
        <v>16</v>
      </c>
      <c r="E8962" s="146"/>
      <c r="F8962" s="37" t="s">
        <v>418</v>
      </c>
      <c r="G8962" s="147" t="str">
        <f>IF(ISNUMBER(F8962),E8962*F8962,"")</f>
        <v/>
      </c>
      <c r="H8962" s="148"/>
      <c r="I8962" s="149"/>
      <c r="J8962" s="125">
        <v>0</v>
      </c>
    </row>
    <row r="8963" spans="1:10" s="169" customFormat="1" hidden="1" x14ac:dyDescent="0.25">
      <c r="A8963" s="247"/>
      <c r="B8963" s="245"/>
      <c r="C8963" s="151"/>
      <c r="D8963" s="151"/>
      <c r="E8963" s="152"/>
      <c r="F8963" s="38" t="s">
        <v>418</v>
      </c>
      <c r="G8963" s="31" t="str">
        <f>IF(ISNUMBER(F8963),E8963*F8963,"")</f>
        <v/>
      </c>
      <c r="H8963" s="32"/>
      <c r="I8963" s="28"/>
      <c r="J8963" s="125">
        <v>0</v>
      </c>
    </row>
    <row r="8964" spans="1:10" s="169" customFormat="1" hidden="1" x14ac:dyDescent="0.25">
      <c r="A8964" s="247"/>
      <c r="B8964" s="245"/>
      <c r="C8964" s="155" t="s">
        <v>27520</v>
      </c>
      <c r="D8964" s="155" t="s">
        <v>205</v>
      </c>
      <c r="E8964" s="130">
        <v>1</v>
      </c>
      <c r="F8964" s="28">
        <v>62.671499999999995</v>
      </c>
      <c r="G8964" s="31">
        <f>IF(ISNUMBER(F8964),E8964*F8964,"")</f>
        <v>62.671499999999995</v>
      </c>
      <c r="H8964" s="35">
        <f t="shared" ref="H8964:H9004" si="88">SUM(G8964:G8964)</f>
        <v>62.671499999999995</v>
      </c>
      <c r="I8964" s="36"/>
      <c r="J8964" s="125">
        <v>0</v>
      </c>
    </row>
    <row r="8965" spans="1:10" s="169" customFormat="1" hidden="1" x14ac:dyDescent="0.25">
      <c r="A8965" s="247"/>
      <c r="B8965" s="245"/>
      <c r="C8965" s="155"/>
      <c r="D8965" s="129"/>
      <c r="E8965" s="130"/>
      <c r="F8965" s="28"/>
      <c r="G8965" s="31"/>
      <c r="H8965" s="32"/>
      <c r="I8965" s="36"/>
      <c r="J8965" s="125">
        <v>0</v>
      </c>
    </row>
    <row r="8966" spans="1:10" s="169" customFormat="1" ht="15.75" hidden="1" thickBot="1" x14ac:dyDescent="0.3">
      <c r="A8966" s="241" t="s">
        <v>19243</v>
      </c>
      <c r="B8966" s="244" t="s">
        <v>22499</v>
      </c>
      <c r="C8966" s="160"/>
      <c r="D8966" s="145" t="s">
        <v>16</v>
      </c>
      <c r="E8966" s="146"/>
      <c r="F8966" s="37" t="s">
        <v>418</v>
      </c>
      <c r="G8966" s="147" t="str">
        <f>IF(ISNUMBER(F8966),E8966*F8966,"")</f>
        <v/>
      </c>
      <c r="H8966" s="148"/>
      <c r="I8966" s="149"/>
      <c r="J8966" s="125">
        <v>0</v>
      </c>
    </row>
    <row r="8967" spans="1:10" s="169" customFormat="1" hidden="1" x14ac:dyDescent="0.25">
      <c r="A8967" s="247"/>
      <c r="B8967" s="245"/>
      <c r="C8967" s="151"/>
      <c r="D8967" s="151"/>
      <c r="E8967" s="152"/>
      <c r="F8967" s="38" t="s">
        <v>418</v>
      </c>
      <c r="G8967" s="31" t="str">
        <f>IF(ISNUMBER(F8967),E8967*F8967,"")</f>
        <v/>
      </c>
      <c r="H8967" s="32"/>
      <c r="I8967" s="28"/>
      <c r="J8967" s="125">
        <v>0</v>
      </c>
    </row>
    <row r="8968" spans="1:10" s="169" customFormat="1" hidden="1" x14ac:dyDescent="0.25">
      <c r="A8968" s="247"/>
      <c r="B8968" s="245"/>
      <c r="C8968" s="155" t="s">
        <v>26951</v>
      </c>
      <c r="D8968" s="155" t="s">
        <v>205</v>
      </c>
      <c r="E8968" s="130">
        <v>1</v>
      </c>
      <c r="F8968" s="28">
        <v>19.6935</v>
      </c>
      <c r="G8968" s="31">
        <f>IF(ISNUMBER(F8968),E8968*F8968,"")</f>
        <v>19.6935</v>
      </c>
      <c r="H8968" s="35">
        <f t="shared" si="88"/>
        <v>19.6935</v>
      </c>
      <c r="I8968" s="36"/>
      <c r="J8968" s="125">
        <v>0</v>
      </c>
    </row>
    <row r="8969" spans="1:10" s="169" customFormat="1" hidden="1" x14ac:dyDescent="0.25">
      <c r="A8969" s="247"/>
      <c r="B8969" s="245"/>
      <c r="C8969" s="155"/>
      <c r="D8969" s="129"/>
      <c r="E8969" s="130"/>
      <c r="F8969" s="28"/>
      <c r="G8969" s="31"/>
      <c r="H8969" s="32"/>
      <c r="I8969" s="36"/>
      <c r="J8969" s="125">
        <v>0</v>
      </c>
    </row>
    <row r="8970" spans="1:10" s="169" customFormat="1" ht="15.75" hidden="1" thickBot="1" x14ac:dyDescent="0.3">
      <c r="A8970" s="241" t="s">
        <v>19244</v>
      </c>
      <c r="B8970" s="244" t="s">
        <v>22500</v>
      </c>
      <c r="C8970" s="160"/>
      <c r="D8970" s="145" t="s">
        <v>69</v>
      </c>
      <c r="E8970" s="146"/>
      <c r="F8970" s="37" t="s">
        <v>418</v>
      </c>
      <c r="G8970" s="147" t="str">
        <f>IF(ISNUMBER(F8970),E8970*F8970,"")</f>
        <v/>
      </c>
      <c r="H8970" s="148"/>
      <c r="I8970" s="149"/>
      <c r="J8970" s="125">
        <v>0</v>
      </c>
    </row>
    <row r="8971" spans="1:10" s="169" customFormat="1" hidden="1" x14ac:dyDescent="0.25">
      <c r="A8971" s="247"/>
      <c r="B8971" s="245"/>
      <c r="C8971" s="151"/>
      <c r="D8971" s="151"/>
      <c r="E8971" s="152"/>
      <c r="F8971" s="38" t="s">
        <v>418</v>
      </c>
      <c r="G8971" s="31" t="str">
        <f>IF(ISNUMBER(F8971),E8971*F8971,"")</f>
        <v/>
      </c>
      <c r="H8971" s="32"/>
      <c r="I8971" s="28"/>
      <c r="J8971" s="125">
        <v>0</v>
      </c>
    </row>
    <row r="8972" spans="1:10" s="169" customFormat="1" ht="25.5" hidden="1" x14ac:dyDescent="0.25">
      <c r="A8972" s="247"/>
      <c r="B8972" s="245"/>
      <c r="C8972" s="155" t="s">
        <v>27964</v>
      </c>
      <c r="D8972" s="155" t="s">
        <v>385</v>
      </c>
      <c r="E8972" s="130">
        <v>1</v>
      </c>
      <c r="F8972" s="28">
        <v>183.70149999999998</v>
      </c>
      <c r="G8972" s="31">
        <f>IF(ISNUMBER(F8972),E8972*F8972,"")</f>
        <v>183.70149999999998</v>
      </c>
      <c r="H8972" s="35">
        <f t="shared" si="88"/>
        <v>183.70149999999998</v>
      </c>
      <c r="I8972" s="36"/>
      <c r="J8972" s="125">
        <v>0</v>
      </c>
    </row>
    <row r="8973" spans="1:10" s="169" customFormat="1" hidden="1" x14ac:dyDescent="0.25">
      <c r="A8973" s="247"/>
      <c r="B8973" s="245"/>
      <c r="C8973" s="155"/>
      <c r="D8973" s="129"/>
      <c r="E8973" s="130"/>
      <c r="F8973" s="28"/>
      <c r="G8973" s="31"/>
      <c r="H8973" s="32"/>
      <c r="I8973" s="36"/>
      <c r="J8973" s="125">
        <v>0</v>
      </c>
    </row>
    <row r="8974" spans="1:10" s="169" customFormat="1" ht="15.75" hidden="1" thickBot="1" x14ac:dyDescent="0.3">
      <c r="A8974" s="241" t="s">
        <v>19245</v>
      </c>
      <c r="B8974" s="244" t="s">
        <v>22501</v>
      </c>
      <c r="C8974" s="160"/>
      <c r="D8974" s="145" t="s">
        <v>16</v>
      </c>
      <c r="E8974" s="146"/>
      <c r="F8974" s="37" t="s">
        <v>418</v>
      </c>
      <c r="G8974" s="147" t="str">
        <f>IF(ISNUMBER(F8974),E8974*F8974,"")</f>
        <v/>
      </c>
      <c r="H8974" s="148"/>
      <c r="I8974" s="149"/>
      <c r="J8974" s="125">
        <v>0</v>
      </c>
    </row>
    <row r="8975" spans="1:10" s="169" customFormat="1" hidden="1" x14ac:dyDescent="0.25">
      <c r="A8975" s="247"/>
      <c r="B8975" s="245"/>
      <c r="C8975" s="151"/>
      <c r="D8975" s="151"/>
      <c r="E8975" s="152"/>
      <c r="F8975" s="38" t="s">
        <v>418</v>
      </c>
      <c r="G8975" s="31" t="str">
        <f>IF(ISNUMBER(F8975),E8975*F8975,"")</f>
        <v/>
      </c>
      <c r="H8975" s="32"/>
      <c r="I8975" s="28"/>
      <c r="J8975" s="125">
        <v>0</v>
      </c>
    </row>
    <row r="8976" spans="1:10" s="169" customFormat="1" ht="25.5" hidden="1" x14ac:dyDescent="0.25">
      <c r="A8976" s="247"/>
      <c r="B8976" s="245"/>
      <c r="C8976" s="155" t="s">
        <v>24853</v>
      </c>
      <c r="D8976" s="155" t="s">
        <v>205</v>
      </c>
      <c r="E8976" s="130">
        <v>1</v>
      </c>
      <c r="F8976" s="28">
        <v>111.872</v>
      </c>
      <c r="G8976" s="31">
        <f>IF(ISNUMBER(F8976),E8976*F8976,"")</f>
        <v>111.872</v>
      </c>
      <c r="H8976" s="35">
        <f t="shared" si="88"/>
        <v>111.872</v>
      </c>
      <c r="I8976" s="36"/>
      <c r="J8976" s="125">
        <v>0</v>
      </c>
    </row>
    <row r="8977" spans="1:10" s="169" customFormat="1" hidden="1" x14ac:dyDescent="0.25">
      <c r="A8977" s="247"/>
      <c r="B8977" s="245"/>
      <c r="C8977" s="155"/>
      <c r="D8977" s="129"/>
      <c r="E8977" s="130"/>
      <c r="F8977" s="28"/>
      <c r="G8977" s="31"/>
      <c r="H8977" s="32"/>
      <c r="I8977" s="36"/>
      <c r="J8977" s="125">
        <v>0</v>
      </c>
    </row>
    <row r="8978" spans="1:10" s="169" customFormat="1" ht="15.75" hidden="1" thickBot="1" x14ac:dyDescent="0.3">
      <c r="A8978" s="241" t="s">
        <v>19246</v>
      </c>
      <c r="B8978" s="244" t="s">
        <v>22502</v>
      </c>
      <c r="C8978" s="160"/>
      <c r="D8978" s="145" t="s">
        <v>16</v>
      </c>
      <c r="E8978" s="146"/>
      <c r="F8978" s="37" t="s">
        <v>418</v>
      </c>
      <c r="G8978" s="147" t="str">
        <f>IF(ISNUMBER(F8978),E8978*F8978,"")</f>
        <v/>
      </c>
      <c r="H8978" s="148"/>
      <c r="I8978" s="149"/>
      <c r="J8978" s="125">
        <v>0</v>
      </c>
    </row>
    <row r="8979" spans="1:10" s="169" customFormat="1" hidden="1" x14ac:dyDescent="0.25">
      <c r="A8979" s="247"/>
      <c r="B8979" s="245"/>
      <c r="C8979" s="151"/>
      <c r="D8979" s="151"/>
      <c r="E8979" s="152"/>
      <c r="F8979" s="38" t="s">
        <v>418</v>
      </c>
      <c r="G8979" s="31" t="str">
        <f>IF(ISNUMBER(F8979),E8979*F8979,"")</f>
        <v/>
      </c>
      <c r="H8979" s="32"/>
      <c r="I8979" s="28"/>
      <c r="J8979" s="125">
        <v>0</v>
      </c>
    </row>
    <row r="8980" spans="1:10" s="169" customFormat="1" ht="25.5" hidden="1" x14ac:dyDescent="0.25">
      <c r="A8980" s="247"/>
      <c r="B8980" s="245"/>
      <c r="C8980" s="155" t="s">
        <v>28308</v>
      </c>
      <c r="D8980" s="155" t="s">
        <v>205</v>
      </c>
      <c r="E8980" s="130">
        <v>1</v>
      </c>
      <c r="F8980" s="28">
        <v>159.19149999999999</v>
      </c>
      <c r="G8980" s="31">
        <f>IF(ISNUMBER(F8980),E8980*F8980,"")</f>
        <v>159.19149999999999</v>
      </c>
      <c r="H8980" s="35">
        <f t="shared" si="88"/>
        <v>159.19149999999999</v>
      </c>
      <c r="I8980" s="36"/>
      <c r="J8980" s="125">
        <v>0</v>
      </c>
    </row>
    <row r="8981" spans="1:10" s="169" customFormat="1" hidden="1" x14ac:dyDescent="0.25">
      <c r="A8981" s="247"/>
      <c r="B8981" s="245"/>
      <c r="C8981" s="155"/>
      <c r="D8981" s="129"/>
      <c r="E8981" s="130"/>
      <c r="F8981" s="28"/>
      <c r="G8981" s="31"/>
      <c r="H8981" s="32"/>
      <c r="I8981" s="36"/>
      <c r="J8981" s="125">
        <v>0</v>
      </c>
    </row>
    <row r="8982" spans="1:10" s="169" customFormat="1" ht="15.75" hidden="1" thickBot="1" x14ac:dyDescent="0.3">
      <c r="A8982" s="241" t="s">
        <v>19247</v>
      </c>
      <c r="B8982" s="244" t="s">
        <v>22503</v>
      </c>
      <c r="C8982" s="160"/>
      <c r="D8982" s="145" t="s">
        <v>16</v>
      </c>
      <c r="E8982" s="146"/>
      <c r="F8982" s="37" t="s">
        <v>418</v>
      </c>
      <c r="G8982" s="147" t="str">
        <f>IF(ISNUMBER(F8982),E8982*F8982,"")</f>
        <v/>
      </c>
      <c r="H8982" s="148"/>
      <c r="I8982" s="149"/>
      <c r="J8982" s="125">
        <v>0</v>
      </c>
    </row>
    <row r="8983" spans="1:10" s="169" customFormat="1" hidden="1" x14ac:dyDescent="0.25">
      <c r="A8983" s="247"/>
      <c r="B8983" s="245"/>
      <c r="C8983" s="151"/>
      <c r="D8983" s="151"/>
      <c r="E8983" s="152"/>
      <c r="F8983" s="38" t="s">
        <v>418</v>
      </c>
      <c r="G8983" s="31" t="str">
        <f>IF(ISNUMBER(F8983),E8983*F8983,"")</f>
        <v/>
      </c>
      <c r="H8983" s="32"/>
      <c r="I8983" s="28"/>
      <c r="J8983" s="125">
        <v>0</v>
      </c>
    </row>
    <row r="8984" spans="1:10" s="169" customFormat="1" hidden="1" x14ac:dyDescent="0.25">
      <c r="A8984" s="247"/>
      <c r="B8984" s="245"/>
      <c r="C8984" s="155" t="s">
        <v>26592</v>
      </c>
      <c r="D8984" s="155" t="s">
        <v>205</v>
      </c>
      <c r="E8984" s="130">
        <v>1</v>
      </c>
      <c r="F8984" s="28">
        <v>50.824999999999996</v>
      </c>
      <c r="G8984" s="31">
        <f>IF(ISNUMBER(F8984),E8984*F8984,"")</f>
        <v>50.824999999999996</v>
      </c>
      <c r="H8984" s="35">
        <f t="shared" si="88"/>
        <v>50.824999999999996</v>
      </c>
      <c r="I8984" s="36"/>
      <c r="J8984" s="125">
        <v>0</v>
      </c>
    </row>
    <row r="8985" spans="1:10" s="169" customFormat="1" hidden="1" x14ac:dyDescent="0.25">
      <c r="A8985" s="247"/>
      <c r="B8985" s="245"/>
      <c r="C8985" s="155"/>
      <c r="D8985" s="129"/>
      <c r="E8985" s="130"/>
      <c r="F8985" s="28"/>
      <c r="G8985" s="31"/>
      <c r="H8985" s="32"/>
      <c r="I8985" s="36"/>
      <c r="J8985" s="125">
        <v>0</v>
      </c>
    </row>
    <row r="8986" spans="1:10" s="169" customFormat="1" ht="15.75" hidden="1" thickBot="1" x14ac:dyDescent="0.3">
      <c r="A8986" s="241" t="s">
        <v>19248</v>
      </c>
      <c r="B8986" s="244" t="s">
        <v>22504</v>
      </c>
      <c r="C8986" s="160"/>
      <c r="D8986" s="145" t="s">
        <v>16</v>
      </c>
      <c r="E8986" s="146"/>
      <c r="F8986" s="37" t="s">
        <v>418</v>
      </c>
      <c r="G8986" s="147" t="str">
        <f>IF(ISNUMBER(F8986),E8986*F8986,"")</f>
        <v/>
      </c>
      <c r="H8986" s="148"/>
      <c r="I8986" s="149"/>
      <c r="J8986" s="125">
        <v>0</v>
      </c>
    </row>
    <row r="8987" spans="1:10" s="169" customFormat="1" hidden="1" x14ac:dyDescent="0.25">
      <c r="A8987" s="247"/>
      <c r="B8987" s="245"/>
      <c r="C8987" s="151"/>
      <c r="D8987" s="151"/>
      <c r="E8987" s="152"/>
      <c r="F8987" s="38" t="s">
        <v>418</v>
      </c>
      <c r="G8987" s="31" t="str">
        <f>IF(ISNUMBER(F8987),E8987*F8987,"")</f>
        <v/>
      </c>
      <c r="H8987" s="32"/>
      <c r="I8987" s="28"/>
      <c r="J8987" s="125">
        <v>0</v>
      </c>
    </row>
    <row r="8988" spans="1:10" s="169" customFormat="1" hidden="1" x14ac:dyDescent="0.25">
      <c r="A8988" s="247"/>
      <c r="B8988" s="245"/>
      <c r="C8988" s="155" t="s">
        <v>26189</v>
      </c>
      <c r="D8988" s="155" t="s">
        <v>205</v>
      </c>
      <c r="E8988" s="130">
        <v>1</v>
      </c>
      <c r="F8988" s="28">
        <v>60.533999999999999</v>
      </c>
      <c r="G8988" s="31">
        <f>IF(ISNUMBER(F8988),E8988*F8988,"")</f>
        <v>60.533999999999999</v>
      </c>
      <c r="H8988" s="35">
        <f t="shared" si="88"/>
        <v>60.533999999999999</v>
      </c>
      <c r="I8988" s="36"/>
      <c r="J8988" s="125">
        <v>0</v>
      </c>
    </row>
    <row r="8989" spans="1:10" s="169" customFormat="1" hidden="1" x14ac:dyDescent="0.25">
      <c r="A8989" s="247"/>
      <c r="B8989" s="245"/>
      <c r="C8989" s="155"/>
      <c r="D8989" s="129"/>
      <c r="E8989" s="130"/>
      <c r="F8989" s="28"/>
      <c r="G8989" s="31"/>
      <c r="H8989" s="32"/>
      <c r="I8989" s="36"/>
      <c r="J8989" s="125">
        <v>0</v>
      </c>
    </row>
    <row r="8990" spans="1:10" s="169" customFormat="1" ht="15.75" hidden="1" thickBot="1" x14ac:dyDescent="0.3">
      <c r="A8990" s="241" t="s">
        <v>19249</v>
      </c>
      <c r="B8990" s="244" t="s">
        <v>22505</v>
      </c>
      <c r="C8990" s="160"/>
      <c r="D8990" s="145" t="s">
        <v>16</v>
      </c>
      <c r="E8990" s="146"/>
      <c r="F8990" s="37" t="s">
        <v>418</v>
      </c>
      <c r="G8990" s="147" t="str">
        <f>IF(ISNUMBER(F8990),E8990*F8990,"")</f>
        <v/>
      </c>
      <c r="H8990" s="148"/>
      <c r="I8990" s="149"/>
      <c r="J8990" s="125">
        <v>0</v>
      </c>
    </row>
    <row r="8991" spans="1:10" s="169" customFormat="1" hidden="1" x14ac:dyDescent="0.25">
      <c r="A8991" s="247"/>
      <c r="B8991" s="245"/>
      <c r="C8991" s="151"/>
      <c r="D8991" s="151"/>
      <c r="E8991" s="152"/>
      <c r="F8991" s="38" t="s">
        <v>418</v>
      </c>
      <c r="G8991" s="31" t="str">
        <f>IF(ISNUMBER(F8991),E8991*F8991,"")</f>
        <v/>
      </c>
      <c r="H8991" s="32"/>
      <c r="I8991" s="28"/>
      <c r="J8991" s="125">
        <v>0</v>
      </c>
    </row>
    <row r="8992" spans="1:10" s="169" customFormat="1" ht="25.5" hidden="1" x14ac:dyDescent="0.25">
      <c r="A8992" s="247"/>
      <c r="B8992" s="245"/>
      <c r="C8992" s="155" t="s">
        <v>24375</v>
      </c>
      <c r="D8992" s="155" t="s">
        <v>205</v>
      </c>
      <c r="E8992" s="130">
        <v>1</v>
      </c>
      <c r="F8992" s="28">
        <v>47.224499999999999</v>
      </c>
      <c r="G8992" s="31">
        <f>IF(ISNUMBER(F8992),E8992*F8992,"")</f>
        <v>47.224499999999999</v>
      </c>
      <c r="H8992" s="35">
        <f t="shared" si="88"/>
        <v>47.224499999999999</v>
      </c>
      <c r="I8992" s="36"/>
      <c r="J8992" s="125">
        <v>0</v>
      </c>
    </row>
    <row r="8993" spans="1:10" s="169" customFormat="1" hidden="1" x14ac:dyDescent="0.25">
      <c r="A8993" s="247"/>
      <c r="B8993" s="245"/>
      <c r="C8993" s="155"/>
      <c r="D8993" s="129"/>
      <c r="E8993" s="130"/>
      <c r="F8993" s="28"/>
      <c r="G8993" s="31"/>
      <c r="H8993" s="32"/>
      <c r="I8993" s="36"/>
      <c r="J8993" s="125">
        <v>0</v>
      </c>
    </row>
    <row r="8994" spans="1:10" s="169" customFormat="1" ht="15.75" hidden="1" thickBot="1" x14ac:dyDescent="0.3">
      <c r="A8994" s="241" t="s">
        <v>19250</v>
      </c>
      <c r="B8994" s="244" t="s">
        <v>22506</v>
      </c>
      <c r="C8994" s="160"/>
      <c r="D8994" s="145" t="s">
        <v>16</v>
      </c>
      <c r="E8994" s="146"/>
      <c r="F8994" s="37" t="s">
        <v>418</v>
      </c>
      <c r="G8994" s="147" t="str">
        <f>IF(ISNUMBER(F8994),E8994*F8994,"")</f>
        <v/>
      </c>
      <c r="H8994" s="148"/>
      <c r="I8994" s="149"/>
      <c r="J8994" s="125">
        <v>0</v>
      </c>
    </row>
    <row r="8995" spans="1:10" s="169" customFormat="1" hidden="1" x14ac:dyDescent="0.25">
      <c r="A8995" s="247"/>
      <c r="B8995" s="245"/>
      <c r="C8995" s="151"/>
      <c r="D8995" s="151"/>
      <c r="E8995" s="152"/>
      <c r="F8995" s="38" t="s">
        <v>418</v>
      </c>
      <c r="G8995" s="31" t="str">
        <f>IF(ISNUMBER(F8995),E8995*F8995,"")</f>
        <v/>
      </c>
      <c r="H8995" s="32"/>
      <c r="I8995" s="28"/>
      <c r="J8995" s="125">
        <v>0</v>
      </c>
    </row>
    <row r="8996" spans="1:10" s="169" customFormat="1" hidden="1" x14ac:dyDescent="0.25">
      <c r="A8996" s="247"/>
      <c r="B8996" s="245"/>
      <c r="C8996" s="155" t="s">
        <v>27519</v>
      </c>
      <c r="D8996" s="155" t="s">
        <v>205</v>
      </c>
      <c r="E8996" s="130">
        <v>1</v>
      </c>
      <c r="F8996" s="28">
        <v>118.997</v>
      </c>
      <c r="G8996" s="31">
        <f>IF(ISNUMBER(F8996),E8996*F8996,"")</f>
        <v>118.997</v>
      </c>
      <c r="H8996" s="35">
        <f t="shared" si="88"/>
        <v>118.997</v>
      </c>
      <c r="I8996" s="36"/>
      <c r="J8996" s="125">
        <v>0</v>
      </c>
    </row>
    <row r="8997" spans="1:10" s="169" customFormat="1" hidden="1" x14ac:dyDescent="0.25">
      <c r="A8997" s="247"/>
      <c r="B8997" s="245"/>
      <c r="C8997" s="155"/>
      <c r="D8997" s="129"/>
      <c r="E8997" s="130"/>
      <c r="F8997" s="28"/>
      <c r="G8997" s="31"/>
      <c r="H8997" s="32"/>
      <c r="I8997" s="36"/>
      <c r="J8997" s="125">
        <v>0</v>
      </c>
    </row>
    <row r="8998" spans="1:10" s="169" customFormat="1" ht="15.75" hidden="1" thickBot="1" x14ac:dyDescent="0.3">
      <c r="A8998" s="241" t="s">
        <v>19251</v>
      </c>
      <c r="B8998" s="244" t="s">
        <v>22507</v>
      </c>
      <c r="C8998" s="160"/>
      <c r="D8998" s="145" t="s">
        <v>16</v>
      </c>
      <c r="E8998" s="146"/>
      <c r="F8998" s="37" t="s">
        <v>418</v>
      </c>
      <c r="G8998" s="147" t="str">
        <f>IF(ISNUMBER(F8998),E8998*F8998,"")</f>
        <v/>
      </c>
      <c r="H8998" s="148"/>
      <c r="I8998" s="149"/>
      <c r="J8998" s="125">
        <v>0</v>
      </c>
    </row>
    <row r="8999" spans="1:10" s="169" customFormat="1" hidden="1" x14ac:dyDescent="0.25">
      <c r="A8999" s="247"/>
      <c r="B8999" s="245"/>
      <c r="C8999" s="151"/>
      <c r="D8999" s="151"/>
      <c r="E8999" s="152"/>
      <c r="F8999" s="38" t="s">
        <v>418</v>
      </c>
      <c r="G8999" s="31" t="str">
        <f>IF(ISNUMBER(F8999),E8999*F8999,"")</f>
        <v/>
      </c>
      <c r="H8999" s="32"/>
      <c r="I8999" s="28"/>
      <c r="J8999" s="125">
        <v>0</v>
      </c>
    </row>
    <row r="9000" spans="1:10" s="169" customFormat="1" hidden="1" x14ac:dyDescent="0.25">
      <c r="A9000" s="247"/>
      <c r="B9000" s="245"/>
      <c r="C9000" s="155" t="s">
        <v>26949</v>
      </c>
      <c r="D9000" s="155" t="s">
        <v>205</v>
      </c>
      <c r="E9000" s="130">
        <v>1</v>
      </c>
      <c r="F9000" s="28">
        <v>39.387</v>
      </c>
      <c r="G9000" s="31">
        <f>IF(ISNUMBER(F9000),E9000*F9000,"")</f>
        <v>39.387</v>
      </c>
      <c r="H9000" s="35">
        <f t="shared" si="88"/>
        <v>39.387</v>
      </c>
      <c r="I9000" s="36"/>
      <c r="J9000" s="125">
        <v>0</v>
      </c>
    </row>
    <row r="9001" spans="1:10" s="169" customFormat="1" hidden="1" x14ac:dyDescent="0.25">
      <c r="A9001" s="247"/>
      <c r="B9001" s="245"/>
      <c r="C9001" s="155"/>
      <c r="D9001" s="129"/>
      <c r="E9001" s="130"/>
      <c r="F9001" s="28"/>
      <c r="G9001" s="31"/>
      <c r="H9001" s="32"/>
      <c r="I9001" s="36"/>
      <c r="J9001" s="125">
        <v>0</v>
      </c>
    </row>
    <row r="9002" spans="1:10" s="169" customFormat="1" ht="15.75" hidden="1" thickBot="1" x14ac:dyDescent="0.3">
      <c r="A9002" s="241" t="s">
        <v>19252</v>
      </c>
      <c r="B9002" s="244" t="s">
        <v>22508</v>
      </c>
      <c r="C9002" s="160"/>
      <c r="D9002" s="145" t="s">
        <v>69</v>
      </c>
      <c r="E9002" s="146"/>
      <c r="F9002" s="37" t="s">
        <v>418</v>
      </c>
      <c r="G9002" s="147" t="str">
        <f>IF(ISNUMBER(F9002),E9002*F9002,"")</f>
        <v/>
      </c>
      <c r="H9002" s="148"/>
      <c r="I9002" s="149"/>
      <c r="J9002" s="125">
        <v>0</v>
      </c>
    </row>
    <row r="9003" spans="1:10" s="169" customFormat="1" hidden="1" x14ac:dyDescent="0.25">
      <c r="A9003" s="247"/>
      <c r="B9003" s="245"/>
      <c r="C9003" s="151"/>
      <c r="D9003" s="151"/>
      <c r="E9003" s="152"/>
      <c r="F9003" s="38" t="s">
        <v>418</v>
      </c>
      <c r="G9003" s="31" t="str">
        <f>IF(ISNUMBER(F9003),E9003*F9003,"")</f>
        <v/>
      </c>
      <c r="H9003" s="32"/>
      <c r="I9003" s="28"/>
      <c r="J9003" s="125">
        <v>0</v>
      </c>
    </row>
    <row r="9004" spans="1:10" s="169" customFormat="1" ht="25.5" hidden="1" x14ac:dyDescent="0.25">
      <c r="A9004" s="247"/>
      <c r="B9004" s="245"/>
      <c r="C9004" s="155" t="s">
        <v>27969</v>
      </c>
      <c r="D9004" s="155" t="s">
        <v>385</v>
      </c>
      <c r="E9004" s="130">
        <v>1</v>
      </c>
      <c r="F9004" s="28">
        <v>231.27749999999997</v>
      </c>
      <c r="G9004" s="31">
        <f>IF(ISNUMBER(F9004),E9004*F9004,"")</f>
        <v>231.27749999999997</v>
      </c>
      <c r="H9004" s="35">
        <f t="shared" si="88"/>
        <v>231.27749999999997</v>
      </c>
      <c r="I9004" s="36"/>
      <c r="J9004" s="125">
        <v>0</v>
      </c>
    </row>
    <row r="9005" spans="1:10" s="169" customFormat="1" hidden="1" x14ac:dyDescent="0.25">
      <c r="A9005" s="247"/>
      <c r="B9005" s="245"/>
      <c r="C9005" s="155"/>
      <c r="D9005" s="129"/>
      <c r="E9005" s="130"/>
      <c r="F9005" s="28"/>
      <c r="G9005" s="31"/>
      <c r="H9005" s="32"/>
      <c r="I9005" s="36"/>
      <c r="J9005" s="125">
        <v>0</v>
      </c>
    </row>
    <row r="9006" spans="1:10" s="169" customFormat="1" ht="15.75" hidden="1" thickBot="1" x14ac:dyDescent="0.3">
      <c r="A9006" s="241" t="s">
        <v>20677</v>
      </c>
      <c r="B9006" s="244" t="s">
        <v>22520</v>
      </c>
      <c r="C9006" s="160"/>
      <c r="D9006" s="145" t="s">
        <v>69</v>
      </c>
      <c r="E9006" s="146"/>
      <c r="F9006" s="37" t="s">
        <v>418</v>
      </c>
      <c r="G9006" s="147" t="str">
        <f>IF(ISNUMBER(F9006),E9006*F9006,"")</f>
        <v/>
      </c>
      <c r="H9006" s="148"/>
      <c r="I9006" s="149"/>
      <c r="J9006" s="125">
        <v>0</v>
      </c>
    </row>
    <row r="9007" spans="1:10" s="169" customFormat="1" hidden="1" x14ac:dyDescent="0.25">
      <c r="A9007" s="247"/>
      <c r="B9007" s="245"/>
      <c r="C9007" s="151"/>
      <c r="D9007" s="151"/>
      <c r="E9007" s="152"/>
      <c r="F9007" s="38" t="s">
        <v>418</v>
      </c>
      <c r="G9007" s="31" t="str">
        <f>IF(ISNUMBER(F9007),E9007*F9007,"")</f>
        <v/>
      </c>
      <c r="H9007" s="32"/>
      <c r="I9007" s="28"/>
      <c r="J9007" s="125">
        <v>0</v>
      </c>
    </row>
    <row r="9008" spans="1:10" s="169" customFormat="1" ht="25.5" hidden="1" x14ac:dyDescent="0.25">
      <c r="A9008" s="247"/>
      <c r="B9008" s="245"/>
      <c r="C9008" s="155" t="s">
        <v>27970</v>
      </c>
      <c r="D9008" s="155" t="s">
        <v>385</v>
      </c>
      <c r="E9008" s="130">
        <v>1</v>
      </c>
      <c r="F9008" s="28">
        <v>336.51850000000002</v>
      </c>
      <c r="G9008" s="31">
        <f>IF(ISNUMBER(F9008),E9008*F9008,"")</f>
        <v>336.51850000000002</v>
      </c>
      <c r="H9008" s="35">
        <f t="shared" ref="H9008:H9012" si="89">SUM(G9008:G9008)</f>
        <v>336.51850000000002</v>
      </c>
      <c r="I9008" s="36"/>
      <c r="J9008" s="125">
        <v>0</v>
      </c>
    </row>
    <row r="9009" spans="1:10" s="169" customFormat="1" hidden="1" x14ac:dyDescent="0.25">
      <c r="A9009" s="247"/>
      <c r="B9009" s="245"/>
      <c r="C9009" s="155"/>
      <c r="D9009" s="129"/>
      <c r="E9009" s="130"/>
      <c r="F9009" s="28"/>
      <c r="G9009" s="31"/>
      <c r="H9009" s="32"/>
      <c r="I9009" s="36"/>
      <c r="J9009" s="125">
        <v>0</v>
      </c>
    </row>
    <row r="9010" spans="1:10" s="169" customFormat="1" ht="15.75" hidden="1" thickBot="1" x14ac:dyDescent="0.3">
      <c r="A9010" s="241" t="s">
        <v>20683</v>
      </c>
      <c r="B9010" s="244" t="s">
        <v>22526</v>
      </c>
      <c r="C9010" s="160"/>
      <c r="D9010" s="145" t="s">
        <v>69</v>
      </c>
      <c r="E9010" s="146"/>
      <c r="F9010" s="37" t="s">
        <v>418</v>
      </c>
      <c r="G9010" s="147" t="str">
        <f>IF(ISNUMBER(F9010),E9010*F9010,"")</f>
        <v/>
      </c>
      <c r="H9010" s="148"/>
      <c r="I9010" s="149"/>
      <c r="J9010" s="125">
        <v>0</v>
      </c>
    </row>
    <row r="9011" spans="1:10" s="169" customFormat="1" hidden="1" x14ac:dyDescent="0.25">
      <c r="A9011" s="247"/>
      <c r="B9011" s="245"/>
      <c r="C9011" s="151"/>
      <c r="D9011" s="151"/>
      <c r="E9011" s="152"/>
      <c r="F9011" s="38" t="s">
        <v>418</v>
      </c>
      <c r="G9011" s="31" t="str">
        <f>IF(ISNUMBER(F9011),E9011*F9011,"")</f>
        <v/>
      </c>
      <c r="H9011" s="32"/>
      <c r="I9011" s="28"/>
      <c r="J9011" s="125">
        <v>0</v>
      </c>
    </row>
    <row r="9012" spans="1:10" s="169" customFormat="1" ht="25.5" hidden="1" x14ac:dyDescent="0.25">
      <c r="A9012" s="247"/>
      <c r="B9012" s="245"/>
      <c r="C9012" s="155" t="s">
        <v>10399</v>
      </c>
      <c r="D9012" s="155" t="s">
        <v>385</v>
      </c>
      <c r="E9012" s="130">
        <v>1</v>
      </c>
      <c r="F9012" s="28">
        <v>527.87699999999995</v>
      </c>
      <c r="G9012" s="31">
        <f>IF(ISNUMBER(F9012),E9012*F9012,"")</f>
        <v>527.87699999999995</v>
      </c>
      <c r="H9012" s="35">
        <f t="shared" si="89"/>
        <v>527.87699999999995</v>
      </c>
      <c r="I9012" s="36"/>
      <c r="J9012" s="125">
        <v>0</v>
      </c>
    </row>
    <row r="9013" spans="1:10" s="169" customFormat="1" hidden="1" x14ac:dyDescent="0.25">
      <c r="A9013" s="247"/>
      <c r="B9013" s="245"/>
      <c r="C9013" s="155"/>
      <c r="D9013" s="129"/>
      <c r="E9013" s="130"/>
      <c r="F9013" s="28"/>
      <c r="G9013" s="31"/>
      <c r="H9013" s="32"/>
      <c r="I9013" s="36"/>
      <c r="J9013" s="125">
        <v>0</v>
      </c>
    </row>
    <row r="9014" spans="1:10" s="169" customFormat="1" ht="15.75" hidden="1" thickBot="1" x14ac:dyDescent="0.3">
      <c r="A9014" s="241" t="s">
        <v>20690</v>
      </c>
      <c r="B9014" s="244" t="s">
        <v>22533</v>
      </c>
      <c r="C9014" s="160"/>
      <c r="D9014" s="145" t="s">
        <v>69</v>
      </c>
      <c r="E9014" s="146"/>
      <c r="F9014" s="37" t="s">
        <v>418</v>
      </c>
      <c r="G9014" s="147" t="str">
        <f>IF(ISNUMBER(F9014),E9014*F9014,"")</f>
        <v/>
      </c>
      <c r="H9014" s="148"/>
      <c r="I9014" s="149"/>
      <c r="J9014" s="125">
        <v>0</v>
      </c>
    </row>
    <row r="9015" spans="1:10" s="169" customFormat="1" hidden="1" x14ac:dyDescent="0.25">
      <c r="A9015" s="247"/>
      <c r="B9015" s="245"/>
      <c r="C9015" s="151"/>
      <c r="D9015" s="151"/>
      <c r="E9015" s="152"/>
      <c r="F9015" s="38" t="s">
        <v>418</v>
      </c>
      <c r="G9015" s="31" t="str">
        <f>IF(ISNUMBER(F9015),E9015*F9015,"")</f>
        <v/>
      </c>
      <c r="H9015" s="32"/>
      <c r="I9015" s="28"/>
      <c r="J9015" s="125">
        <v>0</v>
      </c>
    </row>
    <row r="9016" spans="1:10" s="169" customFormat="1" ht="25.5" hidden="1" x14ac:dyDescent="0.25">
      <c r="A9016" s="247"/>
      <c r="B9016" s="245"/>
      <c r="C9016" s="155" t="s">
        <v>38879</v>
      </c>
      <c r="D9016" s="155" t="s">
        <v>385</v>
      </c>
      <c r="E9016" s="130">
        <v>1</v>
      </c>
      <c r="F9016" s="28">
        <v>594.21550000000002</v>
      </c>
      <c r="G9016" s="31">
        <f>IF(ISNUMBER(F9016),E9016*F9016,"")</f>
        <v>594.21550000000002</v>
      </c>
      <c r="H9016" s="35">
        <f t="shared" ref="H9016:H9036" si="90">SUM(G9016:G9016)</f>
        <v>594.21550000000002</v>
      </c>
      <c r="I9016" s="36"/>
      <c r="J9016" s="125">
        <v>0</v>
      </c>
    </row>
    <row r="9017" spans="1:10" s="169" customFormat="1" hidden="1" x14ac:dyDescent="0.25">
      <c r="A9017" s="247"/>
      <c r="B9017" s="245"/>
      <c r="C9017" s="155"/>
      <c r="D9017" s="129"/>
      <c r="E9017" s="130"/>
      <c r="F9017" s="28"/>
      <c r="G9017" s="31"/>
      <c r="H9017" s="32"/>
      <c r="I9017" s="36"/>
      <c r="J9017" s="125">
        <v>0</v>
      </c>
    </row>
    <row r="9018" spans="1:10" s="169" customFormat="1" ht="15.75" hidden="1" thickBot="1" x14ac:dyDescent="0.3">
      <c r="A9018" s="241" t="s">
        <v>20696</v>
      </c>
      <c r="B9018" s="244" t="s">
        <v>22539</v>
      </c>
      <c r="C9018" s="160"/>
      <c r="D9018" s="145" t="s">
        <v>69</v>
      </c>
      <c r="E9018" s="146"/>
      <c r="F9018" s="37" t="s">
        <v>418</v>
      </c>
      <c r="G9018" s="147" t="str">
        <f>IF(ISNUMBER(F9018),E9018*F9018,"")</f>
        <v/>
      </c>
      <c r="H9018" s="148"/>
      <c r="I9018" s="149"/>
      <c r="J9018" s="125">
        <v>0</v>
      </c>
    </row>
    <row r="9019" spans="1:10" s="169" customFormat="1" hidden="1" x14ac:dyDescent="0.25">
      <c r="A9019" s="247"/>
      <c r="B9019" s="245"/>
      <c r="C9019" s="151"/>
      <c r="D9019" s="151"/>
      <c r="E9019" s="152"/>
      <c r="F9019" s="38" t="s">
        <v>418</v>
      </c>
      <c r="G9019" s="31" t="str">
        <f>IF(ISNUMBER(F9019),E9019*F9019,"")</f>
        <v/>
      </c>
      <c r="H9019" s="32"/>
      <c r="I9019" s="28"/>
      <c r="J9019" s="125">
        <v>0</v>
      </c>
    </row>
    <row r="9020" spans="1:10" s="169" customFormat="1" ht="25.5" hidden="1" x14ac:dyDescent="0.25">
      <c r="A9020" s="247"/>
      <c r="B9020" s="245"/>
      <c r="C9020" s="155" t="s">
        <v>10290</v>
      </c>
      <c r="D9020" s="155" t="s">
        <v>385</v>
      </c>
      <c r="E9020" s="130">
        <v>1</v>
      </c>
      <c r="F9020" s="28">
        <v>894.69099999999992</v>
      </c>
      <c r="G9020" s="31">
        <f>IF(ISNUMBER(F9020),E9020*F9020,"")</f>
        <v>894.69099999999992</v>
      </c>
      <c r="H9020" s="35">
        <f t="shared" si="90"/>
        <v>894.69099999999992</v>
      </c>
      <c r="I9020" s="36"/>
      <c r="J9020" s="125">
        <v>0</v>
      </c>
    </row>
    <row r="9021" spans="1:10" s="169" customFormat="1" hidden="1" x14ac:dyDescent="0.25">
      <c r="A9021" s="247"/>
      <c r="B9021" s="245"/>
      <c r="C9021" s="155"/>
      <c r="D9021" s="129"/>
      <c r="E9021" s="130"/>
      <c r="F9021" s="28"/>
      <c r="G9021" s="31"/>
      <c r="H9021" s="32"/>
      <c r="I9021" s="36"/>
      <c r="J9021" s="125">
        <v>0</v>
      </c>
    </row>
    <row r="9022" spans="1:10" s="169" customFormat="1" ht="15.75" hidden="1" thickBot="1" x14ac:dyDescent="0.3">
      <c r="A9022" s="241" t="s">
        <v>20703</v>
      </c>
      <c r="B9022" s="244" t="s">
        <v>22546</v>
      </c>
      <c r="C9022" s="160"/>
      <c r="D9022" s="145" t="s">
        <v>69</v>
      </c>
      <c r="E9022" s="146"/>
      <c r="F9022" s="37" t="s">
        <v>418</v>
      </c>
      <c r="G9022" s="147" t="str">
        <f>IF(ISNUMBER(F9022),E9022*F9022,"")</f>
        <v/>
      </c>
      <c r="H9022" s="148"/>
      <c r="I9022" s="149"/>
      <c r="J9022" s="125">
        <v>0</v>
      </c>
    </row>
    <row r="9023" spans="1:10" s="169" customFormat="1" hidden="1" x14ac:dyDescent="0.25">
      <c r="A9023" s="247"/>
      <c r="B9023" s="245"/>
      <c r="C9023" s="151"/>
      <c r="D9023" s="151"/>
      <c r="E9023" s="152"/>
      <c r="F9023" s="38" t="s">
        <v>418</v>
      </c>
      <c r="G9023" s="31" t="str">
        <f>IF(ISNUMBER(F9023),E9023*F9023,"")</f>
        <v/>
      </c>
      <c r="H9023" s="32"/>
      <c r="I9023" s="28"/>
      <c r="J9023" s="125">
        <v>0</v>
      </c>
    </row>
    <row r="9024" spans="1:10" s="169" customFormat="1" hidden="1" x14ac:dyDescent="0.25">
      <c r="A9024" s="247"/>
      <c r="B9024" s="245"/>
      <c r="C9024" s="155" t="s">
        <v>28272</v>
      </c>
      <c r="D9024" s="155" t="s">
        <v>385</v>
      </c>
      <c r="E9024" s="130">
        <v>1</v>
      </c>
      <c r="F9024" s="28">
        <v>4.1040000000000001</v>
      </c>
      <c r="G9024" s="31">
        <f>IF(ISNUMBER(F9024),E9024*F9024,"")</f>
        <v>4.1040000000000001</v>
      </c>
      <c r="H9024" s="35">
        <f t="shared" si="90"/>
        <v>4.1040000000000001</v>
      </c>
      <c r="I9024" s="36"/>
      <c r="J9024" s="125">
        <v>0</v>
      </c>
    </row>
    <row r="9025" spans="1:10" s="169" customFormat="1" hidden="1" x14ac:dyDescent="0.25">
      <c r="A9025" s="247"/>
      <c r="B9025" s="245"/>
      <c r="C9025" s="155"/>
      <c r="D9025" s="129"/>
      <c r="E9025" s="130"/>
      <c r="F9025" s="28"/>
      <c r="G9025" s="31"/>
      <c r="H9025" s="32"/>
      <c r="I9025" s="36"/>
      <c r="J9025" s="125">
        <v>0</v>
      </c>
    </row>
    <row r="9026" spans="1:10" s="169" customFormat="1" ht="15.75" hidden="1" thickBot="1" x14ac:dyDescent="0.3">
      <c r="A9026" s="241" t="s">
        <v>20704</v>
      </c>
      <c r="B9026" s="244" t="s">
        <v>22547</v>
      </c>
      <c r="C9026" s="160"/>
      <c r="D9026" s="145" t="s">
        <v>16</v>
      </c>
      <c r="E9026" s="146"/>
      <c r="F9026" s="37" t="s">
        <v>418</v>
      </c>
      <c r="G9026" s="147" t="str">
        <f>IF(ISNUMBER(F9026),E9026*F9026,"")</f>
        <v/>
      </c>
      <c r="H9026" s="148"/>
      <c r="I9026" s="149"/>
      <c r="J9026" s="125">
        <v>0</v>
      </c>
    </row>
    <row r="9027" spans="1:10" s="169" customFormat="1" hidden="1" x14ac:dyDescent="0.25">
      <c r="A9027" s="247"/>
      <c r="B9027" s="245"/>
      <c r="C9027" s="151"/>
      <c r="D9027" s="151"/>
      <c r="E9027" s="152"/>
      <c r="F9027" s="38" t="s">
        <v>418</v>
      </c>
      <c r="G9027" s="31" t="str">
        <f>IF(ISNUMBER(F9027),E9027*F9027,"")</f>
        <v/>
      </c>
      <c r="H9027" s="32"/>
      <c r="I9027" s="28"/>
      <c r="J9027" s="125">
        <v>0</v>
      </c>
    </row>
    <row r="9028" spans="1:10" s="169" customFormat="1" ht="25.5" hidden="1" x14ac:dyDescent="0.25">
      <c r="A9028" s="247"/>
      <c r="B9028" s="245"/>
      <c r="C9028" s="155" t="s">
        <v>25832</v>
      </c>
      <c r="D9028" s="155" t="s">
        <v>205</v>
      </c>
      <c r="E9028" s="130">
        <v>1</v>
      </c>
      <c r="F9028" s="28">
        <v>2.7075</v>
      </c>
      <c r="G9028" s="31">
        <f>IF(ISNUMBER(F9028),E9028*F9028,"")</f>
        <v>2.7075</v>
      </c>
      <c r="H9028" s="35">
        <f t="shared" si="90"/>
        <v>2.7075</v>
      </c>
      <c r="I9028" s="36"/>
      <c r="J9028" s="125">
        <v>0</v>
      </c>
    </row>
    <row r="9029" spans="1:10" s="169" customFormat="1" hidden="1" x14ac:dyDescent="0.25">
      <c r="A9029" s="247"/>
      <c r="B9029" s="245"/>
      <c r="C9029" s="155"/>
      <c r="D9029" s="129"/>
      <c r="E9029" s="130"/>
      <c r="F9029" s="28"/>
      <c r="G9029" s="31"/>
      <c r="H9029" s="32"/>
      <c r="I9029" s="36"/>
      <c r="J9029" s="125">
        <v>0</v>
      </c>
    </row>
    <row r="9030" spans="1:10" s="169" customFormat="1" ht="15.75" hidden="1" thickBot="1" x14ac:dyDescent="0.3">
      <c r="A9030" s="241" t="s">
        <v>20705</v>
      </c>
      <c r="B9030" s="244" t="s">
        <v>22548</v>
      </c>
      <c r="C9030" s="160"/>
      <c r="D9030" s="145" t="s">
        <v>16</v>
      </c>
      <c r="E9030" s="146"/>
      <c r="F9030" s="37" t="s">
        <v>418</v>
      </c>
      <c r="G9030" s="147" t="str">
        <f>IF(ISNUMBER(F9030),E9030*F9030,"")</f>
        <v/>
      </c>
      <c r="H9030" s="148"/>
      <c r="I9030" s="149"/>
      <c r="J9030" s="125">
        <v>0</v>
      </c>
    </row>
    <row r="9031" spans="1:10" s="169" customFormat="1" hidden="1" x14ac:dyDescent="0.25">
      <c r="A9031" s="247"/>
      <c r="B9031" s="245"/>
      <c r="C9031" s="151"/>
      <c r="D9031" s="151"/>
      <c r="E9031" s="152"/>
      <c r="F9031" s="38" t="s">
        <v>418</v>
      </c>
      <c r="G9031" s="31" t="str">
        <f>IF(ISNUMBER(F9031),E9031*F9031,"")</f>
        <v/>
      </c>
      <c r="H9031" s="32"/>
      <c r="I9031" s="28"/>
      <c r="J9031" s="125">
        <v>0</v>
      </c>
    </row>
    <row r="9032" spans="1:10" s="169" customFormat="1" ht="25.5" hidden="1" x14ac:dyDescent="0.25">
      <c r="A9032" s="247"/>
      <c r="B9032" s="245"/>
      <c r="C9032" s="155" t="s">
        <v>26326</v>
      </c>
      <c r="D9032" s="155" t="s">
        <v>205</v>
      </c>
      <c r="E9032" s="130">
        <v>1</v>
      </c>
      <c r="F9032" s="28">
        <v>2.052</v>
      </c>
      <c r="G9032" s="31">
        <f>IF(ISNUMBER(F9032),E9032*F9032,"")</f>
        <v>2.052</v>
      </c>
      <c r="H9032" s="35">
        <f t="shared" si="90"/>
        <v>2.052</v>
      </c>
      <c r="I9032" s="36"/>
      <c r="J9032" s="125">
        <v>0</v>
      </c>
    </row>
    <row r="9033" spans="1:10" s="169" customFormat="1" hidden="1" x14ac:dyDescent="0.25">
      <c r="A9033" s="247"/>
      <c r="B9033" s="245"/>
      <c r="C9033" s="155"/>
      <c r="D9033" s="129"/>
      <c r="E9033" s="130"/>
      <c r="F9033" s="28"/>
      <c r="G9033" s="31"/>
      <c r="H9033" s="32"/>
      <c r="I9033" s="36"/>
      <c r="J9033" s="125">
        <v>0</v>
      </c>
    </row>
    <row r="9034" spans="1:10" s="169" customFormat="1" ht="15.75" hidden="1" thickBot="1" x14ac:dyDescent="0.3">
      <c r="A9034" s="241" t="s">
        <v>20706</v>
      </c>
      <c r="B9034" s="244" t="s">
        <v>22549</v>
      </c>
      <c r="C9034" s="160"/>
      <c r="D9034" s="145" t="s">
        <v>16</v>
      </c>
      <c r="E9034" s="146"/>
      <c r="F9034" s="37" t="s">
        <v>418</v>
      </c>
      <c r="G9034" s="147" t="str">
        <f>IF(ISNUMBER(F9034),E9034*F9034,"")</f>
        <v/>
      </c>
      <c r="H9034" s="148"/>
      <c r="I9034" s="149"/>
      <c r="J9034" s="125">
        <v>0</v>
      </c>
    </row>
    <row r="9035" spans="1:10" s="169" customFormat="1" hidden="1" x14ac:dyDescent="0.25">
      <c r="A9035" s="247"/>
      <c r="B9035" s="245"/>
      <c r="C9035" s="151"/>
      <c r="D9035" s="151"/>
      <c r="E9035" s="152"/>
      <c r="F9035" s="38" t="s">
        <v>418</v>
      </c>
      <c r="G9035" s="31" t="str">
        <f>IF(ISNUMBER(F9035),E9035*F9035,"")</f>
        <v/>
      </c>
      <c r="H9035" s="32"/>
      <c r="I9035" s="28"/>
      <c r="J9035" s="125">
        <v>0</v>
      </c>
    </row>
    <row r="9036" spans="1:10" s="169" customFormat="1" ht="25.5" hidden="1" x14ac:dyDescent="0.25">
      <c r="A9036" s="247"/>
      <c r="B9036" s="245"/>
      <c r="C9036" s="155" t="s">
        <v>27620</v>
      </c>
      <c r="D9036" s="155" t="s">
        <v>205</v>
      </c>
      <c r="E9036" s="130">
        <v>1</v>
      </c>
      <c r="F9036" s="28">
        <v>12.292999999999999</v>
      </c>
      <c r="G9036" s="31">
        <f>IF(ISNUMBER(F9036),E9036*F9036,"")</f>
        <v>12.292999999999999</v>
      </c>
      <c r="H9036" s="35">
        <f t="shared" si="90"/>
        <v>12.292999999999999</v>
      </c>
      <c r="I9036" s="36"/>
      <c r="J9036" s="125">
        <v>0</v>
      </c>
    </row>
    <row r="9037" spans="1:10" s="169" customFormat="1" hidden="1" x14ac:dyDescent="0.25">
      <c r="A9037" s="247"/>
      <c r="B9037" s="245"/>
      <c r="C9037" s="155"/>
      <c r="D9037" s="129"/>
      <c r="E9037" s="130"/>
      <c r="F9037" s="28"/>
      <c r="G9037" s="31"/>
      <c r="H9037" s="32"/>
      <c r="I9037" s="36"/>
      <c r="J9037" s="125">
        <v>0</v>
      </c>
    </row>
    <row r="9038" spans="1:10" s="169" customFormat="1" ht="15.75" hidden="1" thickBot="1" x14ac:dyDescent="0.3">
      <c r="A9038" s="241" t="s">
        <v>20707</v>
      </c>
      <c r="B9038" s="244" t="s">
        <v>22550</v>
      </c>
      <c r="C9038" s="160"/>
      <c r="D9038" s="145" t="s">
        <v>69</v>
      </c>
      <c r="E9038" s="146"/>
      <c r="F9038" s="37" t="s">
        <v>418</v>
      </c>
      <c r="G9038" s="147" t="str">
        <f>IF(ISNUMBER(F9038),E9038*F9038,"")</f>
        <v/>
      </c>
      <c r="H9038" s="148"/>
      <c r="I9038" s="149"/>
      <c r="J9038" s="125">
        <v>0</v>
      </c>
    </row>
    <row r="9039" spans="1:10" s="169" customFormat="1" hidden="1" x14ac:dyDescent="0.25">
      <c r="A9039" s="247"/>
      <c r="B9039" s="245"/>
      <c r="C9039" s="151"/>
      <c r="D9039" s="151"/>
      <c r="E9039" s="152"/>
      <c r="F9039" s="38" t="s">
        <v>418</v>
      </c>
      <c r="G9039" s="31" t="str">
        <f>IF(ISNUMBER(F9039),E9039*F9039,"")</f>
        <v/>
      </c>
      <c r="H9039" s="32"/>
      <c r="I9039" s="28"/>
      <c r="J9039" s="125">
        <v>0</v>
      </c>
    </row>
    <row r="9040" spans="1:10" s="169" customFormat="1" hidden="1" x14ac:dyDescent="0.25">
      <c r="A9040" s="247"/>
      <c r="B9040" s="245"/>
      <c r="C9040" s="155" t="s">
        <v>28274</v>
      </c>
      <c r="D9040" s="155" t="s">
        <v>385</v>
      </c>
      <c r="E9040" s="130">
        <v>1</v>
      </c>
      <c r="F9040" s="28">
        <v>10.003499999999999</v>
      </c>
      <c r="G9040" s="31">
        <f>IF(ISNUMBER(F9040),E9040*F9040,"")</f>
        <v>10.003499999999999</v>
      </c>
      <c r="H9040" s="35">
        <f t="shared" ref="H9040" si="91">SUM(G9040:G9040)</f>
        <v>10.003499999999999</v>
      </c>
      <c r="I9040" s="36"/>
      <c r="J9040" s="125">
        <v>0</v>
      </c>
    </row>
    <row r="9041" spans="1:10" s="169" customFormat="1" hidden="1" x14ac:dyDescent="0.25">
      <c r="A9041" s="247"/>
      <c r="B9041" s="245"/>
      <c r="C9041" s="155"/>
      <c r="D9041" s="129"/>
      <c r="E9041" s="130"/>
      <c r="F9041" s="28"/>
      <c r="G9041" s="31"/>
      <c r="H9041" s="32"/>
      <c r="I9041" s="36"/>
      <c r="J9041" s="125">
        <v>0</v>
      </c>
    </row>
    <row r="9042" spans="1:10" s="169" customFormat="1" ht="15.75" hidden="1" thickBot="1" x14ac:dyDescent="0.3">
      <c r="A9042" s="241" t="s">
        <v>20708</v>
      </c>
      <c r="B9042" s="244" t="s">
        <v>22551</v>
      </c>
      <c r="C9042" s="160"/>
      <c r="D9042" s="145" t="s">
        <v>16</v>
      </c>
      <c r="E9042" s="146"/>
      <c r="F9042" s="37" t="s">
        <v>418</v>
      </c>
      <c r="G9042" s="147" t="str">
        <f>IF(ISNUMBER(F9042),E9042*F9042,"")</f>
        <v/>
      </c>
      <c r="H9042" s="148"/>
      <c r="I9042" s="149"/>
      <c r="J9042" s="125">
        <v>0</v>
      </c>
    </row>
    <row r="9043" spans="1:10" s="169" customFormat="1" hidden="1" x14ac:dyDescent="0.25">
      <c r="A9043" s="247"/>
      <c r="B9043" s="245"/>
      <c r="C9043" s="151"/>
      <c r="D9043" s="151"/>
      <c r="E9043" s="152"/>
      <c r="F9043" s="38" t="s">
        <v>418</v>
      </c>
      <c r="G9043" s="31" t="str">
        <f>IF(ISNUMBER(F9043),E9043*F9043,"")</f>
        <v/>
      </c>
      <c r="H9043" s="32"/>
      <c r="I9043" s="28"/>
      <c r="J9043" s="125">
        <v>0</v>
      </c>
    </row>
    <row r="9044" spans="1:10" s="169" customFormat="1" ht="25.5" hidden="1" x14ac:dyDescent="0.25">
      <c r="A9044" s="247"/>
      <c r="B9044" s="245"/>
      <c r="C9044" s="155" t="s">
        <v>25833</v>
      </c>
      <c r="D9044" s="155" t="s">
        <v>205</v>
      </c>
      <c r="E9044" s="130">
        <v>1</v>
      </c>
      <c r="F9044" s="28">
        <v>14.259499999999999</v>
      </c>
      <c r="G9044" s="31">
        <f>IF(ISNUMBER(F9044),E9044*F9044,"")</f>
        <v>14.259499999999999</v>
      </c>
      <c r="H9044" s="35">
        <f t="shared" ref="H9044" si="92">SUM(G9044:G9044)</f>
        <v>14.259499999999999</v>
      </c>
      <c r="I9044" s="36"/>
      <c r="J9044" s="125">
        <v>0</v>
      </c>
    </row>
    <row r="9045" spans="1:10" s="169" customFormat="1" hidden="1" x14ac:dyDescent="0.25">
      <c r="A9045" s="247"/>
      <c r="B9045" s="245"/>
      <c r="C9045" s="155"/>
      <c r="D9045" s="129"/>
      <c r="E9045" s="130"/>
      <c r="F9045" s="28"/>
      <c r="G9045" s="31"/>
      <c r="H9045" s="32"/>
      <c r="I9045" s="36"/>
      <c r="J9045" s="125">
        <v>0</v>
      </c>
    </row>
    <row r="9046" spans="1:10" s="169" customFormat="1" ht="15.75" hidden="1" thickBot="1" x14ac:dyDescent="0.3">
      <c r="A9046" s="241" t="s">
        <v>20709</v>
      </c>
      <c r="B9046" s="244" t="s">
        <v>22552</v>
      </c>
      <c r="C9046" s="160"/>
      <c r="D9046" s="145" t="s">
        <v>16</v>
      </c>
      <c r="E9046" s="146"/>
      <c r="F9046" s="37" t="s">
        <v>418</v>
      </c>
      <c r="G9046" s="147" t="str">
        <f>IF(ISNUMBER(F9046),E9046*F9046,"")</f>
        <v/>
      </c>
      <c r="H9046" s="148"/>
      <c r="I9046" s="149"/>
      <c r="J9046" s="125">
        <v>0</v>
      </c>
    </row>
    <row r="9047" spans="1:10" s="169" customFormat="1" hidden="1" x14ac:dyDescent="0.25">
      <c r="A9047" s="247"/>
      <c r="B9047" s="245"/>
      <c r="C9047" s="151"/>
      <c r="D9047" s="151"/>
      <c r="E9047" s="152"/>
      <c r="F9047" s="38" t="s">
        <v>418</v>
      </c>
      <c r="G9047" s="31" t="str">
        <f>IF(ISNUMBER(F9047),E9047*F9047,"")</f>
        <v/>
      </c>
      <c r="H9047" s="32"/>
      <c r="I9047" s="28"/>
      <c r="J9047" s="125">
        <v>0</v>
      </c>
    </row>
    <row r="9048" spans="1:10" s="169" customFormat="1" ht="25.5" hidden="1" x14ac:dyDescent="0.25">
      <c r="A9048" s="247"/>
      <c r="B9048" s="245"/>
      <c r="C9048" s="155" t="s">
        <v>26328</v>
      </c>
      <c r="D9048" s="155" t="s">
        <v>205</v>
      </c>
      <c r="E9048" s="130">
        <v>1</v>
      </c>
      <c r="F9048" s="28">
        <v>5.0255000000000001</v>
      </c>
      <c r="G9048" s="31">
        <f>IF(ISNUMBER(F9048),E9048*F9048,"")</f>
        <v>5.0255000000000001</v>
      </c>
      <c r="H9048" s="35">
        <f t="shared" ref="H9048" si="93">SUM(G9048:G9048)</f>
        <v>5.0255000000000001</v>
      </c>
      <c r="I9048" s="36"/>
      <c r="J9048" s="125">
        <v>0</v>
      </c>
    </row>
    <row r="9049" spans="1:10" s="169" customFormat="1" hidden="1" x14ac:dyDescent="0.25">
      <c r="A9049" s="247"/>
      <c r="B9049" s="245"/>
      <c r="C9049" s="155"/>
      <c r="D9049" s="129"/>
      <c r="E9049" s="130"/>
      <c r="F9049" s="28"/>
      <c r="G9049" s="31"/>
      <c r="H9049" s="32"/>
      <c r="I9049" s="36"/>
      <c r="J9049" s="125">
        <v>0</v>
      </c>
    </row>
    <row r="9050" spans="1:10" s="169" customFormat="1" ht="15.75" hidden="1" thickBot="1" x14ac:dyDescent="0.3">
      <c r="A9050" s="241" t="s">
        <v>20710</v>
      </c>
      <c r="B9050" s="244" t="s">
        <v>22553</v>
      </c>
      <c r="C9050" s="160"/>
      <c r="D9050" s="145" t="s">
        <v>16</v>
      </c>
      <c r="E9050" s="146"/>
      <c r="F9050" s="37" t="s">
        <v>418</v>
      </c>
      <c r="G9050" s="147" t="str">
        <f>IF(ISNUMBER(F9050),E9050*F9050,"")</f>
        <v/>
      </c>
      <c r="H9050" s="148"/>
      <c r="I9050" s="149"/>
      <c r="J9050" s="125">
        <v>0</v>
      </c>
    </row>
    <row r="9051" spans="1:10" s="169" customFormat="1" hidden="1" x14ac:dyDescent="0.25">
      <c r="A9051" s="247"/>
      <c r="B9051" s="245"/>
      <c r="C9051" s="151"/>
      <c r="D9051" s="151"/>
      <c r="E9051" s="152"/>
      <c r="F9051" s="38" t="s">
        <v>418</v>
      </c>
      <c r="G9051" s="31" t="str">
        <f>IF(ISNUMBER(F9051),E9051*F9051,"")</f>
        <v/>
      </c>
      <c r="H9051" s="32"/>
      <c r="I9051" s="28"/>
      <c r="J9051" s="125">
        <v>0</v>
      </c>
    </row>
    <row r="9052" spans="1:10" s="169" customFormat="1" ht="25.5" hidden="1" x14ac:dyDescent="0.25">
      <c r="A9052" s="247"/>
      <c r="B9052" s="245"/>
      <c r="C9052" s="155" t="s">
        <v>27621</v>
      </c>
      <c r="D9052" s="155" t="s">
        <v>205</v>
      </c>
      <c r="E9052" s="130">
        <v>1</v>
      </c>
      <c r="F9052" s="28">
        <v>14.297499999999999</v>
      </c>
      <c r="G9052" s="31">
        <f>IF(ISNUMBER(F9052),E9052*F9052,"")</f>
        <v>14.297499999999999</v>
      </c>
      <c r="H9052" s="35">
        <f t="shared" ref="H9052" si="94">SUM(G9052:G9052)</f>
        <v>14.297499999999999</v>
      </c>
      <c r="I9052" s="36"/>
      <c r="J9052" s="125">
        <v>0</v>
      </c>
    </row>
    <row r="9053" spans="1:10" s="169" customFormat="1" hidden="1" x14ac:dyDescent="0.25">
      <c r="A9053" s="247"/>
      <c r="B9053" s="245"/>
      <c r="C9053" s="155"/>
      <c r="D9053" s="129"/>
      <c r="E9053" s="130"/>
      <c r="F9053" s="28"/>
      <c r="G9053" s="31"/>
      <c r="H9053" s="32"/>
      <c r="I9053" s="36"/>
      <c r="J9053" s="125">
        <v>0</v>
      </c>
    </row>
    <row r="9054" spans="1:10" s="169" customFormat="1" ht="15.75" hidden="1" thickBot="1" x14ac:dyDescent="0.3">
      <c r="A9054" s="241" t="s">
        <v>20711</v>
      </c>
      <c r="B9054" s="244" t="s">
        <v>22554</v>
      </c>
      <c r="C9054" s="160"/>
      <c r="D9054" s="145" t="s">
        <v>16</v>
      </c>
      <c r="E9054" s="146"/>
      <c r="F9054" s="37" t="s">
        <v>418</v>
      </c>
      <c r="G9054" s="147" t="str">
        <f>IF(ISNUMBER(F9054),E9054*F9054,"")</f>
        <v/>
      </c>
      <c r="H9054" s="148"/>
      <c r="I9054" s="149"/>
      <c r="J9054" s="125">
        <v>0</v>
      </c>
    </row>
    <row r="9055" spans="1:10" s="169" customFormat="1" hidden="1" x14ac:dyDescent="0.25">
      <c r="A9055" s="247"/>
      <c r="B9055" s="245"/>
      <c r="C9055" s="151"/>
      <c r="D9055" s="151"/>
      <c r="E9055" s="152"/>
      <c r="F9055" s="38" t="s">
        <v>418</v>
      </c>
      <c r="G9055" s="31" t="str">
        <f>IF(ISNUMBER(F9055),E9055*F9055,"")</f>
        <v/>
      </c>
      <c r="H9055" s="32"/>
      <c r="I9055" s="28"/>
      <c r="J9055" s="125">
        <v>0</v>
      </c>
    </row>
    <row r="9056" spans="1:10" s="169" customFormat="1" ht="25.5" hidden="1" x14ac:dyDescent="0.25">
      <c r="A9056" s="247"/>
      <c r="B9056" s="245"/>
      <c r="C9056" s="155" t="s">
        <v>24001</v>
      </c>
      <c r="D9056" s="155" t="s">
        <v>205</v>
      </c>
      <c r="E9056" s="130">
        <v>1</v>
      </c>
      <c r="F9056" s="28">
        <v>1.0640000000000001</v>
      </c>
      <c r="G9056" s="31">
        <f>IF(ISNUMBER(F9056),E9056*F9056,"")</f>
        <v>1.0640000000000001</v>
      </c>
      <c r="H9056" s="35">
        <f t="shared" ref="H9056" si="95">SUM(G9056:G9056)</f>
        <v>1.0640000000000001</v>
      </c>
      <c r="I9056" s="36"/>
      <c r="J9056" s="125">
        <v>0</v>
      </c>
    </row>
    <row r="9057" spans="1:10" s="169" customFormat="1" hidden="1" x14ac:dyDescent="0.25">
      <c r="A9057" s="247"/>
      <c r="B9057" s="245"/>
      <c r="C9057" s="155"/>
      <c r="D9057" s="129"/>
      <c r="E9057" s="130"/>
      <c r="F9057" s="28"/>
      <c r="G9057" s="31"/>
      <c r="H9057" s="32"/>
      <c r="I9057" s="36"/>
      <c r="J9057" s="125">
        <v>0</v>
      </c>
    </row>
    <row r="9058" spans="1:10" s="169" customFormat="1" ht="15.75" hidden="1" thickBot="1" x14ac:dyDescent="0.3">
      <c r="A9058" s="241" t="s">
        <v>20712</v>
      </c>
      <c r="B9058" s="244" t="s">
        <v>22555</v>
      </c>
      <c r="C9058" s="160"/>
      <c r="D9058" s="145" t="s">
        <v>69</v>
      </c>
      <c r="E9058" s="146"/>
      <c r="F9058" s="37" t="s">
        <v>418</v>
      </c>
      <c r="G9058" s="147" t="str">
        <f>IF(ISNUMBER(F9058),E9058*F9058,"")</f>
        <v/>
      </c>
      <c r="H9058" s="148"/>
      <c r="I9058" s="149"/>
      <c r="J9058" s="125">
        <v>0</v>
      </c>
    </row>
    <row r="9059" spans="1:10" s="169" customFormat="1" hidden="1" x14ac:dyDescent="0.25">
      <c r="A9059" s="247"/>
      <c r="B9059" s="245"/>
      <c r="C9059" s="151"/>
      <c r="D9059" s="151"/>
      <c r="E9059" s="152"/>
      <c r="F9059" s="38" t="s">
        <v>418</v>
      </c>
      <c r="G9059" s="31" t="str">
        <f>IF(ISNUMBER(F9059),E9059*F9059,"")</f>
        <v/>
      </c>
      <c r="H9059" s="32"/>
      <c r="I9059" s="28"/>
      <c r="J9059" s="125">
        <v>0</v>
      </c>
    </row>
    <row r="9060" spans="1:10" s="169" customFormat="1" ht="25.5" hidden="1" x14ac:dyDescent="0.25">
      <c r="A9060" s="247"/>
      <c r="B9060" s="245"/>
      <c r="C9060" s="155" t="s">
        <v>28064</v>
      </c>
      <c r="D9060" s="155" t="s">
        <v>385</v>
      </c>
      <c r="E9060" s="130">
        <v>1</v>
      </c>
      <c r="F9060" s="28">
        <v>16.985999999999997</v>
      </c>
      <c r="G9060" s="31">
        <f>IF(ISNUMBER(F9060),E9060*F9060,"")</f>
        <v>16.985999999999997</v>
      </c>
      <c r="H9060" s="35">
        <f t="shared" ref="H9060" si="96">SUM(G9060:G9060)</f>
        <v>16.985999999999997</v>
      </c>
      <c r="I9060" s="36"/>
      <c r="J9060" s="125">
        <v>0</v>
      </c>
    </row>
    <row r="9061" spans="1:10" s="169" customFormat="1" hidden="1" x14ac:dyDescent="0.25">
      <c r="A9061" s="247"/>
      <c r="B9061" s="245"/>
      <c r="C9061" s="155"/>
      <c r="D9061" s="129"/>
      <c r="E9061" s="130"/>
      <c r="F9061" s="28"/>
      <c r="G9061" s="31"/>
      <c r="H9061" s="32"/>
      <c r="I9061" s="36"/>
      <c r="J9061" s="125">
        <v>0</v>
      </c>
    </row>
    <row r="9062" spans="1:10" s="169" customFormat="1" ht="15.75" hidden="1" thickBot="1" x14ac:dyDescent="0.3">
      <c r="A9062" s="241" t="s">
        <v>20715</v>
      </c>
      <c r="B9062" s="244" t="s">
        <v>22558</v>
      </c>
      <c r="C9062" s="160"/>
      <c r="D9062" s="145" t="s">
        <v>69</v>
      </c>
      <c r="E9062" s="146"/>
      <c r="F9062" s="37" t="s">
        <v>418</v>
      </c>
      <c r="G9062" s="147" t="str">
        <f>IF(ISNUMBER(F9062),E9062*F9062,"")</f>
        <v/>
      </c>
      <c r="H9062" s="148"/>
      <c r="I9062" s="149"/>
      <c r="J9062" s="125">
        <v>0</v>
      </c>
    </row>
    <row r="9063" spans="1:10" s="169" customFormat="1" hidden="1" x14ac:dyDescent="0.25">
      <c r="A9063" s="247"/>
      <c r="B9063" s="245"/>
      <c r="C9063" s="151"/>
      <c r="D9063" s="151"/>
      <c r="E9063" s="152"/>
      <c r="F9063" s="38" t="s">
        <v>418</v>
      </c>
      <c r="G9063" s="31" t="str">
        <f>IF(ISNUMBER(F9063),E9063*F9063,"")</f>
        <v/>
      </c>
      <c r="H9063" s="32"/>
      <c r="I9063" s="28"/>
      <c r="J9063" s="125">
        <v>0</v>
      </c>
    </row>
    <row r="9064" spans="1:10" s="169" customFormat="1" ht="25.5" hidden="1" x14ac:dyDescent="0.25">
      <c r="A9064" s="247"/>
      <c r="B9064" s="245"/>
      <c r="C9064" s="155" t="s">
        <v>28067</v>
      </c>
      <c r="D9064" s="155" t="s">
        <v>385</v>
      </c>
      <c r="E9064" s="130">
        <v>1</v>
      </c>
      <c r="F9064" s="28">
        <v>26.125</v>
      </c>
      <c r="G9064" s="31">
        <f>IF(ISNUMBER(F9064),E9064*F9064,"")</f>
        <v>26.125</v>
      </c>
      <c r="H9064" s="35">
        <f t="shared" ref="H9064" si="97">SUM(G9064:G9064)</f>
        <v>26.125</v>
      </c>
      <c r="I9064" s="36"/>
      <c r="J9064" s="125">
        <v>0</v>
      </c>
    </row>
    <row r="9065" spans="1:10" s="169" customFormat="1" hidden="1" x14ac:dyDescent="0.25">
      <c r="A9065" s="247"/>
      <c r="B9065" s="245"/>
      <c r="C9065" s="155"/>
      <c r="D9065" s="129"/>
      <c r="E9065" s="130"/>
      <c r="F9065" s="28"/>
      <c r="G9065" s="31"/>
      <c r="H9065" s="32"/>
      <c r="I9065" s="36"/>
      <c r="J9065" s="125">
        <v>0</v>
      </c>
    </row>
    <row r="9066" spans="1:10" s="169" customFormat="1" ht="15.75" hidden="1" thickBot="1" x14ac:dyDescent="0.3">
      <c r="A9066" s="241" t="s">
        <v>20718</v>
      </c>
      <c r="B9066" s="244" t="s">
        <v>22561</v>
      </c>
      <c r="C9066" s="160"/>
      <c r="D9066" s="145" t="s">
        <v>69</v>
      </c>
      <c r="E9066" s="146"/>
      <c r="F9066" s="37" t="s">
        <v>418</v>
      </c>
      <c r="G9066" s="147" t="str">
        <f>IF(ISNUMBER(F9066),E9066*F9066,"")</f>
        <v/>
      </c>
      <c r="H9066" s="148"/>
      <c r="I9066" s="149"/>
      <c r="J9066" s="125">
        <v>0</v>
      </c>
    </row>
    <row r="9067" spans="1:10" s="169" customFormat="1" hidden="1" x14ac:dyDescent="0.25">
      <c r="A9067" s="247"/>
      <c r="B9067" s="245"/>
      <c r="C9067" s="151"/>
      <c r="D9067" s="151"/>
      <c r="E9067" s="152"/>
      <c r="F9067" s="38" t="s">
        <v>418</v>
      </c>
      <c r="G9067" s="31" t="str">
        <f>IF(ISNUMBER(F9067),E9067*F9067,"")</f>
        <v/>
      </c>
      <c r="H9067" s="32"/>
      <c r="I9067" s="28"/>
      <c r="J9067" s="125">
        <v>0</v>
      </c>
    </row>
    <row r="9068" spans="1:10" s="169" customFormat="1" ht="25.5" hidden="1" x14ac:dyDescent="0.25">
      <c r="A9068" s="247"/>
      <c r="B9068" s="245"/>
      <c r="C9068" s="155" t="s">
        <v>28063</v>
      </c>
      <c r="D9068" s="155" t="s">
        <v>385</v>
      </c>
      <c r="E9068" s="130">
        <v>1</v>
      </c>
      <c r="F9068" s="28">
        <v>35.434999999999995</v>
      </c>
      <c r="G9068" s="31">
        <f>IF(ISNUMBER(F9068),E9068*F9068,"")</f>
        <v>35.434999999999995</v>
      </c>
      <c r="H9068" s="35">
        <f t="shared" ref="H9068" si="98">SUM(G9068:G9068)</f>
        <v>35.434999999999995</v>
      </c>
      <c r="I9068" s="36"/>
      <c r="J9068" s="125">
        <v>0</v>
      </c>
    </row>
    <row r="9069" spans="1:10" s="169" customFormat="1" hidden="1" x14ac:dyDescent="0.25">
      <c r="A9069" s="247"/>
      <c r="B9069" s="245"/>
      <c r="C9069" s="155"/>
      <c r="D9069" s="129"/>
      <c r="E9069" s="130"/>
      <c r="F9069" s="28"/>
      <c r="G9069" s="31"/>
      <c r="H9069" s="32"/>
      <c r="I9069" s="36"/>
      <c r="J9069" s="125">
        <v>0</v>
      </c>
    </row>
    <row r="9070" spans="1:10" s="169" customFormat="1" ht="15.75" hidden="1" thickBot="1" x14ac:dyDescent="0.3">
      <c r="A9070" s="241" t="s">
        <v>20719</v>
      </c>
      <c r="B9070" s="244" t="s">
        <v>22562</v>
      </c>
      <c r="C9070" s="160"/>
      <c r="D9070" s="145" t="s">
        <v>16</v>
      </c>
      <c r="E9070" s="146"/>
      <c r="F9070" s="37" t="s">
        <v>418</v>
      </c>
      <c r="G9070" s="147" t="str">
        <f>IF(ISNUMBER(F9070),E9070*F9070,"")</f>
        <v/>
      </c>
      <c r="H9070" s="148"/>
      <c r="I9070" s="149"/>
      <c r="J9070" s="125">
        <v>0</v>
      </c>
    </row>
    <row r="9071" spans="1:10" s="169" customFormat="1" hidden="1" x14ac:dyDescent="0.25">
      <c r="A9071" s="247"/>
      <c r="B9071" s="245"/>
      <c r="C9071" s="151"/>
      <c r="D9071" s="151"/>
      <c r="E9071" s="152"/>
      <c r="F9071" s="38" t="s">
        <v>418</v>
      </c>
      <c r="G9071" s="31" t="str">
        <f>IF(ISNUMBER(F9071),E9071*F9071,"")</f>
        <v/>
      </c>
      <c r="H9071" s="32"/>
      <c r="I9071" s="28"/>
      <c r="J9071" s="125">
        <v>0</v>
      </c>
    </row>
    <row r="9072" spans="1:10" s="169" customFormat="1" ht="25.5" hidden="1" x14ac:dyDescent="0.25">
      <c r="A9072" s="247"/>
      <c r="B9072" s="245"/>
      <c r="C9072" s="155" t="s">
        <v>24819</v>
      </c>
      <c r="D9072" s="155" t="s">
        <v>205</v>
      </c>
      <c r="E9072" s="130">
        <v>1</v>
      </c>
      <c r="F9072" s="28">
        <v>4.5125000000000002</v>
      </c>
      <c r="G9072" s="31">
        <f>IF(ISNUMBER(F9072),E9072*F9072,"")</f>
        <v>4.5125000000000002</v>
      </c>
      <c r="H9072" s="35">
        <f t="shared" ref="H9072" si="99">SUM(G9072:G9072)</f>
        <v>4.5125000000000002</v>
      </c>
      <c r="I9072" s="36"/>
      <c r="J9072" s="125">
        <v>0</v>
      </c>
    </row>
    <row r="9073" spans="1:10" s="169" customFormat="1" hidden="1" x14ac:dyDescent="0.25">
      <c r="A9073" s="247"/>
      <c r="B9073" s="245"/>
      <c r="C9073" s="155"/>
      <c r="D9073" s="129"/>
      <c r="E9073" s="130"/>
      <c r="F9073" s="28"/>
      <c r="G9073" s="31"/>
      <c r="H9073" s="32"/>
      <c r="I9073" s="36"/>
      <c r="J9073" s="125">
        <v>0</v>
      </c>
    </row>
    <row r="9074" spans="1:10" s="169" customFormat="1" ht="15.75" hidden="1" thickBot="1" x14ac:dyDescent="0.3">
      <c r="A9074" s="241" t="s">
        <v>20720</v>
      </c>
      <c r="B9074" s="244" t="s">
        <v>22563</v>
      </c>
      <c r="C9074" s="160"/>
      <c r="D9074" s="145" t="s">
        <v>16</v>
      </c>
      <c r="E9074" s="146"/>
      <c r="F9074" s="37" t="s">
        <v>418</v>
      </c>
      <c r="G9074" s="147" t="str">
        <f>IF(ISNUMBER(F9074),E9074*F9074,"")</f>
        <v/>
      </c>
      <c r="H9074" s="148"/>
      <c r="I9074" s="149"/>
      <c r="J9074" s="125">
        <v>0</v>
      </c>
    </row>
    <row r="9075" spans="1:10" s="169" customFormat="1" hidden="1" x14ac:dyDescent="0.25">
      <c r="A9075" s="247"/>
      <c r="B9075" s="245"/>
      <c r="C9075" s="151"/>
      <c r="D9075" s="151"/>
      <c r="E9075" s="152"/>
      <c r="F9075" s="38" t="s">
        <v>418</v>
      </c>
      <c r="G9075" s="31" t="str">
        <f>IF(ISNUMBER(F9075),E9075*F9075,"")</f>
        <v/>
      </c>
      <c r="H9075" s="32"/>
      <c r="I9075" s="28"/>
      <c r="J9075" s="125">
        <v>0</v>
      </c>
    </row>
    <row r="9076" spans="1:10" s="169" customFormat="1" ht="25.5" hidden="1" x14ac:dyDescent="0.25">
      <c r="A9076" s="247"/>
      <c r="B9076" s="245"/>
      <c r="C9076" s="155" t="s">
        <v>26145</v>
      </c>
      <c r="D9076" s="155" t="s">
        <v>205</v>
      </c>
      <c r="E9076" s="130">
        <v>1</v>
      </c>
      <c r="F9076" s="28">
        <v>2.508</v>
      </c>
      <c r="G9076" s="31">
        <f>IF(ISNUMBER(F9076),E9076*F9076,"")</f>
        <v>2.508</v>
      </c>
      <c r="H9076" s="35">
        <f t="shared" ref="H9076" si="100">SUM(G9076:G9076)</f>
        <v>2.508</v>
      </c>
      <c r="I9076" s="36"/>
      <c r="J9076" s="125">
        <v>0</v>
      </c>
    </row>
    <row r="9077" spans="1:10" s="169" customFormat="1" hidden="1" x14ac:dyDescent="0.25">
      <c r="A9077" s="247"/>
      <c r="B9077" s="245"/>
      <c r="C9077" s="155"/>
      <c r="D9077" s="129"/>
      <c r="E9077" s="130"/>
      <c r="F9077" s="28"/>
      <c r="G9077" s="31"/>
      <c r="H9077" s="32"/>
      <c r="I9077" s="36"/>
      <c r="J9077" s="125">
        <v>0</v>
      </c>
    </row>
    <row r="9078" spans="1:10" s="169" customFormat="1" ht="15.75" hidden="1" thickBot="1" x14ac:dyDescent="0.3">
      <c r="A9078" s="241" t="s">
        <v>20721</v>
      </c>
      <c r="B9078" s="244" t="s">
        <v>22564</v>
      </c>
      <c r="C9078" s="160"/>
      <c r="D9078" s="145" t="s">
        <v>69</v>
      </c>
      <c r="E9078" s="146"/>
      <c r="F9078" s="37" t="s">
        <v>418</v>
      </c>
      <c r="G9078" s="147" t="str">
        <f>IF(ISNUMBER(F9078),E9078*F9078,"")</f>
        <v/>
      </c>
      <c r="H9078" s="148"/>
      <c r="I9078" s="149"/>
      <c r="J9078" s="125">
        <v>0</v>
      </c>
    </row>
    <row r="9079" spans="1:10" s="169" customFormat="1" hidden="1" x14ac:dyDescent="0.25">
      <c r="A9079" s="247"/>
      <c r="B9079" s="245"/>
      <c r="C9079" s="151"/>
      <c r="D9079" s="151"/>
      <c r="E9079" s="152"/>
      <c r="F9079" s="38" t="s">
        <v>418</v>
      </c>
      <c r="G9079" s="31" t="str">
        <f>IF(ISNUMBER(F9079),E9079*F9079,"")</f>
        <v/>
      </c>
      <c r="H9079" s="32"/>
      <c r="I9079" s="28"/>
      <c r="J9079" s="125">
        <v>0</v>
      </c>
    </row>
    <row r="9080" spans="1:10" s="169" customFormat="1" ht="25.5" hidden="1" x14ac:dyDescent="0.25">
      <c r="A9080" s="247"/>
      <c r="B9080" s="245"/>
      <c r="C9080" s="155" t="s">
        <v>28071</v>
      </c>
      <c r="D9080" s="155" t="s">
        <v>385</v>
      </c>
      <c r="E9080" s="130">
        <v>1</v>
      </c>
      <c r="F9080" s="28">
        <v>44.070499999999996</v>
      </c>
      <c r="G9080" s="31">
        <f>IF(ISNUMBER(F9080),E9080*F9080,"")</f>
        <v>44.070499999999996</v>
      </c>
      <c r="H9080" s="35">
        <f t="shared" ref="H9080" si="101">SUM(G9080:G9080)</f>
        <v>44.070499999999996</v>
      </c>
      <c r="I9080" s="36"/>
      <c r="J9080" s="125">
        <v>0</v>
      </c>
    </row>
    <row r="9081" spans="1:10" s="169" customFormat="1" hidden="1" x14ac:dyDescent="0.25">
      <c r="A9081" s="247"/>
      <c r="B9081" s="245"/>
      <c r="C9081" s="155"/>
      <c r="D9081" s="129"/>
      <c r="E9081" s="130"/>
      <c r="F9081" s="28"/>
      <c r="G9081" s="31"/>
      <c r="H9081" s="32"/>
      <c r="I9081" s="36"/>
      <c r="J9081" s="125">
        <v>0</v>
      </c>
    </row>
    <row r="9082" spans="1:10" s="169" customFormat="1" ht="15.75" hidden="1" thickBot="1" x14ac:dyDescent="0.3">
      <c r="A9082" s="241" t="s">
        <v>20724</v>
      </c>
      <c r="B9082" s="244" t="s">
        <v>22567</v>
      </c>
      <c r="C9082" s="160"/>
      <c r="D9082" s="145" t="s">
        <v>69</v>
      </c>
      <c r="E9082" s="146"/>
      <c r="F9082" s="37" t="s">
        <v>418</v>
      </c>
      <c r="G9082" s="147" t="str">
        <f>IF(ISNUMBER(F9082),E9082*F9082,"")</f>
        <v/>
      </c>
      <c r="H9082" s="148"/>
      <c r="I9082" s="149"/>
      <c r="J9082" s="125">
        <v>0</v>
      </c>
    </row>
    <row r="9083" spans="1:10" s="169" customFormat="1" hidden="1" x14ac:dyDescent="0.25">
      <c r="A9083" s="247"/>
      <c r="B9083" s="245"/>
      <c r="C9083" s="151"/>
      <c r="D9083" s="151"/>
      <c r="E9083" s="152"/>
      <c r="F9083" s="38" t="s">
        <v>418</v>
      </c>
      <c r="G9083" s="31" t="str">
        <f>IF(ISNUMBER(F9083),E9083*F9083,"")</f>
        <v/>
      </c>
      <c r="H9083" s="32"/>
      <c r="I9083" s="28"/>
      <c r="J9083" s="125">
        <v>0</v>
      </c>
    </row>
    <row r="9084" spans="1:10" s="169" customFormat="1" ht="25.5" hidden="1" x14ac:dyDescent="0.25">
      <c r="A9084" s="247"/>
      <c r="B9084" s="245"/>
      <c r="C9084" s="155" t="s">
        <v>28066</v>
      </c>
      <c r="D9084" s="155" t="s">
        <v>385</v>
      </c>
      <c r="E9084" s="130">
        <v>1</v>
      </c>
      <c r="F9084" s="28">
        <v>53.304499999999997</v>
      </c>
      <c r="G9084" s="31">
        <f>IF(ISNUMBER(F9084),E9084*F9084,"")</f>
        <v>53.304499999999997</v>
      </c>
      <c r="H9084" s="35">
        <f t="shared" ref="H9084" si="102">SUM(G9084:G9084)</f>
        <v>53.304499999999997</v>
      </c>
      <c r="I9084" s="36"/>
      <c r="J9084" s="125">
        <v>0</v>
      </c>
    </row>
    <row r="9085" spans="1:10" s="169" customFormat="1" hidden="1" x14ac:dyDescent="0.25">
      <c r="A9085" s="247"/>
      <c r="B9085" s="245"/>
      <c r="C9085" s="155"/>
      <c r="D9085" s="129"/>
      <c r="E9085" s="130"/>
      <c r="F9085" s="28"/>
      <c r="G9085" s="31"/>
      <c r="H9085" s="32"/>
      <c r="I9085" s="36"/>
      <c r="J9085" s="125">
        <v>0</v>
      </c>
    </row>
    <row r="9086" spans="1:10" s="169" customFormat="1" ht="15.75" hidden="1" thickBot="1" x14ac:dyDescent="0.3">
      <c r="A9086" s="241" t="s">
        <v>20725</v>
      </c>
      <c r="B9086" s="244" t="s">
        <v>22568</v>
      </c>
      <c r="C9086" s="160"/>
      <c r="D9086" s="145" t="s">
        <v>16</v>
      </c>
      <c r="E9086" s="146"/>
      <c r="F9086" s="37" t="s">
        <v>418</v>
      </c>
      <c r="G9086" s="147" t="str">
        <f>IF(ISNUMBER(F9086),E9086*F9086,"")</f>
        <v/>
      </c>
      <c r="H9086" s="148"/>
      <c r="I9086" s="149"/>
      <c r="J9086" s="125">
        <v>0</v>
      </c>
    </row>
    <row r="9087" spans="1:10" s="169" customFormat="1" hidden="1" x14ac:dyDescent="0.25">
      <c r="A9087" s="247"/>
      <c r="B9087" s="245"/>
      <c r="C9087" s="151"/>
      <c r="D9087" s="151"/>
      <c r="E9087" s="152"/>
      <c r="F9087" s="38" t="s">
        <v>418</v>
      </c>
      <c r="G9087" s="31" t="str">
        <f>IF(ISNUMBER(F9087),E9087*F9087,"")</f>
        <v/>
      </c>
      <c r="H9087" s="32"/>
      <c r="I9087" s="28"/>
      <c r="J9087" s="125">
        <v>0</v>
      </c>
    </row>
    <row r="9088" spans="1:10" s="169" customFormat="1" ht="25.5" hidden="1" x14ac:dyDescent="0.25">
      <c r="A9088" s="247"/>
      <c r="B9088" s="245"/>
      <c r="C9088" s="155" t="s">
        <v>1060</v>
      </c>
      <c r="D9088" s="155" t="s">
        <v>205</v>
      </c>
      <c r="E9088" s="130">
        <v>1</v>
      </c>
      <c r="F9088" s="28">
        <v>10.1935</v>
      </c>
      <c r="G9088" s="31">
        <f>IF(ISNUMBER(F9088),E9088*F9088,"")</f>
        <v>10.1935</v>
      </c>
      <c r="H9088" s="35">
        <f t="shared" ref="H9088" si="103">SUM(G9088:G9088)</f>
        <v>10.1935</v>
      </c>
      <c r="I9088" s="36"/>
      <c r="J9088" s="125">
        <v>0</v>
      </c>
    </row>
    <row r="9089" spans="1:10" s="169" customFormat="1" hidden="1" x14ac:dyDescent="0.25">
      <c r="A9089" s="247"/>
      <c r="B9089" s="245"/>
      <c r="C9089" s="155"/>
      <c r="D9089" s="129"/>
      <c r="E9089" s="130"/>
      <c r="F9089" s="28"/>
      <c r="G9089" s="31"/>
      <c r="H9089" s="32"/>
      <c r="I9089" s="36"/>
      <c r="J9089" s="125">
        <v>0</v>
      </c>
    </row>
    <row r="9090" spans="1:10" s="169" customFormat="1" ht="15.75" hidden="1" thickBot="1" x14ac:dyDescent="0.3">
      <c r="A9090" s="241" t="s">
        <v>20726</v>
      </c>
      <c r="B9090" s="244" t="s">
        <v>22569</v>
      </c>
      <c r="C9090" s="160"/>
      <c r="D9090" s="145" t="s">
        <v>16</v>
      </c>
      <c r="E9090" s="146"/>
      <c r="F9090" s="37" t="s">
        <v>418</v>
      </c>
      <c r="G9090" s="147" t="str">
        <f>IF(ISNUMBER(F9090),E9090*F9090,"")</f>
        <v/>
      </c>
      <c r="H9090" s="148"/>
      <c r="I9090" s="149"/>
      <c r="J9090" s="125">
        <v>0</v>
      </c>
    </row>
    <row r="9091" spans="1:10" s="169" customFormat="1" hidden="1" x14ac:dyDescent="0.25">
      <c r="A9091" s="247"/>
      <c r="B9091" s="245"/>
      <c r="C9091" s="151"/>
      <c r="D9091" s="151"/>
      <c r="E9091" s="152"/>
      <c r="F9091" s="38" t="s">
        <v>418</v>
      </c>
      <c r="G9091" s="31" t="str">
        <f>IF(ISNUMBER(F9091),E9091*F9091,"")</f>
        <v/>
      </c>
      <c r="H9091" s="32"/>
      <c r="I9091" s="28"/>
      <c r="J9091" s="125">
        <v>0</v>
      </c>
    </row>
    <row r="9092" spans="1:10" s="169" customFormat="1" ht="25.5" hidden="1" x14ac:dyDescent="0.25">
      <c r="A9092" s="247"/>
      <c r="B9092" s="245"/>
      <c r="C9092" s="155" t="s">
        <v>1066</v>
      </c>
      <c r="D9092" s="155" t="s">
        <v>205</v>
      </c>
      <c r="E9092" s="130">
        <v>1</v>
      </c>
      <c r="F9092" s="28">
        <v>4.8259999999999996</v>
      </c>
      <c r="G9092" s="31">
        <f>IF(ISNUMBER(F9092),E9092*F9092,"")</f>
        <v>4.8259999999999996</v>
      </c>
      <c r="H9092" s="35">
        <f t="shared" ref="H9092" si="104">SUM(G9092:G9092)</f>
        <v>4.8259999999999996</v>
      </c>
      <c r="I9092" s="36"/>
      <c r="J9092" s="125">
        <v>0</v>
      </c>
    </row>
    <row r="9093" spans="1:10" s="169" customFormat="1" hidden="1" x14ac:dyDescent="0.25">
      <c r="A9093" s="247"/>
      <c r="B9093" s="245"/>
      <c r="C9093" s="155"/>
      <c r="D9093" s="129"/>
      <c r="E9093" s="130"/>
      <c r="F9093" s="28"/>
      <c r="G9093" s="31"/>
      <c r="H9093" s="32"/>
      <c r="I9093" s="36"/>
      <c r="J9093" s="125">
        <v>0</v>
      </c>
    </row>
    <row r="9094" spans="1:10" s="169" customFormat="1" ht="15.75" hidden="1" thickBot="1" x14ac:dyDescent="0.3">
      <c r="A9094" s="241" t="s">
        <v>20731</v>
      </c>
      <c r="B9094" s="244" t="s">
        <v>22574</v>
      </c>
      <c r="C9094" s="160"/>
      <c r="D9094" s="145" t="s">
        <v>69</v>
      </c>
      <c r="E9094" s="146"/>
      <c r="F9094" s="37" t="s">
        <v>418</v>
      </c>
      <c r="G9094" s="147" t="str">
        <f>IF(ISNUMBER(F9094),E9094*F9094,"")</f>
        <v/>
      </c>
      <c r="H9094" s="148"/>
      <c r="I9094" s="149"/>
      <c r="J9094" s="125">
        <v>0</v>
      </c>
    </row>
    <row r="9095" spans="1:10" s="169" customFormat="1" hidden="1" x14ac:dyDescent="0.25">
      <c r="A9095" s="247"/>
      <c r="B9095" s="245"/>
      <c r="C9095" s="151"/>
      <c r="D9095" s="151"/>
      <c r="E9095" s="152"/>
      <c r="F9095" s="38" t="s">
        <v>418</v>
      </c>
      <c r="G9095" s="31" t="str">
        <f>IF(ISNUMBER(F9095),E9095*F9095,"")</f>
        <v/>
      </c>
      <c r="H9095" s="32"/>
      <c r="I9095" s="28"/>
      <c r="J9095" s="125">
        <v>0</v>
      </c>
    </row>
    <row r="9096" spans="1:10" s="169" customFormat="1" ht="25.5" hidden="1" x14ac:dyDescent="0.25">
      <c r="A9096" s="247"/>
      <c r="B9096" s="245"/>
      <c r="C9096" s="155" t="s">
        <v>28041</v>
      </c>
      <c r="D9096" s="155" t="s">
        <v>385</v>
      </c>
      <c r="E9096" s="130">
        <v>1</v>
      </c>
      <c r="F9096" s="28">
        <v>85.708999999999989</v>
      </c>
      <c r="G9096" s="31">
        <f>IF(ISNUMBER(F9096),E9096*F9096,"")</f>
        <v>85.708999999999989</v>
      </c>
      <c r="H9096" s="35">
        <f t="shared" ref="H9096" si="105">SUM(G9096:G9096)</f>
        <v>85.708999999999989</v>
      </c>
      <c r="I9096" s="36"/>
      <c r="J9096" s="125">
        <v>0</v>
      </c>
    </row>
    <row r="9097" spans="1:10" s="169" customFormat="1" hidden="1" x14ac:dyDescent="0.25">
      <c r="A9097" s="247"/>
      <c r="B9097" s="245"/>
      <c r="C9097" s="155"/>
      <c r="D9097" s="129"/>
      <c r="E9097" s="130"/>
      <c r="F9097" s="28"/>
      <c r="G9097" s="31"/>
      <c r="H9097" s="32"/>
      <c r="I9097" s="36"/>
      <c r="J9097" s="125">
        <v>0</v>
      </c>
    </row>
    <row r="9098" spans="1:10" s="169" customFormat="1" ht="15.75" hidden="1" thickBot="1" x14ac:dyDescent="0.3">
      <c r="A9098" s="241" t="s">
        <v>20732</v>
      </c>
      <c r="B9098" s="244" t="s">
        <v>22575</v>
      </c>
      <c r="C9098" s="160"/>
      <c r="D9098" s="145" t="s">
        <v>16</v>
      </c>
      <c r="E9098" s="146"/>
      <c r="F9098" s="37" t="s">
        <v>418</v>
      </c>
      <c r="G9098" s="147" t="str">
        <f>IF(ISNUMBER(F9098),E9098*F9098,"")</f>
        <v/>
      </c>
      <c r="H9098" s="148"/>
      <c r="I9098" s="149"/>
      <c r="J9098" s="125">
        <v>0</v>
      </c>
    </row>
    <row r="9099" spans="1:10" s="169" customFormat="1" hidden="1" x14ac:dyDescent="0.25">
      <c r="A9099" s="247"/>
      <c r="B9099" s="245"/>
      <c r="C9099" s="151"/>
      <c r="D9099" s="151"/>
      <c r="E9099" s="152"/>
      <c r="F9099" s="38" t="s">
        <v>418</v>
      </c>
      <c r="G9099" s="31" t="str">
        <f>IF(ISNUMBER(F9099),E9099*F9099,"")</f>
        <v/>
      </c>
      <c r="H9099" s="32"/>
      <c r="I9099" s="28"/>
      <c r="J9099" s="125">
        <v>0</v>
      </c>
    </row>
    <row r="9100" spans="1:10" s="169" customFormat="1" ht="25.5" hidden="1" x14ac:dyDescent="0.25">
      <c r="A9100" s="247"/>
      <c r="B9100" s="245"/>
      <c r="C9100" s="155" t="s">
        <v>24820</v>
      </c>
      <c r="D9100" s="155" t="s">
        <v>205</v>
      </c>
      <c r="E9100" s="130">
        <v>1</v>
      </c>
      <c r="F9100" s="28">
        <v>17.508499999999998</v>
      </c>
      <c r="G9100" s="31">
        <f>IF(ISNUMBER(F9100),E9100*F9100,"")</f>
        <v>17.508499999999998</v>
      </c>
      <c r="H9100" s="35">
        <f t="shared" ref="H9100" si="106">SUM(G9100:G9100)</f>
        <v>17.508499999999998</v>
      </c>
      <c r="I9100" s="36"/>
      <c r="J9100" s="125">
        <v>0</v>
      </c>
    </row>
    <row r="9101" spans="1:10" s="169" customFormat="1" hidden="1" x14ac:dyDescent="0.25">
      <c r="A9101" s="247"/>
      <c r="B9101" s="245"/>
      <c r="C9101" s="155"/>
      <c r="D9101" s="129"/>
      <c r="E9101" s="130"/>
      <c r="F9101" s="28"/>
      <c r="G9101" s="31"/>
      <c r="H9101" s="32"/>
      <c r="I9101" s="36"/>
      <c r="J9101" s="125">
        <v>0</v>
      </c>
    </row>
    <row r="9102" spans="1:10" s="169" customFormat="1" ht="15.75" hidden="1" thickBot="1" x14ac:dyDescent="0.3">
      <c r="A9102" s="241" t="s">
        <v>20733</v>
      </c>
      <c r="B9102" s="244" t="s">
        <v>22576</v>
      </c>
      <c r="C9102" s="160"/>
      <c r="D9102" s="145" t="s">
        <v>16</v>
      </c>
      <c r="E9102" s="146"/>
      <c r="F9102" s="37" t="s">
        <v>418</v>
      </c>
      <c r="G9102" s="147" t="str">
        <f>IF(ISNUMBER(F9102),E9102*F9102,"")</f>
        <v/>
      </c>
      <c r="H9102" s="148"/>
      <c r="I9102" s="149"/>
      <c r="J9102" s="125">
        <v>0</v>
      </c>
    </row>
    <row r="9103" spans="1:10" s="169" customFormat="1" hidden="1" x14ac:dyDescent="0.25">
      <c r="A9103" s="247"/>
      <c r="B9103" s="245"/>
      <c r="C9103" s="151"/>
      <c r="D9103" s="151"/>
      <c r="E9103" s="152"/>
      <c r="F9103" s="38" t="s">
        <v>418</v>
      </c>
      <c r="G9103" s="31" t="str">
        <f>IF(ISNUMBER(F9103),E9103*F9103,"")</f>
        <v/>
      </c>
      <c r="H9103" s="32"/>
      <c r="I9103" s="28"/>
      <c r="J9103" s="125">
        <v>0</v>
      </c>
    </row>
    <row r="9104" spans="1:10" s="169" customFormat="1" ht="25.5" hidden="1" x14ac:dyDescent="0.25">
      <c r="A9104" s="247"/>
      <c r="B9104" s="245"/>
      <c r="C9104" s="155" t="s">
        <v>26146</v>
      </c>
      <c r="D9104" s="155" t="s">
        <v>205</v>
      </c>
      <c r="E9104" s="130">
        <v>1</v>
      </c>
      <c r="F9104" s="28">
        <v>9.69</v>
      </c>
      <c r="G9104" s="31">
        <f>IF(ISNUMBER(F9104),E9104*F9104,"")</f>
        <v>9.69</v>
      </c>
      <c r="H9104" s="35">
        <f t="shared" ref="H9104" si="107">SUM(G9104:G9104)</f>
        <v>9.69</v>
      </c>
      <c r="I9104" s="36"/>
      <c r="J9104" s="125">
        <v>0</v>
      </c>
    </row>
    <row r="9105" spans="1:10" s="169" customFormat="1" hidden="1" x14ac:dyDescent="0.25">
      <c r="A9105" s="247"/>
      <c r="B9105" s="245"/>
      <c r="C9105" s="155"/>
      <c r="D9105" s="129"/>
      <c r="E9105" s="130"/>
      <c r="F9105" s="28"/>
      <c r="G9105" s="31"/>
      <c r="H9105" s="32"/>
      <c r="I9105" s="36"/>
      <c r="J9105" s="125">
        <v>0</v>
      </c>
    </row>
    <row r="9106" spans="1:10" s="169" customFormat="1" ht="15.75" hidden="1" thickBot="1" x14ac:dyDescent="0.3">
      <c r="A9106" s="241" t="s">
        <v>20738</v>
      </c>
      <c r="B9106" s="244" t="s">
        <v>22581</v>
      </c>
      <c r="C9106" s="160"/>
      <c r="D9106" s="145" t="s">
        <v>16</v>
      </c>
      <c r="E9106" s="146"/>
      <c r="F9106" s="37" t="s">
        <v>418</v>
      </c>
      <c r="G9106" s="147" t="str">
        <f>IF(ISNUMBER(F9106),E9106*F9106,"")</f>
        <v/>
      </c>
      <c r="H9106" s="148"/>
      <c r="I9106" s="149"/>
      <c r="J9106" s="125">
        <v>0</v>
      </c>
    </row>
    <row r="9107" spans="1:10" s="169" customFormat="1" hidden="1" x14ac:dyDescent="0.25">
      <c r="A9107" s="247"/>
      <c r="B9107" s="245"/>
      <c r="C9107" s="151"/>
      <c r="D9107" s="151"/>
      <c r="E9107" s="152"/>
      <c r="F9107" s="38" t="s">
        <v>418</v>
      </c>
      <c r="G9107" s="31" t="str">
        <f>IF(ISNUMBER(F9107),E9107*F9107,"")</f>
        <v/>
      </c>
      <c r="H9107" s="32"/>
      <c r="I9107" s="28"/>
      <c r="J9107" s="125">
        <v>0</v>
      </c>
    </row>
    <row r="9108" spans="1:10" s="169" customFormat="1" ht="25.5" hidden="1" x14ac:dyDescent="0.25">
      <c r="A9108" s="247"/>
      <c r="B9108" s="245"/>
      <c r="C9108" s="155" t="s">
        <v>1054</v>
      </c>
      <c r="D9108" s="155" t="s">
        <v>205</v>
      </c>
      <c r="E9108" s="130">
        <v>1</v>
      </c>
      <c r="F9108" s="28">
        <v>34.418499999999995</v>
      </c>
      <c r="G9108" s="31">
        <f>IF(ISNUMBER(F9108),E9108*F9108,"")</f>
        <v>34.418499999999995</v>
      </c>
      <c r="H9108" s="35">
        <f t="shared" ref="H9108" si="108">SUM(G9108:G9108)</f>
        <v>34.418499999999995</v>
      </c>
      <c r="I9108" s="36"/>
      <c r="J9108" s="125">
        <v>0</v>
      </c>
    </row>
    <row r="9109" spans="1:10" s="169" customFormat="1" hidden="1" x14ac:dyDescent="0.25">
      <c r="A9109" s="247"/>
      <c r="B9109" s="245"/>
      <c r="C9109" s="155"/>
      <c r="D9109" s="129"/>
      <c r="E9109" s="130"/>
      <c r="F9109" s="28"/>
      <c r="G9109" s="31"/>
      <c r="H9109" s="32"/>
      <c r="I9109" s="36"/>
      <c r="J9109" s="125">
        <v>0</v>
      </c>
    </row>
    <row r="9110" spans="1:10" s="169" customFormat="1" ht="15.75" hidden="1" thickBot="1" x14ac:dyDescent="0.3">
      <c r="A9110" s="241" t="s">
        <v>20739</v>
      </c>
      <c r="B9110" s="244" t="s">
        <v>22582</v>
      </c>
      <c r="C9110" s="160"/>
      <c r="D9110" s="145" t="s">
        <v>16</v>
      </c>
      <c r="E9110" s="146"/>
      <c r="F9110" s="37" t="s">
        <v>418</v>
      </c>
      <c r="G9110" s="147" t="str">
        <f>IF(ISNUMBER(F9110),E9110*F9110,"")</f>
        <v/>
      </c>
      <c r="H9110" s="148"/>
      <c r="I9110" s="149"/>
      <c r="J9110" s="125">
        <v>0</v>
      </c>
    </row>
    <row r="9111" spans="1:10" s="169" customFormat="1" hidden="1" x14ac:dyDescent="0.25">
      <c r="A9111" s="247"/>
      <c r="B9111" s="245"/>
      <c r="C9111" s="151"/>
      <c r="D9111" s="151"/>
      <c r="E9111" s="152"/>
      <c r="F9111" s="38" t="s">
        <v>418</v>
      </c>
      <c r="G9111" s="31" t="str">
        <f>IF(ISNUMBER(F9111),E9111*F9111,"")</f>
        <v/>
      </c>
      <c r="H9111" s="32"/>
      <c r="I9111" s="28"/>
      <c r="J9111" s="125">
        <v>0</v>
      </c>
    </row>
    <row r="9112" spans="1:10" s="169" customFormat="1" ht="25.5" hidden="1" x14ac:dyDescent="0.25">
      <c r="A9112" s="247"/>
      <c r="B9112" s="245"/>
      <c r="C9112" s="155" t="s">
        <v>1062</v>
      </c>
      <c r="D9112" s="155" t="s">
        <v>205</v>
      </c>
      <c r="E9112" s="130">
        <v>1</v>
      </c>
      <c r="F9112" s="28">
        <v>21.384499999999999</v>
      </c>
      <c r="G9112" s="31">
        <f>IF(ISNUMBER(F9112),E9112*F9112,"")</f>
        <v>21.384499999999999</v>
      </c>
      <c r="H9112" s="35">
        <f t="shared" ref="H9112" si="109">SUM(G9112:G9112)</f>
        <v>21.384499999999999</v>
      </c>
      <c r="I9112" s="36"/>
      <c r="J9112" s="125">
        <v>0</v>
      </c>
    </row>
    <row r="9113" spans="1:10" s="169" customFormat="1" hidden="1" x14ac:dyDescent="0.25">
      <c r="A9113" s="247"/>
      <c r="B9113" s="245"/>
      <c r="C9113" s="155"/>
      <c r="D9113" s="129"/>
      <c r="E9113" s="130"/>
      <c r="F9113" s="28"/>
      <c r="G9113" s="31"/>
      <c r="H9113" s="32"/>
      <c r="I9113" s="36"/>
      <c r="J9113" s="125">
        <v>0</v>
      </c>
    </row>
    <row r="9114" spans="1:10" s="169" customFormat="1" ht="15.75" hidden="1" thickBot="1" x14ac:dyDescent="0.3">
      <c r="A9114" s="241" t="s">
        <v>20741</v>
      </c>
      <c r="B9114" s="244" t="s">
        <v>22584</v>
      </c>
      <c r="C9114" s="160"/>
      <c r="D9114" s="145" t="s">
        <v>16</v>
      </c>
      <c r="E9114" s="146"/>
      <c r="F9114" s="37" t="s">
        <v>418</v>
      </c>
      <c r="G9114" s="147" t="str">
        <f>IF(ISNUMBER(F9114),E9114*F9114,"")</f>
        <v/>
      </c>
      <c r="H9114" s="148"/>
      <c r="I9114" s="149"/>
      <c r="J9114" s="125">
        <v>0</v>
      </c>
    </row>
    <row r="9115" spans="1:10" s="169" customFormat="1" hidden="1" x14ac:dyDescent="0.25">
      <c r="A9115" s="247"/>
      <c r="B9115" s="245"/>
      <c r="C9115" s="151"/>
      <c r="D9115" s="151"/>
      <c r="E9115" s="152"/>
      <c r="F9115" s="38" t="s">
        <v>418</v>
      </c>
      <c r="G9115" s="31" t="str">
        <f>IF(ISNUMBER(F9115),E9115*F9115,"")</f>
        <v/>
      </c>
      <c r="H9115" s="32"/>
      <c r="I9115" s="28"/>
      <c r="J9115" s="125">
        <v>0</v>
      </c>
    </row>
    <row r="9116" spans="1:10" s="169" customFormat="1" ht="25.5" hidden="1" x14ac:dyDescent="0.25">
      <c r="A9116" s="247"/>
      <c r="B9116" s="245"/>
      <c r="C9116" s="155" t="s">
        <v>1058</v>
      </c>
      <c r="D9116" s="155" t="s">
        <v>205</v>
      </c>
      <c r="E9116" s="130">
        <v>1</v>
      </c>
      <c r="F9116" s="28">
        <v>52.829499999999996</v>
      </c>
      <c r="G9116" s="31">
        <f>IF(ISNUMBER(F9116),E9116*F9116,"")</f>
        <v>52.829499999999996</v>
      </c>
      <c r="H9116" s="35">
        <f t="shared" ref="H9116" si="110">SUM(G9116:G9116)</f>
        <v>52.829499999999996</v>
      </c>
      <c r="I9116" s="36"/>
      <c r="J9116" s="125">
        <v>0</v>
      </c>
    </row>
    <row r="9117" spans="1:10" s="169" customFormat="1" hidden="1" x14ac:dyDescent="0.25">
      <c r="A9117" s="247"/>
      <c r="B9117" s="245"/>
      <c r="C9117" s="155"/>
      <c r="D9117" s="129"/>
      <c r="E9117" s="130"/>
      <c r="F9117" s="28"/>
      <c r="G9117" s="31"/>
      <c r="H9117" s="32"/>
      <c r="I9117" s="36"/>
      <c r="J9117" s="125">
        <v>0</v>
      </c>
    </row>
    <row r="9118" spans="1:10" s="169" customFormat="1" ht="15.75" hidden="1" thickBot="1" x14ac:dyDescent="0.3">
      <c r="A9118" s="241" t="s">
        <v>20742</v>
      </c>
      <c r="B9118" s="244" t="s">
        <v>22585</v>
      </c>
      <c r="C9118" s="160"/>
      <c r="D9118" s="145" t="s">
        <v>16</v>
      </c>
      <c r="E9118" s="146"/>
      <c r="F9118" s="37" t="s">
        <v>418</v>
      </c>
      <c r="G9118" s="147" t="str">
        <f>IF(ISNUMBER(F9118),E9118*F9118,"")</f>
        <v/>
      </c>
      <c r="H9118" s="148"/>
      <c r="I9118" s="149"/>
      <c r="J9118" s="125">
        <v>0</v>
      </c>
    </row>
    <row r="9119" spans="1:10" s="169" customFormat="1" hidden="1" x14ac:dyDescent="0.25">
      <c r="A9119" s="247"/>
      <c r="B9119" s="245"/>
      <c r="C9119" s="151"/>
      <c r="D9119" s="151"/>
      <c r="E9119" s="152"/>
      <c r="F9119" s="38" t="s">
        <v>418</v>
      </c>
      <c r="G9119" s="31" t="str">
        <f>IF(ISNUMBER(F9119),E9119*F9119,"")</f>
        <v/>
      </c>
      <c r="H9119" s="32"/>
      <c r="I9119" s="28"/>
      <c r="J9119" s="125">
        <v>0</v>
      </c>
    </row>
    <row r="9120" spans="1:10" s="169" customFormat="1" ht="25.5" hidden="1" x14ac:dyDescent="0.25">
      <c r="A9120" s="247"/>
      <c r="B9120" s="245"/>
      <c r="C9120" s="155" t="s">
        <v>1064</v>
      </c>
      <c r="D9120" s="155" t="s">
        <v>205</v>
      </c>
      <c r="E9120" s="130">
        <v>1</v>
      </c>
      <c r="F9120" s="28">
        <v>27.122499999999999</v>
      </c>
      <c r="G9120" s="31">
        <f>IF(ISNUMBER(F9120),E9120*F9120,"")</f>
        <v>27.122499999999999</v>
      </c>
      <c r="H9120" s="35">
        <f t="shared" ref="H9120" si="111">SUM(G9120:G9120)</f>
        <v>27.122499999999999</v>
      </c>
      <c r="I9120" s="36"/>
      <c r="J9120" s="125">
        <v>0</v>
      </c>
    </row>
    <row r="9121" spans="1:10" s="169" customFormat="1" hidden="1" x14ac:dyDescent="0.25">
      <c r="A9121" s="247"/>
      <c r="B9121" s="245"/>
      <c r="C9121" s="155"/>
      <c r="D9121" s="129"/>
      <c r="E9121" s="130"/>
      <c r="F9121" s="28"/>
      <c r="G9121" s="31"/>
      <c r="H9121" s="32"/>
      <c r="I9121" s="36"/>
      <c r="J9121" s="125">
        <v>0</v>
      </c>
    </row>
    <row r="9122" spans="1:10" s="169" customFormat="1" ht="15.75" hidden="1" thickBot="1" x14ac:dyDescent="0.3">
      <c r="A9122" s="241" t="s">
        <v>20764</v>
      </c>
      <c r="B9122" s="244" t="s">
        <v>22606</v>
      </c>
      <c r="C9122" s="160"/>
      <c r="D9122" s="145" t="s">
        <v>28</v>
      </c>
      <c r="E9122" s="146"/>
      <c r="F9122" s="37" t="s">
        <v>418</v>
      </c>
      <c r="G9122" s="147" t="str">
        <f>IF(ISNUMBER(F9122),E9122*F9122,"")</f>
        <v/>
      </c>
      <c r="H9122" s="148"/>
      <c r="I9122" s="149"/>
      <c r="J9122" s="125">
        <v>0</v>
      </c>
    </row>
    <row r="9123" spans="1:10" s="169" customFormat="1" hidden="1" x14ac:dyDescent="0.25">
      <c r="A9123" s="247"/>
      <c r="B9123" s="245"/>
      <c r="C9123" s="151"/>
      <c r="D9123" s="151"/>
      <c r="E9123" s="152"/>
      <c r="F9123" s="38" t="s">
        <v>418</v>
      </c>
      <c r="G9123" s="31" t="str">
        <f>IF(ISNUMBER(F9123),E9123*F9123,"")</f>
        <v/>
      </c>
      <c r="H9123" s="32"/>
      <c r="I9123" s="28"/>
      <c r="J9123" s="125">
        <v>0</v>
      </c>
    </row>
    <row r="9124" spans="1:10" s="169" customFormat="1" ht="25.5" hidden="1" x14ac:dyDescent="0.25">
      <c r="A9124" s="247"/>
      <c r="B9124" s="245"/>
      <c r="C9124" s="155" t="s">
        <v>24470</v>
      </c>
      <c r="D9124" s="155" t="s">
        <v>774</v>
      </c>
      <c r="E9124" s="130">
        <v>1</v>
      </c>
      <c r="F9124" s="28">
        <v>12.805999999999999</v>
      </c>
      <c r="G9124" s="31">
        <f>IF(ISNUMBER(F9124),E9124*F9124,"")</f>
        <v>12.805999999999999</v>
      </c>
      <c r="H9124" s="35">
        <f t="shared" ref="H9124" si="112">SUM(G9124:G9124)</f>
        <v>12.805999999999999</v>
      </c>
      <c r="I9124" s="36"/>
      <c r="J9124" s="125">
        <v>0</v>
      </c>
    </row>
    <row r="9125" spans="1:10" s="169" customFormat="1" hidden="1" x14ac:dyDescent="0.25">
      <c r="A9125" s="247"/>
      <c r="B9125" s="245"/>
      <c r="C9125" s="155"/>
      <c r="D9125" s="129"/>
      <c r="E9125" s="130"/>
      <c r="F9125" s="28"/>
      <c r="G9125" s="31"/>
      <c r="H9125" s="32"/>
      <c r="I9125" s="36"/>
      <c r="J9125" s="125">
        <v>0</v>
      </c>
    </row>
    <row r="9126" spans="1:10" s="169" customFormat="1" ht="15.75" hidden="1" thickBot="1" x14ac:dyDescent="0.3">
      <c r="A9126" s="241" t="s">
        <v>20862</v>
      </c>
      <c r="B9126" s="244" t="s">
        <v>38885</v>
      </c>
      <c r="C9126" s="160"/>
      <c r="D9126" s="145" t="s">
        <v>16</v>
      </c>
      <c r="E9126" s="146"/>
      <c r="F9126" s="37" t="s">
        <v>418</v>
      </c>
      <c r="G9126" s="147" t="str">
        <f>IF(ISNUMBER(F9126),E9126*F9126,"")</f>
        <v/>
      </c>
      <c r="H9126" s="148"/>
      <c r="I9126" s="149"/>
      <c r="J9126" s="125">
        <v>0</v>
      </c>
    </row>
    <row r="9127" spans="1:10" s="169" customFormat="1" hidden="1" x14ac:dyDescent="0.25">
      <c r="A9127" s="247"/>
      <c r="B9127" s="245"/>
      <c r="C9127" s="151"/>
      <c r="D9127" s="151"/>
      <c r="E9127" s="152"/>
      <c r="F9127" s="38" t="s">
        <v>418</v>
      </c>
      <c r="G9127" s="31" t="str">
        <f>IF(ISNUMBER(F9127),E9127*F9127,"")</f>
        <v/>
      </c>
      <c r="H9127" s="32"/>
      <c r="I9127" s="28"/>
      <c r="J9127" s="125">
        <v>0</v>
      </c>
    </row>
    <row r="9128" spans="1:10" s="169" customFormat="1" ht="51" hidden="1" x14ac:dyDescent="0.25">
      <c r="A9128" s="247"/>
      <c r="B9128" s="245"/>
      <c r="C9128" s="155" t="s">
        <v>23353</v>
      </c>
      <c r="D9128" s="155" t="s">
        <v>16</v>
      </c>
      <c r="E9128" s="156">
        <v>1</v>
      </c>
      <c r="F9128" s="28" t="s">
        <v>418</v>
      </c>
      <c r="G9128" s="31" t="str">
        <f>IF(ISNUMBER(F9128),E9128*F9128,"")</f>
        <v/>
      </c>
      <c r="H9128" s="35">
        <f>SUM(G9128:G9135)</f>
        <v>180.40428750000001</v>
      </c>
      <c r="I9128" s="36"/>
      <c r="J9128" s="125">
        <v>0</v>
      </c>
    </row>
    <row r="9129" spans="1:10" s="169" customFormat="1" ht="38.25" hidden="1" x14ac:dyDescent="0.25">
      <c r="A9129" s="247"/>
      <c r="B9129" s="245"/>
      <c r="C9129" s="155" t="s">
        <v>23722</v>
      </c>
      <c r="D9129" s="155" t="s">
        <v>205</v>
      </c>
      <c r="E9129" s="156">
        <v>4</v>
      </c>
      <c r="F9129" s="28">
        <v>1.482</v>
      </c>
      <c r="G9129" s="31">
        <f>IF(ISNUMBER(F9129),E9129*F9129,"")</f>
        <v>5.9279999999999999</v>
      </c>
      <c r="H9129" s="32"/>
      <c r="I9129" s="36"/>
      <c r="J9129" s="125">
        <v>0</v>
      </c>
    </row>
    <row r="9130" spans="1:10" s="169" customFormat="1" hidden="1" x14ac:dyDescent="0.25">
      <c r="A9130" s="247"/>
      <c r="B9130" s="245"/>
      <c r="C9130" s="155" t="s">
        <v>28417</v>
      </c>
      <c r="D9130" s="155" t="s">
        <v>385</v>
      </c>
      <c r="E9130" s="156">
        <v>0.2</v>
      </c>
      <c r="F9130" s="28">
        <v>5.3389999999999995</v>
      </c>
      <c r="G9130" s="31">
        <f>IF(ISNUMBER(F9130),E9130*F9130,"")</f>
        <v>1.0677999999999999</v>
      </c>
      <c r="H9130" s="32"/>
      <c r="I9130" s="36"/>
      <c r="J9130" s="125">
        <v>0</v>
      </c>
    </row>
    <row r="9131" spans="1:10" s="169" customFormat="1" hidden="1" x14ac:dyDescent="0.25">
      <c r="A9131" s="247"/>
      <c r="B9131" s="245"/>
      <c r="C9131" s="155" t="s">
        <v>341</v>
      </c>
      <c r="D9131" s="155" t="s">
        <v>205</v>
      </c>
      <c r="E9131" s="156">
        <v>4</v>
      </c>
      <c r="F9131" s="28">
        <v>0.33249999999999996</v>
      </c>
      <c r="G9131" s="31">
        <f>IF(ISNUMBER(F9131),E9131*F9131,"")</f>
        <v>1.3299999999999998</v>
      </c>
      <c r="H9131" s="32"/>
      <c r="I9131" s="36"/>
      <c r="J9131" s="125">
        <v>0</v>
      </c>
    </row>
    <row r="9132" spans="1:10" s="169" customFormat="1" hidden="1" x14ac:dyDescent="0.25">
      <c r="A9132" s="247"/>
      <c r="B9132" s="245"/>
      <c r="C9132" s="155" t="s">
        <v>1022</v>
      </c>
      <c r="D9132" s="155" t="s">
        <v>587</v>
      </c>
      <c r="E9132" s="156">
        <v>0.63300000000000001</v>
      </c>
      <c r="F9132" s="28">
        <v>19.522500000000001</v>
      </c>
      <c r="G9132" s="31">
        <f>IF(ISNUMBER(F9132),E9132*F9132,"")</f>
        <v>12.357742500000001</v>
      </c>
      <c r="H9132" s="32"/>
      <c r="I9132" s="36"/>
      <c r="J9132" s="125">
        <v>0</v>
      </c>
    </row>
    <row r="9133" spans="1:10" s="169" customFormat="1" ht="25.5" hidden="1" x14ac:dyDescent="0.25">
      <c r="A9133" s="247"/>
      <c r="B9133" s="245"/>
      <c r="C9133" s="155" t="s">
        <v>824</v>
      </c>
      <c r="D9133" s="155" t="s">
        <v>587</v>
      </c>
      <c r="E9133" s="156">
        <v>3.2890000000000001</v>
      </c>
      <c r="F9133" s="28">
        <v>18.6295</v>
      </c>
      <c r="G9133" s="31">
        <f>IF(ISNUMBER(F9133),E9133*F9133,"")</f>
        <v>61.272425500000004</v>
      </c>
      <c r="H9133" s="32"/>
      <c r="I9133" s="36"/>
      <c r="J9133" s="125">
        <v>0</v>
      </c>
    </row>
    <row r="9134" spans="1:10" s="169" customFormat="1" hidden="1" x14ac:dyDescent="0.25">
      <c r="A9134" s="247"/>
      <c r="B9134" s="245"/>
      <c r="C9134" s="155" t="s">
        <v>1023</v>
      </c>
      <c r="D9134" s="155" t="s">
        <v>587</v>
      </c>
      <c r="E9134" s="156">
        <v>0.63300000000000001</v>
      </c>
      <c r="F9134" s="28">
        <v>25.954000000000001</v>
      </c>
      <c r="G9134" s="31">
        <f>IF(ISNUMBER(F9134),E9134*F9134,"")</f>
        <v>16.428882000000002</v>
      </c>
      <c r="H9134" s="32"/>
      <c r="I9134" s="36"/>
      <c r="J9134" s="125">
        <v>0</v>
      </c>
    </row>
    <row r="9135" spans="1:10" s="169" customFormat="1" ht="25.5" hidden="1" x14ac:dyDescent="0.25">
      <c r="A9135" s="247"/>
      <c r="B9135" s="245"/>
      <c r="C9135" s="155" t="s">
        <v>825</v>
      </c>
      <c r="D9135" s="155" t="s">
        <v>587</v>
      </c>
      <c r="E9135" s="156">
        <v>3.2890000000000001</v>
      </c>
      <c r="F9135" s="28">
        <v>24.9375</v>
      </c>
      <c r="G9135" s="31">
        <f>IF(ISNUMBER(F9135),E9135*F9135,"")</f>
        <v>82.019437500000009</v>
      </c>
      <c r="H9135" s="32"/>
      <c r="I9135" s="36"/>
      <c r="J9135" s="125">
        <v>0</v>
      </c>
    </row>
    <row r="9136" spans="1:10" s="169" customFormat="1" ht="15.75" hidden="1" thickBot="1" x14ac:dyDescent="0.3">
      <c r="A9136" s="248"/>
      <c r="B9136" s="246"/>
      <c r="C9136" s="164"/>
      <c r="D9136" s="164"/>
      <c r="E9136" s="165"/>
      <c r="F9136" s="62" t="s">
        <v>418</v>
      </c>
      <c r="G9136" s="63" t="str">
        <f>IF(ISNUMBER(F9136),E9136*F9136,"")</f>
        <v/>
      </c>
      <c r="H9136" s="64"/>
      <c r="I9136" s="28"/>
      <c r="J9136" s="125">
        <v>0</v>
      </c>
    </row>
    <row r="9137" spans="1:10" s="169" customFormat="1" ht="15.75" hidden="1" thickBot="1" x14ac:dyDescent="0.3">
      <c r="A9137" s="241" t="s">
        <v>20863</v>
      </c>
      <c r="B9137" s="244" t="s">
        <v>38886</v>
      </c>
      <c r="C9137" s="160"/>
      <c r="D9137" s="145" t="s">
        <v>16</v>
      </c>
      <c r="E9137" s="146"/>
      <c r="F9137" s="37" t="s">
        <v>418</v>
      </c>
      <c r="G9137" s="147" t="str">
        <f>IF(ISNUMBER(F9137),E9137*F9137,"")</f>
        <v/>
      </c>
      <c r="H9137" s="148"/>
      <c r="I9137" s="149"/>
      <c r="J9137" s="125">
        <v>0</v>
      </c>
    </row>
    <row r="9138" spans="1:10" s="169" customFormat="1" hidden="1" x14ac:dyDescent="0.25">
      <c r="A9138" s="247"/>
      <c r="B9138" s="245"/>
      <c r="C9138" s="151"/>
      <c r="D9138" s="151"/>
      <c r="E9138" s="152"/>
      <c r="F9138" s="38" t="s">
        <v>418</v>
      </c>
      <c r="G9138" s="31" t="str">
        <f>IF(ISNUMBER(F9138),E9138*F9138,"")</f>
        <v/>
      </c>
      <c r="H9138" s="32"/>
      <c r="I9138" s="28"/>
      <c r="J9138" s="125">
        <v>0</v>
      </c>
    </row>
    <row r="9139" spans="1:10" s="169" customFormat="1" ht="51" hidden="1" x14ac:dyDescent="0.25">
      <c r="A9139" s="247"/>
      <c r="B9139" s="245"/>
      <c r="C9139" s="155" t="s">
        <v>23354</v>
      </c>
      <c r="D9139" s="155" t="s">
        <v>16</v>
      </c>
      <c r="E9139" s="156">
        <v>1</v>
      </c>
      <c r="F9139" s="28" t="s">
        <v>418</v>
      </c>
      <c r="G9139" s="31" t="str">
        <f>IF(ISNUMBER(F9139),E9139*F9139,"")</f>
        <v/>
      </c>
      <c r="H9139" s="35">
        <f>SUM(G9139:G9146)</f>
        <v>180.40428750000001</v>
      </c>
      <c r="I9139" s="36"/>
      <c r="J9139" s="125">
        <v>0</v>
      </c>
    </row>
    <row r="9140" spans="1:10" s="169" customFormat="1" ht="38.25" hidden="1" x14ac:dyDescent="0.25">
      <c r="A9140" s="247"/>
      <c r="B9140" s="245"/>
      <c r="C9140" s="155" t="s">
        <v>23722</v>
      </c>
      <c r="D9140" s="155" t="s">
        <v>205</v>
      </c>
      <c r="E9140" s="156">
        <v>4</v>
      </c>
      <c r="F9140" s="28">
        <v>1.482</v>
      </c>
      <c r="G9140" s="31">
        <f>IF(ISNUMBER(F9140),E9140*F9140,"")</f>
        <v>5.9279999999999999</v>
      </c>
      <c r="H9140" s="32"/>
      <c r="I9140" s="36"/>
      <c r="J9140" s="125">
        <v>0</v>
      </c>
    </row>
    <row r="9141" spans="1:10" s="169" customFormat="1" hidden="1" x14ac:dyDescent="0.25">
      <c r="A9141" s="247"/>
      <c r="B9141" s="245"/>
      <c r="C9141" s="155" t="s">
        <v>28417</v>
      </c>
      <c r="D9141" s="155" t="s">
        <v>385</v>
      </c>
      <c r="E9141" s="156">
        <v>0.2</v>
      </c>
      <c r="F9141" s="28">
        <v>5.3389999999999995</v>
      </c>
      <c r="G9141" s="31">
        <f>IF(ISNUMBER(F9141),E9141*F9141,"")</f>
        <v>1.0677999999999999</v>
      </c>
      <c r="H9141" s="32"/>
      <c r="I9141" s="36"/>
      <c r="J9141" s="125">
        <v>0</v>
      </c>
    </row>
    <row r="9142" spans="1:10" s="169" customFormat="1" hidden="1" x14ac:dyDescent="0.25">
      <c r="A9142" s="247"/>
      <c r="B9142" s="245"/>
      <c r="C9142" s="155" t="s">
        <v>341</v>
      </c>
      <c r="D9142" s="155" t="s">
        <v>205</v>
      </c>
      <c r="E9142" s="156">
        <v>4</v>
      </c>
      <c r="F9142" s="28">
        <v>0.33249999999999996</v>
      </c>
      <c r="G9142" s="31">
        <f>IF(ISNUMBER(F9142),E9142*F9142,"")</f>
        <v>1.3299999999999998</v>
      </c>
      <c r="H9142" s="32"/>
      <c r="I9142" s="36"/>
      <c r="J9142" s="125">
        <v>0</v>
      </c>
    </row>
    <row r="9143" spans="1:10" s="169" customFormat="1" hidden="1" x14ac:dyDescent="0.25">
      <c r="A9143" s="247"/>
      <c r="B9143" s="245"/>
      <c r="C9143" s="155" t="s">
        <v>1022</v>
      </c>
      <c r="D9143" s="155" t="s">
        <v>587</v>
      </c>
      <c r="E9143" s="156">
        <v>0.63300000000000001</v>
      </c>
      <c r="F9143" s="28">
        <v>19.522500000000001</v>
      </c>
      <c r="G9143" s="31">
        <f>IF(ISNUMBER(F9143),E9143*F9143,"")</f>
        <v>12.357742500000001</v>
      </c>
      <c r="H9143" s="32"/>
      <c r="I9143" s="36"/>
      <c r="J9143" s="125">
        <v>0</v>
      </c>
    </row>
    <row r="9144" spans="1:10" s="169" customFormat="1" ht="25.5" hidden="1" x14ac:dyDescent="0.25">
      <c r="A9144" s="247"/>
      <c r="B9144" s="245"/>
      <c r="C9144" s="155" t="s">
        <v>824</v>
      </c>
      <c r="D9144" s="155" t="s">
        <v>587</v>
      </c>
      <c r="E9144" s="156">
        <v>3.2890000000000001</v>
      </c>
      <c r="F9144" s="28">
        <v>18.6295</v>
      </c>
      <c r="G9144" s="31">
        <f>IF(ISNUMBER(F9144),E9144*F9144,"")</f>
        <v>61.272425500000004</v>
      </c>
      <c r="H9144" s="32"/>
      <c r="I9144" s="36"/>
      <c r="J9144" s="125">
        <v>0</v>
      </c>
    </row>
    <row r="9145" spans="1:10" s="169" customFormat="1" hidden="1" x14ac:dyDescent="0.25">
      <c r="A9145" s="247"/>
      <c r="B9145" s="245"/>
      <c r="C9145" s="155" t="s">
        <v>1023</v>
      </c>
      <c r="D9145" s="155" t="s">
        <v>587</v>
      </c>
      <c r="E9145" s="156">
        <v>0.63300000000000001</v>
      </c>
      <c r="F9145" s="28">
        <v>25.954000000000001</v>
      </c>
      <c r="G9145" s="31">
        <f>IF(ISNUMBER(F9145),E9145*F9145,"")</f>
        <v>16.428882000000002</v>
      </c>
      <c r="H9145" s="32"/>
      <c r="I9145" s="36"/>
      <c r="J9145" s="125">
        <v>0</v>
      </c>
    </row>
    <row r="9146" spans="1:10" s="169" customFormat="1" ht="25.5" hidden="1" x14ac:dyDescent="0.25">
      <c r="A9146" s="247"/>
      <c r="B9146" s="245"/>
      <c r="C9146" s="155" t="s">
        <v>825</v>
      </c>
      <c r="D9146" s="155" t="s">
        <v>587</v>
      </c>
      <c r="E9146" s="156">
        <v>3.2890000000000001</v>
      </c>
      <c r="F9146" s="28">
        <v>24.9375</v>
      </c>
      <c r="G9146" s="31">
        <f>IF(ISNUMBER(F9146),E9146*F9146,"")</f>
        <v>82.019437500000009</v>
      </c>
      <c r="H9146" s="32"/>
      <c r="I9146" s="36"/>
      <c r="J9146" s="125">
        <v>0</v>
      </c>
    </row>
    <row r="9147" spans="1:10" s="169" customFormat="1" ht="15.75" hidden="1" thickBot="1" x14ac:dyDescent="0.3">
      <c r="A9147" s="248"/>
      <c r="B9147" s="246"/>
      <c r="C9147" s="164"/>
      <c r="D9147" s="164"/>
      <c r="E9147" s="165"/>
      <c r="F9147" s="62" t="s">
        <v>418</v>
      </c>
      <c r="G9147" s="63" t="str">
        <f>IF(ISNUMBER(F9147),E9147*F9147,"")</f>
        <v/>
      </c>
      <c r="H9147" s="64"/>
      <c r="I9147" s="28"/>
      <c r="J9147" s="125">
        <v>0</v>
      </c>
    </row>
    <row r="9148" spans="1:10" s="169" customFormat="1" ht="15.75" hidden="1" thickBot="1" x14ac:dyDescent="0.3">
      <c r="A9148" s="241" t="s">
        <v>20864</v>
      </c>
      <c r="B9148" s="244" t="s">
        <v>38887</v>
      </c>
      <c r="C9148" s="160"/>
      <c r="D9148" s="145" t="s">
        <v>16</v>
      </c>
      <c r="E9148" s="146"/>
      <c r="F9148" s="37" t="s">
        <v>418</v>
      </c>
      <c r="G9148" s="147" t="str">
        <f>IF(ISNUMBER(F9148),E9148*F9148,"")</f>
        <v/>
      </c>
      <c r="H9148" s="148"/>
      <c r="I9148" s="149"/>
      <c r="J9148" s="125">
        <v>0</v>
      </c>
    </row>
    <row r="9149" spans="1:10" s="169" customFormat="1" hidden="1" x14ac:dyDescent="0.25">
      <c r="A9149" s="247"/>
      <c r="B9149" s="245"/>
      <c r="C9149" s="151"/>
      <c r="D9149" s="151"/>
      <c r="E9149" s="152"/>
      <c r="F9149" s="38" t="s">
        <v>418</v>
      </c>
      <c r="G9149" s="31" t="str">
        <f>IF(ISNUMBER(F9149),E9149*F9149,"")</f>
        <v/>
      </c>
      <c r="H9149" s="32"/>
      <c r="I9149" s="28"/>
      <c r="J9149" s="125">
        <v>0</v>
      </c>
    </row>
    <row r="9150" spans="1:10" s="169" customFormat="1" ht="38.25" hidden="1" x14ac:dyDescent="0.25">
      <c r="A9150" s="247"/>
      <c r="B9150" s="245"/>
      <c r="C9150" s="155" t="s">
        <v>23352</v>
      </c>
      <c r="D9150" s="155" t="s">
        <v>16</v>
      </c>
      <c r="E9150" s="156">
        <v>1</v>
      </c>
      <c r="F9150" s="28" t="s">
        <v>418</v>
      </c>
      <c r="G9150" s="31" t="str">
        <f>IF(ISNUMBER(F9150),E9150*F9150,"")</f>
        <v/>
      </c>
      <c r="H9150" s="35">
        <f>SUM(G9150:G9157)</f>
        <v>180.40428750000001</v>
      </c>
      <c r="I9150" s="36"/>
      <c r="J9150" s="125">
        <v>0</v>
      </c>
    </row>
    <row r="9151" spans="1:10" s="169" customFormat="1" ht="38.25" hidden="1" x14ac:dyDescent="0.25">
      <c r="A9151" s="247"/>
      <c r="B9151" s="245"/>
      <c r="C9151" s="155" t="s">
        <v>23722</v>
      </c>
      <c r="D9151" s="155" t="s">
        <v>205</v>
      </c>
      <c r="E9151" s="156">
        <v>4</v>
      </c>
      <c r="F9151" s="28">
        <v>1.482</v>
      </c>
      <c r="G9151" s="31">
        <f>IF(ISNUMBER(F9151),E9151*F9151,"")</f>
        <v>5.9279999999999999</v>
      </c>
      <c r="H9151" s="32"/>
      <c r="I9151" s="36"/>
      <c r="J9151" s="125">
        <v>0</v>
      </c>
    </row>
    <row r="9152" spans="1:10" s="169" customFormat="1" hidden="1" x14ac:dyDescent="0.25">
      <c r="A9152" s="247"/>
      <c r="B9152" s="245"/>
      <c r="C9152" s="155" t="s">
        <v>28417</v>
      </c>
      <c r="D9152" s="155" t="s">
        <v>385</v>
      </c>
      <c r="E9152" s="156">
        <v>0.2</v>
      </c>
      <c r="F9152" s="28">
        <v>5.3389999999999995</v>
      </c>
      <c r="G9152" s="31">
        <f>IF(ISNUMBER(F9152),E9152*F9152,"")</f>
        <v>1.0677999999999999</v>
      </c>
      <c r="H9152" s="32"/>
      <c r="I9152" s="36"/>
      <c r="J9152" s="125">
        <v>0</v>
      </c>
    </row>
    <row r="9153" spans="1:10" s="169" customFormat="1" hidden="1" x14ac:dyDescent="0.25">
      <c r="A9153" s="247"/>
      <c r="B9153" s="245"/>
      <c r="C9153" s="155" t="s">
        <v>341</v>
      </c>
      <c r="D9153" s="155" t="s">
        <v>205</v>
      </c>
      <c r="E9153" s="156">
        <v>4</v>
      </c>
      <c r="F9153" s="28">
        <v>0.33249999999999996</v>
      </c>
      <c r="G9153" s="31">
        <f>IF(ISNUMBER(F9153),E9153*F9153,"")</f>
        <v>1.3299999999999998</v>
      </c>
      <c r="H9153" s="32"/>
      <c r="I9153" s="36"/>
      <c r="J9153" s="125">
        <v>0</v>
      </c>
    </row>
    <row r="9154" spans="1:10" s="169" customFormat="1" hidden="1" x14ac:dyDescent="0.25">
      <c r="A9154" s="247"/>
      <c r="B9154" s="245"/>
      <c r="C9154" s="155" t="s">
        <v>1022</v>
      </c>
      <c r="D9154" s="155" t="s">
        <v>587</v>
      </c>
      <c r="E9154" s="156">
        <v>0.63300000000000001</v>
      </c>
      <c r="F9154" s="28">
        <v>19.522500000000001</v>
      </c>
      <c r="G9154" s="31">
        <f>IF(ISNUMBER(F9154),E9154*F9154,"")</f>
        <v>12.357742500000001</v>
      </c>
      <c r="H9154" s="32"/>
      <c r="I9154" s="36"/>
      <c r="J9154" s="125">
        <v>0</v>
      </c>
    </row>
    <row r="9155" spans="1:10" s="169" customFormat="1" ht="25.5" hidden="1" x14ac:dyDescent="0.25">
      <c r="A9155" s="247"/>
      <c r="B9155" s="245"/>
      <c r="C9155" s="155" t="s">
        <v>824</v>
      </c>
      <c r="D9155" s="155" t="s">
        <v>587</v>
      </c>
      <c r="E9155" s="156">
        <v>3.2890000000000001</v>
      </c>
      <c r="F9155" s="28">
        <v>18.6295</v>
      </c>
      <c r="G9155" s="31">
        <f>IF(ISNUMBER(F9155),E9155*F9155,"")</f>
        <v>61.272425500000004</v>
      </c>
      <c r="H9155" s="32"/>
      <c r="I9155" s="36"/>
      <c r="J9155" s="125">
        <v>0</v>
      </c>
    </row>
    <row r="9156" spans="1:10" s="169" customFormat="1" hidden="1" x14ac:dyDescent="0.25">
      <c r="A9156" s="247"/>
      <c r="B9156" s="245"/>
      <c r="C9156" s="155" t="s">
        <v>1023</v>
      </c>
      <c r="D9156" s="155" t="s">
        <v>587</v>
      </c>
      <c r="E9156" s="156">
        <v>0.63300000000000001</v>
      </c>
      <c r="F9156" s="28">
        <v>25.954000000000001</v>
      </c>
      <c r="G9156" s="31">
        <f>IF(ISNUMBER(F9156),E9156*F9156,"")</f>
        <v>16.428882000000002</v>
      </c>
      <c r="H9156" s="32"/>
      <c r="I9156" s="36"/>
      <c r="J9156" s="125">
        <v>0</v>
      </c>
    </row>
    <row r="9157" spans="1:10" s="169" customFormat="1" ht="25.5" hidden="1" x14ac:dyDescent="0.25">
      <c r="A9157" s="247"/>
      <c r="B9157" s="245"/>
      <c r="C9157" s="155" t="s">
        <v>825</v>
      </c>
      <c r="D9157" s="155" t="s">
        <v>587</v>
      </c>
      <c r="E9157" s="156">
        <v>3.2890000000000001</v>
      </c>
      <c r="F9157" s="28">
        <v>24.9375</v>
      </c>
      <c r="G9157" s="31">
        <f>IF(ISNUMBER(F9157),E9157*F9157,"")</f>
        <v>82.019437500000009</v>
      </c>
      <c r="H9157" s="32"/>
      <c r="I9157" s="36"/>
      <c r="J9157" s="125">
        <v>0</v>
      </c>
    </row>
    <row r="9158" spans="1:10" s="169" customFormat="1" ht="15.75" hidden="1" thickBot="1" x14ac:dyDescent="0.3">
      <c r="A9158" s="248"/>
      <c r="B9158" s="246"/>
      <c r="C9158" s="164"/>
      <c r="D9158" s="164"/>
      <c r="E9158" s="165"/>
      <c r="F9158" s="62" t="s">
        <v>418</v>
      </c>
      <c r="G9158" s="63" t="str">
        <f>IF(ISNUMBER(F9158),E9158*F9158,"")</f>
        <v/>
      </c>
      <c r="H9158" s="64"/>
      <c r="I9158" s="28"/>
      <c r="J9158" s="125">
        <v>0</v>
      </c>
    </row>
    <row r="9159" spans="1:10" s="169" customFormat="1" ht="15.75" hidden="1" thickBot="1" x14ac:dyDescent="0.3">
      <c r="A9159" s="241" t="s">
        <v>20865</v>
      </c>
      <c r="B9159" s="244" t="s">
        <v>29475</v>
      </c>
      <c r="C9159" s="160"/>
      <c r="D9159" s="145" t="s">
        <v>16</v>
      </c>
      <c r="E9159" s="146"/>
      <c r="F9159" s="37" t="s">
        <v>418</v>
      </c>
      <c r="G9159" s="147" t="str">
        <f>IF(ISNUMBER(F9159),E9159*F9159,"")</f>
        <v/>
      </c>
      <c r="H9159" s="148"/>
      <c r="I9159" s="149"/>
      <c r="J9159" s="125">
        <v>0</v>
      </c>
    </row>
    <row r="9160" spans="1:10" s="169" customFormat="1" hidden="1" x14ac:dyDescent="0.25">
      <c r="A9160" s="247"/>
      <c r="B9160" s="245"/>
      <c r="C9160" s="151"/>
      <c r="D9160" s="151"/>
      <c r="E9160" s="152"/>
      <c r="F9160" s="38" t="s">
        <v>418</v>
      </c>
      <c r="G9160" s="31" t="str">
        <f>IF(ISNUMBER(F9160),E9160*F9160,"")</f>
        <v/>
      </c>
      <c r="H9160" s="32"/>
      <c r="I9160" s="28"/>
      <c r="J9160" s="125">
        <v>0</v>
      </c>
    </row>
    <row r="9161" spans="1:10" s="169" customFormat="1" ht="25.5" hidden="1" x14ac:dyDescent="0.25">
      <c r="A9161" s="247"/>
      <c r="B9161" s="245"/>
      <c r="C9161" s="155" t="s">
        <v>23996</v>
      </c>
      <c r="D9161" s="155" t="s">
        <v>205</v>
      </c>
      <c r="E9161" s="130">
        <v>1</v>
      </c>
      <c r="F9161" s="28">
        <v>115.00699999999999</v>
      </c>
      <c r="G9161" s="31">
        <f>IF(ISNUMBER(F9161),E9161*F9161,"")</f>
        <v>115.00699999999999</v>
      </c>
      <c r="H9161" s="35">
        <f t="shared" ref="H9161" si="113">SUM(G9161:G9161)</f>
        <v>115.00699999999999</v>
      </c>
      <c r="I9161" s="36"/>
      <c r="J9161" s="125">
        <v>0</v>
      </c>
    </row>
    <row r="9162" spans="1:10" s="169" customFormat="1" hidden="1" x14ac:dyDescent="0.25">
      <c r="A9162" s="247"/>
      <c r="B9162" s="245"/>
      <c r="C9162" s="155"/>
      <c r="D9162" s="129"/>
      <c r="E9162" s="130"/>
      <c r="F9162" s="28"/>
      <c r="G9162" s="31"/>
      <c r="H9162" s="32"/>
      <c r="I9162" s="36"/>
      <c r="J9162" s="125">
        <v>0</v>
      </c>
    </row>
    <row r="9163" spans="1:10" s="169" customFormat="1" ht="15.75" hidden="1" thickBot="1" x14ac:dyDescent="0.3">
      <c r="A9163" s="234" t="s">
        <v>20866</v>
      </c>
      <c r="B9163" s="237" t="s">
        <v>29476</v>
      </c>
      <c r="C9163" s="160"/>
      <c r="D9163" s="145" t="s">
        <v>16</v>
      </c>
      <c r="E9163" s="146"/>
      <c r="F9163" s="37" t="s">
        <v>418</v>
      </c>
      <c r="G9163" s="147" t="str">
        <f>IF(ISNUMBER(F9163),E9163*F9163,"")</f>
        <v/>
      </c>
      <c r="H9163" s="148"/>
      <c r="I9163" s="149"/>
      <c r="J9163" s="125">
        <v>0</v>
      </c>
    </row>
    <row r="9164" spans="1:10" s="169" customFormat="1" hidden="1" x14ac:dyDescent="0.25">
      <c r="A9164" s="235"/>
      <c r="B9164" s="238"/>
      <c r="C9164" s="151"/>
      <c r="D9164" s="151"/>
      <c r="E9164" s="152"/>
      <c r="F9164" s="38" t="s">
        <v>418</v>
      </c>
      <c r="G9164" s="28" t="str">
        <f>IF(ISNUMBER(F9164),E9164*F9164,"")</f>
        <v/>
      </c>
      <c r="H9164" s="32"/>
      <c r="I9164" s="28"/>
      <c r="J9164" s="125">
        <v>0</v>
      </c>
    </row>
    <row r="9165" spans="1:10" s="169" customFormat="1" ht="25.5" hidden="1" x14ac:dyDescent="0.25">
      <c r="A9165" s="235"/>
      <c r="B9165" s="238"/>
      <c r="C9165" s="155" t="s">
        <v>9741</v>
      </c>
      <c r="D9165" s="155" t="s">
        <v>587</v>
      </c>
      <c r="E9165" s="156">
        <v>2.5</v>
      </c>
      <c r="F9165" s="28">
        <v>18.544</v>
      </c>
      <c r="G9165" s="28">
        <f>IF(ISNUMBER(F9165),E9165*F9165,"")</f>
        <v>46.36</v>
      </c>
      <c r="H9165" s="35">
        <f>SUM(G9165:G9167)</f>
        <v>114.1425</v>
      </c>
      <c r="I9165" s="36"/>
      <c r="J9165" s="125">
        <v>0</v>
      </c>
    </row>
    <row r="9166" spans="1:10" s="169" customFormat="1" ht="25.5" hidden="1" x14ac:dyDescent="0.25">
      <c r="A9166" s="235"/>
      <c r="B9166" s="238"/>
      <c r="C9166" s="155" t="s">
        <v>460</v>
      </c>
      <c r="D9166" s="155" t="s">
        <v>587</v>
      </c>
      <c r="E9166" s="156">
        <v>2.5</v>
      </c>
      <c r="F9166" s="28">
        <v>27.113</v>
      </c>
      <c r="G9166" s="28">
        <f>IF(ISNUMBER(F9166),E9166*F9166,"")</f>
        <v>67.782499999999999</v>
      </c>
      <c r="H9166" s="32"/>
      <c r="I9166" s="28"/>
      <c r="J9166" s="125">
        <v>0</v>
      </c>
    </row>
    <row r="9167" spans="1:10" s="169" customFormat="1" ht="38.25" hidden="1" x14ac:dyDescent="0.25">
      <c r="A9167" s="235"/>
      <c r="B9167" s="238"/>
      <c r="C9167" s="155" t="s">
        <v>29509</v>
      </c>
      <c r="D9167" s="155" t="s">
        <v>97</v>
      </c>
      <c r="E9167" s="156">
        <v>1</v>
      </c>
      <c r="F9167" s="31" t="s">
        <v>418</v>
      </c>
      <c r="G9167" s="28" t="str">
        <f>IF(ISNUMBER(F9167),E9167*F9167,"")</f>
        <v/>
      </c>
      <c r="H9167" s="32"/>
      <c r="I9167" s="28"/>
      <c r="J9167" s="125">
        <v>0</v>
      </c>
    </row>
    <row r="9168" spans="1:10" s="169" customFormat="1" ht="15.75" hidden="1" thickBot="1" x14ac:dyDescent="0.3">
      <c r="A9168" s="236"/>
      <c r="B9168" s="239"/>
      <c r="C9168" s="155"/>
      <c r="D9168" s="155"/>
      <c r="E9168" s="156"/>
      <c r="F9168" s="28" t="s">
        <v>418</v>
      </c>
      <c r="G9168" s="28" t="str">
        <f>IF(ISNUMBER(F9168),E9168*F9168,"")</f>
        <v/>
      </c>
      <c r="H9168" s="32"/>
      <c r="I9168" s="28"/>
      <c r="J9168" s="125">
        <v>0</v>
      </c>
    </row>
    <row r="9169" spans="1:10" s="169" customFormat="1" ht="15.75" hidden="1" thickBot="1" x14ac:dyDescent="0.3">
      <c r="A9169" s="234" t="s">
        <v>20867</v>
      </c>
      <c r="B9169" s="237" t="s">
        <v>29477</v>
      </c>
      <c r="C9169" s="160"/>
      <c r="D9169" s="145" t="s">
        <v>69</v>
      </c>
      <c r="E9169" s="146"/>
      <c r="F9169" s="37" t="s">
        <v>418</v>
      </c>
      <c r="G9169" s="147" t="str">
        <f>IF(ISNUMBER(F9169),E9169*F9169,"")</f>
        <v/>
      </c>
      <c r="H9169" s="148"/>
      <c r="I9169" s="149"/>
      <c r="J9169" s="125">
        <v>0</v>
      </c>
    </row>
    <row r="9170" spans="1:10" s="169" customFormat="1" hidden="1" x14ac:dyDescent="0.25">
      <c r="A9170" s="235"/>
      <c r="B9170" s="238"/>
      <c r="C9170" s="151"/>
      <c r="D9170" s="151"/>
      <c r="E9170" s="152"/>
      <c r="F9170" s="38" t="s">
        <v>418</v>
      </c>
      <c r="G9170" s="28" t="str">
        <f>IF(ISNUMBER(F9170),E9170*F9170,"")</f>
        <v/>
      </c>
      <c r="H9170" s="32"/>
      <c r="I9170" s="28"/>
      <c r="J9170" s="125">
        <v>0</v>
      </c>
    </row>
    <row r="9171" spans="1:10" s="169" customFormat="1" ht="25.5" hidden="1" x14ac:dyDescent="0.25">
      <c r="A9171" s="235"/>
      <c r="B9171" s="238"/>
      <c r="C9171" s="155" t="s">
        <v>29510</v>
      </c>
      <c r="D9171" s="155" t="s">
        <v>385</v>
      </c>
      <c r="E9171" s="156">
        <v>1.0389999999999999</v>
      </c>
      <c r="F9171" s="28" t="s">
        <v>418</v>
      </c>
      <c r="G9171" s="31" t="str">
        <f>IF(ISNUMBER(F9171),E9171*F9171,"")</f>
        <v/>
      </c>
      <c r="H9171" s="35">
        <f>SUM(G9171:G9174)</f>
        <v>3.49125</v>
      </c>
      <c r="I9171" s="36"/>
      <c r="J9171" s="125">
        <v>0</v>
      </c>
    </row>
    <row r="9172" spans="1:10" s="169" customFormat="1" ht="25.5" hidden="1" x14ac:dyDescent="0.25">
      <c r="A9172" s="235"/>
      <c r="B9172" s="238"/>
      <c r="C9172" s="155" t="s">
        <v>824</v>
      </c>
      <c r="D9172" s="155" t="s">
        <v>587</v>
      </c>
      <c r="E9172" s="156">
        <v>0.05</v>
      </c>
      <c r="F9172" s="28">
        <v>18.6295</v>
      </c>
      <c r="G9172" s="31">
        <f>IF(ISNUMBER(F9172),E9172*F9172,"")</f>
        <v>0.93147500000000005</v>
      </c>
      <c r="H9172" s="32"/>
      <c r="I9172" s="28"/>
      <c r="J9172" s="125">
        <v>0</v>
      </c>
    </row>
    <row r="9173" spans="1:10" s="169" customFormat="1" ht="25.5" hidden="1" x14ac:dyDescent="0.25">
      <c r="A9173" s="235"/>
      <c r="B9173" s="238"/>
      <c r="C9173" s="155" t="s">
        <v>825</v>
      </c>
      <c r="D9173" s="155" t="s">
        <v>587</v>
      </c>
      <c r="E9173" s="156">
        <v>0.05</v>
      </c>
      <c r="F9173" s="31">
        <v>24.9375</v>
      </c>
      <c r="G9173" s="31">
        <f>IF(ISNUMBER(F9173),E9173*F9173,"")</f>
        <v>1.2468750000000002</v>
      </c>
      <c r="H9173" s="32"/>
      <c r="I9173" s="28"/>
      <c r="J9173" s="125">
        <v>0</v>
      </c>
    </row>
    <row r="9174" spans="1:10" s="169" customFormat="1" hidden="1" x14ac:dyDescent="0.25">
      <c r="A9174" s="235"/>
      <c r="B9174" s="238"/>
      <c r="C9174" s="155" t="s">
        <v>9852</v>
      </c>
      <c r="D9174" s="155" t="s">
        <v>587</v>
      </c>
      <c r="E9174" s="156">
        <v>0.05</v>
      </c>
      <c r="F9174" s="31">
        <v>26.257999999999999</v>
      </c>
      <c r="G9174" s="31">
        <f>IF(ISNUMBER(F9174),E9174*F9174,"")</f>
        <v>1.3129</v>
      </c>
      <c r="H9174" s="32"/>
      <c r="I9174" s="28"/>
      <c r="J9174" s="125">
        <v>0</v>
      </c>
    </row>
    <row r="9175" spans="1:10" s="169" customFormat="1" ht="15.75" hidden="1" thickBot="1" x14ac:dyDescent="0.3">
      <c r="A9175" s="236"/>
      <c r="B9175" s="239"/>
      <c r="C9175" s="155"/>
      <c r="D9175" s="155"/>
      <c r="E9175" s="156"/>
      <c r="F9175" s="28" t="s">
        <v>418</v>
      </c>
      <c r="G9175" s="28" t="str">
        <f>IF(ISNUMBER(F9175),E9175*F9175,"")</f>
        <v/>
      </c>
      <c r="H9175" s="32"/>
      <c r="I9175" s="28"/>
      <c r="J9175" s="125">
        <v>0</v>
      </c>
    </row>
    <row r="9176" spans="1:10" s="169" customFormat="1" ht="15.75" hidden="1" thickBot="1" x14ac:dyDescent="0.3">
      <c r="A9176" s="234" t="s">
        <v>20868</v>
      </c>
      <c r="B9176" s="237" t="s">
        <v>29478</v>
      </c>
      <c r="C9176" s="160"/>
      <c r="D9176" s="145" t="s">
        <v>69</v>
      </c>
      <c r="E9176" s="146"/>
      <c r="F9176" s="37" t="s">
        <v>418</v>
      </c>
      <c r="G9176" s="147" t="str">
        <f>IF(ISNUMBER(F9176),E9176*F9176,"")</f>
        <v/>
      </c>
      <c r="H9176" s="148"/>
      <c r="I9176" s="149"/>
      <c r="J9176" s="125">
        <v>0</v>
      </c>
    </row>
    <row r="9177" spans="1:10" s="169" customFormat="1" hidden="1" x14ac:dyDescent="0.25">
      <c r="A9177" s="235"/>
      <c r="B9177" s="238"/>
      <c r="C9177" s="151"/>
      <c r="D9177" s="151"/>
      <c r="E9177" s="152"/>
      <c r="F9177" s="38" t="s">
        <v>418</v>
      </c>
      <c r="G9177" s="28" t="str">
        <f>IF(ISNUMBER(F9177),E9177*F9177,"")</f>
        <v/>
      </c>
      <c r="H9177" s="32"/>
      <c r="I9177" s="28"/>
      <c r="J9177" s="125">
        <v>0</v>
      </c>
    </row>
    <row r="9178" spans="1:10" s="169" customFormat="1" ht="25.5" hidden="1" x14ac:dyDescent="0.25">
      <c r="A9178" s="235"/>
      <c r="B9178" s="238"/>
      <c r="C9178" s="155" t="s">
        <v>27961</v>
      </c>
      <c r="D9178" s="155" t="s">
        <v>385</v>
      </c>
      <c r="E9178" s="156">
        <v>1.0389999999999999</v>
      </c>
      <c r="F9178" s="28">
        <v>41.210999999999999</v>
      </c>
      <c r="G9178" s="31">
        <f>IF(ISNUMBER(F9178),E9178*F9178,"")</f>
        <v>42.818228999999995</v>
      </c>
      <c r="H9178" s="35">
        <f>SUM(G9178:G9181)</f>
        <v>50.778278999999998</v>
      </c>
      <c r="I9178" s="36"/>
      <c r="J9178" s="125">
        <v>0</v>
      </c>
    </row>
    <row r="9179" spans="1:10" s="169" customFormat="1" ht="25.5" hidden="1" x14ac:dyDescent="0.25">
      <c r="A9179" s="235"/>
      <c r="B9179" s="238"/>
      <c r="C9179" s="155" t="s">
        <v>824</v>
      </c>
      <c r="D9179" s="155" t="s">
        <v>587</v>
      </c>
      <c r="E9179" s="156">
        <v>0.114</v>
      </c>
      <c r="F9179" s="28">
        <v>18.6295</v>
      </c>
      <c r="G9179" s="31">
        <f>IF(ISNUMBER(F9179),E9179*F9179,"")</f>
        <v>2.1237630000000003</v>
      </c>
      <c r="H9179" s="32"/>
      <c r="I9179" s="28"/>
      <c r="J9179" s="125">
        <v>0</v>
      </c>
    </row>
    <row r="9180" spans="1:10" s="169" customFormat="1" ht="25.5" hidden="1" x14ac:dyDescent="0.25">
      <c r="A9180" s="235"/>
      <c r="B9180" s="238"/>
      <c r="C9180" s="155" t="s">
        <v>825</v>
      </c>
      <c r="D9180" s="155" t="s">
        <v>587</v>
      </c>
      <c r="E9180" s="156">
        <v>0.114</v>
      </c>
      <c r="F9180" s="31">
        <v>24.9375</v>
      </c>
      <c r="G9180" s="31">
        <f>IF(ISNUMBER(F9180),E9180*F9180,"")</f>
        <v>2.8428750000000003</v>
      </c>
      <c r="H9180" s="32"/>
      <c r="I9180" s="28"/>
      <c r="J9180" s="125">
        <v>0</v>
      </c>
    </row>
    <row r="9181" spans="1:10" s="169" customFormat="1" hidden="1" x14ac:dyDescent="0.25">
      <c r="A9181" s="235"/>
      <c r="B9181" s="238"/>
      <c r="C9181" s="155" t="s">
        <v>9852</v>
      </c>
      <c r="D9181" s="155" t="s">
        <v>587</v>
      </c>
      <c r="E9181" s="156">
        <v>0.114</v>
      </c>
      <c r="F9181" s="31">
        <v>26.257999999999999</v>
      </c>
      <c r="G9181" s="31">
        <f>IF(ISNUMBER(F9181),E9181*F9181,"")</f>
        <v>2.9934120000000002</v>
      </c>
      <c r="H9181" s="32"/>
      <c r="I9181" s="28"/>
      <c r="J9181" s="125">
        <v>0</v>
      </c>
    </row>
    <row r="9182" spans="1:10" s="169" customFormat="1" ht="15.75" hidden="1" thickBot="1" x14ac:dyDescent="0.3">
      <c r="A9182" s="236"/>
      <c r="B9182" s="239"/>
      <c r="C9182" s="155"/>
      <c r="D9182" s="155"/>
      <c r="E9182" s="156"/>
      <c r="F9182" s="28" t="s">
        <v>418</v>
      </c>
      <c r="G9182" s="28" t="str">
        <f>IF(ISNUMBER(F9182),E9182*F9182,"")</f>
        <v/>
      </c>
      <c r="H9182" s="32"/>
      <c r="I9182" s="28"/>
      <c r="J9182" s="125">
        <v>0</v>
      </c>
    </row>
    <row r="9183" spans="1:10" s="169" customFormat="1" ht="15.75" hidden="1" thickBot="1" x14ac:dyDescent="0.3">
      <c r="A9183" s="234" t="s">
        <v>20869</v>
      </c>
      <c r="B9183" s="237" t="s">
        <v>29479</v>
      </c>
      <c r="C9183" s="160"/>
      <c r="D9183" s="145" t="s">
        <v>69</v>
      </c>
      <c r="E9183" s="146"/>
      <c r="F9183" s="37" t="s">
        <v>418</v>
      </c>
      <c r="G9183" s="147" t="str">
        <f>IF(ISNUMBER(F9183),E9183*F9183,"")</f>
        <v/>
      </c>
      <c r="H9183" s="148"/>
      <c r="I9183" s="149"/>
      <c r="J9183" s="125">
        <v>0</v>
      </c>
    </row>
    <row r="9184" spans="1:10" s="169" customFormat="1" hidden="1" x14ac:dyDescent="0.25">
      <c r="A9184" s="235"/>
      <c r="B9184" s="238"/>
      <c r="C9184" s="151"/>
      <c r="D9184" s="151"/>
      <c r="E9184" s="152"/>
      <c r="F9184" s="38" t="s">
        <v>418</v>
      </c>
      <c r="G9184" s="28" t="str">
        <f>IF(ISNUMBER(F9184),E9184*F9184,"")</f>
        <v/>
      </c>
      <c r="H9184" s="32"/>
      <c r="I9184" s="28"/>
      <c r="J9184" s="125">
        <v>0</v>
      </c>
    </row>
    <row r="9185" spans="1:10" s="169" customFormat="1" ht="25.5" hidden="1" x14ac:dyDescent="0.25">
      <c r="A9185" s="235"/>
      <c r="B9185" s="238"/>
      <c r="C9185" s="155" t="s">
        <v>27965</v>
      </c>
      <c r="D9185" s="155" t="s">
        <v>385</v>
      </c>
      <c r="E9185" s="156">
        <v>1.0389999999999999</v>
      </c>
      <c r="F9185" s="28">
        <v>113.38249999999999</v>
      </c>
      <c r="G9185" s="31">
        <f>IF(ISNUMBER(F9185),E9185*F9185,"")</f>
        <v>117.80441749999999</v>
      </c>
      <c r="H9185" s="35">
        <f>SUM(G9185:G9188)</f>
        <v>124.78691749999999</v>
      </c>
      <c r="I9185" s="36"/>
      <c r="J9185" s="125">
        <v>0</v>
      </c>
    </row>
    <row r="9186" spans="1:10" s="169" customFormat="1" ht="25.5" hidden="1" x14ac:dyDescent="0.25">
      <c r="A9186" s="235"/>
      <c r="B9186" s="238"/>
      <c r="C9186" s="155" t="s">
        <v>824</v>
      </c>
      <c r="D9186" s="155" t="s">
        <v>587</v>
      </c>
      <c r="E9186" s="156">
        <v>0.1</v>
      </c>
      <c r="F9186" s="28">
        <v>18.6295</v>
      </c>
      <c r="G9186" s="31">
        <f>IF(ISNUMBER(F9186),E9186*F9186,"")</f>
        <v>1.8629500000000001</v>
      </c>
      <c r="H9186" s="32"/>
      <c r="I9186" s="28"/>
      <c r="J9186" s="125">
        <v>0</v>
      </c>
    </row>
    <row r="9187" spans="1:10" s="169" customFormat="1" ht="25.5" hidden="1" x14ac:dyDescent="0.25">
      <c r="A9187" s="235"/>
      <c r="B9187" s="238"/>
      <c r="C9187" s="155" t="s">
        <v>825</v>
      </c>
      <c r="D9187" s="155" t="s">
        <v>587</v>
      </c>
      <c r="E9187" s="156">
        <v>0.1</v>
      </c>
      <c r="F9187" s="31">
        <v>24.9375</v>
      </c>
      <c r="G9187" s="31">
        <f>IF(ISNUMBER(F9187),E9187*F9187,"")</f>
        <v>2.4937500000000004</v>
      </c>
      <c r="H9187" s="32"/>
      <c r="I9187" s="28"/>
      <c r="J9187" s="125">
        <v>0</v>
      </c>
    </row>
    <row r="9188" spans="1:10" s="169" customFormat="1" hidden="1" x14ac:dyDescent="0.25">
      <c r="A9188" s="235"/>
      <c r="B9188" s="238"/>
      <c r="C9188" s="155" t="s">
        <v>9852</v>
      </c>
      <c r="D9188" s="155" t="s">
        <v>587</v>
      </c>
      <c r="E9188" s="156">
        <v>0.1</v>
      </c>
      <c r="F9188" s="31">
        <v>26.257999999999999</v>
      </c>
      <c r="G9188" s="31">
        <f>IF(ISNUMBER(F9188),E9188*F9188,"")</f>
        <v>2.6257999999999999</v>
      </c>
      <c r="H9188" s="32"/>
      <c r="I9188" s="28"/>
      <c r="J9188" s="125">
        <v>0</v>
      </c>
    </row>
    <row r="9189" spans="1:10" s="169" customFormat="1" ht="15.75" hidden="1" thickBot="1" x14ac:dyDescent="0.3">
      <c r="A9189" s="236"/>
      <c r="B9189" s="239"/>
      <c r="C9189" s="155"/>
      <c r="D9189" s="155"/>
      <c r="E9189" s="156"/>
      <c r="F9189" s="28" t="s">
        <v>418</v>
      </c>
      <c r="G9189" s="28" t="str">
        <f>IF(ISNUMBER(F9189),E9189*F9189,"")</f>
        <v/>
      </c>
      <c r="H9189" s="32"/>
      <c r="I9189" s="28"/>
      <c r="J9189" s="125">
        <v>0</v>
      </c>
    </row>
    <row r="9190" spans="1:10" s="169" customFormat="1" ht="15.75" hidden="1" thickBot="1" x14ac:dyDescent="0.3">
      <c r="A9190" s="234" t="s">
        <v>20870</v>
      </c>
      <c r="B9190" s="237" t="s">
        <v>29480</v>
      </c>
      <c r="C9190" s="160"/>
      <c r="D9190" s="145" t="s">
        <v>69</v>
      </c>
      <c r="E9190" s="146"/>
      <c r="F9190" s="37" t="s">
        <v>418</v>
      </c>
      <c r="G9190" s="147" t="str">
        <f>IF(ISNUMBER(F9190),E9190*F9190,"")</f>
        <v/>
      </c>
      <c r="H9190" s="148"/>
      <c r="I9190" s="149"/>
      <c r="J9190" s="125">
        <v>0</v>
      </c>
    </row>
    <row r="9191" spans="1:10" s="169" customFormat="1" hidden="1" x14ac:dyDescent="0.25">
      <c r="A9191" s="235"/>
      <c r="B9191" s="238"/>
      <c r="C9191" s="151"/>
      <c r="D9191" s="151"/>
      <c r="E9191" s="152"/>
      <c r="F9191" s="38" t="s">
        <v>418</v>
      </c>
      <c r="G9191" s="28" t="str">
        <f>IF(ISNUMBER(F9191),E9191*F9191,"")</f>
        <v/>
      </c>
      <c r="H9191" s="32"/>
      <c r="I9191" s="28"/>
      <c r="J9191" s="125">
        <v>0</v>
      </c>
    </row>
    <row r="9192" spans="1:10" s="169" customFormat="1" ht="25.5" hidden="1" x14ac:dyDescent="0.25">
      <c r="A9192" s="235"/>
      <c r="B9192" s="238"/>
      <c r="C9192" s="155" t="s">
        <v>27969</v>
      </c>
      <c r="D9192" s="155" t="s">
        <v>385</v>
      </c>
      <c r="E9192" s="156">
        <v>1.0389999999999999</v>
      </c>
      <c r="F9192" s="28">
        <v>231.27749999999997</v>
      </c>
      <c r="G9192" s="31">
        <f>IF(ISNUMBER(F9192),E9192*F9192,"")</f>
        <v>240.29732249999995</v>
      </c>
      <c r="H9192" s="35">
        <f>SUM(G9192:G9195)</f>
        <v>249.37457249999994</v>
      </c>
      <c r="I9192" s="36"/>
      <c r="J9192" s="125">
        <v>0</v>
      </c>
    </row>
    <row r="9193" spans="1:10" s="169" customFormat="1" ht="25.5" hidden="1" x14ac:dyDescent="0.25">
      <c r="A9193" s="235"/>
      <c r="B9193" s="238"/>
      <c r="C9193" s="155" t="s">
        <v>824</v>
      </c>
      <c r="D9193" s="155" t="s">
        <v>587</v>
      </c>
      <c r="E9193" s="156">
        <v>0.13</v>
      </c>
      <c r="F9193" s="28">
        <v>18.6295</v>
      </c>
      <c r="G9193" s="31">
        <f>IF(ISNUMBER(F9193),E9193*F9193,"")</f>
        <v>2.4218350000000002</v>
      </c>
      <c r="H9193" s="32"/>
      <c r="I9193" s="28"/>
      <c r="J9193" s="125">
        <v>0</v>
      </c>
    </row>
    <row r="9194" spans="1:10" s="169" customFormat="1" ht="25.5" hidden="1" x14ac:dyDescent="0.25">
      <c r="A9194" s="235"/>
      <c r="B9194" s="238"/>
      <c r="C9194" s="155" t="s">
        <v>825</v>
      </c>
      <c r="D9194" s="155" t="s">
        <v>587</v>
      </c>
      <c r="E9194" s="156">
        <v>0.13</v>
      </c>
      <c r="F9194" s="31">
        <v>24.9375</v>
      </c>
      <c r="G9194" s="31">
        <f>IF(ISNUMBER(F9194),E9194*F9194,"")</f>
        <v>3.2418750000000003</v>
      </c>
      <c r="H9194" s="32"/>
      <c r="I9194" s="28"/>
      <c r="J9194" s="125">
        <v>0</v>
      </c>
    </row>
    <row r="9195" spans="1:10" s="169" customFormat="1" hidden="1" x14ac:dyDescent="0.25">
      <c r="A9195" s="235"/>
      <c r="B9195" s="238"/>
      <c r="C9195" s="155" t="s">
        <v>9852</v>
      </c>
      <c r="D9195" s="155" t="s">
        <v>587</v>
      </c>
      <c r="E9195" s="156">
        <v>0.13</v>
      </c>
      <c r="F9195" s="31">
        <v>26.257999999999999</v>
      </c>
      <c r="G9195" s="31">
        <f>IF(ISNUMBER(F9195),E9195*F9195,"")</f>
        <v>3.4135399999999998</v>
      </c>
      <c r="H9195" s="32"/>
      <c r="I9195" s="28"/>
      <c r="J9195" s="125">
        <v>0</v>
      </c>
    </row>
    <row r="9196" spans="1:10" s="169" customFormat="1" ht="15.75" hidden="1" thickBot="1" x14ac:dyDescent="0.3">
      <c r="A9196" s="236"/>
      <c r="B9196" s="239"/>
      <c r="C9196" s="155"/>
      <c r="D9196" s="155"/>
      <c r="E9196" s="156"/>
      <c r="F9196" s="28" t="s">
        <v>418</v>
      </c>
      <c r="G9196" s="28" t="str">
        <f>IF(ISNUMBER(F9196),E9196*F9196,"")</f>
        <v/>
      </c>
      <c r="H9196" s="32"/>
      <c r="I9196" s="28"/>
      <c r="J9196" s="125">
        <v>0</v>
      </c>
    </row>
    <row r="9197" spans="1:10" s="169" customFormat="1" ht="15.75" hidden="1" thickBot="1" x14ac:dyDescent="0.3">
      <c r="A9197" s="234" t="s">
        <v>20871</v>
      </c>
      <c r="B9197" s="237" t="s">
        <v>29481</v>
      </c>
      <c r="C9197" s="160"/>
      <c r="D9197" s="145" t="s">
        <v>69</v>
      </c>
      <c r="E9197" s="146"/>
      <c r="F9197" s="37" t="s">
        <v>418</v>
      </c>
      <c r="G9197" s="147" t="str">
        <f>IF(ISNUMBER(F9197),E9197*F9197,"")</f>
        <v/>
      </c>
      <c r="H9197" s="148"/>
      <c r="I9197" s="149"/>
      <c r="J9197" s="125">
        <v>0</v>
      </c>
    </row>
    <row r="9198" spans="1:10" s="169" customFormat="1" hidden="1" x14ac:dyDescent="0.25">
      <c r="A9198" s="235"/>
      <c r="B9198" s="238"/>
      <c r="C9198" s="151"/>
      <c r="D9198" s="151"/>
      <c r="E9198" s="152"/>
      <c r="F9198" s="38" t="s">
        <v>418</v>
      </c>
      <c r="G9198" s="28" t="str">
        <f>IF(ISNUMBER(F9198),E9198*F9198,"")</f>
        <v/>
      </c>
      <c r="H9198" s="32"/>
      <c r="I9198" s="28"/>
      <c r="J9198" s="125">
        <v>0</v>
      </c>
    </row>
    <row r="9199" spans="1:10" s="169" customFormat="1" ht="38.25" hidden="1" x14ac:dyDescent="0.25">
      <c r="A9199" s="235"/>
      <c r="B9199" s="238"/>
      <c r="C9199" s="155" t="s">
        <v>29511</v>
      </c>
      <c r="D9199" s="42" t="s">
        <v>69</v>
      </c>
      <c r="E9199" s="156">
        <v>1.0225</v>
      </c>
      <c r="F9199" s="31" t="s">
        <v>418</v>
      </c>
      <c r="G9199" s="31" t="str">
        <f>IF(ISNUMBER(F9199),E9199*F9199,"")</f>
        <v/>
      </c>
      <c r="H9199" s="35">
        <f>SUM(G9199:G9201)</f>
        <v>2.0650757999999998</v>
      </c>
      <c r="I9199" s="36"/>
      <c r="J9199" s="125">
        <v>0</v>
      </c>
    </row>
    <row r="9200" spans="1:10" s="169" customFormat="1" ht="25.5" hidden="1" x14ac:dyDescent="0.25">
      <c r="A9200" s="235"/>
      <c r="B9200" s="238"/>
      <c r="C9200" s="155" t="s">
        <v>824</v>
      </c>
      <c r="D9200" s="155" t="s">
        <v>587</v>
      </c>
      <c r="E9200" s="156">
        <f>0.158*0.3</f>
        <v>4.7399999999999998E-2</v>
      </c>
      <c r="F9200" s="28">
        <v>18.6295</v>
      </c>
      <c r="G9200" s="31">
        <f>IF(ISNUMBER(F9200),E9200*F9200,"")</f>
        <v>0.88303829999999994</v>
      </c>
      <c r="H9200" s="32"/>
      <c r="I9200" s="28"/>
      <c r="J9200" s="125">
        <v>0</v>
      </c>
    </row>
    <row r="9201" spans="1:10" s="169" customFormat="1" ht="25.5" hidden="1" x14ac:dyDescent="0.25">
      <c r="A9201" s="235"/>
      <c r="B9201" s="238"/>
      <c r="C9201" s="155" t="s">
        <v>825</v>
      </c>
      <c r="D9201" s="155" t="s">
        <v>587</v>
      </c>
      <c r="E9201" s="156">
        <f>0.158*0.3</f>
        <v>4.7399999999999998E-2</v>
      </c>
      <c r="F9201" s="28">
        <v>24.9375</v>
      </c>
      <c r="G9201" s="31">
        <f>IF(ISNUMBER(F9201),E9201*F9201,"")</f>
        <v>1.1820374999999999</v>
      </c>
      <c r="H9201" s="32"/>
      <c r="I9201" s="28"/>
      <c r="J9201" s="125">
        <v>0</v>
      </c>
    </row>
    <row r="9202" spans="1:10" s="169" customFormat="1" hidden="1" x14ac:dyDescent="0.25">
      <c r="A9202" s="235"/>
      <c r="B9202" s="238"/>
      <c r="C9202" s="155"/>
      <c r="D9202" s="42"/>
      <c r="E9202" s="156"/>
      <c r="F9202" s="31" t="s">
        <v>418</v>
      </c>
      <c r="G9202" s="31" t="str">
        <f>IF(ISNUMBER(F9202),E9202*F9202,"")</f>
        <v/>
      </c>
      <c r="H9202" s="32"/>
      <c r="I9202" s="28"/>
      <c r="J9202" s="125">
        <v>0</v>
      </c>
    </row>
    <row r="9203" spans="1:10" s="169" customFormat="1" ht="38.25" hidden="1" x14ac:dyDescent="0.25">
      <c r="A9203" s="235"/>
      <c r="B9203" s="238"/>
      <c r="C9203" s="47" t="s">
        <v>530</v>
      </c>
      <c r="D9203" s="42"/>
      <c r="E9203" s="156"/>
      <c r="F9203" s="31" t="s">
        <v>418</v>
      </c>
      <c r="G9203" s="31" t="str">
        <f>IF(ISNUMBER(F9203),E9203*F9203,"")</f>
        <v/>
      </c>
      <c r="H9203" s="32"/>
      <c r="I9203" s="28"/>
      <c r="J9203" s="125">
        <v>0</v>
      </c>
    </row>
    <row r="9204" spans="1:10" s="169" customFormat="1" ht="15.75" hidden="1" thickBot="1" x14ac:dyDescent="0.3">
      <c r="A9204" s="236"/>
      <c r="B9204" s="239"/>
      <c r="C9204" s="155"/>
      <c r="D9204" s="155"/>
      <c r="E9204" s="156"/>
      <c r="F9204" s="28" t="s">
        <v>418</v>
      </c>
      <c r="G9204" s="28" t="str">
        <f>IF(ISNUMBER(F9204),E9204*F9204,"")</f>
        <v/>
      </c>
      <c r="H9204" s="32"/>
      <c r="I9204" s="28"/>
      <c r="J9204" s="125">
        <v>0</v>
      </c>
    </row>
    <row r="9205" spans="1:10" s="169" customFormat="1" ht="15.75" hidden="1" thickBot="1" x14ac:dyDescent="0.3">
      <c r="A9205" s="234" t="s">
        <v>20872</v>
      </c>
      <c r="B9205" s="237" t="s">
        <v>29482</v>
      </c>
      <c r="C9205" s="160"/>
      <c r="D9205" s="145" t="s">
        <v>69</v>
      </c>
      <c r="E9205" s="146"/>
      <c r="F9205" s="37" t="s">
        <v>418</v>
      </c>
      <c r="G9205" s="147" t="str">
        <f>IF(ISNUMBER(F9205),E9205*F9205,"")</f>
        <v/>
      </c>
      <c r="H9205" s="148"/>
      <c r="I9205" s="149"/>
      <c r="J9205" s="125">
        <v>0</v>
      </c>
    </row>
    <row r="9206" spans="1:10" s="169" customFormat="1" hidden="1" x14ac:dyDescent="0.25">
      <c r="A9206" s="235"/>
      <c r="B9206" s="238"/>
      <c r="C9206" s="151"/>
      <c r="D9206" s="151"/>
      <c r="E9206" s="152"/>
      <c r="F9206" s="38" t="s">
        <v>418</v>
      </c>
      <c r="G9206" s="28" t="str">
        <f>IF(ISNUMBER(F9206),E9206*F9206,"")</f>
        <v/>
      </c>
      <c r="H9206" s="32"/>
      <c r="I9206" s="28"/>
      <c r="J9206" s="125">
        <v>0</v>
      </c>
    </row>
    <row r="9207" spans="1:10" s="169" customFormat="1" ht="38.25" hidden="1" x14ac:dyDescent="0.25">
      <c r="A9207" s="235"/>
      <c r="B9207" s="238"/>
      <c r="C9207" s="155" t="s">
        <v>29512</v>
      </c>
      <c r="D9207" s="42" t="s">
        <v>69</v>
      </c>
      <c r="E9207" s="156">
        <v>1.0225</v>
      </c>
      <c r="F9207" s="31" t="s">
        <v>418</v>
      </c>
      <c r="G9207" s="31" t="str">
        <f>IF(ISNUMBER(F9207),E9207*F9207,"")</f>
        <v/>
      </c>
      <c r="H9207" s="35">
        <f>SUM(G9207:G9209)</f>
        <v>2.0650757999999998</v>
      </c>
      <c r="I9207" s="36"/>
      <c r="J9207" s="125">
        <v>0</v>
      </c>
    </row>
    <row r="9208" spans="1:10" s="169" customFormat="1" ht="25.5" hidden="1" x14ac:dyDescent="0.25">
      <c r="A9208" s="235"/>
      <c r="B9208" s="238"/>
      <c r="C9208" s="155" t="s">
        <v>824</v>
      </c>
      <c r="D9208" s="155" t="s">
        <v>587</v>
      </c>
      <c r="E9208" s="156">
        <f>0.158*0.3</f>
        <v>4.7399999999999998E-2</v>
      </c>
      <c r="F9208" s="28">
        <v>18.6295</v>
      </c>
      <c r="G9208" s="31">
        <f>IF(ISNUMBER(F9208),E9208*F9208,"")</f>
        <v>0.88303829999999994</v>
      </c>
      <c r="H9208" s="32"/>
      <c r="I9208" s="28"/>
      <c r="J9208" s="125">
        <v>0</v>
      </c>
    </row>
    <row r="9209" spans="1:10" s="169" customFormat="1" ht="25.5" hidden="1" x14ac:dyDescent="0.25">
      <c r="A9209" s="235"/>
      <c r="B9209" s="238"/>
      <c r="C9209" s="155" t="s">
        <v>825</v>
      </c>
      <c r="D9209" s="155" t="s">
        <v>587</v>
      </c>
      <c r="E9209" s="156">
        <f>0.158*0.3</f>
        <v>4.7399999999999998E-2</v>
      </c>
      <c r="F9209" s="28">
        <v>24.9375</v>
      </c>
      <c r="G9209" s="31">
        <f>IF(ISNUMBER(F9209),E9209*F9209,"")</f>
        <v>1.1820374999999999</v>
      </c>
      <c r="H9209" s="32"/>
      <c r="I9209" s="28"/>
      <c r="J9209" s="125">
        <v>0</v>
      </c>
    </row>
    <row r="9210" spans="1:10" s="169" customFormat="1" hidden="1" x14ac:dyDescent="0.25">
      <c r="A9210" s="235"/>
      <c r="B9210" s="238"/>
      <c r="C9210" s="155"/>
      <c r="D9210" s="42"/>
      <c r="E9210" s="156"/>
      <c r="F9210" s="31" t="s">
        <v>418</v>
      </c>
      <c r="G9210" s="31" t="str">
        <f>IF(ISNUMBER(F9210),E9210*F9210,"")</f>
        <v/>
      </c>
      <c r="H9210" s="32"/>
      <c r="I9210" s="28"/>
      <c r="J9210" s="125">
        <v>0</v>
      </c>
    </row>
    <row r="9211" spans="1:10" s="169" customFormat="1" ht="38.25" hidden="1" x14ac:dyDescent="0.25">
      <c r="A9211" s="235"/>
      <c r="B9211" s="238"/>
      <c r="C9211" s="47" t="s">
        <v>530</v>
      </c>
      <c r="D9211" s="42"/>
      <c r="E9211" s="156"/>
      <c r="F9211" s="31" t="s">
        <v>418</v>
      </c>
      <c r="G9211" s="31" t="str">
        <f>IF(ISNUMBER(F9211),E9211*F9211,"")</f>
        <v/>
      </c>
      <c r="H9211" s="32"/>
      <c r="I9211" s="28"/>
      <c r="J9211" s="125">
        <v>0</v>
      </c>
    </row>
    <row r="9212" spans="1:10" s="169" customFormat="1" ht="15.75" hidden="1" thickBot="1" x14ac:dyDescent="0.3">
      <c r="A9212" s="236"/>
      <c r="B9212" s="239"/>
      <c r="C9212" s="155"/>
      <c r="D9212" s="155"/>
      <c r="E9212" s="156"/>
      <c r="F9212" s="28" t="s">
        <v>418</v>
      </c>
      <c r="G9212" s="28" t="str">
        <f>IF(ISNUMBER(F9212),E9212*F9212,"")</f>
        <v/>
      </c>
      <c r="H9212" s="32"/>
      <c r="I9212" s="28"/>
      <c r="J9212" s="125">
        <v>0</v>
      </c>
    </row>
    <row r="9213" spans="1:10" s="169" customFormat="1" ht="15.75" hidden="1" thickBot="1" x14ac:dyDescent="0.3">
      <c r="A9213" s="234" t="s">
        <v>20873</v>
      </c>
      <c r="B9213" s="237" t="s">
        <v>29483</v>
      </c>
      <c r="C9213" s="160"/>
      <c r="D9213" s="145" t="s">
        <v>16</v>
      </c>
      <c r="E9213" s="146"/>
      <c r="F9213" s="37" t="s">
        <v>418</v>
      </c>
      <c r="G9213" s="147" t="str">
        <f>IF(ISNUMBER(F9213),E9213*F9213,"")</f>
        <v/>
      </c>
      <c r="H9213" s="148"/>
      <c r="I9213" s="149"/>
      <c r="J9213" s="125">
        <v>0</v>
      </c>
    </row>
    <row r="9214" spans="1:10" s="169" customFormat="1" hidden="1" x14ac:dyDescent="0.25">
      <c r="A9214" s="235"/>
      <c r="B9214" s="238"/>
      <c r="C9214" s="151"/>
      <c r="D9214" s="151"/>
      <c r="E9214" s="152"/>
      <c r="F9214" s="38" t="s">
        <v>418</v>
      </c>
      <c r="G9214" s="28" t="str">
        <f>IF(ISNUMBER(F9214),E9214*F9214,"")</f>
        <v/>
      </c>
      <c r="H9214" s="32"/>
      <c r="I9214" s="28"/>
      <c r="J9214" s="125">
        <v>0</v>
      </c>
    </row>
    <row r="9215" spans="1:10" s="169" customFormat="1" ht="25.5" hidden="1" x14ac:dyDescent="0.25">
      <c r="A9215" s="235"/>
      <c r="B9215" s="238"/>
      <c r="C9215" s="155" t="s">
        <v>824</v>
      </c>
      <c r="D9215" s="155" t="s">
        <v>587</v>
      </c>
      <c r="E9215" s="156">
        <v>7.1900000000000006E-2</v>
      </c>
      <c r="F9215" s="28">
        <v>18.6295</v>
      </c>
      <c r="G9215" s="28">
        <f>IF(ISNUMBER(F9215),E9215*F9215,"")</f>
        <v>1.3394610500000002</v>
      </c>
      <c r="H9215" s="35">
        <f>SUM(G9215:G9219)</f>
        <v>3.2766659000000002</v>
      </c>
      <c r="I9215" s="36"/>
      <c r="J9215" s="125">
        <v>0</v>
      </c>
    </row>
    <row r="9216" spans="1:10" s="169" customFormat="1" ht="25.5" hidden="1" x14ac:dyDescent="0.25">
      <c r="A9216" s="235"/>
      <c r="B9216" s="238"/>
      <c r="C9216" s="155" t="s">
        <v>825</v>
      </c>
      <c r="D9216" s="155" t="s">
        <v>587</v>
      </c>
      <c r="E9216" s="156">
        <v>7.1900000000000006E-2</v>
      </c>
      <c r="F9216" s="28">
        <v>24.9375</v>
      </c>
      <c r="G9216" s="28">
        <f>IF(ISNUMBER(F9216),E9216*F9216,"")</f>
        <v>1.7930062500000001</v>
      </c>
      <c r="H9216" s="32"/>
      <c r="I9216" s="28"/>
      <c r="J9216" s="125">
        <v>0</v>
      </c>
    </row>
    <row r="9217" spans="1:10" s="169" customFormat="1" hidden="1" x14ac:dyDescent="0.25">
      <c r="A9217" s="235"/>
      <c r="B9217" s="238"/>
      <c r="C9217" s="155" t="s">
        <v>237</v>
      </c>
      <c r="D9217" s="155" t="s">
        <v>205</v>
      </c>
      <c r="E9217" s="156">
        <v>8.3999999999999995E-3</v>
      </c>
      <c r="F9217" s="31">
        <v>17.166499999999999</v>
      </c>
      <c r="G9217" s="28">
        <f>IF(ISNUMBER(F9217),E9217*F9217,"")</f>
        <v>0.14419859999999998</v>
      </c>
      <c r="H9217" s="32"/>
      <c r="I9217" s="28"/>
      <c r="J9217" s="125">
        <v>0</v>
      </c>
    </row>
    <row r="9218" spans="1:10" s="169" customFormat="1" ht="38.25" hidden="1" x14ac:dyDescent="0.25">
      <c r="A9218" s="235"/>
      <c r="B9218" s="238"/>
      <c r="C9218" s="155" t="s">
        <v>516</v>
      </c>
      <c r="D9218" s="155" t="s">
        <v>97</v>
      </c>
      <c r="E9218" s="156">
        <v>1</v>
      </c>
      <c r="F9218" s="31" t="s">
        <v>418</v>
      </c>
      <c r="G9218" s="28" t="str">
        <f>IF(ISNUMBER(F9218),E9218*F9218,"")</f>
        <v/>
      </c>
      <c r="H9218" s="32"/>
      <c r="I9218" s="28"/>
      <c r="J9218" s="125">
        <v>0</v>
      </c>
    </row>
    <row r="9219" spans="1:10" s="169" customFormat="1" ht="38.25" hidden="1" x14ac:dyDescent="0.25">
      <c r="A9219" s="235"/>
      <c r="B9219" s="238"/>
      <c r="C9219" s="155" t="s">
        <v>29513</v>
      </c>
      <c r="D9219" s="155" t="s">
        <v>97</v>
      </c>
      <c r="E9219" s="156">
        <v>1</v>
      </c>
      <c r="F9219" s="31" t="s">
        <v>418</v>
      </c>
      <c r="G9219" s="28" t="str">
        <f>IF(ISNUMBER(F9219),E9219*F9219,"")</f>
        <v/>
      </c>
      <c r="H9219" s="32"/>
      <c r="I9219" s="28"/>
      <c r="J9219" s="125">
        <v>0</v>
      </c>
    </row>
    <row r="9220" spans="1:10" s="169" customFormat="1" ht="15.75" hidden="1" thickBot="1" x14ac:dyDescent="0.3">
      <c r="A9220" s="236"/>
      <c r="B9220" s="239"/>
      <c r="C9220" s="155"/>
      <c r="D9220" s="155"/>
      <c r="E9220" s="156"/>
      <c r="F9220" s="28" t="s">
        <v>418</v>
      </c>
      <c r="G9220" s="28" t="str">
        <f>IF(ISNUMBER(F9220),E9220*F9220,"")</f>
        <v/>
      </c>
      <c r="H9220" s="32"/>
      <c r="I9220" s="28"/>
      <c r="J9220" s="125">
        <v>0</v>
      </c>
    </row>
    <row r="9221" spans="1:10" s="169" customFormat="1" ht="15.75" hidden="1" thickBot="1" x14ac:dyDescent="0.3">
      <c r="A9221" s="234" t="s">
        <v>20874</v>
      </c>
      <c r="B9221" s="237" t="s">
        <v>29484</v>
      </c>
      <c r="C9221" s="160"/>
      <c r="D9221" s="145" t="s">
        <v>16</v>
      </c>
      <c r="E9221" s="146"/>
      <c r="F9221" s="37" t="s">
        <v>418</v>
      </c>
      <c r="G9221" s="147" t="str">
        <f>IF(ISNUMBER(F9221),E9221*F9221,"")</f>
        <v/>
      </c>
      <c r="H9221" s="148"/>
      <c r="I9221" s="149"/>
      <c r="J9221" s="125">
        <v>0</v>
      </c>
    </row>
    <row r="9222" spans="1:10" s="169" customFormat="1" hidden="1" x14ac:dyDescent="0.25">
      <c r="A9222" s="235"/>
      <c r="B9222" s="238"/>
      <c r="C9222" s="151"/>
      <c r="D9222" s="151"/>
      <c r="E9222" s="152"/>
      <c r="F9222" s="38" t="s">
        <v>418</v>
      </c>
      <c r="G9222" s="28" t="str">
        <f>IF(ISNUMBER(F9222),E9222*F9222,"")</f>
        <v/>
      </c>
      <c r="H9222" s="32"/>
      <c r="I9222" s="28"/>
      <c r="J9222" s="125">
        <v>0</v>
      </c>
    </row>
    <row r="9223" spans="1:10" s="169" customFormat="1" ht="25.5" hidden="1" x14ac:dyDescent="0.25">
      <c r="A9223" s="235"/>
      <c r="B9223" s="238"/>
      <c r="C9223" s="155" t="s">
        <v>824</v>
      </c>
      <c r="D9223" s="155" t="s">
        <v>587</v>
      </c>
      <c r="E9223" s="156">
        <v>7.1900000000000006E-2</v>
      </c>
      <c r="F9223" s="28">
        <v>18.6295</v>
      </c>
      <c r="G9223" s="28">
        <f>IF(ISNUMBER(F9223),E9223*F9223,"")</f>
        <v>1.3394610500000002</v>
      </c>
      <c r="H9223" s="35">
        <f>SUM(G9223:G9227)</f>
        <v>3.2766659000000002</v>
      </c>
      <c r="I9223" s="36"/>
      <c r="J9223" s="125">
        <v>0</v>
      </c>
    </row>
    <row r="9224" spans="1:10" s="169" customFormat="1" ht="25.5" hidden="1" x14ac:dyDescent="0.25">
      <c r="A9224" s="235"/>
      <c r="B9224" s="238"/>
      <c r="C9224" s="155" t="s">
        <v>825</v>
      </c>
      <c r="D9224" s="155" t="s">
        <v>587</v>
      </c>
      <c r="E9224" s="156">
        <v>7.1900000000000006E-2</v>
      </c>
      <c r="F9224" s="28">
        <v>24.9375</v>
      </c>
      <c r="G9224" s="28">
        <f>IF(ISNUMBER(F9224),E9224*F9224,"")</f>
        <v>1.7930062500000001</v>
      </c>
      <c r="H9224" s="32"/>
      <c r="I9224" s="28"/>
      <c r="J9224" s="125">
        <v>0</v>
      </c>
    </row>
    <row r="9225" spans="1:10" s="169" customFormat="1" hidden="1" x14ac:dyDescent="0.25">
      <c r="A9225" s="235"/>
      <c r="B9225" s="238"/>
      <c r="C9225" s="155" t="s">
        <v>237</v>
      </c>
      <c r="D9225" s="155" t="s">
        <v>205</v>
      </c>
      <c r="E9225" s="156">
        <v>8.3999999999999995E-3</v>
      </c>
      <c r="F9225" s="31">
        <v>17.166499999999999</v>
      </c>
      <c r="G9225" s="28">
        <f>IF(ISNUMBER(F9225),E9225*F9225,"")</f>
        <v>0.14419859999999998</v>
      </c>
      <c r="H9225" s="32"/>
      <c r="I9225" s="28"/>
      <c r="J9225" s="125">
        <v>0</v>
      </c>
    </row>
    <row r="9226" spans="1:10" s="169" customFormat="1" ht="38.25" hidden="1" x14ac:dyDescent="0.25">
      <c r="A9226" s="235"/>
      <c r="B9226" s="238"/>
      <c r="C9226" s="155" t="s">
        <v>516</v>
      </c>
      <c r="D9226" s="155" t="s">
        <v>97</v>
      </c>
      <c r="E9226" s="156">
        <v>1</v>
      </c>
      <c r="F9226" s="31" t="s">
        <v>418</v>
      </c>
      <c r="G9226" s="28" t="str">
        <f>IF(ISNUMBER(F9226),E9226*F9226,"")</f>
        <v/>
      </c>
      <c r="H9226" s="32"/>
      <c r="I9226" s="28"/>
      <c r="J9226" s="125">
        <v>0</v>
      </c>
    </row>
    <row r="9227" spans="1:10" s="169" customFormat="1" ht="38.25" hidden="1" x14ac:dyDescent="0.25">
      <c r="A9227" s="235"/>
      <c r="B9227" s="238"/>
      <c r="C9227" s="155" t="s">
        <v>29514</v>
      </c>
      <c r="D9227" s="155" t="s">
        <v>97</v>
      </c>
      <c r="E9227" s="156">
        <v>1</v>
      </c>
      <c r="F9227" s="31" t="s">
        <v>418</v>
      </c>
      <c r="G9227" s="28" t="str">
        <f>IF(ISNUMBER(F9227),E9227*F9227,"")</f>
        <v/>
      </c>
      <c r="H9227" s="32"/>
      <c r="I9227" s="28"/>
      <c r="J9227" s="125">
        <v>0</v>
      </c>
    </row>
    <row r="9228" spans="1:10" s="169" customFormat="1" ht="15.75" hidden="1" thickBot="1" x14ac:dyDescent="0.3">
      <c r="A9228" s="236"/>
      <c r="B9228" s="239"/>
      <c r="C9228" s="155"/>
      <c r="D9228" s="155"/>
      <c r="E9228" s="156"/>
      <c r="F9228" s="28" t="s">
        <v>418</v>
      </c>
      <c r="G9228" s="28" t="str">
        <f>IF(ISNUMBER(F9228),E9228*F9228,"")</f>
        <v/>
      </c>
      <c r="H9228" s="32"/>
      <c r="I9228" s="28"/>
      <c r="J9228" s="125">
        <v>0</v>
      </c>
    </row>
    <row r="9229" spans="1:10" s="169" customFormat="1" ht="15.75" hidden="1" thickBot="1" x14ac:dyDescent="0.3">
      <c r="A9229" s="234" t="s">
        <v>20875</v>
      </c>
      <c r="B9229" s="237" t="s">
        <v>29485</v>
      </c>
      <c r="C9229" s="160"/>
      <c r="D9229" s="145" t="s">
        <v>16</v>
      </c>
      <c r="E9229" s="146"/>
      <c r="F9229" s="37" t="s">
        <v>418</v>
      </c>
      <c r="G9229" s="147" t="str">
        <f>IF(ISNUMBER(F9229),E9229*F9229,"")</f>
        <v/>
      </c>
      <c r="H9229" s="148"/>
      <c r="I9229" s="149"/>
      <c r="J9229" s="125">
        <v>0</v>
      </c>
    </row>
    <row r="9230" spans="1:10" s="169" customFormat="1" hidden="1" x14ac:dyDescent="0.25">
      <c r="A9230" s="235"/>
      <c r="B9230" s="238"/>
      <c r="C9230" s="151"/>
      <c r="D9230" s="151"/>
      <c r="E9230" s="152"/>
      <c r="F9230" s="38" t="s">
        <v>418</v>
      </c>
      <c r="G9230" s="28" t="str">
        <f>IF(ISNUMBER(F9230),E9230*F9230,"")</f>
        <v/>
      </c>
      <c r="H9230" s="32"/>
      <c r="I9230" s="28"/>
      <c r="J9230" s="125">
        <v>0</v>
      </c>
    </row>
    <row r="9231" spans="1:10" s="169" customFormat="1" ht="25.5" hidden="1" x14ac:dyDescent="0.25">
      <c r="A9231" s="235"/>
      <c r="B9231" s="238"/>
      <c r="C9231" s="155" t="s">
        <v>824</v>
      </c>
      <c r="D9231" s="155" t="s">
        <v>587</v>
      </c>
      <c r="E9231" s="156">
        <v>0.33979999999999999</v>
      </c>
      <c r="F9231" s="28">
        <v>18.6295</v>
      </c>
      <c r="G9231" s="28">
        <f>IF(ISNUMBER(F9231),E9231*F9231,"")</f>
        <v>6.3303041000000002</v>
      </c>
      <c r="H9231" s="35">
        <f>SUM(G9231:G9235)</f>
        <v>15.216062599999999</v>
      </c>
      <c r="I9231" s="36"/>
      <c r="J9231" s="125">
        <v>0</v>
      </c>
    </row>
    <row r="9232" spans="1:10" s="169" customFormat="1" ht="25.5" hidden="1" x14ac:dyDescent="0.25">
      <c r="A9232" s="235"/>
      <c r="B9232" s="238"/>
      <c r="C9232" s="155" t="s">
        <v>825</v>
      </c>
      <c r="D9232" s="155" t="s">
        <v>587</v>
      </c>
      <c r="E9232" s="156">
        <v>0.33979999999999999</v>
      </c>
      <c r="F9232" s="28">
        <v>24.9375</v>
      </c>
      <c r="G9232" s="28">
        <f>IF(ISNUMBER(F9232),E9232*F9232,"")</f>
        <v>8.4737624999999994</v>
      </c>
      <c r="H9232" s="32"/>
      <c r="I9232" s="28"/>
      <c r="J9232" s="125">
        <v>0</v>
      </c>
    </row>
    <row r="9233" spans="1:10" s="169" customFormat="1" hidden="1" x14ac:dyDescent="0.25">
      <c r="A9233" s="235"/>
      <c r="B9233" s="238"/>
      <c r="C9233" s="155" t="s">
        <v>237</v>
      </c>
      <c r="D9233" s="155" t="s">
        <v>205</v>
      </c>
      <c r="E9233" s="156">
        <v>2.4E-2</v>
      </c>
      <c r="F9233" s="31">
        <v>17.166499999999999</v>
      </c>
      <c r="G9233" s="28">
        <f>IF(ISNUMBER(F9233),E9233*F9233,"")</f>
        <v>0.41199599999999997</v>
      </c>
      <c r="H9233" s="32"/>
      <c r="I9233" s="28"/>
      <c r="J9233" s="125">
        <v>0</v>
      </c>
    </row>
    <row r="9234" spans="1:10" s="169" customFormat="1" ht="38.25" hidden="1" x14ac:dyDescent="0.25">
      <c r="A9234" s="235"/>
      <c r="B9234" s="238"/>
      <c r="C9234" s="155" t="s">
        <v>516</v>
      </c>
      <c r="D9234" s="155" t="s">
        <v>97</v>
      </c>
      <c r="E9234" s="156">
        <v>1</v>
      </c>
      <c r="F9234" s="31" t="s">
        <v>418</v>
      </c>
      <c r="G9234" s="28" t="str">
        <f>IF(ISNUMBER(F9234),E9234*F9234,"")</f>
        <v/>
      </c>
      <c r="H9234" s="32"/>
      <c r="I9234" s="28"/>
      <c r="J9234" s="125">
        <v>0</v>
      </c>
    </row>
    <row r="9235" spans="1:10" s="169" customFormat="1" ht="38.25" hidden="1" x14ac:dyDescent="0.25">
      <c r="A9235" s="235"/>
      <c r="B9235" s="238"/>
      <c r="C9235" s="155" t="s">
        <v>517</v>
      </c>
      <c r="D9235" s="155" t="s">
        <v>97</v>
      </c>
      <c r="E9235" s="156">
        <v>1</v>
      </c>
      <c r="F9235" s="31" t="s">
        <v>418</v>
      </c>
      <c r="G9235" s="28" t="str">
        <f>IF(ISNUMBER(F9235),E9235*F9235,"")</f>
        <v/>
      </c>
      <c r="H9235" s="32"/>
      <c r="I9235" s="28"/>
      <c r="J9235" s="125">
        <v>0</v>
      </c>
    </row>
    <row r="9236" spans="1:10" s="169" customFormat="1" ht="15.75" hidden="1" thickBot="1" x14ac:dyDescent="0.3">
      <c r="A9236" s="236"/>
      <c r="B9236" s="239"/>
      <c r="C9236" s="155"/>
      <c r="D9236" s="155"/>
      <c r="E9236" s="156"/>
      <c r="F9236" s="28" t="s">
        <v>418</v>
      </c>
      <c r="G9236" s="28" t="str">
        <f>IF(ISNUMBER(F9236),E9236*F9236,"")</f>
        <v/>
      </c>
      <c r="H9236" s="32"/>
      <c r="I9236" s="28"/>
      <c r="J9236" s="125">
        <v>0</v>
      </c>
    </row>
    <row r="9237" spans="1:10" s="169" customFormat="1" ht="15.75" hidden="1" thickBot="1" x14ac:dyDescent="0.3">
      <c r="A9237" s="234" t="s">
        <v>20876</v>
      </c>
      <c r="B9237" s="237" t="s">
        <v>29486</v>
      </c>
      <c r="C9237" s="160"/>
      <c r="D9237" s="145" t="s">
        <v>16</v>
      </c>
      <c r="E9237" s="146"/>
      <c r="F9237" s="37" t="s">
        <v>418</v>
      </c>
      <c r="G9237" s="147" t="str">
        <f>IF(ISNUMBER(F9237),E9237*F9237,"")</f>
        <v/>
      </c>
      <c r="H9237" s="148"/>
      <c r="I9237" s="149"/>
      <c r="J9237" s="125">
        <v>0</v>
      </c>
    </row>
    <row r="9238" spans="1:10" s="169" customFormat="1" hidden="1" x14ac:dyDescent="0.25">
      <c r="A9238" s="235"/>
      <c r="B9238" s="238"/>
      <c r="C9238" s="151"/>
      <c r="D9238" s="151"/>
      <c r="E9238" s="152"/>
      <c r="F9238" s="38" t="s">
        <v>418</v>
      </c>
      <c r="G9238" s="28" t="str">
        <f>IF(ISNUMBER(F9238),E9238*F9238,"")</f>
        <v/>
      </c>
      <c r="H9238" s="32"/>
      <c r="I9238" s="28"/>
      <c r="J9238" s="125">
        <v>0</v>
      </c>
    </row>
    <row r="9239" spans="1:10" s="169" customFormat="1" ht="25.5" hidden="1" x14ac:dyDescent="0.25">
      <c r="A9239" s="235"/>
      <c r="B9239" s="238"/>
      <c r="C9239" s="155" t="s">
        <v>824</v>
      </c>
      <c r="D9239" s="155" t="s">
        <v>587</v>
      </c>
      <c r="E9239" s="156">
        <v>7.1900000000000006E-2</v>
      </c>
      <c r="F9239" s="28">
        <v>18.6295</v>
      </c>
      <c r="G9239" s="28">
        <f>IF(ISNUMBER(F9239),E9239*F9239,"")</f>
        <v>1.3394610500000002</v>
      </c>
      <c r="H9239" s="35">
        <f>SUM(G9239:G9242)</f>
        <v>3.2766659000000002</v>
      </c>
      <c r="I9239" s="36"/>
      <c r="J9239" s="125">
        <v>0</v>
      </c>
    </row>
    <row r="9240" spans="1:10" s="169" customFormat="1" ht="25.5" hidden="1" x14ac:dyDescent="0.25">
      <c r="A9240" s="235"/>
      <c r="B9240" s="238"/>
      <c r="C9240" s="155" t="s">
        <v>825</v>
      </c>
      <c r="D9240" s="155" t="s">
        <v>587</v>
      </c>
      <c r="E9240" s="156">
        <v>7.1900000000000006E-2</v>
      </c>
      <c r="F9240" s="28">
        <v>24.9375</v>
      </c>
      <c r="G9240" s="28">
        <f>IF(ISNUMBER(F9240),E9240*F9240,"")</f>
        <v>1.7930062500000001</v>
      </c>
      <c r="H9240" s="32"/>
      <c r="I9240" s="28"/>
      <c r="J9240" s="125">
        <v>0</v>
      </c>
    </row>
    <row r="9241" spans="1:10" s="169" customFormat="1" ht="25.5" hidden="1" x14ac:dyDescent="0.25">
      <c r="A9241" s="235"/>
      <c r="B9241" s="238"/>
      <c r="C9241" s="155" t="s">
        <v>29515</v>
      </c>
      <c r="D9241" s="155" t="s">
        <v>97</v>
      </c>
      <c r="E9241" s="156">
        <v>1</v>
      </c>
      <c r="F9241" s="31" t="s">
        <v>418</v>
      </c>
      <c r="G9241" s="28" t="str">
        <f>IF(ISNUMBER(F9241),E9241*F9241,"")</f>
        <v/>
      </c>
      <c r="H9241" s="32"/>
      <c r="I9241" s="28"/>
      <c r="J9241" s="125">
        <v>0</v>
      </c>
    </row>
    <row r="9242" spans="1:10" s="169" customFormat="1" hidden="1" x14ac:dyDescent="0.25">
      <c r="A9242" s="235"/>
      <c r="B9242" s="238"/>
      <c r="C9242" s="155" t="s">
        <v>237</v>
      </c>
      <c r="D9242" s="155" t="s">
        <v>205</v>
      </c>
      <c r="E9242" s="156">
        <v>8.3999999999999995E-3</v>
      </c>
      <c r="F9242" s="31">
        <v>17.166499999999999</v>
      </c>
      <c r="G9242" s="28">
        <f>IF(ISNUMBER(F9242),E9242*F9242,"")</f>
        <v>0.14419859999999998</v>
      </c>
      <c r="H9242" s="32"/>
      <c r="I9242" s="28"/>
      <c r="J9242" s="125">
        <v>0</v>
      </c>
    </row>
    <row r="9243" spans="1:10" s="169" customFormat="1" ht="15.75" hidden="1" thickBot="1" x14ac:dyDescent="0.3">
      <c r="A9243" s="236"/>
      <c r="B9243" s="239"/>
      <c r="C9243" s="155"/>
      <c r="D9243" s="155"/>
      <c r="E9243" s="156"/>
      <c r="F9243" s="28" t="s">
        <v>418</v>
      </c>
      <c r="G9243" s="28" t="str">
        <f>IF(ISNUMBER(F9243),E9243*F9243,"")</f>
        <v/>
      </c>
      <c r="H9243" s="32"/>
      <c r="I9243" s="28"/>
      <c r="J9243" s="125">
        <v>0</v>
      </c>
    </row>
    <row r="9244" spans="1:10" s="169" customFormat="1" ht="15.75" hidden="1" thickBot="1" x14ac:dyDescent="0.3">
      <c r="A9244" s="234" t="s">
        <v>20877</v>
      </c>
      <c r="B9244" s="237" t="s">
        <v>29487</v>
      </c>
      <c r="C9244" s="160"/>
      <c r="D9244" s="145" t="s">
        <v>16</v>
      </c>
      <c r="E9244" s="146"/>
      <c r="F9244" s="37" t="s">
        <v>418</v>
      </c>
      <c r="G9244" s="147" t="str">
        <f>IF(ISNUMBER(F9244),E9244*F9244,"")</f>
        <v/>
      </c>
      <c r="H9244" s="148"/>
      <c r="I9244" s="149"/>
      <c r="J9244" s="125">
        <v>0</v>
      </c>
    </row>
    <row r="9245" spans="1:10" s="169" customFormat="1" hidden="1" x14ac:dyDescent="0.25">
      <c r="A9245" s="235"/>
      <c r="B9245" s="238"/>
      <c r="C9245" s="151"/>
      <c r="D9245" s="151"/>
      <c r="E9245" s="152"/>
      <c r="F9245" s="38" t="s">
        <v>418</v>
      </c>
      <c r="G9245" s="28" t="str">
        <f>IF(ISNUMBER(F9245),E9245*F9245,"")</f>
        <v/>
      </c>
      <c r="H9245" s="32"/>
      <c r="I9245" s="28"/>
      <c r="J9245" s="125">
        <v>0</v>
      </c>
    </row>
    <row r="9246" spans="1:10" s="169" customFormat="1" ht="25.5" hidden="1" x14ac:dyDescent="0.25">
      <c r="A9246" s="235"/>
      <c r="B9246" s="238"/>
      <c r="C9246" s="155" t="s">
        <v>824</v>
      </c>
      <c r="D9246" s="155" t="s">
        <v>587</v>
      </c>
      <c r="E9246" s="156">
        <v>7.1900000000000006E-2</v>
      </c>
      <c r="F9246" s="28">
        <v>18.6295</v>
      </c>
      <c r="G9246" s="28">
        <f>IF(ISNUMBER(F9246),E9246*F9246,"")</f>
        <v>1.3394610500000002</v>
      </c>
      <c r="H9246" s="35">
        <f>SUM(G9246:G9249)</f>
        <v>3.2766659000000002</v>
      </c>
      <c r="I9246" s="36"/>
      <c r="J9246" s="125">
        <v>0</v>
      </c>
    </row>
    <row r="9247" spans="1:10" s="169" customFormat="1" ht="25.5" hidden="1" x14ac:dyDescent="0.25">
      <c r="A9247" s="235"/>
      <c r="B9247" s="238"/>
      <c r="C9247" s="155" t="s">
        <v>825</v>
      </c>
      <c r="D9247" s="155" t="s">
        <v>587</v>
      </c>
      <c r="E9247" s="156">
        <v>7.1900000000000006E-2</v>
      </c>
      <c r="F9247" s="28">
        <v>24.9375</v>
      </c>
      <c r="G9247" s="28">
        <f>IF(ISNUMBER(F9247),E9247*F9247,"")</f>
        <v>1.7930062500000001</v>
      </c>
      <c r="H9247" s="32"/>
      <c r="I9247" s="28"/>
      <c r="J9247" s="125">
        <v>0</v>
      </c>
    </row>
    <row r="9248" spans="1:10" s="169" customFormat="1" ht="25.5" hidden="1" x14ac:dyDescent="0.25">
      <c r="A9248" s="235"/>
      <c r="B9248" s="238"/>
      <c r="C9248" s="155" t="s">
        <v>29516</v>
      </c>
      <c r="D9248" s="155" t="s">
        <v>97</v>
      </c>
      <c r="E9248" s="156">
        <v>1</v>
      </c>
      <c r="F9248" s="31" t="s">
        <v>418</v>
      </c>
      <c r="G9248" s="28" t="str">
        <f>IF(ISNUMBER(F9248),E9248*F9248,"")</f>
        <v/>
      </c>
      <c r="H9248" s="32"/>
      <c r="I9248" s="28"/>
      <c r="J9248" s="125">
        <v>0</v>
      </c>
    </row>
    <row r="9249" spans="1:10" s="169" customFormat="1" hidden="1" x14ac:dyDescent="0.25">
      <c r="A9249" s="235"/>
      <c r="B9249" s="238"/>
      <c r="C9249" s="155" t="s">
        <v>237</v>
      </c>
      <c r="D9249" s="155" t="s">
        <v>205</v>
      </c>
      <c r="E9249" s="156">
        <v>8.3999999999999995E-3</v>
      </c>
      <c r="F9249" s="31">
        <v>17.166499999999999</v>
      </c>
      <c r="G9249" s="28">
        <f>IF(ISNUMBER(F9249),E9249*F9249,"")</f>
        <v>0.14419859999999998</v>
      </c>
      <c r="H9249" s="32"/>
      <c r="I9249" s="28"/>
      <c r="J9249" s="125">
        <v>0</v>
      </c>
    </row>
    <row r="9250" spans="1:10" s="169" customFormat="1" ht="15.75" hidden="1" thickBot="1" x14ac:dyDescent="0.3">
      <c r="A9250" s="236"/>
      <c r="B9250" s="239"/>
      <c r="C9250" s="155"/>
      <c r="D9250" s="155"/>
      <c r="E9250" s="156"/>
      <c r="F9250" s="28" t="s">
        <v>418</v>
      </c>
      <c r="G9250" s="28" t="str">
        <f>IF(ISNUMBER(F9250),E9250*F9250,"")</f>
        <v/>
      </c>
      <c r="H9250" s="32"/>
      <c r="I9250" s="28"/>
      <c r="J9250" s="125">
        <v>0</v>
      </c>
    </row>
    <row r="9251" spans="1:10" s="169" customFormat="1" ht="15.75" hidden="1" thickBot="1" x14ac:dyDescent="0.3">
      <c r="A9251" s="234" t="s">
        <v>20878</v>
      </c>
      <c r="B9251" s="237" t="s">
        <v>29488</v>
      </c>
      <c r="C9251" s="160"/>
      <c r="D9251" s="145" t="s">
        <v>16</v>
      </c>
      <c r="E9251" s="146"/>
      <c r="F9251" s="37" t="s">
        <v>418</v>
      </c>
      <c r="G9251" s="147" t="str">
        <f>IF(ISNUMBER(F9251),E9251*F9251,"")</f>
        <v/>
      </c>
      <c r="H9251" s="148"/>
      <c r="I9251" s="149"/>
      <c r="J9251" s="125">
        <v>0</v>
      </c>
    </row>
    <row r="9252" spans="1:10" s="169" customFormat="1" hidden="1" x14ac:dyDescent="0.25">
      <c r="A9252" s="235"/>
      <c r="B9252" s="238"/>
      <c r="C9252" s="151"/>
      <c r="D9252" s="151"/>
      <c r="E9252" s="152"/>
      <c r="F9252" s="38" t="s">
        <v>418</v>
      </c>
      <c r="G9252" s="28" t="str">
        <f>IF(ISNUMBER(F9252),E9252*F9252,"")</f>
        <v/>
      </c>
      <c r="H9252" s="32"/>
      <c r="I9252" s="28"/>
      <c r="J9252" s="125">
        <v>0</v>
      </c>
    </row>
    <row r="9253" spans="1:10" s="169" customFormat="1" ht="25.5" hidden="1" x14ac:dyDescent="0.25">
      <c r="A9253" s="235"/>
      <c r="B9253" s="238"/>
      <c r="C9253" s="155" t="s">
        <v>824</v>
      </c>
      <c r="D9253" s="155" t="s">
        <v>587</v>
      </c>
      <c r="E9253" s="156">
        <v>0.33979999999999999</v>
      </c>
      <c r="F9253" s="28">
        <v>18.6295</v>
      </c>
      <c r="G9253" s="28">
        <f>IF(ISNUMBER(F9253),E9253*F9253,"")</f>
        <v>6.3303041000000002</v>
      </c>
      <c r="H9253" s="35">
        <f>SUM(G9253:G9256)</f>
        <v>15.216062599999999</v>
      </c>
      <c r="I9253" s="36"/>
      <c r="J9253" s="125">
        <v>0</v>
      </c>
    </row>
    <row r="9254" spans="1:10" s="169" customFormat="1" ht="25.5" hidden="1" x14ac:dyDescent="0.25">
      <c r="A9254" s="235"/>
      <c r="B9254" s="238"/>
      <c r="C9254" s="155" t="s">
        <v>825</v>
      </c>
      <c r="D9254" s="155" t="s">
        <v>587</v>
      </c>
      <c r="E9254" s="156">
        <v>0.33979999999999999</v>
      </c>
      <c r="F9254" s="28">
        <v>24.9375</v>
      </c>
      <c r="G9254" s="28">
        <f>IF(ISNUMBER(F9254),E9254*F9254,"")</f>
        <v>8.4737624999999994</v>
      </c>
      <c r="H9254" s="32"/>
      <c r="I9254" s="28"/>
      <c r="J9254" s="125">
        <v>0</v>
      </c>
    </row>
    <row r="9255" spans="1:10" s="169" customFormat="1" ht="25.5" hidden="1" x14ac:dyDescent="0.25">
      <c r="A9255" s="235"/>
      <c r="B9255" s="238"/>
      <c r="C9255" s="155" t="s">
        <v>29517</v>
      </c>
      <c r="D9255" s="155" t="s">
        <v>97</v>
      </c>
      <c r="E9255" s="156">
        <v>1</v>
      </c>
      <c r="F9255" s="31" t="s">
        <v>418</v>
      </c>
      <c r="G9255" s="28" t="str">
        <f>IF(ISNUMBER(F9255),E9255*F9255,"")</f>
        <v/>
      </c>
      <c r="H9255" s="32"/>
      <c r="I9255" s="28"/>
      <c r="J9255" s="125">
        <v>0</v>
      </c>
    </row>
    <row r="9256" spans="1:10" s="169" customFormat="1" hidden="1" x14ac:dyDescent="0.25">
      <c r="A9256" s="235"/>
      <c r="B9256" s="238"/>
      <c r="C9256" s="155" t="s">
        <v>237</v>
      </c>
      <c r="D9256" s="155" t="s">
        <v>205</v>
      </c>
      <c r="E9256" s="156">
        <v>2.4E-2</v>
      </c>
      <c r="F9256" s="31">
        <v>17.166499999999999</v>
      </c>
      <c r="G9256" s="28">
        <f>IF(ISNUMBER(F9256),E9256*F9256,"")</f>
        <v>0.41199599999999997</v>
      </c>
      <c r="H9256" s="32"/>
      <c r="I9256" s="28"/>
      <c r="J9256" s="125">
        <v>0</v>
      </c>
    </row>
    <row r="9257" spans="1:10" s="169" customFormat="1" ht="15.75" hidden="1" thickBot="1" x14ac:dyDescent="0.3">
      <c r="A9257" s="236"/>
      <c r="B9257" s="239"/>
      <c r="C9257" s="155"/>
      <c r="D9257" s="155"/>
      <c r="E9257" s="156"/>
      <c r="F9257" s="28" t="s">
        <v>418</v>
      </c>
      <c r="G9257" s="28" t="str">
        <f>IF(ISNUMBER(F9257),E9257*F9257,"")</f>
        <v/>
      </c>
      <c r="H9257" s="32"/>
      <c r="I9257" s="28"/>
      <c r="J9257" s="125">
        <v>0</v>
      </c>
    </row>
    <row r="9258" spans="1:10" s="169" customFormat="1" ht="15.75" hidden="1" thickBot="1" x14ac:dyDescent="0.3">
      <c r="A9258" s="234" t="s">
        <v>20879</v>
      </c>
      <c r="B9258" s="237" t="s">
        <v>29489</v>
      </c>
      <c r="C9258" s="160"/>
      <c r="D9258" s="145" t="s">
        <v>16</v>
      </c>
      <c r="E9258" s="146"/>
      <c r="F9258" s="37" t="s">
        <v>418</v>
      </c>
      <c r="G9258" s="147" t="str">
        <f>IF(ISNUMBER(F9258),E9258*F9258,"")</f>
        <v/>
      </c>
      <c r="H9258" s="148"/>
      <c r="I9258" s="149"/>
      <c r="J9258" s="125">
        <v>0</v>
      </c>
    </row>
    <row r="9259" spans="1:10" s="169" customFormat="1" hidden="1" x14ac:dyDescent="0.25">
      <c r="A9259" s="235"/>
      <c r="B9259" s="238"/>
      <c r="C9259" s="151"/>
      <c r="D9259" s="151"/>
      <c r="E9259" s="152"/>
      <c r="F9259" s="38" t="s">
        <v>418</v>
      </c>
      <c r="G9259" s="28" t="str">
        <f>IF(ISNUMBER(F9259),E9259*F9259,"")</f>
        <v/>
      </c>
      <c r="H9259" s="32"/>
      <c r="I9259" s="28"/>
      <c r="J9259" s="125">
        <v>0</v>
      </c>
    </row>
    <row r="9260" spans="1:10" s="169" customFormat="1" hidden="1" x14ac:dyDescent="0.25">
      <c r="A9260" s="235"/>
      <c r="B9260" s="238"/>
      <c r="C9260" s="155" t="s">
        <v>237</v>
      </c>
      <c r="D9260" s="155" t="s">
        <v>205</v>
      </c>
      <c r="E9260" s="156">
        <v>8.3999999999999995E-3</v>
      </c>
      <c r="F9260" s="28">
        <v>17.166499999999999</v>
      </c>
      <c r="G9260" s="28">
        <f>IF(ISNUMBER(F9260),E9260*F9260,"")</f>
        <v>0.14419859999999998</v>
      </c>
      <c r="H9260" s="35">
        <f>SUM(G9260:G9263)</f>
        <v>3.2766659000000002</v>
      </c>
      <c r="I9260" s="36"/>
      <c r="J9260" s="125">
        <v>0</v>
      </c>
    </row>
    <row r="9261" spans="1:10" s="169" customFormat="1" hidden="1" x14ac:dyDescent="0.25">
      <c r="A9261" s="235"/>
      <c r="B9261" s="238"/>
      <c r="C9261" s="155" t="s">
        <v>29520</v>
      </c>
      <c r="D9261" s="155" t="s">
        <v>205</v>
      </c>
      <c r="E9261" s="156">
        <v>1</v>
      </c>
      <c r="F9261" s="28" t="s">
        <v>418</v>
      </c>
      <c r="G9261" s="28" t="str">
        <f>IF(ISNUMBER(F9261),E9261*F9261,"")</f>
        <v/>
      </c>
      <c r="H9261" s="32"/>
      <c r="I9261" s="28"/>
      <c r="J9261" s="125">
        <v>0</v>
      </c>
    </row>
    <row r="9262" spans="1:10" s="169" customFormat="1" ht="25.5" hidden="1" x14ac:dyDescent="0.25">
      <c r="A9262" s="235"/>
      <c r="B9262" s="238"/>
      <c r="C9262" s="155" t="s">
        <v>824</v>
      </c>
      <c r="D9262" s="155" t="s">
        <v>587</v>
      </c>
      <c r="E9262" s="156">
        <v>7.1900000000000006E-2</v>
      </c>
      <c r="F9262" s="31">
        <v>18.6295</v>
      </c>
      <c r="G9262" s="28">
        <f>IF(ISNUMBER(F9262),E9262*F9262,"")</f>
        <v>1.3394610500000002</v>
      </c>
      <c r="H9262" s="32"/>
      <c r="I9262" s="28"/>
      <c r="J9262" s="125">
        <v>0</v>
      </c>
    </row>
    <row r="9263" spans="1:10" s="169" customFormat="1" ht="25.5" hidden="1" x14ac:dyDescent="0.25">
      <c r="A9263" s="235"/>
      <c r="B9263" s="238"/>
      <c r="C9263" s="155" t="s">
        <v>825</v>
      </c>
      <c r="D9263" s="155" t="s">
        <v>587</v>
      </c>
      <c r="E9263" s="156">
        <v>7.1900000000000006E-2</v>
      </c>
      <c r="F9263" s="31">
        <v>24.9375</v>
      </c>
      <c r="G9263" s="28">
        <f>IF(ISNUMBER(F9263),E9263*F9263,"")</f>
        <v>1.7930062500000001</v>
      </c>
      <c r="H9263" s="32"/>
      <c r="I9263" s="28"/>
      <c r="J9263" s="125">
        <v>0</v>
      </c>
    </row>
    <row r="9264" spans="1:10" s="169" customFormat="1" ht="15.75" hidden="1" thickBot="1" x14ac:dyDescent="0.3">
      <c r="A9264" s="236"/>
      <c r="B9264" s="239"/>
      <c r="C9264" s="155"/>
      <c r="D9264" s="155"/>
      <c r="E9264" s="156"/>
      <c r="F9264" s="28" t="s">
        <v>418</v>
      </c>
      <c r="G9264" s="28" t="str">
        <f>IF(ISNUMBER(F9264),E9264*F9264,"")</f>
        <v/>
      </c>
      <c r="H9264" s="32"/>
      <c r="I9264" s="28"/>
      <c r="J9264" s="125">
        <v>0</v>
      </c>
    </row>
    <row r="9265" spans="1:10" s="169" customFormat="1" ht="15.75" hidden="1" thickBot="1" x14ac:dyDescent="0.3">
      <c r="A9265" s="234" t="s">
        <v>20880</v>
      </c>
      <c r="B9265" s="237" t="s">
        <v>29490</v>
      </c>
      <c r="C9265" s="160"/>
      <c r="D9265" s="145" t="s">
        <v>16</v>
      </c>
      <c r="E9265" s="146"/>
      <c r="F9265" s="37" t="s">
        <v>418</v>
      </c>
      <c r="G9265" s="147" t="str">
        <f>IF(ISNUMBER(F9265),E9265*F9265,"")</f>
        <v/>
      </c>
      <c r="H9265" s="148"/>
      <c r="I9265" s="149"/>
      <c r="J9265" s="125">
        <v>0</v>
      </c>
    </row>
    <row r="9266" spans="1:10" s="169" customFormat="1" hidden="1" x14ac:dyDescent="0.25">
      <c r="A9266" s="235"/>
      <c r="B9266" s="238"/>
      <c r="C9266" s="151"/>
      <c r="D9266" s="151"/>
      <c r="E9266" s="152"/>
      <c r="F9266" s="38" t="s">
        <v>418</v>
      </c>
      <c r="G9266" s="28" t="str">
        <f>IF(ISNUMBER(F9266),E9266*F9266,"")</f>
        <v/>
      </c>
      <c r="H9266" s="32"/>
      <c r="I9266" s="28"/>
      <c r="J9266" s="125">
        <v>0</v>
      </c>
    </row>
    <row r="9267" spans="1:10" s="169" customFormat="1" hidden="1" x14ac:dyDescent="0.25">
      <c r="A9267" s="235"/>
      <c r="B9267" s="238"/>
      <c r="C9267" s="155" t="s">
        <v>237</v>
      </c>
      <c r="D9267" s="155" t="s">
        <v>205</v>
      </c>
      <c r="E9267" s="156">
        <v>2.4E-2</v>
      </c>
      <c r="F9267" s="28">
        <v>17.166499999999999</v>
      </c>
      <c r="G9267" s="28">
        <f>IF(ISNUMBER(F9267),E9267*F9267,"")</f>
        <v>0.41199599999999997</v>
      </c>
      <c r="H9267" s="35">
        <f>SUM(G9267:G9270)</f>
        <v>143.73206259999998</v>
      </c>
      <c r="I9267" s="36"/>
      <c r="J9267" s="125">
        <v>0</v>
      </c>
    </row>
    <row r="9268" spans="1:10" s="169" customFormat="1" hidden="1" x14ac:dyDescent="0.25">
      <c r="A9268" s="235"/>
      <c r="B9268" s="238"/>
      <c r="C9268" s="155" t="s">
        <v>28366</v>
      </c>
      <c r="D9268" s="155" t="s">
        <v>205</v>
      </c>
      <c r="E9268" s="156">
        <v>1</v>
      </c>
      <c r="F9268" s="28">
        <v>128.51599999999999</v>
      </c>
      <c r="G9268" s="28">
        <f>IF(ISNUMBER(F9268),E9268*F9268,"")</f>
        <v>128.51599999999999</v>
      </c>
      <c r="H9268" s="32"/>
      <c r="I9268" s="28"/>
      <c r="J9268" s="125">
        <v>0</v>
      </c>
    </row>
    <row r="9269" spans="1:10" s="169" customFormat="1" ht="25.5" hidden="1" x14ac:dyDescent="0.25">
      <c r="A9269" s="235"/>
      <c r="B9269" s="238"/>
      <c r="C9269" s="155" t="s">
        <v>824</v>
      </c>
      <c r="D9269" s="155" t="s">
        <v>587</v>
      </c>
      <c r="E9269" s="156">
        <v>0.33979999999999999</v>
      </c>
      <c r="F9269" s="31">
        <v>18.6295</v>
      </c>
      <c r="G9269" s="28">
        <f>IF(ISNUMBER(F9269),E9269*F9269,"")</f>
        <v>6.3303041000000002</v>
      </c>
      <c r="H9269" s="32"/>
      <c r="I9269" s="28"/>
      <c r="J9269" s="125">
        <v>0</v>
      </c>
    </row>
    <row r="9270" spans="1:10" s="169" customFormat="1" ht="25.5" hidden="1" x14ac:dyDescent="0.25">
      <c r="A9270" s="235"/>
      <c r="B9270" s="238"/>
      <c r="C9270" s="155" t="s">
        <v>825</v>
      </c>
      <c r="D9270" s="155" t="s">
        <v>587</v>
      </c>
      <c r="E9270" s="156">
        <v>0.33979999999999999</v>
      </c>
      <c r="F9270" s="31">
        <v>24.9375</v>
      </c>
      <c r="G9270" s="28">
        <f>IF(ISNUMBER(F9270),E9270*F9270,"")</f>
        <v>8.4737624999999994</v>
      </c>
      <c r="H9270" s="32"/>
      <c r="I9270" s="28"/>
      <c r="J9270" s="125">
        <v>0</v>
      </c>
    </row>
    <row r="9271" spans="1:10" s="169" customFormat="1" ht="15.75" hidden="1" thickBot="1" x14ac:dyDescent="0.3">
      <c r="A9271" s="236"/>
      <c r="B9271" s="239"/>
      <c r="C9271" s="155"/>
      <c r="D9271" s="155"/>
      <c r="E9271" s="156"/>
      <c r="F9271" s="28" t="s">
        <v>418</v>
      </c>
      <c r="G9271" s="28" t="str">
        <f>IF(ISNUMBER(F9271),E9271*F9271,"")</f>
        <v/>
      </c>
      <c r="H9271" s="32"/>
      <c r="I9271" s="28"/>
      <c r="J9271" s="125">
        <v>0</v>
      </c>
    </row>
    <row r="9272" spans="1:10" s="169" customFormat="1" ht="15.75" hidden="1" thickBot="1" x14ac:dyDescent="0.3">
      <c r="A9272" s="234" t="s">
        <v>20881</v>
      </c>
      <c r="B9272" s="237" t="s">
        <v>29491</v>
      </c>
      <c r="C9272" s="160"/>
      <c r="D9272" s="145" t="s">
        <v>16</v>
      </c>
      <c r="E9272" s="146"/>
      <c r="F9272" s="37" t="s">
        <v>418</v>
      </c>
      <c r="G9272" s="147" t="str">
        <f>IF(ISNUMBER(F9272),E9272*F9272,"")</f>
        <v/>
      </c>
      <c r="H9272" s="148"/>
      <c r="I9272" s="149"/>
      <c r="J9272" s="125">
        <v>0</v>
      </c>
    </row>
    <row r="9273" spans="1:10" s="169" customFormat="1" hidden="1" x14ac:dyDescent="0.25">
      <c r="A9273" s="235"/>
      <c r="B9273" s="238"/>
      <c r="C9273" s="151"/>
      <c r="D9273" s="151"/>
      <c r="E9273" s="152"/>
      <c r="F9273" s="38" t="s">
        <v>418</v>
      </c>
      <c r="G9273" s="28" t="str">
        <f>IF(ISNUMBER(F9273),E9273*F9273,"")</f>
        <v/>
      </c>
      <c r="H9273" s="32"/>
      <c r="I9273" s="28"/>
      <c r="J9273" s="125">
        <v>0</v>
      </c>
    </row>
    <row r="9274" spans="1:10" s="169" customFormat="1" hidden="1" x14ac:dyDescent="0.25">
      <c r="A9274" s="235"/>
      <c r="B9274" s="238"/>
      <c r="C9274" s="155" t="s">
        <v>237</v>
      </c>
      <c r="D9274" s="155" t="s">
        <v>205</v>
      </c>
      <c r="E9274" s="156">
        <v>2.4E-2</v>
      </c>
      <c r="F9274" s="28">
        <v>17.166499999999999</v>
      </c>
      <c r="G9274" s="28">
        <f>IF(ISNUMBER(F9274),E9274*F9274,"")</f>
        <v>0.41199599999999997</v>
      </c>
      <c r="H9274" s="35">
        <f>SUM(G9274:G9277)</f>
        <v>15.216062600000001</v>
      </c>
      <c r="I9274" s="36"/>
      <c r="J9274" s="125">
        <v>0</v>
      </c>
    </row>
    <row r="9275" spans="1:10" s="169" customFormat="1" ht="25.5" hidden="1" x14ac:dyDescent="0.25">
      <c r="A9275" s="235"/>
      <c r="B9275" s="238"/>
      <c r="C9275" s="155" t="s">
        <v>29518</v>
      </c>
      <c r="D9275" s="155" t="s">
        <v>205</v>
      </c>
      <c r="E9275" s="156">
        <v>1</v>
      </c>
      <c r="F9275" s="28" t="s">
        <v>418</v>
      </c>
      <c r="G9275" s="28" t="str">
        <f>IF(ISNUMBER(F9275),E9275*F9275,"")</f>
        <v/>
      </c>
      <c r="H9275" s="32"/>
      <c r="I9275" s="28"/>
      <c r="J9275" s="125">
        <v>0</v>
      </c>
    </row>
    <row r="9276" spans="1:10" s="169" customFormat="1" ht="25.5" hidden="1" x14ac:dyDescent="0.25">
      <c r="A9276" s="235"/>
      <c r="B9276" s="238"/>
      <c r="C9276" s="155" t="s">
        <v>824</v>
      </c>
      <c r="D9276" s="155" t="s">
        <v>587</v>
      </c>
      <c r="E9276" s="156">
        <v>0.33979999999999999</v>
      </c>
      <c r="F9276" s="31">
        <v>18.6295</v>
      </c>
      <c r="G9276" s="28">
        <f>IF(ISNUMBER(F9276),E9276*F9276,"")</f>
        <v>6.3303041000000002</v>
      </c>
      <c r="H9276" s="32"/>
      <c r="I9276" s="28"/>
      <c r="J9276" s="125">
        <v>0</v>
      </c>
    </row>
    <row r="9277" spans="1:10" s="169" customFormat="1" ht="25.5" hidden="1" x14ac:dyDescent="0.25">
      <c r="A9277" s="235"/>
      <c r="B9277" s="238"/>
      <c r="C9277" s="155" t="s">
        <v>825</v>
      </c>
      <c r="D9277" s="155" t="s">
        <v>587</v>
      </c>
      <c r="E9277" s="156">
        <v>0.33979999999999999</v>
      </c>
      <c r="F9277" s="31">
        <v>24.9375</v>
      </c>
      <c r="G9277" s="28">
        <f>IF(ISNUMBER(F9277),E9277*F9277,"")</f>
        <v>8.4737624999999994</v>
      </c>
      <c r="H9277" s="32"/>
      <c r="I9277" s="28"/>
      <c r="J9277" s="125">
        <v>0</v>
      </c>
    </row>
    <row r="9278" spans="1:10" s="169" customFormat="1" ht="15.75" hidden="1" thickBot="1" x14ac:dyDescent="0.3">
      <c r="A9278" s="236"/>
      <c r="B9278" s="239"/>
      <c r="C9278" s="155"/>
      <c r="D9278" s="155"/>
      <c r="E9278" s="156"/>
      <c r="F9278" s="28" t="s">
        <v>418</v>
      </c>
      <c r="G9278" s="28" t="str">
        <f>IF(ISNUMBER(F9278),E9278*F9278,"")</f>
        <v/>
      </c>
      <c r="H9278" s="32"/>
      <c r="I9278" s="28"/>
      <c r="J9278" s="125">
        <v>0</v>
      </c>
    </row>
    <row r="9279" spans="1:10" s="169" customFormat="1" ht="15.75" hidden="1" thickBot="1" x14ac:dyDescent="0.3">
      <c r="A9279" s="234" t="s">
        <v>20882</v>
      </c>
      <c r="B9279" s="237" t="s">
        <v>29492</v>
      </c>
      <c r="C9279" s="160"/>
      <c r="D9279" s="145" t="s">
        <v>16</v>
      </c>
      <c r="E9279" s="146"/>
      <c r="F9279" s="37" t="s">
        <v>418</v>
      </c>
      <c r="G9279" s="147" t="str">
        <f>IF(ISNUMBER(F9279),E9279*F9279,"")</f>
        <v/>
      </c>
      <c r="H9279" s="148"/>
      <c r="I9279" s="149"/>
      <c r="J9279" s="125">
        <v>0</v>
      </c>
    </row>
    <row r="9280" spans="1:10" s="169" customFormat="1" hidden="1" x14ac:dyDescent="0.25">
      <c r="A9280" s="235"/>
      <c r="B9280" s="238"/>
      <c r="C9280" s="151"/>
      <c r="D9280" s="151"/>
      <c r="E9280" s="152"/>
      <c r="F9280" s="38" t="s">
        <v>418</v>
      </c>
      <c r="G9280" s="28" t="str">
        <f>IF(ISNUMBER(F9280),E9280*F9280,"")</f>
        <v/>
      </c>
      <c r="H9280" s="32"/>
      <c r="I9280" s="28"/>
      <c r="J9280" s="125">
        <v>0</v>
      </c>
    </row>
    <row r="9281" spans="1:10" s="169" customFormat="1" hidden="1" x14ac:dyDescent="0.25">
      <c r="A9281" s="235"/>
      <c r="B9281" s="238"/>
      <c r="C9281" s="155" t="s">
        <v>237</v>
      </c>
      <c r="D9281" s="155" t="s">
        <v>205</v>
      </c>
      <c r="E9281" s="156">
        <v>2.4E-2</v>
      </c>
      <c r="F9281" s="28">
        <v>17.166499999999999</v>
      </c>
      <c r="G9281" s="28">
        <f>IF(ISNUMBER(F9281),E9281*F9281,"")</f>
        <v>0.41199599999999997</v>
      </c>
      <c r="H9281" s="35">
        <f>SUM(G9281:G9284)</f>
        <v>15.216062600000001</v>
      </c>
      <c r="I9281" s="36"/>
      <c r="J9281" s="125">
        <v>0</v>
      </c>
    </row>
    <row r="9282" spans="1:10" s="169" customFormat="1" hidden="1" x14ac:dyDescent="0.25">
      <c r="A9282" s="235"/>
      <c r="B9282" s="238"/>
      <c r="C9282" s="155" t="s">
        <v>29519</v>
      </c>
      <c r="D9282" s="155" t="s">
        <v>205</v>
      </c>
      <c r="E9282" s="156">
        <v>1</v>
      </c>
      <c r="F9282" s="28" t="s">
        <v>418</v>
      </c>
      <c r="G9282" s="28" t="str">
        <f>IF(ISNUMBER(F9282),E9282*F9282,"")</f>
        <v/>
      </c>
      <c r="H9282" s="32"/>
      <c r="I9282" s="28"/>
      <c r="J9282" s="125">
        <v>0</v>
      </c>
    </row>
    <row r="9283" spans="1:10" s="169" customFormat="1" ht="25.5" hidden="1" x14ac:dyDescent="0.25">
      <c r="A9283" s="235"/>
      <c r="B9283" s="238"/>
      <c r="C9283" s="155" t="s">
        <v>824</v>
      </c>
      <c r="D9283" s="155" t="s">
        <v>587</v>
      </c>
      <c r="E9283" s="156">
        <v>0.33979999999999999</v>
      </c>
      <c r="F9283" s="31">
        <v>18.6295</v>
      </c>
      <c r="G9283" s="28">
        <f>IF(ISNUMBER(F9283),E9283*F9283,"")</f>
        <v>6.3303041000000002</v>
      </c>
      <c r="H9283" s="32"/>
      <c r="I9283" s="28"/>
      <c r="J9283" s="125">
        <v>0</v>
      </c>
    </row>
    <row r="9284" spans="1:10" s="169" customFormat="1" ht="25.5" hidden="1" x14ac:dyDescent="0.25">
      <c r="A9284" s="235"/>
      <c r="B9284" s="238"/>
      <c r="C9284" s="155" t="s">
        <v>825</v>
      </c>
      <c r="D9284" s="155" t="s">
        <v>587</v>
      </c>
      <c r="E9284" s="156">
        <v>0.33979999999999999</v>
      </c>
      <c r="F9284" s="31">
        <v>24.9375</v>
      </c>
      <c r="G9284" s="28">
        <f>IF(ISNUMBER(F9284),E9284*F9284,"")</f>
        <v>8.4737624999999994</v>
      </c>
      <c r="H9284" s="32"/>
      <c r="I9284" s="28"/>
      <c r="J9284" s="125">
        <v>0</v>
      </c>
    </row>
    <row r="9285" spans="1:10" s="169" customFormat="1" ht="15.75" hidden="1" thickBot="1" x14ac:dyDescent="0.3">
      <c r="A9285" s="236"/>
      <c r="B9285" s="239"/>
      <c r="C9285" s="155"/>
      <c r="D9285" s="155"/>
      <c r="E9285" s="156"/>
      <c r="F9285" s="28" t="s">
        <v>418</v>
      </c>
      <c r="G9285" s="28" t="str">
        <f>IF(ISNUMBER(F9285),E9285*F9285,"")</f>
        <v/>
      </c>
      <c r="H9285" s="32"/>
      <c r="I9285" s="28"/>
      <c r="J9285" s="125">
        <v>0</v>
      </c>
    </row>
    <row r="9286" spans="1:10" s="169" customFormat="1" ht="15.75" hidden="1" thickBot="1" x14ac:dyDescent="0.3">
      <c r="A9286" s="241" t="s">
        <v>20883</v>
      </c>
      <c r="B9286" s="244" t="s">
        <v>29493</v>
      </c>
      <c r="C9286" s="160"/>
      <c r="D9286" s="145" t="s">
        <v>16</v>
      </c>
      <c r="E9286" s="146"/>
      <c r="F9286" s="37" t="s">
        <v>418</v>
      </c>
      <c r="G9286" s="147" t="str">
        <f>IF(ISNUMBER(F9286),E9286*F9286,"")</f>
        <v/>
      </c>
      <c r="H9286" s="148"/>
      <c r="I9286" s="149"/>
      <c r="J9286" s="125">
        <v>0</v>
      </c>
    </row>
    <row r="9287" spans="1:10" s="169" customFormat="1" hidden="1" x14ac:dyDescent="0.25">
      <c r="A9287" s="247"/>
      <c r="B9287" s="245"/>
      <c r="C9287" s="151"/>
      <c r="D9287" s="151"/>
      <c r="E9287" s="152"/>
      <c r="F9287" s="38" t="s">
        <v>418</v>
      </c>
      <c r="G9287" s="31" t="str">
        <f>IF(ISNUMBER(F9287),E9287*F9287,"")</f>
        <v/>
      </c>
      <c r="H9287" s="32"/>
      <c r="I9287" s="28"/>
      <c r="J9287" s="125">
        <v>0</v>
      </c>
    </row>
    <row r="9288" spans="1:10" s="169" customFormat="1" ht="25.5" hidden="1" x14ac:dyDescent="0.25">
      <c r="A9288" s="247"/>
      <c r="B9288" s="245"/>
      <c r="C9288" s="155" t="s">
        <v>26611</v>
      </c>
      <c r="D9288" s="155" t="s">
        <v>205</v>
      </c>
      <c r="E9288" s="130">
        <v>1</v>
      </c>
      <c r="F9288" s="28">
        <v>42.540999999999997</v>
      </c>
      <c r="G9288" s="31">
        <f>IF(ISNUMBER(F9288),E9288*F9288,"")</f>
        <v>42.540999999999997</v>
      </c>
      <c r="H9288" s="35">
        <f t="shared" ref="H9288" si="114">SUM(G9288:G9288)</f>
        <v>42.540999999999997</v>
      </c>
      <c r="I9288" s="36"/>
      <c r="J9288" s="125">
        <v>0</v>
      </c>
    </row>
    <row r="9289" spans="1:10" s="169" customFormat="1" hidden="1" x14ac:dyDescent="0.25">
      <c r="A9289" s="247"/>
      <c r="B9289" s="245"/>
      <c r="C9289" s="155"/>
      <c r="D9289" s="129"/>
      <c r="E9289" s="130"/>
      <c r="F9289" s="28"/>
      <c r="G9289" s="31"/>
      <c r="H9289" s="32"/>
      <c r="I9289" s="36"/>
      <c r="J9289" s="125">
        <v>0</v>
      </c>
    </row>
    <row r="9290" spans="1:10" s="169" customFormat="1" ht="15.75" hidden="1" thickBot="1" x14ac:dyDescent="0.3">
      <c r="A9290" s="241" t="s">
        <v>20884</v>
      </c>
      <c r="B9290" s="244" t="s">
        <v>29494</v>
      </c>
      <c r="C9290" s="160"/>
      <c r="D9290" s="145" t="s">
        <v>16</v>
      </c>
      <c r="E9290" s="146"/>
      <c r="F9290" s="37" t="s">
        <v>418</v>
      </c>
      <c r="G9290" s="147" t="str">
        <f>IF(ISNUMBER(F9290),E9290*F9290,"")</f>
        <v/>
      </c>
      <c r="H9290" s="148"/>
      <c r="I9290" s="149"/>
      <c r="J9290" s="125">
        <v>0</v>
      </c>
    </row>
    <row r="9291" spans="1:10" s="169" customFormat="1" hidden="1" x14ac:dyDescent="0.25">
      <c r="A9291" s="247"/>
      <c r="B9291" s="245"/>
      <c r="C9291" s="151"/>
      <c r="D9291" s="151"/>
      <c r="E9291" s="152"/>
      <c r="F9291" s="38" t="s">
        <v>418</v>
      </c>
      <c r="G9291" s="31" t="str">
        <f>IF(ISNUMBER(F9291),E9291*F9291,"")</f>
        <v/>
      </c>
      <c r="H9291" s="32"/>
      <c r="I9291" s="28"/>
      <c r="J9291" s="125">
        <v>0</v>
      </c>
    </row>
    <row r="9292" spans="1:10" s="169" customFormat="1" ht="25.5" hidden="1" x14ac:dyDescent="0.25">
      <c r="A9292" s="247"/>
      <c r="B9292" s="245"/>
      <c r="C9292" s="155" t="s">
        <v>26610</v>
      </c>
      <c r="D9292" s="155" t="s">
        <v>205</v>
      </c>
      <c r="E9292" s="130">
        <v>1</v>
      </c>
      <c r="F9292" s="28">
        <v>70.394999999999996</v>
      </c>
      <c r="G9292" s="31">
        <f>IF(ISNUMBER(F9292),E9292*F9292,"")</f>
        <v>70.394999999999996</v>
      </c>
      <c r="H9292" s="35">
        <f t="shared" ref="H9292" si="115">SUM(G9292:G9292)</f>
        <v>70.394999999999996</v>
      </c>
      <c r="I9292" s="36"/>
      <c r="J9292" s="125">
        <v>0</v>
      </c>
    </row>
    <row r="9293" spans="1:10" s="169" customFormat="1" hidden="1" x14ac:dyDescent="0.25">
      <c r="A9293" s="247"/>
      <c r="B9293" s="245"/>
      <c r="C9293" s="155"/>
      <c r="D9293" s="129"/>
      <c r="E9293" s="130"/>
      <c r="F9293" s="28"/>
      <c r="G9293" s="31"/>
      <c r="H9293" s="32"/>
      <c r="I9293" s="36"/>
      <c r="J9293" s="125">
        <v>0</v>
      </c>
    </row>
    <row r="9294" spans="1:10" s="169" customFormat="1" ht="15.75" hidden="1" thickBot="1" x14ac:dyDescent="0.3">
      <c r="A9294" s="234" t="s">
        <v>20885</v>
      </c>
      <c r="B9294" s="237" t="s">
        <v>29495</v>
      </c>
      <c r="C9294" s="160"/>
      <c r="D9294" s="145" t="s">
        <v>70</v>
      </c>
      <c r="E9294" s="146"/>
      <c r="F9294" s="37" t="s">
        <v>418</v>
      </c>
      <c r="G9294" s="147" t="str">
        <f>IF(ISNUMBER(F9294),E9294*F9294,"")</f>
        <v/>
      </c>
      <c r="H9294" s="148"/>
      <c r="I9294" s="149"/>
      <c r="J9294" s="125">
        <v>0</v>
      </c>
    </row>
    <row r="9295" spans="1:10" s="169" customFormat="1" hidden="1" x14ac:dyDescent="0.25">
      <c r="A9295" s="235"/>
      <c r="B9295" s="238"/>
      <c r="C9295" s="151"/>
      <c r="D9295" s="151"/>
      <c r="E9295" s="152"/>
      <c r="F9295" s="38" t="s">
        <v>418</v>
      </c>
      <c r="G9295" s="28" t="str">
        <f>IF(ISNUMBER(F9295),E9295*F9295,"")</f>
        <v/>
      </c>
      <c r="H9295" s="32"/>
      <c r="I9295" s="28"/>
      <c r="J9295" s="125">
        <v>0</v>
      </c>
    </row>
    <row r="9296" spans="1:10" s="169" customFormat="1" ht="38.25" hidden="1" x14ac:dyDescent="0.25">
      <c r="A9296" s="235"/>
      <c r="B9296" s="238"/>
      <c r="C9296" s="155" t="s">
        <v>18455</v>
      </c>
      <c r="D9296" s="155" t="s">
        <v>870</v>
      </c>
      <c r="E9296" s="156">
        <v>0.23880000000000001</v>
      </c>
      <c r="F9296" s="31">
        <v>9.4365751499999995</v>
      </c>
      <c r="G9296" s="31">
        <f>IF(ISNUMBER(F9296),E9296*F9296,"")</f>
        <v>2.2534541458200001</v>
      </c>
      <c r="H9296" s="35">
        <f>SUM(G9296:G9303)</f>
        <v>43.628920740915795</v>
      </c>
      <c r="I9296" s="36"/>
      <c r="J9296" s="125">
        <v>0</v>
      </c>
    </row>
    <row r="9297" spans="1:10" s="169" customFormat="1" ht="38.25" hidden="1" x14ac:dyDescent="0.25">
      <c r="A9297" s="235"/>
      <c r="B9297" s="238"/>
      <c r="C9297" s="155" t="s">
        <v>18463</v>
      </c>
      <c r="D9297" s="155" t="s">
        <v>870</v>
      </c>
      <c r="E9297" s="156">
        <v>0.47760000000000002</v>
      </c>
      <c r="F9297" s="31">
        <v>9.2992992000000001</v>
      </c>
      <c r="G9297" s="31">
        <f>IF(ISNUMBER(F9297),E9297*F9297,"")</f>
        <v>4.4413452979199999</v>
      </c>
      <c r="H9297" s="32"/>
      <c r="I9297" s="28"/>
      <c r="J9297" s="125">
        <v>0</v>
      </c>
    </row>
    <row r="9298" spans="1:10" s="169" customFormat="1" ht="51" hidden="1" x14ac:dyDescent="0.25">
      <c r="A9298" s="235"/>
      <c r="B9298" s="238"/>
      <c r="C9298" s="155" t="s">
        <v>19347</v>
      </c>
      <c r="D9298" s="155" t="s">
        <v>774</v>
      </c>
      <c r="E9298" s="156">
        <v>0.68610000000000004</v>
      </c>
      <c r="F9298" s="31">
        <v>17.820720795929997</v>
      </c>
      <c r="G9298" s="31">
        <f>IF(ISNUMBER(F9298),E9298*F9298,"")</f>
        <v>12.226796538087571</v>
      </c>
      <c r="H9298" s="32"/>
      <c r="I9298" s="28"/>
      <c r="J9298" s="125">
        <v>0</v>
      </c>
    </row>
    <row r="9299" spans="1:10" s="169" customFormat="1" ht="51" hidden="1" x14ac:dyDescent="0.25">
      <c r="A9299" s="235"/>
      <c r="B9299" s="238"/>
      <c r="C9299" s="155" t="s">
        <v>18633</v>
      </c>
      <c r="D9299" s="155" t="s">
        <v>774</v>
      </c>
      <c r="E9299" s="156">
        <v>0.37240000000000001</v>
      </c>
      <c r="F9299" s="31">
        <v>17.741272240545001</v>
      </c>
      <c r="G9299" s="31">
        <f>IF(ISNUMBER(F9299),E9299*F9299,"")</f>
        <v>6.6068497823789585</v>
      </c>
      <c r="H9299" s="32"/>
      <c r="I9299" s="28"/>
      <c r="J9299" s="125">
        <v>0</v>
      </c>
    </row>
    <row r="9300" spans="1:10" s="169" customFormat="1" ht="63.75" hidden="1" x14ac:dyDescent="0.25">
      <c r="A9300" s="235"/>
      <c r="B9300" s="238"/>
      <c r="C9300" s="155" t="s">
        <v>19350</v>
      </c>
      <c r="D9300" s="155" t="s">
        <v>774</v>
      </c>
      <c r="E9300" s="156">
        <v>0.18959999999999999</v>
      </c>
      <c r="F9300" s="31">
        <v>22.410086902475001</v>
      </c>
      <c r="G9300" s="31">
        <f>IF(ISNUMBER(F9300),E9300*F9300,"")</f>
        <v>4.2489524767092597</v>
      </c>
      <c r="H9300" s="32"/>
      <c r="I9300" s="28"/>
      <c r="J9300" s="125">
        <v>0</v>
      </c>
    </row>
    <row r="9301" spans="1:10" s="169" customFormat="1" ht="25.5" hidden="1" x14ac:dyDescent="0.25">
      <c r="A9301" s="235"/>
      <c r="B9301" s="238"/>
      <c r="C9301" s="155" t="s">
        <v>29524</v>
      </c>
      <c r="D9301" s="155" t="s">
        <v>774</v>
      </c>
      <c r="E9301" s="156">
        <v>8</v>
      </c>
      <c r="F9301" s="31" t="s">
        <v>418</v>
      </c>
      <c r="G9301" s="31" t="str">
        <f>IF(ISNUMBER(F9301),E9301*F9301,"")</f>
        <v/>
      </c>
      <c r="H9301" s="32"/>
      <c r="I9301" s="28"/>
      <c r="J9301" s="125">
        <v>0</v>
      </c>
    </row>
    <row r="9302" spans="1:10" s="169" customFormat="1" hidden="1" x14ac:dyDescent="0.25">
      <c r="A9302" s="235"/>
      <c r="B9302" s="238"/>
      <c r="C9302" s="155" t="s">
        <v>1170</v>
      </c>
      <c r="D9302" s="155" t="s">
        <v>587</v>
      </c>
      <c r="E9302" s="156">
        <v>0.51500000000000001</v>
      </c>
      <c r="F9302" s="31">
        <v>25.051500000000001</v>
      </c>
      <c r="G9302" s="31">
        <f>IF(ISNUMBER(F9302),E9302*F9302,"")</f>
        <v>12.9015225</v>
      </c>
      <c r="H9302" s="32"/>
      <c r="I9302" s="28"/>
      <c r="J9302" s="125">
        <v>0</v>
      </c>
    </row>
    <row r="9303" spans="1:10" s="169" customFormat="1" ht="25.5" hidden="1" x14ac:dyDescent="0.25">
      <c r="A9303" s="235"/>
      <c r="B9303" s="238"/>
      <c r="C9303" s="155" t="s">
        <v>29525</v>
      </c>
      <c r="D9303" s="155" t="s">
        <v>870</v>
      </c>
      <c r="E9303" s="156">
        <v>1</v>
      </c>
      <c r="F9303" s="31">
        <v>0.95</v>
      </c>
      <c r="G9303" s="31">
        <f>IF(ISNUMBER(F9303),E9303*F9303,"")</f>
        <v>0.95</v>
      </c>
      <c r="H9303" s="32"/>
      <c r="I9303" s="28"/>
      <c r="J9303" s="125">
        <v>0</v>
      </c>
    </row>
    <row r="9304" spans="1:10" s="169" customFormat="1" ht="15.75" hidden="1" thickBot="1" x14ac:dyDescent="0.3">
      <c r="A9304" s="236"/>
      <c r="B9304" s="239"/>
      <c r="C9304" s="155"/>
      <c r="D9304" s="155"/>
      <c r="E9304" s="156"/>
      <c r="F9304" s="28" t="s">
        <v>418</v>
      </c>
      <c r="G9304" s="28" t="str">
        <f>IF(ISNUMBER(F9304),E9304*F9304,"")</f>
        <v/>
      </c>
      <c r="H9304" s="32"/>
      <c r="I9304" s="28"/>
      <c r="J9304" s="125">
        <v>0</v>
      </c>
    </row>
    <row r="9305" spans="1:10" s="169" customFormat="1" ht="15.75" hidden="1" thickBot="1" x14ac:dyDescent="0.3">
      <c r="A9305" s="234" t="s">
        <v>20886</v>
      </c>
      <c r="B9305" s="237" t="s">
        <v>29496</v>
      </c>
      <c r="C9305" s="160"/>
      <c r="D9305" s="145" t="s">
        <v>70</v>
      </c>
      <c r="E9305" s="146"/>
      <c r="F9305" s="37" t="s">
        <v>418</v>
      </c>
      <c r="G9305" s="147" t="str">
        <f>IF(ISNUMBER(F9305),E9305*F9305,"")</f>
        <v/>
      </c>
      <c r="H9305" s="148"/>
      <c r="I9305" s="149"/>
      <c r="J9305" s="125">
        <v>0</v>
      </c>
    </row>
    <row r="9306" spans="1:10" s="169" customFormat="1" hidden="1" x14ac:dyDescent="0.25">
      <c r="A9306" s="235"/>
      <c r="B9306" s="238"/>
      <c r="C9306" s="151"/>
      <c r="D9306" s="151"/>
      <c r="E9306" s="152"/>
      <c r="F9306" s="38" t="s">
        <v>418</v>
      </c>
      <c r="G9306" s="28" t="str">
        <f>IF(ISNUMBER(F9306),E9306*F9306,"")</f>
        <v/>
      </c>
      <c r="H9306" s="32"/>
      <c r="I9306" s="28"/>
      <c r="J9306" s="125">
        <v>0</v>
      </c>
    </row>
    <row r="9307" spans="1:10" s="169" customFormat="1" ht="38.25" hidden="1" x14ac:dyDescent="0.25">
      <c r="A9307" s="235"/>
      <c r="B9307" s="238"/>
      <c r="C9307" s="155" t="s">
        <v>18455</v>
      </c>
      <c r="D9307" s="155" t="s">
        <v>870</v>
      </c>
      <c r="E9307" s="156">
        <v>0.23880000000000001</v>
      </c>
      <c r="F9307" s="31">
        <v>9.4365751499999995</v>
      </c>
      <c r="G9307" s="31">
        <f>IF(ISNUMBER(F9307),E9307*F9307,"")</f>
        <v>2.2534541458200001</v>
      </c>
      <c r="H9307" s="35">
        <f>SUM(G9307:G9313)</f>
        <v>139.31861833523078</v>
      </c>
      <c r="I9307" s="36"/>
      <c r="J9307" s="125">
        <v>0</v>
      </c>
    </row>
    <row r="9308" spans="1:10" s="169" customFormat="1" ht="38.25" hidden="1" x14ac:dyDescent="0.25">
      <c r="A9308" s="235"/>
      <c r="B9308" s="238"/>
      <c r="C9308" s="155" t="s">
        <v>18463</v>
      </c>
      <c r="D9308" s="155" t="s">
        <v>870</v>
      </c>
      <c r="E9308" s="156">
        <v>0.47760000000000002</v>
      </c>
      <c r="F9308" s="31">
        <v>9.2992992000000001</v>
      </c>
      <c r="G9308" s="31">
        <f>IF(ISNUMBER(F9308),E9308*F9308,"")</f>
        <v>4.4413452979199999</v>
      </c>
      <c r="H9308" s="32"/>
      <c r="I9308" s="28"/>
      <c r="J9308" s="125">
        <v>0</v>
      </c>
    </row>
    <row r="9309" spans="1:10" s="169" customFormat="1" ht="51" hidden="1" x14ac:dyDescent="0.25">
      <c r="A9309" s="235"/>
      <c r="B9309" s="238"/>
      <c r="C9309" s="155" t="s">
        <v>19347</v>
      </c>
      <c r="D9309" s="155" t="s">
        <v>774</v>
      </c>
      <c r="E9309" s="156">
        <v>0.68610000000000004</v>
      </c>
      <c r="F9309" s="31">
        <v>17.820720795929997</v>
      </c>
      <c r="G9309" s="31">
        <f>IF(ISNUMBER(F9309),E9309*F9309,"")</f>
        <v>12.226796538087571</v>
      </c>
      <c r="H9309" s="32"/>
      <c r="I9309" s="28"/>
      <c r="J9309" s="125">
        <v>0</v>
      </c>
    </row>
    <row r="9310" spans="1:10" s="169" customFormat="1" ht="51" hidden="1" x14ac:dyDescent="0.25">
      <c r="A9310" s="235"/>
      <c r="B9310" s="238"/>
      <c r="C9310" s="155" t="s">
        <v>18633</v>
      </c>
      <c r="D9310" s="155" t="s">
        <v>774</v>
      </c>
      <c r="E9310" s="156">
        <v>0.37240000000000001</v>
      </c>
      <c r="F9310" s="31">
        <v>17.741272240545001</v>
      </c>
      <c r="G9310" s="31">
        <f>IF(ISNUMBER(F9310),E9310*F9310,"")</f>
        <v>6.6068497823789585</v>
      </c>
      <c r="H9310" s="32"/>
      <c r="I9310" s="28"/>
      <c r="J9310" s="125">
        <v>0</v>
      </c>
    </row>
    <row r="9311" spans="1:10" s="169" customFormat="1" ht="63.75" hidden="1" x14ac:dyDescent="0.25">
      <c r="A9311" s="235"/>
      <c r="B9311" s="238"/>
      <c r="C9311" s="155" t="s">
        <v>19350</v>
      </c>
      <c r="D9311" s="155" t="s">
        <v>774</v>
      </c>
      <c r="E9311" s="156">
        <v>0.18959999999999999</v>
      </c>
      <c r="F9311" s="31">
        <v>22.410086902475001</v>
      </c>
      <c r="G9311" s="31">
        <f>IF(ISNUMBER(F9311),E9311*F9311,"")</f>
        <v>4.2489524767092597</v>
      </c>
      <c r="H9311" s="32"/>
      <c r="I9311" s="28"/>
      <c r="J9311" s="125">
        <v>0</v>
      </c>
    </row>
    <row r="9312" spans="1:10" s="169" customFormat="1" ht="51" hidden="1" x14ac:dyDescent="0.25">
      <c r="A9312" s="235"/>
      <c r="B9312" s="238"/>
      <c r="C9312" s="155" t="s">
        <v>4151</v>
      </c>
      <c r="D9312" s="155" t="s">
        <v>870</v>
      </c>
      <c r="E9312" s="156">
        <v>0.9073</v>
      </c>
      <c r="F9312" s="49">
        <v>58.179044049999987</v>
      </c>
      <c r="G9312" s="49">
        <f>IF(ISNUMBER(F9312),E9312*F9312,"")</f>
        <v>52.785846666564986</v>
      </c>
      <c r="H9312" s="32"/>
      <c r="I9312" s="36"/>
      <c r="J9312" s="125">
        <v>0</v>
      </c>
    </row>
    <row r="9313" spans="1:10" s="169" customFormat="1" ht="38.25" hidden="1" x14ac:dyDescent="0.25">
      <c r="A9313" s="235"/>
      <c r="B9313" s="238"/>
      <c r="C9313" s="155" t="s">
        <v>4193</v>
      </c>
      <c r="D9313" s="155" t="s">
        <v>385</v>
      </c>
      <c r="E9313" s="156">
        <v>0.34150000000000003</v>
      </c>
      <c r="F9313" s="49">
        <v>166.19435849999999</v>
      </c>
      <c r="G9313" s="49">
        <f>IF(ISNUMBER(F9313),E9313*F9313,"")</f>
        <v>56.755373427750001</v>
      </c>
      <c r="H9313" s="32"/>
      <c r="I9313" s="66"/>
      <c r="J9313" s="125">
        <v>0</v>
      </c>
    </row>
    <row r="9314" spans="1:10" s="169" customFormat="1" ht="15.75" hidden="1" thickBot="1" x14ac:dyDescent="0.3">
      <c r="A9314" s="236"/>
      <c r="B9314" s="239"/>
      <c r="C9314" s="155"/>
      <c r="D9314" s="155"/>
      <c r="E9314" s="156"/>
      <c r="F9314" s="28" t="s">
        <v>418</v>
      </c>
      <c r="G9314" s="28" t="str">
        <f>IF(ISNUMBER(F9314),E9314*F9314,"")</f>
        <v/>
      </c>
      <c r="H9314" s="32"/>
      <c r="I9314" s="28"/>
      <c r="J9314" s="125">
        <v>0</v>
      </c>
    </row>
    <row r="9315" spans="1:10" s="169" customFormat="1" ht="15.75" hidden="1" thickBot="1" x14ac:dyDescent="0.3">
      <c r="A9315" s="234" t="s">
        <v>20887</v>
      </c>
      <c r="B9315" s="237" t="s">
        <v>29497</v>
      </c>
      <c r="C9315" s="160"/>
      <c r="D9315" s="145" t="s">
        <v>70</v>
      </c>
      <c r="E9315" s="146"/>
      <c r="F9315" s="37" t="s">
        <v>418</v>
      </c>
      <c r="G9315" s="147" t="str">
        <f>IF(ISNUMBER(F9315),E9315*F9315,"")</f>
        <v/>
      </c>
      <c r="H9315" s="148"/>
      <c r="I9315" s="149"/>
      <c r="J9315" s="125">
        <v>0</v>
      </c>
    </row>
    <row r="9316" spans="1:10" s="169" customFormat="1" hidden="1" x14ac:dyDescent="0.25">
      <c r="A9316" s="235"/>
      <c r="B9316" s="238"/>
      <c r="C9316" s="151"/>
      <c r="D9316" s="151"/>
      <c r="E9316" s="152"/>
      <c r="F9316" s="38" t="s">
        <v>418</v>
      </c>
      <c r="G9316" s="28" t="str">
        <f>IF(ISNUMBER(F9316),E9316*F9316,"")</f>
        <v/>
      </c>
      <c r="H9316" s="32"/>
      <c r="I9316" s="28"/>
      <c r="J9316" s="125">
        <v>0</v>
      </c>
    </row>
    <row r="9317" spans="1:10" s="169" customFormat="1" hidden="1" x14ac:dyDescent="0.25">
      <c r="A9317" s="235"/>
      <c r="B9317" s="238"/>
      <c r="C9317" s="155" t="s">
        <v>23678</v>
      </c>
      <c r="D9317" s="155" t="s">
        <v>774</v>
      </c>
      <c r="E9317" s="156">
        <v>8.6199999999999992</v>
      </c>
      <c r="F9317" s="31">
        <v>3.4390000000000001</v>
      </c>
      <c r="G9317" s="31">
        <f>IF(ISNUMBER(F9317),E9317*F9317,"")</f>
        <v>29.644179999999999</v>
      </c>
      <c r="H9317" s="35">
        <f>SUM(G9317:G9321)</f>
        <v>72.277596000000003</v>
      </c>
      <c r="I9317" s="36"/>
      <c r="J9317" s="125">
        <v>0</v>
      </c>
    </row>
    <row r="9318" spans="1:10" s="169" customFormat="1" hidden="1" x14ac:dyDescent="0.25">
      <c r="A9318" s="235"/>
      <c r="B9318" s="238"/>
      <c r="C9318" s="155" t="s">
        <v>9784</v>
      </c>
      <c r="D9318" s="155" t="s">
        <v>587</v>
      </c>
      <c r="E9318" s="156">
        <v>1.1879999999999999</v>
      </c>
      <c r="F9318" s="28">
        <v>25.516999999999999</v>
      </c>
      <c r="G9318" s="31">
        <f>IF(ISNUMBER(F9318),E9318*F9318,"")</f>
        <v>30.314195999999999</v>
      </c>
      <c r="H9318" s="32"/>
      <c r="I9318" s="28"/>
      <c r="J9318" s="125">
        <v>0</v>
      </c>
    </row>
    <row r="9319" spans="1:10" s="169" customFormat="1" hidden="1" x14ac:dyDescent="0.25">
      <c r="A9319" s="235"/>
      <c r="B9319" s="238"/>
      <c r="C9319" s="155" t="s">
        <v>588</v>
      </c>
      <c r="D9319" s="155" t="s">
        <v>587</v>
      </c>
      <c r="E9319" s="156">
        <v>0.59399999999999997</v>
      </c>
      <c r="F9319" s="28">
        <v>19.189999999999998</v>
      </c>
      <c r="G9319" s="31">
        <f>IF(ISNUMBER(F9319),E9319*F9319,"")</f>
        <v>11.398859999999997</v>
      </c>
      <c r="H9319" s="32"/>
      <c r="I9319" s="28"/>
      <c r="J9319" s="125">
        <v>0</v>
      </c>
    </row>
    <row r="9320" spans="1:10" s="169" customFormat="1" hidden="1" x14ac:dyDescent="0.25">
      <c r="A9320" s="235"/>
      <c r="B9320" s="238"/>
      <c r="C9320" s="155" t="s">
        <v>27268</v>
      </c>
      <c r="D9320" s="155" t="s">
        <v>774</v>
      </c>
      <c r="E9320" s="156">
        <v>0.14000000000000001</v>
      </c>
      <c r="F9320" s="31">
        <v>6.5739999999999998</v>
      </c>
      <c r="G9320" s="31">
        <f>IF(ISNUMBER(F9320),E9320*F9320,"")</f>
        <v>0.92036000000000007</v>
      </c>
      <c r="H9320" s="32"/>
      <c r="I9320" s="28"/>
      <c r="J9320" s="125">
        <v>0</v>
      </c>
    </row>
    <row r="9321" spans="1:10" s="169" customFormat="1" ht="25.5" hidden="1" x14ac:dyDescent="0.25">
      <c r="A9321" s="235"/>
      <c r="B9321" s="238"/>
      <c r="C9321" s="155" t="s">
        <v>29521</v>
      </c>
      <c r="D9321" s="155" t="s">
        <v>70</v>
      </c>
      <c r="E9321" s="156">
        <v>1.1599999999999999</v>
      </c>
      <c r="F9321" s="31" t="s">
        <v>418</v>
      </c>
      <c r="G9321" s="49" t="str">
        <f>IF(ISNUMBER(F9321),E9321*F9321,"")</f>
        <v/>
      </c>
      <c r="H9321" s="32"/>
      <c r="I9321" s="28"/>
      <c r="J9321" s="125">
        <v>0</v>
      </c>
    </row>
    <row r="9322" spans="1:10" s="169" customFormat="1" ht="15.75" hidden="1" thickBot="1" x14ac:dyDescent="0.3">
      <c r="A9322" s="236"/>
      <c r="B9322" s="239"/>
      <c r="C9322" s="155"/>
      <c r="D9322" s="155"/>
      <c r="E9322" s="156"/>
      <c r="F9322" s="28" t="s">
        <v>418</v>
      </c>
      <c r="G9322" s="28" t="str">
        <f>IF(ISNUMBER(F9322),E9322*F9322,"")</f>
        <v/>
      </c>
      <c r="H9322" s="32"/>
      <c r="I9322" s="28"/>
      <c r="J9322" s="125">
        <v>0</v>
      </c>
    </row>
    <row r="9323" spans="1:10" s="169" customFormat="1" ht="15.75" hidden="1" thickBot="1" x14ac:dyDescent="0.3">
      <c r="A9323" s="234" t="s">
        <v>20888</v>
      </c>
      <c r="B9323" s="237" t="s">
        <v>29498</v>
      </c>
      <c r="C9323" s="160"/>
      <c r="D9323" s="145" t="s">
        <v>28</v>
      </c>
      <c r="E9323" s="146"/>
      <c r="F9323" s="37" t="s">
        <v>418</v>
      </c>
      <c r="G9323" s="147" t="str">
        <f>IF(ISNUMBER(F9323),E9323*F9323,"")</f>
        <v/>
      </c>
      <c r="H9323" s="148"/>
      <c r="I9323" s="149"/>
      <c r="J9323" s="125">
        <v>0</v>
      </c>
    </row>
    <row r="9324" spans="1:10" s="169" customFormat="1" hidden="1" x14ac:dyDescent="0.25">
      <c r="A9324" s="235"/>
      <c r="B9324" s="238"/>
      <c r="C9324" s="151"/>
      <c r="D9324" s="151"/>
      <c r="E9324" s="152"/>
      <c r="F9324" s="38" t="s">
        <v>418</v>
      </c>
      <c r="G9324" s="28" t="str">
        <f>IF(ISNUMBER(F9324),E9324*F9324,"")</f>
        <v/>
      </c>
      <c r="H9324" s="32"/>
      <c r="I9324" s="28"/>
      <c r="J9324" s="125">
        <v>0</v>
      </c>
    </row>
    <row r="9325" spans="1:10" s="169" customFormat="1" ht="38.25" hidden="1" x14ac:dyDescent="0.25">
      <c r="A9325" s="235"/>
      <c r="B9325" s="238"/>
      <c r="C9325" s="155" t="s">
        <v>18455</v>
      </c>
      <c r="D9325" s="155" t="s">
        <v>870</v>
      </c>
      <c r="E9325" s="156">
        <v>0.23880000000000001</v>
      </c>
      <c r="F9325" s="31">
        <v>9.4365751499999995</v>
      </c>
      <c r="G9325" s="31">
        <f>IF(ISNUMBER(F9325),E9325*F9325,"")</f>
        <v>2.2534541458200001</v>
      </c>
      <c r="H9325" s="35">
        <f>SUM(G9325:G9329)</f>
        <v>29.77739824091579</v>
      </c>
      <c r="I9325" s="36"/>
      <c r="J9325" s="125">
        <v>0</v>
      </c>
    </row>
    <row r="9326" spans="1:10" s="169" customFormat="1" ht="38.25" hidden="1" x14ac:dyDescent="0.25">
      <c r="A9326" s="235"/>
      <c r="B9326" s="238"/>
      <c r="C9326" s="155" t="s">
        <v>18463</v>
      </c>
      <c r="D9326" s="155" t="s">
        <v>870</v>
      </c>
      <c r="E9326" s="156">
        <v>0.47760000000000002</v>
      </c>
      <c r="F9326" s="31">
        <v>9.2992992000000001</v>
      </c>
      <c r="G9326" s="31">
        <f>IF(ISNUMBER(F9326),E9326*F9326,"")</f>
        <v>4.4413452979199999</v>
      </c>
      <c r="H9326" s="32"/>
      <c r="I9326" s="28"/>
      <c r="J9326" s="125">
        <v>0</v>
      </c>
    </row>
    <row r="9327" spans="1:10" s="169" customFormat="1" ht="51" hidden="1" x14ac:dyDescent="0.25">
      <c r="A9327" s="235"/>
      <c r="B9327" s="238"/>
      <c r="C9327" s="155" t="s">
        <v>19347</v>
      </c>
      <c r="D9327" s="155" t="s">
        <v>774</v>
      </c>
      <c r="E9327" s="156">
        <v>0.68610000000000004</v>
      </c>
      <c r="F9327" s="31">
        <v>17.820720795929997</v>
      </c>
      <c r="G9327" s="31">
        <f>IF(ISNUMBER(F9327),E9327*F9327,"")</f>
        <v>12.226796538087571</v>
      </c>
      <c r="H9327" s="32"/>
      <c r="I9327" s="28"/>
      <c r="J9327" s="125">
        <v>0</v>
      </c>
    </row>
    <row r="9328" spans="1:10" s="169" customFormat="1" ht="51" hidden="1" x14ac:dyDescent="0.25">
      <c r="A9328" s="235"/>
      <c r="B9328" s="238"/>
      <c r="C9328" s="155" t="s">
        <v>18633</v>
      </c>
      <c r="D9328" s="155" t="s">
        <v>774</v>
      </c>
      <c r="E9328" s="156">
        <v>0.37240000000000001</v>
      </c>
      <c r="F9328" s="31">
        <v>17.741272240545001</v>
      </c>
      <c r="G9328" s="31">
        <f>IF(ISNUMBER(F9328),E9328*F9328,"")</f>
        <v>6.6068497823789585</v>
      </c>
      <c r="H9328" s="32"/>
      <c r="I9328" s="28"/>
      <c r="J9328" s="125">
        <v>0</v>
      </c>
    </row>
    <row r="9329" spans="1:10" s="169" customFormat="1" ht="63.75" hidden="1" x14ac:dyDescent="0.25">
      <c r="A9329" s="235"/>
      <c r="B9329" s="238"/>
      <c r="C9329" s="155" t="s">
        <v>19350</v>
      </c>
      <c r="D9329" s="155" t="s">
        <v>774</v>
      </c>
      <c r="E9329" s="156">
        <v>0.18959999999999999</v>
      </c>
      <c r="F9329" s="31">
        <v>22.410086902475001</v>
      </c>
      <c r="G9329" s="31">
        <f>IF(ISNUMBER(F9329),E9329*F9329,"")</f>
        <v>4.2489524767092597</v>
      </c>
      <c r="H9329" s="32"/>
      <c r="I9329" s="28"/>
      <c r="J9329" s="125">
        <v>0</v>
      </c>
    </row>
    <row r="9330" spans="1:10" s="169" customFormat="1" ht="15.75" hidden="1" thickBot="1" x14ac:dyDescent="0.3">
      <c r="A9330" s="236"/>
      <c r="B9330" s="239"/>
      <c r="C9330" s="155"/>
      <c r="D9330" s="155"/>
      <c r="E9330" s="156"/>
      <c r="F9330" s="28" t="s">
        <v>418</v>
      </c>
      <c r="G9330" s="28" t="str">
        <f>IF(ISNUMBER(F9330),E9330*F9330,"")</f>
        <v/>
      </c>
      <c r="H9330" s="32"/>
      <c r="I9330" s="28"/>
      <c r="J9330" s="125">
        <v>0</v>
      </c>
    </row>
    <row r="9331" spans="1:10" s="169" customFormat="1" ht="15.75" hidden="1" thickBot="1" x14ac:dyDescent="0.3">
      <c r="A9331" s="234" t="s">
        <v>20889</v>
      </c>
      <c r="B9331" s="237" t="s">
        <v>29499</v>
      </c>
      <c r="C9331" s="160"/>
      <c r="D9331" s="145" t="s">
        <v>16</v>
      </c>
      <c r="E9331" s="146"/>
      <c r="F9331" s="37" t="s">
        <v>418</v>
      </c>
      <c r="G9331" s="147" t="str">
        <f>IF(ISNUMBER(F9331),E9331*F9331,"")</f>
        <v/>
      </c>
      <c r="H9331" s="148"/>
      <c r="I9331" s="149"/>
      <c r="J9331" s="125">
        <v>0</v>
      </c>
    </row>
    <row r="9332" spans="1:10" s="169" customFormat="1" hidden="1" x14ac:dyDescent="0.25">
      <c r="A9332" s="235"/>
      <c r="B9332" s="238"/>
      <c r="C9332" s="151"/>
      <c r="D9332" s="151"/>
      <c r="E9332" s="152"/>
      <c r="F9332" s="38" t="s">
        <v>418</v>
      </c>
      <c r="G9332" s="28" t="str">
        <f>IF(ISNUMBER(F9332),E9332*F9332,"")</f>
        <v/>
      </c>
      <c r="H9332" s="32"/>
      <c r="I9332" s="28"/>
      <c r="J9332" s="125">
        <v>0</v>
      </c>
    </row>
    <row r="9333" spans="1:10" s="169" customFormat="1" ht="38.25" hidden="1" x14ac:dyDescent="0.25">
      <c r="A9333" s="235"/>
      <c r="B9333" s="238"/>
      <c r="C9333" s="155" t="s">
        <v>23961</v>
      </c>
      <c r="D9333" s="155" t="s">
        <v>205</v>
      </c>
      <c r="E9333" s="156">
        <v>4</v>
      </c>
      <c r="F9333" s="28">
        <v>0.69350000000000001</v>
      </c>
      <c r="G9333" s="28">
        <f>IF(ISNUMBER(F9333),E9333*F9333,"")</f>
        <v>2.774</v>
      </c>
      <c r="H9333" s="35">
        <f>SUM(G9333:G9341)</f>
        <v>1631.469979</v>
      </c>
      <c r="I9333" s="36"/>
      <c r="J9333" s="125">
        <v>0</v>
      </c>
    </row>
    <row r="9334" spans="1:10" s="169" customFormat="1" ht="25.5" hidden="1" x14ac:dyDescent="0.25">
      <c r="A9334" s="235"/>
      <c r="B9334" s="238"/>
      <c r="C9334" s="155" t="s">
        <v>23440</v>
      </c>
      <c r="D9334" s="155" t="s">
        <v>205</v>
      </c>
      <c r="E9334" s="156">
        <v>1</v>
      </c>
      <c r="F9334" s="28">
        <v>50.938999999999993</v>
      </c>
      <c r="G9334" s="28">
        <f>IF(ISNUMBER(F9334),E9334*F9334,"")</f>
        <v>50.938999999999993</v>
      </c>
      <c r="H9334" s="32"/>
      <c r="I9334" s="28"/>
      <c r="J9334" s="125">
        <v>0</v>
      </c>
    </row>
    <row r="9335" spans="1:10" s="169" customFormat="1" ht="51" hidden="1" x14ac:dyDescent="0.25">
      <c r="A9335" s="235"/>
      <c r="B9335" s="238"/>
      <c r="C9335" s="155" t="s">
        <v>27260</v>
      </c>
      <c r="D9335" s="155" t="s">
        <v>205</v>
      </c>
      <c r="E9335" s="156">
        <v>1</v>
      </c>
      <c r="F9335" s="31">
        <v>148.58000000000001</v>
      </c>
      <c r="G9335" s="28">
        <f>IF(ISNUMBER(F9335),E9335*F9335,"")</f>
        <v>148.58000000000001</v>
      </c>
      <c r="H9335" s="32"/>
      <c r="I9335" s="28"/>
      <c r="J9335" s="125">
        <v>0</v>
      </c>
    </row>
    <row r="9336" spans="1:10" s="169" customFormat="1" ht="63.75" hidden="1" x14ac:dyDescent="0.25">
      <c r="A9336" s="235"/>
      <c r="B9336" s="238"/>
      <c r="C9336" s="155" t="s">
        <v>24250</v>
      </c>
      <c r="D9336" s="155" t="s">
        <v>205</v>
      </c>
      <c r="E9336" s="156">
        <v>1</v>
      </c>
      <c r="F9336" s="31">
        <v>361.02849999999995</v>
      </c>
      <c r="G9336" s="28">
        <f>IF(ISNUMBER(F9336),E9336*F9336,"")</f>
        <v>361.02849999999995</v>
      </c>
      <c r="H9336" s="32"/>
      <c r="I9336" s="28"/>
      <c r="J9336" s="125">
        <v>0</v>
      </c>
    </row>
    <row r="9337" spans="1:10" s="169" customFormat="1" ht="38.25" hidden="1" x14ac:dyDescent="0.25">
      <c r="A9337" s="235"/>
      <c r="B9337" s="238"/>
      <c r="C9337" s="155" t="s">
        <v>24527</v>
      </c>
      <c r="D9337" s="155" t="s">
        <v>205</v>
      </c>
      <c r="E9337" s="156">
        <v>1</v>
      </c>
      <c r="F9337" s="31">
        <v>14.1455</v>
      </c>
      <c r="G9337" s="28">
        <f>IF(ISNUMBER(F9337),E9337*F9337,"")</f>
        <v>14.1455</v>
      </c>
      <c r="H9337" s="32"/>
      <c r="I9337" s="28"/>
      <c r="J9337" s="125">
        <v>0</v>
      </c>
    </row>
    <row r="9338" spans="1:10" s="169" customFormat="1" ht="38.25" hidden="1" x14ac:dyDescent="0.25">
      <c r="A9338" s="235"/>
      <c r="B9338" s="238"/>
      <c r="C9338" s="155" t="s">
        <v>26375</v>
      </c>
      <c r="D9338" s="155" t="s">
        <v>205</v>
      </c>
      <c r="E9338" s="156">
        <v>1</v>
      </c>
      <c r="F9338" s="31">
        <v>747.20349999999996</v>
      </c>
      <c r="G9338" s="28">
        <f>IF(ISNUMBER(F9338),E9338*F9338,"")</f>
        <v>747.20349999999996</v>
      </c>
      <c r="H9338" s="32"/>
      <c r="I9338" s="28"/>
      <c r="J9338" s="125">
        <v>0</v>
      </c>
    </row>
    <row r="9339" spans="1:10" s="169" customFormat="1" ht="25.5" hidden="1" x14ac:dyDescent="0.25">
      <c r="A9339" s="235"/>
      <c r="B9339" s="238"/>
      <c r="C9339" s="155" t="s">
        <v>25359</v>
      </c>
      <c r="D9339" s="155" t="s">
        <v>205</v>
      </c>
      <c r="E9339" s="156">
        <v>1</v>
      </c>
      <c r="F9339" s="31">
        <v>174.48649999999998</v>
      </c>
      <c r="G9339" s="28">
        <f>IF(ISNUMBER(F9339),E9339*F9339,"")</f>
        <v>174.48649999999998</v>
      </c>
      <c r="H9339" s="32"/>
      <c r="I9339" s="28"/>
      <c r="J9339" s="125">
        <v>0</v>
      </c>
    </row>
    <row r="9340" spans="1:10" s="169" customFormat="1" ht="25.5" hidden="1" x14ac:dyDescent="0.25">
      <c r="A9340" s="235"/>
      <c r="B9340" s="238"/>
      <c r="C9340" s="155" t="s">
        <v>824</v>
      </c>
      <c r="D9340" s="155" t="s">
        <v>587</v>
      </c>
      <c r="E9340" s="156">
        <v>3.0369999999999999</v>
      </c>
      <c r="F9340" s="31">
        <v>18.6295</v>
      </c>
      <c r="G9340" s="28">
        <f>IF(ISNUMBER(F9340),E9340*F9340,"")</f>
        <v>56.577791499999996</v>
      </c>
      <c r="H9340" s="32"/>
      <c r="I9340" s="28"/>
      <c r="J9340" s="125">
        <v>0</v>
      </c>
    </row>
    <row r="9341" spans="1:10" s="169" customFormat="1" ht="25.5" hidden="1" x14ac:dyDescent="0.25">
      <c r="A9341" s="235"/>
      <c r="B9341" s="238"/>
      <c r="C9341" s="155" t="s">
        <v>825</v>
      </c>
      <c r="D9341" s="155" t="s">
        <v>587</v>
      </c>
      <c r="E9341" s="156">
        <v>3.0369999999999999</v>
      </c>
      <c r="F9341" s="31">
        <v>24.9375</v>
      </c>
      <c r="G9341" s="28">
        <f>IF(ISNUMBER(F9341),E9341*F9341,"")</f>
        <v>75.735187499999995</v>
      </c>
      <c r="H9341" s="32"/>
      <c r="I9341" s="28"/>
      <c r="J9341" s="125">
        <v>0</v>
      </c>
    </row>
    <row r="9342" spans="1:10" s="169" customFormat="1" ht="15.75" hidden="1" thickBot="1" x14ac:dyDescent="0.3">
      <c r="A9342" s="236"/>
      <c r="B9342" s="239"/>
      <c r="C9342" s="155"/>
      <c r="D9342" s="155"/>
      <c r="E9342" s="156"/>
      <c r="F9342" s="28" t="s">
        <v>418</v>
      </c>
      <c r="G9342" s="28" t="str">
        <f>IF(ISNUMBER(F9342),E9342*F9342,"")</f>
        <v/>
      </c>
      <c r="H9342" s="32"/>
      <c r="I9342" s="28"/>
      <c r="J9342" s="125">
        <v>0</v>
      </c>
    </row>
    <row r="9343" spans="1:10" s="169" customFormat="1" ht="15.75" hidden="1" thickBot="1" x14ac:dyDescent="0.3">
      <c r="A9343" s="234" t="s">
        <v>20890</v>
      </c>
      <c r="B9343" s="237" t="s">
        <v>29500</v>
      </c>
      <c r="C9343" s="160"/>
      <c r="D9343" s="145" t="s">
        <v>16</v>
      </c>
      <c r="E9343" s="146"/>
      <c r="F9343" s="37" t="s">
        <v>418</v>
      </c>
      <c r="G9343" s="147" t="str">
        <f>IF(ISNUMBER(F9343),E9343*F9343,"")</f>
        <v/>
      </c>
      <c r="H9343" s="148"/>
      <c r="I9343" s="149"/>
      <c r="J9343" s="125">
        <v>0</v>
      </c>
    </row>
    <row r="9344" spans="1:10" s="169" customFormat="1" hidden="1" x14ac:dyDescent="0.25">
      <c r="A9344" s="235"/>
      <c r="B9344" s="238"/>
      <c r="C9344" s="151"/>
      <c r="D9344" s="151"/>
      <c r="E9344" s="152"/>
      <c r="F9344" s="38" t="s">
        <v>418</v>
      </c>
      <c r="G9344" s="28" t="str">
        <f>IF(ISNUMBER(F9344),E9344*F9344,"")</f>
        <v/>
      </c>
      <c r="H9344" s="32"/>
      <c r="I9344" s="28"/>
      <c r="J9344" s="125">
        <v>0</v>
      </c>
    </row>
    <row r="9345" spans="1:10" s="169" customFormat="1" ht="25.5" hidden="1" x14ac:dyDescent="0.25">
      <c r="A9345" s="235"/>
      <c r="B9345" s="238"/>
      <c r="C9345" s="155" t="s">
        <v>825</v>
      </c>
      <c r="D9345" s="155" t="s">
        <v>587</v>
      </c>
      <c r="E9345" s="156">
        <v>1.1499999999999999</v>
      </c>
      <c r="F9345" s="28">
        <v>24.9375</v>
      </c>
      <c r="G9345" s="28">
        <f>IF(ISNUMBER(F9345),E9345*F9345,"")</f>
        <v>28.678124999999998</v>
      </c>
      <c r="H9345" s="35">
        <f>SUM(G9345:G9358)</f>
        <v>934.93251169999985</v>
      </c>
      <c r="I9345" s="36"/>
      <c r="J9345" s="125">
        <v>0</v>
      </c>
    </row>
    <row r="9346" spans="1:10" s="169" customFormat="1" hidden="1" x14ac:dyDescent="0.25">
      <c r="A9346" s="235"/>
      <c r="B9346" s="238"/>
      <c r="C9346" s="155" t="s">
        <v>595</v>
      </c>
      <c r="D9346" s="155" t="s">
        <v>587</v>
      </c>
      <c r="E9346" s="156">
        <v>3</v>
      </c>
      <c r="F9346" s="28">
        <v>25.65</v>
      </c>
      <c r="G9346" s="28">
        <f>IF(ISNUMBER(F9346),E9346*F9346,"")</f>
        <v>76.949999999999989</v>
      </c>
      <c r="H9346" s="32"/>
      <c r="I9346" s="28"/>
      <c r="J9346" s="125">
        <v>0</v>
      </c>
    </row>
    <row r="9347" spans="1:10" s="169" customFormat="1" hidden="1" x14ac:dyDescent="0.25">
      <c r="A9347" s="235"/>
      <c r="B9347" s="238"/>
      <c r="C9347" s="155" t="s">
        <v>588</v>
      </c>
      <c r="D9347" s="155" t="s">
        <v>587</v>
      </c>
      <c r="E9347" s="156">
        <v>5.2</v>
      </c>
      <c r="F9347" s="31">
        <v>19.189999999999998</v>
      </c>
      <c r="G9347" s="28">
        <f>IF(ISNUMBER(F9347),E9347*F9347,"")</f>
        <v>99.787999999999997</v>
      </c>
      <c r="H9347" s="32"/>
      <c r="I9347" s="28"/>
      <c r="J9347" s="125">
        <v>0</v>
      </c>
    </row>
    <row r="9348" spans="1:10" s="169" customFormat="1" ht="25.5" hidden="1" x14ac:dyDescent="0.25">
      <c r="A9348" s="235"/>
      <c r="B9348" s="238"/>
      <c r="C9348" s="155" t="s">
        <v>824</v>
      </c>
      <c r="D9348" s="155" t="s">
        <v>587</v>
      </c>
      <c r="E9348" s="156">
        <v>1.1499999999999999</v>
      </c>
      <c r="F9348" s="31">
        <v>18.6295</v>
      </c>
      <c r="G9348" s="28">
        <f>IF(ISNUMBER(F9348),E9348*F9348,"")</f>
        <v>21.423924999999997</v>
      </c>
      <c r="H9348" s="32"/>
      <c r="I9348" s="28"/>
      <c r="J9348" s="125">
        <v>0</v>
      </c>
    </row>
    <row r="9349" spans="1:10" s="169" customFormat="1" ht="25.5" hidden="1" x14ac:dyDescent="0.25">
      <c r="A9349" s="235"/>
      <c r="B9349" s="238"/>
      <c r="C9349" s="155" t="s">
        <v>23674</v>
      </c>
      <c r="D9349" s="155" t="s">
        <v>85</v>
      </c>
      <c r="E9349" s="156">
        <v>0.08</v>
      </c>
      <c r="F9349" s="31">
        <v>66.5</v>
      </c>
      <c r="G9349" s="28">
        <f>IF(ISNUMBER(F9349),E9349*F9349,"")</f>
        <v>5.32</v>
      </c>
      <c r="H9349" s="32"/>
      <c r="I9349" s="28"/>
      <c r="J9349" s="125">
        <v>0</v>
      </c>
    </row>
    <row r="9350" spans="1:10" s="169" customFormat="1" ht="25.5" hidden="1" x14ac:dyDescent="0.25">
      <c r="A9350" s="235"/>
      <c r="B9350" s="238"/>
      <c r="C9350" s="155" t="s">
        <v>26789</v>
      </c>
      <c r="D9350" s="155" t="s">
        <v>85</v>
      </c>
      <c r="E9350" s="156">
        <v>2.1100000000000001E-2</v>
      </c>
      <c r="F9350" s="31">
        <v>224.44699999999997</v>
      </c>
      <c r="G9350" s="28">
        <f>IF(ISNUMBER(F9350),E9350*F9350,"")</f>
        <v>4.7358316999999994</v>
      </c>
      <c r="H9350" s="32"/>
      <c r="I9350" s="28"/>
      <c r="J9350" s="125">
        <v>0</v>
      </c>
    </row>
    <row r="9351" spans="1:10" s="169" customFormat="1" hidden="1" x14ac:dyDescent="0.25">
      <c r="A9351" s="235"/>
      <c r="B9351" s="238"/>
      <c r="C9351" s="155" t="s">
        <v>24537</v>
      </c>
      <c r="D9351" s="155" t="s">
        <v>774</v>
      </c>
      <c r="E9351" s="156">
        <v>22.3</v>
      </c>
      <c r="F9351" s="31">
        <v>1.254</v>
      </c>
      <c r="G9351" s="28">
        <f>IF(ISNUMBER(F9351),E9351*F9351,"")</f>
        <v>27.964200000000002</v>
      </c>
      <c r="H9351" s="32"/>
      <c r="I9351" s="28"/>
      <c r="J9351" s="125">
        <v>0</v>
      </c>
    </row>
    <row r="9352" spans="1:10" s="169" customFormat="1" hidden="1" x14ac:dyDescent="0.25">
      <c r="A9352" s="235"/>
      <c r="B9352" s="238"/>
      <c r="C9352" s="155" t="s">
        <v>24313</v>
      </c>
      <c r="D9352" s="155" t="s">
        <v>774</v>
      </c>
      <c r="E9352" s="156">
        <v>4.91</v>
      </c>
      <c r="F9352" s="31">
        <v>1.6815</v>
      </c>
      <c r="G9352" s="28">
        <f>IF(ISNUMBER(F9352),E9352*F9352,"")</f>
        <v>8.2561650000000011</v>
      </c>
      <c r="H9352" s="32"/>
      <c r="I9352" s="28"/>
      <c r="J9352" s="125">
        <v>0</v>
      </c>
    </row>
    <row r="9353" spans="1:10" s="169" customFormat="1" hidden="1" x14ac:dyDescent="0.25">
      <c r="A9353" s="235"/>
      <c r="B9353" s="238"/>
      <c r="C9353" s="155" t="s">
        <v>10396</v>
      </c>
      <c r="D9353" s="155" t="s">
        <v>205</v>
      </c>
      <c r="E9353" s="156">
        <v>90</v>
      </c>
      <c r="F9353" s="31">
        <v>0.60799999999999998</v>
      </c>
      <c r="G9353" s="28">
        <f>IF(ISNUMBER(F9353),E9353*F9353,"")</f>
        <v>54.72</v>
      </c>
      <c r="H9353" s="32"/>
      <c r="I9353" s="28"/>
      <c r="J9353" s="125">
        <v>0</v>
      </c>
    </row>
    <row r="9354" spans="1:10" s="169" customFormat="1" ht="51" hidden="1" x14ac:dyDescent="0.25">
      <c r="A9354" s="235"/>
      <c r="B9354" s="238"/>
      <c r="C9354" s="155" t="s">
        <v>27260</v>
      </c>
      <c r="D9354" s="155" t="s">
        <v>205</v>
      </c>
      <c r="E9354" s="156">
        <v>1</v>
      </c>
      <c r="F9354" s="31">
        <v>148.58000000000001</v>
      </c>
      <c r="G9354" s="28">
        <f>IF(ISNUMBER(F9354),E9354*F9354,"")</f>
        <v>148.58000000000001</v>
      </c>
      <c r="H9354" s="32"/>
      <c r="I9354" s="28"/>
      <c r="J9354" s="125">
        <v>0</v>
      </c>
    </row>
    <row r="9355" spans="1:10" s="169" customFormat="1" hidden="1" x14ac:dyDescent="0.25">
      <c r="A9355" s="235"/>
      <c r="B9355" s="238"/>
      <c r="C9355" s="155" t="s">
        <v>237</v>
      </c>
      <c r="D9355" s="155" t="s">
        <v>205</v>
      </c>
      <c r="E9355" s="156">
        <v>1.41</v>
      </c>
      <c r="F9355" s="31">
        <v>17.166499999999999</v>
      </c>
      <c r="G9355" s="28">
        <f>IF(ISNUMBER(F9355),E9355*F9355,"")</f>
        <v>24.204764999999998</v>
      </c>
      <c r="H9355" s="32"/>
      <c r="I9355" s="28"/>
      <c r="J9355" s="125">
        <v>0</v>
      </c>
    </row>
    <row r="9356" spans="1:10" s="169" customFormat="1" ht="38.25" hidden="1" x14ac:dyDescent="0.25">
      <c r="A9356" s="235"/>
      <c r="B9356" s="238"/>
      <c r="C9356" s="155" t="s">
        <v>31205</v>
      </c>
      <c r="D9356" s="155" t="s">
        <v>205</v>
      </c>
      <c r="E9356" s="156">
        <v>1</v>
      </c>
      <c r="F9356" s="31">
        <v>305.54849999999999</v>
      </c>
      <c r="G9356" s="28">
        <f>IF(ISNUMBER(F9356),E9356*F9356,"")</f>
        <v>305.54849999999999</v>
      </c>
      <c r="H9356" s="32"/>
      <c r="I9356" s="28"/>
      <c r="J9356" s="125">
        <v>0</v>
      </c>
    </row>
    <row r="9357" spans="1:10" s="169" customFormat="1" ht="25.5" hidden="1" x14ac:dyDescent="0.25">
      <c r="A9357" s="235"/>
      <c r="B9357" s="238"/>
      <c r="C9357" s="155" t="s">
        <v>27465</v>
      </c>
      <c r="D9357" s="155" t="s">
        <v>205</v>
      </c>
      <c r="E9357" s="156">
        <v>1</v>
      </c>
      <c r="F9357" s="31">
        <v>77.823999999999998</v>
      </c>
      <c r="G9357" s="28">
        <f>IF(ISNUMBER(F9357),E9357*F9357,"")</f>
        <v>77.823999999999998</v>
      </c>
      <c r="H9357" s="32"/>
      <c r="I9357" s="28"/>
      <c r="J9357" s="125">
        <v>0</v>
      </c>
    </row>
    <row r="9358" spans="1:10" s="169" customFormat="1" ht="25.5" hidden="1" x14ac:dyDescent="0.25">
      <c r="A9358" s="235"/>
      <c r="B9358" s="238"/>
      <c r="C9358" s="155" t="s">
        <v>23440</v>
      </c>
      <c r="D9358" s="155" t="s">
        <v>205</v>
      </c>
      <c r="E9358" s="156">
        <v>1</v>
      </c>
      <c r="F9358" s="31">
        <v>50.938999999999993</v>
      </c>
      <c r="G9358" s="28">
        <f>IF(ISNUMBER(F9358),E9358*F9358,"")</f>
        <v>50.938999999999993</v>
      </c>
      <c r="H9358" s="32"/>
      <c r="I9358" s="28"/>
      <c r="J9358" s="125">
        <v>0</v>
      </c>
    </row>
    <row r="9359" spans="1:10" s="169" customFormat="1" ht="15.75" hidden="1" thickBot="1" x14ac:dyDescent="0.3">
      <c r="A9359" s="236"/>
      <c r="B9359" s="239"/>
      <c r="C9359" s="155"/>
      <c r="D9359" s="155"/>
      <c r="E9359" s="156"/>
      <c r="F9359" s="28" t="s">
        <v>418</v>
      </c>
      <c r="G9359" s="28" t="str">
        <f>IF(ISNUMBER(F9359),E9359*F9359,"")</f>
        <v/>
      </c>
      <c r="H9359" s="32"/>
      <c r="I9359" s="28"/>
      <c r="J9359" s="125">
        <v>0</v>
      </c>
    </row>
    <row r="9360" spans="1:10" s="169" customFormat="1" ht="15.75" hidden="1" thickBot="1" x14ac:dyDescent="0.3">
      <c r="A9360" s="234" t="s">
        <v>20891</v>
      </c>
      <c r="B9360" s="237" t="s">
        <v>29501</v>
      </c>
      <c r="C9360" s="160"/>
      <c r="D9360" s="145" t="s">
        <v>16</v>
      </c>
      <c r="E9360" s="146"/>
      <c r="F9360" s="37" t="s">
        <v>418</v>
      </c>
      <c r="G9360" s="147" t="str">
        <f>IF(ISNUMBER(F9360),E9360*F9360,"")</f>
        <v/>
      </c>
      <c r="H9360" s="148"/>
      <c r="I9360" s="149"/>
      <c r="J9360" s="125">
        <v>0</v>
      </c>
    </row>
    <row r="9361" spans="1:10" s="169" customFormat="1" hidden="1" x14ac:dyDescent="0.25">
      <c r="A9361" s="235"/>
      <c r="B9361" s="238"/>
      <c r="C9361" s="151"/>
      <c r="D9361" s="151"/>
      <c r="E9361" s="152"/>
      <c r="F9361" s="38" t="s">
        <v>418</v>
      </c>
      <c r="G9361" s="28" t="str">
        <f>IF(ISNUMBER(F9361),E9361*F9361,"")</f>
        <v/>
      </c>
      <c r="H9361" s="32"/>
      <c r="I9361" s="28"/>
      <c r="J9361" s="125">
        <v>0</v>
      </c>
    </row>
    <row r="9362" spans="1:10" s="169" customFormat="1" hidden="1" x14ac:dyDescent="0.25">
      <c r="A9362" s="235"/>
      <c r="B9362" s="238"/>
      <c r="C9362" s="155" t="s">
        <v>595</v>
      </c>
      <c r="D9362" s="155" t="s">
        <v>587</v>
      </c>
      <c r="E9362" s="156">
        <v>6</v>
      </c>
      <c r="F9362" s="31">
        <v>25.65</v>
      </c>
      <c r="G9362" s="31">
        <f>IF(ISNUMBER(F9362),E9362*F9362,"")</f>
        <v>153.89999999999998</v>
      </c>
      <c r="H9362" s="35">
        <f>SUM(G9362:G9367)</f>
        <v>295.88361989999999</v>
      </c>
      <c r="I9362" s="36"/>
      <c r="J9362" s="125">
        <v>0</v>
      </c>
    </row>
    <row r="9363" spans="1:10" s="169" customFormat="1" hidden="1" x14ac:dyDescent="0.25">
      <c r="A9363" s="235"/>
      <c r="B9363" s="238"/>
      <c r="C9363" s="155" t="s">
        <v>588</v>
      </c>
      <c r="D9363" s="155" t="s">
        <v>587</v>
      </c>
      <c r="E9363" s="156">
        <v>6</v>
      </c>
      <c r="F9363" s="28">
        <v>19.189999999999998</v>
      </c>
      <c r="G9363" s="31">
        <f>IF(ISNUMBER(F9363),E9363*F9363,"")</f>
        <v>115.13999999999999</v>
      </c>
      <c r="H9363" s="32"/>
      <c r="I9363" s="28"/>
      <c r="J9363" s="125">
        <v>0</v>
      </c>
    </row>
    <row r="9364" spans="1:10" s="169" customFormat="1" ht="25.5" hidden="1" x14ac:dyDescent="0.25">
      <c r="A9364" s="235"/>
      <c r="B9364" s="238"/>
      <c r="C9364" s="155" t="s">
        <v>23674</v>
      </c>
      <c r="D9364" s="155" t="s">
        <v>85</v>
      </c>
      <c r="E9364" s="156">
        <v>2.8899999999999999E-2</v>
      </c>
      <c r="F9364" s="28">
        <v>66.5</v>
      </c>
      <c r="G9364" s="31">
        <f>IF(ISNUMBER(F9364),E9364*F9364,"")</f>
        <v>1.9218499999999998</v>
      </c>
      <c r="H9364" s="32"/>
      <c r="I9364" s="28"/>
      <c r="J9364" s="125">
        <v>0</v>
      </c>
    </row>
    <row r="9365" spans="1:10" s="169" customFormat="1" ht="25.5" hidden="1" x14ac:dyDescent="0.25">
      <c r="A9365" s="235"/>
      <c r="B9365" s="238"/>
      <c r="C9365" s="155" t="s">
        <v>26789</v>
      </c>
      <c r="D9365" s="155" t="s">
        <v>85</v>
      </c>
      <c r="E9365" s="156">
        <v>3.1699999999999999E-2</v>
      </c>
      <c r="F9365" s="31">
        <v>224.44699999999997</v>
      </c>
      <c r="G9365" s="31">
        <f>IF(ISNUMBER(F9365),E9365*F9365,"")</f>
        <v>7.1149698999999993</v>
      </c>
      <c r="H9365" s="32"/>
      <c r="I9365" s="28"/>
      <c r="J9365" s="125">
        <v>0</v>
      </c>
    </row>
    <row r="9366" spans="1:10" s="169" customFormat="1" hidden="1" x14ac:dyDescent="0.25">
      <c r="A9366" s="235"/>
      <c r="B9366" s="238"/>
      <c r="C9366" s="155" t="s">
        <v>24537</v>
      </c>
      <c r="D9366" s="155" t="s">
        <v>774</v>
      </c>
      <c r="E9366" s="156">
        <v>14.2</v>
      </c>
      <c r="F9366" s="31">
        <v>1.254</v>
      </c>
      <c r="G9366" s="31">
        <f>IF(ISNUMBER(F9366),E9366*F9366,"")</f>
        <v>17.806799999999999</v>
      </c>
      <c r="H9366" s="32"/>
      <c r="I9366" s="28"/>
      <c r="J9366" s="125">
        <v>0</v>
      </c>
    </row>
    <row r="9367" spans="1:10" s="169" customFormat="1" ht="51" hidden="1" x14ac:dyDescent="0.25">
      <c r="A9367" s="235"/>
      <c r="B9367" s="238"/>
      <c r="C9367" s="155" t="s">
        <v>29522</v>
      </c>
      <c r="D9367" s="155" t="s">
        <v>205</v>
      </c>
      <c r="E9367" s="156">
        <v>1</v>
      </c>
      <c r="F9367" s="31" t="s">
        <v>418</v>
      </c>
      <c r="G9367" s="49" t="str">
        <f>IF(ISNUMBER(F9367),E9367*F9367,"")</f>
        <v/>
      </c>
      <c r="H9367" s="32"/>
      <c r="I9367" s="28"/>
      <c r="J9367" s="125">
        <v>0</v>
      </c>
    </row>
    <row r="9368" spans="1:10" s="169" customFormat="1" ht="15.75" hidden="1" thickBot="1" x14ac:dyDescent="0.3">
      <c r="A9368" s="236"/>
      <c r="B9368" s="239"/>
      <c r="C9368" s="155"/>
      <c r="D9368" s="155"/>
      <c r="E9368" s="156"/>
      <c r="F9368" s="28" t="s">
        <v>418</v>
      </c>
      <c r="G9368" s="28" t="str">
        <f>IF(ISNUMBER(F9368),E9368*F9368,"")</f>
        <v/>
      </c>
      <c r="H9368" s="32"/>
      <c r="I9368" s="28"/>
      <c r="J9368" s="125">
        <v>0</v>
      </c>
    </row>
    <row r="9369" spans="1:10" s="169" customFormat="1" ht="15.75" hidden="1" thickBot="1" x14ac:dyDescent="0.3">
      <c r="A9369" s="241" t="s">
        <v>20892</v>
      </c>
      <c r="B9369" s="244" t="s">
        <v>38888</v>
      </c>
      <c r="C9369" s="160"/>
      <c r="D9369" s="145" t="s">
        <v>70</v>
      </c>
      <c r="E9369" s="146"/>
      <c r="F9369" s="37" t="s">
        <v>418</v>
      </c>
      <c r="G9369" s="147" t="str">
        <f>IF(ISNUMBER(F9369),E9369*F9369,"")</f>
        <v/>
      </c>
      <c r="H9369" s="148"/>
      <c r="I9369" s="149"/>
      <c r="J9369" s="125">
        <v>0</v>
      </c>
    </row>
    <row r="9370" spans="1:10" s="169" customFormat="1" hidden="1" x14ac:dyDescent="0.25">
      <c r="A9370" s="242"/>
      <c r="B9370" s="245"/>
      <c r="C9370" s="151"/>
      <c r="D9370" s="151"/>
      <c r="E9370" s="152"/>
      <c r="F9370" s="38" t="s">
        <v>418</v>
      </c>
      <c r="G9370" s="28" t="str">
        <f>IF(ISNUMBER(F9370),E9370*F9370,"")</f>
        <v/>
      </c>
      <c r="H9370" s="32"/>
      <c r="I9370" s="28"/>
      <c r="J9370" s="125">
        <v>0</v>
      </c>
    </row>
    <row r="9371" spans="1:10" s="169" customFormat="1" hidden="1" x14ac:dyDescent="0.25">
      <c r="A9371" s="242"/>
      <c r="B9371" s="245"/>
      <c r="C9371" s="155" t="s">
        <v>676</v>
      </c>
      <c r="D9371" s="155" t="s">
        <v>870</v>
      </c>
      <c r="E9371" s="156">
        <v>1</v>
      </c>
      <c r="F9371" s="28">
        <v>597.25549999999998</v>
      </c>
      <c r="G9371" s="28">
        <f>IF(ISNUMBER(F9371),E9371*F9371,"")</f>
        <v>597.25549999999998</v>
      </c>
      <c r="H9371" s="35">
        <f>SUM(G9371:G9377)</f>
        <v>732.21252533333325</v>
      </c>
      <c r="I9371" s="36"/>
      <c r="J9371" s="125">
        <v>0</v>
      </c>
    </row>
    <row r="9372" spans="1:10" s="169" customFormat="1" ht="38.25" hidden="1" x14ac:dyDescent="0.25">
      <c r="A9372" s="242"/>
      <c r="B9372" s="245"/>
      <c r="C9372" s="155" t="s">
        <v>23958</v>
      </c>
      <c r="D9372" s="155" t="s">
        <v>205</v>
      </c>
      <c r="E9372" s="156">
        <v>1.7050000000000001</v>
      </c>
      <c r="F9372" s="28">
        <v>0.19</v>
      </c>
      <c r="G9372" s="28">
        <f>IF(ISNUMBER(F9372),E9372*F9372,"")</f>
        <v>0.32395000000000002</v>
      </c>
      <c r="H9372" s="32"/>
      <c r="I9372" s="28"/>
      <c r="J9372" s="125">
        <v>0</v>
      </c>
    </row>
    <row r="9373" spans="1:10" s="169" customFormat="1" ht="25.5" hidden="1" x14ac:dyDescent="0.25">
      <c r="A9373" s="242"/>
      <c r="B9373" s="245"/>
      <c r="C9373" s="155" t="s">
        <v>26826</v>
      </c>
      <c r="D9373" s="155" t="s">
        <v>774</v>
      </c>
      <c r="E9373" s="156">
        <f>2*15.92/6</f>
        <v>5.3066666666666666</v>
      </c>
      <c r="F9373" s="31">
        <v>10.696999999999999</v>
      </c>
      <c r="G9373" s="28">
        <f>IF(ISNUMBER(F9373),E9373*F9373,"")</f>
        <v>56.765413333333328</v>
      </c>
      <c r="H9373" s="32"/>
      <c r="I9373" s="28"/>
      <c r="J9373" s="125">
        <v>0</v>
      </c>
    </row>
    <row r="9374" spans="1:10" s="169" customFormat="1" ht="25.5" hidden="1" x14ac:dyDescent="0.25">
      <c r="A9374" s="242"/>
      <c r="B9374" s="245"/>
      <c r="C9374" s="155" t="s">
        <v>25509</v>
      </c>
      <c r="D9374" s="155" t="s">
        <v>385</v>
      </c>
      <c r="E9374" s="156">
        <v>2.3220000000000001</v>
      </c>
      <c r="F9374" s="31">
        <v>4.484</v>
      </c>
      <c r="G9374" s="28">
        <f>IF(ISNUMBER(F9374),E9374*F9374,"")</f>
        <v>10.411848000000001</v>
      </c>
      <c r="H9374" s="32"/>
      <c r="I9374" s="28"/>
      <c r="J9374" s="125">
        <v>0</v>
      </c>
    </row>
    <row r="9375" spans="1:10" s="169" customFormat="1" hidden="1" x14ac:dyDescent="0.25">
      <c r="A9375" s="242"/>
      <c r="B9375" s="245"/>
      <c r="C9375" s="155" t="s">
        <v>27384</v>
      </c>
      <c r="D9375" s="155" t="s">
        <v>205</v>
      </c>
      <c r="E9375" s="156">
        <v>0.309</v>
      </c>
      <c r="F9375" s="31">
        <v>25.916</v>
      </c>
      <c r="G9375" s="28">
        <f>IF(ISNUMBER(F9375),E9375*F9375,"")</f>
        <v>8.0080439999999999</v>
      </c>
      <c r="H9375" s="32"/>
      <c r="I9375" s="28"/>
      <c r="J9375" s="125">
        <v>0</v>
      </c>
    </row>
    <row r="9376" spans="1:10" s="169" customFormat="1" hidden="1" x14ac:dyDescent="0.25">
      <c r="A9376" s="242"/>
      <c r="B9376" s="245"/>
      <c r="C9376" s="155" t="s">
        <v>588</v>
      </c>
      <c r="D9376" s="155" t="s">
        <v>587</v>
      </c>
      <c r="E9376" s="156">
        <v>1.3779999999999999</v>
      </c>
      <c r="F9376" s="31">
        <v>19.189999999999998</v>
      </c>
      <c r="G9376" s="28">
        <f>IF(ISNUMBER(F9376),E9376*F9376,"")</f>
        <v>26.443819999999995</v>
      </c>
      <c r="H9376" s="32"/>
      <c r="I9376" s="28"/>
      <c r="J9376" s="125">
        <v>0</v>
      </c>
    </row>
    <row r="9377" spans="1:10" s="169" customFormat="1" hidden="1" x14ac:dyDescent="0.25">
      <c r="A9377" s="242"/>
      <c r="B9377" s="245"/>
      <c r="C9377" s="155" t="s">
        <v>9864</v>
      </c>
      <c r="D9377" s="155" t="s">
        <v>587</v>
      </c>
      <c r="E9377" s="156">
        <v>1.4179999999999999</v>
      </c>
      <c r="F9377" s="31">
        <v>23.274999999999999</v>
      </c>
      <c r="G9377" s="28">
        <f>IF(ISNUMBER(F9377),E9377*F9377,"")</f>
        <v>33.003949999999996</v>
      </c>
      <c r="H9377" s="32"/>
      <c r="I9377" s="28"/>
      <c r="J9377" s="125">
        <v>0</v>
      </c>
    </row>
    <row r="9378" spans="1:10" s="169" customFormat="1" ht="15.75" hidden="1" thickBot="1" x14ac:dyDescent="0.3">
      <c r="A9378" s="243"/>
      <c r="B9378" s="246"/>
      <c r="C9378" s="155"/>
      <c r="D9378" s="155"/>
      <c r="E9378" s="156"/>
      <c r="F9378" s="28" t="s">
        <v>418</v>
      </c>
      <c r="G9378" s="28" t="str">
        <f>IF(ISNUMBER(F9378),E9378*F9378,"")</f>
        <v/>
      </c>
      <c r="H9378" s="32"/>
      <c r="I9378" s="28"/>
      <c r="J9378" s="125">
        <v>0</v>
      </c>
    </row>
    <row r="9379" spans="1:10" s="169" customFormat="1" ht="15.75" hidden="1" thickBot="1" x14ac:dyDescent="0.3">
      <c r="A9379" s="234" t="s">
        <v>20893</v>
      </c>
      <c r="B9379" s="237" t="s">
        <v>29502</v>
      </c>
      <c r="C9379" s="160"/>
      <c r="D9379" s="145" t="s">
        <v>70</v>
      </c>
      <c r="E9379" s="146"/>
      <c r="F9379" s="37" t="s">
        <v>418</v>
      </c>
      <c r="G9379" s="147" t="str">
        <f>IF(ISNUMBER(F9379),E9379*F9379,"")</f>
        <v/>
      </c>
      <c r="H9379" s="148"/>
      <c r="I9379" s="149"/>
      <c r="J9379" s="125">
        <v>0</v>
      </c>
    </row>
    <row r="9380" spans="1:10" s="169" customFormat="1" hidden="1" x14ac:dyDescent="0.25">
      <c r="A9380" s="235"/>
      <c r="B9380" s="238"/>
      <c r="C9380" s="151"/>
      <c r="D9380" s="151"/>
      <c r="E9380" s="152"/>
      <c r="F9380" s="38" t="s">
        <v>418</v>
      </c>
      <c r="G9380" s="28" t="str">
        <f>IF(ISNUMBER(F9380),E9380*F9380,"")</f>
        <v/>
      </c>
      <c r="H9380" s="32"/>
      <c r="I9380" s="28"/>
      <c r="J9380" s="125">
        <v>0</v>
      </c>
    </row>
    <row r="9381" spans="1:10" s="169" customFormat="1" hidden="1" x14ac:dyDescent="0.25">
      <c r="A9381" s="235"/>
      <c r="B9381" s="238"/>
      <c r="C9381" s="155" t="s">
        <v>676</v>
      </c>
      <c r="D9381" s="155" t="s">
        <v>870</v>
      </c>
      <c r="E9381" s="156">
        <v>0.98699999999999999</v>
      </c>
      <c r="F9381" s="28">
        <v>597.25549999999998</v>
      </c>
      <c r="G9381" s="28">
        <f>IF(ISNUMBER(F9381),E9381*F9381,"")</f>
        <v>589.49117849999993</v>
      </c>
      <c r="H9381" s="35">
        <f>SUM(G9381:G9389)</f>
        <v>671.21431099999995</v>
      </c>
      <c r="I9381" s="36"/>
      <c r="J9381" s="125">
        <v>0</v>
      </c>
    </row>
    <row r="9382" spans="1:10" s="169" customFormat="1" ht="38.25" hidden="1" x14ac:dyDescent="0.25">
      <c r="A9382" s="235"/>
      <c r="B9382" s="238"/>
      <c r="C9382" s="155" t="s">
        <v>23958</v>
      </c>
      <c r="D9382" s="155" t="s">
        <v>205</v>
      </c>
      <c r="E9382" s="156">
        <v>2.37</v>
      </c>
      <c r="F9382" s="28">
        <v>0.19</v>
      </c>
      <c r="G9382" s="28">
        <f>IF(ISNUMBER(F9382),E9382*F9382,"")</f>
        <v>0.45030000000000003</v>
      </c>
      <c r="H9382" s="32"/>
      <c r="I9382" s="28"/>
      <c r="J9382" s="125">
        <v>0</v>
      </c>
    </row>
    <row r="9383" spans="1:10" s="169" customFormat="1" hidden="1" x14ac:dyDescent="0.25">
      <c r="A9383" s="235"/>
      <c r="B9383" s="238"/>
      <c r="C9383" s="155" t="s">
        <v>710</v>
      </c>
      <c r="D9383" s="155" t="s">
        <v>774</v>
      </c>
      <c r="E9383" s="156">
        <v>0.28399999999999997</v>
      </c>
      <c r="F9383" s="31">
        <v>36.745999999999995</v>
      </c>
      <c r="G9383" s="28">
        <f>IF(ISNUMBER(F9383),E9383*F9383,"")</f>
        <v>10.435863999999997</v>
      </c>
      <c r="H9383" s="32"/>
      <c r="I9383" s="28"/>
      <c r="J9383" s="125">
        <v>0</v>
      </c>
    </row>
    <row r="9384" spans="1:10" s="169" customFormat="1" ht="25.5" hidden="1" x14ac:dyDescent="0.25">
      <c r="A9384" s="235"/>
      <c r="B9384" s="238"/>
      <c r="C9384" s="155" t="s">
        <v>25509</v>
      </c>
      <c r="D9384" s="155" t="s">
        <v>385</v>
      </c>
      <c r="E9384" s="156">
        <v>1.47</v>
      </c>
      <c r="F9384" s="31">
        <v>4.484</v>
      </c>
      <c r="G9384" s="28">
        <f>IF(ISNUMBER(F9384),E9384*F9384,"")</f>
        <v>6.5914799999999998</v>
      </c>
      <c r="H9384" s="32"/>
      <c r="I9384" s="28"/>
      <c r="J9384" s="125">
        <v>0</v>
      </c>
    </row>
    <row r="9385" spans="1:10" s="169" customFormat="1" hidden="1" x14ac:dyDescent="0.25">
      <c r="A9385" s="235"/>
      <c r="B9385" s="238"/>
      <c r="C9385" s="155" t="s">
        <v>27384</v>
      </c>
      <c r="D9385" s="155" t="s">
        <v>205</v>
      </c>
      <c r="E9385" s="156">
        <v>0.23</v>
      </c>
      <c r="F9385" s="31">
        <v>25.916</v>
      </c>
      <c r="G9385" s="28">
        <f>IF(ISNUMBER(F9385),E9385*F9385,"")</f>
        <v>5.96068</v>
      </c>
      <c r="H9385" s="32"/>
      <c r="I9385" s="28"/>
      <c r="J9385" s="125">
        <v>0</v>
      </c>
    </row>
    <row r="9386" spans="1:10" s="169" customFormat="1" hidden="1" x14ac:dyDescent="0.25">
      <c r="A9386" s="235"/>
      <c r="B9386" s="238"/>
      <c r="C9386" s="155" t="s">
        <v>588</v>
      </c>
      <c r="D9386" s="155" t="s">
        <v>587</v>
      </c>
      <c r="E9386" s="156">
        <v>0.54400000000000004</v>
      </c>
      <c r="F9386" s="31">
        <v>19.189999999999998</v>
      </c>
      <c r="G9386" s="28">
        <f>IF(ISNUMBER(F9386),E9386*F9386,"")</f>
        <v>10.439359999999999</v>
      </c>
      <c r="H9386" s="32"/>
      <c r="I9386" s="28"/>
      <c r="J9386" s="125">
        <v>0</v>
      </c>
    </row>
    <row r="9387" spans="1:10" s="169" customFormat="1" hidden="1" x14ac:dyDescent="0.25">
      <c r="A9387" s="235"/>
      <c r="B9387" s="238"/>
      <c r="C9387" s="155" t="s">
        <v>9864</v>
      </c>
      <c r="D9387" s="155" t="s">
        <v>587</v>
      </c>
      <c r="E9387" s="156">
        <v>1.0880000000000001</v>
      </c>
      <c r="F9387" s="31">
        <v>23.274999999999999</v>
      </c>
      <c r="G9387" s="28">
        <f>IF(ISNUMBER(F9387),E9387*F9387,"")</f>
        <v>25.3232</v>
      </c>
      <c r="H9387" s="32"/>
      <c r="I9387" s="28"/>
      <c r="J9387" s="125">
        <v>0</v>
      </c>
    </row>
    <row r="9388" spans="1:10" s="169" customFormat="1" ht="25.5" hidden="1" x14ac:dyDescent="0.25">
      <c r="A9388" s="235"/>
      <c r="B9388" s="238"/>
      <c r="C9388" s="155" t="s">
        <v>1018</v>
      </c>
      <c r="D9388" s="155" t="s">
        <v>814</v>
      </c>
      <c r="E9388" s="156">
        <v>9.5000000000000001E-2</v>
      </c>
      <c r="F9388" s="31">
        <v>21.992499999999996</v>
      </c>
      <c r="G9388" s="28">
        <f>IF(ISNUMBER(F9388),E9388*F9388,"")</f>
        <v>2.0892874999999997</v>
      </c>
      <c r="H9388" s="32"/>
      <c r="I9388" s="28"/>
      <c r="J9388" s="125">
        <v>0</v>
      </c>
    </row>
    <row r="9389" spans="1:10" s="169" customFormat="1" ht="25.5" hidden="1" x14ac:dyDescent="0.25">
      <c r="A9389" s="235"/>
      <c r="B9389" s="238"/>
      <c r="C9389" s="155" t="s">
        <v>1019</v>
      </c>
      <c r="D9389" s="155" t="s">
        <v>816</v>
      </c>
      <c r="E9389" s="156">
        <v>0.99299999999999999</v>
      </c>
      <c r="F9389" s="31">
        <v>20.576999999999998</v>
      </c>
      <c r="G9389" s="28">
        <f>IF(ISNUMBER(F9389),E9389*F9389,"")</f>
        <v>20.432960999999999</v>
      </c>
      <c r="H9389" s="32"/>
      <c r="I9389" s="28"/>
      <c r="J9389" s="125">
        <v>0</v>
      </c>
    </row>
    <row r="9390" spans="1:10" s="169" customFormat="1" ht="15.75" hidden="1" thickBot="1" x14ac:dyDescent="0.3">
      <c r="A9390" s="236"/>
      <c r="B9390" s="239"/>
      <c r="C9390" s="155"/>
      <c r="D9390" s="155"/>
      <c r="E9390" s="156"/>
      <c r="F9390" s="28" t="s">
        <v>418</v>
      </c>
      <c r="G9390" s="28" t="str">
        <f>IF(ISNUMBER(F9390),E9390*F9390,"")</f>
        <v/>
      </c>
      <c r="H9390" s="32"/>
      <c r="I9390" s="28"/>
      <c r="J9390" s="125">
        <v>0</v>
      </c>
    </row>
    <row r="9391" spans="1:10" s="169" customFormat="1" ht="15.75" hidden="1" thickBot="1" x14ac:dyDescent="0.3">
      <c r="A9391" s="241" t="s">
        <v>20894</v>
      </c>
      <c r="B9391" s="244" t="s">
        <v>29503</v>
      </c>
      <c r="C9391" s="160"/>
      <c r="D9391" s="145" t="s">
        <v>70</v>
      </c>
      <c r="E9391" s="146"/>
      <c r="F9391" s="37" t="s">
        <v>418</v>
      </c>
      <c r="G9391" s="147" t="str">
        <f>IF(ISNUMBER(F9391),E9391*F9391,"")</f>
        <v/>
      </c>
      <c r="H9391" s="148"/>
      <c r="I9391" s="149"/>
      <c r="J9391" s="125">
        <v>0</v>
      </c>
    </row>
    <row r="9392" spans="1:10" s="169" customFormat="1" hidden="1" x14ac:dyDescent="0.25">
      <c r="A9392" s="242"/>
      <c r="B9392" s="245"/>
      <c r="C9392" s="151"/>
      <c r="D9392" s="151"/>
      <c r="E9392" s="152"/>
      <c r="F9392" s="38" t="s">
        <v>418</v>
      </c>
      <c r="G9392" s="28" t="str">
        <f>IF(ISNUMBER(F9392),E9392*F9392,"")</f>
        <v/>
      </c>
      <c r="H9392" s="32"/>
      <c r="I9392" s="28"/>
      <c r="J9392" s="125">
        <v>0</v>
      </c>
    </row>
    <row r="9393" spans="1:10" s="169" customFormat="1" hidden="1" x14ac:dyDescent="0.25">
      <c r="A9393" s="242"/>
      <c r="B9393" s="245"/>
      <c r="C9393" s="155" t="s">
        <v>676</v>
      </c>
      <c r="D9393" s="155" t="s">
        <v>870</v>
      </c>
      <c r="E9393" s="156">
        <v>1</v>
      </c>
      <c r="F9393" s="28">
        <v>597.25549999999998</v>
      </c>
      <c r="G9393" s="28">
        <f>IF(ISNUMBER(F9393),E9393*F9393,"")</f>
        <v>597.25549999999998</v>
      </c>
      <c r="H9393" s="35">
        <f>SUM(G9393:G9399)</f>
        <v>702.93311999999992</v>
      </c>
      <c r="I9393" s="36"/>
      <c r="J9393" s="125">
        <v>0</v>
      </c>
    </row>
    <row r="9394" spans="1:10" s="169" customFormat="1" ht="38.25" hidden="1" x14ac:dyDescent="0.25">
      <c r="A9394" s="242"/>
      <c r="B9394" s="245"/>
      <c r="C9394" s="155" t="s">
        <v>23958</v>
      </c>
      <c r="D9394" s="155" t="s">
        <v>205</v>
      </c>
      <c r="E9394" s="156">
        <v>1.7050000000000001</v>
      </c>
      <c r="F9394" s="31">
        <v>0.19</v>
      </c>
      <c r="G9394" s="28">
        <f>IF(ISNUMBER(F9394),E9394*F9394,"")</f>
        <v>0.32395000000000002</v>
      </c>
      <c r="H9394" s="32"/>
      <c r="I9394" s="28"/>
      <c r="J9394" s="125">
        <v>0</v>
      </c>
    </row>
    <row r="9395" spans="1:10" s="169" customFormat="1" hidden="1" x14ac:dyDescent="0.25">
      <c r="A9395" s="242"/>
      <c r="B9395" s="245"/>
      <c r="C9395" s="155" t="s">
        <v>710</v>
      </c>
      <c r="D9395" s="155" t="s">
        <v>774</v>
      </c>
      <c r="E9395" s="156">
        <v>0.748</v>
      </c>
      <c r="F9395" s="31">
        <v>36.745999999999995</v>
      </c>
      <c r="G9395" s="28">
        <f>IF(ISNUMBER(F9395),E9395*F9395,"")</f>
        <v>27.486007999999995</v>
      </c>
      <c r="H9395" s="32"/>
      <c r="I9395" s="28"/>
      <c r="J9395" s="125">
        <v>0</v>
      </c>
    </row>
    <row r="9396" spans="1:10" s="169" customFormat="1" ht="25.5" hidden="1" x14ac:dyDescent="0.25">
      <c r="A9396" s="242"/>
      <c r="B9396" s="245"/>
      <c r="C9396" s="155" t="s">
        <v>25509</v>
      </c>
      <c r="D9396" s="155" t="s">
        <v>385</v>
      </c>
      <c r="E9396" s="156">
        <v>2.3220000000000001</v>
      </c>
      <c r="F9396" s="31">
        <v>4.484</v>
      </c>
      <c r="G9396" s="28">
        <f>IF(ISNUMBER(F9396),E9396*F9396,"")</f>
        <v>10.411848000000001</v>
      </c>
      <c r="H9396" s="32"/>
      <c r="I9396" s="28"/>
      <c r="J9396" s="125">
        <v>0</v>
      </c>
    </row>
    <row r="9397" spans="1:10" s="169" customFormat="1" hidden="1" x14ac:dyDescent="0.25">
      <c r="A9397" s="242"/>
      <c r="B9397" s="245"/>
      <c r="C9397" s="155" t="s">
        <v>27384</v>
      </c>
      <c r="D9397" s="155" t="s">
        <v>205</v>
      </c>
      <c r="E9397" s="156">
        <v>0.309</v>
      </c>
      <c r="F9397" s="31">
        <v>25.916</v>
      </c>
      <c r="G9397" s="28">
        <f>IF(ISNUMBER(F9397),E9397*F9397,"")</f>
        <v>8.0080439999999999</v>
      </c>
      <c r="H9397" s="32"/>
      <c r="I9397" s="28"/>
      <c r="J9397" s="125">
        <v>0</v>
      </c>
    </row>
    <row r="9398" spans="1:10" s="169" customFormat="1" hidden="1" x14ac:dyDescent="0.25">
      <c r="A9398" s="242"/>
      <c r="B9398" s="245"/>
      <c r="C9398" s="155" t="s">
        <v>588</v>
      </c>
      <c r="D9398" s="155" t="s">
        <v>587</v>
      </c>
      <c r="E9398" s="156">
        <v>1.3779999999999999</v>
      </c>
      <c r="F9398" s="31">
        <v>19.189999999999998</v>
      </c>
      <c r="G9398" s="28">
        <f>IF(ISNUMBER(F9398),E9398*F9398,"")</f>
        <v>26.443819999999995</v>
      </c>
      <c r="H9398" s="32"/>
      <c r="I9398" s="28"/>
      <c r="J9398" s="125">
        <v>0</v>
      </c>
    </row>
    <row r="9399" spans="1:10" s="169" customFormat="1" hidden="1" x14ac:dyDescent="0.25">
      <c r="A9399" s="242"/>
      <c r="B9399" s="245"/>
      <c r="C9399" s="155" t="s">
        <v>9864</v>
      </c>
      <c r="D9399" s="155" t="s">
        <v>587</v>
      </c>
      <c r="E9399" s="156">
        <v>1.4179999999999999</v>
      </c>
      <c r="F9399" s="31">
        <v>23.274999999999999</v>
      </c>
      <c r="G9399" s="28">
        <f>IF(ISNUMBER(F9399),E9399*F9399,"")</f>
        <v>33.003949999999996</v>
      </c>
      <c r="H9399" s="32"/>
      <c r="I9399" s="28"/>
      <c r="J9399" s="125">
        <v>0</v>
      </c>
    </row>
    <row r="9400" spans="1:10" s="169" customFormat="1" ht="15.75" hidden="1" thickBot="1" x14ac:dyDescent="0.3">
      <c r="A9400" s="243"/>
      <c r="B9400" s="246"/>
      <c r="C9400" s="155"/>
      <c r="D9400" s="155"/>
      <c r="E9400" s="156"/>
      <c r="F9400" s="28" t="s">
        <v>418</v>
      </c>
      <c r="G9400" s="28" t="str">
        <f>IF(ISNUMBER(F9400),E9400*F9400,"")</f>
        <v/>
      </c>
      <c r="H9400" s="32"/>
      <c r="I9400" s="28"/>
      <c r="J9400" s="125">
        <v>0</v>
      </c>
    </row>
    <row r="9401" spans="1:10" s="169" customFormat="1" ht="15.75" hidden="1" thickBot="1" x14ac:dyDescent="0.3">
      <c r="A9401" s="241" t="s">
        <v>20895</v>
      </c>
      <c r="B9401" s="244" t="s">
        <v>29504</v>
      </c>
      <c r="C9401" s="160"/>
      <c r="D9401" s="145" t="s">
        <v>70</v>
      </c>
      <c r="E9401" s="146"/>
      <c r="F9401" s="37" t="s">
        <v>418</v>
      </c>
      <c r="G9401" s="147" t="str">
        <f>IF(ISNUMBER(F9401),E9401*F9401,"")</f>
        <v/>
      </c>
      <c r="H9401" s="148"/>
      <c r="I9401" s="149"/>
      <c r="J9401" s="125">
        <v>0</v>
      </c>
    </row>
    <row r="9402" spans="1:10" s="169" customFormat="1" hidden="1" x14ac:dyDescent="0.25">
      <c r="A9402" s="242"/>
      <c r="B9402" s="245"/>
      <c r="C9402" s="151"/>
      <c r="D9402" s="151"/>
      <c r="E9402" s="152"/>
      <c r="F9402" s="38" t="s">
        <v>418</v>
      </c>
      <c r="G9402" s="28" t="str">
        <f>IF(ISNUMBER(F9402),E9402*F9402,"")</f>
        <v/>
      </c>
      <c r="H9402" s="32"/>
      <c r="I9402" s="28"/>
      <c r="J9402" s="125">
        <v>0</v>
      </c>
    </row>
    <row r="9403" spans="1:10" s="169" customFormat="1" hidden="1" x14ac:dyDescent="0.25">
      <c r="A9403" s="242"/>
      <c r="B9403" s="245"/>
      <c r="C9403" s="155" t="s">
        <v>676</v>
      </c>
      <c r="D9403" s="155" t="s">
        <v>870</v>
      </c>
      <c r="E9403" s="156">
        <v>1</v>
      </c>
      <c r="F9403" s="28">
        <v>597.25549999999998</v>
      </c>
      <c r="G9403" s="28">
        <f>IF(ISNUMBER(F9403),E9403*F9403,"")</f>
        <v>597.25549999999998</v>
      </c>
      <c r="H9403" s="35">
        <f>SUM(G9403:G9409)</f>
        <v>702.93311999999992</v>
      </c>
      <c r="I9403" s="36"/>
      <c r="J9403" s="125">
        <v>0</v>
      </c>
    </row>
    <row r="9404" spans="1:10" s="169" customFormat="1" ht="38.25" hidden="1" x14ac:dyDescent="0.25">
      <c r="A9404" s="242"/>
      <c r="B9404" s="245"/>
      <c r="C9404" s="155" t="s">
        <v>23958</v>
      </c>
      <c r="D9404" s="155" t="s">
        <v>205</v>
      </c>
      <c r="E9404" s="156">
        <v>1.7050000000000001</v>
      </c>
      <c r="F9404" s="31">
        <v>0.19</v>
      </c>
      <c r="G9404" s="28">
        <f>IF(ISNUMBER(F9404),E9404*F9404,"")</f>
        <v>0.32395000000000002</v>
      </c>
      <c r="H9404" s="32"/>
      <c r="I9404" s="28"/>
      <c r="J9404" s="125">
        <v>0</v>
      </c>
    </row>
    <row r="9405" spans="1:10" s="169" customFormat="1" hidden="1" x14ac:dyDescent="0.25">
      <c r="A9405" s="242"/>
      <c r="B9405" s="245"/>
      <c r="C9405" s="155" t="s">
        <v>710</v>
      </c>
      <c r="D9405" s="155" t="s">
        <v>774</v>
      </c>
      <c r="E9405" s="156">
        <v>0.748</v>
      </c>
      <c r="F9405" s="31">
        <v>36.745999999999995</v>
      </c>
      <c r="G9405" s="28">
        <f>IF(ISNUMBER(F9405),E9405*F9405,"")</f>
        <v>27.486007999999995</v>
      </c>
      <c r="H9405" s="32"/>
      <c r="I9405" s="28"/>
      <c r="J9405" s="125">
        <v>0</v>
      </c>
    </row>
    <row r="9406" spans="1:10" s="169" customFormat="1" ht="25.5" hidden="1" x14ac:dyDescent="0.25">
      <c r="A9406" s="242"/>
      <c r="B9406" s="245"/>
      <c r="C9406" s="155" t="s">
        <v>25509</v>
      </c>
      <c r="D9406" s="155" t="s">
        <v>385</v>
      </c>
      <c r="E9406" s="156">
        <v>2.3220000000000001</v>
      </c>
      <c r="F9406" s="31">
        <v>4.484</v>
      </c>
      <c r="G9406" s="28">
        <f>IF(ISNUMBER(F9406),E9406*F9406,"")</f>
        <v>10.411848000000001</v>
      </c>
      <c r="H9406" s="32"/>
      <c r="I9406" s="28"/>
      <c r="J9406" s="125">
        <v>0</v>
      </c>
    </row>
    <row r="9407" spans="1:10" s="169" customFormat="1" hidden="1" x14ac:dyDescent="0.25">
      <c r="A9407" s="242"/>
      <c r="B9407" s="245"/>
      <c r="C9407" s="155" t="s">
        <v>27384</v>
      </c>
      <c r="D9407" s="155" t="s">
        <v>205</v>
      </c>
      <c r="E9407" s="156">
        <v>0.309</v>
      </c>
      <c r="F9407" s="31">
        <v>25.916</v>
      </c>
      <c r="G9407" s="28">
        <f>IF(ISNUMBER(F9407),E9407*F9407,"")</f>
        <v>8.0080439999999999</v>
      </c>
      <c r="H9407" s="32"/>
      <c r="I9407" s="28"/>
      <c r="J9407" s="125">
        <v>0</v>
      </c>
    </row>
    <row r="9408" spans="1:10" s="169" customFormat="1" hidden="1" x14ac:dyDescent="0.25">
      <c r="A9408" s="242"/>
      <c r="B9408" s="245"/>
      <c r="C9408" s="155" t="s">
        <v>588</v>
      </c>
      <c r="D9408" s="155" t="s">
        <v>587</v>
      </c>
      <c r="E9408" s="156">
        <v>1.3779999999999999</v>
      </c>
      <c r="F9408" s="31">
        <v>19.189999999999998</v>
      </c>
      <c r="G9408" s="28">
        <f>IF(ISNUMBER(F9408),E9408*F9408,"")</f>
        <v>26.443819999999995</v>
      </c>
      <c r="H9408" s="32"/>
      <c r="I9408" s="28"/>
      <c r="J9408" s="125">
        <v>0</v>
      </c>
    </row>
    <row r="9409" spans="1:10" s="169" customFormat="1" hidden="1" x14ac:dyDescent="0.25">
      <c r="A9409" s="242"/>
      <c r="B9409" s="245"/>
      <c r="C9409" s="155" t="s">
        <v>9864</v>
      </c>
      <c r="D9409" s="155" t="s">
        <v>587</v>
      </c>
      <c r="E9409" s="156">
        <v>1.4179999999999999</v>
      </c>
      <c r="F9409" s="31">
        <v>23.274999999999999</v>
      </c>
      <c r="G9409" s="28">
        <f>IF(ISNUMBER(F9409),E9409*F9409,"")</f>
        <v>33.003949999999996</v>
      </c>
      <c r="H9409" s="32"/>
      <c r="I9409" s="28"/>
      <c r="J9409" s="125">
        <v>0</v>
      </c>
    </row>
    <row r="9410" spans="1:10" s="169" customFormat="1" ht="15.75" hidden="1" thickBot="1" x14ac:dyDescent="0.3">
      <c r="A9410" s="243"/>
      <c r="B9410" s="246"/>
      <c r="C9410" s="155"/>
      <c r="D9410" s="155"/>
      <c r="E9410" s="156"/>
      <c r="F9410" s="28" t="s">
        <v>418</v>
      </c>
      <c r="G9410" s="28" t="str">
        <f>IF(ISNUMBER(F9410),E9410*F9410,"")</f>
        <v/>
      </c>
      <c r="H9410" s="32"/>
      <c r="I9410" s="28"/>
      <c r="J9410" s="125">
        <v>0</v>
      </c>
    </row>
    <row r="9411" spans="1:10" s="169" customFormat="1" ht="15.75" hidden="1" thickBot="1" x14ac:dyDescent="0.3">
      <c r="A9411" s="241" t="s">
        <v>20896</v>
      </c>
      <c r="B9411" s="244" t="s">
        <v>29505</v>
      </c>
      <c r="C9411" s="160"/>
      <c r="D9411" s="145" t="s">
        <v>70</v>
      </c>
      <c r="E9411" s="146"/>
      <c r="F9411" s="37" t="s">
        <v>418</v>
      </c>
      <c r="G9411" s="147" t="str">
        <f>IF(ISNUMBER(F9411),E9411*F9411,"")</f>
        <v/>
      </c>
      <c r="H9411" s="148"/>
      <c r="I9411" s="149"/>
      <c r="J9411" s="125">
        <v>0</v>
      </c>
    </row>
    <row r="9412" spans="1:10" s="169" customFormat="1" hidden="1" x14ac:dyDescent="0.25">
      <c r="A9412" s="242"/>
      <c r="B9412" s="245"/>
      <c r="C9412" s="151"/>
      <c r="D9412" s="151"/>
      <c r="E9412" s="152"/>
      <c r="F9412" s="38" t="s">
        <v>418</v>
      </c>
      <c r="G9412" s="28" t="str">
        <f>IF(ISNUMBER(F9412),E9412*F9412,"")</f>
        <v/>
      </c>
      <c r="H9412" s="32"/>
      <c r="I9412" s="28"/>
      <c r="J9412" s="125">
        <v>0</v>
      </c>
    </row>
    <row r="9413" spans="1:10" s="169" customFormat="1" hidden="1" x14ac:dyDescent="0.25">
      <c r="A9413" s="242"/>
      <c r="B9413" s="245"/>
      <c r="C9413" s="155" t="s">
        <v>676</v>
      </c>
      <c r="D9413" s="155" t="s">
        <v>870</v>
      </c>
      <c r="E9413" s="156">
        <v>1</v>
      </c>
      <c r="F9413" s="28">
        <v>597.25549999999998</v>
      </c>
      <c r="G9413" s="28">
        <f>IF(ISNUMBER(F9413),E9413*F9413,"")</f>
        <v>597.25549999999998</v>
      </c>
      <c r="H9413" s="35">
        <f>SUM(G9413:G9419)</f>
        <v>702.93311999999992</v>
      </c>
      <c r="I9413" s="36"/>
      <c r="J9413" s="125">
        <v>0</v>
      </c>
    </row>
    <row r="9414" spans="1:10" s="169" customFormat="1" ht="38.25" hidden="1" x14ac:dyDescent="0.25">
      <c r="A9414" s="242"/>
      <c r="B9414" s="245"/>
      <c r="C9414" s="155" t="s">
        <v>23958</v>
      </c>
      <c r="D9414" s="155" t="s">
        <v>205</v>
      </c>
      <c r="E9414" s="156">
        <v>1.7050000000000001</v>
      </c>
      <c r="F9414" s="31">
        <v>0.19</v>
      </c>
      <c r="G9414" s="28">
        <f>IF(ISNUMBER(F9414),E9414*F9414,"")</f>
        <v>0.32395000000000002</v>
      </c>
      <c r="H9414" s="32"/>
      <c r="I9414" s="28"/>
      <c r="J9414" s="125">
        <v>0</v>
      </c>
    </row>
    <row r="9415" spans="1:10" s="169" customFormat="1" hidden="1" x14ac:dyDescent="0.25">
      <c r="A9415" s="242"/>
      <c r="B9415" s="245"/>
      <c r="C9415" s="155" t="s">
        <v>710</v>
      </c>
      <c r="D9415" s="155" t="s">
        <v>774</v>
      </c>
      <c r="E9415" s="156">
        <v>0.748</v>
      </c>
      <c r="F9415" s="31">
        <v>36.745999999999995</v>
      </c>
      <c r="G9415" s="28">
        <f>IF(ISNUMBER(F9415),E9415*F9415,"")</f>
        <v>27.486007999999995</v>
      </c>
      <c r="H9415" s="32"/>
      <c r="I9415" s="28"/>
      <c r="J9415" s="125">
        <v>0</v>
      </c>
    </row>
    <row r="9416" spans="1:10" s="169" customFormat="1" ht="25.5" hidden="1" x14ac:dyDescent="0.25">
      <c r="A9416" s="242"/>
      <c r="B9416" s="245"/>
      <c r="C9416" s="155" t="s">
        <v>25509</v>
      </c>
      <c r="D9416" s="155" t="s">
        <v>385</v>
      </c>
      <c r="E9416" s="156">
        <v>2.3220000000000001</v>
      </c>
      <c r="F9416" s="31">
        <v>4.484</v>
      </c>
      <c r="G9416" s="28">
        <f>IF(ISNUMBER(F9416),E9416*F9416,"")</f>
        <v>10.411848000000001</v>
      </c>
      <c r="H9416" s="32"/>
      <c r="I9416" s="28"/>
      <c r="J9416" s="125">
        <v>0</v>
      </c>
    </row>
    <row r="9417" spans="1:10" s="169" customFormat="1" hidden="1" x14ac:dyDescent="0.25">
      <c r="A9417" s="242"/>
      <c r="B9417" s="245"/>
      <c r="C9417" s="155" t="s">
        <v>27384</v>
      </c>
      <c r="D9417" s="155" t="s">
        <v>205</v>
      </c>
      <c r="E9417" s="156">
        <v>0.309</v>
      </c>
      <c r="F9417" s="31">
        <v>25.916</v>
      </c>
      <c r="G9417" s="28">
        <f>IF(ISNUMBER(F9417),E9417*F9417,"")</f>
        <v>8.0080439999999999</v>
      </c>
      <c r="H9417" s="32"/>
      <c r="I9417" s="28"/>
      <c r="J9417" s="125">
        <v>0</v>
      </c>
    </row>
    <row r="9418" spans="1:10" s="169" customFormat="1" hidden="1" x14ac:dyDescent="0.25">
      <c r="A9418" s="242"/>
      <c r="B9418" s="245"/>
      <c r="C9418" s="155" t="s">
        <v>588</v>
      </c>
      <c r="D9418" s="155" t="s">
        <v>587</v>
      </c>
      <c r="E9418" s="156">
        <v>1.3779999999999999</v>
      </c>
      <c r="F9418" s="31">
        <v>19.189999999999998</v>
      </c>
      <c r="G9418" s="28">
        <f>IF(ISNUMBER(F9418),E9418*F9418,"")</f>
        <v>26.443819999999995</v>
      </c>
      <c r="H9418" s="32"/>
      <c r="I9418" s="28"/>
      <c r="J9418" s="125">
        <v>0</v>
      </c>
    </row>
    <row r="9419" spans="1:10" s="169" customFormat="1" hidden="1" x14ac:dyDescent="0.25">
      <c r="A9419" s="242"/>
      <c r="B9419" s="245"/>
      <c r="C9419" s="155" t="s">
        <v>9864</v>
      </c>
      <c r="D9419" s="155" t="s">
        <v>587</v>
      </c>
      <c r="E9419" s="156">
        <v>1.4179999999999999</v>
      </c>
      <c r="F9419" s="31">
        <v>23.274999999999999</v>
      </c>
      <c r="G9419" s="28">
        <f>IF(ISNUMBER(F9419),E9419*F9419,"")</f>
        <v>33.003949999999996</v>
      </c>
      <c r="H9419" s="32"/>
      <c r="I9419" s="28"/>
      <c r="J9419" s="125">
        <v>0</v>
      </c>
    </row>
    <row r="9420" spans="1:10" s="169" customFormat="1" ht="15.75" hidden="1" thickBot="1" x14ac:dyDescent="0.3">
      <c r="A9420" s="243"/>
      <c r="B9420" s="246"/>
      <c r="C9420" s="155"/>
      <c r="D9420" s="155"/>
      <c r="E9420" s="156"/>
      <c r="F9420" s="28" t="s">
        <v>418</v>
      </c>
      <c r="G9420" s="28" t="str">
        <f>IF(ISNUMBER(F9420),E9420*F9420,"")</f>
        <v/>
      </c>
      <c r="H9420" s="32"/>
      <c r="I9420" s="28"/>
      <c r="J9420" s="125">
        <v>0</v>
      </c>
    </row>
    <row r="9421" spans="1:10" s="169" customFormat="1" ht="15.75" hidden="1" thickBot="1" x14ac:dyDescent="0.3">
      <c r="A9421" s="234" t="s">
        <v>20897</v>
      </c>
      <c r="B9421" s="237" t="s">
        <v>29506</v>
      </c>
      <c r="C9421" s="160"/>
      <c r="D9421" s="145" t="s">
        <v>16</v>
      </c>
      <c r="E9421" s="146"/>
      <c r="F9421" s="37" t="s">
        <v>418</v>
      </c>
      <c r="G9421" s="147" t="str">
        <f>IF(ISNUMBER(F9421),E9421*F9421,"")</f>
        <v/>
      </c>
      <c r="H9421" s="148"/>
      <c r="I9421" s="149"/>
      <c r="J9421" s="125">
        <v>0</v>
      </c>
    </row>
    <row r="9422" spans="1:10" s="169" customFormat="1" hidden="1" x14ac:dyDescent="0.25">
      <c r="A9422" s="235"/>
      <c r="B9422" s="238"/>
      <c r="C9422" s="151"/>
      <c r="D9422" s="151"/>
      <c r="E9422" s="152"/>
      <c r="F9422" s="38" t="s">
        <v>418</v>
      </c>
      <c r="G9422" s="28" t="str">
        <f>IF(ISNUMBER(F9422),E9422*F9422,"")</f>
        <v/>
      </c>
      <c r="H9422" s="32"/>
      <c r="I9422" s="28"/>
      <c r="J9422" s="125">
        <v>0</v>
      </c>
    </row>
    <row r="9423" spans="1:10" s="169" customFormat="1" ht="25.5" hidden="1" x14ac:dyDescent="0.25">
      <c r="A9423" s="235"/>
      <c r="B9423" s="238"/>
      <c r="C9423" s="155" t="s">
        <v>26789</v>
      </c>
      <c r="D9423" s="155" t="s">
        <v>85</v>
      </c>
      <c r="E9423" s="156">
        <v>1.1999999999999999E-3</v>
      </c>
      <c r="F9423" s="28">
        <v>224.44699999999997</v>
      </c>
      <c r="G9423" s="28">
        <f>IF(ISNUMBER(F9423),E9423*F9423,"")</f>
        <v>0.26933639999999992</v>
      </c>
      <c r="H9423" s="35">
        <f>SUM(G9423:G9430)</f>
        <v>1278.4748179848552</v>
      </c>
      <c r="I9423" s="36"/>
      <c r="J9423" s="125">
        <v>0</v>
      </c>
    </row>
    <row r="9424" spans="1:10" s="169" customFormat="1" ht="25.5" hidden="1" x14ac:dyDescent="0.25">
      <c r="A9424" s="235"/>
      <c r="B9424" s="238"/>
      <c r="C9424" s="155" t="s">
        <v>975</v>
      </c>
      <c r="D9424" s="155" t="s">
        <v>814</v>
      </c>
      <c r="E9424" s="156">
        <v>7.6799999999999993E-2</v>
      </c>
      <c r="F9424" s="28">
        <v>24.738</v>
      </c>
      <c r="G9424" s="28">
        <f>IF(ISNUMBER(F9424),E9424*F9424,"")</f>
        <v>1.8998783999999997</v>
      </c>
      <c r="H9424" s="32"/>
      <c r="I9424" s="28"/>
      <c r="J9424" s="125">
        <v>0</v>
      </c>
    </row>
    <row r="9425" spans="1:10" s="169" customFormat="1" ht="25.5" hidden="1" x14ac:dyDescent="0.25">
      <c r="A9425" s="235"/>
      <c r="B9425" s="238"/>
      <c r="C9425" s="155" t="s">
        <v>976</v>
      </c>
      <c r="D9425" s="155" t="s">
        <v>816</v>
      </c>
      <c r="E9425" s="156">
        <v>0.25850000000000001</v>
      </c>
      <c r="F9425" s="31">
        <v>23.122999999999998</v>
      </c>
      <c r="G9425" s="28">
        <f>IF(ISNUMBER(F9425),E9425*F9425,"")</f>
        <v>5.9772954999999994</v>
      </c>
      <c r="H9425" s="32"/>
      <c r="I9425" s="28"/>
      <c r="J9425" s="125">
        <v>0</v>
      </c>
    </row>
    <row r="9426" spans="1:10" s="169" customFormat="1" ht="51" hidden="1" x14ac:dyDescent="0.25">
      <c r="A9426" s="235"/>
      <c r="B9426" s="238"/>
      <c r="C9426" s="155" t="s">
        <v>26052</v>
      </c>
      <c r="D9426" s="155" t="s">
        <v>205</v>
      </c>
      <c r="E9426" s="156">
        <v>1</v>
      </c>
      <c r="F9426" s="31">
        <v>1174.1145000000001</v>
      </c>
      <c r="G9426" s="28">
        <f>IF(ISNUMBER(F9426),E9426*F9426,"")</f>
        <v>1174.1145000000001</v>
      </c>
      <c r="H9426" s="32"/>
      <c r="I9426" s="28"/>
      <c r="J9426" s="125">
        <v>0</v>
      </c>
    </row>
    <row r="9427" spans="1:10" s="169" customFormat="1" ht="38.25" hidden="1" x14ac:dyDescent="0.25">
      <c r="A9427" s="235"/>
      <c r="B9427" s="238"/>
      <c r="C9427" s="155" t="s">
        <v>8987</v>
      </c>
      <c r="D9427" s="155" t="s">
        <v>85</v>
      </c>
      <c r="E9427" s="156">
        <v>1.6000000000000001E-3</v>
      </c>
      <c r="F9427" s="31">
        <v>991.0938594994999</v>
      </c>
      <c r="G9427" s="28">
        <f>IF(ISNUMBER(F9427),E9427*F9427,"")</f>
        <v>1.5857501751991998</v>
      </c>
      <c r="H9427" s="32"/>
      <c r="I9427" s="28"/>
      <c r="J9427" s="125">
        <v>0</v>
      </c>
    </row>
    <row r="9428" spans="1:10" s="169" customFormat="1" hidden="1" x14ac:dyDescent="0.25">
      <c r="A9428" s="235"/>
      <c r="B9428" s="238"/>
      <c r="C9428" s="155" t="s">
        <v>595</v>
      </c>
      <c r="D9428" s="155" t="s">
        <v>587</v>
      </c>
      <c r="E9428" s="156">
        <v>1.8461000000000001</v>
      </c>
      <c r="F9428" s="31">
        <v>25.65</v>
      </c>
      <c r="G9428" s="28">
        <f>IF(ISNUMBER(F9428),E9428*F9428,"")</f>
        <v>47.352465000000002</v>
      </c>
      <c r="H9428" s="32"/>
      <c r="I9428" s="28"/>
      <c r="J9428" s="125">
        <v>0</v>
      </c>
    </row>
    <row r="9429" spans="1:10" s="169" customFormat="1" hidden="1" x14ac:dyDescent="0.25">
      <c r="A9429" s="235"/>
      <c r="B9429" s="238"/>
      <c r="C9429" s="155" t="s">
        <v>588</v>
      </c>
      <c r="D9429" s="155" t="s">
        <v>587</v>
      </c>
      <c r="E9429" s="156">
        <v>1.2307999999999999</v>
      </c>
      <c r="F9429" s="31">
        <v>19.189999999999998</v>
      </c>
      <c r="G9429" s="28">
        <f>IF(ISNUMBER(F9429),E9429*F9429,"")</f>
        <v>23.619051999999996</v>
      </c>
      <c r="H9429" s="32"/>
      <c r="I9429" s="28"/>
      <c r="J9429" s="125">
        <v>0</v>
      </c>
    </row>
    <row r="9430" spans="1:10" s="169" customFormat="1" ht="38.25" hidden="1" x14ac:dyDescent="0.25">
      <c r="A9430" s="235"/>
      <c r="B9430" s="238"/>
      <c r="C9430" s="155" t="s">
        <v>13643</v>
      </c>
      <c r="D9430" s="155" t="s">
        <v>85</v>
      </c>
      <c r="E9430" s="156">
        <v>2.2200000000000001E-2</v>
      </c>
      <c r="F9430" s="31">
        <v>1065.6099328673897</v>
      </c>
      <c r="G9430" s="28">
        <f>IF(ISNUMBER(F9430),E9430*F9430,"")</f>
        <v>23.656540509656054</v>
      </c>
      <c r="H9430" s="32"/>
      <c r="I9430" s="28"/>
      <c r="J9430" s="125">
        <v>0</v>
      </c>
    </row>
    <row r="9431" spans="1:10" s="169" customFormat="1" ht="15.75" hidden="1" thickBot="1" x14ac:dyDescent="0.3">
      <c r="A9431" s="236"/>
      <c r="B9431" s="239"/>
      <c r="C9431" s="155"/>
      <c r="D9431" s="155"/>
      <c r="E9431" s="156"/>
      <c r="F9431" s="28" t="s">
        <v>418</v>
      </c>
      <c r="G9431" s="28" t="str">
        <f>IF(ISNUMBER(F9431),E9431*F9431,"")</f>
        <v/>
      </c>
      <c r="H9431" s="32"/>
      <c r="I9431" s="28"/>
      <c r="J9431" s="125">
        <v>0</v>
      </c>
    </row>
    <row r="9432" spans="1:10" s="169" customFormat="1" ht="15.75" hidden="1" thickBot="1" x14ac:dyDescent="0.3">
      <c r="A9432" s="234" t="s">
        <v>20898</v>
      </c>
      <c r="B9432" s="237" t="s">
        <v>29507</v>
      </c>
      <c r="C9432" s="160"/>
      <c r="D9432" s="145" t="s">
        <v>69</v>
      </c>
      <c r="E9432" s="146"/>
      <c r="F9432" s="37" t="s">
        <v>418</v>
      </c>
      <c r="G9432" s="147" t="str">
        <f>IF(ISNUMBER(F9432),E9432*F9432,"")</f>
        <v/>
      </c>
      <c r="H9432" s="148"/>
      <c r="I9432" s="149"/>
      <c r="J9432" s="125">
        <v>0</v>
      </c>
    </row>
    <row r="9433" spans="1:10" s="169" customFormat="1" hidden="1" x14ac:dyDescent="0.25">
      <c r="A9433" s="235"/>
      <c r="B9433" s="238"/>
      <c r="C9433" s="151"/>
      <c r="D9433" s="151"/>
      <c r="E9433" s="152"/>
      <c r="F9433" s="38" t="s">
        <v>418</v>
      </c>
      <c r="G9433" s="28" t="str">
        <f>IF(ISNUMBER(F9433),E9433*F9433,"")</f>
        <v/>
      </c>
      <c r="H9433" s="32"/>
      <c r="I9433" s="28"/>
      <c r="J9433" s="125">
        <v>0</v>
      </c>
    </row>
    <row r="9434" spans="1:10" s="169" customFormat="1" hidden="1" x14ac:dyDescent="0.25">
      <c r="A9434" s="235"/>
      <c r="B9434" s="238"/>
      <c r="C9434" s="155" t="s">
        <v>28278</v>
      </c>
      <c r="D9434" s="155" t="s">
        <v>385</v>
      </c>
      <c r="E9434" s="156">
        <v>1.0492999999999999</v>
      </c>
      <c r="F9434" s="28">
        <v>46.977499999999999</v>
      </c>
      <c r="G9434" s="28">
        <f>IF(ISNUMBER(F9434),E9434*F9434,"")</f>
        <v>49.293490749999997</v>
      </c>
      <c r="H9434" s="35">
        <f>SUM(G9434:G9437)</f>
        <v>51.470828050000001</v>
      </c>
      <c r="I9434" s="36"/>
      <c r="J9434" s="125">
        <v>0</v>
      </c>
    </row>
    <row r="9435" spans="1:10" s="169" customFormat="1" hidden="1" x14ac:dyDescent="0.25">
      <c r="A9435" s="235"/>
      <c r="B9435" s="238"/>
      <c r="C9435" s="155" t="s">
        <v>26048</v>
      </c>
      <c r="D9435" s="155" t="s">
        <v>205</v>
      </c>
      <c r="E9435" s="156">
        <v>1.15E-2</v>
      </c>
      <c r="F9435" s="28">
        <v>2.1849999999999996</v>
      </c>
      <c r="G9435" s="28">
        <f>IF(ISNUMBER(F9435),E9435*F9435,"")</f>
        <v>2.5127499999999994E-2</v>
      </c>
      <c r="H9435" s="32"/>
      <c r="I9435" s="28"/>
      <c r="J9435" s="125">
        <v>0</v>
      </c>
    </row>
    <row r="9436" spans="1:10" s="169" customFormat="1" ht="25.5" hidden="1" x14ac:dyDescent="0.25">
      <c r="A9436" s="235"/>
      <c r="B9436" s="238"/>
      <c r="C9436" s="155" t="s">
        <v>824</v>
      </c>
      <c r="D9436" s="155" t="s">
        <v>587</v>
      </c>
      <c r="E9436" s="156">
        <v>4.9399999999999999E-2</v>
      </c>
      <c r="F9436" s="31">
        <v>18.6295</v>
      </c>
      <c r="G9436" s="28">
        <f>IF(ISNUMBER(F9436),E9436*F9436,"")</f>
        <v>0.92029729999999998</v>
      </c>
      <c r="H9436" s="32"/>
      <c r="I9436" s="28"/>
      <c r="J9436" s="125">
        <v>0</v>
      </c>
    </row>
    <row r="9437" spans="1:10" s="169" customFormat="1" ht="25.5" hidden="1" x14ac:dyDescent="0.25">
      <c r="A9437" s="235"/>
      <c r="B9437" s="238"/>
      <c r="C9437" s="155" t="s">
        <v>825</v>
      </c>
      <c r="D9437" s="155" t="s">
        <v>587</v>
      </c>
      <c r="E9437" s="156">
        <v>4.9399999999999999E-2</v>
      </c>
      <c r="F9437" s="31">
        <v>24.9375</v>
      </c>
      <c r="G9437" s="28">
        <f>IF(ISNUMBER(F9437),E9437*F9437,"")</f>
        <v>1.2319125</v>
      </c>
      <c r="H9437" s="32"/>
      <c r="I9437" s="28"/>
      <c r="J9437" s="125">
        <v>0</v>
      </c>
    </row>
    <row r="9438" spans="1:10" s="169" customFormat="1" ht="15.75" hidden="1" thickBot="1" x14ac:dyDescent="0.3">
      <c r="A9438" s="236"/>
      <c r="B9438" s="239"/>
      <c r="C9438" s="155"/>
      <c r="D9438" s="155"/>
      <c r="E9438" s="156"/>
      <c r="F9438" s="28" t="s">
        <v>418</v>
      </c>
      <c r="G9438" s="28" t="str">
        <f>IF(ISNUMBER(F9438),E9438*F9438,"")</f>
        <v/>
      </c>
      <c r="H9438" s="32"/>
      <c r="I9438" s="28"/>
      <c r="J9438" s="125">
        <v>0</v>
      </c>
    </row>
    <row r="9439" spans="1:10" s="169" customFormat="1" ht="15.75" hidden="1" thickBot="1" x14ac:dyDescent="0.3">
      <c r="A9439" s="234" t="s">
        <v>20899</v>
      </c>
      <c r="B9439" s="237" t="s">
        <v>29523</v>
      </c>
      <c r="C9439" s="160"/>
      <c r="D9439" s="145" t="s">
        <v>69</v>
      </c>
      <c r="E9439" s="146"/>
      <c r="F9439" s="37" t="s">
        <v>418</v>
      </c>
      <c r="G9439" s="147" t="str">
        <f>IF(ISNUMBER(F9439),E9439*F9439,"")</f>
        <v/>
      </c>
      <c r="H9439" s="148"/>
      <c r="I9439" s="149"/>
      <c r="J9439" s="125">
        <v>0</v>
      </c>
    </row>
    <row r="9440" spans="1:10" s="169" customFormat="1" hidden="1" x14ac:dyDescent="0.25">
      <c r="A9440" s="235"/>
      <c r="B9440" s="238"/>
      <c r="C9440" s="151"/>
      <c r="D9440" s="151"/>
      <c r="E9440" s="152"/>
      <c r="F9440" s="38" t="s">
        <v>418</v>
      </c>
      <c r="G9440" s="28" t="str">
        <f>IF(ISNUMBER(F9440),E9440*F9440,"")</f>
        <v/>
      </c>
      <c r="H9440" s="32"/>
      <c r="I9440" s="28"/>
      <c r="J9440" s="125">
        <v>0</v>
      </c>
    </row>
    <row r="9441" spans="1:10" s="169" customFormat="1" hidden="1" x14ac:dyDescent="0.25">
      <c r="A9441" s="235"/>
      <c r="B9441" s="238"/>
      <c r="C9441" s="155" t="s">
        <v>28271</v>
      </c>
      <c r="D9441" s="155" t="s">
        <v>385</v>
      </c>
      <c r="E9441" s="156">
        <v>1.0492999999999999</v>
      </c>
      <c r="F9441" s="28">
        <v>102.27699999999999</v>
      </c>
      <c r="G9441" s="28">
        <f>IF(ISNUMBER(F9441),E9441*F9441,"")</f>
        <v>107.31925609999998</v>
      </c>
      <c r="H9441" s="35">
        <f>SUM(G9441:G9444)</f>
        <v>109.75669769999998</v>
      </c>
      <c r="I9441" s="36"/>
      <c r="J9441" s="125">
        <v>0</v>
      </c>
    </row>
    <row r="9442" spans="1:10" s="169" customFormat="1" hidden="1" x14ac:dyDescent="0.25">
      <c r="A9442" s="235"/>
      <c r="B9442" s="238"/>
      <c r="C9442" s="155" t="s">
        <v>26048</v>
      </c>
      <c r="D9442" s="155" t="s">
        <v>205</v>
      </c>
      <c r="E9442" s="156">
        <v>1.29E-2</v>
      </c>
      <c r="F9442" s="28">
        <v>2.1849999999999996</v>
      </c>
      <c r="G9442" s="28">
        <f>IF(ISNUMBER(F9442),E9442*F9442,"")</f>
        <v>2.8186499999999996E-2</v>
      </c>
      <c r="H9442" s="32"/>
      <c r="I9442" s="28"/>
      <c r="J9442" s="125">
        <v>0</v>
      </c>
    </row>
    <row r="9443" spans="1:10" s="169" customFormat="1" ht="25.5" hidden="1" x14ac:dyDescent="0.25">
      <c r="A9443" s="235"/>
      <c r="B9443" s="238"/>
      <c r="C9443" s="155" t="s">
        <v>824</v>
      </c>
      <c r="D9443" s="155" t="s">
        <v>587</v>
      </c>
      <c r="E9443" s="156">
        <v>5.5300000000000002E-2</v>
      </c>
      <c r="F9443" s="31">
        <v>18.6295</v>
      </c>
      <c r="G9443" s="28">
        <f>IF(ISNUMBER(F9443),E9443*F9443,"")</f>
        <v>1.0302113500000001</v>
      </c>
      <c r="H9443" s="32"/>
      <c r="I9443" s="28"/>
      <c r="J9443" s="125">
        <v>0</v>
      </c>
    </row>
    <row r="9444" spans="1:10" s="169" customFormat="1" ht="25.5" hidden="1" x14ac:dyDescent="0.25">
      <c r="A9444" s="235"/>
      <c r="B9444" s="238"/>
      <c r="C9444" s="155" t="s">
        <v>825</v>
      </c>
      <c r="D9444" s="155" t="s">
        <v>587</v>
      </c>
      <c r="E9444" s="156">
        <v>5.5300000000000002E-2</v>
      </c>
      <c r="F9444" s="31">
        <v>24.9375</v>
      </c>
      <c r="G9444" s="28">
        <f>IF(ISNUMBER(F9444),E9444*F9444,"")</f>
        <v>1.3790437500000001</v>
      </c>
      <c r="H9444" s="32"/>
      <c r="I9444" s="28"/>
      <c r="J9444" s="125">
        <v>0</v>
      </c>
    </row>
    <row r="9445" spans="1:10" s="169" customFormat="1" ht="15.75" hidden="1" thickBot="1" x14ac:dyDescent="0.3">
      <c r="A9445" s="236"/>
      <c r="B9445" s="239"/>
      <c r="C9445" s="155"/>
      <c r="D9445" s="155"/>
      <c r="E9445" s="156"/>
      <c r="F9445" s="28" t="s">
        <v>418</v>
      </c>
      <c r="G9445" s="28" t="str">
        <f>IF(ISNUMBER(F9445),E9445*F9445,"")</f>
        <v/>
      </c>
      <c r="H9445" s="32"/>
      <c r="I9445" s="28"/>
      <c r="J9445" s="125">
        <v>0</v>
      </c>
    </row>
    <row r="9446" spans="1:10" s="169" customFormat="1" ht="15.75" hidden="1" thickBot="1" x14ac:dyDescent="0.3">
      <c r="A9446" s="234" t="s">
        <v>20900</v>
      </c>
      <c r="B9446" s="237" t="s">
        <v>38889</v>
      </c>
      <c r="C9446" s="160"/>
      <c r="D9446" s="145" t="s">
        <v>16</v>
      </c>
      <c r="E9446" s="146"/>
      <c r="F9446" s="37" t="s">
        <v>418</v>
      </c>
      <c r="G9446" s="147" t="str">
        <f>IF(ISNUMBER(F9446),E9446*F9446,"")</f>
        <v/>
      </c>
      <c r="H9446" s="148"/>
      <c r="I9446" s="149"/>
      <c r="J9446" s="125">
        <v>0</v>
      </c>
    </row>
    <row r="9447" spans="1:10" s="169" customFormat="1" hidden="1" x14ac:dyDescent="0.25">
      <c r="A9447" s="235"/>
      <c r="B9447" s="238"/>
      <c r="C9447" s="151"/>
      <c r="D9447" s="151"/>
      <c r="E9447" s="152"/>
      <c r="F9447" s="38" t="s">
        <v>418</v>
      </c>
      <c r="G9447" s="28" t="str">
        <f>IF(ISNUMBER(F9447),E9447*F9447,"")</f>
        <v/>
      </c>
      <c r="H9447" s="32"/>
      <c r="I9447" s="28"/>
      <c r="J9447" s="125">
        <v>0</v>
      </c>
    </row>
    <row r="9448" spans="1:10" s="169" customFormat="1" hidden="1" x14ac:dyDescent="0.25">
      <c r="A9448" s="235"/>
      <c r="B9448" s="238"/>
      <c r="C9448" s="155" t="s">
        <v>237</v>
      </c>
      <c r="D9448" s="155" t="s">
        <v>205</v>
      </c>
      <c r="E9448" s="156">
        <v>4.5199999999999997E-2</v>
      </c>
      <c r="F9448" s="28">
        <v>17.166499999999999</v>
      </c>
      <c r="G9448" s="28">
        <f>IF(ISNUMBER(F9448),E9448*F9448,"")</f>
        <v>0.77592579999999989</v>
      </c>
      <c r="H9448" s="35">
        <f>SUM(G9448:G9451)</f>
        <v>446.94708329999997</v>
      </c>
      <c r="I9448" s="36"/>
      <c r="J9448" s="125">
        <v>0</v>
      </c>
    </row>
    <row r="9449" spans="1:10" s="169" customFormat="1" ht="25.5" hidden="1" x14ac:dyDescent="0.25">
      <c r="A9449" s="235"/>
      <c r="B9449" s="238"/>
      <c r="C9449" s="155" t="s">
        <v>27252</v>
      </c>
      <c r="D9449" s="155" t="s">
        <v>205</v>
      </c>
      <c r="E9449" s="156">
        <v>1</v>
      </c>
      <c r="F9449" s="28">
        <v>414.69399999999996</v>
      </c>
      <c r="G9449" s="28">
        <f>IF(ISNUMBER(F9449),E9449*F9449,"")</f>
        <v>414.69399999999996</v>
      </c>
      <c r="H9449" s="32"/>
      <c r="I9449" s="28"/>
      <c r="J9449" s="125">
        <v>0</v>
      </c>
    </row>
    <row r="9450" spans="1:10" s="169" customFormat="1" ht="25.5" hidden="1" x14ac:dyDescent="0.25">
      <c r="A9450" s="235"/>
      <c r="B9450" s="238"/>
      <c r="C9450" s="155" t="s">
        <v>824</v>
      </c>
      <c r="D9450" s="155" t="s">
        <v>587</v>
      </c>
      <c r="E9450" s="156">
        <v>0.72250000000000003</v>
      </c>
      <c r="F9450" s="31">
        <v>18.6295</v>
      </c>
      <c r="G9450" s="28">
        <f>IF(ISNUMBER(F9450),E9450*F9450,"")</f>
        <v>13.45981375</v>
      </c>
      <c r="H9450" s="32"/>
      <c r="I9450" s="28"/>
      <c r="J9450" s="125">
        <v>0</v>
      </c>
    </row>
    <row r="9451" spans="1:10" s="169" customFormat="1" ht="25.5" hidden="1" x14ac:dyDescent="0.25">
      <c r="A9451" s="235"/>
      <c r="B9451" s="238"/>
      <c r="C9451" s="155" t="s">
        <v>825</v>
      </c>
      <c r="D9451" s="155" t="s">
        <v>587</v>
      </c>
      <c r="E9451" s="156">
        <v>0.72250000000000003</v>
      </c>
      <c r="F9451" s="31">
        <v>24.9375</v>
      </c>
      <c r="G9451" s="28">
        <f>IF(ISNUMBER(F9451),E9451*F9451,"")</f>
        <v>18.017343750000002</v>
      </c>
      <c r="H9451" s="32"/>
      <c r="I9451" s="28"/>
      <c r="J9451" s="125">
        <v>0</v>
      </c>
    </row>
    <row r="9452" spans="1:10" s="169" customFormat="1" ht="15.75" hidden="1" thickBot="1" x14ac:dyDescent="0.3">
      <c r="A9452" s="236"/>
      <c r="B9452" s="239"/>
      <c r="C9452" s="155"/>
      <c r="D9452" s="155"/>
      <c r="E9452" s="156"/>
      <c r="F9452" s="28" t="s">
        <v>418</v>
      </c>
      <c r="G9452" s="28" t="str">
        <f>IF(ISNUMBER(F9452),E9452*F9452,"")</f>
        <v/>
      </c>
      <c r="H9452" s="32"/>
      <c r="I9452" s="28"/>
      <c r="J9452" s="125">
        <v>0</v>
      </c>
    </row>
    <row r="9453" spans="1:10" s="169" customFormat="1" ht="15.75" hidden="1" thickBot="1" x14ac:dyDescent="0.3">
      <c r="A9453" s="234" t="s">
        <v>20901</v>
      </c>
      <c r="B9453" s="237" t="s">
        <v>38890</v>
      </c>
      <c r="C9453" s="160"/>
      <c r="D9453" s="145" t="s">
        <v>16</v>
      </c>
      <c r="E9453" s="146"/>
      <c r="F9453" s="37" t="s">
        <v>418</v>
      </c>
      <c r="G9453" s="147" t="str">
        <f>IF(ISNUMBER(F9453),E9453*F9453,"")</f>
        <v/>
      </c>
      <c r="H9453" s="148"/>
      <c r="I9453" s="149"/>
      <c r="J9453" s="125">
        <v>0</v>
      </c>
    </row>
    <row r="9454" spans="1:10" s="169" customFormat="1" hidden="1" x14ac:dyDescent="0.25">
      <c r="A9454" s="235"/>
      <c r="B9454" s="238"/>
      <c r="C9454" s="151"/>
      <c r="D9454" s="151"/>
      <c r="E9454" s="152"/>
      <c r="F9454" s="38" t="s">
        <v>418</v>
      </c>
      <c r="G9454" s="28" t="str">
        <f>IF(ISNUMBER(F9454),E9454*F9454,"")</f>
        <v/>
      </c>
      <c r="H9454" s="32"/>
      <c r="I9454" s="28"/>
      <c r="J9454" s="125">
        <v>0</v>
      </c>
    </row>
    <row r="9455" spans="1:10" s="169" customFormat="1" hidden="1" x14ac:dyDescent="0.25">
      <c r="A9455" s="235"/>
      <c r="B9455" s="238"/>
      <c r="C9455" s="155" t="s">
        <v>237</v>
      </c>
      <c r="D9455" s="155" t="s">
        <v>205</v>
      </c>
      <c r="E9455" s="156">
        <v>3.0200000000000001E-2</v>
      </c>
      <c r="F9455" s="28">
        <v>17.166499999999999</v>
      </c>
      <c r="G9455" s="28">
        <f>IF(ISNUMBER(F9455),E9455*F9455,"")</f>
        <v>0.51842829999999995</v>
      </c>
      <c r="H9455" s="35">
        <f>SUM(G9455:G9458)</f>
        <v>184.71198649999999</v>
      </c>
      <c r="I9455" s="36"/>
      <c r="J9455" s="125">
        <v>0</v>
      </c>
    </row>
    <row r="9456" spans="1:10" s="169" customFormat="1" ht="25.5" hidden="1" x14ac:dyDescent="0.25">
      <c r="A9456" s="235"/>
      <c r="B9456" s="238"/>
      <c r="C9456" s="155" t="s">
        <v>27249</v>
      </c>
      <c r="D9456" s="155" t="s">
        <v>205</v>
      </c>
      <c r="E9456" s="156">
        <v>1</v>
      </c>
      <c r="F9456" s="28">
        <v>164.38799999999998</v>
      </c>
      <c r="G9456" s="28">
        <f>IF(ISNUMBER(F9456),E9456*F9456,"")</f>
        <v>164.38799999999998</v>
      </c>
      <c r="H9456" s="32"/>
      <c r="I9456" s="28"/>
      <c r="J9456" s="125">
        <v>0</v>
      </c>
    </row>
    <row r="9457" spans="1:10" s="169" customFormat="1" ht="25.5" hidden="1" x14ac:dyDescent="0.25">
      <c r="A9457" s="235"/>
      <c r="B9457" s="238"/>
      <c r="C9457" s="155" t="s">
        <v>824</v>
      </c>
      <c r="D9457" s="155" t="s">
        <v>587</v>
      </c>
      <c r="E9457" s="156">
        <v>0.4546</v>
      </c>
      <c r="F9457" s="31">
        <v>18.6295</v>
      </c>
      <c r="G9457" s="28">
        <f>IF(ISNUMBER(F9457),E9457*F9457,"")</f>
        <v>8.4689706999999999</v>
      </c>
      <c r="H9457" s="32"/>
      <c r="I9457" s="28"/>
      <c r="J9457" s="125">
        <v>0</v>
      </c>
    </row>
    <row r="9458" spans="1:10" s="169" customFormat="1" ht="25.5" hidden="1" x14ac:dyDescent="0.25">
      <c r="A9458" s="235"/>
      <c r="B9458" s="238"/>
      <c r="C9458" s="155" t="s">
        <v>825</v>
      </c>
      <c r="D9458" s="155" t="s">
        <v>587</v>
      </c>
      <c r="E9458" s="156">
        <v>0.4546</v>
      </c>
      <c r="F9458" s="31">
        <v>24.9375</v>
      </c>
      <c r="G9458" s="28">
        <f>IF(ISNUMBER(F9458),E9458*F9458,"")</f>
        <v>11.3365875</v>
      </c>
      <c r="H9458" s="32"/>
      <c r="I9458" s="28"/>
      <c r="J9458" s="125">
        <v>0</v>
      </c>
    </row>
    <row r="9459" spans="1:10" s="169" customFormat="1" ht="15.75" hidden="1" thickBot="1" x14ac:dyDescent="0.3">
      <c r="A9459" s="236"/>
      <c r="B9459" s="239"/>
      <c r="C9459" s="155"/>
      <c r="D9459" s="155"/>
      <c r="E9459" s="156"/>
      <c r="F9459" s="28" t="s">
        <v>418</v>
      </c>
      <c r="G9459" s="28" t="str">
        <f>IF(ISNUMBER(F9459),E9459*F9459,"")</f>
        <v/>
      </c>
      <c r="H9459" s="32"/>
      <c r="I9459" s="28"/>
      <c r="J9459" s="125">
        <v>0</v>
      </c>
    </row>
    <row r="9460" spans="1:10" s="169" customFormat="1" ht="15.75" hidden="1" thickBot="1" x14ac:dyDescent="0.3">
      <c r="A9460" s="234" t="s">
        <v>20902</v>
      </c>
      <c r="B9460" s="237" t="s">
        <v>29508</v>
      </c>
      <c r="C9460" s="160"/>
      <c r="D9460" s="145" t="s">
        <v>69</v>
      </c>
      <c r="E9460" s="146"/>
      <c r="F9460" s="37" t="s">
        <v>418</v>
      </c>
      <c r="G9460" s="147" t="str">
        <f>IF(ISNUMBER(F9460),E9460*F9460,"")</f>
        <v/>
      </c>
      <c r="H9460" s="148"/>
      <c r="I9460" s="149"/>
      <c r="J9460" s="125">
        <v>0</v>
      </c>
    </row>
    <row r="9461" spans="1:10" s="169" customFormat="1" hidden="1" x14ac:dyDescent="0.25">
      <c r="A9461" s="235"/>
      <c r="B9461" s="240"/>
      <c r="C9461" s="127"/>
      <c r="D9461" s="127"/>
      <c r="E9461" s="128"/>
      <c r="F9461" s="38" t="s">
        <v>418</v>
      </c>
      <c r="G9461" s="28" t="str">
        <f>IF(ISNUMBER(F9461),E9461*F9461,"")</f>
        <v/>
      </c>
      <c r="H9461" s="32"/>
      <c r="I9461" s="28"/>
      <c r="J9461" s="125">
        <v>0</v>
      </c>
    </row>
    <row r="9462" spans="1:10" s="169" customFormat="1" ht="25.5" hidden="1" x14ac:dyDescent="0.25">
      <c r="A9462" s="235"/>
      <c r="B9462" s="240"/>
      <c r="C9462" s="129" t="s">
        <v>91</v>
      </c>
      <c r="D9462" s="129" t="s">
        <v>774</v>
      </c>
      <c r="E9462" s="130">
        <f>0.1*(1.73)</f>
        <v>0.17300000000000001</v>
      </c>
      <c r="F9462" s="28">
        <v>9.9085000000000001</v>
      </c>
      <c r="G9462" s="28">
        <f>IF(ISNUMBER(F9462),E9462*F9462,"")</f>
        <v>1.7141705000000003</v>
      </c>
      <c r="H9462" s="35">
        <f>SUM(G9462:G9470)</f>
        <v>35.818241931999999</v>
      </c>
      <c r="I9462" s="36"/>
      <c r="J9462" s="125">
        <v>0</v>
      </c>
    </row>
    <row r="9463" spans="1:10" s="169" customFormat="1" hidden="1" x14ac:dyDescent="0.25">
      <c r="A9463" s="235"/>
      <c r="B9463" s="240"/>
      <c r="C9463" s="129" t="s">
        <v>29527</v>
      </c>
      <c r="D9463" s="129" t="s">
        <v>870</v>
      </c>
      <c r="E9463" s="130">
        <v>0.02</v>
      </c>
      <c r="F9463" s="28" t="s">
        <v>418</v>
      </c>
      <c r="G9463" s="28" t="str">
        <f>IF(ISNUMBER(F9463),E9463*F9463,"")</f>
        <v/>
      </c>
      <c r="H9463" s="32"/>
      <c r="I9463" s="28"/>
      <c r="J9463" s="125">
        <v>0</v>
      </c>
    </row>
    <row r="9464" spans="1:10" s="169" customFormat="1" hidden="1" x14ac:dyDescent="0.25">
      <c r="A9464" s="235"/>
      <c r="B9464" s="240"/>
      <c r="C9464" s="129" t="s">
        <v>10274</v>
      </c>
      <c r="D9464" s="129" t="s">
        <v>774</v>
      </c>
      <c r="E9464" s="130">
        <f>0.12*ROUND(1/0.59,4)</f>
        <v>0.20338800000000001</v>
      </c>
      <c r="F9464" s="31">
        <v>39.444000000000003</v>
      </c>
      <c r="G9464" s="28">
        <f>IF(ISNUMBER(F9464),E9464*F9464,"")</f>
        <v>8.0224362720000002</v>
      </c>
      <c r="H9464" s="32"/>
      <c r="I9464" s="28"/>
      <c r="J9464" s="125">
        <v>0</v>
      </c>
    </row>
    <row r="9465" spans="1:10" s="169" customFormat="1" hidden="1" x14ac:dyDescent="0.25">
      <c r="A9465" s="235"/>
      <c r="B9465" s="240"/>
      <c r="C9465" s="129" t="s">
        <v>962</v>
      </c>
      <c r="D9465" s="129" t="s">
        <v>587</v>
      </c>
      <c r="E9465" s="130">
        <f>0.4*(2*0.2149)</f>
        <v>0.17192000000000002</v>
      </c>
      <c r="F9465" s="28">
        <v>26.799499999999998</v>
      </c>
      <c r="G9465" s="31">
        <f>IF(ISNUMBER(F9465),E9465*F9465,"")</f>
        <v>4.6073700400000002</v>
      </c>
      <c r="H9465" s="32"/>
      <c r="I9465" s="36"/>
      <c r="J9465" s="125">
        <v>0</v>
      </c>
    </row>
    <row r="9466" spans="1:10" s="169" customFormat="1" hidden="1" x14ac:dyDescent="0.25">
      <c r="A9466" s="235"/>
      <c r="B9466" s="240"/>
      <c r="C9466" s="129" t="s">
        <v>126</v>
      </c>
      <c r="D9466" s="126" t="s">
        <v>76</v>
      </c>
      <c r="E9466" s="130">
        <f>0.4*(2*(3.6/45))</f>
        <v>6.4000000000000001E-2</v>
      </c>
      <c r="F9466" s="31" t="s">
        <v>418</v>
      </c>
      <c r="G9466" s="31" t="str">
        <f>IF(ISNUMBER(F9466),E9466*F9466,"")</f>
        <v/>
      </c>
      <c r="H9466" s="32"/>
      <c r="I9466" s="28"/>
      <c r="J9466" s="125">
        <v>0</v>
      </c>
    </row>
    <row r="9467" spans="1:10" s="169" customFormat="1" ht="25.5" hidden="1" x14ac:dyDescent="0.25">
      <c r="A9467" s="235"/>
      <c r="B9467" s="240"/>
      <c r="C9467" s="129" t="s">
        <v>5454</v>
      </c>
      <c r="D9467" s="129" t="s">
        <v>385</v>
      </c>
      <c r="E9467" s="130">
        <v>0.2</v>
      </c>
      <c r="F9467" s="31">
        <v>58.646254999999996</v>
      </c>
      <c r="G9467" s="28">
        <f>IF(ISNUMBER(F9467),E9467*F9467,"")</f>
        <v>11.729251</v>
      </c>
      <c r="H9467" s="32"/>
      <c r="I9467" s="28"/>
      <c r="J9467" s="125">
        <v>0</v>
      </c>
    </row>
    <row r="9468" spans="1:10" s="169" customFormat="1" ht="25.5" hidden="1" x14ac:dyDescent="0.25">
      <c r="A9468" s="235"/>
      <c r="B9468" s="240"/>
      <c r="C9468" s="129" t="s">
        <v>8549</v>
      </c>
      <c r="D9468" s="129" t="s">
        <v>870</v>
      </c>
      <c r="E9468" s="130">
        <v>0.4</v>
      </c>
      <c r="F9468" s="31">
        <v>9.0653806999999986</v>
      </c>
      <c r="G9468" s="28">
        <f>IF(ISNUMBER(F9468),E9468*F9468,"")</f>
        <v>3.6261522799999995</v>
      </c>
      <c r="H9468" s="32"/>
      <c r="I9468" s="28"/>
      <c r="J9468" s="125">
        <v>0</v>
      </c>
    </row>
    <row r="9469" spans="1:10" s="169" customFormat="1" hidden="1" x14ac:dyDescent="0.25">
      <c r="A9469" s="235"/>
      <c r="B9469" s="240"/>
      <c r="C9469" s="129" t="s">
        <v>962</v>
      </c>
      <c r="D9469" s="129" t="s">
        <v>587</v>
      </c>
      <c r="E9469" s="130">
        <f>0.4*(0.5708)</f>
        <v>0.22832</v>
      </c>
      <c r="F9469" s="28">
        <v>26.799499999999998</v>
      </c>
      <c r="G9469" s="31">
        <f>IF(ISNUMBER(F9469),E9469*F9469,"")</f>
        <v>6.1188618399999992</v>
      </c>
      <c r="H9469" s="32"/>
      <c r="I9469" s="36"/>
      <c r="J9469" s="125">
        <v>0</v>
      </c>
    </row>
    <row r="9470" spans="1:10" s="169" customFormat="1" hidden="1" x14ac:dyDescent="0.25">
      <c r="A9470" s="235"/>
      <c r="B9470" s="240"/>
      <c r="C9470" s="129" t="s">
        <v>136</v>
      </c>
      <c r="D9470" s="126" t="s">
        <v>76</v>
      </c>
      <c r="E9470" s="130">
        <f>0.4*(ROUND(3*3.6/75,4))</f>
        <v>5.7599999999999998E-2</v>
      </c>
      <c r="F9470" s="31" t="s">
        <v>418</v>
      </c>
      <c r="G9470" s="31" t="str">
        <f>IF(ISNUMBER(F9470),E9470*F9470,"")</f>
        <v/>
      </c>
      <c r="H9470" s="32"/>
      <c r="I9470" s="28"/>
      <c r="J9470" s="125">
        <v>0</v>
      </c>
    </row>
    <row r="9471" spans="1:10" s="169" customFormat="1" ht="15.75" hidden="1" thickBot="1" x14ac:dyDescent="0.3">
      <c r="A9471" s="236"/>
      <c r="B9471" s="239"/>
      <c r="C9471" s="164"/>
      <c r="D9471" s="164"/>
      <c r="E9471" s="165"/>
      <c r="F9471" s="62" t="s">
        <v>418</v>
      </c>
      <c r="G9471" s="62" t="str">
        <f>IF(ISNUMBER(F9471),E9471*F9471,"")</f>
        <v/>
      </c>
      <c r="H9471" s="64"/>
      <c r="I9471" s="28"/>
      <c r="J9471" s="125">
        <v>0</v>
      </c>
    </row>
  </sheetData>
  <protectedRanges>
    <protectedRange sqref="C3246 C3241" name="COTACOES_92_6"/>
    <protectedRange sqref="C393 C414" name="COTACOES_92_13_1"/>
    <protectedRange sqref="C1213" name="COTACOES_91_1_2_1"/>
    <protectedRange sqref="C1207" name="COTACOES_91_1_3_1"/>
    <protectedRange sqref="C1374:C1375" name="COTACOES_68_1_1"/>
    <protectedRange sqref="F1508 F1520 F1502 F1496 F1514" name="COTACOES_27_1_2_1_8_1"/>
    <protectedRange sqref="C1508 C1520 C1502 C1496 C1514" name="COTACOES_5_1_8_1"/>
    <protectedRange sqref="C1393:C1395 C1408:C1410 C1423:C1425 C1438:C1440 C1453:C1455 C1468:C1470 C1483:C1485 C1397 C1412 C1427 C1442 C1457 C1472 C1487" name="COTACOES_32_1_1"/>
    <protectedRange sqref="F1558 F1561 F1564" name="COTACOES_27_1_2_1_17_1"/>
    <protectedRange sqref="C1557:C1559 C1564:C1565 C1561:C1562" name="COTACOES_5_1_17_1"/>
    <protectedRange sqref="C5074" name="COTACOES_15_1_1"/>
    <protectedRange sqref="C1712:C1713 C8393 C8338:C8339 C8348:C8349 C1722:C1723 C8571" name="COTACOES_8_1_1"/>
    <protectedRange sqref="C4933:C4934 C4948 C4955 C1692:C1693 C1702:C1703 C8483 C8492" name="COTACOES_9_1_1_3"/>
    <protectedRange sqref="C1678" name="COTACOES_10_1_1"/>
    <protectedRange sqref="C1748 C8416 C8410 C8423" name="COTACOES_42_1_3"/>
    <protectedRange sqref="C1762" name="COTACOES_42_1_1_1"/>
    <protectedRange sqref="C1776" name="COTACOES_42_1_2_1"/>
    <protectedRange sqref="F1734" name="COTACOES_27_1_1_3_1"/>
    <protectedRange sqref="F1741" name="COTACOES_27_1_1_4_1"/>
    <protectedRange sqref="C1800" name="COTACOES_37_1_1"/>
    <protectedRange sqref="C1806" name="COTACOES_82_1_1"/>
    <protectedRange sqref="C1819" name="COTACOES_58_1_1"/>
    <protectedRange sqref="C1825" name="COTACOES_61_1_1"/>
    <protectedRange sqref="C1831" name="COTACOES_40_1_1"/>
    <protectedRange sqref="C1837" name="COTACOES_36_1_2"/>
    <protectedRange sqref="C1873 C9167" name="COTACOES_41_1_2"/>
    <protectedRange sqref="C1849 C1867" name="COTACOES_41_1_1_1"/>
    <protectedRange sqref="C1843" name="COTACOES_36_1_1_1"/>
    <protectedRange sqref="C1855 C1861" name="COTACOES_44_1_1"/>
    <protectedRange sqref="C1879" name="COTACOES_51_1_1"/>
    <protectedRange sqref="F1879" name="COTACOES_54_1_1"/>
    <protectedRange sqref="C1885 C2375" name="COTACOES_55_1_3"/>
    <protectedRange sqref="F1885" name="COTACOES_57_1_1"/>
    <protectedRange sqref="C1929" name="COTACOES_75_1_2"/>
    <protectedRange sqref="C1935" name="COTACOES_75_1_1_1"/>
    <protectedRange sqref="C1965 C1957 C9219 C9227 C9235" name="COTACOES_78_1_1"/>
    <protectedRange sqref="C1948" name="COTACOES_80_1_2"/>
    <protectedRange sqref="C1941 C9241 C9248 C9255" name="COTACOES_80_1_1_1"/>
    <protectedRange sqref="C2306" name="COTACOES_62_1_1"/>
    <protectedRange sqref="C3342" name="COTACOES_92_2_3_2"/>
    <protectedRange sqref="C3350" name="COTACOES_92_2_5_1"/>
    <protectedRange sqref="C3660:C3661" name="COTACOES_55_1_1_1_1"/>
    <protectedRange sqref="C3680:C3681 C3694" name="COTACOES_55_1_1_2_1"/>
    <protectedRange sqref="C3813 C3753 C3693 C3695 C3759 C3765 C3771 C3777 C3783 C3789 C3795 C3801 C3807" name="COTACOES_55_1_1_4_1"/>
    <protectedRange sqref="C3937" name="COTACOES_9_1_1_1_1"/>
    <protectedRange sqref="C4135 C4183" name="COTACOES_55_1_7_1_2"/>
    <protectedRange sqref="C2558 C2566 C2574 C7292 C2591 C7296 C7300 C7304 C7251 C7813 C7853 C7865 C7901 C7949" name="COTACOES_92_5_2"/>
    <protectedRange sqref="C4091:C4092 C4097" name="COTACOES_55_1_7_1_1_1_1"/>
    <protectedRange sqref="C4350" name="COTACOES_92_17_1_1_1"/>
    <protectedRange sqref="C2644:C2645 C2650:C2651 C2656:C2657 C2662:C2663 C2668:C2669 C2674:C2675 C2686:C2687 C2692:C2693 C2698:C2699 C2680:C2681 C7147:C7148 C7153:C7154 C7159:C7160 C7165:C7166 C7171:C7172 C8270 C8360 C8372" name="COTACOES_92_3_2_1"/>
    <protectedRange sqref="C5383 C5385 C5442 C5436 C5461" name="COTACOES_8_1_1_1"/>
    <protectedRange sqref="C5384" name="COTACOES_9_1_1_3_4"/>
    <protectedRange sqref="C6386 C6393" name="COTACOES_8_1_1_2"/>
    <protectedRange sqref="C6467" name="COTACOES_9_1_1_3_5_2"/>
    <protectedRange sqref="C7224" name="COTACOES_51_1_1_1"/>
    <protectedRange sqref="F7224" name="COTACOES_54_1_1_1"/>
    <protectedRange sqref="F7396 F7402 F7408 F7414" name="COTACOES_27_1_2_1_8_1_1"/>
    <protectedRange sqref="C7402 C7408 C7414 C7396" name="COTACOES_5_1_8_1_1"/>
    <protectedRange sqref="C8189" name="COTACOES_55_1_7_1_2_1"/>
  </protectedRanges>
  <autoFilter ref="A5:J9471">
    <filterColumn colId="9">
      <filters>
        <filter val="30,00"/>
        <filter val="200,00"/>
      </filters>
    </filterColumn>
  </autoFilter>
  <mergeCells count="3244">
    <mergeCell ref="A8685:A8688"/>
    <mergeCell ref="B8685:B8688"/>
    <mergeCell ref="A8689:A8692"/>
    <mergeCell ref="B8689:B8692"/>
    <mergeCell ref="A9379:A9390"/>
    <mergeCell ref="B9379:B9390"/>
    <mergeCell ref="A9391:A9400"/>
    <mergeCell ref="B9391:B9400"/>
    <mergeCell ref="A9411:A9420"/>
    <mergeCell ref="B9411:B9420"/>
    <mergeCell ref="A9401:A9410"/>
    <mergeCell ref="B9401:B9410"/>
    <mergeCell ref="A8637:A8640"/>
    <mergeCell ref="B8637:B8640"/>
    <mergeCell ref="A8641:A8644"/>
    <mergeCell ref="B8641:B8644"/>
    <mergeCell ref="A8645:A8648"/>
    <mergeCell ref="B8645:B8648"/>
    <mergeCell ref="A8649:A8652"/>
    <mergeCell ref="B8649:B8652"/>
    <mergeCell ref="A8653:A8656"/>
    <mergeCell ref="B8653:B8656"/>
    <mergeCell ref="A8657:A8660"/>
    <mergeCell ref="B8657:B8660"/>
    <mergeCell ref="A8661:A8664"/>
    <mergeCell ref="B8661:B8664"/>
    <mergeCell ref="A8665:A8668"/>
    <mergeCell ref="B8665:B8668"/>
    <mergeCell ref="A8669:A8672"/>
    <mergeCell ref="B8669:B8672"/>
    <mergeCell ref="A8673:A8676"/>
    <mergeCell ref="B8673:B8676"/>
    <mergeCell ref="A8677:A8680"/>
    <mergeCell ref="B8677:B8680"/>
    <mergeCell ref="A8681:A8684"/>
    <mergeCell ref="B8681:B8684"/>
    <mergeCell ref="A9106:A9109"/>
    <mergeCell ref="B9106:B9109"/>
    <mergeCell ref="A9110:A9113"/>
    <mergeCell ref="B9110:B9113"/>
    <mergeCell ref="A9114:A9117"/>
    <mergeCell ref="B9114:B9117"/>
    <mergeCell ref="A9118:A9121"/>
    <mergeCell ref="B9118:B9121"/>
    <mergeCell ref="A9122:A9125"/>
    <mergeCell ref="B9122:B9125"/>
    <mergeCell ref="A9126:A9136"/>
    <mergeCell ref="B9126:B9136"/>
    <mergeCell ref="A9137:A9147"/>
    <mergeCell ref="B9137:B9147"/>
    <mergeCell ref="A8726:A8729"/>
    <mergeCell ref="B8726:B8729"/>
    <mergeCell ref="A8730:A8733"/>
    <mergeCell ref="B8730:B8733"/>
    <mergeCell ref="A8734:A8737"/>
    <mergeCell ref="B8734:B8737"/>
    <mergeCell ref="A8738:A8741"/>
    <mergeCell ref="B8738:B8741"/>
    <mergeCell ref="A8742:A8745"/>
    <mergeCell ref="B8742:B8745"/>
    <mergeCell ref="A8746:A8749"/>
    <mergeCell ref="B8746:B8749"/>
    <mergeCell ref="A8718:A8721"/>
    <mergeCell ref="B8718:B8721"/>
    <mergeCell ref="A9148:A9158"/>
    <mergeCell ref="B9148:B9158"/>
    <mergeCell ref="A8568:A8578"/>
    <mergeCell ref="B8568:B8578"/>
    <mergeCell ref="A8579:A8587"/>
    <mergeCell ref="B8579:B8587"/>
    <mergeCell ref="A8588:A8597"/>
    <mergeCell ref="B8588:B8597"/>
    <mergeCell ref="A8598:A8603"/>
    <mergeCell ref="B8598:B8603"/>
    <mergeCell ref="A8604:A8609"/>
    <mergeCell ref="B8604:B8609"/>
    <mergeCell ref="A8610:A8615"/>
    <mergeCell ref="B8610:B8615"/>
    <mergeCell ref="A8631:A8636"/>
    <mergeCell ref="B8631:B8636"/>
    <mergeCell ref="A8616:A8622"/>
    <mergeCell ref="B8616:B8622"/>
    <mergeCell ref="A8623:A8630"/>
    <mergeCell ref="B8623:B8630"/>
    <mergeCell ref="A8698:A8701"/>
    <mergeCell ref="B8698:B8701"/>
    <mergeCell ref="A8702:A8705"/>
    <mergeCell ref="B8702:B8705"/>
    <mergeCell ref="A8706:A8709"/>
    <mergeCell ref="B8706:B8709"/>
    <mergeCell ref="A8710:A8713"/>
    <mergeCell ref="B8710:B8713"/>
    <mergeCell ref="A8693:A8697"/>
    <mergeCell ref="B8693:B8697"/>
    <mergeCell ref="A8722:A8725"/>
    <mergeCell ref="B8722:B8725"/>
    <mergeCell ref="A6118:A6121"/>
    <mergeCell ref="B6118:B6121"/>
    <mergeCell ref="A8406:A8411"/>
    <mergeCell ref="B8406:B8411"/>
    <mergeCell ref="A8419:A8424"/>
    <mergeCell ref="B8419:B8424"/>
    <mergeCell ref="A7076:A7079"/>
    <mergeCell ref="B7076:B7079"/>
    <mergeCell ref="A7080:A7083"/>
    <mergeCell ref="B7080:B7083"/>
    <mergeCell ref="A7298:A7301"/>
    <mergeCell ref="B7298:B7301"/>
    <mergeCell ref="A7302:A7305"/>
    <mergeCell ref="B7302:B7305"/>
    <mergeCell ref="A7232:A7238"/>
    <mergeCell ref="B7232:B7238"/>
    <mergeCell ref="A7216:A7219"/>
    <mergeCell ref="B7216:B7219"/>
    <mergeCell ref="A7204:A7207"/>
    <mergeCell ref="B7204:B7207"/>
    <mergeCell ref="A7208:A7211"/>
    <mergeCell ref="B7208:B7211"/>
    <mergeCell ref="A7294:A7297"/>
    <mergeCell ref="B7294:B7297"/>
    <mergeCell ref="A7108:A7111"/>
    <mergeCell ref="B7108:B7111"/>
    <mergeCell ref="A7124:A7127"/>
    <mergeCell ref="B7124:B7127"/>
    <mergeCell ref="A7198:A7203"/>
    <mergeCell ref="B7198:B7203"/>
    <mergeCell ref="A7180:A7185"/>
    <mergeCell ref="B7180:B7185"/>
    <mergeCell ref="A7212:A7215"/>
    <mergeCell ref="B7212:B7215"/>
    <mergeCell ref="A7120:A7123"/>
    <mergeCell ref="B7120:B7123"/>
    <mergeCell ref="A6912:A6915"/>
    <mergeCell ref="B6912:B6915"/>
    <mergeCell ref="A7084:A7087"/>
    <mergeCell ref="B7084:B7087"/>
    <mergeCell ref="A7088:A7091"/>
    <mergeCell ref="B7088:B7091"/>
    <mergeCell ref="A7016:A7019"/>
    <mergeCell ref="B7016:B7019"/>
    <mergeCell ref="A7220:A7225"/>
    <mergeCell ref="B7220:B7225"/>
    <mergeCell ref="A7226:A7231"/>
    <mergeCell ref="B7226:B7231"/>
    <mergeCell ref="A7144:A7149"/>
    <mergeCell ref="B7144:B7149"/>
    <mergeCell ref="A7150:A7155"/>
    <mergeCell ref="B7150:B7155"/>
    <mergeCell ref="A7156:A7161"/>
    <mergeCell ref="B7156:B7161"/>
    <mergeCell ref="A7162:A7167"/>
    <mergeCell ref="B7162:B7167"/>
    <mergeCell ref="A7168:A7173"/>
    <mergeCell ref="B7168:B7173"/>
    <mergeCell ref="A7174:A7179"/>
    <mergeCell ref="B7174:B7179"/>
    <mergeCell ref="A7186:A7191"/>
    <mergeCell ref="B7186:B7191"/>
    <mergeCell ref="A7064:A7067"/>
    <mergeCell ref="B7064:B7067"/>
    <mergeCell ref="A6844:A6847"/>
    <mergeCell ref="B6844:B6847"/>
    <mergeCell ref="A6884:A6887"/>
    <mergeCell ref="B6884:B6887"/>
    <mergeCell ref="A7128:A7131"/>
    <mergeCell ref="B7128:B7131"/>
    <mergeCell ref="A7132:A7135"/>
    <mergeCell ref="B7132:B7135"/>
    <mergeCell ref="A7136:A7139"/>
    <mergeCell ref="B7136:B7139"/>
    <mergeCell ref="A7140:A7143"/>
    <mergeCell ref="B7140:B7143"/>
    <mergeCell ref="A7112:A7115"/>
    <mergeCell ref="B7112:B7115"/>
    <mergeCell ref="A7116:A7119"/>
    <mergeCell ref="B7116:B7119"/>
    <mergeCell ref="A7104:A7107"/>
    <mergeCell ref="B7104:B7107"/>
    <mergeCell ref="A7004:A7007"/>
    <mergeCell ref="B7004:B7007"/>
    <mergeCell ref="A7020:A7023"/>
    <mergeCell ref="B7020:B7023"/>
    <mergeCell ref="A7012:A7015"/>
    <mergeCell ref="B7012:B7015"/>
    <mergeCell ref="A7000:A7003"/>
    <mergeCell ref="B7000:B7003"/>
    <mergeCell ref="A6996:A6999"/>
    <mergeCell ref="B6996:B6999"/>
    <mergeCell ref="A6848:A6851"/>
    <mergeCell ref="B6848:B6851"/>
    <mergeCell ref="A7072:A7075"/>
    <mergeCell ref="B7072:B7075"/>
    <mergeCell ref="A2701:A2704"/>
    <mergeCell ref="B2701:B2704"/>
    <mergeCell ref="A2705:A2708"/>
    <mergeCell ref="B2705:B2708"/>
    <mergeCell ref="A2709:A2712"/>
    <mergeCell ref="B2709:B2712"/>
    <mergeCell ref="A2729:A2732"/>
    <mergeCell ref="B2729:B2732"/>
    <mergeCell ref="A2741:A2744"/>
    <mergeCell ref="B2741:B2744"/>
    <mergeCell ref="A3447:A3457"/>
    <mergeCell ref="B3447:B3457"/>
    <mergeCell ref="A3518:A3526"/>
    <mergeCell ref="B3518:B3526"/>
    <mergeCell ref="A2798:A2802"/>
    <mergeCell ref="B2798:B2802"/>
    <mergeCell ref="A2803:A2807"/>
    <mergeCell ref="B2803:B2807"/>
    <mergeCell ref="A2808:A2812"/>
    <mergeCell ref="B2808:B2812"/>
    <mergeCell ref="A2762:A2771"/>
    <mergeCell ref="B2762:B2771"/>
    <mergeCell ref="A2772:A2777"/>
    <mergeCell ref="B2772:B2777"/>
    <mergeCell ref="A2783:A2787"/>
    <mergeCell ref="B2783:B2787"/>
    <mergeCell ref="A2898:A2905"/>
    <mergeCell ref="B2898:B2905"/>
    <mergeCell ref="A2906:A2913"/>
    <mergeCell ref="B2906:B2913"/>
    <mergeCell ref="A2914:A2921"/>
    <mergeCell ref="B2914:B2921"/>
    <mergeCell ref="A2788:A2797"/>
    <mergeCell ref="B2788:B2797"/>
    <mergeCell ref="A2778:A2782"/>
    <mergeCell ref="B2778:B2782"/>
    <mergeCell ref="A2725:A2728"/>
    <mergeCell ref="B2725:B2728"/>
    <mergeCell ref="A2733:A2736"/>
    <mergeCell ref="B2733:B2736"/>
    <mergeCell ref="A2737:A2740"/>
    <mergeCell ref="B2737:B2740"/>
    <mergeCell ref="A2952:A2956"/>
    <mergeCell ref="B2952:B2956"/>
    <mergeCell ref="A2957:A2961"/>
    <mergeCell ref="B2957:B2961"/>
    <mergeCell ref="A2860:A2866"/>
    <mergeCell ref="B2860:B2866"/>
    <mergeCell ref="A2867:A2871"/>
    <mergeCell ref="B2867:B2871"/>
    <mergeCell ref="A2872:A2876"/>
    <mergeCell ref="B2872:B2876"/>
    <mergeCell ref="A2962:A2966"/>
    <mergeCell ref="B2962:B2966"/>
    <mergeCell ref="A2937:A2941"/>
    <mergeCell ref="B2937:B2941"/>
    <mergeCell ref="A2942:A2946"/>
    <mergeCell ref="B2942:B2946"/>
    <mergeCell ref="A2877:A2881"/>
    <mergeCell ref="B2877:B2881"/>
    <mergeCell ref="A2882:A2889"/>
    <mergeCell ref="B2882:B2889"/>
    <mergeCell ref="A2890:A2897"/>
    <mergeCell ref="B2890:B2897"/>
    <mergeCell ref="A2947:A2951"/>
    <mergeCell ref="B2947:B2951"/>
    <mergeCell ref="A2922:A2926"/>
    <mergeCell ref="B2922:B2926"/>
    <mergeCell ref="A2927:A2931"/>
    <mergeCell ref="B2927:B2931"/>
    <mergeCell ref="A2932:A2936"/>
    <mergeCell ref="B2932:B2936"/>
    <mergeCell ref="A6992:A6995"/>
    <mergeCell ref="B6992:B6995"/>
    <mergeCell ref="A6864:A6867"/>
    <mergeCell ref="B6864:B6867"/>
    <mergeCell ref="A6928:A6931"/>
    <mergeCell ref="B6928:B6931"/>
    <mergeCell ref="A6900:A6903"/>
    <mergeCell ref="B6900:B6903"/>
    <mergeCell ref="A6904:A6907"/>
    <mergeCell ref="B6904:B6907"/>
    <mergeCell ref="A6916:A6919"/>
    <mergeCell ref="B6916:B6919"/>
    <mergeCell ref="A6920:A6923"/>
    <mergeCell ref="B6920:B6923"/>
    <mergeCell ref="A6956:A6959"/>
    <mergeCell ref="B6956:B6959"/>
    <mergeCell ref="A6888:A6891"/>
    <mergeCell ref="B6888:B6891"/>
    <mergeCell ref="A6868:A6871"/>
    <mergeCell ref="B6868:B6871"/>
    <mergeCell ref="A6872:A6875"/>
    <mergeCell ref="B6872:B6875"/>
    <mergeCell ref="A6876:A6879"/>
    <mergeCell ref="B6876:B6879"/>
    <mergeCell ref="A6880:A6883"/>
    <mergeCell ref="B6880:B6883"/>
    <mergeCell ref="A6984:A6987"/>
    <mergeCell ref="B6984:B6987"/>
    <mergeCell ref="A6988:A6991"/>
    <mergeCell ref="B6988:B6991"/>
    <mergeCell ref="A6968:A6971"/>
    <mergeCell ref="B6968:B6971"/>
    <mergeCell ref="A7192:A7197"/>
    <mergeCell ref="B7192:B7197"/>
    <mergeCell ref="A7024:A7027"/>
    <mergeCell ref="B7024:B7027"/>
    <mergeCell ref="A7028:A7031"/>
    <mergeCell ref="B7028:B7031"/>
    <mergeCell ref="A7032:A7035"/>
    <mergeCell ref="B7032:B7035"/>
    <mergeCell ref="A7048:A7051"/>
    <mergeCell ref="B7048:B7051"/>
    <mergeCell ref="A7092:A7095"/>
    <mergeCell ref="B7092:B7095"/>
    <mergeCell ref="A7096:A7099"/>
    <mergeCell ref="B7096:B7099"/>
    <mergeCell ref="A7100:A7103"/>
    <mergeCell ref="B7100:B7103"/>
    <mergeCell ref="A7008:A7011"/>
    <mergeCell ref="B7008:B7011"/>
    <mergeCell ref="A7036:A7039"/>
    <mergeCell ref="B7036:B7039"/>
    <mergeCell ref="A7040:A7043"/>
    <mergeCell ref="B7040:B7043"/>
    <mergeCell ref="A7044:A7047"/>
    <mergeCell ref="B7044:B7047"/>
    <mergeCell ref="A7052:A7055"/>
    <mergeCell ref="B7052:B7055"/>
    <mergeCell ref="A7056:A7059"/>
    <mergeCell ref="B7056:B7059"/>
    <mergeCell ref="A7068:A7071"/>
    <mergeCell ref="B7068:B7071"/>
    <mergeCell ref="A7060:A7063"/>
    <mergeCell ref="B7060:B7063"/>
    <mergeCell ref="A6908:A6911"/>
    <mergeCell ref="B6908:B6911"/>
    <mergeCell ref="A6932:A6935"/>
    <mergeCell ref="B6932:B6935"/>
    <mergeCell ref="A6936:A6939"/>
    <mergeCell ref="B6936:B6939"/>
    <mergeCell ref="A6940:A6943"/>
    <mergeCell ref="B6940:B6943"/>
    <mergeCell ref="A6944:A6947"/>
    <mergeCell ref="B6944:B6947"/>
    <mergeCell ref="A6948:A6951"/>
    <mergeCell ref="B6948:B6951"/>
    <mergeCell ref="A6952:A6955"/>
    <mergeCell ref="B6952:B6955"/>
    <mergeCell ref="A6960:A6963"/>
    <mergeCell ref="B6960:B6963"/>
    <mergeCell ref="A6924:A6927"/>
    <mergeCell ref="B6924:B6927"/>
    <mergeCell ref="A6972:A6975"/>
    <mergeCell ref="B6972:B6975"/>
    <mergeCell ref="A6976:A6979"/>
    <mergeCell ref="B6976:B6979"/>
    <mergeCell ref="A6980:A6983"/>
    <mergeCell ref="B6980:B6983"/>
    <mergeCell ref="A6964:A6967"/>
    <mergeCell ref="B6964:B6967"/>
    <mergeCell ref="A6816:A6819"/>
    <mergeCell ref="B6816:B6819"/>
    <mergeCell ref="A6820:A6823"/>
    <mergeCell ref="B6820:B6823"/>
    <mergeCell ref="A6824:A6827"/>
    <mergeCell ref="B6824:B6827"/>
    <mergeCell ref="A6828:A6831"/>
    <mergeCell ref="B6828:B6831"/>
    <mergeCell ref="A6808:A6811"/>
    <mergeCell ref="B6808:B6811"/>
    <mergeCell ref="A6812:A6815"/>
    <mergeCell ref="B6812:B6815"/>
    <mergeCell ref="A6896:A6899"/>
    <mergeCell ref="B6896:B6899"/>
    <mergeCell ref="A6832:A6835"/>
    <mergeCell ref="B6832:B6835"/>
    <mergeCell ref="A6836:A6839"/>
    <mergeCell ref="B6836:B6839"/>
    <mergeCell ref="A6840:A6843"/>
    <mergeCell ref="B6840:B6843"/>
    <mergeCell ref="A6856:A6859"/>
    <mergeCell ref="B6856:B6859"/>
    <mergeCell ref="A6892:A6895"/>
    <mergeCell ref="B6892:B6895"/>
    <mergeCell ref="A6852:A6855"/>
    <mergeCell ref="B6852:B6855"/>
    <mergeCell ref="A6860:A6863"/>
    <mergeCell ref="B6860:B6863"/>
    <mergeCell ref="A6792:A6795"/>
    <mergeCell ref="B6792:B6795"/>
    <mergeCell ref="A6796:A6799"/>
    <mergeCell ref="B6796:B6799"/>
    <mergeCell ref="A6800:A6803"/>
    <mergeCell ref="B6800:B6803"/>
    <mergeCell ref="A6720:A6723"/>
    <mergeCell ref="B6720:B6723"/>
    <mergeCell ref="A6748:A6751"/>
    <mergeCell ref="B6748:B6751"/>
    <mergeCell ref="A6752:A6755"/>
    <mergeCell ref="B6752:B6755"/>
    <mergeCell ref="A6756:A6759"/>
    <mergeCell ref="B6756:B6759"/>
    <mergeCell ref="A6760:A6763"/>
    <mergeCell ref="B6760:B6763"/>
    <mergeCell ref="A6764:A6767"/>
    <mergeCell ref="B6764:B6767"/>
    <mergeCell ref="A6724:A6727"/>
    <mergeCell ref="B6724:B6727"/>
    <mergeCell ref="A6728:A6731"/>
    <mergeCell ref="B6728:B6731"/>
    <mergeCell ref="A6732:A6735"/>
    <mergeCell ref="B6732:B6735"/>
    <mergeCell ref="A6768:A6771"/>
    <mergeCell ref="B6768:B6771"/>
    <mergeCell ref="A6772:A6775"/>
    <mergeCell ref="B6772:B6775"/>
    <mergeCell ref="A6776:A6779"/>
    <mergeCell ref="B6776:B6779"/>
    <mergeCell ref="A6780:A6783"/>
    <mergeCell ref="B6780:B6783"/>
    <mergeCell ref="A6644:A6647"/>
    <mergeCell ref="B6644:B6647"/>
    <mergeCell ref="A6564:A6567"/>
    <mergeCell ref="B6564:B6567"/>
    <mergeCell ref="A6568:A6571"/>
    <mergeCell ref="B6568:B6571"/>
    <mergeCell ref="A6572:A6575"/>
    <mergeCell ref="B6572:B6575"/>
    <mergeCell ref="A6576:A6579"/>
    <mergeCell ref="B6576:B6579"/>
    <mergeCell ref="A6030:A6033"/>
    <mergeCell ref="B6030:B6033"/>
    <mergeCell ref="A6046:A6049"/>
    <mergeCell ref="B6046:B6049"/>
    <mergeCell ref="A6126:A6129"/>
    <mergeCell ref="B6126:B6129"/>
    <mergeCell ref="A6636:A6639"/>
    <mergeCell ref="B6636:B6639"/>
    <mergeCell ref="A6640:A6643"/>
    <mergeCell ref="B6640:B6643"/>
    <mergeCell ref="A6408:A6412"/>
    <mergeCell ref="B6408:B6412"/>
    <mergeCell ref="A6492:A6495"/>
    <mergeCell ref="B6492:B6495"/>
    <mergeCell ref="A6130:A6133"/>
    <mergeCell ref="B6130:B6133"/>
    <mergeCell ref="A6134:A6137"/>
    <mergeCell ref="B6134:B6137"/>
    <mergeCell ref="A6078:A6081"/>
    <mergeCell ref="B6078:B6081"/>
    <mergeCell ref="A6082:A6085"/>
    <mergeCell ref="B6082:B6085"/>
    <mergeCell ref="A6704:A6707"/>
    <mergeCell ref="B6704:B6707"/>
    <mergeCell ref="A6708:A6711"/>
    <mergeCell ref="B6708:B6711"/>
    <mergeCell ref="A6612:A6615"/>
    <mergeCell ref="B6612:B6615"/>
    <mergeCell ref="A6656:A6659"/>
    <mergeCell ref="B6656:B6659"/>
    <mergeCell ref="A6624:A6627"/>
    <mergeCell ref="B6624:B6627"/>
    <mergeCell ref="A4733:A4736"/>
    <mergeCell ref="B4733:B4736"/>
    <mergeCell ref="A4737:A4740"/>
    <mergeCell ref="B4737:B4740"/>
    <mergeCell ref="A4741:A4744"/>
    <mergeCell ref="B4741:B4744"/>
    <mergeCell ref="A6552:A6555"/>
    <mergeCell ref="B6552:B6555"/>
    <mergeCell ref="A6536:A6539"/>
    <mergeCell ref="B6536:B6539"/>
    <mergeCell ref="A5626:A5629"/>
    <mergeCell ref="B5626:B5629"/>
    <mergeCell ref="A5630:A5633"/>
    <mergeCell ref="B5630:B5633"/>
    <mergeCell ref="A5634:A5637"/>
    <mergeCell ref="B5634:B5637"/>
    <mergeCell ref="A6560:A6563"/>
    <mergeCell ref="B6560:B6563"/>
    <mergeCell ref="A6600:A6603"/>
    <mergeCell ref="B6600:B6603"/>
    <mergeCell ref="A6404:A6407"/>
    <mergeCell ref="B6404:B6407"/>
    <mergeCell ref="A4729:A4732"/>
    <mergeCell ref="B4729:B4732"/>
    <mergeCell ref="A6524:A6527"/>
    <mergeCell ref="B6524:B6527"/>
    <mergeCell ref="A6528:A6531"/>
    <mergeCell ref="B6528:B6531"/>
    <mergeCell ref="A6532:A6535"/>
    <mergeCell ref="B6532:B6535"/>
    <mergeCell ref="A6540:A6543"/>
    <mergeCell ref="B6540:B6543"/>
    <mergeCell ref="A6544:A6547"/>
    <mergeCell ref="B6544:B6547"/>
    <mergeCell ref="A6548:A6551"/>
    <mergeCell ref="B6548:B6551"/>
    <mergeCell ref="A5646:A5649"/>
    <mergeCell ref="B5646:B5649"/>
    <mergeCell ref="A5381:A5388"/>
    <mergeCell ref="B5381:B5388"/>
    <mergeCell ref="A5311:A5316"/>
    <mergeCell ref="B5311:B5316"/>
    <mergeCell ref="A5305:A5310"/>
    <mergeCell ref="B5305:B5310"/>
    <mergeCell ref="A5317:A5322"/>
    <mergeCell ref="B5317:B5322"/>
    <mergeCell ref="A5323:A5328"/>
    <mergeCell ref="B5323:B5328"/>
    <mergeCell ref="A5329:A5335"/>
    <mergeCell ref="B5329:B5335"/>
    <mergeCell ref="A4721:A4724"/>
    <mergeCell ref="B4721:B4724"/>
    <mergeCell ref="A4725:A4728"/>
    <mergeCell ref="B4725:B4728"/>
    <mergeCell ref="A5610:A5613"/>
    <mergeCell ref="B5610:B5613"/>
    <mergeCell ref="A5614:A5617"/>
    <mergeCell ref="B5614:B5617"/>
    <mergeCell ref="A5618:A5621"/>
    <mergeCell ref="B5618:B5621"/>
    <mergeCell ref="A6443:A6447"/>
    <mergeCell ref="B6443:B6447"/>
    <mergeCell ref="A6448:A6456"/>
    <mergeCell ref="B6448:B6456"/>
    <mergeCell ref="A6397:A6403"/>
    <mergeCell ref="B6397:B6403"/>
    <mergeCell ref="A2967:A2971"/>
    <mergeCell ref="B2967:B2971"/>
    <mergeCell ref="A2972:A2981"/>
    <mergeCell ref="B2972:B2981"/>
    <mergeCell ref="A3088:A3092"/>
    <mergeCell ref="B3088:B3092"/>
    <mergeCell ref="A3093:A3097"/>
    <mergeCell ref="B3093:B3097"/>
    <mergeCell ref="A3098:A3102"/>
    <mergeCell ref="B3098:B3102"/>
    <mergeCell ref="A3073:A3077"/>
    <mergeCell ref="B3073:B3077"/>
    <mergeCell ref="A3078:A3082"/>
    <mergeCell ref="B3078:B3082"/>
    <mergeCell ref="A3083:A3087"/>
    <mergeCell ref="B3083:B3087"/>
    <mergeCell ref="A2982:A2986"/>
    <mergeCell ref="B2982:B2986"/>
    <mergeCell ref="A3052:A3059"/>
    <mergeCell ref="B3052:B3059"/>
    <mergeCell ref="A3060:A3064"/>
    <mergeCell ref="B3060:B3064"/>
    <mergeCell ref="A3065:A3072"/>
    <mergeCell ref="B3065:B3072"/>
    <mergeCell ref="A3035:A3039"/>
    <mergeCell ref="B3035:B3039"/>
    <mergeCell ref="A6712:A6715"/>
    <mergeCell ref="B6712:B6715"/>
    <mergeCell ref="A6716:A6719"/>
    <mergeCell ref="B6716:B6719"/>
    <mergeCell ref="A6736:A6739"/>
    <mergeCell ref="B6736:B6739"/>
    <mergeCell ref="A6740:A6743"/>
    <mergeCell ref="B6740:B6743"/>
    <mergeCell ref="A5336:A5342"/>
    <mergeCell ref="B5336:B5342"/>
    <mergeCell ref="A5343:A5349"/>
    <mergeCell ref="B5343:B5349"/>
    <mergeCell ref="A5350:A5355"/>
    <mergeCell ref="B5350:B5355"/>
    <mergeCell ref="A5356:A5361"/>
    <mergeCell ref="B5356:B5361"/>
    <mergeCell ref="A5362:A5368"/>
    <mergeCell ref="B5362:B5368"/>
    <mergeCell ref="A5369:A5374"/>
    <mergeCell ref="B5369:B5374"/>
    <mergeCell ref="A5375:A5380"/>
    <mergeCell ref="B5375:B5380"/>
    <mergeCell ref="A6744:A6747"/>
    <mergeCell ref="B6744:B6747"/>
    <mergeCell ref="A4745:A4748"/>
    <mergeCell ref="B4745:B4748"/>
    <mergeCell ref="A6616:A6619"/>
    <mergeCell ref="B6616:B6619"/>
    <mergeCell ref="A6620:A6623"/>
    <mergeCell ref="B6620:B6623"/>
    <mergeCell ref="A6632:A6635"/>
    <mergeCell ref="B6632:B6635"/>
    <mergeCell ref="A6648:A6651"/>
    <mergeCell ref="B6648:B6651"/>
    <mergeCell ref="A6652:A6655"/>
    <mergeCell ref="B6652:B6655"/>
    <mergeCell ref="A6672:A6675"/>
    <mergeCell ref="B6672:B6675"/>
    <mergeCell ref="A6664:A6667"/>
    <mergeCell ref="B6664:B6667"/>
    <mergeCell ref="A6668:A6671"/>
    <mergeCell ref="B6668:B6671"/>
    <mergeCell ref="A6596:A6599"/>
    <mergeCell ref="B6596:B6599"/>
    <mergeCell ref="A6608:A6611"/>
    <mergeCell ref="B6608:B6611"/>
    <mergeCell ref="A5622:A5625"/>
    <mergeCell ref="B5622:B5625"/>
    <mergeCell ref="A5638:A5641"/>
    <mergeCell ref="B5638:B5641"/>
    <mergeCell ref="A5642:A5645"/>
    <mergeCell ref="B5642:B5645"/>
    <mergeCell ref="A5299:A5304"/>
    <mergeCell ref="B5299:B5304"/>
    <mergeCell ref="A6804:A6807"/>
    <mergeCell ref="B6804:B6807"/>
    <mergeCell ref="A6676:A6679"/>
    <mergeCell ref="B6676:B6679"/>
    <mergeCell ref="A6660:A6663"/>
    <mergeCell ref="B6660:B6663"/>
    <mergeCell ref="A6628:A6631"/>
    <mergeCell ref="B6628:B6631"/>
    <mergeCell ref="A6784:A6787"/>
    <mergeCell ref="B6784:B6787"/>
    <mergeCell ref="A6788:A6791"/>
    <mergeCell ref="B6788:B6791"/>
    <mergeCell ref="A6580:A6583"/>
    <mergeCell ref="B6580:B6583"/>
    <mergeCell ref="A6588:A6591"/>
    <mergeCell ref="B6588:B6591"/>
    <mergeCell ref="A6592:A6595"/>
    <mergeCell ref="B6592:B6595"/>
    <mergeCell ref="A6584:A6587"/>
    <mergeCell ref="B6584:B6587"/>
    <mergeCell ref="A6680:A6683"/>
    <mergeCell ref="B6680:B6683"/>
    <mergeCell ref="A6684:A6687"/>
    <mergeCell ref="B6684:B6687"/>
    <mergeCell ref="A6688:A6691"/>
    <mergeCell ref="B6688:B6691"/>
    <mergeCell ref="A6692:A6695"/>
    <mergeCell ref="B6692:B6695"/>
    <mergeCell ref="A6696:A6699"/>
    <mergeCell ref="B6696:B6699"/>
    <mergeCell ref="A6700:A6703"/>
    <mergeCell ref="B6700:B6703"/>
    <mergeCell ref="A5389:A5396"/>
    <mergeCell ref="B5389:B5396"/>
    <mergeCell ref="A5241:A5246"/>
    <mergeCell ref="B5241:B5246"/>
    <mergeCell ref="A5247:A5253"/>
    <mergeCell ref="B5247:B5253"/>
    <mergeCell ref="A5254:A5265"/>
    <mergeCell ref="B5254:B5265"/>
    <mergeCell ref="A5274:A5279"/>
    <mergeCell ref="B5274:B5279"/>
    <mergeCell ref="A5280:A5286"/>
    <mergeCell ref="B5280:B5286"/>
    <mergeCell ref="A5287:A5292"/>
    <mergeCell ref="B5287:B5292"/>
    <mergeCell ref="A5293:A5298"/>
    <mergeCell ref="B5293:B5298"/>
    <mergeCell ref="A5167:A5174"/>
    <mergeCell ref="B5167:B5174"/>
    <mergeCell ref="A5175:A5182"/>
    <mergeCell ref="B5175:B5182"/>
    <mergeCell ref="A5183:A5190"/>
    <mergeCell ref="B5183:B5190"/>
    <mergeCell ref="A5191:A5205"/>
    <mergeCell ref="B5191:B5205"/>
    <mergeCell ref="A5206:A5220"/>
    <mergeCell ref="B5206:B5220"/>
    <mergeCell ref="A5221:A5227"/>
    <mergeCell ref="B5221:B5227"/>
    <mergeCell ref="A5228:A5234"/>
    <mergeCell ref="B5228:B5234"/>
    <mergeCell ref="A5235:A5240"/>
    <mergeCell ref="B5235:B5240"/>
    <mergeCell ref="A5266:A5273"/>
    <mergeCell ref="B5266:B5273"/>
    <mergeCell ref="A5131:A5138"/>
    <mergeCell ref="B5131:B5138"/>
    <mergeCell ref="A5139:A5146"/>
    <mergeCell ref="B5139:B5146"/>
    <mergeCell ref="A5147:A5152"/>
    <mergeCell ref="B5147:B5152"/>
    <mergeCell ref="A5153:A5160"/>
    <mergeCell ref="B5153:B5160"/>
    <mergeCell ref="A5161:A5166"/>
    <mergeCell ref="B5161:B5166"/>
    <mergeCell ref="B135:B138"/>
    <mergeCell ref="A183:A189"/>
    <mergeCell ref="B183:B189"/>
    <mergeCell ref="A190:A196"/>
    <mergeCell ref="B190:B196"/>
    <mergeCell ref="A197:A200"/>
    <mergeCell ref="B197:B200"/>
    <mergeCell ref="A214:A218"/>
    <mergeCell ref="B214:B218"/>
    <mergeCell ref="A219:A223"/>
    <mergeCell ref="B219:B223"/>
    <mergeCell ref="A224:A227"/>
    <mergeCell ref="B224:B227"/>
    <mergeCell ref="A201:A204"/>
    <mergeCell ref="B201:B204"/>
    <mergeCell ref="A205:A209"/>
    <mergeCell ref="B161:B165"/>
    <mergeCell ref="A166:A170"/>
    <mergeCell ref="B166:B170"/>
    <mergeCell ref="A236:A239"/>
    <mergeCell ref="B236:B239"/>
    <mergeCell ref="A268:A275"/>
    <mergeCell ref="A97:A101"/>
    <mergeCell ref="B97:B101"/>
    <mergeCell ref="A102:A105"/>
    <mergeCell ref="B102:B105"/>
    <mergeCell ref="A106:A110"/>
    <mergeCell ref="B106:B110"/>
    <mergeCell ref="B69:B76"/>
    <mergeCell ref="A77:A81"/>
    <mergeCell ref="B77:B81"/>
    <mergeCell ref="A87:A91"/>
    <mergeCell ref="B87:B91"/>
    <mergeCell ref="A92:A96"/>
    <mergeCell ref="B92:B96"/>
    <mergeCell ref="A5109:A5114"/>
    <mergeCell ref="B5109:B5114"/>
    <mergeCell ref="A126:A130"/>
    <mergeCell ref="B126:B130"/>
    <mergeCell ref="A131:A134"/>
    <mergeCell ref="B131:B134"/>
    <mergeCell ref="A135:A138"/>
    <mergeCell ref="A111:A115"/>
    <mergeCell ref="B111:B115"/>
    <mergeCell ref="A116:A120"/>
    <mergeCell ref="B116:B120"/>
    <mergeCell ref="A121:A125"/>
    <mergeCell ref="B121:B125"/>
    <mergeCell ref="B248:B262"/>
    <mergeCell ref="A263:A267"/>
    <mergeCell ref="B263:B267"/>
    <mergeCell ref="A290:A304"/>
    <mergeCell ref="B290:B304"/>
    <mergeCell ref="A305:A319"/>
    <mergeCell ref="A5115:A5122"/>
    <mergeCell ref="B5115:B5122"/>
    <mergeCell ref="A139:A143"/>
    <mergeCell ref="B139:B143"/>
    <mergeCell ref="A144:A148"/>
    <mergeCell ref="B144:B148"/>
    <mergeCell ref="A149:A153"/>
    <mergeCell ref="B149:B153"/>
    <mergeCell ref="A171:A174"/>
    <mergeCell ref="B171:B174"/>
    <mergeCell ref="A175:A178"/>
    <mergeCell ref="B175:B178"/>
    <mergeCell ref="A179:A182"/>
    <mergeCell ref="B179:B182"/>
    <mergeCell ref="A154:A160"/>
    <mergeCell ref="B154:B160"/>
    <mergeCell ref="A161:A165"/>
    <mergeCell ref="B205:B209"/>
    <mergeCell ref="A210:A213"/>
    <mergeCell ref="B210:B213"/>
    <mergeCell ref="A228:A231"/>
    <mergeCell ref="B228:B231"/>
    <mergeCell ref="A232:A235"/>
    <mergeCell ref="B232:B235"/>
    <mergeCell ref="B268:B275"/>
    <mergeCell ref="A276:A282"/>
    <mergeCell ref="B276:B282"/>
    <mergeCell ref="A283:A289"/>
    <mergeCell ref="B283:B289"/>
    <mergeCell ref="A240:A247"/>
    <mergeCell ref="B240:B247"/>
    <mergeCell ref="A248:A262"/>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A82:A86"/>
    <mergeCell ref="B82:B86"/>
    <mergeCell ref="A64:A68"/>
    <mergeCell ref="B64:B68"/>
    <mergeCell ref="A69:A76"/>
    <mergeCell ref="B37:B41"/>
    <mergeCell ref="A42:A46"/>
    <mergeCell ref="B42:B46"/>
    <mergeCell ref="A18:A22"/>
    <mergeCell ref="B18:B22"/>
    <mergeCell ref="A23:A27"/>
    <mergeCell ref="B23:B27"/>
    <mergeCell ref="A28:A32"/>
    <mergeCell ref="B28:B32"/>
    <mergeCell ref="B305:B319"/>
    <mergeCell ref="A320:A325"/>
    <mergeCell ref="B320:B325"/>
    <mergeCell ref="A358:A363"/>
    <mergeCell ref="B358:B363"/>
    <mergeCell ref="A364:A372"/>
    <mergeCell ref="B364:B372"/>
    <mergeCell ref="A373:A386"/>
    <mergeCell ref="B373:B386"/>
    <mergeCell ref="A326:A333"/>
    <mergeCell ref="B326:B333"/>
    <mergeCell ref="A334:A343"/>
    <mergeCell ref="B334:B343"/>
    <mergeCell ref="A344:A357"/>
    <mergeCell ref="B344:B357"/>
    <mergeCell ref="A387:A393"/>
    <mergeCell ref="B387:B393"/>
    <mergeCell ref="A394:A407"/>
    <mergeCell ref="B394:B407"/>
    <mergeCell ref="A408:A414"/>
    <mergeCell ref="B408:B414"/>
    <mergeCell ref="A599:A607"/>
    <mergeCell ref="B599:B607"/>
    <mergeCell ref="A554:A561"/>
    <mergeCell ref="B554:B561"/>
    <mergeCell ref="A562:A571"/>
    <mergeCell ref="B562:B571"/>
    <mergeCell ref="A439:A446"/>
    <mergeCell ref="B439:B446"/>
    <mergeCell ref="A447:A456"/>
    <mergeCell ref="B447:B456"/>
    <mergeCell ref="A457:A463"/>
    <mergeCell ref="B457:B463"/>
    <mergeCell ref="A415:A426"/>
    <mergeCell ref="B415:B426"/>
    <mergeCell ref="A427:A432"/>
    <mergeCell ref="B427:B432"/>
    <mergeCell ref="A433:A438"/>
    <mergeCell ref="B433:B438"/>
    <mergeCell ref="A464:A475"/>
    <mergeCell ref="B464:B475"/>
    <mergeCell ref="A476:A481"/>
    <mergeCell ref="B476:B481"/>
    <mergeCell ref="A482:A489"/>
    <mergeCell ref="B482:B489"/>
    <mergeCell ref="A630:A636"/>
    <mergeCell ref="B630:B636"/>
    <mergeCell ref="A637:A640"/>
    <mergeCell ref="B637:B640"/>
    <mergeCell ref="A641:A644"/>
    <mergeCell ref="B641:B644"/>
    <mergeCell ref="A510:A516"/>
    <mergeCell ref="B510:B516"/>
    <mergeCell ref="A517:A523"/>
    <mergeCell ref="B517:B523"/>
    <mergeCell ref="A524:A529"/>
    <mergeCell ref="B524:B529"/>
    <mergeCell ref="A490:A496"/>
    <mergeCell ref="B490:B496"/>
    <mergeCell ref="A497:A503"/>
    <mergeCell ref="B497:B503"/>
    <mergeCell ref="A504:A509"/>
    <mergeCell ref="B504:B509"/>
    <mergeCell ref="A608:A613"/>
    <mergeCell ref="B608:B613"/>
    <mergeCell ref="A614:A621"/>
    <mergeCell ref="B614:B621"/>
    <mergeCell ref="A530:A537"/>
    <mergeCell ref="B530:B537"/>
    <mergeCell ref="A538:A545"/>
    <mergeCell ref="B538:B545"/>
    <mergeCell ref="A546:A553"/>
    <mergeCell ref="B546:B553"/>
    <mergeCell ref="A581:A588"/>
    <mergeCell ref="B581:B588"/>
    <mergeCell ref="A589:A598"/>
    <mergeCell ref="B589:B598"/>
    <mergeCell ref="A729:A736"/>
    <mergeCell ref="B729:B736"/>
    <mergeCell ref="A737:A740"/>
    <mergeCell ref="B737:B740"/>
    <mergeCell ref="A741:A747"/>
    <mergeCell ref="B741:B747"/>
    <mergeCell ref="A572:A580"/>
    <mergeCell ref="B572:B580"/>
    <mergeCell ref="A716:A722"/>
    <mergeCell ref="B716:B722"/>
    <mergeCell ref="A723:A728"/>
    <mergeCell ref="B723:B728"/>
    <mergeCell ref="A679:A688"/>
    <mergeCell ref="B679:B688"/>
    <mergeCell ref="A689:A696"/>
    <mergeCell ref="B689:B696"/>
    <mergeCell ref="A697:A706"/>
    <mergeCell ref="B697:B706"/>
    <mergeCell ref="A657:A660"/>
    <mergeCell ref="B657:B660"/>
    <mergeCell ref="A661:A668"/>
    <mergeCell ref="B661:B668"/>
    <mergeCell ref="A669:A678"/>
    <mergeCell ref="B669:B678"/>
    <mergeCell ref="A622:A629"/>
    <mergeCell ref="B622:B629"/>
    <mergeCell ref="A645:A648"/>
    <mergeCell ref="B645:B648"/>
    <mergeCell ref="A649:A652"/>
    <mergeCell ref="B649:B652"/>
    <mergeCell ref="A653:A656"/>
    <mergeCell ref="B653:B656"/>
    <mergeCell ref="A707:A715"/>
    <mergeCell ref="B707:B715"/>
    <mergeCell ref="A838:A842"/>
    <mergeCell ref="B838:B842"/>
    <mergeCell ref="A843:A848"/>
    <mergeCell ref="B843:B848"/>
    <mergeCell ref="A849:A854"/>
    <mergeCell ref="B849:B854"/>
    <mergeCell ref="A820:A824"/>
    <mergeCell ref="B820:B824"/>
    <mergeCell ref="A825:A831"/>
    <mergeCell ref="B825:B831"/>
    <mergeCell ref="A832:A837"/>
    <mergeCell ref="B832:B837"/>
    <mergeCell ref="A807:A810"/>
    <mergeCell ref="B807:B810"/>
    <mergeCell ref="A811:A815"/>
    <mergeCell ref="B811:B815"/>
    <mergeCell ref="A816:A819"/>
    <mergeCell ref="B816:B819"/>
    <mergeCell ref="A776:A782"/>
    <mergeCell ref="B776:B782"/>
    <mergeCell ref="A783:A796"/>
    <mergeCell ref="B783:B796"/>
    <mergeCell ref="A797:A806"/>
    <mergeCell ref="B797:B806"/>
    <mergeCell ref="A748:A758"/>
    <mergeCell ref="B748:B758"/>
    <mergeCell ref="A759:A764"/>
    <mergeCell ref="B759:B764"/>
    <mergeCell ref="A765:A775"/>
    <mergeCell ref="B765:B775"/>
    <mergeCell ref="A896:A899"/>
    <mergeCell ref="B896:B899"/>
    <mergeCell ref="A900:A905"/>
    <mergeCell ref="B900:B905"/>
    <mergeCell ref="A906:A912"/>
    <mergeCell ref="B906:B912"/>
    <mergeCell ref="A876:A883"/>
    <mergeCell ref="B876:B883"/>
    <mergeCell ref="A884:A888"/>
    <mergeCell ref="B884:B888"/>
    <mergeCell ref="A889:A895"/>
    <mergeCell ref="B889:B895"/>
    <mergeCell ref="A855:A859"/>
    <mergeCell ref="B855:B859"/>
    <mergeCell ref="A860:A867"/>
    <mergeCell ref="B860:B867"/>
    <mergeCell ref="A868:A875"/>
    <mergeCell ref="B868:B875"/>
    <mergeCell ref="A954:A960"/>
    <mergeCell ref="B954:B960"/>
    <mergeCell ref="A961:A967"/>
    <mergeCell ref="B961:B967"/>
    <mergeCell ref="A968:A976"/>
    <mergeCell ref="B968:B976"/>
    <mergeCell ref="A934:A940"/>
    <mergeCell ref="B934:B940"/>
    <mergeCell ref="A941:A946"/>
    <mergeCell ref="B941:B946"/>
    <mergeCell ref="A947:A953"/>
    <mergeCell ref="B947:B953"/>
    <mergeCell ref="A913:A919"/>
    <mergeCell ref="B913:B919"/>
    <mergeCell ref="A920:A926"/>
    <mergeCell ref="B920:B926"/>
    <mergeCell ref="A927:A933"/>
    <mergeCell ref="B927:B933"/>
    <mergeCell ref="A1020:A1028"/>
    <mergeCell ref="B1020:B1028"/>
    <mergeCell ref="A1029:A1035"/>
    <mergeCell ref="B1029:B1035"/>
    <mergeCell ref="A1036:A1042"/>
    <mergeCell ref="B1036:B1042"/>
    <mergeCell ref="A996:A1004"/>
    <mergeCell ref="B996:B1004"/>
    <mergeCell ref="A1005:A1009"/>
    <mergeCell ref="B1005:B1009"/>
    <mergeCell ref="A1010:A1019"/>
    <mergeCell ref="B1010:B1019"/>
    <mergeCell ref="A977:A985"/>
    <mergeCell ref="B977:B985"/>
    <mergeCell ref="A986:A990"/>
    <mergeCell ref="B986:B990"/>
    <mergeCell ref="A991:A995"/>
    <mergeCell ref="B991:B995"/>
    <mergeCell ref="A1092:A1099"/>
    <mergeCell ref="B1092:B1099"/>
    <mergeCell ref="A1100:A1104"/>
    <mergeCell ref="B1100:B1104"/>
    <mergeCell ref="A1105:A1109"/>
    <mergeCell ref="B1105:B1109"/>
    <mergeCell ref="A1066:A1073"/>
    <mergeCell ref="B1066:B1073"/>
    <mergeCell ref="A1074:A1081"/>
    <mergeCell ref="B1074:B1081"/>
    <mergeCell ref="A1082:A1091"/>
    <mergeCell ref="B1082:B1091"/>
    <mergeCell ref="A1043:A1049"/>
    <mergeCell ref="B1043:B1049"/>
    <mergeCell ref="A1050:A1056"/>
    <mergeCell ref="B1050:B1056"/>
    <mergeCell ref="A1057:A1065"/>
    <mergeCell ref="B1057:B1065"/>
    <mergeCell ref="A1149:A1155"/>
    <mergeCell ref="B1149:B1155"/>
    <mergeCell ref="A1156:A1162"/>
    <mergeCell ref="B1156:B1162"/>
    <mergeCell ref="A1163:A1169"/>
    <mergeCell ref="B1163:B1169"/>
    <mergeCell ref="A1128:A1134"/>
    <mergeCell ref="B1128:B1134"/>
    <mergeCell ref="A1135:A1141"/>
    <mergeCell ref="B1135:B1141"/>
    <mergeCell ref="A1142:A1148"/>
    <mergeCell ref="B1142:B1148"/>
    <mergeCell ref="A1110:A1115"/>
    <mergeCell ref="B1110:B1115"/>
    <mergeCell ref="A1116:A1120"/>
    <mergeCell ref="B1116:B1120"/>
    <mergeCell ref="A1121:A1127"/>
    <mergeCell ref="B1121:B1127"/>
    <mergeCell ref="A1211:A1216"/>
    <mergeCell ref="B1211:B1216"/>
    <mergeCell ref="A1217:A1222"/>
    <mergeCell ref="B1217:B1222"/>
    <mergeCell ref="A1223:A1228"/>
    <mergeCell ref="B1223:B1228"/>
    <mergeCell ref="A1191:A1197"/>
    <mergeCell ref="B1191:B1197"/>
    <mergeCell ref="A1198:A1204"/>
    <mergeCell ref="B1198:B1204"/>
    <mergeCell ref="A1205:A1210"/>
    <mergeCell ref="B1205:B1210"/>
    <mergeCell ref="A1170:A1176"/>
    <mergeCell ref="B1170:B1176"/>
    <mergeCell ref="A1177:A1183"/>
    <mergeCell ref="B1177:B1183"/>
    <mergeCell ref="A1184:A1190"/>
    <mergeCell ref="B1184:B1190"/>
    <mergeCell ref="A1270:A1276"/>
    <mergeCell ref="B1270:B1276"/>
    <mergeCell ref="A1277:A1283"/>
    <mergeCell ref="B1277:B1283"/>
    <mergeCell ref="A1284:A1291"/>
    <mergeCell ref="B1284:B1291"/>
    <mergeCell ref="A1250:A1255"/>
    <mergeCell ref="B1250:B1255"/>
    <mergeCell ref="A1256:A1262"/>
    <mergeCell ref="B1256:B1262"/>
    <mergeCell ref="A1263:A1269"/>
    <mergeCell ref="B1263:B1269"/>
    <mergeCell ref="A1229:A1235"/>
    <mergeCell ref="B1229:B1235"/>
    <mergeCell ref="A1236:A1242"/>
    <mergeCell ref="B1236:B1242"/>
    <mergeCell ref="A1243:A1249"/>
    <mergeCell ref="B1243:B1249"/>
    <mergeCell ref="A1332:A1337"/>
    <mergeCell ref="B1332:B1337"/>
    <mergeCell ref="A1338:A1344"/>
    <mergeCell ref="B1338:B1344"/>
    <mergeCell ref="A1345:A1350"/>
    <mergeCell ref="B1345:B1350"/>
    <mergeCell ref="A1313:A1318"/>
    <mergeCell ref="B1313:B1318"/>
    <mergeCell ref="A1319:A1324"/>
    <mergeCell ref="B1319:B1324"/>
    <mergeCell ref="A1325:A1331"/>
    <mergeCell ref="B1325:B1331"/>
    <mergeCell ref="A1292:A1300"/>
    <mergeCell ref="B1292:B1300"/>
    <mergeCell ref="A1301:A1306"/>
    <mergeCell ref="B1301:B1306"/>
    <mergeCell ref="A1307:A1312"/>
    <mergeCell ref="B1307:B1312"/>
    <mergeCell ref="A1389:A1403"/>
    <mergeCell ref="B1389:B1403"/>
    <mergeCell ref="A1404:A1418"/>
    <mergeCell ref="B1404:B1418"/>
    <mergeCell ref="A1419:A1433"/>
    <mergeCell ref="B1419:B1433"/>
    <mergeCell ref="A1370:A1375"/>
    <mergeCell ref="B1370:B1375"/>
    <mergeCell ref="A1376:A1381"/>
    <mergeCell ref="B1376:B1381"/>
    <mergeCell ref="A1382:A1388"/>
    <mergeCell ref="B1382:B1388"/>
    <mergeCell ref="A1351:A1356"/>
    <mergeCell ref="B1351:B1356"/>
    <mergeCell ref="A1357:A1363"/>
    <mergeCell ref="B1357:B1363"/>
    <mergeCell ref="A1364:A1369"/>
    <mergeCell ref="B1364:B1369"/>
    <mergeCell ref="A1506:A1511"/>
    <mergeCell ref="B1506:B1511"/>
    <mergeCell ref="A1512:A1517"/>
    <mergeCell ref="B1512:B1517"/>
    <mergeCell ref="A1518:A1523"/>
    <mergeCell ref="B1518:B1523"/>
    <mergeCell ref="A1479:A1493"/>
    <mergeCell ref="B1479:B1493"/>
    <mergeCell ref="A1494:A1499"/>
    <mergeCell ref="B1494:B1499"/>
    <mergeCell ref="A1500:A1505"/>
    <mergeCell ref="B1500:B1505"/>
    <mergeCell ref="A1434:A1448"/>
    <mergeCell ref="B1434:B1448"/>
    <mergeCell ref="A1449:A1463"/>
    <mergeCell ref="B1449:B1463"/>
    <mergeCell ref="A1464:A1478"/>
    <mergeCell ref="B1464:B1478"/>
    <mergeCell ref="A1574:A1580"/>
    <mergeCell ref="B1574:B1580"/>
    <mergeCell ref="A1581:A1587"/>
    <mergeCell ref="B1581:B1587"/>
    <mergeCell ref="A1588:A1594"/>
    <mergeCell ref="B1588:B1594"/>
    <mergeCell ref="A1545:A1551"/>
    <mergeCell ref="B1545:B1551"/>
    <mergeCell ref="A1552:A1566"/>
    <mergeCell ref="B1552:B1566"/>
    <mergeCell ref="A1567:A1573"/>
    <mergeCell ref="B1567:B1573"/>
    <mergeCell ref="A1524:A1530"/>
    <mergeCell ref="B1524:B1530"/>
    <mergeCell ref="A1531:A1537"/>
    <mergeCell ref="B1531:B1537"/>
    <mergeCell ref="A1538:A1544"/>
    <mergeCell ref="B1538:B1544"/>
    <mergeCell ref="A1629:A1634"/>
    <mergeCell ref="B1629:B1634"/>
    <mergeCell ref="A1635:A1640"/>
    <mergeCell ref="B1635:B1640"/>
    <mergeCell ref="A1641:A1645"/>
    <mergeCell ref="B1641:B1645"/>
    <mergeCell ref="A1612:A1616"/>
    <mergeCell ref="B1612:B1616"/>
    <mergeCell ref="A1617:A1622"/>
    <mergeCell ref="B1617:B1622"/>
    <mergeCell ref="A1623:A1628"/>
    <mergeCell ref="B1623:B1628"/>
    <mergeCell ref="A1595:A1599"/>
    <mergeCell ref="B1595:B1599"/>
    <mergeCell ref="A1600:A1605"/>
    <mergeCell ref="B1600:B1605"/>
    <mergeCell ref="A1606:A1611"/>
    <mergeCell ref="B1606:B1611"/>
    <mergeCell ref="A1682:A1689"/>
    <mergeCell ref="B1682:B1689"/>
    <mergeCell ref="A1690:A1699"/>
    <mergeCell ref="B1690:B1699"/>
    <mergeCell ref="A1700:A1709"/>
    <mergeCell ref="B1700:B1709"/>
    <mergeCell ref="A1662:A1668"/>
    <mergeCell ref="B1662:B1668"/>
    <mergeCell ref="A1669:A1675"/>
    <mergeCell ref="B1669:B1675"/>
    <mergeCell ref="A1676:A1681"/>
    <mergeCell ref="B1676:B1681"/>
    <mergeCell ref="A1646:A1650"/>
    <mergeCell ref="B1646:B1650"/>
    <mergeCell ref="A1651:A1655"/>
    <mergeCell ref="B1651:B1655"/>
    <mergeCell ref="A1656:A1661"/>
    <mergeCell ref="B1656:B1661"/>
    <mergeCell ref="A1758:A1764"/>
    <mergeCell ref="B1758:B1764"/>
    <mergeCell ref="A1765:A1771"/>
    <mergeCell ref="B1765:B1771"/>
    <mergeCell ref="A1772:A1778"/>
    <mergeCell ref="B1772:B1778"/>
    <mergeCell ref="A1737:A1743"/>
    <mergeCell ref="B1737:B1743"/>
    <mergeCell ref="A1744:A1750"/>
    <mergeCell ref="B1744:B1750"/>
    <mergeCell ref="A1751:A1757"/>
    <mergeCell ref="B1751:B1757"/>
    <mergeCell ref="A1710:A1719"/>
    <mergeCell ref="B1710:B1719"/>
    <mergeCell ref="A1720:A1729"/>
    <mergeCell ref="B1720:B1729"/>
    <mergeCell ref="A1730:A1736"/>
    <mergeCell ref="B1730:B1736"/>
    <mergeCell ref="A1815:A1820"/>
    <mergeCell ref="B1815:B1820"/>
    <mergeCell ref="A1821:A1826"/>
    <mergeCell ref="B1821:B1826"/>
    <mergeCell ref="A1827:A1832"/>
    <mergeCell ref="B1827:B1832"/>
    <mergeCell ref="A1796:A1801"/>
    <mergeCell ref="B1796:B1801"/>
    <mergeCell ref="A1802:A1807"/>
    <mergeCell ref="B1802:B1807"/>
    <mergeCell ref="A1808:A1814"/>
    <mergeCell ref="B1808:B1814"/>
    <mergeCell ref="A1779:A1785"/>
    <mergeCell ref="B1779:B1785"/>
    <mergeCell ref="A1786:A1790"/>
    <mergeCell ref="B1786:B1790"/>
    <mergeCell ref="A1791:A1795"/>
    <mergeCell ref="B1791:B1795"/>
    <mergeCell ref="A1869:A1874"/>
    <mergeCell ref="B1869:B1874"/>
    <mergeCell ref="A1875:A1880"/>
    <mergeCell ref="B1875:B1880"/>
    <mergeCell ref="A1881:A1886"/>
    <mergeCell ref="B1881:B1886"/>
    <mergeCell ref="A1851:A1856"/>
    <mergeCell ref="B1851:B1856"/>
    <mergeCell ref="A1857:A1862"/>
    <mergeCell ref="B1857:B1862"/>
    <mergeCell ref="A1863:A1868"/>
    <mergeCell ref="B1863:B1868"/>
    <mergeCell ref="A1833:A1838"/>
    <mergeCell ref="B1833:B1838"/>
    <mergeCell ref="A1839:A1844"/>
    <mergeCell ref="B1839:B1844"/>
    <mergeCell ref="A1845:A1850"/>
    <mergeCell ref="B1845:B1850"/>
    <mergeCell ref="A1918:A1924"/>
    <mergeCell ref="B1918:B1924"/>
    <mergeCell ref="A1925:A1930"/>
    <mergeCell ref="B1925:B1930"/>
    <mergeCell ref="A1931:A1936"/>
    <mergeCell ref="B1931:B1936"/>
    <mergeCell ref="A1902:A1907"/>
    <mergeCell ref="B1902:B1907"/>
    <mergeCell ref="A1908:A1912"/>
    <mergeCell ref="B1908:B1912"/>
    <mergeCell ref="A1913:A1917"/>
    <mergeCell ref="B1913:B1917"/>
    <mergeCell ref="A1887:A1891"/>
    <mergeCell ref="B1887:B1891"/>
    <mergeCell ref="A1892:A1896"/>
    <mergeCell ref="B1892:B1896"/>
    <mergeCell ref="A1897:A1901"/>
    <mergeCell ref="B1897:B1901"/>
    <mergeCell ref="A1981:A1987"/>
    <mergeCell ref="B1981:B1987"/>
    <mergeCell ref="A1988:A1994"/>
    <mergeCell ref="B1988:B1994"/>
    <mergeCell ref="A1995:A2000"/>
    <mergeCell ref="B1995:B2000"/>
    <mergeCell ref="A1959:A1966"/>
    <mergeCell ref="B1959:B1966"/>
    <mergeCell ref="A1967:A1973"/>
    <mergeCell ref="B1967:B1973"/>
    <mergeCell ref="A1974:A1980"/>
    <mergeCell ref="B1974:B1980"/>
    <mergeCell ref="A1937:A1943"/>
    <mergeCell ref="B1937:B1943"/>
    <mergeCell ref="A1944:A1950"/>
    <mergeCell ref="B1944:B1950"/>
    <mergeCell ref="A1951:A1958"/>
    <mergeCell ref="B1951:B1958"/>
    <mergeCell ref="A2049:A2056"/>
    <mergeCell ref="B2049:B2056"/>
    <mergeCell ref="A2057:A2064"/>
    <mergeCell ref="B2057:B2064"/>
    <mergeCell ref="A2065:A2072"/>
    <mergeCell ref="B2065:B2072"/>
    <mergeCell ref="A2025:A2032"/>
    <mergeCell ref="B2025:B2032"/>
    <mergeCell ref="A2033:A2040"/>
    <mergeCell ref="B2033:B2040"/>
    <mergeCell ref="A2041:A2048"/>
    <mergeCell ref="B2041:B2048"/>
    <mergeCell ref="A2001:A2008"/>
    <mergeCell ref="B2001:B2008"/>
    <mergeCell ref="A2009:A2016"/>
    <mergeCell ref="B2009:B2016"/>
    <mergeCell ref="A2017:A2024"/>
    <mergeCell ref="B2017:B2024"/>
    <mergeCell ref="A2113:A2118"/>
    <mergeCell ref="B2113:B2118"/>
    <mergeCell ref="A2119:A2126"/>
    <mergeCell ref="B2119:B2126"/>
    <mergeCell ref="A2127:A2134"/>
    <mergeCell ref="B2127:B2134"/>
    <mergeCell ref="A2095:A2100"/>
    <mergeCell ref="B2095:B2100"/>
    <mergeCell ref="A2101:A2106"/>
    <mergeCell ref="B2101:B2106"/>
    <mergeCell ref="A2107:A2112"/>
    <mergeCell ref="B2107:B2112"/>
    <mergeCell ref="A2073:A2080"/>
    <mergeCell ref="B2073:B2080"/>
    <mergeCell ref="A2081:A2088"/>
    <mergeCell ref="B2081:B2088"/>
    <mergeCell ref="A2089:A2094"/>
    <mergeCell ref="B2089:B2094"/>
    <mergeCell ref="A2183:A2187"/>
    <mergeCell ref="B2183:B2187"/>
    <mergeCell ref="A2188:A2194"/>
    <mergeCell ref="B2188:B2194"/>
    <mergeCell ref="A2195:A2201"/>
    <mergeCell ref="B2195:B2201"/>
    <mergeCell ref="A2159:A2166"/>
    <mergeCell ref="B2159:B2166"/>
    <mergeCell ref="A2167:A2174"/>
    <mergeCell ref="B2167:B2174"/>
    <mergeCell ref="A2175:A2182"/>
    <mergeCell ref="B2175:B2182"/>
    <mergeCell ref="A2135:A2142"/>
    <mergeCell ref="B2135:B2142"/>
    <mergeCell ref="A2143:A2150"/>
    <mergeCell ref="B2143:B2150"/>
    <mergeCell ref="A2151:A2158"/>
    <mergeCell ref="B2151:B2158"/>
    <mergeCell ref="A2254:A2263"/>
    <mergeCell ref="B2254:B2263"/>
    <mergeCell ref="A2264:A2273"/>
    <mergeCell ref="B2264:B2273"/>
    <mergeCell ref="A2274:A2283"/>
    <mergeCell ref="B2274:B2283"/>
    <mergeCell ref="A2228:A2233"/>
    <mergeCell ref="B2228:B2233"/>
    <mergeCell ref="A2234:A2243"/>
    <mergeCell ref="B2234:B2243"/>
    <mergeCell ref="A2244:A2253"/>
    <mergeCell ref="B2244:B2253"/>
    <mergeCell ref="A2202:A2207"/>
    <mergeCell ref="B2202:B2207"/>
    <mergeCell ref="A2208:A2213"/>
    <mergeCell ref="B2208:B2213"/>
    <mergeCell ref="A2214:A2227"/>
    <mergeCell ref="B2214:B2227"/>
    <mergeCell ref="A2322:A2326"/>
    <mergeCell ref="B2322:B2326"/>
    <mergeCell ref="A2327:A2331"/>
    <mergeCell ref="B2327:B2331"/>
    <mergeCell ref="A2332:A2336"/>
    <mergeCell ref="B2332:B2336"/>
    <mergeCell ref="A2304:A2309"/>
    <mergeCell ref="B2304:B2309"/>
    <mergeCell ref="A2310:A2315"/>
    <mergeCell ref="B2310:B2315"/>
    <mergeCell ref="A2316:A2321"/>
    <mergeCell ref="B2316:B2321"/>
    <mergeCell ref="A2284:A2290"/>
    <mergeCell ref="B2284:B2290"/>
    <mergeCell ref="A2291:A2297"/>
    <mergeCell ref="B2291:B2297"/>
    <mergeCell ref="A2298:A2303"/>
    <mergeCell ref="B2298:B2303"/>
    <mergeCell ref="A2358:A2363"/>
    <mergeCell ref="B2358:B2363"/>
    <mergeCell ref="A2364:A2370"/>
    <mergeCell ref="B2364:B2370"/>
    <mergeCell ref="A2371:A2376"/>
    <mergeCell ref="B2371:B2376"/>
    <mergeCell ref="A2337:A2342"/>
    <mergeCell ref="B2337:B2342"/>
    <mergeCell ref="A2343:A2350"/>
    <mergeCell ref="B2343:B2350"/>
    <mergeCell ref="A2351:A2357"/>
    <mergeCell ref="B2351:B2357"/>
    <mergeCell ref="A2377:A2380"/>
    <mergeCell ref="B2377:B2380"/>
    <mergeCell ref="A2381:A2384"/>
    <mergeCell ref="B2381:B2384"/>
    <mergeCell ref="A2385:A2388"/>
    <mergeCell ref="B2385:B2388"/>
    <mergeCell ref="A2413:A2416"/>
    <mergeCell ref="B2413:B2416"/>
    <mergeCell ref="A2533:A2536"/>
    <mergeCell ref="B2533:B2536"/>
    <mergeCell ref="A2389:A2392"/>
    <mergeCell ref="B2389:B2392"/>
    <mergeCell ref="A2393:A2396"/>
    <mergeCell ref="B2393:B2396"/>
    <mergeCell ref="A2397:A2400"/>
    <mergeCell ref="B2397:B2400"/>
    <mergeCell ref="A2401:A2404"/>
    <mergeCell ref="B2401:B2404"/>
    <mergeCell ref="A2405:A2408"/>
    <mergeCell ref="B2405:B2408"/>
    <mergeCell ref="A2409:A2412"/>
    <mergeCell ref="B2409:B2412"/>
    <mergeCell ref="A2417:A2420"/>
    <mergeCell ref="B2417:B2420"/>
    <mergeCell ref="A2461:A2464"/>
    <mergeCell ref="B2461:B2464"/>
    <mergeCell ref="A2517:A2520"/>
    <mergeCell ref="B2517:B2520"/>
    <mergeCell ref="A2521:A2524"/>
    <mergeCell ref="B2521:B2524"/>
    <mergeCell ref="A2425:A2428"/>
    <mergeCell ref="B2425:B2428"/>
    <mergeCell ref="A2429:A2432"/>
    <mergeCell ref="B2429:B2432"/>
    <mergeCell ref="A2421:A2424"/>
    <mergeCell ref="B2421:B2424"/>
    <mergeCell ref="A2433:A2436"/>
    <mergeCell ref="B2433:B2436"/>
    <mergeCell ref="A2593:A2596"/>
    <mergeCell ref="B2593:B2596"/>
    <mergeCell ref="A2569:A2576"/>
    <mergeCell ref="B2569:B2576"/>
    <mergeCell ref="A2577:A2580"/>
    <mergeCell ref="B2577:B2580"/>
    <mergeCell ref="A2581:A2584"/>
    <mergeCell ref="B2581:B2584"/>
    <mergeCell ref="A2549:A2552"/>
    <mergeCell ref="B2549:B2552"/>
    <mergeCell ref="A2553:A2560"/>
    <mergeCell ref="B2553:B2560"/>
    <mergeCell ref="A2561:A2568"/>
    <mergeCell ref="B2561:B2568"/>
    <mergeCell ref="A2537:A2540"/>
    <mergeCell ref="B2537:B2540"/>
    <mergeCell ref="A2541:A2544"/>
    <mergeCell ref="B2541:B2544"/>
    <mergeCell ref="A2545:A2548"/>
    <mergeCell ref="B2545:B2548"/>
    <mergeCell ref="A2671:A2676"/>
    <mergeCell ref="B2671:B2676"/>
    <mergeCell ref="A2677:A2682"/>
    <mergeCell ref="B2677:B2682"/>
    <mergeCell ref="A2683:A2688"/>
    <mergeCell ref="B2683:B2688"/>
    <mergeCell ref="A2653:A2658"/>
    <mergeCell ref="B2653:B2658"/>
    <mergeCell ref="A2659:A2664"/>
    <mergeCell ref="B2659:B2664"/>
    <mergeCell ref="A2665:A2670"/>
    <mergeCell ref="B2665:B2670"/>
    <mergeCell ref="A2629:A2632"/>
    <mergeCell ref="B2629:B2632"/>
    <mergeCell ref="A2641:A2646"/>
    <mergeCell ref="B2641:B2646"/>
    <mergeCell ref="A2647:A2652"/>
    <mergeCell ref="B2647:B2652"/>
    <mergeCell ref="A2633:A2636"/>
    <mergeCell ref="B2633:B2636"/>
    <mergeCell ref="A2637:A2640"/>
    <mergeCell ref="B2637:B2640"/>
    <mergeCell ref="A2689:A2694"/>
    <mergeCell ref="B2689:B2694"/>
    <mergeCell ref="A2695:A2700"/>
    <mergeCell ref="B2695:B2700"/>
    <mergeCell ref="A2757:A2761"/>
    <mergeCell ref="B2757:B2761"/>
    <mergeCell ref="A2749:A2752"/>
    <mergeCell ref="B2749:B2752"/>
    <mergeCell ref="A2845:A2849"/>
    <mergeCell ref="B2845:B2849"/>
    <mergeCell ref="A2850:A2854"/>
    <mergeCell ref="B2850:B2854"/>
    <mergeCell ref="A2855:A2859"/>
    <mergeCell ref="B2855:B2859"/>
    <mergeCell ref="A2830:A2834"/>
    <mergeCell ref="B2830:B2834"/>
    <mergeCell ref="A2835:A2839"/>
    <mergeCell ref="B2835:B2839"/>
    <mergeCell ref="A2840:A2844"/>
    <mergeCell ref="B2840:B2844"/>
    <mergeCell ref="A2813:A2819"/>
    <mergeCell ref="B2813:B2819"/>
    <mergeCell ref="A2820:A2824"/>
    <mergeCell ref="B2820:B2824"/>
    <mergeCell ref="A2825:A2829"/>
    <mergeCell ref="B2825:B2829"/>
    <mergeCell ref="A2713:A2716"/>
    <mergeCell ref="B2713:B2716"/>
    <mergeCell ref="A2717:A2720"/>
    <mergeCell ref="B2717:B2720"/>
    <mergeCell ref="A2721:A2724"/>
    <mergeCell ref="B2721:B2724"/>
    <mergeCell ref="A3040:A3047"/>
    <mergeCell ref="B3040:B3047"/>
    <mergeCell ref="A3048:A3051"/>
    <mergeCell ref="B3048:B3051"/>
    <mergeCell ref="A3017:A3021"/>
    <mergeCell ref="B3017:B3021"/>
    <mergeCell ref="A3022:A3026"/>
    <mergeCell ref="B3022:B3026"/>
    <mergeCell ref="A3027:A3034"/>
    <mergeCell ref="B3027:B3034"/>
    <mergeCell ref="A3007:A3011"/>
    <mergeCell ref="B3007:B3011"/>
    <mergeCell ref="A3012:A3016"/>
    <mergeCell ref="B3012:B3016"/>
    <mergeCell ref="A2987:A2991"/>
    <mergeCell ref="B2987:B2991"/>
    <mergeCell ref="A3136:A3141"/>
    <mergeCell ref="B3136:B3141"/>
    <mergeCell ref="A3002:A3006"/>
    <mergeCell ref="B3002:B3006"/>
    <mergeCell ref="A2992:A2996"/>
    <mergeCell ref="B2992:B2996"/>
    <mergeCell ref="A2997:A3001"/>
    <mergeCell ref="B2997:B3001"/>
    <mergeCell ref="A3142:A3146"/>
    <mergeCell ref="B3142:B3146"/>
    <mergeCell ref="A3147:A3152"/>
    <mergeCell ref="B3147:B3152"/>
    <mergeCell ref="A3118:A3123"/>
    <mergeCell ref="B3118:B3123"/>
    <mergeCell ref="A3124:A3129"/>
    <mergeCell ref="B3124:B3129"/>
    <mergeCell ref="A3130:A3135"/>
    <mergeCell ref="B3130:B3135"/>
    <mergeCell ref="A3103:A3107"/>
    <mergeCell ref="B3103:B3107"/>
    <mergeCell ref="A3108:A3112"/>
    <mergeCell ref="B3108:B3112"/>
    <mergeCell ref="A3113:A3117"/>
    <mergeCell ref="B3113:B3117"/>
    <mergeCell ref="A3192:A3198"/>
    <mergeCell ref="B3192:B3198"/>
    <mergeCell ref="A3199:A3210"/>
    <mergeCell ref="B3199:B3210"/>
    <mergeCell ref="A3211:A3216"/>
    <mergeCell ref="B3211:B3216"/>
    <mergeCell ref="A3175:A3182"/>
    <mergeCell ref="B3175:B3182"/>
    <mergeCell ref="A3183:A3187"/>
    <mergeCell ref="B3183:B3187"/>
    <mergeCell ref="A3188:A3191"/>
    <mergeCell ref="B3188:B3191"/>
    <mergeCell ref="A3153:A3157"/>
    <mergeCell ref="B3153:B3157"/>
    <mergeCell ref="A3158:A3166"/>
    <mergeCell ref="B3158:B3166"/>
    <mergeCell ref="A3167:A3174"/>
    <mergeCell ref="B3167:B3174"/>
    <mergeCell ref="A3258:A3264"/>
    <mergeCell ref="B3258:B3264"/>
    <mergeCell ref="A3265:A3271"/>
    <mergeCell ref="B3265:B3271"/>
    <mergeCell ref="A3272:A3278"/>
    <mergeCell ref="B3272:B3278"/>
    <mergeCell ref="A3239:A3243"/>
    <mergeCell ref="B3239:B3243"/>
    <mergeCell ref="A3244:A3250"/>
    <mergeCell ref="B3244:B3250"/>
    <mergeCell ref="A3251:A3257"/>
    <mergeCell ref="B3251:B3257"/>
    <mergeCell ref="A3217:A3222"/>
    <mergeCell ref="B3217:B3222"/>
    <mergeCell ref="A3223:A3228"/>
    <mergeCell ref="B3223:B3228"/>
    <mergeCell ref="A3229:A3238"/>
    <mergeCell ref="B3229:B3238"/>
    <mergeCell ref="A3320:A3325"/>
    <mergeCell ref="B3320:B3325"/>
    <mergeCell ref="A3326:A3334"/>
    <mergeCell ref="B3326:B3334"/>
    <mergeCell ref="A3335:A3339"/>
    <mergeCell ref="B3335:B3339"/>
    <mergeCell ref="A3300:A3306"/>
    <mergeCell ref="B3300:B3306"/>
    <mergeCell ref="A3307:A3313"/>
    <mergeCell ref="B3307:B3313"/>
    <mergeCell ref="A3314:A3319"/>
    <mergeCell ref="B3314:B3319"/>
    <mergeCell ref="A3279:A3285"/>
    <mergeCell ref="B3279:B3285"/>
    <mergeCell ref="A3286:A3292"/>
    <mergeCell ref="B3286:B3292"/>
    <mergeCell ref="A3293:A3299"/>
    <mergeCell ref="B3293:B3299"/>
    <mergeCell ref="A3374:A3377"/>
    <mergeCell ref="B3374:B3377"/>
    <mergeCell ref="A3378:A3381"/>
    <mergeCell ref="B3378:B3381"/>
    <mergeCell ref="A3382:A3388"/>
    <mergeCell ref="B3382:B3388"/>
    <mergeCell ref="A3361:A3364"/>
    <mergeCell ref="B3361:B3364"/>
    <mergeCell ref="A3365:A3368"/>
    <mergeCell ref="B3365:B3368"/>
    <mergeCell ref="A3369:A3373"/>
    <mergeCell ref="B3369:B3373"/>
    <mergeCell ref="A3340:A3346"/>
    <mergeCell ref="B3340:B3346"/>
    <mergeCell ref="A3347:A3353"/>
    <mergeCell ref="B3347:B3353"/>
    <mergeCell ref="A3354:A3360"/>
    <mergeCell ref="B3354:B3360"/>
    <mergeCell ref="A3422:A3425"/>
    <mergeCell ref="B3422:B3425"/>
    <mergeCell ref="A3426:A3435"/>
    <mergeCell ref="B3426:B3435"/>
    <mergeCell ref="A3436:A3446"/>
    <mergeCell ref="B3436:B3446"/>
    <mergeCell ref="A3408:A3412"/>
    <mergeCell ref="B3408:B3412"/>
    <mergeCell ref="A3413:A3417"/>
    <mergeCell ref="B3413:B3417"/>
    <mergeCell ref="A3418:A3421"/>
    <mergeCell ref="B3418:B3421"/>
    <mergeCell ref="A3389:A3395"/>
    <mergeCell ref="B3389:B3395"/>
    <mergeCell ref="A3396:A3402"/>
    <mergeCell ref="B3396:B3402"/>
    <mergeCell ref="A3403:A3407"/>
    <mergeCell ref="B3403:B3407"/>
    <mergeCell ref="A3534:A3549"/>
    <mergeCell ref="B3534:B3549"/>
    <mergeCell ref="A3550:A3555"/>
    <mergeCell ref="B3550:B3555"/>
    <mergeCell ref="A3556:A3561"/>
    <mergeCell ref="B3556:B3561"/>
    <mergeCell ref="A3491:A3507"/>
    <mergeCell ref="B3491:B3507"/>
    <mergeCell ref="A3508:A3517"/>
    <mergeCell ref="B3508:B3517"/>
    <mergeCell ref="A3527:A3533"/>
    <mergeCell ref="B3527:B3533"/>
    <mergeCell ref="A3458:A3465"/>
    <mergeCell ref="B3458:B3465"/>
    <mergeCell ref="A3466:A3482"/>
    <mergeCell ref="B3466:B3482"/>
    <mergeCell ref="A3483:A3490"/>
    <mergeCell ref="B3483:B3490"/>
    <mergeCell ref="A3562:A3569"/>
    <mergeCell ref="B3562:B3569"/>
    <mergeCell ref="A3570:A3576"/>
    <mergeCell ref="B3570:B3576"/>
    <mergeCell ref="A3577:A3581"/>
    <mergeCell ref="B3577:B3581"/>
    <mergeCell ref="A3625:A3629"/>
    <mergeCell ref="B3625:B3629"/>
    <mergeCell ref="A3630:A3637"/>
    <mergeCell ref="B3630:B3637"/>
    <mergeCell ref="A3638:A3641"/>
    <mergeCell ref="B3638:B3641"/>
    <mergeCell ref="A3604:A3609"/>
    <mergeCell ref="B3604:B3609"/>
    <mergeCell ref="A3610:A3619"/>
    <mergeCell ref="B3610:B3619"/>
    <mergeCell ref="A3620:A3624"/>
    <mergeCell ref="B3620:B3624"/>
    <mergeCell ref="A3592:A3596"/>
    <mergeCell ref="B3592:B3596"/>
    <mergeCell ref="A3597:A3603"/>
    <mergeCell ref="B3597:B3603"/>
    <mergeCell ref="A3582:A3591"/>
    <mergeCell ref="B3582:B3591"/>
    <mergeCell ref="A3642:A3647"/>
    <mergeCell ref="B3642:B3647"/>
    <mergeCell ref="A3648:A3662"/>
    <mergeCell ref="B3648:B3662"/>
    <mergeCell ref="A3663:A3670"/>
    <mergeCell ref="B3663:B3670"/>
    <mergeCell ref="A3808:A3813"/>
    <mergeCell ref="B3808:B3813"/>
    <mergeCell ref="A3790:A3795"/>
    <mergeCell ref="B3790:B3795"/>
    <mergeCell ref="A3814:A3818"/>
    <mergeCell ref="B3814:B3818"/>
    <mergeCell ref="A3819:A3830"/>
    <mergeCell ref="B3819:B3830"/>
    <mergeCell ref="A3802:A3807"/>
    <mergeCell ref="B3802:B3807"/>
    <mergeCell ref="A3707:A3710"/>
    <mergeCell ref="B3707:B3710"/>
    <mergeCell ref="A3711:A3720"/>
    <mergeCell ref="B3711:B3720"/>
    <mergeCell ref="A3721:A3725"/>
    <mergeCell ref="B3721:B3725"/>
    <mergeCell ref="A3671:A3682"/>
    <mergeCell ref="B3671:B3682"/>
    <mergeCell ref="A3683:A3695"/>
    <mergeCell ref="B3683:B3695"/>
    <mergeCell ref="A3696:A3706"/>
    <mergeCell ref="B3696:B3706"/>
    <mergeCell ref="A3750:A3753"/>
    <mergeCell ref="B3750:B3753"/>
    <mergeCell ref="A3796:A3801"/>
    <mergeCell ref="B3796:B3801"/>
    <mergeCell ref="A3831:A3840"/>
    <mergeCell ref="B3831:B3840"/>
    <mergeCell ref="A3726:A3734"/>
    <mergeCell ref="B3726:B3734"/>
    <mergeCell ref="A3735:A3741"/>
    <mergeCell ref="B3735:B3741"/>
    <mergeCell ref="A3742:A3745"/>
    <mergeCell ref="B3742:B3745"/>
    <mergeCell ref="A3754:A3759"/>
    <mergeCell ref="B3754:B3759"/>
    <mergeCell ref="A3760:A3765"/>
    <mergeCell ref="B3760:B3765"/>
    <mergeCell ref="A3766:A3771"/>
    <mergeCell ref="B3766:B3771"/>
    <mergeCell ref="A3772:A3777"/>
    <mergeCell ref="B3772:B3777"/>
    <mergeCell ref="A3778:A3783"/>
    <mergeCell ref="B3778:B3783"/>
    <mergeCell ref="A3784:A3789"/>
    <mergeCell ref="B3784:B3789"/>
    <mergeCell ref="A3746:A3749"/>
    <mergeCell ref="B3746:B3749"/>
    <mergeCell ref="A3944:A3951"/>
    <mergeCell ref="B3944:B3951"/>
    <mergeCell ref="A3977:A3988"/>
    <mergeCell ref="B3977:B3988"/>
    <mergeCell ref="A3989:A4001"/>
    <mergeCell ref="B3989:B4001"/>
    <mergeCell ref="A4002:A4006"/>
    <mergeCell ref="B4002:B4006"/>
    <mergeCell ref="A3952:A3961"/>
    <mergeCell ref="B3952:B3961"/>
    <mergeCell ref="A3870:A3884"/>
    <mergeCell ref="B3870:B3884"/>
    <mergeCell ref="A3885:A3891"/>
    <mergeCell ref="B3885:B3891"/>
    <mergeCell ref="A3892:A3909"/>
    <mergeCell ref="B3892:B3909"/>
    <mergeCell ref="A3841:A3849"/>
    <mergeCell ref="B3841:B3849"/>
    <mergeCell ref="A3850:A3857"/>
    <mergeCell ref="B3850:B3857"/>
    <mergeCell ref="A3858:A3869"/>
    <mergeCell ref="B3858:B3869"/>
    <mergeCell ref="A3910:A3915"/>
    <mergeCell ref="B3910:B3915"/>
    <mergeCell ref="A3916:A3921"/>
    <mergeCell ref="B3916:B3921"/>
    <mergeCell ref="A4098:A4104"/>
    <mergeCell ref="B4098:B4104"/>
    <mergeCell ref="A4105:A4112"/>
    <mergeCell ref="B4105:B4112"/>
    <mergeCell ref="A4075:A4080"/>
    <mergeCell ref="B4075:B4080"/>
    <mergeCell ref="A4081:A4087"/>
    <mergeCell ref="B4081:B4087"/>
    <mergeCell ref="A4088:A4093"/>
    <mergeCell ref="B4088:B4093"/>
    <mergeCell ref="A3922:A3927"/>
    <mergeCell ref="B3922:B3927"/>
    <mergeCell ref="A4024:A4032"/>
    <mergeCell ref="B4024:B4032"/>
    <mergeCell ref="A4033:A4041"/>
    <mergeCell ref="B4033:B4041"/>
    <mergeCell ref="A4042:A4050"/>
    <mergeCell ref="B4042:B4050"/>
    <mergeCell ref="A4007:A4010"/>
    <mergeCell ref="B4007:B4010"/>
    <mergeCell ref="A4011:A4014"/>
    <mergeCell ref="B4011:B4014"/>
    <mergeCell ref="A4015:A4023"/>
    <mergeCell ref="B4015:B4023"/>
    <mergeCell ref="A3962:A3968"/>
    <mergeCell ref="B3962:B3968"/>
    <mergeCell ref="A3969:A3976"/>
    <mergeCell ref="B3969:B3976"/>
    <mergeCell ref="A3928:A3934"/>
    <mergeCell ref="B3928:B3934"/>
    <mergeCell ref="A3935:A3943"/>
    <mergeCell ref="B3935:B3943"/>
    <mergeCell ref="A4051:A4059"/>
    <mergeCell ref="B4051:B4059"/>
    <mergeCell ref="A4060:A4068"/>
    <mergeCell ref="B4060:B4068"/>
    <mergeCell ref="A4069:A4074"/>
    <mergeCell ref="B4069:B4074"/>
    <mergeCell ref="A4181:A4186"/>
    <mergeCell ref="B4181:B4186"/>
    <mergeCell ref="A4187:A4192"/>
    <mergeCell ref="B4187:B4192"/>
    <mergeCell ref="A4193:A4198"/>
    <mergeCell ref="B4193:B4198"/>
    <mergeCell ref="A4163:A4166"/>
    <mergeCell ref="B4163:B4166"/>
    <mergeCell ref="A4167:A4173"/>
    <mergeCell ref="B4167:B4173"/>
    <mergeCell ref="A4174:A4180"/>
    <mergeCell ref="B4174:B4180"/>
    <mergeCell ref="A4133:A4140"/>
    <mergeCell ref="B4133:B4140"/>
    <mergeCell ref="A4141:A4151"/>
    <mergeCell ref="B4141:B4151"/>
    <mergeCell ref="A4152:A4162"/>
    <mergeCell ref="B4152:B4162"/>
    <mergeCell ref="A4113:A4120"/>
    <mergeCell ref="B4113:B4120"/>
    <mergeCell ref="A4121:A4128"/>
    <mergeCell ref="B4121:B4128"/>
    <mergeCell ref="A4129:A4132"/>
    <mergeCell ref="B4129:B4132"/>
    <mergeCell ref="A4094:A4097"/>
    <mergeCell ref="B4094:B4097"/>
    <mergeCell ref="A4260:A4268"/>
    <mergeCell ref="B4260:B4268"/>
    <mergeCell ref="A4269:A4284"/>
    <mergeCell ref="B4269:B4284"/>
    <mergeCell ref="A4285:A4311"/>
    <mergeCell ref="B4285:B4311"/>
    <mergeCell ref="A4240:A4246"/>
    <mergeCell ref="B4240:B4246"/>
    <mergeCell ref="A4247:A4251"/>
    <mergeCell ref="B4247:B4251"/>
    <mergeCell ref="A4252:A4259"/>
    <mergeCell ref="B4252:B4259"/>
    <mergeCell ref="A4223:A4230"/>
    <mergeCell ref="B4223:B4230"/>
    <mergeCell ref="A4231:A4239"/>
    <mergeCell ref="B4231:B4239"/>
    <mergeCell ref="A4199:A4208"/>
    <mergeCell ref="B4199:B4208"/>
    <mergeCell ref="A4209:A4214"/>
    <mergeCell ref="B4209:B4214"/>
    <mergeCell ref="A4215:A4222"/>
    <mergeCell ref="B4215:B4222"/>
    <mergeCell ref="A4366:A4375"/>
    <mergeCell ref="B4366:B4375"/>
    <mergeCell ref="A4376:A4383"/>
    <mergeCell ref="B4376:B4383"/>
    <mergeCell ref="A4384:A4391"/>
    <mergeCell ref="B4384:B4391"/>
    <mergeCell ref="A4339:A4347"/>
    <mergeCell ref="B4339:B4347"/>
    <mergeCell ref="A4348:A4356"/>
    <mergeCell ref="B4348:B4356"/>
    <mergeCell ref="A4357:A4365"/>
    <mergeCell ref="B4357:B4365"/>
    <mergeCell ref="A4312:A4318"/>
    <mergeCell ref="B4312:B4318"/>
    <mergeCell ref="A4319:A4329"/>
    <mergeCell ref="B4319:B4329"/>
    <mergeCell ref="A4330:A4338"/>
    <mergeCell ref="B4330:B4338"/>
    <mergeCell ref="A4454:A4459"/>
    <mergeCell ref="B4454:B4459"/>
    <mergeCell ref="A4460:A4479"/>
    <mergeCell ref="B4460:B4479"/>
    <mergeCell ref="A4480:A4487"/>
    <mergeCell ref="B4480:B4487"/>
    <mergeCell ref="A4422:A4429"/>
    <mergeCell ref="B4422:B4429"/>
    <mergeCell ref="A4430:A4444"/>
    <mergeCell ref="B4430:B4444"/>
    <mergeCell ref="A4445:A4453"/>
    <mergeCell ref="B4445:B4453"/>
    <mergeCell ref="A4392:A4401"/>
    <mergeCell ref="B4392:B4401"/>
    <mergeCell ref="A4402:A4411"/>
    <mergeCell ref="B4402:B4411"/>
    <mergeCell ref="A4412:A4421"/>
    <mergeCell ref="B4412:B4421"/>
    <mergeCell ref="A4530:A4534"/>
    <mergeCell ref="B4530:B4534"/>
    <mergeCell ref="A4535:A4540"/>
    <mergeCell ref="B4535:B4540"/>
    <mergeCell ref="A4541:A4552"/>
    <mergeCell ref="B4541:B4552"/>
    <mergeCell ref="A4507:A4511"/>
    <mergeCell ref="B4507:B4511"/>
    <mergeCell ref="A4512:A4520"/>
    <mergeCell ref="B4512:B4520"/>
    <mergeCell ref="A4521:A4529"/>
    <mergeCell ref="B4521:B4529"/>
    <mergeCell ref="A4488:A4495"/>
    <mergeCell ref="B4488:B4495"/>
    <mergeCell ref="A4496:A4501"/>
    <mergeCell ref="B4496:B4501"/>
    <mergeCell ref="A4502:A4506"/>
    <mergeCell ref="B4502:B4506"/>
    <mergeCell ref="A4615:A4626"/>
    <mergeCell ref="B4615:B4626"/>
    <mergeCell ref="A4627:A4634"/>
    <mergeCell ref="B4627:B4634"/>
    <mergeCell ref="A4635:A4640"/>
    <mergeCell ref="B4635:B4640"/>
    <mergeCell ref="A4592:A4600"/>
    <mergeCell ref="B4592:B4600"/>
    <mergeCell ref="A4601:A4608"/>
    <mergeCell ref="B4601:B4608"/>
    <mergeCell ref="A4609:A4614"/>
    <mergeCell ref="B4609:B4614"/>
    <mergeCell ref="A4553:A4564"/>
    <mergeCell ref="B4553:B4564"/>
    <mergeCell ref="A4565:A4583"/>
    <mergeCell ref="B4565:B4583"/>
    <mergeCell ref="A4584:A4591"/>
    <mergeCell ref="B4584:B4591"/>
    <mergeCell ref="A4691:A4702"/>
    <mergeCell ref="B4691:B4702"/>
    <mergeCell ref="A4707:A4712"/>
    <mergeCell ref="B4707:B4712"/>
    <mergeCell ref="A4713:A4720"/>
    <mergeCell ref="B4713:B4720"/>
    <mergeCell ref="A4668:A4673"/>
    <mergeCell ref="B4668:B4673"/>
    <mergeCell ref="A4674:A4681"/>
    <mergeCell ref="B4674:B4681"/>
    <mergeCell ref="A4682:A4690"/>
    <mergeCell ref="B4682:B4690"/>
    <mergeCell ref="A4641:A4648"/>
    <mergeCell ref="B4641:B4648"/>
    <mergeCell ref="A4649:A4656"/>
    <mergeCell ref="B4649:B4656"/>
    <mergeCell ref="A4657:A4667"/>
    <mergeCell ref="B4657:B4667"/>
    <mergeCell ref="A4703:A4706"/>
    <mergeCell ref="B4703:B4706"/>
    <mergeCell ref="A4773:A4782"/>
    <mergeCell ref="B4773:B4782"/>
    <mergeCell ref="A4783:A4792"/>
    <mergeCell ref="B4783:B4792"/>
    <mergeCell ref="A4793:A4797"/>
    <mergeCell ref="B4793:B4797"/>
    <mergeCell ref="A4798:A4802"/>
    <mergeCell ref="B4798:B4802"/>
    <mergeCell ref="A4803:A4807"/>
    <mergeCell ref="B4803:B4807"/>
    <mergeCell ref="A4816:A4823"/>
    <mergeCell ref="B4816:B4823"/>
    <mergeCell ref="A4824:A4831"/>
    <mergeCell ref="B4824:B4831"/>
    <mergeCell ref="A4832:A4839"/>
    <mergeCell ref="B4832:B4839"/>
    <mergeCell ref="A4757:A4767"/>
    <mergeCell ref="B4757:B4767"/>
    <mergeCell ref="A4768:A4772"/>
    <mergeCell ref="B4768:B4772"/>
    <mergeCell ref="A4840:A4847"/>
    <mergeCell ref="B4840:B4847"/>
    <mergeCell ref="A4848:A4855"/>
    <mergeCell ref="B4848:B4855"/>
    <mergeCell ref="A4856:A4863"/>
    <mergeCell ref="B4856:B4863"/>
    <mergeCell ref="A4864:A4871"/>
    <mergeCell ref="B4864:B4871"/>
    <mergeCell ref="A4808:A4815"/>
    <mergeCell ref="B4808:B4815"/>
    <mergeCell ref="A4872:A4881"/>
    <mergeCell ref="B4872:B4881"/>
    <mergeCell ref="A4882:A4890"/>
    <mergeCell ref="B4882:B4890"/>
    <mergeCell ref="A4891:A4897"/>
    <mergeCell ref="B4891:B4897"/>
    <mergeCell ref="A4898:A4904"/>
    <mergeCell ref="B4898:B4904"/>
    <mergeCell ref="A4905:A4911"/>
    <mergeCell ref="B4905:B4911"/>
    <mergeCell ref="A4912:A4918"/>
    <mergeCell ref="B4912:B4918"/>
    <mergeCell ref="A4919:A4925"/>
    <mergeCell ref="B4919:B4925"/>
    <mergeCell ref="A4926:A4930"/>
    <mergeCell ref="B4926:B4930"/>
    <mergeCell ref="A4931:A4937"/>
    <mergeCell ref="B4931:B4937"/>
    <mergeCell ref="B4938:B4944"/>
    <mergeCell ref="A4938:A4944"/>
    <mergeCell ref="A4945:A4951"/>
    <mergeCell ref="B4945:B4951"/>
    <mergeCell ref="A4952:A4958"/>
    <mergeCell ref="B4952:B4958"/>
    <mergeCell ref="A4959:A4963"/>
    <mergeCell ref="B4959:B4963"/>
    <mergeCell ref="A5052:A5059"/>
    <mergeCell ref="B5052:B5059"/>
    <mergeCell ref="A5060:A5065"/>
    <mergeCell ref="B5060:B5065"/>
    <mergeCell ref="A5066:A5071"/>
    <mergeCell ref="B5066:B5071"/>
    <mergeCell ref="A5072:A5077"/>
    <mergeCell ref="B5072:B5077"/>
    <mergeCell ref="A4964:A4969"/>
    <mergeCell ref="B4964:B4969"/>
    <mergeCell ref="A4970:A4975"/>
    <mergeCell ref="B4970:B4975"/>
    <mergeCell ref="A4976:A4981"/>
    <mergeCell ref="B4976:B4981"/>
    <mergeCell ref="A4982:A4987"/>
    <mergeCell ref="B4982:B4987"/>
    <mergeCell ref="A4988:A4994"/>
    <mergeCell ref="B4988:B4994"/>
    <mergeCell ref="A4995:A4999"/>
    <mergeCell ref="B4995:B4999"/>
    <mergeCell ref="A5000:A5007"/>
    <mergeCell ref="B5000:B5007"/>
    <mergeCell ref="A5008:A5013"/>
    <mergeCell ref="B5008:B5013"/>
    <mergeCell ref="A5014:A5017"/>
    <mergeCell ref="B5014:B5017"/>
    <mergeCell ref="A2513:A2516"/>
    <mergeCell ref="B2513:B2516"/>
    <mergeCell ref="A2529:A2532"/>
    <mergeCell ref="B2529:B2532"/>
    <mergeCell ref="A2597:A2600"/>
    <mergeCell ref="B2597:B2600"/>
    <mergeCell ref="A2601:A2604"/>
    <mergeCell ref="B2601:B2604"/>
    <mergeCell ref="A2605:A2608"/>
    <mergeCell ref="B2605:B2608"/>
    <mergeCell ref="A2585:A2588"/>
    <mergeCell ref="B2585:B2588"/>
    <mergeCell ref="A2589:A2592"/>
    <mergeCell ref="B2589:B2592"/>
    <mergeCell ref="A5091:A5097"/>
    <mergeCell ref="B5091:B5097"/>
    <mergeCell ref="A5098:A5108"/>
    <mergeCell ref="B5098:B5108"/>
    <mergeCell ref="A5078:A5083"/>
    <mergeCell ref="B5078:B5083"/>
    <mergeCell ref="A5084:A5090"/>
    <mergeCell ref="B5084:B5090"/>
    <mergeCell ref="A5018:A5023"/>
    <mergeCell ref="B5018:B5023"/>
    <mergeCell ref="A5024:A5029"/>
    <mergeCell ref="B5024:B5029"/>
    <mergeCell ref="A5030:A5037"/>
    <mergeCell ref="B5030:B5037"/>
    <mergeCell ref="A5038:A5044"/>
    <mergeCell ref="B5038:B5044"/>
    <mergeCell ref="A5045:A5051"/>
    <mergeCell ref="B5045:B5051"/>
    <mergeCell ref="A2617:A2620"/>
    <mergeCell ref="B2617:B2620"/>
    <mergeCell ref="A2465:A2468"/>
    <mergeCell ref="B2465:B2468"/>
    <mergeCell ref="A2469:A2472"/>
    <mergeCell ref="B2469:B2472"/>
    <mergeCell ref="A2473:A2476"/>
    <mergeCell ref="B2473:B2476"/>
    <mergeCell ref="A2477:A2480"/>
    <mergeCell ref="B2477:B2480"/>
    <mergeCell ref="A2481:A2484"/>
    <mergeCell ref="B2481:B2484"/>
    <mergeCell ref="A2485:A2488"/>
    <mergeCell ref="B2485:B2488"/>
    <mergeCell ref="A2525:A2528"/>
    <mergeCell ref="B2525:B2528"/>
    <mergeCell ref="A5123:A5130"/>
    <mergeCell ref="B5123:B5130"/>
    <mergeCell ref="A2625:A2628"/>
    <mergeCell ref="B2625:B2628"/>
    <mergeCell ref="A2489:A2492"/>
    <mergeCell ref="B2489:B2492"/>
    <mergeCell ref="A2493:A2496"/>
    <mergeCell ref="B2493:B2496"/>
    <mergeCell ref="A2497:A2500"/>
    <mergeCell ref="B2497:B2500"/>
    <mergeCell ref="A2501:A2504"/>
    <mergeCell ref="B2501:B2504"/>
    <mergeCell ref="A2505:A2508"/>
    <mergeCell ref="B2505:B2508"/>
    <mergeCell ref="A2509:A2512"/>
    <mergeCell ref="B2509:B2512"/>
    <mergeCell ref="A5453:A5458"/>
    <mergeCell ref="B5453:B5458"/>
    <mergeCell ref="A5459:A5464"/>
    <mergeCell ref="B5459:B5464"/>
    <mergeCell ref="A5465:A5470"/>
    <mergeCell ref="B5465:B5470"/>
    <mergeCell ref="A5471:A5474"/>
    <mergeCell ref="B5471:B5474"/>
    <mergeCell ref="A5482:A5485"/>
    <mergeCell ref="B5482:B5485"/>
    <mergeCell ref="A5475:A5481"/>
    <mergeCell ref="B5475:B5481"/>
    <mergeCell ref="A5606:A5609"/>
    <mergeCell ref="B5606:B5609"/>
    <mergeCell ref="A2437:A2440"/>
    <mergeCell ref="B2437:B2440"/>
    <mergeCell ref="A2441:A2444"/>
    <mergeCell ref="B2441:B2444"/>
    <mergeCell ref="A2445:A2448"/>
    <mergeCell ref="B2445:B2448"/>
    <mergeCell ref="A2449:A2452"/>
    <mergeCell ref="B2449:B2452"/>
    <mergeCell ref="A2453:A2456"/>
    <mergeCell ref="B2453:B2456"/>
    <mergeCell ref="A2457:A2460"/>
    <mergeCell ref="B2457:B2460"/>
    <mergeCell ref="A2609:A2612"/>
    <mergeCell ref="B2609:B2612"/>
    <mergeCell ref="A2613:A2616"/>
    <mergeCell ref="B2613:B2616"/>
    <mergeCell ref="A5446:A5452"/>
    <mergeCell ref="B5446:B5452"/>
    <mergeCell ref="A5650:A5653"/>
    <mergeCell ref="B5650:B5653"/>
    <mergeCell ref="A5654:A5657"/>
    <mergeCell ref="B5654:B5657"/>
    <mergeCell ref="A5658:A5661"/>
    <mergeCell ref="B5658:B5661"/>
    <mergeCell ref="A5662:A5665"/>
    <mergeCell ref="B5662:B5665"/>
    <mergeCell ref="A5666:A5669"/>
    <mergeCell ref="B5666:B5669"/>
    <mergeCell ref="A5670:A5673"/>
    <mergeCell ref="B5670:B5673"/>
    <mergeCell ref="A5674:A5677"/>
    <mergeCell ref="B5674:B5677"/>
    <mergeCell ref="A5678:A5681"/>
    <mergeCell ref="B5678:B5681"/>
    <mergeCell ref="A5682:A5685"/>
    <mergeCell ref="B5682:B5685"/>
    <mergeCell ref="A5686:A5689"/>
    <mergeCell ref="B5686:B5689"/>
    <mergeCell ref="A5690:A5693"/>
    <mergeCell ref="B5690:B5693"/>
    <mergeCell ref="A5694:A5697"/>
    <mergeCell ref="B5694:B5697"/>
    <mergeCell ref="A5698:A5701"/>
    <mergeCell ref="B5698:B5701"/>
    <mergeCell ref="A5702:A5705"/>
    <mergeCell ref="B5702:B5705"/>
    <mergeCell ref="A5706:A5709"/>
    <mergeCell ref="B5706:B5709"/>
    <mergeCell ref="A5710:A5713"/>
    <mergeCell ref="B5710:B5713"/>
    <mergeCell ref="A5714:A5717"/>
    <mergeCell ref="B5714:B5717"/>
    <mergeCell ref="A5718:A5721"/>
    <mergeCell ref="B5718:B5721"/>
    <mergeCell ref="A5722:A5725"/>
    <mergeCell ref="B5722:B5725"/>
    <mergeCell ref="A5726:A5729"/>
    <mergeCell ref="B5726:B5729"/>
    <mergeCell ref="A5730:A5733"/>
    <mergeCell ref="B5730:B5733"/>
    <mergeCell ref="A5734:A5737"/>
    <mergeCell ref="B5734:B5737"/>
    <mergeCell ref="A5738:A5741"/>
    <mergeCell ref="B5738:B5741"/>
    <mergeCell ref="A5742:A5745"/>
    <mergeCell ref="B5742:B5745"/>
    <mergeCell ref="A5746:A5749"/>
    <mergeCell ref="B5746:B5749"/>
    <mergeCell ref="A5750:A5753"/>
    <mergeCell ref="B5750:B5753"/>
    <mergeCell ref="A5754:A5757"/>
    <mergeCell ref="B5754:B5757"/>
    <mergeCell ref="A5758:A5761"/>
    <mergeCell ref="B5758:B5761"/>
    <mergeCell ref="A5762:A5765"/>
    <mergeCell ref="B5762:B5765"/>
    <mergeCell ref="A5766:A5769"/>
    <mergeCell ref="B5766:B5769"/>
    <mergeCell ref="A5770:A5773"/>
    <mergeCell ref="B5770:B5773"/>
    <mergeCell ref="A5774:A5777"/>
    <mergeCell ref="B5774:B5777"/>
    <mergeCell ref="A5778:A5781"/>
    <mergeCell ref="B5778:B5781"/>
    <mergeCell ref="A5782:A5785"/>
    <mergeCell ref="B5782:B5785"/>
    <mergeCell ref="A5786:A5789"/>
    <mergeCell ref="B5786:B5789"/>
    <mergeCell ref="A5790:A5793"/>
    <mergeCell ref="B5790:B5793"/>
    <mergeCell ref="A5794:A5797"/>
    <mergeCell ref="B5794:B5797"/>
    <mergeCell ref="A5798:A5801"/>
    <mergeCell ref="B5798:B5801"/>
    <mergeCell ref="A5802:A5805"/>
    <mergeCell ref="B5802:B5805"/>
    <mergeCell ref="A5806:A5809"/>
    <mergeCell ref="B5806:B5809"/>
    <mergeCell ref="A5810:A5813"/>
    <mergeCell ref="B5810:B5813"/>
    <mergeCell ref="A5814:A5817"/>
    <mergeCell ref="B5814:B5817"/>
    <mergeCell ref="A5818:A5821"/>
    <mergeCell ref="B5818:B5821"/>
    <mergeCell ref="A5822:A5825"/>
    <mergeCell ref="B5822:B5825"/>
    <mergeCell ref="A5826:A5829"/>
    <mergeCell ref="B5826:B5829"/>
    <mergeCell ref="A5830:A5833"/>
    <mergeCell ref="B5830:B5833"/>
    <mergeCell ref="A5834:A5837"/>
    <mergeCell ref="B5834:B5837"/>
    <mergeCell ref="A5838:A5841"/>
    <mergeCell ref="B5838:B5841"/>
    <mergeCell ref="A5842:A5845"/>
    <mergeCell ref="B5842:B5845"/>
    <mergeCell ref="A5846:A5849"/>
    <mergeCell ref="B5846:B5849"/>
    <mergeCell ref="A5918:A5921"/>
    <mergeCell ref="B5918:B5921"/>
    <mergeCell ref="A5922:A5925"/>
    <mergeCell ref="B5922:B5925"/>
    <mergeCell ref="A5926:A5929"/>
    <mergeCell ref="B5926:B5929"/>
    <mergeCell ref="A5930:A5933"/>
    <mergeCell ref="B5930:B5933"/>
    <mergeCell ref="A5974:A5977"/>
    <mergeCell ref="B5974:B5977"/>
    <mergeCell ref="A5938:A5941"/>
    <mergeCell ref="B5938:B5941"/>
    <mergeCell ref="A5850:A5853"/>
    <mergeCell ref="B5850:B5853"/>
    <mergeCell ref="A5854:A5857"/>
    <mergeCell ref="B5854:B5857"/>
    <mergeCell ref="A5858:A5861"/>
    <mergeCell ref="B5858:B5861"/>
    <mergeCell ref="A5862:A5865"/>
    <mergeCell ref="B5862:B5865"/>
    <mergeCell ref="A5866:A5869"/>
    <mergeCell ref="B5866:B5869"/>
    <mergeCell ref="A5870:A5873"/>
    <mergeCell ref="B5870:B5873"/>
    <mergeCell ref="A5874:A5877"/>
    <mergeCell ref="B5874:B5877"/>
    <mergeCell ref="A5878:A5881"/>
    <mergeCell ref="B5878:B5881"/>
    <mergeCell ref="A5882:A5885"/>
    <mergeCell ref="B5882:B5885"/>
    <mergeCell ref="A6086:A6089"/>
    <mergeCell ref="B6086:B6089"/>
    <mergeCell ref="A6090:A6093"/>
    <mergeCell ref="B6090:B6093"/>
    <mergeCell ref="A6094:A6097"/>
    <mergeCell ref="B6094:B6097"/>
    <mergeCell ref="A6018:A6021"/>
    <mergeCell ref="B6018:B6021"/>
    <mergeCell ref="A6022:A6025"/>
    <mergeCell ref="B6022:B6025"/>
    <mergeCell ref="A5886:A5889"/>
    <mergeCell ref="B5886:B5889"/>
    <mergeCell ref="A5890:A5893"/>
    <mergeCell ref="B5890:B5893"/>
    <mergeCell ref="A5894:A5897"/>
    <mergeCell ref="B5894:B5897"/>
    <mergeCell ref="A5898:A5901"/>
    <mergeCell ref="B5898:B5901"/>
    <mergeCell ref="A5902:A5905"/>
    <mergeCell ref="B5902:B5905"/>
    <mergeCell ref="A5906:A5909"/>
    <mergeCell ref="B5906:B5909"/>
    <mergeCell ref="A5978:A5981"/>
    <mergeCell ref="B5978:B5981"/>
    <mergeCell ref="A5910:A5913"/>
    <mergeCell ref="B5910:B5913"/>
    <mergeCell ref="A5914:A5917"/>
    <mergeCell ref="B5914:B5917"/>
    <mergeCell ref="A6050:A6053"/>
    <mergeCell ref="B6050:B6053"/>
    <mergeCell ref="A5934:A5937"/>
    <mergeCell ref="B5934:B5937"/>
    <mergeCell ref="A6150:A6153"/>
    <mergeCell ref="B6150:B6153"/>
    <mergeCell ref="A2753:A2756"/>
    <mergeCell ref="B2753:B2756"/>
    <mergeCell ref="B5982:B5985"/>
    <mergeCell ref="B5986:B5989"/>
    <mergeCell ref="A5570:A5575"/>
    <mergeCell ref="B5570:B5575"/>
    <mergeCell ref="A5576:A5581"/>
    <mergeCell ref="B5576:B5581"/>
    <mergeCell ref="A5582:A5587"/>
    <mergeCell ref="B5582:B5587"/>
    <mergeCell ref="A5588:A5593"/>
    <mergeCell ref="B5588:B5593"/>
    <mergeCell ref="A5594:A5599"/>
    <mergeCell ref="B5594:B5599"/>
    <mergeCell ref="A5600:A5605"/>
    <mergeCell ref="B5600:B5605"/>
    <mergeCell ref="A6062:A6065"/>
    <mergeCell ref="B6062:B6065"/>
    <mergeCell ref="A6066:A6069"/>
    <mergeCell ref="B6066:B6069"/>
    <mergeCell ref="A6070:A6073"/>
    <mergeCell ref="B6070:B6073"/>
    <mergeCell ref="A6074:A6077"/>
    <mergeCell ref="B6074:B6077"/>
    <mergeCell ref="A6114:A6117"/>
    <mergeCell ref="B6114:B6117"/>
    <mergeCell ref="A5942:A5945"/>
    <mergeCell ref="B5942:B5945"/>
    <mergeCell ref="A5982:A5985"/>
    <mergeCell ref="A5986:A5989"/>
    <mergeCell ref="A5534:A5539"/>
    <mergeCell ref="B5534:B5539"/>
    <mergeCell ref="A5540:A5545"/>
    <mergeCell ref="B5540:B5545"/>
    <mergeCell ref="A5546:A5551"/>
    <mergeCell ref="B5546:B5551"/>
    <mergeCell ref="A5552:A5557"/>
    <mergeCell ref="B5552:B5557"/>
    <mergeCell ref="A5558:A5563"/>
    <mergeCell ref="B5558:B5563"/>
    <mergeCell ref="A5564:A5569"/>
    <mergeCell ref="B5564:B5569"/>
    <mergeCell ref="A6138:A6145"/>
    <mergeCell ref="B6138:B6145"/>
    <mergeCell ref="A6146:A6149"/>
    <mergeCell ref="B6146:B6149"/>
    <mergeCell ref="A5990:A5993"/>
    <mergeCell ref="B5990:B5993"/>
    <mergeCell ref="A5994:A5997"/>
    <mergeCell ref="B5994:B5997"/>
    <mergeCell ref="A5998:A6001"/>
    <mergeCell ref="B5998:B6001"/>
    <mergeCell ref="A6002:A6005"/>
    <mergeCell ref="B6002:B6005"/>
    <mergeCell ref="A6006:A6009"/>
    <mergeCell ref="B6006:B6009"/>
    <mergeCell ref="A6010:A6013"/>
    <mergeCell ref="B6010:B6013"/>
    <mergeCell ref="A6122:A6125"/>
    <mergeCell ref="B6122:B6125"/>
    <mergeCell ref="A6098:A6101"/>
    <mergeCell ref="B6098:B6101"/>
    <mergeCell ref="A6110:A6113"/>
    <mergeCell ref="B6110:B6113"/>
    <mergeCell ref="A6014:A6017"/>
    <mergeCell ref="B6014:B6017"/>
    <mergeCell ref="A5946:A5949"/>
    <mergeCell ref="B5946:B5949"/>
    <mergeCell ref="A5950:A5953"/>
    <mergeCell ref="B5950:B5953"/>
    <mergeCell ref="A5954:A5957"/>
    <mergeCell ref="B5954:B5957"/>
    <mergeCell ref="A5958:A5961"/>
    <mergeCell ref="B5958:B5961"/>
    <mergeCell ref="A5962:A5965"/>
    <mergeCell ref="B5962:B5965"/>
    <mergeCell ref="A5966:A5969"/>
    <mergeCell ref="B5966:B5969"/>
    <mergeCell ref="A5970:A5973"/>
    <mergeCell ref="B5970:B5973"/>
    <mergeCell ref="A6026:A6029"/>
    <mergeCell ref="B6026:B6029"/>
    <mergeCell ref="A6034:A6037"/>
    <mergeCell ref="B6034:B6037"/>
    <mergeCell ref="A6038:A6041"/>
    <mergeCell ref="B6038:B6041"/>
    <mergeCell ref="A6042:A6045"/>
    <mergeCell ref="B6042:B6045"/>
    <mergeCell ref="A6054:A6057"/>
    <mergeCell ref="B6054:B6057"/>
    <mergeCell ref="A6058:A6061"/>
    <mergeCell ref="B6058:B6061"/>
    <mergeCell ref="A6106:A6109"/>
    <mergeCell ref="B6106:B6109"/>
    <mergeCell ref="A6154:A6157"/>
    <mergeCell ref="B6154:B6157"/>
    <mergeCell ref="A2745:A2748"/>
    <mergeCell ref="B2745:B2748"/>
    <mergeCell ref="A5486:A5491"/>
    <mergeCell ref="B5486:B5491"/>
    <mergeCell ref="A5492:A5497"/>
    <mergeCell ref="B5492:B5497"/>
    <mergeCell ref="A5498:A5503"/>
    <mergeCell ref="B5498:B5503"/>
    <mergeCell ref="A5504:A5509"/>
    <mergeCell ref="B5504:B5509"/>
    <mergeCell ref="A5510:A5515"/>
    <mergeCell ref="B5510:B5515"/>
    <mergeCell ref="A5516:A5521"/>
    <mergeCell ref="B5516:B5521"/>
    <mergeCell ref="A5522:A5527"/>
    <mergeCell ref="B5522:B5527"/>
    <mergeCell ref="A5528:A5533"/>
    <mergeCell ref="B5528:B5533"/>
    <mergeCell ref="A5397:A5404"/>
    <mergeCell ref="B5397:B5404"/>
    <mergeCell ref="A5405:A5411"/>
    <mergeCell ref="B5405:B5411"/>
    <mergeCell ref="A5412:A5421"/>
    <mergeCell ref="B5412:B5421"/>
    <mergeCell ref="A5422:A5433"/>
    <mergeCell ref="B5422:B5433"/>
    <mergeCell ref="A5434:A5439"/>
    <mergeCell ref="B5434:B5439"/>
    <mergeCell ref="A5440:A5445"/>
    <mergeCell ref="B5440:B5445"/>
    <mergeCell ref="A6229:A6234"/>
    <mergeCell ref="B6229:B6234"/>
    <mergeCell ref="A6187:A6191"/>
    <mergeCell ref="B6187:B6191"/>
    <mergeCell ref="A6192:A6196"/>
    <mergeCell ref="B6192:B6196"/>
    <mergeCell ref="A6205:A6212"/>
    <mergeCell ref="B6205:B6212"/>
    <mergeCell ref="A6197:A6204"/>
    <mergeCell ref="B6197:B6204"/>
    <mergeCell ref="A6213:A6221"/>
    <mergeCell ref="B6213:B6221"/>
    <mergeCell ref="A6222:A6228"/>
    <mergeCell ref="B6222:B6228"/>
    <mergeCell ref="A6235:A6241"/>
    <mergeCell ref="B6235:B6241"/>
    <mergeCell ref="A6242:A6247"/>
    <mergeCell ref="B6242:B6247"/>
    <mergeCell ref="A6556:A6559"/>
    <mergeCell ref="B6556:B6559"/>
    <mergeCell ref="A6516:A6519"/>
    <mergeCell ref="B6516:B6519"/>
    <mergeCell ref="A6520:A6523"/>
    <mergeCell ref="B6520:B6523"/>
    <mergeCell ref="A6426:A6430"/>
    <mergeCell ref="B6426:B6430"/>
    <mergeCell ref="A6369:A6383"/>
    <mergeCell ref="B6369:B6383"/>
    <mergeCell ref="A6384:A6390"/>
    <mergeCell ref="B6384:B6390"/>
    <mergeCell ref="A6391:A6396"/>
    <mergeCell ref="B6391:B6396"/>
    <mergeCell ref="A6496:A6499"/>
    <mergeCell ref="B6496:B6499"/>
    <mergeCell ref="A6471:A6477"/>
    <mergeCell ref="B6471:B6477"/>
    <mergeCell ref="A7244:A7248"/>
    <mergeCell ref="B7244:B7248"/>
    <mergeCell ref="A7249:A7253"/>
    <mergeCell ref="B7249:B7253"/>
    <mergeCell ref="A6421:A6425"/>
    <mergeCell ref="B6421:B6425"/>
    <mergeCell ref="A6436:A6442"/>
    <mergeCell ref="B6436:B6442"/>
    <mergeCell ref="A6180:A6186"/>
    <mergeCell ref="B6180:B6186"/>
    <mergeCell ref="A6331:A6340"/>
    <mergeCell ref="B6331:B6340"/>
    <mergeCell ref="A6341:A6349"/>
    <mergeCell ref="B6341:B6349"/>
    <mergeCell ref="A7254:A7257"/>
    <mergeCell ref="B7254:B7257"/>
    <mergeCell ref="A6604:A6607"/>
    <mergeCell ref="B6604:B6607"/>
    <mergeCell ref="A6254:A6262"/>
    <mergeCell ref="B6254:B6262"/>
    <mergeCell ref="A6263:A6273"/>
    <mergeCell ref="B6263:B6273"/>
    <mergeCell ref="A6274:A6281"/>
    <mergeCell ref="B6274:B6281"/>
    <mergeCell ref="A6282:A6289"/>
    <mergeCell ref="B6282:B6289"/>
    <mergeCell ref="A6290:A6296"/>
    <mergeCell ref="B6290:B6296"/>
    <mergeCell ref="A6297:A6306"/>
    <mergeCell ref="B6297:B6306"/>
    <mergeCell ref="A6307:A6330"/>
    <mergeCell ref="B6307:B6330"/>
    <mergeCell ref="A2621:A2624"/>
    <mergeCell ref="B2621:B2624"/>
    <mergeCell ref="A4749:A4752"/>
    <mergeCell ref="B4749:B4752"/>
    <mergeCell ref="A4753:A4756"/>
    <mergeCell ref="B4753:B4756"/>
    <mergeCell ref="A7286:A7289"/>
    <mergeCell ref="B7286:B7289"/>
    <mergeCell ref="A7278:A7281"/>
    <mergeCell ref="B7278:B7281"/>
    <mergeCell ref="A7282:A7285"/>
    <mergeCell ref="B7282:B7285"/>
    <mergeCell ref="A6431:A6435"/>
    <mergeCell ref="B6431:B6435"/>
    <mergeCell ref="A6457:A6463"/>
    <mergeCell ref="B6457:B6463"/>
    <mergeCell ref="A6464:A6470"/>
    <mergeCell ref="B6464:B6470"/>
    <mergeCell ref="A6248:A6253"/>
    <mergeCell ref="B6248:B6253"/>
    <mergeCell ref="A6413:A6416"/>
    <mergeCell ref="B6413:B6416"/>
    <mergeCell ref="A6417:A6420"/>
    <mergeCell ref="B6417:B6420"/>
    <mergeCell ref="A6158:A6168"/>
    <mergeCell ref="B6158:B6168"/>
    <mergeCell ref="A6169:A6179"/>
    <mergeCell ref="B6169:B6179"/>
    <mergeCell ref="A7274:A7277"/>
    <mergeCell ref="B7274:B7277"/>
    <mergeCell ref="A7266:A7269"/>
    <mergeCell ref="B7266:B7269"/>
    <mergeCell ref="A7258:A7261"/>
    <mergeCell ref="B7258:B7261"/>
    <mergeCell ref="A7262:A7265"/>
    <mergeCell ref="B7262:B7265"/>
    <mergeCell ref="A7239:A7243"/>
    <mergeCell ref="B7239:B7243"/>
    <mergeCell ref="A6350:A6354"/>
    <mergeCell ref="B6350:B6354"/>
    <mergeCell ref="A6355:A6368"/>
    <mergeCell ref="B6355:B6368"/>
    <mergeCell ref="A7327:A7334"/>
    <mergeCell ref="B7327:B7334"/>
    <mergeCell ref="A7335:A7342"/>
    <mergeCell ref="B7335:B7342"/>
    <mergeCell ref="A7343:A7348"/>
    <mergeCell ref="B7343:B7348"/>
    <mergeCell ref="A6500:A6503"/>
    <mergeCell ref="B6500:B6503"/>
    <mergeCell ref="A6504:A6507"/>
    <mergeCell ref="B6504:B6507"/>
    <mergeCell ref="A6508:A6511"/>
    <mergeCell ref="B6508:B6511"/>
    <mergeCell ref="A6512:A6515"/>
    <mergeCell ref="B6512:B6515"/>
    <mergeCell ref="A6478:A6484"/>
    <mergeCell ref="B6478:B6484"/>
    <mergeCell ref="A6485:A6491"/>
    <mergeCell ref="B6485:B6491"/>
    <mergeCell ref="A7290:A7293"/>
    <mergeCell ref="B7290:B7293"/>
    <mergeCell ref="A7270:A7273"/>
    <mergeCell ref="B7270:B7273"/>
    <mergeCell ref="A7349:A7353"/>
    <mergeCell ref="B7349:B7353"/>
    <mergeCell ref="A7354:A7358"/>
    <mergeCell ref="B7354:B7358"/>
    <mergeCell ref="A7359:A7365"/>
    <mergeCell ref="B7359:B7365"/>
    <mergeCell ref="A7387:A7393"/>
    <mergeCell ref="B7387:B7393"/>
    <mergeCell ref="A7366:A7372"/>
    <mergeCell ref="B7366:B7372"/>
    <mergeCell ref="A7306:A7309"/>
    <mergeCell ref="B7306:B7309"/>
    <mergeCell ref="A7310:A7313"/>
    <mergeCell ref="B7310:B7313"/>
    <mergeCell ref="A7445:A7451"/>
    <mergeCell ref="B7445:B7451"/>
    <mergeCell ref="A7452:A7458"/>
    <mergeCell ref="B7452:B7458"/>
    <mergeCell ref="A7424:A7431"/>
    <mergeCell ref="B7424:B7431"/>
    <mergeCell ref="A7432:A7437"/>
    <mergeCell ref="B7432:B7437"/>
    <mergeCell ref="A7438:A7444"/>
    <mergeCell ref="B7438:B7444"/>
    <mergeCell ref="A7321:A7326"/>
    <mergeCell ref="B7321:B7326"/>
    <mergeCell ref="A7314:A7320"/>
    <mergeCell ref="B7314:B7320"/>
    <mergeCell ref="A7555:A7558"/>
    <mergeCell ref="B7555:B7558"/>
    <mergeCell ref="A7559:A7562"/>
    <mergeCell ref="B7559:B7562"/>
    <mergeCell ref="A7459:A7462"/>
    <mergeCell ref="B7459:B7462"/>
    <mergeCell ref="A7463:A7470"/>
    <mergeCell ref="B7463:B7470"/>
    <mergeCell ref="A7471:A7478"/>
    <mergeCell ref="B7471:B7478"/>
    <mergeCell ref="A7479:A7486"/>
    <mergeCell ref="B7479:B7486"/>
    <mergeCell ref="A7418:A7423"/>
    <mergeCell ref="B7418:B7423"/>
    <mergeCell ref="A7373:A7380"/>
    <mergeCell ref="B7373:B7380"/>
    <mergeCell ref="A7381:A7386"/>
    <mergeCell ref="B7381:B7386"/>
    <mergeCell ref="A7394:A7399"/>
    <mergeCell ref="B7394:B7399"/>
    <mergeCell ref="A7400:A7405"/>
    <mergeCell ref="B7400:B7405"/>
    <mergeCell ref="A7406:A7411"/>
    <mergeCell ref="B7406:B7411"/>
    <mergeCell ref="A7412:A7417"/>
    <mergeCell ref="B7412:B7417"/>
    <mergeCell ref="A7493:A7498"/>
    <mergeCell ref="B7493:B7498"/>
    <mergeCell ref="A7487:A7492"/>
    <mergeCell ref="B7487:B7492"/>
    <mergeCell ref="A7567:A7570"/>
    <mergeCell ref="B7567:B7570"/>
    <mergeCell ref="A7571:A7574"/>
    <mergeCell ref="B7571:B7574"/>
    <mergeCell ref="A7575:A7578"/>
    <mergeCell ref="B7575:B7578"/>
    <mergeCell ref="A7579:A7582"/>
    <mergeCell ref="B7579:B7582"/>
    <mergeCell ref="A7583:A7586"/>
    <mergeCell ref="B7583:B7586"/>
    <mergeCell ref="A7587:A7590"/>
    <mergeCell ref="B7587:B7590"/>
    <mergeCell ref="A7591:A7594"/>
    <mergeCell ref="B7591:B7594"/>
    <mergeCell ref="A7595:A7598"/>
    <mergeCell ref="B7595:B7598"/>
    <mergeCell ref="A7563:A7566"/>
    <mergeCell ref="B7563:B7566"/>
    <mergeCell ref="A7663:A7666"/>
    <mergeCell ref="B7663:B7666"/>
    <mergeCell ref="A7667:A7670"/>
    <mergeCell ref="B7667:B7670"/>
    <mergeCell ref="A7599:A7602"/>
    <mergeCell ref="B7599:B7602"/>
    <mergeCell ref="A7603:A7606"/>
    <mergeCell ref="B7603:B7606"/>
    <mergeCell ref="A7607:A7610"/>
    <mergeCell ref="B7607:B7610"/>
    <mergeCell ref="A7611:A7614"/>
    <mergeCell ref="B7611:B7614"/>
    <mergeCell ref="A7615:A7618"/>
    <mergeCell ref="B7615:B7618"/>
    <mergeCell ref="A7619:A7622"/>
    <mergeCell ref="B7619:B7622"/>
    <mergeCell ref="A7623:A7626"/>
    <mergeCell ref="B7623:B7626"/>
    <mergeCell ref="A7627:A7630"/>
    <mergeCell ref="B7627:B7630"/>
    <mergeCell ref="A7631:A7634"/>
    <mergeCell ref="B7631:B7634"/>
    <mergeCell ref="A7671:A7674"/>
    <mergeCell ref="B7671:B7674"/>
    <mergeCell ref="A7675:A7678"/>
    <mergeCell ref="B7675:B7678"/>
    <mergeCell ref="A7499:A7507"/>
    <mergeCell ref="B7499:B7507"/>
    <mergeCell ref="A7508:A7513"/>
    <mergeCell ref="B7508:B7513"/>
    <mergeCell ref="A7514:A7519"/>
    <mergeCell ref="B7514:B7519"/>
    <mergeCell ref="A7548:A7554"/>
    <mergeCell ref="B7548:B7554"/>
    <mergeCell ref="A7520:A7533"/>
    <mergeCell ref="B7520:B7533"/>
    <mergeCell ref="A7534:A7547"/>
    <mergeCell ref="B7534:B7547"/>
    <mergeCell ref="A7679:A7682"/>
    <mergeCell ref="B7679:B7682"/>
    <mergeCell ref="A7635:A7638"/>
    <mergeCell ref="B7635:B7638"/>
    <mergeCell ref="A7639:A7642"/>
    <mergeCell ref="B7639:B7642"/>
    <mergeCell ref="A7643:A7646"/>
    <mergeCell ref="B7643:B7646"/>
    <mergeCell ref="A7647:A7650"/>
    <mergeCell ref="B7647:B7650"/>
    <mergeCell ref="A7651:A7654"/>
    <mergeCell ref="B7651:B7654"/>
    <mergeCell ref="A7655:A7658"/>
    <mergeCell ref="B7655:B7658"/>
    <mergeCell ref="A7659:A7662"/>
    <mergeCell ref="B7659:B7662"/>
    <mergeCell ref="A7683:A7686"/>
    <mergeCell ref="B7683:B7686"/>
    <mergeCell ref="A7687:A7690"/>
    <mergeCell ref="B7687:B7690"/>
    <mergeCell ref="A7691:A7694"/>
    <mergeCell ref="B7691:B7694"/>
    <mergeCell ref="A7695:A7698"/>
    <mergeCell ref="B7695:B7698"/>
    <mergeCell ref="A7699:A7702"/>
    <mergeCell ref="B7699:B7702"/>
    <mergeCell ref="A7703:A7706"/>
    <mergeCell ref="B7703:B7706"/>
    <mergeCell ref="A7707:A7710"/>
    <mergeCell ref="B7707:B7710"/>
    <mergeCell ref="A7711:A7714"/>
    <mergeCell ref="B7711:B7714"/>
    <mergeCell ref="A7715:A7718"/>
    <mergeCell ref="B7715:B7718"/>
    <mergeCell ref="A7719:A7722"/>
    <mergeCell ref="B7719:B7722"/>
    <mergeCell ref="A7723:A7726"/>
    <mergeCell ref="B7723:B7726"/>
    <mergeCell ref="A7727:A7730"/>
    <mergeCell ref="B7727:B7730"/>
    <mergeCell ref="A7731:A7734"/>
    <mergeCell ref="B7731:B7734"/>
    <mergeCell ref="A7735:A7738"/>
    <mergeCell ref="B7735:B7738"/>
    <mergeCell ref="A7739:A7742"/>
    <mergeCell ref="B7739:B7742"/>
    <mergeCell ref="A7743:A7746"/>
    <mergeCell ref="B7743:B7746"/>
    <mergeCell ref="A7747:A7750"/>
    <mergeCell ref="B7747:B7750"/>
    <mergeCell ref="A7751:A7754"/>
    <mergeCell ref="B7751:B7754"/>
    <mergeCell ref="A7755:A7758"/>
    <mergeCell ref="B7755:B7758"/>
    <mergeCell ref="A7759:A7762"/>
    <mergeCell ref="B7759:B7762"/>
    <mergeCell ref="A7763:A7766"/>
    <mergeCell ref="B7763:B7766"/>
    <mergeCell ref="A7767:A7770"/>
    <mergeCell ref="B7767:B7770"/>
    <mergeCell ref="A7771:A7774"/>
    <mergeCell ref="B7771:B7774"/>
    <mergeCell ref="A7775:A7778"/>
    <mergeCell ref="B7775:B7778"/>
    <mergeCell ref="A7779:A7782"/>
    <mergeCell ref="B7779:B7782"/>
    <mergeCell ref="A7783:A7786"/>
    <mergeCell ref="B7783:B7786"/>
    <mergeCell ref="A7787:A7790"/>
    <mergeCell ref="B7787:B7790"/>
    <mergeCell ref="A7827:A7830"/>
    <mergeCell ref="B7827:B7830"/>
    <mergeCell ref="A7791:A7794"/>
    <mergeCell ref="B7791:B7794"/>
    <mergeCell ref="A7795:A7798"/>
    <mergeCell ref="B7795:B7798"/>
    <mergeCell ref="A7799:A7802"/>
    <mergeCell ref="B7799:B7802"/>
    <mergeCell ref="A7803:A7806"/>
    <mergeCell ref="B7803:B7806"/>
    <mergeCell ref="A7807:A7810"/>
    <mergeCell ref="B7807:B7810"/>
    <mergeCell ref="A7811:A7814"/>
    <mergeCell ref="B7811:B7814"/>
    <mergeCell ref="A7815:A7818"/>
    <mergeCell ref="B7815:B7818"/>
    <mergeCell ref="A7819:A7822"/>
    <mergeCell ref="B7819:B7822"/>
    <mergeCell ref="A7823:A7826"/>
    <mergeCell ref="B7823:B7826"/>
    <mergeCell ref="A7831:A7834"/>
    <mergeCell ref="B7831:B7834"/>
    <mergeCell ref="A7835:A7838"/>
    <mergeCell ref="B7835:B7838"/>
    <mergeCell ref="A7839:A7842"/>
    <mergeCell ref="B7839:B7842"/>
    <mergeCell ref="A7843:A7846"/>
    <mergeCell ref="B7843:B7846"/>
    <mergeCell ref="A7847:A7850"/>
    <mergeCell ref="B7847:B7850"/>
    <mergeCell ref="A7851:A7854"/>
    <mergeCell ref="B7851:B7854"/>
    <mergeCell ref="A7855:A7858"/>
    <mergeCell ref="B7855:B7858"/>
    <mergeCell ref="A7859:A7862"/>
    <mergeCell ref="B7859:B7862"/>
    <mergeCell ref="A7863:A7866"/>
    <mergeCell ref="B7863:B7866"/>
    <mergeCell ref="A7867:A7870"/>
    <mergeCell ref="B7867:B7870"/>
    <mergeCell ref="A7871:A7874"/>
    <mergeCell ref="B7871:B7874"/>
    <mergeCell ref="A7875:A7878"/>
    <mergeCell ref="B7875:B7878"/>
    <mergeCell ref="A7879:A7882"/>
    <mergeCell ref="B7879:B7882"/>
    <mergeCell ref="A7883:A7886"/>
    <mergeCell ref="B7883:B7886"/>
    <mergeCell ref="A7887:A7890"/>
    <mergeCell ref="B7887:B7890"/>
    <mergeCell ref="A7891:A7894"/>
    <mergeCell ref="B7891:B7894"/>
    <mergeCell ref="A7895:A7898"/>
    <mergeCell ref="B7895:B7898"/>
    <mergeCell ref="A7899:A7902"/>
    <mergeCell ref="B7899:B7902"/>
    <mergeCell ref="A7903:A7906"/>
    <mergeCell ref="B7903:B7906"/>
    <mergeCell ref="A7907:A7910"/>
    <mergeCell ref="B7907:B7910"/>
    <mergeCell ref="A7911:A7914"/>
    <mergeCell ref="B7911:B7914"/>
    <mergeCell ref="A7915:A7918"/>
    <mergeCell ref="B7915:B7918"/>
    <mergeCell ref="A7919:A7922"/>
    <mergeCell ref="B7919:B7922"/>
    <mergeCell ref="A7923:A7926"/>
    <mergeCell ref="B7923:B7926"/>
    <mergeCell ref="A7927:A7930"/>
    <mergeCell ref="B7927:B7930"/>
    <mergeCell ref="A7931:A7934"/>
    <mergeCell ref="B7931:B7934"/>
    <mergeCell ref="A7935:A7938"/>
    <mergeCell ref="B7935:B7938"/>
    <mergeCell ref="A7939:A7942"/>
    <mergeCell ref="B7939:B7942"/>
    <mergeCell ref="A7943:A7946"/>
    <mergeCell ref="B7943:B7946"/>
    <mergeCell ref="A7947:A7950"/>
    <mergeCell ref="B7947:B7950"/>
    <mergeCell ref="A7951:A7954"/>
    <mergeCell ref="B7951:B7954"/>
    <mergeCell ref="A7955:A7958"/>
    <mergeCell ref="B7955:B7958"/>
    <mergeCell ref="A7959:A7962"/>
    <mergeCell ref="B7959:B7962"/>
    <mergeCell ref="A7963:A7966"/>
    <mergeCell ref="B7963:B7966"/>
    <mergeCell ref="A7967:A7970"/>
    <mergeCell ref="B7967:B7970"/>
    <mergeCell ref="A7971:A7974"/>
    <mergeCell ref="B7971:B7974"/>
    <mergeCell ref="A8043:A8046"/>
    <mergeCell ref="B8043:B8046"/>
    <mergeCell ref="A7975:A7978"/>
    <mergeCell ref="B7975:B7978"/>
    <mergeCell ref="A7979:A7982"/>
    <mergeCell ref="B7979:B7982"/>
    <mergeCell ref="A7983:A7986"/>
    <mergeCell ref="B7983:B7986"/>
    <mergeCell ref="A7987:A7990"/>
    <mergeCell ref="B7987:B7990"/>
    <mergeCell ref="A7991:A7994"/>
    <mergeCell ref="B7991:B7994"/>
    <mergeCell ref="A7995:A7998"/>
    <mergeCell ref="B7995:B7998"/>
    <mergeCell ref="A7999:A8002"/>
    <mergeCell ref="B7999:B8002"/>
    <mergeCell ref="A8003:A8006"/>
    <mergeCell ref="B8003:B8006"/>
    <mergeCell ref="A8007:A8010"/>
    <mergeCell ref="B8007:B8010"/>
    <mergeCell ref="A8047:A8050"/>
    <mergeCell ref="B8047:B8050"/>
    <mergeCell ref="A8051:A8054"/>
    <mergeCell ref="B8051:B8054"/>
    <mergeCell ref="A8055:A8058"/>
    <mergeCell ref="B8055:B8058"/>
    <mergeCell ref="A8059:A8062"/>
    <mergeCell ref="B8059:B8062"/>
    <mergeCell ref="A8063:A8066"/>
    <mergeCell ref="B8063:B8066"/>
    <mergeCell ref="A8067:A8070"/>
    <mergeCell ref="B8067:B8070"/>
    <mergeCell ref="A8071:A8074"/>
    <mergeCell ref="B8071:B8074"/>
    <mergeCell ref="A8075:A8078"/>
    <mergeCell ref="B8075:B8078"/>
    <mergeCell ref="A8011:A8014"/>
    <mergeCell ref="B8011:B8014"/>
    <mergeCell ref="A8015:A8018"/>
    <mergeCell ref="B8015:B8018"/>
    <mergeCell ref="A8019:A8022"/>
    <mergeCell ref="B8019:B8022"/>
    <mergeCell ref="A8023:A8026"/>
    <mergeCell ref="B8023:B8026"/>
    <mergeCell ref="A8027:A8030"/>
    <mergeCell ref="B8027:B8030"/>
    <mergeCell ref="A8031:A8034"/>
    <mergeCell ref="B8031:B8034"/>
    <mergeCell ref="A8035:A8038"/>
    <mergeCell ref="B8035:B8038"/>
    <mergeCell ref="A8039:A8042"/>
    <mergeCell ref="B8039:B8042"/>
    <mergeCell ref="A8099:A8102"/>
    <mergeCell ref="B8099:B8102"/>
    <mergeCell ref="A8103:A8106"/>
    <mergeCell ref="B8103:B8106"/>
    <mergeCell ref="A8107:A8110"/>
    <mergeCell ref="B8107:B8110"/>
    <mergeCell ref="A8111:A8114"/>
    <mergeCell ref="B8111:B8114"/>
    <mergeCell ref="A8115:A8118"/>
    <mergeCell ref="B8115:B8118"/>
    <mergeCell ref="A8079:A8082"/>
    <mergeCell ref="B8079:B8082"/>
    <mergeCell ref="A8083:A8086"/>
    <mergeCell ref="B8083:B8086"/>
    <mergeCell ref="A8087:A8090"/>
    <mergeCell ref="B8087:B8090"/>
    <mergeCell ref="A8091:A8094"/>
    <mergeCell ref="B8091:B8094"/>
    <mergeCell ref="A8095:A8098"/>
    <mergeCell ref="B8095:B8098"/>
    <mergeCell ref="A8175:A8178"/>
    <mergeCell ref="B8175:B8178"/>
    <mergeCell ref="A8179:A8182"/>
    <mergeCell ref="B8179:B8182"/>
    <mergeCell ref="A8183:A8186"/>
    <mergeCell ref="B8183:B8186"/>
    <mergeCell ref="A8253:A8258"/>
    <mergeCell ref="B8253:B8258"/>
    <mergeCell ref="A8237:A8241"/>
    <mergeCell ref="B8237:B8241"/>
    <mergeCell ref="A8119:A8122"/>
    <mergeCell ref="B8119:B8122"/>
    <mergeCell ref="A8123:A8126"/>
    <mergeCell ref="B8123:B8126"/>
    <mergeCell ref="A8127:A8130"/>
    <mergeCell ref="B8127:B8130"/>
    <mergeCell ref="A8131:A8134"/>
    <mergeCell ref="B8131:B8134"/>
    <mergeCell ref="A8135:A8138"/>
    <mergeCell ref="B8135:B8138"/>
    <mergeCell ref="A8187:A8191"/>
    <mergeCell ref="B8187:B8191"/>
    <mergeCell ref="A8192:A8195"/>
    <mergeCell ref="B8192:B8195"/>
    <mergeCell ref="A8327:A8335"/>
    <mergeCell ref="B8327:B8335"/>
    <mergeCell ref="A8266:A8271"/>
    <mergeCell ref="B8266:B8271"/>
    <mergeCell ref="A8314:A8319"/>
    <mergeCell ref="B8314:B8319"/>
    <mergeCell ref="A8259:A8265"/>
    <mergeCell ref="B8259:B8265"/>
    <mergeCell ref="A8308:A8313"/>
    <mergeCell ref="B8308:B8313"/>
    <mergeCell ref="A8139:A8142"/>
    <mergeCell ref="B8139:B8142"/>
    <mergeCell ref="A8143:A8146"/>
    <mergeCell ref="B8143:B8146"/>
    <mergeCell ref="A8147:A8150"/>
    <mergeCell ref="B8147:B8150"/>
    <mergeCell ref="A8151:A8154"/>
    <mergeCell ref="B8151:B8154"/>
    <mergeCell ref="A8155:A8158"/>
    <mergeCell ref="B8155:B8158"/>
    <mergeCell ref="A8272:A8280"/>
    <mergeCell ref="B8272:B8280"/>
    <mergeCell ref="A8281:A8284"/>
    <mergeCell ref="B8281:B8284"/>
    <mergeCell ref="A8159:A8162"/>
    <mergeCell ref="B8159:B8162"/>
    <mergeCell ref="A8163:A8166"/>
    <mergeCell ref="B8163:B8166"/>
    <mergeCell ref="A8167:A8170"/>
    <mergeCell ref="B8167:B8170"/>
    <mergeCell ref="A8171:A8174"/>
    <mergeCell ref="B8171:B8174"/>
    <mergeCell ref="A8425:A8430"/>
    <mergeCell ref="B8425:B8430"/>
    <mergeCell ref="A8438:A8443"/>
    <mergeCell ref="B8438:B8443"/>
    <mergeCell ref="A8431:A8437"/>
    <mergeCell ref="B8431:B8437"/>
    <mergeCell ref="A8291:A8299"/>
    <mergeCell ref="B8291:B8299"/>
    <mergeCell ref="A8320:A8326"/>
    <mergeCell ref="B8320:B8326"/>
    <mergeCell ref="A8300:A8307"/>
    <mergeCell ref="B8300:B8307"/>
    <mergeCell ref="A8196:A8205"/>
    <mergeCell ref="B8196:B8205"/>
    <mergeCell ref="A8206:A8215"/>
    <mergeCell ref="B8206:B8215"/>
    <mergeCell ref="A8233:A8236"/>
    <mergeCell ref="B8233:B8236"/>
    <mergeCell ref="A8242:A8246"/>
    <mergeCell ref="B8242:B8246"/>
    <mergeCell ref="A8221:A8232"/>
    <mergeCell ref="B8221:B8232"/>
    <mergeCell ref="A8216:A8220"/>
    <mergeCell ref="B8216:B8220"/>
    <mergeCell ref="A8247:A8252"/>
    <mergeCell ref="B8247:B8252"/>
    <mergeCell ref="A8400:A8405"/>
    <mergeCell ref="B8400:B8405"/>
    <mergeCell ref="A8381:A8384"/>
    <mergeCell ref="B8381:B8384"/>
    <mergeCell ref="A8336:A8345"/>
    <mergeCell ref="B8336:B8345"/>
    <mergeCell ref="A8346:A8355"/>
    <mergeCell ref="B8346:B8355"/>
    <mergeCell ref="A8356:A8361"/>
    <mergeCell ref="B8356:B8361"/>
    <mergeCell ref="A8362:A8367"/>
    <mergeCell ref="B8362:B8367"/>
    <mergeCell ref="A8368:A8373"/>
    <mergeCell ref="B8368:B8373"/>
    <mergeCell ref="A8285:A8290"/>
    <mergeCell ref="B8285:B8290"/>
    <mergeCell ref="A8412:A8418"/>
    <mergeCell ref="B8412:B8418"/>
    <mergeCell ref="A8520:A8525"/>
    <mergeCell ref="B8520:B8525"/>
    <mergeCell ref="A8526:A8531"/>
    <mergeCell ref="B8526:B8531"/>
    <mergeCell ref="A8450:A8466"/>
    <mergeCell ref="B8450:B8466"/>
    <mergeCell ref="A8467:A8472"/>
    <mergeCell ref="B8467:B8472"/>
    <mergeCell ref="A8473:A8476"/>
    <mergeCell ref="B8473:B8476"/>
    <mergeCell ref="A8477:A8480"/>
    <mergeCell ref="B8477:B8480"/>
    <mergeCell ref="A8374:A8380"/>
    <mergeCell ref="B8374:B8380"/>
    <mergeCell ref="A8385:A8390"/>
    <mergeCell ref="B8385:B8390"/>
    <mergeCell ref="A8391:A8399"/>
    <mergeCell ref="B8391:B8399"/>
    <mergeCell ref="A8481:A8489"/>
    <mergeCell ref="B8481:B8489"/>
    <mergeCell ref="A8550:A8555"/>
    <mergeCell ref="B8550:B8555"/>
    <mergeCell ref="A8556:A8561"/>
    <mergeCell ref="B8556:B8561"/>
    <mergeCell ref="A8562:A8567"/>
    <mergeCell ref="B8562:B8567"/>
    <mergeCell ref="A8490:A8498"/>
    <mergeCell ref="B8490:B8498"/>
    <mergeCell ref="A8499:A8503"/>
    <mergeCell ref="B8499:B8503"/>
    <mergeCell ref="A8504:A8508"/>
    <mergeCell ref="B8504:B8508"/>
    <mergeCell ref="A8509:A8513"/>
    <mergeCell ref="B8509:B8513"/>
    <mergeCell ref="A8514:A8519"/>
    <mergeCell ref="B8514:B8519"/>
    <mergeCell ref="A8444:A8449"/>
    <mergeCell ref="B8444:B8449"/>
    <mergeCell ref="A8532:A8537"/>
    <mergeCell ref="B8532:B8537"/>
    <mergeCell ref="A8538:A8543"/>
    <mergeCell ref="B8538:B8543"/>
    <mergeCell ref="A8544:A8549"/>
    <mergeCell ref="B8544:B8549"/>
    <mergeCell ref="A8750:A8753"/>
    <mergeCell ref="B8750:B8753"/>
    <mergeCell ref="A8754:A8757"/>
    <mergeCell ref="B8754:B8757"/>
    <mergeCell ref="A8758:A8761"/>
    <mergeCell ref="B8758:B8761"/>
    <mergeCell ref="A8762:A8765"/>
    <mergeCell ref="B8762:B8765"/>
    <mergeCell ref="A8766:A8769"/>
    <mergeCell ref="B8766:B8769"/>
    <mergeCell ref="A8770:A8773"/>
    <mergeCell ref="B8770:B8773"/>
    <mergeCell ref="A8774:A8777"/>
    <mergeCell ref="B8774:B8777"/>
    <mergeCell ref="A8778:A8781"/>
    <mergeCell ref="B8778:B8781"/>
    <mergeCell ref="A8714:A8717"/>
    <mergeCell ref="B8714:B8717"/>
    <mergeCell ref="A8814:A8817"/>
    <mergeCell ref="B8814:B8817"/>
    <mergeCell ref="A8818:A8821"/>
    <mergeCell ref="B8818:B8821"/>
    <mergeCell ref="A8822:A8825"/>
    <mergeCell ref="B8822:B8825"/>
    <mergeCell ref="A8826:A8829"/>
    <mergeCell ref="B8826:B8829"/>
    <mergeCell ref="A8830:A8833"/>
    <mergeCell ref="B8830:B8833"/>
    <mergeCell ref="A8834:A8837"/>
    <mergeCell ref="B8834:B8837"/>
    <mergeCell ref="A8838:A8841"/>
    <mergeCell ref="B8838:B8841"/>
    <mergeCell ref="A8842:A8845"/>
    <mergeCell ref="B8842:B8845"/>
    <mergeCell ref="A8782:A8785"/>
    <mergeCell ref="B8782:B8785"/>
    <mergeCell ref="A8786:A8789"/>
    <mergeCell ref="B8786:B8789"/>
    <mergeCell ref="A8790:A8793"/>
    <mergeCell ref="B8790:B8793"/>
    <mergeCell ref="A8794:A8797"/>
    <mergeCell ref="B8794:B8797"/>
    <mergeCell ref="A8798:A8801"/>
    <mergeCell ref="B8798:B8801"/>
    <mergeCell ref="A8802:A8805"/>
    <mergeCell ref="B8802:B8805"/>
    <mergeCell ref="A8806:A8809"/>
    <mergeCell ref="B8806:B8809"/>
    <mergeCell ref="A8810:A8813"/>
    <mergeCell ref="B8810:B8813"/>
    <mergeCell ref="A8910:A8913"/>
    <mergeCell ref="B8910:B8913"/>
    <mergeCell ref="A8846:A8849"/>
    <mergeCell ref="B8846:B8849"/>
    <mergeCell ref="A8850:A8853"/>
    <mergeCell ref="B8850:B8853"/>
    <mergeCell ref="A8854:A8857"/>
    <mergeCell ref="B8854:B8857"/>
    <mergeCell ref="A8858:A8861"/>
    <mergeCell ref="B8858:B8861"/>
    <mergeCell ref="A8862:A8865"/>
    <mergeCell ref="B8862:B8865"/>
    <mergeCell ref="A8866:A8869"/>
    <mergeCell ref="B8866:B8869"/>
    <mergeCell ref="A8870:A8873"/>
    <mergeCell ref="B8870:B8873"/>
    <mergeCell ref="A8874:A8877"/>
    <mergeCell ref="B8874:B8877"/>
    <mergeCell ref="A8914:A8917"/>
    <mergeCell ref="B8914:B8917"/>
    <mergeCell ref="A8918:A8921"/>
    <mergeCell ref="B8918:B8921"/>
    <mergeCell ref="A8922:A8925"/>
    <mergeCell ref="B8922:B8925"/>
    <mergeCell ref="A8926:A8929"/>
    <mergeCell ref="B8926:B8929"/>
    <mergeCell ref="A8930:A8933"/>
    <mergeCell ref="B8930:B8933"/>
    <mergeCell ref="A8934:A8937"/>
    <mergeCell ref="B8934:B8937"/>
    <mergeCell ref="A8938:A8941"/>
    <mergeCell ref="B8938:B8941"/>
    <mergeCell ref="A8942:A8945"/>
    <mergeCell ref="B8942:B8945"/>
    <mergeCell ref="A8878:A8881"/>
    <mergeCell ref="B8878:B8881"/>
    <mergeCell ref="A8882:A8885"/>
    <mergeCell ref="B8882:B8885"/>
    <mergeCell ref="A8886:A8889"/>
    <mergeCell ref="B8886:B8889"/>
    <mergeCell ref="A8890:A8893"/>
    <mergeCell ref="B8890:B8893"/>
    <mergeCell ref="A8894:A8897"/>
    <mergeCell ref="B8894:B8897"/>
    <mergeCell ref="A8898:A8901"/>
    <mergeCell ref="B8898:B8901"/>
    <mergeCell ref="A8902:A8905"/>
    <mergeCell ref="B8902:B8905"/>
    <mergeCell ref="A8906:A8909"/>
    <mergeCell ref="B8906:B8909"/>
    <mergeCell ref="A9006:A9009"/>
    <mergeCell ref="B9006:B9009"/>
    <mergeCell ref="A8982:A8985"/>
    <mergeCell ref="B8982:B8985"/>
    <mergeCell ref="A8986:A8989"/>
    <mergeCell ref="B8986:B8989"/>
    <mergeCell ref="A8990:A8993"/>
    <mergeCell ref="B8990:B8993"/>
    <mergeCell ref="A8994:A8997"/>
    <mergeCell ref="B8994:B8997"/>
    <mergeCell ref="A8998:A9001"/>
    <mergeCell ref="B8998:B9001"/>
    <mergeCell ref="A9002:A9005"/>
    <mergeCell ref="B9002:B9005"/>
    <mergeCell ref="A8946:A8949"/>
    <mergeCell ref="B8946:B8949"/>
    <mergeCell ref="A8950:A8953"/>
    <mergeCell ref="B8950:B8953"/>
    <mergeCell ref="A8954:A8957"/>
    <mergeCell ref="B8954:B8957"/>
    <mergeCell ref="A8958:A8961"/>
    <mergeCell ref="B8958:B8961"/>
    <mergeCell ref="A8962:A8965"/>
    <mergeCell ref="B8962:B8965"/>
    <mergeCell ref="A8966:A8969"/>
    <mergeCell ref="B8966:B8969"/>
    <mergeCell ref="A8970:A8973"/>
    <mergeCell ref="B8970:B8973"/>
    <mergeCell ref="A8974:A8977"/>
    <mergeCell ref="B8974:B8977"/>
    <mergeCell ref="A8978:A8981"/>
    <mergeCell ref="B8978:B8981"/>
    <mergeCell ref="A9046:A9049"/>
    <mergeCell ref="B9046:B9049"/>
    <mergeCell ref="A9050:A9053"/>
    <mergeCell ref="B9050:B9053"/>
    <mergeCell ref="A9054:A9057"/>
    <mergeCell ref="B9054:B9057"/>
    <mergeCell ref="A9058:A9061"/>
    <mergeCell ref="B9058:B9061"/>
    <mergeCell ref="A9062:A9065"/>
    <mergeCell ref="B9062:B9065"/>
    <mergeCell ref="A9066:A9069"/>
    <mergeCell ref="B9066:B9069"/>
    <mergeCell ref="A9070:A9073"/>
    <mergeCell ref="B9070:B9073"/>
    <mergeCell ref="A9074:A9077"/>
    <mergeCell ref="B9074:B9077"/>
    <mergeCell ref="A9090:A9093"/>
    <mergeCell ref="B9090:B9093"/>
    <mergeCell ref="A6102:A6105"/>
    <mergeCell ref="B6102:B6105"/>
    <mergeCell ref="A9078:A9081"/>
    <mergeCell ref="B9078:B9081"/>
    <mergeCell ref="A9086:A9089"/>
    <mergeCell ref="B9086:B9089"/>
    <mergeCell ref="A9082:A9085"/>
    <mergeCell ref="B9082:B9085"/>
    <mergeCell ref="A9094:A9097"/>
    <mergeCell ref="B9094:B9097"/>
    <mergeCell ref="A9098:A9101"/>
    <mergeCell ref="B9098:B9101"/>
    <mergeCell ref="A9102:A9105"/>
    <mergeCell ref="B9102:B9105"/>
    <mergeCell ref="A9030:A9033"/>
    <mergeCell ref="A9034:A9037"/>
    <mergeCell ref="A9014:A9017"/>
    <mergeCell ref="B9014:B9017"/>
    <mergeCell ref="A9018:A9021"/>
    <mergeCell ref="B9018:B9021"/>
    <mergeCell ref="A9022:A9025"/>
    <mergeCell ref="B9022:B9025"/>
    <mergeCell ref="A9026:A9029"/>
    <mergeCell ref="B9026:B9029"/>
    <mergeCell ref="B9030:B9033"/>
    <mergeCell ref="B9034:B9037"/>
    <mergeCell ref="A9010:A9013"/>
    <mergeCell ref="B9010:B9013"/>
    <mergeCell ref="A9038:A9041"/>
    <mergeCell ref="B9038:B9041"/>
    <mergeCell ref="A9042:A9045"/>
    <mergeCell ref="B9042:B9045"/>
    <mergeCell ref="A9159:A9162"/>
    <mergeCell ref="B9159:B9162"/>
    <mergeCell ref="A9163:A9168"/>
    <mergeCell ref="B9163:B9168"/>
    <mergeCell ref="A9169:A9175"/>
    <mergeCell ref="B9169:B9175"/>
    <mergeCell ref="A9176:A9182"/>
    <mergeCell ref="B9176:B9182"/>
    <mergeCell ref="A9183:A9189"/>
    <mergeCell ref="B9183:B9189"/>
    <mergeCell ref="A9190:A9196"/>
    <mergeCell ref="B9190:B9196"/>
    <mergeCell ref="A9197:A9204"/>
    <mergeCell ref="B9197:B9204"/>
    <mergeCell ref="A9205:A9212"/>
    <mergeCell ref="B9205:B9212"/>
    <mergeCell ref="A9213:A9220"/>
    <mergeCell ref="B9213:B9220"/>
    <mergeCell ref="A9221:A9228"/>
    <mergeCell ref="B9221:B9228"/>
    <mergeCell ref="A9229:A9236"/>
    <mergeCell ref="B9229:B9236"/>
    <mergeCell ref="A9237:A9243"/>
    <mergeCell ref="B9237:B9243"/>
    <mergeCell ref="A9244:A9250"/>
    <mergeCell ref="B9244:B9250"/>
    <mergeCell ref="A9251:A9257"/>
    <mergeCell ref="B9251:B9257"/>
    <mergeCell ref="A9265:A9271"/>
    <mergeCell ref="B9265:B9271"/>
    <mergeCell ref="A9272:A9278"/>
    <mergeCell ref="B9272:B9278"/>
    <mergeCell ref="A9279:A9285"/>
    <mergeCell ref="B9279:B9285"/>
    <mergeCell ref="A9258:A9264"/>
    <mergeCell ref="B9258:B9264"/>
    <mergeCell ref="A9305:A9314"/>
    <mergeCell ref="B9305:B9314"/>
    <mergeCell ref="A9460:A9471"/>
    <mergeCell ref="B9460:B9471"/>
    <mergeCell ref="A9369:A9378"/>
    <mergeCell ref="B9369:B9378"/>
    <mergeCell ref="A9286:A9289"/>
    <mergeCell ref="B9286:B9289"/>
    <mergeCell ref="A9290:A9293"/>
    <mergeCell ref="B9290:B9293"/>
    <mergeCell ref="A9315:A9322"/>
    <mergeCell ref="B9315:B9322"/>
    <mergeCell ref="A9331:A9342"/>
    <mergeCell ref="B9331:B9342"/>
    <mergeCell ref="A9343:A9359"/>
    <mergeCell ref="B9343:B9359"/>
    <mergeCell ref="A9360:A9368"/>
    <mergeCell ref="B9360:B9368"/>
    <mergeCell ref="A9294:A9304"/>
    <mergeCell ref="B9294:B9304"/>
    <mergeCell ref="A9421:A9431"/>
    <mergeCell ref="B9421:B9431"/>
    <mergeCell ref="A9432:A9438"/>
    <mergeCell ref="B9432:B9438"/>
    <mergeCell ref="A9439:A9445"/>
    <mergeCell ref="B9439:B9445"/>
    <mergeCell ref="A9446:A9452"/>
    <mergeCell ref="B9446:B9452"/>
    <mergeCell ref="A9453:A9459"/>
    <mergeCell ref="B9453:B9459"/>
    <mergeCell ref="A9323:A9330"/>
    <mergeCell ref="B9323:B9330"/>
  </mergeCells>
  <conditionalFormatting sqref="D3368 D262 D2388 D2227:E2227 E4886 D4999 D5013 D5265 D854:E854 E871 E985 E976 E930:E932 D3594:D3595 D4447:D4448 D4450:D4452 E8430 E8411 D8190 D8575:D8577 E329:E332 D9394:E9394 D9399:E9399 D3201:D3207 D3979:D3985">
    <cfRule type="containsText" dxfId="6507" priority="9807" operator="containsText" text="Pesquisa de Preços">
      <formula>NOT(ISERROR(SEARCH("Pesquisa de Preços",D262)))</formula>
    </cfRule>
  </conditionalFormatting>
  <conditionalFormatting sqref="D9">
    <cfRule type="containsText" dxfId="6506" priority="9806" operator="containsText" text="Pesquisa de Preços">
      <formula>NOT(ISERROR(SEARCH("Pesquisa de Preços",D9)))</formula>
    </cfRule>
  </conditionalFormatting>
  <conditionalFormatting sqref="D7">
    <cfRule type="containsText" dxfId="6505" priority="9805" operator="containsText" text="Pesquisa de Preços">
      <formula>NOT(ISERROR(SEARCH("Pesquisa de Preços",D7)))</formula>
    </cfRule>
  </conditionalFormatting>
  <conditionalFormatting sqref="D6 D10 D14 D18 D23 D28 D33 D37 D42 D47 D52 D59 D64 D69 D77 D82 D87 D92 D97 D102 D106 D111 D116 D121 D126 D131 D135 D139 D144 D149 D154 D161 D166 D171 D175 D179 D183 D190 D197 D201 D205 D210 D214 D219 D224 D228 D232 D236 D240 D248 D263 D268 D276 D283 D290 D305 D320 D326 D334 D344 D358 D364 D373 D387 D394 D408 D415 D427 D433 D439 D447 D457 D464 D476 D482 D490 D497 D504 D510 D517 D524 D530 D538 D546 D554 D562 D572 D581 D589 D599 D608 D614 D622 D630 D637 D641 D645 D649 D653 D657 D661 D669 D679 D689 D697 D707 D716 D723 D729 D737 D741 D748 D759 D765 D776 D783 D797 D807 D811 D816 D820 D825 D832 D838 D843 D849 D855 D860 D868 D876 D884 D889 D896 D900 D906 D913 D920 D927 D934 D941 D947 D954 D961 D968 D977 D986 D991 D996 D1005 D1010 D1020 D1029 D1036 D1043 D1050 D1057 D1066 D1074 D1082 D1092 D1100 D1105 D1110 D1116 D1121 D1128 D1135 D1142 D1149 D1156 D1163 D1170 D1177 D1184 D1191 D1198 D1205 D1211 D1217 D1229 D1236 D1243 D1250 D1256 D1263 D1270 D1277 D1284 D1292 D1301 D1307 D1313 D1319 D1325 D1332 D1338 D1345 D1351 D1357 D1364 D1370 D1376 D1382 D1389 D1404 D1419 D1434 D1449 D1464 D1479 D1494 D1500 D1506 D1512 D1518 D1524 D1531 D1538 D1545 D1552 D1567 D1574 D1581 D1588 D1595 D1600 D1606 D1612 D1617 D1623 D1629 D1635 D1641 D1646 D1651 D1656 D1662 D1669 D1676 D1682 D1690 D1700 D1710 D1720 D1730 D1737 D1744 D1751 D1758 D1765 D1772 D1779 D1786 D1791 D1796 D1802 D1808 D1815 D1821 D1827 D1833 D1839 D1845 D1851 D1857 D1863 D1869 D1875 D1881 D1887 D1892 D1897 D1902 D1908 D1913 D1918 D1925 D1931 D1937 D1944 D1951 D1959 D1967 D1974 D1981 D1988 D1995 D2001 D2009 D2017 D2025 D2033 D2041 D2049 D2057 D2065 D2073 D2081 D2089 D2095 D2101 D2107 D2113 D2119 D2127 D2135 D2143 D2151 D2159 D2167 D2175 D2183 D2188 D2195 D2202 D2208 D2214 D2228 D2234 D2244 D2254 D2264 D2274 D2284 D2291 D2298 D2304 D2310 D2316 D2322 D2327 D2332 D2337 D2343 D2351 D2358 D2364 D2371 D2385 D2413 D2533 D2537 D2541 D2545 D2549 D2553 D2561 D2569 D2577 D2581 D2585 D2589 D2593 D2597 D2601 D2605 D2609 D2613 D2617 D2629 D2641 D2647 D2653 D2659 D2665 D2671 D2677 D2683 D2689 D2695 D2757 D2762 D2772 D2788 D2798 D2803 D2808 D2813 D2820 D2825 D2830 D2835 D2840 D2845 D2850 D2855 D2860 D2867 D2872 D2877 D2882 D2890 D2898 D2906 D2914 D2922 D2927 D2932 D2937 D2942 D2947 D2952 D2957 D2962 D2967 D2972 D2982 D2987 D2992 D2997 D3002 D3007 D3012 D3017 D3022 D3027 D3035 D3040 D3048 D3052 D3060 D3065 D3073 D3078 D3083 D3088 D3093 D3098 D3103 D3108 D3113 D3118 D3124 D3130 D3136 D3142 D3147 D3153 D3158 D3167 D3175 D3183 D3188 D3192 D3199 D3211 D3217 D3223 D3229 D3239 D3244 D3251 D3258 D3265 D3272 D3279 D3286 D3293 D3300 D3307 D3314 D3320 D3326 D3335 D3340 D3347 D3354 D3361 D3365 D3369 D3374 D3378 D3382 D3389 D3396 D3403 D3408 D3413 D3418 D3422 D3426 D3436 D3458 D3466 D3483 D3491 D3508 D3527 D3534 D3550 D3556 D3562 D3570 D3577 D3582 D3592 D3597 D3604 D3610 D3620 D3625 D3630 D3638 D3642 D3648 D3663 D3671 D3683 D3696 D3707 D3711 D3721 D3726 D3735 D3742 D3746 D3750 D3808 D3814 D3819 D3831 D3841 D3850 D3858 D3870 D3885 D3892 D3910 D3916 D3922 D3928 D3935 D3944 D3952 D3962 D3969 D3977 D3989 D4002 D4007 D4011 D4015 D4024 D4033 D4042 D4051 D4060 D4069 D4075 D4081 D4088 D4094 D4098 D4105 D4113 D4121 D4129 D4133 D4141 D4152 D4163 D4167 D4174 D4181 D4187 D4193 D4199 D4209 D4215 D4223 D4231 D4240 D4247 D4252 D4260 D4269 D4285 D4312 D4319 D4330 D4339 D4348 D4357 D4366 D4376 D4384 D4392 D4402 D4412 D4422 D4430 D4445 D4454 D4460 D4480 D4488 D4496 D4502 D4507 D4512 D4521 D4530 D4535 D4541 D4553 D4565 D4584 D4592 D4601 D4609 D4615 D4627 D4635 D4641 D4649 D4657 D4668 D4674 D4682 D4691 D4707 D4713 D4757 D4768">
    <cfRule type="containsText" dxfId="6504" priority="9804" operator="containsText" text="Pesquisa de Preços">
      <formula>NOT(ISERROR(SEARCH("Pesquisa de Preços",D6)))</formula>
    </cfRule>
  </conditionalFormatting>
  <conditionalFormatting sqref="D13">
    <cfRule type="containsText" dxfId="6503" priority="9799" operator="containsText" text="Pesquisa de Preços">
      <formula>NOT(ISERROR(SEARCH("Pesquisa de Preços",D13)))</formula>
    </cfRule>
  </conditionalFormatting>
  <conditionalFormatting sqref="D15">
    <cfRule type="containsText" dxfId="6502" priority="9802" operator="containsText" text="Pesquisa de Preços">
      <formula>NOT(ISERROR(SEARCH("Pesquisa de Preços",D15)))</formula>
    </cfRule>
  </conditionalFormatting>
  <conditionalFormatting sqref="D11">
    <cfRule type="containsText" dxfId="6501" priority="9798" operator="containsText" text="Pesquisa de Preços">
      <formula>NOT(ISERROR(SEARCH("Pesquisa de Preços",D11)))</formula>
    </cfRule>
  </conditionalFormatting>
  <conditionalFormatting sqref="D225">
    <cfRule type="containsText" dxfId="6500" priority="9796" operator="containsText" text="Pesquisa de Preços">
      <formula>NOT(ISERROR(SEARCH("Pesquisa de Preços",D225)))</formula>
    </cfRule>
  </conditionalFormatting>
  <conditionalFormatting sqref="D227">
    <cfRule type="containsText" dxfId="6499" priority="9797" operator="containsText" text="Pesquisa de Preços">
      <formula>NOT(ISERROR(SEARCH("Pesquisa de Preços",D227)))</formula>
    </cfRule>
  </conditionalFormatting>
  <conditionalFormatting sqref="D150">
    <cfRule type="containsText" dxfId="6498" priority="9792" operator="containsText" text="Pesquisa de Preços">
      <formula>NOT(ISERROR(SEARCH("Pesquisa de Preços",D150)))</formula>
    </cfRule>
  </conditionalFormatting>
  <conditionalFormatting sqref="D483 D486:D489">
    <cfRule type="containsText" dxfId="6497" priority="9699" operator="containsText" text="Pesquisa de Preços">
      <formula>NOT(ISERROR(SEARCH("Pesquisa de Preços",D483)))</formula>
    </cfRule>
  </conditionalFormatting>
  <conditionalFormatting sqref="D78">
    <cfRule type="containsText" dxfId="6496" priority="9793" operator="containsText" text="Pesquisa de Preços">
      <formula>NOT(ISERROR(SEARCH("Pesquisa de Preços",D78)))</formula>
    </cfRule>
  </conditionalFormatting>
  <conditionalFormatting sqref="D162">
    <cfRule type="containsText" dxfId="6495" priority="9791" operator="containsText" text="Pesquisa de Preços">
      <formula>NOT(ISERROR(SEARCH("Pesquisa de Preços",D162)))</formula>
    </cfRule>
  </conditionalFormatting>
  <conditionalFormatting sqref="D81">
    <cfRule type="containsText" dxfId="6494" priority="9794" operator="containsText" text="Pesquisa de Preços">
      <formula>NOT(ISERROR(SEARCH("Pesquisa de Preços",D81)))</formula>
    </cfRule>
  </conditionalFormatting>
  <conditionalFormatting sqref="D88">
    <cfRule type="containsText" dxfId="6493" priority="9790" operator="containsText" text="Pesquisa de Preços">
      <formula>NOT(ISERROR(SEARCH("Pesquisa de Preços",D88)))</formula>
    </cfRule>
  </conditionalFormatting>
  <conditionalFormatting sqref="D60">
    <cfRule type="containsText" dxfId="6492" priority="9789" operator="containsText" text="Pesquisa de Preços">
      <formula>NOT(ISERROR(SEARCH("Pesquisa de Preços",D60)))</formula>
    </cfRule>
  </conditionalFormatting>
  <conditionalFormatting sqref="D53">
    <cfRule type="containsText" dxfId="6490" priority="9788" operator="containsText" text="Pesquisa de Preços">
      <formula>NOT(ISERROR(SEARCH("Pesquisa de Preços",D53)))</formula>
    </cfRule>
  </conditionalFormatting>
  <conditionalFormatting sqref="D34">
    <cfRule type="containsText" dxfId="6489" priority="9787" operator="containsText" text="Pesquisa de Preços">
      <formula>NOT(ISERROR(SEARCH("Pesquisa de Preços",D34)))</formula>
    </cfRule>
  </conditionalFormatting>
  <conditionalFormatting sqref="D98">
    <cfRule type="containsText" dxfId="6488" priority="9785" operator="containsText" text="Pesquisa de Preços">
      <formula>NOT(ISERROR(SEARCH("Pesquisa de Preços",D98)))</formula>
    </cfRule>
  </conditionalFormatting>
  <conditionalFormatting sqref="D29">
    <cfRule type="containsText" dxfId="6487" priority="9786" operator="containsText" text="Pesquisa de Preços">
      <formula>NOT(ISERROR(SEARCH("Pesquisa de Preços",D29)))</formula>
    </cfRule>
  </conditionalFormatting>
  <conditionalFormatting sqref="D145">
    <cfRule type="containsText" dxfId="6486" priority="9783" operator="containsText" text="Pesquisa de Preços">
      <formula>NOT(ISERROR(SEARCH("Pesquisa de Preços",D145)))</formula>
    </cfRule>
  </conditionalFormatting>
  <conditionalFormatting sqref="D180">
    <cfRule type="containsText" dxfId="6485" priority="9778" operator="containsText" text="Pesquisa de Preços">
      <formula>NOT(ISERROR(SEARCH("Pesquisa de Preços",D180)))</formula>
    </cfRule>
  </conditionalFormatting>
  <conditionalFormatting sqref="D24">
    <cfRule type="containsText" dxfId="6484" priority="9780" operator="containsText" text="Pesquisa de Preços">
      <formula>NOT(ISERROR(SEARCH("Pesquisa de Preços",D24)))</formula>
    </cfRule>
  </conditionalFormatting>
  <conditionalFormatting sqref="D43">
    <cfRule type="containsText" dxfId="6483" priority="9781" operator="containsText" text="Pesquisa de Preços">
      <formula>NOT(ISERROR(SEARCH("Pesquisa de Preços",D43)))</formula>
    </cfRule>
  </conditionalFormatting>
  <conditionalFormatting sqref="D117">
    <cfRule type="containsText" dxfId="6482" priority="9777" operator="containsText" text="Pesquisa de Preços">
      <formula>NOT(ISERROR(SEARCH("Pesquisa de Preços",D117)))</formula>
    </cfRule>
  </conditionalFormatting>
  <conditionalFormatting sqref="D38">
    <cfRule type="containsText" dxfId="6481" priority="9779" operator="containsText" text="Pesquisa de Preços">
      <formula>NOT(ISERROR(SEARCH("Pesquisa de Preços",D38)))</formula>
    </cfRule>
  </conditionalFormatting>
  <conditionalFormatting sqref="D670">
    <cfRule type="containsText" dxfId="6480" priority="9683" operator="containsText" text="Pesquisa de Preços">
      <formula>NOT(ISERROR(SEARCH("Pesquisa de Preços",D670)))</formula>
    </cfRule>
  </conditionalFormatting>
  <conditionalFormatting sqref="D662">
    <cfRule type="containsText" dxfId="6479" priority="9682" operator="containsText" text="Pesquisa de Preços">
      <formula>NOT(ISERROR(SEARCH("Pesquisa de Preços",D662)))</formula>
    </cfRule>
  </conditionalFormatting>
  <conditionalFormatting sqref="D176">
    <cfRule type="containsText" dxfId="6478" priority="9776" operator="containsText" text="Pesquisa de Preços">
      <formula>NOT(ISERROR(SEARCH("Pesquisa de Preços",D176)))</formula>
    </cfRule>
  </conditionalFormatting>
  <conditionalFormatting sqref="D220">
    <cfRule type="containsText" dxfId="6477" priority="9775" operator="containsText" text="Pesquisa de Preços">
      <formula>NOT(ISERROR(SEARCH("Pesquisa de Preços",D220)))</formula>
    </cfRule>
  </conditionalFormatting>
  <conditionalFormatting sqref="D680 D688">
    <cfRule type="containsText" dxfId="6476" priority="9681" operator="containsText" text="Pesquisa de Preços">
      <formula>NOT(ISERROR(SEARCH("Pesquisa de Preços",D680)))</formula>
    </cfRule>
  </conditionalFormatting>
  <conditionalFormatting sqref="D127">
    <cfRule type="containsText" dxfId="6475" priority="9773" operator="containsText" text="Pesquisa de Preços">
      <formula>NOT(ISERROR(SEARCH("Pesquisa de Preços",D127)))</formula>
    </cfRule>
  </conditionalFormatting>
  <conditionalFormatting sqref="D708">
    <cfRule type="containsText" dxfId="6474" priority="9679" operator="containsText" text="Pesquisa de Preços">
      <formula>NOT(ISERROR(SEARCH("Pesquisa de Preços",D708)))</formula>
    </cfRule>
  </conditionalFormatting>
  <conditionalFormatting sqref="D167">
    <cfRule type="containsText" dxfId="6473" priority="9772" operator="containsText" text="Pesquisa de Preços">
      <formula>NOT(ISERROR(SEARCH("Pesquisa de Preços",D167)))</formula>
    </cfRule>
  </conditionalFormatting>
  <conditionalFormatting sqref="D724">
    <cfRule type="containsText" dxfId="6472" priority="9678" operator="containsText" text="Pesquisa de Preços">
      <formula>NOT(ISERROR(SEARCH("Pesquisa de Preços",D724)))</formula>
    </cfRule>
  </conditionalFormatting>
  <conditionalFormatting sqref="D83">
    <cfRule type="containsText" dxfId="6471" priority="9770" operator="containsText" text="Pesquisa de Preços">
      <formula>NOT(ISERROR(SEARCH("Pesquisa de Preços",D83)))</formula>
    </cfRule>
  </conditionalFormatting>
  <conditionalFormatting sqref="D112">
    <cfRule type="containsText" dxfId="6470" priority="9769" operator="containsText" text="Pesquisa de Preços">
      <formula>NOT(ISERROR(SEARCH("Pesquisa de Preços",D112)))</formula>
    </cfRule>
  </conditionalFormatting>
  <conditionalFormatting sqref="D211">
    <cfRule type="containsText" dxfId="6469" priority="9768" operator="containsText" text="Pesquisa de Preços">
      <formula>NOT(ISERROR(SEARCH("Pesquisa de Preços",D211)))</formula>
    </cfRule>
  </conditionalFormatting>
  <conditionalFormatting sqref="D202">
    <cfRule type="containsText" dxfId="6468" priority="9767" operator="containsText" text="Pesquisa de Preços">
      <formula>NOT(ISERROR(SEARCH("Pesquisa de Preços",D202)))</formula>
    </cfRule>
  </conditionalFormatting>
  <conditionalFormatting sqref="D198">
    <cfRule type="containsText" dxfId="6467" priority="9765" operator="containsText" text="Pesquisa de Preços">
      <formula>NOT(ISERROR(SEARCH("Pesquisa de Preços",D198)))</formula>
    </cfRule>
  </conditionalFormatting>
  <conditionalFormatting sqref="D204">
    <cfRule type="containsText" dxfId="6466" priority="9766" operator="containsText" text="Pesquisa de Preços">
      <formula>NOT(ISERROR(SEARCH("Pesquisa de Preços",D204)))</formula>
    </cfRule>
  </conditionalFormatting>
  <conditionalFormatting sqref="D70 D76">
    <cfRule type="containsText" dxfId="6465" priority="9764" operator="containsText" text="Pesquisa de Preços">
      <formula>NOT(ISERROR(SEARCH("Pesquisa de Preços",D70)))</formula>
    </cfRule>
  </conditionalFormatting>
  <conditionalFormatting sqref="D136">
    <cfRule type="containsText" dxfId="6464" priority="9762" operator="containsText" text="Pesquisa de Preços">
      <formula>NOT(ISERROR(SEARCH("Pesquisa de Preços",D136)))</formula>
    </cfRule>
  </conditionalFormatting>
  <conditionalFormatting sqref="D140">
    <cfRule type="containsText" dxfId="6463" priority="9761" operator="containsText" text="Pesquisa de Preços">
      <formula>NOT(ISERROR(SEARCH("Pesquisa de Preços",D140)))</formula>
    </cfRule>
  </conditionalFormatting>
  <conditionalFormatting sqref="D784">
    <cfRule type="containsText" dxfId="6462" priority="9675" operator="containsText" text="Pesquisa de Preços">
      <formula>NOT(ISERROR(SEARCH("Pesquisa de Preços",D784)))</formula>
    </cfRule>
  </conditionalFormatting>
  <conditionalFormatting sqref="D155">
    <cfRule type="containsText" dxfId="6461" priority="9760" operator="containsText" text="Pesquisa de Preços">
      <formula>NOT(ISERROR(SEARCH("Pesquisa de Preços",D155)))</formula>
    </cfRule>
  </conditionalFormatting>
  <conditionalFormatting sqref="D826">
    <cfRule type="containsText" dxfId="6460" priority="9674" operator="containsText" text="Pesquisa de Preços">
      <formula>NOT(ISERROR(SEARCH("Pesquisa de Preços",D826)))</formula>
    </cfRule>
  </conditionalFormatting>
  <conditionalFormatting sqref="D93">
    <cfRule type="containsText" dxfId="6459" priority="9759" operator="containsText" text="Pesquisa de Preços">
      <formula>NOT(ISERROR(SEARCH("Pesquisa de Preços",D93)))</formula>
    </cfRule>
  </conditionalFormatting>
  <conditionalFormatting sqref="D808">
    <cfRule type="containsText" dxfId="6458" priority="9673" operator="containsText" text="Pesquisa de Preços">
      <formula>NOT(ISERROR(SEARCH("Pesquisa de Preços",D808)))</formula>
    </cfRule>
  </conditionalFormatting>
  <conditionalFormatting sqref="D48">
    <cfRule type="containsText" dxfId="6457" priority="9758" operator="containsText" text="Pesquisa de Preços">
      <formula>NOT(ISERROR(SEARCH("Pesquisa de Preços",D48)))</formula>
    </cfRule>
  </conditionalFormatting>
  <conditionalFormatting sqref="D191">
    <cfRule type="containsText" dxfId="6456" priority="9756" operator="containsText" text="Pesquisa de Preços">
      <formula>NOT(ISERROR(SEARCH("Pesquisa de Preços",D191)))</formula>
    </cfRule>
  </conditionalFormatting>
  <conditionalFormatting sqref="D742 D747">
    <cfRule type="containsText" dxfId="6455" priority="9672" operator="containsText" text="Pesquisa de Preços">
      <formula>NOT(ISERROR(SEARCH("Pesquisa de Preços",D742)))</formula>
    </cfRule>
  </conditionalFormatting>
  <conditionalFormatting sqref="D215">
    <cfRule type="containsText" dxfId="6454" priority="9754" operator="containsText" text="Pesquisa de Preços">
      <formula>NOT(ISERROR(SEARCH("Pesquisa de Preços",D215)))</formula>
    </cfRule>
  </conditionalFormatting>
  <conditionalFormatting sqref="D122">
    <cfRule type="containsText" dxfId="6453" priority="9752" operator="containsText" text="Pesquisa de Preços">
      <formula>NOT(ISERROR(SEARCH("Pesquisa de Preços",D122)))</formula>
    </cfRule>
  </conditionalFormatting>
  <conditionalFormatting sqref="D749">
    <cfRule type="containsText" dxfId="6452" priority="9670" operator="containsText" text="Pesquisa de Preços">
      <formula>NOT(ISERROR(SEARCH("Pesquisa de Preços",D749)))</formula>
    </cfRule>
  </conditionalFormatting>
  <conditionalFormatting sqref="D107">
    <cfRule type="containsText" dxfId="6451" priority="9750" operator="containsText" text="Pesquisa de Preços">
      <formula>NOT(ISERROR(SEARCH("Pesquisa de Preços",D107)))</formula>
    </cfRule>
  </conditionalFormatting>
  <conditionalFormatting sqref="D817 D819">
    <cfRule type="containsText" dxfId="6450" priority="9668" operator="containsText" text="Pesquisa de Preços">
      <formula>NOT(ISERROR(SEARCH("Pesquisa de Preços",D817)))</formula>
    </cfRule>
  </conditionalFormatting>
  <conditionalFormatting sqref="D132">
    <cfRule type="containsText" dxfId="6449" priority="9748" operator="containsText" text="Pesquisa de Preços">
      <formula>NOT(ISERROR(SEARCH("Pesquisa de Preços",D132)))</formula>
    </cfRule>
  </conditionalFormatting>
  <conditionalFormatting sqref="D821">
    <cfRule type="containsText" dxfId="6448" priority="9667" operator="containsText" text="Pesquisa de Preços">
      <formula>NOT(ISERROR(SEARCH("Pesquisa de Preços",D821)))</formula>
    </cfRule>
  </conditionalFormatting>
  <conditionalFormatting sqref="D65">
    <cfRule type="containsText" dxfId="6447" priority="9747" operator="containsText" text="Pesquisa de Preços">
      <formula>NOT(ISERROR(SEARCH("Pesquisa de Preços",D65)))</formula>
    </cfRule>
  </conditionalFormatting>
  <conditionalFormatting sqref="D798">
    <cfRule type="containsText" dxfId="6446" priority="9666" operator="containsText" text="Pesquisa de Preços">
      <formula>NOT(ISERROR(SEARCH("Pesquisa de Preços",D798)))</formula>
    </cfRule>
  </conditionalFormatting>
  <conditionalFormatting sqref="D321">
    <cfRule type="containsText" dxfId="6445" priority="9735" operator="containsText" text="Pesquisa de Preços">
      <formula>NOT(ISERROR(SEARCH("Pesquisa de Preços",D321)))</formula>
    </cfRule>
  </conditionalFormatting>
  <conditionalFormatting sqref="D335">
    <cfRule type="containsText" dxfId="6444" priority="9732" operator="containsText" text="Pesquisa de Preços">
      <formula>NOT(ISERROR(SEARCH("Pesquisa de Preços",D335)))</formula>
    </cfRule>
  </conditionalFormatting>
  <conditionalFormatting sqref="D327">
    <cfRule type="containsText" dxfId="6443" priority="9727" operator="containsText" text="Pesquisa de Preços">
      <formula>NOT(ISERROR(SEARCH("Pesquisa de Preços",D327)))</formula>
    </cfRule>
  </conditionalFormatting>
  <conditionalFormatting sqref="D409 D414">
    <cfRule type="containsText" dxfId="6442" priority="9720" operator="containsText" text="Pesquisa de Preços">
      <formula>NOT(ISERROR(SEARCH("Pesquisa de Preços",D409)))</formula>
    </cfRule>
  </conditionalFormatting>
  <conditionalFormatting sqref="D247">
    <cfRule type="containsText" dxfId="6441" priority="9745" operator="containsText" text="Pesquisa de Preços">
      <formula>NOT(ISERROR(SEARCH("Pesquisa de Preços",D247)))</formula>
    </cfRule>
  </conditionalFormatting>
  <conditionalFormatting sqref="D249">
    <cfRule type="containsText" dxfId="6440" priority="9744" operator="containsText" text="Pesquisa de Preços">
      <formula>NOT(ISERROR(SEARCH("Pesquisa de Preços",D249)))</formula>
    </cfRule>
  </conditionalFormatting>
  <conditionalFormatting sqref="D252 D259 D261">
    <cfRule type="containsText" dxfId="6439" priority="9743" operator="containsText" text="Pesquisa de Preços">
      <formula>NOT(ISERROR(SEARCH("Pesquisa de Preços",D252)))</formula>
    </cfRule>
  </conditionalFormatting>
  <conditionalFormatting sqref="D264">
    <cfRule type="containsText" dxfId="6438" priority="9742" operator="containsText" text="Pesquisa de Preços">
      <formula>NOT(ISERROR(SEARCH("Pesquisa de Preços",D264)))</formula>
    </cfRule>
  </conditionalFormatting>
  <conditionalFormatting sqref="D277 D282">
    <cfRule type="containsText" dxfId="6437" priority="9741" operator="containsText" text="Pesquisa de Preços">
      <formula>NOT(ISERROR(SEARCH("Pesquisa de Preços",D277)))</formula>
    </cfRule>
  </conditionalFormatting>
  <conditionalFormatting sqref="D284 D289">
    <cfRule type="containsText" dxfId="6436" priority="9739" operator="containsText" text="Pesquisa de Preços">
      <formula>NOT(ISERROR(SEARCH("Pesquisa de Preços",D284)))</formula>
    </cfRule>
  </conditionalFormatting>
  <conditionalFormatting sqref="D269 D275">
    <cfRule type="containsText" dxfId="6435" priority="9737" operator="containsText" text="Pesquisa de Preços">
      <formula>NOT(ISERROR(SEARCH("Pesquisa de Preços",D269)))</formula>
    </cfRule>
  </conditionalFormatting>
  <conditionalFormatting sqref="D525 D529">
    <cfRule type="containsText" dxfId="6434" priority="9701" operator="containsText" text="Pesquisa de Preços">
      <formula>NOT(ISERROR(SEARCH("Pesquisa de Preços",D525)))</formula>
    </cfRule>
  </conditionalFormatting>
  <conditionalFormatting sqref="D306">
    <cfRule type="containsText" dxfId="6433" priority="9734" operator="containsText" text="Pesquisa de Preços">
      <formula>NOT(ISERROR(SEARCH("Pesquisa de Preços",D306)))</formula>
    </cfRule>
  </conditionalFormatting>
  <conditionalFormatting sqref="D345">
    <cfRule type="containsText" dxfId="6432" priority="9731" operator="containsText" text="Pesquisa de Preços">
      <formula>NOT(ISERROR(SEARCH("Pesquisa de Preços",D345)))</formula>
    </cfRule>
  </conditionalFormatting>
  <conditionalFormatting sqref="D351">
    <cfRule type="containsText" dxfId="6431" priority="9730" operator="containsText" text="Pesquisa de Preços">
      <formula>NOT(ISERROR(SEARCH("Pesquisa de Preços",D351)))</formula>
    </cfRule>
  </conditionalFormatting>
  <conditionalFormatting sqref="D291">
    <cfRule type="containsText" dxfId="6430" priority="9729" operator="containsText" text="Pesquisa de Preços">
      <formula>NOT(ISERROR(SEARCH("Pesquisa de Preços",D291)))</formula>
    </cfRule>
  </conditionalFormatting>
  <conditionalFormatting sqref="D359 D363">
    <cfRule type="containsText" dxfId="6429" priority="9725" operator="containsText" text="Pesquisa de Preços">
      <formula>NOT(ISERROR(SEARCH("Pesquisa de Preços",D359)))</formula>
    </cfRule>
  </conditionalFormatting>
  <conditionalFormatting sqref="D365 D372">
    <cfRule type="containsText" dxfId="6428" priority="9723" operator="containsText" text="Pesquisa de Preços">
      <formula>NOT(ISERROR(SEARCH("Pesquisa de Preços",D365)))</formula>
    </cfRule>
  </conditionalFormatting>
  <conditionalFormatting sqref="D395">
    <cfRule type="containsText" dxfId="6427" priority="9721" operator="containsText" text="Pesquisa de Preços">
      <formula>NOT(ISERROR(SEARCH("Pesquisa de Preços",D395)))</formula>
    </cfRule>
  </conditionalFormatting>
  <conditionalFormatting sqref="D434 D438">
    <cfRule type="containsText" dxfId="6426" priority="9719" operator="containsText" text="Pesquisa de Preços">
      <formula>NOT(ISERROR(SEARCH("Pesquisa de Preços",D434)))</formula>
    </cfRule>
  </conditionalFormatting>
  <conditionalFormatting sqref="D428 D432">
    <cfRule type="containsText" dxfId="6425" priority="9717" operator="containsText" text="Pesquisa de Preços">
      <formula>NOT(ISERROR(SEARCH("Pesquisa de Preços",D428)))</formula>
    </cfRule>
  </conditionalFormatting>
  <conditionalFormatting sqref="D448 D453:D456">
    <cfRule type="containsText" dxfId="6424" priority="9715" operator="containsText" text="Pesquisa de Preços">
      <formula>NOT(ISERROR(SEARCH("Pesquisa de Preços",D448)))</formula>
    </cfRule>
  </conditionalFormatting>
  <conditionalFormatting sqref="D458 D463">
    <cfRule type="containsText" dxfId="6423" priority="9713" operator="containsText" text="Pesquisa de Preços">
      <formula>NOT(ISERROR(SEARCH("Pesquisa de Preços",D458)))</formula>
    </cfRule>
  </conditionalFormatting>
  <conditionalFormatting sqref="D465 D475">
    <cfRule type="containsText" dxfId="6422" priority="9711" operator="containsText" text="Pesquisa de Preços">
      <formula>NOT(ISERROR(SEARCH("Pesquisa de Preços",D465)))</formula>
    </cfRule>
  </conditionalFormatting>
  <conditionalFormatting sqref="D440 D444 D446">
    <cfRule type="containsText" dxfId="6421" priority="9710" operator="containsText" text="Pesquisa de Preços">
      <formula>NOT(ISERROR(SEARCH("Pesquisa de Preços",D440)))</formula>
    </cfRule>
  </conditionalFormatting>
  <conditionalFormatting sqref="D477 D481">
    <cfRule type="containsText" dxfId="6420" priority="9709" operator="containsText" text="Pesquisa de Preços">
      <formula>NOT(ISERROR(SEARCH("Pesquisa de Preços",D477)))</formula>
    </cfRule>
  </conditionalFormatting>
  <conditionalFormatting sqref="D498 D503">
    <cfRule type="containsText" dxfId="6419" priority="9707" operator="containsText" text="Pesquisa de Preços">
      <formula>NOT(ISERROR(SEARCH("Pesquisa de Preços",D498)))</formula>
    </cfRule>
  </conditionalFormatting>
  <conditionalFormatting sqref="D496 D491">
    <cfRule type="containsText" dxfId="6418" priority="9705" operator="containsText" text="Pesquisa de Preços">
      <formula>NOT(ISERROR(SEARCH("Pesquisa de Preços",D491)))</formula>
    </cfRule>
  </conditionalFormatting>
  <conditionalFormatting sqref="D505 D509">
    <cfRule type="containsText" dxfId="6417" priority="9703" operator="containsText" text="Pesquisa de Preços">
      <formula>NOT(ISERROR(SEARCH("Pesquisa de Preços",D505)))</formula>
    </cfRule>
  </conditionalFormatting>
  <conditionalFormatting sqref="D518 D523">
    <cfRule type="containsText" dxfId="6416" priority="9698" operator="containsText" text="Pesquisa de Preços">
      <formula>NOT(ISERROR(SEARCH("Pesquisa de Preços",D518)))</formula>
    </cfRule>
  </conditionalFormatting>
  <conditionalFormatting sqref="D511 D516">
    <cfRule type="containsText" dxfId="6415" priority="9696" operator="containsText" text="Pesquisa de Preços">
      <formula>NOT(ISERROR(SEARCH("Pesquisa de Preços",D511)))</formula>
    </cfRule>
  </conditionalFormatting>
  <conditionalFormatting sqref="D539 D545">
    <cfRule type="containsText" dxfId="6414" priority="9695" operator="containsText" text="Pesquisa de Preços">
      <formula>NOT(ISERROR(SEARCH("Pesquisa de Preços",D539)))</formula>
    </cfRule>
  </conditionalFormatting>
  <conditionalFormatting sqref="D547 D553">
    <cfRule type="containsText" dxfId="6413" priority="9693" operator="containsText" text="Pesquisa de Preços">
      <formula>NOT(ISERROR(SEARCH("Pesquisa de Preços",D547)))</formula>
    </cfRule>
  </conditionalFormatting>
  <conditionalFormatting sqref="D531 D537">
    <cfRule type="containsText" dxfId="6412" priority="9691" operator="containsText" text="Pesquisa de Preços">
      <formula>NOT(ISERROR(SEARCH("Pesquisa de Preços",D531)))</formula>
    </cfRule>
  </conditionalFormatting>
  <conditionalFormatting sqref="D555 D560:D561">
    <cfRule type="containsText" dxfId="6411" priority="9689" operator="containsText" text="Pesquisa de Preços">
      <formula>NOT(ISERROR(SEARCH("Pesquisa de Preços",D555)))</formula>
    </cfRule>
  </conditionalFormatting>
  <conditionalFormatting sqref="D563:D564">
    <cfRule type="containsText" dxfId="6410" priority="9687" operator="containsText" text="Pesquisa de Preços">
      <formula>NOT(ISERROR(SEARCH("Pesquisa de Preços",D563)))</formula>
    </cfRule>
  </conditionalFormatting>
  <conditionalFormatting sqref="D573:D574 D578:D580">
    <cfRule type="containsText" dxfId="6409" priority="9686" operator="containsText" text="Pesquisa de Preços">
      <formula>NOT(ISERROR(SEARCH("Pesquisa de Preços",D573)))</formula>
    </cfRule>
  </conditionalFormatting>
  <conditionalFormatting sqref="D615 D620:D621">
    <cfRule type="containsText" dxfId="6408" priority="9684" operator="containsText" text="Pesquisa de Preços">
      <formula>NOT(ISERROR(SEARCH("Pesquisa de Preços",D615)))</formula>
    </cfRule>
  </conditionalFormatting>
  <conditionalFormatting sqref="D682">
    <cfRule type="containsText" dxfId="6407" priority="9680" operator="containsText" text="Pesquisa de Preços">
      <formula>NOT(ISERROR(SEARCH("Pesquisa de Preços",D682)))</formula>
    </cfRule>
  </conditionalFormatting>
  <conditionalFormatting sqref="D717">
    <cfRule type="containsText" dxfId="6406" priority="9677" operator="containsText" text="Pesquisa de Preços">
      <formula>NOT(ISERROR(SEARCH("Pesquisa de Preços",D717)))</formula>
    </cfRule>
  </conditionalFormatting>
  <conditionalFormatting sqref="D760">
    <cfRule type="containsText" dxfId="6405" priority="9664" operator="containsText" text="Pesquisa de Preços">
      <formula>NOT(ISERROR(SEARCH("Pesquisa de Preços",D760)))</formula>
    </cfRule>
  </conditionalFormatting>
  <conditionalFormatting sqref="D738:D739">
    <cfRule type="containsText" dxfId="6404" priority="9676" operator="containsText" text="Pesquisa de Preços">
      <formula>NOT(ISERROR(SEARCH("Pesquisa de Preços",D738)))</formula>
    </cfRule>
  </conditionalFormatting>
  <conditionalFormatting sqref="D744">
    <cfRule type="containsText" dxfId="6403" priority="9671" operator="containsText" text="Pesquisa de Preços">
      <formula>NOT(ISERROR(SEARCH("Pesquisa de Preços",D744)))</formula>
    </cfRule>
  </conditionalFormatting>
  <conditionalFormatting sqref="D935">
    <cfRule type="containsText" dxfId="6402" priority="9651" operator="containsText" text="Pesquisa de Preços">
      <formula>NOT(ISERROR(SEARCH("Pesquisa de Preços",D935)))</formula>
    </cfRule>
  </conditionalFormatting>
  <conditionalFormatting sqref="D812 D815">
    <cfRule type="containsText" dxfId="6401" priority="9665" operator="containsText" text="Pesquisa de Preços">
      <formula>NOT(ISERROR(SEARCH("Pesquisa de Preços",D812)))</formula>
    </cfRule>
  </conditionalFormatting>
  <conditionalFormatting sqref="D184">
    <cfRule type="containsText" dxfId="6400" priority="9663" operator="containsText" text="Pesquisa de Preços">
      <formula>NOT(ISERROR(SEARCH("Pesquisa de Preços",D184)))</formula>
    </cfRule>
  </conditionalFormatting>
  <conditionalFormatting sqref="D187:D188">
    <cfRule type="containsText" dxfId="6399" priority="9662" operator="containsText" text="Pesquisa de Preços">
      <formula>NOT(ISERROR(SEARCH("Pesquisa de Preços",D187)))</formula>
    </cfRule>
  </conditionalFormatting>
  <conditionalFormatting sqref="D833 D837">
    <cfRule type="containsText" dxfId="6398" priority="9661" operator="containsText" text="Pesquisa de Preços">
      <formula>NOT(ISERROR(SEARCH("Pesquisa de Preços",D833)))</formula>
    </cfRule>
  </conditionalFormatting>
  <conditionalFormatting sqref="D907">
    <cfRule type="containsText" dxfId="6397" priority="9659" operator="containsText" text="Pesquisa de Preços">
      <formula>NOT(ISERROR(SEARCH("Pesquisa de Preços",D907)))</formula>
    </cfRule>
  </conditionalFormatting>
  <conditionalFormatting sqref="D928">
    <cfRule type="containsText" dxfId="6396" priority="9658" operator="containsText" text="Pesquisa de Preços">
      <formula>NOT(ISERROR(SEARCH("Pesquisa de Preços",D928)))</formula>
    </cfRule>
  </conditionalFormatting>
  <conditionalFormatting sqref="D921">
    <cfRule type="containsText" dxfId="6395" priority="9657" operator="containsText" text="Pesquisa de Preços">
      <formula>NOT(ISERROR(SEARCH("Pesquisa de Preços",D921)))</formula>
    </cfRule>
  </conditionalFormatting>
  <conditionalFormatting sqref="D914 D919">
    <cfRule type="containsText" dxfId="6394" priority="9656" operator="containsText" text="Pesquisa de Preços">
      <formula>NOT(ISERROR(SEARCH("Pesquisa de Preços",D914)))</formula>
    </cfRule>
  </conditionalFormatting>
  <conditionalFormatting sqref="D955">
    <cfRule type="containsText" dxfId="6393" priority="9655" operator="containsText" text="Pesquisa de Preços">
      <formula>NOT(ISERROR(SEARCH("Pesquisa de Preços",D955)))</formula>
    </cfRule>
  </conditionalFormatting>
  <conditionalFormatting sqref="D948">
    <cfRule type="containsText" dxfId="6392" priority="9653" operator="containsText" text="Pesquisa de Preços">
      <formula>NOT(ISERROR(SEARCH("Pesquisa de Preços",D948)))</formula>
    </cfRule>
  </conditionalFormatting>
  <conditionalFormatting sqref="D942 D946">
    <cfRule type="containsText" dxfId="6391" priority="9652" operator="containsText" text="Pesquisa de Preços">
      <formula>NOT(ISERROR(SEARCH("Pesquisa de Preços",D942)))</formula>
    </cfRule>
  </conditionalFormatting>
  <conditionalFormatting sqref="D962:D963 D967">
    <cfRule type="containsText" dxfId="6390" priority="9650" operator="containsText" text="Pesquisa de Preços">
      <formula>NOT(ISERROR(SEARCH("Pesquisa de Preços",D962)))</formula>
    </cfRule>
  </conditionalFormatting>
  <conditionalFormatting sqref="D969 D976">
    <cfRule type="containsText" dxfId="6389" priority="9648" operator="containsText" text="Pesquisa de Preços">
      <formula>NOT(ISERROR(SEARCH("Pesquisa de Preços",D969)))</formula>
    </cfRule>
  </conditionalFormatting>
  <conditionalFormatting sqref="D978 D985">
    <cfRule type="containsText" dxfId="6388" priority="9646" operator="containsText" text="Pesquisa de Preços">
      <formula>NOT(ISERROR(SEARCH("Pesquisa de Preços",D978)))</formula>
    </cfRule>
  </conditionalFormatting>
  <conditionalFormatting sqref="D997 D1004">
    <cfRule type="containsText" dxfId="6387" priority="9644" operator="containsText" text="Pesquisa de Preços">
      <formula>NOT(ISERROR(SEARCH("Pesquisa de Preços",D997)))</formula>
    </cfRule>
  </conditionalFormatting>
  <conditionalFormatting sqref="D987:D988">
    <cfRule type="containsText" dxfId="6386" priority="9642" operator="containsText" text="Pesquisa de Preços">
      <formula>NOT(ISERROR(SEARCH("Pesquisa de Preços",D987)))</formula>
    </cfRule>
  </conditionalFormatting>
  <conditionalFormatting sqref="D992:D993">
    <cfRule type="containsText" dxfId="6385" priority="9641" operator="containsText" text="Pesquisa de Preços">
      <formula>NOT(ISERROR(SEARCH("Pesquisa de Preços",D992)))</formula>
    </cfRule>
  </conditionalFormatting>
  <conditionalFormatting sqref="D1011 D1019">
    <cfRule type="containsText" dxfId="6384" priority="9640" operator="containsText" text="Pesquisa de Preços">
      <formula>NOT(ISERROR(SEARCH("Pesquisa de Preços",D1011)))</formula>
    </cfRule>
  </conditionalFormatting>
  <conditionalFormatting sqref="D1021:D1022 D1028">
    <cfRule type="containsText" dxfId="6383" priority="9638" operator="containsText" text="Pesquisa de Preços">
      <formula>NOT(ISERROR(SEARCH("Pesquisa de Preços",D1021)))</formula>
    </cfRule>
  </conditionalFormatting>
  <conditionalFormatting sqref="D1006:D1007">
    <cfRule type="containsText" dxfId="6382" priority="9637" operator="containsText" text="Pesquisa de Preços">
      <formula>NOT(ISERROR(SEARCH("Pesquisa de Preços",D1006)))</formula>
    </cfRule>
  </conditionalFormatting>
  <conditionalFormatting sqref="D1083 D1091">
    <cfRule type="containsText" dxfId="6381" priority="9635" operator="containsText" text="Pesquisa de Preços">
      <formula>NOT(ISERROR(SEARCH("Pesquisa de Preços",D1083)))</formula>
    </cfRule>
  </conditionalFormatting>
  <conditionalFormatting sqref="D1030:D1031 D1035">
    <cfRule type="containsText" dxfId="6380" priority="9634" operator="containsText" text="Pesquisa de Preços">
      <formula>NOT(ISERROR(SEARCH("Pesquisa de Preços",D1030)))</formula>
    </cfRule>
  </conditionalFormatting>
  <conditionalFormatting sqref="D1044:D1045 D1049">
    <cfRule type="containsText" dxfId="6379" priority="9632" operator="containsText" text="Pesquisa de Preços">
      <formula>NOT(ISERROR(SEARCH("Pesquisa de Preços",D1044)))</formula>
    </cfRule>
  </conditionalFormatting>
  <conditionalFormatting sqref="D1075 D1081">
    <cfRule type="containsText" dxfId="6378" priority="9631" operator="containsText" text="Pesquisa de Preços">
      <formula>NOT(ISERROR(SEARCH("Pesquisa de Preços",D1075)))</formula>
    </cfRule>
  </conditionalFormatting>
  <conditionalFormatting sqref="D1037:D1038">
    <cfRule type="containsText" dxfId="6377" priority="9629" operator="containsText" text="Pesquisa de Preços">
      <formula>NOT(ISERROR(SEARCH("Pesquisa de Preços",D1037)))</formula>
    </cfRule>
  </conditionalFormatting>
  <conditionalFormatting sqref="D1051">
    <cfRule type="containsText" dxfId="6376" priority="9627" operator="containsText" text="Pesquisa de Preços">
      <formula>NOT(ISERROR(SEARCH("Pesquisa de Preços",D1051)))</formula>
    </cfRule>
  </conditionalFormatting>
  <conditionalFormatting sqref="D1067 D1073">
    <cfRule type="containsText" dxfId="6375" priority="9626" operator="containsText" text="Pesquisa de Preços">
      <formula>NOT(ISERROR(SEARCH("Pesquisa de Preços",D1067)))</formula>
    </cfRule>
  </conditionalFormatting>
  <conditionalFormatting sqref="D1058 D1065">
    <cfRule type="containsText" dxfId="6374" priority="9625" operator="containsText" text="Pesquisa de Preços">
      <formula>NOT(ISERROR(SEARCH("Pesquisa de Preços",D1058)))</formula>
    </cfRule>
  </conditionalFormatting>
  <conditionalFormatting sqref="D1106:D1107">
    <cfRule type="containsText" dxfId="6373" priority="9624" operator="containsText" text="Pesquisa de Preços">
      <formula>NOT(ISERROR(SEARCH("Pesquisa de Preços",D1106)))</formula>
    </cfRule>
  </conditionalFormatting>
  <conditionalFormatting sqref="D1101:D1102">
    <cfRule type="containsText" dxfId="6372" priority="9623" operator="containsText" text="Pesquisa de Preços">
      <formula>NOT(ISERROR(SEARCH("Pesquisa de Preços",D1101)))</formula>
    </cfRule>
  </conditionalFormatting>
  <conditionalFormatting sqref="D1228">
    <cfRule type="containsText" dxfId="6371" priority="9622" operator="containsText" text="Pesquisa de Preços">
      <formula>NOT(ISERROR(SEARCH("Pesquisa de Preços",D1228)))</formula>
    </cfRule>
  </conditionalFormatting>
  <conditionalFormatting sqref="D1218:D1219 D1222">
    <cfRule type="containsText" dxfId="6370" priority="9621" operator="containsText" text="Pesquisa de Preços">
      <formula>NOT(ISERROR(SEARCH("Pesquisa de Preços",D1218)))</formula>
    </cfRule>
  </conditionalFormatting>
  <conditionalFormatting sqref="D1212:D1213 D1216">
    <cfRule type="containsText" dxfId="6369" priority="9620" operator="containsText" text="Pesquisa de Preços">
      <formula>NOT(ISERROR(SEARCH("Pesquisa de Preços",D1212)))</formula>
    </cfRule>
  </conditionalFormatting>
  <conditionalFormatting sqref="D1206:D1207 D1210">
    <cfRule type="containsText" dxfId="6368" priority="9619" operator="containsText" text="Pesquisa de Preços">
      <formula>NOT(ISERROR(SEARCH("Pesquisa de Preços",D1206)))</formula>
    </cfRule>
  </conditionalFormatting>
  <conditionalFormatting sqref="D1122 D1127">
    <cfRule type="containsText" dxfId="6367" priority="9618" operator="containsText" text="Pesquisa de Preços">
      <formula>NOT(ISERROR(SEARCH("Pesquisa de Preços",D1122)))</formula>
    </cfRule>
  </conditionalFormatting>
  <conditionalFormatting sqref="D1111:D1112 D1115">
    <cfRule type="containsText" dxfId="6366" priority="9617" operator="containsText" text="Pesquisa de Preços">
      <formula>NOT(ISERROR(SEARCH("Pesquisa de Preços",D1111)))</formula>
    </cfRule>
  </conditionalFormatting>
  <conditionalFormatting sqref="D1244 D1249">
    <cfRule type="containsText" dxfId="6365" priority="9616" operator="containsText" text="Pesquisa de Preços">
      <formula>NOT(ISERROR(SEARCH("Pesquisa de Preços",D1244)))</formula>
    </cfRule>
  </conditionalFormatting>
  <conditionalFormatting sqref="D1230 D1235">
    <cfRule type="containsText" dxfId="6364" priority="9615" operator="containsText" text="Pesquisa de Preços">
      <formula>NOT(ISERROR(SEARCH("Pesquisa de Preços",D1230)))</formula>
    </cfRule>
  </conditionalFormatting>
  <conditionalFormatting sqref="D1136 D1141">
    <cfRule type="containsText" dxfId="6363" priority="9614" operator="containsText" text="Pesquisa de Preços">
      <formula>NOT(ISERROR(SEARCH("Pesquisa de Preços",D1136)))</formula>
    </cfRule>
  </conditionalFormatting>
  <conditionalFormatting sqref="D1171:D1172 D1176">
    <cfRule type="containsText" dxfId="6362" priority="9613" operator="containsText" text="Pesquisa de Preços">
      <formula>NOT(ISERROR(SEARCH("Pesquisa de Preços",D1171)))</formula>
    </cfRule>
  </conditionalFormatting>
  <conditionalFormatting sqref="D1178:D1179 D1183">
    <cfRule type="containsText" dxfId="6361" priority="9612" operator="containsText" text="Pesquisa de Preços">
      <formula>NOT(ISERROR(SEARCH("Pesquisa de Preços",D1178)))</formula>
    </cfRule>
  </conditionalFormatting>
  <conditionalFormatting sqref="D1185 D1190">
    <cfRule type="containsText" dxfId="6360" priority="9611" operator="containsText" text="Pesquisa de Preços">
      <formula>NOT(ISERROR(SEARCH("Pesquisa de Preços",D1185)))</formula>
    </cfRule>
  </conditionalFormatting>
  <conditionalFormatting sqref="D1164:D1165 D1169">
    <cfRule type="containsText" dxfId="6359" priority="9610" operator="containsText" text="Pesquisa de Preços">
      <formula>NOT(ISERROR(SEARCH("Pesquisa de Preços",D1164)))</formula>
    </cfRule>
  </conditionalFormatting>
  <conditionalFormatting sqref="D1129:D1130 D1134">
    <cfRule type="containsText" dxfId="6358" priority="9609" operator="containsText" text="Pesquisa de Preços">
      <formula>NOT(ISERROR(SEARCH("Pesquisa de Preços",D1129)))</formula>
    </cfRule>
  </conditionalFormatting>
  <conditionalFormatting sqref="D1150:D1151 D1155">
    <cfRule type="containsText" dxfId="6357" priority="9607" operator="containsText" text="Pesquisa de Preços">
      <formula>NOT(ISERROR(SEARCH("Pesquisa de Preços",D1150)))</formula>
    </cfRule>
  </conditionalFormatting>
  <conditionalFormatting sqref="D1157 D1162">
    <cfRule type="containsText" dxfId="6356" priority="9606" operator="containsText" text="Pesquisa de Preços">
      <formula>NOT(ISERROR(SEARCH("Pesquisa de Preços",D1157)))</formula>
    </cfRule>
  </conditionalFormatting>
  <conditionalFormatting sqref="D1192:D1193 D1197">
    <cfRule type="containsText" dxfId="6355" priority="9605" operator="containsText" text="Pesquisa de Preços">
      <formula>NOT(ISERROR(SEARCH("Pesquisa de Preços",D1192)))</formula>
    </cfRule>
  </conditionalFormatting>
  <conditionalFormatting sqref="D1117">
    <cfRule type="containsText" dxfId="6354" priority="9604" operator="containsText" text="Pesquisa de Preços">
      <formula>NOT(ISERROR(SEARCH("Pesquisa de Preços",D1117)))</formula>
    </cfRule>
  </conditionalFormatting>
  <conditionalFormatting sqref="D1251 D1254:D1255">
    <cfRule type="containsText" dxfId="6353" priority="9603" operator="containsText" text="Pesquisa de Preços">
      <formula>NOT(ISERROR(SEARCH("Pesquisa de Preços",D1251)))</formula>
    </cfRule>
  </conditionalFormatting>
  <conditionalFormatting sqref="D1285:D1286 D1291">
    <cfRule type="containsText" dxfId="6352" priority="9601" operator="containsText" text="Pesquisa de Preços">
      <formula>NOT(ISERROR(SEARCH("Pesquisa de Preços",D1285)))</formula>
    </cfRule>
  </conditionalFormatting>
  <conditionalFormatting sqref="D1293 D1299:D1300">
    <cfRule type="containsText" dxfId="6351" priority="9599" operator="containsText" text="Pesquisa de Preços">
      <formula>NOT(ISERROR(SEARCH("Pesquisa de Preços",D1293)))</formula>
    </cfRule>
  </conditionalFormatting>
  <conditionalFormatting sqref="D1383 D1388">
    <cfRule type="containsText" dxfId="6350" priority="9583" operator="containsText" text="Pesquisa de Preços">
      <formula>NOT(ISERROR(SEARCH("Pesquisa de Preços",D1383)))</formula>
    </cfRule>
  </conditionalFormatting>
  <conditionalFormatting sqref="D1257:D1258">
    <cfRule type="containsText" dxfId="6349" priority="9598" operator="containsText" text="Pesquisa de Preços">
      <formula>NOT(ISERROR(SEARCH("Pesquisa de Preços",D1257)))</formula>
    </cfRule>
  </conditionalFormatting>
  <conditionalFormatting sqref="D1264:D1265 D1269">
    <cfRule type="containsText" dxfId="6348" priority="9596" operator="containsText" text="Pesquisa de Preços">
      <formula>NOT(ISERROR(SEARCH("Pesquisa de Preços",D1264)))</formula>
    </cfRule>
  </conditionalFormatting>
  <conditionalFormatting sqref="D1271:D1272 D1276">
    <cfRule type="containsText" dxfId="6347" priority="9595" operator="containsText" text="Pesquisa de Preços">
      <formula>NOT(ISERROR(SEARCH("Pesquisa de Preços",D1271)))</formula>
    </cfRule>
  </conditionalFormatting>
  <conditionalFormatting sqref="D1278 D1281 D1283">
    <cfRule type="containsText" dxfId="6346" priority="9594" operator="containsText" text="Pesquisa de Preços">
      <formula>NOT(ISERROR(SEARCH("Pesquisa de Preços",D1278)))</formula>
    </cfRule>
  </conditionalFormatting>
  <conditionalFormatting sqref="D1314:D1315">
    <cfRule type="containsText" dxfId="6345" priority="9592" operator="containsText" text="Pesquisa de Preços">
      <formula>NOT(ISERROR(SEARCH("Pesquisa de Preços",D1314)))</formula>
    </cfRule>
  </conditionalFormatting>
  <conditionalFormatting sqref="D1320:D1321">
    <cfRule type="containsText" dxfId="6344" priority="9593" operator="containsText" text="Pesquisa de Preços">
      <formula>NOT(ISERROR(SEARCH("Pesquisa de Preços",D1320)))</formula>
    </cfRule>
  </conditionalFormatting>
  <conditionalFormatting sqref="D1302:D1303">
    <cfRule type="containsText" dxfId="6343" priority="9590" operator="containsText" text="Pesquisa de Preços">
      <formula>NOT(ISERROR(SEARCH("Pesquisa de Preços",D1302)))</formula>
    </cfRule>
  </conditionalFormatting>
  <conditionalFormatting sqref="D1308:D1309">
    <cfRule type="containsText" dxfId="6342" priority="9591" operator="containsText" text="Pesquisa de Preços">
      <formula>NOT(ISERROR(SEARCH("Pesquisa de Preços",D1308)))</formula>
    </cfRule>
  </conditionalFormatting>
  <conditionalFormatting sqref="D1326 D1331">
    <cfRule type="containsText" dxfId="6341" priority="9589" operator="containsText" text="Pesquisa de Preços">
      <formula>NOT(ISERROR(SEARCH("Pesquisa de Preços",D1326)))</formula>
    </cfRule>
  </conditionalFormatting>
  <conditionalFormatting sqref="D1499">
    <cfRule type="containsText" dxfId="6340" priority="9568" operator="containsText" text="Pesquisa de Preços">
      <formula>NOT(ISERROR(SEARCH("Pesquisa de Preços",D1499)))</formula>
    </cfRule>
  </conditionalFormatting>
  <conditionalFormatting sqref="D1346 D1349:D1350">
    <cfRule type="containsText" dxfId="6339" priority="9584" operator="containsText" text="Pesquisa de Preços">
      <formula>NOT(ISERROR(SEARCH("Pesquisa de Preços",D1346)))</formula>
    </cfRule>
  </conditionalFormatting>
  <conditionalFormatting sqref="D1339 D1344">
    <cfRule type="containsText" dxfId="6338" priority="9587" operator="containsText" text="Pesquisa de Preços">
      <formula>NOT(ISERROR(SEARCH("Pesquisa de Preços",D1339)))</formula>
    </cfRule>
  </conditionalFormatting>
  <conditionalFormatting sqref="D1505">
    <cfRule type="containsText" dxfId="6337" priority="9569" operator="containsText" text="Pesquisa de Preços">
      <formula>NOT(ISERROR(SEARCH("Pesquisa de Preços",D1505)))</formula>
    </cfRule>
  </conditionalFormatting>
  <conditionalFormatting sqref="D1333 D1336:D1337">
    <cfRule type="containsText" dxfId="6336" priority="9585" operator="containsText" text="Pesquisa de Preços">
      <formula>NOT(ISERROR(SEARCH("Pesquisa de Preços",D1333)))</formula>
    </cfRule>
  </conditionalFormatting>
  <conditionalFormatting sqref="D1374:D1375 D1371">
    <cfRule type="containsText" dxfId="6335" priority="9581" operator="containsText" text="Pesquisa de Preços">
      <formula>NOT(ISERROR(SEARCH("Pesquisa de Preços",D1371)))</formula>
    </cfRule>
  </conditionalFormatting>
  <conditionalFormatting sqref="D1352 D1355:D1356">
    <cfRule type="containsText" dxfId="6334" priority="9579" operator="containsText" text="Pesquisa de Preços">
      <formula>NOT(ISERROR(SEARCH("Pesquisa de Preços",D1352)))</formula>
    </cfRule>
  </conditionalFormatting>
  <conditionalFormatting sqref="D1358 D1363">
    <cfRule type="containsText" dxfId="6333" priority="9577" operator="containsText" text="Pesquisa de Preços">
      <formula>NOT(ISERROR(SEARCH("Pesquisa de Preços",D1358)))</formula>
    </cfRule>
  </conditionalFormatting>
  <conditionalFormatting sqref="D1365 D1369">
    <cfRule type="containsText" dxfId="6332" priority="9575" operator="containsText" text="Pesquisa de Preços">
      <formula>NOT(ISERROR(SEARCH("Pesquisa de Preços",D1365)))</formula>
    </cfRule>
  </conditionalFormatting>
  <conditionalFormatting sqref="D1390 D1403">
    <cfRule type="containsText" dxfId="6331" priority="9561" operator="containsText" text="Pesquisa de Preços">
      <formula>NOT(ISERROR(SEARCH("Pesquisa de Preços",D1390)))</formula>
    </cfRule>
  </conditionalFormatting>
  <conditionalFormatting sqref="D1532">
    <cfRule type="containsText" dxfId="6330" priority="9574" operator="containsText" text="Pesquisa de Preços">
      <formula>NOT(ISERROR(SEARCH("Pesquisa de Preços",D1532)))</formula>
    </cfRule>
  </conditionalFormatting>
  <conditionalFormatting sqref="D1525">
    <cfRule type="containsText" dxfId="6329" priority="9572" operator="containsText" text="Pesquisa de Preços">
      <formula>NOT(ISERROR(SEARCH("Pesquisa de Preços",D1525)))</formula>
    </cfRule>
  </conditionalFormatting>
  <conditionalFormatting sqref="D1519 D1523">
    <cfRule type="containsText" dxfId="6328" priority="9571" operator="containsText" text="Pesquisa de Preços">
      <formula>NOT(ISERROR(SEARCH("Pesquisa de Preços",D1519)))</formula>
    </cfRule>
  </conditionalFormatting>
  <conditionalFormatting sqref="D1507">
    <cfRule type="containsText" dxfId="6327" priority="9570" operator="containsText" text="Pesquisa de Preços">
      <formula>NOT(ISERROR(SEARCH("Pesquisa de Preços",D1507)))</formula>
    </cfRule>
  </conditionalFormatting>
  <conditionalFormatting sqref="D1539 D1544">
    <cfRule type="containsText" dxfId="6326" priority="9564" operator="containsText" text="Pesquisa de Preços">
      <formula>NOT(ISERROR(SEARCH("Pesquisa de Preços",D1539)))</formula>
    </cfRule>
  </conditionalFormatting>
  <conditionalFormatting sqref="D1478">
    <cfRule type="containsText" dxfId="6325" priority="9556" operator="containsText" text="Pesquisa de Preços">
      <formula>NOT(ISERROR(SEARCH("Pesquisa de Preços",D1478)))</formula>
    </cfRule>
  </conditionalFormatting>
  <conditionalFormatting sqref="D1480 D1493">
    <cfRule type="containsText" dxfId="6324" priority="9562" operator="containsText" text="Pesquisa de Preços">
      <formula>NOT(ISERROR(SEARCH("Pesquisa de Preços",D1480)))</formula>
    </cfRule>
  </conditionalFormatting>
  <conditionalFormatting sqref="D1517">
    <cfRule type="containsText" dxfId="6323" priority="9567" operator="containsText" text="Pesquisa de Preços">
      <formula>NOT(ISERROR(SEARCH("Pesquisa de Preços",D1517)))</formula>
    </cfRule>
  </conditionalFormatting>
  <conditionalFormatting sqref="D1546 D1551">
    <cfRule type="containsText" dxfId="6322" priority="9566" operator="containsText" text="Pesquisa de Preços">
      <formula>NOT(ISERROR(SEARCH("Pesquisa de Preços",D1546)))</formula>
    </cfRule>
  </conditionalFormatting>
  <conditionalFormatting sqref="D1589 D1593:D1594">
    <cfRule type="containsText" dxfId="6321" priority="9539" operator="containsText" text="Pesquisa de Preços">
      <formula>NOT(ISERROR(SEARCH("Pesquisa de Preços",D1589)))</formula>
    </cfRule>
  </conditionalFormatting>
  <conditionalFormatting sqref="D1420 D1433">
    <cfRule type="containsText" dxfId="6320" priority="9560" operator="containsText" text="Pesquisa de Preços">
      <formula>NOT(ISERROR(SEARCH("Pesquisa de Preços",D1420)))</formula>
    </cfRule>
  </conditionalFormatting>
  <conditionalFormatting sqref="D1607 D1611">
    <cfRule type="containsText" dxfId="6319" priority="9545" operator="containsText" text="Pesquisa de Preços">
      <formula>NOT(ISERROR(SEARCH("Pesquisa de Preços",D1607)))</formula>
    </cfRule>
  </conditionalFormatting>
  <conditionalFormatting sqref="D1405 D1418">
    <cfRule type="containsText" dxfId="6318" priority="9559" operator="containsText" text="Pesquisa de Preços">
      <formula>NOT(ISERROR(SEARCH("Pesquisa de Preços",D1405)))</formula>
    </cfRule>
  </conditionalFormatting>
  <conditionalFormatting sqref="D1450 D1463">
    <cfRule type="containsText" dxfId="6317" priority="9558" operator="containsText" text="Pesquisa de Preços">
      <formula>NOT(ISERROR(SEARCH("Pesquisa de Preços",D1450)))</formula>
    </cfRule>
  </conditionalFormatting>
  <conditionalFormatting sqref="D1670 D1673:D1675">
    <cfRule type="containsText" dxfId="6316" priority="9546" operator="containsText" text="Pesquisa de Preços">
      <formula>NOT(ISERROR(SEARCH("Pesquisa de Preços",D1670)))</formula>
    </cfRule>
  </conditionalFormatting>
  <conditionalFormatting sqref="D1448">
    <cfRule type="containsText" dxfId="6315" priority="9557" operator="containsText" text="Pesquisa de Preços">
      <formula>NOT(ISERROR(SEARCH("Pesquisa de Preços",D1448)))</formula>
    </cfRule>
  </conditionalFormatting>
  <conditionalFormatting sqref="D1568 D1573">
    <cfRule type="containsText" dxfId="6314" priority="9551" operator="containsText" text="Pesquisa de Preços">
      <formula>NOT(ISERROR(SEARCH("Pesquisa de Preços",D1568)))</formula>
    </cfRule>
  </conditionalFormatting>
  <conditionalFormatting sqref="D1553:D1554 D1565:D1566">
    <cfRule type="containsText" dxfId="6313" priority="9555" operator="containsText" text="Pesquisa de Preços">
      <formula>NOT(ISERROR(SEARCH("Pesquisa de Preços",D1553)))</formula>
    </cfRule>
  </conditionalFormatting>
  <conditionalFormatting sqref="D1557:D1559 D1564 D1561:D1562">
    <cfRule type="containsText" dxfId="6312" priority="9554" operator="containsText" text="Pesquisa de Preços">
      <formula>NOT(ISERROR(SEARCH("Pesquisa de Preços",D1557)))</formula>
    </cfRule>
  </conditionalFormatting>
  <conditionalFormatting sqref="D1377:D1378 D1381">
    <cfRule type="containsText" dxfId="6311" priority="9553" operator="containsText" text="Pesquisa de Preços">
      <formula>NOT(ISERROR(SEARCH("Pesquisa de Preços",D1377)))</formula>
    </cfRule>
  </conditionalFormatting>
  <conditionalFormatting sqref="D1613 D1615:D1616">
    <cfRule type="containsText" dxfId="6310" priority="9542" operator="containsText" text="Pesquisa de Preços">
      <formula>NOT(ISERROR(SEARCH("Pesquisa de Preços",D1613)))</formula>
    </cfRule>
  </conditionalFormatting>
  <conditionalFormatting sqref="D1575 D1580">
    <cfRule type="containsText" dxfId="6309" priority="9550" operator="containsText" text="Pesquisa de Preços">
      <formula>NOT(ISERROR(SEARCH("Pesquisa de Preços",D1575)))</formula>
    </cfRule>
  </conditionalFormatting>
  <conditionalFormatting sqref="D1587">
    <cfRule type="containsText" dxfId="6308" priority="9549" operator="containsText" text="Pesquisa de Preços">
      <formula>NOT(ISERROR(SEARCH("Pesquisa de Preços",D1587)))</formula>
    </cfRule>
  </conditionalFormatting>
  <conditionalFormatting sqref="D1624">
    <cfRule type="containsText" dxfId="6307" priority="9548" operator="containsText" text="Pesquisa de Preços">
      <formula>NOT(ISERROR(SEARCH("Pesquisa de Preços",D1624)))</formula>
    </cfRule>
  </conditionalFormatting>
  <conditionalFormatting sqref="D1601 D1605">
    <cfRule type="containsText" dxfId="6306" priority="9544" operator="containsText" text="Pesquisa de Preços">
      <formula>NOT(ISERROR(SEARCH("Pesquisa de Preços",D1601)))</formula>
    </cfRule>
  </conditionalFormatting>
  <conditionalFormatting sqref="D1596 D1598:D1599">
    <cfRule type="containsText" dxfId="6305" priority="9543" operator="containsText" text="Pesquisa de Preços">
      <formula>NOT(ISERROR(SEARCH("Pesquisa de Preços",D1596)))</formula>
    </cfRule>
  </conditionalFormatting>
  <conditionalFormatting sqref="D1618 D1621:D1622">
    <cfRule type="containsText" dxfId="6304" priority="9541" operator="containsText" text="Pesquisa de Preços">
      <formula>NOT(ISERROR(SEARCH("Pesquisa de Preços",D1618)))</formula>
    </cfRule>
  </conditionalFormatting>
  <conditionalFormatting sqref="D1719 D1711:D1712">
    <cfRule type="containsText" dxfId="6303" priority="9533" operator="containsText" text="Pesquisa de Preços">
      <formula>NOT(ISERROR(SEARCH("Pesquisa de Preços",D1711)))</formula>
    </cfRule>
  </conditionalFormatting>
  <conditionalFormatting sqref="D1663 D1667:D1668">
    <cfRule type="containsText" dxfId="6302" priority="9540" operator="containsText" text="Pesquisa de Preços">
      <formula>NOT(ISERROR(SEARCH("Pesquisa de Preços",D1663)))</formula>
    </cfRule>
  </conditionalFormatting>
  <conditionalFormatting sqref="D1657 D1660:D1661">
    <cfRule type="containsText" dxfId="6301" priority="9538" operator="containsText" text="Pesquisa de Preços">
      <formula>NOT(ISERROR(SEARCH("Pesquisa de Preços",D1657)))</formula>
    </cfRule>
  </conditionalFormatting>
  <conditionalFormatting sqref="D1652 D1654:D1655">
    <cfRule type="containsText" dxfId="6300" priority="9537" operator="containsText" text="Pesquisa de Preços">
      <formula>NOT(ISERROR(SEARCH("Pesquisa de Preços",D1652)))</formula>
    </cfRule>
  </conditionalFormatting>
  <conditionalFormatting sqref="D1701:D1702 D1709">
    <cfRule type="containsText" dxfId="6299" priority="9530" operator="containsText" text="Pesquisa de Preços">
      <formula>NOT(ISERROR(SEARCH("Pesquisa de Preços",D1701)))</formula>
    </cfRule>
  </conditionalFormatting>
  <conditionalFormatting sqref="D1647">
    <cfRule type="containsText" dxfId="6298" priority="9535" operator="containsText" text="Pesquisa de Preços">
      <formula>NOT(ISERROR(SEARCH("Pesquisa de Preços",D1647)))</formula>
    </cfRule>
  </conditionalFormatting>
  <conditionalFormatting sqref="D1642">
    <cfRule type="containsText" dxfId="6297" priority="9536" operator="containsText" text="Pesquisa de Preços">
      <formula>NOT(ISERROR(SEARCH("Pesquisa de Preços",D1642)))</formula>
    </cfRule>
  </conditionalFormatting>
  <conditionalFormatting sqref="D1636 D1639:D1640">
    <cfRule type="containsText" dxfId="6296" priority="9534" operator="containsText" text="Pesquisa de Preços">
      <formula>NOT(ISERROR(SEARCH("Pesquisa de Preços",D1636)))</formula>
    </cfRule>
  </conditionalFormatting>
  <conditionalFormatting sqref="D1729 D1721:D1722">
    <cfRule type="containsText" dxfId="6295" priority="9532" operator="containsText" text="Pesquisa de Preços">
      <formula>NOT(ISERROR(SEARCH("Pesquisa de Preços",D1721)))</formula>
    </cfRule>
  </conditionalFormatting>
  <conditionalFormatting sqref="D1691:D1692 D1699">
    <cfRule type="containsText" dxfId="6294" priority="9531" operator="containsText" text="Pesquisa de Preços">
      <formula>NOT(ISERROR(SEARCH("Pesquisa de Preços",D1691)))</formula>
    </cfRule>
  </conditionalFormatting>
  <conditionalFormatting sqref="D1677:D1678 D1681">
    <cfRule type="containsText" dxfId="6293" priority="9529" operator="containsText" text="Pesquisa de Preços">
      <formula>NOT(ISERROR(SEARCH("Pesquisa de Preços",D1677)))</formula>
    </cfRule>
  </conditionalFormatting>
  <conditionalFormatting sqref="D1683">
    <cfRule type="containsText" dxfId="6292" priority="9528" operator="containsText" text="Pesquisa de Preços">
      <formula>NOT(ISERROR(SEARCH("Pesquisa de Preços",D1683)))</formula>
    </cfRule>
  </conditionalFormatting>
  <conditionalFormatting sqref="D1686:D1687">
    <cfRule type="containsText" dxfId="6291" priority="9527" operator="containsText" text="Pesquisa de Preços">
      <formula>NOT(ISERROR(SEARCH("Pesquisa de Preços",D1686)))</formula>
    </cfRule>
  </conditionalFormatting>
  <conditionalFormatting sqref="D1792">
    <cfRule type="containsText" dxfId="6290" priority="9526" operator="containsText" text="Pesquisa de Preços">
      <formula>NOT(ISERROR(SEARCH("Pesquisa de Preços",D1792)))</formula>
    </cfRule>
  </conditionalFormatting>
  <conditionalFormatting sqref="D1787">
    <cfRule type="containsText" dxfId="6289" priority="9525" operator="containsText" text="Pesquisa de Preços">
      <formula>NOT(ISERROR(SEARCH("Pesquisa de Preços",D1787)))</formula>
    </cfRule>
  </conditionalFormatting>
  <conditionalFormatting sqref="D1797 D1800:D1801">
    <cfRule type="containsText" dxfId="6288" priority="9524" operator="containsText" text="Pesquisa de Preços">
      <formula>NOT(ISERROR(SEARCH("Pesquisa de Preços",D1797)))</formula>
    </cfRule>
  </conditionalFormatting>
  <conditionalFormatting sqref="D1803 D1806:D1807">
    <cfRule type="containsText" dxfId="6287" priority="9522" operator="containsText" text="Pesquisa de Preços">
      <formula>NOT(ISERROR(SEARCH("Pesquisa de Preços",D1803)))</formula>
    </cfRule>
  </conditionalFormatting>
  <conditionalFormatting sqref="D1816 D1819:D1820">
    <cfRule type="containsText" dxfId="6286" priority="9521" operator="containsText" text="Pesquisa de Preços">
      <formula>NOT(ISERROR(SEARCH("Pesquisa de Preços",D1816)))</formula>
    </cfRule>
  </conditionalFormatting>
  <conditionalFormatting sqref="D1822 D1825:D1826">
    <cfRule type="containsText" dxfId="6285" priority="9519" operator="containsText" text="Pesquisa de Preços">
      <formula>NOT(ISERROR(SEARCH("Pesquisa de Preços",D1822)))</formula>
    </cfRule>
  </conditionalFormatting>
  <conditionalFormatting sqref="D1809 D1814">
    <cfRule type="containsText" dxfId="6284" priority="9517" operator="containsText" text="Pesquisa de Preços">
      <formula>NOT(ISERROR(SEARCH("Pesquisa de Preços",D1809)))</formula>
    </cfRule>
  </conditionalFormatting>
  <conditionalFormatting sqref="D1828 D1831:D1832">
    <cfRule type="containsText" dxfId="6283" priority="9516" operator="containsText" text="Pesquisa de Preços">
      <formula>NOT(ISERROR(SEARCH("Pesquisa de Preços",D1828)))</formula>
    </cfRule>
  </conditionalFormatting>
  <conditionalFormatting sqref="D1834 D1838">
    <cfRule type="containsText" dxfId="6282" priority="9514" operator="containsText" text="Pesquisa de Preços">
      <formula>NOT(ISERROR(SEARCH("Pesquisa de Preços",D1834)))</formula>
    </cfRule>
  </conditionalFormatting>
  <conditionalFormatting sqref="D1870 D1873:D1874">
    <cfRule type="containsText" dxfId="6281" priority="9513" operator="containsText" text="Pesquisa de Preços">
      <formula>NOT(ISERROR(SEARCH("Pesquisa de Preços",D1870)))</formula>
    </cfRule>
  </conditionalFormatting>
  <conditionalFormatting sqref="D1846 D1849:D1850">
    <cfRule type="containsText" dxfId="6280" priority="9511" operator="containsText" text="Pesquisa de Preços">
      <formula>NOT(ISERROR(SEARCH("Pesquisa de Preços",D1846)))</formula>
    </cfRule>
  </conditionalFormatting>
  <conditionalFormatting sqref="D1864 D1868">
    <cfRule type="containsText" dxfId="6279" priority="9509" operator="containsText" text="Pesquisa de Preços">
      <formula>NOT(ISERROR(SEARCH("Pesquisa de Preços",D1864)))</formula>
    </cfRule>
  </conditionalFormatting>
  <conditionalFormatting sqref="D1840 D1843:D1844">
    <cfRule type="containsText" dxfId="6278" priority="9508" operator="containsText" text="Pesquisa de Preços">
      <formula>NOT(ISERROR(SEARCH("Pesquisa de Preços",D1840)))</formula>
    </cfRule>
  </conditionalFormatting>
  <conditionalFormatting sqref="D1852 D1855:D1856">
    <cfRule type="containsText" dxfId="6277" priority="9506" operator="containsText" text="Pesquisa de Preços">
      <formula>NOT(ISERROR(SEARCH("Pesquisa de Preços",D1852)))</formula>
    </cfRule>
  </conditionalFormatting>
  <conditionalFormatting sqref="D1858 D1862">
    <cfRule type="containsText" dxfId="6276" priority="9504" operator="containsText" text="Pesquisa de Preços">
      <formula>NOT(ISERROR(SEARCH("Pesquisa de Preços",D1858)))</formula>
    </cfRule>
  </conditionalFormatting>
  <conditionalFormatting sqref="D1903 D1906:D1907">
    <cfRule type="containsText" dxfId="6275" priority="9496" operator="containsText" text="Pesquisa de Preços">
      <formula>NOT(ISERROR(SEARCH("Pesquisa de Preços",D1903)))</formula>
    </cfRule>
  </conditionalFormatting>
  <conditionalFormatting sqref="D1876 D1879:D1880">
    <cfRule type="containsText" dxfId="6274" priority="9503" operator="containsText" text="Pesquisa de Preços">
      <formula>NOT(ISERROR(SEARCH("Pesquisa de Preços",D1876)))</formula>
    </cfRule>
  </conditionalFormatting>
  <conditionalFormatting sqref="D1882 D1885:D1886">
    <cfRule type="containsText" dxfId="6273" priority="9501" operator="containsText" text="Pesquisa de Preços">
      <formula>NOT(ISERROR(SEARCH("Pesquisa de Preços",D1882)))</formula>
    </cfRule>
  </conditionalFormatting>
  <conditionalFormatting sqref="D1888">
    <cfRule type="containsText" dxfId="6272" priority="9499" operator="containsText" text="Pesquisa de Preços">
      <formula>NOT(ISERROR(SEARCH("Pesquisa de Preços",D1888)))</formula>
    </cfRule>
  </conditionalFormatting>
  <conditionalFormatting sqref="D1898 D1901">
    <cfRule type="containsText" dxfId="6271" priority="9498" operator="containsText" text="Pesquisa de Preços">
      <formula>NOT(ISERROR(SEARCH("Pesquisa de Preços",D1898)))</formula>
    </cfRule>
  </conditionalFormatting>
  <conditionalFormatting sqref="D1893">
    <cfRule type="containsText" dxfId="6270" priority="9497" operator="containsText" text="Pesquisa de Preços">
      <formula>NOT(ISERROR(SEARCH("Pesquisa de Preços",D1893)))</formula>
    </cfRule>
  </conditionalFormatting>
  <conditionalFormatting sqref="D1926 D1929:D1930">
    <cfRule type="containsText" dxfId="6269" priority="9495" operator="containsText" text="Pesquisa de Preços">
      <formula>NOT(ISERROR(SEARCH("Pesquisa de Preços",D1926)))</formula>
    </cfRule>
  </conditionalFormatting>
  <conditionalFormatting sqref="D1935:D1936">
    <cfRule type="containsText" dxfId="6268" priority="9493" operator="containsText" text="Pesquisa de Preços">
      <formula>NOT(ISERROR(SEARCH("Pesquisa de Preços",D1935)))</formula>
    </cfRule>
  </conditionalFormatting>
  <conditionalFormatting sqref="D1945 D1950">
    <cfRule type="containsText" dxfId="6267" priority="9490" operator="containsText" text="Pesquisa de Preços">
      <formula>NOT(ISERROR(SEARCH("Pesquisa de Preços",D1945)))</formula>
    </cfRule>
  </conditionalFormatting>
  <conditionalFormatting sqref="D1948">
    <cfRule type="containsText" dxfId="6266" priority="9489" operator="containsText" text="Pesquisa de Preços">
      <formula>NOT(ISERROR(SEARCH("Pesquisa de Preços",D1948)))</formula>
    </cfRule>
  </conditionalFormatting>
  <conditionalFormatting sqref="D1960 D1965:D1966">
    <cfRule type="containsText" dxfId="6265" priority="9492" operator="containsText" text="Pesquisa de Preços">
      <formula>NOT(ISERROR(SEARCH("Pesquisa de Preços",D1960)))</formula>
    </cfRule>
  </conditionalFormatting>
  <conditionalFormatting sqref="D1952 D1958">
    <cfRule type="containsText" dxfId="6264" priority="9491" operator="containsText" text="Pesquisa de Preços">
      <formula>NOT(ISERROR(SEARCH("Pesquisa de Preços",D1952)))</formula>
    </cfRule>
  </conditionalFormatting>
  <conditionalFormatting sqref="D1938 D1943">
    <cfRule type="containsText" dxfId="6263" priority="9488" operator="containsText" text="Pesquisa de Preços">
      <formula>NOT(ISERROR(SEARCH("Pesquisa de Preços",D1938)))</formula>
    </cfRule>
  </conditionalFormatting>
  <conditionalFormatting sqref="D1941">
    <cfRule type="containsText" dxfId="6262" priority="9487" operator="containsText" text="Pesquisa de Preços">
      <formula>NOT(ISERROR(SEARCH("Pesquisa de Preços",D1941)))</formula>
    </cfRule>
  </conditionalFormatting>
  <conditionalFormatting sqref="D1989 D1994">
    <cfRule type="containsText" dxfId="6261" priority="9486" operator="containsText" text="Pesquisa de Preços">
      <formula>NOT(ISERROR(SEARCH("Pesquisa de Preços",D1989)))</formula>
    </cfRule>
  </conditionalFormatting>
  <conditionalFormatting sqref="D1982 D1987">
    <cfRule type="containsText" dxfId="6260" priority="9485" operator="containsText" text="Pesquisa de Preços">
      <formula>NOT(ISERROR(SEARCH("Pesquisa de Preços",D1982)))</formula>
    </cfRule>
  </conditionalFormatting>
  <conditionalFormatting sqref="D1975 D1980">
    <cfRule type="containsText" dxfId="6259" priority="9483" operator="containsText" text="Pesquisa de Preços">
      <formula>NOT(ISERROR(SEARCH("Pesquisa de Preços",D1975)))</formula>
    </cfRule>
  </conditionalFormatting>
  <conditionalFormatting sqref="D1968 D1973">
    <cfRule type="containsText" dxfId="6258" priority="9481" operator="containsText" text="Pesquisa de Preços">
      <formula>NOT(ISERROR(SEARCH("Pesquisa de Preços",D1968)))</formula>
    </cfRule>
  </conditionalFormatting>
  <conditionalFormatting sqref="D2114">
    <cfRule type="containsText" dxfId="6257" priority="9480" operator="containsText" text="Pesquisa de Preços">
      <formula>NOT(ISERROR(SEARCH("Pesquisa de Preços",D2114)))</formula>
    </cfRule>
  </conditionalFormatting>
  <conditionalFormatting sqref="D2108">
    <cfRule type="containsText" dxfId="6256" priority="9478" operator="containsText" text="Pesquisa de Preços">
      <formula>NOT(ISERROR(SEARCH("Pesquisa de Preços",D2108)))</formula>
    </cfRule>
  </conditionalFormatting>
  <conditionalFormatting sqref="D2102">
    <cfRule type="containsText" dxfId="6255" priority="9476" operator="containsText" text="Pesquisa de Preços">
      <formula>NOT(ISERROR(SEARCH("Pesquisa de Preços",D2102)))</formula>
    </cfRule>
  </conditionalFormatting>
  <conditionalFormatting sqref="D2096">
    <cfRule type="containsText" dxfId="6254" priority="9474" operator="containsText" text="Pesquisa de Preços">
      <formula>NOT(ISERROR(SEARCH("Pesquisa de Preços",D2096)))</formula>
    </cfRule>
  </conditionalFormatting>
  <conditionalFormatting sqref="D2128 D2132:D2134">
    <cfRule type="containsText" dxfId="6253" priority="9472" operator="containsText" text="Pesquisa de Preços">
      <formula>NOT(ISERROR(SEARCH("Pesquisa de Preços",D2128)))</formula>
    </cfRule>
  </conditionalFormatting>
  <conditionalFormatting sqref="D2144 D2148:D2150">
    <cfRule type="containsText" dxfId="6252" priority="9471" operator="containsText" text="Pesquisa de Preços">
      <formula>NOT(ISERROR(SEARCH("Pesquisa de Preços",D2144)))</formula>
    </cfRule>
  </conditionalFormatting>
  <conditionalFormatting sqref="D2124:D2126">
    <cfRule type="containsText" dxfId="6251" priority="9470" operator="containsText" text="Pesquisa de Preços">
      <formula>NOT(ISERROR(SEARCH("Pesquisa de Preços",D2124)))</formula>
    </cfRule>
  </conditionalFormatting>
  <conditionalFormatting sqref="D2156:D2158">
    <cfRule type="containsText" dxfId="6250" priority="9469" operator="containsText" text="Pesquisa de Preços">
      <formula>NOT(ISERROR(SEARCH("Pesquisa de Preços",D2156)))</formula>
    </cfRule>
  </conditionalFormatting>
  <conditionalFormatting sqref="D2034 D2038:D2040">
    <cfRule type="containsText" dxfId="6249" priority="9465" operator="containsText" text="Pesquisa de Preços">
      <formula>NOT(ISERROR(SEARCH("Pesquisa de Preços",D2034)))</formula>
    </cfRule>
  </conditionalFormatting>
  <conditionalFormatting sqref="D2140:D2142">
    <cfRule type="containsText" dxfId="6248" priority="9468" operator="containsText" text="Pesquisa de Preços">
      <formula>NOT(ISERROR(SEARCH("Pesquisa de Preços",D2140)))</formula>
    </cfRule>
  </conditionalFormatting>
  <conditionalFormatting sqref="D2164:D2166">
    <cfRule type="containsText" dxfId="6247" priority="9467" operator="containsText" text="Pesquisa de Preços">
      <formula>NOT(ISERROR(SEARCH("Pesquisa de Preços",D2164)))</formula>
    </cfRule>
  </conditionalFormatting>
  <conditionalFormatting sqref="D2018 D2022:D2024">
    <cfRule type="containsText" dxfId="6246" priority="9466" operator="containsText" text="Pesquisa de Preços">
      <formula>NOT(ISERROR(SEARCH("Pesquisa de Preços",D2018)))</formula>
    </cfRule>
  </conditionalFormatting>
  <conditionalFormatting sqref="D2026 D2030:D2032">
    <cfRule type="containsText" dxfId="6245" priority="9462" operator="containsText" text="Pesquisa de Preços">
      <formula>NOT(ISERROR(SEARCH("Pesquisa de Preços",D2026)))</formula>
    </cfRule>
  </conditionalFormatting>
  <conditionalFormatting sqref="D2311:D2312 D2315">
    <cfRule type="containsText" dxfId="6244" priority="9437" operator="containsText" text="Pesquisa de Preços">
      <formula>NOT(ISERROR(SEARCH("Pesquisa de Preços",D2311)))</formula>
    </cfRule>
  </conditionalFormatting>
  <conditionalFormatting sqref="D2010 D2014:D2016">
    <cfRule type="containsText" dxfId="6243" priority="9464" operator="containsText" text="Pesquisa de Preços">
      <formula>NOT(ISERROR(SEARCH("Pesquisa de Preços",D2010)))</formula>
    </cfRule>
  </conditionalFormatting>
  <conditionalFormatting sqref="D2042 D2046:D2048">
    <cfRule type="containsText" dxfId="6242" priority="9463" operator="containsText" text="Pesquisa de Preços">
      <formula>NOT(ISERROR(SEARCH("Pesquisa de Preços",D2042)))</formula>
    </cfRule>
  </conditionalFormatting>
  <conditionalFormatting sqref="D2290">
    <cfRule type="containsText" dxfId="6241" priority="9439" operator="containsText" text="Pesquisa de Preços">
      <formula>NOT(ISERROR(SEARCH("Pesquisa de Preços",D2290)))</formula>
    </cfRule>
  </conditionalFormatting>
  <conditionalFormatting sqref="D2050 D2054:D2056">
    <cfRule type="containsText" dxfId="6240" priority="9461" operator="containsText" text="Pesquisa de Preços">
      <formula>NOT(ISERROR(SEARCH("Pesquisa de Preços",D2050)))</formula>
    </cfRule>
  </conditionalFormatting>
  <conditionalFormatting sqref="D2229">
    <cfRule type="containsText" dxfId="6239" priority="9449" operator="containsText" text="Pesquisa de Preços">
      <formula>NOT(ISERROR(SEARCH("Pesquisa de Preços",D2229)))</formula>
    </cfRule>
  </conditionalFormatting>
  <conditionalFormatting sqref="D2008">
    <cfRule type="containsText" dxfId="6238" priority="9460" operator="containsText" text="Pesquisa de Preços">
      <formula>NOT(ISERROR(SEARCH("Pesquisa de Preços",D2008)))</formula>
    </cfRule>
  </conditionalFormatting>
  <conditionalFormatting sqref="D2086:D2088">
    <cfRule type="containsText" dxfId="6237" priority="9459" operator="containsText" text="Pesquisa de Preços">
      <formula>NOT(ISERROR(SEARCH("Pesquisa de Preços",D2086)))</formula>
    </cfRule>
  </conditionalFormatting>
  <conditionalFormatting sqref="D2078:D2080">
    <cfRule type="containsText" dxfId="6236" priority="9458" operator="containsText" text="Pesquisa de Preços">
      <formula>NOT(ISERROR(SEARCH("Pesquisa de Preços",D2078)))</formula>
    </cfRule>
  </conditionalFormatting>
  <conditionalFormatting sqref="D2072">
    <cfRule type="containsText" dxfId="6235" priority="9457" operator="containsText" text="Pesquisa de Preços">
      <formula>NOT(ISERROR(SEARCH("Pesquisa de Preços",D2072)))</formula>
    </cfRule>
  </conditionalFormatting>
  <conditionalFormatting sqref="D1996 D1999:D2000">
    <cfRule type="containsText" dxfId="6234" priority="9456" operator="containsText" text="Pesquisa de Preços">
      <formula>NOT(ISERROR(SEARCH("Pesquisa de Preços",D1996)))</formula>
    </cfRule>
  </conditionalFormatting>
  <conditionalFormatting sqref="D2090">
    <cfRule type="containsText" dxfId="6233" priority="9455" operator="containsText" text="Pesquisa de Preços">
      <formula>NOT(ISERROR(SEARCH("Pesquisa de Preços",D2090)))</formula>
    </cfRule>
  </conditionalFormatting>
  <conditionalFormatting sqref="D2184">
    <cfRule type="containsText" dxfId="6232" priority="9454" operator="containsText" text="Pesquisa de Preços">
      <formula>NOT(ISERROR(SEARCH("Pesquisa de Preços",D2184)))</formula>
    </cfRule>
  </conditionalFormatting>
  <conditionalFormatting sqref="D2189">
    <cfRule type="containsText" dxfId="6231" priority="9453" operator="containsText" text="Pesquisa de Preços">
      <formula>NOT(ISERROR(SEARCH("Pesquisa de Preços",D2189)))</formula>
    </cfRule>
  </conditionalFormatting>
  <conditionalFormatting sqref="D2209 D2212:D2213">
    <cfRule type="containsText" dxfId="6230" priority="9451" operator="containsText" text="Pesquisa de Preços">
      <formula>NOT(ISERROR(SEARCH("Pesquisa de Preços",D2209)))</formula>
    </cfRule>
  </conditionalFormatting>
  <conditionalFormatting sqref="D2203 D2207">
    <cfRule type="containsText" dxfId="6229" priority="9450" operator="containsText" text="Pesquisa de Preços">
      <formula>NOT(ISERROR(SEARCH("Pesquisa de Preços",D2203)))</formula>
    </cfRule>
  </conditionalFormatting>
  <conditionalFormatting sqref="D2275">
    <cfRule type="containsText" dxfId="6228" priority="9447" operator="containsText" text="Pesquisa de Preços">
      <formula>NOT(ISERROR(SEARCH("Pesquisa de Preços",D2275)))</formula>
    </cfRule>
  </conditionalFormatting>
  <conditionalFormatting sqref="D2232">
    <cfRule type="containsText" dxfId="6227" priority="9448" operator="containsText" text="Pesquisa de Preços">
      <formula>NOT(ISERROR(SEARCH("Pesquisa de Preços",D2232)))</formula>
    </cfRule>
  </conditionalFormatting>
  <conditionalFormatting sqref="D2265">
    <cfRule type="containsText" dxfId="6226" priority="9446" operator="containsText" text="Pesquisa de Preços">
      <formula>NOT(ISERROR(SEARCH("Pesquisa de Preços",D2265)))</formula>
    </cfRule>
  </conditionalFormatting>
  <conditionalFormatting sqref="D2255 D2263">
    <cfRule type="containsText" dxfId="6225" priority="9444" operator="containsText" text="Pesquisa de Preços">
      <formula>NOT(ISERROR(SEARCH("Pesquisa de Preços",D2255)))</formula>
    </cfRule>
  </conditionalFormatting>
  <conditionalFormatting sqref="D2215">
    <cfRule type="containsText" dxfId="6224" priority="9443" operator="containsText" text="Pesquisa de Preços">
      <formula>NOT(ISERROR(SEARCH("Pesquisa de Preços",D2215)))</formula>
    </cfRule>
  </conditionalFormatting>
  <conditionalFormatting sqref="D2292">
    <cfRule type="containsText" dxfId="6223" priority="9441" operator="containsText" text="Pesquisa de Preços">
      <formula>NOT(ISERROR(SEARCH("Pesquisa de Preços",D2292)))</formula>
    </cfRule>
  </conditionalFormatting>
  <conditionalFormatting sqref="D2323">
    <cfRule type="containsText" dxfId="6222" priority="9438" operator="containsText" text="Pesquisa de Preços">
      <formula>NOT(ISERROR(SEARCH("Pesquisa de Preços",D2323)))</formula>
    </cfRule>
  </conditionalFormatting>
  <conditionalFormatting sqref="D2305:D2306 D2309">
    <cfRule type="containsText" dxfId="6221" priority="9435" operator="containsText" text="Pesquisa de Preços">
      <formula>NOT(ISERROR(SEARCH("Pesquisa de Preços",D2305)))</formula>
    </cfRule>
  </conditionalFormatting>
  <conditionalFormatting sqref="D2317:D2318 D2321">
    <cfRule type="containsText" dxfId="6220" priority="9433" operator="containsText" text="Pesquisa de Preços">
      <formula>NOT(ISERROR(SEARCH("Pesquisa de Preços",D2317)))</formula>
    </cfRule>
  </conditionalFormatting>
  <conditionalFormatting sqref="D2299 D2303">
    <cfRule type="containsText" dxfId="6219" priority="9431" operator="containsText" text="Pesquisa de Preços">
      <formula>NOT(ISERROR(SEARCH("Pesquisa de Preços",D2299)))</formula>
    </cfRule>
  </conditionalFormatting>
  <conditionalFormatting sqref="D2328 D2330:D2331">
    <cfRule type="containsText" dxfId="6218" priority="9429" operator="containsText" text="Pesquisa de Preços">
      <formula>NOT(ISERROR(SEARCH("Pesquisa de Preços",D2328)))</formula>
    </cfRule>
  </conditionalFormatting>
  <conditionalFormatting sqref="D2333 D2335:D2336">
    <cfRule type="containsText" dxfId="6217" priority="9428" operator="containsText" text="Pesquisa de Preços">
      <formula>NOT(ISERROR(SEARCH("Pesquisa de Preços",D2333)))</formula>
    </cfRule>
  </conditionalFormatting>
  <conditionalFormatting sqref="D890 D893:D895">
    <cfRule type="containsText" dxfId="6216" priority="9427" operator="containsText" text="Pesquisa de Preços">
      <formula>NOT(ISERROR(SEARCH("Pesquisa de Preços",D890)))</formula>
    </cfRule>
  </conditionalFormatting>
  <conditionalFormatting sqref="D850:D851">
    <cfRule type="containsText" dxfId="6215" priority="9422" operator="containsText" text="Pesquisa de Preços">
      <formula>NOT(ISERROR(SEARCH("Pesquisa de Preços",D850)))</formula>
    </cfRule>
  </conditionalFormatting>
  <conditionalFormatting sqref="D869 D875">
    <cfRule type="containsText" dxfId="6214" priority="9426" operator="containsText" text="Pesquisa de Preços">
      <formula>NOT(ISERROR(SEARCH("Pesquisa de Preços",D869)))</formula>
    </cfRule>
  </conditionalFormatting>
  <conditionalFormatting sqref="D877 D883">
    <cfRule type="containsText" dxfId="6213" priority="9424" operator="containsText" text="Pesquisa de Preços">
      <formula>NOT(ISERROR(SEARCH("Pesquisa de Preços",D877)))</formula>
    </cfRule>
  </conditionalFormatting>
  <conditionalFormatting sqref="D851">
    <cfRule type="containsText" dxfId="6212" priority="9421" operator="containsText" text="Pesquisa de Preços">
      <formula>NOT(ISERROR(SEARCH("Pesquisa de Preços",D851)))</formula>
    </cfRule>
  </conditionalFormatting>
  <conditionalFormatting sqref="D839 D841:D842">
    <cfRule type="containsText" dxfId="6211" priority="9420" operator="containsText" text="Pesquisa de Preços">
      <formula>NOT(ISERROR(SEARCH("Pesquisa de Preços",D839)))</formula>
    </cfRule>
  </conditionalFormatting>
  <conditionalFormatting sqref="D844 D848">
    <cfRule type="containsText" dxfId="6210" priority="9419" operator="containsText" text="Pesquisa de Preços">
      <formula>NOT(ISERROR(SEARCH("Pesquisa de Preços",D844)))</formula>
    </cfRule>
  </conditionalFormatting>
  <conditionalFormatting sqref="D861">
    <cfRule type="containsText" dxfId="6209" priority="9418" operator="containsText" text="Pesquisa de Preços">
      <formula>NOT(ISERROR(SEARCH("Pesquisa de Preços",D861)))</formula>
    </cfRule>
  </conditionalFormatting>
  <conditionalFormatting sqref="D856">
    <cfRule type="containsText" dxfId="6208" priority="9417" operator="containsText" text="Pesquisa de Preços">
      <formula>NOT(ISERROR(SEARCH("Pesquisa de Preços",D856)))</formula>
    </cfRule>
  </conditionalFormatting>
  <conditionalFormatting sqref="D885">
    <cfRule type="containsText" dxfId="6207" priority="9416" operator="containsText" text="Pesquisa de Preços">
      <formula>NOT(ISERROR(SEARCH("Pesquisa de Preços",D885)))</formula>
    </cfRule>
  </conditionalFormatting>
  <conditionalFormatting sqref="D897">
    <cfRule type="containsText" dxfId="6206" priority="9414" operator="containsText" text="Pesquisa de Preços">
      <formula>NOT(ISERROR(SEARCH("Pesquisa de Preços",D897)))</formula>
    </cfRule>
  </conditionalFormatting>
  <conditionalFormatting sqref="D2344:D2345">
    <cfRule type="containsText" dxfId="6205" priority="9413" operator="containsText" text="Pesquisa de Preços">
      <formula>NOT(ISERROR(SEARCH("Pesquisa de Preços",D2344)))</formula>
    </cfRule>
  </conditionalFormatting>
  <conditionalFormatting sqref="D2352 D2355 D2357">
    <cfRule type="containsText" dxfId="6204" priority="9412" operator="containsText" text="Pesquisa de Preços">
      <formula>NOT(ISERROR(SEARCH("Pesquisa de Preços",D2352)))</formula>
    </cfRule>
  </conditionalFormatting>
  <conditionalFormatting sqref="D2338 D2341:D2342">
    <cfRule type="containsText" dxfId="6203" priority="9411" operator="containsText" text="Pesquisa de Preços">
      <formula>NOT(ISERROR(SEARCH("Pesquisa de Preços",D2338)))</formula>
    </cfRule>
  </conditionalFormatting>
  <conditionalFormatting sqref="D2365 D2370">
    <cfRule type="containsText" dxfId="6202" priority="9409" operator="containsText" text="Pesquisa de Preços">
      <formula>NOT(ISERROR(SEARCH("Pesquisa de Preços",D2365)))</formula>
    </cfRule>
  </conditionalFormatting>
  <conditionalFormatting sqref="D2359">
    <cfRule type="containsText" dxfId="6201" priority="9408" operator="containsText" text="Pesquisa de Preços">
      <formula>NOT(ISERROR(SEARCH("Pesquisa de Preços",D2359)))</formula>
    </cfRule>
  </conditionalFormatting>
  <conditionalFormatting sqref="D1745 D1750">
    <cfRule type="containsText" dxfId="6199" priority="9406" operator="containsText" text="Pesquisa de Preços">
      <formula>NOT(ISERROR(SEARCH("Pesquisa de Preços",D1745)))</formula>
    </cfRule>
  </conditionalFormatting>
  <conditionalFormatting sqref="D1748">
    <cfRule type="containsText" dxfId="6198" priority="9405" operator="containsText" text="Pesquisa de Preços">
      <formula>NOT(ISERROR(SEARCH("Pesquisa de Preços",D1748)))</formula>
    </cfRule>
  </conditionalFormatting>
  <conditionalFormatting sqref="D1759 D1764">
    <cfRule type="containsText" dxfId="6196" priority="9403" operator="containsText" text="Pesquisa de Preços">
      <formula>NOT(ISERROR(SEARCH("Pesquisa de Preços",D1759)))</formula>
    </cfRule>
  </conditionalFormatting>
  <conditionalFormatting sqref="D1762">
    <cfRule type="containsText" dxfId="6195" priority="9402" operator="containsText" text="Pesquisa de Preços">
      <formula>NOT(ISERROR(SEARCH("Pesquisa de Preços",D1762)))</formula>
    </cfRule>
  </conditionalFormatting>
  <conditionalFormatting sqref="D1773 D1778">
    <cfRule type="containsText" dxfId="6193" priority="9400" operator="containsText" text="Pesquisa de Preços">
      <formula>NOT(ISERROR(SEARCH("Pesquisa de Preços",D1773)))</formula>
    </cfRule>
  </conditionalFormatting>
  <conditionalFormatting sqref="D1776">
    <cfRule type="containsText" dxfId="6192" priority="9399" operator="containsText" text="Pesquisa de Preços">
      <formula>NOT(ISERROR(SEARCH("Pesquisa de Preços",D1776)))</formula>
    </cfRule>
  </conditionalFormatting>
  <conditionalFormatting sqref="D1731 D1736">
    <cfRule type="containsText" dxfId="6190" priority="9397" operator="containsText" text="Pesquisa de Preços">
      <formula>NOT(ISERROR(SEARCH("Pesquisa de Preços",D1731)))</formula>
    </cfRule>
  </conditionalFormatting>
  <conditionalFormatting sqref="D1734">
    <cfRule type="containsText" dxfId="6189" priority="9396" operator="containsText" text="Pesquisa de Preços">
      <formula>NOT(ISERROR(SEARCH("Pesquisa de Preços",D1734)))</formula>
    </cfRule>
  </conditionalFormatting>
  <conditionalFormatting sqref="D1738 D1743">
    <cfRule type="containsText" dxfId="6187" priority="9394" operator="containsText" text="Pesquisa de Preços">
      <formula>NOT(ISERROR(SEARCH("Pesquisa de Preços",D1738)))</formula>
    </cfRule>
  </conditionalFormatting>
  <conditionalFormatting sqref="D587">
    <cfRule type="containsText" dxfId="6186" priority="9332" operator="containsText" text="Pesquisa de Preços">
      <formula>NOT(ISERROR(SEARCH("Pesquisa de Preços",D587)))</formula>
    </cfRule>
  </conditionalFormatting>
  <conditionalFormatting sqref="D1741">
    <cfRule type="containsText" dxfId="6185" priority="9393" operator="containsText" text="Pesquisa de Preços">
      <formula>NOT(ISERROR(SEARCH("Pesquisa de Preços",D1741)))</formula>
    </cfRule>
  </conditionalFormatting>
  <conditionalFormatting sqref="D1757 D1752">
    <cfRule type="containsText" dxfId="6183" priority="9391" operator="containsText" text="Pesquisa de Preços">
      <formula>NOT(ISERROR(SEARCH("Pesquisa de Preços",D1752)))</formula>
    </cfRule>
  </conditionalFormatting>
  <conditionalFormatting sqref="D1755">
    <cfRule type="containsText" dxfId="6182" priority="9390" operator="containsText" text="Pesquisa de Preços">
      <formula>NOT(ISERROR(SEARCH("Pesquisa de Preços",D1755)))</formula>
    </cfRule>
  </conditionalFormatting>
  <conditionalFormatting sqref="D1766 D1771">
    <cfRule type="containsText" dxfId="6181" priority="9389" operator="containsText" text="Pesquisa de Preços">
      <formula>NOT(ISERROR(SEARCH("Pesquisa de Preços",D1766)))</formula>
    </cfRule>
  </conditionalFormatting>
  <conditionalFormatting sqref="D1769">
    <cfRule type="containsText" dxfId="6180" priority="9388" operator="containsText" text="Pesquisa de Preços">
      <formula>NOT(ISERROR(SEARCH("Pesquisa de Preços",D1769)))</formula>
    </cfRule>
  </conditionalFormatting>
  <conditionalFormatting sqref="D1158">
    <cfRule type="containsText" dxfId="6179" priority="9387" operator="containsText" text="Pesquisa de Preços">
      <formula>NOT(ISERROR(SEARCH("Pesquisa de Preços",D1158)))</formula>
    </cfRule>
  </conditionalFormatting>
  <conditionalFormatting sqref="D1837">
    <cfRule type="containsText" dxfId="6178" priority="9386" operator="containsText" text="Pesquisa de Preços">
      <formula>NOT(ISERROR(SEARCH("Pesquisa de Preços",D1837)))</formula>
    </cfRule>
  </conditionalFormatting>
  <conditionalFormatting sqref="D1957">
    <cfRule type="containsText" dxfId="6177" priority="9384" operator="containsText" text="Pesquisa de Preços">
      <formula>NOT(ISERROR(SEARCH("Pesquisa de Preços",D1957)))</formula>
    </cfRule>
  </conditionalFormatting>
  <conditionalFormatting sqref="D2070:D2071">
    <cfRule type="containsText" dxfId="6176" priority="9381" operator="containsText" text="Pesquisa de Preços">
      <formula>NOT(ISERROR(SEARCH("Pesquisa de Preços",D2070)))</formula>
    </cfRule>
  </conditionalFormatting>
  <conditionalFormatting sqref="D2006:D2007">
    <cfRule type="containsText" dxfId="6175" priority="9380" operator="containsText" text="Pesquisa de Preços">
      <formula>NOT(ISERROR(SEARCH("Pesquisa de Preços",D2006)))</formula>
    </cfRule>
  </conditionalFormatting>
  <conditionalFormatting sqref="D1666">
    <cfRule type="containsText" dxfId="6174" priority="9286" operator="containsText" text="Pesquisa de Preços">
      <formula>NOT(ISERROR(SEARCH("Pesquisa de Preços",D1666)))</formula>
    </cfRule>
  </conditionalFormatting>
  <conditionalFormatting sqref="D443">
    <cfRule type="containsText" dxfId="6173" priority="9377" operator="containsText" text="Pesquisa de Preços">
      <formula>NOT(ISERROR(SEARCH("Pesquisa de Preços",D443)))</formula>
    </cfRule>
  </conditionalFormatting>
  <conditionalFormatting sqref="D206">
    <cfRule type="containsText" dxfId="6172" priority="9374" operator="containsText" text="Pesquisa de Preços">
      <formula>NOT(ISERROR(SEARCH("Pesquisa de Preços",D206)))</formula>
    </cfRule>
  </conditionalFormatting>
  <conditionalFormatting sqref="D103">
    <cfRule type="containsText" dxfId="6171" priority="9373" operator="containsText" text="Pesquisa de Preços">
      <formula>NOT(ISERROR(SEARCH("Pesquisa de Preços",D103)))</formula>
    </cfRule>
  </conditionalFormatting>
  <conditionalFormatting sqref="D416">
    <cfRule type="containsText" dxfId="6170" priority="9372" operator="containsText" text="Pesquisa de Preços">
      <formula>NOT(ISERROR(SEARCH("Pesquisa de Preços",D416)))</formula>
    </cfRule>
  </conditionalFormatting>
  <conditionalFormatting sqref="D609 D613">
    <cfRule type="containsText" dxfId="6168" priority="9370" operator="containsText" text="Pesquisa de Preços">
      <formula>NOT(ISERROR(SEARCH("Pesquisa de Preços",D609)))</formula>
    </cfRule>
  </conditionalFormatting>
  <conditionalFormatting sqref="D582 D588">
    <cfRule type="containsText" dxfId="6166" priority="9368" operator="containsText" text="Pesquisa de Preços">
      <formula>NOT(ISERROR(SEARCH("Pesquisa de Preços",D582)))</formula>
    </cfRule>
  </conditionalFormatting>
  <conditionalFormatting sqref="D631 D636">
    <cfRule type="containsText" dxfId="6165" priority="9366" operator="containsText" text="Pesquisa de Preços">
      <formula>NOT(ISERROR(SEARCH("Pesquisa de Preços",D631)))</formula>
    </cfRule>
  </conditionalFormatting>
  <conditionalFormatting sqref="D600 D607">
    <cfRule type="containsText" dxfId="6163" priority="9326" operator="containsText" text="Pesquisa de Preços">
      <formula>NOT(ISERROR(SEARCH("Pesquisa de Preços",D600)))</formula>
    </cfRule>
  </conditionalFormatting>
  <conditionalFormatting sqref="D730">
    <cfRule type="containsText" dxfId="6162" priority="9322" operator="containsText" text="Pesquisa de Preços">
      <formula>NOT(ISERROR(SEARCH("Pesquisa de Preços",D730)))</formula>
    </cfRule>
  </conditionalFormatting>
  <conditionalFormatting sqref="D1867">
    <cfRule type="containsText" dxfId="6161" priority="9336" operator="containsText" text="Pesquisa de Preços">
      <formula>NOT(ISERROR(SEARCH("Pesquisa de Preços",D1867)))</formula>
    </cfRule>
  </conditionalFormatting>
  <conditionalFormatting sqref="D1861">
    <cfRule type="containsText" dxfId="6160" priority="9334" operator="containsText" text="Pesquisa de Preços">
      <formula>NOT(ISERROR(SEARCH("Pesquisa de Preços",D1861)))</formula>
    </cfRule>
  </conditionalFormatting>
  <conditionalFormatting sqref="D374">
    <cfRule type="containsText" dxfId="6159" priority="9330" operator="containsText" text="Pesquisa de Preços">
      <formula>NOT(ISERROR(SEARCH("Pesquisa de Preços",D374)))</formula>
    </cfRule>
  </conditionalFormatting>
  <conditionalFormatting sqref="D1056">
    <cfRule type="containsText" dxfId="6158" priority="9230" operator="containsText" text="Pesquisa de Preços">
      <formula>NOT(ISERROR(SEARCH("Pesquisa de Preços",D1056)))</formula>
    </cfRule>
  </conditionalFormatting>
  <conditionalFormatting sqref="D598">
    <cfRule type="containsText" dxfId="6157" priority="9328" operator="containsText" text="Pesquisa de Preços">
      <formula>NOT(ISERROR(SEARCH("Pesquisa de Preços",D598)))</formula>
    </cfRule>
  </conditionalFormatting>
  <conditionalFormatting sqref="D590">
    <cfRule type="containsText" dxfId="6156" priority="9327" operator="containsText" text="Pesquisa de Preços">
      <formula>NOT(ISERROR(SEARCH("Pesquisa de Preços",D590)))</formula>
    </cfRule>
  </conditionalFormatting>
  <conditionalFormatting sqref="D591">
    <cfRule type="containsText" dxfId="6155" priority="9325" operator="containsText" text="Pesquisa de Preços">
      <formula>NOT(ISERROR(SEARCH("Pesquisa de Preços",D591)))</formula>
    </cfRule>
  </conditionalFormatting>
  <conditionalFormatting sqref="D601">
    <cfRule type="containsText" dxfId="6154" priority="9324" operator="containsText" text="Pesquisa de Preços">
      <formula>NOT(ISERROR(SEARCH("Pesquisa de Preços",D601)))</formula>
    </cfRule>
  </conditionalFormatting>
  <conditionalFormatting sqref="D623 D628:D629">
    <cfRule type="containsText" dxfId="6150" priority="9320" operator="containsText" text="Pesquisa de Preços">
      <formula>NOT(ISERROR(SEARCH("Pesquisa de Preços",D623)))</formula>
    </cfRule>
  </conditionalFormatting>
  <conditionalFormatting sqref="D1237 D1242">
    <cfRule type="containsText" dxfId="6149" priority="9316" operator="containsText" text="Pesquisa de Preços">
      <formula>NOT(ISERROR(SEARCH("Pesquisa de Preços",D1237)))</formula>
    </cfRule>
  </conditionalFormatting>
  <conditionalFormatting sqref="D1143 D1148">
    <cfRule type="containsText" dxfId="6147" priority="9313" operator="containsText" text="Pesquisa de Preços">
      <formula>NOT(ISERROR(SEARCH("Pesquisa de Preços",D1143)))</formula>
    </cfRule>
  </conditionalFormatting>
  <conditionalFormatting sqref="D1199 D1204">
    <cfRule type="containsText" dxfId="6146" priority="9311" operator="containsText" text="Pesquisa de Preços">
      <formula>NOT(ISERROR(SEARCH("Pesquisa de Preços",D1199)))</formula>
    </cfRule>
  </conditionalFormatting>
  <conditionalFormatting sqref="D663">
    <cfRule type="containsText" dxfId="6144" priority="9309" operator="containsText" text="Pesquisa de Preços">
      <formula>NOT(ISERROR(SEARCH("Pesquisa de Preços",D663)))</formula>
    </cfRule>
  </conditionalFormatting>
  <conditionalFormatting sqref="D731">
    <cfRule type="containsText" dxfId="6143" priority="9308" operator="containsText" text="Pesquisa de Preços">
      <formula>NOT(ISERROR(SEARCH("Pesquisa de Preços",D731)))</formula>
    </cfRule>
  </conditionalFormatting>
  <conditionalFormatting sqref="D859">
    <cfRule type="containsText" dxfId="6142" priority="9305" operator="containsText" text="Pesquisa de Preços">
      <formula>NOT(ISERROR(SEARCH("Pesquisa de Preços",D859)))</formula>
    </cfRule>
  </conditionalFormatting>
  <conditionalFormatting sqref="D1495">
    <cfRule type="containsText" dxfId="6141" priority="9228" operator="containsText" text="Pesquisa de Preços">
      <formula>NOT(ISERROR(SEARCH("Pesquisa de Preços",D1495)))</formula>
    </cfRule>
  </conditionalFormatting>
  <conditionalFormatting sqref="D1592">
    <cfRule type="containsText" dxfId="6140" priority="9285" operator="containsText" text="Pesquisa de Preços">
      <formula>NOT(ISERROR(SEARCH("Pesquisa de Preços",D1592)))</formula>
    </cfRule>
  </conditionalFormatting>
  <conditionalFormatting sqref="D1443">
    <cfRule type="containsText" dxfId="6139" priority="9227" operator="containsText" text="Pesquisa de Preços">
      <formula>NOT(ISERROR(SEARCH("Pesquisa de Preços",D1443)))</formula>
    </cfRule>
  </conditionalFormatting>
  <conditionalFormatting sqref="D1811">
    <cfRule type="containsText" dxfId="6138" priority="9265" operator="containsText" text="Pesquisa de Preços">
      <formula>NOT(ISERROR(SEARCH("Pesquisa de Preços",D1811)))</formula>
    </cfRule>
  </conditionalFormatting>
  <conditionalFormatting sqref="D831">
    <cfRule type="containsText" dxfId="6137" priority="9242" operator="containsText" text="Pesquisa de Preços">
      <formula>NOT(ISERROR(SEARCH("Pesquisa de Preços",D831)))</formula>
    </cfRule>
  </conditionalFormatting>
  <conditionalFormatting sqref="D831">
    <cfRule type="containsText" dxfId="6136" priority="9241" operator="containsText" text="Pesquisa de Preços">
      <formula>NOT(ISERROR(SEARCH("Pesquisa de Preços",D831)))</formula>
    </cfRule>
  </conditionalFormatting>
  <conditionalFormatting sqref="D865">
    <cfRule type="containsText" dxfId="6135" priority="9233" operator="containsText" text="Pesquisa de Preços">
      <formula>NOT(ISERROR(SEARCH("Pesquisa de Preços",D865)))</formula>
    </cfRule>
  </conditionalFormatting>
  <conditionalFormatting sqref="G2932">
    <cfRule type="notContainsText" dxfId="6133" priority="9224" operator="notContains" text="Sinapi">
      <formula>ISERROR(SEARCH("Sinapi",G2932))</formula>
    </cfRule>
  </conditionalFormatting>
  <conditionalFormatting sqref="G2937">
    <cfRule type="notContainsText" dxfId="6132" priority="9223" operator="notContains" text="Sinapi">
      <formula>ISERROR(SEARCH("Sinapi",G2937))</formula>
    </cfRule>
  </conditionalFormatting>
  <conditionalFormatting sqref="G2942">
    <cfRule type="notContainsText" dxfId="6131" priority="9222" operator="notContains" text="Sinapi">
      <formula>ISERROR(SEARCH("Sinapi",G2942))</formula>
    </cfRule>
  </conditionalFormatting>
  <conditionalFormatting sqref="G2947">
    <cfRule type="notContainsText" dxfId="6130" priority="9221" operator="notContains" text="Sinapi">
      <formula>ISERROR(SEARCH("Sinapi",G2947))</formula>
    </cfRule>
  </conditionalFormatting>
  <conditionalFormatting sqref="G2952">
    <cfRule type="notContainsText" dxfId="6129" priority="9220" operator="notContains" text="Sinapi">
      <formula>ISERROR(SEARCH("Sinapi",G2952))</formula>
    </cfRule>
  </conditionalFormatting>
  <conditionalFormatting sqref="G2957">
    <cfRule type="notContainsText" dxfId="6128" priority="9219" operator="notContains" text="Sinapi">
      <formula>ISERROR(SEARCH("Sinapi",G2957))</formula>
    </cfRule>
  </conditionalFormatting>
  <conditionalFormatting sqref="G2962">
    <cfRule type="notContainsText" dxfId="6127" priority="9218" operator="notContains" text="Sinapi">
      <formula>ISERROR(SEARCH("Sinapi",G2962))</formula>
    </cfRule>
  </conditionalFormatting>
  <conditionalFormatting sqref="G2967">
    <cfRule type="notContainsText" dxfId="6126" priority="9217" operator="notContains" text="Sinapi">
      <formula>ISERROR(SEARCH("Sinapi",G2967))</formula>
    </cfRule>
  </conditionalFormatting>
  <conditionalFormatting sqref="G2987">
    <cfRule type="notContainsText" dxfId="6125" priority="9215" operator="notContains" text="Sinapi">
      <formula>ISERROR(SEARCH("Sinapi",G2987))</formula>
    </cfRule>
  </conditionalFormatting>
  <conditionalFormatting sqref="G2982">
    <cfRule type="notContainsText" dxfId="6124" priority="9216" operator="notContains" text="Sinapi">
      <formula>ISERROR(SEARCH("Sinapi",G2982))</formula>
    </cfRule>
  </conditionalFormatting>
  <conditionalFormatting sqref="G2992">
    <cfRule type="notContainsText" dxfId="6123" priority="9214" operator="notContains" text="Sinapi">
      <formula>ISERROR(SEARCH("Sinapi",G2992))</formula>
    </cfRule>
  </conditionalFormatting>
  <conditionalFormatting sqref="G2997">
    <cfRule type="notContainsText" dxfId="6122" priority="9213" operator="notContains" text="Sinapi">
      <formula>ISERROR(SEARCH("Sinapi",G2997))</formula>
    </cfRule>
  </conditionalFormatting>
  <conditionalFormatting sqref="G3002">
    <cfRule type="notContainsText" dxfId="6121" priority="9212" operator="notContains" text="Sinapi">
      <formula>ISERROR(SEARCH("Sinapi",G3002))</formula>
    </cfRule>
  </conditionalFormatting>
  <conditionalFormatting sqref="G3007">
    <cfRule type="notContainsText" dxfId="6120" priority="9211" operator="notContains" text="Sinapi">
      <formula>ISERROR(SEARCH("Sinapi",G3007))</formula>
    </cfRule>
  </conditionalFormatting>
  <conditionalFormatting sqref="G3012">
    <cfRule type="notContainsText" dxfId="6119" priority="9210" operator="notContains" text="Sinapi">
      <formula>ISERROR(SEARCH("Sinapi",G3012))</formula>
    </cfRule>
  </conditionalFormatting>
  <conditionalFormatting sqref="G3017">
    <cfRule type="notContainsText" dxfId="6118" priority="9209" operator="notContains" text="Sinapi">
      <formula>ISERROR(SEARCH("Sinapi",G3017))</formula>
    </cfRule>
  </conditionalFormatting>
  <conditionalFormatting sqref="G3022">
    <cfRule type="notContainsText" dxfId="6117" priority="9208" operator="notContains" text="Sinapi">
      <formula>ISERROR(SEARCH("Sinapi",G3022))</formula>
    </cfRule>
  </conditionalFormatting>
  <conditionalFormatting sqref="G3035">
    <cfRule type="notContainsText" dxfId="6116" priority="9207" operator="notContains" text="Sinapi">
      <formula>ISERROR(SEARCH("Sinapi",G3035))</formula>
    </cfRule>
  </conditionalFormatting>
  <conditionalFormatting sqref="G3060">
    <cfRule type="notContainsText" dxfId="6115" priority="9206" operator="notContains" text="Sinapi">
      <formula>ISERROR(SEARCH("Sinapi",G3060))</formula>
    </cfRule>
  </conditionalFormatting>
  <conditionalFormatting sqref="G3073">
    <cfRule type="notContainsText" dxfId="6114" priority="9205" operator="notContains" text="Sinapi">
      <formula>ISERROR(SEARCH("Sinapi",G3073))</formula>
    </cfRule>
  </conditionalFormatting>
  <conditionalFormatting sqref="G3078">
    <cfRule type="notContainsText" dxfId="6113" priority="9204" operator="notContains" text="Sinapi">
      <formula>ISERROR(SEARCH("Sinapi",G3078))</formula>
    </cfRule>
  </conditionalFormatting>
  <conditionalFormatting sqref="G3083">
    <cfRule type="notContainsText" dxfId="6112" priority="9203" operator="notContains" text="Sinapi">
      <formula>ISERROR(SEARCH("Sinapi",G3083))</formula>
    </cfRule>
  </conditionalFormatting>
  <conditionalFormatting sqref="G3088">
    <cfRule type="notContainsText" dxfId="6111" priority="9202" operator="notContains" text="Sinapi">
      <formula>ISERROR(SEARCH("Sinapi",G3088))</formula>
    </cfRule>
  </conditionalFormatting>
  <conditionalFormatting sqref="G3093">
    <cfRule type="notContainsText" dxfId="6110" priority="9201" operator="notContains" text="Sinapi">
      <formula>ISERROR(SEARCH("Sinapi",G3093))</formula>
    </cfRule>
  </conditionalFormatting>
  <conditionalFormatting sqref="G3098">
    <cfRule type="notContainsText" dxfId="6109" priority="9200" operator="notContains" text="Sinapi">
      <formula>ISERROR(SEARCH("Sinapi",G3098))</formula>
    </cfRule>
  </conditionalFormatting>
  <conditionalFormatting sqref="G3103">
    <cfRule type="notContainsText" dxfId="6108" priority="9199" operator="notContains" text="Sinapi">
      <formula>ISERROR(SEARCH("Sinapi",G3103))</formula>
    </cfRule>
  </conditionalFormatting>
  <conditionalFormatting sqref="G3108">
    <cfRule type="notContainsText" dxfId="6107" priority="9198" operator="notContains" text="Sinapi">
      <formula>ISERROR(SEARCH("Sinapi",G3108))</formula>
    </cfRule>
  </conditionalFormatting>
  <conditionalFormatting sqref="G3113">
    <cfRule type="notContainsText" dxfId="6106" priority="9197" operator="notContains" text="Sinapi">
      <formula>ISERROR(SEARCH("Sinapi",G3113))</formula>
    </cfRule>
  </conditionalFormatting>
  <conditionalFormatting sqref="G3153">
    <cfRule type="notContainsText" dxfId="6105" priority="9196" operator="notContains" text="Sinapi">
      <formula>ISERROR(SEARCH("Sinapi",G3153))</formula>
    </cfRule>
  </conditionalFormatting>
  <conditionalFormatting sqref="G3335">
    <cfRule type="notContainsText" dxfId="6104" priority="9195" operator="notContains" text="Sinapi">
      <formula>ISERROR(SEARCH("Sinapi",G3335))</formula>
    </cfRule>
  </conditionalFormatting>
  <conditionalFormatting sqref="G3354">
    <cfRule type="notContainsText" dxfId="6103" priority="9194" operator="notContains" text="Sinapi">
      <formula>ISERROR(SEARCH("Sinapi",G3354))</formula>
    </cfRule>
  </conditionalFormatting>
  <conditionalFormatting sqref="G3365">
    <cfRule type="notContainsText" dxfId="6102" priority="9193" operator="notContains" text="Sinapi">
      <formula>ISERROR(SEARCH("Sinapi",G3365))</formula>
    </cfRule>
  </conditionalFormatting>
  <conditionalFormatting sqref="G3369">
    <cfRule type="notContainsText" dxfId="6101" priority="9192" operator="notContains" text="Sinapi">
      <formula>ISERROR(SEARCH("Sinapi",G3369))</formula>
    </cfRule>
  </conditionalFormatting>
  <conditionalFormatting sqref="D172">
    <cfRule type="containsText" dxfId="6081" priority="9171" operator="containsText" text="Pesquisa de Preços">
      <formula>NOT(ISERROR(SEARCH("Pesquisa de Preços",D172)))</formula>
    </cfRule>
  </conditionalFormatting>
  <conditionalFormatting sqref="G3048">
    <cfRule type="notContainsText" dxfId="6080" priority="9170" operator="notContains" text="Sinapi">
      <formula>ISERROR(SEARCH("Sinapi",G3048))</formula>
    </cfRule>
  </conditionalFormatting>
  <conditionalFormatting sqref="E18 E3368 E262 E2388">
    <cfRule type="containsText" dxfId="6075" priority="9161" operator="containsText" text="Pesquisa de Preços">
      <formula>NOT(ISERROR(SEARCH("Pesquisa de Preços",E18)))</formula>
    </cfRule>
  </conditionalFormatting>
  <conditionalFormatting sqref="E9">
    <cfRule type="containsText" dxfId="6074" priority="9160" operator="containsText" text="Pesquisa de Preços">
      <formula>NOT(ISERROR(SEARCH("Pesquisa de Preços",E9)))</formula>
    </cfRule>
  </conditionalFormatting>
  <conditionalFormatting sqref="E7">
    <cfRule type="containsText" dxfId="6073" priority="9159" operator="containsText" text="Pesquisa de Preços">
      <formula>NOT(ISERROR(SEARCH("Pesquisa de Preços",E7)))</formula>
    </cfRule>
  </conditionalFormatting>
  <conditionalFormatting sqref="E6">
    <cfRule type="containsText" dxfId="6072" priority="9158" operator="containsText" text="Pesquisa de Preços">
      <formula>NOT(ISERROR(SEARCH("Pesquisa de Preços",E6)))</formula>
    </cfRule>
  </conditionalFormatting>
  <conditionalFormatting sqref="E8">
    <cfRule type="containsText" dxfId="6071" priority="9157" operator="containsText" text="Pesquisa de Preços">
      <formula>NOT(ISERROR(SEARCH("Pesquisa de Preços",E8)))</formula>
    </cfRule>
  </conditionalFormatting>
  <conditionalFormatting sqref="E15">
    <cfRule type="containsText" dxfId="6070" priority="9156" operator="containsText" text="Pesquisa de Preços">
      <formula>NOT(ISERROR(SEARCH("Pesquisa de Preços",E15)))</formula>
    </cfRule>
  </conditionalFormatting>
  <conditionalFormatting sqref="E14">
    <cfRule type="containsText" dxfId="6069" priority="9155" operator="containsText" text="Pesquisa de Preços">
      <formula>NOT(ISERROR(SEARCH("Pesquisa de Preços",E14)))</formula>
    </cfRule>
  </conditionalFormatting>
  <conditionalFormatting sqref="E16">
    <cfRule type="containsText" dxfId="6068" priority="9154" operator="containsText" text="Pesquisa de Preços">
      <formula>NOT(ISERROR(SEARCH("Pesquisa de Preços",E16)))</formula>
    </cfRule>
  </conditionalFormatting>
  <conditionalFormatting sqref="E12">
    <cfRule type="containsText" dxfId="6067" priority="9153" operator="containsText" text="Pesquisa de Preços">
      <formula>NOT(ISERROR(SEARCH("Pesquisa de Preços",E12)))</formula>
    </cfRule>
  </conditionalFormatting>
  <conditionalFormatting sqref="E10">
    <cfRule type="containsText" dxfId="6066" priority="9150" operator="containsText" text="Pesquisa de Preços">
      <formula>NOT(ISERROR(SEARCH("Pesquisa de Preços",E10)))</formula>
    </cfRule>
  </conditionalFormatting>
  <conditionalFormatting sqref="E13">
    <cfRule type="containsText" dxfId="6065" priority="9152" operator="containsText" text="Pesquisa de Preços">
      <formula>NOT(ISERROR(SEARCH("Pesquisa de Preços",E13)))</formula>
    </cfRule>
  </conditionalFormatting>
  <conditionalFormatting sqref="E11">
    <cfRule type="containsText" dxfId="6064" priority="9151" operator="containsText" text="Pesquisa de Preços">
      <formula>NOT(ISERROR(SEARCH("Pesquisa de Preços",E11)))</formula>
    </cfRule>
  </conditionalFormatting>
  <conditionalFormatting sqref="E225">
    <cfRule type="containsText" dxfId="6063" priority="9148" operator="containsText" text="Pesquisa de Preços">
      <formula>NOT(ISERROR(SEARCH("Pesquisa de Preços",E225)))</formula>
    </cfRule>
  </conditionalFormatting>
  <conditionalFormatting sqref="E227">
    <cfRule type="containsText" dxfId="6062" priority="9149" operator="containsText" text="Pesquisa de Preços">
      <formula>NOT(ISERROR(SEARCH("Pesquisa de Preços",E227)))</formula>
    </cfRule>
  </conditionalFormatting>
  <conditionalFormatting sqref="E224">
    <cfRule type="containsText" dxfId="6061" priority="9147" operator="containsText" text="Pesquisa de Preços">
      <formula>NOT(ISERROR(SEARCH("Pesquisa de Preços",E224)))</formula>
    </cfRule>
  </conditionalFormatting>
  <conditionalFormatting sqref="E507">
    <cfRule type="containsText" dxfId="6060" priority="8993" operator="containsText" text="Pesquisa de Preços">
      <formula>NOT(ISERROR(SEARCH("Pesquisa de Preços",E507)))</formula>
    </cfRule>
  </conditionalFormatting>
  <conditionalFormatting sqref="E150">
    <cfRule type="containsText" dxfId="6059" priority="9142" operator="containsText" text="Pesquisa de Preços">
      <formula>NOT(ISERROR(SEARCH("Pesquisa de Preços",E150)))</formula>
    </cfRule>
  </conditionalFormatting>
  <conditionalFormatting sqref="E483:E489">
    <cfRule type="containsText" dxfId="6058" priority="8989" operator="containsText" text="Pesquisa de Preços">
      <formula>NOT(ISERROR(SEARCH("Pesquisa de Preços",E483)))</formula>
    </cfRule>
  </conditionalFormatting>
  <conditionalFormatting sqref="E149">
    <cfRule type="containsText" dxfId="6057" priority="9141" operator="containsText" text="Pesquisa de Preços">
      <formula>NOT(ISERROR(SEARCH("Pesquisa de Preços",E149)))</formula>
    </cfRule>
  </conditionalFormatting>
  <conditionalFormatting sqref="E78">
    <cfRule type="containsText" dxfId="6056" priority="9144" operator="containsText" text="Pesquisa de Preços">
      <formula>NOT(ISERROR(SEARCH("Pesquisa de Preços",E78)))</formula>
    </cfRule>
  </conditionalFormatting>
  <conditionalFormatting sqref="E162">
    <cfRule type="containsText" dxfId="6055" priority="9140" operator="containsText" text="Pesquisa de Preços">
      <formula>NOT(ISERROR(SEARCH("Pesquisa de Preços",E162)))</formula>
    </cfRule>
  </conditionalFormatting>
  <conditionalFormatting sqref="E79">
    <cfRule type="containsText" dxfId="6054" priority="9146" operator="containsText" text="Pesquisa de Preços">
      <formula>NOT(ISERROR(SEARCH("Pesquisa de Preços",E79)))</formula>
    </cfRule>
  </conditionalFormatting>
  <conditionalFormatting sqref="E77">
    <cfRule type="containsText" dxfId="6053" priority="9143" operator="containsText" text="Pesquisa de Preços">
      <formula>NOT(ISERROR(SEARCH("Pesquisa de Preços",E77)))</formula>
    </cfRule>
  </conditionalFormatting>
  <conditionalFormatting sqref="E81">
    <cfRule type="containsText" dxfId="6052" priority="9145" operator="containsText" text="Pesquisa de Preços">
      <formula>NOT(ISERROR(SEARCH("Pesquisa de Preços",E81)))</formula>
    </cfRule>
  </conditionalFormatting>
  <conditionalFormatting sqref="E538">
    <cfRule type="containsText" dxfId="6051" priority="8981" operator="containsText" text="Pesquisa de Preços">
      <formula>NOT(ISERROR(SEARCH("Pesquisa de Preços",E538)))</formula>
    </cfRule>
  </conditionalFormatting>
  <conditionalFormatting sqref="E87">
    <cfRule type="containsText" dxfId="6050" priority="9137" operator="containsText" text="Pesquisa de Preços">
      <formula>NOT(ISERROR(SEARCH("Pesquisa de Preços",E87)))</formula>
    </cfRule>
  </conditionalFormatting>
  <conditionalFormatting sqref="E161">
    <cfRule type="containsText" dxfId="6049" priority="9139" operator="containsText" text="Pesquisa de Preços">
      <formula>NOT(ISERROR(SEARCH("Pesquisa de Preços",E161)))</formula>
    </cfRule>
  </conditionalFormatting>
  <conditionalFormatting sqref="E546">
    <cfRule type="containsText" dxfId="6048" priority="8978" operator="containsText" text="Pesquisa de Preços">
      <formula>NOT(ISERROR(SEARCH("Pesquisa de Preços",E546)))</formula>
    </cfRule>
  </conditionalFormatting>
  <conditionalFormatting sqref="E88">
    <cfRule type="containsText" dxfId="6047" priority="9138" operator="containsText" text="Pesquisa de Preços">
      <formula>NOT(ISERROR(SEARCH("Pesquisa de Preços",E88)))</formula>
    </cfRule>
  </conditionalFormatting>
  <conditionalFormatting sqref="E60">
    <cfRule type="containsText" dxfId="6046" priority="9136" operator="containsText" text="Pesquisa de Preços">
      <formula>NOT(ISERROR(SEARCH("Pesquisa de Preços",E60)))</formula>
    </cfRule>
  </conditionalFormatting>
  <conditionalFormatting sqref="E562">
    <cfRule type="containsText" dxfId="6045" priority="8969" operator="containsText" text="Pesquisa de Preços">
      <formula>NOT(ISERROR(SEARCH("Pesquisa de Preços",E562)))</formula>
    </cfRule>
  </conditionalFormatting>
  <conditionalFormatting sqref="E59">
    <cfRule type="containsText" dxfId="6044" priority="9135" operator="containsText" text="Pesquisa de Preços">
      <formula>NOT(ISERROR(SEARCH("Pesquisa de Preços",E59)))</formula>
    </cfRule>
  </conditionalFormatting>
  <conditionalFormatting sqref="E53">
    <cfRule type="containsText" dxfId="6043" priority="9134" operator="containsText" text="Pesquisa de Preços">
      <formula>NOT(ISERROR(SEARCH("Pesquisa de Preços",E53)))</formula>
    </cfRule>
  </conditionalFormatting>
  <conditionalFormatting sqref="E33">
    <cfRule type="containsText" dxfId="6042" priority="9131" operator="containsText" text="Pesquisa de Preços">
      <formula>NOT(ISERROR(SEARCH("Pesquisa de Preços",E33)))</formula>
    </cfRule>
  </conditionalFormatting>
  <conditionalFormatting sqref="E52">
    <cfRule type="containsText" dxfId="6041" priority="9133" operator="containsText" text="Pesquisa de Preços">
      <formula>NOT(ISERROR(SEARCH("Pesquisa de Preços",E52)))</formula>
    </cfRule>
  </conditionalFormatting>
  <conditionalFormatting sqref="E572">
    <cfRule type="containsText" dxfId="6040" priority="8967" operator="containsText" text="Pesquisa de Preços">
      <formula>NOT(ISERROR(SEARCH("Pesquisa de Preços",E572)))</formula>
    </cfRule>
  </conditionalFormatting>
  <conditionalFormatting sqref="E34">
    <cfRule type="containsText" dxfId="6039" priority="9132" operator="containsText" text="Pesquisa de Preços">
      <formula>NOT(ISERROR(SEARCH("Pesquisa de Preços",E34)))</formula>
    </cfRule>
  </conditionalFormatting>
  <conditionalFormatting sqref="E98:E99">
    <cfRule type="containsText" dxfId="6038" priority="9128" operator="containsText" text="Pesquisa de Preços">
      <formula>NOT(ISERROR(SEARCH("Pesquisa de Preços",E98)))</formula>
    </cfRule>
  </conditionalFormatting>
  <conditionalFormatting sqref="E29">
    <cfRule type="containsText" dxfId="6037" priority="9130" operator="containsText" text="Pesquisa de Preços">
      <formula>NOT(ISERROR(SEARCH("Pesquisa de Preços",E29)))</formula>
    </cfRule>
  </conditionalFormatting>
  <conditionalFormatting sqref="E28">
    <cfRule type="containsText" dxfId="6036" priority="9129" operator="containsText" text="Pesquisa de Preços">
      <formula>NOT(ISERROR(SEARCH("Pesquisa de Preços",E28)))</formula>
    </cfRule>
  </conditionalFormatting>
  <conditionalFormatting sqref="E145:E146">
    <cfRule type="containsText" dxfId="6035" priority="9125" operator="containsText" text="Pesquisa de Preços">
      <formula>NOT(ISERROR(SEARCH("Pesquisa de Preços",E145)))</formula>
    </cfRule>
  </conditionalFormatting>
  <conditionalFormatting sqref="E42">
    <cfRule type="containsText" dxfId="6034" priority="9121" operator="containsText" text="Pesquisa de Preços">
      <formula>NOT(ISERROR(SEARCH("Pesquisa de Preços",E42)))</formula>
    </cfRule>
  </conditionalFormatting>
  <conditionalFormatting sqref="E97">
    <cfRule type="containsText" dxfId="6033" priority="9127" operator="containsText" text="Pesquisa de Preços">
      <formula>NOT(ISERROR(SEARCH("Pesquisa de Preços",E97)))</formula>
    </cfRule>
  </conditionalFormatting>
  <conditionalFormatting sqref="E100">
    <cfRule type="containsText" dxfId="6032" priority="9126" operator="containsText" text="Pesquisa de Preços">
      <formula>NOT(ISERROR(SEARCH("Pesquisa de Preços",E100)))</formula>
    </cfRule>
  </conditionalFormatting>
  <conditionalFormatting sqref="E180">
    <cfRule type="containsText" dxfId="6031" priority="9116" operator="containsText" text="Pesquisa de Preços">
      <formula>NOT(ISERROR(SEARCH("Pesquisa de Preços",E180)))</formula>
    </cfRule>
  </conditionalFormatting>
  <conditionalFormatting sqref="E144">
    <cfRule type="containsText" dxfId="6030" priority="9124" operator="containsText" text="Pesquisa de Preços">
      <formula>NOT(ISERROR(SEARCH("Pesquisa de Preços",E144)))</formula>
    </cfRule>
  </conditionalFormatting>
  <conditionalFormatting sqref="E24">
    <cfRule type="containsText" dxfId="6029" priority="9120" operator="containsText" text="Pesquisa de Preços">
      <formula>NOT(ISERROR(SEARCH("Pesquisa de Preços",E24)))</formula>
    </cfRule>
  </conditionalFormatting>
  <conditionalFormatting sqref="E147">
    <cfRule type="containsText" dxfId="6028" priority="9123" operator="containsText" text="Pesquisa de Preços">
      <formula>NOT(ISERROR(SEARCH("Pesquisa de Preços",E147)))</formula>
    </cfRule>
  </conditionalFormatting>
  <conditionalFormatting sqref="E43">
    <cfRule type="containsText" dxfId="6027" priority="9122" operator="containsText" text="Pesquisa de Preços">
      <formula>NOT(ISERROR(SEARCH("Pesquisa de Preços",E43)))</formula>
    </cfRule>
  </conditionalFormatting>
  <conditionalFormatting sqref="E23">
    <cfRule type="containsText" dxfId="6026" priority="9119" operator="containsText" text="Pesquisa de Preços">
      <formula>NOT(ISERROR(SEARCH("Pesquisa de Preços",E23)))</formula>
    </cfRule>
  </conditionalFormatting>
  <conditionalFormatting sqref="E117">
    <cfRule type="containsText" dxfId="6025" priority="9114" operator="containsText" text="Pesquisa de Preços">
      <formula>NOT(ISERROR(SEARCH("Pesquisa de Preços",E117)))</formula>
    </cfRule>
  </conditionalFormatting>
  <conditionalFormatting sqref="E179">
    <cfRule type="containsText" dxfId="6024" priority="9115" operator="containsText" text="Pesquisa de Preços">
      <formula>NOT(ISERROR(SEARCH("Pesquisa de Preços",E179)))</formula>
    </cfRule>
  </conditionalFormatting>
  <conditionalFormatting sqref="E38:E40">
    <cfRule type="containsText" dxfId="6023" priority="9118" operator="containsText" text="Pesquisa de Preços">
      <formula>NOT(ISERROR(SEARCH("Pesquisa de Preços",E38)))</formula>
    </cfRule>
  </conditionalFormatting>
  <conditionalFormatting sqref="E37">
    <cfRule type="containsText" dxfId="6022" priority="9117" operator="containsText" text="Pesquisa de Preços">
      <formula>NOT(ISERROR(SEARCH("Pesquisa de Preços",E37)))</formula>
    </cfRule>
  </conditionalFormatting>
  <conditionalFormatting sqref="E116">
    <cfRule type="containsText" dxfId="6021" priority="9113" operator="containsText" text="Pesquisa de Preços">
      <formula>NOT(ISERROR(SEARCH("Pesquisa de Preços",E116)))</formula>
    </cfRule>
  </conditionalFormatting>
  <conditionalFormatting sqref="E670">
    <cfRule type="containsText" dxfId="6020" priority="8963" operator="containsText" text="Pesquisa de Preços">
      <formula>NOT(ISERROR(SEARCH("Pesquisa de Preços",E670)))</formula>
    </cfRule>
  </conditionalFormatting>
  <conditionalFormatting sqref="E662">
    <cfRule type="containsText" dxfId="6019" priority="8961" operator="containsText" text="Pesquisa de Preços">
      <formula>NOT(ISERROR(SEARCH("Pesquisa de Preços",E662)))</formula>
    </cfRule>
  </conditionalFormatting>
  <conditionalFormatting sqref="E175">
    <cfRule type="containsText" dxfId="6018" priority="9111" operator="containsText" text="Pesquisa de Preços">
      <formula>NOT(ISERROR(SEARCH("Pesquisa de Preços",E175)))</formula>
    </cfRule>
  </conditionalFormatting>
  <conditionalFormatting sqref="E176:E177">
    <cfRule type="containsText" dxfId="6017" priority="9112" operator="containsText" text="Pesquisa de Preços">
      <formula>NOT(ISERROR(SEARCH("Pesquisa de Preços",E176)))</formula>
    </cfRule>
  </conditionalFormatting>
  <conditionalFormatting sqref="E219">
    <cfRule type="containsText" dxfId="6016" priority="9109" operator="containsText" text="Pesquisa de Preços">
      <formula>NOT(ISERROR(SEARCH("Pesquisa de Preços",E219)))</formula>
    </cfRule>
  </conditionalFormatting>
  <conditionalFormatting sqref="E220:E221">
    <cfRule type="containsText" dxfId="6015" priority="9110" operator="containsText" text="Pesquisa de Preços">
      <formula>NOT(ISERROR(SEARCH("Pesquisa de Preços",E220)))</formula>
    </cfRule>
  </conditionalFormatting>
  <conditionalFormatting sqref="E126">
    <cfRule type="containsText" dxfId="6014" priority="9106" operator="containsText" text="Pesquisa de Preços">
      <formula>NOT(ISERROR(SEARCH("Pesquisa de Preços",E126)))</formula>
    </cfRule>
  </conditionalFormatting>
  <conditionalFormatting sqref="E680:E681 E687:E688">
    <cfRule type="containsText" dxfId="6013" priority="8959" operator="containsText" text="Pesquisa de Preços">
      <formula>NOT(ISERROR(SEARCH("Pesquisa de Preços",E680)))</formula>
    </cfRule>
  </conditionalFormatting>
  <conditionalFormatting sqref="E222">
    <cfRule type="containsText" dxfId="6012" priority="9108" operator="containsText" text="Pesquisa de Preços">
      <formula>NOT(ISERROR(SEARCH("Pesquisa de Preços",E222)))</formula>
    </cfRule>
  </conditionalFormatting>
  <conditionalFormatting sqref="E127">
    <cfRule type="containsText" dxfId="6011" priority="9107" operator="containsText" text="Pesquisa de Preços">
      <formula>NOT(ISERROR(SEARCH("Pesquisa de Preços",E127)))</formula>
    </cfRule>
  </conditionalFormatting>
  <conditionalFormatting sqref="E708">
    <cfRule type="containsText" dxfId="6010" priority="8956" operator="containsText" text="Pesquisa de Preços">
      <formula>NOT(ISERROR(SEARCH("Pesquisa de Preços",E708)))</formula>
    </cfRule>
  </conditionalFormatting>
  <conditionalFormatting sqref="E167:E168">
    <cfRule type="containsText" dxfId="6009" priority="9105" operator="containsText" text="Pesquisa de Preços">
      <formula>NOT(ISERROR(SEARCH("Pesquisa de Preços",E167)))</formula>
    </cfRule>
  </conditionalFormatting>
  <conditionalFormatting sqref="E166">
    <cfRule type="containsText" dxfId="6008" priority="9104" operator="containsText" text="Pesquisa de Preços">
      <formula>NOT(ISERROR(SEARCH("Pesquisa de Preços",E166)))</formula>
    </cfRule>
  </conditionalFormatting>
  <conditionalFormatting sqref="E724">
    <cfRule type="containsText" dxfId="6007" priority="8954" operator="containsText" text="Pesquisa de Preços">
      <formula>NOT(ISERROR(SEARCH("Pesquisa de Preços",E724)))</formula>
    </cfRule>
  </conditionalFormatting>
  <conditionalFormatting sqref="E169">
    <cfRule type="containsText" dxfId="6006" priority="9103" operator="containsText" text="Pesquisa de Preços">
      <formula>NOT(ISERROR(SEARCH("Pesquisa de Preços",E169)))</formula>
    </cfRule>
  </conditionalFormatting>
  <conditionalFormatting sqref="E83">
    <cfRule type="containsText" dxfId="6005" priority="9102" operator="containsText" text="Pesquisa de Preços">
      <formula>NOT(ISERROR(SEARCH("Pesquisa de Preços",E83)))</formula>
    </cfRule>
  </conditionalFormatting>
  <conditionalFormatting sqref="E82">
    <cfRule type="containsText" dxfId="6004" priority="9101" operator="containsText" text="Pesquisa de Preços">
      <formula>NOT(ISERROR(SEARCH("Pesquisa de Preços",E82)))</formula>
    </cfRule>
  </conditionalFormatting>
  <conditionalFormatting sqref="E112">
    <cfRule type="containsText" dxfId="6003" priority="9100" operator="containsText" text="Pesquisa de Preços">
      <formula>NOT(ISERROR(SEARCH("Pesquisa de Preços",E112)))</formula>
    </cfRule>
  </conditionalFormatting>
  <conditionalFormatting sqref="E211:E212">
    <cfRule type="containsText" dxfId="6002" priority="9098" operator="containsText" text="Pesquisa de Preços">
      <formula>NOT(ISERROR(SEARCH("Pesquisa de Preços",E211)))</formula>
    </cfRule>
  </conditionalFormatting>
  <conditionalFormatting sqref="E111">
    <cfRule type="containsText" dxfId="6001" priority="9099" operator="containsText" text="Pesquisa de Preços">
      <formula>NOT(ISERROR(SEARCH("Pesquisa de Preços",E111)))</formula>
    </cfRule>
  </conditionalFormatting>
  <conditionalFormatting sqref="E201">
    <cfRule type="containsText" dxfId="6000" priority="9095" operator="containsText" text="Pesquisa de Preços">
      <formula>NOT(ISERROR(SEARCH("Pesquisa de Preços",E201)))</formula>
    </cfRule>
  </conditionalFormatting>
  <conditionalFormatting sqref="E210">
    <cfRule type="containsText" dxfId="5999" priority="9097" operator="containsText" text="Pesquisa de Preços">
      <formula>NOT(ISERROR(SEARCH("Pesquisa de Preços",E210)))</formula>
    </cfRule>
  </conditionalFormatting>
  <conditionalFormatting sqref="E202">
    <cfRule type="containsText" dxfId="5998" priority="9096" operator="containsText" text="Pesquisa de Preços">
      <formula>NOT(ISERROR(SEARCH("Pesquisa de Preços",E202)))</formula>
    </cfRule>
  </conditionalFormatting>
  <conditionalFormatting sqref="E198:E199">
    <cfRule type="containsText" dxfId="5997" priority="9093" operator="containsText" text="Pesquisa de Preços">
      <formula>NOT(ISERROR(SEARCH("Pesquisa de Preços",E198)))</formula>
    </cfRule>
  </conditionalFormatting>
  <conditionalFormatting sqref="E203:E204">
    <cfRule type="containsText" dxfId="5996" priority="9094" operator="containsText" text="Pesquisa de Preços">
      <formula>NOT(ISERROR(SEARCH("Pesquisa de Preços",E203)))</formula>
    </cfRule>
  </conditionalFormatting>
  <conditionalFormatting sqref="E197">
    <cfRule type="containsText" dxfId="5995" priority="9092" operator="containsText" text="Pesquisa de Preços">
      <formula>NOT(ISERROR(SEARCH("Pesquisa de Preços",E197)))</formula>
    </cfRule>
  </conditionalFormatting>
  <conditionalFormatting sqref="E70:E71 E75:E76">
    <cfRule type="containsText" dxfId="5994" priority="9091" operator="containsText" text="Pesquisa de Preços">
      <formula>NOT(ISERROR(SEARCH("Pesquisa de Preços",E70)))</formula>
    </cfRule>
  </conditionalFormatting>
  <conditionalFormatting sqref="E69">
    <cfRule type="containsText" dxfId="5993" priority="9090" operator="containsText" text="Pesquisa de Preços">
      <formula>NOT(ISERROR(SEARCH("Pesquisa de Preços",E69)))</formula>
    </cfRule>
  </conditionalFormatting>
  <conditionalFormatting sqref="E72:E74">
    <cfRule type="containsText" dxfId="5992" priority="9089" operator="containsText" text="Pesquisa de Preços">
      <formula>NOT(ISERROR(SEARCH("Pesquisa de Preços",E72)))</formula>
    </cfRule>
  </conditionalFormatting>
  <conditionalFormatting sqref="E136:E137">
    <cfRule type="containsText" dxfId="5991" priority="9088" operator="containsText" text="Pesquisa de Preços">
      <formula>NOT(ISERROR(SEARCH("Pesquisa de Preços",E136)))</formula>
    </cfRule>
  </conditionalFormatting>
  <conditionalFormatting sqref="E135">
    <cfRule type="containsText" dxfId="5990" priority="9087" operator="containsText" text="Pesquisa de Preços">
      <formula>NOT(ISERROR(SEARCH("Pesquisa de Preços",E135)))</formula>
    </cfRule>
  </conditionalFormatting>
  <conditionalFormatting sqref="E140:E141">
    <cfRule type="containsText" dxfId="5989" priority="9086" operator="containsText" text="Pesquisa de Preços">
      <formula>NOT(ISERROR(SEARCH("Pesquisa de Preços",E140)))</formula>
    </cfRule>
  </conditionalFormatting>
  <conditionalFormatting sqref="E139">
    <cfRule type="containsText" dxfId="5988" priority="9085" operator="containsText" text="Pesquisa de Preços">
      <formula>NOT(ISERROR(SEARCH("Pesquisa de Preços",E139)))</formula>
    </cfRule>
  </conditionalFormatting>
  <conditionalFormatting sqref="E784 E786:E795">
    <cfRule type="containsText" dxfId="5987" priority="8948" operator="containsText" text="Pesquisa de Preços">
      <formula>NOT(ISERROR(SEARCH("Pesquisa de Preços",E784)))</formula>
    </cfRule>
  </conditionalFormatting>
  <conditionalFormatting sqref="E155:E157">
    <cfRule type="containsText" dxfId="5986" priority="9084" operator="containsText" text="Pesquisa de Preços">
      <formula>NOT(ISERROR(SEARCH("Pesquisa de Preços",E155)))</formula>
    </cfRule>
  </conditionalFormatting>
  <conditionalFormatting sqref="E154">
    <cfRule type="containsText" dxfId="5985" priority="9083" operator="containsText" text="Pesquisa de Preços">
      <formula>NOT(ISERROR(SEARCH("Pesquisa de Preços",E154)))</formula>
    </cfRule>
  </conditionalFormatting>
  <conditionalFormatting sqref="E826">
    <cfRule type="containsText" dxfId="5984" priority="8946" operator="containsText" text="Pesquisa de Preços">
      <formula>NOT(ISERROR(SEARCH("Pesquisa de Preços",E826)))</formula>
    </cfRule>
  </conditionalFormatting>
  <conditionalFormatting sqref="E93">
    <cfRule type="containsText" dxfId="5983" priority="9082" operator="containsText" text="Pesquisa de Preços">
      <formula>NOT(ISERROR(SEARCH("Pesquisa de Preços",E93)))</formula>
    </cfRule>
  </conditionalFormatting>
  <conditionalFormatting sqref="E92">
    <cfRule type="containsText" dxfId="5982" priority="9081" operator="containsText" text="Pesquisa de Preços">
      <formula>NOT(ISERROR(SEARCH("Pesquisa de Preços",E92)))</formula>
    </cfRule>
  </conditionalFormatting>
  <conditionalFormatting sqref="E808:E809">
    <cfRule type="containsText" dxfId="5981" priority="8944" operator="containsText" text="Pesquisa de Preços">
      <formula>NOT(ISERROR(SEARCH("Pesquisa de Preços",E808)))</formula>
    </cfRule>
  </conditionalFormatting>
  <conditionalFormatting sqref="E48:E49">
    <cfRule type="containsText" dxfId="5980" priority="9080" operator="containsText" text="Pesquisa de Preços">
      <formula>NOT(ISERROR(SEARCH("Pesquisa de Preços",E48)))</formula>
    </cfRule>
  </conditionalFormatting>
  <conditionalFormatting sqref="E47">
    <cfRule type="containsText" dxfId="5979" priority="9079" operator="containsText" text="Pesquisa de Preços">
      <formula>NOT(ISERROR(SEARCH("Pesquisa de Preços",E47)))</formula>
    </cfRule>
  </conditionalFormatting>
  <conditionalFormatting sqref="E50">
    <cfRule type="containsText" dxfId="5978" priority="9078" operator="containsText" text="Pesquisa de Preços">
      <formula>NOT(ISERROR(SEARCH("Pesquisa de Preços",E50)))</formula>
    </cfRule>
  </conditionalFormatting>
  <conditionalFormatting sqref="E191:E192">
    <cfRule type="containsText" dxfId="5977" priority="9077" operator="containsText" text="Pesquisa de Preços">
      <formula>NOT(ISERROR(SEARCH("Pesquisa de Preços",E191)))</formula>
    </cfRule>
  </conditionalFormatting>
  <conditionalFormatting sqref="E190">
    <cfRule type="containsText" dxfId="5976" priority="9076" operator="containsText" text="Pesquisa de Preços">
      <formula>NOT(ISERROR(SEARCH("Pesquisa de Preços",E190)))</formula>
    </cfRule>
  </conditionalFormatting>
  <conditionalFormatting sqref="E742:E743 E746:E747">
    <cfRule type="containsText" dxfId="5975" priority="8942" operator="containsText" text="Pesquisa de Preços">
      <formula>NOT(ISERROR(SEARCH("Pesquisa de Preços",E742)))</formula>
    </cfRule>
  </conditionalFormatting>
  <conditionalFormatting sqref="E193">
    <cfRule type="containsText" dxfId="5974" priority="9075" operator="containsText" text="Pesquisa de Preços">
      <formula>NOT(ISERROR(SEARCH("Pesquisa de Preços",E193)))</formula>
    </cfRule>
  </conditionalFormatting>
  <conditionalFormatting sqref="E215:E216">
    <cfRule type="containsText" dxfId="5973" priority="9074" operator="containsText" text="Pesquisa de Preços">
      <formula>NOT(ISERROR(SEARCH("Pesquisa de Preços",E215)))</formula>
    </cfRule>
  </conditionalFormatting>
  <conditionalFormatting sqref="E214">
    <cfRule type="containsText" dxfId="5972" priority="9073" operator="containsText" text="Pesquisa de Preços">
      <formula>NOT(ISERROR(SEARCH("Pesquisa de Preços",E214)))</formula>
    </cfRule>
  </conditionalFormatting>
  <conditionalFormatting sqref="E217">
    <cfRule type="containsText" dxfId="5971" priority="9072" operator="containsText" text="Pesquisa de Preços">
      <formula>NOT(ISERROR(SEARCH("Pesquisa de Preços",E217)))</formula>
    </cfRule>
  </conditionalFormatting>
  <conditionalFormatting sqref="E122:E123">
    <cfRule type="containsText" dxfId="5970" priority="9071" operator="containsText" text="Pesquisa de Preços">
      <formula>NOT(ISERROR(SEARCH("Pesquisa de Preços",E122)))</formula>
    </cfRule>
  </conditionalFormatting>
  <conditionalFormatting sqref="E121">
    <cfRule type="containsText" dxfId="5969" priority="9070" operator="containsText" text="Pesquisa de Preços">
      <formula>NOT(ISERROR(SEARCH("Pesquisa de Preços",E121)))</formula>
    </cfRule>
  </conditionalFormatting>
  <conditionalFormatting sqref="E749:E750">
    <cfRule type="containsText" dxfId="5968" priority="8939" operator="containsText" text="Pesquisa de Preços">
      <formula>NOT(ISERROR(SEARCH("Pesquisa de Preços",E749)))</formula>
    </cfRule>
  </conditionalFormatting>
  <conditionalFormatting sqref="E124">
    <cfRule type="containsText" dxfId="5967" priority="9069" operator="containsText" text="Pesquisa de Preços">
      <formula>NOT(ISERROR(SEARCH("Pesquisa de Preços",E124)))</formula>
    </cfRule>
  </conditionalFormatting>
  <conditionalFormatting sqref="E107:E108">
    <cfRule type="containsText" dxfId="5966" priority="9068" operator="containsText" text="Pesquisa de Preços">
      <formula>NOT(ISERROR(SEARCH("Pesquisa de Preços",E107)))</formula>
    </cfRule>
  </conditionalFormatting>
  <conditionalFormatting sqref="E106">
    <cfRule type="containsText" dxfId="5965" priority="9067" operator="containsText" text="Pesquisa de Preços">
      <formula>NOT(ISERROR(SEARCH("Pesquisa de Preços",E106)))</formula>
    </cfRule>
  </conditionalFormatting>
  <conditionalFormatting sqref="E817 E819">
    <cfRule type="containsText" dxfId="5964" priority="8936" operator="containsText" text="Pesquisa de Preços">
      <formula>NOT(ISERROR(SEARCH("Pesquisa de Preços",E817)))</formula>
    </cfRule>
  </conditionalFormatting>
  <conditionalFormatting sqref="E109">
    <cfRule type="containsText" dxfId="5963" priority="9066" operator="containsText" text="Pesquisa de Preços">
      <formula>NOT(ISERROR(SEARCH("Pesquisa de Preços",E109)))</formula>
    </cfRule>
  </conditionalFormatting>
  <conditionalFormatting sqref="E132">
    <cfRule type="containsText" dxfId="5962" priority="9065" operator="containsText" text="Pesquisa de Preços">
      <formula>NOT(ISERROR(SEARCH("Pesquisa de Preços",E132)))</formula>
    </cfRule>
  </conditionalFormatting>
  <conditionalFormatting sqref="E131">
    <cfRule type="containsText" dxfId="5961" priority="9064" operator="containsText" text="Pesquisa de Preços">
      <formula>NOT(ISERROR(SEARCH("Pesquisa de Preços",E131)))</formula>
    </cfRule>
  </conditionalFormatting>
  <conditionalFormatting sqref="E821">
    <cfRule type="containsText" dxfId="5960" priority="8934" operator="containsText" text="Pesquisa de Preços">
      <formula>NOT(ISERROR(SEARCH("Pesquisa de Preços",E821)))</formula>
    </cfRule>
  </conditionalFormatting>
  <conditionalFormatting sqref="E65:E66">
    <cfRule type="containsText" dxfId="5959" priority="9063" operator="containsText" text="Pesquisa de Preços">
      <formula>NOT(ISERROR(SEARCH("Pesquisa de Preços",E65)))</formula>
    </cfRule>
  </conditionalFormatting>
  <conditionalFormatting sqref="E64">
    <cfRule type="containsText" dxfId="5958" priority="9062" operator="containsText" text="Pesquisa de Preços">
      <formula>NOT(ISERROR(SEARCH("Pesquisa de Preços",E64)))</formula>
    </cfRule>
  </conditionalFormatting>
  <conditionalFormatting sqref="E798">
    <cfRule type="containsText" dxfId="5957" priority="8932" operator="containsText" text="Pesquisa de Preços">
      <formula>NOT(ISERROR(SEARCH("Pesquisa de Preços",E798)))</formula>
    </cfRule>
  </conditionalFormatting>
  <conditionalFormatting sqref="E67">
    <cfRule type="containsText" dxfId="5956" priority="9061" operator="containsText" text="Pesquisa de Preços">
      <formula>NOT(ISERROR(SEARCH("Pesquisa de Preços",E67)))</formula>
    </cfRule>
  </conditionalFormatting>
  <conditionalFormatting sqref="E283">
    <cfRule type="containsText" dxfId="5955" priority="9050" operator="containsText" text="Pesquisa de Preços">
      <formula>NOT(ISERROR(SEARCH("Pesquisa de Preços",E283)))</formula>
    </cfRule>
  </conditionalFormatting>
  <conditionalFormatting sqref="E268">
    <cfRule type="containsText" dxfId="5954" priority="9047" operator="containsText" text="Pesquisa de Preços">
      <formula>NOT(ISERROR(SEARCH("Pesquisa de Preços",E268)))</formula>
    </cfRule>
  </conditionalFormatting>
  <conditionalFormatting sqref="E321">
    <cfRule type="containsText" dxfId="5953" priority="9045" operator="containsText" text="Pesquisa de Preços">
      <formula>NOT(ISERROR(SEARCH("Pesquisa de Preços",E321)))</formula>
    </cfRule>
  </conditionalFormatting>
  <conditionalFormatting sqref="E305">
    <cfRule type="containsText" dxfId="5952" priority="9042" operator="containsText" text="Pesquisa de Preços">
      <formula>NOT(ISERROR(SEARCH("Pesquisa de Preços",E305)))</formula>
    </cfRule>
  </conditionalFormatting>
  <conditionalFormatting sqref="E335:E336">
    <cfRule type="containsText" dxfId="5951" priority="9040" operator="containsText" text="Pesquisa de Preços">
      <formula>NOT(ISERROR(SEARCH("Pesquisa de Preços",E335)))</formula>
    </cfRule>
  </conditionalFormatting>
  <conditionalFormatting sqref="E290">
    <cfRule type="containsText" dxfId="5950" priority="9034" operator="containsText" text="Pesquisa de Preços">
      <formula>NOT(ISERROR(SEARCH("Pesquisa de Preços",E290)))</formula>
    </cfRule>
  </conditionalFormatting>
  <conditionalFormatting sqref="E327:E328">
    <cfRule type="containsText" dxfId="5949" priority="9032" operator="containsText" text="Pesquisa de Preços">
      <formula>NOT(ISERROR(SEARCH("Pesquisa de Preços",E327)))</formula>
    </cfRule>
  </conditionalFormatting>
  <conditionalFormatting sqref="E394">
    <cfRule type="containsText" dxfId="5948" priority="9022" operator="containsText" text="Pesquisa de Preços">
      <formula>NOT(ISERROR(SEARCH("Pesquisa de Preços",E394)))</formula>
    </cfRule>
  </conditionalFormatting>
  <conditionalFormatting sqref="E409 E414">
    <cfRule type="containsText" dxfId="5947" priority="9021" operator="containsText" text="Pesquisa de Preços">
      <formula>NOT(ISERROR(SEARCH("Pesquisa de Preços",E409)))</formula>
    </cfRule>
  </conditionalFormatting>
  <conditionalFormatting sqref="E427">
    <cfRule type="containsText" dxfId="5946" priority="9015" operator="containsText" text="Pesquisa de Preços">
      <formula>NOT(ISERROR(SEARCH("Pesquisa de Preços",E427)))</formula>
    </cfRule>
  </conditionalFormatting>
  <conditionalFormatting sqref="E247">
    <cfRule type="containsText" dxfId="5945" priority="9060" operator="containsText" text="Pesquisa de Preços">
      <formula>NOT(ISERROR(SEARCH("Pesquisa de Preços",E247)))</formula>
    </cfRule>
  </conditionalFormatting>
  <conditionalFormatting sqref="E249:E250">
    <cfRule type="containsText" dxfId="5944" priority="9059" operator="containsText" text="Pesquisa de Preços">
      <formula>NOT(ISERROR(SEARCH("Pesquisa de Preços",E249)))</formula>
    </cfRule>
  </conditionalFormatting>
  <conditionalFormatting sqref="E248">
    <cfRule type="containsText" dxfId="5943" priority="9058" operator="containsText" text="Pesquisa de Preços">
      <formula>NOT(ISERROR(SEARCH("Pesquisa de Preços",E248)))</formula>
    </cfRule>
  </conditionalFormatting>
  <conditionalFormatting sqref="E1077:E1079">
    <cfRule type="containsText" dxfId="5942" priority="8870" operator="containsText" text="Pesquisa de Preços">
      <formula>NOT(ISERROR(SEARCH("Pesquisa de Preços",E1077)))</formula>
    </cfRule>
  </conditionalFormatting>
  <conditionalFormatting sqref="E251:E261">
    <cfRule type="containsText" dxfId="5941" priority="9057" operator="containsText" text="Pesquisa de Preços">
      <formula>NOT(ISERROR(SEARCH("Pesquisa de Preços",E251)))</formula>
    </cfRule>
  </conditionalFormatting>
  <conditionalFormatting sqref="E264:E265">
    <cfRule type="containsText" dxfId="5940" priority="9056" operator="containsText" text="Pesquisa de Preços">
      <formula>NOT(ISERROR(SEARCH("Pesquisa de Preços",E264)))</formula>
    </cfRule>
  </conditionalFormatting>
  <conditionalFormatting sqref="E263">
    <cfRule type="containsText" dxfId="5939" priority="9055" operator="containsText" text="Pesquisa de Preços">
      <formula>NOT(ISERROR(SEARCH("Pesquisa de Preços",E263)))</formula>
    </cfRule>
  </conditionalFormatting>
  <conditionalFormatting sqref="E277:E278 E281:E282">
    <cfRule type="containsText" dxfId="5938" priority="9054" operator="containsText" text="Pesquisa de Preços">
      <formula>NOT(ISERROR(SEARCH("Pesquisa de Preços",E277)))</formula>
    </cfRule>
  </conditionalFormatting>
  <conditionalFormatting sqref="E276">
    <cfRule type="containsText" dxfId="5937" priority="9053" operator="containsText" text="Pesquisa de Preços">
      <formula>NOT(ISERROR(SEARCH("Pesquisa de Preços",E276)))</formula>
    </cfRule>
  </conditionalFormatting>
  <conditionalFormatting sqref="E279:E280">
    <cfRule type="containsText" dxfId="5936" priority="9052" operator="containsText" text="Pesquisa de Preços">
      <formula>NOT(ISERROR(SEARCH("Pesquisa de Preços",E279)))</formula>
    </cfRule>
  </conditionalFormatting>
  <conditionalFormatting sqref="E284:E285 E288:E289">
    <cfRule type="containsText" dxfId="5935" priority="9051" operator="containsText" text="Pesquisa de Preços">
      <formula>NOT(ISERROR(SEARCH("Pesquisa de Preços",E284)))</formula>
    </cfRule>
  </conditionalFormatting>
  <conditionalFormatting sqref="E286:E287">
    <cfRule type="containsText" dxfId="5934" priority="9049" operator="containsText" text="Pesquisa de Preços">
      <formula>NOT(ISERROR(SEARCH("Pesquisa de Preços",E286)))</formula>
    </cfRule>
  </conditionalFormatting>
  <conditionalFormatting sqref="E269:E270 E274:E275">
    <cfRule type="containsText" dxfId="5933" priority="9048" operator="containsText" text="Pesquisa de Preços">
      <formula>NOT(ISERROR(SEARCH("Pesquisa de Preços",E269)))</formula>
    </cfRule>
  </conditionalFormatting>
  <conditionalFormatting sqref="E271:E273">
    <cfRule type="containsText" dxfId="5932" priority="9046" operator="containsText" text="Pesquisa de Preços">
      <formula>NOT(ISERROR(SEARCH("Pesquisa de Preços",E271)))</formula>
    </cfRule>
  </conditionalFormatting>
  <conditionalFormatting sqref="E320">
    <cfRule type="containsText" dxfId="5931" priority="9044" operator="containsText" text="Pesquisa de Preços">
      <formula>NOT(ISERROR(SEARCH("Pesquisa de Preços",E320)))</formula>
    </cfRule>
  </conditionalFormatting>
  <conditionalFormatting sqref="E525:E526 E528:E529">
    <cfRule type="containsText" dxfId="5930" priority="8992" operator="containsText" text="Pesquisa de Preços">
      <formula>NOT(ISERROR(SEARCH("Pesquisa de Preços",E525)))</formula>
    </cfRule>
  </conditionalFormatting>
  <conditionalFormatting sqref="E306">
    <cfRule type="containsText" dxfId="5929" priority="9043" operator="containsText" text="Pesquisa de Preços">
      <formula>NOT(ISERROR(SEARCH("Pesquisa de Preços",E306)))</formula>
    </cfRule>
  </conditionalFormatting>
  <conditionalFormatting sqref="E312:E314">
    <cfRule type="containsText" dxfId="5928" priority="9041" operator="containsText" text="Pesquisa de Preços">
      <formula>NOT(ISERROR(SEARCH("Pesquisa de Preços",E312)))</formula>
    </cfRule>
  </conditionalFormatting>
  <conditionalFormatting sqref="E334">
    <cfRule type="containsText" dxfId="5927" priority="9039" operator="containsText" text="Pesquisa de Preços">
      <formula>NOT(ISERROR(SEARCH("Pesquisa de Preços",E334)))</formula>
    </cfRule>
  </conditionalFormatting>
  <conditionalFormatting sqref="E1270">
    <cfRule type="containsText" dxfId="5926" priority="8794" operator="containsText" text="Pesquisa de Preços">
      <formula>NOT(ISERROR(SEARCH("Pesquisa de Preços",E1270)))</formula>
    </cfRule>
  </conditionalFormatting>
  <conditionalFormatting sqref="E345">
    <cfRule type="containsText" dxfId="5925" priority="9038" operator="containsText" text="Pesquisa de Preços">
      <formula>NOT(ISERROR(SEARCH("Pesquisa de Preços",E345)))</formula>
    </cfRule>
  </conditionalFormatting>
  <conditionalFormatting sqref="E344">
    <cfRule type="containsText" dxfId="5924" priority="9037" operator="containsText" text="Pesquisa de Preços">
      <formula>NOT(ISERROR(SEARCH("Pesquisa de Preços",E344)))</formula>
    </cfRule>
  </conditionalFormatting>
  <conditionalFormatting sqref="E348:E351">
    <cfRule type="containsText" dxfId="5923" priority="9036" operator="containsText" text="Pesquisa de Preços">
      <formula>NOT(ISERROR(SEARCH("Pesquisa de Preços",E348)))</formula>
    </cfRule>
  </conditionalFormatting>
  <conditionalFormatting sqref="E291:E292">
    <cfRule type="containsText" dxfId="5922" priority="9035" operator="containsText" text="Pesquisa de Preços">
      <formula>NOT(ISERROR(SEARCH("Pesquisa de Preços",E291)))</formula>
    </cfRule>
  </conditionalFormatting>
  <conditionalFormatting sqref="E298:E299">
    <cfRule type="containsText" dxfId="5921" priority="9033" operator="containsText" text="Pesquisa de Preços">
      <formula>NOT(ISERROR(SEARCH("Pesquisa de Preços",E298)))</formula>
    </cfRule>
  </conditionalFormatting>
  <conditionalFormatting sqref="E326">
    <cfRule type="containsText" dxfId="5920" priority="9031" operator="containsText" text="Pesquisa de Preços">
      <formula>NOT(ISERROR(SEARCH("Pesquisa de Preços",E326)))</formula>
    </cfRule>
  </conditionalFormatting>
  <conditionalFormatting sqref="E359:E360 E362:E363">
    <cfRule type="containsText" dxfId="5919" priority="9029" operator="containsText" text="Pesquisa de Preços">
      <formula>NOT(ISERROR(SEARCH("Pesquisa de Preços",E359)))</formula>
    </cfRule>
  </conditionalFormatting>
  <conditionalFormatting sqref="E358">
    <cfRule type="containsText" dxfId="5918" priority="9028" operator="containsText" text="Pesquisa de Preços">
      <formula>NOT(ISERROR(SEARCH("Pesquisa de Preços",E358)))</formula>
    </cfRule>
  </conditionalFormatting>
  <conditionalFormatting sqref="E361">
    <cfRule type="containsText" dxfId="5917" priority="9027" operator="containsText" text="Pesquisa de Preços">
      <formula>NOT(ISERROR(SEARCH("Pesquisa de Preços",E361)))</formula>
    </cfRule>
  </conditionalFormatting>
  <conditionalFormatting sqref="E365:E366 E371:E372">
    <cfRule type="containsText" dxfId="5916" priority="9026" operator="containsText" text="Pesquisa de Preços">
      <formula>NOT(ISERROR(SEARCH("Pesquisa de Preços",E365)))</formula>
    </cfRule>
  </conditionalFormatting>
  <conditionalFormatting sqref="E364">
    <cfRule type="containsText" dxfId="5915" priority="9025" operator="containsText" text="Pesquisa de Preços">
      <formula>NOT(ISERROR(SEARCH("Pesquisa de Preços",E364)))</formula>
    </cfRule>
  </conditionalFormatting>
  <conditionalFormatting sqref="E367:E370">
    <cfRule type="containsText" dxfId="5914" priority="9024" operator="containsText" text="Pesquisa de Preços">
      <formula>NOT(ISERROR(SEARCH("Pesquisa de Preços",E367)))</formula>
    </cfRule>
  </conditionalFormatting>
  <conditionalFormatting sqref="E395">
    <cfRule type="containsText" dxfId="5913" priority="9023" operator="containsText" text="Pesquisa de Preços">
      <formula>NOT(ISERROR(SEARCH("Pesquisa de Preços",E395)))</formula>
    </cfRule>
  </conditionalFormatting>
  <conditionalFormatting sqref="E408">
    <cfRule type="containsText" dxfId="5912" priority="9020" operator="containsText" text="Pesquisa de Preços">
      <formula>NOT(ISERROR(SEARCH("Pesquisa de Preços",E408)))</formula>
    </cfRule>
  </conditionalFormatting>
  <conditionalFormatting sqref="E434:E435 E437:E438">
    <cfRule type="containsText" dxfId="5911" priority="9019" operator="containsText" text="Pesquisa de Preços">
      <formula>NOT(ISERROR(SEARCH("Pesquisa de Preços",E434)))</formula>
    </cfRule>
  </conditionalFormatting>
  <conditionalFormatting sqref="E433">
    <cfRule type="containsText" dxfId="5910" priority="9018" operator="containsText" text="Pesquisa de Preços">
      <formula>NOT(ISERROR(SEARCH("Pesquisa de Preços",E433)))</formula>
    </cfRule>
  </conditionalFormatting>
  <conditionalFormatting sqref="E436">
    <cfRule type="containsText" dxfId="5909" priority="9017" operator="containsText" text="Pesquisa de Preços">
      <formula>NOT(ISERROR(SEARCH("Pesquisa de Preços",E436)))</formula>
    </cfRule>
  </conditionalFormatting>
  <conditionalFormatting sqref="E428:E429 E431:E432">
    <cfRule type="containsText" dxfId="5908" priority="9016" operator="containsText" text="Pesquisa de Preços">
      <formula>NOT(ISERROR(SEARCH("Pesquisa de Preços",E428)))</formula>
    </cfRule>
  </conditionalFormatting>
  <conditionalFormatting sqref="E430">
    <cfRule type="containsText" dxfId="5907" priority="9014" operator="containsText" text="Pesquisa de Preços">
      <formula>NOT(ISERROR(SEARCH("Pesquisa de Preços",E430)))</formula>
    </cfRule>
  </conditionalFormatting>
  <conditionalFormatting sqref="E448:E449 E452:E456">
    <cfRule type="containsText" dxfId="5906" priority="9013" operator="containsText" text="Pesquisa de Preços">
      <formula>NOT(ISERROR(SEARCH("Pesquisa de Preços",E448)))</formula>
    </cfRule>
  </conditionalFormatting>
  <conditionalFormatting sqref="E447">
    <cfRule type="containsText" dxfId="5905" priority="9012" operator="containsText" text="Pesquisa de Preços">
      <formula>NOT(ISERROR(SEARCH("Pesquisa de Preços",E447)))</formula>
    </cfRule>
  </conditionalFormatting>
  <conditionalFormatting sqref="E451">
    <cfRule type="containsText" dxfId="5904" priority="9011" operator="containsText" text="Pesquisa de Preços">
      <formula>NOT(ISERROR(SEARCH("Pesquisa de Preços",E451)))</formula>
    </cfRule>
  </conditionalFormatting>
  <conditionalFormatting sqref="E458:E459 E462:E463">
    <cfRule type="containsText" dxfId="5903" priority="9010" operator="containsText" text="Pesquisa de Preços">
      <formula>NOT(ISERROR(SEARCH("Pesquisa de Preços",E458)))</formula>
    </cfRule>
  </conditionalFormatting>
  <conditionalFormatting sqref="E457">
    <cfRule type="containsText" dxfId="5902" priority="9009" operator="containsText" text="Pesquisa de Preços">
      <formula>NOT(ISERROR(SEARCH("Pesquisa de Preços",E457)))</formula>
    </cfRule>
  </conditionalFormatting>
  <conditionalFormatting sqref="E461">
    <cfRule type="containsText" dxfId="5901" priority="9008" operator="containsText" text="Pesquisa de Preços">
      <formula>NOT(ISERROR(SEARCH("Pesquisa de Preços",E461)))</formula>
    </cfRule>
  </conditionalFormatting>
  <conditionalFormatting sqref="E465 E475">
    <cfRule type="containsText" dxfId="5900" priority="9007" operator="containsText" text="Pesquisa de Preços">
      <formula>NOT(ISERROR(SEARCH("Pesquisa de Preços",E465)))</formula>
    </cfRule>
  </conditionalFormatting>
  <conditionalFormatting sqref="E464">
    <cfRule type="containsText" dxfId="5899" priority="9006" operator="containsText" text="Pesquisa de Preços">
      <formula>NOT(ISERROR(SEARCH("Pesquisa de Preços",E464)))</formula>
    </cfRule>
  </conditionalFormatting>
  <conditionalFormatting sqref="E440 E444 E446">
    <cfRule type="containsText" dxfId="5898" priority="9005" operator="containsText" text="Pesquisa de Preços">
      <formula>NOT(ISERROR(SEARCH("Pesquisa de Preços",E440)))</formula>
    </cfRule>
  </conditionalFormatting>
  <conditionalFormatting sqref="E439">
    <cfRule type="containsText" dxfId="5897" priority="9004" operator="containsText" text="Pesquisa de Preços">
      <formula>NOT(ISERROR(SEARCH("Pesquisa de Preços",E439)))</formula>
    </cfRule>
  </conditionalFormatting>
  <conditionalFormatting sqref="E477:E478 E480:E481">
    <cfRule type="containsText" dxfId="5896" priority="9003" operator="containsText" text="Pesquisa de Preços">
      <formula>NOT(ISERROR(SEARCH("Pesquisa de Preços",E477)))</formula>
    </cfRule>
  </conditionalFormatting>
  <conditionalFormatting sqref="E476">
    <cfRule type="containsText" dxfId="5895" priority="9002" operator="containsText" text="Pesquisa de Preços">
      <formula>NOT(ISERROR(SEARCH("Pesquisa de Preços",E476)))</formula>
    </cfRule>
  </conditionalFormatting>
  <conditionalFormatting sqref="E479">
    <cfRule type="containsText" dxfId="5894" priority="9001" operator="containsText" text="Pesquisa de Preços">
      <formula>NOT(ISERROR(SEARCH("Pesquisa de Preços",E479)))</formula>
    </cfRule>
  </conditionalFormatting>
  <conditionalFormatting sqref="E498:E499 E502:E503">
    <cfRule type="containsText" dxfId="5893" priority="9000" operator="containsText" text="Pesquisa de Preços">
      <formula>NOT(ISERROR(SEARCH("Pesquisa de Preços",E498)))</formula>
    </cfRule>
  </conditionalFormatting>
  <conditionalFormatting sqref="E497">
    <cfRule type="containsText" dxfId="5892" priority="8999" operator="containsText" text="Pesquisa de Preços">
      <formula>NOT(ISERROR(SEARCH("Pesquisa de Preços",E497)))</formula>
    </cfRule>
  </conditionalFormatting>
  <conditionalFormatting sqref="E1250">
    <cfRule type="containsText" dxfId="5891" priority="8807" operator="containsText" text="Pesquisa de Preços">
      <formula>NOT(ISERROR(SEARCH("Pesquisa de Preços",E1250)))</formula>
    </cfRule>
  </conditionalFormatting>
  <conditionalFormatting sqref="E500:E501">
    <cfRule type="containsText" dxfId="5890" priority="8998" operator="containsText" text="Pesquisa de Preços">
      <formula>NOT(ISERROR(SEARCH("Pesquisa de Preços",E500)))</formula>
    </cfRule>
  </conditionalFormatting>
  <conditionalFormatting sqref="E491 E496">
    <cfRule type="containsText" dxfId="5889" priority="8997" operator="containsText" text="Pesquisa de Preços">
      <formula>NOT(ISERROR(SEARCH("Pesquisa de Preços",E491)))</formula>
    </cfRule>
  </conditionalFormatting>
  <conditionalFormatting sqref="E490">
    <cfRule type="containsText" dxfId="5888" priority="8996" operator="containsText" text="Pesquisa de Preços">
      <formula>NOT(ISERROR(SEARCH("Pesquisa de Preços",E490)))</formula>
    </cfRule>
  </conditionalFormatting>
  <conditionalFormatting sqref="E1284">
    <cfRule type="containsText" dxfId="5887" priority="8804" operator="containsText" text="Pesquisa de Preços">
      <formula>NOT(ISERROR(SEARCH("Pesquisa de Preços",E1284)))</formula>
    </cfRule>
  </conditionalFormatting>
  <conditionalFormatting sqref="E505:E506 E508:E509">
    <cfRule type="containsText" dxfId="5886" priority="8995" operator="containsText" text="Pesquisa de Preços">
      <formula>NOT(ISERROR(SEARCH("Pesquisa de Preços",E505)))</formula>
    </cfRule>
  </conditionalFormatting>
  <conditionalFormatting sqref="E504">
    <cfRule type="containsText" dxfId="5885" priority="8994" operator="containsText" text="Pesquisa de Preços">
      <formula>NOT(ISERROR(SEARCH("Pesquisa de Preços",E504)))</formula>
    </cfRule>
  </conditionalFormatting>
  <conditionalFormatting sqref="E1292">
    <cfRule type="containsText" dxfId="5884" priority="8801" operator="containsText" text="Pesquisa de Preços">
      <formula>NOT(ISERROR(SEARCH("Pesquisa de Preços",E1292)))</formula>
    </cfRule>
  </conditionalFormatting>
  <conditionalFormatting sqref="E524">
    <cfRule type="containsText" dxfId="5883" priority="8991" operator="containsText" text="Pesquisa de Preços">
      <formula>NOT(ISERROR(SEARCH("Pesquisa de Preços",E524)))</formula>
    </cfRule>
  </conditionalFormatting>
  <conditionalFormatting sqref="E1256">
    <cfRule type="containsText" dxfId="5882" priority="8799" operator="containsText" text="Pesquisa de Preços">
      <formula>NOT(ISERROR(SEARCH("Pesquisa de Preços",E1256)))</formula>
    </cfRule>
  </conditionalFormatting>
  <conditionalFormatting sqref="E527">
    <cfRule type="containsText" dxfId="5881" priority="8990" operator="containsText" text="Pesquisa de Preços">
      <formula>NOT(ISERROR(SEARCH("Pesquisa de Preços",E527)))</formula>
    </cfRule>
  </conditionalFormatting>
  <conditionalFormatting sqref="E482">
    <cfRule type="containsText" dxfId="5880" priority="8988" operator="containsText" text="Pesquisa de Preços">
      <formula>NOT(ISERROR(SEARCH("Pesquisa de Preços",E482)))</formula>
    </cfRule>
  </conditionalFormatting>
  <conditionalFormatting sqref="E1263">
    <cfRule type="containsText" dxfId="5879" priority="8796" operator="containsText" text="Pesquisa de Preços">
      <formula>NOT(ISERROR(SEARCH("Pesquisa de Preços",E1263)))</formula>
    </cfRule>
  </conditionalFormatting>
  <conditionalFormatting sqref="E518:E523">
    <cfRule type="containsText" dxfId="5878" priority="8987" operator="containsText" text="Pesquisa de Preços">
      <formula>NOT(ISERROR(SEARCH("Pesquisa de Preços",E518)))</formula>
    </cfRule>
  </conditionalFormatting>
  <conditionalFormatting sqref="E517">
    <cfRule type="containsText" dxfId="5877" priority="8986" operator="containsText" text="Pesquisa de Preços">
      <formula>NOT(ISERROR(SEARCH("Pesquisa de Preços",E517)))</formula>
    </cfRule>
  </conditionalFormatting>
  <conditionalFormatting sqref="E511 E516">
    <cfRule type="containsText" dxfId="5876" priority="8984" operator="containsText" text="Pesquisa de Preços">
      <formula>NOT(ISERROR(SEARCH("Pesquisa de Preços",E511)))</formula>
    </cfRule>
  </conditionalFormatting>
  <conditionalFormatting sqref="E510">
    <cfRule type="containsText" dxfId="5875" priority="8983" operator="containsText" text="Pesquisa de Preços">
      <formula>NOT(ISERROR(SEARCH("Pesquisa de Preços",E510)))</formula>
    </cfRule>
  </conditionalFormatting>
  <conditionalFormatting sqref="E1277">
    <cfRule type="containsText" dxfId="5874" priority="8792" operator="containsText" text="Pesquisa de Preços">
      <formula>NOT(ISERROR(SEARCH("Pesquisa de Preços",E1277)))</formula>
    </cfRule>
  </conditionalFormatting>
  <conditionalFormatting sqref="E539:E540 E544:E545">
    <cfRule type="containsText" dxfId="5873" priority="8982" operator="containsText" text="Pesquisa de Preços">
      <formula>NOT(ISERROR(SEARCH("Pesquisa de Preços",E539)))</formula>
    </cfRule>
  </conditionalFormatting>
  <conditionalFormatting sqref="E1319">
    <cfRule type="containsText" dxfId="5872" priority="8790" operator="containsText" text="Pesquisa de Preços">
      <formula>NOT(ISERROR(SEARCH("Pesquisa de Preços",E1319)))</formula>
    </cfRule>
  </conditionalFormatting>
  <conditionalFormatting sqref="E541:E543">
    <cfRule type="containsText" dxfId="5871" priority="8980" operator="containsText" text="Pesquisa de Preços">
      <formula>NOT(ISERROR(SEARCH("Pesquisa de Preços",E541)))</formula>
    </cfRule>
  </conditionalFormatting>
  <conditionalFormatting sqref="E547:E548 E552:E553">
    <cfRule type="containsText" dxfId="5870" priority="8979" operator="containsText" text="Pesquisa de Preços">
      <formula>NOT(ISERROR(SEARCH("Pesquisa de Preços",E547)))</formula>
    </cfRule>
  </conditionalFormatting>
  <conditionalFormatting sqref="E1313">
    <cfRule type="containsText" dxfId="5869" priority="8788" operator="containsText" text="Pesquisa de Preços">
      <formula>NOT(ISERROR(SEARCH("Pesquisa de Preços",E1313)))</formula>
    </cfRule>
  </conditionalFormatting>
  <conditionalFormatting sqref="E549:E551">
    <cfRule type="containsText" dxfId="5868" priority="8977" operator="containsText" text="Pesquisa de Preços">
      <formula>NOT(ISERROR(SEARCH("Pesquisa de Preços",E549)))</formula>
    </cfRule>
  </conditionalFormatting>
  <conditionalFormatting sqref="E531:E532 E536:E537">
    <cfRule type="containsText" dxfId="5867" priority="8976" operator="containsText" text="Pesquisa de Preços">
      <formula>NOT(ISERROR(SEARCH("Pesquisa de Preços",E531)))</formula>
    </cfRule>
  </conditionalFormatting>
  <conditionalFormatting sqref="E530">
    <cfRule type="containsText" dxfId="5866" priority="8975" operator="containsText" text="Pesquisa de Preços">
      <formula>NOT(ISERROR(SEARCH("Pesquisa de Preços",E530)))</formula>
    </cfRule>
  </conditionalFormatting>
  <conditionalFormatting sqref="E1307">
    <cfRule type="containsText" dxfId="5865" priority="8786" operator="containsText" text="Pesquisa de Preços">
      <formula>NOT(ISERROR(SEARCH("Pesquisa de Preços",E1307)))</formula>
    </cfRule>
  </conditionalFormatting>
  <conditionalFormatting sqref="E533:E535">
    <cfRule type="containsText" dxfId="5864" priority="8974" operator="containsText" text="Pesquisa de Preços">
      <formula>NOT(ISERROR(SEARCH("Pesquisa de Preços",E533)))</formula>
    </cfRule>
  </conditionalFormatting>
  <conditionalFormatting sqref="E555:E556 E560:E561">
    <cfRule type="containsText" dxfId="5863" priority="8973" operator="containsText" text="Pesquisa de Preços">
      <formula>NOT(ISERROR(SEARCH("Pesquisa de Preços",E555)))</formula>
    </cfRule>
  </conditionalFormatting>
  <conditionalFormatting sqref="E554">
    <cfRule type="containsText" dxfId="5862" priority="8972" operator="containsText" text="Pesquisa de Preços">
      <formula>NOT(ISERROR(SEARCH("Pesquisa de Preços",E554)))</formula>
    </cfRule>
  </conditionalFormatting>
  <conditionalFormatting sqref="E1301">
    <cfRule type="containsText" dxfId="5861" priority="8784" operator="containsText" text="Pesquisa de Preços">
      <formula>NOT(ISERROR(SEARCH("Pesquisa de Preços",E1301)))</formula>
    </cfRule>
  </conditionalFormatting>
  <conditionalFormatting sqref="E557:E559">
    <cfRule type="containsText" dxfId="5860" priority="8971" operator="containsText" text="Pesquisa de Preços">
      <formula>NOT(ISERROR(SEARCH("Pesquisa de Preços",E557)))</formula>
    </cfRule>
  </conditionalFormatting>
  <conditionalFormatting sqref="E563:E564">
    <cfRule type="containsText" dxfId="5859" priority="8970" operator="containsText" text="Pesquisa de Preços">
      <formula>NOT(ISERROR(SEARCH("Pesquisa de Preços",E563)))</formula>
    </cfRule>
  </conditionalFormatting>
  <conditionalFormatting sqref="E1325">
    <cfRule type="containsText" dxfId="5858" priority="8782" operator="containsText" text="Pesquisa de Preços">
      <formula>NOT(ISERROR(SEARCH("Pesquisa de Preços",E1325)))</formula>
    </cfRule>
  </conditionalFormatting>
  <conditionalFormatting sqref="E573:E574 E577:E580">
    <cfRule type="containsText" dxfId="5857" priority="8968" operator="containsText" text="Pesquisa de Preços">
      <formula>NOT(ISERROR(SEARCH("Pesquisa de Preços",E573)))</formula>
    </cfRule>
  </conditionalFormatting>
  <conditionalFormatting sqref="E1338">
    <cfRule type="containsText" dxfId="5856" priority="8779" operator="containsText" text="Pesquisa de Preços">
      <formula>NOT(ISERROR(SEARCH("Pesquisa de Preços",E1338)))</formula>
    </cfRule>
  </conditionalFormatting>
  <conditionalFormatting sqref="E575:E576">
    <cfRule type="containsText" dxfId="5855" priority="8966" operator="containsText" text="Pesquisa de Preços">
      <formula>NOT(ISERROR(SEARCH("Pesquisa de Preços",E575)))</formula>
    </cfRule>
  </conditionalFormatting>
  <conditionalFormatting sqref="E615 E620:E621">
    <cfRule type="containsText" dxfId="5854" priority="8965" operator="containsText" text="Pesquisa de Preços">
      <formula>NOT(ISERROR(SEARCH("Pesquisa de Preços",E615)))</formula>
    </cfRule>
  </conditionalFormatting>
  <conditionalFormatting sqref="E614">
    <cfRule type="containsText" dxfId="5853" priority="8964" operator="containsText" text="Pesquisa de Preços">
      <formula>NOT(ISERROR(SEARCH("Pesquisa de Preços",E614)))</formula>
    </cfRule>
  </conditionalFormatting>
  <conditionalFormatting sqref="E1332">
    <cfRule type="containsText" dxfId="5852" priority="8776" operator="containsText" text="Pesquisa de Preços">
      <formula>NOT(ISERROR(SEARCH("Pesquisa de Preços",E1332)))</formula>
    </cfRule>
  </conditionalFormatting>
  <conditionalFormatting sqref="E1449">
    <cfRule type="containsText" dxfId="5851" priority="8739" operator="containsText" text="Pesquisa de Preços">
      <formula>NOT(ISERROR(SEARCH("Pesquisa de Preços",E1449)))</formula>
    </cfRule>
  </conditionalFormatting>
  <conditionalFormatting sqref="E825">
    <cfRule type="containsText" dxfId="5850" priority="8945" operator="containsText" text="Pesquisa de Preços">
      <formula>NOT(ISERROR(SEARCH("Pesquisa de Preços",E825)))</formula>
    </cfRule>
  </conditionalFormatting>
  <conditionalFormatting sqref="E1552">
    <cfRule type="containsText" dxfId="5849" priority="8735" operator="containsText" text="Pesquisa de Preços">
      <formula>NOT(ISERROR(SEARCH("Pesquisa de Preços",E1552)))</formula>
    </cfRule>
  </conditionalFormatting>
  <conditionalFormatting sqref="E741">
    <cfRule type="containsText" dxfId="5848" priority="8941" operator="containsText" text="Pesquisa de Preços">
      <formula>NOT(ISERROR(SEARCH("Pesquisa de Preços",E741)))</formula>
    </cfRule>
  </conditionalFormatting>
  <conditionalFormatting sqref="E669">
    <cfRule type="containsText" dxfId="5847" priority="8962" operator="containsText" text="Pesquisa de Preços">
      <formula>NOT(ISERROR(SEARCH("Pesquisa de Preços",E669)))</formula>
    </cfRule>
  </conditionalFormatting>
  <conditionalFormatting sqref="E661">
    <cfRule type="containsText" dxfId="5846" priority="8960" operator="containsText" text="Pesquisa de Preços">
      <formula>NOT(ISERROR(SEARCH("Pesquisa de Preços",E661)))</formula>
    </cfRule>
  </conditionalFormatting>
  <conditionalFormatting sqref="E707">
    <cfRule type="containsText" dxfId="5845" priority="8955" operator="containsText" text="Pesquisa de Preços">
      <formula>NOT(ISERROR(SEARCH("Pesquisa de Preços",E707)))</formula>
    </cfRule>
  </conditionalFormatting>
  <conditionalFormatting sqref="E679">
    <cfRule type="containsText" dxfId="5844" priority="8958" operator="containsText" text="Pesquisa de Preços">
      <formula>NOT(ISERROR(SEARCH("Pesquisa de Preços",E679)))</formula>
    </cfRule>
  </conditionalFormatting>
  <conditionalFormatting sqref="E751:E757">
    <cfRule type="containsText" dxfId="5843" priority="8937" operator="containsText" text="Pesquisa de Preços">
      <formula>NOT(ISERROR(SEARCH("Pesquisa de Preços",E751)))</formula>
    </cfRule>
  </conditionalFormatting>
  <conditionalFormatting sqref="E682:E684">
    <cfRule type="containsText" dxfId="5842" priority="8957" operator="containsText" text="Pesquisa de Preços">
      <formula>NOT(ISERROR(SEARCH("Pesquisa de Preços",E682)))</formula>
    </cfRule>
  </conditionalFormatting>
  <conditionalFormatting sqref="E717">
    <cfRule type="containsText" dxfId="5841" priority="8952" operator="containsText" text="Pesquisa de Preços">
      <formula>NOT(ISERROR(SEARCH("Pesquisa de Preços",E717)))</formula>
    </cfRule>
  </conditionalFormatting>
  <conditionalFormatting sqref="E723">
    <cfRule type="containsText" dxfId="5840" priority="8953" operator="containsText" text="Pesquisa de Preços">
      <formula>NOT(ISERROR(SEARCH("Pesquisa de Preços",E723)))</formula>
    </cfRule>
  </conditionalFormatting>
  <conditionalFormatting sqref="E820">
    <cfRule type="containsText" dxfId="5839" priority="8933" operator="containsText" text="Pesquisa de Preços">
      <formula>NOT(ISERROR(SEARCH("Pesquisa de Preços",E820)))</formula>
    </cfRule>
  </conditionalFormatting>
  <conditionalFormatting sqref="E716">
    <cfRule type="containsText" dxfId="5838" priority="8951" operator="containsText" text="Pesquisa de Preços">
      <formula>NOT(ISERROR(SEARCH("Pesquisa de Preços",E716)))</formula>
    </cfRule>
  </conditionalFormatting>
  <conditionalFormatting sqref="E760">
    <cfRule type="containsText" dxfId="5837" priority="8928" operator="containsText" text="Pesquisa de Preços">
      <formula>NOT(ISERROR(SEARCH("Pesquisa de Preços",E760)))</formula>
    </cfRule>
  </conditionalFormatting>
  <conditionalFormatting sqref="E832">
    <cfRule type="containsText" dxfId="5836" priority="8922" operator="containsText" text="Pesquisa de Preços">
      <formula>NOT(ISERROR(SEARCH("Pesquisa de Preços",E832)))</formula>
    </cfRule>
  </conditionalFormatting>
  <conditionalFormatting sqref="E738:E739">
    <cfRule type="containsText" dxfId="5835" priority="8950" operator="containsText" text="Pesquisa de Preços">
      <formula>NOT(ISERROR(SEARCH("Pesquisa de Preços",E738)))</formula>
    </cfRule>
  </conditionalFormatting>
  <conditionalFormatting sqref="E737">
    <cfRule type="containsText" dxfId="5834" priority="8949" operator="containsText" text="Pesquisa de Preços">
      <formula>NOT(ISERROR(SEARCH("Pesquisa de Preços",E737)))</formula>
    </cfRule>
  </conditionalFormatting>
  <conditionalFormatting sqref="E1404">
    <cfRule type="containsText" dxfId="5833" priority="8741" operator="containsText" text="Pesquisa de Preços">
      <formula>NOT(ISERROR(SEARCH("Pesquisa de Preços",E1404)))</formula>
    </cfRule>
  </conditionalFormatting>
  <conditionalFormatting sqref="E783">
    <cfRule type="containsText" dxfId="5832" priority="8947" operator="containsText" text="Pesquisa de Preços">
      <formula>NOT(ISERROR(SEARCH("Pesquisa de Preços",E783)))</formula>
    </cfRule>
  </conditionalFormatting>
  <conditionalFormatting sqref="E807">
    <cfRule type="containsText" dxfId="5831" priority="8943" operator="containsText" text="Pesquisa de Preços">
      <formula>NOT(ISERROR(SEARCH("Pesquisa de Preços",E807)))</formula>
    </cfRule>
  </conditionalFormatting>
  <conditionalFormatting sqref="E744:E745">
    <cfRule type="containsText" dxfId="5830" priority="8940" operator="containsText" text="Pesquisa de Preços">
      <formula>NOT(ISERROR(SEARCH("Pesquisa de Preços",E744)))</formula>
    </cfRule>
  </conditionalFormatting>
  <conditionalFormatting sqref="E748">
    <cfRule type="containsText" dxfId="5829" priority="8938" operator="containsText" text="Pesquisa de Preços">
      <formula>NOT(ISERROR(SEARCH("Pesquisa de Preços",E748)))</formula>
    </cfRule>
  </conditionalFormatting>
  <conditionalFormatting sqref="E935">
    <cfRule type="containsText" dxfId="5828" priority="8905" operator="containsText" text="Pesquisa de Preços">
      <formula>NOT(ISERROR(SEARCH("Pesquisa de Preços",E935)))</formula>
    </cfRule>
  </conditionalFormatting>
  <conditionalFormatting sqref="E816">
    <cfRule type="containsText" dxfId="5827" priority="8935" operator="containsText" text="Pesquisa de Preços">
      <formula>NOT(ISERROR(SEARCH("Pesquisa de Preços",E816)))</formula>
    </cfRule>
  </conditionalFormatting>
  <conditionalFormatting sqref="E1646">
    <cfRule type="containsText" dxfId="5826" priority="8699" operator="containsText" text="Pesquisa de Preços">
      <formula>NOT(ISERROR(SEARCH("Pesquisa de Preços",E1646)))</formula>
    </cfRule>
  </conditionalFormatting>
  <conditionalFormatting sqref="E797">
    <cfRule type="containsText" dxfId="5825" priority="8931" operator="containsText" text="Pesquisa de Preços">
      <formula>NOT(ISERROR(SEARCH("Pesquisa de Preços",E797)))</formula>
    </cfRule>
  </conditionalFormatting>
  <conditionalFormatting sqref="E968">
    <cfRule type="containsText" dxfId="5824" priority="8899" operator="containsText" text="Pesquisa de Preços">
      <formula>NOT(ISERROR(SEARCH("Pesquisa de Preços",E968)))</formula>
    </cfRule>
  </conditionalFormatting>
  <conditionalFormatting sqref="E812 E815">
    <cfRule type="containsText" dxfId="5823" priority="8930" operator="containsText" text="Pesquisa de Preços">
      <formula>NOT(ISERROR(SEARCH("Pesquisa de Preços",E812)))</formula>
    </cfRule>
  </conditionalFormatting>
  <conditionalFormatting sqref="E811">
    <cfRule type="containsText" dxfId="5822" priority="8929" operator="containsText" text="Pesquisa de Preços">
      <formula>NOT(ISERROR(SEARCH("Pesquisa de Preços",E811)))</formula>
    </cfRule>
  </conditionalFormatting>
  <conditionalFormatting sqref="E971:E975">
    <cfRule type="containsText" dxfId="5821" priority="8898" operator="containsText" text="Pesquisa de Preços">
      <formula>NOT(ISERROR(SEARCH("Pesquisa de Preços",E971)))</formula>
    </cfRule>
  </conditionalFormatting>
  <conditionalFormatting sqref="E759">
    <cfRule type="containsText" dxfId="5820" priority="8927" operator="containsText" text="Pesquisa de Preços">
      <formula>NOT(ISERROR(SEARCH("Pesquisa de Preços",E759)))</formula>
    </cfRule>
  </conditionalFormatting>
  <conditionalFormatting sqref="E996">
    <cfRule type="containsText" dxfId="5819" priority="8893" operator="containsText" text="Pesquisa de Preços">
      <formula>NOT(ISERROR(SEARCH("Pesquisa de Preços",E996)))</formula>
    </cfRule>
  </conditionalFormatting>
  <conditionalFormatting sqref="E184:E185">
    <cfRule type="containsText" dxfId="5818" priority="8926" operator="containsText" text="Pesquisa de Preços">
      <formula>NOT(ISERROR(SEARCH("Pesquisa de Preços",E184)))</formula>
    </cfRule>
  </conditionalFormatting>
  <conditionalFormatting sqref="E183">
    <cfRule type="containsText" dxfId="5817" priority="8925" operator="containsText" text="Pesquisa de Preços">
      <formula>NOT(ISERROR(SEARCH("Pesquisa de Preços",E183)))</formula>
    </cfRule>
  </conditionalFormatting>
  <conditionalFormatting sqref="E999:E1002">
    <cfRule type="containsText" dxfId="5816" priority="8892" operator="containsText" text="Pesquisa de Preços">
      <formula>NOT(ISERROR(SEARCH("Pesquisa de Preços",E999)))</formula>
    </cfRule>
  </conditionalFormatting>
  <conditionalFormatting sqref="E186:E188">
    <cfRule type="containsText" dxfId="5815" priority="8924" operator="containsText" text="Pesquisa de Preços">
      <formula>NOT(ISERROR(SEARCH("Pesquisa de Preços",E186)))</formula>
    </cfRule>
  </conditionalFormatting>
  <conditionalFormatting sqref="E833 E836:E837">
    <cfRule type="containsText" dxfId="5814" priority="8923" operator="containsText" text="Pesquisa de Preços">
      <formula>NOT(ISERROR(SEARCH("Pesquisa de Preços",E833)))</formula>
    </cfRule>
  </conditionalFormatting>
  <conditionalFormatting sqref="E1690">
    <cfRule type="containsText" dxfId="5813" priority="8691" operator="containsText" text="Pesquisa de Preços">
      <formula>NOT(ISERROR(SEARCH("Pesquisa de Preços",E1690)))</formula>
    </cfRule>
  </conditionalFormatting>
  <conditionalFormatting sqref="E835">
    <cfRule type="containsText" dxfId="5812" priority="8921" operator="containsText" text="Pesquisa de Preços">
      <formula>NOT(ISERROR(SEARCH("Pesquisa de Preços",E835)))</formula>
    </cfRule>
  </conditionalFormatting>
  <conditionalFormatting sqref="E907:E911">
    <cfRule type="containsText" dxfId="5811" priority="8920" operator="containsText" text="Pesquisa de Preços">
      <formula>NOT(ISERROR(SEARCH("Pesquisa de Preços",E907)))</formula>
    </cfRule>
  </conditionalFormatting>
  <conditionalFormatting sqref="E906">
    <cfRule type="containsText" dxfId="5810" priority="8919" operator="containsText" text="Pesquisa de Preços">
      <formula>NOT(ISERROR(SEARCH("Pesquisa de Preços",E906)))</formula>
    </cfRule>
  </conditionalFormatting>
  <conditionalFormatting sqref="E928">
    <cfRule type="containsText" dxfId="5809" priority="8918" operator="containsText" text="Pesquisa de Preços">
      <formula>NOT(ISERROR(SEARCH("Pesquisa de Preços",E928)))</formula>
    </cfRule>
  </conditionalFormatting>
  <conditionalFormatting sqref="E927">
    <cfRule type="containsText" dxfId="5808" priority="8917" operator="containsText" text="Pesquisa de Preços">
      <formula>NOT(ISERROR(SEARCH("Pesquisa de Preços",E927)))</formula>
    </cfRule>
  </conditionalFormatting>
  <conditionalFormatting sqref="E1612">
    <cfRule type="containsText" dxfId="5807" priority="8713" operator="containsText" text="Pesquisa de Preços">
      <formula>NOT(ISERROR(SEARCH("Pesquisa de Preços",E1612)))</formula>
    </cfRule>
  </conditionalFormatting>
  <conditionalFormatting sqref="E921">
    <cfRule type="containsText" dxfId="5806" priority="8916" operator="containsText" text="Pesquisa de Preços">
      <formula>NOT(ISERROR(SEARCH("Pesquisa de Preços",E921)))</formula>
    </cfRule>
  </conditionalFormatting>
  <conditionalFormatting sqref="E920">
    <cfRule type="containsText" dxfId="5805" priority="8915" operator="containsText" text="Pesquisa de Preços">
      <formula>NOT(ISERROR(SEARCH("Pesquisa de Preços",E920)))</formula>
    </cfRule>
  </conditionalFormatting>
  <conditionalFormatting sqref="E1617">
    <cfRule type="containsText" dxfId="5804" priority="8711" operator="containsText" text="Pesquisa de Preços">
      <formula>NOT(ISERROR(SEARCH("Pesquisa de Preços",E1617)))</formula>
    </cfRule>
  </conditionalFormatting>
  <conditionalFormatting sqref="E913">
    <cfRule type="containsText" dxfId="5803" priority="8913" operator="containsText" text="Pesquisa de Preços">
      <formula>NOT(ISERROR(SEARCH("Pesquisa de Preços",E913)))</formula>
    </cfRule>
  </conditionalFormatting>
  <conditionalFormatting sqref="E914 E919">
    <cfRule type="containsText" dxfId="5802" priority="8914" operator="containsText" text="Pesquisa de Preços">
      <formula>NOT(ISERROR(SEARCH("Pesquisa de Preços",E914)))</formula>
    </cfRule>
  </conditionalFormatting>
  <conditionalFormatting sqref="E1588">
    <cfRule type="containsText" dxfId="5801" priority="8707" operator="containsText" text="Pesquisa de Preços">
      <formula>NOT(ISERROR(SEARCH("Pesquisa de Preços",E1588)))</formula>
    </cfRule>
  </conditionalFormatting>
  <conditionalFormatting sqref="E957:E959">
    <cfRule type="containsText" dxfId="5800" priority="8910" operator="containsText" text="Pesquisa de Preços">
      <formula>NOT(ISERROR(SEARCH("Pesquisa de Preços",E957)))</formula>
    </cfRule>
  </conditionalFormatting>
  <conditionalFormatting sqref="E955:E956">
    <cfRule type="containsText" dxfId="5799" priority="8912" operator="containsText" text="Pesquisa de Preços">
      <formula>NOT(ISERROR(SEARCH("Pesquisa de Preços",E955)))</formula>
    </cfRule>
  </conditionalFormatting>
  <conditionalFormatting sqref="E954">
    <cfRule type="containsText" dxfId="5798" priority="8911" operator="containsText" text="Pesquisa de Preços">
      <formula>NOT(ISERROR(SEARCH("Pesquisa de Preços",E954)))</formula>
    </cfRule>
  </conditionalFormatting>
  <conditionalFormatting sqref="E948">
    <cfRule type="containsText" dxfId="5797" priority="8909" operator="containsText" text="Pesquisa de Preços">
      <formula>NOT(ISERROR(SEARCH("Pesquisa de Preços",E948)))</formula>
    </cfRule>
  </conditionalFormatting>
  <conditionalFormatting sqref="E947">
    <cfRule type="containsText" dxfId="5796" priority="8908" operator="containsText" text="Pesquisa de Preços">
      <formula>NOT(ISERROR(SEARCH("Pesquisa de Preços",E947)))</formula>
    </cfRule>
  </conditionalFormatting>
  <conditionalFormatting sqref="E942 E946">
    <cfRule type="containsText" dxfId="5795" priority="8907" operator="containsText" text="Pesquisa de Preços">
      <formula>NOT(ISERROR(SEARCH("Pesquisa de Preços",E942)))</formula>
    </cfRule>
  </conditionalFormatting>
  <conditionalFormatting sqref="E941">
    <cfRule type="containsText" dxfId="5794" priority="8906" operator="containsText" text="Pesquisa de Preços">
      <formula>NOT(ISERROR(SEARCH("Pesquisa de Preços",E941)))</formula>
    </cfRule>
  </conditionalFormatting>
  <conditionalFormatting sqref="E1043">
    <cfRule type="containsText" dxfId="5793" priority="8873" operator="containsText" text="Pesquisa de Preços">
      <formula>NOT(ISERROR(SEARCH("Pesquisa de Preços",E1043)))</formula>
    </cfRule>
  </conditionalFormatting>
  <conditionalFormatting sqref="E961">
    <cfRule type="containsText" dxfId="5792" priority="8902" operator="containsText" text="Pesquisa de Preços">
      <formula>NOT(ISERROR(SEARCH("Pesquisa de Preços",E961)))</formula>
    </cfRule>
  </conditionalFormatting>
  <conditionalFormatting sqref="E934">
    <cfRule type="containsText" dxfId="5791" priority="8904" operator="containsText" text="Pesquisa de Preços">
      <formula>NOT(ISERROR(SEARCH("Pesquisa de Preços",E934)))</formula>
    </cfRule>
  </conditionalFormatting>
  <conditionalFormatting sqref="E962:E963 E966:E967">
    <cfRule type="containsText" dxfId="5790" priority="8903" operator="containsText" text="Pesquisa de Preços">
      <formula>NOT(ISERROR(SEARCH("Pesquisa de Preços",E962)))</formula>
    </cfRule>
  </conditionalFormatting>
  <conditionalFormatting sqref="E964:E965">
    <cfRule type="containsText" dxfId="5789" priority="8901" operator="containsText" text="Pesquisa de Preços">
      <formula>NOT(ISERROR(SEARCH("Pesquisa de Preços",E964)))</formula>
    </cfRule>
  </conditionalFormatting>
  <conditionalFormatting sqref="E969:E970">
    <cfRule type="containsText" dxfId="5788" priority="8900" operator="containsText" text="Pesquisa de Preços">
      <formula>NOT(ISERROR(SEARCH("Pesquisa de Preços",E969)))</formula>
    </cfRule>
  </conditionalFormatting>
  <conditionalFormatting sqref="E1635">
    <cfRule type="containsText" dxfId="5787" priority="8697" operator="containsText" text="Pesquisa de Preços">
      <formula>NOT(ISERROR(SEARCH("Pesquisa de Preços",E1635)))</formula>
    </cfRule>
  </conditionalFormatting>
  <conditionalFormatting sqref="E978:E979">
    <cfRule type="containsText" dxfId="5786" priority="8897" operator="containsText" text="Pesquisa de Preços">
      <formula>NOT(ISERROR(SEARCH("Pesquisa de Preços",E978)))</formula>
    </cfRule>
  </conditionalFormatting>
  <conditionalFormatting sqref="E977">
    <cfRule type="containsText" dxfId="5785" priority="8896" operator="containsText" text="Pesquisa de Preços">
      <formula>NOT(ISERROR(SEARCH("Pesquisa de Preços",E977)))</formula>
    </cfRule>
  </conditionalFormatting>
  <conditionalFormatting sqref="E1710">
    <cfRule type="containsText" dxfId="5784" priority="8695" operator="containsText" text="Pesquisa de Preços">
      <formula>NOT(ISERROR(SEARCH("Pesquisa de Preços",E1710)))</formula>
    </cfRule>
  </conditionalFormatting>
  <conditionalFormatting sqref="E984 E980:E982">
    <cfRule type="containsText" dxfId="5783" priority="8895" operator="containsText" text="Pesquisa de Preços">
      <formula>NOT(ISERROR(SEARCH("Pesquisa de Preços",E980)))</formula>
    </cfRule>
  </conditionalFormatting>
  <conditionalFormatting sqref="E997:E998 E1003:E1004">
    <cfRule type="containsText" dxfId="5782" priority="8894" operator="containsText" text="Pesquisa de Preços">
      <formula>NOT(ISERROR(SEARCH("Pesquisa de Preços",E997)))</formula>
    </cfRule>
  </conditionalFormatting>
  <conditionalFormatting sqref="E1720">
    <cfRule type="containsText" dxfId="5781" priority="8693" operator="containsText" text="Pesquisa de Preços">
      <formula>NOT(ISERROR(SEARCH("Pesquisa de Preços",E1720)))</formula>
    </cfRule>
  </conditionalFormatting>
  <conditionalFormatting sqref="E987:E988">
    <cfRule type="containsText" dxfId="5780" priority="8891" operator="containsText" text="Pesquisa de Preços">
      <formula>NOT(ISERROR(SEARCH("Pesquisa de Preços",E987)))</formula>
    </cfRule>
  </conditionalFormatting>
  <conditionalFormatting sqref="E986">
    <cfRule type="containsText" dxfId="5779" priority="8890" operator="containsText" text="Pesquisa de Preços">
      <formula>NOT(ISERROR(SEARCH("Pesquisa de Preços",E986)))</formula>
    </cfRule>
  </conditionalFormatting>
  <conditionalFormatting sqref="E991">
    <cfRule type="containsText" dxfId="5778" priority="8888" operator="containsText" text="Pesquisa de Preços">
      <formula>NOT(ISERROR(SEARCH("Pesquisa de Preços",E991)))</formula>
    </cfRule>
  </conditionalFormatting>
  <conditionalFormatting sqref="E992:E993">
    <cfRule type="containsText" dxfId="5777" priority="8889" operator="containsText" text="Pesquisa de Preços">
      <formula>NOT(ISERROR(SEARCH("Pesquisa de Preços",E992)))</formula>
    </cfRule>
  </conditionalFormatting>
  <conditionalFormatting sqref="E1700">
    <cfRule type="containsText" dxfId="5776" priority="8689" operator="containsText" text="Pesquisa de Preços">
      <formula>NOT(ISERROR(SEARCH("Pesquisa de Preços",E1700)))</formula>
    </cfRule>
  </conditionalFormatting>
  <conditionalFormatting sqref="E1010">
    <cfRule type="containsText" dxfId="5775" priority="8886" operator="containsText" text="Pesquisa de Preços">
      <formula>NOT(ISERROR(SEARCH("Pesquisa de Preços",E1010)))</formula>
    </cfRule>
  </conditionalFormatting>
  <conditionalFormatting sqref="E1011:E1012 E1019">
    <cfRule type="containsText" dxfId="5774" priority="8887" operator="containsText" text="Pesquisa de Preços">
      <formula>NOT(ISERROR(SEARCH("Pesquisa de Preços",E1011)))</formula>
    </cfRule>
  </conditionalFormatting>
  <conditionalFormatting sqref="E1676">
    <cfRule type="containsText" dxfId="5773" priority="8687" operator="containsText" text="Pesquisa de Preços">
      <formula>NOT(ISERROR(SEARCH("Pesquisa de Preços",E1676)))</formula>
    </cfRule>
  </conditionalFormatting>
  <conditionalFormatting sqref="E1014:E1017">
    <cfRule type="containsText" dxfId="5772" priority="8885" operator="containsText" text="Pesquisa de Preços">
      <formula>NOT(ISERROR(SEARCH("Pesquisa de Preços",E1014)))</formula>
    </cfRule>
  </conditionalFormatting>
  <conditionalFormatting sqref="E1021:E1022 E1028">
    <cfRule type="containsText" dxfId="5771" priority="8884" operator="containsText" text="Pesquisa de Preços">
      <formula>NOT(ISERROR(SEARCH("Pesquisa de Preços",E1021)))</formula>
    </cfRule>
  </conditionalFormatting>
  <conditionalFormatting sqref="E1020">
    <cfRule type="containsText" dxfId="5770" priority="8883" operator="containsText" text="Pesquisa de Preços">
      <formula>NOT(ISERROR(SEARCH("Pesquisa de Preços",E1020)))</formula>
    </cfRule>
  </conditionalFormatting>
  <conditionalFormatting sqref="E1682">
    <cfRule type="containsText" dxfId="5769" priority="8685" operator="containsText" text="Pesquisa de Preços">
      <formula>NOT(ISERROR(SEARCH("Pesquisa de Preços",E1682)))</formula>
    </cfRule>
  </conditionalFormatting>
  <conditionalFormatting sqref="E1006:E1007">
    <cfRule type="containsText" dxfId="5768" priority="8882" operator="containsText" text="Pesquisa de Preços">
      <formula>NOT(ISERROR(SEARCH("Pesquisa de Preços",E1006)))</formula>
    </cfRule>
  </conditionalFormatting>
  <conditionalFormatting sqref="E1005">
    <cfRule type="containsText" dxfId="5767" priority="8881" operator="containsText" text="Pesquisa de Preços">
      <formula>NOT(ISERROR(SEARCH("Pesquisa de Preços",E1005)))</formula>
    </cfRule>
  </conditionalFormatting>
  <conditionalFormatting sqref="E1008">
    <cfRule type="containsText" dxfId="5766" priority="8880" operator="containsText" text="Pesquisa de Preços">
      <formula>NOT(ISERROR(SEARCH("Pesquisa de Preços",E1008)))</formula>
    </cfRule>
  </conditionalFormatting>
  <conditionalFormatting sqref="E1083:E1084">
    <cfRule type="containsText" dxfId="5765" priority="8879" operator="containsText" text="Pesquisa de Preços">
      <formula>NOT(ISERROR(SEARCH("Pesquisa de Preços",E1083)))</formula>
    </cfRule>
  </conditionalFormatting>
  <conditionalFormatting sqref="E1082">
    <cfRule type="containsText" dxfId="5764" priority="8878" operator="containsText" text="Pesquisa de Preços">
      <formula>NOT(ISERROR(SEARCH("Pesquisa de Preços",E1082)))</formula>
    </cfRule>
  </conditionalFormatting>
  <conditionalFormatting sqref="E1030:E1031 E1034:E1035">
    <cfRule type="containsText" dxfId="5763" priority="8877" operator="containsText" text="Pesquisa de Preços">
      <formula>NOT(ISERROR(SEARCH("Pesquisa de Preços",E1030)))</formula>
    </cfRule>
  </conditionalFormatting>
  <conditionalFormatting sqref="E1029">
    <cfRule type="containsText" dxfId="5762" priority="8876" operator="containsText" text="Pesquisa de Preços">
      <formula>NOT(ISERROR(SEARCH("Pesquisa de Preços",E1029)))</formula>
    </cfRule>
  </conditionalFormatting>
  <conditionalFormatting sqref="E1032:E1033">
    <cfRule type="containsText" dxfId="5761" priority="8875" operator="containsText" text="Pesquisa de Preços">
      <formula>NOT(ISERROR(SEARCH("Pesquisa de Preços",E1032)))</formula>
    </cfRule>
  </conditionalFormatting>
  <conditionalFormatting sqref="E1044:E1045 E1049">
    <cfRule type="containsText" dxfId="5760" priority="8874" operator="containsText" text="Pesquisa de Preços">
      <formula>NOT(ISERROR(SEARCH("Pesquisa de Preços",E1044)))</formula>
    </cfRule>
  </conditionalFormatting>
  <conditionalFormatting sqref="E1075:E1076 E1081">
    <cfRule type="containsText" dxfId="5759" priority="8872" operator="containsText" text="Pesquisa de Preços">
      <formula>NOT(ISERROR(SEARCH("Pesquisa de Preços",E1075)))</formula>
    </cfRule>
  </conditionalFormatting>
  <conditionalFormatting sqref="E1074">
    <cfRule type="containsText" dxfId="5758" priority="8871" operator="containsText" text="Pesquisa de Preços">
      <formula>NOT(ISERROR(SEARCH("Pesquisa de Preços",E1074)))</formula>
    </cfRule>
  </conditionalFormatting>
  <conditionalFormatting sqref="E1037:E1038">
    <cfRule type="containsText" dxfId="5757" priority="8869" operator="containsText" text="Pesquisa de Preços">
      <formula>NOT(ISERROR(SEARCH("Pesquisa de Preços",E1037)))</formula>
    </cfRule>
  </conditionalFormatting>
  <conditionalFormatting sqref="E1036">
    <cfRule type="containsText" dxfId="5756" priority="8868" operator="containsText" text="Pesquisa de Preços">
      <formula>NOT(ISERROR(SEARCH("Pesquisa de Preços",E1036)))</formula>
    </cfRule>
  </conditionalFormatting>
  <conditionalFormatting sqref="E1039:E1041">
    <cfRule type="containsText" dxfId="5755" priority="8867" operator="containsText" text="Pesquisa de Preços">
      <formula>NOT(ISERROR(SEARCH("Pesquisa de Preços",E1039)))</formula>
    </cfRule>
  </conditionalFormatting>
  <conditionalFormatting sqref="E1051">
    <cfRule type="containsText" dxfId="5754" priority="8866" operator="containsText" text="Pesquisa de Preços">
      <formula>NOT(ISERROR(SEARCH("Pesquisa de Preços",E1051)))</formula>
    </cfRule>
  </conditionalFormatting>
  <conditionalFormatting sqref="E1050">
    <cfRule type="containsText" dxfId="5753" priority="8865" operator="containsText" text="Pesquisa de Preços">
      <formula>NOT(ISERROR(SEARCH("Pesquisa de Preços",E1050)))</formula>
    </cfRule>
  </conditionalFormatting>
  <conditionalFormatting sqref="E1067 E1073">
    <cfRule type="containsText" dxfId="5752" priority="8864" operator="containsText" text="Pesquisa de Preços">
      <formula>NOT(ISERROR(SEARCH("Pesquisa de Preços",E1067)))</formula>
    </cfRule>
  </conditionalFormatting>
  <conditionalFormatting sqref="E1066">
    <cfRule type="containsText" dxfId="5751" priority="8863" operator="containsText" text="Pesquisa de Preços">
      <formula>NOT(ISERROR(SEARCH("Pesquisa de Preços",E1066)))</formula>
    </cfRule>
  </conditionalFormatting>
  <conditionalFormatting sqref="E1058 E1065">
    <cfRule type="containsText" dxfId="5750" priority="8862" operator="containsText" text="Pesquisa de Preços">
      <formula>NOT(ISERROR(SEARCH("Pesquisa de Preços",E1058)))</formula>
    </cfRule>
  </conditionalFormatting>
  <conditionalFormatting sqref="E1057">
    <cfRule type="containsText" dxfId="5749" priority="8861" operator="containsText" text="Pesquisa de Preços">
      <formula>NOT(ISERROR(SEARCH("Pesquisa de Preços",E1057)))</formula>
    </cfRule>
  </conditionalFormatting>
  <conditionalFormatting sqref="E1106:E1107">
    <cfRule type="containsText" dxfId="5748" priority="8860" operator="containsText" text="Pesquisa de Preços">
      <formula>NOT(ISERROR(SEARCH("Pesquisa de Preços",E1106)))</formula>
    </cfRule>
  </conditionalFormatting>
  <conditionalFormatting sqref="E1105">
    <cfRule type="containsText" dxfId="5747" priority="8859" operator="containsText" text="Pesquisa de Preços">
      <formula>NOT(ISERROR(SEARCH("Pesquisa de Preços",E1105)))</formula>
    </cfRule>
  </conditionalFormatting>
  <conditionalFormatting sqref="E1108">
    <cfRule type="containsText" dxfId="5746" priority="8858" operator="containsText" text="Pesquisa de Preços">
      <formula>NOT(ISERROR(SEARCH("Pesquisa de Preços",E1108)))</formula>
    </cfRule>
  </conditionalFormatting>
  <conditionalFormatting sqref="E1101:E1102">
    <cfRule type="containsText" dxfId="5745" priority="8857" operator="containsText" text="Pesquisa de Preços">
      <formula>NOT(ISERROR(SEARCH("Pesquisa de Preços",E1101)))</formula>
    </cfRule>
  </conditionalFormatting>
  <conditionalFormatting sqref="E1100">
    <cfRule type="containsText" dxfId="5744" priority="8856" operator="containsText" text="Pesquisa de Preços">
      <formula>NOT(ISERROR(SEARCH("Pesquisa de Preços",E1100)))</formula>
    </cfRule>
  </conditionalFormatting>
  <conditionalFormatting sqref="E1815">
    <cfRule type="containsText" dxfId="5743" priority="8674" operator="containsText" text="Pesquisa de Preços">
      <formula>NOT(ISERROR(SEARCH("Pesquisa de Preços",E1815)))</formula>
    </cfRule>
  </conditionalFormatting>
  <conditionalFormatting sqref="E1228">
    <cfRule type="containsText" dxfId="5742" priority="8855" operator="containsText" text="Pesquisa de Preços">
      <formula>NOT(ISERROR(SEARCH("Pesquisa de Preços",E1228)))</formula>
    </cfRule>
  </conditionalFormatting>
  <conditionalFormatting sqref="E1211">
    <cfRule type="containsText" dxfId="5741" priority="8850" operator="containsText" text="Pesquisa de Preços">
      <formula>NOT(ISERROR(SEARCH("Pesquisa de Preços",E1211)))</formula>
    </cfRule>
  </conditionalFormatting>
  <conditionalFormatting sqref="E1821">
    <cfRule type="containsText" dxfId="5740" priority="8671" operator="containsText" text="Pesquisa de Preços">
      <formula>NOT(ISERROR(SEARCH("Pesquisa de Preços",E1821)))</formula>
    </cfRule>
  </conditionalFormatting>
  <conditionalFormatting sqref="E1222">
    <cfRule type="containsText" dxfId="5739" priority="8853" operator="containsText" text="Pesquisa de Preços">
      <formula>NOT(ISERROR(SEARCH("Pesquisa de Preços",E1222)))</formula>
    </cfRule>
  </conditionalFormatting>
  <conditionalFormatting sqref="E1121">
    <cfRule type="containsText" dxfId="5738" priority="8846" operator="containsText" text="Pesquisa de Preços">
      <formula>NOT(ISERROR(SEARCH("Pesquisa de Preços",E1121)))</formula>
    </cfRule>
  </conditionalFormatting>
  <conditionalFormatting sqref="E1808">
    <cfRule type="containsText" dxfId="5737" priority="8668" operator="containsText" text="Pesquisa de Preços">
      <formula>NOT(ISERROR(SEARCH("Pesquisa de Preços",E1808)))</formula>
    </cfRule>
  </conditionalFormatting>
  <conditionalFormatting sqref="E1212:E1213 E1216">
    <cfRule type="containsText" dxfId="5736" priority="8851" operator="containsText" text="Pesquisa de Preços">
      <formula>NOT(ISERROR(SEARCH("Pesquisa de Preços",E1212)))</formula>
    </cfRule>
  </conditionalFormatting>
  <conditionalFormatting sqref="E1827">
    <cfRule type="containsText" dxfId="5735" priority="8666" operator="containsText" text="Pesquisa de Preços">
      <formula>NOT(ISERROR(SEARCH("Pesquisa de Preços",E1827)))</formula>
    </cfRule>
  </conditionalFormatting>
  <conditionalFormatting sqref="E1206:E1207 E1210">
    <cfRule type="containsText" dxfId="5734" priority="8849" operator="containsText" text="Pesquisa de Preços">
      <formula>NOT(ISERROR(SEARCH("Pesquisa de Preços",E1206)))</formula>
    </cfRule>
  </conditionalFormatting>
  <conditionalFormatting sqref="E1205">
    <cfRule type="containsText" dxfId="5733" priority="8848" operator="containsText" text="Pesquisa de Preços">
      <formula>NOT(ISERROR(SEARCH("Pesquisa de Preços",E1205)))</formula>
    </cfRule>
  </conditionalFormatting>
  <conditionalFormatting sqref="E1122:E1123 E1126:E1127">
    <cfRule type="containsText" dxfId="5732" priority="8847" operator="containsText" text="Pesquisa de Preços">
      <formula>NOT(ISERROR(SEARCH("Pesquisa de Preços",E1122)))</formula>
    </cfRule>
  </conditionalFormatting>
  <conditionalFormatting sqref="E1124:E1125">
    <cfRule type="containsText" dxfId="5731" priority="8845" operator="containsText" text="Pesquisa de Preços">
      <formula>NOT(ISERROR(SEARCH("Pesquisa de Preços",E1124)))</formula>
    </cfRule>
  </conditionalFormatting>
  <conditionalFormatting sqref="E1111:E1112 E1114:E1115">
    <cfRule type="containsText" dxfId="5730" priority="8844" operator="containsText" text="Pesquisa de Preços">
      <formula>NOT(ISERROR(SEARCH("Pesquisa de Preços",E1111)))</formula>
    </cfRule>
  </conditionalFormatting>
  <conditionalFormatting sqref="E1110">
    <cfRule type="containsText" dxfId="5729" priority="8843" operator="containsText" text="Pesquisa de Preços">
      <formula>NOT(ISERROR(SEARCH("Pesquisa de Preços",E1110)))</formula>
    </cfRule>
  </conditionalFormatting>
  <conditionalFormatting sqref="E1113">
    <cfRule type="containsText" dxfId="5728" priority="8842" operator="containsText" text="Pesquisa de Preços">
      <formula>NOT(ISERROR(SEARCH("Pesquisa de Preços",E1113)))</formula>
    </cfRule>
  </conditionalFormatting>
  <conditionalFormatting sqref="E1244 E1249">
    <cfRule type="containsText" dxfId="5727" priority="8841" operator="containsText" text="Pesquisa de Preços">
      <formula>NOT(ISERROR(SEARCH("Pesquisa de Preços",E1244)))</formula>
    </cfRule>
  </conditionalFormatting>
  <conditionalFormatting sqref="E1243">
    <cfRule type="containsText" dxfId="5726" priority="8840" operator="containsText" text="Pesquisa de Preços">
      <formula>NOT(ISERROR(SEARCH("Pesquisa de Preços",E1243)))</formula>
    </cfRule>
  </conditionalFormatting>
  <conditionalFormatting sqref="E1232:E1233">
    <cfRule type="containsText" dxfId="5725" priority="8837" operator="containsText" text="Pesquisa de Preços">
      <formula>NOT(ISERROR(SEARCH("Pesquisa de Preços",E1232)))</formula>
    </cfRule>
  </conditionalFormatting>
  <conditionalFormatting sqref="E1230:E1231 E1234:E1235">
    <cfRule type="containsText" dxfId="5724" priority="8839" operator="containsText" text="Pesquisa de Preços">
      <formula>NOT(ISERROR(SEARCH("Pesquisa de Preços",E1230)))</formula>
    </cfRule>
  </conditionalFormatting>
  <conditionalFormatting sqref="E1229">
    <cfRule type="containsText" dxfId="5723" priority="8838" operator="containsText" text="Pesquisa de Preços">
      <formula>NOT(ISERROR(SEARCH("Pesquisa de Preços",E1229)))</formula>
    </cfRule>
  </conditionalFormatting>
  <conditionalFormatting sqref="E1136:E1137 E1140:E1141">
    <cfRule type="containsText" dxfId="5722" priority="8836" operator="containsText" text="Pesquisa de Preços">
      <formula>NOT(ISERROR(SEARCH("Pesquisa de Preços",E1136)))</formula>
    </cfRule>
  </conditionalFormatting>
  <conditionalFormatting sqref="E1135">
    <cfRule type="containsText" dxfId="5721" priority="8835" operator="containsText" text="Pesquisa de Preços">
      <formula>NOT(ISERROR(SEARCH("Pesquisa de Preços",E1135)))</formula>
    </cfRule>
  </conditionalFormatting>
  <conditionalFormatting sqref="E1138:E1139">
    <cfRule type="containsText" dxfId="5720" priority="8834" operator="containsText" text="Pesquisa de Preços">
      <formula>NOT(ISERROR(SEARCH("Pesquisa de Preços",E1138)))</formula>
    </cfRule>
  </conditionalFormatting>
  <conditionalFormatting sqref="E1171:E1172 E1176">
    <cfRule type="containsText" dxfId="5719" priority="8833" operator="containsText" text="Pesquisa de Preços">
      <formula>NOT(ISERROR(SEARCH("Pesquisa de Preços",E1171)))</formula>
    </cfRule>
  </conditionalFormatting>
  <conditionalFormatting sqref="E1170">
    <cfRule type="containsText" dxfId="5718" priority="8832" operator="containsText" text="Pesquisa de Preços">
      <formula>NOT(ISERROR(SEARCH("Pesquisa de Preços",E1170)))</formula>
    </cfRule>
  </conditionalFormatting>
  <conditionalFormatting sqref="E1178:E1179 E1183">
    <cfRule type="containsText" dxfId="5717" priority="8830" operator="containsText" text="Pesquisa de Preços">
      <formula>NOT(ISERROR(SEARCH("Pesquisa de Preços",E1178)))</formula>
    </cfRule>
  </conditionalFormatting>
  <conditionalFormatting sqref="E1177">
    <cfRule type="containsText" dxfId="5716" priority="8829" operator="containsText" text="Pesquisa de Preços">
      <formula>NOT(ISERROR(SEARCH("Pesquisa de Preços",E1177)))</formula>
    </cfRule>
  </conditionalFormatting>
  <conditionalFormatting sqref="E1875">
    <cfRule type="containsText" dxfId="5715" priority="8656" operator="containsText" text="Pesquisa de Preços">
      <formula>NOT(ISERROR(SEARCH("Pesquisa de Preços",E1875)))</formula>
    </cfRule>
  </conditionalFormatting>
  <conditionalFormatting sqref="E1185:E1186 E1190">
    <cfRule type="containsText" dxfId="5714" priority="8827" operator="containsText" text="Pesquisa de Preços">
      <formula>NOT(ISERROR(SEARCH("Pesquisa de Preços",E1185)))</formula>
    </cfRule>
  </conditionalFormatting>
  <conditionalFormatting sqref="E1184">
    <cfRule type="containsText" dxfId="5713" priority="8826" operator="containsText" text="Pesquisa de Preços">
      <formula>NOT(ISERROR(SEARCH("Pesquisa de Preços",E1184)))</formula>
    </cfRule>
  </conditionalFormatting>
  <conditionalFormatting sqref="E1881">
    <cfRule type="containsText" dxfId="5712" priority="8653" operator="containsText" text="Pesquisa de Preços">
      <formula>NOT(ISERROR(SEARCH("Pesquisa de Preços",E1881)))</formula>
    </cfRule>
  </conditionalFormatting>
  <conditionalFormatting sqref="E1164:E1165 E1168:E1169">
    <cfRule type="containsText" dxfId="5711" priority="8824" operator="containsText" text="Pesquisa de Preços">
      <formula>NOT(ISERROR(SEARCH("Pesquisa de Preços",E1164)))</formula>
    </cfRule>
  </conditionalFormatting>
  <conditionalFormatting sqref="E1163">
    <cfRule type="containsText" dxfId="5710" priority="8823" operator="containsText" text="Pesquisa de Preços">
      <formula>NOT(ISERROR(SEARCH("Pesquisa de Preços",E1163)))</formula>
    </cfRule>
  </conditionalFormatting>
  <conditionalFormatting sqref="E1166:E1167">
    <cfRule type="containsText" dxfId="5709" priority="8822" operator="containsText" text="Pesquisa de Preços">
      <formula>NOT(ISERROR(SEARCH("Pesquisa de Preços",E1166)))</formula>
    </cfRule>
  </conditionalFormatting>
  <conditionalFormatting sqref="E1129:E1130 E1133:E1134">
    <cfRule type="containsText" dxfId="5708" priority="8821" operator="containsText" text="Pesquisa de Preços">
      <formula>NOT(ISERROR(SEARCH("Pesquisa de Preços",E1129)))</formula>
    </cfRule>
  </conditionalFormatting>
  <conditionalFormatting sqref="E1128">
    <cfRule type="containsText" dxfId="5707" priority="8820" operator="containsText" text="Pesquisa de Preços">
      <formula>NOT(ISERROR(SEARCH("Pesquisa de Preços",E1128)))</formula>
    </cfRule>
  </conditionalFormatting>
  <conditionalFormatting sqref="E1897">
    <cfRule type="containsText" dxfId="5706" priority="8650" operator="containsText" text="Pesquisa de Preços">
      <formula>NOT(ISERROR(SEARCH("Pesquisa de Preços",E1897)))</formula>
    </cfRule>
  </conditionalFormatting>
  <conditionalFormatting sqref="E1131:E1132">
    <cfRule type="containsText" dxfId="5705" priority="8819" operator="containsText" text="Pesquisa de Preços">
      <formula>NOT(ISERROR(SEARCH("Pesquisa de Preços",E1131)))</formula>
    </cfRule>
  </conditionalFormatting>
  <conditionalFormatting sqref="E1150:E1151 E1154:E1155">
    <cfRule type="containsText" dxfId="5704" priority="8818" operator="containsText" text="Pesquisa de Preços">
      <formula>NOT(ISERROR(SEARCH("Pesquisa de Preços",E1150)))</formula>
    </cfRule>
  </conditionalFormatting>
  <conditionalFormatting sqref="E1149">
    <cfRule type="containsText" dxfId="5703" priority="8817" operator="containsText" text="Pesquisa de Preços">
      <formula>NOT(ISERROR(SEARCH("Pesquisa de Preços",E1149)))</formula>
    </cfRule>
  </conditionalFormatting>
  <conditionalFormatting sqref="E1892">
    <cfRule type="containsText" dxfId="5702" priority="8648" operator="containsText" text="Pesquisa de Preços">
      <formula>NOT(ISERROR(SEARCH("Pesquisa de Preços",E1892)))</formula>
    </cfRule>
  </conditionalFormatting>
  <conditionalFormatting sqref="E1152:E1153">
    <cfRule type="containsText" dxfId="5701" priority="8816" operator="containsText" text="Pesquisa de Preços">
      <formula>NOT(ISERROR(SEARCH("Pesquisa de Preços",E1152)))</formula>
    </cfRule>
  </conditionalFormatting>
  <conditionalFormatting sqref="E1157 E1162">
    <cfRule type="containsText" dxfId="5700" priority="8815" operator="containsText" text="Pesquisa de Preços">
      <formula>NOT(ISERROR(SEARCH("Pesquisa de Preços",E1157)))</formula>
    </cfRule>
  </conditionalFormatting>
  <conditionalFormatting sqref="E1156">
    <cfRule type="containsText" dxfId="5699" priority="8814" operator="containsText" text="Pesquisa de Preços">
      <formula>NOT(ISERROR(SEARCH("Pesquisa de Preços",E1156)))</formula>
    </cfRule>
  </conditionalFormatting>
  <conditionalFormatting sqref="E1902">
    <cfRule type="containsText" dxfId="5698" priority="8646" operator="containsText" text="Pesquisa de Preços">
      <formula>NOT(ISERROR(SEARCH("Pesquisa de Preços",E1902)))</formula>
    </cfRule>
  </conditionalFormatting>
  <conditionalFormatting sqref="E1191">
    <cfRule type="containsText" dxfId="5697" priority="8812" operator="containsText" text="Pesquisa de Preços">
      <formula>NOT(ISERROR(SEARCH("Pesquisa de Preços",E1191)))</formula>
    </cfRule>
  </conditionalFormatting>
  <conditionalFormatting sqref="E1192:E1193 E1197">
    <cfRule type="containsText" dxfId="5696" priority="8813" operator="containsText" text="Pesquisa de Preços">
      <formula>NOT(ISERROR(SEARCH("Pesquisa de Preços",E1192)))</formula>
    </cfRule>
  </conditionalFormatting>
  <conditionalFormatting sqref="E1925">
    <cfRule type="containsText" dxfId="5695" priority="8644" operator="containsText" text="Pesquisa de Preços">
      <formula>NOT(ISERROR(SEARCH("Pesquisa de Preços",E1925)))</formula>
    </cfRule>
  </conditionalFormatting>
  <conditionalFormatting sqref="E1194:E1195">
    <cfRule type="containsText" dxfId="5694" priority="8811" operator="containsText" text="Pesquisa de Preços">
      <formula>NOT(ISERROR(SEARCH("Pesquisa de Preços",E1194)))</formula>
    </cfRule>
  </conditionalFormatting>
  <conditionalFormatting sqref="E1117">
    <cfRule type="containsText" dxfId="5693" priority="8810" operator="containsText" text="Pesquisa de Preços">
      <formula>NOT(ISERROR(SEARCH("Pesquisa de Preços",E1117)))</formula>
    </cfRule>
  </conditionalFormatting>
  <conditionalFormatting sqref="E1116">
    <cfRule type="containsText" dxfId="5692" priority="8809" operator="containsText" text="Pesquisa de Preços">
      <formula>NOT(ISERROR(SEARCH("Pesquisa de Preços",E1116)))</formula>
    </cfRule>
  </conditionalFormatting>
  <conditionalFormatting sqref="E1251:E1252 E1254:E1255">
    <cfRule type="containsText" dxfId="5691" priority="8808" operator="containsText" text="Pesquisa de Preços">
      <formula>NOT(ISERROR(SEARCH("Pesquisa de Preços",E1251)))</formula>
    </cfRule>
  </conditionalFormatting>
  <conditionalFormatting sqref="E1253">
    <cfRule type="containsText" dxfId="5690" priority="8806" operator="containsText" text="Pesquisa de Preços">
      <formula>NOT(ISERROR(SEARCH("Pesquisa de Preços",E1253)))</formula>
    </cfRule>
  </conditionalFormatting>
  <conditionalFormatting sqref="E1285:E1286 E1290:E1291">
    <cfRule type="containsText" dxfId="5689" priority="8805" operator="containsText" text="Pesquisa de Preços">
      <formula>NOT(ISERROR(SEARCH("Pesquisa de Preços",E1285)))</formula>
    </cfRule>
  </conditionalFormatting>
  <conditionalFormatting sqref="E1287:E1289">
    <cfRule type="containsText" dxfId="5688" priority="8803" operator="containsText" text="Pesquisa de Preços">
      <formula>NOT(ISERROR(SEARCH("Pesquisa de Preços",E1287)))</formula>
    </cfRule>
  </conditionalFormatting>
  <conditionalFormatting sqref="E1293 E1299:E1300">
    <cfRule type="containsText" dxfId="5687" priority="8802" operator="containsText" text="Pesquisa de Preços">
      <formula>NOT(ISERROR(SEARCH("Pesquisa de Preços",E1293)))</formula>
    </cfRule>
  </conditionalFormatting>
  <conditionalFormatting sqref="E1383:E1384 E1387:E1388">
    <cfRule type="containsText" dxfId="5686" priority="8773" operator="containsText" text="Pesquisa de Preços">
      <formula>NOT(ISERROR(SEARCH("Pesquisa de Preços",E1383)))</formula>
    </cfRule>
  </conditionalFormatting>
  <conditionalFormatting sqref="E1257:E1258">
    <cfRule type="containsText" dxfId="5685" priority="8800" operator="containsText" text="Pesquisa de Preços">
      <formula>NOT(ISERROR(SEARCH("Pesquisa de Preços",E1257)))</formula>
    </cfRule>
  </conditionalFormatting>
  <conditionalFormatting sqref="E1259:E1261">
    <cfRule type="containsText" dxfId="5684" priority="8798" operator="containsText" text="Pesquisa de Preços">
      <formula>NOT(ISERROR(SEARCH("Pesquisa de Preços",E1259)))</formula>
    </cfRule>
  </conditionalFormatting>
  <conditionalFormatting sqref="E1264:E1265 E1269">
    <cfRule type="containsText" dxfId="5683" priority="8797" operator="containsText" text="Pesquisa de Preços">
      <formula>NOT(ISERROR(SEARCH("Pesquisa de Preços",E1264)))</formula>
    </cfRule>
  </conditionalFormatting>
  <conditionalFormatting sqref="E1951">
    <cfRule type="containsText" dxfId="5682" priority="8637" operator="containsText" text="Pesquisa de Preços">
      <formula>NOT(ISERROR(SEARCH("Pesquisa de Preços",E1951)))</formula>
    </cfRule>
  </conditionalFormatting>
  <conditionalFormatting sqref="E1271:E1272 E1276">
    <cfRule type="containsText" dxfId="5681" priority="8795" operator="containsText" text="Pesquisa de Preços">
      <formula>NOT(ISERROR(SEARCH("Pesquisa de Preços",E1271)))</formula>
    </cfRule>
  </conditionalFormatting>
  <conditionalFormatting sqref="E1944">
    <cfRule type="containsText" dxfId="5680" priority="8635" operator="containsText" text="Pesquisa de Preços">
      <formula>NOT(ISERROR(SEARCH("Pesquisa de Preços",E1944)))</formula>
    </cfRule>
  </conditionalFormatting>
  <conditionalFormatting sqref="E1278 E1281 E1283">
    <cfRule type="containsText" dxfId="5679" priority="8793" operator="containsText" text="Pesquisa de Preços">
      <formula>NOT(ISERROR(SEARCH("Pesquisa de Preços",E1278)))</formula>
    </cfRule>
  </conditionalFormatting>
  <conditionalFormatting sqref="E1314:E1315">
    <cfRule type="containsText" dxfId="5678" priority="8789" operator="containsText" text="Pesquisa de Preços">
      <formula>NOT(ISERROR(SEARCH("Pesquisa de Preços",E1314)))</formula>
    </cfRule>
  </conditionalFormatting>
  <conditionalFormatting sqref="E1320:E1321">
    <cfRule type="containsText" dxfId="5677" priority="8791" operator="containsText" text="Pesquisa de Preços">
      <formula>NOT(ISERROR(SEARCH("Pesquisa de Preços",E1320)))</formula>
    </cfRule>
  </conditionalFormatting>
  <conditionalFormatting sqref="E1988">
    <cfRule type="containsText" dxfId="5676" priority="8629" operator="containsText" text="Pesquisa de Preços">
      <formula>NOT(ISERROR(SEARCH("Pesquisa de Preços",E1988)))</formula>
    </cfRule>
  </conditionalFormatting>
  <conditionalFormatting sqref="E1302:E1303">
    <cfRule type="containsText" dxfId="5675" priority="8785" operator="containsText" text="Pesquisa de Preços">
      <formula>NOT(ISERROR(SEARCH("Pesquisa de Preços",E1302)))</formula>
    </cfRule>
  </conditionalFormatting>
  <conditionalFormatting sqref="E1981">
    <cfRule type="containsText" dxfId="5674" priority="8627" operator="containsText" text="Pesquisa de Preços">
      <formula>NOT(ISERROR(SEARCH("Pesquisa de Preços",E1981)))</formula>
    </cfRule>
  </conditionalFormatting>
  <conditionalFormatting sqref="E1308:E1309">
    <cfRule type="containsText" dxfId="5673" priority="8787" operator="containsText" text="Pesquisa de Preços">
      <formula>NOT(ISERROR(SEARCH("Pesquisa de Preços",E1308)))</formula>
    </cfRule>
  </conditionalFormatting>
  <conditionalFormatting sqref="E1974">
    <cfRule type="containsText" dxfId="5672" priority="8624" operator="containsText" text="Pesquisa de Preços">
      <formula>NOT(ISERROR(SEARCH("Pesquisa de Preços",E1974)))</formula>
    </cfRule>
  </conditionalFormatting>
  <conditionalFormatting sqref="E1967">
    <cfRule type="containsText" dxfId="5671" priority="8621" operator="containsText" text="Pesquisa de Preços">
      <formula>NOT(ISERROR(SEARCH("Pesquisa de Preços",E1967)))</formula>
    </cfRule>
  </conditionalFormatting>
  <conditionalFormatting sqref="E1326:E1327 E1330:E1331">
    <cfRule type="containsText" dxfId="5670" priority="8783" operator="containsText" text="Pesquisa de Preços">
      <formula>NOT(ISERROR(SEARCH("Pesquisa de Preços",E1326)))</formula>
    </cfRule>
  </conditionalFormatting>
  <conditionalFormatting sqref="E1499">
    <cfRule type="containsText" dxfId="5669" priority="8756" operator="containsText" text="Pesquisa de Preços">
      <formula>NOT(ISERROR(SEARCH("Pesquisa de Preços",E1499)))</formula>
    </cfRule>
  </conditionalFormatting>
  <conditionalFormatting sqref="E1328:E1329">
    <cfRule type="containsText" dxfId="5668" priority="8781" operator="containsText" text="Pesquisa de Preços">
      <formula>NOT(ISERROR(SEARCH("Pesquisa de Preços",E1328)))</formula>
    </cfRule>
  </conditionalFormatting>
  <conditionalFormatting sqref="E1339:E1340 E1343:E1344">
    <cfRule type="containsText" dxfId="5667" priority="8780" operator="containsText" text="Pesquisa de Preços">
      <formula>NOT(ISERROR(SEARCH("Pesquisa de Preços",E1339)))</formula>
    </cfRule>
  </conditionalFormatting>
  <conditionalFormatting sqref="E1505">
    <cfRule type="containsText" dxfId="5666" priority="8757" operator="containsText" text="Pesquisa de Preços">
      <formula>NOT(ISERROR(SEARCH("Pesquisa de Preços",E1505)))</formula>
    </cfRule>
  </conditionalFormatting>
  <conditionalFormatting sqref="E1341:E1342">
    <cfRule type="containsText" dxfId="5665" priority="8778" operator="containsText" text="Pesquisa de Preços">
      <formula>NOT(ISERROR(SEARCH("Pesquisa de Preços",E1341)))</formula>
    </cfRule>
  </conditionalFormatting>
  <conditionalFormatting sqref="E1333 E1336:E1337">
    <cfRule type="containsText" dxfId="5664" priority="8777" operator="containsText" text="Pesquisa de Preços">
      <formula>NOT(ISERROR(SEARCH("Pesquisa de Preços",E1333)))</formula>
    </cfRule>
  </conditionalFormatting>
  <conditionalFormatting sqref="E1382">
    <cfRule type="containsText" dxfId="5663" priority="8772" operator="containsText" text="Pesquisa de Preços">
      <formula>NOT(ISERROR(SEARCH("Pesquisa de Preços",E1382)))</formula>
    </cfRule>
  </conditionalFormatting>
  <conditionalFormatting sqref="E1346 E1349:E1350">
    <cfRule type="containsText" dxfId="5662" priority="8775" operator="containsText" text="Pesquisa de Preços">
      <formula>NOT(ISERROR(SEARCH("Pesquisa de Preços",E1346)))</formula>
    </cfRule>
  </conditionalFormatting>
  <conditionalFormatting sqref="E1345">
    <cfRule type="containsText" dxfId="5661" priority="8774" operator="containsText" text="Pesquisa de Preços">
      <formula>NOT(ISERROR(SEARCH("Pesquisa de Preços",E1345)))</formula>
    </cfRule>
  </conditionalFormatting>
  <conditionalFormatting sqref="E1386">
    <cfRule type="containsText" dxfId="5660" priority="8771" operator="containsText" text="Pesquisa de Preços">
      <formula>NOT(ISERROR(SEARCH("Pesquisa de Preços",E1386)))</formula>
    </cfRule>
  </conditionalFormatting>
  <conditionalFormatting sqref="E2143">
    <cfRule type="containsText" dxfId="5659" priority="8610" operator="containsText" text="Pesquisa de Preços">
      <formula>NOT(ISERROR(SEARCH("Pesquisa de Preços",E2143)))</formula>
    </cfRule>
  </conditionalFormatting>
  <conditionalFormatting sqref="E1352:E1353 E1355:E1356">
    <cfRule type="containsText" dxfId="5658" priority="8770" operator="containsText" text="Pesquisa de Preços">
      <formula>NOT(ISERROR(SEARCH("Pesquisa de Preços",E1352)))</formula>
    </cfRule>
  </conditionalFormatting>
  <conditionalFormatting sqref="E1351">
    <cfRule type="containsText" dxfId="5657" priority="8769" operator="containsText" text="Pesquisa de Preços">
      <formula>NOT(ISERROR(SEARCH("Pesquisa de Preços",E1351)))</formula>
    </cfRule>
  </conditionalFormatting>
  <conditionalFormatting sqref="E1363">
    <cfRule type="containsText" dxfId="5656" priority="8768" operator="containsText" text="Pesquisa de Preços">
      <formula>NOT(ISERROR(SEARCH("Pesquisa de Preços",E1363)))</formula>
    </cfRule>
  </conditionalFormatting>
  <conditionalFormatting sqref="E1369">
    <cfRule type="containsText" dxfId="5655" priority="8767" operator="containsText" text="Pesquisa de Preços">
      <formula>NOT(ISERROR(SEARCH("Pesquisa de Preços",E1369)))</formula>
    </cfRule>
  </conditionalFormatting>
  <conditionalFormatting sqref="E1390 E1403">
    <cfRule type="containsText" dxfId="5654" priority="8746" operator="containsText" text="Pesquisa de Preços">
      <formula>NOT(ISERROR(SEARCH("Pesquisa de Preços",E1390)))</formula>
    </cfRule>
  </conditionalFormatting>
  <conditionalFormatting sqref="E1531">
    <cfRule type="containsText" dxfId="5653" priority="8765" operator="containsText" text="Pesquisa de Preços">
      <formula>NOT(ISERROR(SEARCH("Pesquisa de Preços",E1531)))</formula>
    </cfRule>
  </conditionalFormatting>
  <conditionalFormatting sqref="E1532:E1533">
    <cfRule type="containsText" dxfId="5652" priority="8766" operator="containsText" text="Pesquisa de Preços">
      <formula>NOT(ISERROR(SEARCH("Pesquisa de Preços",E1532)))</formula>
    </cfRule>
  </conditionalFormatting>
  <conditionalFormatting sqref="E1536">
    <cfRule type="containsText" dxfId="5651" priority="8764" operator="containsText" text="Pesquisa de Preços">
      <formula>NOT(ISERROR(SEARCH("Pesquisa de Preços",E1536)))</formula>
    </cfRule>
  </conditionalFormatting>
  <conditionalFormatting sqref="E1525:E1526">
    <cfRule type="containsText" dxfId="5650" priority="8763" operator="containsText" text="Pesquisa de Preços">
      <formula>NOT(ISERROR(SEARCH("Pesquisa de Preços",E1525)))</formula>
    </cfRule>
  </conditionalFormatting>
  <conditionalFormatting sqref="E1524">
    <cfRule type="containsText" dxfId="5649" priority="8762" operator="containsText" text="Pesquisa de Preços">
      <formula>NOT(ISERROR(SEARCH("Pesquisa de Preços",E1524)))</formula>
    </cfRule>
  </conditionalFormatting>
  <conditionalFormatting sqref="E2017">
    <cfRule type="containsText" dxfId="5648" priority="8604" operator="containsText" text="Pesquisa de Preços">
      <formula>NOT(ISERROR(SEARCH("Pesquisa de Preços",E2017)))</formula>
    </cfRule>
  </conditionalFormatting>
  <conditionalFormatting sqref="E1519 E1523">
    <cfRule type="containsText" dxfId="5647" priority="8761" operator="containsText" text="Pesquisa de Preços">
      <formula>NOT(ISERROR(SEARCH("Pesquisa de Preços",E1519)))</formula>
    </cfRule>
  </conditionalFormatting>
  <conditionalFormatting sqref="E1518">
    <cfRule type="containsText" dxfId="5646" priority="8760" operator="containsText" text="Pesquisa de Preços">
      <formula>NOT(ISERROR(SEARCH("Pesquisa de Preços",E1518)))</formula>
    </cfRule>
  </conditionalFormatting>
  <conditionalFormatting sqref="E1507">
    <cfRule type="containsText" dxfId="5645" priority="8759" operator="containsText" text="Pesquisa de Preços">
      <formula>NOT(ISERROR(SEARCH("Pesquisa de Preços",E1507)))</formula>
    </cfRule>
  </conditionalFormatting>
  <conditionalFormatting sqref="E1506">
    <cfRule type="containsText" dxfId="5644" priority="8758" operator="containsText" text="Pesquisa de Preços">
      <formula>NOT(ISERROR(SEARCH("Pesquisa de Preços",E1506)))</formula>
    </cfRule>
  </conditionalFormatting>
  <conditionalFormatting sqref="E1539:E1540 E1544">
    <cfRule type="containsText" dxfId="5643" priority="8751" operator="containsText" text="Pesquisa de Preços">
      <formula>NOT(ISERROR(SEARCH("Pesquisa de Preços",E1539)))</formula>
    </cfRule>
  </conditionalFormatting>
  <conditionalFormatting sqref="E1478">
    <cfRule type="containsText" dxfId="5642" priority="8737" operator="containsText" text="Pesquisa de Preços">
      <formula>NOT(ISERROR(SEARCH("Pesquisa de Preços",E1478)))</formula>
    </cfRule>
  </conditionalFormatting>
  <conditionalFormatting sqref="E1480 E1493">
    <cfRule type="containsText" dxfId="5641" priority="8748" operator="containsText" text="Pesquisa de Preços">
      <formula>NOT(ISERROR(SEARCH("Pesquisa de Preços",E1480)))</formula>
    </cfRule>
  </conditionalFormatting>
  <conditionalFormatting sqref="E1479">
    <cfRule type="containsText" dxfId="5640" priority="8747" operator="containsText" text="Pesquisa de Preços">
      <formula>NOT(ISERROR(SEARCH("Pesquisa de Preços",E1479)))</formula>
    </cfRule>
  </conditionalFormatting>
  <conditionalFormatting sqref="E1517">
    <cfRule type="containsText" dxfId="5639" priority="8755" operator="containsText" text="Pesquisa de Preços">
      <formula>NOT(ISERROR(SEARCH("Pesquisa de Preços",E1517)))</formula>
    </cfRule>
  </conditionalFormatting>
  <conditionalFormatting sqref="E1546:E1547 E1551">
    <cfRule type="containsText" dxfId="5638" priority="8754" operator="containsText" text="Pesquisa de Preços">
      <formula>NOT(ISERROR(SEARCH("Pesquisa de Preços",E1546)))</formula>
    </cfRule>
  </conditionalFormatting>
  <conditionalFormatting sqref="E1545">
    <cfRule type="containsText" dxfId="5637" priority="8753" operator="containsText" text="Pesquisa de Preços">
      <formula>NOT(ISERROR(SEARCH("Pesquisa de Preços",E1545)))</formula>
    </cfRule>
  </conditionalFormatting>
  <conditionalFormatting sqref="E1549">
    <cfRule type="containsText" dxfId="5636" priority="8752" operator="containsText" text="Pesquisa de Preços">
      <formula>NOT(ISERROR(SEARCH("Pesquisa de Preços",E1549)))</formula>
    </cfRule>
  </conditionalFormatting>
  <conditionalFormatting sqref="E1538">
    <cfRule type="containsText" dxfId="5635" priority="8750" operator="containsText" text="Pesquisa de Preços">
      <formula>NOT(ISERROR(SEARCH("Pesquisa de Preços",E1538)))</formula>
    </cfRule>
  </conditionalFormatting>
  <conditionalFormatting sqref="E1541:E1542">
    <cfRule type="containsText" dxfId="5634" priority="8749" operator="containsText" text="Pesquisa de Preços">
      <formula>NOT(ISERROR(SEARCH("Pesquisa de Preços",E1541)))</formula>
    </cfRule>
  </conditionalFormatting>
  <conditionalFormatting sqref="E1595">
    <cfRule type="containsText" dxfId="5633" priority="8715" operator="containsText" text="Pesquisa de Preços">
      <formula>NOT(ISERROR(SEARCH("Pesquisa de Preços",E1595)))</formula>
    </cfRule>
  </conditionalFormatting>
  <conditionalFormatting sqref="E1389">
    <cfRule type="containsText" dxfId="5632" priority="8745" operator="containsText" text="Pesquisa de Preços">
      <formula>NOT(ISERROR(SEARCH("Pesquisa de Preços",E1389)))</formula>
    </cfRule>
  </conditionalFormatting>
  <conditionalFormatting sqref="E1589 E1593:E1594">
    <cfRule type="containsText" dxfId="5631" priority="8708" operator="containsText" text="Pesquisa de Preços">
      <formula>NOT(ISERROR(SEARCH("Pesquisa de Preços",E1589)))</formula>
    </cfRule>
  </conditionalFormatting>
  <conditionalFormatting sqref="E1420 E1433">
    <cfRule type="containsText" dxfId="5630" priority="8744" operator="containsText" text="Pesquisa de Preços">
      <formula>NOT(ISERROR(SEARCH("Pesquisa de Preços",E1420)))</formula>
    </cfRule>
  </conditionalFormatting>
  <conditionalFormatting sqref="E1419">
    <cfRule type="containsText" dxfId="5629" priority="8743" operator="containsText" text="Pesquisa de Preços">
      <formula>NOT(ISERROR(SEARCH("Pesquisa de Preços",E1419)))</formula>
    </cfRule>
  </conditionalFormatting>
  <conditionalFormatting sqref="E1607 E1611">
    <cfRule type="containsText" dxfId="5628" priority="8720" operator="containsText" text="Pesquisa de Preços">
      <formula>NOT(ISERROR(SEARCH("Pesquisa de Preços",E1607)))</formula>
    </cfRule>
  </conditionalFormatting>
  <conditionalFormatting sqref="E1405 E1418">
    <cfRule type="containsText" dxfId="5627" priority="8742" operator="containsText" text="Pesquisa de Preços">
      <formula>NOT(ISERROR(SEARCH("Pesquisa de Preços",E1405)))</formula>
    </cfRule>
  </conditionalFormatting>
  <conditionalFormatting sqref="E1450 E1463">
    <cfRule type="containsText" dxfId="5626" priority="8740" operator="containsText" text="Pesquisa de Preços">
      <formula>NOT(ISERROR(SEARCH("Pesquisa de Preços",E1450)))</formula>
    </cfRule>
  </conditionalFormatting>
  <conditionalFormatting sqref="E1670 E1673 E1675">
    <cfRule type="containsText" dxfId="5625" priority="8722" operator="containsText" text="Pesquisa de Preços">
      <formula>NOT(ISERROR(SEARCH("Pesquisa de Preços",E1670)))</formula>
    </cfRule>
  </conditionalFormatting>
  <conditionalFormatting sqref="E1448">
    <cfRule type="containsText" dxfId="5624" priority="8738" operator="containsText" text="Pesquisa de Preços">
      <formula>NOT(ISERROR(SEARCH("Pesquisa de Preços",E1448)))</formula>
    </cfRule>
  </conditionalFormatting>
  <conditionalFormatting sqref="E2254">
    <cfRule type="containsText" dxfId="5623" priority="8565" operator="containsText" text="Pesquisa de Preços">
      <formula>NOT(ISERROR(SEARCH("Pesquisa de Preços",E2254)))</formula>
    </cfRule>
  </conditionalFormatting>
  <conditionalFormatting sqref="E1568 E1573">
    <cfRule type="containsText" dxfId="5622" priority="8730" operator="containsText" text="Pesquisa de Preços">
      <formula>NOT(ISERROR(SEARCH("Pesquisa de Preços",E1568)))</formula>
    </cfRule>
  </conditionalFormatting>
  <conditionalFormatting sqref="E1553:E1554 E1565:E1566">
    <cfRule type="containsText" dxfId="5621" priority="8736" operator="containsText" text="Pesquisa de Preços">
      <formula>NOT(ISERROR(SEARCH("Pesquisa de Preços",E1553)))</formula>
    </cfRule>
  </conditionalFormatting>
  <conditionalFormatting sqref="E2188">
    <cfRule type="containsText" dxfId="5620" priority="8581" operator="containsText" text="Pesquisa de Preços">
      <formula>NOT(ISERROR(SEARCH("Pesquisa de Preços",E2188)))</formula>
    </cfRule>
  </conditionalFormatting>
  <conditionalFormatting sqref="E1555:E1564">
    <cfRule type="containsText" dxfId="5619" priority="8734" operator="containsText" text="Pesquisa de Preços">
      <formula>NOT(ISERROR(SEARCH("Pesquisa de Preços",E1555)))</formula>
    </cfRule>
  </conditionalFormatting>
  <conditionalFormatting sqref="E1377:E1378 E1380:E1381">
    <cfRule type="containsText" dxfId="5618" priority="8733" operator="containsText" text="Pesquisa de Preços">
      <formula>NOT(ISERROR(SEARCH("Pesquisa de Preços",E1377)))</formula>
    </cfRule>
  </conditionalFormatting>
  <conditionalFormatting sqref="E1376">
    <cfRule type="containsText" dxfId="5617" priority="8732" operator="containsText" text="Pesquisa de Preços">
      <formula>NOT(ISERROR(SEARCH("Pesquisa de Preços",E1376)))</formula>
    </cfRule>
  </conditionalFormatting>
  <conditionalFormatting sqref="E2208">
    <cfRule type="containsText" dxfId="5616" priority="8577" operator="containsText" text="Pesquisa de Preços">
      <formula>NOT(ISERROR(SEARCH("Pesquisa de Preços",E2208)))</formula>
    </cfRule>
  </conditionalFormatting>
  <conditionalFormatting sqref="E1379">
    <cfRule type="containsText" dxfId="5615" priority="8731" operator="containsText" text="Pesquisa de Preços">
      <formula>NOT(ISERROR(SEARCH("Pesquisa de Preços",E1379)))</formula>
    </cfRule>
  </conditionalFormatting>
  <conditionalFormatting sqref="E1567">
    <cfRule type="containsText" dxfId="5614" priority="8729" operator="containsText" text="Pesquisa de Preços">
      <formula>NOT(ISERROR(SEARCH("Pesquisa de Preços",E1567)))</formula>
    </cfRule>
  </conditionalFormatting>
  <conditionalFormatting sqref="E1613 E1615:E1616">
    <cfRule type="containsText" dxfId="5613" priority="8714" operator="containsText" text="Pesquisa de Preços">
      <formula>NOT(ISERROR(SEARCH("Pesquisa de Preços",E1613)))</formula>
    </cfRule>
  </conditionalFormatting>
  <conditionalFormatting sqref="E1575 E1580">
    <cfRule type="containsText" dxfId="5612" priority="8728" operator="containsText" text="Pesquisa de Preços">
      <formula>NOT(ISERROR(SEARCH("Pesquisa de Preços",E1575)))</formula>
    </cfRule>
  </conditionalFormatting>
  <conditionalFormatting sqref="E1574">
    <cfRule type="containsText" dxfId="5611" priority="8727" operator="containsText" text="Pesquisa de Preços">
      <formula>NOT(ISERROR(SEARCH("Pesquisa de Preços",E1574)))</formula>
    </cfRule>
  </conditionalFormatting>
  <conditionalFormatting sqref="E1623">
    <cfRule type="containsText" dxfId="5610" priority="8724" operator="containsText" text="Pesquisa de Preços">
      <formula>NOT(ISERROR(SEARCH("Pesquisa de Preços",E1623)))</formula>
    </cfRule>
  </conditionalFormatting>
  <conditionalFormatting sqref="E1587">
    <cfRule type="containsText" dxfId="5609" priority="8726" operator="containsText" text="Pesquisa de Preços">
      <formula>NOT(ISERROR(SEARCH("Pesquisa de Preços",E1587)))</formula>
    </cfRule>
  </conditionalFormatting>
  <conditionalFormatting sqref="E1624:E1625">
    <cfRule type="containsText" dxfId="5608" priority="8725" operator="containsText" text="Pesquisa de Preços">
      <formula>NOT(ISERROR(SEARCH("Pesquisa de Preços",E1624)))</formula>
    </cfRule>
  </conditionalFormatting>
  <conditionalFormatting sqref="E2228">
    <cfRule type="containsText" dxfId="5607" priority="8573" operator="containsText" text="Pesquisa de Preços">
      <formula>NOT(ISERROR(SEARCH("Pesquisa de Preços",E2228)))</formula>
    </cfRule>
  </conditionalFormatting>
  <conditionalFormatting sqref="E1626:E1627">
    <cfRule type="containsText" dxfId="5606" priority="8723" operator="containsText" text="Pesquisa de Preços">
      <formula>NOT(ISERROR(SEARCH("Pesquisa de Preços",E1626)))</formula>
    </cfRule>
  </conditionalFormatting>
  <conditionalFormatting sqref="E1669">
    <cfRule type="containsText" dxfId="5605" priority="8721" operator="containsText" text="Pesquisa de Preços">
      <formula>NOT(ISERROR(SEARCH("Pesquisa de Preços",E1669)))</formula>
    </cfRule>
  </conditionalFormatting>
  <conditionalFormatting sqref="E1601 E1605">
    <cfRule type="containsText" dxfId="5604" priority="8718" operator="containsText" text="Pesquisa de Preços">
      <formula>NOT(ISERROR(SEARCH("Pesquisa de Preços",E1601)))</formula>
    </cfRule>
  </conditionalFormatting>
  <conditionalFormatting sqref="E1606">
    <cfRule type="containsText" dxfId="5603" priority="8719" operator="containsText" text="Pesquisa de Preços">
      <formula>NOT(ISERROR(SEARCH("Pesquisa de Preços",E1606)))</formula>
    </cfRule>
  </conditionalFormatting>
  <conditionalFormatting sqref="E1600">
    <cfRule type="containsText" dxfId="5602" priority="8717" operator="containsText" text="Pesquisa de Preços">
      <formula>NOT(ISERROR(SEARCH("Pesquisa de Preços",E1600)))</formula>
    </cfRule>
  </conditionalFormatting>
  <conditionalFormatting sqref="E1596 E1598:E1599">
    <cfRule type="containsText" dxfId="5601" priority="8716" operator="containsText" text="Pesquisa de Preços">
      <formula>NOT(ISERROR(SEARCH("Pesquisa de Preços",E1596)))</formula>
    </cfRule>
  </conditionalFormatting>
  <conditionalFormatting sqref="E1618 E1621:E1622">
    <cfRule type="containsText" dxfId="5600" priority="8712" operator="containsText" text="Pesquisa de Preços">
      <formula>NOT(ISERROR(SEARCH("Pesquisa de Preços",E1618)))</formula>
    </cfRule>
  </conditionalFormatting>
  <conditionalFormatting sqref="E1719 E1711:E1712">
    <cfRule type="containsText" dxfId="5599" priority="8696" operator="containsText" text="Pesquisa de Preços">
      <formula>NOT(ISERROR(SEARCH("Pesquisa de Preços",E1711)))</formula>
    </cfRule>
  </conditionalFormatting>
  <conditionalFormatting sqref="E1663 E1667:E1668">
    <cfRule type="containsText" dxfId="5598" priority="8710" operator="containsText" text="Pesquisa de Preços">
      <formula>NOT(ISERROR(SEARCH("Pesquisa de Preços",E1663)))</formula>
    </cfRule>
  </conditionalFormatting>
  <conditionalFormatting sqref="E1662">
    <cfRule type="containsText" dxfId="5597" priority="8709" operator="containsText" text="Pesquisa de Preços">
      <formula>NOT(ISERROR(SEARCH("Pesquisa de Preços",E1662)))</formula>
    </cfRule>
  </conditionalFormatting>
  <conditionalFormatting sqref="E2332">
    <cfRule type="containsText" dxfId="5596" priority="8542" operator="containsText" text="Pesquisa de Preços">
      <formula>NOT(ISERROR(SEARCH("Pesquisa de Preços",E2332)))</formula>
    </cfRule>
  </conditionalFormatting>
  <conditionalFormatting sqref="E2327">
    <cfRule type="containsText" dxfId="5595" priority="8544" operator="containsText" text="Pesquisa de Preços">
      <formula>NOT(ISERROR(SEARCH("Pesquisa de Preços",E2327)))</formula>
    </cfRule>
  </conditionalFormatting>
  <conditionalFormatting sqref="E1657 E1660:E1661">
    <cfRule type="containsText" dxfId="5594" priority="8706" operator="containsText" text="Pesquisa de Preços">
      <formula>NOT(ISERROR(SEARCH("Pesquisa de Preços",E1657)))</formula>
    </cfRule>
  </conditionalFormatting>
  <conditionalFormatting sqref="E1656">
    <cfRule type="containsText" dxfId="5593" priority="8705" operator="containsText" text="Pesquisa de Preços">
      <formula>NOT(ISERROR(SEARCH("Pesquisa de Preços",E1656)))</formula>
    </cfRule>
  </conditionalFormatting>
  <conditionalFormatting sqref="E1652 E1654:E1655">
    <cfRule type="containsText" dxfId="5592" priority="8704" operator="containsText" text="Pesquisa de Preços">
      <formula>NOT(ISERROR(SEARCH("Pesquisa de Preços",E1652)))</formula>
    </cfRule>
  </conditionalFormatting>
  <conditionalFormatting sqref="E1651">
    <cfRule type="containsText" dxfId="5591" priority="8703" operator="containsText" text="Pesquisa de Preços">
      <formula>NOT(ISERROR(SEARCH("Pesquisa de Preços",E1651)))</formula>
    </cfRule>
  </conditionalFormatting>
  <conditionalFormatting sqref="E1701:E1702 E1709">
    <cfRule type="containsText" dxfId="5590" priority="8690" operator="containsText" text="Pesquisa de Preços">
      <formula>NOT(ISERROR(SEARCH("Pesquisa de Preços",E1701)))</formula>
    </cfRule>
  </conditionalFormatting>
  <conditionalFormatting sqref="E1647">
    <cfRule type="containsText" dxfId="5589" priority="8700" operator="containsText" text="Pesquisa de Preços">
      <formula>NOT(ISERROR(SEARCH("Pesquisa de Preços",E1647)))</formula>
    </cfRule>
  </conditionalFormatting>
  <conditionalFormatting sqref="E1642">
    <cfRule type="containsText" dxfId="5588" priority="8702" operator="containsText" text="Pesquisa de Preços">
      <formula>NOT(ISERROR(SEARCH("Pesquisa de Preços",E1642)))</formula>
    </cfRule>
  </conditionalFormatting>
  <conditionalFormatting sqref="E1641">
    <cfRule type="containsText" dxfId="5587" priority="8701" operator="containsText" text="Pesquisa de Preços">
      <formula>NOT(ISERROR(SEARCH("Pesquisa de Preços",E1641)))</formula>
    </cfRule>
  </conditionalFormatting>
  <conditionalFormatting sqref="E2304">
    <cfRule type="containsText" dxfId="5586" priority="8552" operator="containsText" text="Pesquisa de Preços">
      <formula>NOT(ISERROR(SEARCH("Pesquisa de Preços",E2304)))</formula>
    </cfRule>
  </conditionalFormatting>
  <conditionalFormatting sqref="E2316">
    <cfRule type="containsText" dxfId="5585" priority="8550" operator="containsText" text="Pesquisa de Preços">
      <formula>NOT(ISERROR(SEARCH("Pesquisa de Preços",E2316)))</formula>
    </cfRule>
  </conditionalFormatting>
  <conditionalFormatting sqref="E1636 E1639:E1640">
    <cfRule type="containsText" dxfId="5584" priority="8698" operator="containsText" text="Pesquisa de Preços">
      <formula>NOT(ISERROR(SEARCH("Pesquisa de Preços",E1636)))</formula>
    </cfRule>
  </conditionalFormatting>
  <conditionalFormatting sqref="E1721 E1729">
    <cfRule type="containsText" dxfId="5583" priority="8694" operator="containsText" text="Pesquisa de Preços">
      <formula>NOT(ISERROR(SEARCH("Pesquisa de Preços",E1721)))</formula>
    </cfRule>
  </conditionalFormatting>
  <conditionalFormatting sqref="E1691:E1692 E1699">
    <cfRule type="containsText" dxfId="5582" priority="8692" operator="containsText" text="Pesquisa de Preços">
      <formula>NOT(ISERROR(SEARCH("Pesquisa de Preços",E1691)))</formula>
    </cfRule>
  </conditionalFormatting>
  <conditionalFormatting sqref="E889">
    <cfRule type="containsText" dxfId="5581" priority="8540" operator="containsText" text="Pesquisa de Preços">
      <formula>NOT(ISERROR(SEARCH("Pesquisa de Preços",E889)))</formula>
    </cfRule>
  </conditionalFormatting>
  <conditionalFormatting sqref="E868">
    <cfRule type="containsText" dxfId="5580" priority="8538" operator="containsText" text="Pesquisa de Preços">
      <formula>NOT(ISERROR(SEARCH("Pesquisa de Preços",E868)))</formula>
    </cfRule>
  </conditionalFormatting>
  <conditionalFormatting sqref="E1677:E1678 E1680:E1681">
    <cfRule type="containsText" dxfId="5579" priority="8688" operator="containsText" text="Pesquisa de Preços">
      <formula>NOT(ISERROR(SEARCH("Pesquisa de Preços",E1677)))</formula>
    </cfRule>
  </conditionalFormatting>
  <conditionalFormatting sqref="E843">
    <cfRule type="containsText" dxfId="5578" priority="8527" operator="containsText" text="Pesquisa de Preços">
      <formula>NOT(ISERROR(SEARCH("Pesquisa de Preços",E843)))</formula>
    </cfRule>
  </conditionalFormatting>
  <conditionalFormatting sqref="E1683">
    <cfRule type="containsText" dxfId="5577" priority="8686" operator="containsText" text="Pesquisa de Preços">
      <formula>NOT(ISERROR(SEARCH("Pesquisa de Preços",E1683)))</formula>
    </cfRule>
  </conditionalFormatting>
  <conditionalFormatting sqref="E849">
    <cfRule type="containsText" dxfId="5576" priority="8532" operator="containsText" text="Pesquisa de Preços">
      <formula>NOT(ISERROR(SEARCH("Pesquisa de Preços",E849)))</formula>
    </cfRule>
  </conditionalFormatting>
  <conditionalFormatting sqref="E1686:E1687">
    <cfRule type="containsText" dxfId="5575" priority="8684" operator="containsText" text="Pesquisa de Preços">
      <formula>NOT(ISERROR(SEARCH("Pesquisa de Preços",E1686)))</formula>
    </cfRule>
  </conditionalFormatting>
  <conditionalFormatting sqref="E1792">
    <cfRule type="containsText" dxfId="5574" priority="8683" operator="containsText" text="Pesquisa de Preços">
      <formula>NOT(ISERROR(SEARCH("Pesquisa de Preços",E1792)))</formula>
    </cfRule>
  </conditionalFormatting>
  <conditionalFormatting sqref="E1791">
    <cfRule type="containsText" dxfId="5573" priority="8682" operator="containsText" text="Pesquisa de Preços">
      <formula>NOT(ISERROR(SEARCH("Pesquisa de Preços",E1791)))</formula>
    </cfRule>
  </conditionalFormatting>
  <conditionalFormatting sqref="E1818">
    <cfRule type="containsText" dxfId="5572" priority="8673" operator="containsText" text="Pesquisa de Preços">
      <formula>NOT(ISERROR(SEARCH("Pesquisa de Preços",E1818)))</formula>
    </cfRule>
  </conditionalFormatting>
  <conditionalFormatting sqref="E1787">
    <cfRule type="containsText" dxfId="5571" priority="8681" operator="containsText" text="Pesquisa de Preços">
      <formula>NOT(ISERROR(SEARCH("Pesquisa de Preços",E1787)))</formula>
    </cfRule>
  </conditionalFormatting>
  <conditionalFormatting sqref="E1786">
    <cfRule type="containsText" dxfId="5570" priority="8680" operator="containsText" text="Pesquisa de Preços">
      <formula>NOT(ISERROR(SEARCH("Pesquisa de Preços",E1786)))</formula>
    </cfRule>
  </conditionalFormatting>
  <conditionalFormatting sqref="E1797 E1800:E1801">
    <cfRule type="containsText" dxfId="5569" priority="8679" operator="containsText" text="Pesquisa de Preços">
      <formula>NOT(ISERROR(SEARCH("Pesquisa de Preços",E1797)))</formula>
    </cfRule>
  </conditionalFormatting>
  <conditionalFormatting sqref="E1796">
    <cfRule type="containsText" dxfId="5568" priority="8678" operator="containsText" text="Pesquisa de Preços">
      <formula>NOT(ISERROR(SEARCH("Pesquisa de Preços",E1796)))</formula>
    </cfRule>
  </conditionalFormatting>
  <conditionalFormatting sqref="E1799">
    <cfRule type="containsText" dxfId="5567" priority="8677" operator="containsText" text="Pesquisa de Preços">
      <formula>NOT(ISERROR(SEARCH("Pesquisa de Preços",E1799)))</formula>
    </cfRule>
  </conditionalFormatting>
  <conditionalFormatting sqref="E1807">
    <cfRule type="containsText" dxfId="5566" priority="8676" operator="containsText" text="Pesquisa de Preços">
      <formula>NOT(ISERROR(SEARCH("Pesquisa de Preços",E1807)))</formula>
    </cfRule>
  </conditionalFormatting>
  <conditionalFormatting sqref="E1816:E1817 E1819:E1820">
    <cfRule type="containsText" dxfId="5565" priority="8675" operator="containsText" text="Pesquisa de Preços">
      <formula>NOT(ISERROR(SEARCH("Pesquisa de Preços",E1816)))</formula>
    </cfRule>
  </conditionalFormatting>
  <conditionalFormatting sqref="E1822:E1823 E1825:E1826">
    <cfRule type="containsText" dxfId="5564" priority="8672" operator="containsText" text="Pesquisa de Preços">
      <formula>NOT(ISERROR(SEARCH("Pesquisa de Preços",E1822)))</formula>
    </cfRule>
  </conditionalFormatting>
  <conditionalFormatting sqref="E1830">
    <cfRule type="containsText" dxfId="5563" priority="8665" operator="containsText" text="Pesquisa de Preços">
      <formula>NOT(ISERROR(SEARCH("Pesquisa de Preços",E1830)))</formula>
    </cfRule>
  </conditionalFormatting>
  <conditionalFormatting sqref="E1824">
    <cfRule type="containsText" dxfId="5562" priority="8670" operator="containsText" text="Pesquisa de Preços">
      <formula>NOT(ISERROR(SEARCH("Pesquisa de Preços",E1824)))</formula>
    </cfRule>
  </conditionalFormatting>
  <conditionalFormatting sqref="E1809:E1810 E1814">
    <cfRule type="containsText" dxfId="5561" priority="8669" operator="containsText" text="Pesquisa de Preços">
      <formula>NOT(ISERROR(SEARCH("Pesquisa de Preços",E1809)))</formula>
    </cfRule>
  </conditionalFormatting>
  <conditionalFormatting sqref="E1828:E1829 E1831:E1832">
    <cfRule type="containsText" dxfId="5560" priority="8667" operator="containsText" text="Pesquisa de Preços">
      <formula>NOT(ISERROR(SEARCH("Pesquisa de Preços",E1828)))</formula>
    </cfRule>
  </conditionalFormatting>
  <conditionalFormatting sqref="E2337">
    <cfRule type="containsText" dxfId="5559" priority="8513" operator="containsText" text="Pesquisa de Preços">
      <formula>NOT(ISERROR(SEARCH("Pesquisa de Preços",E2337)))</formula>
    </cfRule>
  </conditionalFormatting>
  <conditionalFormatting sqref="E1838">
    <cfRule type="containsText" dxfId="5558" priority="8664" operator="containsText" text="Pesquisa de Preços">
      <formula>NOT(ISERROR(SEARCH("Pesquisa de Preços",E1838)))</formula>
    </cfRule>
  </conditionalFormatting>
  <conditionalFormatting sqref="E2364">
    <cfRule type="containsText" dxfId="5557" priority="8510" operator="containsText" text="Pesquisa de Preços">
      <formula>NOT(ISERROR(SEARCH("Pesquisa de Preços",E2364)))</formula>
    </cfRule>
  </conditionalFormatting>
  <conditionalFormatting sqref="E1874">
    <cfRule type="containsText" dxfId="5556" priority="8663" operator="containsText" text="Pesquisa de Preços">
      <formula>NOT(ISERROR(SEARCH("Pesquisa de Preços",E1874)))</formula>
    </cfRule>
  </conditionalFormatting>
  <conditionalFormatting sqref="E2358">
    <cfRule type="containsText" dxfId="5555" priority="8508" operator="containsText" text="Pesquisa de Preços">
      <formula>NOT(ISERROR(SEARCH("Pesquisa de Preços",E2358)))</formula>
    </cfRule>
  </conditionalFormatting>
  <conditionalFormatting sqref="E1850">
    <cfRule type="containsText" dxfId="5554" priority="8662" operator="containsText" text="Pesquisa de Preços">
      <formula>NOT(ISERROR(SEARCH("Pesquisa de Preços",E1850)))</formula>
    </cfRule>
  </conditionalFormatting>
  <conditionalFormatting sqref="E1868">
    <cfRule type="containsText" dxfId="5553" priority="8661" operator="containsText" text="Pesquisa de Preços">
      <formula>NOT(ISERROR(SEARCH("Pesquisa de Preços",E1868)))</formula>
    </cfRule>
  </conditionalFormatting>
  <conditionalFormatting sqref="E1844">
    <cfRule type="containsText" dxfId="5552" priority="8660" operator="containsText" text="Pesquisa de Preços">
      <formula>NOT(ISERROR(SEARCH("Pesquisa de Preços",E1844)))</formula>
    </cfRule>
  </conditionalFormatting>
  <conditionalFormatting sqref="E1856">
    <cfRule type="containsText" dxfId="5551" priority="8659" operator="containsText" text="Pesquisa de Preços">
      <formula>NOT(ISERROR(SEARCH("Pesquisa de Preços",E1856)))</formula>
    </cfRule>
  </conditionalFormatting>
  <conditionalFormatting sqref="E1878">
    <cfRule type="containsText" dxfId="5550" priority="8655" operator="containsText" text="Pesquisa de Preços">
      <formula>NOT(ISERROR(SEARCH("Pesquisa de Preços",E1878)))</formula>
    </cfRule>
  </conditionalFormatting>
  <conditionalFormatting sqref="E1862">
    <cfRule type="containsText" dxfId="5549" priority="8658" operator="containsText" text="Pesquisa de Preços">
      <formula>NOT(ISERROR(SEARCH("Pesquisa de Preços",E1862)))</formula>
    </cfRule>
  </conditionalFormatting>
  <conditionalFormatting sqref="E1903 E1906:E1907">
    <cfRule type="containsText" dxfId="5548" priority="8647" operator="containsText" text="Pesquisa de Preços">
      <formula>NOT(ISERROR(SEARCH("Pesquisa de Preços",E1903)))</formula>
    </cfRule>
  </conditionalFormatting>
  <conditionalFormatting sqref="E1876:E1877 E1879:E1880">
    <cfRule type="containsText" dxfId="5547" priority="8657" operator="containsText" text="Pesquisa de Preços">
      <formula>NOT(ISERROR(SEARCH("Pesquisa de Preços",E1876)))</formula>
    </cfRule>
  </conditionalFormatting>
  <conditionalFormatting sqref="E1884">
    <cfRule type="containsText" dxfId="5546" priority="8652" operator="containsText" text="Pesquisa de Preços">
      <formula>NOT(ISERROR(SEARCH("Pesquisa de Preços",E1884)))</formula>
    </cfRule>
  </conditionalFormatting>
  <conditionalFormatting sqref="E1882:E1883 E1885:E1886">
    <cfRule type="containsText" dxfId="5545" priority="8654" operator="containsText" text="Pesquisa de Preços">
      <formula>NOT(ISERROR(SEARCH("Pesquisa de Preços",E1882)))</formula>
    </cfRule>
  </conditionalFormatting>
  <conditionalFormatting sqref="E1898:E1899 E1901">
    <cfRule type="containsText" dxfId="5544" priority="8651" operator="containsText" text="Pesquisa de Preços">
      <formula>NOT(ISERROR(SEARCH("Pesquisa de Preços",E1898)))</formula>
    </cfRule>
  </conditionalFormatting>
  <conditionalFormatting sqref="E1893">
    <cfRule type="containsText" dxfId="5543" priority="8649" operator="containsText" text="Pesquisa de Preços">
      <formula>NOT(ISERROR(SEARCH("Pesquisa de Preços",E1893)))</formula>
    </cfRule>
  </conditionalFormatting>
  <conditionalFormatting sqref="E1926:E1927 E1929:E1930">
    <cfRule type="containsText" dxfId="5542" priority="8645" operator="containsText" text="Pesquisa de Preços">
      <formula>NOT(ISERROR(SEARCH("Pesquisa de Preços",E1926)))</formula>
    </cfRule>
  </conditionalFormatting>
  <conditionalFormatting sqref="E1928">
    <cfRule type="containsText" dxfId="5541" priority="8643" operator="containsText" text="Pesquisa de Preços">
      <formula>NOT(ISERROR(SEARCH("Pesquisa de Preços",E1928)))</formula>
    </cfRule>
  </conditionalFormatting>
  <conditionalFormatting sqref="E1935:E1936">
    <cfRule type="containsText" dxfId="5540" priority="8642" operator="containsText" text="Pesquisa de Preços">
      <formula>NOT(ISERROR(SEARCH("Pesquisa de Preços",E1935)))</formula>
    </cfRule>
  </conditionalFormatting>
  <conditionalFormatting sqref="E1945:E1946 E1949:E1950">
    <cfRule type="containsText" dxfId="5539" priority="8636" operator="containsText" text="Pesquisa de Preços">
      <formula>NOT(ISERROR(SEARCH("Pesquisa de Preços",E1945)))</formula>
    </cfRule>
  </conditionalFormatting>
  <conditionalFormatting sqref="E1947:E1948">
    <cfRule type="containsText" dxfId="5538" priority="8634" operator="containsText" text="Pesquisa de Preços">
      <formula>NOT(ISERROR(SEARCH("Pesquisa de Preços",E1947)))</formula>
    </cfRule>
  </conditionalFormatting>
  <conditionalFormatting sqref="E1960 E1965:E1966">
    <cfRule type="containsText" dxfId="5537" priority="8641" operator="containsText" text="Pesquisa de Preços">
      <formula>NOT(ISERROR(SEARCH("Pesquisa de Preços",E1960)))</formula>
    </cfRule>
  </conditionalFormatting>
  <conditionalFormatting sqref="E1959">
    <cfRule type="containsText" dxfId="5536" priority="8640" operator="containsText" text="Pesquisa de Preços">
      <formula>NOT(ISERROR(SEARCH("Pesquisa de Preços",E1959)))</formula>
    </cfRule>
  </conditionalFormatting>
  <conditionalFormatting sqref="E1952 E1958">
    <cfRule type="containsText" dxfId="5535" priority="8638" operator="containsText" text="Pesquisa de Preços">
      <formula>NOT(ISERROR(SEARCH("Pesquisa de Preços",E1952)))</formula>
    </cfRule>
  </conditionalFormatting>
  <conditionalFormatting sqref="E1937">
    <cfRule type="containsText" dxfId="5534" priority="8632" operator="containsText" text="Pesquisa de Preços">
      <formula>NOT(ISERROR(SEARCH("Pesquisa de Preços",E1937)))</formula>
    </cfRule>
  </conditionalFormatting>
  <conditionalFormatting sqref="E1938:E1939 E1942:E1943">
    <cfRule type="containsText" dxfId="5533" priority="8633" operator="containsText" text="Pesquisa de Preços">
      <formula>NOT(ISERROR(SEARCH("Pesquisa de Preços",E1938)))</formula>
    </cfRule>
  </conditionalFormatting>
  <conditionalFormatting sqref="E1940:E1941">
    <cfRule type="containsText" dxfId="5532" priority="8631" operator="containsText" text="Pesquisa de Preços">
      <formula>NOT(ISERROR(SEARCH("Pesquisa de Preços",E1940)))</formula>
    </cfRule>
  </conditionalFormatting>
  <conditionalFormatting sqref="E1989 E1994">
    <cfRule type="containsText" dxfId="5531" priority="8630" operator="containsText" text="Pesquisa de Preços">
      <formula>NOT(ISERROR(SEARCH("Pesquisa de Preços",E1989)))</formula>
    </cfRule>
  </conditionalFormatting>
  <conditionalFormatting sqref="E1984:E1985">
    <cfRule type="containsText" dxfId="5530" priority="8626" operator="containsText" text="Pesquisa de Preços">
      <formula>NOT(ISERROR(SEARCH("Pesquisa de Preços",E1984)))</formula>
    </cfRule>
  </conditionalFormatting>
  <conditionalFormatting sqref="E1987 E1982:E1983">
    <cfRule type="containsText" dxfId="5529" priority="8628" operator="containsText" text="Pesquisa de Preços">
      <formula>NOT(ISERROR(SEARCH("Pesquisa de Preços",E1982)))</formula>
    </cfRule>
  </conditionalFormatting>
  <conditionalFormatting sqref="E1977:E1978">
    <cfRule type="containsText" dxfId="5528" priority="8623" operator="containsText" text="Pesquisa de Preços">
      <formula>NOT(ISERROR(SEARCH("Pesquisa de Preços",E1977)))</formula>
    </cfRule>
  </conditionalFormatting>
  <conditionalFormatting sqref="E1980 E1975:E1976">
    <cfRule type="containsText" dxfId="5527" priority="8625" operator="containsText" text="Pesquisa de Preços">
      <formula>NOT(ISERROR(SEARCH("Pesquisa de Preços",E1975)))</formula>
    </cfRule>
  </conditionalFormatting>
  <conditionalFormatting sqref="E1968 E1973">
    <cfRule type="containsText" dxfId="5526" priority="8622" operator="containsText" text="Pesquisa de Preços">
      <formula>NOT(ISERROR(SEARCH("Pesquisa de Preços",E1968)))</formula>
    </cfRule>
  </conditionalFormatting>
  <conditionalFormatting sqref="E2113">
    <cfRule type="containsText" dxfId="5525" priority="8619" operator="containsText" text="Pesquisa de Preços">
      <formula>NOT(ISERROR(SEARCH("Pesquisa de Preços",E2113)))</formula>
    </cfRule>
  </conditionalFormatting>
  <conditionalFormatting sqref="E2114:E2115">
    <cfRule type="containsText" dxfId="5524" priority="8620" operator="containsText" text="Pesquisa de Preços">
      <formula>NOT(ISERROR(SEARCH("Pesquisa de Preços",E2114)))</formula>
    </cfRule>
  </conditionalFormatting>
  <conditionalFormatting sqref="E2116:E2117">
    <cfRule type="containsText" dxfId="5523" priority="8618" operator="containsText" text="Pesquisa de Preços">
      <formula>NOT(ISERROR(SEARCH("Pesquisa de Preços",E2116)))</formula>
    </cfRule>
  </conditionalFormatting>
  <conditionalFormatting sqref="E2102:E2103">
    <cfRule type="containsText" dxfId="5522" priority="8617" operator="containsText" text="Pesquisa de Preços">
      <formula>NOT(ISERROR(SEARCH("Pesquisa de Preços",E2102)))</formula>
    </cfRule>
  </conditionalFormatting>
  <conditionalFormatting sqref="E2101">
    <cfRule type="containsText" dxfId="5521" priority="8616" operator="containsText" text="Pesquisa de Preços">
      <formula>NOT(ISERROR(SEARCH("Pesquisa de Preços",E2101)))</formula>
    </cfRule>
  </conditionalFormatting>
  <conditionalFormatting sqref="E2128 E2132:E2134">
    <cfRule type="containsText" dxfId="5520" priority="8614" operator="containsText" text="Pesquisa de Preços">
      <formula>NOT(ISERROR(SEARCH("Pesquisa de Preços",E2128)))</formula>
    </cfRule>
  </conditionalFormatting>
  <conditionalFormatting sqref="E2127">
    <cfRule type="containsText" dxfId="5519" priority="8613" operator="containsText" text="Pesquisa de Preços">
      <formula>NOT(ISERROR(SEARCH("Pesquisa de Preços",E2127)))</formula>
    </cfRule>
  </conditionalFormatting>
  <conditionalFormatting sqref="E2131">
    <cfRule type="containsText" dxfId="5518" priority="8612" operator="containsText" text="Pesquisa de Preços">
      <formula>NOT(ISERROR(SEARCH("Pesquisa de Preços",E2131)))</formula>
    </cfRule>
  </conditionalFormatting>
  <conditionalFormatting sqref="E2144 E2148:E2150">
    <cfRule type="containsText" dxfId="5517" priority="8611" operator="containsText" text="Pesquisa de Preços">
      <formula>NOT(ISERROR(SEARCH("Pesquisa de Preços",E2144)))</formula>
    </cfRule>
  </conditionalFormatting>
  <conditionalFormatting sqref="E2124:E2126">
    <cfRule type="containsText" dxfId="5516" priority="8609" operator="containsText" text="Pesquisa de Preços">
      <formula>NOT(ISERROR(SEARCH("Pesquisa de Preços",E2124)))</formula>
    </cfRule>
  </conditionalFormatting>
  <conditionalFormatting sqref="E2156:E2158">
    <cfRule type="containsText" dxfId="5515" priority="8608" operator="containsText" text="Pesquisa de Preços">
      <formula>NOT(ISERROR(SEARCH("Pesquisa de Preços",E2156)))</formula>
    </cfRule>
  </conditionalFormatting>
  <conditionalFormatting sqref="E2034 E2038:E2040">
    <cfRule type="containsText" dxfId="5514" priority="8603" operator="containsText" text="Pesquisa de Preços">
      <formula>NOT(ISERROR(SEARCH("Pesquisa de Preços",E2034)))</formula>
    </cfRule>
  </conditionalFormatting>
  <conditionalFormatting sqref="E2140:E2142">
    <cfRule type="containsText" dxfId="5513" priority="8607" operator="containsText" text="Pesquisa de Preços">
      <formula>NOT(ISERROR(SEARCH("Pesquisa de Preços",E2140)))</formula>
    </cfRule>
  </conditionalFormatting>
  <conditionalFormatting sqref="E2033">
    <cfRule type="containsText" dxfId="5512" priority="8602" operator="containsText" text="Pesquisa de Preços">
      <formula>NOT(ISERROR(SEARCH("Pesquisa de Preços",E2033)))</formula>
    </cfRule>
  </conditionalFormatting>
  <conditionalFormatting sqref="E2164:E2166">
    <cfRule type="containsText" dxfId="5511" priority="8606" operator="containsText" text="Pesquisa de Preços">
      <formula>NOT(ISERROR(SEARCH("Pesquisa de Preços",E2164)))</formula>
    </cfRule>
  </conditionalFormatting>
  <conditionalFormatting sqref="E2217:E2220 E2222">
    <cfRule type="containsText" dxfId="5510" priority="8562" operator="containsText" text="Pesquisa de Preços">
      <formula>NOT(ISERROR(SEARCH("Pesquisa de Preços",E2217)))</formula>
    </cfRule>
  </conditionalFormatting>
  <conditionalFormatting sqref="E2018 E2022:E2024">
    <cfRule type="containsText" dxfId="5509" priority="8605" operator="containsText" text="Pesquisa de Preços">
      <formula>NOT(ISERROR(SEARCH("Pesquisa de Preços",E2018)))</formula>
    </cfRule>
  </conditionalFormatting>
  <conditionalFormatting sqref="E2026 E2030:E2032">
    <cfRule type="containsText" dxfId="5508" priority="8597" operator="containsText" text="Pesquisa de Preços">
      <formula>NOT(ISERROR(SEARCH("Pesquisa de Preços",E2026)))</formula>
    </cfRule>
  </conditionalFormatting>
  <conditionalFormatting sqref="E2311:E2312 E2315">
    <cfRule type="containsText" dxfId="5507" priority="8555" operator="containsText" text="Pesquisa de Preços">
      <formula>NOT(ISERROR(SEARCH("Pesquisa de Preços",E2311)))</formula>
    </cfRule>
  </conditionalFormatting>
  <conditionalFormatting sqref="E2010 E2014:E2016">
    <cfRule type="containsText" dxfId="5506" priority="8601" operator="containsText" text="Pesquisa de Preços">
      <formula>NOT(ISERROR(SEARCH("Pesquisa de Preços",E2010)))</formula>
    </cfRule>
  </conditionalFormatting>
  <conditionalFormatting sqref="E2009">
    <cfRule type="containsText" dxfId="5505" priority="8600" operator="containsText" text="Pesquisa de Preços">
      <formula>NOT(ISERROR(SEARCH("Pesquisa de Preços",E2009)))</formula>
    </cfRule>
  </conditionalFormatting>
  <conditionalFormatting sqref="E2042 E2046:E2048">
    <cfRule type="containsText" dxfId="5504" priority="8599" operator="containsText" text="Pesquisa de Preços">
      <formula>NOT(ISERROR(SEARCH("Pesquisa de Preços",E2042)))</formula>
    </cfRule>
  </conditionalFormatting>
  <conditionalFormatting sqref="E2041">
    <cfRule type="containsText" dxfId="5503" priority="8598" operator="containsText" text="Pesquisa de Preços">
      <formula>NOT(ISERROR(SEARCH("Pesquisa de Preços",E2041)))</formula>
    </cfRule>
  </conditionalFormatting>
  <conditionalFormatting sqref="E2292:E2293">
    <cfRule type="containsText" dxfId="5502" priority="8561" operator="containsText" text="Pesquisa de Preços">
      <formula>NOT(ISERROR(SEARCH("Pesquisa de Preços",E2292)))</formula>
    </cfRule>
  </conditionalFormatting>
  <conditionalFormatting sqref="E2025">
    <cfRule type="containsText" dxfId="5501" priority="8596" operator="containsText" text="Pesquisa de Preços">
      <formula>NOT(ISERROR(SEARCH("Pesquisa de Preços",E2025)))</formula>
    </cfRule>
  </conditionalFormatting>
  <conditionalFormatting sqref="E2274">
    <cfRule type="containsText" dxfId="5500" priority="8570" operator="containsText" text="Pesquisa de Preços">
      <formula>NOT(ISERROR(SEARCH("Pesquisa de Preços",E2274)))</formula>
    </cfRule>
  </conditionalFormatting>
  <conditionalFormatting sqref="E2050 E2054:E2056">
    <cfRule type="containsText" dxfId="5499" priority="8595" operator="containsText" text="Pesquisa de Preços">
      <formula>NOT(ISERROR(SEARCH("Pesquisa de Preços",E2050)))</formula>
    </cfRule>
  </conditionalFormatting>
  <conditionalFormatting sqref="E2049">
    <cfRule type="containsText" dxfId="5498" priority="8594" operator="containsText" text="Pesquisa de Preços">
      <formula>NOT(ISERROR(SEARCH("Pesquisa de Preços",E2049)))</formula>
    </cfRule>
  </conditionalFormatting>
  <conditionalFormatting sqref="E2229">
    <cfRule type="containsText" dxfId="5497" priority="8574" operator="containsText" text="Pesquisa de Preços">
      <formula>NOT(ISERROR(SEARCH("Pesquisa de Preços",E2229)))</formula>
    </cfRule>
  </conditionalFormatting>
  <conditionalFormatting sqref="E2008">
    <cfRule type="containsText" dxfId="5496" priority="8593" operator="containsText" text="Pesquisa de Preços">
      <formula>NOT(ISERROR(SEARCH("Pesquisa de Preços",E2008)))</formula>
    </cfRule>
  </conditionalFormatting>
  <conditionalFormatting sqref="E2086:E2088">
    <cfRule type="containsText" dxfId="5495" priority="8592" operator="containsText" text="Pesquisa de Preços">
      <formula>NOT(ISERROR(SEARCH("Pesquisa de Preços",E2086)))</formula>
    </cfRule>
  </conditionalFormatting>
  <conditionalFormatting sqref="E2202">
    <cfRule type="containsText" dxfId="5494" priority="8575" operator="containsText" text="Pesquisa de Preços">
      <formula>NOT(ISERROR(SEARCH("Pesquisa de Preços",E2202)))</formula>
    </cfRule>
  </conditionalFormatting>
  <conditionalFormatting sqref="E2078:E2080">
    <cfRule type="containsText" dxfId="5493" priority="8591" operator="containsText" text="Pesquisa de Preços">
      <formula>NOT(ISERROR(SEARCH("Pesquisa de Preços",E2078)))</formula>
    </cfRule>
  </conditionalFormatting>
  <conditionalFormatting sqref="E2193">
    <cfRule type="containsText" dxfId="5492" priority="8580" operator="containsText" text="Pesquisa de Preços">
      <formula>NOT(ISERROR(SEARCH("Pesquisa de Preços",E2193)))</formula>
    </cfRule>
  </conditionalFormatting>
  <conditionalFormatting sqref="E2195">
    <cfRule type="containsText" dxfId="5491" priority="8579" operator="containsText" text="Pesquisa de Preços">
      <formula>NOT(ISERROR(SEARCH("Pesquisa de Preços",E2195)))</formula>
    </cfRule>
  </conditionalFormatting>
  <conditionalFormatting sqref="E2072">
    <cfRule type="containsText" dxfId="5490" priority="8590" operator="containsText" text="Pesquisa de Preços">
      <formula>NOT(ISERROR(SEARCH("Pesquisa de Preços",E2072)))</formula>
    </cfRule>
  </conditionalFormatting>
  <conditionalFormatting sqref="E1998">
    <cfRule type="containsText" dxfId="5489" priority="8587" operator="containsText" text="Pesquisa de Preços">
      <formula>NOT(ISERROR(SEARCH("Pesquisa de Preços",E1998)))</formula>
    </cfRule>
  </conditionalFormatting>
  <conditionalFormatting sqref="E1996:E1997 E1999:E2000">
    <cfRule type="containsText" dxfId="5488" priority="8589" operator="containsText" text="Pesquisa de Preços">
      <formula>NOT(ISERROR(SEARCH("Pesquisa de Preços",E1996)))</formula>
    </cfRule>
  </conditionalFormatting>
  <conditionalFormatting sqref="E1995">
    <cfRule type="containsText" dxfId="5487" priority="8588" operator="containsText" text="Pesquisa de Preços">
      <formula>NOT(ISERROR(SEARCH("Pesquisa de Preços",E1995)))</formula>
    </cfRule>
  </conditionalFormatting>
  <conditionalFormatting sqref="E2090">
    <cfRule type="containsText" dxfId="5486" priority="8586" operator="containsText" text="Pesquisa de Preços">
      <formula>NOT(ISERROR(SEARCH("Pesquisa de Preços",E2090)))</formula>
    </cfRule>
  </conditionalFormatting>
  <conditionalFormatting sqref="E2089">
    <cfRule type="containsText" dxfId="5485" priority="8585" operator="containsText" text="Pesquisa de Preços">
      <formula>NOT(ISERROR(SEARCH("Pesquisa de Preços",E2089)))</formula>
    </cfRule>
  </conditionalFormatting>
  <conditionalFormatting sqref="E2184:E2185">
    <cfRule type="containsText" dxfId="5484" priority="8584" operator="containsText" text="Pesquisa de Preços">
      <formula>NOT(ISERROR(SEARCH("Pesquisa de Preços",E2184)))</formula>
    </cfRule>
  </conditionalFormatting>
  <conditionalFormatting sqref="E2183">
    <cfRule type="containsText" dxfId="5483" priority="8583" operator="containsText" text="Pesquisa de Preços">
      <formula>NOT(ISERROR(SEARCH("Pesquisa de Preços",E2183)))</formula>
    </cfRule>
  </conditionalFormatting>
  <conditionalFormatting sqref="E2189:E2190 E2192">
    <cfRule type="containsText" dxfId="5482" priority="8582" operator="containsText" text="Pesquisa de Preços">
      <formula>NOT(ISERROR(SEARCH("Pesquisa de Preços",E2189)))</formula>
    </cfRule>
  </conditionalFormatting>
  <conditionalFormatting sqref="E2209 E2212:E2213">
    <cfRule type="containsText" dxfId="5481" priority="8578" operator="containsText" text="Pesquisa de Preços">
      <formula>NOT(ISERROR(SEARCH("Pesquisa de Preços",E2209)))</formula>
    </cfRule>
  </conditionalFormatting>
  <conditionalFormatting sqref="E2203 E2207">
    <cfRule type="containsText" dxfId="5480" priority="8576" operator="containsText" text="Pesquisa de Preços">
      <formula>NOT(ISERROR(SEARCH("Pesquisa de Preços",E2203)))</formula>
    </cfRule>
  </conditionalFormatting>
  <conditionalFormatting sqref="E2275">
    <cfRule type="containsText" dxfId="5479" priority="8571" operator="containsText" text="Pesquisa de Preços">
      <formula>NOT(ISERROR(SEARCH("Pesquisa de Preços",E2275)))</formula>
    </cfRule>
  </conditionalFormatting>
  <conditionalFormatting sqref="E2232">
    <cfRule type="containsText" dxfId="5478" priority="8572" operator="containsText" text="Pesquisa de Preços">
      <formula>NOT(ISERROR(SEARCH("Pesquisa de Preços",E2232)))</formula>
    </cfRule>
  </conditionalFormatting>
  <conditionalFormatting sqref="E2264">
    <cfRule type="containsText" dxfId="5477" priority="8568" operator="containsText" text="Pesquisa de Preços">
      <formula>NOT(ISERROR(SEARCH("Pesquisa de Preços",E2264)))</formula>
    </cfRule>
  </conditionalFormatting>
  <conditionalFormatting sqref="E2265">
    <cfRule type="containsText" dxfId="5476" priority="8569" operator="containsText" text="Pesquisa de Preços">
      <formula>NOT(ISERROR(SEARCH("Pesquisa de Preços",E2265)))</formula>
    </cfRule>
  </conditionalFormatting>
  <conditionalFormatting sqref="E2255 E2263">
    <cfRule type="containsText" dxfId="5475" priority="8566" operator="containsText" text="Pesquisa de Preços">
      <formula>NOT(ISERROR(SEARCH("Pesquisa de Preços",E2255)))</formula>
    </cfRule>
  </conditionalFormatting>
  <conditionalFormatting sqref="E2214">
    <cfRule type="containsText" dxfId="5474" priority="8563" operator="containsText" text="Pesquisa de Preços">
      <formula>NOT(ISERROR(SEARCH("Pesquisa de Preços",E2214)))</formula>
    </cfRule>
  </conditionalFormatting>
  <conditionalFormatting sqref="E2215:E2216">
    <cfRule type="containsText" dxfId="5473" priority="8564" operator="containsText" text="Pesquisa de Preços">
      <formula>NOT(ISERROR(SEARCH("Pesquisa de Preços",E2215)))</formula>
    </cfRule>
  </conditionalFormatting>
  <conditionalFormatting sqref="E2291">
    <cfRule type="containsText" dxfId="5472" priority="8560" operator="containsText" text="Pesquisa de Preços">
      <formula>NOT(ISERROR(SEARCH("Pesquisa de Preços",E2291)))</formula>
    </cfRule>
  </conditionalFormatting>
  <conditionalFormatting sqref="E2296">
    <cfRule type="containsText" dxfId="5471" priority="8559" operator="containsText" text="Pesquisa de Preços">
      <formula>NOT(ISERROR(SEARCH("Pesquisa de Preços",E2296)))</formula>
    </cfRule>
  </conditionalFormatting>
  <conditionalFormatting sqref="E2290">
    <cfRule type="containsText" dxfId="5470" priority="8558" operator="containsText" text="Pesquisa de Preços">
      <formula>NOT(ISERROR(SEARCH("Pesquisa de Preços",E2290)))</formula>
    </cfRule>
  </conditionalFormatting>
  <conditionalFormatting sqref="E2323">
    <cfRule type="containsText" dxfId="5469" priority="8557" operator="containsText" text="Pesquisa de Preços">
      <formula>NOT(ISERROR(SEARCH("Pesquisa de Preços",E2323)))</formula>
    </cfRule>
  </conditionalFormatting>
  <conditionalFormatting sqref="E2322">
    <cfRule type="containsText" dxfId="5468" priority="8556" operator="containsText" text="Pesquisa de Preços">
      <formula>NOT(ISERROR(SEARCH("Pesquisa de Preços",E2322)))</formula>
    </cfRule>
  </conditionalFormatting>
  <conditionalFormatting sqref="E2310">
    <cfRule type="containsText" dxfId="5467" priority="8554" operator="containsText" text="Pesquisa de Preços">
      <formula>NOT(ISERROR(SEARCH("Pesquisa de Preços",E2310)))</formula>
    </cfRule>
  </conditionalFormatting>
  <conditionalFormatting sqref="E2305:E2306 E2309">
    <cfRule type="containsText" dxfId="5466" priority="8553" operator="containsText" text="Pesquisa de Preços">
      <formula>NOT(ISERROR(SEARCH("Pesquisa de Preços",E2305)))</formula>
    </cfRule>
  </conditionalFormatting>
  <conditionalFormatting sqref="E2317:E2318 E2320:E2321">
    <cfRule type="containsText" dxfId="5465" priority="8551" operator="containsText" text="Pesquisa de Preços">
      <formula>NOT(ISERROR(SEARCH("Pesquisa de Preços",E2317)))</formula>
    </cfRule>
  </conditionalFormatting>
  <conditionalFormatting sqref="E2319">
    <cfRule type="containsText" dxfId="5464" priority="8549" operator="containsText" text="Pesquisa de Preços">
      <formula>NOT(ISERROR(SEARCH("Pesquisa de Preços",E2319)))</formula>
    </cfRule>
  </conditionalFormatting>
  <conditionalFormatting sqref="E2299 E2302:E2303">
    <cfRule type="containsText" dxfId="5463" priority="8548" operator="containsText" text="Pesquisa de Preços">
      <formula>NOT(ISERROR(SEARCH("Pesquisa de Preços",E2299)))</formula>
    </cfRule>
  </conditionalFormatting>
  <conditionalFormatting sqref="E2298">
    <cfRule type="containsText" dxfId="5462" priority="8547" operator="containsText" text="Pesquisa de Preços">
      <formula>NOT(ISERROR(SEARCH("Pesquisa de Preços",E2298)))</formula>
    </cfRule>
  </conditionalFormatting>
  <conditionalFormatting sqref="E2301">
    <cfRule type="containsText" dxfId="5461" priority="8546" operator="containsText" text="Pesquisa de Preços">
      <formula>NOT(ISERROR(SEARCH("Pesquisa de Preços",E2301)))</formula>
    </cfRule>
  </conditionalFormatting>
  <conditionalFormatting sqref="E2328:E2331">
    <cfRule type="containsText" dxfId="5460" priority="8545" operator="containsText" text="Pesquisa de Preços">
      <formula>NOT(ISERROR(SEARCH("Pesquisa de Preços",E2328)))</formula>
    </cfRule>
  </conditionalFormatting>
  <conditionalFormatting sqref="E2333 E2335:E2336">
    <cfRule type="containsText" dxfId="5459" priority="8543" operator="containsText" text="Pesquisa de Preços">
      <formula>NOT(ISERROR(SEARCH("Pesquisa de Preços",E2333)))</formula>
    </cfRule>
  </conditionalFormatting>
  <conditionalFormatting sqref="E890:E891 E893:E895">
    <cfRule type="containsText" dxfId="5458" priority="8541" operator="containsText" text="Pesquisa de Preços">
      <formula>NOT(ISERROR(SEARCH("Pesquisa de Preços",E890)))</formula>
    </cfRule>
  </conditionalFormatting>
  <conditionalFormatting sqref="E850:E851">
    <cfRule type="containsText" dxfId="5457" priority="8533" operator="containsText" text="Pesquisa de Preços">
      <formula>NOT(ISERROR(SEARCH("Pesquisa de Preços",E850)))</formula>
    </cfRule>
  </conditionalFormatting>
  <conditionalFormatting sqref="E869 E874:E875">
    <cfRule type="containsText" dxfId="5456" priority="8539" operator="containsText" text="Pesquisa de Preços">
      <formula>NOT(ISERROR(SEARCH("Pesquisa de Preços",E869)))</formula>
    </cfRule>
  </conditionalFormatting>
  <conditionalFormatting sqref="E882:E883">
    <cfRule type="containsText" dxfId="5455" priority="8536" operator="containsText" text="Pesquisa de Preços">
      <formula>NOT(ISERROR(SEARCH("Pesquisa de Preços",E882)))</formula>
    </cfRule>
  </conditionalFormatting>
  <conditionalFormatting sqref="E861">
    <cfRule type="containsText" dxfId="5454" priority="8526" operator="containsText" text="Pesquisa de Preços">
      <formula>NOT(ISERROR(SEARCH("Pesquisa de Preços",E861)))</formula>
    </cfRule>
  </conditionalFormatting>
  <conditionalFormatting sqref="E851:E853">
    <cfRule type="containsText" dxfId="5453" priority="8531" operator="containsText" text="Pesquisa de Preços">
      <formula>NOT(ISERROR(SEARCH("Pesquisa de Preços",E851)))</formula>
    </cfRule>
  </conditionalFormatting>
  <conditionalFormatting sqref="E839:E842">
    <cfRule type="containsText" dxfId="5452" priority="8530" operator="containsText" text="Pesquisa de Preços">
      <formula>NOT(ISERROR(SEARCH("Pesquisa de Preços",E839)))</formula>
    </cfRule>
  </conditionalFormatting>
  <conditionalFormatting sqref="E838">
    <cfRule type="containsText" dxfId="5451" priority="8529" operator="containsText" text="Pesquisa de Preços">
      <formula>NOT(ISERROR(SEARCH("Pesquisa de Preços",E838)))</formula>
    </cfRule>
  </conditionalFormatting>
  <conditionalFormatting sqref="E844 E847:E848">
    <cfRule type="containsText" dxfId="5450" priority="8528" operator="containsText" text="Pesquisa de Preços">
      <formula>NOT(ISERROR(SEARCH("Pesquisa de Preços",E844)))</formula>
    </cfRule>
  </conditionalFormatting>
  <conditionalFormatting sqref="E860">
    <cfRule type="containsText" dxfId="5449" priority="8525" operator="containsText" text="Pesquisa de Preços">
      <formula>NOT(ISERROR(SEARCH("Pesquisa de Preços",E860)))</formula>
    </cfRule>
  </conditionalFormatting>
  <conditionalFormatting sqref="E856">
    <cfRule type="containsText" dxfId="5448" priority="8524" operator="containsText" text="Pesquisa de Preços">
      <formula>NOT(ISERROR(SEARCH("Pesquisa de Preços",E856)))</formula>
    </cfRule>
  </conditionalFormatting>
  <conditionalFormatting sqref="E855">
    <cfRule type="containsText" dxfId="5447" priority="8523" operator="containsText" text="Pesquisa de Preços">
      <formula>NOT(ISERROR(SEARCH("Pesquisa de Preços",E855)))</formula>
    </cfRule>
  </conditionalFormatting>
  <conditionalFormatting sqref="E885:E886">
    <cfRule type="containsText" dxfId="5446" priority="8522" operator="containsText" text="Pesquisa de Preços">
      <formula>NOT(ISERROR(SEARCH("Pesquisa de Preços",E885)))</formula>
    </cfRule>
  </conditionalFormatting>
  <conditionalFormatting sqref="E884">
    <cfRule type="containsText" dxfId="5445" priority="8521" operator="containsText" text="Pesquisa de Preços">
      <formula>NOT(ISERROR(SEARCH("Pesquisa de Preços",E884)))</formula>
    </cfRule>
  </conditionalFormatting>
  <conditionalFormatting sqref="E897:E898">
    <cfRule type="containsText" dxfId="5444" priority="8520" operator="containsText" text="Pesquisa de Preços">
      <formula>NOT(ISERROR(SEARCH("Pesquisa de Preços",E897)))</formula>
    </cfRule>
  </conditionalFormatting>
  <conditionalFormatting sqref="E896">
    <cfRule type="containsText" dxfId="5443" priority="8519" operator="containsText" text="Pesquisa de Preços">
      <formula>NOT(ISERROR(SEARCH("Pesquisa de Preços",E896)))</formula>
    </cfRule>
  </conditionalFormatting>
  <conditionalFormatting sqref="E2344:E2345">
    <cfRule type="containsText" dxfId="5442" priority="8518" operator="containsText" text="Pesquisa de Preços">
      <formula>NOT(ISERROR(SEARCH("Pesquisa de Preços",E2344)))</formula>
    </cfRule>
  </conditionalFormatting>
  <conditionalFormatting sqref="E2343">
    <cfRule type="containsText" dxfId="5441" priority="8517" operator="containsText" text="Pesquisa de Preços">
      <formula>NOT(ISERROR(SEARCH("Pesquisa de Preços",E2343)))</formula>
    </cfRule>
  </conditionalFormatting>
  <conditionalFormatting sqref="E2352 E2355 E2357">
    <cfRule type="containsText" dxfId="5440" priority="8516" operator="containsText" text="Pesquisa de Preços">
      <formula>NOT(ISERROR(SEARCH("Pesquisa de Preços",E2352)))</formula>
    </cfRule>
  </conditionalFormatting>
  <conditionalFormatting sqref="E2351">
    <cfRule type="containsText" dxfId="5439" priority="8515" operator="containsText" text="Pesquisa de Preços">
      <formula>NOT(ISERROR(SEARCH("Pesquisa de Preços",E2351)))</formula>
    </cfRule>
  </conditionalFormatting>
  <conditionalFormatting sqref="E2338:E2339 E2341:E2342">
    <cfRule type="containsText" dxfId="5438" priority="8514" operator="containsText" text="Pesquisa de Preços">
      <formula>NOT(ISERROR(SEARCH("Pesquisa de Preços",E2338)))</formula>
    </cfRule>
  </conditionalFormatting>
  <conditionalFormatting sqref="E2365 E2370">
    <cfRule type="containsText" dxfId="5437" priority="8511" operator="containsText" text="Pesquisa de Preços">
      <formula>NOT(ISERROR(SEARCH("Pesquisa de Preços",E2365)))</formula>
    </cfRule>
  </conditionalFormatting>
  <conditionalFormatting sqref="E2340">
    <cfRule type="containsText" dxfId="5436" priority="8512" operator="containsText" text="Pesquisa de Preços">
      <formula>NOT(ISERROR(SEARCH("Pesquisa de Preços",E2340)))</formula>
    </cfRule>
  </conditionalFormatting>
  <conditionalFormatting sqref="E2359">
    <cfRule type="containsText" dxfId="5435" priority="8509" operator="containsText" text="Pesquisa de Preços">
      <formula>NOT(ISERROR(SEARCH("Pesquisa de Preços",E2359)))</formula>
    </cfRule>
  </conditionalFormatting>
  <conditionalFormatting sqref="E1745:E1746 E1749:E1750">
    <cfRule type="containsText" dxfId="5434" priority="8507" operator="containsText" text="Pesquisa de Preços">
      <formula>NOT(ISERROR(SEARCH("Pesquisa de Preços",E1745)))</formula>
    </cfRule>
  </conditionalFormatting>
  <conditionalFormatting sqref="E1744">
    <cfRule type="containsText" dxfId="5433" priority="8506" operator="containsText" text="Pesquisa de Preços">
      <formula>NOT(ISERROR(SEARCH("Pesquisa de Preços",E1744)))</formula>
    </cfRule>
  </conditionalFormatting>
  <conditionalFormatting sqref="E1718">
    <cfRule type="containsText" dxfId="5432" priority="8433" operator="containsText" text="Pesquisa de Preços">
      <formula>NOT(ISERROR(SEARCH("Pesquisa de Preços",E1718)))</formula>
    </cfRule>
  </conditionalFormatting>
  <conditionalFormatting sqref="E1748">
    <cfRule type="containsText" dxfId="5431" priority="8505" operator="containsText" text="Pesquisa de Preços">
      <formula>NOT(ISERROR(SEARCH("Pesquisa de Preços",E1748)))</formula>
    </cfRule>
  </conditionalFormatting>
  <conditionalFormatting sqref="E1759:E1760 E1764">
    <cfRule type="containsText" dxfId="5430" priority="8504" operator="containsText" text="Pesquisa de Preços">
      <formula>NOT(ISERROR(SEARCH("Pesquisa de Preços",E1759)))</formula>
    </cfRule>
  </conditionalFormatting>
  <conditionalFormatting sqref="E1758">
    <cfRule type="containsText" dxfId="5429" priority="8503" operator="containsText" text="Pesquisa de Preços">
      <formula>NOT(ISERROR(SEARCH("Pesquisa de Preços",E1758)))</formula>
    </cfRule>
  </conditionalFormatting>
  <conditionalFormatting sqref="E1773 E1778">
    <cfRule type="containsText" dxfId="5428" priority="8501" operator="containsText" text="Pesquisa de Preços">
      <formula>NOT(ISERROR(SEARCH("Pesquisa de Preços",E1773)))</formula>
    </cfRule>
  </conditionalFormatting>
  <conditionalFormatting sqref="E1772">
    <cfRule type="containsText" dxfId="5427" priority="8500" operator="containsText" text="Pesquisa de Preços">
      <formula>NOT(ISERROR(SEARCH("Pesquisa de Preços",E1772)))</formula>
    </cfRule>
  </conditionalFormatting>
  <conditionalFormatting sqref="E1731:E1732 E1735:E1736">
    <cfRule type="containsText" dxfId="5426" priority="8498" operator="containsText" text="Pesquisa de Preços">
      <formula>NOT(ISERROR(SEARCH("Pesquisa de Preços",E1731)))</formula>
    </cfRule>
  </conditionalFormatting>
  <conditionalFormatting sqref="E1730">
    <cfRule type="containsText" dxfId="5425" priority="8497" operator="containsText" text="Pesquisa de Preços">
      <formula>NOT(ISERROR(SEARCH("Pesquisa de Preços",E1730)))</formula>
    </cfRule>
  </conditionalFormatting>
  <conditionalFormatting sqref="E1733:E1734">
    <cfRule type="containsText" dxfId="5424" priority="8496" operator="containsText" text="Pesquisa de Preços">
      <formula>NOT(ISERROR(SEARCH("Pesquisa de Preços",E1733)))</formula>
    </cfRule>
  </conditionalFormatting>
  <conditionalFormatting sqref="E1738:E1739 E1742:E1743">
    <cfRule type="containsText" dxfId="5423" priority="8495" operator="containsText" text="Pesquisa de Preços">
      <formula>NOT(ISERROR(SEARCH("Pesquisa de Preços",E1738)))</formula>
    </cfRule>
  </conditionalFormatting>
  <conditionalFormatting sqref="E1737">
    <cfRule type="containsText" dxfId="5422" priority="8494" operator="containsText" text="Pesquisa de Preços">
      <formula>NOT(ISERROR(SEARCH("Pesquisa de Preços",E1737)))</formula>
    </cfRule>
  </conditionalFormatting>
  <conditionalFormatting sqref="E583 E587">
    <cfRule type="containsText" dxfId="5421" priority="8432" operator="containsText" text="Pesquisa de Preços">
      <formula>NOT(ISERROR(SEARCH("Pesquisa de Preços",E583)))</formula>
    </cfRule>
  </conditionalFormatting>
  <conditionalFormatting sqref="E1740:E1741">
    <cfRule type="containsText" dxfId="5420" priority="8493" operator="containsText" text="Pesquisa de Preços">
      <formula>NOT(ISERROR(SEARCH("Pesquisa de Preços",E1740)))</formula>
    </cfRule>
  </conditionalFormatting>
  <conditionalFormatting sqref="E1752 E1757">
    <cfRule type="containsText" dxfId="5419" priority="8492" operator="containsText" text="Pesquisa de Preços">
      <formula>NOT(ISERROR(SEARCH("Pesquisa de Preços",E1752)))</formula>
    </cfRule>
  </conditionalFormatting>
  <conditionalFormatting sqref="E1751">
    <cfRule type="containsText" dxfId="5418" priority="8491" operator="containsText" text="Pesquisa de Preços">
      <formula>NOT(ISERROR(SEARCH("Pesquisa de Preços",E1751)))</formula>
    </cfRule>
  </conditionalFormatting>
  <conditionalFormatting sqref="E373">
    <cfRule type="containsText" dxfId="5417" priority="8429" operator="containsText" text="Pesquisa de Preços">
      <formula>NOT(ISERROR(SEARCH("Pesquisa de Preços",E373)))</formula>
    </cfRule>
  </conditionalFormatting>
  <conditionalFormatting sqref="E1771">
    <cfRule type="containsText" dxfId="5416" priority="8490" operator="containsText" text="Pesquisa de Preços">
      <formula>NOT(ISERROR(SEARCH("Pesquisa de Preços",E1771)))</formula>
    </cfRule>
  </conditionalFormatting>
  <conditionalFormatting sqref="E1158">
    <cfRule type="containsText" dxfId="5415" priority="8489" operator="containsText" text="Pesquisa de Preços">
      <formula>NOT(ISERROR(SEARCH("Pesquisa de Preços",E1158)))</formula>
    </cfRule>
  </conditionalFormatting>
  <conditionalFormatting sqref="E1957">
    <cfRule type="containsText" dxfId="5414" priority="8487" operator="containsText" text="Pesquisa de Preços">
      <formula>NOT(ISERROR(SEARCH("Pesquisa de Preços",E1957)))</formula>
    </cfRule>
  </conditionalFormatting>
  <conditionalFormatting sqref="E1990">
    <cfRule type="containsText" dxfId="5413" priority="8485" operator="containsText" text="Pesquisa de Preços">
      <formula>NOT(ISERROR(SEARCH("Pesquisa de Preços",E1990)))</formula>
    </cfRule>
  </conditionalFormatting>
  <conditionalFormatting sqref="E1991:E1992">
    <cfRule type="containsText" dxfId="5412" priority="8484" operator="containsText" text="Pesquisa de Preços">
      <formula>NOT(ISERROR(SEARCH("Pesquisa de Preços",E1991)))</formula>
    </cfRule>
  </conditionalFormatting>
  <conditionalFormatting sqref="E1969 E1972">
    <cfRule type="containsText" dxfId="5411" priority="8483" operator="containsText" text="Pesquisa de Preços">
      <formula>NOT(ISERROR(SEARCH("Pesquisa de Preços",E1969)))</formula>
    </cfRule>
  </conditionalFormatting>
  <conditionalFormatting sqref="E1970:E1971">
    <cfRule type="containsText" dxfId="5410" priority="8482" operator="containsText" text="Pesquisa de Preços">
      <formula>NOT(ISERROR(SEARCH("Pesquisa de Preços",E1970)))</formula>
    </cfRule>
  </conditionalFormatting>
  <conditionalFormatting sqref="E2070:E2071">
    <cfRule type="containsText" dxfId="5409" priority="8481" operator="containsText" text="Pesquisa de Preços">
      <formula>NOT(ISERROR(SEARCH("Pesquisa de Preços",E2070)))</formula>
    </cfRule>
  </conditionalFormatting>
  <conditionalFormatting sqref="E2006:E2007">
    <cfRule type="containsText" dxfId="5408" priority="8480" operator="containsText" text="Pesquisa de Preços">
      <formula>NOT(ISERROR(SEARCH("Pesquisa de Preços",E2006)))</formula>
    </cfRule>
  </conditionalFormatting>
  <conditionalFormatting sqref="E822">
    <cfRule type="containsText" dxfId="5407" priority="8412" operator="containsText" text="Pesquisa de Preços">
      <formula>NOT(ISERROR(SEARCH("Pesquisa de Preços",E822)))</formula>
    </cfRule>
  </conditionalFormatting>
  <conditionalFormatting sqref="E823">
    <cfRule type="containsText" dxfId="5406" priority="8411" operator="containsText" text="Pesquisa de Preços">
      <formula>NOT(ISERROR(SEARCH("Pesquisa de Preços",E823)))</formula>
    </cfRule>
  </conditionalFormatting>
  <conditionalFormatting sqref="E94:E95">
    <cfRule type="containsText" dxfId="5405" priority="8406" operator="containsText" text="Pesquisa de Preços">
      <formula>NOT(ISERROR(SEARCH("Pesquisa de Preços",E94)))</formula>
    </cfRule>
  </conditionalFormatting>
  <conditionalFormatting sqref="E207">
    <cfRule type="containsText" dxfId="5404" priority="8404" operator="containsText" text="Pesquisa de Preços">
      <formula>NOT(ISERROR(SEARCH("Pesquisa de Preços",E207)))</formula>
    </cfRule>
  </conditionalFormatting>
  <conditionalFormatting sqref="E1614">
    <cfRule type="containsText" dxfId="5403" priority="8402" operator="containsText" text="Pesquisa de Preços">
      <formula>NOT(ISERROR(SEARCH("Pesquisa de Preços",E1614)))</formula>
    </cfRule>
  </conditionalFormatting>
  <conditionalFormatting sqref="E1590">
    <cfRule type="containsText" dxfId="5402" priority="8400" operator="containsText" text="Pesquisa de Preços">
      <formula>NOT(ISERROR(SEARCH("Pesquisa de Preços",E1590)))</formula>
    </cfRule>
  </conditionalFormatting>
  <conditionalFormatting sqref="E1666">
    <cfRule type="containsText" dxfId="5401" priority="8399" operator="containsText" text="Pesquisa de Preços">
      <formula>NOT(ISERROR(SEARCH("Pesquisa de Preços",E1666)))</formula>
    </cfRule>
  </conditionalFormatting>
  <conditionalFormatting sqref="E54">
    <cfRule type="containsText" dxfId="5400" priority="8462" operator="containsText" text="Pesquisa de Preços">
      <formula>NOT(ISERROR(SEARCH("Pesquisa de Preços",E54)))</formula>
    </cfRule>
  </conditionalFormatting>
  <conditionalFormatting sqref="E206">
    <cfRule type="containsText" dxfId="5399" priority="8479" operator="containsText" text="Pesquisa de Preços">
      <formula>NOT(ISERROR(SEARCH("Pesquisa de Preços",E206)))</formula>
    </cfRule>
  </conditionalFormatting>
  <conditionalFormatting sqref="E205">
    <cfRule type="containsText" dxfId="5398" priority="8478" operator="containsText" text="Pesquisa de Preços">
      <formula>NOT(ISERROR(SEARCH("Pesquisa de Preços",E205)))</formula>
    </cfRule>
  </conditionalFormatting>
  <conditionalFormatting sqref="E103:E104">
    <cfRule type="containsText" dxfId="5397" priority="8477" operator="containsText" text="Pesquisa de Preços">
      <formula>NOT(ISERROR(SEARCH("Pesquisa de Preços",E103)))</formula>
    </cfRule>
  </conditionalFormatting>
  <conditionalFormatting sqref="E102">
    <cfRule type="containsText" dxfId="5396" priority="8476" operator="containsText" text="Pesquisa de Preços">
      <formula>NOT(ISERROR(SEARCH("Pesquisa de Preços",E102)))</formula>
    </cfRule>
  </conditionalFormatting>
  <conditionalFormatting sqref="E416:E417">
    <cfRule type="containsText" dxfId="5395" priority="8475" operator="containsText" text="Pesquisa de Preços">
      <formula>NOT(ISERROR(SEARCH("Pesquisa de Preços",E416)))</formula>
    </cfRule>
  </conditionalFormatting>
  <conditionalFormatting sqref="E415">
    <cfRule type="containsText" dxfId="5394" priority="8474" operator="containsText" text="Pesquisa de Preços">
      <formula>NOT(ISERROR(SEARCH("Pesquisa de Preços",E415)))</formula>
    </cfRule>
  </conditionalFormatting>
  <conditionalFormatting sqref="E418:E420">
    <cfRule type="containsText" dxfId="5393" priority="8473" operator="containsText" text="Pesquisa de Preços">
      <formula>NOT(ISERROR(SEARCH("Pesquisa de Preços",E418)))</formula>
    </cfRule>
  </conditionalFormatting>
  <conditionalFormatting sqref="E609 E613">
    <cfRule type="containsText" dxfId="5392" priority="8472" operator="containsText" text="Pesquisa de Preços">
      <formula>NOT(ISERROR(SEARCH("Pesquisa de Preços",E609)))</formula>
    </cfRule>
  </conditionalFormatting>
  <conditionalFormatting sqref="E608">
    <cfRule type="containsText" dxfId="5391" priority="8471" operator="containsText" text="Pesquisa de Preços">
      <formula>NOT(ISERROR(SEARCH("Pesquisa de Preços",E608)))</formula>
    </cfRule>
  </conditionalFormatting>
  <conditionalFormatting sqref="E582 E588">
    <cfRule type="containsText" dxfId="5390" priority="8470" operator="containsText" text="Pesquisa de Preços">
      <formula>NOT(ISERROR(SEARCH("Pesquisa de Preços",E582)))</formula>
    </cfRule>
  </conditionalFormatting>
  <conditionalFormatting sqref="E581">
    <cfRule type="containsText" dxfId="5389" priority="8469" operator="containsText" text="Pesquisa de Preços">
      <formula>NOT(ISERROR(SEARCH("Pesquisa de Preços",E581)))</formula>
    </cfRule>
  </conditionalFormatting>
  <conditionalFormatting sqref="E631:E632 E635:E636">
    <cfRule type="containsText" dxfId="5388" priority="8468" operator="containsText" text="Pesquisa de Preços">
      <formula>NOT(ISERROR(SEARCH("Pesquisa de Preços",E631)))</formula>
    </cfRule>
  </conditionalFormatting>
  <conditionalFormatting sqref="E630">
    <cfRule type="containsText" dxfId="5387" priority="8467" operator="containsText" text="Pesquisa de Preços">
      <formula>NOT(ISERROR(SEARCH("Pesquisa de Preços",E630)))</formula>
    </cfRule>
  </conditionalFormatting>
  <conditionalFormatting sqref="E633:E634">
    <cfRule type="containsText" dxfId="5386" priority="8466" operator="containsText" text="Pesquisa de Preços">
      <formula>NOT(ISERROR(SEARCH("Pesquisa de Preços",E633)))</formula>
    </cfRule>
  </conditionalFormatting>
  <conditionalFormatting sqref="E226">
    <cfRule type="containsText" dxfId="5385" priority="8465" operator="containsText" text="Pesquisa de Preços">
      <formula>NOT(ISERROR(SEARCH("Pesquisa de Preços",E226)))</formula>
    </cfRule>
  </conditionalFormatting>
  <conditionalFormatting sqref="E151:E152">
    <cfRule type="containsText" dxfId="5384" priority="8464" operator="containsText" text="Pesquisa de Preços">
      <formula>NOT(ISERROR(SEARCH("Pesquisa de Preços",E151)))</formula>
    </cfRule>
  </conditionalFormatting>
  <conditionalFormatting sqref="E163:E164">
    <cfRule type="containsText" dxfId="5383" priority="8463" operator="containsText" text="Pesquisa de Preços">
      <formula>NOT(ISERROR(SEARCH("Pesquisa de Preços",E163)))</formula>
    </cfRule>
  </conditionalFormatting>
  <conditionalFormatting sqref="E55:E57">
    <cfRule type="containsText" dxfId="5382" priority="8461" operator="containsText" text="Pesquisa de Preços">
      <formula>NOT(ISERROR(SEARCH("Pesquisa de Preços",E55)))</formula>
    </cfRule>
  </conditionalFormatting>
  <conditionalFormatting sqref="E30:E31">
    <cfRule type="containsText" dxfId="5381" priority="8460" operator="containsText" text="Pesquisa de Preços">
      <formula>NOT(ISERROR(SEARCH("Pesquisa de Preços",E30)))</formula>
    </cfRule>
  </conditionalFormatting>
  <conditionalFormatting sqref="E25:E26">
    <cfRule type="containsText" dxfId="5380" priority="8459" operator="containsText" text="Pesquisa de Preços">
      <formula>NOT(ISERROR(SEARCH("Pesquisa de Preços",E25)))</formula>
    </cfRule>
  </conditionalFormatting>
  <conditionalFormatting sqref="E181">
    <cfRule type="containsText" dxfId="5379" priority="8458" operator="containsText" text="Pesquisa de Preços">
      <formula>NOT(ISERROR(SEARCH("Pesquisa de Preços",E181)))</formula>
    </cfRule>
  </conditionalFormatting>
  <conditionalFormatting sqref="E128:E129">
    <cfRule type="containsText" dxfId="5378" priority="8457" operator="containsText" text="Pesquisa de Preços">
      <formula>NOT(ISERROR(SEARCH("Pesquisa de Preços",E128)))</formula>
    </cfRule>
  </conditionalFormatting>
  <conditionalFormatting sqref="E1895">
    <cfRule type="containsText" dxfId="5377" priority="8382" operator="containsText" text="Pesquisa de Preços">
      <formula>NOT(ISERROR(SEARCH("Pesquisa de Preços",E1895)))</formula>
    </cfRule>
  </conditionalFormatting>
  <conditionalFormatting sqref="E84">
    <cfRule type="containsText" dxfId="5376" priority="8456" operator="containsText" text="Pesquisa de Preços">
      <formula>NOT(ISERROR(SEARCH("Pesquisa de Preços",E84)))</formula>
    </cfRule>
  </conditionalFormatting>
  <conditionalFormatting sqref="E85">
    <cfRule type="containsText" dxfId="5375" priority="8455" operator="containsText" text="Pesquisa de Preços">
      <formula>NOT(ISERROR(SEARCH("Pesquisa de Preços",E85)))</formula>
    </cfRule>
  </conditionalFormatting>
  <conditionalFormatting sqref="E61">
    <cfRule type="containsText" dxfId="5374" priority="8454" operator="containsText" text="Pesquisa de Preços">
      <formula>NOT(ISERROR(SEARCH("Pesquisa de Preços",E61)))</formula>
    </cfRule>
  </conditionalFormatting>
  <conditionalFormatting sqref="E62">
    <cfRule type="containsText" dxfId="5373" priority="8453" operator="containsText" text="Pesquisa de Preços">
      <formula>NOT(ISERROR(SEARCH("Pesquisa de Preços",E62)))</formula>
    </cfRule>
  </conditionalFormatting>
  <conditionalFormatting sqref="E2324">
    <cfRule type="containsText" dxfId="5372" priority="8379" operator="containsText" text="Pesquisa de Preços">
      <formula>NOT(ISERROR(SEARCH("Pesquisa de Preços",E2324)))</formula>
    </cfRule>
  </conditionalFormatting>
  <conditionalFormatting sqref="E44:E45">
    <cfRule type="containsText" dxfId="5371" priority="8452" operator="containsText" text="Pesquisa de Preços">
      <formula>NOT(ISERROR(SEARCH("Pesquisa de Preços",E44)))</formula>
    </cfRule>
  </conditionalFormatting>
  <conditionalFormatting sqref="E311">
    <cfRule type="containsText" dxfId="5370" priority="8451" operator="containsText" text="Pesquisa de Preços">
      <formula>NOT(ISERROR(SEARCH("Pesquisa de Preços",E311)))</formula>
    </cfRule>
  </conditionalFormatting>
  <conditionalFormatting sqref="E297">
    <cfRule type="containsText" dxfId="5369" priority="8450" operator="containsText" text="Pesquisa de Preços">
      <formula>NOT(ISERROR(SEARCH("Pesquisa de Preços",E297)))</formula>
    </cfRule>
  </conditionalFormatting>
  <conditionalFormatting sqref="E450">
    <cfRule type="containsText" dxfId="5368" priority="8449" operator="containsText" text="Pesquisa de Preços">
      <formula>NOT(ISERROR(SEARCH("Pesquisa de Preços",E450)))</formula>
    </cfRule>
  </conditionalFormatting>
  <conditionalFormatting sqref="E493:E494">
    <cfRule type="containsText" dxfId="5367" priority="8446" operator="containsText" text="Pesquisa de Preços">
      <formula>NOT(ISERROR(SEARCH("Pesquisa de Preços",E493)))</formula>
    </cfRule>
  </conditionalFormatting>
  <conditionalFormatting sqref="E460">
    <cfRule type="containsText" dxfId="5366" priority="8448" operator="containsText" text="Pesquisa de Preços">
      <formula>NOT(ISERROR(SEARCH("Pesquisa de Preços",E460)))</formula>
    </cfRule>
  </conditionalFormatting>
  <conditionalFormatting sqref="E492 E495">
    <cfRule type="containsText" dxfId="5365" priority="8447" operator="containsText" text="Pesquisa de Preços">
      <formula>NOT(ISERROR(SEARCH("Pesquisa de Preços",E492)))</formula>
    </cfRule>
  </conditionalFormatting>
  <conditionalFormatting sqref="E616">
    <cfRule type="containsText" dxfId="5364" priority="8445" operator="containsText" text="Pesquisa de Preços">
      <formula>NOT(ISERROR(SEARCH("Pesquisa de Preços",E616)))</formula>
    </cfRule>
  </conditionalFormatting>
  <conditionalFormatting sqref="E617:E619">
    <cfRule type="containsText" dxfId="5363" priority="8444" operator="containsText" text="Pesquisa de Preços">
      <formula>NOT(ISERROR(SEARCH("Pesquisa de Preços",E617)))</formula>
    </cfRule>
  </conditionalFormatting>
  <conditionalFormatting sqref="E983">
    <cfRule type="containsText" dxfId="5362" priority="8443" operator="containsText" text="Pesquisa de Preços">
      <formula>NOT(ISERROR(SEARCH("Pesquisa de Preços",E983)))</formula>
    </cfRule>
  </conditionalFormatting>
  <conditionalFormatting sqref="E607">
    <cfRule type="containsText" dxfId="5361" priority="8427" operator="containsText" text="Pesquisa de Preços">
      <formula>NOT(ISERROR(SEARCH("Pesquisa de Preços",E607)))</formula>
    </cfRule>
  </conditionalFormatting>
  <conditionalFormatting sqref="E730">
    <cfRule type="containsText" dxfId="5360" priority="8426" operator="containsText" text="Pesquisa de Preços">
      <formula>NOT(ISERROR(SEARCH("Pesquisa de Preços",E730)))</formula>
    </cfRule>
  </conditionalFormatting>
  <conditionalFormatting sqref="E1483">
    <cfRule type="containsText" dxfId="5359" priority="8440" operator="containsText" text="Pesquisa de Preços">
      <formula>NOT(ISERROR(SEARCH("Pesquisa de Preços",E1483)))</formula>
    </cfRule>
  </conditionalFormatting>
  <conditionalFormatting sqref="E584:E586">
    <cfRule type="containsText" dxfId="5358" priority="8431" operator="containsText" text="Pesquisa de Preços">
      <formula>NOT(ISERROR(SEARCH("Pesquisa de Preços",E584)))</formula>
    </cfRule>
  </conditionalFormatting>
  <conditionalFormatting sqref="E1603:E1604">
    <cfRule type="containsText" dxfId="5357" priority="8436" operator="containsText" text="Pesquisa de Preços">
      <formula>NOT(ISERROR(SEARCH("Pesquisa de Preços",E1603)))</formula>
    </cfRule>
  </conditionalFormatting>
  <conditionalFormatting sqref="E1608">
    <cfRule type="containsText" dxfId="5356" priority="8439" operator="containsText" text="Pesquisa de Preços">
      <formula>NOT(ISERROR(SEARCH("Pesquisa de Preços",E1608)))</formula>
    </cfRule>
  </conditionalFormatting>
  <conditionalFormatting sqref="E1609:E1610">
    <cfRule type="containsText" dxfId="5355" priority="8438" operator="containsText" text="Pesquisa de Preços">
      <formula>NOT(ISERROR(SEARCH("Pesquisa de Preços",E1609)))</formula>
    </cfRule>
  </conditionalFormatting>
  <conditionalFormatting sqref="E1602">
    <cfRule type="containsText" dxfId="5354" priority="8437" operator="containsText" text="Pesquisa de Preços">
      <formula>NOT(ISERROR(SEARCH("Pesquisa de Preços",E1602)))</formula>
    </cfRule>
  </conditionalFormatting>
  <conditionalFormatting sqref="E1722">
    <cfRule type="containsText" dxfId="5353" priority="8435" operator="containsText" text="Pesquisa de Preços">
      <formula>NOT(ISERROR(SEARCH("Pesquisa de Preços",E1722)))</formula>
    </cfRule>
  </conditionalFormatting>
  <conditionalFormatting sqref="E374">
    <cfRule type="containsText" dxfId="5352" priority="8430" operator="containsText" text="Pesquisa de Preços">
      <formula>NOT(ISERROR(SEARCH("Pesquisa de Preços",E374)))</formula>
    </cfRule>
  </conditionalFormatting>
  <conditionalFormatting sqref="E1055:E1056">
    <cfRule type="containsText" dxfId="5351" priority="8352" operator="containsText" text="Pesquisa de Preços">
      <formula>NOT(ISERROR(SEARCH("Pesquisa de Preços",E1055)))</formula>
    </cfRule>
  </conditionalFormatting>
  <conditionalFormatting sqref="E598">
    <cfRule type="containsText" dxfId="5350" priority="8428" operator="containsText" text="Pesquisa de Preços">
      <formula>NOT(ISERROR(SEARCH("Pesquisa de Preços",E598)))</formula>
    </cfRule>
  </conditionalFormatting>
  <conditionalFormatting sqref="E1068:E1072">
    <cfRule type="containsText" dxfId="5349" priority="8351" operator="containsText" text="Pesquisa de Preços">
      <formula>NOT(ISERROR(SEARCH("Pesquisa de Preços",E1068)))</formula>
    </cfRule>
  </conditionalFormatting>
  <conditionalFormatting sqref="E729">
    <cfRule type="containsText" dxfId="5348" priority="8425" operator="containsText" text="Pesquisa de Preços">
      <formula>NOT(ISERROR(SEARCH("Pesquisa de Preços",E729)))</formula>
    </cfRule>
  </conditionalFormatting>
  <conditionalFormatting sqref="E624">
    <cfRule type="containsText" dxfId="5347" priority="8422" operator="containsText" text="Pesquisa de Preços">
      <formula>NOT(ISERROR(SEARCH("Pesquisa de Preços",E624)))</formula>
    </cfRule>
  </conditionalFormatting>
  <conditionalFormatting sqref="E623 E628:E629">
    <cfRule type="containsText" dxfId="5346" priority="8424" operator="containsText" text="Pesquisa de Preços">
      <formula>NOT(ISERROR(SEARCH("Pesquisa de Preços",E623)))</formula>
    </cfRule>
  </conditionalFormatting>
  <conditionalFormatting sqref="E622">
    <cfRule type="containsText" dxfId="5345" priority="8423" operator="containsText" text="Pesquisa de Preços">
      <formula>NOT(ISERROR(SEARCH("Pesquisa de Preços",E622)))</formula>
    </cfRule>
  </conditionalFormatting>
  <conditionalFormatting sqref="E1241:E1242 E1237:E1238">
    <cfRule type="containsText" dxfId="5344" priority="8420" operator="containsText" text="Pesquisa de Preços">
      <formula>NOT(ISERROR(SEARCH("Pesquisa de Preços",E1237)))</formula>
    </cfRule>
  </conditionalFormatting>
  <conditionalFormatting sqref="E625:E627">
    <cfRule type="containsText" dxfId="5343" priority="8421" operator="containsText" text="Pesquisa de Preços">
      <formula>NOT(ISERROR(SEARCH("Pesquisa de Preços",E625)))</formula>
    </cfRule>
  </conditionalFormatting>
  <conditionalFormatting sqref="E1236">
    <cfRule type="containsText" dxfId="5342" priority="8419" operator="containsText" text="Pesquisa de Preços">
      <formula>NOT(ISERROR(SEARCH("Pesquisa de Preços",E1236)))</formula>
    </cfRule>
  </conditionalFormatting>
  <conditionalFormatting sqref="E1239:E1240">
    <cfRule type="containsText" dxfId="5341" priority="8418" operator="containsText" text="Pesquisa de Preços">
      <formula>NOT(ISERROR(SEARCH("Pesquisa de Preços",E1239)))</formula>
    </cfRule>
  </conditionalFormatting>
  <conditionalFormatting sqref="E1143 E1147:E1148">
    <cfRule type="containsText" dxfId="5340" priority="8417" operator="containsText" text="Pesquisa de Preços">
      <formula>NOT(ISERROR(SEARCH("Pesquisa de Preços",E1143)))</formula>
    </cfRule>
  </conditionalFormatting>
  <conditionalFormatting sqref="E1142">
    <cfRule type="containsText" dxfId="5339" priority="8416" operator="containsText" text="Pesquisa de Preços">
      <formula>NOT(ISERROR(SEARCH("Pesquisa de Preços",E1142)))</formula>
    </cfRule>
  </conditionalFormatting>
  <conditionalFormatting sqref="E1203:E1204 E1199:E1200">
    <cfRule type="containsText" dxfId="5338" priority="8415" operator="containsText" text="Pesquisa de Preços">
      <formula>NOT(ISERROR(SEARCH("Pesquisa de Preços",E1199)))</formula>
    </cfRule>
  </conditionalFormatting>
  <conditionalFormatting sqref="E1198">
    <cfRule type="containsText" dxfId="5337" priority="8414" operator="containsText" text="Pesquisa de Preços">
      <formula>NOT(ISERROR(SEARCH("Pesquisa de Preços",E1198)))</formula>
    </cfRule>
  </conditionalFormatting>
  <conditionalFormatting sqref="E1201:E1202">
    <cfRule type="containsText" dxfId="5336" priority="8413" operator="containsText" text="Pesquisa de Preços">
      <formula>NOT(ISERROR(SEARCH("Pesquisa de Preços",E1201)))</formula>
    </cfRule>
  </conditionalFormatting>
  <conditionalFormatting sqref="E1334">
    <cfRule type="containsText" dxfId="5335" priority="8350" operator="containsText" text="Pesquisa de Preços">
      <formula>NOT(ISERROR(SEARCH("Pesquisa de Preços",E1334)))</formula>
    </cfRule>
  </conditionalFormatting>
  <conditionalFormatting sqref="E858:E859">
    <cfRule type="containsText" dxfId="5334" priority="8410" operator="containsText" text="Pesquisa de Preços">
      <formula>NOT(ISERROR(SEARCH("Pesquisa de Preços",E858)))</formula>
    </cfRule>
  </conditionalFormatting>
  <conditionalFormatting sqref="E1495">
    <cfRule type="containsText" dxfId="5333" priority="8349" operator="containsText" text="Pesquisa de Preços">
      <formula>NOT(ISERROR(SEARCH("Pesquisa de Preços",E1495)))</formula>
    </cfRule>
  </conditionalFormatting>
  <conditionalFormatting sqref="E208">
    <cfRule type="containsText" dxfId="5332" priority="8405" operator="containsText" text="Pesquisa de Preços">
      <formula>NOT(ISERROR(SEARCH("Pesquisa de Preços",E208)))</formula>
    </cfRule>
  </conditionalFormatting>
  <conditionalFormatting sqref="E1597">
    <cfRule type="containsText" dxfId="5331" priority="8403" operator="containsText" text="Pesquisa de Preços">
      <formula>NOT(ISERROR(SEARCH("Pesquisa de Preços",E1597)))</formula>
    </cfRule>
  </conditionalFormatting>
  <conditionalFormatting sqref="E1664">
    <cfRule type="containsText" dxfId="5330" priority="8401" operator="containsText" text="Pesquisa de Preços">
      <formula>NOT(ISERROR(SEARCH("Pesquisa de Preços",E1664)))</formula>
    </cfRule>
  </conditionalFormatting>
  <conditionalFormatting sqref="E1592">
    <cfRule type="containsText" dxfId="5329" priority="8398" operator="containsText" text="Pesquisa de Preços">
      <formula>NOT(ISERROR(SEARCH("Pesquisa de Preços",E1592)))</formula>
    </cfRule>
  </conditionalFormatting>
  <conditionalFormatting sqref="E142">
    <cfRule type="containsText" dxfId="5328" priority="8397" operator="containsText" text="Pesquisa de Preços">
      <formula>NOT(ISERROR(SEARCH("Pesquisa de Preços",E142)))</formula>
    </cfRule>
  </conditionalFormatting>
  <conditionalFormatting sqref="E795">
    <cfRule type="containsText" dxfId="5327" priority="8396" operator="containsText" text="Pesquisa de Preços">
      <formula>NOT(ISERROR(SEARCH("Pesquisa de Preços",E795)))</formula>
    </cfRule>
  </conditionalFormatting>
  <conditionalFormatting sqref="E989">
    <cfRule type="containsText" dxfId="5326" priority="8395" operator="containsText" text="Pesquisa de Preços">
      <formula>NOT(ISERROR(SEARCH("Pesquisa de Preços",E989)))</formula>
    </cfRule>
  </conditionalFormatting>
  <conditionalFormatting sqref="E994">
    <cfRule type="containsText" dxfId="5325" priority="8394" operator="containsText" text="Pesquisa de Preços">
      <formula>NOT(ISERROR(SEARCH("Pesquisa de Preços",E994)))</formula>
    </cfRule>
  </conditionalFormatting>
  <conditionalFormatting sqref="E113">
    <cfRule type="containsText" dxfId="5324" priority="8393" operator="containsText" text="Pesquisa de Preços">
      <formula>NOT(ISERROR(SEARCH("Pesquisa de Preços",E113)))</formula>
    </cfRule>
  </conditionalFormatting>
  <conditionalFormatting sqref="E114">
    <cfRule type="containsText" dxfId="5323" priority="8392" operator="containsText" text="Pesquisa de Preços">
      <formula>NOT(ISERROR(SEARCH("Pesquisa de Preços",E114)))</formula>
    </cfRule>
  </conditionalFormatting>
  <conditionalFormatting sqref="E1466">
    <cfRule type="containsText" dxfId="5322" priority="8348" operator="containsText" text="Pesquisa de Preços">
      <formula>NOT(ISERROR(SEARCH("Pesquisa de Preços",E1466)))</formula>
    </cfRule>
  </conditionalFormatting>
  <conditionalFormatting sqref="E1671:E1672">
    <cfRule type="containsText" dxfId="5321" priority="8391" operator="containsText" text="Pesquisa de Preços">
      <formula>NOT(ISERROR(SEARCH("Pesquisa de Preços",E1671)))</formula>
    </cfRule>
  </conditionalFormatting>
  <conditionalFormatting sqref="E1637">
    <cfRule type="containsText" dxfId="5320" priority="8390" operator="containsText" text="Pesquisa de Preços">
      <formula>NOT(ISERROR(SEARCH("Pesquisa de Preços",E1637)))</formula>
    </cfRule>
  </conditionalFormatting>
  <conditionalFormatting sqref="E1717">
    <cfRule type="containsText" dxfId="5319" priority="8389" operator="containsText" text="Pesquisa de Preços">
      <formula>NOT(ISERROR(SEARCH("Pesquisa de Preços",E1717)))</formula>
    </cfRule>
  </conditionalFormatting>
  <conditionalFormatting sqref="E1798">
    <cfRule type="containsText" dxfId="5318" priority="8386" operator="containsText" text="Pesquisa de Preços">
      <formula>NOT(ISERROR(SEARCH("Pesquisa de Preços",E1798)))</formula>
    </cfRule>
  </conditionalFormatting>
  <conditionalFormatting sqref="E1812">
    <cfRule type="containsText" dxfId="5317" priority="8385" operator="containsText" text="Pesquisa de Preços">
      <formula>NOT(ISERROR(SEARCH("Pesquisa de Preços",E1812)))</formula>
    </cfRule>
  </conditionalFormatting>
  <conditionalFormatting sqref="E1811">
    <cfRule type="containsText" dxfId="5316" priority="8384" operator="containsText" text="Pesquisa de Preços">
      <formula>NOT(ISERROR(SEARCH("Pesquisa de Preços",E1811)))</formula>
    </cfRule>
  </conditionalFormatting>
  <conditionalFormatting sqref="E1813">
    <cfRule type="containsText" dxfId="5315" priority="8383" operator="containsText" text="Pesquisa de Preços">
      <formula>NOT(ISERROR(SEARCH("Pesquisa de Preços",E1813)))</formula>
    </cfRule>
  </conditionalFormatting>
  <conditionalFormatting sqref="E1894">
    <cfRule type="containsText" dxfId="5314" priority="8381" operator="containsText" text="Pesquisa de Preços">
      <formula>NOT(ISERROR(SEARCH("Pesquisa de Preços",E1894)))</formula>
    </cfRule>
  </conditionalFormatting>
  <conditionalFormatting sqref="E834">
    <cfRule type="containsText" dxfId="5313" priority="8380" operator="containsText" text="Pesquisa de Preços">
      <formula>NOT(ISERROR(SEARCH("Pesquisa de Preços",E834)))</formula>
    </cfRule>
  </conditionalFormatting>
  <conditionalFormatting sqref="E2360">
    <cfRule type="containsText" dxfId="5312" priority="8378" operator="containsText" text="Pesquisa de Preços">
      <formula>NOT(ISERROR(SEARCH("Pesquisa de Preços",E2360)))</formula>
    </cfRule>
  </conditionalFormatting>
  <conditionalFormatting sqref="E2230">
    <cfRule type="containsText" dxfId="5311" priority="8377" operator="containsText" text="Pesquisa de Preços">
      <formula>NOT(ISERROR(SEARCH("Pesquisa de Preços",E2230)))</formula>
    </cfRule>
  </conditionalFormatting>
  <conditionalFormatting sqref="E2231">
    <cfRule type="containsText" dxfId="5310" priority="8376" operator="containsText" text="Pesquisa de Preços">
      <formula>NOT(ISERROR(SEARCH("Pesquisa de Preços",E2231)))</formula>
    </cfRule>
  </conditionalFormatting>
  <conditionalFormatting sqref="E2353">
    <cfRule type="containsText" dxfId="5309" priority="8375" operator="containsText" text="Pesquisa de Preços">
      <formula>NOT(ISERROR(SEARCH("Pesquisa de Preços",E2353)))</formula>
    </cfRule>
  </conditionalFormatting>
  <conditionalFormatting sqref="E133">
    <cfRule type="containsText" dxfId="5308" priority="8374" operator="containsText" text="Pesquisa de Preços">
      <formula>NOT(ISERROR(SEARCH("Pesquisa de Preços",E133)))</formula>
    </cfRule>
  </conditionalFormatting>
  <conditionalFormatting sqref="E1103">
    <cfRule type="containsText" dxfId="5307" priority="8373" operator="containsText" text="Pesquisa de Preços">
      <formula>NOT(ISERROR(SEARCH("Pesquisa de Preços",E1103)))</formula>
    </cfRule>
  </conditionalFormatting>
  <conditionalFormatting sqref="E322">
    <cfRule type="containsText" dxfId="5306" priority="8370" operator="containsText" text="Pesquisa de Preços">
      <formula>NOT(ISERROR(SEARCH("Pesquisa de Preços",E322)))</formula>
    </cfRule>
  </conditionalFormatting>
  <conditionalFormatting sqref="E1931">
    <cfRule type="containsText" dxfId="5305" priority="8347" operator="containsText" text="Pesquisa de Preços">
      <formula>NOT(ISERROR(SEARCH("Pesquisa de Preços",E1931)))</formula>
    </cfRule>
  </conditionalFormatting>
  <conditionalFormatting sqref="E1934">
    <cfRule type="containsText" dxfId="5304" priority="8346" operator="containsText" text="Pesquisa de Preços">
      <formula>NOT(ISERROR(SEARCH("Pesquisa de Preços",E1934)))</formula>
    </cfRule>
  </conditionalFormatting>
  <conditionalFormatting sqref="E80">
    <cfRule type="containsText" dxfId="5303" priority="8369" operator="containsText" text="Pesquisa de Preços">
      <formula>NOT(ISERROR(SEARCH("Pesquisa de Preços",E80)))</formula>
    </cfRule>
  </conditionalFormatting>
  <conditionalFormatting sqref="E1120">
    <cfRule type="containsText" dxfId="5302" priority="8368" operator="containsText" text="Pesquisa de Preços">
      <formula>NOT(ISERROR(SEARCH("Pesquisa de Preços",E1120)))</formula>
    </cfRule>
  </conditionalFormatting>
  <conditionalFormatting sqref="E1119">
    <cfRule type="containsText" dxfId="5301" priority="8367" operator="containsText" text="Pesquisa de Preços">
      <formula>NOT(ISERROR(SEARCH("Pesquisa de Preços",E1119)))</formula>
    </cfRule>
  </conditionalFormatting>
  <conditionalFormatting sqref="E1118">
    <cfRule type="containsText" dxfId="5300" priority="8366" operator="containsText" text="Pesquisa de Preços">
      <formula>NOT(ISERROR(SEARCH("Pesquisa de Preços",E1118)))</formula>
    </cfRule>
  </conditionalFormatting>
  <conditionalFormatting sqref="E2108:E2109">
    <cfRule type="containsText" dxfId="5299" priority="8345" operator="containsText" text="Pesquisa de Preços">
      <formula>NOT(ISERROR(SEARCH("Pesquisa de Preços",E2108)))</formula>
    </cfRule>
  </conditionalFormatting>
  <conditionalFormatting sqref="E195">
    <cfRule type="containsText" dxfId="5298" priority="8364" operator="containsText" text="Pesquisa de Preços">
      <formula>NOT(ISERROR(SEARCH("Pesquisa de Preços",E195)))</formula>
    </cfRule>
  </conditionalFormatting>
  <conditionalFormatting sqref="E827:E831">
    <cfRule type="containsText" dxfId="5297" priority="8363" operator="containsText" text="Pesquisa de Preços">
      <formula>NOT(ISERROR(SEARCH("Pesquisa de Preços",E827)))</formula>
    </cfRule>
  </conditionalFormatting>
  <conditionalFormatting sqref="E827:E831">
    <cfRule type="containsText" dxfId="5296" priority="8362" operator="containsText" text="Pesquisa de Preços">
      <formula>NOT(ISERROR(SEARCH("Pesquisa de Preços",E827)))</formula>
    </cfRule>
  </conditionalFormatting>
  <conditionalFormatting sqref="E1904">
    <cfRule type="containsText" dxfId="5295" priority="8361" operator="containsText" text="Pesquisa de Preços">
      <formula>NOT(ISERROR(SEARCH("Pesquisa de Preços",E1904)))</formula>
    </cfRule>
  </conditionalFormatting>
  <conditionalFormatting sqref="E1905">
    <cfRule type="containsText" dxfId="5294" priority="8360" operator="containsText" text="Pesquisa de Preços">
      <formula>NOT(ISERROR(SEARCH("Pesquisa de Preços",E1905)))</formula>
    </cfRule>
  </conditionalFormatting>
  <conditionalFormatting sqref="E761">
    <cfRule type="containsText" dxfId="5293" priority="8357" operator="containsText" text="Pesquisa de Preços">
      <formula>NOT(ISERROR(SEARCH("Pesquisa de Preços",E761)))</formula>
    </cfRule>
  </conditionalFormatting>
  <conditionalFormatting sqref="E762">
    <cfRule type="containsText" dxfId="5292" priority="8358" operator="containsText" text="Pesquisa de Preços">
      <formula>NOT(ISERROR(SEARCH("Pesquisa de Preços",E762)))</formula>
    </cfRule>
  </conditionalFormatting>
  <conditionalFormatting sqref="E845">
    <cfRule type="containsText" dxfId="5291" priority="8356" operator="containsText" text="Pesquisa de Preços">
      <formula>NOT(ISERROR(SEARCH("Pesquisa de Preços",E845)))</formula>
    </cfRule>
  </conditionalFormatting>
  <conditionalFormatting sqref="E864:E865">
    <cfRule type="containsText" dxfId="5290" priority="8355" operator="containsText" text="Pesquisa de Preços">
      <formula>NOT(ISERROR(SEARCH("Pesquisa de Preços",E864)))</formula>
    </cfRule>
  </conditionalFormatting>
  <conditionalFormatting sqref="E2135">
    <cfRule type="containsText" dxfId="5289" priority="8344" operator="containsText" text="Pesquisa de Preços">
      <formula>NOT(ISERROR(SEARCH("Pesquisa de Preços",E2135)))</formula>
    </cfRule>
  </conditionalFormatting>
  <conditionalFormatting sqref="E862">
    <cfRule type="containsText" dxfId="5288" priority="8354" operator="containsText" text="Pesquisa de Preços">
      <formula>NOT(ISERROR(SEARCH("Pesquisa de Preços",E862)))</formula>
    </cfRule>
  </conditionalFormatting>
  <conditionalFormatting sqref="E887">
    <cfRule type="containsText" dxfId="5287" priority="8353" operator="containsText" text="Pesquisa de Preços">
      <formula>NOT(ISERROR(SEARCH("Pesquisa de Preços",E887)))</formula>
    </cfRule>
  </conditionalFormatting>
  <conditionalFormatting sqref="E171">
    <cfRule type="containsText" dxfId="5286" priority="8342" operator="containsText" text="Pesquisa de Preços">
      <formula>NOT(ISERROR(SEARCH("Pesquisa de Preços",E171)))</formula>
    </cfRule>
  </conditionalFormatting>
  <conditionalFormatting sqref="E172:E173">
    <cfRule type="containsText" dxfId="5285" priority="8343" operator="containsText" text="Pesquisa de Preços">
      <formula>NOT(ISERROR(SEARCH("Pesquisa de Preços",E172)))</formula>
    </cfRule>
  </conditionalFormatting>
  <conditionalFormatting sqref="D2778">
    <cfRule type="containsText" dxfId="5282" priority="8321" operator="containsText" text="Pesquisa de Preços">
      <formula>NOT(ISERROR(SEARCH("Pesquisa de Preços",D2778)))</formula>
    </cfRule>
  </conditionalFormatting>
  <conditionalFormatting sqref="D2783">
    <cfRule type="containsText" dxfId="5281" priority="8317" operator="containsText" text="Pesquisa de Preços">
      <formula>NOT(ISERROR(SEARCH("Pesquisa de Preços",D2783)))</formula>
    </cfRule>
  </conditionalFormatting>
  <conditionalFormatting sqref="D4773">
    <cfRule type="containsText" dxfId="5268" priority="8295" operator="containsText" text="Pesquisa de Preços">
      <formula>NOT(ISERROR(SEARCH("Pesquisa de Preços",D4773)))</formula>
    </cfRule>
  </conditionalFormatting>
  <conditionalFormatting sqref="D4783">
    <cfRule type="containsText" dxfId="5261" priority="8287" operator="containsText" text="Pesquisa de Preços">
      <formula>NOT(ISERROR(SEARCH("Pesquisa de Preços",D4783)))</formula>
    </cfRule>
  </conditionalFormatting>
  <conditionalFormatting sqref="D4793">
    <cfRule type="containsText" dxfId="5252" priority="8271" operator="containsText" text="Pesquisa de Preços">
      <formula>NOT(ISERROR(SEARCH("Pesquisa de Preços",D4793)))</formula>
    </cfRule>
  </conditionalFormatting>
  <conditionalFormatting sqref="D4798">
    <cfRule type="containsText" dxfId="5223" priority="8241" operator="containsText" text="Pesquisa de Preços">
      <formula>NOT(ISERROR(SEARCH("Pesquisa de Preços",D4798)))</formula>
    </cfRule>
  </conditionalFormatting>
  <conditionalFormatting sqref="D4803">
    <cfRule type="containsText" dxfId="5220" priority="8237" operator="containsText" text="Pesquisa de Preços">
      <formula>NOT(ISERROR(SEARCH("Pesquisa de Preços",D4803)))</formula>
    </cfRule>
  </conditionalFormatting>
  <conditionalFormatting sqref="D4873:D4874 D4881">
    <cfRule type="containsText" dxfId="5217" priority="8184" operator="containsText" text="Pesquisa de Preços">
      <formula>NOT(ISERROR(SEARCH("Pesquisa de Preços",D4873)))</formula>
    </cfRule>
  </conditionalFormatting>
  <conditionalFormatting sqref="D4808">
    <cfRule type="containsText" dxfId="5216" priority="8233" operator="containsText" text="Pesquisa de Preços">
      <formula>NOT(ISERROR(SEARCH("Pesquisa de Preços",D4808)))</formula>
    </cfRule>
  </conditionalFormatting>
  <conditionalFormatting sqref="E4876:E4879">
    <cfRule type="containsText" dxfId="5213" priority="8180" operator="containsText" text="Pesquisa de Preços">
      <formula>NOT(ISERROR(SEARCH("Pesquisa de Preços",E4876)))</formula>
    </cfRule>
  </conditionalFormatting>
  <conditionalFormatting sqref="D4816">
    <cfRule type="containsText" dxfId="5212" priority="8229" operator="containsText" text="Pesquisa de Preços">
      <formula>NOT(ISERROR(SEARCH("Pesquisa de Preços",D4816)))</formula>
    </cfRule>
  </conditionalFormatting>
  <conditionalFormatting sqref="D4882">
    <cfRule type="containsText" dxfId="5209" priority="8176" operator="containsText" text="Pesquisa de Preços">
      <formula>NOT(ISERROR(SEARCH("Pesquisa de Preços",D4882)))</formula>
    </cfRule>
  </conditionalFormatting>
  <conditionalFormatting sqref="D4824">
    <cfRule type="containsText" dxfId="5208" priority="8225" operator="containsText" text="Pesquisa de Preços">
      <formula>NOT(ISERROR(SEARCH("Pesquisa de Preços",D4824)))</formula>
    </cfRule>
  </conditionalFormatting>
  <conditionalFormatting sqref="E4882">
    <cfRule type="containsText" dxfId="5205" priority="8172" operator="containsText" text="Pesquisa de Preços">
      <formula>NOT(ISERROR(SEARCH("Pesquisa de Preços",E4882)))</formula>
    </cfRule>
  </conditionalFormatting>
  <conditionalFormatting sqref="D4832">
    <cfRule type="containsText" dxfId="5204" priority="8221" operator="containsText" text="Pesquisa de Preços">
      <formula>NOT(ISERROR(SEARCH("Pesquisa de Preços",D4832)))</formula>
    </cfRule>
  </conditionalFormatting>
  <conditionalFormatting sqref="E4887:E4888">
    <cfRule type="containsText" dxfId="5201" priority="8168" operator="containsText" text="Pesquisa de Preços">
      <formula>NOT(ISERROR(SEARCH("Pesquisa de Preços",E4887)))</formula>
    </cfRule>
  </conditionalFormatting>
  <conditionalFormatting sqref="D4840">
    <cfRule type="containsText" dxfId="5200" priority="8217" operator="containsText" text="Pesquisa de Preços">
      <formula>NOT(ISERROR(SEARCH("Pesquisa de Preços",D4840)))</formula>
    </cfRule>
  </conditionalFormatting>
  <conditionalFormatting sqref="D4891">
    <cfRule type="containsText" dxfId="5197" priority="8164" operator="containsText" text="Pesquisa de Preços">
      <formula>NOT(ISERROR(SEARCH("Pesquisa de Preços",D4891)))</formula>
    </cfRule>
  </conditionalFormatting>
  <conditionalFormatting sqref="D4848">
    <cfRule type="containsText" dxfId="5196" priority="8213" operator="containsText" text="Pesquisa de Preços">
      <formula>NOT(ISERROR(SEARCH("Pesquisa de Preços",D4848)))</formula>
    </cfRule>
  </conditionalFormatting>
  <conditionalFormatting sqref="D4898">
    <cfRule type="containsText" dxfId="5193" priority="8160" operator="containsText" text="Pesquisa de Preços">
      <formula>NOT(ISERROR(SEARCH("Pesquisa de Preços",D4898)))</formula>
    </cfRule>
  </conditionalFormatting>
  <conditionalFormatting sqref="D4856">
    <cfRule type="containsText" dxfId="5192" priority="8209" operator="containsText" text="Pesquisa de Preços">
      <formula>NOT(ISERROR(SEARCH("Pesquisa de Preços",D4856)))</formula>
    </cfRule>
  </conditionalFormatting>
  <conditionalFormatting sqref="D4864">
    <cfRule type="containsText" dxfId="5189" priority="8205" operator="containsText" text="Pesquisa de Preços">
      <formula>NOT(ISERROR(SEARCH("Pesquisa de Preços",D4864)))</formula>
    </cfRule>
  </conditionalFormatting>
  <conditionalFormatting sqref="D4872">
    <cfRule type="containsText" dxfId="5170" priority="8185" operator="containsText" text="Pesquisa de Preços">
      <formula>NOT(ISERROR(SEARCH("Pesquisa de Preços",D4872)))</formula>
    </cfRule>
  </conditionalFormatting>
  <conditionalFormatting sqref="D4905">
    <cfRule type="containsText" dxfId="5169" priority="8156" operator="containsText" text="Pesquisa de Preços">
      <formula>NOT(ISERROR(SEARCH("Pesquisa de Preços",D4905)))</formula>
    </cfRule>
  </conditionalFormatting>
  <conditionalFormatting sqref="E4872">
    <cfRule type="containsText" dxfId="5168" priority="8181" operator="containsText" text="Pesquisa de Preços">
      <formula>NOT(ISERROR(SEARCH("Pesquisa de Preços",E4872)))</formula>
    </cfRule>
  </conditionalFormatting>
  <conditionalFormatting sqref="E4873:E4874 E4881">
    <cfRule type="containsText" dxfId="5167" priority="8182" operator="containsText" text="Pesquisa de Preços">
      <formula>NOT(ISERROR(SEARCH("Pesquisa de Preços",E4873)))</formula>
    </cfRule>
  </conditionalFormatting>
  <conditionalFormatting sqref="D4883:D4884 D4890">
    <cfRule type="containsText" dxfId="5164" priority="8175" operator="containsText" text="Pesquisa de Preços">
      <formula>NOT(ISERROR(SEARCH("Pesquisa de Preços",D4883)))</formula>
    </cfRule>
  </conditionalFormatting>
  <conditionalFormatting sqref="E4883:E4884 E4890">
    <cfRule type="containsText" dxfId="5163" priority="8173" operator="containsText" text="Pesquisa de Preços">
      <formula>NOT(ISERROR(SEARCH("Pesquisa de Preços",E4883)))</formula>
    </cfRule>
  </conditionalFormatting>
  <conditionalFormatting sqref="E1025">
    <cfRule type="containsText" dxfId="5162" priority="8167" operator="containsText" text="Pesquisa de Preços">
      <formula>NOT(ISERROR(SEARCH("Pesquisa de Preços",E1025)))</formula>
    </cfRule>
  </conditionalFormatting>
  <conditionalFormatting sqref="E1026">
    <cfRule type="containsText" dxfId="5161" priority="8166" operator="containsText" text="Pesquisa de Preços">
      <formula>NOT(ISERROR(SEARCH("Pesquisa de Preços",E1026)))</formula>
    </cfRule>
  </conditionalFormatting>
  <conditionalFormatting sqref="E4953 E4958">
    <cfRule type="containsText" dxfId="5160" priority="8115" operator="containsText" text="Pesquisa de Preços">
      <formula>NOT(ISERROR(SEARCH("Pesquisa de Preços",E4953)))</formula>
    </cfRule>
  </conditionalFormatting>
  <conditionalFormatting sqref="E4932:E4933 E4937">
    <cfRule type="containsText" dxfId="5159" priority="8136" operator="containsText" text="Pesquisa de Preços">
      <formula>NOT(ISERROR(SEARCH("Pesquisa de Preços",E4932)))</formula>
    </cfRule>
  </conditionalFormatting>
  <conditionalFormatting sqref="E4931">
    <cfRule type="containsText" dxfId="5154" priority="8135" operator="containsText" text="Pesquisa de Preços">
      <formula>NOT(ISERROR(SEARCH("Pesquisa de Preços",E4931)))</formula>
    </cfRule>
  </conditionalFormatting>
  <conditionalFormatting sqref="D4932:D4933 D4937">
    <cfRule type="containsText" dxfId="5151" priority="8137" operator="containsText" text="Pesquisa de Preços">
      <formula>NOT(ISERROR(SEARCH("Pesquisa de Preços",D4932)))</formula>
    </cfRule>
  </conditionalFormatting>
  <conditionalFormatting sqref="D4912">
    <cfRule type="containsText" dxfId="5150" priority="8152" operator="containsText" text="Pesquisa de Preços">
      <formula>NOT(ISERROR(SEARCH("Pesquisa de Preços",D4912)))</formula>
    </cfRule>
  </conditionalFormatting>
  <conditionalFormatting sqref="D4919">
    <cfRule type="containsText" dxfId="5147" priority="8148" operator="containsText" text="Pesquisa de Preços">
      <formula>NOT(ISERROR(SEARCH("Pesquisa de Preços",D4919)))</formula>
    </cfRule>
  </conditionalFormatting>
  <conditionalFormatting sqref="E4939:E4940 E4944">
    <cfRule type="containsText" dxfId="5144" priority="8129" operator="containsText" text="Pesquisa de Preços">
      <formula>NOT(ISERROR(SEARCH("Pesquisa de Preços",E4939)))</formula>
    </cfRule>
  </conditionalFormatting>
  <conditionalFormatting sqref="D4926">
    <cfRule type="containsText" dxfId="5143" priority="8144" operator="containsText" text="Pesquisa de Preços">
      <formula>NOT(ISERROR(SEARCH("Pesquisa de Preços",D4926)))</formula>
    </cfRule>
  </conditionalFormatting>
  <conditionalFormatting sqref="D4931">
    <cfRule type="containsText" dxfId="5138" priority="8138" operator="containsText" text="Pesquisa de Preços">
      <formula>NOT(ISERROR(SEARCH("Pesquisa de Preços",D4931)))</formula>
    </cfRule>
  </conditionalFormatting>
  <conditionalFormatting sqref="D4938">
    <cfRule type="containsText" dxfId="5137" priority="8131" operator="containsText" text="Pesquisa de Preços">
      <formula>NOT(ISERROR(SEARCH("Pesquisa de Preços",D4938)))</formula>
    </cfRule>
  </conditionalFormatting>
  <conditionalFormatting sqref="D4953 D4958">
    <cfRule type="containsText" dxfId="5136" priority="8116" operator="containsText" text="Pesquisa de Preços">
      <formula>NOT(ISERROR(SEARCH("Pesquisa de Preços",D4953)))</formula>
    </cfRule>
  </conditionalFormatting>
  <conditionalFormatting sqref="D4939 D4944">
    <cfRule type="containsText" dxfId="5135" priority="8130" operator="containsText" text="Pesquisa de Preços">
      <formula>NOT(ISERROR(SEARCH("Pesquisa de Preços",D4939)))</formula>
    </cfRule>
  </conditionalFormatting>
  <conditionalFormatting sqref="E4938">
    <cfRule type="containsText" dxfId="5134" priority="8128" operator="containsText" text="Pesquisa de Preços">
      <formula>NOT(ISERROR(SEARCH("Pesquisa de Preços",E4938)))</formula>
    </cfRule>
  </conditionalFormatting>
  <conditionalFormatting sqref="D4946 D4951">
    <cfRule type="containsText" dxfId="5133" priority="8123" operator="containsText" text="Pesquisa de Preços">
      <formula>NOT(ISERROR(SEARCH("Pesquisa de Preços",D4946)))</formula>
    </cfRule>
  </conditionalFormatting>
  <conditionalFormatting sqref="D4945">
    <cfRule type="containsText" dxfId="5130" priority="8124" operator="containsText" text="Pesquisa de Preços">
      <formula>NOT(ISERROR(SEARCH("Pesquisa de Preços",D4945)))</formula>
    </cfRule>
  </conditionalFormatting>
  <conditionalFormatting sqref="E4945">
    <cfRule type="containsText" dxfId="5129" priority="8121" operator="containsText" text="Pesquisa de Preços">
      <formula>NOT(ISERROR(SEARCH("Pesquisa de Preços",E4945)))</formula>
    </cfRule>
  </conditionalFormatting>
  <conditionalFormatting sqref="E4946:E4947 E4951">
    <cfRule type="containsText" dxfId="5128" priority="8122" operator="containsText" text="Pesquisa de Preços">
      <formula>NOT(ISERROR(SEARCH("Pesquisa de Preços",E4946)))</formula>
    </cfRule>
  </conditionalFormatting>
  <conditionalFormatting sqref="E4995">
    <cfRule type="containsText" dxfId="5125" priority="8068" operator="containsText" text="Pesquisa de Preços">
      <formula>NOT(ISERROR(SEARCH("Pesquisa de Preços",E4995)))</formula>
    </cfRule>
  </conditionalFormatting>
  <conditionalFormatting sqref="D4952">
    <cfRule type="containsText" dxfId="5124" priority="8117" operator="containsText" text="Pesquisa de Preços">
      <formula>NOT(ISERROR(SEARCH("Pesquisa de Preços",D4952)))</formula>
    </cfRule>
  </conditionalFormatting>
  <conditionalFormatting sqref="E4952">
    <cfRule type="containsText" dxfId="5123" priority="8114" operator="containsText" text="Pesquisa de Preços">
      <formula>NOT(ISERROR(SEARCH("Pesquisa de Preços",E4952)))</formula>
    </cfRule>
  </conditionalFormatting>
  <conditionalFormatting sqref="D4983">
    <cfRule type="containsText" dxfId="5118" priority="8093" operator="containsText" text="Pesquisa de Preços">
      <formula>NOT(ISERROR(SEARCH("Pesquisa de Preços",D4983)))</formula>
    </cfRule>
  </conditionalFormatting>
  <conditionalFormatting sqref="D4959">
    <cfRule type="containsText" dxfId="5117" priority="8108" operator="containsText" text="Pesquisa de Preços">
      <formula>NOT(ISERROR(SEARCH("Pesquisa de Preços",D4959)))</formula>
    </cfRule>
  </conditionalFormatting>
  <conditionalFormatting sqref="E4989 E4994">
    <cfRule type="containsText" dxfId="5110" priority="8078" operator="containsText" text="Pesquisa de Preços">
      <formula>NOT(ISERROR(SEARCH("Pesquisa de Preços",E4989)))</formula>
    </cfRule>
  </conditionalFormatting>
  <conditionalFormatting sqref="E4961">
    <cfRule type="containsText" dxfId="5109" priority="8098" operator="containsText" text="Pesquisa de Preços">
      <formula>NOT(ISERROR(SEARCH("Pesquisa de Preços",E4961)))</formula>
    </cfRule>
  </conditionalFormatting>
  <conditionalFormatting sqref="D4989 D4994">
    <cfRule type="containsText" dxfId="5106" priority="8079" operator="containsText" text="Pesquisa de Preços">
      <formula>NOT(ISERROR(SEARCH("Pesquisa de Preços",D4989)))</formula>
    </cfRule>
  </conditionalFormatting>
  <conditionalFormatting sqref="D4964 D4970 D4976 D4982">
    <cfRule type="containsText" dxfId="5105" priority="8094" operator="containsText" text="Pesquisa de Preços">
      <formula>NOT(ISERROR(SEARCH("Pesquisa de Preços",D4964)))</formula>
    </cfRule>
  </conditionalFormatting>
  <conditionalFormatting sqref="E4977 E4981">
    <cfRule type="containsText" dxfId="5104" priority="8087" operator="containsText" text="Pesquisa de Preços">
      <formula>NOT(ISERROR(SEARCH("Pesquisa de Preços",E4977)))</formula>
    </cfRule>
  </conditionalFormatting>
  <conditionalFormatting sqref="D4977 D4981">
    <cfRule type="containsText" dxfId="5103" priority="8091" operator="containsText" text="Pesquisa de Preços">
      <formula>NOT(ISERROR(SEARCH("Pesquisa de Preços",D4977)))</formula>
    </cfRule>
  </conditionalFormatting>
  <conditionalFormatting sqref="E4976">
    <cfRule type="containsText" dxfId="5102" priority="8086" operator="containsText" text="Pesquisa de Preços">
      <formula>NOT(ISERROR(SEARCH("Pesquisa de Preços",E4976)))</formula>
    </cfRule>
  </conditionalFormatting>
  <conditionalFormatting sqref="E4985:E4986">
    <cfRule type="containsText" dxfId="5101" priority="8088" operator="containsText" text="Pesquisa de Preços">
      <formula>NOT(ISERROR(SEARCH("Pesquisa de Preços",E4985)))</formula>
    </cfRule>
  </conditionalFormatting>
  <conditionalFormatting sqref="E4982">
    <cfRule type="containsText" dxfId="5100" priority="8089" operator="containsText" text="Pesquisa de Preços">
      <formula>NOT(ISERROR(SEARCH("Pesquisa de Preços",E4982)))</formula>
    </cfRule>
  </conditionalFormatting>
  <conditionalFormatting sqref="E4983">
    <cfRule type="containsText" dxfId="5099" priority="8090" operator="containsText" text="Pesquisa de Preços">
      <formula>NOT(ISERROR(SEARCH("Pesquisa de Preços",E4983)))</formula>
    </cfRule>
  </conditionalFormatting>
  <conditionalFormatting sqref="D4988">
    <cfRule type="containsText" dxfId="5094" priority="8080" operator="containsText" text="Pesquisa de Preços">
      <formula>NOT(ISERROR(SEARCH("Pesquisa de Preços",D4988)))</formula>
    </cfRule>
  </conditionalFormatting>
  <conditionalFormatting sqref="E4988">
    <cfRule type="containsText" dxfId="5093" priority="8077" operator="containsText" text="Pesquisa de Preços">
      <formula>NOT(ISERROR(SEARCH("Pesquisa de Preços",E4988)))</formula>
    </cfRule>
  </conditionalFormatting>
  <conditionalFormatting sqref="E5008">
    <cfRule type="containsText" dxfId="5092" priority="8050" operator="containsText" text="Pesquisa de Preços">
      <formula>NOT(ISERROR(SEARCH("Pesquisa de Preços",E5008)))</formula>
    </cfRule>
  </conditionalFormatting>
  <conditionalFormatting sqref="D4995">
    <cfRule type="containsText" dxfId="5089" priority="8071" operator="containsText" text="Pesquisa de Preços">
      <formula>NOT(ISERROR(SEARCH("Pesquisa de Preços",D4995)))</formula>
    </cfRule>
  </conditionalFormatting>
  <conditionalFormatting sqref="D4996">
    <cfRule type="containsText" dxfId="5088" priority="8070" operator="containsText" text="Pesquisa de Preços">
      <formula>NOT(ISERROR(SEARCH("Pesquisa de Preços",D4996)))</formula>
    </cfRule>
  </conditionalFormatting>
  <conditionalFormatting sqref="E4996:E4997 E4999">
    <cfRule type="containsText" dxfId="5087" priority="8069" operator="containsText" text="Pesquisa de Preços">
      <formula>NOT(ISERROR(SEARCH("Pesquisa de Preços",E4996)))</formula>
    </cfRule>
  </conditionalFormatting>
  <conditionalFormatting sqref="D5008">
    <cfRule type="containsText" dxfId="5084" priority="8053" operator="containsText" text="Pesquisa de Preços">
      <formula>NOT(ISERROR(SEARCH("Pesquisa de Preços",D5008)))</formula>
    </cfRule>
  </conditionalFormatting>
  <conditionalFormatting sqref="D5009">
    <cfRule type="containsText" dxfId="5083" priority="8052" operator="containsText" text="Pesquisa de Preços">
      <formula>NOT(ISERROR(SEARCH("Pesquisa de Preços",D5009)))</formula>
    </cfRule>
  </conditionalFormatting>
  <conditionalFormatting sqref="E5009:E5010 E5013">
    <cfRule type="containsText" dxfId="5082" priority="8051" operator="containsText" text="Pesquisa de Preços">
      <formula>NOT(ISERROR(SEARCH("Pesquisa de Preços",E5009)))</formula>
    </cfRule>
  </conditionalFormatting>
  <conditionalFormatting sqref="D5000">
    <cfRule type="containsText" dxfId="5079" priority="8046" operator="containsText" text="Pesquisa de Preços">
      <formula>NOT(ISERROR(SEARCH("Pesquisa de Preços",D5000)))</formula>
    </cfRule>
  </conditionalFormatting>
  <conditionalFormatting sqref="D5017">
    <cfRule type="containsText" dxfId="5074" priority="8040" operator="containsText" text="Pesquisa de Preços">
      <formula>NOT(ISERROR(SEARCH("Pesquisa de Preços",D5017)))</formula>
    </cfRule>
  </conditionalFormatting>
  <conditionalFormatting sqref="D5014">
    <cfRule type="containsText" dxfId="5071" priority="8035" operator="containsText" text="Pesquisa de Preços">
      <formula>NOT(ISERROR(SEARCH("Pesquisa de Preços",D5014)))</formula>
    </cfRule>
  </conditionalFormatting>
  <conditionalFormatting sqref="D5015">
    <cfRule type="containsText" dxfId="5070" priority="8034" operator="containsText" text="Pesquisa de Preços">
      <formula>NOT(ISERROR(SEARCH("Pesquisa de Preços",D5015)))</formula>
    </cfRule>
  </conditionalFormatting>
  <conditionalFormatting sqref="E5014">
    <cfRule type="containsText" dxfId="5069" priority="8032" operator="containsText" text="Pesquisa de Preços">
      <formula>NOT(ISERROR(SEARCH("Pesquisa de Preços",E5014)))</formula>
    </cfRule>
  </conditionalFormatting>
  <conditionalFormatting sqref="E5015:E5017">
    <cfRule type="containsText" dxfId="5068" priority="8033" operator="containsText" text="Pesquisa de Preços">
      <formula>NOT(ISERROR(SEARCH("Pesquisa de Preços",E5015)))</formula>
    </cfRule>
  </conditionalFormatting>
  <conditionalFormatting sqref="D5023">
    <cfRule type="containsText" dxfId="5067" priority="8029" operator="containsText" text="Pesquisa de Preços">
      <formula>NOT(ISERROR(SEARCH("Pesquisa de Preços",D5023)))</formula>
    </cfRule>
  </conditionalFormatting>
  <conditionalFormatting sqref="D5018">
    <cfRule type="containsText" dxfId="5062" priority="8024" operator="containsText" text="Pesquisa de Preços">
      <formula>NOT(ISERROR(SEARCH("Pesquisa de Preços",D5018)))</formula>
    </cfRule>
  </conditionalFormatting>
  <conditionalFormatting sqref="D5019">
    <cfRule type="containsText" dxfId="5061" priority="8023" operator="containsText" text="Pesquisa de Preços">
      <formula>NOT(ISERROR(SEARCH("Pesquisa de Preços",D5019)))</formula>
    </cfRule>
  </conditionalFormatting>
  <conditionalFormatting sqref="E5018">
    <cfRule type="containsText" dxfId="5060" priority="8021" operator="containsText" text="Pesquisa de Preços">
      <formula>NOT(ISERROR(SEARCH("Pesquisa de Preços",E5018)))</formula>
    </cfRule>
  </conditionalFormatting>
  <conditionalFormatting sqref="E5019:E5020 E5023">
    <cfRule type="containsText" dxfId="5059" priority="8022" operator="containsText" text="Pesquisa de Preços">
      <formula>NOT(ISERROR(SEARCH("Pesquisa de Preços",E5019)))</formula>
    </cfRule>
  </conditionalFormatting>
  <conditionalFormatting sqref="E5024">
    <cfRule type="containsText" dxfId="5056" priority="7999" operator="containsText" text="Pesquisa de Preços">
      <formula>NOT(ISERROR(SEARCH("Pesquisa de Preços",E5024)))</formula>
    </cfRule>
  </conditionalFormatting>
  <conditionalFormatting sqref="D5030">
    <cfRule type="containsText" dxfId="5053" priority="7993" operator="containsText" text="Pesquisa de Preços">
      <formula>NOT(ISERROR(SEARCH("Pesquisa de Preços",D5030)))</formula>
    </cfRule>
  </conditionalFormatting>
  <conditionalFormatting sqref="E5031:E5032 E5037">
    <cfRule type="containsText" dxfId="5052" priority="7991" operator="containsText" text="Pesquisa de Preços">
      <formula>NOT(ISERROR(SEARCH("Pesquisa de Preços",E5031)))</formula>
    </cfRule>
  </conditionalFormatting>
  <conditionalFormatting sqref="D5031 D5037">
    <cfRule type="containsText" dxfId="5051" priority="7992" operator="containsText" text="Pesquisa de Preços">
      <formula>NOT(ISERROR(SEARCH("Pesquisa de Preços",D5031)))</formula>
    </cfRule>
  </conditionalFormatting>
  <conditionalFormatting sqref="D5029">
    <cfRule type="containsText" dxfId="5050" priority="8007" operator="containsText" text="Pesquisa de Preços">
      <formula>NOT(ISERROR(SEARCH("Pesquisa de Preços",D5029)))</formula>
    </cfRule>
  </conditionalFormatting>
  <conditionalFormatting sqref="D5024">
    <cfRule type="containsText" dxfId="5045" priority="8002" operator="containsText" text="Pesquisa de Preços">
      <formula>NOT(ISERROR(SEARCH("Pesquisa de Preços",D5024)))</formula>
    </cfRule>
  </conditionalFormatting>
  <conditionalFormatting sqref="D5025">
    <cfRule type="containsText" dxfId="5044" priority="8001" operator="containsText" text="Pesquisa de Preços">
      <formula>NOT(ISERROR(SEARCH("Pesquisa de Preços",D5025)))</formula>
    </cfRule>
  </conditionalFormatting>
  <conditionalFormatting sqref="E5025:E5026 E5029">
    <cfRule type="containsText" dxfId="5043" priority="8000" operator="containsText" text="Pesquisa de Preços">
      <formula>NOT(ISERROR(SEARCH("Pesquisa de Preços",E5025)))</formula>
    </cfRule>
  </conditionalFormatting>
  <conditionalFormatting sqref="E5032 E5034">
    <cfRule type="containsText" dxfId="5042" priority="7996" operator="containsText" text="Pesquisa de Preços">
      <formula>NOT(ISERROR(SEARCH("Pesquisa de Preços",E5032)))</formula>
    </cfRule>
  </conditionalFormatting>
  <conditionalFormatting sqref="E5030">
    <cfRule type="containsText" dxfId="5041" priority="7990" operator="containsText" text="Pesquisa de Preços">
      <formula>NOT(ISERROR(SEARCH("Pesquisa de Preços",E5030)))</formula>
    </cfRule>
  </conditionalFormatting>
  <conditionalFormatting sqref="E5034:E5036">
    <cfRule type="containsText" dxfId="5040" priority="7989" operator="containsText" text="Pesquisa de Preços">
      <formula>NOT(ISERROR(SEARCH("Pesquisa de Preços",E5034)))</formula>
    </cfRule>
  </conditionalFormatting>
  <conditionalFormatting sqref="E5042">
    <cfRule type="containsText" dxfId="5039" priority="7972" operator="containsText" text="Pesquisa de Preços">
      <formula>NOT(ISERROR(SEARCH("Pesquisa de Preços",E5042)))</formula>
    </cfRule>
  </conditionalFormatting>
  <conditionalFormatting sqref="D5038">
    <cfRule type="containsText" dxfId="5036" priority="7984" operator="containsText" text="Pesquisa de Preços">
      <formula>NOT(ISERROR(SEARCH("Pesquisa de Preços",D5038)))</formula>
    </cfRule>
  </conditionalFormatting>
  <conditionalFormatting sqref="E5039 E5044">
    <cfRule type="containsText" dxfId="5035" priority="7982" operator="containsText" text="Pesquisa de Preços">
      <formula>NOT(ISERROR(SEARCH("Pesquisa de Preços",E5039)))</formula>
    </cfRule>
  </conditionalFormatting>
  <conditionalFormatting sqref="D5039 D5044">
    <cfRule type="containsText" dxfId="5034" priority="7983" operator="containsText" text="Pesquisa de Preços">
      <formula>NOT(ISERROR(SEARCH("Pesquisa de Preços",D5039)))</formula>
    </cfRule>
  </conditionalFormatting>
  <conditionalFormatting sqref="E5061:E5062">
    <cfRule type="containsText" dxfId="5033" priority="7931" operator="containsText" text="Pesquisa de Preços">
      <formula>NOT(ISERROR(SEARCH("Pesquisa de Preços",E5061)))</formula>
    </cfRule>
  </conditionalFormatting>
  <conditionalFormatting sqref="E5038">
    <cfRule type="containsText" dxfId="5032" priority="7981" operator="containsText" text="Pesquisa de Preços">
      <formula>NOT(ISERROR(SEARCH("Pesquisa de Preços",E5038)))</formula>
    </cfRule>
  </conditionalFormatting>
  <conditionalFormatting sqref="E5043">
    <cfRule type="containsText" dxfId="5031" priority="7980" operator="containsText" text="Pesquisa de Preços">
      <formula>NOT(ISERROR(SEARCH("Pesquisa de Preços",E5043)))</formula>
    </cfRule>
  </conditionalFormatting>
  <conditionalFormatting sqref="D5052">
    <cfRule type="containsText" dxfId="5024" priority="7966" operator="containsText" text="Pesquisa de Preços">
      <formula>NOT(ISERROR(SEARCH("Pesquisa de Preços",D5052)))</formula>
    </cfRule>
  </conditionalFormatting>
  <conditionalFormatting sqref="D5045">
    <cfRule type="containsText" dxfId="5023" priority="7970" operator="containsText" text="Pesquisa de Preços">
      <formula>NOT(ISERROR(SEARCH("Pesquisa de Preços",D5045)))</formula>
    </cfRule>
  </conditionalFormatting>
  <conditionalFormatting sqref="E1311">
    <cfRule type="containsText" dxfId="5012" priority="7953" operator="containsText" text="Pesquisa de Preços">
      <formula>NOT(ISERROR(SEARCH("Pesquisa de Preços",E1311)))</formula>
    </cfRule>
  </conditionalFormatting>
  <conditionalFormatting sqref="E1310">
    <cfRule type="containsText" dxfId="5011" priority="7952" operator="containsText" text="Pesquisa de Preços">
      <formula>NOT(ISERROR(SEARCH("Pesquisa de Preços",E1310)))</formula>
    </cfRule>
  </conditionalFormatting>
  <conditionalFormatting sqref="E1317">
    <cfRule type="containsText" dxfId="5008" priority="7947" operator="containsText" text="Pesquisa de Preços">
      <formula>NOT(ISERROR(SEARCH("Pesquisa de Preços",E1317)))</formula>
    </cfRule>
  </conditionalFormatting>
  <conditionalFormatting sqref="E1316">
    <cfRule type="containsText" dxfId="5007" priority="7946" operator="containsText" text="Pesquisa de Preços">
      <formula>NOT(ISERROR(SEARCH("Pesquisa de Preços",E1316)))</formula>
    </cfRule>
  </conditionalFormatting>
  <conditionalFormatting sqref="E1323">
    <cfRule type="containsText" dxfId="5004" priority="7941" operator="containsText" text="Pesquisa de Preços">
      <formula>NOT(ISERROR(SEARCH("Pesquisa de Preços",E1323)))</formula>
    </cfRule>
  </conditionalFormatting>
  <conditionalFormatting sqref="E1322">
    <cfRule type="containsText" dxfId="5003" priority="7940" operator="containsText" text="Pesquisa de Preços">
      <formula>NOT(ISERROR(SEARCH("Pesquisa de Preços",E1322)))</formula>
    </cfRule>
  </conditionalFormatting>
  <conditionalFormatting sqref="D5060 D5066">
    <cfRule type="containsText" dxfId="5002" priority="7936" operator="containsText" text="Pesquisa de Preços">
      <formula>NOT(ISERROR(SEARCH("Pesquisa de Preços",D5060)))</formula>
    </cfRule>
  </conditionalFormatting>
  <conditionalFormatting sqref="D5061:D5062">
    <cfRule type="containsText" dxfId="5001" priority="7934" operator="containsText" text="Pesquisa de Preços">
      <formula>NOT(ISERROR(SEARCH("Pesquisa de Preços",D5061)))</formula>
    </cfRule>
  </conditionalFormatting>
  <conditionalFormatting sqref="D5067:D5068">
    <cfRule type="containsText" dxfId="5000" priority="7935" operator="containsText" text="Pesquisa de Preços">
      <formula>NOT(ISERROR(SEARCH("Pesquisa de Preços",D5067)))</formula>
    </cfRule>
  </conditionalFormatting>
  <conditionalFormatting sqref="E5066">
    <cfRule type="containsText" dxfId="4999" priority="7932" operator="containsText" text="Pesquisa de Preços">
      <formula>NOT(ISERROR(SEARCH("Pesquisa de Preços",E5066)))</formula>
    </cfRule>
  </conditionalFormatting>
  <conditionalFormatting sqref="E5060">
    <cfRule type="containsText" dxfId="4998" priority="7930" operator="containsText" text="Pesquisa de Preços">
      <formula>NOT(ISERROR(SEARCH("Pesquisa de Preços",E5060)))</formula>
    </cfRule>
  </conditionalFormatting>
  <conditionalFormatting sqref="E5067:E5068">
    <cfRule type="containsText" dxfId="4997" priority="7933" operator="containsText" text="Pesquisa de Preços">
      <formula>NOT(ISERROR(SEARCH("Pesquisa de Preços",E5067)))</formula>
    </cfRule>
  </conditionalFormatting>
  <conditionalFormatting sqref="E5070">
    <cfRule type="containsText" dxfId="4994" priority="7925" operator="containsText" text="Pesquisa de Preços">
      <formula>NOT(ISERROR(SEARCH("Pesquisa de Preços",E5070)))</formula>
    </cfRule>
  </conditionalFormatting>
  <conditionalFormatting sqref="E5069">
    <cfRule type="containsText" dxfId="4993" priority="7924" operator="containsText" text="Pesquisa de Preços">
      <formula>NOT(ISERROR(SEARCH("Pesquisa de Preços",E5069)))</formula>
    </cfRule>
  </conditionalFormatting>
  <conditionalFormatting sqref="E5064">
    <cfRule type="containsText" dxfId="4990" priority="7919" operator="containsText" text="Pesquisa de Preços">
      <formula>NOT(ISERROR(SEARCH("Pesquisa de Preços",E5064)))</formula>
    </cfRule>
  </conditionalFormatting>
  <conditionalFormatting sqref="E5063">
    <cfRule type="containsText" dxfId="4989" priority="7918" operator="containsText" text="Pesquisa de Preços">
      <formula>NOT(ISERROR(SEARCH("Pesquisa de Preços",E5063)))</formula>
    </cfRule>
  </conditionalFormatting>
  <conditionalFormatting sqref="D5072">
    <cfRule type="containsText" dxfId="4986" priority="7914" operator="containsText" text="Pesquisa de Preços">
      <formula>NOT(ISERROR(SEARCH("Pesquisa de Preços",D5072)))</formula>
    </cfRule>
  </conditionalFormatting>
  <conditionalFormatting sqref="D5073 D5077">
    <cfRule type="containsText" dxfId="4985" priority="7913" operator="containsText" text="Pesquisa de Preços">
      <formula>NOT(ISERROR(SEARCH("Pesquisa de Preços",D5073)))</formula>
    </cfRule>
  </conditionalFormatting>
  <conditionalFormatting sqref="D5074">
    <cfRule type="containsText" dxfId="4984" priority="7912" operator="containsText" text="Pesquisa de Preços">
      <formula>NOT(ISERROR(SEARCH("Pesquisa de Preços",D5074)))</formula>
    </cfRule>
  </conditionalFormatting>
  <conditionalFormatting sqref="E5073 E5077">
    <cfRule type="containsText" dxfId="4983" priority="7910" operator="containsText" text="Pesquisa de Preços">
      <formula>NOT(ISERROR(SEARCH("Pesquisa de Preços",E5073)))</formula>
    </cfRule>
  </conditionalFormatting>
  <conditionalFormatting sqref="E5072">
    <cfRule type="containsText" dxfId="4982" priority="7909" operator="containsText" text="Pesquisa de Preços">
      <formula>NOT(ISERROR(SEARCH("Pesquisa de Preços",E5072)))</formula>
    </cfRule>
  </conditionalFormatting>
  <conditionalFormatting sqref="E5074">
    <cfRule type="containsText" dxfId="4981" priority="7908" operator="containsText" text="Pesquisa de Preços">
      <formula>NOT(ISERROR(SEARCH("Pesquisa de Preços",E5074)))</formula>
    </cfRule>
  </conditionalFormatting>
  <conditionalFormatting sqref="E5075:E5076">
    <cfRule type="containsText" dxfId="4980" priority="7907" operator="containsText" text="Pesquisa de Preços">
      <formula>NOT(ISERROR(SEARCH("Pesquisa de Preços",E5075)))</formula>
    </cfRule>
  </conditionalFormatting>
  <conditionalFormatting sqref="D5078">
    <cfRule type="containsText" dxfId="4977" priority="7903" operator="containsText" text="Pesquisa de Preços">
      <formula>NOT(ISERROR(SEARCH("Pesquisa de Preços",D5078)))</formula>
    </cfRule>
  </conditionalFormatting>
  <conditionalFormatting sqref="D5079 D5083">
    <cfRule type="containsText" dxfId="4976" priority="7902" operator="containsText" text="Pesquisa de Preços">
      <formula>NOT(ISERROR(SEARCH("Pesquisa de Preços",D5079)))</formula>
    </cfRule>
  </conditionalFormatting>
  <conditionalFormatting sqref="E5079 E5083">
    <cfRule type="containsText" dxfId="4975" priority="7899" operator="containsText" text="Pesquisa de Preços">
      <formula>NOT(ISERROR(SEARCH("Pesquisa de Preços",E5079)))</formula>
    </cfRule>
  </conditionalFormatting>
  <conditionalFormatting sqref="E5078">
    <cfRule type="containsText" dxfId="4974" priority="7898" operator="containsText" text="Pesquisa de Preços">
      <formula>NOT(ISERROR(SEARCH("Pesquisa de Preços",E5078)))</formula>
    </cfRule>
  </conditionalFormatting>
  <conditionalFormatting sqref="E5080">
    <cfRule type="containsText" dxfId="4973" priority="7897" operator="containsText" text="Pesquisa de Preços">
      <formula>NOT(ISERROR(SEARCH("Pesquisa de Preços",E5080)))</formula>
    </cfRule>
  </conditionalFormatting>
  <conditionalFormatting sqref="E5081:E5082">
    <cfRule type="containsText" dxfId="4972" priority="7896" operator="containsText" text="Pesquisa de Preços">
      <formula>NOT(ISERROR(SEARCH("Pesquisa de Preços",E5081)))</formula>
    </cfRule>
  </conditionalFormatting>
  <conditionalFormatting sqref="E5085:E5086 E5090">
    <cfRule type="containsText" dxfId="4967" priority="7888" operator="containsText" text="Pesquisa de Preços">
      <formula>NOT(ISERROR(SEARCH("Pesquisa de Preços",E5085)))</formula>
    </cfRule>
  </conditionalFormatting>
  <conditionalFormatting sqref="E5084">
    <cfRule type="containsText" dxfId="4966" priority="7887" operator="containsText" text="Pesquisa de Preços">
      <formula>NOT(ISERROR(SEARCH("Pesquisa de Preços",E5084)))</formula>
    </cfRule>
  </conditionalFormatting>
  <conditionalFormatting sqref="D5085 D5090">
    <cfRule type="containsText" dxfId="4965" priority="7889" operator="containsText" text="Pesquisa de Preços">
      <formula>NOT(ISERROR(SEARCH("Pesquisa de Preços",D5085)))</formula>
    </cfRule>
  </conditionalFormatting>
  <conditionalFormatting sqref="D5084">
    <cfRule type="containsText" dxfId="4964" priority="7890" operator="containsText" text="Pesquisa de Preços">
      <formula>NOT(ISERROR(SEARCH("Pesquisa de Preços",D5084)))</formula>
    </cfRule>
  </conditionalFormatting>
  <conditionalFormatting sqref="E4984">
    <cfRule type="containsText" dxfId="4955" priority="7877" operator="containsText" text="Pesquisa de Preços">
      <formula>NOT(ISERROR(SEARCH("Pesquisa de Preços",E4984)))</formula>
    </cfRule>
  </conditionalFormatting>
  <conditionalFormatting sqref="E2266">
    <cfRule type="containsText" dxfId="4948" priority="7867" operator="containsText" text="Pesquisa de Preços">
      <formula>NOT(ISERROR(SEARCH("Pesquisa de Preços",E2266)))</formula>
    </cfRule>
  </conditionalFormatting>
  <conditionalFormatting sqref="E2267:E2268">
    <cfRule type="containsText" dxfId="4937" priority="7855" operator="containsText" text="Pesquisa de Preços">
      <formula>NOT(ISERROR(SEARCH("Pesquisa de Preços",E2267)))</formula>
    </cfRule>
  </conditionalFormatting>
  <conditionalFormatting sqref="E2221">
    <cfRule type="containsText" dxfId="4932" priority="7830" operator="containsText" text="Pesquisa de Preços">
      <formula>NOT(ISERROR(SEARCH("Pesquisa de Preços",E2221)))</formula>
    </cfRule>
  </conditionalFormatting>
  <conditionalFormatting sqref="D5043">
    <cfRule type="containsText" dxfId="4929" priority="7827" operator="containsText" text="Pesquisa de Preços">
      <formula>NOT(ISERROR(SEARCH("Pesquisa de Preços",D5043)))</formula>
    </cfRule>
  </conditionalFormatting>
  <conditionalFormatting sqref="D5092 D5097">
    <cfRule type="containsText" dxfId="4922" priority="7810" operator="containsText" text="Pesquisa de Preços">
      <formula>NOT(ISERROR(SEARCH("Pesquisa de Preços",D5092)))</formula>
    </cfRule>
  </conditionalFormatting>
  <conditionalFormatting sqref="D5091">
    <cfRule type="containsText" dxfId="4917" priority="7811" operator="containsText" text="Pesquisa de Preços">
      <formula>NOT(ISERROR(SEARCH("Pesquisa de Preços",D5091)))</formula>
    </cfRule>
  </conditionalFormatting>
  <conditionalFormatting sqref="E5092 E5097">
    <cfRule type="containsText" dxfId="4916" priority="7809" operator="containsText" text="Pesquisa de Preços">
      <formula>NOT(ISERROR(SEARCH("Pesquisa de Preços",E5092)))</formula>
    </cfRule>
  </conditionalFormatting>
  <conditionalFormatting sqref="E5091">
    <cfRule type="containsText" dxfId="4915" priority="7808" operator="containsText" text="Pesquisa de Preços">
      <formula>NOT(ISERROR(SEARCH("Pesquisa de Preços",E5091)))</formula>
    </cfRule>
  </conditionalFormatting>
  <conditionalFormatting sqref="D5098">
    <cfRule type="containsText" dxfId="4912" priority="7801" operator="containsText" text="Pesquisa de Preços">
      <formula>NOT(ISERROR(SEARCH("Pesquisa de Preços",D5098)))</formula>
    </cfRule>
  </conditionalFormatting>
  <conditionalFormatting sqref="D5099 D5108">
    <cfRule type="containsText" dxfId="4911" priority="7800" operator="containsText" text="Pesquisa de Preços">
      <formula>NOT(ISERROR(SEARCH("Pesquisa de Preços",D5099)))</formula>
    </cfRule>
  </conditionalFormatting>
  <conditionalFormatting sqref="E5098">
    <cfRule type="containsText" dxfId="4910" priority="7798" operator="containsText" text="Pesquisa de Preços">
      <formula>NOT(ISERROR(SEARCH("Pesquisa de Preços",E5098)))</formula>
    </cfRule>
  </conditionalFormatting>
  <conditionalFormatting sqref="E5099 E5108">
    <cfRule type="containsText" dxfId="4909" priority="7799" operator="containsText" text="Pesquisa de Preços">
      <formula>NOT(ISERROR(SEARCH("Pesquisa de Preços",E5099)))</formula>
    </cfRule>
  </conditionalFormatting>
  <conditionalFormatting sqref="D5109">
    <cfRule type="containsText" dxfId="4902" priority="7784" operator="containsText" text="Pesquisa de Preços">
      <formula>NOT(ISERROR(SEARCH("Pesquisa de Preços",D5109)))</formula>
    </cfRule>
  </conditionalFormatting>
  <conditionalFormatting sqref="D5115">
    <cfRule type="containsText" dxfId="4895" priority="7772" operator="containsText" text="Pesquisa de Preços">
      <formula>NOT(ISERROR(SEARCH("Pesquisa de Preços",D5115)))</formula>
    </cfRule>
  </conditionalFormatting>
  <conditionalFormatting sqref="D5118">
    <cfRule type="containsText" dxfId="4892" priority="7764" operator="containsText" text="Pesquisa de Preços">
      <formula>NOT(ISERROR(SEARCH("Pesquisa de Preços",D5118)))</formula>
    </cfRule>
  </conditionalFormatting>
  <conditionalFormatting sqref="D5123">
    <cfRule type="containsText" dxfId="4885" priority="7758" operator="containsText" text="Pesquisa de Preços">
      <formula>NOT(ISERROR(SEARCH("Pesquisa de Preços",D5123)))</formula>
    </cfRule>
  </conditionalFormatting>
  <conditionalFormatting sqref="D5126">
    <cfRule type="containsText" dxfId="4882" priority="7752" operator="containsText" text="Pesquisa de Preços">
      <formula>NOT(ISERROR(SEARCH("Pesquisa de Preços",D5126)))</formula>
    </cfRule>
  </conditionalFormatting>
  <conditionalFormatting sqref="D5131">
    <cfRule type="containsText" dxfId="4875" priority="7746" operator="containsText" text="Pesquisa de Preços">
      <formula>NOT(ISERROR(SEARCH("Pesquisa de Preços",D5131)))</formula>
    </cfRule>
  </conditionalFormatting>
  <conditionalFormatting sqref="D5134">
    <cfRule type="containsText" dxfId="4872" priority="7740" operator="containsText" text="Pesquisa de Preços">
      <formula>NOT(ISERROR(SEARCH("Pesquisa de Preços",D5134)))</formula>
    </cfRule>
  </conditionalFormatting>
  <conditionalFormatting sqref="D5139">
    <cfRule type="containsText" dxfId="4865" priority="7722" operator="containsText" text="Pesquisa de Preços">
      <formula>NOT(ISERROR(SEARCH("Pesquisa de Preços",D5139)))</formula>
    </cfRule>
  </conditionalFormatting>
  <conditionalFormatting sqref="D5142">
    <cfRule type="containsText" dxfId="4862" priority="7716" operator="containsText" text="Pesquisa de Preços">
      <formula>NOT(ISERROR(SEARCH("Pesquisa de Preços",D5142)))</formula>
    </cfRule>
  </conditionalFormatting>
  <conditionalFormatting sqref="D5147">
    <cfRule type="containsText" dxfId="4855" priority="7710" operator="containsText" text="Pesquisa de Preços">
      <formula>NOT(ISERROR(SEARCH("Pesquisa de Preços",D5147)))</formula>
    </cfRule>
  </conditionalFormatting>
  <conditionalFormatting sqref="D5149">
    <cfRule type="containsText" dxfId="4850" priority="7697" operator="containsText" text="Pesquisa de Preços">
      <formula>NOT(ISERROR(SEARCH("Pesquisa de Preços",D5149)))</formula>
    </cfRule>
  </conditionalFormatting>
  <conditionalFormatting sqref="D5153">
    <cfRule type="containsText" dxfId="4847" priority="7695" operator="containsText" text="Pesquisa de Preços">
      <formula>NOT(ISERROR(SEARCH("Pesquisa de Preços",D5153)))</formula>
    </cfRule>
  </conditionalFormatting>
  <conditionalFormatting sqref="D5156">
    <cfRule type="containsText" dxfId="4844" priority="7689" operator="containsText" text="Pesquisa de Preços">
      <formula>NOT(ISERROR(SEARCH("Pesquisa de Preços",D5156)))</formula>
    </cfRule>
  </conditionalFormatting>
  <conditionalFormatting sqref="D5161">
    <cfRule type="containsText" dxfId="4837" priority="7683" operator="containsText" text="Pesquisa de Preços">
      <formula>NOT(ISERROR(SEARCH("Pesquisa de Preços",D5161)))</formula>
    </cfRule>
  </conditionalFormatting>
  <conditionalFormatting sqref="D5163">
    <cfRule type="containsText" dxfId="4832" priority="7675" operator="containsText" text="Pesquisa de Preços">
      <formula>NOT(ISERROR(SEARCH("Pesquisa de Preços",D5163)))</formula>
    </cfRule>
  </conditionalFormatting>
  <conditionalFormatting sqref="D5167">
    <cfRule type="containsText" dxfId="4829" priority="7673" operator="containsText" text="Pesquisa de Preços">
      <formula>NOT(ISERROR(SEARCH("Pesquisa de Preços",D5167)))</formula>
    </cfRule>
  </conditionalFormatting>
  <conditionalFormatting sqref="D5170">
    <cfRule type="containsText" dxfId="4826" priority="7667" operator="containsText" text="Pesquisa de Preços">
      <formula>NOT(ISERROR(SEARCH("Pesquisa de Preços",D5170)))</formula>
    </cfRule>
  </conditionalFormatting>
  <conditionalFormatting sqref="D5175">
    <cfRule type="containsText" dxfId="4819" priority="7659" operator="containsText" text="Pesquisa de Preços">
      <formula>NOT(ISERROR(SEARCH("Pesquisa de Preços",D5175)))</formula>
    </cfRule>
  </conditionalFormatting>
  <conditionalFormatting sqref="D5178">
    <cfRule type="containsText" dxfId="4816" priority="7653" operator="containsText" text="Pesquisa de Preços">
      <formula>NOT(ISERROR(SEARCH("Pesquisa de Preços",D5178)))</formula>
    </cfRule>
  </conditionalFormatting>
  <conditionalFormatting sqref="D5183">
    <cfRule type="containsText" dxfId="4809" priority="7647" operator="containsText" text="Pesquisa de Preços">
      <formula>NOT(ISERROR(SEARCH("Pesquisa de Preços",D5183)))</formula>
    </cfRule>
  </conditionalFormatting>
  <conditionalFormatting sqref="D5186">
    <cfRule type="containsText" dxfId="4806" priority="7641" operator="containsText" text="Pesquisa de Preços">
      <formula>NOT(ISERROR(SEARCH("Pesquisa de Preços",D5186)))</formula>
    </cfRule>
  </conditionalFormatting>
  <conditionalFormatting sqref="D5191">
    <cfRule type="containsText" dxfId="4799" priority="7635" operator="containsText" text="Pesquisa de Preços">
      <formula>NOT(ISERROR(SEARCH("Pesquisa de Preços",D5191)))</formula>
    </cfRule>
  </conditionalFormatting>
  <conditionalFormatting sqref="D5206">
    <cfRule type="containsText" dxfId="4788" priority="7620" operator="containsText" text="Pesquisa de Preços">
      <formula>NOT(ISERROR(SEARCH("Pesquisa de Preços",D5206)))</formula>
    </cfRule>
  </conditionalFormatting>
  <conditionalFormatting sqref="D5221">
    <cfRule type="containsText" dxfId="4777" priority="7605" operator="containsText" text="Pesquisa de Preços">
      <formula>NOT(ISERROR(SEARCH("Pesquisa de Preços",D5221)))</formula>
    </cfRule>
  </conditionalFormatting>
  <conditionalFormatting sqref="D5228">
    <cfRule type="containsText" dxfId="4770" priority="7592" operator="containsText" text="Pesquisa de Preços">
      <formula>NOT(ISERROR(SEARCH("Pesquisa de Preços",D5228)))</formula>
    </cfRule>
  </conditionalFormatting>
  <conditionalFormatting sqref="D5231">
    <cfRule type="containsText" dxfId="4767" priority="7586" operator="containsText" text="Pesquisa de Preços">
      <formula>NOT(ISERROR(SEARCH("Pesquisa de Preços",D5231)))</formula>
    </cfRule>
  </conditionalFormatting>
  <conditionalFormatting sqref="D5235">
    <cfRule type="containsText" dxfId="4758" priority="7570" operator="containsText" text="Pesquisa de Preços">
      <formula>NOT(ISERROR(SEARCH("Pesquisa de Preços",D5235)))</formula>
    </cfRule>
  </conditionalFormatting>
  <conditionalFormatting sqref="D5237">
    <cfRule type="containsText" dxfId="4755" priority="7561" operator="containsText" text="Pesquisa de Preços">
      <formula>NOT(ISERROR(SEARCH("Pesquisa de Preços",D5237)))</formula>
    </cfRule>
  </conditionalFormatting>
  <conditionalFormatting sqref="D5241">
    <cfRule type="containsText" dxfId="4750" priority="7556" operator="containsText" text="Pesquisa de Preços">
      <formula>NOT(ISERROR(SEARCH("Pesquisa de Preços",D5241)))</formula>
    </cfRule>
  </conditionalFormatting>
  <conditionalFormatting sqref="D5243">
    <cfRule type="containsText" dxfId="4747" priority="7549" operator="containsText" text="Pesquisa de Preços">
      <formula>NOT(ISERROR(SEARCH("Pesquisa de Preços",D5243)))</formula>
    </cfRule>
  </conditionalFormatting>
  <conditionalFormatting sqref="D5247">
    <cfRule type="containsText" dxfId="4740" priority="7530" operator="containsText" text="Pesquisa de Preços">
      <formula>NOT(ISERROR(SEARCH("Pesquisa de Preços",D5247)))</formula>
    </cfRule>
  </conditionalFormatting>
  <conditionalFormatting sqref="D5248 D5253">
    <cfRule type="containsText" dxfId="4739" priority="7529" operator="containsText" text="Pesquisa de Preços">
      <formula>NOT(ISERROR(SEARCH("Pesquisa de Preços",D5248)))</formula>
    </cfRule>
  </conditionalFormatting>
  <conditionalFormatting sqref="E5253">
    <cfRule type="containsText" dxfId="4738" priority="7526" operator="containsText" text="Pesquisa de Preços">
      <formula>NOT(ISERROR(SEARCH("Pesquisa de Preços",E5253)))</formula>
    </cfRule>
  </conditionalFormatting>
  <conditionalFormatting sqref="D5254">
    <cfRule type="containsText" dxfId="4735" priority="7522" operator="containsText" text="Pesquisa de Preços">
      <formula>NOT(ISERROR(SEARCH("Pesquisa de Preços",D5254)))</formula>
    </cfRule>
  </conditionalFormatting>
  <conditionalFormatting sqref="D5255">
    <cfRule type="containsText" dxfId="4734" priority="7521" operator="containsText" text="Pesquisa de Preços">
      <formula>NOT(ISERROR(SEARCH("Pesquisa de Preços",D5255)))</formula>
    </cfRule>
  </conditionalFormatting>
  <conditionalFormatting sqref="E5265">
    <cfRule type="containsText" dxfId="4733" priority="7518" operator="containsText" text="Pesquisa de Preços">
      <formula>NOT(ISERROR(SEARCH("Pesquisa de Preços",E5265)))</formula>
    </cfRule>
  </conditionalFormatting>
  <conditionalFormatting sqref="D5274">
    <cfRule type="containsText" dxfId="4732" priority="7514" operator="containsText" text="Pesquisa de Preços">
      <formula>NOT(ISERROR(SEARCH("Pesquisa de Preços",D5274)))</formula>
    </cfRule>
  </conditionalFormatting>
  <conditionalFormatting sqref="D5275 D5279">
    <cfRule type="containsText" dxfId="4731" priority="7513" operator="containsText" text="Pesquisa de Preços">
      <formula>NOT(ISERROR(SEARCH("Pesquisa de Preços",D5275)))</formula>
    </cfRule>
  </conditionalFormatting>
  <conditionalFormatting sqref="E5279">
    <cfRule type="containsText" dxfId="4730" priority="7510" operator="containsText" text="Pesquisa de Preços">
      <formula>NOT(ISERROR(SEARCH("Pesquisa de Preços",E5279)))</formula>
    </cfRule>
  </conditionalFormatting>
  <conditionalFormatting sqref="D5280">
    <cfRule type="containsText" dxfId="4727" priority="7506" operator="containsText" text="Pesquisa de Preços">
      <formula>NOT(ISERROR(SEARCH("Pesquisa de Preços",D5280)))</formula>
    </cfRule>
  </conditionalFormatting>
  <conditionalFormatting sqref="E1146">
    <cfRule type="containsText" dxfId="4720" priority="7489" operator="containsText" text="Pesquisa de Preços">
      <formula>NOT(ISERROR(SEARCH("Pesquisa de Preços",E1146)))</formula>
    </cfRule>
  </conditionalFormatting>
  <conditionalFormatting sqref="E1048">
    <cfRule type="containsText" dxfId="4719" priority="7491" operator="containsText" text="Pesquisa de Preços">
      <formula>NOT(ISERROR(SEARCH("Pesquisa de Preços",E1048)))</formula>
    </cfRule>
  </conditionalFormatting>
  <conditionalFormatting sqref="E1047">
    <cfRule type="containsText" dxfId="4718" priority="7490" operator="containsText" text="Pesquisa de Preços">
      <formula>NOT(ISERROR(SEARCH("Pesquisa de Preços",E1047)))</formula>
    </cfRule>
  </conditionalFormatting>
  <conditionalFormatting sqref="E1144:E1145">
    <cfRule type="containsText" dxfId="4717" priority="7488" operator="containsText" text="Pesquisa de Preços">
      <formula>NOT(ISERROR(SEARCH("Pesquisa de Preços",E1144)))</formula>
    </cfRule>
  </conditionalFormatting>
  <conditionalFormatting sqref="E1161">
    <cfRule type="containsText" dxfId="4716" priority="7487" operator="containsText" text="Pesquisa de Preços">
      <formula>NOT(ISERROR(SEARCH("Pesquisa de Preços",E1161)))</formula>
    </cfRule>
  </conditionalFormatting>
  <conditionalFormatting sqref="E1159:E1160">
    <cfRule type="containsText" dxfId="4715" priority="7486" operator="containsText" text="Pesquisa de Preços">
      <formula>NOT(ISERROR(SEARCH("Pesquisa de Preços",E1159)))</formula>
    </cfRule>
  </conditionalFormatting>
  <conditionalFormatting sqref="E1175">
    <cfRule type="containsText" dxfId="4714" priority="7485" operator="containsText" text="Pesquisa de Preços">
      <formula>NOT(ISERROR(SEARCH("Pesquisa de Preços",E1175)))</formula>
    </cfRule>
  </conditionalFormatting>
  <conditionalFormatting sqref="E1173:E1174">
    <cfRule type="containsText" dxfId="4713" priority="7484" operator="containsText" text="Pesquisa de Preços">
      <formula>NOT(ISERROR(SEARCH("Pesquisa de Preços",E1173)))</formula>
    </cfRule>
  </conditionalFormatting>
  <conditionalFormatting sqref="E1182">
    <cfRule type="containsText" dxfId="4712" priority="7483" operator="containsText" text="Pesquisa de Preços">
      <formula>NOT(ISERROR(SEARCH("Pesquisa de Preços",E1182)))</formula>
    </cfRule>
  </conditionalFormatting>
  <conditionalFormatting sqref="E1180:E1181">
    <cfRule type="containsText" dxfId="4711" priority="7482" operator="containsText" text="Pesquisa de Preços">
      <formula>NOT(ISERROR(SEARCH("Pesquisa de Preços",E1180)))</formula>
    </cfRule>
  </conditionalFormatting>
  <conditionalFormatting sqref="E1189">
    <cfRule type="containsText" dxfId="4710" priority="7481" operator="containsText" text="Pesquisa de Preços">
      <formula>NOT(ISERROR(SEARCH("Pesquisa de Preços",E1189)))</formula>
    </cfRule>
  </conditionalFormatting>
  <conditionalFormatting sqref="E1187:E1188">
    <cfRule type="containsText" dxfId="4709" priority="7480" operator="containsText" text="Pesquisa de Preços">
      <formula>NOT(ISERROR(SEARCH("Pesquisa de Preços",E1187)))</formula>
    </cfRule>
  </conditionalFormatting>
  <conditionalFormatting sqref="E612">
    <cfRule type="containsText" dxfId="4700" priority="7464" operator="containsText" text="Pesquisa de Preços">
      <formula>NOT(ISERROR(SEARCH("Pesquisa de Preços",E612)))</formula>
    </cfRule>
  </conditionalFormatting>
  <conditionalFormatting sqref="E610:E611">
    <cfRule type="containsText" dxfId="4699" priority="7463" operator="containsText" text="Pesquisa de Preços">
      <formula>NOT(ISERROR(SEARCH("Pesquisa de Preços",E610)))</formula>
    </cfRule>
  </conditionalFormatting>
  <conditionalFormatting sqref="E266">
    <cfRule type="containsText" dxfId="4689" priority="7450" operator="containsText" text="Pesquisa de Preços">
      <formula>NOT(ISERROR(SEARCH("Pesquisa de Preços",E266)))</formula>
    </cfRule>
  </conditionalFormatting>
  <conditionalFormatting sqref="E2105">
    <cfRule type="containsText" dxfId="4688" priority="7446" operator="containsText" text="Pesquisa de Preços">
      <formula>NOT(ISERROR(SEARCH("Pesquisa de Preços",E2105)))</formula>
    </cfRule>
  </conditionalFormatting>
  <conditionalFormatting sqref="D5273">
    <cfRule type="containsText" dxfId="4681" priority="7433" operator="containsText" text="Pesquisa de Preços">
      <formula>NOT(ISERROR(SEARCH("Pesquisa de Preços",D5273)))</formula>
    </cfRule>
  </conditionalFormatting>
  <conditionalFormatting sqref="E5266">
    <cfRule type="containsText" dxfId="4680" priority="7426" operator="containsText" text="Pesquisa de Preços">
      <formula>NOT(ISERROR(SEARCH("Pesquisa de Preços",E5266)))</formula>
    </cfRule>
  </conditionalFormatting>
  <conditionalFormatting sqref="E5273">
    <cfRule type="containsText" dxfId="4679" priority="7430" operator="containsText" text="Pesquisa de Preços">
      <formula>NOT(ISERROR(SEARCH("Pesquisa de Preços",E5273)))</formula>
    </cfRule>
  </conditionalFormatting>
  <conditionalFormatting sqref="D5266">
    <cfRule type="containsText" dxfId="4672" priority="7421" operator="containsText" text="Pesquisa de Preços">
      <formula>NOT(ISERROR(SEARCH("Pesquisa de Preços",D5266)))</formula>
    </cfRule>
  </conditionalFormatting>
  <conditionalFormatting sqref="D5287">
    <cfRule type="containsText" dxfId="4663" priority="7384" operator="containsText" text="Pesquisa de Preços">
      <formula>NOT(ISERROR(SEARCH("Pesquisa de Preços",D5287)))</formula>
    </cfRule>
  </conditionalFormatting>
  <conditionalFormatting sqref="D5293">
    <cfRule type="containsText" dxfId="4662" priority="7383" operator="containsText" text="Pesquisa de Preços">
      <formula>NOT(ISERROR(SEARCH("Pesquisa de Preços",D5293)))</formula>
    </cfRule>
  </conditionalFormatting>
  <conditionalFormatting sqref="D2380">
    <cfRule type="containsText" dxfId="4661" priority="7377" operator="containsText" text="Pesquisa de Preços">
      <formula>NOT(ISERROR(SEARCH("Pesquisa de Preços",D2380)))</formula>
    </cfRule>
  </conditionalFormatting>
  <conditionalFormatting sqref="D2377">
    <cfRule type="containsText" dxfId="4660" priority="7376" operator="containsText" text="Pesquisa de Preços">
      <formula>NOT(ISERROR(SEARCH("Pesquisa de Preços",D2377)))</formula>
    </cfRule>
  </conditionalFormatting>
  <conditionalFormatting sqref="E2380">
    <cfRule type="containsText" dxfId="4659" priority="7375" operator="containsText" text="Pesquisa de Preços">
      <formula>NOT(ISERROR(SEARCH("Pesquisa de Preços",E2380)))</formula>
    </cfRule>
  </conditionalFormatting>
  <conditionalFormatting sqref="D2384">
    <cfRule type="containsText" dxfId="4656" priority="7372" operator="containsText" text="Pesquisa de Preços">
      <formula>NOT(ISERROR(SEARCH("Pesquisa de Preços",D2384)))</formula>
    </cfRule>
  </conditionalFormatting>
  <conditionalFormatting sqref="D2381">
    <cfRule type="containsText" dxfId="4655" priority="7371" operator="containsText" text="Pesquisa de Preços">
      <formula>NOT(ISERROR(SEARCH("Pesquisa de Preços",D2381)))</formula>
    </cfRule>
  </conditionalFormatting>
  <conditionalFormatting sqref="E2384">
    <cfRule type="containsText" dxfId="4654" priority="7370" operator="containsText" text="Pesquisa de Preços">
      <formula>NOT(ISERROR(SEARCH("Pesquisa de Preços",E2384)))</formula>
    </cfRule>
  </conditionalFormatting>
  <conditionalFormatting sqref="D2392">
    <cfRule type="containsText" dxfId="4651" priority="7367" operator="containsText" text="Pesquisa de Preços">
      <formula>NOT(ISERROR(SEARCH("Pesquisa de Preços",D2392)))</formula>
    </cfRule>
  </conditionalFormatting>
  <conditionalFormatting sqref="D2389">
    <cfRule type="containsText" dxfId="4650" priority="7366" operator="containsText" text="Pesquisa de Preços">
      <formula>NOT(ISERROR(SEARCH("Pesquisa de Preços",D2389)))</formula>
    </cfRule>
  </conditionalFormatting>
  <conditionalFormatting sqref="E2392">
    <cfRule type="containsText" dxfId="4649" priority="7365" operator="containsText" text="Pesquisa de Preços">
      <formula>NOT(ISERROR(SEARCH("Pesquisa de Preços",E2392)))</formula>
    </cfRule>
  </conditionalFormatting>
  <conditionalFormatting sqref="D2396">
    <cfRule type="containsText" dxfId="4646" priority="7362" operator="containsText" text="Pesquisa de Preços">
      <formula>NOT(ISERROR(SEARCH("Pesquisa de Preços",D2396)))</formula>
    </cfRule>
  </conditionalFormatting>
  <conditionalFormatting sqref="D2393">
    <cfRule type="containsText" dxfId="4645" priority="7361" operator="containsText" text="Pesquisa de Preços">
      <formula>NOT(ISERROR(SEARCH("Pesquisa de Preços",D2393)))</formula>
    </cfRule>
  </conditionalFormatting>
  <conditionalFormatting sqref="E2396">
    <cfRule type="containsText" dxfId="4644" priority="7360" operator="containsText" text="Pesquisa de Preços">
      <formula>NOT(ISERROR(SEARCH("Pesquisa de Preços",E2396)))</formula>
    </cfRule>
  </conditionalFormatting>
  <conditionalFormatting sqref="D2400">
    <cfRule type="containsText" dxfId="4641" priority="7357" operator="containsText" text="Pesquisa de Preços">
      <formula>NOT(ISERROR(SEARCH("Pesquisa de Preços",D2400)))</formula>
    </cfRule>
  </conditionalFormatting>
  <conditionalFormatting sqref="D2397">
    <cfRule type="containsText" dxfId="4640" priority="7356" operator="containsText" text="Pesquisa de Preços">
      <formula>NOT(ISERROR(SEARCH("Pesquisa de Preços",D2397)))</formula>
    </cfRule>
  </conditionalFormatting>
  <conditionalFormatting sqref="E2400">
    <cfRule type="containsText" dxfId="4639" priority="7355" operator="containsText" text="Pesquisa de Preços">
      <formula>NOT(ISERROR(SEARCH("Pesquisa de Preços",E2400)))</formula>
    </cfRule>
  </conditionalFormatting>
  <conditionalFormatting sqref="D2404">
    <cfRule type="containsText" dxfId="4636" priority="7352" operator="containsText" text="Pesquisa de Preços">
      <formula>NOT(ISERROR(SEARCH("Pesquisa de Preços",D2404)))</formula>
    </cfRule>
  </conditionalFormatting>
  <conditionalFormatting sqref="D2401">
    <cfRule type="containsText" dxfId="4635" priority="7351" operator="containsText" text="Pesquisa de Preços">
      <formula>NOT(ISERROR(SEARCH("Pesquisa de Preços",D2401)))</formula>
    </cfRule>
  </conditionalFormatting>
  <conditionalFormatting sqref="E2404">
    <cfRule type="containsText" dxfId="4634" priority="7350" operator="containsText" text="Pesquisa de Preços">
      <formula>NOT(ISERROR(SEARCH("Pesquisa de Preços",E2404)))</formula>
    </cfRule>
  </conditionalFormatting>
  <conditionalFormatting sqref="D2408">
    <cfRule type="containsText" dxfId="4631" priority="7347" operator="containsText" text="Pesquisa de Preços">
      <formula>NOT(ISERROR(SEARCH("Pesquisa de Preços",D2408)))</formula>
    </cfRule>
  </conditionalFormatting>
  <conditionalFormatting sqref="D2405">
    <cfRule type="containsText" dxfId="4630" priority="7346" operator="containsText" text="Pesquisa de Preços">
      <formula>NOT(ISERROR(SEARCH("Pesquisa de Preços",D2405)))</formula>
    </cfRule>
  </conditionalFormatting>
  <conditionalFormatting sqref="E2408">
    <cfRule type="containsText" dxfId="4629" priority="7345" operator="containsText" text="Pesquisa de Preços">
      <formula>NOT(ISERROR(SEARCH("Pesquisa de Preços",E2408)))</formula>
    </cfRule>
  </conditionalFormatting>
  <conditionalFormatting sqref="D2412">
    <cfRule type="containsText" dxfId="4626" priority="7342" operator="containsText" text="Pesquisa de Preços">
      <formula>NOT(ISERROR(SEARCH("Pesquisa de Preços",D2412)))</formula>
    </cfRule>
  </conditionalFormatting>
  <conditionalFormatting sqref="D2409">
    <cfRule type="containsText" dxfId="4625" priority="7341" operator="containsText" text="Pesquisa de Preços">
      <formula>NOT(ISERROR(SEARCH("Pesquisa de Preços",D2409)))</formula>
    </cfRule>
  </conditionalFormatting>
  <conditionalFormatting sqref="E2412">
    <cfRule type="containsText" dxfId="4624" priority="7340" operator="containsText" text="Pesquisa de Preços">
      <formula>NOT(ISERROR(SEARCH("Pesquisa de Preços",E2412)))</formula>
    </cfRule>
  </conditionalFormatting>
  <conditionalFormatting sqref="D2417">
    <cfRule type="containsText" dxfId="4621" priority="7336" operator="containsText" text="Pesquisa de Preços">
      <formula>NOT(ISERROR(SEARCH("Pesquisa de Preços",D2417)))</formula>
    </cfRule>
  </conditionalFormatting>
  <conditionalFormatting sqref="D2421">
    <cfRule type="containsText" dxfId="4618" priority="7332" operator="containsText" text="Pesquisa de Preços">
      <formula>NOT(ISERROR(SEARCH("Pesquisa de Preços",D2421)))</formula>
    </cfRule>
  </conditionalFormatting>
  <conditionalFormatting sqref="D2433">
    <cfRule type="containsText" dxfId="4615" priority="7328" operator="containsText" text="Pesquisa de Preços">
      <formula>NOT(ISERROR(SEARCH("Pesquisa de Preços",D2433)))</formula>
    </cfRule>
  </conditionalFormatting>
  <conditionalFormatting sqref="D2437">
    <cfRule type="containsText" dxfId="4612" priority="7324" operator="containsText" text="Pesquisa de Preços">
      <formula>NOT(ISERROR(SEARCH("Pesquisa de Preços",D2437)))</formula>
    </cfRule>
  </conditionalFormatting>
  <conditionalFormatting sqref="D2441">
    <cfRule type="containsText" dxfId="4609" priority="7320" operator="containsText" text="Pesquisa de Preços">
      <formula>NOT(ISERROR(SEARCH("Pesquisa de Preços",D2441)))</formula>
    </cfRule>
  </conditionalFormatting>
  <conditionalFormatting sqref="D2445">
    <cfRule type="containsText" dxfId="4606" priority="7316" operator="containsText" text="Pesquisa de Preços">
      <formula>NOT(ISERROR(SEARCH("Pesquisa de Preços",D2445)))</formula>
    </cfRule>
  </conditionalFormatting>
  <conditionalFormatting sqref="D2449">
    <cfRule type="containsText" dxfId="4603" priority="7312" operator="containsText" text="Pesquisa de Preços">
      <formula>NOT(ISERROR(SEARCH("Pesquisa de Preços",D2449)))</formula>
    </cfRule>
  </conditionalFormatting>
  <conditionalFormatting sqref="D2453">
    <cfRule type="containsText" dxfId="4600" priority="7308" operator="containsText" text="Pesquisa de Preços">
      <formula>NOT(ISERROR(SEARCH("Pesquisa de Preços",D2453)))</formula>
    </cfRule>
  </conditionalFormatting>
  <conditionalFormatting sqref="D2457">
    <cfRule type="containsText" dxfId="4597" priority="7304" operator="containsText" text="Pesquisa de Preços">
      <formula>NOT(ISERROR(SEARCH("Pesquisa de Preços",D2457)))</formula>
    </cfRule>
  </conditionalFormatting>
  <conditionalFormatting sqref="D2461">
    <cfRule type="containsText" dxfId="4594" priority="7300" operator="containsText" text="Pesquisa de Preços">
      <formula>NOT(ISERROR(SEARCH("Pesquisa de Preços",D2461)))</formula>
    </cfRule>
  </conditionalFormatting>
  <conditionalFormatting sqref="D2465">
    <cfRule type="containsText" dxfId="4591" priority="7296" operator="containsText" text="Pesquisa de Preços">
      <formula>NOT(ISERROR(SEARCH("Pesquisa de Preços",D2465)))</formula>
    </cfRule>
  </conditionalFormatting>
  <conditionalFormatting sqref="D2469">
    <cfRule type="containsText" dxfId="4588" priority="7292" operator="containsText" text="Pesquisa de Preços">
      <formula>NOT(ISERROR(SEARCH("Pesquisa de Preços",D2469)))</formula>
    </cfRule>
  </conditionalFormatting>
  <conditionalFormatting sqref="D2473">
    <cfRule type="containsText" dxfId="4585" priority="7288" operator="containsText" text="Pesquisa de Preços">
      <formula>NOT(ISERROR(SEARCH("Pesquisa de Preços",D2473)))</formula>
    </cfRule>
  </conditionalFormatting>
  <conditionalFormatting sqref="D2477">
    <cfRule type="containsText" dxfId="4580" priority="7282" operator="containsText" text="Pesquisa de Preços">
      <formula>NOT(ISERROR(SEARCH("Pesquisa de Preços",D2477)))</formula>
    </cfRule>
  </conditionalFormatting>
  <conditionalFormatting sqref="D2481">
    <cfRule type="containsText" dxfId="4577" priority="7278" operator="containsText" text="Pesquisa de Preços">
      <formula>NOT(ISERROR(SEARCH("Pesquisa de Preços",D2481)))</formula>
    </cfRule>
  </conditionalFormatting>
  <conditionalFormatting sqref="D2485">
    <cfRule type="containsText" dxfId="4574" priority="7274" operator="containsText" text="Pesquisa de Preços">
      <formula>NOT(ISERROR(SEARCH("Pesquisa de Preços",D2485)))</formula>
    </cfRule>
  </conditionalFormatting>
  <conditionalFormatting sqref="D2489">
    <cfRule type="containsText" dxfId="4569" priority="7270" operator="containsText" text="Pesquisa de Preços">
      <formula>NOT(ISERROR(SEARCH("Pesquisa de Preços",D2489)))</formula>
    </cfRule>
  </conditionalFormatting>
  <conditionalFormatting sqref="D2493">
    <cfRule type="containsText" dxfId="4566" priority="7266" operator="containsText" text="Pesquisa de Preços">
      <formula>NOT(ISERROR(SEARCH("Pesquisa de Preços",D2493)))</formula>
    </cfRule>
  </conditionalFormatting>
  <conditionalFormatting sqref="D2497">
    <cfRule type="containsText" dxfId="4563" priority="7262" operator="containsText" text="Pesquisa de Preços">
      <formula>NOT(ISERROR(SEARCH("Pesquisa de Preços",D2497)))</formula>
    </cfRule>
  </conditionalFormatting>
  <conditionalFormatting sqref="D2501">
    <cfRule type="containsText" dxfId="4560" priority="7258" operator="containsText" text="Pesquisa de Preços">
      <formula>NOT(ISERROR(SEARCH("Pesquisa de Preços",D2501)))</formula>
    </cfRule>
  </conditionalFormatting>
  <conditionalFormatting sqref="D2505">
    <cfRule type="containsText" dxfId="4557" priority="7254" operator="containsText" text="Pesquisa de Preços">
      <formula>NOT(ISERROR(SEARCH("Pesquisa de Preços",D2505)))</formula>
    </cfRule>
  </conditionalFormatting>
  <conditionalFormatting sqref="D2509">
    <cfRule type="containsText" dxfId="4554" priority="7250" operator="containsText" text="Pesquisa de Preços">
      <formula>NOT(ISERROR(SEARCH("Pesquisa de Preços",D2509)))</formula>
    </cfRule>
  </conditionalFormatting>
  <conditionalFormatting sqref="D2513">
    <cfRule type="containsText" dxfId="4551" priority="7246" operator="containsText" text="Pesquisa de Preços">
      <formula>NOT(ISERROR(SEARCH("Pesquisa de Preços",D2513)))</formula>
    </cfRule>
  </conditionalFormatting>
  <conditionalFormatting sqref="D2517">
    <cfRule type="containsText" dxfId="4550" priority="7242" operator="containsText" text="Pesquisa de Preços">
      <formula>NOT(ISERROR(SEARCH("Pesquisa de Preços",D2517)))</formula>
    </cfRule>
  </conditionalFormatting>
  <conditionalFormatting sqref="D2521">
    <cfRule type="containsText" dxfId="4549" priority="7238" operator="containsText" text="Pesquisa de Preços">
      <formula>NOT(ISERROR(SEARCH("Pesquisa de Preços",D2521)))</formula>
    </cfRule>
  </conditionalFormatting>
  <conditionalFormatting sqref="D2625">
    <cfRule type="containsText" dxfId="4546" priority="7224" operator="containsText" text="Pesquisa de Preços">
      <formula>NOT(ISERROR(SEARCH("Pesquisa de Preços",D2625)))</formula>
    </cfRule>
  </conditionalFormatting>
  <conditionalFormatting sqref="D2529">
    <cfRule type="containsText" dxfId="4545" priority="7230" operator="containsText" text="Pesquisa de Preços">
      <formula>NOT(ISERROR(SEARCH("Pesquisa de Preços",D2529)))</formula>
    </cfRule>
  </conditionalFormatting>
  <conditionalFormatting sqref="D2525">
    <cfRule type="containsText" dxfId="4544" priority="7226" operator="containsText" text="Pesquisa de Preços">
      <formula>NOT(ISERROR(SEARCH("Pesquisa de Preços",D2525)))</formula>
    </cfRule>
  </conditionalFormatting>
  <conditionalFormatting sqref="D2633">
    <cfRule type="containsText" dxfId="4541" priority="7220" operator="containsText" text="Pesquisa de Preços">
      <formula>NOT(ISERROR(SEARCH("Pesquisa de Preços",D2633)))</formula>
    </cfRule>
  </conditionalFormatting>
  <conditionalFormatting sqref="D2425">
    <cfRule type="containsText" dxfId="4540" priority="7216" operator="containsText" text="Pesquisa de Preços">
      <formula>NOT(ISERROR(SEARCH("Pesquisa de Preços",D2425)))</formula>
    </cfRule>
  </conditionalFormatting>
  <conditionalFormatting sqref="D2429">
    <cfRule type="containsText" dxfId="4537" priority="7212" operator="containsText" text="Pesquisa de Preços">
      <formula>NOT(ISERROR(SEARCH("Pesquisa de Preços",D2429)))</formula>
    </cfRule>
  </conditionalFormatting>
  <conditionalFormatting sqref="D5724">
    <cfRule type="containsText" dxfId="4530" priority="6901" operator="containsText" text="Pesquisa de Preços">
      <formula>NOT(ISERROR(SEARCH("Pesquisa de Preços",D5724)))</formula>
    </cfRule>
  </conditionalFormatting>
  <conditionalFormatting sqref="D5716">
    <cfRule type="containsText" dxfId="4529" priority="6909" operator="containsText" text="Pesquisa de Preços">
      <formula>NOT(ISERROR(SEARCH("Pesquisa de Preços",D5716)))</formula>
    </cfRule>
  </conditionalFormatting>
  <conditionalFormatting sqref="D5728">
    <cfRule type="containsText" dxfId="4524" priority="6897" operator="containsText" text="Pesquisa de Preços">
      <formula>NOT(ISERROR(SEARCH("Pesquisa de Preços",D5728)))</formula>
    </cfRule>
  </conditionalFormatting>
  <conditionalFormatting sqref="D6072">
    <cfRule type="containsText" dxfId="4519" priority="6677" operator="containsText" text="Pesquisa de Preços">
      <formula>NOT(ISERROR(SEARCH("Pesquisa de Preços",D6072)))</formula>
    </cfRule>
  </conditionalFormatting>
  <conditionalFormatting sqref="D6145">
    <cfRule type="containsText" dxfId="4514" priority="6669" operator="containsText" text="Pesquisa de Preços">
      <formula>NOT(ISERROR(SEARCH("Pesquisa de Preços",D6145)))</formula>
    </cfRule>
  </conditionalFormatting>
  <conditionalFormatting sqref="D6142:D6144">
    <cfRule type="containsText" dxfId="4509" priority="6667" operator="containsText" text="Pesquisa de Preços">
      <formula>NOT(ISERROR(SEARCH("Pesquisa de Preços",D6142)))</formula>
    </cfRule>
  </conditionalFormatting>
  <conditionalFormatting sqref="D2749">
    <cfRule type="containsText" dxfId="4506" priority="7098" operator="containsText" text="Pesquisa de Preços">
      <formula>NOT(ISERROR(SEARCH("Pesquisa de Preços",D2749)))</formula>
    </cfRule>
  </conditionalFormatting>
  <conditionalFormatting sqref="D5720">
    <cfRule type="containsText" dxfId="4487" priority="6905" operator="containsText" text="Pesquisa de Preços">
      <formula>NOT(ISERROR(SEARCH("Pesquisa de Preços",D5720)))</formula>
    </cfRule>
  </conditionalFormatting>
  <conditionalFormatting sqref="D5606">
    <cfRule type="containsText" dxfId="4396" priority="6926" operator="containsText" text="Pesquisa de Preços">
      <formula>NOT(ISERROR(SEARCH("Pesquisa de Preços",D5606)))</formula>
    </cfRule>
  </conditionalFormatting>
  <conditionalFormatting sqref="D5736">
    <cfRule type="containsText" dxfId="4387" priority="6805" operator="containsText" text="Pesquisa de Preços">
      <formula>NOT(ISERROR(SEARCH("Pesquisa de Preços",D5736)))</formula>
    </cfRule>
  </conditionalFormatting>
  <conditionalFormatting sqref="D5732">
    <cfRule type="containsText" dxfId="4370" priority="6804" operator="containsText" text="Pesquisa de Preços">
      <formula>NOT(ISERROR(SEARCH("Pesquisa de Preços",D5732)))</formula>
    </cfRule>
  </conditionalFormatting>
  <conditionalFormatting sqref="D5996">
    <cfRule type="containsText" dxfId="4341" priority="6753" operator="containsText" text="Pesquisa de Preços">
      <formula>NOT(ISERROR(SEARCH("Pesquisa de Preços",D5996)))</formula>
    </cfRule>
  </conditionalFormatting>
  <conditionalFormatting sqref="D6004">
    <cfRule type="containsText" dxfId="4340" priority="6745" operator="containsText" text="Pesquisa de Preços">
      <formula>NOT(ISERROR(SEARCH("Pesquisa de Preços",D6004)))</formula>
    </cfRule>
  </conditionalFormatting>
  <conditionalFormatting sqref="D6016">
    <cfRule type="containsText" dxfId="4339" priority="6733" operator="containsText" text="Pesquisa de Preços">
      <formula>NOT(ISERROR(SEARCH("Pesquisa de Preços",D6016)))</formula>
    </cfRule>
  </conditionalFormatting>
  <conditionalFormatting sqref="D6000">
    <cfRule type="containsText" dxfId="4334" priority="6749" operator="containsText" text="Pesquisa de Preços">
      <formula>NOT(ISERROR(SEARCH("Pesquisa de Preços",D6000)))</formula>
    </cfRule>
  </conditionalFormatting>
  <conditionalFormatting sqref="D6024">
    <cfRule type="containsText" dxfId="4333" priority="6725" operator="containsText" text="Pesquisa de Preços">
      <formula>NOT(ISERROR(SEARCH("Pesquisa de Preços",D6024)))</formula>
    </cfRule>
  </conditionalFormatting>
  <conditionalFormatting sqref="D6008">
    <cfRule type="containsText" dxfId="4328" priority="6741" operator="containsText" text="Pesquisa de Preços">
      <formula>NOT(ISERROR(SEARCH("Pesquisa de Preços",D6008)))</formula>
    </cfRule>
  </conditionalFormatting>
  <conditionalFormatting sqref="D6012">
    <cfRule type="containsText" dxfId="4325" priority="6737" operator="containsText" text="Pesquisa de Preços">
      <formula>NOT(ISERROR(SEARCH("Pesquisa de Preços",D6012)))</formula>
    </cfRule>
  </conditionalFormatting>
  <conditionalFormatting sqref="D6020">
    <cfRule type="containsText" dxfId="4322" priority="6729" operator="containsText" text="Pesquisa de Preços">
      <formula>NOT(ISERROR(SEARCH("Pesquisa de Preços",D6020)))</formula>
    </cfRule>
  </conditionalFormatting>
  <conditionalFormatting sqref="D6064">
    <cfRule type="containsText" dxfId="4305" priority="6685" operator="containsText" text="Pesquisa de Preços">
      <formula>NOT(ISERROR(SEARCH("Pesquisa de Preços",D6064)))</formula>
    </cfRule>
  </conditionalFormatting>
  <conditionalFormatting sqref="D5540">
    <cfRule type="containsText" dxfId="4298" priority="6508" operator="containsText" text="Pesquisa de Preços">
      <formula>NOT(ISERROR(SEARCH("Pesquisa de Preços",D5540)))</formula>
    </cfRule>
  </conditionalFormatting>
  <conditionalFormatting sqref="D5534">
    <cfRule type="containsText" dxfId="4293" priority="6509" operator="containsText" text="Pesquisa de Preços">
      <formula>NOT(ISERROR(SEARCH("Pesquisa de Preços",D5534)))</formula>
    </cfRule>
  </conditionalFormatting>
  <conditionalFormatting sqref="D2753">
    <cfRule type="containsText" dxfId="4292" priority="6655" operator="containsText" text="Pesquisa de Preços">
      <formula>NOT(ISERROR(SEARCH("Pesquisa de Preços",D2753)))</formula>
    </cfRule>
  </conditionalFormatting>
  <conditionalFormatting sqref="D2745">
    <cfRule type="containsText" dxfId="4289" priority="6645" operator="containsText" text="Pesquisa de Preços">
      <formula>NOT(ISERROR(SEARCH("Pesquisa de Preços",D2745)))</formula>
    </cfRule>
  </conditionalFormatting>
  <conditionalFormatting sqref="D5638">
    <cfRule type="containsText" dxfId="4282" priority="6490" operator="containsText" text="Pesquisa de Preços">
      <formula>NOT(ISERROR(SEARCH("Pesquisa de Preços",D5638)))</formula>
    </cfRule>
  </conditionalFormatting>
  <conditionalFormatting sqref="D5662">
    <cfRule type="containsText" dxfId="4275" priority="6484" operator="containsText" text="Pesquisa de Preços">
      <formula>NOT(ISERROR(SEARCH("Pesquisa de Preços",D5662)))</formula>
    </cfRule>
  </conditionalFormatting>
  <conditionalFormatting sqref="D5654">
    <cfRule type="containsText" dxfId="4268" priority="6486" operator="containsText" text="Pesquisa de Preços">
      <formula>NOT(ISERROR(SEARCH("Pesquisa de Preços",D5654)))</formula>
    </cfRule>
  </conditionalFormatting>
  <conditionalFormatting sqref="D5666">
    <cfRule type="containsText" dxfId="4261" priority="6483" operator="containsText" text="Pesquisa de Preços">
      <formula>NOT(ISERROR(SEARCH("Pesquisa de Preços",D5666)))</formula>
    </cfRule>
  </conditionalFormatting>
  <conditionalFormatting sqref="D5694">
    <cfRule type="containsText" dxfId="4254" priority="6476" operator="containsText" text="Pesquisa de Preços">
      <formula>NOT(ISERROR(SEARCH("Pesquisa de Preços",D5694)))</formula>
    </cfRule>
  </conditionalFormatting>
  <conditionalFormatting sqref="D5722">
    <cfRule type="containsText" dxfId="4247" priority="6469" operator="containsText" text="Pesquisa de Preços">
      <formula>NOT(ISERROR(SEARCH("Pesquisa de Preços",D5722)))</formula>
    </cfRule>
  </conditionalFormatting>
  <conditionalFormatting sqref="D5786">
    <cfRule type="containsText" dxfId="4240" priority="6453" operator="containsText" text="Pesquisa de Preços">
      <formula>NOT(ISERROR(SEARCH("Pesquisa de Preços",D5786)))</formula>
    </cfRule>
  </conditionalFormatting>
  <conditionalFormatting sqref="D5858">
    <cfRule type="containsText" dxfId="4233" priority="6435" operator="containsText" text="Pesquisa de Preços">
      <formula>NOT(ISERROR(SEARCH("Pesquisa de Preços",D5858)))</formula>
    </cfRule>
  </conditionalFormatting>
  <conditionalFormatting sqref="D5862">
    <cfRule type="containsText" dxfId="4226" priority="6434" operator="containsText" text="Pesquisa de Preços">
      <formula>NOT(ISERROR(SEARCH("Pesquisa de Preços",D5862)))</formula>
    </cfRule>
  </conditionalFormatting>
  <conditionalFormatting sqref="D5890">
    <cfRule type="containsText" dxfId="4219" priority="6427" operator="containsText" text="Pesquisa de Preços">
      <formula>NOT(ISERROR(SEARCH("Pesquisa de Preços",D5890)))</formula>
    </cfRule>
  </conditionalFormatting>
  <conditionalFormatting sqref="D5918">
    <cfRule type="containsText" dxfId="4212" priority="6420" operator="containsText" text="Pesquisa de Preços">
      <formula>NOT(ISERROR(SEARCH("Pesquisa de Preços",D5918)))</formula>
    </cfRule>
  </conditionalFormatting>
  <conditionalFormatting sqref="D5938 D5934">
    <cfRule type="containsText" dxfId="4205" priority="6415" operator="containsText" text="Pesquisa de Preços">
      <formula>NOT(ISERROR(SEARCH("Pesquisa de Preços",D5934)))</formula>
    </cfRule>
  </conditionalFormatting>
  <conditionalFormatting sqref="D5966">
    <cfRule type="containsText" dxfId="4198" priority="6408" operator="containsText" text="Pesquisa de Preços">
      <formula>NOT(ISERROR(SEARCH("Pesquisa de Preços",D5966)))</formula>
    </cfRule>
  </conditionalFormatting>
  <conditionalFormatting sqref="D5990">
    <cfRule type="containsText" dxfId="4191" priority="6402" operator="containsText" text="Pesquisa de Preços">
      <formula>NOT(ISERROR(SEARCH("Pesquisa de Preços",D5990)))</formula>
    </cfRule>
  </conditionalFormatting>
  <conditionalFormatting sqref="D6022">
    <cfRule type="containsText" dxfId="4186" priority="6394" operator="containsText" text="Pesquisa de Preços">
      <formula>NOT(ISERROR(SEARCH("Pesquisa de Preços",D6022)))</formula>
    </cfRule>
  </conditionalFormatting>
  <conditionalFormatting sqref="D6066">
    <cfRule type="containsText" dxfId="4182" priority="6385" operator="containsText" text="Pesquisa de Preços">
      <formula>NOT(ISERROR(SEARCH("Pesquisa de Preços",D6066)))</formula>
    </cfRule>
  </conditionalFormatting>
  <conditionalFormatting sqref="D5486">
    <cfRule type="containsText" dxfId="4181" priority="6518" operator="containsText" text="Pesquisa de Preços">
      <formula>NOT(ISERROR(SEARCH("Pesquisa de Preços",D5486)))</formula>
    </cfRule>
  </conditionalFormatting>
  <conditionalFormatting sqref="D5492">
    <cfRule type="containsText" dxfId="4180" priority="6517" operator="containsText" text="Pesquisa de Preços">
      <formula>NOT(ISERROR(SEARCH("Pesquisa de Preços",D5492)))</formula>
    </cfRule>
  </conditionalFormatting>
  <conditionalFormatting sqref="D5498">
    <cfRule type="containsText" dxfId="4179" priority="6516" operator="containsText" text="Pesquisa de Preços">
      <formula>NOT(ISERROR(SEARCH("Pesquisa de Preços",D5498)))</formula>
    </cfRule>
  </conditionalFormatting>
  <conditionalFormatting sqref="D5504">
    <cfRule type="containsText" dxfId="4178" priority="6515" operator="containsText" text="Pesquisa de Preços">
      <formula>NOT(ISERROR(SEARCH("Pesquisa de Preços",D5504)))</formula>
    </cfRule>
  </conditionalFormatting>
  <conditionalFormatting sqref="D5510">
    <cfRule type="containsText" dxfId="4177" priority="6514" operator="containsText" text="Pesquisa de Preços">
      <formula>NOT(ISERROR(SEARCH("Pesquisa de Preços",D5510)))</formula>
    </cfRule>
  </conditionalFormatting>
  <conditionalFormatting sqref="D5516">
    <cfRule type="containsText" dxfId="4176" priority="6513" operator="containsText" text="Pesquisa de Preços">
      <formula>NOT(ISERROR(SEARCH("Pesquisa de Preços",D5516)))</formula>
    </cfRule>
  </conditionalFormatting>
  <conditionalFormatting sqref="D6154">
    <cfRule type="containsText" dxfId="4175" priority="6370" operator="containsText" text="Pesquisa de Preços">
      <formula>NOT(ISERROR(SEARCH("Pesquisa de Preços",D6154)))</formula>
    </cfRule>
  </conditionalFormatting>
  <conditionalFormatting sqref="D5522">
    <cfRule type="containsText" dxfId="4174" priority="6511" operator="containsText" text="Pesquisa de Preços">
      <formula>NOT(ISERROR(SEARCH("Pesquisa de Preços",D5522)))</formula>
    </cfRule>
  </conditionalFormatting>
  <conditionalFormatting sqref="D5528">
    <cfRule type="containsText" dxfId="4173" priority="6510" operator="containsText" text="Pesquisa de Preços">
      <formula>NOT(ISERROR(SEARCH("Pesquisa de Preços",D5528)))</formula>
    </cfRule>
  </conditionalFormatting>
  <conditionalFormatting sqref="D5588">
    <cfRule type="containsText" dxfId="4172" priority="6500" operator="containsText" text="Pesquisa de Preços">
      <formula>NOT(ISERROR(SEARCH("Pesquisa de Preços",D5588)))</formula>
    </cfRule>
  </conditionalFormatting>
  <conditionalFormatting sqref="D5594">
    <cfRule type="containsText" dxfId="4171" priority="6499" operator="containsText" text="Pesquisa de Preços">
      <formula>NOT(ISERROR(SEARCH("Pesquisa de Preços",D5594)))</formula>
    </cfRule>
  </conditionalFormatting>
  <conditionalFormatting sqref="D5546">
    <cfRule type="containsText" dxfId="4170" priority="6507" operator="containsText" text="Pesquisa de Preços">
      <formula>NOT(ISERROR(SEARCH("Pesquisa de Preços",D5546)))</formula>
    </cfRule>
  </conditionalFormatting>
  <conditionalFormatting sqref="D5552">
    <cfRule type="containsText" dxfId="4169" priority="6506" operator="containsText" text="Pesquisa de Preços">
      <formula>NOT(ISERROR(SEARCH("Pesquisa de Preços",D5552)))</formula>
    </cfRule>
  </conditionalFormatting>
  <conditionalFormatting sqref="D5558">
    <cfRule type="containsText" dxfId="4168" priority="6505" operator="containsText" text="Pesquisa de Preços">
      <formula>NOT(ISERROR(SEARCH("Pesquisa de Preços",D5558)))</formula>
    </cfRule>
  </conditionalFormatting>
  <conditionalFormatting sqref="D5570 D5564">
    <cfRule type="containsText" dxfId="4167" priority="6503" operator="containsText" text="Pesquisa de Preços">
      <formula>NOT(ISERROR(SEARCH("Pesquisa de Preços",D5564)))</formula>
    </cfRule>
  </conditionalFormatting>
  <conditionalFormatting sqref="D5576">
    <cfRule type="containsText" dxfId="4166" priority="6502" operator="containsText" text="Pesquisa de Preços">
      <formula>NOT(ISERROR(SEARCH("Pesquisa de Preços",D5576)))</formula>
    </cfRule>
  </conditionalFormatting>
  <conditionalFormatting sqref="D5582">
    <cfRule type="containsText" dxfId="4165" priority="6501" operator="containsText" text="Pesquisa de Preços">
      <formula>NOT(ISERROR(SEARCH("Pesquisa de Preços",D5582)))</formula>
    </cfRule>
  </conditionalFormatting>
  <conditionalFormatting sqref="D5600">
    <cfRule type="containsText" dxfId="4164" priority="6498" operator="containsText" text="Pesquisa de Preços">
      <formula>NOT(ISERROR(SEARCH("Pesquisa de Preços",D5600)))</formula>
    </cfRule>
  </conditionalFormatting>
  <conditionalFormatting sqref="D5610">
    <cfRule type="containsText" dxfId="4163" priority="6497" operator="containsText" text="Pesquisa de Preços">
      <formula>NOT(ISERROR(SEARCH("Pesquisa de Preços",D5610)))</formula>
    </cfRule>
  </conditionalFormatting>
  <conditionalFormatting sqref="D5614">
    <cfRule type="containsText" dxfId="4162" priority="6496" operator="containsText" text="Pesquisa de Preços">
      <formula>NOT(ISERROR(SEARCH("Pesquisa de Preços",D5614)))</formula>
    </cfRule>
  </conditionalFormatting>
  <conditionalFormatting sqref="D5618">
    <cfRule type="containsText" dxfId="4161" priority="6495" operator="containsText" text="Pesquisa de Preços">
      <formula>NOT(ISERROR(SEARCH("Pesquisa de Preços",D5618)))</formula>
    </cfRule>
  </conditionalFormatting>
  <conditionalFormatting sqref="D5622">
    <cfRule type="containsText" dxfId="4160" priority="6494" operator="containsText" text="Pesquisa de Preços">
      <formula>NOT(ISERROR(SEARCH("Pesquisa de Preços",D5622)))</formula>
    </cfRule>
  </conditionalFormatting>
  <conditionalFormatting sqref="D5626">
    <cfRule type="containsText" dxfId="4159" priority="6493" operator="containsText" text="Pesquisa de Preços">
      <formula>NOT(ISERROR(SEARCH("Pesquisa de Preços",D5626)))</formula>
    </cfRule>
  </conditionalFormatting>
  <conditionalFormatting sqref="D5630">
    <cfRule type="containsText" dxfId="4158" priority="6492" operator="containsText" text="Pesquisa de Preços">
      <formula>NOT(ISERROR(SEARCH("Pesquisa de Preços",D5630)))</formula>
    </cfRule>
  </conditionalFormatting>
  <conditionalFormatting sqref="D5634">
    <cfRule type="containsText" dxfId="4157" priority="6491" operator="containsText" text="Pesquisa de Preços">
      <formula>NOT(ISERROR(SEARCH("Pesquisa de Preços",D5634)))</formula>
    </cfRule>
  </conditionalFormatting>
  <conditionalFormatting sqref="D5642">
    <cfRule type="containsText" dxfId="4156" priority="6489" operator="containsText" text="Pesquisa de Preços">
      <formula>NOT(ISERROR(SEARCH("Pesquisa de Preços",D5642)))</formula>
    </cfRule>
  </conditionalFormatting>
  <conditionalFormatting sqref="D5646">
    <cfRule type="containsText" dxfId="4155" priority="6488" operator="containsText" text="Pesquisa de Preços">
      <formula>NOT(ISERROR(SEARCH("Pesquisa de Preços",D5646)))</formula>
    </cfRule>
  </conditionalFormatting>
  <conditionalFormatting sqref="D5650">
    <cfRule type="containsText" dxfId="4154" priority="6487" operator="containsText" text="Pesquisa de Preços">
      <formula>NOT(ISERROR(SEARCH("Pesquisa de Preços",D5650)))</formula>
    </cfRule>
  </conditionalFormatting>
  <conditionalFormatting sqref="D5690">
    <cfRule type="containsText" dxfId="4153" priority="6477" operator="containsText" text="Pesquisa de Preços">
      <formula>NOT(ISERROR(SEARCH("Pesquisa de Preços",D5690)))</formula>
    </cfRule>
  </conditionalFormatting>
  <conditionalFormatting sqref="D5658">
    <cfRule type="containsText" dxfId="4152" priority="6485" operator="containsText" text="Pesquisa de Preços">
      <formula>NOT(ISERROR(SEARCH("Pesquisa de Preços",D5658)))</formula>
    </cfRule>
  </conditionalFormatting>
  <conditionalFormatting sqref="D5698">
    <cfRule type="containsText" dxfId="4151" priority="6475" operator="containsText" text="Pesquisa de Preços">
      <formula>NOT(ISERROR(SEARCH("Pesquisa de Preços",D5698)))</formula>
    </cfRule>
  </conditionalFormatting>
  <conditionalFormatting sqref="D5702">
    <cfRule type="containsText" dxfId="4150" priority="6474" operator="containsText" text="Pesquisa de Preços">
      <formula>NOT(ISERROR(SEARCH("Pesquisa de Preços",D5702)))</formula>
    </cfRule>
  </conditionalFormatting>
  <conditionalFormatting sqref="D5670">
    <cfRule type="containsText" dxfId="4149" priority="6482" operator="containsText" text="Pesquisa de Preços">
      <formula>NOT(ISERROR(SEARCH("Pesquisa de Preços",D5670)))</formula>
    </cfRule>
  </conditionalFormatting>
  <conditionalFormatting sqref="D5678 D5674">
    <cfRule type="containsText" dxfId="4148" priority="6480" operator="containsText" text="Pesquisa de Preços">
      <formula>NOT(ISERROR(SEARCH("Pesquisa de Preços",D5674)))</formula>
    </cfRule>
  </conditionalFormatting>
  <conditionalFormatting sqref="D5682">
    <cfRule type="containsText" dxfId="4147" priority="6479" operator="containsText" text="Pesquisa de Preços">
      <formula>NOT(ISERROR(SEARCH("Pesquisa de Preços",D5682)))</formula>
    </cfRule>
  </conditionalFormatting>
  <conditionalFormatting sqref="D5686">
    <cfRule type="containsText" dxfId="4146" priority="6478" operator="containsText" text="Pesquisa de Preços">
      <formula>NOT(ISERROR(SEARCH("Pesquisa de Preços",D5686)))</formula>
    </cfRule>
  </conditionalFormatting>
  <conditionalFormatting sqref="D5730">
    <cfRule type="containsText" dxfId="4145" priority="6467" operator="containsText" text="Pesquisa de Preços">
      <formula>NOT(ISERROR(SEARCH("Pesquisa de Preços",D5730)))</formula>
    </cfRule>
  </conditionalFormatting>
  <conditionalFormatting sqref="D5706">
    <cfRule type="containsText" dxfId="4144" priority="6473" operator="containsText" text="Pesquisa de Preços">
      <formula>NOT(ISERROR(SEARCH("Pesquisa de Preços",D5706)))</formula>
    </cfRule>
  </conditionalFormatting>
  <conditionalFormatting sqref="D5710">
    <cfRule type="containsText" dxfId="4143" priority="6472" operator="containsText" text="Pesquisa de Preços">
      <formula>NOT(ISERROR(SEARCH("Pesquisa de Preços",D5710)))</formula>
    </cfRule>
  </conditionalFormatting>
  <conditionalFormatting sqref="D5714">
    <cfRule type="containsText" dxfId="4142" priority="6471" operator="containsText" text="Pesquisa de Preços">
      <formula>NOT(ISERROR(SEARCH("Pesquisa de Preços",D5714)))</formula>
    </cfRule>
  </conditionalFormatting>
  <conditionalFormatting sqref="D5718">
    <cfRule type="containsText" dxfId="4141" priority="6470" operator="containsText" text="Pesquisa de Preços">
      <formula>NOT(ISERROR(SEARCH("Pesquisa de Preços",D5718)))</formula>
    </cfRule>
  </conditionalFormatting>
  <conditionalFormatting sqref="D5758">
    <cfRule type="containsText" dxfId="4140" priority="6460" operator="containsText" text="Pesquisa de Preços">
      <formula>NOT(ISERROR(SEARCH("Pesquisa de Preços",D5758)))</formula>
    </cfRule>
  </conditionalFormatting>
  <conditionalFormatting sqref="D5726">
    <cfRule type="containsText" dxfId="4139" priority="6468" operator="containsText" text="Pesquisa de Preços">
      <formula>NOT(ISERROR(SEARCH("Pesquisa de Preços",D5726)))</formula>
    </cfRule>
  </conditionalFormatting>
  <conditionalFormatting sqref="D5734">
    <cfRule type="containsText" dxfId="4138" priority="6466" operator="containsText" text="Pesquisa de Preços">
      <formula>NOT(ISERROR(SEARCH("Pesquisa de Preços",D5734)))</formula>
    </cfRule>
  </conditionalFormatting>
  <conditionalFormatting sqref="D5738">
    <cfRule type="containsText" dxfId="4137" priority="6465" operator="containsText" text="Pesquisa de Preços">
      <formula>NOT(ISERROR(SEARCH("Pesquisa de Preços",D5738)))</formula>
    </cfRule>
  </conditionalFormatting>
  <conditionalFormatting sqref="D5742">
    <cfRule type="containsText" dxfId="4136" priority="6464" operator="containsText" text="Pesquisa de Preços">
      <formula>NOT(ISERROR(SEARCH("Pesquisa de Preços",D5742)))</formula>
    </cfRule>
  </conditionalFormatting>
  <conditionalFormatting sqref="D5746">
    <cfRule type="containsText" dxfId="4135" priority="6463" operator="containsText" text="Pesquisa de Preços">
      <formula>NOT(ISERROR(SEARCH("Pesquisa de Preços",D5746)))</formula>
    </cfRule>
  </conditionalFormatting>
  <conditionalFormatting sqref="D5754 D5750">
    <cfRule type="containsText" dxfId="4134" priority="6461" operator="containsText" text="Pesquisa de Preços">
      <formula>NOT(ISERROR(SEARCH("Pesquisa de Preços",D5750)))</formula>
    </cfRule>
  </conditionalFormatting>
  <conditionalFormatting sqref="D5762">
    <cfRule type="containsText" dxfId="4133" priority="6459" operator="containsText" text="Pesquisa de Preços">
      <formula>NOT(ISERROR(SEARCH("Pesquisa de Preços",D5762)))</formula>
    </cfRule>
  </conditionalFormatting>
  <conditionalFormatting sqref="D5766">
    <cfRule type="containsText" dxfId="4132" priority="6458" operator="containsText" text="Pesquisa de Preços">
      <formula>NOT(ISERROR(SEARCH("Pesquisa de Preços",D5766)))</formula>
    </cfRule>
  </conditionalFormatting>
  <conditionalFormatting sqref="D5770">
    <cfRule type="containsText" dxfId="4131" priority="6457" operator="containsText" text="Pesquisa de Preços">
      <formula>NOT(ISERROR(SEARCH("Pesquisa de Preços",D5770)))</formula>
    </cfRule>
  </conditionalFormatting>
  <conditionalFormatting sqref="D5774">
    <cfRule type="containsText" dxfId="4130" priority="6456" operator="containsText" text="Pesquisa de Preços">
      <formula>NOT(ISERROR(SEARCH("Pesquisa de Preços",D5774)))</formula>
    </cfRule>
  </conditionalFormatting>
  <conditionalFormatting sqref="D5778">
    <cfRule type="containsText" dxfId="4129" priority="6455" operator="containsText" text="Pesquisa de Preços">
      <formula>NOT(ISERROR(SEARCH("Pesquisa de Preços",D5778)))</formula>
    </cfRule>
  </conditionalFormatting>
  <conditionalFormatting sqref="D5782">
    <cfRule type="containsText" dxfId="4128" priority="6454" operator="containsText" text="Pesquisa de Preços">
      <formula>NOT(ISERROR(SEARCH("Pesquisa de Preços",D5782)))</formula>
    </cfRule>
  </conditionalFormatting>
  <conditionalFormatting sqref="D5790">
    <cfRule type="containsText" dxfId="4127" priority="6452" operator="containsText" text="Pesquisa de Preços">
      <formula>NOT(ISERROR(SEARCH("Pesquisa de Preços",D5790)))</formula>
    </cfRule>
  </conditionalFormatting>
  <conditionalFormatting sqref="D5794">
    <cfRule type="containsText" dxfId="4126" priority="6451" operator="containsText" text="Pesquisa de Preços">
      <formula>NOT(ISERROR(SEARCH("Pesquisa de Preços",D5794)))</formula>
    </cfRule>
  </conditionalFormatting>
  <conditionalFormatting sqref="D5798">
    <cfRule type="containsText" dxfId="4125" priority="6450" operator="containsText" text="Pesquisa de Preços">
      <formula>NOT(ISERROR(SEARCH("Pesquisa de Preços",D5798)))</formula>
    </cfRule>
  </conditionalFormatting>
  <conditionalFormatting sqref="D5802">
    <cfRule type="containsText" dxfId="4124" priority="6449" operator="containsText" text="Pesquisa de Preços">
      <formula>NOT(ISERROR(SEARCH("Pesquisa de Preços",D5802)))</formula>
    </cfRule>
  </conditionalFormatting>
  <conditionalFormatting sqref="D5806">
    <cfRule type="containsText" dxfId="4123" priority="6448" operator="containsText" text="Pesquisa de Preços">
      <formula>NOT(ISERROR(SEARCH("Pesquisa de Preços",D5806)))</formula>
    </cfRule>
  </conditionalFormatting>
  <conditionalFormatting sqref="D5810">
    <cfRule type="containsText" dxfId="4122" priority="6447" operator="containsText" text="Pesquisa de Preços">
      <formula>NOT(ISERROR(SEARCH("Pesquisa de Preços",D5810)))</formula>
    </cfRule>
  </conditionalFormatting>
  <conditionalFormatting sqref="D5814">
    <cfRule type="containsText" dxfId="4121" priority="6446" operator="containsText" text="Pesquisa de Preços">
      <formula>NOT(ISERROR(SEARCH("Pesquisa de Preços",D5814)))</formula>
    </cfRule>
  </conditionalFormatting>
  <conditionalFormatting sqref="D5818">
    <cfRule type="containsText" dxfId="4120" priority="6445" operator="containsText" text="Pesquisa de Preços">
      <formula>NOT(ISERROR(SEARCH("Pesquisa de Preços",D5818)))</formula>
    </cfRule>
  </conditionalFormatting>
  <conditionalFormatting sqref="D5822">
    <cfRule type="containsText" dxfId="4119" priority="6444" operator="containsText" text="Pesquisa de Preços">
      <formula>NOT(ISERROR(SEARCH("Pesquisa de Preços",D5822)))</formula>
    </cfRule>
  </conditionalFormatting>
  <conditionalFormatting sqref="D5826">
    <cfRule type="containsText" dxfId="4118" priority="6443" operator="containsText" text="Pesquisa de Preços">
      <formula>NOT(ISERROR(SEARCH("Pesquisa de Preços",D5826)))</formula>
    </cfRule>
  </conditionalFormatting>
  <conditionalFormatting sqref="D5830">
    <cfRule type="containsText" dxfId="4117" priority="6442" operator="containsText" text="Pesquisa de Preços">
      <formula>NOT(ISERROR(SEARCH("Pesquisa de Preços",D5830)))</formula>
    </cfRule>
  </conditionalFormatting>
  <conditionalFormatting sqref="D5834">
    <cfRule type="containsText" dxfId="4116" priority="6441" operator="containsText" text="Pesquisa de Preços">
      <formula>NOT(ISERROR(SEARCH("Pesquisa de Preços",D5834)))</formula>
    </cfRule>
  </conditionalFormatting>
  <conditionalFormatting sqref="D5838">
    <cfRule type="containsText" dxfId="4115" priority="6440" operator="containsText" text="Pesquisa de Preços">
      <formula>NOT(ISERROR(SEARCH("Pesquisa de Preços",D5838)))</formula>
    </cfRule>
  </conditionalFormatting>
  <conditionalFormatting sqref="D5842">
    <cfRule type="containsText" dxfId="4114" priority="6439" operator="containsText" text="Pesquisa de Preços">
      <formula>NOT(ISERROR(SEARCH("Pesquisa de Preços",D5842)))</formula>
    </cfRule>
  </conditionalFormatting>
  <conditionalFormatting sqref="D5846">
    <cfRule type="containsText" dxfId="4113" priority="6438" operator="containsText" text="Pesquisa de Preços">
      <formula>NOT(ISERROR(SEARCH("Pesquisa de Preços",D5846)))</formula>
    </cfRule>
  </conditionalFormatting>
  <conditionalFormatting sqref="D5850">
    <cfRule type="containsText" dxfId="4112" priority="6437" operator="containsText" text="Pesquisa de Preços">
      <formula>NOT(ISERROR(SEARCH("Pesquisa de Preços",D5850)))</formula>
    </cfRule>
  </conditionalFormatting>
  <conditionalFormatting sqref="D5854">
    <cfRule type="containsText" dxfId="4111" priority="6436" operator="containsText" text="Pesquisa de Preços">
      <formula>NOT(ISERROR(SEARCH("Pesquisa de Preços",D5854)))</formula>
    </cfRule>
  </conditionalFormatting>
  <conditionalFormatting sqref="D5894">
    <cfRule type="containsText" dxfId="4110" priority="6426" operator="containsText" text="Pesquisa de Preços">
      <formula>NOT(ISERROR(SEARCH("Pesquisa de Preços",D5894)))</formula>
    </cfRule>
  </conditionalFormatting>
  <conditionalFormatting sqref="D5898">
    <cfRule type="containsText" dxfId="4109" priority="6425" operator="containsText" text="Pesquisa de Preços">
      <formula>NOT(ISERROR(SEARCH("Pesquisa de Preços",D5898)))</formula>
    </cfRule>
  </conditionalFormatting>
  <conditionalFormatting sqref="D5866">
    <cfRule type="containsText" dxfId="4108" priority="6433" operator="containsText" text="Pesquisa de Preços">
      <formula>NOT(ISERROR(SEARCH("Pesquisa de Preços",D5866)))</formula>
    </cfRule>
  </conditionalFormatting>
  <conditionalFormatting sqref="D5870">
    <cfRule type="containsText" dxfId="4107" priority="6432" operator="containsText" text="Pesquisa de Preços">
      <formula>NOT(ISERROR(SEARCH("Pesquisa de Preços",D5870)))</formula>
    </cfRule>
  </conditionalFormatting>
  <conditionalFormatting sqref="D5874">
    <cfRule type="containsText" dxfId="4106" priority="6431" operator="containsText" text="Pesquisa de Preços">
      <formula>NOT(ISERROR(SEARCH("Pesquisa de Preços",D5874)))</formula>
    </cfRule>
  </conditionalFormatting>
  <conditionalFormatting sqref="D5878">
    <cfRule type="containsText" dxfId="4105" priority="6430" operator="containsText" text="Pesquisa de Preços">
      <formula>NOT(ISERROR(SEARCH("Pesquisa de Preços",D5878)))</formula>
    </cfRule>
  </conditionalFormatting>
  <conditionalFormatting sqref="D5882">
    <cfRule type="containsText" dxfId="4104" priority="6429" operator="containsText" text="Pesquisa de Preços">
      <formula>NOT(ISERROR(SEARCH("Pesquisa de Preços",D5882)))</formula>
    </cfRule>
  </conditionalFormatting>
  <conditionalFormatting sqref="D5886">
    <cfRule type="containsText" dxfId="4103" priority="6428" operator="containsText" text="Pesquisa de Preços">
      <formula>NOT(ISERROR(SEARCH("Pesquisa de Preços",D5886)))</formula>
    </cfRule>
  </conditionalFormatting>
  <conditionalFormatting sqref="D5926">
    <cfRule type="containsText" dxfId="4102" priority="6418" operator="containsText" text="Pesquisa de Preços">
      <formula>NOT(ISERROR(SEARCH("Pesquisa de Preços",D5926)))</formula>
    </cfRule>
  </conditionalFormatting>
  <conditionalFormatting sqref="D5902">
    <cfRule type="containsText" dxfId="4101" priority="6424" operator="containsText" text="Pesquisa de Preços">
      <formula>NOT(ISERROR(SEARCH("Pesquisa de Preços",D5902)))</formula>
    </cfRule>
  </conditionalFormatting>
  <conditionalFormatting sqref="D5906">
    <cfRule type="containsText" dxfId="4100" priority="6423" operator="containsText" text="Pesquisa de Preços">
      <formula>NOT(ISERROR(SEARCH("Pesquisa de Preços",D5906)))</formula>
    </cfRule>
  </conditionalFormatting>
  <conditionalFormatting sqref="D5910">
    <cfRule type="containsText" dxfId="4099" priority="6422" operator="containsText" text="Pesquisa de Preços">
      <formula>NOT(ISERROR(SEARCH("Pesquisa de Preços",D5910)))</formula>
    </cfRule>
  </conditionalFormatting>
  <conditionalFormatting sqref="D5914">
    <cfRule type="containsText" dxfId="4098" priority="6421" operator="containsText" text="Pesquisa de Preços">
      <formula>NOT(ISERROR(SEARCH("Pesquisa de Preços",D5914)))</formula>
    </cfRule>
  </conditionalFormatting>
  <conditionalFormatting sqref="D5954 D5950 D5946">
    <cfRule type="containsText" dxfId="4097" priority="6411" operator="containsText" text="Pesquisa de Preços">
      <formula>NOT(ISERROR(SEARCH("Pesquisa de Preços",D5946)))</formula>
    </cfRule>
  </conditionalFormatting>
  <conditionalFormatting sqref="D5922">
    <cfRule type="containsText" dxfId="4096" priority="6419" operator="containsText" text="Pesquisa de Preços">
      <formula>NOT(ISERROR(SEARCH("Pesquisa de Preços",D5922)))</formula>
    </cfRule>
  </conditionalFormatting>
  <conditionalFormatting sqref="D5930">
    <cfRule type="containsText" dxfId="4095" priority="6417" operator="containsText" text="Pesquisa de Preços">
      <formula>NOT(ISERROR(SEARCH("Pesquisa de Preços",D5930)))</formula>
    </cfRule>
  </conditionalFormatting>
  <conditionalFormatting sqref="D5942">
    <cfRule type="containsText" dxfId="4094" priority="6414" operator="containsText" text="Pesquisa de Preços">
      <formula>NOT(ISERROR(SEARCH("Pesquisa de Preços",D5942)))</formula>
    </cfRule>
  </conditionalFormatting>
  <conditionalFormatting sqref="D6150">
    <cfRule type="containsText" dxfId="4093" priority="6371" operator="containsText" text="Pesquisa de Preços">
      <formula>NOT(ISERROR(SEARCH("Pesquisa de Preços",D6150)))</formula>
    </cfRule>
  </conditionalFormatting>
  <conditionalFormatting sqref="D5958">
    <cfRule type="containsText" dxfId="4092" priority="6410" operator="containsText" text="Pesquisa de Preços">
      <formula>NOT(ISERROR(SEARCH("Pesquisa de Preços",D5958)))</formula>
    </cfRule>
  </conditionalFormatting>
  <conditionalFormatting sqref="D5962">
    <cfRule type="containsText" dxfId="4091" priority="6409" operator="containsText" text="Pesquisa de Preços">
      <formula>NOT(ISERROR(SEARCH("Pesquisa de Preços",D5962)))</formula>
    </cfRule>
  </conditionalFormatting>
  <conditionalFormatting sqref="D6002">
    <cfRule type="containsText" dxfId="4090" priority="6399" operator="containsText" text="Pesquisa de Preços">
      <formula>NOT(ISERROR(SEARCH("Pesquisa de Preços",D6002)))</formula>
    </cfRule>
  </conditionalFormatting>
  <conditionalFormatting sqref="D5970">
    <cfRule type="containsText" dxfId="4089" priority="6407" operator="containsText" text="Pesquisa de Preços">
      <formula>NOT(ISERROR(SEARCH("Pesquisa de Preços",D5970)))</formula>
    </cfRule>
  </conditionalFormatting>
  <conditionalFormatting sqref="D5978 D5974">
    <cfRule type="containsText" dxfId="4088" priority="6405" operator="containsText" text="Pesquisa de Preços">
      <formula>NOT(ISERROR(SEARCH("Pesquisa de Preços",D5974)))</formula>
    </cfRule>
  </conditionalFormatting>
  <conditionalFormatting sqref="D5982">
    <cfRule type="containsText" dxfId="4087" priority="6404" operator="containsText" text="Pesquisa de Preços">
      <formula>NOT(ISERROR(SEARCH("Pesquisa de Preços",D5982)))</formula>
    </cfRule>
  </conditionalFormatting>
  <conditionalFormatting sqref="D5986">
    <cfRule type="containsText" dxfId="4086" priority="6403" operator="containsText" text="Pesquisa de Preços">
      <formula>NOT(ISERROR(SEARCH("Pesquisa de Preços",D5986)))</formula>
    </cfRule>
  </conditionalFormatting>
  <conditionalFormatting sqref="D6026">
    <cfRule type="containsText" dxfId="4085" priority="6393" operator="containsText" text="Pesquisa de Preços">
      <formula>NOT(ISERROR(SEARCH("Pesquisa de Preços",D6026)))</formula>
    </cfRule>
  </conditionalFormatting>
  <conditionalFormatting sqref="D5994">
    <cfRule type="containsText" dxfId="4084" priority="6401" operator="containsText" text="Pesquisa de Preços">
      <formula>NOT(ISERROR(SEARCH("Pesquisa de Preços",D5994)))</formula>
    </cfRule>
  </conditionalFormatting>
  <conditionalFormatting sqref="D5998">
    <cfRule type="containsText" dxfId="4083" priority="6400" operator="containsText" text="Pesquisa de Preços">
      <formula>NOT(ISERROR(SEARCH("Pesquisa de Preços",D5998)))</formula>
    </cfRule>
  </conditionalFormatting>
  <conditionalFormatting sqref="D6006">
    <cfRule type="containsText" dxfId="4082" priority="6398" operator="containsText" text="Pesquisa de Preços">
      <formula>NOT(ISERROR(SEARCH("Pesquisa de Preços",D6006)))</formula>
    </cfRule>
  </conditionalFormatting>
  <conditionalFormatting sqref="D6010">
    <cfRule type="containsText" dxfId="4081" priority="6397" operator="containsText" text="Pesquisa de Preços">
      <formula>NOT(ISERROR(SEARCH("Pesquisa de Preços",D6010)))</formula>
    </cfRule>
  </conditionalFormatting>
  <conditionalFormatting sqref="D6014">
    <cfRule type="containsText" dxfId="4080" priority="6396" operator="containsText" text="Pesquisa de Preços">
      <formula>NOT(ISERROR(SEARCH("Pesquisa de Preços",D6014)))</formula>
    </cfRule>
  </conditionalFormatting>
  <conditionalFormatting sqref="D6018">
    <cfRule type="containsText" dxfId="4079" priority="6395" operator="containsText" text="Pesquisa de Preços">
      <formula>NOT(ISERROR(SEARCH("Pesquisa de Preços",D6018)))</formula>
    </cfRule>
  </conditionalFormatting>
  <conditionalFormatting sqref="D6034">
    <cfRule type="containsText" dxfId="4078" priority="6391" operator="containsText" text="Pesquisa de Preços">
      <formula>NOT(ISERROR(SEARCH("Pesquisa de Preços",D6034)))</formula>
    </cfRule>
  </conditionalFormatting>
  <conditionalFormatting sqref="D6038">
    <cfRule type="containsText" dxfId="4077" priority="6390" operator="containsText" text="Pesquisa de Preços">
      <formula>NOT(ISERROR(SEARCH("Pesquisa de Preços",D6038)))</formula>
    </cfRule>
  </conditionalFormatting>
  <conditionalFormatting sqref="D6042">
    <cfRule type="containsText" dxfId="4076" priority="6389" operator="containsText" text="Pesquisa de Preços">
      <formula>NOT(ISERROR(SEARCH("Pesquisa de Preços",D6042)))</formula>
    </cfRule>
  </conditionalFormatting>
  <conditionalFormatting sqref="D6054">
    <cfRule type="containsText" dxfId="4075" priority="6388" operator="containsText" text="Pesquisa de Preços">
      <formula>NOT(ISERROR(SEARCH("Pesquisa de Preços",D6054)))</formula>
    </cfRule>
  </conditionalFormatting>
  <conditionalFormatting sqref="D6058">
    <cfRule type="containsText" dxfId="4074" priority="6387" operator="containsText" text="Pesquisa de Preços">
      <formula>NOT(ISERROR(SEARCH("Pesquisa de Preços",D6058)))</formula>
    </cfRule>
  </conditionalFormatting>
  <conditionalFormatting sqref="D6062">
    <cfRule type="containsText" dxfId="4073" priority="6386" operator="containsText" text="Pesquisa de Preços">
      <formula>NOT(ISERROR(SEARCH("Pesquisa de Preços",D6062)))</formula>
    </cfRule>
  </conditionalFormatting>
  <conditionalFormatting sqref="D6070">
    <cfRule type="containsText" dxfId="4072" priority="6384" operator="containsText" text="Pesquisa de Preços">
      <formula>NOT(ISERROR(SEARCH("Pesquisa de Preços",D6070)))</formula>
    </cfRule>
  </conditionalFormatting>
  <conditionalFormatting sqref="D6074">
    <cfRule type="containsText" dxfId="4071" priority="6383" operator="containsText" text="Pesquisa de Preços">
      <formula>NOT(ISERROR(SEARCH("Pesquisa de Preços",D6074)))</formula>
    </cfRule>
  </conditionalFormatting>
  <conditionalFormatting sqref="D6078">
    <cfRule type="containsText" dxfId="4070" priority="6382" operator="containsText" text="Pesquisa de Preços">
      <formula>NOT(ISERROR(SEARCH("Pesquisa de Preços",D6078)))</formula>
    </cfRule>
  </conditionalFormatting>
  <conditionalFormatting sqref="D6082">
    <cfRule type="containsText" dxfId="4069" priority="6381" operator="containsText" text="Pesquisa de Preços">
      <formula>NOT(ISERROR(SEARCH("Pesquisa de Preços",D6082)))</formula>
    </cfRule>
  </conditionalFormatting>
  <conditionalFormatting sqref="D6086">
    <cfRule type="containsText" dxfId="4068" priority="6380" operator="containsText" text="Pesquisa de Preços">
      <formula>NOT(ISERROR(SEARCH("Pesquisa de Preços",D6086)))</formula>
    </cfRule>
  </conditionalFormatting>
  <conditionalFormatting sqref="D6090">
    <cfRule type="containsText" dxfId="4067" priority="6379" operator="containsText" text="Pesquisa de Preços">
      <formula>NOT(ISERROR(SEARCH("Pesquisa de Preços",D6090)))</formula>
    </cfRule>
  </conditionalFormatting>
  <conditionalFormatting sqref="D6094">
    <cfRule type="containsText" dxfId="4066" priority="6378" operator="containsText" text="Pesquisa de Preços">
      <formula>NOT(ISERROR(SEARCH("Pesquisa de Preços",D6094)))</formula>
    </cfRule>
  </conditionalFormatting>
  <conditionalFormatting sqref="D6098">
    <cfRule type="containsText" dxfId="4065" priority="6377" operator="containsText" text="Pesquisa de Preços">
      <formula>NOT(ISERROR(SEARCH("Pesquisa de Preços",D6098)))</formula>
    </cfRule>
  </conditionalFormatting>
  <conditionalFormatting sqref="D6110">
    <cfRule type="containsText" dxfId="4064" priority="6376" operator="containsText" text="Pesquisa de Preços">
      <formula>NOT(ISERROR(SEARCH("Pesquisa de Preços",D6110)))</formula>
    </cfRule>
  </conditionalFormatting>
  <conditionalFormatting sqref="D6114">
    <cfRule type="containsText" dxfId="4063" priority="6375" operator="containsText" text="Pesquisa de Preços">
      <formula>NOT(ISERROR(SEARCH("Pesquisa de Preços",D6114)))</formula>
    </cfRule>
  </conditionalFormatting>
  <conditionalFormatting sqref="D6122">
    <cfRule type="containsText" dxfId="4062" priority="6374" operator="containsText" text="Pesquisa de Preços">
      <formula>NOT(ISERROR(SEARCH("Pesquisa de Preços",D6122)))</formula>
    </cfRule>
  </conditionalFormatting>
  <conditionalFormatting sqref="D6138">
    <cfRule type="containsText" dxfId="4061" priority="6373" operator="containsText" text="Pesquisa de Preços">
      <formula>NOT(ISERROR(SEARCH("Pesquisa de Preços",D6138)))</formula>
    </cfRule>
  </conditionalFormatting>
  <conditionalFormatting sqref="D6146">
    <cfRule type="containsText" dxfId="4060" priority="6372" operator="containsText" text="Pesquisa de Preços">
      <formula>NOT(ISERROR(SEARCH("Pesquisa de Preços",D6146)))</formula>
    </cfRule>
  </conditionalFormatting>
  <conditionalFormatting sqref="E118">
    <cfRule type="containsText" dxfId="4059" priority="6366" operator="containsText" text="Pesquisa de Preços">
      <formula>NOT(ISERROR(SEARCH("Pesquisa de Preços",E118)))</formula>
    </cfRule>
  </conditionalFormatting>
  <conditionalFormatting sqref="E119">
    <cfRule type="containsText" dxfId="4058" priority="6365" operator="containsText" text="Pesquisa de Preços">
      <formula>NOT(ISERROR(SEARCH("Pesquisa de Preços",E119)))</formula>
    </cfRule>
  </conditionalFormatting>
  <conditionalFormatting sqref="E685:E686">
    <cfRule type="containsText" dxfId="4056" priority="6358" operator="containsText" text="Pesquisa de Preços">
      <formula>NOT(ISERROR(SEARCH("Pesquisa de Preços",E685)))</formula>
    </cfRule>
  </conditionalFormatting>
  <conditionalFormatting sqref="E853">
    <cfRule type="containsText" dxfId="4055" priority="6354" operator="containsText" text="Pesquisa de Preços">
      <formula>NOT(ISERROR(SEARCH("Pesquisa de Preços",E853)))</formula>
    </cfRule>
  </conditionalFormatting>
  <conditionalFormatting sqref="E857">
    <cfRule type="containsText" dxfId="4054" priority="6352" operator="containsText" text="Pesquisa de Preços">
      <formula>NOT(ISERROR(SEARCH("Pesquisa de Preços",E857)))</formula>
    </cfRule>
  </conditionalFormatting>
  <conditionalFormatting sqref="E870">
    <cfRule type="containsText" dxfId="4053" priority="6348" operator="containsText" text="Pesquisa de Preços">
      <formula>NOT(ISERROR(SEARCH("Pesquisa de Preços",E870)))</formula>
    </cfRule>
  </conditionalFormatting>
  <conditionalFormatting sqref="E876">
    <cfRule type="containsText" dxfId="4052" priority="6343" operator="containsText" text="Pesquisa de Preços">
      <formula>NOT(ISERROR(SEARCH("Pesquisa de Preços",E876)))</formula>
    </cfRule>
  </conditionalFormatting>
  <conditionalFormatting sqref="E877 E881">
    <cfRule type="containsText" dxfId="4051" priority="6344" operator="containsText" text="Pesquisa de Preços">
      <formula>NOT(ISERROR(SEARCH("Pesquisa de Preços",E877)))</formula>
    </cfRule>
  </conditionalFormatting>
  <conditionalFormatting sqref="E878">
    <cfRule type="containsText" dxfId="4050" priority="6338" operator="containsText" text="Pesquisa de Preços">
      <formula>NOT(ISERROR(SEARCH("Pesquisa de Preços",E878)))</formula>
    </cfRule>
  </conditionalFormatting>
  <conditionalFormatting sqref="D5373 D5379 D5411 D5349:E5349 D5342:E5342">
    <cfRule type="containsText" dxfId="4020" priority="6282" operator="containsText" text="Pesquisa de Preços">
      <formula>NOT(ISERROR(SEARCH("Pesquisa de Preços",D5342)))</formula>
    </cfRule>
  </conditionalFormatting>
  <conditionalFormatting sqref="D5313">
    <cfRule type="containsText" dxfId="4019" priority="6272" operator="containsText" text="Pesquisa de Preços">
      <formula>NOT(ISERROR(SEARCH("Pesquisa de Preços",D5313)))</formula>
    </cfRule>
  </conditionalFormatting>
  <conditionalFormatting sqref="D5311">
    <cfRule type="containsText" dxfId="4014" priority="6279" operator="containsText" text="Pesquisa de Preços">
      <formula>NOT(ISERROR(SEARCH("Pesquisa de Preços",D5311)))</formula>
    </cfRule>
  </conditionalFormatting>
  <conditionalFormatting sqref="D5307">
    <cfRule type="containsText" dxfId="4009" priority="6261" operator="containsText" text="Pesquisa de Preços">
      <formula>NOT(ISERROR(SEARCH("Pesquisa de Preços",D5307)))</formula>
    </cfRule>
  </conditionalFormatting>
  <conditionalFormatting sqref="D5305">
    <cfRule type="containsText" dxfId="4004" priority="6268" operator="containsText" text="Pesquisa de Preços">
      <formula>NOT(ISERROR(SEARCH("Pesquisa de Preços",D5305)))</formula>
    </cfRule>
  </conditionalFormatting>
  <conditionalFormatting sqref="D5325">
    <cfRule type="containsText" dxfId="3999" priority="6250" operator="containsText" text="Pesquisa de Preços">
      <formula>NOT(ISERROR(SEARCH("Pesquisa de Preços",D5325)))</formula>
    </cfRule>
  </conditionalFormatting>
  <conditionalFormatting sqref="D5323">
    <cfRule type="containsText" dxfId="3994" priority="6257" operator="containsText" text="Pesquisa de Preços">
      <formula>NOT(ISERROR(SEARCH("Pesquisa de Preços",D5323)))</formula>
    </cfRule>
  </conditionalFormatting>
  <conditionalFormatting sqref="D5319">
    <cfRule type="containsText" dxfId="3989" priority="6239" operator="containsText" text="Pesquisa de Preços">
      <formula>NOT(ISERROR(SEARCH("Pesquisa de Preços",D5319)))</formula>
    </cfRule>
  </conditionalFormatting>
  <conditionalFormatting sqref="D5317">
    <cfRule type="containsText" dxfId="3984" priority="6246" operator="containsText" text="Pesquisa de Preços">
      <formula>NOT(ISERROR(SEARCH("Pesquisa de Preços",D5317)))</formula>
    </cfRule>
  </conditionalFormatting>
  <conditionalFormatting sqref="D5329">
    <cfRule type="containsText" dxfId="3979" priority="6235" operator="containsText" text="Pesquisa de Preços">
      <formula>NOT(ISERROR(SEARCH("Pesquisa de Preços",D5329)))</formula>
    </cfRule>
  </conditionalFormatting>
  <conditionalFormatting sqref="D5330 D5335">
    <cfRule type="containsText" dxfId="3978" priority="6234" operator="containsText" text="Pesquisa de Preços">
      <formula>NOT(ISERROR(SEARCH("Pesquisa de Preços",D5330)))</formula>
    </cfRule>
  </conditionalFormatting>
  <conditionalFormatting sqref="E5330:E5331 E5334:E5335">
    <cfRule type="containsText" dxfId="3977" priority="6232" operator="containsText" text="Pesquisa de Preços">
      <formula>NOT(ISERROR(SEARCH("Pesquisa de Preços",E5330)))</formula>
    </cfRule>
  </conditionalFormatting>
  <conditionalFormatting sqref="E5329">
    <cfRule type="containsText" dxfId="3976" priority="6231" operator="containsText" text="Pesquisa de Preços">
      <formula>NOT(ISERROR(SEARCH("Pesquisa de Preços",E5329)))</formula>
    </cfRule>
  </conditionalFormatting>
  <conditionalFormatting sqref="E5332:E5333">
    <cfRule type="containsText" dxfId="3975" priority="6230" operator="containsText" text="Pesquisa de Preços">
      <formula>NOT(ISERROR(SEARCH("Pesquisa de Preços",E5332)))</formula>
    </cfRule>
  </conditionalFormatting>
  <conditionalFormatting sqref="D5301">
    <cfRule type="containsText" dxfId="3970" priority="6222" operator="containsText" text="Pesquisa de Preços">
      <formula>NOT(ISERROR(SEARCH("Pesquisa de Preços",D5301)))</formula>
    </cfRule>
  </conditionalFormatting>
  <conditionalFormatting sqref="D5299">
    <cfRule type="containsText" dxfId="3967" priority="6223" operator="containsText" text="Pesquisa de Preços">
      <formula>NOT(ISERROR(SEARCH("Pesquisa de Preços",D5299)))</formula>
    </cfRule>
  </conditionalFormatting>
  <conditionalFormatting sqref="D5336">
    <cfRule type="containsText" dxfId="3964" priority="6218" operator="containsText" text="Pesquisa de Preços">
      <formula>NOT(ISERROR(SEARCH("Pesquisa de Preços",D5336)))</formula>
    </cfRule>
  </conditionalFormatting>
  <conditionalFormatting sqref="D5337">
    <cfRule type="containsText" dxfId="3963" priority="6217" operator="containsText" text="Pesquisa de Preços">
      <formula>NOT(ISERROR(SEARCH("Pesquisa de Preços",D5337)))</formula>
    </cfRule>
  </conditionalFormatting>
  <conditionalFormatting sqref="E5337:E5338">
    <cfRule type="containsText" dxfId="3962" priority="6215" operator="containsText" text="Pesquisa de Preços">
      <formula>NOT(ISERROR(SEARCH("Pesquisa de Preços",E5337)))</formula>
    </cfRule>
  </conditionalFormatting>
  <conditionalFormatting sqref="E5336">
    <cfRule type="containsText" dxfId="3961" priority="6214" operator="containsText" text="Pesquisa de Preços">
      <formula>NOT(ISERROR(SEARCH("Pesquisa de Preços",E5336)))</formula>
    </cfRule>
  </conditionalFormatting>
  <conditionalFormatting sqref="E5339">
    <cfRule type="containsText" dxfId="3960" priority="6213" operator="containsText" text="Pesquisa de Preços">
      <formula>NOT(ISERROR(SEARCH("Pesquisa de Preços",E5339)))</formula>
    </cfRule>
  </conditionalFormatting>
  <conditionalFormatting sqref="D5343">
    <cfRule type="containsText" dxfId="3955" priority="6208" operator="containsText" text="Pesquisa de Preços">
      <formula>NOT(ISERROR(SEARCH("Pesquisa de Preços",D5343)))</formula>
    </cfRule>
  </conditionalFormatting>
  <conditionalFormatting sqref="D5344">
    <cfRule type="containsText" dxfId="3954" priority="6207" operator="containsText" text="Pesquisa de Preços">
      <formula>NOT(ISERROR(SEARCH("Pesquisa de Preços",D5344)))</formula>
    </cfRule>
  </conditionalFormatting>
  <conditionalFormatting sqref="E5344:E5345">
    <cfRule type="containsText" dxfId="3953" priority="6205" operator="containsText" text="Pesquisa de Preços">
      <formula>NOT(ISERROR(SEARCH("Pesquisa de Preços",E5344)))</formula>
    </cfRule>
  </conditionalFormatting>
  <conditionalFormatting sqref="E5343">
    <cfRule type="containsText" dxfId="3952" priority="6204" operator="containsText" text="Pesquisa de Preços">
      <formula>NOT(ISERROR(SEARCH("Pesquisa de Preços",E5343)))</formula>
    </cfRule>
  </conditionalFormatting>
  <conditionalFormatting sqref="E5346:E5347">
    <cfRule type="containsText" dxfId="3951" priority="6203" operator="containsText" text="Pesquisa de Preços">
      <formula>NOT(ISERROR(SEARCH("Pesquisa de Preços",E5346)))</formula>
    </cfRule>
  </conditionalFormatting>
  <conditionalFormatting sqref="E5341">
    <cfRule type="containsText" dxfId="3948" priority="6200" operator="containsText" text="Pesquisa de Preços">
      <formula>NOT(ISERROR(SEARCH("Pesquisa de Preços",E5341)))</formula>
    </cfRule>
  </conditionalFormatting>
  <conditionalFormatting sqref="D5348">
    <cfRule type="containsText" dxfId="3947" priority="6199" operator="containsText" text="Pesquisa de Preços">
      <formula>NOT(ISERROR(SEARCH("Pesquisa de Preços",D5348)))</formula>
    </cfRule>
  </conditionalFormatting>
  <conditionalFormatting sqref="E5348">
    <cfRule type="containsText" dxfId="3946" priority="6198" operator="containsText" text="Pesquisa de Preços">
      <formula>NOT(ISERROR(SEARCH("Pesquisa de Preços",E5348)))</formula>
    </cfRule>
  </conditionalFormatting>
  <conditionalFormatting sqref="E5340">
    <cfRule type="containsText" dxfId="3933" priority="6186" operator="containsText" text="Pesquisa de Preços">
      <formula>NOT(ISERROR(SEARCH("Pesquisa de Preços",E5340)))</formula>
    </cfRule>
  </conditionalFormatting>
  <conditionalFormatting sqref="D5341">
    <cfRule type="containsText" dxfId="3930" priority="6183" operator="containsText" text="Pesquisa de Preços">
      <formula>NOT(ISERROR(SEARCH("Pesquisa de Preços",D5341)))</formula>
    </cfRule>
  </conditionalFormatting>
  <conditionalFormatting sqref="E5364">
    <cfRule type="containsText" dxfId="3927" priority="6152" operator="containsText" text="Pesquisa de Preços">
      <formula>NOT(ISERROR(SEARCH("Pesquisa de Preços",E5364)))</formula>
    </cfRule>
  </conditionalFormatting>
  <conditionalFormatting sqref="D5350">
    <cfRule type="containsText" dxfId="3922" priority="6180" operator="containsText" text="Pesquisa de Preços">
      <formula>NOT(ISERROR(SEARCH("Pesquisa de Preços",D5350)))</formula>
    </cfRule>
  </conditionalFormatting>
  <conditionalFormatting sqref="D5352">
    <cfRule type="containsText" dxfId="3917" priority="6170" operator="containsText" text="Pesquisa de Preços">
      <formula>NOT(ISERROR(SEARCH("Pesquisa de Preços",D5352)))</formula>
    </cfRule>
  </conditionalFormatting>
  <conditionalFormatting sqref="E5352">
    <cfRule type="containsText" dxfId="3916" priority="6169" operator="containsText" text="Pesquisa de Preços">
      <formula>NOT(ISERROR(SEARCH("Pesquisa de Preços",E5352)))</formula>
    </cfRule>
  </conditionalFormatting>
  <conditionalFormatting sqref="D5356">
    <cfRule type="containsText" dxfId="3913" priority="6166" operator="containsText" text="Pesquisa de Preços">
      <formula>NOT(ISERROR(SEARCH("Pesquisa de Preços",D5356)))</formula>
    </cfRule>
  </conditionalFormatting>
  <conditionalFormatting sqref="D5357 D5361">
    <cfRule type="containsText" dxfId="3912" priority="6165" operator="containsText" text="Pesquisa de Preços">
      <formula>NOT(ISERROR(SEARCH("Pesquisa de Preços",D5357)))</formula>
    </cfRule>
  </conditionalFormatting>
  <conditionalFormatting sqref="D5358">
    <cfRule type="containsText" dxfId="3911" priority="6164" operator="containsText" text="Pesquisa de Preços">
      <formula>NOT(ISERROR(SEARCH("Pesquisa de Preços",D5358)))</formula>
    </cfRule>
  </conditionalFormatting>
  <conditionalFormatting sqref="E5361">
    <cfRule type="containsText" dxfId="3910" priority="6162" operator="containsText" text="Pesquisa de Preços">
      <formula>NOT(ISERROR(SEARCH("Pesquisa de Preços",E5361)))</formula>
    </cfRule>
  </conditionalFormatting>
  <conditionalFormatting sqref="D5362">
    <cfRule type="containsText" dxfId="3907" priority="6159" operator="containsText" text="Pesquisa de Preços">
      <formula>NOT(ISERROR(SEARCH("Pesquisa de Preços",D5362)))</formula>
    </cfRule>
  </conditionalFormatting>
  <conditionalFormatting sqref="D5363 D5367:D5368">
    <cfRule type="containsText" dxfId="3906" priority="6158" operator="containsText" text="Pesquisa de Preços">
      <formula>NOT(ISERROR(SEARCH("Pesquisa de Preços",D5363)))</formula>
    </cfRule>
  </conditionalFormatting>
  <conditionalFormatting sqref="D5366">
    <cfRule type="containsText" dxfId="3905" priority="6155" operator="containsText" text="Pesquisa de Preços">
      <formula>NOT(ISERROR(SEARCH("Pesquisa de Preços",D5366)))</formula>
    </cfRule>
  </conditionalFormatting>
  <conditionalFormatting sqref="E5362">
    <cfRule type="containsText" dxfId="3904" priority="6153" operator="containsText" text="Pesquisa de Preços">
      <formula>NOT(ISERROR(SEARCH("Pesquisa de Preços",E5362)))</formula>
    </cfRule>
  </conditionalFormatting>
  <conditionalFormatting sqref="E5363 E5367:E5368">
    <cfRule type="containsText" dxfId="3903" priority="6154" operator="containsText" text="Pesquisa de Preços">
      <formula>NOT(ISERROR(SEARCH("Pesquisa de Preços",E5363)))</formula>
    </cfRule>
  </conditionalFormatting>
  <conditionalFormatting sqref="E5366">
    <cfRule type="containsText" dxfId="3902" priority="6151" operator="containsText" text="Pesquisa de Preços">
      <formula>NOT(ISERROR(SEARCH("Pesquisa de Preços",E5366)))</formula>
    </cfRule>
  </conditionalFormatting>
  <conditionalFormatting sqref="E5371">
    <cfRule type="containsText" dxfId="3899" priority="6142" operator="containsText" text="Pesquisa de Preços">
      <formula>NOT(ISERROR(SEARCH("Pesquisa de Preços",E5371)))</formula>
    </cfRule>
  </conditionalFormatting>
  <conditionalFormatting sqref="D5369">
    <cfRule type="containsText" dxfId="3898" priority="6148" operator="containsText" text="Pesquisa de Preços">
      <formula>NOT(ISERROR(SEARCH("Pesquisa de Preços",D5369)))</formula>
    </cfRule>
  </conditionalFormatting>
  <conditionalFormatting sqref="D5370 D5374">
    <cfRule type="containsText" dxfId="3897" priority="6147" operator="containsText" text="Pesquisa de Preços">
      <formula>NOT(ISERROR(SEARCH("Pesquisa de Preços",D5370)))</formula>
    </cfRule>
  </conditionalFormatting>
  <conditionalFormatting sqref="E5376 E5380">
    <cfRule type="containsText" dxfId="3896" priority="6135" operator="containsText" text="Pesquisa de Preços">
      <formula>NOT(ISERROR(SEARCH("Pesquisa de Preços",E5376)))</formula>
    </cfRule>
  </conditionalFormatting>
  <conditionalFormatting sqref="E5369">
    <cfRule type="containsText" dxfId="3895" priority="6143" operator="containsText" text="Pesquisa de Preços">
      <formula>NOT(ISERROR(SEARCH("Pesquisa de Preços",E5369)))</formula>
    </cfRule>
  </conditionalFormatting>
  <conditionalFormatting sqref="E5370 E5374">
    <cfRule type="containsText" dxfId="3894" priority="6144" operator="containsText" text="Pesquisa de Preços">
      <formula>NOT(ISERROR(SEARCH("Pesquisa de Preços",E5370)))</formula>
    </cfRule>
  </conditionalFormatting>
  <conditionalFormatting sqref="D5375">
    <cfRule type="containsText" dxfId="3891" priority="6139" operator="containsText" text="Pesquisa de Preços">
      <formula>NOT(ISERROR(SEARCH("Pesquisa de Preços",D5375)))</formula>
    </cfRule>
  </conditionalFormatting>
  <conditionalFormatting sqref="D5376 D5380">
    <cfRule type="containsText" dxfId="3890" priority="6138" operator="containsText" text="Pesquisa de Preços">
      <formula>NOT(ISERROR(SEARCH("Pesquisa de Preços",D5376)))</formula>
    </cfRule>
  </conditionalFormatting>
  <conditionalFormatting sqref="E5375">
    <cfRule type="containsText" dxfId="3889" priority="6134" operator="containsText" text="Pesquisa de Preços">
      <formula>NOT(ISERROR(SEARCH("Pesquisa de Preços",E5375)))</formula>
    </cfRule>
  </conditionalFormatting>
  <conditionalFormatting sqref="D5381">
    <cfRule type="containsText" dxfId="3888" priority="6130" operator="containsText" text="Pesquisa de Preços">
      <formula>NOT(ISERROR(SEARCH("Pesquisa de Preços",D5381)))</formula>
    </cfRule>
  </conditionalFormatting>
  <conditionalFormatting sqref="D5388 D5382:D5383">
    <cfRule type="containsText" dxfId="3887" priority="6129" operator="containsText" text="Pesquisa de Preços">
      <formula>NOT(ISERROR(SEARCH("Pesquisa de Preços",D5382)))</formula>
    </cfRule>
  </conditionalFormatting>
  <conditionalFormatting sqref="E5381">
    <cfRule type="containsText" dxfId="3886" priority="6127" operator="containsText" text="Pesquisa de Preços">
      <formula>NOT(ISERROR(SEARCH("Pesquisa de Preços",E5381)))</formula>
    </cfRule>
  </conditionalFormatting>
  <conditionalFormatting sqref="E5382 E5388">
    <cfRule type="containsText" dxfId="3885" priority="6128" operator="containsText" text="Pesquisa de Preços">
      <formula>NOT(ISERROR(SEARCH("Pesquisa de Preços",E5382)))</formula>
    </cfRule>
  </conditionalFormatting>
  <conditionalFormatting sqref="E5383">
    <cfRule type="containsText" dxfId="3884" priority="6126" operator="containsText" text="Pesquisa de Preços">
      <formula>NOT(ISERROR(SEARCH("Pesquisa de Preços",E5383)))</formula>
    </cfRule>
  </conditionalFormatting>
  <conditionalFormatting sqref="D5389">
    <cfRule type="containsText" dxfId="3881" priority="6123" operator="containsText" text="Pesquisa de Preços">
      <formula>NOT(ISERROR(SEARCH("Pesquisa de Preços",D5389)))</formula>
    </cfRule>
  </conditionalFormatting>
  <conditionalFormatting sqref="D5396 D5390">
    <cfRule type="containsText" dxfId="3880" priority="6122" operator="containsText" text="Pesquisa de Preços">
      <formula>NOT(ISERROR(SEARCH("Pesquisa de Preços",D5390)))</formula>
    </cfRule>
  </conditionalFormatting>
  <conditionalFormatting sqref="E5389">
    <cfRule type="containsText" dxfId="3879" priority="6120" operator="containsText" text="Pesquisa de Preços">
      <formula>NOT(ISERROR(SEARCH("Pesquisa de Preços",E5389)))</formula>
    </cfRule>
  </conditionalFormatting>
  <conditionalFormatting sqref="E5390 E5396">
    <cfRule type="containsText" dxfId="3878" priority="6121" operator="containsText" text="Pesquisa de Preços">
      <formula>NOT(ISERROR(SEARCH("Pesquisa de Preços",E5390)))</formula>
    </cfRule>
  </conditionalFormatting>
  <conditionalFormatting sqref="E5391">
    <cfRule type="containsText" dxfId="3877" priority="6119" operator="containsText" text="Pesquisa de Preços">
      <formula>NOT(ISERROR(SEARCH("Pesquisa de Preços",E5391)))</formula>
    </cfRule>
  </conditionalFormatting>
  <conditionalFormatting sqref="D5397">
    <cfRule type="containsText" dxfId="3874" priority="6116" operator="containsText" text="Pesquisa de Preços">
      <formula>NOT(ISERROR(SEARCH("Pesquisa de Preços",D5397)))</formula>
    </cfRule>
  </conditionalFormatting>
  <conditionalFormatting sqref="D5404 D5398">
    <cfRule type="containsText" dxfId="3873" priority="6115" operator="containsText" text="Pesquisa de Preços">
      <formula>NOT(ISERROR(SEARCH("Pesquisa de Preços",D5398)))</formula>
    </cfRule>
  </conditionalFormatting>
  <conditionalFormatting sqref="E5397">
    <cfRule type="containsText" dxfId="3872" priority="6113" operator="containsText" text="Pesquisa de Preços">
      <formula>NOT(ISERROR(SEARCH("Pesquisa de Preços",E5397)))</formula>
    </cfRule>
  </conditionalFormatting>
  <conditionalFormatting sqref="E5398 E5404">
    <cfRule type="containsText" dxfId="3871" priority="6114" operator="containsText" text="Pesquisa de Preços">
      <formula>NOT(ISERROR(SEARCH("Pesquisa de Preços",E5398)))</formula>
    </cfRule>
  </conditionalFormatting>
  <conditionalFormatting sqref="E5399">
    <cfRule type="containsText" dxfId="3870" priority="6112" operator="containsText" text="Pesquisa de Preços">
      <formula>NOT(ISERROR(SEARCH("Pesquisa de Preços",E5399)))</formula>
    </cfRule>
  </conditionalFormatting>
  <conditionalFormatting sqref="D5405">
    <cfRule type="containsText" dxfId="3869" priority="6111" operator="containsText" text="Pesquisa de Preços">
      <formula>NOT(ISERROR(SEARCH("Pesquisa de Preços",D5405)))</formula>
    </cfRule>
  </conditionalFormatting>
  <conditionalFormatting sqref="D5406">
    <cfRule type="containsText" dxfId="3868" priority="6110" operator="containsText" text="Pesquisa de Preços">
      <formula>NOT(ISERROR(SEARCH("Pesquisa de Preços",D5406)))</formula>
    </cfRule>
  </conditionalFormatting>
  <conditionalFormatting sqref="E5405">
    <cfRule type="containsText" dxfId="3867" priority="6108" operator="containsText" text="Pesquisa de Preços">
      <formula>NOT(ISERROR(SEARCH("Pesquisa de Preços",E5405)))</formula>
    </cfRule>
  </conditionalFormatting>
  <conditionalFormatting sqref="E5406 E5411">
    <cfRule type="containsText" dxfId="3866" priority="6109" operator="containsText" text="Pesquisa de Preços">
      <formula>NOT(ISERROR(SEARCH("Pesquisa de Preços",E5406)))</formula>
    </cfRule>
  </conditionalFormatting>
  <conditionalFormatting sqref="E5407">
    <cfRule type="containsText" dxfId="3865" priority="6107" operator="containsText" text="Pesquisa de Preços">
      <formula>NOT(ISERROR(SEARCH("Pesquisa de Preços",E5407)))</formula>
    </cfRule>
  </conditionalFormatting>
  <conditionalFormatting sqref="D5421">
    <cfRule type="containsText" dxfId="3864" priority="6106" operator="containsText" text="Pesquisa de Preços">
      <formula>NOT(ISERROR(SEARCH("Pesquisa de Preços",D5421)))</formula>
    </cfRule>
  </conditionalFormatting>
  <conditionalFormatting sqref="D5412">
    <cfRule type="containsText" dxfId="3861" priority="6103" operator="containsText" text="Pesquisa de Preços">
      <formula>NOT(ISERROR(SEARCH("Pesquisa de Preços",D5412)))</formula>
    </cfRule>
  </conditionalFormatting>
  <conditionalFormatting sqref="D5413">
    <cfRule type="containsText" dxfId="3860" priority="6102" operator="containsText" text="Pesquisa de Preços">
      <formula>NOT(ISERROR(SEARCH("Pesquisa de Preços",D5413)))</formula>
    </cfRule>
  </conditionalFormatting>
  <conditionalFormatting sqref="E5421">
    <cfRule type="containsText" dxfId="3859" priority="6099" operator="containsText" text="Pesquisa de Preços">
      <formula>NOT(ISERROR(SEARCH("Pesquisa de Preços",E5421)))</formula>
    </cfRule>
  </conditionalFormatting>
  <conditionalFormatting sqref="D5433">
    <cfRule type="containsText" dxfId="3848" priority="6088" operator="containsText" text="Pesquisa de Preços">
      <formula>NOT(ISERROR(SEARCH("Pesquisa de Preços",D5433)))</formula>
    </cfRule>
  </conditionalFormatting>
  <conditionalFormatting sqref="D5422">
    <cfRule type="containsText" dxfId="3845" priority="6085" operator="containsText" text="Pesquisa de Preços">
      <formula>NOT(ISERROR(SEARCH("Pesquisa de Preços",D5422)))</formula>
    </cfRule>
  </conditionalFormatting>
  <conditionalFormatting sqref="D5423">
    <cfRule type="containsText" dxfId="3844" priority="6084" operator="containsText" text="Pesquisa de Preços">
      <formula>NOT(ISERROR(SEARCH("Pesquisa de Preços",D5423)))</formula>
    </cfRule>
  </conditionalFormatting>
  <conditionalFormatting sqref="E5433">
    <cfRule type="containsText" dxfId="3843" priority="6081" operator="containsText" text="Pesquisa de Preços">
      <formula>NOT(ISERROR(SEARCH("Pesquisa de Preços",E5433)))</formula>
    </cfRule>
  </conditionalFormatting>
  <conditionalFormatting sqref="D5439">
    <cfRule type="containsText" dxfId="3832" priority="6060" operator="containsText" text="Pesquisa de Preços">
      <formula>NOT(ISERROR(SEARCH("Pesquisa de Preços",D5439)))</formula>
    </cfRule>
  </conditionalFormatting>
  <conditionalFormatting sqref="D5434">
    <cfRule type="containsText" dxfId="3831" priority="6059" operator="containsText" text="Pesquisa de Preços">
      <formula>NOT(ISERROR(SEARCH("Pesquisa de Preços",D5434)))</formula>
    </cfRule>
  </conditionalFormatting>
  <conditionalFormatting sqref="D5435:D5436">
    <cfRule type="containsText" dxfId="3830" priority="6058" operator="containsText" text="Pesquisa de Preços">
      <formula>NOT(ISERROR(SEARCH("Pesquisa de Preços",D5435)))</formula>
    </cfRule>
  </conditionalFormatting>
  <conditionalFormatting sqref="E5434">
    <cfRule type="containsText" dxfId="3829" priority="6056" operator="containsText" text="Pesquisa de Preços">
      <formula>NOT(ISERROR(SEARCH("Pesquisa de Preços",E5434)))</formula>
    </cfRule>
  </conditionalFormatting>
  <conditionalFormatting sqref="E5435 E5439">
    <cfRule type="containsText" dxfId="3828" priority="6057" operator="containsText" text="Pesquisa de Preços">
      <formula>NOT(ISERROR(SEARCH("Pesquisa de Preços",E5435)))</formula>
    </cfRule>
  </conditionalFormatting>
  <conditionalFormatting sqref="E5436">
    <cfRule type="containsText" dxfId="3827" priority="6055" operator="containsText" text="Pesquisa de Preços">
      <formula>NOT(ISERROR(SEARCH("Pesquisa de Preços",E5436)))</formula>
    </cfRule>
  </conditionalFormatting>
  <conditionalFormatting sqref="D5445">
    <cfRule type="containsText" dxfId="3824" priority="6052" operator="containsText" text="Pesquisa de Preços">
      <formula>NOT(ISERROR(SEARCH("Pesquisa de Preços",D5445)))</formula>
    </cfRule>
  </conditionalFormatting>
  <conditionalFormatting sqref="D5440">
    <cfRule type="containsText" dxfId="3823" priority="6051" operator="containsText" text="Pesquisa de Preços">
      <formula>NOT(ISERROR(SEARCH("Pesquisa de Preços",D5440)))</formula>
    </cfRule>
  </conditionalFormatting>
  <conditionalFormatting sqref="D5441:D5442">
    <cfRule type="containsText" dxfId="3822" priority="6050" operator="containsText" text="Pesquisa de Preços">
      <formula>NOT(ISERROR(SEARCH("Pesquisa de Preços",D5441)))</formula>
    </cfRule>
  </conditionalFormatting>
  <conditionalFormatting sqref="E5440">
    <cfRule type="containsText" dxfId="3821" priority="6048" operator="containsText" text="Pesquisa de Preços">
      <formula>NOT(ISERROR(SEARCH("Pesquisa de Preços",E5440)))</formula>
    </cfRule>
  </conditionalFormatting>
  <conditionalFormatting sqref="E5441 E5445">
    <cfRule type="containsText" dxfId="3820" priority="6049" operator="containsText" text="Pesquisa de Preços">
      <formula>NOT(ISERROR(SEARCH("Pesquisa de Preços",E5441)))</formula>
    </cfRule>
  </conditionalFormatting>
  <conditionalFormatting sqref="E5442">
    <cfRule type="containsText" dxfId="3819" priority="6047" operator="containsText" text="Pesquisa de Preços">
      <formula>NOT(ISERROR(SEARCH("Pesquisa de Preços",E5442)))</formula>
    </cfRule>
  </conditionalFormatting>
  <conditionalFormatting sqref="D5446">
    <cfRule type="containsText" dxfId="3818" priority="6046" operator="containsText" text="Pesquisa de Preços">
      <formula>NOT(ISERROR(SEARCH("Pesquisa de Preços",D5446)))</formula>
    </cfRule>
  </conditionalFormatting>
  <conditionalFormatting sqref="D5447 D5451:D5452">
    <cfRule type="containsText" dxfId="3817" priority="6045" operator="containsText" text="Pesquisa de Preços">
      <formula>NOT(ISERROR(SEARCH("Pesquisa de Preços",D5447)))</formula>
    </cfRule>
  </conditionalFormatting>
  <conditionalFormatting sqref="D5450">
    <cfRule type="containsText" dxfId="3816" priority="6042" operator="containsText" text="Pesquisa de Preços">
      <formula>NOT(ISERROR(SEARCH("Pesquisa de Preços",D5450)))</formula>
    </cfRule>
  </conditionalFormatting>
  <conditionalFormatting sqref="E5447 E5451:E5452">
    <cfRule type="containsText" dxfId="3815" priority="6041" operator="containsText" text="Pesquisa de Preços">
      <formula>NOT(ISERROR(SEARCH("Pesquisa de Preços",E5447)))</formula>
    </cfRule>
  </conditionalFormatting>
  <conditionalFormatting sqref="E5446">
    <cfRule type="containsText" dxfId="3814" priority="6040" operator="containsText" text="Pesquisa de Preços">
      <formula>NOT(ISERROR(SEARCH("Pesquisa de Preços",E5446)))</formula>
    </cfRule>
  </conditionalFormatting>
  <conditionalFormatting sqref="E5450">
    <cfRule type="containsText" dxfId="3813" priority="6038" operator="containsText" text="Pesquisa de Preços">
      <formula>NOT(ISERROR(SEARCH("Pesquisa de Preços",E5450)))</formula>
    </cfRule>
  </conditionalFormatting>
  <conditionalFormatting sqref="E5448">
    <cfRule type="containsText" dxfId="3812" priority="6039" operator="containsText" text="Pesquisa de Preços">
      <formula>NOT(ISERROR(SEARCH("Pesquisa de Preços",E5448)))</formula>
    </cfRule>
  </conditionalFormatting>
  <conditionalFormatting sqref="D5458">
    <cfRule type="containsText" dxfId="3807" priority="6033" operator="containsText" text="Pesquisa de Preços">
      <formula>NOT(ISERROR(SEARCH("Pesquisa de Preços",D5458)))</formula>
    </cfRule>
  </conditionalFormatting>
  <conditionalFormatting sqref="D5453">
    <cfRule type="containsText" dxfId="3806" priority="6032" operator="containsText" text="Pesquisa de Preços">
      <formula>NOT(ISERROR(SEARCH("Pesquisa de Preços",D5453)))</formula>
    </cfRule>
  </conditionalFormatting>
  <conditionalFormatting sqref="D5454">
    <cfRule type="containsText" dxfId="3805" priority="6031" operator="containsText" text="Pesquisa de Preços">
      <formula>NOT(ISERROR(SEARCH("Pesquisa de Preços",D5454)))</formula>
    </cfRule>
  </conditionalFormatting>
  <conditionalFormatting sqref="E5453">
    <cfRule type="containsText" dxfId="3804" priority="6029" operator="containsText" text="Pesquisa de Preços">
      <formula>NOT(ISERROR(SEARCH("Pesquisa de Preços",E5453)))</formula>
    </cfRule>
  </conditionalFormatting>
  <conditionalFormatting sqref="E5454 E5458">
    <cfRule type="containsText" dxfId="3803" priority="6030" operator="containsText" text="Pesquisa de Preços">
      <formula>NOT(ISERROR(SEARCH("Pesquisa de Preços",E5454)))</formula>
    </cfRule>
  </conditionalFormatting>
  <conditionalFormatting sqref="E5455">
    <cfRule type="containsText" dxfId="3802" priority="6028" operator="containsText" text="Pesquisa de Preços">
      <formula>NOT(ISERROR(SEARCH("Pesquisa de Preços",E5455)))</formula>
    </cfRule>
  </conditionalFormatting>
  <conditionalFormatting sqref="D5464">
    <cfRule type="containsText" dxfId="3799" priority="6025" operator="containsText" text="Pesquisa de Preços">
      <formula>NOT(ISERROR(SEARCH("Pesquisa de Preços",D5464)))</formula>
    </cfRule>
  </conditionalFormatting>
  <conditionalFormatting sqref="D5459">
    <cfRule type="containsText" dxfId="3798" priority="6024" operator="containsText" text="Pesquisa de Preços">
      <formula>NOT(ISERROR(SEARCH("Pesquisa de Preços",D5459)))</formula>
    </cfRule>
  </conditionalFormatting>
  <conditionalFormatting sqref="D5460">
    <cfRule type="containsText" dxfId="3797" priority="6023" operator="containsText" text="Pesquisa de Preços">
      <formula>NOT(ISERROR(SEARCH("Pesquisa de Preços",D5460)))</formula>
    </cfRule>
  </conditionalFormatting>
  <conditionalFormatting sqref="E5459">
    <cfRule type="containsText" dxfId="3796" priority="6021" operator="containsText" text="Pesquisa de Preços">
      <formula>NOT(ISERROR(SEARCH("Pesquisa de Preços",E5459)))</formula>
    </cfRule>
  </conditionalFormatting>
  <conditionalFormatting sqref="E5460 E5464">
    <cfRule type="containsText" dxfId="3795" priority="6022" operator="containsText" text="Pesquisa de Preços">
      <formula>NOT(ISERROR(SEARCH("Pesquisa de Preços",E5460)))</formula>
    </cfRule>
  </conditionalFormatting>
  <conditionalFormatting sqref="D5461">
    <cfRule type="containsText" dxfId="3794" priority="6020" operator="containsText" text="Pesquisa de Preços">
      <formula>NOT(ISERROR(SEARCH("Pesquisa de Preços",D5461)))</formula>
    </cfRule>
  </conditionalFormatting>
  <conditionalFormatting sqref="E5461">
    <cfRule type="containsText" dxfId="3793" priority="6019" operator="containsText" text="Pesquisa de Preços">
      <formula>NOT(ISERROR(SEARCH("Pesquisa de Preços",E5461)))</formula>
    </cfRule>
  </conditionalFormatting>
  <conditionalFormatting sqref="D5469">
    <cfRule type="containsText" dxfId="3792" priority="6018" operator="containsText" text="Pesquisa de Preços">
      <formula>NOT(ISERROR(SEARCH("Pesquisa de Preços",D5469)))</formula>
    </cfRule>
  </conditionalFormatting>
  <conditionalFormatting sqref="E5466 E5470">
    <cfRule type="containsText" dxfId="3791" priority="6013" operator="containsText" text="Pesquisa de Preços">
      <formula>NOT(ISERROR(SEARCH("Pesquisa de Preços",E5466)))</formula>
    </cfRule>
  </conditionalFormatting>
  <conditionalFormatting sqref="E5467">
    <cfRule type="containsText" dxfId="3788" priority="6011" operator="containsText" text="Pesquisa de Preços">
      <formula>NOT(ISERROR(SEARCH("Pesquisa de Preços",E5467)))</formula>
    </cfRule>
  </conditionalFormatting>
  <conditionalFormatting sqref="D5465">
    <cfRule type="containsText" dxfId="3787" priority="6017" operator="containsText" text="Pesquisa de Preços">
      <formula>NOT(ISERROR(SEARCH("Pesquisa de Preços",D5465)))</formula>
    </cfRule>
  </conditionalFormatting>
  <conditionalFormatting sqref="D5466 D5470">
    <cfRule type="containsText" dxfId="3786" priority="6016" operator="containsText" text="Pesquisa de Preços">
      <formula>NOT(ISERROR(SEARCH("Pesquisa de Preços",D5466)))</formula>
    </cfRule>
  </conditionalFormatting>
  <conditionalFormatting sqref="E5465">
    <cfRule type="containsText" dxfId="3785" priority="6012" operator="containsText" text="Pesquisa de Preços">
      <formula>NOT(ISERROR(SEARCH("Pesquisa de Preços",E5465)))</formula>
    </cfRule>
  </conditionalFormatting>
  <conditionalFormatting sqref="E5468">
    <cfRule type="containsText" dxfId="3782" priority="6006" operator="containsText" text="Pesquisa de Preços">
      <formula>NOT(ISERROR(SEARCH("Pesquisa de Preços",E5468)))</formula>
    </cfRule>
  </conditionalFormatting>
  <conditionalFormatting sqref="E5472 E5474">
    <cfRule type="containsText" dxfId="3781" priority="6002" operator="containsText" text="Pesquisa de Preços">
      <formula>NOT(ISERROR(SEARCH("Pesquisa de Preços",E5472)))</formula>
    </cfRule>
  </conditionalFormatting>
  <conditionalFormatting sqref="E5473">
    <cfRule type="containsText" dxfId="3778" priority="6000" operator="containsText" text="Pesquisa de Preços">
      <formula>NOT(ISERROR(SEARCH("Pesquisa de Preços",E5473)))</formula>
    </cfRule>
  </conditionalFormatting>
  <conditionalFormatting sqref="D5471">
    <cfRule type="containsText" dxfId="3777" priority="6005" operator="containsText" text="Pesquisa de Preços">
      <formula>NOT(ISERROR(SEARCH("Pesquisa de Preços",D5471)))</formula>
    </cfRule>
  </conditionalFormatting>
  <conditionalFormatting sqref="D5472 D5474">
    <cfRule type="containsText" dxfId="3776" priority="6004" operator="containsText" text="Pesquisa de Preços">
      <formula>NOT(ISERROR(SEARCH("Pesquisa de Preços",D5472)))</formula>
    </cfRule>
  </conditionalFormatting>
  <conditionalFormatting sqref="E5471">
    <cfRule type="containsText" dxfId="3775" priority="6001" operator="containsText" text="Pesquisa de Preços">
      <formula>NOT(ISERROR(SEARCH("Pesquisa de Preços",E5471)))</formula>
    </cfRule>
  </conditionalFormatting>
  <conditionalFormatting sqref="E5483 E5485">
    <cfRule type="containsText" dxfId="3774" priority="5994" operator="containsText" text="Pesquisa de Preços">
      <formula>NOT(ISERROR(SEARCH("Pesquisa de Preços",E5483)))</formula>
    </cfRule>
  </conditionalFormatting>
  <conditionalFormatting sqref="E5484">
    <cfRule type="containsText" dxfId="3771" priority="5992" operator="containsText" text="Pesquisa de Preços">
      <formula>NOT(ISERROR(SEARCH("Pesquisa de Preços",E5484)))</formula>
    </cfRule>
  </conditionalFormatting>
  <conditionalFormatting sqref="D5482">
    <cfRule type="containsText" dxfId="3770" priority="5997" operator="containsText" text="Pesquisa de Preços">
      <formula>NOT(ISERROR(SEARCH("Pesquisa de Preços",D5482)))</formula>
    </cfRule>
  </conditionalFormatting>
  <conditionalFormatting sqref="D5483 D5485">
    <cfRule type="containsText" dxfId="3769" priority="5996" operator="containsText" text="Pesquisa de Preços">
      <formula>NOT(ISERROR(SEARCH("Pesquisa de Preços",D5483)))</formula>
    </cfRule>
  </conditionalFormatting>
  <conditionalFormatting sqref="E5482">
    <cfRule type="containsText" dxfId="3768" priority="5993" operator="containsText" text="Pesquisa de Preços">
      <formula>NOT(ISERROR(SEARCH("Pesquisa de Preços",E5482)))</formula>
    </cfRule>
  </conditionalFormatting>
  <conditionalFormatting sqref="E5476 E5481">
    <cfRule type="containsText" dxfId="3765" priority="5981" operator="containsText" text="Pesquisa de Preços">
      <formula>NOT(ISERROR(SEARCH("Pesquisa de Preços",E5476)))</formula>
    </cfRule>
  </conditionalFormatting>
  <conditionalFormatting sqref="D5475">
    <cfRule type="containsText" dxfId="3762" priority="5985" operator="containsText" text="Pesquisa de Preços">
      <formula>NOT(ISERROR(SEARCH("Pesquisa de Preços",D5475)))</formula>
    </cfRule>
  </conditionalFormatting>
  <conditionalFormatting sqref="D5476 D5481">
    <cfRule type="containsText" dxfId="3761" priority="5984" operator="containsText" text="Pesquisa de Preços">
      <formula>NOT(ISERROR(SEARCH("Pesquisa de Preços",D5476)))</formula>
    </cfRule>
  </conditionalFormatting>
  <conditionalFormatting sqref="E5478:E5479">
    <cfRule type="containsText" dxfId="3760" priority="5969" operator="containsText" text="Pesquisa de Preços">
      <formula>NOT(ISERROR(SEARCH("Pesquisa de Preços",E5478)))</formula>
    </cfRule>
  </conditionalFormatting>
  <conditionalFormatting sqref="E5477">
    <cfRule type="containsText" dxfId="3759" priority="5970" operator="containsText" text="Pesquisa de Preços">
      <formula>NOT(ISERROR(SEARCH("Pesquisa de Preços",E5477)))</formula>
    </cfRule>
  </conditionalFormatting>
  <conditionalFormatting sqref="E5475">
    <cfRule type="containsText" dxfId="3758" priority="5980" operator="containsText" text="Pesquisa de Preços">
      <formula>NOT(ISERROR(SEARCH("Pesquisa de Preços",E5475)))</formula>
    </cfRule>
  </conditionalFormatting>
  <conditionalFormatting sqref="D5478">
    <cfRule type="containsText" dxfId="3753" priority="5971" operator="containsText" text="Pesquisa de Preços">
      <formula>NOT(ISERROR(SEARCH("Pesquisa de Preços",D5478)))</formula>
    </cfRule>
  </conditionalFormatting>
  <conditionalFormatting sqref="D6253">
    <cfRule type="containsText" dxfId="3744" priority="5955" operator="containsText" text="Pesquisa de Preços">
      <formula>NOT(ISERROR(SEARCH("Pesquisa de Preços",D6253)))</formula>
    </cfRule>
  </conditionalFormatting>
  <conditionalFormatting sqref="D6250">
    <cfRule type="containsText" dxfId="3741" priority="5954" operator="containsText" text="Pesquisa de Preços">
      <formula>NOT(ISERROR(SEARCH("Pesquisa de Preços",D6250)))</formula>
    </cfRule>
  </conditionalFormatting>
  <conditionalFormatting sqref="D6248">
    <cfRule type="containsText" dxfId="3740" priority="5952" operator="containsText" text="Pesquisa de Preços">
      <formula>NOT(ISERROR(SEARCH("Pesquisa de Preços",D6248)))</formula>
    </cfRule>
  </conditionalFormatting>
  <conditionalFormatting sqref="D6262">
    <cfRule type="containsText" dxfId="3737" priority="5947" operator="containsText" text="Pesquisa de Preços">
      <formula>NOT(ISERROR(SEARCH("Pesquisa de Preços",D6262)))</formula>
    </cfRule>
  </conditionalFormatting>
  <conditionalFormatting sqref="D6254">
    <cfRule type="containsText" dxfId="3734" priority="5945" operator="containsText" text="Pesquisa de Preços">
      <formula>NOT(ISERROR(SEARCH("Pesquisa de Preços",D6254)))</formula>
    </cfRule>
  </conditionalFormatting>
  <conditionalFormatting sqref="D6273">
    <cfRule type="containsText" dxfId="3727" priority="5934" operator="containsText" text="Pesquisa de Preços">
      <formula>NOT(ISERROR(SEARCH("Pesquisa de Preços",D6273)))</formula>
    </cfRule>
  </conditionalFormatting>
  <conditionalFormatting sqref="D6263">
    <cfRule type="containsText" dxfId="3724" priority="5932" operator="containsText" text="Pesquisa de Preços">
      <formula>NOT(ISERROR(SEARCH("Pesquisa de Preços",D6263)))</formula>
    </cfRule>
  </conditionalFormatting>
  <conditionalFormatting sqref="D6281">
    <cfRule type="containsText" dxfId="3717" priority="5912" operator="containsText" text="Pesquisa de Preços">
      <formula>NOT(ISERROR(SEARCH("Pesquisa de Preços",D6281)))</formula>
    </cfRule>
  </conditionalFormatting>
  <conditionalFormatting sqref="D6274">
    <cfRule type="containsText" dxfId="3714" priority="5910" operator="containsText" text="Pesquisa de Preços">
      <formula>NOT(ISERROR(SEARCH("Pesquisa de Preços",D6274)))</formula>
    </cfRule>
  </conditionalFormatting>
  <conditionalFormatting sqref="D6289">
    <cfRule type="containsText" dxfId="3707" priority="5900" operator="containsText" text="Pesquisa de Preços">
      <formula>NOT(ISERROR(SEARCH("Pesquisa de Preços",D6289)))</formula>
    </cfRule>
  </conditionalFormatting>
  <conditionalFormatting sqref="D6282">
    <cfRule type="containsText" dxfId="3704" priority="5898" operator="containsText" text="Pesquisa de Preços">
      <formula>NOT(ISERROR(SEARCH("Pesquisa de Preços",D6282)))</formula>
    </cfRule>
  </conditionalFormatting>
  <conditionalFormatting sqref="D6296">
    <cfRule type="containsText" dxfId="3699" priority="5890" operator="containsText" text="Pesquisa de Preços">
      <formula>NOT(ISERROR(SEARCH("Pesquisa de Preços",D6296)))</formula>
    </cfRule>
  </conditionalFormatting>
  <conditionalFormatting sqref="D6290">
    <cfRule type="containsText" dxfId="3696" priority="5888" operator="containsText" text="Pesquisa de Preços">
      <formula>NOT(ISERROR(SEARCH("Pesquisa de Preços",D6290)))</formula>
    </cfRule>
  </conditionalFormatting>
  <conditionalFormatting sqref="D6306">
    <cfRule type="containsText" dxfId="3691" priority="5878" operator="containsText" text="Pesquisa de Preços">
      <formula>NOT(ISERROR(SEARCH("Pesquisa de Preços",D6306)))</formula>
    </cfRule>
  </conditionalFormatting>
  <conditionalFormatting sqref="D6297">
    <cfRule type="containsText" dxfId="3688" priority="5876" operator="containsText" text="Pesquisa de Preços">
      <formula>NOT(ISERROR(SEARCH("Pesquisa de Preços",D6297)))</formula>
    </cfRule>
  </conditionalFormatting>
  <conditionalFormatting sqref="D6330">
    <cfRule type="containsText" dxfId="3679" priority="5859" operator="containsText" text="Pesquisa de Preços">
      <formula>NOT(ISERROR(SEARCH("Pesquisa de Preços",D6330)))</formula>
    </cfRule>
  </conditionalFormatting>
  <conditionalFormatting sqref="D6307">
    <cfRule type="containsText" dxfId="3676" priority="5857" operator="containsText" text="Pesquisa de Preços">
      <formula>NOT(ISERROR(SEARCH("Pesquisa de Preços",D6307)))</formula>
    </cfRule>
  </conditionalFormatting>
  <conditionalFormatting sqref="D6331">
    <cfRule type="containsText" dxfId="3671" priority="5839" operator="containsText" text="Pesquisa de Preços">
      <formula>NOT(ISERROR(SEARCH("Pesquisa de Preços",D6331)))</formula>
    </cfRule>
  </conditionalFormatting>
  <conditionalFormatting sqref="D6340">
    <cfRule type="containsText" dxfId="3664" priority="5841" operator="containsText" text="Pesquisa de Preços">
      <formula>NOT(ISERROR(SEARCH("Pesquisa de Preços",D6340)))</formula>
    </cfRule>
  </conditionalFormatting>
  <conditionalFormatting sqref="D6339">
    <cfRule type="containsText" dxfId="3661" priority="5838" operator="containsText" text="Pesquisa de Preços">
      <formula>NOT(ISERROR(SEARCH("Pesquisa de Preços",D6339)))</formula>
    </cfRule>
  </conditionalFormatting>
  <conditionalFormatting sqref="D6350">
    <cfRule type="containsText" dxfId="3660" priority="5817" operator="containsText" text="Pesquisa de Preços">
      <formula>NOT(ISERROR(SEARCH("Pesquisa de Preços",D6350)))</formula>
    </cfRule>
  </conditionalFormatting>
  <conditionalFormatting sqref="D6341">
    <cfRule type="containsText" dxfId="3659" priority="5826" operator="containsText" text="Pesquisa de Preços">
      <formula>NOT(ISERROR(SEARCH("Pesquisa de Preços",D6341)))</formula>
    </cfRule>
  </conditionalFormatting>
  <conditionalFormatting sqref="D6349">
    <cfRule type="containsText" dxfId="3654" priority="5828" operator="containsText" text="Pesquisa de Preços">
      <formula>NOT(ISERROR(SEARCH("Pesquisa de Preços",D6349)))</formula>
    </cfRule>
  </conditionalFormatting>
  <conditionalFormatting sqref="D6354">
    <cfRule type="containsText" dxfId="3651" priority="5820" operator="containsText" text="Pesquisa de Preços">
      <formula>NOT(ISERROR(SEARCH("Pesquisa de Preços",D6354)))</formula>
    </cfRule>
  </conditionalFormatting>
  <conditionalFormatting sqref="D6368">
    <cfRule type="containsText" dxfId="3644" priority="5810" operator="containsText" text="Pesquisa de Preços">
      <formula>NOT(ISERROR(SEARCH("Pesquisa de Preços",D6368)))</formula>
    </cfRule>
  </conditionalFormatting>
  <conditionalFormatting sqref="D6355">
    <cfRule type="containsText" dxfId="3641" priority="5808" operator="containsText" text="Pesquisa de Preços">
      <formula>NOT(ISERROR(SEARCH("Pesquisa de Preços",D6355)))</formula>
    </cfRule>
  </conditionalFormatting>
  <conditionalFormatting sqref="D6383">
    <cfRule type="containsText" dxfId="3626" priority="5785" operator="containsText" text="Pesquisa de Preços">
      <formula>NOT(ISERROR(SEARCH("Pesquisa de Preços",D6383)))</formula>
    </cfRule>
  </conditionalFormatting>
  <conditionalFormatting sqref="D6369">
    <cfRule type="containsText" dxfId="3623" priority="5783" operator="containsText" text="Pesquisa de Preços">
      <formula>NOT(ISERROR(SEARCH("Pesquisa de Preços",D6369)))</formula>
    </cfRule>
  </conditionalFormatting>
  <conditionalFormatting sqref="D6385:D6386">
    <cfRule type="containsText" dxfId="3618" priority="5773" operator="containsText" text="Pesquisa de Preços">
      <formula>NOT(ISERROR(SEARCH("Pesquisa de Preços",D6385)))</formula>
    </cfRule>
  </conditionalFormatting>
  <conditionalFormatting sqref="E6386">
    <cfRule type="containsText" dxfId="3617" priority="5770" operator="containsText" text="Pesquisa de Preços">
      <formula>NOT(ISERROR(SEARCH("Pesquisa de Preços",E6386)))</formula>
    </cfRule>
  </conditionalFormatting>
  <conditionalFormatting sqref="D6381:D6382">
    <cfRule type="containsText" dxfId="3616" priority="5778" operator="containsText" text="Pesquisa de Preços">
      <formula>NOT(ISERROR(SEARCH("Pesquisa de Preços",D6381)))</formula>
    </cfRule>
  </conditionalFormatting>
  <conditionalFormatting sqref="D6392:D6393">
    <cfRule type="containsText" dxfId="3615" priority="5767" operator="containsText" text="Pesquisa de Preços">
      <formula>NOT(ISERROR(SEARCH("Pesquisa de Preços",D6392)))</formula>
    </cfRule>
  </conditionalFormatting>
  <conditionalFormatting sqref="E6393">
    <cfRule type="containsText" dxfId="3614" priority="5764" operator="containsText" text="Pesquisa de Preços">
      <formula>NOT(ISERROR(SEARCH("Pesquisa de Preços",E6393)))</formula>
    </cfRule>
  </conditionalFormatting>
  <conditionalFormatting sqref="D6390">
    <cfRule type="containsText" dxfId="3613" priority="5777" operator="containsText" text="Pesquisa de Preços">
      <formula>NOT(ISERROR(SEARCH("Pesquisa de Preços",D6390)))</formula>
    </cfRule>
  </conditionalFormatting>
  <conditionalFormatting sqref="D6384">
    <cfRule type="containsText" dxfId="3612" priority="5774" operator="containsText" text="Pesquisa de Preços">
      <formula>NOT(ISERROR(SEARCH("Pesquisa de Preços",D6384)))</formula>
    </cfRule>
  </conditionalFormatting>
  <conditionalFormatting sqref="E6384">
    <cfRule type="containsText" dxfId="3611" priority="5771" operator="containsText" text="Pesquisa de Preços">
      <formula>NOT(ISERROR(SEARCH("Pesquisa de Preços",E6384)))</formula>
    </cfRule>
  </conditionalFormatting>
  <conditionalFormatting sqref="E6385 E6390">
    <cfRule type="containsText" dxfId="3610" priority="5772" operator="containsText" text="Pesquisa de Preços">
      <formula>NOT(ISERROR(SEARCH("Pesquisa de Preços",E6385)))</formula>
    </cfRule>
  </conditionalFormatting>
  <conditionalFormatting sqref="D6396">
    <cfRule type="containsText" dxfId="3609" priority="5769" operator="containsText" text="Pesquisa de Preços">
      <formula>NOT(ISERROR(SEARCH("Pesquisa de Preços",D6396)))</formula>
    </cfRule>
  </conditionalFormatting>
  <conditionalFormatting sqref="D6391">
    <cfRule type="containsText" dxfId="3608" priority="5768" operator="containsText" text="Pesquisa de Preços">
      <formula>NOT(ISERROR(SEARCH("Pesquisa de Preços",D6391)))</formula>
    </cfRule>
  </conditionalFormatting>
  <conditionalFormatting sqref="E6391">
    <cfRule type="containsText" dxfId="3607" priority="5765" operator="containsText" text="Pesquisa de Preços">
      <formula>NOT(ISERROR(SEARCH("Pesquisa de Preços",E6391)))</formula>
    </cfRule>
  </conditionalFormatting>
  <conditionalFormatting sqref="E6392 E6396">
    <cfRule type="containsText" dxfId="3606" priority="5766" operator="containsText" text="Pesquisa de Preços">
      <formula>NOT(ISERROR(SEARCH("Pesquisa de Preços",E6392)))</formula>
    </cfRule>
  </conditionalFormatting>
  <conditionalFormatting sqref="E6379:E6380">
    <cfRule type="containsText" dxfId="3603" priority="5753" operator="containsText" text="Pesquisa de Preços">
      <formula>NOT(ISERROR(SEARCH("Pesquisa de Preços",E6379)))</formula>
    </cfRule>
  </conditionalFormatting>
  <conditionalFormatting sqref="D6371">
    <cfRule type="containsText" dxfId="3602" priority="5752" operator="containsText" text="Pesquisa de Preços">
      <formula>NOT(ISERROR(SEARCH("Pesquisa de Preços",D6371)))</formula>
    </cfRule>
  </conditionalFormatting>
  <conditionalFormatting sqref="D6186">
    <cfRule type="containsText" dxfId="3601" priority="5744" operator="containsText" text="Pesquisa de Preços">
      <formula>NOT(ISERROR(SEARCH("Pesquisa de Preços",D6186)))</formula>
    </cfRule>
  </conditionalFormatting>
  <conditionalFormatting sqref="D6180">
    <cfRule type="containsText" dxfId="3598" priority="5741" operator="containsText" text="Pesquisa de Preços">
      <formula>NOT(ISERROR(SEARCH("Pesquisa de Preços",D6180)))</formula>
    </cfRule>
  </conditionalFormatting>
  <conditionalFormatting sqref="D6168">
    <cfRule type="containsText" dxfId="3595" priority="5737" operator="containsText" text="Pesquisa de Preços">
      <formula>NOT(ISERROR(SEARCH("Pesquisa de Preços",D6168)))</formula>
    </cfRule>
  </conditionalFormatting>
  <conditionalFormatting sqref="D6158">
    <cfRule type="containsText" dxfId="3592" priority="5734" operator="containsText" text="Pesquisa de Preços">
      <formula>NOT(ISERROR(SEARCH("Pesquisa de Preços",D6158)))</formula>
    </cfRule>
  </conditionalFormatting>
  <conditionalFormatting sqref="D6159">
    <cfRule type="containsText" dxfId="3591" priority="5733" operator="containsText" text="Pesquisa de Preços">
      <formula>NOT(ISERROR(SEARCH("Pesquisa de Preços",D6159)))</formula>
    </cfRule>
  </conditionalFormatting>
  <conditionalFormatting sqref="E6168">
    <cfRule type="containsText" dxfId="3590" priority="5730" operator="containsText" text="Pesquisa de Preços">
      <formula>NOT(ISERROR(SEARCH("Pesquisa de Preços",E6168)))</formula>
    </cfRule>
  </conditionalFormatting>
  <conditionalFormatting sqref="D6179">
    <cfRule type="containsText" dxfId="3585" priority="5710" operator="containsText" text="Pesquisa de Preços">
      <formula>NOT(ISERROR(SEARCH("Pesquisa de Preços",D6179)))</formula>
    </cfRule>
  </conditionalFormatting>
  <conditionalFormatting sqref="D6169">
    <cfRule type="containsText" dxfId="3584" priority="5707" operator="containsText" text="Pesquisa de Preços">
      <formula>NOT(ISERROR(SEARCH("Pesquisa de Preços",D6169)))</formula>
    </cfRule>
  </conditionalFormatting>
  <conditionalFormatting sqref="D6170">
    <cfRule type="containsText" dxfId="3583" priority="5706" operator="containsText" text="Pesquisa de Preços">
      <formula>NOT(ISERROR(SEARCH("Pesquisa de Preços",D6170)))</formula>
    </cfRule>
  </conditionalFormatting>
  <conditionalFormatting sqref="E6179">
    <cfRule type="containsText" dxfId="3582" priority="5703" operator="containsText" text="Pesquisa de Preços">
      <formula>NOT(ISERROR(SEARCH("Pesquisa de Preços",E6179)))</formula>
    </cfRule>
  </conditionalFormatting>
  <conditionalFormatting sqref="D6191">
    <cfRule type="containsText" dxfId="3573" priority="5669" operator="containsText" text="Pesquisa de Preços">
      <formula>NOT(ISERROR(SEARCH("Pesquisa de Preços",D6191)))</formula>
    </cfRule>
  </conditionalFormatting>
  <conditionalFormatting sqref="D6187">
    <cfRule type="containsText" dxfId="3570" priority="5667" operator="containsText" text="Pesquisa de Preços">
      <formula>NOT(ISERROR(SEARCH("Pesquisa de Preços",D6187)))</formula>
    </cfRule>
  </conditionalFormatting>
  <conditionalFormatting sqref="D6196">
    <cfRule type="containsText" dxfId="3565" priority="5659" operator="containsText" text="Pesquisa de Preços">
      <formula>NOT(ISERROR(SEARCH("Pesquisa de Preços",D6196)))</formula>
    </cfRule>
  </conditionalFormatting>
  <conditionalFormatting sqref="D6192">
    <cfRule type="containsText" dxfId="3562" priority="5658" operator="containsText" text="Pesquisa de Preços">
      <formula>NOT(ISERROR(SEARCH("Pesquisa de Preços",D6192)))</formula>
    </cfRule>
  </conditionalFormatting>
  <conditionalFormatting sqref="D6212">
    <cfRule type="containsText" dxfId="3555" priority="5648" operator="containsText" text="Pesquisa de Preços">
      <formula>NOT(ISERROR(SEARCH("Pesquisa de Preços",D6212)))</formula>
    </cfRule>
  </conditionalFormatting>
  <conditionalFormatting sqref="D6205">
    <cfRule type="containsText" dxfId="3552" priority="5646" operator="containsText" text="Pesquisa de Preços">
      <formula>NOT(ISERROR(SEARCH("Pesquisa de Preços",D6205)))</formula>
    </cfRule>
  </conditionalFormatting>
  <conditionalFormatting sqref="D6201:D6203">
    <cfRule type="containsText" dxfId="3549" priority="5642" operator="containsText" text="Pesquisa de Preços">
      <formula>NOT(ISERROR(SEARCH("Pesquisa de Preços",D6201)))</formula>
    </cfRule>
  </conditionalFormatting>
  <conditionalFormatting sqref="D6204">
    <cfRule type="containsText" dxfId="3548" priority="5637" operator="containsText" text="Pesquisa de Preços">
      <formula>NOT(ISERROR(SEARCH("Pesquisa de Preços",D6204)))</formula>
    </cfRule>
  </conditionalFormatting>
  <conditionalFormatting sqref="D6197">
    <cfRule type="containsText" dxfId="3545" priority="5635" operator="containsText" text="Pesquisa de Preços">
      <formula>NOT(ISERROR(SEARCH("Pesquisa de Preços",D6197)))</formula>
    </cfRule>
  </conditionalFormatting>
  <conditionalFormatting sqref="D6221">
    <cfRule type="containsText" dxfId="3540" priority="5612" operator="containsText" text="Pesquisa de Preços">
      <formula>NOT(ISERROR(SEARCH("Pesquisa de Preços",D6221)))</formula>
    </cfRule>
  </conditionalFormatting>
  <conditionalFormatting sqref="D6213">
    <cfRule type="containsText" dxfId="3537" priority="5623" operator="containsText" text="Pesquisa de Preços">
      <formula>NOT(ISERROR(SEARCH("Pesquisa de Preços",D6213)))</formula>
    </cfRule>
  </conditionalFormatting>
  <conditionalFormatting sqref="D6228">
    <cfRule type="containsText" dxfId="3526" priority="5598" operator="containsText" text="Pesquisa de Preços">
      <formula>NOT(ISERROR(SEARCH("Pesquisa de Preços",D6228)))</formula>
    </cfRule>
  </conditionalFormatting>
  <conditionalFormatting sqref="D6222">
    <cfRule type="containsText" dxfId="3523" priority="5596" operator="containsText" text="Pesquisa de Preços">
      <formula>NOT(ISERROR(SEARCH("Pesquisa de Preços",D6222)))</formula>
    </cfRule>
  </conditionalFormatting>
  <conditionalFormatting sqref="D6234">
    <cfRule type="containsText" dxfId="3516" priority="5585" operator="containsText" text="Pesquisa de Preços">
      <formula>NOT(ISERROR(SEARCH("Pesquisa de Preços",D6234)))</formula>
    </cfRule>
  </conditionalFormatting>
  <conditionalFormatting sqref="D6229">
    <cfRule type="containsText" dxfId="3513" priority="5583" operator="containsText" text="Pesquisa de Preços">
      <formula>NOT(ISERROR(SEARCH("Pesquisa de Preços",D6229)))</formula>
    </cfRule>
  </conditionalFormatting>
  <conditionalFormatting sqref="D6241">
    <cfRule type="containsText" dxfId="3504" priority="5567" operator="containsText" text="Pesquisa de Preços">
      <formula>NOT(ISERROR(SEARCH("Pesquisa de Preços",D6241)))</formula>
    </cfRule>
  </conditionalFormatting>
  <conditionalFormatting sqref="D6235">
    <cfRule type="containsText" dxfId="3501" priority="5565" operator="containsText" text="Pesquisa de Preços">
      <formula>NOT(ISERROR(SEARCH("Pesquisa de Preços",D6235)))</formula>
    </cfRule>
  </conditionalFormatting>
  <conditionalFormatting sqref="D6247">
    <cfRule type="containsText" dxfId="3496" priority="5552" operator="containsText" text="Pesquisa de Preços">
      <formula>NOT(ISERROR(SEARCH("Pesquisa de Preços",D6247)))</formula>
    </cfRule>
  </conditionalFormatting>
  <conditionalFormatting sqref="D6242">
    <cfRule type="containsText" dxfId="3493" priority="5549" operator="containsText" text="Pesquisa de Preços">
      <formula>NOT(ISERROR(SEARCH("Pesquisa de Preços",D6242)))</formula>
    </cfRule>
  </conditionalFormatting>
  <conditionalFormatting sqref="E1218:E1219">
    <cfRule type="containsText" dxfId="3484" priority="5533" operator="containsText" text="Pesquisa de Preços">
      <formula>NOT(ISERROR(SEARCH("Pesquisa de Preços",E1218)))</formula>
    </cfRule>
  </conditionalFormatting>
  <conditionalFormatting sqref="E1217">
    <cfRule type="containsText" dxfId="3483" priority="5532" operator="containsText" text="Pesquisa de Preços">
      <formula>NOT(ISERROR(SEARCH("Pesquisa de Preços",E1217)))</formula>
    </cfRule>
  </conditionalFormatting>
  <conditionalFormatting sqref="D1223">
    <cfRule type="containsText" dxfId="3482" priority="5531" operator="containsText" text="Pesquisa de Preços">
      <formula>NOT(ISERROR(SEARCH("Pesquisa de Preços",D1223)))</formula>
    </cfRule>
  </conditionalFormatting>
  <conditionalFormatting sqref="D1224:D1225">
    <cfRule type="containsText" dxfId="3481" priority="5530" operator="containsText" text="Pesquisa de Preços">
      <formula>NOT(ISERROR(SEARCH("Pesquisa de Preços",D1224)))</formula>
    </cfRule>
  </conditionalFormatting>
  <conditionalFormatting sqref="E1224:E1225">
    <cfRule type="containsText" dxfId="3480" priority="5529" operator="containsText" text="Pesquisa de Preços">
      <formula>NOT(ISERROR(SEARCH("Pesquisa de Preços",E1224)))</formula>
    </cfRule>
  </conditionalFormatting>
  <conditionalFormatting sqref="E1223">
    <cfRule type="containsText" dxfId="3479" priority="5528" operator="containsText" text="Pesquisa de Preços">
      <formula>NOT(ISERROR(SEARCH("Pesquisa de Preços",E1223)))</formula>
    </cfRule>
  </conditionalFormatting>
  <conditionalFormatting sqref="E1953">
    <cfRule type="containsText" dxfId="3478" priority="5526" operator="containsText" text="Pesquisa de Preços">
      <formula>NOT(ISERROR(SEARCH("Pesquisa de Preços",E1953)))</formula>
    </cfRule>
  </conditionalFormatting>
  <conditionalFormatting sqref="E1954">
    <cfRule type="containsText" dxfId="3477" priority="5525" operator="containsText" text="Pesquisa de Preços">
      <formula>NOT(ISERROR(SEARCH("Pesquisa de Preços",E1954)))</formula>
    </cfRule>
  </conditionalFormatting>
  <conditionalFormatting sqref="E1955">
    <cfRule type="containsText" dxfId="3476" priority="5524" operator="containsText" text="Pesquisa de Preços">
      <formula>NOT(ISERROR(SEARCH("Pesquisa de Preços",E1955)))</formula>
    </cfRule>
  </conditionalFormatting>
  <conditionalFormatting sqref="E1961">
    <cfRule type="containsText" dxfId="3475" priority="5523" operator="containsText" text="Pesquisa de Preços">
      <formula>NOT(ISERROR(SEARCH("Pesquisa de Preços",E1961)))</formula>
    </cfRule>
  </conditionalFormatting>
  <conditionalFormatting sqref="E1962">
    <cfRule type="containsText" dxfId="3474" priority="5522" operator="containsText" text="Pesquisa de Preços">
      <formula>NOT(ISERROR(SEARCH("Pesquisa de Preços",E1962)))</formula>
    </cfRule>
  </conditionalFormatting>
  <conditionalFormatting sqref="E1963">
    <cfRule type="containsText" dxfId="3473" priority="5521" operator="containsText" text="Pesquisa de Preços">
      <formula>NOT(ISERROR(SEARCH("Pesquisa de Preços",E1963)))</formula>
    </cfRule>
  </conditionalFormatting>
  <conditionalFormatting sqref="E1979">
    <cfRule type="containsText" dxfId="3472" priority="5520" operator="containsText" text="Pesquisa de Preços">
      <formula>NOT(ISERROR(SEARCH("Pesquisa de Preços",E1979)))</formula>
    </cfRule>
  </conditionalFormatting>
  <conditionalFormatting sqref="E1986">
    <cfRule type="containsText" dxfId="3471" priority="5519" operator="containsText" text="Pesquisa de Preços">
      <formula>NOT(ISERROR(SEARCH("Pesquisa de Preços",E1986)))</formula>
    </cfRule>
  </conditionalFormatting>
  <conditionalFormatting sqref="E1993">
    <cfRule type="containsText" dxfId="3470" priority="5518" operator="containsText" text="Pesquisa de Preços">
      <formula>NOT(ISERROR(SEARCH("Pesquisa de Preços",E1993)))</formula>
    </cfRule>
  </conditionalFormatting>
  <conditionalFormatting sqref="E1305">
    <cfRule type="containsText" dxfId="3467" priority="5513" operator="containsText" text="Pesquisa de Preços">
      <formula>NOT(ISERROR(SEARCH("Pesquisa de Preços",E1305)))</formula>
    </cfRule>
  </conditionalFormatting>
  <conditionalFormatting sqref="E1304">
    <cfRule type="containsText" dxfId="3466" priority="5512" operator="containsText" text="Pesquisa de Preços">
      <formula>NOT(ISERROR(SEARCH("Pesquisa de Preços",E1304)))</formula>
    </cfRule>
  </conditionalFormatting>
  <conditionalFormatting sqref="E4885">
    <cfRule type="containsText" dxfId="3431" priority="5473" operator="containsText" text="Pesquisa de Preços">
      <formula>NOT(ISERROR(SEARCH("Pesquisa de Preços",E4885)))</formula>
    </cfRule>
  </conditionalFormatting>
  <conditionalFormatting sqref="E4954">
    <cfRule type="containsText" dxfId="3428" priority="5470" operator="containsText" text="Pesquisa de Preços">
      <formula>NOT(ISERROR(SEARCH("Pesquisa de Preços",E4954)))</formula>
    </cfRule>
  </conditionalFormatting>
  <conditionalFormatting sqref="E5033">
    <cfRule type="containsText" dxfId="3425" priority="5464" operator="containsText" text="Pesquisa de Preços">
      <formula>NOT(ISERROR(SEARCH("Pesquisa de Preços",E5033)))</formula>
    </cfRule>
  </conditionalFormatting>
  <conditionalFormatting sqref="E5033">
    <cfRule type="containsText" dxfId="3424" priority="5466" operator="containsText" text="Pesquisa de Preços">
      <formula>NOT(ISERROR(SEARCH("Pesquisa de Preços",E5033)))</formula>
    </cfRule>
  </conditionalFormatting>
  <conditionalFormatting sqref="E872:E873">
    <cfRule type="containsText" dxfId="3423" priority="5463" operator="containsText" text="Pesquisa de Preços">
      <formula>NOT(ISERROR(SEARCH("Pesquisa de Preços",E872)))</formula>
    </cfRule>
  </conditionalFormatting>
  <conditionalFormatting sqref="E879:E880">
    <cfRule type="containsText" dxfId="3420" priority="5457" operator="containsText" text="Pesquisa de Preços">
      <formula>NOT(ISERROR(SEARCH("Pesquisa de Preços",E879)))</formula>
    </cfRule>
  </conditionalFormatting>
  <conditionalFormatting sqref="D6422">
    <cfRule type="containsText" dxfId="3415" priority="5447" operator="containsText" text="Pesquisa de Preços">
      <formula>NOT(ISERROR(SEARCH("Pesquisa de Preços",D6422)))</formula>
    </cfRule>
  </conditionalFormatting>
  <conditionalFormatting sqref="D6425">
    <cfRule type="containsText" dxfId="3414" priority="5449" operator="containsText" text="Pesquisa de Preços">
      <formula>NOT(ISERROR(SEARCH("Pesquisa de Preços",D6425)))</formula>
    </cfRule>
  </conditionalFormatting>
  <conditionalFormatting sqref="D6421">
    <cfRule type="containsText" dxfId="3413" priority="5448" operator="containsText" text="Pesquisa de Preços">
      <formula>NOT(ISERROR(SEARCH("Pesquisa de Preços",D6421)))</formula>
    </cfRule>
  </conditionalFormatting>
  <conditionalFormatting sqref="E6421">
    <cfRule type="containsText" dxfId="3412" priority="5445" operator="containsText" text="Pesquisa de Preços">
      <formula>NOT(ISERROR(SEARCH("Pesquisa de Preços",E6421)))</formula>
    </cfRule>
  </conditionalFormatting>
  <conditionalFormatting sqref="E6422 E6425">
    <cfRule type="containsText" dxfId="3411" priority="5446" operator="containsText" text="Pesquisa de Preços">
      <formula>NOT(ISERROR(SEARCH("Pesquisa de Preços",E6422)))</formula>
    </cfRule>
  </conditionalFormatting>
  <conditionalFormatting sqref="D6427">
    <cfRule type="containsText" dxfId="3410" priority="5438" operator="containsText" text="Pesquisa de Preços">
      <formula>NOT(ISERROR(SEARCH("Pesquisa de Preços",D6427)))</formula>
    </cfRule>
  </conditionalFormatting>
  <conditionalFormatting sqref="E6428">
    <cfRule type="containsText" dxfId="3409" priority="5435" operator="containsText" text="Pesquisa de Preços">
      <formula>NOT(ISERROR(SEARCH("Pesquisa de Preços",E6428)))</formula>
    </cfRule>
  </conditionalFormatting>
  <conditionalFormatting sqref="D6430">
    <cfRule type="containsText" dxfId="3408" priority="5440" operator="containsText" text="Pesquisa de Preços">
      <formula>NOT(ISERROR(SEARCH("Pesquisa de Preços",D6430)))</formula>
    </cfRule>
  </conditionalFormatting>
  <conditionalFormatting sqref="D6426">
    <cfRule type="containsText" dxfId="3407" priority="5439" operator="containsText" text="Pesquisa de Preços">
      <formula>NOT(ISERROR(SEARCH("Pesquisa de Preços",D6426)))</formula>
    </cfRule>
  </conditionalFormatting>
  <conditionalFormatting sqref="E6426">
    <cfRule type="containsText" dxfId="3406" priority="5436" operator="containsText" text="Pesquisa de Preços">
      <formula>NOT(ISERROR(SEARCH("Pesquisa de Preços",E6426)))</formula>
    </cfRule>
  </conditionalFormatting>
  <conditionalFormatting sqref="E6427 E6430">
    <cfRule type="containsText" dxfId="3405" priority="5437" operator="containsText" text="Pesquisa de Preços">
      <formula>NOT(ISERROR(SEARCH("Pesquisa de Preços",E6427)))</formula>
    </cfRule>
  </conditionalFormatting>
  <conditionalFormatting sqref="D6398">
    <cfRule type="containsText" dxfId="3396" priority="5421" operator="containsText" text="Pesquisa de Preços">
      <formula>NOT(ISERROR(SEARCH("Pesquisa de Preços",D6398)))</formula>
    </cfRule>
  </conditionalFormatting>
  <conditionalFormatting sqref="E6399">
    <cfRule type="containsText" dxfId="3395" priority="5418" operator="containsText" text="Pesquisa de Preços">
      <formula>NOT(ISERROR(SEARCH("Pesquisa de Preços",E6399)))</formula>
    </cfRule>
  </conditionalFormatting>
  <conditionalFormatting sqref="D6403">
    <cfRule type="containsText" dxfId="3394" priority="5425" operator="containsText" text="Pesquisa de Preços">
      <formula>NOT(ISERROR(SEARCH("Pesquisa de Preços",D6403)))</formula>
    </cfRule>
  </conditionalFormatting>
  <conditionalFormatting sqref="D6397">
    <cfRule type="containsText" dxfId="3393" priority="5422" operator="containsText" text="Pesquisa de Preços">
      <formula>NOT(ISERROR(SEARCH("Pesquisa de Preços",D6397)))</formula>
    </cfRule>
  </conditionalFormatting>
  <conditionalFormatting sqref="E6397">
    <cfRule type="containsText" dxfId="3392" priority="5419" operator="containsText" text="Pesquisa de Preços">
      <formula>NOT(ISERROR(SEARCH("Pesquisa de Preços",E6397)))</formula>
    </cfRule>
  </conditionalFormatting>
  <conditionalFormatting sqref="E6398 E6403">
    <cfRule type="containsText" dxfId="3391" priority="5420" operator="containsText" text="Pesquisa de Preços">
      <formula>NOT(ISERROR(SEARCH("Pesquisa de Preços",E6398)))</formula>
    </cfRule>
  </conditionalFormatting>
  <conditionalFormatting sqref="D6405">
    <cfRule type="containsText" dxfId="3384" priority="5408" operator="containsText" text="Pesquisa de Preços">
      <formula>NOT(ISERROR(SEARCH("Pesquisa de Preços",D6405)))</formula>
    </cfRule>
  </conditionalFormatting>
  <conditionalFormatting sqref="D6407">
    <cfRule type="containsText" dxfId="3383" priority="5410" operator="containsText" text="Pesquisa de Preços">
      <formula>NOT(ISERROR(SEARCH("Pesquisa de Preços",D6407)))</formula>
    </cfRule>
  </conditionalFormatting>
  <conditionalFormatting sqref="D6404">
    <cfRule type="containsText" dxfId="3382" priority="5409" operator="containsText" text="Pesquisa de Preços">
      <formula>NOT(ISERROR(SEARCH("Pesquisa de Preços",D6404)))</formula>
    </cfRule>
  </conditionalFormatting>
  <conditionalFormatting sqref="E6404">
    <cfRule type="containsText" dxfId="3381" priority="5406" operator="containsText" text="Pesquisa de Preços">
      <formula>NOT(ISERROR(SEARCH("Pesquisa de Preços",E6404)))</formula>
    </cfRule>
  </conditionalFormatting>
  <conditionalFormatting sqref="E6405 E6407">
    <cfRule type="containsText" dxfId="3380" priority="5407" operator="containsText" text="Pesquisa de Preços">
      <formula>NOT(ISERROR(SEARCH("Pesquisa de Preços",E6405)))</formula>
    </cfRule>
  </conditionalFormatting>
  <conditionalFormatting sqref="D6409">
    <cfRule type="containsText" dxfId="3377" priority="5394" operator="containsText" text="Pesquisa de Preços">
      <formula>NOT(ISERROR(SEARCH("Pesquisa de Preços",D6409)))</formula>
    </cfRule>
  </conditionalFormatting>
  <conditionalFormatting sqref="D6412">
    <cfRule type="containsText" dxfId="3376" priority="5396" operator="containsText" text="Pesquisa de Preços">
      <formula>NOT(ISERROR(SEARCH("Pesquisa de Preços",D6412)))</formula>
    </cfRule>
  </conditionalFormatting>
  <conditionalFormatting sqref="D6408">
    <cfRule type="containsText" dxfId="3375" priority="5395" operator="containsText" text="Pesquisa de Preços">
      <formula>NOT(ISERROR(SEARCH("Pesquisa de Preços",D6408)))</formula>
    </cfRule>
  </conditionalFormatting>
  <conditionalFormatting sqref="E6408">
    <cfRule type="containsText" dxfId="3374" priority="5392" operator="containsText" text="Pesquisa de Preços">
      <formula>NOT(ISERROR(SEARCH("Pesquisa de Preços",E6408)))</formula>
    </cfRule>
  </conditionalFormatting>
  <conditionalFormatting sqref="E6409 E6412">
    <cfRule type="containsText" dxfId="3373" priority="5393" operator="containsText" text="Pesquisa de Preços">
      <formula>NOT(ISERROR(SEARCH("Pesquisa de Preços",E6409)))</formula>
    </cfRule>
  </conditionalFormatting>
  <conditionalFormatting sqref="E6417">
    <cfRule type="containsText" dxfId="3372" priority="5363" operator="containsText" text="Pesquisa de Preços">
      <formula>NOT(ISERROR(SEARCH("Pesquisa de Preços",E6417)))</formula>
    </cfRule>
  </conditionalFormatting>
  <conditionalFormatting sqref="D6414">
    <cfRule type="containsText" dxfId="3365" priority="5375" operator="containsText" text="Pesquisa de Preços">
      <formula>NOT(ISERROR(SEARCH("Pesquisa de Preços",D6414)))</formula>
    </cfRule>
  </conditionalFormatting>
  <conditionalFormatting sqref="D6416">
    <cfRule type="containsText" dxfId="3364" priority="5377" operator="containsText" text="Pesquisa de Preços">
      <formula>NOT(ISERROR(SEARCH("Pesquisa de Preços",D6416)))</formula>
    </cfRule>
  </conditionalFormatting>
  <conditionalFormatting sqref="D6413">
    <cfRule type="containsText" dxfId="3363" priority="5376" operator="containsText" text="Pesquisa de Preços">
      <formula>NOT(ISERROR(SEARCH("Pesquisa de Preços",D6413)))</formula>
    </cfRule>
  </conditionalFormatting>
  <conditionalFormatting sqref="E6413">
    <cfRule type="containsText" dxfId="3362" priority="5373" operator="containsText" text="Pesquisa de Preços">
      <formula>NOT(ISERROR(SEARCH("Pesquisa de Preços",E6413)))</formula>
    </cfRule>
  </conditionalFormatting>
  <conditionalFormatting sqref="E6414 E6416">
    <cfRule type="containsText" dxfId="3361" priority="5374" operator="containsText" text="Pesquisa de Preços">
      <formula>NOT(ISERROR(SEARCH("Pesquisa de Preços",E6414)))</formula>
    </cfRule>
  </conditionalFormatting>
  <conditionalFormatting sqref="D6418">
    <cfRule type="containsText" dxfId="3358" priority="5365" operator="containsText" text="Pesquisa de Preços">
      <formula>NOT(ISERROR(SEARCH("Pesquisa de Preços",D6418)))</formula>
    </cfRule>
  </conditionalFormatting>
  <conditionalFormatting sqref="D6420">
    <cfRule type="containsText" dxfId="3357" priority="5367" operator="containsText" text="Pesquisa de Preços">
      <formula>NOT(ISERROR(SEARCH("Pesquisa de Preços",D6420)))</formula>
    </cfRule>
  </conditionalFormatting>
  <conditionalFormatting sqref="D6417">
    <cfRule type="containsText" dxfId="3356" priority="5366" operator="containsText" text="Pesquisa de Preços">
      <formula>NOT(ISERROR(SEARCH("Pesquisa de Preços",D6417)))</formula>
    </cfRule>
  </conditionalFormatting>
  <conditionalFormatting sqref="E6418 E6420">
    <cfRule type="containsText" dxfId="3355" priority="5364" operator="containsText" text="Pesquisa de Preços">
      <formula>NOT(ISERROR(SEARCH("Pesquisa de Preços",E6418)))</formula>
    </cfRule>
  </conditionalFormatting>
  <conditionalFormatting sqref="D1361">
    <cfRule type="containsText" dxfId="3350" priority="5355" operator="containsText" text="Pesquisa de Preços">
      <formula>NOT(ISERROR(SEARCH("Pesquisa de Preços",D1361)))</formula>
    </cfRule>
  </conditionalFormatting>
  <conditionalFormatting sqref="D1362">
    <cfRule type="containsText" dxfId="3347" priority="5352" operator="containsText" text="Pesquisa de Preços">
      <formula>NOT(ISERROR(SEARCH("Pesquisa de Preços",D1362)))</formula>
    </cfRule>
  </conditionalFormatting>
  <conditionalFormatting sqref="D1922">
    <cfRule type="containsText" dxfId="3346" priority="5348" operator="containsText" text="Pesquisa de Preços">
      <formula>NOT(ISERROR(SEARCH("Pesquisa de Preços",D1922)))</formula>
    </cfRule>
  </conditionalFormatting>
  <conditionalFormatting sqref="E1922">
    <cfRule type="containsText" dxfId="3343" priority="5347" operator="containsText" text="Pesquisa de Preços">
      <formula>NOT(ISERROR(SEARCH("Pesquisa de Preços",E1922)))</formula>
    </cfRule>
  </conditionalFormatting>
  <conditionalFormatting sqref="D1921">
    <cfRule type="containsText" dxfId="3342" priority="5346" operator="containsText" text="Pesquisa de Preços">
      <formula>NOT(ISERROR(SEARCH("Pesquisa de Preços",D1921)))</formula>
    </cfRule>
  </conditionalFormatting>
  <conditionalFormatting sqref="E1921">
    <cfRule type="containsText" dxfId="3341" priority="5345" operator="containsText" text="Pesquisa de Preços">
      <formula>NOT(ISERROR(SEARCH("Pesquisa de Preços",E1921)))</formula>
    </cfRule>
  </conditionalFormatting>
  <conditionalFormatting sqref="D2200">
    <cfRule type="containsText" dxfId="3340" priority="5341" operator="containsText" text="Pesquisa de Preços">
      <formula>NOT(ISERROR(SEARCH("Pesquisa de Preços",D2200)))</formula>
    </cfRule>
  </conditionalFormatting>
  <conditionalFormatting sqref="E2206">
    <cfRule type="containsText" dxfId="3339" priority="5339" operator="containsText" text="Pesquisa de Preços">
      <formula>NOT(ISERROR(SEARCH("Pesquisa de Preços",E2206)))</formula>
    </cfRule>
  </conditionalFormatting>
  <conditionalFormatting sqref="D6447">
    <cfRule type="containsText" dxfId="3334" priority="5330" operator="containsText" text="Pesquisa de Preços">
      <formula>NOT(ISERROR(SEARCH("Pesquisa de Preços",D6447)))</formula>
    </cfRule>
  </conditionalFormatting>
  <conditionalFormatting sqref="D6444">
    <cfRule type="containsText" dxfId="3331" priority="5328" operator="containsText" text="Pesquisa de Preços">
      <formula>NOT(ISERROR(SEARCH("Pesquisa de Preços",D6444)))</formula>
    </cfRule>
  </conditionalFormatting>
  <conditionalFormatting sqref="D6456">
    <cfRule type="containsText" dxfId="3330" priority="5319" operator="containsText" text="Pesquisa de Preços">
      <formula>NOT(ISERROR(SEARCH("Pesquisa de Preços",D6456)))</formula>
    </cfRule>
  </conditionalFormatting>
  <conditionalFormatting sqref="D6443">
    <cfRule type="containsText" dxfId="3329" priority="5329" operator="containsText" text="Pesquisa de Preços">
      <formula>NOT(ISERROR(SEARCH("Pesquisa de Preços",D6443)))</formula>
    </cfRule>
  </conditionalFormatting>
  <conditionalFormatting sqref="E6443">
    <cfRule type="containsText" dxfId="3328" priority="5326" operator="containsText" text="Pesquisa de Preços">
      <formula>NOT(ISERROR(SEARCH("Pesquisa de Preços",E6443)))</formula>
    </cfRule>
  </conditionalFormatting>
  <conditionalFormatting sqref="E6444 E6447">
    <cfRule type="containsText" dxfId="3327" priority="5327" operator="containsText" text="Pesquisa de Preços">
      <formula>NOT(ISERROR(SEARCH("Pesquisa de Preços",E6444)))</formula>
    </cfRule>
  </conditionalFormatting>
  <conditionalFormatting sqref="D6449">
    <cfRule type="containsText" dxfId="3324" priority="5317" operator="containsText" text="Pesquisa de Preços">
      <formula>NOT(ISERROR(SEARCH("Pesquisa de Preços",D6449)))</formula>
    </cfRule>
  </conditionalFormatting>
  <conditionalFormatting sqref="E6450">
    <cfRule type="containsText" dxfId="3323" priority="5314" operator="containsText" text="Pesquisa de Preços">
      <formula>NOT(ISERROR(SEARCH("Pesquisa de Preços",E6450)))</formula>
    </cfRule>
  </conditionalFormatting>
  <conditionalFormatting sqref="D6448">
    <cfRule type="containsText" dxfId="3322" priority="5318" operator="containsText" text="Pesquisa de Preços">
      <formula>NOT(ISERROR(SEARCH("Pesquisa de Preços",D6448)))</formula>
    </cfRule>
  </conditionalFormatting>
  <conditionalFormatting sqref="E6448">
    <cfRule type="containsText" dxfId="3321" priority="5315" operator="containsText" text="Pesquisa de Preços">
      <formula>NOT(ISERROR(SEARCH("Pesquisa de Preços",E6448)))</formula>
    </cfRule>
  </conditionalFormatting>
  <conditionalFormatting sqref="E6449 E6456">
    <cfRule type="containsText" dxfId="3320" priority="5316" operator="containsText" text="Pesquisa de Preços">
      <formula>NOT(ISERROR(SEARCH("Pesquisa de Preços",E6449)))</formula>
    </cfRule>
  </conditionalFormatting>
  <conditionalFormatting sqref="D6458">
    <cfRule type="containsText" dxfId="3311" priority="5300" operator="containsText" text="Pesquisa de Preços">
      <formula>NOT(ISERROR(SEARCH("Pesquisa de Preços",D6458)))</formula>
    </cfRule>
  </conditionalFormatting>
  <conditionalFormatting sqref="E6459">
    <cfRule type="containsText" dxfId="3310" priority="5291" operator="containsText" text="Pesquisa de Preços">
      <formula>NOT(ISERROR(SEARCH("Pesquisa de Preços",E6459)))</formula>
    </cfRule>
  </conditionalFormatting>
  <conditionalFormatting sqref="D6463">
    <cfRule type="containsText" dxfId="3309" priority="5304" operator="containsText" text="Pesquisa de Preços">
      <formula>NOT(ISERROR(SEARCH("Pesquisa de Preços",D6463)))</formula>
    </cfRule>
  </conditionalFormatting>
  <conditionalFormatting sqref="D6457">
    <cfRule type="containsText" dxfId="3308" priority="5301" operator="containsText" text="Pesquisa de Preços">
      <formula>NOT(ISERROR(SEARCH("Pesquisa de Preços",D6457)))</formula>
    </cfRule>
  </conditionalFormatting>
  <conditionalFormatting sqref="E6457">
    <cfRule type="containsText" dxfId="3307" priority="5298" operator="containsText" text="Pesquisa de Preços">
      <formula>NOT(ISERROR(SEARCH("Pesquisa de Preços",E6457)))</formula>
    </cfRule>
  </conditionalFormatting>
  <conditionalFormatting sqref="E6458 E6463">
    <cfRule type="containsText" dxfId="3306" priority="5299" operator="containsText" text="Pesquisa de Preços">
      <formula>NOT(ISERROR(SEARCH("Pesquisa de Preços",E6458)))</formula>
    </cfRule>
  </conditionalFormatting>
  <conditionalFormatting sqref="D6465">
    <cfRule type="containsText" dxfId="3299" priority="5281" operator="containsText" text="Pesquisa de Preços">
      <formula>NOT(ISERROR(SEARCH("Pesquisa de Preços",D6465)))</formula>
    </cfRule>
  </conditionalFormatting>
  <conditionalFormatting sqref="D6470">
    <cfRule type="containsText" dxfId="3298" priority="5285" operator="containsText" text="Pesquisa de Preços">
      <formula>NOT(ISERROR(SEARCH("Pesquisa de Preços",D6470)))</formula>
    </cfRule>
  </conditionalFormatting>
  <conditionalFormatting sqref="D6464">
    <cfRule type="containsText" dxfId="3297" priority="5282" operator="containsText" text="Pesquisa de Preços">
      <formula>NOT(ISERROR(SEARCH("Pesquisa de Preços",D6464)))</formula>
    </cfRule>
  </conditionalFormatting>
  <conditionalFormatting sqref="E6464">
    <cfRule type="containsText" dxfId="3296" priority="5279" operator="containsText" text="Pesquisa de Preços">
      <formula>NOT(ISERROR(SEARCH("Pesquisa de Preços",E6464)))</formula>
    </cfRule>
  </conditionalFormatting>
  <conditionalFormatting sqref="E6465 E6470">
    <cfRule type="containsText" dxfId="3295" priority="5280" operator="containsText" text="Pesquisa de Preços">
      <formula>NOT(ISERROR(SEARCH("Pesquisa de Preços",E6465)))</formula>
    </cfRule>
  </conditionalFormatting>
  <conditionalFormatting sqref="D6472">
    <cfRule type="containsText" dxfId="3292" priority="5267" operator="containsText" text="Pesquisa de Preços">
      <formula>NOT(ISERROR(SEARCH("Pesquisa de Preços",D6472)))</formula>
    </cfRule>
  </conditionalFormatting>
  <conditionalFormatting sqref="D6471">
    <cfRule type="containsText" dxfId="3291" priority="5268" operator="containsText" text="Pesquisa de Preços">
      <formula>NOT(ISERROR(SEARCH("Pesquisa de Preços",D6471)))</formula>
    </cfRule>
  </conditionalFormatting>
  <conditionalFormatting sqref="E6471">
    <cfRule type="containsText" dxfId="3290" priority="5265" operator="containsText" text="Pesquisa de Preços">
      <formula>NOT(ISERROR(SEARCH("Pesquisa de Preços",E6471)))</formula>
    </cfRule>
  </conditionalFormatting>
  <conditionalFormatting sqref="E6472">
    <cfRule type="containsText" dxfId="3289" priority="5266" operator="containsText" text="Pesquisa de Preços">
      <formula>NOT(ISERROR(SEARCH("Pesquisa de Preços",E6472)))</formula>
    </cfRule>
  </conditionalFormatting>
  <conditionalFormatting sqref="E6466">
    <cfRule type="containsText" dxfId="3284" priority="5257" operator="containsText" text="Pesquisa de Preços">
      <formula>NOT(ISERROR(SEARCH("Pesquisa de Preços",E6466)))</formula>
    </cfRule>
  </conditionalFormatting>
  <conditionalFormatting sqref="D6477">
    <cfRule type="containsText" dxfId="3277" priority="5248" operator="containsText" text="Pesquisa de Preços">
      <formula>NOT(ISERROR(SEARCH("Pesquisa de Preços",D6477)))</formula>
    </cfRule>
  </conditionalFormatting>
  <conditionalFormatting sqref="E6477">
    <cfRule type="containsText" dxfId="3276" priority="5245" operator="containsText" text="Pesquisa de Preços">
      <formula>NOT(ISERROR(SEARCH("Pesquisa de Preços",E6477)))</formula>
    </cfRule>
  </conditionalFormatting>
  <conditionalFormatting sqref="D6499">
    <cfRule type="containsText" dxfId="3265" priority="5227" operator="containsText" text="Pesquisa de Preços">
      <formula>NOT(ISERROR(SEARCH("Pesquisa de Preços",D6499)))</formula>
    </cfRule>
  </conditionalFormatting>
  <conditionalFormatting sqref="E6496">
    <cfRule type="containsText" dxfId="3264" priority="5223" operator="containsText" text="Pesquisa de Preços">
      <formula>NOT(ISERROR(SEARCH("Pesquisa de Preços",E6496)))</formula>
    </cfRule>
  </conditionalFormatting>
  <conditionalFormatting sqref="D6497">
    <cfRule type="containsText" dxfId="3261" priority="5225" operator="containsText" text="Pesquisa de Preços">
      <formula>NOT(ISERROR(SEARCH("Pesquisa de Preços",D6497)))</formula>
    </cfRule>
  </conditionalFormatting>
  <conditionalFormatting sqref="D6496">
    <cfRule type="containsText" dxfId="3260" priority="5226" operator="containsText" text="Pesquisa de Preços">
      <formula>NOT(ISERROR(SEARCH("Pesquisa de Preços",D6496)))</formula>
    </cfRule>
  </conditionalFormatting>
  <conditionalFormatting sqref="E6497 E6499">
    <cfRule type="containsText" dxfId="3259" priority="5224" operator="containsText" text="Pesquisa de Preços">
      <formula>NOT(ISERROR(SEARCH("Pesquisa de Preços",E6497)))</formula>
    </cfRule>
  </conditionalFormatting>
  <conditionalFormatting sqref="D6503">
    <cfRule type="containsText" dxfId="3258" priority="5217" operator="containsText" text="Pesquisa de Preços">
      <formula>NOT(ISERROR(SEARCH("Pesquisa de Preços",D6503)))</formula>
    </cfRule>
  </conditionalFormatting>
  <conditionalFormatting sqref="E6500">
    <cfRule type="containsText" dxfId="3257" priority="5213" operator="containsText" text="Pesquisa de Preços">
      <formula>NOT(ISERROR(SEARCH("Pesquisa de Preços",E6500)))</formula>
    </cfRule>
  </conditionalFormatting>
  <conditionalFormatting sqref="D6501">
    <cfRule type="containsText" dxfId="3256" priority="5215" operator="containsText" text="Pesquisa de Preços">
      <formula>NOT(ISERROR(SEARCH("Pesquisa de Preços",D6501)))</formula>
    </cfRule>
  </conditionalFormatting>
  <conditionalFormatting sqref="D6500">
    <cfRule type="containsText" dxfId="3255" priority="5216" operator="containsText" text="Pesquisa de Preços">
      <formula>NOT(ISERROR(SEARCH("Pesquisa de Preços",D6500)))</formula>
    </cfRule>
  </conditionalFormatting>
  <conditionalFormatting sqref="E6501 E6503">
    <cfRule type="containsText" dxfId="3254" priority="5214" operator="containsText" text="Pesquisa de Preços">
      <formula>NOT(ISERROR(SEARCH("Pesquisa de Preços",E6501)))</formula>
    </cfRule>
  </conditionalFormatting>
  <conditionalFormatting sqref="D6507">
    <cfRule type="containsText" dxfId="3253" priority="5207" operator="containsText" text="Pesquisa de Preços">
      <formula>NOT(ISERROR(SEARCH("Pesquisa de Preços",D6507)))</formula>
    </cfRule>
  </conditionalFormatting>
  <conditionalFormatting sqref="E6504">
    <cfRule type="containsText" dxfId="3252" priority="5203" operator="containsText" text="Pesquisa de Preços">
      <formula>NOT(ISERROR(SEARCH("Pesquisa de Preços",E6504)))</formula>
    </cfRule>
  </conditionalFormatting>
  <conditionalFormatting sqref="D6505">
    <cfRule type="containsText" dxfId="3251" priority="5205" operator="containsText" text="Pesquisa de Preços">
      <formula>NOT(ISERROR(SEARCH("Pesquisa de Preços",D6505)))</formula>
    </cfRule>
  </conditionalFormatting>
  <conditionalFormatting sqref="D6504">
    <cfRule type="containsText" dxfId="3250" priority="5206" operator="containsText" text="Pesquisa de Preços">
      <formula>NOT(ISERROR(SEARCH("Pesquisa de Preços",D6504)))</formula>
    </cfRule>
  </conditionalFormatting>
  <conditionalFormatting sqref="E6505 E6507">
    <cfRule type="containsText" dxfId="3249" priority="5204" operator="containsText" text="Pesquisa de Preços">
      <formula>NOT(ISERROR(SEARCH("Pesquisa de Preços",E6505)))</formula>
    </cfRule>
  </conditionalFormatting>
  <conditionalFormatting sqref="D6511">
    <cfRule type="containsText" dxfId="3248" priority="5177" operator="containsText" text="Pesquisa de Preços">
      <formula>NOT(ISERROR(SEARCH("Pesquisa de Preços",D6511)))</formula>
    </cfRule>
  </conditionalFormatting>
  <conditionalFormatting sqref="E6508">
    <cfRule type="containsText" dxfId="3247" priority="5173" operator="containsText" text="Pesquisa de Preços">
      <formula>NOT(ISERROR(SEARCH("Pesquisa de Preços",E6508)))</formula>
    </cfRule>
  </conditionalFormatting>
  <conditionalFormatting sqref="D6509">
    <cfRule type="containsText" dxfId="3246" priority="5175" operator="containsText" text="Pesquisa de Preços">
      <formula>NOT(ISERROR(SEARCH("Pesquisa de Preços",D6509)))</formula>
    </cfRule>
  </conditionalFormatting>
  <conditionalFormatting sqref="D6508">
    <cfRule type="containsText" dxfId="3245" priority="5176" operator="containsText" text="Pesquisa de Preços">
      <formula>NOT(ISERROR(SEARCH("Pesquisa de Preços",D6508)))</formula>
    </cfRule>
  </conditionalFormatting>
  <conditionalFormatting sqref="E6509 E6511">
    <cfRule type="containsText" dxfId="3244" priority="5174" operator="containsText" text="Pesquisa de Preços">
      <formula>NOT(ISERROR(SEARCH("Pesquisa de Preços",E6509)))</formula>
    </cfRule>
  </conditionalFormatting>
  <conditionalFormatting sqref="D6515">
    <cfRule type="containsText" dxfId="3243" priority="5167" operator="containsText" text="Pesquisa de Preços">
      <formula>NOT(ISERROR(SEARCH("Pesquisa de Preços",D6515)))</formula>
    </cfRule>
  </conditionalFormatting>
  <conditionalFormatting sqref="E6512">
    <cfRule type="containsText" dxfId="3242" priority="5163" operator="containsText" text="Pesquisa de Preços">
      <formula>NOT(ISERROR(SEARCH("Pesquisa de Preços",E6512)))</formula>
    </cfRule>
  </conditionalFormatting>
  <conditionalFormatting sqref="D6513">
    <cfRule type="containsText" dxfId="3241" priority="5165" operator="containsText" text="Pesquisa de Preços">
      <formula>NOT(ISERROR(SEARCH("Pesquisa de Preços",D6513)))</formula>
    </cfRule>
  </conditionalFormatting>
  <conditionalFormatting sqref="D6512">
    <cfRule type="containsText" dxfId="3240" priority="5166" operator="containsText" text="Pesquisa de Preços">
      <formula>NOT(ISERROR(SEARCH("Pesquisa de Preços",D6512)))</formula>
    </cfRule>
  </conditionalFormatting>
  <conditionalFormatting sqref="E6513 E6515">
    <cfRule type="containsText" dxfId="3239" priority="5164" operator="containsText" text="Pesquisa de Preços">
      <formula>NOT(ISERROR(SEARCH("Pesquisa de Preços",E6513)))</formula>
    </cfRule>
  </conditionalFormatting>
  <conditionalFormatting sqref="D6519">
    <cfRule type="containsText" dxfId="3238" priority="5157" operator="containsText" text="Pesquisa de Preços">
      <formula>NOT(ISERROR(SEARCH("Pesquisa de Preços",D6519)))</formula>
    </cfRule>
  </conditionalFormatting>
  <conditionalFormatting sqref="E6516">
    <cfRule type="containsText" dxfId="3237" priority="5153" operator="containsText" text="Pesquisa de Preços">
      <formula>NOT(ISERROR(SEARCH("Pesquisa de Preços",E6516)))</formula>
    </cfRule>
  </conditionalFormatting>
  <conditionalFormatting sqref="D6517">
    <cfRule type="containsText" dxfId="3236" priority="5155" operator="containsText" text="Pesquisa de Preços">
      <formula>NOT(ISERROR(SEARCH("Pesquisa de Preços",D6517)))</formula>
    </cfRule>
  </conditionalFormatting>
  <conditionalFormatting sqref="D6516">
    <cfRule type="containsText" dxfId="3235" priority="5156" operator="containsText" text="Pesquisa de Preços">
      <formula>NOT(ISERROR(SEARCH("Pesquisa de Preços",D6516)))</formula>
    </cfRule>
  </conditionalFormatting>
  <conditionalFormatting sqref="E6517 E6519">
    <cfRule type="containsText" dxfId="3234" priority="5154" operator="containsText" text="Pesquisa de Preços">
      <formula>NOT(ISERROR(SEARCH("Pesquisa de Preços",E6517)))</formula>
    </cfRule>
  </conditionalFormatting>
  <conditionalFormatting sqref="D6523">
    <cfRule type="containsText" dxfId="3233" priority="5147" operator="containsText" text="Pesquisa de Preços">
      <formula>NOT(ISERROR(SEARCH("Pesquisa de Preços",D6523)))</formula>
    </cfRule>
  </conditionalFormatting>
  <conditionalFormatting sqref="E6520">
    <cfRule type="containsText" dxfId="3232" priority="5143" operator="containsText" text="Pesquisa de Preços">
      <formula>NOT(ISERROR(SEARCH("Pesquisa de Preços",E6520)))</formula>
    </cfRule>
  </conditionalFormatting>
  <conditionalFormatting sqref="D6521">
    <cfRule type="containsText" dxfId="3231" priority="5145" operator="containsText" text="Pesquisa de Preços">
      <formula>NOT(ISERROR(SEARCH("Pesquisa de Preços",D6521)))</formula>
    </cfRule>
  </conditionalFormatting>
  <conditionalFormatting sqref="D6520">
    <cfRule type="containsText" dxfId="3230" priority="5146" operator="containsText" text="Pesquisa de Preços">
      <formula>NOT(ISERROR(SEARCH("Pesquisa de Preços",D6520)))</formula>
    </cfRule>
  </conditionalFormatting>
  <conditionalFormatting sqref="E6521 E6523">
    <cfRule type="containsText" dxfId="3229" priority="5144" operator="containsText" text="Pesquisa de Preços">
      <formula>NOT(ISERROR(SEARCH("Pesquisa de Preços",E6521)))</formula>
    </cfRule>
  </conditionalFormatting>
  <conditionalFormatting sqref="D6527">
    <cfRule type="containsText" dxfId="3228" priority="5137" operator="containsText" text="Pesquisa de Preços">
      <formula>NOT(ISERROR(SEARCH("Pesquisa de Preços",D6527)))</formula>
    </cfRule>
  </conditionalFormatting>
  <conditionalFormatting sqref="E6524">
    <cfRule type="containsText" dxfId="3227" priority="5133" operator="containsText" text="Pesquisa de Preços">
      <formula>NOT(ISERROR(SEARCH("Pesquisa de Preços",E6524)))</formula>
    </cfRule>
  </conditionalFormatting>
  <conditionalFormatting sqref="D6525">
    <cfRule type="containsText" dxfId="3226" priority="5135" operator="containsText" text="Pesquisa de Preços">
      <formula>NOT(ISERROR(SEARCH("Pesquisa de Preços",D6525)))</formula>
    </cfRule>
  </conditionalFormatting>
  <conditionalFormatting sqref="D6524">
    <cfRule type="containsText" dxfId="3225" priority="5136" operator="containsText" text="Pesquisa de Preços">
      <formula>NOT(ISERROR(SEARCH("Pesquisa de Preços",D6524)))</formula>
    </cfRule>
  </conditionalFormatting>
  <conditionalFormatting sqref="E6525 E6527">
    <cfRule type="containsText" dxfId="3224" priority="5134" operator="containsText" text="Pesquisa de Preços">
      <formula>NOT(ISERROR(SEARCH("Pesquisa de Preços",E6525)))</formula>
    </cfRule>
  </conditionalFormatting>
  <conditionalFormatting sqref="D6531">
    <cfRule type="containsText" dxfId="3223" priority="5117" operator="containsText" text="Pesquisa de Preços">
      <formula>NOT(ISERROR(SEARCH("Pesquisa de Preços",D6531)))</formula>
    </cfRule>
  </conditionalFormatting>
  <conditionalFormatting sqref="E6528">
    <cfRule type="containsText" dxfId="3222" priority="5113" operator="containsText" text="Pesquisa de Preços">
      <formula>NOT(ISERROR(SEARCH("Pesquisa de Preços",E6528)))</formula>
    </cfRule>
  </conditionalFormatting>
  <conditionalFormatting sqref="D6529">
    <cfRule type="containsText" dxfId="3221" priority="5115" operator="containsText" text="Pesquisa de Preços">
      <formula>NOT(ISERROR(SEARCH("Pesquisa de Preços",D6529)))</formula>
    </cfRule>
  </conditionalFormatting>
  <conditionalFormatting sqref="D6528">
    <cfRule type="containsText" dxfId="3220" priority="5116" operator="containsText" text="Pesquisa de Preços">
      <formula>NOT(ISERROR(SEARCH("Pesquisa de Preços",D6528)))</formula>
    </cfRule>
  </conditionalFormatting>
  <conditionalFormatting sqref="E6529 E6531">
    <cfRule type="containsText" dxfId="3219" priority="5114" operator="containsText" text="Pesquisa de Preços">
      <formula>NOT(ISERROR(SEARCH("Pesquisa de Preços",E6529)))</formula>
    </cfRule>
  </conditionalFormatting>
  <conditionalFormatting sqref="D6535">
    <cfRule type="containsText" dxfId="3218" priority="5107" operator="containsText" text="Pesquisa de Preços">
      <formula>NOT(ISERROR(SEARCH("Pesquisa de Preços",D6535)))</formula>
    </cfRule>
  </conditionalFormatting>
  <conditionalFormatting sqref="E6532">
    <cfRule type="containsText" dxfId="3217" priority="5103" operator="containsText" text="Pesquisa de Preços">
      <formula>NOT(ISERROR(SEARCH("Pesquisa de Preços",E6532)))</formula>
    </cfRule>
  </conditionalFormatting>
  <conditionalFormatting sqref="D6533">
    <cfRule type="containsText" dxfId="3216" priority="5105" operator="containsText" text="Pesquisa de Preços">
      <formula>NOT(ISERROR(SEARCH("Pesquisa de Preços",D6533)))</formula>
    </cfRule>
  </conditionalFormatting>
  <conditionalFormatting sqref="D6532">
    <cfRule type="containsText" dxfId="3215" priority="5106" operator="containsText" text="Pesquisa de Preços">
      <formula>NOT(ISERROR(SEARCH("Pesquisa de Preços",D6532)))</formula>
    </cfRule>
  </conditionalFormatting>
  <conditionalFormatting sqref="E6533 E6535">
    <cfRule type="containsText" dxfId="3214" priority="5104" operator="containsText" text="Pesquisa de Preços">
      <formula>NOT(ISERROR(SEARCH("Pesquisa de Preços",E6533)))</formula>
    </cfRule>
  </conditionalFormatting>
  <conditionalFormatting sqref="D6543">
    <cfRule type="containsText" dxfId="3213" priority="5097" operator="containsText" text="Pesquisa de Preços">
      <formula>NOT(ISERROR(SEARCH("Pesquisa de Preços",D6543)))</formula>
    </cfRule>
  </conditionalFormatting>
  <conditionalFormatting sqref="E6540">
    <cfRule type="containsText" dxfId="3212" priority="5093" operator="containsText" text="Pesquisa de Preços">
      <formula>NOT(ISERROR(SEARCH("Pesquisa de Preços",E6540)))</formula>
    </cfRule>
  </conditionalFormatting>
  <conditionalFormatting sqref="D6541">
    <cfRule type="containsText" dxfId="3211" priority="5095" operator="containsText" text="Pesquisa de Preços">
      <formula>NOT(ISERROR(SEARCH("Pesquisa de Preços",D6541)))</formula>
    </cfRule>
  </conditionalFormatting>
  <conditionalFormatting sqref="D6540">
    <cfRule type="containsText" dxfId="3210" priority="5096" operator="containsText" text="Pesquisa de Preços">
      <formula>NOT(ISERROR(SEARCH("Pesquisa de Preços",D6540)))</formula>
    </cfRule>
  </conditionalFormatting>
  <conditionalFormatting sqref="E6541 E6543">
    <cfRule type="containsText" dxfId="3209" priority="5094" operator="containsText" text="Pesquisa de Preços">
      <formula>NOT(ISERROR(SEARCH("Pesquisa de Preços",E6541)))</formula>
    </cfRule>
  </conditionalFormatting>
  <conditionalFormatting sqref="D6547">
    <cfRule type="containsText" dxfId="3208" priority="5087" operator="containsText" text="Pesquisa de Preços">
      <formula>NOT(ISERROR(SEARCH("Pesquisa de Preços",D6547)))</formula>
    </cfRule>
  </conditionalFormatting>
  <conditionalFormatting sqref="E6544">
    <cfRule type="containsText" dxfId="3207" priority="5083" operator="containsText" text="Pesquisa de Preços">
      <formula>NOT(ISERROR(SEARCH("Pesquisa de Preços",E6544)))</formula>
    </cfRule>
  </conditionalFormatting>
  <conditionalFormatting sqref="D6545">
    <cfRule type="containsText" dxfId="3206" priority="5085" operator="containsText" text="Pesquisa de Preços">
      <formula>NOT(ISERROR(SEARCH("Pesquisa de Preços",D6545)))</formula>
    </cfRule>
  </conditionalFormatting>
  <conditionalFormatting sqref="D6544">
    <cfRule type="containsText" dxfId="3205" priority="5086" operator="containsText" text="Pesquisa de Preços">
      <formula>NOT(ISERROR(SEARCH("Pesquisa de Preços",D6544)))</formula>
    </cfRule>
  </conditionalFormatting>
  <conditionalFormatting sqref="E6545 E6547">
    <cfRule type="containsText" dxfId="3204" priority="5084" operator="containsText" text="Pesquisa de Preços">
      <formula>NOT(ISERROR(SEARCH("Pesquisa de Preços",E6545)))</formula>
    </cfRule>
  </conditionalFormatting>
  <conditionalFormatting sqref="D6551">
    <cfRule type="containsText" dxfId="3203" priority="5077" operator="containsText" text="Pesquisa de Preços">
      <formula>NOT(ISERROR(SEARCH("Pesquisa de Preços",D6551)))</formula>
    </cfRule>
  </conditionalFormatting>
  <conditionalFormatting sqref="E6548">
    <cfRule type="containsText" dxfId="3202" priority="5073" operator="containsText" text="Pesquisa de Preços">
      <formula>NOT(ISERROR(SEARCH("Pesquisa de Preços",E6548)))</formula>
    </cfRule>
  </conditionalFormatting>
  <conditionalFormatting sqref="D6549">
    <cfRule type="containsText" dxfId="3201" priority="5075" operator="containsText" text="Pesquisa de Preços">
      <formula>NOT(ISERROR(SEARCH("Pesquisa de Preços",D6549)))</formula>
    </cfRule>
  </conditionalFormatting>
  <conditionalFormatting sqref="D6548">
    <cfRule type="containsText" dxfId="3200" priority="5076" operator="containsText" text="Pesquisa de Preços">
      <formula>NOT(ISERROR(SEARCH("Pesquisa de Preços",D6548)))</formula>
    </cfRule>
  </conditionalFormatting>
  <conditionalFormatting sqref="E6549 E6551">
    <cfRule type="containsText" dxfId="3199" priority="5074" operator="containsText" text="Pesquisa de Preços">
      <formula>NOT(ISERROR(SEARCH("Pesquisa de Preços",E6549)))</formula>
    </cfRule>
  </conditionalFormatting>
  <conditionalFormatting sqref="D6555">
    <cfRule type="containsText" dxfId="3198" priority="5057" operator="containsText" text="Pesquisa de Preços">
      <formula>NOT(ISERROR(SEARCH("Pesquisa de Preços",D6555)))</formula>
    </cfRule>
  </conditionalFormatting>
  <conditionalFormatting sqref="E6552">
    <cfRule type="containsText" dxfId="3197" priority="5053" operator="containsText" text="Pesquisa de Preços">
      <formula>NOT(ISERROR(SEARCH("Pesquisa de Preços",E6552)))</formula>
    </cfRule>
  </conditionalFormatting>
  <conditionalFormatting sqref="D6553">
    <cfRule type="containsText" dxfId="3196" priority="5055" operator="containsText" text="Pesquisa de Preços">
      <formula>NOT(ISERROR(SEARCH("Pesquisa de Preços",D6553)))</formula>
    </cfRule>
  </conditionalFormatting>
  <conditionalFormatting sqref="D6552">
    <cfRule type="containsText" dxfId="3195" priority="5056" operator="containsText" text="Pesquisa de Preços">
      <formula>NOT(ISERROR(SEARCH("Pesquisa de Preços",D6552)))</formula>
    </cfRule>
  </conditionalFormatting>
  <conditionalFormatting sqref="E6553 E6555">
    <cfRule type="containsText" dxfId="3194" priority="5054" operator="containsText" text="Pesquisa de Preços">
      <formula>NOT(ISERROR(SEARCH("Pesquisa de Preços",E6553)))</formula>
    </cfRule>
  </conditionalFormatting>
  <conditionalFormatting sqref="D6563">
    <cfRule type="containsText" dxfId="3193" priority="4997" operator="containsText" text="Pesquisa de Preços">
      <formula>NOT(ISERROR(SEARCH("Pesquisa de Preços",D6563)))</formula>
    </cfRule>
  </conditionalFormatting>
  <conditionalFormatting sqref="E6560">
    <cfRule type="containsText" dxfId="3192" priority="4993" operator="containsText" text="Pesquisa de Preços">
      <formula>NOT(ISERROR(SEARCH("Pesquisa de Preços",E6560)))</formula>
    </cfRule>
  </conditionalFormatting>
  <conditionalFormatting sqref="D6561">
    <cfRule type="containsText" dxfId="3191" priority="4995" operator="containsText" text="Pesquisa de Preços">
      <formula>NOT(ISERROR(SEARCH("Pesquisa de Preços",D6561)))</formula>
    </cfRule>
  </conditionalFormatting>
  <conditionalFormatting sqref="D6560">
    <cfRule type="containsText" dxfId="3190" priority="4996" operator="containsText" text="Pesquisa de Preços">
      <formula>NOT(ISERROR(SEARCH("Pesquisa de Preços",D6560)))</formula>
    </cfRule>
  </conditionalFormatting>
  <conditionalFormatting sqref="E6561 E6563">
    <cfRule type="containsText" dxfId="3189" priority="4994" operator="containsText" text="Pesquisa de Preços">
      <formula>NOT(ISERROR(SEARCH("Pesquisa de Preços",E6561)))</formula>
    </cfRule>
  </conditionalFormatting>
  <conditionalFormatting sqref="D6567">
    <cfRule type="containsText" dxfId="3188" priority="4937" operator="containsText" text="Pesquisa de Preços">
      <formula>NOT(ISERROR(SEARCH("Pesquisa de Preços",D6567)))</formula>
    </cfRule>
  </conditionalFormatting>
  <conditionalFormatting sqref="E6564">
    <cfRule type="containsText" dxfId="3187" priority="4933" operator="containsText" text="Pesquisa de Preços">
      <formula>NOT(ISERROR(SEARCH("Pesquisa de Preços",E6564)))</formula>
    </cfRule>
  </conditionalFormatting>
  <conditionalFormatting sqref="D6565">
    <cfRule type="containsText" dxfId="3186" priority="4935" operator="containsText" text="Pesquisa de Preços">
      <formula>NOT(ISERROR(SEARCH("Pesquisa de Preços",D6565)))</formula>
    </cfRule>
  </conditionalFormatting>
  <conditionalFormatting sqref="D6564">
    <cfRule type="containsText" dxfId="3185" priority="4936" operator="containsText" text="Pesquisa de Preços">
      <formula>NOT(ISERROR(SEARCH("Pesquisa de Preços",D6564)))</formula>
    </cfRule>
  </conditionalFormatting>
  <conditionalFormatting sqref="E6565 E6567">
    <cfRule type="containsText" dxfId="3184" priority="4934" operator="containsText" text="Pesquisa de Preços">
      <formula>NOT(ISERROR(SEARCH("Pesquisa de Preços",E6565)))</formula>
    </cfRule>
  </conditionalFormatting>
  <conditionalFormatting sqref="D6571">
    <cfRule type="containsText" dxfId="3183" priority="4927" operator="containsText" text="Pesquisa de Preços">
      <formula>NOT(ISERROR(SEARCH("Pesquisa de Preços",D6571)))</formula>
    </cfRule>
  </conditionalFormatting>
  <conditionalFormatting sqref="E6568">
    <cfRule type="containsText" dxfId="3182" priority="4923" operator="containsText" text="Pesquisa de Preços">
      <formula>NOT(ISERROR(SEARCH("Pesquisa de Preços",E6568)))</formula>
    </cfRule>
  </conditionalFormatting>
  <conditionalFormatting sqref="D6569">
    <cfRule type="containsText" dxfId="3181" priority="4925" operator="containsText" text="Pesquisa de Preços">
      <formula>NOT(ISERROR(SEARCH("Pesquisa de Preços",D6569)))</formula>
    </cfRule>
  </conditionalFormatting>
  <conditionalFormatting sqref="D6568">
    <cfRule type="containsText" dxfId="3180" priority="4926" operator="containsText" text="Pesquisa de Preços">
      <formula>NOT(ISERROR(SEARCH("Pesquisa de Preços",D6568)))</formula>
    </cfRule>
  </conditionalFormatting>
  <conditionalFormatting sqref="E6569 E6571">
    <cfRule type="containsText" dxfId="3179" priority="4924" operator="containsText" text="Pesquisa de Preços">
      <formula>NOT(ISERROR(SEARCH("Pesquisa de Preços",E6569)))</formula>
    </cfRule>
  </conditionalFormatting>
  <conditionalFormatting sqref="D6575">
    <cfRule type="containsText" dxfId="3178" priority="4917" operator="containsText" text="Pesquisa de Preços">
      <formula>NOT(ISERROR(SEARCH("Pesquisa de Preços",D6575)))</formula>
    </cfRule>
  </conditionalFormatting>
  <conditionalFormatting sqref="E6572">
    <cfRule type="containsText" dxfId="3177" priority="4913" operator="containsText" text="Pesquisa de Preços">
      <formula>NOT(ISERROR(SEARCH("Pesquisa de Preços",E6572)))</formula>
    </cfRule>
  </conditionalFormatting>
  <conditionalFormatting sqref="D6573">
    <cfRule type="containsText" dxfId="3176" priority="4915" operator="containsText" text="Pesquisa de Preços">
      <formula>NOT(ISERROR(SEARCH("Pesquisa de Preços",D6573)))</formula>
    </cfRule>
  </conditionalFormatting>
  <conditionalFormatting sqref="D6572">
    <cfRule type="containsText" dxfId="3175" priority="4916" operator="containsText" text="Pesquisa de Preços">
      <formula>NOT(ISERROR(SEARCH("Pesquisa de Preços",D6572)))</formula>
    </cfRule>
  </conditionalFormatting>
  <conditionalFormatting sqref="E6573 E6575">
    <cfRule type="containsText" dxfId="3174" priority="4914" operator="containsText" text="Pesquisa de Preços">
      <formula>NOT(ISERROR(SEARCH("Pesquisa de Preços",E6573)))</formula>
    </cfRule>
  </conditionalFormatting>
  <conditionalFormatting sqref="D6579">
    <cfRule type="containsText" dxfId="3173" priority="4907" operator="containsText" text="Pesquisa de Preços">
      <formula>NOT(ISERROR(SEARCH("Pesquisa de Preços",D6579)))</formula>
    </cfRule>
  </conditionalFormatting>
  <conditionalFormatting sqref="E6576">
    <cfRule type="containsText" dxfId="3172" priority="4903" operator="containsText" text="Pesquisa de Preços">
      <formula>NOT(ISERROR(SEARCH("Pesquisa de Preços",E6576)))</formula>
    </cfRule>
  </conditionalFormatting>
  <conditionalFormatting sqref="D6577">
    <cfRule type="containsText" dxfId="3171" priority="4905" operator="containsText" text="Pesquisa de Preços">
      <formula>NOT(ISERROR(SEARCH("Pesquisa de Preços",D6577)))</formula>
    </cfRule>
  </conditionalFormatting>
  <conditionalFormatting sqref="D6576">
    <cfRule type="containsText" dxfId="3170" priority="4906" operator="containsText" text="Pesquisa de Preços">
      <formula>NOT(ISERROR(SEARCH("Pesquisa de Preços",D6576)))</formula>
    </cfRule>
  </conditionalFormatting>
  <conditionalFormatting sqref="E6577 E6579">
    <cfRule type="containsText" dxfId="3169" priority="4904" operator="containsText" text="Pesquisa de Preços">
      <formula>NOT(ISERROR(SEARCH("Pesquisa de Preços",E6577)))</formula>
    </cfRule>
  </conditionalFormatting>
  <conditionalFormatting sqref="D6583">
    <cfRule type="containsText" dxfId="3168" priority="4897" operator="containsText" text="Pesquisa de Preços">
      <formula>NOT(ISERROR(SEARCH("Pesquisa de Preços",D6583)))</formula>
    </cfRule>
  </conditionalFormatting>
  <conditionalFormatting sqref="E6580">
    <cfRule type="containsText" dxfId="3167" priority="4893" operator="containsText" text="Pesquisa de Preços">
      <formula>NOT(ISERROR(SEARCH("Pesquisa de Preços",E6580)))</formula>
    </cfRule>
  </conditionalFormatting>
  <conditionalFormatting sqref="D6581">
    <cfRule type="containsText" dxfId="3166" priority="4895" operator="containsText" text="Pesquisa de Preços">
      <formula>NOT(ISERROR(SEARCH("Pesquisa de Preços",D6581)))</formula>
    </cfRule>
  </conditionalFormatting>
  <conditionalFormatting sqref="D6580">
    <cfRule type="containsText" dxfId="3165" priority="4896" operator="containsText" text="Pesquisa de Preços">
      <formula>NOT(ISERROR(SEARCH("Pesquisa de Preços",D6580)))</formula>
    </cfRule>
  </conditionalFormatting>
  <conditionalFormatting sqref="E6581 E6583">
    <cfRule type="containsText" dxfId="3164" priority="4894" operator="containsText" text="Pesquisa de Preços">
      <formula>NOT(ISERROR(SEARCH("Pesquisa de Preços",E6581)))</formula>
    </cfRule>
  </conditionalFormatting>
  <conditionalFormatting sqref="D6591">
    <cfRule type="containsText" dxfId="3163" priority="4887" operator="containsText" text="Pesquisa de Preços">
      <formula>NOT(ISERROR(SEARCH("Pesquisa de Preços",D6591)))</formula>
    </cfRule>
  </conditionalFormatting>
  <conditionalFormatting sqref="E6588">
    <cfRule type="containsText" dxfId="3162" priority="4883" operator="containsText" text="Pesquisa de Preços">
      <formula>NOT(ISERROR(SEARCH("Pesquisa de Preços",E6588)))</formula>
    </cfRule>
  </conditionalFormatting>
  <conditionalFormatting sqref="D6589">
    <cfRule type="containsText" dxfId="3161" priority="4885" operator="containsText" text="Pesquisa de Preços">
      <formula>NOT(ISERROR(SEARCH("Pesquisa de Preços",D6589)))</formula>
    </cfRule>
  </conditionalFormatting>
  <conditionalFormatting sqref="D6588">
    <cfRule type="containsText" dxfId="3160" priority="4886" operator="containsText" text="Pesquisa de Preços">
      <formula>NOT(ISERROR(SEARCH("Pesquisa de Preços",D6588)))</formula>
    </cfRule>
  </conditionalFormatting>
  <conditionalFormatting sqref="E6589 E6591">
    <cfRule type="containsText" dxfId="3159" priority="4884" operator="containsText" text="Pesquisa de Preços">
      <formula>NOT(ISERROR(SEARCH("Pesquisa de Preços",E6589)))</formula>
    </cfRule>
  </conditionalFormatting>
  <conditionalFormatting sqref="D6595">
    <cfRule type="containsText" dxfId="3158" priority="4877" operator="containsText" text="Pesquisa de Preços">
      <formula>NOT(ISERROR(SEARCH("Pesquisa de Preços",D6595)))</formula>
    </cfRule>
  </conditionalFormatting>
  <conditionalFormatting sqref="E6592">
    <cfRule type="containsText" dxfId="3157" priority="4873" operator="containsText" text="Pesquisa de Preços">
      <formula>NOT(ISERROR(SEARCH("Pesquisa de Preços",E6592)))</formula>
    </cfRule>
  </conditionalFormatting>
  <conditionalFormatting sqref="D6593">
    <cfRule type="containsText" dxfId="3156" priority="4875" operator="containsText" text="Pesquisa de Preços">
      <formula>NOT(ISERROR(SEARCH("Pesquisa de Preços",D6593)))</formula>
    </cfRule>
  </conditionalFormatting>
  <conditionalFormatting sqref="D6592">
    <cfRule type="containsText" dxfId="3155" priority="4876" operator="containsText" text="Pesquisa de Preços">
      <formula>NOT(ISERROR(SEARCH("Pesquisa de Preços",D6592)))</formula>
    </cfRule>
  </conditionalFormatting>
  <conditionalFormatting sqref="E6593 E6595">
    <cfRule type="containsText" dxfId="3154" priority="4874" operator="containsText" text="Pesquisa de Preços">
      <formula>NOT(ISERROR(SEARCH("Pesquisa de Preços",E6593)))</formula>
    </cfRule>
  </conditionalFormatting>
  <conditionalFormatting sqref="D6599">
    <cfRule type="containsText" dxfId="3153" priority="4867" operator="containsText" text="Pesquisa de Preços">
      <formula>NOT(ISERROR(SEARCH("Pesquisa de Preços",D6599)))</formula>
    </cfRule>
  </conditionalFormatting>
  <conditionalFormatting sqref="E6596">
    <cfRule type="containsText" dxfId="3152" priority="4863" operator="containsText" text="Pesquisa de Preços">
      <formula>NOT(ISERROR(SEARCH("Pesquisa de Preços",E6596)))</formula>
    </cfRule>
  </conditionalFormatting>
  <conditionalFormatting sqref="D6597">
    <cfRule type="containsText" dxfId="3151" priority="4865" operator="containsText" text="Pesquisa de Preços">
      <formula>NOT(ISERROR(SEARCH("Pesquisa de Preços",D6597)))</formula>
    </cfRule>
  </conditionalFormatting>
  <conditionalFormatting sqref="D6596">
    <cfRule type="containsText" dxfId="3150" priority="4866" operator="containsText" text="Pesquisa de Preços">
      <formula>NOT(ISERROR(SEARCH("Pesquisa de Preços",D6596)))</formula>
    </cfRule>
  </conditionalFormatting>
  <conditionalFormatting sqref="E6597 E6599">
    <cfRule type="containsText" dxfId="3149" priority="4864" operator="containsText" text="Pesquisa de Preços">
      <formula>NOT(ISERROR(SEARCH("Pesquisa de Preços",E6597)))</formula>
    </cfRule>
  </conditionalFormatting>
  <conditionalFormatting sqref="D6603">
    <cfRule type="containsText" dxfId="3148" priority="4857" operator="containsText" text="Pesquisa de Preços">
      <formula>NOT(ISERROR(SEARCH("Pesquisa de Preços",D6603)))</formula>
    </cfRule>
  </conditionalFormatting>
  <conditionalFormatting sqref="E6600">
    <cfRule type="containsText" dxfId="3147" priority="4853" operator="containsText" text="Pesquisa de Preços">
      <formula>NOT(ISERROR(SEARCH("Pesquisa de Preços",E6600)))</formula>
    </cfRule>
  </conditionalFormatting>
  <conditionalFormatting sqref="D6601">
    <cfRule type="containsText" dxfId="3146" priority="4855" operator="containsText" text="Pesquisa de Preços">
      <formula>NOT(ISERROR(SEARCH("Pesquisa de Preços",D6601)))</formula>
    </cfRule>
  </conditionalFormatting>
  <conditionalFormatting sqref="D6600">
    <cfRule type="containsText" dxfId="3145" priority="4856" operator="containsText" text="Pesquisa de Preços">
      <formula>NOT(ISERROR(SEARCH("Pesquisa de Preços",D6600)))</formula>
    </cfRule>
  </conditionalFormatting>
  <conditionalFormatting sqref="E6601 E6603">
    <cfRule type="containsText" dxfId="3144" priority="4854" operator="containsText" text="Pesquisa de Preços">
      <formula>NOT(ISERROR(SEARCH("Pesquisa de Preços",E6601)))</formula>
    </cfRule>
  </conditionalFormatting>
  <conditionalFormatting sqref="D6607">
    <cfRule type="containsText" dxfId="3143" priority="4847" operator="containsText" text="Pesquisa de Preços">
      <formula>NOT(ISERROR(SEARCH("Pesquisa de Preços",D6607)))</formula>
    </cfRule>
  </conditionalFormatting>
  <conditionalFormatting sqref="E6604">
    <cfRule type="containsText" dxfId="3142" priority="4843" operator="containsText" text="Pesquisa de Preços">
      <formula>NOT(ISERROR(SEARCH("Pesquisa de Preços",E6604)))</formula>
    </cfRule>
  </conditionalFormatting>
  <conditionalFormatting sqref="D6605">
    <cfRule type="containsText" dxfId="3141" priority="4845" operator="containsText" text="Pesquisa de Preços">
      <formula>NOT(ISERROR(SEARCH("Pesquisa de Preços",D6605)))</formula>
    </cfRule>
  </conditionalFormatting>
  <conditionalFormatting sqref="D6604">
    <cfRule type="containsText" dxfId="3140" priority="4846" operator="containsText" text="Pesquisa de Preços">
      <formula>NOT(ISERROR(SEARCH("Pesquisa de Preços",D6604)))</formula>
    </cfRule>
  </conditionalFormatting>
  <conditionalFormatting sqref="E6605 E6607">
    <cfRule type="containsText" dxfId="3139" priority="4844" operator="containsText" text="Pesquisa de Preços">
      <formula>NOT(ISERROR(SEARCH("Pesquisa de Preços",E6605)))</formula>
    </cfRule>
  </conditionalFormatting>
  <conditionalFormatting sqref="D6611">
    <cfRule type="containsText" dxfId="3138" priority="4837" operator="containsText" text="Pesquisa de Preços">
      <formula>NOT(ISERROR(SEARCH("Pesquisa de Preços",D6611)))</formula>
    </cfRule>
  </conditionalFormatting>
  <conditionalFormatting sqref="E6608">
    <cfRule type="containsText" dxfId="3137" priority="4833" operator="containsText" text="Pesquisa de Preços">
      <formula>NOT(ISERROR(SEARCH("Pesquisa de Preços",E6608)))</formula>
    </cfRule>
  </conditionalFormatting>
  <conditionalFormatting sqref="D6609">
    <cfRule type="containsText" dxfId="3136" priority="4835" operator="containsText" text="Pesquisa de Preços">
      <formula>NOT(ISERROR(SEARCH("Pesquisa de Preços",D6609)))</formula>
    </cfRule>
  </conditionalFormatting>
  <conditionalFormatting sqref="D6608">
    <cfRule type="containsText" dxfId="3135" priority="4836" operator="containsText" text="Pesquisa de Preços">
      <formula>NOT(ISERROR(SEARCH("Pesquisa de Preços",D6608)))</formula>
    </cfRule>
  </conditionalFormatting>
  <conditionalFormatting sqref="E6609 E6611">
    <cfRule type="containsText" dxfId="3134" priority="4834" operator="containsText" text="Pesquisa de Preços">
      <formula>NOT(ISERROR(SEARCH("Pesquisa de Preços",E6609)))</formula>
    </cfRule>
  </conditionalFormatting>
  <conditionalFormatting sqref="D6615">
    <cfRule type="containsText" dxfId="3133" priority="4827" operator="containsText" text="Pesquisa de Preços">
      <formula>NOT(ISERROR(SEARCH("Pesquisa de Preços",D6615)))</formula>
    </cfRule>
  </conditionalFormatting>
  <conditionalFormatting sqref="E6612">
    <cfRule type="containsText" dxfId="3132" priority="4823" operator="containsText" text="Pesquisa de Preços">
      <formula>NOT(ISERROR(SEARCH("Pesquisa de Preços",E6612)))</formula>
    </cfRule>
  </conditionalFormatting>
  <conditionalFormatting sqref="D6613">
    <cfRule type="containsText" dxfId="3131" priority="4825" operator="containsText" text="Pesquisa de Preços">
      <formula>NOT(ISERROR(SEARCH("Pesquisa de Preços",D6613)))</formula>
    </cfRule>
  </conditionalFormatting>
  <conditionalFormatting sqref="D6612">
    <cfRule type="containsText" dxfId="3130" priority="4826" operator="containsText" text="Pesquisa de Preços">
      <formula>NOT(ISERROR(SEARCH("Pesquisa de Preços",D6612)))</formula>
    </cfRule>
  </conditionalFormatting>
  <conditionalFormatting sqref="E6613 E6615">
    <cfRule type="containsText" dxfId="3129" priority="4824" operator="containsText" text="Pesquisa de Preços">
      <formula>NOT(ISERROR(SEARCH("Pesquisa de Preços",E6613)))</formula>
    </cfRule>
  </conditionalFormatting>
  <conditionalFormatting sqref="D6619">
    <cfRule type="containsText" dxfId="3128" priority="4817" operator="containsText" text="Pesquisa de Preços">
      <formula>NOT(ISERROR(SEARCH("Pesquisa de Preços",D6619)))</formula>
    </cfRule>
  </conditionalFormatting>
  <conditionalFormatting sqref="E6616">
    <cfRule type="containsText" dxfId="3127" priority="4813" operator="containsText" text="Pesquisa de Preços">
      <formula>NOT(ISERROR(SEARCH("Pesquisa de Preços",E6616)))</formula>
    </cfRule>
  </conditionalFormatting>
  <conditionalFormatting sqref="D6617">
    <cfRule type="containsText" dxfId="3126" priority="4815" operator="containsText" text="Pesquisa de Preços">
      <formula>NOT(ISERROR(SEARCH("Pesquisa de Preços",D6617)))</formula>
    </cfRule>
  </conditionalFormatting>
  <conditionalFormatting sqref="D6616">
    <cfRule type="containsText" dxfId="3125" priority="4816" operator="containsText" text="Pesquisa de Preços">
      <formula>NOT(ISERROR(SEARCH("Pesquisa de Preços",D6616)))</formula>
    </cfRule>
  </conditionalFormatting>
  <conditionalFormatting sqref="E6617 E6619">
    <cfRule type="containsText" dxfId="3124" priority="4814" operator="containsText" text="Pesquisa de Preços">
      <formula>NOT(ISERROR(SEARCH("Pesquisa de Preços",E6617)))</formula>
    </cfRule>
  </conditionalFormatting>
  <conditionalFormatting sqref="D6623">
    <cfRule type="containsText" dxfId="3123" priority="4807" operator="containsText" text="Pesquisa de Preços">
      <formula>NOT(ISERROR(SEARCH("Pesquisa de Preços",D6623)))</formula>
    </cfRule>
  </conditionalFormatting>
  <conditionalFormatting sqref="E6620">
    <cfRule type="containsText" dxfId="3122" priority="4803" operator="containsText" text="Pesquisa de Preços">
      <formula>NOT(ISERROR(SEARCH("Pesquisa de Preços",E6620)))</formula>
    </cfRule>
  </conditionalFormatting>
  <conditionalFormatting sqref="D6621">
    <cfRule type="containsText" dxfId="3121" priority="4805" operator="containsText" text="Pesquisa de Preços">
      <formula>NOT(ISERROR(SEARCH("Pesquisa de Preços",D6621)))</formula>
    </cfRule>
  </conditionalFormatting>
  <conditionalFormatting sqref="D6620">
    <cfRule type="containsText" dxfId="3120" priority="4806" operator="containsText" text="Pesquisa de Preços">
      <formula>NOT(ISERROR(SEARCH("Pesquisa de Preços",D6620)))</formula>
    </cfRule>
  </conditionalFormatting>
  <conditionalFormatting sqref="E6621 E6623">
    <cfRule type="containsText" dxfId="3119" priority="4804" operator="containsText" text="Pesquisa de Preços">
      <formula>NOT(ISERROR(SEARCH("Pesquisa de Preços",E6621)))</formula>
    </cfRule>
  </conditionalFormatting>
  <conditionalFormatting sqref="D6639">
    <cfRule type="containsText" dxfId="3118" priority="4777" operator="containsText" text="Pesquisa de Preços">
      <formula>NOT(ISERROR(SEARCH("Pesquisa de Preços",D6639)))</formula>
    </cfRule>
  </conditionalFormatting>
  <conditionalFormatting sqref="E6636">
    <cfRule type="containsText" dxfId="3117" priority="4773" operator="containsText" text="Pesquisa de Preços">
      <formula>NOT(ISERROR(SEARCH("Pesquisa de Preços",E6636)))</formula>
    </cfRule>
  </conditionalFormatting>
  <conditionalFormatting sqref="D6637">
    <cfRule type="containsText" dxfId="3116" priority="4775" operator="containsText" text="Pesquisa de Preços">
      <formula>NOT(ISERROR(SEARCH("Pesquisa de Preços",D6637)))</formula>
    </cfRule>
  </conditionalFormatting>
  <conditionalFormatting sqref="D6636">
    <cfRule type="containsText" dxfId="3115" priority="4776" operator="containsText" text="Pesquisa de Preços">
      <formula>NOT(ISERROR(SEARCH("Pesquisa de Preços",D6636)))</formula>
    </cfRule>
  </conditionalFormatting>
  <conditionalFormatting sqref="E6637 E6639">
    <cfRule type="containsText" dxfId="3114" priority="4774" operator="containsText" text="Pesquisa de Preços">
      <formula>NOT(ISERROR(SEARCH("Pesquisa de Preços",E6637)))</formula>
    </cfRule>
  </conditionalFormatting>
  <conditionalFormatting sqref="D6643">
    <cfRule type="containsText" dxfId="3113" priority="4767" operator="containsText" text="Pesquisa de Preços">
      <formula>NOT(ISERROR(SEARCH("Pesquisa de Preços",D6643)))</formula>
    </cfRule>
  </conditionalFormatting>
  <conditionalFormatting sqref="E6640">
    <cfRule type="containsText" dxfId="3112" priority="4763" operator="containsText" text="Pesquisa de Preços">
      <formula>NOT(ISERROR(SEARCH("Pesquisa de Preços",E6640)))</formula>
    </cfRule>
  </conditionalFormatting>
  <conditionalFormatting sqref="D6641">
    <cfRule type="containsText" dxfId="3111" priority="4765" operator="containsText" text="Pesquisa de Preços">
      <formula>NOT(ISERROR(SEARCH("Pesquisa de Preços",D6641)))</formula>
    </cfRule>
  </conditionalFormatting>
  <conditionalFormatting sqref="D6640">
    <cfRule type="containsText" dxfId="3110" priority="4766" operator="containsText" text="Pesquisa de Preços">
      <formula>NOT(ISERROR(SEARCH("Pesquisa de Preços",D6640)))</formula>
    </cfRule>
  </conditionalFormatting>
  <conditionalFormatting sqref="E6641 E6643">
    <cfRule type="containsText" dxfId="3109" priority="4764" operator="containsText" text="Pesquisa de Preços">
      <formula>NOT(ISERROR(SEARCH("Pesquisa de Preços",E6641)))</formula>
    </cfRule>
  </conditionalFormatting>
  <conditionalFormatting sqref="D6647">
    <cfRule type="containsText" dxfId="3108" priority="4757" operator="containsText" text="Pesquisa de Preços">
      <formula>NOT(ISERROR(SEARCH("Pesquisa de Preços",D6647)))</formula>
    </cfRule>
  </conditionalFormatting>
  <conditionalFormatting sqref="E6644">
    <cfRule type="containsText" dxfId="3107" priority="4753" operator="containsText" text="Pesquisa de Preços">
      <formula>NOT(ISERROR(SEARCH("Pesquisa de Preços",E6644)))</formula>
    </cfRule>
  </conditionalFormatting>
  <conditionalFormatting sqref="D6645">
    <cfRule type="containsText" dxfId="3106" priority="4755" operator="containsText" text="Pesquisa de Preços">
      <formula>NOT(ISERROR(SEARCH("Pesquisa de Preços",D6645)))</formula>
    </cfRule>
  </conditionalFormatting>
  <conditionalFormatting sqref="D6644">
    <cfRule type="containsText" dxfId="3105" priority="4756" operator="containsText" text="Pesquisa de Preços">
      <formula>NOT(ISERROR(SEARCH("Pesquisa de Preços",D6644)))</formula>
    </cfRule>
  </conditionalFormatting>
  <conditionalFormatting sqref="E6645 E6647">
    <cfRule type="containsText" dxfId="3104" priority="4754" operator="containsText" text="Pesquisa de Preços">
      <formula>NOT(ISERROR(SEARCH("Pesquisa de Preços",E6645)))</formula>
    </cfRule>
  </conditionalFormatting>
  <conditionalFormatting sqref="D6663">
    <cfRule type="containsText" dxfId="3103" priority="4717" operator="containsText" text="Pesquisa de Preços">
      <formula>NOT(ISERROR(SEARCH("Pesquisa de Preços",D6663)))</formula>
    </cfRule>
  </conditionalFormatting>
  <conditionalFormatting sqref="E6660">
    <cfRule type="containsText" dxfId="3102" priority="4713" operator="containsText" text="Pesquisa de Preços">
      <formula>NOT(ISERROR(SEARCH("Pesquisa de Preços",E6660)))</formula>
    </cfRule>
  </conditionalFormatting>
  <conditionalFormatting sqref="D6661">
    <cfRule type="containsText" dxfId="3101" priority="4715" operator="containsText" text="Pesquisa de Preços">
      <formula>NOT(ISERROR(SEARCH("Pesquisa de Preços",D6661)))</formula>
    </cfRule>
  </conditionalFormatting>
  <conditionalFormatting sqref="D6660">
    <cfRule type="containsText" dxfId="3100" priority="4716" operator="containsText" text="Pesquisa de Preços">
      <formula>NOT(ISERROR(SEARCH("Pesquisa de Preços",D6660)))</formula>
    </cfRule>
  </conditionalFormatting>
  <conditionalFormatting sqref="E6661 E6663">
    <cfRule type="containsText" dxfId="3099" priority="4714" operator="containsText" text="Pesquisa de Preços">
      <formula>NOT(ISERROR(SEARCH("Pesquisa de Preços",E6661)))</formula>
    </cfRule>
  </conditionalFormatting>
  <conditionalFormatting sqref="D6667">
    <cfRule type="containsText" dxfId="3098" priority="4707" operator="containsText" text="Pesquisa de Preços">
      <formula>NOT(ISERROR(SEARCH("Pesquisa de Preços",D6667)))</formula>
    </cfRule>
  </conditionalFormatting>
  <conditionalFormatting sqref="E6664">
    <cfRule type="containsText" dxfId="3097" priority="4703" operator="containsText" text="Pesquisa de Preços">
      <formula>NOT(ISERROR(SEARCH("Pesquisa de Preços",E6664)))</formula>
    </cfRule>
  </conditionalFormatting>
  <conditionalFormatting sqref="D6665">
    <cfRule type="containsText" dxfId="3096" priority="4705" operator="containsText" text="Pesquisa de Preços">
      <formula>NOT(ISERROR(SEARCH("Pesquisa de Preços",D6665)))</formula>
    </cfRule>
  </conditionalFormatting>
  <conditionalFormatting sqref="D6664">
    <cfRule type="containsText" dxfId="3095" priority="4706" operator="containsText" text="Pesquisa de Preços">
      <formula>NOT(ISERROR(SEARCH("Pesquisa de Preços",D6664)))</formula>
    </cfRule>
  </conditionalFormatting>
  <conditionalFormatting sqref="E6665 E6667">
    <cfRule type="containsText" dxfId="3094" priority="4704" operator="containsText" text="Pesquisa de Preços">
      <formula>NOT(ISERROR(SEARCH("Pesquisa de Preços",E6665)))</formula>
    </cfRule>
  </conditionalFormatting>
  <conditionalFormatting sqref="D6671">
    <cfRule type="containsText" dxfId="3093" priority="4697" operator="containsText" text="Pesquisa de Preços">
      <formula>NOT(ISERROR(SEARCH("Pesquisa de Preços",D6671)))</formula>
    </cfRule>
  </conditionalFormatting>
  <conditionalFormatting sqref="E6668">
    <cfRule type="containsText" dxfId="3092" priority="4693" operator="containsText" text="Pesquisa de Preços">
      <formula>NOT(ISERROR(SEARCH("Pesquisa de Preços",E6668)))</formula>
    </cfRule>
  </conditionalFormatting>
  <conditionalFormatting sqref="D6669">
    <cfRule type="containsText" dxfId="3091" priority="4695" operator="containsText" text="Pesquisa de Preços">
      <formula>NOT(ISERROR(SEARCH("Pesquisa de Preços",D6669)))</formula>
    </cfRule>
  </conditionalFormatting>
  <conditionalFormatting sqref="D6668">
    <cfRule type="containsText" dxfId="3090" priority="4696" operator="containsText" text="Pesquisa de Preços">
      <formula>NOT(ISERROR(SEARCH("Pesquisa de Preços",D6668)))</formula>
    </cfRule>
  </conditionalFormatting>
  <conditionalFormatting sqref="E6669 E6671">
    <cfRule type="containsText" dxfId="3089" priority="4694" operator="containsText" text="Pesquisa de Preços">
      <formula>NOT(ISERROR(SEARCH("Pesquisa de Preços",E6669)))</formula>
    </cfRule>
  </conditionalFormatting>
  <conditionalFormatting sqref="D6675">
    <cfRule type="containsText" dxfId="3088" priority="4687" operator="containsText" text="Pesquisa de Preços">
      <formula>NOT(ISERROR(SEARCH("Pesquisa de Preços",D6675)))</formula>
    </cfRule>
  </conditionalFormatting>
  <conditionalFormatting sqref="E6672">
    <cfRule type="containsText" dxfId="3087" priority="4683" operator="containsText" text="Pesquisa de Preços">
      <formula>NOT(ISERROR(SEARCH("Pesquisa de Preços",E6672)))</formula>
    </cfRule>
  </conditionalFormatting>
  <conditionalFormatting sqref="D6673">
    <cfRule type="containsText" dxfId="3086" priority="4685" operator="containsText" text="Pesquisa de Preços">
      <formula>NOT(ISERROR(SEARCH("Pesquisa de Preços",D6673)))</formula>
    </cfRule>
  </conditionalFormatting>
  <conditionalFormatting sqref="D6672">
    <cfRule type="containsText" dxfId="3085" priority="4686" operator="containsText" text="Pesquisa de Preços">
      <formula>NOT(ISERROR(SEARCH("Pesquisa de Preços",D6672)))</formula>
    </cfRule>
  </conditionalFormatting>
  <conditionalFormatting sqref="E6673 E6675">
    <cfRule type="containsText" dxfId="3084" priority="4684" operator="containsText" text="Pesquisa de Preços">
      <formula>NOT(ISERROR(SEARCH("Pesquisa de Preços",E6673)))</formula>
    </cfRule>
  </conditionalFormatting>
  <conditionalFormatting sqref="D6679">
    <cfRule type="containsText" dxfId="3083" priority="4677" operator="containsText" text="Pesquisa de Preços">
      <formula>NOT(ISERROR(SEARCH("Pesquisa de Preços",D6679)))</formula>
    </cfRule>
  </conditionalFormatting>
  <conditionalFormatting sqref="E6676">
    <cfRule type="containsText" dxfId="3082" priority="4673" operator="containsText" text="Pesquisa de Preços">
      <formula>NOT(ISERROR(SEARCH("Pesquisa de Preços",E6676)))</formula>
    </cfRule>
  </conditionalFormatting>
  <conditionalFormatting sqref="D6677">
    <cfRule type="containsText" dxfId="3081" priority="4675" operator="containsText" text="Pesquisa de Preços">
      <formula>NOT(ISERROR(SEARCH("Pesquisa de Preços",D6677)))</formula>
    </cfRule>
  </conditionalFormatting>
  <conditionalFormatting sqref="D6676">
    <cfRule type="containsText" dxfId="3080" priority="4676" operator="containsText" text="Pesquisa de Preços">
      <formula>NOT(ISERROR(SEARCH("Pesquisa de Preços",D6676)))</formula>
    </cfRule>
  </conditionalFormatting>
  <conditionalFormatting sqref="E6677 E6679">
    <cfRule type="containsText" dxfId="3079" priority="4674" operator="containsText" text="Pesquisa de Preços">
      <formula>NOT(ISERROR(SEARCH("Pesquisa de Preços",E6677)))</formula>
    </cfRule>
  </conditionalFormatting>
  <conditionalFormatting sqref="D6867">
    <cfRule type="containsText" dxfId="3078" priority="4607" operator="containsText" text="Pesquisa de Preços">
      <formula>NOT(ISERROR(SEARCH("Pesquisa de Preços",D6867)))</formula>
    </cfRule>
  </conditionalFormatting>
  <conditionalFormatting sqref="E6864">
    <cfRule type="containsText" dxfId="3077" priority="4603" operator="containsText" text="Pesquisa de Preços">
      <formula>NOT(ISERROR(SEARCH("Pesquisa de Preços",E6864)))</formula>
    </cfRule>
  </conditionalFormatting>
  <conditionalFormatting sqref="D6865">
    <cfRule type="containsText" dxfId="3076" priority="4605" operator="containsText" text="Pesquisa de Preços">
      <formula>NOT(ISERROR(SEARCH("Pesquisa de Preços",D6865)))</formula>
    </cfRule>
  </conditionalFormatting>
  <conditionalFormatting sqref="D6864">
    <cfRule type="containsText" dxfId="3075" priority="4606" operator="containsText" text="Pesquisa de Preços">
      <formula>NOT(ISERROR(SEARCH("Pesquisa de Preços",D6864)))</formula>
    </cfRule>
  </conditionalFormatting>
  <conditionalFormatting sqref="E6865 E6867">
    <cfRule type="containsText" dxfId="3074" priority="4604" operator="containsText" text="Pesquisa de Preços">
      <formula>NOT(ISERROR(SEARCH("Pesquisa de Preços",E6865)))</formula>
    </cfRule>
  </conditionalFormatting>
  <conditionalFormatting sqref="D6871">
    <cfRule type="containsText" dxfId="3073" priority="4597" operator="containsText" text="Pesquisa de Preços">
      <formula>NOT(ISERROR(SEARCH("Pesquisa de Preços",D6871)))</formula>
    </cfRule>
  </conditionalFormatting>
  <conditionalFormatting sqref="E6868">
    <cfRule type="containsText" dxfId="3072" priority="4593" operator="containsText" text="Pesquisa de Preços">
      <formula>NOT(ISERROR(SEARCH("Pesquisa de Preços",E6868)))</formula>
    </cfRule>
  </conditionalFormatting>
  <conditionalFormatting sqref="D6869">
    <cfRule type="containsText" dxfId="3071" priority="4595" operator="containsText" text="Pesquisa de Preços">
      <formula>NOT(ISERROR(SEARCH("Pesquisa de Preços",D6869)))</formula>
    </cfRule>
  </conditionalFormatting>
  <conditionalFormatting sqref="D6868">
    <cfRule type="containsText" dxfId="3070" priority="4596" operator="containsText" text="Pesquisa de Preços">
      <formula>NOT(ISERROR(SEARCH("Pesquisa de Preços",D6868)))</formula>
    </cfRule>
  </conditionalFormatting>
  <conditionalFormatting sqref="E6869 E6871">
    <cfRule type="containsText" dxfId="3069" priority="4594" operator="containsText" text="Pesquisa de Preços">
      <formula>NOT(ISERROR(SEARCH("Pesquisa de Preços",E6869)))</formula>
    </cfRule>
  </conditionalFormatting>
  <conditionalFormatting sqref="D6875">
    <cfRule type="containsText" dxfId="3068" priority="4587" operator="containsText" text="Pesquisa de Preços">
      <formula>NOT(ISERROR(SEARCH("Pesquisa de Preços",D6875)))</formula>
    </cfRule>
  </conditionalFormatting>
  <conditionalFormatting sqref="E6872">
    <cfRule type="containsText" dxfId="3067" priority="4583" operator="containsText" text="Pesquisa de Preços">
      <formula>NOT(ISERROR(SEARCH("Pesquisa de Preços",E6872)))</formula>
    </cfRule>
  </conditionalFormatting>
  <conditionalFormatting sqref="D6873">
    <cfRule type="containsText" dxfId="3066" priority="4585" operator="containsText" text="Pesquisa de Preços">
      <formula>NOT(ISERROR(SEARCH("Pesquisa de Preços",D6873)))</formula>
    </cfRule>
  </conditionalFormatting>
  <conditionalFormatting sqref="D6872">
    <cfRule type="containsText" dxfId="3065" priority="4586" operator="containsText" text="Pesquisa de Preços">
      <formula>NOT(ISERROR(SEARCH("Pesquisa de Preços",D6872)))</formula>
    </cfRule>
  </conditionalFormatting>
  <conditionalFormatting sqref="E6873 E6875">
    <cfRule type="containsText" dxfId="3064" priority="4584" operator="containsText" text="Pesquisa de Preços">
      <formula>NOT(ISERROR(SEARCH("Pesquisa de Preços",E6873)))</formula>
    </cfRule>
  </conditionalFormatting>
  <conditionalFormatting sqref="D6879">
    <cfRule type="containsText" dxfId="3063" priority="4577" operator="containsText" text="Pesquisa de Preços">
      <formula>NOT(ISERROR(SEARCH("Pesquisa de Preços",D6879)))</formula>
    </cfRule>
  </conditionalFormatting>
  <conditionalFormatting sqref="E6876">
    <cfRule type="containsText" dxfId="3062" priority="4573" operator="containsText" text="Pesquisa de Preços">
      <formula>NOT(ISERROR(SEARCH("Pesquisa de Preços",E6876)))</formula>
    </cfRule>
  </conditionalFormatting>
  <conditionalFormatting sqref="D6877">
    <cfRule type="containsText" dxfId="3061" priority="4575" operator="containsText" text="Pesquisa de Preços">
      <formula>NOT(ISERROR(SEARCH("Pesquisa de Preços",D6877)))</formula>
    </cfRule>
  </conditionalFormatting>
  <conditionalFormatting sqref="D6876">
    <cfRule type="containsText" dxfId="3060" priority="4576" operator="containsText" text="Pesquisa de Preços">
      <formula>NOT(ISERROR(SEARCH("Pesquisa de Preços",D6876)))</formula>
    </cfRule>
  </conditionalFormatting>
  <conditionalFormatting sqref="E6877 E6879">
    <cfRule type="containsText" dxfId="3059" priority="4574" operator="containsText" text="Pesquisa de Preços">
      <formula>NOT(ISERROR(SEARCH("Pesquisa de Preços",E6877)))</formula>
    </cfRule>
  </conditionalFormatting>
  <conditionalFormatting sqref="D6883">
    <cfRule type="containsText" dxfId="3058" priority="4567" operator="containsText" text="Pesquisa de Preços">
      <formula>NOT(ISERROR(SEARCH("Pesquisa de Preços",D6883)))</formula>
    </cfRule>
  </conditionalFormatting>
  <conditionalFormatting sqref="E6880">
    <cfRule type="containsText" dxfId="3057" priority="4563" operator="containsText" text="Pesquisa de Preços">
      <formula>NOT(ISERROR(SEARCH("Pesquisa de Preços",E6880)))</formula>
    </cfRule>
  </conditionalFormatting>
  <conditionalFormatting sqref="D6881">
    <cfRule type="containsText" dxfId="3056" priority="4565" operator="containsText" text="Pesquisa de Preços">
      <formula>NOT(ISERROR(SEARCH("Pesquisa de Preços",D6881)))</formula>
    </cfRule>
  </conditionalFormatting>
  <conditionalFormatting sqref="D6880">
    <cfRule type="containsText" dxfId="3055" priority="4566" operator="containsText" text="Pesquisa de Preços">
      <formula>NOT(ISERROR(SEARCH("Pesquisa de Preços",D6880)))</formula>
    </cfRule>
  </conditionalFormatting>
  <conditionalFormatting sqref="E6881 E6883">
    <cfRule type="containsText" dxfId="3054" priority="4564" operator="containsText" text="Pesquisa de Preços">
      <formula>NOT(ISERROR(SEARCH("Pesquisa de Preços",E6881)))</formula>
    </cfRule>
  </conditionalFormatting>
  <conditionalFormatting sqref="D6887">
    <cfRule type="containsText" dxfId="3053" priority="4557" operator="containsText" text="Pesquisa de Preços">
      <formula>NOT(ISERROR(SEARCH("Pesquisa de Preços",D6887)))</formula>
    </cfRule>
  </conditionalFormatting>
  <conditionalFormatting sqref="E6884">
    <cfRule type="containsText" dxfId="3052" priority="4553" operator="containsText" text="Pesquisa de Preços">
      <formula>NOT(ISERROR(SEARCH("Pesquisa de Preços",E6884)))</formula>
    </cfRule>
  </conditionalFormatting>
  <conditionalFormatting sqref="D6885">
    <cfRule type="containsText" dxfId="3051" priority="4555" operator="containsText" text="Pesquisa de Preços">
      <formula>NOT(ISERROR(SEARCH("Pesquisa de Preços",D6885)))</formula>
    </cfRule>
  </conditionalFormatting>
  <conditionalFormatting sqref="D6884">
    <cfRule type="containsText" dxfId="3050" priority="4556" operator="containsText" text="Pesquisa de Preços">
      <formula>NOT(ISERROR(SEARCH("Pesquisa de Preços",D6884)))</formula>
    </cfRule>
  </conditionalFormatting>
  <conditionalFormatting sqref="E6885 E6887">
    <cfRule type="containsText" dxfId="3049" priority="4554" operator="containsText" text="Pesquisa de Preços">
      <formula>NOT(ISERROR(SEARCH("Pesquisa de Preços",E6885)))</formula>
    </cfRule>
  </conditionalFormatting>
  <conditionalFormatting sqref="D6895">
    <cfRule type="containsText" dxfId="3048" priority="4547" operator="containsText" text="Pesquisa de Preços">
      <formula>NOT(ISERROR(SEARCH("Pesquisa de Preços",D6895)))</formula>
    </cfRule>
  </conditionalFormatting>
  <conditionalFormatting sqref="E6912">
    <cfRule type="containsText" dxfId="3047" priority="4523" operator="containsText" text="Pesquisa de Preços">
      <formula>NOT(ISERROR(SEARCH("Pesquisa de Preços",E6912)))</formula>
    </cfRule>
  </conditionalFormatting>
  <conditionalFormatting sqref="E6896">
    <cfRule type="containsText" dxfId="3046" priority="4533" operator="containsText" text="Pesquisa de Preços">
      <formula>NOT(ISERROR(SEARCH("Pesquisa de Preços",E6896)))</formula>
    </cfRule>
  </conditionalFormatting>
  <conditionalFormatting sqref="E6897 E6899">
    <cfRule type="containsText" dxfId="3045" priority="4534" operator="containsText" text="Pesquisa de Preços">
      <formula>NOT(ISERROR(SEARCH("Pesquisa de Preços",E6897)))</formula>
    </cfRule>
  </conditionalFormatting>
  <conditionalFormatting sqref="E6895">
    <cfRule type="containsText" dxfId="3044" priority="4544" operator="containsText" text="Pesquisa de Preços">
      <formula>NOT(ISERROR(SEARCH("Pesquisa de Preços",E6895)))</formula>
    </cfRule>
  </conditionalFormatting>
  <conditionalFormatting sqref="D6899">
    <cfRule type="containsText" dxfId="3043" priority="4537" operator="containsText" text="Pesquisa de Preços">
      <formula>NOT(ISERROR(SEARCH("Pesquisa de Preços",D6899)))</formula>
    </cfRule>
  </conditionalFormatting>
  <conditionalFormatting sqref="D6913">
    <cfRule type="containsText" dxfId="3042" priority="4525" operator="containsText" text="Pesquisa de Preços">
      <formula>NOT(ISERROR(SEARCH("Pesquisa de Preços",D6913)))</formula>
    </cfRule>
  </conditionalFormatting>
  <conditionalFormatting sqref="D6897">
    <cfRule type="containsText" dxfId="3041" priority="4535" operator="containsText" text="Pesquisa de Preços">
      <formula>NOT(ISERROR(SEARCH("Pesquisa de Preços",D6897)))</formula>
    </cfRule>
  </conditionalFormatting>
  <conditionalFormatting sqref="D6896">
    <cfRule type="containsText" dxfId="3040" priority="4536" operator="containsText" text="Pesquisa de Preços">
      <formula>NOT(ISERROR(SEARCH("Pesquisa de Preços",D6896)))</formula>
    </cfRule>
  </conditionalFormatting>
  <conditionalFormatting sqref="D6912">
    <cfRule type="containsText" dxfId="3039" priority="4526" operator="containsText" text="Pesquisa de Preços">
      <formula>NOT(ISERROR(SEARCH("Pesquisa de Preços",D6912)))</formula>
    </cfRule>
  </conditionalFormatting>
  <conditionalFormatting sqref="D6915">
    <cfRule type="containsText" dxfId="3038" priority="4527" operator="containsText" text="Pesquisa de Preços">
      <formula>NOT(ISERROR(SEARCH("Pesquisa de Preços",D6915)))</formula>
    </cfRule>
  </conditionalFormatting>
  <conditionalFormatting sqref="D6931">
    <cfRule type="containsText" dxfId="3037" priority="4507" operator="containsText" text="Pesquisa de Preços">
      <formula>NOT(ISERROR(SEARCH("Pesquisa de Preços",D6931)))</formula>
    </cfRule>
  </conditionalFormatting>
  <conditionalFormatting sqref="E6932">
    <cfRule type="containsText" dxfId="3036" priority="4493" operator="containsText" text="Pesquisa de Preços">
      <formula>NOT(ISERROR(SEARCH("Pesquisa de Preços",E6932)))</formula>
    </cfRule>
  </conditionalFormatting>
  <conditionalFormatting sqref="E6913 E6915">
    <cfRule type="containsText" dxfId="3035" priority="4524" operator="containsText" text="Pesquisa de Preços">
      <formula>NOT(ISERROR(SEARCH("Pesquisa de Preços",E6913)))</formula>
    </cfRule>
  </conditionalFormatting>
  <conditionalFormatting sqref="D6927">
    <cfRule type="containsText" dxfId="3034" priority="4517" operator="containsText" text="Pesquisa de Preços">
      <formula>NOT(ISERROR(SEARCH("Pesquisa de Preços",D6927)))</formula>
    </cfRule>
  </conditionalFormatting>
  <conditionalFormatting sqref="E6924">
    <cfRule type="containsText" dxfId="3033" priority="4513" operator="containsText" text="Pesquisa de Preços">
      <formula>NOT(ISERROR(SEARCH("Pesquisa de Preços",E6924)))</formula>
    </cfRule>
  </conditionalFormatting>
  <conditionalFormatting sqref="D6925">
    <cfRule type="containsText" dxfId="3032" priority="4515" operator="containsText" text="Pesquisa de Preços">
      <formula>NOT(ISERROR(SEARCH("Pesquisa de Preços",D6925)))</formula>
    </cfRule>
  </conditionalFormatting>
  <conditionalFormatting sqref="D6924">
    <cfRule type="containsText" dxfId="3031" priority="4516" operator="containsText" text="Pesquisa de Preços">
      <formula>NOT(ISERROR(SEARCH("Pesquisa de Preços",D6924)))</formula>
    </cfRule>
  </conditionalFormatting>
  <conditionalFormatting sqref="E6925 E6927">
    <cfRule type="containsText" dxfId="3030" priority="4514" operator="containsText" text="Pesquisa de Preços">
      <formula>NOT(ISERROR(SEARCH("Pesquisa de Preços",E6925)))</formula>
    </cfRule>
  </conditionalFormatting>
  <conditionalFormatting sqref="E6933 E6935">
    <cfRule type="containsText" dxfId="3029" priority="4494" operator="containsText" text="Pesquisa de Preços">
      <formula>NOT(ISERROR(SEARCH("Pesquisa de Preços",E6933)))</formula>
    </cfRule>
  </conditionalFormatting>
  <conditionalFormatting sqref="E6928">
    <cfRule type="containsText" dxfId="3028" priority="4503" operator="containsText" text="Pesquisa de Preços">
      <formula>NOT(ISERROR(SEARCH("Pesquisa de Preços",E6928)))</formula>
    </cfRule>
  </conditionalFormatting>
  <conditionalFormatting sqref="D6929">
    <cfRule type="containsText" dxfId="3027" priority="4505" operator="containsText" text="Pesquisa de Preços">
      <formula>NOT(ISERROR(SEARCH("Pesquisa de Preços",D6929)))</formula>
    </cfRule>
  </conditionalFormatting>
  <conditionalFormatting sqref="D6633">
    <cfRule type="containsText" dxfId="3026" priority="4376" operator="containsText" text="Pesquisa de Preços">
      <formula>NOT(ISERROR(SEARCH("Pesquisa de Preços",D6633)))</formula>
    </cfRule>
  </conditionalFormatting>
  <conditionalFormatting sqref="D6928">
    <cfRule type="containsText" dxfId="3025" priority="4506" operator="containsText" text="Pesquisa de Preços">
      <formula>NOT(ISERROR(SEARCH("Pesquisa de Preços",D6928)))</formula>
    </cfRule>
  </conditionalFormatting>
  <conditionalFormatting sqref="E6929 E6931">
    <cfRule type="containsText" dxfId="3024" priority="4504" operator="containsText" text="Pesquisa de Preços">
      <formula>NOT(ISERROR(SEARCH("Pesquisa de Preços",E6929)))</formula>
    </cfRule>
  </conditionalFormatting>
  <conditionalFormatting sqref="D6935">
    <cfRule type="containsText" dxfId="3023" priority="4497" operator="containsText" text="Pesquisa de Preços">
      <formula>NOT(ISERROR(SEARCH("Pesquisa de Preços",D6935)))</formula>
    </cfRule>
  </conditionalFormatting>
  <conditionalFormatting sqref="E6948">
    <cfRule type="containsText" dxfId="3022" priority="4453" operator="containsText" text="Pesquisa de Preços">
      <formula>NOT(ISERROR(SEARCH("Pesquisa de Preços",E6948)))</formula>
    </cfRule>
  </conditionalFormatting>
  <conditionalFormatting sqref="D6933">
    <cfRule type="containsText" dxfId="3021" priority="4495" operator="containsText" text="Pesquisa de Preços">
      <formula>NOT(ISERROR(SEARCH("Pesquisa de Preços",D6933)))</formula>
    </cfRule>
  </conditionalFormatting>
  <conditionalFormatting sqref="D6932">
    <cfRule type="containsText" dxfId="3020" priority="4496" operator="containsText" text="Pesquisa de Preços">
      <formula>NOT(ISERROR(SEARCH("Pesquisa de Preços",D6932)))</formula>
    </cfRule>
  </conditionalFormatting>
  <conditionalFormatting sqref="E6949 E6951">
    <cfRule type="containsText" dxfId="3019" priority="4454" operator="containsText" text="Pesquisa de Preços">
      <formula>NOT(ISERROR(SEARCH("Pesquisa de Preços",E6949)))</formula>
    </cfRule>
  </conditionalFormatting>
  <conditionalFormatting sqref="D6939">
    <cfRule type="containsText" dxfId="3018" priority="4487" operator="containsText" text="Pesquisa de Preços">
      <formula>NOT(ISERROR(SEARCH("Pesquisa de Preços",D6939)))</formula>
    </cfRule>
  </conditionalFormatting>
  <conditionalFormatting sqref="E6936">
    <cfRule type="containsText" dxfId="3017" priority="4483" operator="containsText" text="Pesquisa de Preços">
      <formula>NOT(ISERROR(SEARCH("Pesquisa de Preços",E6936)))</formula>
    </cfRule>
  </conditionalFormatting>
  <conditionalFormatting sqref="D6937">
    <cfRule type="containsText" dxfId="3016" priority="4485" operator="containsText" text="Pesquisa de Preços">
      <formula>NOT(ISERROR(SEARCH("Pesquisa de Preços",D6937)))</formula>
    </cfRule>
  </conditionalFormatting>
  <conditionalFormatting sqref="D6936">
    <cfRule type="containsText" dxfId="3015" priority="4486" operator="containsText" text="Pesquisa de Preços">
      <formula>NOT(ISERROR(SEARCH("Pesquisa de Preços",D6936)))</formula>
    </cfRule>
  </conditionalFormatting>
  <conditionalFormatting sqref="E6937 E6939">
    <cfRule type="containsText" dxfId="3014" priority="4484" operator="containsText" text="Pesquisa de Preços">
      <formula>NOT(ISERROR(SEARCH("Pesquisa de Preços",E6937)))</formula>
    </cfRule>
  </conditionalFormatting>
  <conditionalFormatting sqref="D6943">
    <cfRule type="containsText" dxfId="3013" priority="4477" operator="containsText" text="Pesquisa de Preços">
      <formula>NOT(ISERROR(SEARCH("Pesquisa de Preços",D6943)))</formula>
    </cfRule>
  </conditionalFormatting>
  <conditionalFormatting sqref="E6940">
    <cfRule type="containsText" dxfId="3012" priority="4473" operator="containsText" text="Pesquisa de Preços">
      <formula>NOT(ISERROR(SEARCH("Pesquisa de Preços",E6940)))</formula>
    </cfRule>
  </conditionalFormatting>
  <conditionalFormatting sqref="D6941">
    <cfRule type="containsText" dxfId="3011" priority="4475" operator="containsText" text="Pesquisa de Preços">
      <formula>NOT(ISERROR(SEARCH("Pesquisa de Preços",D6941)))</formula>
    </cfRule>
  </conditionalFormatting>
  <conditionalFormatting sqref="D6940">
    <cfRule type="containsText" dxfId="3010" priority="4476" operator="containsText" text="Pesquisa de Preços">
      <formula>NOT(ISERROR(SEARCH("Pesquisa de Preços",D6940)))</formula>
    </cfRule>
  </conditionalFormatting>
  <conditionalFormatting sqref="E6941 E6943">
    <cfRule type="containsText" dxfId="3009" priority="4474" operator="containsText" text="Pesquisa de Preços">
      <formula>NOT(ISERROR(SEARCH("Pesquisa de Preços",E6941)))</formula>
    </cfRule>
  </conditionalFormatting>
  <conditionalFormatting sqref="D6947">
    <cfRule type="containsText" dxfId="3008" priority="4467" operator="containsText" text="Pesquisa de Preços">
      <formula>NOT(ISERROR(SEARCH("Pesquisa de Preços",D6947)))</formula>
    </cfRule>
  </conditionalFormatting>
  <conditionalFormatting sqref="E6944">
    <cfRule type="containsText" dxfId="3007" priority="4463" operator="containsText" text="Pesquisa de Preços">
      <formula>NOT(ISERROR(SEARCH("Pesquisa de Preços",E6944)))</formula>
    </cfRule>
  </conditionalFormatting>
  <conditionalFormatting sqref="D6945">
    <cfRule type="containsText" dxfId="3006" priority="4465" operator="containsText" text="Pesquisa de Preços">
      <formula>NOT(ISERROR(SEARCH("Pesquisa de Preços",D6945)))</formula>
    </cfRule>
  </conditionalFormatting>
  <conditionalFormatting sqref="D6944">
    <cfRule type="containsText" dxfId="3005" priority="4466" operator="containsText" text="Pesquisa de Preços">
      <formula>NOT(ISERROR(SEARCH("Pesquisa de Preços",D6944)))</formula>
    </cfRule>
  </conditionalFormatting>
  <conditionalFormatting sqref="E6945 E6947">
    <cfRule type="containsText" dxfId="3004" priority="4464" operator="containsText" text="Pesquisa de Preços">
      <formula>NOT(ISERROR(SEARCH("Pesquisa de Preços",E6945)))</formula>
    </cfRule>
  </conditionalFormatting>
  <conditionalFormatting sqref="D6951">
    <cfRule type="containsText" dxfId="3003" priority="4457" operator="containsText" text="Pesquisa de Preços">
      <formula>NOT(ISERROR(SEARCH("Pesquisa de Preços",D6951)))</formula>
    </cfRule>
  </conditionalFormatting>
  <conditionalFormatting sqref="D6635">
    <cfRule type="containsText" dxfId="3002" priority="4378" operator="containsText" text="Pesquisa de Preços">
      <formula>NOT(ISERROR(SEARCH("Pesquisa de Preços",D6635)))</formula>
    </cfRule>
  </conditionalFormatting>
  <conditionalFormatting sqref="D6949">
    <cfRule type="containsText" dxfId="3001" priority="4455" operator="containsText" text="Pesquisa de Preços">
      <formula>NOT(ISERROR(SEARCH("Pesquisa de Preços",D6949)))</formula>
    </cfRule>
  </conditionalFormatting>
  <conditionalFormatting sqref="D6948">
    <cfRule type="containsText" dxfId="3000" priority="4456" operator="containsText" text="Pesquisa de Preços">
      <formula>NOT(ISERROR(SEARCH("Pesquisa de Preços",D6948)))</formula>
    </cfRule>
  </conditionalFormatting>
  <conditionalFormatting sqref="D6955">
    <cfRule type="containsText" dxfId="2999" priority="4447" operator="containsText" text="Pesquisa de Preços">
      <formula>NOT(ISERROR(SEARCH("Pesquisa de Preços",D6955)))</formula>
    </cfRule>
  </conditionalFormatting>
  <conditionalFormatting sqref="E6952">
    <cfRule type="containsText" dxfId="2998" priority="4443" operator="containsText" text="Pesquisa de Preços">
      <formula>NOT(ISERROR(SEARCH("Pesquisa de Preços",E6952)))</formula>
    </cfRule>
  </conditionalFormatting>
  <conditionalFormatting sqref="D6953">
    <cfRule type="containsText" dxfId="2997" priority="4445" operator="containsText" text="Pesquisa de Preços">
      <formula>NOT(ISERROR(SEARCH("Pesquisa de Preços",D6953)))</formula>
    </cfRule>
  </conditionalFormatting>
  <conditionalFormatting sqref="D6952">
    <cfRule type="containsText" dxfId="2996" priority="4446" operator="containsText" text="Pesquisa de Preços">
      <formula>NOT(ISERROR(SEARCH("Pesquisa de Preços",D6952)))</formula>
    </cfRule>
  </conditionalFormatting>
  <conditionalFormatting sqref="E6953 E6955">
    <cfRule type="containsText" dxfId="2995" priority="4444" operator="containsText" text="Pesquisa de Preços">
      <formula>NOT(ISERROR(SEARCH("Pesquisa de Preços",E6953)))</formula>
    </cfRule>
  </conditionalFormatting>
  <conditionalFormatting sqref="D2717">
    <cfRule type="containsText" dxfId="2988" priority="4432" operator="containsText" text="Pesquisa de Preços">
      <formula>NOT(ISERROR(SEARCH("Pesquisa de Preços",D2717)))</formula>
    </cfRule>
  </conditionalFormatting>
  <conditionalFormatting sqref="D2713">
    <cfRule type="containsText" dxfId="2987" priority="4429" operator="containsText" text="Pesquisa de Preços">
      <formula>NOT(ISERROR(SEARCH("Pesquisa de Preços",D2713)))</formula>
    </cfRule>
  </conditionalFormatting>
  <conditionalFormatting sqref="D2725">
    <cfRule type="containsText" dxfId="2976" priority="4419" operator="containsText" text="Pesquisa de Preços">
      <formula>NOT(ISERROR(SEARCH("Pesquisa de Preços",D2725)))</formula>
    </cfRule>
  </conditionalFormatting>
  <conditionalFormatting sqref="D2721">
    <cfRule type="containsText" dxfId="2975" priority="4416" operator="containsText" text="Pesquisa de Preços">
      <formula>NOT(ISERROR(SEARCH("Pesquisa de Preços",D2721)))</formula>
    </cfRule>
  </conditionalFormatting>
  <conditionalFormatting sqref="D2737">
    <cfRule type="containsText" dxfId="2968" priority="4406" operator="containsText" text="Pesquisa de Preços">
      <formula>NOT(ISERROR(SEARCH("Pesquisa de Preços",D2737)))</formula>
    </cfRule>
  </conditionalFormatting>
  <conditionalFormatting sqref="D2733">
    <cfRule type="containsText" dxfId="2967" priority="4403" operator="containsText" text="Pesquisa de Preços">
      <formula>NOT(ISERROR(SEARCH("Pesquisa de Preços",D2733)))</formula>
    </cfRule>
  </conditionalFormatting>
  <conditionalFormatting sqref="D4733">
    <cfRule type="containsText" dxfId="2962" priority="4396" operator="containsText" text="Pesquisa de Preços">
      <formula>NOT(ISERROR(SEARCH("Pesquisa de Preços",D4733)))</formula>
    </cfRule>
  </conditionalFormatting>
  <conditionalFormatting sqref="D4737">
    <cfRule type="containsText" dxfId="2961" priority="4392" operator="containsText" text="Pesquisa de Preços">
      <formula>NOT(ISERROR(SEARCH("Pesquisa de Preços",D4737)))</formula>
    </cfRule>
  </conditionalFormatting>
  <conditionalFormatting sqref="D4745">
    <cfRule type="containsText" dxfId="2958" priority="4384" operator="containsText" text="Pesquisa de Preços">
      <formula>NOT(ISERROR(SEARCH("Pesquisa de Preços",D4745)))</formula>
    </cfRule>
  </conditionalFormatting>
  <conditionalFormatting sqref="E6632">
    <cfRule type="containsText" dxfId="2951" priority="4374" operator="containsText" text="Pesquisa de Preços">
      <formula>NOT(ISERROR(SEARCH("Pesquisa de Preços",E6632)))</formula>
    </cfRule>
  </conditionalFormatting>
  <conditionalFormatting sqref="D6632">
    <cfRule type="containsText" dxfId="2950" priority="4377" operator="containsText" text="Pesquisa de Preços">
      <formula>NOT(ISERROR(SEARCH("Pesquisa de Preços",D6632)))</formula>
    </cfRule>
  </conditionalFormatting>
  <conditionalFormatting sqref="E6633 E6635">
    <cfRule type="containsText" dxfId="2949" priority="4375" operator="containsText" text="Pesquisa de Preços">
      <formula>NOT(ISERROR(SEARCH("Pesquisa de Preços",E6633)))</formula>
    </cfRule>
  </conditionalFormatting>
  <conditionalFormatting sqref="D6495">
    <cfRule type="containsText" dxfId="2946" priority="4368" operator="containsText" text="Pesquisa de Preços">
      <formula>NOT(ISERROR(SEARCH("Pesquisa de Preços",D6495)))</formula>
    </cfRule>
  </conditionalFormatting>
  <conditionalFormatting sqref="E6492">
    <cfRule type="containsText" dxfId="2945" priority="4364" operator="containsText" text="Pesquisa de Preços">
      <formula>NOT(ISERROR(SEARCH("Pesquisa de Preços",E6492)))</formula>
    </cfRule>
  </conditionalFormatting>
  <conditionalFormatting sqref="D6493">
    <cfRule type="containsText" dxfId="2942" priority="4366" operator="containsText" text="Pesquisa de Preços">
      <formula>NOT(ISERROR(SEARCH("Pesquisa de Preços",D6493)))</formula>
    </cfRule>
  </conditionalFormatting>
  <conditionalFormatting sqref="D6492">
    <cfRule type="containsText" dxfId="2941" priority="4367" operator="containsText" text="Pesquisa de Preços">
      <formula>NOT(ISERROR(SEARCH("Pesquisa de Preços",D6492)))</formula>
    </cfRule>
  </conditionalFormatting>
  <conditionalFormatting sqref="E6493 E6495">
    <cfRule type="containsText" dxfId="2940" priority="4365" operator="containsText" text="Pesquisa de Preços">
      <formula>NOT(ISERROR(SEARCH("Pesquisa de Preços",E6493)))</formula>
    </cfRule>
  </conditionalFormatting>
  <conditionalFormatting sqref="D6537">
    <cfRule type="containsText" dxfId="2939" priority="4360" operator="containsText" text="Pesquisa de Preços">
      <formula>NOT(ISERROR(SEARCH("Pesquisa de Preços",D6537)))</formula>
    </cfRule>
  </conditionalFormatting>
  <conditionalFormatting sqref="E6536">
    <cfRule type="containsText" dxfId="2938" priority="4358" operator="containsText" text="Pesquisa de Preços">
      <formula>NOT(ISERROR(SEARCH("Pesquisa de Preços",E6536)))</formula>
    </cfRule>
  </conditionalFormatting>
  <conditionalFormatting sqref="D6539">
    <cfRule type="containsText" dxfId="2937" priority="4362" operator="containsText" text="Pesquisa de Preços">
      <formula>NOT(ISERROR(SEARCH("Pesquisa de Preços",D6539)))</formula>
    </cfRule>
  </conditionalFormatting>
  <conditionalFormatting sqref="D6536">
    <cfRule type="containsText" dxfId="2936" priority="4361" operator="containsText" text="Pesquisa de Preços">
      <formula>NOT(ISERROR(SEARCH("Pesquisa de Preços",D6536)))</formula>
    </cfRule>
  </conditionalFormatting>
  <conditionalFormatting sqref="E6537 E6539">
    <cfRule type="containsText" dxfId="2935" priority="4359" operator="containsText" text="Pesquisa de Preços">
      <formula>NOT(ISERROR(SEARCH("Pesquisa de Preços",E6537)))</formula>
    </cfRule>
  </conditionalFormatting>
  <conditionalFormatting sqref="D6585">
    <cfRule type="containsText" dxfId="2932" priority="4352" operator="containsText" text="Pesquisa de Preços">
      <formula>NOT(ISERROR(SEARCH("Pesquisa de Preços",D6585)))</formula>
    </cfRule>
  </conditionalFormatting>
  <conditionalFormatting sqref="E6584">
    <cfRule type="containsText" dxfId="2931" priority="4350" operator="containsText" text="Pesquisa de Preços">
      <formula>NOT(ISERROR(SEARCH("Pesquisa de Preços",E6584)))</formula>
    </cfRule>
  </conditionalFormatting>
  <conditionalFormatting sqref="D6587">
    <cfRule type="containsText" dxfId="2930" priority="4354" operator="containsText" text="Pesquisa de Preços">
      <formula>NOT(ISERROR(SEARCH("Pesquisa de Preços",D6587)))</formula>
    </cfRule>
  </conditionalFormatting>
  <conditionalFormatting sqref="D6584">
    <cfRule type="containsText" dxfId="2929" priority="4353" operator="containsText" text="Pesquisa de Preços">
      <formula>NOT(ISERROR(SEARCH("Pesquisa de Preços",D6584)))</formula>
    </cfRule>
  </conditionalFormatting>
  <conditionalFormatting sqref="E6585 E6587">
    <cfRule type="containsText" dxfId="2928" priority="4351" operator="containsText" text="Pesquisa de Preços">
      <formula>NOT(ISERROR(SEARCH("Pesquisa de Preços",E6585)))</formula>
    </cfRule>
  </conditionalFormatting>
  <conditionalFormatting sqref="D6649">
    <cfRule type="containsText" dxfId="2923" priority="4342" operator="containsText" text="Pesquisa de Preços">
      <formula>NOT(ISERROR(SEARCH("Pesquisa de Preços",D6649)))</formula>
    </cfRule>
  </conditionalFormatting>
  <conditionalFormatting sqref="E6648">
    <cfRule type="containsText" dxfId="2922" priority="4340" operator="containsText" text="Pesquisa de Preços">
      <formula>NOT(ISERROR(SEARCH("Pesquisa de Preços",E6648)))</formula>
    </cfRule>
  </conditionalFormatting>
  <conditionalFormatting sqref="D6651">
    <cfRule type="containsText" dxfId="2921" priority="4344" operator="containsText" text="Pesquisa de Preços">
      <formula>NOT(ISERROR(SEARCH("Pesquisa de Preços",D6651)))</formula>
    </cfRule>
  </conditionalFormatting>
  <conditionalFormatting sqref="D6648">
    <cfRule type="containsText" dxfId="2920" priority="4343" operator="containsText" text="Pesquisa de Preços">
      <formula>NOT(ISERROR(SEARCH("Pesquisa de Preços",D6648)))</formula>
    </cfRule>
  </conditionalFormatting>
  <conditionalFormatting sqref="E6649 E6651">
    <cfRule type="containsText" dxfId="2919" priority="4341" operator="containsText" text="Pesquisa de Preços">
      <formula>NOT(ISERROR(SEARCH("Pesquisa de Preços",E6649)))</formula>
    </cfRule>
  </conditionalFormatting>
  <conditionalFormatting sqref="D6653">
    <cfRule type="containsText" dxfId="2918" priority="4336" operator="containsText" text="Pesquisa de Preços">
      <formula>NOT(ISERROR(SEARCH("Pesquisa de Preços",D6653)))</formula>
    </cfRule>
  </conditionalFormatting>
  <conditionalFormatting sqref="E6652">
    <cfRule type="containsText" dxfId="2917" priority="4334" operator="containsText" text="Pesquisa de Preços">
      <formula>NOT(ISERROR(SEARCH("Pesquisa de Preços",E6652)))</formula>
    </cfRule>
  </conditionalFormatting>
  <conditionalFormatting sqref="D6655">
    <cfRule type="containsText" dxfId="2916" priority="4338" operator="containsText" text="Pesquisa de Preços">
      <formula>NOT(ISERROR(SEARCH("Pesquisa de Preços",D6655)))</formula>
    </cfRule>
  </conditionalFormatting>
  <conditionalFormatting sqref="D6652">
    <cfRule type="containsText" dxfId="2915" priority="4337" operator="containsText" text="Pesquisa de Preços">
      <formula>NOT(ISERROR(SEARCH("Pesquisa de Preços",D6652)))</formula>
    </cfRule>
  </conditionalFormatting>
  <conditionalFormatting sqref="E6653 E6655">
    <cfRule type="containsText" dxfId="2914" priority="4335" operator="containsText" text="Pesquisa de Preços">
      <formula>NOT(ISERROR(SEARCH("Pesquisa de Preços",E6653)))</formula>
    </cfRule>
  </conditionalFormatting>
  <conditionalFormatting sqref="D6657">
    <cfRule type="containsText" dxfId="2913" priority="4330" operator="containsText" text="Pesquisa de Preços">
      <formula>NOT(ISERROR(SEARCH("Pesquisa de Preços",D6657)))</formula>
    </cfRule>
  </conditionalFormatting>
  <conditionalFormatting sqref="E6656">
    <cfRule type="containsText" dxfId="2912" priority="4328" operator="containsText" text="Pesquisa de Preços">
      <formula>NOT(ISERROR(SEARCH("Pesquisa de Preços",E6656)))</formula>
    </cfRule>
  </conditionalFormatting>
  <conditionalFormatting sqref="D6659">
    <cfRule type="containsText" dxfId="2911" priority="4332" operator="containsText" text="Pesquisa de Preços">
      <formula>NOT(ISERROR(SEARCH("Pesquisa de Preços",D6659)))</formula>
    </cfRule>
  </conditionalFormatting>
  <conditionalFormatting sqref="D6656">
    <cfRule type="containsText" dxfId="2910" priority="4331" operator="containsText" text="Pesquisa de Preços">
      <formula>NOT(ISERROR(SEARCH("Pesquisa de Preços",D6656)))</formula>
    </cfRule>
  </conditionalFormatting>
  <conditionalFormatting sqref="E6657 E6659">
    <cfRule type="containsText" dxfId="2909" priority="4329" operator="containsText" text="Pesquisa de Preços">
      <formula>NOT(ISERROR(SEARCH("Pesquisa de Preços",E6657)))</formula>
    </cfRule>
  </conditionalFormatting>
  <conditionalFormatting sqref="D6629">
    <cfRule type="containsText" dxfId="2904" priority="4320" operator="containsText" text="Pesquisa de Preços">
      <formula>NOT(ISERROR(SEARCH("Pesquisa de Preços",D6629)))</formula>
    </cfRule>
  </conditionalFormatting>
  <conditionalFormatting sqref="E6628">
    <cfRule type="containsText" dxfId="2903" priority="4318" operator="containsText" text="Pesquisa de Preços">
      <formula>NOT(ISERROR(SEARCH("Pesquisa de Preços",E6628)))</formula>
    </cfRule>
  </conditionalFormatting>
  <conditionalFormatting sqref="D6631">
    <cfRule type="containsText" dxfId="2902" priority="4322" operator="containsText" text="Pesquisa de Preços">
      <formula>NOT(ISERROR(SEARCH("Pesquisa de Preços",D6631)))</formula>
    </cfRule>
  </conditionalFormatting>
  <conditionalFormatting sqref="D6628">
    <cfRule type="containsText" dxfId="2901" priority="4321" operator="containsText" text="Pesquisa de Preços">
      <formula>NOT(ISERROR(SEARCH("Pesquisa de Preços",D6628)))</formula>
    </cfRule>
  </conditionalFormatting>
  <conditionalFormatting sqref="E6629 E6631">
    <cfRule type="containsText" dxfId="2900" priority="4319" operator="containsText" text="Pesquisa de Preços">
      <formula>NOT(ISERROR(SEARCH("Pesquisa de Preços",E6629)))</formula>
    </cfRule>
  </conditionalFormatting>
  <conditionalFormatting sqref="D6625">
    <cfRule type="containsText" dxfId="2895" priority="4310" operator="containsText" text="Pesquisa de Preços">
      <formula>NOT(ISERROR(SEARCH("Pesquisa de Preços",D6625)))</formula>
    </cfRule>
  </conditionalFormatting>
  <conditionalFormatting sqref="E6624">
    <cfRule type="containsText" dxfId="2894" priority="4308" operator="containsText" text="Pesquisa de Preços">
      <formula>NOT(ISERROR(SEARCH("Pesquisa de Preços",E6624)))</formula>
    </cfRule>
  </conditionalFormatting>
  <conditionalFormatting sqref="D6627">
    <cfRule type="containsText" dxfId="2893" priority="4312" operator="containsText" text="Pesquisa de Preços">
      <formula>NOT(ISERROR(SEARCH("Pesquisa de Preços",D6627)))</formula>
    </cfRule>
  </conditionalFormatting>
  <conditionalFormatting sqref="D6624">
    <cfRule type="containsText" dxfId="2892" priority="4311" operator="containsText" text="Pesquisa de Preços">
      <formula>NOT(ISERROR(SEARCH("Pesquisa de Preços",D6624)))</formula>
    </cfRule>
  </conditionalFormatting>
  <conditionalFormatting sqref="E6625 E6627">
    <cfRule type="containsText" dxfId="2891" priority="4309" operator="containsText" text="Pesquisa de Preços">
      <formula>NOT(ISERROR(SEARCH("Pesquisa de Preços",E6625)))</formula>
    </cfRule>
  </conditionalFormatting>
  <conditionalFormatting sqref="D6681 D6685 D6689 D6693 D6697 D6701 D6705 D6709 D6713 D6717 D6725 D6729 D6733 D6737 D6741 D6745 D6749 D6753 D6757 D6761 D6765 D6769 D6773 D6777 D6781 D6785 D6789 D6793 D6797 D6801 D6805 D6809 D6813 D6817 D6821 D6825 D6829 D6833 D6837 D6841 D6857 D6861">
    <cfRule type="containsText" dxfId="2888" priority="4302" operator="containsText" text="Pesquisa de Preços">
      <formula>NOT(ISERROR(SEARCH("Pesquisa de Preços",D6681)))</formula>
    </cfRule>
  </conditionalFormatting>
  <conditionalFormatting sqref="E6680 E6684 E6688 E6692 E6696 E6700 E6704 E6708 E6712 E6716 E6724 E6728 E6732 E6736 E6740 E6744 E6748 E6752 E6756 E6760 E6764 E6768 E6772 E6776 E6780 E6784 E6788 E6792 E6796 E6800 E6804 E6808 E6812 E6816 E6820 E6824 E6828 E6832 E6836 E6840 E6856 E6860">
    <cfRule type="containsText" dxfId="2887" priority="4300" operator="containsText" text="Pesquisa de Preços">
      <formula>NOT(ISERROR(SEARCH("Pesquisa de Preços",E6680)))</formula>
    </cfRule>
  </conditionalFormatting>
  <conditionalFormatting sqref="D6683 D6687 D6691 D6695 D6699 D6703 D6707 D6711 D6715 D6719 D6727 D6731 D6735 D6739 D6743 D6747 D6751 D6755 D6759 D6763 D6767 D6771 D6775 D6779 D6783 D6787 D6791 D6795 D6799 D6803 D6807 D6811 D6815 D6819 D6823 D6827 D6831 D6835 D6839 D6843 D6859 D6863">
    <cfRule type="containsText" dxfId="2886" priority="4304" operator="containsText" text="Pesquisa de Preços">
      <formula>NOT(ISERROR(SEARCH("Pesquisa de Preços",D6683)))</formula>
    </cfRule>
  </conditionalFormatting>
  <conditionalFormatting sqref="D6680 D6684 D6688 D6692 D6696 D6700 D6704 D6708 D6712 D6716 D6724 D6728 D6732 D6736 D6740 D6744 D6748 D6752 D6756 D6760 D6764 D6768 D6772 D6776 D6780 D6784 D6788 D6792 D6796 D6800 D6804 D6808 D6812 D6816 D6820 D6824 D6828 D6832 D6836 D6840 D6856 D6860">
    <cfRule type="containsText" dxfId="2885" priority="4303" operator="containsText" text="Pesquisa de Preços">
      <formula>NOT(ISERROR(SEARCH("Pesquisa de Preços",D6680)))</formula>
    </cfRule>
  </conditionalFormatting>
  <conditionalFormatting sqref="E6681 E6685 E6689 E6693 E6697 E6701 E6705 E6709 E6713 E6717 E6725 E6729 E6733 E6737 E6741 E6745 E6749 E6753 E6757 E6761 E6765 E6769 E6773 E6777 E6781 E6785 E6789 E6793 E6797 E6801 E6805 E6809 E6813 E6817 E6821 E6825 E6829 E6833 E6837 E6841 E6857 E6861 E6683 E6687 E6691 E6695 E6699 E6703 E6707 E6711 E6715 E6719 E6727 E6731 E6735 E6739 E6743 E6747 E6751 E6755 E6759 E6763 E6767 E6771 E6775 E6779 E6783 E6787 E6791 E6795 E6799 E6803 E6807 E6811 E6815 E6819 E6823 E6827 E6831 E6835 E6839 E6843 E6859 E6863">
    <cfRule type="containsText" dxfId="2884" priority="4301" operator="containsText" text="Pesquisa de Preços">
      <formula>NOT(ISERROR(SEARCH("Pesquisa de Preços",E6681)))</formula>
    </cfRule>
  </conditionalFormatting>
  <conditionalFormatting sqref="D6901">
    <cfRule type="containsText" dxfId="2881" priority="4288" operator="containsText" text="Pesquisa de Preços">
      <formula>NOT(ISERROR(SEARCH("Pesquisa de Preços",D6901)))</formula>
    </cfRule>
  </conditionalFormatting>
  <conditionalFormatting sqref="E6900">
    <cfRule type="containsText" dxfId="2880" priority="4286" operator="containsText" text="Pesquisa de Preços">
      <formula>NOT(ISERROR(SEARCH("Pesquisa de Preços",E6900)))</formula>
    </cfRule>
  </conditionalFormatting>
  <conditionalFormatting sqref="D6903">
    <cfRule type="containsText" dxfId="2879" priority="4290" operator="containsText" text="Pesquisa de Preços">
      <formula>NOT(ISERROR(SEARCH("Pesquisa de Preços",D6903)))</formula>
    </cfRule>
  </conditionalFormatting>
  <conditionalFormatting sqref="D6900">
    <cfRule type="containsText" dxfId="2878" priority="4289" operator="containsText" text="Pesquisa de Preços">
      <formula>NOT(ISERROR(SEARCH("Pesquisa de Preços",D6900)))</formula>
    </cfRule>
  </conditionalFormatting>
  <conditionalFormatting sqref="E6901 E6903">
    <cfRule type="containsText" dxfId="2877" priority="4287" operator="containsText" text="Pesquisa de Preços">
      <formula>NOT(ISERROR(SEARCH("Pesquisa de Preços",E6901)))</formula>
    </cfRule>
  </conditionalFormatting>
  <conditionalFormatting sqref="D6905">
    <cfRule type="containsText" dxfId="2874" priority="4280" operator="containsText" text="Pesquisa de Preços">
      <formula>NOT(ISERROR(SEARCH("Pesquisa de Preços",D6905)))</formula>
    </cfRule>
  </conditionalFormatting>
  <conditionalFormatting sqref="E6904">
    <cfRule type="containsText" dxfId="2873" priority="4278" operator="containsText" text="Pesquisa de Preços">
      <formula>NOT(ISERROR(SEARCH("Pesquisa de Preços",E6904)))</formula>
    </cfRule>
  </conditionalFormatting>
  <conditionalFormatting sqref="D6907">
    <cfRule type="containsText" dxfId="2872" priority="4282" operator="containsText" text="Pesquisa de Preços">
      <formula>NOT(ISERROR(SEARCH("Pesquisa de Preços",D6907)))</formula>
    </cfRule>
  </conditionalFormatting>
  <conditionalFormatting sqref="D6904">
    <cfRule type="containsText" dxfId="2871" priority="4281" operator="containsText" text="Pesquisa de Preços">
      <formula>NOT(ISERROR(SEARCH("Pesquisa de Preços",D6904)))</formula>
    </cfRule>
  </conditionalFormatting>
  <conditionalFormatting sqref="E6905 E6907">
    <cfRule type="containsText" dxfId="2870" priority="4279" operator="containsText" text="Pesquisa de Preços">
      <formula>NOT(ISERROR(SEARCH("Pesquisa de Preços",E6905)))</formula>
    </cfRule>
  </conditionalFormatting>
  <conditionalFormatting sqref="D6921">
    <cfRule type="containsText" dxfId="2867" priority="4272" operator="containsText" text="Pesquisa de Preços">
      <formula>NOT(ISERROR(SEARCH("Pesquisa de Preços",D6921)))</formula>
    </cfRule>
  </conditionalFormatting>
  <conditionalFormatting sqref="E6920">
    <cfRule type="containsText" dxfId="2866" priority="4270" operator="containsText" text="Pesquisa de Preços">
      <formula>NOT(ISERROR(SEARCH("Pesquisa de Preços",E6920)))</formula>
    </cfRule>
  </conditionalFormatting>
  <conditionalFormatting sqref="D6923">
    <cfRule type="containsText" dxfId="2865" priority="4274" operator="containsText" text="Pesquisa de Preços">
      <formula>NOT(ISERROR(SEARCH("Pesquisa de Preços",D6923)))</formula>
    </cfRule>
  </conditionalFormatting>
  <conditionalFormatting sqref="D6920">
    <cfRule type="containsText" dxfId="2864" priority="4273" operator="containsText" text="Pesquisa de Preços">
      <formula>NOT(ISERROR(SEARCH("Pesquisa de Preços",D6920)))</formula>
    </cfRule>
  </conditionalFormatting>
  <conditionalFormatting sqref="E6921 E6923">
    <cfRule type="containsText" dxfId="2863" priority="4271" operator="containsText" text="Pesquisa de Preços">
      <formula>NOT(ISERROR(SEARCH("Pesquisa de Preços",E6921)))</formula>
    </cfRule>
  </conditionalFormatting>
  <conditionalFormatting sqref="D6917">
    <cfRule type="containsText" dxfId="2860" priority="4264" operator="containsText" text="Pesquisa de Preços">
      <formula>NOT(ISERROR(SEARCH("Pesquisa de Preços",D6917)))</formula>
    </cfRule>
  </conditionalFormatting>
  <conditionalFormatting sqref="E6916">
    <cfRule type="containsText" dxfId="2859" priority="4262" operator="containsText" text="Pesquisa de Preços">
      <formula>NOT(ISERROR(SEARCH("Pesquisa de Preços",E6916)))</formula>
    </cfRule>
  </conditionalFormatting>
  <conditionalFormatting sqref="D6919">
    <cfRule type="containsText" dxfId="2858" priority="4266" operator="containsText" text="Pesquisa de Preços">
      <formula>NOT(ISERROR(SEARCH("Pesquisa de Preços",D6919)))</formula>
    </cfRule>
  </conditionalFormatting>
  <conditionalFormatting sqref="D6916">
    <cfRule type="containsText" dxfId="2857" priority="4265" operator="containsText" text="Pesquisa de Preços">
      <formula>NOT(ISERROR(SEARCH("Pesquisa de Preços",D6916)))</formula>
    </cfRule>
  </conditionalFormatting>
  <conditionalFormatting sqref="E6917 E6919">
    <cfRule type="containsText" dxfId="2856" priority="4263" operator="containsText" text="Pesquisa de Preços">
      <formula>NOT(ISERROR(SEARCH("Pesquisa de Preços",E6917)))</formula>
    </cfRule>
  </conditionalFormatting>
  <conditionalFormatting sqref="E6956 E6960 E6968 E6972 E6976 E6980 E6984 E6988 E6992 E6996 E7000 E7004 E7012 E7016 E7020 E7024 E7028 E7032 E7048">
    <cfRule type="containsText" dxfId="2853" priority="4254" operator="containsText" text="Pesquisa de Preços">
      <formula>NOT(ISERROR(SEARCH("Pesquisa de Preços",E6956)))</formula>
    </cfRule>
  </conditionalFormatting>
  <conditionalFormatting sqref="D6957 D6961 D6969 D6973 D6977 D6981 D6985 D6989 D6993 D6997 D7001 D7005 D7013 D7017 D7021 D7025 D7029 D7033 D7049">
    <cfRule type="containsText" dxfId="2852" priority="4256" operator="containsText" text="Pesquisa de Preços">
      <formula>NOT(ISERROR(SEARCH("Pesquisa de Preços",D6957)))</formula>
    </cfRule>
  </conditionalFormatting>
  <conditionalFormatting sqref="D6959 D6963 D6971 D6975 D6979 D6983 D6987 D6991 D6995 D6999 D7003 D7007 D7015 D7019 D7023 D7027 D7031 D7035 D7051">
    <cfRule type="containsText" dxfId="2851" priority="4258" operator="containsText" text="Pesquisa de Preços">
      <formula>NOT(ISERROR(SEARCH("Pesquisa de Preços",D6959)))</formula>
    </cfRule>
  </conditionalFormatting>
  <conditionalFormatting sqref="D6956 D6960 D6968 D6972 D6976 D6980 D6984 D6988 D6992 D6996 D7000 D7004 D7012 D7016 D7020 D7024 D7028 D7032 D7048">
    <cfRule type="containsText" dxfId="2850" priority="4257" operator="containsText" text="Pesquisa de Preços">
      <formula>NOT(ISERROR(SEARCH("Pesquisa de Preços",D6956)))</formula>
    </cfRule>
  </conditionalFormatting>
  <conditionalFormatting sqref="E6957 E6961 E6969 E6973 E6977 E6981 E6985 E6989 E6993 E6997 E7001 E7005 E7013 E7017 E7021 E7025 E7029 E7033 E7049 E6959 E6963 E6971 E6975 E6979 E6983 E6987 E6991 E6995 E6999 E7003 E7007 E7015 E7019 E7023 E7027 E7031 E7035 E7051">
    <cfRule type="containsText" dxfId="2849" priority="4255" operator="containsText" text="Pesquisa de Preços">
      <formula>NOT(ISERROR(SEARCH("Pesquisa de Preços",E6957)))</formula>
    </cfRule>
  </conditionalFormatting>
  <conditionalFormatting sqref="D7053 D7057 D7061 D7065 D7069 D7073 D7077 D7081 D7085 D7089 D7093 D7097 D7101 D7105 D7109 D7113 D7117 D7121 D7125 D7129 D7133 D7137 D7141 D7213">
    <cfRule type="containsText" dxfId="2846" priority="4248" operator="containsText" text="Pesquisa de Preços">
      <formula>NOT(ISERROR(SEARCH("Pesquisa de Preços",D7053)))</formula>
    </cfRule>
  </conditionalFormatting>
  <conditionalFormatting sqref="E7052 E7056 E7060 E7064 E7068 E7072 E7076 E7080 E7084 E7088 E7092 E7096 E7100 E7104 E7108 E7112 E7116 E7120 E7124 E7128 E7132 E7136 E7140 E7212">
    <cfRule type="containsText" dxfId="2845" priority="4246" operator="containsText" text="Pesquisa de Preços">
      <formula>NOT(ISERROR(SEARCH("Pesquisa de Preços",E7052)))</formula>
    </cfRule>
  </conditionalFormatting>
  <conditionalFormatting sqref="D7055 D7059 D7063 D7067 D7071 D7075 D7079 D7083 D7087 D7091 D7095 D7099 D7103 D7107 D7111 D7115 D7119 D7123 D7127 D7131 D7135 D7139 D7143 D7215">
    <cfRule type="containsText" dxfId="2844" priority="4250" operator="containsText" text="Pesquisa de Preços">
      <formula>NOT(ISERROR(SEARCH("Pesquisa de Preços",D7055)))</formula>
    </cfRule>
  </conditionalFormatting>
  <conditionalFormatting sqref="D7052 D7056 D7060 D7064 D7068 D7072 D7076 D7080 D7084 D7088 D7092 D7096 D7100 D7104 D7108 D7112 D7116 D7120 D7124 D7128 D7132 D7136 D7140 D7212">
    <cfRule type="containsText" dxfId="2843" priority="4249" operator="containsText" text="Pesquisa de Preços">
      <formula>NOT(ISERROR(SEARCH("Pesquisa de Preços",D7052)))</formula>
    </cfRule>
  </conditionalFormatting>
  <conditionalFormatting sqref="E7053 E7057 E7061 E7065 E7069 E7073 E7077 E7081 E7085 E7089 E7093 E7097 E7101 E7105 E7109 E7113 E7117 E7121 E7125 E7129 E7133 E7137 E7141 E7213 E7055 E7059 E7063 E7067 E7071 E7075 E7079 E7083 E7087 E7091 E7095 E7099 E7103 E7107 E7111 E7115 E7119 E7123 E7127 E7131 E7135 E7139 E7143 E7215">
    <cfRule type="containsText" dxfId="2842" priority="4247" operator="containsText" text="Pesquisa de Preços">
      <formula>NOT(ISERROR(SEARCH("Pesquisa de Preços",E7053)))</formula>
    </cfRule>
  </conditionalFormatting>
  <conditionalFormatting sqref="D7037">
    <cfRule type="containsText" dxfId="2839" priority="4240" operator="containsText" text="Pesquisa de Preços">
      <formula>NOT(ISERROR(SEARCH("Pesquisa de Preços",D7037)))</formula>
    </cfRule>
  </conditionalFormatting>
  <conditionalFormatting sqref="E7036">
    <cfRule type="containsText" dxfId="2838" priority="4238" operator="containsText" text="Pesquisa de Preços">
      <formula>NOT(ISERROR(SEARCH("Pesquisa de Preços",E7036)))</formula>
    </cfRule>
  </conditionalFormatting>
  <conditionalFormatting sqref="D7039">
    <cfRule type="containsText" dxfId="2837" priority="4242" operator="containsText" text="Pesquisa de Preços">
      <formula>NOT(ISERROR(SEARCH("Pesquisa de Preços",D7039)))</formula>
    </cfRule>
  </conditionalFormatting>
  <conditionalFormatting sqref="D7036">
    <cfRule type="containsText" dxfId="2836" priority="4241" operator="containsText" text="Pesquisa de Preços">
      <formula>NOT(ISERROR(SEARCH("Pesquisa de Preços",D7036)))</formula>
    </cfRule>
  </conditionalFormatting>
  <conditionalFormatting sqref="E7037 E7039">
    <cfRule type="containsText" dxfId="2835" priority="4239" operator="containsText" text="Pesquisa de Preços">
      <formula>NOT(ISERROR(SEARCH("Pesquisa de Preços",E7037)))</formula>
    </cfRule>
  </conditionalFormatting>
  <conditionalFormatting sqref="D7041">
    <cfRule type="containsText" dxfId="2832" priority="4232" operator="containsText" text="Pesquisa de Preços">
      <formula>NOT(ISERROR(SEARCH("Pesquisa de Preços",D7041)))</formula>
    </cfRule>
  </conditionalFormatting>
  <conditionalFormatting sqref="E7040">
    <cfRule type="containsText" dxfId="2831" priority="4230" operator="containsText" text="Pesquisa de Preços">
      <formula>NOT(ISERROR(SEARCH("Pesquisa de Preços",E7040)))</formula>
    </cfRule>
  </conditionalFormatting>
  <conditionalFormatting sqref="D7043">
    <cfRule type="containsText" dxfId="2830" priority="4234" operator="containsText" text="Pesquisa de Preços">
      <formula>NOT(ISERROR(SEARCH("Pesquisa de Preços",D7043)))</formula>
    </cfRule>
  </conditionalFormatting>
  <conditionalFormatting sqref="D7040">
    <cfRule type="containsText" dxfId="2829" priority="4233" operator="containsText" text="Pesquisa de Preços">
      <formula>NOT(ISERROR(SEARCH("Pesquisa de Preços",D7040)))</formula>
    </cfRule>
  </conditionalFormatting>
  <conditionalFormatting sqref="E7041 E7043">
    <cfRule type="containsText" dxfId="2828" priority="4231" operator="containsText" text="Pesquisa de Preços">
      <formula>NOT(ISERROR(SEARCH("Pesquisa de Preços",E7041)))</formula>
    </cfRule>
  </conditionalFormatting>
  <conditionalFormatting sqref="D7045">
    <cfRule type="containsText" dxfId="2825" priority="4224" operator="containsText" text="Pesquisa de Preços">
      <formula>NOT(ISERROR(SEARCH("Pesquisa de Preços",D7045)))</formula>
    </cfRule>
  </conditionalFormatting>
  <conditionalFormatting sqref="E7044">
    <cfRule type="containsText" dxfId="2824" priority="4222" operator="containsText" text="Pesquisa de Preços">
      <formula>NOT(ISERROR(SEARCH("Pesquisa de Preços",E7044)))</formula>
    </cfRule>
  </conditionalFormatting>
  <conditionalFormatting sqref="D7047">
    <cfRule type="containsText" dxfId="2823" priority="4226" operator="containsText" text="Pesquisa de Preços">
      <formula>NOT(ISERROR(SEARCH("Pesquisa de Preços",D7047)))</formula>
    </cfRule>
  </conditionalFormatting>
  <conditionalFormatting sqref="D7044">
    <cfRule type="containsText" dxfId="2822" priority="4225" operator="containsText" text="Pesquisa de Preços">
      <formula>NOT(ISERROR(SEARCH("Pesquisa de Preços",D7044)))</formula>
    </cfRule>
  </conditionalFormatting>
  <conditionalFormatting sqref="E7045 E7047">
    <cfRule type="containsText" dxfId="2821" priority="4223" operator="containsText" text="Pesquisa de Preços">
      <formula>NOT(ISERROR(SEARCH("Pesquisa de Preços",E7045)))</formula>
    </cfRule>
  </conditionalFormatting>
  <conditionalFormatting sqref="D6845">
    <cfRule type="containsText" dxfId="2818" priority="4216" operator="containsText" text="Pesquisa de Preços">
      <formula>NOT(ISERROR(SEARCH("Pesquisa de Preços",D6845)))</formula>
    </cfRule>
  </conditionalFormatting>
  <conditionalFormatting sqref="E6844">
    <cfRule type="containsText" dxfId="2817" priority="4214" operator="containsText" text="Pesquisa de Preços">
      <formula>NOT(ISERROR(SEARCH("Pesquisa de Preços",E6844)))</formula>
    </cfRule>
  </conditionalFormatting>
  <conditionalFormatting sqref="D6847">
    <cfRule type="containsText" dxfId="2816" priority="4218" operator="containsText" text="Pesquisa de Preços">
      <formula>NOT(ISERROR(SEARCH("Pesquisa de Preços",D6847)))</formula>
    </cfRule>
  </conditionalFormatting>
  <conditionalFormatting sqref="D6844">
    <cfRule type="containsText" dxfId="2815" priority="4217" operator="containsText" text="Pesquisa de Preços">
      <formula>NOT(ISERROR(SEARCH("Pesquisa de Preços",D6844)))</formula>
    </cfRule>
  </conditionalFormatting>
  <conditionalFormatting sqref="E6845 E6847">
    <cfRule type="containsText" dxfId="2814" priority="4215" operator="containsText" text="Pesquisa de Preços">
      <formula>NOT(ISERROR(SEARCH("Pesquisa de Preços",E6845)))</formula>
    </cfRule>
  </conditionalFormatting>
  <conditionalFormatting sqref="D6721">
    <cfRule type="containsText" dxfId="2811" priority="4208" operator="containsText" text="Pesquisa de Preços">
      <formula>NOT(ISERROR(SEARCH("Pesquisa de Preços",D6721)))</formula>
    </cfRule>
  </conditionalFormatting>
  <conditionalFormatting sqref="E6720">
    <cfRule type="containsText" dxfId="2810" priority="4206" operator="containsText" text="Pesquisa de Preços">
      <formula>NOT(ISERROR(SEARCH("Pesquisa de Preços",E6720)))</formula>
    </cfRule>
  </conditionalFormatting>
  <conditionalFormatting sqref="D6723">
    <cfRule type="containsText" dxfId="2809" priority="4210" operator="containsText" text="Pesquisa de Preços">
      <formula>NOT(ISERROR(SEARCH("Pesquisa de Preços",D6723)))</formula>
    </cfRule>
  </conditionalFormatting>
  <conditionalFormatting sqref="D6720">
    <cfRule type="containsText" dxfId="2808" priority="4209" operator="containsText" text="Pesquisa de Preços">
      <formula>NOT(ISERROR(SEARCH("Pesquisa de Preços",D6720)))</formula>
    </cfRule>
  </conditionalFormatting>
  <conditionalFormatting sqref="E6721 E6723">
    <cfRule type="containsText" dxfId="2807" priority="4207" operator="containsText" text="Pesquisa de Preços">
      <formula>NOT(ISERROR(SEARCH("Pesquisa de Preços",E6721)))</formula>
    </cfRule>
  </conditionalFormatting>
  <conditionalFormatting sqref="D6557">
    <cfRule type="containsText" dxfId="2802" priority="4198" operator="containsText" text="Pesquisa de Preços">
      <formula>NOT(ISERROR(SEARCH("Pesquisa de Preços",D6557)))</formula>
    </cfRule>
  </conditionalFormatting>
  <conditionalFormatting sqref="E6556">
    <cfRule type="containsText" dxfId="2801" priority="4196" operator="containsText" text="Pesquisa de Preços">
      <formula>NOT(ISERROR(SEARCH("Pesquisa de Preços",E6556)))</formula>
    </cfRule>
  </conditionalFormatting>
  <conditionalFormatting sqref="D6559">
    <cfRule type="containsText" dxfId="2800" priority="4200" operator="containsText" text="Pesquisa de Preços">
      <formula>NOT(ISERROR(SEARCH("Pesquisa de Preços",D6559)))</formula>
    </cfRule>
  </conditionalFormatting>
  <conditionalFormatting sqref="D6556">
    <cfRule type="containsText" dxfId="2799" priority="4199" operator="containsText" text="Pesquisa de Preços">
      <formula>NOT(ISERROR(SEARCH("Pesquisa de Preços",D6556)))</formula>
    </cfRule>
  </conditionalFormatting>
  <conditionalFormatting sqref="E6557 E6559">
    <cfRule type="containsText" dxfId="2798" priority="4197" operator="containsText" text="Pesquisa de Preços">
      <formula>NOT(ISERROR(SEARCH("Pesquisa de Preços",E6557)))</formula>
    </cfRule>
  </conditionalFormatting>
  <conditionalFormatting sqref="D6889">
    <cfRule type="containsText" dxfId="2795" priority="4190" operator="containsText" text="Pesquisa de Preços">
      <formula>NOT(ISERROR(SEARCH("Pesquisa de Preços",D6889)))</formula>
    </cfRule>
  </conditionalFormatting>
  <conditionalFormatting sqref="E6888">
    <cfRule type="containsText" dxfId="2794" priority="4188" operator="containsText" text="Pesquisa de Preços">
      <formula>NOT(ISERROR(SEARCH("Pesquisa de Preços",E6888)))</formula>
    </cfRule>
  </conditionalFormatting>
  <conditionalFormatting sqref="D6891">
    <cfRule type="containsText" dxfId="2793" priority="4192" operator="containsText" text="Pesquisa de Preços">
      <formula>NOT(ISERROR(SEARCH("Pesquisa de Preços",D6891)))</formula>
    </cfRule>
  </conditionalFormatting>
  <conditionalFormatting sqref="D6888">
    <cfRule type="containsText" dxfId="2792" priority="4191" operator="containsText" text="Pesquisa de Preços">
      <formula>NOT(ISERROR(SEARCH("Pesquisa de Preços",D6888)))</formula>
    </cfRule>
  </conditionalFormatting>
  <conditionalFormatting sqref="E6889 E6891">
    <cfRule type="containsText" dxfId="2791" priority="4189" operator="containsText" text="Pesquisa de Preços">
      <formula>NOT(ISERROR(SEARCH("Pesquisa de Preços",E6889)))</formula>
    </cfRule>
  </conditionalFormatting>
  <conditionalFormatting sqref="E6892">
    <cfRule type="containsText" dxfId="2788" priority="4182" operator="containsText" text="Pesquisa de Preços">
      <formula>NOT(ISERROR(SEARCH("Pesquisa de Preços",E6892)))</formula>
    </cfRule>
  </conditionalFormatting>
  <conditionalFormatting sqref="D6893">
    <cfRule type="containsText" dxfId="2787" priority="4184" operator="containsText" text="Pesquisa de Preços">
      <formula>NOT(ISERROR(SEARCH("Pesquisa de Preços",D6893)))</formula>
    </cfRule>
  </conditionalFormatting>
  <conditionalFormatting sqref="D6892">
    <cfRule type="containsText" dxfId="2786" priority="4185" operator="containsText" text="Pesquisa de Preços">
      <formula>NOT(ISERROR(SEARCH("Pesquisa de Preços",D6892)))</formula>
    </cfRule>
  </conditionalFormatting>
  <conditionalFormatting sqref="E6893">
    <cfRule type="containsText" dxfId="2785" priority="4183" operator="containsText" text="Pesquisa de Preços">
      <formula>NOT(ISERROR(SEARCH("Pesquisa de Preços",E6893)))</formula>
    </cfRule>
  </conditionalFormatting>
  <conditionalFormatting sqref="D7009">
    <cfRule type="containsText" dxfId="2784" priority="4178" operator="containsText" text="Pesquisa de Preços">
      <formula>NOT(ISERROR(SEARCH("Pesquisa de Preços",D7009)))</formula>
    </cfRule>
  </conditionalFormatting>
  <conditionalFormatting sqref="E7008">
    <cfRule type="containsText" dxfId="2783" priority="4176" operator="containsText" text="Pesquisa de Preços">
      <formula>NOT(ISERROR(SEARCH("Pesquisa de Preços",E7008)))</formula>
    </cfRule>
  </conditionalFormatting>
  <conditionalFormatting sqref="D7011">
    <cfRule type="containsText" dxfId="2782" priority="4180" operator="containsText" text="Pesquisa de Preços">
      <formula>NOT(ISERROR(SEARCH("Pesquisa de Preços",D7011)))</formula>
    </cfRule>
  </conditionalFormatting>
  <conditionalFormatting sqref="D7008">
    <cfRule type="containsText" dxfId="2781" priority="4179" operator="containsText" text="Pesquisa de Preços">
      <formula>NOT(ISERROR(SEARCH("Pesquisa de Preços",D7008)))</formula>
    </cfRule>
  </conditionalFormatting>
  <conditionalFormatting sqref="E7009 E7011">
    <cfRule type="containsText" dxfId="2780" priority="4177" operator="containsText" text="Pesquisa de Preços">
      <formula>NOT(ISERROR(SEARCH("Pesquisa de Preços",E7009)))</formula>
    </cfRule>
  </conditionalFormatting>
  <conditionalFormatting sqref="D6849 D6853">
    <cfRule type="containsText" dxfId="2777" priority="4162" operator="containsText" text="Pesquisa de Preços">
      <formula>NOT(ISERROR(SEARCH("Pesquisa de Preços",D6849)))</formula>
    </cfRule>
  </conditionalFormatting>
  <conditionalFormatting sqref="E6848 E6852">
    <cfRule type="containsText" dxfId="2776" priority="4160" operator="containsText" text="Pesquisa de Preços">
      <formula>NOT(ISERROR(SEARCH("Pesquisa de Preços",E6848)))</formula>
    </cfRule>
  </conditionalFormatting>
  <conditionalFormatting sqref="D6851 D6855">
    <cfRule type="containsText" dxfId="2775" priority="4164" operator="containsText" text="Pesquisa de Preços">
      <formula>NOT(ISERROR(SEARCH("Pesquisa de Preços",D6851)))</formula>
    </cfRule>
  </conditionalFormatting>
  <conditionalFormatting sqref="D6848 D6852">
    <cfRule type="containsText" dxfId="2774" priority="4163" operator="containsText" text="Pesquisa de Preços">
      <formula>NOT(ISERROR(SEARCH("Pesquisa de Preços",D6848)))</formula>
    </cfRule>
  </conditionalFormatting>
  <conditionalFormatting sqref="E6849 E6853 E6851 E6855">
    <cfRule type="containsText" dxfId="2773" priority="4161" operator="containsText" text="Pesquisa de Preços">
      <formula>NOT(ISERROR(SEARCH("Pesquisa de Preços",E6849)))</formula>
    </cfRule>
  </conditionalFormatting>
  <conditionalFormatting sqref="D7162">
    <cfRule type="containsText" dxfId="2770" priority="4120" operator="containsText" text="Pesquisa de Preços">
      <formula>NOT(ISERROR(SEARCH("Pesquisa de Preços",D7162)))</formula>
    </cfRule>
  </conditionalFormatting>
  <conditionalFormatting sqref="D7156">
    <cfRule type="containsText" dxfId="2769" priority="4124" operator="containsText" text="Pesquisa de Preços">
      <formula>NOT(ISERROR(SEARCH("Pesquisa de Preços",D7156)))</formula>
    </cfRule>
  </conditionalFormatting>
  <conditionalFormatting sqref="D7217">
    <cfRule type="containsText" dxfId="2766" priority="4154" operator="containsText" text="Pesquisa de Preços">
      <formula>NOT(ISERROR(SEARCH("Pesquisa de Preços",D7217)))</formula>
    </cfRule>
  </conditionalFormatting>
  <conditionalFormatting sqref="E7216">
    <cfRule type="containsText" dxfId="2765" priority="4152" operator="containsText" text="Pesquisa de Preços">
      <formula>NOT(ISERROR(SEARCH("Pesquisa de Preços",E7216)))</formula>
    </cfRule>
  </conditionalFormatting>
  <conditionalFormatting sqref="D7219">
    <cfRule type="containsText" dxfId="2764" priority="4156" operator="containsText" text="Pesquisa de Preços">
      <formula>NOT(ISERROR(SEARCH("Pesquisa de Preços",D7219)))</formula>
    </cfRule>
  </conditionalFormatting>
  <conditionalFormatting sqref="D7216">
    <cfRule type="containsText" dxfId="2763" priority="4155" operator="containsText" text="Pesquisa de Preços">
      <formula>NOT(ISERROR(SEARCH("Pesquisa de Preços",D7216)))</formula>
    </cfRule>
  </conditionalFormatting>
  <conditionalFormatting sqref="E7217 E7219">
    <cfRule type="containsText" dxfId="2762" priority="4153" operator="containsText" text="Pesquisa de Preços">
      <formula>NOT(ISERROR(SEARCH("Pesquisa de Preços",E7217)))</formula>
    </cfRule>
  </conditionalFormatting>
  <conditionalFormatting sqref="D7205">
    <cfRule type="containsText" dxfId="2759" priority="4146" operator="containsText" text="Pesquisa de Preços">
      <formula>NOT(ISERROR(SEARCH("Pesquisa de Preços",D7205)))</formula>
    </cfRule>
  </conditionalFormatting>
  <conditionalFormatting sqref="E7204">
    <cfRule type="containsText" dxfId="2758" priority="4144" operator="containsText" text="Pesquisa de Preços">
      <formula>NOT(ISERROR(SEARCH("Pesquisa de Preços",E7204)))</formula>
    </cfRule>
  </conditionalFormatting>
  <conditionalFormatting sqref="D7207">
    <cfRule type="containsText" dxfId="2757" priority="4148" operator="containsText" text="Pesquisa de Preços">
      <formula>NOT(ISERROR(SEARCH("Pesquisa de Preços",D7207)))</formula>
    </cfRule>
  </conditionalFormatting>
  <conditionalFormatting sqref="D7204">
    <cfRule type="containsText" dxfId="2756" priority="4147" operator="containsText" text="Pesquisa de Preços">
      <formula>NOT(ISERROR(SEARCH("Pesquisa de Preços",D7204)))</formula>
    </cfRule>
  </conditionalFormatting>
  <conditionalFormatting sqref="E7205 E7207">
    <cfRule type="containsText" dxfId="2755" priority="4145" operator="containsText" text="Pesquisa de Preços">
      <formula>NOT(ISERROR(SEARCH("Pesquisa de Preços",E7205)))</formula>
    </cfRule>
  </conditionalFormatting>
  <conditionalFormatting sqref="D7209">
    <cfRule type="containsText" dxfId="2752" priority="4138" operator="containsText" text="Pesquisa de Preços">
      <formula>NOT(ISERROR(SEARCH("Pesquisa de Preços",D7209)))</formula>
    </cfRule>
  </conditionalFormatting>
  <conditionalFormatting sqref="E7208">
    <cfRule type="containsText" dxfId="2751" priority="4136" operator="containsText" text="Pesquisa de Preços">
      <formula>NOT(ISERROR(SEARCH("Pesquisa de Preços",E7208)))</formula>
    </cfRule>
  </conditionalFormatting>
  <conditionalFormatting sqref="D7211">
    <cfRule type="containsText" dxfId="2750" priority="4140" operator="containsText" text="Pesquisa de Preços">
      <formula>NOT(ISERROR(SEARCH("Pesquisa de Preços",D7211)))</formula>
    </cfRule>
  </conditionalFormatting>
  <conditionalFormatting sqref="D7208">
    <cfRule type="containsText" dxfId="2749" priority="4139" operator="containsText" text="Pesquisa de Preços">
      <formula>NOT(ISERROR(SEARCH("Pesquisa de Preços",D7208)))</formula>
    </cfRule>
  </conditionalFormatting>
  <conditionalFormatting sqref="E7209 E7211">
    <cfRule type="containsText" dxfId="2748" priority="4137" operator="containsText" text="Pesquisa de Preços">
      <formula>NOT(ISERROR(SEARCH("Pesquisa de Preços",E7209)))</formula>
    </cfRule>
  </conditionalFormatting>
  <conditionalFormatting sqref="D7144">
    <cfRule type="containsText" dxfId="2745" priority="4132" operator="containsText" text="Pesquisa de Preços">
      <formula>NOT(ISERROR(SEARCH("Pesquisa de Preços",D7144)))</formula>
    </cfRule>
  </conditionalFormatting>
  <conditionalFormatting sqref="D7150">
    <cfRule type="containsText" dxfId="2742" priority="4128" operator="containsText" text="Pesquisa de Preços">
      <formula>NOT(ISERROR(SEARCH("Pesquisa de Preços",D7150)))</formula>
    </cfRule>
  </conditionalFormatting>
  <conditionalFormatting sqref="D3760">
    <cfRule type="containsText" dxfId="2739" priority="4049" operator="containsText" text="Pesquisa de Preços">
      <formula>NOT(ISERROR(SEARCH("Pesquisa de Preços",D3760)))</formula>
    </cfRule>
  </conditionalFormatting>
  <conditionalFormatting sqref="D3766">
    <cfRule type="containsText" dxfId="2736" priority="4045" operator="containsText" text="Pesquisa de Preços">
      <formula>NOT(ISERROR(SEARCH("Pesquisa de Preços",D3766)))</formula>
    </cfRule>
  </conditionalFormatting>
  <conditionalFormatting sqref="D7168">
    <cfRule type="containsText" dxfId="2733" priority="4116" operator="containsText" text="Pesquisa de Preços">
      <formula>NOT(ISERROR(SEARCH("Pesquisa de Preços",D7168)))</formula>
    </cfRule>
  </conditionalFormatting>
  <conditionalFormatting sqref="D7174">
    <cfRule type="containsText" dxfId="2730" priority="4112" operator="containsText" text="Pesquisa de Preços">
      <formula>NOT(ISERROR(SEARCH("Pesquisa de Preços",D7174)))</formula>
    </cfRule>
  </conditionalFormatting>
  <conditionalFormatting sqref="D7180">
    <cfRule type="containsText" dxfId="2729" priority="4108" operator="containsText" text="Pesquisa de Preços">
      <formula>NOT(ISERROR(SEARCH("Pesquisa de Preços",D7180)))</formula>
    </cfRule>
  </conditionalFormatting>
  <conditionalFormatting sqref="D7186">
    <cfRule type="containsText" dxfId="2726" priority="4104" operator="containsText" text="Pesquisa de Preços">
      <formula>NOT(ISERROR(SEARCH("Pesquisa de Preços",D7186)))</formula>
    </cfRule>
  </conditionalFormatting>
  <conditionalFormatting sqref="D7192">
    <cfRule type="containsText" dxfId="2725" priority="4100" operator="containsText" text="Pesquisa de Preços">
      <formula>NOT(ISERROR(SEARCH("Pesquisa de Preços",D7192)))</formula>
    </cfRule>
  </conditionalFormatting>
  <conditionalFormatting sqref="D7198">
    <cfRule type="containsText" dxfId="2724" priority="4096" operator="containsText" text="Pesquisa de Preços">
      <formula>NOT(ISERROR(SEARCH("Pesquisa de Preços",D7198)))</formula>
    </cfRule>
  </conditionalFormatting>
  <conditionalFormatting sqref="D6909">
    <cfRule type="containsText" dxfId="2721" priority="4090" operator="containsText" text="Pesquisa de Preços">
      <formula>NOT(ISERROR(SEARCH("Pesquisa de Preços",D6909)))</formula>
    </cfRule>
  </conditionalFormatting>
  <conditionalFormatting sqref="E6908">
    <cfRule type="containsText" dxfId="2720" priority="4088" operator="containsText" text="Pesquisa de Preços">
      <formula>NOT(ISERROR(SEARCH("Pesquisa de Preços",E6908)))</formula>
    </cfRule>
  </conditionalFormatting>
  <conditionalFormatting sqref="D6911">
    <cfRule type="containsText" dxfId="2719" priority="4092" operator="containsText" text="Pesquisa de Preços">
      <formula>NOT(ISERROR(SEARCH("Pesquisa de Preços",D6911)))</formula>
    </cfRule>
  </conditionalFormatting>
  <conditionalFormatting sqref="D6908">
    <cfRule type="containsText" dxfId="2718" priority="4091" operator="containsText" text="Pesquisa de Preços">
      <formula>NOT(ISERROR(SEARCH("Pesquisa de Preços",D6908)))</formula>
    </cfRule>
  </conditionalFormatting>
  <conditionalFormatting sqref="E6909 E6911">
    <cfRule type="containsText" dxfId="2717" priority="4089" operator="containsText" text="Pesquisa de Preços">
      <formula>NOT(ISERROR(SEARCH("Pesquisa de Preços",E6909)))</formula>
    </cfRule>
  </conditionalFormatting>
  <conditionalFormatting sqref="D3754">
    <cfRule type="containsText" dxfId="2685" priority="4053" operator="containsText" text="Pesquisa de Preços">
      <formula>NOT(ISERROR(SEARCH("Pesquisa de Preços",D3754)))</formula>
    </cfRule>
  </conditionalFormatting>
  <conditionalFormatting sqref="D3772">
    <cfRule type="containsText" dxfId="2682" priority="4041" operator="containsText" text="Pesquisa de Preços">
      <formula>NOT(ISERROR(SEARCH("Pesquisa de Preços",D3772)))</formula>
    </cfRule>
  </conditionalFormatting>
  <conditionalFormatting sqref="D3778">
    <cfRule type="containsText" dxfId="2681" priority="4037" operator="containsText" text="Pesquisa de Preços">
      <formula>NOT(ISERROR(SEARCH("Pesquisa de Preços",D3778)))</formula>
    </cfRule>
  </conditionalFormatting>
  <conditionalFormatting sqref="D3784">
    <cfRule type="containsText" dxfId="2680" priority="4033" operator="containsText" text="Pesquisa de Preços">
      <formula>NOT(ISERROR(SEARCH("Pesquisa de Preços",D3784)))</formula>
    </cfRule>
  </conditionalFormatting>
  <conditionalFormatting sqref="D3790">
    <cfRule type="containsText" dxfId="2679" priority="4029" operator="containsText" text="Pesquisa de Preços">
      <formula>NOT(ISERROR(SEARCH("Pesquisa de Preços",D3790)))</formula>
    </cfRule>
  </conditionalFormatting>
  <conditionalFormatting sqref="D3796">
    <cfRule type="containsText" dxfId="2678" priority="4025" operator="containsText" text="Pesquisa de Preços">
      <formula>NOT(ISERROR(SEARCH("Pesquisa de Preços",D3796)))</formula>
    </cfRule>
  </conditionalFormatting>
  <conditionalFormatting sqref="D3802">
    <cfRule type="containsText" dxfId="2675" priority="4021" operator="containsText" text="Pesquisa de Preços">
      <formula>NOT(ISERROR(SEARCH("Pesquisa de Preços",D3802)))</formula>
    </cfRule>
  </conditionalFormatting>
  <conditionalFormatting sqref="D2701">
    <cfRule type="containsText" dxfId="2668" priority="4011" operator="containsText" text="Pesquisa de Preços">
      <formula>NOT(ISERROR(SEARCH("Pesquisa de Preços",D2701)))</formula>
    </cfRule>
  </conditionalFormatting>
  <conditionalFormatting sqref="D2705">
    <cfRule type="containsText" dxfId="2665" priority="4004" operator="containsText" text="Pesquisa de Preços">
      <formula>NOT(ISERROR(SEARCH("Pesquisa de Preços",D2705)))</formula>
    </cfRule>
  </conditionalFormatting>
  <conditionalFormatting sqref="D2709">
    <cfRule type="containsText" dxfId="2660" priority="3997" operator="containsText" text="Pesquisa de Preços">
      <formula>NOT(ISERROR(SEARCH("Pesquisa de Preços",D2709)))</formula>
    </cfRule>
  </conditionalFormatting>
  <conditionalFormatting sqref="D2729">
    <cfRule type="containsText" dxfId="2657" priority="3991" operator="containsText" text="Pesquisa de Preços">
      <formula>NOT(ISERROR(SEARCH("Pesquisa de Preços",D2729)))</formula>
    </cfRule>
  </conditionalFormatting>
  <conditionalFormatting sqref="D2741">
    <cfRule type="containsText" dxfId="2654" priority="3981" operator="containsText" text="Pesquisa de Preços">
      <formula>NOT(ISERROR(SEARCH("Pesquisa de Preços",D2741)))</formula>
    </cfRule>
  </conditionalFormatting>
  <conditionalFormatting sqref="D3447">
    <cfRule type="containsText" dxfId="2651" priority="3978" operator="containsText" text="Pesquisa de Preços">
      <formula>NOT(ISERROR(SEARCH("Pesquisa de Preços",D3447)))</formula>
    </cfRule>
  </conditionalFormatting>
  <conditionalFormatting sqref="D3518">
    <cfRule type="containsText" dxfId="2648" priority="3974" operator="containsText" text="Pesquisa de Preços">
      <formula>NOT(ISERROR(SEARCH("Pesquisa de Preços",D3518)))</formula>
    </cfRule>
  </conditionalFormatting>
  <conditionalFormatting sqref="D4729">
    <cfRule type="containsText" dxfId="2647" priority="3968" operator="containsText" text="Pesquisa de Preços">
      <formula>NOT(ISERROR(SEARCH("Pesquisa de Preços",D4729)))</formula>
    </cfRule>
  </conditionalFormatting>
  <conditionalFormatting sqref="D6030">
    <cfRule type="containsText" dxfId="2646" priority="3955" operator="containsText" text="Pesquisa de Preços">
      <formula>NOT(ISERROR(SEARCH("Pesquisa de Preços",D6030)))</formula>
    </cfRule>
  </conditionalFormatting>
  <conditionalFormatting sqref="D6050">
    <cfRule type="containsText" dxfId="2643" priority="3944" operator="containsText" text="Pesquisa de Preços">
      <formula>NOT(ISERROR(SEARCH("Pesquisa de Preços",D6050)))</formula>
    </cfRule>
  </conditionalFormatting>
  <conditionalFormatting sqref="D4741">
    <cfRule type="containsText" dxfId="2642" priority="3964" operator="containsText" text="Pesquisa de Preços">
      <formula>NOT(ISERROR(SEARCH("Pesquisa de Preços",D4741)))</formula>
    </cfRule>
  </conditionalFormatting>
  <conditionalFormatting sqref="D6126">
    <cfRule type="containsText" dxfId="2635" priority="3937" operator="containsText" text="Pesquisa de Preços">
      <formula>NOT(ISERROR(SEARCH("Pesquisa de Preços",D6126)))</formula>
    </cfRule>
  </conditionalFormatting>
  <conditionalFormatting sqref="D6046">
    <cfRule type="containsText" dxfId="2628" priority="3945" operator="containsText" text="Pesquisa de Preços">
      <formula>NOT(ISERROR(SEARCH("Pesquisa de Preços",D6046)))</formula>
    </cfRule>
  </conditionalFormatting>
  <conditionalFormatting sqref="D6130">
    <cfRule type="containsText" dxfId="2623" priority="3930" operator="containsText" text="Pesquisa de Preços">
      <formula>NOT(ISERROR(SEARCH("Pesquisa de Preços",D6130)))</formula>
    </cfRule>
  </conditionalFormatting>
  <conditionalFormatting sqref="D6134">
    <cfRule type="containsText" dxfId="2618" priority="3923" operator="containsText" text="Pesquisa de Preços">
      <formula>NOT(ISERROR(SEARCH("Pesquisa de Preços",D6134)))</formula>
    </cfRule>
  </conditionalFormatting>
  <conditionalFormatting sqref="D6967">
    <cfRule type="containsText" dxfId="2613" priority="3919" operator="containsText" text="Pesquisa de Preços">
      <formula>NOT(ISERROR(SEARCH("Pesquisa de Preços",D6967)))</formula>
    </cfRule>
  </conditionalFormatting>
  <conditionalFormatting sqref="E6964">
    <cfRule type="containsText" dxfId="2610" priority="3915" operator="containsText" text="Pesquisa de Preços">
      <formula>NOT(ISERROR(SEARCH("Pesquisa de Preços",E6964)))</formula>
    </cfRule>
  </conditionalFormatting>
  <conditionalFormatting sqref="D6965">
    <cfRule type="containsText" dxfId="2609" priority="3917" operator="containsText" text="Pesquisa de Preços">
      <formula>NOT(ISERROR(SEARCH("Pesquisa de Preços",D6965)))</formula>
    </cfRule>
  </conditionalFormatting>
  <conditionalFormatting sqref="D6964">
    <cfRule type="containsText" dxfId="2608" priority="3918" operator="containsText" text="Pesquisa de Preços">
      <formula>NOT(ISERROR(SEARCH("Pesquisa de Preços",D6964)))</formula>
    </cfRule>
  </conditionalFormatting>
  <conditionalFormatting sqref="E6965 E6967">
    <cfRule type="containsText" dxfId="2607" priority="3916" operator="containsText" text="Pesquisa de Preços">
      <formula>NOT(ISERROR(SEARCH("Pesquisa de Preços",E6965)))</formula>
    </cfRule>
  </conditionalFormatting>
  <conditionalFormatting sqref="E307">
    <cfRule type="containsText" dxfId="2602" priority="3910" operator="containsText" text="Pesquisa de Preços">
      <formula>NOT(ISERROR(SEARCH("Pesquisa de Preços",E307)))</formula>
    </cfRule>
  </conditionalFormatting>
  <conditionalFormatting sqref="D7231">
    <cfRule type="containsText" dxfId="2601" priority="3904" operator="containsText" text="Pesquisa de Preços">
      <formula>NOT(ISERROR(SEARCH("Pesquisa de Preços",D7231)))</formula>
    </cfRule>
  </conditionalFormatting>
  <conditionalFormatting sqref="D7226">
    <cfRule type="containsText" dxfId="2600" priority="3901" operator="containsText" text="Pesquisa de Preços">
      <formula>NOT(ISERROR(SEARCH("Pesquisa de Preços",D7226)))</formula>
    </cfRule>
  </conditionalFormatting>
  <conditionalFormatting sqref="D7232">
    <cfRule type="containsText" dxfId="2599" priority="3894" operator="containsText" text="Pesquisa de Preços">
      <formula>NOT(ISERROR(SEARCH("Pesquisa de Preços",D7232)))</formula>
    </cfRule>
  </conditionalFormatting>
  <conditionalFormatting sqref="E7235">
    <cfRule type="containsText" dxfId="2598" priority="3885" operator="containsText" text="Pesquisa de Preços">
      <formula>NOT(ISERROR(SEARCH("Pesquisa de Preços",E7235)))</formula>
    </cfRule>
  </conditionalFormatting>
  <conditionalFormatting sqref="E7220">
    <cfRule type="containsText" dxfId="2597" priority="3877" operator="containsText" text="Pesquisa de Preços">
      <formula>NOT(ISERROR(SEARCH("Pesquisa de Preços",E7220)))</formula>
    </cfRule>
  </conditionalFormatting>
  <conditionalFormatting sqref="E7223">
    <cfRule type="containsText" dxfId="2596" priority="3876" operator="containsText" text="Pesquisa de Preços">
      <formula>NOT(ISERROR(SEARCH("Pesquisa de Preços",E7223)))</formula>
    </cfRule>
  </conditionalFormatting>
  <conditionalFormatting sqref="D7220">
    <cfRule type="containsText" dxfId="2593" priority="3881" operator="containsText" text="Pesquisa de Preços">
      <formula>NOT(ISERROR(SEARCH("Pesquisa de Preços",D7220)))</formula>
    </cfRule>
  </conditionalFormatting>
  <conditionalFormatting sqref="D7221 D7224:D7225">
    <cfRule type="containsText" dxfId="2592" priority="3880" operator="containsText" text="Pesquisa de Preços">
      <formula>NOT(ISERROR(SEARCH("Pesquisa de Preços",D7221)))</formula>
    </cfRule>
  </conditionalFormatting>
  <conditionalFormatting sqref="E7221:E7222 E7224:E7225">
    <cfRule type="containsText" dxfId="2591" priority="3878" operator="containsText" text="Pesquisa de Preços">
      <formula>NOT(ISERROR(SEARCH("Pesquisa de Preços",E7221)))</formula>
    </cfRule>
  </conditionalFormatting>
  <conditionalFormatting sqref="E7236">
    <cfRule type="containsText" dxfId="2590" priority="3865" operator="containsText" text="Pesquisa de Preços">
      <formula>NOT(ISERROR(SEARCH("Pesquisa de Preços",E7236)))</formula>
    </cfRule>
  </conditionalFormatting>
  <conditionalFormatting sqref="E7237">
    <cfRule type="containsText" dxfId="2589" priority="3864" operator="containsText" text="Pesquisa de Preços">
      <formula>NOT(ISERROR(SEARCH("Pesquisa de Preços",E7237)))</formula>
    </cfRule>
  </conditionalFormatting>
  <conditionalFormatting sqref="D6431">
    <cfRule type="containsText" dxfId="2588" priority="3862" operator="containsText" text="Pesquisa de Preços">
      <formula>NOT(ISERROR(SEARCH("Pesquisa de Preços",D6431)))</formula>
    </cfRule>
  </conditionalFormatting>
  <conditionalFormatting sqref="D6436">
    <cfRule type="containsText" dxfId="2585" priority="3856" operator="containsText" text="Pesquisa de Preços">
      <formula>NOT(ISERROR(SEARCH("Pesquisa de Preços",D6436)))</formula>
    </cfRule>
  </conditionalFormatting>
  <conditionalFormatting sqref="D7267">
    <cfRule type="containsText" dxfId="2582" priority="3849" operator="containsText" text="Pesquisa de Preços">
      <formula>NOT(ISERROR(SEARCH("Pesquisa de Preços",D7267)))</formula>
    </cfRule>
  </conditionalFormatting>
  <conditionalFormatting sqref="E7266">
    <cfRule type="containsText" dxfId="2581" priority="3847" operator="containsText" text="Pesquisa de Preços">
      <formula>NOT(ISERROR(SEARCH("Pesquisa de Preços",E7266)))</formula>
    </cfRule>
  </conditionalFormatting>
  <conditionalFormatting sqref="D7269">
    <cfRule type="containsText" dxfId="2580" priority="3851" operator="containsText" text="Pesquisa de Preços">
      <formula>NOT(ISERROR(SEARCH("Pesquisa de Preços",D7269)))</formula>
    </cfRule>
  </conditionalFormatting>
  <conditionalFormatting sqref="D7266">
    <cfRule type="containsText" dxfId="2579" priority="3850" operator="containsText" text="Pesquisa de Preços">
      <formula>NOT(ISERROR(SEARCH("Pesquisa de Preços",D7266)))</formula>
    </cfRule>
  </conditionalFormatting>
  <conditionalFormatting sqref="E7267 E7269">
    <cfRule type="containsText" dxfId="2578" priority="3848" operator="containsText" text="Pesquisa de Preços">
      <formula>NOT(ISERROR(SEARCH("Pesquisa de Preços",E7267)))</formula>
    </cfRule>
  </conditionalFormatting>
  <conditionalFormatting sqref="D7271">
    <cfRule type="containsText" dxfId="2577" priority="3841" operator="containsText" text="Pesquisa de Preços">
      <formula>NOT(ISERROR(SEARCH("Pesquisa de Preços",D7271)))</formula>
    </cfRule>
  </conditionalFormatting>
  <conditionalFormatting sqref="E7270">
    <cfRule type="containsText" dxfId="2576" priority="3839" operator="containsText" text="Pesquisa de Preços">
      <formula>NOT(ISERROR(SEARCH("Pesquisa de Preços",E7270)))</formula>
    </cfRule>
  </conditionalFormatting>
  <conditionalFormatting sqref="D7273">
    <cfRule type="containsText" dxfId="2575" priority="3843" operator="containsText" text="Pesquisa de Preços">
      <formula>NOT(ISERROR(SEARCH("Pesquisa de Preços",D7273)))</formula>
    </cfRule>
  </conditionalFormatting>
  <conditionalFormatting sqref="D7270">
    <cfRule type="containsText" dxfId="2574" priority="3842" operator="containsText" text="Pesquisa de Preços">
      <formula>NOT(ISERROR(SEARCH("Pesquisa de Preços",D7270)))</formula>
    </cfRule>
  </conditionalFormatting>
  <conditionalFormatting sqref="E7271 E7273">
    <cfRule type="containsText" dxfId="2573" priority="3840" operator="containsText" text="Pesquisa de Preços">
      <formula>NOT(ISERROR(SEARCH("Pesquisa de Preços",E7271)))</formula>
    </cfRule>
  </conditionalFormatting>
  <conditionalFormatting sqref="D2621">
    <cfRule type="containsText" dxfId="2570" priority="3835" operator="containsText" text="Pesquisa de Preços">
      <formula>NOT(ISERROR(SEARCH("Pesquisa de Preços",D2621)))</formula>
    </cfRule>
  </conditionalFormatting>
  <conditionalFormatting sqref="D4749">
    <cfRule type="containsText" dxfId="2565" priority="3827" operator="containsText" text="Pesquisa de Preços">
      <formula>NOT(ISERROR(SEARCH("Pesquisa de Preços",D4749)))</formula>
    </cfRule>
  </conditionalFormatting>
  <conditionalFormatting sqref="D4753">
    <cfRule type="containsText" dxfId="2560" priority="3821" operator="containsText" text="Pesquisa de Preços">
      <formula>NOT(ISERROR(SEARCH("Pesquisa de Preços",D4753)))</formula>
    </cfRule>
  </conditionalFormatting>
  <conditionalFormatting sqref="D7286">
    <cfRule type="containsText" dxfId="2555" priority="3815" operator="containsText" text="Pesquisa de Preços">
      <formula>NOT(ISERROR(SEARCH("Pesquisa de Preços",D7286)))</formula>
    </cfRule>
  </conditionalFormatting>
  <conditionalFormatting sqref="D7278">
    <cfRule type="containsText" dxfId="2554" priority="3811" operator="containsText" text="Pesquisa de Preços">
      <formula>NOT(ISERROR(SEARCH("Pesquisa de Preços",D7278)))</formula>
    </cfRule>
  </conditionalFormatting>
  <conditionalFormatting sqref="D7282">
    <cfRule type="containsText" dxfId="2553" priority="3807" operator="containsText" text="Pesquisa de Preços">
      <formula>NOT(ISERROR(SEARCH("Pesquisa de Preços",D7282)))</formula>
    </cfRule>
  </conditionalFormatting>
  <conditionalFormatting sqref="D7290">
    <cfRule type="containsText" dxfId="2552" priority="3795" operator="containsText" text="Pesquisa de Preços">
      <formula>NOT(ISERROR(SEARCH("Pesquisa de Preços",D7290)))</formula>
    </cfRule>
  </conditionalFormatting>
  <conditionalFormatting sqref="D7274">
    <cfRule type="containsText" dxfId="2551" priority="3787" operator="containsText" text="Pesquisa de Preços">
      <formula>NOT(ISERROR(SEARCH("Pesquisa de Preços",D7274)))</formula>
    </cfRule>
  </conditionalFormatting>
  <conditionalFormatting sqref="D4703">
    <cfRule type="containsText" dxfId="2550" priority="3791" operator="containsText" text="Pesquisa de Preços">
      <formula>NOT(ISERROR(SEARCH("Pesquisa de Preços",D4703)))</formula>
    </cfRule>
  </conditionalFormatting>
  <conditionalFormatting sqref="D7272">
    <cfRule type="containsText" dxfId="2547" priority="3783" operator="containsText" text="Pesquisa de Preços">
      <formula>NOT(ISERROR(SEARCH("Pesquisa de Preços",D7272)))</formula>
    </cfRule>
  </conditionalFormatting>
  <conditionalFormatting sqref="D7306 D7310">
    <cfRule type="containsText" dxfId="2546" priority="3747" operator="containsText" text="Pesquisa de Preços">
      <formula>NOT(ISERROR(SEARCH("Pesquisa de Preços",D7306)))</formula>
    </cfRule>
  </conditionalFormatting>
  <conditionalFormatting sqref="D7294 D7298 D7302">
    <cfRule type="containsText" dxfId="2545" priority="3722" operator="containsText" text="Pesquisa de Preços">
      <formula>NOT(ISERROR(SEARCH("Pesquisa de Preços",D7294)))</formula>
    </cfRule>
  </conditionalFormatting>
  <conditionalFormatting sqref="D4725">
    <cfRule type="containsText" dxfId="2524" priority="3686" operator="containsText" text="Pesquisa de Preços">
      <formula>NOT(ISERROR(SEARCH("Pesquisa de Preços",D4725)))</formula>
    </cfRule>
  </conditionalFormatting>
  <conditionalFormatting sqref="D4721">
    <cfRule type="containsText" dxfId="2523" priority="3683" operator="containsText" text="Pesquisa de Preços">
      <formula>NOT(ISERROR(SEARCH("Pesquisa de Preços",D4721)))</formula>
    </cfRule>
  </conditionalFormatting>
  <conditionalFormatting sqref="D7255">
    <cfRule type="containsText" dxfId="2518" priority="3677" operator="containsText" text="Pesquisa de Preços">
      <formula>NOT(ISERROR(SEARCH("Pesquisa de Preços",D7255)))</formula>
    </cfRule>
  </conditionalFormatting>
  <conditionalFormatting sqref="E7254">
    <cfRule type="containsText" dxfId="2517" priority="3675" operator="containsText" text="Pesquisa de Preços">
      <formula>NOT(ISERROR(SEARCH("Pesquisa de Preços",E7254)))</formula>
    </cfRule>
  </conditionalFormatting>
  <conditionalFormatting sqref="D7257">
    <cfRule type="containsText" dxfId="2516" priority="3679" operator="containsText" text="Pesquisa de Preços">
      <formula>NOT(ISERROR(SEARCH("Pesquisa de Preços",D7257)))</formula>
    </cfRule>
  </conditionalFormatting>
  <conditionalFormatting sqref="D7254">
    <cfRule type="containsText" dxfId="2515" priority="3678" operator="containsText" text="Pesquisa de Preços">
      <formula>NOT(ISERROR(SEARCH("Pesquisa de Preços",D7254)))</formula>
    </cfRule>
  </conditionalFormatting>
  <conditionalFormatting sqref="E7255 E7257">
    <cfRule type="containsText" dxfId="2514" priority="3676" operator="containsText" text="Pesquisa de Preços">
      <formula>NOT(ISERROR(SEARCH("Pesquisa de Preços",E7255)))</formula>
    </cfRule>
  </conditionalFormatting>
  <conditionalFormatting sqref="D7259">
    <cfRule type="containsText" dxfId="2513" priority="3671" operator="containsText" text="Pesquisa de Preços">
      <formula>NOT(ISERROR(SEARCH("Pesquisa de Preços",D7259)))</formula>
    </cfRule>
  </conditionalFormatting>
  <conditionalFormatting sqref="E7258">
    <cfRule type="containsText" dxfId="2512" priority="3669" operator="containsText" text="Pesquisa de Preços">
      <formula>NOT(ISERROR(SEARCH("Pesquisa de Preços",E7258)))</formula>
    </cfRule>
  </conditionalFormatting>
  <conditionalFormatting sqref="D7261">
    <cfRule type="containsText" dxfId="2511" priority="3673" operator="containsText" text="Pesquisa de Preços">
      <formula>NOT(ISERROR(SEARCH("Pesquisa de Preços",D7261)))</formula>
    </cfRule>
  </conditionalFormatting>
  <conditionalFormatting sqref="D7258">
    <cfRule type="containsText" dxfId="2510" priority="3672" operator="containsText" text="Pesquisa de Preços">
      <formula>NOT(ISERROR(SEARCH("Pesquisa de Preços",D7258)))</formula>
    </cfRule>
  </conditionalFormatting>
  <conditionalFormatting sqref="E7259 E7261">
    <cfRule type="containsText" dxfId="2509" priority="3670" operator="containsText" text="Pesquisa de Preços">
      <formula>NOT(ISERROR(SEARCH("Pesquisa de Preços",E7259)))</formula>
    </cfRule>
  </conditionalFormatting>
  <conditionalFormatting sqref="D7262">
    <cfRule type="containsText" dxfId="2508" priority="3667" operator="containsText" text="Pesquisa de Preços">
      <formula>NOT(ISERROR(SEARCH("Pesquisa de Preços",D7262)))</formula>
    </cfRule>
  </conditionalFormatting>
  <conditionalFormatting sqref="D7240">
    <cfRule type="containsText" dxfId="2499" priority="3652" operator="containsText" text="Pesquisa de Preços">
      <formula>NOT(ISERROR(SEARCH("Pesquisa de Preços",D7240)))</formula>
    </cfRule>
  </conditionalFormatting>
  <conditionalFormatting sqref="E7239">
    <cfRule type="containsText" dxfId="2498" priority="3650" operator="containsText" text="Pesquisa de Preços">
      <formula>NOT(ISERROR(SEARCH("Pesquisa de Preços",E7239)))</formula>
    </cfRule>
  </conditionalFormatting>
  <conditionalFormatting sqref="D7243">
    <cfRule type="containsText" dxfId="2497" priority="3654" operator="containsText" text="Pesquisa de Preços">
      <formula>NOT(ISERROR(SEARCH("Pesquisa de Preços",D7243)))</formula>
    </cfRule>
  </conditionalFormatting>
  <conditionalFormatting sqref="D7239">
    <cfRule type="containsText" dxfId="2496" priority="3653" operator="containsText" text="Pesquisa de Preços">
      <formula>NOT(ISERROR(SEARCH("Pesquisa de Preços",D7239)))</formula>
    </cfRule>
  </conditionalFormatting>
  <conditionalFormatting sqref="E7240 E7243">
    <cfRule type="containsText" dxfId="2495" priority="3651" operator="containsText" text="Pesquisa de Preços">
      <formula>NOT(ISERROR(SEARCH("Pesquisa de Preços",E7240)))</formula>
    </cfRule>
  </conditionalFormatting>
  <conditionalFormatting sqref="D7245">
    <cfRule type="containsText" dxfId="2494" priority="3646" operator="containsText" text="Pesquisa de Preços">
      <formula>NOT(ISERROR(SEARCH("Pesquisa de Preços",D7245)))</formula>
    </cfRule>
  </conditionalFormatting>
  <conditionalFormatting sqref="E7244">
    <cfRule type="containsText" dxfId="2493" priority="3644" operator="containsText" text="Pesquisa de Preços">
      <formula>NOT(ISERROR(SEARCH("Pesquisa de Preços",E7244)))</formula>
    </cfRule>
  </conditionalFormatting>
  <conditionalFormatting sqref="D7248">
    <cfRule type="containsText" dxfId="2492" priority="3648" operator="containsText" text="Pesquisa de Preços">
      <formula>NOT(ISERROR(SEARCH("Pesquisa de Preços",D7248)))</formula>
    </cfRule>
  </conditionalFormatting>
  <conditionalFormatting sqref="D7244">
    <cfRule type="containsText" dxfId="2491" priority="3647" operator="containsText" text="Pesquisa de Preços">
      <formula>NOT(ISERROR(SEARCH("Pesquisa de Preços",D7244)))</formula>
    </cfRule>
  </conditionalFormatting>
  <conditionalFormatting sqref="E7245 E7248">
    <cfRule type="containsText" dxfId="2490" priority="3645" operator="containsText" text="Pesquisa de Preços">
      <formula>NOT(ISERROR(SEARCH("Pesquisa de Preços",E7245)))</formula>
    </cfRule>
  </conditionalFormatting>
  <conditionalFormatting sqref="D7249">
    <cfRule type="containsText" dxfId="2489" priority="3642" operator="containsText" text="Pesquisa de Preços">
      <formula>NOT(ISERROR(SEARCH("Pesquisa de Preços",D7249)))</formula>
    </cfRule>
  </conditionalFormatting>
  <conditionalFormatting sqref="E7246:E7247">
    <cfRule type="containsText" dxfId="2484" priority="3616" operator="containsText" text="Pesquisa de Preços">
      <formula>NOT(ISERROR(SEARCH("Pesquisa de Preços",E7246)))</formula>
    </cfRule>
  </conditionalFormatting>
  <conditionalFormatting sqref="E7251:E7252">
    <cfRule type="containsText" dxfId="2483" priority="3615" operator="containsText" text="Pesquisa de Preços">
      <formula>NOT(ISERROR(SEARCH("Pesquisa de Preços",E7251)))</formula>
    </cfRule>
  </conditionalFormatting>
  <conditionalFormatting sqref="D7321">
    <cfRule type="containsText" dxfId="2480" priority="3610" operator="containsText" text="Pesquisa de Preços">
      <formula>NOT(ISERROR(SEARCH("Pesquisa de Preços",D7321)))</formula>
    </cfRule>
  </conditionalFormatting>
  <conditionalFormatting sqref="E7324">
    <cfRule type="containsText" dxfId="2479" priority="3607" operator="containsText" text="Pesquisa de Preços">
      <formula>NOT(ISERROR(SEARCH("Pesquisa de Preços",E7324)))</formula>
    </cfRule>
  </conditionalFormatting>
  <conditionalFormatting sqref="E7325">
    <cfRule type="containsText" dxfId="2478" priority="3606" operator="containsText" text="Pesquisa de Preços">
      <formula>NOT(ISERROR(SEARCH("Pesquisa de Preços",E7325)))</formula>
    </cfRule>
  </conditionalFormatting>
  <conditionalFormatting sqref="D7314">
    <cfRule type="containsText" dxfId="2473" priority="3596" operator="containsText" text="Pesquisa de Preços">
      <formula>NOT(ISERROR(SEARCH("Pesquisa de Preços",D7314)))</formula>
    </cfRule>
  </conditionalFormatting>
  <conditionalFormatting sqref="E7317">
    <cfRule type="containsText" dxfId="2472" priority="3593" operator="containsText" text="Pesquisa de Preços">
      <formula>NOT(ISERROR(SEARCH("Pesquisa de Preços",E7317)))</formula>
    </cfRule>
  </conditionalFormatting>
  <conditionalFormatting sqref="E7318">
    <cfRule type="containsText" dxfId="2471" priority="3592" operator="containsText" text="Pesquisa de Preços">
      <formula>NOT(ISERROR(SEARCH("Pesquisa de Preços",E7318)))</formula>
    </cfRule>
  </conditionalFormatting>
  <conditionalFormatting sqref="E7319">
    <cfRule type="containsText" dxfId="2470" priority="3591" operator="containsText" text="Pesquisa de Preços">
      <formula>NOT(ISERROR(SEARCH("Pesquisa de Preços",E7319)))</formula>
    </cfRule>
  </conditionalFormatting>
  <conditionalFormatting sqref="D7327">
    <cfRule type="containsText" dxfId="2463" priority="3582" operator="containsText" text="Pesquisa de Preços">
      <formula>NOT(ISERROR(SEARCH("Pesquisa de Preços",D7327)))</formula>
    </cfRule>
  </conditionalFormatting>
  <conditionalFormatting sqref="E7330">
    <cfRule type="containsText" dxfId="2462" priority="3579" operator="containsText" text="Pesquisa de Preços">
      <formula>NOT(ISERROR(SEARCH("Pesquisa de Preços",E7330)))</formula>
    </cfRule>
  </conditionalFormatting>
  <conditionalFormatting sqref="E7331">
    <cfRule type="containsText" dxfId="2461" priority="3578" operator="containsText" text="Pesquisa de Preços">
      <formula>NOT(ISERROR(SEARCH("Pesquisa de Preços",E7331)))</formula>
    </cfRule>
  </conditionalFormatting>
  <conditionalFormatting sqref="E7332">
    <cfRule type="containsText" dxfId="2454" priority="3569" operator="containsText" text="Pesquisa de Preços">
      <formula>NOT(ISERROR(SEARCH("Pesquisa de Preços",E7332)))</formula>
    </cfRule>
  </conditionalFormatting>
  <conditionalFormatting sqref="E7338">
    <cfRule type="containsText" dxfId="2451" priority="3554" operator="containsText" text="Pesquisa de Preços">
      <formula>NOT(ISERROR(SEARCH("Pesquisa de Preços",E7338)))</formula>
    </cfRule>
  </conditionalFormatting>
  <conditionalFormatting sqref="E7351">
    <cfRule type="containsText" dxfId="2448" priority="3508" operator="containsText" text="Pesquisa de Preços">
      <formula>NOT(ISERROR(SEARCH("Pesquisa de Preços",E7351)))</formula>
    </cfRule>
  </conditionalFormatting>
  <conditionalFormatting sqref="E7333">
    <cfRule type="containsText" dxfId="2447" priority="3562" operator="containsText" text="Pesquisa de Preços">
      <formula>NOT(ISERROR(SEARCH("Pesquisa de Preços",E7333)))</formula>
    </cfRule>
  </conditionalFormatting>
  <conditionalFormatting sqref="D7335">
    <cfRule type="containsText" dxfId="2444" priority="3557" operator="containsText" text="Pesquisa de Preços">
      <formula>NOT(ISERROR(SEARCH("Pesquisa de Preços",D7335)))</formula>
    </cfRule>
  </conditionalFormatting>
  <conditionalFormatting sqref="E7339">
    <cfRule type="containsText" dxfId="2443" priority="3553" operator="containsText" text="Pesquisa de Preços">
      <formula>NOT(ISERROR(SEARCH("Pesquisa de Preços",E7339)))</formula>
    </cfRule>
  </conditionalFormatting>
  <conditionalFormatting sqref="E7340">
    <cfRule type="containsText" dxfId="2436" priority="3544" operator="containsText" text="Pesquisa de Preços">
      <formula>NOT(ISERROR(SEARCH("Pesquisa de Preços",E7340)))</formula>
    </cfRule>
  </conditionalFormatting>
  <conditionalFormatting sqref="E7347">
    <cfRule type="containsText" dxfId="2433" priority="3529" operator="containsText" text="Pesquisa de Preços">
      <formula>NOT(ISERROR(SEARCH("Pesquisa de Preços",E7347)))</formula>
    </cfRule>
  </conditionalFormatting>
  <conditionalFormatting sqref="E7341">
    <cfRule type="containsText" dxfId="2430" priority="3538" operator="containsText" text="Pesquisa de Preços">
      <formula>NOT(ISERROR(SEARCH("Pesquisa de Preços",E7341)))</formula>
    </cfRule>
  </conditionalFormatting>
  <conditionalFormatting sqref="D7343">
    <cfRule type="containsText" dxfId="2427" priority="3533" operator="containsText" text="Pesquisa de Preços">
      <formula>NOT(ISERROR(SEARCH("Pesquisa de Preços",D7343)))</formula>
    </cfRule>
  </conditionalFormatting>
  <conditionalFormatting sqref="E7346">
    <cfRule type="containsText" dxfId="2426" priority="3530" operator="containsText" text="Pesquisa de Preços">
      <formula>NOT(ISERROR(SEARCH("Pesquisa de Preços",E7346)))</formula>
    </cfRule>
  </conditionalFormatting>
  <conditionalFormatting sqref="E7345">
    <cfRule type="containsText" dxfId="2421" priority="3524" operator="containsText" text="Pesquisa de Preços">
      <formula>NOT(ISERROR(SEARCH("Pesquisa de Preços",E7345)))</formula>
    </cfRule>
  </conditionalFormatting>
  <conditionalFormatting sqref="D7349">
    <cfRule type="containsText" dxfId="2418" priority="3520" operator="containsText" text="Pesquisa de Preços">
      <formula>NOT(ISERROR(SEARCH("Pesquisa de Preços",D7349)))</formula>
    </cfRule>
  </conditionalFormatting>
  <conditionalFormatting sqref="E7352">
    <cfRule type="containsText" dxfId="2417" priority="3517" operator="containsText" text="Pesquisa de Preços">
      <formula>NOT(ISERROR(SEARCH("Pesquisa de Preços",E7352)))</formula>
    </cfRule>
  </conditionalFormatting>
  <conditionalFormatting sqref="E7351">
    <cfRule type="containsText" dxfId="2412" priority="3511" operator="containsText" text="Pesquisa de Preços">
      <formula>NOT(ISERROR(SEARCH("Pesquisa de Preços",E7351)))</formula>
    </cfRule>
  </conditionalFormatting>
  <conditionalFormatting sqref="E7352">
    <cfRule type="containsText" dxfId="2411" priority="3507" operator="containsText" text="Pesquisa de Preços">
      <formula>NOT(ISERROR(SEARCH("Pesquisa de Preços",E7352)))</formula>
    </cfRule>
  </conditionalFormatting>
  <conditionalFormatting sqref="E7356">
    <cfRule type="containsText" dxfId="2410" priority="3493" operator="containsText" text="Pesquisa de Preços">
      <formula>NOT(ISERROR(SEARCH("Pesquisa de Preços",E7356)))</formula>
    </cfRule>
  </conditionalFormatting>
  <conditionalFormatting sqref="D7354">
    <cfRule type="containsText" dxfId="2407" priority="3503" operator="containsText" text="Pesquisa de Preços">
      <formula>NOT(ISERROR(SEARCH("Pesquisa de Preços",D7354)))</formula>
    </cfRule>
  </conditionalFormatting>
  <conditionalFormatting sqref="E7357">
    <cfRule type="containsText" dxfId="2406" priority="3501" operator="containsText" text="Pesquisa de Preços">
      <formula>NOT(ISERROR(SEARCH("Pesquisa de Preços",E7357)))</formula>
    </cfRule>
  </conditionalFormatting>
  <conditionalFormatting sqref="E7356">
    <cfRule type="containsText" dxfId="2401" priority="3496" operator="containsText" text="Pesquisa de Preços">
      <formula>NOT(ISERROR(SEARCH("Pesquisa de Preços",E7356)))</formula>
    </cfRule>
  </conditionalFormatting>
  <conditionalFormatting sqref="E7357">
    <cfRule type="containsText" dxfId="2400" priority="3492" operator="containsText" text="Pesquisa de Preços">
      <formula>NOT(ISERROR(SEARCH("Pesquisa de Preços",E7357)))</formula>
    </cfRule>
  </conditionalFormatting>
  <conditionalFormatting sqref="D7359">
    <cfRule type="containsText" dxfId="2399" priority="3490" operator="containsText" text="Pesquisa de Preços">
      <formula>NOT(ISERROR(SEARCH("Pesquisa de Preços",D7359)))</formula>
    </cfRule>
  </conditionalFormatting>
  <conditionalFormatting sqref="D7365 D7360">
    <cfRule type="containsText" dxfId="2397" priority="3488" operator="containsText" text="Pesquisa de Preços">
      <formula>NOT(ISERROR(SEARCH("Pesquisa de Preços",D7360)))</formula>
    </cfRule>
  </conditionalFormatting>
  <conditionalFormatting sqref="D7363">
    <cfRule type="containsText" dxfId="2396" priority="3487" operator="containsText" text="Pesquisa de Preços">
      <formula>NOT(ISERROR(SEARCH("Pesquisa de Preços",D7363)))</formula>
    </cfRule>
  </conditionalFormatting>
  <conditionalFormatting sqref="E7360 E7365">
    <cfRule type="containsText" dxfId="2395" priority="3486" operator="containsText" text="Pesquisa de Preços">
      <formula>NOT(ISERROR(SEARCH("Pesquisa de Preços",E7360)))</formula>
    </cfRule>
  </conditionalFormatting>
  <conditionalFormatting sqref="E7359">
    <cfRule type="containsText" dxfId="2394" priority="3485" operator="containsText" text="Pesquisa de Preços">
      <formula>NOT(ISERROR(SEARCH("Pesquisa de Preços",E7359)))</formula>
    </cfRule>
  </conditionalFormatting>
  <conditionalFormatting sqref="D6478">
    <cfRule type="containsText" dxfId="2391" priority="3481" operator="containsText" text="Pesquisa de Preços">
      <formula>NOT(ISERROR(SEARCH("Pesquisa de Preços",D6478)))</formula>
    </cfRule>
  </conditionalFormatting>
  <conditionalFormatting sqref="D6485">
    <cfRule type="containsText" dxfId="2386" priority="3475" operator="containsText" text="Pesquisa de Preços">
      <formula>NOT(ISERROR(SEARCH("Pesquisa de Preços",D6485)))</formula>
    </cfRule>
  </conditionalFormatting>
  <conditionalFormatting sqref="D7366">
    <cfRule type="containsText" dxfId="2381" priority="3469" operator="containsText" text="Pesquisa de Preços">
      <formula>NOT(ISERROR(SEARCH("Pesquisa de Preços",D7366)))</formula>
    </cfRule>
  </conditionalFormatting>
  <conditionalFormatting sqref="D7373">
    <cfRule type="containsText" dxfId="2376" priority="3463" operator="containsText" text="Pesquisa de Preços">
      <formula>NOT(ISERROR(SEARCH("Pesquisa de Preços",D7373)))</formula>
    </cfRule>
  </conditionalFormatting>
  <conditionalFormatting sqref="D7381">
    <cfRule type="containsText" dxfId="2367" priority="3451" operator="containsText" text="Pesquisa de Preços">
      <formula>NOT(ISERROR(SEARCH("Pesquisa de Preços",D7381)))</formula>
    </cfRule>
  </conditionalFormatting>
  <conditionalFormatting sqref="E7384">
    <cfRule type="containsText" dxfId="2366" priority="3448" operator="containsText" text="Pesquisa de Preços">
      <formula>NOT(ISERROR(SEARCH("Pesquisa de Preços",E7384)))</formula>
    </cfRule>
  </conditionalFormatting>
  <conditionalFormatting sqref="E7385">
    <cfRule type="containsText" dxfId="2365" priority="3447" operator="containsText" text="Pesquisa de Preços">
      <formula>NOT(ISERROR(SEARCH("Pesquisa de Preços",E7385)))</formula>
    </cfRule>
  </conditionalFormatting>
  <conditionalFormatting sqref="D7387">
    <cfRule type="containsText" dxfId="2358" priority="3395" operator="containsText" text="Pesquisa de Preços">
      <formula>NOT(ISERROR(SEARCH("Pesquisa de Preços",D7387)))</formula>
    </cfRule>
  </conditionalFormatting>
  <conditionalFormatting sqref="D7393 D7388">
    <cfRule type="containsText" dxfId="2356" priority="3393" operator="containsText" text="Pesquisa de Preços">
      <formula>NOT(ISERROR(SEARCH("Pesquisa de Preços",D7388)))</formula>
    </cfRule>
  </conditionalFormatting>
  <conditionalFormatting sqref="E7388 E7393">
    <cfRule type="containsText" dxfId="2355" priority="3391" operator="containsText" text="Pesquisa de Preços">
      <formula>NOT(ISERROR(SEARCH("Pesquisa de Preços",E7388)))</formula>
    </cfRule>
  </conditionalFormatting>
  <conditionalFormatting sqref="E7387">
    <cfRule type="containsText" dxfId="2354" priority="3390" operator="containsText" text="Pesquisa de Preços">
      <formula>NOT(ISERROR(SEARCH("Pesquisa de Preços",E7387)))</formula>
    </cfRule>
  </conditionalFormatting>
  <conditionalFormatting sqref="D7424">
    <cfRule type="containsText" dxfId="2351" priority="3386" operator="containsText" text="Pesquisa de Preços">
      <formula>NOT(ISERROR(SEARCH("Pesquisa de Preços",D7424)))</formula>
    </cfRule>
  </conditionalFormatting>
  <conditionalFormatting sqref="D7438">
    <cfRule type="containsText" dxfId="2342" priority="3359" operator="containsText" text="Pesquisa de Preços">
      <formula>NOT(ISERROR(SEARCH("Pesquisa de Preços",D7438)))</formula>
    </cfRule>
  </conditionalFormatting>
  <conditionalFormatting sqref="D7418">
    <cfRule type="containsText" dxfId="2335" priority="3327" operator="containsText" text="Pesquisa de Preços">
      <formula>NOT(ISERROR(SEARCH("Pesquisa de Preços",D7418)))</formula>
    </cfRule>
  </conditionalFormatting>
  <conditionalFormatting sqref="E7436">
    <cfRule type="containsText" dxfId="2332" priority="3314" operator="containsText" text="Pesquisa de Preços">
      <formula>NOT(ISERROR(SEARCH("Pesquisa de Preços",E7436)))</formula>
    </cfRule>
  </conditionalFormatting>
  <conditionalFormatting sqref="D7432">
    <cfRule type="containsText" dxfId="2329" priority="3318" operator="containsText" text="Pesquisa de Preços">
      <formula>NOT(ISERROR(SEARCH("Pesquisa de Preços",D7432)))</formula>
    </cfRule>
  </conditionalFormatting>
  <conditionalFormatting sqref="E7435">
    <cfRule type="containsText" dxfId="2328" priority="3315" operator="containsText" text="Pesquisa de Preços">
      <formula>NOT(ISERROR(SEARCH("Pesquisa de Preços",E7435)))</formula>
    </cfRule>
  </conditionalFormatting>
  <conditionalFormatting sqref="E7434">
    <cfRule type="containsText" dxfId="2325" priority="3311" operator="containsText" text="Pesquisa de Preços">
      <formula>NOT(ISERROR(SEARCH("Pesquisa de Preços",E7434)))</formula>
    </cfRule>
  </conditionalFormatting>
  <conditionalFormatting sqref="D7399">
    <cfRule type="containsText" dxfId="2322" priority="3307" operator="containsText" text="Pesquisa de Preços">
      <formula>NOT(ISERROR(SEARCH("Pesquisa de Preços",D7399)))</formula>
    </cfRule>
  </conditionalFormatting>
  <conditionalFormatting sqref="D7395">
    <cfRule type="containsText" dxfId="2321" priority="3306" operator="containsText" text="Pesquisa de Preços">
      <formula>NOT(ISERROR(SEARCH("Pesquisa de Preços",D7395)))</formula>
    </cfRule>
  </conditionalFormatting>
  <conditionalFormatting sqref="E7399">
    <cfRule type="containsText" dxfId="2320" priority="3305" operator="containsText" text="Pesquisa de Preços">
      <formula>NOT(ISERROR(SEARCH("Pesquisa de Preços",E7399)))</formula>
    </cfRule>
  </conditionalFormatting>
  <conditionalFormatting sqref="E7395">
    <cfRule type="containsText" dxfId="2319" priority="3304" operator="containsText" text="Pesquisa de Preços">
      <formula>NOT(ISERROR(SEARCH("Pesquisa de Preços",E7395)))</formula>
    </cfRule>
  </conditionalFormatting>
  <conditionalFormatting sqref="D7400">
    <cfRule type="containsText" dxfId="2318" priority="3303" operator="containsText" text="Pesquisa de Preços">
      <formula>NOT(ISERROR(SEARCH("Pesquisa de Preços",D7400)))</formula>
    </cfRule>
  </conditionalFormatting>
  <conditionalFormatting sqref="D7405">
    <cfRule type="containsText" dxfId="2317" priority="3302" operator="containsText" text="Pesquisa de Preços">
      <formula>NOT(ISERROR(SEARCH("Pesquisa de Preços",D7405)))</formula>
    </cfRule>
  </conditionalFormatting>
  <conditionalFormatting sqref="D7401">
    <cfRule type="containsText" dxfId="2316" priority="3301" operator="containsText" text="Pesquisa de Preços">
      <formula>NOT(ISERROR(SEARCH("Pesquisa de Preços",D7401)))</formula>
    </cfRule>
  </conditionalFormatting>
  <conditionalFormatting sqref="E7405">
    <cfRule type="containsText" dxfId="2315" priority="3300" operator="containsText" text="Pesquisa de Preços">
      <formula>NOT(ISERROR(SEARCH("Pesquisa de Preços",E7405)))</formula>
    </cfRule>
  </conditionalFormatting>
  <conditionalFormatting sqref="E7401">
    <cfRule type="containsText" dxfId="2314" priority="3299" operator="containsText" text="Pesquisa de Preços">
      <formula>NOT(ISERROR(SEARCH("Pesquisa de Preços",E7401)))</formula>
    </cfRule>
  </conditionalFormatting>
  <conditionalFormatting sqref="D7406">
    <cfRule type="containsText" dxfId="2313" priority="3298" operator="containsText" text="Pesquisa de Preços">
      <formula>NOT(ISERROR(SEARCH("Pesquisa de Preços",D7406)))</formula>
    </cfRule>
  </conditionalFormatting>
  <conditionalFormatting sqref="D7411">
    <cfRule type="containsText" dxfId="2312" priority="3297" operator="containsText" text="Pesquisa de Preços">
      <formula>NOT(ISERROR(SEARCH("Pesquisa de Preços",D7411)))</formula>
    </cfRule>
  </conditionalFormatting>
  <conditionalFormatting sqref="D7407">
    <cfRule type="containsText" dxfId="2311" priority="3296" operator="containsText" text="Pesquisa de Preços">
      <formula>NOT(ISERROR(SEARCH("Pesquisa de Preços",D7407)))</formula>
    </cfRule>
  </conditionalFormatting>
  <conditionalFormatting sqref="E7411">
    <cfRule type="containsText" dxfId="2310" priority="3295" operator="containsText" text="Pesquisa de Preços">
      <formula>NOT(ISERROR(SEARCH("Pesquisa de Preços",E7411)))</formula>
    </cfRule>
  </conditionalFormatting>
  <conditionalFormatting sqref="E7407">
    <cfRule type="containsText" dxfId="2309" priority="3294" operator="containsText" text="Pesquisa de Preços">
      <formula>NOT(ISERROR(SEARCH("Pesquisa de Preços",E7407)))</formula>
    </cfRule>
  </conditionalFormatting>
  <conditionalFormatting sqref="D7412">
    <cfRule type="containsText" dxfId="2306" priority="3291" operator="containsText" text="Pesquisa de Preços">
      <formula>NOT(ISERROR(SEARCH("Pesquisa de Preços",D7412)))</formula>
    </cfRule>
  </conditionalFormatting>
  <conditionalFormatting sqref="D7417">
    <cfRule type="containsText" dxfId="2305" priority="3290" operator="containsText" text="Pesquisa de Preços">
      <formula>NOT(ISERROR(SEARCH("Pesquisa de Preços",D7417)))</formula>
    </cfRule>
  </conditionalFormatting>
  <conditionalFormatting sqref="D7413">
    <cfRule type="containsText" dxfId="2304" priority="3289" operator="containsText" text="Pesquisa de Preços">
      <formula>NOT(ISERROR(SEARCH("Pesquisa de Preços",D7413)))</formula>
    </cfRule>
  </conditionalFormatting>
  <conditionalFormatting sqref="E7417">
    <cfRule type="containsText" dxfId="2303" priority="3288" operator="containsText" text="Pesquisa de Preços">
      <formula>NOT(ISERROR(SEARCH("Pesquisa de Preços",E7417)))</formula>
    </cfRule>
  </conditionalFormatting>
  <conditionalFormatting sqref="E7413">
    <cfRule type="containsText" dxfId="2302" priority="3287" operator="containsText" text="Pesquisa de Preços">
      <formula>NOT(ISERROR(SEARCH("Pesquisa de Preços",E7413)))</formula>
    </cfRule>
  </conditionalFormatting>
  <conditionalFormatting sqref="D7394">
    <cfRule type="containsText" dxfId="2295" priority="3280" operator="containsText" text="Pesquisa de Preços">
      <formula>NOT(ISERROR(SEARCH("Pesquisa de Preços",D7394)))</formula>
    </cfRule>
  </conditionalFormatting>
  <conditionalFormatting sqref="D7391">
    <cfRule type="containsText" dxfId="2293" priority="3277" operator="containsText" text="Pesquisa de Preços">
      <formula>NOT(ISERROR(SEARCH("Pesquisa de Preços",D7391)))</formula>
    </cfRule>
  </conditionalFormatting>
  <conditionalFormatting sqref="E35">
    <cfRule type="containsText" dxfId="2290" priority="3272" operator="containsText" text="Pesquisa de Preços">
      <formula>NOT(ISERROR(SEARCH("Pesquisa de Preços",E35)))</formula>
    </cfRule>
  </conditionalFormatting>
  <conditionalFormatting sqref="D7452">
    <cfRule type="containsText" dxfId="2287" priority="3267" operator="containsText" text="Pesquisa de Preços">
      <formula>NOT(ISERROR(SEARCH("Pesquisa de Preços",D7452)))</formula>
    </cfRule>
  </conditionalFormatting>
  <conditionalFormatting sqref="E7455">
    <cfRule type="containsText" dxfId="2286" priority="3264" operator="containsText" text="Pesquisa de Preços">
      <formula>NOT(ISERROR(SEARCH("Pesquisa de Preços",E7455)))</formula>
    </cfRule>
  </conditionalFormatting>
  <conditionalFormatting sqref="E7456">
    <cfRule type="containsText" dxfId="2285" priority="3263" operator="containsText" text="Pesquisa de Preços">
      <formula>NOT(ISERROR(SEARCH("Pesquisa de Preços",E7456)))</formula>
    </cfRule>
  </conditionalFormatting>
  <conditionalFormatting sqref="E7457">
    <cfRule type="containsText" dxfId="2284" priority="3262" operator="containsText" text="Pesquisa de Preços">
      <formula>NOT(ISERROR(SEARCH("Pesquisa de Preços",E7457)))</formula>
    </cfRule>
  </conditionalFormatting>
  <conditionalFormatting sqref="D7459">
    <cfRule type="containsText" dxfId="2279" priority="3255" operator="containsText" text="Pesquisa de Preços">
      <formula>NOT(ISERROR(SEARCH("Pesquisa de Preços",D7459)))</formula>
    </cfRule>
  </conditionalFormatting>
  <conditionalFormatting sqref="D7445">
    <cfRule type="containsText" dxfId="2274" priority="3244" operator="containsText" text="Pesquisa de Preços">
      <formula>NOT(ISERROR(SEARCH("Pesquisa de Preços",D7445)))</formula>
    </cfRule>
  </conditionalFormatting>
  <conditionalFormatting sqref="D7555">
    <cfRule type="containsText" dxfId="2264" priority="3220" operator="containsText" text="Pesquisa de Preços">
      <formula>NOT(ISERROR(SEARCH("Pesquisa de Preços",D7555)))</formula>
    </cfRule>
  </conditionalFormatting>
  <conditionalFormatting sqref="D7463">
    <cfRule type="containsText" dxfId="2139" priority="3029" operator="containsText" text="Pesquisa de Preços">
      <formula>NOT(ISERROR(SEARCH("Pesquisa de Preços",D7463)))</formula>
    </cfRule>
  </conditionalFormatting>
  <conditionalFormatting sqref="D7471">
    <cfRule type="containsText" dxfId="2138" priority="3028" operator="containsText" text="Pesquisa de Preços">
      <formula>NOT(ISERROR(SEARCH("Pesquisa de Preços",D7471)))</formula>
    </cfRule>
  </conditionalFormatting>
  <conditionalFormatting sqref="D7479">
    <cfRule type="containsText" dxfId="2137" priority="3027" operator="containsText" text="Pesquisa de Preços">
      <formula>NOT(ISERROR(SEARCH("Pesquisa de Preços",D7479)))</formula>
    </cfRule>
  </conditionalFormatting>
  <conditionalFormatting sqref="D7499">
    <cfRule type="containsText" dxfId="2136" priority="3026" operator="containsText" text="Pesquisa de Preços">
      <formula>NOT(ISERROR(SEARCH("Pesquisa de Preços",D7499)))</formula>
    </cfRule>
  </conditionalFormatting>
  <conditionalFormatting sqref="D7508">
    <cfRule type="containsText" dxfId="2135" priority="3025" operator="containsText" text="Pesquisa de Preços">
      <formula>NOT(ISERROR(SEARCH("Pesquisa de Preços",D7508)))</formula>
    </cfRule>
  </conditionalFormatting>
  <conditionalFormatting sqref="D7514">
    <cfRule type="containsText" dxfId="2134" priority="3024" operator="containsText" text="Pesquisa de Preços">
      <formula>NOT(ISERROR(SEARCH("Pesquisa de Preços",D7514)))</formula>
    </cfRule>
  </conditionalFormatting>
  <conditionalFormatting sqref="D7520">
    <cfRule type="containsText" dxfId="2133" priority="3023" operator="containsText" text="Pesquisa de Preços">
      <formula>NOT(ISERROR(SEARCH("Pesquisa de Preços",D7520)))</formula>
    </cfRule>
  </conditionalFormatting>
  <conditionalFormatting sqref="D7534">
    <cfRule type="containsText" dxfId="2132" priority="3022" operator="containsText" text="Pesquisa de Preços">
      <formula>NOT(ISERROR(SEARCH("Pesquisa de Preços",D7534)))</formula>
    </cfRule>
  </conditionalFormatting>
  <conditionalFormatting sqref="D7548">
    <cfRule type="containsText" dxfId="2131" priority="3021" operator="containsText" text="Pesquisa de Preços">
      <formula>NOT(ISERROR(SEARCH("Pesquisa de Preços",D7548)))</formula>
    </cfRule>
  </conditionalFormatting>
  <conditionalFormatting sqref="D7559 D7563 D7567 D7571 D7575 D7579 D7583 D7587 D7591 D7595 D7599 D7603 D7607 D7611 D7615 D7619 D7623 D7627 D7631 D7635 D7639 D7643 D7647 D7651 D7655 D7659 D7663 D7667 D7671 D7675 D7679 D7683 D7687 D7691 D7695 D7699 D7703 D7707 D7711 D7715 D7719 D7723 D7727 D7731 D7735 D7739 D7743 D7747 D7751 D7755 D7759 D7763 D7767 D7771 D7775 D7779 D7783 D7787 D7791 D7795 D7799 D7803 D7807 D7811 D7815 D7819 D7823 D7827 D7831 D7835 D7839 D7843 D7847 D7851 D7855 D7859 D7863 D7867 D7871 D7875 D7879 D7883 D7887 D7891 D7895 D7899 D7903 D7907 D7911 D7915 D7919 D7923 D7927 D7931 D7935 D7939 D7943 D7947 D7951 D7955 D7959 D7963 D7967 D7971 D7975 D7979 D7983 D7987 D7991 D7995 D7999 D8003 D8007 D8011 D8015 D8019 D8023 D8027 D8031 D8035 D8039 D8043 D8047 D8051 D8055 D8059 D8063 D8067 D8071 D8075 D8079 D8083 D8087 D8091 D8095 D8099 D8103 D8107 D8111 D8115 D8119 D8123 D8127 D8131 D8135 D8139 D8143 D8147 D8151 D8155 D8159 D8163 D8167 D8171 D8175 D8179 D8183">
    <cfRule type="containsText" dxfId="1622" priority="2256" operator="containsText" text="Pesquisa de Preços">
      <formula>NOT(ISERROR(SEARCH("Pesquisa de Preços",D7559)))</formula>
    </cfRule>
  </conditionalFormatting>
  <conditionalFormatting sqref="D8196">
    <cfRule type="containsText" dxfId="1617" priority="2248" operator="containsText" text="Pesquisa de Preços">
      <formula>NOT(ISERROR(SEARCH("Pesquisa de Preços",D8196)))</formula>
    </cfRule>
  </conditionalFormatting>
  <conditionalFormatting sqref="D8206">
    <cfRule type="containsText" dxfId="1610" priority="2235" operator="containsText" text="Pesquisa de Preços">
      <formula>NOT(ISERROR(SEARCH("Pesquisa de Preços",D8206)))</formula>
    </cfRule>
  </conditionalFormatting>
  <conditionalFormatting sqref="D8233">
    <cfRule type="containsText" dxfId="1603" priority="2225" operator="containsText" text="Pesquisa de Preços">
      <formula>NOT(ISERROR(SEARCH("Pesquisa de Preços",D8233)))</formula>
    </cfRule>
  </conditionalFormatting>
  <conditionalFormatting sqref="D8221">
    <cfRule type="containsText" dxfId="1598" priority="2218" operator="containsText" text="Pesquisa de Preços">
      <formula>NOT(ISERROR(SEARCH("Pesquisa de Preços",D8221)))</formula>
    </cfRule>
  </conditionalFormatting>
  <conditionalFormatting sqref="D8242">
    <cfRule type="containsText" dxfId="1589" priority="2204" operator="containsText" text="Pesquisa de Preços">
      <formula>NOT(ISERROR(SEARCH("Pesquisa de Preços",D8242)))</formula>
    </cfRule>
  </conditionalFormatting>
  <conditionalFormatting sqref="D8259">
    <cfRule type="containsText" dxfId="1586" priority="2194" operator="containsText" text="Pesquisa de Preços">
      <formula>NOT(ISERROR(SEARCH("Pesquisa de Preços",D8259)))</formula>
    </cfRule>
  </conditionalFormatting>
  <conditionalFormatting sqref="D8237">
    <cfRule type="containsText" dxfId="1581" priority="2182" operator="containsText" text="Pesquisa de Preços">
      <formula>NOT(ISERROR(SEARCH("Pesquisa de Preços",D8237)))</formula>
    </cfRule>
  </conditionalFormatting>
  <conditionalFormatting sqref="D8239">
    <cfRule type="containsText" dxfId="1578" priority="2179" operator="containsText" text="Pesquisa de Preços">
      <formula>NOT(ISERROR(SEARCH("Pesquisa de Preços",D8239)))</formula>
    </cfRule>
  </conditionalFormatting>
  <conditionalFormatting sqref="D8253">
    <cfRule type="containsText" dxfId="1573" priority="2173" operator="containsText" text="Pesquisa de Preços">
      <formula>NOT(ISERROR(SEARCH("Pesquisa de Preços",D8253)))</formula>
    </cfRule>
  </conditionalFormatting>
  <conditionalFormatting sqref="D7493">
    <cfRule type="containsText" dxfId="1566" priority="2156" operator="containsText" text="Pesquisa de Preços">
      <formula>NOT(ISERROR(SEARCH("Pesquisa de Preços",D7493)))</formula>
    </cfRule>
  </conditionalFormatting>
  <conditionalFormatting sqref="D8266">
    <cfRule type="containsText" dxfId="1551" priority="2132" operator="containsText" text="Pesquisa de Preços">
      <formula>NOT(ISERROR(SEARCH("Pesquisa de Preços",D8266)))</formula>
    </cfRule>
  </conditionalFormatting>
  <conditionalFormatting sqref="D8192">
    <cfRule type="containsText" dxfId="1546" priority="2125" operator="containsText" text="Pesquisa de Preços">
      <formula>NOT(ISERROR(SEARCH("Pesquisa de Preços",D8192)))</formula>
    </cfRule>
  </conditionalFormatting>
  <conditionalFormatting sqref="D8269:D8270">
    <cfRule type="containsText" dxfId="1543" priority="2118" operator="containsText" text="Pesquisa de Preços">
      <formula>NOT(ISERROR(SEARCH("Pesquisa de Preços",D8269)))</formula>
    </cfRule>
  </conditionalFormatting>
  <conditionalFormatting sqref="D8272">
    <cfRule type="containsText" dxfId="1542" priority="2116" operator="containsText" text="Pesquisa de Preços">
      <formula>NOT(ISERROR(SEARCH("Pesquisa de Preços",D8272)))</formula>
    </cfRule>
  </conditionalFormatting>
  <conditionalFormatting sqref="D8281">
    <cfRule type="containsText" dxfId="1537" priority="2107" operator="containsText" text="Pesquisa de Preços">
      <formula>NOT(ISERROR(SEARCH("Pesquisa de Preços",D8281)))</formula>
    </cfRule>
  </conditionalFormatting>
  <conditionalFormatting sqref="D8300">
    <cfRule type="containsText" dxfId="1536" priority="2097" operator="containsText" text="Pesquisa de Preços">
      <formula>NOT(ISERROR(SEARCH("Pesquisa de Preços",D8300)))</formula>
    </cfRule>
  </conditionalFormatting>
  <conditionalFormatting sqref="D8291">
    <cfRule type="containsText" dxfId="1533" priority="2102" operator="containsText" text="Pesquisa de Preços">
      <formula>NOT(ISERROR(SEARCH("Pesquisa de Preços",D8291)))</formula>
    </cfRule>
  </conditionalFormatting>
  <conditionalFormatting sqref="D8308">
    <cfRule type="containsText" dxfId="1528" priority="2090" operator="containsText" text="Pesquisa de Preços">
      <formula>NOT(ISERROR(SEARCH("Pesquisa de Preços",D8308)))</formula>
    </cfRule>
  </conditionalFormatting>
  <conditionalFormatting sqref="D8314">
    <cfRule type="containsText" dxfId="1517" priority="2075" operator="containsText" text="Pesquisa de Preços">
      <formula>NOT(ISERROR(SEARCH("Pesquisa de Preços",D8314)))</formula>
    </cfRule>
  </conditionalFormatting>
  <conditionalFormatting sqref="D8318">
    <cfRule type="containsText" dxfId="1510" priority="2066" operator="containsText" text="Pesquisa de Preços">
      <formula>NOT(ISERROR(SEARCH("Pesquisa de Preços",D8318)))</formula>
    </cfRule>
  </conditionalFormatting>
  <conditionalFormatting sqref="D8285">
    <cfRule type="containsText" dxfId="1509" priority="2058" operator="containsText" text="Pesquisa de Preços">
      <formula>NOT(ISERROR(SEARCH("Pesquisa de Preços",D8285)))</formula>
    </cfRule>
  </conditionalFormatting>
  <conditionalFormatting sqref="D7487">
    <cfRule type="containsText" dxfId="1508" priority="2048" operator="containsText" text="Pesquisa de Preços">
      <formula>NOT(ISERROR(SEARCH("Pesquisa de Preços",D7487)))</formula>
    </cfRule>
  </conditionalFormatting>
  <conditionalFormatting sqref="D8327">
    <cfRule type="containsText" dxfId="1505" priority="2053" operator="containsText" text="Pesquisa de Preços">
      <formula>NOT(ISERROR(SEARCH("Pesquisa de Preços",D8327)))</formula>
    </cfRule>
  </conditionalFormatting>
  <conditionalFormatting sqref="D8216">
    <cfRule type="containsText" dxfId="1504" priority="2043" operator="containsText" text="Pesquisa de Preços">
      <formula>NOT(ISERROR(SEARCH("Pesquisa de Preços",D8216)))</formula>
    </cfRule>
  </conditionalFormatting>
  <conditionalFormatting sqref="E8219">
    <cfRule type="containsText" dxfId="1503" priority="2038" operator="containsText" text="Pesquisa de Preços">
      <formula>NOT(ISERROR(SEARCH("Pesquisa de Preços",E8219)))</formula>
    </cfRule>
  </conditionalFormatting>
  <conditionalFormatting sqref="D8217">
    <cfRule type="containsText" dxfId="1502" priority="2041" operator="containsText" text="Pesquisa de Preços">
      <formula>NOT(ISERROR(SEARCH("Pesquisa de Preços",D8217)))</formula>
    </cfRule>
  </conditionalFormatting>
  <conditionalFormatting sqref="E8217:E8218">
    <cfRule type="containsText" dxfId="1501" priority="2040" operator="containsText" text="Pesquisa de Preços">
      <formula>NOT(ISERROR(SEARCH("Pesquisa de Preços",E8217)))</formula>
    </cfRule>
  </conditionalFormatting>
  <conditionalFormatting sqref="E8216">
    <cfRule type="containsText" dxfId="1500" priority="2039" operator="containsText" text="Pesquisa de Preços">
      <formula>NOT(ISERROR(SEARCH("Pesquisa de Preços",E8216)))</formula>
    </cfRule>
  </conditionalFormatting>
  <conditionalFormatting sqref="E1347">
    <cfRule type="containsText" dxfId="1497" priority="2031" operator="containsText" text="Pesquisa de Preços">
      <formula>NOT(ISERROR(SEARCH("Pesquisa de Preços",E1347)))</formula>
    </cfRule>
  </conditionalFormatting>
  <conditionalFormatting sqref="E296">
    <cfRule type="containsText" dxfId="1494" priority="2032" operator="containsText" text="Pesquisa de Preços">
      <formula>NOT(ISERROR(SEARCH("Pesquisa de Preços",E296)))</formula>
    </cfRule>
  </conditionalFormatting>
  <conditionalFormatting sqref="E1348">
    <cfRule type="containsText" dxfId="1493" priority="2030" operator="containsText" text="Pesquisa de Preços">
      <formula>NOT(ISERROR(SEARCH("Pesquisa de Preços",E1348)))</formula>
    </cfRule>
  </conditionalFormatting>
  <conditionalFormatting sqref="E1534">
    <cfRule type="containsText" dxfId="1492" priority="2029" operator="containsText" text="Pesquisa de Preços">
      <formula>NOT(ISERROR(SEARCH("Pesquisa de Preços",E1534)))</formula>
    </cfRule>
  </conditionalFormatting>
  <conditionalFormatting sqref="E1543">
    <cfRule type="containsText" dxfId="1491" priority="2028" operator="containsText" text="Pesquisa de Preços">
      <formula>NOT(ISERROR(SEARCH("Pesquisa de Preços",E1543)))</formula>
    </cfRule>
  </conditionalFormatting>
  <conditionalFormatting sqref="E1550">
    <cfRule type="containsText" dxfId="1490" priority="2027" operator="containsText" text="Pesquisa de Preços">
      <formula>NOT(ISERROR(SEARCH("Pesquisa de Preços",E1550)))</formula>
    </cfRule>
  </conditionalFormatting>
  <conditionalFormatting sqref="E1632:E1633">
    <cfRule type="containsText" dxfId="1485" priority="2007" operator="containsText" text="Pesquisa de Preços">
      <formula>NOT(ISERROR(SEARCH("Pesquisa de Preços",E1632)))</formula>
    </cfRule>
  </conditionalFormatting>
  <conditionalFormatting sqref="E1619:E1620">
    <cfRule type="containsText" dxfId="1482" priority="2008" operator="containsText" text="Pesquisa de Preços">
      <formula>NOT(ISERROR(SEARCH("Pesquisa de Preços",E1619)))</formula>
    </cfRule>
  </conditionalFormatting>
  <conditionalFormatting sqref="E1665">
    <cfRule type="containsText" dxfId="1481" priority="2006" operator="containsText" text="Pesquisa de Preços">
      <formula>NOT(ISERROR(SEARCH("Pesquisa de Preços",E1665)))</formula>
    </cfRule>
  </conditionalFormatting>
  <conditionalFormatting sqref="E1747">
    <cfRule type="containsText" dxfId="1480" priority="2005" operator="containsText" text="Pesquisa de Preços">
      <formula>NOT(ISERROR(SEARCH("Pesquisa de Preços",E1747)))</formula>
    </cfRule>
  </conditionalFormatting>
  <conditionalFormatting sqref="E1755">
    <cfRule type="containsText" dxfId="1479" priority="2004" operator="containsText" text="Pesquisa de Preços">
      <formula>NOT(ISERROR(SEARCH("Pesquisa de Preços",E1755)))</formula>
    </cfRule>
  </conditionalFormatting>
  <conditionalFormatting sqref="E1756">
    <cfRule type="containsText" dxfId="1478" priority="2003" operator="containsText" text="Pesquisa de Preços">
      <formula>NOT(ISERROR(SEARCH("Pesquisa de Preços",E1756)))</formula>
    </cfRule>
  </conditionalFormatting>
  <conditionalFormatting sqref="E1762">
    <cfRule type="containsText" dxfId="1477" priority="2002" operator="containsText" text="Pesquisa de Preços">
      <formula>NOT(ISERROR(SEARCH("Pesquisa de Preços",E1762)))</formula>
    </cfRule>
  </conditionalFormatting>
  <conditionalFormatting sqref="E1763">
    <cfRule type="containsText" dxfId="1476" priority="2001" operator="containsText" text="Pesquisa de Preços">
      <formula>NOT(ISERROR(SEARCH("Pesquisa de Preços",E1763)))</formula>
    </cfRule>
  </conditionalFormatting>
  <conditionalFormatting sqref="E1761">
    <cfRule type="containsText" dxfId="1475" priority="2000" operator="containsText" text="Pesquisa de Preços">
      <formula>NOT(ISERROR(SEARCH("Pesquisa de Preços",E1761)))</formula>
    </cfRule>
  </conditionalFormatting>
  <conditionalFormatting sqref="E1776">
    <cfRule type="containsText" dxfId="1474" priority="1999" operator="containsText" text="Pesquisa de Preços">
      <formula>NOT(ISERROR(SEARCH("Pesquisa de Preços",E1776)))</formula>
    </cfRule>
  </conditionalFormatting>
  <conditionalFormatting sqref="E1777">
    <cfRule type="containsText" dxfId="1473" priority="1998" operator="containsText" text="Pesquisa de Preços">
      <formula>NOT(ISERROR(SEARCH("Pesquisa de Preços",E1777)))</formula>
    </cfRule>
  </conditionalFormatting>
  <conditionalFormatting sqref="E929">
    <cfRule type="containsText" dxfId="1472" priority="1996" operator="containsText" text="Pesquisa de Preços">
      <formula>NOT(ISERROR(SEARCH("Pesquisa de Preços",E929)))</formula>
    </cfRule>
  </conditionalFormatting>
  <conditionalFormatting sqref="D8247">
    <cfRule type="containsText" dxfId="1465" priority="1987" operator="containsText" text="Pesquisa de Preços">
      <formula>NOT(ISERROR(SEARCH("Pesquisa de Preços",D8247)))</formula>
    </cfRule>
  </conditionalFormatting>
  <conditionalFormatting sqref="D8251">
    <cfRule type="containsText" dxfId="1464" priority="1983" operator="containsText" text="Pesquisa de Preços">
      <formula>NOT(ISERROR(SEARCH("Pesquisa de Preços",D8251)))</formula>
    </cfRule>
  </conditionalFormatting>
  <conditionalFormatting sqref="D2637">
    <cfRule type="containsText" dxfId="1453" priority="1968" operator="containsText" text="Pesquisa de Preços">
      <formula>NOT(ISERROR(SEARCH("Pesquisa de Preços",D2637)))</formula>
    </cfRule>
  </conditionalFormatting>
  <conditionalFormatting sqref="D8336 D8346">
    <cfRule type="containsText" dxfId="1448" priority="1952" operator="containsText" text="Pesquisa de Preços">
      <formula>NOT(ISERROR(SEARCH("Pesquisa de Preços",D8336)))</formula>
    </cfRule>
  </conditionalFormatting>
  <conditionalFormatting sqref="E8336">
    <cfRule type="containsText" dxfId="1447" priority="1947" operator="containsText" text="Pesquisa de Preços">
      <formula>NOT(ISERROR(SEARCH("Pesquisa de Preços",E8336)))</formula>
    </cfRule>
  </conditionalFormatting>
  <conditionalFormatting sqref="D8345 D8337:D8338">
    <cfRule type="containsText" dxfId="1446" priority="1950" operator="containsText" text="Pesquisa de Preços">
      <formula>NOT(ISERROR(SEARCH("Pesquisa de Preços",D8337)))</formula>
    </cfRule>
  </conditionalFormatting>
  <conditionalFormatting sqref="D8355 D8347:D8348">
    <cfRule type="containsText" dxfId="1445" priority="1949" operator="containsText" text="Pesquisa de Preços">
      <formula>NOT(ISERROR(SEARCH("Pesquisa de Preços",D8347)))</formula>
    </cfRule>
  </conditionalFormatting>
  <conditionalFormatting sqref="E8346">
    <cfRule type="containsText" dxfId="1444" priority="1945" operator="containsText" text="Pesquisa de Preços">
      <formula>NOT(ISERROR(SEARCH("Pesquisa de Preços",E8346)))</formula>
    </cfRule>
  </conditionalFormatting>
  <conditionalFormatting sqref="E8345 E8337:E8338">
    <cfRule type="containsText" dxfId="1443" priority="1948" operator="containsText" text="Pesquisa de Preços">
      <formula>NOT(ISERROR(SEARCH("Pesquisa de Preços",E8337)))</formula>
    </cfRule>
  </conditionalFormatting>
  <conditionalFormatting sqref="E8347 E8355">
    <cfRule type="containsText" dxfId="1442" priority="1946" operator="containsText" text="Pesquisa de Preços">
      <formula>NOT(ISERROR(SEARCH("Pesquisa de Preços",E8347)))</formula>
    </cfRule>
  </conditionalFormatting>
  <conditionalFormatting sqref="E8344">
    <cfRule type="containsText" dxfId="1441" priority="1943" operator="containsText" text="Pesquisa de Preços">
      <formula>NOT(ISERROR(SEARCH("Pesquisa de Preços",E8344)))</formula>
    </cfRule>
  </conditionalFormatting>
  <conditionalFormatting sqref="E8348">
    <cfRule type="containsText" dxfId="1440" priority="1944" operator="containsText" text="Pesquisa de Preços">
      <formula>NOT(ISERROR(SEARCH("Pesquisa de Preços",E8348)))</formula>
    </cfRule>
  </conditionalFormatting>
  <conditionalFormatting sqref="E8343">
    <cfRule type="containsText" dxfId="1439" priority="1942" operator="containsText" text="Pesquisa de Preços">
      <formula>NOT(ISERROR(SEARCH("Pesquisa de Preços",E8343)))</formula>
    </cfRule>
  </conditionalFormatting>
  <conditionalFormatting sqref="D8356">
    <cfRule type="containsText" dxfId="1434" priority="1933" operator="containsText" text="Pesquisa de Preços">
      <formula>NOT(ISERROR(SEARCH("Pesquisa de Preços",D8356)))</formula>
    </cfRule>
  </conditionalFormatting>
  <conditionalFormatting sqref="D8359:D8360">
    <cfRule type="containsText" dxfId="1433" priority="1932" operator="containsText" text="Pesquisa de Preços">
      <formula>NOT(ISERROR(SEARCH("Pesquisa de Preços",D8359)))</formula>
    </cfRule>
  </conditionalFormatting>
  <conditionalFormatting sqref="D8362">
    <cfRule type="containsText" dxfId="1428" priority="1925" operator="containsText" text="Pesquisa de Preços">
      <formula>NOT(ISERROR(SEARCH("Pesquisa de Preços",D8362)))</formula>
    </cfRule>
  </conditionalFormatting>
  <conditionalFormatting sqref="D8368">
    <cfRule type="containsText" dxfId="1417" priority="1911" operator="containsText" text="Pesquisa de Preços">
      <formula>NOT(ISERROR(SEARCH("Pesquisa de Preços",D8368)))</formula>
    </cfRule>
  </conditionalFormatting>
  <conditionalFormatting sqref="D8371:D8372">
    <cfRule type="containsText" dxfId="1416" priority="1910" operator="containsText" text="Pesquisa de Preços">
      <formula>NOT(ISERROR(SEARCH("Pesquisa de Preços",D8371)))</formula>
    </cfRule>
  </conditionalFormatting>
  <conditionalFormatting sqref="D8">
    <cfRule type="containsText" dxfId="1415" priority="1903" operator="containsText" text="Pesquisa de Preços">
      <formula>NOT(ISERROR(SEARCH("Pesquisa de Preços",D8)))</formula>
    </cfRule>
  </conditionalFormatting>
  <conditionalFormatting sqref="E1385">
    <cfRule type="containsText" dxfId="1412" priority="1904" operator="containsText" text="Pesquisa de Preços">
      <formula>NOT(ISERROR(SEARCH("Pesquisa de Preços",E1385)))</formula>
    </cfRule>
  </conditionalFormatting>
  <conditionalFormatting sqref="D8370 D8364:D8366 D8358 D8353:D8354 D8343:D8344 D8329:D8334 D8316:D8317 D8310:D8312 D8302:D8306 D8293:D8298 D8287:D8289 D8283 D8274:D8279 D8268 D8262:D8264 D8255:D8256 D8249:D8250 D8244:D8245 D8240 D8235 D8223:D8231 D8218:D8219 D8208:D8214 D8198:D8204 D8194 D8185 D8181 D8177 D8173 D8169 D8165 D8161 D8157 D8153 D8149 D8145 D8141 D8137 D8133 D8129 D8125 D8121 D8117 D8113 D8109 D8105 D8101 D8097 D8093 D8089 D8085 D8081 D8077 D8073 D8069 D8065 D8061 D8057 D8053 D8049 D8045 D8041 D8037 D8033 D8029 D8025 D8021 D8017 D8013 D8009 D8005 D8001 D7997 D7993 D7989 D7985 D7981 D7977 D7973 D7969 D7965 D7961 D7957 D7953 D7945 D7941 D7937 D7933 D7929 D7925 D7921 D7917 D7913 D7909 D7905 D7897 D7893 D7889 D7885 D7881 D7877 D7873 D7869 D7861 D7857 D7849 D7845 D7841 D7837 D7833 D7829 D7825 D7821 D7817 D7809 D7805 D7801 D7797 D7793 D7789 D7785 D7781 D7777 D7773 D7769 D7765 D7761 D7757 D7753 D7749 D7745 D7741 D7737 D7733 D7729 D7725 D7721 D7717 D7713 D7709 D7705 D7701 D7697 D7693 D7689 D7685 D7681 D7677 D7673 D7669 D7665 D7661 D7657 D7653 D7649 D7645 D7641 D7637 D7633 D7629 D7625 D7621 D7617 D7613 D7609 D7605 D7601 D7597 D7593 D7589 D7585 D7581 D7577 D7573 D7569 D7565 D7561 D7557 D7551:D7553 D7536:D7540 D7522:D7526 D7516:D7517 D7510:D7511 D7501:D7502 D7495:D7496 D7489:D7491 D7482:D7485 D7474:D7477 D7466:D7469 D7461 D7454:D7457 D7448:D7450 D7440:D7443 D7435:D7436 D7426:D7430 D7420:D7421 D7415:D7416 D7409:D7410 D7403:D7404 D7397:D7398 D7392 D7389:D7390 D7383:D7385 D7375:D7379 D7369:D7371 D7364 D7361:D7362 D7356:D7357 D7351:D7352 D7346:D7347 D7337:D7341 D7329:D7333 D7323:D7325 D7316:D7319 D7312 D7308 D7288 D7284 D7280 D7276 D7268 D7264 D7260 D7256 D7234:D7237 D7228:D7230 D7222:D7223 D7218 D7214 D7210 D7206 D7200 D7194 D7188 D7182 D7176 D7170 D7164 D7158 D7152 D7146 D7142 D7138 D7134 D7126 D7122 D7118 D7114 D7110 D7106 D7102 D7098 D7094 D7090 D7086 D7082 D7078 D7074 D7070 D7066 D7062 D7058 D7054 D7050 D7046 D7042 D7038 D7034 D7030 D7026 D7022 D7018 D7014 D7010 D7006 D7002 D6998 D6994 D6990 D6986 D6982 D6978 D6974 D6970 D6966 D6962 D6958 D6950 D6946 D6942 D6938 D6934 D6930 D6926 D6922 D6918 D6914 D6910 D6906 D6902 D6898 D6894 D6890 D6886 D6882 D6878 D6874 D6870 D6866 D6862 D6858 D6854 D6850 D6846 D6842 D6838 D6834 D6830 D6826 D6822 D6818 D6814 D6806 D6798 D6794 D6790 D6786 D6782 D6778 D6774 D6770 D6766 D6762 D6758 D6754 D6750 D6746 D6742 D6738 D6734 D6730 D6726 D6722 D6718 D6714 D6710 D6706 D6702 D6698 D6694 D6690 D6686 D6682 D6678 D6674 D6670 D6666 D6662 D6658 D6654 D6650 D6646 D6642 D6638 D6634 D6630 D6626 D6622 D6618 D6614 D6610 D6606 D6602 D6598 D6594 D6590 D6586 D6582 D6578 D6574 D6570 D6566 D6562 D6558 D6554 D6550 D6546 D6542 D6538 D6534 D6530 D6526 D6522 D6518 D6514 D6510 D6506 D6502 D6498 D6494 D6488:D6490 D6481:D6483 D6474:D6476 D6468:D6469 D6466 D6459:D6462 D6450:D6455 D6445:D6446 D6438:D6441 D6433:D6434 D6428:D6429 D6423:D6424 D6419 D6415 D6410:D6411 D6406 D6399:D6402 D6394:D6395 D6387:D6389 D6372:D6379 D6357:D6367 D6352:D6353 D6343:D6348 D6337:D6338 D6309:D6329 D6299:D6305 D6292:D6295 D6284:D6288 D6276:D6280 D6265:D6272 D6256:D6261 D6251:D6252 D6244:D6246 D6237:D6240 D6231:D6233 D6224:D6227 D6215:D6220 D6207:D6211 D6199:D6200 D6194:D6195 D6189:D6190 D6182:D6185 D6175:D6177 D6171:D6172 D6164:D6166 D6160:D6161 D6156 D6152 D6148 D6140:D6141 D6136 D6132 D6128 D6124 D6116 D6112 D6100 D6096 D6092 D6088 D6084 D6080 D6076 D6068 D6060 D6056 D6052 D6048 D6044 D6040 D6036 D6032 D6028 D5992 D5988 D5984 D5980 D5976 D5972 D5968 D5964 D5960 D5956 D5952 D5948 D5944 D5940 D5936 D5932 D5928 D5924 D5920 D5916 D5912 D5908 D5904 D5900 D5896 D5892 D5888 D5884 D5880 D5876 D5872 D5868 D5864 D5860 D5856 D5852 D5848 D5844 D5840 D5836 D5832 D5828 D5824 D5820 D5816 D5812 D5808 D5804 D5800 D5796 D5792 D5788 D5784 D5780 D5776 D5772 D5768 D5764 D5760 D5756 D5752 D5748 D5744 D5740 D5704 D5700 D5696 D5692 D5688 D5684 D5680 D5676 D5672 D5668 D5664 D5660 D5656 D5652 D5648 D5644 D5640 D5636 D5632 D5628 D5624 D5620 D5616 D5612 D5608 D5602 D5596 D5590 D5584 D5578 D5572 D5566 D5560 D5554 D5548 D5542 D5536 D5530 D5524 D5518 D5512 D5506 D5500 D5494 D5488 D5484 D5479:D5480 D5477 D5473 D5467:D5468 D5462:D5463 D5455:D5457 D5448:D5449 D5443:D5444 D5437:D5438 D5424:D5432 D5414:D5420 D5407:D5410 D5399:D5403 D5391:D5395 D5386:D5387 D5377:D5378 D5371:D5372 D5364:D5365 D5359:D5360 D5353:D5354 D5345:D5347 D5338:D5340 D5331:D5334 D5326:D5327 D5320:D5321 D5314:D5315 D5308:D5309 D5302:D5303 D5295:D5297 D5289:D5291 D5282:D5285 D5276:D5278 D5268:D5271 D5256:D5264 D5249:D5252 D5244:D5245 D5238:D5239 D5232:D5233 D5230 D5223:D5226 D5208:D5217 D5193:D5202 D5187:D5189 D5185 D5179:D5181 D5177 D5171:D5173 D5169 D5164:D5165 D5157:D5159 D5155 D5150:D5151 D5143:D5145 D5141 D5135:D5137 D5133 D5127:D5129 D5125 D5119:D5121 D5117 D5111:D5112 D5105 D5100:D5103 D5093:D5096 D5086:D5089 D5080:D5082 D5075:D5076 D5069:D5070 D5063:D5064 D5054:D5058 D5048:D5050 D5040:D5042 D5032:D5036 D5026:D5028 D5020:D5022 D5016 D5010:D5012 D5003:D5006 D4997:D4998 D4990:D4993 D4984:D4986 D4978:D4980 D4972:D4974 D4966:D4968 D4961:D4962 D4956:D4957 D4954 D4949:D4950 D4947 D4940:D4943 D4935:D4936 D4928 D4923:D4924 D4921 D4916:D4917 D4914 D4909:D4910 D4907 D4902:D4903 D4900 D4894:D4896 D4885:D4889 D4876:D4880 D4866:D4867 D4858:D4859 D4850:D4851 D4842:D4843 D4834:D4835 D4826:D4827 D4818:D4819 D4810:D4811 D4805 D4800 D4795 D4785:D4791 D4775:D4781 D4770:D4771 D4763:D4765 D4759:D4760 D4755 D4751 D4747 D4743 D4739 D4735 D4731 D4727 D4723 D4715:D4717 D4709 D4697:D4698 D4693:D4695 D4684:D4689 D4677 D4670:D4672 D4659 D4653:D4655 D4651 D4643:D4647 D4637:D4639 D4629:D4630 D4617:D4623 D4611:D4612 D4603:D4604 D4594:D4599 D4586:D4590 D4573:D4580 D4567:D4571 D4555:D4563 D4543:D4551 D4539 D4537 D4533 D4523:D4524 D4514:D4517 D4509:D4510 D4504:D4505 D4498:D4500 D4490:D4494 D4482:D4484 D4462:D4476 D4456 D4424:D4425 D4414:D4420 D4404:D4410 D4394:D4400 D4386:D4387 D4378:D4379 D4368:D4369 D4361:D4364 D4359 D4351:D4355 D4343:D4346 D4341 D4332:D4337 D4321:D4328 D4314 D4302:D4308 D4287:D4300 D4271:D4281 D4267 D4262 D4254:D4258 D4250 D4244:D4245 D4233:D4238 D4225:D4229 D4217:D4219 D4211:D4213 D4201:D4207 D4196:D4197 D4190:D4191 D4184:D4185 D4176:D4179 D4169:D4172 D4154:D4155 D4147 D4143:D4145 D4137:D4139 D4131 D4123:D4127 D4115:D4118 D4107:D4110 D4100:D4102 D4096 D4090 D4083:D4086 D4077:D4079 D4071:D4073 D4062:D4067 D4053:D4058 D4044:D4049 D4035:D4040 D4026:D4031 D4017:D4022 D4013 D4009 D4004 D3991:D4000 D3972:D3975 D3964:D3967 D3956:D3960 D3954 D3946:D3950 D3941:D3942 D3931:D3933 D3925:D3926 D3919:D3920 D3912:D3914 D3894:D3908 D3889:D3890 D3887 D3872:D3882 D3860:D3866 D3852:D3856 D3843:D3848 D3836:D3839 D3833:D3834 D3825 D3821:D3823 D3816 D3810 D3804 D3798 D3792 D3786 D3780 D3774 D3768 D3762 D3756 D3752 D3748 D3744 D3737:D3740 D3729:D3730 D3723:D3724 D3713:D3719 D3709 D3703 D3698:D3699 D3685:D3692 D3673:D3679 D3665:D3667 D3650:D3659 D3644:D3646 D3640 D3632:D3636 D3627:D3628 D3622:D3623 D3612:D3618 D3606:D3608 D3599:D3602 D3588 D3584:D3585 D3579:D3580 D3575 D3572 D3565:D3568 D3558:D3559 D3552:D3553 D3545 D3536:D3541 D3529:D3532 D3520:D3521 D3511:D3512 D3503 D3494:D3499 D3486:D3489 D3478 D3469:D3474 D3461:D3464 D3454 D3449:D3450 D3443 D3438:D3439 D3432 D3428:D3429 D3424 D3420 D3415:D3416 D3410:D3411 D3405:D3406 D3398:D3401 D3391:D3394 D3384:D3387 D3380 D3376 D3371:D3372 D3367 D3363 D3356:D3359 D3351:D3352 D3349 D3343:D3345 D3337:D3338 D3328:D3331 D3322:D3324 D3316:D3318 D3310:D3312 D3303:D3305 D3296:D3298 D3289:D3291 D3282:D3284 D3275:D3277 D3268:D3270 D3261:D3263 D3254:D3256 D3247:D3249 D3242 D3231:D3236 D3225:D3227 D3219:D3221 D3213:D3215 D3194:D3197 D3190 D3185:D3186 D3177:D3181 D3169:D3173 D3160:D3162 D3155:D3156 D3150:D3151 D3144:D3145 D3138:D3140 D3132:D3134 D3126:D3128 D3120 D3115 D3110 D3105 D3100 D3095 D3090 D3085 D3080 D3075 D3067:D3071 D3062 D3054:D3057 D3050 D3042:D3043 D3037 D3029:D3030 D3024 D3019 D3014 D3009 D3004 D2999 D2994 D2989 D2984 D2974:D2980 D2969 D2964 D2959 D2954 D2949 D2944 D2939 D2934 D2929 D2924 D2916:D2917 D2908:D2909 D2900:D2901 D2892:D2893 D2884:D2885 D2879 D2874 D2869 D2862:D2863 D2857 D2852 D2847 D2842 D2837 D2832 D2827 D2822 D2815 D2810 D2805 D2800 D2790:D2796 D2785:D2786 D2780:D2781 D2774:D2776 D2764:D2770 D2759:D2760 D2755 D2751 D2747 D2743 D2739 D2735 D2731 D2727 D2723 D2719 D2715 D2711 D2707 D2703 D2697 D2691 D2685 D2679 D2673 D2667 D2661 D2655 D2649 D2643 D2639 D2635 D2631 D2627 D2623 D2619 D2615 D2611 D2607 D2603 D2599 D2595 D2587 D2583 D2579 D2571:D2573 D2563:D2565 D2555:D2557 D2551 D2547 D2543 D2539 D2535 D2531 D2527 D2523 D2519 D2515 D2511 D2507 D2503 D2499 D2495 D2491 D2487 D2483 D2479 D2475 D2471 D2467 D2463 D2459 D2455 D2451 D2447 D2443 D2439 D2435 D2431 D2427 D2423 D2419 D2415 D2411 D2407 D2403 D2399 D2395 D2391 D2387 D2383 D2379 D2373:D2374 D2367:D2369 D2360:D2362 D2353:D2354 D2348:D2349 D2339:D2340 D2334 D2329 D2324:D2325 D2319:D2320 D2313:D2314 D2307:D2308 D2300:D2302 D2293:D2296 D2286:D2289 D2280 D2276:D2278 D2270 D2266:D2268 D2260 D2256:D2258 D2250 D2246:D2248 D2240 D2236:D2238 D2230:D2231 D2224 D2216:D2222 D2210:D2211 D2204:D2206 D2197:D2199 D2190:D2193 D2185:D2186 D2178:D2179 D2170:D2171 D2162:D2163 D2153:D2155 D2145:D2147 D2137:D2139 D2129:D2131 D2121:D2123 D2115:D2117 D2109:D2111 D2103:D2105 D2097:D2099 D2091:D2092 D2084:D2085 D2076:D2077 D2068:D2069 D2060:D2061 D2052:D2053 D2044:D2045 D2036:D2037 D2028:D2029 D2020:D2021 D2012:D2013 D2004:D2005 D1997:D1998 D1990:D1993 D1983:D1986 D1976:D1979 D1969:D1972 D1961:D1963 D1953:D1955 D1949 D1946:D1947 D1942 D1939:D1940 D1933:D1934 D1927:D1928 D1920 D1915 D1910 D1904:D1905 D1899:D1900 D1894:D1895 D1889:D1890 D1883:D1884 D1877:D1878 D1871:D1872 D1865:D1866 D1859:D1860 D1853:D1854 D1847:D1848 D1841:D1842 D1835:D1836 D1829:D1830 D1823:D1824 D1817:D1818 D1812:D1813 D1810 D1804:D1805 D1798:D1799 D1793:D1794 D1788:D1789 D1782:D1784 D1777 D1774:D1775 D1770 D1767:D1768 D1763 D1760:D1761 D1756 D1753:D1754 D1749 D1746:D1747 D1742 D1739:D1740 D1735 D1732:D1733 D1727:D1728 D1717:D1718 D1707:D1708 D1697:D1698 D1684:D1685 D1679:D1680 D1671:D1672 D1664:D1665 D1658:D1659 D1653 D1648 D1643 D1637:D1638 D1631:D1633 D1625:D1627 D1619:D1620 D1614 D1608:D1610 D1602:D1604 D1597 D1590:D1591 D1584:D1586 D1576:D1579 D1569:D1572 D1560 D1555:D1556 D1547:D1550 D1540:D1543 D1533:D1536 D1526:D1529 D1521:D1522 D1515:D1516 D1509:D1510 D1503:D1504 D1497:D1498 D1486 D1481:D1482 D1471 D1466:D1467 D1456 D1451:D1452 D1441 D1436:D1437 D1426 D1421:D1422 D1411 D1406:D1407 D1396 D1391:D1392 D1384:D1387 D1379:D1380 D1372:D1373 D1366:D1368 D1359:D1360 D1353:D1354 D1347:D1348 D1340:D1343 D1334:D1335 D1327:D1330 D1322:D1323 D1316:D1317 D1310:D1311 D1304:D1305 D1297:D1298 D1294:D1295 D1287:D1290 D1282 D1279:D1280 D1273:D1275 D1266:D1268 D1259:D1261 D1252:D1253 D1245:D1248 D1238:D1241 D1231:D1234 D1226:D1227 D1220:D1221 D1214:D1215 D1208:D1209 D1200:D1203 D1194:D1196 D1186:D1189 D1180:D1182 D1173:D1175 D1166:D1168 D1159:D1161 D1152:D1154 D1144:D1147 D1137:D1140 D1131:D1133 D1123:D1126 D1118:D1119 D1113:D1114 D1108 D1103 D1095:D1098 D1084:D1088 D1076:D1080 D1068:D1072 D1059:D1062 D1052:D1055 D1046:D1048 D1039:D1041 D1032:D1034 D1023:D1027 D1014:D1018 D1012 D1008 D998:D1003 D994 D989 D979:D984 D970:D975 D964:D966 D956:D959 D949:D952 D943:D945 D936:D939 D929:D932 D922:D925 D915:D918 D908:D911 D902:D903 D898 D891:D892 D886:D887 D878:D882 D870:D874 D862:D864 D857:D858 D852:D853 D845:D847 D840 D834:D836 D827:D830 D822:D823 D818 D813:D814 D809 D799:D805 D785:D795 D778:D779 D761:D763 D750:D757 D745:D746 D743 D732:D735 D725:D727 D718:D721 D709:D714 D702:D705 D699:D700 D692:D695 D683:D687 D681 D674:D677 D671:D672 D664:D667 D659 D655 D651 D647 D643 D639 D632:D635 D624:D627 D616:D619 D610:D612 D602:D604 D592:D595 D583:D586 D575:D577 D565:D568 D556:D559 D548:D552 D540:D544 D532:D536 D526:D528 D519 D513 D506:D508 D499:D502 D492:D495 D484 D478:D479 D469 D466:D467 D459:D462 D449:D452 D441:D442 D435:D437 D429:D431 D417:D425 D410:D413 D396:D406 D389:D392 D375:D385 D366:D371 D360:D362 D352:D354 D346:D350 D336:D342 D331:D332 D328:D329 D322:D324 D307:D316 D292:D301 D285:D288 D278:D281 D270:D274 D265:D266 D260 D253:D258 D250:D251 D242:D246 D238 D234 D230 D226 D221:D222 D216:D217 D212 D207:D208 D203 D199 D192:D195 D185:D186 D181 D177 D173 D168:D169 D163:D164 D156:D157 D151:D152 D146:D147 D141:D142 D137 D133 D128:D129 D123:D124 D118:D119 D113:D114 D108:D109 D104 D99:D100 D94:D95 D89:D90 D84:D85 D79:D80 D71:D75 D66:D67 D61:D62 D54:D57 D49:D50 D44:D45 D39:D40 D35 D30:D31 D25:D26 D20 D16 D12 D4519 D4526:D4528 D4661 D3827 D4441:D4443 D768:D772 D774">
    <cfRule type="containsText" dxfId="1411" priority="1901" operator="containsText" text="Pesquisa de Preços">
      <formula>NOT(ISERROR(SEARCH("Pesquisa de Preços",D12)))</formula>
    </cfRule>
  </conditionalFormatting>
  <conditionalFormatting sqref="D8400">
    <cfRule type="containsText" dxfId="1410" priority="1887" operator="containsText" text="Pesquisa de Preços">
      <formula>NOT(ISERROR(SEARCH("Pesquisa de Preços",D8400)))</formula>
    </cfRule>
  </conditionalFormatting>
  <conditionalFormatting sqref="D4518">
    <cfRule type="containsText" dxfId="1407" priority="1897" operator="containsText" text="Pesquisa de Preços">
      <formula>NOT(ISERROR(SEARCH("Pesquisa de Preços",D4518)))</formula>
    </cfRule>
  </conditionalFormatting>
  <conditionalFormatting sqref="D4525">
    <cfRule type="containsText" dxfId="1404" priority="1893" operator="containsText" text="Pesquisa de Preços">
      <formula>NOT(ISERROR(SEARCH("Pesquisa de Preços",D4525)))</formula>
    </cfRule>
  </conditionalFormatting>
  <conditionalFormatting sqref="D8381">
    <cfRule type="containsText" dxfId="1391" priority="1874" operator="containsText" text="Pesquisa de Preços">
      <formula>NOT(ISERROR(SEARCH("Pesquisa de Preços",D8381)))</formula>
    </cfRule>
  </conditionalFormatting>
  <conditionalFormatting sqref="D8384">
    <cfRule type="containsText" dxfId="1390" priority="1873" operator="containsText" text="Pesquisa de Preços">
      <formula>NOT(ISERROR(SEARCH("Pesquisa de Preços",D8384)))</formula>
    </cfRule>
  </conditionalFormatting>
  <conditionalFormatting sqref="D8383">
    <cfRule type="containsText" dxfId="1389" priority="1872" operator="containsText" text="Pesquisa de Preços">
      <formula>NOT(ISERROR(SEARCH("Pesquisa de Preços",D8383)))</formula>
    </cfRule>
  </conditionalFormatting>
  <conditionalFormatting sqref="D4660">
    <cfRule type="containsText" dxfId="1386" priority="1868" operator="containsText" text="Pesquisa de Preços">
      <formula>NOT(ISERROR(SEARCH("Pesquisa de Preços",D4660)))</formula>
    </cfRule>
  </conditionalFormatting>
  <conditionalFormatting sqref="E5377">
    <cfRule type="containsText" dxfId="1383" priority="1865" operator="containsText" text="Pesquisa de Preços">
      <formula>NOT(ISERROR(SEARCH("Pesquisa de Preços",E5377)))</formula>
    </cfRule>
  </conditionalFormatting>
  <conditionalFormatting sqref="D6333">
    <cfRule type="containsText" dxfId="1380" priority="1862" operator="containsText" text="Pesquisa de Preços">
      <formula>NOT(ISERROR(SEARCH("Pesquisa de Preços",D6333)))</formula>
    </cfRule>
  </conditionalFormatting>
  <conditionalFormatting sqref="D6334">
    <cfRule type="containsText" dxfId="1379" priority="1861" operator="containsText" text="Pesquisa de Preços">
      <formula>NOT(ISERROR(SEARCH("Pesquisa de Preços",D6334)))</formula>
    </cfRule>
  </conditionalFormatting>
  <conditionalFormatting sqref="D6335">
    <cfRule type="containsText" dxfId="1378" priority="1860" operator="containsText" text="Pesquisa de Preços">
      <formula>NOT(ISERROR(SEARCH("Pesquisa de Preços",D6335)))</formula>
    </cfRule>
  </conditionalFormatting>
  <conditionalFormatting sqref="D6336">
    <cfRule type="containsText" dxfId="1377" priority="1859" operator="containsText" text="Pesquisa de Preços">
      <formula>NOT(ISERROR(SEARCH("Pesquisa de Preços",D6336)))</formula>
    </cfRule>
  </conditionalFormatting>
  <conditionalFormatting sqref="D8387">
    <cfRule type="containsText" dxfId="1374" priority="1837" operator="containsText" text="Pesquisa de Preços">
      <formula>NOT(ISERROR(SEARCH("Pesquisa de Preços",D8387)))</formula>
    </cfRule>
  </conditionalFormatting>
  <conditionalFormatting sqref="D8385">
    <cfRule type="containsText" dxfId="1371" priority="1838" operator="containsText" text="Pesquisa de Preços">
      <formula>NOT(ISERROR(SEARCH("Pesquisa de Preços",D8385)))</formula>
    </cfRule>
  </conditionalFormatting>
  <conditionalFormatting sqref="D8388:D8389">
    <cfRule type="containsText" dxfId="1368" priority="1836" operator="containsText" text="Pesquisa de Preços">
      <formula>NOT(ISERROR(SEARCH("Pesquisa de Preços",D8388)))</formula>
    </cfRule>
  </conditionalFormatting>
  <conditionalFormatting sqref="D8402:D8404">
    <cfRule type="containsText" dxfId="1367" priority="1834" operator="containsText" text="Pesquisa de Preços">
      <formula>NOT(ISERROR(SEARCH("Pesquisa de Preços",D8402)))</formula>
    </cfRule>
  </conditionalFormatting>
  <conditionalFormatting sqref="D8391">
    <cfRule type="containsText" dxfId="1366" priority="1832" operator="containsText" text="Pesquisa de Preços">
      <formula>NOT(ISERROR(SEARCH("Pesquisa de Preços",D8391)))</formula>
    </cfRule>
  </conditionalFormatting>
  <conditionalFormatting sqref="E8391">
    <cfRule type="containsText" dxfId="1365" priority="1829" operator="containsText" text="Pesquisa de Preços">
      <formula>NOT(ISERROR(SEARCH("Pesquisa de Preços",E8391)))</formula>
    </cfRule>
  </conditionalFormatting>
  <conditionalFormatting sqref="D8399 D8392:D8393">
    <cfRule type="containsText" dxfId="1364" priority="1831" operator="containsText" text="Pesquisa de Preços">
      <formula>NOT(ISERROR(SEARCH("Pesquisa de Preços",D8392)))</formula>
    </cfRule>
  </conditionalFormatting>
  <conditionalFormatting sqref="E8399 E8392:E8393">
    <cfRule type="containsText" dxfId="1363" priority="1830" operator="containsText" text="Pesquisa de Preços">
      <formula>NOT(ISERROR(SEARCH("Pesquisa de Preços",E8392)))</formula>
    </cfRule>
  </conditionalFormatting>
  <conditionalFormatting sqref="E8398">
    <cfRule type="containsText" dxfId="1362" priority="1828" operator="containsText" text="Pesquisa de Preços">
      <formula>NOT(ISERROR(SEARCH("Pesquisa de Preços",E8398)))</formula>
    </cfRule>
  </conditionalFormatting>
  <conditionalFormatting sqref="E8397">
    <cfRule type="containsText" dxfId="1361" priority="1827" operator="containsText" text="Pesquisa de Preços">
      <formula>NOT(ISERROR(SEARCH("Pesquisa de Preços",E8397)))</formula>
    </cfRule>
  </conditionalFormatting>
  <conditionalFormatting sqref="D8397:D8398">
    <cfRule type="containsText" dxfId="1360" priority="1824" operator="containsText" text="Pesquisa de Preços">
      <formula>NOT(ISERROR(SEARCH("Pesquisa de Preços",D8397)))</formula>
    </cfRule>
  </conditionalFormatting>
  <conditionalFormatting sqref="D3587">
    <cfRule type="containsText" dxfId="1357" priority="1821" operator="containsText" text="Pesquisa de Preços">
      <formula>NOT(ISERROR(SEARCH("Pesquisa de Preços",D3587)))</formula>
    </cfRule>
  </conditionalFormatting>
  <conditionalFormatting sqref="D3586">
    <cfRule type="containsText" dxfId="1356" priority="1820" operator="containsText" text="Pesquisa de Preços">
      <formula>NOT(ISERROR(SEARCH("Pesquisa de Preços",D3586)))</formula>
    </cfRule>
  </conditionalFormatting>
  <conditionalFormatting sqref="D3826">
    <cfRule type="containsText" dxfId="1353" priority="1816" operator="containsText" text="Pesquisa de Preços">
      <formula>NOT(ISERROR(SEARCH("Pesquisa de Preços",D3826)))</formula>
    </cfRule>
  </conditionalFormatting>
  <conditionalFormatting sqref="D4449">
    <cfRule type="containsText" dxfId="1352" priority="1815" operator="containsText" text="Pesquisa de Preços">
      <formula>NOT(ISERROR(SEARCH("Pesquisa de Preços",D4449)))</formula>
    </cfRule>
  </conditionalFormatting>
  <conditionalFormatting sqref="D4438:D4440">
    <cfRule type="containsText" dxfId="1347" priority="1809" operator="containsText" text="Pesquisa de Preços">
      <formula>NOT(ISERROR(SEARCH("Pesquisa de Preços",D4438)))</formula>
    </cfRule>
  </conditionalFormatting>
  <conditionalFormatting sqref="D4432:D4433 D4435:D4437">
    <cfRule type="containsText" dxfId="1346" priority="1808" operator="containsText" text="Pesquisa de Preços">
      <formula>NOT(ISERROR(SEARCH("Pesquisa de Preços",D4432)))</formula>
    </cfRule>
  </conditionalFormatting>
  <conditionalFormatting sqref="D4434">
    <cfRule type="containsText" dxfId="1345" priority="1807" operator="containsText" text="Pesquisa de Preços">
      <formula>NOT(ISERROR(SEARCH("Pesquisa de Preços",D4434)))</formula>
    </cfRule>
  </conditionalFormatting>
  <conditionalFormatting sqref="D5708">
    <cfRule type="containsText" dxfId="1336" priority="1798" operator="containsText" text="Pesquisa de Preços">
      <formula>NOT(ISERROR(SEARCH("Pesquisa de Preços",D5708)))</formula>
    </cfRule>
  </conditionalFormatting>
  <conditionalFormatting sqref="D5712">
    <cfRule type="containsText" dxfId="1331" priority="1793" operator="containsText" text="Pesquisa de Preços">
      <formula>NOT(ISERROR(SEARCH("Pesquisa de Preços",D5712)))</formula>
    </cfRule>
  </conditionalFormatting>
  <conditionalFormatting sqref="D8320">
    <cfRule type="containsText" dxfId="1318" priority="1773" operator="containsText" text="Pesquisa de Preços">
      <formula>NOT(ISERROR(SEARCH("Pesquisa de Preços",D8320)))</formula>
    </cfRule>
  </conditionalFormatting>
  <conditionalFormatting sqref="D8322:D8325">
    <cfRule type="containsText" dxfId="1317" priority="1772" operator="containsText" text="Pesquisa de Preços">
      <formula>NOT(ISERROR(SEARCH("Pesquisa de Preços",D8322)))</formula>
    </cfRule>
  </conditionalFormatting>
  <conditionalFormatting sqref="D8412">
    <cfRule type="containsText" dxfId="1316" priority="1770" operator="containsText" text="Pesquisa de Preços">
      <formula>NOT(ISERROR(SEARCH("Pesquisa de Preços",D8412)))</formula>
    </cfRule>
  </conditionalFormatting>
  <conditionalFormatting sqref="D8413 D8418">
    <cfRule type="containsText" dxfId="1314" priority="1768" operator="containsText" text="Pesquisa de Preços">
      <formula>NOT(ISERROR(SEARCH("Pesquisa de Preços",D8413)))</formula>
    </cfRule>
  </conditionalFormatting>
  <conditionalFormatting sqref="D8416">
    <cfRule type="containsText" dxfId="1313" priority="1767" operator="containsText" text="Pesquisa de Preços">
      <formula>NOT(ISERROR(SEARCH("Pesquisa de Preços",D8416)))</formula>
    </cfRule>
  </conditionalFormatting>
  <conditionalFormatting sqref="E8413:E8414 E8417:E8418">
    <cfRule type="containsText" dxfId="1312" priority="1766" operator="containsText" text="Pesquisa de Preços">
      <formula>NOT(ISERROR(SEARCH("Pesquisa de Preços",E8413)))</formula>
    </cfRule>
  </conditionalFormatting>
  <conditionalFormatting sqref="E8412">
    <cfRule type="containsText" dxfId="1311" priority="1765" operator="containsText" text="Pesquisa de Preços">
      <formula>NOT(ISERROR(SEARCH("Pesquisa de Preços",E8412)))</formula>
    </cfRule>
  </conditionalFormatting>
  <conditionalFormatting sqref="E8416">
    <cfRule type="containsText" dxfId="1310" priority="1764" operator="containsText" text="Pesquisa de Preços">
      <formula>NOT(ISERROR(SEARCH("Pesquisa de Preços",E8416)))</formula>
    </cfRule>
  </conditionalFormatting>
  <conditionalFormatting sqref="E8415">
    <cfRule type="containsText" dxfId="1307" priority="1761" operator="containsText" text="Pesquisa de Preços">
      <formula>NOT(ISERROR(SEARCH("Pesquisa de Preços",E8415)))</formula>
    </cfRule>
  </conditionalFormatting>
  <conditionalFormatting sqref="D8417 D8414:D8415">
    <cfRule type="containsText" dxfId="1306" priority="1760" operator="containsText" text="Pesquisa de Preços">
      <formula>NOT(ISERROR(SEARCH("Pesquisa de Preços",D8414)))</formula>
    </cfRule>
  </conditionalFormatting>
  <conditionalFormatting sqref="D8425">
    <cfRule type="containsText" dxfId="1305" priority="1758" operator="containsText" text="Pesquisa de Preços">
      <formula>NOT(ISERROR(SEARCH("Pesquisa de Preços",D8425)))</formula>
    </cfRule>
  </conditionalFormatting>
  <conditionalFormatting sqref="D8426 D8430">
    <cfRule type="containsText" dxfId="1304" priority="1756" operator="containsText" text="Pesquisa de Preços">
      <formula>NOT(ISERROR(SEARCH("Pesquisa de Preços",D8426)))</formula>
    </cfRule>
  </conditionalFormatting>
  <conditionalFormatting sqref="E8425">
    <cfRule type="containsText" dxfId="1303" priority="1753" operator="containsText" text="Pesquisa de Preços">
      <formula>NOT(ISERROR(SEARCH("Pesquisa de Preços",E8425)))</formula>
    </cfRule>
  </conditionalFormatting>
  <conditionalFormatting sqref="E8426:E8427">
    <cfRule type="containsText" dxfId="1302" priority="1754" operator="containsText" text="Pesquisa de Preços">
      <formula>NOT(ISERROR(SEARCH("Pesquisa de Preços",E8426)))</formula>
    </cfRule>
  </conditionalFormatting>
  <conditionalFormatting sqref="E8428">
    <cfRule type="containsText" dxfId="1301" priority="1749" operator="containsText" text="Pesquisa de Preços">
      <formula>NOT(ISERROR(SEARCH("Pesquisa de Preços",E8428)))</formula>
    </cfRule>
  </conditionalFormatting>
  <conditionalFormatting sqref="D8427:D8428">
    <cfRule type="containsText" dxfId="1300" priority="1748" operator="containsText" text="Pesquisa de Preços">
      <formula>NOT(ISERROR(SEARCH("Pesquisa de Preços",D8427)))</formula>
    </cfRule>
  </conditionalFormatting>
  <conditionalFormatting sqref="E8443">
    <cfRule type="containsText" dxfId="1299" priority="1745" operator="containsText" text="Pesquisa de Preços">
      <formula>NOT(ISERROR(SEARCH("Pesquisa de Preços",E8443)))</formula>
    </cfRule>
  </conditionalFormatting>
  <conditionalFormatting sqref="D8429">
    <cfRule type="containsText" dxfId="1298" priority="1746" operator="containsText" text="Pesquisa de Preços">
      <formula>NOT(ISERROR(SEARCH("Pesquisa de Preços",D8429)))</formula>
    </cfRule>
  </conditionalFormatting>
  <conditionalFormatting sqref="D8438">
    <cfRule type="containsText" dxfId="1295" priority="1742" operator="containsText" text="Pesquisa de Preços">
      <formula>NOT(ISERROR(SEARCH("Pesquisa de Preços",D8438)))</formula>
    </cfRule>
  </conditionalFormatting>
  <conditionalFormatting sqref="D8439 D8443">
    <cfRule type="containsText" dxfId="1294" priority="1741" operator="containsText" text="Pesquisa de Preços">
      <formula>NOT(ISERROR(SEARCH("Pesquisa de Preços",D8439)))</formula>
    </cfRule>
  </conditionalFormatting>
  <conditionalFormatting sqref="E8438">
    <cfRule type="containsText" dxfId="1293" priority="1739" operator="containsText" text="Pesquisa de Preços">
      <formula>NOT(ISERROR(SEARCH("Pesquisa de Preços",E8438)))</formula>
    </cfRule>
  </conditionalFormatting>
  <conditionalFormatting sqref="E8439:E8440">
    <cfRule type="containsText" dxfId="1292" priority="1740" operator="containsText" text="Pesquisa de Preços">
      <formula>NOT(ISERROR(SEARCH("Pesquisa de Preços",E8439)))</formula>
    </cfRule>
  </conditionalFormatting>
  <conditionalFormatting sqref="E8441">
    <cfRule type="containsText" dxfId="1291" priority="1738" operator="containsText" text="Pesquisa de Preços">
      <formula>NOT(ISERROR(SEARCH("Pesquisa de Preços",E8441)))</formula>
    </cfRule>
  </conditionalFormatting>
  <conditionalFormatting sqref="D8441">
    <cfRule type="containsText" dxfId="1290" priority="1737" operator="containsText" text="Pesquisa de Preços">
      <formula>NOT(ISERROR(SEARCH("Pesquisa de Preços",D8441)))</formula>
    </cfRule>
  </conditionalFormatting>
  <conditionalFormatting sqref="D8442">
    <cfRule type="containsText" dxfId="1289" priority="1735" operator="containsText" text="Pesquisa de Preços">
      <formula>NOT(ISERROR(SEARCH("Pesquisa de Preços",D8442)))</formula>
    </cfRule>
  </conditionalFormatting>
  <conditionalFormatting sqref="D8431">
    <cfRule type="containsText" dxfId="1286" priority="1730" operator="containsText" text="Pesquisa de Preços">
      <formula>NOT(ISERROR(SEARCH("Pesquisa de Preços",D8431)))</formula>
    </cfRule>
  </conditionalFormatting>
  <conditionalFormatting sqref="D8432 D8437">
    <cfRule type="containsText" dxfId="1284" priority="1728" operator="containsText" text="Pesquisa de Preços">
      <formula>NOT(ISERROR(SEARCH("Pesquisa de Preços",D8432)))</formula>
    </cfRule>
  </conditionalFormatting>
  <conditionalFormatting sqref="E8432:E8433 E8436:E8437">
    <cfRule type="containsText" dxfId="1283" priority="1726" operator="containsText" text="Pesquisa de Preços">
      <formula>NOT(ISERROR(SEARCH("Pesquisa de Preços",E8432)))</formula>
    </cfRule>
  </conditionalFormatting>
  <conditionalFormatting sqref="E8431">
    <cfRule type="containsText" dxfId="1282" priority="1725" operator="containsText" text="Pesquisa de Preços">
      <formula>NOT(ISERROR(SEARCH("Pesquisa de Preços",E8431)))</formula>
    </cfRule>
  </conditionalFormatting>
  <conditionalFormatting sqref="E8435">
    <cfRule type="containsText" dxfId="1281" priority="1724" operator="containsText" text="Pesquisa de Preços">
      <formula>NOT(ISERROR(SEARCH("Pesquisa de Preços",E8435)))</formula>
    </cfRule>
  </conditionalFormatting>
  <conditionalFormatting sqref="E8434">
    <cfRule type="containsText" dxfId="1278" priority="1721" operator="containsText" text="Pesquisa de Preços">
      <formula>NOT(ISERROR(SEARCH("Pesquisa de Preços",E8434)))</formula>
    </cfRule>
  </conditionalFormatting>
  <conditionalFormatting sqref="D8436 D8433:D8434">
    <cfRule type="containsText" dxfId="1277" priority="1720" operator="containsText" text="Pesquisa de Preços">
      <formula>NOT(ISERROR(SEARCH("Pesquisa de Preços",D8433)))</formula>
    </cfRule>
  </conditionalFormatting>
  <conditionalFormatting sqref="D8435">
    <cfRule type="containsText" dxfId="1276" priority="1719" operator="containsText" text="Pesquisa de Preços">
      <formula>NOT(ISERROR(SEARCH("Pesquisa de Preços",D8435)))</formula>
    </cfRule>
  </conditionalFormatting>
  <conditionalFormatting sqref="D8406">
    <cfRule type="containsText" dxfId="1275" priority="1717" operator="containsText" text="Pesquisa de Preços">
      <formula>NOT(ISERROR(SEARCH("Pesquisa de Preços",D8406)))</formula>
    </cfRule>
  </conditionalFormatting>
  <conditionalFormatting sqref="D8407 D8411">
    <cfRule type="containsText" dxfId="1274" priority="1715" operator="containsText" text="Pesquisa de Preços">
      <formula>NOT(ISERROR(SEARCH("Pesquisa de Preços",D8407)))</formula>
    </cfRule>
  </conditionalFormatting>
  <conditionalFormatting sqref="D8419">
    <cfRule type="containsText" dxfId="1273" priority="1703" operator="containsText" text="Pesquisa de Preços">
      <formula>NOT(ISERROR(SEARCH("Pesquisa de Preços",D8419)))</formula>
    </cfRule>
  </conditionalFormatting>
  <conditionalFormatting sqref="E8407:E8408">
    <cfRule type="containsText" dxfId="1272" priority="1713" operator="containsText" text="Pesquisa de Preços">
      <formula>NOT(ISERROR(SEARCH("Pesquisa de Preços",E8407)))</formula>
    </cfRule>
  </conditionalFormatting>
  <conditionalFormatting sqref="E8406">
    <cfRule type="containsText" dxfId="1271" priority="1712" operator="containsText" text="Pesquisa de Preços">
      <formula>NOT(ISERROR(SEARCH("Pesquisa de Preços",E8406)))</formula>
    </cfRule>
  </conditionalFormatting>
  <conditionalFormatting sqref="E8410">
    <cfRule type="containsText" dxfId="1270" priority="1711" operator="containsText" text="Pesquisa de Preços">
      <formula>NOT(ISERROR(SEARCH("Pesquisa de Preços",E8410)))</formula>
    </cfRule>
  </conditionalFormatting>
  <conditionalFormatting sqref="E8409">
    <cfRule type="containsText" dxfId="1269" priority="1708" operator="containsText" text="Pesquisa de Preços">
      <formula>NOT(ISERROR(SEARCH("Pesquisa de Preços",E8409)))</formula>
    </cfRule>
  </conditionalFormatting>
  <conditionalFormatting sqref="D8408:D8409">
    <cfRule type="containsText" dxfId="1268" priority="1707" operator="containsText" text="Pesquisa de Preços">
      <formula>NOT(ISERROR(SEARCH("Pesquisa de Preços",D8408)))</formula>
    </cfRule>
  </conditionalFormatting>
  <conditionalFormatting sqref="E8424">
    <cfRule type="containsText" dxfId="1267" priority="1706" operator="containsText" text="Pesquisa de Preços">
      <formula>NOT(ISERROR(SEARCH("Pesquisa de Preços",E8424)))</formula>
    </cfRule>
  </conditionalFormatting>
  <conditionalFormatting sqref="D8420 D8424">
    <cfRule type="containsText" dxfId="1264" priority="1702" operator="containsText" text="Pesquisa de Preços">
      <formula>NOT(ISERROR(SEARCH("Pesquisa de Preços",D8420)))</formula>
    </cfRule>
  </conditionalFormatting>
  <conditionalFormatting sqref="D8421:D8422">
    <cfRule type="containsText" dxfId="1263" priority="1697" operator="containsText" text="Pesquisa de Preços">
      <formula>NOT(ISERROR(SEARCH("Pesquisa de Preços",D8421)))</formula>
    </cfRule>
  </conditionalFormatting>
  <conditionalFormatting sqref="E8420:E8421">
    <cfRule type="containsText" dxfId="1262" priority="1695" operator="containsText" text="Pesquisa de Preços">
      <formula>NOT(ISERROR(SEARCH("Pesquisa de Preços",E8420)))</formula>
    </cfRule>
  </conditionalFormatting>
  <conditionalFormatting sqref="E8419">
    <cfRule type="containsText" dxfId="1261" priority="1694" operator="containsText" text="Pesquisa de Preços">
      <formula>NOT(ISERROR(SEARCH("Pesquisa de Preços",E8419)))</formula>
    </cfRule>
  </conditionalFormatting>
  <conditionalFormatting sqref="E8423">
    <cfRule type="containsText" dxfId="1260" priority="1693" operator="containsText" text="Pesquisa de Preços">
      <formula>NOT(ISERROR(SEARCH("Pesquisa de Preços",E8423)))</formula>
    </cfRule>
  </conditionalFormatting>
  <conditionalFormatting sqref="E8422">
    <cfRule type="containsText" dxfId="1259" priority="1692" operator="containsText" text="Pesquisa de Preços">
      <formula>NOT(ISERROR(SEARCH("Pesquisa de Preços",E8422)))</formula>
    </cfRule>
  </conditionalFormatting>
  <conditionalFormatting sqref="D8376">
    <cfRule type="containsText" dxfId="1256" priority="1683" operator="containsText" text="Pesquisa de Preços">
      <formula>NOT(ISERROR(SEARCH("Pesquisa de Preços",D8376)))</formula>
    </cfRule>
  </conditionalFormatting>
  <conditionalFormatting sqref="D8374">
    <cfRule type="containsText" dxfId="1253" priority="1684" operator="containsText" text="Pesquisa de Preços">
      <formula>NOT(ISERROR(SEARCH("Pesquisa de Preços",D8374)))</formula>
    </cfRule>
  </conditionalFormatting>
  <conditionalFormatting sqref="D8377 D8379">
    <cfRule type="containsText" dxfId="1250" priority="1682" operator="containsText" text="Pesquisa de Preços">
      <formula>NOT(ISERROR(SEARCH("Pesquisa de Preços",D8377)))</formula>
    </cfRule>
  </conditionalFormatting>
  <conditionalFormatting sqref="D8378">
    <cfRule type="containsText" dxfId="1245" priority="1676" operator="containsText" text="Pesquisa de Preços">
      <formula>NOT(ISERROR(SEARCH("Pesquisa de Preços",D8378)))</formula>
    </cfRule>
  </conditionalFormatting>
  <conditionalFormatting sqref="D6118">
    <cfRule type="containsText" dxfId="1240" priority="1670" operator="containsText" text="Pesquisa de Preços">
      <formula>NOT(ISERROR(SEARCH("Pesquisa de Preços",D6118)))</formula>
    </cfRule>
  </conditionalFormatting>
  <conditionalFormatting sqref="D6120">
    <cfRule type="containsText" dxfId="1239" priority="1669" operator="containsText" text="Pesquisa de Preços">
      <formula>NOT(ISERROR(SEARCH("Pesquisa de Preços",D6120)))</formula>
    </cfRule>
  </conditionalFormatting>
  <conditionalFormatting sqref="D8444">
    <cfRule type="containsText" dxfId="1234" priority="1663" operator="containsText" text="Pesquisa de Preços">
      <formula>NOT(ISERROR(SEARCH("Pesquisa de Preços",D8444)))</formula>
    </cfRule>
  </conditionalFormatting>
  <conditionalFormatting sqref="D8449">
    <cfRule type="containsText" dxfId="1233" priority="1662" operator="containsText" text="Pesquisa de Preços">
      <formula>NOT(ISERROR(SEARCH("Pesquisa de Preços",D8449)))</formula>
    </cfRule>
  </conditionalFormatting>
  <conditionalFormatting sqref="D8446">
    <cfRule type="containsText" dxfId="1232" priority="1661" operator="containsText" text="Pesquisa de Preços">
      <formula>NOT(ISERROR(SEARCH("Pesquisa de Preços",D8446)))</formula>
    </cfRule>
  </conditionalFormatting>
  <conditionalFormatting sqref="D8450">
    <cfRule type="containsText" dxfId="1227" priority="1647" operator="containsText" text="Pesquisa de Preços">
      <formula>NOT(ISERROR(SEARCH("Pesquisa de Preços",D8450)))</formula>
    </cfRule>
  </conditionalFormatting>
  <conditionalFormatting sqref="D8466">
    <cfRule type="containsText" dxfId="1226" priority="1646" operator="containsText" text="Pesquisa de Preços">
      <formula>NOT(ISERROR(SEARCH("Pesquisa de Preços",D8466)))</formula>
    </cfRule>
  </conditionalFormatting>
  <conditionalFormatting sqref="D8452">
    <cfRule type="containsText" dxfId="1225" priority="1645" operator="containsText" text="Pesquisa de Preços">
      <formula>NOT(ISERROR(SEARCH("Pesquisa de Preços",D8452)))</formula>
    </cfRule>
  </conditionalFormatting>
  <conditionalFormatting sqref="D8467">
    <cfRule type="containsText" dxfId="1220" priority="1639" operator="containsText" text="Pesquisa de Preços">
      <formula>NOT(ISERROR(SEARCH("Pesquisa de Preços",D8467)))</formula>
    </cfRule>
  </conditionalFormatting>
  <conditionalFormatting sqref="D8472">
    <cfRule type="containsText" dxfId="1219" priority="1638" operator="containsText" text="Pesquisa de Preços">
      <formula>NOT(ISERROR(SEARCH("Pesquisa de Preços",D8472)))</formula>
    </cfRule>
  </conditionalFormatting>
  <conditionalFormatting sqref="D8469">
    <cfRule type="containsText" dxfId="1218" priority="1637" operator="containsText" text="Pesquisa de Preços">
      <formula>NOT(ISERROR(SEARCH("Pesquisa de Preços",D8469)))</formula>
    </cfRule>
  </conditionalFormatting>
  <conditionalFormatting sqref="D8473">
    <cfRule type="containsText" dxfId="1213" priority="1631" operator="containsText" text="Pesquisa de Preços">
      <formula>NOT(ISERROR(SEARCH("Pesquisa de Preços",D8473)))</formula>
    </cfRule>
  </conditionalFormatting>
  <conditionalFormatting sqref="D8476">
    <cfRule type="containsText" dxfId="1212" priority="1630" operator="containsText" text="Pesquisa de Preços">
      <formula>NOT(ISERROR(SEARCH("Pesquisa de Preços",D8476)))</formula>
    </cfRule>
  </conditionalFormatting>
  <conditionalFormatting sqref="D8475">
    <cfRule type="containsText" dxfId="1211" priority="1629" operator="containsText" text="Pesquisa de Preços">
      <formula>NOT(ISERROR(SEARCH("Pesquisa de Preços",D8475)))</formula>
    </cfRule>
  </conditionalFormatting>
  <conditionalFormatting sqref="D8477">
    <cfRule type="containsText" dxfId="1206" priority="1623" operator="containsText" text="Pesquisa de Preços">
      <formula>NOT(ISERROR(SEARCH("Pesquisa de Preços",D8477)))</formula>
    </cfRule>
  </conditionalFormatting>
  <conditionalFormatting sqref="D8480">
    <cfRule type="containsText" dxfId="1205" priority="1622" operator="containsText" text="Pesquisa de Preços">
      <formula>NOT(ISERROR(SEARCH("Pesquisa de Preços",D8480)))</formula>
    </cfRule>
  </conditionalFormatting>
  <conditionalFormatting sqref="D8479">
    <cfRule type="containsText" dxfId="1204" priority="1621" operator="containsText" text="Pesquisa de Preços">
      <formula>NOT(ISERROR(SEARCH("Pesquisa de Preços",D8479)))</formula>
    </cfRule>
  </conditionalFormatting>
  <conditionalFormatting sqref="E8447">
    <cfRule type="containsText" dxfId="1200" priority="1616" operator="containsText" text="Pesquisa de Preços">
      <formula>NOT(ISERROR(SEARCH("Pesquisa de Preços",E8447)))</formula>
    </cfRule>
  </conditionalFormatting>
  <conditionalFormatting sqref="D8447">
    <cfRule type="containsText" dxfId="1199" priority="1615" operator="containsText" text="Pesquisa de Preços">
      <formula>NOT(ISERROR(SEARCH("Pesquisa de Preços",D8447)))</formula>
    </cfRule>
  </conditionalFormatting>
  <conditionalFormatting sqref="D8448">
    <cfRule type="containsText" dxfId="1198" priority="1614" operator="containsText" text="Pesquisa de Preços">
      <formula>NOT(ISERROR(SEARCH("Pesquisa de Preços",D8448)))</formula>
    </cfRule>
  </conditionalFormatting>
  <conditionalFormatting sqref="E8448">
    <cfRule type="containsText" dxfId="1197" priority="1613" operator="containsText" text="Pesquisa de Preços">
      <formula>NOT(ISERROR(SEARCH("Pesquisa de Preços",E8448)))</formula>
    </cfRule>
  </conditionalFormatting>
  <conditionalFormatting sqref="D8453:D8465">
    <cfRule type="containsText" dxfId="1193" priority="1608" operator="containsText" text="Pesquisa de Preços">
      <formula>NOT(ISERROR(SEARCH("Pesquisa de Preços",D8453)))</formula>
    </cfRule>
  </conditionalFormatting>
  <conditionalFormatting sqref="E8452:E8459">
    <cfRule type="containsText" dxfId="1192" priority="1606" operator="containsText" text="Pesquisa de Preços">
      <formula>NOT(ISERROR(SEARCH("Pesquisa de Preços",E8452)))</formula>
    </cfRule>
  </conditionalFormatting>
  <conditionalFormatting sqref="E8460:E8465">
    <cfRule type="containsText" dxfId="1191" priority="1605" operator="containsText" text="Pesquisa de Preços">
      <formula>NOT(ISERROR(SEARCH("Pesquisa de Preços",E8460)))</formula>
    </cfRule>
  </conditionalFormatting>
  <conditionalFormatting sqref="D8470:D8471">
    <cfRule type="containsText" dxfId="1187" priority="1600" operator="containsText" text="Pesquisa de Preços">
      <formula>NOT(ISERROR(SEARCH("Pesquisa de Preços",D8470)))</formula>
    </cfRule>
  </conditionalFormatting>
  <conditionalFormatting sqref="E8471">
    <cfRule type="containsText" dxfId="1186" priority="1599" operator="containsText" text="Pesquisa de Preços">
      <formula>NOT(ISERROR(SEARCH("Pesquisa de Preços",E8471)))</formula>
    </cfRule>
  </conditionalFormatting>
  <conditionalFormatting sqref="D8440">
    <cfRule type="containsText" dxfId="1183" priority="1596" operator="containsText" text="Pesquisa de Preços">
      <formula>NOT(ISERROR(SEARCH("Pesquisa de Preços",D8440)))</formula>
    </cfRule>
  </conditionalFormatting>
  <conditionalFormatting sqref="D8481">
    <cfRule type="containsText" dxfId="1182" priority="1594" operator="containsText" text="Pesquisa de Preços">
      <formula>NOT(ISERROR(SEARCH("Pesquisa de Preços",D8481)))</formula>
    </cfRule>
  </conditionalFormatting>
  <conditionalFormatting sqref="D8482:D8483 D8489">
    <cfRule type="containsText" dxfId="1181" priority="1593" operator="containsText" text="Pesquisa de Preços">
      <formula>NOT(ISERROR(SEARCH("Pesquisa de Preços",D8482)))</formula>
    </cfRule>
  </conditionalFormatting>
  <conditionalFormatting sqref="E8481">
    <cfRule type="containsText" dxfId="1180" priority="1591" operator="containsText" text="Pesquisa de Preços">
      <formula>NOT(ISERROR(SEARCH("Pesquisa de Preços",E8481)))</formula>
    </cfRule>
  </conditionalFormatting>
  <conditionalFormatting sqref="E8482:E8483 E8489">
    <cfRule type="containsText" dxfId="1179" priority="1592" operator="containsText" text="Pesquisa de Preços">
      <formula>NOT(ISERROR(SEARCH("Pesquisa de Preços",E8482)))</formula>
    </cfRule>
  </conditionalFormatting>
  <conditionalFormatting sqref="D8487:D8488">
    <cfRule type="containsText" dxfId="1178" priority="1588" operator="containsText" text="Pesquisa de Preços">
      <formula>NOT(ISERROR(SEARCH("Pesquisa de Preços",D8487)))</formula>
    </cfRule>
  </conditionalFormatting>
  <conditionalFormatting sqref="D8490">
    <cfRule type="containsText" dxfId="1175" priority="1584" operator="containsText" text="Pesquisa de Preços">
      <formula>NOT(ISERROR(SEARCH("Pesquisa de Preços",D8490)))</formula>
    </cfRule>
  </conditionalFormatting>
  <conditionalFormatting sqref="D8491:D8492 D8498">
    <cfRule type="containsText" dxfId="1174" priority="1583" operator="containsText" text="Pesquisa de Preços">
      <formula>NOT(ISERROR(SEARCH("Pesquisa de Preços",D8491)))</formula>
    </cfRule>
  </conditionalFormatting>
  <conditionalFormatting sqref="E8490">
    <cfRule type="containsText" dxfId="1173" priority="1581" operator="containsText" text="Pesquisa de Preços">
      <formula>NOT(ISERROR(SEARCH("Pesquisa de Preços",E8490)))</formula>
    </cfRule>
  </conditionalFormatting>
  <conditionalFormatting sqref="E8491:E8492 E8498">
    <cfRule type="containsText" dxfId="1172" priority="1582" operator="containsText" text="Pesquisa de Preços">
      <formula>NOT(ISERROR(SEARCH("Pesquisa de Preços",E8491)))</formula>
    </cfRule>
  </conditionalFormatting>
  <conditionalFormatting sqref="D8496:D8497">
    <cfRule type="containsText" dxfId="1171" priority="1580" operator="containsText" text="Pesquisa de Preços">
      <formula>NOT(ISERROR(SEARCH("Pesquisa de Preços",D8496)))</formula>
    </cfRule>
  </conditionalFormatting>
  <conditionalFormatting sqref="D8499">
    <cfRule type="containsText" dxfId="1170" priority="1578" operator="containsText" text="Pesquisa de Preços">
      <formula>NOT(ISERROR(SEARCH("Pesquisa de Preços",D8499)))</formula>
    </cfRule>
  </conditionalFormatting>
  <conditionalFormatting sqref="D8500">
    <cfRule type="containsText" dxfId="1169" priority="1577" operator="containsText" text="Pesquisa de Preços">
      <formula>NOT(ISERROR(SEARCH("Pesquisa de Preços",D8500)))</formula>
    </cfRule>
  </conditionalFormatting>
  <conditionalFormatting sqref="E8500">
    <cfRule type="containsText" dxfId="1168" priority="1576" operator="containsText" text="Pesquisa de Preços">
      <formula>NOT(ISERROR(SEARCH("Pesquisa de Preços",E8500)))</formula>
    </cfRule>
  </conditionalFormatting>
  <conditionalFormatting sqref="E8499">
    <cfRule type="containsText" dxfId="1167" priority="1575" operator="containsText" text="Pesquisa de Preços">
      <formula>NOT(ISERROR(SEARCH("Pesquisa de Preços",E8499)))</formula>
    </cfRule>
  </conditionalFormatting>
  <conditionalFormatting sqref="D8501">
    <cfRule type="containsText" dxfId="1164" priority="1572" operator="containsText" text="Pesquisa de Preços">
      <formula>NOT(ISERROR(SEARCH("Pesquisa de Preços",D8501)))</formula>
    </cfRule>
  </conditionalFormatting>
  <conditionalFormatting sqref="D8504">
    <cfRule type="containsText" dxfId="1163" priority="1570" operator="containsText" text="Pesquisa de Preços">
      <formula>NOT(ISERROR(SEARCH("Pesquisa de Preços",D8504)))</formula>
    </cfRule>
  </conditionalFormatting>
  <conditionalFormatting sqref="D8505">
    <cfRule type="containsText" dxfId="1162" priority="1569" operator="containsText" text="Pesquisa de Preços">
      <formula>NOT(ISERROR(SEARCH("Pesquisa de Preços",D8505)))</formula>
    </cfRule>
  </conditionalFormatting>
  <conditionalFormatting sqref="E8505">
    <cfRule type="containsText" dxfId="1161" priority="1568" operator="containsText" text="Pesquisa de Preços">
      <formula>NOT(ISERROR(SEARCH("Pesquisa de Preços",E8505)))</formula>
    </cfRule>
  </conditionalFormatting>
  <conditionalFormatting sqref="E8504">
    <cfRule type="containsText" dxfId="1160" priority="1567" operator="containsText" text="Pesquisa de Preços">
      <formula>NOT(ISERROR(SEARCH("Pesquisa de Preços",E8504)))</formula>
    </cfRule>
  </conditionalFormatting>
  <conditionalFormatting sqref="D8506">
    <cfRule type="containsText" dxfId="1157" priority="1564" operator="containsText" text="Pesquisa de Preços">
      <formula>NOT(ISERROR(SEARCH("Pesquisa de Preços",D8506)))</formula>
    </cfRule>
  </conditionalFormatting>
  <conditionalFormatting sqref="D8509">
    <cfRule type="containsText" dxfId="1156" priority="1562" operator="containsText" text="Pesquisa de Preços">
      <formula>NOT(ISERROR(SEARCH("Pesquisa de Preços",D8509)))</formula>
    </cfRule>
  </conditionalFormatting>
  <conditionalFormatting sqref="D8510">
    <cfRule type="containsText" dxfId="1155" priority="1561" operator="containsText" text="Pesquisa de Preços">
      <formula>NOT(ISERROR(SEARCH("Pesquisa de Preços",D8510)))</formula>
    </cfRule>
  </conditionalFormatting>
  <conditionalFormatting sqref="E8510">
    <cfRule type="containsText" dxfId="1154" priority="1560" operator="containsText" text="Pesquisa de Preços">
      <formula>NOT(ISERROR(SEARCH("Pesquisa de Preços",E8510)))</formula>
    </cfRule>
  </conditionalFormatting>
  <conditionalFormatting sqref="E8509">
    <cfRule type="containsText" dxfId="1153" priority="1559" operator="containsText" text="Pesquisa de Preços">
      <formula>NOT(ISERROR(SEARCH("Pesquisa de Preços",E8509)))</formula>
    </cfRule>
  </conditionalFormatting>
  <conditionalFormatting sqref="D8511">
    <cfRule type="containsText" dxfId="1150" priority="1556" operator="containsText" text="Pesquisa de Preços">
      <formula>NOT(ISERROR(SEARCH("Pesquisa de Preços",D8511)))</formula>
    </cfRule>
  </conditionalFormatting>
  <conditionalFormatting sqref="D8514">
    <cfRule type="containsText" dxfId="1149" priority="1554" operator="containsText" text="Pesquisa de Preços">
      <formula>NOT(ISERROR(SEARCH("Pesquisa de Preços",D8514)))</formula>
    </cfRule>
  </conditionalFormatting>
  <conditionalFormatting sqref="D8515 D8518:D8519">
    <cfRule type="containsText" dxfId="1148" priority="1553" operator="containsText" text="Pesquisa de Preços">
      <formula>NOT(ISERROR(SEARCH("Pesquisa de Preços",D8515)))</formula>
    </cfRule>
  </conditionalFormatting>
  <conditionalFormatting sqref="E8515 E8518:E8519">
    <cfRule type="containsText" dxfId="1147" priority="1551" operator="containsText" text="Pesquisa de Preços">
      <formula>NOT(ISERROR(SEARCH("Pesquisa de Preços",E8515)))</formula>
    </cfRule>
  </conditionalFormatting>
  <conditionalFormatting sqref="E8514">
    <cfRule type="containsText" dxfId="1146" priority="1550" operator="containsText" text="Pesquisa de Preços">
      <formula>NOT(ISERROR(SEARCH("Pesquisa de Preços",E8514)))</formula>
    </cfRule>
  </conditionalFormatting>
  <conditionalFormatting sqref="E8516">
    <cfRule type="containsText" dxfId="1145" priority="1549" operator="containsText" text="Pesquisa de Preços">
      <formula>NOT(ISERROR(SEARCH("Pesquisa de Preços",E8516)))</formula>
    </cfRule>
  </conditionalFormatting>
  <conditionalFormatting sqref="E8517">
    <cfRule type="containsText" dxfId="1144" priority="1545" operator="containsText" text="Pesquisa de Preços">
      <formula>NOT(ISERROR(SEARCH("Pesquisa de Preços",E8517)))</formula>
    </cfRule>
  </conditionalFormatting>
  <conditionalFormatting sqref="D8516:D8517">
    <cfRule type="containsText" dxfId="1143" priority="1544" operator="containsText" text="Pesquisa de Preços">
      <formula>NOT(ISERROR(SEARCH("Pesquisa de Preços",D8516)))</formula>
    </cfRule>
  </conditionalFormatting>
  <conditionalFormatting sqref="D8520">
    <cfRule type="containsText" dxfId="1142" priority="1542" operator="containsText" text="Pesquisa de Preços">
      <formula>NOT(ISERROR(SEARCH("Pesquisa de Preços",D8520)))</formula>
    </cfRule>
  </conditionalFormatting>
  <conditionalFormatting sqref="D8521 D8524:D8525">
    <cfRule type="containsText" dxfId="1141" priority="1541" operator="containsText" text="Pesquisa de Preços">
      <formula>NOT(ISERROR(SEARCH("Pesquisa de Preços",D8521)))</formula>
    </cfRule>
  </conditionalFormatting>
  <conditionalFormatting sqref="E8521:E8522 E8524:E8525">
    <cfRule type="containsText" dxfId="1140" priority="1540" operator="containsText" text="Pesquisa de Preços">
      <formula>NOT(ISERROR(SEARCH("Pesquisa de Preços",E8521)))</formula>
    </cfRule>
  </conditionalFormatting>
  <conditionalFormatting sqref="E8520">
    <cfRule type="containsText" dxfId="1139" priority="1539" operator="containsText" text="Pesquisa de Preços">
      <formula>NOT(ISERROR(SEARCH("Pesquisa de Preços",E8520)))</formula>
    </cfRule>
  </conditionalFormatting>
  <conditionalFormatting sqref="D8522:D8523">
    <cfRule type="containsText" dxfId="1136" priority="1536" operator="containsText" text="Pesquisa de Preços">
      <formula>NOT(ISERROR(SEARCH("Pesquisa de Preços",D8522)))</formula>
    </cfRule>
  </conditionalFormatting>
  <conditionalFormatting sqref="D8526">
    <cfRule type="containsText" dxfId="1135" priority="1534" operator="containsText" text="Pesquisa de Preços">
      <formula>NOT(ISERROR(SEARCH("Pesquisa de Preços",D8526)))</formula>
    </cfRule>
  </conditionalFormatting>
  <conditionalFormatting sqref="D8527 D8530:D8531">
    <cfRule type="containsText" dxfId="1134" priority="1533" operator="containsText" text="Pesquisa de Preços">
      <formula>NOT(ISERROR(SEARCH("Pesquisa de Preços",D8527)))</formula>
    </cfRule>
  </conditionalFormatting>
  <conditionalFormatting sqref="E8527:E8528 E8530:E8531">
    <cfRule type="containsText" dxfId="1133" priority="1532" operator="containsText" text="Pesquisa de Preços">
      <formula>NOT(ISERROR(SEARCH("Pesquisa de Preços",E8527)))</formula>
    </cfRule>
  </conditionalFormatting>
  <conditionalFormatting sqref="E8526">
    <cfRule type="containsText" dxfId="1132" priority="1531" operator="containsText" text="Pesquisa de Preços">
      <formula>NOT(ISERROR(SEARCH("Pesquisa de Preços",E8526)))</formula>
    </cfRule>
  </conditionalFormatting>
  <conditionalFormatting sqref="D8528:D8529">
    <cfRule type="containsText" dxfId="1129" priority="1528" operator="containsText" text="Pesquisa de Preços">
      <formula>NOT(ISERROR(SEARCH("Pesquisa de Preços",D8528)))</formula>
    </cfRule>
  </conditionalFormatting>
  <conditionalFormatting sqref="D8187">
    <cfRule type="containsText" dxfId="1128" priority="1526" operator="containsText" text="Pesquisa de Preços">
      <formula>NOT(ISERROR(SEARCH("Pesquisa de Preços",D8187)))</formula>
    </cfRule>
  </conditionalFormatting>
  <conditionalFormatting sqref="D8534:D8535">
    <cfRule type="containsText" dxfId="1127" priority="1515" operator="containsText" text="Pesquisa de Preços">
      <formula>NOT(ISERROR(SEARCH("Pesquisa de Preços",D8534)))</formula>
    </cfRule>
  </conditionalFormatting>
  <conditionalFormatting sqref="D8532">
    <cfRule type="containsText" dxfId="1126" priority="1521" operator="containsText" text="Pesquisa de Preços">
      <formula>NOT(ISERROR(SEARCH("Pesquisa de Preços",D8532)))</formula>
    </cfRule>
  </conditionalFormatting>
  <conditionalFormatting sqref="D8533 D8537">
    <cfRule type="containsText" dxfId="1125" priority="1520" operator="containsText" text="Pesquisa de Preços">
      <formula>NOT(ISERROR(SEARCH("Pesquisa de Preços",D8533)))</formula>
    </cfRule>
  </conditionalFormatting>
  <conditionalFormatting sqref="E8533:E8534 E8536:E8537">
    <cfRule type="containsText" dxfId="1124" priority="1519" operator="containsText" text="Pesquisa de Preços">
      <formula>NOT(ISERROR(SEARCH("Pesquisa de Preços",E8533)))</formula>
    </cfRule>
  </conditionalFormatting>
  <conditionalFormatting sqref="E8532">
    <cfRule type="containsText" dxfId="1123" priority="1518" operator="containsText" text="Pesquisa de Preços">
      <formula>NOT(ISERROR(SEARCH("Pesquisa de Preços",E8532)))</formula>
    </cfRule>
  </conditionalFormatting>
  <conditionalFormatting sqref="D8536">
    <cfRule type="containsText" dxfId="1120" priority="1514" operator="containsText" text="Pesquisa de Preços">
      <formula>NOT(ISERROR(SEARCH("Pesquisa de Preços",D8536)))</formula>
    </cfRule>
  </conditionalFormatting>
  <conditionalFormatting sqref="E8535">
    <cfRule type="containsText" dxfId="1119" priority="1513" operator="containsText" text="Pesquisa de Preços">
      <formula>NOT(ISERROR(SEARCH("Pesquisa de Preços",E8535)))</formula>
    </cfRule>
  </conditionalFormatting>
  <conditionalFormatting sqref="D8540:D8541">
    <cfRule type="containsText" dxfId="1118" priority="1505" operator="containsText" text="Pesquisa de Preços">
      <formula>NOT(ISERROR(SEARCH("Pesquisa de Preços",D8540)))</formula>
    </cfRule>
  </conditionalFormatting>
  <conditionalFormatting sqref="D8538">
    <cfRule type="containsText" dxfId="1117" priority="1511" operator="containsText" text="Pesquisa de Preços">
      <formula>NOT(ISERROR(SEARCH("Pesquisa de Preços",D8538)))</formula>
    </cfRule>
  </conditionalFormatting>
  <conditionalFormatting sqref="D8539 D8543">
    <cfRule type="containsText" dxfId="1116" priority="1510" operator="containsText" text="Pesquisa de Preços">
      <formula>NOT(ISERROR(SEARCH("Pesquisa de Preços",D8539)))</formula>
    </cfRule>
  </conditionalFormatting>
  <conditionalFormatting sqref="E8539:E8540 E8543">
    <cfRule type="containsText" dxfId="1115" priority="1509" operator="containsText" text="Pesquisa de Preços">
      <formula>NOT(ISERROR(SEARCH("Pesquisa de Preços",E8539)))</formula>
    </cfRule>
  </conditionalFormatting>
  <conditionalFormatting sqref="E8538">
    <cfRule type="containsText" dxfId="1114" priority="1508" operator="containsText" text="Pesquisa de Preços">
      <formula>NOT(ISERROR(SEARCH("Pesquisa de Preços",E8538)))</formula>
    </cfRule>
  </conditionalFormatting>
  <conditionalFormatting sqref="E8541">
    <cfRule type="containsText" dxfId="1111" priority="1503" operator="containsText" text="Pesquisa de Preços">
      <formula>NOT(ISERROR(SEARCH("Pesquisa de Preços",E8541)))</formula>
    </cfRule>
  </conditionalFormatting>
  <conditionalFormatting sqref="D8542">
    <cfRule type="containsText" dxfId="1108" priority="1500" operator="containsText" text="Pesquisa de Preços">
      <formula>NOT(ISERROR(SEARCH("Pesquisa de Preços",D8542)))</formula>
    </cfRule>
  </conditionalFormatting>
  <conditionalFormatting sqref="D8547">
    <cfRule type="containsText" dxfId="1107" priority="1491" operator="containsText" text="Pesquisa de Preços">
      <formula>NOT(ISERROR(SEARCH("Pesquisa de Preços",D8547)))</formula>
    </cfRule>
  </conditionalFormatting>
  <conditionalFormatting sqref="D8544">
    <cfRule type="containsText" dxfId="1106" priority="1497" operator="containsText" text="Pesquisa de Preços">
      <formula>NOT(ISERROR(SEARCH("Pesquisa de Preços",D8544)))</formula>
    </cfRule>
  </conditionalFormatting>
  <conditionalFormatting sqref="D8545 D8549">
    <cfRule type="containsText" dxfId="1105" priority="1496" operator="containsText" text="Pesquisa de Preços">
      <formula>NOT(ISERROR(SEARCH("Pesquisa de Preços",D8545)))</formula>
    </cfRule>
  </conditionalFormatting>
  <conditionalFormatting sqref="E8545:E8546 E8549">
    <cfRule type="containsText" dxfId="1104" priority="1495" operator="containsText" text="Pesquisa de Preços">
      <formula>NOT(ISERROR(SEARCH("Pesquisa de Preços",E8545)))</formula>
    </cfRule>
  </conditionalFormatting>
  <conditionalFormatting sqref="E8544">
    <cfRule type="containsText" dxfId="1103" priority="1494" operator="containsText" text="Pesquisa de Preços">
      <formula>NOT(ISERROR(SEARCH("Pesquisa de Preços",E8544)))</formula>
    </cfRule>
  </conditionalFormatting>
  <conditionalFormatting sqref="E8547">
    <cfRule type="containsText" dxfId="1100" priority="1490" operator="containsText" text="Pesquisa de Preços">
      <formula>NOT(ISERROR(SEARCH("Pesquisa de Preços",E8547)))</formula>
    </cfRule>
  </conditionalFormatting>
  <conditionalFormatting sqref="D8548">
    <cfRule type="containsText" dxfId="1097" priority="1487" operator="containsText" text="Pesquisa de Preços">
      <formula>NOT(ISERROR(SEARCH("Pesquisa de Preços",D8548)))</formula>
    </cfRule>
  </conditionalFormatting>
  <conditionalFormatting sqref="E8548">
    <cfRule type="containsText" dxfId="1096" priority="1485" operator="containsText" text="Pesquisa de Preços">
      <formula>NOT(ISERROR(SEARCH("Pesquisa de Preços",E8548)))</formula>
    </cfRule>
  </conditionalFormatting>
  <conditionalFormatting sqref="D8546">
    <cfRule type="containsText" dxfId="1095" priority="1484" operator="containsText" text="Pesquisa de Preços">
      <formula>NOT(ISERROR(SEARCH("Pesquisa de Preços",D8546)))</formula>
    </cfRule>
  </conditionalFormatting>
  <conditionalFormatting sqref="D8553">
    <cfRule type="containsText" dxfId="1092" priority="1474" operator="containsText" text="Pesquisa de Preços">
      <formula>NOT(ISERROR(SEARCH("Pesquisa de Preços",D8553)))</formula>
    </cfRule>
  </conditionalFormatting>
  <conditionalFormatting sqref="D8550">
    <cfRule type="containsText" dxfId="1091" priority="1480" operator="containsText" text="Pesquisa de Preços">
      <formula>NOT(ISERROR(SEARCH("Pesquisa de Preços",D8550)))</formula>
    </cfRule>
  </conditionalFormatting>
  <conditionalFormatting sqref="D8551 D8555">
    <cfRule type="containsText" dxfId="1090" priority="1479" operator="containsText" text="Pesquisa de Preços">
      <formula>NOT(ISERROR(SEARCH("Pesquisa de Preços",D8551)))</formula>
    </cfRule>
  </conditionalFormatting>
  <conditionalFormatting sqref="E8551:E8552 E8555">
    <cfRule type="containsText" dxfId="1089" priority="1478" operator="containsText" text="Pesquisa de Preços">
      <formula>NOT(ISERROR(SEARCH("Pesquisa de Preços",E8551)))</formula>
    </cfRule>
  </conditionalFormatting>
  <conditionalFormatting sqref="E8550">
    <cfRule type="containsText" dxfId="1088" priority="1477" operator="containsText" text="Pesquisa de Preços">
      <formula>NOT(ISERROR(SEARCH("Pesquisa de Preços",E8550)))</formula>
    </cfRule>
  </conditionalFormatting>
  <conditionalFormatting sqref="E8553">
    <cfRule type="containsText" dxfId="1085" priority="1473" operator="containsText" text="Pesquisa de Preços">
      <formula>NOT(ISERROR(SEARCH("Pesquisa de Preços",E8553)))</formula>
    </cfRule>
  </conditionalFormatting>
  <conditionalFormatting sqref="D8554">
    <cfRule type="containsText" dxfId="1082" priority="1470" operator="containsText" text="Pesquisa de Preços">
      <formula>NOT(ISERROR(SEARCH("Pesquisa de Preços",D8554)))</formula>
    </cfRule>
  </conditionalFormatting>
  <conditionalFormatting sqref="D8552">
    <cfRule type="containsText" dxfId="1079" priority="1465" operator="containsText" text="Pesquisa de Preços">
      <formula>NOT(ISERROR(SEARCH("Pesquisa de Preços",D8552)))</formula>
    </cfRule>
  </conditionalFormatting>
  <conditionalFormatting sqref="E8554">
    <cfRule type="containsText" dxfId="1078" priority="1464" operator="containsText" text="Pesquisa de Preços">
      <formula>NOT(ISERROR(SEARCH("Pesquisa de Preços",E8554)))</formula>
    </cfRule>
  </conditionalFormatting>
  <conditionalFormatting sqref="E8542">
    <cfRule type="containsText" dxfId="1077" priority="1463" operator="containsText" text="Pesquisa de Preços">
      <formula>NOT(ISERROR(SEARCH("Pesquisa de Preços",E8542)))</formula>
    </cfRule>
  </conditionalFormatting>
  <conditionalFormatting sqref="D8559">
    <cfRule type="containsText" dxfId="1076" priority="1455" operator="containsText" text="Pesquisa de Preços">
      <formula>NOT(ISERROR(SEARCH("Pesquisa de Preços",D8559)))</formula>
    </cfRule>
  </conditionalFormatting>
  <conditionalFormatting sqref="D8556">
    <cfRule type="containsText" dxfId="1075" priority="1461" operator="containsText" text="Pesquisa de Preços">
      <formula>NOT(ISERROR(SEARCH("Pesquisa de Preços",D8556)))</formula>
    </cfRule>
  </conditionalFormatting>
  <conditionalFormatting sqref="D8557 D8561">
    <cfRule type="containsText" dxfId="1074" priority="1460" operator="containsText" text="Pesquisa de Preços">
      <formula>NOT(ISERROR(SEARCH("Pesquisa de Preços",D8557)))</formula>
    </cfRule>
  </conditionalFormatting>
  <conditionalFormatting sqref="E8557:E8558 E8561">
    <cfRule type="containsText" dxfId="1073" priority="1459" operator="containsText" text="Pesquisa de Preços">
      <formula>NOT(ISERROR(SEARCH("Pesquisa de Preços",E8557)))</formula>
    </cfRule>
  </conditionalFormatting>
  <conditionalFormatting sqref="E8556">
    <cfRule type="containsText" dxfId="1072" priority="1458" operator="containsText" text="Pesquisa de Preços">
      <formula>NOT(ISERROR(SEARCH("Pesquisa de Preços",E8556)))</formula>
    </cfRule>
  </conditionalFormatting>
  <conditionalFormatting sqref="E8559">
    <cfRule type="containsText" dxfId="1069" priority="1454" operator="containsText" text="Pesquisa de Preços">
      <formula>NOT(ISERROR(SEARCH("Pesquisa de Preços",E8559)))</formula>
    </cfRule>
  </conditionalFormatting>
  <conditionalFormatting sqref="D8560">
    <cfRule type="containsText" dxfId="1066" priority="1451" operator="containsText" text="Pesquisa de Preços">
      <formula>NOT(ISERROR(SEARCH("Pesquisa de Preços",D8560)))</formula>
    </cfRule>
  </conditionalFormatting>
  <conditionalFormatting sqref="D8558">
    <cfRule type="containsText" dxfId="1063" priority="1448" operator="containsText" text="Pesquisa de Preços">
      <formula>NOT(ISERROR(SEARCH("Pesquisa de Preços",D8558)))</formula>
    </cfRule>
  </conditionalFormatting>
  <conditionalFormatting sqref="E8560">
    <cfRule type="containsText" dxfId="1062" priority="1446" operator="containsText" text="Pesquisa de Preços">
      <formula>NOT(ISERROR(SEARCH("Pesquisa de Preços",E8560)))</formula>
    </cfRule>
  </conditionalFormatting>
  <conditionalFormatting sqref="D8565">
    <cfRule type="containsText" dxfId="1061" priority="1438" operator="containsText" text="Pesquisa de Preços">
      <formula>NOT(ISERROR(SEARCH("Pesquisa de Preços",D8565)))</formula>
    </cfRule>
  </conditionalFormatting>
  <conditionalFormatting sqref="D8562">
    <cfRule type="containsText" dxfId="1060" priority="1444" operator="containsText" text="Pesquisa de Preços">
      <formula>NOT(ISERROR(SEARCH("Pesquisa de Preços",D8562)))</formula>
    </cfRule>
  </conditionalFormatting>
  <conditionalFormatting sqref="D8563 D8567">
    <cfRule type="containsText" dxfId="1059" priority="1443" operator="containsText" text="Pesquisa de Preços">
      <formula>NOT(ISERROR(SEARCH("Pesquisa de Preços",D8563)))</formula>
    </cfRule>
  </conditionalFormatting>
  <conditionalFormatting sqref="E8567">
    <cfRule type="containsText" dxfId="1058" priority="1442" operator="containsText" text="Pesquisa de Preços">
      <formula>NOT(ISERROR(SEARCH("Pesquisa de Preços",E8567)))</formula>
    </cfRule>
  </conditionalFormatting>
  <conditionalFormatting sqref="D8566">
    <cfRule type="containsText" dxfId="1055" priority="1434" operator="containsText" text="Pesquisa de Preços">
      <formula>NOT(ISERROR(SEARCH("Pesquisa de Preços",D8566)))</formula>
    </cfRule>
  </conditionalFormatting>
  <conditionalFormatting sqref="D8564">
    <cfRule type="containsText" dxfId="1052" priority="1431" operator="containsText" text="Pesquisa de Preços">
      <formula>NOT(ISERROR(SEARCH("Pesquisa de Preços",D8564)))</formula>
    </cfRule>
  </conditionalFormatting>
  <conditionalFormatting sqref="E8563:E8564">
    <cfRule type="containsText" dxfId="1051" priority="1429" operator="containsText" text="Pesquisa de Preços">
      <formula>NOT(ISERROR(SEARCH("Pesquisa de Preços",E8563)))</formula>
    </cfRule>
  </conditionalFormatting>
  <conditionalFormatting sqref="E8562">
    <cfRule type="containsText" dxfId="1050" priority="1428" operator="containsText" text="Pesquisa de Preços">
      <formula>NOT(ISERROR(SEARCH("Pesquisa de Preços",E8562)))</formula>
    </cfRule>
  </conditionalFormatting>
  <conditionalFormatting sqref="E8565">
    <cfRule type="containsText" dxfId="1049" priority="1427" operator="containsText" text="Pesquisa de Preços">
      <formula>NOT(ISERROR(SEARCH("Pesquisa de Preços",E8565)))</formula>
    </cfRule>
  </conditionalFormatting>
  <conditionalFormatting sqref="E8566">
    <cfRule type="containsText" dxfId="1044" priority="1421" operator="containsText" text="Pesquisa de Preços">
      <formula>NOT(ISERROR(SEARCH("Pesquisa de Preços",E8566)))</formula>
    </cfRule>
  </conditionalFormatting>
  <conditionalFormatting sqref="D8568">
    <cfRule type="containsText" dxfId="1043" priority="1417" operator="containsText" text="Pesquisa de Preços">
      <formula>NOT(ISERROR(SEARCH("Pesquisa de Preços",D8568)))</formula>
    </cfRule>
  </conditionalFormatting>
  <conditionalFormatting sqref="D8578 D8569">
    <cfRule type="containsText" dxfId="1042" priority="1416" operator="containsText" text="Pesquisa de Preços">
      <formula>NOT(ISERROR(SEARCH("Pesquisa de Preços",D8569)))</formula>
    </cfRule>
  </conditionalFormatting>
  <conditionalFormatting sqref="E8568">
    <cfRule type="containsText" dxfId="1041" priority="1414" operator="containsText" text="Pesquisa de Preços">
      <formula>NOT(ISERROR(SEARCH("Pesquisa de Preços",E8568)))</formula>
    </cfRule>
  </conditionalFormatting>
  <conditionalFormatting sqref="E8569 E8578">
    <cfRule type="containsText" dxfId="1040" priority="1415" operator="containsText" text="Pesquisa de Preços">
      <formula>NOT(ISERROR(SEARCH("Pesquisa de Preços",E8569)))</formula>
    </cfRule>
  </conditionalFormatting>
  <conditionalFormatting sqref="E8570">
    <cfRule type="containsText" dxfId="1039" priority="1413" operator="containsText" text="Pesquisa de Preços">
      <formula>NOT(ISERROR(SEARCH("Pesquisa de Preços",E8570)))</formula>
    </cfRule>
  </conditionalFormatting>
  <conditionalFormatting sqref="D8570">
    <cfRule type="containsText" dxfId="1038" priority="1411" operator="containsText" text="Pesquisa de Preços">
      <formula>NOT(ISERROR(SEARCH("Pesquisa de Preços",D8570)))</formula>
    </cfRule>
  </conditionalFormatting>
  <conditionalFormatting sqref="D8572:D8573">
    <cfRule type="containsText" dxfId="1037" priority="1410" operator="containsText" text="Pesquisa de Preços">
      <formula>NOT(ISERROR(SEARCH("Pesquisa de Preços",D8572)))</formula>
    </cfRule>
  </conditionalFormatting>
  <conditionalFormatting sqref="D8579">
    <cfRule type="containsText" dxfId="1034" priority="1406" operator="containsText" text="Pesquisa de Preços">
      <formula>NOT(ISERROR(SEARCH("Pesquisa de Preços",D8579)))</formula>
    </cfRule>
  </conditionalFormatting>
  <conditionalFormatting sqref="D8580 D8587">
    <cfRule type="containsText" dxfId="1033" priority="1405" operator="containsText" text="Pesquisa de Preços">
      <formula>NOT(ISERROR(SEARCH("Pesquisa de Preços",D8580)))</formula>
    </cfRule>
  </conditionalFormatting>
  <conditionalFormatting sqref="E8579">
    <cfRule type="containsText" dxfId="1032" priority="1403" operator="containsText" text="Pesquisa de Preços">
      <formula>NOT(ISERROR(SEARCH("Pesquisa de Preços",E8579)))</formula>
    </cfRule>
  </conditionalFormatting>
  <conditionalFormatting sqref="E8580:E8581 E8587">
    <cfRule type="containsText" dxfId="1031" priority="1404" operator="containsText" text="Pesquisa de Preços">
      <formula>NOT(ISERROR(SEARCH("Pesquisa de Preços",E8580)))</formula>
    </cfRule>
  </conditionalFormatting>
  <conditionalFormatting sqref="D8585:D8586">
    <cfRule type="containsText" dxfId="1030" priority="1402" operator="containsText" text="Pesquisa de Preços">
      <formula>NOT(ISERROR(SEARCH("Pesquisa de Preços",D8585)))</formula>
    </cfRule>
  </conditionalFormatting>
  <conditionalFormatting sqref="D8581">
    <cfRule type="containsText" dxfId="1029" priority="1401" operator="containsText" text="Pesquisa de Preços">
      <formula>NOT(ISERROR(SEARCH("Pesquisa de Preços",D8581)))</formula>
    </cfRule>
  </conditionalFormatting>
  <conditionalFormatting sqref="D8583:D8584">
    <cfRule type="containsText" dxfId="1028" priority="1400" operator="containsText" text="Pesquisa de Preços">
      <formula>NOT(ISERROR(SEARCH("Pesquisa de Preços",D8583)))</formula>
    </cfRule>
  </conditionalFormatting>
  <conditionalFormatting sqref="D8588">
    <cfRule type="containsText" dxfId="1025" priority="1396" operator="containsText" text="Pesquisa de Preços">
      <formula>NOT(ISERROR(SEARCH("Pesquisa de Preços",D8588)))</formula>
    </cfRule>
  </conditionalFormatting>
  <conditionalFormatting sqref="D8597 D8589">
    <cfRule type="containsText" dxfId="1024" priority="1395" operator="containsText" text="Pesquisa de Preços">
      <formula>NOT(ISERROR(SEARCH("Pesquisa de Preços",D8589)))</formula>
    </cfRule>
  </conditionalFormatting>
  <conditionalFormatting sqref="E8588">
    <cfRule type="containsText" dxfId="1023" priority="1393" operator="containsText" text="Pesquisa de Preços">
      <formula>NOT(ISERROR(SEARCH("Pesquisa de Preços",E8588)))</formula>
    </cfRule>
  </conditionalFormatting>
  <conditionalFormatting sqref="E8589 E8597">
    <cfRule type="containsText" dxfId="1022" priority="1394" operator="containsText" text="Pesquisa de Preços">
      <formula>NOT(ISERROR(SEARCH("Pesquisa de Preços",E8589)))</formula>
    </cfRule>
  </conditionalFormatting>
  <conditionalFormatting sqref="E8590">
    <cfRule type="containsText" dxfId="1021" priority="1392" operator="containsText" text="Pesquisa de Preços">
      <formula>NOT(ISERROR(SEARCH("Pesquisa de Preços",E8590)))</formula>
    </cfRule>
  </conditionalFormatting>
  <conditionalFormatting sqref="D8590">
    <cfRule type="containsText" dxfId="1020" priority="1390" operator="containsText" text="Pesquisa de Preços">
      <formula>NOT(ISERROR(SEARCH("Pesquisa de Preços",D8590)))</formula>
    </cfRule>
  </conditionalFormatting>
  <conditionalFormatting sqref="D8591:D8595">
    <cfRule type="containsText" dxfId="1019" priority="1388" operator="containsText" text="Pesquisa de Preços">
      <formula>NOT(ISERROR(SEARCH("Pesquisa de Preços",D8591)))</formula>
    </cfRule>
  </conditionalFormatting>
  <conditionalFormatting sqref="D8598">
    <cfRule type="containsText" dxfId="1016" priority="1383" operator="containsText" text="Pesquisa de Preços">
      <formula>NOT(ISERROR(SEARCH("Pesquisa de Preços",D8598)))</formula>
    </cfRule>
  </conditionalFormatting>
  <conditionalFormatting sqref="D8599 D8603">
    <cfRule type="containsText" dxfId="1015" priority="1382" operator="containsText" text="Pesquisa de Preços">
      <formula>NOT(ISERROR(SEARCH("Pesquisa de Preços",D8599)))</formula>
    </cfRule>
  </conditionalFormatting>
  <conditionalFormatting sqref="E8603">
    <cfRule type="containsText" dxfId="1014" priority="1381" operator="containsText" text="Pesquisa de Preços">
      <formula>NOT(ISERROR(SEARCH("Pesquisa de Preços",E8603)))</formula>
    </cfRule>
  </conditionalFormatting>
  <conditionalFormatting sqref="D8601">
    <cfRule type="containsText" dxfId="1011" priority="1378" operator="containsText" text="Pesquisa de Preços">
      <formula>NOT(ISERROR(SEARCH("Pesquisa de Preços",D8601)))</formula>
    </cfRule>
  </conditionalFormatting>
  <conditionalFormatting sqref="D8602">
    <cfRule type="containsText" dxfId="1010" priority="1377" operator="containsText" text="Pesquisa de Preços">
      <formula>NOT(ISERROR(SEARCH("Pesquisa de Preços",D8602)))</formula>
    </cfRule>
  </conditionalFormatting>
  <conditionalFormatting sqref="D8600">
    <cfRule type="containsText" dxfId="1007" priority="1374" operator="containsText" text="Pesquisa de Preços">
      <formula>NOT(ISERROR(SEARCH("Pesquisa de Preços",D8600)))</formula>
    </cfRule>
  </conditionalFormatting>
  <conditionalFormatting sqref="E8599:E8600">
    <cfRule type="containsText" dxfId="1006" priority="1373" operator="containsText" text="Pesquisa de Preços">
      <formula>NOT(ISERROR(SEARCH("Pesquisa de Preços",E8599)))</formula>
    </cfRule>
  </conditionalFormatting>
  <conditionalFormatting sqref="E8598">
    <cfRule type="containsText" dxfId="1005" priority="1372" operator="containsText" text="Pesquisa de Preços">
      <formula>NOT(ISERROR(SEARCH("Pesquisa de Preços",E8598)))</formula>
    </cfRule>
  </conditionalFormatting>
  <conditionalFormatting sqref="E8601">
    <cfRule type="containsText" dxfId="1004" priority="1371" operator="containsText" text="Pesquisa de Preços">
      <formula>NOT(ISERROR(SEARCH("Pesquisa de Preços",E8601)))</formula>
    </cfRule>
  </conditionalFormatting>
  <conditionalFormatting sqref="E8602">
    <cfRule type="containsText" dxfId="999" priority="1366" operator="containsText" text="Pesquisa de Preços">
      <formula>NOT(ISERROR(SEARCH("Pesquisa de Preços",E8602)))</formula>
    </cfRule>
  </conditionalFormatting>
  <conditionalFormatting sqref="D8604">
    <cfRule type="containsText" dxfId="998" priority="1364" operator="containsText" text="Pesquisa de Preços">
      <formula>NOT(ISERROR(SEARCH("Pesquisa de Preços",D8604)))</formula>
    </cfRule>
  </conditionalFormatting>
  <conditionalFormatting sqref="D8605 D8609">
    <cfRule type="containsText" dxfId="997" priority="1363" operator="containsText" text="Pesquisa de Preços">
      <formula>NOT(ISERROR(SEARCH("Pesquisa de Preços",D8605)))</formula>
    </cfRule>
  </conditionalFormatting>
  <conditionalFormatting sqref="E8609">
    <cfRule type="containsText" dxfId="996" priority="1362" operator="containsText" text="Pesquisa de Preços">
      <formula>NOT(ISERROR(SEARCH("Pesquisa de Preços",E8609)))</formula>
    </cfRule>
  </conditionalFormatting>
  <conditionalFormatting sqref="D8607">
    <cfRule type="containsText" dxfId="993" priority="1359" operator="containsText" text="Pesquisa de Preços">
      <formula>NOT(ISERROR(SEARCH("Pesquisa de Preços",D8607)))</formula>
    </cfRule>
  </conditionalFormatting>
  <conditionalFormatting sqref="D8608">
    <cfRule type="containsText" dxfId="992" priority="1358" operator="containsText" text="Pesquisa de Preços">
      <formula>NOT(ISERROR(SEARCH("Pesquisa de Preços",D8608)))</formula>
    </cfRule>
  </conditionalFormatting>
  <conditionalFormatting sqref="E8631">
    <cfRule type="containsText" dxfId="989" priority="1315" operator="containsText" text="Pesquisa de Preços">
      <formula>NOT(ISERROR(SEARCH("Pesquisa de Preços",E8631)))</formula>
    </cfRule>
  </conditionalFormatting>
  <conditionalFormatting sqref="E8605:E8606">
    <cfRule type="containsText" dxfId="988" priority="1354" operator="containsText" text="Pesquisa de Preços">
      <formula>NOT(ISERROR(SEARCH("Pesquisa de Preços",E8605)))</formula>
    </cfRule>
  </conditionalFormatting>
  <conditionalFormatting sqref="E8604">
    <cfRule type="containsText" dxfId="987" priority="1353" operator="containsText" text="Pesquisa de Preços">
      <formula>NOT(ISERROR(SEARCH("Pesquisa de Preços",E8604)))</formula>
    </cfRule>
  </conditionalFormatting>
  <conditionalFormatting sqref="E8607">
    <cfRule type="containsText" dxfId="986" priority="1352" operator="containsText" text="Pesquisa de Preços">
      <formula>NOT(ISERROR(SEARCH("Pesquisa de Preços",E8607)))</formula>
    </cfRule>
  </conditionalFormatting>
  <conditionalFormatting sqref="E8608">
    <cfRule type="containsText" dxfId="981" priority="1347" operator="containsText" text="Pesquisa de Preços">
      <formula>NOT(ISERROR(SEARCH("Pesquisa de Preços",E8608)))</formula>
    </cfRule>
  </conditionalFormatting>
  <conditionalFormatting sqref="D8606">
    <cfRule type="containsText" dxfId="980" priority="1346" operator="containsText" text="Pesquisa de Preços">
      <formula>NOT(ISERROR(SEARCH("Pesquisa de Preços",D8606)))</formula>
    </cfRule>
  </conditionalFormatting>
  <conditionalFormatting sqref="D8610">
    <cfRule type="containsText" dxfId="979" priority="1344" operator="containsText" text="Pesquisa de Preços">
      <formula>NOT(ISERROR(SEARCH("Pesquisa de Preços",D8610)))</formula>
    </cfRule>
  </conditionalFormatting>
  <conditionalFormatting sqref="D8611 D8615">
    <cfRule type="containsText" dxfId="978" priority="1343" operator="containsText" text="Pesquisa de Preços">
      <formula>NOT(ISERROR(SEARCH("Pesquisa de Preços",D8611)))</formula>
    </cfRule>
  </conditionalFormatting>
  <conditionalFormatting sqref="E8615">
    <cfRule type="containsText" dxfId="977" priority="1342" operator="containsText" text="Pesquisa de Preços">
      <formula>NOT(ISERROR(SEARCH("Pesquisa de Preços",E8615)))</formula>
    </cfRule>
  </conditionalFormatting>
  <conditionalFormatting sqref="D8613">
    <cfRule type="containsText" dxfId="974" priority="1339" operator="containsText" text="Pesquisa de Preços">
      <formula>NOT(ISERROR(SEARCH("Pesquisa de Preços",D8613)))</formula>
    </cfRule>
  </conditionalFormatting>
  <conditionalFormatting sqref="D8614">
    <cfRule type="containsText" dxfId="973" priority="1338" operator="containsText" text="Pesquisa de Preços">
      <formula>NOT(ISERROR(SEARCH("Pesquisa de Preços",D8614)))</formula>
    </cfRule>
  </conditionalFormatting>
  <conditionalFormatting sqref="E8611:E8612">
    <cfRule type="containsText" dxfId="970" priority="1335" operator="containsText" text="Pesquisa de Preços">
      <formula>NOT(ISERROR(SEARCH("Pesquisa de Preços",E8611)))</formula>
    </cfRule>
  </conditionalFormatting>
  <conditionalFormatting sqref="E8610">
    <cfRule type="containsText" dxfId="969" priority="1334" operator="containsText" text="Pesquisa de Preços">
      <formula>NOT(ISERROR(SEARCH("Pesquisa de Preços",E8610)))</formula>
    </cfRule>
  </conditionalFormatting>
  <conditionalFormatting sqref="E8613">
    <cfRule type="containsText" dxfId="968" priority="1333" operator="containsText" text="Pesquisa de Preços">
      <formula>NOT(ISERROR(SEARCH("Pesquisa de Preços",E8613)))</formula>
    </cfRule>
  </conditionalFormatting>
  <conditionalFormatting sqref="E8614">
    <cfRule type="containsText" dxfId="963" priority="1328" operator="containsText" text="Pesquisa de Preços">
      <formula>NOT(ISERROR(SEARCH("Pesquisa de Preços",E8614)))</formula>
    </cfRule>
  </conditionalFormatting>
  <conditionalFormatting sqref="D8612">
    <cfRule type="containsText" dxfId="962" priority="1327" operator="containsText" text="Pesquisa de Preços">
      <formula>NOT(ISERROR(SEARCH("Pesquisa de Preços",D8612)))</formula>
    </cfRule>
  </conditionalFormatting>
  <conditionalFormatting sqref="D8631">
    <cfRule type="containsText" dxfId="961" priority="1325" operator="containsText" text="Pesquisa de Preços">
      <formula>NOT(ISERROR(SEARCH("Pesquisa de Preços",D8631)))</formula>
    </cfRule>
  </conditionalFormatting>
  <conditionalFormatting sqref="D8632 D8636">
    <cfRule type="containsText" dxfId="960" priority="1324" operator="containsText" text="Pesquisa de Preços">
      <formula>NOT(ISERROR(SEARCH("Pesquisa de Preços",D8632)))</formula>
    </cfRule>
  </conditionalFormatting>
  <conditionalFormatting sqref="E8636">
    <cfRule type="containsText" dxfId="959" priority="1323" operator="containsText" text="Pesquisa de Preços">
      <formula>NOT(ISERROR(SEARCH("Pesquisa de Preços",E8636)))</formula>
    </cfRule>
  </conditionalFormatting>
  <conditionalFormatting sqref="D8634">
    <cfRule type="containsText" dxfId="956" priority="1320" operator="containsText" text="Pesquisa de Preços">
      <formula>NOT(ISERROR(SEARCH("Pesquisa de Preços",D8634)))</formula>
    </cfRule>
  </conditionalFormatting>
  <conditionalFormatting sqref="D8635">
    <cfRule type="containsText" dxfId="955" priority="1319" operator="containsText" text="Pesquisa de Preços">
      <formula>NOT(ISERROR(SEARCH("Pesquisa de Preços",D8635)))</formula>
    </cfRule>
  </conditionalFormatting>
  <conditionalFormatting sqref="E8632:E8633">
    <cfRule type="containsText" dxfId="952" priority="1316" operator="containsText" text="Pesquisa de Preços">
      <formula>NOT(ISERROR(SEARCH("Pesquisa de Preços",E8632)))</formula>
    </cfRule>
  </conditionalFormatting>
  <conditionalFormatting sqref="E8617:E8618 E8621:E8622">
    <cfRule type="containsText" dxfId="951" priority="1302" operator="containsText" text="Pesquisa de Preços">
      <formula>NOT(ISERROR(SEARCH("Pesquisa de Preços",E8617)))</formula>
    </cfRule>
  </conditionalFormatting>
  <conditionalFormatting sqref="E8634">
    <cfRule type="containsText" dxfId="950" priority="1314" operator="containsText" text="Pesquisa de Preços">
      <formula>NOT(ISERROR(SEARCH("Pesquisa de Preços",E8634)))</formula>
    </cfRule>
  </conditionalFormatting>
  <conditionalFormatting sqref="D8633">
    <cfRule type="containsText" dxfId="945" priority="1308" operator="containsText" text="Pesquisa de Preços">
      <formula>NOT(ISERROR(SEARCH("Pesquisa de Preços",D8633)))</formula>
    </cfRule>
  </conditionalFormatting>
  <conditionalFormatting sqref="D8620">
    <cfRule type="containsText" dxfId="944" priority="1295" operator="containsText" text="Pesquisa de Preços">
      <formula>NOT(ISERROR(SEARCH("Pesquisa de Preços",D8620)))</formula>
    </cfRule>
  </conditionalFormatting>
  <conditionalFormatting sqref="E8635">
    <cfRule type="containsText" dxfId="943" priority="1307" operator="containsText" text="Pesquisa de Preços">
      <formula>NOT(ISERROR(SEARCH("Pesquisa de Preços",E8635)))</formula>
    </cfRule>
  </conditionalFormatting>
  <conditionalFormatting sqref="D8616">
    <cfRule type="containsText" dxfId="942" priority="1305" operator="containsText" text="Pesquisa de Preços">
      <formula>NOT(ISERROR(SEARCH("Pesquisa de Preços",D8616)))</formula>
    </cfRule>
  </conditionalFormatting>
  <conditionalFormatting sqref="D8617 D8622">
    <cfRule type="containsText" dxfId="940" priority="1303" operator="containsText" text="Pesquisa de Preços">
      <formula>NOT(ISERROR(SEARCH("Pesquisa de Preços",D8617)))</formula>
    </cfRule>
  </conditionalFormatting>
  <conditionalFormatting sqref="E8619">
    <cfRule type="containsText" dxfId="939" priority="1297" operator="containsText" text="Pesquisa de Preços">
      <formula>NOT(ISERROR(SEARCH("Pesquisa de Preços",E8619)))</formula>
    </cfRule>
  </conditionalFormatting>
  <conditionalFormatting sqref="E8616">
    <cfRule type="containsText" dxfId="938" priority="1301" operator="containsText" text="Pesquisa de Preços">
      <formula>NOT(ISERROR(SEARCH("Pesquisa de Preços",E8616)))</formula>
    </cfRule>
  </conditionalFormatting>
  <conditionalFormatting sqref="E8620">
    <cfRule type="containsText" dxfId="937" priority="1300" operator="containsText" text="Pesquisa de Preços">
      <formula>NOT(ISERROR(SEARCH("Pesquisa de Preços",E8620)))</formula>
    </cfRule>
  </conditionalFormatting>
  <conditionalFormatting sqref="D8621 D8618">
    <cfRule type="containsText" dxfId="934" priority="1296" operator="containsText" text="Pesquisa de Preços">
      <formula>NOT(ISERROR(SEARCH("Pesquisa de Preços",D8618)))</formula>
    </cfRule>
  </conditionalFormatting>
  <conditionalFormatting sqref="D8623">
    <cfRule type="containsText" dxfId="933" priority="1290" operator="containsText" text="Pesquisa de Preços">
      <formula>NOT(ISERROR(SEARCH("Pesquisa de Preços",D8623)))</formula>
    </cfRule>
  </conditionalFormatting>
  <conditionalFormatting sqref="D8619">
    <cfRule type="containsText" dxfId="932" priority="1294" operator="containsText" text="Pesquisa de Preços">
      <formula>NOT(ISERROR(SEARCH("Pesquisa de Preços",D8619)))</formula>
    </cfRule>
  </conditionalFormatting>
  <conditionalFormatting sqref="D8625:D8629">
    <cfRule type="containsText" dxfId="929" priority="1289" operator="containsText" text="Pesquisa de Preços">
      <formula>NOT(ISERROR(SEARCH("Pesquisa de Preços",D8625)))</formula>
    </cfRule>
  </conditionalFormatting>
  <conditionalFormatting sqref="D9126">
    <cfRule type="containsText" dxfId="924" priority="1283" operator="containsText" text="Pesquisa de Preços">
      <formula>NOT(ISERROR(SEARCH("Pesquisa de Preços",D9126)))</formula>
    </cfRule>
  </conditionalFormatting>
  <conditionalFormatting sqref="D9129:D9135">
    <cfRule type="containsText" dxfId="919" priority="1278" operator="containsText" text="Pesquisa de Preços">
      <formula>NOT(ISERROR(SEARCH("Pesquisa de Preços",D9129)))</formula>
    </cfRule>
  </conditionalFormatting>
  <conditionalFormatting sqref="D9137">
    <cfRule type="containsText" dxfId="908" priority="1251" operator="containsText" text="Pesquisa de Preços">
      <formula>NOT(ISERROR(SEARCH("Pesquisa de Preços",D9137)))</formula>
    </cfRule>
  </conditionalFormatting>
  <conditionalFormatting sqref="D9140:D9146">
    <cfRule type="containsText" dxfId="903" priority="1246" operator="containsText" text="Pesquisa de Preços">
      <formula>NOT(ISERROR(SEARCH("Pesquisa de Preços",D9140)))</formula>
    </cfRule>
  </conditionalFormatting>
  <conditionalFormatting sqref="D9148">
    <cfRule type="containsText" dxfId="900" priority="1241" operator="containsText" text="Pesquisa de Preços">
      <formula>NOT(ISERROR(SEARCH("Pesquisa de Preços",D9148)))</formula>
    </cfRule>
  </conditionalFormatting>
  <conditionalFormatting sqref="D9151:D9157">
    <cfRule type="containsText" dxfId="895" priority="1236" operator="containsText" text="Pesquisa de Preços">
      <formula>NOT(ISERROR(SEARCH("Pesquisa de Preços",D9151)))</formula>
    </cfRule>
  </conditionalFormatting>
  <conditionalFormatting sqref="D9150">
    <cfRule type="containsText" dxfId="894" priority="1235" operator="containsText" text="Pesquisa de Preços">
      <formula>NOT(ISERROR(SEARCH("Pesquisa de Preços",D9150)))</formula>
    </cfRule>
  </conditionalFormatting>
  <conditionalFormatting sqref="D9139">
    <cfRule type="containsText" dxfId="893" priority="1234" operator="containsText" text="Pesquisa de Preços">
      <formula>NOT(ISERROR(SEARCH("Pesquisa de Preços",D9139)))</formula>
    </cfRule>
  </conditionalFormatting>
  <conditionalFormatting sqref="D9128">
    <cfRule type="containsText" dxfId="892" priority="1233" operator="containsText" text="Pesquisa de Preços">
      <formula>NOT(ISERROR(SEARCH("Pesquisa de Preços",D9128)))</formula>
    </cfRule>
  </conditionalFormatting>
  <conditionalFormatting sqref="D8701">
    <cfRule type="containsText" dxfId="883" priority="1222" operator="containsText" text="Pesquisa de Preços">
      <formula>NOT(ISERROR(SEARCH("Pesquisa de Preços",D8701)))</formula>
    </cfRule>
  </conditionalFormatting>
  <conditionalFormatting sqref="D8700">
    <cfRule type="containsText" dxfId="882" priority="1221" operator="containsText" text="Pesquisa de Preços">
      <formula>NOT(ISERROR(SEARCH("Pesquisa de Preços",D8700)))</formula>
    </cfRule>
  </conditionalFormatting>
  <conditionalFormatting sqref="D8705 D8709 D8713">
    <cfRule type="containsText" dxfId="881" priority="1190" operator="containsText" text="Pesquisa de Preços">
      <formula>NOT(ISERROR(SEARCH("Pesquisa de Preços",D8705)))</formula>
    </cfRule>
  </conditionalFormatting>
  <conditionalFormatting sqref="D8717">
    <cfRule type="containsText" dxfId="874" priority="1182" operator="containsText" text="Pesquisa de Preços">
      <formula>NOT(ISERROR(SEARCH("Pesquisa de Preços",D8717)))</formula>
    </cfRule>
  </conditionalFormatting>
  <conditionalFormatting sqref="D8704 D8708 D8712">
    <cfRule type="containsText" dxfId="873" priority="1189" operator="containsText" text="Pesquisa de Preços">
      <formula>NOT(ISERROR(SEARCH("Pesquisa de Preços",D8704)))</formula>
    </cfRule>
  </conditionalFormatting>
  <conditionalFormatting sqref="D8695">
    <cfRule type="containsText" dxfId="870" priority="1175" operator="containsText" text="Pesquisa de Preços">
      <formula>NOT(ISERROR(SEARCH("Pesquisa de Preços",D8695)))</formula>
    </cfRule>
  </conditionalFormatting>
  <conditionalFormatting sqref="D8716">
    <cfRule type="containsText" dxfId="869" priority="1181" operator="containsText" text="Pesquisa de Preços">
      <formula>NOT(ISERROR(SEARCH("Pesquisa de Preços",D8716)))</formula>
    </cfRule>
  </conditionalFormatting>
  <conditionalFormatting sqref="D8725">
    <cfRule type="containsText" dxfId="864" priority="1168" operator="containsText" text="Pesquisa de Preços">
      <formula>NOT(ISERROR(SEARCH("Pesquisa de Preços",D8725)))</formula>
    </cfRule>
  </conditionalFormatting>
  <conditionalFormatting sqref="D8724">
    <cfRule type="containsText" dxfId="863" priority="1167" operator="containsText" text="Pesquisa de Preços">
      <formula>NOT(ISERROR(SEARCH("Pesquisa de Preços",D8724)))</formula>
    </cfRule>
  </conditionalFormatting>
  <conditionalFormatting sqref="D8693">
    <cfRule type="containsText" dxfId="862" priority="1179" operator="containsText" text="Pesquisa de Preços">
      <formula>NOT(ISERROR(SEARCH("Pesquisa de Preços",D8693)))</formula>
    </cfRule>
  </conditionalFormatting>
  <conditionalFormatting sqref="E8693">
    <cfRule type="containsText" dxfId="861" priority="1178" operator="containsText" text="Pesquisa de Preços">
      <formula>NOT(ISERROR(SEARCH("Pesquisa de Preços",E8693)))</formula>
    </cfRule>
  </conditionalFormatting>
  <conditionalFormatting sqref="D8750 D8794 D8838 D8894 D8938 D8970 D9002 D9006 D9010 D9014 D9018 D9022">
    <cfRule type="containsText" dxfId="854" priority="1161" operator="containsText" text="Pesquisa de Preços">
      <formula>NOT(ISERROR(SEARCH("Pesquisa de Preços",D8750)))</formula>
    </cfRule>
  </conditionalFormatting>
  <conditionalFormatting sqref="D8729 D8733 D8737 D8741 D8745 D8749 D8753 D8757 D8761 D8765 D8769 D8773 D8777 D8781 D8785 D8789 D8793 D8797 D8801 D8805 D8809 D8813 D8817 D8821 D8825 D8829 D8833 D8837 D8841 D8845 D8849 D8853 D8857 D8861 D8865 D8869 D8873 D8877 D8881 D8885 D8889 D8893 D8897 D8901 D8905 D8909 D8913 D8917 D8921 D8925 D8929 D8933 D8937 D8941 D8945 D8949 D8953 D8957 D8961 D8965 D8969 D8973 D8977 D8981 D8985 D8989 D8993 D8997 D9001 D9005 D9009 D9013 D9017 D9021 D9025 D9029 D9033 D9037">
    <cfRule type="containsText" dxfId="853" priority="1160" operator="containsText" text="Pesquisa de Preços">
      <formula>NOT(ISERROR(SEARCH("Pesquisa de Preços",D8729)))</formula>
    </cfRule>
  </conditionalFormatting>
  <conditionalFormatting sqref="D8728 D8732 D8736 D8740 D8744 D8748 D8752 D8756 D8760 D8764 D8768 D8772 D8776 D8780 D8784 D8788 D8792 D8796 D8800 D8804 D8808 D8812 D8816 D8820 D8824 D8828 D8832 D8836 D8840 D8844 D8848 D8852 D8856 D8860 D8864 D8868 D8872 D8876 D8880 D8884 D8888 D8892 D8896 D8900 D8904 D8908 D8912 D8916 D8920 D8924 D8928 D8932 D8936 D8940 D8944 D8948 D8952 D8956 D8960 D8964 D8968 D8972 D8976 D8980 D8984 D8988 D8992 D8996 D9000 D9004 D9008 D9012 D9016 D9020 D9024 D9028 D9032 D9036">
    <cfRule type="containsText" dxfId="852" priority="1159" operator="containsText" text="Pesquisa de Preços">
      <formula>NOT(ISERROR(SEARCH("Pesquisa de Preços",D8728)))</formula>
    </cfRule>
  </conditionalFormatting>
  <conditionalFormatting sqref="D8718">
    <cfRule type="containsText" dxfId="847" priority="1153" operator="containsText" text="Pesquisa de Preços">
      <formula>NOT(ISERROR(SEARCH("Pesquisa de Preços",D8718)))</formula>
    </cfRule>
  </conditionalFormatting>
  <conditionalFormatting sqref="D8721">
    <cfRule type="containsText" dxfId="846" priority="1152" operator="containsText" text="Pesquisa de Preços">
      <formula>NOT(ISERROR(SEARCH("Pesquisa de Preços",D8721)))</formula>
    </cfRule>
  </conditionalFormatting>
  <conditionalFormatting sqref="D8720">
    <cfRule type="containsText" dxfId="845" priority="1151" operator="containsText" text="Pesquisa de Preços">
      <formula>NOT(ISERROR(SEARCH("Pesquisa de Preços",D8720)))</formula>
    </cfRule>
  </conditionalFormatting>
  <conditionalFormatting sqref="D9038">
    <cfRule type="containsText" dxfId="840" priority="1137" operator="containsText" text="Pesquisa de Preços">
      <formula>NOT(ISERROR(SEARCH("Pesquisa de Preços",D9038)))</formula>
    </cfRule>
  </conditionalFormatting>
  <conditionalFormatting sqref="D9041">
    <cfRule type="containsText" dxfId="839" priority="1136" operator="containsText" text="Pesquisa de Preços">
      <formula>NOT(ISERROR(SEARCH("Pesquisa de Preços",D9041)))</formula>
    </cfRule>
  </conditionalFormatting>
  <conditionalFormatting sqref="D9040">
    <cfRule type="containsText" dxfId="838" priority="1135" operator="containsText" text="Pesquisa de Preços">
      <formula>NOT(ISERROR(SEARCH("Pesquisa de Preços",D9040)))</formula>
    </cfRule>
  </conditionalFormatting>
  <conditionalFormatting sqref="D9045">
    <cfRule type="containsText" dxfId="833" priority="1128" operator="containsText" text="Pesquisa de Preços">
      <formula>NOT(ISERROR(SEARCH("Pesquisa de Preços",D9045)))</formula>
    </cfRule>
  </conditionalFormatting>
  <conditionalFormatting sqref="D9044">
    <cfRule type="containsText" dxfId="832" priority="1127" operator="containsText" text="Pesquisa de Preços">
      <formula>NOT(ISERROR(SEARCH("Pesquisa de Preços",D9044)))</formula>
    </cfRule>
  </conditionalFormatting>
  <conditionalFormatting sqref="D9049">
    <cfRule type="containsText" dxfId="827" priority="1120" operator="containsText" text="Pesquisa de Preços">
      <formula>NOT(ISERROR(SEARCH("Pesquisa de Preços",D9049)))</formula>
    </cfRule>
  </conditionalFormatting>
  <conditionalFormatting sqref="D9048">
    <cfRule type="containsText" dxfId="826" priority="1119" operator="containsText" text="Pesquisa de Preços">
      <formula>NOT(ISERROR(SEARCH("Pesquisa de Preços",D9048)))</formula>
    </cfRule>
  </conditionalFormatting>
  <conditionalFormatting sqref="D9053">
    <cfRule type="containsText" dxfId="821" priority="1112" operator="containsText" text="Pesquisa de Preços">
      <formula>NOT(ISERROR(SEARCH("Pesquisa de Preços",D9053)))</formula>
    </cfRule>
  </conditionalFormatting>
  <conditionalFormatting sqref="D9052">
    <cfRule type="containsText" dxfId="820" priority="1111" operator="containsText" text="Pesquisa de Preços">
      <formula>NOT(ISERROR(SEARCH("Pesquisa de Preços",D9052)))</formula>
    </cfRule>
  </conditionalFormatting>
  <conditionalFormatting sqref="D9057">
    <cfRule type="containsText" dxfId="815" priority="1104" operator="containsText" text="Pesquisa de Preços">
      <formula>NOT(ISERROR(SEARCH("Pesquisa de Preços",D9057)))</formula>
    </cfRule>
  </conditionalFormatting>
  <conditionalFormatting sqref="D9056">
    <cfRule type="containsText" dxfId="814" priority="1103" operator="containsText" text="Pesquisa de Preços">
      <formula>NOT(ISERROR(SEARCH("Pesquisa de Preços",D9056)))</formula>
    </cfRule>
  </conditionalFormatting>
  <conditionalFormatting sqref="D9058">
    <cfRule type="containsText" dxfId="809" priority="1097" operator="containsText" text="Pesquisa de Preços">
      <formula>NOT(ISERROR(SEARCH("Pesquisa de Preços",D9058)))</formula>
    </cfRule>
  </conditionalFormatting>
  <conditionalFormatting sqref="D9061">
    <cfRule type="containsText" dxfId="808" priority="1096" operator="containsText" text="Pesquisa de Preços">
      <formula>NOT(ISERROR(SEARCH("Pesquisa de Preços",D9061)))</formula>
    </cfRule>
  </conditionalFormatting>
  <conditionalFormatting sqref="D9060">
    <cfRule type="containsText" dxfId="807" priority="1095" operator="containsText" text="Pesquisa de Preços">
      <formula>NOT(ISERROR(SEARCH("Pesquisa de Preços",D9060)))</formula>
    </cfRule>
  </conditionalFormatting>
  <conditionalFormatting sqref="D9062">
    <cfRule type="containsText" dxfId="802" priority="1089" operator="containsText" text="Pesquisa de Preços">
      <formula>NOT(ISERROR(SEARCH("Pesquisa de Preços",D9062)))</formula>
    </cfRule>
  </conditionalFormatting>
  <conditionalFormatting sqref="D9065">
    <cfRule type="containsText" dxfId="801" priority="1088" operator="containsText" text="Pesquisa de Preços">
      <formula>NOT(ISERROR(SEARCH("Pesquisa de Preços",D9065)))</formula>
    </cfRule>
  </conditionalFormatting>
  <conditionalFormatting sqref="D9064">
    <cfRule type="containsText" dxfId="800" priority="1087" operator="containsText" text="Pesquisa de Preços">
      <formula>NOT(ISERROR(SEARCH("Pesquisa de Preços",D9064)))</formula>
    </cfRule>
  </conditionalFormatting>
  <conditionalFormatting sqref="D9066">
    <cfRule type="containsText" dxfId="795" priority="1081" operator="containsText" text="Pesquisa de Preços">
      <formula>NOT(ISERROR(SEARCH("Pesquisa de Preços",D9066)))</formula>
    </cfRule>
  </conditionalFormatting>
  <conditionalFormatting sqref="D9069">
    <cfRule type="containsText" dxfId="794" priority="1080" operator="containsText" text="Pesquisa de Preços">
      <formula>NOT(ISERROR(SEARCH("Pesquisa de Preços",D9069)))</formula>
    </cfRule>
  </conditionalFormatting>
  <conditionalFormatting sqref="D9068">
    <cfRule type="containsText" dxfId="793" priority="1079" operator="containsText" text="Pesquisa de Preços">
      <formula>NOT(ISERROR(SEARCH("Pesquisa de Preços",D9068)))</formula>
    </cfRule>
  </conditionalFormatting>
  <conditionalFormatting sqref="D9078">
    <cfRule type="containsText" dxfId="788" priority="1073" operator="containsText" text="Pesquisa de Preços">
      <formula>NOT(ISERROR(SEARCH("Pesquisa de Preços",D9078)))</formula>
    </cfRule>
  </conditionalFormatting>
  <conditionalFormatting sqref="D9081">
    <cfRule type="containsText" dxfId="787" priority="1072" operator="containsText" text="Pesquisa de Preços">
      <formula>NOT(ISERROR(SEARCH("Pesquisa de Preços",D9081)))</formula>
    </cfRule>
  </conditionalFormatting>
  <conditionalFormatting sqref="D9080">
    <cfRule type="containsText" dxfId="786" priority="1071" operator="containsText" text="Pesquisa de Preços">
      <formula>NOT(ISERROR(SEARCH("Pesquisa de Preços",D9080)))</formula>
    </cfRule>
  </conditionalFormatting>
  <conditionalFormatting sqref="D9082">
    <cfRule type="containsText" dxfId="781" priority="1049" operator="containsText" text="Pesquisa de Preços">
      <formula>NOT(ISERROR(SEARCH("Pesquisa de Preços",D9082)))</formula>
    </cfRule>
  </conditionalFormatting>
  <conditionalFormatting sqref="D9085">
    <cfRule type="containsText" dxfId="780" priority="1048" operator="containsText" text="Pesquisa de Preços">
      <formula>NOT(ISERROR(SEARCH("Pesquisa de Preços",D9085)))</formula>
    </cfRule>
  </conditionalFormatting>
  <conditionalFormatting sqref="D9084">
    <cfRule type="containsText" dxfId="779" priority="1047" operator="containsText" text="Pesquisa de Preços">
      <formula>NOT(ISERROR(SEARCH("Pesquisa de Preços",D9084)))</formula>
    </cfRule>
  </conditionalFormatting>
  <conditionalFormatting sqref="D9109">
    <cfRule type="containsText" dxfId="772" priority="996" operator="containsText" text="Pesquisa de Preços">
      <formula>NOT(ISERROR(SEARCH("Pesquisa de Preços",D9109)))</formula>
    </cfRule>
  </conditionalFormatting>
  <conditionalFormatting sqref="D9108">
    <cfRule type="containsText" dxfId="771" priority="995" operator="containsText" text="Pesquisa de Preços">
      <formula>NOT(ISERROR(SEARCH("Pesquisa de Preços",D9108)))</formula>
    </cfRule>
  </conditionalFormatting>
  <conditionalFormatting sqref="D9113">
    <cfRule type="containsText" dxfId="766" priority="988" operator="containsText" text="Pesquisa de Preços">
      <formula>NOT(ISERROR(SEARCH("Pesquisa de Preços",D9113)))</formula>
    </cfRule>
  </conditionalFormatting>
  <conditionalFormatting sqref="D9112">
    <cfRule type="containsText" dxfId="765" priority="987" operator="containsText" text="Pesquisa de Preços">
      <formula>NOT(ISERROR(SEARCH("Pesquisa de Preços",D9112)))</formula>
    </cfRule>
  </conditionalFormatting>
  <conditionalFormatting sqref="D9117">
    <cfRule type="containsText" dxfId="760" priority="980" operator="containsText" text="Pesquisa de Preços">
      <formula>NOT(ISERROR(SEARCH("Pesquisa de Preços",D9117)))</formula>
    </cfRule>
  </conditionalFormatting>
  <conditionalFormatting sqref="D9116">
    <cfRule type="containsText" dxfId="759" priority="979" operator="containsText" text="Pesquisa de Preços">
      <formula>NOT(ISERROR(SEARCH("Pesquisa de Preços",D9116)))</formula>
    </cfRule>
  </conditionalFormatting>
  <conditionalFormatting sqref="D9121">
    <cfRule type="containsText" dxfId="754" priority="972" operator="containsText" text="Pesquisa de Preços">
      <formula>NOT(ISERROR(SEARCH("Pesquisa de Preços",D9121)))</formula>
    </cfRule>
  </conditionalFormatting>
  <conditionalFormatting sqref="D9120">
    <cfRule type="containsText" dxfId="753" priority="971" operator="containsText" text="Pesquisa de Preços">
      <formula>NOT(ISERROR(SEARCH("Pesquisa de Preços",D9120)))</formula>
    </cfRule>
  </conditionalFormatting>
  <conditionalFormatting sqref="D9122">
    <cfRule type="containsText" dxfId="748" priority="965" operator="containsText" text="Pesquisa de Preços">
      <formula>NOT(ISERROR(SEARCH("Pesquisa de Preços",D9122)))</formula>
    </cfRule>
  </conditionalFormatting>
  <conditionalFormatting sqref="D9125">
    <cfRule type="containsText" dxfId="747" priority="964" operator="containsText" text="Pesquisa de Preços">
      <formula>NOT(ISERROR(SEARCH("Pesquisa de Preços",D9125)))</formula>
    </cfRule>
  </conditionalFormatting>
  <conditionalFormatting sqref="D9124">
    <cfRule type="containsText" dxfId="746" priority="963" operator="containsText" text="Pesquisa de Preços">
      <formula>NOT(ISERROR(SEARCH("Pesquisa de Preços",D9124)))</formula>
    </cfRule>
  </conditionalFormatting>
  <conditionalFormatting sqref="D6106">
    <cfRule type="containsText" dxfId="741" priority="957" operator="containsText" text="Pesquisa de Preços">
      <formula>NOT(ISERROR(SEARCH("Pesquisa de Preços",D6106)))</formula>
    </cfRule>
  </conditionalFormatting>
  <conditionalFormatting sqref="D6108">
    <cfRule type="containsText" dxfId="740" priority="956" operator="containsText" text="Pesquisa de Preços">
      <formula>NOT(ISERROR(SEARCH("Pesquisa de Preços",D6108)))</formula>
    </cfRule>
  </conditionalFormatting>
  <conditionalFormatting sqref="E9173">
    <cfRule type="containsText" dxfId="737" priority="913" operator="containsText" text="Pesquisa de Preços">
      <formula>NOT(ISERROR(SEARCH("Pesquisa de Preços",E9173)))</formula>
    </cfRule>
  </conditionalFormatting>
  <conditionalFormatting sqref="D6102">
    <cfRule type="containsText" dxfId="732" priority="948" operator="containsText" text="Pesquisa de Preços">
      <formula>NOT(ISERROR(SEARCH("Pesquisa de Preços",D6102)))</formula>
    </cfRule>
  </conditionalFormatting>
  <conditionalFormatting sqref="D6104">
    <cfRule type="containsText" dxfId="731" priority="947" operator="containsText" text="Pesquisa de Preços">
      <formula>NOT(ISERROR(SEARCH("Pesquisa de Preços",D6104)))</formula>
    </cfRule>
  </conditionalFormatting>
  <conditionalFormatting sqref="D9118 D9114 D9110 D9106 D9054 D9050 D9046 D9042 D9034 D9030 D9026 D8998 D8994 D8990 D8986 D8982 D8978 D8974 D8966 D8962 D8958 D8954 D8950 D8946 D8942 D8934 D8930 D8926 D8922 D8918 D8914 D8910 D8906 D8902 D8898 D8890 D8886 D8882 D8878 D8874 D8870 D8866 D8862 D8858 D8854 D8850 D8846 D8842 D8834 D8830 D8826 D8822 D8818 D8814 D8810 D8806 D8802 D8798 D8790 D8786 D8782 D8778 D8774 D8770 D8766 D8762 D8758 D8754 D8746 D8742 D8738 D8734 D8730 D8726 D8722 D8714 D8710 D8706 D8702 D8698">
    <cfRule type="containsText" dxfId="728" priority="936" operator="containsText" text="Pesquisa de Preços">
      <formula>NOT(ISERROR(SEARCH("Pesquisa de Preços",D8698)))</formula>
    </cfRule>
  </conditionalFormatting>
  <conditionalFormatting sqref="E396:E406">
    <cfRule type="containsText" dxfId="727" priority="935" operator="containsText" text="Pesquisa de Preços">
      <formula>NOT(ISERROR(SEARCH("Pesquisa de Preços",E396)))</formula>
    </cfRule>
  </conditionalFormatting>
  <conditionalFormatting sqref="D9180">
    <cfRule type="containsText" dxfId="726" priority="894" operator="containsText" text="Pesquisa de Preços">
      <formula>NOT(ISERROR(SEARCH("Pesquisa de Preços",D9180)))</formula>
    </cfRule>
  </conditionalFormatting>
  <conditionalFormatting sqref="D9159">
    <cfRule type="containsText" dxfId="721" priority="929" operator="containsText" text="Pesquisa de Preços">
      <formula>NOT(ISERROR(SEARCH("Pesquisa de Preços",D9159)))</formula>
    </cfRule>
  </conditionalFormatting>
  <conditionalFormatting sqref="D9162">
    <cfRule type="containsText" dxfId="720" priority="928" operator="containsText" text="Pesquisa de Preços">
      <formula>NOT(ISERROR(SEARCH("Pesquisa de Preços",D9162)))</formula>
    </cfRule>
  </conditionalFormatting>
  <conditionalFormatting sqref="D9161">
    <cfRule type="containsText" dxfId="719" priority="927" operator="containsText" text="Pesquisa de Preços">
      <formula>NOT(ISERROR(SEARCH("Pesquisa de Preços",D9161)))</formula>
    </cfRule>
  </conditionalFormatting>
  <conditionalFormatting sqref="E9196">
    <cfRule type="containsText" dxfId="718" priority="862" operator="containsText" text="Pesquisa de Preços">
      <formula>NOT(ISERROR(SEARCH("Pesquisa de Preços",E9196)))</formula>
    </cfRule>
  </conditionalFormatting>
  <conditionalFormatting sqref="D9163">
    <cfRule type="containsText" dxfId="717" priority="925" operator="containsText" text="Pesquisa de Preços">
      <formula>NOT(ISERROR(SEARCH("Pesquisa de Preços",D9163)))</formula>
    </cfRule>
  </conditionalFormatting>
  <conditionalFormatting sqref="D9164 D9167:D9168">
    <cfRule type="containsText" dxfId="716" priority="924" operator="containsText" text="Pesquisa de Preços">
      <formula>NOT(ISERROR(SEARCH("Pesquisa de Preços",D9164)))</formula>
    </cfRule>
  </conditionalFormatting>
  <conditionalFormatting sqref="E9168">
    <cfRule type="containsText" dxfId="715" priority="923" operator="containsText" text="Pesquisa de Preços">
      <formula>NOT(ISERROR(SEARCH("Pesquisa de Preços",E9168)))</formula>
    </cfRule>
  </conditionalFormatting>
  <conditionalFormatting sqref="D9165:D9166">
    <cfRule type="containsText" dxfId="712" priority="920" operator="containsText" text="Pesquisa de Preços">
      <formula>NOT(ISERROR(SEARCH("Pesquisa de Preços",D9165)))</formula>
    </cfRule>
  </conditionalFormatting>
  <conditionalFormatting sqref="D9194">
    <cfRule type="containsText" dxfId="711" priority="855" operator="containsText" text="Pesquisa de Preços">
      <formula>NOT(ISERROR(SEARCH("Pesquisa de Preços",D9194)))</formula>
    </cfRule>
  </conditionalFormatting>
  <conditionalFormatting sqref="E9170:E9171 E9174:E9175">
    <cfRule type="containsText" dxfId="710" priority="915" operator="containsText" text="Pesquisa de Preços">
      <formula>NOT(ISERROR(SEARCH("Pesquisa de Preços",E9170)))</formula>
    </cfRule>
  </conditionalFormatting>
  <conditionalFormatting sqref="D9173">
    <cfRule type="containsText" dxfId="709" priority="908" operator="containsText" text="Pesquisa de Preços">
      <formula>NOT(ISERROR(SEARCH("Pesquisa de Preços",D9173)))</formula>
    </cfRule>
  </conditionalFormatting>
  <conditionalFormatting sqref="D9169">
    <cfRule type="containsText" dxfId="708" priority="918" operator="containsText" text="Pesquisa de Preços">
      <formula>NOT(ISERROR(SEARCH("Pesquisa de Preços",D9169)))</formula>
    </cfRule>
  </conditionalFormatting>
  <conditionalFormatting sqref="D9170 D9175">
    <cfRule type="containsText" dxfId="706" priority="916" operator="containsText" text="Pesquisa de Preços">
      <formula>NOT(ISERROR(SEARCH("Pesquisa de Preços",D9170)))</formula>
    </cfRule>
  </conditionalFormatting>
  <conditionalFormatting sqref="E9172">
    <cfRule type="containsText" dxfId="705" priority="910" operator="containsText" text="Pesquisa de Preços">
      <formula>NOT(ISERROR(SEARCH("Pesquisa de Preços",E9172)))</formula>
    </cfRule>
  </conditionalFormatting>
  <conditionalFormatting sqref="E9169">
    <cfRule type="containsText" dxfId="704" priority="914" operator="containsText" text="Pesquisa de Preços">
      <formula>NOT(ISERROR(SEARCH("Pesquisa de Preços",E9169)))</formula>
    </cfRule>
  </conditionalFormatting>
  <conditionalFormatting sqref="D9174 D9171">
    <cfRule type="containsText" dxfId="701" priority="909" operator="containsText" text="Pesquisa de Preços">
      <formula>NOT(ISERROR(SEARCH("Pesquisa de Preços",D9171)))</formula>
    </cfRule>
  </conditionalFormatting>
  <conditionalFormatting sqref="D9261">
    <cfRule type="containsText" dxfId="700" priority="662" operator="containsText" text="Pesquisa de Preços">
      <formula>NOT(ISERROR(SEARCH("Pesquisa de Preços",D9261)))</formula>
    </cfRule>
  </conditionalFormatting>
  <conditionalFormatting sqref="D9172">
    <cfRule type="containsText" dxfId="699" priority="906" operator="containsText" text="Pesquisa de Preços">
      <formula>NOT(ISERROR(SEARCH("Pesquisa de Preços",D9172)))</formula>
    </cfRule>
  </conditionalFormatting>
  <conditionalFormatting sqref="D9190">
    <cfRule type="containsText" dxfId="698" priority="865" operator="containsText" text="Pesquisa de Preços">
      <formula>NOT(ISERROR(SEARCH("Pesquisa de Preços",D9190)))</formula>
    </cfRule>
  </conditionalFormatting>
  <conditionalFormatting sqref="E9177:E9178 E9181:E9182">
    <cfRule type="containsText" dxfId="697" priority="901" operator="containsText" text="Pesquisa de Preços">
      <formula>NOT(ISERROR(SEARCH("Pesquisa de Preços",E9177)))</formula>
    </cfRule>
  </conditionalFormatting>
  <conditionalFormatting sqref="E9186">
    <cfRule type="containsText" dxfId="696" priority="870" operator="containsText" text="Pesquisa de Preços">
      <formula>NOT(ISERROR(SEARCH("Pesquisa de Preços",E9186)))</formula>
    </cfRule>
  </conditionalFormatting>
  <conditionalFormatting sqref="D9176">
    <cfRule type="containsText" dxfId="695" priority="904" operator="containsText" text="Pesquisa de Preços">
      <formula>NOT(ISERROR(SEARCH("Pesquisa de Preços",D9176)))</formula>
    </cfRule>
  </conditionalFormatting>
  <conditionalFormatting sqref="D9177 D9182">
    <cfRule type="containsText" dxfId="693" priority="902" operator="containsText" text="Pesquisa de Preços">
      <formula>NOT(ISERROR(SEARCH("Pesquisa de Preços",D9177)))</formula>
    </cfRule>
  </conditionalFormatting>
  <conditionalFormatting sqref="E9179">
    <cfRule type="containsText" dxfId="692" priority="896" operator="containsText" text="Pesquisa de Preços">
      <formula>NOT(ISERROR(SEARCH("Pesquisa de Preços",E9179)))</formula>
    </cfRule>
  </conditionalFormatting>
  <conditionalFormatting sqref="E9176">
    <cfRule type="containsText" dxfId="691" priority="900" operator="containsText" text="Pesquisa de Preços">
      <formula>NOT(ISERROR(SEARCH("Pesquisa de Preços",E9176)))</formula>
    </cfRule>
  </conditionalFormatting>
  <conditionalFormatting sqref="E9180">
    <cfRule type="containsText" dxfId="690" priority="899" operator="containsText" text="Pesquisa de Preços">
      <formula>NOT(ISERROR(SEARCH("Pesquisa de Preços",E9180)))</formula>
    </cfRule>
  </conditionalFormatting>
  <conditionalFormatting sqref="D9181 D9178">
    <cfRule type="containsText" dxfId="687" priority="895" operator="containsText" text="Pesquisa de Preços">
      <formula>NOT(ISERROR(SEARCH("Pesquisa de Preços",D9178)))</formula>
    </cfRule>
  </conditionalFormatting>
  <conditionalFormatting sqref="D9179">
    <cfRule type="containsText" dxfId="686" priority="893" operator="containsText" text="Pesquisa de Preços">
      <formula>NOT(ISERROR(SEARCH("Pesquisa de Preços",D9179)))</formula>
    </cfRule>
  </conditionalFormatting>
  <conditionalFormatting sqref="E9275">
    <cfRule type="containsText" dxfId="685" priority="691" operator="containsText" text="Pesquisa de Preços">
      <formula>NOT(ISERROR(SEARCH("Pesquisa de Preços",E9275)))</formula>
    </cfRule>
  </conditionalFormatting>
  <conditionalFormatting sqref="E9258">
    <cfRule type="containsText" dxfId="684" priority="670" operator="containsText" text="Pesquisa de Preços">
      <formula>NOT(ISERROR(SEARCH("Pesquisa de Preços",E9258)))</formula>
    </cfRule>
  </conditionalFormatting>
  <conditionalFormatting sqref="E9277">
    <cfRule type="containsText" dxfId="683" priority="690" operator="containsText" text="Pesquisa de Preços">
      <formula>NOT(ISERROR(SEARCH("Pesquisa de Preços",E9277)))</formula>
    </cfRule>
  </conditionalFormatting>
  <conditionalFormatting sqref="D9276">
    <cfRule type="containsText" dxfId="682" priority="689" operator="containsText" text="Pesquisa de Preços">
      <formula>NOT(ISERROR(SEARCH("Pesquisa de Preços",D9276)))</formula>
    </cfRule>
  </conditionalFormatting>
  <conditionalFormatting sqref="E9259">
    <cfRule type="containsText" dxfId="681" priority="671" operator="containsText" text="Pesquisa de Preços">
      <formula>NOT(ISERROR(SEARCH("Pesquisa de Preços",E9259)))</formula>
    </cfRule>
  </conditionalFormatting>
  <conditionalFormatting sqref="E9284">
    <cfRule type="containsText" dxfId="680" priority="682" operator="containsText" text="Pesquisa de Preços">
      <formula>NOT(ISERROR(SEARCH("Pesquisa de Preços",E9284)))</formula>
    </cfRule>
  </conditionalFormatting>
  <conditionalFormatting sqref="D9284 D9281:D9282">
    <cfRule type="containsText" dxfId="679" priority="686" operator="containsText" text="Pesquisa de Preços">
      <formula>NOT(ISERROR(SEARCH("Pesquisa de Preços",D9281)))</formula>
    </cfRule>
  </conditionalFormatting>
  <conditionalFormatting sqref="E9281">
    <cfRule type="containsText" dxfId="678" priority="685" operator="containsText" text="Pesquisa de Preços">
      <formula>NOT(ISERROR(SEARCH("Pesquisa de Preços",E9281)))</formula>
    </cfRule>
  </conditionalFormatting>
  <conditionalFormatting sqref="D9283">
    <cfRule type="containsText" dxfId="677" priority="681" operator="containsText" text="Pesquisa de Preços">
      <formula>NOT(ISERROR(SEARCH("Pesquisa de Preços",D9283)))</formula>
    </cfRule>
  </conditionalFormatting>
  <conditionalFormatting sqref="D9200:D9201">
    <cfRule type="containsText" dxfId="676" priority="839" operator="containsText" text="Pesquisa de Preços">
      <formula>NOT(ISERROR(SEARCH("Pesquisa de Preços",D9200)))</formula>
    </cfRule>
  </conditionalFormatting>
  <conditionalFormatting sqref="E9184:E9185 E9188:E9189">
    <cfRule type="containsText" dxfId="675" priority="875" operator="containsText" text="Pesquisa de Preços">
      <formula>NOT(ISERROR(SEARCH("Pesquisa de Preços",E9184)))</formula>
    </cfRule>
  </conditionalFormatting>
  <conditionalFormatting sqref="D9187">
    <cfRule type="containsText" dxfId="674" priority="868" operator="containsText" text="Pesquisa de Preços">
      <formula>NOT(ISERROR(SEARCH("Pesquisa de Preços",D9187)))</formula>
    </cfRule>
  </conditionalFormatting>
  <conditionalFormatting sqref="D9183">
    <cfRule type="containsText" dxfId="673" priority="878" operator="containsText" text="Pesquisa de Preços">
      <formula>NOT(ISERROR(SEARCH("Pesquisa de Preços",D9183)))</formula>
    </cfRule>
  </conditionalFormatting>
  <conditionalFormatting sqref="D9184 D9189">
    <cfRule type="containsText" dxfId="671" priority="876" operator="containsText" text="Pesquisa de Preços">
      <formula>NOT(ISERROR(SEARCH("Pesquisa de Preços",D9184)))</formula>
    </cfRule>
  </conditionalFormatting>
  <conditionalFormatting sqref="E9183">
    <cfRule type="containsText" dxfId="670" priority="874" operator="containsText" text="Pesquisa de Preços">
      <formula>NOT(ISERROR(SEARCH("Pesquisa de Preços",E9183)))</formula>
    </cfRule>
  </conditionalFormatting>
  <conditionalFormatting sqref="E9187">
    <cfRule type="containsText" dxfId="669" priority="873" operator="containsText" text="Pesquisa de Preços">
      <formula>NOT(ISERROR(SEARCH("Pesquisa de Preços",E9187)))</formula>
    </cfRule>
  </conditionalFormatting>
  <conditionalFormatting sqref="D9188 D9185">
    <cfRule type="containsText" dxfId="666" priority="869" operator="containsText" text="Pesquisa de Preços">
      <formula>NOT(ISERROR(SEARCH("Pesquisa de Preços",D9185)))</formula>
    </cfRule>
  </conditionalFormatting>
  <conditionalFormatting sqref="D9186">
    <cfRule type="containsText" dxfId="665" priority="867" operator="containsText" text="Pesquisa de Preços">
      <formula>NOT(ISERROR(SEARCH("Pesquisa de Preços",D9186)))</formula>
    </cfRule>
  </conditionalFormatting>
  <conditionalFormatting sqref="E9213">
    <cfRule type="containsText" dxfId="664" priority="826" operator="containsText" text="Pesquisa de Preços">
      <formula>NOT(ISERROR(SEARCH("Pesquisa de Preços",E9213)))</formula>
    </cfRule>
  </conditionalFormatting>
  <conditionalFormatting sqref="D9197">
    <cfRule type="containsText" dxfId="663" priority="844" operator="containsText" text="Pesquisa de Preços">
      <formula>NOT(ISERROR(SEARCH("Pesquisa de Preços",D9197)))</formula>
    </cfRule>
  </conditionalFormatting>
  <conditionalFormatting sqref="D9205">
    <cfRule type="containsText" dxfId="662" priority="837" operator="containsText" text="Pesquisa de Preços">
      <formula>NOT(ISERROR(SEARCH("Pesquisa de Preços",D9205)))</formula>
    </cfRule>
  </conditionalFormatting>
  <conditionalFormatting sqref="D9191 D9196">
    <cfRule type="containsText" dxfId="660" priority="863" operator="containsText" text="Pesquisa de Preços">
      <formula>NOT(ISERROR(SEARCH("Pesquisa de Preços",D9191)))</formula>
    </cfRule>
  </conditionalFormatting>
  <conditionalFormatting sqref="D9262">
    <cfRule type="containsText" dxfId="659" priority="665" operator="containsText" text="Pesquisa de Preços">
      <formula>NOT(ISERROR(SEARCH("Pesquisa de Preços",D9262)))</formula>
    </cfRule>
  </conditionalFormatting>
  <conditionalFormatting sqref="E9260">
    <cfRule type="containsText" dxfId="658" priority="669" operator="containsText" text="Pesquisa de Preços">
      <formula>NOT(ISERROR(SEARCH("Pesquisa de Preços",E9260)))</formula>
    </cfRule>
  </conditionalFormatting>
  <conditionalFormatting sqref="E9262">
    <cfRule type="containsText" dxfId="657" priority="668" operator="containsText" text="Pesquisa de Preços">
      <formula>NOT(ISERROR(SEARCH("Pesquisa de Preços",E9262)))</formula>
    </cfRule>
  </conditionalFormatting>
  <conditionalFormatting sqref="D9195 D9192">
    <cfRule type="containsText" dxfId="654" priority="856" operator="containsText" text="Pesquisa de Preços">
      <formula>NOT(ISERROR(SEARCH("Pesquisa de Preços",D9192)))</formula>
    </cfRule>
  </conditionalFormatting>
  <conditionalFormatting sqref="D9193">
    <cfRule type="containsText" dxfId="653" priority="854" operator="containsText" text="Pesquisa de Preços">
      <formula>NOT(ISERROR(SEARCH("Pesquisa de Preços",D9193)))</formula>
    </cfRule>
  </conditionalFormatting>
  <conditionalFormatting sqref="E9191:E9192 E9195">
    <cfRule type="containsText" dxfId="652" priority="849" operator="containsText" text="Pesquisa de Preços">
      <formula>NOT(ISERROR(SEARCH("Pesquisa de Preços",E9191)))</formula>
    </cfRule>
  </conditionalFormatting>
  <conditionalFormatting sqref="E9193">
    <cfRule type="containsText" dxfId="651" priority="846" operator="containsText" text="Pesquisa de Preços">
      <formula>NOT(ISERROR(SEARCH("Pesquisa de Preços",E9193)))</formula>
    </cfRule>
  </conditionalFormatting>
  <conditionalFormatting sqref="E9190">
    <cfRule type="containsText" dxfId="650" priority="848" operator="containsText" text="Pesquisa de Preços">
      <formula>NOT(ISERROR(SEARCH("Pesquisa de Preços",E9190)))</formula>
    </cfRule>
  </conditionalFormatting>
  <conditionalFormatting sqref="E9194">
    <cfRule type="containsText" dxfId="649" priority="847" operator="containsText" text="Pesquisa de Preços">
      <formula>NOT(ISERROR(SEARCH("Pesquisa de Preços",E9194)))</formula>
    </cfRule>
  </conditionalFormatting>
  <conditionalFormatting sqref="E9257">
    <cfRule type="containsText" dxfId="648" priority="763" operator="containsText" text="Pesquisa de Preços">
      <formula>NOT(ISERROR(SEARCH("Pesquisa de Preços",E9257)))</formula>
    </cfRule>
  </conditionalFormatting>
  <conditionalFormatting sqref="D9202:D9204">
    <cfRule type="containsText" dxfId="647" priority="843" operator="containsText" text="Pesquisa de Preços">
      <formula>NOT(ISERROR(SEARCH("Pesquisa de Preços",D9202)))</formula>
    </cfRule>
  </conditionalFormatting>
  <conditionalFormatting sqref="E9202:E9204">
    <cfRule type="containsText" dxfId="646" priority="842" operator="containsText" text="Pesquisa de Preços">
      <formula>NOT(ISERROR(SEARCH("Pesquisa de Preços",E9202)))</formula>
    </cfRule>
  </conditionalFormatting>
  <conditionalFormatting sqref="D9227">
    <cfRule type="containsText" dxfId="643" priority="815" operator="containsText" text="Pesquisa de Preços">
      <formula>NOT(ISERROR(SEARCH("Pesquisa de Preços",D9227)))</formula>
    </cfRule>
  </conditionalFormatting>
  <conditionalFormatting sqref="D9248">
    <cfRule type="containsText" dxfId="642" priority="774" operator="containsText" text="Pesquisa de Preços">
      <formula>NOT(ISERROR(SEARCH("Pesquisa de Preços",D9248)))</formula>
    </cfRule>
  </conditionalFormatting>
  <conditionalFormatting sqref="D9210:D9212">
    <cfRule type="containsText" dxfId="641" priority="836" operator="containsText" text="Pesquisa de Preços">
      <formula>NOT(ISERROR(SEARCH("Pesquisa de Preços",D9210)))</formula>
    </cfRule>
  </conditionalFormatting>
  <conditionalFormatting sqref="E9210:E9212">
    <cfRule type="containsText" dxfId="640" priority="835" operator="containsText" text="Pesquisa de Preços">
      <formula>NOT(ISERROR(SEARCH("Pesquisa de Preços",E9210)))</formula>
    </cfRule>
  </conditionalFormatting>
  <conditionalFormatting sqref="D9208:D9209">
    <cfRule type="containsText" dxfId="637" priority="832" operator="containsText" text="Pesquisa de Preços">
      <formula>NOT(ISERROR(SEARCH("Pesquisa de Preços",D9208)))</formula>
    </cfRule>
  </conditionalFormatting>
  <conditionalFormatting sqref="E9223">
    <cfRule type="containsText" dxfId="636" priority="791" operator="containsText" text="Pesquisa de Preços">
      <formula>NOT(ISERROR(SEARCH("Pesquisa de Preços",E9223)))</formula>
    </cfRule>
  </conditionalFormatting>
  <conditionalFormatting sqref="D9213">
    <cfRule type="containsText" dxfId="635" priority="830" operator="containsText" text="Pesquisa de Preços">
      <formula>NOT(ISERROR(SEARCH("Pesquisa de Preços",D9213)))</formula>
    </cfRule>
  </conditionalFormatting>
  <conditionalFormatting sqref="D9214 D9220">
    <cfRule type="containsText" dxfId="634" priority="829" operator="containsText" text="Pesquisa de Preços">
      <formula>NOT(ISERROR(SEARCH("Pesquisa de Preços",D9214)))</formula>
    </cfRule>
  </conditionalFormatting>
  <conditionalFormatting sqref="D9219">
    <cfRule type="containsText" dxfId="633" priority="828" operator="containsText" text="Pesquisa de Preços">
      <formula>NOT(ISERROR(SEARCH("Pesquisa de Preços",D9219)))</formula>
    </cfRule>
  </conditionalFormatting>
  <conditionalFormatting sqref="D9235">
    <cfRule type="containsText" dxfId="632" priority="802" operator="containsText" text="Pesquisa de Preços">
      <formula>NOT(ISERROR(SEARCH("Pesquisa de Preços",D9235)))</formula>
    </cfRule>
  </conditionalFormatting>
  <conditionalFormatting sqref="E9214 E9220">
    <cfRule type="containsText" dxfId="631" priority="827" operator="containsText" text="Pesquisa de Preços">
      <formula>NOT(ISERROR(SEARCH("Pesquisa de Preços",E9214)))</formula>
    </cfRule>
  </conditionalFormatting>
  <conditionalFormatting sqref="E9219">
    <cfRule type="containsText" dxfId="630" priority="825" operator="containsText" text="Pesquisa de Preços">
      <formula>NOT(ISERROR(SEARCH("Pesquisa de Preços",E9219)))</formula>
    </cfRule>
  </conditionalFormatting>
  <conditionalFormatting sqref="E9215">
    <cfRule type="containsText" dxfId="627" priority="822" operator="containsText" text="Pesquisa de Preços">
      <formula>NOT(ISERROR(SEARCH("Pesquisa de Preços",E9215)))</formula>
    </cfRule>
  </conditionalFormatting>
  <conditionalFormatting sqref="E9285">
    <cfRule type="containsText" dxfId="626" priority="707" operator="containsText" text="Pesquisa de Preços">
      <formula>NOT(ISERROR(SEARCH("Pesquisa de Preços",E9285)))</formula>
    </cfRule>
  </conditionalFormatting>
  <conditionalFormatting sqref="E9217">
    <cfRule type="containsText" dxfId="625" priority="820" operator="containsText" text="Pesquisa de Preços">
      <formula>NOT(ISERROR(SEARCH("Pesquisa de Preços",E9217)))</formula>
    </cfRule>
  </conditionalFormatting>
  <conditionalFormatting sqref="D9215:D9217">
    <cfRule type="containsText" dxfId="624" priority="819" operator="containsText" text="Pesquisa de Preços">
      <formula>NOT(ISERROR(SEARCH("Pesquisa de Preços",D9215)))</formula>
    </cfRule>
  </conditionalFormatting>
  <conditionalFormatting sqref="D9242 D9239:D9240">
    <cfRule type="containsText" dxfId="623" priority="778" operator="containsText" text="Pesquisa de Preços">
      <formula>NOT(ISERROR(SEARCH("Pesquisa de Preços",D9239)))</formula>
    </cfRule>
  </conditionalFormatting>
  <conditionalFormatting sqref="D9221">
    <cfRule type="containsText" dxfId="622" priority="817" operator="containsText" text="Pesquisa de Preços">
      <formula>NOT(ISERROR(SEARCH("Pesquisa de Preços",D9221)))</formula>
    </cfRule>
  </conditionalFormatting>
  <conditionalFormatting sqref="D9222 D9228">
    <cfRule type="containsText" dxfId="621" priority="816" operator="containsText" text="Pesquisa de Preços">
      <formula>NOT(ISERROR(SEARCH("Pesquisa de Preços",D9222)))</formula>
    </cfRule>
  </conditionalFormatting>
  <conditionalFormatting sqref="E9221">
    <cfRule type="containsText" dxfId="620" priority="813" operator="containsText" text="Pesquisa de Preços">
      <formula>NOT(ISERROR(SEARCH("Pesquisa de Preços",E9221)))</formula>
    </cfRule>
  </conditionalFormatting>
  <conditionalFormatting sqref="E9222 E9228">
    <cfRule type="containsText" dxfId="619" priority="814" operator="containsText" text="Pesquisa de Preços">
      <formula>NOT(ISERROR(SEARCH("Pesquisa de Preços",E9222)))</formula>
    </cfRule>
  </conditionalFormatting>
  <conditionalFormatting sqref="E9227">
    <cfRule type="containsText" dxfId="618" priority="812" operator="containsText" text="Pesquisa de Preços">
      <formula>NOT(ISERROR(SEARCH("Pesquisa de Preços",E9227)))</formula>
    </cfRule>
  </conditionalFormatting>
  <conditionalFormatting sqref="D9344 D9359">
    <cfRule type="containsText" dxfId="615" priority="614" operator="containsText" text="Pesquisa de Preços">
      <formula>NOT(ISERROR(SEARCH("Pesquisa de Preços",D9344)))</formula>
    </cfRule>
  </conditionalFormatting>
  <conditionalFormatting sqref="D9277 D9274:D9275">
    <cfRule type="containsText" dxfId="614" priority="694" operator="containsText" text="Pesquisa de Preços">
      <formula>NOT(ISERROR(SEARCH("Pesquisa de Preços",D9274)))</formula>
    </cfRule>
  </conditionalFormatting>
  <conditionalFormatting sqref="D9223:D9225">
    <cfRule type="containsText" dxfId="613" priority="806" operator="containsText" text="Pesquisa de Preços">
      <formula>NOT(ISERROR(SEARCH("Pesquisa de Preços",D9223)))</formula>
    </cfRule>
  </conditionalFormatting>
  <conditionalFormatting sqref="D9252 D9257">
    <cfRule type="containsText" dxfId="612" priority="765" operator="containsText" text="Pesquisa de Preços">
      <formula>NOT(ISERROR(SEARCH("Pesquisa de Preços",D9252)))</formula>
    </cfRule>
  </conditionalFormatting>
  <conditionalFormatting sqref="D9229">
    <cfRule type="containsText" dxfId="611" priority="804" operator="containsText" text="Pesquisa de Preços">
      <formula>NOT(ISERROR(SEARCH("Pesquisa de Preços",D9229)))</formula>
    </cfRule>
  </conditionalFormatting>
  <conditionalFormatting sqref="D9230 D9236">
    <cfRule type="containsText" dxfId="610" priority="803" operator="containsText" text="Pesquisa de Preços">
      <formula>NOT(ISERROR(SEARCH("Pesquisa de Preços",D9230)))</formula>
    </cfRule>
  </conditionalFormatting>
  <conditionalFormatting sqref="D9241">
    <cfRule type="containsText" dxfId="609" priority="784" operator="containsText" text="Pesquisa de Preços">
      <formula>NOT(ISERROR(SEARCH("Pesquisa de Preços",D9241)))</formula>
    </cfRule>
  </conditionalFormatting>
  <conditionalFormatting sqref="E9229">
    <cfRule type="containsText" dxfId="608" priority="800" operator="containsText" text="Pesquisa de Preços">
      <formula>NOT(ISERROR(SEARCH("Pesquisa de Preços",E9229)))</formula>
    </cfRule>
  </conditionalFormatting>
  <conditionalFormatting sqref="E9230 E9236">
    <cfRule type="containsText" dxfId="607" priority="801" operator="containsText" text="Pesquisa de Preços">
      <formula>NOT(ISERROR(SEARCH("Pesquisa de Preços",E9230)))</formula>
    </cfRule>
  </conditionalFormatting>
  <conditionalFormatting sqref="E9235">
    <cfRule type="containsText" dxfId="606" priority="799" operator="containsText" text="Pesquisa de Preços">
      <formula>NOT(ISERROR(SEARCH("Pesquisa de Preços",E9235)))</formula>
    </cfRule>
  </conditionalFormatting>
  <conditionalFormatting sqref="E9231">
    <cfRule type="containsText" dxfId="603" priority="796" operator="containsText" text="Pesquisa de Preços">
      <formula>NOT(ISERROR(SEARCH("Pesquisa de Preços",E9231)))</formula>
    </cfRule>
  </conditionalFormatting>
  <conditionalFormatting sqref="E9233">
    <cfRule type="containsText" dxfId="602" priority="794" operator="containsText" text="Pesquisa de Preços">
      <formula>NOT(ISERROR(SEARCH("Pesquisa de Preços",E9233)))</formula>
    </cfRule>
  </conditionalFormatting>
  <conditionalFormatting sqref="D9231:D9233">
    <cfRule type="containsText" dxfId="601" priority="793" operator="containsText" text="Pesquisa de Preços">
      <formula>NOT(ISERROR(SEARCH("Pesquisa de Preços",D9231)))</formula>
    </cfRule>
  </conditionalFormatting>
  <conditionalFormatting sqref="E9216">
    <cfRule type="containsText" dxfId="600" priority="792" operator="containsText" text="Pesquisa de Preços">
      <formula>NOT(ISERROR(SEARCH("Pesquisa de Preços",E9216)))</formula>
    </cfRule>
  </conditionalFormatting>
  <conditionalFormatting sqref="E9246">
    <cfRule type="containsText" dxfId="599" priority="749" operator="containsText" text="Pesquisa de Preços">
      <formula>NOT(ISERROR(SEARCH("Pesquisa de Preços",E9246)))</formula>
    </cfRule>
  </conditionalFormatting>
  <conditionalFormatting sqref="E9225">
    <cfRule type="containsText" dxfId="598" priority="790" operator="containsText" text="Pesquisa de Preços">
      <formula>NOT(ISERROR(SEARCH("Pesquisa de Preços",E9225)))</formula>
    </cfRule>
  </conditionalFormatting>
  <conditionalFormatting sqref="E9224">
    <cfRule type="containsText" dxfId="597" priority="789" operator="containsText" text="Pesquisa de Preços">
      <formula>NOT(ISERROR(SEARCH("Pesquisa de Preços",E9224)))</formula>
    </cfRule>
  </conditionalFormatting>
  <conditionalFormatting sqref="E9232">
    <cfRule type="containsText" dxfId="596" priority="788" operator="containsText" text="Pesquisa de Preços">
      <formula>NOT(ISERROR(SEARCH("Pesquisa de Preços",E9232)))</formula>
    </cfRule>
  </conditionalFormatting>
  <conditionalFormatting sqref="E9247">
    <cfRule type="containsText" dxfId="595" priority="747" operator="containsText" text="Pesquisa de Preços">
      <formula>NOT(ISERROR(SEARCH("Pesquisa de Preços",E9247)))</formula>
    </cfRule>
  </conditionalFormatting>
  <conditionalFormatting sqref="D9237">
    <cfRule type="containsText" dxfId="594" priority="786" operator="containsText" text="Pesquisa de Preços">
      <formula>NOT(ISERROR(SEARCH("Pesquisa de Preços",D9237)))</formula>
    </cfRule>
  </conditionalFormatting>
  <conditionalFormatting sqref="D9238 D9243">
    <cfRule type="containsText" dxfId="593" priority="785" operator="containsText" text="Pesquisa de Preços">
      <formula>NOT(ISERROR(SEARCH("Pesquisa de Preços",D9238)))</formula>
    </cfRule>
  </conditionalFormatting>
  <conditionalFormatting sqref="E9280">
    <cfRule type="containsText" dxfId="592" priority="703" operator="containsText" text="Pesquisa de Preços">
      <formula>NOT(ISERROR(SEARCH("Pesquisa de Preços",E9280)))</formula>
    </cfRule>
  </conditionalFormatting>
  <conditionalFormatting sqref="E9243">
    <cfRule type="containsText" dxfId="591" priority="783" operator="containsText" text="Pesquisa de Preços">
      <formula>NOT(ISERROR(SEARCH("Pesquisa de Preços",E9243)))</formula>
    </cfRule>
  </conditionalFormatting>
  <conditionalFormatting sqref="E9279">
    <cfRule type="containsText" dxfId="590" priority="702" operator="containsText" text="Pesquisa de Preços">
      <formula>NOT(ISERROR(SEARCH("Pesquisa de Preços",E9279)))</formula>
    </cfRule>
  </conditionalFormatting>
  <conditionalFormatting sqref="E9241">
    <cfRule type="containsText" dxfId="587" priority="754" operator="containsText" text="Pesquisa de Preços">
      <formula>NOT(ISERROR(SEARCH("Pesquisa de Preços",E9241)))</formula>
    </cfRule>
  </conditionalFormatting>
  <conditionalFormatting sqref="D9266 D9271">
    <cfRule type="containsText" dxfId="586" priority="737" operator="containsText" text="Pesquisa de Preços">
      <formula>NOT(ISERROR(SEARCH("Pesquisa de Preços",D9266)))</formula>
    </cfRule>
  </conditionalFormatting>
  <conditionalFormatting sqref="D9244">
    <cfRule type="containsText" dxfId="585" priority="776" operator="containsText" text="Pesquisa de Preços">
      <formula>NOT(ISERROR(SEARCH("Pesquisa de Preços",D9244)))</formula>
    </cfRule>
  </conditionalFormatting>
  <conditionalFormatting sqref="D9245 D9250">
    <cfRule type="containsText" dxfId="584" priority="775" operator="containsText" text="Pesquisa de Preços">
      <formula>NOT(ISERROR(SEARCH("Pesquisa de Preços",D9245)))</formula>
    </cfRule>
  </conditionalFormatting>
  <conditionalFormatting sqref="E9237">
    <cfRule type="containsText" dxfId="583" priority="756" operator="containsText" text="Pesquisa de Preços">
      <formula>NOT(ISERROR(SEARCH("Pesquisa de Preços",E9237)))</formula>
    </cfRule>
  </conditionalFormatting>
  <conditionalFormatting sqref="E9250">
    <cfRule type="containsText" dxfId="582" priority="773" operator="containsText" text="Pesquisa de Preços">
      <formula>NOT(ISERROR(SEARCH("Pesquisa de Preços",E9250)))</formula>
    </cfRule>
  </conditionalFormatting>
  <conditionalFormatting sqref="D9249 D9246:D9247">
    <cfRule type="containsText" dxfId="579" priority="768" operator="containsText" text="Pesquisa de Preços">
      <formula>NOT(ISERROR(SEARCH("Pesquisa de Preços",D9246)))</formula>
    </cfRule>
  </conditionalFormatting>
  <conditionalFormatting sqref="E9268">
    <cfRule type="containsText" dxfId="578" priority="727" operator="containsText" text="Pesquisa de Preços">
      <formula>NOT(ISERROR(SEARCH("Pesquisa de Preços",E9268)))</formula>
    </cfRule>
  </conditionalFormatting>
  <conditionalFormatting sqref="D9251">
    <cfRule type="containsText" dxfId="577" priority="766" operator="containsText" text="Pesquisa de Preços">
      <formula>NOT(ISERROR(SEARCH("Pesquisa de Preços",D9251)))</formula>
    </cfRule>
  </conditionalFormatting>
  <conditionalFormatting sqref="E9254">
    <cfRule type="containsText" dxfId="576" priority="741" operator="containsText" text="Pesquisa de Preços">
      <formula>NOT(ISERROR(SEARCH("Pesquisa de Preços",E9254)))</formula>
    </cfRule>
  </conditionalFormatting>
  <conditionalFormatting sqref="D9255">
    <cfRule type="containsText" dxfId="575" priority="764" operator="containsText" text="Pesquisa de Preços">
      <formula>NOT(ISERROR(SEARCH("Pesquisa de Preços",D9255)))</formula>
    </cfRule>
  </conditionalFormatting>
  <conditionalFormatting sqref="D9258">
    <cfRule type="containsText" dxfId="574" priority="677" operator="containsText" text="Pesquisa de Preços">
      <formula>NOT(ISERROR(SEARCH("Pesquisa de Preços",D9258)))</formula>
    </cfRule>
  </conditionalFormatting>
  <conditionalFormatting sqref="D9256 D9253:D9254">
    <cfRule type="containsText" dxfId="571" priority="758" operator="containsText" text="Pesquisa de Preços">
      <formula>NOT(ISERROR(SEARCH("Pesquisa de Preços",D9253)))</formula>
    </cfRule>
  </conditionalFormatting>
  <conditionalFormatting sqref="E9238">
    <cfRule type="containsText" dxfId="570" priority="757" operator="containsText" text="Pesquisa de Preços">
      <formula>NOT(ISERROR(SEARCH("Pesquisa de Preços",E9238)))</formula>
    </cfRule>
  </conditionalFormatting>
  <conditionalFormatting sqref="E9239">
    <cfRule type="containsText" dxfId="569" priority="755" operator="containsText" text="Pesquisa de Preços">
      <formula>NOT(ISERROR(SEARCH("Pesquisa de Preços",E9239)))</formula>
    </cfRule>
  </conditionalFormatting>
  <conditionalFormatting sqref="E9240">
    <cfRule type="containsText" dxfId="568" priority="753" operator="containsText" text="Pesquisa de Preços">
      <formula>NOT(ISERROR(SEARCH("Pesquisa de Preços",E9240)))</formula>
    </cfRule>
  </conditionalFormatting>
  <conditionalFormatting sqref="E9242">
    <cfRule type="containsText" dxfId="567" priority="752" operator="containsText" text="Pesquisa de Preços">
      <formula>NOT(ISERROR(SEARCH("Pesquisa de Preços",E9242)))</formula>
    </cfRule>
  </conditionalFormatting>
  <conditionalFormatting sqref="E9244">
    <cfRule type="containsText" dxfId="566" priority="750" operator="containsText" text="Pesquisa de Preços">
      <formula>NOT(ISERROR(SEARCH("Pesquisa de Preços",E9244)))</formula>
    </cfRule>
  </conditionalFormatting>
  <conditionalFormatting sqref="E9245">
    <cfRule type="containsText" dxfId="565" priority="751" operator="containsText" text="Pesquisa de Preços">
      <formula>NOT(ISERROR(SEARCH("Pesquisa de Preços",E9245)))</formula>
    </cfRule>
  </conditionalFormatting>
  <conditionalFormatting sqref="E9248">
    <cfRule type="containsText" dxfId="564" priority="748" operator="containsText" text="Pesquisa de Preços">
      <formula>NOT(ISERROR(SEARCH("Pesquisa de Preços",E9248)))</formula>
    </cfRule>
  </conditionalFormatting>
  <conditionalFormatting sqref="D9273 D9278">
    <cfRule type="containsText" dxfId="563" priority="723" operator="containsText" text="Pesquisa de Preços">
      <formula>NOT(ISERROR(SEARCH("Pesquisa de Preços",D9273)))</formula>
    </cfRule>
  </conditionalFormatting>
  <conditionalFormatting sqref="E9249">
    <cfRule type="containsText" dxfId="562" priority="746" operator="containsText" text="Pesquisa de Preços">
      <formula>NOT(ISERROR(SEARCH("Pesquisa de Preços",E9249)))</formula>
    </cfRule>
  </conditionalFormatting>
  <conditionalFormatting sqref="E9251">
    <cfRule type="containsText" dxfId="561" priority="744" operator="containsText" text="Pesquisa de Preços">
      <formula>NOT(ISERROR(SEARCH("Pesquisa de Preços",E9251)))</formula>
    </cfRule>
  </conditionalFormatting>
  <conditionalFormatting sqref="E9252">
    <cfRule type="containsText" dxfId="560" priority="745" operator="containsText" text="Pesquisa de Preços">
      <formula>NOT(ISERROR(SEARCH("Pesquisa de Preços",E9252)))</formula>
    </cfRule>
  </conditionalFormatting>
  <conditionalFormatting sqref="E9253">
    <cfRule type="containsText" dxfId="559" priority="743" operator="containsText" text="Pesquisa de Preços">
      <formula>NOT(ISERROR(SEARCH("Pesquisa de Preços",E9253)))</formula>
    </cfRule>
  </conditionalFormatting>
  <conditionalFormatting sqref="E9255">
    <cfRule type="containsText" dxfId="558" priority="742" operator="containsText" text="Pesquisa de Preços">
      <formula>NOT(ISERROR(SEARCH("Pesquisa de Preços",E9255)))</formula>
    </cfRule>
  </conditionalFormatting>
  <conditionalFormatting sqref="E9256">
    <cfRule type="containsText" dxfId="557" priority="740" operator="containsText" text="Pesquisa de Preços">
      <formula>NOT(ISERROR(SEARCH("Pesquisa de Preços",E9256)))</formula>
    </cfRule>
  </conditionalFormatting>
  <conditionalFormatting sqref="E9264">
    <cfRule type="containsText" dxfId="556" priority="675" operator="containsText" text="Pesquisa de Preços">
      <formula>NOT(ISERROR(SEARCH("Pesquisa de Preços",E9264)))</formula>
    </cfRule>
  </conditionalFormatting>
  <conditionalFormatting sqref="D9265">
    <cfRule type="containsText" dxfId="555" priority="738" operator="containsText" text="Pesquisa de Preços">
      <formula>NOT(ISERROR(SEARCH("Pesquisa de Preços",D9265)))</formula>
    </cfRule>
  </conditionalFormatting>
  <conditionalFormatting sqref="E9273">
    <cfRule type="containsText" dxfId="554" priority="717" operator="containsText" text="Pesquisa de Preços">
      <formula>NOT(ISERROR(SEARCH("Pesquisa de Preços",E9273)))</formula>
    </cfRule>
  </conditionalFormatting>
  <conditionalFormatting sqref="E9271">
    <cfRule type="containsText" dxfId="553" priority="735" operator="containsText" text="Pesquisa de Preços">
      <formula>NOT(ISERROR(SEARCH("Pesquisa de Preços",E9271)))</formula>
    </cfRule>
  </conditionalFormatting>
  <conditionalFormatting sqref="D9270 D9267:D9268">
    <cfRule type="containsText" dxfId="550" priority="732" operator="containsText" text="Pesquisa de Preços">
      <formula>NOT(ISERROR(SEARCH("Pesquisa de Preços",D9267)))</formula>
    </cfRule>
  </conditionalFormatting>
  <conditionalFormatting sqref="E9265">
    <cfRule type="containsText" dxfId="549" priority="730" operator="containsText" text="Pesquisa de Preços">
      <formula>NOT(ISERROR(SEARCH("Pesquisa de Preços",E9265)))</formula>
    </cfRule>
  </conditionalFormatting>
  <conditionalFormatting sqref="E9266">
    <cfRule type="containsText" dxfId="548" priority="731" operator="containsText" text="Pesquisa de Preços">
      <formula>NOT(ISERROR(SEARCH("Pesquisa de Preços",E9266)))</formula>
    </cfRule>
  </conditionalFormatting>
  <conditionalFormatting sqref="E9267">
    <cfRule type="containsText" dxfId="547" priority="729" operator="containsText" text="Pesquisa de Preços">
      <formula>NOT(ISERROR(SEARCH("Pesquisa de Preços",E9267)))</formula>
    </cfRule>
  </conditionalFormatting>
  <conditionalFormatting sqref="E9269">
    <cfRule type="containsText" dxfId="546" priority="728" operator="containsText" text="Pesquisa de Preços">
      <formula>NOT(ISERROR(SEARCH("Pesquisa de Preços",E9269)))</formula>
    </cfRule>
  </conditionalFormatting>
  <conditionalFormatting sqref="E9270">
    <cfRule type="containsText" dxfId="545" priority="726" operator="containsText" text="Pesquisa de Preços">
      <formula>NOT(ISERROR(SEARCH("Pesquisa de Preços",E9270)))</formula>
    </cfRule>
  </conditionalFormatting>
  <conditionalFormatting sqref="D9316 D9321:D9322">
    <cfRule type="containsText" dxfId="544" priority="643" operator="containsText" text="Pesquisa de Preços">
      <formula>NOT(ISERROR(SEARCH("Pesquisa de Preços",D9316)))</formula>
    </cfRule>
  </conditionalFormatting>
  <conditionalFormatting sqref="D9272">
    <cfRule type="containsText" dxfId="543" priority="724" operator="containsText" text="Pesquisa de Preços">
      <formula>NOT(ISERROR(SEARCH("Pesquisa de Preços",D9272)))</formula>
    </cfRule>
  </conditionalFormatting>
  <conditionalFormatting sqref="E9278">
    <cfRule type="containsText" dxfId="542" priority="721" operator="containsText" text="Pesquisa de Preços">
      <formula>NOT(ISERROR(SEARCH("Pesquisa de Preços",E9278)))</formula>
    </cfRule>
  </conditionalFormatting>
  <conditionalFormatting sqref="E9282">
    <cfRule type="containsText" dxfId="539" priority="683" operator="containsText" text="Pesquisa de Preços">
      <formula>NOT(ISERROR(SEARCH("Pesquisa de Preços",E9282)))</formula>
    </cfRule>
  </conditionalFormatting>
  <conditionalFormatting sqref="E9272">
    <cfRule type="containsText" dxfId="538" priority="716" operator="containsText" text="Pesquisa de Preços">
      <formula>NOT(ISERROR(SEARCH("Pesquisa de Preços",E9272)))</formula>
    </cfRule>
  </conditionalFormatting>
  <conditionalFormatting sqref="D9269">
    <cfRule type="containsText" dxfId="537" priority="697" operator="containsText" text="Pesquisa de Preços">
      <formula>NOT(ISERROR(SEARCH("Pesquisa de Preços",D9269)))</formula>
    </cfRule>
  </conditionalFormatting>
  <conditionalFormatting sqref="D9293">
    <cfRule type="containsText" dxfId="536" priority="647" operator="containsText" text="Pesquisa de Preços">
      <formula>NOT(ISERROR(SEARCH("Pesquisa de Preços",D9293)))</formula>
    </cfRule>
  </conditionalFormatting>
  <conditionalFormatting sqref="D9279">
    <cfRule type="containsText" dxfId="535" priority="710" operator="containsText" text="Pesquisa de Preços">
      <formula>NOT(ISERROR(SEARCH("Pesquisa de Preços",D9279)))</formula>
    </cfRule>
  </conditionalFormatting>
  <conditionalFormatting sqref="D9280 D9285">
    <cfRule type="containsText" dxfId="534" priority="709" operator="containsText" text="Pesquisa de Preços">
      <formula>NOT(ISERROR(SEARCH("Pesquisa de Preços",D9280)))</formula>
    </cfRule>
  </conditionalFormatting>
  <conditionalFormatting sqref="D9263 D9260">
    <cfRule type="containsText" dxfId="531" priority="672" operator="containsText" text="Pesquisa de Preços">
      <formula>NOT(ISERROR(SEARCH("Pesquisa de Preços",D9260)))</formula>
    </cfRule>
  </conditionalFormatting>
  <conditionalFormatting sqref="E9274">
    <cfRule type="containsText" dxfId="528" priority="693" operator="containsText" text="Pesquisa de Preços">
      <formula>NOT(ISERROR(SEARCH("Pesquisa de Preços",E9274)))</formula>
    </cfRule>
  </conditionalFormatting>
  <conditionalFormatting sqref="E9276">
    <cfRule type="containsText" dxfId="527" priority="692" operator="containsText" text="Pesquisa de Preços">
      <formula>NOT(ISERROR(SEARCH("Pesquisa de Preços",E9276)))</formula>
    </cfRule>
  </conditionalFormatting>
  <conditionalFormatting sqref="E9283">
    <cfRule type="containsText" dxfId="524" priority="684" operator="containsText" text="Pesquisa de Preços">
      <formula>NOT(ISERROR(SEARCH("Pesquisa de Preços",E9283)))</formula>
    </cfRule>
  </conditionalFormatting>
  <conditionalFormatting sqref="D9259 D9264">
    <cfRule type="containsText" dxfId="521" priority="676" operator="containsText" text="Pesquisa de Preços">
      <formula>NOT(ISERROR(SEARCH("Pesquisa de Preços",D9259)))</formula>
    </cfRule>
  </conditionalFormatting>
  <conditionalFormatting sqref="E9261">
    <cfRule type="containsText" dxfId="518" priority="667" operator="containsText" text="Pesquisa de Preços">
      <formula>NOT(ISERROR(SEARCH("Pesquisa de Preços",E9261)))</formula>
    </cfRule>
  </conditionalFormatting>
  <conditionalFormatting sqref="E9263">
    <cfRule type="containsText" dxfId="517" priority="666" operator="containsText" text="Pesquisa de Preços">
      <formula>NOT(ISERROR(SEARCH("Pesquisa de Preços",E9263)))</formula>
    </cfRule>
  </conditionalFormatting>
  <conditionalFormatting sqref="D9286">
    <cfRule type="containsText" dxfId="510" priority="656" operator="containsText" text="Pesquisa de Preços">
      <formula>NOT(ISERROR(SEARCH("Pesquisa de Preços",D9286)))</formula>
    </cfRule>
  </conditionalFormatting>
  <conditionalFormatting sqref="D9289">
    <cfRule type="containsText" dxfId="509" priority="655" operator="containsText" text="Pesquisa de Preços">
      <formula>NOT(ISERROR(SEARCH("Pesquisa de Preços",D9289)))</formula>
    </cfRule>
  </conditionalFormatting>
  <conditionalFormatting sqref="D9288">
    <cfRule type="containsText" dxfId="508" priority="654" operator="containsText" text="Pesquisa de Preços">
      <formula>NOT(ISERROR(SEARCH("Pesquisa de Preços",D9288)))</formula>
    </cfRule>
  </conditionalFormatting>
  <conditionalFormatting sqref="D9290">
    <cfRule type="containsText" dxfId="503" priority="648" operator="containsText" text="Pesquisa de Preços">
      <formula>NOT(ISERROR(SEARCH("Pesquisa de Preços",D9290)))</formula>
    </cfRule>
  </conditionalFormatting>
  <conditionalFormatting sqref="D9336 D9333:D9334">
    <cfRule type="containsText" dxfId="502" priority="629" operator="containsText" text="Pesquisa de Preços">
      <formula>NOT(ISERROR(SEARCH("Pesquisa de Preços",D9333)))</formula>
    </cfRule>
  </conditionalFormatting>
  <conditionalFormatting sqref="D9292">
    <cfRule type="containsText" dxfId="501" priority="646" operator="containsText" text="Pesquisa de Preços">
      <formula>NOT(ISERROR(SEARCH("Pesquisa de Preços",D9292)))</formula>
    </cfRule>
  </conditionalFormatting>
  <conditionalFormatting sqref="E9331">
    <cfRule type="containsText" dxfId="500" priority="627" operator="containsText" text="Pesquisa de Preços">
      <formula>NOT(ISERROR(SEARCH("Pesquisa de Preços",E9331)))</formula>
    </cfRule>
  </conditionalFormatting>
  <conditionalFormatting sqref="D9315">
    <cfRule type="containsText" dxfId="499" priority="644" operator="containsText" text="Pesquisa de Preços">
      <formula>NOT(ISERROR(SEARCH("Pesquisa de Preços",D9315)))</formula>
    </cfRule>
  </conditionalFormatting>
  <conditionalFormatting sqref="E9316 E9321:E9322">
    <cfRule type="containsText" dxfId="498" priority="642" operator="containsText" text="Pesquisa de Preços">
      <formula>NOT(ISERROR(SEARCH("Pesquisa de Preços",E9316)))</formula>
    </cfRule>
  </conditionalFormatting>
  <conditionalFormatting sqref="E9315">
    <cfRule type="containsText" dxfId="497" priority="641" operator="containsText" text="Pesquisa de Preços">
      <formula>NOT(ISERROR(SEARCH("Pesquisa de Preços",E9315)))</formula>
    </cfRule>
  </conditionalFormatting>
  <conditionalFormatting sqref="E9317">
    <cfRule type="containsText" dxfId="496" priority="640" operator="containsText" text="Pesquisa de Preços">
      <formula>NOT(ISERROR(SEARCH("Pesquisa de Preços",E9317)))</formula>
    </cfRule>
  </conditionalFormatting>
  <conditionalFormatting sqref="E9318:E9320">
    <cfRule type="containsText" dxfId="495" priority="639" operator="containsText" text="Pesquisa de Preços">
      <formula>NOT(ISERROR(SEARCH("Pesquisa de Preços",E9318)))</formula>
    </cfRule>
  </conditionalFormatting>
  <conditionalFormatting sqref="D9317:D9320">
    <cfRule type="containsText" dxfId="492" priority="636" operator="containsText" text="Pesquisa de Preços">
      <formula>NOT(ISERROR(SEARCH("Pesquisa de Preços",D9317)))</formula>
    </cfRule>
  </conditionalFormatting>
  <conditionalFormatting sqref="E9337:E9341">
    <cfRule type="containsText" dxfId="491" priority="617" operator="containsText" text="Pesquisa de Preços">
      <formula>NOT(ISERROR(SEARCH("Pesquisa de Preços",E9337)))</formula>
    </cfRule>
  </conditionalFormatting>
  <conditionalFormatting sqref="D9331">
    <cfRule type="containsText" dxfId="490" priority="634" operator="containsText" text="Pesquisa de Preços">
      <formula>NOT(ISERROR(SEARCH("Pesquisa de Preços",D9331)))</formula>
    </cfRule>
  </conditionalFormatting>
  <conditionalFormatting sqref="D9332 D9342">
    <cfRule type="containsText" dxfId="489" priority="633" operator="containsText" text="Pesquisa de Preços">
      <formula>NOT(ISERROR(SEARCH("Pesquisa de Preços",D9332)))</formula>
    </cfRule>
  </conditionalFormatting>
  <conditionalFormatting sqref="E9342">
    <cfRule type="containsText" dxfId="488" priority="632" operator="containsText" text="Pesquisa de Preços">
      <formula>NOT(ISERROR(SEARCH("Pesquisa de Preços",E9342)))</formula>
    </cfRule>
  </conditionalFormatting>
  <conditionalFormatting sqref="E9332">
    <cfRule type="containsText" dxfId="485" priority="628" operator="containsText" text="Pesquisa de Preços">
      <formula>NOT(ISERROR(SEARCH("Pesquisa de Preços",E9332)))</formula>
    </cfRule>
  </conditionalFormatting>
  <conditionalFormatting sqref="E9333">
    <cfRule type="containsText" dxfId="484" priority="626" operator="containsText" text="Pesquisa de Preços">
      <formula>NOT(ISERROR(SEARCH("Pesquisa de Preços",E9333)))</formula>
    </cfRule>
  </conditionalFormatting>
  <conditionalFormatting sqref="E9335">
    <cfRule type="containsText" dxfId="483" priority="625" operator="containsText" text="Pesquisa de Preços">
      <formula>NOT(ISERROR(SEARCH("Pesquisa de Preços",E9335)))</formula>
    </cfRule>
  </conditionalFormatting>
  <conditionalFormatting sqref="E9334">
    <cfRule type="containsText" dxfId="482" priority="624" operator="containsText" text="Pesquisa de Preços">
      <formula>NOT(ISERROR(SEARCH("Pesquisa de Preços",E9334)))</formula>
    </cfRule>
  </conditionalFormatting>
  <conditionalFormatting sqref="E9336">
    <cfRule type="containsText" dxfId="481" priority="623" operator="containsText" text="Pesquisa de Preços">
      <formula>NOT(ISERROR(SEARCH("Pesquisa de Preços",E9336)))</formula>
    </cfRule>
  </conditionalFormatting>
  <conditionalFormatting sqref="D9335">
    <cfRule type="containsText" dxfId="480" priority="622" operator="containsText" text="Pesquisa de Preços">
      <formula>NOT(ISERROR(SEARCH("Pesquisa de Preços",D9335)))</formula>
    </cfRule>
  </conditionalFormatting>
  <conditionalFormatting sqref="D9337:D9341">
    <cfRule type="containsText" dxfId="477" priority="618" operator="containsText" text="Pesquisa de Preços">
      <formula>NOT(ISERROR(SEARCH("Pesquisa de Preços",D9337)))</formula>
    </cfRule>
  </conditionalFormatting>
  <conditionalFormatting sqref="E9349:E9353">
    <cfRule type="containsText" dxfId="476" priority="598" operator="containsText" text="Pesquisa de Preços">
      <formula>NOT(ISERROR(SEARCH("Pesquisa de Preços",E9349)))</formula>
    </cfRule>
  </conditionalFormatting>
  <conditionalFormatting sqref="D9343">
    <cfRule type="containsText" dxfId="475" priority="615" operator="containsText" text="Pesquisa de Preços">
      <formula>NOT(ISERROR(SEARCH("Pesquisa de Preços",D9343)))</formula>
    </cfRule>
  </conditionalFormatting>
  <conditionalFormatting sqref="E9359">
    <cfRule type="containsText" dxfId="474" priority="613" operator="containsText" text="Pesquisa de Preços">
      <formula>NOT(ISERROR(SEARCH("Pesquisa de Preços",E9359)))</formula>
    </cfRule>
  </conditionalFormatting>
  <conditionalFormatting sqref="E9343">
    <cfRule type="containsText" dxfId="471" priority="608" operator="containsText" text="Pesquisa de Preços">
      <formula>NOT(ISERROR(SEARCH("Pesquisa de Preços",E9343)))</formula>
    </cfRule>
  </conditionalFormatting>
  <conditionalFormatting sqref="E9344">
    <cfRule type="containsText" dxfId="470" priority="609" operator="containsText" text="Pesquisa de Preços">
      <formula>NOT(ISERROR(SEARCH("Pesquisa de Preços",E9344)))</formula>
    </cfRule>
  </conditionalFormatting>
  <conditionalFormatting sqref="E9345">
    <cfRule type="containsText" dxfId="469" priority="607" operator="containsText" text="Pesquisa de Preços">
      <formula>NOT(ISERROR(SEARCH("Pesquisa de Preços",E9345)))</formula>
    </cfRule>
  </conditionalFormatting>
  <conditionalFormatting sqref="E9347">
    <cfRule type="containsText" dxfId="468" priority="606" operator="containsText" text="Pesquisa de Preços">
      <formula>NOT(ISERROR(SEARCH("Pesquisa de Preços",E9347)))</formula>
    </cfRule>
  </conditionalFormatting>
  <conditionalFormatting sqref="E9346">
    <cfRule type="containsText" dxfId="467" priority="605" operator="containsText" text="Pesquisa de Preços">
      <formula>NOT(ISERROR(SEARCH("Pesquisa de Preços",E9346)))</formula>
    </cfRule>
  </conditionalFormatting>
  <conditionalFormatting sqref="E9348">
    <cfRule type="containsText" dxfId="466" priority="604" operator="containsText" text="Pesquisa de Preços">
      <formula>NOT(ISERROR(SEARCH("Pesquisa de Preços",E9348)))</formula>
    </cfRule>
  </conditionalFormatting>
  <conditionalFormatting sqref="E9362">
    <cfRule type="containsText" dxfId="465" priority="584" operator="containsText" text="Pesquisa de Preços">
      <formula>NOT(ISERROR(SEARCH("Pesquisa de Preços",E9362)))</formula>
    </cfRule>
  </conditionalFormatting>
  <conditionalFormatting sqref="E9354:E9358">
    <cfRule type="containsText" dxfId="460" priority="593" operator="containsText" text="Pesquisa de Preços">
      <formula>NOT(ISERROR(SEARCH("Pesquisa de Preços",E9354)))</formula>
    </cfRule>
  </conditionalFormatting>
  <conditionalFormatting sqref="D9360">
    <cfRule type="containsText" dxfId="457" priority="588" operator="containsText" text="Pesquisa de Preços">
      <formula>NOT(ISERROR(SEARCH("Pesquisa de Preços",D9360)))</formula>
    </cfRule>
  </conditionalFormatting>
  <conditionalFormatting sqref="D9361 D9368">
    <cfRule type="containsText" dxfId="456" priority="587" operator="containsText" text="Pesquisa de Preços">
      <formula>NOT(ISERROR(SEARCH("Pesquisa de Preços",D9361)))</formula>
    </cfRule>
  </conditionalFormatting>
  <conditionalFormatting sqref="E9361 E9368">
    <cfRule type="containsText" dxfId="455" priority="586" operator="containsText" text="Pesquisa de Preços">
      <formula>NOT(ISERROR(SEARCH("Pesquisa de Preços",E9361)))</formula>
    </cfRule>
  </conditionalFormatting>
  <conditionalFormatting sqref="E9360">
    <cfRule type="containsText" dxfId="454" priority="585" operator="containsText" text="Pesquisa de Preços">
      <formula>NOT(ISERROR(SEARCH("Pesquisa de Preços",E9360)))</formula>
    </cfRule>
  </conditionalFormatting>
  <conditionalFormatting sqref="E9363:E9365">
    <cfRule type="containsText" dxfId="453" priority="583" operator="containsText" text="Pesquisa de Preços">
      <formula>NOT(ISERROR(SEARCH("Pesquisa de Preços",E9363)))</formula>
    </cfRule>
  </conditionalFormatting>
  <conditionalFormatting sqref="E9422">
    <cfRule type="containsText" dxfId="450" priority="561" operator="containsText" text="Pesquisa de Preços">
      <formula>NOT(ISERROR(SEARCH("Pesquisa de Preços",E9422)))</formula>
    </cfRule>
  </conditionalFormatting>
  <conditionalFormatting sqref="D9367">
    <cfRule type="containsText" dxfId="449" priority="578" operator="containsText" text="Pesquisa de Preços">
      <formula>NOT(ISERROR(SEARCH("Pesquisa de Preços",D9367)))</formula>
    </cfRule>
  </conditionalFormatting>
  <conditionalFormatting sqref="E9367">
    <cfRule type="containsText" dxfId="448" priority="577" operator="containsText" text="Pesquisa de Preços">
      <formula>NOT(ISERROR(SEARCH("Pesquisa de Preços",E9367)))</formula>
    </cfRule>
  </conditionalFormatting>
  <conditionalFormatting sqref="E9366">
    <cfRule type="containsText" dxfId="445" priority="574" operator="containsText" text="Pesquisa de Preços">
      <formula>NOT(ISERROR(SEARCH("Pesquisa de Preços",E9366)))</formula>
    </cfRule>
  </conditionalFormatting>
  <conditionalFormatting sqref="D9345:D9358">
    <cfRule type="containsText" dxfId="442" priority="570" operator="containsText" text="Pesquisa de Preços">
      <formula>NOT(ISERROR(SEARCH("Pesquisa de Preços",D9345)))</formula>
    </cfRule>
  </conditionalFormatting>
  <conditionalFormatting sqref="D9362:D9366">
    <cfRule type="containsText" dxfId="441" priority="569" operator="containsText" text="Pesquisa de Preços">
      <formula>NOT(ISERROR(SEARCH("Pesquisa de Preços",D9362)))</formula>
    </cfRule>
  </conditionalFormatting>
  <conditionalFormatting sqref="D9426 D9423:D9424">
    <cfRule type="containsText" dxfId="440" priority="562" operator="containsText" text="Pesquisa de Preços">
      <formula>NOT(ISERROR(SEARCH("Pesquisa de Preços",D9423)))</formula>
    </cfRule>
  </conditionalFormatting>
  <conditionalFormatting sqref="E9427:E9430">
    <cfRule type="containsText" dxfId="439" priority="550" operator="containsText" text="Pesquisa de Preços">
      <formula>NOT(ISERROR(SEARCH("Pesquisa de Preços",E9427)))</formula>
    </cfRule>
  </conditionalFormatting>
  <conditionalFormatting sqref="D9421">
    <cfRule type="containsText" dxfId="438" priority="567" operator="containsText" text="Pesquisa de Preços">
      <formula>NOT(ISERROR(SEARCH("Pesquisa de Preços",D9421)))</formula>
    </cfRule>
  </conditionalFormatting>
  <conditionalFormatting sqref="D9422 D9431">
    <cfRule type="containsText" dxfId="437" priority="566" operator="containsText" text="Pesquisa de Preços">
      <formula>NOT(ISERROR(SEARCH("Pesquisa de Preços",D9422)))</formula>
    </cfRule>
  </conditionalFormatting>
  <conditionalFormatting sqref="E9431">
    <cfRule type="containsText" dxfId="436" priority="565" operator="containsText" text="Pesquisa de Preços">
      <formula>NOT(ISERROR(SEARCH("Pesquisa de Preços",E9431)))</formula>
    </cfRule>
  </conditionalFormatting>
  <conditionalFormatting sqref="E9421">
    <cfRule type="containsText" dxfId="433" priority="560" operator="containsText" text="Pesquisa de Preços">
      <formula>NOT(ISERROR(SEARCH("Pesquisa de Preços",E9421)))</formula>
    </cfRule>
  </conditionalFormatting>
  <conditionalFormatting sqref="E9423">
    <cfRule type="containsText" dxfId="432" priority="559" operator="containsText" text="Pesquisa de Preços">
      <formula>NOT(ISERROR(SEARCH("Pesquisa de Preços",E9423)))</formula>
    </cfRule>
  </conditionalFormatting>
  <conditionalFormatting sqref="E9425">
    <cfRule type="containsText" dxfId="431" priority="558" operator="containsText" text="Pesquisa de Preços">
      <formula>NOT(ISERROR(SEARCH("Pesquisa de Preços",E9425)))</formula>
    </cfRule>
  </conditionalFormatting>
  <conditionalFormatting sqref="E9424">
    <cfRule type="containsText" dxfId="430" priority="557" operator="containsText" text="Pesquisa de Preços">
      <formula>NOT(ISERROR(SEARCH("Pesquisa de Preços",E9424)))</formula>
    </cfRule>
  </conditionalFormatting>
  <conditionalFormatting sqref="E9426">
    <cfRule type="containsText" dxfId="429" priority="556" operator="containsText" text="Pesquisa de Preços">
      <formula>NOT(ISERROR(SEARCH("Pesquisa de Preços",E9426)))</formula>
    </cfRule>
  </conditionalFormatting>
  <conditionalFormatting sqref="D9425">
    <cfRule type="containsText" dxfId="428" priority="555" operator="containsText" text="Pesquisa de Preços">
      <formula>NOT(ISERROR(SEARCH("Pesquisa de Preços",D9425)))</formula>
    </cfRule>
  </conditionalFormatting>
  <conditionalFormatting sqref="E9435">
    <cfRule type="containsText" dxfId="427" priority="536" operator="containsText" text="Pesquisa de Preços">
      <formula>NOT(ISERROR(SEARCH("Pesquisa de Preços",E9435)))</formula>
    </cfRule>
  </conditionalFormatting>
  <conditionalFormatting sqref="D9427:D9430">
    <cfRule type="containsText" dxfId="424" priority="551" operator="containsText" text="Pesquisa de Preços">
      <formula>NOT(ISERROR(SEARCH("Pesquisa de Preços",D9427)))</formula>
    </cfRule>
  </conditionalFormatting>
  <conditionalFormatting sqref="D9435">
    <cfRule type="containsText" dxfId="423" priority="531" operator="containsText" text="Pesquisa de Preços">
      <formula>NOT(ISERROR(SEARCH("Pesquisa de Preços",D9435)))</formula>
    </cfRule>
  </conditionalFormatting>
  <conditionalFormatting sqref="E9437">
    <cfRule type="containsText" dxfId="422" priority="535" operator="containsText" text="Pesquisa de Preços">
      <formula>NOT(ISERROR(SEARCH("Pesquisa de Preços",E9437)))</formula>
    </cfRule>
  </conditionalFormatting>
  <conditionalFormatting sqref="D9437 D9434">
    <cfRule type="containsText" dxfId="421" priority="539" operator="containsText" text="Pesquisa de Preços">
      <formula>NOT(ISERROR(SEARCH("Pesquisa de Preços",D9434)))</formula>
    </cfRule>
  </conditionalFormatting>
  <conditionalFormatting sqref="E9434">
    <cfRule type="containsText" dxfId="420" priority="538" operator="containsText" text="Pesquisa de Preços">
      <formula>NOT(ISERROR(SEARCH("Pesquisa de Preços",E9434)))</formula>
    </cfRule>
  </conditionalFormatting>
  <conditionalFormatting sqref="D9436">
    <cfRule type="containsText" dxfId="419" priority="534" operator="containsText" text="Pesquisa de Preços">
      <formula>NOT(ISERROR(SEARCH("Pesquisa de Preços",D9436)))</formula>
    </cfRule>
  </conditionalFormatting>
  <conditionalFormatting sqref="E9438">
    <cfRule type="containsText" dxfId="418" priority="546" operator="containsText" text="Pesquisa de Preços">
      <formula>NOT(ISERROR(SEARCH("Pesquisa de Preços",E9438)))</formula>
    </cfRule>
  </conditionalFormatting>
  <conditionalFormatting sqref="E9433">
    <cfRule type="containsText" dxfId="417" priority="543" operator="containsText" text="Pesquisa de Preços">
      <formula>NOT(ISERROR(SEARCH("Pesquisa de Preços",E9433)))</formula>
    </cfRule>
  </conditionalFormatting>
  <conditionalFormatting sqref="E9432">
    <cfRule type="containsText" dxfId="416" priority="542" operator="containsText" text="Pesquisa de Preços">
      <formula>NOT(ISERROR(SEARCH("Pesquisa de Preços",E9432)))</formula>
    </cfRule>
  </conditionalFormatting>
  <conditionalFormatting sqref="D9432">
    <cfRule type="containsText" dxfId="415" priority="548" operator="containsText" text="Pesquisa de Preços">
      <formula>NOT(ISERROR(SEARCH("Pesquisa de Preços",D9432)))</formula>
    </cfRule>
  </conditionalFormatting>
  <conditionalFormatting sqref="D9433 D9438">
    <cfRule type="containsText" dxfId="414" priority="547" operator="containsText" text="Pesquisa de Preços">
      <formula>NOT(ISERROR(SEARCH("Pesquisa de Preços",D9433)))</formula>
    </cfRule>
  </conditionalFormatting>
  <conditionalFormatting sqref="E9436">
    <cfRule type="containsText" dxfId="409" priority="537" operator="containsText" text="Pesquisa de Preços">
      <formula>NOT(ISERROR(SEARCH("Pesquisa de Preços",E9436)))</formula>
    </cfRule>
  </conditionalFormatting>
  <conditionalFormatting sqref="D330">
    <cfRule type="containsText" dxfId="406" priority="473" operator="containsText" text="Pesquisa de Preços">
      <formula>NOT(ISERROR(SEARCH("Pesquisa de Preços",D330)))</formula>
    </cfRule>
  </conditionalFormatting>
  <conditionalFormatting sqref="D9442">
    <cfRule type="containsText" dxfId="405" priority="512" operator="containsText" text="Pesquisa de Preços">
      <formula>NOT(ISERROR(SEARCH("Pesquisa de Preços",D9442)))</formula>
    </cfRule>
  </conditionalFormatting>
  <conditionalFormatting sqref="E9444">
    <cfRule type="containsText" dxfId="404" priority="516" operator="containsText" text="Pesquisa de Preços">
      <formula>NOT(ISERROR(SEARCH("Pesquisa de Preços",E9444)))</formula>
    </cfRule>
  </conditionalFormatting>
  <conditionalFormatting sqref="D9444 D9441">
    <cfRule type="containsText" dxfId="403" priority="520" operator="containsText" text="Pesquisa de Preços">
      <formula>NOT(ISERROR(SEARCH("Pesquisa de Preços",D9441)))</formula>
    </cfRule>
  </conditionalFormatting>
  <conditionalFormatting sqref="E9441">
    <cfRule type="containsText" dxfId="402" priority="519" operator="containsText" text="Pesquisa de Preços">
      <formula>NOT(ISERROR(SEARCH("Pesquisa de Preços",E9441)))</formula>
    </cfRule>
  </conditionalFormatting>
  <conditionalFormatting sqref="D9443">
    <cfRule type="containsText" dxfId="401" priority="515" operator="containsText" text="Pesquisa de Preços">
      <formula>NOT(ISERROR(SEARCH("Pesquisa de Preços",D9443)))</formula>
    </cfRule>
  </conditionalFormatting>
  <conditionalFormatting sqref="E9445">
    <cfRule type="containsText" dxfId="400" priority="527" operator="containsText" text="Pesquisa de Preços">
      <formula>NOT(ISERROR(SEARCH("Pesquisa de Preços",E9445)))</formula>
    </cfRule>
  </conditionalFormatting>
  <conditionalFormatting sqref="E9440">
    <cfRule type="containsText" dxfId="399" priority="524" operator="containsText" text="Pesquisa de Preços">
      <formula>NOT(ISERROR(SEARCH("Pesquisa de Preços",E9440)))</formula>
    </cfRule>
  </conditionalFormatting>
  <conditionalFormatting sqref="E9439">
    <cfRule type="containsText" dxfId="398" priority="523" operator="containsText" text="Pesquisa de Preços">
      <formula>NOT(ISERROR(SEARCH("Pesquisa de Preços",E9439)))</formula>
    </cfRule>
  </conditionalFormatting>
  <conditionalFormatting sqref="E9442">
    <cfRule type="containsText" dxfId="397" priority="517" operator="containsText" text="Pesquisa de Preços">
      <formula>NOT(ISERROR(SEARCH("Pesquisa de Preços",E9442)))</formula>
    </cfRule>
  </conditionalFormatting>
  <conditionalFormatting sqref="D9439">
    <cfRule type="containsText" dxfId="396" priority="529" operator="containsText" text="Pesquisa de Preços">
      <formula>NOT(ISERROR(SEARCH("Pesquisa de Preços",D9439)))</formula>
    </cfRule>
  </conditionalFormatting>
  <conditionalFormatting sqref="D9440 D9445">
    <cfRule type="containsText" dxfId="395" priority="528" operator="containsText" text="Pesquisa de Preços">
      <formula>NOT(ISERROR(SEARCH("Pesquisa de Preços",D9440)))</formula>
    </cfRule>
  </conditionalFormatting>
  <conditionalFormatting sqref="E9443">
    <cfRule type="containsText" dxfId="390" priority="518" operator="containsText" text="Pesquisa de Preços">
      <formula>NOT(ISERROR(SEARCH("Pesquisa de Preços",E9443)))</formula>
    </cfRule>
  </conditionalFormatting>
  <conditionalFormatting sqref="D9449">
    <cfRule type="containsText" dxfId="387" priority="493" operator="containsText" text="Pesquisa de Preços">
      <formula>NOT(ISERROR(SEARCH("Pesquisa de Preços",D9449)))</formula>
    </cfRule>
  </conditionalFormatting>
  <conditionalFormatting sqref="E9451">
    <cfRule type="containsText" dxfId="386" priority="497" operator="containsText" text="Pesquisa de Preços">
      <formula>NOT(ISERROR(SEARCH("Pesquisa de Preços",E9451)))</formula>
    </cfRule>
  </conditionalFormatting>
  <conditionalFormatting sqref="D9451 D9448">
    <cfRule type="containsText" dxfId="385" priority="501" operator="containsText" text="Pesquisa de Preços">
      <formula>NOT(ISERROR(SEARCH("Pesquisa de Preços",D9448)))</formula>
    </cfRule>
  </conditionalFormatting>
  <conditionalFormatting sqref="E9448">
    <cfRule type="containsText" dxfId="384" priority="500" operator="containsText" text="Pesquisa de Preços">
      <formula>NOT(ISERROR(SEARCH("Pesquisa de Preços",E9448)))</formula>
    </cfRule>
  </conditionalFormatting>
  <conditionalFormatting sqref="D9450">
    <cfRule type="containsText" dxfId="383" priority="496" operator="containsText" text="Pesquisa de Preços">
      <formula>NOT(ISERROR(SEARCH("Pesquisa de Preços",D9450)))</formula>
    </cfRule>
  </conditionalFormatting>
  <conditionalFormatting sqref="E9452">
    <cfRule type="containsText" dxfId="382" priority="508" operator="containsText" text="Pesquisa de Preços">
      <formula>NOT(ISERROR(SEARCH("Pesquisa de Preços",E9452)))</formula>
    </cfRule>
  </conditionalFormatting>
  <conditionalFormatting sqref="E9447">
    <cfRule type="containsText" dxfId="381" priority="505" operator="containsText" text="Pesquisa de Preços">
      <formula>NOT(ISERROR(SEARCH("Pesquisa de Preços",E9447)))</formula>
    </cfRule>
  </conditionalFormatting>
  <conditionalFormatting sqref="E9446">
    <cfRule type="containsText" dxfId="380" priority="504" operator="containsText" text="Pesquisa de Preços">
      <formula>NOT(ISERROR(SEARCH("Pesquisa de Preços",E9446)))</formula>
    </cfRule>
  </conditionalFormatting>
  <conditionalFormatting sqref="E9449">
    <cfRule type="containsText" dxfId="379" priority="498" operator="containsText" text="Pesquisa de Preços">
      <formula>NOT(ISERROR(SEARCH("Pesquisa de Preços",E9449)))</formula>
    </cfRule>
  </conditionalFormatting>
  <conditionalFormatting sqref="D9446">
    <cfRule type="containsText" dxfId="378" priority="510" operator="containsText" text="Pesquisa de Preços">
      <formula>NOT(ISERROR(SEARCH("Pesquisa de Preços",D9446)))</formula>
    </cfRule>
  </conditionalFormatting>
  <conditionalFormatting sqref="D9447 D9452">
    <cfRule type="containsText" dxfId="377" priority="509" operator="containsText" text="Pesquisa de Preços">
      <formula>NOT(ISERROR(SEARCH("Pesquisa de Preços",D9447)))</formula>
    </cfRule>
  </conditionalFormatting>
  <conditionalFormatting sqref="E9450">
    <cfRule type="containsText" dxfId="372" priority="499" operator="containsText" text="Pesquisa de Preços">
      <formula>NOT(ISERROR(SEARCH("Pesquisa de Preços",E9450)))</formula>
    </cfRule>
  </conditionalFormatting>
  <conditionalFormatting sqref="D9456">
    <cfRule type="containsText" dxfId="369" priority="474" operator="containsText" text="Pesquisa de Preços">
      <formula>NOT(ISERROR(SEARCH("Pesquisa de Preços",D9456)))</formula>
    </cfRule>
  </conditionalFormatting>
  <conditionalFormatting sqref="E9458">
    <cfRule type="containsText" dxfId="368" priority="478" operator="containsText" text="Pesquisa de Preços">
      <formula>NOT(ISERROR(SEARCH("Pesquisa de Preços",E9458)))</formula>
    </cfRule>
  </conditionalFormatting>
  <conditionalFormatting sqref="D9458 D9455">
    <cfRule type="containsText" dxfId="367" priority="482" operator="containsText" text="Pesquisa de Preços">
      <formula>NOT(ISERROR(SEARCH("Pesquisa de Preços",D9455)))</formula>
    </cfRule>
  </conditionalFormatting>
  <conditionalFormatting sqref="E9455">
    <cfRule type="containsText" dxfId="366" priority="481" operator="containsText" text="Pesquisa de Preços">
      <formula>NOT(ISERROR(SEARCH("Pesquisa de Preços",E9455)))</formula>
    </cfRule>
  </conditionalFormatting>
  <conditionalFormatting sqref="D9457">
    <cfRule type="containsText" dxfId="365" priority="477" operator="containsText" text="Pesquisa de Preços">
      <formula>NOT(ISERROR(SEARCH("Pesquisa de Preços",D9457)))</formula>
    </cfRule>
  </conditionalFormatting>
  <conditionalFormatting sqref="E9459">
    <cfRule type="containsText" dxfId="364" priority="489" operator="containsText" text="Pesquisa de Preços">
      <formula>NOT(ISERROR(SEARCH("Pesquisa de Preços",E9459)))</formula>
    </cfRule>
  </conditionalFormatting>
  <conditionalFormatting sqref="E9454">
    <cfRule type="containsText" dxfId="363" priority="486" operator="containsText" text="Pesquisa de Preços">
      <formula>NOT(ISERROR(SEARCH("Pesquisa de Preços",E9454)))</formula>
    </cfRule>
  </conditionalFormatting>
  <conditionalFormatting sqref="E9453">
    <cfRule type="containsText" dxfId="362" priority="485" operator="containsText" text="Pesquisa de Preços">
      <formula>NOT(ISERROR(SEARCH("Pesquisa de Preços",E9453)))</formula>
    </cfRule>
  </conditionalFormatting>
  <conditionalFormatting sqref="E9456">
    <cfRule type="containsText" dxfId="361" priority="479" operator="containsText" text="Pesquisa de Preços">
      <formula>NOT(ISERROR(SEARCH("Pesquisa de Preços",E9456)))</formula>
    </cfRule>
  </conditionalFormatting>
  <conditionalFormatting sqref="D9453">
    <cfRule type="containsText" dxfId="360" priority="491" operator="containsText" text="Pesquisa de Preços">
      <formula>NOT(ISERROR(SEARCH("Pesquisa de Preços",D9453)))</formula>
    </cfRule>
  </conditionalFormatting>
  <conditionalFormatting sqref="D9454 D9459">
    <cfRule type="containsText" dxfId="359" priority="490" operator="containsText" text="Pesquisa de Preços">
      <formula>NOT(ISERROR(SEARCH("Pesquisa de Preços",D9454)))</formula>
    </cfRule>
  </conditionalFormatting>
  <conditionalFormatting sqref="E9457">
    <cfRule type="containsText" dxfId="354" priority="480" operator="containsText" text="Pesquisa de Preços">
      <formula>NOT(ISERROR(SEARCH("Pesquisa de Preços",E9457)))</formula>
    </cfRule>
  </conditionalFormatting>
  <conditionalFormatting sqref="E9326:E9329">
    <cfRule type="containsText" dxfId="351" priority="472" operator="containsText" text="Pesquisa de Preços">
      <formula>NOT(ISERROR(SEARCH("Pesquisa de Preços",E9326)))</formula>
    </cfRule>
  </conditionalFormatting>
  <conditionalFormatting sqref="D9323">
    <cfRule type="containsText" dxfId="350" priority="471" operator="containsText" text="Pesquisa de Preços">
      <formula>NOT(ISERROR(SEARCH("Pesquisa de Preços",D9323)))</formula>
    </cfRule>
  </conditionalFormatting>
  <conditionalFormatting sqref="D9324">
    <cfRule type="containsText" dxfId="349" priority="470" operator="containsText" text="Pesquisa de Preços">
      <formula>NOT(ISERROR(SEARCH("Pesquisa de Preços",D9324)))</formula>
    </cfRule>
  </conditionalFormatting>
  <conditionalFormatting sqref="E9324:E9325">
    <cfRule type="containsText" dxfId="348" priority="469" operator="containsText" text="Pesquisa de Preços">
      <formula>NOT(ISERROR(SEARCH("Pesquisa de Preços",E9324)))</formula>
    </cfRule>
  </conditionalFormatting>
  <conditionalFormatting sqref="E9323">
    <cfRule type="containsText" dxfId="347" priority="468" operator="containsText" text="Pesquisa de Preços">
      <formula>NOT(ISERROR(SEARCH("Pesquisa de Preços",E9323)))</formula>
    </cfRule>
  </conditionalFormatting>
  <conditionalFormatting sqref="D9328:D9329 D9325:D9326">
    <cfRule type="containsText" dxfId="344" priority="465" operator="containsText" text="Pesquisa de Preços">
      <formula>NOT(ISERROR(SEARCH("Pesquisa de Preços",D9325)))</formula>
    </cfRule>
  </conditionalFormatting>
  <conditionalFormatting sqref="D9327">
    <cfRule type="containsText" dxfId="343" priority="464" operator="containsText" text="Pesquisa de Preços">
      <formula>NOT(ISERROR(SEARCH("Pesquisa de Preços",D9327)))</formula>
    </cfRule>
  </conditionalFormatting>
  <conditionalFormatting sqref="D9384 D9381:D9382">
    <cfRule type="containsText" dxfId="342" priority="457" operator="containsText" text="Pesquisa de Preços">
      <formula>NOT(ISERROR(SEARCH("Pesquisa de Preços",D9381)))</formula>
    </cfRule>
  </conditionalFormatting>
  <conditionalFormatting sqref="E9385:E9389">
    <cfRule type="containsText" dxfId="341" priority="445" operator="containsText" text="Pesquisa de Preços">
      <formula>NOT(ISERROR(SEARCH("Pesquisa de Preços",E9385)))</formula>
    </cfRule>
  </conditionalFormatting>
  <conditionalFormatting sqref="D9379">
    <cfRule type="containsText" dxfId="340" priority="462" operator="containsText" text="Pesquisa de Preços">
      <formula>NOT(ISERROR(SEARCH("Pesquisa de Preços",D9379)))</formula>
    </cfRule>
  </conditionalFormatting>
  <conditionalFormatting sqref="D9380 D9390">
    <cfRule type="containsText" dxfId="339" priority="461" operator="containsText" text="Pesquisa de Preços">
      <formula>NOT(ISERROR(SEARCH("Pesquisa de Preços",D9380)))</formula>
    </cfRule>
  </conditionalFormatting>
  <conditionalFormatting sqref="E9390">
    <cfRule type="containsText" dxfId="338" priority="460" operator="containsText" text="Pesquisa de Preços">
      <formula>NOT(ISERROR(SEARCH("Pesquisa de Preços",E9390)))</formula>
    </cfRule>
  </conditionalFormatting>
  <conditionalFormatting sqref="E9379">
    <cfRule type="containsText" dxfId="335" priority="455" operator="containsText" text="Pesquisa de Preços">
      <formula>NOT(ISERROR(SEARCH("Pesquisa de Preços",E9379)))</formula>
    </cfRule>
  </conditionalFormatting>
  <conditionalFormatting sqref="E9380">
    <cfRule type="containsText" dxfId="334" priority="456" operator="containsText" text="Pesquisa de Preços">
      <formula>NOT(ISERROR(SEARCH("Pesquisa de Preços",E9380)))</formula>
    </cfRule>
  </conditionalFormatting>
  <conditionalFormatting sqref="E9381">
    <cfRule type="containsText" dxfId="333" priority="454" operator="containsText" text="Pesquisa de Preços">
      <formula>NOT(ISERROR(SEARCH("Pesquisa de Preços",E9381)))</formula>
    </cfRule>
  </conditionalFormatting>
  <conditionalFormatting sqref="E9383">
    <cfRule type="containsText" dxfId="332" priority="453" operator="containsText" text="Pesquisa de Preços">
      <formula>NOT(ISERROR(SEARCH("Pesquisa de Preços",E9383)))</formula>
    </cfRule>
  </conditionalFormatting>
  <conditionalFormatting sqref="E9382">
    <cfRule type="containsText" dxfId="331" priority="452" operator="containsText" text="Pesquisa de Preços">
      <formula>NOT(ISERROR(SEARCH("Pesquisa de Preços",E9382)))</formula>
    </cfRule>
  </conditionalFormatting>
  <conditionalFormatting sqref="E9384">
    <cfRule type="containsText" dxfId="330" priority="451" operator="containsText" text="Pesquisa de Preços">
      <formula>NOT(ISERROR(SEARCH("Pesquisa de Preços",E9384)))</formula>
    </cfRule>
  </conditionalFormatting>
  <conditionalFormatting sqref="D9383">
    <cfRule type="containsText" dxfId="329" priority="450" operator="containsText" text="Pesquisa de Preços">
      <formula>NOT(ISERROR(SEARCH("Pesquisa de Preços",D9383)))</formula>
    </cfRule>
  </conditionalFormatting>
  <conditionalFormatting sqref="D9385:D9389">
    <cfRule type="containsText" dxfId="326" priority="446" operator="containsText" text="Pesquisa de Preços">
      <formula>NOT(ISERROR(SEARCH("Pesquisa de Preços",D9385)))</formula>
    </cfRule>
  </conditionalFormatting>
  <conditionalFormatting sqref="D9393">
    <cfRule type="containsText" dxfId="325" priority="438" operator="containsText" text="Pesquisa de Preços">
      <formula>NOT(ISERROR(SEARCH("Pesquisa de Preços",D9393)))</formula>
    </cfRule>
  </conditionalFormatting>
  <conditionalFormatting sqref="D9391">
    <cfRule type="containsText" dxfId="324" priority="443" operator="containsText" text="Pesquisa de Preços">
      <formula>NOT(ISERROR(SEARCH("Pesquisa de Preços",D9391)))</formula>
    </cfRule>
  </conditionalFormatting>
  <conditionalFormatting sqref="D9392 D9400">
    <cfRule type="containsText" dxfId="323" priority="442" operator="containsText" text="Pesquisa de Preços">
      <formula>NOT(ISERROR(SEARCH("Pesquisa de Preços",D9392)))</formula>
    </cfRule>
  </conditionalFormatting>
  <conditionalFormatting sqref="E9400">
    <cfRule type="containsText" dxfId="322" priority="441" operator="containsText" text="Pesquisa de Preços">
      <formula>NOT(ISERROR(SEARCH("Pesquisa de Preços",E9400)))</formula>
    </cfRule>
  </conditionalFormatting>
  <conditionalFormatting sqref="E9391">
    <cfRule type="containsText" dxfId="319" priority="436" operator="containsText" text="Pesquisa de Preços">
      <formula>NOT(ISERROR(SEARCH("Pesquisa de Preços",E9391)))</formula>
    </cfRule>
  </conditionalFormatting>
  <conditionalFormatting sqref="E9392">
    <cfRule type="containsText" dxfId="318" priority="437" operator="containsText" text="Pesquisa de Preços">
      <formula>NOT(ISERROR(SEARCH("Pesquisa de Preços",E9392)))</formula>
    </cfRule>
  </conditionalFormatting>
  <conditionalFormatting sqref="E9393">
    <cfRule type="containsText" dxfId="317" priority="435" operator="containsText" text="Pesquisa de Preços">
      <formula>NOT(ISERROR(SEARCH("Pesquisa de Preços",E9393)))</formula>
    </cfRule>
  </conditionalFormatting>
  <conditionalFormatting sqref="D9420">
    <cfRule type="containsText" dxfId="316" priority="423" operator="containsText" text="Pesquisa de Preços">
      <formula>NOT(ISERROR(SEARCH("Pesquisa de Preços",D9420)))</formula>
    </cfRule>
  </conditionalFormatting>
  <conditionalFormatting sqref="E9420">
    <cfRule type="containsText" dxfId="315" priority="422" operator="containsText" text="Pesquisa de Preços">
      <formula>NOT(ISERROR(SEARCH("Pesquisa de Preços",E9420)))</formula>
    </cfRule>
  </conditionalFormatting>
  <conditionalFormatting sqref="D9410">
    <cfRule type="containsText" dxfId="312" priority="404" operator="containsText" text="Pesquisa de Preços">
      <formula>NOT(ISERROR(SEARCH("Pesquisa de Preços",D9410)))</formula>
    </cfRule>
  </conditionalFormatting>
  <conditionalFormatting sqref="E9410">
    <cfRule type="containsText" dxfId="311" priority="403" operator="containsText" text="Pesquisa de Preços">
      <formula>NOT(ISERROR(SEARCH("Pesquisa de Preços",E9410)))</formula>
    </cfRule>
  </conditionalFormatting>
  <conditionalFormatting sqref="D9301">
    <cfRule type="containsText" dxfId="308" priority="374" operator="containsText" text="Pesquisa de Preços">
      <formula>NOT(ISERROR(SEARCH("Pesquisa de Preços",D9301)))</formula>
    </cfRule>
  </conditionalFormatting>
  <conditionalFormatting sqref="E9297:E9300">
    <cfRule type="containsText" dxfId="307" priority="387" operator="containsText" text="Pesquisa de Preços">
      <formula>NOT(ISERROR(SEARCH("Pesquisa de Preços",E9297)))</formula>
    </cfRule>
  </conditionalFormatting>
  <conditionalFormatting sqref="D9294">
    <cfRule type="containsText" dxfId="306" priority="386" operator="containsText" text="Pesquisa de Preços">
      <formula>NOT(ISERROR(SEARCH("Pesquisa de Preços",D9294)))</formula>
    </cfRule>
  </conditionalFormatting>
  <conditionalFormatting sqref="D9295">
    <cfRule type="containsText" dxfId="305" priority="385" operator="containsText" text="Pesquisa de Preços">
      <formula>NOT(ISERROR(SEARCH("Pesquisa de Preços",D9295)))</formula>
    </cfRule>
  </conditionalFormatting>
  <conditionalFormatting sqref="E9295:E9296">
    <cfRule type="containsText" dxfId="304" priority="384" operator="containsText" text="Pesquisa de Preços">
      <formula>NOT(ISERROR(SEARCH("Pesquisa de Preços",E9295)))</formula>
    </cfRule>
  </conditionalFormatting>
  <conditionalFormatting sqref="E9294">
    <cfRule type="containsText" dxfId="303" priority="383" operator="containsText" text="Pesquisa de Preços">
      <formula>NOT(ISERROR(SEARCH("Pesquisa de Preços",E9294)))</formula>
    </cfRule>
  </conditionalFormatting>
  <conditionalFormatting sqref="D9299:D9300 D9296:D9297">
    <cfRule type="containsText" dxfId="300" priority="380" operator="containsText" text="Pesquisa de Preços">
      <formula>NOT(ISERROR(SEARCH("Pesquisa de Preços",D9296)))</formula>
    </cfRule>
  </conditionalFormatting>
  <conditionalFormatting sqref="D9298">
    <cfRule type="containsText" dxfId="299" priority="379" operator="containsText" text="Pesquisa de Preços">
      <formula>NOT(ISERROR(SEARCH("Pesquisa de Preços",D9298)))</formula>
    </cfRule>
  </conditionalFormatting>
  <conditionalFormatting sqref="E9301:E9302">
    <cfRule type="containsText" dxfId="298" priority="378" operator="containsText" text="Pesquisa de Preços">
      <formula>NOT(ISERROR(SEARCH("Pesquisa de Preços",E9301)))</formula>
    </cfRule>
  </conditionalFormatting>
  <conditionalFormatting sqref="D9302">
    <cfRule type="containsText" dxfId="295" priority="375" operator="containsText" text="Pesquisa de Preços">
      <formula>NOT(ISERROR(SEARCH("Pesquisa de Preços",D9302)))</formula>
    </cfRule>
  </conditionalFormatting>
  <conditionalFormatting sqref="E9303">
    <cfRule type="containsText" dxfId="294" priority="373" operator="containsText" text="Pesquisa de Preços">
      <formula>NOT(ISERROR(SEARCH("Pesquisa de Preços",E9303)))</formula>
    </cfRule>
  </conditionalFormatting>
  <conditionalFormatting sqref="D9303">
    <cfRule type="containsText" dxfId="293" priority="370" operator="containsText" text="Pesquisa de Preços">
      <formula>NOT(ISERROR(SEARCH("Pesquisa de Preços",D9303)))</formula>
    </cfRule>
  </conditionalFormatting>
  <conditionalFormatting sqref="E9308:E9311">
    <cfRule type="containsText" dxfId="292" priority="369" operator="containsText" text="Pesquisa de Preços">
      <formula>NOT(ISERROR(SEARCH("Pesquisa de Preços",E9308)))</formula>
    </cfRule>
  </conditionalFormatting>
  <conditionalFormatting sqref="D9305">
    <cfRule type="containsText" dxfId="291" priority="368" operator="containsText" text="Pesquisa de Preços">
      <formula>NOT(ISERROR(SEARCH("Pesquisa de Preços",D9305)))</formula>
    </cfRule>
  </conditionalFormatting>
  <conditionalFormatting sqref="D9306">
    <cfRule type="containsText" dxfId="290" priority="367" operator="containsText" text="Pesquisa de Preços">
      <formula>NOT(ISERROR(SEARCH("Pesquisa de Preços",D9306)))</formula>
    </cfRule>
  </conditionalFormatting>
  <conditionalFormatting sqref="E9306:E9307">
    <cfRule type="containsText" dxfId="289" priority="366" operator="containsText" text="Pesquisa de Preços">
      <formula>NOT(ISERROR(SEARCH("Pesquisa de Preços",E9306)))</formula>
    </cfRule>
  </conditionalFormatting>
  <conditionalFormatting sqref="E9305">
    <cfRule type="containsText" dxfId="288" priority="365" operator="containsText" text="Pesquisa de Preços">
      <formula>NOT(ISERROR(SEARCH("Pesquisa de Preços",E9305)))</formula>
    </cfRule>
  </conditionalFormatting>
  <conditionalFormatting sqref="D9310:D9311 D9307:D9308">
    <cfRule type="containsText" dxfId="285" priority="362" operator="containsText" text="Pesquisa de Preços">
      <formula>NOT(ISERROR(SEARCH("Pesquisa de Preços",D9307)))</formula>
    </cfRule>
  </conditionalFormatting>
  <conditionalFormatting sqref="D9309">
    <cfRule type="containsText" dxfId="284" priority="361" operator="containsText" text="Pesquisa de Preços">
      <formula>NOT(ISERROR(SEARCH("Pesquisa de Preços",D9309)))</formula>
    </cfRule>
  </conditionalFormatting>
  <conditionalFormatting sqref="E9463">
    <cfRule type="containsText" dxfId="283" priority="331" operator="containsText" text="Pesquisa de Preços">
      <formula>NOT(ISERROR(SEARCH("Pesquisa de Preços",E9463)))</formula>
    </cfRule>
  </conditionalFormatting>
  <conditionalFormatting sqref="D9312:D9313">
    <cfRule type="containsText" dxfId="280" priority="346" operator="containsText" text="Pesquisa de Preços">
      <formula>NOT(ISERROR(SEARCH("Pesquisa de Preços",D9312)))</formula>
    </cfRule>
  </conditionalFormatting>
  <conditionalFormatting sqref="D9461 D9471">
    <cfRule type="containsText" dxfId="279" priority="339" operator="containsText" text="Pesquisa de Preços">
      <formula>NOT(ISERROR(SEARCH("Pesquisa de Preços",D9461)))</formula>
    </cfRule>
  </conditionalFormatting>
  <conditionalFormatting sqref="D9460">
    <cfRule type="containsText" dxfId="278" priority="340" operator="containsText" text="Pesquisa de Preços">
      <formula>NOT(ISERROR(SEARCH("Pesquisa de Preços",D9460)))</formula>
    </cfRule>
  </conditionalFormatting>
  <conditionalFormatting sqref="E9471">
    <cfRule type="containsText" dxfId="277" priority="338" operator="containsText" text="Pesquisa de Preços">
      <formula>NOT(ISERROR(SEARCH("Pesquisa de Preços",E9471)))</formula>
    </cfRule>
  </conditionalFormatting>
  <conditionalFormatting sqref="E9460">
    <cfRule type="containsText" dxfId="274" priority="334" operator="containsText" text="Pesquisa de Preços">
      <formula>NOT(ISERROR(SEARCH("Pesquisa de Preços",E9460)))</formula>
    </cfRule>
  </conditionalFormatting>
  <conditionalFormatting sqref="E9461">
    <cfRule type="containsText" dxfId="273" priority="335" operator="containsText" text="Pesquisa de Preços">
      <formula>NOT(ISERROR(SEARCH("Pesquisa de Preços",E9461)))</formula>
    </cfRule>
  </conditionalFormatting>
  <conditionalFormatting sqref="E9462">
    <cfRule type="containsText" dxfId="272" priority="333" operator="containsText" text="Pesquisa de Preços">
      <formula>NOT(ISERROR(SEARCH("Pesquisa de Preços",E9462)))</formula>
    </cfRule>
  </conditionalFormatting>
  <conditionalFormatting sqref="E9464">
    <cfRule type="containsText" dxfId="271" priority="332" operator="containsText" text="Pesquisa de Preços">
      <formula>NOT(ISERROR(SEARCH("Pesquisa de Preços",E9464)))</formula>
    </cfRule>
  </conditionalFormatting>
  <conditionalFormatting sqref="E9467:E9468">
    <cfRule type="containsText" dxfId="268" priority="326" operator="containsText" text="Pesquisa de Preços">
      <formula>NOT(ISERROR(SEARCH("Pesquisa de Preços",E9467)))</formula>
    </cfRule>
  </conditionalFormatting>
  <conditionalFormatting sqref="D9369">
    <cfRule type="containsText" dxfId="267" priority="307" operator="containsText" text="Pesquisa de Preços">
      <formula>NOT(ISERROR(SEARCH("Pesquisa de Preços",D9369)))</formula>
    </cfRule>
  </conditionalFormatting>
  <conditionalFormatting sqref="D9462:D9464 D9467:D9468">
    <cfRule type="containsText" dxfId="266" priority="319" operator="containsText" text="Pesquisa de Preços">
      <formula>NOT(ISERROR(SEARCH("Pesquisa de Preços",D9462)))</formula>
    </cfRule>
  </conditionalFormatting>
  <conditionalFormatting sqref="E9465:E9466">
    <cfRule type="containsText" dxfId="264" priority="317" operator="containsText" text="Pesquisa de Preços">
      <formula>NOT(ISERROR(SEARCH("Pesquisa de Preços",E9465)))</formula>
    </cfRule>
  </conditionalFormatting>
  <conditionalFormatting sqref="D9465">
    <cfRule type="containsText" dxfId="261" priority="314" operator="containsText" text="Pesquisa de Preços">
      <formula>NOT(ISERROR(SEARCH("Pesquisa de Preços",D9465)))</formula>
    </cfRule>
  </conditionalFormatting>
  <conditionalFormatting sqref="E9469:E9470">
    <cfRule type="containsText" dxfId="259" priority="312" operator="containsText" text="Pesquisa de Preços">
      <formula>NOT(ISERROR(SEARCH("Pesquisa de Preços",E9469)))</formula>
    </cfRule>
  </conditionalFormatting>
  <conditionalFormatting sqref="D9469">
    <cfRule type="containsText" dxfId="256" priority="309" operator="containsText" text="Pesquisa de Preços">
      <formula>NOT(ISERROR(SEARCH("Pesquisa de Preços",D9469)))</formula>
    </cfRule>
  </conditionalFormatting>
  <conditionalFormatting sqref="D9370 D9378">
    <cfRule type="containsText" dxfId="255" priority="306" operator="containsText" text="Pesquisa de Preços">
      <formula>NOT(ISERROR(SEARCH("Pesquisa de Preços",D9370)))</formula>
    </cfRule>
  </conditionalFormatting>
  <conditionalFormatting sqref="E9378">
    <cfRule type="containsText" dxfId="254" priority="305" operator="containsText" text="Pesquisa de Preços">
      <formula>NOT(ISERROR(SEARCH("Pesquisa de Preços",E9378)))</formula>
    </cfRule>
  </conditionalFormatting>
  <conditionalFormatting sqref="E9369">
    <cfRule type="containsText" dxfId="251" priority="300" operator="containsText" text="Pesquisa de Preços">
      <formula>NOT(ISERROR(SEARCH("Pesquisa de Preços",E9369)))</formula>
    </cfRule>
  </conditionalFormatting>
  <conditionalFormatting sqref="E9370">
    <cfRule type="containsText" dxfId="250" priority="301" operator="containsText" text="Pesquisa de Preços">
      <formula>NOT(ISERROR(SEARCH("Pesquisa de Preços",E9370)))</formula>
    </cfRule>
  </conditionalFormatting>
  <conditionalFormatting sqref="D8640">
    <cfRule type="containsText" dxfId="249" priority="285" operator="containsText" text="Pesquisa de Preços">
      <formula>NOT(ISERROR(SEARCH("Pesquisa de Preços",D8640)))</formula>
    </cfRule>
  </conditionalFormatting>
  <conditionalFormatting sqref="D8639">
    <cfRule type="containsText" dxfId="248" priority="284" operator="containsText" text="Pesquisa de Preços">
      <formula>NOT(ISERROR(SEARCH("Pesquisa de Preços",D8639)))</formula>
    </cfRule>
  </conditionalFormatting>
  <conditionalFormatting sqref="D8637">
    <cfRule type="containsText" dxfId="247" priority="283" operator="containsText" text="Pesquisa de Preços">
      <formula>NOT(ISERROR(SEARCH("Pesquisa de Preços",D8637)))</formula>
    </cfRule>
  </conditionalFormatting>
  <conditionalFormatting sqref="D8644">
    <cfRule type="containsText" dxfId="238" priority="277" operator="containsText" text="Pesquisa de Preços">
      <formula>NOT(ISERROR(SEARCH("Pesquisa de Preços",D8644)))</formula>
    </cfRule>
  </conditionalFormatting>
  <conditionalFormatting sqref="D8643">
    <cfRule type="containsText" dxfId="237" priority="276" operator="containsText" text="Pesquisa de Preços">
      <formula>NOT(ISERROR(SEARCH("Pesquisa de Preços",D8643)))</formula>
    </cfRule>
  </conditionalFormatting>
  <conditionalFormatting sqref="D8641">
    <cfRule type="containsText" dxfId="236" priority="275" operator="containsText" text="Pesquisa de Preços">
      <formula>NOT(ISERROR(SEARCH("Pesquisa de Preços",D8641)))</formula>
    </cfRule>
  </conditionalFormatting>
  <conditionalFormatting sqref="D8648">
    <cfRule type="containsText" dxfId="231" priority="269" operator="containsText" text="Pesquisa de Preços">
      <formula>NOT(ISERROR(SEARCH("Pesquisa de Preços",D8648)))</formula>
    </cfRule>
  </conditionalFormatting>
  <conditionalFormatting sqref="D8647">
    <cfRule type="containsText" dxfId="230" priority="268" operator="containsText" text="Pesquisa de Preços">
      <formula>NOT(ISERROR(SEARCH("Pesquisa de Preços",D8647)))</formula>
    </cfRule>
  </conditionalFormatting>
  <conditionalFormatting sqref="D8645">
    <cfRule type="containsText" dxfId="229" priority="267" operator="containsText" text="Pesquisa de Preços">
      <formula>NOT(ISERROR(SEARCH("Pesquisa de Preços",D8645)))</formula>
    </cfRule>
  </conditionalFormatting>
  <conditionalFormatting sqref="D8652">
    <cfRule type="containsText" dxfId="224" priority="261" operator="containsText" text="Pesquisa de Preços">
      <formula>NOT(ISERROR(SEARCH("Pesquisa de Preços",D8652)))</formula>
    </cfRule>
  </conditionalFormatting>
  <conditionalFormatting sqref="D8651">
    <cfRule type="containsText" dxfId="223" priority="260" operator="containsText" text="Pesquisa de Preços">
      <formula>NOT(ISERROR(SEARCH("Pesquisa de Preços",D8651)))</formula>
    </cfRule>
  </conditionalFormatting>
  <conditionalFormatting sqref="D8649">
    <cfRule type="containsText" dxfId="222" priority="259" operator="containsText" text="Pesquisa de Preços">
      <formula>NOT(ISERROR(SEARCH("Pesquisa de Preços",D8649)))</formula>
    </cfRule>
  </conditionalFormatting>
  <conditionalFormatting sqref="D8656">
    <cfRule type="containsText" dxfId="217" priority="253" operator="containsText" text="Pesquisa de Preços">
      <formula>NOT(ISERROR(SEARCH("Pesquisa de Preços",D8656)))</formula>
    </cfRule>
  </conditionalFormatting>
  <conditionalFormatting sqref="D8655">
    <cfRule type="containsText" dxfId="216" priority="252" operator="containsText" text="Pesquisa de Preços">
      <formula>NOT(ISERROR(SEARCH("Pesquisa de Preços",D8655)))</formula>
    </cfRule>
  </conditionalFormatting>
  <conditionalFormatting sqref="D8653">
    <cfRule type="containsText" dxfId="215" priority="251" operator="containsText" text="Pesquisa de Preços">
      <formula>NOT(ISERROR(SEARCH("Pesquisa de Preços",D8653)))</formula>
    </cfRule>
  </conditionalFormatting>
  <conditionalFormatting sqref="D8660">
    <cfRule type="containsText" dxfId="210" priority="245" operator="containsText" text="Pesquisa de Preços">
      <formula>NOT(ISERROR(SEARCH("Pesquisa de Preços",D8660)))</formula>
    </cfRule>
  </conditionalFormatting>
  <conditionalFormatting sqref="D8659">
    <cfRule type="containsText" dxfId="209" priority="244" operator="containsText" text="Pesquisa de Preços">
      <formula>NOT(ISERROR(SEARCH("Pesquisa de Preços",D8659)))</formula>
    </cfRule>
  </conditionalFormatting>
  <conditionalFormatting sqref="D8657">
    <cfRule type="containsText" dxfId="208" priority="243" operator="containsText" text="Pesquisa de Preços">
      <formula>NOT(ISERROR(SEARCH("Pesquisa de Preços",D8657)))</formula>
    </cfRule>
  </conditionalFormatting>
  <conditionalFormatting sqref="D8664">
    <cfRule type="containsText" dxfId="203" priority="237" operator="containsText" text="Pesquisa de Preços">
      <formula>NOT(ISERROR(SEARCH("Pesquisa de Preços",D8664)))</formula>
    </cfRule>
  </conditionalFormatting>
  <conditionalFormatting sqref="D8663">
    <cfRule type="containsText" dxfId="202" priority="236" operator="containsText" text="Pesquisa de Preços">
      <formula>NOT(ISERROR(SEARCH("Pesquisa de Preços",D8663)))</formula>
    </cfRule>
  </conditionalFormatting>
  <conditionalFormatting sqref="D8661">
    <cfRule type="containsText" dxfId="201" priority="235" operator="containsText" text="Pesquisa de Preços">
      <formula>NOT(ISERROR(SEARCH("Pesquisa de Preços",D8661)))</formula>
    </cfRule>
  </conditionalFormatting>
  <conditionalFormatting sqref="D8668">
    <cfRule type="containsText" dxfId="196" priority="229" operator="containsText" text="Pesquisa de Preços">
      <formula>NOT(ISERROR(SEARCH("Pesquisa de Preços",D8668)))</formula>
    </cfRule>
  </conditionalFormatting>
  <conditionalFormatting sqref="D8667">
    <cfRule type="containsText" dxfId="195" priority="228" operator="containsText" text="Pesquisa de Preços">
      <formula>NOT(ISERROR(SEARCH("Pesquisa de Preços",D8667)))</formula>
    </cfRule>
  </conditionalFormatting>
  <conditionalFormatting sqref="D8665">
    <cfRule type="containsText" dxfId="194" priority="227" operator="containsText" text="Pesquisa de Preços">
      <formula>NOT(ISERROR(SEARCH("Pesquisa de Preços",D8665)))</formula>
    </cfRule>
  </conditionalFormatting>
  <conditionalFormatting sqref="D8672">
    <cfRule type="containsText" dxfId="189" priority="221" operator="containsText" text="Pesquisa de Preços">
      <formula>NOT(ISERROR(SEARCH("Pesquisa de Preços",D8672)))</formula>
    </cfRule>
  </conditionalFormatting>
  <conditionalFormatting sqref="D8671">
    <cfRule type="containsText" dxfId="188" priority="220" operator="containsText" text="Pesquisa de Preços">
      <formula>NOT(ISERROR(SEARCH("Pesquisa de Preços",D8671)))</formula>
    </cfRule>
  </conditionalFormatting>
  <conditionalFormatting sqref="D8669">
    <cfRule type="containsText" dxfId="187" priority="219" operator="containsText" text="Pesquisa de Preços">
      <formula>NOT(ISERROR(SEARCH("Pesquisa de Preços",D8669)))</formula>
    </cfRule>
  </conditionalFormatting>
  <conditionalFormatting sqref="D8676">
    <cfRule type="containsText" dxfId="182" priority="213" operator="containsText" text="Pesquisa de Preços">
      <formula>NOT(ISERROR(SEARCH("Pesquisa de Preços",D8676)))</formula>
    </cfRule>
  </conditionalFormatting>
  <conditionalFormatting sqref="D8675">
    <cfRule type="containsText" dxfId="181" priority="212" operator="containsText" text="Pesquisa de Preços">
      <formula>NOT(ISERROR(SEARCH("Pesquisa de Preços",D8675)))</formula>
    </cfRule>
  </conditionalFormatting>
  <conditionalFormatting sqref="D8673">
    <cfRule type="containsText" dxfId="180" priority="211" operator="containsText" text="Pesquisa de Preços">
      <formula>NOT(ISERROR(SEARCH("Pesquisa de Preços",D8673)))</formula>
    </cfRule>
  </conditionalFormatting>
  <conditionalFormatting sqref="D8680">
    <cfRule type="containsText" dxfId="177" priority="205" operator="containsText" text="Pesquisa de Preços">
      <formula>NOT(ISERROR(SEARCH("Pesquisa de Preços",D8680)))</formula>
    </cfRule>
  </conditionalFormatting>
  <conditionalFormatting sqref="D8679">
    <cfRule type="containsText" dxfId="176" priority="204" operator="containsText" text="Pesquisa de Preços">
      <formula>NOT(ISERROR(SEARCH("Pesquisa de Preços",D8679)))</formula>
    </cfRule>
  </conditionalFormatting>
  <conditionalFormatting sqref="D8677">
    <cfRule type="containsText" dxfId="175" priority="203" operator="containsText" text="Pesquisa de Preços">
      <formula>NOT(ISERROR(SEARCH("Pesquisa de Preços",D8677)))</formula>
    </cfRule>
  </conditionalFormatting>
  <conditionalFormatting sqref="D8684">
    <cfRule type="containsText" dxfId="170" priority="197" operator="containsText" text="Pesquisa de Preços">
      <formula>NOT(ISERROR(SEARCH("Pesquisa de Preços",D8684)))</formula>
    </cfRule>
  </conditionalFormatting>
  <conditionalFormatting sqref="D8683">
    <cfRule type="containsText" dxfId="169" priority="196" operator="containsText" text="Pesquisa de Preços">
      <formula>NOT(ISERROR(SEARCH("Pesquisa de Preços",D8683)))</formula>
    </cfRule>
  </conditionalFormatting>
  <conditionalFormatting sqref="D8681">
    <cfRule type="containsText" dxfId="168" priority="195" operator="containsText" text="Pesquisa de Preços">
      <formula>NOT(ISERROR(SEARCH("Pesquisa de Preços",D8681)))</formula>
    </cfRule>
  </conditionalFormatting>
  <conditionalFormatting sqref="D8688">
    <cfRule type="containsText" dxfId="163" priority="189" operator="containsText" text="Pesquisa de Preços">
      <formula>NOT(ISERROR(SEARCH("Pesquisa de Preços",D8688)))</formula>
    </cfRule>
  </conditionalFormatting>
  <conditionalFormatting sqref="D8687">
    <cfRule type="containsText" dxfId="162" priority="188" operator="containsText" text="Pesquisa de Preços">
      <formula>NOT(ISERROR(SEARCH("Pesquisa de Preços",D8687)))</formula>
    </cfRule>
  </conditionalFormatting>
  <conditionalFormatting sqref="D8685">
    <cfRule type="containsText" dxfId="161" priority="187" operator="containsText" text="Pesquisa de Preços">
      <formula>NOT(ISERROR(SEARCH("Pesquisa de Preços",D8685)))</formula>
    </cfRule>
  </conditionalFormatting>
  <conditionalFormatting sqref="D8692">
    <cfRule type="containsText" dxfId="156" priority="181" operator="containsText" text="Pesquisa de Preços">
      <formula>NOT(ISERROR(SEARCH("Pesquisa de Preços",D8692)))</formula>
    </cfRule>
  </conditionalFormatting>
  <conditionalFormatting sqref="D8691">
    <cfRule type="containsText" dxfId="155" priority="180" operator="containsText" text="Pesquisa de Preços">
      <formula>NOT(ISERROR(SEARCH("Pesquisa de Preços",D8691)))</formula>
    </cfRule>
  </conditionalFormatting>
  <conditionalFormatting sqref="D8689">
    <cfRule type="containsText" dxfId="154" priority="179" operator="containsText" text="Pesquisa de Preços">
      <formula>NOT(ISERROR(SEARCH("Pesquisa de Preços",D8689)))</formula>
    </cfRule>
  </conditionalFormatting>
  <conditionalFormatting sqref="D9373">
    <cfRule type="containsText" dxfId="115" priority="116" operator="containsText" text="Pesquisa de Preços">
      <formula>NOT(ISERROR(SEARCH("Pesquisa de Preços",D9373)))</formula>
    </cfRule>
  </conditionalFormatting>
  <conditionalFormatting sqref="D9374 D9371:D9372">
    <cfRule type="containsText" dxfId="114" priority="121" operator="containsText" text="Pesquisa de Preços">
      <formula>NOT(ISERROR(SEARCH("Pesquisa de Preços",D9371)))</formula>
    </cfRule>
  </conditionalFormatting>
  <conditionalFormatting sqref="E9375:E9377">
    <cfRule type="containsText" dxfId="113" priority="112" operator="containsText" text="Pesquisa de Preços">
      <formula>NOT(ISERROR(SEARCH("Pesquisa de Preços",E9375)))</formula>
    </cfRule>
  </conditionalFormatting>
  <conditionalFormatting sqref="E9371">
    <cfRule type="containsText" dxfId="112" priority="120" operator="containsText" text="Pesquisa de Preços">
      <formula>NOT(ISERROR(SEARCH("Pesquisa de Preços",E9371)))</formula>
    </cfRule>
  </conditionalFormatting>
  <conditionalFormatting sqref="E9373">
    <cfRule type="containsText" dxfId="111" priority="119" operator="containsText" text="Pesquisa de Preços">
      <formula>NOT(ISERROR(SEARCH("Pesquisa de Preços",E9373)))</formula>
    </cfRule>
  </conditionalFormatting>
  <conditionalFormatting sqref="E9372">
    <cfRule type="containsText" dxfId="110" priority="118" operator="containsText" text="Pesquisa de Preços">
      <formula>NOT(ISERROR(SEARCH("Pesquisa de Preços",E9372)))</formula>
    </cfRule>
  </conditionalFormatting>
  <conditionalFormatting sqref="E9374">
    <cfRule type="containsText" dxfId="109" priority="117" operator="containsText" text="Pesquisa de Preços">
      <formula>NOT(ISERROR(SEARCH("Pesquisa de Preços",E9374)))</formula>
    </cfRule>
  </conditionalFormatting>
  <conditionalFormatting sqref="D9375:D9377">
    <cfRule type="containsText" dxfId="106" priority="113" operator="containsText" text="Pesquisa de Preços">
      <formula>NOT(ISERROR(SEARCH("Pesquisa de Preços",D9375)))</formula>
    </cfRule>
  </conditionalFormatting>
  <conditionalFormatting sqref="D9395:E9398">
    <cfRule type="containsText" dxfId="105" priority="111" operator="containsText" text="Pesquisa de Preços">
      <formula>NOT(ISERROR(SEARCH("Pesquisa de Preços",D9395)))</formula>
    </cfRule>
  </conditionalFormatting>
  <conditionalFormatting sqref="D9404:E9404 D9409:E9409">
    <cfRule type="containsText" dxfId="102" priority="102" operator="containsText" text="Pesquisa de Preços">
      <formula>NOT(ISERROR(SEARCH("Pesquisa de Preços",D9404)))</formula>
    </cfRule>
  </conditionalFormatting>
  <conditionalFormatting sqref="D9403">
    <cfRule type="containsText" dxfId="99" priority="95" operator="containsText" text="Pesquisa de Preços">
      <formula>NOT(ISERROR(SEARCH("Pesquisa de Preços",D9403)))</formula>
    </cfRule>
  </conditionalFormatting>
  <conditionalFormatting sqref="D9401">
    <cfRule type="containsText" dxfId="98" priority="99" operator="containsText" text="Pesquisa de Preços">
      <formula>NOT(ISERROR(SEARCH("Pesquisa de Preços",D9401)))</formula>
    </cfRule>
  </conditionalFormatting>
  <conditionalFormatting sqref="D9402">
    <cfRule type="containsText" dxfId="97" priority="98" operator="containsText" text="Pesquisa de Preços">
      <formula>NOT(ISERROR(SEARCH("Pesquisa de Preços",D9402)))</formula>
    </cfRule>
  </conditionalFormatting>
  <conditionalFormatting sqref="E9401">
    <cfRule type="containsText" dxfId="94" priority="93" operator="containsText" text="Pesquisa de Preços">
      <formula>NOT(ISERROR(SEARCH("Pesquisa de Preços",E9401)))</formula>
    </cfRule>
  </conditionalFormatting>
  <conditionalFormatting sqref="E9402">
    <cfRule type="containsText" dxfId="93" priority="94" operator="containsText" text="Pesquisa de Preços">
      <formula>NOT(ISERROR(SEARCH("Pesquisa de Preços",E9402)))</formula>
    </cfRule>
  </conditionalFormatting>
  <conditionalFormatting sqref="E9403">
    <cfRule type="containsText" dxfId="92" priority="92" operator="containsText" text="Pesquisa de Preços">
      <formula>NOT(ISERROR(SEARCH("Pesquisa de Preços",E9403)))</formula>
    </cfRule>
  </conditionalFormatting>
  <conditionalFormatting sqref="D9405:E9408">
    <cfRule type="containsText" dxfId="91" priority="91" operator="containsText" text="Pesquisa de Preços">
      <formula>NOT(ISERROR(SEARCH("Pesquisa de Preços",D9405)))</formula>
    </cfRule>
  </conditionalFormatting>
  <conditionalFormatting sqref="D9414:E9414 D9419:E9419">
    <cfRule type="containsText" dxfId="88" priority="88" operator="containsText" text="Pesquisa de Preços">
      <formula>NOT(ISERROR(SEARCH("Pesquisa de Preços",D9414)))</formula>
    </cfRule>
  </conditionalFormatting>
  <conditionalFormatting sqref="D9413">
    <cfRule type="containsText" dxfId="85" priority="81" operator="containsText" text="Pesquisa de Preços">
      <formula>NOT(ISERROR(SEARCH("Pesquisa de Preços",D9413)))</formula>
    </cfRule>
  </conditionalFormatting>
  <conditionalFormatting sqref="D9411">
    <cfRule type="containsText" dxfId="84" priority="85" operator="containsText" text="Pesquisa de Preços">
      <formula>NOT(ISERROR(SEARCH("Pesquisa de Preços",D9411)))</formula>
    </cfRule>
  </conditionalFormatting>
  <conditionalFormatting sqref="D9412">
    <cfRule type="containsText" dxfId="83" priority="84" operator="containsText" text="Pesquisa de Preços">
      <formula>NOT(ISERROR(SEARCH("Pesquisa de Preços",D9412)))</formula>
    </cfRule>
  </conditionalFormatting>
  <conditionalFormatting sqref="E9411">
    <cfRule type="containsText" dxfId="80" priority="79" operator="containsText" text="Pesquisa de Preços">
      <formula>NOT(ISERROR(SEARCH("Pesquisa de Preços",E9411)))</formula>
    </cfRule>
  </conditionalFormatting>
  <conditionalFormatting sqref="E9412">
    <cfRule type="containsText" dxfId="79" priority="80" operator="containsText" text="Pesquisa de Preços">
      <formula>NOT(ISERROR(SEARCH("Pesquisa de Preços",E9412)))</formula>
    </cfRule>
  </conditionalFormatting>
  <conditionalFormatting sqref="E9413">
    <cfRule type="containsText" dxfId="78" priority="78" operator="containsText" text="Pesquisa de Preços">
      <formula>NOT(ISERROR(SEARCH("Pesquisa de Preços",E9413)))</formula>
    </cfRule>
  </conditionalFormatting>
  <conditionalFormatting sqref="D9415:E9418">
    <cfRule type="containsText" dxfId="77" priority="77" operator="containsText" text="Pesquisa de Preços">
      <formula>NOT(ISERROR(SEARCH("Pesquisa de Preços",D9415)))</formula>
    </cfRule>
  </conditionalFormatting>
  <conditionalFormatting sqref="E768:E774">
    <cfRule type="containsText" dxfId="72" priority="67" operator="containsText" text="Pesquisa de Preços">
      <formula>NOT(ISERROR(SEARCH("Pesquisa de Preços",E768)))</formula>
    </cfRule>
  </conditionalFormatting>
  <conditionalFormatting sqref="D773">
    <cfRule type="containsText" dxfId="69" priority="69" operator="containsText" text="Pesquisa de Preços">
      <formula>NOT(ISERROR(SEARCH("Pesquisa de Preços",D773)))</formula>
    </cfRule>
  </conditionalFormatting>
  <conditionalFormatting sqref="E767">
    <cfRule type="containsText" dxfId="68" priority="68" operator="containsText" text="Pesquisa de Preços">
      <formula>NOT(ISERROR(SEARCH("Pesquisa de Preços",E767)))</formula>
    </cfRule>
  </conditionalFormatting>
  <conditionalFormatting sqref="E800:E803">
    <cfRule type="containsText" dxfId="67" priority="66" operator="containsText" text="Pesquisa de Preços">
      <formula>NOT(ISERROR(SEARCH("Pesquisa de Preços",E800)))</formula>
    </cfRule>
  </conditionalFormatting>
  <conditionalFormatting sqref="E804:E805">
    <cfRule type="containsText" dxfId="66" priority="65" operator="containsText" text="Pesquisa de Preços">
      <formula>NOT(ISERROR(SEARCH("Pesquisa de Preços",E804)))</formula>
    </cfRule>
  </conditionalFormatting>
  <conditionalFormatting sqref="E805">
    <cfRule type="containsText" dxfId="65" priority="64" operator="containsText" text="Pesquisa de Preços">
      <formula>NOT(ISERROR(SEARCH("Pesquisa de Preços",E805)))</formula>
    </cfRule>
  </conditionalFormatting>
  <conditionalFormatting sqref="E8429">
    <cfRule type="containsText" dxfId="64" priority="63" operator="containsText" text="Pesquisa de Preços">
      <formula>NOT(ISERROR(SEARCH("Pesquisa de Preços",E8429)))</formula>
    </cfRule>
  </conditionalFormatting>
  <conditionalFormatting sqref="E8442">
    <cfRule type="containsText" dxfId="63" priority="62" operator="containsText" text="Pesquisa de Preços">
      <formula>NOT(ISERROR(SEARCH("Pesquisa de Preços",E8442)))</formula>
    </cfRule>
  </conditionalFormatting>
  <conditionalFormatting sqref="D9070">
    <cfRule type="containsText" dxfId="58" priority="56" operator="containsText" text="Pesquisa de Preços">
      <formula>NOT(ISERROR(SEARCH("Pesquisa de Preços",D9070)))</formula>
    </cfRule>
  </conditionalFormatting>
  <conditionalFormatting sqref="D9073">
    <cfRule type="containsText" dxfId="57" priority="55" operator="containsText" text="Pesquisa de Preços">
      <formula>NOT(ISERROR(SEARCH("Pesquisa de Preços",D9073)))</formula>
    </cfRule>
  </conditionalFormatting>
  <conditionalFormatting sqref="D9072">
    <cfRule type="containsText" dxfId="56" priority="54" operator="containsText" text="Pesquisa de Preços">
      <formula>NOT(ISERROR(SEARCH("Pesquisa de Preços",D9072)))</formula>
    </cfRule>
  </conditionalFormatting>
  <conditionalFormatting sqref="D9077">
    <cfRule type="containsText" dxfId="51" priority="49" operator="containsText" text="Pesquisa de Preços">
      <formula>NOT(ISERROR(SEARCH("Pesquisa de Preços",D9077)))</formula>
    </cfRule>
  </conditionalFormatting>
  <conditionalFormatting sqref="D9076">
    <cfRule type="containsText" dxfId="50" priority="48" operator="containsText" text="Pesquisa de Preços">
      <formula>NOT(ISERROR(SEARCH("Pesquisa de Preços",D9076)))</formula>
    </cfRule>
  </conditionalFormatting>
  <conditionalFormatting sqref="D9074">
    <cfRule type="containsText" dxfId="49" priority="47" operator="containsText" text="Pesquisa de Preços">
      <formula>NOT(ISERROR(SEARCH("Pesquisa de Preços",D9074)))</formula>
    </cfRule>
  </conditionalFormatting>
  <conditionalFormatting sqref="D9089">
    <cfRule type="containsText" dxfId="44" priority="41" operator="containsText" text="Pesquisa de Preços">
      <formula>NOT(ISERROR(SEARCH("Pesquisa de Preços",D9089)))</formula>
    </cfRule>
  </conditionalFormatting>
  <conditionalFormatting sqref="D9088">
    <cfRule type="containsText" dxfId="43" priority="40" operator="containsText" text="Pesquisa de Preços">
      <formula>NOT(ISERROR(SEARCH("Pesquisa de Preços",D9088)))</formula>
    </cfRule>
  </conditionalFormatting>
  <conditionalFormatting sqref="D9093">
    <cfRule type="containsText" dxfId="38" priority="35" operator="containsText" text="Pesquisa de Preços">
      <formula>NOT(ISERROR(SEARCH("Pesquisa de Preços",D9093)))</formula>
    </cfRule>
  </conditionalFormatting>
  <conditionalFormatting sqref="D9092">
    <cfRule type="containsText" dxfId="37" priority="34" operator="containsText" text="Pesquisa de Preços">
      <formula>NOT(ISERROR(SEARCH("Pesquisa de Preços",D9092)))</formula>
    </cfRule>
  </conditionalFormatting>
  <conditionalFormatting sqref="D9090 D9086">
    <cfRule type="containsText" dxfId="36" priority="33" operator="containsText" text="Pesquisa de Preços">
      <formula>NOT(ISERROR(SEARCH("Pesquisa de Preços",D9086)))</formula>
    </cfRule>
  </conditionalFormatting>
  <conditionalFormatting sqref="D9097">
    <cfRule type="containsText" dxfId="35" priority="27" operator="containsText" text="Pesquisa de Preços">
      <formula>NOT(ISERROR(SEARCH("Pesquisa de Preços",D9097)))</formula>
    </cfRule>
  </conditionalFormatting>
  <conditionalFormatting sqref="D9096">
    <cfRule type="containsText" dxfId="34" priority="26" operator="containsText" text="Pesquisa de Preços">
      <formula>NOT(ISERROR(SEARCH("Pesquisa de Preços",D9096)))</formula>
    </cfRule>
  </conditionalFormatting>
  <conditionalFormatting sqref="D9101">
    <cfRule type="containsText" dxfId="33" priority="21" operator="containsText" text="Pesquisa de Preços">
      <formula>NOT(ISERROR(SEARCH("Pesquisa de Preços",D9101)))</formula>
    </cfRule>
  </conditionalFormatting>
  <conditionalFormatting sqref="D9100">
    <cfRule type="containsText" dxfId="32" priority="20" operator="containsText" text="Pesquisa de Preços">
      <formula>NOT(ISERROR(SEARCH("Pesquisa de Preços",D9100)))</formula>
    </cfRule>
  </conditionalFormatting>
  <conditionalFormatting sqref="D9105">
    <cfRule type="containsText" dxfId="31" priority="15" operator="containsText" text="Pesquisa de Preços">
      <formula>NOT(ISERROR(SEARCH("Pesquisa de Preços",D9105)))</formula>
    </cfRule>
  </conditionalFormatting>
  <conditionalFormatting sqref="D9104">
    <cfRule type="containsText" dxfId="30" priority="14" operator="containsText" text="Pesquisa de Preços">
      <formula>NOT(ISERROR(SEARCH("Pesquisa de Preços",D9104)))</formula>
    </cfRule>
  </conditionalFormatting>
  <conditionalFormatting sqref="D9102 D9098 D9094">
    <cfRule type="containsText" dxfId="29" priority="13" operator="containsText" text="Pesquisa de Preços">
      <formula>NOT(ISERROR(SEARCH("Pesquisa de Preços",D9094)))</formula>
    </cfRule>
  </conditionalFormatting>
  <hyperlinks>
    <hyperlink ref="C455" r:id="rId1"/>
    <hyperlink ref="C489" r:id="rId2"/>
    <hyperlink ref="C488" r:id="rId3"/>
    <hyperlink ref="C474" r:id="rId4"/>
    <hyperlink ref="C4633" r:id="rId5"/>
    <hyperlink ref="C4701" r:id="rId6"/>
    <hyperlink ref="C4680" r:id="rId7"/>
    <hyperlink ref="C3165" r:id="rId8"/>
    <hyperlink ref="C473" r:id="rId9"/>
  </hyperlinks>
  <printOptions horizontalCentered="1"/>
  <pageMargins left="0.19685039370078741" right="0.19685039370078741" top="0.98425196850393704" bottom="0.59055118110236227" header="0.19685039370078741" footer="0.19685039370078741"/>
  <pageSetup paperSize="9" scale="47" fitToHeight="0" orientation="landscape" horizontalDpi="4294967295" verticalDpi="4294967295" r:id="rId10"/>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9" manualBreakCount="9">
    <brk id="5497" max="10" man="1"/>
    <brk id="8676" max="10" man="1"/>
    <brk id="8725" max="10" man="1"/>
    <brk id="8877" max="10" man="1"/>
    <brk id="8925" max="10" man="1"/>
    <brk id="8973" max="10" man="1"/>
    <brk id="9021" max="10" man="1"/>
    <brk id="9065" max="10" man="1"/>
    <brk id="9109" max="10"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8">
    <tabColor rgb="FFFFFF00"/>
    <pageSetUpPr fitToPage="1"/>
  </sheetPr>
  <dimension ref="A1:GI693"/>
  <sheetViews>
    <sheetView tabSelected="1" zoomScale="80" zoomScaleNormal="80" zoomScaleSheetLayoutView="55" workbookViewId="0">
      <pane ySplit="5" topLeftCell="A6" activePane="bottomLeft" state="frozen"/>
      <selection activeCell="B1" sqref="B1"/>
      <selection pane="bottomLeft" activeCell="D33" sqref="D33"/>
    </sheetView>
  </sheetViews>
  <sheetFormatPr defaultColWidth="9.140625" defaultRowHeight="12.75" x14ac:dyDescent="0.2"/>
  <cols>
    <col min="1" max="1" width="8.7109375" style="216" customWidth="1"/>
    <col min="2" max="2" width="15.7109375" style="216" customWidth="1"/>
    <col min="3" max="3" width="80.7109375" style="230" customWidth="1"/>
    <col min="4" max="4" width="15.7109375" style="216" customWidth="1"/>
    <col min="5" max="7" width="15.7109375" style="217" customWidth="1"/>
    <col min="8" max="8" width="15.7109375" style="218" customWidth="1"/>
    <col min="9" max="9" width="15.7109375" style="219" customWidth="1"/>
    <col min="10" max="10" width="20.7109375" style="220" customWidth="1"/>
    <col min="11" max="11" width="20.7109375" style="221" customWidth="1"/>
    <col min="12" max="12" width="15.7109375" style="222" customWidth="1"/>
    <col min="13" max="15" width="20.7109375" style="222" customWidth="1"/>
    <col min="16" max="16" width="20.7109375" style="221" customWidth="1"/>
    <col min="17" max="17" width="9.140625" style="182" customWidth="1"/>
    <col min="18" max="18" width="20.85546875" style="182" bestFit="1" customWidth="1"/>
    <col min="19" max="16384" width="9.140625" style="182"/>
  </cols>
  <sheetData>
    <row r="1" spans="1:191" s="183" customFormat="1" ht="24.95" customHeight="1" x14ac:dyDescent="0.2">
      <c r="A1" s="177" t="s">
        <v>38142</v>
      </c>
      <c r="B1" s="178"/>
      <c r="C1" s="225"/>
      <c r="D1" s="178"/>
      <c r="E1" s="178"/>
      <c r="F1" s="178"/>
      <c r="G1" s="178"/>
      <c r="H1" s="179"/>
      <c r="I1" s="180"/>
      <c r="J1" s="178"/>
      <c r="K1" s="178"/>
      <c r="L1" s="178"/>
      <c r="M1" s="178"/>
      <c r="N1" s="178"/>
      <c r="O1" s="178"/>
      <c r="P1" s="178"/>
      <c r="Q1" s="181"/>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2"/>
      <c r="CG1" s="182"/>
      <c r="CH1" s="182"/>
      <c r="CI1" s="182"/>
      <c r="CJ1" s="182"/>
      <c r="CK1" s="182"/>
      <c r="CL1" s="182"/>
      <c r="CM1" s="182"/>
      <c r="CN1" s="182"/>
      <c r="CO1" s="182"/>
      <c r="CP1" s="182"/>
      <c r="CQ1" s="182"/>
      <c r="CR1" s="182"/>
      <c r="CS1" s="182"/>
      <c r="CT1" s="182"/>
      <c r="CU1" s="182"/>
      <c r="CV1" s="182"/>
      <c r="CW1" s="182"/>
      <c r="CX1" s="182"/>
      <c r="CY1" s="182"/>
      <c r="CZ1" s="182"/>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2"/>
      <c r="EU1" s="182"/>
      <c r="EV1" s="182"/>
      <c r="EW1" s="182"/>
      <c r="EX1" s="182"/>
      <c r="EY1" s="182"/>
      <c r="EZ1" s="182"/>
      <c r="FA1" s="182"/>
      <c r="FB1" s="182"/>
      <c r="FC1" s="182"/>
      <c r="FD1" s="182"/>
      <c r="FE1" s="182"/>
      <c r="FF1" s="182"/>
      <c r="FG1" s="182"/>
      <c r="FH1" s="182"/>
      <c r="FI1" s="182"/>
      <c r="FJ1" s="182"/>
      <c r="FK1" s="182"/>
      <c r="FL1" s="182"/>
      <c r="FM1" s="182"/>
      <c r="FN1" s="182"/>
      <c r="FO1" s="182"/>
      <c r="FP1" s="182"/>
      <c r="FQ1" s="182"/>
      <c r="FR1" s="182"/>
      <c r="FS1" s="182"/>
      <c r="FT1" s="182"/>
      <c r="FU1" s="182"/>
      <c r="FV1" s="182"/>
      <c r="FW1" s="182"/>
      <c r="FX1" s="182"/>
      <c r="FY1" s="182"/>
      <c r="FZ1" s="182"/>
      <c r="GA1" s="182"/>
      <c r="GB1" s="182"/>
      <c r="GC1" s="182"/>
      <c r="GD1" s="182"/>
      <c r="GE1" s="182"/>
      <c r="GF1" s="182"/>
      <c r="GG1" s="182"/>
      <c r="GH1" s="182"/>
      <c r="GI1" s="182"/>
    </row>
    <row r="2" spans="1:191" s="183" customFormat="1" ht="24.95" customHeight="1" x14ac:dyDescent="0.2">
      <c r="A2" s="184" t="s">
        <v>1299</v>
      </c>
      <c r="B2" s="185"/>
      <c r="C2" s="226"/>
      <c r="D2" s="185"/>
      <c r="E2" s="185"/>
      <c r="F2" s="185"/>
      <c r="G2" s="185"/>
      <c r="H2" s="186"/>
      <c r="I2" s="187"/>
      <c r="J2" s="185"/>
      <c r="K2" s="185"/>
      <c r="L2" s="185"/>
      <c r="M2" s="185"/>
      <c r="N2" s="185"/>
      <c r="O2" s="185"/>
      <c r="P2" s="185"/>
      <c r="Q2" s="181"/>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2"/>
      <c r="CG2" s="182"/>
      <c r="CH2" s="182"/>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row>
    <row r="3" spans="1:191" s="183" customFormat="1" ht="20.100000000000001" customHeight="1" x14ac:dyDescent="0.2">
      <c r="A3" s="188" t="s">
        <v>38882</v>
      </c>
      <c r="B3" s="189"/>
      <c r="C3" s="189"/>
      <c r="D3" s="189"/>
      <c r="E3" s="189"/>
      <c r="F3" s="189"/>
      <c r="G3" s="189"/>
      <c r="H3" s="190"/>
      <c r="I3" s="191"/>
      <c r="J3" s="189"/>
      <c r="K3" s="189"/>
      <c r="L3" s="189"/>
      <c r="M3" s="189"/>
      <c r="N3" s="189"/>
      <c r="O3" s="189"/>
      <c r="P3" s="189"/>
      <c r="Q3" s="181"/>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c r="AX3" s="182"/>
      <c r="AY3" s="182"/>
      <c r="AZ3" s="182"/>
      <c r="BA3" s="182"/>
      <c r="BB3" s="182"/>
      <c r="BC3" s="182"/>
      <c r="BD3" s="182"/>
      <c r="BE3" s="182"/>
      <c r="BF3" s="182"/>
      <c r="BG3" s="182"/>
      <c r="BH3" s="182"/>
      <c r="BI3" s="182"/>
      <c r="BJ3" s="182"/>
      <c r="BK3" s="182"/>
      <c r="BL3" s="182"/>
      <c r="BM3" s="182"/>
      <c r="BN3" s="182"/>
      <c r="BO3" s="182"/>
      <c r="BP3" s="182"/>
      <c r="BQ3" s="182"/>
      <c r="BR3" s="182"/>
      <c r="BS3" s="182"/>
      <c r="BT3" s="182"/>
      <c r="BU3" s="182"/>
      <c r="BV3" s="182"/>
      <c r="BW3" s="182"/>
      <c r="BX3" s="182"/>
      <c r="BY3" s="182"/>
      <c r="BZ3" s="182"/>
      <c r="CA3" s="182"/>
      <c r="CB3" s="182"/>
      <c r="CC3" s="182"/>
      <c r="CD3" s="182"/>
      <c r="CE3" s="182"/>
      <c r="CF3" s="182"/>
      <c r="CG3" s="182"/>
      <c r="CH3" s="182"/>
      <c r="CI3" s="182"/>
      <c r="CJ3" s="182"/>
      <c r="CK3" s="182"/>
      <c r="CL3" s="182"/>
      <c r="CM3" s="182"/>
      <c r="CN3" s="182"/>
      <c r="CO3" s="182"/>
      <c r="CP3" s="182"/>
      <c r="CQ3" s="182"/>
      <c r="CR3" s="182"/>
      <c r="CS3" s="182"/>
      <c r="CT3" s="182"/>
      <c r="CU3" s="182"/>
      <c r="CV3" s="182"/>
      <c r="CW3" s="182"/>
      <c r="CX3" s="182"/>
      <c r="CY3" s="182"/>
      <c r="CZ3" s="182"/>
      <c r="DA3" s="182"/>
      <c r="DB3" s="182"/>
      <c r="DC3" s="182"/>
      <c r="DD3" s="182"/>
      <c r="DE3" s="182"/>
      <c r="DF3" s="182"/>
      <c r="DG3" s="182"/>
      <c r="DH3" s="182"/>
      <c r="DI3" s="182"/>
      <c r="DJ3" s="182"/>
      <c r="DK3" s="182"/>
      <c r="DL3" s="182"/>
      <c r="DM3" s="182"/>
      <c r="DN3" s="182"/>
      <c r="DO3" s="182"/>
      <c r="DP3" s="182"/>
      <c r="DQ3" s="182"/>
      <c r="DR3" s="182"/>
      <c r="DS3" s="182"/>
      <c r="DT3" s="182"/>
      <c r="DU3" s="182"/>
      <c r="DV3" s="182"/>
      <c r="DW3" s="182"/>
      <c r="DX3" s="182"/>
      <c r="DY3" s="182"/>
      <c r="DZ3" s="182"/>
      <c r="EA3" s="182"/>
      <c r="EB3" s="182"/>
      <c r="EC3" s="182"/>
      <c r="ED3" s="182"/>
      <c r="EE3" s="182"/>
      <c r="EF3" s="182"/>
      <c r="EG3" s="182"/>
      <c r="EH3" s="182"/>
      <c r="EI3" s="182"/>
      <c r="EJ3" s="182"/>
      <c r="EK3" s="182"/>
      <c r="EL3" s="182"/>
      <c r="EM3" s="182"/>
      <c r="EN3" s="182"/>
      <c r="EO3" s="182"/>
      <c r="EP3" s="182"/>
      <c r="EQ3" s="182"/>
      <c r="ER3" s="182"/>
      <c r="ES3" s="182"/>
      <c r="ET3" s="182"/>
      <c r="EU3" s="182"/>
      <c r="EV3" s="182"/>
      <c r="EW3" s="182"/>
      <c r="EX3" s="182"/>
      <c r="EY3" s="182"/>
      <c r="EZ3" s="182"/>
      <c r="FA3" s="182"/>
      <c r="FB3" s="182"/>
      <c r="FC3" s="182"/>
      <c r="FD3" s="182"/>
      <c r="FE3" s="182"/>
      <c r="FF3" s="182"/>
      <c r="FG3" s="182"/>
      <c r="FH3" s="182"/>
      <c r="FI3" s="182"/>
      <c r="FJ3" s="182"/>
      <c r="FK3" s="182"/>
      <c r="FL3" s="182"/>
      <c r="FM3" s="182"/>
      <c r="FN3" s="182"/>
      <c r="FO3" s="182"/>
      <c r="FP3" s="182"/>
      <c r="FQ3" s="182"/>
      <c r="FR3" s="182"/>
      <c r="FS3" s="182"/>
      <c r="FT3" s="182"/>
      <c r="FU3" s="182"/>
      <c r="FV3" s="182"/>
      <c r="FW3" s="182"/>
      <c r="FX3" s="182"/>
      <c r="FY3" s="182"/>
      <c r="FZ3" s="182"/>
      <c r="GA3" s="182"/>
      <c r="GB3" s="182"/>
      <c r="GC3" s="182"/>
      <c r="GD3" s="182"/>
      <c r="GE3" s="182"/>
      <c r="GF3" s="182"/>
      <c r="GG3" s="182"/>
      <c r="GH3" s="182"/>
      <c r="GI3" s="182"/>
    </row>
    <row r="4" spans="1:191" s="183" customFormat="1" ht="18" customHeight="1" thickBot="1" x14ac:dyDescent="0.25">
      <c r="A4" s="192"/>
      <c r="B4" s="192"/>
      <c r="C4" s="193"/>
      <c r="D4" s="193"/>
      <c r="E4" s="193"/>
      <c r="F4" s="193"/>
      <c r="G4" s="193"/>
      <c r="H4" s="194"/>
      <c r="I4" s="195"/>
      <c r="J4" s="193"/>
      <c r="K4" s="193"/>
      <c r="L4" s="193"/>
      <c r="M4" s="193"/>
      <c r="N4" s="193"/>
      <c r="O4" s="193"/>
      <c r="P4" s="193"/>
      <c r="Q4" s="181"/>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2"/>
      <c r="CG4" s="182"/>
      <c r="CH4" s="182"/>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c r="DO4" s="182"/>
      <c r="DP4" s="182"/>
      <c r="DQ4" s="182"/>
      <c r="DR4" s="182"/>
      <c r="DS4" s="182"/>
      <c r="DT4" s="182"/>
      <c r="DU4" s="182"/>
      <c r="DV4" s="182"/>
      <c r="DW4" s="182"/>
      <c r="DX4" s="182"/>
      <c r="DY4" s="182"/>
      <c r="DZ4" s="182"/>
      <c r="EA4" s="182"/>
      <c r="EB4" s="182"/>
      <c r="EC4" s="182"/>
      <c r="ED4" s="182"/>
      <c r="EE4" s="182"/>
      <c r="EF4" s="182"/>
      <c r="EG4" s="182"/>
      <c r="EH4" s="182"/>
      <c r="EI4" s="182"/>
      <c r="EJ4" s="182"/>
      <c r="EK4" s="182"/>
      <c r="EL4" s="182"/>
      <c r="EM4" s="182"/>
      <c r="EN4" s="182"/>
      <c r="EO4" s="182"/>
      <c r="EP4" s="182"/>
      <c r="EQ4" s="182"/>
      <c r="ER4" s="182"/>
      <c r="ES4" s="182"/>
      <c r="ET4" s="182"/>
      <c r="EU4" s="182"/>
      <c r="EV4" s="182"/>
      <c r="EW4" s="182"/>
      <c r="EX4" s="182"/>
      <c r="EY4" s="182"/>
      <c r="EZ4" s="182"/>
      <c r="FA4" s="182"/>
      <c r="FB4" s="182"/>
      <c r="FC4" s="182"/>
      <c r="FD4" s="182"/>
      <c r="FE4" s="182"/>
      <c r="FF4" s="182"/>
      <c r="FG4" s="182"/>
      <c r="FH4" s="182"/>
      <c r="FI4" s="182"/>
      <c r="FJ4" s="182"/>
      <c r="FK4" s="182"/>
      <c r="FL4" s="182"/>
      <c r="FM4" s="182"/>
      <c r="FN4" s="182"/>
      <c r="FO4" s="182"/>
      <c r="FP4" s="182"/>
      <c r="FQ4" s="182"/>
      <c r="FR4" s="182"/>
      <c r="FS4" s="182"/>
      <c r="FT4" s="182"/>
      <c r="FU4" s="182"/>
      <c r="FV4" s="182"/>
      <c r="FW4" s="182"/>
      <c r="FX4" s="182"/>
      <c r="FY4" s="182"/>
      <c r="FZ4" s="182"/>
      <c r="GA4" s="182"/>
      <c r="GB4" s="182"/>
      <c r="GC4" s="182"/>
      <c r="GD4" s="182"/>
      <c r="GE4" s="182"/>
      <c r="GF4" s="182"/>
      <c r="GG4" s="182"/>
      <c r="GH4" s="182"/>
      <c r="GI4" s="182"/>
    </row>
    <row r="5" spans="1:191" s="197" customFormat="1" ht="60" customHeight="1" x14ac:dyDescent="0.2">
      <c r="A5" s="254" t="s">
        <v>1</v>
      </c>
      <c r="B5" s="255" t="s">
        <v>38143</v>
      </c>
      <c r="C5" s="255" t="s">
        <v>2</v>
      </c>
      <c r="D5" s="256" t="s">
        <v>205</v>
      </c>
      <c r="E5" s="257" t="s">
        <v>1300</v>
      </c>
      <c r="F5" s="257" t="s">
        <v>38893</v>
      </c>
      <c r="G5" s="257" t="s">
        <v>38156</v>
      </c>
      <c r="H5" s="257" t="s">
        <v>38892</v>
      </c>
      <c r="I5" s="257" t="s">
        <v>38891</v>
      </c>
      <c r="J5" s="258" t="s">
        <v>6</v>
      </c>
      <c r="K5" s="254" t="s">
        <v>1301</v>
      </c>
      <c r="L5" s="255" t="s">
        <v>1302</v>
      </c>
      <c r="M5" s="255" t="s">
        <v>38894</v>
      </c>
      <c r="N5" s="256" t="s">
        <v>38822</v>
      </c>
      <c r="O5" s="257" t="s">
        <v>1303</v>
      </c>
      <c r="P5" s="257" t="s">
        <v>7</v>
      </c>
      <c r="Q5" s="196"/>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c r="BF5" s="182"/>
      <c r="BG5" s="182"/>
      <c r="BH5" s="182"/>
      <c r="BI5" s="182"/>
      <c r="BJ5" s="182"/>
      <c r="BK5" s="182"/>
      <c r="BL5" s="182"/>
      <c r="BM5" s="182"/>
      <c r="BN5" s="182"/>
      <c r="BO5" s="182"/>
      <c r="BP5" s="182"/>
      <c r="BQ5" s="182"/>
      <c r="BR5" s="182"/>
      <c r="BS5" s="182"/>
      <c r="BT5" s="182"/>
      <c r="BU5" s="182"/>
      <c r="BV5" s="182"/>
      <c r="BW5" s="182"/>
      <c r="BX5" s="182"/>
      <c r="BY5" s="182"/>
      <c r="BZ5" s="182"/>
      <c r="CA5" s="182"/>
      <c r="CB5" s="182"/>
      <c r="CC5" s="182"/>
      <c r="CD5" s="182"/>
      <c r="CE5" s="182"/>
      <c r="CF5" s="182"/>
      <c r="CG5" s="182"/>
      <c r="CH5" s="182"/>
      <c r="CI5" s="182"/>
      <c r="CJ5" s="182"/>
      <c r="CK5" s="182"/>
      <c r="CL5" s="182"/>
      <c r="CM5" s="182"/>
      <c r="CN5" s="182"/>
      <c r="CO5" s="182"/>
      <c r="CP5" s="182"/>
      <c r="CQ5" s="182"/>
      <c r="CR5" s="182"/>
      <c r="CS5" s="182"/>
      <c r="CT5" s="182"/>
      <c r="CU5" s="182"/>
      <c r="CV5" s="182"/>
      <c r="CW5" s="182"/>
      <c r="CX5" s="182"/>
      <c r="CY5" s="182"/>
      <c r="CZ5" s="182"/>
      <c r="DA5" s="182"/>
      <c r="DB5" s="182"/>
      <c r="DC5" s="182"/>
      <c r="DD5" s="182"/>
      <c r="DE5" s="182"/>
      <c r="DF5" s="182"/>
      <c r="DG5" s="182"/>
      <c r="DH5" s="182"/>
      <c r="DI5" s="182"/>
      <c r="DJ5" s="182"/>
      <c r="DK5" s="182"/>
      <c r="DL5" s="182"/>
      <c r="DM5" s="182"/>
      <c r="DN5" s="182"/>
      <c r="DO5" s="182"/>
      <c r="DP5" s="182"/>
      <c r="DQ5" s="182"/>
      <c r="DR5" s="182"/>
      <c r="DS5" s="182"/>
      <c r="DT5" s="182"/>
      <c r="DU5" s="182"/>
      <c r="DV5" s="182"/>
      <c r="DW5" s="182"/>
      <c r="DX5" s="182"/>
      <c r="DY5" s="182"/>
      <c r="DZ5" s="182"/>
      <c r="EA5" s="182"/>
      <c r="EB5" s="182"/>
      <c r="EC5" s="182"/>
      <c r="ED5" s="182"/>
      <c r="EE5" s="182"/>
      <c r="EF5" s="182"/>
      <c r="EG5" s="182"/>
      <c r="EH5" s="182"/>
      <c r="EI5" s="182"/>
      <c r="EJ5" s="182"/>
      <c r="EK5" s="182"/>
      <c r="EL5" s="182"/>
      <c r="EM5" s="182"/>
      <c r="EN5" s="182"/>
      <c r="EO5" s="182"/>
      <c r="EP5" s="182"/>
      <c r="EQ5" s="182"/>
      <c r="ER5" s="182"/>
      <c r="ES5" s="182"/>
      <c r="ET5" s="182"/>
      <c r="EU5" s="182"/>
      <c r="EV5" s="182"/>
      <c r="EW5" s="182"/>
      <c r="EX5" s="182"/>
      <c r="EY5" s="182"/>
      <c r="EZ5" s="182"/>
      <c r="FA5" s="182"/>
      <c r="FB5" s="182"/>
      <c r="FC5" s="182"/>
      <c r="FD5" s="182"/>
      <c r="FE5" s="182"/>
      <c r="FF5" s="182"/>
      <c r="FG5" s="182"/>
      <c r="FH5" s="182"/>
      <c r="FI5" s="182"/>
      <c r="FJ5" s="182"/>
      <c r="FK5" s="182"/>
      <c r="FL5" s="182"/>
      <c r="FM5" s="182"/>
      <c r="FN5" s="182"/>
      <c r="FO5" s="182"/>
      <c r="FP5" s="182"/>
      <c r="FQ5" s="182"/>
      <c r="FR5" s="182"/>
      <c r="FS5" s="182"/>
      <c r="FT5" s="182"/>
      <c r="FU5" s="182"/>
      <c r="FV5" s="182"/>
      <c r="FW5" s="182"/>
      <c r="FX5" s="182"/>
      <c r="FY5" s="182"/>
      <c r="FZ5" s="182"/>
      <c r="GA5" s="182"/>
      <c r="GB5" s="182"/>
      <c r="GC5" s="182"/>
      <c r="GD5" s="182"/>
      <c r="GE5" s="182"/>
      <c r="GF5" s="182"/>
      <c r="GG5" s="182"/>
      <c r="GH5" s="182"/>
      <c r="GI5" s="182"/>
    </row>
    <row r="6" spans="1:191" s="209" customFormat="1" ht="15" x14ac:dyDescent="0.25">
      <c r="A6" s="229" t="s">
        <v>38180</v>
      </c>
      <c r="B6" s="198"/>
      <c r="C6" s="227" t="s">
        <v>38138</v>
      </c>
      <c r="D6" s="199"/>
      <c r="E6" s="199"/>
      <c r="F6" s="199"/>
      <c r="G6" s="199"/>
      <c r="H6" s="200"/>
      <c r="I6" s="201"/>
      <c r="J6" s="199"/>
      <c r="K6" s="202">
        <f>SUBTOTAL(109,K7)</f>
        <v>267725.09999999998</v>
      </c>
      <c r="L6" s="199"/>
      <c r="M6" s="199"/>
      <c r="N6" s="199"/>
      <c r="O6" s="199"/>
      <c r="P6" s="202">
        <f>SUBTOTAL(109,P7)</f>
        <v>267725.09999999998</v>
      </c>
      <c r="R6" s="203"/>
      <c r="S6" s="182"/>
      <c r="T6" s="182"/>
      <c r="U6" s="182"/>
      <c r="V6" s="182"/>
      <c r="W6" s="182"/>
      <c r="X6" s="182"/>
      <c r="Y6" s="182"/>
      <c r="Z6" s="182"/>
      <c r="AA6" s="182"/>
      <c r="AB6" s="182"/>
      <c r="AC6" s="182"/>
      <c r="AD6" s="182"/>
      <c r="AE6" s="182"/>
      <c r="AF6" s="182"/>
      <c r="AG6" s="182"/>
      <c r="AH6" s="182"/>
      <c r="AI6" s="182"/>
      <c r="AJ6" s="182"/>
      <c r="AK6" s="182"/>
      <c r="AL6" s="182"/>
      <c r="AM6" s="182"/>
      <c r="AN6" s="182"/>
      <c r="AO6" s="182"/>
      <c r="AP6" s="182"/>
      <c r="AQ6" s="182"/>
      <c r="AR6" s="182"/>
      <c r="AS6" s="182"/>
      <c r="AT6" s="182"/>
      <c r="AU6" s="182"/>
      <c r="AV6" s="182"/>
      <c r="AW6" s="182"/>
      <c r="AX6" s="182"/>
      <c r="AY6" s="182"/>
      <c r="AZ6" s="182"/>
      <c r="BA6" s="182"/>
      <c r="BB6" s="182"/>
      <c r="BC6" s="182"/>
      <c r="BD6" s="182"/>
      <c r="BE6" s="182"/>
      <c r="BF6" s="182"/>
      <c r="BG6" s="182"/>
      <c r="BH6" s="182"/>
      <c r="BI6" s="182"/>
      <c r="BJ6" s="182"/>
      <c r="BK6" s="182"/>
      <c r="BL6" s="182"/>
      <c r="BM6" s="182"/>
      <c r="BN6" s="182"/>
      <c r="BO6" s="182"/>
      <c r="BP6" s="182"/>
      <c r="BQ6" s="182"/>
      <c r="BR6" s="182"/>
      <c r="BS6" s="182"/>
      <c r="BT6" s="182"/>
      <c r="BU6" s="182"/>
      <c r="BV6" s="182"/>
      <c r="BW6" s="182"/>
      <c r="BX6" s="182"/>
      <c r="BY6" s="182"/>
      <c r="BZ6" s="182"/>
      <c r="CA6" s="182"/>
      <c r="CB6" s="182"/>
      <c r="CC6" s="182"/>
      <c r="CD6" s="182"/>
      <c r="CE6" s="182"/>
      <c r="CF6" s="182"/>
      <c r="CG6" s="182"/>
      <c r="CH6" s="182"/>
      <c r="CI6" s="182"/>
      <c r="CJ6" s="182"/>
      <c r="CK6" s="182"/>
      <c r="CL6" s="182"/>
      <c r="CM6" s="182"/>
      <c r="CN6" s="182"/>
      <c r="CO6" s="182"/>
      <c r="CP6" s="182"/>
      <c r="CQ6" s="182"/>
      <c r="CR6" s="182"/>
      <c r="CS6" s="182"/>
      <c r="CT6" s="182"/>
      <c r="CU6" s="182"/>
      <c r="CV6" s="182"/>
      <c r="CW6" s="182"/>
      <c r="CX6" s="182"/>
      <c r="CY6" s="182"/>
      <c r="CZ6" s="182"/>
      <c r="DA6" s="182"/>
      <c r="DB6" s="182"/>
      <c r="DC6" s="182"/>
      <c r="DD6" s="182"/>
      <c r="DE6" s="182"/>
      <c r="DF6" s="182"/>
      <c r="DG6" s="182"/>
      <c r="DH6" s="182"/>
      <c r="DI6" s="182"/>
      <c r="DJ6" s="182"/>
      <c r="DK6" s="182"/>
      <c r="DL6" s="182"/>
      <c r="DM6" s="182"/>
      <c r="DN6" s="182"/>
      <c r="DO6" s="182"/>
      <c r="DP6" s="182"/>
      <c r="DQ6" s="182"/>
      <c r="DR6" s="182"/>
      <c r="DS6" s="182"/>
      <c r="DT6" s="182"/>
      <c r="DU6" s="182"/>
      <c r="DV6" s="182"/>
      <c r="DW6" s="182"/>
      <c r="DX6" s="182"/>
      <c r="DY6" s="182"/>
      <c r="DZ6" s="182"/>
      <c r="EA6" s="182"/>
      <c r="EB6" s="182"/>
      <c r="EC6" s="182"/>
      <c r="ED6" s="182"/>
      <c r="EE6" s="182"/>
      <c r="EF6" s="182"/>
      <c r="EG6" s="182"/>
      <c r="EH6" s="182"/>
      <c r="EI6" s="182"/>
      <c r="EJ6" s="182"/>
      <c r="EK6" s="182"/>
      <c r="EL6" s="182"/>
      <c r="EM6" s="182"/>
      <c r="EN6" s="182"/>
      <c r="EO6" s="182"/>
      <c r="EP6" s="182"/>
      <c r="EQ6" s="182"/>
      <c r="ER6" s="182"/>
      <c r="ES6" s="182"/>
      <c r="ET6" s="182"/>
      <c r="EU6" s="182"/>
      <c r="EV6" s="182"/>
      <c r="EW6" s="182"/>
      <c r="EX6" s="182"/>
      <c r="EY6" s="182"/>
      <c r="EZ6" s="182"/>
      <c r="FA6" s="182"/>
      <c r="FB6" s="182"/>
      <c r="FC6" s="182"/>
      <c r="FD6" s="182"/>
      <c r="FE6" s="182"/>
      <c r="FF6" s="182"/>
      <c r="FG6" s="182"/>
      <c r="FH6" s="182"/>
      <c r="FI6" s="182"/>
      <c r="FJ6" s="182"/>
      <c r="FK6" s="182"/>
      <c r="FL6" s="182"/>
      <c r="FM6" s="182"/>
      <c r="FN6" s="182"/>
      <c r="FO6" s="182"/>
      <c r="FP6" s="182"/>
      <c r="FQ6" s="182"/>
      <c r="FR6" s="182"/>
      <c r="FS6" s="182"/>
      <c r="FT6" s="182"/>
      <c r="FU6" s="182"/>
      <c r="FV6" s="182"/>
      <c r="FW6" s="182"/>
      <c r="FX6" s="182"/>
      <c r="FY6" s="182"/>
      <c r="FZ6" s="182"/>
      <c r="GA6" s="182"/>
      <c r="GB6" s="182"/>
      <c r="GC6" s="182"/>
      <c r="GD6" s="182"/>
      <c r="GE6" s="182"/>
      <c r="GF6" s="182"/>
      <c r="GG6" s="182"/>
      <c r="GH6" s="182"/>
      <c r="GI6" s="182"/>
    </row>
    <row r="7" spans="1:191" s="209" customFormat="1" ht="25.5" x14ac:dyDescent="0.2">
      <c r="A7" s="210" t="s">
        <v>38144</v>
      </c>
      <c r="B7" s="210" t="s">
        <v>18865</v>
      </c>
      <c r="C7" s="224" t="s">
        <v>22141</v>
      </c>
      <c r="D7" s="211" t="s">
        <v>13151</v>
      </c>
      <c r="E7" s="211">
        <v>30</v>
      </c>
      <c r="F7" s="211"/>
      <c r="G7" s="211">
        <v>1</v>
      </c>
      <c r="H7" s="212"/>
      <c r="I7" s="213"/>
      <c r="J7" s="272">
        <v>8924.17</v>
      </c>
      <c r="K7" s="112">
        <f t="shared" ref="K7" si="0">IF(ISNUMBER(J7),ROUND(G7*E7*J7,2),"")</f>
        <v>267725.09999999998</v>
      </c>
      <c r="L7" s="273">
        <v>0</v>
      </c>
      <c r="M7" s="213"/>
      <c r="N7" s="213"/>
      <c r="O7" s="114">
        <f t="shared" ref="O7" si="1">IF(ISNUMBER(J7),ROUND(J7*(1+L7),2),"")</f>
        <v>8924.17</v>
      </c>
      <c r="P7" s="113">
        <f>IF(ISNUMBER(J7),ROUND(G7*O7*E7,2),"")</f>
        <v>267725.09999999998</v>
      </c>
      <c r="R7" s="203"/>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82"/>
      <c r="CE7" s="182"/>
      <c r="CF7" s="182"/>
      <c r="CG7" s="182"/>
      <c r="CH7" s="182"/>
      <c r="CI7" s="182"/>
      <c r="CJ7" s="182"/>
      <c r="CK7" s="182"/>
      <c r="CL7" s="182"/>
      <c r="CM7" s="182"/>
      <c r="CN7" s="182"/>
      <c r="CO7" s="182"/>
      <c r="CP7" s="182"/>
      <c r="CQ7" s="182"/>
      <c r="CR7" s="182"/>
      <c r="CS7" s="182"/>
      <c r="CT7" s="182"/>
      <c r="CU7" s="182"/>
      <c r="CV7" s="182"/>
      <c r="CW7" s="182"/>
      <c r="CX7" s="182"/>
      <c r="CY7" s="182"/>
      <c r="CZ7" s="182"/>
      <c r="DA7" s="182"/>
      <c r="DB7" s="182"/>
      <c r="DC7" s="182"/>
      <c r="DD7" s="182"/>
      <c r="DE7" s="182"/>
      <c r="DF7" s="182"/>
      <c r="DG7" s="182"/>
      <c r="DH7" s="182"/>
      <c r="DI7" s="182"/>
      <c r="DJ7" s="182"/>
      <c r="DK7" s="182"/>
      <c r="DL7" s="182"/>
      <c r="DM7" s="182"/>
      <c r="DN7" s="182"/>
      <c r="DO7" s="182"/>
      <c r="DP7" s="182"/>
      <c r="DQ7" s="182"/>
      <c r="DR7" s="182"/>
      <c r="DS7" s="182"/>
      <c r="DT7" s="182"/>
      <c r="DU7" s="182"/>
      <c r="DV7" s="182"/>
      <c r="DW7" s="182"/>
      <c r="DX7" s="182"/>
      <c r="DY7" s="182"/>
      <c r="DZ7" s="182"/>
      <c r="EA7" s="182"/>
      <c r="EB7" s="182"/>
      <c r="EC7" s="182"/>
      <c r="ED7" s="182"/>
      <c r="EE7" s="182"/>
      <c r="EF7" s="182"/>
      <c r="EG7" s="182"/>
      <c r="EH7" s="182"/>
      <c r="EI7" s="182"/>
      <c r="EJ7" s="182"/>
      <c r="EK7" s="182"/>
      <c r="EL7" s="182"/>
      <c r="EM7" s="182"/>
      <c r="EN7" s="182"/>
      <c r="EO7" s="182"/>
      <c r="EP7" s="182"/>
      <c r="EQ7" s="182"/>
      <c r="ER7" s="182"/>
      <c r="ES7" s="182"/>
      <c r="ET7" s="182"/>
      <c r="EU7" s="182"/>
      <c r="EV7" s="182"/>
      <c r="EW7" s="182"/>
      <c r="EX7" s="182"/>
      <c r="EY7" s="182"/>
      <c r="EZ7" s="182"/>
      <c r="FA7" s="182"/>
      <c r="FB7" s="182"/>
      <c r="FC7" s="182"/>
      <c r="FD7" s="182"/>
      <c r="FE7" s="182"/>
      <c r="FF7" s="182"/>
      <c r="FG7" s="182"/>
      <c r="FH7" s="182"/>
      <c r="FI7" s="182"/>
      <c r="FJ7" s="182"/>
      <c r="FK7" s="182"/>
      <c r="FL7" s="182"/>
      <c r="FM7" s="182"/>
      <c r="FN7" s="182"/>
      <c r="FO7" s="182"/>
      <c r="FP7" s="182"/>
      <c r="FQ7" s="182"/>
      <c r="FR7" s="182"/>
      <c r="FS7" s="182"/>
      <c r="FT7" s="182"/>
      <c r="FU7" s="182"/>
      <c r="FV7" s="182"/>
      <c r="FW7" s="182"/>
      <c r="FX7" s="182"/>
      <c r="FY7" s="182"/>
      <c r="FZ7" s="182"/>
      <c r="GA7" s="182"/>
      <c r="GB7" s="182"/>
      <c r="GC7" s="182"/>
      <c r="GD7" s="182"/>
      <c r="GE7" s="182"/>
      <c r="GF7" s="182"/>
      <c r="GG7" s="182"/>
      <c r="GH7" s="182"/>
      <c r="GI7" s="182"/>
    </row>
    <row r="8" spans="1:191" s="209" customFormat="1" ht="15" x14ac:dyDescent="0.25">
      <c r="A8" s="229" t="s">
        <v>38181</v>
      </c>
      <c r="B8" s="198"/>
      <c r="C8" s="227" t="s">
        <v>38139</v>
      </c>
      <c r="D8" s="199"/>
      <c r="E8" s="199"/>
      <c r="F8" s="199"/>
      <c r="G8" s="199"/>
      <c r="H8" s="200"/>
      <c r="I8" s="201"/>
      <c r="J8" s="199"/>
      <c r="K8" s="202">
        <f>SUBTOTAL(109,K9:K36)</f>
        <v>214045.48</v>
      </c>
      <c r="L8" s="199"/>
      <c r="M8" s="199"/>
      <c r="N8" s="199"/>
      <c r="O8" s="199"/>
      <c r="P8" s="202">
        <f>SUBTOTAL(109,P9:P36)</f>
        <v>219030.39</v>
      </c>
      <c r="R8" s="203"/>
      <c r="S8" s="182"/>
      <c r="T8" s="182"/>
      <c r="U8" s="182"/>
      <c r="V8" s="182"/>
      <c r="W8" s="182"/>
      <c r="X8" s="182"/>
      <c r="Y8" s="182"/>
      <c r="Z8" s="182"/>
      <c r="AA8" s="182"/>
      <c r="AB8" s="182"/>
      <c r="AC8" s="182"/>
      <c r="AD8" s="182"/>
      <c r="AE8" s="182"/>
      <c r="AF8" s="182"/>
      <c r="AG8" s="182"/>
      <c r="AH8" s="182"/>
      <c r="AI8" s="182"/>
      <c r="AJ8" s="182"/>
      <c r="AK8" s="182"/>
      <c r="AL8" s="182"/>
      <c r="AM8" s="182"/>
      <c r="AN8" s="182"/>
      <c r="AO8" s="182"/>
      <c r="AP8" s="182"/>
      <c r="AQ8" s="182"/>
      <c r="AR8" s="182"/>
      <c r="AS8" s="182"/>
      <c r="AT8" s="182"/>
      <c r="AU8" s="182"/>
      <c r="AV8" s="182"/>
      <c r="AW8" s="182"/>
      <c r="AX8" s="182"/>
      <c r="AY8" s="182"/>
      <c r="AZ8" s="182"/>
      <c r="BA8" s="182"/>
      <c r="BB8" s="182"/>
      <c r="BC8" s="182"/>
      <c r="BD8" s="182"/>
      <c r="BE8" s="182"/>
      <c r="BF8" s="182"/>
      <c r="BG8" s="182"/>
      <c r="BH8" s="182"/>
      <c r="BI8" s="182"/>
      <c r="BJ8" s="182"/>
      <c r="BK8" s="182"/>
      <c r="BL8" s="182"/>
      <c r="BM8" s="182"/>
      <c r="BN8" s="182"/>
      <c r="BO8" s="182"/>
      <c r="BP8" s="182"/>
      <c r="BQ8" s="182"/>
      <c r="BR8" s="182"/>
      <c r="BS8" s="182"/>
      <c r="BT8" s="182"/>
      <c r="BU8" s="182"/>
      <c r="BV8" s="182"/>
      <c r="BW8" s="182"/>
      <c r="BX8" s="182"/>
      <c r="BY8" s="182"/>
      <c r="BZ8" s="182"/>
      <c r="CA8" s="182"/>
      <c r="CB8" s="182"/>
      <c r="CC8" s="182"/>
      <c r="CD8" s="182"/>
      <c r="CE8" s="182"/>
      <c r="CF8" s="182"/>
      <c r="CG8" s="182"/>
      <c r="CH8" s="182"/>
      <c r="CI8" s="182"/>
      <c r="CJ8" s="182"/>
      <c r="CK8" s="182"/>
      <c r="CL8" s="182"/>
      <c r="CM8" s="182"/>
      <c r="CN8" s="182"/>
      <c r="CO8" s="182"/>
      <c r="CP8" s="182"/>
      <c r="CQ8" s="182"/>
      <c r="CR8" s="182"/>
      <c r="CS8" s="182"/>
      <c r="CT8" s="182"/>
      <c r="CU8" s="182"/>
      <c r="CV8" s="182"/>
      <c r="CW8" s="182"/>
      <c r="CX8" s="182"/>
      <c r="CY8" s="182"/>
      <c r="CZ8" s="182"/>
      <c r="DA8" s="182"/>
      <c r="DB8" s="182"/>
      <c r="DC8" s="182"/>
      <c r="DD8" s="182"/>
      <c r="DE8" s="182"/>
      <c r="DF8" s="182"/>
      <c r="DG8" s="182"/>
      <c r="DH8" s="182"/>
      <c r="DI8" s="182"/>
      <c r="DJ8" s="182"/>
      <c r="DK8" s="182"/>
      <c r="DL8" s="182"/>
      <c r="DM8" s="182"/>
      <c r="DN8" s="182"/>
      <c r="DO8" s="182"/>
      <c r="DP8" s="182"/>
      <c r="DQ8" s="182"/>
      <c r="DR8" s="182"/>
      <c r="DS8" s="182"/>
      <c r="DT8" s="182"/>
      <c r="DU8" s="182"/>
      <c r="DV8" s="182"/>
      <c r="DW8" s="182"/>
      <c r="DX8" s="182"/>
      <c r="DY8" s="182"/>
      <c r="DZ8" s="182"/>
      <c r="EA8" s="182"/>
      <c r="EB8" s="182"/>
      <c r="EC8" s="182"/>
      <c r="ED8" s="182"/>
      <c r="EE8" s="182"/>
      <c r="EF8" s="182"/>
      <c r="EG8" s="182"/>
      <c r="EH8" s="182"/>
      <c r="EI8" s="182"/>
      <c r="EJ8" s="182"/>
      <c r="EK8" s="182"/>
      <c r="EL8" s="182"/>
      <c r="EM8" s="182"/>
      <c r="EN8" s="182"/>
      <c r="EO8" s="182"/>
      <c r="EP8" s="182"/>
      <c r="EQ8" s="182"/>
      <c r="ER8" s="182"/>
      <c r="ES8" s="182"/>
      <c r="ET8" s="182"/>
      <c r="EU8" s="182"/>
      <c r="EV8" s="182"/>
      <c r="EW8" s="182"/>
      <c r="EX8" s="182"/>
      <c r="EY8" s="182"/>
      <c r="EZ8" s="182"/>
      <c r="FA8" s="182"/>
      <c r="FB8" s="182"/>
      <c r="FC8" s="182"/>
      <c r="FD8" s="182"/>
      <c r="FE8" s="182"/>
      <c r="FF8" s="182"/>
      <c r="FG8" s="182"/>
      <c r="FH8" s="182"/>
      <c r="FI8" s="182"/>
      <c r="FJ8" s="182"/>
      <c r="FK8" s="182"/>
      <c r="FL8" s="182"/>
      <c r="FM8" s="182"/>
      <c r="FN8" s="182"/>
      <c r="FO8" s="182"/>
      <c r="FP8" s="182"/>
      <c r="FQ8" s="182"/>
      <c r="FR8" s="182"/>
      <c r="FS8" s="182"/>
      <c r="FT8" s="182"/>
      <c r="FU8" s="182"/>
      <c r="FV8" s="182"/>
      <c r="FW8" s="182"/>
      <c r="FX8" s="182"/>
      <c r="FY8" s="182"/>
      <c r="FZ8" s="182"/>
      <c r="GA8" s="182"/>
      <c r="GB8" s="182"/>
      <c r="GC8" s="182"/>
      <c r="GD8" s="182"/>
      <c r="GE8" s="182"/>
      <c r="GF8" s="182"/>
      <c r="GG8" s="182"/>
      <c r="GH8" s="182"/>
      <c r="GI8" s="182"/>
    </row>
    <row r="9" spans="1:191" s="209" customFormat="1" ht="15" x14ac:dyDescent="0.25">
      <c r="A9" s="204" t="s">
        <v>38146</v>
      </c>
      <c r="B9" s="204"/>
      <c r="C9" s="228" t="s">
        <v>38137</v>
      </c>
      <c r="D9" s="205"/>
      <c r="E9" s="205"/>
      <c r="F9" s="205"/>
      <c r="G9" s="205"/>
      <c r="H9" s="206"/>
      <c r="I9" s="207"/>
      <c r="J9" s="205"/>
      <c r="K9" s="208">
        <f>SUBTOTAL(109,K10:K13)</f>
        <v>6258.46</v>
      </c>
      <c r="L9" s="205"/>
      <c r="M9" s="205"/>
      <c r="N9" s="205"/>
      <c r="O9" s="205"/>
      <c r="P9" s="208">
        <f>SUBTOTAL(109,P10:P13)</f>
        <v>6577.14</v>
      </c>
      <c r="R9" s="203"/>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82"/>
      <c r="AR9" s="182"/>
      <c r="AS9" s="182"/>
      <c r="AT9" s="182"/>
      <c r="AU9" s="182"/>
      <c r="AV9" s="182"/>
      <c r="AW9" s="182"/>
      <c r="AX9" s="182"/>
      <c r="AY9" s="182"/>
      <c r="AZ9" s="182"/>
      <c r="BA9" s="182"/>
      <c r="BB9" s="182"/>
      <c r="BC9" s="182"/>
      <c r="BD9" s="182"/>
      <c r="BE9" s="182"/>
      <c r="BF9" s="182"/>
      <c r="BG9" s="182"/>
      <c r="BH9" s="182"/>
      <c r="BI9" s="182"/>
      <c r="BJ9" s="182"/>
      <c r="BK9" s="182"/>
      <c r="BL9" s="182"/>
      <c r="BM9" s="182"/>
      <c r="BN9" s="182"/>
      <c r="BO9" s="182"/>
      <c r="BP9" s="182"/>
      <c r="BQ9" s="182"/>
      <c r="BR9" s="182"/>
      <c r="BS9" s="182"/>
      <c r="BT9" s="182"/>
      <c r="BU9" s="182"/>
      <c r="BV9" s="182"/>
      <c r="BW9" s="182"/>
      <c r="BX9" s="182"/>
      <c r="BY9" s="182"/>
      <c r="BZ9" s="182"/>
      <c r="CA9" s="182"/>
      <c r="CB9" s="182"/>
      <c r="CC9" s="182"/>
      <c r="CD9" s="182"/>
      <c r="CE9" s="182"/>
      <c r="CF9" s="182"/>
      <c r="CG9" s="182"/>
      <c r="CH9" s="182"/>
      <c r="CI9" s="182"/>
      <c r="CJ9" s="182"/>
      <c r="CK9" s="182"/>
      <c r="CL9" s="182"/>
      <c r="CM9" s="182"/>
      <c r="CN9" s="182"/>
      <c r="CO9" s="182"/>
      <c r="CP9" s="182"/>
      <c r="CQ9" s="182"/>
      <c r="CR9" s="182"/>
      <c r="CS9" s="182"/>
      <c r="CT9" s="182"/>
      <c r="CU9" s="182"/>
      <c r="CV9" s="182"/>
      <c r="CW9" s="182"/>
      <c r="CX9" s="182"/>
      <c r="CY9" s="182"/>
      <c r="CZ9" s="182"/>
      <c r="DA9" s="182"/>
      <c r="DB9" s="182"/>
      <c r="DC9" s="182"/>
      <c r="DD9" s="182"/>
      <c r="DE9" s="182"/>
      <c r="DF9" s="182"/>
      <c r="DG9" s="182"/>
      <c r="DH9" s="182"/>
      <c r="DI9" s="182"/>
      <c r="DJ9" s="182"/>
      <c r="DK9" s="182"/>
      <c r="DL9" s="182"/>
      <c r="DM9" s="182"/>
      <c r="DN9" s="182"/>
      <c r="DO9" s="182"/>
      <c r="DP9" s="182"/>
      <c r="DQ9" s="182"/>
      <c r="DR9" s="182"/>
      <c r="DS9" s="182"/>
      <c r="DT9" s="182"/>
      <c r="DU9" s="182"/>
      <c r="DV9" s="182"/>
      <c r="DW9" s="182"/>
      <c r="DX9" s="182"/>
      <c r="DY9" s="182"/>
      <c r="DZ9" s="182"/>
      <c r="EA9" s="182"/>
      <c r="EB9" s="182"/>
      <c r="EC9" s="182"/>
      <c r="ED9" s="182"/>
      <c r="EE9" s="182"/>
      <c r="EF9" s="182"/>
      <c r="EG9" s="182"/>
      <c r="EH9" s="182"/>
      <c r="EI9" s="182"/>
      <c r="EJ9" s="182"/>
      <c r="EK9" s="182"/>
      <c r="EL9" s="182"/>
      <c r="EM9" s="182"/>
      <c r="EN9" s="182"/>
      <c r="EO9" s="182"/>
      <c r="EP9" s="182"/>
      <c r="EQ9" s="182"/>
      <c r="ER9" s="182"/>
      <c r="ES9" s="182"/>
      <c r="ET9" s="182"/>
      <c r="EU9" s="182"/>
      <c r="EV9" s="182"/>
      <c r="EW9" s="182"/>
      <c r="EX9" s="182"/>
      <c r="EY9" s="182"/>
      <c r="EZ9" s="182"/>
      <c r="FA9" s="182"/>
      <c r="FB9" s="182"/>
      <c r="FC9" s="182"/>
      <c r="FD9" s="182"/>
      <c r="FE9" s="182"/>
      <c r="FF9" s="182"/>
      <c r="FG9" s="182"/>
      <c r="FH9" s="182"/>
      <c r="FI9" s="182"/>
      <c r="FJ9" s="182"/>
      <c r="FK9" s="182"/>
      <c r="FL9" s="182"/>
      <c r="FM9" s="182"/>
      <c r="FN9" s="182"/>
      <c r="FO9" s="182"/>
      <c r="FP9" s="182"/>
      <c r="FQ9" s="182"/>
      <c r="FR9" s="182"/>
      <c r="FS9" s="182"/>
      <c r="FT9" s="182"/>
      <c r="FU9" s="182"/>
      <c r="FV9" s="182"/>
      <c r="FW9" s="182"/>
      <c r="FX9" s="182"/>
      <c r="FY9" s="182"/>
      <c r="FZ9" s="182"/>
      <c r="GA9" s="182"/>
      <c r="GB9" s="182"/>
      <c r="GC9" s="182"/>
      <c r="GD9" s="182"/>
      <c r="GE9" s="182"/>
      <c r="GF9" s="182"/>
      <c r="GG9" s="182"/>
      <c r="GH9" s="182"/>
      <c r="GI9" s="182"/>
    </row>
    <row r="10" spans="1:191" s="209" customFormat="1" x14ac:dyDescent="0.2">
      <c r="A10" s="210" t="s">
        <v>38147</v>
      </c>
      <c r="B10" s="210" t="s">
        <v>62</v>
      </c>
      <c r="C10" s="224" t="s">
        <v>1344</v>
      </c>
      <c r="D10" s="211" t="s">
        <v>1345</v>
      </c>
      <c r="E10" s="211">
        <v>200</v>
      </c>
      <c r="F10" s="211"/>
      <c r="G10" s="211">
        <v>0.3</v>
      </c>
      <c r="H10" s="212"/>
      <c r="I10" s="213"/>
      <c r="J10" s="272">
        <v>18.32</v>
      </c>
      <c r="K10" s="112">
        <f t="shared" ref="K10:K13" si="2">IF(ISNUMBER(J10),ROUND(G10*E10*J10,2),"")</f>
        <v>1099.2</v>
      </c>
      <c r="L10" s="273">
        <f>BDI!$B$17</f>
        <v>0.191</v>
      </c>
      <c r="M10" s="213"/>
      <c r="N10" s="213"/>
      <c r="O10" s="114">
        <f t="shared" ref="O10:O13" si="3">IF(ISNUMBER(J10),ROUND(J10*(1+L10),2),"")</f>
        <v>21.82</v>
      </c>
      <c r="P10" s="113">
        <f>IF(ISNUMBER(J10),ROUND(G10*O10*E10,2),"")</f>
        <v>1309.2</v>
      </c>
      <c r="R10" s="203"/>
      <c r="S10" s="182"/>
      <c r="T10" s="182"/>
      <c r="U10" s="182"/>
      <c r="V10" s="182"/>
      <c r="W10" s="182"/>
      <c r="X10" s="182"/>
      <c r="Y10" s="182"/>
      <c r="Z10" s="182"/>
      <c r="AA10" s="182"/>
      <c r="AB10" s="182"/>
      <c r="AC10" s="182"/>
      <c r="AD10" s="182"/>
      <c r="AE10" s="182"/>
      <c r="AF10" s="182"/>
      <c r="AG10" s="182"/>
      <c r="AH10" s="182"/>
      <c r="AI10" s="182"/>
      <c r="AJ10" s="182"/>
      <c r="AK10" s="182"/>
      <c r="AL10" s="182"/>
      <c r="AM10" s="182"/>
      <c r="AN10" s="182"/>
      <c r="AO10" s="182"/>
      <c r="AP10" s="182"/>
      <c r="AQ10" s="182"/>
      <c r="AR10" s="182"/>
      <c r="AS10" s="182"/>
      <c r="AT10" s="182"/>
      <c r="AU10" s="182"/>
      <c r="AV10" s="182"/>
      <c r="AW10" s="182"/>
      <c r="AX10" s="182"/>
      <c r="AY10" s="182"/>
      <c r="AZ10" s="182"/>
      <c r="BA10" s="182"/>
      <c r="BB10" s="182"/>
      <c r="BC10" s="182"/>
      <c r="BD10" s="182"/>
      <c r="BE10" s="182"/>
      <c r="BF10" s="182"/>
      <c r="BG10" s="182"/>
      <c r="BH10" s="182"/>
      <c r="BI10" s="182"/>
      <c r="BJ10" s="182"/>
      <c r="BK10" s="182"/>
      <c r="BL10" s="182"/>
      <c r="BM10" s="182"/>
      <c r="BN10" s="182"/>
      <c r="BO10" s="182"/>
      <c r="BP10" s="182"/>
      <c r="BQ10" s="182"/>
      <c r="BR10" s="182"/>
      <c r="BS10" s="182"/>
      <c r="BT10" s="182"/>
      <c r="BU10" s="182"/>
      <c r="BV10" s="182"/>
      <c r="BW10" s="182"/>
      <c r="BX10" s="182"/>
      <c r="BY10" s="182"/>
      <c r="BZ10" s="182"/>
      <c r="CA10" s="182"/>
      <c r="CB10" s="182"/>
      <c r="CC10" s="182"/>
      <c r="CD10" s="182"/>
      <c r="CE10" s="182"/>
      <c r="CF10" s="182"/>
      <c r="CG10" s="182"/>
      <c r="CH10" s="182"/>
      <c r="CI10" s="182"/>
      <c r="CJ10" s="182"/>
      <c r="CK10" s="182"/>
      <c r="CL10" s="182"/>
      <c r="CM10" s="182"/>
      <c r="CN10" s="182"/>
      <c r="CO10" s="182"/>
      <c r="CP10" s="182"/>
      <c r="CQ10" s="182"/>
      <c r="CR10" s="182"/>
      <c r="CS10" s="182"/>
      <c r="CT10" s="182"/>
      <c r="CU10" s="182"/>
      <c r="CV10" s="182"/>
      <c r="CW10" s="182"/>
      <c r="CX10" s="182"/>
      <c r="CY10" s="182"/>
      <c r="CZ10" s="182"/>
      <c r="DA10" s="182"/>
      <c r="DB10" s="182"/>
      <c r="DC10" s="182"/>
      <c r="DD10" s="182"/>
      <c r="DE10" s="182"/>
      <c r="DF10" s="182"/>
      <c r="DG10" s="182"/>
      <c r="DH10" s="182"/>
      <c r="DI10" s="182"/>
      <c r="DJ10" s="182"/>
      <c r="DK10" s="182"/>
      <c r="DL10" s="182"/>
      <c r="DM10" s="182"/>
      <c r="DN10" s="182"/>
      <c r="DO10" s="182"/>
      <c r="DP10" s="182"/>
      <c r="DQ10" s="182"/>
      <c r="DR10" s="182"/>
      <c r="DS10" s="182"/>
      <c r="DT10" s="182"/>
      <c r="DU10" s="182"/>
      <c r="DV10" s="182"/>
      <c r="DW10" s="182"/>
      <c r="DX10" s="182"/>
      <c r="DY10" s="182"/>
      <c r="DZ10" s="182"/>
      <c r="EA10" s="182"/>
      <c r="EB10" s="182"/>
      <c r="EC10" s="182"/>
      <c r="ED10" s="182"/>
      <c r="EE10" s="182"/>
      <c r="EF10" s="182"/>
      <c r="EG10" s="182"/>
      <c r="EH10" s="182"/>
      <c r="EI10" s="182"/>
      <c r="EJ10" s="182"/>
      <c r="EK10" s="182"/>
      <c r="EL10" s="182"/>
      <c r="EM10" s="182"/>
      <c r="EN10" s="182"/>
      <c r="EO10" s="182"/>
      <c r="EP10" s="182"/>
      <c r="EQ10" s="182"/>
      <c r="ER10" s="182"/>
      <c r="ES10" s="182"/>
      <c r="ET10" s="182"/>
      <c r="EU10" s="182"/>
      <c r="EV10" s="182"/>
      <c r="EW10" s="182"/>
      <c r="EX10" s="182"/>
      <c r="EY10" s="182"/>
      <c r="EZ10" s="182"/>
      <c r="FA10" s="182"/>
      <c r="FB10" s="182"/>
      <c r="FC10" s="182"/>
      <c r="FD10" s="182"/>
      <c r="FE10" s="182"/>
      <c r="FF10" s="182"/>
      <c r="FG10" s="182"/>
      <c r="FH10" s="182"/>
      <c r="FI10" s="182"/>
      <c r="FJ10" s="182"/>
      <c r="FK10" s="182"/>
      <c r="FL10" s="182"/>
      <c r="FM10" s="182"/>
      <c r="FN10" s="182"/>
      <c r="FO10" s="182"/>
      <c r="FP10" s="182"/>
      <c r="FQ10" s="182"/>
      <c r="FR10" s="182"/>
      <c r="FS10" s="182"/>
      <c r="FT10" s="182"/>
      <c r="FU10" s="182"/>
      <c r="FV10" s="182"/>
      <c r="FW10" s="182"/>
      <c r="FX10" s="182"/>
      <c r="FY10" s="182"/>
      <c r="FZ10" s="182"/>
      <c r="GA10" s="182"/>
      <c r="GB10" s="182"/>
      <c r="GC10" s="182"/>
      <c r="GD10" s="182"/>
      <c r="GE10" s="182"/>
      <c r="GF10" s="182"/>
      <c r="GG10" s="182"/>
      <c r="GH10" s="182"/>
      <c r="GI10" s="182"/>
    </row>
    <row r="11" spans="1:191" s="209" customFormat="1" x14ac:dyDescent="0.2">
      <c r="A11" s="210" t="s">
        <v>38148</v>
      </c>
      <c r="B11" s="210" t="s">
        <v>1349</v>
      </c>
      <c r="C11" s="224" t="s">
        <v>1350</v>
      </c>
      <c r="D11" s="211" t="s">
        <v>16</v>
      </c>
      <c r="E11" s="211">
        <v>20</v>
      </c>
      <c r="F11" s="211"/>
      <c r="G11" s="211">
        <v>0.3</v>
      </c>
      <c r="H11" s="212"/>
      <c r="I11" s="213"/>
      <c r="J11" s="272">
        <v>265.19</v>
      </c>
      <c r="K11" s="112">
        <f t="shared" si="2"/>
        <v>1591.14</v>
      </c>
      <c r="L11" s="273">
        <v>0</v>
      </c>
      <c r="M11" s="213"/>
      <c r="N11" s="213"/>
      <c r="O11" s="114">
        <f t="shared" si="3"/>
        <v>265.19</v>
      </c>
      <c r="P11" s="113">
        <f t="shared" ref="P11:P13" si="4">IF(ISNUMBER(J11),ROUND(G11*O11*E11,2),"")</f>
        <v>1591.14</v>
      </c>
      <c r="R11" s="203"/>
      <c r="S11" s="182"/>
      <c r="T11" s="182"/>
      <c r="U11" s="182"/>
      <c r="V11" s="182"/>
      <c r="W11" s="182"/>
      <c r="X11" s="182"/>
      <c r="Y11" s="182"/>
      <c r="Z11" s="182"/>
      <c r="AA11" s="182"/>
      <c r="AB11" s="182"/>
      <c r="AC11" s="182"/>
      <c r="AD11" s="182"/>
      <c r="AE11" s="182"/>
      <c r="AF11" s="182"/>
      <c r="AG11" s="182"/>
      <c r="AH11" s="182"/>
      <c r="AI11" s="182"/>
      <c r="AJ11" s="182"/>
      <c r="AK11" s="182"/>
      <c r="AL11" s="182"/>
      <c r="AM11" s="182"/>
      <c r="AN11" s="182"/>
      <c r="AO11" s="182"/>
      <c r="AP11" s="182"/>
      <c r="AQ11" s="182"/>
      <c r="AR11" s="182"/>
      <c r="AS11" s="182"/>
      <c r="AT11" s="182"/>
      <c r="AU11" s="182"/>
      <c r="AV11" s="182"/>
      <c r="AW11" s="182"/>
      <c r="AX11" s="182"/>
      <c r="AY11" s="182"/>
      <c r="AZ11" s="182"/>
      <c r="BA11" s="182"/>
      <c r="BB11" s="182"/>
      <c r="BC11" s="182"/>
      <c r="BD11" s="182"/>
      <c r="BE11" s="182"/>
      <c r="BF11" s="182"/>
      <c r="BG11" s="182"/>
      <c r="BH11" s="182"/>
      <c r="BI11" s="182"/>
      <c r="BJ11" s="182"/>
      <c r="BK11" s="182"/>
      <c r="BL11" s="182"/>
      <c r="BM11" s="182"/>
      <c r="BN11" s="182"/>
      <c r="BO11" s="182"/>
      <c r="BP11" s="182"/>
      <c r="BQ11" s="182"/>
      <c r="BR11" s="182"/>
      <c r="BS11" s="182"/>
      <c r="BT11" s="182"/>
      <c r="BU11" s="182"/>
      <c r="BV11" s="182"/>
      <c r="BW11" s="182"/>
      <c r="BX11" s="182"/>
      <c r="BY11" s="182"/>
      <c r="BZ11" s="182"/>
      <c r="CA11" s="182"/>
      <c r="CB11" s="182"/>
      <c r="CC11" s="182"/>
      <c r="CD11" s="182"/>
      <c r="CE11" s="182"/>
      <c r="CF11" s="182"/>
      <c r="CG11" s="182"/>
      <c r="CH11" s="182"/>
      <c r="CI11" s="182"/>
      <c r="CJ11" s="182"/>
      <c r="CK11" s="182"/>
      <c r="CL11" s="182"/>
      <c r="CM11" s="182"/>
      <c r="CN11" s="182"/>
      <c r="CO11" s="182"/>
      <c r="CP11" s="182"/>
      <c r="CQ11" s="182"/>
      <c r="CR11" s="182"/>
      <c r="CS11" s="182"/>
      <c r="CT11" s="182"/>
      <c r="CU11" s="182"/>
      <c r="CV11" s="182"/>
      <c r="CW11" s="182"/>
      <c r="CX11" s="182"/>
      <c r="CY11" s="182"/>
      <c r="CZ11" s="182"/>
      <c r="DA11" s="182"/>
      <c r="DB11" s="182"/>
      <c r="DC11" s="182"/>
      <c r="DD11" s="182"/>
      <c r="DE11" s="182"/>
      <c r="DF11" s="182"/>
      <c r="DG11" s="182"/>
      <c r="DH11" s="182"/>
      <c r="DI11" s="182"/>
      <c r="DJ11" s="182"/>
      <c r="DK11" s="182"/>
      <c r="DL11" s="182"/>
      <c r="DM11" s="182"/>
      <c r="DN11" s="182"/>
      <c r="DO11" s="182"/>
      <c r="DP11" s="182"/>
      <c r="DQ11" s="182"/>
      <c r="DR11" s="182"/>
      <c r="DS11" s="182"/>
      <c r="DT11" s="182"/>
      <c r="DU11" s="182"/>
      <c r="DV11" s="182"/>
      <c r="DW11" s="182"/>
      <c r="DX11" s="182"/>
      <c r="DY11" s="182"/>
      <c r="DZ11" s="182"/>
      <c r="EA11" s="182"/>
      <c r="EB11" s="182"/>
      <c r="EC11" s="182"/>
      <c r="ED11" s="182"/>
      <c r="EE11" s="182"/>
      <c r="EF11" s="182"/>
      <c r="EG11" s="182"/>
      <c r="EH11" s="182"/>
      <c r="EI11" s="182"/>
      <c r="EJ11" s="182"/>
      <c r="EK11" s="182"/>
      <c r="EL11" s="182"/>
      <c r="EM11" s="182"/>
      <c r="EN11" s="182"/>
      <c r="EO11" s="182"/>
      <c r="EP11" s="182"/>
      <c r="EQ11" s="182"/>
      <c r="ER11" s="182"/>
      <c r="ES11" s="182"/>
      <c r="ET11" s="182"/>
      <c r="EU11" s="182"/>
      <c r="EV11" s="182"/>
      <c r="EW11" s="182"/>
      <c r="EX11" s="182"/>
      <c r="EY11" s="182"/>
      <c r="EZ11" s="182"/>
      <c r="FA11" s="182"/>
      <c r="FB11" s="182"/>
      <c r="FC11" s="182"/>
      <c r="FD11" s="182"/>
      <c r="FE11" s="182"/>
      <c r="FF11" s="182"/>
      <c r="FG11" s="182"/>
      <c r="FH11" s="182"/>
      <c r="FI11" s="182"/>
      <c r="FJ11" s="182"/>
      <c r="FK11" s="182"/>
      <c r="FL11" s="182"/>
      <c r="FM11" s="182"/>
      <c r="FN11" s="182"/>
      <c r="FO11" s="182"/>
      <c r="FP11" s="182"/>
      <c r="FQ11" s="182"/>
      <c r="FR11" s="182"/>
      <c r="FS11" s="182"/>
      <c r="FT11" s="182"/>
      <c r="FU11" s="182"/>
      <c r="FV11" s="182"/>
      <c r="FW11" s="182"/>
      <c r="FX11" s="182"/>
      <c r="FY11" s="182"/>
      <c r="FZ11" s="182"/>
      <c r="GA11" s="182"/>
      <c r="GB11" s="182"/>
      <c r="GC11" s="182"/>
      <c r="GD11" s="182"/>
      <c r="GE11" s="182"/>
      <c r="GF11" s="182"/>
      <c r="GG11" s="182"/>
      <c r="GH11" s="182"/>
      <c r="GI11" s="182"/>
    </row>
    <row r="12" spans="1:191" s="209" customFormat="1" x14ac:dyDescent="0.2">
      <c r="A12" s="210" t="s">
        <v>38149</v>
      </c>
      <c r="B12" s="210" t="s">
        <v>1352</v>
      </c>
      <c r="C12" s="224" t="s">
        <v>1353</v>
      </c>
      <c r="D12" s="211" t="s">
        <v>16</v>
      </c>
      <c r="E12" s="211">
        <v>40</v>
      </c>
      <c r="F12" s="211"/>
      <c r="G12" s="211">
        <v>0.3</v>
      </c>
      <c r="H12" s="212"/>
      <c r="I12" s="213"/>
      <c r="J12" s="272">
        <v>250</v>
      </c>
      <c r="K12" s="112">
        <f t="shared" si="2"/>
        <v>3000</v>
      </c>
      <c r="L12" s="273">
        <v>0</v>
      </c>
      <c r="M12" s="213"/>
      <c r="N12" s="213"/>
      <c r="O12" s="114">
        <f t="shared" si="3"/>
        <v>250</v>
      </c>
      <c r="P12" s="113">
        <f t="shared" si="4"/>
        <v>3000</v>
      </c>
      <c r="R12" s="203"/>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82"/>
      <c r="AR12" s="182"/>
      <c r="AS12" s="182"/>
      <c r="AT12" s="182"/>
      <c r="AU12" s="182"/>
      <c r="AV12" s="182"/>
      <c r="AW12" s="182"/>
      <c r="AX12" s="182"/>
      <c r="AY12" s="182"/>
      <c r="AZ12" s="182"/>
      <c r="BA12" s="182"/>
      <c r="BB12" s="182"/>
      <c r="BC12" s="182"/>
      <c r="BD12" s="182"/>
      <c r="BE12" s="182"/>
      <c r="BF12" s="182"/>
      <c r="BG12" s="182"/>
      <c r="BH12" s="182"/>
      <c r="BI12" s="182"/>
      <c r="BJ12" s="182"/>
      <c r="BK12" s="182"/>
      <c r="BL12" s="182"/>
      <c r="BM12" s="182"/>
      <c r="BN12" s="182"/>
      <c r="BO12" s="182"/>
      <c r="BP12" s="182"/>
      <c r="BQ12" s="182"/>
      <c r="BR12" s="182"/>
      <c r="BS12" s="182"/>
      <c r="BT12" s="182"/>
      <c r="BU12" s="182"/>
      <c r="BV12" s="182"/>
      <c r="BW12" s="182"/>
      <c r="BX12" s="182"/>
      <c r="BY12" s="182"/>
      <c r="BZ12" s="182"/>
      <c r="CA12" s="182"/>
      <c r="CB12" s="182"/>
      <c r="CC12" s="182"/>
      <c r="CD12" s="182"/>
      <c r="CE12" s="182"/>
      <c r="CF12" s="182"/>
      <c r="CG12" s="182"/>
      <c r="CH12" s="182"/>
      <c r="CI12" s="182"/>
      <c r="CJ12" s="182"/>
      <c r="CK12" s="182"/>
      <c r="CL12" s="182"/>
      <c r="CM12" s="182"/>
      <c r="CN12" s="182"/>
      <c r="CO12" s="182"/>
      <c r="CP12" s="182"/>
      <c r="CQ12" s="182"/>
      <c r="CR12" s="182"/>
      <c r="CS12" s="182"/>
      <c r="CT12" s="182"/>
      <c r="CU12" s="182"/>
      <c r="CV12" s="182"/>
      <c r="CW12" s="182"/>
      <c r="CX12" s="182"/>
      <c r="CY12" s="182"/>
      <c r="CZ12" s="182"/>
      <c r="DA12" s="182"/>
      <c r="DB12" s="182"/>
      <c r="DC12" s="182"/>
      <c r="DD12" s="182"/>
      <c r="DE12" s="182"/>
      <c r="DF12" s="182"/>
      <c r="DG12" s="182"/>
      <c r="DH12" s="182"/>
      <c r="DI12" s="182"/>
      <c r="DJ12" s="182"/>
      <c r="DK12" s="182"/>
      <c r="DL12" s="182"/>
      <c r="DM12" s="182"/>
      <c r="DN12" s="182"/>
      <c r="DO12" s="182"/>
      <c r="DP12" s="182"/>
      <c r="DQ12" s="182"/>
      <c r="DR12" s="182"/>
      <c r="DS12" s="182"/>
      <c r="DT12" s="182"/>
      <c r="DU12" s="182"/>
      <c r="DV12" s="182"/>
      <c r="DW12" s="182"/>
      <c r="DX12" s="182"/>
      <c r="DY12" s="182"/>
      <c r="DZ12" s="182"/>
      <c r="EA12" s="182"/>
      <c r="EB12" s="182"/>
      <c r="EC12" s="182"/>
      <c r="ED12" s="182"/>
      <c r="EE12" s="182"/>
      <c r="EF12" s="182"/>
      <c r="EG12" s="182"/>
      <c r="EH12" s="182"/>
      <c r="EI12" s="182"/>
      <c r="EJ12" s="182"/>
      <c r="EK12" s="182"/>
      <c r="EL12" s="182"/>
      <c r="EM12" s="182"/>
      <c r="EN12" s="182"/>
      <c r="EO12" s="182"/>
      <c r="EP12" s="182"/>
      <c r="EQ12" s="182"/>
      <c r="ER12" s="182"/>
      <c r="ES12" s="182"/>
      <c r="ET12" s="182"/>
      <c r="EU12" s="182"/>
      <c r="EV12" s="182"/>
      <c r="EW12" s="182"/>
      <c r="EX12" s="182"/>
      <c r="EY12" s="182"/>
      <c r="EZ12" s="182"/>
      <c r="FA12" s="182"/>
      <c r="FB12" s="182"/>
      <c r="FC12" s="182"/>
      <c r="FD12" s="182"/>
      <c r="FE12" s="182"/>
      <c r="FF12" s="182"/>
      <c r="FG12" s="182"/>
      <c r="FH12" s="182"/>
      <c r="FI12" s="182"/>
      <c r="FJ12" s="182"/>
      <c r="FK12" s="182"/>
      <c r="FL12" s="182"/>
      <c r="FM12" s="182"/>
      <c r="FN12" s="182"/>
      <c r="FO12" s="182"/>
      <c r="FP12" s="182"/>
      <c r="FQ12" s="182"/>
      <c r="FR12" s="182"/>
      <c r="FS12" s="182"/>
      <c r="FT12" s="182"/>
      <c r="FU12" s="182"/>
      <c r="FV12" s="182"/>
      <c r="FW12" s="182"/>
      <c r="FX12" s="182"/>
      <c r="FY12" s="182"/>
      <c r="FZ12" s="182"/>
      <c r="GA12" s="182"/>
      <c r="GB12" s="182"/>
      <c r="GC12" s="182"/>
      <c r="GD12" s="182"/>
      <c r="GE12" s="182"/>
      <c r="GF12" s="182"/>
      <c r="GG12" s="182"/>
      <c r="GH12" s="182"/>
      <c r="GI12" s="182"/>
    </row>
    <row r="13" spans="1:191" s="209" customFormat="1" x14ac:dyDescent="0.2">
      <c r="A13" s="210" t="s">
        <v>38150</v>
      </c>
      <c r="B13" s="210" t="s">
        <v>862</v>
      </c>
      <c r="C13" s="224" t="s">
        <v>1747</v>
      </c>
      <c r="D13" s="211" t="s">
        <v>70</v>
      </c>
      <c r="E13" s="211">
        <v>200</v>
      </c>
      <c r="F13" s="211"/>
      <c r="G13" s="211">
        <v>0.3</v>
      </c>
      <c r="H13" s="212"/>
      <c r="I13" s="213"/>
      <c r="J13" s="112">
        <f>Composições!H3316</f>
        <v>9.4687099796939993</v>
      </c>
      <c r="K13" s="112">
        <f t="shared" si="2"/>
        <v>568.12</v>
      </c>
      <c r="L13" s="273">
        <f>BDI!$B$17</f>
        <v>0.191</v>
      </c>
      <c r="M13" s="213"/>
      <c r="N13" s="213"/>
      <c r="O13" s="114">
        <f t="shared" si="3"/>
        <v>11.28</v>
      </c>
      <c r="P13" s="113">
        <f t="shared" si="4"/>
        <v>676.8</v>
      </c>
      <c r="R13" s="203"/>
      <c r="S13" s="182"/>
      <c r="T13" s="182"/>
      <c r="U13" s="182"/>
      <c r="V13" s="182"/>
      <c r="W13" s="182"/>
      <c r="X13" s="182"/>
      <c r="Y13" s="182"/>
      <c r="Z13" s="182"/>
      <c r="AA13" s="182"/>
      <c r="AB13" s="182"/>
      <c r="AC13" s="182"/>
      <c r="AD13" s="182"/>
      <c r="AE13" s="182"/>
      <c r="AF13" s="182"/>
      <c r="AG13" s="182"/>
      <c r="AH13" s="182"/>
      <c r="AI13" s="182"/>
      <c r="AJ13" s="182"/>
      <c r="AK13" s="182"/>
      <c r="AL13" s="182"/>
      <c r="AM13" s="182"/>
      <c r="AN13" s="182"/>
      <c r="AO13" s="182"/>
      <c r="AP13" s="182"/>
      <c r="AQ13" s="182"/>
      <c r="AR13" s="182"/>
      <c r="AS13" s="182"/>
      <c r="AT13" s="182"/>
      <c r="AU13" s="182"/>
      <c r="AV13" s="182"/>
      <c r="AW13" s="182"/>
      <c r="AX13" s="182"/>
      <c r="AY13" s="182"/>
      <c r="AZ13" s="182"/>
      <c r="BA13" s="182"/>
      <c r="BB13" s="182"/>
      <c r="BC13" s="182"/>
      <c r="BD13" s="182"/>
      <c r="BE13" s="182"/>
      <c r="BF13" s="182"/>
      <c r="BG13" s="182"/>
      <c r="BH13" s="182"/>
      <c r="BI13" s="182"/>
      <c r="BJ13" s="182"/>
      <c r="BK13" s="182"/>
      <c r="BL13" s="182"/>
      <c r="BM13" s="182"/>
      <c r="BN13" s="182"/>
      <c r="BO13" s="182"/>
      <c r="BP13" s="182"/>
      <c r="BQ13" s="182"/>
      <c r="BR13" s="182"/>
      <c r="BS13" s="182"/>
      <c r="BT13" s="182"/>
      <c r="BU13" s="182"/>
      <c r="BV13" s="182"/>
      <c r="BW13" s="182"/>
      <c r="BX13" s="182"/>
      <c r="BY13" s="182"/>
      <c r="BZ13" s="182"/>
      <c r="CA13" s="182"/>
      <c r="CB13" s="182"/>
      <c r="CC13" s="182"/>
      <c r="CD13" s="182"/>
      <c r="CE13" s="182"/>
      <c r="CF13" s="182"/>
      <c r="CG13" s="182"/>
      <c r="CH13" s="182"/>
      <c r="CI13" s="182"/>
      <c r="CJ13" s="182"/>
      <c r="CK13" s="182"/>
      <c r="CL13" s="182"/>
      <c r="CM13" s="182"/>
      <c r="CN13" s="182"/>
      <c r="CO13" s="182"/>
      <c r="CP13" s="182"/>
      <c r="CQ13" s="182"/>
      <c r="CR13" s="182"/>
      <c r="CS13" s="182"/>
      <c r="CT13" s="182"/>
      <c r="CU13" s="182"/>
      <c r="CV13" s="182"/>
      <c r="CW13" s="182"/>
      <c r="CX13" s="182"/>
      <c r="CY13" s="182"/>
      <c r="CZ13" s="182"/>
      <c r="DA13" s="182"/>
      <c r="DB13" s="182"/>
      <c r="DC13" s="182"/>
      <c r="DD13" s="182"/>
      <c r="DE13" s="182"/>
      <c r="DF13" s="182"/>
      <c r="DG13" s="182"/>
      <c r="DH13" s="182"/>
      <c r="DI13" s="182"/>
      <c r="DJ13" s="182"/>
      <c r="DK13" s="182"/>
      <c r="DL13" s="182"/>
      <c r="DM13" s="182"/>
      <c r="DN13" s="182"/>
      <c r="DO13" s="182"/>
      <c r="DP13" s="182"/>
      <c r="DQ13" s="182"/>
      <c r="DR13" s="182"/>
      <c r="DS13" s="182"/>
      <c r="DT13" s="182"/>
      <c r="DU13" s="182"/>
      <c r="DV13" s="182"/>
      <c r="DW13" s="182"/>
      <c r="DX13" s="182"/>
      <c r="DY13" s="182"/>
      <c r="DZ13" s="182"/>
      <c r="EA13" s="182"/>
      <c r="EB13" s="182"/>
      <c r="EC13" s="182"/>
      <c r="ED13" s="182"/>
      <c r="EE13" s="182"/>
      <c r="EF13" s="182"/>
      <c r="EG13" s="182"/>
      <c r="EH13" s="182"/>
      <c r="EI13" s="182"/>
      <c r="EJ13" s="182"/>
      <c r="EK13" s="182"/>
      <c r="EL13" s="182"/>
      <c r="EM13" s="182"/>
      <c r="EN13" s="182"/>
      <c r="EO13" s="182"/>
      <c r="EP13" s="182"/>
      <c r="EQ13" s="182"/>
      <c r="ER13" s="182"/>
      <c r="ES13" s="182"/>
      <c r="ET13" s="182"/>
      <c r="EU13" s="182"/>
      <c r="EV13" s="182"/>
      <c r="EW13" s="182"/>
      <c r="EX13" s="182"/>
      <c r="EY13" s="182"/>
      <c r="EZ13" s="182"/>
      <c r="FA13" s="182"/>
      <c r="FB13" s="182"/>
      <c r="FC13" s="182"/>
      <c r="FD13" s="182"/>
      <c r="FE13" s="182"/>
      <c r="FF13" s="182"/>
      <c r="FG13" s="182"/>
      <c r="FH13" s="182"/>
      <c r="FI13" s="182"/>
      <c r="FJ13" s="182"/>
      <c r="FK13" s="182"/>
      <c r="FL13" s="182"/>
      <c r="FM13" s="182"/>
      <c r="FN13" s="182"/>
      <c r="FO13" s="182"/>
      <c r="FP13" s="182"/>
      <c r="FQ13" s="182"/>
      <c r="FR13" s="182"/>
      <c r="FS13" s="182"/>
      <c r="FT13" s="182"/>
      <c r="FU13" s="182"/>
      <c r="FV13" s="182"/>
      <c r="FW13" s="182"/>
      <c r="FX13" s="182"/>
      <c r="FY13" s="182"/>
      <c r="FZ13" s="182"/>
      <c r="GA13" s="182"/>
      <c r="GB13" s="182"/>
      <c r="GC13" s="182"/>
      <c r="GD13" s="182"/>
      <c r="GE13" s="182"/>
      <c r="GF13" s="182"/>
      <c r="GG13" s="182"/>
      <c r="GH13" s="182"/>
      <c r="GI13" s="182"/>
    </row>
    <row r="14" spans="1:191" s="209" customFormat="1" ht="15" x14ac:dyDescent="0.25">
      <c r="A14" s="204" t="s">
        <v>38157</v>
      </c>
      <c r="B14" s="204"/>
      <c r="C14" s="228" t="s">
        <v>38821</v>
      </c>
      <c r="D14" s="205"/>
      <c r="E14" s="205"/>
      <c r="F14" s="205"/>
      <c r="G14" s="205"/>
      <c r="H14" s="206"/>
      <c r="I14" s="207"/>
      <c r="J14" s="205"/>
      <c r="K14" s="208">
        <f>SUBTOTAL(109,K15:K36)</f>
        <v>207787.02</v>
      </c>
      <c r="L14" s="205"/>
      <c r="M14" s="205"/>
      <c r="N14" s="205"/>
      <c r="O14" s="205"/>
      <c r="P14" s="208">
        <f>SUBTOTAL(109,P15:P36)</f>
        <v>212453.25</v>
      </c>
      <c r="R14" s="203"/>
      <c r="S14" s="182"/>
      <c r="T14" s="182"/>
      <c r="U14" s="182"/>
      <c r="V14" s="182"/>
      <c r="W14" s="182"/>
      <c r="X14" s="182"/>
      <c r="Y14" s="182"/>
      <c r="Z14" s="182"/>
      <c r="AA14" s="182"/>
      <c r="AB14" s="182"/>
      <c r="AC14" s="182"/>
      <c r="AD14" s="182"/>
      <c r="AE14" s="182"/>
      <c r="AF14" s="182"/>
      <c r="AG14" s="182"/>
      <c r="AH14" s="182"/>
      <c r="AI14" s="182"/>
      <c r="AJ14" s="182"/>
      <c r="AK14" s="182"/>
      <c r="AL14" s="182"/>
      <c r="AM14" s="182"/>
      <c r="AN14" s="182"/>
      <c r="AO14" s="182"/>
      <c r="AP14" s="182"/>
      <c r="AQ14" s="182"/>
      <c r="AR14" s="182"/>
      <c r="AS14" s="182"/>
      <c r="AT14" s="182"/>
      <c r="AU14" s="182"/>
      <c r="AV14" s="182"/>
      <c r="AW14" s="182"/>
      <c r="AX14" s="182"/>
      <c r="AY14" s="182"/>
      <c r="AZ14" s="182"/>
      <c r="BA14" s="182"/>
      <c r="BB14" s="182"/>
      <c r="BC14" s="182"/>
      <c r="BD14" s="182"/>
      <c r="BE14" s="182"/>
      <c r="BF14" s="182"/>
      <c r="BG14" s="182"/>
      <c r="BH14" s="182"/>
      <c r="BI14" s="182"/>
      <c r="BJ14" s="182"/>
      <c r="BK14" s="182"/>
      <c r="BL14" s="182"/>
      <c r="BM14" s="182"/>
      <c r="BN14" s="182"/>
      <c r="BO14" s="182"/>
      <c r="BP14" s="182"/>
      <c r="BQ14" s="182"/>
      <c r="BR14" s="182"/>
      <c r="BS14" s="182"/>
      <c r="BT14" s="182"/>
      <c r="BU14" s="182"/>
      <c r="BV14" s="182"/>
      <c r="BW14" s="182"/>
      <c r="BX14" s="182"/>
      <c r="BY14" s="182"/>
      <c r="BZ14" s="182"/>
      <c r="CA14" s="182"/>
      <c r="CB14" s="182"/>
      <c r="CC14" s="182"/>
      <c r="CD14" s="182"/>
      <c r="CE14" s="182"/>
      <c r="CF14" s="182"/>
      <c r="CG14" s="182"/>
      <c r="CH14" s="182"/>
      <c r="CI14" s="182"/>
      <c r="CJ14" s="182"/>
      <c r="CK14" s="182"/>
      <c r="CL14" s="182"/>
      <c r="CM14" s="182"/>
      <c r="CN14" s="182"/>
      <c r="CO14" s="182"/>
      <c r="CP14" s="182"/>
      <c r="CQ14" s="182"/>
      <c r="CR14" s="182"/>
      <c r="CS14" s="182"/>
      <c r="CT14" s="182"/>
      <c r="CU14" s="182"/>
      <c r="CV14" s="182"/>
      <c r="CW14" s="182"/>
      <c r="CX14" s="182"/>
      <c r="CY14" s="182"/>
      <c r="CZ14" s="182"/>
      <c r="DA14" s="182"/>
      <c r="DB14" s="182"/>
      <c r="DC14" s="182"/>
      <c r="DD14" s="182"/>
      <c r="DE14" s="182"/>
      <c r="DF14" s="182"/>
      <c r="DG14" s="182"/>
      <c r="DH14" s="182"/>
      <c r="DI14" s="182"/>
      <c r="DJ14" s="182"/>
      <c r="DK14" s="182"/>
      <c r="DL14" s="182"/>
      <c r="DM14" s="182"/>
      <c r="DN14" s="182"/>
      <c r="DO14" s="182"/>
      <c r="DP14" s="182"/>
      <c r="DQ14" s="182"/>
      <c r="DR14" s="182"/>
      <c r="DS14" s="182"/>
      <c r="DT14" s="182"/>
      <c r="DU14" s="182"/>
      <c r="DV14" s="182"/>
      <c r="DW14" s="182"/>
      <c r="DX14" s="182"/>
      <c r="DY14" s="182"/>
      <c r="DZ14" s="182"/>
      <c r="EA14" s="182"/>
      <c r="EB14" s="182"/>
      <c r="EC14" s="182"/>
      <c r="ED14" s="182"/>
      <c r="EE14" s="182"/>
      <c r="EF14" s="182"/>
      <c r="EG14" s="182"/>
      <c r="EH14" s="182"/>
      <c r="EI14" s="182"/>
      <c r="EJ14" s="182"/>
      <c r="EK14" s="182"/>
      <c r="EL14" s="182"/>
      <c r="EM14" s="182"/>
      <c r="EN14" s="182"/>
      <c r="EO14" s="182"/>
      <c r="EP14" s="182"/>
      <c r="EQ14" s="182"/>
      <c r="ER14" s="182"/>
      <c r="ES14" s="182"/>
      <c r="ET14" s="182"/>
      <c r="EU14" s="182"/>
      <c r="EV14" s="182"/>
      <c r="EW14" s="182"/>
      <c r="EX14" s="182"/>
      <c r="EY14" s="182"/>
      <c r="EZ14" s="182"/>
      <c r="FA14" s="182"/>
      <c r="FB14" s="182"/>
      <c r="FC14" s="182"/>
      <c r="FD14" s="182"/>
      <c r="FE14" s="182"/>
      <c r="FF14" s="182"/>
      <c r="FG14" s="182"/>
      <c r="FH14" s="182"/>
      <c r="FI14" s="182"/>
      <c r="FJ14" s="182"/>
      <c r="FK14" s="182"/>
      <c r="FL14" s="182"/>
      <c r="FM14" s="182"/>
      <c r="FN14" s="182"/>
      <c r="FO14" s="182"/>
      <c r="FP14" s="182"/>
      <c r="FQ14" s="182"/>
      <c r="FR14" s="182"/>
      <c r="FS14" s="182"/>
      <c r="FT14" s="182"/>
      <c r="FU14" s="182"/>
      <c r="FV14" s="182"/>
      <c r="FW14" s="182"/>
      <c r="FX14" s="182"/>
      <c r="FY14" s="182"/>
      <c r="FZ14" s="182"/>
      <c r="GA14" s="182"/>
      <c r="GB14" s="182"/>
      <c r="GC14" s="182"/>
      <c r="GD14" s="182"/>
      <c r="GE14" s="182"/>
      <c r="GF14" s="182"/>
      <c r="GG14" s="182"/>
      <c r="GH14" s="182"/>
      <c r="GI14" s="182"/>
    </row>
    <row r="15" spans="1:191" s="209" customFormat="1" x14ac:dyDescent="0.2">
      <c r="A15" s="210" t="s">
        <v>38158</v>
      </c>
      <c r="B15" s="210" t="s">
        <v>18866</v>
      </c>
      <c r="C15" s="224" t="s">
        <v>22142</v>
      </c>
      <c r="D15" s="211" t="s">
        <v>16</v>
      </c>
      <c r="E15" s="211">
        <v>40</v>
      </c>
      <c r="F15" s="211"/>
      <c r="G15" s="211">
        <v>0.3</v>
      </c>
      <c r="H15" s="212"/>
      <c r="I15" s="213"/>
      <c r="J15" s="272">
        <v>706.22</v>
      </c>
      <c r="K15" s="112">
        <f t="shared" ref="K15:K36" si="5">IF(ISNUMBER(J15),ROUND(G15*E15*J15,2),"")</f>
        <v>8474.64</v>
      </c>
      <c r="L15" s="273">
        <v>0</v>
      </c>
      <c r="M15" s="213"/>
      <c r="N15" s="213"/>
      <c r="O15" s="114">
        <f t="shared" ref="O15:O36" si="6">IF(ISNUMBER(J15),ROUND(J15*(1+L15),2),"")</f>
        <v>706.22</v>
      </c>
      <c r="P15" s="113">
        <f t="shared" ref="P15:P36" si="7">IF(ISNUMBER(J15),ROUND(G15*O15*E15,2),"")</f>
        <v>8474.64</v>
      </c>
      <c r="R15" s="203"/>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82"/>
      <c r="AR15" s="182"/>
      <c r="AS15" s="182"/>
      <c r="AT15" s="182"/>
      <c r="AU15" s="182"/>
      <c r="AV15" s="182"/>
      <c r="AW15" s="182"/>
      <c r="AX15" s="182"/>
      <c r="AY15" s="182"/>
      <c r="AZ15" s="182"/>
      <c r="BA15" s="182"/>
      <c r="BB15" s="182"/>
      <c r="BC15" s="182"/>
      <c r="BD15" s="182"/>
      <c r="BE15" s="182"/>
      <c r="BF15" s="182"/>
      <c r="BG15" s="182"/>
      <c r="BH15" s="182"/>
      <c r="BI15" s="182"/>
      <c r="BJ15" s="182"/>
      <c r="BK15" s="182"/>
      <c r="BL15" s="182"/>
      <c r="BM15" s="182"/>
      <c r="BN15" s="182"/>
      <c r="BO15" s="182"/>
      <c r="BP15" s="182"/>
      <c r="BQ15" s="182"/>
      <c r="BR15" s="182"/>
      <c r="BS15" s="182"/>
      <c r="BT15" s="182"/>
      <c r="BU15" s="182"/>
      <c r="BV15" s="182"/>
      <c r="BW15" s="182"/>
      <c r="BX15" s="182"/>
      <c r="BY15" s="182"/>
      <c r="BZ15" s="182"/>
      <c r="CA15" s="182"/>
      <c r="CB15" s="182"/>
      <c r="CC15" s="182"/>
      <c r="CD15" s="182"/>
      <c r="CE15" s="182"/>
      <c r="CF15" s="182"/>
      <c r="CG15" s="182"/>
      <c r="CH15" s="182"/>
      <c r="CI15" s="182"/>
      <c r="CJ15" s="182"/>
      <c r="CK15" s="182"/>
      <c r="CL15" s="182"/>
      <c r="CM15" s="182"/>
      <c r="CN15" s="182"/>
      <c r="CO15" s="182"/>
      <c r="CP15" s="182"/>
      <c r="CQ15" s="182"/>
      <c r="CR15" s="182"/>
      <c r="CS15" s="182"/>
      <c r="CT15" s="182"/>
      <c r="CU15" s="182"/>
      <c r="CV15" s="182"/>
      <c r="CW15" s="182"/>
      <c r="CX15" s="182"/>
      <c r="CY15" s="182"/>
      <c r="CZ15" s="182"/>
      <c r="DA15" s="182"/>
      <c r="DB15" s="182"/>
      <c r="DC15" s="182"/>
      <c r="DD15" s="182"/>
      <c r="DE15" s="182"/>
      <c r="DF15" s="182"/>
      <c r="DG15" s="182"/>
      <c r="DH15" s="182"/>
      <c r="DI15" s="182"/>
      <c r="DJ15" s="182"/>
      <c r="DK15" s="182"/>
      <c r="DL15" s="182"/>
      <c r="DM15" s="182"/>
      <c r="DN15" s="182"/>
      <c r="DO15" s="182"/>
      <c r="DP15" s="182"/>
      <c r="DQ15" s="182"/>
      <c r="DR15" s="182"/>
      <c r="DS15" s="182"/>
      <c r="DT15" s="182"/>
      <c r="DU15" s="182"/>
      <c r="DV15" s="182"/>
      <c r="DW15" s="182"/>
      <c r="DX15" s="182"/>
      <c r="DY15" s="182"/>
      <c r="DZ15" s="182"/>
      <c r="EA15" s="182"/>
      <c r="EB15" s="182"/>
      <c r="EC15" s="182"/>
      <c r="ED15" s="182"/>
      <c r="EE15" s="182"/>
      <c r="EF15" s="182"/>
      <c r="EG15" s="182"/>
      <c r="EH15" s="182"/>
      <c r="EI15" s="182"/>
      <c r="EJ15" s="182"/>
      <c r="EK15" s="182"/>
      <c r="EL15" s="182"/>
      <c r="EM15" s="182"/>
      <c r="EN15" s="182"/>
      <c r="EO15" s="182"/>
      <c r="EP15" s="182"/>
      <c r="EQ15" s="182"/>
      <c r="ER15" s="182"/>
      <c r="ES15" s="182"/>
      <c r="ET15" s="182"/>
      <c r="EU15" s="182"/>
      <c r="EV15" s="182"/>
      <c r="EW15" s="182"/>
      <c r="EX15" s="182"/>
      <c r="EY15" s="182"/>
      <c r="EZ15" s="182"/>
      <c r="FA15" s="182"/>
      <c r="FB15" s="182"/>
      <c r="FC15" s="182"/>
      <c r="FD15" s="182"/>
      <c r="FE15" s="182"/>
      <c r="FF15" s="182"/>
      <c r="FG15" s="182"/>
      <c r="FH15" s="182"/>
      <c r="FI15" s="182"/>
      <c r="FJ15" s="182"/>
      <c r="FK15" s="182"/>
      <c r="FL15" s="182"/>
      <c r="FM15" s="182"/>
      <c r="FN15" s="182"/>
      <c r="FO15" s="182"/>
      <c r="FP15" s="182"/>
      <c r="FQ15" s="182"/>
      <c r="FR15" s="182"/>
      <c r="FS15" s="182"/>
      <c r="FT15" s="182"/>
      <c r="FU15" s="182"/>
      <c r="FV15" s="182"/>
      <c r="FW15" s="182"/>
      <c r="FX15" s="182"/>
      <c r="FY15" s="182"/>
      <c r="FZ15" s="182"/>
      <c r="GA15" s="182"/>
      <c r="GB15" s="182"/>
      <c r="GC15" s="182"/>
      <c r="GD15" s="182"/>
      <c r="GE15" s="182"/>
      <c r="GF15" s="182"/>
      <c r="GG15" s="182"/>
      <c r="GH15" s="182"/>
      <c r="GI15" s="182"/>
    </row>
    <row r="16" spans="1:191" s="209" customFormat="1" x14ac:dyDescent="0.2">
      <c r="A16" s="210" t="s">
        <v>38159</v>
      </c>
      <c r="B16" s="210" t="s">
        <v>18867</v>
      </c>
      <c r="C16" s="224" t="s">
        <v>22143</v>
      </c>
      <c r="D16" s="211" t="s">
        <v>16</v>
      </c>
      <c r="E16" s="211">
        <v>9</v>
      </c>
      <c r="F16" s="211"/>
      <c r="G16" s="211">
        <v>0.3</v>
      </c>
      <c r="H16" s="212"/>
      <c r="I16" s="213"/>
      <c r="J16" s="272">
        <v>1268.26</v>
      </c>
      <c r="K16" s="112">
        <f t="shared" si="5"/>
        <v>3424.3</v>
      </c>
      <c r="L16" s="273">
        <v>0</v>
      </c>
      <c r="M16" s="213"/>
      <c r="N16" s="213"/>
      <c r="O16" s="114">
        <f t="shared" si="6"/>
        <v>1268.26</v>
      </c>
      <c r="P16" s="113">
        <f t="shared" si="7"/>
        <v>3424.3</v>
      </c>
      <c r="R16" s="203"/>
      <c r="S16" s="182"/>
      <c r="T16" s="182"/>
      <c r="U16" s="182"/>
      <c r="V16" s="182"/>
      <c r="W16" s="182"/>
      <c r="X16" s="182"/>
      <c r="Y16" s="182"/>
      <c r="Z16" s="182"/>
      <c r="AA16" s="182"/>
      <c r="AB16" s="182"/>
      <c r="AC16" s="182"/>
      <c r="AD16" s="182"/>
      <c r="AE16" s="182"/>
      <c r="AF16" s="182"/>
      <c r="AG16" s="182"/>
      <c r="AH16" s="182"/>
      <c r="AI16" s="182"/>
      <c r="AJ16" s="182"/>
      <c r="AK16" s="182"/>
      <c r="AL16" s="182"/>
      <c r="AM16" s="182"/>
      <c r="AN16" s="182"/>
      <c r="AO16" s="182"/>
      <c r="AP16" s="182"/>
      <c r="AQ16" s="182"/>
      <c r="AR16" s="182"/>
      <c r="AS16" s="182"/>
      <c r="AT16" s="182"/>
      <c r="AU16" s="182"/>
      <c r="AV16" s="182"/>
      <c r="AW16" s="182"/>
      <c r="AX16" s="182"/>
      <c r="AY16" s="182"/>
      <c r="AZ16" s="182"/>
      <c r="BA16" s="182"/>
      <c r="BB16" s="182"/>
      <c r="BC16" s="182"/>
      <c r="BD16" s="182"/>
      <c r="BE16" s="182"/>
      <c r="BF16" s="182"/>
      <c r="BG16" s="182"/>
      <c r="BH16" s="182"/>
      <c r="BI16" s="182"/>
      <c r="BJ16" s="182"/>
      <c r="BK16" s="182"/>
      <c r="BL16" s="182"/>
      <c r="BM16" s="182"/>
      <c r="BN16" s="182"/>
      <c r="BO16" s="182"/>
      <c r="BP16" s="182"/>
      <c r="BQ16" s="182"/>
      <c r="BR16" s="182"/>
      <c r="BS16" s="182"/>
      <c r="BT16" s="182"/>
      <c r="BU16" s="182"/>
      <c r="BV16" s="182"/>
      <c r="BW16" s="182"/>
      <c r="BX16" s="182"/>
      <c r="BY16" s="182"/>
      <c r="BZ16" s="182"/>
      <c r="CA16" s="182"/>
      <c r="CB16" s="182"/>
      <c r="CC16" s="182"/>
      <c r="CD16" s="182"/>
      <c r="CE16" s="182"/>
      <c r="CF16" s="182"/>
      <c r="CG16" s="182"/>
      <c r="CH16" s="182"/>
      <c r="CI16" s="182"/>
      <c r="CJ16" s="182"/>
      <c r="CK16" s="182"/>
      <c r="CL16" s="182"/>
      <c r="CM16" s="182"/>
      <c r="CN16" s="182"/>
      <c r="CO16" s="182"/>
      <c r="CP16" s="182"/>
      <c r="CQ16" s="182"/>
      <c r="CR16" s="182"/>
      <c r="CS16" s="182"/>
      <c r="CT16" s="182"/>
      <c r="CU16" s="182"/>
      <c r="CV16" s="182"/>
      <c r="CW16" s="182"/>
      <c r="CX16" s="182"/>
      <c r="CY16" s="182"/>
      <c r="CZ16" s="182"/>
      <c r="DA16" s="182"/>
      <c r="DB16" s="182"/>
      <c r="DC16" s="182"/>
      <c r="DD16" s="182"/>
      <c r="DE16" s="182"/>
      <c r="DF16" s="182"/>
      <c r="DG16" s="182"/>
      <c r="DH16" s="182"/>
      <c r="DI16" s="182"/>
      <c r="DJ16" s="182"/>
      <c r="DK16" s="182"/>
      <c r="DL16" s="182"/>
      <c r="DM16" s="182"/>
      <c r="DN16" s="182"/>
      <c r="DO16" s="182"/>
      <c r="DP16" s="182"/>
      <c r="DQ16" s="182"/>
      <c r="DR16" s="182"/>
      <c r="DS16" s="182"/>
      <c r="DT16" s="182"/>
      <c r="DU16" s="182"/>
      <c r="DV16" s="182"/>
      <c r="DW16" s="182"/>
      <c r="DX16" s="182"/>
      <c r="DY16" s="182"/>
      <c r="DZ16" s="182"/>
      <c r="EA16" s="182"/>
      <c r="EB16" s="182"/>
      <c r="EC16" s="182"/>
      <c r="ED16" s="182"/>
      <c r="EE16" s="182"/>
      <c r="EF16" s="182"/>
      <c r="EG16" s="182"/>
      <c r="EH16" s="182"/>
      <c r="EI16" s="182"/>
      <c r="EJ16" s="182"/>
      <c r="EK16" s="182"/>
      <c r="EL16" s="182"/>
      <c r="EM16" s="182"/>
      <c r="EN16" s="182"/>
      <c r="EO16" s="182"/>
      <c r="EP16" s="182"/>
      <c r="EQ16" s="182"/>
      <c r="ER16" s="182"/>
      <c r="ES16" s="182"/>
      <c r="ET16" s="182"/>
      <c r="EU16" s="182"/>
      <c r="EV16" s="182"/>
      <c r="EW16" s="182"/>
      <c r="EX16" s="182"/>
      <c r="EY16" s="182"/>
      <c r="EZ16" s="182"/>
      <c r="FA16" s="182"/>
      <c r="FB16" s="182"/>
      <c r="FC16" s="182"/>
      <c r="FD16" s="182"/>
      <c r="FE16" s="182"/>
      <c r="FF16" s="182"/>
      <c r="FG16" s="182"/>
      <c r="FH16" s="182"/>
      <c r="FI16" s="182"/>
      <c r="FJ16" s="182"/>
      <c r="FK16" s="182"/>
      <c r="FL16" s="182"/>
      <c r="FM16" s="182"/>
      <c r="FN16" s="182"/>
      <c r="FO16" s="182"/>
      <c r="FP16" s="182"/>
      <c r="FQ16" s="182"/>
      <c r="FR16" s="182"/>
      <c r="FS16" s="182"/>
      <c r="FT16" s="182"/>
      <c r="FU16" s="182"/>
      <c r="FV16" s="182"/>
      <c r="FW16" s="182"/>
      <c r="FX16" s="182"/>
      <c r="FY16" s="182"/>
      <c r="FZ16" s="182"/>
      <c r="GA16" s="182"/>
      <c r="GB16" s="182"/>
      <c r="GC16" s="182"/>
      <c r="GD16" s="182"/>
      <c r="GE16" s="182"/>
      <c r="GF16" s="182"/>
      <c r="GG16" s="182"/>
      <c r="GH16" s="182"/>
      <c r="GI16" s="182"/>
    </row>
    <row r="17" spans="1:191" s="209" customFormat="1" x14ac:dyDescent="0.2">
      <c r="A17" s="210" t="s">
        <v>38160</v>
      </c>
      <c r="B17" s="210" t="s">
        <v>18868</v>
      </c>
      <c r="C17" s="224" t="s">
        <v>22144</v>
      </c>
      <c r="D17" s="211" t="s">
        <v>16</v>
      </c>
      <c r="E17" s="211">
        <v>9</v>
      </c>
      <c r="F17" s="211"/>
      <c r="G17" s="211">
        <v>0.3</v>
      </c>
      <c r="H17" s="212"/>
      <c r="I17" s="213"/>
      <c r="J17" s="272">
        <v>1707.63</v>
      </c>
      <c r="K17" s="112">
        <f t="shared" si="5"/>
        <v>4610.6000000000004</v>
      </c>
      <c r="L17" s="273">
        <v>0</v>
      </c>
      <c r="M17" s="213"/>
      <c r="N17" s="213"/>
      <c r="O17" s="114">
        <f t="shared" si="6"/>
        <v>1707.63</v>
      </c>
      <c r="P17" s="113">
        <f t="shared" si="7"/>
        <v>4610.6000000000004</v>
      </c>
      <c r="R17" s="203"/>
      <c r="S17" s="182"/>
      <c r="T17" s="182"/>
      <c r="U17" s="182"/>
      <c r="V17" s="182"/>
      <c r="W17" s="182"/>
      <c r="X17" s="182"/>
      <c r="Y17" s="182"/>
      <c r="Z17" s="182"/>
      <c r="AA17" s="182"/>
      <c r="AB17" s="182"/>
      <c r="AC17" s="182"/>
      <c r="AD17" s="182"/>
      <c r="AE17" s="182"/>
      <c r="AF17" s="182"/>
      <c r="AG17" s="182"/>
      <c r="AH17" s="182"/>
      <c r="AI17" s="182"/>
      <c r="AJ17" s="182"/>
      <c r="AK17" s="182"/>
      <c r="AL17" s="182"/>
      <c r="AM17" s="182"/>
      <c r="AN17" s="182"/>
      <c r="AO17" s="182"/>
      <c r="AP17" s="182"/>
      <c r="AQ17" s="182"/>
      <c r="AR17" s="182"/>
      <c r="AS17" s="182"/>
      <c r="AT17" s="182"/>
      <c r="AU17" s="182"/>
      <c r="AV17" s="182"/>
      <c r="AW17" s="182"/>
      <c r="AX17" s="182"/>
      <c r="AY17" s="182"/>
      <c r="AZ17" s="182"/>
      <c r="BA17" s="182"/>
      <c r="BB17" s="182"/>
      <c r="BC17" s="182"/>
      <c r="BD17" s="182"/>
      <c r="BE17" s="182"/>
      <c r="BF17" s="182"/>
      <c r="BG17" s="182"/>
      <c r="BH17" s="182"/>
      <c r="BI17" s="182"/>
      <c r="BJ17" s="182"/>
      <c r="BK17" s="182"/>
      <c r="BL17" s="182"/>
      <c r="BM17" s="182"/>
      <c r="BN17" s="182"/>
      <c r="BO17" s="182"/>
      <c r="BP17" s="182"/>
      <c r="BQ17" s="182"/>
      <c r="BR17" s="182"/>
      <c r="BS17" s="182"/>
      <c r="BT17" s="182"/>
      <c r="BU17" s="182"/>
      <c r="BV17" s="182"/>
      <c r="BW17" s="182"/>
      <c r="BX17" s="182"/>
      <c r="BY17" s="182"/>
      <c r="BZ17" s="182"/>
      <c r="CA17" s="182"/>
      <c r="CB17" s="182"/>
      <c r="CC17" s="182"/>
      <c r="CD17" s="182"/>
      <c r="CE17" s="182"/>
      <c r="CF17" s="182"/>
      <c r="CG17" s="182"/>
      <c r="CH17" s="182"/>
      <c r="CI17" s="182"/>
      <c r="CJ17" s="182"/>
      <c r="CK17" s="182"/>
      <c r="CL17" s="182"/>
      <c r="CM17" s="182"/>
      <c r="CN17" s="182"/>
      <c r="CO17" s="182"/>
      <c r="CP17" s="182"/>
      <c r="CQ17" s="182"/>
      <c r="CR17" s="182"/>
      <c r="CS17" s="182"/>
      <c r="CT17" s="182"/>
      <c r="CU17" s="182"/>
      <c r="CV17" s="182"/>
      <c r="CW17" s="182"/>
      <c r="CX17" s="182"/>
      <c r="CY17" s="182"/>
      <c r="CZ17" s="182"/>
      <c r="DA17" s="182"/>
      <c r="DB17" s="182"/>
      <c r="DC17" s="182"/>
      <c r="DD17" s="182"/>
      <c r="DE17" s="182"/>
      <c r="DF17" s="182"/>
      <c r="DG17" s="182"/>
      <c r="DH17" s="182"/>
      <c r="DI17" s="182"/>
      <c r="DJ17" s="182"/>
      <c r="DK17" s="182"/>
      <c r="DL17" s="182"/>
      <c r="DM17" s="182"/>
      <c r="DN17" s="182"/>
      <c r="DO17" s="182"/>
      <c r="DP17" s="182"/>
      <c r="DQ17" s="182"/>
      <c r="DR17" s="182"/>
      <c r="DS17" s="182"/>
      <c r="DT17" s="182"/>
      <c r="DU17" s="182"/>
      <c r="DV17" s="182"/>
      <c r="DW17" s="182"/>
      <c r="DX17" s="182"/>
      <c r="DY17" s="182"/>
      <c r="DZ17" s="182"/>
      <c r="EA17" s="182"/>
      <c r="EB17" s="182"/>
      <c r="EC17" s="182"/>
      <c r="ED17" s="182"/>
      <c r="EE17" s="182"/>
      <c r="EF17" s="182"/>
      <c r="EG17" s="182"/>
      <c r="EH17" s="182"/>
      <c r="EI17" s="182"/>
      <c r="EJ17" s="182"/>
      <c r="EK17" s="182"/>
      <c r="EL17" s="182"/>
      <c r="EM17" s="182"/>
      <c r="EN17" s="182"/>
      <c r="EO17" s="182"/>
      <c r="EP17" s="182"/>
      <c r="EQ17" s="182"/>
      <c r="ER17" s="182"/>
      <c r="ES17" s="182"/>
      <c r="ET17" s="182"/>
      <c r="EU17" s="182"/>
      <c r="EV17" s="182"/>
      <c r="EW17" s="182"/>
      <c r="EX17" s="182"/>
      <c r="EY17" s="182"/>
      <c r="EZ17" s="182"/>
      <c r="FA17" s="182"/>
      <c r="FB17" s="182"/>
      <c r="FC17" s="182"/>
      <c r="FD17" s="182"/>
      <c r="FE17" s="182"/>
      <c r="FF17" s="182"/>
      <c r="FG17" s="182"/>
      <c r="FH17" s="182"/>
      <c r="FI17" s="182"/>
      <c r="FJ17" s="182"/>
      <c r="FK17" s="182"/>
      <c r="FL17" s="182"/>
      <c r="FM17" s="182"/>
      <c r="FN17" s="182"/>
      <c r="FO17" s="182"/>
      <c r="FP17" s="182"/>
      <c r="FQ17" s="182"/>
      <c r="FR17" s="182"/>
      <c r="FS17" s="182"/>
      <c r="FT17" s="182"/>
      <c r="FU17" s="182"/>
      <c r="FV17" s="182"/>
      <c r="FW17" s="182"/>
      <c r="FX17" s="182"/>
      <c r="FY17" s="182"/>
      <c r="FZ17" s="182"/>
      <c r="GA17" s="182"/>
      <c r="GB17" s="182"/>
      <c r="GC17" s="182"/>
      <c r="GD17" s="182"/>
      <c r="GE17" s="182"/>
      <c r="GF17" s="182"/>
      <c r="GG17" s="182"/>
      <c r="GH17" s="182"/>
      <c r="GI17" s="182"/>
    </row>
    <row r="18" spans="1:191" s="209" customFormat="1" x14ac:dyDescent="0.2">
      <c r="A18" s="210" t="s">
        <v>38161</v>
      </c>
      <c r="B18" s="210" t="s">
        <v>18869</v>
      </c>
      <c r="C18" s="224" t="s">
        <v>22145</v>
      </c>
      <c r="D18" s="211" t="s">
        <v>16</v>
      </c>
      <c r="E18" s="211">
        <v>6</v>
      </c>
      <c r="F18" s="211"/>
      <c r="G18" s="211">
        <v>0.3</v>
      </c>
      <c r="H18" s="212"/>
      <c r="I18" s="213"/>
      <c r="J18" s="272">
        <v>2477.54</v>
      </c>
      <c r="K18" s="112">
        <f t="shared" si="5"/>
        <v>4459.57</v>
      </c>
      <c r="L18" s="273">
        <v>0</v>
      </c>
      <c r="M18" s="213"/>
      <c r="N18" s="213"/>
      <c r="O18" s="114">
        <f t="shared" si="6"/>
        <v>2477.54</v>
      </c>
      <c r="P18" s="113">
        <f t="shared" si="7"/>
        <v>4459.57</v>
      </c>
      <c r="R18" s="203"/>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2"/>
      <c r="BA18" s="182"/>
      <c r="BB18" s="182"/>
      <c r="BC18" s="182"/>
      <c r="BD18" s="182"/>
      <c r="BE18" s="182"/>
      <c r="BF18" s="182"/>
      <c r="BG18" s="182"/>
      <c r="BH18" s="182"/>
      <c r="BI18" s="182"/>
      <c r="BJ18" s="182"/>
      <c r="BK18" s="182"/>
      <c r="BL18" s="182"/>
      <c r="BM18" s="182"/>
      <c r="BN18" s="182"/>
      <c r="BO18" s="182"/>
      <c r="BP18" s="182"/>
      <c r="BQ18" s="182"/>
      <c r="BR18" s="182"/>
      <c r="BS18" s="182"/>
      <c r="BT18" s="182"/>
      <c r="BU18" s="182"/>
      <c r="BV18" s="182"/>
      <c r="BW18" s="182"/>
      <c r="BX18" s="182"/>
      <c r="BY18" s="182"/>
      <c r="BZ18" s="182"/>
      <c r="CA18" s="182"/>
      <c r="CB18" s="182"/>
      <c r="CC18" s="182"/>
      <c r="CD18" s="182"/>
      <c r="CE18" s="182"/>
      <c r="CF18" s="182"/>
      <c r="CG18" s="182"/>
      <c r="CH18" s="182"/>
      <c r="CI18" s="182"/>
      <c r="CJ18" s="182"/>
      <c r="CK18" s="182"/>
      <c r="CL18" s="182"/>
      <c r="CM18" s="182"/>
      <c r="CN18" s="182"/>
      <c r="CO18" s="182"/>
      <c r="CP18" s="182"/>
      <c r="CQ18" s="182"/>
      <c r="CR18" s="182"/>
      <c r="CS18" s="182"/>
      <c r="CT18" s="182"/>
      <c r="CU18" s="182"/>
      <c r="CV18" s="182"/>
      <c r="CW18" s="182"/>
      <c r="CX18" s="182"/>
      <c r="CY18" s="182"/>
      <c r="CZ18" s="182"/>
      <c r="DA18" s="182"/>
      <c r="DB18" s="182"/>
      <c r="DC18" s="182"/>
      <c r="DD18" s="182"/>
      <c r="DE18" s="182"/>
      <c r="DF18" s="182"/>
      <c r="DG18" s="182"/>
      <c r="DH18" s="182"/>
      <c r="DI18" s="182"/>
      <c r="DJ18" s="182"/>
      <c r="DK18" s="182"/>
      <c r="DL18" s="182"/>
      <c r="DM18" s="182"/>
      <c r="DN18" s="182"/>
      <c r="DO18" s="182"/>
      <c r="DP18" s="182"/>
      <c r="DQ18" s="182"/>
      <c r="DR18" s="182"/>
      <c r="DS18" s="182"/>
      <c r="DT18" s="182"/>
      <c r="DU18" s="182"/>
      <c r="DV18" s="182"/>
      <c r="DW18" s="182"/>
      <c r="DX18" s="182"/>
      <c r="DY18" s="182"/>
      <c r="DZ18" s="182"/>
      <c r="EA18" s="182"/>
      <c r="EB18" s="182"/>
      <c r="EC18" s="182"/>
      <c r="ED18" s="182"/>
      <c r="EE18" s="182"/>
      <c r="EF18" s="182"/>
      <c r="EG18" s="182"/>
      <c r="EH18" s="182"/>
      <c r="EI18" s="182"/>
      <c r="EJ18" s="182"/>
      <c r="EK18" s="182"/>
      <c r="EL18" s="182"/>
      <c r="EM18" s="182"/>
      <c r="EN18" s="182"/>
      <c r="EO18" s="182"/>
      <c r="EP18" s="182"/>
      <c r="EQ18" s="182"/>
      <c r="ER18" s="182"/>
      <c r="ES18" s="182"/>
      <c r="ET18" s="182"/>
      <c r="EU18" s="182"/>
      <c r="EV18" s="182"/>
      <c r="EW18" s="182"/>
      <c r="EX18" s="182"/>
      <c r="EY18" s="182"/>
      <c r="EZ18" s="182"/>
      <c r="FA18" s="182"/>
      <c r="FB18" s="182"/>
      <c r="FC18" s="182"/>
      <c r="FD18" s="182"/>
      <c r="FE18" s="182"/>
      <c r="FF18" s="182"/>
      <c r="FG18" s="182"/>
      <c r="FH18" s="182"/>
      <c r="FI18" s="182"/>
      <c r="FJ18" s="182"/>
      <c r="FK18" s="182"/>
      <c r="FL18" s="182"/>
      <c r="FM18" s="182"/>
      <c r="FN18" s="182"/>
      <c r="FO18" s="182"/>
      <c r="FP18" s="182"/>
      <c r="FQ18" s="182"/>
      <c r="FR18" s="182"/>
      <c r="FS18" s="182"/>
      <c r="FT18" s="182"/>
      <c r="FU18" s="182"/>
      <c r="FV18" s="182"/>
      <c r="FW18" s="182"/>
      <c r="FX18" s="182"/>
      <c r="FY18" s="182"/>
      <c r="FZ18" s="182"/>
      <c r="GA18" s="182"/>
      <c r="GB18" s="182"/>
      <c r="GC18" s="182"/>
      <c r="GD18" s="182"/>
      <c r="GE18" s="182"/>
      <c r="GF18" s="182"/>
      <c r="GG18" s="182"/>
      <c r="GH18" s="182"/>
      <c r="GI18" s="182"/>
    </row>
    <row r="19" spans="1:191" s="209" customFormat="1" x14ac:dyDescent="0.2">
      <c r="A19" s="210" t="s">
        <v>38162</v>
      </c>
      <c r="B19" s="210" t="s">
        <v>18870</v>
      </c>
      <c r="C19" s="224" t="s">
        <v>22146</v>
      </c>
      <c r="D19" s="211" t="s">
        <v>16</v>
      </c>
      <c r="E19" s="211">
        <v>6</v>
      </c>
      <c r="F19" s="211"/>
      <c r="G19" s="211">
        <v>0.3</v>
      </c>
      <c r="H19" s="212"/>
      <c r="I19" s="213"/>
      <c r="J19" s="272">
        <v>3912.71</v>
      </c>
      <c r="K19" s="112">
        <f t="shared" si="5"/>
        <v>7042.88</v>
      </c>
      <c r="L19" s="273">
        <v>0</v>
      </c>
      <c r="M19" s="213"/>
      <c r="N19" s="213"/>
      <c r="O19" s="114">
        <f t="shared" si="6"/>
        <v>3912.71</v>
      </c>
      <c r="P19" s="113">
        <f t="shared" si="7"/>
        <v>7042.88</v>
      </c>
      <c r="R19" s="203"/>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c r="BN19" s="182"/>
      <c r="BO19" s="182"/>
      <c r="BP19" s="182"/>
      <c r="BQ19" s="182"/>
      <c r="BR19" s="182"/>
      <c r="BS19" s="182"/>
      <c r="BT19" s="182"/>
      <c r="BU19" s="182"/>
      <c r="BV19" s="182"/>
      <c r="BW19" s="182"/>
      <c r="BX19" s="182"/>
      <c r="BY19" s="182"/>
      <c r="BZ19" s="182"/>
      <c r="CA19" s="182"/>
      <c r="CB19" s="182"/>
      <c r="CC19" s="182"/>
      <c r="CD19" s="182"/>
      <c r="CE19" s="182"/>
      <c r="CF19" s="182"/>
      <c r="CG19" s="182"/>
      <c r="CH19" s="182"/>
      <c r="CI19" s="182"/>
      <c r="CJ19" s="182"/>
      <c r="CK19" s="182"/>
      <c r="CL19" s="182"/>
      <c r="CM19" s="182"/>
      <c r="CN19" s="182"/>
      <c r="CO19" s="182"/>
      <c r="CP19" s="182"/>
      <c r="CQ19" s="182"/>
      <c r="CR19" s="182"/>
      <c r="CS19" s="182"/>
      <c r="CT19" s="182"/>
      <c r="CU19" s="182"/>
      <c r="CV19" s="182"/>
      <c r="CW19" s="182"/>
      <c r="CX19" s="182"/>
      <c r="CY19" s="182"/>
      <c r="CZ19" s="182"/>
      <c r="DA19" s="182"/>
      <c r="DB19" s="182"/>
      <c r="DC19" s="182"/>
      <c r="DD19" s="182"/>
      <c r="DE19" s="182"/>
      <c r="DF19" s="182"/>
      <c r="DG19" s="182"/>
      <c r="DH19" s="182"/>
      <c r="DI19" s="182"/>
      <c r="DJ19" s="182"/>
      <c r="DK19" s="182"/>
      <c r="DL19" s="182"/>
      <c r="DM19" s="182"/>
      <c r="DN19" s="182"/>
      <c r="DO19" s="182"/>
      <c r="DP19" s="182"/>
      <c r="DQ19" s="182"/>
      <c r="DR19" s="182"/>
      <c r="DS19" s="182"/>
      <c r="DT19" s="182"/>
      <c r="DU19" s="182"/>
      <c r="DV19" s="182"/>
      <c r="DW19" s="182"/>
      <c r="DX19" s="182"/>
      <c r="DY19" s="182"/>
      <c r="DZ19" s="182"/>
      <c r="EA19" s="182"/>
      <c r="EB19" s="182"/>
      <c r="EC19" s="182"/>
      <c r="ED19" s="182"/>
      <c r="EE19" s="182"/>
      <c r="EF19" s="182"/>
      <c r="EG19" s="182"/>
      <c r="EH19" s="182"/>
      <c r="EI19" s="182"/>
      <c r="EJ19" s="182"/>
      <c r="EK19" s="182"/>
      <c r="EL19" s="182"/>
      <c r="EM19" s="182"/>
      <c r="EN19" s="182"/>
      <c r="EO19" s="182"/>
      <c r="EP19" s="182"/>
      <c r="EQ19" s="182"/>
      <c r="ER19" s="182"/>
      <c r="ES19" s="182"/>
      <c r="ET19" s="182"/>
      <c r="EU19" s="182"/>
      <c r="EV19" s="182"/>
      <c r="EW19" s="182"/>
      <c r="EX19" s="182"/>
      <c r="EY19" s="182"/>
      <c r="EZ19" s="182"/>
      <c r="FA19" s="182"/>
      <c r="FB19" s="182"/>
      <c r="FC19" s="182"/>
      <c r="FD19" s="182"/>
      <c r="FE19" s="182"/>
      <c r="FF19" s="182"/>
      <c r="FG19" s="182"/>
      <c r="FH19" s="182"/>
      <c r="FI19" s="182"/>
      <c r="FJ19" s="182"/>
      <c r="FK19" s="182"/>
      <c r="FL19" s="182"/>
      <c r="FM19" s="182"/>
      <c r="FN19" s="182"/>
      <c r="FO19" s="182"/>
      <c r="FP19" s="182"/>
      <c r="FQ19" s="182"/>
      <c r="FR19" s="182"/>
      <c r="FS19" s="182"/>
      <c r="FT19" s="182"/>
      <c r="FU19" s="182"/>
      <c r="FV19" s="182"/>
      <c r="FW19" s="182"/>
      <c r="FX19" s="182"/>
      <c r="FY19" s="182"/>
      <c r="FZ19" s="182"/>
      <c r="GA19" s="182"/>
      <c r="GB19" s="182"/>
      <c r="GC19" s="182"/>
      <c r="GD19" s="182"/>
      <c r="GE19" s="182"/>
      <c r="GF19" s="182"/>
      <c r="GG19" s="182"/>
      <c r="GH19" s="182"/>
      <c r="GI19" s="182"/>
    </row>
    <row r="20" spans="1:191" s="209" customFormat="1" x14ac:dyDescent="0.2">
      <c r="A20" s="210" t="s">
        <v>38163</v>
      </c>
      <c r="B20" s="210" t="s">
        <v>18871</v>
      </c>
      <c r="C20" s="224" t="s">
        <v>22147</v>
      </c>
      <c r="D20" s="211" t="s">
        <v>16</v>
      </c>
      <c r="E20" s="211">
        <v>3</v>
      </c>
      <c r="F20" s="211"/>
      <c r="G20" s="211">
        <v>0.3</v>
      </c>
      <c r="H20" s="212"/>
      <c r="I20" s="213"/>
      <c r="J20" s="272">
        <v>6053.63</v>
      </c>
      <c r="K20" s="112">
        <f t="shared" si="5"/>
        <v>5448.27</v>
      </c>
      <c r="L20" s="273">
        <v>0</v>
      </c>
      <c r="M20" s="213"/>
      <c r="N20" s="213"/>
      <c r="O20" s="114">
        <f t="shared" si="6"/>
        <v>6053.63</v>
      </c>
      <c r="P20" s="113">
        <f t="shared" si="7"/>
        <v>5448.27</v>
      </c>
      <c r="R20" s="203"/>
      <c r="S20" s="182"/>
      <c r="T20" s="182"/>
      <c r="U20" s="182"/>
      <c r="V20" s="182"/>
      <c r="W20" s="182"/>
      <c r="X20" s="182"/>
      <c r="Y20" s="182"/>
      <c r="Z20" s="182"/>
      <c r="AA20" s="182"/>
      <c r="AB20" s="182"/>
      <c r="AC20" s="182"/>
      <c r="AD20" s="182"/>
      <c r="AE20" s="182"/>
      <c r="AF20" s="182"/>
      <c r="AG20" s="182"/>
      <c r="AH20" s="182"/>
      <c r="AI20" s="182"/>
      <c r="AJ20" s="182"/>
      <c r="AK20" s="182"/>
      <c r="AL20" s="182"/>
      <c r="AM20" s="182"/>
      <c r="AN20" s="182"/>
      <c r="AO20" s="182"/>
      <c r="AP20" s="182"/>
      <c r="AQ20" s="182"/>
      <c r="AR20" s="182"/>
      <c r="AS20" s="182"/>
      <c r="AT20" s="182"/>
      <c r="AU20" s="182"/>
      <c r="AV20" s="182"/>
      <c r="AW20" s="182"/>
      <c r="AX20" s="182"/>
      <c r="AY20" s="182"/>
      <c r="AZ20" s="182"/>
      <c r="BA20" s="182"/>
      <c r="BB20" s="182"/>
      <c r="BC20" s="182"/>
      <c r="BD20" s="182"/>
      <c r="BE20" s="182"/>
      <c r="BF20" s="182"/>
      <c r="BG20" s="182"/>
      <c r="BH20" s="182"/>
      <c r="BI20" s="182"/>
      <c r="BJ20" s="182"/>
      <c r="BK20" s="182"/>
      <c r="BL20" s="182"/>
      <c r="BM20" s="182"/>
      <c r="BN20" s="182"/>
      <c r="BO20" s="182"/>
      <c r="BP20" s="182"/>
      <c r="BQ20" s="182"/>
      <c r="BR20" s="182"/>
      <c r="BS20" s="182"/>
      <c r="BT20" s="182"/>
      <c r="BU20" s="182"/>
      <c r="BV20" s="182"/>
      <c r="BW20" s="182"/>
      <c r="BX20" s="182"/>
      <c r="BY20" s="182"/>
      <c r="BZ20" s="182"/>
      <c r="CA20" s="182"/>
      <c r="CB20" s="182"/>
      <c r="CC20" s="182"/>
      <c r="CD20" s="182"/>
      <c r="CE20" s="182"/>
      <c r="CF20" s="182"/>
      <c r="CG20" s="182"/>
      <c r="CH20" s="182"/>
      <c r="CI20" s="182"/>
      <c r="CJ20" s="182"/>
      <c r="CK20" s="182"/>
      <c r="CL20" s="182"/>
      <c r="CM20" s="182"/>
      <c r="CN20" s="182"/>
      <c r="CO20" s="182"/>
      <c r="CP20" s="182"/>
      <c r="CQ20" s="182"/>
      <c r="CR20" s="182"/>
      <c r="CS20" s="182"/>
      <c r="CT20" s="182"/>
      <c r="CU20" s="182"/>
      <c r="CV20" s="182"/>
      <c r="CW20" s="182"/>
      <c r="CX20" s="182"/>
      <c r="CY20" s="182"/>
      <c r="CZ20" s="182"/>
      <c r="DA20" s="182"/>
      <c r="DB20" s="182"/>
      <c r="DC20" s="182"/>
      <c r="DD20" s="182"/>
      <c r="DE20" s="182"/>
      <c r="DF20" s="182"/>
      <c r="DG20" s="182"/>
      <c r="DH20" s="182"/>
      <c r="DI20" s="182"/>
      <c r="DJ20" s="182"/>
      <c r="DK20" s="182"/>
      <c r="DL20" s="182"/>
      <c r="DM20" s="182"/>
      <c r="DN20" s="182"/>
      <c r="DO20" s="182"/>
      <c r="DP20" s="182"/>
      <c r="DQ20" s="182"/>
      <c r="DR20" s="182"/>
      <c r="DS20" s="182"/>
      <c r="DT20" s="182"/>
      <c r="DU20" s="182"/>
      <c r="DV20" s="182"/>
      <c r="DW20" s="182"/>
      <c r="DX20" s="182"/>
      <c r="DY20" s="182"/>
      <c r="DZ20" s="182"/>
      <c r="EA20" s="182"/>
      <c r="EB20" s="182"/>
      <c r="EC20" s="182"/>
      <c r="ED20" s="182"/>
      <c r="EE20" s="182"/>
      <c r="EF20" s="182"/>
      <c r="EG20" s="182"/>
      <c r="EH20" s="182"/>
      <c r="EI20" s="182"/>
      <c r="EJ20" s="182"/>
      <c r="EK20" s="182"/>
      <c r="EL20" s="182"/>
      <c r="EM20" s="182"/>
      <c r="EN20" s="182"/>
      <c r="EO20" s="182"/>
      <c r="EP20" s="182"/>
      <c r="EQ20" s="182"/>
      <c r="ER20" s="182"/>
      <c r="ES20" s="182"/>
      <c r="ET20" s="182"/>
      <c r="EU20" s="182"/>
      <c r="EV20" s="182"/>
      <c r="EW20" s="182"/>
      <c r="EX20" s="182"/>
      <c r="EY20" s="182"/>
      <c r="EZ20" s="182"/>
      <c r="FA20" s="182"/>
      <c r="FB20" s="182"/>
      <c r="FC20" s="182"/>
      <c r="FD20" s="182"/>
      <c r="FE20" s="182"/>
      <c r="FF20" s="182"/>
      <c r="FG20" s="182"/>
      <c r="FH20" s="182"/>
      <c r="FI20" s="182"/>
      <c r="FJ20" s="182"/>
      <c r="FK20" s="182"/>
      <c r="FL20" s="182"/>
      <c r="FM20" s="182"/>
      <c r="FN20" s="182"/>
      <c r="FO20" s="182"/>
      <c r="FP20" s="182"/>
      <c r="FQ20" s="182"/>
      <c r="FR20" s="182"/>
      <c r="FS20" s="182"/>
      <c r="FT20" s="182"/>
      <c r="FU20" s="182"/>
      <c r="FV20" s="182"/>
      <c r="FW20" s="182"/>
      <c r="FX20" s="182"/>
      <c r="FY20" s="182"/>
      <c r="FZ20" s="182"/>
      <c r="GA20" s="182"/>
      <c r="GB20" s="182"/>
      <c r="GC20" s="182"/>
      <c r="GD20" s="182"/>
      <c r="GE20" s="182"/>
      <c r="GF20" s="182"/>
      <c r="GG20" s="182"/>
      <c r="GH20" s="182"/>
      <c r="GI20" s="182"/>
    </row>
    <row r="21" spans="1:191" s="209" customFormat="1" x14ac:dyDescent="0.2">
      <c r="A21" s="210" t="s">
        <v>38164</v>
      </c>
      <c r="B21" s="210" t="s">
        <v>18872</v>
      </c>
      <c r="C21" s="224" t="s">
        <v>22148</v>
      </c>
      <c r="D21" s="211" t="s">
        <v>16</v>
      </c>
      <c r="E21" s="211">
        <v>3</v>
      </c>
      <c r="F21" s="211"/>
      <c r="G21" s="211">
        <v>0.3</v>
      </c>
      <c r="H21" s="212"/>
      <c r="I21" s="213"/>
      <c r="J21" s="272">
        <v>7355.23</v>
      </c>
      <c r="K21" s="112">
        <f t="shared" si="5"/>
        <v>6619.71</v>
      </c>
      <c r="L21" s="273">
        <v>0</v>
      </c>
      <c r="M21" s="213"/>
      <c r="N21" s="213"/>
      <c r="O21" s="114">
        <f t="shared" si="6"/>
        <v>7355.23</v>
      </c>
      <c r="P21" s="113">
        <f t="shared" si="7"/>
        <v>6619.71</v>
      </c>
      <c r="R21" s="203"/>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82"/>
      <c r="AR21" s="182"/>
      <c r="AS21" s="182"/>
      <c r="AT21" s="182"/>
      <c r="AU21" s="182"/>
      <c r="AV21" s="182"/>
      <c r="AW21" s="182"/>
      <c r="AX21" s="182"/>
      <c r="AY21" s="182"/>
      <c r="AZ21" s="182"/>
      <c r="BA21" s="182"/>
      <c r="BB21" s="182"/>
      <c r="BC21" s="182"/>
      <c r="BD21" s="182"/>
      <c r="BE21" s="182"/>
      <c r="BF21" s="182"/>
      <c r="BG21" s="182"/>
      <c r="BH21" s="182"/>
      <c r="BI21" s="182"/>
      <c r="BJ21" s="182"/>
      <c r="BK21" s="182"/>
      <c r="BL21" s="182"/>
      <c r="BM21" s="182"/>
      <c r="BN21" s="182"/>
      <c r="BO21" s="182"/>
      <c r="BP21" s="182"/>
      <c r="BQ21" s="182"/>
      <c r="BR21" s="182"/>
      <c r="BS21" s="182"/>
      <c r="BT21" s="182"/>
      <c r="BU21" s="182"/>
      <c r="BV21" s="182"/>
      <c r="BW21" s="182"/>
      <c r="BX21" s="182"/>
      <c r="BY21" s="182"/>
      <c r="BZ21" s="182"/>
      <c r="CA21" s="182"/>
      <c r="CB21" s="182"/>
      <c r="CC21" s="182"/>
      <c r="CD21" s="182"/>
      <c r="CE21" s="182"/>
      <c r="CF21" s="182"/>
      <c r="CG21" s="182"/>
      <c r="CH21" s="182"/>
      <c r="CI21" s="182"/>
      <c r="CJ21" s="182"/>
      <c r="CK21" s="182"/>
      <c r="CL21" s="182"/>
      <c r="CM21" s="182"/>
      <c r="CN21" s="182"/>
      <c r="CO21" s="182"/>
      <c r="CP21" s="182"/>
      <c r="CQ21" s="182"/>
      <c r="CR21" s="182"/>
      <c r="CS21" s="182"/>
      <c r="CT21" s="182"/>
      <c r="CU21" s="182"/>
      <c r="CV21" s="182"/>
      <c r="CW21" s="182"/>
      <c r="CX21" s="182"/>
      <c r="CY21" s="182"/>
      <c r="CZ21" s="182"/>
      <c r="DA21" s="182"/>
      <c r="DB21" s="182"/>
      <c r="DC21" s="182"/>
      <c r="DD21" s="182"/>
      <c r="DE21" s="182"/>
      <c r="DF21" s="182"/>
      <c r="DG21" s="182"/>
      <c r="DH21" s="182"/>
      <c r="DI21" s="182"/>
      <c r="DJ21" s="182"/>
      <c r="DK21" s="182"/>
      <c r="DL21" s="182"/>
      <c r="DM21" s="182"/>
      <c r="DN21" s="182"/>
      <c r="DO21" s="182"/>
      <c r="DP21" s="182"/>
      <c r="DQ21" s="182"/>
      <c r="DR21" s="182"/>
      <c r="DS21" s="182"/>
      <c r="DT21" s="182"/>
      <c r="DU21" s="182"/>
      <c r="DV21" s="182"/>
      <c r="DW21" s="182"/>
      <c r="DX21" s="182"/>
      <c r="DY21" s="182"/>
      <c r="DZ21" s="182"/>
      <c r="EA21" s="182"/>
      <c r="EB21" s="182"/>
      <c r="EC21" s="182"/>
      <c r="ED21" s="182"/>
      <c r="EE21" s="182"/>
      <c r="EF21" s="182"/>
      <c r="EG21" s="182"/>
      <c r="EH21" s="182"/>
      <c r="EI21" s="182"/>
      <c r="EJ21" s="182"/>
      <c r="EK21" s="182"/>
      <c r="EL21" s="182"/>
      <c r="EM21" s="182"/>
      <c r="EN21" s="182"/>
      <c r="EO21" s="182"/>
      <c r="EP21" s="182"/>
      <c r="EQ21" s="182"/>
      <c r="ER21" s="182"/>
      <c r="ES21" s="182"/>
      <c r="ET21" s="182"/>
      <c r="EU21" s="182"/>
      <c r="EV21" s="182"/>
      <c r="EW21" s="182"/>
      <c r="EX21" s="182"/>
      <c r="EY21" s="182"/>
      <c r="EZ21" s="182"/>
      <c r="FA21" s="182"/>
      <c r="FB21" s="182"/>
      <c r="FC21" s="182"/>
      <c r="FD21" s="182"/>
      <c r="FE21" s="182"/>
      <c r="FF21" s="182"/>
      <c r="FG21" s="182"/>
      <c r="FH21" s="182"/>
      <c r="FI21" s="182"/>
      <c r="FJ21" s="182"/>
      <c r="FK21" s="182"/>
      <c r="FL21" s="182"/>
      <c r="FM21" s="182"/>
      <c r="FN21" s="182"/>
      <c r="FO21" s="182"/>
      <c r="FP21" s="182"/>
      <c r="FQ21" s="182"/>
      <c r="FR21" s="182"/>
      <c r="FS21" s="182"/>
      <c r="FT21" s="182"/>
      <c r="FU21" s="182"/>
      <c r="FV21" s="182"/>
      <c r="FW21" s="182"/>
      <c r="FX21" s="182"/>
      <c r="FY21" s="182"/>
      <c r="FZ21" s="182"/>
      <c r="GA21" s="182"/>
      <c r="GB21" s="182"/>
      <c r="GC21" s="182"/>
      <c r="GD21" s="182"/>
      <c r="GE21" s="182"/>
      <c r="GF21" s="182"/>
      <c r="GG21" s="182"/>
      <c r="GH21" s="182"/>
      <c r="GI21" s="182"/>
    </row>
    <row r="22" spans="1:191" s="209" customFormat="1" x14ac:dyDescent="0.2">
      <c r="A22" s="210" t="s">
        <v>38165</v>
      </c>
      <c r="B22" s="210" t="s">
        <v>18873</v>
      </c>
      <c r="C22" s="224" t="s">
        <v>22149</v>
      </c>
      <c r="D22" s="211" t="s">
        <v>16</v>
      </c>
      <c r="E22" s="211">
        <v>3</v>
      </c>
      <c r="F22" s="211"/>
      <c r="G22" s="211">
        <v>0.3</v>
      </c>
      <c r="H22" s="212"/>
      <c r="I22" s="213"/>
      <c r="J22" s="272">
        <v>13437.49</v>
      </c>
      <c r="K22" s="112">
        <f t="shared" si="5"/>
        <v>12093.74</v>
      </c>
      <c r="L22" s="273">
        <v>0</v>
      </c>
      <c r="M22" s="213"/>
      <c r="N22" s="213"/>
      <c r="O22" s="114">
        <f t="shared" si="6"/>
        <v>13437.49</v>
      </c>
      <c r="P22" s="113">
        <f t="shared" si="7"/>
        <v>12093.74</v>
      </c>
      <c r="R22" s="203"/>
      <c r="S22" s="182"/>
      <c r="T22" s="182"/>
      <c r="U22" s="182"/>
      <c r="V22" s="182"/>
      <c r="W22" s="182"/>
      <c r="X22" s="182"/>
      <c r="Y22" s="182"/>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2"/>
      <c r="BA22" s="182"/>
      <c r="BB22" s="182"/>
      <c r="BC22" s="182"/>
      <c r="BD22" s="182"/>
      <c r="BE22" s="182"/>
      <c r="BF22" s="182"/>
      <c r="BG22" s="182"/>
      <c r="BH22" s="182"/>
      <c r="BI22" s="182"/>
      <c r="BJ22" s="182"/>
      <c r="BK22" s="182"/>
      <c r="BL22" s="182"/>
      <c r="BM22" s="182"/>
      <c r="BN22" s="182"/>
      <c r="BO22" s="182"/>
      <c r="BP22" s="182"/>
      <c r="BQ22" s="182"/>
      <c r="BR22" s="182"/>
      <c r="BS22" s="182"/>
      <c r="BT22" s="182"/>
      <c r="BU22" s="182"/>
      <c r="BV22" s="182"/>
      <c r="BW22" s="182"/>
      <c r="BX22" s="182"/>
      <c r="BY22" s="182"/>
      <c r="BZ22" s="182"/>
      <c r="CA22" s="182"/>
      <c r="CB22" s="182"/>
      <c r="CC22" s="182"/>
      <c r="CD22" s="182"/>
      <c r="CE22" s="182"/>
      <c r="CF22" s="182"/>
      <c r="CG22" s="182"/>
      <c r="CH22" s="182"/>
      <c r="CI22" s="182"/>
      <c r="CJ22" s="182"/>
      <c r="CK22" s="182"/>
      <c r="CL22" s="182"/>
      <c r="CM22" s="182"/>
      <c r="CN22" s="182"/>
      <c r="CO22" s="182"/>
      <c r="CP22" s="182"/>
      <c r="CQ22" s="182"/>
      <c r="CR22" s="182"/>
      <c r="CS22" s="182"/>
      <c r="CT22" s="182"/>
      <c r="CU22" s="182"/>
      <c r="CV22" s="182"/>
      <c r="CW22" s="182"/>
      <c r="CX22" s="182"/>
      <c r="CY22" s="182"/>
      <c r="CZ22" s="182"/>
      <c r="DA22" s="182"/>
      <c r="DB22" s="182"/>
      <c r="DC22" s="182"/>
      <c r="DD22" s="182"/>
      <c r="DE22" s="182"/>
      <c r="DF22" s="182"/>
      <c r="DG22" s="182"/>
      <c r="DH22" s="182"/>
      <c r="DI22" s="182"/>
      <c r="DJ22" s="182"/>
      <c r="DK22" s="182"/>
      <c r="DL22" s="182"/>
      <c r="DM22" s="182"/>
      <c r="DN22" s="182"/>
      <c r="DO22" s="182"/>
      <c r="DP22" s="182"/>
      <c r="DQ22" s="182"/>
      <c r="DR22" s="182"/>
      <c r="DS22" s="182"/>
      <c r="DT22" s="182"/>
      <c r="DU22" s="182"/>
      <c r="DV22" s="182"/>
      <c r="DW22" s="182"/>
      <c r="DX22" s="182"/>
      <c r="DY22" s="182"/>
      <c r="DZ22" s="182"/>
      <c r="EA22" s="182"/>
      <c r="EB22" s="182"/>
      <c r="EC22" s="182"/>
      <c r="ED22" s="182"/>
      <c r="EE22" s="182"/>
      <c r="EF22" s="182"/>
      <c r="EG22" s="182"/>
      <c r="EH22" s="182"/>
      <c r="EI22" s="182"/>
      <c r="EJ22" s="182"/>
      <c r="EK22" s="182"/>
      <c r="EL22" s="182"/>
      <c r="EM22" s="182"/>
      <c r="EN22" s="182"/>
      <c r="EO22" s="182"/>
      <c r="EP22" s="182"/>
      <c r="EQ22" s="182"/>
      <c r="ER22" s="182"/>
      <c r="ES22" s="182"/>
      <c r="ET22" s="182"/>
      <c r="EU22" s="182"/>
      <c r="EV22" s="182"/>
      <c r="EW22" s="182"/>
      <c r="EX22" s="182"/>
      <c r="EY22" s="182"/>
      <c r="EZ22" s="182"/>
      <c r="FA22" s="182"/>
      <c r="FB22" s="182"/>
      <c r="FC22" s="182"/>
      <c r="FD22" s="182"/>
      <c r="FE22" s="182"/>
      <c r="FF22" s="182"/>
      <c r="FG22" s="182"/>
      <c r="FH22" s="182"/>
      <c r="FI22" s="182"/>
      <c r="FJ22" s="182"/>
      <c r="FK22" s="182"/>
      <c r="FL22" s="182"/>
      <c r="FM22" s="182"/>
      <c r="FN22" s="182"/>
      <c r="FO22" s="182"/>
      <c r="FP22" s="182"/>
      <c r="FQ22" s="182"/>
      <c r="FR22" s="182"/>
      <c r="FS22" s="182"/>
      <c r="FT22" s="182"/>
      <c r="FU22" s="182"/>
      <c r="FV22" s="182"/>
      <c r="FW22" s="182"/>
      <c r="FX22" s="182"/>
      <c r="FY22" s="182"/>
      <c r="FZ22" s="182"/>
      <c r="GA22" s="182"/>
      <c r="GB22" s="182"/>
      <c r="GC22" s="182"/>
      <c r="GD22" s="182"/>
      <c r="GE22" s="182"/>
      <c r="GF22" s="182"/>
      <c r="GG22" s="182"/>
      <c r="GH22" s="182"/>
      <c r="GI22" s="182"/>
    </row>
    <row r="23" spans="1:191" s="209" customFormat="1" ht="25.5" x14ac:dyDescent="0.2">
      <c r="A23" s="210" t="s">
        <v>38166</v>
      </c>
      <c r="B23" s="210" t="s">
        <v>18874</v>
      </c>
      <c r="C23" s="224" t="s">
        <v>22150</v>
      </c>
      <c r="D23" s="211" t="s">
        <v>16</v>
      </c>
      <c r="E23" s="211">
        <v>9</v>
      </c>
      <c r="F23" s="211"/>
      <c r="G23" s="211">
        <v>0.3</v>
      </c>
      <c r="H23" s="212"/>
      <c r="I23" s="213"/>
      <c r="J23" s="272">
        <v>2806.52</v>
      </c>
      <c r="K23" s="112">
        <f t="shared" si="5"/>
        <v>7577.6</v>
      </c>
      <c r="L23" s="273">
        <v>0</v>
      </c>
      <c r="M23" s="213"/>
      <c r="N23" s="213"/>
      <c r="O23" s="114">
        <f t="shared" si="6"/>
        <v>2806.52</v>
      </c>
      <c r="P23" s="113">
        <f t="shared" si="7"/>
        <v>7577.6</v>
      </c>
      <c r="R23" s="203"/>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c r="BB23" s="182"/>
      <c r="BC23" s="182"/>
      <c r="BD23" s="182"/>
      <c r="BE23" s="182"/>
      <c r="BF23" s="182"/>
      <c r="BG23" s="182"/>
      <c r="BH23" s="182"/>
      <c r="BI23" s="182"/>
      <c r="BJ23" s="182"/>
      <c r="BK23" s="182"/>
      <c r="BL23" s="182"/>
      <c r="BM23" s="182"/>
      <c r="BN23" s="182"/>
      <c r="BO23" s="182"/>
      <c r="BP23" s="182"/>
      <c r="BQ23" s="182"/>
      <c r="BR23" s="182"/>
      <c r="BS23" s="182"/>
      <c r="BT23" s="182"/>
      <c r="BU23" s="182"/>
      <c r="BV23" s="182"/>
      <c r="BW23" s="182"/>
      <c r="BX23" s="182"/>
      <c r="BY23" s="182"/>
      <c r="BZ23" s="182"/>
      <c r="CA23" s="182"/>
      <c r="CB23" s="182"/>
      <c r="CC23" s="182"/>
      <c r="CD23" s="182"/>
      <c r="CE23" s="182"/>
      <c r="CF23" s="182"/>
      <c r="CG23" s="182"/>
      <c r="CH23" s="182"/>
      <c r="CI23" s="182"/>
      <c r="CJ23" s="182"/>
      <c r="CK23" s="182"/>
      <c r="CL23" s="182"/>
      <c r="CM23" s="182"/>
      <c r="CN23" s="182"/>
      <c r="CO23" s="182"/>
      <c r="CP23" s="182"/>
      <c r="CQ23" s="182"/>
      <c r="CR23" s="182"/>
      <c r="CS23" s="182"/>
      <c r="CT23" s="182"/>
      <c r="CU23" s="182"/>
      <c r="CV23" s="182"/>
      <c r="CW23" s="182"/>
      <c r="CX23" s="182"/>
      <c r="CY23" s="182"/>
      <c r="CZ23" s="182"/>
      <c r="DA23" s="182"/>
      <c r="DB23" s="182"/>
      <c r="DC23" s="182"/>
      <c r="DD23" s="182"/>
      <c r="DE23" s="182"/>
      <c r="DF23" s="182"/>
      <c r="DG23" s="182"/>
      <c r="DH23" s="182"/>
      <c r="DI23" s="182"/>
      <c r="DJ23" s="182"/>
      <c r="DK23" s="182"/>
      <c r="DL23" s="182"/>
      <c r="DM23" s="182"/>
      <c r="DN23" s="182"/>
      <c r="DO23" s="182"/>
      <c r="DP23" s="182"/>
      <c r="DQ23" s="182"/>
      <c r="DR23" s="182"/>
      <c r="DS23" s="182"/>
      <c r="DT23" s="182"/>
      <c r="DU23" s="182"/>
      <c r="DV23" s="182"/>
      <c r="DW23" s="182"/>
      <c r="DX23" s="182"/>
      <c r="DY23" s="182"/>
      <c r="DZ23" s="182"/>
      <c r="EA23" s="182"/>
      <c r="EB23" s="182"/>
      <c r="EC23" s="182"/>
      <c r="ED23" s="182"/>
      <c r="EE23" s="182"/>
      <c r="EF23" s="182"/>
      <c r="EG23" s="182"/>
      <c r="EH23" s="182"/>
      <c r="EI23" s="182"/>
      <c r="EJ23" s="182"/>
      <c r="EK23" s="182"/>
      <c r="EL23" s="182"/>
      <c r="EM23" s="182"/>
      <c r="EN23" s="182"/>
      <c r="EO23" s="182"/>
      <c r="EP23" s="182"/>
      <c r="EQ23" s="182"/>
      <c r="ER23" s="182"/>
      <c r="ES23" s="182"/>
      <c r="ET23" s="182"/>
      <c r="EU23" s="182"/>
      <c r="EV23" s="182"/>
      <c r="EW23" s="182"/>
      <c r="EX23" s="182"/>
      <c r="EY23" s="182"/>
      <c r="EZ23" s="182"/>
      <c r="FA23" s="182"/>
      <c r="FB23" s="182"/>
      <c r="FC23" s="182"/>
      <c r="FD23" s="182"/>
      <c r="FE23" s="182"/>
      <c r="FF23" s="182"/>
      <c r="FG23" s="182"/>
      <c r="FH23" s="182"/>
      <c r="FI23" s="182"/>
      <c r="FJ23" s="182"/>
      <c r="FK23" s="182"/>
      <c r="FL23" s="182"/>
      <c r="FM23" s="182"/>
      <c r="FN23" s="182"/>
      <c r="FO23" s="182"/>
      <c r="FP23" s="182"/>
      <c r="FQ23" s="182"/>
      <c r="FR23" s="182"/>
      <c r="FS23" s="182"/>
      <c r="FT23" s="182"/>
      <c r="FU23" s="182"/>
      <c r="FV23" s="182"/>
      <c r="FW23" s="182"/>
      <c r="FX23" s="182"/>
      <c r="FY23" s="182"/>
      <c r="FZ23" s="182"/>
      <c r="GA23" s="182"/>
      <c r="GB23" s="182"/>
      <c r="GC23" s="182"/>
      <c r="GD23" s="182"/>
      <c r="GE23" s="182"/>
      <c r="GF23" s="182"/>
      <c r="GG23" s="182"/>
      <c r="GH23" s="182"/>
      <c r="GI23" s="182"/>
    </row>
    <row r="24" spans="1:191" s="209" customFormat="1" ht="25.5" x14ac:dyDescent="0.2">
      <c r="A24" s="210" t="s">
        <v>38167</v>
      </c>
      <c r="B24" s="210" t="s">
        <v>18875</v>
      </c>
      <c r="C24" s="224" t="s">
        <v>22151</v>
      </c>
      <c r="D24" s="211" t="s">
        <v>16</v>
      </c>
      <c r="E24" s="211">
        <v>6</v>
      </c>
      <c r="F24" s="211"/>
      <c r="G24" s="211">
        <v>0.3</v>
      </c>
      <c r="H24" s="212"/>
      <c r="I24" s="213"/>
      <c r="J24" s="272">
        <v>3455</v>
      </c>
      <c r="K24" s="112">
        <f t="shared" si="5"/>
        <v>6219</v>
      </c>
      <c r="L24" s="273">
        <v>0</v>
      </c>
      <c r="M24" s="213"/>
      <c r="N24" s="213"/>
      <c r="O24" s="114">
        <f t="shared" si="6"/>
        <v>3455</v>
      </c>
      <c r="P24" s="113">
        <f t="shared" si="7"/>
        <v>6219</v>
      </c>
      <c r="R24" s="203"/>
      <c r="S24" s="182"/>
      <c r="T24" s="182"/>
      <c r="U24" s="182"/>
      <c r="V24" s="182"/>
      <c r="W24" s="182"/>
      <c r="X24" s="182"/>
      <c r="Y24" s="182"/>
      <c r="Z24" s="182"/>
      <c r="AA24" s="182"/>
      <c r="AB24" s="182"/>
      <c r="AC24" s="182"/>
      <c r="AD24" s="182"/>
      <c r="AE24" s="182"/>
      <c r="AF24" s="182"/>
      <c r="AG24" s="182"/>
      <c r="AH24" s="182"/>
      <c r="AI24" s="182"/>
      <c r="AJ24" s="182"/>
      <c r="AK24" s="182"/>
      <c r="AL24" s="182"/>
      <c r="AM24" s="182"/>
      <c r="AN24" s="182"/>
      <c r="AO24" s="182"/>
      <c r="AP24" s="182"/>
      <c r="AQ24" s="182"/>
      <c r="AR24" s="182"/>
      <c r="AS24" s="182"/>
      <c r="AT24" s="182"/>
      <c r="AU24" s="182"/>
      <c r="AV24" s="182"/>
      <c r="AW24" s="182"/>
      <c r="AX24" s="182"/>
      <c r="AY24" s="182"/>
      <c r="AZ24" s="182"/>
      <c r="BA24" s="182"/>
      <c r="BB24" s="182"/>
      <c r="BC24" s="182"/>
      <c r="BD24" s="182"/>
      <c r="BE24" s="182"/>
      <c r="BF24" s="182"/>
      <c r="BG24" s="182"/>
      <c r="BH24" s="182"/>
      <c r="BI24" s="182"/>
      <c r="BJ24" s="182"/>
      <c r="BK24" s="182"/>
      <c r="BL24" s="182"/>
      <c r="BM24" s="182"/>
      <c r="BN24" s="182"/>
      <c r="BO24" s="182"/>
      <c r="BP24" s="182"/>
      <c r="BQ24" s="182"/>
      <c r="BR24" s="182"/>
      <c r="BS24" s="182"/>
      <c r="BT24" s="182"/>
      <c r="BU24" s="182"/>
      <c r="BV24" s="182"/>
      <c r="BW24" s="182"/>
      <c r="BX24" s="182"/>
      <c r="BY24" s="182"/>
      <c r="BZ24" s="182"/>
      <c r="CA24" s="182"/>
      <c r="CB24" s="182"/>
      <c r="CC24" s="182"/>
      <c r="CD24" s="182"/>
      <c r="CE24" s="182"/>
      <c r="CF24" s="182"/>
      <c r="CG24" s="182"/>
      <c r="CH24" s="182"/>
      <c r="CI24" s="182"/>
      <c r="CJ24" s="182"/>
      <c r="CK24" s="182"/>
      <c r="CL24" s="182"/>
      <c r="CM24" s="182"/>
      <c r="CN24" s="182"/>
      <c r="CO24" s="182"/>
      <c r="CP24" s="182"/>
      <c r="CQ24" s="182"/>
      <c r="CR24" s="182"/>
      <c r="CS24" s="182"/>
      <c r="CT24" s="182"/>
      <c r="CU24" s="182"/>
      <c r="CV24" s="182"/>
      <c r="CW24" s="182"/>
      <c r="CX24" s="182"/>
      <c r="CY24" s="182"/>
      <c r="CZ24" s="182"/>
      <c r="DA24" s="182"/>
      <c r="DB24" s="182"/>
      <c r="DC24" s="182"/>
      <c r="DD24" s="182"/>
      <c r="DE24" s="182"/>
      <c r="DF24" s="182"/>
      <c r="DG24" s="182"/>
      <c r="DH24" s="182"/>
      <c r="DI24" s="182"/>
      <c r="DJ24" s="182"/>
      <c r="DK24" s="182"/>
      <c r="DL24" s="182"/>
      <c r="DM24" s="182"/>
      <c r="DN24" s="182"/>
      <c r="DO24" s="182"/>
      <c r="DP24" s="182"/>
      <c r="DQ24" s="182"/>
      <c r="DR24" s="182"/>
      <c r="DS24" s="182"/>
      <c r="DT24" s="182"/>
      <c r="DU24" s="182"/>
      <c r="DV24" s="182"/>
      <c r="DW24" s="182"/>
      <c r="DX24" s="182"/>
      <c r="DY24" s="182"/>
      <c r="DZ24" s="182"/>
      <c r="EA24" s="182"/>
      <c r="EB24" s="182"/>
      <c r="EC24" s="182"/>
      <c r="ED24" s="182"/>
      <c r="EE24" s="182"/>
      <c r="EF24" s="182"/>
      <c r="EG24" s="182"/>
      <c r="EH24" s="182"/>
      <c r="EI24" s="182"/>
      <c r="EJ24" s="182"/>
      <c r="EK24" s="182"/>
      <c r="EL24" s="182"/>
      <c r="EM24" s="182"/>
      <c r="EN24" s="182"/>
      <c r="EO24" s="182"/>
      <c r="EP24" s="182"/>
      <c r="EQ24" s="182"/>
      <c r="ER24" s="182"/>
      <c r="ES24" s="182"/>
      <c r="ET24" s="182"/>
      <c r="EU24" s="182"/>
      <c r="EV24" s="182"/>
      <c r="EW24" s="182"/>
      <c r="EX24" s="182"/>
      <c r="EY24" s="182"/>
      <c r="EZ24" s="182"/>
      <c r="FA24" s="182"/>
      <c r="FB24" s="182"/>
      <c r="FC24" s="182"/>
      <c r="FD24" s="182"/>
      <c r="FE24" s="182"/>
      <c r="FF24" s="182"/>
      <c r="FG24" s="182"/>
      <c r="FH24" s="182"/>
      <c r="FI24" s="182"/>
      <c r="FJ24" s="182"/>
      <c r="FK24" s="182"/>
      <c r="FL24" s="182"/>
      <c r="FM24" s="182"/>
      <c r="FN24" s="182"/>
      <c r="FO24" s="182"/>
      <c r="FP24" s="182"/>
      <c r="FQ24" s="182"/>
      <c r="FR24" s="182"/>
      <c r="FS24" s="182"/>
      <c r="FT24" s="182"/>
      <c r="FU24" s="182"/>
      <c r="FV24" s="182"/>
      <c r="FW24" s="182"/>
      <c r="FX24" s="182"/>
      <c r="FY24" s="182"/>
      <c r="FZ24" s="182"/>
      <c r="GA24" s="182"/>
      <c r="GB24" s="182"/>
      <c r="GC24" s="182"/>
      <c r="GD24" s="182"/>
      <c r="GE24" s="182"/>
      <c r="GF24" s="182"/>
      <c r="GG24" s="182"/>
      <c r="GH24" s="182"/>
      <c r="GI24" s="182"/>
    </row>
    <row r="25" spans="1:191" s="209" customFormat="1" ht="25.5" x14ac:dyDescent="0.2">
      <c r="A25" s="210" t="s">
        <v>38168</v>
      </c>
      <c r="B25" s="210" t="s">
        <v>18876</v>
      </c>
      <c r="C25" s="224" t="s">
        <v>22152</v>
      </c>
      <c r="D25" s="211" t="s">
        <v>16</v>
      </c>
      <c r="E25" s="211">
        <v>3</v>
      </c>
      <c r="F25" s="211"/>
      <c r="G25" s="211">
        <v>0.3</v>
      </c>
      <c r="H25" s="212"/>
      <c r="I25" s="213"/>
      <c r="J25" s="272">
        <v>3956.8</v>
      </c>
      <c r="K25" s="112">
        <f t="shared" si="5"/>
        <v>3561.12</v>
      </c>
      <c r="L25" s="273">
        <v>0</v>
      </c>
      <c r="M25" s="213"/>
      <c r="N25" s="213"/>
      <c r="O25" s="114">
        <f t="shared" si="6"/>
        <v>3956.8</v>
      </c>
      <c r="P25" s="113">
        <f t="shared" si="7"/>
        <v>3561.12</v>
      </c>
      <c r="R25" s="203"/>
      <c r="S25" s="182"/>
      <c r="T25" s="182"/>
      <c r="U25" s="182"/>
      <c r="V25" s="182"/>
      <c r="W25" s="182"/>
      <c r="X25" s="182"/>
      <c r="Y25" s="182"/>
      <c r="Z25" s="182"/>
      <c r="AA25" s="182"/>
      <c r="AB25" s="182"/>
      <c r="AC25" s="182"/>
      <c r="AD25" s="182"/>
      <c r="AE25" s="182"/>
      <c r="AF25" s="182"/>
      <c r="AG25" s="182"/>
      <c r="AH25" s="182"/>
      <c r="AI25" s="182"/>
      <c r="AJ25" s="182"/>
      <c r="AK25" s="182"/>
      <c r="AL25" s="182"/>
      <c r="AM25" s="182"/>
      <c r="AN25" s="182"/>
      <c r="AO25" s="182"/>
      <c r="AP25" s="182"/>
      <c r="AQ25" s="182"/>
      <c r="AR25" s="182"/>
      <c r="AS25" s="182"/>
      <c r="AT25" s="182"/>
      <c r="AU25" s="182"/>
      <c r="AV25" s="182"/>
      <c r="AW25" s="182"/>
      <c r="AX25" s="182"/>
      <c r="AY25" s="182"/>
      <c r="AZ25" s="182"/>
      <c r="BA25" s="182"/>
      <c r="BB25" s="182"/>
      <c r="BC25" s="182"/>
      <c r="BD25" s="182"/>
      <c r="BE25" s="182"/>
      <c r="BF25" s="182"/>
      <c r="BG25" s="182"/>
      <c r="BH25" s="182"/>
      <c r="BI25" s="182"/>
      <c r="BJ25" s="182"/>
      <c r="BK25" s="182"/>
      <c r="BL25" s="182"/>
      <c r="BM25" s="182"/>
      <c r="BN25" s="182"/>
      <c r="BO25" s="182"/>
      <c r="BP25" s="182"/>
      <c r="BQ25" s="182"/>
      <c r="BR25" s="182"/>
      <c r="BS25" s="182"/>
      <c r="BT25" s="182"/>
      <c r="BU25" s="182"/>
      <c r="BV25" s="182"/>
      <c r="BW25" s="182"/>
      <c r="BX25" s="182"/>
      <c r="BY25" s="182"/>
      <c r="BZ25" s="182"/>
      <c r="CA25" s="182"/>
      <c r="CB25" s="182"/>
      <c r="CC25" s="182"/>
      <c r="CD25" s="182"/>
      <c r="CE25" s="182"/>
      <c r="CF25" s="182"/>
      <c r="CG25" s="182"/>
      <c r="CH25" s="182"/>
      <c r="CI25" s="182"/>
      <c r="CJ25" s="182"/>
      <c r="CK25" s="182"/>
      <c r="CL25" s="182"/>
      <c r="CM25" s="182"/>
      <c r="CN25" s="182"/>
      <c r="CO25" s="182"/>
      <c r="CP25" s="182"/>
      <c r="CQ25" s="182"/>
      <c r="CR25" s="182"/>
      <c r="CS25" s="182"/>
      <c r="CT25" s="182"/>
      <c r="CU25" s="182"/>
      <c r="CV25" s="182"/>
      <c r="CW25" s="182"/>
      <c r="CX25" s="182"/>
      <c r="CY25" s="182"/>
      <c r="CZ25" s="182"/>
      <c r="DA25" s="182"/>
      <c r="DB25" s="182"/>
      <c r="DC25" s="182"/>
      <c r="DD25" s="182"/>
      <c r="DE25" s="182"/>
      <c r="DF25" s="182"/>
      <c r="DG25" s="182"/>
      <c r="DH25" s="182"/>
      <c r="DI25" s="182"/>
      <c r="DJ25" s="182"/>
      <c r="DK25" s="182"/>
      <c r="DL25" s="182"/>
      <c r="DM25" s="182"/>
      <c r="DN25" s="182"/>
      <c r="DO25" s="182"/>
      <c r="DP25" s="182"/>
      <c r="DQ25" s="182"/>
      <c r="DR25" s="182"/>
      <c r="DS25" s="182"/>
      <c r="DT25" s="182"/>
      <c r="DU25" s="182"/>
      <c r="DV25" s="182"/>
      <c r="DW25" s="182"/>
      <c r="DX25" s="182"/>
      <c r="DY25" s="182"/>
      <c r="DZ25" s="182"/>
      <c r="EA25" s="182"/>
      <c r="EB25" s="182"/>
      <c r="EC25" s="182"/>
      <c r="ED25" s="182"/>
      <c r="EE25" s="182"/>
      <c r="EF25" s="182"/>
      <c r="EG25" s="182"/>
      <c r="EH25" s="182"/>
      <c r="EI25" s="182"/>
      <c r="EJ25" s="182"/>
      <c r="EK25" s="182"/>
      <c r="EL25" s="182"/>
      <c r="EM25" s="182"/>
      <c r="EN25" s="182"/>
      <c r="EO25" s="182"/>
      <c r="EP25" s="182"/>
      <c r="EQ25" s="182"/>
      <c r="ER25" s="182"/>
      <c r="ES25" s="182"/>
      <c r="ET25" s="182"/>
      <c r="EU25" s="182"/>
      <c r="EV25" s="182"/>
      <c r="EW25" s="182"/>
      <c r="EX25" s="182"/>
      <c r="EY25" s="182"/>
      <c r="EZ25" s="182"/>
      <c r="FA25" s="182"/>
      <c r="FB25" s="182"/>
      <c r="FC25" s="182"/>
      <c r="FD25" s="182"/>
      <c r="FE25" s="182"/>
      <c r="FF25" s="182"/>
      <c r="FG25" s="182"/>
      <c r="FH25" s="182"/>
      <c r="FI25" s="182"/>
      <c r="FJ25" s="182"/>
      <c r="FK25" s="182"/>
      <c r="FL25" s="182"/>
      <c r="FM25" s="182"/>
      <c r="FN25" s="182"/>
      <c r="FO25" s="182"/>
      <c r="FP25" s="182"/>
      <c r="FQ25" s="182"/>
      <c r="FR25" s="182"/>
      <c r="FS25" s="182"/>
      <c r="FT25" s="182"/>
      <c r="FU25" s="182"/>
      <c r="FV25" s="182"/>
      <c r="FW25" s="182"/>
      <c r="FX25" s="182"/>
      <c r="FY25" s="182"/>
      <c r="FZ25" s="182"/>
      <c r="GA25" s="182"/>
      <c r="GB25" s="182"/>
      <c r="GC25" s="182"/>
      <c r="GD25" s="182"/>
      <c r="GE25" s="182"/>
      <c r="GF25" s="182"/>
      <c r="GG25" s="182"/>
      <c r="GH25" s="182"/>
      <c r="GI25" s="182"/>
    </row>
    <row r="26" spans="1:191" s="209" customFormat="1" ht="25.5" x14ac:dyDescent="0.2">
      <c r="A26" s="210" t="s">
        <v>38169</v>
      </c>
      <c r="B26" s="210" t="s">
        <v>18877</v>
      </c>
      <c r="C26" s="224" t="s">
        <v>22153</v>
      </c>
      <c r="D26" s="211" t="s">
        <v>16</v>
      </c>
      <c r="E26" s="211">
        <v>6</v>
      </c>
      <c r="F26" s="211"/>
      <c r="G26" s="211">
        <v>0.3</v>
      </c>
      <c r="H26" s="212"/>
      <c r="I26" s="213"/>
      <c r="J26" s="272">
        <v>4402.16</v>
      </c>
      <c r="K26" s="112">
        <f t="shared" si="5"/>
        <v>7923.89</v>
      </c>
      <c r="L26" s="273">
        <v>0</v>
      </c>
      <c r="M26" s="213"/>
      <c r="N26" s="213"/>
      <c r="O26" s="114">
        <f t="shared" si="6"/>
        <v>4402.16</v>
      </c>
      <c r="P26" s="113">
        <f t="shared" si="7"/>
        <v>7923.89</v>
      </c>
      <c r="R26" s="203"/>
      <c r="S26" s="182"/>
      <c r="T26" s="182"/>
      <c r="U26" s="182"/>
      <c r="V26" s="182"/>
      <c r="W26" s="182"/>
      <c r="X26" s="182"/>
      <c r="Y26" s="182"/>
      <c r="Z26" s="182"/>
      <c r="AA26" s="182"/>
      <c r="AB26" s="182"/>
      <c r="AC26" s="182"/>
      <c r="AD26" s="182"/>
      <c r="AE26" s="182"/>
      <c r="AF26" s="182"/>
      <c r="AG26" s="182"/>
      <c r="AH26" s="182"/>
      <c r="AI26" s="182"/>
      <c r="AJ26" s="182"/>
      <c r="AK26" s="182"/>
      <c r="AL26" s="182"/>
      <c r="AM26" s="182"/>
      <c r="AN26" s="182"/>
      <c r="AO26" s="182"/>
      <c r="AP26" s="182"/>
      <c r="AQ26" s="182"/>
      <c r="AR26" s="182"/>
      <c r="AS26" s="182"/>
      <c r="AT26" s="182"/>
      <c r="AU26" s="182"/>
      <c r="AV26" s="182"/>
      <c r="AW26" s="182"/>
      <c r="AX26" s="182"/>
      <c r="AY26" s="182"/>
      <c r="AZ26" s="182"/>
      <c r="BA26" s="182"/>
      <c r="BB26" s="182"/>
      <c r="BC26" s="182"/>
      <c r="BD26" s="182"/>
      <c r="BE26" s="182"/>
      <c r="BF26" s="182"/>
      <c r="BG26" s="182"/>
      <c r="BH26" s="182"/>
      <c r="BI26" s="182"/>
      <c r="BJ26" s="182"/>
      <c r="BK26" s="182"/>
      <c r="BL26" s="182"/>
      <c r="BM26" s="182"/>
      <c r="BN26" s="182"/>
      <c r="BO26" s="182"/>
      <c r="BP26" s="182"/>
      <c r="BQ26" s="182"/>
      <c r="BR26" s="182"/>
      <c r="BS26" s="182"/>
      <c r="BT26" s="182"/>
      <c r="BU26" s="182"/>
      <c r="BV26" s="182"/>
      <c r="BW26" s="182"/>
      <c r="BX26" s="182"/>
      <c r="BY26" s="182"/>
      <c r="BZ26" s="182"/>
      <c r="CA26" s="182"/>
      <c r="CB26" s="182"/>
      <c r="CC26" s="182"/>
      <c r="CD26" s="182"/>
      <c r="CE26" s="182"/>
      <c r="CF26" s="182"/>
      <c r="CG26" s="182"/>
      <c r="CH26" s="182"/>
      <c r="CI26" s="182"/>
      <c r="CJ26" s="182"/>
      <c r="CK26" s="182"/>
      <c r="CL26" s="182"/>
      <c r="CM26" s="182"/>
      <c r="CN26" s="182"/>
      <c r="CO26" s="182"/>
      <c r="CP26" s="182"/>
      <c r="CQ26" s="182"/>
      <c r="CR26" s="182"/>
      <c r="CS26" s="182"/>
      <c r="CT26" s="182"/>
      <c r="CU26" s="182"/>
      <c r="CV26" s="182"/>
      <c r="CW26" s="182"/>
      <c r="CX26" s="182"/>
      <c r="CY26" s="182"/>
      <c r="CZ26" s="182"/>
      <c r="DA26" s="182"/>
      <c r="DB26" s="182"/>
      <c r="DC26" s="182"/>
      <c r="DD26" s="182"/>
      <c r="DE26" s="182"/>
      <c r="DF26" s="182"/>
      <c r="DG26" s="182"/>
      <c r="DH26" s="182"/>
      <c r="DI26" s="182"/>
      <c r="DJ26" s="182"/>
      <c r="DK26" s="182"/>
      <c r="DL26" s="182"/>
      <c r="DM26" s="182"/>
      <c r="DN26" s="182"/>
      <c r="DO26" s="182"/>
      <c r="DP26" s="182"/>
      <c r="DQ26" s="182"/>
      <c r="DR26" s="182"/>
      <c r="DS26" s="182"/>
      <c r="DT26" s="182"/>
      <c r="DU26" s="182"/>
      <c r="DV26" s="182"/>
      <c r="DW26" s="182"/>
      <c r="DX26" s="182"/>
      <c r="DY26" s="182"/>
      <c r="DZ26" s="182"/>
      <c r="EA26" s="182"/>
      <c r="EB26" s="182"/>
      <c r="EC26" s="182"/>
      <c r="ED26" s="182"/>
      <c r="EE26" s="182"/>
      <c r="EF26" s="182"/>
      <c r="EG26" s="182"/>
      <c r="EH26" s="182"/>
      <c r="EI26" s="182"/>
      <c r="EJ26" s="182"/>
      <c r="EK26" s="182"/>
      <c r="EL26" s="182"/>
      <c r="EM26" s="182"/>
      <c r="EN26" s="182"/>
      <c r="EO26" s="182"/>
      <c r="EP26" s="182"/>
      <c r="EQ26" s="182"/>
      <c r="ER26" s="182"/>
      <c r="ES26" s="182"/>
      <c r="ET26" s="182"/>
      <c r="EU26" s="182"/>
      <c r="EV26" s="182"/>
      <c r="EW26" s="182"/>
      <c r="EX26" s="182"/>
      <c r="EY26" s="182"/>
      <c r="EZ26" s="182"/>
      <c r="FA26" s="182"/>
      <c r="FB26" s="182"/>
      <c r="FC26" s="182"/>
      <c r="FD26" s="182"/>
      <c r="FE26" s="182"/>
      <c r="FF26" s="182"/>
      <c r="FG26" s="182"/>
      <c r="FH26" s="182"/>
      <c r="FI26" s="182"/>
      <c r="FJ26" s="182"/>
      <c r="FK26" s="182"/>
      <c r="FL26" s="182"/>
      <c r="FM26" s="182"/>
      <c r="FN26" s="182"/>
      <c r="FO26" s="182"/>
      <c r="FP26" s="182"/>
      <c r="FQ26" s="182"/>
      <c r="FR26" s="182"/>
      <c r="FS26" s="182"/>
      <c r="FT26" s="182"/>
      <c r="FU26" s="182"/>
      <c r="FV26" s="182"/>
      <c r="FW26" s="182"/>
      <c r="FX26" s="182"/>
      <c r="FY26" s="182"/>
      <c r="FZ26" s="182"/>
      <c r="GA26" s="182"/>
      <c r="GB26" s="182"/>
      <c r="GC26" s="182"/>
      <c r="GD26" s="182"/>
      <c r="GE26" s="182"/>
      <c r="GF26" s="182"/>
      <c r="GG26" s="182"/>
      <c r="GH26" s="182"/>
      <c r="GI26" s="182"/>
    </row>
    <row r="27" spans="1:191" s="209" customFormat="1" ht="25.5" x14ac:dyDescent="0.2">
      <c r="A27" s="210" t="s">
        <v>38170</v>
      </c>
      <c r="B27" s="210" t="s">
        <v>18878</v>
      </c>
      <c r="C27" s="224" t="s">
        <v>22154</v>
      </c>
      <c r="D27" s="211" t="s">
        <v>16</v>
      </c>
      <c r="E27" s="211">
        <v>12</v>
      </c>
      <c r="F27" s="211"/>
      <c r="G27" s="211">
        <v>0.3</v>
      </c>
      <c r="H27" s="212"/>
      <c r="I27" s="213"/>
      <c r="J27" s="272">
        <v>4852.6000000000004</v>
      </c>
      <c r="K27" s="112">
        <f t="shared" si="5"/>
        <v>17469.36</v>
      </c>
      <c r="L27" s="273">
        <v>0</v>
      </c>
      <c r="M27" s="213"/>
      <c r="N27" s="213"/>
      <c r="O27" s="114">
        <f t="shared" si="6"/>
        <v>4852.6000000000004</v>
      </c>
      <c r="P27" s="113">
        <f t="shared" si="7"/>
        <v>17469.36</v>
      </c>
      <c r="R27" s="203"/>
      <c r="S27" s="182"/>
      <c r="T27" s="182"/>
      <c r="U27" s="182"/>
      <c r="V27" s="182"/>
      <c r="W27" s="182"/>
      <c r="X27" s="182"/>
      <c r="Y27" s="182"/>
      <c r="Z27" s="182"/>
      <c r="AA27" s="182"/>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c r="BD27" s="182"/>
      <c r="BE27" s="182"/>
      <c r="BF27" s="182"/>
      <c r="BG27" s="182"/>
      <c r="BH27" s="182"/>
      <c r="BI27" s="182"/>
      <c r="BJ27" s="182"/>
      <c r="BK27" s="182"/>
      <c r="BL27" s="182"/>
      <c r="BM27" s="182"/>
      <c r="BN27" s="182"/>
      <c r="BO27" s="182"/>
      <c r="BP27" s="182"/>
      <c r="BQ27" s="182"/>
      <c r="BR27" s="182"/>
      <c r="BS27" s="182"/>
      <c r="BT27" s="182"/>
      <c r="BU27" s="182"/>
      <c r="BV27" s="182"/>
      <c r="BW27" s="182"/>
      <c r="BX27" s="182"/>
      <c r="BY27" s="182"/>
      <c r="BZ27" s="182"/>
      <c r="CA27" s="182"/>
      <c r="CB27" s="182"/>
      <c r="CC27" s="182"/>
      <c r="CD27" s="182"/>
      <c r="CE27" s="182"/>
      <c r="CF27" s="182"/>
      <c r="CG27" s="182"/>
      <c r="CH27" s="182"/>
      <c r="CI27" s="182"/>
      <c r="CJ27" s="182"/>
      <c r="CK27" s="182"/>
      <c r="CL27" s="182"/>
      <c r="CM27" s="182"/>
      <c r="CN27" s="182"/>
      <c r="CO27" s="182"/>
      <c r="CP27" s="182"/>
      <c r="CQ27" s="182"/>
      <c r="CR27" s="182"/>
      <c r="CS27" s="182"/>
      <c r="CT27" s="182"/>
      <c r="CU27" s="182"/>
      <c r="CV27" s="182"/>
      <c r="CW27" s="182"/>
      <c r="CX27" s="182"/>
      <c r="CY27" s="182"/>
      <c r="CZ27" s="182"/>
      <c r="DA27" s="182"/>
      <c r="DB27" s="182"/>
      <c r="DC27" s="182"/>
      <c r="DD27" s="182"/>
      <c r="DE27" s="182"/>
      <c r="DF27" s="182"/>
      <c r="DG27" s="182"/>
      <c r="DH27" s="182"/>
      <c r="DI27" s="182"/>
      <c r="DJ27" s="182"/>
      <c r="DK27" s="182"/>
      <c r="DL27" s="182"/>
      <c r="DM27" s="182"/>
      <c r="DN27" s="182"/>
      <c r="DO27" s="182"/>
      <c r="DP27" s="182"/>
      <c r="DQ27" s="182"/>
      <c r="DR27" s="182"/>
      <c r="DS27" s="182"/>
      <c r="DT27" s="182"/>
      <c r="DU27" s="182"/>
      <c r="DV27" s="182"/>
      <c r="DW27" s="182"/>
      <c r="DX27" s="182"/>
      <c r="DY27" s="182"/>
      <c r="DZ27" s="182"/>
      <c r="EA27" s="182"/>
      <c r="EB27" s="182"/>
      <c r="EC27" s="182"/>
      <c r="ED27" s="182"/>
      <c r="EE27" s="182"/>
      <c r="EF27" s="182"/>
      <c r="EG27" s="182"/>
      <c r="EH27" s="182"/>
      <c r="EI27" s="182"/>
      <c r="EJ27" s="182"/>
      <c r="EK27" s="182"/>
      <c r="EL27" s="182"/>
      <c r="EM27" s="182"/>
      <c r="EN27" s="182"/>
      <c r="EO27" s="182"/>
      <c r="EP27" s="182"/>
      <c r="EQ27" s="182"/>
      <c r="ER27" s="182"/>
      <c r="ES27" s="182"/>
      <c r="ET27" s="182"/>
      <c r="EU27" s="182"/>
      <c r="EV27" s="182"/>
      <c r="EW27" s="182"/>
      <c r="EX27" s="182"/>
      <c r="EY27" s="182"/>
      <c r="EZ27" s="182"/>
      <c r="FA27" s="182"/>
      <c r="FB27" s="182"/>
      <c r="FC27" s="182"/>
      <c r="FD27" s="182"/>
      <c r="FE27" s="182"/>
      <c r="FF27" s="182"/>
      <c r="FG27" s="182"/>
      <c r="FH27" s="182"/>
      <c r="FI27" s="182"/>
      <c r="FJ27" s="182"/>
      <c r="FK27" s="182"/>
      <c r="FL27" s="182"/>
      <c r="FM27" s="182"/>
      <c r="FN27" s="182"/>
      <c r="FO27" s="182"/>
      <c r="FP27" s="182"/>
      <c r="FQ27" s="182"/>
      <c r="FR27" s="182"/>
      <c r="FS27" s="182"/>
      <c r="FT27" s="182"/>
      <c r="FU27" s="182"/>
      <c r="FV27" s="182"/>
      <c r="FW27" s="182"/>
      <c r="FX27" s="182"/>
      <c r="FY27" s="182"/>
      <c r="FZ27" s="182"/>
      <c r="GA27" s="182"/>
      <c r="GB27" s="182"/>
      <c r="GC27" s="182"/>
      <c r="GD27" s="182"/>
      <c r="GE27" s="182"/>
      <c r="GF27" s="182"/>
      <c r="GG27" s="182"/>
      <c r="GH27" s="182"/>
      <c r="GI27" s="182"/>
    </row>
    <row r="28" spans="1:191" s="209" customFormat="1" ht="25.5" x14ac:dyDescent="0.2">
      <c r="A28" s="210" t="s">
        <v>38171</v>
      </c>
      <c r="B28" s="210" t="s">
        <v>18879</v>
      </c>
      <c r="C28" s="224" t="s">
        <v>22155</v>
      </c>
      <c r="D28" s="211" t="s">
        <v>16</v>
      </c>
      <c r="E28" s="211">
        <v>3</v>
      </c>
      <c r="F28" s="211"/>
      <c r="G28" s="211">
        <v>0.3</v>
      </c>
      <c r="H28" s="212"/>
      <c r="I28" s="213"/>
      <c r="J28" s="272">
        <v>5310.11</v>
      </c>
      <c r="K28" s="112">
        <f t="shared" si="5"/>
        <v>4779.1000000000004</v>
      </c>
      <c r="L28" s="273">
        <v>0</v>
      </c>
      <c r="M28" s="213"/>
      <c r="N28" s="213"/>
      <c r="O28" s="114">
        <f t="shared" si="6"/>
        <v>5310.11</v>
      </c>
      <c r="P28" s="113">
        <f t="shared" si="7"/>
        <v>4779.1000000000004</v>
      </c>
      <c r="R28" s="203"/>
      <c r="S28" s="182"/>
      <c r="T28" s="182"/>
      <c r="U28" s="182"/>
      <c r="V28" s="182"/>
      <c r="W28" s="182"/>
      <c r="X28" s="182"/>
      <c r="Y28" s="182"/>
      <c r="Z28" s="182"/>
      <c r="AA28" s="182"/>
      <c r="AB28" s="182"/>
      <c r="AC28" s="182"/>
      <c r="AD28" s="182"/>
      <c r="AE28" s="182"/>
      <c r="AF28" s="182"/>
      <c r="AG28" s="182"/>
      <c r="AH28" s="182"/>
      <c r="AI28" s="182"/>
      <c r="AJ28" s="182"/>
      <c r="AK28" s="182"/>
      <c r="AL28" s="182"/>
      <c r="AM28" s="182"/>
      <c r="AN28" s="182"/>
      <c r="AO28" s="182"/>
      <c r="AP28" s="182"/>
      <c r="AQ28" s="182"/>
      <c r="AR28" s="182"/>
      <c r="AS28" s="182"/>
      <c r="AT28" s="182"/>
      <c r="AU28" s="182"/>
      <c r="AV28" s="182"/>
      <c r="AW28" s="182"/>
      <c r="AX28" s="182"/>
      <c r="AY28" s="182"/>
      <c r="AZ28" s="182"/>
      <c r="BA28" s="182"/>
      <c r="BB28" s="182"/>
      <c r="BC28" s="182"/>
      <c r="BD28" s="182"/>
      <c r="BE28" s="182"/>
      <c r="BF28" s="182"/>
      <c r="BG28" s="182"/>
      <c r="BH28" s="182"/>
      <c r="BI28" s="182"/>
      <c r="BJ28" s="182"/>
      <c r="BK28" s="182"/>
      <c r="BL28" s="182"/>
      <c r="BM28" s="182"/>
      <c r="BN28" s="182"/>
      <c r="BO28" s="182"/>
      <c r="BP28" s="182"/>
      <c r="BQ28" s="182"/>
      <c r="BR28" s="182"/>
      <c r="BS28" s="182"/>
      <c r="BT28" s="182"/>
      <c r="BU28" s="182"/>
      <c r="BV28" s="182"/>
      <c r="BW28" s="182"/>
      <c r="BX28" s="182"/>
      <c r="BY28" s="182"/>
      <c r="BZ28" s="182"/>
      <c r="CA28" s="182"/>
      <c r="CB28" s="182"/>
      <c r="CC28" s="182"/>
      <c r="CD28" s="182"/>
      <c r="CE28" s="182"/>
      <c r="CF28" s="182"/>
      <c r="CG28" s="182"/>
      <c r="CH28" s="182"/>
      <c r="CI28" s="182"/>
      <c r="CJ28" s="182"/>
      <c r="CK28" s="182"/>
      <c r="CL28" s="182"/>
      <c r="CM28" s="182"/>
      <c r="CN28" s="182"/>
      <c r="CO28" s="182"/>
      <c r="CP28" s="182"/>
      <c r="CQ28" s="182"/>
      <c r="CR28" s="182"/>
      <c r="CS28" s="182"/>
      <c r="CT28" s="182"/>
      <c r="CU28" s="182"/>
      <c r="CV28" s="182"/>
      <c r="CW28" s="182"/>
      <c r="CX28" s="182"/>
      <c r="CY28" s="182"/>
      <c r="CZ28" s="182"/>
      <c r="DA28" s="182"/>
      <c r="DB28" s="182"/>
      <c r="DC28" s="182"/>
      <c r="DD28" s="182"/>
      <c r="DE28" s="182"/>
      <c r="DF28" s="182"/>
      <c r="DG28" s="182"/>
      <c r="DH28" s="182"/>
      <c r="DI28" s="182"/>
      <c r="DJ28" s="182"/>
      <c r="DK28" s="182"/>
      <c r="DL28" s="182"/>
      <c r="DM28" s="182"/>
      <c r="DN28" s="182"/>
      <c r="DO28" s="182"/>
      <c r="DP28" s="182"/>
      <c r="DQ28" s="182"/>
      <c r="DR28" s="182"/>
      <c r="DS28" s="182"/>
      <c r="DT28" s="182"/>
      <c r="DU28" s="182"/>
      <c r="DV28" s="182"/>
      <c r="DW28" s="182"/>
      <c r="DX28" s="182"/>
      <c r="DY28" s="182"/>
      <c r="DZ28" s="182"/>
      <c r="EA28" s="182"/>
      <c r="EB28" s="182"/>
      <c r="EC28" s="182"/>
      <c r="ED28" s="182"/>
      <c r="EE28" s="182"/>
      <c r="EF28" s="182"/>
      <c r="EG28" s="182"/>
      <c r="EH28" s="182"/>
      <c r="EI28" s="182"/>
      <c r="EJ28" s="182"/>
      <c r="EK28" s="182"/>
      <c r="EL28" s="182"/>
      <c r="EM28" s="182"/>
      <c r="EN28" s="182"/>
      <c r="EO28" s="182"/>
      <c r="EP28" s="182"/>
      <c r="EQ28" s="182"/>
      <c r="ER28" s="182"/>
      <c r="ES28" s="182"/>
      <c r="ET28" s="182"/>
      <c r="EU28" s="182"/>
      <c r="EV28" s="182"/>
      <c r="EW28" s="182"/>
      <c r="EX28" s="182"/>
      <c r="EY28" s="182"/>
      <c r="EZ28" s="182"/>
      <c r="FA28" s="182"/>
      <c r="FB28" s="182"/>
      <c r="FC28" s="182"/>
      <c r="FD28" s="182"/>
      <c r="FE28" s="182"/>
      <c r="FF28" s="182"/>
      <c r="FG28" s="182"/>
      <c r="FH28" s="182"/>
      <c r="FI28" s="182"/>
      <c r="FJ28" s="182"/>
      <c r="FK28" s="182"/>
      <c r="FL28" s="182"/>
      <c r="FM28" s="182"/>
      <c r="FN28" s="182"/>
      <c r="FO28" s="182"/>
      <c r="FP28" s="182"/>
      <c r="FQ28" s="182"/>
      <c r="FR28" s="182"/>
      <c r="FS28" s="182"/>
      <c r="FT28" s="182"/>
      <c r="FU28" s="182"/>
      <c r="FV28" s="182"/>
      <c r="FW28" s="182"/>
      <c r="FX28" s="182"/>
      <c r="FY28" s="182"/>
      <c r="FZ28" s="182"/>
      <c r="GA28" s="182"/>
      <c r="GB28" s="182"/>
      <c r="GC28" s="182"/>
      <c r="GD28" s="182"/>
      <c r="GE28" s="182"/>
      <c r="GF28" s="182"/>
      <c r="GG28" s="182"/>
      <c r="GH28" s="182"/>
      <c r="GI28" s="182"/>
    </row>
    <row r="29" spans="1:191" s="209" customFormat="1" ht="25.5" x14ac:dyDescent="0.2">
      <c r="A29" s="210" t="s">
        <v>38172</v>
      </c>
      <c r="B29" s="210" t="s">
        <v>18880</v>
      </c>
      <c r="C29" s="224" t="s">
        <v>22156</v>
      </c>
      <c r="D29" s="211" t="s">
        <v>16</v>
      </c>
      <c r="E29" s="211">
        <v>3</v>
      </c>
      <c r="F29" s="211"/>
      <c r="G29" s="211">
        <v>0.3</v>
      </c>
      <c r="H29" s="212"/>
      <c r="I29" s="213"/>
      <c r="J29" s="272">
        <v>7100.87</v>
      </c>
      <c r="K29" s="112">
        <f t="shared" si="5"/>
        <v>6390.78</v>
      </c>
      <c r="L29" s="273">
        <v>0</v>
      </c>
      <c r="M29" s="213"/>
      <c r="N29" s="213"/>
      <c r="O29" s="114">
        <f t="shared" si="6"/>
        <v>7100.87</v>
      </c>
      <c r="P29" s="113">
        <f t="shared" si="7"/>
        <v>6390.78</v>
      </c>
      <c r="R29" s="203"/>
      <c r="S29" s="182"/>
      <c r="T29" s="182"/>
      <c r="U29" s="182"/>
      <c r="V29" s="182"/>
      <c r="W29" s="182"/>
      <c r="X29" s="182"/>
      <c r="Y29" s="182"/>
      <c r="Z29" s="182"/>
      <c r="AA29" s="182"/>
      <c r="AB29" s="182"/>
      <c r="AC29" s="182"/>
      <c r="AD29" s="182"/>
      <c r="AE29" s="182"/>
      <c r="AF29" s="182"/>
      <c r="AG29" s="182"/>
      <c r="AH29" s="182"/>
      <c r="AI29" s="182"/>
      <c r="AJ29" s="182"/>
      <c r="AK29" s="182"/>
      <c r="AL29" s="182"/>
      <c r="AM29" s="182"/>
      <c r="AN29" s="182"/>
      <c r="AO29" s="182"/>
      <c r="AP29" s="182"/>
      <c r="AQ29" s="182"/>
      <c r="AR29" s="182"/>
      <c r="AS29" s="182"/>
      <c r="AT29" s="182"/>
      <c r="AU29" s="182"/>
      <c r="AV29" s="182"/>
      <c r="AW29" s="182"/>
      <c r="AX29" s="182"/>
      <c r="AY29" s="182"/>
      <c r="AZ29" s="182"/>
      <c r="BA29" s="182"/>
      <c r="BB29" s="182"/>
      <c r="BC29" s="182"/>
      <c r="BD29" s="182"/>
      <c r="BE29" s="182"/>
      <c r="BF29" s="182"/>
      <c r="BG29" s="182"/>
      <c r="BH29" s="182"/>
      <c r="BI29" s="182"/>
      <c r="BJ29" s="182"/>
      <c r="BK29" s="182"/>
      <c r="BL29" s="182"/>
      <c r="BM29" s="182"/>
      <c r="BN29" s="182"/>
      <c r="BO29" s="182"/>
      <c r="BP29" s="182"/>
      <c r="BQ29" s="182"/>
      <c r="BR29" s="182"/>
      <c r="BS29" s="182"/>
      <c r="BT29" s="182"/>
      <c r="BU29" s="182"/>
      <c r="BV29" s="182"/>
      <c r="BW29" s="182"/>
      <c r="BX29" s="182"/>
      <c r="BY29" s="182"/>
      <c r="BZ29" s="182"/>
      <c r="CA29" s="182"/>
      <c r="CB29" s="182"/>
      <c r="CC29" s="182"/>
      <c r="CD29" s="182"/>
      <c r="CE29" s="182"/>
      <c r="CF29" s="182"/>
      <c r="CG29" s="182"/>
      <c r="CH29" s="182"/>
      <c r="CI29" s="182"/>
      <c r="CJ29" s="182"/>
      <c r="CK29" s="182"/>
      <c r="CL29" s="182"/>
      <c r="CM29" s="182"/>
      <c r="CN29" s="182"/>
      <c r="CO29" s="182"/>
      <c r="CP29" s="182"/>
      <c r="CQ29" s="182"/>
      <c r="CR29" s="182"/>
      <c r="CS29" s="182"/>
      <c r="CT29" s="182"/>
      <c r="CU29" s="182"/>
      <c r="CV29" s="182"/>
      <c r="CW29" s="182"/>
      <c r="CX29" s="182"/>
      <c r="CY29" s="182"/>
      <c r="CZ29" s="182"/>
      <c r="DA29" s="182"/>
      <c r="DB29" s="182"/>
      <c r="DC29" s="182"/>
      <c r="DD29" s="182"/>
      <c r="DE29" s="182"/>
      <c r="DF29" s="182"/>
      <c r="DG29" s="182"/>
      <c r="DH29" s="182"/>
      <c r="DI29" s="182"/>
      <c r="DJ29" s="182"/>
      <c r="DK29" s="182"/>
      <c r="DL29" s="182"/>
      <c r="DM29" s="182"/>
      <c r="DN29" s="182"/>
      <c r="DO29" s="182"/>
      <c r="DP29" s="182"/>
      <c r="DQ29" s="182"/>
      <c r="DR29" s="182"/>
      <c r="DS29" s="182"/>
      <c r="DT29" s="182"/>
      <c r="DU29" s="182"/>
      <c r="DV29" s="182"/>
      <c r="DW29" s="182"/>
      <c r="DX29" s="182"/>
      <c r="DY29" s="182"/>
      <c r="DZ29" s="182"/>
      <c r="EA29" s="182"/>
      <c r="EB29" s="182"/>
      <c r="EC29" s="182"/>
      <c r="ED29" s="182"/>
      <c r="EE29" s="182"/>
      <c r="EF29" s="182"/>
      <c r="EG29" s="182"/>
      <c r="EH29" s="182"/>
      <c r="EI29" s="182"/>
      <c r="EJ29" s="182"/>
      <c r="EK29" s="182"/>
      <c r="EL29" s="182"/>
      <c r="EM29" s="182"/>
      <c r="EN29" s="182"/>
      <c r="EO29" s="182"/>
      <c r="EP29" s="182"/>
      <c r="EQ29" s="182"/>
      <c r="ER29" s="182"/>
      <c r="ES29" s="182"/>
      <c r="ET29" s="182"/>
      <c r="EU29" s="182"/>
      <c r="EV29" s="182"/>
      <c r="EW29" s="182"/>
      <c r="EX29" s="182"/>
      <c r="EY29" s="182"/>
      <c r="EZ29" s="182"/>
      <c r="FA29" s="182"/>
      <c r="FB29" s="182"/>
      <c r="FC29" s="182"/>
      <c r="FD29" s="182"/>
      <c r="FE29" s="182"/>
      <c r="FF29" s="182"/>
      <c r="FG29" s="182"/>
      <c r="FH29" s="182"/>
      <c r="FI29" s="182"/>
      <c r="FJ29" s="182"/>
      <c r="FK29" s="182"/>
      <c r="FL29" s="182"/>
      <c r="FM29" s="182"/>
      <c r="FN29" s="182"/>
      <c r="FO29" s="182"/>
      <c r="FP29" s="182"/>
      <c r="FQ29" s="182"/>
      <c r="FR29" s="182"/>
      <c r="FS29" s="182"/>
      <c r="FT29" s="182"/>
      <c r="FU29" s="182"/>
      <c r="FV29" s="182"/>
      <c r="FW29" s="182"/>
      <c r="FX29" s="182"/>
      <c r="FY29" s="182"/>
      <c r="FZ29" s="182"/>
      <c r="GA29" s="182"/>
      <c r="GB29" s="182"/>
      <c r="GC29" s="182"/>
      <c r="GD29" s="182"/>
      <c r="GE29" s="182"/>
      <c r="GF29" s="182"/>
      <c r="GG29" s="182"/>
      <c r="GH29" s="182"/>
      <c r="GI29" s="182"/>
    </row>
    <row r="30" spans="1:191" s="209" customFormat="1" ht="25.5" x14ac:dyDescent="0.2">
      <c r="A30" s="210" t="s">
        <v>38173</v>
      </c>
      <c r="B30" s="210" t="s">
        <v>18881</v>
      </c>
      <c r="C30" s="224" t="s">
        <v>22157</v>
      </c>
      <c r="D30" s="211" t="s">
        <v>16</v>
      </c>
      <c r="E30" s="211">
        <v>2</v>
      </c>
      <c r="F30" s="211"/>
      <c r="G30" s="211">
        <v>0.3</v>
      </c>
      <c r="H30" s="212"/>
      <c r="I30" s="213"/>
      <c r="J30" s="272">
        <v>23658.14</v>
      </c>
      <c r="K30" s="112">
        <f t="shared" si="5"/>
        <v>14194.88</v>
      </c>
      <c r="L30" s="273">
        <v>0</v>
      </c>
      <c r="M30" s="213"/>
      <c r="N30" s="213"/>
      <c r="O30" s="114">
        <f t="shared" si="6"/>
        <v>23658.14</v>
      </c>
      <c r="P30" s="113">
        <f t="shared" si="7"/>
        <v>14194.88</v>
      </c>
      <c r="R30" s="203"/>
      <c r="S30" s="182"/>
      <c r="T30" s="182"/>
      <c r="U30" s="182"/>
      <c r="V30" s="182"/>
      <c r="W30" s="182"/>
      <c r="X30" s="182"/>
      <c r="Y30" s="182"/>
      <c r="Z30" s="182"/>
      <c r="AA30" s="182"/>
      <c r="AB30" s="182"/>
      <c r="AC30" s="182"/>
      <c r="AD30" s="182"/>
      <c r="AE30" s="182"/>
      <c r="AF30" s="182"/>
      <c r="AG30" s="182"/>
      <c r="AH30" s="182"/>
      <c r="AI30" s="182"/>
      <c r="AJ30" s="182"/>
      <c r="AK30" s="182"/>
      <c r="AL30" s="182"/>
      <c r="AM30" s="182"/>
      <c r="AN30" s="182"/>
      <c r="AO30" s="182"/>
      <c r="AP30" s="182"/>
      <c r="AQ30" s="182"/>
      <c r="AR30" s="182"/>
      <c r="AS30" s="182"/>
      <c r="AT30" s="182"/>
      <c r="AU30" s="182"/>
      <c r="AV30" s="182"/>
      <c r="AW30" s="182"/>
      <c r="AX30" s="182"/>
      <c r="AY30" s="182"/>
      <c r="AZ30" s="182"/>
      <c r="BA30" s="182"/>
      <c r="BB30" s="182"/>
      <c r="BC30" s="182"/>
      <c r="BD30" s="182"/>
      <c r="BE30" s="182"/>
      <c r="BF30" s="182"/>
      <c r="BG30" s="182"/>
      <c r="BH30" s="182"/>
      <c r="BI30" s="182"/>
      <c r="BJ30" s="182"/>
      <c r="BK30" s="182"/>
      <c r="BL30" s="182"/>
      <c r="BM30" s="182"/>
      <c r="BN30" s="182"/>
      <c r="BO30" s="182"/>
      <c r="BP30" s="182"/>
      <c r="BQ30" s="182"/>
      <c r="BR30" s="182"/>
      <c r="BS30" s="182"/>
      <c r="BT30" s="182"/>
      <c r="BU30" s="182"/>
      <c r="BV30" s="182"/>
      <c r="BW30" s="182"/>
      <c r="BX30" s="182"/>
      <c r="BY30" s="182"/>
      <c r="BZ30" s="182"/>
      <c r="CA30" s="182"/>
      <c r="CB30" s="182"/>
      <c r="CC30" s="182"/>
      <c r="CD30" s="182"/>
      <c r="CE30" s="182"/>
      <c r="CF30" s="182"/>
      <c r="CG30" s="182"/>
      <c r="CH30" s="182"/>
      <c r="CI30" s="182"/>
      <c r="CJ30" s="182"/>
      <c r="CK30" s="182"/>
      <c r="CL30" s="182"/>
      <c r="CM30" s="182"/>
      <c r="CN30" s="182"/>
      <c r="CO30" s="182"/>
      <c r="CP30" s="182"/>
      <c r="CQ30" s="182"/>
      <c r="CR30" s="182"/>
      <c r="CS30" s="182"/>
      <c r="CT30" s="182"/>
      <c r="CU30" s="182"/>
      <c r="CV30" s="182"/>
      <c r="CW30" s="182"/>
      <c r="CX30" s="182"/>
      <c r="CY30" s="182"/>
      <c r="CZ30" s="182"/>
      <c r="DA30" s="182"/>
      <c r="DB30" s="182"/>
      <c r="DC30" s="182"/>
      <c r="DD30" s="182"/>
      <c r="DE30" s="182"/>
      <c r="DF30" s="182"/>
      <c r="DG30" s="182"/>
      <c r="DH30" s="182"/>
      <c r="DI30" s="182"/>
      <c r="DJ30" s="182"/>
      <c r="DK30" s="182"/>
      <c r="DL30" s="182"/>
      <c r="DM30" s="182"/>
      <c r="DN30" s="182"/>
      <c r="DO30" s="182"/>
      <c r="DP30" s="182"/>
      <c r="DQ30" s="182"/>
      <c r="DR30" s="182"/>
      <c r="DS30" s="182"/>
      <c r="DT30" s="182"/>
      <c r="DU30" s="182"/>
      <c r="DV30" s="182"/>
      <c r="DW30" s="182"/>
      <c r="DX30" s="182"/>
      <c r="DY30" s="182"/>
      <c r="DZ30" s="182"/>
      <c r="EA30" s="182"/>
      <c r="EB30" s="182"/>
      <c r="EC30" s="182"/>
      <c r="ED30" s="182"/>
      <c r="EE30" s="182"/>
      <c r="EF30" s="182"/>
      <c r="EG30" s="182"/>
      <c r="EH30" s="182"/>
      <c r="EI30" s="182"/>
      <c r="EJ30" s="182"/>
      <c r="EK30" s="182"/>
      <c r="EL30" s="182"/>
      <c r="EM30" s="182"/>
      <c r="EN30" s="182"/>
      <c r="EO30" s="182"/>
      <c r="EP30" s="182"/>
      <c r="EQ30" s="182"/>
      <c r="ER30" s="182"/>
      <c r="ES30" s="182"/>
      <c r="ET30" s="182"/>
      <c r="EU30" s="182"/>
      <c r="EV30" s="182"/>
      <c r="EW30" s="182"/>
      <c r="EX30" s="182"/>
      <c r="EY30" s="182"/>
      <c r="EZ30" s="182"/>
      <c r="FA30" s="182"/>
      <c r="FB30" s="182"/>
      <c r="FC30" s="182"/>
      <c r="FD30" s="182"/>
      <c r="FE30" s="182"/>
      <c r="FF30" s="182"/>
      <c r="FG30" s="182"/>
      <c r="FH30" s="182"/>
      <c r="FI30" s="182"/>
      <c r="FJ30" s="182"/>
      <c r="FK30" s="182"/>
      <c r="FL30" s="182"/>
      <c r="FM30" s="182"/>
      <c r="FN30" s="182"/>
      <c r="FO30" s="182"/>
      <c r="FP30" s="182"/>
      <c r="FQ30" s="182"/>
      <c r="FR30" s="182"/>
      <c r="FS30" s="182"/>
      <c r="FT30" s="182"/>
      <c r="FU30" s="182"/>
      <c r="FV30" s="182"/>
      <c r="FW30" s="182"/>
      <c r="FX30" s="182"/>
      <c r="FY30" s="182"/>
      <c r="FZ30" s="182"/>
      <c r="GA30" s="182"/>
      <c r="GB30" s="182"/>
      <c r="GC30" s="182"/>
      <c r="GD30" s="182"/>
      <c r="GE30" s="182"/>
      <c r="GF30" s="182"/>
      <c r="GG30" s="182"/>
      <c r="GH30" s="182"/>
      <c r="GI30" s="182"/>
    </row>
    <row r="31" spans="1:191" s="209" customFormat="1" ht="25.5" x14ac:dyDescent="0.2">
      <c r="A31" s="210" t="s">
        <v>38174</v>
      </c>
      <c r="B31" s="210" t="s">
        <v>18882</v>
      </c>
      <c r="C31" s="224" t="s">
        <v>22158</v>
      </c>
      <c r="D31" s="211" t="s">
        <v>16</v>
      </c>
      <c r="E31" s="211">
        <v>1</v>
      </c>
      <c r="F31" s="211"/>
      <c r="G31" s="211">
        <v>0.3</v>
      </c>
      <c r="H31" s="212"/>
      <c r="I31" s="213"/>
      <c r="J31" s="272">
        <v>23732.15</v>
      </c>
      <c r="K31" s="112">
        <f t="shared" si="5"/>
        <v>7119.65</v>
      </c>
      <c r="L31" s="273">
        <v>0</v>
      </c>
      <c r="M31" s="213"/>
      <c r="N31" s="213"/>
      <c r="O31" s="114">
        <f t="shared" si="6"/>
        <v>23732.15</v>
      </c>
      <c r="P31" s="113">
        <f t="shared" si="7"/>
        <v>7119.65</v>
      </c>
      <c r="R31" s="203"/>
      <c r="S31" s="182"/>
      <c r="T31" s="182"/>
      <c r="U31" s="182"/>
      <c r="V31" s="182"/>
      <c r="W31" s="182"/>
      <c r="X31" s="182"/>
      <c r="Y31" s="182"/>
      <c r="Z31" s="182"/>
      <c r="AA31" s="182"/>
      <c r="AB31" s="182"/>
      <c r="AC31" s="182"/>
      <c r="AD31" s="182"/>
      <c r="AE31" s="182"/>
      <c r="AF31" s="182"/>
      <c r="AG31" s="182"/>
      <c r="AH31" s="182"/>
      <c r="AI31" s="182"/>
      <c r="AJ31" s="182"/>
      <c r="AK31" s="182"/>
      <c r="AL31" s="182"/>
      <c r="AM31" s="182"/>
      <c r="AN31" s="182"/>
      <c r="AO31" s="182"/>
      <c r="AP31" s="182"/>
      <c r="AQ31" s="182"/>
      <c r="AR31" s="182"/>
      <c r="AS31" s="182"/>
      <c r="AT31" s="182"/>
      <c r="AU31" s="182"/>
      <c r="AV31" s="182"/>
      <c r="AW31" s="182"/>
      <c r="AX31" s="182"/>
      <c r="AY31" s="182"/>
      <c r="AZ31" s="182"/>
      <c r="BA31" s="182"/>
      <c r="BB31" s="182"/>
      <c r="BC31" s="182"/>
      <c r="BD31" s="182"/>
      <c r="BE31" s="182"/>
      <c r="BF31" s="182"/>
      <c r="BG31" s="182"/>
      <c r="BH31" s="182"/>
      <c r="BI31" s="182"/>
      <c r="BJ31" s="182"/>
      <c r="BK31" s="182"/>
      <c r="BL31" s="182"/>
      <c r="BM31" s="182"/>
      <c r="BN31" s="182"/>
      <c r="BO31" s="182"/>
      <c r="BP31" s="182"/>
      <c r="BQ31" s="182"/>
      <c r="BR31" s="182"/>
      <c r="BS31" s="182"/>
      <c r="BT31" s="182"/>
      <c r="BU31" s="182"/>
      <c r="BV31" s="182"/>
      <c r="BW31" s="182"/>
      <c r="BX31" s="182"/>
      <c r="BY31" s="182"/>
      <c r="BZ31" s="182"/>
      <c r="CA31" s="182"/>
      <c r="CB31" s="182"/>
      <c r="CC31" s="182"/>
      <c r="CD31" s="182"/>
      <c r="CE31" s="182"/>
      <c r="CF31" s="182"/>
      <c r="CG31" s="182"/>
      <c r="CH31" s="182"/>
      <c r="CI31" s="182"/>
      <c r="CJ31" s="182"/>
      <c r="CK31" s="182"/>
      <c r="CL31" s="182"/>
      <c r="CM31" s="182"/>
      <c r="CN31" s="182"/>
      <c r="CO31" s="182"/>
      <c r="CP31" s="182"/>
      <c r="CQ31" s="182"/>
      <c r="CR31" s="182"/>
      <c r="CS31" s="182"/>
      <c r="CT31" s="182"/>
      <c r="CU31" s="182"/>
      <c r="CV31" s="182"/>
      <c r="CW31" s="182"/>
      <c r="CX31" s="182"/>
      <c r="CY31" s="182"/>
      <c r="CZ31" s="182"/>
      <c r="DA31" s="182"/>
      <c r="DB31" s="182"/>
      <c r="DC31" s="182"/>
      <c r="DD31" s="182"/>
      <c r="DE31" s="182"/>
      <c r="DF31" s="182"/>
      <c r="DG31" s="182"/>
      <c r="DH31" s="182"/>
      <c r="DI31" s="182"/>
      <c r="DJ31" s="182"/>
      <c r="DK31" s="182"/>
      <c r="DL31" s="182"/>
      <c r="DM31" s="182"/>
      <c r="DN31" s="182"/>
      <c r="DO31" s="182"/>
      <c r="DP31" s="182"/>
      <c r="DQ31" s="182"/>
      <c r="DR31" s="182"/>
      <c r="DS31" s="182"/>
      <c r="DT31" s="182"/>
      <c r="DU31" s="182"/>
      <c r="DV31" s="182"/>
      <c r="DW31" s="182"/>
      <c r="DX31" s="182"/>
      <c r="DY31" s="182"/>
      <c r="DZ31" s="182"/>
      <c r="EA31" s="182"/>
      <c r="EB31" s="182"/>
      <c r="EC31" s="182"/>
      <c r="ED31" s="182"/>
      <c r="EE31" s="182"/>
      <c r="EF31" s="182"/>
      <c r="EG31" s="182"/>
      <c r="EH31" s="182"/>
      <c r="EI31" s="182"/>
      <c r="EJ31" s="182"/>
      <c r="EK31" s="182"/>
      <c r="EL31" s="182"/>
      <c r="EM31" s="182"/>
      <c r="EN31" s="182"/>
      <c r="EO31" s="182"/>
      <c r="EP31" s="182"/>
      <c r="EQ31" s="182"/>
      <c r="ER31" s="182"/>
      <c r="ES31" s="182"/>
      <c r="ET31" s="182"/>
      <c r="EU31" s="182"/>
      <c r="EV31" s="182"/>
      <c r="EW31" s="182"/>
      <c r="EX31" s="182"/>
      <c r="EY31" s="182"/>
      <c r="EZ31" s="182"/>
      <c r="FA31" s="182"/>
      <c r="FB31" s="182"/>
      <c r="FC31" s="182"/>
      <c r="FD31" s="182"/>
      <c r="FE31" s="182"/>
      <c r="FF31" s="182"/>
      <c r="FG31" s="182"/>
      <c r="FH31" s="182"/>
      <c r="FI31" s="182"/>
      <c r="FJ31" s="182"/>
      <c r="FK31" s="182"/>
      <c r="FL31" s="182"/>
      <c r="FM31" s="182"/>
      <c r="FN31" s="182"/>
      <c r="FO31" s="182"/>
      <c r="FP31" s="182"/>
      <c r="FQ31" s="182"/>
      <c r="FR31" s="182"/>
      <c r="FS31" s="182"/>
      <c r="FT31" s="182"/>
      <c r="FU31" s="182"/>
      <c r="FV31" s="182"/>
      <c r="FW31" s="182"/>
      <c r="FX31" s="182"/>
      <c r="FY31" s="182"/>
      <c r="FZ31" s="182"/>
      <c r="GA31" s="182"/>
      <c r="GB31" s="182"/>
      <c r="GC31" s="182"/>
      <c r="GD31" s="182"/>
      <c r="GE31" s="182"/>
      <c r="GF31" s="182"/>
      <c r="GG31" s="182"/>
      <c r="GH31" s="182"/>
      <c r="GI31" s="182"/>
    </row>
    <row r="32" spans="1:191" s="209" customFormat="1" ht="25.5" x14ac:dyDescent="0.2">
      <c r="A32" s="210" t="s">
        <v>38175</v>
      </c>
      <c r="B32" s="210" t="s">
        <v>18883</v>
      </c>
      <c r="C32" s="224" t="s">
        <v>22159</v>
      </c>
      <c r="D32" s="211" t="s">
        <v>16</v>
      </c>
      <c r="E32" s="211">
        <v>2</v>
      </c>
      <c r="F32" s="211"/>
      <c r="G32" s="211">
        <v>0.3</v>
      </c>
      <c r="H32" s="212"/>
      <c r="I32" s="213"/>
      <c r="J32" s="272">
        <v>22809.97</v>
      </c>
      <c r="K32" s="112">
        <f t="shared" si="5"/>
        <v>13685.98</v>
      </c>
      <c r="L32" s="273">
        <v>0</v>
      </c>
      <c r="M32" s="213"/>
      <c r="N32" s="213"/>
      <c r="O32" s="114">
        <f t="shared" si="6"/>
        <v>22809.97</v>
      </c>
      <c r="P32" s="113">
        <f t="shared" si="7"/>
        <v>13685.98</v>
      </c>
      <c r="R32" s="203"/>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82"/>
      <c r="CD32" s="182"/>
      <c r="CE32" s="182"/>
      <c r="CF32" s="182"/>
      <c r="CG32" s="182"/>
      <c r="CH32" s="182"/>
      <c r="CI32" s="182"/>
      <c r="CJ32" s="182"/>
      <c r="CK32" s="182"/>
      <c r="CL32" s="182"/>
      <c r="CM32" s="182"/>
      <c r="CN32" s="182"/>
      <c r="CO32" s="182"/>
      <c r="CP32" s="182"/>
      <c r="CQ32" s="182"/>
      <c r="CR32" s="182"/>
      <c r="CS32" s="182"/>
      <c r="CT32" s="182"/>
      <c r="CU32" s="182"/>
      <c r="CV32" s="182"/>
      <c r="CW32" s="182"/>
      <c r="CX32" s="182"/>
      <c r="CY32" s="182"/>
      <c r="CZ32" s="182"/>
      <c r="DA32" s="182"/>
      <c r="DB32" s="182"/>
      <c r="DC32" s="182"/>
      <c r="DD32" s="182"/>
      <c r="DE32" s="182"/>
      <c r="DF32" s="182"/>
      <c r="DG32" s="182"/>
      <c r="DH32" s="182"/>
      <c r="DI32" s="182"/>
      <c r="DJ32" s="182"/>
      <c r="DK32" s="182"/>
      <c r="DL32" s="182"/>
      <c r="DM32" s="182"/>
      <c r="DN32" s="182"/>
      <c r="DO32" s="182"/>
      <c r="DP32" s="182"/>
      <c r="DQ32" s="182"/>
      <c r="DR32" s="182"/>
      <c r="DS32" s="182"/>
      <c r="DT32" s="182"/>
      <c r="DU32" s="182"/>
      <c r="DV32" s="182"/>
      <c r="DW32" s="182"/>
      <c r="DX32" s="182"/>
      <c r="DY32" s="182"/>
      <c r="DZ32" s="182"/>
      <c r="EA32" s="182"/>
      <c r="EB32" s="182"/>
      <c r="EC32" s="182"/>
      <c r="ED32" s="182"/>
      <c r="EE32" s="182"/>
      <c r="EF32" s="182"/>
      <c r="EG32" s="182"/>
      <c r="EH32" s="182"/>
      <c r="EI32" s="182"/>
      <c r="EJ32" s="182"/>
      <c r="EK32" s="182"/>
      <c r="EL32" s="182"/>
      <c r="EM32" s="182"/>
      <c r="EN32" s="182"/>
      <c r="EO32" s="182"/>
      <c r="EP32" s="182"/>
      <c r="EQ32" s="182"/>
      <c r="ER32" s="182"/>
      <c r="ES32" s="182"/>
      <c r="ET32" s="182"/>
      <c r="EU32" s="182"/>
      <c r="EV32" s="182"/>
      <c r="EW32" s="182"/>
      <c r="EX32" s="182"/>
      <c r="EY32" s="182"/>
      <c r="EZ32" s="182"/>
      <c r="FA32" s="182"/>
      <c r="FB32" s="182"/>
      <c r="FC32" s="182"/>
      <c r="FD32" s="182"/>
      <c r="FE32" s="182"/>
      <c r="FF32" s="182"/>
      <c r="FG32" s="182"/>
      <c r="FH32" s="182"/>
      <c r="FI32" s="182"/>
      <c r="FJ32" s="182"/>
      <c r="FK32" s="182"/>
      <c r="FL32" s="182"/>
      <c r="FM32" s="182"/>
      <c r="FN32" s="182"/>
      <c r="FO32" s="182"/>
      <c r="FP32" s="182"/>
      <c r="FQ32" s="182"/>
      <c r="FR32" s="182"/>
      <c r="FS32" s="182"/>
      <c r="FT32" s="182"/>
      <c r="FU32" s="182"/>
      <c r="FV32" s="182"/>
      <c r="FW32" s="182"/>
      <c r="FX32" s="182"/>
      <c r="FY32" s="182"/>
      <c r="FZ32" s="182"/>
      <c r="GA32" s="182"/>
      <c r="GB32" s="182"/>
      <c r="GC32" s="182"/>
      <c r="GD32" s="182"/>
      <c r="GE32" s="182"/>
      <c r="GF32" s="182"/>
      <c r="GG32" s="182"/>
      <c r="GH32" s="182"/>
      <c r="GI32" s="182"/>
    </row>
    <row r="33" spans="1:191" s="209" customFormat="1" ht="25.5" x14ac:dyDescent="0.2">
      <c r="A33" s="210" t="s">
        <v>38176</v>
      </c>
      <c r="B33" s="210" t="s">
        <v>18884</v>
      </c>
      <c r="C33" s="224" t="s">
        <v>22160</v>
      </c>
      <c r="D33" s="211" t="s">
        <v>16</v>
      </c>
      <c r="E33" s="211">
        <v>2</v>
      </c>
      <c r="F33" s="211"/>
      <c r="G33" s="211">
        <v>0.3</v>
      </c>
      <c r="H33" s="212"/>
      <c r="I33" s="213"/>
      <c r="J33" s="272">
        <v>32041.33</v>
      </c>
      <c r="K33" s="112">
        <f t="shared" si="5"/>
        <v>19224.8</v>
      </c>
      <c r="L33" s="273">
        <v>0</v>
      </c>
      <c r="M33" s="213"/>
      <c r="N33" s="213"/>
      <c r="O33" s="114">
        <f t="shared" si="6"/>
        <v>32041.33</v>
      </c>
      <c r="P33" s="113">
        <f t="shared" si="7"/>
        <v>19224.8</v>
      </c>
      <c r="R33" s="203"/>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2"/>
      <c r="CD33" s="182"/>
      <c r="CE33" s="182"/>
      <c r="CF33" s="182"/>
      <c r="CG33" s="182"/>
      <c r="CH33" s="182"/>
      <c r="CI33" s="182"/>
      <c r="CJ33" s="182"/>
      <c r="CK33" s="182"/>
      <c r="CL33" s="182"/>
      <c r="CM33" s="182"/>
      <c r="CN33" s="182"/>
      <c r="CO33" s="182"/>
      <c r="CP33" s="182"/>
      <c r="CQ33" s="182"/>
      <c r="CR33" s="182"/>
      <c r="CS33" s="182"/>
      <c r="CT33" s="182"/>
      <c r="CU33" s="182"/>
      <c r="CV33" s="182"/>
      <c r="CW33" s="182"/>
      <c r="CX33" s="182"/>
      <c r="CY33" s="182"/>
      <c r="CZ33" s="182"/>
      <c r="DA33" s="182"/>
      <c r="DB33" s="182"/>
      <c r="DC33" s="182"/>
      <c r="DD33" s="182"/>
      <c r="DE33" s="182"/>
      <c r="DF33" s="182"/>
      <c r="DG33" s="182"/>
      <c r="DH33" s="182"/>
      <c r="DI33" s="182"/>
      <c r="DJ33" s="182"/>
      <c r="DK33" s="182"/>
      <c r="DL33" s="182"/>
      <c r="DM33" s="182"/>
      <c r="DN33" s="182"/>
      <c r="DO33" s="182"/>
      <c r="DP33" s="182"/>
      <c r="DQ33" s="182"/>
      <c r="DR33" s="182"/>
      <c r="DS33" s="182"/>
      <c r="DT33" s="182"/>
      <c r="DU33" s="182"/>
      <c r="DV33" s="182"/>
      <c r="DW33" s="182"/>
      <c r="DX33" s="182"/>
      <c r="DY33" s="182"/>
      <c r="DZ33" s="182"/>
      <c r="EA33" s="182"/>
      <c r="EB33" s="182"/>
      <c r="EC33" s="182"/>
      <c r="ED33" s="182"/>
      <c r="EE33" s="182"/>
      <c r="EF33" s="182"/>
      <c r="EG33" s="182"/>
      <c r="EH33" s="182"/>
      <c r="EI33" s="182"/>
      <c r="EJ33" s="182"/>
      <c r="EK33" s="182"/>
      <c r="EL33" s="182"/>
      <c r="EM33" s="182"/>
      <c r="EN33" s="182"/>
      <c r="EO33" s="182"/>
      <c r="EP33" s="182"/>
      <c r="EQ33" s="182"/>
      <c r="ER33" s="182"/>
      <c r="ES33" s="182"/>
      <c r="ET33" s="182"/>
      <c r="EU33" s="182"/>
      <c r="EV33" s="182"/>
      <c r="EW33" s="182"/>
      <c r="EX33" s="182"/>
      <c r="EY33" s="182"/>
      <c r="EZ33" s="182"/>
      <c r="FA33" s="182"/>
      <c r="FB33" s="182"/>
      <c r="FC33" s="182"/>
      <c r="FD33" s="182"/>
      <c r="FE33" s="182"/>
      <c r="FF33" s="182"/>
      <c r="FG33" s="182"/>
      <c r="FH33" s="182"/>
      <c r="FI33" s="182"/>
      <c r="FJ33" s="182"/>
      <c r="FK33" s="182"/>
      <c r="FL33" s="182"/>
      <c r="FM33" s="182"/>
      <c r="FN33" s="182"/>
      <c r="FO33" s="182"/>
      <c r="FP33" s="182"/>
      <c r="FQ33" s="182"/>
      <c r="FR33" s="182"/>
      <c r="FS33" s="182"/>
      <c r="FT33" s="182"/>
      <c r="FU33" s="182"/>
      <c r="FV33" s="182"/>
      <c r="FW33" s="182"/>
      <c r="FX33" s="182"/>
      <c r="FY33" s="182"/>
      <c r="FZ33" s="182"/>
      <c r="GA33" s="182"/>
      <c r="GB33" s="182"/>
      <c r="GC33" s="182"/>
      <c r="GD33" s="182"/>
      <c r="GE33" s="182"/>
      <c r="GF33" s="182"/>
      <c r="GG33" s="182"/>
      <c r="GH33" s="182"/>
      <c r="GI33" s="182"/>
    </row>
    <row r="34" spans="1:191" s="209" customFormat="1" ht="38.25" x14ac:dyDescent="0.2">
      <c r="A34" s="210" t="s">
        <v>38177</v>
      </c>
      <c r="B34" s="210" t="s">
        <v>18885</v>
      </c>
      <c r="C34" s="224" t="s">
        <v>22161</v>
      </c>
      <c r="D34" s="211" t="s">
        <v>468</v>
      </c>
      <c r="E34" s="211">
        <v>3</v>
      </c>
      <c r="F34" s="211"/>
      <c r="G34" s="211">
        <v>0.3</v>
      </c>
      <c r="H34" s="212"/>
      <c r="I34" s="213"/>
      <c r="J34" s="272">
        <v>23165.08</v>
      </c>
      <c r="K34" s="112">
        <f t="shared" si="5"/>
        <v>20848.57</v>
      </c>
      <c r="L34" s="273">
        <v>0</v>
      </c>
      <c r="M34" s="213"/>
      <c r="N34" s="213"/>
      <c r="O34" s="114">
        <f t="shared" si="6"/>
        <v>23165.08</v>
      </c>
      <c r="P34" s="113">
        <f t="shared" si="7"/>
        <v>20848.57</v>
      </c>
      <c r="R34" s="203"/>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2"/>
      <c r="BC34" s="182"/>
      <c r="BD34" s="182"/>
      <c r="BE34" s="182"/>
      <c r="BF34" s="182"/>
      <c r="BG34" s="182"/>
      <c r="BH34" s="182"/>
      <c r="BI34" s="182"/>
      <c r="BJ34" s="182"/>
      <c r="BK34" s="182"/>
      <c r="BL34" s="182"/>
      <c r="BM34" s="182"/>
      <c r="BN34" s="182"/>
      <c r="BO34" s="182"/>
      <c r="BP34" s="182"/>
      <c r="BQ34" s="182"/>
      <c r="BR34" s="182"/>
      <c r="BS34" s="182"/>
      <c r="BT34" s="182"/>
      <c r="BU34" s="182"/>
      <c r="BV34" s="182"/>
      <c r="BW34" s="182"/>
      <c r="BX34" s="182"/>
      <c r="BY34" s="182"/>
      <c r="BZ34" s="182"/>
      <c r="CA34" s="182"/>
      <c r="CB34" s="182"/>
      <c r="CC34" s="182"/>
      <c r="CD34" s="182"/>
      <c r="CE34" s="182"/>
      <c r="CF34" s="182"/>
      <c r="CG34" s="182"/>
      <c r="CH34" s="182"/>
      <c r="CI34" s="182"/>
      <c r="CJ34" s="182"/>
      <c r="CK34" s="182"/>
      <c r="CL34" s="182"/>
      <c r="CM34" s="182"/>
      <c r="CN34" s="182"/>
      <c r="CO34" s="182"/>
      <c r="CP34" s="182"/>
      <c r="CQ34" s="182"/>
      <c r="CR34" s="182"/>
      <c r="CS34" s="182"/>
      <c r="CT34" s="182"/>
      <c r="CU34" s="182"/>
      <c r="CV34" s="182"/>
      <c r="CW34" s="182"/>
      <c r="CX34" s="182"/>
      <c r="CY34" s="182"/>
      <c r="CZ34" s="182"/>
      <c r="DA34" s="182"/>
      <c r="DB34" s="182"/>
      <c r="DC34" s="182"/>
      <c r="DD34" s="182"/>
      <c r="DE34" s="182"/>
      <c r="DF34" s="182"/>
      <c r="DG34" s="182"/>
      <c r="DH34" s="182"/>
      <c r="DI34" s="182"/>
      <c r="DJ34" s="182"/>
      <c r="DK34" s="182"/>
      <c r="DL34" s="182"/>
      <c r="DM34" s="182"/>
      <c r="DN34" s="182"/>
      <c r="DO34" s="182"/>
      <c r="DP34" s="182"/>
      <c r="DQ34" s="182"/>
      <c r="DR34" s="182"/>
      <c r="DS34" s="182"/>
      <c r="DT34" s="182"/>
      <c r="DU34" s="182"/>
      <c r="DV34" s="182"/>
      <c r="DW34" s="182"/>
      <c r="DX34" s="182"/>
      <c r="DY34" s="182"/>
      <c r="DZ34" s="182"/>
      <c r="EA34" s="182"/>
      <c r="EB34" s="182"/>
      <c r="EC34" s="182"/>
      <c r="ED34" s="182"/>
      <c r="EE34" s="182"/>
      <c r="EF34" s="182"/>
      <c r="EG34" s="182"/>
      <c r="EH34" s="182"/>
      <c r="EI34" s="182"/>
      <c r="EJ34" s="182"/>
      <c r="EK34" s="182"/>
      <c r="EL34" s="182"/>
      <c r="EM34" s="182"/>
      <c r="EN34" s="182"/>
      <c r="EO34" s="182"/>
      <c r="EP34" s="182"/>
      <c r="EQ34" s="182"/>
      <c r="ER34" s="182"/>
      <c r="ES34" s="182"/>
      <c r="ET34" s="182"/>
      <c r="EU34" s="182"/>
      <c r="EV34" s="182"/>
      <c r="EW34" s="182"/>
      <c r="EX34" s="182"/>
      <c r="EY34" s="182"/>
      <c r="EZ34" s="182"/>
      <c r="FA34" s="182"/>
      <c r="FB34" s="182"/>
      <c r="FC34" s="182"/>
      <c r="FD34" s="182"/>
      <c r="FE34" s="182"/>
      <c r="FF34" s="182"/>
      <c r="FG34" s="182"/>
      <c r="FH34" s="182"/>
      <c r="FI34" s="182"/>
      <c r="FJ34" s="182"/>
      <c r="FK34" s="182"/>
      <c r="FL34" s="182"/>
      <c r="FM34" s="182"/>
      <c r="FN34" s="182"/>
      <c r="FO34" s="182"/>
      <c r="FP34" s="182"/>
      <c r="FQ34" s="182"/>
      <c r="FR34" s="182"/>
      <c r="FS34" s="182"/>
      <c r="FT34" s="182"/>
      <c r="FU34" s="182"/>
      <c r="FV34" s="182"/>
      <c r="FW34" s="182"/>
      <c r="FX34" s="182"/>
      <c r="FY34" s="182"/>
      <c r="FZ34" s="182"/>
      <c r="GA34" s="182"/>
      <c r="GB34" s="182"/>
      <c r="GC34" s="182"/>
      <c r="GD34" s="182"/>
      <c r="GE34" s="182"/>
      <c r="GF34" s="182"/>
      <c r="GG34" s="182"/>
      <c r="GH34" s="182"/>
      <c r="GI34" s="182"/>
    </row>
    <row r="35" spans="1:191" s="209" customFormat="1" ht="38.25" x14ac:dyDescent="0.2">
      <c r="A35" s="210" t="s">
        <v>38178</v>
      </c>
      <c r="B35" s="210" t="s">
        <v>18886</v>
      </c>
      <c r="C35" s="224" t="s">
        <v>22162</v>
      </c>
      <c r="D35" s="211" t="s">
        <v>468</v>
      </c>
      <c r="E35" s="211">
        <v>3</v>
      </c>
      <c r="F35" s="211"/>
      <c r="G35" s="211">
        <v>0.3</v>
      </c>
      <c r="H35" s="212"/>
      <c r="I35" s="213"/>
      <c r="J35" s="272">
        <v>2431</v>
      </c>
      <c r="K35" s="112">
        <f t="shared" si="5"/>
        <v>2187.9</v>
      </c>
      <c r="L35" s="273">
        <v>0</v>
      </c>
      <c r="M35" s="213"/>
      <c r="N35" s="213"/>
      <c r="O35" s="114">
        <f t="shared" si="6"/>
        <v>2431</v>
      </c>
      <c r="P35" s="113">
        <f t="shared" si="7"/>
        <v>2187.9</v>
      </c>
      <c r="R35" s="203"/>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2"/>
      <c r="CH35" s="182"/>
      <c r="CI35" s="182"/>
      <c r="CJ35" s="182"/>
      <c r="CK35" s="182"/>
      <c r="CL35" s="182"/>
      <c r="CM35" s="182"/>
      <c r="CN35" s="182"/>
      <c r="CO35" s="182"/>
      <c r="CP35" s="182"/>
      <c r="CQ35" s="182"/>
      <c r="CR35" s="182"/>
      <c r="CS35" s="182"/>
      <c r="CT35" s="182"/>
      <c r="CU35" s="182"/>
      <c r="CV35" s="182"/>
      <c r="CW35" s="182"/>
      <c r="CX35" s="182"/>
      <c r="CY35" s="182"/>
      <c r="CZ35" s="182"/>
      <c r="DA35" s="182"/>
      <c r="DB35" s="182"/>
      <c r="DC35" s="182"/>
      <c r="DD35" s="182"/>
      <c r="DE35" s="182"/>
      <c r="DF35" s="182"/>
      <c r="DG35" s="182"/>
      <c r="DH35" s="182"/>
      <c r="DI35" s="182"/>
      <c r="DJ35" s="182"/>
      <c r="DK35" s="182"/>
      <c r="DL35" s="182"/>
      <c r="DM35" s="182"/>
      <c r="DN35" s="182"/>
      <c r="DO35" s="182"/>
      <c r="DP35" s="182"/>
      <c r="DQ35" s="182"/>
      <c r="DR35" s="182"/>
      <c r="DS35" s="182"/>
      <c r="DT35" s="182"/>
      <c r="DU35" s="182"/>
      <c r="DV35" s="182"/>
      <c r="DW35" s="182"/>
      <c r="DX35" s="182"/>
      <c r="DY35" s="182"/>
      <c r="DZ35" s="182"/>
      <c r="EA35" s="182"/>
      <c r="EB35" s="182"/>
      <c r="EC35" s="182"/>
      <c r="ED35" s="182"/>
      <c r="EE35" s="182"/>
      <c r="EF35" s="182"/>
      <c r="EG35" s="182"/>
      <c r="EH35" s="182"/>
      <c r="EI35" s="182"/>
      <c r="EJ35" s="182"/>
      <c r="EK35" s="182"/>
      <c r="EL35" s="182"/>
      <c r="EM35" s="182"/>
      <c r="EN35" s="182"/>
      <c r="EO35" s="182"/>
      <c r="EP35" s="182"/>
      <c r="EQ35" s="182"/>
      <c r="ER35" s="182"/>
      <c r="ES35" s="182"/>
      <c r="ET35" s="182"/>
      <c r="EU35" s="182"/>
      <c r="EV35" s="182"/>
      <c r="EW35" s="182"/>
      <c r="EX35" s="182"/>
      <c r="EY35" s="182"/>
      <c r="EZ35" s="182"/>
      <c r="FA35" s="182"/>
      <c r="FB35" s="182"/>
      <c r="FC35" s="182"/>
      <c r="FD35" s="182"/>
      <c r="FE35" s="182"/>
      <c r="FF35" s="182"/>
      <c r="FG35" s="182"/>
      <c r="FH35" s="182"/>
      <c r="FI35" s="182"/>
      <c r="FJ35" s="182"/>
      <c r="FK35" s="182"/>
      <c r="FL35" s="182"/>
      <c r="FM35" s="182"/>
      <c r="FN35" s="182"/>
      <c r="FO35" s="182"/>
      <c r="FP35" s="182"/>
      <c r="FQ35" s="182"/>
      <c r="FR35" s="182"/>
      <c r="FS35" s="182"/>
      <c r="FT35" s="182"/>
      <c r="FU35" s="182"/>
      <c r="FV35" s="182"/>
      <c r="FW35" s="182"/>
      <c r="FX35" s="182"/>
      <c r="FY35" s="182"/>
      <c r="FZ35" s="182"/>
      <c r="GA35" s="182"/>
      <c r="GB35" s="182"/>
      <c r="GC35" s="182"/>
      <c r="GD35" s="182"/>
      <c r="GE35" s="182"/>
      <c r="GF35" s="182"/>
      <c r="GG35" s="182"/>
      <c r="GH35" s="182"/>
      <c r="GI35" s="182"/>
    </row>
    <row r="36" spans="1:191" s="209" customFormat="1" ht="25.5" x14ac:dyDescent="0.2">
      <c r="A36" s="210" t="s">
        <v>38179</v>
      </c>
      <c r="B36" s="210" t="s">
        <v>18887</v>
      </c>
      <c r="C36" s="224" t="s">
        <v>22163</v>
      </c>
      <c r="D36" s="211" t="s">
        <v>16</v>
      </c>
      <c r="E36" s="211">
        <v>30</v>
      </c>
      <c r="F36" s="211"/>
      <c r="G36" s="211">
        <v>0.3</v>
      </c>
      <c r="H36" s="212"/>
      <c r="I36" s="213"/>
      <c r="J36" s="112">
        <f>Composições!H8695</f>
        <v>2714.52</v>
      </c>
      <c r="K36" s="112">
        <f t="shared" si="5"/>
        <v>24430.68</v>
      </c>
      <c r="L36" s="273">
        <f>BDI!$B$17</f>
        <v>0.191</v>
      </c>
      <c r="M36" s="213"/>
      <c r="N36" s="213"/>
      <c r="O36" s="114">
        <f t="shared" si="6"/>
        <v>3232.99</v>
      </c>
      <c r="P36" s="113">
        <f t="shared" si="7"/>
        <v>29096.91</v>
      </c>
      <c r="R36" s="203"/>
      <c r="S36" s="182"/>
      <c r="T36" s="182"/>
      <c r="U36" s="182"/>
      <c r="V36" s="182"/>
      <c r="W36" s="182"/>
      <c r="X36" s="182"/>
      <c r="Y36" s="182"/>
      <c r="Z36" s="182"/>
      <c r="AA36" s="182"/>
      <c r="AB36" s="182"/>
      <c r="AC36" s="182"/>
      <c r="AD36" s="182"/>
      <c r="AE36" s="182"/>
      <c r="AF36" s="182"/>
      <c r="AG36" s="182"/>
      <c r="AH36" s="182"/>
      <c r="AI36" s="182"/>
      <c r="AJ36" s="182"/>
      <c r="AK36" s="182"/>
      <c r="AL36" s="182"/>
      <c r="AM36" s="182"/>
      <c r="AN36" s="182"/>
      <c r="AO36" s="182"/>
      <c r="AP36" s="182"/>
      <c r="AQ36" s="182"/>
      <c r="AR36" s="182"/>
      <c r="AS36" s="182"/>
      <c r="AT36" s="182"/>
      <c r="AU36" s="182"/>
      <c r="AV36" s="182"/>
      <c r="AW36" s="182"/>
      <c r="AX36" s="182"/>
      <c r="AY36" s="182"/>
      <c r="AZ36" s="182"/>
      <c r="BA36" s="182"/>
      <c r="BB36" s="182"/>
      <c r="BC36" s="182"/>
      <c r="BD36" s="182"/>
      <c r="BE36" s="182"/>
      <c r="BF36" s="182"/>
      <c r="BG36" s="182"/>
      <c r="BH36" s="182"/>
      <c r="BI36" s="182"/>
      <c r="BJ36" s="182"/>
      <c r="BK36" s="182"/>
      <c r="BL36" s="182"/>
      <c r="BM36" s="182"/>
      <c r="BN36" s="182"/>
      <c r="BO36" s="182"/>
      <c r="BP36" s="182"/>
      <c r="BQ36" s="182"/>
      <c r="BR36" s="182"/>
      <c r="BS36" s="182"/>
      <c r="BT36" s="182"/>
      <c r="BU36" s="182"/>
      <c r="BV36" s="182"/>
      <c r="BW36" s="182"/>
      <c r="BX36" s="182"/>
      <c r="BY36" s="182"/>
      <c r="BZ36" s="182"/>
      <c r="CA36" s="182"/>
      <c r="CB36" s="182"/>
      <c r="CC36" s="182"/>
      <c r="CD36" s="182"/>
      <c r="CE36" s="182"/>
      <c r="CF36" s="182"/>
      <c r="CG36" s="182"/>
      <c r="CH36" s="182"/>
      <c r="CI36" s="182"/>
      <c r="CJ36" s="182"/>
      <c r="CK36" s="182"/>
      <c r="CL36" s="182"/>
      <c r="CM36" s="182"/>
      <c r="CN36" s="182"/>
      <c r="CO36" s="182"/>
      <c r="CP36" s="182"/>
      <c r="CQ36" s="182"/>
      <c r="CR36" s="182"/>
      <c r="CS36" s="182"/>
      <c r="CT36" s="182"/>
      <c r="CU36" s="182"/>
      <c r="CV36" s="182"/>
      <c r="CW36" s="182"/>
      <c r="CX36" s="182"/>
      <c r="CY36" s="182"/>
      <c r="CZ36" s="182"/>
      <c r="DA36" s="182"/>
      <c r="DB36" s="182"/>
      <c r="DC36" s="182"/>
      <c r="DD36" s="182"/>
      <c r="DE36" s="182"/>
      <c r="DF36" s="182"/>
      <c r="DG36" s="182"/>
      <c r="DH36" s="182"/>
      <c r="DI36" s="182"/>
      <c r="DJ36" s="182"/>
      <c r="DK36" s="182"/>
      <c r="DL36" s="182"/>
      <c r="DM36" s="182"/>
      <c r="DN36" s="182"/>
      <c r="DO36" s="182"/>
      <c r="DP36" s="182"/>
      <c r="DQ36" s="182"/>
      <c r="DR36" s="182"/>
      <c r="DS36" s="182"/>
      <c r="DT36" s="182"/>
      <c r="DU36" s="182"/>
      <c r="DV36" s="182"/>
      <c r="DW36" s="182"/>
      <c r="DX36" s="182"/>
      <c r="DY36" s="182"/>
      <c r="DZ36" s="182"/>
      <c r="EA36" s="182"/>
      <c r="EB36" s="182"/>
      <c r="EC36" s="182"/>
      <c r="ED36" s="182"/>
      <c r="EE36" s="182"/>
      <c r="EF36" s="182"/>
      <c r="EG36" s="182"/>
      <c r="EH36" s="182"/>
      <c r="EI36" s="182"/>
      <c r="EJ36" s="182"/>
      <c r="EK36" s="182"/>
      <c r="EL36" s="182"/>
      <c r="EM36" s="182"/>
      <c r="EN36" s="182"/>
      <c r="EO36" s="182"/>
      <c r="EP36" s="182"/>
      <c r="EQ36" s="182"/>
      <c r="ER36" s="182"/>
      <c r="ES36" s="182"/>
      <c r="ET36" s="182"/>
      <c r="EU36" s="182"/>
      <c r="EV36" s="182"/>
      <c r="EW36" s="182"/>
      <c r="EX36" s="182"/>
      <c r="EY36" s="182"/>
      <c r="EZ36" s="182"/>
      <c r="FA36" s="182"/>
      <c r="FB36" s="182"/>
      <c r="FC36" s="182"/>
      <c r="FD36" s="182"/>
      <c r="FE36" s="182"/>
      <c r="FF36" s="182"/>
      <c r="FG36" s="182"/>
      <c r="FH36" s="182"/>
      <c r="FI36" s="182"/>
      <c r="FJ36" s="182"/>
      <c r="FK36" s="182"/>
      <c r="FL36" s="182"/>
      <c r="FM36" s="182"/>
      <c r="FN36" s="182"/>
      <c r="FO36" s="182"/>
      <c r="FP36" s="182"/>
      <c r="FQ36" s="182"/>
      <c r="FR36" s="182"/>
      <c r="FS36" s="182"/>
      <c r="FT36" s="182"/>
      <c r="FU36" s="182"/>
      <c r="FV36" s="182"/>
      <c r="FW36" s="182"/>
      <c r="FX36" s="182"/>
      <c r="FY36" s="182"/>
      <c r="FZ36" s="182"/>
      <c r="GA36" s="182"/>
      <c r="GB36" s="182"/>
      <c r="GC36" s="182"/>
      <c r="GD36" s="182"/>
      <c r="GE36" s="182"/>
      <c r="GF36" s="182"/>
      <c r="GG36" s="182"/>
      <c r="GH36" s="182"/>
      <c r="GI36" s="182"/>
    </row>
    <row r="37" spans="1:191" s="183" customFormat="1" ht="15" x14ac:dyDescent="0.25">
      <c r="A37" s="229" t="s">
        <v>38182</v>
      </c>
      <c r="B37" s="198"/>
      <c r="C37" s="227" t="s">
        <v>38151</v>
      </c>
      <c r="D37" s="199"/>
      <c r="E37" s="199"/>
      <c r="F37" s="199"/>
      <c r="G37" s="199"/>
      <c r="H37" s="200"/>
      <c r="I37" s="201"/>
      <c r="J37" s="199"/>
      <c r="K37" s="202"/>
      <c r="L37" s="199"/>
      <c r="M37" s="202"/>
      <c r="N37" s="202">
        <f t="shared" ref="N37" si="8">SUBTOTAL(109,N38)</f>
        <v>1398.9</v>
      </c>
      <c r="O37" s="199"/>
      <c r="P37" s="202"/>
      <c r="R37" s="203"/>
      <c r="S37" s="182"/>
      <c r="T37" s="182"/>
      <c r="U37" s="182"/>
      <c r="V37" s="182"/>
      <c r="W37" s="182"/>
      <c r="X37" s="18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2"/>
      <c r="CD37" s="182"/>
      <c r="CE37" s="182"/>
      <c r="CF37" s="182"/>
      <c r="CG37" s="182"/>
      <c r="CH37" s="182"/>
      <c r="CI37" s="182"/>
      <c r="CJ37" s="182"/>
      <c r="CK37" s="182"/>
      <c r="CL37" s="182"/>
      <c r="CM37" s="182"/>
      <c r="CN37" s="182"/>
      <c r="CO37" s="182"/>
      <c r="CP37" s="182"/>
      <c r="CQ37" s="182"/>
      <c r="CR37" s="182"/>
      <c r="CS37" s="182"/>
      <c r="CT37" s="182"/>
      <c r="CU37" s="182"/>
      <c r="CV37" s="182"/>
      <c r="CW37" s="182"/>
      <c r="CX37" s="182"/>
      <c r="CY37" s="182"/>
      <c r="CZ37" s="182"/>
      <c r="DA37" s="182"/>
      <c r="DB37" s="182"/>
      <c r="DC37" s="182"/>
      <c r="DD37" s="182"/>
      <c r="DE37" s="182"/>
      <c r="DF37" s="182"/>
      <c r="DG37" s="182"/>
      <c r="DH37" s="182"/>
      <c r="DI37" s="182"/>
      <c r="DJ37" s="182"/>
      <c r="DK37" s="182"/>
      <c r="DL37" s="182"/>
      <c r="DM37" s="182"/>
      <c r="DN37" s="182"/>
      <c r="DO37" s="182"/>
      <c r="DP37" s="182"/>
      <c r="DQ37" s="182"/>
      <c r="DR37" s="182"/>
      <c r="DS37" s="182"/>
      <c r="DT37" s="182"/>
      <c r="DU37" s="182"/>
      <c r="DV37" s="182"/>
      <c r="DW37" s="182"/>
      <c r="DX37" s="182"/>
      <c r="DY37" s="182"/>
      <c r="DZ37" s="182"/>
      <c r="EA37" s="182"/>
      <c r="EB37" s="182"/>
      <c r="EC37" s="182"/>
      <c r="ED37" s="182"/>
      <c r="EE37" s="182"/>
      <c r="EF37" s="182"/>
      <c r="EG37" s="182"/>
      <c r="EH37" s="182"/>
      <c r="EI37" s="182"/>
      <c r="EJ37" s="182"/>
      <c r="EK37" s="182"/>
      <c r="EL37" s="182"/>
      <c r="EM37" s="182"/>
      <c r="EN37" s="182"/>
      <c r="EO37" s="182"/>
      <c r="EP37" s="182"/>
      <c r="EQ37" s="182"/>
      <c r="ER37" s="182"/>
      <c r="ES37" s="182"/>
      <c r="ET37" s="182"/>
      <c r="EU37" s="182"/>
      <c r="EV37" s="182"/>
      <c r="EW37" s="182"/>
      <c r="EX37" s="182"/>
      <c r="EY37" s="182"/>
      <c r="EZ37" s="182"/>
      <c r="FA37" s="182"/>
      <c r="FB37" s="182"/>
      <c r="FC37" s="182"/>
      <c r="FD37" s="182"/>
      <c r="FE37" s="182"/>
      <c r="FF37" s="182"/>
      <c r="FG37" s="182"/>
      <c r="FH37" s="182"/>
      <c r="FI37" s="182"/>
      <c r="FJ37" s="182"/>
      <c r="FK37" s="182"/>
      <c r="FL37" s="182"/>
      <c r="FM37" s="182"/>
      <c r="FN37" s="182"/>
      <c r="FO37" s="182"/>
      <c r="FP37" s="182"/>
      <c r="FQ37" s="182"/>
      <c r="FR37" s="182"/>
      <c r="FS37" s="182"/>
      <c r="FT37" s="182"/>
      <c r="FU37" s="182"/>
      <c r="FV37" s="182"/>
      <c r="FW37" s="182"/>
      <c r="FX37" s="182"/>
      <c r="FY37" s="182"/>
      <c r="FZ37" s="182"/>
      <c r="GA37" s="182"/>
      <c r="GB37" s="182"/>
      <c r="GC37" s="182"/>
      <c r="GD37" s="182"/>
      <c r="GE37" s="182"/>
      <c r="GF37" s="182"/>
      <c r="GG37" s="182"/>
      <c r="GH37" s="182"/>
      <c r="GI37" s="182"/>
    </row>
    <row r="38" spans="1:191" s="183" customFormat="1" x14ac:dyDescent="0.2">
      <c r="A38" s="210" t="s">
        <v>38152</v>
      </c>
      <c r="B38" s="210" t="s">
        <v>1669</v>
      </c>
      <c r="C38" s="224" t="s">
        <v>13463</v>
      </c>
      <c r="D38" s="211" t="s">
        <v>16</v>
      </c>
      <c r="E38" s="211">
        <v>2</v>
      </c>
      <c r="F38" s="211"/>
      <c r="G38" s="211"/>
      <c r="H38" s="212">
        <v>5</v>
      </c>
      <c r="I38" s="213">
        <f>1/(12*H38)</f>
        <v>1.6666666666666666E-2</v>
      </c>
      <c r="J38" s="272">
        <v>1399</v>
      </c>
      <c r="K38" s="112"/>
      <c r="L38" s="213"/>
      <c r="M38" s="113">
        <f>IF(ISNUMBER(J38),ROUND(I38*E38*J38,2),"")</f>
        <v>46.63</v>
      </c>
      <c r="N38" s="113">
        <f>IF(ISNUMBER(J38),ROUND(M38*30,2),"")</f>
        <v>1398.9</v>
      </c>
      <c r="O38" s="114"/>
      <c r="P38" s="113"/>
      <c r="R38" s="203"/>
      <c r="S38" s="182"/>
      <c r="T38" s="182"/>
      <c r="U38" s="182"/>
      <c r="V38" s="182"/>
      <c r="W38" s="182"/>
      <c r="X38" s="182"/>
      <c r="Y38" s="182"/>
      <c r="Z38" s="182"/>
      <c r="AA38" s="182"/>
      <c r="AB38" s="182"/>
      <c r="AC38" s="182"/>
      <c r="AD38" s="182"/>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182"/>
      <c r="BA38" s="182"/>
      <c r="BB38" s="182"/>
      <c r="BC38" s="182"/>
      <c r="BD38" s="182"/>
      <c r="BE38" s="182"/>
      <c r="BF38" s="182"/>
      <c r="BG38" s="182"/>
      <c r="BH38" s="182"/>
      <c r="BI38" s="182"/>
      <c r="BJ38" s="182"/>
      <c r="BK38" s="182"/>
      <c r="BL38" s="182"/>
      <c r="BM38" s="182"/>
      <c r="BN38" s="182"/>
      <c r="BO38" s="182"/>
      <c r="BP38" s="182"/>
      <c r="BQ38" s="182"/>
      <c r="BR38" s="182"/>
      <c r="BS38" s="182"/>
      <c r="BT38" s="182"/>
      <c r="BU38" s="182"/>
      <c r="BV38" s="182"/>
      <c r="BW38" s="182"/>
      <c r="BX38" s="182"/>
      <c r="BY38" s="182"/>
      <c r="BZ38" s="182"/>
      <c r="CA38" s="182"/>
      <c r="CB38" s="182"/>
      <c r="CC38" s="182"/>
      <c r="CD38" s="182"/>
      <c r="CE38" s="182"/>
      <c r="CF38" s="182"/>
      <c r="CG38" s="182"/>
      <c r="CH38" s="182"/>
      <c r="CI38" s="182"/>
      <c r="CJ38" s="182"/>
      <c r="CK38" s="182"/>
      <c r="CL38" s="182"/>
      <c r="CM38" s="182"/>
      <c r="CN38" s="182"/>
      <c r="CO38" s="182"/>
      <c r="CP38" s="182"/>
      <c r="CQ38" s="182"/>
      <c r="CR38" s="182"/>
      <c r="CS38" s="182"/>
      <c r="CT38" s="182"/>
      <c r="CU38" s="182"/>
      <c r="CV38" s="182"/>
      <c r="CW38" s="182"/>
      <c r="CX38" s="182"/>
      <c r="CY38" s="182"/>
      <c r="CZ38" s="182"/>
      <c r="DA38" s="182"/>
      <c r="DB38" s="182"/>
      <c r="DC38" s="182"/>
      <c r="DD38" s="182"/>
      <c r="DE38" s="182"/>
      <c r="DF38" s="182"/>
      <c r="DG38" s="182"/>
      <c r="DH38" s="182"/>
      <c r="DI38" s="182"/>
      <c r="DJ38" s="182"/>
      <c r="DK38" s="182"/>
      <c r="DL38" s="182"/>
      <c r="DM38" s="182"/>
      <c r="DN38" s="182"/>
      <c r="DO38" s="182"/>
      <c r="DP38" s="182"/>
      <c r="DQ38" s="182"/>
      <c r="DR38" s="182"/>
      <c r="DS38" s="182"/>
      <c r="DT38" s="182"/>
      <c r="DU38" s="182"/>
      <c r="DV38" s="182"/>
      <c r="DW38" s="182"/>
      <c r="DX38" s="182"/>
      <c r="DY38" s="182"/>
      <c r="DZ38" s="182"/>
      <c r="EA38" s="182"/>
      <c r="EB38" s="182"/>
      <c r="EC38" s="182"/>
      <c r="ED38" s="182"/>
      <c r="EE38" s="182"/>
      <c r="EF38" s="182"/>
      <c r="EG38" s="182"/>
      <c r="EH38" s="182"/>
      <c r="EI38" s="182"/>
      <c r="EJ38" s="182"/>
      <c r="EK38" s="182"/>
      <c r="EL38" s="182"/>
      <c r="EM38" s="182"/>
      <c r="EN38" s="182"/>
      <c r="EO38" s="182"/>
      <c r="EP38" s="182"/>
      <c r="EQ38" s="182"/>
      <c r="ER38" s="182"/>
      <c r="ES38" s="182"/>
      <c r="ET38" s="182"/>
      <c r="EU38" s="182"/>
      <c r="EV38" s="182"/>
      <c r="EW38" s="182"/>
      <c r="EX38" s="182"/>
      <c r="EY38" s="182"/>
      <c r="EZ38" s="182"/>
      <c r="FA38" s="182"/>
      <c r="FB38" s="182"/>
      <c r="FC38" s="182"/>
      <c r="FD38" s="182"/>
      <c r="FE38" s="182"/>
      <c r="FF38" s="182"/>
      <c r="FG38" s="182"/>
      <c r="FH38" s="182"/>
      <c r="FI38" s="182"/>
      <c r="FJ38" s="182"/>
      <c r="FK38" s="182"/>
      <c r="FL38" s="182"/>
      <c r="FM38" s="182"/>
      <c r="FN38" s="182"/>
      <c r="FO38" s="182"/>
      <c r="FP38" s="182"/>
      <c r="FQ38" s="182"/>
      <c r="FR38" s="182"/>
      <c r="FS38" s="182"/>
      <c r="FT38" s="182"/>
      <c r="FU38" s="182"/>
      <c r="FV38" s="182"/>
      <c r="FW38" s="182"/>
      <c r="FX38" s="182"/>
      <c r="FY38" s="182"/>
      <c r="FZ38" s="182"/>
      <c r="GA38" s="182"/>
      <c r="GB38" s="182"/>
      <c r="GC38" s="182"/>
      <c r="GD38" s="182"/>
      <c r="GE38" s="182"/>
      <c r="GF38" s="182"/>
      <c r="GG38" s="182"/>
      <c r="GH38" s="182"/>
      <c r="GI38" s="182"/>
    </row>
    <row r="39" spans="1:191" s="183" customFormat="1" ht="15" x14ac:dyDescent="0.25">
      <c r="A39" s="229" t="s">
        <v>38183</v>
      </c>
      <c r="B39" s="198"/>
      <c r="C39" s="227" t="s">
        <v>38145</v>
      </c>
      <c r="D39" s="199"/>
      <c r="E39" s="199"/>
      <c r="F39" s="199"/>
      <c r="G39" s="199"/>
      <c r="H39" s="200"/>
      <c r="I39" s="201"/>
      <c r="J39" s="199"/>
      <c r="K39" s="202">
        <f>SUBTOTAL(109,K40:K515)</f>
        <v>8711077.25</v>
      </c>
      <c r="L39" s="199"/>
      <c r="M39" s="199"/>
      <c r="N39" s="199"/>
      <c r="O39" s="199"/>
      <c r="P39" s="202">
        <f>SUBTOTAL(109,P40:P515)</f>
        <v>2907565.6600000015</v>
      </c>
      <c r="R39" s="203"/>
      <c r="S39" s="182"/>
      <c r="T39" s="182"/>
      <c r="U39" s="182"/>
      <c r="V39" s="182"/>
      <c r="W39" s="182"/>
      <c r="X39" s="182"/>
      <c r="Y39" s="182"/>
      <c r="Z39" s="182"/>
      <c r="AA39" s="182"/>
      <c r="AB39" s="182"/>
      <c r="AC39" s="182"/>
      <c r="AD39" s="182"/>
      <c r="AE39" s="182"/>
      <c r="AF39" s="182"/>
      <c r="AG39" s="182"/>
      <c r="AH39" s="182"/>
      <c r="AI39" s="182"/>
      <c r="AJ39" s="182"/>
      <c r="AK39" s="182"/>
      <c r="AL39" s="182"/>
      <c r="AM39" s="182"/>
      <c r="AN39" s="182"/>
      <c r="AO39" s="182"/>
      <c r="AP39" s="182"/>
      <c r="AQ39" s="182"/>
      <c r="AR39" s="182"/>
      <c r="AS39" s="182"/>
      <c r="AT39" s="182"/>
      <c r="AU39" s="182"/>
      <c r="AV39" s="182"/>
      <c r="AW39" s="182"/>
      <c r="AX39" s="182"/>
      <c r="AY39" s="182"/>
      <c r="AZ39" s="182"/>
      <c r="BA39" s="182"/>
      <c r="BB39" s="182"/>
      <c r="BC39" s="182"/>
      <c r="BD39" s="182"/>
      <c r="BE39" s="182"/>
      <c r="BF39" s="182"/>
      <c r="BG39" s="182"/>
      <c r="BH39" s="182"/>
      <c r="BI39" s="182"/>
      <c r="BJ39" s="182"/>
      <c r="BK39" s="182"/>
      <c r="BL39" s="182"/>
      <c r="BM39" s="182"/>
      <c r="BN39" s="182"/>
      <c r="BO39" s="182"/>
      <c r="BP39" s="182"/>
      <c r="BQ39" s="182"/>
      <c r="BR39" s="182"/>
      <c r="BS39" s="182"/>
      <c r="BT39" s="182"/>
      <c r="BU39" s="182"/>
      <c r="BV39" s="182"/>
      <c r="BW39" s="182"/>
      <c r="BX39" s="182"/>
      <c r="BY39" s="182"/>
      <c r="BZ39" s="182"/>
      <c r="CA39" s="182"/>
      <c r="CB39" s="182"/>
      <c r="CC39" s="182"/>
      <c r="CD39" s="182"/>
      <c r="CE39" s="182"/>
      <c r="CF39" s="182"/>
      <c r="CG39" s="182"/>
      <c r="CH39" s="182"/>
      <c r="CI39" s="182"/>
      <c r="CJ39" s="182"/>
      <c r="CK39" s="182"/>
      <c r="CL39" s="182"/>
      <c r="CM39" s="182"/>
      <c r="CN39" s="182"/>
      <c r="CO39" s="182"/>
      <c r="CP39" s="182"/>
      <c r="CQ39" s="182"/>
      <c r="CR39" s="182"/>
      <c r="CS39" s="182"/>
      <c r="CT39" s="182"/>
      <c r="CU39" s="182"/>
      <c r="CV39" s="182"/>
      <c r="CW39" s="182"/>
      <c r="CX39" s="182"/>
      <c r="CY39" s="182"/>
      <c r="CZ39" s="182"/>
      <c r="DA39" s="182"/>
      <c r="DB39" s="182"/>
      <c r="DC39" s="182"/>
      <c r="DD39" s="182"/>
      <c r="DE39" s="182"/>
      <c r="DF39" s="182"/>
      <c r="DG39" s="182"/>
      <c r="DH39" s="182"/>
      <c r="DI39" s="182"/>
      <c r="DJ39" s="182"/>
      <c r="DK39" s="182"/>
      <c r="DL39" s="182"/>
      <c r="DM39" s="182"/>
      <c r="DN39" s="182"/>
      <c r="DO39" s="182"/>
      <c r="DP39" s="182"/>
      <c r="DQ39" s="182"/>
      <c r="DR39" s="182"/>
      <c r="DS39" s="182"/>
      <c r="DT39" s="182"/>
      <c r="DU39" s="182"/>
      <c r="DV39" s="182"/>
      <c r="DW39" s="182"/>
      <c r="DX39" s="182"/>
      <c r="DY39" s="182"/>
      <c r="DZ39" s="182"/>
      <c r="EA39" s="182"/>
      <c r="EB39" s="182"/>
      <c r="EC39" s="182"/>
      <c r="ED39" s="182"/>
      <c r="EE39" s="182"/>
      <c r="EF39" s="182"/>
      <c r="EG39" s="182"/>
      <c r="EH39" s="182"/>
      <c r="EI39" s="182"/>
      <c r="EJ39" s="182"/>
      <c r="EK39" s="182"/>
      <c r="EL39" s="182"/>
      <c r="EM39" s="182"/>
      <c r="EN39" s="182"/>
      <c r="EO39" s="182"/>
      <c r="EP39" s="182"/>
      <c r="EQ39" s="182"/>
      <c r="ER39" s="182"/>
      <c r="ES39" s="182"/>
      <c r="ET39" s="182"/>
      <c r="EU39" s="182"/>
      <c r="EV39" s="182"/>
      <c r="EW39" s="182"/>
      <c r="EX39" s="182"/>
      <c r="EY39" s="182"/>
      <c r="EZ39" s="182"/>
      <c r="FA39" s="182"/>
      <c r="FB39" s="182"/>
      <c r="FC39" s="182"/>
      <c r="FD39" s="182"/>
      <c r="FE39" s="182"/>
      <c r="FF39" s="182"/>
      <c r="FG39" s="182"/>
      <c r="FH39" s="182"/>
      <c r="FI39" s="182"/>
      <c r="FJ39" s="182"/>
      <c r="FK39" s="182"/>
      <c r="FL39" s="182"/>
      <c r="FM39" s="182"/>
      <c r="FN39" s="182"/>
      <c r="FO39" s="182"/>
      <c r="FP39" s="182"/>
      <c r="FQ39" s="182"/>
      <c r="FR39" s="182"/>
      <c r="FS39" s="182"/>
      <c r="FT39" s="182"/>
      <c r="FU39" s="182"/>
      <c r="FV39" s="182"/>
      <c r="FW39" s="182"/>
      <c r="FX39" s="182"/>
      <c r="FY39" s="182"/>
      <c r="FZ39" s="182"/>
      <c r="GA39" s="182"/>
      <c r="GB39" s="182"/>
      <c r="GC39" s="182"/>
      <c r="GD39" s="182"/>
      <c r="GE39" s="182"/>
      <c r="GF39" s="182"/>
      <c r="GG39" s="182"/>
      <c r="GH39" s="182"/>
      <c r="GI39" s="182"/>
    </row>
    <row r="40" spans="1:191" s="183" customFormat="1" ht="25.5" x14ac:dyDescent="0.2">
      <c r="A40" s="210" t="s">
        <v>38154</v>
      </c>
      <c r="B40" s="210" t="s">
        <v>18888</v>
      </c>
      <c r="C40" s="224" t="s">
        <v>29528</v>
      </c>
      <c r="D40" s="211" t="s">
        <v>16</v>
      </c>
      <c r="E40" s="211">
        <v>4</v>
      </c>
      <c r="F40" s="211"/>
      <c r="G40" s="211">
        <v>0.3</v>
      </c>
      <c r="H40" s="212"/>
      <c r="I40" s="213"/>
      <c r="J40" s="272">
        <v>11784.65</v>
      </c>
      <c r="K40" s="112">
        <f>IF(ISNUMBER(J40),ROUND(E40*J40,2),"")</f>
        <v>47138.6</v>
      </c>
      <c r="L40" s="273">
        <f>BDI!$E$17</f>
        <v>0.11260000000000001</v>
      </c>
      <c r="M40" s="213"/>
      <c r="N40" s="213"/>
      <c r="O40" s="114">
        <f t="shared" ref="O40" si="9">IF(ISNUMBER(J40),ROUND(J40*(1+L40),2),"")</f>
        <v>13111.6</v>
      </c>
      <c r="P40" s="113">
        <f t="shared" ref="P40" si="10">IF(ISNUMBER(J40),ROUND(G40*O40*E40,2),"")</f>
        <v>15733.92</v>
      </c>
      <c r="Q40" s="209"/>
      <c r="R40" s="203"/>
      <c r="S40" s="182"/>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182"/>
      <c r="CI40" s="182"/>
      <c r="CJ40" s="182"/>
      <c r="CK40" s="182"/>
      <c r="CL40" s="182"/>
      <c r="CM40" s="182"/>
      <c r="CN40" s="182"/>
      <c r="CO40" s="182"/>
      <c r="CP40" s="182"/>
      <c r="CQ40" s="182"/>
      <c r="CR40" s="182"/>
      <c r="CS40" s="182"/>
      <c r="CT40" s="182"/>
      <c r="CU40" s="182"/>
      <c r="CV40" s="182"/>
      <c r="CW40" s="182"/>
      <c r="CX40" s="182"/>
      <c r="CY40" s="182"/>
      <c r="CZ40" s="182"/>
      <c r="DA40" s="182"/>
      <c r="DB40" s="182"/>
      <c r="DC40" s="182"/>
      <c r="DD40" s="182"/>
      <c r="DE40" s="182"/>
      <c r="DF40" s="182"/>
      <c r="DG40" s="182"/>
      <c r="DH40" s="182"/>
      <c r="DI40" s="182"/>
      <c r="DJ40" s="182"/>
      <c r="DK40" s="182"/>
      <c r="DL40" s="182"/>
      <c r="DM40" s="182"/>
      <c r="DN40" s="182"/>
      <c r="DO40" s="182"/>
      <c r="DP40" s="182"/>
      <c r="DQ40" s="182"/>
      <c r="DR40" s="182"/>
      <c r="DS40" s="182"/>
      <c r="DT40" s="182"/>
      <c r="DU40" s="182"/>
      <c r="DV40" s="182"/>
      <c r="DW40" s="182"/>
      <c r="DX40" s="182"/>
      <c r="DY40" s="182"/>
      <c r="DZ40" s="182"/>
      <c r="EA40" s="182"/>
      <c r="EB40" s="182"/>
      <c r="EC40" s="182"/>
      <c r="ED40" s="182"/>
      <c r="EE40" s="182"/>
      <c r="EF40" s="182"/>
      <c r="EG40" s="182"/>
      <c r="EH40" s="182"/>
      <c r="EI40" s="182"/>
      <c r="EJ40" s="182"/>
      <c r="EK40" s="182"/>
      <c r="EL40" s="182"/>
      <c r="EM40" s="182"/>
      <c r="EN40" s="182"/>
      <c r="EO40" s="182"/>
      <c r="EP40" s="182"/>
      <c r="EQ40" s="182"/>
      <c r="ER40" s="182"/>
      <c r="ES40" s="182"/>
      <c r="ET40" s="182"/>
      <c r="EU40" s="182"/>
      <c r="EV40" s="182"/>
      <c r="EW40" s="182"/>
      <c r="EX40" s="182"/>
      <c r="EY40" s="182"/>
      <c r="EZ40" s="182"/>
      <c r="FA40" s="182"/>
      <c r="FB40" s="182"/>
      <c r="FC40" s="182"/>
      <c r="FD40" s="182"/>
      <c r="FE40" s="182"/>
      <c r="FF40" s="182"/>
      <c r="FG40" s="182"/>
      <c r="FH40" s="182"/>
      <c r="FI40" s="182"/>
      <c r="FJ40" s="182"/>
      <c r="FK40" s="182"/>
      <c r="FL40" s="182"/>
      <c r="FM40" s="182"/>
      <c r="FN40" s="182"/>
      <c r="FO40" s="182"/>
      <c r="FP40" s="182"/>
      <c r="FQ40" s="182"/>
      <c r="FR40" s="182"/>
      <c r="FS40" s="182"/>
      <c r="FT40" s="182"/>
      <c r="FU40" s="182"/>
      <c r="FV40" s="182"/>
      <c r="FW40" s="182"/>
      <c r="FX40" s="182"/>
      <c r="FY40" s="182"/>
      <c r="FZ40" s="182"/>
      <c r="GA40" s="182"/>
      <c r="GB40" s="182"/>
      <c r="GC40" s="182"/>
      <c r="GD40" s="182"/>
      <c r="GE40" s="182"/>
      <c r="GF40" s="182"/>
      <c r="GG40" s="182"/>
      <c r="GH40" s="182"/>
      <c r="GI40" s="182"/>
    </row>
    <row r="41" spans="1:191" s="183" customFormat="1" ht="25.5" x14ac:dyDescent="0.2">
      <c r="A41" s="210" t="s">
        <v>38346</v>
      </c>
      <c r="B41" s="210" t="s">
        <v>18889</v>
      </c>
      <c r="C41" s="224" t="s">
        <v>22164</v>
      </c>
      <c r="D41" s="211" t="s">
        <v>16</v>
      </c>
      <c r="E41" s="211">
        <v>30</v>
      </c>
      <c r="F41" s="211"/>
      <c r="G41" s="211">
        <v>0.3</v>
      </c>
      <c r="H41" s="212"/>
      <c r="I41" s="213"/>
      <c r="J41" s="272">
        <v>616.82000000000005</v>
      </c>
      <c r="K41" s="112">
        <f t="shared" ref="K41:K100" si="11">IF(ISNUMBER(J41),ROUND(E41*J41,2),"")</f>
        <v>18504.599999999999</v>
      </c>
      <c r="L41" s="273">
        <f>BDI!$E$17</f>
        <v>0.11260000000000001</v>
      </c>
      <c r="M41" s="213"/>
      <c r="N41" s="213"/>
      <c r="O41" s="114">
        <f t="shared" ref="O41:O100" si="12">IF(ISNUMBER(J41),ROUND(J41*(1+L41),2),"")</f>
        <v>686.27</v>
      </c>
      <c r="P41" s="113">
        <f t="shared" ref="P41:P100" si="13">IF(ISNUMBER(J41),ROUND(G41*O41*E41,2),"")</f>
        <v>6176.43</v>
      </c>
      <c r="Q41" s="209"/>
      <c r="R41" s="203"/>
      <c r="S41" s="182"/>
      <c r="T41" s="182"/>
      <c r="U41" s="182"/>
      <c r="V41" s="182"/>
      <c r="W41" s="182"/>
      <c r="X41" s="182"/>
      <c r="Y41" s="182"/>
      <c r="Z41" s="182"/>
      <c r="AA41" s="182"/>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182"/>
      <c r="CE41" s="182"/>
      <c r="CF41" s="182"/>
      <c r="CG41" s="182"/>
      <c r="CH41" s="182"/>
      <c r="CI41" s="182"/>
      <c r="CJ41" s="182"/>
      <c r="CK41" s="182"/>
      <c r="CL41" s="182"/>
      <c r="CM41" s="182"/>
      <c r="CN41" s="182"/>
      <c r="CO41" s="182"/>
      <c r="CP41" s="182"/>
      <c r="CQ41" s="182"/>
      <c r="CR41" s="182"/>
      <c r="CS41" s="182"/>
      <c r="CT41" s="182"/>
      <c r="CU41" s="182"/>
      <c r="CV41" s="182"/>
      <c r="CW41" s="182"/>
      <c r="CX41" s="182"/>
      <c r="CY41" s="182"/>
      <c r="CZ41" s="182"/>
      <c r="DA41" s="182"/>
      <c r="DB41" s="182"/>
      <c r="DC41" s="182"/>
      <c r="DD41" s="182"/>
      <c r="DE41" s="182"/>
      <c r="DF41" s="182"/>
      <c r="DG41" s="182"/>
      <c r="DH41" s="182"/>
      <c r="DI41" s="182"/>
      <c r="DJ41" s="182"/>
      <c r="DK41" s="182"/>
      <c r="DL41" s="182"/>
      <c r="DM41" s="182"/>
      <c r="DN41" s="182"/>
      <c r="DO41" s="182"/>
      <c r="DP41" s="182"/>
      <c r="DQ41" s="182"/>
      <c r="DR41" s="182"/>
      <c r="DS41" s="182"/>
      <c r="DT41" s="182"/>
      <c r="DU41" s="182"/>
      <c r="DV41" s="182"/>
      <c r="DW41" s="182"/>
      <c r="DX41" s="182"/>
      <c r="DY41" s="182"/>
      <c r="DZ41" s="182"/>
      <c r="EA41" s="182"/>
      <c r="EB41" s="182"/>
      <c r="EC41" s="182"/>
      <c r="ED41" s="182"/>
      <c r="EE41" s="182"/>
      <c r="EF41" s="182"/>
      <c r="EG41" s="182"/>
      <c r="EH41" s="182"/>
      <c r="EI41" s="182"/>
      <c r="EJ41" s="182"/>
      <c r="EK41" s="182"/>
      <c r="EL41" s="182"/>
      <c r="EM41" s="182"/>
      <c r="EN41" s="182"/>
      <c r="EO41" s="182"/>
      <c r="EP41" s="182"/>
      <c r="EQ41" s="182"/>
      <c r="ER41" s="182"/>
      <c r="ES41" s="182"/>
      <c r="ET41" s="182"/>
      <c r="EU41" s="182"/>
      <c r="EV41" s="182"/>
      <c r="EW41" s="182"/>
      <c r="EX41" s="182"/>
      <c r="EY41" s="182"/>
      <c r="EZ41" s="182"/>
      <c r="FA41" s="182"/>
      <c r="FB41" s="182"/>
      <c r="FC41" s="182"/>
      <c r="FD41" s="182"/>
      <c r="FE41" s="182"/>
      <c r="FF41" s="182"/>
      <c r="FG41" s="182"/>
      <c r="FH41" s="182"/>
      <c r="FI41" s="182"/>
      <c r="FJ41" s="182"/>
      <c r="FK41" s="182"/>
      <c r="FL41" s="182"/>
      <c r="FM41" s="182"/>
      <c r="FN41" s="182"/>
      <c r="FO41" s="182"/>
      <c r="FP41" s="182"/>
      <c r="FQ41" s="182"/>
      <c r="FR41" s="182"/>
      <c r="FS41" s="182"/>
      <c r="FT41" s="182"/>
      <c r="FU41" s="182"/>
      <c r="FV41" s="182"/>
      <c r="FW41" s="182"/>
      <c r="FX41" s="182"/>
      <c r="FY41" s="182"/>
      <c r="FZ41" s="182"/>
      <c r="GA41" s="182"/>
      <c r="GB41" s="182"/>
      <c r="GC41" s="182"/>
      <c r="GD41" s="182"/>
      <c r="GE41" s="182"/>
      <c r="GF41" s="182"/>
      <c r="GG41" s="182"/>
      <c r="GH41" s="182"/>
      <c r="GI41" s="182"/>
    </row>
    <row r="42" spans="1:191" s="183" customFormat="1" ht="25.5" x14ac:dyDescent="0.2">
      <c r="A42" s="210" t="s">
        <v>38347</v>
      </c>
      <c r="B42" s="210" t="s">
        <v>18890</v>
      </c>
      <c r="C42" s="224" t="s">
        <v>22165</v>
      </c>
      <c r="D42" s="211" t="s">
        <v>16</v>
      </c>
      <c r="E42" s="211">
        <v>50</v>
      </c>
      <c r="F42" s="211"/>
      <c r="G42" s="211">
        <v>0.3</v>
      </c>
      <c r="H42" s="212"/>
      <c r="I42" s="213"/>
      <c r="J42" s="272">
        <v>947.24</v>
      </c>
      <c r="K42" s="112">
        <f t="shared" si="11"/>
        <v>47362</v>
      </c>
      <c r="L42" s="273">
        <f>BDI!$E$17</f>
        <v>0.11260000000000001</v>
      </c>
      <c r="M42" s="213"/>
      <c r="N42" s="213"/>
      <c r="O42" s="114">
        <f t="shared" si="12"/>
        <v>1053.9000000000001</v>
      </c>
      <c r="P42" s="113">
        <f t="shared" si="13"/>
        <v>15808.5</v>
      </c>
      <c r="Q42" s="209"/>
      <c r="R42" s="203"/>
      <c r="S42" s="182"/>
      <c r="T42" s="182"/>
      <c r="U42" s="182"/>
      <c r="V42" s="182"/>
      <c r="W42" s="182"/>
      <c r="X42" s="182"/>
      <c r="Y42" s="182"/>
      <c r="Z42" s="182"/>
      <c r="AA42" s="182"/>
      <c r="AB42" s="182"/>
      <c r="AC42" s="182"/>
      <c r="AD42" s="182"/>
      <c r="AE42" s="182"/>
      <c r="AF42" s="182"/>
      <c r="AG42" s="182"/>
      <c r="AH42" s="182"/>
      <c r="AI42" s="182"/>
      <c r="AJ42" s="182"/>
      <c r="AK42" s="182"/>
      <c r="AL42" s="182"/>
      <c r="AM42" s="182"/>
      <c r="AN42" s="182"/>
      <c r="AO42" s="182"/>
      <c r="AP42" s="182"/>
      <c r="AQ42" s="182"/>
      <c r="AR42" s="182"/>
      <c r="AS42" s="182"/>
      <c r="AT42" s="182"/>
      <c r="AU42" s="182"/>
      <c r="AV42" s="182"/>
      <c r="AW42" s="182"/>
      <c r="AX42" s="182"/>
      <c r="AY42" s="182"/>
      <c r="AZ42" s="182"/>
      <c r="BA42" s="182"/>
      <c r="BB42" s="182"/>
      <c r="BC42" s="182"/>
      <c r="BD42" s="182"/>
      <c r="BE42" s="182"/>
      <c r="BF42" s="182"/>
      <c r="BG42" s="182"/>
      <c r="BH42" s="182"/>
      <c r="BI42" s="182"/>
      <c r="BJ42" s="182"/>
      <c r="BK42" s="182"/>
      <c r="BL42" s="182"/>
      <c r="BM42" s="182"/>
      <c r="BN42" s="182"/>
      <c r="BO42" s="182"/>
      <c r="BP42" s="182"/>
      <c r="BQ42" s="182"/>
      <c r="BR42" s="182"/>
      <c r="BS42" s="182"/>
      <c r="BT42" s="182"/>
      <c r="BU42" s="182"/>
      <c r="BV42" s="182"/>
      <c r="BW42" s="182"/>
      <c r="BX42" s="182"/>
      <c r="BY42" s="182"/>
      <c r="BZ42" s="182"/>
      <c r="CA42" s="182"/>
      <c r="CB42" s="182"/>
      <c r="CC42" s="182"/>
      <c r="CD42" s="182"/>
      <c r="CE42" s="182"/>
      <c r="CF42" s="182"/>
      <c r="CG42" s="182"/>
      <c r="CH42" s="182"/>
      <c r="CI42" s="182"/>
      <c r="CJ42" s="182"/>
      <c r="CK42" s="182"/>
      <c r="CL42" s="182"/>
      <c r="CM42" s="182"/>
      <c r="CN42" s="182"/>
      <c r="CO42" s="182"/>
      <c r="CP42" s="182"/>
      <c r="CQ42" s="182"/>
      <c r="CR42" s="182"/>
      <c r="CS42" s="182"/>
      <c r="CT42" s="182"/>
      <c r="CU42" s="182"/>
      <c r="CV42" s="182"/>
      <c r="CW42" s="182"/>
      <c r="CX42" s="182"/>
      <c r="CY42" s="182"/>
      <c r="CZ42" s="182"/>
      <c r="DA42" s="182"/>
      <c r="DB42" s="182"/>
      <c r="DC42" s="182"/>
      <c r="DD42" s="182"/>
      <c r="DE42" s="182"/>
      <c r="DF42" s="182"/>
      <c r="DG42" s="182"/>
      <c r="DH42" s="182"/>
      <c r="DI42" s="182"/>
      <c r="DJ42" s="182"/>
      <c r="DK42" s="182"/>
      <c r="DL42" s="182"/>
      <c r="DM42" s="182"/>
      <c r="DN42" s="182"/>
      <c r="DO42" s="182"/>
      <c r="DP42" s="182"/>
      <c r="DQ42" s="182"/>
      <c r="DR42" s="182"/>
      <c r="DS42" s="182"/>
      <c r="DT42" s="182"/>
      <c r="DU42" s="182"/>
      <c r="DV42" s="182"/>
      <c r="DW42" s="182"/>
      <c r="DX42" s="182"/>
      <c r="DY42" s="182"/>
      <c r="DZ42" s="182"/>
      <c r="EA42" s="182"/>
      <c r="EB42" s="182"/>
      <c r="EC42" s="182"/>
      <c r="ED42" s="182"/>
      <c r="EE42" s="182"/>
      <c r="EF42" s="182"/>
      <c r="EG42" s="182"/>
      <c r="EH42" s="182"/>
      <c r="EI42" s="182"/>
      <c r="EJ42" s="182"/>
      <c r="EK42" s="182"/>
      <c r="EL42" s="182"/>
      <c r="EM42" s="182"/>
      <c r="EN42" s="182"/>
      <c r="EO42" s="182"/>
      <c r="EP42" s="182"/>
      <c r="EQ42" s="182"/>
      <c r="ER42" s="182"/>
      <c r="ES42" s="182"/>
      <c r="ET42" s="182"/>
      <c r="EU42" s="182"/>
      <c r="EV42" s="182"/>
      <c r="EW42" s="182"/>
      <c r="EX42" s="182"/>
      <c r="EY42" s="182"/>
      <c r="EZ42" s="182"/>
      <c r="FA42" s="182"/>
      <c r="FB42" s="182"/>
      <c r="FC42" s="182"/>
      <c r="FD42" s="182"/>
      <c r="FE42" s="182"/>
      <c r="FF42" s="182"/>
      <c r="FG42" s="182"/>
      <c r="FH42" s="182"/>
      <c r="FI42" s="182"/>
      <c r="FJ42" s="182"/>
      <c r="FK42" s="182"/>
      <c r="FL42" s="182"/>
      <c r="FM42" s="182"/>
      <c r="FN42" s="182"/>
      <c r="FO42" s="182"/>
      <c r="FP42" s="182"/>
      <c r="FQ42" s="182"/>
      <c r="FR42" s="182"/>
      <c r="FS42" s="182"/>
      <c r="FT42" s="182"/>
      <c r="FU42" s="182"/>
      <c r="FV42" s="182"/>
      <c r="FW42" s="182"/>
      <c r="FX42" s="182"/>
      <c r="FY42" s="182"/>
      <c r="FZ42" s="182"/>
      <c r="GA42" s="182"/>
      <c r="GB42" s="182"/>
      <c r="GC42" s="182"/>
      <c r="GD42" s="182"/>
      <c r="GE42" s="182"/>
      <c r="GF42" s="182"/>
      <c r="GG42" s="182"/>
      <c r="GH42" s="182"/>
      <c r="GI42" s="182"/>
    </row>
    <row r="43" spans="1:191" s="183" customFormat="1" ht="25.5" x14ac:dyDescent="0.2">
      <c r="A43" s="210" t="s">
        <v>38348</v>
      </c>
      <c r="B43" s="210" t="s">
        <v>18891</v>
      </c>
      <c r="C43" s="224" t="s">
        <v>22166</v>
      </c>
      <c r="D43" s="211" t="s">
        <v>16</v>
      </c>
      <c r="E43" s="211">
        <v>100</v>
      </c>
      <c r="F43" s="211"/>
      <c r="G43" s="211">
        <v>0.3</v>
      </c>
      <c r="H43" s="212"/>
      <c r="I43" s="213"/>
      <c r="J43" s="272">
        <v>772.09</v>
      </c>
      <c r="K43" s="112">
        <f t="shared" si="11"/>
        <v>77209</v>
      </c>
      <c r="L43" s="273">
        <f>BDI!$E$17</f>
        <v>0.11260000000000001</v>
      </c>
      <c r="M43" s="213"/>
      <c r="N43" s="213"/>
      <c r="O43" s="114">
        <f t="shared" si="12"/>
        <v>859.03</v>
      </c>
      <c r="P43" s="113">
        <f t="shared" si="13"/>
        <v>25770.9</v>
      </c>
      <c r="Q43" s="209"/>
      <c r="R43" s="203"/>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c r="BD43" s="182"/>
      <c r="BE43" s="182"/>
      <c r="BF43" s="182"/>
      <c r="BG43" s="182"/>
      <c r="BH43" s="182"/>
      <c r="BI43" s="182"/>
      <c r="BJ43" s="182"/>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182"/>
      <c r="CH43" s="182"/>
      <c r="CI43" s="182"/>
      <c r="CJ43" s="182"/>
      <c r="CK43" s="182"/>
      <c r="CL43" s="182"/>
      <c r="CM43" s="182"/>
      <c r="CN43" s="182"/>
      <c r="CO43" s="182"/>
      <c r="CP43" s="182"/>
      <c r="CQ43" s="182"/>
      <c r="CR43" s="182"/>
      <c r="CS43" s="182"/>
      <c r="CT43" s="182"/>
      <c r="CU43" s="182"/>
      <c r="CV43" s="182"/>
      <c r="CW43" s="182"/>
      <c r="CX43" s="182"/>
      <c r="CY43" s="182"/>
      <c r="CZ43" s="182"/>
      <c r="DA43" s="182"/>
      <c r="DB43" s="182"/>
      <c r="DC43" s="182"/>
      <c r="DD43" s="182"/>
      <c r="DE43" s="182"/>
      <c r="DF43" s="182"/>
      <c r="DG43" s="182"/>
      <c r="DH43" s="182"/>
      <c r="DI43" s="182"/>
      <c r="DJ43" s="182"/>
      <c r="DK43" s="182"/>
      <c r="DL43" s="182"/>
      <c r="DM43" s="182"/>
      <c r="DN43" s="182"/>
      <c r="DO43" s="182"/>
      <c r="DP43" s="182"/>
      <c r="DQ43" s="182"/>
      <c r="DR43" s="182"/>
      <c r="DS43" s="182"/>
      <c r="DT43" s="182"/>
      <c r="DU43" s="182"/>
      <c r="DV43" s="182"/>
      <c r="DW43" s="182"/>
      <c r="DX43" s="182"/>
      <c r="DY43" s="182"/>
      <c r="DZ43" s="182"/>
      <c r="EA43" s="182"/>
      <c r="EB43" s="182"/>
      <c r="EC43" s="182"/>
      <c r="ED43" s="182"/>
      <c r="EE43" s="182"/>
      <c r="EF43" s="182"/>
      <c r="EG43" s="182"/>
      <c r="EH43" s="182"/>
      <c r="EI43" s="182"/>
      <c r="EJ43" s="182"/>
      <c r="EK43" s="182"/>
      <c r="EL43" s="182"/>
      <c r="EM43" s="182"/>
      <c r="EN43" s="182"/>
      <c r="EO43" s="182"/>
      <c r="EP43" s="182"/>
      <c r="EQ43" s="182"/>
      <c r="ER43" s="182"/>
      <c r="ES43" s="182"/>
      <c r="ET43" s="182"/>
      <c r="EU43" s="182"/>
      <c r="EV43" s="182"/>
      <c r="EW43" s="182"/>
      <c r="EX43" s="182"/>
      <c r="EY43" s="182"/>
      <c r="EZ43" s="182"/>
      <c r="FA43" s="182"/>
      <c r="FB43" s="182"/>
      <c r="FC43" s="182"/>
      <c r="FD43" s="182"/>
      <c r="FE43" s="182"/>
      <c r="FF43" s="182"/>
      <c r="FG43" s="182"/>
      <c r="FH43" s="182"/>
      <c r="FI43" s="182"/>
      <c r="FJ43" s="182"/>
      <c r="FK43" s="182"/>
      <c r="FL43" s="182"/>
      <c r="FM43" s="182"/>
      <c r="FN43" s="182"/>
      <c r="FO43" s="182"/>
      <c r="FP43" s="182"/>
      <c r="FQ43" s="182"/>
      <c r="FR43" s="182"/>
      <c r="FS43" s="182"/>
      <c r="FT43" s="182"/>
      <c r="FU43" s="182"/>
      <c r="FV43" s="182"/>
      <c r="FW43" s="182"/>
      <c r="FX43" s="182"/>
      <c r="FY43" s="182"/>
      <c r="FZ43" s="182"/>
      <c r="GA43" s="182"/>
      <c r="GB43" s="182"/>
      <c r="GC43" s="182"/>
      <c r="GD43" s="182"/>
      <c r="GE43" s="182"/>
      <c r="GF43" s="182"/>
      <c r="GG43" s="182"/>
      <c r="GH43" s="182"/>
      <c r="GI43" s="182"/>
    </row>
    <row r="44" spans="1:191" s="183" customFormat="1" ht="25.5" x14ac:dyDescent="0.2">
      <c r="A44" s="210" t="s">
        <v>38349</v>
      </c>
      <c r="B44" s="210" t="s">
        <v>18892</v>
      </c>
      <c r="C44" s="224" t="s">
        <v>22167</v>
      </c>
      <c r="D44" s="211" t="s">
        <v>16</v>
      </c>
      <c r="E44" s="211">
        <v>40</v>
      </c>
      <c r="F44" s="211"/>
      <c r="G44" s="211">
        <v>0.3</v>
      </c>
      <c r="H44" s="212"/>
      <c r="I44" s="213"/>
      <c r="J44" s="272">
        <v>1532.55</v>
      </c>
      <c r="K44" s="112">
        <f t="shared" si="11"/>
        <v>61302</v>
      </c>
      <c r="L44" s="273">
        <f>BDI!$E$17</f>
        <v>0.11260000000000001</v>
      </c>
      <c r="M44" s="213"/>
      <c r="N44" s="213"/>
      <c r="O44" s="114">
        <f t="shared" si="12"/>
        <v>1705.12</v>
      </c>
      <c r="P44" s="113">
        <f t="shared" si="13"/>
        <v>20461.439999999999</v>
      </c>
      <c r="Q44" s="209"/>
      <c r="R44" s="203"/>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182"/>
      <c r="BL44" s="182"/>
      <c r="BM44" s="182"/>
      <c r="BN44" s="182"/>
      <c r="BO44" s="182"/>
      <c r="BP44" s="182"/>
      <c r="BQ44" s="182"/>
      <c r="BR44" s="182"/>
      <c r="BS44" s="182"/>
      <c r="BT44" s="182"/>
      <c r="BU44" s="182"/>
      <c r="BV44" s="182"/>
      <c r="BW44" s="182"/>
      <c r="BX44" s="182"/>
      <c r="BY44" s="182"/>
      <c r="BZ44" s="182"/>
      <c r="CA44" s="182"/>
      <c r="CB44" s="182"/>
      <c r="CC44" s="182"/>
      <c r="CD44" s="182"/>
      <c r="CE44" s="182"/>
      <c r="CF44" s="182"/>
      <c r="CG44" s="182"/>
      <c r="CH44" s="182"/>
      <c r="CI44" s="182"/>
      <c r="CJ44" s="182"/>
      <c r="CK44" s="182"/>
      <c r="CL44" s="182"/>
      <c r="CM44" s="182"/>
      <c r="CN44" s="182"/>
      <c r="CO44" s="182"/>
      <c r="CP44" s="182"/>
      <c r="CQ44" s="182"/>
      <c r="CR44" s="182"/>
      <c r="CS44" s="182"/>
      <c r="CT44" s="182"/>
      <c r="CU44" s="182"/>
      <c r="CV44" s="182"/>
      <c r="CW44" s="182"/>
      <c r="CX44" s="182"/>
      <c r="CY44" s="182"/>
      <c r="CZ44" s="182"/>
      <c r="DA44" s="182"/>
      <c r="DB44" s="182"/>
      <c r="DC44" s="182"/>
      <c r="DD44" s="182"/>
      <c r="DE44" s="182"/>
      <c r="DF44" s="182"/>
      <c r="DG44" s="182"/>
      <c r="DH44" s="182"/>
      <c r="DI44" s="182"/>
      <c r="DJ44" s="182"/>
      <c r="DK44" s="182"/>
      <c r="DL44" s="182"/>
      <c r="DM44" s="182"/>
      <c r="DN44" s="182"/>
      <c r="DO44" s="182"/>
      <c r="DP44" s="182"/>
      <c r="DQ44" s="182"/>
      <c r="DR44" s="182"/>
      <c r="DS44" s="182"/>
      <c r="DT44" s="182"/>
      <c r="DU44" s="182"/>
      <c r="DV44" s="182"/>
      <c r="DW44" s="182"/>
      <c r="DX44" s="182"/>
      <c r="DY44" s="182"/>
      <c r="DZ44" s="182"/>
      <c r="EA44" s="182"/>
      <c r="EB44" s="182"/>
      <c r="EC44" s="182"/>
      <c r="ED44" s="182"/>
      <c r="EE44" s="182"/>
      <c r="EF44" s="182"/>
      <c r="EG44" s="182"/>
      <c r="EH44" s="182"/>
      <c r="EI44" s="182"/>
      <c r="EJ44" s="182"/>
      <c r="EK44" s="182"/>
      <c r="EL44" s="182"/>
      <c r="EM44" s="182"/>
      <c r="EN44" s="182"/>
      <c r="EO44" s="182"/>
      <c r="EP44" s="182"/>
      <c r="EQ44" s="182"/>
      <c r="ER44" s="182"/>
      <c r="ES44" s="182"/>
      <c r="ET44" s="182"/>
      <c r="EU44" s="182"/>
      <c r="EV44" s="182"/>
      <c r="EW44" s="182"/>
      <c r="EX44" s="182"/>
      <c r="EY44" s="182"/>
      <c r="EZ44" s="182"/>
      <c r="FA44" s="182"/>
      <c r="FB44" s="182"/>
      <c r="FC44" s="182"/>
      <c r="FD44" s="182"/>
      <c r="FE44" s="182"/>
      <c r="FF44" s="182"/>
      <c r="FG44" s="182"/>
      <c r="FH44" s="182"/>
      <c r="FI44" s="182"/>
      <c r="FJ44" s="182"/>
      <c r="FK44" s="182"/>
      <c r="FL44" s="182"/>
      <c r="FM44" s="182"/>
      <c r="FN44" s="182"/>
      <c r="FO44" s="182"/>
      <c r="FP44" s="182"/>
      <c r="FQ44" s="182"/>
      <c r="FR44" s="182"/>
      <c r="FS44" s="182"/>
      <c r="FT44" s="182"/>
      <c r="FU44" s="182"/>
      <c r="FV44" s="182"/>
      <c r="FW44" s="182"/>
      <c r="FX44" s="182"/>
      <c r="FY44" s="182"/>
      <c r="FZ44" s="182"/>
      <c r="GA44" s="182"/>
      <c r="GB44" s="182"/>
      <c r="GC44" s="182"/>
      <c r="GD44" s="182"/>
      <c r="GE44" s="182"/>
      <c r="GF44" s="182"/>
      <c r="GG44" s="182"/>
      <c r="GH44" s="182"/>
      <c r="GI44" s="182"/>
    </row>
    <row r="45" spans="1:191" s="183" customFormat="1" ht="25.5" x14ac:dyDescent="0.2">
      <c r="A45" s="210" t="s">
        <v>38350</v>
      </c>
      <c r="B45" s="210" t="s">
        <v>18893</v>
      </c>
      <c r="C45" s="224" t="s">
        <v>22168</v>
      </c>
      <c r="D45" s="211" t="s">
        <v>16</v>
      </c>
      <c r="E45" s="211">
        <v>12</v>
      </c>
      <c r="F45" s="211"/>
      <c r="G45" s="211">
        <v>0.3</v>
      </c>
      <c r="H45" s="212"/>
      <c r="I45" s="213"/>
      <c r="J45" s="272">
        <v>1692.47</v>
      </c>
      <c r="K45" s="112">
        <f t="shared" si="11"/>
        <v>20309.64</v>
      </c>
      <c r="L45" s="273">
        <f>BDI!$E$17</f>
        <v>0.11260000000000001</v>
      </c>
      <c r="M45" s="213"/>
      <c r="N45" s="213"/>
      <c r="O45" s="114">
        <f t="shared" si="12"/>
        <v>1883.04</v>
      </c>
      <c r="P45" s="113">
        <f t="shared" si="13"/>
        <v>6778.94</v>
      </c>
      <c r="Q45" s="209"/>
      <c r="R45" s="203"/>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82"/>
      <c r="CA45" s="182"/>
      <c r="CB45" s="182"/>
      <c r="CC45" s="182"/>
      <c r="CD45" s="182"/>
      <c r="CE45" s="182"/>
      <c r="CF45" s="182"/>
      <c r="CG45" s="182"/>
      <c r="CH45" s="182"/>
      <c r="CI45" s="182"/>
      <c r="CJ45" s="182"/>
      <c r="CK45" s="182"/>
      <c r="CL45" s="182"/>
      <c r="CM45" s="182"/>
      <c r="CN45" s="182"/>
      <c r="CO45" s="182"/>
      <c r="CP45" s="182"/>
      <c r="CQ45" s="182"/>
      <c r="CR45" s="182"/>
      <c r="CS45" s="182"/>
      <c r="CT45" s="182"/>
      <c r="CU45" s="182"/>
      <c r="CV45" s="182"/>
      <c r="CW45" s="182"/>
      <c r="CX45" s="182"/>
      <c r="CY45" s="182"/>
      <c r="CZ45" s="182"/>
      <c r="DA45" s="182"/>
      <c r="DB45" s="182"/>
      <c r="DC45" s="182"/>
      <c r="DD45" s="182"/>
      <c r="DE45" s="182"/>
      <c r="DF45" s="182"/>
      <c r="DG45" s="182"/>
      <c r="DH45" s="182"/>
      <c r="DI45" s="182"/>
      <c r="DJ45" s="182"/>
      <c r="DK45" s="182"/>
      <c r="DL45" s="182"/>
      <c r="DM45" s="182"/>
      <c r="DN45" s="182"/>
      <c r="DO45" s="182"/>
      <c r="DP45" s="182"/>
      <c r="DQ45" s="182"/>
      <c r="DR45" s="182"/>
      <c r="DS45" s="182"/>
      <c r="DT45" s="182"/>
      <c r="DU45" s="182"/>
      <c r="DV45" s="182"/>
      <c r="DW45" s="182"/>
      <c r="DX45" s="182"/>
      <c r="DY45" s="182"/>
      <c r="DZ45" s="182"/>
      <c r="EA45" s="182"/>
      <c r="EB45" s="182"/>
      <c r="EC45" s="182"/>
      <c r="ED45" s="182"/>
      <c r="EE45" s="182"/>
      <c r="EF45" s="182"/>
      <c r="EG45" s="182"/>
      <c r="EH45" s="182"/>
      <c r="EI45" s="182"/>
      <c r="EJ45" s="182"/>
      <c r="EK45" s="182"/>
      <c r="EL45" s="182"/>
      <c r="EM45" s="182"/>
      <c r="EN45" s="182"/>
      <c r="EO45" s="182"/>
      <c r="EP45" s="182"/>
      <c r="EQ45" s="182"/>
      <c r="ER45" s="182"/>
      <c r="ES45" s="182"/>
      <c r="ET45" s="182"/>
      <c r="EU45" s="182"/>
      <c r="EV45" s="182"/>
      <c r="EW45" s="182"/>
      <c r="EX45" s="182"/>
      <c r="EY45" s="182"/>
      <c r="EZ45" s="182"/>
      <c r="FA45" s="182"/>
      <c r="FB45" s="182"/>
      <c r="FC45" s="182"/>
      <c r="FD45" s="182"/>
      <c r="FE45" s="182"/>
      <c r="FF45" s="182"/>
      <c r="FG45" s="182"/>
      <c r="FH45" s="182"/>
      <c r="FI45" s="182"/>
      <c r="FJ45" s="182"/>
      <c r="FK45" s="182"/>
      <c r="FL45" s="182"/>
      <c r="FM45" s="182"/>
      <c r="FN45" s="182"/>
      <c r="FO45" s="182"/>
      <c r="FP45" s="182"/>
      <c r="FQ45" s="182"/>
      <c r="FR45" s="182"/>
      <c r="FS45" s="182"/>
      <c r="FT45" s="182"/>
      <c r="FU45" s="182"/>
      <c r="FV45" s="182"/>
      <c r="FW45" s="182"/>
      <c r="FX45" s="182"/>
      <c r="FY45" s="182"/>
      <c r="FZ45" s="182"/>
      <c r="GA45" s="182"/>
      <c r="GB45" s="182"/>
      <c r="GC45" s="182"/>
      <c r="GD45" s="182"/>
      <c r="GE45" s="182"/>
      <c r="GF45" s="182"/>
      <c r="GG45" s="182"/>
      <c r="GH45" s="182"/>
      <c r="GI45" s="182"/>
    </row>
    <row r="46" spans="1:191" s="183" customFormat="1" ht="25.5" x14ac:dyDescent="0.2">
      <c r="A46" s="210" t="s">
        <v>38351</v>
      </c>
      <c r="B46" s="210" t="s">
        <v>18894</v>
      </c>
      <c r="C46" s="224" t="s">
        <v>22169</v>
      </c>
      <c r="D46" s="211" t="s">
        <v>16</v>
      </c>
      <c r="E46" s="211">
        <v>6</v>
      </c>
      <c r="F46" s="211"/>
      <c r="G46" s="211">
        <v>0.3</v>
      </c>
      <c r="H46" s="212"/>
      <c r="I46" s="213"/>
      <c r="J46" s="272">
        <v>2197.13</v>
      </c>
      <c r="K46" s="112">
        <f t="shared" si="11"/>
        <v>13182.78</v>
      </c>
      <c r="L46" s="273">
        <f>BDI!$E$17</f>
        <v>0.11260000000000001</v>
      </c>
      <c r="M46" s="213"/>
      <c r="N46" s="213"/>
      <c r="O46" s="114">
        <f t="shared" si="12"/>
        <v>2444.5300000000002</v>
      </c>
      <c r="P46" s="113">
        <f t="shared" si="13"/>
        <v>4400.1499999999996</v>
      </c>
      <c r="Q46" s="209"/>
      <c r="R46" s="203"/>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182"/>
      <c r="BL46" s="182"/>
      <c r="BM46" s="182"/>
      <c r="BN46" s="182"/>
      <c r="BO46" s="182"/>
      <c r="BP46" s="182"/>
      <c r="BQ46" s="182"/>
      <c r="BR46" s="182"/>
      <c r="BS46" s="182"/>
      <c r="BT46" s="182"/>
      <c r="BU46" s="182"/>
      <c r="BV46" s="182"/>
      <c r="BW46" s="182"/>
      <c r="BX46" s="182"/>
      <c r="BY46" s="182"/>
      <c r="BZ46" s="182"/>
      <c r="CA46" s="182"/>
      <c r="CB46" s="182"/>
      <c r="CC46" s="182"/>
      <c r="CD46" s="182"/>
      <c r="CE46" s="182"/>
      <c r="CF46" s="182"/>
      <c r="CG46" s="182"/>
      <c r="CH46" s="182"/>
      <c r="CI46" s="182"/>
      <c r="CJ46" s="182"/>
      <c r="CK46" s="182"/>
      <c r="CL46" s="182"/>
      <c r="CM46" s="182"/>
      <c r="CN46" s="182"/>
      <c r="CO46" s="182"/>
      <c r="CP46" s="182"/>
      <c r="CQ46" s="182"/>
      <c r="CR46" s="182"/>
      <c r="CS46" s="182"/>
      <c r="CT46" s="182"/>
      <c r="CU46" s="182"/>
      <c r="CV46" s="182"/>
      <c r="CW46" s="182"/>
      <c r="CX46" s="182"/>
      <c r="CY46" s="182"/>
      <c r="CZ46" s="182"/>
      <c r="DA46" s="182"/>
      <c r="DB46" s="182"/>
      <c r="DC46" s="182"/>
      <c r="DD46" s="182"/>
      <c r="DE46" s="182"/>
      <c r="DF46" s="182"/>
      <c r="DG46" s="182"/>
      <c r="DH46" s="182"/>
      <c r="DI46" s="182"/>
      <c r="DJ46" s="182"/>
      <c r="DK46" s="182"/>
      <c r="DL46" s="182"/>
      <c r="DM46" s="182"/>
      <c r="DN46" s="182"/>
      <c r="DO46" s="182"/>
      <c r="DP46" s="182"/>
      <c r="DQ46" s="182"/>
      <c r="DR46" s="182"/>
      <c r="DS46" s="182"/>
      <c r="DT46" s="182"/>
      <c r="DU46" s="182"/>
      <c r="DV46" s="182"/>
      <c r="DW46" s="182"/>
      <c r="DX46" s="182"/>
      <c r="DY46" s="182"/>
      <c r="DZ46" s="182"/>
      <c r="EA46" s="182"/>
      <c r="EB46" s="182"/>
      <c r="EC46" s="182"/>
      <c r="ED46" s="182"/>
      <c r="EE46" s="182"/>
      <c r="EF46" s="182"/>
      <c r="EG46" s="182"/>
      <c r="EH46" s="182"/>
      <c r="EI46" s="182"/>
      <c r="EJ46" s="182"/>
      <c r="EK46" s="182"/>
      <c r="EL46" s="182"/>
      <c r="EM46" s="182"/>
      <c r="EN46" s="182"/>
      <c r="EO46" s="182"/>
      <c r="EP46" s="182"/>
      <c r="EQ46" s="182"/>
      <c r="ER46" s="182"/>
      <c r="ES46" s="182"/>
      <c r="ET46" s="182"/>
      <c r="EU46" s="182"/>
      <c r="EV46" s="182"/>
      <c r="EW46" s="182"/>
      <c r="EX46" s="182"/>
      <c r="EY46" s="182"/>
      <c r="EZ46" s="182"/>
      <c r="FA46" s="182"/>
      <c r="FB46" s="182"/>
      <c r="FC46" s="182"/>
      <c r="FD46" s="182"/>
      <c r="FE46" s="182"/>
      <c r="FF46" s="182"/>
      <c r="FG46" s="182"/>
      <c r="FH46" s="182"/>
      <c r="FI46" s="182"/>
      <c r="FJ46" s="182"/>
      <c r="FK46" s="182"/>
      <c r="FL46" s="182"/>
      <c r="FM46" s="182"/>
      <c r="FN46" s="182"/>
      <c r="FO46" s="182"/>
      <c r="FP46" s="182"/>
      <c r="FQ46" s="182"/>
      <c r="FR46" s="182"/>
      <c r="FS46" s="182"/>
      <c r="FT46" s="182"/>
      <c r="FU46" s="182"/>
      <c r="FV46" s="182"/>
      <c r="FW46" s="182"/>
      <c r="FX46" s="182"/>
      <c r="FY46" s="182"/>
      <c r="FZ46" s="182"/>
      <c r="GA46" s="182"/>
      <c r="GB46" s="182"/>
      <c r="GC46" s="182"/>
      <c r="GD46" s="182"/>
      <c r="GE46" s="182"/>
      <c r="GF46" s="182"/>
      <c r="GG46" s="182"/>
      <c r="GH46" s="182"/>
      <c r="GI46" s="182"/>
    </row>
    <row r="47" spans="1:191" s="183" customFormat="1" ht="25.5" x14ac:dyDescent="0.2">
      <c r="A47" s="210" t="s">
        <v>38352</v>
      </c>
      <c r="B47" s="210" t="s">
        <v>18895</v>
      </c>
      <c r="C47" s="224" t="s">
        <v>22170</v>
      </c>
      <c r="D47" s="211" t="s">
        <v>16</v>
      </c>
      <c r="E47" s="211">
        <v>50</v>
      </c>
      <c r="F47" s="211"/>
      <c r="G47" s="211">
        <v>0.3</v>
      </c>
      <c r="H47" s="212"/>
      <c r="I47" s="213"/>
      <c r="J47" s="272">
        <v>708.67</v>
      </c>
      <c r="K47" s="112">
        <f t="shared" si="11"/>
        <v>35433.5</v>
      </c>
      <c r="L47" s="273">
        <f>BDI!$E$17</f>
        <v>0.11260000000000001</v>
      </c>
      <c r="M47" s="213"/>
      <c r="N47" s="213"/>
      <c r="O47" s="114">
        <f t="shared" si="12"/>
        <v>788.47</v>
      </c>
      <c r="P47" s="113">
        <f t="shared" si="13"/>
        <v>11827.05</v>
      </c>
      <c r="Q47" s="209"/>
      <c r="R47" s="203"/>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182"/>
      <c r="BO47" s="182"/>
      <c r="BP47" s="182"/>
      <c r="BQ47" s="182"/>
      <c r="BR47" s="182"/>
      <c r="BS47" s="182"/>
      <c r="BT47" s="182"/>
      <c r="BU47" s="182"/>
      <c r="BV47" s="182"/>
      <c r="BW47" s="182"/>
      <c r="BX47" s="182"/>
      <c r="BY47" s="182"/>
      <c r="BZ47" s="182"/>
      <c r="CA47" s="182"/>
      <c r="CB47" s="182"/>
      <c r="CC47" s="182"/>
      <c r="CD47" s="182"/>
      <c r="CE47" s="182"/>
      <c r="CF47" s="182"/>
      <c r="CG47" s="182"/>
      <c r="CH47" s="182"/>
      <c r="CI47" s="182"/>
      <c r="CJ47" s="182"/>
      <c r="CK47" s="182"/>
      <c r="CL47" s="182"/>
      <c r="CM47" s="182"/>
      <c r="CN47" s="182"/>
      <c r="CO47" s="182"/>
      <c r="CP47" s="182"/>
      <c r="CQ47" s="182"/>
      <c r="CR47" s="182"/>
      <c r="CS47" s="182"/>
      <c r="CT47" s="182"/>
      <c r="CU47" s="182"/>
      <c r="CV47" s="182"/>
      <c r="CW47" s="182"/>
      <c r="CX47" s="182"/>
      <c r="CY47" s="182"/>
      <c r="CZ47" s="182"/>
      <c r="DA47" s="182"/>
      <c r="DB47" s="182"/>
      <c r="DC47" s="182"/>
      <c r="DD47" s="182"/>
      <c r="DE47" s="182"/>
      <c r="DF47" s="182"/>
      <c r="DG47" s="182"/>
      <c r="DH47" s="182"/>
      <c r="DI47" s="182"/>
      <c r="DJ47" s="182"/>
      <c r="DK47" s="182"/>
      <c r="DL47" s="182"/>
      <c r="DM47" s="182"/>
      <c r="DN47" s="182"/>
      <c r="DO47" s="182"/>
      <c r="DP47" s="182"/>
      <c r="DQ47" s="182"/>
      <c r="DR47" s="182"/>
      <c r="DS47" s="182"/>
      <c r="DT47" s="182"/>
      <c r="DU47" s="182"/>
      <c r="DV47" s="182"/>
      <c r="DW47" s="182"/>
      <c r="DX47" s="182"/>
      <c r="DY47" s="182"/>
      <c r="DZ47" s="182"/>
      <c r="EA47" s="182"/>
      <c r="EB47" s="182"/>
      <c r="EC47" s="182"/>
      <c r="ED47" s="182"/>
      <c r="EE47" s="182"/>
      <c r="EF47" s="182"/>
      <c r="EG47" s="182"/>
      <c r="EH47" s="182"/>
      <c r="EI47" s="182"/>
      <c r="EJ47" s="182"/>
      <c r="EK47" s="182"/>
      <c r="EL47" s="182"/>
      <c r="EM47" s="182"/>
      <c r="EN47" s="182"/>
      <c r="EO47" s="182"/>
      <c r="EP47" s="182"/>
      <c r="EQ47" s="182"/>
      <c r="ER47" s="182"/>
      <c r="ES47" s="182"/>
      <c r="ET47" s="182"/>
      <c r="EU47" s="182"/>
      <c r="EV47" s="182"/>
      <c r="EW47" s="182"/>
      <c r="EX47" s="182"/>
      <c r="EY47" s="182"/>
      <c r="EZ47" s="182"/>
      <c r="FA47" s="182"/>
      <c r="FB47" s="182"/>
      <c r="FC47" s="182"/>
      <c r="FD47" s="182"/>
      <c r="FE47" s="182"/>
      <c r="FF47" s="182"/>
      <c r="FG47" s="182"/>
      <c r="FH47" s="182"/>
      <c r="FI47" s="182"/>
      <c r="FJ47" s="182"/>
      <c r="FK47" s="182"/>
      <c r="FL47" s="182"/>
      <c r="FM47" s="182"/>
      <c r="FN47" s="182"/>
      <c r="FO47" s="182"/>
      <c r="FP47" s="182"/>
      <c r="FQ47" s="182"/>
      <c r="FR47" s="182"/>
      <c r="FS47" s="182"/>
      <c r="FT47" s="182"/>
      <c r="FU47" s="182"/>
      <c r="FV47" s="182"/>
      <c r="FW47" s="182"/>
      <c r="FX47" s="182"/>
      <c r="FY47" s="182"/>
      <c r="FZ47" s="182"/>
      <c r="GA47" s="182"/>
      <c r="GB47" s="182"/>
      <c r="GC47" s="182"/>
      <c r="GD47" s="182"/>
      <c r="GE47" s="182"/>
      <c r="GF47" s="182"/>
      <c r="GG47" s="182"/>
      <c r="GH47" s="182"/>
      <c r="GI47" s="182"/>
    </row>
    <row r="48" spans="1:191" s="183" customFormat="1" ht="25.5" x14ac:dyDescent="0.2">
      <c r="A48" s="210" t="s">
        <v>38353</v>
      </c>
      <c r="B48" s="210" t="s">
        <v>18896</v>
      </c>
      <c r="C48" s="224" t="s">
        <v>22171</v>
      </c>
      <c r="D48" s="211" t="s">
        <v>16</v>
      </c>
      <c r="E48" s="211">
        <v>25</v>
      </c>
      <c r="F48" s="211"/>
      <c r="G48" s="211">
        <v>0.3</v>
      </c>
      <c r="H48" s="212"/>
      <c r="I48" s="213"/>
      <c r="J48" s="272">
        <v>905.42</v>
      </c>
      <c r="K48" s="112">
        <f t="shared" si="11"/>
        <v>22635.5</v>
      </c>
      <c r="L48" s="273">
        <f>BDI!$E$17</f>
        <v>0.11260000000000001</v>
      </c>
      <c r="M48" s="213"/>
      <c r="N48" s="213"/>
      <c r="O48" s="114">
        <f t="shared" si="12"/>
        <v>1007.37</v>
      </c>
      <c r="P48" s="113">
        <f t="shared" si="13"/>
        <v>7555.28</v>
      </c>
      <c r="Q48" s="209"/>
      <c r="R48" s="203"/>
      <c r="S48" s="182"/>
      <c r="T48" s="182"/>
      <c r="U48" s="182"/>
      <c r="V48" s="182"/>
      <c r="W48" s="182"/>
      <c r="X48" s="182"/>
      <c r="Y48" s="182"/>
      <c r="Z48" s="182"/>
      <c r="AA48" s="182"/>
      <c r="AB48" s="182"/>
      <c r="AC48" s="182"/>
      <c r="AD48" s="182"/>
      <c r="AE48" s="182"/>
      <c r="AF48" s="182"/>
      <c r="AG48" s="182"/>
      <c r="AH48" s="182"/>
      <c r="AI48" s="182"/>
      <c r="AJ48" s="182"/>
      <c r="AK48" s="182"/>
      <c r="AL48" s="182"/>
      <c r="AM48" s="182"/>
      <c r="AN48" s="182"/>
      <c r="AO48" s="182"/>
      <c r="AP48" s="182"/>
      <c r="AQ48" s="182"/>
      <c r="AR48" s="182"/>
      <c r="AS48" s="182"/>
      <c r="AT48" s="182"/>
      <c r="AU48" s="182"/>
      <c r="AV48" s="182"/>
      <c r="AW48" s="182"/>
      <c r="AX48" s="182"/>
      <c r="AY48" s="182"/>
      <c r="AZ48" s="182"/>
      <c r="BA48" s="182"/>
      <c r="BB48" s="182"/>
      <c r="BC48" s="182"/>
      <c r="BD48" s="182"/>
      <c r="BE48" s="182"/>
      <c r="BF48" s="182"/>
      <c r="BG48" s="182"/>
      <c r="BH48" s="182"/>
      <c r="BI48" s="182"/>
      <c r="BJ48" s="182"/>
      <c r="BK48" s="182"/>
      <c r="BL48" s="182"/>
      <c r="BM48" s="182"/>
      <c r="BN48" s="182"/>
      <c r="BO48" s="182"/>
      <c r="BP48" s="182"/>
      <c r="BQ48" s="182"/>
      <c r="BR48" s="182"/>
      <c r="BS48" s="182"/>
      <c r="BT48" s="182"/>
      <c r="BU48" s="182"/>
      <c r="BV48" s="182"/>
      <c r="BW48" s="182"/>
      <c r="BX48" s="182"/>
      <c r="BY48" s="182"/>
      <c r="BZ48" s="182"/>
      <c r="CA48" s="182"/>
      <c r="CB48" s="182"/>
      <c r="CC48" s="182"/>
      <c r="CD48" s="182"/>
      <c r="CE48" s="182"/>
      <c r="CF48" s="182"/>
      <c r="CG48" s="182"/>
      <c r="CH48" s="182"/>
      <c r="CI48" s="182"/>
      <c r="CJ48" s="182"/>
      <c r="CK48" s="182"/>
      <c r="CL48" s="182"/>
      <c r="CM48" s="182"/>
      <c r="CN48" s="182"/>
      <c r="CO48" s="182"/>
      <c r="CP48" s="182"/>
      <c r="CQ48" s="182"/>
      <c r="CR48" s="182"/>
      <c r="CS48" s="182"/>
      <c r="CT48" s="182"/>
      <c r="CU48" s="182"/>
      <c r="CV48" s="182"/>
      <c r="CW48" s="182"/>
      <c r="CX48" s="182"/>
      <c r="CY48" s="182"/>
      <c r="CZ48" s="182"/>
      <c r="DA48" s="182"/>
      <c r="DB48" s="182"/>
      <c r="DC48" s="182"/>
      <c r="DD48" s="182"/>
      <c r="DE48" s="182"/>
      <c r="DF48" s="182"/>
      <c r="DG48" s="182"/>
      <c r="DH48" s="182"/>
      <c r="DI48" s="182"/>
      <c r="DJ48" s="182"/>
      <c r="DK48" s="182"/>
      <c r="DL48" s="182"/>
      <c r="DM48" s="182"/>
      <c r="DN48" s="182"/>
      <c r="DO48" s="182"/>
      <c r="DP48" s="182"/>
      <c r="DQ48" s="182"/>
      <c r="DR48" s="182"/>
      <c r="DS48" s="182"/>
      <c r="DT48" s="182"/>
      <c r="DU48" s="182"/>
      <c r="DV48" s="182"/>
      <c r="DW48" s="182"/>
      <c r="DX48" s="182"/>
      <c r="DY48" s="182"/>
      <c r="DZ48" s="182"/>
      <c r="EA48" s="182"/>
      <c r="EB48" s="182"/>
      <c r="EC48" s="182"/>
      <c r="ED48" s="182"/>
      <c r="EE48" s="182"/>
      <c r="EF48" s="182"/>
      <c r="EG48" s="182"/>
      <c r="EH48" s="182"/>
      <c r="EI48" s="182"/>
      <c r="EJ48" s="182"/>
      <c r="EK48" s="182"/>
      <c r="EL48" s="182"/>
      <c r="EM48" s="182"/>
      <c r="EN48" s="182"/>
      <c r="EO48" s="182"/>
      <c r="EP48" s="182"/>
      <c r="EQ48" s="182"/>
      <c r="ER48" s="182"/>
      <c r="ES48" s="182"/>
      <c r="ET48" s="182"/>
      <c r="EU48" s="182"/>
      <c r="EV48" s="182"/>
      <c r="EW48" s="182"/>
      <c r="EX48" s="182"/>
      <c r="EY48" s="182"/>
      <c r="EZ48" s="182"/>
      <c r="FA48" s="182"/>
      <c r="FB48" s="182"/>
      <c r="FC48" s="182"/>
      <c r="FD48" s="182"/>
      <c r="FE48" s="182"/>
      <c r="FF48" s="182"/>
      <c r="FG48" s="182"/>
      <c r="FH48" s="182"/>
      <c r="FI48" s="182"/>
      <c r="FJ48" s="182"/>
      <c r="FK48" s="182"/>
      <c r="FL48" s="182"/>
      <c r="FM48" s="182"/>
      <c r="FN48" s="182"/>
      <c r="FO48" s="182"/>
      <c r="FP48" s="182"/>
      <c r="FQ48" s="182"/>
      <c r="FR48" s="182"/>
      <c r="FS48" s="182"/>
      <c r="FT48" s="182"/>
      <c r="FU48" s="182"/>
      <c r="FV48" s="182"/>
      <c r="FW48" s="182"/>
      <c r="FX48" s="182"/>
      <c r="FY48" s="182"/>
      <c r="FZ48" s="182"/>
      <c r="GA48" s="182"/>
      <c r="GB48" s="182"/>
      <c r="GC48" s="182"/>
      <c r="GD48" s="182"/>
      <c r="GE48" s="182"/>
      <c r="GF48" s="182"/>
      <c r="GG48" s="182"/>
      <c r="GH48" s="182"/>
      <c r="GI48" s="182"/>
    </row>
    <row r="49" spans="1:191" s="183" customFormat="1" ht="25.5" x14ac:dyDescent="0.2">
      <c r="A49" s="210" t="s">
        <v>38354</v>
      </c>
      <c r="B49" s="210" t="s">
        <v>18897</v>
      </c>
      <c r="C49" s="224" t="s">
        <v>22172</v>
      </c>
      <c r="D49" s="211" t="s">
        <v>16</v>
      </c>
      <c r="E49" s="211">
        <v>25</v>
      </c>
      <c r="F49" s="211"/>
      <c r="G49" s="211">
        <v>0.3</v>
      </c>
      <c r="H49" s="212"/>
      <c r="I49" s="213"/>
      <c r="J49" s="272">
        <v>1044.9000000000001</v>
      </c>
      <c r="K49" s="112">
        <f t="shared" si="11"/>
        <v>26122.5</v>
      </c>
      <c r="L49" s="273">
        <f>BDI!$E$17</f>
        <v>0.11260000000000001</v>
      </c>
      <c r="M49" s="213"/>
      <c r="N49" s="213"/>
      <c r="O49" s="114">
        <f t="shared" si="12"/>
        <v>1162.56</v>
      </c>
      <c r="P49" s="113">
        <f t="shared" si="13"/>
        <v>8719.2000000000007</v>
      </c>
      <c r="Q49" s="209"/>
      <c r="R49" s="203"/>
      <c r="S49" s="182"/>
      <c r="T49" s="182"/>
      <c r="U49" s="182"/>
      <c r="V49" s="182"/>
      <c r="W49" s="182"/>
      <c r="X49" s="182"/>
      <c r="Y49" s="182"/>
      <c r="Z49" s="182"/>
      <c r="AA49" s="182"/>
      <c r="AB49" s="182"/>
      <c r="AC49" s="182"/>
      <c r="AD49" s="182"/>
      <c r="AE49" s="182"/>
      <c r="AF49" s="182"/>
      <c r="AG49" s="182"/>
      <c r="AH49" s="182"/>
      <c r="AI49" s="182"/>
      <c r="AJ49" s="182"/>
      <c r="AK49" s="182"/>
      <c r="AL49" s="182"/>
      <c r="AM49" s="182"/>
      <c r="AN49" s="182"/>
      <c r="AO49" s="182"/>
      <c r="AP49" s="182"/>
      <c r="AQ49" s="182"/>
      <c r="AR49" s="182"/>
      <c r="AS49" s="182"/>
      <c r="AT49" s="182"/>
      <c r="AU49" s="182"/>
      <c r="AV49" s="182"/>
      <c r="AW49" s="182"/>
      <c r="AX49" s="182"/>
      <c r="AY49" s="182"/>
      <c r="AZ49" s="182"/>
      <c r="BA49" s="182"/>
      <c r="BB49" s="182"/>
      <c r="BC49" s="182"/>
      <c r="BD49" s="182"/>
      <c r="BE49" s="182"/>
      <c r="BF49" s="182"/>
      <c r="BG49" s="182"/>
      <c r="BH49" s="182"/>
      <c r="BI49" s="182"/>
      <c r="BJ49" s="182"/>
      <c r="BK49" s="182"/>
      <c r="BL49" s="182"/>
      <c r="BM49" s="182"/>
      <c r="BN49" s="182"/>
      <c r="BO49" s="182"/>
      <c r="BP49" s="182"/>
      <c r="BQ49" s="182"/>
      <c r="BR49" s="182"/>
      <c r="BS49" s="182"/>
      <c r="BT49" s="182"/>
      <c r="BU49" s="182"/>
      <c r="BV49" s="182"/>
      <c r="BW49" s="182"/>
      <c r="BX49" s="182"/>
      <c r="BY49" s="182"/>
      <c r="BZ49" s="182"/>
      <c r="CA49" s="182"/>
      <c r="CB49" s="182"/>
      <c r="CC49" s="182"/>
      <c r="CD49" s="182"/>
      <c r="CE49" s="182"/>
      <c r="CF49" s="182"/>
      <c r="CG49" s="182"/>
      <c r="CH49" s="182"/>
      <c r="CI49" s="182"/>
      <c r="CJ49" s="182"/>
      <c r="CK49" s="182"/>
      <c r="CL49" s="182"/>
      <c r="CM49" s="182"/>
      <c r="CN49" s="182"/>
      <c r="CO49" s="182"/>
      <c r="CP49" s="182"/>
      <c r="CQ49" s="182"/>
      <c r="CR49" s="182"/>
      <c r="CS49" s="182"/>
      <c r="CT49" s="182"/>
      <c r="CU49" s="182"/>
      <c r="CV49" s="182"/>
      <c r="CW49" s="182"/>
      <c r="CX49" s="182"/>
      <c r="CY49" s="182"/>
      <c r="CZ49" s="182"/>
      <c r="DA49" s="182"/>
      <c r="DB49" s="182"/>
      <c r="DC49" s="182"/>
      <c r="DD49" s="182"/>
      <c r="DE49" s="182"/>
      <c r="DF49" s="182"/>
      <c r="DG49" s="182"/>
      <c r="DH49" s="182"/>
      <c r="DI49" s="182"/>
      <c r="DJ49" s="182"/>
      <c r="DK49" s="182"/>
      <c r="DL49" s="182"/>
      <c r="DM49" s="182"/>
      <c r="DN49" s="182"/>
      <c r="DO49" s="182"/>
      <c r="DP49" s="182"/>
      <c r="DQ49" s="182"/>
      <c r="DR49" s="182"/>
      <c r="DS49" s="182"/>
      <c r="DT49" s="182"/>
      <c r="DU49" s="182"/>
      <c r="DV49" s="182"/>
      <c r="DW49" s="182"/>
      <c r="DX49" s="182"/>
      <c r="DY49" s="182"/>
      <c r="DZ49" s="182"/>
      <c r="EA49" s="182"/>
      <c r="EB49" s="182"/>
      <c r="EC49" s="182"/>
      <c r="ED49" s="182"/>
      <c r="EE49" s="182"/>
      <c r="EF49" s="182"/>
      <c r="EG49" s="182"/>
      <c r="EH49" s="182"/>
      <c r="EI49" s="182"/>
      <c r="EJ49" s="182"/>
      <c r="EK49" s="182"/>
      <c r="EL49" s="182"/>
      <c r="EM49" s="182"/>
      <c r="EN49" s="182"/>
      <c r="EO49" s="182"/>
      <c r="EP49" s="182"/>
      <c r="EQ49" s="182"/>
      <c r="ER49" s="182"/>
      <c r="ES49" s="182"/>
      <c r="ET49" s="182"/>
      <c r="EU49" s="182"/>
      <c r="EV49" s="182"/>
      <c r="EW49" s="182"/>
      <c r="EX49" s="182"/>
      <c r="EY49" s="182"/>
      <c r="EZ49" s="182"/>
      <c r="FA49" s="182"/>
      <c r="FB49" s="182"/>
      <c r="FC49" s="182"/>
      <c r="FD49" s="182"/>
      <c r="FE49" s="182"/>
      <c r="FF49" s="182"/>
      <c r="FG49" s="182"/>
      <c r="FH49" s="182"/>
      <c r="FI49" s="182"/>
      <c r="FJ49" s="182"/>
      <c r="FK49" s="182"/>
      <c r="FL49" s="182"/>
      <c r="FM49" s="182"/>
      <c r="FN49" s="182"/>
      <c r="FO49" s="182"/>
      <c r="FP49" s="182"/>
      <c r="FQ49" s="182"/>
      <c r="FR49" s="182"/>
      <c r="FS49" s="182"/>
      <c r="FT49" s="182"/>
      <c r="FU49" s="182"/>
      <c r="FV49" s="182"/>
      <c r="FW49" s="182"/>
      <c r="FX49" s="182"/>
      <c r="FY49" s="182"/>
      <c r="FZ49" s="182"/>
      <c r="GA49" s="182"/>
      <c r="GB49" s="182"/>
      <c r="GC49" s="182"/>
      <c r="GD49" s="182"/>
      <c r="GE49" s="182"/>
      <c r="GF49" s="182"/>
      <c r="GG49" s="182"/>
      <c r="GH49" s="182"/>
      <c r="GI49" s="182"/>
    </row>
    <row r="50" spans="1:191" s="183" customFormat="1" ht="25.5" x14ac:dyDescent="0.2">
      <c r="A50" s="210" t="s">
        <v>38355</v>
      </c>
      <c r="B50" s="210" t="s">
        <v>18898</v>
      </c>
      <c r="C50" s="224" t="s">
        <v>22173</v>
      </c>
      <c r="D50" s="211" t="s">
        <v>16</v>
      </c>
      <c r="E50" s="211">
        <v>5</v>
      </c>
      <c r="F50" s="211"/>
      <c r="G50" s="211">
        <v>0.3</v>
      </c>
      <c r="H50" s="212"/>
      <c r="I50" s="213"/>
      <c r="J50" s="272">
        <v>1831.8</v>
      </c>
      <c r="K50" s="112">
        <f t="shared" si="11"/>
        <v>9159</v>
      </c>
      <c r="L50" s="273">
        <f>BDI!$E$17</f>
        <v>0.11260000000000001</v>
      </c>
      <c r="M50" s="213"/>
      <c r="N50" s="213"/>
      <c r="O50" s="114">
        <f t="shared" si="12"/>
        <v>2038.06</v>
      </c>
      <c r="P50" s="113">
        <f t="shared" si="13"/>
        <v>3057.09</v>
      </c>
      <c r="Q50" s="209"/>
      <c r="R50" s="203"/>
      <c r="S50" s="182"/>
      <c r="T50" s="182"/>
      <c r="U50" s="182"/>
      <c r="V50" s="182"/>
      <c r="W50" s="182"/>
      <c r="X50" s="182"/>
      <c r="Y50" s="182"/>
      <c r="Z50" s="182"/>
      <c r="AA50" s="182"/>
      <c r="AB50" s="182"/>
      <c r="AC50" s="182"/>
      <c r="AD50" s="182"/>
      <c r="AE50" s="182"/>
      <c r="AF50" s="182"/>
      <c r="AG50" s="182"/>
      <c r="AH50" s="182"/>
      <c r="AI50" s="182"/>
      <c r="AJ50" s="182"/>
      <c r="AK50" s="182"/>
      <c r="AL50" s="182"/>
      <c r="AM50" s="182"/>
      <c r="AN50" s="182"/>
      <c r="AO50" s="182"/>
      <c r="AP50" s="182"/>
      <c r="AQ50" s="182"/>
      <c r="AR50" s="182"/>
      <c r="AS50" s="182"/>
      <c r="AT50" s="182"/>
      <c r="AU50" s="182"/>
      <c r="AV50" s="182"/>
      <c r="AW50" s="182"/>
      <c r="AX50" s="182"/>
      <c r="AY50" s="182"/>
      <c r="AZ50" s="182"/>
      <c r="BA50" s="182"/>
      <c r="BB50" s="182"/>
      <c r="BC50" s="182"/>
      <c r="BD50" s="182"/>
      <c r="BE50" s="182"/>
      <c r="BF50" s="182"/>
      <c r="BG50" s="182"/>
      <c r="BH50" s="182"/>
      <c r="BI50" s="182"/>
      <c r="BJ50" s="182"/>
      <c r="BK50" s="182"/>
      <c r="BL50" s="182"/>
      <c r="BM50" s="182"/>
      <c r="BN50" s="182"/>
      <c r="BO50" s="182"/>
      <c r="BP50" s="182"/>
      <c r="BQ50" s="182"/>
      <c r="BR50" s="182"/>
      <c r="BS50" s="182"/>
      <c r="BT50" s="182"/>
      <c r="BU50" s="182"/>
      <c r="BV50" s="182"/>
      <c r="BW50" s="182"/>
      <c r="BX50" s="182"/>
      <c r="BY50" s="182"/>
      <c r="BZ50" s="182"/>
      <c r="CA50" s="182"/>
      <c r="CB50" s="182"/>
      <c r="CC50" s="182"/>
      <c r="CD50" s="182"/>
      <c r="CE50" s="182"/>
      <c r="CF50" s="182"/>
      <c r="CG50" s="182"/>
      <c r="CH50" s="182"/>
      <c r="CI50" s="182"/>
      <c r="CJ50" s="182"/>
      <c r="CK50" s="182"/>
      <c r="CL50" s="182"/>
      <c r="CM50" s="182"/>
      <c r="CN50" s="182"/>
      <c r="CO50" s="182"/>
      <c r="CP50" s="182"/>
      <c r="CQ50" s="182"/>
      <c r="CR50" s="182"/>
      <c r="CS50" s="182"/>
      <c r="CT50" s="182"/>
      <c r="CU50" s="182"/>
      <c r="CV50" s="182"/>
      <c r="CW50" s="182"/>
      <c r="CX50" s="182"/>
      <c r="CY50" s="182"/>
      <c r="CZ50" s="182"/>
      <c r="DA50" s="182"/>
      <c r="DB50" s="182"/>
      <c r="DC50" s="182"/>
      <c r="DD50" s="182"/>
      <c r="DE50" s="182"/>
      <c r="DF50" s="182"/>
      <c r="DG50" s="182"/>
      <c r="DH50" s="182"/>
      <c r="DI50" s="182"/>
      <c r="DJ50" s="182"/>
      <c r="DK50" s="182"/>
      <c r="DL50" s="182"/>
      <c r="DM50" s="182"/>
      <c r="DN50" s="182"/>
      <c r="DO50" s="182"/>
      <c r="DP50" s="182"/>
      <c r="DQ50" s="182"/>
      <c r="DR50" s="182"/>
      <c r="DS50" s="182"/>
      <c r="DT50" s="182"/>
      <c r="DU50" s="182"/>
      <c r="DV50" s="182"/>
      <c r="DW50" s="182"/>
      <c r="DX50" s="182"/>
      <c r="DY50" s="182"/>
      <c r="DZ50" s="182"/>
      <c r="EA50" s="182"/>
      <c r="EB50" s="182"/>
      <c r="EC50" s="182"/>
      <c r="ED50" s="182"/>
      <c r="EE50" s="182"/>
      <c r="EF50" s="182"/>
      <c r="EG50" s="182"/>
      <c r="EH50" s="182"/>
      <c r="EI50" s="182"/>
      <c r="EJ50" s="182"/>
      <c r="EK50" s="182"/>
      <c r="EL50" s="182"/>
      <c r="EM50" s="182"/>
      <c r="EN50" s="182"/>
      <c r="EO50" s="182"/>
      <c r="EP50" s="182"/>
      <c r="EQ50" s="182"/>
      <c r="ER50" s="182"/>
      <c r="ES50" s="182"/>
      <c r="ET50" s="182"/>
      <c r="EU50" s="182"/>
      <c r="EV50" s="182"/>
      <c r="EW50" s="182"/>
      <c r="EX50" s="182"/>
      <c r="EY50" s="182"/>
      <c r="EZ50" s="182"/>
      <c r="FA50" s="182"/>
      <c r="FB50" s="182"/>
      <c r="FC50" s="182"/>
      <c r="FD50" s="182"/>
      <c r="FE50" s="182"/>
      <c r="FF50" s="182"/>
      <c r="FG50" s="182"/>
      <c r="FH50" s="182"/>
      <c r="FI50" s="182"/>
      <c r="FJ50" s="182"/>
      <c r="FK50" s="182"/>
      <c r="FL50" s="182"/>
      <c r="FM50" s="182"/>
      <c r="FN50" s="182"/>
      <c r="FO50" s="182"/>
      <c r="FP50" s="182"/>
      <c r="FQ50" s="182"/>
      <c r="FR50" s="182"/>
      <c r="FS50" s="182"/>
      <c r="FT50" s="182"/>
      <c r="FU50" s="182"/>
      <c r="FV50" s="182"/>
      <c r="FW50" s="182"/>
      <c r="FX50" s="182"/>
      <c r="FY50" s="182"/>
      <c r="FZ50" s="182"/>
      <c r="GA50" s="182"/>
      <c r="GB50" s="182"/>
      <c r="GC50" s="182"/>
      <c r="GD50" s="182"/>
      <c r="GE50" s="182"/>
      <c r="GF50" s="182"/>
      <c r="GG50" s="182"/>
      <c r="GH50" s="182"/>
      <c r="GI50" s="182"/>
    </row>
    <row r="51" spans="1:191" s="183" customFormat="1" ht="25.5" x14ac:dyDescent="0.2">
      <c r="A51" s="210" t="s">
        <v>38356</v>
      </c>
      <c r="B51" s="210" t="s">
        <v>18899</v>
      </c>
      <c r="C51" s="224" t="s">
        <v>22174</v>
      </c>
      <c r="D51" s="211" t="s">
        <v>16</v>
      </c>
      <c r="E51" s="211">
        <v>5</v>
      </c>
      <c r="F51" s="211"/>
      <c r="G51" s="211">
        <v>0.3</v>
      </c>
      <c r="H51" s="212"/>
      <c r="I51" s="213"/>
      <c r="J51" s="272">
        <v>1652.45</v>
      </c>
      <c r="K51" s="112">
        <f t="shared" si="11"/>
        <v>8262.25</v>
      </c>
      <c r="L51" s="273">
        <f>BDI!$E$17</f>
        <v>0.11260000000000001</v>
      </c>
      <c r="M51" s="213"/>
      <c r="N51" s="213"/>
      <c r="O51" s="114">
        <f t="shared" si="12"/>
        <v>1838.52</v>
      </c>
      <c r="P51" s="113">
        <f t="shared" si="13"/>
        <v>2757.78</v>
      </c>
      <c r="Q51" s="209"/>
      <c r="R51" s="203"/>
      <c r="S51" s="182"/>
      <c r="T51" s="182"/>
      <c r="U51" s="182"/>
      <c r="V51" s="182"/>
      <c r="W51" s="182"/>
      <c r="X51" s="182"/>
      <c r="Y51" s="182"/>
      <c r="Z51" s="182"/>
      <c r="AA51" s="182"/>
      <c r="AB51" s="182"/>
      <c r="AC51" s="182"/>
      <c r="AD51" s="182"/>
      <c r="AE51" s="182"/>
      <c r="AF51" s="182"/>
      <c r="AG51" s="182"/>
      <c r="AH51" s="182"/>
      <c r="AI51" s="182"/>
      <c r="AJ51" s="182"/>
      <c r="AK51" s="182"/>
      <c r="AL51" s="182"/>
      <c r="AM51" s="182"/>
      <c r="AN51" s="182"/>
      <c r="AO51" s="182"/>
      <c r="AP51" s="182"/>
      <c r="AQ51" s="182"/>
      <c r="AR51" s="182"/>
      <c r="AS51" s="182"/>
      <c r="AT51" s="182"/>
      <c r="AU51" s="182"/>
      <c r="AV51" s="182"/>
      <c r="AW51" s="182"/>
      <c r="AX51" s="182"/>
      <c r="AY51" s="182"/>
      <c r="AZ51" s="182"/>
      <c r="BA51" s="182"/>
      <c r="BB51" s="182"/>
      <c r="BC51" s="182"/>
      <c r="BD51" s="182"/>
      <c r="BE51" s="182"/>
      <c r="BF51" s="182"/>
      <c r="BG51" s="182"/>
      <c r="BH51" s="182"/>
      <c r="BI51" s="182"/>
      <c r="BJ51" s="182"/>
      <c r="BK51" s="182"/>
      <c r="BL51" s="182"/>
      <c r="BM51" s="182"/>
      <c r="BN51" s="182"/>
      <c r="BO51" s="182"/>
      <c r="BP51" s="182"/>
      <c r="BQ51" s="182"/>
      <c r="BR51" s="182"/>
      <c r="BS51" s="182"/>
      <c r="BT51" s="182"/>
      <c r="BU51" s="182"/>
      <c r="BV51" s="182"/>
      <c r="BW51" s="182"/>
      <c r="BX51" s="182"/>
      <c r="BY51" s="182"/>
      <c r="BZ51" s="182"/>
      <c r="CA51" s="182"/>
      <c r="CB51" s="182"/>
      <c r="CC51" s="182"/>
      <c r="CD51" s="182"/>
      <c r="CE51" s="182"/>
      <c r="CF51" s="182"/>
      <c r="CG51" s="182"/>
      <c r="CH51" s="182"/>
      <c r="CI51" s="182"/>
      <c r="CJ51" s="182"/>
      <c r="CK51" s="182"/>
      <c r="CL51" s="182"/>
      <c r="CM51" s="182"/>
      <c r="CN51" s="182"/>
      <c r="CO51" s="182"/>
      <c r="CP51" s="182"/>
      <c r="CQ51" s="182"/>
      <c r="CR51" s="182"/>
      <c r="CS51" s="182"/>
      <c r="CT51" s="182"/>
      <c r="CU51" s="182"/>
      <c r="CV51" s="182"/>
      <c r="CW51" s="182"/>
      <c r="CX51" s="182"/>
      <c r="CY51" s="182"/>
      <c r="CZ51" s="182"/>
      <c r="DA51" s="182"/>
      <c r="DB51" s="182"/>
      <c r="DC51" s="182"/>
      <c r="DD51" s="182"/>
      <c r="DE51" s="182"/>
      <c r="DF51" s="182"/>
      <c r="DG51" s="182"/>
      <c r="DH51" s="182"/>
      <c r="DI51" s="182"/>
      <c r="DJ51" s="182"/>
      <c r="DK51" s="182"/>
      <c r="DL51" s="182"/>
      <c r="DM51" s="182"/>
      <c r="DN51" s="182"/>
      <c r="DO51" s="182"/>
      <c r="DP51" s="182"/>
      <c r="DQ51" s="182"/>
      <c r="DR51" s="182"/>
      <c r="DS51" s="182"/>
      <c r="DT51" s="182"/>
      <c r="DU51" s="182"/>
      <c r="DV51" s="182"/>
      <c r="DW51" s="182"/>
      <c r="DX51" s="182"/>
      <c r="DY51" s="182"/>
      <c r="DZ51" s="182"/>
      <c r="EA51" s="182"/>
      <c r="EB51" s="182"/>
      <c r="EC51" s="182"/>
      <c r="ED51" s="182"/>
      <c r="EE51" s="182"/>
      <c r="EF51" s="182"/>
      <c r="EG51" s="182"/>
      <c r="EH51" s="182"/>
      <c r="EI51" s="182"/>
      <c r="EJ51" s="182"/>
      <c r="EK51" s="182"/>
      <c r="EL51" s="182"/>
      <c r="EM51" s="182"/>
      <c r="EN51" s="182"/>
      <c r="EO51" s="182"/>
      <c r="EP51" s="182"/>
      <c r="EQ51" s="182"/>
      <c r="ER51" s="182"/>
      <c r="ES51" s="182"/>
      <c r="ET51" s="182"/>
      <c r="EU51" s="182"/>
      <c r="EV51" s="182"/>
      <c r="EW51" s="182"/>
      <c r="EX51" s="182"/>
      <c r="EY51" s="182"/>
      <c r="EZ51" s="182"/>
      <c r="FA51" s="182"/>
      <c r="FB51" s="182"/>
      <c r="FC51" s="182"/>
      <c r="FD51" s="182"/>
      <c r="FE51" s="182"/>
      <c r="FF51" s="182"/>
      <c r="FG51" s="182"/>
      <c r="FH51" s="182"/>
      <c r="FI51" s="182"/>
      <c r="FJ51" s="182"/>
      <c r="FK51" s="182"/>
      <c r="FL51" s="182"/>
      <c r="FM51" s="182"/>
      <c r="FN51" s="182"/>
      <c r="FO51" s="182"/>
      <c r="FP51" s="182"/>
      <c r="FQ51" s="182"/>
      <c r="FR51" s="182"/>
      <c r="FS51" s="182"/>
      <c r="FT51" s="182"/>
      <c r="FU51" s="182"/>
      <c r="FV51" s="182"/>
      <c r="FW51" s="182"/>
      <c r="FX51" s="182"/>
      <c r="FY51" s="182"/>
      <c r="FZ51" s="182"/>
      <c r="GA51" s="182"/>
      <c r="GB51" s="182"/>
      <c r="GC51" s="182"/>
      <c r="GD51" s="182"/>
      <c r="GE51" s="182"/>
      <c r="GF51" s="182"/>
      <c r="GG51" s="182"/>
      <c r="GH51" s="182"/>
      <c r="GI51" s="182"/>
    </row>
    <row r="52" spans="1:191" s="183" customFormat="1" ht="25.5" x14ac:dyDescent="0.2">
      <c r="A52" s="210" t="s">
        <v>38357</v>
      </c>
      <c r="B52" s="210" t="s">
        <v>18900</v>
      </c>
      <c r="C52" s="224" t="s">
        <v>22175</v>
      </c>
      <c r="D52" s="211" t="s">
        <v>16</v>
      </c>
      <c r="E52" s="211">
        <v>4</v>
      </c>
      <c r="F52" s="211"/>
      <c r="G52" s="211">
        <v>0.3</v>
      </c>
      <c r="H52" s="212"/>
      <c r="I52" s="213"/>
      <c r="J52" s="272">
        <v>2420.89</v>
      </c>
      <c r="K52" s="112">
        <f t="shared" si="11"/>
        <v>9683.56</v>
      </c>
      <c r="L52" s="273">
        <f>BDI!$E$17</f>
        <v>0.11260000000000001</v>
      </c>
      <c r="M52" s="213"/>
      <c r="N52" s="213"/>
      <c r="O52" s="114">
        <f t="shared" si="12"/>
        <v>2693.48</v>
      </c>
      <c r="P52" s="113">
        <f t="shared" si="13"/>
        <v>3232.18</v>
      </c>
      <c r="Q52" s="209"/>
      <c r="R52" s="203"/>
      <c r="S52" s="182"/>
      <c r="T52" s="182"/>
      <c r="U52" s="182"/>
      <c r="V52" s="182"/>
      <c r="W52" s="182"/>
      <c r="X52" s="182"/>
      <c r="Y52" s="182"/>
      <c r="Z52" s="182"/>
      <c r="AA52" s="182"/>
      <c r="AB52" s="182"/>
      <c r="AC52" s="182"/>
      <c r="AD52" s="182"/>
      <c r="AE52" s="182"/>
      <c r="AF52" s="182"/>
      <c r="AG52" s="182"/>
      <c r="AH52" s="182"/>
      <c r="AI52" s="182"/>
      <c r="AJ52" s="182"/>
      <c r="AK52" s="182"/>
      <c r="AL52" s="182"/>
      <c r="AM52" s="182"/>
      <c r="AN52" s="182"/>
      <c r="AO52" s="182"/>
      <c r="AP52" s="182"/>
      <c r="AQ52" s="182"/>
      <c r="AR52" s="182"/>
      <c r="AS52" s="182"/>
      <c r="AT52" s="182"/>
      <c r="AU52" s="182"/>
      <c r="AV52" s="182"/>
      <c r="AW52" s="182"/>
      <c r="AX52" s="182"/>
      <c r="AY52" s="182"/>
      <c r="AZ52" s="182"/>
      <c r="BA52" s="182"/>
      <c r="BB52" s="182"/>
      <c r="BC52" s="182"/>
      <c r="BD52" s="182"/>
      <c r="BE52" s="182"/>
      <c r="BF52" s="182"/>
      <c r="BG52" s="182"/>
      <c r="BH52" s="182"/>
      <c r="BI52" s="182"/>
      <c r="BJ52" s="182"/>
      <c r="BK52" s="182"/>
      <c r="BL52" s="182"/>
      <c r="BM52" s="182"/>
      <c r="BN52" s="182"/>
      <c r="BO52" s="182"/>
      <c r="BP52" s="182"/>
      <c r="BQ52" s="182"/>
      <c r="BR52" s="182"/>
      <c r="BS52" s="182"/>
      <c r="BT52" s="182"/>
      <c r="BU52" s="182"/>
      <c r="BV52" s="182"/>
      <c r="BW52" s="182"/>
      <c r="BX52" s="182"/>
      <c r="BY52" s="182"/>
      <c r="BZ52" s="182"/>
      <c r="CA52" s="182"/>
      <c r="CB52" s="182"/>
      <c r="CC52" s="182"/>
      <c r="CD52" s="182"/>
      <c r="CE52" s="182"/>
      <c r="CF52" s="182"/>
      <c r="CG52" s="182"/>
      <c r="CH52" s="182"/>
      <c r="CI52" s="182"/>
      <c r="CJ52" s="182"/>
      <c r="CK52" s="182"/>
      <c r="CL52" s="182"/>
      <c r="CM52" s="182"/>
      <c r="CN52" s="182"/>
      <c r="CO52" s="182"/>
      <c r="CP52" s="182"/>
      <c r="CQ52" s="182"/>
      <c r="CR52" s="182"/>
      <c r="CS52" s="182"/>
      <c r="CT52" s="182"/>
      <c r="CU52" s="182"/>
      <c r="CV52" s="182"/>
      <c r="CW52" s="182"/>
      <c r="CX52" s="182"/>
      <c r="CY52" s="182"/>
      <c r="CZ52" s="182"/>
      <c r="DA52" s="182"/>
      <c r="DB52" s="182"/>
      <c r="DC52" s="182"/>
      <c r="DD52" s="182"/>
      <c r="DE52" s="182"/>
      <c r="DF52" s="182"/>
      <c r="DG52" s="182"/>
      <c r="DH52" s="182"/>
      <c r="DI52" s="182"/>
      <c r="DJ52" s="182"/>
      <c r="DK52" s="182"/>
      <c r="DL52" s="182"/>
      <c r="DM52" s="182"/>
      <c r="DN52" s="182"/>
      <c r="DO52" s="182"/>
      <c r="DP52" s="182"/>
      <c r="DQ52" s="182"/>
      <c r="DR52" s="182"/>
      <c r="DS52" s="182"/>
      <c r="DT52" s="182"/>
      <c r="DU52" s="182"/>
      <c r="DV52" s="182"/>
      <c r="DW52" s="182"/>
      <c r="DX52" s="182"/>
      <c r="DY52" s="182"/>
      <c r="DZ52" s="182"/>
      <c r="EA52" s="182"/>
      <c r="EB52" s="182"/>
      <c r="EC52" s="182"/>
      <c r="ED52" s="182"/>
      <c r="EE52" s="182"/>
      <c r="EF52" s="182"/>
      <c r="EG52" s="182"/>
      <c r="EH52" s="182"/>
      <c r="EI52" s="182"/>
      <c r="EJ52" s="182"/>
      <c r="EK52" s="182"/>
      <c r="EL52" s="182"/>
      <c r="EM52" s="182"/>
      <c r="EN52" s="182"/>
      <c r="EO52" s="182"/>
      <c r="EP52" s="182"/>
      <c r="EQ52" s="182"/>
      <c r="ER52" s="182"/>
      <c r="ES52" s="182"/>
      <c r="ET52" s="182"/>
      <c r="EU52" s="182"/>
      <c r="EV52" s="182"/>
      <c r="EW52" s="182"/>
      <c r="EX52" s="182"/>
      <c r="EY52" s="182"/>
      <c r="EZ52" s="182"/>
      <c r="FA52" s="182"/>
      <c r="FB52" s="182"/>
      <c r="FC52" s="182"/>
      <c r="FD52" s="182"/>
      <c r="FE52" s="182"/>
      <c r="FF52" s="182"/>
      <c r="FG52" s="182"/>
      <c r="FH52" s="182"/>
      <c r="FI52" s="182"/>
      <c r="FJ52" s="182"/>
      <c r="FK52" s="182"/>
      <c r="FL52" s="182"/>
      <c r="FM52" s="182"/>
      <c r="FN52" s="182"/>
      <c r="FO52" s="182"/>
      <c r="FP52" s="182"/>
      <c r="FQ52" s="182"/>
      <c r="FR52" s="182"/>
      <c r="FS52" s="182"/>
      <c r="FT52" s="182"/>
      <c r="FU52" s="182"/>
      <c r="FV52" s="182"/>
      <c r="FW52" s="182"/>
      <c r="FX52" s="182"/>
      <c r="FY52" s="182"/>
      <c r="FZ52" s="182"/>
      <c r="GA52" s="182"/>
      <c r="GB52" s="182"/>
      <c r="GC52" s="182"/>
      <c r="GD52" s="182"/>
      <c r="GE52" s="182"/>
      <c r="GF52" s="182"/>
      <c r="GG52" s="182"/>
      <c r="GH52" s="182"/>
      <c r="GI52" s="182"/>
    </row>
    <row r="53" spans="1:191" s="183" customFormat="1" ht="25.5" x14ac:dyDescent="0.2">
      <c r="A53" s="210" t="s">
        <v>38358</v>
      </c>
      <c r="B53" s="210" t="s">
        <v>18901</v>
      </c>
      <c r="C53" s="224" t="s">
        <v>22176</v>
      </c>
      <c r="D53" s="211" t="s">
        <v>16</v>
      </c>
      <c r="E53" s="211">
        <v>10</v>
      </c>
      <c r="F53" s="211"/>
      <c r="G53" s="211">
        <v>0.3</v>
      </c>
      <c r="H53" s="212"/>
      <c r="I53" s="213"/>
      <c r="J53" s="272">
        <v>7445.6</v>
      </c>
      <c r="K53" s="112">
        <f t="shared" si="11"/>
        <v>74456</v>
      </c>
      <c r="L53" s="273">
        <f>BDI!$E$17</f>
        <v>0.11260000000000001</v>
      </c>
      <c r="M53" s="213"/>
      <c r="N53" s="213"/>
      <c r="O53" s="114">
        <f t="shared" si="12"/>
        <v>8283.9699999999993</v>
      </c>
      <c r="P53" s="113">
        <f t="shared" si="13"/>
        <v>24851.91</v>
      </c>
      <c r="Q53" s="209"/>
      <c r="R53" s="203"/>
      <c r="S53" s="182"/>
      <c r="T53" s="182"/>
      <c r="U53" s="182"/>
      <c r="V53" s="182"/>
      <c r="W53" s="182"/>
      <c r="X53" s="182"/>
      <c r="Y53" s="182"/>
      <c r="Z53" s="182"/>
      <c r="AA53" s="182"/>
      <c r="AB53" s="182"/>
      <c r="AC53" s="182"/>
      <c r="AD53" s="182"/>
      <c r="AE53" s="182"/>
      <c r="AF53" s="182"/>
      <c r="AG53" s="182"/>
      <c r="AH53" s="182"/>
      <c r="AI53" s="182"/>
      <c r="AJ53" s="182"/>
      <c r="AK53" s="182"/>
      <c r="AL53" s="182"/>
      <c r="AM53" s="182"/>
      <c r="AN53" s="182"/>
      <c r="AO53" s="182"/>
      <c r="AP53" s="182"/>
      <c r="AQ53" s="182"/>
      <c r="AR53" s="182"/>
      <c r="AS53" s="182"/>
      <c r="AT53" s="182"/>
      <c r="AU53" s="182"/>
      <c r="AV53" s="182"/>
      <c r="AW53" s="182"/>
      <c r="AX53" s="182"/>
      <c r="AY53" s="182"/>
      <c r="AZ53" s="182"/>
      <c r="BA53" s="182"/>
      <c r="BB53" s="182"/>
      <c r="BC53" s="182"/>
      <c r="BD53" s="182"/>
      <c r="BE53" s="182"/>
      <c r="BF53" s="182"/>
      <c r="BG53" s="182"/>
      <c r="BH53" s="182"/>
      <c r="BI53" s="182"/>
      <c r="BJ53" s="182"/>
      <c r="BK53" s="182"/>
      <c r="BL53" s="182"/>
      <c r="BM53" s="182"/>
      <c r="BN53" s="182"/>
      <c r="BO53" s="182"/>
      <c r="BP53" s="182"/>
      <c r="BQ53" s="182"/>
      <c r="BR53" s="182"/>
      <c r="BS53" s="182"/>
      <c r="BT53" s="182"/>
      <c r="BU53" s="182"/>
      <c r="BV53" s="182"/>
      <c r="BW53" s="182"/>
      <c r="BX53" s="182"/>
      <c r="BY53" s="182"/>
      <c r="BZ53" s="182"/>
      <c r="CA53" s="182"/>
      <c r="CB53" s="182"/>
      <c r="CC53" s="182"/>
      <c r="CD53" s="182"/>
      <c r="CE53" s="182"/>
      <c r="CF53" s="182"/>
      <c r="CG53" s="182"/>
      <c r="CH53" s="182"/>
      <c r="CI53" s="182"/>
      <c r="CJ53" s="182"/>
      <c r="CK53" s="182"/>
      <c r="CL53" s="182"/>
      <c r="CM53" s="182"/>
      <c r="CN53" s="182"/>
      <c r="CO53" s="182"/>
      <c r="CP53" s="182"/>
      <c r="CQ53" s="182"/>
      <c r="CR53" s="182"/>
      <c r="CS53" s="182"/>
      <c r="CT53" s="182"/>
      <c r="CU53" s="182"/>
      <c r="CV53" s="182"/>
      <c r="CW53" s="182"/>
      <c r="CX53" s="182"/>
      <c r="CY53" s="182"/>
      <c r="CZ53" s="182"/>
      <c r="DA53" s="182"/>
      <c r="DB53" s="182"/>
      <c r="DC53" s="182"/>
      <c r="DD53" s="182"/>
      <c r="DE53" s="182"/>
      <c r="DF53" s="182"/>
      <c r="DG53" s="182"/>
      <c r="DH53" s="182"/>
      <c r="DI53" s="182"/>
      <c r="DJ53" s="182"/>
      <c r="DK53" s="182"/>
      <c r="DL53" s="182"/>
      <c r="DM53" s="182"/>
      <c r="DN53" s="182"/>
      <c r="DO53" s="182"/>
      <c r="DP53" s="182"/>
      <c r="DQ53" s="182"/>
      <c r="DR53" s="182"/>
      <c r="DS53" s="182"/>
      <c r="DT53" s="182"/>
      <c r="DU53" s="182"/>
      <c r="DV53" s="182"/>
      <c r="DW53" s="182"/>
      <c r="DX53" s="182"/>
      <c r="DY53" s="182"/>
      <c r="DZ53" s="182"/>
      <c r="EA53" s="182"/>
      <c r="EB53" s="182"/>
      <c r="EC53" s="182"/>
      <c r="ED53" s="182"/>
      <c r="EE53" s="182"/>
      <c r="EF53" s="182"/>
      <c r="EG53" s="182"/>
      <c r="EH53" s="182"/>
      <c r="EI53" s="182"/>
      <c r="EJ53" s="182"/>
      <c r="EK53" s="182"/>
      <c r="EL53" s="182"/>
      <c r="EM53" s="182"/>
      <c r="EN53" s="182"/>
      <c r="EO53" s="182"/>
      <c r="EP53" s="182"/>
      <c r="EQ53" s="182"/>
      <c r="ER53" s="182"/>
      <c r="ES53" s="182"/>
      <c r="ET53" s="182"/>
      <c r="EU53" s="182"/>
      <c r="EV53" s="182"/>
      <c r="EW53" s="182"/>
      <c r="EX53" s="182"/>
      <c r="EY53" s="182"/>
      <c r="EZ53" s="182"/>
      <c r="FA53" s="182"/>
      <c r="FB53" s="182"/>
      <c r="FC53" s="182"/>
      <c r="FD53" s="182"/>
      <c r="FE53" s="182"/>
      <c r="FF53" s="182"/>
      <c r="FG53" s="182"/>
      <c r="FH53" s="182"/>
      <c r="FI53" s="182"/>
      <c r="FJ53" s="182"/>
      <c r="FK53" s="182"/>
      <c r="FL53" s="182"/>
      <c r="FM53" s="182"/>
      <c r="FN53" s="182"/>
      <c r="FO53" s="182"/>
      <c r="FP53" s="182"/>
      <c r="FQ53" s="182"/>
      <c r="FR53" s="182"/>
      <c r="FS53" s="182"/>
      <c r="FT53" s="182"/>
      <c r="FU53" s="182"/>
      <c r="FV53" s="182"/>
      <c r="FW53" s="182"/>
      <c r="FX53" s="182"/>
      <c r="FY53" s="182"/>
      <c r="FZ53" s="182"/>
      <c r="GA53" s="182"/>
      <c r="GB53" s="182"/>
      <c r="GC53" s="182"/>
      <c r="GD53" s="182"/>
      <c r="GE53" s="182"/>
      <c r="GF53" s="182"/>
      <c r="GG53" s="182"/>
      <c r="GH53" s="182"/>
      <c r="GI53" s="182"/>
    </row>
    <row r="54" spans="1:191" s="183" customFormat="1" ht="25.5" x14ac:dyDescent="0.2">
      <c r="A54" s="210" t="s">
        <v>38359</v>
      </c>
      <c r="B54" s="210" t="s">
        <v>18902</v>
      </c>
      <c r="C54" s="224" t="s">
        <v>22177</v>
      </c>
      <c r="D54" s="211" t="s">
        <v>16</v>
      </c>
      <c r="E54" s="211">
        <v>30</v>
      </c>
      <c r="F54" s="211"/>
      <c r="G54" s="211">
        <v>0.3</v>
      </c>
      <c r="H54" s="212"/>
      <c r="I54" s="213"/>
      <c r="J54" s="272">
        <v>573.82000000000005</v>
      </c>
      <c r="K54" s="112">
        <f t="shared" si="11"/>
        <v>17214.599999999999</v>
      </c>
      <c r="L54" s="273">
        <f>BDI!$E$17</f>
        <v>0.11260000000000001</v>
      </c>
      <c r="M54" s="213"/>
      <c r="N54" s="213"/>
      <c r="O54" s="114">
        <f t="shared" si="12"/>
        <v>638.42999999999995</v>
      </c>
      <c r="P54" s="113">
        <f t="shared" si="13"/>
        <v>5745.87</v>
      </c>
      <c r="Q54" s="209"/>
      <c r="R54" s="203"/>
      <c r="S54" s="182"/>
      <c r="T54" s="182"/>
      <c r="U54" s="182"/>
      <c r="V54" s="182"/>
      <c r="W54" s="182"/>
      <c r="X54" s="182"/>
      <c r="Y54" s="182"/>
      <c r="Z54" s="182"/>
      <c r="AA54" s="182"/>
      <c r="AB54" s="182"/>
      <c r="AC54" s="182"/>
      <c r="AD54" s="182"/>
      <c r="AE54" s="182"/>
      <c r="AF54" s="182"/>
      <c r="AG54" s="182"/>
      <c r="AH54" s="182"/>
      <c r="AI54" s="182"/>
      <c r="AJ54" s="182"/>
      <c r="AK54" s="182"/>
      <c r="AL54" s="182"/>
      <c r="AM54" s="182"/>
      <c r="AN54" s="182"/>
      <c r="AO54" s="182"/>
      <c r="AP54" s="182"/>
      <c r="AQ54" s="182"/>
      <c r="AR54" s="182"/>
      <c r="AS54" s="182"/>
      <c r="AT54" s="182"/>
      <c r="AU54" s="182"/>
      <c r="AV54" s="182"/>
      <c r="AW54" s="182"/>
      <c r="AX54" s="182"/>
      <c r="AY54" s="182"/>
      <c r="AZ54" s="182"/>
      <c r="BA54" s="182"/>
      <c r="BB54" s="182"/>
      <c r="BC54" s="182"/>
      <c r="BD54" s="182"/>
      <c r="BE54" s="182"/>
      <c r="BF54" s="182"/>
      <c r="BG54" s="182"/>
      <c r="BH54" s="182"/>
      <c r="BI54" s="182"/>
      <c r="BJ54" s="182"/>
      <c r="BK54" s="182"/>
      <c r="BL54" s="182"/>
      <c r="BM54" s="182"/>
      <c r="BN54" s="182"/>
      <c r="BO54" s="182"/>
      <c r="BP54" s="182"/>
      <c r="BQ54" s="182"/>
      <c r="BR54" s="182"/>
      <c r="BS54" s="182"/>
      <c r="BT54" s="182"/>
      <c r="BU54" s="182"/>
      <c r="BV54" s="182"/>
      <c r="BW54" s="182"/>
      <c r="BX54" s="182"/>
      <c r="BY54" s="182"/>
      <c r="BZ54" s="182"/>
      <c r="CA54" s="182"/>
      <c r="CB54" s="182"/>
      <c r="CC54" s="182"/>
      <c r="CD54" s="182"/>
      <c r="CE54" s="182"/>
      <c r="CF54" s="182"/>
      <c r="CG54" s="182"/>
      <c r="CH54" s="182"/>
      <c r="CI54" s="182"/>
      <c r="CJ54" s="182"/>
      <c r="CK54" s="182"/>
      <c r="CL54" s="182"/>
      <c r="CM54" s="182"/>
      <c r="CN54" s="182"/>
      <c r="CO54" s="182"/>
      <c r="CP54" s="182"/>
      <c r="CQ54" s="182"/>
      <c r="CR54" s="182"/>
      <c r="CS54" s="182"/>
      <c r="CT54" s="182"/>
      <c r="CU54" s="182"/>
      <c r="CV54" s="182"/>
      <c r="CW54" s="182"/>
      <c r="CX54" s="182"/>
      <c r="CY54" s="182"/>
      <c r="CZ54" s="182"/>
      <c r="DA54" s="182"/>
      <c r="DB54" s="182"/>
      <c r="DC54" s="182"/>
      <c r="DD54" s="182"/>
      <c r="DE54" s="182"/>
      <c r="DF54" s="182"/>
      <c r="DG54" s="182"/>
      <c r="DH54" s="182"/>
      <c r="DI54" s="182"/>
      <c r="DJ54" s="182"/>
      <c r="DK54" s="182"/>
      <c r="DL54" s="182"/>
      <c r="DM54" s="182"/>
      <c r="DN54" s="182"/>
      <c r="DO54" s="182"/>
      <c r="DP54" s="182"/>
      <c r="DQ54" s="182"/>
      <c r="DR54" s="182"/>
      <c r="DS54" s="182"/>
      <c r="DT54" s="182"/>
      <c r="DU54" s="182"/>
      <c r="DV54" s="182"/>
      <c r="DW54" s="182"/>
      <c r="DX54" s="182"/>
      <c r="DY54" s="182"/>
      <c r="DZ54" s="182"/>
      <c r="EA54" s="182"/>
      <c r="EB54" s="182"/>
      <c r="EC54" s="182"/>
      <c r="ED54" s="182"/>
      <c r="EE54" s="182"/>
      <c r="EF54" s="182"/>
      <c r="EG54" s="182"/>
      <c r="EH54" s="182"/>
      <c r="EI54" s="182"/>
      <c r="EJ54" s="182"/>
      <c r="EK54" s="182"/>
      <c r="EL54" s="182"/>
      <c r="EM54" s="182"/>
      <c r="EN54" s="182"/>
      <c r="EO54" s="182"/>
      <c r="EP54" s="182"/>
      <c r="EQ54" s="182"/>
      <c r="ER54" s="182"/>
      <c r="ES54" s="182"/>
      <c r="ET54" s="182"/>
      <c r="EU54" s="182"/>
      <c r="EV54" s="182"/>
      <c r="EW54" s="182"/>
      <c r="EX54" s="182"/>
      <c r="EY54" s="182"/>
      <c r="EZ54" s="182"/>
      <c r="FA54" s="182"/>
      <c r="FB54" s="182"/>
      <c r="FC54" s="182"/>
      <c r="FD54" s="182"/>
      <c r="FE54" s="182"/>
      <c r="FF54" s="182"/>
      <c r="FG54" s="182"/>
      <c r="FH54" s="182"/>
      <c r="FI54" s="182"/>
      <c r="FJ54" s="182"/>
      <c r="FK54" s="182"/>
      <c r="FL54" s="182"/>
      <c r="FM54" s="182"/>
      <c r="FN54" s="182"/>
      <c r="FO54" s="182"/>
      <c r="FP54" s="182"/>
      <c r="FQ54" s="182"/>
      <c r="FR54" s="182"/>
      <c r="FS54" s="182"/>
      <c r="FT54" s="182"/>
      <c r="FU54" s="182"/>
      <c r="FV54" s="182"/>
      <c r="FW54" s="182"/>
      <c r="FX54" s="182"/>
      <c r="FY54" s="182"/>
      <c r="FZ54" s="182"/>
      <c r="GA54" s="182"/>
      <c r="GB54" s="182"/>
      <c r="GC54" s="182"/>
      <c r="GD54" s="182"/>
      <c r="GE54" s="182"/>
      <c r="GF54" s="182"/>
      <c r="GG54" s="182"/>
      <c r="GH54" s="182"/>
      <c r="GI54" s="182"/>
    </row>
    <row r="55" spans="1:191" s="183" customFormat="1" ht="25.5" x14ac:dyDescent="0.2">
      <c r="A55" s="210" t="s">
        <v>38360</v>
      </c>
      <c r="B55" s="210" t="s">
        <v>18903</v>
      </c>
      <c r="C55" s="224" t="s">
        <v>22178</v>
      </c>
      <c r="D55" s="211" t="s">
        <v>16</v>
      </c>
      <c r="E55" s="211">
        <v>30</v>
      </c>
      <c r="F55" s="211"/>
      <c r="G55" s="211">
        <v>0.3</v>
      </c>
      <c r="H55" s="212"/>
      <c r="I55" s="213"/>
      <c r="J55" s="272">
        <v>788.45</v>
      </c>
      <c r="K55" s="112">
        <f t="shared" si="11"/>
        <v>23653.5</v>
      </c>
      <c r="L55" s="273">
        <f>BDI!$E$17</f>
        <v>0.11260000000000001</v>
      </c>
      <c r="M55" s="213"/>
      <c r="N55" s="213"/>
      <c r="O55" s="114">
        <f t="shared" si="12"/>
        <v>877.23</v>
      </c>
      <c r="P55" s="113">
        <f t="shared" si="13"/>
        <v>7895.07</v>
      </c>
      <c r="Q55" s="209"/>
      <c r="R55" s="203"/>
      <c r="S55" s="182"/>
      <c r="T55" s="182"/>
      <c r="U55" s="182"/>
      <c r="V55" s="182"/>
      <c r="W55" s="182"/>
      <c r="X55" s="182"/>
      <c r="Y55" s="182"/>
      <c r="Z55" s="182"/>
      <c r="AA55" s="182"/>
      <c r="AB55" s="182"/>
      <c r="AC55" s="182"/>
      <c r="AD55" s="182"/>
      <c r="AE55" s="182"/>
      <c r="AF55" s="182"/>
      <c r="AG55" s="182"/>
      <c r="AH55" s="182"/>
      <c r="AI55" s="182"/>
      <c r="AJ55" s="182"/>
      <c r="AK55" s="182"/>
      <c r="AL55" s="182"/>
      <c r="AM55" s="182"/>
      <c r="AN55" s="182"/>
      <c r="AO55" s="182"/>
      <c r="AP55" s="182"/>
      <c r="AQ55" s="182"/>
      <c r="AR55" s="182"/>
      <c r="AS55" s="182"/>
      <c r="AT55" s="182"/>
      <c r="AU55" s="182"/>
      <c r="AV55" s="182"/>
      <c r="AW55" s="182"/>
      <c r="AX55" s="182"/>
      <c r="AY55" s="182"/>
      <c r="AZ55" s="182"/>
      <c r="BA55" s="182"/>
      <c r="BB55" s="182"/>
      <c r="BC55" s="182"/>
      <c r="BD55" s="182"/>
      <c r="BE55" s="182"/>
      <c r="BF55" s="182"/>
      <c r="BG55" s="182"/>
      <c r="BH55" s="182"/>
      <c r="BI55" s="182"/>
      <c r="BJ55" s="182"/>
      <c r="BK55" s="182"/>
      <c r="BL55" s="182"/>
      <c r="BM55" s="182"/>
      <c r="BN55" s="182"/>
      <c r="BO55" s="182"/>
      <c r="BP55" s="182"/>
      <c r="BQ55" s="182"/>
      <c r="BR55" s="182"/>
      <c r="BS55" s="182"/>
      <c r="BT55" s="182"/>
      <c r="BU55" s="182"/>
      <c r="BV55" s="182"/>
      <c r="BW55" s="182"/>
      <c r="BX55" s="182"/>
      <c r="BY55" s="182"/>
      <c r="BZ55" s="182"/>
      <c r="CA55" s="182"/>
      <c r="CB55" s="182"/>
      <c r="CC55" s="182"/>
      <c r="CD55" s="182"/>
      <c r="CE55" s="182"/>
      <c r="CF55" s="182"/>
      <c r="CG55" s="182"/>
      <c r="CH55" s="182"/>
      <c r="CI55" s="182"/>
      <c r="CJ55" s="182"/>
      <c r="CK55" s="182"/>
      <c r="CL55" s="182"/>
      <c r="CM55" s="182"/>
      <c r="CN55" s="182"/>
      <c r="CO55" s="182"/>
      <c r="CP55" s="182"/>
      <c r="CQ55" s="182"/>
      <c r="CR55" s="182"/>
      <c r="CS55" s="182"/>
      <c r="CT55" s="182"/>
      <c r="CU55" s="182"/>
      <c r="CV55" s="182"/>
      <c r="CW55" s="182"/>
      <c r="CX55" s="182"/>
      <c r="CY55" s="182"/>
      <c r="CZ55" s="182"/>
      <c r="DA55" s="182"/>
      <c r="DB55" s="182"/>
      <c r="DC55" s="182"/>
      <c r="DD55" s="182"/>
      <c r="DE55" s="182"/>
      <c r="DF55" s="182"/>
      <c r="DG55" s="182"/>
      <c r="DH55" s="182"/>
      <c r="DI55" s="182"/>
      <c r="DJ55" s="182"/>
      <c r="DK55" s="182"/>
      <c r="DL55" s="182"/>
      <c r="DM55" s="182"/>
      <c r="DN55" s="182"/>
      <c r="DO55" s="182"/>
      <c r="DP55" s="182"/>
      <c r="DQ55" s="182"/>
      <c r="DR55" s="182"/>
      <c r="DS55" s="182"/>
      <c r="DT55" s="182"/>
      <c r="DU55" s="182"/>
      <c r="DV55" s="182"/>
      <c r="DW55" s="182"/>
      <c r="DX55" s="182"/>
      <c r="DY55" s="182"/>
      <c r="DZ55" s="182"/>
      <c r="EA55" s="182"/>
      <c r="EB55" s="182"/>
      <c r="EC55" s="182"/>
      <c r="ED55" s="182"/>
      <c r="EE55" s="182"/>
      <c r="EF55" s="182"/>
      <c r="EG55" s="182"/>
      <c r="EH55" s="182"/>
      <c r="EI55" s="182"/>
      <c r="EJ55" s="182"/>
      <c r="EK55" s="182"/>
      <c r="EL55" s="182"/>
      <c r="EM55" s="182"/>
      <c r="EN55" s="182"/>
      <c r="EO55" s="182"/>
      <c r="EP55" s="182"/>
      <c r="EQ55" s="182"/>
      <c r="ER55" s="182"/>
      <c r="ES55" s="182"/>
      <c r="ET55" s="182"/>
      <c r="EU55" s="182"/>
      <c r="EV55" s="182"/>
      <c r="EW55" s="182"/>
      <c r="EX55" s="182"/>
      <c r="EY55" s="182"/>
      <c r="EZ55" s="182"/>
      <c r="FA55" s="182"/>
      <c r="FB55" s="182"/>
      <c r="FC55" s="182"/>
      <c r="FD55" s="182"/>
      <c r="FE55" s="182"/>
      <c r="FF55" s="182"/>
      <c r="FG55" s="182"/>
      <c r="FH55" s="182"/>
      <c r="FI55" s="182"/>
      <c r="FJ55" s="182"/>
      <c r="FK55" s="182"/>
      <c r="FL55" s="182"/>
      <c r="FM55" s="182"/>
      <c r="FN55" s="182"/>
      <c r="FO55" s="182"/>
      <c r="FP55" s="182"/>
      <c r="FQ55" s="182"/>
      <c r="FR55" s="182"/>
      <c r="FS55" s="182"/>
      <c r="FT55" s="182"/>
      <c r="FU55" s="182"/>
      <c r="FV55" s="182"/>
      <c r="FW55" s="182"/>
      <c r="FX55" s="182"/>
      <c r="FY55" s="182"/>
      <c r="FZ55" s="182"/>
      <c r="GA55" s="182"/>
      <c r="GB55" s="182"/>
      <c r="GC55" s="182"/>
      <c r="GD55" s="182"/>
      <c r="GE55" s="182"/>
      <c r="GF55" s="182"/>
      <c r="GG55" s="182"/>
      <c r="GH55" s="182"/>
      <c r="GI55" s="182"/>
    </row>
    <row r="56" spans="1:191" s="183" customFormat="1" ht="25.5" x14ac:dyDescent="0.2">
      <c r="A56" s="210" t="s">
        <v>38361</v>
      </c>
      <c r="B56" s="210" t="s">
        <v>18904</v>
      </c>
      <c r="C56" s="224" t="s">
        <v>22179</v>
      </c>
      <c r="D56" s="211" t="s">
        <v>16</v>
      </c>
      <c r="E56" s="211">
        <v>5</v>
      </c>
      <c r="F56" s="211"/>
      <c r="G56" s="211">
        <v>0.3</v>
      </c>
      <c r="H56" s="212"/>
      <c r="I56" s="213"/>
      <c r="J56" s="272">
        <v>1089.26</v>
      </c>
      <c r="K56" s="112">
        <f t="shared" si="11"/>
        <v>5446.3</v>
      </c>
      <c r="L56" s="273">
        <f>BDI!$E$17</f>
        <v>0.11260000000000001</v>
      </c>
      <c r="M56" s="213"/>
      <c r="N56" s="213"/>
      <c r="O56" s="114">
        <f t="shared" si="12"/>
        <v>1211.9100000000001</v>
      </c>
      <c r="P56" s="113">
        <f t="shared" si="13"/>
        <v>1817.87</v>
      </c>
      <c r="Q56" s="209"/>
      <c r="R56" s="203"/>
      <c r="S56" s="182"/>
      <c r="T56" s="182"/>
      <c r="U56" s="182"/>
      <c r="V56" s="182"/>
      <c r="W56" s="182"/>
      <c r="X56" s="182"/>
      <c r="Y56" s="182"/>
      <c r="Z56" s="182"/>
      <c r="AA56" s="182"/>
      <c r="AB56" s="182"/>
      <c r="AC56" s="182"/>
      <c r="AD56" s="182"/>
      <c r="AE56" s="182"/>
      <c r="AF56" s="182"/>
      <c r="AG56" s="182"/>
      <c r="AH56" s="182"/>
      <c r="AI56" s="182"/>
      <c r="AJ56" s="182"/>
      <c r="AK56" s="182"/>
      <c r="AL56" s="182"/>
      <c r="AM56" s="182"/>
      <c r="AN56" s="182"/>
      <c r="AO56" s="182"/>
      <c r="AP56" s="182"/>
      <c r="AQ56" s="182"/>
      <c r="AR56" s="182"/>
      <c r="AS56" s="182"/>
      <c r="AT56" s="182"/>
      <c r="AU56" s="182"/>
      <c r="AV56" s="182"/>
      <c r="AW56" s="182"/>
      <c r="AX56" s="182"/>
      <c r="AY56" s="182"/>
      <c r="AZ56" s="182"/>
      <c r="BA56" s="182"/>
      <c r="BB56" s="182"/>
      <c r="BC56" s="182"/>
      <c r="BD56" s="182"/>
      <c r="BE56" s="182"/>
      <c r="BF56" s="182"/>
      <c r="BG56" s="182"/>
      <c r="BH56" s="182"/>
      <c r="BI56" s="182"/>
      <c r="BJ56" s="182"/>
      <c r="BK56" s="182"/>
      <c r="BL56" s="182"/>
      <c r="BM56" s="182"/>
      <c r="BN56" s="182"/>
      <c r="BO56" s="182"/>
      <c r="BP56" s="182"/>
      <c r="BQ56" s="182"/>
      <c r="BR56" s="182"/>
      <c r="BS56" s="182"/>
      <c r="BT56" s="182"/>
      <c r="BU56" s="182"/>
      <c r="BV56" s="182"/>
      <c r="BW56" s="182"/>
      <c r="BX56" s="182"/>
      <c r="BY56" s="182"/>
      <c r="BZ56" s="182"/>
      <c r="CA56" s="182"/>
      <c r="CB56" s="182"/>
      <c r="CC56" s="182"/>
      <c r="CD56" s="182"/>
      <c r="CE56" s="182"/>
      <c r="CF56" s="182"/>
      <c r="CG56" s="182"/>
      <c r="CH56" s="182"/>
      <c r="CI56" s="182"/>
      <c r="CJ56" s="182"/>
      <c r="CK56" s="182"/>
      <c r="CL56" s="182"/>
      <c r="CM56" s="182"/>
      <c r="CN56" s="182"/>
      <c r="CO56" s="182"/>
      <c r="CP56" s="182"/>
      <c r="CQ56" s="182"/>
      <c r="CR56" s="182"/>
      <c r="CS56" s="182"/>
      <c r="CT56" s="182"/>
      <c r="CU56" s="182"/>
      <c r="CV56" s="182"/>
      <c r="CW56" s="182"/>
      <c r="CX56" s="182"/>
      <c r="CY56" s="182"/>
      <c r="CZ56" s="182"/>
      <c r="DA56" s="182"/>
      <c r="DB56" s="182"/>
      <c r="DC56" s="182"/>
      <c r="DD56" s="182"/>
      <c r="DE56" s="182"/>
      <c r="DF56" s="182"/>
      <c r="DG56" s="182"/>
      <c r="DH56" s="182"/>
      <c r="DI56" s="182"/>
      <c r="DJ56" s="182"/>
      <c r="DK56" s="182"/>
      <c r="DL56" s="182"/>
      <c r="DM56" s="182"/>
      <c r="DN56" s="182"/>
      <c r="DO56" s="182"/>
      <c r="DP56" s="182"/>
      <c r="DQ56" s="182"/>
      <c r="DR56" s="182"/>
      <c r="DS56" s="182"/>
      <c r="DT56" s="182"/>
      <c r="DU56" s="182"/>
      <c r="DV56" s="182"/>
      <c r="DW56" s="182"/>
      <c r="DX56" s="182"/>
      <c r="DY56" s="182"/>
      <c r="DZ56" s="182"/>
      <c r="EA56" s="182"/>
      <c r="EB56" s="182"/>
      <c r="EC56" s="182"/>
      <c r="ED56" s="182"/>
      <c r="EE56" s="182"/>
      <c r="EF56" s="182"/>
      <c r="EG56" s="182"/>
      <c r="EH56" s="182"/>
      <c r="EI56" s="182"/>
      <c r="EJ56" s="182"/>
      <c r="EK56" s="182"/>
      <c r="EL56" s="182"/>
      <c r="EM56" s="182"/>
      <c r="EN56" s="182"/>
      <c r="EO56" s="182"/>
      <c r="EP56" s="182"/>
      <c r="EQ56" s="182"/>
      <c r="ER56" s="182"/>
      <c r="ES56" s="182"/>
      <c r="ET56" s="182"/>
      <c r="EU56" s="182"/>
      <c r="EV56" s="182"/>
      <c r="EW56" s="182"/>
      <c r="EX56" s="182"/>
      <c r="EY56" s="182"/>
      <c r="EZ56" s="182"/>
      <c r="FA56" s="182"/>
      <c r="FB56" s="182"/>
      <c r="FC56" s="182"/>
      <c r="FD56" s="182"/>
      <c r="FE56" s="182"/>
      <c r="FF56" s="182"/>
      <c r="FG56" s="182"/>
      <c r="FH56" s="182"/>
      <c r="FI56" s="182"/>
      <c r="FJ56" s="182"/>
      <c r="FK56" s="182"/>
      <c r="FL56" s="182"/>
      <c r="FM56" s="182"/>
      <c r="FN56" s="182"/>
      <c r="FO56" s="182"/>
      <c r="FP56" s="182"/>
      <c r="FQ56" s="182"/>
      <c r="FR56" s="182"/>
      <c r="FS56" s="182"/>
      <c r="FT56" s="182"/>
      <c r="FU56" s="182"/>
      <c r="FV56" s="182"/>
      <c r="FW56" s="182"/>
      <c r="FX56" s="182"/>
      <c r="FY56" s="182"/>
      <c r="FZ56" s="182"/>
      <c r="GA56" s="182"/>
      <c r="GB56" s="182"/>
      <c r="GC56" s="182"/>
      <c r="GD56" s="182"/>
      <c r="GE56" s="182"/>
      <c r="GF56" s="182"/>
      <c r="GG56" s="182"/>
      <c r="GH56" s="182"/>
      <c r="GI56" s="182"/>
    </row>
    <row r="57" spans="1:191" s="183" customFormat="1" ht="25.5" x14ac:dyDescent="0.2">
      <c r="A57" s="210" t="s">
        <v>38362</v>
      </c>
      <c r="B57" s="210" t="s">
        <v>18905</v>
      </c>
      <c r="C57" s="224" t="s">
        <v>22180</v>
      </c>
      <c r="D57" s="211" t="s">
        <v>16</v>
      </c>
      <c r="E57" s="211">
        <v>5</v>
      </c>
      <c r="F57" s="211"/>
      <c r="G57" s="211">
        <v>0.3</v>
      </c>
      <c r="H57" s="212"/>
      <c r="I57" s="213"/>
      <c r="J57" s="272">
        <v>2150.73</v>
      </c>
      <c r="K57" s="112">
        <f t="shared" si="11"/>
        <v>10753.65</v>
      </c>
      <c r="L57" s="273">
        <f>BDI!$E$17</f>
        <v>0.11260000000000001</v>
      </c>
      <c r="M57" s="213"/>
      <c r="N57" s="213"/>
      <c r="O57" s="114">
        <f t="shared" si="12"/>
        <v>2392.9</v>
      </c>
      <c r="P57" s="113">
        <f t="shared" si="13"/>
        <v>3589.35</v>
      </c>
      <c r="Q57" s="209"/>
      <c r="R57" s="203"/>
      <c r="S57" s="182"/>
      <c r="T57" s="182"/>
      <c r="U57" s="182"/>
      <c r="V57" s="182"/>
      <c r="W57" s="182"/>
      <c r="X57" s="182"/>
      <c r="Y57" s="182"/>
      <c r="Z57" s="182"/>
      <c r="AA57" s="182"/>
      <c r="AB57" s="182"/>
      <c r="AC57" s="182"/>
      <c r="AD57" s="182"/>
      <c r="AE57" s="182"/>
      <c r="AF57" s="182"/>
      <c r="AG57" s="182"/>
      <c r="AH57" s="182"/>
      <c r="AI57" s="182"/>
      <c r="AJ57" s="182"/>
      <c r="AK57" s="182"/>
      <c r="AL57" s="182"/>
      <c r="AM57" s="182"/>
      <c r="AN57" s="182"/>
      <c r="AO57" s="182"/>
      <c r="AP57" s="182"/>
      <c r="AQ57" s="182"/>
      <c r="AR57" s="182"/>
      <c r="AS57" s="182"/>
      <c r="AT57" s="182"/>
      <c r="AU57" s="182"/>
      <c r="AV57" s="182"/>
      <c r="AW57" s="182"/>
      <c r="AX57" s="182"/>
      <c r="AY57" s="182"/>
      <c r="AZ57" s="182"/>
      <c r="BA57" s="182"/>
      <c r="BB57" s="182"/>
      <c r="BC57" s="182"/>
      <c r="BD57" s="182"/>
      <c r="BE57" s="182"/>
      <c r="BF57" s="182"/>
      <c r="BG57" s="182"/>
      <c r="BH57" s="182"/>
      <c r="BI57" s="182"/>
      <c r="BJ57" s="182"/>
      <c r="BK57" s="182"/>
      <c r="BL57" s="182"/>
      <c r="BM57" s="182"/>
      <c r="BN57" s="182"/>
      <c r="BO57" s="182"/>
      <c r="BP57" s="182"/>
      <c r="BQ57" s="182"/>
      <c r="BR57" s="182"/>
      <c r="BS57" s="182"/>
      <c r="BT57" s="182"/>
      <c r="BU57" s="182"/>
      <c r="BV57" s="182"/>
      <c r="BW57" s="182"/>
      <c r="BX57" s="182"/>
      <c r="BY57" s="182"/>
      <c r="BZ57" s="182"/>
      <c r="CA57" s="182"/>
      <c r="CB57" s="182"/>
      <c r="CC57" s="182"/>
      <c r="CD57" s="182"/>
      <c r="CE57" s="182"/>
      <c r="CF57" s="182"/>
      <c r="CG57" s="182"/>
      <c r="CH57" s="182"/>
      <c r="CI57" s="182"/>
      <c r="CJ57" s="182"/>
      <c r="CK57" s="182"/>
      <c r="CL57" s="182"/>
      <c r="CM57" s="182"/>
      <c r="CN57" s="182"/>
      <c r="CO57" s="182"/>
      <c r="CP57" s="182"/>
      <c r="CQ57" s="182"/>
      <c r="CR57" s="182"/>
      <c r="CS57" s="182"/>
      <c r="CT57" s="182"/>
      <c r="CU57" s="182"/>
      <c r="CV57" s="182"/>
      <c r="CW57" s="182"/>
      <c r="CX57" s="182"/>
      <c r="CY57" s="182"/>
      <c r="CZ57" s="182"/>
      <c r="DA57" s="182"/>
      <c r="DB57" s="182"/>
      <c r="DC57" s="182"/>
      <c r="DD57" s="182"/>
      <c r="DE57" s="182"/>
      <c r="DF57" s="182"/>
      <c r="DG57" s="182"/>
      <c r="DH57" s="182"/>
      <c r="DI57" s="182"/>
      <c r="DJ57" s="182"/>
      <c r="DK57" s="182"/>
      <c r="DL57" s="182"/>
      <c r="DM57" s="182"/>
      <c r="DN57" s="182"/>
      <c r="DO57" s="182"/>
      <c r="DP57" s="182"/>
      <c r="DQ57" s="182"/>
      <c r="DR57" s="182"/>
      <c r="DS57" s="182"/>
      <c r="DT57" s="182"/>
      <c r="DU57" s="182"/>
      <c r="DV57" s="182"/>
      <c r="DW57" s="182"/>
      <c r="DX57" s="182"/>
      <c r="DY57" s="182"/>
      <c r="DZ57" s="182"/>
      <c r="EA57" s="182"/>
      <c r="EB57" s="182"/>
      <c r="EC57" s="182"/>
      <c r="ED57" s="182"/>
      <c r="EE57" s="182"/>
      <c r="EF57" s="182"/>
      <c r="EG57" s="182"/>
      <c r="EH57" s="182"/>
      <c r="EI57" s="182"/>
      <c r="EJ57" s="182"/>
      <c r="EK57" s="182"/>
      <c r="EL57" s="182"/>
      <c r="EM57" s="182"/>
      <c r="EN57" s="182"/>
      <c r="EO57" s="182"/>
      <c r="EP57" s="182"/>
      <c r="EQ57" s="182"/>
      <c r="ER57" s="182"/>
      <c r="ES57" s="182"/>
      <c r="ET57" s="182"/>
      <c r="EU57" s="182"/>
      <c r="EV57" s="182"/>
      <c r="EW57" s="182"/>
      <c r="EX57" s="182"/>
      <c r="EY57" s="182"/>
      <c r="EZ57" s="182"/>
      <c r="FA57" s="182"/>
      <c r="FB57" s="182"/>
      <c r="FC57" s="182"/>
      <c r="FD57" s="182"/>
      <c r="FE57" s="182"/>
      <c r="FF57" s="182"/>
      <c r="FG57" s="182"/>
      <c r="FH57" s="182"/>
      <c r="FI57" s="182"/>
      <c r="FJ57" s="182"/>
      <c r="FK57" s="182"/>
      <c r="FL57" s="182"/>
      <c r="FM57" s="182"/>
      <c r="FN57" s="182"/>
      <c r="FO57" s="182"/>
      <c r="FP57" s="182"/>
      <c r="FQ57" s="182"/>
      <c r="FR57" s="182"/>
      <c r="FS57" s="182"/>
      <c r="FT57" s="182"/>
      <c r="FU57" s="182"/>
      <c r="FV57" s="182"/>
      <c r="FW57" s="182"/>
      <c r="FX57" s="182"/>
      <c r="FY57" s="182"/>
      <c r="FZ57" s="182"/>
      <c r="GA57" s="182"/>
      <c r="GB57" s="182"/>
      <c r="GC57" s="182"/>
      <c r="GD57" s="182"/>
      <c r="GE57" s="182"/>
      <c r="GF57" s="182"/>
      <c r="GG57" s="182"/>
      <c r="GH57" s="182"/>
      <c r="GI57" s="182"/>
    </row>
    <row r="58" spans="1:191" s="183" customFormat="1" ht="25.5" x14ac:dyDescent="0.2">
      <c r="A58" s="210" t="s">
        <v>38363</v>
      </c>
      <c r="B58" s="210" t="s">
        <v>18906</v>
      </c>
      <c r="C58" s="224" t="s">
        <v>22181</v>
      </c>
      <c r="D58" s="211" t="s">
        <v>16</v>
      </c>
      <c r="E58" s="211">
        <v>5</v>
      </c>
      <c r="F58" s="211"/>
      <c r="G58" s="211">
        <v>0.3</v>
      </c>
      <c r="H58" s="212"/>
      <c r="I58" s="213"/>
      <c r="J58" s="272">
        <v>2606.5700000000002</v>
      </c>
      <c r="K58" s="112">
        <f t="shared" si="11"/>
        <v>13032.85</v>
      </c>
      <c r="L58" s="273">
        <f>BDI!$E$17</f>
        <v>0.11260000000000001</v>
      </c>
      <c r="M58" s="213"/>
      <c r="N58" s="213"/>
      <c r="O58" s="114">
        <f t="shared" si="12"/>
        <v>2900.07</v>
      </c>
      <c r="P58" s="113">
        <f t="shared" si="13"/>
        <v>4350.1099999999997</v>
      </c>
      <c r="Q58" s="209"/>
      <c r="R58" s="203"/>
      <c r="S58" s="182"/>
      <c r="T58" s="182"/>
      <c r="U58" s="182"/>
      <c r="V58" s="182"/>
      <c r="W58" s="182"/>
      <c r="X58" s="182"/>
      <c r="Y58" s="182"/>
      <c r="Z58" s="182"/>
      <c r="AA58" s="182"/>
      <c r="AB58" s="182"/>
      <c r="AC58" s="182"/>
      <c r="AD58" s="182"/>
      <c r="AE58" s="182"/>
      <c r="AF58" s="182"/>
      <c r="AG58" s="182"/>
      <c r="AH58" s="182"/>
      <c r="AI58" s="182"/>
      <c r="AJ58" s="182"/>
      <c r="AK58" s="182"/>
      <c r="AL58" s="182"/>
      <c r="AM58" s="182"/>
      <c r="AN58" s="182"/>
      <c r="AO58" s="182"/>
      <c r="AP58" s="182"/>
      <c r="AQ58" s="182"/>
      <c r="AR58" s="182"/>
      <c r="AS58" s="182"/>
      <c r="AT58" s="182"/>
      <c r="AU58" s="182"/>
      <c r="AV58" s="182"/>
      <c r="AW58" s="182"/>
      <c r="AX58" s="182"/>
      <c r="AY58" s="182"/>
      <c r="AZ58" s="182"/>
      <c r="BA58" s="182"/>
      <c r="BB58" s="182"/>
      <c r="BC58" s="182"/>
      <c r="BD58" s="182"/>
      <c r="BE58" s="182"/>
      <c r="BF58" s="182"/>
      <c r="BG58" s="182"/>
      <c r="BH58" s="182"/>
      <c r="BI58" s="182"/>
      <c r="BJ58" s="182"/>
      <c r="BK58" s="182"/>
      <c r="BL58" s="182"/>
      <c r="BM58" s="182"/>
      <c r="BN58" s="182"/>
      <c r="BO58" s="182"/>
      <c r="BP58" s="182"/>
      <c r="BQ58" s="182"/>
      <c r="BR58" s="182"/>
      <c r="BS58" s="182"/>
      <c r="BT58" s="182"/>
      <c r="BU58" s="182"/>
      <c r="BV58" s="182"/>
      <c r="BW58" s="182"/>
      <c r="BX58" s="182"/>
      <c r="BY58" s="182"/>
      <c r="BZ58" s="182"/>
      <c r="CA58" s="182"/>
      <c r="CB58" s="182"/>
      <c r="CC58" s="182"/>
      <c r="CD58" s="182"/>
      <c r="CE58" s="182"/>
      <c r="CF58" s="182"/>
      <c r="CG58" s="182"/>
      <c r="CH58" s="182"/>
      <c r="CI58" s="182"/>
      <c r="CJ58" s="182"/>
      <c r="CK58" s="182"/>
      <c r="CL58" s="182"/>
      <c r="CM58" s="182"/>
      <c r="CN58" s="182"/>
      <c r="CO58" s="182"/>
      <c r="CP58" s="182"/>
      <c r="CQ58" s="182"/>
      <c r="CR58" s="182"/>
      <c r="CS58" s="182"/>
      <c r="CT58" s="182"/>
      <c r="CU58" s="182"/>
      <c r="CV58" s="182"/>
      <c r="CW58" s="182"/>
      <c r="CX58" s="182"/>
      <c r="CY58" s="182"/>
      <c r="CZ58" s="182"/>
      <c r="DA58" s="182"/>
      <c r="DB58" s="182"/>
      <c r="DC58" s="182"/>
      <c r="DD58" s="182"/>
      <c r="DE58" s="182"/>
      <c r="DF58" s="182"/>
      <c r="DG58" s="182"/>
      <c r="DH58" s="182"/>
      <c r="DI58" s="182"/>
      <c r="DJ58" s="182"/>
      <c r="DK58" s="182"/>
      <c r="DL58" s="182"/>
      <c r="DM58" s="182"/>
      <c r="DN58" s="182"/>
      <c r="DO58" s="182"/>
      <c r="DP58" s="182"/>
      <c r="DQ58" s="182"/>
      <c r="DR58" s="182"/>
      <c r="DS58" s="182"/>
      <c r="DT58" s="182"/>
      <c r="DU58" s="182"/>
      <c r="DV58" s="182"/>
      <c r="DW58" s="182"/>
      <c r="DX58" s="182"/>
      <c r="DY58" s="182"/>
      <c r="DZ58" s="182"/>
      <c r="EA58" s="182"/>
      <c r="EB58" s="182"/>
      <c r="EC58" s="182"/>
      <c r="ED58" s="182"/>
      <c r="EE58" s="182"/>
      <c r="EF58" s="182"/>
      <c r="EG58" s="182"/>
      <c r="EH58" s="182"/>
      <c r="EI58" s="182"/>
      <c r="EJ58" s="182"/>
      <c r="EK58" s="182"/>
      <c r="EL58" s="182"/>
      <c r="EM58" s="182"/>
      <c r="EN58" s="182"/>
      <c r="EO58" s="182"/>
      <c r="EP58" s="182"/>
      <c r="EQ58" s="182"/>
      <c r="ER58" s="182"/>
      <c r="ES58" s="182"/>
      <c r="ET58" s="182"/>
      <c r="EU58" s="182"/>
      <c r="EV58" s="182"/>
      <c r="EW58" s="182"/>
      <c r="EX58" s="182"/>
      <c r="EY58" s="182"/>
      <c r="EZ58" s="182"/>
      <c r="FA58" s="182"/>
      <c r="FB58" s="182"/>
      <c r="FC58" s="182"/>
      <c r="FD58" s="182"/>
      <c r="FE58" s="182"/>
      <c r="FF58" s="182"/>
      <c r="FG58" s="182"/>
      <c r="FH58" s="182"/>
      <c r="FI58" s="182"/>
      <c r="FJ58" s="182"/>
      <c r="FK58" s="182"/>
      <c r="FL58" s="182"/>
      <c r="FM58" s="182"/>
      <c r="FN58" s="182"/>
      <c r="FO58" s="182"/>
      <c r="FP58" s="182"/>
      <c r="FQ58" s="182"/>
      <c r="FR58" s="182"/>
      <c r="FS58" s="182"/>
      <c r="FT58" s="182"/>
      <c r="FU58" s="182"/>
      <c r="FV58" s="182"/>
      <c r="FW58" s="182"/>
      <c r="FX58" s="182"/>
      <c r="FY58" s="182"/>
      <c r="FZ58" s="182"/>
      <c r="GA58" s="182"/>
      <c r="GB58" s="182"/>
      <c r="GC58" s="182"/>
      <c r="GD58" s="182"/>
      <c r="GE58" s="182"/>
      <c r="GF58" s="182"/>
      <c r="GG58" s="182"/>
      <c r="GH58" s="182"/>
      <c r="GI58" s="182"/>
    </row>
    <row r="59" spans="1:191" s="183" customFormat="1" x14ac:dyDescent="0.2">
      <c r="A59" s="210" t="s">
        <v>38364</v>
      </c>
      <c r="B59" s="210" t="s">
        <v>18907</v>
      </c>
      <c r="C59" s="224" t="s">
        <v>22182</v>
      </c>
      <c r="D59" s="211" t="s">
        <v>16</v>
      </c>
      <c r="E59" s="211">
        <v>10</v>
      </c>
      <c r="F59" s="211"/>
      <c r="G59" s="211">
        <v>0.3</v>
      </c>
      <c r="H59" s="212"/>
      <c r="I59" s="213"/>
      <c r="J59" s="272">
        <v>1587.48</v>
      </c>
      <c r="K59" s="112">
        <f t="shared" si="11"/>
        <v>15874.8</v>
      </c>
      <c r="L59" s="273">
        <f>BDI!$E$17</f>
        <v>0.11260000000000001</v>
      </c>
      <c r="M59" s="213"/>
      <c r="N59" s="213"/>
      <c r="O59" s="114">
        <f t="shared" si="12"/>
        <v>1766.23</v>
      </c>
      <c r="P59" s="113">
        <f t="shared" si="13"/>
        <v>5298.69</v>
      </c>
      <c r="Q59" s="209"/>
      <c r="R59" s="203"/>
      <c r="S59" s="182"/>
      <c r="T59" s="182"/>
      <c r="U59" s="182"/>
      <c r="V59" s="182"/>
      <c r="W59" s="182"/>
      <c r="X59" s="182"/>
      <c r="Y59" s="182"/>
      <c r="Z59" s="182"/>
      <c r="AA59" s="182"/>
      <c r="AB59" s="182"/>
      <c r="AC59" s="182"/>
      <c r="AD59" s="182"/>
      <c r="AE59" s="182"/>
      <c r="AF59" s="182"/>
      <c r="AG59" s="182"/>
      <c r="AH59" s="182"/>
      <c r="AI59" s="182"/>
      <c r="AJ59" s="182"/>
      <c r="AK59" s="182"/>
      <c r="AL59" s="182"/>
      <c r="AM59" s="182"/>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2"/>
      <c r="BR59" s="182"/>
      <c r="BS59" s="182"/>
      <c r="BT59" s="182"/>
      <c r="BU59" s="182"/>
      <c r="BV59" s="182"/>
      <c r="BW59" s="182"/>
      <c r="BX59" s="182"/>
      <c r="BY59" s="182"/>
      <c r="BZ59" s="182"/>
      <c r="CA59" s="182"/>
      <c r="CB59" s="182"/>
      <c r="CC59" s="182"/>
      <c r="CD59" s="182"/>
      <c r="CE59" s="182"/>
      <c r="CF59" s="182"/>
      <c r="CG59" s="182"/>
      <c r="CH59" s="182"/>
      <c r="CI59" s="182"/>
      <c r="CJ59" s="182"/>
      <c r="CK59" s="182"/>
      <c r="CL59" s="182"/>
      <c r="CM59" s="182"/>
      <c r="CN59" s="182"/>
      <c r="CO59" s="182"/>
      <c r="CP59" s="182"/>
      <c r="CQ59" s="182"/>
      <c r="CR59" s="182"/>
      <c r="CS59" s="182"/>
      <c r="CT59" s="182"/>
      <c r="CU59" s="182"/>
      <c r="CV59" s="182"/>
      <c r="CW59" s="182"/>
      <c r="CX59" s="182"/>
      <c r="CY59" s="182"/>
      <c r="CZ59" s="182"/>
      <c r="DA59" s="182"/>
      <c r="DB59" s="182"/>
      <c r="DC59" s="182"/>
      <c r="DD59" s="182"/>
      <c r="DE59" s="182"/>
      <c r="DF59" s="182"/>
      <c r="DG59" s="182"/>
      <c r="DH59" s="182"/>
      <c r="DI59" s="182"/>
      <c r="DJ59" s="182"/>
      <c r="DK59" s="182"/>
      <c r="DL59" s="182"/>
      <c r="DM59" s="182"/>
      <c r="DN59" s="182"/>
      <c r="DO59" s="182"/>
      <c r="DP59" s="182"/>
      <c r="DQ59" s="182"/>
      <c r="DR59" s="182"/>
      <c r="DS59" s="182"/>
      <c r="DT59" s="182"/>
      <c r="DU59" s="182"/>
      <c r="DV59" s="182"/>
      <c r="DW59" s="182"/>
      <c r="DX59" s="182"/>
      <c r="DY59" s="182"/>
      <c r="DZ59" s="182"/>
      <c r="EA59" s="182"/>
      <c r="EB59" s="182"/>
      <c r="EC59" s="182"/>
      <c r="ED59" s="182"/>
      <c r="EE59" s="182"/>
      <c r="EF59" s="182"/>
      <c r="EG59" s="182"/>
      <c r="EH59" s="182"/>
      <c r="EI59" s="182"/>
      <c r="EJ59" s="182"/>
      <c r="EK59" s="182"/>
      <c r="EL59" s="182"/>
      <c r="EM59" s="182"/>
      <c r="EN59" s="182"/>
      <c r="EO59" s="182"/>
      <c r="EP59" s="182"/>
      <c r="EQ59" s="182"/>
      <c r="ER59" s="182"/>
      <c r="ES59" s="182"/>
      <c r="ET59" s="182"/>
      <c r="EU59" s="182"/>
      <c r="EV59" s="182"/>
      <c r="EW59" s="182"/>
      <c r="EX59" s="182"/>
      <c r="EY59" s="182"/>
      <c r="EZ59" s="182"/>
      <c r="FA59" s="182"/>
      <c r="FB59" s="182"/>
      <c r="FC59" s="182"/>
      <c r="FD59" s="182"/>
      <c r="FE59" s="182"/>
      <c r="FF59" s="182"/>
      <c r="FG59" s="182"/>
      <c r="FH59" s="182"/>
      <c r="FI59" s="182"/>
      <c r="FJ59" s="182"/>
      <c r="FK59" s="182"/>
      <c r="FL59" s="182"/>
      <c r="FM59" s="182"/>
      <c r="FN59" s="182"/>
      <c r="FO59" s="182"/>
      <c r="FP59" s="182"/>
      <c r="FQ59" s="182"/>
      <c r="FR59" s="182"/>
      <c r="FS59" s="182"/>
      <c r="FT59" s="182"/>
      <c r="FU59" s="182"/>
      <c r="FV59" s="182"/>
      <c r="FW59" s="182"/>
      <c r="FX59" s="182"/>
      <c r="FY59" s="182"/>
      <c r="FZ59" s="182"/>
      <c r="GA59" s="182"/>
      <c r="GB59" s="182"/>
      <c r="GC59" s="182"/>
      <c r="GD59" s="182"/>
      <c r="GE59" s="182"/>
      <c r="GF59" s="182"/>
      <c r="GG59" s="182"/>
      <c r="GH59" s="182"/>
      <c r="GI59" s="182"/>
    </row>
    <row r="60" spans="1:191" s="183" customFormat="1" ht="25.5" x14ac:dyDescent="0.2">
      <c r="A60" s="210" t="s">
        <v>38365</v>
      </c>
      <c r="B60" s="210" t="s">
        <v>18908</v>
      </c>
      <c r="C60" s="224" t="s">
        <v>22183</v>
      </c>
      <c r="D60" s="211" t="s">
        <v>16</v>
      </c>
      <c r="E60" s="211">
        <v>15</v>
      </c>
      <c r="F60" s="211"/>
      <c r="G60" s="211">
        <v>0.3</v>
      </c>
      <c r="H60" s="212"/>
      <c r="I60" s="213"/>
      <c r="J60" s="272">
        <v>2089.09</v>
      </c>
      <c r="K60" s="112">
        <f t="shared" si="11"/>
        <v>31336.35</v>
      </c>
      <c r="L60" s="273">
        <f>BDI!$E$17</f>
        <v>0.11260000000000001</v>
      </c>
      <c r="M60" s="213"/>
      <c r="N60" s="213"/>
      <c r="O60" s="114">
        <f t="shared" si="12"/>
        <v>2324.3200000000002</v>
      </c>
      <c r="P60" s="113">
        <f t="shared" si="13"/>
        <v>10459.44</v>
      </c>
      <c r="Q60" s="209"/>
      <c r="R60" s="203"/>
      <c r="S60" s="182"/>
      <c r="T60" s="182"/>
      <c r="U60" s="182"/>
      <c r="V60" s="182"/>
      <c r="W60" s="182"/>
      <c r="X60" s="182"/>
      <c r="Y60" s="182"/>
      <c r="Z60" s="182"/>
      <c r="AA60" s="182"/>
      <c r="AB60" s="182"/>
      <c r="AC60" s="182"/>
      <c r="AD60" s="182"/>
      <c r="AE60" s="182"/>
      <c r="AF60" s="182"/>
      <c r="AG60" s="182"/>
      <c r="AH60" s="182"/>
      <c r="AI60" s="182"/>
      <c r="AJ60" s="182"/>
      <c r="AK60" s="182"/>
      <c r="AL60" s="182"/>
      <c r="AM60" s="182"/>
      <c r="AN60" s="182"/>
      <c r="AO60" s="182"/>
      <c r="AP60" s="182"/>
      <c r="AQ60" s="182"/>
      <c r="AR60" s="182"/>
      <c r="AS60" s="182"/>
      <c r="AT60" s="182"/>
      <c r="AU60" s="182"/>
      <c r="AV60" s="182"/>
      <c r="AW60" s="182"/>
      <c r="AX60" s="182"/>
      <c r="AY60" s="182"/>
      <c r="AZ60" s="182"/>
      <c r="BA60" s="182"/>
      <c r="BB60" s="182"/>
      <c r="BC60" s="182"/>
      <c r="BD60" s="182"/>
      <c r="BE60" s="182"/>
      <c r="BF60" s="182"/>
      <c r="BG60" s="182"/>
      <c r="BH60" s="182"/>
      <c r="BI60" s="182"/>
      <c r="BJ60" s="182"/>
      <c r="BK60" s="182"/>
      <c r="BL60" s="182"/>
      <c r="BM60" s="182"/>
      <c r="BN60" s="182"/>
      <c r="BO60" s="182"/>
      <c r="BP60" s="182"/>
      <c r="BQ60" s="182"/>
      <c r="BR60" s="182"/>
      <c r="BS60" s="182"/>
      <c r="BT60" s="182"/>
      <c r="BU60" s="182"/>
      <c r="BV60" s="182"/>
      <c r="BW60" s="182"/>
      <c r="BX60" s="182"/>
      <c r="BY60" s="182"/>
      <c r="BZ60" s="182"/>
      <c r="CA60" s="182"/>
      <c r="CB60" s="182"/>
      <c r="CC60" s="182"/>
      <c r="CD60" s="182"/>
      <c r="CE60" s="182"/>
      <c r="CF60" s="182"/>
      <c r="CG60" s="182"/>
      <c r="CH60" s="182"/>
      <c r="CI60" s="182"/>
      <c r="CJ60" s="182"/>
      <c r="CK60" s="182"/>
      <c r="CL60" s="182"/>
      <c r="CM60" s="182"/>
      <c r="CN60" s="182"/>
      <c r="CO60" s="182"/>
      <c r="CP60" s="182"/>
      <c r="CQ60" s="182"/>
      <c r="CR60" s="182"/>
      <c r="CS60" s="182"/>
      <c r="CT60" s="182"/>
      <c r="CU60" s="182"/>
      <c r="CV60" s="182"/>
      <c r="CW60" s="182"/>
      <c r="CX60" s="182"/>
      <c r="CY60" s="182"/>
      <c r="CZ60" s="182"/>
      <c r="DA60" s="182"/>
      <c r="DB60" s="182"/>
      <c r="DC60" s="182"/>
      <c r="DD60" s="182"/>
      <c r="DE60" s="182"/>
      <c r="DF60" s="182"/>
      <c r="DG60" s="182"/>
      <c r="DH60" s="182"/>
      <c r="DI60" s="182"/>
      <c r="DJ60" s="182"/>
      <c r="DK60" s="182"/>
      <c r="DL60" s="182"/>
      <c r="DM60" s="182"/>
      <c r="DN60" s="182"/>
      <c r="DO60" s="182"/>
      <c r="DP60" s="182"/>
      <c r="DQ60" s="182"/>
      <c r="DR60" s="182"/>
      <c r="DS60" s="182"/>
      <c r="DT60" s="182"/>
      <c r="DU60" s="182"/>
      <c r="DV60" s="182"/>
      <c r="DW60" s="182"/>
      <c r="DX60" s="182"/>
      <c r="DY60" s="182"/>
      <c r="DZ60" s="182"/>
      <c r="EA60" s="182"/>
      <c r="EB60" s="182"/>
      <c r="EC60" s="182"/>
      <c r="ED60" s="182"/>
      <c r="EE60" s="182"/>
      <c r="EF60" s="182"/>
      <c r="EG60" s="182"/>
      <c r="EH60" s="182"/>
      <c r="EI60" s="182"/>
      <c r="EJ60" s="182"/>
      <c r="EK60" s="182"/>
      <c r="EL60" s="182"/>
      <c r="EM60" s="182"/>
      <c r="EN60" s="182"/>
      <c r="EO60" s="182"/>
      <c r="EP60" s="182"/>
      <c r="EQ60" s="182"/>
      <c r="ER60" s="182"/>
      <c r="ES60" s="182"/>
      <c r="ET60" s="182"/>
      <c r="EU60" s="182"/>
      <c r="EV60" s="182"/>
      <c r="EW60" s="182"/>
      <c r="EX60" s="182"/>
      <c r="EY60" s="182"/>
      <c r="EZ60" s="182"/>
      <c r="FA60" s="182"/>
      <c r="FB60" s="182"/>
      <c r="FC60" s="182"/>
      <c r="FD60" s="182"/>
      <c r="FE60" s="182"/>
      <c r="FF60" s="182"/>
      <c r="FG60" s="182"/>
      <c r="FH60" s="182"/>
      <c r="FI60" s="182"/>
      <c r="FJ60" s="182"/>
      <c r="FK60" s="182"/>
      <c r="FL60" s="182"/>
      <c r="FM60" s="182"/>
      <c r="FN60" s="182"/>
      <c r="FO60" s="182"/>
      <c r="FP60" s="182"/>
      <c r="FQ60" s="182"/>
      <c r="FR60" s="182"/>
      <c r="FS60" s="182"/>
      <c r="FT60" s="182"/>
      <c r="FU60" s="182"/>
      <c r="FV60" s="182"/>
      <c r="FW60" s="182"/>
      <c r="FX60" s="182"/>
      <c r="FY60" s="182"/>
      <c r="FZ60" s="182"/>
      <c r="GA60" s="182"/>
      <c r="GB60" s="182"/>
      <c r="GC60" s="182"/>
      <c r="GD60" s="182"/>
      <c r="GE60" s="182"/>
      <c r="GF60" s="182"/>
      <c r="GG60" s="182"/>
      <c r="GH60" s="182"/>
      <c r="GI60" s="182"/>
    </row>
    <row r="61" spans="1:191" s="183" customFormat="1" ht="25.5" x14ac:dyDescent="0.2">
      <c r="A61" s="210" t="s">
        <v>38366</v>
      </c>
      <c r="B61" s="210" t="s">
        <v>18909</v>
      </c>
      <c r="C61" s="224" t="s">
        <v>22184</v>
      </c>
      <c r="D61" s="211" t="s">
        <v>16</v>
      </c>
      <c r="E61" s="211">
        <v>15</v>
      </c>
      <c r="F61" s="211"/>
      <c r="G61" s="211">
        <v>0.3</v>
      </c>
      <c r="H61" s="212"/>
      <c r="I61" s="213"/>
      <c r="J61" s="272">
        <v>2943.66</v>
      </c>
      <c r="K61" s="112">
        <f t="shared" si="11"/>
        <v>44154.9</v>
      </c>
      <c r="L61" s="273">
        <f>BDI!$E$17</f>
        <v>0.11260000000000001</v>
      </c>
      <c r="M61" s="213"/>
      <c r="N61" s="213"/>
      <c r="O61" s="114">
        <f t="shared" si="12"/>
        <v>3275.12</v>
      </c>
      <c r="P61" s="113">
        <f t="shared" si="13"/>
        <v>14738.04</v>
      </c>
      <c r="Q61" s="209"/>
      <c r="R61" s="203"/>
      <c r="S61" s="182"/>
      <c r="T61" s="182"/>
      <c r="U61" s="182"/>
      <c r="V61" s="182"/>
      <c r="W61" s="182"/>
      <c r="X61" s="182"/>
      <c r="Y61" s="182"/>
      <c r="Z61" s="182"/>
      <c r="AA61" s="182"/>
      <c r="AB61" s="182"/>
      <c r="AC61" s="182"/>
      <c r="AD61" s="182"/>
      <c r="AE61" s="182"/>
      <c r="AF61" s="182"/>
      <c r="AG61" s="182"/>
      <c r="AH61" s="182"/>
      <c r="AI61" s="182"/>
      <c r="AJ61" s="182"/>
      <c r="AK61" s="182"/>
      <c r="AL61" s="182"/>
      <c r="AM61" s="182"/>
      <c r="AN61" s="182"/>
      <c r="AO61" s="182"/>
      <c r="AP61" s="182"/>
      <c r="AQ61" s="182"/>
      <c r="AR61" s="182"/>
      <c r="AS61" s="182"/>
      <c r="AT61" s="182"/>
      <c r="AU61" s="182"/>
      <c r="AV61" s="182"/>
      <c r="AW61" s="182"/>
      <c r="AX61" s="182"/>
      <c r="AY61" s="182"/>
      <c r="AZ61" s="182"/>
      <c r="BA61" s="182"/>
      <c r="BB61" s="182"/>
      <c r="BC61" s="182"/>
      <c r="BD61" s="182"/>
      <c r="BE61" s="182"/>
      <c r="BF61" s="182"/>
      <c r="BG61" s="182"/>
      <c r="BH61" s="182"/>
      <c r="BI61" s="182"/>
      <c r="BJ61" s="182"/>
      <c r="BK61" s="182"/>
      <c r="BL61" s="182"/>
      <c r="BM61" s="182"/>
      <c r="BN61" s="182"/>
      <c r="BO61" s="182"/>
      <c r="BP61" s="182"/>
      <c r="BQ61" s="182"/>
      <c r="BR61" s="182"/>
      <c r="BS61" s="182"/>
      <c r="BT61" s="182"/>
      <c r="BU61" s="182"/>
      <c r="BV61" s="182"/>
      <c r="BW61" s="182"/>
      <c r="BX61" s="182"/>
      <c r="BY61" s="182"/>
      <c r="BZ61" s="182"/>
      <c r="CA61" s="182"/>
      <c r="CB61" s="182"/>
      <c r="CC61" s="182"/>
      <c r="CD61" s="182"/>
      <c r="CE61" s="182"/>
      <c r="CF61" s="182"/>
      <c r="CG61" s="182"/>
      <c r="CH61" s="182"/>
      <c r="CI61" s="182"/>
      <c r="CJ61" s="182"/>
      <c r="CK61" s="182"/>
      <c r="CL61" s="182"/>
      <c r="CM61" s="182"/>
      <c r="CN61" s="182"/>
      <c r="CO61" s="182"/>
      <c r="CP61" s="182"/>
      <c r="CQ61" s="182"/>
      <c r="CR61" s="182"/>
      <c r="CS61" s="182"/>
      <c r="CT61" s="182"/>
      <c r="CU61" s="182"/>
      <c r="CV61" s="182"/>
      <c r="CW61" s="182"/>
      <c r="CX61" s="182"/>
      <c r="CY61" s="182"/>
      <c r="CZ61" s="182"/>
      <c r="DA61" s="182"/>
      <c r="DB61" s="182"/>
      <c r="DC61" s="182"/>
      <c r="DD61" s="182"/>
      <c r="DE61" s="182"/>
      <c r="DF61" s="182"/>
      <c r="DG61" s="182"/>
      <c r="DH61" s="182"/>
      <c r="DI61" s="182"/>
      <c r="DJ61" s="182"/>
      <c r="DK61" s="182"/>
      <c r="DL61" s="182"/>
      <c r="DM61" s="182"/>
      <c r="DN61" s="182"/>
      <c r="DO61" s="182"/>
      <c r="DP61" s="182"/>
      <c r="DQ61" s="182"/>
      <c r="DR61" s="182"/>
      <c r="DS61" s="182"/>
      <c r="DT61" s="182"/>
      <c r="DU61" s="182"/>
      <c r="DV61" s="182"/>
      <c r="DW61" s="182"/>
      <c r="DX61" s="182"/>
      <c r="DY61" s="182"/>
      <c r="DZ61" s="182"/>
      <c r="EA61" s="182"/>
      <c r="EB61" s="182"/>
      <c r="EC61" s="182"/>
      <c r="ED61" s="182"/>
      <c r="EE61" s="182"/>
      <c r="EF61" s="182"/>
      <c r="EG61" s="182"/>
      <c r="EH61" s="182"/>
      <c r="EI61" s="182"/>
      <c r="EJ61" s="182"/>
      <c r="EK61" s="182"/>
      <c r="EL61" s="182"/>
      <c r="EM61" s="182"/>
      <c r="EN61" s="182"/>
      <c r="EO61" s="182"/>
      <c r="EP61" s="182"/>
      <c r="EQ61" s="182"/>
      <c r="ER61" s="182"/>
      <c r="ES61" s="182"/>
      <c r="ET61" s="182"/>
      <c r="EU61" s="182"/>
      <c r="EV61" s="182"/>
      <c r="EW61" s="182"/>
      <c r="EX61" s="182"/>
      <c r="EY61" s="182"/>
      <c r="EZ61" s="182"/>
      <c r="FA61" s="182"/>
      <c r="FB61" s="182"/>
      <c r="FC61" s="182"/>
      <c r="FD61" s="182"/>
      <c r="FE61" s="182"/>
      <c r="FF61" s="182"/>
      <c r="FG61" s="182"/>
      <c r="FH61" s="182"/>
      <c r="FI61" s="182"/>
      <c r="FJ61" s="182"/>
      <c r="FK61" s="182"/>
      <c r="FL61" s="182"/>
      <c r="FM61" s="182"/>
      <c r="FN61" s="182"/>
      <c r="FO61" s="182"/>
      <c r="FP61" s="182"/>
      <c r="FQ61" s="182"/>
      <c r="FR61" s="182"/>
      <c r="FS61" s="182"/>
      <c r="FT61" s="182"/>
      <c r="FU61" s="182"/>
      <c r="FV61" s="182"/>
      <c r="FW61" s="182"/>
      <c r="FX61" s="182"/>
      <c r="FY61" s="182"/>
      <c r="FZ61" s="182"/>
      <c r="GA61" s="182"/>
      <c r="GB61" s="182"/>
      <c r="GC61" s="182"/>
      <c r="GD61" s="182"/>
      <c r="GE61" s="182"/>
      <c r="GF61" s="182"/>
      <c r="GG61" s="182"/>
      <c r="GH61" s="182"/>
      <c r="GI61" s="182"/>
    </row>
    <row r="62" spans="1:191" s="183" customFormat="1" ht="25.5" x14ac:dyDescent="0.2">
      <c r="A62" s="210" t="s">
        <v>38367</v>
      </c>
      <c r="B62" s="210" t="s">
        <v>18910</v>
      </c>
      <c r="C62" s="224" t="s">
        <v>22185</v>
      </c>
      <c r="D62" s="211" t="s">
        <v>16</v>
      </c>
      <c r="E62" s="211">
        <v>10</v>
      </c>
      <c r="F62" s="211"/>
      <c r="G62" s="211">
        <v>0.3</v>
      </c>
      <c r="H62" s="212"/>
      <c r="I62" s="213"/>
      <c r="J62" s="272">
        <v>4118.37</v>
      </c>
      <c r="K62" s="112">
        <f t="shared" si="11"/>
        <v>41183.699999999997</v>
      </c>
      <c r="L62" s="273">
        <f>BDI!$E$17</f>
        <v>0.11260000000000001</v>
      </c>
      <c r="M62" s="213"/>
      <c r="N62" s="213"/>
      <c r="O62" s="114">
        <f t="shared" si="12"/>
        <v>4582.1000000000004</v>
      </c>
      <c r="P62" s="113">
        <f t="shared" si="13"/>
        <v>13746.3</v>
      </c>
      <c r="Q62" s="209"/>
      <c r="R62" s="203"/>
      <c r="S62" s="182"/>
      <c r="T62" s="182"/>
      <c r="U62" s="182"/>
      <c r="V62" s="182"/>
      <c r="W62" s="182"/>
      <c r="X62" s="182"/>
      <c r="Y62" s="182"/>
      <c r="Z62" s="182"/>
      <c r="AA62" s="182"/>
      <c r="AB62" s="182"/>
      <c r="AC62" s="182"/>
      <c r="AD62" s="182"/>
      <c r="AE62" s="182"/>
      <c r="AF62" s="182"/>
      <c r="AG62" s="182"/>
      <c r="AH62" s="182"/>
      <c r="AI62" s="182"/>
      <c r="AJ62" s="182"/>
      <c r="AK62" s="182"/>
      <c r="AL62" s="182"/>
      <c r="AM62" s="182"/>
      <c r="AN62" s="182"/>
      <c r="AO62" s="182"/>
      <c r="AP62" s="182"/>
      <c r="AQ62" s="182"/>
      <c r="AR62" s="182"/>
      <c r="AS62" s="182"/>
      <c r="AT62" s="182"/>
      <c r="AU62" s="182"/>
      <c r="AV62" s="182"/>
      <c r="AW62" s="182"/>
      <c r="AX62" s="182"/>
      <c r="AY62" s="182"/>
      <c r="AZ62" s="182"/>
      <c r="BA62" s="182"/>
      <c r="BB62" s="182"/>
      <c r="BC62" s="182"/>
      <c r="BD62" s="182"/>
      <c r="BE62" s="182"/>
      <c r="BF62" s="182"/>
      <c r="BG62" s="182"/>
      <c r="BH62" s="182"/>
      <c r="BI62" s="182"/>
      <c r="BJ62" s="182"/>
      <c r="BK62" s="182"/>
      <c r="BL62" s="182"/>
      <c r="BM62" s="182"/>
      <c r="BN62" s="182"/>
      <c r="BO62" s="182"/>
      <c r="BP62" s="182"/>
      <c r="BQ62" s="182"/>
      <c r="BR62" s="182"/>
      <c r="BS62" s="182"/>
      <c r="BT62" s="182"/>
      <c r="BU62" s="182"/>
      <c r="BV62" s="182"/>
      <c r="BW62" s="182"/>
      <c r="BX62" s="182"/>
      <c r="BY62" s="182"/>
      <c r="BZ62" s="182"/>
      <c r="CA62" s="182"/>
      <c r="CB62" s="182"/>
      <c r="CC62" s="182"/>
      <c r="CD62" s="182"/>
      <c r="CE62" s="182"/>
      <c r="CF62" s="182"/>
      <c r="CG62" s="182"/>
      <c r="CH62" s="182"/>
      <c r="CI62" s="182"/>
      <c r="CJ62" s="182"/>
      <c r="CK62" s="182"/>
      <c r="CL62" s="182"/>
      <c r="CM62" s="182"/>
      <c r="CN62" s="182"/>
      <c r="CO62" s="182"/>
      <c r="CP62" s="182"/>
      <c r="CQ62" s="182"/>
      <c r="CR62" s="182"/>
      <c r="CS62" s="182"/>
      <c r="CT62" s="182"/>
      <c r="CU62" s="182"/>
      <c r="CV62" s="182"/>
      <c r="CW62" s="182"/>
      <c r="CX62" s="182"/>
      <c r="CY62" s="182"/>
      <c r="CZ62" s="182"/>
      <c r="DA62" s="182"/>
      <c r="DB62" s="182"/>
      <c r="DC62" s="182"/>
      <c r="DD62" s="182"/>
      <c r="DE62" s="182"/>
      <c r="DF62" s="182"/>
      <c r="DG62" s="182"/>
      <c r="DH62" s="182"/>
      <c r="DI62" s="182"/>
      <c r="DJ62" s="182"/>
      <c r="DK62" s="182"/>
      <c r="DL62" s="182"/>
      <c r="DM62" s="182"/>
      <c r="DN62" s="182"/>
      <c r="DO62" s="182"/>
      <c r="DP62" s="182"/>
      <c r="DQ62" s="182"/>
      <c r="DR62" s="182"/>
      <c r="DS62" s="182"/>
      <c r="DT62" s="182"/>
      <c r="DU62" s="182"/>
      <c r="DV62" s="182"/>
      <c r="DW62" s="182"/>
      <c r="DX62" s="182"/>
      <c r="DY62" s="182"/>
      <c r="DZ62" s="182"/>
      <c r="EA62" s="182"/>
      <c r="EB62" s="182"/>
      <c r="EC62" s="182"/>
      <c r="ED62" s="182"/>
      <c r="EE62" s="182"/>
      <c r="EF62" s="182"/>
      <c r="EG62" s="182"/>
      <c r="EH62" s="182"/>
      <c r="EI62" s="182"/>
      <c r="EJ62" s="182"/>
      <c r="EK62" s="182"/>
      <c r="EL62" s="182"/>
      <c r="EM62" s="182"/>
      <c r="EN62" s="182"/>
      <c r="EO62" s="182"/>
      <c r="EP62" s="182"/>
      <c r="EQ62" s="182"/>
      <c r="ER62" s="182"/>
      <c r="ES62" s="182"/>
      <c r="ET62" s="182"/>
      <c r="EU62" s="182"/>
      <c r="EV62" s="182"/>
      <c r="EW62" s="182"/>
      <c r="EX62" s="182"/>
      <c r="EY62" s="182"/>
      <c r="EZ62" s="182"/>
      <c r="FA62" s="182"/>
      <c r="FB62" s="182"/>
      <c r="FC62" s="182"/>
      <c r="FD62" s="182"/>
      <c r="FE62" s="182"/>
      <c r="FF62" s="182"/>
      <c r="FG62" s="182"/>
      <c r="FH62" s="182"/>
      <c r="FI62" s="182"/>
      <c r="FJ62" s="182"/>
      <c r="FK62" s="182"/>
      <c r="FL62" s="182"/>
      <c r="FM62" s="182"/>
      <c r="FN62" s="182"/>
      <c r="FO62" s="182"/>
      <c r="FP62" s="182"/>
      <c r="FQ62" s="182"/>
      <c r="FR62" s="182"/>
      <c r="FS62" s="182"/>
      <c r="FT62" s="182"/>
      <c r="FU62" s="182"/>
      <c r="FV62" s="182"/>
      <c r="FW62" s="182"/>
      <c r="FX62" s="182"/>
      <c r="FY62" s="182"/>
      <c r="FZ62" s="182"/>
      <c r="GA62" s="182"/>
      <c r="GB62" s="182"/>
      <c r="GC62" s="182"/>
      <c r="GD62" s="182"/>
      <c r="GE62" s="182"/>
      <c r="GF62" s="182"/>
      <c r="GG62" s="182"/>
      <c r="GH62" s="182"/>
      <c r="GI62" s="182"/>
    </row>
    <row r="63" spans="1:191" s="183" customFormat="1" ht="25.5" x14ac:dyDescent="0.2">
      <c r="A63" s="210" t="s">
        <v>38368</v>
      </c>
      <c r="B63" s="210" t="s">
        <v>18911</v>
      </c>
      <c r="C63" s="224" t="s">
        <v>22186</v>
      </c>
      <c r="D63" s="211" t="s">
        <v>16</v>
      </c>
      <c r="E63" s="211">
        <v>6</v>
      </c>
      <c r="F63" s="211"/>
      <c r="G63" s="211">
        <v>0.3</v>
      </c>
      <c r="H63" s="212"/>
      <c r="I63" s="213"/>
      <c r="J63" s="272">
        <v>13872.94</v>
      </c>
      <c r="K63" s="112">
        <f t="shared" si="11"/>
        <v>83237.64</v>
      </c>
      <c r="L63" s="273">
        <f>BDI!$E$17</f>
        <v>0.11260000000000001</v>
      </c>
      <c r="M63" s="213"/>
      <c r="N63" s="213"/>
      <c r="O63" s="114">
        <f t="shared" si="12"/>
        <v>15435.03</v>
      </c>
      <c r="P63" s="113">
        <f t="shared" si="13"/>
        <v>27783.05</v>
      </c>
      <c r="Q63" s="209"/>
      <c r="R63" s="203"/>
      <c r="S63" s="182"/>
      <c r="T63" s="182"/>
      <c r="U63" s="182"/>
      <c r="V63" s="182"/>
      <c r="W63" s="182"/>
      <c r="X63" s="182"/>
      <c r="Y63" s="182"/>
      <c r="Z63" s="182"/>
      <c r="AA63" s="182"/>
      <c r="AB63" s="182"/>
      <c r="AC63" s="182"/>
      <c r="AD63" s="182"/>
      <c r="AE63" s="182"/>
      <c r="AF63" s="182"/>
      <c r="AG63" s="182"/>
      <c r="AH63" s="182"/>
      <c r="AI63" s="182"/>
      <c r="AJ63" s="182"/>
      <c r="AK63" s="182"/>
      <c r="AL63" s="182"/>
      <c r="AM63" s="182"/>
      <c r="AN63" s="182"/>
      <c r="AO63" s="182"/>
      <c r="AP63" s="182"/>
      <c r="AQ63" s="182"/>
      <c r="AR63" s="182"/>
      <c r="AS63" s="182"/>
      <c r="AT63" s="182"/>
      <c r="AU63" s="182"/>
      <c r="AV63" s="182"/>
      <c r="AW63" s="182"/>
      <c r="AX63" s="182"/>
      <c r="AY63" s="182"/>
      <c r="AZ63" s="182"/>
      <c r="BA63" s="182"/>
      <c r="BB63" s="182"/>
      <c r="BC63" s="182"/>
      <c r="BD63" s="182"/>
      <c r="BE63" s="182"/>
      <c r="BF63" s="182"/>
      <c r="BG63" s="182"/>
      <c r="BH63" s="182"/>
      <c r="BI63" s="182"/>
      <c r="BJ63" s="182"/>
      <c r="BK63" s="182"/>
      <c r="BL63" s="182"/>
      <c r="BM63" s="182"/>
      <c r="BN63" s="182"/>
      <c r="BO63" s="182"/>
      <c r="BP63" s="182"/>
      <c r="BQ63" s="182"/>
      <c r="BR63" s="182"/>
      <c r="BS63" s="182"/>
      <c r="BT63" s="182"/>
      <c r="BU63" s="182"/>
      <c r="BV63" s="182"/>
      <c r="BW63" s="182"/>
      <c r="BX63" s="182"/>
      <c r="BY63" s="182"/>
      <c r="BZ63" s="182"/>
      <c r="CA63" s="182"/>
      <c r="CB63" s="182"/>
      <c r="CC63" s="182"/>
      <c r="CD63" s="182"/>
      <c r="CE63" s="182"/>
      <c r="CF63" s="182"/>
      <c r="CG63" s="182"/>
      <c r="CH63" s="182"/>
      <c r="CI63" s="182"/>
      <c r="CJ63" s="182"/>
      <c r="CK63" s="182"/>
      <c r="CL63" s="182"/>
      <c r="CM63" s="182"/>
      <c r="CN63" s="182"/>
      <c r="CO63" s="182"/>
      <c r="CP63" s="182"/>
      <c r="CQ63" s="182"/>
      <c r="CR63" s="182"/>
      <c r="CS63" s="182"/>
      <c r="CT63" s="182"/>
      <c r="CU63" s="182"/>
      <c r="CV63" s="182"/>
      <c r="CW63" s="182"/>
      <c r="CX63" s="182"/>
      <c r="CY63" s="182"/>
      <c r="CZ63" s="182"/>
      <c r="DA63" s="182"/>
      <c r="DB63" s="182"/>
      <c r="DC63" s="182"/>
      <c r="DD63" s="182"/>
      <c r="DE63" s="182"/>
      <c r="DF63" s="182"/>
      <c r="DG63" s="182"/>
      <c r="DH63" s="182"/>
      <c r="DI63" s="182"/>
      <c r="DJ63" s="182"/>
      <c r="DK63" s="182"/>
      <c r="DL63" s="182"/>
      <c r="DM63" s="182"/>
      <c r="DN63" s="182"/>
      <c r="DO63" s="182"/>
      <c r="DP63" s="182"/>
      <c r="DQ63" s="182"/>
      <c r="DR63" s="182"/>
      <c r="DS63" s="182"/>
      <c r="DT63" s="182"/>
      <c r="DU63" s="182"/>
      <c r="DV63" s="182"/>
      <c r="DW63" s="182"/>
      <c r="DX63" s="182"/>
      <c r="DY63" s="182"/>
      <c r="DZ63" s="182"/>
      <c r="EA63" s="182"/>
      <c r="EB63" s="182"/>
      <c r="EC63" s="182"/>
      <c r="ED63" s="182"/>
      <c r="EE63" s="182"/>
      <c r="EF63" s="182"/>
      <c r="EG63" s="182"/>
      <c r="EH63" s="182"/>
      <c r="EI63" s="182"/>
      <c r="EJ63" s="182"/>
      <c r="EK63" s="182"/>
      <c r="EL63" s="182"/>
      <c r="EM63" s="182"/>
      <c r="EN63" s="182"/>
      <c r="EO63" s="182"/>
      <c r="EP63" s="182"/>
      <c r="EQ63" s="182"/>
      <c r="ER63" s="182"/>
      <c r="ES63" s="182"/>
      <c r="ET63" s="182"/>
      <c r="EU63" s="182"/>
      <c r="EV63" s="182"/>
      <c r="EW63" s="182"/>
      <c r="EX63" s="182"/>
      <c r="EY63" s="182"/>
      <c r="EZ63" s="182"/>
      <c r="FA63" s="182"/>
      <c r="FB63" s="182"/>
      <c r="FC63" s="182"/>
      <c r="FD63" s="182"/>
      <c r="FE63" s="182"/>
      <c r="FF63" s="182"/>
      <c r="FG63" s="182"/>
      <c r="FH63" s="182"/>
      <c r="FI63" s="182"/>
      <c r="FJ63" s="182"/>
      <c r="FK63" s="182"/>
      <c r="FL63" s="182"/>
      <c r="FM63" s="182"/>
      <c r="FN63" s="182"/>
      <c r="FO63" s="182"/>
      <c r="FP63" s="182"/>
      <c r="FQ63" s="182"/>
      <c r="FR63" s="182"/>
      <c r="FS63" s="182"/>
      <c r="FT63" s="182"/>
      <c r="FU63" s="182"/>
      <c r="FV63" s="182"/>
      <c r="FW63" s="182"/>
      <c r="FX63" s="182"/>
      <c r="FY63" s="182"/>
      <c r="FZ63" s="182"/>
      <c r="GA63" s="182"/>
      <c r="GB63" s="182"/>
      <c r="GC63" s="182"/>
      <c r="GD63" s="182"/>
      <c r="GE63" s="182"/>
      <c r="GF63" s="182"/>
      <c r="GG63" s="182"/>
      <c r="GH63" s="182"/>
      <c r="GI63" s="182"/>
    </row>
    <row r="64" spans="1:191" s="183" customFormat="1" ht="25.5" x14ac:dyDescent="0.2">
      <c r="A64" s="210" t="s">
        <v>38369</v>
      </c>
      <c r="B64" s="210" t="s">
        <v>18912</v>
      </c>
      <c r="C64" s="224" t="s">
        <v>22187</v>
      </c>
      <c r="D64" s="211" t="s">
        <v>16</v>
      </c>
      <c r="E64" s="211">
        <v>2</v>
      </c>
      <c r="F64" s="211"/>
      <c r="G64" s="211">
        <v>0.3</v>
      </c>
      <c r="H64" s="212"/>
      <c r="I64" s="213"/>
      <c r="J64" s="272">
        <v>18164.84</v>
      </c>
      <c r="K64" s="112">
        <f t="shared" si="11"/>
        <v>36329.68</v>
      </c>
      <c r="L64" s="273">
        <f>BDI!$E$17</f>
        <v>0.11260000000000001</v>
      </c>
      <c r="M64" s="213"/>
      <c r="N64" s="213"/>
      <c r="O64" s="114">
        <f t="shared" si="12"/>
        <v>20210.2</v>
      </c>
      <c r="P64" s="113">
        <f t="shared" si="13"/>
        <v>12126.12</v>
      </c>
      <c r="Q64" s="209"/>
      <c r="R64" s="203"/>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2"/>
      <c r="AP64" s="182"/>
      <c r="AQ64" s="182"/>
      <c r="AR64" s="182"/>
      <c r="AS64" s="182"/>
      <c r="AT64" s="182"/>
      <c r="AU64" s="182"/>
      <c r="AV64" s="182"/>
      <c r="AW64" s="182"/>
      <c r="AX64" s="182"/>
      <c r="AY64" s="182"/>
      <c r="AZ64" s="182"/>
      <c r="BA64" s="182"/>
      <c r="BB64" s="182"/>
      <c r="BC64" s="182"/>
      <c r="BD64" s="182"/>
      <c r="BE64" s="182"/>
      <c r="BF64" s="182"/>
      <c r="BG64" s="182"/>
      <c r="BH64" s="182"/>
      <c r="BI64" s="182"/>
      <c r="BJ64" s="182"/>
      <c r="BK64" s="182"/>
      <c r="BL64" s="182"/>
      <c r="BM64" s="182"/>
      <c r="BN64" s="182"/>
      <c r="BO64" s="182"/>
      <c r="BP64" s="182"/>
      <c r="BQ64" s="182"/>
      <c r="BR64" s="182"/>
      <c r="BS64" s="182"/>
      <c r="BT64" s="182"/>
      <c r="BU64" s="182"/>
      <c r="BV64" s="182"/>
      <c r="BW64" s="182"/>
      <c r="BX64" s="182"/>
      <c r="BY64" s="182"/>
      <c r="BZ64" s="182"/>
      <c r="CA64" s="182"/>
      <c r="CB64" s="182"/>
      <c r="CC64" s="182"/>
      <c r="CD64" s="182"/>
      <c r="CE64" s="182"/>
      <c r="CF64" s="182"/>
      <c r="CG64" s="182"/>
      <c r="CH64" s="182"/>
      <c r="CI64" s="182"/>
      <c r="CJ64" s="182"/>
      <c r="CK64" s="182"/>
      <c r="CL64" s="182"/>
      <c r="CM64" s="182"/>
      <c r="CN64" s="182"/>
      <c r="CO64" s="182"/>
      <c r="CP64" s="182"/>
      <c r="CQ64" s="182"/>
      <c r="CR64" s="182"/>
      <c r="CS64" s="182"/>
      <c r="CT64" s="182"/>
      <c r="CU64" s="182"/>
      <c r="CV64" s="182"/>
      <c r="CW64" s="182"/>
      <c r="CX64" s="182"/>
      <c r="CY64" s="182"/>
      <c r="CZ64" s="182"/>
      <c r="DA64" s="182"/>
      <c r="DB64" s="182"/>
      <c r="DC64" s="182"/>
      <c r="DD64" s="182"/>
      <c r="DE64" s="182"/>
      <c r="DF64" s="182"/>
      <c r="DG64" s="182"/>
      <c r="DH64" s="182"/>
      <c r="DI64" s="182"/>
      <c r="DJ64" s="182"/>
      <c r="DK64" s="182"/>
      <c r="DL64" s="182"/>
      <c r="DM64" s="182"/>
      <c r="DN64" s="182"/>
      <c r="DO64" s="182"/>
      <c r="DP64" s="182"/>
      <c r="DQ64" s="182"/>
      <c r="DR64" s="182"/>
      <c r="DS64" s="182"/>
      <c r="DT64" s="182"/>
      <c r="DU64" s="182"/>
      <c r="DV64" s="182"/>
      <c r="DW64" s="182"/>
      <c r="DX64" s="182"/>
      <c r="DY64" s="182"/>
      <c r="DZ64" s="182"/>
      <c r="EA64" s="182"/>
      <c r="EB64" s="182"/>
      <c r="EC64" s="182"/>
      <c r="ED64" s="182"/>
      <c r="EE64" s="182"/>
      <c r="EF64" s="182"/>
      <c r="EG64" s="182"/>
      <c r="EH64" s="182"/>
      <c r="EI64" s="182"/>
      <c r="EJ64" s="182"/>
      <c r="EK64" s="182"/>
      <c r="EL64" s="182"/>
      <c r="EM64" s="182"/>
      <c r="EN64" s="182"/>
      <c r="EO64" s="182"/>
      <c r="EP64" s="182"/>
      <c r="EQ64" s="182"/>
      <c r="ER64" s="182"/>
      <c r="ES64" s="182"/>
      <c r="ET64" s="182"/>
      <c r="EU64" s="182"/>
      <c r="EV64" s="182"/>
      <c r="EW64" s="182"/>
      <c r="EX64" s="182"/>
      <c r="EY64" s="182"/>
      <c r="EZ64" s="182"/>
      <c r="FA64" s="182"/>
      <c r="FB64" s="182"/>
      <c r="FC64" s="182"/>
      <c r="FD64" s="182"/>
      <c r="FE64" s="182"/>
      <c r="FF64" s="182"/>
      <c r="FG64" s="182"/>
      <c r="FH64" s="182"/>
      <c r="FI64" s="182"/>
      <c r="FJ64" s="182"/>
      <c r="FK64" s="182"/>
      <c r="FL64" s="182"/>
      <c r="FM64" s="182"/>
      <c r="FN64" s="182"/>
      <c r="FO64" s="182"/>
      <c r="FP64" s="182"/>
      <c r="FQ64" s="182"/>
      <c r="FR64" s="182"/>
      <c r="FS64" s="182"/>
      <c r="FT64" s="182"/>
      <c r="FU64" s="182"/>
      <c r="FV64" s="182"/>
      <c r="FW64" s="182"/>
      <c r="FX64" s="182"/>
      <c r="FY64" s="182"/>
      <c r="FZ64" s="182"/>
      <c r="GA64" s="182"/>
      <c r="GB64" s="182"/>
      <c r="GC64" s="182"/>
      <c r="GD64" s="182"/>
      <c r="GE64" s="182"/>
      <c r="GF64" s="182"/>
      <c r="GG64" s="182"/>
      <c r="GH64" s="182"/>
      <c r="GI64" s="182"/>
    </row>
    <row r="65" spans="1:191" s="183" customFormat="1" ht="25.5" x14ac:dyDescent="0.2">
      <c r="A65" s="210" t="s">
        <v>38370</v>
      </c>
      <c r="B65" s="210" t="s">
        <v>18913</v>
      </c>
      <c r="C65" s="224" t="s">
        <v>22188</v>
      </c>
      <c r="D65" s="211" t="s">
        <v>16</v>
      </c>
      <c r="E65" s="211">
        <v>2</v>
      </c>
      <c r="F65" s="211"/>
      <c r="G65" s="211">
        <v>0.3</v>
      </c>
      <c r="H65" s="212"/>
      <c r="I65" s="213"/>
      <c r="J65" s="272">
        <v>19849.95</v>
      </c>
      <c r="K65" s="112">
        <f t="shared" si="11"/>
        <v>39699.9</v>
      </c>
      <c r="L65" s="273">
        <f>BDI!$E$17</f>
        <v>0.11260000000000001</v>
      </c>
      <c r="M65" s="213"/>
      <c r="N65" s="213"/>
      <c r="O65" s="114">
        <f t="shared" si="12"/>
        <v>22085.05</v>
      </c>
      <c r="P65" s="113">
        <f t="shared" si="13"/>
        <v>13251.03</v>
      </c>
      <c r="Q65" s="209"/>
      <c r="R65" s="203"/>
      <c r="S65" s="182"/>
      <c r="T65" s="182"/>
      <c r="U65" s="182"/>
      <c r="V65" s="182"/>
      <c r="W65" s="182"/>
      <c r="X65" s="182"/>
      <c r="Y65" s="182"/>
      <c r="Z65" s="182"/>
      <c r="AA65" s="182"/>
      <c r="AB65" s="182"/>
      <c r="AC65" s="182"/>
      <c r="AD65" s="182"/>
      <c r="AE65" s="182"/>
      <c r="AF65" s="182"/>
      <c r="AG65" s="182"/>
      <c r="AH65" s="182"/>
      <c r="AI65" s="182"/>
      <c r="AJ65" s="182"/>
      <c r="AK65" s="182"/>
      <c r="AL65" s="182"/>
      <c r="AM65" s="182"/>
      <c r="AN65" s="182"/>
      <c r="AO65" s="182"/>
      <c r="AP65" s="182"/>
      <c r="AQ65" s="182"/>
      <c r="AR65" s="182"/>
      <c r="AS65" s="182"/>
      <c r="AT65" s="182"/>
      <c r="AU65" s="182"/>
      <c r="AV65" s="182"/>
      <c r="AW65" s="182"/>
      <c r="AX65" s="182"/>
      <c r="AY65" s="182"/>
      <c r="AZ65" s="182"/>
      <c r="BA65" s="182"/>
      <c r="BB65" s="182"/>
      <c r="BC65" s="182"/>
      <c r="BD65" s="182"/>
      <c r="BE65" s="182"/>
      <c r="BF65" s="182"/>
      <c r="BG65" s="182"/>
      <c r="BH65" s="182"/>
      <c r="BI65" s="182"/>
      <c r="BJ65" s="182"/>
      <c r="BK65" s="182"/>
      <c r="BL65" s="182"/>
      <c r="BM65" s="182"/>
      <c r="BN65" s="182"/>
      <c r="BO65" s="182"/>
      <c r="BP65" s="182"/>
      <c r="BQ65" s="182"/>
      <c r="BR65" s="182"/>
      <c r="BS65" s="182"/>
      <c r="BT65" s="182"/>
      <c r="BU65" s="182"/>
      <c r="BV65" s="182"/>
      <c r="BW65" s="182"/>
      <c r="BX65" s="182"/>
      <c r="BY65" s="182"/>
      <c r="BZ65" s="182"/>
      <c r="CA65" s="182"/>
      <c r="CB65" s="182"/>
      <c r="CC65" s="182"/>
      <c r="CD65" s="182"/>
      <c r="CE65" s="182"/>
      <c r="CF65" s="182"/>
      <c r="CG65" s="182"/>
      <c r="CH65" s="182"/>
      <c r="CI65" s="182"/>
      <c r="CJ65" s="182"/>
      <c r="CK65" s="182"/>
      <c r="CL65" s="182"/>
      <c r="CM65" s="182"/>
      <c r="CN65" s="182"/>
      <c r="CO65" s="182"/>
      <c r="CP65" s="182"/>
      <c r="CQ65" s="182"/>
      <c r="CR65" s="182"/>
      <c r="CS65" s="182"/>
      <c r="CT65" s="182"/>
      <c r="CU65" s="182"/>
      <c r="CV65" s="182"/>
      <c r="CW65" s="182"/>
      <c r="CX65" s="182"/>
      <c r="CY65" s="182"/>
      <c r="CZ65" s="182"/>
      <c r="DA65" s="182"/>
      <c r="DB65" s="182"/>
      <c r="DC65" s="182"/>
      <c r="DD65" s="182"/>
      <c r="DE65" s="182"/>
      <c r="DF65" s="182"/>
      <c r="DG65" s="182"/>
      <c r="DH65" s="182"/>
      <c r="DI65" s="182"/>
      <c r="DJ65" s="182"/>
      <c r="DK65" s="182"/>
      <c r="DL65" s="182"/>
      <c r="DM65" s="182"/>
      <c r="DN65" s="182"/>
      <c r="DO65" s="182"/>
      <c r="DP65" s="182"/>
      <c r="DQ65" s="182"/>
      <c r="DR65" s="182"/>
      <c r="DS65" s="182"/>
      <c r="DT65" s="182"/>
      <c r="DU65" s="182"/>
      <c r="DV65" s="182"/>
      <c r="DW65" s="182"/>
      <c r="DX65" s="182"/>
      <c r="DY65" s="182"/>
      <c r="DZ65" s="182"/>
      <c r="EA65" s="182"/>
      <c r="EB65" s="182"/>
      <c r="EC65" s="182"/>
      <c r="ED65" s="182"/>
      <c r="EE65" s="182"/>
      <c r="EF65" s="182"/>
      <c r="EG65" s="182"/>
      <c r="EH65" s="182"/>
      <c r="EI65" s="182"/>
      <c r="EJ65" s="182"/>
      <c r="EK65" s="182"/>
      <c r="EL65" s="182"/>
      <c r="EM65" s="182"/>
      <c r="EN65" s="182"/>
      <c r="EO65" s="182"/>
      <c r="EP65" s="182"/>
      <c r="EQ65" s="182"/>
      <c r="ER65" s="182"/>
      <c r="ES65" s="182"/>
      <c r="ET65" s="182"/>
      <c r="EU65" s="182"/>
      <c r="EV65" s="182"/>
      <c r="EW65" s="182"/>
      <c r="EX65" s="182"/>
      <c r="EY65" s="182"/>
      <c r="EZ65" s="182"/>
      <c r="FA65" s="182"/>
      <c r="FB65" s="182"/>
      <c r="FC65" s="182"/>
      <c r="FD65" s="182"/>
      <c r="FE65" s="182"/>
      <c r="FF65" s="182"/>
      <c r="FG65" s="182"/>
      <c r="FH65" s="182"/>
      <c r="FI65" s="182"/>
      <c r="FJ65" s="182"/>
      <c r="FK65" s="182"/>
      <c r="FL65" s="182"/>
      <c r="FM65" s="182"/>
      <c r="FN65" s="182"/>
      <c r="FO65" s="182"/>
      <c r="FP65" s="182"/>
      <c r="FQ65" s="182"/>
      <c r="FR65" s="182"/>
      <c r="FS65" s="182"/>
      <c r="FT65" s="182"/>
      <c r="FU65" s="182"/>
      <c r="FV65" s="182"/>
      <c r="FW65" s="182"/>
      <c r="FX65" s="182"/>
      <c r="FY65" s="182"/>
      <c r="FZ65" s="182"/>
      <c r="GA65" s="182"/>
      <c r="GB65" s="182"/>
      <c r="GC65" s="182"/>
      <c r="GD65" s="182"/>
      <c r="GE65" s="182"/>
      <c r="GF65" s="182"/>
      <c r="GG65" s="182"/>
      <c r="GH65" s="182"/>
      <c r="GI65" s="182"/>
    </row>
    <row r="66" spans="1:191" s="183" customFormat="1" ht="25.5" x14ac:dyDescent="0.2">
      <c r="A66" s="210" t="s">
        <v>38371</v>
      </c>
      <c r="B66" s="210" t="s">
        <v>18914</v>
      </c>
      <c r="C66" s="224" t="s">
        <v>22189</v>
      </c>
      <c r="D66" s="211" t="s">
        <v>16</v>
      </c>
      <c r="E66" s="211">
        <v>3</v>
      </c>
      <c r="F66" s="211"/>
      <c r="G66" s="211">
        <v>0.3</v>
      </c>
      <c r="H66" s="212"/>
      <c r="I66" s="213"/>
      <c r="J66" s="272">
        <v>18356.82</v>
      </c>
      <c r="K66" s="112">
        <f t="shared" si="11"/>
        <v>55070.46</v>
      </c>
      <c r="L66" s="273">
        <f>BDI!$E$17</f>
        <v>0.11260000000000001</v>
      </c>
      <c r="M66" s="213"/>
      <c r="N66" s="213"/>
      <c r="O66" s="114">
        <f t="shared" si="12"/>
        <v>20423.8</v>
      </c>
      <c r="P66" s="113">
        <f t="shared" si="13"/>
        <v>18381.419999999998</v>
      </c>
      <c r="Q66" s="209"/>
      <c r="R66" s="203"/>
      <c r="S66" s="182"/>
      <c r="T66" s="182"/>
      <c r="U66" s="182"/>
      <c r="V66" s="182"/>
      <c r="W66" s="182"/>
      <c r="X66" s="182"/>
      <c r="Y66" s="182"/>
      <c r="Z66" s="182"/>
      <c r="AA66" s="182"/>
      <c r="AB66" s="182"/>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2"/>
      <c r="BC66" s="182"/>
      <c r="BD66" s="182"/>
      <c r="BE66" s="182"/>
      <c r="BF66" s="182"/>
      <c r="BG66" s="182"/>
      <c r="BH66" s="182"/>
      <c r="BI66" s="182"/>
      <c r="BJ66" s="182"/>
      <c r="BK66" s="182"/>
      <c r="BL66" s="182"/>
      <c r="BM66" s="182"/>
      <c r="BN66" s="182"/>
      <c r="BO66" s="182"/>
      <c r="BP66" s="182"/>
      <c r="BQ66" s="182"/>
      <c r="BR66" s="182"/>
      <c r="BS66" s="182"/>
      <c r="BT66" s="182"/>
      <c r="BU66" s="182"/>
      <c r="BV66" s="182"/>
      <c r="BW66" s="182"/>
      <c r="BX66" s="182"/>
      <c r="BY66" s="182"/>
      <c r="BZ66" s="182"/>
      <c r="CA66" s="182"/>
      <c r="CB66" s="182"/>
      <c r="CC66" s="182"/>
      <c r="CD66" s="182"/>
      <c r="CE66" s="182"/>
      <c r="CF66" s="182"/>
      <c r="CG66" s="182"/>
      <c r="CH66" s="182"/>
      <c r="CI66" s="182"/>
      <c r="CJ66" s="182"/>
      <c r="CK66" s="182"/>
      <c r="CL66" s="182"/>
      <c r="CM66" s="182"/>
      <c r="CN66" s="182"/>
      <c r="CO66" s="182"/>
      <c r="CP66" s="182"/>
      <c r="CQ66" s="182"/>
      <c r="CR66" s="182"/>
      <c r="CS66" s="182"/>
      <c r="CT66" s="182"/>
      <c r="CU66" s="182"/>
      <c r="CV66" s="182"/>
      <c r="CW66" s="182"/>
      <c r="CX66" s="182"/>
      <c r="CY66" s="182"/>
      <c r="CZ66" s="182"/>
      <c r="DA66" s="182"/>
      <c r="DB66" s="182"/>
      <c r="DC66" s="182"/>
      <c r="DD66" s="182"/>
      <c r="DE66" s="182"/>
      <c r="DF66" s="182"/>
      <c r="DG66" s="182"/>
      <c r="DH66" s="182"/>
      <c r="DI66" s="182"/>
      <c r="DJ66" s="182"/>
      <c r="DK66" s="182"/>
      <c r="DL66" s="182"/>
      <c r="DM66" s="182"/>
      <c r="DN66" s="182"/>
      <c r="DO66" s="182"/>
      <c r="DP66" s="182"/>
      <c r="DQ66" s="182"/>
      <c r="DR66" s="182"/>
      <c r="DS66" s="182"/>
      <c r="DT66" s="182"/>
      <c r="DU66" s="182"/>
      <c r="DV66" s="182"/>
      <c r="DW66" s="182"/>
      <c r="DX66" s="182"/>
      <c r="DY66" s="182"/>
      <c r="DZ66" s="182"/>
      <c r="EA66" s="182"/>
      <c r="EB66" s="182"/>
      <c r="EC66" s="182"/>
      <c r="ED66" s="182"/>
      <c r="EE66" s="182"/>
      <c r="EF66" s="182"/>
      <c r="EG66" s="182"/>
      <c r="EH66" s="182"/>
      <c r="EI66" s="182"/>
      <c r="EJ66" s="182"/>
      <c r="EK66" s="182"/>
      <c r="EL66" s="182"/>
      <c r="EM66" s="182"/>
      <c r="EN66" s="182"/>
      <c r="EO66" s="182"/>
      <c r="EP66" s="182"/>
      <c r="EQ66" s="182"/>
      <c r="ER66" s="182"/>
      <c r="ES66" s="182"/>
      <c r="ET66" s="182"/>
      <c r="EU66" s="182"/>
      <c r="EV66" s="182"/>
      <c r="EW66" s="182"/>
      <c r="EX66" s="182"/>
      <c r="EY66" s="182"/>
      <c r="EZ66" s="182"/>
      <c r="FA66" s="182"/>
      <c r="FB66" s="182"/>
      <c r="FC66" s="182"/>
      <c r="FD66" s="182"/>
      <c r="FE66" s="182"/>
      <c r="FF66" s="182"/>
      <c r="FG66" s="182"/>
      <c r="FH66" s="182"/>
      <c r="FI66" s="182"/>
      <c r="FJ66" s="182"/>
      <c r="FK66" s="182"/>
      <c r="FL66" s="182"/>
      <c r="FM66" s="182"/>
      <c r="FN66" s="182"/>
      <c r="FO66" s="182"/>
      <c r="FP66" s="182"/>
      <c r="FQ66" s="182"/>
      <c r="FR66" s="182"/>
      <c r="FS66" s="182"/>
      <c r="FT66" s="182"/>
      <c r="FU66" s="182"/>
      <c r="FV66" s="182"/>
      <c r="FW66" s="182"/>
      <c r="FX66" s="182"/>
      <c r="FY66" s="182"/>
      <c r="FZ66" s="182"/>
      <c r="GA66" s="182"/>
      <c r="GB66" s="182"/>
      <c r="GC66" s="182"/>
      <c r="GD66" s="182"/>
      <c r="GE66" s="182"/>
      <c r="GF66" s="182"/>
      <c r="GG66" s="182"/>
      <c r="GH66" s="182"/>
      <c r="GI66" s="182"/>
    </row>
    <row r="67" spans="1:191" s="183" customFormat="1" ht="25.5" x14ac:dyDescent="0.2">
      <c r="A67" s="210" t="s">
        <v>38372</v>
      </c>
      <c r="B67" s="210" t="s">
        <v>18915</v>
      </c>
      <c r="C67" s="224" t="s">
        <v>22190</v>
      </c>
      <c r="D67" s="211" t="s">
        <v>16</v>
      </c>
      <c r="E67" s="211">
        <v>3</v>
      </c>
      <c r="F67" s="211"/>
      <c r="G67" s="211">
        <v>0.3</v>
      </c>
      <c r="H67" s="212"/>
      <c r="I67" s="213"/>
      <c r="J67" s="272">
        <v>18860.900000000001</v>
      </c>
      <c r="K67" s="112">
        <f t="shared" si="11"/>
        <v>56582.7</v>
      </c>
      <c r="L67" s="273">
        <f>BDI!$E$17</f>
        <v>0.11260000000000001</v>
      </c>
      <c r="M67" s="213"/>
      <c r="N67" s="213"/>
      <c r="O67" s="114">
        <f t="shared" si="12"/>
        <v>20984.639999999999</v>
      </c>
      <c r="P67" s="113">
        <f t="shared" si="13"/>
        <v>18886.18</v>
      </c>
      <c r="Q67" s="209"/>
      <c r="R67" s="203"/>
      <c r="S67" s="182"/>
      <c r="T67" s="182"/>
      <c r="U67" s="182"/>
      <c r="V67" s="182"/>
      <c r="W67" s="182"/>
      <c r="X67" s="182"/>
      <c r="Y67" s="182"/>
      <c r="Z67" s="182"/>
      <c r="AA67" s="182"/>
      <c r="AB67" s="182"/>
      <c r="AC67" s="182"/>
      <c r="AD67" s="182"/>
      <c r="AE67" s="182"/>
      <c r="AF67" s="182"/>
      <c r="AG67" s="182"/>
      <c r="AH67" s="182"/>
      <c r="AI67" s="182"/>
      <c r="AJ67" s="182"/>
      <c r="AK67" s="182"/>
      <c r="AL67" s="182"/>
      <c r="AM67" s="182"/>
      <c r="AN67" s="182"/>
      <c r="AO67" s="182"/>
      <c r="AP67" s="182"/>
      <c r="AQ67" s="182"/>
      <c r="AR67" s="182"/>
      <c r="AS67" s="182"/>
      <c r="AT67" s="182"/>
      <c r="AU67" s="182"/>
      <c r="AV67" s="182"/>
      <c r="AW67" s="182"/>
      <c r="AX67" s="182"/>
      <c r="AY67" s="182"/>
      <c r="AZ67" s="182"/>
      <c r="BA67" s="182"/>
      <c r="BB67" s="182"/>
      <c r="BC67" s="182"/>
      <c r="BD67" s="182"/>
      <c r="BE67" s="182"/>
      <c r="BF67" s="182"/>
      <c r="BG67" s="182"/>
      <c r="BH67" s="182"/>
      <c r="BI67" s="182"/>
      <c r="BJ67" s="182"/>
      <c r="BK67" s="182"/>
      <c r="BL67" s="182"/>
      <c r="BM67" s="182"/>
      <c r="BN67" s="182"/>
      <c r="BO67" s="182"/>
      <c r="BP67" s="182"/>
      <c r="BQ67" s="182"/>
      <c r="BR67" s="182"/>
      <c r="BS67" s="182"/>
      <c r="BT67" s="182"/>
      <c r="BU67" s="182"/>
      <c r="BV67" s="182"/>
      <c r="BW67" s="182"/>
      <c r="BX67" s="182"/>
      <c r="BY67" s="182"/>
      <c r="BZ67" s="182"/>
      <c r="CA67" s="182"/>
      <c r="CB67" s="182"/>
      <c r="CC67" s="182"/>
      <c r="CD67" s="182"/>
      <c r="CE67" s="182"/>
      <c r="CF67" s="182"/>
      <c r="CG67" s="182"/>
      <c r="CH67" s="182"/>
      <c r="CI67" s="182"/>
      <c r="CJ67" s="182"/>
      <c r="CK67" s="182"/>
      <c r="CL67" s="182"/>
      <c r="CM67" s="182"/>
      <c r="CN67" s="182"/>
      <c r="CO67" s="182"/>
      <c r="CP67" s="182"/>
      <c r="CQ67" s="182"/>
      <c r="CR67" s="182"/>
      <c r="CS67" s="182"/>
      <c r="CT67" s="182"/>
      <c r="CU67" s="182"/>
      <c r="CV67" s="182"/>
      <c r="CW67" s="182"/>
      <c r="CX67" s="182"/>
      <c r="CY67" s="182"/>
      <c r="CZ67" s="182"/>
      <c r="DA67" s="182"/>
      <c r="DB67" s="182"/>
      <c r="DC67" s="182"/>
      <c r="DD67" s="182"/>
      <c r="DE67" s="182"/>
      <c r="DF67" s="182"/>
      <c r="DG67" s="182"/>
      <c r="DH67" s="182"/>
      <c r="DI67" s="182"/>
      <c r="DJ67" s="182"/>
      <c r="DK67" s="182"/>
      <c r="DL67" s="182"/>
      <c r="DM67" s="182"/>
      <c r="DN67" s="182"/>
      <c r="DO67" s="182"/>
      <c r="DP67" s="182"/>
      <c r="DQ67" s="182"/>
      <c r="DR67" s="182"/>
      <c r="DS67" s="182"/>
      <c r="DT67" s="182"/>
      <c r="DU67" s="182"/>
      <c r="DV67" s="182"/>
      <c r="DW67" s="182"/>
      <c r="DX67" s="182"/>
      <c r="DY67" s="182"/>
      <c r="DZ67" s="182"/>
      <c r="EA67" s="182"/>
      <c r="EB67" s="182"/>
      <c r="EC67" s="182"/>
      <c r="ED67" s="182"/>
      <c r="EE67" s="182"/>
      <c r="EF67" s="182"/>
      <c r="EG67" s="182"/>
      <c r="EH67" s="182"/>
      <c r="EI67" s="182"/>
      <c r="EJ67" s="182"/>
      <c r="EK67" s="182"/>
      <c r="EL67" s="182"/>
      <c r="EM67" s="182"/>
      <c r="EN67" s="182"/>
      <c r="EO67" s="182"/>
      <c r="EP67" s="182"/>
      <c r="EQ67" s="182"/>
      <c r="ER67" s="182"/>
      <c r="ES67" s="182"/>
      <c r="ET67" s="182"/>
      <c r="EU67" s="182"/>
      <c r="EV67" s="182"/>
      <c r="EW67" s="182"/>
      <c r="EX67" s="182"/>
      <c r="EY67" s="182"/>
      <c r="EZ67" s="182"/>
      <c r="FA67" s="182"/>
      <c r="FB67" s="182"/>
      <c r="FC67" s="182"/>
      <c r="FD67" s="182"/>
      <c r="FE67" s="182"/>
      <c r="FF67" s="182"/>
      <c r="FG67" s="182"/>
      <c r="FH67" s="182"/>
      <c r="FI67" s="182"/>
      <c r="FJ67" s="182"/>
      <c r="FK67" s="182"/>
      <c r="FL67" s="182"/>
      <c r="FM67" s="182"/>
      <c r="FN67" s="182"/>
      <c r="FO67" s="182"/>
      <c r="FP67" s="182"/>
      <c r="FQ67" s="182"/>
      <c r="FR67" s="182"/>
      <c r="FS67" s="182"/>
      <c r="FT67" s="182"/>
      <c r="FU67" s="182"/>
      <c r="FV67" s="182"/>
      <c r="FW67" s="182"/>
      <c r="FX67" s="182"/>
      <c r="FY67" s="182"/>
      <c r="FZ67" s="182"/>
      <c r="GA67" s="182"/>
      <c r="GB67" s="182"/>
      <c r="GC67" s="182"/>
      <c r="GD67" s="182"/>
      <c r="GE67" s="182"/>
      <c r="GF67" s="182"/>
      <c r="GG67" s="182"/>
      <c r="GH67" s="182"/>
      <c r="GI67" s="182"/>
    </row>
    <row r="68" spans="1:191" s="183" customFormat="1" ht="25.5" x14ac:dyDescent="0.2">
      <c r="A68" s="210" t="s">
        <v>38373</v>
      </c>
      <c r="B68" s="210" t="s">
        <v>18916</v>
      </c>
      <c r="C68" s="224" t="s">
        <v>22191</v>
      </c>
      <c r="D68" s="211" t="s">
        <v>16</v>
      </c>
      <c r="E68" s="211">
        <v>10</v>
      </c>
      <c r="F68" s="211"/>
      <c r="G68" s="211">
        <v>0.3</v>
      </c>
      <c r="H68" s="212"/>
      <c r="I68" s="213"/>
      <c r="J68" s="272">
        <v>14450.14</v>
      </c>
      <c r="K68" s="112">
        <f t="shared" si="11"/>
        <v>144501.4</v>
      </c>
      <c r="L68" s="273">
        <f>BDI!$E$17</f>
        <v>0.11260000000000001</v>
      </c>
      <c r="M68" s="213"/>
      <c r="N68" s="213"/>
      <c r="O68" s="114">
        <f t="shared" si="12"/>
        <v>16077.23</v>
      </c>
      <c r="P68" s="113">
        <f t="shared" si="13"/>
        <v>48231.69</v>
      </c>
      <c r="Q68" s="209"/>
      <c r="R68" s="203"/>
      <c r="S68" s="182"/>
      <c r="T68" s="182"/>
      <c r="U68" s="182"/>
      <c r="V68" s="182"/>
      <c r="W68" s="182"/>
      <c r="X68" s="182"/>
      <c r="Y68" s="182"/>
      <c r="Z68" s="182"/>
      <c r="AA68" s="182"/>
      <c r="AB68" s="182"/>
      <c r="AC68" s="182"/>
      <c r="AD68" s="182"/>
      <c r="AE68" s="182"/>
      <c r="AF68" s="182"/>
      <c r="AG68" s="182"/>
      <c r="AH68" s="182"/>
      <c r="AI68" s="182"/>
      <c r="AJ68" s="182"/>
      <c r="AK68" s="182"/>
      <c r="AL68" s="182"/>
      <c r="AM68" s="182"/>
      <c r="AN68" s="182"/>
      <c r="AO68" s="182"/>
      <c r="AP68" s="182"/>
      <c r="AQ68" s="182"/>
      <c r="AR68" s="182"/>
      <c r="AS68" s="182"/>
      <c r="AT68" s="182"/>
      <c r="AU68" s="182"/>
      <c r="AV68" s="182"/>
      <c r="AW68" s="182"/>
      <c r="AX68" s="182"/>
      <c r="AY68" s="182"/>
      <c r="AZ68" s="182"/>
      <c r="BA68" s="182"/>
      <c r="BB68" s="182"/>
      <c r="BC68" s="182"/>
      <c r="BD68" s="182"/>
      <c r="BE68" s="182"/>
      <c r="BF68" s="182"/>
      <c r="BG68" s="182"/>
      <c r="BH68" s="182"/>
      <c r="BI68" s="182"/>
      <c r="BJ68" s="182"/>
      <c r="BK68" s="182"/>
      <c r="BL68" s="182"/>
      <c r="BM68" s="182"/>
      <c r="BN68" s="182"/>
      <c r="BO68" s="182"/>
      <c r="BP68" s="182"/>
      <c r="BQ68" s="182"/>
      <c r="BR68" s="182"/>
      <c r="BS68" s="182"/>
      <c r="BT68" s="182"/>
      <c r="BU68" s="182"/>
      <c r="BV68" s="182"/>
      <c r="BW68" s="182"/>
      <c r="BX68" s="182"/>
      <c r="BY68" s="182"/>
      <c r="BZ68" s="182"/>
      <c r="CA68" s="182"/>
      <c r="CB68" s="182"/>
      <c r="CC68" s="182"/>
      <c r="CD68" s="182"/>
      <c r="CE68" s="182"/>
      <c r="CF68" s="182"/>
      <c r="CG68" s="182"/>
      <c r="CH68" s="182"/>
      <c r="CI68" s="182"/>
      <c r="CJ68" s="182"/>
      <c r="CK68" s="182"/>
      <c r="CL68" s="182"/>
      <c r="CM68" s="182"/>
      <c r="CN68" s="182"/>
      <c r="CO68" s="182"/>
      <c r="CP68" s="182"/>
      <c r="CQ68" s="182"/>
      <c r="CR68" s="182"/>
      <c r="CS68" s="182"/>
      <c r="CT68" s="182"/>
      <c r="CU68" s="182"/>
      <c r="CV68" s="182"/>
      <c r="CW68" s="182"/>
      <c r="CX68" s="182"/>
      <c r="CY68" s="182"/>
      <c r="CZ68" s="182"/>
      <c r="DA68" s="182"/>
      <c r="DB68" s="182"/>
      <c r="DC68" s="182"/>
      <c r="DD68" s="182"/>
      <c r="DE68" s="182"/>
      <c r="DF68" s="182"/>
      <c r="DG68" s="182"/>
      <c r="DH68" s="182"/>
      <c r="DI68" s="182"/>
      <c r="DJ68" s="182"/>
      <c r="DK68" s="182"/>
      <c r="DL68" s="182"/>
      <c r="DM68" s="182"/>
      <c r="DN68" s="182"/>
      <c r="DO68" s="182"/>
      <c r="DP68" s="182"/>
      <c r="DQ68" s="182"/>
      <c r="DR68" s="182"/>
      <c r="DS68" s="182"/>
      <c r="DT68" s="182"/>
      <c r="DU68" s="182"/>
      <c r="DV68" s="182"/>
      <c r="DW68" s="182"/>
      <c r="DX68" s="182"/>
      <c r="DY68" s="182"/>
      <c r="DZ68" s="182"/>
      <c r="EA68" s="182"/>
      <c r="EB68" s="182"/>
      <c r="EC68" s="182"/>
      <c r="ED68" s="182"/>
      <c r="EE68" s="182"/>
      <c r="EF68" s="182"/>
      <c r="EG68" s="182"/>
      <c r="EH68" s="182"/>
      <c r="EI68" s="182"/>
      <c r="EJ68" s="182"/>
      <c r="EK68" s="182"/>
      <c r="EL68" s="182"/>
      <c r="EM68" s="182"/>
      <c r="EN68" s="182"/>
      <c r="EO68" s="182"/>
      <c r="EP68" s="182"/>
      <c r="EQ68" s="182"/>
      <c r="ER68" s="182"/>
      <c r="ES68" s="182"/>
      <c r="ET68" s="182"/>
      <c r="EU68" s="182"/>
      <c r="EV68" s="182"/>
      <c r="EW68" s="182"/>
      <c r="EX68" s="182"/>
      <c r="EY68" s="182"/>
      <c r="EZ68" s="182"/>
      <c r="FA68" s="182"/>
      <c r="FB68" s="182"/>
      <c r="FC68" s="182"/>
      <c r="FD68" s="182"/>
      <c r="FE68" s="182"/>
      <c r="FF68" s="182"/>
      <c r="FG68" s="182"/>
      <c r="FH68" s="182"/>
      <c r="FI68" s="182"/>
      <c r="FJ68" s="182"/>
      <c r="FK68" s="182"/>
      <c r="FL68" s="182"/>
      <c r="FM68" s="182"/>
      <c r="FN68" s="182"/>
      <c r="FO68" s="182"/>
      <c r="FP68" s="182"/>
      <c r="FQ68" s="182"/>
      <c r="FR68" s="182"/>
      <c r="FS68" s="182"/>
      <c r="FT68" s="182"/>
      <c r="FU68" s="182"/>
      <c r="FV68" s="182"/>
      <c r="FW68" s="182"/>
      <c r="FX68" s="182"/>
      <c r="FY68" s="182"/>
      <c r="FZ68" s="182"/>
      <c r="GA68" s="182"/>
      <c r="GB68" s="182"/>
      <c r="GC68" s="182"/>
      <c r="GD68" s="182"/>
      <c r="GE68" s="182"/>
      <c r="GF68" s="182"/>
      <c r="GG68" s="182"/>
      <c r="GH68" s="182"/>
      <c r="GI68" s="182"/>
    </row>
    <row r="69" spans="1:191" s="183" customFormat="1" ht="25.5" x14ac:dyDescent="0.2">
      <c r="A69" s="210" t="s">
        <v>38374</v>
      </c>
      <c r="B69" s="210" t="s">
        <v>18917</v>
      </c>
      <c r="C69" s="224" t="s">
        <v>22192</v>
      </c>
      <c r="D69" s="211" t="s">
        <v>16</v>
      </c>
      <c r="E69" s="211">
        <v>2</v>
      </c>
      <c r="F69" s="211"/>
      <c r="G69" s="211">
        <v>0.3</v>
      </c>
      <c r="H69" s="212"/>
      <c r="I69" s="213"/>
      <c r="J69" s="272">
        <v>2660.59</v>
      </c>
      <c r="K69" s="112">
        <f t="shared" si="11"/>
        <v>5321.18</v>
      </c>
      <c r="L69" s="273">
        <f>BDI!$E$17</f>
        <v>0.11260000000000001</v>
      </c>
      <c r="M69" s="213"/>
      <c r="N69" s="213"/>
      <c r="O69" s="114">
        <f t="shared" si="12"/>
        <v>2960.17</v>
      </c>
      <c r="P69" s="113">
        <f t="shared" si="13"/>
        <v>1776.1</v>
      </c>
      <c r="Q69" s="209"/>
      <c r="R69" s="203"/>
      <c r="S69" s="182"/>
      <c r="T69" s="182"/>
      <c r="U69" s="182"/>
      <c r="V69" s="182"/>
      <c r="W69" s="182"/>
      <c r="X69" s="182"/>
      <c r="Y69" s="182"/>
      <c r="Z69" s="182"/>
      <c r="AA69" s="182"/>
      <c r="AB69" s="182"/>
      <c r="AC69" s="182"/>
      <c r="AD69" s="182"/>
      <c r="AE69" s="182"/>
      <c r="AF69" s="182"/>
      <c r="AG69" s="182"/>
      <c r="AH69" s="182"/>
      <c r="AI69" s="182"/>
      <c r="AJ69" s="182"/>
      <c r="AK69" s="182"/>
      <c r="AL69" s="182"/>
      <c r="AM69" s="182"/>
      <c r="AN69" s="182"/>
      <c r="AO69" s="182"/>
      <c r="AP69" s="182"/>
      <c r="AQ69" s="182"/>
      <c r="AR69" s="182"/>
      <c r="AS69" s="182"/>
      <c r="AT69" s="182"/>
      <c r="AU69" s="182"/>
      <c r="AV69" s="182"/>
      <c r="AW69" s="182"/>
      <c r="AX69" s="182"/>
      <c r="AY69" s="182"/>
      <c r="AZ69" s="182"/>
      <c r="BA69" s="182"/>
      <c r="BB69" s="182"/>
      <c r="BC69" s="182"/>
      <c r="BD69" s="182"/>
      <c r="BE69" s="182"/>
      <c r="BF69" s="182"/>
      <c r="BG69" s="182"/>
      <c r="BH69" s="182"/>
      <c r="BI69" s="182"/>
      <c r="BJ69" s="182"/>
      <c r="BK69" s="182"/>
      <c r="BL69" s="182"/>
      <c r="BM69" s="182"/>
      <c r="BN69" s="182"/>
      <c r="BO69" s="182"/>
      <c r="BP69" s="182"/>
      <c r="BQ69" s="182"/>
      <c r="BR69" s="182"/>
      <c r="BS69" s="182"/>
      <c r="BT69" s="182"/>
      <c r="BU69" s="182"/>
      <c r="BV69" s="182"/>
      <c r="BW69" s="182"/>
      <c r="BX69" s="182"/>
      <c r="BY69" s="182"/>
      <c r="BZ69" s="182"/>
      <c r="CA69" s="182"/>
      <c r="CB69" s="182"/>
      <c r="CC69" s="182"/>
      <c r="CD69" s="182"/>
      <c r="CE69" s="182"/>
      <c r="CF69" s="182"/>
      <c r="CG69" s="182"/>
      <c r="CH69" s="182"/>
      <c r="CI69" s="182"/>
      <c r="CJ69" s="182"/>
      <c r="CK69" s="182"/>
      <c r="CL69" s="182"/>
      <c r="CM69" s="182"/>
      <c r="CN69" s="182"/>
      <c r="CO69" s="182"/>
      <c r="CP69" s="182"/>
      <c r="CQ69" s="182"/>
      <c r="CR69" s="182"/>
      <c r="CS69" s="182"/>
      <c r="CT69" s="182"/>
      <c r="CU69" s="182"/>
      <c r="CV69" s="182"/>
      <c r="CW69" s="182"/>
      <c r="CX69" s="182"/>
      <c r="CY69" s="182"/>
      <c r="CZ69" s="182"/>
      <c r="DA69" s="182"/>
      <c r="DB69" s="182"/>
      <c r="DC69" s="182"/>
      <c r="DD69" s="182"/>
      <c r="DE69" s="182"/>
      <c r="DF69" s="182"/>
      <c r="DG69" s="182"/>
      <c r="DH69" s="182"/>
      <c r="DI69" s="182"/>
      <c r="DJ69" s="182"/>
      <c r="DK69" s="182"/>
      <c r="DL69" s="182"/>
      <c r="DM69" s="182"/>
      <c r="DN69" s="182"/>
      <c r="DO69" s="182"/>
      <c r="DP69" s="182"/>
      <c r="DQ69" s="182"/>
      <c r="DR69" s="182"/>
      <c r="DS69" s="182"/>
      <c r="DT69" s="182"/>
      <c r="DU69" s="182"/>
      <c r="DV69" s="182"/>
      <c r="DW69" s="182"/>
      <c r="DX69" s="182"/>
      <c r="DY69" s="182"/>
      <c r="DZ69" s="182"/>
      <c r="EA69" s="182"/>
      <c r="EB69" s="182"/>
      <c r="EC69" s="182"/>
      <c r="ED69" s="182"/>
      <c r="EE69" s="182"/>
      <c r="EF69" s="182"/>
      <c r="EG69" s="182"/>
      <c r="EH69" s="182"/>
      <c r="EI69" s="182"/>
      <c r="EJ69" s="182"/>
      <c r="EK69" s="182"/>
      <c r="EL69" s="182"/>
      <c r="EM69" s="182"/>
      <c r="EN69" s="182"/>
      <c r="EO69" s="182"/>
      <c r="EP69" s="182"/>
      <c r="EQ69" s="182"/>
      <c r="ER69" s="182"/>
      <c r="ES69" s="182"/>
      <c r="ET69" s="182"/>
      <c r="EU69" s="182"/>
      <c r="EV69" s="182"/>
      <c r="EW69" s="182"/>
      <c r="EX69" s="182"/>
      <c r="EY69" s="182"/>
      <c r="EZ69" s="182"/>
      <c r="FA69" s="182"/>
      <c r="FB69" s="182"/>
      <c r="FC69" s="182"/>
      <c r="FD69" s="182"/>
      <c r="FE69" s="182"/>
      <c r="FF69" s="182"/>
      <c r="FG69" s="182"/>
      <c r="FH69" s="182"/>
      <c r="FI69" s="182"/>
      <c r="FJ69" s="182"/>
      <c r="FK69" s="182"/>
      <c r="FL69" s="182"/>
      <c r="FM69" s="182"/>
      <c r="FN69" s="182"/>
      <c r="FO69" s="182"/>
      <c r="FP69" s="182"/>
      <c r="FQ69" s="182"/>
      <c r="FR69" s="182"/>
      <c r="FS69" s="182"/>
      <c r="FT69" s="182"/>
      <c r="FU69" s="182"/>
      <c r="FV69" s="182"/>
      <c r="FW69" s="182"/>
      <c r="FX69" s="182"/>
      <c r="FY69" s="182"/>
      <c r="FZ69" s="182"/>
      <c r="GA69" s="182"/>
      <c r="GB69" s="182"/>
      <c r="GC69" s="182"/>
      <c r="GD69" s="182"/>
      <c r="GE69" s="182"/>
      <c r="GF69" s="182"/>
      <c r="GG69" s="182"/>
      <c r="GH69" s="182"/>
      <c r="GI69" s="182"/>
    </row>
    <row r="70" spans="1:191" s="183" customFormat="1" ht="25.5" x14ac:dyDescent="0.2">
      <c r="A70" s="210" t="s">
        <v>38375</v>
      </c>
      <c r="B70" s="210" t="s">
        <v>18918</v>
      </c>
      <c r="C70" s="224" t="s">
        <v>22193</v>
      </c>
      <c r="D70" s="211" t="s">
        <v>16</v>
      </c>
      <c r="E70" s="211">
        <v>1</v>
      </c>
      <c r="F70" s="211"/>
      <c r="G70" s="211">
        <v>0.3</v>
      </c>
      <c r="H70" s="212"/>
      <c r="I70" s="213"/>
      <c r="J70" s="272">
        <v>27900</v>
      </c>
      <c r="K70" s="112">
        <f t="shared" si="11"/>
        <v>27900</v>
      </c>
      <c r="L70" s="273">
        <f>BDI!$E$17</f>
        <v>0.11260000000000001</v>
      </c>
      <c r="M70" s="213"/>
      <c r="N70" s="213"/>
      <c r="O70" s="114">
        <f t="shared" si="12"/>
        <v>31041.54</v>
      </c>
      <c r="P70" s="113">
        <f t="shared" si="13"/>
        <v>9312.4599999999991</v>
      </c>
      <c r="Q70" s="209"/>
      <c r="R70" s="203"/>
      <c r="S70" s="182"/>
      <c r="T70" s="182"/>
      <c r="U70" s="182"/>
      <c r="V70" s="182"/>
      <c r="W70" s="182"/>
      <c r="X70" s="182"/>
      <c r="Y70" s="182"/>
      <c r="Z70" s="182"/>
      <c r="AA70" s="182"/>
      <c r="AB70" s="182"/>
      <c r="AC70" s="182"/>
      <c r="AD70" s="182"/>
      <c r="AE70" s="182"/>
      <c r="AF70" s="182"/>
      <c r="AG70" s="182"/>
      <c r="AH70" s="182"/>
      <c r="AI70" s="182"/>
      <c r="AJ70" s="182"/>
      <c r="AK70" s="182"/>
      <c r="AL70" s="182"/>
      <c r="AM70" s="182"/>
      <c r="AN70" s="182"/>
      <c r="AO70" s="182"/>
      <c r="AP70" s="182"/>
      <c r="AQ70" s="182"/>
      <c r="AR70" s="182"/>
      <c r="AS70" s="182"/>
      <c r="AT70" s="182"/>
      <c r="AU70" s="182"/>
      <c r="AV70" s="182"/>
      <c r="AW70" s="182"/>
      <c r="AX70" s="182"/>
      <c r="AY70" s="182"/>
      <c r="AZ70" s="182"/>
      <c r="BA70" s="182"/>
      <c r="BB70" s="182"/>
      <c r="BC70" s="182"/>
      <c r="BD70" s="182"/>
      <c r="BE70" s="182"/>
      <c r="BF70" s="182"/>
      <c r="BG70" s="182"/>
      <c r="BH70" s="182"/>
      <c r="BI70" s="182"/>
      <c r="BJ70" s="182"/>
      <c r="BK70" s="182"/>
      <c r="BL70" s="182"/>
      <c r="BM70" s="182"/>
      <c r="BN70" s="182"/>
      <c r="BO70" s="182"/>
      <c r="BP70" s="182"/>
      <c r="BQ70" s="182"/>
      <c r="BR70" s="182"/>
      <c r="BS70" s="182"/>
      <c r="BT70" s="182"/>
      <c r="BU70" s="182"/>
      <c r="BV70" s="182"/>
      <c r="BW70" s="182"/>
      <c r="BX70" s="182"/>
      <c r="BY70" s="182"/>
      <c r="BZ70" s="182"/>
      <c r="CA70" s="182"/>
      <c r="CB70" s="182"/>
      <c r="CC70" s="182"/>
      <c r="CD70" s="182"/>
      <c r="CE70" s="182"/>
      <c r="CF70" s="182"/>
      <c r="CG70" s="182"/>
      <c r="CH70" s="182"/>
      <c r="CI70" s="182"/>
      <c r="CJ70" s="182"/>
      <c r="CK70" s="182"/>
      <c r="CL70" s="182"/>
      <c r="CM70" s="182"/>
      <c r="CN70" s="182"/>
      <c r="CO70" s="182"/>
      <c r="CP70" s="182"/>
      <c r="CQ70" s="182"/>
      <c r="CR70" s="182"/>
      <c r="CS70" s="182"/>
      <c r="CT70" s="182"/>
      <c r="CU70" s="182"/>
      <c r="CV70" s="182"/>
      <c r="CW70" s="182"/>
      <c r="CX70" s="182"/>
      <c r="CY70" s="182"/>
      <c r="CZ70" s="182"/>
      <c r="DA70" s="182"/>
      <c r="DB70" s="182"/>
      <c r="DC70" s="182"/>
      <c r="DD70" s="182"/>
      <c r="DE70" s="182"/>
      <c r="DF70" s="182"/>
      <c r="DG70" s="182"/>
      <c r="DH70" s="182"/>
      <c r="DI70" s="182"/>
      <c r="DJ70" s="182"/>
      <c r="DK70" s="182"/>
      <c r="DL70" s="182"/>
      <c r="DM70" s="182"/>
      <c r="DN70" s="182"/>
      <c r="DO70" s="182"/>
      <c r="DP70" s="182"/>
      <c r="DQ70" s="182"/>
      <c r="DR70" s="182"/>
      <c r="DS70" s="182"/>
      <c r="DT70" s="182"/>
      <c r="DU70" s="182"/>
      <c r="DV70" s="182"/>
      <c r="DW70" s="182"/>
      <c r="DX70" s="182"/>
      <c r="DY70" s="182"/>
      <c r="DZ70" s="182"/>
      <c r="EA70" s="182"/>
      <c r="EB70" s="182"/>
      <c r="EC70" s="182"/>
      <c r="ED70" s="182"/>
      <c r="EE70" s="182"/>
      <c r="EF70" s="182"/>
      <c r="EG70" s="182"/>
      <c r="EH70" s="182"/>
      <c r="EI70" s="182"/>
      <c r="EJ70" s="182"/>
      <c r="EK70" s="182"/>
      <c r="EL70" s="182"/>
      <c r="EM70" s="182"/>
      <c r="EN70" s="182"/>
      <c r="EO70" s="182"/>
      <c r="EP70" s="182"/>
      <c r="EQ70" s="182"/>
      <c r="ER70" s="182"/>
      <c r="ES70" s="182"/>
      <c r="ET70" s="182"/>
      <c r="EU70" s="182"/>
      <c r="EV70" s="182"/>
      <c r="EW70" s="182"/>
      <c r="EX70" s="182"/>
      <c r="EY70" s="182"/>
      <c r="EZ70" s="182"/>
      <c r="FA70" s="182"/>
      <c r="FB70" s="182"/>
      <c r="FC70" s="182"/>
      <c r="FD70" s="182"/>
      <c r="FE70" s="182"/>
      <c r="FF70" s="182"/>
      <c r="FG70" s="182"/>
      <c r="FH70" s="182"/>
      <c r="FI70" s="182"/>
      <c r="FJ70" s="182"/>
      <c r="FK70" s="182"/>
      <c r="FL70" s="182"/>
      <c r="FM70" s="182"/>
      <c r="FN70" s="182"/>
      <c r="FO70" s="182"/>
      <c r="FP70" s="182"/>
      <c r="FQ70" s="182"/>
      <c r="FR70" s="182"/>
      <c r="FS70" s="182"/>
      <c r="FT70" s="182"/>
      <c r="FU70" s="182"/>
      <c r="FV70" s="182"/>
      <c r="FW70" s="182"/>
      <c r="FX70" s="182"/>
      <c r="FY70" s="182"/>
      <c r="FZ70" s="182"/>
      <c r="GA70" s="182"/>
      <c r="GB70" s="182"/>
      <c r="GC70" s="182"/>
      <c r="GD70" s="182"/>
      <c r="GE70" s="182"/>
      <c r="GF70" s="182"/>
      <c r="GG70" s="182"/>
      <c r="GH70" s="182"/>
      <c r="GI70" s="182"/>
    </row>
    <row r="71" spans="1:191" s="183" customFormat="1" ht="25.5" x14ac:dyDescent="0.2">
      <c r="A71" s="210" t="s">
        <v>38376</v>
      </c>
      <c r="B71" s="210" t="s">
        <v>18919</v>
      </c>
      <c r="C71" s="224" t="s">
        <v>38140</v>
      </c>
      <c r="D71" s="211" t="s">
        <v>16</v>
      </c>
      <c r="E71" s="211">
        <v>1</v>
      </c>
      <c r="F71" s="211"/>
      <c r="G71" s="211">
        <v>0.3</v>
      </c>
      <c r="H71" s="212"/>
      <c r="I71" s="213"/>
      <c r="J71" s="272">
        <v>4682.95</v>
      </c>
      <c r="K71" s="112">
        <f t="shared" si="11"/>
        <v>4682.95</v>
      </c>
      <c r="L71" s="273">
        <f>BDI!$E$17</f>
        <v>0.11260000000000001</v>
      </c>
      <c r="M71" s="213"/>
      <c r="N71" s="213"/>
      <c r="O71" s="114">
        <f t="shared" si="12"/>
        <v>5210.25</v>
      </c>
      <c r="P71" s="113">
        <f t="shared" si="13"/>
        <v>1563.08</v>
      </c>
      <c r="Q71" s="209"/>
      <c r="R71" s="203"/>
      <c r="S71" s="182"/>
      <c r="T71" s="182"/>
      <c r="U71" s="182"/>
      <c r="V71" s="182"/>
      <c r="W71" s="182"/>
      <c r="X71" s="182"/>
      <c r="Y71" s="182"/>
      <c r="Z71" s="182"/>
      <c r="AA71" s="182"/>
      <c r="AB71" s="182"/>
      <c r="AC71" s="182"/>
      <c r="AD71" s="182"/>
      <c r="AE71" s="182"/>
      <c r="AF71" s="182"/>
      <c r="AG71" s="182"/>
      <c r="AH71" s="182"/>
      <c r="AI71" s="182"/>
      <c r="AJ71" s="182"/>
      <c r="AK71" s="182"/>
      <c r="AL71" s="182"/>
      <c r="AM71" s="182"/>
      <c r="AN71" s="182"/>
      <c r="AO71" s="182"/>
      <c r="AP71" s="182"/>
      <c r="AQ71" s="182"/>
      <c r="AR71" s="182"/>
      <c r="AS71" s="182"/>
      <c r="AT71" s="182"/>
      <c r="AU71" s="182"/>
      <c r="AV71" s="182"/>
      <c r="AW71" s="182"/>
      <c r="AX71" s="182"/>
      <c r="AY71" s="182"/>
      <c r="AZ71" s="182"/>
      <c r="BA71" s="182"/>
      <c r="BB71" s="182"/>
      <c r="BC71" s="182"/>
      <c r="BD71" s="182"/>
      <c r="BE71" s="182"/>
      <c r="BF71" s="182"/>
      <c r="BG71" s="182"/>
      <c r="BH71" s="182"/>
      <c r="BI71" s="182"/>
      <c r="BJ71" s="182"/>
      <c r="BK71" s="182"/>
      <c r="BL71" s="182"/>
      <c r="BM71" s="182"/>
      <c r="BN71" s="182"/>
      <c r="BO71" s="182"/>
      <c r="BP71" s="182"/>
      <c r="BQ71" s="182"/>
      <c r="BR71" s="182"/>
      <c r="BS71" s="182"/>
      <c r="BT71" s="182"/>
      <c r="BU71" s="182"/>
      <c r="BV71" s="182"/>
      <c r="BW71" s="182"/>
      <c r="BX71" s="182"/>
      <c r="BY71" s="182"/>
      <c r="BZ71" s="182"/>
      <c r="CA71" s="182"/>
      <c r="CB71" s="182"/>
      <c r="CC71" s="182"/>
      <c r="CD71" s="182"/>
      <c r="CE71" s="182"/>
      <c r="CF71" s="182"/>
      <c r="CG71" s="182"/>
      <c r="CH71" s="182"/>
      <c r="CI71" s="182"/>
      <c r="CJ71" s="182"/>
      <c r="CK71" s="182"/>
      <c r="CL71" s="182"/>
      <c r="CM71" s="182"/>
      <c r="CN71" s="182"/>
      <c r="CO71" s="182"/>
      <c r="CP71" s="182"/>
      <c r="CQ71" s="182"/>
      <c r="CR71" s="182"/>
      <c r="CS71" s="182"/>
      <c r="CT71" s="182"/>
      <c r="CU71" s="182"/>
      <c r="CV71" s="182"/>
      <c r="CW71" s="182"/>
      <c r="CX71" s="182"/>
      <c r="CY71" s="182"/>
      <c r="CZ71" s="182"/>
      <c r="DA71" s="182"/>
      <c r="DB71" s="182"/>
      <c r="DC71" s="182"/>
      <c r="DD71" s="182"/>
      <c r="DE71" s="182"/>
      <c r="DF71" s="182"/>
      <c r="DG71" s="182"/>
      <c r="DH71" s="182"/>
      <c r="DI71" s="182"/>
      <c r="DJ71" s="182"/>
      <c r="DK71" s="182"/>
      <c r="DL71" s="182"/>
      <c r="DM71" s="182"/>
      <c r="DN71" s="182"/>
      <c r="DO71" s="182"/>
      <c r="DP71" s="182"/>
      <c r="DQ71" s="182"/>
      <c r="DR71" s="182"/>
      <c r="DS71" s="182"/>
      <c r="DT71" s="182"/>
      <c r="DU71" s="182"/>
      <c r="DV71" s="182"/>
      <c r="DW71" s="182"/>
      <c r="DX71" s="182"/>
      <c r="DY71" s="182"/>
      <c r="DZ71" s="182"/>
      <c r="EA71" s="182"/>
      <c r="EB71" s="182"/>
      <c r="EC71" s="182"/>
      <c r="ED71" s="182"/>
      <c r="EE71" s="182"/>
      <c r="EF71" s="182"/>
      <c r="EG71" s="182"/>
      <c r="EH71" s="182"/>
      <c r="EI71" s="182"/>
      <c r="EJ71" s="182"/>
      <c r="EK71" s="182"/>
      <c r="EL71" s="182"/>
      <c r="EM71" s="182"/>
      <c r="EN71" s="182"/>
      <c r="EO71" s="182"/>
      <c r="EP71" s="182"/>
      <c r="EQ71" s="182"/>
      <c r="ER71" s="182"/>
      <c r="ES71" s="182"/>
      <c r="ET71" s="182"/>
      <c r="EU71" s="182"/>
      <c r="EV71" s="182"/>
      <c r="EW71" s="182"/>
      <c r="EX71" s="182"/>
      <c r="EY71" s="182"/>
      <c r="EZ71" s="182"/>
      <c r="FA71" s="182"/>
      <c r="FB71" s="182"/>
      <c r="FC71" s="182"/>
      <c r="FD71" s="182"/>
      <c r="FE71" s="182"/>
      <c r="FF71" s="182"/>
      <c r="FG71" s="182"/>
      <c r="FH71" s="182"/>
      <c r="FI71" s="182"/>
      <c r="FJ71" s="182"/>
      <c r="FK71" s="182"/>
      <c r="FL71" s="182"/>
      <c r="FM71" s="182"/>
      <c r="FN71" s="182"/>
      <c r="FO71" s="182"/>
      <c r="FP71" s="182"/>
      <c r="FQ71" s="182"/>
      <c r="FR71" s="182"/>
      <c r="FS71" s="182"/>
      <c r="FT71" s="182"/>
      <c r="FU71" s="182"/>
      <c r="FV71" s="182"/>
      <c r="FW71" s="182"/>
      <c r="FX71" s="182"/>
      <c r="FY71" s="182"/>
      <c r="FZ71" s="182"/>
      <c r="GA71" s="182"/>
      <c r="GB71" s="182"/>
      <c r="GC71" s="182"/>
      <c r="GD71" s="182"/>
      <c r="GE71" s="182"/>
      <c r="GF71" s="182"/>
      <c r="GG71" s="182"/>
      <c r="GH71" s="182"/>
      <c r="GI71" s="182"/>
    </row>
    <row r="72" spans="1:191" s="183" customFormat="1" ht="25.5" x14ac:dyDescent="0.2">
      <c r="A72" s="210" t="s">
        <v>38377</v>
      </c>
      <c r="B72" s="210" t="s">
        <v>18920</v>
      </c>
      <c r="C72" s="224" t="s">
        <v>22194</v>
      </c>
      <c r="D72" s="211" t="s">
        <v>16</v>
      </c>
      <c r="E72" s="211">
        <v>4</v>
      </c>
      <c r="F72" s="211"/>
      <c r="G72" s="211">
        <v>0.3</v>
      </c>
      <c r="H72" s="212"/>
      <c r="I72" s="213"/>
      <c r="J72" s="272">
        <v>5070.71</v>
      </c>
      <c r="K72" s="112">
        <f t="shared" si="11"/>
        <v>20282.84</v>
      </c>
      <c r="L72" s="273">
        <f>BDI!$E$17</f>
        <v>0.11260000000000001</v>
      </c>
      <c r="M72" s="213"/>
      <c r="N72" s="213"/>
      <c r="O72" s="114">
        <f t="shared" si="12"/>
        <v>5641.67</v>
      </c>
      <c r="P72" s="113">
        <f t="shared" si="13"/>
        <v>6770</v>
      </c>
      <c r="Q72" s="209"/>
      <c r="R72" s="203"/>
      <c r="S72" s="182"/>
      <c r="T72" s="182"/>
      <c r="U72" s="182"/>
      <c r="V72" s="182"/>
      <c r="W72" s="182"/>
      <c r="X72" s="182"/>
      <c r="Y72" s="182"/>
      <c r="Z72" s="182"/>
      <c r="AA72" s="182"/>
      <c r="AB72" s="182"/>
      <c r="AC72" s="182"/>
      <c r="AD72" s="182"/>
      <c r="AE72" s="182"/>
      <c r="AF72" s="182"/>
      <c r="AG72" s="182"/>
      <c r="AH72" s="182"/>
      <c r="AI72" s="182"/>
      <c r="AJ72" s="182"/>
      <c r="AK72" s="182"/>
      <c r="AL72" s="182"/>
      <c r="AM72" s="182"/>
      <c r="AN72" s="182"/>
      <c r="AO72" s="182"/>
      <c r="AP72" s="182"/>
      <c r="AQ72" s="182"/>
      <c r="AR72" s="182"/>
      <c r="AS72" s="182"/>
      <c r="AT72" s="182"/>
      <c r="AU72" s="182"/>
      <c r="AV72" s="182"/>
      <c r="AW72" s="182"/>
      <c r="AX72" s="182"/>
      <c r="AY72" s="182"/>
      <c r="AZ72" s="182"/>
      <c r="BA72" s="182"/>
      <c r="BB72" s="182"/>
      <c r="BC72" s="182"/>
      <c r="BD72" s="182"/>
      <c r="BE72" s="182"/>
      <c r="BF72" s="182"/>
      <c r="BG72" s="182"/>
      <c r="BH72" s="182"/>
      <c r="BI72" s="182"/>
      <c r="BJ72" s="182"/>
      <c r="BK72" s="182"/>
      <c r="BL72" s="182"/>
      <c r="BM72" s="182"/>
      <c r="BN72" s="182"/>
      <c r="BO72" s="182"/>
      <c r="BP72" s="182"/>
      <c r="BQ72" s="182"/>
      <c r="BR72" s="182"/>
      <c r="BS72" s="182"/>
      <c r="BT72" s="182"/>
      <c r="BU72" s="182"/>
      <c r="BV72" s="182"/>
      <c r="BW72" s="182"/>
      <c r="BX72" s="182"/>
      <c r="BY72" s="182"/>
      <c r="BZ72" s="182"/>
      <c r="CA72" s="182"/>
      <c r="CB72" s="182"/>
      <c r="CC72" s="182"/>
      <c r="CD72" s="182"/>
      <c r="CE72" s="182"/>
      <c r="CF72" s="182"/>
      <c r="CG72" s="182"/>
      <c r="CH72" s="182"/>
      <c r="CI72" s="182"/>
      <c r="CJ72" s="182"/>
      <c r="CK72" s="182"/>
      <c r="CL72" s="182"/>
      <c r="CM72" s="182"/>
      <c r="CN72" s="182"/>
      <c r="CO72" s="182"/>
      <c r="CP72" s="182"/>
      <c r="CQ72" s="182"/>
      <c r="CR72" s="182"/>
      <c r="CS72" s="182"/>
      <c r="CT72" s="182"/>
      <c r="CU72" s="182"/>
      <c r="CV72" s="182"/>
      <c r="CW72" s="182"/>
      <c r="CX72" s="182"/>
      <c r="CY72" s="182"/>
      <c r="CZ72" s="182"/>
      <c r="DA72" s="182"/>
      <c r="DB72" s="182"/>
      <c r="DC72" s="182"/>
      <c r="DD72" s="182"/>
      <c r="DE72" s="182"/>
      <c r="DF72" s="182"/>
      <c r="DG72" s="182"/>
      <c r="DH72" s="182"/>
      <c r="DI72" s="182"/>
      <c r="DJ72" s="182"/>
      <c r="DK72" s="182"/>
      <c r="DL72" s="182"/>
      <c r="DM72" s="182"/>
      <c r="DN72" s="182"/>
      <c r="DO72" s="182"/>
      <c r="DP72" s="182"/>
      <c r="DQ72" s="182"/>
      <c r="DR72" s="182"/>
      <c r="DS72" s="182"/>
      <c r="DT72" s="182"/>
      <c r="DU72" s="182"/>
      <c r="DV72" s="182"/>
      <c r="DW72" s="182"/>
      <c r="DX72" s="182"/>
      <c r="DY72" s="182"/>
      <c r="DZ72" s="182"/>
      <c r="EA72" s="182"/>
      <c r="EB72" s="182"/>
      <c r="EC72" s="182"/>
      <c r="ED72" s="182"/>
      <c r="EE72" s="182"/>
      <c r="EF72" s="182"/>
      <c r="EG72" s="182"/>
      <c r="EH72" s="182"/>
      <c r="EI72" s="182"/>
      <c r="EJ72" s="182"/>
      <c r="EK72" s="182"/>
      <c r="EL72" s="182"/>
      <c r="EM72" s="182"/>
      <c r="EN72" s="182"/>
      <c r="EO72" s="182"/>
      <c r="EP72" s="182"/>
      <c r="EQ72" s="182"/>
      <c r="ER72" s="182"/>
      <c r="ES72" s="182"/>
      <c r="ET72" s="182"/>
      <c r="EU72" s="182"/>
      <c r="EV72" s="182"/>
      <c r="EW72" s="182"/>
      <c r="EX72" s="182"/>
      <c r="EY72" s="182"/>
      <c r="EZ72" s="182"/>
      <c r="FA72" s="182"/>
      <c r="FB72" s="182"/>
      <c r="FC72" s="182"/>
      <c r="FD72" s="182"/>
      <c r="FE72" s="182"/>
      <c r="FF72" s="182"/>
      <c r="FG72" s="182"/>
      <c r="FH72" s="182"/>
      <c r="FI72" s="182"/>
      <c r="FJ72" s="182"/>
      <c r="FK72" s="182"/>
      <c r="FL72" s="182"/>
      <c r="FM72" s="182"/>
      <c r="FN72" s="182"/>
      <c r="FO72" s="182"/>
      <c r="FP72" s="182"/>
      <c r="FQ72" s="182"/>
      <c r="FR72" s="182"/>
      <c r="FS72" s="182"/>
      <c r="FT72" s="182"/>
      <c r="FU72" s="182"/>
      <c r="FV72" s="182"/>
      <c r="FW72" s="182"/>
      <c r="FX72" s="182"/>
      <c r="FY72" s="182"/>
      <c r="FZ72" s="182"/>
      <c r="GA72" s="182"/>
      <c r="GB72" s="182"/>
      <c r="GC72" s="182"/>
      <c r="GD72" s="182"/>
      <c r="GE72" s="182"/>
      <c r="GF72" s="182"/>
      <c r="GG72" s="182"/>
      <c r="GH72" s="182"/>
      <c r="GI72" s="182"/>
    </row>
    <row r="73" spans="1:191" s="183" customFormat="1" ht="25.5" x14ac:dyDescent="0.2">
      <c r="A73" s="210" t="s">
        <v>38378</v>
      </c>
      <c r="B73" s="210" t="s">
        <v>18921</v>
      </c>
      <c r="C73" s="224" t="s">
        <v>22195</v>
      </c>
      <c r="D73" s="211" t="s">
        <v>16</v>
      </c>
      <c r="E73" s="211">
        <v>1</v>
      </c>
      <c r="F73" s="211"/>
      <c r="G73" s="211">
        <v>0.3</v>
      </c>
      <c r="H73" s="212"/>
      <c r="I73" s="213"/>
      <c r="J73" s="272">
        <v>6467.78</v>
      </c>
      <c r="K73" s="112">
        <f t="shared" si="11"/>
        <v>6467.78</v>
      </c>
      <c r="L73" s="273">
        <f>BDI!$E$17</f>
        <v>0.11260000000000001</v>
      </c>
      <c r="M73" s="213"/>
      <c r="N73" s="213"/>
      <c r="O73" s="114">
        <f t="shared" si="12"/>
        <v>7196.05</v>
      </c>
      <c r="P73" s="113">
        <f t="shared" si="13"/>
        <v>2158.8200000000002</v>
      </c>
      <c r="Q73" s="209"/>
      <c r="R73" s="203"/>
      <c r="S73" s="182"/>
      <c r="T73" s="182"/>
      <c r="U73" s="182"/>
      <c r="V73" s="182"/>
      <c r="W73" s="182"/>
      <c r="X73" s="182"/>
      <c r="Y73" s="182"/>
      <c r="Z73" s="182"/>
      <c r="AA73" s="182"/>
      <c r="AB73" s="182"/>
      <c r="AC73" s="182"/>
      <c r="AD73" s="182"/>
      <c r="AE73" s="182"/>
      <c r="AF73" s="182"/>
      <c r="AG73" s="182"/>
      <c r="AH73" s="182"/>
      <c r="AI73" s="182"/>
      <c r="AJ73" s="182"/>
      <c r="AK73" s="182"/>
      <c r="AL73" s="182"/>
      <c r="AM73" s="182"/>
      <c r="AN73" s="182"/>
      <c r="AO73" s="182"/>
      <c r="AP73" s="182"/>
      <c r="AQ73" s="182"/>
      <c r="AR73" s="182"/>
      <c r="AS73" s="182"/>
      <c r="AT73" s="182"/>
      <c r="AU73" s="182"/>
      <c r="AV73" s="182"/>
      <c r="AW73" s="182"/>
      <c r="AX73" s="182"/>
      <c r="AY73" s="182"/>
      <c r="AZ73" s="182"/>
      <c r="BA73" s="182"/>
      <c r="BB73" s="182"/>
      <c r="BC73" s="182"/>
      <c r="BD73" s="182"/>
      <c r="BE73" s="182"/>
      <c r="BF73" s="182"/>
      <c r="BG73" s="182"/>
      <c r="BH73" s="182"/>
      <c r="BI73" s="182"/>
      <c r="BJ73" s="182"/>
      <c r="BK73" s="182"/>
      <c r="BL73" s="182"/>
      <c r="BM73" s="182"/>
      <c r="BN73" s="182"/>
      <c r="BO73" s="182"/>
      <c r="BP73" s="182"/>
      <c r="BQ73" s="182"/>
      <c r="BR73" s="182"/>
      <c r="BS73" s="182"/>
      <c r="BT73" s="182"/>
      <c r="BU73" s="182"/>
      <c r="BV73" s="182"/>
      <c r="BW73" s="182"/>
      <c r="BX73" s="182"/>
      <c r="BY73" s="182"/>
      <c r="BZ73" s="182"/>
      <c r="CA73" s="182"/>
      <c r="CB73" s="182"/>
      <c r="CC73" s="182"/>
      <c r="CD73" s="182"/>
      <c r="CE73" s="182"/>
      <c r="CF73" s="182"/>
      <c r="CG73" s="182"/>
      <c r="CH73" s="182"/>
      <c r="CI73" s="182"/>
      <c r="CJ73" s="182"/>
      <c r="CK73" s="182"/>
      <c r="CL73" s="182"/>
      <c r="CM73" s="182"/>
      <c r="CN73" s="182"/>
      <c r="CO73" s="182"/>
      <c r="CP73" s="182"/>
      <c r="CQ73" s="182"/>
      <c r="CR73" s="182"/>
      <c r="CS73" s="182"/>
      <c r="CT73" s="182"/>
      <c r="CU73" s="182"/>
      <c r="CV73" s="182"/>
      <c r="CW73" s="182"/>
      <c r="CX73" s="182"/>
      <c r="CY73" s="182"/>
      <c r="CZ73" s="182"/>
      <c r="DA73" s="182"/>
      <c r="DB73" s="182"/>
      <c r="DC73" s="182"/>
      <c r="DD73" s="182"/>
      <c r="DE73" s="182"/>
      <c r="DF73" s="182"/>
      <c r="DG73" s="182"/>
      <c r="DH73" s="182"/>
      <c r="DI73" s="182"/>
      <c r="DJ73" s="182"/>
      <c r="DK73" s="182"/>
      <c r="DL73" s="182"/>
      <c r="DM73" s="182"/>
      <c r="DN73" s="182"/>
      <c r="DO73" s="182"/>
      <c r="DP73" s="182"/>
      <c r="DQ73" s="182"/>
      <c r="DR73" s="182"/>
      <c r="DS73" s="182"/>
      <c r="DT73" s="182"/>
      <c r="DU73" s="182"/>
      <c r="DV73" s="182"/>
      <c r="DW73" s="182"/>
      <c r="DX73" s="182"/>
      <c r="DY73" s="182"/>
      <c r="DZ73" s="182"/>
      <c r="EA73" s="182"/>
      <c r="EB73" s="182"/>
      <c r="EC73" s="182"/>
      <c r="ED73" s="182"/>
      <c r="EE73" s="182"/>
      <c r="EF73" s="182"/>
      <c r="EG73" s="182"/>
      <c r="EH73" s="182"/>
      <c r="EI73" s="182"/>
      <c r="EJ73" s="182"/>
      <c r="EK73" s="182"/>
      <c r="EL73" s="182"/>
      <c r="EM73" s="182"/>
      <c r="EN73" s="182"/>
      <c r="EO73" s="182"/>
      <c r="EP73" s="182"/>
      <c r="EQ73" s="182"/>
      <c r="ER73" s="182"/>
      <c r="ES73" s="182"/>
      <c r="ET73" s="182"/>
      <c r="EU73" s="182"/>
      <c r="EV73" s="182"/>
      <c r="EW73" s="182"/>
      <c r="EX73" s="182"/>
      <c r="EY73" s="182"/>
      <c r="EZ73" s="182"/>
      <c r="FA73" s="182"/>
      <c r="FB73" s="182"/>
      <c r="FC73" s="182"/>
      <c r="FD73" s="182"/>
      <c r="FE73" s="182"/>
      <c r="FF73" s="182"/>
      <c r="FG73" s="182"/>
      <c r="FH73" s="182"/>
      <c r="FI73" s="182"/>
      <c r="FJ73" s="182"/>
      <c r="FK73" s="182"/>
      <c r="FL73" s="182"/>
      <c r="FM73" s="182"/>
      <c r="FN73" s="182"/>
      <c r="FO73" s="182"/>
      <c r="FP73" s="182"/>
      <c r="FQ73" s="182"/>
      <c r="FR73" s="182"/>
      <c r="FS73" s="182"/>
      <c r="FT73" s="182"/>
      <c r="FU73" s="182"/>
      <c r="FV73" s="182"/>
      <c r="FW73" s="182"/>
      <c r="FX73" s="182"/>
      <c r="FY73" s="182"/>
      <c r="FZ73" s="182"/>
      <c r="GA73" s="182"/>
      <c r="GB73" s="182"/>
      <c r="GC73" s="182"/>
      <c r="GD73" s="182"/>
      <c r="GE73" s="182"/>
      <c r="GF73" s="182"/>
      <c r="GG73" s="182"/>
      <c r="GH73" s="182"/>
      <c r="GI73" s="182"/>
    </row>
    <row r="74" spans="1:191" s="183" customFormat="1" x14ac:dyDescent="0.2">
      <c r="A74" s="210" t="s">
        <v>38379</v>
      </c>
      <c r="B74" s="210" t="s">
        <v>18922</v>
      </c>
      <c r="C74" s="224" t="s">
        <v>22196</v>
      </c>
      <c r="D74" s="211" t="s">
        <v>16</v>
      </c>
      <c r="E74" s="211">
        <v>18</v>
      </c>
      <c r="F74" s="211"/>
      <c r="G74" s="211">
        <v>0.3</v>
      </c>
      <c r="H74" s="212"/>
      <c r="I74" s="213"/>
      <c r="J74" s="272">
        <v>2281.33</v>
      </c>
      <c r="K74" s="112">
        <f t="shared" si="11"/>
        <v>41063.94</v>
      </c>
      <c r="L74" s="273">
        <f>BDI!$E$17</f>
        <v>0.11260000000000001</v>
      </c>
      <c r="M74" s="213"/>
      <c r="N74" s="213"/>
      <c r="O74" s="114">
        <f t="shared" si="12"/>
        <v>2538.21</v>
      </c>
      <c r="P74" s="113">
        <f t="shared" si="13"/>
        <v>13706.33</v>
      </c>
      <c r="Q74" s="209"/>
      <c r="R74" s="203"/>
      <c r="S74" s="182"/>
      <c r="T74" s="182"/>
      <c r="U74" s="182"/>
      <c r="V74" s="182"/>
      <c r="W74" s="182"/>
      <c r="X74" s="182"/>
      <c r="Y74" s="182"/>
      <c r="Z74" s="182"/>
      <c r="AA74" s="182"/>
      <c r="AB74" s="182"/>
      <c r="AC74" s="182"/>
      <c r="AD74" s="182"/>
      <c r="AE74" s="182"/>
      <c r="AF74" s="182"/>
      <c r="AG74" s="182"/>
      <c r="AH74" s="182"/>
      <c r="AI74" s="182"/>
      <c r="AJ74" s="182"/>
      <c r="AK74" s="182"/>
      <c r="AL74" s="182"/>
      <c r="AM74" s="182"/>
      <c r="AN74" s="182"/>
      <c r="AO74" s="182"/>
      <c r="AP74" s="182"/>
      <c r="AQ74" s="182"/>
      <c r="AR74" s="182"/>
      <c r="AS74" s="182"/>
      <c r="AT74" s="182"/>
      <c r="AU74" s="182"/>
      <c r="AV74" s="182"/>
      <c r="AW74" s="182"/>
      <c r="AX74" s="182"/>
      <c r="AY74" s="182"/>
      <c r="AZ74" s="182"/>
      <c r="BA74" s="182"/>
      <c r="BB74" s="182"/>
      <c r="BC74" s="182"/>
      <c r="BD74" s="182"/>
      <c r="BE74" s="182"/>
      <c r="BF74" s="182"/>
      <c r="BG74" s="182"/>
      <c r="BH74" s="182"/>
      <c r="BI74" s="182"/>
      <c r="BJ74" s="182"/>
      <c r="BK74" s="182"/>
      <c r="BL74" s="182"/>
      <c r="BM74" s="182"/>
      <c r="BN74" s="182"/>
      <c r="BO74" s="182"/>
      <c r="BP74" s="182"/>
      <c r="BQ74" s="182"/>
      <c r="BR74" s="182"/>
      <c r="BS74" s="182"/>
      <c r="BT74" s="182"/>
      <c r="BU74" s="182"/>
      <c r="BV74" s="182"/>
      <c r="BW74" s="182"/>
      <c r="BX74" s="182"/>
      <c r="BY74" s="182"/>
      <c r="BZ74" s="182"/>
      <c r="CA74" s="182"/>
      <c r="CB74" s="182"/>
      <c r="CC74" s="182"/>
      <c r="CD74" s="182"/>
      <c r="CE74" s="182"/>
      <c r="CF74" s="182"/>
      <c r="CG74" s="182"/>
      <c r="CH74" s="182"/>
      <c r="CI74" s="182"/>
      <c r="CJ74" s="182"/>
      <c r="CK74" s="182"/>
      <c r="CL74" s="182"/>
      <c r="CM74" s="182"/>
      <c r="CN74" s="182"/>
      <c r="CO74" s="182"/>
      <c r="CP74" s="182"/>
      <c r="CQ74" s="182"/>
      <c r="CR74" s="182"/>
      <c r="CS74" s="182"/>
      <c r="CT74" s="182"/>
      <c r="CU74" s="182"/>
      <c r="CV74" s="182"/>
      <c r="CW74" s="182"/>
      <c r="CX74" s="182"/>
      <c r="CY74" s="182"/>
      <c r="CZ74" s="182"/>
      <c r="DA74" s="182"/>
      <c r="DB74" s="182"/>
      <c r="DC74" s="182"/>
      <c r="DD74" s="182"/>
      <c r="DE74" s="182"/>
      <c r="DF74" s="182"/>
      <c r="DG74" s="182"/>
      <c r="DH74" s="182"/>
      <c r="DI74" s="182"/>
      <c r="DJ74" s="182"/>
      <c r="DK74" s="182"/>
      <c r="DL74" s="182"/>
      <c r="DM74" s="182"/>
      <c r="DN74" s="182"/>
      <c r="DO74" s="182"/>
      <c r="DP74" s="182"/>
      <c r="DQ74" s="182"/>
      <c r="DR74" s="182"/>
      <c r="DS74" s="182"/>
      <c r="DT74" s="182"/>
      <c r="DU74" s="182"/>
      <c r="DV74" s="182"/>
      <c r="DW74" s="182"/>
      <c r="DX74" s="182"/>
      <c r="DY74" s="182"/>
      <c r="DZ74" s="182"/>
      <c r="EA74" s="182"/>
      <c r="EB74" s="182"/>
      <c r="EC74" s="182"/>
      <c r="ED74" s="182"/>
      <c r="EE74" s="182"/>
      <c r="EF74" s="182"/>
      <c r="EG74" s="182"/>
      <c r="EH74" s="182"/>
      <c r="EI74" s="182"/>
      <c r="EJ74" s="182"/>
      <c r="EK74" s="182"/>
      <c r="EL74" s="182"/>
      <c r="EM74" s="182"/>
      <c r="EN74" s="182"/>
      <c r="EO74" s="182"/>
      <c r="EP74" s="182"/>
      <c r="EQ74" s="182"/>
      <c r="ER74" s="182"/>
      <c r="ES74" s="182"/>
      <c r="ET74" s="182"/>
      <c r="EU74" s="182"/>
      <c r="EV74" s="182"/>
      <c r="EW74" s="182"/>
      <c r="EX74" s="182"/>
      <c r="EY74" s="182"/>
      <c r="EZ74" s="182"/>
      <c r="FA74" s="182"/>
      <c r="FB74" s="182"/>
      <c r="FC74" s="182"/>
      <c r="FD74" s="182"/>
      <c r="FE74" s="182"/>
      <c r="FF74" s="182"/>
      <c r="FG74" s="182"/>
      <c r="FH74" s="182"/>
      <c r="FI74" s="182"/>
      <c r="FJ74" s="182"/>
      <c r="FK74" s="182"/>
      <c r="FL74" s="182"/>
      <c r="FM74" s="182"/>
      <c r="FN74" s="182"/>
      <c r="FO74" s="182"/>
      <c r="FP74" s="182"/>
      <c r="FQ74" s="182"/>
      <c r="FR74" s="182"/>
      <c r="FS74" s="182"/>
      <c r="FT74" s="182"/>
      <c r="FU74" s="182"/>
      <c r="FV74" s="182"/>
      <c r="FW74" s="182"/>
      <c r="FX74" s="182"/>
      <c r="FY74" s="182"/>
      <c r="FZ74" s="182"/>
      <c r="GA74" s="182"/>
      <c r="GB74" s="182"/>
      <c r="GC74" s="182"/>
      <c r="GD74" s="182"/>
      <c r="GE74" s="182"/>
      <c r="GF74" s="182"/>
      <c r="GG74" s="182"/>
      <c r="GH74" s="182"/>
      <c r="GI74" s="182"/>
    </row>
    <row r="75" spans="1:191" s="183" customFormat="1" ht="25.5" x14ac:dyDescent="0.2">
      <c r="A75" s="210" t="s">
        <v>38380</v>
      </c>
      <c r="B75" s="210" t="s">
        <v>18923</v>
      </c>
      <c r="C75" s="224" t="s">
        <v>22197</v>
      </c>
      <c r="D75" s="211" t="s">
        <v>16</v>
      </c>
      <c r="E75" s="211">
        <v>6</v>
      </c>
      <c r="F75" s="211"/>
      <c r="G75" s="211">
        <v>0.3</v>
      </c>
      <c r="H75" s="212"/>
      <c r="I75" s="213"/>
      <c r="J75" s="272">
        <v>2274.02</v>
      </c>
      <c r="K75" s="112">
        <f t="shared" si="11"/>
        <v>13644.12</v>
      </c>
      <c r="L75" s="273">
        <f>BDI!$E$17</f>
        <v>0.11260000000000001</v>
      </c>
      <c r="M75" s="213"/>
      <c r="N75" s="213"/>
      <c r="O75" s="114">
        <f t="shared" si="12"/>
        <v>2530.0700000000002</v>
      </c>
      <c r="P75" s="113">
        <f t="shared" si="13"/>
        <v>4554.13</v>
      </c>
      <c r="Q75" s="209"/>
      <c r="R75" s="203"/>
      <c r="S75" s="182"/>
      <c r="T75" s="182"/>
      <c r="U75" s="182"/>
      <c r="V75" s="182"/>
      <c r="W75" s="182"/>
      <c r="X75" s="182"/>
      <c r="Y75" s="182"/>
      <c r="Z75" s="182"/>
      <c r="AA75" s="182"/>
      <c r="AB75" s="182"/>
      <c r="AC75" s="182"/>
      <c r="AD75" s="182"/>
      <c r="AE75" s="182"/>
      <c r="AF75" s="182"/>
      <c r="AG75" s="182"/>
      <c r="AH75" s="182"/>
      <c r="AI75" s="182"/>
      <c r="AJ75" s="182"/>
      <c r="AK75" s="182"/>
      <c r="AL75" s="182"/>
      <c r="AM75" s="182"/>
      <c r="AN75" s="182"/>
      <c r="AO75" s="182"/>
      <c r="AP75" s="182"/>
      <c r="AQ75" s="182"/>
      <c r="AR75" s="182"/>
      <c r="AS75" s="182"/>
      <c r="AT75" s="182"/>
      <c r="AU75" s="182"/>
      <c r="AV75" s="182"/>
      <c r="AW75" s="182"/>
      <c r="AX75" s="182"/>
      <c r="AY75" s="182"/>
      <c r="AZ75" s="182"/>
      <c r="BA75" s="182"/>
      <c r="BB75" s="182"/>
      <c r="BC75" s="182"/>
      <c r="BD75" s="182"/>
      <c r="BE75" s="182"/>
      <c r="BF75" s="182"/>
      <c r="BG75" s="182"/>
      <c r="BH75" s="182"/>
      <c r="BI75" s="182"/>
      <c r="BJ75" s="182"/>
      <c r="BK75" s="182"/>
      <c r="BL75" s="182"/>
      <c r="BM75" s="182"/>
      <c r="BN75" s="182"/>
      <c r="BO75" s="182"/>
      <c r="BP75" s="182"/>
      <c r="BQ75" s="182"/>
      <c r="BR75" s="182"/>
      <c r="BS75" s="182"/>
      <c r="BT75" s="182"/>
      <c r="BU75" s="182"/>
      <c r="BV75" s="182"/>
      <c r="BW75" s="182"/>
      <c r="BX75" s="182"/>
      <c r="BY75" s="182"/>
      <c r="BZ75" s="182"/>
      <c r="CA75" s="182"/>
      <c r="CB75" s="182"/>
      <c r="CC75" s="182"/>
      <c r="CD75" s="182"/>
      <c r="CE75" s="182"/>
      <c r="CF75" s="182"/>
      <c r="CG75" s="182"/>
      <c r="CH75" s="182"/>
      <c r="CI75" s="182"/>
      <c r="CJ75" s="182"/>
      <c r="CK75" s="182"/>
      <c r="CL75" s="182"/>
      <c r="CM75" s="182"/>
      <c r="CN75" s="182"/>
      <c r="CO75" s="182"/>
      <c r="CP75" s="182"/>
      <c r="CQ75" s="182"/>
      <c r="CR75" s="182"/>
      <c r="CS75" s="182"/>
      <c r="CT75" s="182"/>
      <c r="CU75" s="182"/>
      <c r="CV75" s="182"/>
      <c r="CW75" s="182"/>
      <c r="CX75" s="182"/>
      <c r="CY75" s="182"/>
      <c r="CZ75" s="182"/>
      <c r="DA75" s="182"/>
      <c r="DB75" s="182"/>
      <c r="DC75" s="182"/>
      <c r="DD75" s="182"/>
      <c r="DE75" s="182"/>
      <c r="DF75" s="182"/>
      <c r="DG75" s="182"/>
      <c r="DH75" s="182"/>
      <c r="DI75" s="182"/>
      <c r="DJ75" s="182"/>
      <c r="DK75" s="182"/>
      <c r="DL75" s="182"/>
      <c r="DM75" s="182"/>
      <c r="DN75" s="182"/>
      <c r="DO75" s="182"/>
      <c r="DP75" s="182"/>
      <c r="DQ75" s="182"/>
      <c r="DR75" s="182"/>
      <c r="DS75" s="182"/>
      <c r="DT75" s="182"/>
      <c r="DU75" s="182"/>
      <c r="DV75" s="182"/>
      <c r="DW75" s="182"/>
      <c r="DX75" s="182"/>
      <c r="DY75" s="182"/>
      <c r="DZ75" s="182"/>
      <c r="EA75" s="182"/>
      <c r="EB75" s="182"/>
      <c r="EC75" s="182"/>
      <c r="ED75" s="182"/>
      <c r="EE75" s="182"/>
      <c r="EF75" s="182"/>
      <c r="EG75" s="182"/>
      <c r="EH75" s="182"/>
      <c r="EI75" s="182"/>
      <c r="EJ75" s="182"/>
      <c r="EK75" s="182"/>
      <c r="EL75" s="182"/>
      <c r="EM75" s="182"/>
      <c r="EN75" s="182"/>
      <c r="EO75" s="182"/>
      <c r="EP75" s="182"/>
      <c r="EQ75" s="182"/>
      <c r="ER75" s="182"/>
      <c r="ES75" s="182"/>
      <c r="ET75" s="182"/>
      <c r="EU75" s="182"/>
      <c r="EV75" s="182"/>
      <c r="EW75" s="182"/>
      <c r="EX75" s="182"/>
      <c r="EY75" s="182"/>
      <c r="EZ75" s="182"/>
      <c r="FA75" s="182"/>
      <c r="FB75" s="182"/>
      <c r="FC75" s="182"/>
      <c r="FD75" s="182"/>
      <c r="FE75" s="182"/>
      <c r="FF75" s="182"/>
      <c r="FG75" s="182"/>
      <c r="FH75" s="182"/>
      <c r="FI75" s="182"/>
      <c r="FJ75" s="182"/>
      <c r="FK75" s="182"/>
      <c r="FL75" s="182"/>
      <c r="FM75" s="182"/>
      <c r="FN75" s="182"/>
      <c r="FO75" s="182"/>
      <c r="FP75" s="182"/>
      <c r="FQ75" s="182"/>
      <c r="FR75" s="182"/>
      <c r="FS75" s="182"/>
      <c r="FT75" s="182"/>
      <c r="FU75" s="182"/>
      <c r="FV75" s="182"/>
      <c r="FW75" s="182"/>
      <c r="FX75" s="182"/>
      <c r="FY75" s="182"/>
      <c r="FZ75" s="182"/>
      <c r="GA75" s="182"/>
      <c r="GB75" s="182"/>
      <c r="GC75" s="182"/>
      <c r="GD75" s="182"/>
      <c r="GE75" s="182"/>
      <c r="GF75" s="182"/>
      <c r="GG75" s="182"/>
      <c r="GH75" s="182"/>
      <c r="GI75" s="182"/>
    </row>
    <row r="76" spans="1:191" s="183" customFormat="1" ht="25.5" x14ac:dyDescent="0.2">
      <c r="A76" s="210" t="s">
        <v>38381</v>
      </c>
      <c r="B76" s="210" t="s">
        <v>18924</v>
      </c>
      <c r="C76" s="224" t="s">
        <v>22198</v>
      </c>
      <c r="D76" s="211" t="s">
        <v>16</v>
      </c>
      <c r="E76" s="211">
        <v>2</v>
      </c>
      <c r="F76" s="211"/>
      <c r="G76" s="211">
        <v>0.3</v>
      </c>
      <c r="H76" s="212"/>
      <c r="I76" s="213"/>
      <c r="J76" s="272">
        <v>6142.17</v>
      </c>
      <c r="K76" s="112">
        <f t="shared" si="11"/>
        <v>12284.34</v>
      </c>
      <c r="L76" s="273">
        <f>BDI!$E$17</f>
        <v>0.11260000000000001</v>
      </c>
      <c r="M76" s="213"/>
      <c r="N76" s="213"/>
      <c r="O76" s="114">
        <f t="shared" si="12"/>
        <v>6833.78</v>
      </c>
      <c r="P76" s="113">
        <f t="shared" si="13"/>
        <v>4100.2700000000004</v>
      </c>
      <c r="Q76" s="209"/>
      <c r="R76" s="203"/>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182"/>
      <c r="AT76" s="182"/>
      <c r="AU76" s="182"/>
      <c r="AV76" s="182"/>
      <c r="AW76" s="182"/>
      <c r="AX76" s="182"/>
      <c r="AY76" s="182"/>
      <c r="AZ76" s="182"/>
      <c r="BA76" s="182"/>
      <c r="BB76" s="182"/>
      <c r="BC76" s="182"/>
      <c r="BD76" s="182"/>
      <c r="BE76" s="182"/>
      <c r="BF76" s="182"/>
      <c r="BG76" s="182"/>
      <c r="BH76" s="182"/>
      <c r="BI76" s="182"/>
      <c r="BJ76" s="182"/>
      <c r="BK76" s="182"/>
      <c r="BL76" s="182"/>
      <c r="BM76" s="182"/>
      <c r="BN76" s="182"/>
      <c r="BO76" s="182"/>
      <c r="BP76" s="182"/>
      <c r="BQ76" s="182"/>
      <c r="BR76" s="182"/>
      <c r="BS76" s="182"/>
      <c r="BT76" s="182"/>
      <c r="BU76" s="182"/>
      <c r="BV76" s="182"/>
      <c r="BW76" s="182"/>
      <c r="BX76" s="182"/>
      <c r="BY76" s="182"/>
      <c r="BZ76" s="182"/>
      <c r="CA76" s="182"/>
      <c r="CB76" s="182"/>
      <c r="CC76" s="182"/>
      <c r="CD76" s="182"/>
      <c r="CE76" s="182"/>
      <c r="CF76" s="182"/>
      <c r="CG76" s="182"/>
      <c r="CH76" s="182"/>
      <c r="CI76" s="182"/>
      <c r="CJ76" s="182"/>
      <c r="CK76" s="182"/>
      <c r="CL76" s="182"/>
      <c r="CM76" s="182"/>
      <c r="CN76" s="182"/>
      <c r="CO76" s="182"/>
      <c r="CP76" s="182"/>
      <c r="CQ76" s="182"/>
      <c r="CR76" s="182"/>
      <c r="CS76" s="182"/>
      <c r="CT76" s="182"/>
      <c r="CU76" s="182"/>
      <c r="CV76" s="182"/>
      <c r="CW76" s="182"/>
      <c r="CX76" s="182"/>
      <c r="CY76" s="182"/>
      <c r="CZ76" s="182"/>
      <c r="DA76" s="182"/>
      <c r="DB76" s="182"/>
      <c r="DC76" s="182"/>
      <c r="DD76" s="182"/>
      <c r="DE76" s="182"/>
      <c r="DF76" s="182"/>
      <c r="DG76" s="182"/>
      <c r="DH76" s="182"/>
      <c r="DI76" s="182"/>
      <c r="DJ76" s="182"/>
      <c r="DK76" s="182"/>
      <c r="DL76" s="182"/>
      <c r="DM76" s="182"/>
      <c r="DN76" s="182"/>
      <c r="DO76" s="182"/>
      <c r="DP76" s="182"/>
      <c r="DQ76" s="182"/>
      <c r="DR76" s="182"/>
      <c r="DS76" s="182"/>
      <c r="DT76" s="182"/>
      <c r="DU76" s="182"/>
      <c r="DV76" s="182"/>
      <c r="DW76" s="182"/>
      <c r="DX76" s="182"/>
      <c r="DY76" s="182"/>
      <c r="DZ76" s="182"/>
      <c r="EA76" s="182"/>
      <c r="EB76" s="182"/>
      <c r="EC76" s="182"/>
      <c r="ED76" s="182"/>
      <c r="EE76" s="182"/>
      <c r="EF76" s="182"/>
      <c r="EG76" s="182"/>
      <c r="EH76" s="182"/>
      <c r="EI76" s="182"/>
      <c r="EJ76" s="182"/>
      <c r="EK76" s="182"/>
      <c r="EL76" s="182"/>
      <c r="EM76" s="182"/>
      <c r="EN76" s="182"/>
      <c r="EO76" s="182"/>
      <c r="EP76" s="182"/>
      <c r="EQ76" s="182"/>
      <c r="ER76" s="182"/>
      <c r="ES76" s="182"/>
      <c r="ET76" s="182"/>
      <c r="EU76" s="182"/>
      <c r="EV76" s="182"/>
      <c r="EW76" s="182"/>
      <c r="EX76" s="182"/>
      <c r="EY76" s="182"/>
      <c r="EZ76" s="182"/>
      <c r="FA76" s="182"/>
      <c r="FB76" s="182"/>
      <c r="FC76" s="182"/>
      <c r="FD76" s="182"/>
      <c r="FE76" s="182"/>
      <c r="FF76" s="182"/>
      <c r="FG76" s="182"/>
      <c r="FH76" s="182"/>
      <c r="FI76" s="182"/>
      <c r="FJ76" s="182"/>
      <c r="FK76" s="182"/>
      <c r="FL76" s="182"/>
      <c r="FM76" s="182"/>
      <c r="FN76" s="182"/>
      <c r="FO76" s="182"/>
      <c r="FP76" s="182"/>
      <c r="FQ76" s="182"/>
      <c r="FR76" s="182"/>
      <c r="FS76" s="182"/>
      <c r="FT76" s="182"/>
      <c r="FU76" s="182"/>
      <c r="FV76" s="182"/>
      <c r="FW76" s="182"/>
      <c r="FX76" s="182"/>
      <c r="FY76" s="182"/>
      <c r="FZ76" s="182"/>
      <c r="GA76" s="182"/>
      <c r="GB76" s="182"/>
      <c r="GC76" s="182"/>
      <c r="GD76" s="182"/>
      <c r="GE76" s="182"/>
      <c r="GF76" s="182"/>
      <c r="GG76" s="182"/>
      <c r="GH76" s="182"/>
      <c r="GI76" s="182"/>
    </row>
    <row r="77" spans="1:191" s="183" customFormat="1" ht="25.5" x14ac:dyDescent="0.2">
      <c r="A77" s="210" t="s">
        <v>38382</v>
      </c>
      <c r="B77" s="210" t="s">
        <v>18925</v>
      </c>
      <c r="C77" s="224" t="s">
        <v>22199</v>
      </c>
      <c r="D77" s="211" t="s">
        <v>16</v>
      </c>
      <c r="E77" s="211">
        <v>2</v>
      </c>
      <c r="F77" s="211"/>
      <c r="G77" s="211">
        <v>0.3</v>
      </c>
      <c r="H77" s="212"/>
      <c r="I77" s="213"/>
      <c r="J77" s="272">
        <v>17296.599999999999</v>
      </c>
      <c r="K77" s="112">
        <f t="shared" si="11"/>
        <v>34593.199999999997</v>
      </c>
      <c r="L77" s="273">
        <f>BDI!$E$17</f>
        <v>0.11260000000000001</v>
      </c>
      <c r="M77" s="213"/>
      <c r="N77" s="213"/>
      <c r="O77" s="114">
        <f t="shared" si="12"/>
        <v>19244.2</v>
      </c>
      <c r="P77" s="113">
        <f t="shared" si="13"/>
        <v>11546.52</v>
      </c>
      <c r="Q77" s="209"/>
      <c r="R77" s="203"/>
      <c r="S77" s="182"/>
      <c r="T77" s="182"/>
      <c r="U77" s="182"/>
      <c r="V77" s="182"/>
      <c r="W77" s="182"/>
      <c r="X77" s="182"/>
      <c r="Y77" s="182"/>
      <c r="Z77" s="182"/>
      <c r="AA77" s="182"/>
      <c r="AB77" s="182"/>
      <c r="AC77" s="182"/>
      <c r="AD77" s="182"/>
      <c r="AE77" s="182"/>
      <c r="AF77" s="182"/>
      <c r="AG77" s="182"/>
      <c r="AH77" s="182"/>
      <c r="AI77" s="182"/>
      <c r="AJ77" s="182"/>
      <c r="AK77" s="182"/>
      <c r="AL77" s="182"/>
      <c r="AM77" s="182"/>
      <c r="AN77" s="182"/>
      <c r="AO77" s="182"/>
      <c r="AP77" s="182"/>
      <c r="AQ77" s="182"/>
      <c r="AR77" s="182"/>
      <c r="AS77" s="182"/>
      <c r="AT77" s="182"/>
      <c r="AU77" s="182"/>
      <c r="AV77" s="182"/>
      <c r="AW77" s="182"/>
      <c r="AX77" s="182"/>
      <c r="AY77" s="182"/>
      <c r="AZ77" s="182"/>
      <c r="BA77" s="182"/>
      <c r="BB77" s="182"/>
      <c r="BC77" s="182"/>
      <c r="BD77" s="182"/>
      <c r="BE77" s="182"/>
      <c r="BF77" s="182"/>
      <c r="BG77" s="182"/>
      <c r="BH77" s="182"/>
      <c r="BI77" s="182"/>
      <c r="BJ77" s="182"/>
      <c r="BK77" s="182"/>
      <c r="BL77" s="182"/>
      <c r="BM77" s="182"/>
      <c r="BN77" s="182"/>
      <c r="BO77" s="182"/>
      <c r="BP77" s="182"/>
      <c r="BQ77" s="182"/>
      <c r="BR77" s="182"/>
      <c r="BS77" s="182"/>
      <c r="BT77" s="182"/>
      <c r="BU77" s="182"/>
      <c r="BV77" s="182"/>
      <c r="BW77" s="182"/>
      <c r="BX77" s="182"/>
      <c r="BY77" s="182"/>
      <c r="BZ77" s="182"/>
      <c r="CA77" s="182"/>
      <c r="CB77" s="182"/>
      <c r="CC77" s="182"/>
      <c r="CD77" s="182"/>
      <c r="CE77" s="182"/>
      <c r="CF77" s="182"/>
      <c r="CG77" s="182"/>
      <c r="CH77" s="182"/>
      <c r="CI77" s="182"/>
      <c r="CJ77" s="182"/>
      <c r="CK77" s="182"/>
      <c r="CL77" s="182"/>
      <c r="CM77" s="182"/>
      <c r="CN77" s="182"/>
      <c r="CO77" s="182"/>
      <c r="CP77" s="182"/>
      <c r="CQ77" s="182"/>
      <c r="CR77" s="182"/>
      <c r="CS77" s="182"/>
      <c r="CT77" s="182"/>
      <c r="CU77" s="182"/>
      <c r="CV77" s="182"/>
      <c r="CW77" s="182"/>
      <c r="CX77" s="182"/>
      <c r="CY77" s="182"/>
      <c r="CZ77" s="182"/>
      <c r="DA77" s="182"/>
      <c r="DB77" s="182"/>
      <c r="DC77" s="182"/>
      <c r="DD77" s="182"/>
      <c r="DE77" s="182"/>
      <c r="DF77" s="182"/>
      <c r="DG77" s="182"/>
      <c r="DH77" s="182"/>
      <c r="DI77" s="182"/>
      <c r="DJ77" s="182"/>
      <c r="DK77" s="182"/>
      <c r="DL77" s="182"/>
      <c r="DM77" s="182"/>
      <c r="DN77" s="182"/>
      <c r="DO77" s="182"/>
      <c r="DP77" s="182"/>
      <c r="DQ77" s="182"/>
      <c r="DR77" s="182"/>
      <c r="DS77" s="182"/>
      <c r="DT77" s="182"/>
      <c r="DU77" s="182"/>
      <c r="DV77" s="182"/>
      <c r="DW77" s="182"/>
      <c r="DX77" s="182"/>
      <c r="DY77" s="182"/>
      <c r="DZ77" s="182"/>
      <c r="EA77" s="182"/>
      <c r="EB77" s="182"/>
      <c r="EC77" s="182"/>
      <c r="ED77" s="182"/>
      <c r="EE77" s="182"/>
      <c r="EF77" s="182"/>
      <c r="EG77" s="182"/>
      <c r="EH77" s="182"/>
      <c r="EI77" s="182"/>
      <c r="EJ77" s="182"/>
      <c r="EK77" s="182"/>
      <c r="EL77" s="182"/>
      <c r="EM77" s="182"/>
      <c r="EN77" s="182"/>
      <c r="EO77" s="182"/>
      <c r="EP77" s="182"/>
      <c r="EQ77" s="182"/>
      <c r="ER77" s="182"/>
      <c r="ES77" s="182"/>
      <c r="ET77" s="182"/>
      <c r="EU77" s="182"/>
      <c r="EV77" s="182"/>
      <c r="EW77" s="182"/>
      <c r="EX77" s="182"/>
      <c r="EY77" s="182"/>
      <c r="EZ77" s="182"/>
      <c r="FA77" s="182"/>
      <c r="FB77" s="182"/>
      <c r="FC77" s="182"/>
      <c r="FD77" s="182"/>
      <c r="FE77" s="182"/>
      <c r="FF77" s="182"/>
      <c r="FG77" s="182"/>
      <c r="FH77" s="182"/>
      <c r="FI77" s="182"/>
      <c r="FJ77" s="182"/>
      <c r="FK77" s="182"/>
      <c r="FL77" s="182"/>
      <c r="FM77" s="182"/>
      <c r="FN77" s="182"/>
      <c r="FO77" s="182"/>
      <c r="FP77" s="182"/>
      <c r="FQ77" s="182"/>
      <c r="FR77" s="182"/>
      <c r="FS77" s="182"/>
      <c r="FT77" s="182"/>
      <c r="FU77" s="182"/>
      <c r="FV77" s="182"/>
      <c r="FW77" s="182"/>
      <c r="FX77" s="182"/>
      <c r="FY77" s="182"/>
      <c r="FZ77" s="182"/>
      <c r="GA77" s="182"/>
      <c r="GB77" s="182"/>
      <c r="GC77" s="182"/>
      <c r="GD77" s="182"/>
      <c r="GE77" s="182"/>
      <c r="GF77" s="182"/>
      <c r="GG77" s="182"/>
      <c r="GH77" s="182"/>
      <c r="GI77" s="182"/>
    </row>
    <row r="78" spans="1:191" s="183" customFormat="1" ht="25.5" x14ac:dyDescent="0.2">
      <c r="A78" s="210" t="s">
        <v>38383</v>
      </c>
      <c r="B78" s="210" t="s">
        <v>18926</v>
      </c>
      <c r="C78" s="224" t="s">
        <v>22200</v>
      </c>
      <c r="D78" s="211" t="s">
        <v>16</v>
      </c>
      <c r="E78" s="211">
        <v>3</v>
      </c>
      <c r="F78" s="211"/>
      <c r="G78" s="211">
        <v>0.3</v>
      </c>
      <c r="H78" s="212"/>
      <c r="I78" s="213"/>
      <c r="J78" s="272">
        <v>10263.370000000001</v>
      </c>
      <c r="K78" s="112">
        <f t="shared" si="11"/>
        <v>30790.11</v>
      </c>
      <c r="L78" s="273">
        <f>BDI!$E$17</f>
        <v>0.11260000000000001</v>
      </c>
      <c r="M78" s="213"/>
      <c r="N78" s="213"/>
      <c r="O78" s="114">
        <f t="shared" si="12"/>
        <v>11419.03</v>
      </c>
      <c r="P78" s="113">
        <f t="shared" si="13"/>
        <v>10277.129999999999</v>
      </c>
      <c r="Q78" s="209"/>
      <c r="R78" s="203"/>
      <c r="S78" s="182"/>
      <c r="T78" s="182"/>
      <c r="U78" s="182"/>
      <c r="V78" s="182"/>
      <c r="W78" s="182"/>
      <c r="X78" s="182"/>
      <c r="Y78" s="182"/>
      <c r="Z78" s="182"/>
      <c r="AA78" s="182"/>
      <c r="AB78" s="182"/>
      <c r="AC78" s="182"/>
      <c r="AD78" s="182"/>
      <c r="AE78" s="182"/>
      <c r="AF78" s="182"/>
      <c r="AG78" s="182"/>
      <c r="AH78" s="182"/>
      <c r="AI78" s="182"/>
      <c r="AJ78" s="182"/>
      <c r="AK78" s="182"/>
      <c r="AL78" s="182"/>
      <c r="AM78" s="182"/>
      <c r="AN78" s="182"/>
      <c r="AO78" s="182"/>
      <c r="AP78" s="182"/>
      <c r="AQ78" s="182"/>
      <c r="AR78" s="182"/>
      <c r="AS78" s="182"/>
      <c r="AT78" s="182"/>
      <c r="AU78" s="182"/>
      <c r="AV78" s="182"/>
      <c r="AW78" s="182"/>
      <c r="AX78" s="182"/>
      <c r="AY78" s="182"/>
      <c r="AZ78" s="182"/>
      <c r="BA78" s="182"/>
      <c r="BB78" s="182"/>
      <c r="BC78" s="182"/>
      <c r="BD78" s="182"/>
      <c r="BE78" s="182"/>
      <c r="BF78" s="182"/>
      <c r="BG78" s="182"/>
      <c r="BH78" s="182"/>
      <c r="BI78" s="182"/>
      <c r="BJ78" s="182"/>
      <c r="BK78" s="182"/>
      <c r="BL78" s="182"/>
      <c r="BM78" s="182"/>
      <c r="BN78" s="182"/>
      <c r="BO78" s="182"/>
      <c r="BP78" s="182"/>
      <c r="BQ78" s="182"/>
      <c r="BR78" s="182"/>
      <c r="BS78" s="182"/>
      <c r="BT78" s="182"/>
      <c r="BU78" s="182"/>
      <c r="BV78" s="182"/>
      <c r="BW78" s="182"/>
      <c r="BX78" s="182"/>
      <c r="BY78" s="182"/>
      <c r="BZ78" s="182"/>
      <c r="CA78" s="182"/>
      <c r="CB78" s="182"/>
      <c r="CC78" s="182"/>
      <c r="CD78" s="182"/>
      <c r="CE78" s="182"/>
      <c r="CF78" s="182"/>
      <c r="CG78" s="182"/>
      <c r="CH78" s="182"/>
      <c r="CI78" s="182"/>
      <c r="CJ78" s="182"/>
      <c r="CK78" s="182"/>
      <c r="CL78" s="182"/>
      <c r="CM78" s="182"/>
      <c r="CN78" s="182"/>
      <c r="CO78" s="182"/>
      <c r="CP78" s="182"/>
      <c r="CQ78" s="182"/>
      <c r="CR78" s="182"/>
      <c r="CS78" s="182"/>
      <c r="CT78" s="182"/>
      <c r="CU78" s="182"/>
      <c r="CV78" s="182"/>
      <c r="CW78" s="182"/>
      <c r="CX78" s="182"/>
      <c r="CY78" s="182"/>
      <c r="CZ78" s="182"/>
      <c r="DA78" s="182"/>
      <c r="DB78" s="182"/>
      <c r="DC78" s="182"/>
      <c r="DD78" s="182"/>
      <c r="DE78" s="182"/>
      <c r="DF78" s="182"/>
      <c r="DG78" s="182"/>
      <c r="DH78" s="182"/>
      <c r="DI78" s="182"/>
      <c r="DJ78" s="182"/>
      <c r="DK78" s="182"/>
      <c r="DL78" s="182"/>
      <c r="DM78" s="182"/>
      <c r="DN78" s="182"/>
      <c r="DO78" s="182"/>
      <c r="DP78" s="182"/>
      <c r="DQ78" s="182"/>
      <c r="DR78" s="182"/>
      <c r="DS78" s="182"/>
      <c r="DT78" s="182"/>
      <c r="DU78" s="182"/>
      <c r="DV78" s="182"/>
      <c r="DW78" s="182"/>
      <c r="DX78" s="182"/>
      <c r="DY78" s="182"/>
      <c r="DZ78" s="182"/>
      <c r="EA78" s="182"/>
      <c r="EB78" s="182"/>
      <c r="EC78" s="182"/>
      <c r="ED78" s="182"/>
      <c r="EE78" s="182"/>
      <c r="EF78" s="182"/>
      <c r="EG78" s="182"/>
      <c r="EH78" s="182"/>
      <c r="EI78" s="182"/>
      <c r="EJ78" s="182"/>
      <c r="EK78" s="182"/>
      <c r="EL78" s="182"/>
      <c r="EM78" s="182"/>
      <c r="EN78" s="182"/>
      <c r="EO78" s="182"/>
      <c r="EP78" s="182"/>
      <c r="EQ78" s="182"/>
      <c r="ER78" s="182"/>
      <c r="ES78" s="182"/>
      <c r="ET78" s="182"/>
      <c r="EU78" s="182"/>
      <c r="EV78" s="182"/>
      <c r="EW78" s="182"/>
      <c r="EX78" s="182"/>
      <c r="EY78" s="182"/>
      <c r="EZ78" s="182"/>
      <c r="FA78" s="182"/>
      <c r="FB78" s="182"/>
      <c r="FC78" s="182"/>
      <c r="FD78" s="182"/>
      <c r="FE78" s="182"/>
      <c r="FF78" s="182"/>
      <c r="FG78" s="182"/>
      <c r="FH78" s="182"/>
      <c r="FI78" s="182"/>
      <c r="FJ78" s="182"/>
      <c r="FK78" s="182"/>
      <c r="FL78" s="182"/>
      <c r="FM78" s="182"/>
      <c r="FN78" s="182"/>
      <c r="FO78" s="182"/>
      <c r="FP78" s="182"/>
      <c r="FQ78" s="182"/>
      <c r="FR78" s="182"/>
      <c r="FS78" s="182"/>
      <c r="FT78" s="182"/>
      <c r="FU78" s="182"/>
      <c r="FV78" s="182"/>
      <c r="FW78" s="182"/>
      <c r="FX78" s="182"/>
      <c r="FY78" s="182"/>
      <c r="FZ78" s="182"/>
      <c r="GA78" s="182"/>
      <c r="GB78" s="182"/>
      <c r="GC78" s="182"/>
      <c r="GD78" s="182"/>
      <c r="GE78" s="182"/>
      <c r="GF78" s="182"/>
      <c r="GG78" s="182"/>
      <c r="GH78" s="182"/>
      <c r="GI78" s="182"/>
    </row>
    <row r="79" spans="1:191" s="183" customFormat="1" ht="25.5" x14ac:dyDescent="0.2">
      <c r="A79" s="210" t="s">
        <v>38384</v>
      </c>
      <c r="B79" s="210" t="s">
        <v>18927</v>
      </c>
      <c r="C79" s="224" t="s">
        <v>22201</v>
      </c>
      <c r="D79" s="211" t="s">
        <v>16</v>
      </c>
      <c r="E79" s="211">
        <v>2</v>
      </c>
      <c r="F79" s="211"/>
      <c r="G79" s="211">
        <v>0.3</v>
      </c>
      <c r="H79" s="212"/>
      <c r="I79" s="213"/>
      <c r="J79" s="272">
        <v>81980.25</v>
      </c>
      <c r="K79" s="112">
        <f t="shared" si="11"/>
        <v>163960.5</v>
      </c>
      <c r="L79" s="273">
        <f>BDI!$E$17</f>
        <v>0.11260000000000001</v>
      </c>
      <c r="M79" s="213"/>
      <c r="N79" s="213"/>
      <c r="O79" s="114">
        <f t="shared" si="12"/>
        <v>91211.23</v>
      </c>
      <c r="P79" s="113">
        <f t="shared" si="13"/>
        <v>54726.74</v>
      </c>
      <c r="Q79" s="209"/>
      <c r="R79" s="203"/>
      <c r="S79" s="182"/>
      <c r="T79" s="182"/>
      <c r="U79" s="182"/>
      <c r="V79" s="182"/>
      <c r="W79" s="182"/>
      <c r="X79" s="182"/>
      <c r="Y79" s="182"/>
      <c r="Z79" s="182"/>
      <c r="AA79" s="182"/>
      <c r="AB79" s="182"/>
      <c r="AC79" s="182"/>
      <c r="AD79" s="182"/>
      <c r="AE79" s="182"/>
      <c r="AF79" s="182"/>
      <c r="AG79" s="182"/>
      <c r="AH79" s="182"/>
      <c r="AI79" s="182"/>
      <c r="AJ79" s="182"/>
      <c r="AK79" s="182"/>
      <c r="AL79" s="182"/>
      <c r="AM79" s="182"/>
      <c r="AN79" s="182"/>
      <c r="AO79" s="182"/>
      <c r="AP79" s="182"/>
      <c r="AQ79" s="182"/>
      <c r="AR79" s="182"/>
      <c r="AS79" s="182"/>
      <c r="AT79" s="182"/>
      <c r="AU79" s="182"/>
      <c r="AV79" s="182"/>
      <c r="AW79" s="182"/>
      <c r="AX79" s="182"/>
      <c r="AY79" s="182"/>
      <c r="AZ79" s="182"/>
      <c r="BA79" s="182"/>
      <c r="BB79" s="182"/>
      <c r="BC79" s="182"/>
      <c r="BD79" s="182"/>
      <c r="BE79" s="182"/>
      <c r="BF79" s="182"/>
      <c r="BG79" s="182"/>
      <c r="BH79" s="182"/>
      <c r="BI79" s="182"/>
      <c r="BJ79" s="182"/>
      <c r="BK79" s="182"/>
      <c r="BL79" s="182"/>
      <c r="BM79" s="182"/>
      <c r="BN79" s="182"/>
      <c r="BO79" s="182"/>
      <c r="BP79" s="182"/>
      <c r="BQ79" s="182"/>
      <c r="BR79" s="182"/>
      <c r="BS79" s="182"/>
      <c r="BT79" s="182"/>
      <c r="BU79" s="182"/>
      <c r="BV79" s="182"/>
      <c r="BW79" s="182"/>
      <c r="BX79" s="182"/>
      <c r="BY79" s="182"/>
      <c r="BZ79" s="182"/>
      <c r="CA79" s="182"/>
      <c r="CB79" s="182"/>
      <c r="CC79" s="182"/>
      <c r="CD79" s="182"/>
      <c r="CE79" s="182"/>
      <c r="CF79" s="182"/>
      <c r="CG79" s="182"/>
      <c r="CH79" s="182"/>
      <c r="CI79" s="182"/>
      <c r="CJ79" s="182"/>
      <c r="CK79" s="182"/>
      <c r="CL79" s="182"/>
      <c r="CM79" s="182"/>
      <c r="CN79" s="182"/>
      <c r="CO79" s="182"/>
      <c r="CP79" s="182"/>
      <c r="CQ79" s="182"/>
      <c r="CR79" s="182"/>
      <c r="CS79" s="182"/>
      <c r="CT79" s="182"/>
      <c r="CU79" s="182"/>
      <c r="CV79" s="182"/>
      <c r="CW79" s="182"/>
      <c r="CX79" s="182"/>
      <c r="CY79" s="182"/>
      <c r="CZ79" s="182"/>
      <c r="DA79" s="182"/>
      <c r="DB79" s="182"/>
      <c r="DC79" s="182"/>
      <c r="DD79" s="182"/>
      <c r="DE79" s="182"/>
      <c r="DF79" s="182"/>
      <c r="DG79" s="182"/>
      <c r="DH79" s="182"/>
      <c r="DI79" s="182"/>
      <c r="DJ79" s="182"/>
      <c r="DK79" s="182"/>
      <c r="DL79" s="182"/>
      <c r="DM79" s="182"/>
      <c r="DN79" s="182"/>
      <c r="DO79" s="182"/>
      <c r="DP79" s="182"/>
      <c r="DQ79" s="182"/>
      <c r="DR79" s="182"/>
      <c r="DS79" s="182"/>
      <c r="DT79" s="182"/>
      <c r="DU79" s="182"/>
      <c r="DV79" s="182"/>
      <c r="DW79" s="182"/>
      <c r="DX79" s="182"/>
      <c r="DY79" s="182"/>
      <c r="DZ79" s="182"/>
      <c r="EA79" s="182"/>
      <c r="EB79" s="182"/>
      <c r="EC79" s="182"/>
      <c r="ED79" s="182"/>
      <c r="EE79" s="182"/>
      <c r="EF79" s="182"/>
      <c r="EG79" s="182"/>
      <c r="EH79" s="182"/>
      <c r="EI79" s="182"/>
      <c r="EJ79" s="182"/>
      <c r="EK79" s="182"/>
      <c r="EL79" s="182"/>
      <c r="EM79" s="182"/>
      <c r="EN79" s="182"/>
      <c r="EO79" s="182"/>
      <c r="EP79" s="182"/>
      <c r="EQ79" s="182"/>
      <c r="ER79" s="182"/>
      <c r="ES79" s="182"/>
      <c r="ET79" s="182"/>
      <c r="EU79" s="182"/>
      <c r="EV79" s="182"/>
      <c r="EW79" s="182"/>
      <c r="EX79" s="182"/>
      <c r="EY79" s="182"/>
      <c r="EZ79" s="182"/>
      <c r="FA79" s="182"/>
      <c r="FB79" s="182"/>
      <c r="FC79" s="182"/>
      <c r="FD79" s="182"/>
      <c r="FE79" s="182"/>
      <c r="FF79" s="182"/>
      <c r="FG79" s="182"/>
      <c r="FH79" s="182"/>
      <c r="FI79" s="182"/>
      <c r="FJ79" s="182"/>
      <c r="FK79" s="182"/>
      <c r="FL79" s="182"/>
      <c r="FM79" s="182"/>
      <c r="FN79" s="182"/>
      <c r="FO79" s="182"/>
      <c r="FP79" s="182"/>
      <c r="FQ79" s="182"/>
      <c r="FR79" s="182"/>
      <c r="FS79" s="182"/>
      <c r="FT79" s="182"/>
      <c r="FU79" s="182"/>
      <c r="FV79" s="182"/>
      <c r="FW79" s="182"/>
      <c r="FX79" s="182"/>
      <c r="FY79" s="182"/>
      <c r="FZ79" s="182"/>
      <c r="GA79" s="182"/>
      <c r="GB79" s="182"/>
      <c r="GC79" s="182"/>
      <c r="GD79" s="182"/>
      <c r="GE79" s="182"/>
      <c r="GF79" s="182"/>
      <c r="GG79" s="182"/>
      <c r="GH79" s="182"/>
      <c r="GI79" s="182"/>
    </row>
    <row r="80" spans="1:191" s="183" customFormat="1" ht="25.5" x14ac:dyDescent="0.2">
      <c r="A80" s="210" t="s">
        <v>38385</v>
      </c>
      <c r="B80" s="210" t="s">
        <v>18928</v>
      </c>
      <c r="C80" s="224" t="s">
        <v>22202</v>
      </c>
      <c r="D80" s="211" t="s">
        <v>16</v>
      </c>
      <c r="E80" s="211">
        <v>2</v>
      </c>
      <c r="F80" s="211"/>
      <c r="G80" s="211">
        <v>0.3</v>
      </c>
      <c r="H80" s="212"/>
      <c r="I80" s="213"/>
      <c r="J80" s="272">
        <v>93688.26</v>
      </c>
      <c r="K80" s="112">
        <f t="shared" si="11"/>
        <v>187376.52</v>
      </c>
      <c r="L80" s="273">
        <f>BDI!$E$17</f>
        <v>0.11260000000000001</v>
      </c>
      <c r="M80" s="213"/>
      <c r="N80" s="213"/>
      <c r="O80" s="114">
        <f t="shared" si="12"/>
        <v>104237.56</v>
      </c>
      <c r="P80" s="113">
        <f t="shared" si="13"/>
        <v>62542.54</v>
      </c>
      <c r="Q80" s="209"/>
      <c r="R80" s="203"/>
      <c r="S80" s="182"/>
      <c r="T80" s="182"/>
      <c r="U80" s="182"/>
      <c r="V80" s="182"/>
      <c r="W80" s="182"/>
      <c r="X80" s="182"/>
      <c r="Y80" s="182"/>
      <c r="Z80" s="182"/>
      <c r="AA80" s="182"/>
      <c r="AB80" s="182"/>
      <c r="AC80" s="182"/>
      <c r="AD80" s="182"/>
      <c r="AE80" s="182"/>
      <c r="AF80" s="182"/>
      <c r="AG80" s="182"/>
      <c r="AH80" s="182"/>
      <c r="AI80" s="182"/>
      <c r="AJ80" s="182"/>
      <c r="AK80" s="182"/>
      <c r="AL80" s="182"/>
      <c r="AM80" s="182"/>
      <c r="AN80" s="182"/>
      <c r="AO80" s="182"/>
      <c r="AP80" s="182"/>
      <c r="AQ80" s="182"/>
      <c r="AR80" s="182"/>
      <c r="AS80" s="182"/>
      <c r="AT80" s="182"/>
      <c r="AU80" s="182"/>
      <c r="AV80" s="182"/>
      <c r="AW80" s="182"/>
      <c r="AX80" s="182"/>
      <c r="AY80" s="182"/>
      <c r="AZ80" s="182"/>
      <c r="BA80" s="182"/>
      <c r="BB80" s="182"/>
      <c r="BC80" s="182"/>
      <c r="BD80" s="182"/>
      <c r="BE80" s="182"/>
      <c r="BF80" s="182"/>
      <c r="BG80" s="182"/>
      <c r="BH80" s="182"/>
      <c r="BI80" s="182"/>
      <c r="BJ80" s="182"/>
      <c r="BK80" s="182"/>
      <c r="BL80" s="182"/>
      <c r="BM80" s="182"/>
      <c r="BN80" s="182"/>
      <c r="BO80" s="182"/>
      <c r="BP80" s="182"/>
      <c r="BQ80" s="182"/>
      <c r="BR80" s="182"/>
      <c r="BS80" s="182"/>
      <c r="BT80" s="182"/>
      <c r="BU80" s="182"/>
      <c r="BV80" s="182"/>
      <c r="BW80" s="182"/>
      <c r="BX80" s="182"/>
      <c r="BY80" s="182"/>
      <c r="BZ80" s="182"/>
      <c r="CA80" s="182"/>
      <c r="CB80" s="182"/>
      <c r="CC80" s="182"/>
      <c r="CD80" s="182"/>
      <c r="CE80" s="182"/>
      <c r="CF80" s="182"/>
      <c r="CG80" s="182"/>
      <c r="CH80" s="182"/>
      <c r="CI80" s="182"/>
      <c r="CJ80" s="182"/>
      <c r="CK80" s="182"/>
      <c r="CL80" s="182"/>
      <c r="CM80" s="182"/>
      <c r="CN80" s="182"/>
      <c r="CO80" s="182"/>
      <c r="CP80" s="182"/>
      <c r="CQ80" s="182"/>
      <c r="CR80" s="182"/>
      <c r="CS80" s="182"/>
      <c r="CT80" s="182"/>
      <c r="CU80" s="182"/>
      <c r="CV80" s="182"/>
      <c r="CW80" s="182"/>
      <c r="CX80" s="182"/>
      <c r="CY80" s="182"/>
      <c r="CZ80" s="182"/>
      <c r="DA80" s="182"/>
      <c r="DB80" s="182"/>
      <c r="DC80" s="182"/>
      <c r="DD80" s="182"/>
      <c r="DE80" s="182"/>
      <c r="DF80" s="182"/>
      <c r="DG80" s="182"/>
      <c r="DH80" s="182"/>
      <c r="DI80" s="182"/>
      <c r="DJ80" s="182"/>
      <c r="DK80" s="182"/>
      <c r="DL80" s="182"/>
      <c r="DM80" s="182"/>
      <c r="DN80" s="182"/>
      <c r="DO80" s="182"/>
      <c r="DP80" s="182"/>
      <c r="DQ80" s="182"/>
      <c r="DR80" s="182"/>
      <c r="DS80" s="182"/>
      <c r="DT80" s="182"/>
      <c r="DU80" s="182"/>
      <c r="DV80" s="182"/>
      <c r="DW80" s="182"/>
      <c r="DX80" s="182"/>
      <c r="DY80" s="182"/>
      <c r="DZ80" s="182"/>
      <c r="EA80" s="182"/>
      <c r="EB80" s="182"/>
      <c r="EC80" s="182"/>
      <c r="ED80" s="182"/>
      <c r="EE80" s="182"/>
      <c r="EF80" s="182"/>
      <c r="EG80" s="182"/>
      <c r="EH80" s="182"/>
      <c r="EI80" s="182"/>
      <c r="EJ80" s="182"/>
      <c r="EK80" s="182"/>
      <c r="EL80" s="182"/>
      <c r="EM80" s="182"/>
      <c r="EN80" s="182"/>
      <c r="EO80" s="182"/>
      <c r="EP80" s="182"/>
      <c r="EQ80" s="182"/>
      <c r="ER80" s="182"/>
      <c r="ES80" s="182"/>
      <c r="ET80" s="182"/>
      <c r="EU80" s="182"/>
      <c r="EV80" s="182"/>
      <c r="EW80" s="182"/>
      <c r="EX80" s="182"/>
      <c r="EY80" s="182"/>
      <c r="EZ80" s="182"/>
      <c r="FA80" s="182"/>
      <c r="FB80" s="182"/>
      <c r="FC80" s="182"/>
      <c r="FD80" s="182"/>
      <c r="FE80" s="182"/>
      <c r="FF80" s="182"/>
      <c r="FG80" s="182"/>
      <c r="FH80" s="182"/>
      <c r="FI80" s="182"/>
      <c r="FJ80" s="182"/>
      <c r="FK80" s="182"/>
      <c r="FL80" s="182"/>
      <c r="FM80" s="182"/>
      <c r="FN80" s="182"/>
      <c r="FO80" s="182"/>
      <c r="FP80" s="182"/>
      <c r="FQ80" s="182"/>
      <c r="FR80" s="182"/>
      <c r="FS80" s="182"/>
      <c r="FT80" s="182"/>
      <c r="FU80" s="182"/>
      <c r="FV80" s="182"/>
      <c r="FW80" s="182"/>
      <c r="FX80" s="182"/>
      <c r="FY80" s="182"/>
      <c r="FZ80" s="182"/>
      <c r="GA80" s="182"/>
      <c r="GB80" s="182"/>
      <c r="GC80" s="182"/>
      <c r="GD80" s="182"/>
      <c r="GE80" s="182"/>
      <c r="GF80" s="182"/>
      <c r="GG80" s="182"/>
      <c r="GH80" s="182"/>
      <c r="GI80" s="182"/>
    </row>
    <row r="81" spans="1:191" s="183" customFormat="1" ht="25.5" x14ac:dyDescent="0.2">
      <c r="A81" s="210" t="s">
        <v>38386</v>
      </c>
      <c r="B81" s="210" t="s">
        <v>18929</v>
      </c>
      <c r="C81" s="224" t="s">
        <v>22203</v>
      </c>
      <c r="D81" s="211" t="s">
        <v>16</v>
      </c>
      <c r="E81" s="211">
        <v>2</v>
      </c>
      <c r="F81" s="211"/>
      <c r="G81" s="211">
        <v>0.3</v>
      </c>
      <c r="H81" s="212"/>
      <c r="I81" s="213"/>
      <c r="J81" s="272">
        <v>43874.53</v>
      </c>
      <c r="K81" s="112">
        <f t="shared" si="11"/>
        <v>87749.06</v>
      </c>
      <c r="L81" s="273">
        <f>BDI!$E$17</f>
        <v>0.11260000000000001</v>
      </c>
      <c r="M81" s="213"/>
      <c r="N81" s="213"/>
      <c r="O81" s="114">
        <f t="shared" si="12"/>
        <v>48814.8</v>
      </c>
      <c r="P81" s="113">
        <f t="shared" si="13"/>
        <v>29288.880000000001</v>
      </c>
      <c r="Q81" s="209"/>
      <c r="R81" s="203"/>
      <c r="S81" s="182"/>
      <c r="T81" s="182"/>
      <c r="U81" s="182"/>
      <c r="V81" s="182"/>
      <c r="W81" s="182"/>
      <c r="X81" s="182"/>
      <c r="Y81" s="182"/>
      <c r="Z81" s="182"/>
      <c r="AA81" s="182"/>
      <c r="AB81" s="182"/>
      <c r="AC81" s="182"/>
      <c r="AD81" s="182"/>
      <c r="AE81" s="182"/>
      <c r="AF81" s="182"/>
      <c r="AG81" s="182"/>
      <c r="AH81" s="182"/>
      <c r="AI81" s="182"/>
      <c r="AJ81" s="182"/>
      <c r="AK81" s="182"/>
      <c r="AL81" s="182"/>
      <c r="AM81" s="182"/>
      <c r="AN81" s="182"/>
      <c r="AO81" s="182"/>
      <c r="AP81" s="182"/>
      <c r="AQ81" s="182"/>
      <c r="AR81" s="182"/>
      <c r="AS81" s="182"/>
      <c r="AT81" s="182"/>
      <c r="AU81" s="182"/>
      <c r="AV81" s="182"/>
      <c r="AW81" s="182"/>
      <c r="AX81" s="182"/>
      <c r="AY81" s="182"/>
      <c r="AZ81" s="182"/>
      <c r="BA81" s="182"/>
      <c r="BB81" s="182"/>
      <c r="BC81" s="182"/>
      <c r="BD81" s="182"/>
      <c r="BE81" s="182"/>
      <c r="BF81" s="182"/>
      <c r="BG81" s="182"/>
      <c r="BH81" s="182"/>
      <c r="BI81" s="182"/>
      <c r="BJ81" s="182"/>
      <c r="BK81" s="182"/>
      <c r="BL81" s="182"/>
      <c r="BM81" s="182"/>
      <c r="BN81" s="182"/>
      <c r="BO81" s="182"/>
      <c r="BP81" s="182"/>
      <c r="BQ81" s="182"/>
      <c r="BR81" s="182"/>
      <c r="BS81" s="182"/>
      <c r="BT81" s="182"/>
      <c r="BU81" s="182"/>
      <c r="BV81" s="182"/>
      <c r="BW81" s="182"/>
      <c r="BX81" s="182"/>
      <c r="BY81" s="182"/>
      <c r="BZ81" s="182"/>
      <c r="CA81" s="182"/>
      <c r="CB81" s="182"/>
      <c r="CC81" s="182"/>
      <c r="CD81" s="182"/>
      <c r="CE81" s="182"/>
      <c r="CF81" s="182"/>
      <c r="CG81" s="182"/>
      <c r="CH81" s="182"/>
      <c r="CI81" s="182"/>
      <c r="CJ81" s="182"/>
      <c r="CK81" s="182"/>
      <c r="CL81" s="182"/>
      <c r="CM81" s="182"/>
      <c r="CN81" s="182"/>
      <c r="CO81" s="182"/>
      <c r="CP81" s="182"/>
      <c r="CQ81" s="182"/>
      <c r="CR81" s="182"/>
      <c r="CS81" s="182"/>
      <c r="CT81" s="182"/>
      <c r="CU81" s="182"/>
      <c r="CV81" s="182"/>
      <c r="CW81" s="182"/>
      <c r="CX81" s="182"/>
      <c r="CY81" s="182"/>
      <c r="CZ81" s="182"/>
      <c r="DA81" s="182"/>
      <c r="DB81" s="182"/>
      <c r="DC81" s="182"/>
      <c r="DD81" s="182"/>
      <c r="DE81" s="182"/>
      <c r="DF81" s="182"/>
      <c r="DG81" s="182"/>
      <c r="DH81" s="182"/>
      <c r="DI81" s="182"/>
      <c r="DJ81" s="182"/>
      <c r="DK81" s="182"/>
      <c r="DL81" s="182"/>
      <c r="DM81" s="182"/>
      <c r="DN81" s="182"/>
      <c r="DO81" s="182"/>
      <c r="DP81" s="182"/>
      <c r="DQ81" s="182"/>
      <c r="DR81" s="182"/>
      <c r="DS81" s="182"/>
      <c r="DT81" s="182"/>
      <c r="DU81" s="182"/>
      <c r="DV81" s="182"/>
      <c r="DW81" s="182"/>
      <c r="DX81" s="182"/>
      <c r="DY81" s="182"/>
      <c r="DZ81" s="182"/>
      <c r="EA81" s="182"/>
      <c r="EB81" s="182"/>
      <c r="EC81" s="182"/>
      <c r="ED81" s="182"/>
      <c r="EE81" s="182"/>
      <c r="EF81" s="182"/>
      <c r="EG81" s="182"/>
      <c r="EH81" s="182"/>
      <c r="EI81" s="182"/>
      <c r="EJ81" s="182"/>
      <c r="EK81" s="182"/>
      <c r="EL81" s="182"/>
      <c r="EM81" s="182"/>
      <c r="EN81" s="182"/>
      <c r="EO81" s="182"/>
      <c r="EP81" s="182"/>
      <c r="EQ81" s="182"/>
      <c r="ER81" s="182"/>
      <c r="ES81" s="182"/>
      <c r="ET81" s="182"/>
      <c r="EU81" s="182"/>
      <c r="EV81" s="182"/>
      <c r="EW81" s="182"/>
      <c r="EX81" s="182"/>
      <c r="EY81" s="182"/>
      <c r="EZ81" s="182"/>
      <c r="FA81" s="182"/>
      <c r="FB81" s="182"/>
      <c r="FC81" s="182"/>
      <c r="FD81" s="182"/>
      <c r="FE81" s="182"/>
      <c r="FF81" s="182"/>
      <c r="FG81" s="182"/>
      <c r="FH81" s="182"/>
      <c r="FI81" s="182"/>
      <c r="FJ81" s="182"/>
      <c r="FK81" s="182"/>
      <c r="FL81" s="182"/>
      <c r="FM81" s="182"/>
      <c r="FN81" s="182"/>
      <c r="FO81" s="182"/>
      <c r="FP81" s="182"/>
      <c r="FQ81" s="182"/>
      <c r="FR81" s="182"/>
      <c r="FS81" s="182"/>
      <c r="FT81" s="182"/>
      <c r="FU81" s="182"/>
      <c r="FV81" s="182"/>
      <c r="FW81" s="182"/>
      <c r="FX81" s="182"/>
      <c r="FY81" s="182"/>
      <c r="FZ81" s="182"/>
      <c r="GA81" s="182"/>
      <c r="GB81" s="182"/>
      <c r="GC81" s="182"/>
      <c r="GD81" s="182"/>
      <c r="GE81" s="182"/>
      <c r="GF81" s="182"/>
      <c r="GG81" s="182"/>
      <c r="GH81" s="182"/>
      <c r="GI81" s="182"/>
    </row>
    <row r="82" spans="1:191" s="183" customFormat="1" x14ac:dyDescent="0.2">
      <c r="A82" s="210" t="s">
        <v>38387</v>
      </c>
      <c r="B82" s="210" t="s">
        <v>18930</v>
      </c>
      <c r="C82" s="224" t="s">
        <v>22204</v>
      </c>
      <c r="D82" s="211" t="s">
        <v>16</v>
      </c>
      <c r="E82" s="211">
        <v>180</v>
      </c>
      <c r="F82" s="211"/>
      <c r="G82" s="211">
        <v>0.3</v>
      </c>
      <c r="H82" s="212"/>
      <c r="I82" s="213"/>
      <c r="J82" s="272">
        <v>160.65</v>
      </c>
      <c r="K82" s="112">
        <f t="shared" si="11"/>
        <v>28917</v>
      </c>
      <c r="L82" s="273">
        <f>BDI!$E$17</f>
        <v>0.11260000000000001</v>
      </c>
      <c r="M82" s="213"/>
      <c r="N82" s="213"/>
      <c r="O82" s="114">
        <f t="shared" si="12"/>
        <v>178.74</v>
      </c>
      <c r="P82" s="113">
        <f t="shared" si="13"/>
        <v>9651.9599999999991</v>
      </c>
      <c r="Q82" s="209"/>
      <c r="R82" s="203"/>
      <c r="S82" s="182"/>
      <c r="T82" s="182"/>
      <c r="U82" s="182"/>
      <c r="V82" s="182"/>
      <c r="W82" s="182"/>
      <c r="X82" s="182"/>
      <c r="Y82" s="182"/>
      <c r="Z82" s="182"/>
      <c r="AA82" s="182"/>
      <c r="AB82" s="182"/>
      <c r="AC82" s="182"/>
      <c r="AD82" s="182"/>
      <c r="AE82" s="182"/>
      <c r="AF82" s="182"/>
      <c r="AG82" s="182"/>
      <c r="AH82" s="182"/>
      <c r="AI82" s="182"/>
      <c r="AJ82" s="182"/>
      <c r="AK82" s="182"/>
      <c r="AL82" s="182"/>
      <c r="AM82" s="182"/>
      <c r="AN82" s="182"/>
      <c r="AO82" s="182"/>
      <c r="AP82" s="182"/>
      <c r="AQ82" s="182"/>
      <c r="AR82" s="182"/>
      <c r="AS82" s="182"/>
      <c r="AT82" s="182"/>
      <c r="AU82" s="182"/>
      <c r="AV82" s="182"/>
      <c r="AW82" s="182"/>
      <c r="AX82" s="182"/>
      <c r="AY82" s="182"/>
      <c r="AZ82" s="182"/>
      <c r="BA82" s="182"/>
      <c r="BB82" s="182"/>
      <c r="BC82" s="182"/>
      <c r="BD82" s="182"/>
      <c r="BE82" s="182"/>
      <c r="BF82" s="182"/>
      <c r="BG82" s="182"/>
      <c r="BH82" s="182"/>
      <c r="BI82" s="182"/>
      <c r="BJ82" s="182"/>
      <c r="BK82" s="182"/>
      <c r="BL82" s="182"/>
      <c r="BM82" s="182"/>
      <c r="BN82" s="182"/>
      <c r="BO82" s="182"/>
      <c r="BP82" s="182"/>
      <c r="BQ82" s="182"/>
      <c r="BR82" s="182"/>
      <c r="BS82" s="182"/>
      <c r="BT82" s="182"/>
      <c r="BU82" s="182"/>
      <c r="BV82" s="182"/>
      <c r="BW82" s="182"/>
      <c r="BX82" s="182"/>
      <c r="BY82" s="182"/>
      <c r="BZ82" s="182"/>
      <c r="CA82" s="182"/>
      <c r="CB82" s="182"/>
      <c r="CC82" s="182"/>
      <c r="CD82" s="182"/>
      <c r="CE82" s="182"/>
      <c r="CF82" s="182"/>
      <c r="CG82" s="182"/>
      <c r="CH82" s="182"/>
      <c r="CI82" s="182"/>
      <c r="CJ82" s="182"/>
      <c r="CK82" s="182"/>
      <c r="CL82" s="182"/>
      <c r="CM82" s="182"/>
      <c r="CN82" s="182"/>
      <c r="CO82" s="182"/>
      <c r="CP82" s="182"/>
      <c r="CQ82" s="182"/>
      <c r="CR82" s="182"/>
      <c r="CS82" s="182"/>
      <c r="CT82" s="182"/>
      <c r="CU82" s="182"/>
      <c r="CV82" s="182"/>
      <c r="CW82" s="182"/>
      <c r="CX82" s="182"/>
      <c r="CY82" s="182"/>
      <c r="CZ82" s="182"/>
      <c r="DA82" s="182"/>
      <c r="DB82" s="182"/>
      <c r="DC82" s="182"/>
      <c r="DD82" s="182"/>
      <c r="DE82" s="182"/>
      <c r="DF82" s="182"/>
      <c r="DG82" s="182"/>
      <c r="DH82" s="182"/>
      <c r="DI82" s="182"/>
      <c r="DJ82" s="182"/>
      <c r="DK82" s="182"/>
      <c r="DL82" s="182"/>
      <c r="DM82" s="182"/>
      <c r="DN82" s="182"/>
      <c r="DO82" s="182"/>
      <c r="DP82" s="182"/>
      <c r="DQ82" s="182"/>
      <c r="DR82" s="182"/>
      <c r="DS82" s="182"/>
      <c r="DT82" s="182"/>
      <c r="DU82" s="182"/>
      <c r="DV82" s="182"/>
      <c r="DW82" s="182"/>
      <c r="DX82" s="182"/>
      <c r="DY82" s="182"/>
      <c r="DZ82" s="182"/>
      <c r="EA82" s="182"/>
      <c r="EB82" s="182"/>
      <c r="EC82" s="182"/>
      <c r="ED82" s="182"/>
      <c r="EE82" s="182"/>
      <c r="EF82" s="182"/>
      <c r="EG82" s="182"/>
      <c r="EH82" s="182"/>
      <c r="EI82" s="182"/>
      <c r="EJ82" s="182"/>
      <c r="EK82" s="182"/>
      <c r="EL82" s="182"/>
      <c r="EM82" s="182"/>
      <c r="EN82" s="182"/>
      <c r="EO82" s="182"/>
      <c r="EP82" s="182"/>
      <c r="EQ82" s="182"/>
      <c r="ER82" s="182"/>
      <c r="ES82" s="182"/>
      <c r="ET82" s="182"/>
      <c r="EU82" s="182"/>
      <c r="EV82" s="182"/>
      <c r="EW82" s="182"/>
      <c r="EX82" s="182"/>
      <c r="EY82" s="182"/>
      <c r="EZ82" s="182"/>
      <c r="FA82" s="182"/>
      <c r="FB82" s="182"/>
      <c r="FC82" s="182"/>
      <c r="FD82" s="182"/>
      <c r="FE82" s="182"/>
      <c r="FF82" s="182"/>
      <c r="FG82" s="182"/>
      <c r="FH82" s="182"/>
      <c r="FI82" s="182"/>
      <c r="FJ82" s="182"/>
      <c r="FK82" s="182"/>
      <c r="FL82" s="182"/>
      <c r="FM82" s="182"/>
      <c r="FN82" s="182"/>
      <c r="FO82" s="182"/>
      <c r="FP82" s="182"/>
      <c r="FQ82" s="182"/>
      <c r="FR82" s="182"/>
      <c r="FS82" s="182"/>
      <c r="FT82" s="182"/>
      <c r="FU82" s="182"/>
      <c r="FV82" s="182"/>
      <c r="FW82" s="182"/>
      <c r="FX82" s="182"/>
      <c r="FY82" s="182"/>
      <c r="FZ82" s="182"/>
      <c r="GA82" s="182"/>
      <c r="GB82" s="182"/>
      <c r="GC82" s="182"/>
      <c r="GD82" s="182"/>
      <c r="GE82" s="182"/>
      <c r="GF82" s="182"/>
      <c r="GG82" s="182"/>
      <c r="GH82" s="182"/>
      <c r="GI82" s="182"/>
    </row>
    <row r="83" spans="1:191" s="183" customFormat="1" x14ac:dyDescent="0.2">
      <c r="A83" s="210" t="s">
        <v>38388</v>
      </c>
      <c r="B83" s="210" t="s">
        <v>18931</v>
      </c>
      <c r="C83" s="224" t="s">
        <v>22205</v>
      </c>
      <c r="D83" s="211" t="s">
        <v>16</v>
      </c>
      <c r="E83" s="211">
        <v>5</v>
      </c>
      <c r="F83" s="211"/>
      <c r="G83" s="211">
        <v>0.3</v>
      </c>
      <c r="H83" s="212"/>
      <c r="I83" s="213"/>
      <c r="J83" s="272">
        <v>572.45000000000005</v>
      </c>
      <c r="K83" s="112">
        <f t="shared" si="11"/>
        <v>2862.25</v>
      </c>
      <c r="L83" s="273">
        <f>BDI!$E$17</f>
        <v>0.11260000000000001</v>
      </c>
      <c r="M83" s="213"/>
      <c r="N83" s="213"/>
      <c r="O83" s="114">
        <f t="shared" si="12"/>
        <v>636.91</v>
      </c>
      <c r="P83" s="113">
        <f t="shared" si="13"/>
        <v>955.37</v>
      </c>
      <c r="Q83" s="209"/>
      <c r="R83" s="203"/>
      <c r="S83" s="182"/>
      <c r="T83" s="182"/>
      <c r="U83" s="182"/>
      <c r="V83" s="182"/>
      <c r="W83" s="182"/>
      <c r="X83" s="182"/>
      <c r="Y83" s="182"/>
      <c r="Z83" s="182"/>
      <c r="AA83" s="182"/>
      <c r="AB83" s="182"/>
      <c r="AC83" s="182"/>
      <c r="AD83" s="182"/>
      <c r="AE83" s="182"/>
      <c r="AF83" s="182"/>
      <c r="AG83" s="182"/>
      <c r="AH83" s="182"/>
      <c r="AI83" s="182"/>
      <c r="AJ83" s="182"/>
      <c r="AK83" s="182"/>
      <c r="AL83" s="182"/>
      <c r="AM83" s="182"/>
      <c r="AN83" s="182"/>
      <c r="AO83" s="182"/>
      <c r="AP83" s="182"/>
      <c r="AQ83" s="182"/>
      <c r="AR83" s="182"/>
      <c r="AS83" s="182"/>
      <c r="AT83" s="182"/>
      <c r="AU83" s="182"/>
      <c r="AV83" s="182"/>
      <c r="AW83" s="182"/>
      <c r="AX83" s="182"/>
      <c r="AY83" s="182"/>
      <c r="AZ83" s="182"/>
      <c r="BA83" s="182"/>
      <c r="BB83" s="182"/>
      <c r="BC83" s="182"/>
      <c r="BD83" s="182"/>
      <c r="BE83" s="182"/>
      <c r="BF83" s="182"/>
      <c r="BG83" s="182"/>
      <c r="BH83" s="182"/>
      <c r="BI83" s="182"/>
      <c r="BJ83" s="182"/>
      <c r="BK83" s="182"/>
      <c r="BL83" s="182"/>
      <c r="BM83" s="182"/>
      <c r="BN83" s="182"/>
      <c r="BO83" s="182"/>
      <c r="BP83" s="182"/>
      <c r="BQ83" s="182"/>
      <c r="BR83" s="182"/>
      <c r="BS83" s="182"/>
      <c r="BT83" s="182"/>
      <c r="BU83" s="182"/>
      <c r="BV83" s="182"/>
      <c r="BW83" s="182"/>
      <c r="BX83" s="182"/>
      <c r="BY83" s="182"/>
      <c r="BZ83" s="182"/>
      <c r="CA83" s="182"/>
      <c r="CB83" s="182"/>
      <c r="CC83" s="182"/>
      <c r="CD83" s="182"/>
      <c r="CE83" s="182"/>
      <c r="CF83" s="182"/>
      <c r="CG83" s="182"/>
      <c r="CH83" s="182"/>
      <c r="CI83" s="182"/>
      <c r="CJ83" s="182"/>
      <c r="CK83" s="182"/>
      <c r="CL83" s="182"/>
      <c r="CM83" s="182"/>
      <c r="CN83" s="182"/>
      <c r="CO83" s="182"/>
      <c r="CP83" s="182"/>
      <c r="CQ83" s="182"/>
      <c r="CR83" s="182"/>
      <c r="CS83" s="182"/>
      <c r="CT83" s="182"/>
      <c r="CU83" s="182"/>
      <c r="CV83" s="182"/>
      <c r="CW83" s="182"/>
      <c r="CX83" s="182"/>
      <c r="CY83" s="182"/>
      <c r="CZ83" s="182"/>
      <c r="DA83" s="182"/>
      <c r="DB83" s="182"/>
      <c r="DC83" s="182"/>
      <c r="DD83" s="182"/>
      <c r="DE83" s="182"/>
      <c r="DF83" s="182"/>
      <c r="DG83" s="182"/>
      <c r="DH83" s="182"/>
      <c r="DI83" s="182"/>
      <c r="DJ83" s="182"/>
      <c r="DK83" s="182"/>
      <c r="DL83" s="182"/>
      <c r="DM83" s="182"/>
      <c r="DN83" s="182"/>
      <c r="DO83" s="182"/>
      <c r="DP83" s="182"/>
      <c r="DQ83" s="182"/>
      <c r="DR83" s="182"/>
      <c r="DS83" s="182"/>
      <c r="DT83" s="182"/>
      <c r="DU83" s="182"/>
      <c r="DV83" s="182"/>
      <c r="DW83" s="182"/>
      <c r="DX83" s="182"/>
      <c r="DY83" s="182"/>
      <c r="DZ83" s="182"/>
      <c r="EA83" s="182"/>
      <c r="EB83" s="182"/>
      <c r="EC83" s="182"/>
      <c r="ED83" s="182"/>
      <c r="EE83" s="182"/>
      <c r="EF83" s="182"/>
      <c r="EG83" s="182"/>
      <c r="EH83" s="182"/>
      <c r="EI83" s="182"/>
      <c r="EJ83" s="182"/>
      <c r="EK83" s="182"/>
      <c r="EL83" s="182"/>
      <c r="EM83" s="182"/>
      <c r="EN83" s="182"/>
      <c r="EO83" s="182"/>
      <c r="EP83" s="182"/>
      <c r="EQ83" s="182"/>
      <c r="ER83" s="182"/>
      <c r="ES83" s="182"/>
      <c r="ET83" s="182"/>
      <c r="EU83" s="182"/>
      <c r="EV83" s="182"/>
      <c r="EW83" s="182"/>
      <c r="EX83" s="182"/>
      <c r="EY83" s="182"/>
      <c r="EZ83" s="182"/>
      <c r="FA83" s="182"/>
      <c r="FB83" s="182"/>
      <c r="FC83" s="182"/>
      <c r="FD83" s="182"/>
      <c r="FE83" s="182"/>
      <c r="FF83" s="182"/>
      <c r="FG83" s="182"/>
      <c r="FH83" s="182"/>
      <c r="FI83" s="182"/>
      <c r="FJ83" s="182"/>
      <c r="FK83" s="182"/>
      <c r="FL83" s="182"/>
      <c r="FM83" s="182"/>
      <c r="FN83" s="182"/>
      <c r="FO83" s="182"/>
      <c r="FP83" s="182"/>
      <c r="FQ83" s="182"/>
      <c r="FR83" s="182"/>
      <c r="FS83" s="182"/>
      <c r="FT83" s="182"/>
      <c r="FU83" s="182"/>
      <c r="FV83" s="182"/>
      <c r="FW83" s="182"/>
      <c r="FX83" s="182"/>
      <c r="FY83" s="182"/>
      <c r="FZ83" s="182"/>
      <c r="GA83" s="182"/>
      <c r="GB83" s="182"/>
      <c r="GC83" s="182"/>
      <c r="GD83" s="182"/>
      <c r="GE83" s="182"/>
      <c r="GF83" s="182"/>
      <c r="GG83" s="182"/>
      <c r="GH83" s="182"/>
      <c r="GI83" s="182"/>
    </row>
    <row r="84" spans="1:191" s="183" customFormat="1" x14ac:dyDescent="0.2">
      <c r="A84" s="210" t="s">
        <v>38389</v>
      </c>
      <c r="B84" s="210" t="s">
        <v>18932</v>
      </c>
      <c r="C84" s="224" t="s">
        <v>22206</v>
      </c>
      <c r="D84" s="211" t="s">
        <v>16</v>
      </c>
      <c r="E84" s="211">
        <v>24</v>
      </c>
      <c r="F84" s="211"/>
      <c r="G84" s="211">
        <v>0.3</v>
      </c>
      <c r="H84" s="212"/>
      <c r="I84" s="213"/>
      <c r="J84" s="272">
        <v>884.06</v>
      </c>
      <c r="K84" s="112">
        <f t="shared" si="11"/>
        <v>21217.439999999999</v>
      </c>
      <c r="L84" s="273">
        <f>BDI!$E$17</f>
        <v>0.11260000000000001</v>
      </c>
      <c r="M84" s="213"/>
      <c r="N84" s="213"/>
      <c r="O84" s="114">
        <f t="shared" si="12"/>
        <v>983.61</v>
      </c>
      <c r="P84" s="113">
        <f t="shared" si="13"/>
        <v>7081.99</v>
      </c>
      <c r="Q84" s="209"/>
      <c r="R84" s="203"/>
      <c r="S84" s="182"/>
      <c r="T84" s="182"/>
      <c r="U84" s="182"/>
      <c r="V84" s="182"/>
      <c r="W84" s="182"/>
      <c r="X84" s="182"/>
      <c r="Y84" s="182"/>
      <c r="Z84" s="182"/>
      <c r="AA84" s="182"/>
      <c r="AB84" s="182"/>
      <c r="AC84" s="182"/>
      <c r="AD84" s="182"/>
      <c r="AE84" s="182"/>
      <c r="AF84" s="182"/>
      <c r="AG84" s="182"/>
      <c r="AH84" s="182"/>
      <c r="AI84" s="182"/>
      <c r="AJ84" s="182"/>
      <c r="AK84" s="182"/>
      <c r="AL84" s="182"/>
      <c r="AM84" s="182"/>
      <c r="AN84" s="182"/>
      <c r="AO84" s="182"/>
      <c r="AP84" s="182"/>
      <c r="AQ84" s="182"/>
      <c r="AR84" s="182"/>
      <c r="AS84" s="182"/>
      <c r="AT84" s="182"/>
      <c r="AU84" s="182"/>
      <c r="AV84" s="182"/>
      <c r="AW84" s="182"/>
      <c r="AX84" s="182"/>
      <c r="AY84" s="182"/>
      <c r="AZ84" s="182"/>
      <c r="BA84" s="182"/>
      <c r="BB84" s="182"/>
      <c r="BC84" s="182"/>
      <c r="BD84" s="182"/>
      <c r="BE84" s="182"/>
      <c r="BF84" s="182"/>
      <c r="BG84" s="182"/>
      <c r="BH84" s="182"/>
      <c r="BI84" s="182"/>
      <c r="BJ84" s="182"/>
      <c r="BK84" s="182"/>
      <c r="BL84" s="182"/>
      <c r="BM84" s="182"/>
      <c r="BN84" s="182"/>
      <c r="BO84" s="182"/>
      <c r="BP84" s="182"/>
      <c r="BQ84" s="182"/>
      <c r="BR84" s="182"/>
      <c r="BS84" s="182"/>
      <c r="BT84" s="182"/>
      <c r="BU84" s="182"/>
      <c r="BV84" s="182"/>
      <c r="BW84" s="182"/>
      <c r="BX84" s="182"/>
      <c r="BY84" s="182"/>
      <c r="BZ84" s="182"/>
      <c r="CA84" s="182"/>
      <c r="CB84" s="182"/>
      <c r="CC84" s="182"/>
      <c r="CD84" s="182"/>
      <c r="CE84" s="182"/>
      <c r="CF84" s="182"/>
      <c r="CG84" s="182"/>
      <c r="CH84" s="182"/>
      <c r="CI84" s="182"/>
      <c r="CJ84" s="182"/>
      <c r="CK84" s="182"/>
      <c r="CL84" s="182"/>
      <c r="CM84" s="182"/>
      <c r="CN84" s="182"/>
      <c r="CO84" s="182"/>
      <c r="CP84" s="182"/>
      <c r="CQ84" s="182"/>
      <c r="CR84" s="182"/>
      <c r="CS84" s="182"/>
      <c r="CT84" s="182"/>
      <c r="CU84" s="182"/>
      <c r="CV84" s="182"/>
      <c r="CW84" s="182"/>
      <c r="CX84" s="182"/>
      <c r="CY84" s="182"/>
      <c r="CZ84" s="182"/>
      <c r="DA84" s="182"/>
      <c r="DB84" s="182"/>
      <c r="DC84" s="182"/>
      <c r="DD84" s="182"/>
      <c r="DE84" s="182"/>
      <c r="DF84" s="182"/>
      <c r="DG84" s="182"/>
      <c r="DH84" s="182"/>
      <c r="DI84" s="182"/>
      <c r="DJ84" s="182"/>
      <c r="DK84" s="182"/>
      <c r="DL84" s="182"/>
      <c r="DM84" s="182"/>
      <c r="DN84" s="182"/>
      <c r="DO84" s="182"/>
      <c r="DP84" s="182"/>
      <c r="DQ84" s="182"/>
      <c r="DR84" s="182"/>
      <c r="DS84" s="182"/>
      <c r="DT84" s="182"/>
      <c r="DU84" s="182"/>
      <c r="DV84" s="182"/>
      <c r="DW84" s="182"/>
      <c r="DX84" s="182"/>
      <c r="DY84" s="182"/>
      <c r="DZ84" s="182"/>
      <c r="EA84" s="182"/>
      <c r="EB84" s="182"/>
      <c r="EC84" s="182"/>
      <c r="ED84" s="182"/>
      <c r="EE84" s="182"/>
      <c r="EF84" s="182"/>
      <c r="EG84" s="182"/>
      <c r="EH84" s="182"/>
      <c r="EI84" s="182"/>
      <c r="EJ84" s="182"/>
      <c r="EK84" s="182"/>
      <c r="EL84" s="182"/>
      <c r="EM84" s="182"/>
      <c r="EN84" s="182"/>
      <c r="EO84" s="182"/>
      <c r="EP84" s="182"/>
      <c r="EQ84" s="182"/>
      <c r="ER84" s="182"/>
      <c r="ES84" s="182"/>
      <c r="ET84" s="182"/>
      <c r="EU84" s="182"/>
      <c r="EV84" s="182"/>
      <c r="EW84" s="182"/>
      <c r="EX84" s="182"/>
      <c r="EY84" s="182"/>
      <c r="EZ84" s="182"/>
      <c r="FA84" s="182"/>
      <c r="FB84" s="182"/>
      <c r="FC84" s="182"/>
      <c r="FD84" s="182"/>
      <c r="FE84" s="182"/>
      <c r="FF84" s="182"/>
      <c r="FG84" s="182"/>
      <c r="FH84" s="182"/>
      <c r="FI84" s="182"/>
      <c r="FJ84" s="182"/>
      <c r="FK84" s="182"/>
      <c r="FL84" s="182"/>
      <c r="FM84" s="182"/>
      <c r="FN84" s="182"/>
      <c r="FO84" s="182"/>
      <c r="FP84" s="182"/>
      <c r="FQ84" s="182"/>
      <c r="FR84" s="182"/>
      <c r="FS84" s="182"/>
      <c r="FT84" s="182"/>
      <c r="FU84" s="182"/>
      <c r="FV84" s="182"/>
      <c r="FW84" s="182"/>
      <c r="FX84" s="182"/>
      <c r="FY84" s="182"/>
      <c r="FZ84" s="182"/>
      <c r="GA84" s="182"/>
      <c r="GB84" s="182"/>
      <c r="GC84" s="182"/>
      <c r="GD84" s="182"/>
      <c r="GE84" s="182"/>
      <c r="GF84" s="182"/>
      <c r="GG84" s="182"/>
      <c r="GH84" s="182"/>
      <c r="GI84" s="182"/>
    </row>
    <row r="85" spans="1:191" s="183" customFormat="1" x14ac:dyDescent="0.2">
      <c r="A85" s="210" t="s">
        <v>38390</v>
      </c>
      <c r="B85" s="210" t="s">
        <v>18933</v>
      </c>
      <c r="C85" s="224" t="s">
        <v>22207</v>
      </c>
      <c r="D85" s="211" t="s">
        <v>16</v>
      </c>
      <c r="E85" s="211">
        <v>15</v>
      </c>
      <c r="F85" s="211"/>
      <c r="G85" s="211">
        <v>0.3</v>
      </c>
      <c r="H85" s="212"/>
      <c r="I85" s="213"/>
      <c r="J85" s="272">
        <v>1182.57</v>
      </c>
      <c r="K85" s="112">
        <f t="shared" si="11"/>
        <v>17738.55</v>
      </c>
      <c r="L85" s="273">
        <f>BDI!$E$17</f>
        <v>0.11260000000000001</v>
      </c>
      <c r="M85" s="213"/>
      <c r="N85" s="213"/>
      <c r="O85" s="114">
        <f t="shared" si="12"/>
        <v>1315.73</v>
      </c>
      <c r="P85" s="113">
        <f t="shared" si="13"/>
        <v>5920.79</v>
      </c>
      <c r="Q85" s="209"/>
      <c r="R85" s="203"/>
      <c r="S85" s="182"/>
      <c r="T85" s="182"/>
      <c r="U85" s="182"/>
      <c r="V85" s="182"/>
      <c r="W85" s="182"/>
      <c r="X85" s="182"/>
      <c r="Y85" s="182"/>
      <c r="Z85" s="182"/>
      <c r="AA85" s="182"/>
      <c r="AB85" s="182"/>
      <c r="AC85" s="182"/>
      <c r="AD85" s="182"/>
      <c r="AE85" s="182"/>
      <c r="AF85" s="182"/>
      <c r="AG85" s="182"/>
      <c r="AH85" s="182"/>
      <c r="AI85" s="182"/>
      <c r="AJ85" s="182"/>
      <c r="AK85" s="182"/>
      <c r="AL85" s="182"/>
      <c r="AM85" s="182"/>
      <c r="AN85" s="182"/>
      <c r="AO85" s="182"/>
      <c r="AP85" s="182"/>
      <c r="AQ85" s="182"/>
      <c r="AR85" s="182"/>
      <c r="AS85" s="182"/>
      <c r="AT85" s="182"/>
      <c r="AU85" s="182"/>
      <c r="AV85" s="182"/>
      <c r="AW85" s="182"/>
      <c r="AX85" s="182"/>
      <c r="AY85" s="182"/>
      <c r="AZ85" s="182"/>
      <c r="BA85" s="182"/>
      <c r="BB85" s="182"/>
      <c r="BC85" s="182"/>
      <c r="BD85" s="182"/>
      <c r="BE85" s="182"/>
      <c r="BF85" s="182"/>
      <c r="BG85" s="182"/>
      <c r="BH85" s="182"/>
      <c r="BI85" s="182"/>
      <c r="BJ85" s="182"/>
      <c r="BK85" s="182"/>
      <c r="BL85" s="182"/>
      <c r="BM85" s="182"/>
      <c r="BN85" s="182"/>
      <c r="BO85" s="182"/>
      <c r="BP85" s="182"/>
      <c r="BQ85" s="182"/>
      <c r="BR85" s="182"/>
      <c r="BS85" s="182"/>
      <c r="BT85" s="182"/>
      <c r="BU85" s="182"/>
      <c r="BV85" s="182"/>
      <c r="BW85" s="182"/>
      <c r="BX85" s="182"/>
      <c r="BY85" s="182"/>
      <c r="BZ85" s="182"/>
      <c r="CA85" s="182"/>
      <c r="CB85" s="182"/>
      <c r="CC85" s="182"/>
      <c r="CD85" s="182"/>
      <c r="CE85" s="182"/>
      <c r="CF85" s="182"/>
      <c r="CG85" s="182"/>
      <c r="CH85" s="182"/>
      <c r="CI85" s="182"/>
      <c r="CJ85" s="182"/>
      <c r="CK85" s="182"/>
      <c r="CL85" s="182"/>
      <c r="CM85" s="182"/>
      <c r="CN85" s="182"/>
      <c r="CO85" s="182"/>
      <c r="CP85" s="182"/>
      <c r="CQ85" s="182"/>
      <c r="CR85" s="182"/>
      <c r="CS85" s="182"/>
      <c r="CT85" s="182"/>
      <c r="CU85" s="182"/>
      <c r="CV85" s="182"/>
      <c r="CW85" s="182"/>
      <c r="CX85" s="182"/>
      <c r="CY85" s="182"/>
      <c r="CZ85" s="182"/>
      <c r="DA85" s="182"/>
      <c r="DB85" s="182"/>
      <c r="DC85" s="182"/>
      <c r="DD85" s="182"/>
      <c r="DE85" s="182"/>
      <c r="DF85" s="182"/>
      <c r="DG85" s="182"/>
      <c r="DH85" s="182"/>
      <c r="DI85" s="182"/>
      <c r="DJ85" s="182"/>
      <c r="DK85" s="182"/>
      <c r="DL85" s="182"/>
      <c r="DM85" s="182"/>
      <c r="DN85" s="182"/>
      <c r="DO85" s="182"/>
      <c r="DP85" s="182"/>
      <c r="DQ85" s="182"/>
      <c r="DR85" s="182"/>
      <c r="DS85" s="182"/>
      <c r="DT85" s="182"/>
      <c r="DU85" s="182"/>
      <c r="DV85" s="182"/>
      <c r="DW85" s="182"/>
      <c r="DX85" s="182"/>
      <c r="DY85" s="182"/>
      <c r="DZ85" s="182"/>
      <c r="EA85" s="182"/>
      <c r="EB85" s="182"/>
      <c r="EC85" s="182"/>
      <c r="ED85" s="182"/>
      <c r="EE85" s="182"/>
      <c r="EF85" s="182"/>
      <c r="EG85" s="182"/>
      <c r="EH85" s="182"/>
      <c r="EI85" s="182"/>
      <c r="EJ85" s="182"/>
      <c r="EK85" s="182"/>
      <c r="EL85" s="182"/>
      <c r="EM85" s="182"/>
      <c r="EN85" s="182"/>
      <c r="EO85" s="182"/>
      <c r="EP85" s="182"/>
      <c r="EQ85" s="182"/>
      <c r="ER85" s="182"/>
      <c r="ES85" s="182"/>
      <c r="ET85" s="182"/>
      <c r="EU85" s="182"/>
      <c r="EV85" s="182"/>
      <c r="EW85" s="182"/>
      <c r="EX85" s="182"/>
      <c r="EY85" s="182"/>
      <c r="EZ85" s="182"/>
      <c r="FA85" s="182"/>
      <c r="FB85" s="182"/>
      <c r="FC85" s="182"/>
      <c r="FD85" s="182"/>
      <c r="FE85" s="182"/>
      <c r="FF85" s="182"/>
      <c r="FG85" s="182"/>
      <c r="FH85" s="182"/>
      <c r="FI85" s="182"/>
      <c r="FJ85" s="182"/>
      <c r="FK85" s="182"/>
      <c r="FL85" s="182"/>
      <c r="FM85" s="182"/>
      <c r="FN85" s="182"/>
      <c r="FO85" s="182"/>
      <c r="FP85" s="182"/>
      <c r="FQ85" s="182"/>
      <c r="FR85" s="182"/>
      <c r="FS85" s="182"/>
      <c r="FT85" s="182"/>
      <c r="FU85" s="182"/>
      <c r="FV85" s="182"/>
      <c r="FW85" s="182"/>
      <c r="FX85" s="182"/>
      <c r="FY85" s="182"/>
      <c r="FZ85" s="182"/>
      <c r="GA85" s="182"/>
      <c r="GB85" s="182"/>
      <c r="GC85" s="182"/>
      <c r="GD85" s="182"/>
      <c r="GE85" s="182"/>
      <c r="GF85" s="182"/>
      <c r="GG85" s="182"/>
      <c r="GH85" s="182"/>
      <c r="GI85" s="182"/>
    </row>
    <row r="86" spans="1:191" s="183" customFormat="1" x14ac:dyDescent="0.2">
      <c r="A86" s="210" t="s">
        <v>38391</v>
      </c>
      <c r="B86" s="210" t="s">
        <v>18934</v>
      </c>
      <c r="C86" s="224" t="s">
        <v>22208</v>
      </c>
      <c r="D86" s="211" t="s">
        <v>16</v>
      </c>
      <c r="E86" s="211">
        <v>2</v>
      </c>
      <c r="F86" s="211"/>
      <c r="G86" s="211">
        <v>0.3</v>
      </c>
      <c r="H86" s="212"/>
      <c r="I86" s="213"/>
      <c r="J86" s="272">
        <v>1535.95</v>
      </c>
      <c r="K86" s="112">
        <f t="shared" si="11"/>
        <v>3071.9</v>
      </c>
      <c r="L86" s="273">
        <f>BDI!$E$17</f>
        <v>0.11260000000000001</v>
      </c>
      <c r="M86" s="213"/>
      <c r="N86" s="213"/>
      <c r="O86" s="114">
        <f t="shared" si="12"/>
        <v>1708.9</v>
      </c>
      <c r="P86" s="113">
        <f t="shared" si="13"/>
        <v>1025.3399999999999</v>
      </c>
      <c r="Q86" s="209"/>
      <c r="R86" s="203"/>
      <c r="S86" s="182"/>
      <c r="T86" s="182"/>
      <c r="U86" s="182"/>
      <c r="V86" s="182"/>
      <c r="W86" s="182"/>
      <c r="X86" s="182"/>
      <c r="Y86" s="182"/>
      <c r="Z86" s="182"/>
      <c r="AA86" s="182"/>
      <c r="AB86" s="182"/>
      <c r="AC86" s="182"/>
      <c r="AD86" s="182"/>
      <c r="AE86" s="182"/>
      <c r="AF86" s="182"/>
      <c r="AG86" s="182"/>
      <c r="AH86" s="182"/>
      <c r="AI86" s="182"/>
      <c r="AJ86" s="182"/>
      <c r="AK86" s="182"/>
      <c r="AL86" s="182"/>
      <c r="AM86" s="182"/>
      <c r="AN86" s="182"/>
      <c r="AO86" s="182"/>
      <c r="AP86" s="182"/>
      <c r="AQ86" s="182"/>
      <c r="AR86" s="182"/>
      <c r="AS86" s="182"/>
      <c r="AT86" s="182"/>
      <c r="AU86" s="182"/>
      <c r="AV86" s="182"/>
      <c r="AW86" s="182"/>
      <c r="AX86" s="182"/>
      <c r="AY86" s="182"/>
      <c r="AZ86" s="182"/>
      <c r="BA86" s="182"/>
      <c r="BB86" s="182"/>
      <c r="BC86" s="182"/>
      <c r="BD86" s="182"/>
      <c r="BE86" s="182"/>
      <c r="BF86" s="182"/>
      <c r="BG86" s="182"/>
      <c r="BH86" s="182"/>
      <c r="BI86" s="182"/>
      <c r="BJ86" s="182"/>
      <c r="BK86" s="182"/>
      <c r="BL86" s="182"/>
      <c r="BM86" s="182"/>
      <c r="BN86" s="182"/>
      <c r="BO86" s="182"/>
      <c r="BP86" s="182"/>
      <c r="BQ86" s="182"/>
      <c r="BR86" s="182"/>
      <c r="BS86" s="182"/>
      <c r="BT86" s="182"/>
      <c r="BU86" s="182"/>
      <c r="BV86" s="182"/>
      <c r="BW86" s="182"/>
      <c r="BX86" s="182"/>
      <c r="BY86" s="182"/>
      <c r="BZ86" s="182"/>
      <c r="CA86" s="182"/>
      <c r="CB86" s="182"/>
      <c r="CC86" s="182"/>
      <c r="CD86" s="182"/>
      <c r="CE86" s="182"/>
      <c r="CF86" s="182"/>
      <c r="CG86" s="182"/>
      <c r="CH86" s="182"/>
      <c r="CI86" s="182"/>
      <c r="CJ86" s="182"/>
      <c r="CK86" s="182"/>
      <c r="CL86" s="182"/>
      <c r="CM86" s="182"/>
      <c r="CN86" s="182"/>
      <c r="CO86" s="182"/>
      <c r="CP86" s="182"/>
      <c r="CQ86" s="182"/>
      <c r="CR86" s="182"/>
      <c r="CS86" s="182"/>
      <c r="CT86" s="182"/>
      <c r="CU86" s="182"/>
      <c r="CV86" s="182"/>
      <c r="CW86" s="182"/>
      <c r="CX86" s="182"/>
      <c r="CY86" s="182"/>
      <c r="CZ86" s="182"/>
      <c r="DA86" s="182"/>
      <c r="DB86" s="182"/>
      <c r="DC86" s="182"/>
      <c r="DD86" s="182"/>
      <c r="DE86" s="182"/>
      <c r="DF86" s="182"/>
      <c r="DG86" s="182"/>
      <c r="DH86" s="182"/>
      <c r="DI86" s="182"/>
      <c r="DJ86" s="182"/>
      <c r="DK86" s="182"/>
      <c r="DL86" s="182"/>
      <c r="DM86" s="182"/>
      <c r="DN86" s="182"/>
      <c r="DO86" s="182"/>
      <c r="DP86" s="182"/>
      <c r="DQ86" s="182"/>
      <c r="DR86" s="182"/>
      <c r="DS86" s="182"/>
      <c r="DT86" s="182"/>
      <c r="DU86" s="182"/>
      <c r="DV86" s="182"/>
      <c r="DW86" s="182"/>
      <c r="DX86" s="182"/>
      <c r="DY86" s="182"/>
      <c r="DZ86" s="182"/>
      <c r="EA86" s="182"/>
      <c r="EB86" s="182"/>
      <c r="EC86" s="182"/>
      <c r="ED86" s="182"/>
      <c r="EE86" s="182"/>
      <c r="EF86" s="182"/>
      <c r="EG86" s="182"/>
      <c r="EH86" s="182"/>
      <c r="EI86" s="182"/>
      <c r="EJ86" s="182"/>
      <c r="EK86" s="182"/>
      <c r="EL86" s="182"/>
      <c r="EM86" s="182"/>
      <c r="EN86" s="182"/>
      <c r="EO86" s="182"/>
      <c r="EP86" s="182"/>
      <c r="EQ86" s="182"/>
      <c r="ER86" s="182"/>
      <c r="ES86" s="182"/>
      <c r="ET86" s="182"/>
      <c r="EU86" s="182"/>
      <c r="EV86" s="182"/>
      <c r="EW86" s="182"/>
      <c r="EX86" s="182"/>
      <c r="EY86" s="182"/>
      <c r="EZ86" s="182"/>
      <c r="FA86" s="182"/>
      <c r="FB86" s="182"/>
      <c r="FC86" s="182"/>
      <c r="FD86" s="182"/>
      <c r="FE86" s="182"/>
      <c r="FF86" s="182"/>
      <c r="FG86" s="182"/>
      <c r="FH86" s="182"/>
      <c r="FI86" s="182"/>
      <c r="FJ86" s="182"/>
      <c r="FK86" s="182"/>
      <c r="FL86" s="182"/>
      <c r="FM86" s="182"/>
      <c r="FN86" s="182"/>
      <c r="FO86" s="182"/>
      <c r="FP86" s="182"/>
      <c r="FQ86" s="182"/>
      <c r="FR86" s="182"/>
      <c r="FS86" s="182"/>
      <c r="FT86" s="182"/>
      <c r="FU86" s="182"/>
      <c r="FV86" s="182"/>
      <c r="FW86" s="182"/>
      <c r="FX86" s="182"/>
      <c r="FY86" s="182"/>
      <c r="FZ86" s="182"/>
      <c r="GA86" s="182"/>
      <c r="GB86" s="182"/>
      <c r="GC86" s="182"/>
      <c r="GD86" s="182"/>
      <c r="GE86" s="182"/>
      <c r="GF86" s="182"/>
      <c r="GG86" s="182"/>
      <c r="GH86" s="182"/>
      <c r="GI86" s="182"/>
    </row>
    <row r="87" spans="1:191" s="183" customFormat="1" x14ac:dyDescent="0.2">
      <c r="A87" s="210" t="s">
        <v>38392</v>
      </c>
      <c r="B87" s="210" t="s">
        <v>18935</v>
      </c>
      <c r="C87" s="224" t="s">
        <v>22209</v>
      </c>
      <c r="D87" s="211" t="s">
        <v>16</v>
      </c>
      <c r="E87" s="211">
        <v>2</v>
      </c>
      <c r="F87" s="211"/>
      <c r="G87" s="211">
        <v>0.3</v>
      </c>
      <c r="H87" s="212"/>
      <c r="I87" s="213"/>
      <c r="J87" s="272">
        <v>572.79</v>
      </c>
      <c r="K87" s="112">
        <f t="shared" si="11"/>
        <v>1145.58</v>
      </c>
      <c r="L87" s="273">
        <f>BDI!$E$17</f>
        <v>0.11260000000000001</v>
      </c>
      <c r="M87" s="213"/>
      <c r="N87" s="213"/>
      <c r="O87" s="114">
        <f t="shared" si="12"/>
        <v>637.29</v>
      </c>
      <c r="P87" s="113">
        <f t="shared" si="13"/>
        <v>382.37</v>
      </c>
      <c r="Q87" s="209"/>
      <c r="R87" s="203"/>
      <c r="S87" s="182"/>
      <c r="T87" s="182"/>
      <c r="U87" s="182"/>
      <c r="V87" s="182"/>
      <c r="W87" s="182"/>
      <c r="X87" s="182"/>
      <c r="Y87" s="182"/>
      <c r="Z87" s="182"/>
      <c r="AA87" s="182"/>
      <c r="AB87" s="182"/>
      <c r="AC87" s="182"/>
      <c r="AD87" s="182"/>
      <c r="AE87" s="182"/>
      <c r="AF87" s="182"/>
      <c r="AG87" s="182"/>
      <c r="AH87" s="182"/>
      <c r="AI87" s="182"/>
      <c r="AJ87" s="182"/>
      <c r="AK87" s="182"/>
      <c r="AL87" s="182"/>
      <c r="AM87" s="182"/>
      <c r="AN87" s="182"/>
      <c r="AO87" s="182"/>
      <c r="AP87" s="182"/>
      <c r="AQ87" s="182"/>
      <c r="AR87" s="182"/>
      <c r="AS87" s="182"/>
      <c r="AT87" s="182"/>
      <c r="AU87" s="182"/>
      <c r="AV87" s="182"/>
      <c r="AW87" s="182"/>
      <c r="AX87" s="182"/>
      <c r="AY87" s="182"/>
      <c r="AZ87" s="182"/>
      <c r="BA87" s="182"/>
      <c r="BB87" s="182"/>
      <c r="BC87" s="182"/>
      <c r="BD87" s="182"/>
      <c r="BE87" s="182"/>
      <c r="BF87" s="182"/>
      <c r="BG87" s="182"/>
      <c r="BH87" s="182"/>
      <c r="BI87" s="182"/>
      <c r="BJ87" s="182"/>
      <c r="BK87" s="182"/>
      <c r="BL87" s="182"/>
      <c r="BM87" s="182"/>
      <c r="BN87" s="182"/>
      <c r="BO87" s="182"/>
      <c r="BP87" s="182"/>
      <c r="BQ87" s="182"/>
      <c r="BR87" s="182"/>
      <c r="BS87" s="182"/>
      <c r="BT87" s="182"/>
      <c r="BU87" s="182"/>
      <c r="BV87" s="182"/>
      <c r="BW87" s="182"/>
      <c r="BX87" s="182"/>
      <c r="BY87" s="182"/>
      <c r="BZ87" s="182"/>
      <c r="CA87" s="182"/>
      <c r="CB87" s="182"/>
      <c r="CC87" s="182"/>
      <c r="CD87" s="182"/>
      <c r="CE87" s="182"/>
      <c r="CF87" s="182"/>
      <c r="CG87" s="182"/>
      <c r="CH87" s="182"/>
      <c r="CI87" s="182"/>
      <c r="CJ87" s="182"/>
      <c r="CK87" s="182"/>
      <c r="CL87" s="182"/>
      <c r="CM87" s="182"/>
      <c r="CN87" s="182"/>
      <c r="CO87" s="182"/>
      <c r="CP87" s="182"/>
      <c r="CQ87" s="182"/>
      <c r="CR87" s="182"/>
      <c r="CS87" s="182"/>
      <c r="CT87" s="182"/>
      <c r="CU87" s="182"/>
      <c r="CV87" s="182"/>
      <c r="CW87" s="182"/>
      <c r="CX87" s="182"/>
      <c r="CY87" s="182"/>
      <c r="CZ87" s="182"/>
      <c r="DA87" s="182"/>
      <c r="DB87" s="182"/>
      <c r="DC87" s="182"/>
      <c r="DD87" s="182"/>
      <c r="DE87" s="182"/>
      <c r="DF87" s="182"/>
      <c r="DG87" s="182"/>
      <c r="DH87" s="182"/>
      <c r="DI87" s="182"/>
      <c r="DJ87" s="182"/>
      <c r="DK87" s="182"/>
      <c r="DL87" s="182"/>
      <c r="DM87" s="182"/>
      <c r="DN87" s="182"/>
      <c r="DO87" s="182"/>
      <c r="DP87" s="182"/>
      <c r="DQ87" s="182"/>
      <c r="DR87" s="182"/>
      <c r="DS87" s="182"/>
      <c r="DT87" s="182"/>
      <c r="DU87" s="182"/>
      <c r="DV87" s="182"/>
      <c r="DW87" s="182"/>
      <c r="DX87" s="182"/>
      <c r="DY87" s="182"/>
      <c r="DZ87" s="182"/>
      <c r="EA87" s="182"/>
      <c r="EB87" s="182"/>
      <c r="EC87" s="182"/>
      <c r="ED87" s="182"/>
      <c r="EE87" s="182"/>
      <c r="EF87" s="182"/>
      <c r="EG87" s="182"/>
      <c r="EH87" s="182"/>
      <c r="EI87" s="182"/>
      <c r="EJ87" s="182"/>
      <c r="EK87" s="182"/>
      <c r="EL87" s="182"/>
      <c r="EM87" s="182"/>
      <c r="EN87" s="182"/>
      <c r="EO87" s="182"/>
      <c r="EP87" s="182"/>
      <c r="EQ87" s="182"/>
      <c r="ER87" s="182"/>
      <c r="ES87" s="182"/>
      <c r="ET87" s="182"/>
      <c r="EU87" s="182"/>
      <c r="EV87" s="182"/>
      <c r="EW87" s="182"/>
      <c r="EX87" s="182"/>
      <c r="EY87" s="182"/>
      <c r="EZ87" s="182"/>
      <c r="FA87" s="182"/>
      <c r="FB87" s="182"/>
      <c r="FC87" s="182"/>
      <c r="FD87" s="182"/>
      <c r="FE87" s="182"/>
      <c r="FF87" s="182"/>
      <c r="FG87" s="182"/>
      <c r="FH87" s="182"/>
      <c r="FI87" s="182"/>
      <c r="FJ87" s="182"/>
      <c r="FK87" s="182"/>
      <c r="FL87" s="182"/>
      <c r="FM87" s="182"/>
      <c r="FN87" s="182"/>
      <c r="FO87" s="182"/>
      <c r="FP87" s="182"/>
      <c r="FQ87" s="182"/>
      <c r="FR87" s="182"/>
      <c r="FS87" s="182"/>
      <c r="FT87" s="182"/>
      <c r="FU87" s="182"/>
      <c r="FV87" s="182"/>
      <c r="FW87" s="182"/>
      <c r="FX87" s="182"/>
      <c r="FY87" s="182"/>
      <c r="FZ87" s="182"/>
      <c r="GA87" s="182"/>
      <c r="GB87" s="182"/>
      <c r="GC87" s="182"/>
      <c r="GD87" s="182"/>
      <c r="GE87" s="182"/>
      <c r="GF87" s="182"/>
      <c r="GG87" s="182"/>
      <c r="GH87" s="182"/>
      <c r="GI87" s="182"/>
    </row>
    <row r="88" spans="1:191" s="183" customFormat="1" x14ac:dyDescent="0.2">
      <c r="A88" s="210" t="s">
        <v>38393</v>
      </c>
      <c r="B88" s="210" t="s">
        <v>18936</v>
      </c>
      <c r="C88" s="224" t="s">
        <v>22210</v>
      </c>
      <c r="D88" s="211" t="s">
        <v>16</v>
      </c>
      <c r="E88" s="211">
        <v>30</v>
      </c>
      <c r="F88" s="211"/>
      <c r="G88" s="211">
        <v>0.3</v>
      </c>
      <c r="H88" s="212"/>
      <c r="I88" s="213"/>
      <c r="J88" s="272">
        <v>105.61</v>
      </c>
      <c r="K88" s="112">
        <f t="shared" si="11"/>
        <v>3168.3</v>
      </c>
      <c r="L88" s="273">
        <f>BDI!$E$17</f>
        <v>0.11260000000000001</v>
      </c>
      <c r="M88" s="213"/>
      <c r="N88" s="213"/>
      <c r="O88" s="114">
        <f t="shared" si="12"/>
        <v>117.5</v>
      </c>
      <c r="P88" s="113">
        <f t="shared" si="13"/>
        <v>1057.5</v>
      </c>
      <c r="Q88" s="209"/>
      <c r="R88" s="203"/>
      <c r="S88" s="182"/>
      <c r="T88" s="182"/>
      <c r="U88" s="182"/>
      <c r="V88" s="182"/>
      <c r="W88" s="182"/>
      <c r="X88" s="182"/>
      <c r="Y88" s="182"/>
      <c r="Z88" s="182"/>
      <c r="AA88" s="182"/>
      <c r="AB88" s="182"/>
      <c r="AC88" s="182"/>
      <c r="AD88" s="182"/>
      <c r="AE88" s="182"/>
      <c r="AF88" s="182"/>
      <c r="AG88" s="182"/>
      <c r="AH88" s="182"/>
      <c r="AI88" s="182"/>
      <c r="AJ88" s="182"/>
      <c r="AK88" s="182"/>
      <c r="AL88" s="182"/>
      <c r="AM88" s="182"/>
      <c r="AN88" s="182"/>
      <c r="AO88" s="182"/>
      <c r="AP88" s="182"/>
      <c r="AQ88" s="182"/>
      <c r="AR88" s="182"/>
      <c r="AS88" s="182"/>
      <c r="AT88" s="182"/>
      <c r="AU88" s="182"/>
      <c r="AV88" s="182"/>
      <c r="AW88" s="182"/>
      <c r="AX88" s="182"/>
      <c r="AY88" s="182"/>
      <c r="AZ88" s="182"/>
      <c r="BA88" s="182"/>
      <c r="BB88" s="182"/>
      <c r="BC88" s="182"/>
      <c r="BD88" s="182"/>
      <c r="BE88" s="182"/>
      <c r="BF88" s="182"/>
      <c r="BG88" s="182"/>
      <c r="BH88" s="182"/>
      <c r="BI88" s="182"/>
      <c r="BJ88" s="182"/>
      <c r="BK88" s="182"/>
      <c r="BL88" s="182"/>
      <c r="BM88" s="182"/>
      <c r="BN88" s="182"/>
      <c r="BO88" s="182"/>
      <c r="BP88" s="182"/>
      <c r="BQ88" s="182"/>
      <c r="BR88" s="182"/>
      <c r="BS88" s="182"/>
      <c r="BT88" s="182"/>
      <c r="BU88" s="182"/>
      <c r="BV88" s="182"/>
      <c r="BW88" s="182"/>
      <c r="BX88" s="182"/>
      <c r="BY88" s="182"/>
      <c r="BZ88" s="182"/>
      <c r="CA88" s="182"/>
      <c r="CB88" s="182"/>
      <c r="CC88" s="182"/>
      <c r="CD88" s="182"/>
      <c r="CE88" s="182"/>
      <c r="CF88" s="182"/>
      <c r="CG88" s="182"/>
      <c r="CH88" s="182"/>
      <c r="CI88" s="182"/>
      <c r="CJ88" s="182"/>
      <c r="CK88" s="182"/>
      <c r="CL88" s="182"/>
      <c r="CM88" s="182"/>
      <c r="CN88" s="182"/>
      <c r="CO88" s="182"/>
      <c r="CP88" s="182"/>
      <c r="CQ88" s="182"/>
      <c r="CR88" s="182"/>
      <c r="CS88" s="182"/>
      <c r="CT88" s="182"/>
      <c r="CU88" s="182"/>
      <c r="CV88" s="182"/>
      <c r="CW88" s="182"/>
      <c r="CX88" s="182"/>
      <c r="CY88" s="182"/>
      <c r="CZ88" s="182"/>
      <c r="DA88" s="182"/>
      <c r="DB88" s="182"/>
      <c r="DC88" s="182"/>
      <c r="DD88" s="182"/>
      <c r="DE88" s="182"/>
      <c r="DF88" s="182"/>
      <c r="DG88" s="182"/>
      <c r="DH88" s="182"/>
      <c r="DI88" s="182"/>
      <c r="DJ88" s="182"/>
      <c r="DK88" s="182"/>
      <c r="DL88" s="182"/>
      <c r="DM88" s="182"/>
      <c r="DN88" s="182"/>
      <c r="DO88" s="182"/>
      <c r="DP88" s="182"/>
      <c r="DQ88" s="182"/>
      <c r="DR88" s="182"/>
      <c r="DS88" s="182"/>
      <c r="DT88" s="182"/>
      <c r="DU88" s="182"/>
      <c r="DV88" s="182"/>
      <c r="DW88" s="182"/>
      <c r="DX88" s="182"/>
      <c r="DY88" s="182"/>
      <c r="DZ88" s="182"/>
      <c r="EA88" s="182"/>
      <c r="EB88" s="182"/>
      <c r="EC88" s="182"/>
      <c r="ED88" s="182"/>
      <c r="EE88" s="182"/>
      <c r="EF88" s="182"/>
      <c r="EG88" s="182"/>
      <c r="EH88" s="182"/>
      <c r="EI88" s="182"/>
      <c r="EJ88" s="182"/>
      <c r="EK88" s="182"/>
      <c r="EL88" s="182"/>
      <c r="EM88" s="182"/>
      <c r="EN88" s="182"/>
      <c r="EO88" s="182"/>
      <c r="EP88" s="182"/>
      <c r="EQ88" s="182"/>
      <c r="ER88" s="182"/>
      <c r="ES88" s="182"/>
      <c r="ET88" s="182"/>
      <c r="EU88" s="182"/>
      <c r="EV88" s="182"/>
      <c r="EW88" s="182"/>
      <c r="EX88" s="182"/>
      <c r="EY88" s="182"/>
      <c r="EZ88" s="182"/>
      <c r="FA88" s="182"/>
      <c r="FB88" s="182"/>
      <c r="FC88" s="182"/>
      <c r="FD88" s="182"/>
      <c r="FE88" s="182"/>
      <c r="FF88" s="182"/>
      <c r="FG88" s="182"/>
      <c r="FH88" s="182"/>
      <c r="FI88" s="182"/>
      <c r="FJ88" s="182"/>
      <c r="FK88" s="182"/>
      <c r="FL88" s="182"/>
      <c r="FM88" s="182"/>
      <c r="FN88" s="182"/>
      <c r="FO88" s="182"/>
      <c r="FP88" s="182"/>
      <c r="FQ88" s="182"/>
      <c r="FR88" s="182"/>
      <c r="FS88" s="182"/>
      <c r="FT88" s="182"/>
      <c r="FU88" s="182"/>
      <c r="FV88" s="182"/>
      <c r="FW88" s="182"/>
      <c r="FX88" s="182"/>
      <c r="FY88" s="182"/>
      <c r="FZ88" s="182"/>
      <c r="GA88" s="182"/>
      <c r="GB88" s="182"/>
      <c r="GC88" s="182"/>
      <c r="GD88" s="182"/>
      <c r="GE88" s="182"/>
      <c r="GF88" s="182"/>
      <c r="GG88" s="182"/>
      <c r="GH88" s="182"/>
      <c r="GI88" s="182"/>
    </row>
    <row r="89" spans="1:191" s="183" customFormat="1" x14ac:dyDescent="0.2">
      <c r="A89" s="210" t="s">
        <v>38394</v>
      </c>
      <c r="B89" s="210" t="s">
        <v>18937</v>
      </c>
      <c r="C89" s="224" t="s">
        <v>22211</v>
      </c>
      <c r="D89" s="211" t="s">
        <v>16</v>
      </c>
      <c r="E89" s="211">
        <v>30</v>
      </c>
      <c r="F89" s="211"/>
      <c r="G89" s="211">
        <v>0.3</v>
      </c>
      <c r="H89" s="212"/>
      <c r="I89" s="213"/>
      <c r="J89" s="272">
        <v>131.91999999999999</v>
      </c>
      <c r="K89" s="112">
        <f t="shared" si="11"/>
        <v>3957.6</v>
      </c>
      <c r="L89" s="273">
        <f>BDI!$E$17</f>
        <v>0.11260000000000001</v>
      </c>
      <c r="M89" s="213"/>
      <c r="N89" s="213"/>
      <c r="O89" s="114">
        <f t="shared" si="12"/>
        <v>146.77000000000001</v>
      </c>
      <c r="P89" s="113">
        <f t="shared" si="13"/>
        <v>1320.93</v>
      </c>
      <c r="Q89" s="209"/>
      <c r="R89" s="203"/>
      <c r="S89" s="182"/>
      <c r="T89" s="182"/>
      <c r="U89" s="182"/>
      <c r="V89" s="182"/>
      <c r="W89" s="182"/>
      <c r="X89" s="182"/>
      <c r="Y89" s="182"/>
      <c r="Z89" s="182"/>
      <c r="AA89" s="182"/>
      <c r="AB89" s="182"/>
      <c r="AC89" s="182"/>
      <c r="AD89" s="182"/>
      <c r="AE89" s="182"/>
      <c r="AF89" s="182"/>
      <c r="AG89" s="182"/>
      <c r="AH89" s="182"/>
      <c r="AI89" s="182"/>
      <c r="AJ89" s="182"/>
      <c r="AK89" s="182"/>
      <c r="AL89" s="182"/>
      <c r="AM89" s="182"/>
      <c r="AN89" s="182"/>
      <c r="AO89" s="182"/>
      <c r="AP89" s="182"/>
      <c r="AQ89" s="182"/>
      <c r="AR89" s="182"/>
      <c r="AS89" s="182"/>
      <c r="AT89" s="182"/>
      <c r="AU89" s="182"/>
      <c r="AV89" s="182"/>
      <c r="AW89" s="182"/>
      <c r="AX89" s="182"/>
      <c r="AY89" s="182"/>
      <c r="AZ89" s="182"/>
      <c r="BA89" s="182"/>
      <c r="BB89" s="182"/>
      <c r="BC89" s="182"/>
      <c r="BD89" s="182"/>
      <c r="BE89" s="182"/>
      <c r="BF89" s="182"/>
      <c r="BG89" s="182"/>
      <c r="BH89" s="182"/>
      <c r="BI89" s="182"/>
      <c r="BJ89" s="182"/>
      <c r="BK89" s="182"/>
      <c r="BL89" s="182"/>
      <c r="BM89" s="182"/>
      <c r="BN89" s="182"/>
      <c r="BO89" s="182"/>
      <c r="BP89" s="182"/>
      <c r="BQ89" s="182"/>
      <c r="BR89" s="182"/>
      <c r="BS89" s="182"/>
      <c r="BT89" s="182"/>
      <c r="BU89" s="182"/>
      <c r="BV89" s="182"/>
      <c r="BW89" s="182"/>
      <c r="BX89" s="182"/>
      <c r="BY89" s="182"/>
      <c r="BZ89" s="182"/>
      <c r="CA89" s="182"/>
      <c r="CB89" s="182"/>
      <c r="CC89" s="182"/>
      <c r="CD89" s="182"/>
      <c r="CE89" s="182"/>
      <c r="CF89" s="182"/>
      <c r="CG89" s="182"/>
      <c r="CH89" s="182"/>
      <c r="CI89" s="182"/>
      <c r="CJ89" s="182"/>
      <c r="CK89" s="182"/>
      <c r="CL89" s="182"/>
      <c r="CM89" s="182"/>
      <c r="CN89" s="182"/>
      <c r="CO89" s="182"/>
      <c r="CP89" s="182"/>
      <c r="CQ89" s="182"/>
      <c r="CR89" s="182"/>
      <c r="CS89" s="182"/>
      <c r="CT89" s="182"/>
      <c r="CU89" s="182"/>
      <c r="CV89" s="182"/>
      <c r="CW89" s="182"/>
      <c r="CX89" s="182"/>
      <c r="CY89" s="182"/>
      <c r="CZ89" s="182"/>
      <c r="DA89" s="182"/>
      <c r="DB89" s="182"/>
      <c r="DC89" s="182"/>
      <c r="DD89" s="182"/>
      <c r="DE89" s="182"/>
      <c r="DF89" s="182"/>
      <c r="DG89" s="182"/>
      <c r="DH89" s="182"/>
      <c r="DI89" s="182"/>
      <c r="DJ89" s="182"/>
      <c r="DK89" s="182"/>
      <c r="DL89" s="182"/>
      <c r="DM89" s="182"/>
      <c r="DN89" s="182"/>
      <c r="DO89" s="182"/>
      <c r="DP89" s="182"/>
      <c r="DQ89" s="182"/>
      <c r="DR89" s="182"/>
      <c r="DS89" s="182"/>
      <c r="DT89" s="182"/>
      <c r="DU89" s="182"/>
      <c r="DV89" s="182"/>
      <c r="DW89" s="182"/>
      <c r="DX89" s="182"/>
      <c r="DY89" s="182"/>
      <c r="DZ89" s="182"/>
      <c r="EA89" s="182"/>
      <c r="EB89" s="182"/>
      <c r="EC89" s="182"/>
      <c r="ED89" s="182"/>
      <c r="EE89" s="182"/>
      <c r="EF89" s="182"/>
      <c r="EG89" s="182"/>
      <c r="EH89" s="182"/>
      <c r="EI89" s="182"/>
      <c r="EJ89" s="182"/>
      <c r="EK89" s="182"/>
      <c r="EL89" s="182"/>
      <c r="EM89" s="182"/>
      <c r="EN89" s="182"/>
      <c r="EO89" s="182"/>
      <c r="EP89" s="182"/>
      <c r="EQ89" s="182"/>
      <c r="ER89" s="182"/>
      <c r="ES89" s="182"/>
      <c r="ET89" s="182"/>
      <c r="EU89" s="182"/>
      <c r="EV89" s="182"/>
      <c r="EW89" s="182"/>
      <c r="EX89" s="182"/>
      <c r="EY89" s="182"/>
      <c r="EZ89" s="182"/>
      <c r="FA89" s="182"/>
      <c r="FB89" s="182"/>
      <c r="FC89" s="182"/>
      <c r="FD89" s="182"/>
      <c r="FE89" s="182"/>
      <c r="FF89" s="182"/>
      <c r="FG89" s="182"/>
      <c r="FH89" s="182"/>
      <c r="FI89" s="182"/>
      <c r="FJ89" s="182"/>
      <c r="FK89" s="182"/>
      <c r="FL89" s="182"/>
      <c r="FM89" s="182"/>
      <c r="FN89" s="182"/>
      <c r="FO89" s="182"/>
      <c r="FP89" s="182"/>
      <c r="FQ89" s="182"/>
      <c r="FR89" s="182"/>
      <c r="FS89" s="182"/>
      <c r="FT89" s="182"/>
      <c r="FU89" s="182"/>
      <c r="FV89" s="182"/>
      <c r="FW89" s="182"/>
      <c r="FX89" s="182"/>
      <c r="FY89" s="182"/>
      <c r="FZ89" s="182"/>
      <c r="GA89" s="182"/>
      <c r="GB89" s="182"/>
      <c r="GC89" s="182"/>
      <c r="GD89" s="182"/>
      <c r="GE89" s="182"/>
      <c r="GF89" s="182"/>
      <c r="GG89" s="182"/>
      <c r="GH89" s="182"/>
      <c r="GI89" s="182"/>
    </row>
    <row r="90" spans="1:191" s="183" customFormat="1" x14ac:dyDescent="0.2">
      <c r="A90" s="210" t="s">
        <v>38395</v>
      </c>
      <c r="B90" s="210" t="s">
        <v>18938</v>
      </c>
      <c r="C90" s="224" t="s">
        <v>1467</v>
      </c>
      <c r="D90" s="211" t="s">
        <v>16</v>
      </c>
      <c r="E90" s="211">
        <v>10</v>
      </c>
      <c r="F90" s="211"/>
      <c r="G90" s="211">
        <v>0.3</v>
      </c>
      <c r="H90" s="212"/>
      <c r="I90" s="213"/>
      <c r="J90" s="272">
        <v>174.07</v>
      </c>
      <c r="K90" s="112">
        <f t="shared" si="11"/>
        <v>1740.7</v>
      </c>
      <c r="L90" s="273">
        <f>BDI!$E$17</f>
        <v>0.11260000000000001</v>
      </c>
      <c r="M90" s="213"/>
      <c r="N90" s="213"/>
      <c r="O90" s="114">
        <f t="shared" si="12"/>
        <v>193.67</v>
      </c>
      <c r="P90" s="113">
        <f t="shared" si="13"/>
        <v>581.01</v>
      </c>
      <c r="Q90" s="209"/>
      <c r="R90" s="203"/>
      <c r="S90" s="182"/>
      <c r="T90" s="182"/>
      <c r="U90" s="182"/>
      <c r="V90" s="182"/>
      <c r="W90" s="182"/>
      <c r="X90" s="182"/>
      <c r="Y90" s="182"/>
      <c r="Z90" s="182"/>
      <c r="AA90" s="182"/>
      <c r="AB90" s="182"/>
      <c r="AC90" s="182"/>
      <c r="AD90" s="182"/>
      <c r="AE90" s="182"/>
      <c r="AF90" s="182"/>
      <c r="AG90" s="182"/>
      <c r="AH90" s="182"/>
      <c r="AI90" s="182"/>
      <c r="AJ90" s="182"/>
      <c r="AK90" s="182"/>
      <c r="AL90" s="182"/>
      <c r="AM90" s="182"/>
      <c r="AN90" s="182"/>
      <c r="AO90" s="182"/>
      <c r="AP90" s="182"/>
      <c r="AQ90" s="182"/>
      <c r="AR90" s="182"/>
      <c r="AS90" s="182"/>
      <c r="AT90" s="182"/>
      <c r="AU90" s="182"/>
      <c r="AV90" s="182"/>
      <c r="AW90" s="182"/>
      <c r="AX90" s="182"/>
      <c r="AY90" s="182"/>
      <c r="AZ90" s="182"/>
      <c r="BA90" s="182"/>
      <c r="BB90" s="182"/>
      <c r="BC90" s="182"/>
      <c r="BD90" s="182"/>
      <c r="BE90" s="182"/>
      <c r="BF90" s="182"/>
      <c r="BG90" s="182"/>
      <c r="BH90" s="182"/>
      <c r="BI90" s="182"/>
      <c r="BJ90" s="182"/>
      <c r="BK90" s="182"/>
      <c r="BL90" s="182"/>
      <c r="BM90" s="182"/>
      <c r="BN90" s="182"/>
      <c r="BO90" s="182"/>
      <c r="BP90" s="182"/>
      <c r="BQ90" s="182"/>
      <c r="BR90" s="182"/>
      <c r="BS90" s="182"/>
      <c r="BT90" s="182"/>
      <c r="BU90" s="182"/>
      <c r="BV90" s="182"/>
      <c r="BW90" s="182"/>
      <c r="BX90" s="182"/>
      <c r="BY90" s="182"/>
      <c r="BZ90" s="182"/>
      <c r="CA90" s="182"/>
      <c r="CB90" s="182"/>
      <c r="CC90" s="182"/>
      <c r="CD90" s="182"/>
      <c r="CE90" s="182"/>
      <c r="CF90" s="182"/>
      <c r="CG90" s="182"/>
      <c r="CH90" s="182"/>
      <c r="CI90" s="182"/>
      <c r="CJ90" s="182"/>
      <c r="CK90" s="182"/>
      <c r="CL90" s="182"/>
      <c r="CM90" s="182"/>
      <c r="CN90" s="182"/>
      <c r="CO90" s="182"/>
      <c r="CP90" s="182"/>
      <c r="CQ90" s="182"/>
      <c r="CR90" s="182"/>
      <c r="CS90" s="182"/>
      <c r="CT90" s="182"/>
      <c r="CU90" s="182"/>
      <c r="CV90" s="182"/>
      <c r="CW90" s="182"/>
      <c r="CX90" s="182"/>
      <c r="CY90" s="182"/>
      <c r="CZ90" s="182"/>
      <c r="DA90" s="182"/>
      <c r="DB90" s="182"/>
      <c r="DC90" s="182"/>
      <c r="DD90" s="182"/>
      <c r="DE90" s="182"/>
      <c r="DF90" s="182"/>
      <c r="DG90" s="182"/>
      <c r="DH90" s="182"/>
      <c r="DI90" s="182"/>
      <c r="DJ90" s="182"/>
      <c r="DK90" s="182"/>
      <c r="DL90" s="182"/>
      <c r="DM90" s="182"/>
      <c r="DN90" s="182"/>
      <c r="DO90" s="182"/>
      <c r="DP90" s="182"/>
      <c r="DQ90" s="182"/>
      <c r="DR90" s="182"/>
      <c r="DS90" s="182"/>
      <c r="DT90" s="182"/>
      <c r="DU90" s="182"/>
      <c r="DV90" s="182"/>
      <c r="DW90" s="182"/>
      <c r="DX90" s="182"/>
      <c r="DY90" s="182"/>
      <c r="DZ90" s="182"/>
      <c r="EA90" s="182"/>
      <c r="EB90" s="182"/>
      <c r="EC90" s="182"/>
      <c r="ED90" s="182"/>
      <c r="EE90" s="182"/>
      <c r="EF90" s="182"/>
      <c r="EG90" s="182"/>
      <c r="EH90" s="182"/>
      <c r="EI90" s="182"/>
      <c r="EJ90" s="182"/>
      <c r="EK90" s="182"/>
      <c r="EL90" s="182"/>
      <c r="EM90" s="182"/>
      <c r="EN90" s="182"/>
      <c r="EO90" s="182"/>
      <c r="EP90" s="182"/>
      <c r="EQ90" s="182"/>
      <c r="ER90" s="182"/>
      <c r="ES90" s="182"/>
      <c r="ET90" s="182"/>
      <c r="EU90" s="182"/>
      <c r="EV90" s="182"/>
      <c r="EW90" s="182"/>
      <c r="EX90" s="182"/>
      <c r="EY90" s="182"/>
      <c r="EZ90" s="182"/>
      <c r="FA90" s="182"/>
      <c r="FB90" s="182"/>
      <c r="FC90" s="182"/>
      <c r="FD90" s="182"/>
      <c r="FE90" s="182"/>
      <c r="FF90" s="182"/>
      <c r="FG90" s="182"/>
      <c r="FH90" s="182"/>
      <c r="FI90" s="182"/>
      <c r="FJ90" s="182"/>
      <c r="FK90" s="182"/>
      <c r="FL90" s="182"/>
      <c r="FM90" s="182"/>
      <c r="FN90" s="182"/>
      <c r="FO90" s="182"/>
      <c r="FP90" s="182"/>
      <c r="FQ90" s="182"/>
      <c r="FR90" s="182"/>
      <c r="FS90" s="182"/>
      <c r="FT90" s="182"/>
      <c r="FU90" s="182"/>
      <c r="FV90" s="182"/>
      <c r="FW90" s="182"/>
      <c r="FX90" s="182"/>
      <c r="FY90" s="182"/>
      <c r="FZ90" s="182"/>
      <c r="GA90" s="182"/>
      <c r="GB90" s="182"/>
      <c r="GC90" s="182"/>
      <c r="GD90" s="182"/>
      <c r="GE90" s="182"/>
      <c r="GF90" s="182"/>
      <c r="GG90" s="182"/>
      <c r="GH90" s="182"/>
      <c r="GI90" s="182"/>
    </row>
    <row r="91" spans="1:191" s="183" customFormat="1" x14ac:dyDescent="0.2">
      <c r="A91" s="210" t="s">
        <v>38396</v>
      </c>
      <c r="B91" s="210" t="s">
        <v>18939</v>
      </c>
      <c r="C91" s="224" t="s">
        <v>22212</v>
      </c>
      <c r="D91" s="211" t="s">
        <v>16</v>
      </c>
      <c r="E91" s="211">
        <v>20</v>
      </c>
      <c r="F91" s="211"/>
      <c r="G91" s="211">
        <v>0.3</v>
      </c>
      <c r="H91" s="212"/>
      <c r="I91" s="213"/>
      <c r="J91" s="272">
        <v>217.55</v>
      </c>
      <c r="K91" s="112">
        <f t="shared" si="11"/>
        <v>4351</v>
      </c>
      <c r="L91" s="273">
        <f>BDI!$E$17</f>
        <v>0.11260000000000001</v>
      </c>
      <c r="M91" s="213"/>
      <c r="N91" s="213"/>
      <c r="O91" s="114">
        <f t="shared" si="12"/>
        <v>242.05</v>
      </c>
      <c r="P91" s="113">
        <f t="shared" si="13"/>
        <v>1452.3</v>
      </c>
      <c r="Q91" s="209"/>
      <c r="R91" s="203"/>
      <c r="S91" s="182"/>
      <c r="T91" s="182"/>
      <c r="U91" s="182"/>
      <c r="V91" s="182"/>
      <c r="W91" s="182"/>
      <c r="X91" s="182"/>
      <c r="Y91" s="182"/>
      <c r="Z91" s="182"/>
      <c r="AA91" s="182"/>
      <c r="AB91" s="182"/>
      <c r="AC91" s="182"/>
      <c r="AD91" s="182"/>
      <c r="AE91" s="182"/>
      <c r="AF91" s="182"/>
      <c r="AG91" s="182"/>
      <c r="AH91" s="182"/>
      <c r="AI91" s="182"/>
      <c r="AJ91" s="182"/>
      <c r="AK91" s="182"/>
      <c r="AL91" s="182"/>
      <c r="AM91" s="182"/>
      <c r="AN91" s="182"/>
      <c r="AO91" s="182"/>
      <c r="AP91" s="182"/>
      <c r="AQ91" s="182"/>
      <c r="AR91" s="182"/>
      <c r="AS91" s="182"/>
      <c r="AT91" s="182"/>
      <c r="AU91" s="182"/>
      <c r="AV91" s="182"/>
      <c r="AW91" s="182"/>
      <c r="AX91" s="182"/>
      <c r="AY91" s="182"/>
      <c r="AZ91" s="182"/>
      <c r="BA91" s="182"/>
      <c r="BB91" s="182"/>
      <c r="BC91" s="182"/>
      <c r="BD91" s="182"/>
      <c r="BE91" s="182"/>
      <c r="BF91" s="182"/>
      <c r="BG91" s="182"/>
      <c r="BH91" s="182"/>
      <c r="BI91" s="182"/>
      <c r="BJ91" s="182"/>
      <c r="BK91" s="182"/>
      <c r="BL91" s="182"/>
      <c r="BM91" s="182"/>
      <c r="BN91" s="182"/>
      <c r="BO91" s="182"/>
      <c r="BP91" s="182"/>
      <c r="BQ91" s="182"/>
      <c r="BR91" s="182"/>
      <c r="BS91" s="182"/>
      <c r="BT91" s="182"/>
      <c r="BU91" s="182"/>
      <c r="BV91" s="182"/>
      <c r="BW91" s="182"/>
      <c r="BX91" s="182"/>
      <c r="BY91" s="182"/>
      <c r="BZ91" s="182"/>
      <c r="CA91" s="182"/>
      <c r="CB91" s="182"/>
      <c r="CC91" s="182"/>
      <c r="CD91" s="182"/>
      <c r="CE91" s="182"/>
      <c r="CF91" s="182"/>
      <c r="CG91" s="182"/>
      <c r="CH91" s="182"/>
      <c r="CI91" s="182"/>
      <c r="CJ91" s="182"/>
      <c r="CK91" s="182"/>
      <c r="CL91" s="182"/>
      <c r="CM91" s="182"/>
      <c r="CN91" s="182"/>
      <c r="CO91" s="182"/>
      <c r="CP91" s="182"/>
      <c r="CQ91" s="182"/>
      <c r="CR91" s="182"/>
      <c r="CS91" s="182"/>
      <c r="CT91" s="182"/>
      <c r="CU91" s="182"/>
      <c r="CV91" s="182"/>
      <c r="CW91" s="182"/>
      <c r="CX91" s="182"/>
      <c r="CY91" s="182"/>
      <c r="CZ91" s="182"/>
      <c r="DA91" s="182"/>
      <c r="DB91" s="182"/>
      <c r="DC91" s="182"/>
      <c r="DD91" s="182"/>
      <c r="DE91" s="182"/>
      <c r="DF91" s="182"/>
      <c r="DG91" s="182"/>
      <c r="DH91" s="182"/>
      <c r="DI91" s="182"/>
      <c r="DJ91" s="182"/>
      <c r="DK91" s="182"/>
      <c r="DL91" s="182"/>
      <c r="DM91" s="182"/>
      <c r="DN91" s="182"/>
      <c r="DO91" s="182"/>
      <c r="DP91" s="182"/>
      <c r="DQ91" s="182"/>
      <c r="DR91" s="182"/>
      <c r="DS91" s="182"/>
      <c r="DT91" s="182"/>
      <c r="DU91" s="182"/>
      <c r="DV91" s="182"/>
      <c r="DW91" s="182"/>
      <c r="DX91" s="182"/>
      <c r="DY91" s="182"/>
      <c r="DZ91" s="182"/>
      <c r="EA91" s="182"/>
      <c r="EB91" s="182"/>
      <c r="EC91" s="182"/>
      <c r="ED91" s="182"/>
      <c r="EE91" s="182"/>
      <c r="EF91" s="182"/>
      <c r="EG91" s="182"/>
      <c r="EH91" s="182"/>
      <c r="EI91" s="182"/>
      <c r="EJ91" s="182"/>
      <c r="EK91" s="182"/>
      <c r="EL91" s="182"/>
      <c r="EM91" s="182"/>
      <c r="EN91" s="182"/>
      <c r="EO91" s="182"/>
      <c r="EP91" s="182"/>
      <c r="EQ91" s="182"/>
      <c r="ER91" s="182"/>
      <c r="ES91" s="182"/>
      <c r="ET91" s="182"/>
      <c r="EU91" s="182"/>
      <c r="EV91" s="182"/>
      <c r="EW91" s="182"/>
      <c r="EX91" s="182"/>
      <c r="EY91" s="182"/>
      <c r="EZ91" s="182"/>
      <c r="FA91" s="182"/>
      <c r="FB91" s="182"/>
      <c r="FC91" s="182"/>
      <c r="FD91" s="182"/>
      <c r="FE91" s="182"/>
      <c r="FF91" s="182"/>
      <c r="FG91" s="182"/>
      <c r="FH91" s="182"/>
      <c r="FI91" s="182"/>
      <c r="FJ91" s="182"/>
      <c r="FK91" s="182"/>
      <c r="FL91" s="182"/>
      <c r="FM91" s="182"/>
      <c r="FN91" s="182"/>
      <c r="FO91" s="182"/>
      <c r="FP91" s="182"/>
      <c r="FQ91" s="182"/>
      <c r="FR91" s="182"/>
      <c r="FS91" s="182"/>
      <c r="FT91" s="182"/>
      <c r="FU91" s="182"/>
      <c r="FV91" s="182"/>
      <c r="FW91" s="182"/>
      <c r="FX91" s="182"/>
      <c r="FY91" s="182"/>
      <c r="FZ91" s="182"/>
      <c r="GA91" s="182"/>
      <c r="GB91" s="182"/>
      <c r="GC91" s="182"/>
      <c r="GD91" s="182"/>
      <c r="GE91" s="182"/>
      <c r="GF91" s="182"/>
      <c r="GG91" s="182"/>
      <c r="GH91" s="182"/>
      <c r="GI91" s="182"/>
    </row>
    <row r="92" spans="1:191" s="183" customFormat="1" x14ac:dyDescent="0.2">
      <c r="A92" s="210" t="s">
        <v>38397</v>
      </c>
      <c r="B92" s="210" t="s">
        <v>18940</v>
      </c>
      <c r="C92" s="224" t="s">
        <v>22213</v>
      </c>
      <c r="D92" s="211" t="s">
        <v>16</v>
      </c>
      <c r="E92" s="211">
        <v>20</v>
      </c>
      <c r="F92" s="211"/>
      <c r="G92" s="211">
        <v>0.3</v>
      </c>
      <c r="H92" s="212"/>
      <c r="I92" s="213"/>
      <c r="J92" s="272">
        <v>304.29000000000002</v>
      </c>
      <c r="K92" s="112">
        <f t="shared" si="11"/>
        <v>6085.8</v>
      </c>
      <c r="L92" s="273">
        <f>BDI!$E$17</f>
        <v>0.11260000000000001</v>
      </c>
      <c r="M92" s="213"/>
      <c r="N92" s="213"/>
      <c r="O92" s="114">
        <f t="shared" si="12"/>
        <v>338.55</v>
      </c>
      <c r="P92" s="113">
        <f t="shared" si="13"/>
        <v>2031.3</v>
      </c>
      <c r="Q92" s="209"/>
      <c r="R92" s="203"/>
      <c r="S92" s="182"/>
      <c r="T92" s="182"/>
      <c r="U92" s="182"/>
      <c r="V92" s="182"/>
      <c r="W92" s="182"/>
      <c r="X92" s="182"/>
      <c r="Y92" s="182"/>
      <c r="Z92" s="182"/>
      <c r="AA92" s="182"/>
      <c r="AB92" s="182"/>
      <c r="AC92" s="182"/>
      <c r="AD92" s="182"/>
      <c r="AE92" s="182"/>
      <c r="AF92" s="182"/>
      <c r="AG92" s="182"/>
      <c r="AH92" s="182"/>
      <c r="AI92" s="182"/>
      <c r="AJ92" s="182"/>
      <c r="AK92" s="182"/>
      <c r="AL92" s="182"/>
      <c r="AM92" s="182"/>
      <c r="AN92" s="182"/>
      <c r="AO92" s="182"/>
      <c r="AP92" s="182"/>
      <c r="AQ92" s="182"/>
      <c r="AR92" s="182"/>
      <c r="AS92" s="182"/>
      <c r="AT92" s="182"/>
      <c r="AU92" s="182"/>
      <c r="AV92" s="182"/>
      <c r="AW92" s="182"/>
      <c r="AX92" s="182"/>
      <c r="AY92" s="182"/>
      <c r="AZ92" s="182"/>
      <c r="BA92" s="182"/>
      <c r="BB92" s="182"/>
      <c r="BC92" s="182"/>
      <c r="BD92" s="182"/>
      <c r="BE92" s="182"/>
      <c r="BF92" s="182"/>
      <c r="BG92" s="182"/>
      <c r="BH92" s="182"/>
      <c r="BI92" s="182"/>
      <c r="BJ92" s="182"/>
      <c r="BK92" s="182"/>
      <c r="BL92" s="182"/>
      <c r="BM92" s="182"/>
      <c r="BN92" s="182"/>
      <c r="BO92" s="182"/>
      <c r="BP92" s="182"/>
      <c r="BQ92" s="182"/>
      <c r="BR92" s="182"/>
      <c r="BS92" s="182"/>
      <c r="BT92" s="182"/>
      <c r="BU92" s="182"/>
      <c r="BV92" s="182"/>
      <c r="BW92" s="182"/>
      <c r="BX92" s="182"/>
      <c r="BY92" s="182"/>
      <c r="BZ92" s="182"/>
      <c r="CA92" s="182"/>
      <c r="CB92" s="182"/>
      <c r="CC92" s="182"/>
      <c r="CD92" s="182"/>
      <c r="CE92" s="182"/>
      <c r="CF92" s="182"/>
      <c r="CG92" s="182"/>
      <c r="CH92" s="182"/>
      <c r="CI92" s="182"/>
      <c r="CJ92" s="182"/>
      <c r="CK92" s="182"/>
      <c r="CL92" s="182"/>
      <c r="CM92" s="182"/>
      <c r="CN92" s="182"/>
      <c r="CO92" s="182"/>
      <c r="CP92" s="182"/>
      <c r="CQ92" s="182"/>
      <c r="CR92" s="182"/>
      <c r="CS92" s="182"/>
      <c r="CT92" s="182"/>
      <c r="CU92" s="182"/>
      <c r="CV92" s="182"/>
      <c r="CW92" s="182"/>
      <c r="CX92" s="182"/>
      <c r="CY92" s="182"/>
      <c r="CZ92" s="182"/>
      <c r="DA92" s="182"/>
      <c r="DB92" s="182"/>
      <c r="DC92" s="182"/>
      <c r="DD92" s="182"/>
      <c r="DE92" s="182"/>
      <c r="DF92" s="182"/>
      <c r="DG92" s="182"/>
      <c r="DH92" s="182"/>
      <c r="DI92" s="182"/>
      <c r="DJ92" s="182"/>
      <c r="DK92" s="182"/>
      <c r="DL92" s="182"/>
      <c r="DM92" s="182"/>
      <c r="DN92" s="182"/>
      <c r="DO92" s="182"/>
      <c r="DP92" s="182"/>
      <c r="DQ92" s="182"/>
      <c r="DR92" s="182"/>
      <c r="DS92" s="182"/>
      <c r="DT92" s="182"/>
      <c r="DU92" s="182"/>
      <c r="DV92" s="182"/>
      <c r="DW92" s="182"/>
      <c r="DX92" s="182"/>
      <c r="DY92" s="182"/>
      <c r="DZ92" s="182"/>
      <c r="EA92" s="182"/>
      <c r="EB92" s="182"/>
      <c r="EC92" s="182"/>
      <c r="ED92" s="182"/>
      <c r="EE92" s="182"/>
      <c r="EF92" s="182"/>
      <c r="EG92" s="182"/>
      <c r="EH92" s="182"/>
      <c r="EI92" s="182"/>
      <c r="EJ92" s="182"/>
      <c r="EK92" s="182"/>
      <c r="EL92" s="182"/>
      <c r="EM92" s="182"/>
      <c r="EN92" s="182"/>
      <c r="EO92" s="182"/>
      <c r="EP92" s="182"/>
      <c r="EQ92" s="182"/>
      <c r="ER92" s="182"/>
      <c r="ES92" s="182"/>
      <c r="ET92" s="182"/>
      <c r="EU92" s="182"/>
      <c r="EV92" s="182"/>
      <c r="EW92" s="182"/>
      <c r="EX92" s="182"/>
      <c r="EY92" s="182"/>
      <c r="EZ92" s="182"/>
      <c r="FA92" s="182"/>
      <c r="FB92" s="182"/>
      <c r="FC92" s="182"/>
      <c r="FD92" s="182"/>
      <c r="FE92" s="182"/>
      <c r="FF92" s="182"/>
      <c r="FG92" s="182"/>
      <c r="FH92" s="182"/>
      <c r="FI92" s="182"/>
      <c r="FJ92" s="182"/>
      <c r="FK92" s="182"/>
      <c r="FL92" s="182"/>
      <c r="FM92" s="182"/>
      <c r="FN92" s="182"/>
      <c r="FO92" s="182"/>
      <c r="FP92" s="182"/>
      <c r="FQ92" s="182"/>
      <c r="FR92" s="182"/>
      <c r="FS92" s="182"/>
      <c r="FT92" s="182"/>
      <c r="FU92" s="182"/>
      <c r="FV92" s="182"/>
      <c r="FW92" s="182"/>
      <c r="FX92" s="182"/>
      <c r="FY92" s="182"/>
      <c r="FZ92" s="182"/>
      <c r="GA92" s="182"/>
      <c r="GB92" s="182"/>
      <c r="GC92" s="182"/>
      <c r="GD92" s="182"/>
      <c r="GE92" s="182"/>
      <c r="GF92" s="182"/>
      <c r="GG92" s="182"/>
      <c r="GH92" s="182"/>
      <c r="GI92" s="182"/>
    </row>
    <row r="93" spans="1:191" s="183" customFormat="1" x14ac:dyDescent="0.2">
      <c r="A93" s="210" t="s">
        <v>38398</v>
      </c>
      <c r="B93" s="210" t="s">
        <v>18941</v>
      </c>
      <c r="C93" s="224" t="s">
        <v>1473</v>
      </c>
      <c r="D93" s="211" t="s">
        <v>16</v>
      </c>
      <c r="E93" s="211">
        <v>10</v>
      </c>
      <c r="F93" s="211"/>
      <c r="G93" s="211">
        <v>0.3</v>
      </c>
      <c r="H93" s="212"/>
      <c r="I93" s="213"/>
      <c r="J93" s="272">
        <v>93.7</v>
      </c>
      <c r="K93" s="112">
        <f t="shared" si="11"/>
        <v>937</v>
      </c>
      <c r="L93" s="273">
        <f>BDI!$E$17</f>
        <v>0.11260000000000001</v>
      </c>
      <c r="M93" s="213"/>
      <c r="N93" s="213"/>
      <c r="O93" s="114">
        <f t="shared" si="12"/>
        <v>104.25</v>
      </c>
      <c r="P93" s="113">
        <f t="shared" si="13"/>
        <v>312.75</v>
      </c>
      <c r="Q93" s="209"/>
      <c r="R93" s="203"/>
      <c r="S93" s="182"/>
      <c r="T93" s="182"/>
      <c r="U93" s="182"/>
      <c r="V93" s="182"/>
      <c r="W93" s="182"/>
      <c r="X93" s="182"/>
      <c r="Y93" s="182"/>
      <c r="Z93" s="182"/>
      <c r="AA93" s="182"/>
      <c r="AB93" s="182"/>
      <c r="AC93" s="182"/>
      <c r="AD93" s="182"/>
      <c r="AE93" s="182"/>
      <c r="AF93" s="182"/>
      <c r="AG93" s="182"/>
      <c r="AH93" s="182"/>
      <c r="AI93" s="182"/>
      <c r="AJ93" s="182"/>
      <c r="AK93" s="182"/>
      <c r="AL93" s="182"/>
      <c r="AM93" s="182"/>
      <c r="AN93" s="182"/>
      <c r="AO93" s="182"/>
      <c r="AP93" s="182"/>
      <c r="AQ93" s="182"/>
      <c r="AR93" s="182"/>
      <c r="AS93" s="182"/>
      <c r="AT93" s="182"/>
      <c r="AU93" s="182"/>
      <c r="AV93" s="182"/>
      <c r="AW93" s="182"/>
      <c r="AX93" s="182"/>
      <c r="AY93" s="182"/>
      <c r="AZ93" s="182"/>
      <c r="BA93" s="182"/>
      <c r="BB93" s="182"/>
      <c r="BC93" s="182"/>
      <c r="BD93" s="182"/>
      <c r="BE93" s="182"/>
      <c r="BF93" s="182"/>
      <c r="BG93" s="182"/>
      <c r="BH93" s="182"/>
      <c r="BI93" s="182"/>
      <c r="BJ93" s="182"/>
      <c r="BK93" s="182"/>
      <c r="BL93" s="182"/>
      <c r="BM93" s="182"/>
      <c r="BN93" s="182"/>
      <c r="BO93" s="182"/>
      <c r="BP93" s="182"/>
      <c r="BQ93" s="182"/>
      <c r="BR93" s="182"/>
      <c r="BS93" s="182"/>
      <c r="BT93" s="182"/>
      <c r="BU93" s="182"/>
      <c r="BV93" s="182"/>
      <c r="BW93" s="182"/>
      <c r="BX93" s="182"/>
      <c r="BY93" s="182"/>
      <c r="BZ93" s="182"/>
      <c r="CA93" s="182"/>
      <c r="CB93" s="182"/>
      <c r="CC93" s="182"/>
      <c r="CD93" s="182"/>
      <c r="CE93" s="182"/>
      <c r="CF93" s="182"/>
      <c r="CG93" s="182"/>
      <c r="CH93" s="182"/>
      <c r="CI93" s="182"/>
      <c r="CJ93" s="182"/>
      <c r="CK93" s="182"/>
      <c r="CL93" s="182"/>
      <c r="CM93" s="182"/>
      <c r="CN93" s="182"/>
      <c r="CO93" s="182"/>
      <c r="CP93" s="182"/>
      <c r="CQ93" s="182"/>
      <c r="CR93" s="182"/>
      <c r="CS93" s="182"/>
      <c r="CT93" s="182"/>
      <c r="CU93" s="182"/>
      <c r="CV93" s="182"/>
      <c r="CW93" s="182"/>
      <c r="CX93" s="182"/>
      <c r="CY93" s="182"/>
      <c r="CZ93" s="182"/>
      <c r="DA93" s="182"/>
      <c r="DB93" s="182"/>
      <c r="DC93" s="182"/>
      <c r="DD93" s="182"/>
      <c r="DE93" s="182"/>
      <c r="DF93" s="182"/>
      <c r="DG93" s="182"/>
      <c r="DH93" s="182"/>
      <c r="DI93" s="182"/>
      <c r="DJ93" s="182"/>
      <c r="DK93" s="182"/>
      <c r="DL93" s="182"/>
      <c r="DM93" s="182"/>
      <c r="DN93" s="182"/>
      <c r="DO93" s="182"/>
      <c r="DP93" s="182"/>
      <c r="DQ93" s="182"/>
      <c r="DR93" s="182"/>
      <c r="DS93" s="182"/>
      <c r="DT93" s="182"/>
      <c r="DU93" s="182"/>
      <c r="DV93" s="182"/>
      <c r="DW93" s="182"/>
      <c r="DX93" s="182"/>
      <c r="DY93" s="182"/>
      <c r="DZ93" s="182"/>
      <c r="EA93" s="182"/>
      <c r="EB93" s="182"/>
      <c r="EC93" s="182"/>
      <c r="ED93" s="182"/>
      <c r="EE93" s="182"/>
      <c r="EF93" s="182"/>
      <c r="EG93" s="182"/>
      <c r="EH93" s="182"/>
      <c r="EI93" s="182"/>
      <c r="EJ93" s="182"/>
      <c r="EK93" s="182"/>
      <c r="EL93" s="182"/>
      <c r="EM93" s="182"/>
      <c r="EN93" s="182"/>
      <c r="EO93" s="182"/>
      <c r="EP93" s="182"/>
      <c r="EQ93" s="182"/>
      <c r="ER93" s="182"/>
      <c r="ES93" s="182"/>
      <c r="ET93" s="182"/>
      <c r="EU93" s="182"/>
      <c r="EV93" s="182"/>
      <c r="EW93" s="182"/>
      <c r="EX93" s="182"/>
      <c r="EY93" s="182"/>
      <c r="EZ93" s="182"/>
      <c r="FA93" s="182"/>
      <c r="FB93" s="182"/>
      <c r="FC93" s="182"/>
      <c r="FD93" s="182"/>
      <c r="FE93" s="182"/>
      <c r="FF93" s="182"/>
      <c r="FG93" s="182"/>
      <c r="FH93" s="182"/>
      <c r="FI93" s="182"/>
      <c r="FJ93" s="182"/>
      <c r="FK93" s="182"/>
      <c r="FL93" s="182"/>
      <c r="FM93" s="182"/>
      <c r="FN93" s="182"/>
      <c r="FO93" s="182"/>
      <c r="FP93" s="182"/>
      <c r="FQ93" s="182"/>
      <c r="FR93" s="182"/>
      <c r="FS93" s="182"/>
      <c r="FT93" s="182"/>
      <c r="FU93" s="182"/>
      <c r="FV93" s="182"/>
      <c r="FW93" s="182"/>
      <c r="FX93" s="182"/>
      <c r="FY93" s="182"/>
      <c r="FZ93" s="182"/>
      <c r="GA93" s="182"/>
      <c r="GB93" s="182"/>
      <c r="GC93" s="182"/>
      <c r="GD93" s="182"/>
      <c r="GE93" s="182"/>
      <c r="GF93" s="182"/>
      <c r="GG93" s="182"/>
      <c r="GH93" s="182"/>
      <c r="GI93" s="182"/>
    </row>
    <row r="94" spans="1:191" s="183" customFormat="1" x14ac:dyDescent="0.2">
      <c r="A94" s="210" t="s">
        <v>38399</v>
      </c>
      <c r="B94" s="210" t="s">
        <v>18942</v>
      </c>
      <c r="C94" s="224" t="s">
        <v>1469</v>
      </c>
      <c r="D94" s="211" t="s">
        <v>16</v>
      </c>
      <c r="E94" s="211">
        <v>15</v>
      </c>
      <c r="F94" s="211"/>
      <c r="G94" s="211">
        <v>0.3</v>
      </c>
      <c r="H94" s="212"/>
      <c r="I94" s="213"/>
      <c r="J94" s="272">
        <v>109.29</v>
      </c>
      <c r="K94" s="112">
        <f t="shared" si="11"/>
        <v>1639.35</v>
      </c>
      <c r="L94" s="273">
        <f>BDI!$E$17</f>
        <v>0.11260000000000001</v>
      </c>
      <c r="M94" s="213"/>
      <c r="N94" s="213"/>
      <c r="O94" s="114">
        <f t="shared" si="12"/>
        <v>121.6</v>
      </c>
      <c r="P94" s="113">
        <f t="shared" si="13"/>
        <v>547.20000000000005</v>
      </c>
      <c r="Q94" s="209"/>
      <c r="R94" s="203"/>
      <c r="S94" s="182"/>
      <c r="T94" s="182"/>
      <c r="U94" s="182"/>
      <c r="V94" s="182"/>
      <c r="W94" s="182"/>
      <c r="X94" s="182"/>
      <c r="Y94" s="182"/>
      <c r="Z94" s="182"/>
      <c r="AA94" s="182"/>
      <c r="AB94" s="182"/>
      <c r="AC94" s="182"/>
      <c r="AD94" s="182"/>
      <c r="AE94" s="182"/>
      <c r="AF94" s="182"/>
      <c r="AG94" s="182"/>
      <c r="AH94" s="182"/>
      <c r="AI94" s="182"/>
      <c r="AJ94" s="182"/>
      <c r="AK94" s="182"/>
      <c r="AL94" s="182"/>
      <c r="AM94" s="182"/>
      <c r="AN94" s="182"/>
      <c r="AO94" s="182"/>
      <c r="AP94" s="182"/>
      <c r="AQ94" s="182"/>
      <c r="AR94" s="182"/>
      <c r="AS94" s="182"/>
      <c r="AT94" s="182"/>
      <c r="AU94" s="182"/>
      <c r="AV94" s="182"/>
      <c r="AW94" s="182"/>
      <c r="AX94" s="182"/>
      <c r="AY94" s="182"/>
      <c r="AZ94" s="182"/>
      <c r="BA94" s="182"/>
      <c r="BB94" s="182"/>
      <c r="BC94" s="182"/>
      <c r="BD94" s="182"/>
      <c r="BE94" s="182"/>
      <c r="BF94" s="182"/>
      <c r="BG94" s="182"/>
      <c r="BH94" s="182"/>
      <c r="BI94" s="182"/>
      <c r="BJ94" s="182"/>
      <c r="BK94" s="182"/>
      <c r="BL94" s="182"/>
      <c r="BM94" s="182"/>
      <c r="BN94" s="182"/>
      <c r="BO94" s="182"/>
      <c r="BP94" s="182"/>
      <c r="BQ94" s="182"/>
      <c r="BR94" s="182"/>
      <c r="BS94" s="182"/>
      <c r="BT94" s="182"/>
      <c r="BU94" s="182"/>
      <c r="BV94" s="182"/>
      <c r="BW94" s="182"/>
      <c r="BX94" s="182"/>
      <c r="BY94" s="182"/>
      <c r="BZ94" s="182"/>
      <c r="CA94" s="182"/>
      <c r="CB94" s="182"/>
      <c r="CC94" s="182"/>
      <c r="CD94" s="182"/>
      <c r="CE94" s="182"/>
      <c r="CF94" s="182"/>
      <c r="CG94" s="182"/>
      <c r="CH94" s="182"/>
      <c r="CI94" s="182"/>
      <c r="CJ94" s="182"/>
      <c r="CK94" s="182"/>
      <c r="CL94" s="182"/>
      <c r="CM94" s="182"/>
      <c r="CN94" s="182"/>
      <c r="CO94" s="182"/>
      <c r="CP94" s="182"/>
      <c r="CQ94" s="182"/>
      <c r="CR94" s="182"/>
      <c r="CS94" s="182"/>
      <c r="CT94" s="182"/>
      <c r="CU94" s="182"/>
      <c r="CV94" s="182"/>
      <c r="CW94" s="182"/>
      <c r="CX94" s="182"/>
      <c r="CY94" s="182"/>
      <c r="CZ94" s="182"/>
      <c r="DA94" s="182"/>
      <c r="DB94" s="182"/>
      <c r="DC94" s="182"/>
      <c r="DD94" s="182"/>
      <c r="DE94" s="182"/>
      <c r="DF94" s="182"/>
      <c r="DG94" s="182"/>
      <c r="DH94" s="182"/>
      <c r="DI94" s="182"/>
      <c r="DJ94" s="182"/>
      <c r="DK94" s="182"/>
      <c r="DL94" s="182"/>
      <c r="DM94" s="182"/>
      <c r="DN94" s="182"/>
      <c r="DO94" s="182"/>
      <c r="DP94" s="182"/>
      <c r="DQ94" s="182"/>
      <c r="DR94" s="182"/>
      <c r="DS94" s="182"/>
      <c r="DT94" s="182"/>
      <c r="DU94" s="182"/>
      <c r="DV94" s="182"/>
      <c r="DW94" s="182"/>
      <c r="DX94" s="182"/>
      <c r="DY94" s="182"/>
      <c r="DZ94" s="182"/>
      <c r="EA94" s="182"/>
      <c r="EB94" s="182"/>
      <c r="EC94" s="182"/>
      <c r="ED94" s="182"/>
      <c r="EE94" s="182"/>
      <c r="EF94" s="182"/>
      <c r="EG94" s="182"/>
      <c r="EH94" s="182"/>
      <c r="EI94" s="182"/>
      <c r="EJ94" s="182"/>
      <c r="EK94" s="182"/>
      <c r="EL94" s="182"/>
      <c r="EM94" s="182"/>
      <c r="EN94" s="182"/>
      <c r="EO94" s="182"/>
      <c r="EP94" s="182"/>
      <c r="EQ94" s="182"/>
      <c r="ER94" s="182"/>
      <c r="ES94" s="182"/>
      <c r="ET94" s="182"/>
      <c r="EU94" s="182"/>
      <c r="EV94" s="182"/>
      <c r="EW94" s="182"/>
      <c r="EX94" s="182"/>
      <c r="EY94" s="182"/>
      <c r="EZ94" s="182"/>
      <c r="FA94" s="182"/>
      <c r="FB94" s="182"/>
      <c r="FC94" s="182"/>
      <c r="FD94" s="182"/>
      <c r="FE94" s="182"/>
      <c r="FF94" s="182"/>
      <c r="FG94" s="182"/>
      <c r="FH94" s="182"/>
      <c r="FI94" s="182"/>
      <c r="FJ94" s="182"/>
      <c r="FK94" s="182"/>
      <c r="FL94" s="182"/>
      <c r="FM94" s="182"/>
      <c r="FN94" s="182"/>
      <c r="FO94" s="182"/>
      <c r="FP94" s="182"/>
      <c r="FQ94" s="182"/>
      <c r="FR94" s="182"/>
      <c r="FS94" s="182"/>
      <c r="FT94" s="182"/>
      <c r="FU94" s="182"/>
      <c r="FV94" s="182"/>
      <c r="FW94" s="182"/>
      <c r="FX94" s="182"/>
      <c r="FY94" s="182"/>
      <c r="FZ94" s="182"/>
      <c r="GA94" s="182"/>
      <c r="GB94" s="182"/>
      <c r="GC94" s="182"/>
      <c r="GD94" s="182"/>
      <c r="GE94" s="182"/>
      <c r="GF94" s="182"/>
      <c r="GG94" s="182"/>
      <c r="GH94" s="182"/>
      <c r="GI94" s="182"/>
    </row>
    <row r="95" spans="1:191" s="183" customFormat="1" x14ac:dyDescent="0.2">
      <c r="A95" s="210" t="s">
        <v>38400</v>
      </c>
      <c r="B95" s="210" t="s">
        <v>18943</v>
      </c>
      <c r="C95" s="224" t="s">
        <v>1472</v>
      </c>
      <c r="D95" s="211" t="s">
        <v>16</v>
      </c>
      <c r="E95" s="211">
        <v>10</v>
      </c>
      <c r="F95" s="211"/>
      <c r="G95" s="211">
        <v>0.3</v>
      </c>
      <c r="H95" s="212"/>
      <c r="I95" s="213"/>
      <c r="J95" s="272">
        <v>107.69</v>
      </c>
      <c r="K95" s="112">
        <f t="shared" si="11"/>
        <v>1076.9000000000001</v>
      </c>
      <c r="L95" s="273">
        <f>BDI!$E$17</f>
        <v>0.11260000000000001</v>
      </c>
      <c r="M95" s="213"/>
      <c r="N95" s="213"/>
      <c r="O95" s="114">
        <f t="shared" si="12"/>
        <v>119.82</v>
      </c>
      <c r="P95" s="113">
        <f t="shared" si="13"/>
        <v>359.46</v>
      </c>
      <c r="Q95" s="209"/>
      <c r="R95" s="203"/>
      <c r="S95" s="182"/>
      <c r="T95" s="182"/>
      <c r="U95" s="182"/>
      <c r="V95" s="182"/>
      <c r="W95" s="182"/>
      <c r="X95" s="182"/>
      <c r="Y95" s="182"/>
      <c r="Z95" s="182"/>
      <c r="AA95" s="182"/>
      <c r="AB95" s="182"/>
      <c r="AC95" s="182"/>
      <c r="AD95" s="182"/>
      <c r="AE95" s="182"/>
      <c r="AF95" s="182"/>
      <c r="AG95" s="182"/>
      <c r="AH95" s="182"/>
      <c r="AI95" s="182"/>
      <c r="AJ95" s="182"/>
      <c r="AK95" s="182"/>
      <c r="AL95" s="182"/>
      <c r="AM95" s="182"/>
      <c r="AN95" s="182"/>
      <c r="AO95" s="182"/>
      <c r="AP95" s="182"/>
      <c r="AQ95" s="182"/>
      <c r="AR95" s="182"/>
      <c r="AS95" s="182"/>
      <c r="AT95" s="182"/>
      <c r="AU95" s="182"/>
      <c r="AV95" s="182"/>
      <c r="AW95" s="182"/>
      <c r="AX95" s="182"/>
      <c r="AY95" s="182"/>
      <c r="AZ95" s="182"/>
      <c r="BA95" s="182"/>
      <c r="BB95" s="182"/>
      <c r="BC95" s="182"/>
      <c r="BD95" s="182"/>
      <c r="BE95" s="182"/>
      <c r="BF95" s="182"/>
      <c r="BG95" s="182"/>
      <c r="BH95" s="182"/>
      <c r="BI95" s="182"/>
      <c r="BJ95" s="182"/>
      <c r="BK95" s="182"/>
      <c r="BL95" s="182"/>
      <c r="BM95" s="182"/>
      <c r="BN95" s="182"/>
      <c r="BO95" s="182"/>
      <c r="BP95" s="182"/>
      <c r="BQ95" s="182"/>
      <c r="BR95" s="182"/>
      <c r="BS95" s="182"/>
      <c r="BT95" s="182"/>
      <c r="BU95" s="182"/>
      <c r="BV95" s="182"/>
      <c r="BW95" s="182"/>
      <c r="BX95" s="182"/>
      <c r="BY95" s="182"/>
      <c r="BZ95" s="182"/>
      <c r="CA95" s="182"/>
      <c r="CB95" s="182"/>
      <c r="CC95" s="182"/>
      <c r="CD95" s="182"/>
      <c r="CE95" s="182"/>
      <c r="CF95" s="182"/>
      <c r="CG95" s="182"/>
      <c r="CH95" s="182"/>
      <c r="CI95" s="182"/>
      <c r="CJ95" s="182"/>
      <c r="CK95" s="182"/>
      <c r="CL95" s="182"/>
      <c r="CM95" s="182"/>
      <c r="CN95" s="182"/>
      <c r="CO95" s="182"/>
      <c r="CP95" s="182"/>
      <c r="CQ95" s="182"/>
      <c r="CR95" s="182"/>
      <c r="CS95" s="182"/>
      <c r="CT95" s="182"/>
      <c r="CU95" s="182"/>
      <c r="CV95" s="182"/>
      <c r="CW95" s="182"/>
      <c r="CX95" s="182"/>
      <c r="CY95" s="182"/>
      <c r="CZ95" s="182"/>
      <c r="DA95" s="182"/>
      <c r="DB95" s="182"/>
      <c r="DC95" s="182"/>
      <c r="DD95" s="182"/>
      <c r="DE95" s="182"/>
      <c r="DF95" s="182"/>
      <c r="DG95" s="182"/>
      <c r="DH95" s="182"/>
      <c r="DI95" s="182"/>
      <c r="DJ95" s="182"/>
      <c r="DK95" s="182"/>
      <c r="DL95" s="182"/>
      <c r="DM95" s="182"/>
      <c r="DN95" s="182"/>
      <c r="DO95" s="182"/>
      <c r="DP95" s="182"/>
      <c r="DQ95" s="182"/>
      <c r="DR95" s="182"/>
      <c r="DS95" s="182"/>
      <c r="DT95" s="182"/>
      <c r="DU95" s="182"/>
      <c r="DV95" s="182"/>
      <c r="DW95" s="182"/>
      <c r="DX95" s="182"/>
      <c r="DY95" s="182"/>
      <c r="DZ95" s="182"/>
      <c r="EA95" s="182"/>
      <c r="EB95" s="182"/>
      <c r="EC95" s="182"/>
      <c r="ED95" s="182"/>
      <c r="EE95" s="182"/>
      <c r="EF95" s="182"/>
      <c r="EG95" s="182"/>
      <c r="EH95" s="182"/>
      <c r="EI95" s="182"/>
      <c r="EJ95" s="182"/>
      <c r="EK95" s="182"/>
      <c r="EL95" s="182"/>
      <c r="EM95" s="182"/>
      <c r="EN95" s="182"/>
      <c r="EO95" s="182"/>
      <c r="EP95" s="182"/>
      <c r="EQ95" s="182"/>
      <c r="ER95" s="182"/>
      <c r="ES95" s="182"/>
      <c r="ET95" s="182"/>
      <c r="EU95" s="182"/>
      <c r="EV95" s="182"/>
      <c r="EW95" s="182"/>
      <c r="EX95" s="182"/>
      <c r="EY95" s="182"/>
      <c r="EZ95" s="182"/>
      <c r="FA95" s="182"/>
      <c r="FB95" s="182"/>
      <c r="FC95" s="182"/>
      <c r="FD95" s="182"/>
      <c r="FE95" s="182"/>
      <c r="FF95" s="182"/>
      <c r="FG95" s="182"/>
      <c r="FH95" s="182"/>
      <c r="FI95" s="182"/>
      <c r="FJ95" s="182"/>
      <c r="FK95" s="182"/>
      <c r="FL95" s="182"/>
      <c r="FM95" s="182"/>
      <c r="FN95" s="182"/>
      <c r="FO95" s="182"/>
      <c r="FP95" s="182"/>
      <c r="FQ95" s="182"/>
      <c r="FR95" s="182"/>
      <c r="FS95" s="182"/>
      <c r="FT95" s="182"/>
      <c r="FU95" s="182"/>
      <c r="FV95" s="182"/>
      <c r="FW95" s="182"/>
      <c r="FX95" s="182"/>
      <c r="FY95" s="182"/>
      <c r="FZ95" s="182"/>
      <c r="GA95" s="182"/>
      <c r="GB95" s="182"/>
      <c r="GC95" s="182"/>
      <c r="GD95" s="182"/>
      <c r="GE95" s="182"/>
      <c r="GF95" s="182"/>
      <c r="GG95" s="182"/>
      <c r="GH95" s="182"/>
      <c r="GI95" s="182"/>
    </row>
    <row r="96" spans="1:191" s="183" customFormat="1" x14ac:dyDescent="0.2">
      <c r="A96" s="210" t="s">
        <v>38401</v>
      </c>
      <c r="B96" s="210" t="s">
        <v>18944</v>
      </c>
      <c r="C96" s="224" t="s">
        <v>1468</v>
      </c>
      <c r="D96" s="211" t="s">
        <v>16</v>
      </c>
      <c r="E96" s="211">
        <v>5</v>
      </c>
      <c r="F96" s="211"/>
      <c r="G96" s="211">
        <v>0.3</v>
      </c>
      <c r="H96" s="212"/>
      <c r="I96" s="213"/>
      <c r="J96" s="272">
        <v>141.59</v>
      </c>
      <c r="K96" s="112">
        <f t="shared" si="11"/>
        <v>707.95</v>
      </c>
      <c r="L96" s="273">
        <f>BDI!$E$17</f>
        <v>0.11260000000000001</v>
      </c>
      <c r="M96" s="213"/>
      <c r="N96" s="213"/>
      <c r="O96" s="114">
        <f t="shared" si="12"/>
        <v>157.53</v>
      </c>
      <c r="P96" s="113">
        <f t="shared" si="13"/>
        <v>236.3</v>
      </c>
      <c r="Q96" s="209"/>
      <c r="R96" s="203"/>
      <c r="S96" s="182"/>
      <c r="T96" s="182"/>
      <c r="U96" s="182"/>
      <c r="V96" s="182"/>
      <c r="W96" s="182"/>
      <c r="X96" s="182"/>
      <c r="Y96" s="182"/>
      <c r="Z96" s="182"/>
      <c r="AA96" s="182"/>
      <c r="AB96" s="182"/>
      <c r="AC96" s="182"/>
      <c r="AD96" s="182"/>
      <c r="AE96" s="182"/>
      <c r="AF96" s="182"/>
      <c r="AG96" s="182"/>
      <c r="AH96" s="182"/>
      <c r="AI96" s="182"/>
      <c r="AJ96" s="182"/>
      <c r="AK96" s="182"/>
      <c r="AL96" s="182"/>
      <c r="AM96" s="182"/>
      <c r="AN96" s="182"/>
      <c r="AO96" s="182"/>
      <c r="AP96" s="182"/>
      <c r="AQ96" s="182"/>
      <c r="AR96" s="182"/>
      <c r="AS96" s="182"/>
      <c r="AT96" s="182"/>
      <c r="AU96" s="182"/>
      <c r="AV96" s="182"/>
      <c r="AW96" s="182"/>
      <c r="AX96" s="182"/>
      <c r="AY96" s="182"/>
      <c r="AZ96" s="182"/>
      <c r="BA96" s="182"/>
      <c r="BB96" s="182"/>
      <c r="BC96" s="182"/>
      <c r="BD96" s="182"/>
      <c r="BE96" s="182"/>
      <c r="BF96" s="182"/>
      <c r="BG96" s="182"/>
      <c r="BH96" s="182"/>
      <c r="BI96" s="182"/>
      <c r="BJ96" s="182"/>
      <c r="BK96" s="182"/>
      <c r="BL96" s="182"/>
      <c r="BM96" s="182"/>
      <c r="BN96" s="182"/>
      <c r="BO96" s="182"/>
      <c r="BP96" s="182"/>
      <c r="BQ96" s="182"/>
      <c r="BR96" s="182"/>
      <c r="BS96" s="182"/>
      <c r="BT96" s="182"/>
      <c r="BU96" s="182"/>
      <c r="BV96" s="182"/>
      <c r="BW96" s="182"/>
      <c r="BX96" s="182"/>
      <c r="BY96" s="182"/>
      <c r="BZ96" s="182"/>
      <c r="CA96" s="182"/>
      <c r="CB96" s="182"/>
      <c r="CC96" s="182"/>
      <c r="CD96" s="182"/>
      <c r="CE96" s="182"/>
      <c r="CF96" s="182"/>
      <c r="CG96" s="182"/>
      <c r="CH96" s="182"/>
      <c r="CI96" s="182"/>
      <c r="CJ96" s="182"/>
      <c r="CK96" s="182"/>
      <c r="CL96" s="182"/>
      <c r="CM96" s="182"/>
      <c r="CN96" s="182"/>
      <c r="CO96" s="182"/>
      <c r="CP96" s="182"/>
      <c r="CQ96" s="182"/>
      <c r="CR96" s="182"/>
      <c r="CS96" s="182"/>
      <c r="CT96" s="182"/>
      <c r="CU96" s="182"/>
      <c r="CV96" s="182"/>
      <c r="CW96" s="182"/>
      <c r="CX96" s="182"/>
      <c r="CY96" s="182"/>
      <c r="CZ96" s="182"/>
      <c r="DA96" s="182"/>
      <c r="DB96" s="182"/>
      <c r="DC96" s="182"/>
      <c r="DD96" s="182"/>
      <c r="DE96" s="182"/>
      <c r="DF96" s="182"/>
      <c r="DG96" s="182"/>
      <c r="DH96" s="182"/>
      <c r="DI96" s="182"/>
      <c r="DJ96" s="182"/>
      <c r="DK96" s="182"/>
      <c r="DL96" s="182"/>
      <c r="DM96" s="182"/>
      <c r="DN96" s="182"/>
      <c r="DO96" s="182"/>
      <c r="DP96" s="182"/>
      <c r="DQ96" s="182"/>
      <c r="DR96" s="182"/>
      <c r="DS96" s="182"/>
      <c r="DT96" s="182"/>
      <c r="DU96" s="182"/>
      <c r="DV96" s="182"/>
      <c r="DW96" s="182"/>
      <c r="DX96" s="182"/>
      <c r="DY96" s="182"/>
      <c r="DZ96" s="182"/>
      <c r="EA96" s="182"/>
      <c r="EB96" s="182"/>
      <c r="EC96" s="182"/>
      <c r="ED96" s="182"/>
      <c r="EE96" s="182"/>
      <c r="EF96" s="182"/>
      <c r="EG96" s="182"/>
      <c r="EH96" s="182"/>
      <c r="EI96" s="182"/>
      <c r="EJ96" s="182"/>
      <c r="EK96" s="182"/>
      <c r="EL96" s="182"/>
      <c r="EM96" s="182"/>
      <c r="EN96" s="182"/>
      <c r="EO96" s="182"/>
      <c r="EP96" s="182"/>
      <c r="EQ96" s="182"/>
      <c r="ER96" s="182"/>
      <c r="ES96" s="182"/>
      <c r="ET96" s="182"/>
      <c r="EU96" s="182"/>
      <c r="EV96" s="182"/>
      <c r="EW96" s="182"/>
      <c r="EX96" s="182"/>
      <c r="EY96" s="182"/>
      <c r="EZ96" s="182"/>
      <c r="FA96" s="182"/>
      <c r="FB96" s="182"/>
      <c r="FC96" s="182"/>
      <c r="FD96" s="182"/>
      <c r="FE96" s="182"/>
      <c r="FF96" s="182"/>
      <c r="FG96" s="182"/>
      <c r="FH96" s="182"/>
      <c r="FI96" s="182"/>
      <c r="FJ96" s="182"/>
      <c r="FK96" s="182"/>
      <c r="FL96" s="182"/>
      <c r="FM96" s="182"/>
      <c r="FN96" s="182"/>
      <c r="FO96" s="182"/>
      <c r="FP96" s="182"/>
      <c r="FQ96" s="182"/>
      <c r="FR96" s="182"/>
      <c r="FS96" s="182"/>
      <c r="FT96" s="182"/>
      <c r="FU96" s="182"/>
      <c r="FV96" s="182"/>
      <c r="FW96" s="182"/>
      <c r="FX96" s="182"/>
      <c r="FY96" s="182"/>
      <c r="FZ96" s="182"/>
      <c r="GA96" s="182"/>
      <c r="GB96" s="182"/>
      <c r="GC96" s="182"/>
      <c r="GD96" s="182"/>
      <c r="GE96" s="182"/>
      <c r="GF96" s="182"/>
      <c r="GG96" s="182"/>
      <c r="GH96" s="182"/>
      <c r="GI96" s="182"/>
    </row>
    <row r="97" spans="1:191" s="183" customFormat="1" x14ac:dyDescent="0.2">
      <c r="A97" s="210" t="s">
        <v>38402</v>
      </c>
      <c r="B97" s="210" t="s">
        <v>18945</v>
      </c>
      <c r="C97" s="224" t="s">
        <v>1470</v>
      </c>
      <c r="D97" s="211" t="s">
        <v>16</v>
      </c>
      <c r="E97" s="211">
        <v>10</v>
      </c>
      <c r="F97" s="211"/>
      <c r="G97" s="211">
        <v>0.3</v>
      </c>
      <c r="H97" s="212"/>
      <c r="I97" s="213"/>
      <c r="J97" s="272">
        <v>162.16</v>
      </c>
      <c r="K97" s="112">
        <f t="shared" si="11"/>
        <v>1621.6</v>
      </c>
      <c r="L97" s="273">
        <f>BDI!$E$17</f>
        <v>0.11260000000000001</v>
      </c>
      <c r="M97" s="213"/>
      <c r="N97" s="213"/>
      <c r="O97" s="114">
        <f t="shared" si="12"/>
        <v>180.42</v>
      </c>
      <c r="P97" s="113">
        <f t="shared" si="13"/>
        <v>541.26</v>
      </c>
      <c r="Q97" s="209"/>
      <c r="R97" s="203"/>
      <c r="S97" s="182"/>
      <c r="T97" s="182"/>
      <c r="U97" s="182"/>
      <c r="V97" s="182"/>
      <c r="W97" s="182"/>
      <c r="X97" s="182"/>
      <c r="Y97" s="182"/>
      <c r="Z97" s="182"/>
      <c r="AA97" s="182"/>
      <c r="AB97" s="182"/>
      <c r="AC97" s="182"/>
      <c r="AD97" s="182"/>
      <c r="AE97" s="182"/>
      <c r="AF97" s="182"/>
      <c r="AG97" s="182"/>
      <c r="AH97" s="182"/>
      <c r="AI97" s="182"/>
      <c r="AJ97" s="182"/>
      <c r="AK97" s="182"/>
      <c r="AL97" s="182"/>
      <c r="AM97" s="182"/>
      <c r="AN97" s="182"/>
      <c r="AO97" s="182"/>
      <c r="AP97" s="182"/>
      <c r="AQ97" s="182"/>
      <c r="AR97" s="182"/>
      <c r="AS97" s="182"/>
      <c r="AT97" s="182"/>
      <c r="AU97" s="182"/>
      <c r="AV97" s="182"/>
      <c r="AW97" s="182"/>
      <c r="AX97" s="182"/>
      <c r="AY97" s="182"/>
      <c r="AZ97" s="182"/>
      <c r="BA97" s="182"/>
      <c r="BB97" s="182"/>
      <c r="BC97" s="182"/>
      <c r="BD97" s="182"/>
      <c r="BE97" s="182"/>
      <c r="BF97" s="182"/>
      <c r="BG97" s="182"/>
      <c r="BH97" s="182"/>
      <c r="BI97" s="182"/>
      <c r="BJ97" s="182"/>
      <c r="BK97" s="182"/>
      <c r="BL97" s="182"/>
      <c r="BM97" s="182"/>
      <c r="BN97" s="182"/>
      <c r="BO97" s="182"/>
      <c r="BP97" s="182"/>
      <c r="BQ97" s="182"/>
      <c r="BR97" s="182"/>
      <c r="BS97" s="182"/>
      <c r="BT97" s="182"/>
      <c r="BU97" s="182"/>
      <c r="BV97" s="182"/>
      <c r="BW97" s="182"/>
      <c r="BX97" s="182"/>
      <c r="BY97" s="182"/>
      <c r="BZ97" s="182"/>
      <c r="CA97" s="182"/>
      <c r="CB97" s="182"/>
      <c r="CC97" s="182"/>
      <c r="CD97" s="182"/>
      <c r="CE97" s="182"/>
      <c r="CF97" s="182"/>
      <c r="CG97" s="182"/>
      <c r="CH97" s="182"/>
      <c r="CI97" s="182"/>
      <c r="CJ97" s="182"/>
      <c r="CK97" s="182"/>
      <c r="CL97" s="182"/>
      <c r="CM97" s="182"/>
      <c r="CN97" s="182"/>
      <c r="CO97" s="182"/>
      <c r="CP97" s="182"/>
      <c r="CQ97" s="182"/>
      <c r="CR97" s="182"/>
      <c r="CS97" s="182"/>
      <c r="CT97" s="182"/>
      <c r="CU97" s="182"/>
      <c r="CV97" s="182"/>
      <c r="CW97" s="182"/>
      <c r="CX97" s="182"/>
      <c r="CY97" s="182"/>
      <c r="CZ97" s="182"/>
      <c r="DA97" s="182"/>
      <c r="DB97" s="182"/>
      <c r="DC97" s="182"/>
      <c r="DD97" s="182"/>
      <c r="DE97" s="182"/>
      <c r="DF97" s="182"/>
      <c r="DG97" s="182"/>
      <c r="DH97" s="182"/>
      <c r="DI97" s="182"/>
      <c r="DJ97" s="182"/>
      <c r="DK97" s="182"/>
      <c r="DL97" s="182"/>
      <c r="DM97" s="182"/>
      <c r="DN97" s="182"/>
      <c r="DO97" s="182"/>
      <c r="DP97" s="182"/>
      <c r="DQ97" s="182"/>
      <c r="DR97" s="182"/>
      <c r="DS97" s="182"/>
      <c r="DT97" s="182"/>
      <c r="DU97" s="182"/>
      <c r="DV97" s="182"/>
      <c r="DW97" s="182"/>
      <c r="DX97" s="182"/>
      <c r="DY97" s="182"/>
      <c r="DZ97" s="182"/>
      <c r="EA97" s="182"/>
      <c r="EB97" s="182"/>
      <c r="EC97" s="182"/>
      <c r="ED97" s="182"/>
      <c r="EE97" s="182"/>
      <c r="EF97" s="182"/>
      <c r="EG97" s="182"/>
      <c r="EH97" s="182"/>
      <c r="EI97" s="182"/>
      <c r="EJ97" s="182"/>
      <c r="EK97" s="182"/>
      <c r="EL97" s="182"/>
      <c r="EM97" s="182"/>
      <c r="EN97" s="182"/>
      <c r="EO97" s="182"/>
      <c r="EP97" s="182"/>
      <c r="EQ97" s="182"/>
      <c r="ER97" s="182"/>
      <c r="ES97" s="182"/>
      <c r="ET97" s="182"/>
      <c r="EU97" s="182"/>
      <c r="EV97" s="182"/>
      <c r="EW97" s="182"/>
      <c r="EX97" s="182"/>
      <c r="EY97" s="182"/>
      <c r="EZ97" s="182"/>
      <c r="FA97" s="182"/>
      <c r="FB97" s="182"/>
      <c r="FC97" s="182"/>
      <c r="FD97" s="182"/>
      <c r="FE97" s="182"/>
      <c r="FF97" s="182"/>
      <c r="FG97" s="182"/>
      <c r="FH97" s="182"/>
      <c r="FI97" s="182"/>
      <c r="FJ97" s="182"/>
      <c r="FK97" s="182"/>
      <c r="FL97" s="182"/>
      <c r="FM97" s="182"/>
      <c r="FN97" s="182"/>
      <c r="FO97" s="182"/>
      <c r="FP97" s="182"/>
      <c r="FQ97" s="182"/>
      <c r="FR97" s="182"/>
      <c r="FS97" s="182"/>
      <c r="FT97" s="182"/>
      <c r="FU97" s="182"/>
      <c r="FV97" s="182"/>
      <c r="FW97" s="182"/>
      <c r="FX97" s="182"/>
      <c r="FY97" s="182"/>
      <c r="FZ97" s="182"/>
      <c r="GA97" s="182"/>
      <c r="GB97" s="182"/>
      <c r="GC97" s="182"/>
      <c r="GD97" s="182"/>
      <c r="GE97" s="182"/>
      <c r="GF97" s="182"/>
      <c r="GG97" s="182"/>
      <c r="GH97" s="182"/>
      <c r="GI97" s="182"/>
    </row>
    <row r="98" spans="1:191" s="183" customFormat="1" x14ac:dyDescent="0.2">
      <c r="A98" s="210" t="s">
        <v>38403</v>
      </c>
      <c r="B98" s="210" t="s">
        <v>18946</v>
      </c>
      <c r="C98" s="224" t="s">
        <v>1471</v>
      </c>
      <c r="D98" s="211" t="s">
        <v>16</v>
      </c>
      <c r="E98" s="211">
        <v>10</v>
      </c>
      <c r="F98" s="211"/>
      <c r="G98" s="211">
        <v>0.3</v>
      </c>
      <c r="H98" s="212"/>
      <c r="I98" s="213"/>
      <c r="J98" s="272">
        <v>218.7</v>
      </c>
      <c r="K98" s="112">
        <f t="shared" si="11"/>
        <v>2187</v>
      </c>
      <c r="L98" s="273">
        <f>BDI!$E$17</f>
        <v>0.11260000000000001</v>
      </c>
      <c r="M98" s="213"/>
      <c r="N98" s="213"/>
      <c r="O98" s="114">
        <f t="shared" si="12"/>
        <v>243.33</v>
      </c>
      <c r="P98" s="113">
        <f t="shared" si="13"/>
        <v>729.99</v>
      </c>
      <c r="Q98" s="209"/>
      <c r="R98" s="203"/>
      <c r="S98" s="182"/>
      <c r="T98" s="182"/>
      <c r="U98" s="182"/>
      <c r="V98" s="182"/>
      <c r="W98" s="182"/>
      <c r="X98" s="182"/>
      <c r="Y98" s="182"/>
      <c r="Z98" s="182"/>
      <c r="AA98" s="182"/>
      <c r="AB98" s="182"/>
      <c r="AC98" s="182"/>
      <c r="AD98" s="182"/>
      <c r="AE98" s="182"/>
      <c r="AF98" s="182"/>
      <c r="AG98" s="182"/>
      <c r="AH98" s="182"/>
      <c r="AI98" s="182"/>
      <c r="AJ98" s="182"/>
      <c r="AK98" s="182"/>
      <c r="AL98" s="182"/>
      <c r="AM98" s="182"/>
      <c r="AN98" s="182"/>
      <c r="AO98" s="182"/>
      <c r="AP98" s="182"/>
      <c r="AQ98" s="182"/>
      <c r="AR98" s="182"/>
      <c r="AS98" s="182"/>
      <c r="AT98" s="182"/>
      <c r="AU98" s="182"/>
      <c r="AV98" s="182"/>
      <c r="AW98" s="182"/>
      <c r="AX98" s="182"/>
      <c r="AY98" s="182"/>
      <c r="AZ98" s="182"/>
      <c r="BA98" s="182"/>
      <c r="BB98" s="182"/>
      <c r="BC98" s="182"/>
      <c r="BD98" s="182"/>
      <c r="BE98" s="182"/>
      <c r="BF98" s="182"/>
      <c r="BG98" s="182"/>
      <c r="BH98" s="182"/>
      <c r="BI98" s="182"/>
      <c r="BJ98" s="182"/>
      <c r="BK98" s="182"/>
      <c r="BL98" s="182"/>
      <c r="BM98" s="182"/>
      <c r="BN98" s="182"/>
      <c r="BO98" s="182"/>
      <c r="BP98" s="182"/>
      <c r="BQ98" s="182"/>
      <c r="BR98" s="182"/>
      <c r="BS98" s="182"/>
      <c r="BT98" s="182"/>
      <c r="BU98" s="182"/>
      <c r="BV98" s="182"/>
      <c r="BW98" s="182"/>
      <c r="BX98" s="182"/>
      <c r="BY98" s="182"/>
      <c r="BZ98" s="182"/>
      <c r="CA98" s="182"/>
      <c r="CB98" s="182"/>
      <c r="CC98" s="182"/>
      <c r="CD98" s="182"/>
      <c r="CE98" s="182"/>
      <c r="CF98" s="182"/>
      <c r="CG98" s="182"/>
      <c r="CH98" s="182"/>
      <c r="CI98" s="182"/>
      <c r="CJ98" s="182"/>
      <c r="CK98" s="182"/>
      <c r="CL98" s="182"/>
      <c r="CM98" s="182"/>
      <c r="CN98" s="182"/>
      <c r="CO98" s="182"/>
      <c r="CP98" s="182"/>
      <c r="CQ98" s="182"/>
      <c r="CR98" s="182"/>
      <c r="CS98" s="182"/>
      <c r="CT98" s="182"/>
      <c r="CU98" s="182"/>
      <c r="CV98" s="182"/>
      <c r="CW98" s="182"/>
      <c r="CX98" s="182"/>
      <c r="CY98" s="182"/>
      <c r="CZ98" s="182"/>
      <c r="DA98" s="182"/>
      <c r="DB98" s="182"/>
      <c r="DC98" s="182"/>
      <c r="DD98" s="182"/>
      <c r="DE98" s="182"/>
      <c r="DF98" s="182"/>
      <c r="DG98" s="182"/>
      <c r="DH98" s="182"/>
      <c r="DI98" s="182"/>
      <c r="DJ98" s="182"/>
      <c r="DK98" s="182"/>
      <c r="DL98" s="182"/>
      <c r="DM98" s="182"/>
      <c r="DN98" s="182"/>
      <c r="DO98" s="182"/>
      <c r="DP98" s="182"/>
      <c r="DQ98" s="182"/>
      <c r="DR98" s="182"/>
      <c r="DS98" s="182"/>
      <c r="DT98" s="182"/>
      <c r="DU98" s="182"/>
      <c r="DV98" s="182"/>
      <c r="DW98" s="182"/>
      <c r="DX98" s="182"/>
      <c r="DY98" s="182"/>
      <c r="DZ98" s="182"/>
      <c r="EA98" s="182"/>
      <c r="EB98" s="182"/>
      <c r="EC98" s="182"/>
      <c r="ED98" s="182"/>
      <c r="EE98" s="182"/>
      <c r="EF98" s="182"/>
      <c r="EG98" s="182"/>
      <c r="EH98" s="182"/>
      <c r="EI98" s="182"/>
      <c r="EJ98" s="182"/>
      <c r="EK98" s="182"/>
      <c r="EL98" s="182"/>
      <c r="EM98" s="182"/>
      <c r="EN98" s="182"/>
      <c r="EO98" s="182"/>
      <c r="EP98" s="182"/>
      <c r="EQ98" s="182"/>
      <c r="ER98" s="182"/>
      <c r="ES98" s="182"/>
      <c r="ET98" s="182"/>
      <c r="EU98" s="182"/>
      <c r="EV98" s="182"/>
      <c r="EW98" s="182"/>
      <c r="EX98" s="182"/>
      <c r="EY98" s="182"/>
      <c r="EZ98" s="182"/>
      <c r="FA98" s="182"/>
      <c r="FB98" s="182"/>
      <c r="FC98" s="182"/>
      <c r="FD98" s="182"/>
      <c r="FE98" s="182"/>
      <c r="FF98" s="182"/>
      <c r="FG98" s="182"/>
      <c r="FH98" s="182"/>
      <c r="FI98" s="182"/>
      <c r="FJ98" s="182"/>
      <c r="FK98" s="182"/>
      <c r="FL98" s="182"/>
      <c r="FM98" s="182"/>
      <c r="FN98" s="182"/>
      <c r="FO98" s="182"/>
      <c r="FP98" s="182"/>
      <c r="FQ98" s="182"/>
      <c r="FR98" s="182"/>
      <c r="FS98" s="182"/>
      <c r="FT98" s="182"/>
      <c r="FU98" s="182"/>
      <c r="FV98" s="182"/>
      <c r="FW98" s="182"/>
      <c r="FX98" s="182"/>
      <c r="FY98" s="182"/>
      <c r="FZ98" s="182"/>
      <c r="GA98" s="182"/>
      <c r="GB98" s="182"/>
      <c r="GC98" s="182"/>
      <c r="GD98" s="182"/>
      <c r="GE98" s="182"/>
      <c r="GF98" s="182"/>
      <c r="GG98" s="182"/>
      <c r="GH98" s="182"/>
      <c r="GI98" s="182"/>
    </row>
    <row r="99" spans="1:191" s="183" customFormat="1" x14ac:dyDescent="0.2">
      <c r="A99" s="210" t="s">
        <v>38404</v>
      </c>
      <c r="B99" s="210" t="s">
        <v>18947</v>
      </c>
      <c r="C99" s="224" t="s">
        <v>22214</v>
      </c>
      <c r="D99" s="211" t="s">
        <v>16</v>
      </c>
      <c r="E99" s="211">
        <v>5</v>
      </c>
      <c r="F99" s="211"/>
      <c r="G99" s="211">
        <v>0.3</v>
      </c>
      <c r="H99" s="212"/>
      <c r="I99" s="213"/>
      <c r="J99" s="272">
        <v>131.35</v>
      </c>
      <c r="K99" s="112">
        <f t="shared" si="11"/>
        <v>656.75</v>
      </c>
      <c r="L99" s="273">
        <f>BDI!$E$17</f>
        <v>0.11260000000000001</v>
      </c>
      <c r="M99" s="213"/>
      <c r="N99" s="213"/>
      <c r="O99" s="114">
        <f t="shared" si="12"/>
        <v>146.13999999999999</v>
      </c>
      <c r="P99" s="113">
        <f t="shared" si="13"/>
        <v>219.21</v>
      </c>
      <c r="Q99" s="209"/>
      <c r="R99" s="203"/>
      <c r="S99" s="182"/>
      <c r="T99" s="182"/>
      <c r="U99" s="182"/>
      <c r="V99" s="182"/>
      <c r="W99" s="182"/>
      <c r="X99" s="182"/>
      <c r="Y99" s="182"/>
      <c r="Z99" s="182"/>
      <c r="AA99" s="182"/>
      <c r="AB99" s="182"/>
      <c r="AC99" s="182"/>
      <c r="AD99" s="182"/>
      <c r="AE99" s="182"/>
      <c r="AF99" s="182"/>
      <c r="AG99" s="182"/>
      <c r="AH99" s="182"/>
      <c r="AI99" s="182"/>
      <c r="AJ99" s="182"/>
      <c r="AK99" s="182"/>
      <c r="AL99" s="182"/>
      <c r="AM99" s="182"/>
      <c r="AN99" s="182"/>
      <c r="AO99" s="182"/>
      <c r="AP99" s="182"/>
      <c r="AQ99" s="182"/>
      <c r="AR99" s="182"/>
      <c r="AS99" s="182"/>
      <c r="AT99" s="182"/>
      <c r="AU99" s="182"/>
      <c r="AV99" s="182"/>
      <c r="AW99" s="182"/>
      <c r="AX99" s="182"/>
      <c r="AY99" s="182"/>
      <c r="AZ99" s="182"/>
      <c r="BA99" s="182"/>
      <c r="BB99" s="182"/>
      <c r="BC99" s="182"/>
      <c r="BD99" s="182"/>
      <c r="BE99" s="182"/>
      <c r="BF99" s="182"/>
      <c r="BG99" s="182"/>
      <c r="BH99" s="182"/>
      <c r="BI99" s="182"/>
      <c r="BJ99" s="182"/>
      <c r="BK99" s="182"/>
      <c r="BL99" s="182"/>
      <c r="BM99" s="182"/>
      <c r="BN99" s="182"/>
      <c r="BO99" s="182"/>
      <c r="BP99" s="182"/>
      <c r="BQ99" s="182"/>
      <c r="BR99" s="182"/>
      <c r="BS99" s="182"/>
      <c r="BT99" s="182"/>
      <c r="BU99" s="182"/>
      <c r="BV99" s="182"/>
      <c r="BW99" s="182"/>
      <c r="BX99" s="182"/>
      <c r="BY99" s="182"/>
      <c r="BZ99" s="182"/>
      <c r="CA99" s="182"/>
      <c r="CB99" s="182"/>
      <c r="CC99" s="182"/>
      <c r="CD99" s="182"/>
      <c r="CE99" s="182"/>
      <c r="CF99" s="182"/>
      <c r="CG99" s="182"/>
      <c r="CH99" s="182"/>
      <c r="CI99" s="182"/>
      <c r="CJ99" s="182"/>
      <c r="CK99" s="182"/>
      <c r="CL99" s="182"/>
      <c r="CM99" s="182"/>
      <c r="CN99" s="182"/>
      <c r="CO99" s="182"/>
      <c r="CP99" s="182"/>
      <c r="CQ99" s="182"/>
      <c r="CR99" s="182"/>
      <c r="CS99" s="182"/>
      <c r="CT99" s="182"/>
      <c r="CU99" s="182"/>
      <c r="CV99" s="182"/>
      <c r="CW99" s="182"/>
      <c r="CX99" s="182"/>
      <c r="CY99" s="182"/>
      <c r="CZ99" s="182"/>
      <c r="DA99" s="182"/>
      <c r="DB99" s="182"/>
      <c r="DC99" s="182"/>
      <c r="DD99" s="182"/>
      <c r="DE99" s="182"/>
      <c r="DF99" s="182"/>
      <c r="DG99" s="182"/>
      <c r="DH99" s="182"/>
      <c r="DI99" s="182"/>
      <c r="DJ99" s="182"/>
      <c r="DK99" s="182"/>
      <c r="DL99" s="182"/>
      <c r="DM99" s="182"/>
      <c r="DN99" s="182"/>
      <c r="DO99" s="182"/>
      <c r="DP99" s="182"/>
      <c r="DQ99" s="182"/>
      <c r="DR99" s="182"/>
      <c r="DS99" s="182"/>
      <c r="DT99" s="182"/>
      <c r="DU99" s="182"/>
      <c r="DV99" s="182"/>
      <c r="DW99" s="182"/>
      <c r="DX99" s="182"/>
      <c r="DY99" s="182"/>
      <c r="DZ99" s="182"/>
      <c r="EA99" s="182"/>
      <c r="EB99" s="182"/>
      <c r="EC99" s="182"/>
      <c r="ED99" s="182"/>
      <c r="EE99" s="182"/>
      <c r="EF99" s="182"/>
      <c r="EG99" s="182"/>
      <c r="EH99" s="182"/>
      <c r="EI99" s="182"/>
      <c r="EJ99" s="182"/>
      <c r="EK99" s="182"/>
      <c r="EL99" s="182"/>
      <c r="EM99" s="182"/>
      <c r="EN99" s="182"/>
      <c r="EO99" s="182"/>
      <c r="EP99" s="182"/>
      <c r="EQ99" s="182"/>
      <c r="ER99" s="182"/>
      <c r="ES99" s="182"/>
      <c r="ET99" s="182"/>
      <c r="EU99" s="182"/>
      <c r="EV99" s="182"/>
      <c r="EW99" s="182"/>
      <c r="EX99" s="182"/>
      <c r="EY99" s="182"/>
      <c r="EZ99" s="182"/>
      <c r="FA99" s="182"/>
      <c r="FB99" s="182"/>
      <c r="FC99" s="182"/>
      <c r="FD99" s="182"/>
      <c r="FE99" s="182"/>
      <c r="FF99" s="182"/>
      <c r="FG99" s="182"/>
      <c r="FH99" s="182"/>
      <c r="FI99" s="182"/>
      <c r="FJ99" s="182"/>
      <c r="FK99" s="182"/>
      <c r="FL99" s="182"/>
      <c r="FM99" s="182"/>
      <c r="FN99" s="182"/>
      <c r="FO99" s="182"/>
      <c r="FP99" s="182"/>
      <c r="FQ99" s="182"/>
      <c r="FR99" s="182"/>
      <c r="FS99" s="182"/>
      <c r="FT99" s="182"/>
      <c r="FU99" s="182"/>
      <c r="FV99" s="182"/>
      <c r="FW99" s="182"/>
      <c r="FX99" s="182"/>
      <c r="FY99" s="182"/>
      <c r="FZ99" s="182"/>
      <c r="GA99" s="182"/>
      <c r="GB99" s="182"/>
      <c r="GC99" s="182"/>
      <c r="GD99" s="182"/>
      <c r="GE99" s="182"/>
      <c r="GF99" s="182"/>
      <c r="GG99" s="182"/>
      <c r="GH99" s="182"/>
      <c r="GI99" s="182"/>
    </row>
    <row r="100" spans="1:191" s="183" customFormat="1" x14ac:dyDescent="0.2">
      <c r="A100" s="210" t="s">
        <v>38405</v>
      </c>
      <c r="B100" s="210" t="s">
        <v>18948</v>
      </c>
      <c r="C100" s="224" t="s">
        <v>1474</v>
      </c>
      <c r="D100" s="211" t="s">
        <v>16</v>
      </c>
      <c r="E100" s="211">
        <v>30</v>
      </c>
      <c r="F100" s="211"/>
      <c r="G100" s="211">
        <v>0.3</v>
      </c>
      <c r="H100" s="212"/>
      <c r="I100" s="213"/>
      <c r="J100" s="272">
        <v>39.520000000000003</v>
      </c>
      <c r="K100" s="112">
        <f t="shared" si="11"/>
        <v>1185.5999999999999</v>
      </c>
      <c r="L100" s="273">
        <f>BDI!$E$17</f>
        <v>0.11260000000000001</v>
      </c>
      <c r="M100" s="213"/>
      <c r="N100" s="213"/>
      <c r="O100" s="114">
        <f t="shared" si="12"/>
        <v>43.97</v>
      </c>
      <c r="P100" s="113">
        <f t="shared" si="13"/>
        <v>395.73</v>
      </c>
      <c r="Q100" s="209"/>
      <c r="R100" s="203"/>
      <c r="S100" s="182"/>
      <c r="T100" s="182"/>
      <c r="U100" s="182"/>
      <c r="V100" s="182"/>
      <c r="W100" s="182"/>
      <c r="X100" s="182"/>
      <c r="Y100" s="182"/>
      <c r="Z100" s="182"/>
      <c r="AA100" s="182"/>
      <c r="AB100" s="182"/>
      <c r="AC100" s="182"/>
      <c r="AD100" s="182"/>
      <c r="AE100" s="182"/>
      <c r="AF100" s="182"/>
      <c r="AG100" s="182"/>
      <c r="AH100" s="182"/>
      <c r="AI100" s="182"/>
      <c r="AJ100" s="182"/>
      <c r="AK100" s="182"/>
      <c r="AL100" s="182"/>
      <c r="AM100" s="182"/>
      <c r="AN100" s="182"/>
      <c r="AO100" s="182"/>
      <c r="AP100" s="182"/>
      <c r="AQ100" s="182"/>
      <c r="AR100" s="182"/>
      <c r="AS100" s="182"/>
      <c r="AT100" s="182"/>
      <c r="AU100" s="182"/>
      <c r="AV100" s="182"/>
      <c r="AW100" s="182"/>
      <c r="AX100" s="182"/>
      <c r="AY100" s="182"/>
      <c r="AZ100" s="182"/>
      <c r="BA100" s="182"/>
      <c r="BB100" s="182"/>
      <c r="BC100" s="182"/>
      <c r="BD100" s="182"/>
      <c r="BE100" s="182"/>
      <c r="BF100" s="182"/>
      <c r="BG100" s="182"/>
      <c r="BH100" s="182"/>
      <c r="BI100" s="182"/>
      <c r="BJ100" s="182"/>
      <c r="BK100" s="182"/>
      <c r="BL100" s="182"/>
      <c r="BM100" s="182"/>
      <c r="BN100" s="182"/>
      <c r="BO100" s="182"/>
      <c r="BP100" s="182"/>
      <c r="BQ100" s="182"/>
      <c r="BR100" s="182"/>
      <c r="BS100" s="182"/>
      <c r="BT100" s="182"/>
      <c r="BU100" s="182"/>
      <c r="BV100" s="182"/>
      <c r="BW100" s="182"/>
      <c r="BX100" s="182"/>
      <c r="BY100" s="182"/>
      <c r="BZ100" s="182"/>
      <c r="CA100" s="182"/>
      <c r="CB100" s="182"/>
      <c r="CC100" s="182"/>
      <c r="CD100" s="182"/>
      <c r="CE100" s="182"/>
      <c r="CF100" s="182"/>
      <c r="CG100" s="182"/>
      <c r="CH100" s="182"/>
      <c r="CI100" s="182"/>
      <c r="CJ100" s="182"/>
      <c r="CK100" s="182"/>
      <c r="CL100" s="182"/>
      <c r="CM100" s="182"/>
      <c r="CN100" s="182"/>
      <c r="CO100" s="182"/>
      <c r="CP100" s="182"/>
      <c r="CQ100" s="182"/>
      <c r="CR100" s="182"/>
      <c r="CS100" s="182"/>
      <c r="CT100" s="182"/>
      <c r="CU100" s="182"/>
      <c r="CV100" s="182"/>
      <c r="CW100" s="182"/>
      <c r="CX100" s="182"/>
      <c r="CY100" s="182"/>
      <c r="CZ100" s="182"/>
      <c r="DA100" s="182"/>
      <c r="DB100" s="182"/>
      <c r="DC100" s="182"/>
      <c r="DD100" s="182"/>
      <c r="DE100" s="182"/>
      <c r="DF100" s="182"/>
      <c r="DG100" s="182"/>
      <c r="DH100" s="182"/>
      <c r="DI100" s="182"/>
      <c r="DJ100" s="182"/>
      <c r="DK100" s="182"/>
      <c r="DL100" s="182"/>
      <c r="DM100" s="182"/>
      <c r="DN100" s="182"/>
      <c r="DO100" s="182"/>
      <c r="DP100" s="182"/>
      <c r="DQ100" s="182"/>
      <c r="DR100" s="182"/>
      <c r="DS100" s="182"/>
      <c r="DT100" s="182"/>
      <c r="DU100" s="182"/>
      <c r="DV100" s="182"/>
      <c r="DW100" s="182"/>
      <c r="DX100" s="182"/>
      <c r="DY100" s="182"/>
      <c r="DZ100" s="182"/>
      <c r="EA100" s="182"/>
      <c r="EB100" s="182"/>
      <c r="EC100" s="182"/>
      <c r="ED100" s="182"/>
      <c r="EE100" s="182"/>
      <c r="EF100" s="182"/>
      <c r="EG100" s="182"/>
      <c r="EH100" s="182"/>
      <c r="EI100" s="182"/>
      <c r="EJ100" s="182"/>
      <c r="EK100" s="182"/>
      <c r="EL100" s="182"/>
      <c r="EM100" s="182"/>
      <c r="EN100" s="182"/>
      <c r="EO100" s="182"/>
      <c r="EP100" s="182"/>
      <c r="EQ100" s="182"/>
      <c r="ER100" s="182"/>
      <c r="ES100" s="182"/>
      <c r="ET100" s="182"/>
      <c r="EU100" s="182"/>
      <c r="EV100" s="182"/>
      <c r="EW100" s="182"/>
      <c r="EX100" s="182"/>
      <c r="EY100" s="182"/>
      <c r="EZ100" s="182"/>
      <c r="FA100" s="182"/>
      <c r="FB100" s="182"/>
      <c r="FC100" s="182"/>
      <c r="FD100" s="182"/>
      <c r="FE100" s="182"/>
      <c r="FF100" s="182"/>
      <c r="FG100" s="182"/>
      <c r="FH100" s="182"/>
      <c r="FI100" s="182"/>
      <c r="FJ100" s="182"/>
      <c r="FK100" s="182"/>
      <c r="FL100" s="182"/>
      <c r="FM100" s="182"/>
      <c r="FN100" s="182"/>
      <c r="FO100" s="182"/>
      <c r="FP100" s="182"/>
      <c r="FQ100" s="182"/>
      <c r="FR100" s="182"/>
      <c r="FS100" s="182"/>
      <c r="FT100" s="182"/>
      <c r="FU100" s="182"/>
      <c r="FV100" s="182"/>
      <c r="FW100" s="182"/>
      <c r="FX100" s="182"/>
      <c r="FY100" s="182"/>
      <c r="FZ100" s="182"/>
      <c r="GA100" s="182"/>
      <c r="GB100" s="182"/>
      <c r="GC100" s="182"/>
      <c r="GD100" s="182"/>
      <c r="GE100" s="182"/>
      <c r="GF100" s="182"/>
      <c r="GG100" s="182"/>
      <c r="GH100" s="182"/>
      <c r="GI100" s="182"/>
    </row>
    <row r="101" spans="1:191" s="183" customFormat="1" x14ac:dyDescent="0.2">
      <c r="A101" s="210" t="s">
        <v>38406</v>
      </c>
      <c r="B101" s="210" t="s">
        <v>18949</v>
      </c>
      <c r="C101" s="224" t="s">
        <v>1475</v>
      </c>
      <c r="D101" s="211" t="s">
        <v>16</v>
      </c>
      <c r="E101" s="211">
        <v>10</v>
      </c>
      <c r="F101" s="211"/>
      <c r="G101" s="211">
        <v>0.3</v>
      </c>
      <c r="H101" s="212"/>
      <c r="I101" s="213"/>
      <c r="J101" s="272">
        <v>58.38</v>
      </c>
      <c r="K101" s="112">
        <f t="shared" ref="K101:K161" si="14">IF(ISNUMBER(J101),ROUND(E101*J101,2),"")</f>
        <v>583.79999999999995</v>
      </c>
      <c r="L101" s="273">
        <f>BDI!$E$17</f>
        <v>0.11260000000000001</v>
      </c>
      <c r="M101" s="213"/>
      <c r="N101" s="213"/>
      <c r="O101" s="114">
        <f t="shared" ref="O101:O161" si="15">IF(ISNUMBER(J101),ROUND(J101*(1+L101),2),"")</f>
        <v>64.95</v>
      </c>
      <c r="P101" s="113">
        <f t="shared" ref="P101:P161" si="16">IF(ISNUMBER(J101),ROUND(G101*O101*E101,2),"")</f>
        <v>194.85</v>
      </c>
      <c r="Q101" s="209"/>
      <c r="R101" s="203"/>
      <c r="S101" s="182"/>
      <c r="T101" s="182"/>
      <c r="U101" s="182"/>
      <c r="V101" s="182"/>
      <c r="W101" s="182"/>
      <c r="X101" s="182"/>
      <c r="Y101" s="182"/>
      <c r="Z101" s="182"/>
      <c r="AA101" s="182"/>
      <c r="AB101" s="182"/>
      <c r="AC101" s="182"/>
      <c r="AD101" s="182"/>
      <c r="AE101" s="182"/>
      <c r="AF101" s="182"/>
      <c r="AG101" s="182"/>
      <c r="AH101" s="182"/>
      <c r="AI101" s="182"/>
      <c r="AJ101" s="182"/>
      <c r="AK101" s="182"/>
      <c r="AL101" s="182"/>
      <c r="AM101" s="182"/>
      <c r="AN101" s="182"/>
      <c r="AO101" s="182"/>
      <c r="AP101" s="182"/>
      <c r="AQ101" s="182"/>
      <c r="AR101" s="182"/>
      <c r="AS101" s="182"/>
      <c r="AT101" s="182"/>
      <c r="AU101" s="182"/>
      <c r="AV101" s="182"/>
      <c r="AW101" s="182"/>
      <c r="AX101" s="182"/>
      <c r="AY101" s="182"/>
      <c r="AZ101" s="182"/>
      <c r="BA101" s="182"/>
      <c r="BB101" s="182"/>
      <c r="BC101" s="182"/>
      <c r="BD101" s="182"/>
      <c r="BE101" s="182"/>
      <c r="BF101" s="182"/>
      <c r="BG101" s="182"/>
      <c r="BH101" s="182"/>
      <c r="BI101" s="182"/>
      <c r="BJ101" s="182"/>
      <c r="BK101" s="182"/>
      <c r="BL101" s="182"/>
      <c r="BM101" s="182"/>
      <c r="BN101" s="182"/>
      <c r="BO101" s="182"/>
      <c r="BP101" s="182"/>
      <c r="BQ101" s="182"/>
      <c r="BR101" s="182"/>
      <c r="BS101" s="182"/>
      <c r="BT101" s="182"/>
      <c r="BU101" s="182"/>
      <c r="BV101" s="182"/>
      <c r="BW101" s="182"/>
      <c r="BX101" s="182"/>
      <c r="BY101" s="182"/>
      <c r="BZ101" s="182"/>
      <c r="CA101" s="182"/>
      <c r="CB101" s="182"/>
      <c r="CC101" s="182"/>
      <c r="CD101" s="182"/>
      <c r="CE101" s="182"/>
      <c r="CF101" s="182"/>
      <c r="CG101" s="182"/>
      <c r="CH101" s="182"/>
      <c r="CI101" s="182"/>
      <c r="CJ101" s="182"/>
      <c r="CK101" s="182"/>
      <c r="CL101" s="182"/>
      <c r="CM101" s="182"/>
      <c r="CN101" s="182"/>
      <c r="CO101" s="182"/>
      <c r="CP101" s="182"/>
      <c r="CQ101" s="182"/>
      <c r="CR101" s="182"/>
      <c r="CS101" s="182"/>
      <c r="CT101" s="182"/>
      <c r="CU101" s="182"/>
      <c r="CV101" s="182"/>
      <c r="CW101" s="182"/>
      <c r="CX101" s="182"/>
      <c r="CY101" s="182"/>
      <c r="CZ101" s="182"/>
      <c r="DA101" s="182"/>
      <c r="DB101" s="182"/>
      <c r="DC101" s="182"/>
      <c r="DD101" s="182"/>
      <c r="DE101" s="182"/>
      <c r="DF101" s="182"/>
      <c r="DG101" s="182"/>
      <c r="DH101" s="182"/>
      <c r="DI101" s="182"/>
      <c r="DJ101" s="182"/>
      <c r="DK101" s="182"/>
      <c r="DL101" s="182"/>
      <c r="DM101" s="182"/>
      <c r="DN101" s="182"/>
      <c r="DO101" s="182"/>
      <c r="DP101" s="182"/>
      <c r="DQ101" s="182"/>
      <c r="DR101" s="182"/>
      <c r="DS101" s="182"/>
      <c r="DT101" s="182"/>
      <c r="DU101" s="182"/>
      <c r="DV101" s="182"/>
      <c r="DW101" s="182"/>
      <c r="DX101" s="182"/>
      <c r="DY101" s="182"/>
      <c r="DZ101" s="182"/>
      <c r="EA101" s="182"/>
      <c r="EB101" s="182"/>
      <c r="EC101" s="182"/>
      <c r="ED101" s="182"/>
      <c r="EE101" s="182"/>
      <c r="EF101" s="182"/>
      <c r="EG101" s="182"/>
      <c r="EH101" s="182"/>
      <c r="EI101" s="182"/>
      <c r="EJ101" s="182"/>
      <c r="EK101" s="182"/>
      <c r="EL101" s="182"/>
      <c r="EM101" s="182"/>
      <c r="EN101" s="182"/>
      <c r="EO101" s="182"/>
      <c r="EP101" s="182"/>
      <c r="EQ101" s="182"/>
      <c r="ER101" s="182"/>
      <c r="ES101" s="182"/>
      <c r="ET101" s="182"/>
      <c r="EU101" s="182"/>
      <c r="EV101" s="182"/>
      <c r="EW101" s="182"/>
      <c r="EX101" s="182"/>
      <c r="EY101" s="182"/>
      <c r="EZ101" s="182"/>
      <c r="FA101" s="182"/>
      <c r="FB101" s="182"/>
      <c r="FC101" s="182"/>
      <c r="FD101" s="182"/>
      <c r="FE101" s="182"/>
      <c r="FF101" s="182"/>
      <c r="FG101" s="182"/>
      <c r="FH101" s="182"/>
      <c r="FI101" s="182"/>
      <c r="FJ101" s="182"/>
      <c r="FK101" s="182"/>
      <c r="FL101" s="182"/>
      <c r="FM101" s="182"/>
      <c r="FN101" s="182"/>
      <c r="FO101" s="182"/>
      <c r="FP101" s="182"/>
      <c r="FQ101" s="182"/>
      <c r="FR101" s="182"/>
      <c r="FS101" s="182"/>
      <c r="FT101" s="182"/>
      <c r="FU101" s="182"/>
      <c r="FV101" s="182"/>
      <c r="FW101" s="182"/>
      <c r="FX101" s="182"/>
      <c r="FY101" s="182"/>
      <c r="FZ101" s="182"/>
      <c r="GA101" s="182"/>
      <c r="GB101" s="182"/>
      <c r="GC101" s="182"/>
      <c r="GD101" s="182"/>
      <c r="GE101" s="182"/>
      <c r="GF101" s="182"/>
      <c r="GG101" s="182"/>
      <c r="GH101" s="182"/>
      <c r="GI101" s="182"/>
    </row>
    <row r="102" spans="1:191" s="183" customFormat="1" x14ac:dyDescent="0.2">
      <c r="A102" s="210" t="s">
        <v>38407</v>
      </c>
      <c r="B102" s="210" t="s">
        <v>18950</v>
      </c>
      <c r="C102" s="224" t="s">
        <v>22215</v>
      </c>
      <c r="D102" s="211" t="s">
        <v>16</v>
      </c>
      <c r="E102" s="211">
        <v>5</v>
      </c>
      <c r="F102" s="211"/>
      <c r="G102" s="211">
        <v>0.3</v>
      </c>
      <c r="H102" s="212"/>
      <c r="I102" s="213"/>
      <c r="J102" s="272">
        <v>94.38</v>
      </c>
      <c r="K102" s="112">
        <f t="shared" si="14"/>
        <v>471.9</v>
      </c>
      <c r="L102" s="273">
        <f>BDI!$E$17</f>
        <v>0.11260000000000001</v>
      </c>
      <c r="M102" s="213"/>
      <c r="N102" s="213"/>
      <c r="O102" s="114">
        <f t="shared" si="15"/>
        <v>105.01</v>
      </c>
      <c r="P102" s="113">
        <f t="shared" si="16"/>
        <v>157.52000000000001</v>
      </c>
      <c r="Q102" s="209"/>
      <c r="R102" s="203"/>
      <c r="S102" s="182"/>
      <c r="T102" s="182"/>
      <c r="U102" s="182"/>
      <c r="V102" s="182"/>
      <c r="W102" s="182"/>
      <c r="X102" s="182"/>
      <c r="Y102" s="182"/>
      <c r="Z102" s="182"/>
      <c r="AA102" s="182"/>
      <c r="AB102" s="182"/>
      <c r="AC102" s="182"/>
      <c r="AD102" s="182"/>
      <c r="AE102" s="182"/>
      <c r="AF102" s="182"/>
      <c r="AG102" s="182"/>
      <c r="AH102" s="182"/>
      <c r="AI102" s="182"/>
      <c r="AJ102" s="182"/>
      <c r="AK102" s="182"/>
      <c r="AL102" s="182"/>
      <c r="AM102" s="182"/>
      <c r="AN102" s="182"/>
      <c r="AO102" s="182"/>
      <c r="AP102" s="182"/>
      <c r="AQ102" s="182"/>
      <c r="AR102" s="182"/>
      <c r="AS102" s="182"/>
      <c r="AT102" s="182"/>
      <c r="AU102" s="182"/>
      <c r="AV102" s="182"/>
      <c r="AW102" s="182"/>
      <c r="AX102" s="182"/>
      <c r="AY102" s="182"/>
      <c r="AZ102" s="182"/>
      <c r="BA102" s="182"/>
      <c r="BB102" s="182"/>
      <c r="BC102" s="182"/>
      <c r="BD102" s="182"/>
      <c r="BE102" s="182"/>
      <c r="BF102" s="182"/>
      <c r="BG102" s="182"/>
      <c r="BH102" s="182"/>
      <c r="BI102" s="182"/>
      <c r="BJ102" s="182"/>
      <c r="BK102" s="182"/>
      <c r="BL102" s="182"/>
      <c r="BM102" s="182"/>
      <c r="BN102" s="182"/>
      <c r="BO102" s="182"/>
      <c r="BP102" s="182"/>
      <c r="BQ102" s="182"/>
      <c r="BR102" s="182"/>
      <c r="BS102" s="182"/>
      <c r="BT102" s="182"/>
      <c r="BU102" s="182"/>
      <c r="BV102" s="182"/>
      <c r="BW102" s="182"/>
      <c r="BX102" s="182"/>
      <c r="BY102" s="182"/>
      <c r="BZ102" s="182"/>
      <c r="CA102" s="182"/>
      <c r="CB102" s="182"/>
      <c r="CC102" s="182"/>
      <c r="CD102" s="182"/>
      <c r="CE102" s="182"/>
      <c r="CF102" s="182"/>
      <c r="CG102" s="182"/>
      <c r="CH102" s="182"/>
      <c r="CI102" s="182"/>
      <c r="CJ102" s="182"/>
      <c r="CK102" s="182"/>
      <c r="CL102" s="182"/>
      <c r="CM102" s="182"/>
      <c r="CN102" s="182"/>
      <c r="CO102" s="182"/>
      <c r="CP102" s="182"/>
      <c r="CQ102" s="182"/>
      <c r="CR102" s="182"/>
      <c r="CS102" s="182"/>
      <c r="CT102" s="182"/>
      <c r="CU102" s="182"/>
      <c r="CV102" s="182"/>
      <c r="CW102" s="182"/>
      <c r="CX102" s="182"/>
      <c r="CY102" s="182"/>
      <c r="CZ102" s="182"/>
      <c r="DA102" s="182"/>
      <c r="DB102" s="182"/>
      <c r="DC102" s="182"/>
      <c r="DD102" s="182"/>
      <c r="DE102" s="182"/>
      <c r="DF102" s="182"/>
      <c r="DG102" s="182"/>
      <c r="DH102" s="182"/>
      <c r="DI102" s="182"/>
      <c r="DJ102" s="182"/>
      <c r="DK102" s="182"/>
      <c r="DL102" s="182"/>
      <c r="DM102" s="182"/>
      <c r="DN102" s="182"/>
      <c r="DO102" s="182"/>
      <c r="DP102" s="182"/>
      <c r="DQ102" s="182"/>
      <c r="DR102" s="182"/>
      <c r="DS102" s="182"/>
      <c r="DT102" s="182"/>
      <c r="DU102" s="182"/>
      <c r="DV102" s="182"/>
      <c r="DW102" s="182"/>
      <c r="DX102" s="182"/>
      <c r="DY102" s="182"/>
      <c r="DZ102" s="182"/>
      <c r="EA102" s="182"/>
      <c r="EB102" s="182"/>
      <c r="EC102" s="182"/>
      <c r="ED102" s="182"/>
      <c r="EE102" s="182"/>
      <c r="EF102" s="182"/>
      <c r="EG102" s="182"/>
      <c r="EH102" s="182"/>
      <c r="EI102" s="182"/>
      <c r="EJ102" s="182"/>
      <c r="EK102" s="182"/>
      <c r="EL102" s="182"/>
      <c r="EM102" s="182"/>
      <c r="EN102" s="182"/>
      <c r="EO102" s="182"/>
      <c r="EP102" s="182"/>
      <c r="EQ102" s="182"/>
      <c r="ER102" s="182"/>
      <c r="ES102" s="182"/>
      <c r="ET102" s="182"/>
      <c r="EU102" s="182"/>
      <c r="EV102" s="182"/>
      <c r="EW102" s="182"/>
      <c r="EX102" s="182"/>
      <c r="EY102" s="182"/>
      <c r="EZ102" s="182"/>
      <c r="FA102" s="182"/>
      <c r="FB102" s="182"/>
      <c r="FC102" s="182"/>
      <c r="FD102" s="182"/>
      <c r="FE102" s="182"/>
      <c r="FF102" s="182"/>
      <c r="FG102" s="182"/>
      <c r="FH102" s="182"/>
      <c r="FI102" s="182"/>
      <c r="FJ102" s="182"/>
      <c r="FK102" s="182"/>
      <c r="FL102" s="182"/>
      <c r="FM102" s="182"/>
      <c r="FN102" s="182"/>
      <c r="FO102" s="182"/>
      <c r="FP102" s="182"/>
      <c r="FQ102" s="182"/>
      <c r="FR102" s="182"/>
      <c r="FS102" s="182"/>
      <c r="FT102" s="182"/>
      <c r="FU102" s="182"/>
      <c r="FV102" s="182"/>
      <c r="FW102" s="182"/>
      <c r="FX102" s="182"/>
      <c r="FY102" s="182"/>
      <c r="FZ102" s="182"/>
      <c r="GA102" s="182"/>
      <c r="GB102" s="182"/>
      <c r="GC102" s="182"/>
      <c r="GD102" s="182"/>
      <c r="GE102" s="182"/>
      <c r="GF102" s="182"/>
      <c r="GG102" s="182"/>
      <c r="GH102" s="182"/>
      <c r="GI102" s="182"/>
    </row>
    <row r="103" spans="1:191" s="183" customFormat="1" x14ac:dyDescent="0.2">
      <c r="A103" s="210" t="s">
        <v>38408</v>
      </c>
      <c r="B103" s="210" t="s">
        <v>18951</v>
      </c>
      <c r="C103" s="224" t="s">
        <v>1533</v>
      </c>
      <c r="D103" s="211" t="s">
        <v>16</v>
      </c>
      <c r="E103" s="211">
        <v>10</v>
      </c>
      <c r="F103" s="211"/>
      <c r="G103" s="211">
        <v>0.3</v>
      </c>
      <c r="H103" s="212"/>
      <c r="I103" s="213"/>
      <c r="J103" s="272">
        <v>152.94999999999999</v>
      </c>
      <c r="K103" s="112">
        <f t="shared" si="14"/>
        <v>1529.5</v>
      </c>
      <c r="L103" s="273">
        <f>BDI!$E$17</f>
        <v>0.11260000000000001</v>
      </c>
      <c r="M103" s="213"/>
      <c r="N103" s="213"/>
      <c r="O103" s="114">
        <f t="shared" si="15"/>
        <v>170.17</v>
      </c>
      <c r="P103" s="113">
        <f t="shared" si="16"/>
        <v>510.51</v>
      </c>
      <c r="Q103" s="209"/>
      <c r="R103" s="203"/>
      <c r="S103" s="182"/>
      <c r="T103" s="182"/>
      <c r="U103" s="182"/>
      <c r="V103" s="182"/>
      <c r="W103" s="182"/>
      <c r="X103" s="182"/>
      <c r="Y103" s="182"/>
      <c r="Z103" s="182"/>
      <c r="AA103" s="182"/>
      <c r="AB103" s="182"/>
      <c r="AC103" s="182"/>
      <c r="AD103" s="182"/>
      <c r="AE103" s="182"/>
      <c r="AF103" s="182"/>
      <c r="AG103" s="182"/>
      <c r="AH103" s="182"/>
      <c r="AI103" s="182"/>
      <c r="AJ103" s="182"/>
      <c r="AK103" s="182"/>
      <c r="AL103" s="182"/>
      <c r="AM103" s="182"/>
      <c r="AN103" s="182"/>
      <c r="AO103" s="182"/>
      <c r="AP103" s="182"/>
      <c r="AQ103" s="182"/>
      <c r="AR103" s="182"/>
      <c r="AS103" s="182"/>
      <c r="AT103" s="182"/>
      <c r="AU103" s="182"/>
      <c r="AV103" s="182"/>
      <c r="AW103" s="182"/>
      <c r="AX103" s="182"/>
      <c r="AY103" s="182"/>
      <c r="AZ103" s="182"/>
      <c r="BA103" s="182"/>
      <c r="BB103" s="182"/>
      <c r="BC103" s="182"/>
      <c r="BD103" s="182"/>
      <c r="BE103" s="182"/>
      <c r="BF103" s="182"/>
      <c r="BG103" s="182"/>
      <c r="BH103" s="182"/>
      <c r="BI103" s="182"/>
      <c r="BJ103" s="182"/>
      <c r="BK103" s="182"/>
      <c r="BL103" s="182"/>
      <c r="BM103" s="182"/>
      <c r="BN103" s="182"/>
      <c r="BO103" s="182"/>
      <c r="BP103" s="182"/>
      <c r="BQ103" s="182"/>
      <c r="BR103" s="182"/>
      <c r="BS103" s="182"/>
      <c r="BT103" s="182"/>
      <c r="BU103" s="182"/>
      <c r="BV103" s="182"/>
      <c r="BW103" s="182"/>
      <c r="BX103" s="182"/>
      <c r="BY103" s="182"/>
      <c r="BZ103" s="182"/>
      <c r="CA103" s="182"/>
      <c r="CB103" s="182"/>
      <c r="CC103" s="182"/>
      <c r="CD103" s="182"/>
      <c r="CE103" s="182"/>
      <c r="CF103" s="182"/>
      <c r="CG103" s="182"/>
      <c r="CH103" s="182"/>
      <c r="CI103" s="182"/>
      <c r="CJ103" s="182"/>
      <c r="CK103" s="182"/>
      <c r="CL103" s="182"/>
      <c r="CM103" s="182"/>
      <c r="CN103" s="182"/>
      <c r="CO103" s="182"/>
      <c r="CP103" s="182"/>
      <c r="CQ103" s="182"/>
      <c r="CR103" s="182"/>
      <c r="CS103" s="182"/>
      <c r="CT103" s="182"/>
      <c r="CU103" s="182"/>
      <c r="CV103" s="182"/>
      <c r="CW103" s="182"/>
      <c r="CX103" s="182"/>
      <c r="CY103" s="182"/>
      <c r="CZ103" s="182"/>
      <c r="DA103" s="182"/>
      <c r="DB103" s="182"/>
      <c r="DC103" s="182"/>
      <c r="DD103" s="182"/>
      <c r="DE103" s="182"/>
      <c r="DF103" s="182"/>
      <c r="DG103" s="182"/>
      <c r="DH103" s="182"/>
      <c r="DI103" s="182"/>
      <c r="DJ103" s="182"/>
      <c r="DK103" s="182"/>
      <c r="DL103" s="182"/>
      <c r="DM103" s="182"/>
      <c r="DN103" s="182"/>
      <c r="DO103" s="182"/>
      <c r="DP103" s="182"/>
      <c r="DQ103" s="182"/>
      <c r="DR103" s="182"/>
      <c r="DS103" s="182"/>
      <c r="DT103" s="182"/>
      <c r="DU103" s="182"/>
      <c r="DV103" s="182"/>
      <c r="DW103" s="182"/>
      <c r="DX103" s="182"/>
      <c r="DY103" s="182"/>
      <c r="DZ103" s="182"/>
      <c r="EA103" s="182"/>
      <c r="EB103" s="182"/>
      <c r="EC103" s="182"/>
      <c r="ED103" s="182"/>
      <c r="EE103" s="182"/>
      <c r="EF103" s="182"/>
      <c r="EG103" s="182"/>
      <c r="EH103" s="182"/>
      <c r="EI103" s="182"/>
      <c r="EJ103" s="182"/>
      <c r="EK103" s="182"/>
      <c r="EL103" s="182"/>
      <c r="EM103" s="182"/>
      <c r="EN103" s="182"/>
      <c r="EO103" s="182"/>
      <c r="EP103" s="182"/>
      <c r="EQ103" s="182"/>
      <c r="ER103" s="182"/>
      <c r="ES103" s="182"/>
      <c r="ET103" s="182"/>
      <c r="EU103" s="182"/>
      <c r="EV103" s="182"/>
      <c r="EW103" s="182"/>
      <c r="EX103" s="182"/>
      <c r="EY103" s="182"/>
      <c r="EZ103" s="182"/>
      <c r="FA103" s="182"/>
      <c r="FB103" s="182"/>
      <c r="FC103" s="182"/>
      <c r="FD103" s="182"/>
      <c r="FE103" s="182"/>
      <c r="FF103" s="182"/>
      <c r="FG103" s="182"/>
      <c r="FH103" s="182"/>
      <c r="FI103" s="182"/>
      <c r="FJ103" s="182"/>
      <c r="FK103" s="182"/>
      <c r="FL103" s="182"/>
      <c r="FM103" s="182"/>
      <c r="FN103" s="182"/>
      <c r="FO103" s="182"/>
      <c r="FP103" s="182"/>
      <c r="FQ103" s="182"/>
      <c r="FR103" s="182"/>
      <c r="FS103" s="182"/>
      <c r="FT103" s="182"/>
      <c r="FU103" s="182"/>
      <c r="FV103" s="182"/>
      <c r="FW103" s="182"/>
      <c r="FX103" s="182"/>
      <c r="FY103" s="182"/>
      <c r="FZ103" s="182"/>
      <c r="GA103" s="182"/>
      <c r="GB103" s="182"/>
      <c r="GC103" s="182"/>
      <c r="GD103" s="182"/>
      <c r="GE103" s="182"/>
      <c r="GF103" s="182"/>
      <c r="GG103" s="182"/>
      <c r="GH103" s="182"/>
      <c r="GI103" s="182"/>
    </row>
    <row r="104" spans="1:191" s="183" customFormat="1" x14ac:dyDescent="0.2">
      <c r="A104" s="210" t="s">
        <v>38409</v>
      </c>
      <c r="B104" s="210" t="s">
        <v>18952</v>
      </c>
      <c r="C104" s="224" t="s">
        <v>22216</v>
      </c>
      <c r="D104" s="211" t="s">
        <v>16</v>
      </c>
      <c r="E104" s="211">
        <v>5</v>
      </c>
      <c r="F104" s="211"/>
      <c r="G104" s="211">
        <v>0.3</v>
      </c>
      <c r="H104" s="212"/>
      <c r="I104" s="213"/>
      <c r="J104" s="272">
        <v>877.34</v>
      </c>
      <c r="K104" s="112">
        <f t="shared" si="14"/>
        <v>4386.7</v>
      </c>
      <c r="L104" s="273">
        <f>BDI!$E$17</f>
        <v>0.11260000000000001</v>
      </c>
      <c r="M104" s="213"/>
      <c r="N104" s="213"/>
      <c r="O104" s="114">
        <f t="shared" si="15"/>
        <v>976.13</v>
      </c>
      <c r="P104" s="113">
        <f t="shared" si="16"/>
        <v>1464.2</v>
      </c>
      <c r="Q104" s="209"/>
      <c r="R104" s="203"/>
      <c r="S104" s="182"/>
      <c r="T104" s="182"/>
      <c r="U104" s="182"/>
      <c r="V104" s="182"/>
      <c r="W104" s="182"/>
      <c r="X104" s="182"/>
      <c r="Y104" s="182"/>
      <c r="Z104" s="182"/>
      <c r="AA104" s="182"/>
      <c r="AB104" s="182"/>
      <c r="AC104" s="182"/>
      <c r="AD104" s="182"/>
      <c r="AE104" s="182"/>
      <c r="AF104" s="182"/>
      <c r="AG104" s="182"/>
      <c r="AH104" s="182"/>
      <c r="AI104" s="182"/>
      <c r="AJ104" s="182"/>
      <c r="AK104" s="182"/>
      <c r="AL104" s="182"/>
      <c r="AM104" s="182"/>
      <c r="AN104" s="182"/>
      <c r="AO104" s="182"/>
      <c r="AP104" s="182"/>
      <c r="AQ104" s="182"/>
      <c r="AR104" s="182"/>
      <c r="AS104" s="182"/>
      <c r="AT104" s="182"/>
      <c r="AU104" s="182"/>
      <c r="AV104" s="182"/>
      <c r="AW104" s="182"/>
      <c r="AX104" s="182"/>
      <c r="AY104" s="182"/>
      <c r="AZ104" s="182"/>
      <c r="BA104" s="182"/>
      <c r="BB104" s="182"/>
      <c r="BC104" s="182"/>
      <c r="BD104" s="182"/>
      <c r="BE104" s="182"/>
      <c r="BF104" s="182"/>
      <c r="BG104" s="182"/>
      <c r="BH104" s="182"/>
      <c r="BI104" s="182"/>
      <c r="BJ104" s="182"/>
      <c r="BK104" s="182"/>
      <c r="BL104" s="182"/>
      <c r="BM104" s="182"/>
      <c r="BN104" s="182"/>
      <c r="BO104" s="182"/>
      <c r="BP104" s="182"/>
      <c r="BQ104" s="182"/>
      <c r="BR104" s="182"/>
      <c r="BS104" s="182"/>
      <c r="BT104" s="182"/>
      <c r="BU104" s="182"/>
      <c r="BV104" s="182"/>
      <c r="BW104" s="182"/>
      <c r="BX104" s="182"/>
      <c r="BY104" s="182"/>
      <c r="BZ104" s="182"/>
      <c r="CA104" s="182"/>
      <c r="CB104" s="182"/>
      <c r="CC104" s="182"/>
      <c r="CD104" s="182"/>
      <c r="CE104" s="182"/>
      <c r="CF104" s="182"/>
      <c r="CG104" s="182"/>
      <c r="CH104" s="182"/>
      <c r="CI104" s="182"/>
      <c r="CJ104" s="182"/>
      <c r="CK104" s="182"/>
      <c r="CL104" s="182"/>
      <c r="CM104" s="182"/>
      <c r="CN104" s="182"/>
      <c r="CO104" s="182"/>
      <c r="CP104" s="182"/>
      <c r="CQ104" s="182"/>
      <c r="CR104" s="182"/>
      <c r="CS104" s="182"/>
      <c r="CT104" s="182"/>
      <c r="CU104" s="182"/>
      <c r="CV104" s="182"/>
      <c r="CW104" s="182"/>
      <c r="CX104" s="182"/>
      <c r="CY104" s="182"/>
      <c r="CZ104" s="182"/>
      <c r="DA104" s="182"/>
      <c r="DB104" s="182"/>
      <c r="DC104" s="182"/>
      <c r="DD104" s="182"/>
      <c r="DE104" s="182"/>
      <c r="DF104" s="182"/>
      <c r="DG104" s="182"/>
      <c r="DH104" s="182"/>
      <c r="DI104" s="182"/>
      <c r="DJ104" s="182"/>
      <c r="DK104" s="182"/>
      <c r="DL104" s="182"/>
      <c r="DM104" s="182"/>
      <c r="DN104" s="182"/>
      <c r="DO104" s="182"/>
      <c r="DP104" s="182"/>
      <c r="DQ104" s="182"/>
      <c r="DR104" s="182"/>
      <c r="DS104" s="182"/>
      <c r="DT104" s="182"/>
      <c r="DU104" s="182"/>
      <c r="DV104" s="182"/>
      <c r="DW104" s="182"/>
      <c r="DX104" s="182"/>
      <c r="DY104" s="182"/>
      <c r="DZ104" s="182"/>
      <c r="EA104" s="182"/>
      <c r="EB104" s="182"/>
      <c r="EC104" s="182"/>
      <c r="ED104" s="182"/>
      <c r="EE104" s="182"/>
      <c r="EF104" s="182"/>
      <c r="EG104" s="182"/>
      <c r="EH104" s="182"/>
      <c r="EI104" s="182"/>
      <c r="EJ104" s="182"/>
      <c r="EK104" s="182"/>
      <c r="EL104" s="182"/>
      <c r="EM104" s="182"/>
      <c r="EN104" s="182"/>
      <c r="EO104" s="182"/>
      <c r="EP104" s="182"/>
      <c r="EQ104" s="182"/>
      <c r="ER104" s="182"/>
      <c r="ES104" s="182"/>
      <c r="ET104" s="182"/>
      <c r="EU104" s="182"/>
      <c r="EV104" s="182"/>
      <c r="EW104" s="182"/>
      <c r="EX104" s="182"/>
      <c r="EY104" s="182"/>
      <c r="EZ104" s="182"/>
      <c r="FA104" s="182"/>
      <c r="FB104" s="182"/>
      <c r="FC104" s="182"/>
      <c r="FD104" s="182"/>
      <c r="FE104" s="182"/>
      <c r="FF104" s="182"/>
      <c r="FG104" s="182"/>
      <c r="FH104" s="182"/>
      <c r="FI104" s="182"/>
      <c r="FJ104" s="182"/>
      <c r="FK104" s="182"/>
      <c r="FL104" s="182"/>
      <c r="FM104" s="182"/>
      <c r="FN104" s="182"/>
      <c r="FO104" s="182"/>
      <c r="FP104" s="182"/>
      <c r="FQ104" s="182"/>
      <c r="FR104" s="182"/>
      <c r="FS104" s="182"/>
      <c r="FT104" s="182"/>
      <c r="FU104" s="182"/>
      <c r="FV104" s="182"/>
      <c r="FW104" s="182"/>
      <c r="FX104" s="182"/>
      <c r="FY104" s="182"/>
      <c r="FZ104" s="182"/>
      <c r="GA104" s="182"/>
      <c r="GB104" s="182"/>
      <c r="GC104" s="182"/>
      <c r="GD104" s="182"/>
      <c r="GE104" s="182"/>
      <c r="GF104" s="182"/>
      <c r="GG104" s="182"/>
      <c r="GH104" s="182"/>
      <c r="GI104" s="182"/>
    </row>
    <row r="105" spans="1:191" s="183" customFormat="1" x14ac:dyDescent="0.2">
      <c r="A105" s="210" t="s">
        <v>38410</v>
      </c>
      <c r="B105" s="210" t="s">
        <v>18953</v>
      </c>
      <c r="C105" s="224" t="s">
        <v>22217</v>
      </c>
      <c r="D105" s="211" t="s">
        <v>16</v>
      </c>
      <c r="E105" s="211">
        <v>1</v>
      </c>
      <c r="F105" s="211"/>
      <c r="G105" s="211">
        <v>0.3</v>
      </c>
      <c r="H105" s="212"/>
      <c r="I105" s="213"/>
      <c r="J105" s="272">
        <v>2790.32</v>
      </c>
      <c r="K105" s="112">
        <f t="shared" si="14"/>
        <v>2790.32</v>
      </c>
      <c r="L105" s="273">
        <f>BDI!$E$17</f>
        <v>0.11260000000000001</v>
      </c>
      <c r="M105" s="213"/>
      <c r="N105" s="213"/>
      <c r="O105" s="114">
        <f t="shared" si="15"/>
        <v>3104.51</v>
      </c>
      <c r="P105" s="113">
        <f t="shared" si="16"/>
        <v>931.35</v>
      </c>
      <c r="Q105" s="209"/>
      <c r="R105" s="203"/>
      <c r="S105" s="182"/>
      <c r="T105" s="182"/>
      <c r="U105" s="182"/>
      <c r="V105" s="182"/>
      <c r="W105" s="182"/>
      <c r="X105" s="182"/>
      <c r="Y105" s="182"/>
      <c r="Z105" s="182"/>
      <c r="AA105" s="182"/>
      <c r="AB105" s="182"/>
      <c r="AC105" s="182"/>
      <c r="AD105" s="182"/>
      <c r="AE105" s="182"/>
      <c r="AF105" s="182"/>
      <c r="AG105" s="182"/>
      <c r="AH105" s="182"/>
      <c r="AI105" s="182"/>
      <c r="AJ105" s="182"/>
      <c r="AK105" s="182"/>
      <c r="AL105" s="182"/>
      <c r="AM105" s="182"/>
      <c r="AN105" s="182"/>
      <c r="AO105" s="182"/>
      <c r="AP105" s="182"/>
      <c r="AQ105" s="182"/>
      <c r="AR105" s="182"/>
      <c r="AS105" s="182"/>
      <c r="AT105" s="182"/>
      <c r="AU105" s="182"/>
      <c r="AV105" s="182"/>
      <c r="AW105" s="182"/>
      <c r="AX105" s="182"/>
      <c r="AY105" s="182"/>
      <c r="AZ105" s="182"/>
      <c r="BA105" s="182"/>
      <c r="BB105" s="182"/>
      <c r="BC105" s="182"/>
      <c r="BD105" s="182"/>
      <c r="BE105" s="182"/>
      <c r="BF105" s="182"/>
      <c r="BG105" s="182"/>
      <c r="BH105" s="182"/>
      <c r="BI105" s="182"/>
      <c r="BJ105" s="182"/>
      <c r="BK105" s="182"/>
      <c r="BL105" s="182"/>
      <c r="BM105" s="182"/>
      <c r="BN105" s="182"/>
      <c r="BO105" s="182"/>
      <c r="BP105" s="182"/>
      <c r="BQ105" s="182"/>
      <c r="BR105" s="182"/>
      <c r="BS105" s="182"/>
      <c r="BT105" s="182"/>
      <c r="BU105" s="182"/>
      <c r="BV105" s="182"/>
      <c r="BW105" s="182"/>
      <c r="BX105" s="182"/>
      <c r="BY105" s="182"/>
      <c r="BZ105" s="182"/>
      <c r="CA105" s="182"/>
      <c r="CB105" s="182"/>
      <c r="CC105" s="182"/>
      <c r="CD105" s="182"/>
      <c r="CE105" s="182"/>
      <c r="CF105" s="182"/>
      <c r="CG105" s="182"/>
      <c r="CH105" s="182"/>
      <c r="CI105" s="182"/>
      <c r="CJ105" s="182"/>
      <c r="CK105" s="182"/>
      <c r="CL105" s="182"/>
      <c r="CM105" s="182"/>
      <c r="CN105" s="182"/>
      <c r="CO105" s="182"/>
      <c r="CP105" s="182"/>
      <c r="CQ105" s="182"/>
      <c r="CR105" s="182"/>
      <c r="CS105" s="182"/>
      <c r="CT105" s="182"/>
      <c r="CU105" s="182"/>
      <c r="CV105" s="182"/>
      <c r="CW105" s="182"/>
      <c r="CX105" s="182"/>
      <c r="CY105" s="182"/>
      <c r="CZ105" s="182"/>
      <c r="DA105" s="182"/>
      <c r="DB105" s="182"/>
      <c r="DC105" s="182"/>
      <c r="DD105" s="182"/>
      <c r="DE105" s="182"/>
      <c r="DF105" s="182"/>
      <c r="DG105" s="182"/>
      <c r="DH105" s="182"/>
      <c r="DI105" s="182"/>
      <c r="DJ105" s="182"/>
      <c r="DK105" s="182"/>
      <c r="DL105" s="182"/>
      <c r="DM105" s="182"/>
      <c r="DN105" s="182"/>
      <c r="DO105" s="182"/>
      <c r="DP105" s="182"/>
      <c r="DQ105" s="182"/>
      <c r="DR105" s="182"/>
      <c r="DS105" s="182"/>
      <c r="DT105" s="182"/>
      <c r="DU105" s="182"/>
      <c r="DV105" s="182"/>
      <c r="DW105" s="182"/>
      <c r="DX105" s="182"/>
      <c r="DY105" s="182"/>
      <c r="DZ105" s="182"/>
      <c r="EA105" s="182"/>
      <c r="EB105" s="182"/>
      <c r="EC105" s="182"/>
      <c r="ED105" s="182"/>
      <c r="EE105" s="182"/>
      <c r="EF105" s="182"/>
      <c r="EG105" s="182"/>
      <c r="EH105" s="182"/>
      <c r="EI105" s="182"/>
      <c r="EJ105" s="182"/>
      <c r="EK105" s="182"/>
      <c r="EL105" s="182"/>
      <c r="EM105" s="182"/>
      <c r="EN105" s="182"/>
      <c r="EO105" s="182"/>
      <c r="EP105" s="182"/>
      <c r="EQ105" s="182"/>
      <c r="ER105" s="182"/>
      <c r="ES105" s="182"/>
      <c r="ET105" s="182"/>
      <c r="EU105" s="182"/>
      <c r="EV105" s="182"/>
      <c r="EW105" s="182"/>
      <c r="EX105" s="182"/>
      <c r="EY105" s="182"/>
      <c r="EZ105" s="182"/>
      <c r="FA105" s="182"/>
      <c r="FB105" s="182"/>
      <c r="FC105" s="182"/>
      <c r="FD105" s="182"/>
      <c r="FE105" s="182"/>
      <c r="FF105" s="182"/>
      <c r="FG105" s="182"/>
      <c r="FH105" s="182"/>
      <c r="FI105" s="182"/>
      <c r="FJ105" s="182"/>
      <c r="FK105" s="182"/>
      <c r="FL105" s="182"/>
      <c r="FM105" s="182"/>
      <c r="FN105" s="182"/>
      <c r="FO105" s="182"/>
      <c r="FP105" s="182"/>
      <c r="FQ105" s="182"/>
      <c r="FR105" s="182"/>
      <c r="FS105" s="182"/>
      <c r="FT105" s="182"/>
      <c r="FU105" s="182"/>
      <c r="FV105" s="182"/>
      <c r="FW105" s="182"/>
      <c r="FX105" s="182"/>
      <c r="FY105" s="182"/>
      <c r="FZ105" s="182"/>
      <c r="GA105" s="182"/>
      <c r="GB105" s="182"/>
      <c r="GC105" s="182"/>
      <c r="GD105" s="182"/>
      <c r="GE105" s="182"/>
      <c r="GF105" s="182"/>
      <c r="GG105" s="182"/>
      <c r="GH105" s="182"/>
      <c r="GI105" s="182"/>
    </row>
    <row r="106" spans="1:191" s="183" customFormat="1" x14ac:dyDescent="0.2">
      <c r="A106" s="210" t="s">
        <v>38411</v>
      </c>
      <c r="B106" s="210" t="s">
        <v>18954</v>
      </c>
      <c r="C106" s="224" t="s">
        <v>22218</v>
      </c>
      <c r="D106" s="211" t="s">
        <v>16</v>
      </c>
      <c r="E106" s="211">
        <v>1</v>
      </c>
      <c r="F106" s="211"/>
      <c r="G106" s="211">
        <v>0.3</v>
      </c>
      <c r="H106" s="212"/>
      <c r="I106" s="213"/>
      <c r="J106" s="272">
        <v>2778.11</v>
      </c>
      <c r="K106" s="112">
        <f t="shared" si="14"/>
        <v>2778.11</v>
      </c>
      <c r="L106" s="273">
        <f>BDI!$E$17</f>
        <v>0.11260000000000001</v>
      </c>
      <c r="M106" s="213"/>
      <c r="N106" s="213"/>
      <c r="O106" s="114">
        <f t="shared" si="15"/>
        <v>3090.93</v>
      </c>
      <c r="P106" s="113">
        <f t="shared" si="16"/>
        <v>927.28</v>
      </c>
      <c r="Q106" s="209"/>
      <c r="R106" s="203"/>
      <c r="S106" s="182"/>
      <c r="T106" s="182"/>
      <c r="U106" s="182"/>
      <c r="V106" s="182"/>
      <c r="W106" s="182"/>
      <c r="X106" s="182"/>
      <c r="Y106" s="182"/>
      <c r="Z106" s="182"/>
      <c r="AA106" s="182"/>
      <c r="AB106" s="182"/>
      <c r="AC106" s="182"/>
      <c r="AD106" s="182"/>
      <c r="AE106" s="182"/>
      <c r="AF106" s="182"/>
      <c r="AG106" s="182"/>
      <c r="AH106" s="182"/>
      <c r="AI106" s="182"/>
      <c r="AJ106" s="182"/>
      <c r="AK106" s="182"/>
      <c r="AL106" s="182"/>
      <c r="AM106" s="182"/>
      <c r="AN106" s="182"/>
      <c r="AO106" s="182"/>
      <c r="AP106" s="182"/>
      <c r="AQ106" s="182"/>
      <c r="AR106" s="182"/>
      <c r="AS106" s="182"/>
      <c r="AT106" s="182"/>
      <c r="AU106" s="182"/>
      <c r="AV106" s="182"/>
      <c r="AW106" s="182"/>
      <c r="AX106" s="182"/>
      <c r="AY106" s="182"/>
      <c r="AZ106" s="182"/>
      <c r="BA106" s="182"/>
      <c r="BB106" s="182"/>
      <c r="BC106" s="182"/>
      <c r="BD106" s="182"/>
      <c r="BE106" s="182"/>
      <c r="BF106" s="182"/>
      <c r="BG106" s="182"/>
      <c r="BH106" s="182"/>
      <c r="BI106" s="182"/>
      <c r="BJ106" s="182"/>
      <c r="BK106" s="182"/>
      <c r="BL106" s="182"/>
      <c r="BM106" s="182"/>
      <c r="BN106" s="182"/>
      <c r="BO106" s="182"/>
      <c r="BP106" s="182"/>
      <c r="BQ106" s="182"/>
      <c r="BR106" s="182"/>
      <c r="BS106" s="182"/>
      <c r="BT106" s="182"/>
      <c r="BU106" s="182"/>
      <c r="BV106" s="182"/>
      <c r="BW106" s="182"/>
      <c r="BX106" s="182"/>
      <c r="BY106" s="182"/>
      <c r="BZ106" s="182"/>
      <c r="CA106" s="182"/>
      <c r="CB106" s="182"/>
      <c r="CC106" s="182"/>
      <c r="CD106" s="182"/>
      <c r="CE106" s="182"/>
      <c r="CF106" s="182"/>
      <c r="CG106" s="182"/>
      <c r="CH106" s="182"/>
      <c r="CI106" s="182"/>
      <c r="CJ106" s="182"/>
      <c r="CK106" s="182"/>
      <c r="CL106" s="182"/>
      <c r="CM106" s="182"/>
      <c r="CN106" s="182"/>
      <c r="CO106" s="182"/>
      <c r="CP106" s="182"/>
      <c r="CQ106" s="182"/>
      <c r="CR106" s="182"/>
      <c r="CS106" s="182"/>
      <c r="CT106" s="182"/>
      <c r="CU106" s="182"/>
      <c r="CV106" s="182"/>
      <c r="CW106" s="182"/>
      <c r="CX106" s="182"/>
      <c r="CY106" s="182"/>
      <c r="CZ106" s="182"/>
      <c r="DA106" s="182"/>
      <c r="DB106" s="182"/>
      <c r="DC106" s="182"/>
      <c r="DD106" s="182"/>
      <c r="DE106" s="182"/>
      <c r="DF106" s="182"/>
      <c r="DG106" s="182"/>
      <c r="DH106" s="182"/>
      <c r="DI106" s="182"/>
      <c r="DJ106" s="182"/>
      <c r="DK106" s="182"/>
      <c r="DL106" s="182"/>
      <c r="DM106" s="182"/>
      <c r="DN106" s="182"/>
      <c r="DO106" s="182"/>
      <c r="DP106" s="182"/>
      <c r="DQ106" s="182"/>
      <c r="DR106" s="182"/>
      <c r="DS106" s="182"/>
      <c r="DT106" s="182"/>
      <c r="DU106" s="182"/>
      <c r="DV106" s="182"/>
      <c r="DW106" s="182"/>
      <c r="DX106" s="182"/>
      <c r="DY106" s="182"/>
      <c r="DZ106" s="182"/>
      <c r="EA106" s="182"/>
      <c r="EB106" s="182"/>
      <c r="EC106" s="182"/>
      <c r="ED106" s="182"/>
      <c r="EE106" s="182"/>
      <c r="EF106" s="182"/>
      <c r="EG106" s="182"/>
      <c r="EH106" s="182"/>
      <c r="EI106" s="182"/>
      <c r="EJ106" s="182"/>
      <c r="EK106" s="182"/>
      <c r="EL106" s="182"/>
      <c r="EM106" s="182"/>
      <c r="EN106" s="182"/>
      <c r="EO106" s="182"/>
      <c r="EP106" s="182"/>
      <c r="EQ106" s="182"/>
      <c r="ER106" s="182"/>
      <c r="ES106" s="182"/>
      <c r="ET106" s="182"/>
      <c r="EU106" s="182"/>
      <c r="EV106" s="182"/>
      <c r="EW106" s="182"/>
      <c r="EX106" s="182"/>
      <c r="EY106" s="182"/>
      <c r="EZ106" s="182"/>
      <c r="FA106" s="182"/>
      <c r="FB106" s="182"/>
      <c r="FC106" s="182"/>
      <c r="FD106" s="182"/>
      <c r="FE106" s="182"/>
      <c r="FF106" s="182"/>
      <c r="FG106" s="182"/>
      <c r="FH106" s="182"/>
      <c r="FI106" s="182"/>
      <c r="FJ106" s="182"/>
      <c r="FK106" s="182"/>
      <c r="FL106" s="182"/>
      <c r="FM106" s="182"/>
      <c r="FN106" s="182"/>
      <c r="FO106" s="182"/>
      <c r="FP106" s="182"/>
      <c r="FQ106" s="182"/>
      <c r="FR106" s="182"/>
      <c r="FS106" s="182"/>
      <c r="FT106" s="182"/>
      <c r="FU106" s="182"/>
      <c r="FV106" s="182"/>
      <c r="FW106" s="182"/>
      <c r="FX106" s="182"/>
      <c r="FY106" s="182"/>
      <c r="FZ106" s="182"/>
      <c r="GA106" s="182"/>
      <c r="GB106" s="182"/>
      <c r="GC106" s="182"/>
      <c r="GD106" s="182"/>
      <c r="GE106" s="182"/>
      <c r="GF106" s="182"/>
      <c r="GG106" s="182"/>
      <c r="GH106" s="182"/>
      <c r="GI106" s="182"/>
    </row>
    <row r="107" spans="1:191" s="183" customFormat="1" x14ac:dyDescent="0.2">
      <c r="A107" s="210" t="s">
        <v>38412</v>
      </c>
      <c r="B107" s="210" t="s">
        <v>18955</v>
      </c>
      <c r="C107" s="224" t="s">
        <v>22219</v>
      </c>
      <c r="D107" s="211" t="s">
        <v>16</v>
      </c>
      <c r="E107" s="211">
        <v>1</v>
      </c>
      <c r="F107" s="211"/>
      <c r="G107" s="211">
        <v>0.3</v>
      </c>
      <c r="H107" s="212"/>
      <c r="I107" s="213"/>
      <c r="J107" s="272">
        <v>9641.7099999999991</v>
      </c>
      <c r="K107" s="112">
        <f t="shared" si="14"/>
        <v>9641.7099999999991</v>
      </c>
      <c r="L107" s="273">
        <f>BDI!$E$17</f>
        <v>0.11260000000000001</v>
      </c>
      <c r="M107" s="213"/>
      <c r="N107" s="213"/>
      <c r="O107" s="114">
        <f t="shared" si="15"/>
        <v>10727.37</v>
      </c>
      <c r="P107" s="113">
        <f t="shared" si="16"/>
        <v>3218.21</v>
      </c>
      <c r="Q107" s="209"/>
      <c r="R107" s="203"/>
      <c r="S107" s="182"/>
      <c r="T107" s="182"/>
      <c r="U107" s="182"/>
      <c r="V107" s="182"/>
      <c r="W107" s="182"/>
      <c r="X107" s="182"/>
      <c r="Y107" s="182"/>
      <c r="Z107" s="182"/>
      <c r="AA107" s="182"/>
      <c r="AB107" s="182"/>
      <c r="AC107" s="182"/>
      <c r="AD107" s="182"/>
      <c r="AE107" s="182"/>
      <c r="AF107" s="182"/>
      <c r="AG107" s="182"/>
      <c r="AH107" s="182"/>
      <c r="AI107" s="182"/>
      <c r="AJ107" s="182"/>
      <c r="AK107" s="182"/>
      <c r="AL107" s="182"/>
      <c r="AM107" s="182"/>
      <c r="AN107" s="182"/>
      <c r="AO107" s="182"/>
      <c r="AP107" s="182"/>
      <c r="AQ107" s="182"/>
      <c r="AR107" s="182"/>
      <c r="AS107" s="182"/>
      <c r="AT107" s="182"/>
      <c r="AU107" s="182"/>
      <c r="AV107" s="182"/>
      <c r="AW107" s="182"/>
      <c r="AX107" s="182"/>
      <c r="AY107" s="182"/>
      <c r="AZ107" s="182"/>
      <c r="BA107" s="182"/>
      <c r="BB107" s="182"/>
      <c r="BC107" s="182"/>
      <c r="BD107" s="182"/>
      <c r="BE107" s="182"/>
      <c r="BF107" s="182"/>
      <c r="BG107" s="182"/>
      <c r="BH107" s="182"/>
      <c r="BI107" s="182"/>
      <c r="BJ107" s="182"/>
      <c r="BK107" s="182"/>
      <c r="BL107" s="182"/>
      <c r="BM107" s="182"/>
      <c r="BN107" s="182"/>
      <c r="BO107" s="182"/>
      <c r="BP107" s="182"/>
      <c r="BQ107" s="182"/>
      <c r="BR107" s="182"/>
      <c r="BS107" s="182"/>
      <c r="BT107" s="182"/>
      <c r="BU107" s="182"/>
      <c r="BV107" s="182"/>
      <c r="BW107" s="182"/>
      <c r="BX107" s="182"/>
      <c r="BY107" s="182"/>
      <c r="BZ107" s="182"/>
      <c r="CA107" s="182"/>
      <c r="CB107" s="182"/>
      <c r="CC107" s="182"/>
      <c r="CD107" s="182"/>
      <c r="CE107" s="182"/>
      <c r="CF107" s="182"/>
      <c r="CG107" s="182"/>
      <c r="CH107" s="182"/>
      <c r="CI107" s="182"/>
      <c r="CJ107" s="182"/>
      <c r="CK107" s="182"/>
      <c r="CL107" s="182"/>
      <c r="CM107" s="182"/>
      <c r="CN107" s="182"/>
      <c r="CO107" s="182"/>
      <c r="CP107" s="182"/>
      <c r="CQ107" s="182"/>
      <c r="CR107" s="182"/>
      <c r="CS107" s="182"/>
      <c r="CT107" s="182"/>
      <c r="CU107" s="182"/>
      <c r="CV107" s="182"/>
      <c r="CW107" s="182"/>
      <c r="CX107" s="182"/>
      <c r="CY107" s="182"/>
      <c r="CZ107" s="182"/>
      <c r="DA107" s="182"/>
      <c r="DB107" s="182"/>
      <c r="DC107" s="182"/>
      <c r="DD107" s="182"/>
      <c r="DE107" s="182"/>
      <c r="DF107" s="182"/>
      <c r="DG107" s="182"/>
      <c r="DH107" s="182"/>
      <c r="DI107" s="182"/>
      <c r="DJ107" s="182"/>
      <c r="DK107" s="182"/>
      <c r="DL107" s="182"/>
      <c r="DM107" s="182"/>
      <c r="DN107" s="182"/>
      <c r="DO107" s="182"/>
      <c r="DP107" s="182"/>
      <c r="DQ107" s="182"/>
      <c r="DR107" s="182"/>
      <c r="DS107" s="182"/>
      <c r="DT107" s="182"/>
      <c r="DU107" s="182"/>
      <c r="DV107" s="182"/>
      <c r="DW107" s="182"/>
      <c r="DX107" s="182"/>
      <c r="DY107" s="182"/>
      <c r="DZ107" s="182"/>
      <c r="EA107" s="182"/>
      <c r="EB107" s="182"/>
      <c r="EC107" s="182"/>
      <c r="ED107" s="182"/>
      <c r="EE107" s="182"/>
      <c r="EF107" s="182"/>
      <c r="EG107" s="182"/>
      <c r="EH107" s="182"/>
      <c r="EI107" s="182"/>
      <c r="EJ107" s="182"/>
      <c r="EK107" s="182"/>
      <c r="EL107" s="182"/>
      <c r="EM107" s="182"/>
      <c r="EN107" s="182"/>
      <c r="EO107" s="182"/>
      <c r="EP107" s="182"/>
      <c r="EQ107" s="182"/>
      <c r="ER107" s="182"/>
      <c r="ES107" s="182"/>
      <c r="ET107" s="182"/>
      <c r="EU107" s="182"/>
      <c r="EV107" s="182"/>
      <c r="EW107" s="182"/>
      <c r="EX107" s="182"/>
      <c r="EY107" s="182"/>
      <c r="EZ107" s="182"/>
      <c r="FA107" s="182"/>
      <c r="FB107" s="182"/>
      <c r="FC107" s="182"/>
      <c r="FD107" s="182"/>
      <c r="FE107" s="182"/>
      <c r="FF107" s="182"/>
      <c r="FG107" s="182"/>
      <c r="FH107" s="182"/>
      <c r="FI107" s="182"/>
      <c r="FJ107" s="182"/>
      <c r="FK107" s="182"/>
      <c r="FL107" s="182"/>
      <c r="FM107" s="182"/>
      <c r="FN107" s="182"/>
      <c r="FO107" s="182"/>
      <c r="FP107" s="182"/>
      <c r="FQ107" s="182"/>
      <c r="FR107" s="182"/>
      <c r="FS107" s="182"/>
      <c r="FT107" s="182"/>
      <c r="FU107" s="182"/>
      <c r="FV107" s="182"/>
      <c r="FW107" s="182"/>
      <c r="FX107" s="182"/>
      <c r="FY107" s="182"/>
      <c r="FZ107" s="182"/>
      <c r="GA107" s="182"/>
      <c r="GB107" s="182"/>
      <c r="GC107" s="182"/>
      <c r="GD107" s="182"/>
      <c r="GE107" s="182"/>
      <c r="GF107" s="182"/>
      <c r="GG107" s="182"/>
      <c r="GH107" s="182"/>
      <c r="GI107" s="182"/>
    </row>
    <row r="108" spans="1:191" s="183" customFormat="1" x14ac:dyDescent="0.2">
      <c r="A108" s="210" t="s">
        <v>38413</v>
      </c>
      <c r="B108" s="210" t="s">
        <v>18956</v>
      </c>
      <c r="C108" s="224" t="s">
        <v>22220</v>
      </c>
      <c r="D108" s="211" t="s">
        <v>16</v>
      </c>
      <c r="E108" s="211">
        <v>1</v>
      </c>
      <c r="F108" s="211"/>
      <c r="G108" s="211">
        <v>0.3</v>
      </c>
      <c r="H108" s="212"/>
      <c r="I108" s="213"/>
      <c r="J108" s="272">
        <v>2766.11</v>
      </c>
      <c r="K108" s="112">
        <f t="shared" si="14"/>
        <v>2766.11</v>
      </c>
      <c r="L108" s="273">
        <f>BDI!$E$17</f>
        <v>0.11260000000000001</v>
      </c>
      <c r="M108" s="213"/>
      <c r="N108" s="213"/>
      <c r="O108" s="114">
        <f t="shared" si="15"/>
        <v>3077.57</v>
      </c>
      <c r="P108" s="113">
        <f t="shared" si="16"/>
        <v>923.27</v>
      </c>
      <c r="Q108" s="209"/>
      <c r="R108" s="203"/>
      <c r="S108" s="182"/>
      <c r="T108" s="182"/>
      <c r="U108" s="182"/>
      <c r="V108" s="182"/>
      <c r="W108" s="182"/>
      <c r="X108" s="182"/>
      <c r="Y108" s="182"/>
      <c r="Z108" s="182"/>
      <c r="AA108" s="182"/>
      <c r="AB108" s="182"/>
      <c r="AC108" s="182"/>
      <c r="AD108" s="182"/>
      <c r="AE108" s="182"/>
      <c r="AF108" s="182"/>
      <c r="AG108" s="182"/>
      <c r="AH108" s="182"/>
      <c r="AI108" s="182"/>
      <c r="AJ108" s="182"/>
      <c r="AK108" s="182"/>
      <c r="AL108" s="182"/>
      <c r="AM108" s="182"/>
      <c r="AN108" s="182"/>
      <c r="AO108" s="182"/>
      <c r="AP108" s="182"/>
      <c r="AQ108" s="182"/>
      <c r="AR108" s="182"/>
      <c r="AS108" s="182"/>
      <c r="AT108" s="182"/>
      <c r="AU108" s="182"/>
      <c r="AV108" s="182"/>
      <c r="AW108" s="182"/>
      <c r="AX108" s="182"/>
      <c r="AY108" s="182"/>
      <c r="AZ108" s="182"/>
      <c r="BA108" s="182"/>
      <c r="BB108" s="182"/>
      <c r="BC108" s="182"/>
      <c r="BD108" s="182"/>
      <c r="BE108" s="182"/>
      <c r="BF108" s="182"/>
      <c r="BG108" s="182"/>
      <c r="BH108" s="182"/>
      <c r="BI108" s="182"/>
      <c r="BJ108" s="182"/>
      <c r="BK108" s="182"/>
      <c r="BL108" s="182"/>
      <c r="BM108" s="182"/>
      <c r="BN108" s="182"/>
      <c r="BO108" s="182"/>
      <c r="BP108" s="182"/>
      <c r="BQ108" s="182"/>
      <c r="BR108" s="182"/>
      <c r="BS108" s="182"/>
      <c r="BT108" s="182"/>
      <c r="BU108" s="182"/>
      <c r="BV108" s="182"/>
      <c r="BW108" s="182"/>
      <c r="BX108" s="182"/>
      <c r="BY108" s="182"/>
      <c r="BZ108" s="182"/>
      <c r="CA108" s="182"/>
      <c r="CB108" s="182"/>
      <c r="CC108" s="182"/>
      <c r="CD108" s="182"/>
      <c r="CE108" s="182"/>
      <c r="CF108" s="182"/>
      <c r="CG108" s="182"/>
      <c r="CH108" s="182"/>
      <c r="CI108" s="182"/>
      <c r="CJ108" s="182"/>
      <c r="CK108" s="182"/>
      <c r="CL108" s="182"/>
      <c r="CM108" s="182"/>
      <c r="CN108" s="182"/>
      <c r="CO108" s="182"/>
      <c r="CP108" s="182"/>
      <c r="CQ108" s="182"/>
      <c r="CR108" s="182"/>
      <c r="CS108" s="182"/>
      <c r="CT108" s="182"/>
      <c r="CU108" s="182"/>
      <c r="CV108" s="182"/>
      <c r="CW108" s="182"/>
      <c r="CX108" s="182"/>
      <c r="CY108" s="182"/>
      <c r="CZ108" s="182"/>
      <c r="DA108" s="182"/>
      <c r="DB108" s="182"/>
      <c r="DC108" s="182"/>
      <c r="DD108" s="182"/>
      <c r="DE108" s="182"/>
      <c r="DF108" s="182"/>
      <c r="DG108" s="182"/>
      <c r="DH108" s="182"/>
      <c r="DI108" s="182"/>
      <c r="DJ108" s="182"/>
      <c r="DK108" s="182"/>
      <c r="DL108" s="182"/>
      <c r="DM108" s="182"/>
      <c r="DN108" s="182"/>
      <c r="DO108" s="182"/>
      <c r="DP108" s="182"/>
      <c r="DQ108" s="182"/>
      <c r="DR108" s="182"/>
      <c r="DS108" s="182"/>
      <c r="DT108" s="182"/>
      <c r="DU108" s="182"/>
      <c r="DV108" s="182"/>
      <c r="DW108" s="182"/>
      <c r="DX108" s="182"/>
      <c r="DY108" s="182"/>
      <c r="DZ108" s="182"/>
      <c r="EA108" s="182"/>
      <c r="EB108" s="182"/>
      <c r="EC108" s="182"/>
      <c r="ED108" s="182"/>
      <c r="EE108" s="182"/>
      <c r="EF108" s="182"/>
      <c r="EG108" s="182"/>
      <c r="EH108" s="182"/>
      <c r="EI108" s="182"/>
      <c r="EJ108" s="182"/>
      <c r="EK108" s="182"/>
      <c r="EL108" s="182"/>
      <c r="EM108" s="182"/>
      <c r="EN108" s="182"/>
      <c r="EO108" s="182"/>
      <c r="EP108" s="182"/>
      <c r="EQ108" s="182"/>
      <c r="ER108" s="182"/>
      <c r="ES108" s="182"/>
      <c r="ET108" s="182"/>
      <c r="EU108" s="182"/>
      <c r="EV108" s="182"/>
      <c r="EW108" s="182"/>
      <c r="EX108" s="182"/>
      <c r="EY108" s="182"/>
      <c r="EZ108" s="182"/>
      <c r="FA108" s="182"/>
      <c r="FB108" s="182"/>
      <c r="FC108" s="182"/>
      <c r="FD108" s="182"/>
      <c r="FE108" s="182"/>
      <c r="FF108" s="182"/>
      <c r="FG108" s="182"/>
      <c r="FH108" s="182"/>
      <c r="FI108" s="182"/>
      <c r="FJ108" s="182"/>
      <c r="FK108" s="182"/>
      <c r="FL108" s="182"/>
      <c r="FM108" s="182"/>
      <c r="FN108" s="182"/>
      <c r="FO108" s="182"/>
      <c r="FP108" s="182"/>
      <c r="FQ108" s="182"/>
      <c r="FR108" s="182"/>
      <c r="FS108" s="182"/>
      <c r="FT108" s="182"/>
      <c r="FU108" s="182"/>
      <c r="FV108" s="182"/>
      <c r="FW108" s="182"/>
      <c r="FX108" s="182"/>
      <c r="FY108" s="182"/>
      <c r="FZ108" s="182"/>
      <c r="GA108" s="182"/>
      <c r="GB108" s="182"/>
      <c r="GC108" s="182"/>
      <c r="GD108" s="182"/>
      <c r="GE108" s="182"/>
      <c r="GF108" s="182"/>
      <c r="GG108" s="182"/>
      <c r="GH108" s="182"/>
      <c r="GI108" s="182"/>
    </row>
    <row r="109" spans="1:191" s="183" customFormat="1" x14ac:dyDescent="0.2">
      <c r="A109" s="210" t="s">
        <v>38414</v>
      </c>
      <c r="B109" s="210" t="s">
        <v>18957</v>
      </c>
      <c r="C109" s="224" t="s">
        <v>22221</v>
      </c>
      <c r="D109" s="211" t="s">
        <v>16</v>
      </c>
      <c r="E109" s="211">
        <v>1</v>
      </c>
      <c r="F109" s="211"/>
      <c r="G109" s="211">
        <v>0.3</v>
      </c>
      <c r="H109" s="212"/>
      <c r="I109" s="213"/>
      <c r="J109" s="272">
        <v>4197.5200000000004</v>
      </c>
      <c r="K109" s="112">
        <f t="shared" si="14"/>
        <v>4197.5200000000004</v>
      </c>
      <c r="L109" s="273">
        <f>BDI!$E$17</f>
        <v>0.11260000000000001</v>
      </c>
      <c r="M109" s="213"/>
      <c r="N109" s="213"/>
      <c r="O109" s="114">
        <f t="shared" si="15"/>
        <v>4670.16</v>
      </c>
      <c r="P109" s="113">
        <f t="shared" si="16"/>
        <v>1401.05</v>
      </c>
      <c r="Q109" s="209"/>
      <c r="R109" s="203"/>
      <c r="S109" s="182"/>
      <c r="T109" s="182"/>
      <c r="U109" s="182"/>
      <c r="V109" s="182"/>
      <c r="W109" s="182"/>
      <c r="X109" s="182"/>
      <c r="Y109" s="182"/>
      <c r="Z109" s="182"/>
      <c r="AA109" s="182"/>
      <c r="AB109" s="182"/>
      <c r="AC109" s="182"/>
      <c r="AD109" s="182"/>
      <c r="AE109" s="182"/>
      <c r="AF109" s="182"/>
      <c r="AG109" s="182"/>
      <c r="AH109" s="182"/>
      <c r="AI109" s="182"/>
      <c r="AJ109" s="182"/>
      <c r="AK109" s="182"/>
      <c r="AL109" s="182"/>
      <c r="AM109" s="182"/>
      <c r="AN109" s="182"/>
      <c r="AO109" s="182"/>
      <c r="AP109" s="182"/>
      <c r="AQ109" s="182"/>
      <c r="AR109" s="182"/>
      <c r="AS109" s="182"/>
      <c r="AT109" s="182"/>
      <c r="AU109" s="182"/>
      <c r="AV109" s="182"/>
      <c r="AW109" s="182"/>
      <c r="AX109" s="182"/>
      <c r="AY109" s="182"/>
      <c r="AZ109" s="182"/>
      <c r="BA109" s="182"/>
      <c r="BB109" s="182"/>
      <c r="BC109" s="182"/>
      <c r="BD109" s="182"/>
      <c r="BE109" s="182"/>
      <c r="BF109" s="182"/>
      <c r="BG109" s="182"/>
      <c r="BH109" s="182"/>
      <c r="BI109" s="182"/>
      <c r="BJ109" s="182"/>
      <c r="BK109" s="182"/>
      <c r="BL109" s="182"/>
      <c r="BM109" s="182"/>
      <c r="BN109" s="182"/>
      <c r="BO109" s="182"/>
      <c r="BP109" s="182"/>
      <c r="BQ109" s="182"/>
      <c r="BR109" s="182"/>
      <c r="BS109" s="182"/>
      <c r="BT109" s="182"/>
      <c r="BU109" s="182"/>
      <c r="BV109" s="182"/>
      <c r="BW109" s="182"/>
      <c r="BX109" s="182"/>
      <c r="BY109" s="182"/>
      <c r="BZ109" s="182"/>
      <c r="CA109" s="182"/>
      <c r="CB109" s="182"/>
      <c r="CC109" s="182"/>
      <c r="CD109" s="182"/>
      <c r="CE109" s="182"/>
      <c r="CF109" s="182"/>
      <c r="CG109" s="182"/>
      <c r="CH109" s="182"/>
      <c r="CI109" s="182"/>
      <c r="CJ109" s="182"/>
      <c r="CK109" s="182"/>
      <c r="CL109" s="182"/>
      <c r="CM109" s="182"/>
      <c r="CN109" s="182"/>
      <c r="CO109" s="182"/>
      <c r="CP109" s="182"/>
      <c r="CQ109" s="182"/>
      <c r="CR109" s="182"/>
      <c r="CS109" s="182"/>
      <c r="CT109" s="182"/>
      <c r="CU109" s="182"/>
      <c r="CV109" s="182"/>
      <c r="CW109" s="182"/>
      <c r="CX109" s="182"/>
      <c r="CY109" s="182"/>
      <c r="CZ109" s="182"/>
      <c r="DA109" s="182"/>
      <c r="DB109" s="182"/>
      <c r="DC109" s="182"/>
      <c r="DD109" s="182"/>
      <c r="DE109" s="182"/>
      <c r="DF109" s="182"/>
      <c r="DG109" s="182"/>
      <c r="DH109" s="182"/>
      <c r="DI109" s="182"/>
      <c r="DJ109" s="182"/>
      <c r="DK109" s="182"/>
      <c r="DL109" s="182"/>
      <c r="DM109" s="182"/>
      <c r="DN109" s="182"/>
      <c r="DO109" s="182"/>
      <c r="DP109" s="182"/>
      <c r="DQ109" s="182"/>
      <c r="DR109" s="182"/>
      <c r="DS109" s="182"/>
      <c r="DT109" s="182"/>
      <c r="DU109" s="182"/>
      <c r="DV109" s="182"/>
      <c r="DW109" s="182"/>
      <c r="DX109" s="182"/>
      <c r="DY109" s="182"/>
      <c r="DZ109" s="182"/>
      <c r="EA109" s="182"/>
      <c r="EB109" s="182"/>
      <c r="EC109" s="182"/>
      <c r="ED109" s="182"/>
      <c r="EE109" s="182"/>
      <c r="EF109" s="182"/>
      <c r="EG109" s="182"/>
      <c r="EH109" s="182"/>
      <c r="EI109" s="182"/>
      <c r="EJ109" s="182"/>
      <c r="EK109" s="182"/>
      <c r="EL109" s="182"/>
      <c r="EM109" s="182"/>
      <c r="EN109" s="182"/>
      <c r="EO109" s="182"/>
      <c r="EP109" s="182"/>
      <c r="EQ109" s="182"/>
      <c r="ER109" s="182"/>
      <c r="ES109" s="182"/>
      <c r="ET109" s="182"/>
      <c r="EU109" s="182"/>
      <c r="EV109" s="182"/>
      <c r="EW109" s="182"/>
      <c r="EX109" s="182"/>
      <c r="EY109" s="182"/>
      <c r="EZ109" s="182"/>
      <c r="FA109" s="182"/>
      <c r="FB109" s="182"/>
      <c r="FC109" s="182"/>
      <c r="FD109" s="182"/>
      <c r="FE109" s="182"/>
      <c r="FF109" s="182"/>
      <c r="FG109" s="182"/>
      <c r="FH109" s="182"/>
      <c r="FI109" s="182"/>
      <c r="FJ109" s="182"/>
      <c r="FK109" s="182"/>
      <c r="FL109" s="182"/>
      <c r="FM109" s="182"/>
      <c r="FN109" s="182"/>
      <c r="FO109" s="182"/>
      <c r="FP109" s="182"/>
      <c r="FQ109" s="182"/>
      <c r="FR109" s="182"/>
      <c r="FS109" s="182"/>
      <c r="FT109" s="182"/>
      <c r="FU109" s="182"/>
      <c r="FV109" s="182"/>
      <c r="FW109" s="182"/>
      <c r="FX109" s="182"/>
      <c r="FY109" s="182"/>
      <c r="FZ109" s="182"/>
      <c r="GA109" s="182"/>
      <c r="GB109" s="182"/>
      <c r="GC109" s="182"/>
      <c r="GD109" s="182"/>
      <c r="GE109" s="182"/>
      <c r="GF109" s="182"/>
      <c r="GG109" s="182"/>
      <c r="GH109" s="182"/>
      <c r="GI109" s="182"/>
    </row>
    <row r="110" spans="1:191" s="183" customFormat="1" x14ac:dyDescent="0.2">
      <c r="A110" s="210" t="s">
        <v>38415</v>
      </c>
      <c r="B110" s="210" t="s">
        <v>18958</v>
      </c>
      <c r="C110" s="224" t="s">
        <v>22222</v>
      </c>
      <c r="D110" s="211" t="s">
        <v>16</v>
      </c>
      <c r="E110" s="211">
        <v>1</v>
      </c>
      <c r="F110" s="211"/>
      <c r="G110" s="211">
        <v>0.3</v>
      </c>
      <c r="H110" s="212"/>
      <c r="I110" s="213"/>
      <c r="J110" s="272">
        <v>4858.42</v>
      </c>
      <c r="K110" s="112">
        <f t="shared" si="14"/>
        <v>4858.42</v>
      </c>
      <c r="L110" s="273">
        <f>BDI!$E$17</f>
        <v>0.11260000000000001</v>
      </c>
      <c r="M110" s="213"/>
      <c r="N110" s="213"/>
      <c r="O110" s="114">
        <f t="shared" si="15"/>
        <v>5405.48</v>
      </c>
      <c r="P110" s="113">
        <f t="shared" si="16"/>
        <v>1621.64</v>
      </c>
      <c r="Q110" s="209"/>
      <c r="R110" s="203"/>
      <c r="S110" s="182"/>
      <c r="T110" s="182"/>
      <c r="U110" s="182"/>
      <c r="V110" s="182"/>
      <c r="W110" s="182"/>
      <c r="X110" s="182"/>
      <c r="Y110" s="182"/>
      <c r="Z110" s="182"/>
      <c r="AA110" s="182"/>
      <c r="AB110" s="182"/>
      <c r="AC110" s="182"/>
      <c r="AD110" s="182"/>
      <c r="AE110" s="182"/>
      <c r="AF110" s="182"/>
      <c r="AG110" s="182"/>
      <c r="AH110" s="182"/>
      <c r="AI110" s="182"/>
      <c r="AJ110" s="182"/>
      <c r="AK110" s="182"/>
      <c r="AL110" s="182"/>
      <c r="AM110" s="182"/>
      <c r="AN110" s="182"/>
      <c r="AO110" s="182"/>
      <c r="AP110" s="182"/>
      <c r="AQ110" s="182"/>
      <c r="AR110" s="182"/>
      <c r="AS110" s="182"/>
      <c r="AT110" s="182"/>
      <c r="AU110" s="182"/>
      <c r="AV110" s="182"/>
      <c r="AW110" s="182"/>
      <c r="AX110" s="182"/>
      <c r="AY110" s="182"/>
      <c r="AZ110" s="182"/>
      <c r="BA110" s="182"/>
      <c r="BB110" s="182"/>
      <c r="BC110" s="182"/>
      <c r="BD110" s="182"/>
      <c r="BE110" s="182"/>
      <c r="BF110" s="182"/>
      <c r="BG110" s="182"/>
      <c r="BH110" s="182"/>
      <c r="BI110" s="182"/>
      <c r="BJ110" s="182"/>
      <c r="BK110" s="182"/>
      <c r="BL110" s="182"/>
      <c r="BM110" s="182"/>
      <c r="BN110" s="182"/>
      <c r="BO110" s="182"/>
      <c r="BP110" s="182"/>
      <c r="BQ110" s="182"/>
      <c r="BR110" s="182"/>
      <c r="BS110" s="182"/>
      <c r="BT110" s="182"/>
      <c r="BU110" s="182"/>
      <c r="BV110" s="182"/>
      <c r="BW110" s="182"/>
      <c r="BX110" s="182"/>
      <c r="BY110" s="182"/>
      <c r="BZ110" s="182"/>
      <c r="CA110" s="182"/>
      <c r="CB110" s="182"/>
      <c r="CC110" s="182"/>
      <c r="CD110" s="182"/>
      <c r="CE110" s="182"/>
      <c r="CF110" s="182"/>
      <c r="CG110" s="182"/>
      <c r="CH110" s="182"/>
      <c r="CI110" s="182"/>
      <c r="CJ110" s="182"/>
      <c r="CK110" s="182"/>
      <c r="CL110" s="182"/>
      <c r="CM110" s="182"/>
      <c r="CN110" s="182"/>
      <c r="CO110" s="182"/>
      <c r="CP110" s="182"/>
      <c r="CQ110" s="182"/>
      <c r="CR110" s="182"/>
      <c r="CS110" s="182"/>
      <c r="CT110" s="182"/>
      <c r="CU110" s="182"/>
      <c r="CV110" s="182"/>
      <c r="CW110" s="182"/>
      <c r="CX110" s="182"/>
      <c r="CY110" s="182"/>
      <c r="CZ110" s="182"/>
      <c r="DA110" s="182"/>
      <c r="DB110" s="182"/>
      <c r="DC110" s="182"/>
      <c r="DD110" s="182"/>
      <c r="DE110" s="182"/>
      <c r="DF110" s="182"/>
      <c r="DG110" s="182"/>
      <c r="DH110" s="182"/>
      <c r="DI110" s="182"/>
      <c r="DJ110" s="182"/>
      <c r="DK110" s="182"/>
      <c r="DL110" s="182"/>
      <c r="DM110" s="182"/>
      <c r="DN110" s="182"/>
      <c r="DO110" s="182"/>
      <c r="DP110" s="182"/>
      <c r="DQ110" s="182"/>
      <c r="DR110" s="182"/>
      <c r="DS110" s="182"/>
      <c r="DT110" s="182"/>
      <c r="DU110" s="182"/>
      <c r="DV110" s="182"/>
      <c r="DW110" s="182"/>
      <c r="DX110" s="182"/>
      <c r="DY110" s="182"/>
      <c r="DZ110" s="182"/>
      <c r="EA110" s="182"/>
      <c r="EB110" s="182"/>
      <c r="EC110" s="182"/>
      <c r="ED110" s="182"/>
      <c r="EE110" s="182"/>
      <c r="EF110" s="182"/>
      <c r="EG110" s="182"/>
      <c r="EH110" s="182"/>
      <c r="EI110" s="182"/>
      <c r="EJ110" s="182"/>
      <c r="EK110" s="182"/>
      <c r="EL110" s="182"/>
      <c r="EM110" s="182"/>
      <c r="EN110" s="182"/>
      <c r="EO110" s="182"/>
      <c r="EP110" s="182"/>
      <c r="EQ110" s="182"/>
      <c r="ER110" s="182"/>
      <c r="ES110" s="182"/>
      <c r="ET110" s="182"/>
      <c r="EU110" s="182"/>
      <c r="EV110" s="182"/>
      <c r="EW110" s="182"/>
      <c r="EX110" s="182"/>
      <c r="EY110" s="182"/>
      <c r="EZ110" s="182"/>
      <c r="FA110" s="182"/>
      <c r="FB110" s="182"/>
      <c r="FC110" s="182"/>
      <c r="FD110" s="182"/>
      <c r="FE110" s="182"/>
      <c r="FF110" s="182"/>
      <c r="FG110" s="182"/>
      <c r="FH110" s="182"/>
      <c r="FI110" s="182"/>
      <c r="FJ110" s="182"/>
      <c r="FK110" s="182"/>
      <c r="FL110" s="182"/>
      <c r="FM110" s="182"/>
      <c r="FN110" s="182"/>
      <c r="FO110" s="182"/>
      <c r="FP110" s="182"/>
      <c r="FQ110" s="182"/>
      <c r="FR110" s="182"/>
      <c r="FS110" s="182"/>
      <c r="FT110" s="182"/>
      <c r="FU110" s="182"/>
      <c r="FV110" s="182"/>
      <c r="FW110" s="182"/>
      <c r="FX110" s="182"/>
      <c r="FY110" s="182"/>
      <c r="FZ110" s="182"/>
      <c r="GA110" s="182"/>
      <c r="GB110" s="182"/>
      <c r="GC110" s="182"/>
      <c r="GD110" s="182"/>
      <c r="GE110" s="182"/>
      <c r="GF110" s="182"/>
      <c r="GG110" s="182"/>
      <c r="GH110" s="182"/>
      <c r="GI110" s="182"/>
    </row>
    <row r="111" spans="1:191" s="183" customFormat="1" x14ac:dyDescent="0.2">
      <c r="A111" s="210" t="s">
        <v>38416</v>
      </c>
      <c r="B111" s="210" t="s">
        <v>18959</v>
      </c>
      <c r="C111" s="224" t="s">
        <v>22223</v>
      </c>
      <c r="D111" s="211" t="s">
        <v>16</v>
      </c>
      <c r="E111" s="211">
        <v>1</v>
      </c>
      <c r="F111" s="211"/>
      <c r="G111" s="211">
        <v>0.3</v>
      </c>
      <c r="H111" s="212"/>
      <c r="I111" s="213"/>
      <c r="J111" s="272">
        <v>21511.51</v>
      </c>
      <c r="K111" s="112">
        <f t="shared" si="14"/>
        <v>21511.51</v>
      </c>
      <c r="L111" s="273">
        <f>BDI!$E$17</f>
        <v>0.11260000000000001</v>
      </c>
      <c r="M111" s="213"/>
      <c r="N111" s="213"/>
      <c r="O111" s="114">
        <f t="shared" si="15"/>
        <v>23933.71</v>
      </c>
      <c r="P111" s="113">
        <f t="shared" si="16"/>
        <v>7180.11</v>
      </c>
      <c r="Q111" s="209"/>
      <c r="R111" s="203"/>
      <c r="S111" s="182"/>
      <c r="T111" s="182"/>
      <c r="U111" s="182"/>
      <c r="V111" s="182"/>
      <c r="W111" s="182"/>
      <c r="X111" s="182"/>
      <c r="Y111" s="182"/>
      <c r="Z111" s="182"/>
      <c r="AA111" s="182"/>
      <c r="AB111" s="182"/>
      <c r="AC111" s="182"/>
      <c r="AD111" s="182"/>
      <c r="AE111" s="182"/>
      <c r="AF111" s="182"/>
      <c r="AG111" s="182"/>
      <c r="AH111" s="182"/>
      <c r="AI111" s="182"/>
      <c r="AJ111" s="182"/>
      <c r="AK111" s="182"/>
      <c r="AL111" s="182"/>
      <c r="AM111" s="182"/>
      <c r="AN111" s="182"/>
      <c r="AO111" s="182"/>
      <c r="AP111" s="182"/>
      <c r="AQ111" s="182"/>
      <c r="AR111" s="182"/>
      <c r="AS111" s="182"/>
      <c r="AT111" s="182"/>
      <c r="AU111" s="182"/>
      <c r="AV111" s="182"/>
      <c r="AW111" s="182"/>
      <c r="AX111" s="182"/>
      <c r="AY111" s="182"/>
      <c r="AZ111" s="182"/>
      <c r="BA111" s="182"/>
      <c r="BB111" s="182"/>
      <c r="BC111" s="182"/>
      <c r="BD111" s="182"/>
      <c r="BE111" s="182"/>
      <c r="BF111" s="182"/>
      <c r="BG111" s="182"/>
      <c r="BH111" s="182"/>
      <c r="BI111" s="182"/>
      <c r="BJ111" s="182"/>
      <c r="BK111" s="182"/>
      <c r="BL111" s="182"/>
      <c r="BM111" s="182"/>
      <c r="BN111" s="182"/>
      <c r="BO111" s="182"/>
      <c r="BP111" s="182"/>
      <c r="BQ111" s="182"/>
      <c r="BR111" s="182"/>
      <c r="BS111" s="182"/>
      <c r="BT111" s="182"/>
      <c r="BU111" s="182"/>
      <c r="BV111" s="182"/>
      <c r="BW111" s="182"/>
      <c r="BX111" s="182"/>
      <c r="BY111" s="182"/>
      <c r="BZ111" s="182"/>
      <c r="CA111" s="182"/>
      <c r="CB111" s="182"/>
      <c r="CC111" s="182"/>
      <c r="CD111" s="182"/>
      <c r="CE111" s="182"/>
      <c r="CF111" s="182"/>
      <c r="CG111" s="182"/>
      <c r="CH111" s="182"/>
      <c r="CI111" s="182"/>
      <c r="CJ111" s="182"/>
      <c r="CK111" s="182"/>
      <c r="CL111" s="182"/>
      <c r="CM111" s="182"/>
      <c r="CN111" s="182"/>
      <c r="CO111" s="182"/>
      <c r="CP111" s="182"/>
      <c r="CQ111" s="182"/>
      <c r="CR111" s="182"/>
      <c r="CS111" s="182"/>
      <c r="CT111" s="182"/>
      <c r="CU111" s="182"/>
      <c r="CV111" s="182"/>
      <c r="CW111" s="182"/>
      <c r="CX111" s="182"/>
      <c r="CY111" s="182"/>
      <c r="CZ111" s="182"/>
      <c r="DA111" s="182"/>
      <c r="DB111" s="182"/>
      <c r="DC111" s="182"/>
      <c r="DD111" s="182"/>
      <c r="DE111" s="182"/>
      <c r="DF111" s="182"/>
      <c r="DG111" s="182"/>
      <c r="DH111" s="182"/>
      <c r="DI111" s="182"/>
      <c r="DJ111" s="182"/>
      <c r="DK111" s="182"/>
      <c r="DL111" s="182"/>
      <c r="DM111" s="182"/>
      <c r="DN111" s="182"/>
      <c r="DO111" s="182"/>
      <c r="DP111" s="182"/>
      <c r="DQ111" s="182"/>
      <c r="DR111" s="182"/>
      <c r="DS111" s="182"/>
      <c r="DT111" s="182"/>
      <c r="DU111" s="182"/>
      <c r="DV111" s="182"/>
      <c r="DW111" s="182"/>
      <c r="DX111" s="182"/>
      <c r="DY111" s="182"/>
      <c r="DZ111" s="182"/>
      <c r="EA111" s="182"/>
      <c r="EB111" s="182"/>
      <c r="EC111" s="182"/>
      <c r="ED111" s="182"/>
      <c r="EE111" s="182"/>
      <c r="EF111" s="182"/>
      <c r="EG111" s="182"/>
      <c r="EH111" s="182"/>
      <c r="EI111" s="182"/>
      <c r="EJ111" s="182"/>
      <c r="EK111" s="182"/>
      <c r="EL111" s="182"/>
      <c r="EM111" s="182"/>
      <c r="EN111" s="182"/>
      <c r="EO111" s="182"/>
      <c r="EP111" s="182"/>
      <c r="EQ111" s="182"/>
      <c r="ER111" s="182"/>
      <c r="ES111" s="182"/>
      <c r="ET111" s="182"/>
      <c r="EU111" s="182"/>
      <c r="EV111" s="182"/>
      <c r="EW111" s="182"/>
      <c r="EX111" s="182"/>
      <c r="EY111" s="182"/>
      <c r="EZ111" s="182"/>
      <c r="FA111" s="182"/>
      <c r="FB111" s="182"/>
      <c r="FC111" s="182"/>
      <c r="FD111" s="182"/>
      <c r="FE111" s="182"/>
      <c r="FF111" s="182"/>
      <c r="FG111" s="182"/>
      <c r="FH111" s="182"/>
      <c r="FI111" s="182"/>
      <c r="FJ111" s="182"/>
      <c r="FK111" s="182"/>
      <c r="FL111" s="182"/>
      <c r="FM111" s="182"/>
      <c r="FN111" s="182"/>
      <c r="FO111" s="182"/>
      <c r="FP111" s="182"/>
      <c r="FQ111" s="182"/>
      <c r="FR111" s="182"/>
      <c r="FS111" s="182"/>
      <c r="FT111" s="182"/>
      <c r="FU111" s="182"/>
      <c r="FV111" s="182"/>
      <c r="FW111" s="182"/>
      <c r="FX111" s="182"/>
      <c r="FY111" s="182"/>
      <c r="FZ111" s="182"/>
      <c r="GA111" s="182"/>
      <c r="GB111" s="182"/>
      <c r="GC111" s="182"/>
      <c r="GD111" s="182"/>
      <c r="GE111" s="182"/>
      <c r="GF111" s="182"/>
      <c r="GG111" s="182"/>
      <c r="GH111" s="182"/>
      <c r="GI111" s="182"/>
    </row>
    <row r="112" spans="1:191" s="183" customFormat="1" x14ac:dyDescent="0.2">
      <c r="A112" s="210" t="s">
        <v>38417</v>
      </c>
      <c r="B112" s="210" t="s">
        <v>18960</v>
      </c>
      <c r="C112" s="224" t="s">
        <v>22224</v>
      </c>
      <c r="D112" s="211" t="s">
        <v>16</v>
      </c>
      <c r="E112" s="211">
        <v>2</v>
      </c>
      <c r="F112" s="211"/>
      <c r="G112" s="211">
        <v>0.3</v>
      </c>
      <c r="H112" s="212"/>
      <c r="I112" s="213"/>
      <c r="J112" s="272">
        <v>1182.17</v>
      </c>
      <c r="K112" s="112">
        <f t="shared" si="14"/>
        <v>2364.34</v>
      </c>
      <c r="L112" s="273">
        <f>BDI!$E$17</f>
        <v>0.11260000000000001</v>
      </c>
      <c r="M112" s="213"/>
      <c r="N112" s="213"/>
      <c r="O112" s="114">
        <f t="shared" si="15"/>
        <v>1315.28</v>
      </c>
      <c r="P112" s="113">
        <f t="shared" si="16"/>
        <v>789.17</v>
      </c>
      <c r="Q112" s="209"/>
      <c r="R112" s="203"/>
      <c r="S112" s="182"/>
      <c r="T112" s="182"/>
      <c r="U112" s="182"/>
      <c r="V112" s="182"/>
      <c r="W112" s="182"/>
      <c r="X112" s="182"/>
      <c r="Y112" s="182"/>
      <c r="Z112" s="182"/>
      <c r="AA112" s="182"/>
      <c r="AB112" s="182"/>
      <c r="AC112" s="182"/>
      <c r="AD112" s="182"/>
      <c r="AE112" s="182"/>
      <c r="AF112" s="182"/>
      <c r="AG112" s="182"/>
      <c r="AH112" s="182"/>
      <c r="AI112" s="182"/>
      <c r="AJ112" s="182"/>
      <c r="AK112" s="182"/>
      <c r="AL112" s="182"/>
      <c r="AM112" s="182"/>
      <c r="AN112" s="182"/>
      <c r="AO112" s="182"/>
      <c r="AP112" s="182"/>
      <c r="AQ112" s="182"/>
      <c r="AR112" s="182"/>
      <c r="AS112" s="182"/>
      <c r="AT112" s="182"/>
      <c r="AU112" s="182"/>
      <c r="AV112" s="182"/>
      <c r="AW112" s="182"/>
      <c r="AX112" s="182"/>
      <c r="AY112" s="182"/>
      <c r="AZ112" s="182"/>
      <c r="BA112" s="182"/>
      <c r="BB112" s="182"/>
      <c r="BC112" s="182"/>
      <c r="BD112" s="182"/>
      <c r="BE112" s="182"/>
      <c r="BF112" s="182"/>
      <c r="BG112" s="182"/>
      <c r="BH112" s="182"/>
      <c r="BI112" s="182"/>
      <c r="BJ112" s="182"/>
      <c r="BK112" s="182"/>
      <c r="BL112" s="182"/>
      <c r="BM112" s="182"/>
      <c r="BN112" s="182"/>
      <c r="BO112" s="182"/>
      <c r="BP112" s="182"/>
      <c r="BQ112" s="182"/>
      <c r="BR112" s="182"/>
      <c r="BS112" s="182"/>
      <c r="BT112" s="182"/>
      <c r="BU112" s="182"/>
      <c r="BV112" s="182"/>
      <c r="BW112" s="182"/>
      <c r="BX112" s="182"/>
      <c r="BY112" s="182"/>
      <c r="BZ112" s="182"/>
      <c r="CA112" s="182"/>
      <c r="CB112" s="182"/>
      <c r="CC112" s="182"/>
      <c r="CD112" s="182"/>
      <c r="CE112" s="182"/>
      <c r="CF112" s="182"/>
      <c r="CG112" s="182"/>
      <c r="CH112" s="182"/>
      <c r="CI112" s="182"/>
      <c r="CJ112" s="182"/>
      <c r="CK112" s="182"/>
      <c r="CL112" s="182"/>
      <c r="CM112" s="182"/>
      <c r="CN112" s="182"/>
      <c r="CO112" s="182"/>
      <c r="CP112" s="182"/>
      <c r="CQ112" s="182"/>
      <c r="CR112" s="182"/>
      <c r="CS112" s="182"/>
      <c r="CT112" s="182"/>
      <c r="CU112" s="182"/>
      <c r="CV112" s="182"/>
      <c r="CW112" s="182"/>
      <c r="CX112" s="182"/>
      <c r="CY112" s="182"/>
      <c r="CZ112" s="182"/>
      <c r="DA112" s="182"/>
      <c r="DB112" s="182"/>
      <c r="DC112" s="182"/>
      <c r="DD112" s="182"/>
      <c r="DE112" s="182"/>
      <c r="DF112" s="182"/>
      <c r="DG112" s="182"/>
      <c r="DH112" s="182"/>
      <c r="DI112" s="182"/>
      <c r="DJ112" s="182"/>
      <c r="DK112" s="182"/>
      <c r="DL112" s="182"/>
      <c r="DM112" s="182"/>
      <c r="DN112" s="182"/>
      <c r="DO112" s="182"/>
      <c r="DP112" s="182"/>
      <c r="DQ112" s="182"/>
      <c r="DR112" s="182"/>
      <c r="DS112" s="182"/>
      <c r="DT112" s="182"/>
      <c r="DU112" s="182"/>
      <c r="DV112" s="182"/>
      <c r="DW112" s="182"/>
      <c r="DX112" s="182"/>
      <c r="DY112" s="182"/>
      <c r="DZ112" s="182"/>
      <c r="EA112" s="182"/>
      <c r="EB112" s="182"/>
      <c r="EC112" s="182"/>
      <c r="ED112" s="182"/>
      <c r="EE112" s="182"/>
      <c r="EF112" s="182"/>
      <c r="EG112" s="182"/>
      <c r="EH112" s="182"/>
      <c r="EI112" s="182"/>
      <c r="EJ112" s="182"/>
      <c r="EK112" s="182"/>
      <c r="EL112" s="182"/>
      <c r="EM112" s="182"/>
      <c r="EN112" s="182"/>
      <c r="EO112" s="182"/>
      <c r="EP112" s="182"/>
      <c r="EQ112" s="182"/>
      <c r="ER112" s="182"/>
      <c r="ES112" s="182"/>
      <c r="ET112" s="182"/>
      <c r="EU112" s="182"/>
      <c r="EV112" s="182"/>
      <c r="EW112" s="182"/>
      <c r="EX112" s="182"/>
      <c r="EY112" s="182"/>
      <c r="EZ112" s="182"/>
      <c r="FA112" s="182"/>
      <c r="FB112" s="182"/>
      <c r="FC112" s="182"/>
      <c r="FD112" s="182"/>
      <c r="FE112" s="182"/>
      <c r="FF112" s="182"/>
      <c r="FG112" s="182"/>
      <c r="FH112" s="182"/>
      <c r="FI112" s="182"/>
      <c r="FJ112" s="182"/>
      <c r="FK112" s="182"/>
      <c r="FL112" s="182"/>
      <c r="FM112" s="182"/>
      <c r="FN112" s="182"/>
      <c r="FO112" s="182"/>
      <c r="FP112" s="182"/>
      <c r="FQ112" s="182"/>
      <c r="FR112" s="182"/>
      <c r="FS112" s="182"/>
      <c r="FT112" s="182"/>
      <c r="FU112" s="182"/>
      <c r="FV112" s="182"/>
      <c r="FW112" s="182"/>
      <c r="FX112" s="182"/>
      <c r="FY112" s="182"/>
      <c r="FZ112" s="182"/>
      <c r="GA112" s="182"/>
      <c r="GB112" s="182"/>
      <c r="GC112" s="182"/>
      <c r="GD112" s="182"/>
      <c r="GE112" s="182"/>
      <c r="GF112" s="182"/>
      <c r="GG112" s="182"/>
      <c r="GH112" s="182"/>
      <c r="GI112" s="182"/>
    </row>
    <row r="113" spans="1:191" s="183" customFormat="1" x14ac:dyDescent="0.2">
      <c r="A113" s="210" t="s">
        <v>38418</v>
      </c>
      <c r="B113" s="210" t="s">
        <v>18961</v>
      </c>
      <c r="C113" s="224" t="s">
        <v>22225</v>
      </c>
      <c r="D113" s="211" t="s">
        <v>16</v>
      </c>
      <c r="E113" s="211">
        <v>1</v>
      </c>
      <c r="F113" s="211"/>
      <c r="G113" s="211">
        <v>0.3</v>
      </c>
      <c r="H113" s="212"/>
      <c r="I113" s="213"/>
      <c r="J113" s="272">
        <v>3381.28</v>
      </c>
      <c r="K113" s="112">
        <f t="shared" si="14"/>
        <v>3381.28</v>
      </c>
      <c r="L113" s="273">
        <f>BDI!$E$17</f>
        <v>0.11260000000000001</v>
      </c>
      <c r="M113" s="213"/>
      <c r="N113" s="213"/>
      <c r="O113" s="114">
        <f t="shared" si="15"/>
        <v>3762.01</v>
      </c>
      <c r="P113" s="113">
        <f t="shared" si="16"/>
        <v>1128.5999999999999</v>
      </c>
      <c r="Q113" s="209"/>
      <c r="R113" s="203"/>
      <c r="S113" s="182"/>
      <c r="T113" s="182"/>
      <c r="U113" s="182"/>
      <c r="V113" s="182"/>
      <c r="W113" s="182"/>
      <c r="X113" s="182"/>
      <c r="Y113" s="182"/>
      <c r="Z113" s="182"/>
      <c r="AA113" s="182"/>
      <c r="AB113" s="182"/>
      <c r="AC113" s="182"/>
      <c r="AD113" s="182"/>
      <c r="AE113" s="182"/>
      <c r="AF113" s="182"/>
      <c r="AG113" s="182"/>
      <c r="AH113" s="182"/>
      <c r="AI113" s="182"/>
      <c r="AJ113" s="182"/>
      <c r="AK113" s="182"/>
      <c r="AL113" s="182"/>
      <c r="AM113" s="182"/>
      <c r="AN113" s="182"/>
      <c r="AO113" s="182"/>
      <c r="AP113" s="182"/>
      <c r="AQ113" s="182"/>
      <c r="AR113" s="182"/>
      <c r="AS113" s="182"/>
      <c r="AT113" s="182"/>
      <c r="AU113" s="182"/>
      <c r="AV113" s="182"/>
      <c r="AW113" s="182"/>
      <c r="AX113" s="182"/>
      <c r="AY113" s="182"/>
      <c r="AZ113" s="182"/>
      <c r="BA113" s="182"/>
      <c r="BB113" s="182"/>
      <c r="BC113" s="182"/>
      <c r="BD113" s="182"/>
      <c r="BE113" s="182"/>
      <c r="BF113" s="182"/>
      <c r="BG113" s="182"/>
      <c r="BH113" s="182"/>
      <c r="BI113" s="182"/>
      <c r="BJ113" s="182"/>
      <c r="BK113" s="182"/>
      <c r="BL113" s="182"/>
      <c r="BM113" s="182"/>
      <c r="BN113" s="182"/>
      <c r="BO113" s="182"/>
      <c r="BP113" s="182"/>
      <c r="BQ113" s="182"/>
      <c r="BR113" s="182"/>
      <c r="BS113" s="182"/>
      <c r="BT113" s="182"/>
      <c r="BU113" s="182"/>
      <c r="BV113" s="182"/>
      <c r="BW113" s="182"/>
      <c r="BX113" s="182"/>
      <c r="BY113" s="182"/>
      <c r="BZ113" s="182"/>
      <c r="CA113" s="182"/>
      <c r="CB113" s="182"/>
      <c r="CC113" s="182"/>
      <c r="CD113" s="182"/>
      <c r="CE113" s="182"/>
      <c r="CF113" s="182"/>
      <c r="CG113" s="182"/>
      <c r="CH113" s="182"/>
      <c r="CI113" s="182"/>
      <c r="CJ113" s="182"/>
      <c r="CK113" s="182"/>
      <c r="CL113" s="182"/>
      <c r="CM113" s="182"/>
      <c r="CN113" s="182"/>
      <c r="CO113" s="182"/>
      <c r="CP113" s="182"/>
      <c r="CQ113" s="182"/>
      <c r="CR113" s="182"/>
      <c r="CS113" s="182"/>
      <c r="CT113" s="182"/>
      <c r="CU113" s="182"/>
      <c r="CV113" s="182"/>
      <c r="CW113" s="182"/>
      <c r="CX113" s="182"/>
      <c r="CY113" s="182"/>
      <c r="CZ113" s="182"/>
      <c r="DA113" s="182"/>
      <c r="DB113" s="182"/>
      <c r="DC113" s="182"/>
      <c r="DD113" s="182"/>
      <c r="DE113" s="182"/>
      <c r="DF113" s="182"/>
      <c r="DG113" s="182"/>
      <c r="DH113" s="182"/>
      <c r="DI113" s="182"/>
      <c r="DJ113" s="182"/>
      <c r="DK113" s="182"/>
      <c r="DL113" s="182"/>
      <c r="DM113" s="182"/>
      <c r="DN113" s="182"/>
      <c r="DO113" s="182"/>
      <c r="DP113" s="182"/>
      <c r="DQ113" s="182"/>
      <c r="DR113" s="182"/>
      <c r="DS113" s="182"/>
      <c r="DT113" s="182"/>
      <c r="DU113" s="182"/>
      <c r="DV113" s="182"/>
      <c r="DW113" s="182"/>
      <c r="DX113" s="182"/>
      <c r="DY113" s="182"/>
      <c r="DZ113" s="182"/>
      <c r="EA113" s="182"/>
      <c r="EB113" s="182"/>
      <c r="EC113" s="182"/>
      <c r="ED113" s="182"/>
      <c r="EE113" s="182"/>
      <c r="EF113" s="182"/>
      <c r="EG113" s="182"/>
      <c r="EH113" s="182"/>
      <c r="EI113" s="182"/>
      <c r="EJ113" s="182"/>
      <c r="EK113" s="182"/>
      <c r="EL113" s="182"/>
      <c r="EM113" s="182"/>
      <c r="EN113" s="182"/>
      <c r="EO113" s="182"/>
      <c r="EP113" s="182"/>
      <c r="EQ113" s="182"/>
      <c r="ER113" s="182"/>
      <c r="ES113" s="182"/>
      <c r="ET113" s="182"/>
      <c r="EU113" s="182"/>
      <c r="EV113" s="182"/>
      <c r="EW113" s="182"/>
      <c r="EX113" s="182"/>
      <c r="EY113" s="182"/>
      <c r="EZ113" s="182"/>
      <c r="FA113" s="182"/>
      <c r="FB113" s="182"/>
      <c r="FC113" s="182"/>
      <c r="FD113" s="182"/>
      <c r="FE113" s="182"/>
      <c r="FF113" s="182"/>
      <c r="FG113" s="182"/>
      <c r="FH113" s="182"/>
      <c r="FI113" s="182"/>
      <c r="FJ113" s="182"/>
      <c r="FK113" s="182"/>
      <c r="FL113" s="182"/>
      <c r="FM113" s="182"/>
      <c r="FN113" s="182"/>
      <c r="FO113" s="182"/>
      <c r="FP113" s="182"/>
      <c r="FQ113" s="182"/>
      <c r="FR113" s="182"/>
      <c r="FS113" s="182"/>
      <c r="FT113" s="182"/>
      <c r="FU113" s="182"/>
      <c r="FV113" s="182"/>
      <c r="FW113" s="182"/>
      <c r="FX113" s="182"/>
      <c r="FY113" s="182"/>
      <c r="FZ113" s="182"/>
      <c r="GA113" s="182"/>
      <c r="GB113" s="182"/>
      <c r="GC113" s="182"/>
      <c r="GD113" s="182"/>
      <c r="GE113" s="182"/>
      <c r="GF113" s="182"/>
      <c r="GG113" s="182"/>
      <c r="GH113" s="182"/>
      <c r="GI113" s="182"/>
    </row>
    <row r="114" spans="1:191" s="183" customFormat="1" x14ac:dyDescent="0.2">
      <c r="A114" s="210" t="s">
        <v>38419</v>
      </c>
      <c r="B114" s="210" t="s">
        <v>18962</v>
      </c>
      <c r="C114" s="224" t="s">
        <v>22226</v>
      </c>
      <c r="D114" s="211" t="s">
        <v>16</v>
      </c>
      <c r="E114" s="211">
        <v>3</v>
      </c>
      <c r="F114" s="211"/>
      <c r="G114" s="211">
        <v>0.3</v>
      </c>
      <c r="H114" s="212"/>
      <c r="I114" s="213"/>
      <c r="J114" s="272">
        <v>4520.2</v>
      </c>
      <c r="K114" s="112">
        <f t="shared" si="14"/>
        <v>13560.6</v>
      </c>
      <c r="L114" s="273">
        <f>BDI!$E$17</f>
        <v>0.11260000000000001</v>
      </c>
      <c r="M114" s="213"/>
      <c r="N114" s="213"/>
      <c r="O114" s="114">
        <f t="shared" si="15"/>
        <v>5029.17</v>
      </c>
      <c r="P114" s="113">
        <f t="shared" si="16"/>
        <v>4526.25</v>
      </c>
      <c r="Q114" s="209"/>
      <c r="R114" s="203"/>
      <c r="S114" s="182"/>
      <c r="T114" s="182"/>
      <c r="U114" s="182"/>
      <c r="V114" s="182"/>
      <c r="W114" s="182"/>
      <c r="X114" s="182"/>
      <c r="Y114" s="182"/>
      <c r="Z114" s="182"/>
      <c r="AA114" s="182"/>
      <c r="AB114" s="182"/>
      <c r="AC114" s="182"/>
      <c r="AD114" s="182"/>
      <c r="AE114" s="182"/>
      <c r="AF114" s="182"/>
      <c r="AG114" s="182"/>
      <c r="AH114" s="182"/>
      <c r="AI114" s="182"/>
      <c r="AJ114" s="182"/>
      <c r="AK114" s="182"/>
      <c r="AL114" s="182"/>
      <c r="AM114" s="182"/>
      <c r="AN114" s="182"/>
      <c r="AO114" s="182"/>
      <c r="AP114" s="182"/>
      <c r="AQ114" s="182"/>
      <c r="AR114" s="182"/>
      <c r="AS114" s="182"/>
      <c r="AT114" s="182"/>
      <c r="AU114" s="182"/>
      <c r="AV114" s="182"/>
      <c r="AW114" s="182"/>
      <c r="AX114" s="182"/>
      <c r="AY114" s="182"/>
      <c r="AZ114" s="182"/>
      <c r="BA114" s="182"/>
      <c r="BB114" s="182"/>
      <c r="BC114" s="182"/>
      <c r="BD114" s="182"/>
      <c r="BE114" s="182"/>
      <c r="BF114" s="182"/>
      <c r="BG114" s="182"/>
      <c r="BH114" s="182"/>
      <c r="BI114" s="182"/>
      <c r="BJ114" s="182"/>
      <c r="BK114" s="182"/>
      <c r="BL114" s="182"/>
      <c r="BM114" s="182"/>
      <c r="BN114" s="182"/>
      <c r="BO114" s="182"/>
      <c r="BP114" s="182"/>
      <c r="BQ114" s="182"/>
      <c r="BR114" s="182"/>
      <c r="BS114" s="182"/>
      <c r="BT114" s="182"/>
      <c r="BU114" s="182"/>
      <c r="BV114" s="182"/>
      <c r="BW114" s="182"/>
      <c r="BX114" s="182"/>
      <c r="BY114" s="182"/>
      <c r="BZ114" s="182"/>
      <c r="CA114" s="182"/>
      <c r="CB114" s="182"/>
      <c r="CC114" s="182"/>
      <c r="CD114" s="182"/>
      <c r="CE114" s="182"/>
      <c r="CF114" s="182"/>
      <c r="CG114" s="182"/>
      <c r="CH114" s="182"/>
      <c r="CI114" s="182"/>
      <c r="CJ114" s="182"/>
      <c r="CK114" s="182"/>
      <c r="CL114" s="182"/>
      <c r="CM114" s="182"/>
      <c r="CN114" s="182"/>
      <c r="CO114" s="182"/>
      <c r="CP114" s="182"/>
      <c r="CQ114" s="182"/>
      <c r="CR114" s="182"/>
      <c r="CS114" s="182"/>
      <c r="CT114" s="182"/>
      <c r="CU114" s="182"/>
      <c r="CV114" s="182"/>
      <c r="CW114" s="182"/>
      <c r="CX114" s="182"/>
      <c r="CY114" s="182"/>
      <c r="CZ114" s="182"/>
      <c r="DA114" s="182"/>
      <c r="DB114" s="182"/>
      <c r="DC114" s="182"/>
      <c r="DD114" s="182"/>
      <c r="DE114" s="182"/>
      <c r="DF114" s="182"/>
      <c r="DG114" s="182"/>
      <c r="DH114" s="182"/>
      <c r="DI114" s="182"/>
      <c r="DJ114" s="182"/>
      <c r="DK114" s="182"/>
      <c r="DL114" s="182"/>
      <c r="DM114" s="182"/>
      <c r="DN114" s="182"/>
      <c r="DO114" s="182"/>
      <c r="DP114" s="182"/>
      <c r="DQ114" s="182"/>
      <c r="DR114" s="182"/>
      <c r="DS114" s="182"/>
      <c r="DT114" s="182"/>
      <c r="DU114" s="182"/>
      <c r="DV114" s="182"/>
      <c r="DW114" s="182"/>
      <c r="DX114" s="182"/>
      <c r="DY114" s="182"/>
      <c r="DZ114" s="182"/>
      <c r="EA114" s="182"/>
      <c r="EB114" s="182"/>
      <c r="EC114" s="182"/>
      <c r="ED114" s="182"/>
      <c r="EE114" s="182"/>
      <c r="EF114" s="182"/>
      <c r="EG114" s="182"/>
      <c r="EH114" s="182"/>
      <c r="EI114" s="182"/>
      <c r="EJ114" s="182"/>
      <c r="EK114" s="182"/>
      <c r="EL114" s="182"/>
      <c r="EM114" s="182"/>
      <c r="EN114" s="182"/>
      <c r="EO114" s="182"/>
      <c r="EP114" s="182"/>
      <c r="EQ114" s="182"/>
      <c r="ER114" s="182"/>
      <c r="ES114" s="182"/>
      <c r="ET114" s="182"/>
      <c r="EU114" s="182"/>
      <c r="EV114" s="182"/>
      <c r="EW114" s="182"/>
      <c r="EX114" s="182"/>
      <c r="EY114" s="182"/>
      <c r="EZ114" s="182"/>
      <c r="FA114" s="182"/>
      <c r="FB114" s="182"/>
      <c r="FC114" s="182"/>
      <c r="FD114" s="182"/>
      <c r="FE114" s="182"/>
      <c r="FF114" s="182"/>
      <c r="FG114" s="182"/>
      <c r="FH114" s="182"/>
      <c r="FI114" s="182"/>
      <c r="FJ114" s="182"/>
      <c r="FK114" s="182"/>
      <c r="FL114" s="182"/>
      <c r="FM114" s="182"/>
      <c r="FN114" s="182"/>
      <c r="FO114" s="182"/>
      <c r="FP114" s="182"/>
      <c r="FQ114" s="182"/>
      <c r="FR114" s="182"/>
      <c r="FS114" s="182"/>
      <c r="FT114" s="182"/>
      <c r="FU114" s="182"/>
      <c r="FV114" s="182"/>
      <c r="FW114" s="182"/>
      <c r="FX114" s="182"/>
      <c r="FY114" s="182"/>
      <c r="FZ114" s="182"/>
      <c r="GA114" s="182"/>
      <c r="GB114" s="182"/>
      <c r="GC114" s="182"/>
      <c r="GD114" s="182"/>
      <c r="GE114" s="182"/>
      <c r="GF114" s="182"/>
      <c r="GG114" s="182"/>
      <c r="GH114" s="182"/>
      <c r="GI114" s="182"/>
    </row>
    <row r="115" spans="1:191" s="183" customFormat="1" ht="25.5" x14ac:dyDescent="0.2">
      <c r="A115" s="210" t="s">
        <v>38420</v>
      </c>
      <c r="B115" s="210" t="s">
        <v>18963</v>
      </c>
      <c r="C115" s="224" t="s">
        <v>22227</v>
      </c>
      <c r="D115" s="211" t="s">
        <v>16</v>
      </c>
      <c r="E115" s="211">
        <v>1</v>
      </c>
      <c r="F115" s="211"/>
      <c r="G115" s="211">
        <v>0.3</v>
      </c>
      <c r="H115" s="212"/>
      <c r="I115" s="213"/>
      <c r="J115" s="272">
        <v>13418.48</v>
      </c>
      <c r="K115" s="112">
        <f t="shared" si="14"/>
        <v>13418.48</v>
      </c>
      <c r="L115" s="273">
        <f>BDI!$E$17</f>
        <v>0.11260000000000001</v>
      </c>
      <c r="M115" s="213"/>
      <c r="N115" s="213"/>
      <c r="O115" s="114">
        <f t="shared" si="15"/>
        <v>14929.4</v>
      </c>
      <c r="P115" s="113">
        <f t="shared" si="16"/>
        <v>4478.82</v>
      </c>
      <c r="Q115" s="209"/>
      <c r="R115" s="203"/>
      <c r="S115" s="182"/>
      <c r="T115" s="182"/>
      <c r="U115" s="182"/>
      <c r="V115" s="182"/>
      <c r="W115" s="182"/>
      <c r="X115" s="182"/>
      <c r="Y115" s="182"/>
      <c r="Z115" s="182"/>
      <c r="AA115" s="182"/>
      <c r="AB115" s="182"/>
      <c r="AC115" s="182"/>
      <c r="AD115" s="182"/>
      <c r="AE115" s="182"/>
      <c r="AF115" s="182"/>
      <c r="AG115" s="182"/>
      <c r="AH115" s="182"/>
      <c r="AI115" s="182"/>
      <c r="AJ115" s="182"/>
      <c r="AK115" s="182"/>
      <c r="AL115" s="182"/>
      <c r="AM115" s="182"/>
      <c r="AN115" s="182"/>
      <c r="AO115" s="182"/>
      <c r="AP115" s="182"/>
      <c r="AQ115" s="182"/>
      <c r="AR115" s="182"/>
      <c r="AS115" s="182"/>
      <c r="AT115" s="182"/>
      <c r="AU115" s="182"/>
      <c r="AV115" s="182"/>
      <c r="AW115" s="182"/>
      <c r="AX115" s="182"/>
      <c r="AY115" s="182"/>
      <c r="AZ115" s="182"/>
      <c r="BA115" s="182"/>
      <c r="BB115" s="182"/>
      <c r="BC115" s="182"/>
      <c r="BD115" s="182"/>
      <c r="BE115" s="182"/>
      <c r="BF115" s="182"/>
      <c r="BG115" s="182"/>
      <c r="BH115" s="182"/>
      <c r="BI115" s="182"/>
      <c r="BJ115" s="182"/>
      <c r="BK115" s="182"/>
      <c r="BL115" s="182"/>
      <c r="BM115" s="182"/>
      <c r="BN115" s="182"/>
      <c r="BO115" s="182"/>
      <c r="BP115" s="182"/>
      <c r="BQ115" s="182"/>
      <c r="BR115" s="182"/>
      <c r="BS115" s="182"/>
      <c r="BT115" s="182"/>
      <c r="BU115" s="182"/>
      <c r="BV115" s="182"/>
      <c r="BW115" s="182"/>
      <c r="BX115" s="182"/>
      <c r="BY115" s="182"/>
      <c r="BZ115" s="182"/>
      <c r="CA115" s="182"/>
      <c r="CB115" s="182"/>
      <c r="CC115" s="182"/>
      <c r="CD115" s="182"/>
      <c r="CE115" s="182"/>
      <c r="CF115" s="182"/>
      <c r="CG115" s="182"/>
      <c r="CH115" s="182"/>
      <c r="CI115" s="182"/>
      <c r="CJ115" s="182"/>
      <c r="CK115" s="182"/>
      <c r="CL115" s="182"/>
      <c r="CM115" s="182"/>
      <c r="CN115" s="182"/>
      <c r="CO115" s="182"/>
      <c r="CP115" s="182"/>
      <c r="CQ115" s="182"/>
      <c r="CR115" s="182"/>
      <c r="CS115" s="182"/>
      <c r="CT115" s="182"/>
      <c r="CU115" s="182"/>
      <c r="CV115" s="182"/>
      <c r="CW115" s="182"/>
      <c r="CX115" s="182"/>
      <c r="CY115" s="182"/>
      <c r="CZ115" s="182"/>
      <c r="DA115" s="182"/>
      <c r="DB115" s="182"/>
      <c r="DC115" s="182"/>
      <c r="DD115" s="182"/>
      <c r="DE115" s="182"/>
      <c r="DF115" s="182"/>
      <c r="DG115" s="182"/>
      <c r="DH115" s="182"/>
      <c r="DI115" s="182"/>
      <c r="DJ115" s="182"/>
      <c r="DK115" s="182"/>
      <c r="DL115" s="182"/>
      <c r="DM115" s="182"/>
      <c r="DN115" s="182"/>
      <c r="DO115" s="182"/>
      <c r="DP115" s="182"/>
      <c r="DQ115" s="182"/>
      <c r="DR115" s="182"/>
      <c r="DS115" s="182"/>
      <c r="DT115" s="182"/>
      <c r="DU115" s="182"/>
      <c r="DV115" s="182"/>
      <c r="DW115" s="182"/>
      <c r="DX115" s="182"/>
      <c r="DY115" s="182"/>
      <c r="DZ115" s="182"/>
      <c r="EA115" s="182"/>
      <c r="EB115" s="182"/>
      <c r="EC115" s="182"/>
      <c r="ED115" s="182"/>
      <c r="EE115" s="182"/>
      <c r="EF115" s="182"/>
      <c r="EG115" s="182"/>
      <c r="EH115" s="182"/>
      <c r="EI115" s="182"/>
      <c r="EJ115" s="182"/>
      <c r="EK115" s="182"/>
      <c r="EL115" s="182"/>
      <c r="EM115" s="182"/>
      <c r="EN115" s="182"/>
      <c r="EO115" s="182"/>
      <c r="EP115" s="182"/>
      <c r="EQ115" s="182"/>
      <c r="ER115" s="182"/>
      <c r="ES115" s="182"/>
      <c r="ET115" s="182"/>
      <c r="EU115" s="182"/>
      <c r="EV115" s="182"/>
      <c r="EW115" s="182"/>
      <c r="EX115" s="182"/>
      <c r="EY115" s="182"/>
      <c r="EZ115" s="182"/>
      <c r="FA115" s="182"/>
      <c r="FB115" s="182"/>
      <c r="FC115" s="182"/>
      <c r="FD115" s="182"/>
      <c r="FE115" s="182"/>
      <c r="FF115" s="182"/>
      <c r="FG115" s="182"/>
      <c r="FH115" s="182"/>
      <c r="FI115" s="182"/>
      <c r="FJ115" s="182"/>
      <c r="FK115" s="182"/>
      <c r="FL115" s="182"/>
      <c r="FM115" s="182"/>
      <c r="FN115" s="182"/>
      <c r="FO115" s="182"/>
      <c r="FP115" s="182"/>
      <c r="FQ115" s="182"/>
      <c r="FR115" s="182"/>
      <c r="FS115" s="182"/>
      <c r="FT115" s="182"/>
      <c r="FU115" s="182"/>
      <c r="FV115" s="182"/>
      <c r="FW115" s="182"/>
      <c r="FX115" s="182"/>
      <c r="FY115" s="182"/>
      <c r="FZ115" s="182"/>
      <c r="GA115" s="182"/>
      <c r="GB115" s="182"/>
      <c r="GC115" s="182"/>
      <c r="GD115" s="182"/>
      <c r="GE115" s="182"/>
      <c r="GF115" s="182"/>
      <c r="GG115" s="182"/>
      <c r="GH115" s="182"/>
      <c r="GI115" s="182"/>
    </row>
    <row r="116" spans="1:191" s="183" customFormat="1" ht="25.5" x14ac:dyDescent="0.2">
      <c r="A116" s="210" t="s">
        <v>38421</v>
      </c>
      <c r="B116" s="210" t="s">
        <v>18964</v>
      </c>
      <c r="C116" s="224" t="s">
        <v>22228</v>
      </c>
      <c r="D116" s="211" t="s">
        <v>16</v>
      </c>
      <c r="E116" s="211">
        <v>1</v>
      </c>
      <c r="F116" s="211"/>
      <c r="G116" s="211">
        <v>0.3</v>
      </c>
      <c r="H116" s="212"/>
      <c r="I116" s="213"/>
      <c r="J116" s="272">
        <v>9785.4599999999991</v>
      </c>
      <c r="K116" s="112">
        <f t="shared" si="14"/>
        <v>9785.4599999999991</v>
      </c>
      <c r="L116" s="273">
        <f>BDI!$E$17</f>
        <v>0.11260000000000001</v>
      </c>
      <c r="M116" s="213"/>
      <c r="N116" s="213"/>
      <c r="O116" s="114">
        <f t="shared" si="15"/>
        <v>10887.3</v>
      </c>
      <c r="P116" s="113">
        <f t="shared" si="16"/>
        <v>3266.19</v>
      </c>
      <c r="Q116" s="209"/>
      <c r="R116" s="203"/>
      <c r="S116" s="182"/>
      <c r="T116" s="182"/>
      <c r="U116" s="182"/>
      <c r="V116" s="182"/>
      <c r="W116" s="182"/>
      <c r="X116" s="182"/>
      <c r="Y116" s="182"/>
      <c r="Z116" s="182"/>
      <c r="AA116" s="182"/>
      <c r="AB116" s="182"/>
      <c r="AC116" s="182"/>
      <c r="AD116" s="182"/>
      <c r="AE116" s="182"/>
      <c r="AF116" s="182"/>
      <c r="AG116" s="182"/>
      <c r="AH116" s="182"/>
      <c r="AI116" s="182"/>
      <c r="AJ116" s="182"/>
      <c r="AK116" s="182"/>
      <c r="AL116" s="182"/>
      <c r="AM116" s="182"/>
      <c r="AN116" s="182"/>
      <c r="AO116" s="182"/>
      <c r="AP116" s="182"/>
      <c r="AQ116" s="182"/>
      <c r="AR116" s="182"/>
      <c r="AS116" s="182"/>
      <c r="AT116" s="182"/>
      <c r="AU116" s="182"/>
      <c r="AV116" s="182"/>
      <c r="AW116" s="182"/>
      <c r="AX116" s="182"/>
      <c r="AY116" s="182"/>
      <c r="AZ116" s="182"/>
      <c r="BA116" s="182"/>
      <c r="BB116" s="182"/>
      <c r="BC116" s="182"/>
      <c r="BD116" s="182"/>
      <c r="BE116" s="182"/>
      <c r="BF116" s="182"/>
      <c r="BG116" s="182"/>
      <c r="BH116" s="182"/>
      <c r="BI116" s="182"/>
      <c r="BJ116" s="182"/>
      <c r="BK116" s="182"/>
      <c r="BL116" s="182"/>
      <c r="BM116" s="182"/>
      <c r="BN116" s="182"/>
      <c r="BO116" s="182"/>
      <c r="BP116" s="182"/>
      <c r="BQ116" s="182"/>
      <c r="BR116" s="182"/>
      <c r="BS116" s="182"/>
      <c r="BT116" s="182"/>
      <c r="BU116" s="182"/>
      <c r="BV116" s="182"/>
      <c r="BW116" s="182"/>
      <c r="BX116" s="182"/>
      <c r="BY116" s="182"/>
      <c r="BZ116" s="182"/>
      <c r="CA116" s="182"/>
      <c r="CB116" s="182"/>
      <c r="CC116" s="182"/>
      <c r="CD116" s="182"/>
      <c r="CE116" s="182"/>
      <c r="CF116" s="182"/>
      <c r="CG116" s="182"/>
      <c r="CH116" s="182"/>
      <c r="CI116" s="182"/>
      <c r="CJ116" s="182"/>
      <c r="CK116" s="182"/>
      <c r="CL116" s="182"/>
      <c r="CM116" s="182"/>
      <c r="CN116" s="182"/>
      <c r="CO116" s="182"/>
      <c r="CP116" s="182"/>
      <c r="CQ116" s="182"/>
      <c r="CR116" s="182"/>
      <c r="CS116" s="182"/>
      <c r="CT116" s="182"/>
      <c r="CU116" s="182"/>
      <c r="CV116" s="182"/>
      <c r="CW116" s="182"/>
      <c r="CX116" s="182"/>
      <c r="CY116" s="182"/>
      <c r="CZ116" s="182"/>
      <c r="DA116" s="182"/>
      <c r="DB116" s="182"/>
      <c r="DC116" s="182"/>
      <c r="DD116" s="182"/>
      <c r="DE116" s="182"/>
      <c r="DF116" s="182"/>
      <c r="DG116" s="182"/>
      <c r="DH116" s="182"/>
      <c r="DI116" s="182"/>
      <c r="DJ116" s="182"/>
      <c r="DK116" s="182"/>
      <c r="DL116" s="182"/>
      <c r="DM116" s="182"/>
      <c r="DN116" s="182"/>
      <c r="DO116" s="182"/>
      <c r="DP116" s="182"/>
      <c r="DQ116" s="182"/>
      <c r="DR116" s="182"/>
      <c r="DS116" s="182"/>
      <c r="DT116" s="182"/>
      <c r="DU116" s="182"/>
      <c r="DV116" s="182"/>
      <c r="DW116" s="182"/>
      <c r="DX116" s="182"/>
      <c r="DY116" s="182"/>
      <c r="DZ116" s="182"/>
      <c r="EA116" s="182"/>
      <c r="EB116" s="182"/>
      <c r="EC116" s="182"/>
      <c r="ED116" s="182"/>
      <c r="EE116" s="182"/>
      <c r="EF116" s="182"/>
      <c r="EG116" s="182"/>
      <c r="EH116" s="182"/>
      <c r="EI116" s="182"/>
      <c r="EJ116" s="182"/>
      <c r="EK116" s="182"/>
      <c r="EL116" s="182"/>
      <c r="EM116" s="182"/>
      <c r="EN116" s="182"/>
      <c r="EO116" s="182"/>
      <c r="EP116" s="182"/>
      <c r="EQ116" s="182"/>
      <c r="ER116" s="182"/>
      <c r="ES116" s="182"/>
      <c r="ET116" s="182"/>
      <c r="EU116" s="182"/>
      <c r="EV116" s="182"/>
      <c r="EW116" s="182"/>
      <c r="EX116" s="182"/>
      <c r="EY116" s="182"/>
      <c r="EZ116" s="182"/>
      <c r="FA116" s="182"/>
      <c r="FB116" s="182"/>
      <c r="FC116" s="182"/>
      <c r="FD116" s="182"/>
      <c r="FE116" s="182"/>
      <c r="FF116" s="182"/>
      <c r="FG116" s="182"/>
      <c r="FH116" s="182"/>
      <c r="FI116" s="182"/>
      <c r="FJ116" s="182"/>
      <c r="FK116" s="182"/>
      <c r="FL116" s="182"/>
      <c r="FM116" s="182"/>
      <c r="FN116" s="182"/>
      <c r="FO116" s="182"/>
      <c r="FP116" s="182"/>
      <c r="FQ116" s="182"/>
      <c r="FR116" s="182"/>
      <c r="FS116" s="182"/>
      <c r="FT116" s="182"/>
      <c r="FU116" s="182"/>
      <c r="FV116" s="182"/>
      <c r="FW116" s="182"/>
      <c r="FX116" s="182"/>
      <c r="FY116" s="182"/>
      <c r="FZ116" s="182"/>
      <c r="GA116" s="182"/>
      <c r="GB116" s="182"/>
      <c r="GC116" s="182"/>
      <c r="GD116" s="182"/>
      <c r="GE116" s="182"/>
      <c r="GF116" s="182"/>
      <c r="GG116" s="182"/>
      <c r="GH116" s="182"/>
      <c r="GI116" s="182"/>
    </row>
    <row r="117" spans="1:191" s="183" customFormat="1" ht="25.5" x14ac:dyDescent="0.2">
      <c r="A117" s="210" t="s">
        <v>38422</v>
      </c>
      <c r="B117" s="210" t="s">
        <v>18965</v>
      </c>
      <c r="C117" s="224" t="s">
        <v>22229</v>
      </c>
      <c r="D117" s="211" t="s">
        <v>16</v>
      </c>
      <c r="E117" s="211">
        <v>1</v>
      </c>
      <c r="F117" s="211"/>
      <c r="G117" s="211">
        <v>0.3</v>
      </c>
      <c r="H117" s="212"/>
      <c r="I117" s="213"/>
      <c r="J117" s="272">
        <v>4021.72</v>
      </c>
      <c r="K117" s="112">
        <f t="shared" si="14"/>
        <v>4021.72</v>
      </c>
      <c r="L117" s="273">
        <f>BDI!$E$17</f>
        <v>0.11260000000000001</v>
      </c>
      <c r="M117" s="213"/>
      <c r="N117" s="213"/>
      <c r="O117" s="114">
        <f t="shared" si="15"/>
        <v>4474.57</v>
      </c>
      <c r="P117" s="113">
        <f t="shared" si="16"/>
        <v>1342.37</v>
      </c>
      <c r="Q117" s="209"/>
      <c r="R117" s="203"/>
      <c r="S117" s="182"/>
      <c r="T117" s="182"/>
      <c r="U117" s="182"/>
      <c r="V117" s="182"/>
      <c r="W117" s="182"/>
      <c r="X117" s="182"/>
      <c r="Y117" s="182"/>
      <c r="Z117" s="182"/>
      <c r="AA117" s="182"/>
      <c r="AB117" s="182"/>
      <c r="AC117" s="182"/>
      <c r="AD117" s="182"/>
      <c r="AE117" s="182"/>
      <c r="AF117" s="182"/>
      <c r="AG117" s="182"/>
      <c r="AH117" s="182"/>
      <c r="AI117" s="182"/>
      <c r="AJ117" s="182"/>
      <c r="AK117" s="182"/>
      <c r="AL117" s="182"/>
      <c r="AM117" s="182"/>
      <c r="AN117" s="182"/>
      <c r="AO117" s="182"/>
      <c r="AP117" s="182"/>
      <c r="AQ117" s="182"/>
      <c r="AR117" s="182"/>
      <c r="AS117" s="182"/>
      <c r="AT117" s="182"/>
      <c r="AU117" s="182"/>
      <c r="AV117" s="182"/>
      <c r="AW117" s="182"/>
      <c r="AX117" s="182"/>
      <c r="AY117" s="182"/>
      <c r="AZ117" s="182"/>
      <c r="BA117" s="182"/>
      <c r="BB117" s="182"/>
      <c r="BC117" s="182"/>
      <c r="BD117" s="182"/>
      <c r="BE117" s="182"/>
      <c r="BF117" s="182"/>
      <c r="BG117" s="182"/>
      <c r="BH117" s="182"/>
      <c r="BI117" s="182"/>
      <c r="BJ117" s="182"/>
      <c r="BK117" s="182"/>
      <c r="BL117" s="182"/>
      <c r="BM117" s="182"/>
      <c r="BN117" s="182"/>
      <c r="BO117" s="182"/>
      <c r="BP117" s="182"/>
      <c r="BQ117" s="182"/>
      <c r="BR117" s="182"/>
      <c r="BS117" s="182"/>
      <c r="BT117" s="182"/>
      <c r="BU117" s="182"/>
      <c r="BV117" s="182"/>
      <c r="BW117" s="182"/>
      <c r="BX117" s="182"/>
      <c r="BY117" s="182"/>
      <c r="BZ117" s="182"/>
      <c r="CA117" s="182"/>
      <c r="CB117" s="182"/>
      <c r="CC117" s="182"/>
      <c r="CD117" s="182"/>
      <c r="CE117" s="182"/>
      <c r="CF117" s="182"/>
      <c r="CG117" s="182"/>
      <c r="CH117" s="182"/>
      <c r="CI117" s="182"/>
      <c r="CJ117" s="182"/>
      <c r="CK117" s="182"/>
      <c r="CL117" s="182"/>
      <c r="CM117" s="182"/>
      <c r="CN117" s="182"/>
      <c r="CO117" s="182"/>
      <c r="CP117" s="182"/>
      <c r="CQ117" s="182"/>
      <c r="CR117" s="182"/>
      <c r="CS117" s="182"/>
      <c r="CT117" s="182"/>
      <c r="CU117" s="182"/>
      <c r="CV117" s="182"/>
      <c r="CW117" s="182"/>
      <c r="CX117" s="182"/>
      <c r="CY117" s="182"/>
      <c r="CZ117" s="182"/>
      <c r="DA117" s="182"/>
      <c r="DB117" s="182"/>
      <c r="DC117" s="182"/>
      <c r="DD117" s="182"/>
      <c r="DE117" s="182"/>
      <c r="DF117" s="182"/>
      <c r="DG117" s="182"/>
      <c r="DH117" s="182"/>
      <c r="DI117" s="182"/>
      <c r="DJ117" s="182"/>
      <c r="DK117" s="182"/>
      <c r="DL117" s="182"/>
      <c r="DM117" s="182"/>
      <c r="DN117" s="182"/>
      <c r="DO117" s="182"/>
      <c r="DP117" s="182"/>
      <c r="DQ117" s="182"/>
      <c r="DR117" s="182"/>
      <c r="DS117" s="182"/>
      <c r="DT117" s="182"/>
      <c r="DU117" s="182"/>
      <c r="DV117" s="182"/>
      <c r="DW117" s="182"/>
      <c r="DX117" s="182"/>
      <c r="DY117" s="182"/>
      <c r="DZ117" s="182"/>
      <c r="EA117" s="182"/>
      <c r="EB117" s="182"/>
      <c r="EC117" s="182"/>
      <c r="ED117" s="182"/>
      <c r="EE117" s="182"/>
      <c r="EF117" s="182"/>
      <c r="EG117" s="182"/>
      <c r="EH117" s="182"/>
      <c r="EI117" s="182"/>
      <c r="EJ117" s="182"/>
      <c r="EK117" s="182"/>
      <c r="EL117" s="182"/>
      <c r="EM117" s="182"/>
      <c r="EN117" s="182"/>
      <c r="EO117" s="182"/>
      <c r="EP117" s="182"/>
      <c r="EQ117" s="182"/>
      <c r="ER117" s="182"/>
      <c r="ES117" s="182"/>
      <c r="ET117" s="182"/>
      <c r="EU117" s="182"/>
      <c r="EV117" s="182"/>
      <c r="EW117" s="182"/>
      <c r="EX117" s="182"/>
      <c r="EY117" s="182"/>
      <c r="EZ117" s="182"/>
      <c r="FA117" s="182"/>
      <c r="FB117" s="182"/>
      <c r="FC117" s="182"/>
      <c r="FD117" s="182"/>
      <c r="FE117" s="182"/>
      <c r="FF117" s="182"/>
      <c r="FG117" s="182"/>
      <c r="FH117" s="182"/>
      <c r="FI117" s="182"/>
      <c r="FJ117" s="182"/>
      <c r="FK117" s="182"/>
      <c r="FL117" s="182"/>
      <c r="FM117" s="182"/>
      <c r="FN117" s="182"/>
      <c r="FO117" s="182"/>
      <c r="FP117" s="182"/>
      <c r="FQ117" s="182"/>
      <c r="FR117" s="182"/>
      <c r="FS117" s="182"/>
      <c r="FT117" s="182"/>
      <c r="FU117" s="182"/>
      <c r="FV117" s="182"/>
      <c r="FW117" s="182"/>
      <c r="FX117" s="182"/>
      <c r="FY117" s="182"/>
      <c r="FZ117" s="182"/>
      <c r="GA117" s="182"/>
      <c r="GB117" s="182"/>
      <c r="GC117" s="182"/>
      <c r="GD117" s="182"/>
      <c r="GE117" s="182"/>
      <c r="GF117" s="182"/>
      <c r="GG117" s="182"/>
      <c r="GH117" s="182"/>
      <c r="GI117" s="182"/>
    </row>
    <row r="118" spans="1:191" s="183" customFormat="1" x14ac:dyDescent="0.2">
      <c r="A118" s="210" t="s">
        <v>38423</v>
      </c>
      <c r="B118" s="210" t="s">
        <v>18966</v>
      </c>
      <c r="C118" s="224" t="s">
        <v>22230</v>
      </c>
      <c r="D118" s="211" t="s">
        <v>16</v>
      </c>
      <c r="E118" s="211">
        <v>1</v>
      </c>
      <c r="F118" s="211"/>
      <c r="G118" s="211">
        <v>0.3</v>
      </c>
      <c r="H118" s="212"/>
      <c r="I118" s="213"/>
      <c r="J118" s="272">
        <v>5266.78</v>
      </c>
      <c r="K118" s="112">
        <f t="shared" si="14"/>
        <v>5266.78</v>
      </c>
      <c r="L118" s="273">
        <f>BDI!$E$17</f>
        <v>0.11260000000000001</v>
      </c>
      <c r="M118" s="213"/>
      <c r="N118" s="213"/>
      <c r="O118" s="114">
        <f t="shared" si="15"/>
        <v>5859.82</v>
      </c>
      <c r="P118" s="113">
        <f t="shared" si="16"/>
        <v>1757.95</v>
      </c>
      <c r="Q118" s="209"/>
      <c r="R118" s="203"/>
      <c r="S118" s="182"/>
      <c r="T118" s="182"/>
      <c r="U118" s="182"/>
      <c r="V118" s="182"/>
      <c r="W118" s="182"/>
      <c r="X118" s="182"/>
      <c r="Y118" s="182"/>
      <c r="Z118" s="182"/>
      <c r="AA118" s="182"/>
      <c r="AB118" s="182"/>
      <c r="AC118" s="182"/>
      <c r="AD118" s="182"/>
      <c r="AE118" s="182"/>
      <c r="AF118" s="182"/>
      <c r="AG118" s="182"/>
      <c r="AH118" s="182"/>
      <c r="AI118" s="182"/>
      <c r="AJ118" s="182"/>
      <c r="AK118" s="182"/>
      <c r="AL118" s="182"/>
      <c r="AM118" s="182"/>
      <c r="AN118" s="182"/>
      <c r="AO118" s="182"/>
      <c r="AP118" s="182"/>
      <c r="AQ118" s="182"/>
      <c r="AR118" s="182"/>
      <c r="AS118" s="182"/>
      <c r="AT118" s="182"/>
      <c r="AU118" s="182"/>
      <c r="AV118" s="182"/>
      <c r="AW118" s="182"/>
      <c r="AX118" s="182"/>
      <c r="AY118" s="182"/>
      <c r="AZ118" s="182"/>
      <c r="BA118" s="182"/>
      <c r="BB118" s="182"/>
      <c r="BC118" s="182"/>
      <c r="BD118" s="182"/>
      <c r="BE118" s="182"/>
      <c r="BF118" s="182"/>
      <c r="BG118" s="182"/>
      <c r="BH118" s="182"/>
      <c r="BI118" s="182"/>
      <c r="BJ118" s="182"/>
      <c r="BK118" s="182"/>
      <c r="BL118" s="182"/>
      <c r="BM118" s="182"/>
      <c r="BN118" s="182"/>
      <c r="BO118" s="182"/>
      <c r="BP118" s="182"/>
      <c r="BQ118" s="182"/>
      <c r="BR118" s="182"/>
      <c r="BS118" s="182"/>
      <c r="BT118" s="182"/>
      <c r="BU118" s="182"/>
      <c r="BV118" s="182"/>
      <c r="BW118" s="182"/>
      <c r="BX118" s="182"/>
      <c r="BY118" s="182"/>
      <c r="BZ118" s="182"/>
      <c r="CA118" s="182"/>
      <c r="CB118" s="182"/>
      <c r="CC118" s="182"/>
      <c r="CD118" s="182"/>
      <c r="CE118" s="182"/>
      <c r="CF118" s="182"/>
      <c r="CG118" s="182"/>
      <c r="CH118" s="182"/>
      <c r="CI118" s="182"/>
      <c r="CJ118" s="182"/>
      <c r="CK118" s="182"/>
      <c r="CL118" s="182"/>
      <c r="CM118" s="182"/>
      <c r="CN118" s="182"/>
      <c r="CO118" s="182"/>
      <c r="CP118" s="182"/>
      <c r="CQ118" s="182"/>
      <c r="CR118" s="182"/>
      <c r="CS118" s="182"/>
      <c r="CT118" s="182"/>
      <c r="CU118" s="182"/>
      <c r="CV118" s="182"/>
      <c r="CW118" s="182"/>
      <c r="CX118" s="182"/>
      <c r="CY118" s="182"/>
      <c r="CZ118" s="182"/>
      <c r="DA118" s="182"/>
      <c r="DB118" s="182"/>
      <c r="DC118" s="182"/>
      <c r="DD118" s="182"/>
      <c r="DE118" s="182"/>
      <c r="DF118" s="182"/>
      <c r="DG118" s="182"/>
      <c r="DH118" s="182"/>
      <c r="DI118" s="182"/>
      <c r="DJ118" s="182"/>
      <c r="DK118" s="182"/>
      <c r="DL118" s="182"/>
      <c r="DM118" s="182"/>
      <c r="DN118" s="182"/>
      <c r="DO118" s="182"/>
      <c r="DP118" s="182"/>
      <c r="DQ118" s="182"/>
      <c r="DR118" s="182"/>
      <c r="DS118" s="182"/>
      <c r="DT118" s="182"/>
      <c r="DU118" s="182"/>
      <c r="DV118" s="182"/>
      <c r="DW118" s="182"/>
      <c r="DX118" s="182"/>
      <c r="DY118" s="182"/>
      <c r="DZ118" s="182"/>
      <c r="EA118" s="182"/>
      <c r="EB118" s="182"/>
      <c r="EC118" s="182"/>
      <c r="ED118" s="182"/>
      <c r="EE118" s="182"/>
      <c r="EF118" s="182"/>
      <c r="EG118" s="182"/>
      <c r="EH118" s="182"/>
      <c r="EI118" s="182"/>
      <c r="EJ118" s="182"/>
      <c r="EK118" s="182"/>
      <c r="EL118" s="182"/>
      <c r="EM118" s="182"/>
      <c r="EN118" s="182"/>
      <c r="EO118" s="182"/>
      <c r="EP118" s="182"/>
      <c r="EQ118" s="182"/>
      <c r="ER118" s="182"/>
      <c r="ES118" s="182"/>
      <c r="ET118" s="182"/>
      <c r="EU118" s="182"/>
      <c r="EV118" s="182"/>
      <c r="EW118" s="182"/>
      <c r="EX118" s="182"/>
      <c r="EY118" s="182"/>
      <c r="EZ118" s="182"/>
      <c r="FA118" s="182"/>
      <c r="FB118" s="182"/>
      <c r="FC118" s="182"/>
      <c r="FD118" s="182"/>
      <c r="FE118" s="182"/>
      <c r="FF118" s="182"/>
      <c r="FG118" s="182"/>
      <c r="FH118" s="182"/>
      <c r="FI118" s="182"/>
      <c r="FJ118" s="182"/>
      <c r="FK118" s="182"/>
      <c r="FL118" s="182"/>
      <c r="FM118" s="182"/>
      <c r="FN118" s="182"/>
      <c r="FO118" s="182"/>
      <c r="FP118" s="182"/>
      <c r="FQ118" s="182"/>
      <c r="FR118" s="182"/>
      <c r="FS118" s="182"/>
      <c r="FT118" s="182"/>
      <c r="FU118" s="182"/>
      <c r="FV118" s="182"/>
      <c r="FW118" s="182"/>
      <c r="FX118" s="182"/>
      <c r="FY118" s="182"/>
      <c r="FZ118" s="182"/>
      <c r="GA118" s="182"/>
      <c r="GB118" s="182"/>
      <c r="GC118" s="182"/>
      <c r="GD118" s="182"/>
      <c r="GE118" s="182"/>
      <c r="GF118" s="182"/>
      <c r="GG118" s="182"/>
      <c r="GH118" s="182"/>
      <c r="GI118" s="182"/>
    </row>
    <row r="119" spans="1:191" s="183" customFormat="1" x14ac:dyDescent="0.2">
      <c r="A119" s="210" t="s">
        <v>38424</v>
      </c>
      <c r="B119" s="210" t="s">
        <v>18967</v>
      </c>
      <c r="C119" s="224" t="s">
        <v>22231</v>
      </c>
      <c r="D119" s="211" t="s">
        <v>16</v>
      </c>
      <c r="E119" s="211">
        <v>2</v>
      </c>
      <c r="F119" s="211"/>
      <c r="G119" s="211">
        <v>0.3</v>
      </c>
      <c r="H119" s="212"/>
      <c r="I119" s="213"/>
      <c r="J119" s="272">
        <v>7886.33</v>
      </c>
      <c r="K119" s="112">
        <f t="shared" si="14"/>
        <v>15772.66</v>
      </c>
      <c r="L119" s="273">
        <f>BDI!$E$17</f>
        <v>0.11260000000000001</v>
      </c>
      <c r="M119" s="213"/>
      <c r="N119" s="213"/>
      <c r="O119" s="114">
        <f t="shared" si="15"/>
        <v>8774.33</v>
      </c>
      <c r="P119" s="113">
        <f t="shared" si="16"/>
        <v>5264.6</v>
      </c>
      <c r="Q119" s="209"/>
      <c r="R119" s="203"/>
      <c r="S119" s="182"/>
      <c r="T119" s="182"/>
      <c r="U119" s="182"/>
      <c r="V119" s="182"/>
      <c r="W119" s="182"/>
      <c r="X119" s="182"/>
      <c r="Y119" s="182"/>
      <c r="Z119" s="182"/>
      <c r="AA119" s="182"/>
      <c r="AB119" s="182"/>
      <c r="AC119" s="182"/>
      <c r="AD119" s="182"/>
      <c r="AE119" s="182"/>
      <c r="AF119" s="182"/>
      <c r="AG119" s="182"/>
      <c r="AH119" s="182"/>
      <c r="AI119" s="182"/>
      <c r="AJ119" s="182"/>
      <c r="AK119" s="182"/>
      <c r="AL119" s="182"/>
      <c r="AM119" s="182"/>
      <c r="AN119" s="182"/>
      <c r="AO119" s="182"/>
      <c r="AP119" s="182"/>
      <c r="AQ119" s="182"/>
      <c r="AR119" s="182"/>
      <c r="AS119" s="182"/>
      <c r="AT119" s="182"/>
      <c r="AU119" s="182"/>
      <c r="AV119" s="182"/>
      <c r="AW119" s="182"/>
      <c r="AX119" s="182"/>
      <c r="AY119" s="182"/>
      <c r="AZ119" s="182"/>
      <c r="BA119" s="182"/>
      <c r="BB119" s="182"/>
      <c r="BC119" s="182"/>
      <c r="BD119" s="182"/>
      <c r="BE119" s="182"/>
      <c r="BF119" s="182"/>
      <c r="BG119" s="182"/>
      <c r="BH119" s="182"/>
      <c r="BI119" s="182"/>
      <c r="BJ119" s="182"/>
      <c r="BK119" s="182"/>
      <c r="BL119" s="182"/>
      <c r="BM119" s="182"/>
      <c r="BN119" s="182"/>
      <c r="BO119" s="182"/>
      <c r="BP119" s="182"/>
      <c r="BQ119" s="182"/>
      <c r="BR119" s="182"/>
      <c r="BS119" s="182"/>
      <c r="BT119" s="182"/>
      <c r="BU119" s="182"/>
      <c r="BV119" s="182"/>
      <c r="BW119" s="182"/>
      <c r="BX119" s="182"/>
      <c r="BY119" s="182"/>
      <c r="BZ119" s="182"/>
      <c r="CA119" s="182"/>
      <c r="CB119" s="182"/>
      <c r="CC119" s="182"/>
      <c r="CD119" s="182"/>
      <c r="CE119" s="182"/>
      <c r="CF119" s="182"/>
      <c r="CG119" s="182"/>
      <c r="CH119" s="182"/>
      <c r="CI119" s="182"/>
      <c r="CJ119" s="182"/>
      <c r="CK119" s="182"/>
      <c r="CL119" s="182"/>
      <c r="CM119" s="182"/>
      <c r="CN119" s="182"/>
      <c r="CO119" s="182"/>
      <c r="CP119" s="182"/>
      <c r="CQ119" s="182"/>
      <c r="CR119" s="182"/>
      <c r="CS119" s="182"/>
      <c r="CT119" s="182"/>
      <c r="CU119" s="182"/>
      <c r="CV119" s="182"/>
      <c r="CW119" s="182"/>
      <c r="CX119" s="182"/>
      <c r="CY119" s="182"/>
      <c r="CZ119" s="182"/>
      <c r="DA119" s="182"/>
      <c r="DB119" s="182"/>
      <c r="DC119" s="182"/>
      <c r="DD119" s="182"/>
      <c r="DE119" s="182"/>
      <c r="DF119" s="182"/>
      <c r="DG119" s="182"/>
      <c r="DH119" s="182"/>
      <c r="DI119" s="182"/>
      <c r="DJ119" s="182"/>
      <c r="DK119" s="182"/>
      <c r="DL119" s="182"/>
      <c r="DM119" s="182"/>
      <c r="DN119" s="182"/>
      <c r="DO119" s="182"/>
      <c r="DP119" s="182"/>
      <c r="DQ119" s="182"/>
      <c r="DR119" s="182"/>
      <c r="DS119" s="182"/>
      <c r="DT119" s="182"/>
      <c r="DU119" s="182"/>
      <c r="DV119" s="182"/>
      <c r="DW119" s="182"/>
      <c r="DX119" s="182"/>
      <c r="DY119" s="182"/>
      <c r="DZ119" s="182"/>
      <c r="EA119" s="182"/>
      <c r="EB119" s="182"/>
      <c r="EC119" s="182"/>
      <c r="ED119" s="182"/>
      <c r="EE119" s="182"/>
      <c r="EF119" s="182"/>
      <c r="EG119" s="182"/>
      <c r="EH119" s="182"/>
      <c r="EI119" s="182"/>
      <c r="EJ119" s="182"/>
      <c r="EK119" s="182"/>
      <c r="EL119" s="182"/>
      <c r="EM119" s="182"/>
      <c r="EN119" s="182"/>
      <c r="EO119" s="182"/>
      <c r="EP119" s="182"/>
      <c r="EQ119" s="182"/>
      <c r="ER119" s="182"/>
      <c r="ES119" s="182"/>
      <c r="ET119" s="182"/>
      <c r="EU119" s="182"/>
      <c r="EV119" s="182"/>
      <c r="EW119" s="182"/>
      <c r="EX119" s="182"/>
      <c r="EY119" s="182"/>
      <c r="EZ119" s="182"/>
      <c r="FA119" s="182"/>
      <c r="FB119" s="182"/>
      <c r="FC119" s="182"/>
      <c r="FD119" s="182"/>
      <c r="FE119" s="182"/>
      <c r="FF119" s="182"/>
      <c r="FG119" s="182"/>
      <c r="FH119" s="182"/>
      <c r="FI119" s="182"/>
      <c r="FJ119" s="182"/>
      <c r="FK119" s="182"/>
      <c r="FL119" s="182"/>
      <c r="FM119" s="182"/>
      <c r="FN119" s="182"/>
      <c r="FO119" s="182"/>
      <c r="FP119" s="182"/>
      <c r="FQ119" s="182"/>
      <c r="FR119" s="182"/>
      <c r="FS119" s="182"/>
      <c r="FT119" s="182"/>
      <c r="FU119" s="182"/>
      <c r="FV119" s="182"/>
      <c r="FW119" s="182"/>
      <c r="FX119" s="182"/>
      <c r="FY119" s="182"/>
      <c r="FZ119" s="182"/>
      <c r="GA119" s="182"/>
      <c r="GB119" s="182"/>
      <c r="GC119" s="182"/>
      <c r="GD119" s="182"/>
      <c r="GE119" s="182"/>
      <c r="GF119" s="182"/>
      <c r="GG119" s="182"/>
      <c r="GH119" s="182"/>
      <c r="GI119" s="182"/>
    </row>
    <row r="120" spans="1:191" s="183" customFormat="1" ht="25.5" x14ac:dyDescent="0.2">
      <c r="A120" s="210" t="s">
        <v>38425</v>
      </c>
      <c r="B120" s="210" t="s">
        <v>18968</v>
      </c>
      <c r="C120" s="224" t="s">
        <v>22232</v>
      </c>
      <c r="D120" s="211" t="s">
        <v>16</v>
      </c>
      <c r="E120" s="211">
        <v>3</v>
      </c>
      <c r="F120" s="211"/>
      <c r="G120" s="211">
        <v>0.3</v>
      </c>
      <c r="H120" s="212"/>
      <c r="I120" s="213"/>
      <c r="J120" s="272">
        <v>13789.18</v>
      </c>
      <c r="K120" s="112">
        <f t="shared" si="14"/>
        <v>41367.54</v>
      </c>
      <c r="L120" s="273">
        <f>BDI!$E$17</f>
        <v>0.11260000000000001</v>
      </c>
      <c r="M120" s="213"/>
      <c r="N120" s="213"/>
      <c r="O120" s="114">
        <f t="shared" si="15"/>
        <v>15341.84</v>
      </c>
      <c r="P120" s="113">
        <f t="shared" si="16"/>
        <v>13807.66</v>
      </c>
      <c r="Q120" s="209"/>
      <c r="R120" s="203"/>
      <c r="S120" s="182"/>
      <c r="T120" s="182"/>
      <c r="U120" s="182"/>
      <c r="V120" s="182"/>
      <c r="W120" s="182"/>
      <c r="X120" s="182"/>
      <c r="Y120" s="182"/>
      <c r="Z120" s="182"/>
      <c r="AA120" s="182"/>
      <c r="AB120" s="182"/>
      <c r="AC120" s="182"/>
      <c r="AD120" s="182"/>
      <c r="AE120" s="182"/>
      <c r="AF120" s="182"/>
      <c r="AG120" s="182"/>
      <c r="AH120" s="182"/>
      <c r="AI120" s="182"/>
      <c r="AJ120" s="182"/>
      <c r="AK120" s="182"/>
      <c r="AL120" s="182"/>
      <c r="AM120" s="182"/>
      <c r="AN120" s="182"/>
      <c r="AO120" s="182"/>
      <c r="AP120" s="182"/>
      <c r="AQ120" s="182"/>
      <c r="AR120" s="182"/>
      <c r="AS120" s="182"/>
      <c r="AT120" s="182"/>
      <c r="AU120" s="182"/>
      <c r="AV120" s="182"/>
      <c r="AW120" s="182"/>
      <c r="AX120" s="182"/>
      <c r="AY120" s="182"/>
      <c r="AZ120" s="182"/>
      <c r="BA120" s="182"/>
      <c r="BB120" s="182"/>
      <c r="BC120" s="182"/>
      <c r="BD120" s="182"/>
      <c r="BE120" s="182"/>
      <c r="BF120" s="182"/>
      <c r="BG120" s="182"/>
      <c r="BH120" s="182"/>
      <c r="BI120" s="182"/>
      <c r="BJ120" s="182"/>
      <c r="BK120" s="182"/>
      <c r="BL120" s="182"/>
      <c r="BM120" s="182"/>
      <c r="BN120" s="182"/>
      <c r="BO120" s="182"/>
      <c r="BP120" s="182"/>
      <c r="BQ120" s="182"/>
      <c r="BR120" s="182"/>
      <c r="BS120" s="182"/>
      <c r="BT120" s="182"/>
      <c r="BU120" s="182"/>
      <c r="BV120" s="182"/>
      <c r="BW120" s="182"/>
      <c r="BX120" s="182"/>
      <c r="BY120" s="182"/>
      <c r="BZ120" s="182"/>
      <c r="CA120" s="182"/>
      <c r="CB120" s="182"/>
      <c r="CC120" s="182"/>
      <c r="CD120" s="182"/>
      <c r="CE120" s="182"/>
      <c r="CF120" s="182"/>
      <c r="CG120" s="182"/>
      <c r="CH120" s="182"/>
      <c r="CI120" s="182"/>
      <c r="CJ120" s="182"/>
      <c r="CK120" s="182"/>
      <c r="CL120" s="182"/>
      <c r="CM120" s="182"/>
      <c r="CN120" s="182"/>
      <c r="CO120" s="182"/>
      <c r="CP120" s="182"/>
      <c r="CQ120" s="182"/>
      <c r="CR120" s="182"/>
      <c r="CS120" s="182"/>
      <c r="CT120" s="182"/>
      <c r="CU120" s="182"/>
      <c r="CV120" s="182"/>
      <c r="CW120" s="182"/>
      <c r="CX120" s="182"/>
      <c r="CY120" s="182"/>
      <c r="CZ120" s="182"/>
      <c r="DA120" s="182"/>
      <c r="DB120" s="182"/>
      <c r="DC120" s="182"/>
      <c r="DD120" s="182"/>
      <c r="DE120" s="182"/>
      <c r="DF120" s="182"/>
      <c r="DG120" s="182"/>
      <c r="DH120" s="182"/>
      <c r="DI120" s="182"/>
      <c r="DJ120" s="182"/>
      <c r="DK120" s="182"/>
      <c r="DL120" s="182"/>
      <c r="DM120" s="182"/>
      <c r="DN120" s="182"/>
      <c r="DO120" s="182"/>
      <c r="DP120" s="182"/>
      <c r="DQ120" s="182"/>
      <c r="DR120" s="182"/>
      <c r="DS120" s="182"/>
      <c r="DT120" s="182"/>
      <c r="DU120" s="182"/>
      <c r="DV120" s="182"/>
      <c r="DW120" s="182"/>
      <c r="DX120" s="182"/>
      <c r="DY120" s="182"/>
      <c r="DZ120" s="182"/>
      <c r="EA120" s="182"/>
      <c r="EB120" s="182"/>
      <c r="EC120" s="182"/>
      <c r="ED120" s="182"/>
      <c r="EE120" s="182"/>
      <c r="EF120" s="182"/>
      <c r="EG120" s="182"/>
      <c r="EH120" s="182"/>
      <c r="EI120" s="182"/>
      <c r="EJ120" s="182"/>
      <c r="EK120" s="182"/>
      <c r="EL120" s="182"/>
      <c r="EM120" s="182"/>
      <c r="EN120" s="182"/>
      <c r="EO120" s="182"/>
      <c r="EP120" s="182"/>
      <c r="EQ120" s="182"/>
      <c r="ER120" s="182"/>
      <c r="ES120" s="182"/>
      <c r="ET120" s="182"/>
      <c r="EU120" s="182"/>
      <c r="EV120" s="182"/>
      <c r="EW120" s="182"/>
      <c r="EX120" s="182"/>
      <c r="EY120" s="182"/>
      <c r="EZ120" s="182"/>
      <c r="FA120" s="182"/>
      <c r="FB120" s="182"/>
      <c r="FC120" s="182"/>
      <c r="FD120" s="182"/>
      <c r="FE120" s="182"/>
      <c r="FF120" s="182"/>
      <c r="FG120" s="182"/>
      <c r="FH120" s="182"/>
      <c r="FI120" s="182"/>
      <c r="FJ120" s="182"/>
      <c r="FK120" s="182"/>
      <c r="FL120" s="182"/>
      <c r="FM120" s="182"/>
      <c r="FN120" s="182"/>
      <c r="FO120" s="182"/>
      <c r="FP120" s="182"/>
      <c r="FQ120" s="182"/>
      <c r="FR120" s="182"/>
      <c r="FS120" s="182"/>
      <c r="FT120" s="182"/>
      <c r="FU120" s="182"/>
      <c r="FV120" s="182"/>
      <c r="FW120" s="182"/>
      <c r="FX120" s="182"/>
      <c r="FY120" s="182"/>
      <c r="FZ120" s="182"/>
      <c r="GA120" s="182"/>
      <c r="GB120" s="182"/>
      <c r="GC120" s="182"/>
      <c r="GD120" s="182"/>
      <c r="GE120" s="182"/>
      <c r="GF120" s="182"/>
      <c r="GG120" s="182"/>
      <c r="GH120" s="182"/>
      <c r="GI120" s="182"/>
    </row>
    <row r="121" spans="1:191" s="183" customFormat="1" ht="25.5" x14ac:dyDescent="0.2">
      <c r="A121" s="210" t="s">
        <v>38426</v>
      </c>
      <c r="B121" s="210" t="s">
        <v>18969</v>
      </c>
      <c r="C121" s="224" t="s">
        <v>22233</v>
      </c>
      <c r="D121" s="211" t="s">
        <v>16</v>
      </c>
      <c r="E121" s="211">
        <v>2</v>
      </c>
      <c r="F121" s="211"/>
      <c r="G121" s="211">
        <v>0.3</v>
      </c>
      <c r="H121" s="212"/>
      <c r="I121" s="213"/>
      <c r="J121" s="272">
        <v>4237.9799999999996</v>
      </c>
      <c r="K121" s="112">
        <f t="shared" si="14"/>
        <v>8475.9599999999991</v>
      </c>
      <c r="L121" s="273">
        <f>BDI!$E$17</f>
        <v>0.11260000000000001</v>
      </c>
      <c r="M121" s="213"/>
      <c r="N121" s="213"/>
      <c r="O121" s="114">
        <f t="shared" si="15"/>
        <v>4715.18</v>
      </c>
      <c r="P121" s="113">
        <f t="shared" si="16"/>
        <v>2829.11</v>
      </c>
      <c r="Q121" s="209"/>
      <c r="R121" s="203"/>
      <c r="S121" s="182"/>
      <c r="T121" s="182"/>
      <c r="U121" s="182"/>
      <c r="V121" s="182"/>
      <c r="W121" s="182"/>
      <c r="X121" s="182"/>
      <c r="Y121" s="182"/>
      <c r="Z121" s="182"/>
      <c r="AA121" s="182"/>
      <c r="AB121" s="182"/>
      <c r="AC121" s="182"/>
      <c r="AD121" s="182"/>
      <c r="AE121" s="182"/>
      <c r="AF121" s="182"/>
      <c r="AG121" s="182"/>
      <c r="AH121" s="182"/>
      <c r="AI121" s="182"/>
      <c r="AJ121" s="182"/>
      <c r="AK121" s="182"/>
      <c r="AL121" s="182"/>
      <c r="AM121" s="182"/>
      <c r="AN121" s="182"/>
      <c r="AO121" s="182"/>
      <c r="AP121" s="182"/>
      <c r="AQ121" s="182"/>
      <c r="AR121" s="182"/>
      <c r="AS121" s="182"/>
      <c r="AT121" s="182"/>
      <c r="AU121" s="182"/>
      <c r="AV121" s="182"/>
      <c r="AW121" s="182"/>
      <c r="AX121" s="182"/>
      <c r="AY121" s="182"/>
      <c r="AZ121" s="182"/>
      <c r="BA121" s="182"/>
      <c r="BB121" s="182"/>
      <c r="BC121" s="182"/>
      <c r="BD121" s="182"/>
      <c r="BE121" s="182"/>
      <c r="BF121" s="182"/>
      <c r="BG121" s="182"/>
      <c r="BH121" s="182"/>
      <c r="BI121" s="182"/>
      <c r="BJ121" s="182"/>
      <c r="BK121" s="182"/>
      <c r="BL121" s="182"/>
      <c r="BM121" s="182"/>
      <c r="BN121" s="182"/>
      <c r="BO121" s="182"/>
      <c r="BP121" s="182"/>
      <c r="BQ121" s="182"/>
      <c r="BR121" s="182"/>
      <c r="BS121" s="182"/>
      <c r="BT121" s="182"/>
      <c r="BU121" s="182"/>
      <c r="BV121" s="182"/>
      <c r="BW121" s="182"/>
      <c r="BX121" s="182"/>
      <c r="BY121" s="182"/>
      <c r="BZ121" s="182"/>
      <c r="CA121" s="182"/>
      <c r="CB121" s="182"/>
      <c r="CC121" s="182"/>
      <c r="CD121" s="182"/>
      <c r="CE121" s="182"/>
      <c r="CF121" s="182"/>
      <c r="CG121" s="182"/>
      <c r="CH121" s="182"/>
      <c r="CI121" s="182"/>
      <c r="CJ121" s="182"/>
      <c r="CK121" s="182"/>
      <c r="CL121" s="182"/>
      <c r="CM121" s="182"/>
      <c r="CN121" s="182"/>
      <c r="CO121" s="182"/>
      <c r="CP121" s="182"/>
      <c r="CQ121" s="182"/>
      <c r="CR121" s="182"/>
      <c r="CS121" s="182"/>
      <c r="CT121" s="182"/>
      <c r="CU121" s="182"/>
      <c r="CV121" s="182"/>
      <c r="CW121" s="182"/>
      <c r="CX121" s="182"/>
      <c r="CY121" s="182"/>
      <c r="CZ121" s="182"/>
      <c r="DA121" s="182"/>
      <c r="DB121" s="182"/>
      <c r="DC121" s="182"/>
      <c r="DD121" s="182"/>
      <c r="DE121" s="182"/>
      <c r="DF121" s="182"/>
      <c r="DG121" s="182"/>
      <c r="DH121" s="182"/>
      <c r="DI121" s="182"/>
      <c r="DJ121" s="182"/>
      <c r="DK121" s="182"/>
      <c r="DL121" s="182"/>
      <c r="DM121" s="182"/>
      <c r="DN121" s="182"/>
      <c r="DO121" s="182"/>
      <c r="DP121" s="182"/>
      <c r="DQ121" s="182"/>
      <c r="DR121" s="182"/>
      <c r="DS121" s="182"/>
      <c r="DT121" s="182"/>
      <c r="DU121" s="182"/>
      <c r="DV121" s="182"/>
      <c r="DW121" s="182"/>
      <c r="DX121" s="182"/>
      <c r="DY121" s="182"/>
      <c r="DZ121" s="182"/>
      <c r="EA121" s="182"/>
      <c r="EB121" s="182"/>
      <c r="EC121" s="182"/>
      <c r="ED121" s="182"/>
      <c r="EE121" s="182"/>
      <c r="EF121" s="182"/>
      <c r="EG121" s="182"/>
      <c r="EH121" s="182"/>
      <c r="EI121" s="182"/>
      <c r="EJ121" s="182"/>
      <c r="EK121" s="182"/>
      <c r="EL121" s="182"/>
      <c r="EM121" s="182"/>
      <c r="EN121" s="182"/>
      <c r="EO121" s="182"/>
      <c r="EP121" s="182"/>
      <c r="EQ121" s="182"/>
      <c r="ER121" s="182"/>
      <c r="ES121" s="182"/>
      <c r="ET121" s="182"/>
      <c r="EU121" s="182"/>
      <c r="EV121" s="182"/>
      <c r="EW121" s="182"/>
      <c r="EX121" s="182"/>
      <c r="EY121" s="182"/>
      <c r="EZ121" s="182"/>
      <c r="FA121" s="182"/>
      <c r="FB121" s="182"/>
      <c r="FC121" s="182"/>
      <c r="FD121" s="182"/>
      <c r="FE121" s="182"/>
      <c r="FF121" s="182"/>
      <c r="FG121" s="182"/>
      <c r="FH121" s="182"/>
      <c r="FI121" s="182"/>
      <c r="FJ121" s="182"/>
      <c r="FK121" s="182"/>
      <c r="FL121" s="182"/>
      <c r="FM121" s="182"/>
      <c r="FN121" s="182"/>
      <c r="FO121" s="182"/>
      <c r="FP121" s="182"/>
      <c r="FQ121" s="182"/>
      <c r="FR121" s="182"/>
      <c r="FS121" s="182"/>
      <c r="FT121" s="182"/>
      <c r="FU121" s="182"/>
      <c r="FV121" s="182"/>
      <c r="FW121" s="182"/>
      <c r="FX121" s="182"/>
      <c r="FY121" s="182"/>
      <c r="FZ121" s="182"/>
      <c r="GA121" s="182"/>
      <c r="GB121" s="182"/>
      <c r="GC121" s="182"/>
      <c r="GD121" s="182"/>
      <c r="GE121" s="182"/>
      <c r="GF121" s="182"/>
      <c r="GG121" s="182"/>
      <c r="GH121" s="182"/>
      <c r="GI121" s="182"/>
    </row>
    <row r="122" spans="1:191" s="183" customFormat="1" ht="25.5" x14ac:dyDescent="0.2">
      <c r="A122" s="210" t="s">
        <v>38427</v>
      </c>
      <c r="B122" s="210" t="s">
        <v>18970</v>
      </c>
      <c r="C122" s="224" t="s">
        <v>22234</v>
      </c>
      <c r="D122" s="211" t="s">
        <v>16</v>
      </c>
      <c r="E122" s="211">
        <v>1</v>
      </c>
      <c r="F122" s="211"/>
      <c r="G122" s="211">
        <v>0.3</v>
      </c>
      <c r="H122" s="212"/>
      <c r="I122" s="213"/>
      <c r="J122" s="272">
        <v>5669.02</v>
      </c>
      <c r="K122" s="112">
        <f t="shared" si="14"/>
        <v>5669.02</v>
      </c>
      <c r="L122" s="273">
        <f>BDI!$E$17</f>
        <v>0.11260000000000001</v>
      </c>
      <c r="M122" s="213"/>
      <c r="N122" s="213"/>
      <c r="O122" s="114">
        <f t="shared" si="15"/>
        <v>6307.35</v>
      </c>
      <c r="P122" s="113">
        <f t="shared" si="16"/>
        <v>1892.21</v>
      </c>
      <c r="Q122" s="209"/>
      <c r="R122" s="203"/>
      <c r="S122" s="182"/>
      <c r="T122" s="182"/>
      <c r="U122" s="182"/>
      <c r="V122" s="182"/>
      <c r="W122" s="182"/>
      <c r="X122" s="182"/>
      <c r="Y122" s="182"/>
      <c r="Z122" s="182"/>
      <c r="AA122" s="182"/>
      <c r="AB122" s="182"/>
      <c r="AC122" s="182"/>
      <c r="AD122" s="182"/>
      <c r="AE122" s="182"/>
      <c r="AF122" s="182"/>
      <c r="AG122" s="182"/>
      <c r="AH122" s="182"/>
      <c r="AI122" s="182"/>
      <c r="AJ122" s="182"/>
      <c r="AK122" s="182"/>
      <c r="AL122" s="182"/>
      <c r="AM122" s="182"/>
      <c r="AN122" s="182"/>
      <c r="AO122" s="182"/>
      <c r="AP122" s="182"/>
      <c r="AQ122" s="182"/>
      <c r="AR122" s="182"/>
      <c r="AS122" s="182"/>
      <c r="AT122" s="182"/>
      <c r="AU122" s="182"/>
      <c r="AV122" s="182"/>
      <c r="AW122" s="182"/>
      <c r="AX122" s="182"/>
      <c r="AY122" s="182"/>
      <c r="AZ122" s="182"/>
      <c r="BA122" s="182"/>
      <c r="BB122" s="182"/>
      <c r="BC122" s="182"/>
      <c r="BD122" s="182"/>
      <c r="BE122" s="182"/>
      <c r="BF122" s="182"/>
      <c r="BG122" s="182"/>
      <c r="BH122" s="182"/>
      <c r="BI122" s="182"/>
      <c r="BJ122" s="182"/>
      <c r="BK122" s="182"/>
      <c r="BL122" s="182"/>
      <c r="BM122" s="182"/>
      <c r="BN122" s="182"/>
      <c r="BO122" s="182"/>
      <c r="BP122" s="182"/>
      <c r="BQ122" s="182"/>
      <c r="BR122" s="182"/>
      <c r="BS122" s="182"/>
      <c r="BT122" s="182"/>
      <c r="BU122" s="182"/>
      <c r="BV122" s="182"/>
      <c r="BW122" s="182"/>
      <c r="BX122" s="182"/>
      <c r="BY122" s="182"/>
      <c r="BZ122" s="182"/>
      <c r="CA122" s="182"/>
      <c r="CB122" s="182"/>
      <c r="CC122" s="182"/>
      <c r="CD122" s="182"/>
      <c r="CE122" s="182"/>
      <c r="CF122" s="182"/>
      <c r="CG122" s="182"/>
      <c r="CH122" s="182"/>
      <c r="CI122" s="182"/>
      <c r="CJ122" s="182"/>
      <c r="CK122" s="182"/>
      <c r="CL122" s="182"/>
      <c r="CM122" s="182"/>
      <c r="CN122" s="182"/>
      <c r="CO122" s="182"/>
      <c r="CP122" s="182"/>
      <c r="CQ122" s="182"/>
      <c r="CR122" s="182"/>
      <c r="CS122" s="182"/>
      <c r="CT122" s="182"/>
      <c r="CU122" s="182"/>
      <c r="CV122" s="182"/>
      <c r="CW122" s="182"/>
      <c r="CX122" s="182"/>
      <c r="CY122" s="182"/>
      <c r="CZ122" s="182"/>
      <c r="DA122" s="182"/>
      <c r="DB122" s="182"/>
      <c r="DC122" s="182"/>
      <c r="DD122" s="182"/>
      <c r="DE122" s="182"/>
      <c r="DF122" s="182"/>
      <c r="DG122" s="182"/>
      <c r="DH122" s="182"/>
      <c r="DI122" s="182"/>
      <c r="DJ122" s="182"/>
      <c r="DK122" s="182"/>
      <c r="DL122" s="182"/>
      <c r="DM122" s="182"/>
      <c r="DN122" s="182"/>
      <c r="DO122" s="182"/>
      <c r="DP122" s="182"/>
      <c r="DQ122" s="182"/>
      <c r="DR122" s="182"/>
      <c r="DS122" s="182"/>
      <c r="DT122" s="182"/>
      <c r="DU122" s="182"/>
      <c r="DV122" s="182"/>
      <c r="DW122" s="182"/>
      <c r="DX122" s="182"/>
      <c r="DY122" s="182"/>
      <c r="DZ122" s="182"/>
      <c r="EA122" s="182"/>
      <c r="EB122" s="182"/>
      <c r="EC122" s="182"/>
      <c r="ED122" s="182"/>
      <c r="EE122" s="182"/>
      <c r="EF122" s="182"/>
      <c r="EG122" s="182"/>
      <c r="EH122" s="182"/>
      <c r="EI122" s="182"/>
      <c r="EJ122" s="182"/>
      <c r="EK122" s="182"/>
      <c r="EL122" s="182"/>
      <c r="EM122" s="182"/>
      <c r="EN122" s="182"/>
      <c r="EO122" s="182"/>
      <c r="EP122" s="182"/>
      <c r="EQ122" s="182"/>
      <c r="ER122" s="182"/>
      <c r="ES122" s="182"/>
      <c r="ET122" s="182"/>
      <c r="EU122" s="182"/>
      <c r="EV122" s="182"/>
      <c r="EW122" s="182"/>
      <c r="EX122" s="182"/>
      <c r="EY122" s="182"/>
      <c r="EZ122" s="182"/>
      <c r="FA122" s="182"/>
      <c r="FB122" s="182"/>
      <c r="FC122" s="182"/>
      <c r="FD122" s="182"/>
      <c r="FE122" s="182"/>
      <c r="FF122" s="182"/>
      <c r="FG122" s="182"/>
      <c r="FH122" s="182"/>
      <c r="FI122" s="182"/>
      <c r="FJ122" s="182"/>
      <c r="FK122" s="182"/>
      <c r="FL122" s="182"/>
      <c r="FM122" s="182"/>
      <c r="FN122" s="182"/>
      <c r="FO122" s="182"/>
      <c r="FP122" s="182"/>
      <c r="FQ122" s="182"/>
      <c r="FR122" s="182"/>
      <c r="FS122" s="182"/>
      <c r="FT122" s="182"/>
      <c r="FU122" s="182"/>
      <c r="FV122" s="182"/>
      <c r="FW122" s="182"/>
      <c r="FX122" s="182"/>
      <c r="FY122" s="182"/>
      <c r="FZ122" s="182"/>
      <c r="GA122" s="182"/>
      <c r="GB122" s="182"/>
      <c r="GC122" s="182"/>
      <c r="GD122" s="182"/>
      <c r="GE122" s="182"/>
      <c r="GF122" s="182"/>
      <c r="GG122" s="182"/>
      <c r="GH122" s="182"/>
      <c r="GI122" s="182"/>
    </row>
    <row r="123" spans="1:191" s="183" customFormat="1" x14ac:dyDescent="0.2">
      <c r="A123" s="210" t="s">
        <v>38428</v>
      </c>
      <c r="B123" s="210" t="s">
        <v>18971</v>
      </c>
      <c r="C123" s="224" t="s">
        <v>22235</v>
      </c>
      <c r="D123" s="211" t="s">
        <v>16</v>
      </c>
      <c r="E123" s="211">
        <v>1</v>
      </c>
      <c r="F123" s="211"/>
      <c r="G123" s="211">
        <v>0.3</v>
      </c>
      <c r="H123" s="212"/>
      <c r="I123" s="213"/>
      <c r="J123" s="272">
        <v>15026.24</v>
      </c>
      <c r="K123" s="112">
        <f t="shared" si="14"/>
        <v>15026.24</v>
      </c>
      <c r="L123" s="273">
        <f>BDI!$E$17</f>
        <v>0.11260000000000001</v>
      </c>
      <c r="M123" s="213"/>
      <c r="N123" s="213"/>
      <c r="O123" s="114">
        <f t="shared" si="15"/>
        <v>16718.189999999999</v>
      </c>
      <c r="P123" s="113">
        <f t="shared" si="16"/>
        <v>5015.46</v>
      </c>
      <c r="Q123" s="209"/>
      <c r="R123" s="203"/>
      <c r="S123" s="182"/>
      <c r="T123" s="182"/>
      <c r="U123" s="182"/>
      <c r="V123" s="182"/>
      <c r="W123" s="182"/>
      <c r="X123" s="182"/>
      <c r="Y123" s="182"/>
      <c r="Z123" s="182"/>
      <c r="AA123" s="182"/>
      <c r="AB123" s="182"/>
      <c r="AC123" s="182"/>
      <c r="AD123" s="182"/>
      <c r="AE123" s="182"/>
      <c r="AF123" s="182"/>
      <c r="AG123" s="182"/>
      <c r="AH123" s="182"/>
      <c r="AI123" s="182"/>
      <c r="AJ123" s="182"/>
      <c r="AK123" s="182"/>
      <c r="AL123" s="182"/>
      <c r="AM123" s="182"/>
      <c r="AN123" s="182"/>
      <c r="AO123" s="182"/>
      <c r="AP123" s="182"/>
      <c r="AQ123" s="182"/>
      <c r="AR123" s="182"/>
      <c r="AS123" s="182"/>
      <c r="AT123" s="182"/>
      <c r="AU123" s="182"/>
      <c r="AV123" s="182"/>
      <c r="AW123" s="182"/>
      <c r="AX123" s="182"/>
      <c r="AY123" s="182"/>
      <c r="AZ123" s="182"/>
      <c r="BA123" s="182"/>
      <c r="BB123" s="182"/>
      <c r="BC123" s="182"/>
      <c r="BD123" s="182"/>
      <c r="BE123" s="182"/>
      <c r="BF123" s="182"/>
      <c r="BG123" s="182"/>
      <c r="BH123" s="182"/>
      <c r="BI123" s="182"/>
      <c r="BJ123" s="182"/>
      <c r="BK123" s="182"/>
      <c r="BL123" s="182"/>
      <c r="BM123" s="182"/>
      <c r="BN123" s="182"/>
      <c r="BO123" s="182"/>
      <c r="BP123" s="182"/>
      <c r="BQ123" s="182"/>
      <c r="BR123" s="182"/>
      <c r="BS123" s="182"/>
      <c r="BT123" s="182"/>
      <c r="BU123" s="182"/>
      <c r="BV123" s="182"/>
      <c r="BW123" s="182"/>
      <c r="BX123" s="182"/>
      <c r="BY123" s="182"/>
      <c r="BZ123" s="182"/>
      <c r="CA123" s="182"/>
      <c r="CB123" s="182"/>
      <c r="CC123" s="182"/>
      <c r="CD123" s="182"/>
      <c r="CE123" s="182"/>
      <c r="CF123" s="182"/>
      <c r="CG123" s="182"/>
      <c r="CH123" s="182"/>
      <c r="CI123" s="182"/>
      <c r="CJ123" s="182"/>
      <c r="CK123" s="182"/>
      <c r="CL123" s="182"/>
      <c r="CM123" s="182"/>
      <c r="CN123" s="182"/>
      <c r="CO123" s="182"/>
      <c r="CP123" s="182"/>
      <c r="CQ123" s="182"/>
      <c r="CR123" s="182"/>
      <c r="CS123" s="182"/>
      <c r="CT123" s="182"/>
      <c r="CU123" s="182"/>
      <c r="CV123" s="182"/>
      <c r="CW123" s="182"/>
      <c r="CX123" s="182"/>
      <c r="CY123" s="182"/>
      <c r="CZ123" s="182"/>
      <c r="DA123" s="182"/>
      <c r="DB123" s="182"/>
      <c r="DC123" s="182"/>
      <c r="DD123" s="182"/>
      <c r="DE123" s="182"/>
      <c r="DF123" s="182"/>
      <c r="DG123" s="182"/>
      <c r="DH123" s="182"/>
      <c r="DI123" s="182"/>
      <c r="DJ123" s="182"/>
      <c r="DK123" s="182"/>
      <c r="DL123" s="182"/>
      <c r="DM123" s="182"/>
      <c r="DN123" s="182"/>
      <c r="DO123" s="182"/>
      <c r="DP123" s="182"/>
      <c r="DQ123" s="182"/>
      <c r="DR123" s="182"/>
      <c r="DS123" s="182"/>
      <c r="DT123" s="182"/>
      <c r="DU123" s="182"/>
      <c r="DV123" s="182"/>
      <c r="DW123" s="182"/>
      <c r="DX123" s="182"/>
      <c r="DY123" s="182"/>
      <c r="DZ123" s="182"/>
      <c r="EA123" s="182"/>
      <c r="EB123" s="182"/>
      <c r="EC123" s="182"/>
      <c r="ED123" s="182"/>
      <c r="EE123" s="182"/>
      <c r="EF123" s="182"/>
      <c r="EG123" s="182"/>
      <c r="EH123" s="182"/>
      <c r="EI123" s="182"/>
      <c r="EJ123" s="182"/>
      <c r="EK123" s="182"/>
      <c r="EL123" s="182"/>
      <c r="EM123" s="182"/>
      <c r="EN123" s="182"/>
      <c r="EO123" s="182"/>
      <c r="EP123" s="182"/>
      <c r="EQ123" s="182"/>
      <c r="ER123" s="182"/>
      <c r="ES123" s="182"/>
      <c r="ET123" s="182"/>
      <c r="EU123" s="182"/>
      <c r="EV123" s="182"/>
      <c r="EW123" s="182"/>
      <c r="EX123" s="182"/>
      <c r="EY123" s="182"/>
      <c r="EZ123" s="182"/>
      <c r="FA123" s="182"/>
      <c r="FB123" s="182"/>
      <c r="FC123" s="182"/>
      <c r="FD123" s="182"/>
      <c r="FE123" s="182"/>
      <c r="FF123" s="182"/>
      <c r="FG123" s="182"/>
      <c r="FH123" s="182"/>
      <c r="FI123" s="182"/>
      <c r="FJ123" s="182"/>
      <c r="FK123" s="182"/>
      <c r="FL123" s="182"/>
      <c r="FM123" s="182"/>
      <c r="FN123" s="182"/>
      <c r="FO123" s="182"/>
      <c r="FP123" s="182"/>
      <c r="FQ123" s="182"/>
      <c r="FR123" s="182"/>
      <c r="FS123" s="182"/>
      <c r="FT123" s="182"/>
      <c r="FU123" s="182"/>
      <c r="FV123" s="182"/>
      <c r="FW123" s="182"/>
      <c r="FX123" s="182"/>
      <c r="FY123" s="182"/>
      <c r="FZ123" s="182"/>
      <c r="GA123" s="182"/>
      <c r="GB123" s="182"/>
      <c r="GC123" s="182"/>
      <c r="GD123" s="182"/>
      <c r="GE123" s="182"/>
      <c r="GF123" s="182"/>
      <c r="GG123" s="182"/>
      <c r="GH123" s="182"/>
      <c r="GI123" s="182"/>
    </row>
    <row r="124" spans="1:191" s="183" customFormat="1" ht="25.5" x14ac:dyDescent="0.2">
      <c r="A124" s="210" t="s">
        <v>38429</v>
      </c>
      <c r="B124" s="210" t="s">
        <v>18972</v>
      </c>
      <c r="C124" s="224" t="s">
        <v>38883</v>
      </c>
      <c r="D124" s="211" t="s">
        <v>16</v>
      </c>
      <c r="E124" s="211">
        <v>2</v>
      </c>
      <c r="F124" s="211"/>
      <c r="G124" s="211">
        <v>0.3</v>
      </c>
      <c r="H124" s="212"/>
      <c r="I124" s="213"/>
      <c r="J124" s="272">
        <v>3289.07</v>
      </c>
      <c r="K124" s="112">
        <f t="shared" si="14"/>
        <v>6578.14</v>
      </c>
      <c r="L124" s="273">
        <f>BDI!$E$17</f>
        <v>0.11260000000000001</v>
      </c>
      <c r="M124" s="213"/>
      <c r="N124" s="213"/>
      <c r="O124" s="114">
        <f t="shared" si="15"/>
        <v>3659.42</v>
      </c>
      <c r="P124" s="113">
        <f t="shared" si="16"/>
        <v>2195.65</v>
      </c>
      <c r="Q124" s="209"/>
      <c r="R124" s="203"/>
      <c r="S124" s="182"/>
      <c r="T124" s="182"/>
      <c r="U124" s="182"/>
      <c r="V124" s="182"/>
      <c r="W124" s="182"/>
      <c r="X124" s="182"/>
      <c r="Y124" s="182"/>
      <c r="Z124" s="182"/>
      <c r="AA124" s="182"/>
      <c r="AB124" s="182"/>
      <c r="AC124" s="182"/>
      <c r="AD124" s="182"/>
      <c r="AE124" s="182"/>
      <c r="AF124" s="182"/>
      <c r="AG124" s="182"/>
      <c r="AH124" s="182"/>
      <c r="AI124" s="182"/>
      <c r="AJ124" s="182"/>
      <c r="AK124" s="182"/>
      <c r="AL124" s="182"/>
      <c r="AM124" s="182"/>
      <c r="AN124" s="182"/>
      <c r="AO124" s="182"/>
      <c r="AP124" s="182"/>
      <c r="AQ124" s="182"/>
      <c r="AR124" s="182"/>
      <c r="AS124" s="182"/>
      <c r="AT124" s="182"/>
      <c r="AU124" s="182"/>
      <c r="AV124" s="182"/>
      <c r="AW124" s="182"/>
      <c r="AX124" s="182"/>
      <c r="AY124" s="182"/>
      <c r="AZ124" s="182"/>
      <c r="BA124" s="182"/>
      <c r="BB124" s="182"/>
      <c r="BC124" s="182"/>
      <c r="BD124" s="182"/>
      <c r="BE124" s="182"/>
      <c r="BF124" s="182"/>
      <c r="BG124" s="182"/>
      <c r="BH124" s="182"/>
      <c r="BI124" s="182"/>
      <c r="BJ124" s="182"/>
      <c r="BK124" s="182"/>
      <c r="BL124" s="182"/>
      <c r="BM124" s="182"/>
      <c r="BN124" s="182"/>
      <c r="BO124" s="182"/>
      <c r="BP124" s="182"/>
      <c r="BQ124" s="182"/>
      <c r="BR124" s="182"/>
      <c r="BS124" s="182"/>
      <c r="BT124" s="182"/>
      <c r="BU124" s="182"/>
      <c r="BV124" s="182"/>
      <c r="BW124" s="182"/>
      <c r="BX124" s="182"/>
      <c r="BY124" s="182"/>
      <c r="BZ124" s="182"/>
      <c r="CA124" s="182"/>
      <c r="CB124" s="182"/>
      <c r="CC124" s="182"/>
      <c r="CD124" s="182"/>
      <c r="CE124" s="182"/>
      <c r="CF124" s="182"/>
      <c r="CG124" s="182"/>
      <c r="CH124" s="182"/>
      <c r="CI124" s="182"/>
      <c r="CJ124" s="182"/>
      <c r="CK124" s="182"/>
      <c r="CL124" s="182"/>
      <c r="CM124" s="182"/>
      <c r="CN124" s="182"/>
      <c r="CO124" s="182"/>
      <c r="CP124" s="182"/>
      <c r="CQ124" s="182"/>
      <c r="CR124" s="182"/>
      <c r="CS124" s="182"/>
      <c r="CT124" s="182"/>
      <c r="CU124" s="182"/>
      <c r="CV124" s="182"/>
      <c r="CW124" s="182"/>
      <c r="CX124" s="182"/>
      <c r="CY124" s="182"/>
      <c r="CZ124" s="182"/>
      <c r="DA124" s="182"/>
      <c r="DB124" s="182"/>
      <c r="DC124" s="182"/>
      <c r="DD124" s="182"/>
      <c r="DE124" s="182"/>
      <c r="DF124" s="182"/>
      <c r="DG124" s="182"/>
      <c r="DH124" s="182"/>
      <c r="DI124" s="182"/>
      <c r="DJ124" s="182"/>
      <c r="DK124" s="182"/>
      <c r="DL124" s="182"/>
      <c r="DM124" s="182"/>
      <c r="DN124" s="182"/>
      <c r="DO124" s="182"/>
      <c r="DP124" s="182"/>
      <c r="DQ124" s="182"/>
      <c r="DR124" s="182"/>
      <c r="DS124" s="182"/>
      <c r="DT124" s="182"/>
      <c r="DU124" s="182"/>
      <c r="DV124" s="182"/>
      <c r="DW124" s="182"/>
      <c r="DX124" s="182"/>
      <c r="DY124" s="182"/>
      <c r="DZ124" s="182"/>
      <c r="EA124" s="182"/>
      <c r="EB124" s="182"/>
      <c r="EC124" s="182"/>
      <c r="ED124" s="182"/>
      <c r="EE124" s="182"/>
      <c r="EF124" s="182"/>
      <c r="EG124" s="182"/>
      <c r="EH124" s="182"/>
      <c r="EI124" s="182"/>
      <c r="EJ124" s="182"/>
      <c r="EK124" s="182"/>
      <c r="EL124" s="182"/>
      <c r="EM124" s="182"/>
      <c r="EN124" s="182"/>
      <c r="EO124" s="182"/>
      <c r="EP124" s="182"/>
      <c r="EQ124" s="182"/>
      <c r="ER124" s="182"/>
      <c r="ES124" s="182"/>
      <c r="ET124" s="182"/>
      <c r="EU124" s="182"/>
      <c r="EV124" s="182"/>
      <c r="EW124" s="182"/>
      <c r="EX124" s="182"/>
      <c r="EY124" s="182"/>
      <c r="EZ124" s="182"/>
      <c r="FA124" s="182"/>
      <c r="FB124" s="182"/>
      <c r="FC124" s="182"/>
      <c r="FD124" s="182"/>
      <c r="FE124" s="182"/>
      <c r="FF124" s="182"/>
      <c r="FG124" s="182"/>
      <c r="FH124" s="182"/>
      <c r="FI124" s="182"/>
      <c r="FJ124" s="182"/>
      <c r="FK124" s="182"/>
      <c r="FL124" s="182"/>
      <c r="FM124" s="182"/>
      <c r="FN124" s="182"/>
      <c r="FO124" s="182"/>
      <c r="FP124" s="182"/>
      <c r="FQ124" s="182"/>
      <c r="FR124" s="182"/>
      <c r="FS124" s="182"/>
      <c r="FT124" s="182"/>
      <c r="FU124" s="182"/>
      <c r="FV124" s="182"/>
      <c r="FW124" s="182"/>
      <c r="FX124" s="182"/>
      <c r="FY124" s="182"/>
      <c r="FZ124" s="182"/>
      <c r="GA124" s="182"/>
      <c r="GB124" s="182"/>
      <c r="GC124" s="182"/>
      <c r="GD124" s="182"/>
      <c r="GE124" s="182"/>
      <c r="GF124" s="182"/>
      <c r="GG124" s="182"/>
      <c r="GH124" s="182"/>
      <c r="GI124" s="182"/>
    </row>
    <row r="125" spans="1:191" s="183" customFormat="1" x14ac:dyDescent="0.2">
      <c r="A125" s="210" t="s">
        <v>38430</v>
      </c>
      <c r="B125" s="210" t="s">
        <v>18973</v>
      </c>
      <c r="C125" s="224" t="s">
        <v>22236</v>
      </c>
      <c r="D125" s="211" t="s">
        <v>16</v>
      </c>
      <c r="E125" s="211">
        <v>1</v>
      </c>
      <c r="F125" s="211"/>
      <c r="G125" s="211">
        <v>0.3</v>
      </c>
      <c r="H125" s="212"/>
      <c r="I125" s="213"/>
      <c r="J125" s="272">
        <v>4500</v>
      </c>
      <c r="K125" s="112">
        <f t="shared" si="14"/>
        <v>4500</v>
      </c>
      <c r="L125" s="273">
        <f>BDI!$E$17</f>
        <v>0.11260000000000001</v>
      </c>
      <c r="M125" s="213"/>
      <c r="N125" s="213"/>
      <c r="O125" s="114">
        <f t="shared" si="15"/>
        <v>5006.7</v>
      </c>
      <c r="P125" s="113">
        <f t="shared" si="16"/>
        <v>1502.01</v>
      </c>
      <c r="Q125" s="209"/>
      <c r="R125" s="203"/>
      <c r="S125" s="182"/>
      <c r="T125" s="182"/>
      <c r="U125" s="182"/>
      <c r="V125" s="182"/>
      <c r="W125" s="182"/>
      <c r="X125" s="182"/>
      <c r="Y125" s="182"/>
      <c r="Z125" s="182"/>
      <c r="AA125" s="182"/>
      <c r="AB125" s="182"/>
      <c r="AC125" s="182"/>
      <c r="AD125" s="182"/>
      <c r="AE125" s="182"/>
      <c r="AF125" s="182"/>
      <c r="AG125" s="182"/>
      <c r="AH125" s="182"/>
      <c r="AI125" s="182"/>
      <c r="AJ125" s="182"/>
      <c r="AK125" s="182"/>
      <c r="AL125" s="182"/>
      <c r="AM125" s="182"/>
      <c r="AN125" s="182"/>
      <c r="AO125" s="182"/>
      <c r="AP125" s="182"/>
      <c r="AQ125" s="182"/>
      <c r="AR125" s="182"/>
      <c r="AS125" s="182"/>
      <c r="AT125" s="182"/>
      <c r="AU125" s="182"/>
      <c r="AV125" s="182"/>
      <c r="AW125" s="182"/>
      <c r="AX125" s="182"/>
      <c r="AY125" s="182"/>
      <c r="AZ125" s="182"/>
      <c r="BA125" s="182"/>
      <c r="BB125" s="182"/>
      <c r="BC125" s="182"/>
      <c r="BD125" s="182"/>
      <c r="BE125" s="182"/>
      <c r="BF125" s="182"/>
      <c r="BG125" s="182"/>
      <c r="BH125" s="182"/>
      <c r="BI125" s="182"/>
      <c r="BJ125" s="182"/>
      <c r="BK125" s="182"/>
      <c r="BL125" s="182"/>
      <c r="BM125" s="182"/>
      <c r="BN125" s="182"/>
      <c r="BO125" s="182"/>
      <c r="BP125" s="182"/>
      <c r="BQ125" s="182"/>
      <c r="BR125" s="182"/>
      <c r="BS125" s="182"/>
      <c r="BT125" s="182"/>
      <c r="BU125" s="182"/>
      <c r="BV125" s="182"/>
      <c r="BW125" s="182"/>
      <c r="BX125" s="182"/>
      <c r="BY125" s="182"/>
      <c r="BZ125" s="182"/>
      <c r="CA125" s="182"/>
      <c r="CB125" s="182"/>
      <c r="CC125" s="182"/>
      <c r="CD125" s="182"/>
      <c r="CE125" s="182"/>
      <c r="CF125" s="182"/>
      <c r="CG125" s="182"/>
      <c r="CH125" s="182"/>
      <c r="CI125" s="182"/>
      <c r="CJ125" s="182"/>
      <c r="CK125" s="182"/>
      <c r="CL125" s="182"/>
      <c r="CM125" s="182"/>
      <c r="CN125" s="182"/>
      <c r="CO125" s="182"/>
      <c r="CP125" s="182"/>
      <c r="CQ125" s="182"/>
      <c r="CR125" s="182"/>
      <c r="CS125" s="182"/>
      <c r="CT125" s="182"/>
      <c r="CU125" s="182"/>
      <c r="CV125" s="182"/>
      <c r="CW125" s="182"/>
      <c r="CX125" s="182"/>
      <c r="CY125" s="182"/>
      <c r="CZ125" s="182"/>
      <c r="DA125" s="182"/>
      <c r="DB125" s="182"/>
      <c r="DC125" s="182"/>
      <c r="DD125" s="182"/>
      <c r="DE125" s="182"/>
      <c r="DF125" s="182"/>
      <c r="DG125" s="182"/>
      <c r="DH125" s="182"/>
      <c r="DI125" s="182"/>
      <c r="DJ125" s="182"/>
      <c r="DK125" s="182"/>
      <c r="DL125" s="182"/>
      <c r="DM125" s="182"/>
      <c r="DN125" s="182"/>
      <c r="DO125" s="182"/>
      <c r="DP125" s="182"/>
      <c r="DQ125" s="182"/>
      <c r="DR125" s="182"/>
      <c r="DS125" s="182"/>
      <c r="DT125" s="182"/>
      <c r="DU125" s="182"/>
      <c r="DV125" s="182"/>
      <c r="DW125" s="182"/>
      <c r="DX125" s="182"/>
      <c r="DY125" s="182"/>
      <c r="DZ125" s="182"/>
      <c r="EA125" s="182"/>
      <c r="EB125" s="182"/>
      <c r="EC125" s="182"/>
      <c r="ED125" s="182"/>
      <c r="EE125" s="182"/>
      <c r="EF125" s="182"/>
      <c r="EG125" s="182"/>
      <c r="EH125" s="182"/>
      <c r="EI125" s="182"/>
      <c r="EJ125" s="182"/>
      <c r="EK125" s="182"/>
      <c r="EL125" s="182"/>
      <c r="EM125" s="182"/>
      <c r="EN125" s="182"/>
      <c r="EO125" s="182"/>
      <c r="EP125" s="182"/>
      <c r="EQ125" s="182"/>
      <c r="ER125" s="182"/>
      <c r="ES125" s="182"/>
      <c r="ET125" s="182"/>
      <c r="EU125" s="182"/>
      <c r="EV125" s="182"/>
      <c r="EW125" s="182"/>
      <c r="EX125" s="182"/>
      <c r="EY125" s="182"/>
      <c r="EZ125" s="182"/>
      <c r="FA125" s="182"/>
      <c r="FB125" s="182"/>
      <c r="FC125" s="182"/>
      <c r="FD125" s="182"/>
      <c r="FE125" s="182"/>
      <c r="FF125" s="182"/>
      <c r="FG125" s="182"/>
      <c r="FH125" s="182"/>
      <c r="FI125" s="182"/>
      <c r="FJ125" s="182"/>
      <c r="FK125" s="182"/>
      <c r="FL125" s="182"/>
      <c r="FM125" s="182"/>
      <c r="FN125" s="182"/>
      <c r="FO125" s="182"/>
      <c r="FP125" s="182"/>
      <c r="FQ125" s="182"/>
      <c r="FR125" s="182"/>
      <c r="FS125" s="182"/>
      <c r="FT125" s="182"/>
      <c r="FU125" s="182"/>
      <c r="FV125" s="182"/>
      <c r="FW125" s="182"/>
      <c r="FX125" s="182"/>
      <c r="FY125" s="182"/>
      <c r="FZ125" s="182"/>
      <c r="GA125" s="182"/>
      <c r="GB125" s="182"/>
      <c r="GC125" s="182"/>
      <c r="GD125" s="182"/>
      <c r="GE125" s="182"/>
      <c r="GF125" s="182"/>
      <c r="GG125" s="182"/>
      <c r="GH125" s="182"/>
      <c r="GI125" s="182"/>
    </row>
    <row r="126" spans="1:191" s="183" customFormat="1" x14ac:dyDescent="0.2">
      <c r="A126" s="210" t="s">
        <v>38431</v>
      </c>
      <c r="B126" s="210" t="s">
        <v>18974</v>
      </c>
      <c r="C126" s="224" t="s">
        <v>22237</v>
      </c>
      <c r="D126" s="211" t="s">
        <v>16</v>
      </c>
      <c r="E126" s="211">
        <v>1</v>
      </c>
      <c r="F126" s="211"/>
      <c r="G126" s="211">
        <v>0.3</v>
      </c>
      <c r="H126" s="212"/>
      <c r="I126" s="213"/>
      <c r="J126" s="272">
        <v>2986.4</v>
      </c>
      <c r="K126" s="112">
        <f t="shared" si="14"/>
        <v>2986.4</v>
      </c>
      <c r="L126" s="273">
        <f>BDI!$E$17</f>
        <v>0.11260000000000001</v>
      </c>
      <c r="M126" s="213"/>
      <c r="N126" s="213"/>
      <c r="O126" s="114">
        <f t="shared" si="15"/>
        <v>3322.67</v>
      </c>
      <c r="P126" s="113">
        <f t="shared" si="16"/>
        <v>996.8</v>
      </c>
      <c r="Q126" s="209"/>
      <c r="R126" s="203"/>
      <c r="S126" s="182"/>
      <c r="T126" s="182"/>
      <c r="U126" s="182"/>
      <c r="V126" s="182"/>
      <c r="W126" s="182"/>
      <c r="X126" s="182"/>
      <c r="Y126" s="182"/>
      <c r="Z126" s="182"/>
      <c r="AA126" s="182"/>
      <c r="AB126" s="182"/>
      <c r="AC126" s="182"/>
      <c r="AD126" s="182"/>
      <c r="AE126" s="182"/>
      <c r="AF126" s="182"/>
      <c r="AG126" s="182"/>
      <c r="AH126" s="182"/>
      <c r="AI126" s="182"/>
      <c r="AJ126" s="182"/>
      <c r="AK126" s="182"/>
      <c r="AL126" s="182"/>
      <c r="AM126" s="182"/>
      <c r="AN126" s="182"/>
      <c r="AO126" s="182"/>
      <c r="AP126" s="182"/>
      <c r="AQ126" s="182"/>
      <c r="AR126" s="182"/>
      <c r="AS126" s="182"/>
      <c r="AT126" s="182"/>
      <c r="AU126" s="182"/>
      <c r="AV126" s="182"/>
      <c r="AW126" s="182"/>
      <c r="AX126" s="182"/>
      <c r="AY126" s="182"/>
      <c r="AZ126" s="182"/>
      <c r="BA126" s="182"/>
      <c r="BB126" s="182"/>
      <c r="BC126" s="182"/>
      <c r="BD126" s="182"/>
      <c r="BE126" s="182"/>
      <c r="BF126" s="182"/>
      <c r="BG126" s="182"/>
      <c r="BH126" s="182"/>
      <c r="BI126" s="182"/>
      <c r="BJ126" s="182"/>
      <c r="BK126" s="182"/>
      <c r="BL126" s="182"/>
      <c r="BM126" s="182"/>
      <c r="BN126" s="182"/>
      <c r="BO126" s="182"/>
      <c r="BP126" s="182"/>
      <c r="BQ126" s="182"/>
      <c r="BR126" s="182"/>
      <c r="BS126" s="182"/>
      <c r="BT126" s="182"/>
      <c r="BU126" s="182"/>
      <c r="BV126" s="182"/>
      <c r="BW126" s="182"/>
      <c r="BX126" s="182"/>
      <c r="BY126" s="182"/>
      <c r="BZ126" s="182"/>
      <c r="CA126" s="182"/>
      <c r="CB126" s="182"/>
      <c r="CC126" s="182"/>
      <c r="CD126" s="182"/>
      <c r="CE126" s="182"/>
      <c r="CF126" s="182"/>
      <c r="CG126" s="182"/>
      <c r="CH126" s="182"/>
      <c r="CI126" s="182"/>
      <c r="CJ126" s="182"/>
      <c r="CK126" s="182"/>
      <c r="CL126" s="182"/>
      <c r="CM126" s="182"/>
      <c r="CN126" s="182"/>
      <c r="CO126" s="182"/>
      <c r="CP126" s="182"/>
      <c r="CQ126" s="182"/>
      <c r="CR126" s="182"/>
      <c r="CS126" s="182"/>
      <c r="CT126" s="182"/>
      <c r="CU126" s="182"/>
      <c r="CV126" s="182"/>
      <c r="CW126" s="182"/>
      <c r="CX126" s="182"/>
      <c r="CY126" s="182"/>
      <c r="CZ126" s="182"/>
      <c r="DA126" s="182"/>
      <c r="DB126" s="182"/>
      <c r="DC126" s="182"/>
      <c r="DD126" s="182"/>
      <c r="DE126" s="182"/>
      <c r="DF126" s="182"/>
      <c r="DG126" s="182"/>
      <c r="DH126" s="182"/>
      <c r="DI126" s="182"/>
      <c r="DJ126" s="182"/>
      <c r="DK126" s="182"/>
      <c r="DL126" s="182"/>
      <c r="DM126" s="182"/>
      <c r="DN126" s="182"/>
      <c r="DO126" s="182"/>
      <c r="DP126" s="182"/>
      <c r="DQ126" s="182"/>
      <c r="DR126" s="182"/>
      <c r="DS126" s="182"/>
      <c r="DT126" s="182"/>
      <c r="DU126" s="182"/>
      <c r="DV126" s="182"/>
      <c r="DW126" s="182"/>
      <c r="DX126" s="182"/>
      <c r="DY126" s="182"/>
      <c r="DZ126" s="182"/>
      <c r="EA126" s="182"/>
      <c r="EB126" s="182"/>
      <c r="EC126" s="182"/>
      <c r="ED126" s="182"/>
      <c r="EE126" s="182"/>
      <c r="EF126" s="182"/>
      <c r="EG126" s="182"/>
      <c r="EH126" s="182"/>
      <c r="EI126" s="182"/>
      <c r="EJ126" s="182"/>
      <c r="EK126" s="182"/>
      <c r="EL126" s="182"/>
      <c r="EM126" s="182"/>
      <c r="EN126" s="182"/>
      <c r="EO126" s="182"/>
      <c r="EP126" s="182"/>
      <c r="EQ126" s="182"/>
      <c r="ER126" s="182"/>
      <c r="ES126" s="182"/>
      <c r="ET126" s="182"/>
      <c r="EU126" s="182"/>
      <c r="EV126" s="182"/>
      <c r="EW126" s="182"/>
      <c r="EX126" s="182"/>
      <c r="EY126" s="182"/>
      <c r="EZ126" s="182"/>
      <c r="FA126" s="182"/>
      <c r="FB126" s="182"/>
      <c r="FC126" s="182"/>
      <c r="FD126" s="182"/>
      <c r="FE126" s="182"/>
      <c r="FF126" s="182"/>
      <c r="FG126" s="182"/>
      <c r="FH126" s="182"/>
      <c r="FI126" s="182"/>
      <c r="FJ126" s="182"/>
      <c r="FK126" s="182"/>
      <c r="FL126" s="182"/>
      <c r="FM126" s="182"/>
      <c r="FN126" s="182"/>
      <c r="FO126" s="182"/>
      <c r="FP126" s="182"/>
      <c r="FQ126" s="182"/>
      <c r="FR126" s="182"/>
      <c r="FS126" s="182"/>
      <c r="FT126" s="182"/>
      <c r="FU126" s="182"/>
      <c r="FV126" s="182"/>
      <c r="FW126" s="182"/>
      <c r="FX126" s="182"/>
      <c r="FY126" s="182"/>
      <c r="FZ126" s="182"/>
      <c r="GA126" s="182"/>
      <c r="GB126" s="182"/>
      <c r="GC126" s="182"/>
      <c r="GD126" s="182"/>
      <c r="GE126" s="182"/>
      <c r="GF126" s="182"/>
      <c r="GG126" s="182"/>
      <c r="GH126" s="182"/>
      <c r="GI126" s="182"/>
    </row>
    <row r="127" spans="1:191" s="183" customFormat="1" x14ac:dyDescent="0.2">
      <c r="A127" s="210" t="s">
        <v>38432</v>
      </c>
      <c r="B127" s="210" t="s">
        <v>18975</v>
      </c>
      <c r="C127" s="224" t="s">
        <v>22238</v>
      </c>
      <c r="D127" s="211" t="s">
        <v>16</v>
      </c>
      <c r="E127" s="211">
        <v>1</v>
      </c>
      <c r="F127" s="211"/>
      <c r="G127" s="211">
        <v>0.3</v>
      </c>
      <c r="H127" s="212"/>
      <c r="I127" s="213"/>
      <c r="J127" s="272">
        <v>1514</v>
      </c>
      <c r="K127" s="112">
        <f t="shared" si="14"/>
        <v>1514</v>
      </c>
      <c r="L127" s="273">
        <f>BDI!$E$17</f>
        <v>0.11260000000000001</v>
      </c>
      <c r="M127" s="213"/>
      <c r="N127" s="213"/>
      <c r="O127" s="114">
        <f t="shared" si="15"/>
        <v>1684.48</v>
      </c>
      <c r="P127" s="113">
        <f t="shared" si="16"/>
        <v>505.34</v>
      </c>
      <c r="Q127" s="209"/>
      <c r="R127" s="203"/>
      <c r="S127" s="182"/>
      <c r="T127" s="182"/>
      <c r="U127" s="182"/>
      <c r="V127" s="182"/>
      <c r="W127" s="182"/>
      <c r="X127" s="182"/>
      <c r="Y127" s="182"/>
      <c r="Z127" s="182"/>
      <c r="AA127" s="182"/>
      <c r="AB127" s="182"/>
      <c r="AC127" s="182"/>
      <c r="AD127" s="182"/>
      <c r="AE127" s="182"/>
      <c r="AF127" s="182"/>
      <c r="AG127" s="182"/>
      <c r="AH127" s="182"/>
      <c r="AI127" s="182"/>
      <c r="AJ127" s="182"/>
      <c r="AK127" s="182"/>
      <c r="AL127" s="182"/>
      <c r="AM127" s="182"/>
      <c r="AN127" s="182"/>
      <c r="AO127" s="182"/>
      <c r="AP127" s="182"/>
      <c r="AQ127" s="182"/>
      <c r="AR127" s="182"/>
      <c r="AS127" s="182"/>
      <c r="AT127" s="182"/>
      <c r="AU127" s="182"/>
      <c r="AV127" s="182"/>
      <c r="AW127" s="182"/>
      <c r="AX127" s="182"/>
      <c r="AY127" s="182"/>
      <c r="AZ127" s="182"/>
      <c r="BA127" s="182"/>
      <c r="BB127" s="182"/>
      <c r="BC127" s="182"/>
      <c r="BD127" s="182"/>
      <c r="BE127" s="182"/>
      <c r="BF127" s="182"/>
      <c r="BG127" s="182"/>
      <c r="BH127" s="182"/>
      <c r="BI127" s="182"/>
      <c r="BJ127" s="182"/>
      <c r="BK127" s="182"/>
      <c r="BL127" s="182"/>
      <c r="BM127" s="182"/>
      <c r="BN127" s="182"/>
      <c r="BO127" s="182"/>
      <c r="BP127" s="182"/>
      <c r="BQ127" s="182"/>
      <c r="BR127" s="182"/>
      <c r="BS127" s="182"/>
      <c r="BT127" s="182"/>
      <c r="BU127" s="182"/>
      <c r="BV127" s="182"/>
      <c r="BW127" s="182"/>
      <c r="BX127" s="182"/>
      <c r="BY127" s="182"/>
      <c r="BZ127" s="182"/>
      <c r="CA127" s="182"/>
      <c r="CB127" s="182"/>
      <c r="CC127" s="182"/>
      <c r="CD127" s="182"/>
      <c r="CE127" s="182"/>
      <c r="CF127" s="182"/>
      <c r="CG127" s="182"/>
      <c r="CH127" s="182"/>
      <c r="CI127" s="182"/>
      <c r="CJ127" s="182"/>
      <c r="CK127" s="182"/>
      <c r="CL127" s="182"/>
      <c r="CM127" s="182"/>
      <c r="CN127" s="182"/>
      <c r="CO127" s="182"/>
      <c r="CP127" s="182"/>
      <c r="CQ127" s="182"/>
      <c r="CR127" s="182"/>
      <c r="CS127" s="182"/>
      <c r="CT127" s="182"/>
      <c r="CU127" s="182"/>
      <c r="CV127" s="182"/>
      <c r="CW127" s="182"/>
      <c r="CX127" s="182"/>
      <c r="CY127" s="182"/>
      <c r="CZ127" s="182"/>
      <c r="DA127" s="182"/>
      <c r="DB127" s="182"/>
      <c r="DC127" s="182"/>
      <c r="DD127" s="182"/>
      <c r="DE127" s="182"/>
      <c r="DF127" s="182"/>
      <c r="DG127" s="182"/>
      <c r="DH127" s="182"/>
      <c r="DI127" s="182"/>
      <c r="DJ127" s="182"/>
      <c r="DK127" s="182"/>
      <c r="DL127" s="182"/>
      <c r="DM127" s="182"/>
      <c r="DN127" s="182"/>
      <c r="DO127" s="182"/>
      <c r="DP127" s="182"/>
      <c r="DQ127" s="182"/>
      <c r="DR127" s="182"/>
      <c r="DS127" s="182"/>
      <c r="DT127" s="182"/>
      <c r="DU127" s="182"/>
      <c r="DV127" s="182"/>
      <c r="DW127" s="182"/>
      <c r="DX127" s="182"/>
      <c r="DY127" s="182"/>
      <c r="DZ127" s="182"/>
      <c r="EA127" s="182"/>
      <c r="EB127" s="182"/>
      <c r="EC127" s="182"/>
      <c r="ED127" s="182"/>
      <c r="EE127" s="182"/>
      <c r="EF127" s="182"/>
      <c r="EG127" s="182"/>
      <c r="EH127" s="182"/>
      <c r="EI127" s="182"/>
      <c r="EJ127" s="182"/>
      <c r="EK127" s="182"/>
      <c r="EL127" s="182"/>
      <c r="EM127" s="182"/>
      <c r="EN127" s="182"/>
      <c r="EO127" s="182"/>
      <c r="EP127" s="182"/>
      <c r="EQ127" s="182"/>
      <c r="ER127" s="182"/>
      <c r="ES127" s="182"/>
      <c r="ET127" s="182"/>
      <c r="EU127" s="182"/>
      <c r="EV127" s="182"/>
      <c r="EW127" s="182"/>
      <c r="EX127" s="182"/>
      <c r="EY127" s="182"/>
      <c r="EZ127" s="182"/>
      <c r="FA127" s="182"/>
      <c r="FB127" s="182"/>
      <c r="FC127" s="182"/>
      <c r="FD127" s="182"/>
      <c r="FE127" s="182"/>
      <c r="FF127" s="182"/>
      <c r="FG127" s="182"/>
      <c r="FH127" s="182"/>
      <c r="FI127" s="182"/>
      <c r="FJ127" s="182"/>
      <c r="FK127" s="182"/>
      <c r="FL127" s="182"/>
      <c r="FM127" s="182"/>
      <c r="FN127" s="182"/>
      <c r="FO127" s="182"/>
      <c r="FP127" s="182"/>
      <c r="FQ127" s="182"/>
      <c r="FR127" s="182"/>
      <c r="FS127" s="182"/>
      <c r="FT127" s="182"/>
      <c r="FU127" s="182"/>
      <c r="FV127" s="182"/>
      <c r="FW127" s="182"/>
      <c r="FX127" s="182"/>
      <c r="FY127" s="182"/>
      <c r="FZ127" s="182"/>
      <c r="GA127" s="182"/>
      <c r="GB127" s="182"/>
      <c r="GC127" s="182"/>
      <c r="GD127" s="182"/>
      <c r="GE127" s="182"/>
      <c r="GF127" s="182"/>
      <c r="GG127" s="182"/>
      <c r="GH127" s="182"/>
      <c r="GI127" s="182"/>
    </row>
    <row r="128" spans="1:191" s="183" customFormat="1" x14ac:dyDescent="0.2">
      <c r="A128" s="210" t="s">
        <v>38433</v>
      </c>
      <c r="B128" s="210" t="s">
        <v>18976</v>
      </c>
      <c r="C128" s="224" t="s">
        <v>22239</v>
      </c>
      <c r="D128" s="211" t="s">
        <v>16</v>
      </c>
      <c r="E128" s="211">
        <v>1</v>
      </c>
      <c r="F128" s="211"/>
      <c r="G128" s="211">
        <v>0.3</v>
      </c>
      <c r="H128" s="212"/>
      <c r="I128" s="213"/>
      <c r="J128" s="272">
        <v>5617.16</v>
      </c>
      <c r="K128" s="112">
        <f t="shared" si="14"/>
        <v>5617.16</v>
      </c>
      <c r="L128" s="273">
        <f>BDI!$E$17</f>
        <v>0.11260000000000001</v>
      </c>
      <c r="M128" s="213"/>
      <c r="N128" s="213"/>
      <c r="O128" s="114">
        <f t="shared" si="15"/>
        <v>6249.65</v>
      </c>
      <c r="P128" s="113">
        <f t="shared" si="16"/>
        <v>1874.9</v>
      </c>
      <c r="Q128" s="209"/>
      <c r="R128" s="203"/>
      <c r="S128" s="182"/>
      <c r="T128" s="182"/>
      <c r="U128" s="182"/>
      <c r="V128" s="182"/>
      <c r="W128" s="182"/>
      <c r="X128" s="182"/>
      <c r="Y128" s="182"/>
      <c r="Z128" s="182"/>
      <c r="AA128" s="182"/>
      <c r="AB128" s="182"/>
      <c r="AC128" s="182"/>
      <c r="AD128" s="182"/>
      <c r="AE128" s="182"/>
      <c r="AF128" s="182"/>
      <c r="AG128" s="182"/>
      <c r="AH128" s="182"/>
      <c r="AI128" s="182"/>
      <c r="AJ128" s="182"/>
      <c r="AK128" s="182"/>
      <c r="AL128" s="182"/>
      <c r="AM128" s="182"/>
      <c r="AN128" s="182"/>
      <c r="AO128" s="182"/>
      <c r="AP128" s="182"/>
      <c r="AQ128" s="182"/>
      <c r="AR128" s="182"/>
      <c r="AS128" s="182"/>
      <c r="AT128" s="182"/>
      <c r="AU128" s="182"/>
      <c r="AV128" s="182"/>
      <c r="AW128" s="182"/>
      <c r="AX128" s="182"/>
      <c r="AY128" s="182"/>
      <c r="AZ128" s="182"/>
      <c r="BA128" s="182"/>
      <c r="BB128" s="182"/>
      <c r="BC128" s="182"/>
      <c r="BD128" s="182"/>
      <c r="BE128" s="182"/>
      <c r="BF128" s="182"/>
      <c r="BG128" s="182"/>
      <c r="BH128" s="182"/>
      <c r="BI128" s="182"/>
      <c r="BJ128" s="182"/>
      <c r="BK128" s="182"/>
      <c r="BL128" s="182"/>
      <c r="BM128" s="182"/>
      <c r="BN128" s="182"/>
      <c r="BO128" s="182"/>
      <c r="BP128" s="182"/>
      <c r="BQ128" s="182"/>
      <c r="BR128" s="182"/>
      <c r="BS128" s="182"/>
      <c r="BT128" s="182"/>
      <c r="BU128" s="182"/>
      <c r="BV128" s="182"/>
      <c r="BW128" s="182"/>
      <c r="BX128" s="182"/>
      <c r="BY128" s="182"/>
      <c r="BZ128" s="182"/>
      <c r="CA128" s="182"/>
      <c r="CB128" s="182"/>
      <c r="CC128" s="182"/>
      <c r="CD128" s="182"/>
      <c r="CE128" s="182"/>
      <c r="CF128" s="182"/>
      <c r="CG128" s="182"/>
      <c r="CH128" s="182"/>
      <c r="CI128" s="182"/>
      <c r="CJ128" s="182"/>
      <c r="CK128" s="182"/>
      <c r="CL128" s="182"/>
      <c r="CM128" s="182"/>
      <c r="CN128" s="182"/>
      <c r="CO128" s="182"/>
      <c r="CP128" s="182"/>
      <c r="CQ128" s="182"/>
      <c r="CR128" s="182"/>
      <c r="CS128" s="182"/>
      <c r="CT128" s="182"/>
      <c r="CU128" s="182"/>
      <c r="CV128" s="182"/>
      <c r="CW128" s="182"/>
      <c r="CX128" s="182"/>
      <c r="CY128" s="182"/>
      <c r="CZ128" s="182"/>
      <c r="DA128" s="182"/>
      <c r="DB128" s="182"/>
      <c r="DC128" s="182"/>
      <c r="DD128" s="182"/>
      <c r="DE128" s="182"/>
      <c r="DF128" s="182"/>
      <c r="DG128" s="182"/>
      <c r="DH128" s="182"/>
      <c r="DI128" s="182"/>
      <c r="DJ128" s="182"/>
      <c r="DK128" s="182"/>
      <c r="DL128" s="182"/>
      <c r="DM128" s="182"/>
      <c r="DN128" s="182"/>
      <c r="DO128" s="182"/>
      <c r="DP128" s="182"/>
      <c r="DQ128" s="182"/>
      <c r="DR128" s="182"/>
      <c r="DS128" s="182"/>
      <c r="DT128" s="182"/>
      <c r="DU128" s="182"/>
      <c r="DV128" s="182"/>
      <c r="DW128" s="182"/>
      <c r="DX128" s="182"/>
      <c r="DY128" s="182"/>
      <c r="DZ128" s="182"/>
      <c r="EA128" s="182"/>
      <c r="EB128" s="182"/>
      <c r="EC128" s="182"/>
      <c r="ED128" s="182"/>
      <c r="EE128" s="182"/>
      <c r="EF128" s="182"/>
      <c r="EG128" s="182"/>
      <c r="EH128" s="182"/>
      <c r="EI128" s="182"/>
      <c r="EJ128" s="182"/>
      <c r="EK128" s="182"/>
      <c r="EL128" s="182"/>
      <c r="EM128" s="182"/>
      <c r="EN128" s="182"/>
      <c r="EO128" s="182"/>
      <c r="EP128" s="182"/>
      <c r="EQ128" s="182"/>
      <c r="ER128" s="182"/>
      <c r="ES128" s="182"/>
      <c r="ET128" s="182"/>
      <c r="EU128" s="182"/>
      <c r="EV128" s="182"/>
      <c r="EW128" s="182"/>
      <c r="EX128" s="182"/>
      <c r="EY128" s="182"/>
      <c r="EZ128" s="182"/>
      <c r="FA128" s="182"/>
      <c r="FB128" s="182"/>
      <c r="FC128" s="182"/>
      <c r="FD128" s="182"/>
      <c r="FE128" s="182"/>
      <c r="FF128" s="182"/>
      <c r="FG128" s="182"/>
      <c r="FH128" s="182"/>
      <c r="FI128" s="182"/>
      <c r="FJ128" s="182"/>
      <c r="FK128" s="182"/>
      <c r="FL128" s="182"/>
      <c r="FM128" s="182"/>
      <c r="FN128" s="182"/>
      <c r="FO128" s="182"/>
      <c r="FP128" s="182"/>
      <c r="FQ128" s="182"/>
      <c r="FR128" s="182"/>
      <c r="FS128" s="182"/>
      <c r="FT128" s="182"/>
      <c r="FU128" s="182"/>
      <c r="FV128" s="182"/>
      <c r="FW128" s="182"/>
      <c r="FX128" s="182"/>
      <c r="FY128" s="182"/>
      <c r="FZ128" s="182"/>
      <c r="GA128" s="182"/>
      <c r="GB128" s="182"/>
      <c r="GC128" s="182"/>
      <c r="GD128" s="182"/>
      <c r="GE128" s="182"/>
      <c r="GF128" s="182"/>
      <c r="GG128" s="182"/>
      <c r="GH128" s="182"/>
      <c r="GI128" s="182"/>
    </row>
    <row r="129" spans="1:191" s="183" customFormat="1" x14ac:dyDescent="0.2">
      <c r="A129" s="210" t="s">
        <v>38434</v>
      </c>
      <c r="B129" s="210" t="s">
        <v>18977</v>
      </c>
      <c r="C129" s="224" t="s">
        <v>22240</v>
      </c>
      <c r="D129" s="211" t="s">
        <v>16</v>
      </c>
      <c r="E129" s="211">
        <v>6</v>
      </c>
      <c r="F129" s="211"/>
      <c r="G129" s="211">
        <v>0.3</v>
      </c>
      <c r="H129" s="212"/>
      <c r="I129" s="213"/>
      <c r="J129" s="272">
        <v>3054.03</v>
      </c>
      <c r="K129" s="112">
        <f t="shared" si="14"/>
        <v>18324.18</v>
      </c>
      <c r="L129" s="273">
        <f>BDI!$E$17</f>
        <v>0.11260000000000001</v>
      </c>
      <c r="M129" s="213"/>
      <c r="N129" s="213"/>
      <c r="O129" s="114">
        <f t="shared" si="15"/>
        <v>3397.91</v>
      </c>
      <c r="P129" s="113">
        <f t="shared" si="16"/>
        <v>6116.24</v>
      </c>
      <c r="Q129" s="209"/>
      <c r="R129" s="203"/>
      <c r="S129" s="182"/>
      <c r="T129" s="182"/>
      <c r="U129" s="182"/>
      <c r="V129" s="182"/>
      <c r="W129" s="182"/>
      <c r="X129" s="182"/>
      <c r="Y129" s="182"/>
      <c r="Z129" s="182"/>
      <c r="AA129" s="182"/>
      <c r="AB129" s="182"/>
      <c r="AC129" s="182"/>
      <c r="AD129" s="182"/>
      <c r="AE129" s="182"/>
      <c r="AF129" s="182"/>
      <c r="AG129" s="182"/>
      <c r="AH129" s="182"/>
      <c r="AI129" s="182"/>
      <c r="AJ129" s="182"/>
      <c r="AK129" s="182"/>
      <c r="AL129" s="182"/>
      <c r="AM129" s="182"/>
      <c r="AN129" s="182"/>
      <c r="AO129" s="182"/>
      <c r="AP129" s="182"/>
      <c r="AQ129" s="182"/>
      <c r="AR129" s="182"/>
      <c r="AS129" s="182"/>
      <c r="AT129" s="182"/>
      <c r="AU129" s="182"/>
      <c r="AV129" s="182"/>
      <c r="AW129" s="182"/>
      <c r="AX129" s="182"/>
      <c r="AY129" s="182"/>
      <c r="AZ129" s="182"/>
      <c r="BA129" s="182"/>
      <c r="BB129" s="182"/>
      <c r="BC129" s="182"/>
      <c r="BD129" s="182"/>
      <c r="BE129" s="182"/>
      <c r="BF129" s="182"/>
      <c r="BG129" s="182"/>
      <c r="BH129" s="182"/>
      <c r="BI129" s="182"/>
      <c r="BJ129" s="182"/>
      <c r="BK129" s="182"/>
      <c r="BL129" s="182"/>
      <c r="BM129" s="182"/>
      <c r="BN129" s="182"/>
      <c r="BO129" s="182"/>
      <c r="BP129" s="182"/>
      <c r="BQ129" s="182"/>
      <c r="BR129" s="182"/>
      <c r="BS129" s="182"/>
      <c r="BT129" s="182"/>
      <c r="BU129" s="182"/>
      <c r="BV129" s="182"/>
      <c r="BW129" s="182"/>
      <c r="BX129" s="182"/>
      <c r="BY129" s="182"/>
      <c r="BZ129" s="182"/>
      <c r="CA129" s="182"/>
      <c r="CB129" s="182"/>
      <c r="CC129" s="182"/>
      <c r="CD129" s="182"/>
      <c r="CE129" s="182"/>
      <c r="CF129" s="182"/>
      <c r="CG129" s="182"/>
      <c r="CH129" s="182"/>
      <c r="CI129" s="182"/>
      <c r="CJ129" s="182"/>
      <c r="CK129" s="182"/>
      <c r="CL129" s="182"/>
      <c r="CM129" s="182"/>
      <c r="CN129" s="182"/>
      <c r="CO129" s="182"/>
      <c r="CP129" s="182"/>
      <c r="CQ129" s="182"/>
      <c r="CR129" s="182"/>
      <c r="CS129" s="182"/>
      <c r="CT129" s="182"/>
      <c r="CU129" s="182"/>
      <c r="CV129" s="182"/>
      <c r="CW129" s="182"/>
      <c r="CX129" s="182"/>
      <c r="CY129" s="182"/>
      <c r="CZ129" s="182"/>
      <c r="DA129" s="182"/>
      <c r="DB129" s="182"/>
      <c r="DC129" s="182"/>
      <c r="DD129" s="182"/>
      <c r="DE129" s="182"/>
      <c r="DF129" s="182"/>
      <c r="DG129" s="182"/>
      <c r="DH129" s="182"/>
      <c r="DI129" s="182"/>
      <c r="DJ129" s="182"/>
      <c r="DK129" s="182"/>
      <c r="DL129" s="182"/>
      <c r="DM129" s="182"/>
      <c r="DN129" s="182"/>
      <c r="DO129" s="182"/>
      <c r="DP129" s="182"/>
      <c r="DQ129" s="182"/>
      <c r="DR129" s="182"/>
      <c r="DS129" s="182"/>
      <c r="DT129" s="182"/>
      <c r="DU129" s="182"/>
      <c r="DV129" s="182"/>
      <c r="DW129" s="182"/>
      <c r="DX129" s="182"/>
      <c r="DY129" s="182"/>
      <c r="DZ129" s="182"/>
      <c r="EA129" s="182"/>
      <c r="EB129" s="182"/>
      <c r="EC129" s="182"/>
      <c r="ED129" s="182"/>
      <c r="EE129" s="182"/>
      <c r="EF129" s="182"/>
      <c r="EG129" s="182"/>
      <c r="EH129" s="182"/>
      <c r="EI129" s="182"/>
      <c r="EJ129" s="182"/>
      <c r="EK129" s="182"/>
      <c r="EL129" s="182"/>
      <c r="EM129" s="182"/>
      <c r="EN129" s="182"/>
      <c r="EO129" s="182"/>
      <c r="EP129" s="182"/>
      <c r="EQ129" s="182"/>
      <c r="ER129" s="182"/>
      <c r="ES129" s="182"/>
      <c r="ET129" s="182"/>
      <c r="EU129" s="182"/>
      <c r="EV129" s="182"/>
      <c r="EW129" s="182"/>
      <c r="EX129" s="182"/>
      <c r="EY129" s="182"/>
      <c r="EZ129" s="182"/>
      <c r="FA129" s="182"/>
      <c r="FB129" s="182"/>
      <c r="FC129" s="182"/>
      <c r="FD129" s="182"/>
      <c r="FE129" s="182"/>
      <c r="FF129" s="182"/>
      <c r="FG129" s="182"/>
      <c r="FH129" s="182"/>
      <c r="FI129" s="182"/>
      <c r="FJ129" s="182"/>
      <c r="FK129" s="182"/>
      <c r="FL129" s="182"/>
      <c r="FM129" s="182"/>
      <c r="FN129" s="182"/>
      <c r="FO129" s="182"/>
      <c r="FP129" s="182"/>
      <c r="FQ129" s="182"/>
      <c r="FR129" s="182"/>
      <c r="FS129" s="182"/>
      <c r="FT129" s="182"/>
      <c r="FU129" s="182"/>
      <c r="FV129" s="182"/>
      <c r="FW129" s="182"/>
      <c r="FX129" s="182"/>
      <c r="FY129" s="182"/>
      <c r="FZ129" s="182"/>
      <c r="GA129" s="182"/>
      <c r="GB129" s="182"/>
      <c r="GC129" s="182"/>
      <c r="GD129" s="182"/>
      <c r="GE129" s="182"/>
      <c r="GF129" s="182"/>
      <c r="GG129" s="182"/>
      <c r="GH129" s="182"/>
      <c r="GI129" s="182"/>
    </row>
    <row r="130" spans="1:191" s="183" customFormat="1" x14ac:dyDescent="0.2">
      <c r="A130" s="210" t="s">
        <v>38435</v>
      </c>
      <c r="B130" s="210" t="s">
        <v>18978</v>
      </c>
      <c r="C130" s="224" t="s">
        <v>22241</v>
      </c>
      <c r="D130" s="211" t="s">
        <v>16</v>
      </c>
      <c r="E130" s="211">
        <v>1</v>
      </c>
      <c r="F130" s="211"/>
      <c r="G130" s="211">
        <v>0.3</v>
      </c>
      <c r="H130" s="212"/>
      <c r="I130" s="213"/>
      <c r="J130" s="272">
        <v>3889.61</v>
      </c>
      <c r="K130" s="112">
        <f t="shared" si="14"/>
        <v>3889.61</v>
      </c>
      <c r="L130" s="273">
        <f>BDI!$E$17</f>
        <v>0.11260000000000001</v>
      </c>
      <c r="M130" s="213"/>
      <c r="N130" s="213"/>
      <c r="O130" s="114">
        <f t="shared" si="15"/>
        <v>4327.58</v>
      </c>
      <c r="P130" s="113">
        <f t="shared" si="16"/>
        <v>1298.27</v>
      </c>
      <c r="Q130" s="209"/>
      <c r="R130" s="203"/>
      <c r="S130" s="182"/>
      <c r="T130" s="182"/>
      <c r="U130" s="182"/>
      <c r="V130" s="182"/>
      <c r="W130" s="182"/>
      <c r="X130" s="182"/>
      <c r="Y130" s="182"/>
      <c r="Z130" s="182"/>
      <c r="AA130" s="182"/>
      <c r="AB130" s="182"/>
      <c r="AC130" s="182"/>
      <c r="AD130" s="182"/>
      <c r="AE130" s="182"/>
      <c r="AF130" s="182"/>
      <c r="AG130" s="182"/>
      <c r="AH130" s="182"/>
      <c r="AI130" s="182"/>
      <c r="AJ130" s="182"/>
      <c r="AK130" s="182"/>
      <c r="AL130" s="182"/>
      <c r="AM130" s="182"/>
      <c r="AN130" s="182"/>
      <c r="AO130" s="182"/>
      <c r="AP130" s="182"/>
      <c r="AQ130" s="182"/>
      <c r="AR130" s="182"/>
      <c r="AS130" s="182"/>
      <c r="AT130" s="182"/>
      <c r="AU130" s="182"/>
      <c r="AV130" s="182"/>
      <c r="AW130" s="182"/>
      <c r="AX130" s="182"/>
      <c r="AY130" s="182"/>
      <c r="AZ130" s="182"/>
      <c r="BA130" s="182"/>
      <c r="BB130" s="182"/>
      <c r="BC130" s="182"/>
      <c r="BD130" s="182"/>
      <c r="BE130" s="182"/>
      <c r="BF130" s="182"/>
      <c r="BG130" s="182"/>
      <c r="BH130" s="182"/>
      <c r="BI130" s="182"/>
      <c r="BJ130" s="182"/>
      <c r="BK130" s="182"/>
      <c r="BL130" s="182"/>
      <c r="BM130" s="182"/>
      <c r="BN130" s="182"/>
      <c r="BO130" s="182"/>
      <c r="BP130" s="182"/>
      <c r="BQ130" s="182"/>
      <c r="BR130" s="182"/>
      <c r="BS130" s="182"/>
      <c r="BT130" s="182"/>
      <c r="BU130" s="182"/>
      <c r="BV130" s="182"/>
      <c r="BW130" s="182"/>
      <c r="BX130" s="182"/>
      <c r="BY130" s="182"/>
      <c r="BZ130" s="182"/>
      <c r="CA130" s="182"/>
      <c r="CB130" s="182"/>
      <c r="CC130" s="182"/>
      <c r="CD130" s="182"/>
      <c r="CE130" s="182"/>
      <c r="CF130" s="182"/>
      <c r="CG130" s="182"/>
      <c r="CH130" s="182"/>
      <c r="CI130" s="182"/>
      <c r="CJ130" s="182"/>
      <c r="CK130" s="182"/>
      <c r="CL130" s="182"/>
      <c r="CM130" s="182"/>
      <c r="CN130" s="182"/>
      <c r="CO130" s="182"/>
      <c r="CP130" s="182"/>
      <c r="CQ130" s="182"/>
      <c r="CR130" s="182"/>
      <c r="CS130" s="182"/>
      <c r="CT130" s="182"/>
      <c r="CU130" s="182"/>
      <c r="CV130" s="182"/>
      <c r="CW130" s="182"/>
      <c r="CX130" s="182"/>
      <c r="CY130" s="182"/>
      <c r="CZ130" s="182"/>
      <c r="DA130" s="182"/>
      <c r="DB130" s="182"/>
      <c r="DC130" s="182"/>
      <c r="DD130" s="182"/>
      <c r="DE130" s="182"/>
      <c r="DF130" s="182"/>
      <c r="DG130" s="182"/>
      <c r="DH130" s="182"/>
      <c r="DI130" s="182"/>
      <c r="DJ130" s="182"/>
      <c r="DK130" s="182"/>
      <c r="DL130" s="182"/>
      <c r="DM130" s="182"/>
      <c r="DN130" s="182"/>
      <c r="DO130" s="182"/>
      <c r="DP130" s="182"/>
      <c r="DQ130" s="182"/>
      <c r="DR130" s="182"/>
      <c r="DS130" s="182"/>
      <c r="DT130" s="182"/>
      <c r="DU130" s="182"/>
      <c r="DV130" s="182"/>
      <c r="DW130" s="182"/>
      <c r="DX130" s="182"/>
      <c r="DY130" s="182"/>
      <c r="DZ130" s="182"/>
      <c r="EA130" s="182"/>
      <c r="EB130" s="182"/>
      <c r="EC130" s="182"/>
      <c r="ED130" s="182"/>
      <c r="EE130" s="182"/>
      <c r="EF130" s="182"/>
      <c r="EG130" s="182"/>
      <c r="EH130" s="182"/>
      <c r="EI130" s="182"/>
      <c r="EJ130" s="182"/>
      <c r="EK130" s="182"/>
      <c r="EL130" s="182"/>
      <c r="EM130" s="182"/>
      <c r="EN130" s="182"/>
      <c r="EO130" s="182"/>
      <c r="EP130" s="182"/>
      <c r="EQ130" s="182"/>
      <c r="ER130" s="182"/>
      <c r="ES130" s="182"/>
      <c r="ET130" s="182"/>
      <c r="EU130" s="182"/>
      <c r="EV130" s="182"/>
      <c r="EW130" s="182"/>
      <c r="EX130" s="182"/>
      <c r="EY130" s="182"/>
      <c r="EZ130" s="182"/>
      <c r="FA130" s="182"/>
      <c r="FB130" s="182"/>
      <c r="FC130" s="182"/>
      <c r="FD130" s="182"/>
      <c r="FE130" s="182"/>
      <c r="FF130" s="182"/>
      <c r="FG130" s="182"/>
      <c r="FH130" s="182"/>
      <c r="FI130" s="182"/>
      <c r="FJ130" s="182"/>
      <c r="FK130" s="182"/>
      <c r="FL130" s="182"/>
      <c r="FM130" s="182"/>
      <c r="FN130" s="182"/>
      <c r="FO130" s="182"/>
      <c r="FP130" s="182"/>
      <c r="FQ130" s="182"/>
      <c r="FR130" s="182"/>
      <c r="FS130" s="182"/>
      <c r="FT130" s="182"/>
      <c r="FU130" s="182"/>
      <c r="FV130" s="182"/>
      <c r="FW130" s="182"/>
      <c r="FX130" s="182"/>
      <c r="FY130" s="182"/>
      <c r="FZ130" s="182"/>
      <c r="GA130" s="182"/>
      <c r="GB130" s="182"/>
      <c r="GC130" s="182"/>
      <c r="GD130" s="182"/>
      <c r="GE130" s="182"/>
      <c r="GF130" s="182"/>
      <c r="GG130" s="182"/>
      <c r="GH130" s="182"/>
      <c r="GI130" s="182"/>
    </row>
    <row r="131" spans="1:191" s="183" customFormat="1" x14ac:dyDescent="0.2">
      <c r="A131" s="210" t="s">
        <v>38436</v>
      </c>
      <c r="B131" s="210" t="s">
        <v>18979</v>
      </c>
      <c r="C131" s="224" t="s">
        <v>22242</v>
      </c>
      <c r="D131" s="211" t="s">
        <v>16</v>
      </c>
      <c r="E131" s="211">
        <v>1</v>
      </c>
      <c r="F131" s="211"/>
      <c r="G131" s="211">
        <v>0.3</v>
      </c>
      <c r="H131" s="212"/>
      <c r="I131" s="213"/>
      <c r="J131" s="272">
        <v>463.12</v>
      </c>
      <c r="K131" s="112">
        <f t="shared" si="14"/>
        <v>463.12</v>
      </c>
      <c r="L131" s="273">
        <f>BDI!$E$17</f>
        <v>0.11260000000000001</v>
      </c>
      <c r="M131" s="213"/>
      <c r="N131" s="213"/>
      <c r="O131" s="114">
        <f t="shared" si="15"/>
        <v>515.27</v>
      </c>
      <c r="P131" s="113">
        <f t="shared" si="16"/>
        <v>154.58000000000001</v>
      </c>
      <c r="Q131" s="209"/>
      <c r="R131" s="203"/>
      <c r="S131" s="182"/>
      <c r="T131" s="182"/>
      <c r="U131" s="182"/>
      <c r="V131" s="182"/>
      <c r="W131" s="182"/>
      <c r="X131" s="182"/>
      <c r="Y131" s="182"/>
      <c r="Z131" s="182"/>
      <c r="AA131" s="182"/>
      <c r="AB131" s="182"/>
      <c r="AC131" s="182"/>
      <c r="AD131" s="182"/>
      <c r="AE131" s="182"/>
      <c r="AF131" s="182"/>
      <c r="AG131" s="182"/>
      <c r="AH131" s="182"/>
      <c r="AI131" s="182"/>
      <c r="AJ131" s="182"/>
      <c r="AK131" s="182"/>
      <c r="AL131" s="182"/>
      <c r="AM131" s="182"/>
      <c r="AN131" s="182"/>
      <c r="AO131" s="182"/>
      <c r="AP131" s="182"/>
      <c r="AQ131" s="182"/>
      <c r="AR131" s="182"/>
      <c r="AS131" s="182"/>
      <c r="AT131" s="182"/>
      <c r="AU131" s="182"/>
      <c r="AV131" s="182"/>
      <c r="AW131" s="182"/>
      <c r="AX131" s="182"/>
      <c r="AY131" s="182"/>
      <c r="AZ131" s="182"/>
      <c r="BA131" s="182"/>
      <c r="BB131" s="182"/>
      <c r="BC131" s="182"/>
      <c r="BD131" s="182"/>
      <c r="BE131" s="182"/>
      <c r="BF131" s="182"/>
      <c r="BG131" s="182"/>
      <c r="BH131" s="182"/>
      <c r="BI131" s="182"/>
      <c r="BJ131" s="182"/>
      <c r="BK131" s="182"/>
      <c r="BL131" s="182"/>
      <c r="BM131" s="182"/>
      <c r="BN131" s="182"/>
      <c r="BO131" s="182"/>
      <c r="BP131" s="182"/>
      <c r="BQ131" s="182"/>
      <c r="BR131" s="182"/>
      <c r="BS131" s="182"/>
      <c r="BT131" s="182"/>
      <c r="BU131" s="182"/>
      <c r="BV131" s="182"/>
      <c r="BW131" s="182"/>
      <c r="BX131" s="182"/>
      <c r="BY131" s="182"/>
      <c r="BZ131" s="182"/>
      <c r="CA131" s="182"/>
      <c r="CB131" s="182"/>
      <c r="CC131" s="182"/>
      <c r="CD131" s="182"/>
      <c r="CE131" s="182"/>
      <c r="CF131" s="182"/>
      <c r="CG131" s="182"/>
      <c r="CH131" s="182"/>
      <c r="CI131" s="182"/>
      <c r="CJ131" s="182"/>
      <c r="CK131" s="182"/>
      <c r="CL131" s="182"/>
      <c r="CM131" s="182"/>
      <c r="CN131" s="182"/>
      <c r="CO131" s="182"/>
      <c r="CP131" s="182"/>
      <c r="CQ131" s="182"/>
      <c r="CR131" s="182"/>
      <c r="CS131" s="182"/>
      <c r="CT131" s="182"/>
      <c r="CU131" s="182"/>
      <c r="CV131" s="182"/>
      <c r="CW131" s="182"/>
      <c r="CX131" s="182"/>
      <c r="CY131" s="182"/>
      <c r="CZ131" s="182"/>
      <c r="DA131" s="182"/>
      <c r="DB131" s="182"/>
      <c r="DC131" s="182"/>
      <c r="DD131" s="182"/>
      <c r="DE131" s="182"/>
      <c r="DF131" s="182"/>
      <c r="DG131" s="182"/>
      <c r="DH131" s="182"/>
      <c r="DI131" s="182"/>
      <c r="DJ131" s="182"/>
      <c r="DK131" s="182"/>
      <c r="DL131" s="182"/>
      <c r="DM131" s="182"/>
      <c r="DN131" s="182"/>
      <c r="DO131" s="182"/>
      <c r="DP131" s="182"/>
      <c r="DQ131" s="182"/>
      <c r="DR131" s="182"/>
      <c r="DS131" s="182"/>
      <c r="DT131" s="182"/>
      <c r="DU131" s="182"/>
      <c r="DV131" s="182"/>
      <c r="DW131" s="182"/>
      <c r="DX131" s="182"/>
      <c r="DY131" s="182"/>
      <c r="DZ131" s="182"/>
      <c r="EA131" s="182"/>
      <c r="EB131" s="182"/>
      <c r="EC131" s="182"/>
      <c r="ED131" s="182"/>
      <c r="EE131" s="182"/>
      <c r="EF131" s="182"/>
      <c r="EG131" s="182"/>
      <c r="EH131" s="182"/>
      <c r="EI131" s="182"/>
      <c r="EJ131" s="182"/>
      <c r="EK131" s="182"/>
      <c r="EL131" s="182"/>
      <c r="EM131" s="182"/>
      <c r="EN131" s="182"/>
      <c r="EO131" s="182"/>
      <c r="EP131" s="182"/>
      <c r="EQ131" s="182"/>
      <c r="ER131" s="182"/>
      <c r="ES131" s="182"/>
      <c r="ET131" s="182"/>
      <c r="EU131" s="182"/>
      <c r="EV131" s="182"/>
      <c r="EW131" s="182"/>
      <c r="EX131" s="182"/>
      <c r="EY131" s="182"/>
      <c r="EZ131" s="182"/>
      <c r="FA131" s="182"/>
      <c r="FB131" s="182"/>
      <c r="FC131" s="182"/>
      <c r="FD131" s="182"/>
      <c r="FE131" s="182"/>
      <c r="FF131" s="182"/>
      <c r="FG131" s="182"/>
      <c r="FH131" s="182"/>
      <c r="FI131" s="182"/>
      <c r="FJ131" s="182"/>
      <c r="FK131" s="182"/>
      <c r="FL131" s="182"/>
      <c r="FM131" s="182"/>
      <c r="FN131" s="182"/>
      <c r="FO131" s="182"/>
      <c r="FP131" s="182"/>
      <c r="FQ131" s="182"/>
      <c r="FR131" s="182"/>
      <c r="FS131" s="182"/>
      <c r="FT131" s="182"/>
      <c r="FU131" s="182"/>
      <c r="FV131" s="182"/>
      <c r="FW131" s="182"/>
      <c r="FX131" s="182"/>
      <c r="FY131" s="182"/>
      <c r="FZ131" s="182"/>
      <c r="GA131" s="182"/>
      <c r="GB131" s="182"/>
      <c r="GC131" s="182"/>
      <c r="GD131" s="182"/>
      <c r="GE131" s="182"/>
      <c r="GF131" s="182"/>
      <c r="GG131" s="182"/>
      <c r="GH131" s="182"/>
      <c r="GI131" s="182"/>
    </row>
    <row r="132" spans="1:191" s="183" customFormat="1" x14ac:dyDescent="0.2">
      <c r="A132" s="210" t="s">
        <v>38437</v>
      </c>
      <c r="B132" s="210" t="s">
        <v>18980</v>
      </c>
      <c r="C132" s="224" t="s">
        <v>22243</v>
      </c>
      <c r="D132" s="211" t="s">
        <v>16</v>
      </c>
      <c r="E132" s="211">
        <v>1</v>
      </c>
      <c r="F132" s="211"/>
      <c r="G132" s="211">
        <v>0.3</v>
      </c>
      <c r="H132" s="212"/>
      <c r="I132" s="213"/>
      <c r="J132" s="272">
        <v>463.12</v>
      </c>
      <c r="K132" s="112">
        <f t="shared" si="14"/>
        <v>463.12</v>
      </c>
      <c r="L132" s="273">
        <f>BDI!$E$17</f>
        <v>0.11260000000000001</v>
      </c>
      <c r="M132" s="213"/>
      <c r="N132" s="213"/>
      <c r="O132" s="114">
        <f t="shared" si="15"/>
        <v>515.27</v>
      </c>
      <c r="P132" s="113">
        <f t="shared" si="16"/>
        <v>154.58000000000001</v>
      </c>
      <c r="Q132" s="209"/>
      <c r="R132" s="203"/>
      <c r="S132" s="182"/>
      <c r="T132" s="182"/>
      <c r="U132" s="182"/>
      <c r="V132" s="182"/>
      <c r="W132" s="182"/>
      <c r="X132" s="182"/>
      <c r="Y132" s="182"/>
      <c r="Z132" s="182"/>
      <c r="AA132" s="182"/>
      <c r="AB132" s="182"/>
      <c r="AC132" s="182"/>
      <c r="AD132" s="182"/>
      <c r="AE132" s="182"/>
      <c r="AF132" s="182"/>
      <c r="AG132" s="182"/>
      <c r="AH132" s="182"/>
      <c r="AI132" s="182"/>
      <c r="AJ132" s="182"/>
      <c r="AK132" s="182"/>
      <c r="AL132" s="182"/>
      <c r="AM132" s="182"/>
      <c r="AN132" s="182"/>
      <c r="AO132" s="182"/>
      <c r="AP132" s="182"/>
      <c r="AQ132" s="182"/>
      <c r="AR132" s="182"/>
      <c r="AS132" s="182"/>
      <c r="AT132" s="182"/>
      <c r="AU132" s="182"/>
      <c r="AV132" s="182"/>
      <c r="AW132" s="182"/>
      <c r="AX132" s="182"/>
      <c r="AY132" s="182"/>
      <c r="AZ132" s="182"/>
      <c r="BA132" s="182"/>
      <c r="BB132" s="182"/>
      <c r="BC132" s="182"/>
      <c r="BD132" s="182"/>
      <c r="BE132" s="182"/>
      <c r="BF132" s="182"/>
      <c r="BG132" s="182"/>
      <c r="BH132" s="182"/>
      <c r="BI132" s="182"/>
      <c r="BJ132" s="182"/>
      <c r="BK132" s="182"/>
      <c r="BL132" s="182"/>
      <c r="BM132" s="182"/>
      <c r="BN132" s="182"/>
      <c r="BO132" s="182"/>
      <c r="BP132" s="182"/>
      <c r="BQ132" s="182"/>
      <c r="BR132" s="182"/>
      <c r="BS132" s="182"/>
      <c r="BT132" s="182"/>
      <c r="BU132" s="182"/>
      <c r="BV132" s="182"/>
      <c r="BW132" s="182"/>
      <c r="BX132" s="182"/>
      <c r="BY132" s="182"/>
      <c r="BZ132" s="182"/>
      <c r="CA132" s="182"/>
      <c r="CB132" s="182"/>
      <c r="CC132" s="182"/>
      <c r="CD132" s="182"/>
      <c r="CE132" s="182"/>
      <c r="CF132" s="182"/>
      <c r="CG132" s="182"/>
      <c r="CH132" s="182"/>
      <c r="CI132" s="182"/>
      <c r="CJ132" s="182"/>
      <c r="CK132" s="182"/>
      <c r="CL132" s="182"/>
      <c r="CM132" s="182"/>
      <c r="CN132" s="182"/>
      <c r="CO132" s="182"/>
      <c r="CP132" s="182"/>
      <c r="CQ132" s="182"/>
      <c r="CR132" s="182"/>
      <c r="CS132" s="182"/>
      <c r="CT132" s="182"/>
      <c r="CU132" s="182"/>
      <c r="CV132" s="182"/>
      <c r="CW132" s="182"/>
      <c r="CX132" s="182"/>
      <c r="CY132" s="182"/>
      <c r="CZ132" s="182"/>
      <c r="DA132" s="182"/>
      <c r="DB132" s="182"/>
      <c r="DC132" s="182"/>
      <c r="DD132" s="182"/>
      <c r="DE132" s="182"/>
      <c r="DF132" s="182"/>
      <c r="DG132" s="182"/>
      <c r="DH132" s="182"/>
      <c r="DI132" s="182"/>
      <c r="DJ132" s="182"/>
      <c r="DK132" s="182"/>
      <c r="DL132" s="182"/>
      <c r="DM132" s="182"/>
      <c r="DN132" s="182"/>
      <c r="DO132" s="182"/>
      <c r="DP132" s="182"/>
      <c r="DQ132" s="182"/>
      <c r="DR132" s="182"/>
      <c r="DS132" s="182"/>
      <c r="DT132" s="182"/>
      <c r="DU132" s="182"/>
      <c r="DV132" s="182"/>
      <c r="DW132" s="182"/>
      <c r="DX132" s="182"/>
      <c r="DY132" s="182"/>
      <c r="DZ132" s="182"/>
      <c r="EA132" s="182"/>
      <c r="EB132" s="182"/>
      <c r="EC132" s="182"/>
      <c r="ED132" s="182"/>
      <c r="EE132" s="182"/>
      <c r="EF132" s="182"/>
      <c r="EG132" s="182"/>
      <c r="EH132" s="182"/>
      <c r="EI132" s="182"/>
      <c r="EJ132" s="182"/>
      <c r="EK132" s="182"/>
      <c r="EL132" s="182"/>
      <c r="EM132" s="182"/>
      <c r="EN132" s="182"/>
      <c r="EO132" s="182"/>
      <c r="EP132" s="182"/>
      <c r="EQ132" s="182"/>
      <c r="ER132" s="182"/>
      <c r="ES132" s="182"/>
      <c r="ET132" s="182"/>
      <c r="EU132" s="182"/>
      <c r="EV132" s="182"/>
      <c r="EW132" s="182"/>
      <c r="EX132" s="182"/>
      <c r="EY132" s="182"/>
      <c r="EZ132" s="182"/>
      <c r="FA132" s="182"/>
      <c r="FB132" s="182"/>
      <c r="FC132" s="182"/>
      <c r="FD132" s="182"/>
      <c r="FE132" s="182"/>
      <c r="FF132" s="182"/>
      <c r="FG132" s="182"/>
      <c r="FH132" s="182"/>
      <c r="FI132" s="182"/>
      <c r="FJ132" s="182"/>
      <c r="FK132" s="182"/>
      <c r="FL132" s="182"/>
      <c r="FM132" s="182"/>
      <c r="FN132" s="182"/>
      <c r="FO132" s="182"/>
      <c r="FP132" s="182"/>
      <c r="FQ132" s="182"/>
      <c r="FR132" s="182"/>
      <c r="FS132" s="182"/>
      <c r="FT132" s="182"/>
      <c r="FU132" s="182"/>
      <c r="FV132" s="182"/>
      <c r="FW132" s="182"/>
      <c r="FX132" s="182"/>
      <c r="FY132" s="182"/>
      <c r="FZ132" s="182"/>
      <c r="GA132" s="182"/>
      <c r="GB132" s="182"/>
      <c r="GC132" s="182"/>
      <c r="GD132" s="182"/>
      <c r="GE132" s="182"/>
      <c r="GF132" s="182"/>
      <c r="GG132" s="182"/>
      <c r="GH132" s="182"/>
      <c r="GI132" s="182"/>
    </row>
    <row r="133" spans="1:191" s="183" customFormat="1" x14ac:dyDescent="0.2">
      <c r="A133" s="210" t="s">
        <v>38438</v>
      </c>
      <c r="B133" s="210" t="s">
        <v>18981</v>
      </c>
      <c r="C133" s="224" t="s">
        <v>22244</v>
      </c>
      <c r="D133" s="211" t="s">
        <v>16</v>
      </c>
      <c r="E133" s="211">
        <v>1</v>
      </c>
      <c r="F133" s="211"/>
      <c r="G133" s="211">
        <v>0.3</v>
      </c>
      <c r="H133" s="212"/>
      <c r="I133" s="213"/>
      <c r="J133" s="272">
        <v>13502.24</v>
      </c>
      <c r="K133" s="112">
        <f t="shared" si="14"/>
        <v>13502.24</v>
      </c>
      <c r="L133" s="273">
        <f>BDI!$E$17</f>
        <v>0.11260000000000001</v>
      </c>
      <c r="M133" s="213"/>
      <c r="N133" s="213"/>
      <c r="O133" s="114">
        <f t="shared" si="15"/>
        <v>15022.59</v>
      </c>
      <c r="P133" s="113">
        <f t="shared" si="16"/>
        <v>4506.78</v>
      </c>
      <c r="Q133" s="209"/>
      <c r="R133" s="203"/>
      <c r="S133" s="182"/>
      <c r="T133" s="182"/>
      <c r="U133" s="182"/>
      <c r="V133" s="182"/>
      <c r="W133" s="182"/>
      <c r="X133" s="182"/>
      <c r="Y133" s="182"/>
      <c r="Z133" s="182"/>
      <c r="AA133" s="182"/>
      <c r="AB133" s="182"/>
      <c r="AC133" s="182"/>
      <c r="AD133" s="182"/>
      <c r="AE133" s="182"/>
      <c r="AF133" s="182"/>
      <c r="AG133" s="182"/>
      <c r="AH133" s="182"/>
      <c r="AI133" s="182"/>
      <c r="AJ133" s="182"/>
      <c r="AK133" s="182"/>
      <c r="AL133" s="182"/>
      <c r="AM133" s="182"/>
      <c r="AN133" s="182"/>
      <c r="AO133" s="182"/>
      <c r="AP133" s="182"/>
      <c r="AQ133" s="182"/>
      <c r="AR133" s="182"/>
      <c r="AS133" s="182"/>
      <c r="AT133" s="182"/>
      <c r="AU133" s="182"/>
      <c r="AV133" s="182"/>
      <c r="AW133" s="182"/>
      <c r="AX133" s="182"/>
      <c r="AY133" s="182"/>
      <c r="AZ133" s="182"/>
      <c r="BA133" s="182"/>
      <c r="BB133" s="182"/>
      <c r="BC133" s="182"/>
      <c r="BD133" s="182"/>
      <c r="BE133" s="182"/>
      <c r="BF133" s="182"/>
      <c r="BG133" s="182"/>
      <c r="BH133" s="182"/>
      <c r="BI133" s="182"/>
      <c r="BJ133" s="182"/>
      <c r="BK133" s="182"/>
      <c r="BL133" s="182"/>
      <c r="BM133" s="182"/>
      <c r="BN133" s="182"/>
      <c r="BO133" s="182"/>
      <c r="BP133" s="182"/>
      <c r="BQ133" s="182"/>
      <c r="BR133" s="182"/>
      <c r="BS133" s="182"/>
      <c r="BT133" s="182"/>
      <c r="BU133" s="182"/>
      <c r="BV133" s="182"/>
      <c r="BW133" s="182"/>
      <c r="BX133" s="182"/>
      <c r="BY133" s="182"/>
      <c r="BZ133" s="182"/>
      <c r="CA133" s="182"/>
      <c r="CB133" s="182"/>
      <c r="CC133" s="182"/>
      <c r="CD133" s="182"/>
      <c r="CE133" s="182"/>
      <c r="CF133" s="182"/>
      <c r="CG133" s="182"/>
      <c r="CH133" s="182"/>
      <c r="CI133" s="182"/>
      <c r="CJ133" s="182"/>
      <c r="CK133" s="182"/>
      <c r="CL133" s="182"/>
      <c r="CM133" s="182"/>
      <c r="CN133" s="182"/>
      <c r="CO133" s="182"/>
      <c r="CP133" s="182"/>
      <c r="CQ133" s="182"/>
      <c r="CR133" s="182"/>
      <c r="CS133" s="182"/>
      <c r="CT133" s="182"/>
      <c r="CU133" s="182"/>
      <c r="CV133" s="182"/>
      <c r="CW133" s="182"/>
      <c r="CX133" s="182"/>
      <c r="CY133" s="182"/>
      <c r="CZ133" s="182"/>
      <c r="DA133" s="182"/>
      <c r="DB133" s="182"/>
      <c r="DC133" s="182"/>
      <c r="DD133" s="182"/>
      <c r="DE133" s="182"/>
      <c r="DF133" s="182"/>
      <c r="DG133" s="182"/>
      <c r="DH133" s="182"/>
      <c r="DI133" s="182"/>
      <c r="DJ133" s="182"/>
      <c r="DK133" s="182"/>
      <c r="DL133" s="182"/>
      <c r="DM133" s="182"/>
      <c r="DN133" s="182"/>
      <c r="DO133" s="182"/>
      <c r="DP133" s="182"/>
      <c r="DQ133" s="182"/>
      <c r="DR133" s="182"/>
      <c r="DS133" s="182"/>
      <c r="DT133" s="182"/>
      <c r="DU133" s="182"/>
      <c r="DV133" s="182"/>
      <c r="DW133" s="182"/>
      <c r="DX133" s="182"/>
      <c r="DY133" s="182"/>
      <c r="DZ133" s="182"/>
      <c r="EA133" s="182"/>
      <c r="EB133" s="182"/>
      <c r="EC133" s="182"/>
      <c r="ED133" s="182"/>
      <c r="EE133" s="182"/>
      <c r="EF133" s="182"/>
      <c r="EG133" s="182"/>
      <c r="EH133" s="182"/>
      <c r="EI133" s="182"/>
      <c r="EJ133" s="182"/>
      <c r="EK133" s="182"/>
      <c r="EL133" s="182"/>
      <c r="EM133" s="182"/>
      <c r="EN133" s="182"/>
      <c r="EO133" s="182"/>
      <c r="EP133" s="182"/>
      <c r="EQ133" s="182"/>
      <c r="ER133" s="182"/>
      <c r="ES133" s="182"/>
      <c r="ET133" s="182"/>
      <c r="EU133" s="182"/>
      <c r="EV133" s="182"/>
      <c r="EW133" s="182"/>
      <c r="EX133" s="182"/>
      <c r="EY133" s="182"/>
      <c r="EZ133" s="182"/>
      <c r="FA133" s="182"/>
      <c r="FB133" s="182"/>
      <c r="FC133" s="182"/>
      <c r="FD133" s="182"/>
      <c r="FE133" s="182"/>
      <c r="FF133" s="182"/>
      <c r="FG133" s="182"/>
      <c r="FH133" s="182"/>
      <c r="FI133" s="182"/>
      <c r="FJ133" s="182"/>
      <c r="FK133" s="182"/>
      <c r="FL133" s="182"/>
      <c r="FM133" s="182"/>
      <c r="FN133" s="182"/>
      <c r="FO133" s="182"/>
      <c r="FP133" s="182"/>
      <c r="FQ133" s="182"/>
      <c r="FR133" s="182"/>
      <c r="FS133" s="182"/>
      <c r="FT133" s="182"/>
      <c r="FU133" s="182"/>
      <c r="FV133" s="182"/>
      <c r="FW133" s="182"/>
      <c r="FX133" s="182"/>
      <c r="FY133" s="182"/>
      <c r="FZ133" s="182"/>
      <c r="GA133" s="182"/>
      <c r="GB133" s="182"/>
      <c r="GC133" s="182"/>
      <c r="GD133" s="182"/>
      <c r="GE133" s="182"/>
      <c r="GF133" s="182"/>
      <c r="GG133" s="182"/>
      <c r="GH133" s="182"/>
      <c r="GI133" s="182"/>
    </row>
    <row r="134" spans="1:191" s="183" customFormat="1" x14ac:dyDescent="0.2">
      <c r="A134" s="210" t="s">
        <v>38439</v>
      </c>
      <c r="B134" s="210" t="s">
        <v>18982</v>
      </c>
      <c r="C134" s="224" t="s">
        <v>22245</v>
      </c>
      <c r="D134" s="211" t="s">
        <v>16</v>
      </c>
      <c r="E134" s="211">
        <v>1</v>
      </c>
      <c r="F134" s="211"/>
      <c r="G134" s="211">
        <v>0.3</v>
      </c>
      <c r="H134" s="212"/>
      <c r="I134" s="213"/>
      <c r="J134" s="272">
        <v>4985.26</v>
      </c>
      <c r="K134" s="112">
        <f t="shared" si="14"/>
        <v>4985.26</v>
      </c>
      <c r="L134" s="273">
        <f>BDI!$E$17</f>
        <v>0.11260000000000001</v>
      </c>
      <c r="M134" s="213"/>
      <c r="N134" s="213"/>
      <c r="O134" s="114">
        <f t="shared" si="15"/>
        <v>5546.6</v>
      </c>
      <c r="P134" s="113">
        <f t="shared" si="16"/>
        <v>1663.98</v>
      </c>
      <c r="Q134" s="209"/>
      <c r="R134" s="203"/>
      <c r="S134" s="182"/>
      <c r="T134" s="182"/>
      <c r="U134" s="182"/>
      <c r="V134" s="182"/>
      <c r="W134" s="182"/>
      <c r="X134" s="182"/>
      <c r="Y134" s="182"/>
      <c r="Z134" s="182"/>
      <c r="AA134" s="182"/>
      <c r="AB134" s="182"/>
      <c r="AC134" s="182"/>
      <c r="AD134" s="182"/>
      <c r="AE134" s="182"/>
      <c r="AF134" s="182"/>
      <c r="AG134" s="182"/>
      <c r="AH134" s="182"/>
      <c r="AI134" s="182"/>
      <c r="AJ134" s="182"/>
      <c r="AK134" s="182"/>
      <c r="AL134" s="182"/>
      <c r="AM134" s="182"/>
      <c r="AN134" s="182"/>
      <c r="AO134" s="182"/>
      <c r="AP134" s="182"/>
      <c r="AQ134" s="182"/>
      <c r="AR134" s="182"/>
      <c r="AS134" s="182"/>
      <c r="AT134" s="182"/>
      <c r="AU134" s="182"/>
      <c r="AV134" s="182"/>
      <c r="AW134" s="182"/>
      <c r="AX134" s="182"/>
      <c r="AY134" s="182"/>
      <c r="AZ134" s="182"/>
      <c r="BA134" s="182"/>
      <c r="BB134" s="182"/>
      <c r="BC134" s="182"/>
      <c r="BD134" s="182"/>
      <c r="BE134" s="182"/>
      <c r="BF134" s="182"/>
      <c r="BG134" s="182"/>
      <c r="BH134" s="182"/>
      <c r="BI134" s="182"/>
      <c r="BJ134" s="182"/>
      <c r="BK134" s="182"/>
      <c r="BL134" s="182"/>
      <c r="BM134" s="182"/>
      <c r="BN134" s="182"/>
      <c r="BO134" s="182"/>
      <c r="BP134" s="182"/>
      <c r="BQ134" s="182"/>
      <c r="BR134" s="182"/>
      <c r="BS134" s="182"/>
      <c r="BT134" s="182"/>
      <c r="BU134" s="182"/>
      <c r="BV134" s="182"/>
      <c r="BW134" s="182"/>
      <c r="BX134" s="182"/>
      <c r="BY134" s="182"/>
      <c r="BZ134" s="182"/>
      <c r="CA134" s="182"/>
      <c r="CB134" s="182"/>
      <c r="CC134" s="182"/>
      <c r="CD134" s="182"/>
      <c r="CE134" s="182"/>
      <c r="CF134" s="182"/>
      <c r="CG134" s="182"/>
      <c r="CH134" s="182"/>
      <c r="CI134" s="182"/>
      <c r="CJ134" s="182"/>
      <c r="CK134" s="182"/>
      <c r="CL134" s="182"/>
      <c r="CM134" s="182"/>
      <c r="CN134" s="182"/>
      <c r="CO134" s="182"/>
      <c r="CP134" s="182"/>
      <c r="CQ134" s="182"/>
      <c r="CR134" s="182"/>
      <c r="CS134" s="182"/>
      <c r="CT134" s="182"/>
      <c r="CU134" s="182"/>
      <c r="CV134" s="182"/>
      <c r="CW134" s="182"/>
      <c r="CX134" s="182"/>
      <c r="CY134" s="182"/>
      <c r="CZ134" s="182"/>
      <c r="DA134" s="182"/>
      <c r="DB134" s="182"/>
      <c r="DC134" s="182"/>
      <c r="DD134" s="182"/>
      <c r="DE134" s="182"/>
      <c r="DF134" s="182"/>
      <c r="DG134" s="182"/>
      <c r="DH134" s="182"/>
      <c r="DI134" s="182"/>
      <c r="DJ134" s="182"/>
      <c r="DK134" s="182"/>
      <c r="DL134" s="182"/>
      <c r="DM134" s="182"/>
      <c r="DN134" s="182"/>
      <c r="DO134" s="182"/>
      <c r="DP134" s="182"/>
      <c r="DQ134" s="182"/>
      <c r="DR134" s="182"/>
      <c r="DS134" s="182"/>
      <c r="DT134" s="182"/>
      <c r="DU134" s="182"/>
      <c r="DV134" s="182"/>
      <c r="DW134" s="182"/>
      <c r="DX134" s="182"/>
      <c r="DY134" s="182"/>
      <c r="DZ134" s="182"/>
      <c r="EA134" s="182"/>
      <c r="EB134" s="182"/>
      <c r="EC134" s="182"/>
      <c r="ED134" s="182"/>
      <c r="EE134" s="182"/>
      <c r="EF134" s="182"/>
      <c r="EG134" s="182"/>
      <c r="EH134" s="182"/>
      <c r="EI134" s="182"/>
      <c r="EJ134" s="182"/>
      <c r="EK134" s="182"/>
      <c r="EL134" s="182"/>
      <c r="EM134" s="182"/>
      <c r="EN134" s="182"/>
      <c r="EO134" s="182"/>
      <c r="EP134" s="182"/>
      <c r="EQ134" s="182"/>
      <c r="ER134" s="182"/>
      <c r="ES134" s="182"/>
      <c r="ET134" s="182"/>
      <c r="EU134" s="182"/>
      <c r="EV134" s="182"/>
      <c r="EW134" s="182"/>
      <c r="EX134" s="182"/>
      <c r="EY134" s="182"/>
      <c r="EZ134" s="182"/>
      <c r="FA134" s="182"/>
      <c r="FB134" s="182"/>
      <c r="FC134" s="182"/>
      <c r="FD134" s="182"/>
      <c r="FE134" s="182"/>
      <c r="FF134" s="182"/>
      <c r="FG134" s="182"/>
      <c r="FH134" s="182"/>
      <c r="FI134" s="182"/>
      <c r="FJ134" s="182"/>
      <c r="FK134" s="182"/>
      <c r="FL134" s="182"/>
      <c r="FM134" s="182"/>
      <c r="FN134" s="182"/>
      <c r="FO134" s="182"/>
      <c r="FP134" s="182"/>
      <c r="FQ134" s="182"/>
      <c r="FR134" s="182"/>
      <c r="FS134" s="182"/>
      <c r="FT134" s="182"/>
      <c r="FU134" s="182"/>
      <c r="FV134" s="182"/>
      <c r="FW134" s="182"/>
      <c r="FX134" s="182"/>
      <c r="FY134" s="182"/>
      <c r="FZ134" s="182"/>
      <c r="GA134" s="182"/>
      <c r="GB134" s="182"/>
      <c r="GC134" s="182"/>
      <c r="GD134" s="182"/>
      <c r="GE134" s="182"/>
      <c r="GF134" s="182"/>
      <c r="GG134" s="182"/>
      <c r="GH134" s="182"/>
      <c r="GI134" s="182"/>
    </row>
    <row r="135" spans="1:191" s="183" customFormat="1" x14ac:dyDescent="0.2">
      <c r="A135" s="210" t="s">
        <v>38440</v>
      </c>
      <c r="B135" s="210" t="s">
        <v>18983</v>
      </c>
      <c r="C135" s="224" t="s">
        <v>22246</v>
      </c>
      <c r="D135" s="211" t="s">
        <v>16</v>
      </c>
      <c r="E135" s="211">
        <v>1</v>
      </c>
      <c r="F135" s="211"/>
      <c r="G135" s="211">
        <v>0.3</v>
      </c>
      <c r="H135" s="212"/>
      <c r="I135" s="213"/>
      <c r="J135" s="272">
        <v>5715.43</v>
      </c>
      <c r="K135" s="112">
        <f t="shared" si="14"/>
        <v>5715.43</v>
      </c>
      <c r="L135" s="273">
        <f>BDI!$E$17</f>
        <v>0.11260000000000001</v>
      </c>
      <c r="M135" s="213"/>
      <c r="N135" s="213"/>
      <c r="O135" s="114">
        <f t="shared" si="15"/>
        <v>6358.99</v>
      </c>
      <c r="P135" s="113">
        <f t="shared" si="16"/>
        <v>1907.7</v>
      </c>
      <c r="Q135" s="209"/>
      <c r="R135" s="203"/>
      <c r="S135" s="182"/>
      <c r="T135" s="182"/>
      <c r="U135" s="182"/>
      <c r="V135" s="182"/>
      <c r="W135" s="182"/>
      <c r="X135" s="182"/>
      <c r="Y135" s="182"/>
      <c r="Z135" s="182"/>
      <c r="AA135" s="182"/>
      <c r="AB135" s="182"/>
      <c r="AC135" s="182"/>
      <c r="AD135" s="182"/>
      <c r="AE135" s="182"/>
      <c r="AF135" s="182"/>
      <c r="AG135" s="182"/>
      <c r="AH135" s="182"/>
      <c r="AI135" s="182"/>
      <c r="AJ135" s="182"/>
      <c r="AK135" s="182"/>
      <c r="AL135" s="182"/>
      <c r="AM135" s="182"/>
      <c r="AN135" s="182"/>
      <c r="AO135" s="182"/>
      <c r="AP135" s="182"/>
      <c r="AQ135" s="182"/>
      <c r="AR135" s="182"/>
      <c r="AS135" s="182"/>
      <c r="AT135" s="182"/>
      <c r="AU135" s="182"/>
      <c r="AV135" s="182"/>
      <c r="AW135" s="182"/>
      <c r="AX135" s="182"/>
      <c r="AY135" s="182"/>
      <c r="AZ135" s="182"/>
      <c r="BA135" s="182"/>
      <c r="BB135" s="182"/>
      <c r="BC135" s="182"/>
      <c r="BD135" s="182"/>
      <c r="BE135" s="182"/>
      <c r="BF135" s="182"/>
      <c r="BG135" s="182"/>
      <c r="BH135" s="182"/>
      <c r="BI135" s="182"/>
      <c r="BJ135" s="182"/>
      <c r="BK135" s="182"/>
      <c r="BL135" s="182"/>
      <c r="BM135" s="182"/>
      <c r="BN135" s="182"/>
      <c r="BO135" s="182"/>
      <c r="BP135" s="182"/>
      <c r="BQ135" s="182"/>
      <c r="BR135" s="182"/>
      <c r="BS135" s="182"/>
      <c r="BT135" s="182"/>
      <c r="BU135" s="182"/>
      <c r="BV135" s="182"/>
      <c r="BW135" s="182"/>
      <c r="BX135" s="182"/>
      <c r="BY135" s="182"/>
      <c r="BZ135" s="182"/>
      <c r="CA135" s="182"/>
      <c r="CB135" s="182"/>
      <c r="CC135" s="182"/>
      <c r="CD135" s="182"/>
      <c r="CE135" s="182"/>
      <c r="CF135" s="182"/>
      <c r="CG135" s="182"/>
      <c r="CH135" s="182"/>
      <c r="CI135" s="182"/>
      <c r="CJ135" s="182"/>
      <c r="CK135" s="182"/>
      <c r="CL135" s="182"/>
      <c r="CM135" s="182"/>
      <c r="CN135" s="182"/>
      <c r="CO135" s="182"/>
      <c r="CP135" s="182"/>
      <c r="CQ135" s="182"/>
      <c r="CR135" s="182"/>
      <c r="CS135" s="182"/>
      <c r="CT135" s="182"/>
      <c r="CU135" s="182"/>
      <c r="CV135" s="182"/>
      <c r="CW135" s="182"/>
      <c r="CX135" s="182"/>
      <c r="CY135" s="182"/>
      <c r="CZ135" s="182"/>
      <c r="DA135" s="182"/>
      <c r="DB135" s="182"/>
      <c r="DC135" s="182"/>
      <c r="DD135" s="182"/>
      <c r="DE135" s="182"/>
      <c r="DF135" s="182"/>
      <c r="DG135" s="182"/>
      <c r="DH135" s="182"/>
      <c r="DI135" s="182"/>
      <c r="DJ135" s="182"/>
      <c r="DK135" s="182"/>
      <c r="DL135" s="182"/>
      <c r="DM135" s="182"/>
      <c r="DN135" s="182"/>
      <c r="DO135" s="182"/>
      <c r="DP135" s="182"/>
      <c r="DQ135" s="182"/>
      <c r="DR135" s="182"/>
      <c r="DS135" s="182"/>
      <c r="DT135" s="182"/>
      <c r="DU135" s="182"/>
      <c r="DV135" s="182"/>
      <c r="DW135" s="182"/>
      <c r="DX135" s="182"/>
      <c r="DY135" s="182"/>
      <c r="DZ135" s="182"/>
      <c r="EA135" s="182"/>
      <c r="EB135" s="182"/>
      <c r="EC135" s="182"/>
      <c r="ED135" s="182"/>
      <c r="EE135" s="182"/>
      <c r="EF135" s="182"/>
      <c r="EG135" s="182"/>
      <c r="EH135" s="182"/>
      <c r="EI135" s="182"/>
      <c r="EJ135" s="182"/>
      <c r="EK135" s="182"/>
      <c r="EL135" s="182"/>
      <c r="EM135" s="182"/>
      <c r="EN135" s="182"/>
      <c r="EO135" s="182"/>
      <c r="EP135" s="182"/>
      <c r="EQ135" s="182"/>
      <c r="ER135" s="182"/>
      <c r="ES135" s="182"/>
      <c r="ET135" s="182"/>
      <c r="EU135" s="182"/>
      <c r="EV135" s="182"/>
      <c r="EW135" s="182"/>
      <c r="EX135" s="182"/>
      <c r="EY135" s="182"/>
      <c r="EZ135" s="182"/>
      <c r="FA135" s="182"/>
      <c r="FB135" s="182"/>
      <c r="FC135" s="182"/>
      <c r="FD135" s="182"/>
      <c r="FE135" s="182"/>
      <c r="FF135" s="182"/>
      <c r="FG135" s="182"/>
      <c r="FH135" s="182"/>
      <c r="FI135" s="182"/>
      <c r="FJ135" s="182"/>
      <c r="FK135" s="182"/>
      <c r="FL135" s="182"/>
      <c r="FM135" s="182"/>
      <c r="FN135" s="182"/>
      <c r="FO135" s="182"/>
      <c r="FP135" s="182"/>
      <c r="FQ135" s="182"/>
      <c r="FR135" s="182"/>
      <c r="FS135" s="182"/>
      <c r="FT135" s="182"/>
      <c r="FU135" s="182"/>
      <c r="FV135" s="182"/>
      <c r="FW135" s="182"/>
      <c r="FX135" s="182"/>
      <c r="FY135" s="182"/>
      <c r="FZ135" s="182"/>
      <c r="GA135" s="182"/>
      <c r="GB135" s="182"/>
      <c r="GC135" s="182"/>
      <c r="GD135" s="182"/>
      <c r="GE135" s="182"/>
      <c r="GF135" s="182"/>
      <c r="GG135" s="182"/>
      <c r="GH135" s="182"/>
      <c r="GI135" s="182"/>
    </row>
    <row r="136" spans="1:191" s="183" customFormat="1" x14ac:dyDescent="0.2">
      <c r="A136" s="210" t="s">
        <v>38441</v>
      </c>
      <c r="B136" s="210" t="s">
        <v>18984</v>
      </c>
      <c r="C136" s="224" t="s">
        <v>22247</v>
      </c>
      <c r="D136" s="211" t="s">
        <v>16</v>
      </c>
      <c r="E136" s="211">
        <v>20</v>
      </c>
      <c r="F136" s="211"/>
      <c r="G136" s="211">
        <v>0.3</v>
      </c>
      <c r="H136" s="212"/>
      <c r="I136" s="213"/>
      <c r="J136" s="272">
        <v>142.05000000000001</v>
      </c>
      <c r="K136" s="112">
        <f t="shared" si="14"/>
        <v>2841</v>
      </c>
      <c r="L136" s="273">
        <f>BDI!$E$17</f>
        <v>0.11260000000000001</v>
      </c>
      <c r="M136" s="213"/>
      <c r="N136" s="213"/>
      <c r="O136" s="114">
        <f t="shared" si="15"/>
        <v>158.04</v>
      </c>
      <c r="P136" s="113">
        <f t="shared" si="16"/>
        <v>948.24</v>
      </c>
      <c r="Q136" s="209"/>
      <c r="R136" s="203"/>
      <c r="S136" s="182"/>
      <c r="T136" s="182"/>
      <c r="U136" s="182"/>
      <c r="V136" s="182"/>
      <c r="W136" s="182"/>
      <c r="X136" s="182"/>
      <c r="Y136" s="182"/>
      <c r="Z136" s="182"/>
      <c r="AA136" s="182"/>
      <c r="AB136" s="182"/>
      <c r="AC136" s="182"/>
      <c r="AD136" s="182"/>
      <c r="AE136" s="182"/>
      <c r="AF136" s="182"/>
      <c r="AG136" s="182"/>
      <c r="AH136" s="182"/>
      <c r="AI136" s="182"/>
      <c r="AJ136" s="182"/>
      <c r="AK136" s="182"/>
      <c r="AL136" s="182"/>
      <c r="AM136" s="182"/>
      <c r="AN136" s="182"/>
      <c r="AO136" s="182"/>
      <c r="AP136" s="182"/>
      <c r="AQ136" s="182"/>
      <c r="AR136" s="182"/>
      <c r="AS136" s="182"/>
      <c r="AT136" s="182"/>
      <c r="AU136" s="182"/>
      <c r="AV136" s="182"/>
      <c r="AW136" s="182"/>
      <c r="AX136" s="182"/>
      <c r="AY136" s="182"/>
      <c r="AZ136" s="182"/>
      <c r="BA136" s="182"/>
      <c r="BB136" s="182"/>
      <c r="BC136" s="182"/>
      <c r="BD136" s="182"/>
      <c r="BE136" s="182"/>
      <c r="BF136" s="182"/>
      <c r="BG136" s="182"/>
      <c r="BH136" s="182"/>
      <c r="BI136" s="182"/>
      <c r="BJ136" s="182"/>
      <c r="BK136" s="182"/>
      <c r="BL136" s="182"/>
      <c r="BM136" s="182"/>
      <c r="BN136" s="182"/>
      <c r="BO136" s="182"/>
      <c r="BP136" s="182"/>
      <c r="BQ136" s="182"/>
      <c r="BR136" s="182"/>
      <c r="BS136" s="182"/>
      <c r="BT136" s="182"/>
      <c r="BU136" s="182"/>
      <c r="BV136" s="182"/>
      <c r="BW136" s="182"/>
      <c r="BX136" s="182"/>
      <c r="BY136" s="182"/>
      <c r="BZ136" s="182"/>
      <c r="CA136" s="182"/>
      <c r="CB136" s="182"/>
      <c r="CC136" s="182"/>
      <c r="CD136" s="182"/>
      <c r="CE136" s="182"/>
      <c r="CF136" s="182"/>
      <c r="CG136" s="182"/>
      <c r="CH136" s="182"/>
      <c r="CI136" s="182"/>
      <c r="CJ136" s="182"/>
      <c r="CK136" s="182"/>
      <c r="CL136" s="182"/>
      <c r="CM136" s="182"/>
      <c r="CN136" s="182"/>
      <c r="CO136" s="182"/>
      <c r="CP136" s="182"/>
      <c r="CQ136" s="182"/>
      <c r="CR136" s="182"/>
      <c r="CS136" s="182"/>
      <c r="CT136" s="182"/>
      <c r="CU136" s="182"/>
      <c r="CV136" s="182"/>
      <c r="CW136" s="182"/>
      <c r="CX136" s="182"/>
      <c r="CY136" s="182"/>
      <c r="CZ136" s="182"/>
      <c r="DA136" s="182"/>
      <c r="DB136" s="182"/>
      <c r="DC136" s="182"/>
      <c r="DD136" s="182"/>
      <c r="DE136" s="182"/>
      <c r="DF136" s="182"/>
      <c r="DG136" s="182"/>
      <c r="DH136" s="182"/>
      <c r="DI136" s="182"/>
      <c r="DJ136" s="182"/>
      <c r="DK136" s="182"/>
      <c r="DL136" s="182"/>
      <c r="DM136" s="182"/>
      <c r="DN136" s="182"/>
      <c r="DO136" s="182"/>
      <c r="DP136" s="182"/>
      <c r="DQ136" s="182"/>
      <c r="DR136" s="182"/>
      <c r="DS136" s="182"/>
      <c r="DT136" s="182"/>
      <c r="DU136" s="182"/>
      <c r="DV136" s="182"/>
      <c r="DW136" s="182"/>
      <c r="DX136" s="182"/>
      <c r="DY136" s="182"/>
      <c r="DZ136" s="182"/>
      <c r="EA136" s="182"/>
      <c r="EB136" s="182"/>
      <c r="EC136" s="182"/>
      <c r="ED136" s="182"/>
      <c r="EE136" s="182"/>
      <c r="EF136" s="182"/>
      <c r="EG136" s="182"/>
      <c r="EH136" s="182"/>
      <c r="EI136" s="182"/>
      <c r="EJ136" s="182"/>
      <c r="EK136" s="182"/>
      <c r="EL136" s="182"/>
      <c r="EM136" s="182"/>
      <c r="EN136" s="182"/>
      <c r="EO136" s="182"/>
      <c r="EP136" s="182"/>
      <c r="EQ136" s="182"/>
      <c r="ER136" s="182"/>
      <c r="ES136" s="182"/>
      <c r="ET136" s="182"/>
      <c r="EU136" s="182"/>
      <c r="EV136" s="182"/>
      <c r="EW136" s="182"/>
      <c r="EX136" s="182"/>
      <c r="EY136" s="182"/>
      <c r="EZ136" s="182"/>
      <c r="FA136" s="182"/>
      <c r="FB136" s="182"/>
      <c r="FC136" s="182"/>
      <c r="FD136" s="182"/>
      <c r="FE136" s="182"/>
      <c r="FF136" s="182"/>
      <c r="FG136" s="182"/>
      <c r="FH136" s="182"/>
      <c r="FI136" s="182"/>
      <c r="FJ136" s="182"/>
      <c r="FK136" s="182"/>
      <c r="FL136" s="182"/>
      <c r="FM136" s="182"/>
      <c r="FN136" s="182"/>
      <c r="FO136" s="182"/>
      <c r="FP136" s="182"/>
      <c r="FQ136" s="182"/>
      <c r="FR136" s="182"/>
      <c r="FS136" s="182"/>
      <c r="FT136" s="182"/>
      <c r="FU136" s="182"/>
      <c r="FV136" s="182"/>
      <c r="FW136" s="182"/>
      <c r="FX136" s="182"/>
      <c r="FY136" s="182"/>
      <c r="FZ136" s="182"/>
      <c r="GA136" s="182"/>
      <c r="GB136" s="182"/>
      <c r="GC136" s="182"/>
      <c r="GD136" s="182"/>
      <c r="GE136" s="182"/>
      <c r="GF136" s="182"/>
      <c r="GG136" s="182"/>
      <c r="GH136" s="182"/>
      <c r="GI136" s="182"/>
    </row>
    <row r="137" spans="1:191" s="183" customFormat="1" ht="25.5" x14ac:dyDescent="0.2">
      <c r="A137" s="210" t="s">
        <v>38442</v>
      </c>
      <c r="B137" s="210" t="s">
        <v>18985</v>
      </c>
      <c r="C137" s="224" t="s">
        <v>38884</v>
      </c>
      <c r="D137" s="211" t="s">
        <v>16</v>
      </c>
      <c r="E137" s="211">
        <v>5</v>
      </c>
      <c r="F137" s="211"/>
      <c r="G137" s="211">
        <v>0.3</v>
      </c>
      <c r="H137" s="212"/>
      <c r="I137" s="213"/>
      <c r="J137" s="272">
        <v>512.45000000000005</v>
      </c>
      <c r="K137" s="112">
        <f t="shared" si="14"/>
        <v>2562.25</v>
      </c>
      <c r="L137" s="273">
        <f>BDI!$E$17</f>
        <v>0.11260000000000001</v>
      </c>
      <c r="M137" s="213"/>
      <c r="N137" s="213"/>
      <c r="O137" s="114">
        <f t="shared" si="15"/>
        <v>570.15</v>
      </c>
      <c r="P137" s="113">
        <f t="shared" si="16"/>
        <v>855.23</v>
      </c>
      <c r="Q137" s="209"/>
      <c r="R137" s="203"/>
      <c r="S137" s="182"/>
      <c r="T137" s="182"/>
      <c r="U137" s="182"/>
      <c r="V137" s="182"/>
      <c r="W137" s="182"/>
      <c r="X137" s="182"/>
      <c r="Y137" s="182"/>
      <c r="Z137" s="182"/>
      <c r="AA137" s="182"/>
      <c r="AB137" s="182"/>
      <c r="AC137" s="182"/>
      <c r="AD137" s="182"/>
      <c r="AE137" s="182"/>
      <c r="AF137" s="182"/>
      <c r="AG137" s="182"/>
      <c r="AH137" s="182"/>
      <c r="AI137" s="182"/>
      <c r="AJ137" s="182"/>
      <c r="AK137" s="182"/>
      <c r="AL137" s="182"/>
      <c r="AM137" s="182"/>
      <c r="AN137" s="182"/>
      <c r="AO137" s="182"/>
      <c r="AP137" s="182"/>
      <c r="AQ137" s="182"/>
      <c r="AR137" s="182"/>
      <c r="AS137" s="182"/>
      <c r="AT137" s="182"/>
      <c r="AU137" s="182"/>
      <c r="AV137" s="182"/>
      <c r="AW137" s="182"/>
      <c r="AX137" s="182"/>
      <c r="AY137" s="182"/>
      <c r="AZ137" s="182"/>
      <c r="BA137" s="182"/>
      <c r="BB137" s="182"/>
      <c r="BC137" s="182"/>
      <c r="BD137" s="182"/>
      <c r="BE137" s="182"/>
      <c r="BF137" s="182"/>
      <c r="BG137" s="182"/>
      <c r="BH137" s="182"/>
      <c r="BI137" s="182"/>
      <c r="BJ137" s="182"/>
      <c r="BK137" s="182"/>
      <c r="BL137" s="182"/>
      <c r="BM137" s="182"/>
      <c r="BN137" s="182"/>
      <c r="BO137" s="182"/>
      <c r="BP137" s="182"/>
      <c r="BQ137" s="182"/>
      <c r="BR137" s="182"/>
      <c r="BS137" s="182"/>
      <c r="BT137" s="182"/>
      <c r="BU137" s="182"/>
      <c r="BV137" s="182"/>
      <c r="BW137" s="182"/>
      <c r="BX137" s="182"/>
      <c r="BY137" s="182"/>
      <c r="BZ137" s="182"/>
      <c r="CA137" s="182"/>
      <c r="CB137" s="182"/>
      <c r="CC137" s="182"/>
      <c r="CD137" s="182"/>
      <c r="CE137" s="182"/>
      <c r="CF137" s="182"/>
      <c r="CG137" s="182"/>
      <c r="CH137" s="182"/>
      <c r="CI137" s="182"/>
      <c r="CJ137" s="182"/>
      <c r="CK137" s="182"/>
      <c r="CL137" s="182"/>
      <c r="CM137" s="182"/>
      <c r="CN137" s="182"/>
      <c r="CO137" s="182"/>
      <c r="CP137" s="182"/>
      <c r="CQ137" s="182"/>
      <c r="CR137" s="182"/>
      <c r="CS137" s="182"/>
      <c r="CT137" s="182"/>
      <c r="CU137" s="182"/>
      <c r="CV137" s="182"/>
      <c r="CW137" s="182"/>
      <c r="CX137" s="182"/>
      <c r="CY137" s="182"/>
      <c r="CZ137" s="182"/>
      <c r="DA137" s="182"/>
      <c r="DB137" s="182"/>
      <c r="DC137" s="182"/>
      <c r="DD137" s="182"/>
      <c r="DE137" s="182"/>
      <c r="DF137" s="182"/>
      <c r="DG137" s="182"/>
      <c r="DH137" s="182"/>
      <c r="DI137" s="182"/>
      <c r="DJ137" s="182"/>
      <c r="DK137" s="182"/>
      <c r="DL137" s="182"/>
      <c r="DM137" s="182"/>
      <c r="DN137" s="182"/>
      <c r="DO137" s="182"/>
      <c r="DP137" s="182"/>
      <c r="DQ137" s="182"/>
      <c r="DR137" s="182"/>
      <c r="DS137" s="182"/>
      <c r="DT137" s="182"/>
      <c r="DU137" s="182"/>
      <c r="DV137" s="182"/>
      <c r="DW137" s="182"/>
      <c r="DX137" s="182"/>
      <c r="DY137" s="182"/>
      <c r="DZ137" s="182"/>
      <c r="EA137" s="182"/>
      <c r="EB137" s="182"/>
      <c r="EC137" s="182"/>
      <c r="ED137" s="182"/>
      <c r="EE137" s="182"/>
      <c r="EF137" s="182"/>
      <c r="EG137" s="182"/>
      <c r="EH137" s="182"/>
      <c r="EI137" s="182"/>
      <c r="EJ137" s="182"/>
      <c r="EK137" s="182"/>
      <c r="EL137" s="182"/>
      <c r="EM137" s="182"/>
      <c r="EN137" s="182"/>
      <c r="EO137" s="182"/>
      <c r="EP137" s="182"/>
      <c r="EQ137" s="182"/>
      <c r="ER137" s="182"/>
      <c r="ES137" s="182"/>
      <c r="ET137" s="182"/>
      <c r="EU137" s="182"/>
      <c r="EV137" s="182"/>
      <c r="EW137" s="182"/>
      <c r="EX137" s="182"/>
      <c r="EY137" s="182"/>
      <c r="EZ137" s="182"/>
      <c r="FA137" s="182"/>
      <c r="FB137" s="182"/>
      <c r="FC137" s="182"/>
      <c r="FD137" s="182"/>
      <c r="FE137" s="182"/>
      <c r="FF137" s="182"/>
      <c r="FG137" s="182"/>
      <c r="FH137" s="182"/>
      <c r="FI137" s="182"/>
      <c r="FJ137" s="182"/>
      <c r="FK137" s="182"/>
      <c r="FL137" s="182"/>
      <c r="FM137" s="182"/>
      <c r="FN137" s="182"/>
      <c r="FO137" s="182"/>
      <c r="FP137" s="182"/>
      <c r="FQ137" s="182"/>
      <c r="FR137" s="182"/>
      <c r="FS137" s="182"/>
      <c r="FT137" s="182"/>
      <c r="FU137" s="182"/>
      <c r="FV137" s="182"/>
      <c r="FW137" s="182"/>
      <c r="FX137" s="182"/>
      <c r="FY137" s="182"/>
      <c r="FZ137" s="182"/>
      <c r="GA137" s="182"/>
      <c r="GB137" s="182"/>
      <c r="GC137" s="182"/>
      <c r="GD137" s="182"/>
      <c r="GE137" s="182"/>
      <c r="GF137" s="182"/>
      <c r="GG137" s="182"/>
      <c r="GH137" s="182"/>
      <c r="GI137" s="182"/>
    </row>
    <row r="138" spans="1:191" s="183" customFormat="1" x14ac:dyDescent="0.2">
      <c r="A138" s="210" t="s">
        <v>38443</v>
      </c>
      <c r="B138" s="210" t="s">
        <v>18986</v>
      </c>
      <c r="C138" s="224" t="s">
        <v>22248</v>
      </c>
      <c r="D138" s="211" t="s">
        <v>16</v>
      </c>
      <c r="E138" s="211">
        <v>5</v>
      </c>
      <c r="F138" s="211"/>
      <c r="G138" s="211">
        <v>0.3</v>
      </c>
      <c r="H138" s="212"/>
      <c r="I138" s="213"/>
      <c r="J138" s="272">
        <v>1296.1199999999999</v>
      </c>
      <c r="K138" s="112">
        <f t="shared" si="14"/>
        <v>6480.6</v>
      </c>
      <c r="L138" s="273">
        <f>BDI!$E$17</f>
        <v>0.11260000000000001</v>
      </c>
      <c r="M138" s="213"/>
      <c r="N138" s="213"/>
      <c r="O138" s="114">
        <f t="shared" si="15"/>
        <v>1442.06</v>
      </c>
      <c r="P138" s="113">
        <f t="shared" si="16"/>
        <v>2163.09</v>
      </c>
      <c r="Q138" s="209"/>
      <c r="R138" s="203"/>
      <c r="S138" s="182"/>
      <c r="T138" s="182"/>
      <c r="U138" s="182"/>
      <c r="V138" s="182"/>
      <c r="W138" s="182"/>
      <c r="X138" s="182"/>
      <c r="Y138" s="182"/>
      <c r="Z138" s="182"/>
      <c r="AA138" s="182"/>
      <c r="AB138" s="182"/>
      <c r="AC138" s="182"/>
      <c r="AD138" s="182"/>
      <c r="AE138" s="182"/>
      <c r="AF138" s="182"/>
      <c r="AG138" s="182"/>
      <c r="AH138" s="182"/>
      <c r="AI138" s="182"/>
      <c r="AJ138" s="182"/>
      <c r="AK138" s="182"/>
      <c r="AL138" s="182"/>
      <c r="AM138" s="182"/>
      <c r="AN138" s="182"/>
      <c r="AO138" s="182"/>
      <c r="AP138" s="182"/>
      <c r="AQ138" s="182"/>
      <c r="AR138" s="182"/>
      <c r="AS138" s="182"/>
      <c r="AT138" s="182"/>
      <c r="AU138" s="182"/>
      <c r="AV138" s="182"/>
      <c r="AW138" s="182"/>
      <c r="AX138" s="182"/>
      <c r="AY138" s="182"/>
      <c r="AZ138" s="182"/>
      <c r="BA138" s="182"/>
      <c r="BB138" s="182"/>
      <c r="BC138" s="182"/>
      <c r="BD138" s="182"/>
      <c r="BE138" s="182"/>
      <c r="BF138" s="182"/>
      <c r="BG138" s="182"/>
      <c r="BH138" s="182"/>
      <c r="BI138" s="182"/>
      <c r="BJ138" s="182"/>
      <c r="BK138" s="182"/>
      <c r="BL138" s="182"/>
      <c r="BM138" s="182"/>
      <c r="BN138" s="182"/>
      <c r="BO138" s="182"/>
      <c r="BP138" s="182"/>
      <c r="BQ138" s="182"/>
      <c r="BR138" s="182"/>
      <c r="BS138" s="182"/>
      <c r="BT138" s="182"/>
      <c r="BU138" s="182"/>
      <c r="BV138" s="182"/>
      <c r="BW138" s="182"/>
      <c r="BX138" s="182"/>
      <c r="BY138" s="182"/>
      <c r="BZ138" s="182"/>
      <c r="CA138" s="182"/>
      <c r="CB138" s="182"/>
      <c r="CC138" s="182"/>
      <c r="CD138" s="182"/>
      <c r="CE138" s="182"/>
      <c r="CF138" s="182"/>
      <c r="CG138" s="182"/>
      <c r="CH138" s="182"/>
      <c r="CI138" s="182"/>
      <c r="CJ138" s="182"/>
      <c r="CK138" s="182"/>
      <c r="CL138" s="182"/>
      <c r="CM138" s="182"/>
      <c r="CN138" s="182"/>
      <c r="CO138" s="182"/>
      <c r="CP138" s="182"/>
      <c r="CQ138" s="182"/>
      <c r="CR138" s="182"/>
      <c r="CS138" s="182"/>
      <c r="CT138" s="182"/>
      <c r="CU138" s="182"/>
      <c r="CV138" s="182"/>
      <c r="CW138" s="182"/>
      <c r="CX138" s="182"/>
      <c r="CY138" s="182"/>
      <c r="CZ138" s="182"/>
      <c r="DA138" s="182"/>
      <c r="DB138" s="182"/>
      <c r="DC138" s="182"/>
      <c r="DD138" s="182"/>
      <c r="DE138" s="182"/>
      <c r="DF138" s="182"/>
      <c r="DG138" s="182"/>
      <c r="DH138" s="182"/>
      <c r="DI138" s="182"/>
      <c r="DJ138" s="182"/>
      <c r="DK138" s="182"/>
      <c r="DL138" s="182"/>
      <c r="DM138" s="182"/>
      <c r="DN138" s="182"/>
      <c r="DO138" s="182"/>
      <c r="DP138" s="182"/>
      <c r="DQ138" s="182"/>
      <c r="DR138" s="182"/>
      <c r="DS138" s="182"/>
      <c r="DT138" s="182"/>
      <c r="DU138" s="182"/>
      <c r="DV138" s="182"/>
      <c r="DW138" s="182"/>
      <c r="DX138" s="182"/>
      <c r="DY138" s="182"/>
      <c r="DZ138" s="182"/>
      <c r="EA138" s="182"/>
      <c r="EB138" s="182"/>
      <c r="EC138" s="182"/>
      <c r="ED138" s="182"/>
      <c r="EE138" s="182"/>
      <c r="EF138" s="182"/>
      <c r="EG138" s="182"/>
      <c r="EH138" s="182"/>
      <c r="EI138" s="182"/>
      <c r="EJ138" s="182"/>
      <c r="EK138" s="182"/>
      <c r="EL138" s="182"/>
      <c r="EM138" s="182"/>
      <c r="EN138" s="182"/>
      <c r="EO138" s="182"/>
      <c r="EP138" s="182"/>
      <c r="EQ138" s="182"/>
      <c r="ER138" s="182"/>
      <c r="ES138" s="182"/>
      <c r="ET138" s="182"/>
      <c r="EU138" s="182"/>
      <c r="EV138" s="182"/>
      <c r="EW138" s="182"/>
      <c r="EX138" s="182"/>
      <c r="EY138" s="182"/>
      <c r="EZ138" s="182"/>
      <c r="FA138" s="182"/>
      <c r="FB138" s="182"/>
      <c r="FC138" s="182"/>
      <c r="FD138" s="182"/>
      <c r="FE138" s="182"/>
      <c r="FF138" s="182"/>
      <c r="FG138" s="182"/>
      <c r="FH138" s="182"/>
      <c r="FI138" s="182"/>
      <c r="FJ138" s="182"/>
      <c r="FK138" s="182"/>
      <c r="FL138" s="182"/>
      <c r="FM138" s="182"/>
      <c r="FN138" s="182"/>
      <c r="FO138" s="182"/>
      <c r="FP138" s="182"/>
      <c r="FQ138" s="182"/>
      <c r="FR138" s="182"/>
      <c r="FS138" s="182"/>
      <c r="FT138" s="182"/>
      <c r="FU138" s="182"/>
      <c r="FV138" s="182"/>
      <c r="FW138" s="182"/>
      <c r="FX138" s="182"/>
      <c r="FY138" s="182"/>
      <c r="FZ138" s="182"/>
      <c r="GA138" s="182"/>
      <c r="GB138" s="182"/>
      <c r="GC138" s="182"/>
      <c r="GD138" s="182"/>
      <c r="GE138" s="182"/>
      <c r="GF138" s="182"/>
      <c r="GG138" s="182"/>
      <c r="GH138" s="182"/>
      <c r="GI138" s="182"/>
    </row>
    <row r="139" spans="1:191" s="183" customFormat="1" x14ac:dyDescent="0.2">
      <c r="A139" s="210" t="s">
        <v>38444</v>
      </c>
      <c r="B139" s="210" t="s">
        <v>18987</v>
      </c>
      <c r="C139" s="224" t="s">
        <v>22249</v>
      </c>
      <c r="D139" s="211" t="s">
        <v>16</v>
      </c>
      <c r="E139" s="211">
        <v>15</v>
      </c>
      <c r="F139" s="211"/>
      <c r="G139" s="211">
        <v>0.3</v>
      </c>
      <c r="H139" s="212"/>
      <c r="I139" s="213"/>
      <c r="J139" s="272">
        <v>1515.5</v>
      </c>
      <c r="K139" s="112">
        <f t="shared" si="14"/>
        <v>22732.5</v>
      </c>
      <c r="L139" s="273">
        <f>BDI!$E$17</f>
        <v>0.11260000000000001</v>
      </c>
      <c r="M139" s="213"/>
      <c r="N139" s="213"/>
      <c r="O139" s="114">
        <f t="shared" si="15"/>
        <v>1686.15</v>
      </c>
      <c r="P139" s="113">
        <f t="shared" si="16"/>
        <v>7587.68</v>
      </c>
      <c r="Q139" s="209"/>
      <c r="R139" s="203"/>
      <c r="S139" s="182"/>
      <c r="T139" s="182"/>
      <c r="U139" s="182"/>
      <c r="V139" s="182"/>
      <c r="W139" s="182"/>
      <c r="X139" s="182"/>
      <c r="Y139" s="182"/>
      <c r="Z139" s="182"/>
      <c r="AA139" s="182"/>
      <c r="AB139" s="182"/>
      <c r="AC139" s="182"/>
      <c r="AD139" s="182"/>
      <c r="AE139" s="182"/>
      <c r="AF139" s="182"/>
      <c r="AG139" s="182"/>
      <c r="AH139" s="182"/>
      <c r="AI139" s="182"/>
      <c r="AJ139" s="182"/>
      <c r="AK139" s="182"/>
      <c r="AL139" s="182"/>
      <c r="AM139" s="182"/>
      <c r="AN139" s="182"/>
      <c r="AO139" s="182"/>
      <c r="AP139" s="182"/>
      <c r="AQ139" s="182"/>
      <c r="AR139" s="182"/>
      <c r="AS139" s="182"/>
      <c r="AT139" s="182"/>
      <c r="AU139" s="182"/>
      <c r="AV139" s="182"/>
      <c r="AW139" s="182"/>
      <c r="AX139" s="182"/>
      <c r="AY139" s="182"/>
      <c r="AZ139" s="182"/>
      <c r="BA139" s="182"/>
      <c r="BB139" s="182"/>
      <c r="BC139" s="182"/>
      <c r="BD139" s="182"/>
      <c r="BE139" s="182"/>
      <c r="BF139" s="182"/>
      <c r="BG139" s="182"/>
      <c r="BH139" s="182"/>
      <c r="BI139" s="182"/>
      <c r="BJ139" s="182"/>
      <c r="BK139" s="182"/>
      <c r="BL139" s="182"/>
      <c r="BM139" s="182"/>
      <c r="BN139" s="182"/>
      <c r="BO139" s="182"/>
      <c r="BP139" s="182"/>
      <c r="BQ139" s="182"/>
      <c r="BR139" s="182"/>
      <c r="BS139" s="182"/>
      <c r="BT139" s="182"/>
      <c r="BU139" s="182"/>
      <c r="BV139" s="182"/>
      <c r="BW139" s="182"/>
      <c r="BX139" s="182"/>
      <c r="BY139" s="182"/>
      <c r="BZ139" s="182"/>
      <c r="CA139" s="182"/>
      <c r="CB139" s="182"/>
      <c r="CC139" s="182"/>
      <c r="CD139" s="182"/>
      <c r="CE139" s="182"/>
      <c r="CF139" s="182"/>
      <c r="CG139" s="182"/>
      <c r="CH139" s="182"/>
      <c r="CI139" s="182"/>
      <c r="CJ139" s="182"/>
      <c r="CK139" s="182"/>
      <c r="CL139" s="182"/>
      <c r="CM139" s="182"/>
      <c r="CN139" s="182"/>
      <c r="CO139" s="182"/>
      <c r="CP139" s="182"/>
      <c r="CQ139" s="182"/>
      <c r="CR139" s="182"/>
      <c r="CS139" s="182"/>
      <c r="CT139" s="182"/>
      <c r="CU139" s="182"/>
      <c r="CV139" s="182"/>
      <c r="CW139" s="182"/>
      <c r="CX139" s="182"/>
      <c r="CY139" s="182"/>
      <c r="CZ139" s="182"/>
      <c r="DA139" s="182"/>
      <c r="DB139" s="182"/>
      <c r="DC139" s="182"/>
      <c r="DD139" s="182"/>
      <c r="DE139" s="182"/>
      <c r="DF139" s="182"/>
      <c r="DG139" s="182"/>
      <c r="DH139" s="182"/>
      <c r="DI139" s="182"/>
      <c r="DJ139" s="182"/>
      <c r="DK139" s="182"/>
      <c r="DL139" s="182"/>
      <c r="DM139" s="182"/>
      <c r="DN139" s="182"/>
      <c r="DO139" s="182"/>
      <c r="DP139" s="182"/>
      <c r="DQ139" s="182"/>
      <c r="DR139" s="182"/>
      <c r="DS139" s="182"/>
      <c r="DT139" s="182"/>
      <c r="DU139" s="182"/>
      <c r="DV139" s="182"/>
      <c r="DW139" s="182"/>
      <c r="DX139" s="182"/>
      <c r="DY139" s="182"/>
      <c r="DZ139" s="182"/>
      <c r="EA139" s="182"/>
      <c r="EB139" s="182"/>
      <c r="EC139" s="182"/>
      <c r="ED139" s="182"/>
      <c r="EE139" s="182"/>
      <c r="EF139" s="182"/>
      <c r="EG139" s="182"/>
      <c r="EH139" s="182"/>
      <c r="EI139" s="182"/>
      <c r="EJ139" s="182"/>
      <c r="EK139" s="182"/>
      <c r="EL139" s="182"/>
      <c r="EM139" s="182"/>
      <c r="EN139" s="182"/>
      <c r="EO139" s="182"/>
      <c r="EP139" s="182"/>
      <c r="EQ139" s="182"/>
      <c r="ER139" s="182"/>
      <c r="ES139" s="182"/>
      <c r="ET139" s="182"/>
      <c r="EU139" s="182"/>
      <c r="EV139" s="182"/>
      <c r="EW139" s="182"/>
      <c r="EX139" s="182"/>
      <c r="EY139" s="182"/>
      <c r="EZ139" s="182"/>
      <c r="FA139" s="182"/>
      <c r="FB139" s="182"/>
      <c r="FC139" s="182"/>
      <c r="FD139" s="182"/>
      <c r="FE139" s="182"/>
      <c r="FF139" s="182"/>
      <c r="FG139" s="182"/>
      <c r="FH139" s="182"/>
      <c r="FI139" s="182"/>
      <c r="FJ139" s="182"/>
      <c r="FK139" s="182"/>
      <c r="FL139" s="182"/>
      <c r="FM139" s="182"/>
      <c r="FN139" s="182"/>
      <c r="FO139" s="182"/>
      <c r="FP139" s="182"/>
      <c r="FQ139" s="182"/>
      <c r="FR139" s="182"/>
      <c r="FS139" s="182"/>
      <c r="FT139" s="182"/>
      <c r="FU139" s="182"/>
      <c r="FV139" s="182"/>
      <c r="FW139" s="182"/>
      <c r="FX139" s="182"/>
      <c r="FY139" s="182"/>
      <c r="FZ139" s="182"/>
      <c r="GA139" s="182"/>
      <c r="GB139" s="182"/>
      <c r="GC139" s="182"/>
      <c r="GD139" s="182"/>
      <c r="GE139" s="182"/>
      <c r="GF139" s="182"/>
      <c r="GG139" s="182"/>
      <c r="GH139" s="182"/>
      <c r="GI139" s="182"/>
    </row>
    <row r="140" spans="1:191" s="183" customFormat="1" x14ac:dyDescent="0.2">
      <c r="A140" s="210" t="s">
        <v>38445</v>
      </c>
      <c r="B140" s="210" t="s">
        <v>18988</v>
      </c>
      <c r="C140" s="224" t="s">
        <v>22250</v>
      </c>
      <c r="D140" s="211" t="s">
        <v>16</v>
      </c>
      <c r="E140" s="211">
        <v>9</v>
      </c>
      <c r="F140" s="211"/>
      <c r="G140" s="211">
        <v>0.3</v>
      </c>
      <c r="H140" s="212"/>
      <c r="I140" s="213"/>
      <c r="J140" s="272">
        <v>888.98</v>
      </c>
      <c r="K140" s="112">
        <f t="shared" si="14"/>
        <v>8000.82</v>
      </c>
      <c r="L140" s="273">
        <f>BDI!$E$17</f>
        <v>0.11260000000000001</v>
      </c>
      <c r="M140" s="213"/>
      <c r="N140" s="213"/>
      <c r="O140" s="114">
        <f t="shared" si="15"/>
        <v>989.08</v>
      </c>
      <c r="P140" s="113">
        <f t="shared" si="16"/>
        <v>2670.52</v>
      </c>
      <c r="Q140" s="209"/>
      <c r="R140" s="203"/>
      <c r="S140" s="182"/>
      <c r="T140" s="182"/>
      <c r="U140" s="182"/>
      <c r="V140" s="182"/>
      <c r="W140" s="182"/>
      <c r="X140" s="182"/>
      <c r="Y140" s="182"/>
      <c r="Z140" s="182"/>
      <c r="AA140" s="182"/>
      <c r="AB140" s="182"/>
      <c r="AC140" s="182"/>
      <c r="AD140" s="182"/>
      <c r="AE140" s="182"/>
      <c r="AF140" s="182"/>
      <c r="AG140" s="182"/>
      <c r="AH140" s="182"/>
      <c r="AI140" s="182"/>
      <c r="AJ140" s="182"/>
      <c r="AK140" s="182"/>
      <c r="AL140" s="182"/>
      <c r="AM140" s="182"/>
      <c r="AN140" s="182"/>
      <c r="AO140" s="182"/>
      <c r="AP140" s="182"/>
      <c r="AQ140" s="182"/>
      <c r="AR140" s="182"/>
      <c r="AS140" s="182"/>
      <c r="AT140" s="182"/>
      <c r="AU140" s="182"/>
      <c r="AV140" s="182"/>
      <c r="AW140" s="182"/>
      <c r="AX140" s="182"/>
      <c r="AY140" s="182"/>
      <c r="AZ140" s="182"/>
      <c r="BA140" s="182"/>
      <c r="BB140" s="182"/>
      <c r="BC140" s="182"/>
      <c r="BD140" s="182"/>
      <c r="BE140" s="182"/>
      <c r="BF140" s="182"/>
      <c r="BG140" s="182"/>
      <c r="BH140" s="182"/>
      <c r="BI140" s="182"/>
      <c r="BJ140" s="182"/>
      <c r="BK140" s="182"/>
      <c r="BL140" s="182"/>
      <c r="BM140" s="182"/>
      <c r="BN140" s="182"/>
      <c r="BO140" s="182"/>
      <c r="BP140" s="182"/>
      <c r="BQ140" s="182"/>
      <c r="BR140" s="182"/>
      <c r="BS140" s="182"/>
      <c r="BT140" s="182"/>
      <c r="BU140" s="182"/>
      <c r="BV140" s="182"/>
      <c r="BW140" s="182"/>
      <c r="BX140" s="182"/>
      <c r="BY140" s="182"/>
      <c r="BZ140" s="182"/>
      <c r="CA140" s="182"/>
      <c r="CB140" s="182"/>
      <c r="CC140" s="182"/>
      <c r="CD140" s="182"/>
      <c r="CE140" s="182"/>
      <c r="CF140" s="182"/>
      <c r="CG140" s="182"/>
      <c r="CH140" s="182"/>
      <c r="CI140" s="182"/>
      <c r="CJ140" s="182"/>
      <c r="CK140" s="182"/>
      <c r="CL140" s="182"/>
      <c r="CM140" s="182"/>
      <c r="CN140" s="182"/>
      <c r="CO140" s="182"/>
      <c r="CP140" s="182"/>
      <c r="CQ140" s="182"/>
      <c r="CR140" s="182"/>
      <c r="CS140" s="182"/>
      <c r="CT140" s="182"/>
      <c r="CU140" s="182"/>
      <c r="CV140" s="182"/>
      <c r="CW140" s="182"/>
      <c r="CX140" s="182"/>
      <c r="CY140" s="182"/>
      <c r="CZ140" s="182"/>
      <c r="DA140" s="182"/>
      <c r="DB140" s="182"/>
      <c r="DC140" s="182"/>
      <c r="DD140" s="182"/>
      <c r="DE140" s="182"/>
      <c r="DF140" s="182"/>
      <c r="DG140" s="182"/>
      <c r="DH140" s="182"/>
      <c r="DI140" s="182"/>
      <c r="DJ140" s="182"/>
      <c r="DK140" s="182"/>
      <c r="DL140" s="182"/>
      <c r="DM140" s="182"/>
      <c r="DN140" s="182"/>
      <c r="DO140" s="182"/>
      <c r="DP140" s="182"/>
      <c r="DQ140" s="182"/>
      <c r="DR140" s="182"/>
      <c r="DS140" s="182"/>
      <c r="DT140" s="182"/>
      <c r="DU140" s="182"/>
      <c r="DV140" s="182"/>
      <c r="DW140" s="182"/>
      <c r="DX140" s="182"/>
      <c r="DY140" s="182"/>
      <c r="DZ140" s="182"/>
      <c r="EA140" s="182"/>
      <c r="EB140" s="182"/>
      <c r="EC140" s="182"/>
      <c r="ED140" s="182"/>
      <c r="EE140" s="182"/>
      <c r="EF140" s="182"/>
      <c r="EG140" s="182"/>
      <c r="EH140" s="182"/>
      <c r="EI140" s="182"/>
      <c r="EJ140" s="182"/>
      <c r="EK140" s="182"/>
      <c r="EL140" s="182"/>
      <c r="EM140" s="182"/>
      <c r="EN140" s="182"/>
      <c r="EO140" s="182"/>
      <c r="EP140" s="182"/>
      <c r="EQ140" s="182"/>
      <c r="ER140" s="182"/>
      <c r="ES140" s="182"/>
      <c r="ET140" s="182"/>
      <c r="EU140" s="182"/>
      <c r="EV140" s="182"/>
      <c r="EW140" s="182"/>
      <c r="EX140" s="182"/>
      <c r="EY140" s="182"/>
      <c r="EZ140" s="182"/>
      <c r="FA140" s="182"/>
      <c r="FB140" s="182"/>
      <c r="FC140" s="182"/>
      <c r="FD140" s="182"/>
      <c r="FE140" s="182"/>
      <c r="FF140" s="182"/>
      <c r="FG140" s="182"/>
      <c r="FH140" s="182"/>
      <c r="FI140" s="182"/>
      <c r="FJ140" s="182"/>
      <c r="FK140" s="182"/>
      <c r="FL140" s="182"/>
      <c r="FM140" s="182"/>
      <c r="FN140" s="182"/>
      <c r="FO140" s="182"/>
      <c r="FP140" s="182"/>
      <c r="FQ140" s="182"/>
      <c r="FR140" s="182"/>
      <c r="FS140" s="182"/>
      <c r="FT140" s="182"/>
      <c r="FU140" s="182"/>
      <c r="FV140" s="182"/>
      <c r="FW140" s="182"/>
      <c r="FX140" s="182"/>
      <c r="FY140" s="182"/>
      <c r="FZ140" s="182"/>
      <c r="GA140" s="182"/>
      <c r="GB140" s="182"/>
      <c r="GC140" s="182"/>
      <c r="GD140" s="182"/>
      <c r="GE140" s="182"/>
      <c r="GF140" s="182"/>
      <c r="GG140" s="182"/>
      <c r="GH140" s="182"/>
      <c r="GI140" s="182"/>
    </row>
    <row r="141" spans="1:191" s="183" customFormat="1" x14ac:dyDescent="0.2">
      <c r="A141" s="210" t="s">
        <v>38446</v>
      </c>
      <c r="B141" s="210" t="s">
        <v>18989</v>
      </c>
      <c r="C141" s="224" t="s">
        <v>22251</v>
      </c>
      <c r="D141" s="211" t="s">
        <v>16</v>
      </c>
      <c r="E141" s="211">
        <v>9</v>
      </c>
      <c r="F141" s="211"/>
      <c r="G141" s="211">
        <v>0.3</v>
      </c>
      <c r="H141" s="212"/>
      <c r="I141" s="213"/>
      <c r="J141" s="272">
        <v>877.11</v>
      </c>
      <c r="K141" s="112">
        <f t="shared" si="14"/>
        <v>7893.99</v>
      </c>
      <c r="L141" s="273">
        <f>BDI!$E$17</f>
        <v>0.11260000000000001</v>
      </c>
      <c r="M141" s="213"/>
      <c r="N141" s="213"/>
      <c r="O141" s="114">
        <f t="shared" si="15"/>
        <v>975.87</v>
      </c>
      <c r="P141" s="113">
        <f t="shared" si="16"/>
        <v>2634.85</v>
      </c>
      <c r="Q141" s="209"/>
      <c r="R141" s="203"/>
      <c r="S141" s="182"/>
      <c r="T141" s="182"/>
      <c r="U141" s="182"/>
      <c r="V141" s="182"/>
      <c r="W141" s="182"/>
      <c r="X141" s="182"/>
      <c r="Y141" s="182"/>
      <c r="Z141" s="182"/>
      <c r="AA141" s="182"/>
      <c r="AB141" s="182"/>
      <c r="AC141" s="182"/>
      <c r="AD141" s="182"/>
      <c r="AE141" s="182"/>
      <c r="AF141" s="182"/>
      <c r="AG141" s="182"/>
      <c r="AH141" s="182"/>
      <c r="AI141" s="182"/>
      <c r="AJ141" s="182"/>
      <c r="AK141" s="182"/>
      <c r="AL141" s="182"/>
      <c r="AM141" s="182"/>
      <c r="AN141" s="182"/>
      <c r="AO141" s="182"/>
      <c r="AP141" s="182"/>
      <c r="AQ141" s="182"/>
      <c r="AR141" s="182"/>
      <c r="AS141" s="182"/>
      <c r="AT141" s="182"/>
      <c r="AU141" s="182"/>
      <c r="AV141" s="182"/>
      <c r="AW141" s="182"/>
      <c r="AX141" s="182"/>
      <c r="AY141" s="182"/>
      <c r="AZ141" s="182"/>
      <c r="BA141" s="182"/>
      <c r="BB141" s="182"/>
      <c r="BC141" s="182"/>
      <c r="BD141" s="182"/>
      <c r="BE141" s="182"/>
      <c r="BF141" s="182"/>
      <c r="BG141" s="182"/>
      <c r="BH141" s="182"/>
      <c r="BI141" s="182"/>
      <c r="BJ141" s="182"/>
      <c r="BK141" s="182"/>
      <c r="BL141" s="182"/>
      <c r="BM141" s="182"/>
      <c r="BN141" s="182"/>
      <c r="BO141" s="182"/>
      <c r="BP141" s="182"/>
      <c r="BQ141" s="182"/>
      <c r="BR141" s="182"/>
      <c r="BS141" s="182"/>
      <c r="BT141" s="182"/>
      <c r="BU141" s="182"/>
      <c r="BV141" s="182"/>
      <c r="BW141" s="182"/>
      <c r="BX141" s="182"/>
      <c r="BY141" s="182"/>
      <c r="BZ141" s="182"/>
      <c r="CA141" s="182"/>
      <c r="CB141" s="182"/>
      <c r="CC141" s="182"/>
      <c r="CD141" s="182"/>
      <c r="CE141" s="182"/>
      <c r="CF141" s="182"/>
      <c r="CG141" s="182"/>
      <c r="CH141" s="182"/>
      <c r="CI141" s="182"/>
      <c r="CJ141" s="182"/>
      <c r="CK141" s="182"/>
      <c r="CL141" s="182"/>
      <c r="CM141" s="182"/>
      <c r="CN141" s="182"/>
      <c r="CO141" s="182"/>
      <c r="CP141" s="182"/>
      <c r="CQ141" s="182"/>
      <c r="CR141" s="182"/>
      <c r="CS141" s="182"/>
      <c r="CT141" s="182"/>
      <c r="CU141" s="182"/>
      <c r="CV141" s="182"/>
      <c r="CW141" s="182"/>
      <c r="CX141" s="182"/>
      <c r="CY141" s="182"/>
      <c r="CZ141" s="182"/>
      <c r="DA141" s="182"/>
      <c r="DB141" s="182"/>
      <c r="DC141" s="182"/>
      <c r="DD141" s="182"/>
      <c r="DE141" s="182"/>
      <c r="DF141" s="182"/>
      <c r="DG141" s="182"/>
      <c r="DH141" s="182"/>
      <c r="DI141" s="182"/>
      <c r="DJ141" s="182"/>
      <c r="DK141" s="182"/>
      <c r="DL141" s="182"/>
      <c r="DM141" s="182"/>
      <c r="DN141" s="182"/>
      <c r="DO141" s="182"/>
      <c r="DP141" s="182"/>
      <c r="DQ141" s="182"/>
      <c r="DR141" s="182"/>
      <c r="DS141" s="182"/>
      <c r="DT141" s="182"/>
      <c r="DU141" s="182"/>
      <c r="DV141" s="182"/>
      <c r="DW141" s="182"/>
      <c r="DX141" s="182"/>
      <c r="DY141" s="182"/>
      <c r="DZ141" s="182"/>
      <c r="EA141" s="182"/>
      <c r="EB141" s="182"/>
      <c r="EC141" s="182"/>
      <c r="ED141" s="182"/>
      <c r="EE141" s="182"/>
      <c r="EF141" s="182"/>
      <c r="EG141" s="182"/>
      <c r="EH141" s="182"/>
      <c r="EI141" s="182"/>
      <c r="EJ141" s="182"/>
      <c r="EK141" s="182"/>
      <c r="EL141" s="182"/>
      <c r="EM141" s="182"/>
      <c r="EN141" s="182"/>
      <c r="EO141" s="182"/>
      <c r="EP141" s="182"/>
      <c r="EQ141" s="182"/>
      <c r="ER141" s="182"/>
      <c r="ES141" s="182"/>
      <c r="ET141" s="182"/>
      <c r="EU141" s="182"/>
      <c r="EV141" s="182"/>
      <c r="EW141" s="182"/>
      <c r="EX141" s="182"/>
      <c r="EY141" s="182"/>
      <c r="EZ141" s="182"/>
      <c r="FA141" s="182"/>
      <c r="FB141" s="182"/>
      <c r="FC141" s="182"/>
      <c r="FD141" s="182"/>
      <c r="FE141" s="182"/>
      <c r="FF141" s="182"/>
      <c r="FG141" s="182"/>
      <c r="FH141" s="182"/>
      <c r="FI141" s="182"/>
      <c r="FJ141" s="182"/>
      <c r="FK141" s="182"/>
      <c r="FL141" s="182"/>
      <c r="FM141" s="182"/>
      <c r="FN141" s="182"/>
      <c r="FO141" s="182"/>
      <c r="FP141" s="182"/>
      <c r="FQ141" s="182"/>
      <c r="FR141" s="182"/>
      <c r="FS141" s="182"/>
      <c r="FT141" s="182"/>
      <c r="FU141" s="182"/>
      <c r="FV141" s="182"/>
      <c r="FW141" s="182"/>
      <c r="FX141" s="182"/>
      <c r="FY141" s="182"/>
      <c r="FZ141" s="182"/>
      <c r="GA141" s="182"/>
      <c r="GB141" s="182"/>
      <c r="GC141" s="182"/>
      <c r="GD141" s="182"/>
      <c r="GE141" s="182"/>
      <c r="GF141" s="182"/>
      <c r="GG141" s="182"/>
      <c r="GH141" s="182"/>
      <c r="GI141" s="182"/>
    </row>
    <row r="142" spans="1:191" s="183" customFormat="1" x14ac:dyDescent="0.2">
      <c r="A142" s="210" t="s">
        <v>38447</v>
      </c>
      <c r="B142" s="210" t="s">
        <v>18990</v>
      </c>
      <c r="C142" s="224" t="s">
        <v>22252</v>
      </c>
      <c r="D142" s="211" t="s">
        <v>16</v>
      </c>
      <c r="E142" s="211">
        <v>18</v>
      </c>
      <c r="F142" s="211"/>
      <c r="G142" s="211">
        <v>0.3</v>
      </c>
      <c r="H142" s="212"/>
      <c r="I142" s="213"/>
      <c r="J142" s="272">
        <v>4488.37</v>
      </c>
      <c r="K142" s="112">
        <f t="shared" si="14"/>
        <v>80790.66</v>
      </c>
      <c r="L142" s="273">
        <f>BDI!$E$17</f>
        <v>0.11260000000000001</v>
      </c>
      <c r="M142" s="213"/>
      <c r="N142" s="213"/>
      <c r="O142" s="114">
        <f t="shared" si="15"/>
        <v>4993.76</v>
      </c>
      <c r="P142" s="113">
        <f t="shared" si="16"/>
        <v>26966.3</v>
      </c>
      <c r="Q142" s="209"/>
      <c r="R142" s="203"/>
      <c r="S142" s="182"/>
      <c r="T142" s="182"/>
      <c r="U142" s="182"/>
      <c r="V142" s="182"/>
      <c r="W142" s="182"/>
      <c r="X142" s="182"/>
      <c r="Y142" s="182"/>
      <c r="Z142" s="182"/>
      <c r="AA142" s="182"/>
      <c r="AB142" s="182"/>
      <c r="AC142" s="182"/>
      <c r="AD142" s="182"/>
      <c r="AE142" s="182"/>
      <c r="AF142" s="182"/>
      <c r="AG142" s="182"/>
      <c r="AH142" s="182"/>
      <c r="AI142" s="182"/>
      <c r="AJ142" s="182"/>
      <c r="AK142" s="182"/>
      <c r="AL142" s="182"/>
      <c r="AM142" s="182"/>
      <c r="AN142" s="182"/>
      <c r="AO142" s="182"/>
      <c r="AP142" s="182"/>
      <c r="AQ142" s="182"/>
      <c r="AR142" s="182"/>
      <c r="AS142" s="182"/>
      <c r="AT142" s="182"/>
      <c r="AU142" s="182"/>
      <c r="AV142" s="182"/>
      <c r="AW142" s="182"/>
      <c r="AX142" s="182"/>
      <c r="AY142" s="182"/>
      <c r="AZ142" s="182"/>
      <c r="BA142" s="182"/>
      <c r="BB142" s="182"/>
      <c r="BC142" s="182"/>
      <c r="BD142" s="182"/>
      <c r="BE142" s="182"/>
      <c r="BF142" s="182"/>
      <c r="BG142" s="182"/>
      <c r="BH142" s="182"/>
      <c r="BI142" s="182"/>
      <c r="BJ142" s="182"/>
      <c r="BK142" s="182"/>
      <c r="BL142" s="182"/>
      <c r="BM142" s="182"/>
      <c r="BN142" s="182"/>
      <c r="BO142" s="182"/>
      <c r="BP142" s="182"/>
      <c r="BQ142" s="182"/>
      <c r="BR142" s="182"/>
      <c r="BS142" s="182"/>
      <c r="BT142" s="182"/>
      <c r="BU142" s="182"/>
      <c r="BV142" s="182"/>
      <c r="BW142" s="182"/>
      <c r="BX142" s="182"/>
      <c r="BY142" s="182"/>
      <c r="BZ142" s="182"/>
      <c r="CA142" s="182"/>
      <c r="CB142" s="182"/>
      <c r="CC142" s="182"/>
      <c r="CD142" s="182"/>
      <c r="CE142" s="182"/>
      <c r="CF142" s="182"/>
      <c r="CG142" s="182"/>
      <c r="CH142" s="182"/>
      <c r="CI142" s="182"/>
      <c r="CJ142" s="182"/>
      <c r="CK142" s="182"/>
      <c r="CL142" s="182"/>
      <c r="CM142" s="182"/>
      <c r="CN142" s="182"/>
      <c r="CO142" s="182"/>
      <c r="CP142" s="182"/>
      <c r="CQ142" s="182"/>
      <c r="CR142" s="182"/>
      <c r="CS142" s="182"/>
      <c r="CT142" s="182"/>
      <c r="CU142" s="182"/>
      <c r="CV142" s="182"/>
      <c r="CW142" s="182"/>
      <c r="CX142" s="182"/>
      <c r="CY142" s="182"/>
      <c r="CZ142" s="182"/>
      <c r="DA142" s="182"/>
      <c r="DB142" s="182"/>
      <c r="DC142" s="182"/>
      <c r="DD142" s="182"/>
      <c r="DE142" s="182"/>
      <c r="DF142" s="182"/>
      <c r="DG142" s="182"/>
      <c r="DH142" s="182"/>
      <c r="DI142" s="182"/>
      <c r="DJ142" s="182"/>
      <c r="DK142" s="182"/>
      <c r="DL142" s="182"/>
      <c r="DM142" s="182"/>
      <c r="DN142" s="182"/>
      <c r="DO142" s="182"/>
      <c r="DP142" s="182"/>
      <c r="DQ142" s="182"/>
      <c r="DR142" s="182"/>
      <c r="DS142" s="182"/>
      <c r="DT142" s="182"/>
      <c r="DU142" s="182"/>
      <c r="DV142" s="182"/>
      <c r="DW142" s="182"/>
      <c r="DX142" s="182"/>
      <c r="DY142" s="182"/>
      <c r="DZ142" s="182"/>
      <c r="EA142" s="182"/>
      <c r="EB142" s="182"/>
      <c r="EC142" s="182"/>
      <c r="ED142" s="182"/>
      <c r="EE142" s="182"/>
      <c r="EF142" s="182"/>
      <c r="EG142" s="182"/>
      <c r="EH142" s="182"/>
      <c r="EI142" s="182"/>
      <c r="EJ142" s="182"/>
      <c r="EK142" s="182"/>
      <c r="EL142" s="182"/>
      <c r="EM142" s="182"/>
      <c r="EN142" s="182"/>
      <c r="EO142" s="182"/>
      <c r="EP142" s="182"/>
      <c r="EQ142" s="182"/>
      <c r="ER142" s="182"/>
      <c r="ES142" s="182"/>
      <c r="ET142" s="182"/>
      <c r="EU142" s="182"/>
      <c r="EV142" s="182"/>
      <c r="EW142" s="182"/>
      <c r="EX142" s="182"/>
      <c r="EY142" s="182"/>
      <c r="EZ142" s="182"/>
      <c r="FA142" s="182"/>
      <c r="FB142" s="182"/>
      <c r="FC142" s="182"/>
      <c r="FD142" s="182"/>
      <c r="FE142" s="182"/>
      <c r="FF142" s="182"/>
      <c r="FG142" s="182"/>
      <c r="FH142" s="182"/>
      <c r="FI142" s="182"/>
      <c r="FJ142" s="182"/>
      <c r="FK142" s="182"/>
      <c r="FL142" s="182"/>
      <c r="FM142" s="182"/>
      <c r="FN142" s="182"/>
      <c r="FO142" s="182"/>
      <c r="FP142" s="182"/>
      <c r="FQ142" s="182"/>
      <c r="FR142" s="182"/>
      <c r="FS142" s="182"/>
      <c r="FT142" s="182"/>
      <c r="FU142" s="182"/>
      <c r="FV142" s="182"/>
      <c r="FW142" s="182"/>
      <c r="FX142" s="182"/>
      <c r="FY142" s="182"/>
      <c r="FZ142" s="182"/>
      <c r="GA142" s="182"/>
      <c r="GB142" s="182"/>
      <c r="GC142" s="182"/>
      <c r="GD142" s="182"/>
      <c r="GE142" s="182"/>
      <c r="GF142" s="182"/>
      <c r="GG142" s="182"/>
      <c r="GH142" s="182"/>
      <c r="GI142" s="182"/>
    </row>
    <row r="143" spans="1:191" s="183" customFormat="1" x14ac:dyDescent="0.2">
      <c r="A143" s="210" t="s">
        <v>38448</v>
      </c>
      <c r="B143" s="210" t="s">
        <v>18991</v>
      </c>
      <c r="C143" s="224" t="s">
        <v>22253</v>
      </c>
      <c r="D143" s="211" t="s">
        <v>16</v>
      </c>
      <c r="E143" s="211">
        <v>9</v>
      </c>
      <c r="F143" s="211"/>
      <c r="G143" s="211">
        <v>0.3</v>
      </c>
      <c r="H143" s="212"/>
      <c r="I143" s="213"/>
      <c r="J143" s="272">
        <v>3610.29</v>
      </c>
      <c r="K143" s="112">
        <f t="shared" si="14"/>
        <v>32492.61</v>
      </c>
      <c r="L143" s="273">
        <f>BDI!$E$17</f>
        <v>0.11260000000000001</v>
      </c>
      <c r="M143" s="213"/>
      <c r="N143" s="213"/>
      <c r="O143" s="114">
        <f t="shared" si="15"/>
        <v>4016.81</v>
      </c>
      <c r="P143" s="113">
        <f t="shared" si="16"/>
        <v>10845.39</v>
      </c>
      <c r="Q143" s="209"/>
      <c r="R143" s="203"/>
      <c r="S143" s="182"/>
      <c r="T143" s="182"/>
      <c r="U143" s="182"/>
      <c r="V143" s="182"/>
      <c r="W143" s="182"/>
      <c r="X143" s="182"/>
      <c r="Y143" s="182"/>
      <c r="Z143" s="182"/>
      <c r="AA143" s="182"/>
      <c r="AB143" s="182"/>
      <c r="AC143" s="182"/>
      <c r="AD143" s="182"/>
      <c r="AE143" s="182"/>
      <c r="AF143" s="182"/>
      <c r="AG143" s="182"/>
      <c r="AH143" s="182"/>
      <c r="AI143" s="182"/>
      <c r="AJ143" s="182"/>
      <c r="AK143" s="182"/>
      <c r="AL143" s="182"/>
      <c r="AM143" s="182"/>
      <c r="AN143" s="182"/>
      <c r="AO143" s="182"/>
      <c r="AP143" s="182"/>
      <c r="AQ143" s="182"/>
      <c r="AR143" s="182"/>
      <c r="AS143" s="182"/>
      <c r="AT143" s="182"/>
      <c r="AU143" s="182"/>
      <c r="AV143" s="182"/>
      <c r="AW143" s="182"/>
      <c r="AX143" s="182"/>
      <c r="AY143" s="182"/>
      <c r="AZ143" s="182"/>
      <c r="BA143" s="182"/>
      <c r="BB143" s="182"/>
      <c r="BC143" s="182"/>
      <c r="BD143" s="182"/>
      <c r="BE143" s="182"/>
      <c r="BF143" s="182"/>
      <c r="BG143" s="182"/>
      <c r="BH143" s="182"/>
      <c r="BI143" s="182"/>
      <c r="BJ143" s="182"/>
      <c r="BK143" s="182"/>
      <c r="BL143" s="182"/>
      <c r="BM143" s="182"/>
      <c r="BN143" s="182"/>
      <c r="BO143" s="182"/>
      <c r="BP143" s="182"/>
      <c r="BQ143" s="182"/>
      <c r="BR143" s="182"/>
      <c r="BS143" s="182"/>
      <c r="BT143" s="182"/>
      <c r="BU143" s="182"/>
      <c r="BV143" s="182"/>
      <c r="BW143" s="182"/>
      <c r="BX143" s="182"/>
      <c r="BY143" s="182"/>
      <c r="BZ143" s="182"/>
      <c r="CA143" s="182"/>
      <c r="CB143" s="182"/>
      <c r="CC143" s="182"/>
      <c r="CD143" s="182"/>
      <c r="CE143" s="182"/>
      <c r="CF143" s="182"/>
      <c r="CG143" s="182"/>
      <c r="CH143" s="182"/>
      <c r="CI143" s="182"/>
      <c r="CJ143" s="182"/>
      <c r="CK143" s="182"/>
      <c r="CL143" s="182"/>
      <c r="CM143" s="182"/>
      <c r="CN143" s="182"/>
      <c r="CO143" s="182"/>
      <c r="CP143" s="182"/>
      <c r="CQ143" s="182"/>
      <c r="CR143" s="182"/>
      <c r="CS143" s="182"/>
      <c r="CT143" s="182"/>
      <c r="CU143" s="182"/>
      <c r="CV143" s="182"/>
      <c r="CW143" s="182"/>
      <c r="CX143" s="182"/>
      <c r="CY143" s="182"/>
      <c r="CZ143" s="182"/>
      <c r="DA143" s="182"/>
      <c r="DB143" s="182"/>
      <c r="DC143" s="182"/>
      <c r="DD143" s="182"/>
      <c r="DE143" s="182"/>
      <c r="DF143" s="182"/>
      <c r="DG143" s="182"/>
      <c r="DH143" s="182"/>
      <c r="DI143" s="182"/>
      <c r="DJ143" s="182"/>
      <c r="DK143" s="182"/>
      <c r="DL143" s="182"/>
      <c r="DM143" s="182"/>
      <c r="DN143" s="182"/>
      <c r="DO143" s="182"/>
      <c r="DP143" s="182"/>
      <c r="DQ143" s="182"/>
      <c r="DR143" s="182"/>
      <c r="DS143" s="182"/>
      <c r="DT143" s="182"/>
      <c r="DU143" s="182"/>
      <c r="DV143" s="182"/>
      <c r="DW143" s="182"/>
      <c r="DX143" s="182"/>
      <c r="DY143" s="182"/>
      <c r="DZ143" s="182"/>
      <c r="EA143" s="182"/>
      <c r="EB143" s="182"/>
      <c r="EC143" s="182"/>
      <c r="ED143" s="182"/>
      <c r="EE143" s="182"/>
      <c r="EF143" s="182"/>
      <c r="EG143" s="182"/>
      <c r="EH143" s="182"/>
      <c r="EI143" s="182"/>
      <c r="EJ143" s="182"/>
      <c r="EK143" s="182"/>
      <c r="EL143" s="182"/>
      <c r="EM143" s="182"/>
      <c r="EN143" s="182"/>
      <c r="EO143" s="182"/>
      <c r="EP143" s="182"/>
      <c r="EQ143" s="182"/>
      <c r="ER143" s="182"/>
      <c r="ES143" s="182"/>
      <c r="ET143" s="182"/>
      <c r="EU143" s="182"/>
      <c r="EV143" s="182"/>
      <c r="EW143" s="182"/>
      <c r="EX143" s="182"/>
      <c r="EY143" s="182"/>
      <c r="EZ143" s="182"/>
      <c r="FA143" s="182"/>
      <c r="FB143" s="182"/>
      <c r="FC143" s="182"/>
      <c r="FD143" s="182"/>
      <c r="FE143" s="182"/>
      <c r="FF143" s="182"/>
      <c r="FG143" s="182"/>
      <c r="FH143" s="182"/>
      <c r="FI143" s="182"/>
      <c r="FJ143" s="182"/>
      <c r="FK143" s="182"/>
      <c r="FL143" s="182"/>
      <c r="FM143" s="182"/>
      <c r="FN143" s="182"/>
      <c r="FO143" s="182"/>
      <c r="FP143" s="182"/>
      <c r="FQ143" s="182"/>
      <c r="FR143" s="182"/>
      <c r="FS143" s="182"/>
      <c r="FT143" s="182"/>
      <c r="FU143" s="182"/>
      <c r="FV143" s="182"/>
      <c r="FW143" s="182"/>
      <c r="FX143" s="182"/>
      <c r="FY143" s="182"/>
      <c r="FZ143" s="182"/>
      <c r="GA143" s="182"/>
      <c r="GB143" s="182"/>
      <c r="GC143" s="182"/>
      <c r="GD143" s="182"/>
      <c r="GE143" s="182"/>
      <c r="GF143" s="182"/>
      <c r="GG143" s="182"/>
      <c r="GH143" s="182"/>
      <c r="GI143" s="182"/>
    </row>
    <row r="144" spans="1:191" s="183" customFormat="1" x14ac:dyDescent="0.2">
      <c r="A144" s="210" t="s">
        <v>38449</v>
      </c>
      <c r="B144" s="210" t="s">
        <v>18992</v>
      </c>
      <c r="C144" s="224" t="s">
        <v>22254</v>
      </c>
      <c r="D144" s="211" t="s">
        <v>16</v>
      </c>
      <c r="E144" s="211">
        <v>36</v>
      </c>
      <c r="F144" s="211"/>
      <c r="G144" s="211">
        <v>0.3</v>
      </c>
      <c r="H144" s="212"/>
      <c r="I144" s="213"/>
      <c r="J144" s="272">
        <v>5997.47</v>
      </c>
      <c r="K144" s="112">
        <f t="shared" si="14"/>
        <v>215908.92</v>
      </c>
      <c r="L144" s="273">
        <f>BDI!$E$17</f>
        <v>0.11260000000000001</v>
      </c>
      <c r="M144" s="213"/>
      <c r="N144" s="213"/>
      <c r="O144" s="114">
        <f t="shared" si="15"/>
        <v>6672.79</v>
      </c>
      <c r="P144" s="113">
        <f t="shared" si="16"/>
        <v>72066.13</v>
      </c>
      <c r="Q144" s="209"/>
      <c r="R144" s="203"/>
      <c r="S144" s="182"/>
      <c r="T144" s="182"/>
      <c r="U144" s="182"/>
      <c r="V144" s="182"/>
      <c r="W144" s="182"/>
      <c r="X144" s="182"/>
      <c r="Y144" s="182"/>
      <c r="Z144" s="182"/>
      <c r="AA144" s="182"/>
      <c r="AB144" s="182"/>
      <c r="AC144" s="182"/>
      <c r="AD144" s="182"/>
      <c r="AE144" s="182"/>
      <c r="AF144" s="182"/>
      <c r="AG144" s="182"/>
      <c r="AH144" s="182"/>
      <c r="AI144" s="182"/>
      <c r="AJ144" s="182"/>
      <c r="AK144" s="182"/>
      <c r="AL144" s="182"/>
      <c r="AM144" s="182"/>
      <c r="AN144" s="182"/>
      <c r="AO144" s="182"/>
      <c r="AP144" s="182"/>
      <c r="AQ144" s="182"/>
      <c r="AR144" s="182"/>
      <c r="AS144" s="182"/>
      <c r="AT144" s="182"/>
      <c r="AU144" s="182"/>
      <c r="AV144" s="182"/>
      <c r="AW144" s="182"/>
      <c r="AX144" s="182"/>
      <c r="AY144" s="182"/>
      <c r="AZ144" s="182"/>
      <c r="BA144" s="182"/>
      <c r="BB144" s="182"/>
      <c r="BC144" s="182"/>
      <c r="BD144" s="182"/>
      <c r="BE144" s="182"/>
      <c r="BF144" s="182"/>
      <c r="BG144" s="182"/>
      <c r="BH144" s="182"/>
      <c r="BI144" s="182"/>
      <c r="BJ144" s="182"/>
      <c r="BK144" s="182"/>
      <c r="BL144" s="182"/>
      <c r="BM144" s="182"/>
      <c r="BN144" s="182"/>
      <c r="BO144" s="182"/>
      <c r="BP144" s="182"/>
      <c r="BQ144" s="182"/>
      <c r="BR144" s="182"/>
      <c r="BS144" s="182"/>
      <c r="BT144" s="182"/>
      <c r="BU144" s="182"/>
      <c r="BV144" s="182"/>
      <c r="BW144" s="182"/>
      <c r="BX144" s="182"/>
      <c r="BY144" s="182"/>
      <c r="BZ144" s="182"/>
      <c r="CA144" s="182"/>
      <c r="CB144" s="182"/>
      <c r="CC144" s="182"/>
      <c r="CD144" s="182"/>
      <c r="CE144" s="182"/>
      <c r="CF144" s="182"/>
      <c r="CG144" s="182"/>
      <c r="CH144" s="182"/>
      <c r="CI144" s="182"/>
      <c r="CJ144" s="182"/>
      <c r="CK144" s="182"/>
      <c r="CL144" s="182"/>
      <c r="CM144" s="182"/>
      <c r="CN144" s="182"/>
      <c r="CO144" s="182"/>
      <c r="CP144" s="182"/>
      <c r="CQ144" s="182"/>
      <c r="CR144" s="182"/>
      <c r="CS144" s="182"/>
      <c r="CT144" s="182"/>
      <c r="CU144" s="182"/>
      <c r="CV144" s="182"/>
      <c r="CW144" s="182"/>
      <c r="CX144" s="182"/>
      <c r="CY144" s="182"/>
      <c r="CZ144" s="182"/>
      <c r="DA144" s="182"/>
      <c r="DB144" s="182"/>
      <c r="DC144" s="182"/>
      <c r="DD144" s="182"/>
      <c r="DE144" s="182"/>
      <c r="DF144" s="182"/>
      <c r="DG144" s="182"/>
      <c r="DH144" s="182"/>
      <c r="DI144" s="182"/>
      <c r="DJ144" s="182"/>
      <c r="DK144" s="182"/>
      <c r="DL144" s="182"/>
      <c r="DM144" s="182"/>
      <c r="DN144" s="182"/>
      <c r="DO144" s="182"/>
      <c r="DP144" s="182"/>
      <c r="DQ144" s="182"/>
      <c r="DR144" s="182"/>
      <c r="DS144" s="182"/>
      <c r="DT144" s="182"/>
      <c r="DU144" s="182"/>
      <c r="DV144" s="182"/>
      <c r="DW144" s="182"/>
      <c r="DX144" s="182"/>
      <c r="DY144" s="182"/>
      <c r="DZ144" s="182"/>
      <c r="EA144" s="182"/>
      <c r="EB144" s="182"/>
      <c r="EC144" s="182"/>
      <c r="ED144" s="182"/>
      <c r="EE144" s="182"/>
      <c r="EF144" s="182"/>
      <c r="EG144" s="182"/>
      <c r="EH144" s="182"/>
      <c r="EI144" s="182"/>
      <c r="EJ144" s="182"/>
      <c r="EK144" s="182"/>
      <c r="EL144" s="182"/>
      <c r="EM144" s="182"/>
      <c r="EN144" s="182"/>
      <c r="EO144" s="182"/>
      <c r="EP144" s="182"/>
      <c r="EQ144" s="182"/>
      <c r="ER144" s="182"/>
      <c r="ES144" s="182"/>
      <c r="ET144" s="182"/>
      <c r="EU144" s="182"/>
      <c r="EV144" s="182"/>
      <c r="EW144" s="182"/>
      <c r="EX144" s="182"/>
      <c r="EY144" s="182"/>
      <c r="EZ144" s="182"/>
      <c r="FA144" s="182"/>
      <c r="FB144" s="182"/>
      <c r="FC144" s="182"/>
      <c r="FD144" s="182"/>
      <c r="FE144" s="182"/>
      <c r="FF144" s="182"/>
      <c r="FG144" s="182"/>
      <c r="FH144" s="182"/>
      <c r="FI144" s="182"/>
      <c r="FJ144" s="182"/>
      <c r="FK144" s="182"/>
      <c r="FL144" s="182"/>
      <c r="FM144" s="182"/>
      <c r="FN144" s="182"/>
      <c r="FO144" s="182"/>
      <c r="FP144" s="182"/>
      <c r="FQ144" s="182"/>
      <c r="FR144" s="182"/>
      <c r="FS144" s="182"/>
      <c r="FT144" s="182"/>
      <c r="FU144" s="182"/>
      <c r="FV144" s="182"/>
      <c r="FW144" s="182"/>
      <c r="FX144" s="182"/>
      <c r="FY144" s="182"/>
      <c r="FZ144" s="182"/>
      <c r="GA144" s="182"/>
      <c r="GB144" s="182"/>
      <c r="GC144" s="182"/>
      <c r="GD144" s="182"/>
      <c r="GE144" s="182"/>
      <c r="GF144" s="182"/>
      <c r="GG144" s="182"/>
      <c r="GH144" s="182"/>
      <c r="GI144" s="182"/>
    </row>
    <row r="145" spans="1:191" s="183" customFormat="1" x14ac:dyDescent="0.2">
      <c r="A145" s="210" t="s">
        <v>38450</v>
      </c>
      <c r="B145" s="210" t="s">
        <v>18993</v>
      </c>
      <c r="C145" s="224" t="s">
        <v>22255</v>
      </c>
      <c r="D145" s="211" t="s">
        <v>16</v>
      </c>
      <c r="E145" s="211">
        <v>12</v>
      </c>
      <c r="F145" s="211"/>
      <c r="G145" s="211">
        <v>0.3</v>
      </c>
      <c r="H145" s="212"/>
      <c r="I145" s="213"/>
      <c r="J145" s="272">
        <v>346.75</v>
      </c>
      <c r="K145" s="112">
        <f t="shared" si="14"/>
        <v>4161</v>
      </c>
      <c r="L145" s="273">
        <f>BDI!$E$17</f>
        <v>0.11260000000000001</v>
      </c>
      <c r="M145" s="213"/>
      <c r="N145" s="213"/>
      <c r="O145" s="114">
        <f t="shared" si="15"/>
        <v>385.79</v>
      </c>
      <c r="P145" s="113">
        <f t="shared" si="16"/>
        <v>1388.84</v>
      </c>
      <c r="Q145" s="209"/>
      <c r="R145" s="203"/>
      <c r="S145" s="182"/>
      <c r="T145" s="182"/>
      <c r="U145" s="182"/>
      <c r="V145" s="182"/>
      <c r="W145" s="182"/>
      <c r="X145" s="182"/>
      <c r="Y145" s="182"/>
      <c r="Z145" s="182"/>
      <c r="AA145" s="182"/>
      <c r="AB145" s="182"/>
      <c r="AC145" s="182"/>
      <c r="AD145" s="182"/>
      <c r="AE145" s="182"/>
      <c r="AF145" s="182"/>
      <c r="AG145" s="182"/>
      <c r="AH145" s="182"/>
      <c r="AI145" s="182"/>
      <c r="AJ145" s="182"/>
      <c r="AK145" s="182"/>
      <c r="AL145" s="182"/>
      <c r="AM145" s="182"/>
      <c r="AN145" s="182"/>
      <c r="AO145" s="182"/>
      <c r="AP145" s="182"/>
      <c r="AQ145" s="182"/>
      <c r="AR145" s="182"/>
      <c r="AS145" s="182"/>
      <c r="AT145" s="182"/>
      <c r="AU145" s="182"/>
      <c r="AV145" s="182"/>
      <c r="AW145" s="182"/>
      <c r="AX145" s="182"/>
      <c r="AY145" s="182"/>
      <c r="AZ145" s="182"/>
      <c r="BA145" s="182"/>
      <c r="BB145" s="182"/>
      <c r="BC145" s="182"/>
      <c r="BD145" s="182"/>
      <c r="BE145" s="182"/>
      <c r="BF145" s="182"/>
      <c r="BG145" s="182"/>
      <c r="BH145" s="182"/>
      <c r="BI145" s="182"/>
      <c r="BJ145" s="182"/>
      <c r="BK145" s="182"/>
      <c r="BL145" s="182"/>
      <c r="BM145" s="182"/>
      <c r="BN145" s="182"/>
      <c r="BO145" s="182"/>
      <c r="BP145" s="182"/>
      <c r="BQ145" s="182"/>
      <c r="BR145" s="182"/>
      <c r="BS145" s="182"/>
      <c r="BT145" s="182"/>
      <c r="BU145" s="182"/>
      <c r="BV145" s="182"/>
      <c r="BW145" s="182"/>
      <c r="BX145" s="182"/>
      <c r="BY145" s="182"/>
      <c r="BZ145" s="182"/>
      <c r="CA145" s="182"/>
      <c r="CB145" s="182"/>
      <c r="CC145" s="182"/>
      <c r="CD145" s="182"/>
      <c r="CE145" s="182"/>
      <c r="CF145" s="182"/>
      <c r="CG145" s="182"/>
      <c r="CH145" s="182"/>
      <c r="CI145" s="182"/>
      <c r="CJ145" s="182"/>
      <c r="CK145" s="182"/>
      <c r="CL145" s="182"/>
      <c r="CM145" s="182"/>
      <c r="CN145" s="182"/>
      <c r="CO145" s="182"/>
      <c r="CP145" s="182"/>
      <c r="CQ145" s="182"/>
      <c r="CR145" s="182"/>
      <c r="CS145" s="182"/>
      <c r="CT145" s="182"/>
      <c r="CU145" s="182"/>
      <c r="CV145" s="182"/>
      <c r="CW145" s="182"/>
      <c r="CX145" s="182"/>
      <c r="CY145" s="182"/>
      <c r="CZ145" s="182"/>
      <c r="DA145" s="182"/>
      <c r="DB145" s="182"/>
      <c r="DC145" s="182"/>
      <c r="DD145" s="182"/>
      <c r="DE145" s="182"/>
      <c r="DF145" s="182"/>
      <c r="DG145" s="182"/>
      <c r="DH145" s="182"/>
      <c r="DI145" s="182"/>
      <c r="DJ145" s="182"/>
      <c r="DK145" s="182"/>
      <c r="DL145" s="182"/>
      <c r="DM145" s="182"/>
      <c r="DN145" s="182"/>
      <c r="DO145" s="182"/>
      <c r="DP145" s="182"/>
      <c r="DQ145" s="182"/>
      <c r="DR145" s="182"/>
      <c r="DS145" s="182"/>
      <c r="DT145" s="182"/>
      <c r="DU145" s="182"/>
      <c r="DV145" s="182"/>
      <c r="DW145" s="182"/>
      <c r="DX145" s="182"/>
      <c r="DY145" s="182"/>
      <c r="DZ145" s="182"/>
      <c r="EA145" s="182"/>
      <c r="EB145" s="182"/>
      <c r="EC145" s="182"/>
      <c r="ED145" s="182"/>
      <c r="EE145" s="182"/>
      <c r="EF145" s="182"/>
      <c r="EG145" s="182"/>
      <c r="EH145" s="182"/>
      <c r="EI145" s="182"/>
      <c r="EJ145" s="182"/>
      <c r="EK145" s="182"/>
      <c r="EL145" s="182"/>
      <c r="EM145" s="182"/>
      <c r="EN145" s="182"/>
      <c r="EO145" s="182"/>
      <c r="EP145" s="182"/>
      <c r="EQ145" s="182"/>
      <c r="ER145" s="182"/>
      <c r="ES145" s="182"/>
      <c r="ET145" s="182"/>
      <c r="EU145" s="182"/>
      <c r="EV145" s="182"/>
      <c r="EW145" s="182"/>
      <c r="EX145" s="182"/>
      <c r="EY145" s="182"/>
      <c r="EZ145" s="182"/>
      <c r="FA145" s="182"/>
      <c r="FB145" s="182"/>
      <c r="FC145" s="182"/>
      <c r="FD145" s="182"/>
      <c r="FE145" s="182"/>
      <c r="FF145" s="182"/>
      <c r="FG145" s="182"/>
      <c r="FH145" s="182"/>
      <c r="FI145" s="182"/>
      <c r="FJ145" s="182"/>
      <c r="FK145" s="182"/>
      <c r="FL145" s="182"/>
      <c r="FM145" s="182"/>
      <c r="FN145" s="182"/>
      <c r="FO145" s="182"/>
      <c r="FP145" s="182"/>
      <c r="FQ145" s="182"/>
      <c r="FR145" s="182"/>
      <c r="FS145" s="182"/>
      <c r="FT145" s="182"/>
      <c r="FU145" s="182"/>
      <c r="FV145" s="182"/>
      <c r="FW145" s="182"/>
      <c r="FX145" s="182"/>
      <c r="FY145" s="182"/>
      <c r="FZ145" s="182"/>
      <c r="GA145" s="182"/>
      <c r="GB145" s="182"/>
      <c r="GC145" s="182"/>
      <c r="GD145" s="182"/>
      <c r="GE145" s="182"/>
      <c r="GF145" s="182"/>
      <c r="GG145" s="182"/>
      <c r="GH145" s="182"/>
      <c r="GI145" s="182"/>
    </row>
    <row r="146" spans="1:191" s="183" customFormat="1" x14ac:dyDescent="0.2">
      <c r="A146" s="210" t="s">
        <v>38451</v>
      </c>
      <c r="B146" s="210" t="s">
        <v>18994</v>
      </c>
      <c r="C146" s="224" t="s">
        <v>22256</v>
      </c>
      <c r="D146" s="211" t="s">
        <v>16</v>
      </c>
      <c r="E146" s="211">
        <v>18</v>
      </c>
      <c r="F146" s="211"/>
      <c r="G146" s="211">
        <v>0.3</v>
      </c>
      <c r="H146" s="212"/>
      <c r="I146" s="213"/>
      <c r="J146" s="272">
        <v>351.24</v>
      </c>
      <c r="K146" s="112">
        <f t="shared" si="14"/>
        <v>6322.32</v>
      </c>
      <c r="L146" s="273">
        <f>BDI!$E$17</f>
        <v>0.11260000000000001</v>
      </c>
      <c r="M146" s="213"/>
      <c r="N146" s="213"/>
      <c r="O146" s="114">
        <f t="shared" si="15"/>
        <v>390.79</v>
      </c>
      <c r="P146" s="113">
        <f t="shared" si="16"/>
        <v>2110.27</v>
      </c>
      <c r="Q146" s="209"/>
      <c r="R146" s="203"/>
      <c r="S146" s="182"/>
      <c r="T146" s="182"/>
      <c r="U146" s="182"/>
      <c r="V146" s="182"/>
      <c r="W146" s="182"/>
      <c r="X146" s="182"/>
      <c r="Y146" s="182"/>
      <c r="Z146" s="182"/>
      <c r="AA146" s="182"/>
      <c r="AB146" s="182"/>
      <c r="AC146" s="182"/>
      <c r="AD146" s="182"/>
      <c r="AE146" s="182"/>
      <c r="AF146" s="182"/>
      <c r="AG146" s="182"/>
      <c r="AH146" s="182"/>
      <c r="AI146" s="182"/>
      <c r="AJ146" s="182"/>
      <c r="AK146" s="182"/>
      <c r="AL146" s="182"/>
      <c r="AM146" s="182"/>
      <c r="AN146" s="182"/>
      <c r="AO146" s="182"/>
      <c r="AP146" s="182"/>
      <c r="AQ146" s="182"/>
      <c r="AR146" s="182"/>
      <c r="AS146" s="182"/>
      <c r="AT146" s="182"/>
      <c r="AU146" s="182"/>
      <c r="AV146" s="182"/>
      <c r="AW146" s="182"/>
      <c r="AX146" s="182"/>
      <c r="AY146" s="182"/>
      <c r="AZ146" s="182"/>
      <c r="BA146" s="182"/>
      <c r="BB146" s="182"/>
      <c r="BC146" s="182"/>
      <c r="BD146" s="182"/>
      <c r="BE146" s="182"/>
      <c r="BF146" s="182"/>
      <c r="BG146" s="182"/>
      <c r="BH146" s="182"/>
      <c r="BI146" s="182"/>
      <c r="BJ146" s="182"/>
      <c r="BK146" s="182"/>
      <c r="BL146" s="182"/>
      <c r="BM146" s="182"/>
      <c r="BN146" s="182"/>
      <c r="BO146" s="182"/>
      <c r="BP146" s="182"/>
      <c r="BQ146" s="182"/>
      <c r="BR146" s="182"/>
      <c r="BS146" s="182"/>
      <c r="BT146" s="182"/>
      <c r="BU146" s="182"/>
      <c r="BV146" s="182"/>
      <c r="BW146" s="182"/>
      <c r="BX146" s="182"/>
      <c r="BY146" s="182"/>
      <c r="BZ146" s="182"/>
      <c r="CA146" s="182"/>
      <c r="CB146" s="182"/>
      <c r="CC146" s="182"/>
      <c r="CD146" s="182"/>
      <c r="CE146" s="182"/>
      <c r="CF146" s="182"/>
      <c r="CG146" s="182"/>
      <c r="CH146" s="182"/>
      <c r="CI146" s="182"/>
      <c r="CJ146" s="182"/>
      <c r="CK146" s="182"/>
      <c r="CL146" s="182"/>
      <c r="CM146" s="182"/>
      <c r="CN146" s="182"/>
      <c r="CO146" s="182"/>
      <c r="CP146" s="182"/>
      <c r="CQ146" s="182"/>
      <c r="CR146" s="182"/>
      <c r="CS146" s="182"/>
      <c r="CT146" s="182"/>
      <c r="CU146" s="182"/>
      <c r="CV146" s="182"/>
      <c r="CW146" s="182"/>
      <c r="CX146" s="182"/>
      <c r="CY146" s="182"/>
      <c r="CZ146" s="182"/>
      <c r="DA146" s="182"/>
      <c r="DB146" s="182"/>
      <c r="DC146" s="182"/>
      <c r="DD146" s="182"/>
      <c r="DE146" s="182"/>
      <c r="DF146" s="182"/>
      <c r="DG146" s="182"/>
      <c r="DH146" s="182"/>
      <c r="DI146" s="182"/>
      <c r="DJ146" s="182"/>
      <c r="DK146" s="182"/>
      <c r="DL146" s="182"/>
      <c r="DM146" s="182"/>
      <c r="DN146" s="182"/>
      <c r="DO146" s="182"/>
      <c r="DP146" s="182"/>
      <c r="DQ146" s="182"/>
      <c r="DR146" s="182"/>
      <c r="DS146" s="182"/>
      <c r="DT146" s="182"/>
      <c r="DU146" s="182"/>
      <c r="DV146" s="182"/>
      <c r="DW146" s="182"/>
      <c r="DX146" s="182"/>
      <c r="DY146" s="182"/>
      <c r="DZ146" s="182"/>
      <c r="EA146" s="182"/>
      <c r="EB146" s="182"/>
      <c r="EC146" s="182"/>
      <c r="ED146" s="182"/>
      <c r="EE146" s="182"/>
      <c r="EF146" s="182"/>
      <c r="EG146" s="182"/>
      <c r="EH146" s="182"/>
      <c r="EI146" s="182"/>
      <c r="EJ146" s="182"/>
      <c r="EK146" s="182"/>
      <c r="EL146" s="182"/>
      <c r="EM146" s="182"/>
      <c r="EN146" s="182"/>
      <c r="EO146" s="182"/>
      <c r="EP146" s="182"/>
      <c r="EQ146" s="182"/>
      <c r="ER146" s="182"/>
      <c r="ES146" s="182"/>
      <c r="ET146" s="182"/>
      <c r="EU146" s="182"/>
      <c r="EV146" s="182"/>
      <c r="EW146" s="182"/>
      <c r="EX146" s="182"/>
      <c r="EY146" s="182"/>
      <c r="EZ146" s="182"/>
      <c r="FA146" s="182"/>
      <c r="FB146" s="182"/>
      <c r="FC146" s="182"/>
      <c r="FD146" s="182"/>
      <c r="FE146" s="182"/>
      <c r="FF146" s="182"/>
      <c r="FG146" s="182"/>
      <c r="FH146" s="182"/>
      <c r="FI146" s="182"/>
      <c r="FJ146" s="182"/>
      <c r="FK146" s="182"/>
      <c r="FL146" s="182"/>
      <c r="FM146" s="182"/>
      <c r="FN146" s="182"/>
      <c r="FO146" s="182"/>
      <c r="FP146" s="182"/>
      <c r="FQ146" s="182"/>
      <c r="FR146" s="182"/>
      <c r="FS146" s="182"/>
      <c r="FT146" s="182"/>
      <c r="FU146" s="182"/>
      <c r="FV146" s="182"/>
      <c r="FW146" s="182"/>
      <c r="FX146" s="182"/>
      <c r="FY146" s="182"/>
      <c r="FZ146" s="182"/>
      <c r="GA146" s="182"/>
      <c r="GB146" s="182"/>
      <c r="GC146" s="182"/>
      <c r="GD146" s="182"/>
      <c r="GE146" s="182"/>
      <c r="GF146" s="182"/>
      <c r="GG146" s="182"/>
      <c r="GH146" s="182"/>
      <c r="GI146" s="182"/>
    </row>
    <row r="147" spans="1:191" s="183" customFormat="1" ht="25.5" x14ac:dyDescent="0.2">
      <c r="A147" s="210" t="s">
        <v>38452</v>
      </c>
      <c r="B147" s="210" t="s">
        <v>18995</v>
      </c>
      <c r="C147" s="224" t="s">
        <v>22257</v>
      </c>
      <c r="D147" s="211" t="s">
        <v>16</v>
      </c>
      <c r="E147" s="211">
        <v>15</v>
      </c>
      <c r="F147" s="211"/>
      <c r="G147" s="211">
        <v>0.3</v>
      </c>
      <c r="H147" s="212"/>
      <c r="I147" s="213"/>
      <c r="J147" s="272">
        <v>742.52</v>
      </c>
      <c r="K147" s="112">
        <f t="shared" si="14"/>
        <v>11137.8</v>
      </c>
      <c r="L147" s="273">
        <f>BDI!$E$17</f>
        <v>0.11260000000000001</v>
      </c>
      <c r="M147" s="213"/>
      <c r="N147" s="213"/>
      <c r="O147" s="114">
        <f t="shared" si="15"/>
        <v>826.13</v>
      </c>
      <c r="P147" s="113">
        <f t="shared" si="16"/>
        <v>3717.59</v>
      </c>
      <c r="Q147" s="209"/>
      <c r="R147" s="203"/>
      <c r="S147" s="182"/>
      <c r="T147" s="182"/>
      <c r="U147" s="182"/>
      <c r="V147" s="182"/>
      <c r="W147" s="182"/>
      <c r="X147" s="182"/>
      <c r="Y147" s="182"/>
      <c r="Z147" s="182"/>
      <c r="AA147" s="182"/>
      <c r="AB147" s="182"/>
      <c r="AC147" s="182"/>
      <c r="AD147" s="182"/>
      <c r="AE147" s="182"/>
      <c r="AF147" s="182"/>
      <c r="AG147" s="182"/>
      <c r="AH147" s="182"/>
      <c r="AI147" s="182"/>
      <c r="AJ147" s="182"/>
      <c r="AK147" s="182"/>
      <c r="AL147" s="182"/>
      <c r="AM147" s="182"/>
      <c r="AN147" s="182"/>
      <c r="AO147" s="182"/>
      <c r="AP147" s="182"/>
      <c r="AQ147" s="182"/>
      <c r="AR147" s="182"/>
      <c r="AS147" s="182"/>
      <c r="AT147" s="182"/>
      <c r="AU147" s="182"/>
      <c r="AV147" s="182"/>
      <c r="AW147" s="182"/>
      <c r="AX147" s="182"/>
      <c r="AY147" s="182"/>
      <c r="AZ147" s="182"/>
      <c r="BA147" s="182"/>
      <c r="BB147" s="182"/>
      <c r="BC147" s="182"/>
      <c r="BD147" s="182"/>
      <c r="BE147" s="182"/>
      <c r="BF147" s="182"/>
      <c r="BG147" s="182"/>
      <c r="BH147" s="182"/>
      <c r="BI147" s="182"/>
      <c r="BJ147" s="182"/>
      <c r="BK147" s="182"/>
      <c r="BL147" s="182"/>
      <c r="BM147" s="182"/>
      <c r="BN147" s="182"/>
      <c r="BO147" s="182"/>
      <c r="BP147" s="182"/>
      <c r="BQ147" s="182"/>
      <c r="BR147" s="182"/>
      <c r="BS147" s="182"/>
      <c r="BT147" s="182"/>
      <c r="BU147" s="182"/>
      <c r="BV147" s="182"/>
      <c r="BW147" s="182"/>
      <c r="BX147" s="182"/>
      <c r="BY147" s="182"/>
      <c r="BZ147" s="182"/>
      <c r="CA147" s="182"/>
      <c r="CB147" s="182"/>
      <c r="CC147" s="182"/>
      <c r="CD147" s="182"/>
      <c r="CE147" s="182"/>
      <c r="CF147" s="182"/>
      <c r="CG147" s="182"/>
      <c r="CH147" s="182"/>
      <c r="CI147" s="182"/>
      <c r="CJ147" s="182"/>
      <c r="CK147" s="182"/>
      <c r="CL147" s="182"/>
      <c r="CM147" s="182"/>
      <c r="CN147" s="182"/>
      <c r="CO147" s="182"/>
      <c r="CP147" s="182"/>
      <c r="CQ147" s="182"/>
      <c r="CR147" s="182"/>
      <c r="CS147" s="182"/>
      <c r="CT147" s="182"/>
      <c r="CU147" s="182"/>
      <c r="CV147" s="182"/>
      <c r="CW147" s="182"/>
      <c r="CX147" s="182"/>
      <c r="CY147" s="182"/>
      <c r="CZ147" s="182"/>
      <c r="DA147" s="182"/>
      <c r="DB147" s="182"/>
      <c r="DC147" s="182"/>
      <c r="DD147" s="182"/>
      <c r="DE147" s="182"/>
      <c r="DF147" s="182"/>
      <c r="DG147" s="182"/>
      <c r="DH147" s="182"/>
      <c r="DI147" s="182"/>
      <c r="DJ147" s="182"/>
      <c r="DK147" s="182"/>
      <c r="DL147" s="182"/>
      <c r="DM147" s="182"/>
      <c r="DN147" s="182"/>
      <c r="DO147" s="182"/>
      <c r="DP147" s="182"/>
      <c r="DQ147" s="182"/>
      <c r="DR147" s="182"/>
      <c r="DS147" s="182"/>
      <c r="DT147" s="182"/>
      <c r="DU147" s="182"/>
      <c r="DV147" s="182"/>
      <c r="DW147" s="182"/>
      <c r="DX147" s="182"/>
      <c r="DY147" s="182"/>
      <c r="DZ147" s="182"/>
      <c r="EA147" s="182"/>
      <c r="EB147" s="182"/>
      <c r="EC147" s="182"/>
      <c r="ED147" s="182"/>
      <c r="EE147" s="182"/>
      <c r="EF147" s="182"/>
      <c r="EG147" s="182"/>
      <c r="EH147" s="182"/>
      <c r="EI147" s="182"/>
      <c r="EJ147" s="182"/>
      <c r="EK147" s="182"/>
      <c r="EL147" s="182"/>
      <c r="EM147" s="182"/>
      <c r="EN147" s="182"/>
      <c r="EO147" s="182"/>
      <c r="EP147" s="182"/>
      <c r="EQ147" s="182"/>
      <c r="ER147" s="182"/>
      <c r="ES147" s="182"/>
      <c r="ET147" s="182"/>
      <c r="EU147" s="182"/>
      <c r="EV147" s="182"/>
      <c r="EW147" s="182"/>
      <c r="EX147" s="182"/>
      <c r="EY147" s="182"/>
      <c r="EZ147" s="182"/>
      <c r="FA147" s="182"/>
      <c r="FB147" s="182"/>
      <c r="FC147" s="182"/>
      <c r="FD147" s="182"/>
      <c r="FE147" s="182"/>
      <c r="FF147" s="182"/>
      <c r="FG147" s="182"/>
      <c r="FH147" s="182"/>
      <c r="FI147" s="182"/>
      <c r="FJ147" s="182"/>
      <c r="FK147" s="182"/>
      <c r="FL147" s="182"/>
      <c r="FM147" s="182"/>
      <c r="FN147" s="182"/>
      <c r="FO147" s="182"/>
      <c r="FP147" s="182"/>
      <c r="FQ147" s="182"/>
      <c r="FR147" s="182"/>
      <c r="FS147" s="182"/>
      <c r="FT147" s="182"/>
      <c r="FU147" s="182"/>
      <c r="FV147" s="182"/>
      <c r="FW147" s="182"/>
      <c r="FX147" s="182"/>
      <c r="FY147" s="182"/>
      <c r="FZ147" s="182"/>
      <c r="GA147" s="182"/>
      <c r="GB147" s="182"/>
      <c r="GC147" s="182"/>
      <c r="GD147" s="182"/>
      <c r="GE147" s="182"/>
      <c r="GF147" s="182"/>
      <c r="GG147" s="182"/>
      <c r="GH147" s="182"/>
      <c r="GI147" s="182"/>
    </row>
    <row r="148" spans="1:191" s="183" customFormat="1" ht="25.5" x14ac:dyDescent="0.2">
      <c r="A148" s="210" t="s">
        <v>38453</v>
      </c>
      <c r="B148" s="210" t="s">
        <v>18996</v>
      </c>
      <c r="C148" s="224" t="s">
        <v>22258</v>
      </c>
      <c r="D148" s="211" t="s">
        <v>16</v>
      </c>
      <c r="E148" s="211">
        <v>15</v>
      </c>
      <c r="F148" s="211"/>
      <c r="G148" s="211">
        <v>0.3</v>
      </c>
      <c r="H148" s="212"/>
      <c r="I148" s="213"/>
      <c r="J148" s="272">
        <v>684.09</v>
      </c>
      <c r="K148" s="112">
        <f t="shared" si="14"/>
        <v>10261.35</v>
      </c>
      <c r="L148" s="273">
        <f>BDI!$E$17</f>
        <v>0.11260000000000001</v>
      </c>
      <c r="M148" s="213"/>
      <c r="N148" s="213"/>
      <c r="O148" s="114">
        <f t="shared" si="15"/>
        <v>761.12</v>
      </c>
      <c r="P148" s="113">
        <f t="shared" si="16"/>
        <v>3425.04</v>
      </c>
      <c r="Q148" s="209"/>
      <c r="R148" s="203"/>
      <c r="S148" s="182"/>
      <c r="T148" s="182"/>
      <c r="U148" s="182"/>
      <c r="V148" s="182"/>
      <c r="W148" s="182"/>
      <c r="X148" s="182"/>
      <c r="Y148" s="182"/>
      <c r="Z148" s="182"/>
      <c r="AA148" s="182"/>
      <c r="AB148" s="182"/>
      <c r="AC148" s="182"/>
      <c r="AD148" s="182"/>
      <c r="AE148" s="182"/>
      <c r="AF148" s="182"/>
      <c r="AG148" s="182"/>
      <c r="AH148" s="182"/>
      <c r="AI148" s="182"/>
      <c r="AJ148" s="182"/>
      <c r="AK148" s="182"/>
      <c r="AL148" s="182"/>
      <c r="AM148" s="182"/>
      <c r="AN148" s="182"/>
      <c r="AO148" s="182"/>
      <c r="AP148" s="182"/>
      <c r="AQ148" s="182"/>
      <c r="AR148" s="182"/>
      <c r="AS148" s="182"/>
      <c r="AT148" s="182"/>
      <c r="AU148" s="182"/>
      <c r="AV148" s="182"/>
      <c r="AW148" s="182"/>
      <c r="AX148" s="182"/>
      <c r="AY148" s="182"/>
      <c r="AZ148" s="182"/>
      <c r="BA148" s="182"/>
      <c r="BB148" s="182"/>
      <c r="BC148" s="182"/>
      <c r="BD148" s="182"/>
      <c r="BE148" s="182"/>
      <c r="BF148" s="182"/>
      <c r="BG148" s="182"/>
      <c r="BH148" s="182"/>
      <c r="BI148" s="182"/>
      <c r="BJ148" s="182"/>
      <c r="BK148" s="182"/>
      <c r="BL148" s="182"/>
      <c r="BM148" s="182"/>
      <c r="BN148" s="182"/>
      <c r="BO148" s="182"/>
      <c r="BP148" s="182"/>
      <c r="BQ148" s="182"/>
      <c r="BR148" s="182"/>
      <c r="BS148" s="182"/>
      <c r="BT148" s="182"/>
      <c r="BU148" s="182"/>
      <c r="BV148" s="182"/>
      <c r="BW148" s="182"/>
      <c r="BX148" s="182"/>
      <c r="BY148" s="182"/>
      <c r="BZ148" s="182"/>
      <c r="CA148" s="182"/>
      <c r="CB148" s="182"/>
      <c r="CC148" s="182"/>
      <c r="CD148" s="182"/>
      <c r="CE148" s="182"/>
      <c r="CF148" s="182"/>
      <c r="CG148" s="182"/>
      <c r="CH148" s="182"/>
      <c r="CI148" s="182"/>
      <c r="CJ148" s="182"/>
      <c r="CK148" s="182"/>
      <c r="CL148" s="182"/>
      <c r="CM148" s="182"/>
      <c r="CN148" s="182"/>
      <c r="CO148" s="182"/>
      <c r="CP148" s="182"/>
      <c r="CQ148" s="182"/>
      <c r="CR148" s="182"/>
      <c r="CS148" s="182"/>
      <c r="CT148" s="182"/>
      <c r="CU148" s="182"/>
      <c r="CV148" s="182"/>
      <c r="CW148" s="182"/>
      <c r="CX148" s="182"/>
      <c r="CY148" s="182"/>
      <c r="CZ148" s="182"/>
      <c r="DA148" s="182"/>
      <c r="DB148" s="182"/>
      <c r="DC148" s="182"/>
      <c r="DD148" s="182"/>
      <c r="DE148" s="182"/>
      <c r="DF148" s="182"/>
      <c r="DG148" s="182"/>
      <c r="DH148" s="182"/>
      <c r="DI148" s="182"/>
      <c r="DJ148" s="182"/>
      <c r="DK148" s="182"/>
      <c r="DL148" s="182"/>
      <c r="DM148" s="182"/>
      <c r="DN148" s="182"/>
      <c r="DO148" s="182"/>
      <c r="DP148" s="182"/>
      <c r="DQ148" s="182"/>
      <c r="DR148" s="182"/>
      <c r="DS148" s="182"/>
      <c r="DT148" s="182"/>
      <c r="DU148" s="182"/>
      <c r="DV148" s="182"/>
      <c r="DW148" s="182"/>
      <c r="DX148" s="182"/>
      <c r="DY148" s="182"/>
      <c r="DZ148" s="182"/>
      <c r="EA148" s="182"/>
      <c r="EB148" s="182"/>
      <c r="EC148" s="182"/>
      <c r="ED148" s="182"/>
      <c r="EE148" s="182"/>
      <c r="EF148" s="182"/>
      <c r="EG148" s="182"/>
      <c r="EH148" s="182"/>
      <c r="EI148" s="182"/>
      <c r="EJ148" s="182"/>
      <c r="EK148" s="182"/>
      <c r="EL148" s="182"/>
      <c r="EM148" s="182"/>
      <c r="EN148" s="182"/>
      <c r="EO148" s="182"/>
      <c r="EP148" s="182"/>
      <c r="EQ148" s="182"/>
      <c r="ER148" s="182"/>
      <c r="ES148" s="182"/>
      <c r="ET148" s="182"/>
      <c r="EU148" s="182"/>
      <c r="EV148" s="182"/>
      <c r="EW148" s="182"/>
      <c r="EX148" s="182"/>
      <c r="EY148" s="182"/>
      <c r="EZ148" s="182"/>
      <c r="FA148" s="182"/>
      <c r="FB148" s="182"/>
      <c r="FC148" s="182"/>
      <c r="FD148" s="182"/>
      <c r="FE148" s="182"/>
      <c r="FF148" s="182"/>
      <c r="FG148" s="182"/>
      <c r="FH148" s="182"/>
      <c r="FI148" s="182"/>
      <c r="FJ148" s="182"/>
      <c r="FK148" s="182"/>
      <c r="FL148" s="182"/>
      <c r="FM148" s="182"/>
      <c r="FN148" s="182"/>
      <c r="FO148" s="182"/>
      <c r="FP148" s="182"/>
      <c r="FQ148" s="182"/>
      <c r="FR148" s="182"/>
      <c r="FS148" s="182"/>
      <c r="FT148" s="182"/>
      <c r="FU148" s="182"/>
      <c r="FV148" s="182"/>
      <c r="FW148" s="182"/>
      <c r="FX148" s="182"/>
      <c r="FY148" s="182"/>
      <c r="FZ148" s="182"/>
      <c r="GA148" s="182"/>
      <c r="GB148" s="182"/>
      <c r="GC148" s="182"/>
      <c r="GD148" s="182"/>
      <c r="GE148" s="182"/>
      <c r="GF148" s="182"/>
      <c r="GG148" s="182"/>
      <c r="GH148" s="182"/>
      <c r="GI148" s="182"/>
    </row>
    <row r="149" spans="1:191" s="183" customFormat="1" x14ac:dyDescent="0.2">
      <c r="A149" s="210" t="s">
        <v>38454</v>
      </c>
      <c r="B149" s="210" t="s">
        <v>18997</v>
      </c>
      <c r="C149" s="224" t="s">
        <v>22259</v>
      </c>
      <c r="D149" s="211" t="s">
        <v>16</v>
      </c>
      <c r="E149" s="211">
        <v>15</v>
      </c>
      <c r="F149" s="211"/>
      <c r="G149" s="211">
        <v>0.3</v>
      </c>
      <c r="H149" s="212"/>
      <c r="I149" s="213"/>
      <c r="J149" s="272">
        <v>214.53</v>
      </c>
      <c r="K149" s="112">
        <f t="shared" si="14"/>
        <v>3217.95</v>
      </c>
      <c r="L149" s="273">
        <f>BDI!$E$17</f>
        <v>0.11260000000000001</v>
      </c>
      <c r="M149" s="213"/>
      <c r="N149" s="213"/>
      <c r="O149" s="114">
        <f t="shared" si="15"/>
        <v>238.69</v>
      </c>
      <c r="P149" s="113">
        <f t="shared" si="16"/>
        <v>1074.1099999999999</v>
      </c>
      <c r="Q149" s="209"/>
      <c r="R149" s="203"/>
      <c r="S149" s="182"/>
      <c r="T149" s="182"/>
      <c r="U149" s="182"/>
      <c r="V149" s="182"/>
      <c r="W149" s="182"/>
      <c r="X149" s="182"/>
      <c r="Y149" s="182"/>
      <c r="Z149" s="182"/>
      <c r="AA149" s="182"/>
      <c r="AB149" s="182"/>
      <c r="AC149" s="182"/>
      <c r="AD149" s="182"/>
      <c r="AE149" s="182"/>
      <c r="AF149" s="182"/>
      <c r="AG149" s="182"/>
      <c r="AH149" s="182"/>
      <c r="AI149" s="182"/>
      <c r="AJ149" s="182"/>
      <c r="AK149" s="182"/>
      <c r="AL149" s="182"/>
      <c r="AM149" s="182"/>
      <c r="AN149" s="182"/>
      <c r="AO149" s="182"/>
      <c r="AP149" s="182"/>
      <c r="AQ149" s="182"/>
      <c r="AR149" s="182"/>
      <c r="AS149" s="182"/>
      <c r="AT149" s="182"/>
      <c r="AU149" s="182"/>
      <c r="AV149" s="182"/>
      <c r="AW149" s="182"/>
      <c r="AX149" s="182"/>
      <c r="AY149" s="182"/>
      <c r="AZ149" s="182"/>
      <c r="BA149" s="182"/>
      <c r="BB149" s="182"/>
      <c r="BC149" s="182"/>
      <c r="BD149" s="182"/>
      <c r="BE149" s="182"/>
      <c r="BF149" s="182"/>
      <c r="BG149" s="182"/>
      <c r="BH149" s="182"/>
      <c r="BI149" s="182"/>
      <c r="BJ149" s="182"/>
      <c r="BK149" s="182"/>
      <c r="BL149" s="182"/>
      <c r="BM149" s="182"/>
      <c r="BN149" s="182"/>
      <c r="BO149" s="182"/>
      <c r="BP149" s="182"/>
      <c r="BQ149" s="182"/>
      <c r="BR149" s="182"/>
      <c r="BS149" s="182"/>
      <c r="BT149" s="182"/>
      <c r="BU149" s="182"/>
      <c r="BV149" s="182"/>
      <c r="BW149" s="182"/>
      <c r="BX149" s="182"/>
      <c r="BY149" s="182"/>
      <c r="BZ149" s="182"/>
      <c r="CA149" s="182"/>
      <c r="CB149" s="182"/>
      <c r="CC149" s="182"/>
      <c r="CD149" s="182"/>
      <c r="CE149" s="182"/>
      <c r="CF149" s="182"/>
      <c r="CG149" s="182"/>
      <c r="CH149" s="182"/>
      <c r="CI149" s="182"/>
      <c r="CJ149" s="182"/>
      <c r="CK149" s="182"/>
      <c r="CL149" s="182"/>
      <c r="CM149" s="182"/>
      <c r="CN149" s="182"/>
      <c r="CO149" s="182"/>
      <c r="CP149" s="182"/>
      <c r="CQ149" s="182"/>
      <c r="CR149" s="182"/>
      <c r="CS149" s="182"/>
      <c r="CT149" s="182"/>
      <c r="CU149" s="182"/>
      <c r="CV149" s="182"/>
      <c r="CW149" s="182"/>
      <c r="CX149" s="182"/>
      <c r="CY149" s="182"/>
      <c r="CZ149" s="182"/>
      <c r="DA149" s="182"/>
      <c r="DB149" s="182"/>
      <c r="DC149" s="182"/>
      <c r="DD149" s="182"/>
      <c r="DE149" s="182"/>
      <c r="DF149" s="182"/>
      <c r="DG149" s="182"/>
      <c r="DH149" s="182"/>
      <c r="DI149" s="182"/>
      <c r="DJ149" s="182"/>
      <c r="DK149" s="182"/>
      <c r="DL149" s="182"/>
      <c r="DM149" s="182"/>
      <c r="DN149" s="182"/>
      <c r="DO149" s="182"/>
      <c r="DP149" s="182"/>
      <c r="DQ149" s="182"/>
      <c r="DR149" s="182"/>
      <c r="DS149" s="182"/>
      <c r="DT149" s="182"/>
      <c r="DU149" s="182"/>
      <c r="DV149" s="182"/>
      <c r="DW149" s="182"/>
      <c r="DX149" s="182"/>
      <c r="DY149" s="182"/>
      <c r="DZ149" s="182"/>
      <c r="EA149" s="182"/>
      <c r="EB149" s="182"/>
      <c r="EC149" s="182"/>
      <c r="ED149" s="182"/>
      <c r="EE149" s="182"/>
      <c r="EF149" s="182"/>
      <c r="EG149" s="182"/>
      <c r="EH149" s="182"/>
      <c r="EI149" s="182"/>
      <c r="EJ149" s="182"/>
      <c r="EK149" s="182"/>
      <c r="EL149" s="182"/>
      <c r="EM149" s="182"/>
      <c r="EN149" s="182"/>
      <c r="EO149" s="182"/>
      <c r="EP149" s="182"/>
      <c r="EQ149" s="182"/>
      <c r="ER149" s="182"/>
      <c r="ES149" s="182"/>
      <c r="ET149" s="182"/>
      <c r="EU149" s="182"/>
      <c r="EV149" s="182"/>
      <c r="EW149" s="182"/>
      <c r="EX149" s="182"/>
      <c r="EY149" s="182"/>
      <c r="EZ149" s="182"/>
      <c r="FA149" s="182"/>
      <c r="FB149" s="182"/>
      <c r="FC149" s="182"/>
      <c r="FD149" s="182"/>
      <c r="FE149" s="182"/>
      <c r="FF149" s="182"/>
      <c r="FG149" s="182"/>
      <c r="FH149" s="182"/>
      <c r="FI149" s="182"/>
      <c r="FJ149" s="182"/>
      <c r="FK149" s="182"/>
      <c r="FL149" s="182"/>
      <c r="FM149" s="182"/>
      <c r="FN149" s="182"/>
      <c r="FO149" s="182"/>
      <c r="FP149" s="182"/>
      <c r="FQ149" s="182"/>
      <c r="FR149" s="182"/>
      <c r="FS149" s="182"/>
      <c r="FT149" s="182"/>
      <c r="FU149" s="182"/>
      <c r="FV149" s="182"/>
      <c r="FW149" s="182"/>
      <c r="FX149" s="182"/>
      <c r="FY149" s="182"/>
      <c r="FZ149" s="182"/>
      <c r="GA149" s="182"/>
      <c r="GB149" s="182"/>
      <c r="GC149" s="182"/>
      <c r="GD149" s="182"/>
      <c r="GE149" s="182"/>
      <c r="GF149" s="182"/>
      <c r="GG149" s="182"/>
      <c r="GH149" s="182"/>
      <c r="GI149" s="182"/>
    </row>
    <row r="150" spans="1:191" s="183" customFormat="1" x14ac:dyDescent="0.2">
      <c r="A150" s="210" t="s">
        <v>38455</v>
      </c>
      <c r="B150" s="210" t="s">
        <v>18998</v>
      </c>
      <c r="C150" s="224" t="s">
        <v>22260</v>
      </c>
      <c r="D150" s="211" t="s">
        <v>16</v>
      </c>
      <c r="E150" s="211">
        <v>15</v>
      </c>
      <c r="F150" s="211"/>
      <c r="G150" s="211">
        <v>0.3</v>
      </c>
      <c r="H150" s="212"/>
      <c r="I150" s="213"/>
      <c r="J150" s="272">
        <v>1827.98</v>
      </c>
      <c r="K150" s="112">
        <f t="shared" si="14"/>
        <v>27419.7</v>
      </c>
      <c r="L150" s="273">
        <f>BDI!$E$17</f>
        <v>0.11260000000000001</v>
      </c>
      <c r="M150" s="213"/>
      <c r="N150" s="213"/>
      <c r="O150" s="114">
        <f t="shared" si="15"/>
        <v>2033.81</v>
      </c>
      <c r="P150" s="113">
        <f t="shared" si="16"/>
        <v>9152.15</v>
      </c>
      <c r="Q150" s="209"/>
      <c r="R150" s="203"/>
      <c r="S150" s="182"/>
      <c r="T150" s="182"/>
      <c r="U150" s="182"/>
      <c r="V150" s="182"/>
      <c r="W150" s="182"/>
      <c r="X150" s="182"/>
      <c r="Y150" s="182"/>
      <c r="Z150" s="182"/>
      <c r="AA150" s="182"/>
      <c r="AB150" s="182"/>
      <c r="AC150" s="182"/>
      <c r="AD150" s="182"/>
      <c r="AE150" s="182"/>
      <c r="AF150" s="182"/>
      <c r="AG150" s="182"/>
      <c r="AH150" s="182"/>
      <c r="AI150" s="182"/>
      <c r="AJ150" s="182"/>
      <c r="AK150" s="182"/>
      <c r="AL150" s="182"/>
      <c r="AM150" s="182"/>
      <c r="AN150" s="182"/>
      <c r="AO150" s="182"/>
      <c r="AP150" s="182"/>
      <c r="AQ150" s="182"/>
      <c r="AR150" s="182"/>
      <c r="AS150" s="182"/>
      <c r="AT150" s="182"/>
      <c r="AU150" s="182"/>
      <c r="AV150" s="182"/>
      <c r="AW150" s="182"/>
      <c r="AX150" s="182"/>
      <c r="AY150" s="182"/>
      <c r="AZ150" s="182"/>
      <c r="BA150" s="182"/>
      <c r="BB150" s="182"/>
      <c r="BC150" s="182"/>
      <c r="BD150" s="182"/>
      <c r="BE150" s="182"/>
      <c r="BF150" s="182"/>
      <c r="BG150" s="182"/>
      <c r="BH150" s="182"/>
      <c r="BI150" s="182"/>
      <c r="BJ150" s="182"/>
      <c r="BK150" s="182"/>
      <c r="BL150" s="182"/>
      <c r="BM150" s="182"/>
      <c r="BN150" s="182"/>
      <c r="BO150" s="182"/>
      <c r="BP150" s="182"/>
      <c r="BQ150" s="182"/>
      <c r="BR150" s="182"/>
      <c r="BS150" s="182"/>
      <c r="BT150" s="182"/>
      <c r="BU150" s="182"/>
      <c r="BV150" s="182"/>
      <c r="BW150" s="182"/>
      <c r="BX150" s="182"/>
      <c r="BY150" s="182"/>
      <c r="BZ150" s="182"/>
      <c r="CA150" s="182"/>
      <c r="CB150" s="182"/>
      <c r="CC150" s="182"/>
      <c r="CD150" s="182"/>
      <c r="CE150" s="182"/>
      <c r="CF150" s="182"/>
      <c r="CG150" s="182"/>
      <c r="CH150" s="182"/>
      <c r="CI150" s="182"/>
      <c r="CJ150" s="182"/>
      <c r="CK150" s="182"/>
      <c r="CL150" s="182"/>
      <c r="CM150" s="182"/>
      <c r="CN150" s="182"/>
      <c r="CO150" s="182"/>
      <c r="CP150" s="182"/>
      <c r="CQ150" s="182"/>
      <c r="CR150" s="182"/>
      <c r="CS150" s="182"/>
      <c r="CT150" s="182"/>
      <c r="CU150" s="182"/>
      <c r="CV150" s="182"/>
      <c r="CW150" s="182"/>
      <c r="CX150" s="182"/>
      <c r="CY150" s="182"/>
      <c r="CZ150" s="182"/>
      <c r="DA150" s="182"/>
      <c r="DB150" s="182"/>
      <c r="DC150" s="182"/>
      <c r="DD150" s="182"/>
      <c r="DE150" s="182"/>
      <c r="DF150" s="182"/>
      <c r="DG150" s="182"/>
      <c r="DH150" s="182"/>
      <c r="DI150" s="182"/>
      <c r="DJ150" s="182"/>
      <c r="DK150" s="182"/>
      <c r="DL150" s="182"/>
      <c r="DM150" s="182"/>
      <c r="DN150" s="182"/>
      <c r="DO150" s="182"/>
      <c r="DP150" s="182"/>
      <c r="DQ150" s="182"/>
      <c r="DR150" s="182"/>
      <c r="DS150" s="182"/>
      <c r="DT150" s="182"/>
      <c r="DU150" s="182"/>
      <c r="DV150" s="182"/>
      <c r="DW150" s="182"/>
      <c r="DX150" s="182"/>
      <c r="DY150" s="182"/>
      <c r="DZ150" s="182"/>
      <c r="EA150" s="182"/>
      <c r="EB150" s="182"/>
      <c r="EC150" s="182"/>
      <c r="ED150" s="182"/>
      <c r="EE150" s="182"/>
      <c r="EF150" s="182"/>
      <c r="EG150" s="182"/>
      <c r="EH150" s="182"/>
      <c r="EI150" s="182"/>
      <c r="EJ150" s="182"/>
      <c r="EK150" s="182"/>
      <c r="EL150" s="182"/>
      <c r="EM150" s="182"/>
      <c r="EN150" s="182"/>
      <c r="EO150" s="182"/>
      <c r="EP150" s="182"/>
      <c r="EQ150" s="182"/>
      <c r="ER150" s="182"/>
      <c r="ES150" s="182"/>
      <c r="ET150" s="182"/>
      <c r="EU150" s="182"/>
      <c r="EV150" s="182"/>
      <c r="EW150" s="182"/>
      <c r="EX150" s="182"/>
      <c r="EY150" s="182"/>
      <c r="EZ150" s="182"/>
      <c r="FA150" s="182"/>
      <c r="FB150" s="182"/>
      <c r="FC150" s="182"/>
      <c r="FD150" s="182"/>
      <c r="FE150" s="182"/>
      <c r="FF150" s="182"/>
      <c r="FG150" s="182"/>
      <c r="FH150" s="182"/>
      <c r="FI150" s="182"/>
      <c r="FJ150" s="182"/>
      <c r="FK150" s="182"/>
      <c r="FL150" s="182"/>
      <c r="FM150" s="182"/>
      <c r="FN150" s="182"/>
      <c r="FO150" s="182"/>
      <c r="FP150" s="182"/>
      <c r="FQ150" s="182"/>
      <c r="FR150" s="182"/>
      <c r="FS150" s="182"/>
      <c r="FT150" s="182"/>
      <c r="FU150" s="182"/>
      <c r="FV150" s="182"/>
      <c r="FW150" s="182"/>
      <c r="FX150" s="182"/>
      <c r="FY150" s="182"/>
      <c r="FZ150" s="182"/>
      <c r="GA150" s="182"/>
      <c r="GB150" s="182"/>
      <c r="GC150" s="182"/>
      <c r="GD150" s="182"/>
      <c r="GE150" s="182"/>
      <c r="GF150" s="182"/>
      <c r="GG150" s="182"/>
      <c r="GH150" s="182"/>
      <c r="GI150" s="182"/>
    </row>
    <row r="151" spans="1:191" s="183" customFormat="1" x14ac:dyDescent="0.2">
      <c r="A151" s="210" t="s">
        <v>38456</v>
      </c>
      <c r="B151" s="210" t="s">
        <v>18999</v>
      </c>
      <c r="C151" s="224" t="s">
        <v>22261</v>
      </c>
      <c r="D151" s="211" t="s">
        <v>16</v>
      </c>
      <c r="E151" s="211">
        <v>15</v>
      </c>
      <c r="F151" s="211"/>
      <c r="G151" s="211">
        <v>0.3</v>
      </c>
      <c r="H151" s="212"/>
      <c r="I151" s="213"/>
      <c r="J151" s="272">
        <v>1844.71</v>
      </c>
      <c r="K151" s="112">
        <f t="shared" si="14"/>
        <v>27670.65</v>
      </c>
      <c r="L151" s="273">
        <f>BDI!$E$17</f>
        <v>0.11260000000000001</v>
      </c>
      <c r="M151" s="213"/>
      <c r="N151" s="213"/>
      <c r="O151" s="114">
        <f t="shared" si="15"/>
        <v>2052.42</v>
      </c>
      <c r="P151" s="113">
        <f t="shared" si="16"/>
        <v>9235.89</v>
      </c>
      <c r="Q151" s="209"/>
      <c r="R151" s="203"/>
      <c r="S151" s="182"/>
      <c r="T151" s="182"/>
      <c r="U151" s="182"/>
      <c r="V151" s="182"/>
      <c r="W151" s="182"/>
      <c r="X151" s="182"/>
      <c r="Y151" s="182"/>
      <c r="Z151" s="182"/>
      <c r="AA151" s="182"/>
      <c r="AB151" s="182"/>
      <c r="AC151" s="182"/>
      <c r="AD151" s="182"/>
      <c r="AE151" s="182"/>
      <c r="AF151" s="182"/>
      <c r="AG151" s="182"/>
      <c r="AH151" s="182"/>
      <c r="AI151" s="182"/>
      <c r="AJ151" s="182"/>
      <c r="AK151" s="182"/>
      <c r="AL151" s="182"/>
      <c r="AM151" s="182"/>
      <c r="AN151" s="182"/>
      <c r="AO151" s="182"/>
      <c r="AP151" s="182"/>
      <c r="AQ151" s="182"/>
      <c r="AR151" s="182"/>
      <c r="AS151" s="182"/>
      <c r="AT151" s="182"/>
      <c r="AU151" s="182"/>
      <c r="AV151" s="182"/>
      <c r="AW151" s="182"/>
      <c r="AX151" s="182"/>
      <c r="AY151" s="182"/>
      <c r="AZ151" s="182"/>
      <c r="BA151" s="182"/>
      <c r="BB151" s="182"/>
      <c r="BC151" s="182"/>
      <c r="BD151" s="182"/>
      <c r="BE151" s="182"/>
      <c r="BF151" s="182"/>
      <c r="BG151" s="182"/>
      <c r="BH151" s="182"/>
      <c r="BI151" s="182"/>
      <c r="BJ151" s="182"/>
      <c r="BK151" s="182"/>
      <c r="BL151" s="182"/>
      <c r="BM151" s="182"/>
      <c r="BN151" s="182"/>
      <c r="BO151" s="182"/>
      <c r="BP151" s="182"/>
      <c r="BQ151" s="182"/>
      <c r="BR151" s="182"/>
      <c r="BS151" s="182"/>
      <c r="BT151" s="182"/>
      <c r="BU151" s="182"/>
      <c r="BV151" s="182"/>
      <c r="BW151" s="182"/>
      <c r="BX151" s="182"/>
      <c r="BY151" s="182"/>
      <c r="BZ151" s="182"/>
      <c r="CA151" s="182"/>
      <c r="CB151" s="182"/>
      <c r="CC151" s="182"/>
      <c r="CD151" s="182"/>
      <c r="CE151" s="182"/>
      <c r="CF151" s="182"/>
      <c r="CG151" s="182"/>
      <c r="CH151" s="182"/>
      <c r="CI151" s="182"/>
      <c r="CJ151" s="182"/>
      <c r="CK151" s="182"/>
      <c r="CL151" s="182"/>
      <c r="CM151" s="182"/>
      <c r="CN151" s="182"/>
      <c r="CO151" s="182"/>
      <c r="CP151" s="182"/>
      <c r="CQ151" s="182"/>
      <c r="CR151" s="182"/>
      <c r="CS151" s="182"/>
      <c r="CT151" s="182"/>
      <c r="CU151" s="182"/>
      <c r="CV151" s="182"/>
      <c r="CW151" s="182"/>
      <c r="CX151" s="182"/>
      <c r="CY151" s="182"/>
      <c r="CZ151" s="182"/>
      <c r="DA151" s="182"/>
      <c r="DB151" s="182"/>
      <c r="DC151" s="182"/>
      <c r="DD151" s="182"/>
      <c r="DE151" s="182"/>
      <c r="DF151" s="182"/>
      <c r="DG151" s="182"/>
      <c r="DH151" s="182"/>
      <c r="DI151" s="182"/>
      <c r="DJ151" s="182"/>
      <c r="DK151" s="182"/>
      <c r="DL151" s="182"/>
      <c r="DM151" s="182"/>
      <c r="DN151" s="182"/>
      <c r="DO151" s="182"/>
      <c r="DP151" s="182"/>
      <c r="DQ151" s="182"/>
      <c r="DR151" s="182"/>
      <c r="DS151" s="182"/>
      <c r="DT151" s="182"/>
      <c r="DU151" s="182"/>
      <c r="DV151" s="182"/>
      <c r="DW151" s="182"/>
      <c r="DX151" s="182"/>
      <c r="DY151" s="182"/>
      <c r="DZ151" s="182"/>
      <c r="EA151" s="182"/>
      <c r="EB151" s="182"/>
      <c r="EC151" s="182"/>
      <c r="ED151" s="182"/>
      <c r="EE151" s="182"/>
      <c r="EF151" s="182"/>
      <c r="EG151" s="182"/>
      <c r="EH151" s="182"/>
      <c r="EI151" s="182"/>
      <c r="EJ151" s="182"/>
      <c r="EK151" s="182"/>
      <c r="EL151" s="182"/>
      <c r="EM151" s="182"/>
      <c r="EN151" s="182"/>
      <c r="EO151" s="182"/>
      <c r="EP151" s="182"/>
      <c r="EQ151" s="182"/>
      <c r="ER151" s="182"/>
      <c r="ES151" s="182"/>
      <c r="ET151" s="182"/>
      <c r="EU151" s="182"/>
      <c r="EV151" s="182"/>
      <c r="EW151" s="182"/>
      <c r="EX151" s="182"/>
      <c r="EY151" s="182"/>
      <c r="EZ151" s="182"/>
      <c r="FA151" s="182"/>
      <c r="FB151" s="182"/>
      <c r="FC151" s="182"/>
      <c r="FD151" s="182"/>
      <c r="FE151" s="182"/>
      <c r="FF151" s="182"/>
      <c r="FG151" s="182"/>
      <c r="FH151" s="182"/>
      <c r="FI151" s="182"/>
      <c r="FJ151" s="182"/>
      <c r="FK151" s="182"/>
      <c r="FL151" s="182"/>
      <c r="FM151" s="182"/>
      <c r="FN151" s="182"/>
      <c r="FO151" s="182"/>
      <c r="FP151" s="182"/>
      <c r="FQ151" s="182"/>
      <c r="FR151" s="182"/>
      <c r="FS151" s="182"/>
      <c r="FT151" s="182"/>
      <c r="FU151" s="182"/>
      <c r="FV151" s="182"/>
      <c r="FW151" s="182"/>
      <c r="FX151" s="182"/>
      <c r="FY151" s="182"/>
      <c r="FZ151" s="182"/>
      <c r="GA151" s="182"/>
      <c r="GB151" s="182"/>
      <c r="GC151" s="182"/>
      <c r="GD151" s="182"/>
      <c r="GE151" s="182"/>
      <c r="GF151" s="182"/>
      <c r="GG151" s="182"/>
      <c r="GH151" s="182"/>
      <c r="GI151" s="182"/>
    </row>
    <row r="152" spans="1:191" s="183" customFormat="1" x14ac:dyDescent="0.2">
      <c r="A152" s="210" t="s">
        <v>38457</v>
      </c>
      <c r="B152" s="210" t="s">
        <v>19000</v>
      </c>
      <c r="C152" s="224" t="s">
        <v>22262</v>
      </c>
      <c r="D152" s="211" t="s">
        <v>16</v>
      </c>
      <c r="E152" s="211">
        <v>15</v>
      </c>
      <c r="F152" s="211"/>
      <c r="G152" s="211">
        <v>0.3</v>
      </c>
      <c r="H152" s="212"/>
      <c r="I152" s="213"/>
      <c r="J152" s="272">
        <v>205.83</v>
      </c>
      <c r="K152" s="112">
        <f t="shared" si="14"/>
        <v>3087.45</v>
      </c>
      <c r="L152" s="273">
        <f>BDI!$E$17</f>
        <v>0.11260000000000001</v>
      </c>
      <c r="M152" s="213"/>
      <c r="N152" s="213"/>
      <c r="O152" s="114">
        <f t="shared" si="15"/>
        <v>229.01</v>
      </c>
      <c r="P152" s="113">
        <f t="shared" si="16"/>
        <v>1030.55</v>
      </c>
      <c r="Q152" s="209"/>
      <c r="R152" s="203"/>
      <c r="S152" s="182"/>
      <c r="T152" s="182"/>
      <c r="U152" s="182"/>
      <c r="V152" s="182"/>
      <c r="W152" s="182"/>
      <c r="X152" s="182"/>
      <c r="Y152" s="182"/>
      <c r="Z152" s="182"/>
      <c r="AA152" s="182"/>
      <c r="AB152" s="182"/>
      <c r="AC152" s="182"/>
      <c r="AD152" s="182"/>
      <c r="AE152" s="182"/>
      <c r="AF152" s="182"/>
      <c r="AG152" s="182"/>
      <c r="AH152" s="182"/>
      <c r="AI152" s="182"/>
      <c r="AJ152" s="182"/>
      <c r="AK152" s="182"/>
      <c r="AL152" s="182"/>
      <c r="AM152" s="182"/>
      <c r="AN152" s="182"/>
      <c r="AO152" s="182"/>
      <c r="AP152" s="182"/>
      <c r="AQ152" s="182"/>
      <c r="AR152" s="182"/>
      <c r="AS152" s="182"/>
      <c r="AT152" s="182"/>
      <c r="AU152" s="182"/>
      <c r="AV152" s="182"/>
      <c r="AW152" s="182"/>
      <c r="AX152" s="182"/>
      <c r="AY152" s="182"/>
      <c r="AZ152" s="182"/>
      <c r="BA152" s="182"/>
      <c r="BB152" s="182"/>
      <c r="BC152" s="182"/>
      <c r="BD152" s="182"/>
      <c r="BE152" s="182"/>
      <c r="BF152" s="182"/>
      <c r="BG152" s="182"/>
      <c r="BH152" s="182"/>
      <c r="BI152" s="182"/>
      <c r="BJ152" s="182"/>
      <c r="BK152" s="182"/>
      <c r="BL152" s="182"/>
      <c r="BM152" s="182"/>
      <c r="BN152" s="182"/>
      <c r="BO152" s="182"/>
      <c r="BP152" s="182"/>
      <c r="BQ152" s="182"/>
      <c r="BR152" s="182"/>
      <c r="BS152" s="182"/>
      <c r="BT152" s="182"/>
      <c r="BU152" s="182"/>
      <c r="BV152" s="182"/>
      <c r="BW152" s="182"/>
      <c r="BX152" s="182"/>
      <c r="BY152" s="182"/>
      <c r="BZ152" s="182"/>
      <c r="CA152" s="182"/>
      <c r="CB152" s="182"/>
      <c r="CC152" s="182"/>
      <c r="CD152" s="182"/>
      <c r="CE152" s="182"/>
      <c r="CF152" s="182"/>
      <c r="CG152" s="182"/>
      <c r="CH152" s="182"/>
      <c r="CI152" s="182"/>
      <c r="CJ152" s="182"/>
      <c r="CK152" s="182"/>
      <c r="CL152" s="182"/>
      <c r="CM152" s="182"/>
      <c r="CN152" s="182"/>
      <c r="CO152" s="182"/>
      <c r="CP152" s="182"/>
      <c r="CQ152" s="182"/>
      <c r="CR152" s="182"/>
      <c r="CS152" s="182"/>
      <c r="CT152" s="182"/>
      <c r="CU152" s="182"/>
      <c r="CV152" s="182"/>
      <c r="CW152" s="182"/>
      <c r="CX152" s="182"/>
      <c r="CY152" s="182"/>
      <c r="CZ152" s="182"/>
      <c r="DA152" s="182"/>
      <c r="DB152" s="182"/>
      <c r="DC152" s="182"/>
      <c r="DD152" s="182"/>
      <c r="DE152" s="182"/>
      <c r="DF152" s="182"/>
      <c r="DG152" s="182"/>
      <c r="DH152" s="182"/>
      <c r="DI152" s="182"/>
      <c r="DJ152" s="182"/>
      <c r="DK152" s="182"/>
      <c r="DL152" s="182"/>
      <c r="DM152" s="182"/>
      <c r="DN152" s="182"/>
      <c r="DO152" s="182"/>
      <c r="DP152" s="182"/>
      <c r="DQ152" s="182"/>
      <c r="DR152" s="182"/>
      <c r="DS152" s="182"/>
      <c r="DT152" s="182"/>
      <c r="DU152" s="182"/>
      <c r="DV152" s="182"/>
      <c r="DW152" s="182"/>
      <c r="DX152" s="182"/>
      <c r="DY152" s="182"/>
      <c r="DZ152" s="182"/>
      <c r="EA152" s="182"/>
      <c r="EB152" s="182"/>
      <c r="EC152" s="182"/>
      <c r="ED152" s="182"/>
      <c r="EE152" s="182"/>
      <c r="EF152" s="182"/>
      <c r="EG152" s="182"/>
      <c r="EH152" s="182"/>
      <c r="EI152" s="182"/>
      <c r="EJ152" s="182"/>
      <c r="EK152" s="182"/>
      <c r="EL152" s="182"/>
      <c r="EM152" s="182"/>
      <c r="EN152" s="182"/>
      <c r="EO152" s="182"/>
      <c r="EP152" s="182"/>
      <c r="EQ152" s="182"/>
      <c r="ER152" s="182"/>
      <c r="ES152" s="182"/>
      <c r="ET152" s="182"/>
      <c r="EU152" s="182"/>
      <c r="EV152" s="182"/>
      <c r="EW152" s="182"/>
      <c r="EX152" s="182"/>
      <c r="EY152" s="182"/>
      <c r="EZ152" s="182"/>
      <c r="FA152" s="182"/>
      <c r="FB152" s="182"/>
      <c r="FC152" s="182"/>
      <c r="FD152" s="182"/>
      <c r="FE152" s="182"/>
      <c r="FF152" s="182"/>
      <c r="FG152" s="182"/>
      <c r="FH152" s="182"/>
      <c r="FI152" s="182"/>
      <c r="FJ152" s="182"/>
      <c r="FK152" s="182"/>
      <c r="FL152" s="182"/>
      <c r="FM152" s="182"/>
      <c r="FN152" s="182"/>
      <c r="FO152" s="182"/>
      <c r="FP152" s="182"/>
      <c r="FQ152" s="182"/>
      <c r="FR152" s="182"/>
      <c r="FS152" s="182"/>
      <c r="FT152" s="182"/>
      <c r="FU152" s="182"/>
      <c r="FV152" s="182"/>
      <c r="FW152" s="182"/>
      <c r="FX152" s="182"/>
      <c r="FY152" s="182"/>
      <c r="FZ152" s="182"/>
      <c r="GA152" s="182"/>
      <c r="GB152" s="182"/>
      <c r="GC152" s="182"/>
      <c r="GD152" s="182"/>
      <c r="GE152" s="182"/>
      <c r="GF152" s="182"/>
      <c r="GG152" s="182"/>
      <c r="GH152" s="182"/>
      <c r="GI152" s="182"/>
    </row>
    <row r="153" spans="1:191" s="183" customFormat="1" x14ac:dyDescent="0.2">
      <c r="A153" s="210" t="s">
        <v>38458</v>
      </c>
      <c r="B153" s="210" t="s">
        <v>19001</v>
      </c>
      <c r="C153" s="224" t="s">
        <v>22263</v>
      </c>
      <c r="D153" s="211" t="s">
        <v>16</v>
      </c>
      <c r="E153" s="211">
        <v>15</v>
      </c>
      <c r="F153" s="211"/>
      <c r="G153" s="211">
        <v>0.3</v>
      </c>
      <c r="H153" s="212"/>
      <c r="I153" s="213"/>
      <c r="J153" s="272">
        <v>171.43</v>
      </c>
      <c r="K153" s="112">
        <f t="shared" si="14"/>
        <v>2571.4499999999998</v>
      </c>
      <c r="L153" s="273">
        <f>BDI!$E$17</f>
        <v>0.11260000000000001</v>
      </c>
      <c r="M153" s="213"/>
      <c r="N153" s="213"/>
      <c r="O153" s="114">
        <f t="shared" si="15"/>
        <v>190.73</v>
      </c>
      <c r="P153" s="113">
        <f t="shared" si="16"/>
        <v>858.29</v>
      </c>
      <c r="Q153" s="209"/>
      <c r="R153" s="203"/>
      <c r="S153" s="182"/>
      <c r="T153" s="182"/>
      <c r="U153" s="182"/>
      <c r="V153" s="182"/>
      <c r="W153" s="182"/>
      <c r="X153" s="182"/>
      <c r="Y153" s="182"/>
      <c r="Z153" s="182"/>
      <c r="AA153" s="182"/>
      <c r="AB153" s="182"/>
      <c r="AC153" s="182"/>
      <c r="AD153" s="182"/>
      <c r="AE153" s="182"/>
      <c r="AF153" s="182"/>
      <c r="AG153" s="182"/>
      <c r="AH153" s="182"/>
      <c r="AI153" s="182"/>
      <c r="AJ153" s="182"/>
      <c r="AK153" s="182"/>
      <c r="AL153" s="182"/>
      <c r="AM153" s="182"/>
      <c r="AN153" s="182"/>
      <c r="AO153" s="182"/>
      <c r="AP153" s="182"/>
      <c r="AQ153" s="182"/>
      <c r="AR153" s="182"/>
      <c r="AS153" s="182"/>
      <c r="AT153" s="182"/>
      <c r="AU153" s="182"/>
      <c r="AV153" s="182"/>
      <c r="AW153" s="182"/>
      <c r="AX153" s="182"/>
      <c r="AY153" s="182"/>
      <c r="AZ153" s="182"/>
      <c r="BA153" s="182"/>
      <c r="BB153" s="182"/>
      <c r="BC153" s="182"/>
      <c r="BD153" s="182"/>
      <c r="BE153" s="182"/>
      <c r="BF153" s="182"/>
      <c r="BG153" s="182"/>
      <c r="BH153" s="182"/>
      <c r="BI153" s="182"/>
      <c r="BJ153" s="182"/>
      <c r="BK153" s="182"/>
      <c r="BL153" s="182"/>
      <c r="BM153" s="182"/>
      <c r="BN153" s="182"/>
      <c r="BO153" s="182"/>
      <c r="BP153" s="182"/>
      <c r="BQ153" s="182"/>
      <c r="BR153" s="182"/>
      <c r="BS153" s="182"/>
      <c r="BT153" s="182"/>
      <c r="BU153" s="182"/>
      <c r="BV153" s="182"/>
      <c r="BW153" s="182"/>
      <c r="BX153" s="182"/>
      <c r="BY153" s="182"/>
      <c r="BZ153" s="182"/>
      <c r="CA153" s="182"/>
      <c r="CB153" s="182"/>
      <c r="CC153" s="182"/>
      <c r="CD153" s="182"/>
      <c r="CE153" s="182"/>
      <c r="CF153" s="182"/>
      <c r="CG153" s="182"/>
      <c r="CH153" s="182"/>
      <c r="CI153" s="182"/>
      <c r="CJ153" s="182"/>
      <c r="CK153" s="182"/>
      <c r="CL153" s="182"/>
      <c r="CM153" s="182"/>
      <c r="CN153" s="182"/>
      <c r="CO153" s="182"/>
      <c r="CP153" s="182"/>
      <c r="CQ153" s="182"/>
      <c r="CR153" s="182"/>
      <c r="CS153" s="182"/>
      <c r="CT153" s="182"/>
      <c r="CU153" s="182"/>
      <c r="CV153" s="182"/>
      <c r="CW153" s="182"/>
      <c r="CX153" s="182"/>
      <c r="CY153" s="182"/>
      <c r="CZ153" s="182"/>
      <c r="DA153" s="182"/>
      <c r="DB153" s="182"/>
      <c r="DC153" s="182"/>
      <c r="DD153" s="182"/>
      <c r="DE153" s="182"/>
      <c r="DF153" s="182"/>
      <c r="DG153" s="182"/>
      <c r="DH153" s="182"/>
      <c r="DI153" s="182"/>
      <c r="DJ153" s="182"/>
      <c r="DK153" s="182"/>
      <c r="DL153" s="182"/>
      <c r="DM153" s="182"/>
      <c r="DN153" s="182"/>
      <c r="DO153" s="182"/>
      <c r="DP153" s="182"/>
      <c r="DQ153" s="182"/>
      <c r="DR153" s="182"/>
      <c r="DS153" s="182"/>
      <c r="DT153" s="182"/>
      <c r="DU153" s="182"/>
      <c r="DV153" s="182"/>
      <c r="DW153" s="182"/>
      <c r="DX153" s="182"/>
      <c r="DY153" s="182"/>
      <c r="DZ153" s="182"/>
      <c r="EA153" s="182"/>
      <c r="EB153" s="182"/>
      <c r="EC153" s="182"/>
      <c r="ED153" s="182"/>
      <c r="EE153" s="182"/>
      <c r="EF153" s="182"/>
      <c r="EG153" s="182"/>
      <c r="EH153" s="182"/>
      <c r="EI153" s="182"/>
      <c r="EJ153" s="182"/>
      <c r="EK153" s="182"/>
      <c r="EL153" s="182"/>
      <c r="EM153" s="182"/>
      <c r="EN153" s="182"/>
      <c r="EO153" s="182"/>
      <c r="EP153" s="182"/>
      <c r="EQ153" s="182"/>
      <c r="ER153" s="182"/>
      <c r="ES153" s="182"/>
      <c r="ET153" s="182"/>
      <c r="EU153" s="182"/>
      <c r="EV153" s="182"/>
      <c r="EW153" s="182"/>
      <c r="EX153" s="182"/>
      <c r="EY153" s="182"/>
      <c r="EZ153" s="182"/>
      <c r="FA153" s="182"/>
      <c r="FB153" s="182"/>
      <c r="FC153" s="182"/>
      <c r="FD153" s="182"/>
      <c r="FE153" s="182"/>
      <c r="FF153" s="182"/>
      <c r="FG153" s="182"/>
      <c r="FH153" s="182"/>
      <c r="FI153" s="182"/>
      <c r="FJ153" s="182"/>
      <c r="FK153" s="182"/>
      <c r="FL153" s="182"/>
      <c r="FM153" s="182"/>
      <c r="FN153" s="182"/>
      <c r="FO153" s="182"/>
      <c r="FP153" s="182"/>
      <c r="FQ153" s="182"/>
      <c r="FR153" s="182"/>
      <c r="FS153" s="182"/>
      <c r="FT153" s="182"/>
      <c r="FU153" s="182"/>
      <c r="FV153" s="182"/>
      <c r="FW153" s="182"/>
      <c r="FX153" s="182"/>
      <c r="FY153" s="182"/>
      <c r="FZ153" s="182"/>
      <c r="GA153" s="182"/>
      <c r="GB153" s="182"/>
      <c r="GC153" s="182"/>
      <c r="GD153" s="182"/>
      <c r="GE153" s="182"/>
      <c r="GF153" s="182"/>
      <c r="GG153" s="182"/>
      <c r="GH153" s="182"/>
      <c r="GI153" s="182"/>
    </row>
    <row r="154" spans="1:191" s="183" customFormat="1" x14ac:dyDescent="0.2">
      <c r="A154" s="210" t="s">
        <v>38459</v>
      </c>
      <c r="B154" s="210" t="s">
        <v>19002</v>
      </c>
      <c r="C154" s="224" t="s">
        <v>22264</v>
      </c>
      <c r="D154" s="211" t="s">
        <v>16</v>
      </c>
      <c r="E154" s="211">
        <v>9</v>
      </c>
      <c r="F154" s="211"/>
      <c r="G154" s="211">
        <v>0.3</v>
      </c>
      <c r="H154" s="212"/>
      <c r="I154" s="213"/>
      <c r="J154" s="272">
        <v>218.34</v>
      </c>
      <c r="K154" s="112">
        <f t="shared" si="14"/>
        <v>1965.06</v>
      </c>
      <c r="L154" s="273">
        <f>BDI!$E$17</f>
        <v>0.11260000000000001</v>
      </c>
      <c r="M154" s="213"/>
      <c r="N154" s="213"/>
      <c r="O154" s="114">
        <f t="shared" si="15"/>
        <v>242.93</v>
      </c>
      <c r="P154" s="113">
        <f t="shared" si="16"/>
        <v>655.91</v>
      </c>
      <c r="Q154" s="209"/>
      <c r="R154" s="203"/>
      <c r="S154" s="182"/>
      <c r="T154" s="182"/>
      <c r="U154" s="182"/>
      <c r="V154" s="182"/>
      <c r="W154" s="182"/>
      <c r="X154" s="182"/>
      <c r="Y154" s="182"/>
      <c r="Z154" s="182"/>
      <c r="AA154" s="182"/>
      <c r="AB154" s="182"/>
      <c r="AC154" s="182"/>
      <c r="AD154" s="182"/>
      <c r="AE154" s="182"/>
      <c r="AF154" s="182"/>
      <c r="AG154" s="182"/>
      <c r="AH154" s="182"/>
      <c r="AI154" s="182"/>
      <c r="AJ154" s="182"/>
      <c r="AK154" s="182"/>
      <c r="AL154" s="182"/>
      <c r="AM154" s="182"/>
      <c r="AN154" s="182"/>
      <c r="AO154" s="182"/>
      <c r="AP154" s="182"/>
      <c r="AQ154" s="182"/>
      <c r="AR154" s="182"/>
      <c r="AS154" s="182"/>
      <c r="AT154" s="182"/>
      <c r="AU154" s="182"/>
      <c r="AV154" s="182"/>
      <c r="AW154" s="182"/>
      <c r="AX154" s="182"/>
      <c r="AY154" s="182"/>
      <c r="AZ154" s="182"/>
      <c r="BA154" s="182"/>
      <c r="BB154" s="182"/>
      <c r="BC154" s="182"/>
      <c r="BD154" s="182"/>
      <c r="BE154" s="182"/>
      <c r="BF154" s="182"/>
      <c r="BG154" s="182"/>
      <c r="BH154" s="182"/>
      <c r="BI154" s="182"/>
      <c r="BJ154" s="182"/>
      <c r="BK154" s="182"/>
      <c r="BL154" s="182"/>
      <c r="BM154" s="182"/>
      <c r="BN154" s="182"/>
      <c r="BO154" s="182"/>
      <c r="BP154" s="182"/>
      <c r="BQ154" s="182"/>
      <c r="BR154" s="182"/>
      <c r="BS154" s="182"/>
      <c r="BT154" s="182"/>
      <c r="BU154" s="182"/>
      <c r="BV154" s="182"/>
      <c r="BW154" s="182"/>
      <c r="BX154" s="182"/>
      <c r="BY154" s="182"/>
      <c r="BZ154" s="182"/>
      <c r="CA154" s="182"/>
      <c r="CB154" s="182"/>
      <c r="CC154" s="182"/>
      <c r="CD154" s="182"/>
      <c r="CE154" s="182"/>
      <c r="CF154" s="182"/>
      <c r="CG154" s="182"/>
      <c r="CH154" s="182"/>
      <c r="CI154" s="182"/>
      <c r="CJ154" s="182"/>
      <c r="CK154" s="182"/>
      <c r="CL154" s="182"/>
      <c r="CM154" s="182"/>
      <c r="CN154" s="182"/>
      <c r="CO154" s="182"/>
      <c r="CP154" s="182"/>
      <c r="CQ154" s="182"/>
      <c r="CR154" s="182"/>
      <c r="CS154" s="182"/>
      <c r="CT154" s="182"/>
      <c r="CU154" s="182"/>
      <c r="CV154" s="182"/>
      <c r="CW154" s="182"/>
      <c r="CX154" s="182"/>
      <c r="CY154" s="182"/>
      <c r="CZ154" s="182"/>
      <c r="DA154" s="182"/>
      <c r="DB154" s="182"/>
      <c r="DC154" s="182"/>
      <c r="DD154" s="182"/>
      <c r="DE154" s="182"/>
      <c r="DF154" s="182"/>
      <c r="DG154" s="182"/>
      <c r="DH154" s="182"/>
      <c r="DI154" s="182"/>
      <c r="DJ154" s="182"/>
      <c r="DK154" s="182"/>
      <c r="DL154" s="182"/>
      <c r="DM154" s="182"/>
      <c r="DN154" s="182"/>
      <c r="DO154" s="182"/>
      <c r="DP154" s="182"/>
      <c r="DQ154" s="182"/>
      <c r="DR154" s="182"/>
      <c r="DS154" s="182"/>
      <c r="DT154" s="182"/>
      <c r="DU154" s="182"/>
      <c r="DV154" s="182"/>
      <c r="DW154" s="182"/>
      <c r="DX154" s="182"/>
      <c r="DY154" s="182"/>
      <c r="DZ154" s="182"/>
      <c r="EA154" s="182"/>
      <c r="EB154" s="182"/>
      <c r="EC154" s="182"/>
      <c r="ED154" s="182"/>
      <c r="EE154" s="182"/>
      <c r="EF154" s="182"/>
      <c r="EG154" s="182"/>
      <c r="EH154" s="182"/>
      <c r="EI154" s="182"/>
      <c r="EJ154" s="182"/>
      <c r="EK154" s="182"/>
      <c r="EL154" s="182"/>
      <c r="EM154" s="182"/>
      <c r="EN154" s="182"/>
      <c r="EO154" s="182"/>
      <c r="EP154" s="182"/>
      <c r="EQ154" s="182"/>
      <c r="ER154" s="182"/>
      <c r="ES154" s="182"/>
      <c r="ET154" s="182"/>
      <c r="EU154" s="182"/>
      <c r="EV154" s="182"/>
      <c r="EW154" s="182"/>
      <c r="EX154" s="182"/>
      <c r="EY154" s="182"/>
      <c r="EZ154" s="182"/>
      <c r="FA154" s="182"/>
      <c r="FB154" s="182"/>
      <c r="FC154" s="182"/>
      <c r="FD154" s="182"/>
      <c r="FE154" s="182"/>
      <c r="FF154" s="182"/>
      <c r="FG154" s="182"/>
      <c r="FH154" s="182"/>
      <c r="FI154" s="182"/>
      <c r="FJ154" s="182"/>
      <c r="FK154" s="182"/>
      <c r="FL154" s="182"/>
      <c r="FM154" s="182"/>
      <c r="FN154" s="182"/>
      <c r="FO154" s="182"/>
      <c r="FP154" s="182"/>
      <c r="FQ154" s="182"/>
      <c r="FR154" s="182"/>
      <c r="FS154" s="182"/>
      <c r="FT154" s="182"/>
      <c r="FU154" s="182"/>
      <c r="FV154" s="182"/>
      <c r="FW154" s="182"/>
      <c r="FX154" s="182"/>
      <c r="FY154" s="182"/>
      <c r="FZ154" s="182"/>
      <c r="GA154" s="182"/>
      <c r="GB154" s="182"/>
      <c r="GC154" s="182"/>
      <c r="GD154" s="182"/>
      <c r="GE154" s="182"/>
      <c r="GF154" s="182"/>
      <c r="GG154" s="182"/>
      <c r="GH154" s="182"/>
      <c r="GI154" s="182"/>
    </row>
    <row r="155" spans="1:191" s="183" customFormat="1" x14ac:dyDescent="0.2">
      <c r="A155" s="210" t="s">
        <v>38460</v>
      </c>
      <c r="B155" s="210" t="s">
        <v>19003</v>
      </c>
      <c r="C155" s="224" t="s">
        <v>22265</v>
      </c>
      <c r="D155" s="211" t="s">
        <v>16</v>
      </c>
      <c r="E155" s="211">
        <v>4</v>
      </c>
      <c r="F155" s="211"/>
      <c r="G155" s="211">
        <v>0.3</v>
      </c>
      <c r="H155" s="212"/>
      <c r="I155" s="213"/>
      <c r="J155" s="272">
        <v>2600</v>
      </c>
      <c r="K155" s="112">
        <f t="shared" si="14"/>
        <v>10400</v>
      </c>
      <c r="L155" s="273">
        <f>BDI!$E$17</f>
        <v>0.11260000000000001</v>
      </c>
      <c r="M155" s="213"/>
      <c r="N155" s="213"/>
      <c r="O155" s="114">
        <f t="shared" si="15"/>
        <v>2892.76</v>
      </c>
      <c r="P155" s="113">
        <f t="shared" si="16"/>
        <v>3471.31</v>
      </c>
      <c r="Q155" s="209"/>
      <c r="R155" s="203"/>
      <c r="S155" s="182"/>
      <c r="T155" s="182"/>
      <c r="U155" s="182"/>
      <c r="V155" s="182"/>
      <c r="W155" s="182"/>
      <c r="X155" s="182"/>
      <c r="Y155" s="182"/>
      <c r="Z155" s="182"/>
      <c r="AA155" s="182"/>
      <c r="AB155" s="182"/>
      <c r="AC155" s="182"/>
      <c r="AD155" s="182"/>
      <c r="AE155" s="182"/>
      <c r="AF155" s="182"/>
      <c r="AG155" s="182"/>
      <c r="AH155" s="182"/>
      <c r="AI155" s="182"/>
      <c r="AJ155" s="182"/>
      <c r="AK155" s="182"/>
      <c r="AL155" s="182"/>
      <c r="AM155" s="182"/>
      <c r="AN155" s="182"/>
      <c r="AO155" s="182"/>
      <c r="AP155" s="182"/>
      <c r="AQ155" s="182"/>
      <c r="AR155" s="182"/>
      <c r="AS155" s="182"/>
      <c r="AT155" s="182"/>
      <c r="AU155" s="182"/>
      <c r="AV155" s="182"/>
      <c r="AW155" s="182"/>
      <c r="AX155" s="182"/>
      <c r="AY155" s="182"/>
      <c r="AZ155" s="182"/>
      <c r="BA155" s="182"/>
      <c r="BB155" s="182"/>
      <c r="BC155" s="182"/>
      <c r="BD155" s="182"/>
      <c r="BE155" s="182"/>
      <c r="BF155" s="182"/>
      <c r="BG155" s="182"/>
      <c r="BH155" s="182"/>
      <c r="BI155" s="182"/>
      <c r="BJ155" s="182"/>
      <c r="BK155" s="182"/>
      <c r="BL155" s="182"/>
      <c r="BM155" s="182"/>
      <c r="BN155" s="182"/>
      <c r="BO155" s="182"/>
      <c r="BP155" s="182"/>
      <c r="BQ155" s="182"/>
      <c r="BR155" s="182"/>
      <c r="BS155" s="182"/>
      <c r="BT155" s="182"/>
      <c r="BU155" s="182"/>
      <c r="BV155" s="182"/>
      <c r="BW155" s="182"/>
      <c r="BX155" s="182"/>
      <c r="BY155" s="182"/>
      <c r="BZ155" s="182"/>
      <c r="CA155" s="182"/>
      <c r="CB155" s="182"/>
      <c r="CC155" s="182"/>
      <c r="CD155" s="182"/>
      <c r="CE155" s="182"/>
      <c r="CF155" s="182"/>
      <c r="CG155" s="182"/>
      <c r="CH155" s="182"/>
      <c r="CI155" s="182"/>
      <c r="CJ155" s="182"/>
      <c r="CK155" s="182"/>
      <c r="CL155" s="182"/>
      <c r="CM155" s="182"/>
      <c r="CN155" s="182"/>
      <c r="CO155" s="182"/>
      <c r="CP155" s="182"/>
      <c r="CQ155" s="182"/>
      <c r="CR155" s="182"/>
      <c r="CS155" s="182"/>
      <c r="CT155" s="182"/>
      <c r="CU155" s="182"/>
      <c r="CV155" s="182"/>
      <c r="CW155" s="182"/>
      <c r="CX155" s="182"/>
      <c r="CY155" s="182"/>
      <c r="CZ155" s="182"/>
      <c r="DA155" s="182"/>
      <c r="DB155" s="182"/>
      <c r="DC155" s="182"/>
      <c r="DD155" s="182"/>
      <c r="DE155" s="182"/>
      <c r="DF155" s="182"/>
      <c r="DG155" s="182"/>
      <c r="DH155" s="182"/>
      <c r="DI155" s="182"/>
      <c r="DJ155" s="182"/>
      <c r="DK155" s="182"/>
      <c r="DL155" s="182"/>
      <c r="DM155" s="182"/>
      <c r="DN155" s="182"/>
      <c r="DO155" s="182"/>
      <c r="DP155" s="182"/>
      <c r="DQ155" s="182"/>
      <c r="DR155" s="182"/>
      <c r="DS155" s="182"/>
      <c r="DT155" s="182"/>
      <c r="DU155" s="182"/>
      <c r="DV155" s="182"/>
      <c r="DW155" s="182"/>
      <c r="DX155" s="182"/>
      <c r="DY155" s="182"/>
      <c r="DZ155" s="182"/>
      <c r="EA155" s="182"/>
      <c r="EB155" s="182"/>
      <c r="EC155" s="182"/>
      <c r="ED155" s="182"/>
      <c r="EE155" s="182"/>
      <c r="EF155" s="182"/>
      <c r="EG155" s="182"/>
      <c r="EH155" s="182"/>
      <c r="EI155" s="182"/>
      <c r="EJ155" s="182"/>
      <c r="EK155" s="182"/>
      <c r="EL155" s="182"/>
      <c r="EM155" s="182"/>
      <c r="EN155" s="182"/>
      <c r="EO155" s="182"/>
      <c r="EP155" s="182"/>
      <c r="EQ155" s="182"/>
      <c r="ER155" s="182"/>
      <c r="ES155" s="182"/>
      <c r="ET155" s="182"/>
      <c r="EU155" s="182"/>
      <c r="EV155" s="182"/>
      <c r="EW155" s="182"/>
      <c r="EX155" s="182"/>
      <c r="EY155" s="182"/>
      <c r="EZ155" s="182"/>
      <c r="FA155" s="182"/>
      <c r="FB155" s="182"/>
      <c r="FC155" s="182"/>
      <c r="FD155" s="182"/>
      <c r="FE155" s="182"/>
      <c r="FF155" s="182"/>
      <c r="FG155" s="182"/>
      <c r="FH155" s="182"/>
      <c r="FI155" s="182"/>
      <c r="FJ155" s="182"/>
      <c r="FK155" s="182"/>
      <c r="FL155" s="182"/>
      <c r="FM155" s="182"/>
      <c r="FN155" s="182"/>
      <c r="FO155" s="182"/>
      <c r="FP155" s="182"/>
      <c r="FQ155" s="182"/>
      <c r="FR155" s="182"/>
      <c r="FS155" s="182"/>
      <c r="FT155" s="182"/>
      <c r="FU155" s="182"/>
      <c r="FV155" s="182"/>
      <c r="FW155" s="182"/>
      <c r="FX155" s="182"/>
      <c r="FY155" s="182"/>
      <c r="FZ155" s="182"/>
      <c r="GA155" s="182"/>
      <c r="GB155" s="182"/>
      <c r="GC155" s="182"/>
      <c r="GD155" s="182"/>
      <c r="GE155" s="182"/>
      <c r="GF155" s="182"/>
      <c r="GG155" s="182"/>
      <c r="GH155" s="182"/>
      <c r="GI155" s="182"/>
    </row>
    <row r="156" spans="1:191" s="183" customFormat="1" x14ac:dyDescent="0.2">
      <c r="A156" s="210" t="s">
        <v>38461</v>
      </c>
      <c r="B156" s="210" t="s">
        <v>19004</v>
      </c>
      <c r="C156" s="224" t="s">
        <v>22266</v>
      </c>
      <c r="D156" s="211" t="s">
        <v>16</v>
      </c>
      <c r="E156" s="211">
        <v>9</v>
      </c>
      <c r="F156" s="211"/>
      <c r="G156" s="211">
        <v>0.3</v>
      </c>
      <c r="H156" s="212"/>
      <c r="I156" s="213"/>
      <c r="J156" s="272">
        <v>1318.45</v>
      </c>
      <c r="K156" s="112">
        <f t="shared" si="14"/>
        <v>11866.05</v>
      </c>
      <c r="L156" s="273">
        <f>BDI!$E$17</f>
        <v>0.11260000000000001</v>
      </c>
      <c r="M156" s="213"/>
      <c r="N156" s="213"/>
      <c r="O156" s="114">
        <f t="shared" si="15"/>
        <v>1466.91</v>
      </c>
      <c r="P156" s="113">
        <f t="shared" si="16"/>
        <v>3960.66</v>
      </c>
      <c r="Q156" s="209"/>
      <c r="R156" s="203"/>
      <c r="S156" s="182"/>
      <c r="T156" s="182"/>
      <c r="U156" s="182"/>
      <c r="V156" s="182"/>
      <c r="W156" s="182"/>
      <c r="X156" s="182"/>
      <c r="Y156" s="182"/>
      <c r="Z156" s="182"/>
      <c r="AA156" s="182"/>
      <c r="AB156" s="182"/>
      <c r="AC156" s="182"/>
      <c r="AD156" s="182"/>
      <c r="AE156" s="182"/>
      <c r="AF156" s="182"/>
      <c r="AG156" s="182"/>
      <c r="AH156" s="182"/>
      <c r="AI156" s="182"/>
      <c r="AJ156" s="182"/>
      <c r="AK156" s="182"/>
      <c r="AL156" s="182"/>
      <c r="AM156" s="182"/>
      <c r="AN156" s="182"/>
      <c r="AO156" s="182"/>
      <c r="AP156" s="182"/>
      <c r="AQ156" s="182"/>
      <c r="AR156" s="182"/>
      <c r="AS156" s="182"/>
      <c r="AT156" s="182"/>
      <c r="AU156" s="182"/>
      <c r="AV156" s="182"/>
      <c r="AW156" s="182"/>
      <c r="AX156" s="182"/>
      <c r="AY156" s="182"/>
      <c r="AZ156" s="182"/>
      <c r="BA156" s="182"/>
      <c r="BB156" s="182"/>
      <c r="BC156" s="182"/>
      <c r="BD156" s="182"/>
      <c r="BE156" s="182"/>
      <c r="BF156" s="182"/>
      <c r="BG156" s="182"/>
      <c r="BH156" s="182"/>
      <c r="BI156" s="182"/>
      <c r="BJ156" s="182"/>
      <c r="BK156" s="182"/>
      <c r="BL156" s="182"/>
      <c r="BM156" s="182"/>
      <c r="BN156" s="182"/>
      <c r="BO156" s="182"/>
      <c r="BP156" s="182"/>
      <c r="BQ156" s="182"/>
      <c r="BR156" s="182"/>
      <c r="BS156" s="182"/>
      <c r="BT156" s="182"/>
      <c r="BU156" s="182"/>
      <c r="BV156" s="182"/>
      <c r="BW156" s="182"/>
      <c r="BX156" s="182"/>
      <c r="BY156" s="182"/>
      <c r="BZ156" s="182"/>
      <c r="CA156" s="182"/>
      <c r="CB156" s="182"/>
      <c r="CC156" s="182"/>
      <c r="CD156" s="182"/>
      <c r="CE156" s="182"/>
      <c r="CF156" s="182"/>
      <c r="CG156" s="182"/>
      <c r="CH156" s="182"/>
      <c r="CI156" s="182"/>
      <c r="CJ156" s="182"/>
      <c r="CK156" s="182"/>
      <c r="CL156" s="182"/>
      <c r="CM156" s="182"/>
      <c r="CN156" s="182"/>
      <c r="CO156" s="182"/>
      <c r="CP156" s="182"/>
      <c r="CQ156" s="182"/>
      <c r="CR156" s="182"/>
      <c r="CS156" s="182"/>
      <c r="CT156" s="182"/>
      <c r="CU156" s="182"/>
      <c r="CV156" s="182"/>
      <c r="CW156" s="182"/>
      <c r="CX156" s="182"/>
      <c r="CY156" s="182"/>
      <c r="CZ156" s="182"/>
      <c r="DA156" s="182"/>
      <c r="DB156" s="182"/>
      <c r="DC156" s="182"/>
      <c r="DD156" s="182"/>
      <c r="DE156" s="182"/>
      <c r="DF156" s="182"/>
      <c r="DG156" s="182"/>
      <c r="DH156" s="182"/>
      <c r="DI156" s="182"/>
      <c r="DJ156" s="182"/>
      <c r="DK156" s="182"/>
      <c r="DL156" s="182"/>
      <c r="DM156" s="182"/>
      <c r="DN156" s="182"/>
      <c r="DO156" s="182"/>
      <c r="DP156" s="182"/>
      <c r="DQ156" s="182"/>
      <c r="DR156" s="182"/>
      <c r="DS156" s="182"/>
      <c r="DT156" s="182"/>
      <c r="DU156" s="182"/>
      <c r="DV156" s="182"/>
      <c r="DW156" s="182"/>
      <c r="DX156" s="182"/>
      <c r="DY156" s="182"/>
      <c r="DZ156" s="182"/>
      <c r="EA156" s="182"/>
      <c r="EB156" s="182"/>
      <c r="EC156" s="182"/>
      <c r="ED156" s="182"/>
      <c r="EE156" s="182"/>
      <c r="EF156" s="182"/>
      <c r="EG156" s="182"/>
      <c r="EH156" s="182"/>
      <c r="EI156" s="182"/>
      <c r="EJ156" s="182"/>
      <c r="EK156" s="182"/>
      <c r="EL156" s="182"/>
      <c r="EM156" s="182"/>
      <c r="EN156" s="182"/>
      <c r="EO156" s="182"/>
      <c r="EP156" s="182"/>
      <c r="EQ156" s="182"/>
      <c r="ER156" s="182"/>
      <c r="ES156" s="182"/>
      <c r="ET156" s="182"/>
      <c r="EU156" s="182"/>
      <c r="EV156" s="182"/>
      <c r="EW156" s="182"/>
      <c r="EX156" s="182"/>
      <c r="EY156" s="182"/>
      <c r="EZ156" s="182"/>
      <c r="FA156" s="182"/>
      <c r="FB156" s="182"/>
      <c r="FC156" s="182"/>
      <c r="FD156" s="182"/>
      <c r="FE156" s="182"/>
      <c r="FF156" s="182"/>
      <c r="FG156" s="182"/>
      <c r="FH156" s="182"/>
      <c r="FI156" s="182"/>
      <c r="FJ156" s="182"/>
      <c r="FK156" s="182"/>
      <c r="FL156" s="182"/>
      <c r="FM156" s="182"/>
      <c r="FN156" s="182"/>
      <c r="FO156" s="182"/>
      <c r="FP156" s="182"/>
      <c r="FQ156" s="182"/>
      <c r="FR156" s="182"/>
      <c r="FS156" s="182"/>
      <c r="FT156" s="182"/>
      <c r="FU156" s="182"/>
      <c r="FV156" s="182"/>
      <c r="FW156" s="182"/>
      <c r="FX156" s="182"/>
      <c r="FY156" s="182"/>
      <c r="FZ156" s="182"/>
      <c r="GA156" s="182"/>
      <c r="GB156" s="182"/>
      <c r="GC156" s="182"/>
      <c r="GD156" s="182"/>
      <c r="GE156" s="182"/>
      <c r="GF156" s="182"/>
      <c r="GG156" s="182"/>
      <c r="GH156" s="182"/>
      <c r="GI156" s="182"/>
    </row>
    <row r="157" spans="1:191" s="183" customFormat="1" x14ac:dyDescent="0.2">
      <c r="A157" s="210" t="s">
        <v>38462</v>
      </c>
      <c r="B157" s="210" t="s">
        <v>19005</v>
      </c>
      <c r="C157" s="224" t="s">
        <v>22267</v>
      </c>
      <c r="D157" s="211" t="s">
        <v>16</v>
      </c>
      <c r="E157" s="211">
        <v>9</v>
      </c>
      <c r="F157" s="211"/>
      <c r="G157" s="211">
        <v>0.3</v>
      </c>
      <c r="H157" s="212"/>
      <c r="I157" s="213"/>
      <c r="J157" s="272">
        <v>2743</v>
      </c>
      <c r="K157" s="112">
        <f t="shared" si="14"/>
        <v>24687</v>
      </c>
      <c r="L157" s="273">
        <f>BDI!$E$17</f>
        <v>0.11260000000000001</v>
      </c>
      <c r="M157" s="213"/>
      <c r="N157" s="213"/>
      <c r="O157" s="114">
        <f t="shared" si="15"/>
        <v>3051.86</v>
      </c>
      <c r="P157" s="113">
        <f t="shared" si="16"/>
        <v>8240.02</v>
      </c>
      <c r="Q157" s="209"/>
      <c r="R157" s="203"/>
      <c r="S157" s="182"/>
      <c r="T157" s="182"/>
      <c r="U157" s="182"/>
      <c r="V157" s="182"/>
      <c r="W157" s="182"/>
      <c r="X157" s="182"/>
      <c r="Y157" s="182"/>
      <c r="Z157" s="182"/>
      <c r="AA157" s="182"/>
      <c r="AB157" s="182"/>
      <c r="AC157" s="182"/>
      <c r="AD157" s="182"/>
      <c r="AE157" s="182"/>
      <c r="AF157" s="182"/>
      <c r="AG157" s="182"/>
      <c r="AH157" s="182"/>
      <c r="AI157" s="182"/>
      <c r="AJ157" s="182"/>
      <c r="AK157" s="182"/>
      <c r="AL157" s="182"/>
      <c r="AM157" s="182"/>
      <c r="AN157" s="182"/>
      <c r="AO157" s="182"/>
      <c r="AP157" s="182"/>
      <c r="AQ157" s="182"/>
      <c r="AR157" s="182"/>
      <c r="AS157" s="182"/>
      <c r="AT157" s="182"/>
      <c r="AU157" s="182"/>
      <c r="AV157" s="182"/>
      <c r="AW157" s="182"/>
      <c r="AX157" s="182"/>
      <c r="AY157" s="182"/>
      <c r="AZ157" s="182"/>
      <c r="BA157" s="182"/>
      <c r="BB157" s="182"/>
      <c r="BC157" s="182"/>
      <c r="BD157" s="182"/>
      <c r="BE157" s="182"/>
      <c r="BF157" s="182"/>
      <c r="BG157" s="182"/>
      <c r="BH157" s="182"/>
      <c r="BI157" s="182"/>
      <c r="BJ157" s="182"/>
      <c r="BK157" s="182"/>
      <c r="BL157" s="182"/>
      <c r="BM157" s="182"/>
      <c r="BN157" s="182"/>
      <c r="BO157" s="182"/>
      <c r="BP157" s="182"/>
      <c r="BQ157" s="182"/>
      <c r="BR157" s="182"/>
      <c r="BS157" s="182"/>
      <c r="BT157" s="182"/>
      <c r="BU157" s="182"/>
      <c r="BV157" s="182"/>
      <c r="BW157" s="182"/>
      <c r="BX157" s="182"/>
      <c r="BY157" s="182"/>
      <c r="BZ157" s="182"/>
      <c r="CA157" s="182"/>
      <c r="CB157" s="182"/>
      <c r="CC157" s="182"/>
      <c r="CD157" s="182"/>
      <c r="CE157" s="182"/>
      <c r="CF157" s="182"/>
      <c r="CG157" s="182"/>
      <c r="CH157" s="182"/>
      <c r="CI157" s="182"/>
      <c r="CJ157" s="182"/>
      <c r="CK157" s="182"/>
      <c r="CL157" s="182"/>
      <c r="CM157" s="182"/>
      <c r="CN157" s="182"/>
      <c r="CO157" s="182"/>
      <c r="CP157" s="182"/>
      <c r="CQ157" s="182"/>
      <c r="CR157" s="182"/>
      <c r="CS157" s="182"/>
      <c r="CT157" s="182"/>
      <c r="CU157" s="182"/>
      <c r="CV157" s="182"/>
      <c r="CW157" s="182"/>
      <c r="CX157" s="182"/>
      <c r="CY157" s="182"/>
      <c r="CZ157" s="182"/>
      <c r="DA157" s="182"/>
      <c r="DB157" s="182"/>
      <c r="DC157" s="182"/>
      <c r="DD157" s="182"/>
      <c r="DE157" s="182"/>
      <c r="DF157" s="182"/>
      <c r="DG157" s="182"/>
      <c r="DH157" s="182"/>
      <c r="DI157" s="182"/>
      <c r="DJ157" s="182"/>
      <c r="DK157" s="182"/>
      <c r="DL157" s="182"/>
      <c r="DM157" s="182"/>
      <c r="DN157" s="182"/>
      <c r="DO157" s="182"/>
      <c r="DP157" s="182"/>
      <c r="DQ157" s="182"/>
      <c r="DR157" s="182"/>
      <c r="DS157" s="182"/>
      <c r="DT157" s="182"/>
      <c r="DU157" s="182"/>
      <c r="DV157" s="182"/>
      <c r="DW157" s="182"/>
      <c r="DX157" s="182"/>
      <c r="DY157" s="182"/>
      <c r="DZ157" s="182"/>
      <c r="EA157" s="182"/>
      <c r="EB157" s="182"/>
      <c r="EC157" s="182"/>
      <c r="ED157" s="182"/>
      <c r="EE157" s="182"/>
      <c r="EF157" s="182"/>
      <c r="EG157" s="182"/>
      <c r="EH157" s="182"/>
      <c r="EI157" s="182"/>
      <c r="EJ157" s="182"/>
      <c r="EK157" s="182"/>
      <c r="EL157" s="182"/>
      <c r="EM157" s="182"/>
      <c r="EN157" s="182"/>
      <c r="EO157" s="182"/>
      <c r="EP157" s="182"/>
      <c r="EQ157" s="182"/>
      <c r="ER157" s="182"/>
      <c r="ES157" s="182"/>
      <c r="ET157" s="182"/>
      <c r="EU157" s="182"/>
      <c r="EV157" s="182"/>
      <c r="EW157" s="182"/>
      <c r="EX157" s="182"/>
      <c r="EY157" s="182"/>
      <c r="EZ157" s="182"/>
      <c r="FA157" s="182"/>
      <c r="FB157" s="182"/>
      <c r="FC157" s="182"/>
      <c r="FD157" s="182"/>
      <c r="FE157" s="182"/>
      <c r="FF157" s="182"/>
      <c r="FG157" s="182"/>
      <c r="FH157" s="182"/>
      <c r="FI157" s="182"/>
      <c r="FJ157" s="182"/>
      <c r="FK157" s="182"/>
      <c r="FL157" s="182"/>
      <c r="FM157" s="182"/>
      <c r="FN157" s="182"/>
      <c r="FO157" s="182"/>
      <c r="FP157" s="182"/>
      <c r="FQ157" s="182"/>
      <c r="FR157" s="182"/>
      <c r="FS157" s="182"/>
      <c r="FT157" s="182"/>
      <c r="FU157" s="182"/>
      <c r="FV157" s="182"/>
      <c r="FW157" s="182"/>
      <c r="FX157" s="182"/>
      <c r="FY157" s="182"/>
      <c r="FZ157" s="182"/>
      <c r="GA157" s="182"/>
      <c r="GB157" s="182"/>
      <c r="GC157" s="182"/>
      <c r="GD157" s="182"/>
      <c r="GE157" s="182"/>
      <c r="GF157" s="182"/>
      <c r="GG157" s="182"/>
      <c r="GH157" s="182"/>
      <c r="GI157" s="182"/>
    </row>
    <row r="158" spans="1:191" s="183" customFormat="1" x14ac:dyDescent="0.2">
      <c r="A158" s="210" t="s">
        <v>38463</v>
      </c>
      <c r="B158" s="210" t="s">
        <v>19006</v>
      </c>
      <c r="C158" s="224" t="s">
        <v>22268</v>
      </c>
      <c r="D158" s="211" t="s">
        <v>16</v>
      </c>
      <c r="E158" s="211">
        <v>18</v>
      </c>
      <c r="F158" s="211"/>
      <c r="G158" s="211">
        <v>0.3</v>
      </c>
      <c r="H158" s="212"/>
      <c r="I158" s="213"/>
      <c r="J158" s="272">
        <v>1721.11</v>
      </c>
      <c r="K158" s="112">
        <f t="shared" si="14"/>
        <v>30979.98</v>
      </c>
      <c r="L158" s="273">
        <f>BDI!$E$17</f>
        <v>0.11260000000000001</v>
      </c>
      <c r="M158" s="213"/>
      <c r="N158" s="213"/>
      <c r="O158" s="114">
        <f t="shared" si="15"/>
        <v>1914.91</v>
      </c>
      <c r="P158" s="113">
        <f t="shared" si="16"/>
        <v>10340.51</v>
      </c>
      <c r="Q158" s="209"/>
      <c r="R158" s="203"/>
      <c r="S158" s="182"/>
      <c r="T158" s="182"/>
      <c r="U158" s="182"/>
      <c r="V158" s="182"/>
      <c r="W158" s="182"/>
      <c r="X158" s="182"/>
      <c r="Y158" s="182"/>
      <c r="Z158" s="182"/>
      <c r="AA158" s="182"/>
      <c r="AB158" s="182"/>
      <c r="AC158" s="182"/>
      <c r="AD158" s="182"/>
      <c r="AE158" s="182"/>
      <c r="AF158" s="182"/>
      <c r="AG158" s="182"/>
      <c r="AH158" s="182"/>
      <c r="AI158" s="182"/>
      <c r="AJ158" s="182"/>
      <c r="AK158" s="182"/>
      <c r="AL158" s="182"/>
      <c r="AM158" s="182"/>
      <c r="AN158" s="182"/>
      <c r="AO158" s="182"/>
      <c r="AP158" s="182"/>
      <c r="AQ158" s="182"/>
      <c r="AR158" s="182"/>
      <c r="AS158" s="182"/>
      <c r="AT158" s="182"/>
      <c r="AU158" s="182"/>
      <c r="AV158" s="182"/>
      <c r="AW158" s="182"/>
      <c r="AX158" s="182"/>
      <c r="AY158" s="182"/>
      <c r="AZ158" s="182"/>
      <c r="BA158" s="182"/>
      <c r="BB158" s="182"/>
      <c r="BC158" s="182"/>
      <c r="BD158" s="182"/>
      <c r="BE158" s="182"/>
      <c r="BF158" s="182"/>
      <c r="BG158" s="182"/>
      <c r="BH158" s="182"/>
      <c r="BI158" s="182"/>
      <c r="BJ158" s="182"/>
      <c r="BK158" s="182"/>
      <c r="BL158" s="182"/>
      <c r="BM158" s="182"/>
      <c r="BN158" s="182"/>
      <c r="BO158" s="182"/>
      <c r="BP158" s="182"/>
      <c r="BQ158" s="182"/>
      <c r="BR158" s="182"/>
      <c r="BS158" s="182"/>
      <c r="BT158" s="182"/>
      <c r="BU158" s="182"/>
      <c r="BV158" s="182"/>
      <c r="BW158" s="182"/>
      <c r="BX158" s="182"/>
      <c r="BY158" s="182"/>
      <c r="BZ158" s="182"/>
      <c r="CA158" s="182"/>
      <c r="CB158" s="182"/>
      <c r="CC158" s="182"/>
      <c r="CD158" s="182"/>
      <c r="CE158" s="182"/>
      <c r="CF158" s="182"/>
      <c r="CG158" s="182"/>
      <c r="CH158" s="182"/>
      <c r="CI158" s="182"/>
      <c r="CJ158" s="182"/>
      <c r="CK158" s="182"/>
      <c r="CL158" s="182"/>
      <c r="CM158" s="182"/>
      <c r="CN158" s="182"/>
      <c r="CO158" s="182"/>
      <c r="CP158" s="182"/>
      <c r="CQ158" s="182"/>
      <c r="CR158" s="182"/>
      <c r="CS158" s="182"/>
      <c r="CT158" s="182"/>
      <c r="CU158" s="182"/>
      <c r="CV158" s="182"/>
      <c r="CW158" s="182"/>
      <c r="CX158" s="182"/>
      <c r="CY158" s="182"/>
      <c r="CZ158" s="182"/>
      <c r="DA158" s="182"/>
      <c r="DB158" s="182"/>
      <c r="DC158" s="182"/>
      <c r="DD158" s="182"/>
      <c r="DE158" s="182"/>
      <c r="DF158" s="182"/>
      <c r="DG158" s="182"/>
      <c r="DH158" s="182"/>
      <c r="DI158" s="182"/>
      <c r="DJ158" s="182"/>
      <c r="DK158" s="182"/>
      <c r="DL158" s="182"/>
      <c r="DM158" s="182"/>
      <c r="DN158" s="182"/>
      <c r="DO158" s="182"/>
      <c r="DP158" s="182"/>
      <c r="DQ158" s="182"/>
      <c r="DR158" s="182"/>
      <c r="DS158" s="182"/>
      <c r="DT158" s="182"/>
      <c r="DU158" s="182"/>
      <c r="DV158" s="182"/>
      <c r="DW158" s="182"/>
      <c r="DX158" s="182"/>
      <c r="DY158" s="182"/>
      <c r="DZ158" s="182"/>
      <c r="EA158" s="182"/>
      <c r="EB158" s="182"/>
      <c r="EC158" s="182"/>
      <c r="ED158" s="182"/>
      <c r="EE158" s="182"/>
      <c r="EF158" s="182"/>
      <c r="EG158" s="182"/>
      <c r="EH158" s="182"/>
      <c r="EI158" s="182"/>
      <c r="EJ158" s="182"/>
      <c r="EK158" s="182"/>
      <c r="EL158" s="182"/>
      <c r="EM158" s="182"/>
      <c r="EN158" s="182"/>
      <c r="EO158" s="182"/>
      <c r="EP158" s="182"/>
      <c r="EQ158" s="182"/>
      <c r="ER158" s="182"/>
      <c r="ES158" s="182"/>
      <c r="ET158" s="182"/>
      <c r="EU158" s="182"/>
      <c r="EV158" s="182"/>
      <c r="EW158" s="182"/>
      <c r="EX158" s="182"/>
      <c r="EY158" s="182"/>
      <c r="EZ158" s="182"/>
      <c r="FA158" s="182"/>
      <c r="FB158" s="182"/>
      <c r="FC158" s="182"/>
      <c r="FD158" s="182"/>
      <c r="FE158" s="182"/>
      <c r="FF158" s="182"/>
      <c r="FG158" s="182"/>
      <c r="FH158" s="182"/>
      <c r="FI158" s="182"/>
      <c r="FJ158" s="182"/>
      <c r="FK158" s="182"/>
      <c r="FL158" s="182"/>
      <c r="FM158" s="182"/>
      <c r="FN158" s="182"/>
      <c r="FO158" s="182"/>
      <c r="FP158" s="182"/>
      <c r="FQ158" s="182"/>
      <c r="FR158" s="182"/>
      <c r="FS158" s="182"/>
      <c r="FT158" s="182"/>
      <c r="FU158" s="182"/>
      <c r="FV158" s="182"/>
      <c r="FW158" s="182"/>
      <c r="FX158" s="182"/>
      <c r="FY158" s="182"/>
      <c r="FZ158" s="182"/>
      <c r="GA158" s="182"/>
      <c r="GB158" s="182"/>
      <c r="GC158" s="182"/>
      <c r="GD158" s="182"/>
      <c r="GE158" s="182"/>
      <c r="GF158" s="182"/>
      <c r="GG158" s="182"/>
      <c r="GH158" s="182"/>
      <c r="GI158" s="182"/>
    </row>
    <row r="159" spans="1:191" s="183" customFormat="1" ht="25.5" x14ac:dyDescent="0.2">
      <c r="A159" s="210" t="s">
        <v>38464</v>
      </c>
      <c r="B159" s="210" t="s">
        <v>19007</v>
      </c>
      <c r="C159" s="224" t="s">
        <v>22269</v>
      </c>
      <c r="D159" s="211" t="s">
        <v>16</v>
      </c>
      <c r="E159" s="211">
        <v>18</v>
      </c>
      <c r="F159" s="211"/>
      <c r="G159" s="211">
        <v>0.3</v>
      </c>
      <c r="H159" s="212"/>
      <c r="I159" s="213"/>
      <c r="J159" s="272">
        <v>1995.66</v>
      </c>
      <c r="K159" s="112">
        <f t="shared" si="14"/>
        <v>35921.879999999997</v>
      </c>
      <c r="L159" s="273">
        <f>BDI!$E$17</f>
        <v>0.11260000000000001</v>
      </c>
      <c r="M159" s="213"/>
      <c r="N159" s="213"/>
      <c r="O159" s="114">
        <f t="shared" si="15"/>
        <v>2220.37</v>
      </c>
      <c r="P159" s="113">
        <f t="shared" si="16"/>
        <v>11990</v>
      </c>
      <c r="Q159" s="209"/>
      <c r="R159" s="203"/>
      <c r="S159" s="182"/>
      <c r="T159" s="182"/>
      <c r="U159" s="182"/>
      <c r="V159" s="182"/>
      <c r="W159" s="182"/>
      <c r="X159" s="182"/>
      <c r="Y159" s="182"/>
      <c r="Z159" s="182"/>
      <c r="AA159" s="182"/>
      <c r="AB159" s="182"/>
      <c r="AC159" s="182"/>
      <c r="AD159" s="182"/>
      <c r="AE159" s="182"/>
      <c r="AF159" s="182"/>
      <c r="AG159" s="182"/>
      <c r="AH159" s="182"/>
      <c r="AI159" s="182"/>
      <c r="AJ159" s="182"/>
      <c r="AK159" s="182"/>
      <c r="AL159" s="182"/>
      <c r="AM159" s="182"/>
      <c r="AN159" s="182"/>
      <c r="AO159" s="182"/>
      <c r="AP159" s="182"/>
      <c r="AQ159" s="182"/>
      <c r="AR159" s="182"/>
      <c r="AS159" s="182"/>
      <c r="AT159" s="182"/>
      <c r="AU159" s="182"/>
      <c r="AV159" s="182"/>
      <c r="AW159" s="182"/>
      <c r="AX159" s="182"/>
      <c r="AY159" s="182"/>
      <c r="AZ159" s="182"/>
      <c r="BA159" s="182"/>
      <c r="BB159" s="182"/>
      <c r="BC159" s="182"/>
      <c r="BD159" s="182"/>
      <c r="BE159" s="182"/>
      <c r="BF159" s="182"/>
      <c r="BG159" s="182"/>
      <c r="BH159" s="182"/>
      <c r="BI159" s="182"/>
      <c r="BJ159" s="182"/>
      <c r="BK159" s="182"/>
      <c r="BL159" s="182"/>
      <c r="BM159" s="182"/>
      <c r="BN159" s="182"/>
      <c r="BO159" s="182"/>
      <c r="BP159" s="182"/>
      <c r="BQ159" s="182"/>
      <c r="BR159" s="182"/>
      <c r="BS159" s="182"/>
      <c r="BT159" s="182"/>
      <c r="BU159" s="182"/>
      <c r="BV159" s="182"/>
      <c r="BW159" s="182"/>
      <c r="BX159" s="182"/>
      <c r="BY159" s="182"/>
      <c r="BZ159" s="182"/>
      <c r="CA159" s="182"/>
      <c r="CB159" s="182"/>
      <c r="CC159" s="182"/>
      <c r="CD159" s="182"/>
      <c r="CE159" s="182"/>
      <c r="CF159" s="182"/>
      <c r="CG159" s="182"/>
      <c r="CH159" s="182"/>
      <c r="CI159" s="182"/>
      <c r="CJ159" s="182"/>
      <c r="CK159" s="182"/>
      <c r="CL159" s="182"/>
      <c r="CM159" s="182"/>
      <c r="CN159" s="182"/>
      <c r="CO159" s="182"/>
      <c r="CP159" s="182"/>
      <c r="CQ159" s="182"/>
      <c r="CR159" s="182"/>
      <c r="CS159" s="182"/>
      <c r="CT159" s="182"/>
      <c r="CU159" s="182"/>
      <c r="CV159" s="182"/>
      <c r="CW159" s="182"/>
      <c r="CX159" s="182"/>
      <c r="CY159" s="182"/>
      <c r="CZ159" s="182"/>
      <c r="DA159" s="182"/>
      <c r="DB159" s="182"/>
      <c r="DC159" s="182"/>
      <c r="DD159" s="182"/>
      <c r="DE159" s="182"/>
      <c r="DF159" s="182"/>
      <c r="DG159" s="182"/>
      <c r="DH159" s="182"/>
      <c r="DI159" s="182"/>
      <c r="DJ159" s="182"/>
      <c r="DK159" s="182"/>
      <c r="DL159" s="182"/>
      <c r="DM159" s="182"/>
      <c r="DN159" s="182"/>
      <c r="DO159" s="182"/>
      <c r="DP159" s="182"/>
      <c r="DQ159" s="182"/>
      <c r="DR159" s="182"/>
      <c r="DS159" s="182"/>
      <c r="DT159" s="182"/>
      <c r="DU159" s="182"/>
      <c r="DV159" s="182"/>
      <c r="DW159" s="182"/>
      <c r="DX159" s="182"/>
      <c r="DY159" s="182"/>
      <c r="DZ159" s="182"/>
      <c r="EA159" s="182"/>
      <c r="EB159" s="182"/>
      <c r="EC159" s="182"/>
      <c r="ED159" s="182"/>
      <c r="EE159" s="182"/>
      <c r="EF159" s="182"/>
      <c r="EG159" s="182"/>
      <c r="EH159" s="182"/>
      <c r="EI159" s="182"/>
      <c r="EJ159" s="182"/>
      <c r="EK159" s="182"/>
      <c r="EL159" s="182"/>
      <c r="EM159" s="182"/>
      <c r="EN159" s="182"/>
      <c r="EO159" s="182"/>
      <c r="EP159" s="182"/>
      <c r="EQ159" s="182"/>
      <c r="ER159" s="182"/>
      <c r="ES159" s="182"/>
      <c r="ET159" s="182"/>
      <c r="EU159" s="182"/>
      <c r="EV159" s="182"/>
      <c r="EW159" s="182"/>
      <c r="EX159" s="182"/>
      <c r="EY159" s="182"/>
      <c r="EZ159" s="182"/>
      <c r="FA159" s="182"/>
      <c r="FB159" s="182"/>
      <c r="FC159" s="182"/>
      <c r="FD159" s="182"/>
      <c r="FE159" s="182"/>
      <c r="FF159" s="182"/>
      <c r="FG159" s="182"/>
      <c r="FH159" s="182"/>
      <c r="FI159" s="182"/>
      <c r="FJ159" s="182"/>
      <c r="FK159" s="182"/>
      <c r="FL159" s="182"/>
      <c r="FM159" s="182"/>
      <c r="FN159" s="182"/>
      <c r="FO159" s="182"/>
      <c r="FP159" s="182"/>
      <c r="FQ159" s="182"/>
      <c r="FR159" s="182"/>
      <c r="FS159" s="182"/>
      <c r="FT159" s="182"/>
      <c r="FU159" s="182"/>
      <c r="FV159" s="182"/>
      <c r="FW159" s="182"/>
      <c r="FX159" s="182"/>
      <c r="FY159" s="182"/>
      <c r="FZ159" s="182"/>
      <c r="GA159" s="182"/>
      <c r="GB159" s="182"/>
      <c r="GC159" s="182"/>
      <c r="GD159" s="182"/>
      <c r="GE159" s="182"/>
      <c r="GF159" s="182"/>
      <c r="GG159" s="182"/>
      <c r="GH159" s="182"/>
      <c r="GI159" s="182"/>
    </row>
    <row r="160" spans="1:191" s="183" customFormat="1" ht="25.5" x14ac:dyDescent="0.2">
      <c r="A160" s="210" t="s">
        <v>38465</v>
      </c>
      <c r="B160" s="210" t="s">
        <v>19008</v>
      </c>
      <c r="C160" s="224" t="s">
        <v>22270</v>
      </c>
      <c r="D160" s="211" t="s">
        <v>16</v>
      </c>
      <c r="E160" s="211">
        <v>18</v>
      </c>
      <c r="F160" s="211"/>
      <c r="G160" s="211">
        <v>0.3</v>
      </c>
      <c r="H160" s="212"/>
      <c r="I160" s="213"/>
      <c r="J160" s="272">
        <v>1711.31</v>
      </c>
      <c r="K160" s="112">
        <f t="shared" si="14"/>
        <v>30803.58</v>
      </c>
      <c r="L160" s="273">
        <f>BDI!$E$17</f>
        <v>0.11260000000000001</v>
      </c>
      <c r="M160" s="213"/>
      <c r="N160" s="213"/>
      <c r="O160" s="114">
        <f t="shared" si="15"/>
        <v>1904</v>
      </c>
      <c r="P160" s="113">
        <f t="shared" si="16"/>
        <v>10281.6</v>
      </c>
      <c r="Q160" s="209"/>
      <c r="R160" s="203"/>
      <c r="S160" s="182"/>
      <c r="T160" s="182"/>
      <c r="U160" s="182"/>
      <c r="V160" s="182"/>
      <c r="W160" s="182"/>
      <c r="X160" s="182"/>
      <c r="Y160" s="182"/>
      <c r="Z160" s="182"/>
      <c r="AA160" s="182"/>
      <c r="AB160" s="182"/>
      <c r="AC160" s="182"/>
      <c r="AD160" s="182"/>
      <c r="AE160" s="182"/>
      <c r="AF160" s="182"/>
      <c r="AG160" s="182"/>
      <c r="AH160" s="182"/>
      <c r="AI160" s="182"/>
      <c r="AJ160" s="182"/>
      <c r="AK160" s="182"/>
      <c r="AL160" s="182"/>
      <c r="AM160" s="182"/>
      <c r="AN160" s="182"/>
      <c r="AO160" s="182"/>
      <c r="AP160" s="182"/>
      <c r="AQ160" s="182"/>
      <c r="AR160" s="182"/>
      <c r="AS160" s="182"/>
      <c r="AT160" s="182"/>
      <c r="AU160" s="182"/>
      <c r="AV160" s="182"/>
      <c r="AW160" s="182"/>
      <c r="AX160" s="182"/>
      <c r="AY160" s="182"/>
      <c r="AZ160" s="182"/>
      <c r="BA160" s="182"/>
      <c r="BB160" s="182"/>
      <c r="BC160" s="182"/>
      <c r="BD160" s="182"/>
      <c r="BE160" s="182"/>
      <c r="BF160" s="182"/>
      <c r="BG160" s="182"/>
      <c r="BH160" s="182"/>
      <c r="BI160" s="182"/>
      <c r="BJ160" s="182"/>
      <c r="BK160" s="182"/>
      <c r="BL160" s="182"/>
      <c r="BM160" s="182"/>
      <c r="BN160" s="182"/>
      <c r="BO160" s="182"/>
      <c r="BP160" s="182"/>
      <c r="BQ160" s="182"/>
      <c r="BR160" s="182"/>
      <c r="BS160" s="182"/>
      <c r="BT160" s="182"/>
      <c r="BU160" s="182"/>
      <c r="BV160" s="182"/>
      <c r="BW160" s="182"/>
      <c r="BX160" s="182"/>
      <c r="BY160" s="182"/>
      <c r="BZ160" s="182"/>
      <c r="CA160" s="182"/>
      <c r="CB160" s="182"/>
      <c r="CC160" s="182"/>
      <c r="CD160" s="182"/>
      <c r="CE160" s="182"/>
      <c r="CF160" s="182"/>
      <c r="CG160" s="182"/>
      <c r="CH160" s="182"/>
      <c r="CI160" s="182"/>
      <c r="CJ160" s="182"/>
      <c r="CK160" s="182"/>
      <c r="CL160" s="182"/>
      <c r="CM160" s="182"/>
      <c r="CN160" s="182"/>
      <c r="CO160" s="182"/>
      <c r="CP160" s="182"/>
      <c r="CQ160" s="182"/>
      <c r="CR160" s="182"/>
      <c r="CS160" s="182"/>
      <c r="CT160" s="182"/>
      <c r="CU160" s="182"/>
      <c r="CV160" s="182"/>
      <c r="CW160" s="182"/>
      <c r="CX160" s="182"/>
      <c r="CY160" s="182"/>
      <c r="CZ160" s="182"/>
      <c r="DA160" s="182"/>
      <c r="DB160" s="182"/>
      <c r="DC160" s="182"/>
      <c r="DD160" s="182"/>
      <c r="DE160" s="182"/>
      <c r="DF160" s="182"/>
      <c r="DG160" s="182"/>
      <c r="DH160" s="182"/>
      <c r="DI160" s="182"/>
      <c r="DJ160" s="182"/>
      <c r="DK160" s="182"/>
      <c r="DL160" s="182"/>
      <c r="DM160" s="182"/>
      <c r="DN160" s="182"/>
      <c r="DO160" s="182"/>
      <c r="DP160" s="182"/>
      <c r="DQ160" s="182"/>
      <c r="DR160" s="182"/>
      <c r="DS160" s="182"/>
      <c r="DT160" s="182"/>
      <c r="DU160" s="182"/>
      <c r="DV160" s="182"/>
      <c r="DW160" s="182"/>
      <c r="DX160" s="182"/>
      <c r="DY160" s="182"/>
      <c r="DZ160" s="182"/>
      <c r="EA160" s="182"/>
      <c r="EB160" s="182"/>
      <c r="EC160" s="182"/>
      <c r="ED160" s="182"/>
      <c r="EE160" s="182"/>
      <c r="EF160" s="182"/>
      <c r="EG160" s="182"/>
      <c r="EH160" s="182"/>
      <c r="EI160" s="182"/>
      <c r="EJ160" s="182"/>
      <c r="EK160" s="182"/>
      <c r="EL160" s="182"/>
      <c r="EM160" s="182"/>
      <c r="EN160" s="182"/>
      <c r="EO160" s="182"/>
      <c r="EP160" s="182"/>
      <c r="EQ160" s="182"/>
      <c r="ER160" s="182"/>
      <c r="ES160" s="182"/>
      <c r="ET160" s="182"/>
      <c r="EU160" s="182"/>
      <c r="EV160" s="182"/>
      <c r="EW160" s="182"/>
      <c r="EX160" s="182"/>
      <c r="EY160" s="182"/>
      <c r="EZ160" s="182"/>
      <c r="FA160" s="182"/>
      <c r="FB160" s="182"/>
      <c r="FC160" s="182"/>
      <c r="FD160" s="182"/>
      <c r="FE160" s="182"/>
      <c r="FF160" s="182"/>
      <c r="FG160" s="182"/>
      <c r="FH160" s="182"/>
      <c r="FI160" s="182"/>
      <c r="FJ160" s="182"/>
      <c r="FK160" s="182"/>
      <c r="FL160" s="182"/>
      <c r="FM160" s="182"/>
      <c r="FN160" s="182"/>
      <c r="FO160" s="182"/>
      <c r="FP160" s="182"/>
      <c r="FQ160" s="182"/>
      <c r="FR160" s="182"/>
      <c r="FS160" s="182"/>
      <c r="FT160" s="182"/>
      <c r="FU160" s="182"/>
      <c r="FV160" s="182"/>
      <c r="FW160" s="182"/>
      <c r="FX160" s="182"/>
      <c r="FY160" s="182"/>
      <c r="FZ160" s="182"/>
      <c r="GA160" s="182"/>
      <c r="GB160" s="182"/>
      <c r="GC160" s="182"/>
      <c r="GD160" s="182"/>
      <c r="GE160" s="182"/>
      <c r="GF160" s="182"/>
      <c r="GG160" s="182"/>
      <c r="GH160" s="182"/>
      <c r="GI160" s="182"/>
    </row>
    <row r="161" spans="1:191" s="183" customFormat="1" x14ac:dyDescent="0.2">
      <c r="A161" s="210" t="s">
        <v>38466</v>
      </c>
      <c r="B161" s="210" t="s">
        <v>19009</v>
      </c>
      <c r="C161" s="224" t="s">
        <v>22271</v>
      </c>
      <c r="D161" s="211" t="s">
        <v>16</v>
      </c>
      <c r="E161" s="211">
        <v>36</v>
      </c>
      <c r="F161" s="211"/>
      <c r="G161" s="211">
        <v>0.3</v>
      </c>
      <c r="H161" s="212"/>
      <c r="I161" s="213"/>
      <c r="J161" s="272">
        <v>2821.73</v>
      </c>
      <c r="K161" s="112">
        <f t="shared" si="14"/>
        <v>101582.28</v>
      </c>
      <c r="L161" s="273">
        <f>BDI!$E$17</f>
        <v>0.11260000000000001</v>
      </c>
      <c r="M161" s="213"/>
      <c r="N161" s="213"/>
      <c r="O161" s="114">
        <f t="shared" si="15"/>
        <v>3139.46</v>
      </c>
      <c r="P161" s="113">
        <f t="shared" si="16"/>
        <v>33906.17</v>
      </c>
      <c r="Q161" s="209"/>
      <c r="R161" s="203"/>
      <c r="S161" s="182"/>
      <c r="T161" s="182"/>
      <c r="U161" s="182"/>
      <c r="V161" s="182"/>
      <c r="W161" s="182"/>
      <c r="X161" s="182"/>
      <c r="Y161" s="182"/>
      <c r="Z161" s="182"/>
      <c r="AA161" s="182"/>
      <c r="AB161" s="182"/>
      <c r="AC161" s="182"/>
      <c r="AD161" s="182"/>
      <c r="AE161" s="182"/>
      <c r="AF161" s="182"/>
      <c r="AG161" s="182"/>
      <c r="AH161" s="182"/>
      <c r="AI161" s="182"/>
      <c r="AJ161" s="182"/>
      <c r="AK161" s="182"/>
      <c r="AL161" s="182"/>
      <c r="AM161" s="182"/>
      <c r="AN161" s="182"/>
      <c r="AO161" s="182"/>
      <c r="AP161" s="182"/>
      <c r="AQ161" s="182"/>
      <c r="AR161" s="182"/>
      <c r="AS161" s="182"/>
      <c r="AT161" s="182"/>
      <c r="AU161" s="182"/>
      <c r="AV161" s="182"/>
      <c r="AW161" s="182"/>
      <c r="AX161" s="182"/>
      <c r="AY161" s="182"/>
      <c r="AZ161" s="182"/>
      <c r="BA161" s="182"/>
      <c r="BB161" s="182"/>
      <c r="BC161" s="182"/>
      <c r="BD161" s="182"/>
      <c r="BE161" s="182"/>
      <c r="BF161" s="182"/>
      <c r="BG161" s="182"/>
      <c r="BH161" s="182"/>
      <c r="BI161" s="182"/>
      <c r="BJ161" s="182"/>
      <c r="BK161" s="182"/>
      <c r="BL161" s="182"/>
      <c r="BM161" s="182"/>
      <c r="BN161" s="182"/>
      <c r="BO161" s="182"/>
      <c r="BP161" s="182"/>
      <c r="BQ161" s="182"/>
      <c r="BR161" s="182"/>
      <c r="BS161" s="182"/>
      <c r="BT161" s="182"/>
      <c r="BU161" s="182"/>
      <c r="BV161" s="182"/>
      <c r="BW161" s="182"/>
      <c r="BX161" s="182"/>
      <c r="BY161" s="182"/>
      <c r="BZ161" s="182"/>
      <c r="CA161" s="182"/>
      <c r="CB161" s="182"/>
      <c r="CC161" s="182"/>
      <c r="CD161" s="182"/>
      <c r="CE161" s="182"/>
      <c r="CF161" s="182"/>
      <c r="CG161" s="182"/>
      <c r="CH161" s="182"/>
      <c r="CI161" s="182"/>
      <c r="CJ161" s="182"/>
      <c r="CK161" s="182"/>
      <c r="CL161" s="182"/>
      <c r="CM161" s="182"/>
      <c r="CN161" s="182"/>
      <c r="CO161" s="182"/>
      <c r="CP161" s="182"/>
      <c r="CQ161" s="182"/>
      <c r="CR161" s="182"/>
      <c r="CS161" s="182"/>
      <c r="CT161" s="182"/>
      <c r="CU161" s="182"/>
      <c r="CV161" s="182"/>
      <c r="CW161" s="182"/>
      <c r="CX161" s="182"/>
      <c r="CY161" s="182"/>
      <c r="CZ161" s="182"/>
      <c r="DA161" s="182"/>
      <c r="DB161" s="182"/>
      <c r="DC161" s="182"/>
      <c r="DD161" s="182"/>
      <c r="DE161" s="182"/>
      <c r="DF161" s="182"/>
      <c r="DG161" s="182"/>
      <c r="DH161" s="182"/>
      <c r="DI161" s="182"/>
      <c r="DJ161" s="182"/>
      <c r="DK161" s="182"/>
      <c r="DL161" s="182"/>
      <c r="DM161" s="182"/>
      <c r="DN161" s="182"/>
      <c r="DO161" s="182"/>
      <c r="DP161" s="182"/>
      <c r="DQ161" s="182"/>
      <c r="DR161" s="182"/>
      <c r="DS161" s="182"/>
      <c r="DT161" s="182"/>
      <c r="DU161" s="182"/>
      <c r="DV161" s="182"/>
      <c r="DW161" s="182"/>
      <c r="DX161" s="182"/>
      <c r="DY161" s="182"/>
      <c r="DZ161" s="182"/>
      <c r="EA161" s="182"/>
      <c r="EB161" s="182"/>
      <c r="EC161" s="182"/>
      <c r="ED161" s="182"/>
      <c r="EE161" s="182"/>
      <c r="EF161" s="182"/>
      <c r="EG161" s="182"/>
      <c r="EH161" s="182"/>
      <c r="EI161" s="182"/>
      <c r="EJ161" s="182"/>
      <c r="EK161" s="182"/>
      <c r="EL161" s="182"/>
      <c r="EM161" s="182"/>
      <c r="EN161" s="182"/>
      <c r="EO161" s="182"/>
      <c r="EP161" s="182"/>
      <c r="EQ161" s="182"/>
      <c r="ER161" s="182"/>
      <c r="ES161" s="182"/>
      <c r="ET161" s="182"/>
      <c r="EU161" s="182"/>
      <c r="EV161" s="182"/>
      <c r="EW161" s="182"/>
      <c r="EX161" s="182"/>
      <c r="EY161" s="182"/>
      <c r="EZ161" s="182"/>
      <c r="FA161" s="182"/>
      <c r="FB161" s="182"/>
      <c r="FC161" s="182"/>
      <c r="FD161" s="182"/>
      <c r="FE161" s="182"/>
      <c r="FF161" s="182"/>
      <c r="FG161" s="182"/>
      <c r="FH161" s="182"/>
      <c r="FI161" s="182"/>
      <c r="FJ161" s="182"/>
      <c r="FK161" s="182"/>
      <c r="FL161" s="182"/>
      <c r="FM161" s="182"/>
      <c r="FN161" s="182"/>
      <c r="FO161" s="182"/>
      <c r="FP161" s="182"/>
      <c r="FQ161" s="182"/>
      <c r="FR161" s="182"/>
      <c r="FS161" s="182"/>
      <c r="FT161" s="182"/>
      <c r="FU161" s="182"/>
      <c r="FV161" s="182"/>
      <c r="FW161" s="182"/>
      <c r="FX161" s="182"/>
      <c r="FY161" s="182"/>
      <c r="FZ161" s="182"/>
      <c r="GA161" s="182"/>
      <c r="GB161" s="182"/>
      <c r="GC161" s="182"/>
      <c r="GD161" s="182"/>
      <c r="GE161" s="182"/>
      <c r="GF161" s="182"/>
      <c r="GG161" s="182"/>
      <c r="GH161" s="182"/>
      <c r="GI161" s="182"/>
    </row>
    <row r="162" spans="1:191" s="183" customFormat="1" x14ac:dyDescent="0.2">
      <c r="A162" s="210" t="s">
        <v>38467</v>
      </c>
      <c r="B162" s="210" t="s">
        <v>19010</v>
      </c>
      <c r="C162" s="224" t="s">
        <v>22272</v>
      </c>
      <c r="D162" s="211" t="s">
        <v>16</v>
      </c>
      <c r="E162" s="211">
        <v>12</v>
      </c>
      <c r="F162" s="211"/>
      <c r="G162" s="211">
        <v>0.3</v>
      </c>
      <c r="H162" s="212"/>
      <c r="I162" s="213"/>
      <c r="J162" s="272">
        <v>99.91</v>
      </c>
      <c r="K162" s="112">
        <f t="shared" ref="K162:K225" si="17">IF(ISNUMBER(J162),ROUND(E162*J162,2),"")</f>
        <v>1198.92</v>
      </c>
      <c r="L162" s="273">
        <f>BDI!$E$17</f>
        <v>0.11260000000000001</v>
      </c>
      <c r="M162" s="213"/>
      <c r="N162" s="213"/>
      <c r="O162" s="114">
        <f t="shared" ref="O162:O225" si="18">IF(ISNUMBER(J162),ROUND(J162*(1+L162),2),"")</f>
        <v>111.16</v>
      </c>
      <c r="P162" s="113">
        <f t="shared" ref="P162:P225" si="19">IF(ISNUMBER(J162),ROUND(G162*O162*E162,2),"")</f>
        <v>400.18</v>
      </c>
      <c r="Q162" s="209"/>
      <c r="R162" s="203"/>
      <c r="S162" s="182"/>
      <c r="T162" s="182"/>
      <c r="U162" s="182"/>
      <c r="V162" s="182"/>
      <c r="W162" s="182"/>
      <c r="X162" s="182"/>
      <c r="Y162" s="182"/>
      <c r="Z162" s="182"/>
      <c r="AA162" s="182"/>
      <c r="AB162" s="182"/>
      <c r="AC162" s="182"/>
      <c r="AD162" s="182"/>
      <c r="AE162" s="182"/>
      <c r="AF162" s="182"/>
      <c r="AG162" s="182"/>
      <c r="AH162" s="182"/>
      <c r="AI162" s="182"/>
      <c r="AJ162" s="182"/>
      <c r="AK162" s="182"/>
      <c r="AL162" s="182"/>
      <c r="AM162" s="182"/>
      <c r="AN162" s="182"/>
      <c r="AO162" s="182"/>
      <c r="AP162" s="182"/>
      <c r="AQ162" s="182"/>
      <c r="AR162" s="182"/>
      <c r="AS162" s="182"/>
      <c r="AT162" s="182"/>
      <c r="AU162" s="182"/>
      <c r="AV162" s="182"/>
      <c r="AW162" s="182"/>
      <c r="AX162" s="182"/>
      <c r="AY162" s="182"/>
      <c r="AZ162" s="182"/>
      <c r="BA162" s="182"/>
      <c r="BB162" s="182"/>
      <c r="BC162" s="182"/>
      <c r="BD162" s="182"/>
      <c r="BE162" s="182"/>
      <c r="BF162" s="182"/>
      <c r="BG162" s="182"/>
      <c r="BH162" s="182"/>
      <c r="BI162" s="182"/>
      <c r="BJ162" s="182"/>
      <c r="BK162" s="182"/>
      <c r="BL162" s="182"/>
      <c r="BM162" s="182"/>
      <c r="BN162" s="182"/>
      <c r="BO162" s="182"/>
      <c r="BP162" s="182"/>
      <c r="BQ162" s="182"/>
      <c r="BR162" s="182"/>
      <c r="BS162" s="182"/>
      <c r="BT162" s="182"/>
      <c r="BU162" s="182"/>
      <c r="BV162" s="182"/>
      <c r="BW162" s="182"/>
      <c r="BX162" s="182"/>
      <c r="BY162" s="182"/>
      <c r="BZ162" s="182"/>
      <c r="CA162" s="182"/>
      <c r="CB162" s="182"/>
      <c r="CC162" s="182"/>
      <c r="CD162" s="182"/>
      <c r="CE162" s="182"/>
      <c r="CF162" s="182"/>
      <c r="CG162" s="182"/>
      <c r="CH162" s="182"/>
      <c r="CI162" s="182"/>
      <c r="CJ162" s="182"/>
      <c r="CK162" s="182"/>
      <c r="CL162" s="182"/>
      <c r="CM162" s="182"/>
      <c r="CN162" s="182"/>
      <c r="CO162" s="182"/>
      <c r="CP162" s="182"/>
      <c r="CQ162" s="182"/>
      <c r="CR162" s="182"/>
      <c r="CS162" s="182"/>
      <c r="CT162" s="182"/>
      <c r="CU162" s="182"/>
      <c r="CV162" s="182"/>
      <c r="CW162" s="182"/>
      <c r="CX162" s="182"/>
      <c r="CY162" s="182"/>
      <c r="CZ162" s="182"/>
      <c r="DA162" s="182"/>
      <c r="DB162" s="182"/>
      <c r="DC162" s="182"/>
      <c r="DD162" s="182"/>
      <c r="DE162" s="182"/>
      <c r="DF162" s="182"/>
      <c r="DG162" s="182"/>
      <c r="DH162" s="182"/>
      <c r="DI162" s="182"/>
      <c r="DJ162" s="182"/>
      <c r="DK162" s="182"/>
      <c r="DL162" s="182"/>
      <c r="DM162" s="182"/>
      <c r="DN162" s="182"/>
      <c r="DO162" s="182"/>
      <c r="DP162" s="182"/>
      <c r="DQ162" s="182"/>
      <c r="DR162" s="182"/>
      <c r="DS162" s="182"/>
      <c r="DT162" s="182"/>
      <c r="DU162" s="182"/>
      <c r="DV162" s="182"/>
      <c r="DW162" s="182"/>
      <c r="DX162" s="182"/>
      <c r="DY162" s="182"/>
      <c r="DZ162" s="182"/>
      <c r="EA162" s="182"/>
      <c r="EB162" s="182"/>
      <c r="EC162" s="182"/>
      <c r="ED162" s="182"/>
      <c r="EE162" s="182"/>
      <c r="EF162" s="182"/>
      <c r="EG162" s="182"/>
      <c r="EH162" s="182"/>
      <c r="EI162" s="182"/>
      <c r="EJ162" s="182"/>
      <c r="EK162" s="182"/>
      <c r="EL162" s="182"/>
      <c r="EM162" s="182"/>
      <c r="EN162" s="182"/>
      <c r="EO162" s="182"/>
      <c r="EP162" s="182"/>
      <c r="EQ162" s="182"/>
      <c r="ER162" s="182"/>
      <c r="ES162" s="182"/>
      <c r="ET162" s="182"/>
      <c r="EU162" s="182"/>
      <c r="EV162" s="182"/>
      <c r="EW162" s="182"/>
      <c r="EX162" s="182"/>
      <c r="EY162" s="182"/>
      <c r="EZ162" s="182"/>
      <c r="FA162" s="182"/>
      <c r="FB162" s="182"/>
      <c r="FC162" s="182"/>
      <c r="FD162" s="182"/>
      <c r="FE162" s="182"/>
      <c r="FF162" s="182"/>
      <c r="FG162" s="182"/>
      <c r="FH162" s="182"/>
      <c r="FI162" s="182"/>
      <c r="FJ162" s="182"/>
      <c r="FK162" s="182"/>
      <c r="FL162" s="182"/>
      <c r="FM162" s="182"/>
      <c r="FN162" s="182"/>
      <c r="FO162" s="182"/>
      <c r="FP162" s="182"/>
      <c r="FQ162" s="182"/>
      <c r="FR162" s="182"/>
      <c r="FS162" s="182"/>
      <c r="FT162" s="182"/>
      <c r="FU162" s="182"/>
      <c r="FV162" s="182"/>
      <c r="FW162" s="182"/>
      <c r="FX162" s="182"/>
      <c r="FY162" s="182"/>
      <c r="FZ162" s="182"/>
      <c r="GA162" s="182"/>
      <c r="GB162" s="182"/>
      <c r="GC162" s="182"/>
      <c r="GD162" s="182"/>
      <c r="GE162" s="182"/>
      <c r="GF162" s="182"/>
      <c r="GG162" s="182"/>
      <c r="GH162" s="182"/>
      <c r="GI162" s="182"/>
    </row>
    <row r="163" spans="1:191" s="183" customFormat="1" x14ac:dyDescent="0.2">
      <c r="A163" s="210" t="s">
        <v>38468</v>
      </c>
      <c r="B163" s="210" t="s">
        <v>19011</v>
      </c>
      <c r="C163" s="224" t="s">
        <v>22273</v>
      </c>
      <c r="D163" s="211" t="s">
        <v>16</v>
      </c>
      <c r="E163" s="211">
        <v>6</v>
      </c>
      <c r="F163" s="211"/>
      <c r="G163" s="211">
        <v>0.3</v>
      </c>
      <c r="H163" s="212"/>
      <c r="I163" s="213"/>
      <c r="J163" s="272">
        <v>3697.41</v>
      </c>
      <c r="K163" s="112">
        <f t="shared" si="17"/>
        <v>22184.46</v>
      </c>
      <c r="L163" s="273">
        <f>BDI!$E$17</f>
        <v>0.11260000000000001</v>
      </c>
      <c r="M163" s="213"/>
      <c r="N163" s="213"/>
      <c r="O163" s="114">
        <f t="shared" si="18"/>
        <v>4113.74</v>
      </c>
      <c r="P163" s="113">
        <f t="shared" si="19"/>
        <v>7404.73</v>
      </c>
      <c r="Q163" s="209"/>
      <c r="R163" s="203"/>
      <c r="S163" s="182"/>
      <c r="T163" s="182"/>
      <c r="U163" s="182"/>
      <c r="V163" s="182"/>
      <c r="W163" s="182"/>
      <c r="X163" s="182"/>
      <c r="Y163" s="182"/>
      <c r="Z163" s="182"/>
      <c r="AA163" s="182"/>
      <c r="AB163" s="182"/>
      <c r="AC163" s="182"/>
      <c r="AD163" s="182"/>
      <c r="AE163" s="182"/>
      <c r="AF163" s="182"/>
      <c r="AG163" s="182"/>
      <c r="AH163" s="182"/>
      <c r="AI163" s="182"/>
      <c r="AJ163" s="182"/>
      <c r="AK163" s="182"/>
      <c r="AL163" s="182"/>
      <c r="AM163" s="182"/>
      <c r="AN163" s="182"/>
      <c r="AO163" s="182"/>
      <c r="AP163" s="182"/>
      <c r="AQ163" s="182"/>
      <c r="AR163" s="182"/>
      <c r="AS163" s="182"/>
      <c r="AT163" s="182"/>
      <c r="AU163" s="182"/>
      <c r="AV163" s="182"/>
      <c r="AW163" s="182"/>
      <c r="AX163" s="182"/>
      <c r="AY163" s="182"/>
      <c r="AZ163" s="182"/>
      <c r="BA163" s="182"/>
      <c r="BB163" s="182"/>
      <c r="BC163" s="182"/>
      <c r="BD163" s="182"/>
      <c r="BE163" s="182"/>
      <c r="BF163" s="182"/>
      <c r="BG163" s="182"/>
      <c r="BH163" s="182"/>
      <c r="BI163" s="182"/>
      <c r="BJ163" s="182"/>
      <c r="BK163" s="182"/>
      <c r="BL163" s="182"/>
      <c r="BM163" s="182"/>
      <c r="BN163" s="182"/>
      <c r="BO163" s="182"/>
      <c r="BP163" s="182"/>
      <c r="BQ163" s="182"/>
      <c r="BR163" s="182"/>
      <c r="BS163" s="182"/>
      <c r="BT163" s="182"/>
      <c r="BU163" s="182"/>
      <c r="BV163" s="182"/>
      <c r="BW163" s="182"/>
      <c r="BX163" s="182"/>
      <c r="BY163" s="182"/>
      <c r="BZ163" s="182"/>
      <c r="CA163" s="182"/>
      <c r="CB163" s="182"/>
      <c r="CC163" s="182"/>
      <c r="CD163" s="182"/>
      <c r="CE163" s="182"/>
      <c r="CF163" s="182"/>
      <c r="CG163" s="182"/>
      <c r="CH163" s="182"/>
      <c r="CI163" s="182"/>
      <c r="CJ163" s="182"/>
      <c r="CK163" s="182"/>
      <c r="CL163" s="182"/>
      <c r="CM163" s="182"/>
      <c r="CN163" s="182"/>
      <c r="CO163" s="182"/>
      <c r="CP163" s="182"/>
      <c r="CQ163" s="182"/>
      <c r="CR163" s="182"/>
      <c r="CS163" s="182"/>
      <c r="CT163" s="182"/>
      <c r="CU163" s="182"/>
      <c r="CV163" s="182"/>
      <c r="CW163" s="182"/>
      <c r="CX163" s="182"/>
      <c r="CY163" s="182"/>
      <c r="CZ163" s="182"/>
      <c r="DA163" s="182"/>
      <c r="DB163" s="182"/>
      <c r="DC163" s="182"/>
      <c r="DD163" s="182"/>
      <c r="DE163" s="182"/>
      <c r="DF163" s="182"/>
      <c r="DG163" s="182"/>
      <c r="DH163" s="182"/>
      <c r="DI163" s="182"/>
      <c r="DJ163" s="182"/>
      <c r="DK163" s="182"/>
      <c r="DL163" s="182"/>
      <c r="DM163" s="182"/>
      <c r="DN163" s="182"/>
      <c r="DO163" s="182"/>
      <c r="DP163" s="182"/>
      <c r="DQ163" s="182"/>
      <c r="DR163" s="182"/>
      <c r="DS163" s="182"/>
      <c r="DT163" s="182"/>
      <c r="DU163" s="182"/>
      <c r="DV163" s="182"/>
      <c r="DW163" s="182"/>
      <c r="DX163" s="182"/>
      <c r="DY163" s="182"/>
      <c r="DZ163" s="182"/>
      <c r="EA163" s="182"/>
      <c r="EB163" s="182"/>
      <c r="EC163" s="182"/>
      <c r="ED163" s="182"/>
      <c r="EE163" s="182"/>
      <c r="EF163" s="182"/>
      <c r="EG163" s="182"/>
      <c r="EH163" s="182"/>
      <c r="EI163" s="182"/>
      <c r="EJ163" s="182"/>
      <c r="EK163" s="182"/>
      <c r="EL163" s="182"/>
      <c r="EM163" s="182"/>
      <c r="EN163" s="182"/>
      <c r="EO163" s="182"/>
      <c r="EP163" s="182"/>
      <c r="EQ163" s="182"/>
      <c r="ER163" s="182"/>
      <c r="ES163" s="182"/>
      <c r="ET163" s="182"/>
      <c r="EU163" s="182"/>
      <c r="EV163" s="182"/>
      <c r="EW163" s="182"/>
      <c r="EX163" s="182"/>
      <c r="EY163" s="182"/>
      <c r="EZ163" s="182"/>
      <c r="FA163" s="182"/>
      <c r="FB163" s="182"/>
      <c r="FC163" s="182"/>
      <c r="FD163" s="182"/>
      <c r="FE163" s="182"/>
      <c r="FF163" s="182"/>
      <c r="FG163" s="182"/>
      <c r="FH163" s="182"/>
      <c r="FI163" s="182"/>
      <c r="FJ163" s="182"/>
      <c r="FK163" s="182"/>
      <c r="FL163" s="182"/>
      <c r="FM163" s="182"/>
      <c r="FN163" s="182"/>
      <c r="FO163" s="182"/>
      <c r="FP163" s="182"/>
      <c r="FQ163" s="182"/>
      <c r="FR163" s="182"/>
      <c r="FS163" s="182"/>
      <c r="FT163" s="182"/>
      <c r="FU163" s="182"/>
      <c r="FV163" s="182"/>
      <c r="FW163" s="182"/>
      <c r="FX163" s="182"/>
      <c r="FY163" s="182"/>
      <c r="FZ163" s="182"/>
      <c r="GA163" s="182"/>
      <c r="GB163" s="182"/>
      <c r="GC163" s="182"/>
      <c r="GD163" s="182"/>
      <c r="GE163" s="182"/>
      <c r="GF163" s="182"/>
      <c r="GG163" s="182"/>
      <c r="GH163" s="182"/>
      <c r="GI163" s="182"/>
    </row>
    <row r="164" spans="1:191" s="183" customFormat="1" x14ac:dyDescent="0.2">
      <c r="A164" s="210" t="s">
        <v>38469</v>
      </c>
      <c r="B164" s="210" t="s">
        <v>19012</v>
      </c>
      <c r="C164" s="224" t="s">
        <v>22274</v>
      </c>
      <c r="D164" s="211" t="s">
        <v>16</v>
      </c>
      <c r="E164" s="211">
        <v>12</v>
      </c>
      <c r="F164" s="211"/>
      <c r="G164" s="211">
        <v>0.3</v>
      </c>
      <c r="H164" s="212"/>
      <c r="I164" s="213"/>
      <c r="J164" s="272">
        <v>109.9</v>
      </c>
      <c r="K164" s="112">
        <f t="shared" si="17"/>
        <v>1318.8</v>
      </c>
      <c r="L164" s="273">
        <f>BDI!$E$17</f>
        <v>0.11260000000000001</v>
      </c>
      <c r="M164" s="213"/>
      <c r="N164" s="213"/>
      <c r="O164" s="114">
        <f t="shared" si="18"/>
        <v>122.27</v>
      </c>
      <c r="P164" s="113">
        <f t="shared" si="19"/>
        <v>440.17</v>
      </c>
      <c r="Q164" s="209"/>
      <c r="R164" s="203"/>
      <c r="S164" s="182"/>
      <c r="T164" s="182"/>
      <c r="U164" s="182"/>
      <c r="V164" s="182"/>
      <c r="W164" s="182"/>
      <c r="X164" s="182"/>
      <c r="Y164" s="182"/>
      <c r="Z164" s="182"/>
      <c r="AA164" s="182"/>
      <c r="AB164" s="182"/>
      <c r="AC164" s="182"/>
      <c r="AD164" s="182"/>
      <c r="AE164" s="182"/>
      <c r="AF164" s="182"/>
      <c r="AG164" s="182"/>
      <c r="AH164" s="182"/>
      <c r="AI164" s="182"/>
      <c r="AJ164" s="182"/>
      <c r="AK164" s="182"/>
      <c r="AL164" s="182"/>
      <c r="AM164" s="182"/>
      <c r="AN164" s="182"/>
      <c r="AO164" s="182"/>
      <c r="AP164" s="182"/>
      <c r="AQ164" s="182"/>
      <c r="AR164" s="182"/>
      <c r="AS164" s="182"/>
      <c r="AT164" s="182"/>
      <c r="AU164" s="182"/>
      <c r="AV164" s="182"/>
      <c r="AW164" s="182"/>
      <c r="AX164" s="182"/>
      <c r="AY164" s="182"/>
      <c r="AZ164" s="182"/>
      <c r="BA164" s="182"/>
      <c r="BB164" s="182"/>
      <c r="BC164" s="182"/>
      <c r="BD164" s="182"/>
      <c r="BE164" s="182"/>
      <c r="BF164" s="182"/>
      <c r="BG164" s="182"/>
      <c r="BH164" s="182"/>
      <c r="BI164" s="182"/>
      <c r="BJ164" s="182"/>
      <c r="BK164" s="182"/>
      <c r="BL164" s="182"/>
      <c r="BM164" s="182"/>
      <c r="BN164" s="182"/>
      <c r="BO164" s="182"/>
      <c r="BP164" s="182"/>
      <c r="BQ164" s="182"/>
      <c r="BR164" s="182"/>
      <c r="BS164" s="182"/>
      <c r="BT164" s="182"/>
      <c r="BU164" s="182"/>
      <c r="BV164" s="182"/>
      <c r="BW164" s="182"/>
      <c r="BX164" s="182"/>
      <c r="BY164" s="182"/>
      <c r="BZ164" s="182"/>
      <c r="CA164" s="182"/>
      <c r="CB164" s="182"/>
      <c r="CC164" s="182"/>
      <c r="CD164" s="182"/>
      <c r="CE164" s="182"/>
      <c r="CF164" s="182"/>
      <c r="CG164" s="182"/>
      <c r="CH164" s="182"/>
      <c r="CI164" s="182"/>
      <c r="CJ164" s="182"/>
      <c r="CK164" s="182"/>
      <c r="CL164" s="182"/>
      <c r="CM164" s="182"/>
      <c r="CN164" s="182"/>
      <c r="CO164" s="182"/>
      <c r="CP164" s="182"/>
      <c r="CQ164" s="182"/>
      <c r="CR164" s="182"/>
      <c r="CS164" s="182"/>
      <c r="CT164" s="182"/>
      <c r="CU164" s="182"/>
      <c r="CV164" s="182"/>
      <c r="CW164" s="182"/>
      <c r="CX164" s="182"/>
      <c r="CY164" s="182"/>
      <c r="CZ164" s="182"/>
      <c r="DA164" s="182"/>
      <c r="DB164" s="182"/>
      <c r="DC164" s="182"/>
      <c r="DD164" s="182"/>
      <c r="DE164" s="182"/>
      <c r="DF164" s="182"/>
      <c r="DG164" s="182"/>
      <c r="DH164" s="182"/>
      <c r="DI164" s="182"/>
      <c r="DJ164" s="182"/>
      <c r="DK164" s="182"/>
      <c r="DL164" s="182"/>
      <c r="DM164" s="182"/>
      <c r="DN164" s="182"/>
      <c r="DO164" s="182"/>
      <c r="DP164" s="182"/>
      <c r="DQ164" s="182"/>
      <c r="DR164" s="182"/>
      <c r="DS164" s="182"/>
      <c r="DT164" s="182"/>
      <c r="DU164" s="182"/>
      <c r="DV164" s="182"/>
      <c r="DW164" s="182"/>
      <c r="DX164" s="182"/>
      <c r="DY164" s="182"/>
      <c r="DZ164" s="182"/>
      <c r="EA164" s="182"/>
      <c r="EB164" s="182"/>
      <c r="EC164" s="182"/>
      <c r="ED164" s="182"/>
      <c r="EE164" s="182"/>
      <c r="EF164" s="182"/>
      <c r="EG164" s="182"/>
      <c r="EH164" s="182"/>
      <c r="EI164" s="182"/>
      <c r="EJ164" s="182"/>
      <c r="EK164" s="182"/>
      <c r="EL164" s="182"/>
      <c r="EM164" s="182"/>
      <c r="EN164" s="182"/>
      <c r="EO164" s="182"/>
      <c r="EP164" s="182"/>
      <c r="EQ164" s="182"/>
      <c r="ER164" s="182"/>
      <c r="ES164" s="182"/>
      <c r="ET164" s="182"/>
      <c r="EU164" s="182"/>
      <c r="EV164" s="182"/>
      <c r="EW164" s="182"/>
      <c r="EX164" s="182"/>
      <c r="EY164" s="182"/>
      <c r="EZ164" s="182"/>
      <c r="FA164" s="182"/>
      <c r="FB164" s="182"/>
      <c r="FC164" s="182"/>
      <c r="FD164" s="182"/>
      <c r="FE164" s="182"/>
      <c r="FF164" s="182"/>
      <c r="FG164" s="182"/>
      <c r="FH164" s="182"/>
      <c r="FI164" s="182"/>
      <c r="FJ164" s="182"/>
      <c r="FK164" s="182"/>
      <c r="FL164" s="182"/>
      <c r="FM164" s="182"/>
      <c r="FN164" s="182"/>
      <c r="FO164" s="182"/>
      <c r="FP164" s="182"/>
      <c r="FQ164" s="182"/>
      <c r="FR164" s="182"/>
      <c r="FS164" s="182"/>
      <c r="FT164" s="182"/>
      <c r="FU164" s="182"/>
      <c r="FV164" s="182"/>
      <c r="FW164" s="182"/>
      <c r="FX164" s="182"/>
      <c r="FY164" s="182"/>
      <c r="FZ164" s="182"/>
      <c r="GA164" s="182"/>
      <c r="GB164" s="182"/>
      <c r="GC164" s="182"/>
      <c r="GD164" s="182"/>
      <c r="GE164" s="182"/>
      <c r="GF164" s="182"/>
      <c r="GG164" s="182"/>
      <c r="GH164" s="182"/>
      <c r="GI164" s="182"/>
    </row>
    <row r="165" spans="1:191" s="183" customFormat="1" x14ac:dyDescent="0.2">
      <c r="A165" s="210" t="s">
        <v>38470</v>
      </c>
      <c r="B165" s="210" t="s">
        <v>19013</v>
      </c>
      <c r="C165" s="224" t="s">
        <v>22275</v>
      </c>
      <c r="D165" s="211" t="s">
        <v>16</v>
      </c>
      <c r="E165" s="211">
        <v>160</v>
      </c>
      <c r="F165" s="211"/>
      <c r="G165" s="211">
        <v>0.3</v>
      </c>
      <c r="H165" s="212"/>
      <c r="I165" s="213"/>
      <c r="J165" s="272">
        <v>547.79</v>
      </c>
      <c r="K165" s="112">
        <f t="shared" si="17"/>
        <v>87646.399999999994</v>
      </c>
      <c r="L165" s="273">
        <f>BDI!$E$17</f>
        <v>0.11260000000000001</v>
      </c>
      <c r="M165" s="213"/>
      <c r="N165" s="213"/>
      <c r="O165" s="114">
        <f t="shared" si="18"/>
        <v>609.47</v>
      </c>
      <c r="P165" s="113">
        <f t="shared" si="19"/>
        <v>29254.560000000001</v>
      </c>
      <c r="Q165" s="209"/>
      <c r="R165" s="203"/>
      <c r="S165" s="182"/>
      <c r="T165" s="182"/>
      <c r="U165" s="182"/>
      <c r="V165" s="182"/>
      <c r="W165" s="182"/>
      <c r="X165" s="182"/>
      <c r="Y165" s="182"/>
      <c r="Z165" s="182"/>
      <c r="AA165" s="182"/>
      <c r="AB165" s="182"/>
      <c r="AC165" s="182"/>
      <c r="AD165" s="182"/>
      <c r="AE165" s="182"/>
      <c r="AF165" s="182"/>
      <c r="AG165" s="182"/>
      <c r="AH165" s="182"/>
      <c r="AI165" s="182"/>
      <c r="AJ165" s="182"/>
      <c r="AK165" s="182"/>
      <c r="AL165" s="182"/>
      <c r="AM165" s="182"/>
      <c r="AN165" s="182"/>
      <c r="AO165" s="182"/>
      <c r="AP165" s="182"/>
      <c r="AQ165" s="182"/>
      <c r="AR165" s="182"/>
      <c r="AS165" s="182"/>
      <c r="AT165" s="182"/>
      <c r="AU165" s="182"/>
      <c r="AV165" s="182"/>
      <c r="AW165" s="182"/>
      <c r="AX165" s="182"/>
      <c r="AY165" s="182"/>
      <c r="AZ165" s="182"/>
      <c r="BA165" s="182"/>
      <c r="BB165" s="182"/>
      <c r="BC165" s="182"/>
      <c r="BD165" s="182"/>
      <c r="BE165" s="182"/>
      <c r="BF165" s="182"/>
      <c r="BG165" s="182"/>
      <c r="BH165" s="182"/>
      <c r="BI165" s="182"/>
      <c r="BJ165" s="182"/>
      <c r="BK165" s="182"/>
      <c r="BL165" s="182"/>
      <c r="BM165" s="182"/>
      <c r="BN165" s="182"/>
      <c r="BO165" s="182"/>
      <c r="BP165" s="182"/>
      <c r="BQ165" s="182"/>
      <c r="BR165" s="182"/>
      <c r="BS165" s="182"/>
      <c r="BT165" s="182"/>
      <c r="BU165" s="182"/>
      <c r="BV165" s="182"/>
      <c r="BW165" s="182"/>
      <c r="BX165" s="182"/>
      <c r="BY165" s="182"/>
      <c r="BZ165" s="182"/>
      <c r="CA165" s="182"/>
      <c r="CB165" s="182"/>
      <c r="CC165" s="182"/>
      <c r="CD165" s="182"/>
      <c r="CE165" s="182"/>
      <c r="CF165" s="182"/>
      <c r="CG165" s="182"/>
      <c r="CH165" s="182"/>
      <c r="CI165" s="182"/>
      <c r="CJ165" s="182"/>
      <c r="CK165" s="182"/>
      <c r="CL165" s="182"/>
      <c r="CM165" s="182"/>
      <c r="CN165" s="182"/>
      <c r="CO165" s="182"/>
      <c r="CP165" s="182"/>
      <c r="CQ165" s="182"/>
      <c r="CR165" s="182"/>
      <c r="CS165" s="182"/>
      <c r="CT165" s="182"/>
      <c r="CU165" s="182"/>
      <c r="CV165" s="182"/>
      <c r="CW165" s="182"/>
      <c r="CX165" s="182"/>
      <c r="CY165" s="182"/>
      <c r="CZ165" s="182"/>
      <c r="DA165" s="182"/>
      <c r="DB165" s="182"/>
      <c r="DC165" s="182"/>
      <c r="DD165" s="182"/>
      <c r="DE165" s="182"/>
      <c r="DF165" s="182"/>
      <c r="DG165" s="182"/>
      <c r="DH165" s="182"/>
      <c r="DI165" s="182"/>
      <c r="DJ165" s="182"/>
      <c r="DK165" s="182"/>
      <c r="DL165" s="182"/>
      <c r="DM165" s="182"/>
      <c r="DN165" s="182"/>
      <c r="DO165" s="182"/>
      <c r="DP165" s="182"/>
      <c r="DQ165" s="182"/>
      <c r="DR165" s="182"/>
      <c r="DS165" s="182"/>
      <c r="DT165" s="182"/>
      <c r="DU165" s="182"/>
      <c r="DV165" s="182"/>
      <c r="DW165" s="182"/>
      <c r="DX165" s="182"/>
      <c r="DY165" s="182"/>
      <c r="DZ165" s="182"/>
      <c r="EA165" s="182"/>
      <c r="EB165" s="182"/>
      <c r="EC165" s="182"/>
      <c r="ED165" s="182"/>
      <c r="EE165" s="182"/>
      <c r="EF165" s="182"/>
      <c r="EG165" s="182"/>
      <c r="EH165" s="182"/>
      <c r="EI165" s="182"/>
      <c r="EJ165" s="182"/>
      <c r="EK165" s="182"/>
      <c r="EL165" s="182"/>
      <c r="EM165" s="182"/>
      <c r="EN165" s="182"/>
      <c r="EO165" s="182"/>
      <c r="EP165" s="182"/>
      <c r="EQ165" s="182"/>
      <c r="ER165" s="182"/>
      <c r="ES165" s="182"/>
      <c r="ET165" s="182"/>
      <c r="EU165" s="182"/>
      <c r="EV165" s="182"/>
      <c r="EW165" s="182"/>
      <c r="EX165" s="182"/>
      <c r="EY165" s="182"/>
      <c r="EZ165" s="182"/>
      <c r="FA165" s="182"/>
      <c r="FB165" s="182"/>
      <c r="FC165" s="182"/>
      <c r="FD165" s="182"/>
      <c r="FE165" s="182"/>
      <c r="FF165" s="182"/>
      <c r="FG165" s="182"/>
      <c r="FH165" s="182"/>
      <c r="FI165" s="182"/>
      <c r="FJ165" s="182"/>
      <c r="FK165" s="182"/>
      <c r="FL165" s="182"/>
      <c r="FM165" s="182"/>
      <c r="FN165" s="182"/>
      <c r="FO165" s="182"/>
      <c r="FP165" s="182"/>
      <c r="FQ165" s="182"/>
      <c r="FR165" s="182"/>
      <c r="FS165" s="182"/>
      <c r="FT165" s="182"/>
      <c r="FU165" s="182"/>
      <c r="FV165" s="182"/>
      <c r="FW165" s="182"/>
      <c r="FX165" s="182"/>
      <c r="FY165" s="182"/>
      <c r="FZ165" s="182"/>
      <c r="GA165" s="182"/>
      <c r="GB165" s="182"/>
      <c r="GC165" s="182"/>
      <c r="GD165" s="182"/>
      <c r="GE165" s="182"/>
      <c r="GF165" s="182"/>
      <c r="GG165" s="182"/>
      <c r="GH165" s="182"/>
      <c r="GI165" s="182"/>
    </row>
    <row r="166" spans="1:191" s="183" customFormat="1" x14ac:dyDescent="0.2">
      <c r="A166" s="210" t="s">
        <v>38471</v>
      </c>
      <c r="B166" s="210" t="s">
        <v>19014</v>
      </c>
      <c r="C166" s="224" t="s">
        <v>22276</v>
      </c>
      <c r="D166" s="211" t="s">
        <v>16</v>
      </c>
      <c r="E166" s="211">
        <v>100</v>
      </c>
      <c r="F166" s="211"/>
      <c r="G166" s="211">
        <v>0.3</v>
      </c>
      <c r="H166" s="212"/>
      <c r="I166" s="213"/>
      <c r="J166" s="272">
        <v>81.599999999999994</v>
      </c>
      <c r="K166" s="112">
        <f t="shared" si="17"/>
        <v>8160</v>
      </c>
      <c r="L166" s="273">
        <f>BDI!$E$17</f>
        <v>0.11260000000000001</v>
      </c>
      <c r="M166" s="213"/>
      <c r="N166" s="213"/>
      <c r="O166" s="114">
        <f t="shared" si="18"/>
        <v>90.79</v>
      </c>
      <c r="P166" s="113">
        <f t="shared" si="19"/>
        <v>2723.7</v>
      </c>
      <c r="Q166" s="209"/>
      <c r="R166" s="203"/>
      <c r="S166" s="182"/>
      <c r="T166" s="182"/>
      <c r="U166" s="182"/>
      <c r="V166" s="182"/>
      <c r="W166" s="182"/>
      <c r="X166" s="182"/>
      <c r="Y166" s="182"/>
      <c r="Z166" s="182"/>
      <c r="AA166" s="182"/>
      <c r="AB166" s="182"/>
      <c r="AC166" s="182"/>
      <c r="AD166" s="182"/>
      <c r="AE166" s="182"/>
      <c r="AF166" s="182"/>
      <c r="AG166" s="182"/>
      <c r="AH166" s="182"/>
      <c r="AI166" s="182"/>
      <c r="AJ166" s="182"/>
      <c r="AK166" s="182"/>
      <c r="AL166" s="182"/>
      <c r="AM166" s="182"/>
      <c r="AN166" s="182"/>
      <c r="AO166" s="182"/>
      <c r="AP166" s="182"/>
      <c r="AQ166" s="182"/>
      <c r="AR166" s="182"/>
      <c r="AS166" s="182"/>
      <c r="AT166" s="182"/>
      <c r="AU166" s="182"/>
      <c r="AV166" s="182"/>
      <c r="AW166" s="182"/>
      <c r="AX166" s="182"/>
      <c r="AY166" s="182"/>
      <c r="AZ166" s="182"/>
      <c r="BA166" s="182"/>
      <c r="BB166" s="182"/>
      <c r="BC166" s="182"/>
      <c r="BD166" s="182"/>
      <c r="BE166" s="182"/>
      <c r="BF166" s="182"/>
      <c r="BG166" s="182"/>
      <c r="BH166" s="182"/>
      <c r="BI166" s="182"/>
      <c r="BJ166" s="182"/>
      <c r="BK166" s="182"/>
      <c r="BL166" s="182"/>
      <c r="BM166" s="182"/>
      <c r="BN166" s="182"/>
      <c r="BO166" s="182"/>
      <c r="BP166" s="182"/>
      <c r="BQ166" s="182"/>
      <c r="BR166" s="182"/>
      <c r="BS166" s="182"/>
      <c r="BT166" s="182"/>
      <c r="BU166" s="182"/>
      <c r="BV166" s="182"/>
      <c r="BW166" s="182"/>
      <c r="BX166" s="182"/>
      <c r="BY166" s="182"/>
      <c r="BZ166" s="182"/>
      <c r="CA166" s="182"/>
      <c r="CB166" s="182"/>
      <c r="CC166" s="182"/>
      <c r="CD166" s="182"/>
      <c r="CE166" s="182"/>
      <c r="CF166" s="182"/>
      <c r="CG166" s="182"/>
      <c r="CH166" s="182"/>
      <c r="CI166" s="182"/>
      <c r="CJ166" s="182"/>
      <c r="CK166" s="182"/>
      <c r="CL166" s="182"/>
      <c r="CM166" s="182"/>
      <c r="CN166" s="182"/>
      <c r="CO166" s="182"/>
      <c r="CP166" s="182"/>
      <c r="CQ166" s="182"/>
      <c r="CR166" s="182"/>
      <c r="CS166" s="182"/>
      <c r="CT166" s="182"/>
      <c r="CU166" s="182"/>
      <c r="CV166" s="182"/>
      <c r="CW166" s="182"/>
      <c r="CX166" s="182"/>
      <c r="CY166" s="182"/>
      <c r="CZ166" s="182"/>
      <c r="DA166" s="182"/>
      <c r="DB166" s="182"/>
      <c r="DC166" s="182"/>
      <c r="DD166" s="182"/>
      <c r="DE166" s="182"/>
      <c r="DF166" s="182"/>
      <c r="DG166" s="182"/>
      <c r="DH166" s="182"/>
      <c r="DI166" s="182"/>
      <c r="DJ166" s="182"/>
      <c r="DK166" s="182"/>
      <c r="DL166" s="182"/>
      <c r="DM166" s="182"/>
      <c r="DN166" s="182"/>
      <c r="DO166" s="182"/>
      <c r="DP166" s="182"/>
      <c r="DQ166" s="182"/>
      <c r="DR166" s="182"/>
      <c r="DS166" s="182"/>
      <c r="DT166" s="182"/>
      <c r="DU166" s="182"/>
      <c r="DV166" s="182"/>
      <c r="DW166" s="182"/>
      <c r="DX166" s="182"/>
      <c r="DY166" s="182"/>
      <c r="DZ166" s="182"/>
      <c r="EA166" s="182"/>
      <c r="EB166" s="182"/>
      <c r="EC166" s="182"/>
      <c r="ED166" s="182"/>
      <c r="EE166" s="182"/>
      <c r="EF166" s="182"/>
      <c r="EG166" s="182"/>
      <c r="EH166" s="182"/>
      <c r="EI166" s="182"/>
      <c r="EJ166" s="182"/>
      <c r="EK166" s="182"/>
      <c r="EL166" s="182"/>
      <c r="EM166" s="182"/>
      <c r="EN166" s="182"/>
      <c r="EO166" s="182"/>
      <c r="EP166" s="182"/>
      <c r="EQ166" s="182"/>
      <c r="ER166" s="182"/>
      <c r="ES166" s="182"/>
      <c r="ET166" s="182"/>
      <c r="EU166" s="182"/>
      <c r="EV166" s="182"/>
      <c r="EW166" s="182"/>
      <c r="EX166" s="182"/>
      <c r="EY166" s="182"/>
      <c r="EZ166" s="182"/>
      <c r="FA166" s="182"/>
      <c r="FB166" s="182"/>
      <c r="FC166" s="182"/>
      <c r="FD166" s="182"/>
      <c r="FE166" s="182"/>
      <c r="FF166" s="182"/>
      <c r="FG166" s="182"/>
      <c r="FH166" s="182"/>
      <c r="FI166" s="182"/>
      <c r="FJ166" s="182"/>
      <c r="FK166" s="182"/>
      <c r="FL166" s="182"/>
      <c r="FM166" s="182"/>
      <c r="FN166" s="182"/>
      <c r="FO166" s="182"/>
      <c r="FP166" s="182"/>
      <c r="FQ166" s="182"/>
      <c r="FR166" s="182"/>
      <c r="FS166" s="182"/>
      <c r="FT166" s="182"/>
      <c r="FU166" s="182"/>
      <c r="FV166" s="182"/>
      <c r="FW166" s="182"/>
      <c r="FX166" s="182"/>
      <c r="FY166" s="182"/>
      <c r="FZ166" s="182"/>
      <c r="GA166" s="182"/>
      <c r="GB166" s="182"/>
      <c r="GC166" s="182"/>
      <c r="GD166" s="182"/>
      <c r="GE166" s="182"/>
      <c r="GF166" s="182"/>
      <c r="GG166" s="182"/>
      <c r="GH166" s="182"/>
      <c r="GI166" s="182"/>
    </row>
    <row r="167" spans="1:191" s="183" customFormat="1" x14ac:dyDescent="0.2">
      <c r="A167" s="210" t="s">
        <v>38472</v>
      </c>
      <c r="B167" s="210" t="s">
        <v>19015</v>
      </c>
      <c r="C167" s="224" t="s">
        <v>22277</v>
      </c>
      <c r="D167" s="211" t="s">
        <v>16</v>
      </c>
      <c r="E167" s="211">
        <v>60</v>
      </c>
      <c r="F167" s="211"/>
      <c r="G167" s="211">
        <v>0.3</v>
      </c>
      <c r="H167" s="212"/>
      <c r="I167" s="213"/>
      <c r="J167" s="272">
        <v>144.94999999999999</v>
      </c>
      <c r="K167" s="112">
        <f t="shared" si="17"/>
        <v>8697</v>
      </c>
      <c r="L167" s="273">
        <f>BDI!$E$17</f>
        <v>0.11260000000000001</v>
      </c>
      <c r="M167" s="213"/>
      <c r="N167" s="213"/>
      <c r="O167" s="114">
        <f t="shared" si="18"/>
        <v>161.27000000000001</v>
      </c>
      <c r="P167" s="113">
        <f t="shared" si="19"/>
        <v>2902.86</v>
      </c>
      <c r="Q167" s="209"/>
      <c r="R167" s="203"/>
      <c r="S167" s="182"/>
      <c r="T167" s="182"/>
      <c r="U167" s="182"/>
      <c r="V167" s="182"/>
      <c r="W167" s="182"/>
      <c r="X167" s="182"/>
      <c r="Y167" s="182"/>
      <c r="Z167" s="182"/>
      <c r="AA167" s="182"/>
      <c r="AB167" s="182"/>
      <c r="AC167" s="182"/>
      <c r="AD167" s="182"/>
      <c r="AE167" s="182"/>
      <c r="AF167" s="182"/>
      <c r="AG167" s="182"/>
      <c r="AH167" s="182"/>
      <c r="AI167" s="182"/>
      <c r="AJ167" s="182"/>
      <c r="AK167" s="182"/>
      <c r="AL167" s="182"/>
      <c r="AM167" s="182"/>
      <c r="AN167" s="182"/>
      <c r="AO167" s="182"/>
      <c r="AP167" s="182"/>
      <c r="AQ167" s="182"/>
      <c r="AR167" s="182"/>
      <c r="AS167" s="182"/>
      <c r="AT167" s="182"/>
      <c r="AU167" s="182"/>
      <c r="AV167" s="182"/>
      <c r="AW167" s="182"/>
      <c r="AX167" s="182"/>
      <c r="AY167" s="182"/>
      <c r="AZ167" s="182"/>
      <c r="BA167" s="182"/>
      <c r="BB167" s="182"/>
      <c r="BC167" s="182"/>
      <c r="BD167" s="182"/>
      <c r="BE167" s="182"/>
      <c r="BF167" s="182"/>
      <c r="BG167" s="182"/>
      <c r="BH167" s="182"/>
      <c r="BI167" s="182"/>
      <c r="BJ167" s="182"/>
      <c r="BK167" s="182"/>
      <c r="BL167" s="182"/>
      <c r="BM167" s="182"/>
      <c r="BN167" s="182"/>
      <c r="BO167" s="182"/>
      <c r="BP167" s="182"/>
      <c r="BQ167" s="182"/>
      <c r="BR167" s="182"/>
      <c r="BS167" s="182"/>
      <c r="BT167" s="182"/>
      <c r="BU167" s="182"/>
      <c r="BV167" s="182"/>
      <c r="BW167" s="182"/>
      <c r="BX167" s="182"/>
      <c r="BY167" s="182"/>
      <c r="BZ167" s="182"/>
      <c r="CA167" s="182"/>
      <c r="CB167" s="182"/>
      <c r="CC167" s="182"/>
      <c r="CD167" s="182"/>
      <c r="CE167" s="182"/>
      <c r="CF167" s="182"/>
      <c r="CG167" s="182"/>
      <c r="CH167" s="182"/>
      <c r="CI167" s="182"/>
      <c r="CJ167" s="182"/>
      <c r="CK167" s="182"/>
      <c r="CL167" s="182"/>
      <c r="CM167" s="182"/>
      <c r="CN167" s="182"/>
      <c r="CO167" s="182"/>
      <c r="CP167" s="182"/>
      <c r="CQ167" s="182"/>
      <c r="CR167" s="182"/>
      <c r="CS167" s="182"/>
      <c r="CT167" s="182"/>
      <c r="CU167" s="182"/>
      <c r="CV167" s="182"/>
      <c r="CW167" s="182"/>
      <c r="CX167" s="182"/>
      <c r="CY167" s="182"/>
      <c r="CZ167" s="182"/>
      <c r="DA167" s="182"/>
      <c r="DB167" s="182"/>
      <c r="DC167" s="182"/>
      <c r="DD167" s="182"/>
      <c r="DE167" s="182"/>
      <c r="DF167" s="182"/>
      <c r="DG167" s="182"/>
      <c r="DH167" s="182"/>
      <c r="DI167" s="182"/>
      <c r="DJ167" s="182"/>
      <c r="DK167" s="182"/>
      <c r="DL167" s="182"/>
      <c r="DM167" s="182"/>
      <c r="DN167" s="182"/>
      <c r="DO167" s="182"/>
      <c r="DP167" s="182"/>
      <c r="DQ167" s="182"/>
      <c r="DR167" s="182"/>
      <c r="DS167" s="182"/>
      <c r="DT167" s="182"/>
      <c r="DU167" s="182"/>
      <c r="DV167" s="182"/>
      <c r="DW167" s="182"/>
      <c r="DX167" s="182"/>
      <c r="DY167" s="182"/>
      <c r="DZ167" s="182"/>
      <c r="EA167" s="182"/>
      <c r="EB167" s="182"/>
      <c r="EC167" s="182"/>
      <c r="ED167" s="182"/>
      <c r="EE167" s="182"/>
      <c r="EF167" s="182"/>
      <c r="EG167" s="182"/>
      <c r="EH167" s="182"/>
      <c r="EI167" s="182"/>
      <c r="EJ167" s="182"/>
      <c r="EK167" s="182"/>
      <c r="EL167" s="182"/>
      <c r="EM167" s="182"/>
      <c r="EN167" s="182"/>
      <c r="EO167" s="182"/>
      <c r="EP167" s="182"/>
      <c r="EQ167" s="182"/>
      <c r="ER167" s="182"/>
      <c r="ES167" s="182"/>
      <c r="ET167" s="182"/>
      <c r="EU167" s="182"/>
      <c r="EV167" s="182"/>
      <c r="EW167" s="182"/>
      <c r="EX167" s="182"/>
      <c r="EY167" s="182"/>
      <c r="EZ167" s="182"/>
      <c r="FA167" s="182"/>
      <c r="FB167" s="182"/>
      <c r="FC167" s="182"/>
      <c r="FD167" s="182"/>
      <c r="FE167" s="182"/>
      <c r="FF167" s="182"/>
      <c r="FG167" s="182"/>
      <c r="FH167" s="182"/>
      <c r="FI167" s="182"/>
      <c r="FJ167" s="182"/>
      <c r="FK167" s="182"/>
      <c r="FL167" s="182"/>
      <c r="FM167" s="182"/>
      <c r="FN167" s="182"/>
      <c r="FO167" s="182"/>
      <c r="FP167" s="182"/>
      <c r="FQ167" s="182"/>
      <c r="FR167" s="182"/>
      <c r="FS167" s="182"/>
      <c r="FT167" s="182"/>
      <c r="FU167" s="182"/>
      <c r="FV167" s="182"/>
      <c r="FW167" s="182"/>
      <c r="FX167" s="182"/>
      <c r="FY167" s="182"/>
      <c r="FZ167" s="182"/>
      <c r="GA167" s="182"/>
      <c r="GB167" s="182"/>
      <c r="GC167" s="182"/>
      <c r="GD167" s="182"/>
      <c r="GE167" s="182"/>
      <c r="GF167" s="182"/>
      <c r="GG167" s="182"/>
      <c r="GH167" s="182"/>
      <c r="GI167" s="182"/>
    </row>
    <row r="168" spans="1:191" s="183" customFormat="1" x14ac:dyDescent="0.2">
      <c r="A168" s="210" t="s">
        <v>38473</v>
      </c>
      <c r="B168" s="210" t="s">
        <v>19016</v>
      </c>
      <c r="C168" s="224" t="s">
        <v>22278</v>
      </c>
      <c r="D168" s="211" t="s">
        <v>16</v>
      </c>
      <c r="E168" s="211">
        <v>3</v>
      </c>
      <c r="F168" s="211"/>
      <c r="G168" s="211">
        <v>0.3</v>
      </c>
      <c r="H168" s="212"/>
      <c r="I168" s="213"/>
      <c r="J168" s="272">
        <v>4643.3999999999996</v>
      </c>
      <c r="K168" s="112">
        <f t="shared" si="17"/>
        <v>13930.2</v>
      </c>
      <c r="L168" s="273">
        <f>BDI!$E$17</f>
        <v>0.11260000000000001</v>
      </c>
      <c r="M168" s="213"/>
      <c r="N168" s="213"/>
      <c r="O168" s="114">
        <f t="shared" si="18"/>
        <v>5166.25</v>
      </c>
      <c r="P168" s="113">
        <f t="shared" si="19"/>
        <v>4649.63</v>
      </c>
      <c r="Q168" s="209"/>
      <c r="R168" s="203"/>
      <c r="S168" s="182"/>
      <c r="T168" s="182"/>
      <c r="U168" s="182"/>
      <c r="V168" s="182"/>
      <c r="W168" s="182"/>
      <c r="X168" s="182"/>
      <c r="Y168" s="182"/>
      <c r="Z168" s="182"/>
      <c r="AA168" s="182"/>
      <c r="AB168" s="182"/>
      <c r="AC168" s="182"/>
      <c r="AD168" s="182"/>
      <c r="AE168" s="182"/>
      <c r="AF168" s="182"/>
      <c r="AG168" s="182"/>
      <c r="AH168" s="182"/>
      <c r="AI168" s="182"/>
      <c r="AJ168" s="182"/>
      <c r="AK168" s="182"/>
      <c r="AL168" s="182"/>
      <c r="AM168" s="182"/>
      <c r="AN168" s="182"/>
      <c r="AO168" s="182"/>
      <c r="AP168" s="182"/>
      <c r="AQ168" s="182"/>
      <c r="AR168" s="182"/>
      <c r="AS168" s="182"/>
      <c r="AT168" s="182"/>
      <c r="AU168" s="182"/>
      <c r="AV168" s="182"/>
      <c r="AW168" s="182"/>
      <c r="AX168" s="182"/>
      <c r="AY168" s="182"/>
      <c r="AZ168" s="182"/>
      <c r="BA168" s="182"/>
      <c r="BB168" s="182"/>
      <c r="BC168" s="182"/>
      <c r="BD168" s="182"/>
      <c r="BE168" s="182"/>
      <c r="BF168" s="182"/>
      <c r="BG168" s="182"/>
      <c r="BH168" s="182"/>
      <c r="BI168" s="182"/>
      <c r="BJ168" s="182"/>
      <c r="BK168" s="182"/>
      <c r="BL168" s="182"/>
      <c r="BM168" s="182"/>
      <c r="BN168" s="182"/>
      <c r="BO168" s="182"/>
      <c r="BP168" s="182"/>
      <c r="BQ168" s="182"/>
      <c r="BR168" s="182"/>
      <c r="BS168" s="182"/>
      <c r="BT168" s="182"/>
      <c r="BU168" s="182"/>
      <c r="BV168" s="182"/>
      <c r="BW168" s="182"/>
      <c r="BX168" s="182"/>
      <c r="BY168" s="182"/>
      <c r="BZ168" s="182"/>
      <c r="CA168" s="182"/>
      <c r="CB168" s="182"/>
      <c r="CC168" s="182"/>
      <c r="CD168" s="182"/>
      <c r="CE168" s="182"/>
      <c r="CF168" s="182"/>
      <c r="CG168" s="182"/>
      <c r="CH168" s="182"/>
      <c r="CI168" s="182"/>
      <c r="CJ168" s="182"/>
      <c r="CK168" s="182"/>
      <c r="CL168" s="182"/>
      <c r="CM168" s="182"/>
      <c r="CN168" s="182"/>
      <c r="CO168" s="182"/>
      <c r="CP168" s="182"/>
      <c r="CQ168" s="182"/>
      <c r="CR168" s="182"/>
      <c r="CS168" s="182"/>
      <c r="CT168" s="182"/>
      <c r="CU168" s="182"/>
      <c r="CV168" s="182"/>
      <c r="CW168" s="182"/>
      <c r="CX168" s="182"/>
      <c r="CY168" s="182"/>
      <c r="CZ168" s="182"/>
      <c r="DA168" s="182"/>
      <c r="DB168" s="182"/>
      <c r="DC168" s="182"/>
      <c r="DD168" s="182"/>
      <c r="DE168" s="182"/>
      <c r="DF168" s="182"/>
      <c r="DG168" s="182"/>
      <c r="DH168" s="182"/>
      <c r="DI168" s="182"/>
      <c r="DJ168" s="182"/>
      <c r="DK168" s="182"/>
      <c r="DL168" s="182"/>
      <c r="DM168" s="182"/>
      <c r="DN168" s="182"/>
      <c r="DO168" s="182"/>
      <c r="DP168" s="182"/>
      <c r="DQ168" s="182"/>
      <c r="DR168" s="182"/>
      <c r="DS168" s="182"/>
      <c r="DT168" s="182"/>
      <c r="DU168" s="182"/>
      <c r="DV168" s="182"/>
      <c r="DW168" s="182"/>
      <c r="DX168" s="182"/>
      <c r="DY168" s="182"/>
      <c r="DZ168" s="182"/>
      <c r="EA168" s="182"/>
      <c r="EB168" s="182"/>
      <c r="EC168" s="182"/>
      <c r="ED168" s="182"/>
      <c r="EE168" s="182"/>
      <c r="EF168" s="182"/>
      <c r="EG168" s="182"/>
      <c r="EH168" s="182"/>
      <c r="EI168" s="182"/>
      <c r="EJ168" s="182"/>
      <c r="EK168" s="182"/>
      <c r="EL168" s="182"/>
      <c r="EM168" s="182"/>
      <c r="EN168" s="182"/>
      <c r="EO168" s="182"/>
      <c r="EP168" s="182"/>
      <c r="EQ168" s="182"/>
      <c r="ER168" s="182"/>
      <c r="ES168" s="182"/>
      <c r="ET168" s="182"/>
      <c r="EU168" s="182"/>
      <c r="EV168" s="182"/>
      <c r="EW168" s="182"/>
      <c r="EX168" s="182"/>
      <c r="EY168" s="182"/>
      <c r="EZ168" s="182"/>
      <c r="FA168" s="182"/>
      <c r="FB168" s="182"/>
      <c r="FC168" s="182"/>
      <c r="FD168" s="182"/>
      <c r="FE168" s="182"/>
      <c r="FF168" s="182"/>
      <c r="FG168" s="182"/>
      <c r="FH168" s="182"/>
      <c r="FI168" s="182"/>
      <c r="FJ168" s="182"/>
      <c r="FK168" s="182"/>
      <c r="FL168" s="182"/>
      <c r="FM168" s="182"/>
      <c r="FN168" s="182"/>
      <c r="FO168" s="182"/>
      <c r="FP168" s="182"/>
      <c r="FQ168" s="182"/>
      <c r="FR168" s="182"/>
      <c r="FS168" s="182"/>
      <c r="FT168" s="182"/>
      <c r="FU168" s="182"/>
      <c r="FV168" s="182"/>
      <c r="FW168" s="182"/>
      <c r="FX168" s="182"/>
      <c r="FY168" s="182"/>
      <c r="FZ168" s="182"/>
      <c r="GA168" s="182"/>
      <c r="GB168" s="182"/>
      <c r="GC168" s="182"/>
      <c r="GD168" s="182"/>
      <c r="GE168" s="182"/>
      <c r="GF168" s="182"/>
      <c r="GG168" s="182"/>
      <c r="GH168" s="182"/>
      <c r="GI168" s="182"/>
    </row>
    <row r="169" spans="1:191" s="183" customFormat="1" x14ac:dyDescent="0.2">
      <c r="A169" s="210" t="s">
        <v>38474</v>
      </c>
      <c r="B169" s="210" t="s">
        <v>19017</v>
      </c>
      <c r="C169" s="224" t="s">
        <v>22279</v>
      </c>
      <c r="D169" s="211" t="s">
        <v>16</v>
      </c>
      <c r="E169" s="211">
        <v>6</v>
      </c>
      <c r="F169" s="211"/>
      <c r="G169" s="211">
        <v>0.3</v>
      </c>
      <c r="H169" s="212"/>
      <c r="I169" s="213"/>
      <c r="J169" s="272">
        <v>8954.69</v>
      </c>
      <c r="K169" s="112">
        <f t="shared" si="17"/>
        <v>53728.14</v>
      </c>
      <c r="L169" s="273">
        <f>BDI!$E$17</f>
        <v>0.11260000000000001</v>
      </c>
      <c r="M169" s="213"/>
      <c r="N169" s="213"/>
      <c r="O169" s="114">
        <f t="shared" si="18"/>
        <v>9962.99</v>
      </c>
      <c r="P169" s="113">
        <f t="shared" si="19"/>
        <v>17933.38</v>
      </c>
      <c r="Q169" s="209"/>
      <c r="R169" s="203"/>
      <c r="S169" s="182"/>
      <c r="T169" s="182"/>
      <c r="U169" s="182"/>
      <c r="V169" s="182"/>
      <c r="W169" s="182"/>
      <c r="X169" s="182"/>
      <c r="Y169" s="182"/>
      <c r="Z169" s="182"/>
      <c r="AA169" s="182"/>
      <c r="AB169" s="182"/>
      <c r="AC169" s="182"/>
      <c r="AD169" s="182"/>
      <c r="AE169" s="182"/>
      <c r="AF169" s="182"/>
      <c r="AG169" s="182"/>
      <c r="AH169" s="182"/>
      <c r="AI169" s="182"/>
      <c r="AJ169" s="182"/>
      <c r="AK169" s="182"/>
      <c r="AL169" s="182"/>
      <c r="AM169" s="182"/>
      <c r="AN169" s="182"/>
      <c r="AO169" s="182"/>
      <c r="AP169" s="182"/>
      <c r="AQ169" s="182"/>
      <c r="AR169" s="182"/>
      <c r="AS169" s="182"/>
      <c r="AT169" s="182"/>
      <c r="AU169" s="182"/>
      <c r="AV169" s="182"/>
      <c r="AW169" s="182"/>
      <c r="AX169" s="182"/>
      <c r="AY169" s="182"/>
      <c r="AZ169" s="182"/>
      <c r="BA169" s="182"/>
      <c r="BB169" s="182"/>
      <c r="BC169" s="182"/>
      <c r="BD169" s="182"/>
      <c r="BE169" s="182"/>
      <c r="BF169" s="182"/>
      <c r="BG169" s="182"/>
      <c r="BH169" s="182"/>
      <c r="BI169" s="182"/>
      <c r="BJ169" s="182"/>
      <c r="BK169" s="182"/>
      <c r="BL169" s="182"/>
      <c r="BM169" s="182"/>
      <c r="BN169" s="182"/>
      <c r="BO169" s="182"/>
      <c r="BP169" s="182"/>
      <c r="BQ169" s="182"/>
      <c r="BR169" s="182"/>
      <c r="BS169" s="182"/>
      <c r="BT169" s="182"/>
      <c r="BU169" s="182"/>
      <c r="BV169" s="182"/>
      <c r="BW169" s="182"/>
      <c r="BX169" s="182"/>
      <c r="BY169" s="182"/>
      <c r="BZ169" s="182"/>
      <c r="CA169" s="182"/>
      <c r="CB169" s="182"/>
      <c r="CC169" s="182"/>
      <c r="CD169" s="182"/>
      <c r="CE169" s="182"/>
      <c r="CF169" s="182"/>
      <c r="CG169" s="182"/>
      <c r="CH169" s="182"/>
      <c r="CI169" s="182"/>
      <c r="CJ169" s="182"/>
      <c r="CK169" s="182"/>
      <c r="CL169" s="182"/>
      <c r="CM169" s="182"/>
      <c r="CN169" s="182"/>
      <c r="CO169" s="182"/>
      <c r="CP169" s="182"/>
      <c r="CQ169" s="182"/>
      <c r="CR169" s="182"/>
      <c r="CS169" s="182"/>
      <c r="CT169" s="182"/>
      <c r="CU169" s="182"/>
      <c r="CV169" s="182"/>
      <c r="CW169" s="182"/>
      <c r="CX169" s="182"/>
      <c r="CY169" s="182"/>
      <c r="CZ169" s="182"/>
      <c r="DA169" s="182"/>
      <c r="DB169" s="182"/>
      <c r="DC169" s="182"/>
      <c r="DD169" s="182"/>
      <c r="DE169" s="182"/>
      <c r="DF169" s="182"/>
      <c r="DG169" s="182"/>
      <c r="DH169" s="182"/>
      <c r="DI169" s="182"/>
      <c r="DJ169" s="182"/>
      <c r="DK169" s="182"/>
      <c r="DL169" s="182"/>
      <c r="DM169" s="182"/>
      <c r="DN169" s="182"/>
      <c r="DO169" s="182"/>
      <c r="DP169" s="182"/>
      <c r="DQ169" s="182"/>
      <c r="DR169" s="182"/>
      <c r="DS169" s="182"/>
      <c r="DT169" s="182"/>
      <c r="DU169" s="182"/>
      <c r="DV169" s="182"/>
      <c r="DW169" s="182"/>
      <c r="DX169" s="182"/>
      <c r="DY169" s="182"/>
      <c r="DZ169" s="182"/>
      <c r="EA169" s="182"/>
      <c r="EB169" s="182"/>
      <c r="EC169" s="182"/>
      <c r="ED169" s="182"/>
      <c r="EE169" s="182"/>
      <c r="EF169" s="182"/>
      <c r="EG169" s="182"/>
      <c r="EH169" s="182"/>
      <c r="EI169" s="182"/>
      <c r="EJ169" s="182"/>
      <c r="EK169" s="182"/>
      <c r="EL169" s="182"/>
      <c r="EM169" s="182"/>
      <c r="EN169" s="182"/>
      <c r="EO169" s="182"/>
      <c r="EP169" s="182"/>
      <c r="EQ169" s="182"/>
      <c r="ER169" s="182"/>
      <c r="ES169" s="182"/>
      <c r="ET169" s="182"/>
      <c r="EU169" s="182"/>
      <c r="EV169" s="182"/>
      <c r="EW169" s="182"/>
      <c r="EX169" s="182"/>
      <c r="EY169" s="182"/>
      <c r="EZ169" s="182"/>
      <c r="FA169" s="182"/>
      <c r="FB169" s="182"/>
      <c r="FC169" s="182"/>
      <c r="FD169" s="182"/>
      <c r="FE169" s="182"/>
      <c r="FF169" s="182"/>
      <c r="FG169" s="182"/>
      <c r="FH169" s="182"/>
      <c r="FI169" s="182"/>
      <c r="FJ169" s="182"/>
      <c r="FK169" s="182"/>
      <c r="FL169" s="182"/>
      <c r="FM169" s="182"/>
      <c r="FN169" s="182"/>
      <c r="FO169" s="182"/>
      <c r="FP169" s="182"/>
      <c r="FQ169" s="182"/>
      <c r="FR169" s="182"/>
      <c r="FS169" s="182"/>
      <c r="FT169" s="182"/>
      <c r="FU169" s="182"/>
      <c r="FV169" s="182"/>
      <c r="FW169" s="182"/>
      <c r="FX169" s="182"/>
      <c r="FY169" s="182"/>
      <c r="FZ169" s="182"/>
      <c r="GA169" s="182"/>
      <c r="GB169" s="182"/>
      <c r="GC169" s="182"/>
      <c r="GD169" s="182"/>
      <c r="GE169" s="182"/>
      <c r="GF169" s="182"/>
      <c r="GG169" s="182"/>
      <c r="GH169" s="182"/>
      <c r="GI169" s="182"/>
    </row>
    <row r="170" spans="1:191" s="183" customFormat="1" ht="25.5" x14ac:dyDescent="0.2">
      <c r="A170" s="210" t="s">
        <v>38475</v>
      </c>
      <c r="B170" s="210" t="s">
        <v>19018</v>
      </c>
      <c r="C170" s="224" t="s">
        <v>22280</v>
      </c>
      <c r="D170" s="211" t="s">
        <v>16</v>
      </c>
      <c r="E170" s="211">
        <v>4</v>
      </c>
      <c r="F170" s="211"/>
      <c r="G170" s="211">
        <v>0.3</v>
      </c>
      <c r="H170" s="212"/>
      <c r="I170" s="213"/>
      <c r="J170" s="272">
        <v>18157.63</v>
      </c>
      <c r="K170" s="112">
        <f t="shared" si="17"/>
        <v>72630.52</v>
      </c>
      <c r="L170" s="273">
        <f>BDI!$E$17</f>
        <v>0.11260000000000001</v>
      </c>
      <c r="M170" s="213"/>
      <c r="N170" s="213"/>
      <c r="O170" s="114">
        <f t="shared" si="18"/>
        <v>20202.18</v>
      </c>
      <c r="P170" s="113">
        <f t="shared" si="19"/>
        <v>24242.62</v>
      </c>
      <c r="Q170" s="209"/>
      <c r="R170" s="203"/>
      <c r="S170" s="182"/>
      <c r="T170" s="182"/>
      <c r="U170" s="182"/>
      <c r="V170" s="182"/>
      <c r="W170" s="182"/>
      <c r="X170" s="182"/>
      <c r="Y170" s="182"/>
      <c r="Z170" s="182"/>
      <c r="AA170" s="182"/>
      <c r="AB170" s="182"/>
      <c r="AC170" s="182"/>
      <c r="AD170" s="182"/>
      <c r="AE170" s="182"/>
      <c r="AF170" s="182"/>
      <c r="AG170" s="182"/>
      <c r="AH170" s="182"/>
      <c r="AI170" s="182"/>
      <c r="AJ170" s="182"/>
      <c r="AK170" s="182"/>
      <c r="AL170" s="182"/>
      <c r="AM170" s="182"/>
      <c r="AN170" s="182"/>
      <c r="AO170" s="182"/>
      <c r="AP170" s="182"/>
      <c r="AQ170" s="182"/>
      <c r="AR170" s="182"/>
      <c r="AS170" s="182"/>
      <c r="AT170" s="182"/>
      <c r="AU170" s="182"/>
      <c r="AV170" s="182"/>
      <c r="AW170" s="182"/>
      <c r="AX170" s="182"/>
      <c r="AY170" s="182"/>
      <c r="AZ170" s="182"/>
      <c r="BA170" s="182"/>
      <c r="BB170" s="182"/>
      <c r="BC170" s="182"/>
      <c r="BD170" s="182"/>
      <c r="BE170" s="182"/>
      <c r="BF170" s="182"/>
      <c r="BG170" s="182"/>
      <c r="BH170" s="182"/>
      <c r="BI170" s="182"/>
      <c r="BJ170" s="182"/>
      <c r="BK170" s="182"/>
      <c r="BL170" s="182"/>
      <c r="BM170" s="182"/>
      <c r="BN170" s="182"/>
      <c r="BO170" s="182"/>
      <c r="BP170" s="182"/>
      <c r="BQ170" s="182"/>
      <c r="BR170" s="182"/>
      <c r="BS170" s="182"/>
      <c r="BT170" s="182"/>
      <c r="BU170" s="182"/>
      <c r="BV170" s="182"/>
      <c r="BW170" s="182"/>
      <c r="BX170" s="182"/>
      <c r="BY170" s="182"/>
      <c r="BZ170" s="182"/>
      <c r="CA170" s="182"/>
      <c r="CB170" s="182"/>
      <c r="CC170" s="182"/>
      <c r="CD170" s="182"/>
      <c r="CE170" s="182"/>
      <c r="CF170" s="182"/>
      <c r="CG170" s="182"/>
      <c r="CH170" s="182"/>
      <c r="CI170" s="182"/>
      <c r="CJ170" s="182"/>
      <c r="CK170" s="182"/>
      <c r="CL170" s="182"/>
      <c r="CM170" s="182"/>
      <c r="CN170" s="182"/>
      <c r="CO170" s="182"/>
      <c r="CP170" s="182"/>
      <c r="CQ170" s="182"/>
      <c r="CR170" s="182"/>
      <c r="CS170" s="182"/>
      <c r="CT170" s="182"/>
      <c r="CU170" s="182"/>
      <c r="CV170" s="182"/>
      <c r="CW170" s="182"/>
      <c r="CX170" s="182"/>
      <c r="CY170" s="182"/>
      <c r="CZ170" s="182"/>
      <c r="DA170" s="182"/>
      <c r="DB170" s="182"/>
      <c r="DC170" s="182"/>
      <c r="DD170" s="182"/>
      <c r="DE170" s="182"/>
      <c r="DF170" s="182"/>
      <c r="DG170" s="182"/>
      <c r="DH170" s="182"/>
      <c r="DI170" s="182"/>
      <c r="DJ170" s="182"/>
      <c r="DK170" s="182"/>
      <c r="DL170" s="182"/>
      <c r="DM170" s="182"/>
      <c r="DN170" s="182"/>
      <c r="DO170" s="182"/>
      <c r="DP170" s="182"/>
      <c r="DQ170" s="182"/>
      <c r="DR170" s="182"/>
      <c r="DS170" s="182"/>
      <c r="DT170" s="182"/>
      <c r="DU170" s="182"/>
      <c r="DV170" s="182"/>
      <c r="DW170" s="182"/>
      <c r="DX170" s="182"/>
      <c r="DY170" s="182"/>
      <c r="DZ170" s="182"/>
      <c r="EA170" s="182"/>
      <c r="EB170" s="182"/>
      <c r="EC170" s="182"/>
      <c r="ED170" s="182"/>
      <c r="EE170" s="182"/>
      <c r="EF170" s="182"/>
      <c r="EG170" s="182"/>
      <c r="EH170" s="182"/>
      <c r="EI170" s="182"/>
      <c r="EJ170" s="182"/>
      <c r="EK170" s="182"/>
      <c r="EL170" s="182"/>
      <c r="EM170" s="182"/>
      <c r="EN170" s="182"/>
      <c r="EO170" s="182"/>
      <c r="EP170" s="182"/>
      <c r="EQ170" s="182"/>
      <c r="ER170" s="182"/>
      <c r="ES170" s="182"/>
      <c r="ET170" s="182"/>
      <c r="EU170" s="182"/>
      <c r="EV170" s="182"/>
      <c r="EW170" s="182"/>
      <c r="EX170" s="182"/>
      <c r="EY170" s="182"/>
      <c r="EZ170" s="182"/>
      <c r="FA170" s="182"/>
      <c r="FB170" s="182"/>
      <c r="FC170" s="182"/>
      <c r="FD170" s="182"/>
      <c r="FE170" s="182"/>
      <c r="FF170" s="182"/>
      <c r="FG170" s="182"/>
      <c r="FH170" s="182"/>
      <c r="FI170" s="182"/>
      <c r="FJ170" s="182"/>
      <c r="FK170" s="182"/>
      <c r="FL170" s="182"/>
      <c r="FM170" s="182"/>
      <c r="FN170" s="182"/>
      <c r="FO170" s="182"/>
      <c r="FP170" s="182"/>
      <c r="FQ170" s="182"/>
      <c r="FR170" s="182"/>
      <c r="FS170" s="182"/>
      <c r="FT170" s="182"/>
      <c r="FU170" s="182"/>
      <c r="FV170" s="182"/>
      <c r="FW170" s="182"/>
      <c r="FX170" s="182"/>
      <c r="FY170" s="182"/>
      <c r="FZ170" s="182"/>
      <c r="GA170" s="182"/>
      <c r="GB170" s="182"/>
      <c r="GC170" s="182"/>
      <c r="GD170" s="182"/>
      <c r="GE170" s="182"/>
      <c r="GF170" s="182"/>
      <c r="GG170" s="182"/>
      <c r="GH170" s="182"/>
      <c r="GI170" s="182"/>
    </row>
    <row r="171" spans="1:191" s="183" customFormat="1" x14ac:dyDescent="0.2">
      <c r="A171" s="210" t="s">
        <v>38476</v>
      </c>
      <c r="B171" s="210" t="s">
        <v>19019</v>
      </c>
      <c r="C171" s="224" t="s">
        <v>22281</v>
      </c>
      <c r="D171" s="211" t="s">
        <v>16</v>
      </c>
      <c r="E171" s="211">
        <v>15</v>
      </c>
      <c r="F171" s="211"/>
      <c r="G171" s="211">
        <v>0.3</v>
      </c>
      <c r="H171" s="212"/>
      <c r="I171" s="213"/>
      <c r="J171" s="272">
        <v>149.58000000000001</v>
      </c>
      <c r="K171" s="112">
        <f t="shared" si="17"/>
        <v>2243.6999999999998</v>
      </c>
      <c r="L171" s="273">
        <f>BDI!$E$17</f>
        <v>0.11260000000000001</v>
      </c>
      <c r="M171" s="213"/>
      <c r="N171" s="213"/>
      <c r="O171" s="114">
        <f t="shared" si="18"/>
        <v>166.42</v>
      </c>
      <c r="P171" s="113">
        <f t="shared" si="19"/>
        <v>748.89</v>
      </c>
      <c r="Q171" s="209"/>
      <c r="R171" s="203"/>
      <c r="S171" s="182"/>
      <c r="T171" s="182"/>
      <c r="U171" s="182"/>
      <c r="V171" s="182"/>
      <c r="W171" s="182"/>
      <c r="X171" s="182"/>
      <c r="Y171" s="182"/>
      <c r="Z171" s="182"/>
      <c r="AA171" s="182"/>
      <c r="AB171" s="182"/>
      <c r="AC171" s="182"/>
      <c r="AD171" s="182"/>
      <c r="AE171" s="182"/>
      <c r="AF171" s="182"/>
      <c r="AG171" s="182"/>
      <c r="AH171" s="182"/>
      <c r="AI171" s="182"/>
      <c r="AJ171" s="182"/>
      <c r="AK171" s="182"/>
      <c r="AL171" s="182"/>
      <c r="AM171" s="182"/>
      <c r="AN171" s="182"/>
      <c r="AO171" s="182"/>
      <c r="AP171" s="182"/>
      <c r="AQ171" s="182"/>
      <c r="AR171" s="182"/>
      <c r="AS171" s="182"/>
      <c r="AT171" s="182"/>
      <c r="AU171" s="182"/>
      <c r="AV171" s="182"/>
      <c r="AW171" s="182"/>
      <c r="AX171" s="182"/>
      <c r="AY171" s="182"/>
      <c r="AZ171" s="182"/>
      <c r="BA171" s="182"/>
      <c r="BB171" s="182"/>
      <c r="BC171" s="182"/>
      <c r="BD171" s="182"/>
      <c r="BE171" s="182"/>
      <c r="BF171" s="182"/>
      <c r="BG171" s="182"/>
      <c r="BH171" s="182"/>
      <c r="BI171" s="182"/>
      <c r="BJ171" s="182"/>
      <c r="BK171" s="182"/>
      <c r="BL171" s="182"/>
      <c r="BM171" s="182"/>
      <c r="BN171" s="182"/>
      <c r="BO171" s="182"/>
      <c r="BP171" s="182"/>
      <c r="BQ171" s="182"/>
      <c r="BR171" s="182"/>
      <c r="BS171" s="182"/>
      <c r="BT171" s="182"/>
      <c r="BU171" s="182"/>
      <c r="BV171" s="182"/>
      <c r="BW171" s="182"/>
      <c r="BX171" s="182"/>
      <c r="BY171" s="182"/>
      <c r="BZ171" s="182"/>
      <c r="CA171" s="182"/>
      <c r="CB171" s="182"/>
      <c r="CC171" s="182"/>
      <c r="CD171" s="182"/>
      <c r="CE171" s="182"/>
      <c r="CF171" s="182"/>
      <c r="CG171" s="182"/>
      <c r="CH171" s="182"/>
      <c r="CI171" s="182"/>
      <c r="CJ171" s="182"/>
      <c r="CK171" s="182"/>
      <c r="CL171" s="182"/>
      <c r="CM171" s="182"/>
      <c r="CN171" s="182"/>
      <c r="CO171" s="182"/>
      <c r="CP171" s="182"/>
      <c r="CQ171" s="182"/>
      <c r="CR171" s="182"/>
      <c r="CS171" s="182"/>
      <c r="CT171" s="182"/>
      <c r="CU171" s="182"/>
      <c r="CV171" s="182"/>
      <c r="CW171" s="182"/>
      <c r="CX171" s="182"/>
      <c r="CY171" s="182"/>
      <c r="CZ171" s="182"/>
      <c r="DA171" s="182"/>
      <c r="DB171" s="182"/>
      <c r="DC171" s="182"/>
      <c r="DD171" s="182"/>
      <c r="DE171" s="182"/>
      <c r="DF171" s="182"/>
      <c r="DG171" s="182"/>
      <c r="DH171" s="182"/>
      <c r="DI171" s="182"/>
      <c r="DJ171" s="182"/>
      <c r="DK171" s="182"/>
      <c r="DL171" s="182"/>
      <c r="DM171" s="182"/>
      <c r="DN171" s="182"/>
      <c r="DO171" s="182"/>
      <c r="DP171" s="182"/>
      <c r="DQ171" s="182"/>
      <c r="DR171" s="182"/>
      <c r="DS171" s="182"/>
      <c r="DT171" s="182"/>
      <c r="DU171" s="182"/>
      <c r="DV171" s="182"/>
      <c r="DW171" s="182"/>
      <c r="DX171" s="182"/>
      <c r="DY171" s="182"/>
      <c r="DZ171" s="182"/>
      <c r="EA171" s="182"/>
      <c r="EB171" s="182"/>
      <c r="EC171" s="182"/>
      <c r="ED171" s="182"/>
      <c r="EE171" s="182"/>
      <c r="EF171" s="182"/>
      <c r="EG171" s="182"/>
      <c r="EH171" s="182"/>
      <c r="EI171" s="182"/>
      <c r="EJ171" s="182"/>
      <c r="EK171" s="182"/>
      <c r="EL171" s="182"/>
      <c r="EM171" s="182"/>
      <c r="EN171" s="182"/>
      <c r="EO171" s="182"/>
      <c r="EP171" s="182"/>
      <c r="EQ171" s="182"/>
      <c r="ER171" s="182"/>
      <c r="ES171" s="182"/>
      <c r="ET171" s="182"/>
      <c r="EU171" s="182"/>
      <c r="EV171" s="182"/>
      <c r="EW171" s="182"/>
      <c r="EX171" s="182"/>
      <c r="EY171" s="182"/>
      <c r="EZ171" s="182"/>
      <c r="FA171" s="182"/>
      <c r="FB171" s="182"/>
      <c r="FC171" s="182"/>
      <c r="FD171" s="182"/>
      <c r="FE171" s="182"/>
      <c r="FF171" s="182"/>
      <c r="FG171" s="182"/>
      <c r="FH171" s="182"/>
      <c r="FI171" s="182"/>
      <c r="FJ171" s="182"/>
      <c r="FK171" s="182"/>
      <c r="FL171" s="182"/>
      <c r="FM171" s="182"/>
      <c r="FN171" s="182"/>
      <c r="FO171" s="182"/>
      <c r="FP171" s="182"/>
      <c r="FQ171" s="182"/>
      <c r="FR171" s="182"/>
      <c r="FS171" s="182"/>
      <c r="FT171" s="182"/>
      <c r="FU171" s="182"/>
      <c r="FV171" s="182"/>
      <c r="FW171" s="182"/>
      <c r="FX171" s="182"/>
      <c r="FY171" s="182"/>
      <c r="FZ171" s="182"/>
      <c r="GA171" s="182"/>
      <c r="GB171" s="182"/>
      <c r="GC171" s="182"/>
      <c r="GD171" s="182"/>
      <c r="GE171" s="182"/>
      <c r="GF171" s="182"/>
      <c r="GG171" s="182"/>
      <c r="GH171" s="182"/>
      <c r="GI171" s="182"/>
    </row>
    <row r="172" spans="1:191" s="183" customFormat="1" x14ac:dyDescent="0.2">
      <c r="A172" s="210" t="s">
        <v>38477</v>
      </c>
      <c r="B172" s="210" t="s">
        <v>19020</v>
      </c>
      <c r="C172" s="224" t="s">
        <v>22282</v>
      </c>
      <c r="D172" s="211" t="s">
        <v>16</v>
      </c>
      <c r="E172" s="211">
        <v>6</v>
      </c>
      <c r="F172" s="211"/>
      <c r="G172" s="211">
        <v>0.3</v>
      </c>
      <c r="H172" s="212"/>
      <c r="I172" s="213"/>
      <c r="J172" s="272">
        <v>760.23</v>
      </c>
      <c r="K172" s="112">
        <f t="shared" si="17"/>
        <v>4561.38</v>
      </c>
      <c r="L172" s="273">
        <f>BDI!$E$17</f>
        <v>0.11260000000000001</v>
      </c>
      <c r="M172" s="213"/>
      <c r="N172" s="213"/>
      <c r="O172" s="114">
        <f t="shared" si="18"/>
        <v>845.83</v>
      </c>
      <c r="P172" s="113">
        <f t="shared" si="19"/>
        <v>1522.49</v>
      </c>
      <c r="Q172" s="209"/>
      <c r="R172" s="203"/>
      <c r="S172" s="182"/>
      <c r="T172" s="182"/>
      <c r="U172" s="182"/>
      <c r="V172" s="182"/>
      <c r="W172" s="182"/>
      <c r="X172" s="182"/>
      <c r="Y172" s="182"/>
      <c r="Z172" s="182"/>
      <c r="AA172" s="182"/>
      <c r="AB172" s="182"/>
      <c r="AC172" s="182"/>
      <c r="AD172" s="182"/>
      <c r="AE172" s="182"/>
      <c r="AF172" s="182"/>
      <c r="AG172" s="182"/>
      <c r="AH172" s="182"/>
      <c r="AI172" s="182"/>
      <c r="AJ172" s="182"/>
      <c r="AK172" s="182"/>
      <c r="AL172" s="182"/>
      <c r="AM172" s="182"/>
      <c r="AN172" s="182"/>
      <c r="AO172" s="182"/>
      <c r="AP172" s="182"/>
      <c r="AQ172" s="182"/>
      <c r="AR172" s="182"/>
      <c r="AS172" s="182"/>
      <c r="AT172" s="182"/>
      <c r="AU172" s="182"/>
      <c r="AV172" s="182"/>
      <c r="AW172" s="182"/>
      <c r="AX172" s="182"/>
      <c r="AY172" s="182"/>
      <c r="AZ172" s="182"/>
      <c r="BA172" s="182"/>
      <c r="BB172" s="182"/>
      <c r="BC172" s="182"/>
      <c r="BD172" s="182"/>
      <c r="BE172" s="182"/>
      <c r="BF172" s="182"/>
      <c r="BG172" s="182"/>
      <c r="BH172" s="182"/>
      <c r="BI172" s="182"/>
      <c r="BJ172" s="182"/>
      <c r="BK172" s="182"/>
      <c r="BL172" s="182"/>
      <c r="BM172" s="182"/>
      <c r="BN172" s="182"/>
      <c r="BO172" s="182"/>
      <c r="BP172" s="182"/>
      <c r="BQ172" s="182"/>
      <c r="BR172" s="182"/>
      <c r="BS172" s="182"/>
      <c r="BT172" s="182"/>
      <c r="BU172" s="182"/>
      <c r="BV172" s="182"/>
      <c r="BW172" s="182"/>
      <c r="BX172" s="182"/>
      <c r="BY172" s="182"/>
      <c r="BZ172" s="182"/>
      <c r="CA172" s="182"/>
      <c r="CB172" s="182"/>
      <c r="CC172" s="182"/>
      <c r="CD172" s="182"/>
      <c r="CE172" s="182"/>
      <c r="CF172" s="182"/>
      <c r="CG172" s="182"/>
      <c r="CH172" s="182"/>
      <c r="CI172" s="182"/>
      <c r="CJ172" s="182"/>
      <c r="CK172" s="182"/>
      <c r="CL172" s="182"/>
      <c r="CM172" s="182"/>
      <c r="CN172" s="182"/>
      <c r="CO172" s="182"/>
      <c r="CP172" s="182"/>
      <c r="CQ172" s="182"/>
      <c r="CR172" s="182"/>
      <c r="CS172" s="182"/>
      <c r="CT172" s="182"/>
      <c r="CU172" s="182"/>
      <c r="CV172" s="182"/>
      <c r="CW172" s="182"/>
      <c r="CX172" s="182"/>
      <c r="CY172" s="182"/>
      <c r="CZ172" s="182"/>
      <c r="DA172" s="182"/>
      <c r="DB172" s="182"/>
      <c r="DC172" s="182"/>
      <c r="DD172" s="182"/>
      <c r="DE172" s="182"/>
      <c r="DF172" s="182"/>
      <c r="DG172" s="182"/>
      <c r="DH172" s="182"/>
      <c r="DI172" s="182"/>
      <c r="DJ172" s="182"/>
      <c r="DK172" s="182"/>
      <c r="DL172" s="182"/>
      <c r="DM172" s="182"/>
      <c r="DN172" s="182"/>
      <c r="DO172" s="182"/>
      <c r="DP172" s="182"/>
      <c r="DQ172" s="182"/>
      <c r="DR172" s="182"/>
      <c r="DS172" s="182"/>
      <c r="DT172" s="182"/>
      <c r="DU172" s="182"/>
      <c r="DV172" s="182"/>
      <c r="DW172" s="182"/>
      <c r="DX172" s="182"/>
      <c r="DY172" s="182"/>
      <c r="DZ172" s="182"/>
      <c r="EA172" s="182"/>
      <c r="EB172" s="182"/>
      <c r="EC172" s="182"/>
      <c r="ED172" s="182"/>
      <c r="EE172" s="182"/>
      <c r="EF172" s="182"/>
      <c r="EG172" s="182"/>
      <c r="EH172" s="182"/>
      <c r="EI172" s="182"/>
      <c r="EJ172" s="182"/>
      <c r="EK172" s="182"/>
      <c r="EL172" s="182"/>
      <c r="EM172" s="182"/>
      <c r="EN172" s="182"/>
      <c r="EO172" s="182"/>
      <c r="EP172" s="182"/>
      <c r="EQ172" s="182"/>
      <c r="ER172" s="182"/>
      <c r="ES172" s="182"/>
      <c r="ET172" s="182"/>
      <c r="EU172" s="182"/>
      <c r="EV172" s="182"/>
      <c r="EW172" s="182"/>
      <c r="EX172" s="182"/>
      <c r="EY172" s="182"/>
      <c r="EZ172" s="182"/>
      <c r="FA172" s="182"/>
      <c r="FB172" s="182"/>
      <c r="FC172" s="182"/>
      <c r="FD172" s="182"/>
      <c r="FE172" s="182"/>
      <c r="FF172" s="182"/>
      <c r="FG172" s="182"/>
      <c r="FH172" s="182"/>
      <c r="FI172" s="182"/>
      <c r="FJ172" s="182"/>
      <c r="FK172" s="182"/>
      <c r="FL172" s="182"/>
      <c r="FM172" s="182"/>
      <c r="FN172" s="182"/>
      <c r="FO172" s="182"/>
      <c r="FP172" s="182"/>
      <c r="FQ172" s="182"/>
      <c r="FR172" s="182"/>
      <c r="FS172" s="182"/>
      <c r="FT172" s="182"/>
      <c r="FU172" s="182"/>
      <c r="FV172" s="182"/>
      <c r="FW172" s="182"/>
      <c r="FX172" s="182"/>
      <c r="FY172" s="182"/>
      <c r="FZ172" s="182"/>
      <c r="GA172" s="182"/>
      <c r="GB172" s="182"/>
      <c r="GC172" s="182"/>
      <c r="GD172" s="182"/>
      <c r="GE172" s="182"/>
      <c r="GF172" s="182"/>
      <c r="GG172" s="182"/>
      <c r="GH172" s="182"/>
      <c r="GI172" s="182"/>
    </row>
    <row r="173" spans="1:191" s="183" customFormat="1" x14ac:dyDescent="0.2">
      <c r="A173" s="210" t="s">
        <v>38478</v>
      </c>
      <c r="B173" s="210" t="s">
        <v>19021</v>
      </c>
      <c r="C173" s="224" t="s">
        <v>22283</v>
      </c>
      <c r="D173" s="211" t="s">
        <v>16</v>
      </c>
      <c r="E173" s="211">
        <v>6</v>
      </c>
      <c r="F173" s="211"/>
      <c r="G173" s="211">
        <v>0.3</v>
      </c>
      <c r="H173" s="212"/>
      <c r="I173" s="213"/>
      <c r="J173" s="272">
        <v>1359.05</v>
      </c>
      <c r="K173" s="112">
        <f t="shared" si="17"/>
        <v>8154.3</v>
      </c>
      <c r="L173" s="273">
        <f>BDI!$E$17</f>
        <v>0.11260000000000001</v>
      </c>
      <c r="M173" s="213"/>
      <c r="N173" s="213"/>
      <c r="O173" s="114">
        <f t="shared" si="18"/>
        <v>1512.08</v>
      </c>
      <c r="P173" s="113">
        <f t="shared" si="19"/>
        <v>2721.74</v>
      </c>
      <c r="Q173" s="209"/>
      <c r="R173" s="203"/>
      <c r="S173" s="182"/>
      <c r="T173" s="182"/>
      <c r="U173" s="182"/>
      <c r="V173" s="182"/>
      <c r="W173" s="182"/>
      <c r="X173" s="182"/>
      <c r="Y173" s="182"/>
      <c r="Z173" s="182"/>
      <c r="AA173" s="182"/>
      <c r="AB173" s="182"/>
      <c r="AC173" s="182"/>
      <c r="AD173" s="182"/>
      <c r="AE173" s="182"/>
      <c r="AF173" s="182"/>
      <c r="AG173" s="182"/>
      <c r="AH173" s="182"/>
      <c r="AI173" s="182"/>
      <c r="AJ173" s="182"/>
      <c r="AK173" s="182"/>
      <c r="AL173" s="182"/>
      <c r="AM173" s="182"/>
      <c r="AN173" s="182"/>
      <c r="AO173" s="182"/>
      <c r="AP173" s="182"/>
      <c r="AQ173" s="182"/>
      <c r="AR173" s="182"/>
      <c r="AS173" s="182"/>
      <c r="AT173" s="182"/>
      <c r="AU173" s="182"/>
      <c r="AV173" s="182"/>
      <c r="AW173" s="182"/>
      <c r="AX173" s="182"/>
      <c r="AY173" s="182"/>
      <c r="AZ173" s="182"/>
      <c r="BA173" s="182"/>
      <c r="BB173" s="182"/>
      <c r="BC173" s="182"/>
      <c r="BD173" s="182"/>
      <c r="BE173" s="182"/>
      <c r="BF173" s="182"/>
      <c r="BG173" s="182"/>
      <c r="BH173" s="182"/>
      <c r="BI173" s="182"/>
      <c r="BJ173" s="182"/>
      <c r="BK173" s="182"/>
      <c r="BL173" s="182"/>
      <c r="BM173" s="182"/>
      <c r="BN173" s="182"/>
      <c r="BO173" s="182"/>
      <c r="BP173" s="182"/>
      <c r="BQ173" s="182"/>
      <c r="BR173" s="182"/>
      <c r="BS173" s="182"/>
      <c r="BT173" s="182"/>
      <c r="BU173" s="182"/>
      <c r="BV173" s="182"/>
      <c r="BW173" s="182"/>
      <c r="BX173" s="182"/>
      <c r="BY173" s="182"/>
      <c r="BZ173" s="182"/>
      <c r="CA173" s="182"/>
      <c r="CB173" s="182"/>
      <c r="CC173" s="182"/>
      <c r="CD173" s="182"/>
      <c r="CE173" s="182"/>
      <c r="CF173" s="182"/>
      <c r="CG173" s="182"/>
      <c r="CH173" s="182"/>
      <c r="CI173" s="182"/>
      <c r="CJ173" s="182"/>
      <c r="CK173" s="182"/>
      <c r="CL173" s="182"/>
      <c r="CM173" s="182"/>
      <c r="CN173" s="182"/>
      <c r="CO173" s="182"/>
      <c r="CP173" s="182"/>
      <c r="CQ173" s="182"/>
      <c r="CR173" s="182"/>
      <c r="CS173" s="182"/>
      <c r="CT173" s="182"/>
      <c r="CU173" s="182"/>
      <c r="CV173" s="182"/>
      <c r="CW173" s="182"/>
      <c r="CX173" s="182"/>
      <c r="CY173" s="182"/>
      <c r="CZ173" s="182"/>
      <c r="DA173" s="182"/>
      <c r="DB173" s="182"/>
      <c r="DC173" s="182"/>
      <c r="DD173" s="182"/>
      <c r="DE173" s="182"/>
      <c r="DF173" s="182"/>
      <c r="DG173" s="182"/>
      <c r="DH173" s="182"/>
      <c r="DI173" s="182"/>
      <c r="DJ173" s="182"/>
      <c r="DK173" s="182"/>
      <c r="DL173" s="182"/>
      <c r="DM173" s="182"/>
      <c r="DN173" s="182"/>
      <c r="DO173" s="182"/>
      <c r="DP173" s="182"/>
      <c r="DQ173" s="182"/>
      <c r="DR173" s="182"/>
      <c r="DS173" s="182"/>
      <c r="DT173" s="182"/>
      <c r="DU173" s="182"/>
      <c r="DV173" s="182"/>
      <c r="DW173" s="182"/>
      <c r="DX173" s="182"/>
      <c r="DY173" s="182"/>
      <c r="DZ173" s="182"/>
      <c r="EA173" s="182"/>
      <c r="EB173" s="182"/>
      <c r="EC173" s="182"/>
      <c r="ED173" s="182"/>
      <c r="EE173" s="182"/>
      <c r="EF173" s="182"/>
      <c r="EG173" s="182"/>
      <c r="EH173" s="182"/>
      <c r="EI173" s="182"/>
      <c r="EJ173" s="182"/>
      <c r="EK173" s="182"/>
      <c r="EL173" s="182"/>
      <c r="EM173" s="182"/>
      <c r="EN173" s="182"/>
      <c r="EO173" s="182"/>
      <c r="EP173" s="182"/>
      <c r="EQ173" s="182"/>
      <c r="ER173" s="182"/>
      <c r="ES173" s="182"/>
      <c r="ET173" s="182"/>
      <c r="EU173" s="182"/>
      <c r="EV173" s="182"/>
      <c r="EW173" s="182"/>
      <c r="EX173" s="182"/>
      <c r="EY173" s="182"/>
      <c r="EZ173" s="182"/>
      <c r="FA173" s="182"/>
      <c r="FB173" s="182"/>
      <c r="FC173" s="182"/>
      <c r="FD173" s="182"/>
      <c r="FE173" s="182"/>
      <c r="FF173" s="182"/>
      <c r="FG173" s="182"/>
      <c r="FH173" s="182"/>
      <c r="FI173" s="182"/>
      <c r="FJ173" s="182"/>
      <c r="FK173" s="182"/>
      <c r="FL173" s="182"/>
      <c r="FM173" s="182"/>
      <c r="FN173" s="182"/>
      <c r="FO173" s="182"/>
      <c r="FP173" s="182"/>
      <c r="FQ173" s="182"/>
      <c r="FR173" s="182"/>
      <c r="FS173" s="182"/>
      <c r="FT173" s="182"/>
      <c r="FU173" s="182"/>
      <c r="FV173" s="182"/>
      <c r="FW173" s="182"/>
      <c r="FX173" s="182"/>
      <c r="FY173" s="182"/>
      <c r="FZ173" s="182"/>
      <c r="GA173" s="182"/>
      <c r="GB173" s="182"/>
      <c r="GC173" s="182"/>
      <c r="GD173" s="182"/>
      <c r="GE173" s="182"/>
      <c r="GF173" s="182"/>
      <c r="GG173" s="182"/>
      <c r="GH173" s="182"/>
      <c r="GI173" s="182"/>
    </row>
    <row r="174" spans="1:191" s="183" customFormat="1" ht="25.5" x14ac:dyDescent="0.2">
      <c r="A174" s="210" t="s">
        <v>38479</v>
      </c>
      <c r="B174" s="210" t="s">
        <v>19022</v>
      </c>
      <c r="C174" s="224" t="s">
        <v>22284</v>
      </c>
      <c r="D174" s="211" t="s">
        <v>16</v>
      </c>
      <c r="E174" s="211">
        <v>10</v>
      </c>
      <c r="F174" s="211"/>
      <c r="G174" s="211">
        <v>0.3</v>
      </c>
      <c r="H174" s="212"/>
      <c r="I174" s="213"/>
      <c r="J174" s="272">
        <v>363.01</v>
      </c>
      <c r="K174" s="112">
        <f t="shared" si="17"/>
        <v>3630.1</v>
      </c>
      <c r="L174" s="273">
        <f>BDI!$E$17</f>
        <v>0.11260000000000001</v>
      </c>
      <c r="M174" s="213"/>
      <c r="N174" s="213"/>
      <c r="O174" s="114">
        <f t="shared" si="18"/>
        <v>403.88</v>
      </c>
      <c r="P174" s="113">
        <f t="shared" si="19"/>
        <v>1211.6400000000001</v>
      </c>
      <c r="Q174" s="209"/>
      <c r="R174" s="203"/>
      <c r="S174" s="182"/>
      <c r="T174" s="182"/>
      <c r="U174" s="182"/>
      <c r="V174" s="182"/>
      <c r="W174" s="182"/>
      <c r="X174" s="182"/>
      <c r="Y174" s="182"/>
      <c r="Z174" s="182"/>
      <c r="AA174" s="182"/>
      <c r="AB174" s="182"/>
      <c r="AC174" s="182"/>
      <c r="AD174" s="182"/>
      <c r="AE174" s="182"/>
      <c r="AF174" s="182"/>
      <c r="AG174" s="182"/>
      <c r="AH174" s="182"/>
      <c r="AI174" s="182"/>
      <c r="AJ174" s="182"/>
      <c r="AK174" s="182"/>
      <c r="AL174" s="182"/>
      <c r="AM174" s="182"/>
      <c r="AN174" s="182"/>
      <c r="AO174" s="182"/>
      <c r="AP174" s="182"/>
      <c r="AQ174" s="182"/>
      <c r="AR174" s="182"/>
      <c r="AS174" s="182"/>
      <c r="AT174" s="182"/>
      <c r="AU174" s="182"/>
      <c r="AV174" s="182"/>
      <c r="AW174" s="182"/>
      <c r="AX174" s="182"/>
      <c r="AY174" s="182"/>
      <c r="AZ174" s="182"/>
      <c r="BA174" s="182"/>
      <c r="BB174" s="182"/>
      <c r="BC174" s="182"/>
      <c r="BD174" s="182"/>
      <c r="BE174" s="182"/>
      <c r="BF174" s="182"/>
      <c r="BG174" s="182"/>
      <c r="BH174" s="182"/>
      <c r="BI174" s="182"/>
      <c r="BJ174" s="182"/>
      <c r="BK174" s="182"/>
      <c r="BL174" s="182"/>
      <c r="BM174" s="182"/>
      <c r="BN174" s="182"/>
      <c r="BO174" s="182"/>
      <c r="BP174" s="182"/>
      <c r="BQ174" s="182"/>
      <c r="BR174" s="182"/>
      <c r="BS174" s="182"/>
      <c r="BT174" s="182"/>
      <c r="BU174" s="182"/>
      <c r="BV174" s="182"/>
      <c r="BW174" s="182"/>
      <c r="BX174" s="182"/>
      <c r="BY174" s="182"/>
      <c r="BZ174" s="182"/>
      <c r="CA174" s="182"/>
      <c r="CB174" s="182"/>
      <c r="CC174" s="182"/>
      <c r="CD174" s="182"/>
      <c r="CE174" s="182"/>
      <c r="CF174" s="182"/>
      <c r="CG174" s="182"/>
      <c r="CH174" s="182"/>
      <c r="CI174" s="182"/>
      <c r="CJ174" s="182"/>
      <c r="CK174" s="182"/>
      <c r="CL174" s="182"/>
      <c r="CM174" s="182"/>
      <c r="CN174" s="182"/>
      <c r="CO174" s="182"/>
      <c r="CP174" s="182"/>
      <c r="CQ174" s="182"/>
      <c r="CR174" s="182"/>
      <c r="CS174" s="182"/>
      <c r="CT174" s="182"/>
      <c r="CU174" s="182"/>
      <c r="CV174" s="182"/>
      <c r="CW174" s="182"/>
      <c r="CX174" s="182"/>
      <c r="CY174" s="182"/>
      <c r="CZ174" s="182"/>
      <c r="DA174" s="182"/>
      <c r="DB174" s="182"/>
      <c r="DC174" s="182"/>
      <c r="DD174" s="182"/>
      <c r="DE174" s="182"/>
      <c r="DF174" s="182"/>
      <c r="DG174" s="182"/>
      <c r="DH174" s="182"/>
      <c r="DI174" s="182"/>
      <c r="DJ174" s="182"/>
      <c r="DK174" s="182"/>
      <c r="DL174" s="182"/>
      <c r="DM174" s="182"/>
      <c r="DN174" s="182"/>
      <c r="DO174" s="182"/>
      <c r="DP174" s="182"/>
      <c r="DQ174" s="182"/>
      <c r="DR174" s="182"/>
      <c r="DS174" s="182"/>
      <c r="DT174" s="182"/>
      <c r="DU174" s="182"/>
      <c r="DV174" s="182"/>
      <c r="DW174" s="182"/>
      <c r="DX174" s="182"/>
      <c r="DY174" s="182"/>
      <c r="DZ174" s="182"/>
      <c r="EA174" s="182"/>
      <c r="EB174" s="182"/>
      <c r="EC174" s="182"/>
      <c r="ED174" s="182"/>
      <c r="EE174" s="182"/>
      <c r="EF174" s="182"/>
      <c r="EG174" s="182"/>
      <c r="EH174" s="182"/>
      <c r="EI174" s="182"/>
      <c r="EJ174" s="182"/>
      <c r="EK174" s="182"/>
      <c r="EL174" s="182"/>
      <c r="EM174" s="182"/>
      <c r="EN174" s="182"/>
      <c r="EO174" s="182"/>
      <c r="EP174" s="182"/>
      <c r="EQ174" s="182"/>
      <c r="ER174" s="182"/>
      <c r="ES174" s="182"/>
      <c r="ET174" s="182"/>
      <c r="EU174" s="182"/>
      <c r="EV174" s="182"/>
      <c r="EW174" s="182"/>
      <c r="EX174" s="182"/>
      <c r="EY174" s="182"/>
      <c r="EZ174" s="182"/>
      <c r="FA174" s="182"/>
      <c r="FB174" s="182"/>
      <c r="FC174" s="182"/>
      <c r="FD174" s="182"/>
      <c r="FE174" s="182"/>
      <c r="FF174" s="182"/>
      <c r="FG174" s="182"/>
      <c r="FH174" s="182"/>
      <c r="FI174" s="182"/>
      <c r="FJ174" s="182"/>
      <c r="FK174" s="182"/>
      <c r="FL174" s="182"/>
      <c r="FM174" s="182"/>
      <c r="FN174" s="182"/>
      <c r="FO174" s="182"/>
      <c r="FP174" s="182"/>
      <c r="FQ174" s="182"/>
      <c r="FR174" s="182"/>
      <c r="FS174" s="182"/>
      <c r="FT174" s="182"/>
      <c r="FU174" s="182"/>
      <c r="FV174" s="182"/>
      <c r="FW174" s="182"/>
      <c r="FX174" s="182"/>
      <c r="FY174" s="182"/>
      <c r="FZ174" s="182"/>
      <c r="GA174" s="182"/>
      <c r="GB174" s="182"/>
      <c r="GC174" s="182"/>
      <c r="GD174" s="182"/>
      <c r="GE174" s="182"/>
      <c r="GF174" s="182"/>
      <c r="GG174" s="182"/>
      <c r="GH174" s="182"/>
      <c r="GI174" s="182"/>
    </row>
    <row r="175" spans="1:191" s="183" customFormat="1" ht="25.5" x14ac:dyDescent="0.2">
      <c r="A175" s="210" t="s">
        <v>38480</v>
      </c>
      <c r="B175" s="210" t="s">
        <v>19023</v>
      </c>
      <c r="C175" s="224" t="s">
        <v>22285</v>
      </c>
      <c r="D175" s="211" t="s">
        <v>16</v>
      </c>
      <c r="E175" s="211">
        <v>5</v>
      </c>
      <c r="F175" s="211"/>
      <c r="G175" s="211">
        <v>0.3</v>
      </c>
      <c r="H175" s="212"/>
      <c r="I175" s="213"/>
      <c r="J175" s="272">
        <v>202.15</v>
      </c>
      <c r="K175" s="112">
        <f t="shared" si="17"/>
        <v>1010.75</v>
      </c>
      <c r="L175" s="273">
        <f>BDI!$E$17</f>
        <v>0.11260000000000001</v>
      </c>
      <c r="M175" s="213"/>
      <c r="N175" s="213"/>
      <c r="O175" s="114">
        <f t="shared" si="18"/>
        <v>224.91</v>
      </c>
      <c r="P175" s="113">
        <f t="shared" si="19"/>
        <v>337.37</v>
      </c>
      <c r="Q175" s="209"/>
      <c r="R175" s="203"/>
      <c r="S175" s="182"/>
      <c r="T175" s="182"/>
      <c r="U175" s="182"/>
      <c r="V175" s="182"/>
      <c r="W175" s="182"/>
      <c r="X175" s="182"/>
      <c r="Y175" s="182"/>
      <c r="Z175" s="182"/>
      <c r="AA175" s="182"/>
      <c r="AB175" s="182"/>
      <c r="AC175" s="182"/>
      <c r="AD175" s="182"/>
      <c r="AE175" s="182"/>
      <c r="AF175" s="182"/>
      <c r="AG175" s="182"/>
      <c r="AH175" s="182"/>
      <c r="AI175" s="182"/>
      <c r="AJ175" s="182"/>
      <c r="AK175" s="182"/>
      <c r="AL175" s="182"/>
      <c r="AM175" s="182"/>
      <c r="AN175" s="182"/>
      <c r="AO175" s="182"/>
      <c r="AP175" s="182"/>
      <c r="AQ175" s="182"/>
      <c r="AR175" s="182"/>
      <c r="AS175" s="182"/>
      <c r="AT175" s="182"/>
      <c r="AU175" s="182"/>
      <c r="AV175" s="182"/>
      <c r="AW175" s="182"/>
      <c r="AX175" s="182"/>
      <c r="AY175" s="182"/>
      <c r="AZ175" s="182"/>
      <c r="BA175" s="182"/>
      <c r="BB175" s="182"/>
      <c r="BC175" s="182"/>
      <c r="BD175" s="182"/>
      <c r="BE175" s="182"/>
      <c r="BF175" s="182"/>
      <c r="BG175" s="182"/>
      <c r="BH175" s="182"/>
      <c r="BI175" s="182"/>
      <c r="BJ175" s="182"/>
      <c r="BK175" s="182"/>
      <c r="BL175" s="182"/>
      <c r="BM175" s="182"/>
      <c r="BN175" s="182"/>
      <c r="BO175" s="182"/>
      <c r="BP175" s="182"/>
      <c r="BQ175" s="182"/>
      <c r="BR175" s="182"/>
      <c r="BS175" s="182"/>
      <c r="BT175" s="182"/>
      <c r="BU175" s="182"/>
      <c r="BV175" s="182"/>
      <c r="BW175" s="182"/>
      <c r="BX175" s="182"/>
      <c r="BY175" s="182"/>
      <c r="BZ175" s="182"/>
      <c r="CA175" s="182"/>
      <c r="CB175" s="182"/>
      <c r="CC175" s="182"/>
      <c r="CD175" s="182"/>
      <c r="CE175" s="182"/>
      <c r="CF175" s="182"/>
      <c r="CG175" s="182"/>
      <c r="CH175" s="182"/>
      <c r="CI175" s="182"/>
      <c r="CJ175" s="182"/>
      <c r="CK175" s="182"/>
      <c r="CL175" s="182"/>
      <c r="CM175" s="182"/>
      <c r="CN175" s="182"/>
      <c r="CO175" s="182"/>
      <c r="CP175" s="182"/>
      <c r="CQ175" s="182"/>
      <c r="CR175" s="182"/>
      <c r="CS175" s="182"/>
      <c r="CT175" s="182"/>
      <c r="CU175" s="182"/>
      <c r="CV175" s="182"/>
      <c r="CW175" s="182"/>
      <c r="CX175" s="182"/>
      <c r="CY175" s="182"/>
      <c r="CZ175" s="182"/>
      <c r="DA175" s="182"/>
      <c r="DB175" s="182"/>
      <c r="DC175" s="182"/>
      <c r="DD175" s="182"/>
      <c r="DE175" s="182"/>
      <c r="DF175" s="182"/>
      <c r="DG175" s="182"/>
      <c r="DH175" s="182"/>
      <c r="DI175" s="182"/>
      <c r="DJ175" s="182"/>
      <c r="DK175" s="182"/>
      <c r="DL175" s="182"/>
      <c r="DM175" s="182"/>
      <c r="DN175" s="182"/>
      <c r="DO175" s="182"/>
      <c r="DP175" s="182"/>
      <c r="DQ175" s="182"/>
      <c r="DR175" s="182"/>
      <c r="DS175" s="182"/>
      <c r="DT175" s="182"/>
      <c r="DU175" s="182"/>
      <c r="DV175" s="182"/>
      <c r="DW175" s="182"/>
      <c r="DX175" s="182"/>
      <c r="DY175" s="182"/>
      <c r="DZ175" s="182"/>
      <c r="EA175" s="182"/>
      <c r="EB175" s="182"/>
      <c r="EC175" s="182"/>
      <c r="ED175" s="182"/>
      <c r="EE175" s="182"/>
      <c r="EF175" s="182"/>
      <c r="EG175" s="182"/>
      <c r="EH175" s="182"/>
      <c r="EI175" s="182"/>
      <c r="EJ175" s="182"/>
      <c r="EK175" s="182"/>
      <c r="EL175" s="182"/>
      <c r="EM175" s="182"/>
      <c r="EN175" s="182"/>
      <c r="EO175" s="182"/>
      <c r="EP175" s="182"/>
      <c r="EQ175" s="182"/>
      <c r="ER175" s="182"/>
      <c r="ES175" s="182"/>
      <c r="ET175" s="182"/>
      <c r="EU175" s="182"/>
      <c r="EV175" s="182"/>
      <c r="EW175" s="182"/>
      <c r="EX175" s="182"/>
      <c r="EY175" s="182"/>
      <c r="EZ175" s="182"/>
      <c r="FA175" s="182"/>
      <c r="FB175" s="182"/>
      <c r="FC175" s="182"/>
      <c r="FD175" s="182"/>
      <c r="FE175" s="182"/>
      <c r="FF175" s="182"/>
      <c r="FG175" s="182"/>
      <c r="FH175" s="182"/>
      <c r="FI175" s="182"/>
      <c r="FJ175" s="182"/>
      <c r="FK175" s="182"/>
      <c r="FL175" s="182"/>
      <c r="FM175" s="182"/>
      <c r="FN175" s="182"/>
      <c r="FO175" s="182"/>
      <c r="FP175" s="182"/>
      <c r="FQ175" s="182"/>
      <c r="FR175" s="182"/>
      <c r="FS175" s="182"/>
      <c r="FT175" s="182"/>
      <c r="FU175" s="182"/>
      <c r="FV175" s="182"/>
      <c r="FW175" s="182"/>
      <c r="FX175" s="182"/>
      <c r="FY175" s="182"/>
      <c r="FZ175" s="182"/>
      <c r="GA175" s="182"/>
      <c r="GB175" s="182"/>
      <c r="GC175" s="182"/>
      <c r="GD175" s="182"/>
      <c r="GE175" s="182"/>
      <c r="GF175" s="182"/>
      <c r="GG175" s="182"/>
      <c r="GH175" s="182"/>
      <c r="GI175" s="182"/>
    </row>
    <row r="176" spans="1:191" s="183" customFormat="1" ht="25.5" x14ac:dyDescent="0.2">
      <c r="A176" s="210" t="s">
        <v>38481</v>
      </c>
      <c r="B176" s="210" t="s">
        <v>19024</v>
      </c>
      <c r="C176" s="224" t="s">
        <v>22286</v>
      </c>
      <c r="D176" s="211" t="s">
        <v>16</v>
      </c>
      <c r="E176" s="211">
        <v>10</v>
      </c>
      <c r="F176" s="211"/>
      <c r="G176" s="211">
        <v>0.3</v>
      </c>
      <c r="H176" s="212"/>
      <c r="I176" s="213"/>
      <c r="J176" s="272">
        <v>193.45</v>
      </c>
      <c r="K176" s="112">
        <f t="shared" si="17"/>
        <v>1934.5</v>
      </c>
      <c r="L176" s="273">
        <f>BDI!$E$17</f>
        <v>0.11260000000000001</v>
      </c>
      <c r="M176" s="213"/>
      <c r="N176" s="213"/>
      <c r="O176" s="114">
        <f t="shared" si="18"/>
        <v>215.23</v>
      </c>
      <c r="P176" s="113">
        <f t="shared" si="19"/>
        <v>645.69000000000005</v>
      </c>
      <c r="Q176" s="209"/>
      <c r="R176" s="203"/>
      <c r="S176" s="182"/>
      <c r="T176" s="182"/>
      <c r="U176" s="182"/>
      <c r="V176" s="182"/>
      <c r="W176" s="182"/>
      <c r="X176" s="182"/>
      <c r="Y176" s="182"/>
      <c r="Z176" s="182"/>
      <c r="AA176" s="182"/>
      <c r="AB176" s="182"/>
      <c r="AC176" s="182"/>
      <c r="AD176" s="182"/>
      <c r="AE176" s="182"/>
      <c r="AF176" s="182"/>
      <c r="AG176" s="182"/>
      <c r="AH176" s="182"/>
      <c r="AI176" s="182"/>
      <c r="AJ176" s="182"/>
      <c r="AK176" s="182"/>
      <c r="AL176" s="182"/>
      <c r="AM176" s="182"/>
      <c r="AN176" s="182"/>
      <c r="AO176" s="182"/>
      <c r="AP176" s="182"/>
      <c r="AQ176" s="182"/>
      <c r="AR176" s="182"/>
      <c r="AS176" s="182"/>
      <c r="AT176" s="182"/>
      <c r="AU176" s="182"/>
      <c r="AV176" s="182"/>
      <c r="AW176" s="182"/>
      <c r="AX176" s="182"/>
      <c r="AY176" s="182"/>
      <c r="AZ176" s="182"/>
      <c r="BA176" s="182"/>
      <c r="BB176" s="182"/>
      <c r="BC176" s="182"/>
      <c r="BD176" s="182"/>
      <c r="BE176" s="182"/>
      <c r="BF176" s="182"/>
      <c r="BG176" s="182"/>
      <c r="BH176" s="182"/>
      <c r="BI176" s="182"/>
      <c r="BJ176" s="182"/>
      <c r="BK176" s="182"/>
      <c r="BL176" s="182"/>
      <c r="BM176" s="182"/>
      <c r="BN176" s="182"/>
      <c r="BO176" s="182"/>
      <c r="BP176" s="182"/>
      <c r="BQ176" s="182"/>
      <c r="BR176" s="182"/>
      <c r="BS176" s="182"/>
      <c r="BT176" s="182"/>
      <c r="BU176" s="182"/>
      <c r="BV176" s="182"/>
      <c r="BW176" s="182"/>
      <c r="BX176" s="182"/>
      <c r="BY176" s="182"/>
      <c r="BZ176" s="182"/>
      <c r="CA176" s="182"/>
      <c r="CB176" s="182"/>
      <c r="CC176" s="182"/>
      <c r="CD176" s="182"/>
      <c r="CE176" s="182"/>
      <c r="CF176" s="182"/>
      <c r="CG176" s="182"/>
      <c r="CH176" s="182"/>
      <c r="CI176" s="182"/>
      <c r="CJ176" s="182"/>
      <c r="CK176" s="182"/>
      <c r="CL176" s="182"/>
      <c r="CM176" s="182"/>
      <c r="CN176" s="182"/>
      <c r="CO176" s="182"/>
      <c r="CP176" s="182"/>
      <c r="CQ176" s="182"/>
      <c r="CR176" s="182"/>
      <c r="CS176" s="182"/>
      <c r="CT176" s="182"/>
      <c r="CU176" s="182"/>
      <c r="CV176" s="182"/>
      <c r="CW176" s="182"/>
      <c r="CX176" s="182"/>
      <c r="CY176" s="182"/>
      <c r="CZ176" s="182"/>
      <c r="DA176" s="182"/>
      <c r="DB176" s="182"/>
      <c r="DC176" s="182"/>
      <c r="DD176" s="182"/>
      <c r="DE176" s="182"/>
      <c r="DF176" s="182"/>
      <c r="DG176" s="182"/>
      <c r="DH176" s="182"/>
      <c r="DI176" s="182"/>
      <c r="DJ176" s="182"/>
      <c r="DK176" s="182"/>
      <c r="DL176" s="182"/>
      <c r="DM176" s="182"/>
      <c r="DN176" s="182"/>
      <c r="DO176" s="182"/>
      <c r="DP176" s="182"/>
      <c r="DQ176" s="182"/>
      <c r="DR176" s="182"/>
      <c r="DS176" s="182"/>
      <c r="DT176" s="182"/>
      <c r="DU176" s="182"/>
      <c r="DV176" s="182"/>
      <c r="DW176" s="182"/>
      <c r="DX176" s="182"/>
      <c r="DY176" s="182"/>
      <c r="DZ176" s="182"/>
      <c r="EA176" s="182"/>
      <c r="EB176" s="182"/>
      <c r="EC176" s="182"/>
      <c r="ED176" s="182"/>
      <c r="EE176" s="182"/>
      <c r="EF176" s="182"/>
      <c r="EG176" s="182"/>
      <c r="EH176" s="182"/>
      <c r="EI176" s="182"/>
      <c r="EJ176" s="182"/>
      <c r="EK176" s="182"/>
      <c r="EL176" s="182"/>
      <c r="EM176" s="182"/>
      <c r="EN176" s="182"/>
      <c r="EO176" s="182"/>
      <c r="EP176" s="182"/>
      <c r="EQ176" s="182"/>
      <c r="ER176" s="182"/>
      <c r="ES176" s="182"/>
      <c r="ET176" s="182"/>
      <c r="EU176" s="182"/>
      <c r="EV176" s="182"/>
      <c r="EW176" s="182"/>
      <c r="EX176" s="182"/>
      <c r="EY176" s="182"/>
      <c r="EZ176" s="182"/>
      <c r="FA176" s="182"/>
      <c r="FB176" s="182"/>
      <c r="FC176" s="182"/>
      <c r="FD176" s="182"/>
      <c r="FE176" s="182"/>
      <c r="FF176" s="182"/>
      <c r="FG176" s="182"/>
      <c r="FH176" s="182"/>
      <c r="FI176" s="182"/>
      <c r="FJ176" s="182"/>
      <c r="FK176" s="182"/>
      <c r="FL176" s="182"/>
      <c r="FM176" s="182"/>
      <c r="FN176" s="182"/>
      <c r="FO176" s="182"/>
      <c r="FP176" s="182"/>
      <c r="FQ176" s="182"/>
      <c r="FR176" s="182"/>
      <c r="FS176" s="182"/>
      <c r="FT176" s="182"/>
      <c r="FU176" s="182"/>
      <c r="FV176" s="182"/>
      <c r="FW176" s="182"/>
      <c r="FX176" s="182"/>
      <c r="FY176" s="182"/>
      <c r="FZ176" s="182"/>
      <c r="GA176" s="182"/>
      <c r="GB176" s="182"/>
      <c r="GC176" s="182"/>
      <c r="GD176" s="182"/>
      <c r="GE176" s="182"/>
      <c r="GF176" s="182"/>
      <c r="GG176" s="182"/>
      <c r="GH176" s="182"/>
      <c r="GI176" s="182"/>
    </row>
    <row r="177" spans="1:191" s="183" customFormat="1" ht="25.5" x14ac:dyDescent="0.2">
      <c r="A177" s="210" t="s">
        <v>38482</v>
      </c>
      <c r="B177" s="210" t="s">
        <v>19025</v>
      </c>
      <c r="C177" s="224" t="s">
        <v>22287</v>
      </c>
      <c r="D177" s="211" t="s">
        <v>16</v>
      </c>
      <c r="E177" s="211">
        <v>12</v>
      </c>
      <c r="F177" s="211"/>
      <c r="G177" s="211">
        <v>0.3</v>
      </c>
      <c r="H177" s="212"/>
      <c r="I177" s="213"/>
      <c r="J177" s="272">
        <v>2445.0700000000002</v>
      </c>
      <c r="K177" s="112">
        <f t="shared" si="17"/>
        <v>29340.84</v>
      </c>
      <c r="L177" s="273">
        <f>BDI!$E$17</f>
        <v>0.11260000000000001</v>
      </c>
      <c r="M177" s="213"/>
      <c r="N177" s="213"/>
      <c r="O177" s="114">
        <f t="shared" si="18"/>
        <v>2720.38</v>
      </c>
      <c r="P177" s="113">
        <f t="shared" si="19"/>
        <v>9793.3700000000008</v>
      </c>
      <c r="Q177" s="209"/>
      <c r="R177" s="203"/>
      <c r="S177" s="182"/>
      <c r="T177" s="182"/>
      <c r="U177" s="182"/>
      <c r="V177" s="182"/>
      <c r="W177" s="182"/>
      <c r="X177" s="182"/>
      <c r="Y177" s="182"/>
      <c r="Z177" s="182"/>
      <c r="AA177" s="182"/>
      <c r="AB177" s="182"/>
      <c r="AC177" s="182"/>
      <c r="AD177" s="182"/>
      <c r="AE177" s="182"/>
      <c r="AF177" s="182"/>
      <c r="AG177" s="182"/>
      <c r="AH177" s="182"/>
      <c r="AI177" s="182"/>
      <c r="AJ177" s="182"/>
      <c r="AK177" s="182"/>
      <c r="AL177" s="182"/>
      <c r="AM177" s="182"/>
      <c r="AN177" s="182"/>
      <c r="AO177" s="182"/>
      <c r="AP177" s="182"/>
      <c r="AQ177" s="182"/>
      <c r="AR177" s="182"/>
      <c r="AS177" s="182"/>
      <c r="AT177" s="182"/>
      <c r="AU177" s="182"/>
      <c r="AV177" s="182"/>
      <c r="AW177" s="182"/>
      <c r="AX177" s="182"/>
      <c r="AY177" s="182"/>
      <c r="AZ177" s="182"/>
      <c r="BA177" s="182"/>
      <c r="BB177" s="182"/>
      <c r="BC177" s="182"/>
      <c r="BD177" s="182"/>
      <c r="BE177" s="182"/>
      <c r="BF177" s="182"/>
      <c r="BG177" s="182"/>
      <c r="BH177" s="182"/>
      <c r="BI177" s="182"/>
      <c r="BJ177" s="182"/>
      <c r="BK177" s="182"/>
      <c r="BL177" s="182"/>
      <c r="BM177" s="182"/>
      <c r="BN177" s="182"/>
      <c r="BO177" s="182"/>
      <c r="BP177" s="182"/>
      <c r="BQ177" s="182"/>
      <c r="BR177" s="182"/>
      <c r="BS177" s="182"/>
      <c r="BT177" s="182"/>
      <c r="BU177" s="182"/>
      <c r="BV177" s="182"/>
      <c r="BW177" s="182"/>
      <c r="BX177" s="182"/>
      <c r="BY177" s="182"/>
      <c r="BZ177" s="182"/>
      <c r="CA177" s="182"/>
      <c r="CB177" s="182"/>
      <c r="CC177" s="182"/>
      <c r="CD177" s="182"/>
      <c r="CE177" s="182"/>
      <c r="CF177" s="182"/>
      <c r="CG177" s="182"/>
      <c r="CH177" s="182"/>
      <c r="CI177" s="182"/>
      <c r="CJ177" s="182"/>
      <c r="CK177" s="182"/>
      <c r="CL177" s="182"/>
      <c r="CM177" s="182"/>
      <c r="CN177" s="182"/>
      <c r="CO177" s="182"/>
      <c r="CP177" s="182"/>
      <c r="CQ177" s="182"/>
      <c r="CR177" s="182"/>
      <c r="CS177" s="182"/>
      <c r="CT177" s="182"/>
      <c r="CU177" s="182"/>
      <c r="CV177" s="182"/>
      <c r="CW177" s="182"/>
      <c r="CX177" s="182"/>
      <c r="CY177" s="182"/>
      <c r="CZ177" s="182"/>
      <c r="DA177" s="182"/>
      <c r="DB177" s="182"/>
      <c r="DC177" s="182"/>
      <c r="DD177" s="182"/>
      <c r="DE177" s="182"/>
      <c r="DF177" s="182"/>
      <c r="DG177" s="182"/>
      <c r="DH177" s="182"/>
      <c r="DI177" s="182"/>
      <c r="DJ177" s="182"/>
      <c r="DK177" s="182"/>
      <c r="DL177" s="182"/>
      <c r="DM177" s="182"/>
      <c r="DN177" s="182"/>
      <c r="DO177" s="182"/>
      <c r="DP177" s="182"/>
      <c r="DQ177" s="182"/>
      <c r="DR177" s="182"/>
      <c r="DS177" s="182"/>
      <c r="DT177" s="182"/>
      <c r="DU177" s="182"/>
      <c r="DV177" s="182"/>
      <c r="DW177" s="182"/>
      <c r="DX177" s="182"/>
      <c r="DY177" s="182"/>
      <c r="DZ177" s="182"/>
      <c r="EA177" s="182"/>
      <c r="EB177" s="182"/>
      <c r="EC177" s="182"/>
      <c r="ED177" s="182"/>
      <c r="EE177" s="182"/>
      <c r="EF177" s="182"/>
      <c r="EG177" s="182"/>
      <c r="EH177" s="182"/>
      <c r="EI177" s="182"/>
      <c r="EJ177" s="182"/>
      <c r="EK177" s="182"/>
      <c r="EL177" s="182"/>
      <c r="EM177" s="182"/>
      <c r="EN177" s="182"/>
      <c r="EO177" s="182"/>
      <c r="EP177" s="182"/>
      <c r="EQ177" s="182"/>
      <c r="ER177" s="182"/>
      <c r="ES177" s="182"/>
      <c r="ET177" s="182"/>
      <c r="EU177" s="182"/>
      <c r="EV177" s="182"/>
      <c r="EW177" s="182"/>
      <c r="EX177" s="182"/>
      <c r="EY177" s="182"/>
      <c r="EZ177" s="182"/>
      <c r="FA177" s="182"/>
      <c r="FB177" s="182"/>
      <c r="FC177" s="182"/>
      <c r="FD177" s="182"/>
      <c r="FE177" s="182"/>
      <c r="FF177" s="182"/>
      <c r="FG177" s="182"/>
      <c r="FH177" s="182"/>
      <c r="FI177" s="182"/>
      <c r="FJ177" s="182"/>
      <c r="FK177" s="182"/>
      <c r="FL177" s="182"/>
      <c r="FM177" s="182"/>
      <c r="FN177" s="182"/>
      <c r="FO177" s="182"/>
      <c r="FP177" s="182"/>
      <c r="FQ177" s="182"/>
      <c r="FR177" s="182"/>
      <c r="FS177" s="182"/>
      <c r="FT177" s="182"/>
      <c r="FU177" s="182"/>
      <c r="FV177" s="182"/>
      <c r="FW177" s="182"/>
      <c r="FX177" s="182"/>
      <c r="FY177" s="182"/>
      <c r="FZ177" s="182"/>
      <c r="GA177" s="182"/>
      <c r="GB177" s="182"/>
      <c r="GC177" s="182"/>
      <c r="GD177" s="182"/>
      <c r="GE177" s="182"/>
      <c r="GF177" s="182"/>
      <c r="GG177" s="182"/>
      <c r="GH177" s="182"/>
      <c r="GI177" s="182"/>
    </row>
    <row r="178" spans="1:191" s="183" customFormat="1" x14ac:dyDescent="0.2">
      <c r="A178" s="210" t="s">
        <v>38483</v>
      </c>
      <c r="B178" s="210" t="s">
        <v>19026</v>
      </c>
      <c r="C178" s="224" t="s">
        <v>22288</v>
      </c>
      <c r="D178" s="211" t="s">
        <v>16</v>
      </c>
      <c r="E178" s="211">
        <v>2</v>
      </c>
      <c r="F178" s="211"/>
      <c r="G178" s="211">
        <v>0.3</v>
      </c>
      <c r="H178" s="212"/>
      <c r="I178" s="213"/>
      <c r="J178" s="272">
        <v>351.18</v>
      </c>
      <c r="K178" s="112">
        <f t="shared" si="17"/>
        <v>702.36</v>
      </c>
      <c r="L178" s="273">
        <f>BDI!$E$17</f>
        <v>0.11260000000000001</v>
      </c>
      <c r="M178" s="213"/>
      <c r="N178" s="213"/>
      <c r="O178" s="114">
        <f t="shared" si="18"/>
        <v>390.72</v>
      </c>
      <c r="P178" s="113">
        <f t="shared" si="19"/>
        <v>234.43</v>
      </c>
      <c r="Q178" s="209"/>
      <c r="R178" s="203"/>
      <c r="S178" s="182"/>
      <c r="T178" s="182"/>
      <c r="U178" s="182"/>
      <c r="V178" s="182"/>
      <c r="W178" s="182"/>
      <c r="X178" s="182"/>
      <c r="Y178" s="182"/>
      <c r="Z178" s="182"/>
      <c r="AA178" s="182"/>
      <c r="AB178" s="182"/>
      <c r="AC178" s="182"/>
      <c r="AD178" s="182"/>
      <c r="AE178" s="182"/>
      <c r="AF178" s="182"/>
      <c r="AG178" s="182"/>
      <c r="AH178" s="182"/>
      <c r="AI178" s="182"/>
      <c r="AJ178" s="182"/>
      <c r="AK178" s="182"/>
      <c r="AL178" s="182"/>
      <c r="AM178" s="182"/>
      <c r="AN178" s="182"/>
      <c r="AO178" s="182"/>
      <c r="AP178" s="182"/>
      <c r="AQ178" s="182"/>
      <c r="AR178" s="182"/>
      <c r="AS178" s="182"/>
      <c r="AT178" s="182"/>
      <c r="AU178" s="182"/>
      <c r="AV178" s="182"/>
      <c r="AW178" s="182"/>
      <c r="AX178" s="182"/>
      <c r="AY178" s="182"/>
      <c r="AZ178" s="182"/>
      <c r="BA178" s="182"/>
      <c r="BB178" s="182"/>
      <c r="BC178" s="182"/>
      <c r="BD178" s="182"/>
      <c r="BE178" s="182"/>
      <c r="BF178" s="182"/>
      <c r="BG178" s="182"/>
      <c r="BH178" s="182"/>
      <c r="BI178" s="182"/>
      <c r="BJ178" s="182"/>
      <c r="BK178" s="182"/>
      <c r="BL178" s="182"/>
      <c r="BM178" s="182"/>
      <c r="BN178" s="182"/>
      <c r="BO178" s="182"/>
      <c r="BP178" s="182"/>
      <c r="BQ178" s="182"/>
      <c r="BR178" s="182"/>
      <c r="BS178" s="182"/>
      <c r="BT178" s="182"/>
      <c r="BU178" s="182"/>
      <c r="BV178" s="182"/>
      <c r="BW178" s="182"/>
      <c r="BX178" s="182"/>
      <c r="BY178" s="182"/>
      <c r="BZ178" s="182"/>
      <c r="CA178" s="182"/>
      <c r="CB178" s="182"/>
      <c r="CC178" s="182"/>
      <c r="CD178" s="182"/>
      <c r="CE178" s="182"/>
      <c r="CF178" s="182"/>
      <c r="CG178" s="182"/>
      <c r="CH178" s="182"/>
      <c r="CI178" s="182"/>
      <c r="CJ178" s="182"/>
      <c r="CK178" s="182"/>
      <c r="CL178" s="182"/>
      <c r="CM178" s="182"/>
      <c r="CN178" s="182"/>
      <c r="CO178" s="182"/>
      <c r="CP178" s="182"/>
      <c r="CQ178" s="182"/>
      <c r="CR178" s="182"/>
      <c r="CS178" s="182"/>
      <c r="CT178" s="182"/>
      <c r="CU178" s="182"/>
      <c r="CV178" s="182"/>
      <c r="CW178" s="182"/>
      <c r="CX178" s="182"/>
      <c r="CY178" s="182"/>
      <c r="CZ178" s="182"/>
      <c r="DA178" s="182"/>
      <c r="DB178" s="182"/>
      <c r="DC178" s="182"/>
      <c r="DD178" s="182"/>
      <c r="DE178" s="182"/>
      <c r="DF178" s="182"/>
      <c r="DG178" s="182"/>
      <c r="DH178" s="182"/>
      <c r="DI178" s="182"/>
      <c r="DJ178" s="182"/>
      <c r="DK178" s="182"/>
      <c r="DL178" s="182"/>
      <c r="DM178" s="182"/>
      <c r="DN178" s="182"/>
      <c r="DO178" s="182"/>
      <c r="DP178" s="182"/>
      <c r="DQ178" s="182"/>
      <c r="DR178" s="182"/>
      <c r="DS178" s="182"/>
      <c r="DT178" s="182"/>
      <c r="DU178" s="182"/>
      <c r="DV178" s="182"/>
      <c r="DW178" s="182"/>
      <c r="DX178" s="182"/>
      <c r="DY178" s="182"/>
      <c r="DZ178" s="182"/>
      <c r="EA178" s="182"/>
      <c r="EB178" s="182"/>
      <c r="EC178" s="182"/>
      <c r="ED178" s="182"/>
      <c r="EE178" s="182"/>
      <c r="EF178" s="182"/>
      <c r="EG178" s="182"/>
      <c r="EH178" s="182"/>
      <c r="EI178" s="182"/>
      <c r="EJ178" s="182"/>
      <c r="EK178" s="182"/>
      <c r="EL178" s="182"/>
      <c r="EM178" s="182"/>
      <c r="EN178" s="182"/>
      <c r="EO178" s="182"/>
      <c r="EP178" s="182"/>
      <c r="EQ178" s="182"/>
      <c r="ER178" s="182"/>
      <c r="ES178" s="182"/>
      <c r="ET178" s="182"/>
      <c r="EU178" s="182"/>
      <c r="EV178" s="182"/>
      <c r="EW178" s="182"/>
      <c r="EX178" s="182"/>
      <c r="EY178" s="182"/>
      <c r="EZ178" s="182"/>
      <c r="FA178" s="182"/>
      <c r="FB178" s="182"/>
      <c r="FC178" s="182"/>
      <c r="FD178" s="182"/>
      <c r="FE178" s="182"/>
      <c r="FF178" s="182"/>
      <c r="FG178" s="182"/>
      <c r="FH178" s="182"/>
      <c r="FI178" s="182"/>
      <c r="FJ178" s="182"/>
      <c r="FK178" s="182"/>
      <c r="FL178" s="182"/>
      <c r="FM178" s="182"/>
      <c r="FN178" s="182"/>
      <c r="FO178" s="182"/>
      <c r="FP178" s="182"/>
      <c r="FQ178" s="182"/>
      <c r="FR178" s="182"/>
      <c r="FS178" s="182"/>
      <c r="FT178" s="182"/>
      <c r="FU178" s="182"/>
      <c r="FV178" s="182"/>
      <c r="FW178" s="182"/>
      <c r="FX178" s="182"/>
      <c r="FY178" s="182"/>
      <c r="FZ178" s="182"/>
      <c r="GA178" s="182"/>
      <c r="GB178" s="182"/>
      <c r="GC178" s="182"/>
      <c r="GD178" s="182"/>
      <c r="GE178" s="182"/>
      <c r="GF178" s="182"/>
      <c r="GG178" s="182"/>
      <c r="GH178" s="182"/>
      <c r="GI178" s="182"/>
    </row>
    <row r="179" spans="1:191" s="183" customFormat="1" x14ac:dyDescent="0.2">
      <c r="A179" s="210" t="s">
        <v>38484</v>
      </c>
      <c r="B179" s="210" t="s">
        <v>19027</v>
      </c>
      <c r="C179" s="224" t="s">
        <v>22289</v>
      </c>
      <c r="D179" s="211" t="s">
        <v>16</v>
      </c>
      <c r="E179" s="211">
        <v>2</v>
      </c>
      <c r="F179" s="211"/>
      <c r="G179" s="211">
        <v>0.3</v>
      </c>
      <c r="H179" s="212"/>
      <c r="I179" s="213"/>
      <c r="J179" s="272">
        <v>495.18</v>
      </c>
      <c r="K179" s="112">
        <f t="shared" si="17"/>
        <v>990.36</v>
      </c>
      <c r="L179" s="273">
        <f>BDI!$E$17</f>
        <v>0.11260000000000001</v>
      </c>
      <c r="M179" s="213"/>
      <c r="N179" s="213"/>
      <c r="O179" s="114">
        <f t="shared" si="18"/>
        <v>550.94000000000005</v>
      </c>
      <c r="P179" s="113">
        <f t="shared" si="19"/>
        <v>330.56</v>
      </c>
      <c r="Q179" s="209"/>
      <c r="R179" s="203"/>
      <c r="S179" s="182"/>
      <c r="T179" s="182"/>
      <c r="U179" s="182"/>
      <c r="V179" s="182"/>
      <c r="W179" s="182"/>
      <c r="X179" s="182"/>
      <c r="Y179" s="182"/>
      <c r="Z179" s="182"/>
      <c r="AA179" s="182"/>
      <c r="AB179" s="182"/>
      <c r="AC179" s="182"/>
      <c r="AD179" s="182"/>
      <c r="AE179" s="182"/>
      <c r="AF179" s="182"/>
      <c r="AG179" s="182"/>
      <c r="AH179" s="182"/>
      <c r="AI179" s="182"/>
      <c r="AJ179" s="182"/>
      <c r="AK179" s="182"/>
      <c r="AL179" s="182"/>
      <c r="AM179" s="182"/>
      <c r="AN179" s="182"/>
      <c r="AO179" s="182"/>
      <c r="AP179" s="182"/>
      <c r="AQ179" s="182"/>
      <c r="AR179" s="182"/>
      <c r="AS179" s="182"/>
      <c r="AT179" s="182"/>
      <c r="AU179" s="182"/>
      <c r="AV179" s="182"/>
      <c r="AW179" s="182"/>
      <c r="AX179" s="182"/>
      <c r="AY179" s="182"/>
      <c r="AZ179" s="182"/>
      <c r="BA179" s="182"/>
      <c r="BB179" s="182"/>
      <c r="BC179" s="182"/>
      <c r="BD179" s="182"/>
      <c r="BE179" s="182"/>
      <c r="BF179" s="182"/>
      <c r="BG179" s="182"/>
      <c r="BH179" s="182"/>
      <c r="BI179" s="182"/>
      <c r="BJ179" s="182"/>
      <c r="BK179" s="182"/>
      <c r="BL179" s="182"/>
      <c r="BM179" s="182"/>
      <c r="BN179" s="182"/>
      <c r="BO179" s="182"/>
      <c r="BP179" s="182"/>
      <c r="BQ179" s="182"/>
      <c r="BR179" s="182"/>
      <c r="BS179" s="182"/>
      <c r="BT179" s="182"/>
      <c r="BU179" s="182"/>
      <c r="BV179" s="182"/>
      <c r="BW179" s="182"/>
      <c r="BX179" s="182"/>
      <c r="BY179" s="182"/>
      <c r="BZ179" s="182"/>
      <c r="CA179" s="182"/>
      <c r="CB179" s="182"/>
      <c r="CC179" s="182"/>
      <c r="CD179" s="182"/>
      <c r="CE179" s="182"/>
      <c r="CF179" s="182"/>
      <c r="CG179" s="182"/>
      <c r="CH179" s="182"/>
      <c r="CI179" s="182"/>
      <c r="CJ179" s="182"/>
      <c r="CK179" s="182"/>
      <c r="CL179" s="182"/>
      <c r="CM179" s="182"/>
      <c r="CN179" s="182"/>
      <c r="CO179" s="182"/>
      <c r="CP179" s="182"/>
      <c r="CQ179" s="182"/>
      <c r="CR179" s="182"/>
      <c r="CS179" s="182"/>
      <c r="CT179" s="182"/>
      <c r="CU179" s="182"/>
      <c r="CV179" s="182"/>
      <c r="CW179" s="182"/>
      <c r="CX179" s="182"/>
      <c r="CY179" s="182"/>
      <c r="CZ179" s="182"/>
      <c r="DA179" s="182"/>
      <c r="DB179" s="182"/>
      <c r="DC179" s="182"/>
      <c r="DD179" s="182"/>
      <c r="DE179" s="182"/>
      <c r="DF179" s="182"/>
      <c r="DG179" s="182"/>
      <c r="DH179" s="182"/>
      <c r="DI179" s="182"/>
      <c r="DJ179" s="182"/>
      <c r="DK179" s="182"/>
      <c r="DL179" s="182"/>
      <c r="DM179" s="182"/>
      <c r="DN179" s="182"/>
      <c r="DO179" s="182"/>
      <c r="DP179" s="182"/>
      <c r="DQ179" s="182"/>
      <c r="DR179" s="182"/>
      <c r="DS179" s="182"/>
      <c r="DT179" s="182"/>
      <c r="DU179" s="182"/>
      <c r="DV179" s="182"/>
      <c r="DW179" s="182"/>
      <c r="DX179" s="182"/>
      <c r="DY179" s="182"/>
      <c r="DZ179" s="182"/>
      <c r="EA179" s="182"/>
      <c r="EB179" s="182"/>
      <c r="EC179" s="182"/>
      <c r="ED179" s="182"/>
      <c r="EE179" s="182"/>
      <c r="EF179" s="182"/>
      <c r="EG179" s="182"/>
      <c r="EH179" s="182"/>
      <c r="EI179" s="182"/>
      <c r="EJ179" s="182"/>
      <c r="EK179" s="182"/>
      <c r="EL179" s="182"/>
      <c r="EM179" s="182"/>
      <c r="EN179" s="182"/>
      <c r="EO179" s="182"/>
      <c r="EP179" s="182"/>
      <c r="EQ179" s="182"/>
      <c r="ER179" s="182"/>
      <c r="ES179" s="182"/>
      <c r="ET179" s="182"/>
      <c r="EU179" s="182"/>
      <c r="EV179" s="182"/>
      <c r="EW179" s="182"/>
      <c r="EX179" s="182"/>
      <c r="EY179" s="182"/>
      <c r="EZ179" s="182"/>
      <c r="FA179" s="182"/>
      <c r="FB179" s="182"/>
      <c r="FC179" s="182"/>
      <c r="FD179" s="182"/>
      <c r="FE179" s="182"/>
      <c r="FF179" s="182"/>
      <c r="FG179" s="182"/>
      <c r="FH179" s="182"/>
      <c r="FI179" s="182"/>
      <c r="FJ179" s="182"/>
      <c r="FK179" s="182"/>
      <c r="FL179" s="182"/>
      <c r="FM179" s="182"/>
      <c r="FN179" s="182"/>
      <c r="FO179" s="182"/>
      <c r="FP179" s="182"/>
      <c r="FQ179" s="182"/>
      <c r="FR179" s="182"/>
      <c r="FS179" s="182"/>
      <c r="FT179" s="182"/>
      <c r="FU179" s="182"/>
      <c r="FV179" s="182"/>
      <c r="FW179" s="182"/>
      <c r="FX179" s="182"/>
      <c r="FY179" s="182"/>
      <c r="FZ179" s="182"/>
      <c r="GA179" s="182"/>
      <c r="GB179" s="182"/>
      <c r="GC179" s="182"/>
      <c r="GD179" s="182"/>
      <c r="GE179" s="182"/>
      <c r="GF179" s="182"/>
      <c r="GG179" s="182"/>
      <c r="GH179" s="182"/>
      <c r="GI179" s="182"/>
    </row>
    <row r="180" spans="1:191" s="183" customFormat="1" x14ac:dyDescent="0.2">
      <c r="A180" s="210" t="s">
        <v>38485</v>
      </c>
      <c r="B180" s="210" t="s">
        <v>19028</v>
      </c>
      <c r="C180" s="224" t="s">
        <v>22290</v>
      </c>
      <c r="D180" s="211" t="s">
        <v>16</v>
      </c>
      <c r="E180" s="211">
        <v>2</v>
      </c>
      <c r="F180" s="211"/>
      <c r="G180" s="211">
        <v>0.3</v>
      </c>
      <c r="H180" s="212"/>
      <c r="I180" s="213"/>
      <c r="J180" s="272">
        <v>613.97</v>
      </c>
      <c r="K180" s="112">
        <f t="shared" si="17"/>
        <v>1227.94</v>
      </c>
      <c r="L180" s="273">
        <f>BDI!$E$17</f>
        <v>0.11260000000000001</v>
      </c>
      <c r="M180" s="213"/>
      <c r="N180" s="213"/>
      <c r="O180" s="114">
        <f t="shared" si="18"/>
        <v>683.1</v>
      </c>
      <c r="P180" s="113">
        <f t="shared" si="19"/>
        <v>409.86</v>
      </c>
      <c r="Q180" s="209"/>
      <c r="R180" s="203"/>
      <c r="S180" s="182"/>
      <c r="T180" s="182"/>
      <c r="U180" s="182"/>
      <c r="V180" s="182"/>
      <c r="W180" s="182"/>
      <c r="X180" s="182"/>
      <c r="Y180" s="182"/>
      <c r="Z180" s="182"/>
      <c r="AA180" s="182"/>
      <c r="AB180" s="182"/>
      <c r="AC180" s="182"/>
      <c r="AD180" s="182"/>
      <c r="AE180" s="182"/>
      <c r="AF180" s="182"/>
      <c r="AG180" s="182"/>
      <c r="AH180" s="182"/>
      <c r="AI180" s="182"/>
      <c r="AJ180" s="182"/>
      <c r="AK180" s="182"/>
      <c r="AL180" s="182"/>
      <c r="AM180" s="182"/>
      <c r="AN180" s="182"/>
      <c r="AO180" s="182"/>
      <c r="AP180" s="182"/>
      <c r="AQ180" s="182"/>
      <c r="AR180" s="182"/>
      <c r="AS180" s="182"/>
      <c r="AT180" s="182"/>
      <c r="AU180" s="182"/>
      <c r="AV180" s="182"/>
      <c r="AW180" s="182"/>
      <c r="AX180" s="182"/>
      <c r="AY180" s="182"/>
      <c r="AZ180" s="182"/>
      <c r="BA180" s="182"/>
      <c r="BB180" s="182"/>
      <c r="BC180" s="182"/>
      <c r="BD180" s="182"/>
      <c r="BE180" s="182"/>
      <c r="BF180" s="182"/>
      <c r="BG180" s="182"/>
      <c r="BH180" s="182"/>
      <c r="BI180" s="182"/>
      <c r="BJ180" s="182"/>
      <c r="BK180" s="182"/>
      <c r="BL180" s="182"/>
      <c r="BM180" s="182"/>
      <c r="BN180" s="182"/>
      <c r="BO180" s="182"/>
      <c r="BP180" s="182"/>
      <c r="BQ180" s="182"/>
      <c r="BR180" s="182"/>
      <c r="BS180" s="182"/>
      <c r="BT180" s="182"/>
      <c r="BU180" s="182"/>
      <c r="BV180" s="182"/>
      <c r="BW180" s="182"/>
      <c r="BX180" s="182"/>
      <c r="BY180" s="182"/>
      <c r="BZ180" s="182"/>
      <c r="CA180" s="182"/>
      <c r="CB180" s="182"/>
      <c r="CC180" s="182"/>
      <c r="CD180" s="182"/>
      <c r="CE180" s="182"/>
      <c r="CF180" s="182"/>
      <c r="CG180" s="182"/>
      <c r="CH180" s="182"/>
      <c r="CI180" s="182"/>
      <c r="CJ180" s="182"/>
      <c r="CK180" s="182"/>
      <c r="CL180" s="182"/>
      <c r="CM180" s="182"/>
      <c r="CN180" s="182"/>
      <c r="CO180" s="182"/>
      <c r="CP180" s="182"/>
      <c r="CQ180" s="182"/>
      <c r="CR180" s="182"/>
      <c r="CS180" s="182"/>
      <c r="CT180" s="182"/>
      <c r="CU180" s="182"/>
      <c r="CV180" s="182"/>
      <c r="CW180" s="182"/>
      <c r="CX180" s="182"/>
      <c r="CY180" s="182"/>
      <c r="CZ180" s="182"/>
      <c r="DA180" s="182"/>
      <c r="DB180" s="182"/>
      <c r="DC180" s="182"/>
      <c r="DD180" s="182"/>
      <c r="DE180" s="182"/>
      <c r="DF180" s="182"/>
      <c r="DG180" s="182"/>
      <c r="DH180" s="182"/>
      <c r="DI180" s="182"/>
      <c r="DJ180" s="182"/>
      <c r="DK180" s="182"/>
      <c r="DL180" s="182"/>
      <c r="DM180" s="182"/>
      <c r="DN180" s="182"/>
      <c r="DO180" s="182"/>
      <c r="DP180" s="182"/>
      <c r="DQ180" s="182"/>
      <c r="DR180" s="182"/>
      <c r="DS180" s="182"/>
      <c r="DT180" s="182"/>
      <c r="DU180" s="182"/>
      <c r="DV180" s="182"/>
      <c r="DW180" s="182"/>
      <c r="DX180" s="182"/>
      <c r="DY180" s="182"/>
      <c r="DZ180" s="182"/>
      <c r="EA180" s="182"/>
      <c r="EB180" s="182"/>
      <c r="EC180" s="182"/>
      <c r="ED180" s="182"/>
      <c r="EE180" s="182"/>
      <c r="EF180" s="182"/>
      <c r="EG180" s="182"/>
      <c r="EH180" s="182"/>
      <c r="EI180" s="182"/>
      <c r="EJ180" s="182"/>
      <c r="EK180" s="182"/>
      <c r="EL180" s="182"/>
      <c r="EM180" s="182"/>
      <c r="EN180" s="182"/>
      <c r="EO180" s="182"/>
      <c r="EP180" s="182"/>
      <c r="EQ180" s="182"/>
      <c r="ER180" s="182"/>
      <c r="ES180" s="182"/>
      <c r="ET180" s="182"/>
      <c r="EU180" s="182"/>
      <c r="EV180" s="182"/>
      <c r="EW180" s="182"/>
      <c r="EX180" s="182"/>
      <c r="EY180" s="182"/>
      <c r="EZ180" s="182"/>
      <c r="FA180" s="182"/>
      <c r="FB180" s="182"/>
      <c r="FC180" s="182"/>
      <c r="FD180" s="182"/>
      <c r="FE180" s="182"/>
      <c r="FF180" s="182"/>
      <c r="FG180" s="182"/>
      <c r="FH180" s="182"/>
      <c r="FI180" s="182"/>
      <c r="FJ180" s="182"/>
      <c r="FK180" s="182"/>
      <c r="FL180" s="182"/>
      <c r="FM180" s="182"/>
      <c r="FN180" s="182"/>
      <c r="FO180" s="182"/>
      <c r="FP180" s="182"/>
      <c r="FQ180" s="182"/>
      <c r="FR180" s="182"/>
      <c r="FS180" s="182"/>
      <c r="FT180" s="182"/>
      <c r="FU180" s="182"/>
      <c r="FV180" s="182"/>
      <c r="FW180" s="182"/>
      <c r="FX180" s="182"/>
      <c r="FY180" s="182"/>
      <c r="FZ180" s="182"/>
      <c r="GA180" s="182"/>
      <c r="GB180" s="182"/>
      <c r="GC180" s="182"/>
      <c r="GD180" s="182"/>
      <c r="GE180" s="182"/>
      <c r="GF180" s="182"/>
      <c r="GG180" s="182"/>
      <c r="GH180" s="182"/>
      <c r="GI180" s="182"/>
    </row>
    <row r="181" spans="1:191" s="183" customFormat="1" x14ac:dyDescent="0.2">
      <c r="A181" s="210" t="s">
        <v>38486</v>
      </c>
      <c r="B181" s="210" t="s">
        <v>19029</v>
      </c>
      <c r="C181" s="224" t="s">
        <v>22291</v>
      </c>
      <c r="D181" s="211" t="s">
        <v>16</v>
      </c>
      <c r="E181" s="211">
        <v>2</v>
      </c>
      <c r="F181" s="211"/>
      <c r="G181" s="211">
        <v>0.3</v>
      </c>
      <c r="H181" s="212"/>
      <c r="I181" s="213"/>
      <c r="J181" s="272">
        <v>701.57</v>
      </c>
      <c r="K181" s="112">
        <f t="shared" si="17"/>
        <v>1403.14</v>
      </c>
      <c r="L181" s="273">
        <f>BDI!$E$17</f>
        <v>0.11260000000000001</v>
      </c>
      <c r="M181" s="213"/>
      <c r="N181" s="213"/>
      <c r="O181" s="114">
        <f t="shared" si="18"/>
        <v>780.57</v>
      </c>
      <c r="P181" s="113">
        <f t="shared" si="19"/>
        <v>468.34</v>
      </c>
      <c r="Q181" s="209"/>
      <c r="R181" s="203"/>
      <c r="S181" s="182"/>
      <c r="T181" s="182"/>
      <c r="U181" s="182"/>
      <c r="V181" s="182"/>
      <c r="W181" s="182"/>
      <c r="X181" s="182"/>
      <c r="Y181" s="182"/>
      <c r="Z181" s="182"/>
      <c r="AA181" s="182"/>
      <c r="AB181" s="182"/>
      <c r="AC181" s="182"/>
      <c r="AD181" s="182"/>
      <c r="AE181" s="182"/>
      <c r="AF181" s="182"/>
      <c r="AG181" s="182"/>
      <c r="AH181" s="182"/>
      <c r="AI181" s="182"/>
      <c r="AJ181" s="182"/>
      <c r="AK181" s="182"/>
      <c r="AL181" s="182"/>
      <c r="AM181" s="182"/>
      <c r="AN181" s="182"/>
      <c r="AO181" s="182"/>
      <c r="AP181" s="182"/>
      <c r="AQ181" s="182"/>
      <c r="AR181" s="182"/>
      <c r="AS181" s="182"/>
      <c r="AT181" s="182"/>
      <c r="AU181" s="182"/>
      <c r="AV181" s="182"/>
      <c r="AW181" s="182"/>
      <c r="AX181" s="182"/>
      <c r="AY181" s="182"/>
      <c r="AZ181" s="182"/>
      <c r="BA181" s="182"/>
      <c r="BB181" s="182"/>
      <c r="BC181" s="182"/>
      <c r="BD181" s="182"/>
      <c r="BE181" s="182"/>
      <c r="BF181" s="182"/>
      <c r="BG181" s="182"/>
      <c r="BH181" s="182"/>
      <c r="BI181" s="182"/>
      <c r="BJ181" s="182"/>
      <c r="BK181" s="182"/>
      <c r="BL181" s="182"/>
      <c r="BM181" s="182"/>
      <c r="BN181" s="182"/>
      <c r="BO181" s="182"/>
      <c r="BP181" s="182"/>
      <c r="BQ181" s="182"/>
      <c r="BR181" s="182"/>
      <c r="BS181" s="182"/>
      <c r="BT181" s="182"/>
      <c r="BU181" s="182"/>
      <c r="BV181" s="182"/>
      <c r="BW181" s="182"/>
      <c r="BX181" s="182"/>
      <c r="BY181" s="182"/>
      <c r="BZ181" s="182"/>
      <c r="CA181" s="182"/>
      <c r="CB181" s="182"/>
      <c r="CC181" s="182"/>
      <c r="CD181" s="182"/>
      <c r="CE181" s="182"/>
      <c r="CF181" s="182"/>
      <c r="CG181" s="182"/>
      <c r="CH181" s="182"/>
      <c r="CI181" s="182"/>
      <c r="CJ181" s="182"/>
      <c r="CK181" s="182"/>
      <c r="CL181" s="182"/>
      <c r="CM181" s="182"/>
      <c r="CN181" s="182"/>
      <c r="CO181" s="182"/>
      <c r="CP181" s="182"/>
      <c r="CQ181" s="182"/>
      <c r="CR181" s="182"/>
      <c r="CS181" s="182"/>
      <c r="CT181" s="182"/>
      <c r="CU181" s="182"/>
      <c r="CV181" s="182"/>
      <c r="CW181" s="182"/>
      <c r="CX181" s="182"/>
      <c r="CY181" s="182"/>
      <c r="CZ181" s="182"/>
      <c r="DA181" s="182"/>
      <c r="DB181" s="182"/>
      <c r="DC181" s="182"/>
      <c r="DD181" s="182"/>
      <c r="DE181" s="182"/>
      <c r="DF181" s="182"/>
      <c r="DG181" s="182"/>
      <c r="DH181" s="182"/>
      <c r="DI181" s="182"/>
      <c r="DJ181" s="182"/>
      <c r="DK181" s="182"/>
      <c r="DL181" s="182"/>
      <c r="DM181" s="182"/>
      <c r="DN181" s="182"/>
      <c r="DO181" s="182"/>
      <c r="DP181" s="182"/>
      <c r="DQ181" s="182"/>
      <c r="DR181" s="182"/>
      <c r="DS181" s="182"/>
      <c r="DT181" s="182"/>
      <c r="DU181" s="182"/>
      <c r="DV181" s="182"/>
      <c r="DW181" s="182"/>
      <c r="DX181" s="182"/>
      <c r="DY181" s="182"/>
      <c r="DZ181" s="182"/>
      <c r="EA181" s="182"/>
      <c r="EB181" s="182"/>
      <c r="EC181" s="182"/>
      <c r="ED181" s="182"/>
      <c r="EE181" s="182"/>
      <c r="EF181" s="182"/>
      <c r="EG181" s="182"/>
      <c r="EH181" s="182"/>
      <c r="EI181" s="182"/>
      <c r="EJ181" s="182"/>
      <c r="EK181" s="182"/>
      <c r="EL181" s="182"/>
      <c r="EM181" s="182"/>
      <c r="EN181" s="182"/>
      <c r="EO181" s="182"/>
      <c r="EP181" s="182"/>
      <c r="EQ181" s="182"/>
      <c r="ER181" s="182"/>
      <c r="ES181" s="182"/>
      <c r="ET181" s="182"/>
      <c r="EU181" s="182"/>
      <c r="EV181" s="182"/>
      <c r="EW181" s="182"/>
      <c r="EX181" s="182"/>
      <c r="EY181" s="182"/>
      <c r="EZ181" s="182"/>
      <c r="FA181" s="182"/>
      <c r="FB181" s="182"/>
      <c r="FC181" s="182"/>
      <c r="FD181" s="182"/>
      <c r="FE181" s="182"/>
      <c r="FF181" s="182"/>
      <c r="FG181" s="182"/>
      <c r="FH181" s="182"/>
      <c r="FI181" s="182"/>
      <c r="FJ181" s="182"/>
      <c r="FK181" s="182"/>
      <c r="FL181" s="182"/>
      <c r="FM181" s="182"/>
      <c r="FN181" s="182"/>
      <c r="FO181" s="182"/>
      <c r="FP181" s="182"/>
      <c r="FQ181" s="182"/>
      <c r="FR181" s="182"/>
      <c r="FS181" s="182"/>
      <c r="FT181" s="182"/>
      <c r="FU181" s="182"/>
      <c r="FV181" s="182"/>
      <c r="FW181" s="182"/>
      <c r="FX181" s="182"/>
      <c r="FY181" s="182"/>
      <c r="FZ181" s="182"/>
      <c r="GA181" s="182"/>
      <c r="GB181" s="182"/>
      <c r="GC181" s="182"/>
      <c r="GD181" s="182"/>
      <c r="GE181" s="182"/>
      <c r="GF181" s="182"/>
      <c r="GG181" s="182"/>
      <c r="GH181" s="182"/>
      <c r="GI181" s="182"/>
    </row>
    <row r="182" spans="1:191" s="183" customFormat="1" x14ac:dyDescent="0.2">
      <c r="A182" s="210" t="s">
        <v>38487</v>
      </c>
      <c r="B182" s="210" t="s">
        <v>19030</v>
      </c>
      <c r="C182" s="224" t="s">
        <v>22292</v>
      </c>
      <c r="D182" s="211" t="s">
        <v>16</v>
      </c>
      <c r="E182" s="211">
        <v>2</v>
      </c>
      <c r="F182" s="211"/>
      <c r="G182" s="211">
        <v>0.3</v>
      </c>
      <c r="H182" s="212"/>
      <c r="I182" s="213"/>
      <c r="J182" s="272">
        <v>935.52</v>
      </c>
      <c r="K182" s="112">
        <f t="shared" si="17"/>
        <v>1871.04</v>
      </c>
      <c r="L182" s="273">
        <f>BDI!$E$17</f>
        <v>0.11260000000000001</v>
      </c>
      <c r="M182" s="213"/>
      <c r="N182" s="213"/>
      <c r="O182" s="114">
        <f t="shared" si="18"/>
        <v>1040.8599999999999</v>
      </c>
      <c r="P182" s="113">
        <f t="shared" si="19"/>
        <v>624.52</v>
      </c>
      <c r="Q182" s="209"/>
      <c r="R182" s="203"/>
      <c r="S182" s="182"/>
      <c r="T182" s="182"/>
      <c r="U182" s="182"/>
      <c r="V182" s="182"/>
      <c r="W182" s="182"/>
      <c r="X182" s="182"/>
      <c r="Y182" s="182"/>
      <c r="Z182" s="182"/>
      <c r="AA182" s="182"/>
      <c r="AB182" s="182"/>
      <c r="AC182" s="182"/>
      <c r="AD182" s="182"/>
      <c r="AE182" s="182"/>
      <c r="AF182" s="182"/>
      <c r="AG182" s="182"/>
      <c r="AH182" s="182"/>
      <c r="AI182" s="182"/>
      <c r="AJ182" s="182"/>
      <c r="AK182" s="182"/>
      <c r="AL182" s="182"/>
      <c r="AM182" s="182"/>
      <c r="AN182" s="182"/>
      <c r="AO182" s="182"/>
      <c r="AP182" s="182"/>
      <c r="AQ182" s="182"/>
      <c r="AR182" s="182"/>
      <c r="AS182" s="182"/>
      <c r="AT182" s="182"/>
      <c r="AU182" s="182"/>
      <c r="AV182" s="182"/>
      <c r="AW182" s="182"/>
      <c r="AX182" s="182"/>
      <c r="AY182" s="182"/>
      <c r="AZ182" s="182"/>
      <c r="BA182" s="182"/>
      <c r="BB182" s="182"/>
      <c r="BC182" s="182"/>
      <c r="BD182" s="182"/>
      <c r="BE182" s="182"/>
      <c r="BF182" s="182"/>
      <c r="BG182" s="182"/>
      <c r="BH182" s="182"/>
      <c r="BI182" s="182"/>
      <c r="BJ182" s="182"/>
      <c r="BK182" s="182"/>
      <c r="BL182" s="182"/>
      <c r="BM182" s="182"/>
      <c r="BN182" s="182"/>
      <c r="BO182" s="182"/>
      <c r="BP182" s="182"/>
      <c r="BQ182" s="182"/>
      <c r="BR182" s="182"/>
      <c r="BS182" s="182"/>
      <c r="BT182" s="182"/>
      <c r="BU182" s="182"/>
      <c r="BV182" s="182"/>
      <c r="BW182" s="182"/>
      <c r="BX182" s="182"/>
      <c r="BY182" s="182"/>
      <c r="BZ182" s="182"/>
      <c r="CA182" s="182"/>
      <c r="CB182" s="182"/>
      <c r="CC182" s="182"/>
      <c r="CD182" s="182"/>
      <c r="CE182" s="182"/>
      <c r="CF182" s="182"/>
      <c r="CG182" s="182"/>
      <c r="CH182" s="182"/>
      <c r="CI182" s="182"/>
      <c r="CJ182" s="182"/>
      <c r="CK182" s="182"/>
      <c r="CL182" s="182"/>
      <c r="CM182" s="182"/>
      <c r="CN182" s="182"/>
      <c r="CO182" s="182"/>
      <c r="CP182" s="182"/>
      <c r="CQ182" s="182"/>
      <c r="CR182" s="182"/>
      <c r="CS182" s="182"/>
      <c r="CT182" s="182"/>
      <c r="CU182" s="182"/>
      <c r="CV182" s="182"/>
      <c r="CW182" s="182"/>
      <c r="CX182" s="182"/>
      <c r="CY182" s="182"/>
      <c r="CZ182" s="182"/>
      <c r="DA182" s="182"/>
      <c r="DB182" s="182"/>
      <c r="DC182" s="182"/>
      <c r="DD182" s="182"/>
      <c r="DE182" s="182"/>
      <c r="DF182" s="182"/>
      <c r="DG182" s="182"/>
      <c r="DH182" s="182"/>
      <c r="DI182" s="182"/>
      <c r="DJ182" s="182"/>
      <c r="DK182" s="182"/>
      <c r="DL182" s="182"/>
      <c r="DM182" s="182"/>
      <c r="DN182" s="182"/>
      <c r="DO182" s="182"/>
      <c r="DP182" s="182"/>
      <c r="DQ182" s="182"/>
      <c r="DR182" s="182"/>
      <c r="DS182" s="182"/>
      <c r="DT182" s="182"/>
      <c r="DU182" s="182"/>
      <c r="DV182" s="182"/>
      <c r="DW182" s="182"/>
      <c r="DX182" s="182"/>
      <c r="DY182" s="182"/>
      <c r="DZ182" s="182"/>
      <c r="EA182" s="182"/>
      <c r="EB182" s="182"/>
      <c r="EC182" s="182"/>
      <c r="ED182" s="182"/>
      <c r="EE182" s="182"/>
      <c r="EF182" s="182"/>
      <c r="EG182" s="182"/>
      <c r="EH182" s="182"/>
      <c r="EI182" s="182"/>
      <c r="EJ182" s="182"/>
      <c r="EK182" s="182"/>
      <c r="EL182" s="182"/>
      <c r="EM182" s="182"/>
      <c r="EN182" s="182"/>
      <c r="EO182" s="182"/>
      <c r="EP182" s="182"/>
      <c r="EQ182" s="182"/>
      <c r="ER182" s="182"/>
      <c r="ES182" s="182"/>
      <c r="ET182" s="182"/>
      <c r="EU182" s="182"/>
      <c r="EV182" s="182"/>
      <c r="EW182" s="182"/>
      <c r="EX182" s="182"/>
      <c r="EY182" s="182"/>
      <c r="EZ182" s="182"/>
      <c r="FA182" s="182"/>
      <c r="FB182" s="182"/>
      <c r="FC182" s="182"/>
      <c r="FD182" s="182"/>
      <c r="FE182" s="182"/>
      <c r="FF182" s="182"/>
      <c r="FG182" s="182"/>
      <c r="FH182" s="182"/>
      <c r="FI182" s="182"/>
      <c r="FJ182" s="182"/>
      <c r="FK182" s="182"/>
      <c r="FL182" s="182"/>
      <c r="FM182" s="182"/>
      <c r="FN182" s="182"/>
      <c r="FO182" s="182"/>
      <c r="FP182" s="182"/>
      <c r="FQ182" s="182"/>
      <c r="FR182" s="182"/>
      <c r="FS182" s="182"/>
      <c r="FT182" s="182"/>
      <c r="FU182" s="182"/>
      <c r="FV182" s="182"/>
      <c r="FW182" s="182"/>
      <c r="FX182" s="182"/>
      <c r="FY182" s="182"/>
      <c r="FZ182" s="182"/>
      <c r="GA182" s="182"/>
      <c r="GB182" s="182"/>
      <c r="GC182" s="182"/>
      <c r="GD182" s="182"/>
      <c r="GE182" s="182"/>
      <c r="GF182" s="182"/>
      <c r="GG182" s="182"/>
      <c r="GH182" s="182"/>
      <c r="GI182" s="182"/>
    </row>
    <row r="183" spans="1:191" s="183" customFormat="1" x14ac:dyDescent="0.2">
      <c r="A183" s="210" t="s">
        <v>38488</v>
      </c>
      <c r="B183" s="210" t="s">
        <v>19031</v>
      </c>
      <c r="C183" s="224" t="s">
        <v>22293</v>
      </c>
      <c r="D183" s="211" t="s">
        <v>16</v>
      </c>
      <c r="E183" s="211">
        <v>2</v>
      </c>
      <c r="F183" s="211"/>
      <c r="G183" s="211">
        <v>0.3</v>
      </c>
      <c r="H183" s="212"/>
      <c r="I183" s="213"/>
      <c r="J183" s="272">
        <v>1187.57</v>
      </c>
      <c r="K183" s="112">
        <f t="shared" si="17"/>
        <v>2375.14</v>
      </c>
      <c r="L183" s="273">
        <f>BDI!$E$17</f>
        <v>0.11260000000000001</v>
      </c>
      <c r="M183" s="213"/>
      <c r="N183" s="213"/>
      <c r="O183" s="114">
        <f t="shared" si="18"/>
        <v>1321.29</v>
      </c>
      <c r="P183" s="113">
        <f t="shared" si="19"/>
        <v>792.77</v>
      </c>
      <c r="Q183" s="209"/>
      <c r="R183" s="203"/>
      <c r="S183" s="182"/>
      <c r="T183" s="182"/>
      <c r="U183" s="182"/>
      <c r="V183" s="182"/>
      <c r="W183" s="182"/>
      <c r="X183" s="182"/>
      <c r="Y183" s="182"/>
      <c r="Z183" s="182"/>
      <c r="AA183" s="182"/>
      <c r="AB183" s="182"/>
      <c r="AC183" s="182"/>
      <c r="AD183" s="182"/>
      <c r="AE183" s="182"/>
      <c r="AF183" s="182"/>
      <c r="AG183" s="182"/>
      <c r="AH183" s="182"/>
      <c r="AI183" s="182"/>
      <c r="AJ183" s="182"/>
      <c r="AK183" s="182"/>
      <c r="AL183" s="182"/>
      <c r="AM183" s="182"/>
      <c r="AN183" s="182"/>
      <c r="AO183" s="182"/>
      <c r="AP183" s="182"/>
      <c r="AQ183" s="182"/>
      <c r="AR183" s="182"/>
      <c r="AS183" s="182"/>
      <c r="AT183" s="182"/>
      <c r="AU183" s="182"/>
      <c r="AV183" s="182"/>
      <c r="AW183" s="182"/>
      <c r="AX183" s="182"/>
      <c r="AY183" s="182"/>
      <c r="AZ183" s="182"/>
      <c r="BA183" s="182"/>
      <c r="BB183" s="182"/>
      <c r="BC183" s="182"/>
      <c r="BD183" s="182"/>
      <c r="BE183" s="182"/>
      <c r="BF183" s="182"/>
      <c r="BG183" s="182"/>
      <c r="BH183" s="182"/>
      <c r="BI183" s="182"/>
      <c r="BJ183" s="182"/>
      <c r="BK183" s="182"/>
      <c r="BL183" s="182"/>
      <c r="BM183" s="182"/>
      <c r="BN183" s="182"/>
      <c r="BO183" s="182"/>
      <c r="BP183" s="182"/>
      <c r="BQ183" s="182"/>
      <c r="BR183" s="182"/>
      <c r="BS183" s="182"/>
      <c r="BT183" s="182"/>
      <c r="BU183" s="182"/>
      <c r="BV183" s="182"/>
      <c r="BW183" s="182"/>
      <c r="BX183" s="182"/>
      <c r="BY183" s="182"/>
      <c r="BZ183" s="182"/>
      <c r="CA183" s="182"/>
      <c r="CB183" s="182"/>
      <c r="CC183" s="182"/>
      <c r="CD183" s="182"/>
      <c r="CE183" s="182"/>
      <c r="CF183" s="182"/>
      <c r="CG183" s="182"/>
      <c r="CH183" s="182"/>
      <c r="CI183" s="182"/>
      <c r="CJ183" s="182"/>
      <c r="CK183" s="182"/>
      <c r="CL183" s="182"/>
      <c r="CM183" s="182"/>
      <c r="CN183" s="182"/>
      <c r="CO183" s="182"/>
      <c r="CP183" s="182"/>
      <c r="CQ183" s="182"/>
      <c r="CR183" s="182"/>
      <c r="CS183" s="182"/>
      <c r="CT183" s="182"/>
      <c r="CU183" s="182"/>
      <c r="CV183" s="182"/>
      <c r="CW183" s="182"/>
      <c r="CX183" s="182"/>
      <c r="CY183" s="182"/>
      <c r="CZ183" s="182"/>
      <c r="DA183" s="182"/>
      <c r="DB183" s="182"/>
      <c r="DC183" s="182"/>
      <c r="DD183" s="182"/>
      <c r="DE183" s="182"/>
      <c r="DF183" s="182"/>
      <c r="DG183" s="182"/>
      <c r="DH183" s="182"/>
      <c r="DI183" s="182"/>
      <c r="DJ183" s="182"/>
      <c r="DK183" s="182"/>
      <c r="DL183" s="182"/>
      <c r="DM183" s="182"/>
      <c r="DN183" s="182"/>
      <c r="DO183" s="182"/>
      <c r="DP183" s="182"/>
      <c r="DQ183" s="182"/>
      <c r="DR183" s="182"/>
      <c r="DS183" s="182"/>
      <c r="DT183" s="182"/>
      <c r="DU183" s="182"/>
      <c r="DV183" s="182"/>
      <c r="DW183" s="182"/>
      <c r="DX183" s="182"/>
      <c r="DY183" s="182"/>
      <c r="DZ183" s="182"/>
      <c r="EA183" s="182"/>
      <c r="EB183" s="182"/>
      <c r="EC183" s="182"/>
      <c r="ED183" s="182"/>
      <c r="EE183" s="182"/>
      <c r="EF183" s="182"/>
      <c r="EG183" s="182"/>
      <c r="EH183" s="182"/>
      <c r="EI183" s="182"/>
      <c r="EJ183" s="182"/>
      <c r="EK183" s="182"/>
      <c r="EL183" s="182"/>
      <c r="EM183" s="182"/>
      <c r="EN183" s="182"/>
      <c r="EO183" s="182"/>
      <c r="EP183" s="182"/>
      <c r="EQ183" s="182"/>
      <c r="ER183" s="182"/>
      <c r="ES183" s="182"/>
      <c r="ET183" s="182"/>
      <c r="EU183" s="182"/>
      <c r="EV183" s="182"/>
      <c r="EW183" s="182"/>
      <c r="EX183" s="182"/>
      <c r="EY183" s="182"/>
      <c r="EZ183" s="182"/>
      <c r="FA183" s="182"/>
      <c r="FB183" s="182"/>
      <c r="FC183" s="182"/>
      <c r="FD183" s="182"/>
      <c r="FE183" s="182"/>
      <c r="FF183" s="182"/>
      <c r="FG183" s="182"/>
      <c r="FH183" s="182"/>
      <c r="FI183" s="182"/>
      <c r="FJ183" s="182"/>
      <c r="FK183" s="182"/>
      <c r="FL183" s="182"/>
      <c r="FM183" s="182"/>
      <c r="FN183" s="182"/>
      <c r="FO183" s="182"/>
      <c r="FP183" s="182"/>
      <c r="FQ183" s="182"/>
      <c r="FR183" s="182"/>
      <c r="FS183" s="182"/>
      <c r="FT183" s="182"/>
      <c r="FU183" s="182"/>
      <c r="FV183" s="182"/>
      <c r="FW183" s="182"/>
      <c r="FX183" s="182"/>
      <c r="FY183" s="182"/>
      <c r="FZ183" s="182"/>
      <c r="GA183" s="182"/>
      <c r="GB183" s="182"/>
      <c r="GC183" s="182"/>
      <c r="GD183" s="182"/>
      <c r="GE183" s="182"/>
      <c r="GF183" s="182"/>
      <c r="GG183" s="182"/>
      <c r="GH183" s="182"/>
      <c r="GI183" s="182"/>
    </row>
    <row r="184" spans="1:191" s="183" customFormat="1" x14ac:dyDescent="0.2">
      <c r="A184" s="210" t="s">
        <v>38489</v>
      </c>
      <c r="B184" s="210" t="s">
        <v>19032</v>
      </c>
      <c r="C184" s="224" t="s">
        <v>22294</v>
      </c>
      <c r="D184" s="211" t="s">
        <v>16</v>
      </c>
      <c r="E184" s="211">
        <v>2</v>
      </c>
      <c r="F184" s="211"/>
      <c r="G184" s="211">
        <v>0.3</v>
      </c>
      <c r="H184" s="212"/>
      <c r="I184" s="213"/>
      <c r="J184" s="272">
        <v>1422.99</v>
      </c>
      <c r="K184" s="112">
        <f t="shared" si="17"/>
        <v>2845.98</v>
      </c>
      <c r="L184" s="273">
        <f>BDI!$E$17</f>
        <v>0.11260000000000001</v>
      </c>
      <c r="M184" s="213"/>
      <c r="N184" s="213"/>
      <c r="O184" s="114">
        <f t="shared" si="18"/>
        <v>1583.22</v>
      </c>
      <c r="P184" s="113">
        <f t="shared" si="19"/>
        <v>949.93</v>
      </c>
      <c r="Q184" s="209"/>
      <c r="R184" s="203"/>
      <c r="S184" s="182"/>
      <c r="T184" s="182"/>
      <c r="U184" s="182"/>
      <c r="V184" s="182"/>
      <c r="W184" s="182"/>
      <c r="X184" s="182"/>
      <c r="Y184" s="182"/>
      <c r="Z184" s="182"/>
      <c r="AA184" s="182"/>
      <c r="AB184" s="182"/>
      <c r="AC184" s="182"/>
      <c r="AD184" s="182"/>
      <c r="AE184" s="182"/>
      <c r="AF184" s="182"/>
      <c r="AG184" s="182"/>
      <c r="AH184" s="182"/>
      <c r="AI184" s="182"/>
      <c r="AJ184" s="182"/>
      <c r="AK184" s="182"/>
      <c r="AL184" s="182"/>
      <c r="AM184" s="182"/>
      <c r="AN184" s="182"/>
      <c r="AO184" s="182"/>
      <c r="AP184" s="182"/>
      <c r="AQ184" s="182"/>
      <c r="AR184" s="182"/>
      <c r="AS184" s="182"/>
      <c r="AT184" s="182"/>
      <c r="AU184" s="182"/>
      <c r="AV184" s="182"/>
      <c r="AW184" s="182"/>
      <c r="AX184" s="182"/>
      <c r="AY184" s="182"/>
      <c r="AZ184" s="182"/>
      <c r="BA184" s="182"/>
      <c r="BB184" s="182"/>
      <c r="BC184" s="182"/>
      <c r="BD184" s="182"/>
      <c r="BE184" s="182"/>
      <c r="BF184" s="182"/>
      <c r="BG184" s="182"/>
      <c r="BH184" s="182"/>
      <c r="BI184" s="182"/>
      <c r="BJ184" s="182"/>
      <c r="BK184" s="182"/>
      <c r="BL184" s="182"/>
      <c r="BM184" s="182"/>
      <c r="BN184" s="182"/>
      <c r="BO184" s="182"/>
      <c r="BP184" s="182"/>
      <c r="BQ184" s="182"/>
      <c r="BR184" s="182"/>
      <c r="BS184" s="182"/>
      <c r="BT184" s="182"/>
      <c r="BU184" s="182"/>
      <c r="BV184" s="182"/>
      <c r="BW184" s="182"/>
      <c r="BX184" s="182"/>
      <c r="BY184" s="182"/>
      <c r="BZ184" s="182"/>
      <c r="CA184" s="182"/>
      <c r="CB184" s="182"/>
      <c r="CC184" s="182"/>
      <c r="CD184" s="182"/>
      <c r="CE184" s="182"/>
      <c r="CF184" s="182"/>
      <c r="CG184" s="182"/>
      <c r="CH184" s="182"/>
      <c r="CI184" s="182"/>
      <c r="CJ184" s="182"/>
      <c r="CK184" s="182"/>
      <c r="CL184" s="182"/>
      <c r="CM184" s="182"/>
      <c r="CN184" s="182"/>
      <c r="CO184" s="182"/>
      <c r="CP184" s="182"/>
      <c r="CQ184" s="182"/>
      <c r="CR184" s="182"/>
      <c r="CS184" s="182"/>
      <c r="CT184" s="182"/>
      <c r="CU184" s="182"/>
      <c r="CV184" s="182"/>
      <c r="CW184" s="182"/>
      <c r="CX184" s="182"/>
      <c r="CY184" s="182"/>
      <c r="CZ184" s="182"/>
      <c r="DA184" s="182"/>
      <c r="DB184" s="182"/>
      <c r="DC184" s="182"/>
      <c r="DD184" s="182"/>
      <c r="DE184" s="182"/>
      <c r="DF184" s="182"/>
      <c r="DG184" s="182"/>
      <c r="DH184" s="182"/>
      <c r="DI184" s="182"/>
      <c r="DJ184" s="182"/>
      <c r="DK184" s="182"/>
      <c r="DL184" s="182"/>
      <c r="DM184" s="182"/>
      <c r="DN184" s="182"/>
      <c r="DO184" s="182"/>
      <c r="DP184" s="182"/>
      <c r="DQ184" s="182"/>
      <c r="DR184" s="182"/>
      <c r="DS184" s="182"/>
      <c r="DT184" s="182"/>
      <c r="DU184" s="182"/>
      <c r="DV184" s="182"/>
      <c r="DW184" s="182"/>
      <c r="DX184" s="182"/>
      <c r="DY184" s="182"/>
      <c r="DZ184" s="182"/>
      <c r="EA184" s="182"/>
      <c r="EB184" s="182"/>
      <c r="EC184" s="182"/>
      <c r="ED184" s="182"/>
      <c r="EE184" s="182"/>
      <c r="EF184" s="182"/>
      <c r="EG184" s="182"/>
      <c r="EH184" s="182"/>
      <c r="EI184" s="182"/>
      <c r="EJ184" s="182"/>
      <c r="EK184" s="182"/>
      <c r="EL184" s="182"/>
      <c r="EM184" s="182"/>
      <c r="EN184" s="182"/>
      <c r="EO184" s="182"/>
      <c r="EP184" s="182"/>
      <c r="EQ184" s="182"/>
      <c r="ER184" s="182"/>
      <c r="ES184" s="182"/>
      <c r="ET184" s="182"/>
      <c r="EU184" s="182"/>
      <c r="EV184" s="182"/>
      <c r="EW184" s="182"/>
      <c r="EX184" s="182"/>
      <c r="EY184" s="182"/>
      <c r="EZ184" s="182"/>
      <c r="FA184" s="182"/>
      <c r="FB184" s="182"/>
      <c r="FC184" s="182"/>
      <c r="FD184" s="182"/>
      <c r="FE184" s="182"/>
      <c r="FF184" s="182"/>
      <c r="FG184" s="182"/>
      <c r="FH184" s="182"/>
      <c r="FI184" s="182"/>
      <c r="FJ184" s="182"/>
      <c r="FK184" s="182"/>
      <c r="FL184" s="182"/>
      <c r="FM184" s="182"/>
      <c r="FN184" s="182"/>
      <c r="FO184" s="182"/>
      <c r="FP184" s="182"/>
      <c r="FQ184" s="182"/>
      <c r="FR184" s="182"/>
      <c r="FS184" s="182"/>
      <c r="FT184" s="182"/>
      <c r="FU184" s="182"/>
      <c r="FV184" s="182"/>
      <c r="FW184" s="182"/>
      <c r="FX184" s="182"/>
      <c r="FY184" s="182"/>
      <c r="FZ184" s="182"/>
      <c r="GA184" s="182"/>
      <c r="GB184" s="182"/>
      <c r="GC184" s="182"/>
      <c r="GD184" s="182"/>
      <c r="GE184" s="182"/>
      <c r="GF184" s="182"/>
      <c r="GG184" s="182"/>
      <c r="GH184" s="182"/>
      <c r="GI184" s="182"/>
    </row>
    <row r="185" spans="1:191" s="183" customFormat="1" x14ac:dyDescent="0.2">
      <c r="A185" s="210" t="s">
        <v>38490</v>
      </c>
      <c r="B185" s="210" t="s">
        <v>19033</v>
      </c>
      <c r="C185" s="224" t="s">
        <v>22295</v>
      </c>
      <c r="D185" s="211" t="s">
        <v>16</v>
      </c>
      <c r="E185" s="211">
        <v>2</v>
      </c>
      <c r="F185" s="211"/>
      <c r="G185" s="211">
        <v>0.3</v>
      </c>
      <c r="H185" s="212"/>
      <c r="I185" s="213"/>
      <c r="J185" s="272">
        <v>2253.96</v>
      </c>
      <c r="K185" s="112">
        <f t="shared" si="17"/>
        <v>4507.92</v>
      </c>
      <c r="L185" s="273">
        <f>BDI!$E$17</f>
        <v>0.11260000000000001</v>
      </c>
      <c r="M185" s="213"/>
      <c r="N185" s="213"/>
      <c r="O185" s="114">
        <f t="shared" si="18"/>
        <v>2507.7600000000002</v>
      </c>
      <c r="P185" s="113">
        <f t="shared" si="19"/>
        <v>1504.66</v>
      </c>
      <c r="Q185" s="209"/>
      <c r="R185" s="203"/>
      <c r="S185" s="182"/>
      <c r="T185" s="182"/>
      <c r="U185" s="182"/>
      <c r="V185" s="182"/>
      <c r="W185" s="182"/>
      <c r="X185" s="182"/>
      <c r="Y185" s="182"/>
      <c r="Z185" s="182"/>
      <c r="AA185" s="182"/>
      <c r="AB185" s="182"/>
      <c r="AC185" s="182"/>
      <c r="AD185" s="182"/>
      <c r="AE185" s="182"/>
      <c r="AF185" s="182"/>
      <c r="AG185" s="182"/>
      <c r="AH185" s="182"/>
      <c r="AI185" s="182"/>
      <c r="AJ185" s="182"/>
      <c r="AK185" s="182"/>
      <c r="AL185" s="182"/>
      <c r="AM185" s="182"/>
      <c r="AN185" s="182"/>
      <c r="AO185" s="182"/>
      <c r="AP185" s="182"/>
      <c r="AQ185" s="182"/>
      <c r="AR185" s="182"/>
      <c r="AS185" s="182"/>
      <c r="AT185" s="182"/>
      <c r="AU185" s="182"/>
      <c r="AV185" s="182"/>
      <c r="AW185" s="182"/>
      <c r="AX185" s="182"/>
      <c r="AY185" s="182"/>
      <c r="AZ185" s="182"/>
      <c r="BA185" s="182"/>
      <c r="BB185" s="182"/>
      <c r="BC185" s="182"/>
      <c r="BD185" s="182"/>
      <c r="BE185" s="182"/>
      <c r="BF185" s="182"/>
      <c r="BG185" s="182"/>
      <c r="BH185" s="182"/>
      <c r="BI185" s="182"/>
      <c r="BJ185" s="182"/>
      <c r="BK185" s="182"/>
      <c r="BL185" s="182"/>
      <c r="BM185" s="182"/>
      <c r="BN185" s="182"/>
      <c r="BO185" s="182"/>
      <c r="BP185" s="182"/>
      <c r="BQ185" s="182"/>
      <c r="BR185" s="182"/>
      <c r="BS185" s="182"/>
      <c r="BT185" s="182"/>
      <c r="BU185" s="182"/>
      <c r="BV185" s="182"/>
      <c r="BW185" s="182"/>
      <c r="BX185" s="182"/>
      <c r="BY185" s="182"/>
      <c r="BZ185" s="182"/>
      <c r="CA185" s="182"/>
      <c r="CB185" s="182"/>
      <c r="CC185" s="182"/>
      <c r="CD185" s="182"/>
      <c r="CE185" s="182"/>
      <c r="CF185" s="182"/>
      <c r="CG185" s="182"/>
      <c r="CH185" s="182"/>
      <c r="CI185" s="182"/>
      <c r="CJ185" s="182"/>
      <c r="CK185" s="182"/>
      <c r="CL185" s="182"/>
      <c r="CM185" s="182"/>
      <c r="CN185" s="182"/>
      <c r="CO185" s="182"/>
      <c r="CP185" s="182"/>
      <c r="CQ185" s="182"/>
      <c r="CR185" s="182"/>
      <c r="CS185" s="182"/>
      <c r="CT185" s="182"/>
      <c r="CU185" s="182"/>
      <c r="CV185" s="182"/>
      <c r="CW185" s="182"/>
      <c r="CX185" s="182"/>
      <c r="CY185" s="182"/>
      <c r="CZ185" s="182"/>
      <c r="DA185" s="182"/>
      <c r="DB185" s="182"/>
      <c r="DC185" s="182"/>
      <c r="DD185" s="182"/>
      <c r="DE185" s="182"/>
      <c r="DF185" s="182"/>
      <c r="DG185" s="182"/>
      <c r="DH185" s="182"/>
      <c r="DI185" s="182"/>
      <c r="DJ185" s="182"/>
      <c r="DK185" s="182"/>
      <c r="DL185" s="182"/>
      <c r="DM185" s="182"/>
      <c r="DN185" s="182"/>
      <c r="DO185" s="182"/>
      <c r="DP185" s="182"/>
      <c r="DQ185" s="182"/>
      <c r="DR185" s="182"/>
      <c r="DS185" s="182"/>
      <c r="DT185" s="182"/>
      <c r="DU185" s="182"/>
      <c r="DV185" s="182"/>
      <c r="DW185" s="182"/>
      <c r="DX185" s="182"/>
      <c r="DY185" s="182"/>
      <c r="DZ185" s="182"/>
      <c r="EA185" s="182"/>
      <c r="EB185" s="182"/>
      <c r="EC185" s="182"/>
      <c r="ED185" s="182"/>
      <c r="EE185" s="182"/>
      <c r="EF185" s="182"/>
      <c r="EG185" s="182"/>
      <c r="EH185" s="182"/>
      <c r="EI185" s="182"/>
      <c r="EJ185" s="182"/>
      <c r="EK185" s="182"/>
      <c r="EL185" s="182"/>
      <c r="EM185" s="182"/>
      <c r="EN185" s="182"/>
      <c r="EO185" s="182"/>
      <c r="EP185" s="182"/>
      <c r="EQ185" s="182"/>
      <c r="ER185" s="182"/>
      <c r="ES185" s="182"/>
      <c r="ET185" s="182"/>
      <c r="EU185" s="182"/>
      <c r="EV185" s="182"/>
      <c r="EW185" s="182"/>
      <c r="EX185" s="182"/>
      <c r="EY185" s="182"/>
      <c r="EZ185" s="182"/>
      <c r="FA185" s="182"/>
      <c r="FB185" s="182"/>
      <c r="FC185" s="182"/>
      <c r="FD185" s="182"/>
      <c r="FE185" s="182"/>
      <c r="FF185" s="182"/>
      <c r="FG185" s="182"/>
      <c r="FH185" s="182"/>
      <c r="FI185" s="182"/>
      <c r="FJ185" s="182"/>
      <c r="FK185" s="182"/>
      <c r="FL185" s="182"/>
      <c r="FM185" s="182"/>
      <c r="FN185" s="182"/>
      <c r="FO185" s="182"/>
      <c r="FP185" s="182"/>
      <c r="FQ185" s="182"/>
      <c r="FR185" s="182"/>
      <c r="FS185" s="182"/>
      <c r="FT185" s="182"/>
      <c r="FU185" s="182"/>
      <c r="FV185" s="182"/>
      <c r="FW185" s="182"/>
      <c r="FX185" s="182"/>
      <c r="FY185" s="182"/>
      <c r="FZ185" s="182"/>
      <c r="GA185" s="182"/>
      <c r="GB185" s="182"/>
      <c r="GC185" s="182"/>
      <c r="GD185" s="182"/>
      <c r="GE185" s="182"/>
      <c r="GF185" s="182"/>
      <c r="GG185" s="182"/>
      <c r="GH185" s="182"/>
      <c r="GI185" s="182"/>
    </row>
    <row r="186" spans="1:191" s="183" customFormat="1" x14ac:dyDescent="0.2">
      <c r="A186" s="210" t="s">
        <v>38491</v>
      </c>
      <c r="B186" s="210" t="s">
        <v>19034</v>
      </c>
      <c r="C186" s="224" t="s">
        <v>22296</v>
      </c>
      <c r="D186" s="211" t="s">
        <v>16</v>
      </c>
      <c r="E186" s="211">
        <v>2</v>
      </c>
      <c r="F186" s="211"/>
      <c r="G186" s="211">
        <v>0.3</v>
      </c>
      <c r="H186" s="212"/>
      <c r="I186" s="213"/>
      <c r="J186" s="272">
        <v>3527.84</v>
      </c>
      <c r="K186" s="112">
        <f t="shared" si="17"/>
        <v>7055.68</v>
      </c>
      <c r="L186" s="273">
        <f>BDI!$E$17</f>
        <v>0.11260000000000001</v>
      </c>
      <c r="M186" s="213"/>
      <c r="N186" s="213"/>
      <c r="O186" s="114">
        <f t="shared" si="18"/>
        <v>3925.07</v>
      </c>
      <c r="P186" s="113">
        <f t="shared" si="19"/>
        <v>2355.04</v>
      </c>
      <c r="Q186" s="209"/>
      <c r="R186" s="203"/>
      <c r="S186" s="182"/>
      <c r="T186" s="182"/>
      <c r="U186" s="182"/>
      <c r="V186" s="182"/>
      <c r="W186" s="182"/>
      <c r="X186" s="182"/>
      <c r="Y186" s="182"/>
      <c r="Z186" s="182"/>
      <c r="AA186" s="182"/>
      <c r="AB186" s="182"/>
      <c r="AC186" s="182"/>
      <c r="AD186" s="182"/>
      <c r="AE186" s="182"/>
      <c r="AF186" s="182"/>
      <c r="AG186" s="182"/>
      <c r="AH186" s="182"/>
      <c r="AI186" s="182"/>
      <c r="AJ186" s="182"/>
      <c r="AK186" s="182"/>
      <c r="AL186" s="182"/>
      <c r="AM186" s="182"/>
      <c r="AN186" s="182"/>
      <c r="AO186" s="182"/>
      <c r="AP186" s="182"/>
      <c r="AQ186" s="182"/>
      <c r="AR186" s="182"/>
      <c r="AS186" s="182"/>
      <c r="AT186" s="182"/>
      <c r="AU186" s="182"/>
      <c r="AV186" s="182"/>
      <c r="AW186" s="182"/>
      <c r="AX186" s="182"/>
      <c r="AY186" s="182"/>
      <c r="AZ186" s="182"/>
      <c r="BA186" s="182"/>
      <c r="BB186" s="182"/>
      <c r="BC186" s="182"/>
      <c r="BD186" s="182"/>
      <c r="BE186" s="182"/>
      <c r="BF186" s="182"/>
      <c r="BG186" s="182"/>
      <c r="BH186" s="182"/>
      <c r="BI186" s="182"/>
      <c r="BJ186" s="182"/>
      <c r="BK186" s="182"/>
      <c r="BL186" s="182"/>
      <c r="BM186" s="182"/>
      <c r="BN186" s="182"/>
      <c r="BO186" s="182"/>
      <c r="BP186" s="182"/>
      <c r="BQ186" s="182"/>
      <c r="BR186" s="182"/>
      <c r="BS186" s="182"/>
      <c r="BT186" s="182"/>
      <c r="BU186" s="182"/>
      <c r="BV186" s="182"/>
      <c r="BW186" s="182"/>
      <c r="BX186" s="182"/>
      <c r="BY186" s="182"/>
      <c r="BZ186" s="182"/>
      <c r="CA186" s="182"/>
      <c r="CB186" s="182"/>
      <c r="CC186" s="182"/>
      <c r="CD186" s="182"/>
      <c r="CE186" s="182"/>
      <c r="CF186" s="182"/>
      <c r="CG186" s="182"/>
      <c r="CH186" s="182"/>
      <c r="CI186" s="182"/>
      <c r="CJ186" s="182"/>
      <c r="CK186" s="182"/>
      <c r="CL186" s="182"/>
      <c r="CM186" s="182"/>
      <c r="CN186" s="182"/>
      <c r="CO186" s="182"/>
      <c r="CP186" s="182"/>
      <c r="CQ186" s="182"/>
      <c r="CR186" s="182"/>
      <c r="CS186" s="182"/>
      <c r="CT186" s="182"/>
      <c r="CU186" s="182"/>
      <c r="CV186" s="182"/>
      <c r="CW186" s="182"/>
      <c r="CX186" s="182"/>
      <c r="CY186" s="182"/>
      <c r="CZ186" s="182"/>
      <c r="DA186" s="182"/>
      <c r="DB186" s="182"/>
      <c r="DC186" s="182"/>
      <c r="DD186" s="182"/>
      <c r="DE186" s="182"/>
      <c r="DF186" s="182"/>
      <c r="DG186" s="182"/>
      <c r="DH186" s="182"/>
      <c r="DI186" s="182"/>
      <c r="DJ186" s="182"/>
      <c r="DK186" s="182"/>
      <c r="DL186" s="182"/>
      <c r="DM186" s="182"/>
      <c r="DN186" s="182"/>
      <c r="DO186" s="182"/>
      <c r="DP186" s="182"/>
      <c r="DQ186" s="182"/>
      <c r="DR186" s="182"/>
      <c r="DS186" s="182"/>
      <c r="DT186" s="182"/>
      <c r="DU186" s="182"/>
      <c r="DV186" s="182"/>
      <c r="DW186" s="182"/>
      <c r="DX186" s="182"/>
      <c r="DY186" s="182"/>
      <c r="DZ186" s="182"/>
      <c r="EA186" s="182"/>
      <c r="EB186" s="182"/>
      <c r="EC186" s="182"/>
      <c r="ED186" s="182"/>
      <c r="EE186" s="182"/>
      <c r="EF186" s="182"/>
      <c r="EG186" s="182"/>
      <c r="EH186" s="182"/>
      <c r="EI186" s="182"/>
      <c r="EJ186" s="182"/>
      <c r="EK186" s="182"/>
      <c r="EL186" s="182"/>
      <c r="EM186" s="182"/>
      <c r="EN186" s="182"/>
      <c r="EO186" s="182"/>
      <c r="EP186" s="182"/>
      <c r="EQ186" s="182"/>
      <c r="ER186" s="182"/>
      <c r="ES186" s="182"/>
      <c r="ET186" s="182"/>
      <c r="EU186" s="182"/>
      <c r="EV186" s="182"/>
      <c r="EW186" s="182"/>
      <c r="EX186" s="182"/>
      <c r="EY186" s="182"/>
      <c r="EZ186" s="182"/>
      <c r="FA186" s="182"/>
      <c r="FB186" s="182"/>
      <c r="FC186" s="182"/>
      <c r="FD186" s="182"/>
      <c r="FE186" s="182"/>
      <c r="FF186" s="182"/>
      <c r="FG186" s="182"/>
      <c r="FH186" s="182"/>
      <c r="FI186" s="182"/>
      <c r="FJ186" s="182"/>
      <c r="FK186" s="182"/>
      <c r="FL186" s="182"/>
      <c r="FM186" s="182"/>
      <c r="FN186" s="182"/>
      <c r="FO186" s="182"/>
      <c r="FP186" s="182"/>
      <c r="FQ186" s="182"/>
      <c r="FR186" s="182"/>
      <c r="FS186" s="182"/>
      <c r="FT186" s="182"/>
      <c r="FU186" s="182"/>
      <c r="FV186" s="182"/>
      <c r="FW186" s="182"/>
      <c r="FX186" s="182"/>
      <c r="FY186" s="182"/>
      <c r="FZ186" s="182"/>
      <c r="GA186" s="182"/>
      <c r="GB186" s="182"/>
      <c r="GC186" s="182"/>
      <c r="GD186" s="182"/>
      <c r="GE186" s="182"/>
      <c r="GF186" s="182"/>
      <c r="GG186" s="182"/>
      <c r="GH186" s="182"/>
      <c r="GI186" s="182"/>
    </row>
    <row r="187" spans="1:191" s="183" customFormat="1" x14ac:dyDescent="0.2">
      <c r="A187" s="210" t="s">
        <v>38492</v>
      </c>
      <c r="B187" s="210" t="s">
        <v>19035</v>
      </c>
      <c r="C187" s="224" t="s">
        <v>22297</v>
      </c>
      <c r="D187" s="211" t="s">
        <v>16</v>
      </c>
      <c r="E187" s="211">
        <v>2</v>
      </c>
      <c r="F187" s="211"/>
      <c r="G187" s="211">
        <v>0.3</v>
      </c>
      <c r="H187" s="212"/>
      <c r="I187" s="213"/>
      <c r="J187" s="272">
        <v>4844.88</v>
      </c>
      <c r="K187" s="112">
        <f t="shared" si="17"/>
        <v>9689.76</v>
      </c>
      <c r="L187" s="273">
        <f>BDI!$E$17</f>
        <v>0.11260000000000001</v>
      </c>
      <c r="M187" s="213"/>
      <c r="N187" s="213"/>
      <c r="O187" s="114">
        <f t="shared" si="18"/>
        <v>5390.41</v>
      </c>
      <c r="P187" s="113">
        <f t="shared" si="19"/>
        <v>3234.25</v>
      </c>
      <c r="Q187" s="209"/>
      <c r="R187" s="203"/>
      <c r="S187" s="182"/>
      <c r="T187" s="182"/>
      <c r="U187" s="182"/>
      <c r="V187" s="182"/>
      <c r="W187" s="182"/>
      <c r="X187" s="182"/>
      <c r="Y187" s="182"/>
      <c r="Z187" s="182"/>
      <c r="AA187" s="182"/>
      <c r="AB187" s="182"/>
      <c r="AC187" s="182"/>
      <c r="AD187" s="182"/>
      <c r="AE187" s="182"/>
      <c r="AF187" s="182"/>
      <c r="AG187" s="182"/>
      <c r="AH187" s="182"/>
      <c r="AI187" s="182"/>
      <c r="AJ187" s="182"/>
      <c r="AK187" s="182"/>
      <c r="AL187" s="182"/>
      <c r="AM187" s="182"/>
      <c r="AN187" s="182"/>
      <c r="AO187" s="182"/>
      <c r="AP187" s="182"/>
      <c r="AQ187" s="182"/>
      <c r="AR187" s="182"/>
      <c r="AS187" s="182"/>
      <c r="AT187" s="182"/>
      <c r="AU187" s="182"/>
      <c r="AV187" s="182"/>
      <c r="AW187" s="182"/>
      <c r="AX187" s="182"/>
      <c r="AY187" s="182"/>
      <c r="AZ187" s="182"/>
      <c r="BA187" s="182"/>
      <c r="BB187" s="182"/>
      <c r="BC187" s="182"/>
      <c r="BD187" s="182"/>
      <c r="BE187" s="182"/>
      <c r="BF187" s="182"/>
      <c r="BG187" s="182"/>
      <c r="BH187" s="182"/>
      <c r="BI187" s="182"/>
      <c r="BJ187" s="182"/>
      <c r="BK187" s="182"/>
      <c r="BL187" s="182"/>
      <c r="BM187" s="182"/>
      <c r="BN187" s="182"/>
      <c r="BO187" s="182"/>
      <c r="BP187" s="182"/>
      <c r="BQ187" s="182"/>
      <c r="BR187" s="182"/>
      <c r="BS187" s="182"/>
      <c r="BT187" s="182"/>
      <c r="BU187" s="182"/>
      <c r="BV187" s="182"/>
      <c r="BW187" s="182"/>
      <c r="BX187" s="182"/>
      <c r="BY187" s="182"/>
      <c r="BZ187" s="182"/>
      <c r="CA187" s="182"/>
      <c r="CB187" s="182"/>
      <c r="CC187" s="182"/>
      <c r="CD187" s="182"/>
      <c r="CE187" s="182"/>
      <c r="CF187" s="182"/>
      <c r="CG187" s="182"/>
      <c r="CH187" s="182"/>
      <c r="CI187" s="182"/>
      <c r="CJ187" s="182"/>
      <c r="CK187" s="182"/>
      <c r="CL187" s="182"/>
      <c r="CM187" s="182"/>
      <c r="CN187" s="182"/>
      <c r="CO187" s="182"/>
      <c r="CP187" s="182"/>
      <c r="CQ187" s="182"/>
      <c r="CR187" s="182"/>
      <c r="CS187" s="182"/>
      <c r="CT187" s="182"/>
      <c r="CU187" s="182"/>
      <c r="CV187" s="182"/>
      <c r="CW187" s="182"/>
      <c r="CX187" s="182"/>
      <c r="CY187" s="182"/>
      <c r="CZ187" s="182"/>
      <c r="DA187" s="182"/>
      <c r="DB187" s="182"/>
      <c r="DC187" s="182"/>
      <c r="DD187" s="182"/>
      <c r="DE187" s="182"/>
      <c r="DF187" s="182"/>
      <c r="DG187" s="182"/>
      <c r="DH187" s="182"/>
      <c r="DI187" s="182"/>
      <c r="DJ187" s="182"/>
      <c r="DK187" s="182"/>
      <c r="DL187" s="182"/>
      <c r="DM187" s="182"/>
      <c r="DN187" s="182"/>
      <c r="DO187" s="182"/>
      <c r="DP187" s="182"/>
      <c r="DQ187" s="182"/>
      <c r="DR187" s="182"/>
      <c r="DS187" s="182"/>
      <c r="DT187" s="182"/>
      <c r="DU187" s="182"/>
      <c r="DV187" s="182"/>
      <c r="DW187" s="182"/>
      <c r="DX187" s="182"/>
      <c r="DY187" s="182"/>
      <c r="DZ187" s="182"/>
      <c r="EA187" s="182"/>
      <c r="EB187" s="182"/>
      <c r="EC187" s="182"/>
      <c r="ED187" s="182"/>
      <c r="EE187" s="182"/>
      <c r="EF187" s="182"/>
      <c r="EG187" s="182"/>
      <c r="EH187" s="182"/>
      <c r="EI187" s="182"/>
      <c r="EJ187" s="182"/>
      <c r="EK187" s="182"/>
      <c r="EL187" s="182"/>
      <c r="EM187" s="182"/>
      <c r="EN187" s="182"/>
      <c r="EO187" s="182"/>
      <c r="EP187" s="182"/>
      <c r="EQ187" s="182"/>
      <c r="ER187" s="182"/>
      <c r="ES187" s="182"/>
      <c r="ET187" s="182"/>
      <c r="EU187" s="182"/>
      <c r="EV187" s="182"/>
      <c r="EW187" s="182"/>
      <c r="EX187" s="182"/>
      <c r="EY187" s="182"/>
      <c r="EZ187" s="182"/>
      <c r="FA187" s="182"/>
      <c r="FB187" s="182"/>
      <c r="FC187" s="182"/>
      <c r="FD187" s="182"/>
      <c r="FE187" s="182"/>
      <c r="FF187" s="182"/>
      <c r="FG187" s="182"/>
      <c r="FH187" s="182"/>
      <c r="FI187" s="182"/>
      <c r="FJ187" s="182"/>
      <c r="FK187" s="182"/>
      <c r="FL187" s="182"/>
      <c r="FM187" s="182"/>
      <c r="FN187" s="182"/>
      <c r="FO187" s="182"/>
      <c r="FP187" s="182"/>
      <c r="FQ187" s="182"/>
      <c r="FR187" s="182"/>
      <c r="FS187" s="182"/>
      <c r="FT187" s="182"/>
      <c r="FU187" s="182"/>
      <c r="FV187" s="182"/>
      <c r="FW187" s="182"/>
      <c r="FX187" s="182"/>
      <c r="FY187" s="182"/>
      <c r="FZ187" s="182"/>
      <c r="GA187" s="182"/>
      <c r="GB187" s="182"/>
      <c r="GC187" s="182"/>
      <c r="GD187" s="182"/>
      <c r="GE187" s="182"/>
      <c r="GF187" s="182"/>
      <c r="GG187" s="182"/>
      <c r="GH187" s="182"/>
      <c r="GI187" s="182"/>
    </row>
    <row r="188" spans="1:191" s="183" customFormat="1" x14ac:dyDescent="0.2">
      <c r="A188" s="210" t="s">
        <v>38493</v>
      </c>
      <c r="B188" s="210" t="s">
        <v>19036</v>
      </c>
      <c r="C188" s="224" t="s">
        <v>22298</v>
      </c>
      <c r="D188" s="211" t="s">
        <v>16</v>
      </c>
      <c r="E188" s="211">
        <v>3</v>
      </c>
      <c r="F188" s="211"/>
      <c r="G188" s="211">
        <v>0.3</v>
      </c>
      <c r="H188" s="212"/>
      <c r="I188" s="213"/>
      <c r="J188" s="272">
        <v>1292.3499999999999</v>
      </c>
      <c r="K188" s="112">
        <f t="shared" si="17"/>
        <v>3877.05</v>
      </c>
      <c r="L188" s="273">
        <f>BDI!$E$17</f>
        <v>0.11260000000000001</v>
      </c>
      <c r="M188" s="213"/>
      <c r="N188" s="213"/>
      <c r="O188" s="114">
        <f t="shared" si="18"/>
        <v>1437.87</v>
      </c>
      <c r="P188" s="113">
        <f t="shared" si="19"/>
        <v>1294.08</v>
      </c>
      <c r="Q188" s="209"/>
      <c r="R188" s="203"/>
      <c r="S188" s="182"/>
      <c r="T188" s="182"/>
      <c r="U188" s="182"/>
      <c r="V188" s="182"/>
      <c r="W188" s="182"/>
      <c r="X188" s="182"/>
      <c r="Y188" s="182"/>
      <c r="Z188" s="182"/>
      <c r="AA188" s="182"/>
      <c r="AB188" s="182"/>
      <c r="AC188" s="182"/>
      <c r="AD188" s="182"/>
      <c r="AE188" s="182"/>
      <c r="AF188" s="182"/>
      <c r="AG188" s="182"/>
      <c r="AH188" s="182"/>
      <c r="AI188" s="182"/>
      <c r="AJ188" s="182"/>
      <c r="AK188" s="182"/>
      <c r="AL188" s="182"/>
      <c r="AM188" s="182"/>
      <c r="AN188" s="182"/>
      <c r="AO188" s="182"/>
      <c r="AP188" s="182"/>
      <c r="AQ188" s="182"/>
      <c r="AR188" s="182"/>
      <c r="AS188" s="182"/>
      <c r="AT188" s="182"/>
      <c r="AU188" s="182"/>
      <c r="AV188" s="182"/>
      <c r="AW188" s="182"/>
      <c r="AX188" s="182"/>
      <c r="AY188" s="182"/>
      <c r="AZ188" s="182"/>
      <c r="BA188" s="182"/>
      <c r="BB188" s="182"/>
      <c r="BC188" s="182"/>
      <c r="BD188" s="182"/>
      <c r="BE188" s="182"/>
      <c r="BF188" s="182"/>
      <c r="BG188" s="182"/>
      <c r="BH188" s="182"/>
      <c r="BI188" s="182"/>
      <c r="BJ188" s="182"/>
      <c r="BK188" s="182"/>
      <c r="BL188" s="182"/>
      <c r="BM188" s="182"/>
      <c r="BN188" s="182"/>
      <c r="BO188" s="182"/>
      <c r="BP188" s="182"/>
      <c r="BQ188" s="182"/>
      <c r="BR188" s="182"/>
      <c r="BS188" s="182"/>
      <c r="BT188" s="182"/>
      <c r="BU188" s="182"/>
      <c r="BV188" s="182"/>
      <c r="BW188" s="182"/>
      <c r="BX188" s="182"/>
      <c r="BY188" s="182"/>
      <c r="BZ188" s="182"/>
      <c r="CA188" s="182"/>
      <c r="CB188" s="182"/>
      <c r="CC188" s="182"/>
      <c r="CD188" s="182"/>
      <c r="CE188" s="182"/>
      <c r="CF188" s="182"/>
      <c r="CG188" s="182"/>
      <c r="CH188" s="182"/>
      <c r="CI188" s="182"/>
      <c r="CJ188" s="182"/>
      <c r="CK188" s="182"/>
      <c r="CL188" s="182"/>
      <c r="CM188" s="182"/>
      <c r="CN188" s="182"/>
      <c r="CO188" s="182"/>
      <c r="CP188" s="182"/>
      <c r="CQ188" s="182"/>
      <c r="CR188" s="182"/>
      <c r="CS188" s="182"/>
      <c r="CT188" s="182"/>
      <c r="CU188" s="182"/>
      <c r="CV188" s="182"/>
      <c r="CW188" s="182"/>
      <c r="CX188" s="182"/>
      <c r="CY188" s="182"/>
      <c r="CZ188" s="182"/>
      <c r="DA188" s="182"/>
      <c r="DB188" s="182"/>
      <c r="DC188" s="182"/>
      <c r="DD188" s="182"/>
      <c r="DE188" s="182"/>
      <c r="DF188" s="182"/>
      <c r="DG188" s="182"/>
      <c r="DH188" s="182"/>
      <c r="DI188" s="182"/>
      <c r="DJ188" s="182"/>
      <c r="DK188" s="182"/>
      <c r="DL188" s="182"/>
      <c r="DM188" s="182"/>
      <c r="DN188" s="182"/>
      <c r="DO188" s="182"/>
      <c r="DP188" s="182"/>
      <c r="DQ188" s="182"/>
      <c r="DR188" s="182"/>
      <c r="DS188" s="182"/>
      <c r="DT188" s="182"/>
      <c r="DU188" s="182"/>
      <c r="DV188" s="182"/>
      <c r="DW188" s="182"/>
      <c r="DX188" s="182"/>
      <c r="DY188" s="182"/>
      <c r="DZ188" s="182"/>
      <c r="EA188" s="182"/>
      <c r="EB188" s="182"/>
      <c r="EC188" s="182"/>
      <c r="ED188" s="182"/>
      <c r="EE188" s="182"/>
      <c r="EF188" s="182"/>
      <c r="EG188" s="182"/>
      <c r="EH188" s="182"/>
      <c r="EI188" s="182"/>
      <c r="EJ188" s="182"/>
      <c r="EK188" s="182"/>
      <c r="EL188" s="182"/>
      <c r="EM188" s="182"/>
      <c r="EN188" s="182"/>
      <c r="EO188" s="182"/>
      <c r="EP188" s="182"/>
      <c r="EQ188" s="182"/>
      <c r="ER188" s="182"/>
      <c r="ES188" s="182"/>
      <c r="ET188" s="182"/>
      <c r="EU188" s="182"/>
      <c r="EV188" s="182"/>
      <c r="EW188" s="182"/>
      <c r="EX188" s="182"/>
      <c r="EY188" s="182"/>
      <c r="EZ188" s="182"/>
      <c r="FA188" s="182"/>
      <c r="FB188" s="182"/>
      <c r="FC188" s="182"/>
      <c r="FD188" s="182"/>
      <c r="FE188" s="182"/>
      <c r="FF188" s="182"/>
      <c r="FG188" s="182"/>
      <c r="FH188" s="182"/>
      <c r="FI188" s="182"/>
      <c r="FJ188" s="182"/>
      <c r="FK188" s="182"/>
      <c r="FL188" s="182"/>
      <c r="FM188" s="182"/>
      <c r="FN188" s="182"/>
      <c r="FO188" s="182"/>
      <c r="FP188" s="182"/>
      <c r="FQ188" s="182"/>
      <c r="FR188" s="182"/>
      <c r="FS188" s="182"/>
      <c r="FT188" s="182"/>
      <c r="FU188" s="182"/>
      <c r="FV188" s="182"/>
      <c r="FW188" s="182"/>
      <c r="FX188" s="182"/>
      <c r="FY188" s="182"/>
      <c r="FZ188" s="182"/>
      <c r="GA188" s="182"/>
      <c r="GB188" s="182"/>
      <c r="GC188" s="182"/>
      <c r="GD188" s="182"/>
      <c r="GE188" s="182"/>
      <c r="GF188" s="182"/>
      <c r="GG188" s="182"/>
      <c r="GH188" s="182"/>
      <c r="GI188" s="182"/>
    </row>
    <row r="189" spans="1:191" s="183" customFormat="1" ht="25.5" x14ac:dyDescent="0.2">
      <c r="A189" s="210" t="s">
        <v>38494</v>
      </c>
      <c r="B189" s="210" t="s">
        <v>19037</v>
      </c>
      <c r="C189" s="224" t="s">
        <v>22299</v>
      </c>
      <c r="D189" s="211" t="s">
        <v>16</v>
      </c>
      <c r="E189" s="211">
        <v>3</v>
      </c>
      <c r="F189" s="211"/>
      <c r="G189" s="211">
        <v>0.3</v>
      </c>
      <c r="H189" s="212"/>
      <c r="I189" s="213"/>
      <c r="J189" s="272">
        <v>1256.77</v>
      </c>
      <c r="K189" s="112">
        <f t="shared" si="17"/>
        <v>3770.31</v>
      </c>
      <c r="L189" s="273">
        <f>BDI!$E$17</f>
        <v>0.11260000000000001</v>
      </c>
      <c r="M189" s="213"/>
      <c r="N189" s="213"/>
      <c r="O189" s="114">
        <f t="shared" si="18"/>
        <v>1398.28</v>
      </c>
      <c r="P189" s="113">
        <f t="shared" si="19"/>
        <v>1258.45</v>
      </c>
      <c r="Q189" s="209"/>
      <c r="R189" s="203"/>
      <c r="S189" s="182"/>
      <c r="T189" s="182"/>
      <c r="U189" s="182"/>
      <c r="V189" s="182"/>
      <c r="W189" s="182"/>
      <c r="X189" s="182"/>
      <c r="Y189" s="182"/>
      <c r="Z189" s="182"/>
      <c r="AA189" s="182"/>
      <c r="AB189" s="182"/>
      <c r="AC189" s="182"/>
      <c r="AD189" s="182"/>
      <c r="AE189" s="182"/>
      <c r="AF189" s="182"/>
      <c r="AG189" s="182"/>
      <c r="AH189" s="182"/>
      <c r="AI189" s="182"/>
      <c r="AJ189" s="182"/>
      <c r="AK189" s="182"/>
      <c r="AL189" s="182"/>
      <c r="AM189" s="182"/>
      <c r="AN189" s="182"/>
      <c r="AO189" s="182"/>
      <c r="AP189" s="182"/>
      <c r="AQ189" s="182"/>
      <c r="AR189" s="182"/>
      <c r="AS189" s="182"/>
      <c r="AT189" s="182"/>
      <c r="AU189" s="182"/>
      <c r="AV189" s="182"/>
      <c r="AW189" s="182"/>
      <c r="AX189" s="182"/>
      <c r="AY189" s="182"/>
      <c r="AZ189" s="182"/>
      <c r="BA189" s="182"/>
      <c r="BB189" s="182"/>
      <c r="BC189" s="182"/>
      <c r="BD189" s="182"/>
      <c r="BE189" s="182"/>
      <c r="BF189" s="182"/>
      <c r="BG189" s="182"/>
      <c r="BH189" s="182"/>
      <c r="BI189" s="182"/>
      <c r="BJ189" s="182"/>
      <c r="BK189" s="182"/>
      <c r="BL189" s="182"/>
      <c r="BM189" s="182"/>
      <c r="BN189" s="182"/>
      <c r="BO189" s="182"/>
      <c r="BP189" s="182"/>
      <c r="BQ189" s="182"/>
      <c r="BR189" s="182"/>
      <c r="BS189" s="182"/>
      <c r="BT189" s="182"/>
      <c r="BU189" s="182"/>
      <c r="BV189" s="182"/>
      <c r="BW189" s="182"/>
      <c r="BX189" s="182"/>
      <c r="BY189" s="182"/>
      <c r="BZ189" s="182"/>
      <c r="CA189" s="182"/>
      <c r="CB189" s="182"/>
      <c r="CC189" s="182"/>
      <c r="CD189" s="182"/>
      <c r="CE189" s="182"/>
      <c r="CF189" s="182"/>
      <c r="CG189" s="182"/>
      <c r="CH189" s="182"/>
      <c r="CI189" s="182"/>
      <c r="CJ189" s="182"/>
      <c r="CK189" s="182"/>
      <c r="CL189" s="182"/>
      <c r="CM189" s="182"/>
      <c r="CN189" s="182"/>
      <c r="CO189" s="182"/>
      <c r="CP189" s="182"/>
      <c r="CQ189" s="182"/>
      <c r="CR189" s="182"/>
      <c r="CS189" s="182"/>
      <c r="CT189" s="182"/>
      <c r="CU189" s="182"/>
      <c r="CV189" s="182"/>
      <c r="CW189" s="182"/>
      <c r="CX189" s="182"/>
      <c r="CY189" s="182"/>
      <c r="CZ189" s="182"/>
      <c r="DA189" s="182"/>
      <c r="DB189" s="182"/>
      <c r="DC189" s="182"/>
      <c r="DD189" s="182"/>
      <c r="DE189" s="182"/>
      <c r="DF189" s="182"/>
      <c r="DG189" s="182"/>
      <c r="DH189" s="182"/>
      <c r="DI189" s="182"/>
      <c r="DJ189" s="182"/>
      <c r="DK189" s="182"/>
      <c r="DL189" s="182"/>
      <c r="DM189" s="182"/>
      <c r="DN189" s="182"/>
      <c r="DO189" s="182"/>
      <c r="DP189" s="182"/>
      <c r="DQ189" s="182"/>
      <c r="DR189" s="182"/>
      <c r="DS189" s="182"/>
      <c r="DT189" s="182"/>
      <c r="DU189" s="182"/>
      <c r="DV189" s="182"/>
      <c r="DW189" s="182"/>
      <c r="DX189" s="182"/>
      <c r="DY189" s="182"/>
      <c r="DZ189" s="182"/>
      <c r="EA189" s="182"/>
      <c r="EB189" s="182"/>
      <c r="EC189" s="182"/>
      <c r="ED189" s="182"/>
      <c r="EE189" s="182"/>
      <c r="EF189" s="182"/>
      <c r="EG189" s="182"/>
      <c r="EH189" s="182"/>
      <c r="EI189" s="182"/>
      <c r="EJ189" s="182"/>
      <c r="EK189" s="182"/>
      <c r="EL189" s="182"/>
      <c r="EM189" s="182"/>
      <c r="EN189" s="182"/>
      <c r="EO189" s="182"/>
      <c r="EP189" s="182"/>
      <c r="EQ189" s="182"/>
      <c r="ER189" s="182"/>
      <c r="ES189" s="182"/>
      <c r="ET189" s="182"/>
      <c r="EU189" s="182"/>
      <c r="EV189" s="182"/>
      <c r="EW189" s="182"/>
      <c r="EX189" s="182"/>
      <c r="EY189" s="182"/>
      <c r="EZ189" s="182"/>
      <c r="FA189" s="182"/>
      <c r="FB189" s="182"/>
      <c r="FC189" s="182"/>
      <c r="FD189" s="182"/>
      <c r="FE189" s="182"/>
      <c r="FF189" s="182"/>
      <c r="FG189" s="182"/>
      <c r="FH189" s="182"/>
      <c r="FI189" s="182"/>
      <c r="FJ189" s="182"/>
      <c r="FK189" s="182"/>
      <c r="FL189" s="182"/>
      <c r="FM189" s="182"/>
      <c r="FN189" s="182"/>
      <c r="FO189" s="182"/>
      <c r="FP189" s="182"/>
      <c r="FQ189" s="182"/>
      <c r="FR189" s="182"/>
      <c r="FS189" s="182"/>
      <c r="FT189" s="182"/>
      <c r="FU189" s="182"/>
      <c r="FV189" s="182"/>
      <c r="FW189" s="182"/>
      <c r="FX189" s="182"/>
      <c r="FY189" s="182"/>
      <c r="FZ189" s="182"/>
      <c r="GA189" s="182"/>
      <c r="GB189" s="182"/>
      <c r="GC189" s="182"/>
      <c r="GD189" s="182"/>
      <c r="GE189" s="182"/>
      <c r="GF189" s="182"/>
      <c r="GG189" s="182"/>
      <c r="GH189" s="182"/>
      <c r="GI189" s="182"/>
    </row>
    <row r="190" spans="1:191" s="183" customFormat="1" ht="25.5" x14ac:dyDescent="0.2">
      <c r="A190" s="210" t="s">
        <v>38495</v>
      </c>
      <c r="B190" s="210" t="s">
        <v>19038</v>
      </c>
      <c r="C190" s="224" t="s">
        <v>22300</v>
      </c>
      <c r="D190" s="211" t="s">
        <v>16</v>
      </c>
      <c r="E190" s="211">
        <v>2</v>
      </c>
      <c r="F190" s="211"/>
      <c r="G190" s="211">
        <v>0.3</v>
      </c>
      <c r="H190" s="212"/>
      <c r="I190" s="213"/>
      <c r="J190" s="272">
        <v>50851.12</v>
      </c>
      <c r="K190" s="112">
        <f t="shared" si="17"/>
        <v>101702.24</v>
      </c>
      <c r="L190" s="273">
        <f>BDI!$E$17</f>
        <v>0.11260000000000001</v>
      </c>
      <c r="M190" s="213"/>
      <c r="N190" s="213"/>
      <c r="O190" s="114">
        <f t="shared" si="18"/>
        <v>56576.959999999999</v>
      </c>
      <c r="P190" s="113">
        <f t="shared" si="19"/>
        <v>33946.18</v>
      </c>
      <c r="Q190" s="209"/>
      <c r="R190" s="203"/>
      <c r="S190" s="182"/>
      <c r="T190" s="182"/>
      <c r="U190" s="182"/>
      <c r="V190" s="182"/>
      <c r="W190" s="182"/>
      <c r="X190" s="182"/>
      <c r="Y190" s="182"/>
      <c r="Z190" s="182"/>
      <c r="AA190" s="182"/>
      <c r="AB190" s="182"/>
      <c r="AC190" s="182"/>
      <c r="AD190" s="182"/>
      <c r="AE190" s="182"/>
      <c r="AF190" s="182"/>
      <c r="AG190" s="182"/>
      <c r="AH190" s="182"/>
      <c r="AI190" s="182"/>
      <c r="AJ190" s="182"/>
      <c r="AK190" s="182"/>
      <c r="AL190" s="182"/>
      <c r="AM190" s="182"/>
      <c r="AN190" s="182"/>
      <c r="AO190" s="182"/>
      <c r="AP190" s="182"/>
      <c r="AQ190" s="182"/>
      <c r="AR190" s="182"/>
      <c r="AS190" s="182"/>
      <c r="AT190" s="182"/>
      <c r="AU190" s="182"/>
      <c r="AV190" s="182"/>
      <c r="AW190" s="182"/>
      <c r="AX190" s="182"/>
      <c r="AY190" s="182"/>
      <c r="AZ190" s="182"/>
      <c r="BA190" s="182"/>
      <c r="BB190" s="182"/>
      <c r="BC190" s="182"/>
      <c r="BD190" s="182"/>
      <c r="BE190" s="182"/>
      <c r="BF190" s="182"/>
      <c r="BG190" s="182"/>
      <c r="BH190" s="182"/>
      <c r="BI190" s="182"/>
      <c r="BJ190" s="182"/>
      <c r="BK190" s="182"/>
      <c r="BL190" s="182"/>
      <c r="BM190" s="182"/>
      <c r="BN190" s="182"/>
      <c r="BO190" s="182"/>
      <c r="BP190" s="182"/>
      <c r="BQ190" s="182"/>
      <c r="BR190" s="182"/>
      <c r="BS190" s="182"/>
      <c r="BT190" s="182"/>
      <c r="BU190" s="182"/>
      <c r="BV190" s="182"/>
      <c r="BW190" s="182"/>
      <c r="BX190" s="182"/>
      <c r="BY190" s="182"/>
      <c r="BZ190" s="182"/>
      <c r="CA190" s="182"/>
      <c r="CB190" s="182"/>
      <c r="CC190" s="182"/>
      <c r="CD190" s="182"/>
      <c r="CE190" s="182"/>
      <c r="CF190" s="182"/>
      <c r="CG190" s="182"/>
      <c r="CH190" s="182"/>
      <c r="CI190" s="182"/>
      <c r="CJ190" s="182"/>
      <c r="CK190" s="182"/>
      <c r="CL190" s="182"/>
      <c r="CM190" s="182"/>
      <c r="CN190" s="182"/>
      <c r="CO190" s="182"/>
      <c r="CP190" s="182"/>
      <c r="CQ190" s="182"/>
      <c r="CR190" s="182"/>
      <c r="CS190" s="182"/>
      <c r="CT190" s="182"/>
      <c r="CU190" s="182"/>
      <c r="CV190" s="182"/>
      <c r="CW190" s="182"/>
      <c r="CX190" s="182"/>
      <c r="CY190" s="182"/>
      <c r="CZ190" s="182"/>
      <c r="DA190" s="182"/>
      <c r="DB190" s="182"/>
      <c r="DC190" s="182"/>
      <c r="DD190" s="182"/>
      <c r="DE190" s="182"/>
      <c r="DF190" s="182"/>
      <c r="DG190" s="182"/>
      <c r="DH190" s="182"/>
      <c r="DI190" s="182"/>
      <c r="DJ190" s="182"/>
      <c r="DK190" s="182"/>
      <c r="DL190" s="182"/>
      <c r="DM190" s="182"/>
      <c r="DN190" s="182"/>
      <c r="DO190" s="182"/>
      <c r="DP190" s="182"/>
      <c r="DQ190" s="182"/>
      <c r="DR190" s="182"/>
      <c r="DS190" s="182"/>
      <c r="DT190" s="182"/>
      <c r="DU190" s="182"/>
      <c r="DV190" s="182"/>
      <c r="DW190" s="182"/>
      <c r="DX190" s="182"/>
      <c r="DY190" s="182"/>
      <c r="DZ190" s="182"/>
      <c r="EA190" s="182"/>
      <c r="EB190" s="182"/>
      <c r="EC190" s="182"/>
      <c r="ED190" s="182"/>
      <c r="EE190" s="182"/>
      <c r="EF190" s="182"/>
      <c r="EG190" s="182"/>
      <c r="EH190" s="182"/>
      <c r="EI190" s="182"/>
      <c r="EJ190" s="182"/>
      <c r="EK190" s="182"/>
      <c r="EL190" s="182"/>
      <c r="EM190" s="182"/>
      <c r="EN190" s="182"/>
      <c r="EO190" s="182"/>
      <c r="EP190" s="182"/>
      <c r="EQ190" s="182"/>
      <c r="ER190" s="182"/>
      <c r="ES190" s="182"/>
      <c r="ET190" s="182"/>
      <c r="EU190" s="182"/>
      <c r="EV190" s="182"/>
      <c r="EW190" s="182"/>
      <c r="EX190" s="182"/>
      <c r="EY190" s="182"/>
      <c r="EZ190" s="182"/>
      <c r="FA190" s="182"/>
      <c r="FB190" s="182"/>
      <c r="FC190" s="182"/>
      <c r="FD190" s="182"/>
      <c r="FE190" s="182"/>
      <c r="FF190" s="182"/>
      <c r="FG190" s="182"/>
      <c r="FH190" s="182"/>
      <c r="FI190" s="182"/>
      <c r="FJ190" s="182"/>
      <c r="FK190" s="182"/>
      <c r="FL190" s="182"/>
      <c r="FM190" s="182"/>
      <c r="FN190" s="182"/>
      <c r="FO190" s="182"/>
      <c r="FP190" s="182"/>
      <c r="FQ190" s="182"/>
      <c r="FR190" s="182"/>
      <c r="FS190" s="182"/>
      <c r="FT190" s="182"/>
      <c r="FU190" s="182"/>
      <c r="FV190" s="182"/>
      <c r="FW190" s="182"/>
      <c r="FX190" s="182"/>
      <c r="FY190" s="182"/>
      <c r="FZ190" s="182"/>
      <c r="GA190" s="182"/>
      <c r="GB190" s="182"/>
      <c r="GC190" s="182"/>
      <c r="GD190" s="182"/>
      <c r="GE190" s="182"/>
      <c r="GF190" s="182"/>
      <c r="GG190" s="182"/>
      <c r="GH190" s="182"/>
      <c r="GI190" s="182"/>
    </row>
    <row r="191" spans="1:191" s="183" customFormat="1" ht="25.5" x14ac:dyDescent="0.2">
      <c r="A191" s="210" t="s">
        <v>38496</v>
      </c>
      <c r="B191" s="210" t="s">
        <v>19039</v>
      </c>
      <c r="C191" s="224" t="s">
        <v>22301</v>
      </c>
      <c r="D191" s="211" t="s">
        <v>468</v>
      </c>
      <c r="E191" s="211">
        <v>3</v>
      </c>
      <c r="F191" s="211"/>
      <c r="G191" s="211">
        <v>0.3</v>
      </c>
      <c r="H191" s="212"/>
      <c r="I191" s="213"/>
      <c r="J191" s="272">
        <v>7721.69</v>
      </c>
      <c r="K191" s="112">
        <f t="shared" si="17"/>
        <v>23165.07</v>
      </c>
      <c r="L191" s="273">
        <f>BDI!$E$17</f>
        <v>0.11260000000000001</v>
      </c>
      <c r="M191" s="213"/>
      <c r="N191" s="213"/>
      <c r="O191" s="114">
        <f t="shared" si="18"/>
        <v>8591.15</v>
      </c>
      <c r="P191" s="113">
        <f t="shared" si="19"/>
        <v>7732.04</v>
      </c>
      <c r="Q191" s="209"/>
      <c r="R191" s="203"/>
      <c r="S191" s="182"/>
      <c r="T191" s="182"/>
      <c r="U191" s="182"/>
      <c r="V191" s="182"/>
      <c r="W191" s="182"/>
      <c r="X191" s="182"/>
      <c r="Y191" s="182"/>
      <c r="Z191" s="182"/>
      <c r="AA191" s="182"/>
      <c r="AB191" s="182"/>
      <c r="AC191" s="182"/>
      <c r="AD191" s="182"/>
      <c r="AE191" s="182"/>
      <c r="AF191" s="182"/>
      <c r="AG191" s="182"/>
      <c r="AH191" s="182"/>
      <c r="AI191" s="182"/>
      <c r="AJ191" s="182"/>
      <c r="AK191" s="182"/>
      <c r="AL191" s="182"/>
      <c r="AM191" s="182"/>
      <c r="AN191" s="182"/>
      <c r="AO191" s="182"/>
      <c r="AP191" s="182"/>
      <c r="AQ191" s="182"/>
      <c r="AR191" s="182"/>
      <c r="AS191" s="182"/>
      <c r="AT191" s="182"/>
      <c r="AU191" s="182"/>
      <c r="AV191" s="182"/>
      <c r="AW191" s="182"/>
      <c r="AX191" s="182"/>
      <c r="AY191" s="182"/>
      <c r="AZ191" s="182"/>
      <c r="BA191" s="182"/>
      <c r="BB191" s="182"/>
      <c r="BC191" s="182"/>
      <c r="BD191" s="182"/>
      <c r="BE191" s="182"/>
      <c r="BF191" s="182"/>
      <c r="BG191" s="182"/>
      <c r="BH191" s="182"/>
      <c r="BI191" s="182"/>
      <c r="BJ191" s="182"/>
      <c r="BK191" s="182"/>
      <c r="BL191" s="182"/>
      <c r="BM191" s="182"/>
      <c r="BN191" s="182"/>
      <c r="BO191" s="182"/>
      <c r="BP191" s="182"/>
      <c r="BQ191" s="182"/>
      <c r="BR191" s="182"/>
      <c r="BS191" s="182"/>
      <c r="BT191" s="182"/>
      <c r="BU191" s="182"/>
      <c r="BV191" s="182"/>
      <c r="BW191" s="182"/>
      <c r="BX191" s="182"/>
      <c r="BY191" s="182"/>
      <c r="BZ191" s="182"/>
      <c r="CA191" s="182"/>
      <c r="CB191" s="182"/>
      <c r="CC191" s="182"/>
      <c r="CD191" s="182"/>
      <c r="CE191" s="182"/>
      <c r="CF191" s="182"/>
      <c r="CG191" s="182"/>
      <c r="CH191" s="182"/>
      <c r="CI191" s="182"/>
      <c r="CJ191" s="182"/>
      <c r="CK191" s="182"/>
      <c r="CL191" s="182"/>
      <c r="CM191" s="182"/>
      <c r="CN191" s="182"/>
      <c r="CO191" s="182"/>
      <c r="CP191" s="182"/>
      <c r="CQ191" s="182"/>
      <c r="CR191" s="182"/>
      <c r="CS191" s="182"/>
      <c r="CT191" s="182"/>
      <c r="CU191" s="182"/>
      <c r="CV191" s="182"/>
      <c r="CW191" s="182"/>
      <c r="CX191" s="182"/>
      <c r="CY191" s="182"/>
      <c r="CZ191" s="182"/>
      <c r="DA191" s="182"/>
      <c r="DB191" s="182"/>
      <c r="DC191" s="182"/>
      <c r="DD191" s="182"/>
      <c r="DE191" s="182"/>
      <c r="DF191" s="182"/>
      <c r="DG191" s="182"/>
      <c r="DH191" s="182"/>
      <c r="DI191" s="182"/>
      <c r="DJ191" s="182"/>
      <c r="DK191" s="182"/>
      <c r="DL191" s="182"/>
      <c r="DM191" s="182"/>
      <c r="DN191" s="182"/>
      <c r="DO191" s="182"/>
      <c r="DP191" s="182"/>
      <c r="DQ191" s="182"/>
      <c r="DR191" s="182"/>
      <c r="DS191" s="182"/>
      <c r="DT191" s="182"/>
      <c r="DU191" s="182"/>
      <c r="DV191" s="182"/>
      <c r="DW191" s="182"/>
      <c r="DX191" s="182"/>
      <c r="DY191" s="182"/>
      <c r="DZ191" s="182"/>
      <c r="EA191" s="182"/>
      <c r="EB191" s="182"/>
      <c r="EC191" s="182"/>
      <c r="ED191" s="182"/>
      <c r="EE191" s="182"/>
      <c r="EF191" s="182"/>
      <c r="EG191" s="182"/>
      <c r="EH191" s="182"/>
      <c r="EI191" s="182"/>
      <c r="EJ191" s="182"/>
      <c r="EK191" s="182"/>
      <c r="EL191" s="182"/>
      <c r="EM191" s="182"/>
      <c r="EN191" s="182"/>
      <c r="EO191" s="182"/>
      <c r="EP191" s="182"/>
      <c r="EQ191" s="182"/>
      <c r="ER191" s="182"/>
      <c r="ES191" s="182"/>
      <c r="ET191" s="182"/>
      <c r="EU191" s="182"/>
      <c r="EV191" s="182"/>
      <c r="EW191" s="182"/>
      <c r="EX191" s="182"/>
      <c r="EY191" s="182"/>
      <c r="EZ191" s="182"/>
      <c r="FA191" s="182"/>
      <c r="FB191" s="182"/>
      <c r="FC191" s="182"/>
      <c r="FD191" s="182"/>
      <c r="FE191" s="182"/>
      <c r="FF191" s="182"/>
      <c r="FG191" s="182"/>
      <c r="FH191" s="182"/>
      <c r="FI191" s="182"/>
      <c r="FJ191" s="182"/>
      <c r="FK191" s="182"/>
      <c r="FL191" s="182"/>
      <c r="FM191" s="182"/>
      <c r="FN191" s="182"/>
      <c r="FO191" s="182"/>
      <c r="FP191" s="182"/>
      <c r="FQ191" s="182"/>
      <c r="FR191" s="182"/>
      <c r="FS191" s="182"/>
      <c r="FT191" s="182"/>
      <c r="FU191" s="182"/>
      <c r="FV191" s="182"/>
      <c r="FW191" s="182"/>
      <c r="FX191" s="182"/>
      <c r="FY191" s="182"/>
      <c r="FZ191" s="182"/>
      <c r="GA191" s="182"/>
      <c r="GB191" s="182"/>
      <c r="GC191" s="182"/>
      <c r="GD191" s="182"/>
      <c r="GE191" s="182"/>
      <c r="GF191" s="182"/>
      <c r="GG191" s="182"/>
      <c r="GH191" s="182"/>
      <c r="GI191" s="182"/>
    </row>
    <row r="192" spans="1:191" s="183" customFormat="1" x14ac:dyDescent="0.2">
      <c r="A192" s="210" t="s">
        <v>38497</v>
      </c>
      <c r="B192" s="210" t="s">
        <v>19040</v>
      </c>
      <c r="C192" s="224" t="s">
        <v>22302</v>
      </c>
      <c r="D192" s="211" t="s">
        <v>16</v>
      </c>
      <c r="E192" s="211">
        <v>12</v>
      </c>
      <c r="F192" s="211"/>
      <c r="G192" s="211">
        <v>0.3</v>
      </c>
      <c r="H192" s="212"/>
      <c r="I192" s="213"/>
      <c r="J192" s="272">
        <v>2589.36</v>
      </c>
      <c r="K192" s="112">
        <f t="shared" si="17"/>
        <v>31072.32</v>
      </c>
      <c r="L192" s="273">
        <f>BDI!$E$17</f>
        <v>0.11260000000000001</v>
      </c>
      <c r="M192" s="213"/>
      <c r="N192" s="213"/>
      <c r="O192" s="114">
        <f t="shared" si="18"/>
        <v>2880.92</v>
      </c>
      <c r="P192" s="113">
        <f t="shared" si="19"/>
        <v>10371.31</v>
      </c>
      <c r="Q192" s="209"/>
      <c r="R192" s="203"/>
      <c r="S192" s="182"/>
      <c r="T192" s="182"/>
      <c r="U192" s="182"/>
      <c r="V192" s="182"/>
      <c r="W192" s="182"/>
      <c r="X192" s="182"/>
      <c r="Y192" s="182"/>
      <c r="Z192" s="182"/>
      <c r="AA192" s="182"/>
      <c r="AB192" s="182"/>
      <c r="AC192" s="182"/>
      <c r="AD192" s="182"/>
      <c r="AE192" s="182"/>
      <c r="AF192" s="182"/>
      <c r="AG192" s="182"/>
      <c r="AH192" s="182"/>
      <c r="AI192" s="182"/>
      <c r="AJ192" s="182"/>
      <c r="AK192" s="182"/>
      <c r="AL192" s="182"/>
      <c r="AM192" s="182"/>
      <c r="AN192" s="182"/>
      <c r="AO192" s="182"/>
      <c r="AP192" s="182"/>
      <c r="AQ192" s="182"/>
      <c r="AR192" s="182"/>
      <c r="AS192" s="182"/>
      <c r="AT192" s="182"/>
      <c r="AU192" s="182"/>
      <c r="AV192" s="182"/>
      <c r="AW192" s="182"/>
      <c r="AX192" s="182"/>
      <c r="AY192" s="182"/>
      <c r="AZ192" s="182"/>
      <c r="BA192" s="182"/>
      <c r="BB192" s="182"/>
      <c r="BC192" s="182"/>
      <c r="BD192" s="182"/>
      <c r="BE192" s="182"/>
      <c r="BF192" s="182"/>
      <c r="BG192" s="182"/>
      <c r="BH192" s="182"/>
      <c r="BI192" s="182"/>
      <c r="BJ192" s="182"/>
      <c r="BK192" s="182"/>
      <c r="BL192" s="182"/>
      <c r="BM192" s="182"/>
      <c r="BN192" s="182"/>
      <c r="BO192" s="182"/>
      <c r="BP192" s="182"/>
      <c r="BQ192" s="182"/>
      <c r="BR192" s="182"/>
      <c r="BS192" s="182"/>
      <c r="BT192" s="182"/>
      <c r="BU192" s="182"/>
      <c r="BV192" s="182"/>
      <c r="BW192" s="182"/>
      <c r="BX192" s="182"/>
      <c r="BY192" s="182"/>
      <c r="BZ192" s="182"/>
      <c r="CA192" s="182"/>
      <c r="CB192" s="182"/>
      <c r="CC192" s="182"/>
      <c r="CD192" s="182"/>
      <c r="CE192" s="182"/>
      <c r="CF192" s="182"/>
      <c r="CG192" s="182"/>
      <c r="CH192" s="182"/>
      <c r="CI192" s="182"/>
      <c r="CJ192" s="182"/>
      <c r="CK192" s="182"/>
      <c r="CL192" s="182"/>
      <c r="CM192" s="182"/>
      <c r="CN192" s="182"/>
      <c r="CO192" s="182"/>
      <c r="CP192" s="182"/>
      <c r="CQ192" s="182"/>
      <c r="CR192" s="182"/>
      <c r="CS192" s="182"/>
      <c r="CT192" s="182"/>
      <c r="CU192" s="182"/>
      <c r="CV192" s="182"/>
      <c r="CW192" s="182"/>
      <c r="CX192" s="182"/>
      <c r="CY192" s="182"/>
      <c r="CZ192" s="182"/>
      <c r="DA192" s="182"/>
      <c r="DB192" s="182"/>
      <c r="DC192" s="182"/>
      <c r="DD192" s="182"/>
      <c r="DE192" s="182"/>
      <c r="DF192" s="182"/>
      <c r="DG192" s="182"/>
      <c r="DH192" s="182"/>
      <c r="DI192" s="182"/>
      <c r="DJ192" s="182"/>
      <c r="DK192" s="182"/>
      <c r="DL192" s="182"/>
      <c r="DM192" s="182"/>
      <c r="DN192" s="182"/>
      <c r="DO192" s="182"/>
      <c r="DP192" s="182"/>
      <c r="DQ192" s="182"/>
      <c r="DR192" s="182"/>
      <c r="DS192" s="182"/>
      <c r="DT192" s="182"/>
      <c r="DU192" s="182"/>
      <c r="DV192" s="182"/>
      <c r="DW192" s="182"/>
      <c r="DX192" s="182"/>
      <c r="DY192" s="182"/>
      <c r="DZ192" s="182"/>
      <c r="EA192" s="182"/>
      <c r="EB192" s="182"/>
      <c r="EC192" s="182"/>
      <c r="ED192" s="182"/>
      <c r="EE192" s="182"/>
      <c r="EF192" s="182"/>
      <c r="EG192" s="182"/>
      <c r="EH192" s="182"/>
      <c r="EI192" s="182"/>
      <c r="EJ192" s="182"/>
      <c r="EK192" s="182"/>
      <c r="EL192" s="182"/>
      <c r="EM192" s="182"/>
      <c r="EN192" s="182"/>
      <c r="EO192" s="182"/>
      <c r="EP192" s="182"/>
      <c r="EQ192" s="182"/>
      <c r="ER192" s="182"/>
      <c r="ES192" s="182"/>
      <c r="ET192" s="182"/>
      <c r="EU192" s="182"/>
      <c r="EV192" s="182"/>
      <c r="EW192" s="182"/>
      <c r="EX192" s="182"/>
      <c r="EY192" s="182"/>
      <c r="EZ192" s="182"/>
      <c r="FA192" s="182"/>
      <c r="FB192" s="182"/>
      <c r="FC192" s="182"/>
      <c r="FD192" s="182"/>
      <c r="FE192" s="182"/>
      <c r="FF192" s="182"/>
      <c r="FG192" s="182"/>
      <c r="FH192" s="182"/>
      <c r="FI192" s="182"/>
      <c r="FJ192" s="182"/>
      <c r="FK192" s="182"/>
      <c r="FL192" s="182"/>
      <c r="FM192" s="182"/>
      <c r="FN192" s="182"/>
      <c r="FO192" s="182"/>
      <c r="FP192" s="182"/>
      <c r="FQ192" s="182"/>
      <c r="FR192" s="182"/>
      <c r="FS192" s="182"/>
      <c r="FT192" s="182"/>
      <c r="FU192" s="182"/>
      <c r="FV192" s="182"/>
      <c r="FW192" s="182"/>
      <c r="FX192" s="182"/>
      <c r="FY192" s="182"/>
      <c r="FZ192" s="182"/>
      <c r="GA192" s="182"/>
      <c r="GB192" s="182"/>
      <c r="GC192" s="182"/>
      <c r="GD192" s="182"/>
      <c r="GE192" s="182"/>
      <c r="GF192" s="182"/>
      <c r="GG192" s="182"/>
      <c r="GH192" s="182"/>
      <c r="GI192" s="182"/>
    </row>
    <row r="193" spans="1:191" s="183" customFormat="1" ht="25.5" x14ac:dyDescent="0.2">
      <c r="A193" s="210" t="s">
        <v>38498</v>
      </c>
      <c r="B193" s="210" t="s">
        <v>19041</v>
      </c>
      <c r="C193" s="224" t="s">
        <v>22303</v>
      </c>
      <c r="D193" s="211" t="s">
        <v>468</v>
      </c>
      <c r="E193" s="211">
        <v>3</v>
      </c>
      <c r="F193" s="211"/>
      <c r="G193" s="211">
        <v>0.3</v>
      </c>
      <c r="H193" s="212"/>
      <c r="I193" s="213"/>
      <c r="J193" s="272">
        <v>13929.86</v>
      </c>
      <c r="K193" s="112">
        <f t="shared" si="17"/>
        <v>41789.58</v>
      </c>
      <c r="L193" s="273">
        <f>BDI!$E$17</f>
        <v>0.11260000000000001</v>
      </c>
      <c r="M193" s="213"/>
      <c r="N193" s="213"/>
      <c r="O193" s="114">
        <f t="shared" si="18"/>
        <v>15498.36</v>
      </c>
      <c r="P193" s="113">
        <f t="shared" si="19"/>
        <v>13948.52</v>
      </c>
      <c r="Q193" s="209"/>
      <c r="R193" s="203"/>
      <c r="S193" s="182"/>
      <c r="T193" s="182"/>
      <c r="U193" s="182"/>
      <c r="V193" s="182"/>
      <c r="W193" s="182"/>
      <c r="X193" s="182"/>
      <c r="Y193" s="182"/>
      <c r="Z193" s="182"/>
      <c r="AA193" s="182"/>
      <c r="AB193" s="182"/>
      <c r="AC193" s="182"/>
      <c r="AD193" s="182"/>
      <c r="AE193" s="182"/>
      <c r="AF193" s="182"/>
      <c r="AG193" s="182"/>
      <c r="AH193" s="182"/>
      <c r="AI193" s="182"/>
      <c r="AJ193" s="182"/>
      <c r="AK193" s="182"/>
      <c r="AL193" s="182"/>
      <c r="AM193" s="182"/>
      <c r="AN193" s="182"/>
      <c r="AO193" s="182"/>
      <c r="AP193" s="182"/>
      <c r="AQ193" s="182"/>
      <c r="AR193" s="182"/>
      <c r="AS193" s="182"/>
      <c r="AT193" s="182"/>
      <c r="AU193" s="182"/>
      <c r="AV193" s="182"/>
      <c r="AW193" s="182"/>
      <c r="AX193" s="182"/>
      <c r="AY193" s="182"/>
      <c r="AZ193" s="182"/>
      <c r="BA193" s="182"/>
      <c r="BB193" s="182"/>
      <c r="BC193" s="182"/>
      <c r="BD193" s="182"/>
      <c r="BE193" s="182"/>
      <c r="BF193" s="182"/>
      <c r="BG193" s="182"/>
      <c r="BH193" s="182"/>
      <c r="BI193" s="182"/>
      <c r="BJ193" s="182"/>
      <c r="BK193" s="182"/>
      <c r="BL193" s="182"/>
      <c r="BM193" s="182"/>
      <c r="BN193" s="182"/>
      <c r="BO193" s="182"/>
      <c r="BP193" s="182"/>
      <c r="BQ193" s="182"/>
      <c r="BR193" s="182"/>
      <c r="BS193" s="182"/>
      <c r="BT193" s="182"/>
      <c r="BU193" s="182"/>
      <c r="BV193" s="182"/>
      <c r="BW193" s="182"/>
      <c r="BX193" s="182"/>
      <c r="BY193" s="182"/>
      <c r="BZ193" s="182"/>
      <c r="CA193" s="182"/>
      <c r="CB193" s="182"/>
      <c r="CC193" s="182"/>
      <c r="CD193" s="182"/>
      <c r="CE193" s="182"/>
      <c r="CF193" s="182"/>
      <c r="CG193" s="182"/>
      <c r="CH193" s="182"/>
      <c r="CI193" s="182"/>
      <c r="CJ193" s="182"/>
      <c r="CK193" s="182"/>
      <c r="CL193" s="182"/>
      <c r="CM193" s="182"/>
      <c r="CN193" s="182"/>
      <c r="CO193" s="182"/>
      <c r="CP193" s="182"/>
      <c r="CQ193" s="182"/>
      <c r="CR193" s="182"/>
      <c r="CS193" s="182"/>
      <c r="CT193" s="182"/>
      <c r="CU193" s="182"/>
      <c r="CV193" s="182"/>
      <c r="CW193" s="182"/>
      <c r="CX193" s="182"/>
      <c r="CY193" s="182"/>
      <c r="CZ193" s="182"/>
      <c r="DA193" s="182"/>
      <c r="DB193" s="182"/>
      <c r="DC193" s="182"/>
      <c r="DD193" s="182"/>
      <c r="DE193" s="182"/>
      <c r="DF193" s="182"/>
      <c r="DG193" s="182"/>
      <c r="DH193" s="182"/>
      <c r="DI193" s="182"/>
      <c r="DJ193" s="182"/>
      <c r="DK193" s="182"/>
      <c r="DL193" s="182"/>
      <c r="DM193" s="182"/>
      <c r="DN193" s="182"/>
      <c r="DO193" s="182"/>
      <c r="DP193" s="182"/>
      <c r="DQ193" s="182"/>
      <c r="DR193" s="182"/>
      <c r="DS193" s="182"/>
      <c r="DT193" s="182"/>
      <c r="DU193" s="182"/>
      <c r="DV193" s="182"/>
      <c r="DW193" s="182"/>
      <c r="DX193" s="182"/>
      <c r="DY193" s="182"/>
      <c r="DZ193" s="182"/>
      <c r="EA193" s="182"/>
      <c r="EB193" s="182"/>
      <c r="EC193" s="182"/>
      <c r="ED193" s="182"/>
      <c r="EE193" s="182"/>
      <c r="EF193" s="182"/>
      <c r="EG193" s="182"/>
      <c r="EH193" s="182"/>
      <c r="EI193" s="182"/>
      <c r="EJ193" s="182"/>
      <c r="EK193" s="182"/>
      <c r="EL193" s="182"/>
      <c r="EM193" s="182"/>
      <c r="EN193" s="182"/>
      <c r="EO193" s="182"/>
      <c r="EP193" s="182"/>
      <c r="EQ193" s="182"/>
      <c r="ER193" s="182"/>
      <c r="ES193" s="182"/>
      <c r="ET193" s="182"/>
      <c r="EU193" s="182"/>
      <c r="EV193" s="182"/>
      <c r="EW193" s="182"/>
      <c r="EX193" s="182"/>
      <c r="EY193" s="182"/>
      <c r="EZ193" s="182"/>
      <c r="FA193" s="182"/>
      <c r="FB193" s="182"/>
      <c r="FC193" s="182"/>
      <c r="FD193" s="182"/>
      <c r="FE193" s="182"/>
      <c r="FF193" s="182"/>
      <c r="FG193" s="182"/>
      <c r="FH193" s="182"/>
      <c r="FI193" s="182"/>
      <c r="FJ193" s="182"/>
      <c r="FK193" s="182"/>
      <c r="FL193" s="182"/>
      <c r="FM193" s="182"/>
      <c r="FN193" s="182"/>
      <c r="FO193" s="182"/>
      <c r="FP193" s="182"/>
      <c r="FQ193" s="182"/>
      <c r="FR193" s="182"/>
      <c r="FS193" s="182"/>
      <c r="FT193" s="182"/>
      <c r="FU193" s="182"/>
      <c r="FV193" s="182"/>
      <c r="FW193" s="182"/>
      <c r="FX193" s="182"/>
      <c r="FY193" s="182"/>
      <c r="FZ193" s="182"/>
      <c r="GA193" s="182"/>
      <c r="GB193" s="182"/>
      <c r="GC193" s="182"/>
      <c r="GD193" s="182"/>
      <c r="GE193" s="182"/>
      <c r="GF193" s="182"/>
      <c r="GG193" s="182"/>
      <c r="GH193" s="182"/>
      <c r="GI193" s="182"/>
    </row>
    <row r="194" spans="1:191" s="183" customFormat="1" ht="25.5" x14ac:dyDescent="0.2">
      <c r="A194" s="210" t="s">
        <v>38499</v>
      </c>
      <c r="B194" s="210" t="s">
        <v>19042</v>
      </c>
      <c r="C194" s="224" t="s">
        <v>22304</v>
      </c>
      <c r="D194" s="211" t="s">
        <v>468</v>
      </c>
      <c r="E194" s="211">
        <v>3</v>
      </c>
      <c r="F194" s="211"/>
      <c r="G194" s="211">
        <v>0.3</v>
      </c>
      <c r="H194" s="212"/>
      <c r="I194" s="213"/>
      <c r="J194" s="272">
        <v>7805.13</v>
      </c>
      <c r="K194" s="112">
        <f t="shared" si="17"/>
        <v>23415.39</v>
      </c>
      <c r="L194" s="273">
        <f>BDI!$E$17</f>
        <v>0.11260000000000001</v>
      </c>
      <c r="M194" s="213"/>
      <c r="N194" s="213"/>
      <c r="O194" s="114">
        <f t="shared" si="18"/>
        <v>8683.99</v>
      </c>
      <c r="P194" s="113">
        <f t="shared" si="19"/>
        <v>7815.59</v>
      </c>
      <c r="Q194" s="209"/>
      <c r="R194" s="203"/>
      <c r="S194" s="182"/>
      <c r="T194" s="182"/>
      <c r="U194" s="182"/>
      <c r="V194" s="182"/>
      <c r="W194" s="182"/>
      <c r="X194" s="182"/>
      <c r="Y194" s="182"/>
      <c r="Z194" s="182"/>
      <c r="AA194" s="182"/>
      <c r="AB194" s="182"/>
      <c r="AC194" s="182"/>
      <c r="AD194" s="182"/>
      <c r="AE194" s="182"/>
      <c r="AF194" s="182"/>
      <c r="AG194" s="182"/>
      <c r="AH194" s="182"/>
      <c r="AI194" s="182"/>
      <c r="AJ194" s="182"/>
      <c r="AK194" s="182"/>
      <c r="AL194" s="182"/>
      <c r="AM194" s="182"/>
      <c r="AN194" s="182"/>
      <c r="AO194" s="182"/>
      <c r="AP194" s="182"/>
      <c r="AQ194" s="182"/>
      <c r="AR194" s="182"/>
      <c r="AS194" s="182"/>
      <c r="AT194" s="182"/>
      <c r="AU194" s="182"/>
      <c r="AV194" s="182"/>
      <c r="AW194" s="182"/>
      <c r="AX194" s="182"/>
      <c r="AY194" s="182"/>
      <c r="AZ194" s="182"/>
      <c r="BA194" s="182"/>
      <c r="BB194" s="182"/>
      <c r="BC194" s="182"/>
      <c r="BD194" s="182"/>
      <c r="BE194" s="182"/>
      <c r="BF194" s="182"/>
      <c r="BG194" s="182"/>
      <c r="BH194" s="182"/>
      <c r="BI194" s="182"/>
      <c r="BJ194" s="182"/>
      <c r="BK194" s="182"/>
      <c r="BL194" s="182"/>
      <c r="BM194" s="182"/>
      <c r="BN194" s="182"/>
      <c r="BO194" s="182"/>
      <c r="BP194" s="182"/>
      <c r="BQ194" s="182"/>
      <c r="BR194" s="182"/>
      <c r="BS194" s="182"/>
      <c r="BT194" s="182"/>
      <c r="BU194" s="182"/>
      <c r="BV194" s="182"/>
      <c r="BW194" s="182"/>
      <c r="BX194" s="182"/>
      <c r="BY194" s="182"/>
      <c r="BZ194" s="182"/>
      <c r="CA194" s="182"/>
      <c r="CB194" s="182"/>
      <c r="CC194" s="182"/>
      <c r="CD194" s="182"/>
      <c r="CE194" s="182"/>
      <c r="CF194" s="182"/>
      <c r="CG194" s="182"/>
      <c r="CH194" s="182"/>
      <c r="CI194" s="182"/>
      <c r="CJ194" s="182"/>
      <c r="CK194" s="182"/>
      <c r="CL194" s="182"/>
      <c r="CM194" s="182"/>
      <c r="CN194" s="182"/>
      <c r="CO194" s="182"/>
      <c r="CP194" s="182"/>
      <c r="CQ194" s="182"/>
      <c r="CR194" s="182"/>
      <c r="CS194" s="182"/>
      <c r="CT194" s="182"/>
      <c r="CU194" s="182"/>
      <c r="CV194" s="182"/>
      <c r="CW194" s="182"/>
      <c r="CX194" s="182"/>
      <c r="CY194" s="182"/>
      <c r="CZ194" s="182"/>
      <c r="DA194" s="182"/>
      <c r="DB194" s="182"/>
      <c r="DC194" s="182"/>
      <c r="DD194" s="182"/>
      <c r="DE194" s="182"/>
      <c r="DF194" s="182"/>
      <c r="DG194" s="182"/>
      <c r="DH194" s="182"/>
      <c r="DI194" s="182"/>
      <c r="DJ194" s="182"/>
      <c r="DK194" s="182"/>
      <c r="DL194" s="182"/>
      <c r="DM194" s="182"/>
      <c r="DN194" s="182"/>
      <c r="DO194" s="182"/>
      <c r="DP194" s="182"/>
      <c r="DQ194" s="182"/>
      <c r="DR194" s="182"/>
      <c r="DS194" s="182"/>
      <c r="DT194" s="182"/>
      <c r="DU194" s="182"/>
      <c r="DV194" s="182"/>
      <c r="DW194" s="182"/>
      <c r="DX194" s="182"/>
      <c r="DY194" s="182"/>
      <c r="DZ194" s="182"/>
      <c r="EA194" s="182"/>
      <c r="EB194" s="182"/>
      <c r="EC194" s="182"/>
      <c r="ED194" s="182"/>
      <c r="EE194" s="182"/>
      <c r="EF194" s="182"/>
      <c r="EG194" s="182"/>
      <c r="EH194" s="182"/>
      <c r="EI194" s="182"/>
      <c r="EJ194" s="182"/>
      <c r="EK194" s="182"/>
      <c r="EL194" s="182"/>
      <c r="EM194" s="182"/>
      <c r="EN194" s="182"/>
      <c r="EO194" s="182"/>
      <c r="EP194" s="182"/>
      <c r="EQ194" s="182"/>
      <c r="ER194" s="182"/>
      <c r="ES194" s="182"/>
      <c r="ET194" s="182"/>
      <c r="EU194" s="182"/>
      <c r="EV194" s="182"/>
      <c r="EW194" s="182"/>
      <c r="EX194" s="182"/>
      <c r="EY194" s="182"/>
      <c r="EZ194" s="182"/>
      <c r="FA194" s="182"/>
      <c r="FB194" s="182"/>
      <c r="FC194" s="182"/>
      <c r="FD194" s="182"/>
      <c r="FE194" s="182"/>
      <c r="FF194" s="182"/>
      <c r="FG194" s="182"/>
      <c r="FH194" s="182"/>
      <c r="FI194" s="182"/>
      <c r="FJ194" s="182"/>
      <c r="FK194" s="182"/>
      <c r="FL194" s="182"/>
      <c r="FM194" s="182"/>
      <c r="FN194" s="182"/>
      <c r="FO194" s="182"/>
      <c r="FP194" s="182"/>
      <c r="FQ194" s="182"/>
      <c r="FR194" s="182"/>
      <c r="FS194" s="182"/>
      <c r="FT194" s="182"/>
      <c r="FU194" s="182"/>
      <c r="FV194" s="182"/>
      <c r="FW194" s="182"/>
      <c r="FX194" s="182"/>
      <c r="FY194" s="182"/>
      <c r="FZ194" s="182"/>
      <c r="GA194" s="182"/>
      <c r="GB194" s="182"/>
      <c r="GC194" s="182"/>
      <c r="GD194" s="182"/>
      <c r="GE194" s="182"/>
      <c r="GF194" s="182"/>
      <c r="GG194" s="182"/>
      <c r="GH194" s="182"/>
      <c r="GI194" s="182"/>
    </row>
    <row r="195" spans="1:191" s="183" customFormat="1" x14ac:dyDescent="0.2">
      <c r="A195" s="210" t="s">
        <v>38500</v>
      </c>
      <c r="B195" s="210" t="s">
        <v>19043</v>
      </c>
      <c r="C195" s="224" t="s">
        <v>22305</v>
      </c>
      <c r="D195" s="211" t="s">
        <v>468</v>
      </c>
      <c r="E195" s="211">
        <v>1</v>
      </c>
      <c r="F195" s="211"/>
      <c r="G195" s="211">
        <v>0.3</v>
      </c>
      <c r="H195" s="212"/>
      <c r="I195" s="213"/>
      <c r="J195" s="272">
        <v>17980.650000000001</v>
      </c>
      <c r="K195" s="112">
        <f t="shared" si="17"/>
        <v>17980.650000000001</v>
      </c>
      <c r="L195" s="273">
        <f>BDI!$E$17</f>
        <v>0.11260000000000001</v>
      </c>
      <c r="M195" s="213"/>
      <c r="N195" s="213"/>
      <c r="O195" s="114">
        <f t="shared" si="18"/>
        <v>20005.27</v>
      </c>
      <c r="P195" s="113">
        <f t="shared" si="19"/>
        <v>6001.58</v>
      </c>
      <c r="Q195" s="209"/>
      <c r="R195" s="203"/>
      <c r="S195" s="182"/>
      <c r="T195" s="182"/>
      <c r="U195" s="182"/>
      <c r="V195" s="182"/>
      <c r="W195" s="182"/>
      <c r="X195" s="182"/>
      <c r="Y195" s="182"/>
      <c r="Z195" s="182"/>
      <c r="AA195" s="182"/>
      <c r="AB195" s="182"/>
      <c r="AC195" s="182"/>
      <c r="AD195" s="182"/>
      <c r="AE195" s="182"/>
      <c r="AF195" s="182"/>
      <c r="AG195" s="182"/>
      <c r="AH195" s="182"/>
      <c r="AI195" s="182"/>
      <c r="AJ195" s="182"/>
      <c r="AK195" s="182"/>
      <c r="AL195" s="182"/>
      <c r="AM195" s="182"/>
      <c r="AN195" s="182"/>
      <c r="AO195" s="182"/>
      <c r="AP195" s="182"/>
      <c r="AQ195" s="182"/>
      <c r="AR195" s="182"/>
      <c r="AS195" s="182"/>
      <c r="AT195" s="182"/>
      <c r="AU195" s="182"/>
      <c r="AV195" s="182"/>
      <c r="AW195" s="182"/>
      <c r="AX195" s="182"/>
      <c r="AY195" s="182"/>
      <c r="AZ195" s="182"/>
      <c r="BA195" s="182"/>
      <c r="BB195" s="182"/>
      <c r="BC195" s="182"/>
      <c r="BD195" s="182"/>
      <c r="BE195" s="182"/>
      <c r="BF195" s="182"/>
      <c r="BG195" s="182"/>
      <c r="BH195" s="182"/>
      <c r="BI195" s="182"/>
      <c r="BJ195" s="182"/>
      <c r="BK195" s="182"/>
      <c r="BL195" s="182"/>
      <c r="BM195" s="182"/>
      <c r="BN195" s="182"/>
      <c r="BO195" s="182"/>
      <c r="BP195" s="182"/>
      <c r="BQ195" s="182"/>
      <c r="BR195" s="182"/>
      <c r="BS195" s="182"/>
      <c r="BT195" s="182"/>
      <c r="BU195" s="182"/>
      <c r="BV195" s="182"/>
      <c r="BW195" s="182"/>
      <c r="BX195" s="182"/>
      <c r="BY195" s="182"/>
      <c r="BZ195" s="182"/>
      <c r="CA195" s="182"/>
      <c r="CB195" s="182"/>
      <c r="CC195" s="182"/>
      <c r="CD195" s="182"/>
      <c r="CE195" s="182"/>
      <c r="CF195" s="182"/>
      <c r="CG195" s="182"/>
      <c r="CH195" s="182"/>
      <c r="CI195" s="182"/>
      <c r="CJ195" s="182"/>
      <c r="CK195" s="182"/>
      <c r="CL195" s="182"/>
      <c r="CM195" s="182"/>
      <c r="CN195" s="182"/>
      <c r="CO195" s="182"/>
      <c r="CP195" s="182"/>
      <c r="CQ195" s="182"/>
      <c r="CR195" s="182"/>
      <c r="CS195" s="182"/>
      <c r="CT195" s="182"/>
      <c r="CU195" s="182"/>
      <c r="CV195" s="182"/>
      <c r="CW195" s="182"/>
      <c r="CX195" s="182"/>
      <c r="CY195" s="182"/>
      <c r="CZ195" s="182"/>
      <c r="DA195" s="182"/>
      <c r="DB195" s="182"/>
      <c r="DC195" s="182"/>
      <c r="DD195" s="182"/>
      <c r="DE195" s="182"/>
      <c r="DF195" s="182"/>
      <c r="DG195" s="182"/>
      <c r="DH195" s="182"/>
      <c r="DI195" s="182"/>
      <c r="DJ195" s="182"/>
      <c r="DK195" s="182"/>
      <c r="DL195" s="182"/>
      <c r="DM195" s="182"/>
      <c r="DN195" s="182"/>
      <c r="DO195" s="182"/>
      <c r="DP195" s="182"/>
      <c r="DQ195" s="182"/>
      <c r="DR195" s="182"/>
      <c r="DS195" s="182"/>
      <c r="DT195" s="182"/>
      <c r="DU195" s="182"/>
      <c r="DV195" s="182"/>
      <c r="DW195" s="182"/>
      <c r="DX195" s="182"/>
      <c r="DY195" s="182"/>
      <c r="DZ195" s="182"/>
      <c r="EA195" s="182"/>
      <c r="EB195" s="182"/>
      <c r="EC195" s="182"/>
      <c r="ED195" s="182"/>
      <c r="EE195" s="182"/>
      <c r="EF195" s="182"/>
      <c r="EG195" s="182"/>
      <c r="EH195" s="182"/>
      <c r="EI195" s="182"/>
      <c r="EJ195" s="182"/>
      <c r="EK195" s="182"/>
      <c r="EL195" s="182"/>
      <c r="EM195" s="182"/>
      <c r="EN195" s="182"/>
      <c r="EO195" s="182"/>
      <c r="EP195" s="182"/>
      <c r="EQ195" s="182"/>
      <c r="ER195" s="182"/>
      <c r="ES195" s="182"/>
      <c r="ET195" s="182"/>
      <c r="EU195" s="182"/>
      <c r="EV195" s="182"/>
      <c r="EW195" s="182"/>
      <c r="EX195" s="182"/>
      <c r="EY195" s="182"/>
      <c r="EZ195" s="182"/>
      <c r="FA195" s="182"/>
      <c r="FB195" s="182"/>
      <c r="FC195" s="182"/>
      <c r="FD195" s="182"/>
      <c r="FE195" s="182"/>
      <c r="FF195" s="182"/>
      <c r="FG195" s="182"/>
      <c r="FH195" s="182"/>
      <c r="FI195" s="182"/>
      <c r="FJ195" s="182"/>
      <c r="FK195" s="182"/>
      <c r="FL195" s="182"/>
      <c r="FM195" s="182"/>
      <c r="FN195" s="182"/>
      <c r="FO195" s="182"/>
      <c r="FP195" s="182"/>
      <c r="FQ195" s="182"/>
      <c r="FR195" s="182"/>
      <c r="FS195" s="182"/>
      <c r="FT195" s="182"/>
      <c r="FU195" s="182"/>
      <c r="FV195" s="182"/>
      <c r="FW195" s="182"/>
      <c r="FX195" s="182"/>
      <c r="FY195" s="182"/>
      <c r="FZ195" s="182"/>
      <c r="GA195" s="182"/>
      <c r="GB195" s="182"/>
      <c r="GC195" s="182"/>
      <c r="GD195" s="182"/>
      <c r="GE195" s="182"/>
      <c r="GF195" s="182"/>
      <c r="GG195" s="182"/>
      <c r="GH195" s="182"/>
      <c r="GI195" s="182"/>
    </row>
    <row r="196" spans="1:191" s="183" customFormat="1" x14ac:dyDescent="0.2">
      <c r="A196" s="210" t="s">
        <v>38501</v>
      </c>
      <c r="B196" s="210" t="s">
        <v>19044</v>
      </c>
      <c r="C196" s="224" t="s">
        <v>22306</v>
      </c>
      <c r="D196" s="211" t="s">
        <v>468</v>
      </c>
      <c r="E196" s="211">
        <v>1</v>
      </c>
      <c r="F196" s="211"/>
      <c r="G196" s="211">
        <v>0.3</v>
      </c>
      <c r="H196" s="212"/>
      <c r="I196" s="213"/>
      <c r="J196" s="272">
        <v>39271.64</v>
      </c>
      <c r="K196" s="112">
        <f t="shared" si="17"/>
        <v>39271.64</v>
      </c>
      <c r="L196" s="273">
        <f>BDI!$E$17</f>
        <v>0.11260000000000001</v>
      </c>
      <c r="M196" s="213"/>
      <c r="N196" s="213"/>
      <c r="O196" s="114">
        <f t="shared" si="18"/>
        <v>43693.63</v>
      </c>
      <c r="P196" s="113">
        <f t="shared" si="19"/>
        <v>13108.09</v>
      </c>
      <c r="Q196" s="209"/>
      <c r="R196" s="203"/>
      <c r="S196" s="182"/>
      <c r="T196" s="182"/>
      <c r="U196" s="182"/>
      <c r="V196" s="182"/>
      <c r="W196" s="182"/>
      <c r="X196" s="182"/>
      <c r="Y196" s="182"/>
      <c r="Z196" s="182"/>
      <c r="AA196" s="182"/>
      <c r="AB196" s="182"/>
      <c r="AC196" s="182"/>
      <c r="AD196" s="182"/>
      <c r="AE196" s="182"/>
      <c r="AF196" s="182"/>
      <c r="AG196" s="182"/>
      <c r="AH196" s="182"/>
      <c r="AI196" s="182"/>
      <c r="AJ196" s="182"/>
      <c r="AK196" s="182"/>
      <c r="AL196" s="182"/>
      <c r="AM196" s="182"/>
      <c r="AN196" s="182"/>
      <c r="AO196" s="182"/>
      <c r="AP196" s="182"/>
      <c r="AQ196" s="182"/>
      <c r="AR196" s="182"/>
      <c r="AS196" s="182"/>
      <c r="AT196" s="182"/>
      <c r="AU196" s="182"/>
      <c r="AV196" s="182"/>
      <c r="AW196" s="182"/>
      <c r="AX196" s="182"/>
      <c r="AY196" s="182"/>
      <c r="AZ196" s="182"/>
      <c r="BA196" s="182"/>
      <c r="BB196" s="182"/>
      <c r="BC196" s="182"/>
      <c r="BD196" s="182"/>
      <c r="BE196" s="182"/>
      <c r="BF196" s="182"/>
      <c r="BG196" s="182"/>
      <c r="BH196" s="182"/>
      <c r="BI196" s="182"/>
      <c r="BJ196" s="182"/>
      <c r="BK196" s="182"/>
      <c r="BL196" s="182"/>
      <c r="BM196" s="182"/>
      <c r="BN196" s="182"/>
      <c r="BO196" s="182"/>
      <c r="BP196" s="182"/>
      <c r="BQ196" s="182"/>
      <c r="BR196" s="182"/>
      <c r="BS196" s="182"/>
      <c r="BT196" s="182"/>
      <c r="BU196" s="182"/>
      <c r="BV196" s="182"/>
      <c r="BW196" s="182"/>
      <c r="BX196" s="182"/>
      <c r="BY196" s="182"/>
      <c r="BZ196" s="182"/>
      <c r="CA196" s="182"/>
      <c r="CB196" s="182"/>
      <c r="CC196" s="182"/>
      <c r="CD196" s="182"/>
      <c r="CE196" s="182"/>
      <c r="CF196" s="182"/>
      <c r="CG196" s="182"/>
      <c r="CH196" s="182"/>
      <c r="CI196" s="182"/>
      <c r="CJ196" s="182"/>
      <c r="CK196" s="182"/>
      <c r="CL196" s="182"/>
      <c r="CM196" s="182"/>
      <c r="CN196" s="182"/>
      <c r="CO196" s="182"/>
      <c r="CP196" s="182"/>
      <c r="CQ196" s="182"/>
      <c r="CR196" s="182"/>
      <c r="CS196" s="182"/>
      <c r="CT196" s="182"/>
      <c r="CU196" s="182"/>
      <c r="CV196" s="182"/>
      <c r="CW196" s="182"/>
      <c r="CX196" s="182"/>
      <c r="CY196" s="182"/>
      <c r="CZ196" s="182"/>
      <c r="DA196" s="182"/>
      <c r="DB196" s="182"/>
      <c r="DC196" s="182"/>
      <c r="DD196" s="182"/>
      <c r="DE196" s="182"/>
      <c r="DF196" s="182"/>
      <c r="DG196" s="182"/>
      <c r="DH196" s="182"/>
      <c r="DI196" s="182"/>
      <c r="DJ196" s="182"/>
      <c r="DK196" s="182"/>
      <c r="DL196" s="182"/>
      <c r="DM196" s="182"/>
      <c r="DN196" s="182"/>
      <c r="DO196" s="182"/>
      <c r="DP196" s="182"/>
      <c r="DQ196" s="182"/>
      <c r="DR196" s="182"/>
      <c r="DS196" s="182"/>
      <c r="DT196" s="182"/>
      <c r="DU196" s="182"/>
      <c r="DV196" s="182"/>
      <c r="DW196" s="182"/>
      <c r="DX196" s="182"/>
      <c r="DY196" s="182"/>
      <c r="DZ196" s="182"/>
      <c r="EA196" s="182"/>
      <c r="EB196" s="182"/>
      <c r="EC196" s="182"/>
      <c r="ED196" s="182"/>
      <c r="EE196" s="182"/>
      <c r="EF196" s="182"/>
      <c r="EG196" s="182"/>
      <c r="EH196" s="182"/>
      <c r="EI196" s="182"/>
      <c r="EJ196" s="182"/>
      <c r="EK196" s="182"/>
      <c r="EL196" s="182"/>
      <c r="EM196" s="182"/>
      <c r="EN196" s="182"/>
      <c r="EO196" s="182"/>
      <c r="EP196" s="182"/>
      <c r="EQ196" s="182"/>
      <c r="ER196" s="182"/>
      <c r="ES196" s="182"/>
      <c r="ET196" s="182"/>
      <c r="EU196" s="182"/>
      <c r="EV196" s="182"/>
      <c r="EW196" s="182"/>
      <c r="EX196" s="182"/>
      <c r="EY196" s="182"/>
      <c r="EZ196" s="182"/>
      <c r="FA196" s="182"/>
      <c r="FB196" s="182"/>
      <c r="FC196" s="182"/>
      <c r="FD196" s="182"/>
      <c r="FE196" s="182"/>
      <c r="FF196" s="182"/>
      <c r="FG196" s="182"/>
      <c r="FH196" s="182"/>
      <c r="FI196" s="182"/>
      <c r="FJ196" s="182"/>
      <c r="FK196" s="182"/>
      <c r="FL196" s="182"/>
      <c r="FM196" s="182"/>
      <c r="FN196" s="182"/>
      <c r="FO196" s="182"/>
      <c r="FP196" s="182"/>
      <c r="FQ196" s="182"/>
      <c r="FR196" s="182"/>
      <c r="FS196" s="182"/>
      <c r="FT196" s="182"/>
      <c r="FU196" s="182"/>
      <c r="FV196" s="182"/>
      <c r="FW196" s="182"/>
      <c r="FX196" s="182"/>
      <c r="FY196" s="182"/>
      <c r="FZ196" s="182"/>
      <c r="GA196" s="182"/>
      <c r="GB196" s="182"/>
      <c r="GC196" s="182"/>
      <c r="GD196" s="182"/>
      <c r="GE196" s="182"/>
      <c r="GF196" s="182"/>
      <c r="GG196" s="182"/>
      <c r="GH196" s="182"/>
      <c r="GI196" s="182"/>
    </row>
    <row r="197" spans="1:191" s="183" customFormat="1" x14ac:dyDescent="0.2">
      <c r="A197" s="210" t="s">
        <v>38502</v>
      </c>
      <c r="B197" s="210" t="s">
        <v>19045</v>
      </c>
      <c r="C197" s="224" t="s">
        <v>22307</v>
      </c>
      <c r="D197" s="211" t="s">
        <v>468</v>
      </c>
      <c r="E197" s="211">
        <v>1</v>
      </c>
      <c r="F197" s="211"/>
      <c r="G197" s="211">
        <v>0.3</v>
      </c>
      <c r="H197" s="212"/>
      <c r="I197" s="213"/>
      <c r="J197" s="272">
        <v>59648.12</v>
      </c>
      <c r="K197" s="112">
        <f t="shared" si="17"/>
        <v>59648.12</v>
      </c>
      <c r="L197" s="273">
        <f>BDI!$E$17</f>
        <v>0.11260000000000001</v>
      </c>
      <c r="M197" s="213"/>
      <c r="N197" s="213"/>
      <c r="O197" s="114">
        <f t="shared" si="18"/>
        <v>66364.5</v>
      </c>
      <c r="P197" s="113">
        <f t="shared" si="19"/>
        <v>19909.349999999999</v>
      </c>
      <c r="Q197" s="209"/>
      <c r="R197" s="203"/>
      <c r="S197" s="182"/>
      <c r="T197" s="182"/>
      <c r="U197" s="182"/>
      <c r="V197" s="182"/>
      <c r="W197" s="182"/>
      <c r="X197" s="182"/>
      <c r="Y197" s="182"/>
      <c r="Z197" s="182"/>
      <c r="AA197" s="182"/>
      <c r="AB197" s="182"/>
      <c r="AC197" s="182"/>
      <c r="AD197" s="182"/>
      <c r="AE197" s="182"/>
      <c r="AF197" s="182"/>
      <c r="AG197" s="182"/>
      <c r="AH197" s="182"/>
      <c r="AI197" s="182"/>
      <c r="AJ197" s="182"/>
      <c r="AK197" s="182"/>
      <c r="AL197" s="182"/>
      <c r="AM197" s="182"/>
      <c r="AN197" s="182"/>
      <c r="AO197" s="182"/>
      <c r="AP197" s="182"/>
      <c r="AQ197" s="182"/>
      <c r="AR197" s="182"/>
      <c r="AS197" s="182"/>
      <c r="AT197" s="182"/>
      <c r="AU197" s="182"/>
      <c r="AV197" s="182"/>
      <c r="AW197" s="182"/>
      <c r="AX197" s="182"/>
      <c r="AY197" s="182"/>
      <c r="AZ197" s="182"/>
      <c r="BA197" s="182"/>
      <c r="BB197" s="182"/>
      <c r="BC197" s="182"/>
      <c r="BD197" s="182"/>
      <c r="BE197" s="182"/>
      <c r="BF197" s="182"/>
      <c r="BG197" s="182"/>
      <c r="BH197" s="182"/>
      <c r="BI197" s="182"/>
      <c r="BJ197" s="182"/>
      <c r="BK197" s="182"/>
      <c r="BL197" s="182"/>
      <c r="BM197" s="182"/>
      <c r="BN197" s="182"/>
      <c r="BO197" s="182"/>
      <c r="BP197" s="182"/>
      <c r="BQ197" s="182"/>
      <c r="BR197" s="182"/>
      <c r="BS197" s="182"/>
      <c r="BT197" s="182"/>
      <c r="BU197" s="182"/>
      <c r="BV197" s="182"/>
      <c r="BW197" s="182"/>
      <c r="BX197" s="182"/>
      <c r="BY197" s="182"/>
      <c r="BZ197" s="182"/>
      <c r="CA197" s="182"/>
      <c r="CB197" s="182"/>
      <c r="CC197" s="182"/>
      <c r="CD197" s="182"/>
      <c r="CE197" s="182"/>
      <c r="CF197" s="182"/>
      <c r="CG197" s="182"/>
      <c r="CH197" s="182"/>
      <c r="CI197" s="182"/>
      <c r="CJ197" s="182"/>
      <c r="CK197" s="182"/>
      <c r="CL197" s="182"/>
      <c r="CM197" s="182"/>
      <c r="CN197" s="182"/>
      <c r="CO197" s="182"/>
      <c r="CP197" s="182"/>
      <c r="CQ197" s="182"/>
      <c r="CR197" s="182"/>
      <c r="CS197" s="182"/>
      <c r="CT197" s="182"/>
      <c r="CU197" s="182"/>
      <c r="CV197" s="182"/>
      <c r="CW197" s="182"/>
      <c r="CX197" s="182"/>
      <c r="CY197" s="182"/>
      <c r="CZ197" s="182"/>
      <c r="DA197" s="182"/>
      <c r="DB197" s="182"/>
      <c r="DC197" s="182"/>
      <c r="DD197" s="182"/>
      <c r="DE197" s="182"/>
      <c r="DF197" s="182"/>
      <c r="DG197" s="182"/>
      <c r="DH197" s="182"/>
      <c r="DI197" s="182"/>
      <c r="DJ197" s="182"/>
      <c r="DK197" s="182"/>
      <c r="DL197" s="182"/>
      <c r="DM197" s="182"/>
      <c r="DN197" s="182"/>
      <c r="DO197" s="182"/>
      <c r="DP197" s="182"/>
      <c r="DQ197" s="182"/>
      <c r="DR197" s="182"/>
      <c r="DS197" s="182"/>
      <c r="DT197" s="182"/>
      <c r="DU197" s="182"/>
      <c r="DV197" s="182"/>
      <c r="DW197" s="182"/>
      <c r="DX197" s="182"/>
      <c r="DY197" s="182"/>
      <c r="DZ197" s="182"/>
      <c r="EA197" s="182"/>
      <c r="EB197" s="182"/>
      <c r="EC197" s="182"/>
      <c r="ED197" s="182"/>
      <c r="EE197" s="182"/>
      <c r="EF197" s="182"/>
      <c r="EG197" s="182"/>
      <c r="EH197" s="182"/>
      <c r="EI197" s="182"/>
      <c r="EJ197" s="182"/>
      <c r="EK197" s="182"/>
      <c r="EL197" s="182"/>
      <c r="EM197" s="182"/>
      <c r="EN197" s="182"/>
      <c r="EO197" s="182"/>
      <c r="EP197" s="182"/>
      <c r="EQ197" s="182"/>
      <c r="ER197" s="182"/>
      <c r="ES197" s="182"/>
      <c r="ET197" s="182"/>
      <c r="EU197" s="182"/>
      <c r="EV197" s="182"/>
      <c r="EW197" s="182"/>
      <c r="EX197" s="182"/>
      <c r="EY197" s="182"/>
      <c r="EZ197" s="182"/>
      <c r="FA197" s="182"/>
      <c r="FB197" s="182"/>
      <c r="FC197" s="182"/>
      <c r="FD197" s="182"/>
      <c r="FE197" s="182"/>
      <c r="FF197" s="182"/>
      <c r="FG197" s="182"/>
      <c r="FH197" s="182"/>
      <c r="FI197" s="182"/>
      <c r="FJ197" s="182"/>
      <c r="FK197" s="182"/>
      <c r="FL197" s="182"/>
      <c r="FM197" s="182"/>
      <c r="FN197" s="182"/>
      <c r="FO197" s="182"/>
      <c r="FP197" s="182"/>
      <c r="FQ197" s="182"/>
      <c r="FR197" s="182"/>
      <c r="FS197" s="182"/>
      <c r="FT197" s="182"/>
      <c r="FU197" s="182"/>
      <c r="FV197" s="182"/>
      <c r="FW197" s="182"/>
      <c r="FX197" s="182"/>
      <c r="FY197" s="182"/>
      <c r="FZ197" s="182"/>
      <c r="GA197" s="182"/>
      <c r="GB197" s="182"/>
      <c r="GC197" s="182"/>
      <c r="GD197" s="182"/>
      <c r="GE197" s="182"/>
      <c r="GF197" s="182"/>
      <c r="GG197" s="182"/>
      <c r="GH197" s="182"/>
      <c r="GI197" s="182"/>
    </row>
    <row r="198" spans="1:191" s="183" customFormat="1" x14ac:dyDescent="0.2">
      <c r="A198" s="210" t="s">
        <v>38503</v>
      </c>
      <c r="B198" s="210" t="s">
        <v>19046</v>
      </c>
      <c r="C198" s="224" t="s">
        <v>22308</v>
      </c>
      <c r="D198" s="211" t="s">
        <v>468</v>
      </c>
      <c r="E198" s="211">
        <v>1</v>
      </c>
      <c r="F198" s="211"/>
      <c r="G198" s="211">
        <v>0.3</v>
      </c>
      <c r="H198" s="212"/>
      <c r="I198" s="213"/>
      <c r="J198" s="272">
        <v>75088.479999999996</v>
      </c>
      <c r="K198" s="112">
        <f t="shared" si="17"/>
        <v>75088.479999999996</v>
      </c>
      <c r="L198" s="273">
        <f>BDI!$E$17</f>
        <v>0.11260000000000001</v>
      </c>
      <c r="M198" s="213"/>
      <c r="N198" s="213"/>
      <c r="O198" s="114">
        <f t="shared" si="18"/>
        <v>83543.44</v>
      </c>
      <c r="P198" s="113">
        <f t="shared" si="19"/>
        <v>25063.03</v>
      </c>
      <c r="Q198" s="209"/>
      <c r="R198" s="203"/>
      <c r="S198" s="182"/>
      <c r="T198" s="182"/>
      <c r="U198" s="182"/>
      <c r="V198" s="182"/>
      <c r="W198" s="182"/>
      <c r="X198" s="182"/>
      <c r="Y198" s="182"/>
      <c r="Z198" s="182"/>
      <c r="AA198" s="182"/>
      <c r="AB198" s="182"/>
      <c r="AC198" s="182"/>
      <c r="AD198" s="182"/>
      <c r="AE198" s="182"/>
      <c r="AF198" s="182"/>
      <c r="AG198" s="182"/>
      <c r="AH198" s="182"/>
      <c r="AI198" s="182"/>
      <c r="AJ198" s="182"/>
      <c r="AK198" s="182"/>
      <c r="AL198" s="182"/>
      <c r="AM198" s="182"/>
      <c r="AN198" s="182"/>
      <c r="AO198" s="182"/>
      <c r="AP198" s="182"/>
      <c r="AQ198" s="182"/>
      <c r="AR198" s="182"/>
      <c r="AS198" s="182"/>
      <c r="AT198" s="182"/>
      <c r="AU198" s="182"/>
      <c r="AV198" s="182"/>
      <c r="AW198" s="182"/>
      <c r="AX198" s="182"/>
      <c r="AY198" s="182"/>
      <c r="AZ198" s="182"/>
      <c r="BA198" s="182"/>
      <c r="BB198" s="182"/>
      <c r="BC198" s="182"/>
      <c r="BD198" s="182"/>
      <c r="BE198" s="182"/>
      <c r="BF198" s="182"/>
      <c r="BG198" s="182"/>
      <c r="BH198" s="182"/>
      <c r="BI198" s="182"/>
      <c r="BJ198" s="182"/>
      <c r="BK198" s="182"/>
      <c r="BL198" s="182"/>
      <c r="BM198" s="182"/>
      <c r="BN198" s="182"/>
      <c r="BO198" s="182"/>
      <c r="BP198" s="182"/>
      <c r="BQ198" s="182"/>
      <c r="BR198" s="182"/>
      <c r="BS198" s="182"/>
      <c r="BT198" s="182"/>
      <c r="BU198" s="182"/>
      <c r="BV198" s="182"/>
      <c r="BW198" s="182"/>
      <c r="BX198" s="182"/>
      <c r="BY198" s="182"/>
      <c r="BZ198" s="182"/>
      <c r="CA198" s="182"/>
      <c r="CB198" s="182"/>
      <c r="CC198" s="182"/>
      <c r="CD198" s="182"/>
      <c r="CE198" s="182"/>
      <c r="CF198" s="182"/>
      <c r="CG198" s="182"/>
      <c r="CH198" s="182"/>
      <c r="CI198" s="182"/>
      <c r="CJ198" s="182"/>
      <c r="CK198" s="182"/>
      <c r="CL198" s="182"/>
      <c r="CM198" s="182"/>
      <c r="CN198" s="182"/>
      <c r="CO198" s="182"/>
      <c r="CP198" s="182"/>
      <c r="CQ198" s="182"/>
      <c r="CR198" s="182"/>
      <c r="CS198" s="182"/>
      <c r="CT198" s="182"/>
      <c r="CU198" s="182"/>
      <c r="CV198" s="182"/>
      <c r="CW198" s="182"/>
      <c r="CX198" s="182"/>
      <c r="CY198" s="182"/>
      <c r="CZ198" s="182"/>
      <c r="DA198" s="182"/>
      <c r="DB198" s="182"/>
      <c r="DC198" s="182"/>
      <c r="DD198" s="182"/>
      <c r="DE198" s="182"/>
      <c r="DF198" s="182"/>
      <c r="DG198" s="182"/>
      <c r="DH198" s="182"/>
      <c r="DI198" s="182"/>
      <c r="DJ198" s="182"/>
      <c r="DK198" s="182"/>
      <c r="DL198" s="182"/>
      <c r="DM198" s="182"/>
      <c r="DN198" s="182"/>
      <c r="DO198" s="182"/>
      <c r="DP198" s="182"/>
      <c r="DQ198" s="182"/>
      <c r="DR198" s="182"/>
      <c r="DS198" s="182"/>
      <c r="DT198" s="182"/>
      <c r="DU198" s="182"/>
      <c r="DV198" s="182"/>
      <c r="DW198" s="182"/>
      <c r="DX198" s="182"/>
      <c r="DY198" s="182"/>
      <c r="DZ198" s="182"/>
      <c r="EA198" s="182"/>
      <c r="EB198" s="182"/>
      <c r="EC198" s="182"/>
      <c r="ED198" s="182"/>
      <c r="EE198" s="182"/>
      <c r="EF198" s="182"/>
      <c r="EG198" s="182"/>
      <c r="EH198" s="182"/>
      <c r="EI198" s="182"/>
      <c r="EJ198" s="182"/>
      <c r="EK198" s="182"/>
      <c r="EL198" s="182"/>
      <c r="EM198" s="182"/>
      <c r="EN198" s="182"/>
      <c r="EO198" s="182"/>
      <c r="EP198" s="182"/>
      <c r="EQ198" s="182"/>
      <c r="ER198" s="182"/>
      <c r="ES198" s="182"/>
      <c r="ET198" s="182"/>
      <c r="EU198" s="182"/>
      <c r="EV198" s="182"/>
      <c r="EW198" s="182"/>
      <c r="EX198" s="182"/>
      <c r="EY198" s="182"/>
      <c r="EZ198" s="182"/>
      <c r="FA198" s="182"/>
      <c r="FB198" s="182"/>
      <c r="FC198" s="182"/>
      <c r="FD198" s="182"/>
      <c r="FE198" s="182"/>
      <c r="FF198" s="182"/>
      <c r="FG198" s="182"/>
      <c r="FH198" s="182"/>
      <c r="FI198" s="182"/>
      <c r="FJ198" s="182"/>
      <c r="FK198" s="182"/>
      <c r="FL198" s="182"/>
      <c r="FM198" s="182"/>
      <c r="FN198" s="182"/>
      <c r="FO198" s="182"/>
      <c r="FP198" s="182"/>
      <c r="FQ198" s="182"/>
      <c r="FR198" s="182"/>
      <c r="FS198" s="182"/>
      <c r="FT198" s="182"/>
      <c r="FU198" s="182"/>
      <c r="FV198" s="182"/>
      <c r="FW198" s="182"/>
      <c r="FX198" s="182"/>
      <c r="FY198" s="182"/>
      <c r="FZ198" s="182"/>
      <c r="GA198" s="182"/>
      <c r="GB198" s="182"/>
      <c r="GC198" s="182"/>
      <c r="GD198" s="182"/>
      <c r="GE198" s="182"/>
      <c r="GF198" s="182"/>
      <c r="GG198" s="182"/>
      <c r="GH198" s="182"/>
      <c r="GI198" s="182"/>
    </row>
    <row r="199" spans="1:191" s="183" customFormat="1" x14ac:dyDescent="0.2">
      <c r="A199" s="210" t="s">
        <v>38504</v>
      </c>
      <c r="B199" s="210" t="s">
        <v>19047</v>
      </c>
      <c r="C199" s="224" t="s">
        <v>22309</v>
      </c>
      <c r="D199" s="211" t="s">
        <v>468</v>
      </c>
      <c r="E199" s="211">
        <v>1</v>
      </c>
      <c r="F199" s="211"/>
      <c r="G199" s="211">
        <v>0.3</v>
      </c>
      <c r="H199" s="212"/>
      <c r="I199" s="213"/>
      <c r="J199" s="272">
        <v>146153.73000000001</v>
      </c>
      <c r="K199" s="112">
        <f t="shared" si="17"/>
        <v>146153.73000000001</v>
      </c>
      <c r="L199" s="273">
        <f>BDI!$E$17</f>
        <v>0.11260000000000001</v>
      </c>
      <c r="M199" s="213"/>
      <c r="N199" s="213"/>
      <c r="O199" s="114">
        <f t="shared" si="18"/>
        <v>162610.64000000001</v>
      </c>
      <c r="P199" s="113">
        <f t="shared" si="19"/>
        <v>48783.19</v>
      </c>
      <c r="Q199" s="209"/>
      <c r="R199" s="203"/>
      <c r="S199" s="182"/>
      <c r="T199" s="182"/>
      <c r="U199" s="182"/>
      <c r="V199" s="182"/>
      <c r="W199" s="182"/>
      <c r="X199" s="182"/>
      <c r="Y199" s="182"/>
      <c r="Z199" s="182"/>
      <c r="AA199" s="182"/>
      <c r="AB199" s="182"/>
      <c r="AC199" s="182"/>
      <c r="AD199" s="182"/>
      <c r="AE199" s="182"/>
      <c r="AF199" s="182"/>
      <c r="AG199" s="182"/>
      <c r="AH199" s="182"/>
      <c r="AI199" s="182"/>
      <c r="AJ199" s="182"/>
      <c r="AK199" s="182"/>
      <c r="AL199" s="182"/>
      <c r="AM199" s="182"/>
      <c r="AN199" s="182"/>
      <c r="AO199" s="182"/>
      <c r="AP199" s="182"/>
      <c r="AQ199" s="182"/>
      <c r="AR199" s="182"/>
      <c r="AS199" s="182"/>
      <c r="AT199" s="182"/>
      <c r="AU199" s="182"/>
      <c r="AV199" s="182"/>
      <c r="AW199" s="182"/>
      <c r="AX199" s="182"/>
      <c r="AY199" s="182"/>
      <c r="AZ199" s="182"/>
      <c r="BA199" s="182"/>
      <c r="BB199" s="182"/>
      <c r="BC199" s="182"/>
      <c r="BD199" s="182"/>
      <c r="BE199" s="182"/>
      <c r="BF199" s="182"/>
      <c r="BG199" s="182"/>
      <c r="BH199" s="182"/>
      <c r="BI199" s="182"/>
      <c r="BJ199" s="182"/>
      <c r="BK199" s="182"/>
      <c r="BL199" s="182"/>
      <c r="BM199" s="182"/>
      <c r="BN199" s="182"/>
      <c r="BO199" s="182"/>
      <c r="BP199" s="182"/>
      <c r="BQ199" s="182"/>
      <c r="BR199" s="182"/>
      <c r="BS199" s="182"/>
      <c r="BT199" s="182"/>
      <c r="BU199" s="182"/>
      <c r="BV199" s="182"/>
      <c r="BW199" s="182"/>
      <c r="BX199" s="182"/>
      <c r="BY199" s="182"/>
      <c r="BZ199" s="182"/>
      <c r="CA199" s="182"/>
      <c r="CB199" s="182"/>
      <c r="CC199" s="182"/>
      <c r="CD199" s="182"/>
      <c r="CE199" s="182"/>
      <c r="CF199" s="182"/>
      <c r="CG199" s="182"/>
      <c r="CH199" s="182"/>
      <c r="CI199" s="182"/>
      <c r="CJ199" s="182"/>
      <c r="CK199" s="182"/>
      <c r="CL199" s="182"/>
      <c r="CM199" s="182"/>
      <c r="CN199" s="182"/>
      <c r="CO199" s="182"/>
      <c r="CP199" s="182"/>
      <c r="CQ199" s="182"/>
      <c r="CR199" s="182"/>
      <c r="CS199" s="182"/>
      <c r="CT199" s="182"/>
      <c r="CU199" s="182"/>
      <c r="CV199" s="182"/>
      <c r="CW199" s="182"/>
      <c r="CX199" s="182"/>
      <c r="CY199" s="182"/>
      <c r="CZ199" s="182"/>
      <c r="DA199" s="182"/>
      <c r="DB199" s="182"/>
      <c r="DC199" s="182"/>
      <c r="DD199" s="182"/>
      <c r="DE199" s="182"/>
      <c r="DF199" s="182"/>
      <c r="DG199" s="182"/>
      <c r="DH199" s="182"/>
      <c r="DI199" s="182"/>
      <c r="DJ199" s="182"/>
      <c r="DK199" s="182"/>
      <c r="DL199" s="182"/>
      <c r="DM199" s="182"/>
      <c r="DN199" s="182"/>
      <c r="DO199" s="182"/>
      <c r="DP199" s="182"/>
      <c r="DQ199" s="182"/>
      <c r="DR199" s="182"/>
      <c r="DS199" s="182"/>
      <c r="DT199" s="182"/>
      <c r="DU199" s="182"/>
      <c r="DV199" s="182"/>
      <c r="DW199" s="182"/>
      <c r="DX199" s="182"/>
      <c r="DY199" s="182"/>
      <c r="DZ199" s="182"/>
      <c r="EA199" s="182"/>
      <c r="EB199" s="182"/>
      <c r="EC199" s="182"/>
      <c r="ED199" s="182"/>
      <c r="EE199" s="182"/>
      <c r="EF199" s="182"/>
      <c r="EG199" s="182"/>
      <c r="EH199" s="182"/>
      <c r="EI199" s="182"/>
      <c r="EJ199" s="182"/>
      <c r="EK199" s="182"/>
      <c r="EL199" s="182"/>
      <c r="EM199" s="182"/>
      <c r="EN199" s="182"/>
      <c r="EO199" s="182"/>
      <c r="EP199" s="182"/>
      <c r="EQ199" s="182"/>
      <c r="ER199" s="182"/>
      <c r="ES199" s="182"/>
      <c r="ET199" s="182"/>
      <c r="EU199" s="182"/>
      <c r="EV199" s="182"/>
      <c r="EW199" s="182"/>
      <c r="EX199" s="182"/>
      <c r="EY199" s="182"/>
      <c r="EZ199" s="182"/>
      <c r="FA199" s="182"/>
      <c r="FB199" s="182"/>
      <c r="FC199" s="182"/>
      <c r="FD199" s="182"/>
      <c r="FE199" s="182"/>
      <c r="FF199" s="182"/>
      <c r="FG199" s="182"/>
      <c r="FH199" s="182"/>
      <c r="FI199" s="182"/>
      <c r="FJ199" s="182"/>
      <c r="FK199" s="182"/>
      <c r="FL199" s="182"/>
      <c r="FM199" s="182"/>
      <c r="FN199" s="182"/>
      <c r="FO199" s="182"/>
      <c r="FP199" s="182"/>
      <c r="FQ199" s="182"/>
      <c r="FR199" s="182"/>
      <c r="FS199" s="182"/>
      <c r="FT199" s="182"/>
      <c r="FU199" s="182"/>
      <c r="FV199" s="182"/>
      <c r="FW199" s="182"/>
      <c r="FX199" s="182"/>
      <c r="FY199" s="182"/>
      <c r="FZ199" s="182"/>
      <c r="GA199" s="182"/>
      <c r="GB199" s="182"/>
      <c r="GC199" s="182"/>
      <c r="GD199" s="182"/>
      <c r="GE199" s="182"/>
      <c r="GF199" s="182"/>
      <c r="GG199" s="182"/>
      <c r="GH199" s="182"/>
      <c r="GI199" s="182"/>
    </row>
    <row r="200" spans="1:191" s="183" customFormat="1" x14ac:dyDescent="0.2">
      <c r="A200" s="210" t="s">
        <v>38505</v>
      </c>
      <c r="B200" s="210" t="s">
        <v>19048</v>
      </c>
      <c r="C200" s="224" t="s">
        <v>22310</v>
      </c>
      <c r="D200" s="211" t="s">
        <v>468</v>
      </c>
      <c r="E200" s="211">
        <v>1</v>
      </c>
      <c r="F200" s="211"/>
      <c r="G200" s="211">
        <v>0.3</v>
      </c>
      <c r="H200" s="212"/>
      <c r="I200" s="213"/>
      <c r="J200" s="272">
        <v>81463.05</v>
      </c>
      <c r="K200" s="112">
        <f t="shared" si="17"/>
        <v>81463.05</v>
      </c>
      <c r="L200" s="273">
        <f>BDI!$E$17</f>
        <v>0.11260000000000001</v>
      </c>
      <c r="M200" s="213"/>
      <c r="N200" s="213"/>
      <c r="O200" s="114">
        <f t="shared" si="18"/>
        <v>90635.79</v>
      </c>
      <c r="P200" s="113">
        <f t="shared" si="19"/>
        <v>27190.74</v>
      </c>
      <c r="Q200" s="209"/>
      <c r="R200" s="203"/>
      <c r="S200" s="182"/>
      <c r="T200" s="182"/>
      <c r="U200" s="182"/>
      <c r="V200" s="182"/>
      <c r="W200" s="182"/>
      <c r="X200" s="182"/>
      <c r="Y200" s="182"/>
      <c r="Z200" s="182"/>
      <c r="AA200" s="182"/>
      <c r="AB200" s="182"/>
      <c r="AC200" s="182"/>
      <c r="AD200" s="182"/>
      <c r="AE200" s="182"/>
      <c r="AF200" s="182"/>
      <c r="AG200" s="182"/>
      <c r="AH200" s="182"/>
      <c r="AI200" s="182"/>
      <c r="AJ200" s="182"/>
      <c r="AK200" s="182"/>
      <c r="AL200" s="182"/>
      <c r="AM200" s="182"/>
      <c r="AN200" s="182"/>
      <c r="AO200" s="182"/>
      <c r="AP200" s="182"/>
      <c r="AQ200" s="182"/>
      <c r="AR200" s="182"/>
      <c r="AS200" s="182"/>
      <c r="AT200" s="182"/>
      <c r="AU200" s="182"/>
      <c r="AV200" s="182"/>
      <c r="AW200" s="182"/>
      <c r="AX200" s="182"/>
      <c r="AY200" s="182"/>
      <c r="AZ200" s="182"/>
      <c r="BA200" s="182"/>
      <c r="BB200" s="182"/>
      <c r="BC200" s="182"/>
      <c r="BD200" s="182"/>
      <c r="BE200" s="182"/>
      <c r="BF200" s="182"/>
      <c r="BG200" s="182"/>
      <c r="BH200" s="182"/>
      <c r="BI200" s="182"/>
      <c r="BJ200" s="182"/>
      <c r="BK200" s="182"/>
      <c r="BL200" s="182"/>
      <c r="BM200" s="182"/>
      <c r="BN200" s="182"/>
      <c r="BO200" s="182"/>
      <c r="BP200" s="182"/>
      <c r="BQ200" s="182"/>
      <c r="BR200" s="182"/>
      <c r="BS200" s="182"/>
      <c r="BT200" s="182"/>
      <c r="BU200" s="182"/>
      <c r="BV200" s="182"/>
      <c r="BW200" s="182"/>
      <c r="BX200" s="182"/>
      <c r="BY200" s="182"/>
      <c r="BZ200" s="182"/>
      <c r="CA200" s="182"/>
      <c r="CB200" s="182"/>
      <c r="CC200" s="182"/>
      <c r="CD200" s="182"/>
      <c r="CE200" s="182"/>
      <c r="CF200" s="182"/>
      <c r="CG200" s="182"/>
      <c r="CH200" s="182"/>
      <c r="CI200" s="182"/>
      <c r="CJ200" s="182"/>
      <c r="CK200" s="182"/>
      <c r="CL200" s="182"/>
      <c r="CM200" s="182"/>
      <c r="CN200" s="182"/>
      <c r="CO200" s="182"/>
      <c r="CP200" s="182"/>
      <c r="CQ200" s="182"/>
      <c r="CR200" s="182"/>
      <c r="CS200" s="182"/>
      <c r="CT200" s="182"/>
      <c r="CU200" s="182"/>
      <c r="CV200" s="182"/>
      <c r="CW200" s="182"/>
      <c r="CX200" s="182"/>
      <c r="CY200" s="182"/>
      <c r="CZ200" s="182"/>
      <c r="DA200" s="182"/>
      <c r="DB200" s="182"/>
      <c r="DC200" s="182"/>
      <c r="DD200" s="182"/>
      <c r="DE200" s="182"/>
      <c r="DF200" s="182"/>
      <c r="DG200" s="182"/>
      <c r="DH200" s="182"/>
      <c r="DI200" s="182"/>
      <c r="DJ200" s="182"/>
      <c r="DK200" s="182"/>
      <c r="DL200" s="182"/>
      <c r="DM200" s="182"/>
      <c r="DN200" s="182"/>
      <c r="DO200" s="182"/>
      <c r="DP200" s="182"/>
      <c r="DQ200" s="182"/>
      <c r="DR200" s="182"/>
      <c r="DS200" s="182"/>
      <c r="DT200" s="182"/>
      <c r="DU200" s="182"/>
      <c r="DV200" s="182"/>
      <c r="DW200" s="182"/>
      <c r="DX200" s="182"/>
      <c r="DY200" s="182"/>
      <c r="DZ200" s="182"/>
      <c r="EA200" s="182"/>
      <c r="EB200" s="182"/>
      <c r="EC200" s="182"/>
      <c r="ED200" s="182"/>
      <c r="EE200" s="182"/>
      <c r="EF200" s="182"/>
      <c r="EG200" s="182"/>
      <c r="EH200" s="182"/>
      <c r="EI200" s="182"/>
      <c r="EJ200" s="182"/>
      <c r="EK200" s="182"/>
      <c r="EL200" s="182"/>
      <c r="EM200" s="182"/>
      <c r="EN200" s="182"/>
      <c r="EO200" s="182"/>
      <c r="EP200" s="182"/>
      <c r="EQ200" s="182"/>
      <c r="ER200" s="182"/>
      <c r="ES200" s="182"/>
      <c r="ET200" s="182"/>
      <c r="EU200" s="182"/>
      <c r="EV200" s="182"/>
      <c r="EW200" s="182"/>
      <c r="EX200" s="182"/>
      <c r="EY200" s="182"/>
      <c r="EZ200" s="182"/>
      <c r="FA200" s="182"/>
      <c r="FB200" s="182"/>
      <c r="FC200" s="182"/>
      <c r="FD200" s="182"/>
      <c r="FE200" s="182"/>
      <c r="FF200" s="182"/>
      <c r="FG200" s="182"/>
      <c r="FH200" s="182"/>
      <c r="FI200" s="182"/>
      <c r="FJ200" s="182"/>
      <c r="FK200" s="182"/>
      <c r="FL200" s="182"/>
      <c r="FM200" s="182"/>
      <c r="FN200" s="182"/>
      <c r="FO200" s="182"/>
      <c r="FP200" s="182"/>
      <c r="FQ200" s="182"/>
      <c r="FR200" s="182"/>
      <c r="FS200" s="182"/>
      <c r="FT200" s="182"/>
      <c r="FU200" s="182"/>
      <c r="FV200" s="182"/>
      <c r="FW200" s="182"/>
      <c r="FX200" s="182"/>
      <c r="FY200" s="182"/>
      <c r="FZ200" s="182"/>
      <c r="GA200" s="182"/>
      <c r="GB200" s="182"/>
      <c r="GC200" s="182"/>
      <c r="GD200" s="182"/>
      <c r="GE200" s="182"/>
      <c r="GF200" s="182"/>
      <c r="GG200" s="182"/>
      <c r="GH200" s="182"/>
      <c r="GI200" s="182"/>
    </row>
    <row r="201" spans="1:191" s="183" customFormat="1" x14ac:dyDescent="0.2">
      <c r="A201" s="210" t="s">
        <v>38506</v>
      </c>
      <c r="B201" s="210" t="s">
        <v>19049</v>
      </c>
      <c r="C201" s="224" t="s">
        <v>22311</v>
      </c>
      <c r="D201" s="211" t="s">
        <v>468</v>
      </c>
      <c r="E201" s="211">
        <v>1</v>
      </c>
      <c r="F201" s="211"/>
      <c r="G201" s="211">
        <v>0.3</v>
      </c>
      <c r="H201" s="212"/>
      <c r="I201" s="213"/>
      <c r="J201" s="272">
        <v>14912.33</v>
      </c>
      <c r="K201" s="112">
        <f t="shared" si="17"/>
        <v>14912.33</v>
      </c>
      <c r="L201" s="273">
        <f>BDI!$E$17</f>
        <v>0.11260000000000001</v>
      </c>
      <c r="M201" s="213"/>
      <c r="N201" s="213"/>
      <c r="O201" s="114">
        <f t="shared" si="18"/>
        <v>16591.46</v>
      </c>
      <c r="P201" s="113">
        <f t="shared" si="19"/>
        <v>4977.4399999999996</v>
      </c>
      <c r="Q201" s="209"/>
      <c r="R201" s="203"/>
      <c r="S201" s="182"/>
      <c r="T201" s="182"/>
      <c r="U201" s="182"/>
      <c r="V201" s="182"/>
      <c r="W201" s="182"/>
      <c r="X201" s="182"/>
      <c r="Y201" s="182"/>
      <c r="Z201" s="182"/>
      <c r="AA201" s="182"/>
      <c r="AB201" s="182"/>
      <c r="AC201" s="182"/>
      <c r="AD201" s="182"/>
      <c r="AE201" s="182"/>
      <c r="AF201" s="182"/>
      <c r="AG201" s="182"/>
      <c r="AH201" s="182"/>
      <c r="AI201" s="182"/>
      <c r="AJ201" s="182"/>
      <c r="AK201" s="182"/>
      <c r="AL201" s="182"/>
      <c r="AM201" s="182"/>
      <c r="AN201" s="182"/>
      <c r="AO201" s="182"/>
      <c r="AP201" s="182"/>
      <c r="AQ201" s="182"/>
      <c r="AR201" s="182"/>
      <c r="AS201" s="182"/>
      <c r="AT201" s="182"/>
      <c r="AU201" s="182"/>
      <c r="AV201" s="182"/>
      <c r="AW201" s="182"/>
      <c r="AX201" s="182"/>
      <c r="AY201" s="182"/>
      <c r="AZ201" s="182"/>
      <c r="BA201" s="182"/>
      <c r="BB201" s="182"/>
      <c r="BC201" s="182"/>
      <c r="BD201" s="182"/>
      <c r="BE201" s="182"/>
      <c r="BF201" s="182"/>
      <c r="BG201" s="182"/>
      <c r="BH201" s="182"/>
      <c r="BI201" s="182"/>
      <c r="BJ201" s="182"/>
      <c r="BK201" s="182"/>
      <c r="BL201" s="182"/>
      <c r="BM201" s="182"/>
      <c r="BN201" s="182"/>
      <c r="BO201" s="182"/>
      <c r="BP201" s="182"/>
      <c r="BQ201" s="182"/>
      <c r="BR201" s="182"/>
      <c r="BS201" s="182"/>
      <c r="BT201" s="182"/>
      <c r="BU201" s="182"/>
      <c r="BV201" s="182"/>
      <c r="BW201" s="182"/>
      <c r="BX201" s="182"/>
      <c r="BY201" s="182"/>
      <c r="BZ201" s="182"/>
      <c r="CA201" s="182"/>
      <c r="CB201" s="182"/>
      <c r="CC201" s="182"/>
      <c r="CD201" s="182"/>
      <c r="CE201" s="182"/>
      <c r="CF201" s="182"/>
      <c r="CG201" s="182"/>
      <c r="CH201" s="182"/>
      <c r="CI201" s="182"/>
      <c r="CJ201" s="182"/>
      <c r="CK201" s="182"/>
      <c r="CL201" s="182"/>
      <c r="CM201" s="182"/>
      <c r="CN201" s="182"/>
      <c r="CO201" s="182"/>
      <c r="CP201" s="182"/>
      <c r="CQ201" s="182"/>
      <c r="CR201" s="182"/>
      <c r="CS201" s="182"/>
      <c r="CT201" s="182"/>
      <c r="CU201" s="182"/>
      <c r="CV201" s="182"/>
      <c r="CW201" s="182"/>
      <c r="CX201" s="182"/>
      <c r="CY201" s="182"/>
      <c r="CZ201" s="182"/>
      <c r="DA201" s="182"/>
      <c r="DB201" s="182"/>
      <c r="DC201" s="182"/>
      <c r="DD201" s="182"/>
      <c r="DE201" s="182"/>
      <c r="DF201" s="182"/>
      <c r="DG201" s="182"/>
      <c r="DH201" s="182"/>
      <c r="DI201" s="182"/>
      <c r="DJ201" s="182"/>
      <c r="DK201" s="182"/>
      <c r="DL201" s="182"/>
      <c r="DM201" s="182"/>
      <c r="DN201" s="182"/>
      <c r="DO201" s="182"/>
      <c r="DP201" s="182"/>
      <c r="DQ201" s="182"/>
      <c r="DR201" s="182"/>
      <c r="DS201" s="182"/>
      <c r="DT201" s="182"/>
      <c r="DU201" s="182"/>
      <c r="DV201" s="182"/>
      <c r="DW201" s="182"/>
      <c r="DX201" s="182"/>
      <c r="DY201" s="182"/>
      <c r="DZ201" s="182"/>
      <c r="EA201" s="182"/>
      <c r="EB201" s="182"/>
      <c r="EC201" s="182"/>
      <c r="ED201" s="182"/>
      <c r="EE201" s="182"/>
      <c r="EF201" s="182"/>
      <c r="EG201" s="182"/>
      <c r="EH201" s="182"/>
      <c r="EI201" s="182"/>
      <c r="EJ201" s="182"/>
      <c r="EK201" s="182"/>
      <c r="EL201" s="182"/>
      <c r="EM201" s="182"/>
      <c r="EN201" s="182"/>
      <c r="EO201" s="182"/>
      <c r="EP201" s="182"/>
      <c r="EQ201" s="182"/>
      <c r="ER201" s="182"/>
      <c r="ES201" s="182"/>
      <c r="ET201" s="182"/>
      <c r="EU201" s="182"/>
      <c r="EV201" s="182"/>
      <c r="EW201" s="182"/>
      <c r="EX201" s="182"/>
      <c r="EY201" s="182"/>
      <c r="EZ201" s="182"/>
      <c r="FA201" s="182"/>
      <c r="FB201" s="182"/>
      <c r="FC201" s="182"/>
      <c r="FD201" s="182"/>
      <c r="FE201" s="182"/>
      <c r="FF201" s="182"/>
      <c r="FG201" s="182"/>
      <c r="FH201" s="182"/>
      <c r="FI201" s="182"/>
      <c r="FJ201" s="182"/>
      <c r="FK201" s="182"/>
      <c r="FL201" s="182"/>
      <c r="FM201" s="182"/>
      <c r="FN201" s="182"/>
      <c r="FO201" s="182"/>
      <c r="FP201" s="182"/>
      <c r="FQ201" s="182"/>
      <c r="FR201" s="182"/>
      <c r="FS201" s="182"/>
      <c r="FT201" s="182"/>
      <c r="FU201" s="182"/>
      <c r="FV201" s="182"/>
      <c r="FW201" s="182"/>
      <c r="FX201" s="182"/>
      <c r="FY201" s="182"/>
      <c r="FZ201" s="182"/>
      <c r="GA201" s="182"/>
      <c r="GB201" s="182"/>
      <c r="GC201" s="182"/>
      <c r="GD201" s="182"/>
      <c r="GE201" s="182"/>
      <c r="GF201" s="182"/>
      <c r="GG201" s="182"/>
      <c r="GH201" s="182"/>
      <c r="GI201" s="182"/>
    </row>
    <row r="202" spans="1:191" s="183" customFormat="1" x14ac:dyDescent="0.2">
      <c r="A202" s="210" t="s">
        <v>38507</v>
      </c>
      <c r="B202" s="210" t="s">
        <v>19050</v>
      </c>
      <c r="C202" s="224" t="s">
        <v>22312</v>
      </c>
      <c r="D202" s="211" t="s">
        <v>468</v>
      </c>
      <c r="E202" s="211">
        <v>1</v>
      </c>
      <c r="F202" s="211"/>
      <c r="G202" s="211">
        <v>0.3</v>
      </c>
      <c r="H202" s="212"/>
      <c r="I202" s="213"/>
      <c r="J202" s="272">
        <v>14168.4</v>
      </c>
      <c r="K202" s="112">
        <f t="shared" si="17"/>
        <v>14168.4</v>
      </c>
      <c r="L202" s="273">
        <f>BDI!$E$17</f>
        <v>0.11260000000000001</v>
      </c>
      <c r="M202" s="213"/>
      <c r="N202" s="213"/>
      <c r="O202" s="114">
        <f t="shared" si="18"/>
        <v>15763.76</v>
      </c>
      <c r="P202" s="113">
        <f t="shared" si="19"/>
        <v>4729.13</v>
      </c>
      <c r="Q202" s="209"/>
      <c r="R202" s="203"/>
      <c r="S202" s="182"/>
      <c r="T202" s="182"/>
      <c r="U202" s="182"/>
      <c r="V202" s="182"/>
      <c r="W202" s="182"/>
      <c r="X202" s="182"/>
      <c r="Y202" s="182"/>
      <c r="Z202" s="182"/>
      <c r="AA202" s="182"/>
      <c r="AB202" s="182"/>
      <c r="AC202" s="182"/>
      <c r="AD202" s="182"/>
      <c r="AE202" s="182"/>
      <c r="AF202" s="182"/>
      <c r="AG202" s="182"/>
      <c r="AH202" s="182"/>
      <c r="AI202" s="182"/>
      <c r="AJ202" s="182"/>
      <c r="AK202" s="182"/>
      <c r="AL202" s="182"/>
      <c r="AM202" s="182"/>
      <c r="AN202" s="182"/>
      <c r="AO202" s="182"/>
      <c r="AP202" s="182"/>
      <c r="AQ202" s="182"/>
      <c r="AR202" s="182"/>
      <c r="AS202" s="182"/>
      <c r="AT202" s="182"/>
      <c r="AU202" s="182"/>
      <c r="AV202" s="182"/>
      <c r="AW202" s="182"/>
      <c r="AX202" s="182"/>
      <c r="AY202" s="182"/>
      <c r="AZ202" s="182"/>
      <c r="BA202" s="182"/>
      <c r="BB202" s="182"/>
      <c r="BC202" s="182"/>
      <c r="BD202" s="182"/>
      <c r="BE202" s="182"/>
      <c r="BF202" s="182"/>
      <c r="BG202" s="182"/>
      <c r="BH202" s="182"/>
      <c r="BI202" s="182"/>
      <c r="BJ202" s="182"/>
      <c r="BK202" s="182"/>
      <c r="BL202" s="182"/>
      <c r="BM202" s="182"/>
      <c r="BN202" s="182"/>
      <c r="BO202" s="182"/>
      <c r="BP202" s="182"/>
      <c r="BQ202" s="182"/>
      <c r="BR202" s="182"/>
      <c r="BS202" s="182"/>
      <c r="BT202" s="182"/>
      <c r="BU202" s="182"/>
      <c r="BV202" s="182"/>
      <c r="BW202" s="182"/>
      <c r="BX202" s="182"/>
      <c r="BY202" s="182"/>
      <c r="BZ202" s="182"/>
      <c r="CA202" s="182"/>
      <c r="CB202" s="182"/>
      <c r="CC202" s="182"/>
      <c r="CD202" s="182"/>
      <c r="CE202" s="182"/>
      <c r="CF202" s="182"/>
      <c r="CG202" s="182"/>
      <c r="CH202" s="182"/>
      <c r="CI202" s="182"/>
      <c r="CJ202" s="182"/>
      <c r="CK202" s="182"/>
      <c r="CL202" s="182"/>
      <c r="CM202" s="182"/>
      <c r="CN202" s="182"/>
      <c r="CO202" s="182"/>
      <c r="CP202" s="182"/>
      <c r="CQ202" s="182"/>
      <c r="CR202" s="182"/>
      <c r="CS202" s="182"/>
      <c r="CT202" s="182"/>
      <c r="CU202" s="182"/>
      <c r="CV202" s="182"/>
      <c r="CW202" s="182"/>
      <c r="CX202" s="182"/>
      <c r="CY202" s="182"/>
      <c r="CZ202" s="182"/>
      <c r="DA202" s="182"/>
      <c r="DB202" s="182"/>
      <c r="DC202" s="182"/>
      <c r="DD202" s="182"/>
      <c r="DE202" s="182"/>
      <c r="DF202" s="182"/>
      <c r="DG202" s="182"/>
      <c r="DH202" s="182"/>
      <c r="DI202" s="182"/>
      <c r="DJ202" s="182"/>
      <c r="DK202" s="182"/>
      <c r="DL202" s="182"/>
      <c r="DM202" s="182"/>
      <c r="DN202" s="182"/>
      <c r="DO202" s="182"/>
      <c r="DP202" s="182"/>
      <c r="DQ202" s="182"/>
      <c r="DR202" s="182"/>
      <c r="DS202" s="182"/>
      <c r="DT202" s="182"/>
      <c r="DU202" s="182"/>
      <c r="DV202" s="182"/>
      <c r="DW202" s="182"/>
      <c r="DX202" s="182"/>
      <c r="DY202" s="182"/>
      <c r="DZ202" s="182"/>
      <c r="EA202" s="182"/>
      <c r="EB202" s="182"/>
      <c r="EC202" s="182"/>
      <c r="ED202" s="182"/>
      <c r="EE202" s="182"/>
      <c r="EF202" s="182"/>
      <c r="EG202" s="182"/>
      <c r="EH202" s="182"/>
      <c r="EI202" s="182"/>
      <c r="EJ202" s="182"/>
      <c r="EK202" s="182"/>
      <c r="EL202" s="182"/>
      <c r="EM202" s="182"/>
      <c r="EN202" s="182"/>
      <c r="EO202" s="182"/>
      <c r="EP202" s="182"/>
      <c r="EQ202" s="182"/>
      <c r="ER202" s="182"/>
      <c r="ES202" s="182"/>
      <c r="ET202" s="182"/>
      <c r="EU202" s="182"/>
      <c r="EV202" s="182"/>
      <c r="EW202" s="182"/>
      <c r="EX202" s="182"/>
      <c r="EY202" s="182"/>
      <c r="EZ202" s="182"/>
      <c r="FA202" s="182"/>
      <c r="FB202" s="182"/>
      <c r="FC202" s="182"/>
      <c r="FD202" s="182"/>
      <c r="FE202" s="182"/>
      <c r="FF202" s="182"/>
      <c r="FG202" s="182"/>
      <c r="FH202" s="182"/>
      <c r="FI202" s="182"/>
      <c r="FJ202" s="182"/>
      <c r="FK202" s="182"/>
      <c r="FL202" s="182"/>
      <c r="FM202" s="182"/>
      <c r="FN202" s="182"/>
      <c r="FO202" s="182"/>
      <c r="FP202" s="182"/>
      <c r="FQ202" s="182"/>
      <c r="FR202" s="182"/>
      <c r="FS202" s="182"/>
      <c r="FT202" s="182"/>
      <c r="FU202" s="182"/>
      <c r="FV202" s="182"/>
      <c r="FW202" s="182"/>
      <c r="FX202" s="182"/>
      <c r="FY202" s="182"/>
      <c r="FZ202" s="182"/>
      <c r="GA202" s="182"/>
      <c r="GB202" s="182"/>
      <c r="GC202" s="182"/>
      <c r="GD202" s="182"/>
      <c r="GE202" s="182"/>
      <c r="GF202" s="182"/>
      <c r="GG202" s="182"/>
      <c r="GH202" s="182"/>
      <c r="GI202" s="182"/>
    </row>
    <row r="203" spans="1:191" s="183" customFormat="1" x14ac:dyDescent="0.2">
      <c r="A203" s="210" t="s">
        <v>38508</v>
      </c>
      <c r="B203" s="210" t="s">
        <v>19051</v>
      </c>
      <c r="C203" s="224" t="s">
        <v>22313</v>
      </c>
      <c r="D203" s="211" t="s">
        <v>16</v>
      </c>
      <c r="E203" s="211">
        <v>24</v>
      </c>
      <c r="F203" s="211"/>
      <c r="G203" s="211">
        <v>0.3</v>
      </c>
      <c r="H203" s="212"/>
      <c r="I203" s="213"/>
      <c r="J203" s="272">
        <v>2010.5</v>
      </c>
      <c r="K203" s="112">
        <f t="shared" si="17"/>
        <v>48252</v>
      </c>
      <c r="L203" s="273">
        <f>BDI!$E$17</f>
        <v>0.11260000000000001</v>
      </c>
      <c r="M203" s="213"/>
      <c r="N203" s="213"/>
      <c r="O203" s="114">
        <f t="shared" si="18"/>
        <v>2236.88</v>
      </c>
      <c r="P203" s="113">
        <f t="shared" si="19"/>
        <v>16105.54</v>
      </c>
      <c r="Q203" s="209"/>
      <c r="R203" s="203"/>
      <c r="S203" s="182"/>
      <c r="T203" s="182"/>
      <c r="U203" s="182"/>
      <c r="V203" s="182"/>
      <c r="W203" s="182"/>
      <c r="X203" s="182"/>
      <c r="Y203" s="182"/>
      <c r="Z203" s="182"/>
      <c r="AA203" s="182"/>
      <c r="AB203" s="182"/>
      <c r="AC203" s="182"/>
      <c r="AD203" s="182"/>
      <c r="AE203" s="182"/>
      <c r="AF203" s="182"/>
      <c r="AG203" s="182"/>
      <c r="AH203" s="182"/>
      <c r="AI203" s="182"/>
      <c r="AJ203" s="182"/>
      <c r="AK203" s="182"/>
      <c r="AL203" s="182"/>
      <c r="AM203" s="182"/>
      <c r="AN203" s="182"/>
      <c r="AO203" s="182"/>
      <c r="AP203" s="182"/>
      <c r="AQ203" s="182"/>
      <c r="AR203" s="182"/>
      <c r="AS203" s="182"/>
      <c r="AT203" s="182"/>
      <c r="AU203" s="182"/>
      <c r="AV203" s="182"/>
      <c r="AW203" s="182"/>
      <c r="AX203" s="182"/>
      <c r="AY203" s="182"/>
      <c r="AZ203" s="182"/>
      <c r="BA203" s="182"/>
      <c r="BB203" s="182"/>
      <c r="BC203" s="182"/>
      <c r="BD203" s="182"/>
      <c r="BE203" s="182"/>
      <c r="BF203" s="182"/>
      <c r="BG203" s="182"/>
      <c r="BH203" s="182"/>
      <c r="BI203" s="182"/>
      <c r="BJ203" s="182"/>
      <c r="BK203" s="182"/>
      <c r="BL203" s="182"/>
      <c r="BM203" s="182"/>
      <c r="BN203" s="182"/>
      <c r="BO203" s="182"/>
      <c r="BP203" s="182"/>
      <c r="BQ203" s="182"/>
      <c r="BR203" s="182"/>
      <c r="BS203" s="182"/>
      <c r="BT203" s="182"/>
      <c r="BU203" s="182"/>
      <c r="BV203" s="182"/>
      <c r="BW203" s="182"/>
      <c r="BX203" s="182"/>
      <c r="BY203" s="182"/>
      <c r="BZ203" s="182"/>
      <c r="CA203" s="182"/>
      <c r="CB203" s="182"/>
      <c r="CC203" s="182"/>
      <c r="CD203" s="182"/>
      <c r="CE203" s="182"/>
      <c r="CF203" s="182"/>
      <c r="CG203" s="182"/>
      <c r="CH203" s="182"/>
      <c r="CI203" s="182"/>
      <c r="CJ203" s="182"/>
      <c r="CK203" s="182"/>
      <c r="CL203" s="182"/>
      <c r="CM203" s="182"/>
      <c r="CN203" s="182"/>
      <c r="CO203" s="182"/>
      <c r="CP203" s="182"/>
      <c r="CQ203" s="182"/>
      <c r="CR203" s="182"/>
      <c r="CS203" s="182"/>
      <c r="CT203" s="182"/>
      <c r="CU203" s="182"/>
      <c r="CV203" s="182"/>
      <c r="CW203" s="182"/>
      <c r="CX203" s="182"/>
      <c r="CY203" s="182"/>
      <c r="CZ203" s="182"/>
      <c r="DA203" s="182"/>
      <c r="DB203" s="182"/>
      <c r="DC203" s="182"/>
      <c r="DD203" s="182"/>
      <c r="DE203" s="182"/>
      <c r="DF203" s="182"/>
      <c r="DG203" s="182"/>
      <c r="DH203" s="182"/>
      <c r="DI203" s="182"/>
      <c r="DJ203" s="182"/>
      <c r="DK203" s="182"/>
      <c r="DL203" s="182"/>
      <c r="DM203" s="182"/>
      <c r="DN203" s="182"/>
      <c r="DO203" s="182"/>
      <c r="DP203" s="182"/>
      <c r="DQ203" s="182"/>
      <c r="DR203" s="182"/>
      <c r="DS203" s="182"/>
      <c r="DT203" s="182"/>
      <c r="DU203" s="182"/>
      <c r="DV203" s="182"/>
      <c r="DW203" s="182"/>
      <c r="DX203" s="182"/>
      <c r="DY203" s="182"/>
      <c r="DZ203" s="182"/>
      <c r="EA203" s="182"/>
      <c r="EB203" s="182"/>
      <c r="EC203" s="182"/>
      <c r="ED203" s="182"/>
      <c r="EE203" s="182"/>
      <c r="EF203" s="182"/>
      <c r="EG203" s="182"/>
      <c r="EH203" s="182"/>
      <c r="EI203" s="182"/>
      <c r="EJ203" s="182"/>
      <c r="EK203" s="182"/>
      <c r="EL203" s="182"/>
      <c r="EM203" s="182"/>
      <c r="EN203" s="182"/>
      <c r="EO203" s="182"/>
      <c r="EP203" s="182"/>
      <c r="EQ203" s="182"/>
      <c r="ER203" s="182"/>
      <c r="ES203" s="182"/>
      <c r="ET203" s="182"/>
      <c r="EU203" s="182"/>
      <c r="EV203" s="182"/>
      <c r="EW203" s="182"/>
      <c r="EX203" s="182"/>
      <c r="EY203" s="182"/>
      <c r="EZ203" s="182"/>
      <c r="FA203" s="182"/>
      <c r="FB203" s="182"/>
      <c r="FC203" s="182"/>
      <c r="FD203" s="182"/>
      <c r="FE203" s="182"/>
      <c r="FF203" s="182"/>
      <c r="FG203" s="182"/>
      <c r="FH203" s="182"/>
      <c r="FI203" s="182"/>
      <c r="FJ203" s="182"/>
      <c r="FK203" s="182"/>
      <c r="FL203" s="182"/>
      <c r="FM203" s="182"/>
      <c r="FN203" s="182"/>
      <c r="FO203" s="182"/>
      <c r="FP203" s="182"/>
      <c r="FQ203" s="182"/>
      <c r="FR203" s="182"/>
      <c r="FS203" s="182"/>
      <c r="FT203" s="182"/>
      <c r="FU203" s="182"/>
      <c r="FV203" s="182"/>
      <c r="FW203" s="182"/>
      <c r="FX203" s="182"/>
      <c r="FY203" s="182"/>
      <c r="FZ203" s="182"/>
      <c r="GA203" s="182"/>
      <c r="GB203" s="182"/>
      <c r="GC203" s="182"/>
      <c r="GD203" s="182"/>
      <c r="GE203" s="182"/>
      <c r="GF203" s="182"/>
      <c r="GG203" s="182"/>
      <c r="GH203" s="182"/>
      <c r="GI203" s="182"/>
    </row>
    <row r="204" spans="1:191" s="183" customFormat="1" x14ac:dyDescent="0.2">
      <c r="A204" s="210" t="s">
        <v>38509</v>
      </c>
      <c r="B204" s="210" t="s">
        <v>19052</v>
      </c>
      <c r="C204" s="224" t="s">
        <v>22314</v>
      </c>
      <c r="D204" s="211" t="s">
        <v>16</v>
      </c>
      <c r="E204" s="211">
        <v>24</v>
      </c>
      <c r="F204" s="211"/>
      <c r="G204" s="211">
        <v>0.3</v>
      </c>
      <c r="H204" s="212"/>
      <c r="I204" s="213"/>
      <c r="J204" s="272">
        <v>3513.58</v>
      </c>
      <c r="K204" s="112">
        <f t="shared" si="17"/>
        <v>84325.92</v>
      </c>
      <c r="L204" s="273">
        <f>BDI!$E$17</f>
        <v>0.11260000000000001</v>
      </c>
      <c r="M204" s="213"/>
      <c r="N204" s="213"/>
      <c r="O204" s="114">
        <f t="shared" si="18"/>
        <v>3909.21</v>
      </c>
      <c r="P204" s="113">
        <f t="shared" si="19"/>
        <v>28146.31</v>
      </c>
      <c r="Q204" s="209"/>
      <c r="R204" s="203"/>
      <c r="S204" s="182"/>
      <c r="T204" s="182"/>
      <c r="U204" s="182"/>
      <c r="V204" s="182"/>
      <c r="W204" s="182"/>
      <c r="X204" s="182"/>
      <c r="Y204" s="182"/>
      <c r="Z204" s="182"/>
      <c r="AA204" s="182"/>
      <c r="AB204" s="182"/>
      <c r="AC204" s="182"/>
      <c r="AD204" s="182"/>
      <c r="AE204" s="182"/>
      <c r="AF204" s="182"/>
      <c r="AG204" s="182"/>
      <c r="AH204" s="182"/>
      <c r="AI204" s="182"/>
      <c r="AJ204" s="182"/>
      <c r="AK204" s="182"/>
      <c r="AL204" s="182"/>
      <c r="AM204" s="182"/>
      <c r="AN204" s="182"/>
      <c r="AO204" s="182"/>
      <c r="AP204" s="182"/>
      <c r="AQ204" s="182"/>
      <c r="AR204" s="182"/>
      <c r="AS204" s="182"/>
      <c r="AT204" s="182"/>
      <c r="AU204" s="182"/>
      <c r="AV204" s="182"/>
      <c r="AW204" s="182"/>
      <c r="AX204" s="182"/>
      <c r="AY204" s="182"/>
      <c r="AZ204" s="182"/>
      <c r="BA204" s="182"/>
      <c r="BB204" s="182"/>
      <c r="BC204" s="182"/>
      <c r="BD204" s="182"/>
      <c r="BE204" s="182"/>
      <c r="BF204" s="182"/>
      <c r="BG204" s="182"/>
      <c r="BH204" s="182"/>
      <c r="BI204" s="182"/>
      <c r="BJ204" s="182"/>
      <c r="BK204" s="182"/>
      <c r="BL204" s="182"/>
      <c r="BM204" s="182"/>
      <c r="BN204" s="182"/>
      <c r="BO204" s="182"/>
      <c r="BP204" s="182"/>
      <c r="BQ204" s="182"/>
      <c r="BR204" s="182"/>
      <c r="BS204" s="182"/>
      <c r="BT204" s="182"/>
      <c r="BU204" s="182"/>
      <c r="BV204" s="182"/>
      <c r="BW204" s="182"/>
      <c r="BX204" s="182"/>
      <c r="BY204" s="182"/>
      <c r="BZ204" s="182"/>
      <c r="CA204" s="182"/>
      <c r="CB204" s="182"/>
      <c r="CC204" s="182"/>
      <c r="CD204" s="182"/>
      <c r="CE204" s="182"/>
      <c r="CF204" s="182"/>
      <c r="CG204" s="182"/>
      <c r="CH204" s="182"/>
      <c r="CI204" s="182"/>
      <c r="CJ204" s="182"/>
      <c r="CK204" s="182"/>
      <c r="CL204" s="182"/>
      <c r="CM204" s="182"/>
      <c r="CN204" s="182"/>
      <c r="CO204" s="182"/>
      <c r="CP204" s="182"/>
      <c r="CQ204" s="182"/>
      <c r="CR204" s="182"/>
      <c r="CS204" s="182"/>
      <c r="CT204" s="182"/>
      <c r="CU204" s="182"/>
      <c r="CV204" s="182"/>
      <c r="CW204" s="182"/>
      <c r="CX204" s="182"/>
      <c r="CY204" s="182"/>
      <c r="CZ204" s="182"/>
      <c r="DA204" s="182"/>
      <c r="DB204" s="182"/>
      <c r="DC204" s="182"/>
      <c r="DD204" s="182"/>
      <c r="DE204" s="182"/>
      <c r="DF204" s="182"/>
      <c r="DG204" s="182"/>
      <c r="DH204" s="182"/>
      <c r="DI204" s="182"/>
      <c r="DJ204" s="182"/>
      <c r="DK204" s="182"/>
      <c r="DL204" s="182"/>
      <c r="DM204" s="182"/>
      <c r="DN204" s="182"/>
      <c r="DO204" s="182"/>
      <c r="DP204" s="182"/>
      <c r="DQ204" s="182"/>
      <c r="DR204" s="182"/>
      <c r="DS204" s="182"/>
      <c r="DT204" s="182"/>
      <c r="DU204" s="182"/>
      <c r="DV204" s="182"/>
      <c r="DW204" s="182"/>
      <c r="DX204" s="182"/>
      <c r="DY204" s="182"/>
      <c r="DZ204" s="182"/>
      <c r="EA204" s="182"/>
      <c r="EB204" s="182"/>
      <c r="EC204" s="182"/>
      <c r="ED204" s="182"/>
      <c r="EE204" s="182"/>
      <c r="EF204" s="182"/>
      <c r="EG204" s="182"/>
      <c r="EH204" s="182"/>
      <c r="EI204" s="182"/>
      <c r="EJ204" s="182"/>
      <c r="EK204" s="182"/>
      <c r="EL204" s="182"/>
      <c r="EM204" s="182"/>
      <c r="EN204" s="182"/>
      <c r="EO204" s="182"/>
      <c r="EP204" s="182"/>
      <c r="EQ204" s="182"/>
      <c r="ER204" s="182"/>
      <c r="ES204" s="182"/>
      <c r="ET204" s="182"/>
      <c r="EU204" s="182"/>
      <c r="EV204" s="182"/>
      <c r="EW204" s="182"/>
      <c r="EX204" s="182"/>
      <c r="EY204" s="182"/>
      <c r="EZ204" s="182"/>
      <c r="FA204" s="182"/>
      <c r="FB204" s="182"/>
      <c r="FC204" s="182"/>
      <c r="FD204" s="182"/>
      <c r="FE204" s="182"/>
      <c r="FF204" s="182"/>
      <c r="FG204" s="182"/>
      <c r="FH204" s="182"/>
      <c r="FI204" s="182"/>
      <c r="FJ204" s="182"/>
      <c r="FK204" s="182"/>
      <c r="FL204" s="182"/>
      <c r="FM204" s="182"/>
      <c r="FN204" s="182"/>
      <c r="FO204" s="182"/>
      <c r="FP204" s="182"/>
      <c r="FQ204" s="182"/>
      <c r="FR204" s="182"/>
      <c r="FS204" s="182"/>
      <c r="FT204" s="182"/>
      <c r="FU204" s="182"/>
      <c r="FV204" s="182"/>
      <c r="FW204" s="182"/>
      <c r="FX204" s="182"/>
      <c r="FY204" s="182"/>
      <c r="FZ204" s="182"/>
      <c r="GA204" s="182"/>
      <c r="GB204" s="182"/>
      <c r="GC204" s="182"/>
      <c r="GD204" s="182"/>
      <c r="GE204" s="182"/>
      <c r="GF204" s="182"/>
      <c r="GG204" s="182"/>
      <c r="GH204" s="182"/>
      <c r="GI204" s="182"/>
    </row>
    <row r="205" spans="1:191" s="183" customFormat="1" x14ac:dyDescent="0.2">
      <c r="A205" s="210" t="s">
        <v>38510</v>
      </c>
      <c r="B205" s="210" t="s">
        <v>19053</v>
      </c>
      <c r="C205" s="224" t="s">
        <v>22315</v>
      </c>
      <c r="D205" s="211" t="s">
        <v>16</v>
      </c>
      <c r="E205" s="211">
        <v>6</v>
      </c>
      <c r="F205" s="211"/>
      <c r="G205" s="211">
        <v>0.3</v>
      </c>
      <c r="H205" s="212"/>
      <c r="I205" s="213"/>
      <c r="J205" s="272">
        <v>4760</v>
      </c>
      <c r="K205" s="112">
        <f t="shared" si="17"/>
        <v>28560</v>
      </c>
      <c r="L205" s="273">
        <f>BDI!$E$17</f>
        <v>0.11260000000000001</v>
      </c>
      <c r="M205" s="213"/>
      <c r="N205" s="213"/>
      <c r="O205" s="114">
        <f t="shared" si="18"/>
        <v>5295.98</v>
      </c>
      <c r="P205" s="113">
        <f t="shared" si="19"/>
        <v>9532.76</v>
      </c>
      <c r="Q205" s="209"/>
      <c r="R205" s="203"/>
      <c r="S205" s="182"/>
      <c r="T205" s="182"/>
      <c r="U205" s="182"/>
      <c r="V205" s="182"/>
      <c r="W205" s="182"/>
      <c r="X205" s="182"/>
      <c r="Y205" s="182"/>
      <c r="Z205" s="182"/>
      <c r="AA205" s="182"/>
      <c r="AB205" s="182"/>
      <c r="AC205" s="182"/>
      <c r="AD205" s="182"/>
      <c r="AE205" s="182"/>
      <c r="AF205" s="182"/>
      <c r="AG205" s="182"/>
      <c r="AH205" s="182"/>
      <c r="AI205" s="182"/>
      <c r="AJ205" s="182"/>
      <c r="AK205" s="182"/>
      <c r="AL205" s="182"/>
      <c r="AM205" s="182"/>
      <c r="AN205" s="182"/>
      <c r="AO205" s="182"/>
      <c r="AP205" s="182"/>
      <c r="AQ205" s="182"/>
      <c r="AR205" s="182"/>
      <c r="AS205" s="182"/>
      <c r="AT205" s="182"/>
      <c r="AU205" s="182"/>
      <c r="AV205" s="182"/>
      <c r="AW205" s="182"/>
      <c r="AX205" s="182"/>
      <c r="AY205" s="182"/>
      <c r="AZ205" s="182"/>
      <c r="BA205" s="182"/>
      <c r="BB205" s="182"/>
      <c r="BC205" s="182"/>
      <c r="BD205" s="182"/>
      <c r="BE205" s="182"/>
      <c r="BF205" s="182"/>
      <c r="BG205" s="182"/>
      <c r="BH205" s="182"/>
      <c r="BI205" s="182"/>
      <c r="BJ205" s="182"/>
      <c r="BK205" s="182"/>
      <c r="BL205" s="182"/>
      <c r="BM205" s="182"/>
      <c r="BN205" s="182"/>
      <c r="BO205" s="182"/>
      <c r="BP205" s="182"/>
      <c r="BQ205" s="182"/>
      <c r="BR205" s="182"/>
      <c r="BS205" s="182"/>
      <c r="BT205" s="182"/>
      <c r="BU205" s="182"/>
      <c r="BV205" s="182"/>
      <c r="BW205" s="182"/>
      <c r="BX205" s="182"/>
      <c r="BY205" s="182"/>
      <c r="BZ205" s="182"/>
      <c r="CA205" s="182"/>
      <c r="CB205" s="182"/>
      <c r="CC205" s="182"/>
      <c r="CD205" s="182"/>
      <c r="CE205" s="182"/>
      <c r="CF205" s="182"/>
      <c r="CG205" s="182"/>
      <c r="CH205" s="182"/>
      <c r="CI205" s="182"/>
      <c r="CJ205" s="182"/>
      <c r="CK205" s="182"/>
      <c r="CL205" s="182"/>
      <c r="CM205" s="182"/>
      <c r="CN205" s="182"/>
      <c r="CO205" s="182"/>
      <c r="CP205" s="182"/>
      <c r="CQ205" s="182"/>
      <c r="CR205" s="182"/>
      <c r="CS205" s="182"/>
      <c r="CT205" s="182"/>
      <c r="CU205" s="182"/>
      <c r="CV205" s="182"/>
      <c r="CW205" s="182"/>
      <c r="CX205" s="182"/>
      <c r="CY205" s="182"/>
      <c r="CZ205" s="182"/>
      <c r="DA205" s="182"/>
      <c r="DB205" s="182"/>
      <c r="DC205" s="182"/>
      <c r="DD205" s="182"/>
      <c r="DE205" s="182"/>
      <c r="DF205" s="182"/>
      <c r="DG205" s="182"/>
      <c r="DH205" s="182"/>
      <c r="DI205" s="182"/>
      <c r="DJ205" s="182"/>
      <c r="DK205" s="182"/>
      <c r="DL205" s="182"/>
      <c r="DM205" s="182"/>
      <c r="DN205" s="182"/>
      <c r="DO205" s="182"/>
      <c r="DP205" s="182"/>
      <c r="DQ205" s="182"/>
      <c r="DR205" s="182"/>
      <c r="DS205" s="182"/>
      <c r="DT205" s="182"/>
      <c r="DU205" s="182"/>
      <c r="DV205" s="182"/>
      <c r="DW205" s="182"/>
      <c r="DX205" s="182"/>
      <c r="DY205" s="182"/>
      <c r="DZ205" s="182"/>
      <c r="EA205" s="182"/>
      <c r="EB205" s="182"/>
      <c r="EC205" s="182"/>
      <c r="ED205" s="182"/>
      <c r="EE205" s="182"/>
      <c r="EF205" s="182"/>
      <c r="EG205" s="182"/>
      <c r="EH205" s="182"/>
      <c r="EI205" s="182"/>
      <c r="EJ205" s="182"/>
      <c r="EK205" s="182"/>
      <c r="EL205" s="182"/>
      <c r="EM205" s="182"/>
      <c r="EN205" s="182"/>
      <c r="EO205" s="182"/>
      <c r="EP205" s="182"/>
      <c r="EQ205" s="182"/>
      <c r="ER205" s="182"/>
      <c r="ES205" s="182"/>
      <c r="ET205" s="182"/>
      <c r="EU205" s="182"/>
      <c r="EV205" s="182"/>
      <c r="EW205" s="182"/>
      <c r="EX205" s="182"/>
      <c r="EY205" s="182"/>
      <c r="EZ205" s="182"/>
      <c r="FA205" s="182"/>
      <c r="FB205" s="182"/>
      <c r="FC205" s="182"/>
      <c r="FD205" s="182"/>
      <c r="FE205" s="182"/>
      <c r="FF205" s="182"/>
      <c r="FG205" s="182"/>
      <c r="FH205" s="182"/>
      <c r="FI205" s="182"/>
      <c r="FJ205" s="182"/>
      <c r="FK205" s="182"/>
      <c r="FL205" s="182"/>
      <c r="FM205" s="182"/>
      <c r="FN205" s="182"/>
      <c r="FO205" s="182"/>
      <c r="FP205" s="182"/>
      <c r="FQ205" s="182"/>
      <c r="FR205" s="182"/>
      <c r="FS205" s="182"/>
      <c r="FT205" s="182"/>
      <c r="FU205" s="182"/>
      <c r="FV205" s="182"/>
      <c r="FW205" s="182"/>
      <c r="FX205" s="182"/>
      <c r="FY205" s="182"/>
      <c r="FZ205" s="182"/>
      <c r="GA205" s="182"/>
      <c r="GB205" s="182"/>
      <c r="GC205" s="182"/>
      <c r="GD205" s="182"/>
      <c r="GE205" s="182"/>
      <c r="GF205" s="182"/>
      <c r="GG205" s="182"/>
      <c r="GH205" s="182"/>
      <c r="GI205" s="182"/>
    </row>
    <row r="206" spans="1:191" s="183" customFormat="1" ht="25.5" x14ac:dyDescent="0.2">
      <c r="A206" s="210" t="s">
        <v>38511</v>
      </c>
      <c r="B206" s="210" t="s">
        <v>19054</v>
      </c>
      <c r="C206" s="224" t="s">
        <v>22316</v>
      </c>
      <c r="D206" s="211" t="s">
        <v>16</v>
      </c>
      <c r="E206" s="211">
        <v>40</v>
      </c>
      <c r="F206" s="211"/>
      <c r="G206" s="211">
        <v>0.3</v>
      </c>
      <c r="H206" s="212"/>
      <c r="I206" s="213"/>
      <c r="J206" s="272">
        <v>2134</v>
      </c>
      <c r="K206" s="112">
        <f t="shared" si="17"/>
        <v>85360</v>
      </c>
      <c r="L206" s="273">
        <f>BDI!$E$17</f>
        <v>0.11260000000000001</v>
      </c>
      <c r="M206" s="213"/>
      <c r="N206" s="213"/>
      <c r="O206" s="114">
        <f t="shared" si="18"/>
        <v>2374.29</v>
      </c>
      <c r="P206" s="113">
        <f t="shared" si="19"/>
        <v>28491.48</v>
      </c>
      <c r="Q206" s="209"/>
      <c r="R206" s="203"/>
      <c r="S206" s="182"/>
      <c r="T206" s="182"/>
      <c r="U206" s="182"/>
      <c r="V206" s="182"/>
      <c r="W206" s="182"/>
      <c r="X206" s="182"/>
      <c r="Y206" s="182"/>
      <c r="Z206" s="182"/>
      <c r="AA206" s="182"/>
      <c r="AB206" s="182"/>
      <c r="AC206" s="182"/>
      <c r="AD206" s="182"/>
      <c r="AE206" s="182"/>
      <c r="AF206" s="182"/>
      <c r="AG206" s="182"/>
      <c r="AH206" s="182"/>
      <c r="AI206" s="182"/>
      <c r="AJ206" s="182"/>
      <c r="AK206" s="182"/>
      <c r="AL206" s="182"/>
      <c r="AM206" s="182"/>
      <c r="AN206" s="182"/>
      <c r="AO206" s="182"/>
      <c r="AP206" s="182"/>
      <c r="AQ206" s="182"/>
      <c r="AR206" s="182"/>
      <c r="AS206" s="182"/>
      <c r="AT206" s="182"/>
      <c r="AU206" s="182"/>
      <c r="AV206" s="182"/>
      <c r="AW206" s="182"/>
      <c r="AX206" s="182"/>
      <c r="AY206" s="182"/>
      <c r="AZ206" s="182"/>
      <c r="BA206" s="182"/>
      <c r="BB206" s="182"/>
      <c r="BC206" s="182"/>
      <c r="BD206" s="182"/>
      <c r="BE206" s="182"/>
      <c r="BF206" s="182"/>
      <c r="BG206" s="182"/>
      <c r="BH206" s="182"/>
      <c r="BI206" s="182"/>
      <c r="BJ206" s="182"/>
      <c r="BK206" s="182"/>
      <c r="BL206" s="182"/>
      <c r="BM206" s="182"/>
      <c r="BN206" s="182"/>
      <c r="BO206" s="182"/>
      <c r="BP206" s="182"/>
      <c r="BQ206" s="182"/>
      <c r="BR206" s="182"/>
      <c r="BS206" s="182"/>
      <c r="BT206" s="182"/>
      <c r="BU206" s="182"/>
      <c r="BV206" s="182"/>
      <c r="BW206" s="182"/>
      <c r="BX206" s="182"/>
      <c r="BY206" s="182"/>
      <c r="BZ206" s="182"/>
      <c r="CA206" s="182"/>
      <c r="CB206" s="182"/>
      <c r="CC206" s="182"/>
      <c r="CD206" s="182"/>
      <c r="CE206" s="182"/>
      <c r="CF206" s="182"/>
      <c r="CG206" s="182"/>
      <c r="CH206" s="182"/>
      <c r="CI206" s="182"/>
      <c r="CJ206" s="182"/>
      <c r="CK206" s="182"/>
      <c r="CL206" s="182"/>
      <c r="CM206" s="182"/>
      <c r="CN206" s="182"/>
      <c r="CO206" s="182"/>
      <c r="CP206" s="182"/>
      <c r="CQ206" s="182"/>
      <c r="CR206" s="182"/>
      <c r="CS206" s="182"/>
      <c r="CT206" s="182"/>
      <c r="CU206" s="182"/>
      <c r="CV206" s="182"/>
      <c r="CW206" s="182"/>
      <c r="CX206" s="182"/>
      <c r="CY206" s="182"/>
      <c r="CZ206" s="182"/>
      <c r="DA206" s="182"/>
      <c r="DB206" s="182"/>
      <c r="DC206" s="182"/>
      <c r="DD206" s="182"/>
      <c r="DE206" s="182"/>
      <c r="DF206" s="182"/>
      <c r="DG206" s="182"/>
      <c r="DH206" s="182"/>
      <c r="DI206" s="182"/>
      <c r="DJ206" s="182"/>
      <c r="DK206" s="182"/>
      <c r="DL206" s="182"/>
      <c r="DM206" s="182"/>
      <c r="DN206" s="182"/>
      <c r="DO206" s="182"/>
      <c r="DP206" s="182"/>
      <c r="DQ206" s="182"/>
      <c r="DR206" s="182"/>
      <c r="DS206" s="182"/>
      <c r="DT206" s="182"/>
      <c r="DU206" s="182"/>
      <c r="DV206" s="182"/>
      <c r="DW206" s="182"/>
      <c r="DX206" s="182"/>
      <c r="DY206" s="182"/>
      <c r="DZ206" s="182"/>
      <c r="EA206" s="182"/>
      <c r="EB206" s="182"/>
      <c r="EC206" s="182"/>
      <c r="ED206" s="182"/>
      <c r="EE206" s="182"/>
      <c r="EF206" s="182"/>
      <c r="EG206" s="182"/>
      <c r="EH206" s="182"/>
      <c r="EI206" s="182"/>
      <c r="EJ206" s="182"/>
      <c r="EK206" s="182"/>
      <c r="EL206" s="182"/>
      <c r="EM206" s="182"/>
      <c r="EN206" s="182"/>
      <c r="EO206" s="182"/>
      <c r="EP206" s="182"/>
      <c r="EQ206" s="182"/>
      <c r="ER206" s="182"/>
      <c r="ES206" s="182"/>
      <c r="ET206" s="182"/>
      <c r="EU206" s="182"/>
      <c r="EV206" s="182"/>
      <c r="EW206" s="182"/>
      <c r="EX206" s="182"/>
      <c r="EY206" s="182"/>
      <c r="EZ206" s="182"/>
      <c r="FA206" s="182"/>
      <c r="FB206" s="182"/>
      <c r="FC206" s="182"/>
      <c r="FD206" s="182"/>
      <c r="FE206" s="182"/>
      <c r="FF206" s="182"/>
      <c r="FG206" s="182"/>
      <c r="FH206" s="182"/>
      <c r="FI206" s="182"/>
      <c r="FJ206" s="182"/>
      <c r="FK206" s="182"/>
      <c r="FL206" s="182"/>
      <c r="FM206" s="182"/>
      <c r="FN206" s="182"/>
      <c r="FO206" s="182"/>
      <c r="FP206" s="182"/>
      <c r="FQ206" s="182"/>
      <c r="FR206" s="182"/>
      <c r="FS206" s="182"/>
      <c r="FT206" s="182"/>
      <c r="FU206" s="182"/>
      <c r="FV206" s="182"/>
      <c r="FW206" s="182"/>
      <c r="FX206" s="182"/>
      <c r="FY206" s="182"/>
      <c r="FZ206" s="182"/>
      <c r="GA206" s="182"/>
      <c r="GB206" s="182"/>
      <c r="GC206" s="182"/>
      <c r="GD206" s="182"/>
      <c r="GE206" s="182"/>
      <c r="GF206" s="182"/>
      <c r="GG206" s="182"/>
      <c r="GH206" s="182"/>
      <c r="GI206" s="182"/>
    </row>
    <row r="207" spans="1:191" s="183" customFormat="1" ht="25.5" x14ac:dyDescent="0.2">
      <c r="A207" s="210" t="s">
        <v>38512</v>
      </c>
      <c r="B207" s="210" t="s">
        <v>19055</v>
      </c>
      <c r="C207" s="224" t="s">
        <v>22317</v>
      </c>
      <c r="D207" s="211" t="s">
        <v>16</v>
      </c>
      <c r="E207" s="211">
        <v>30</v>
      </c>
      <c r="F207" s="211"/>
      <c r="G207" s="211">
        <v>0.3</v>
      </c>
      <c r="H207" s="212"/>
      <c r="I207" s="213"/>
      <c r="J207" s="272">
        <v>2847.29</v>
      </c>
      <c r="K207" s="112">
        <f t="shared" si="17"/>
        <v>85418.7</v>
      </c>
      <c r="L207" s="273">
        <f>BDI!$E$17</f>
        <v>0.11260000000000001</v>
      </c>
      <c r="M207" s="213"/>
      <c r="N207" s="213"/>
      <c r="O207" s="114">
        <f t="shared" si="18"/>
        <v>3167.89</v>
      </c>
      <c r="P207" s="113">
        <f t="shared" si="19"/>
        <v>28511.01</v>
      </c>
      <c r="Q207" s="209"/>
      <c r="R207" s="203"/>
      <c r="S207" s="182"/>
      <c r="T207" s="182"/>
      <c r="U207" s="182"/>
      <c r="V207" s="182"/>
      <c r="W207" s="182"/>
      <c r="X207" s="182"/>
      <c r="Y207" s="182"/>
      <c r="Z207" s="182"/>
      <c r="AA207" s="182"/>
      <c r="AB207" s="182"/>
      <c r="AC207" s="182"/>
      <c r="AD207" s="182"/>
      <c r="AE207" s="182"/>
      <c r="AF207" s="182"/>
      <c r="AG207" s="182"/>
      <c r="AH207" s="182"/>
      <c r="AI207" s="182"/>
      <c r="AJ207" s="182"/>
      <c r="AK207" s="182"/>
      <c r="AL207" s="182"/>
      <c r="AM207" s="182"/>
      <c r="AN207" s="182"/>
      <c r="AO207" s="182"/>
      <c r="AP207" s="182"/>
      <c r="AQ207" s="182"/>
      <c r="AR207" s="182"/>
      <c r="AS207" s="182"/>
      <c r="AT207" s="182"/>
      <c r="AU207" s="182"/>
      <c r="AV207" s="182"/>
      <c r="AW207" s="182"/>
      <c r="AX207" s="182"/>
      <c r="AY207" s="182"/>
      <c r="AZ207" s="182"/>
      <c r="BA207" s="182"/>
      <c r="BB207" s="182"/>
      <c r="BC207" s="182"/>
      <c r="BD207" s="182"/>
      <c r="BE207" s="182"/>
      <c r="BF207" s="182"/>
      <c r="BG207" s="182"/>
      <c r="BH207" s="182"/>
      <c r="BI207" s="182"/>
      <c r="BJ207" s="182"/>
      <c r="BK207" s="182"/>
      <c r="BL207" s="182"/>
      <c r="BM207" s="182"/>
      <c r="BN207" s="182"/>
      <c r="BO207" s="182"/>
      <c r="BP207" s="182"/>
      <c r="BQ207" s="182"/>
      <c r="BR207" s="182"/>
      <c r="BS207" s="182"/>
      <c r="BT207" s="182"/>
      <c r="BU207" s="182"/>
      <c r="BV207" s="182"/>
      <c r="BW207" s="182"/>
      <c r="BX207" s="182"/>
      <c r="BY207" s="182"/>
      <c r="BZ207" s="182"/>
      <c r="CA207" s="182"/>
      <c r="CB207" s="182"/>
      <c r="CC207" s="182"/>
      <c r="CD207" s="182"/>
      <c r="CE207" s="182"/>
      <c r="CF207" s="182"/>
      <c r="CG207" s="182"/>
      <c r="CH207" s="182"/>
      <c r="CI207" s="182"/>
      <c r="CJ207" s="182"/>
      <c r="CK207" s="182"/>
      <c r="CL207" s="182"/>
      <c r="CM207" s="182"/>
      <c r="CN207" s="182"/>
      <c r="CO207" s="182"/>
      <c r="CP207" s="182"/>
      <c r="CQ207" s="182"/>
      <c r="CR207" s="182"/>
      <c r="CS207" s="182"/>
      <c r="CT207" s="182"/>
      <c r="CU207" s="182"/>
      <c r="CV207" s="182"/>
      <c r="CW207" s="182"/>
      <c r="CX207" s="182"/>
      <c r="CY207" s="182"/>
      <c r="CZ207" s="182"/>
      <c r="DA207" s="182"/>
      <c r="DB207" s="182"/>
      <c r="DC207" s="182"/>
      <c r="DD207" s="182"/>
      <c r="DE207" s="182"/>
      <c r="DF207" s="182"/>
      <c r="DG207" s="182"/>
      <c r="DH207" s="182"/>
      <c r="DI207" s="182"/>
      <c r="DJ207" s="182"/>
      <c r="DK207" s="182"/>
      <c r="DL207" s="182"/>
      <c r="DM207" s="182"/>
      <c r="DN207" s="182"/>
      <c r="DO207" s="182"/>
      <c r="DP207" s="182"/>
      <c r="DQ207" s="182"/>
      <c r="DR207" s="182"/>
      <c r="DS207" s="182"/>
      <c r="DT207" s="182"/>
      <c r="DU207" s="182"/>
      <c r="DV207" s="182"/>
      <c r="DW207" s="182"/>
      <c r="DX207" s="182"/>
      <c r="DY207" s="182"/>
      <c r="DZ207" s="182"/>
      <c r="EA207" s="182"/>
      <c r="EB207" s="182"/>
      <c r="EC207" s="182"/>
      <c r="ED207" s="182"/>
      <c r="EE207" s="182"/>
      <c r="EF207" s="182"/>
      <c r="EG207" s="182"/>
      <c r="EH207" s="182"/>
      <c r="EI207" s="182"/>
      <c r="EJ207" s="182"/>
      <c r="EK207" s="182"/>
      <c r="EL207" s="182"/>
      <c r="EM207" s="182"/>
      <c r="EN207" s="182"/>
      <c r="EO207" s="182"/>
      <c r="EP207" s="182"/>
      <c r="EQ207" s="182"/>
      <c r="ER207" s="182"/>
      <c r="ES207" s="182"/>
      <c r="ET207" s="182"/>
      <c r="EU207" s="182"/>
      <c r="EV207" s="182"/>
      <c r="EW207" s="182"/>
      <c r="EX207" s="182"/>
      <c r="EY207" s="182"/>
      <c r="EZ207" s="182"/>
      <c r="FA207" s="182"/>
      <c r="FB207" s="182"/>
      <c r="FC207" s="182"/>
      <c r="FD207" s="182"/>
      <c r="FE207" s="182"/>
      <c r="FF207" s="182"/>
      <c r="FG207" s="182"/>
      <c r="FH207" s="182"/>
      <c r="FI207" s="182"/>
      <c r="FJ207" s="182"/>
      <c r="FK207" s="182"/>
      <c r="FL207" s="182"/>
      <c r="FM207" s="182"/>
      <c r="FN207" s="182"/>
      <c r="FO207" s="182"/>
      <c r="FP207" s="182"/>
      <c r="FQ207" s="182"/>
      <c r="FR207" s="182"/>
      <c r="FS207" s="182"/>
      <c r="FT207" s="182"/>
      <c r="FU207" s="182"/>
      <c r="FV207" s="182"/>
      <c r="FW207" s="182"/>
      <c r="FX207" s="182"/>
      <c r="FY207" s="182"/>
      <c r="FZ207" s="182"/>
      <c r="GA207" s="182"/>
      <c r="GB207" s="182"/>
      <c r="GC207" s="182"/>
      <c r="GD207" s="182"/>
      <c r="GE207" s="182"/>
      <c r="GF207" s="182"/>
      <c r="GG207" s="182"/>
      <c r="GH207" s="182"/>
      <c r="GI207" s="182"/>
    </row>
    <row r="208" spans="1:191" s="183" customFormat="1" ht="25.5" x14ac:dyDescent="0.2">
      <c r="A208" s="210" t="s">
        <v>38513</v>
      </c>
      <c r="B208" s="210" t="s">
        <v>19056</v>
      </c>
      <c r="C208" s="224" t="s">
        <v>22318</v>
      </c>
      <c r="D208" s="211" t="s">
        <v>16</v>
      </c>
      <c r="E208" s="211">
        <v>60</v>
      </c>
      <c r="F208" s="211"/>
      <c r="G208" s="211">
        <v>0.3</v>
      </c>
      <c r="H208" s="212"/>
      <c r="I208" s="213"/>
      <c r="J208" s="272">
        <v>3513.72</v>
      </c>
      <c r="K208" s="112">
        <f t="shared" si="17"/>
        <v>210823.2</v>
      </c>
      <c r="L208" s="273">
        <f>BDI!$E$17</f>
        <v>0.11260000000000001</v>
      </c>
      <c r="M208" s="213"/>
      <c r="N208" s="213"/>
      <c r="O208" s="114">
        <f t="shared" si="18"/>
        <v>3909.36</v>
      </c>
      <c r="P208" s="113">
        <f t="shared" si="19"/>
        <v>70368.479999999996</v>
      </c>
      <c r="Q208" s="209"/>
      <c r="R208" s="203"/>
      <c r="S208" s="182"/>
      <c r="T208" s="182"/>
      <c r="U208" s="182"/>
      <c r="V208" s="182"/>
      <c r="W208" s="182"/>
      <c r="X208" s="182"/>
      <c r="Y208" s="182"/>
      <c r="Z208" s="182"/>
      <c r="AA208" s="182"/>
      <c r="AB208" s="182"/>
      <c r="AC208" s="182"/>
      <c r="AD208" s="182"/>
      <c r="AE208" s="182"/>
      <c r="AF208" s="182"/>
      <c r="AG208" s="182"/>
      <c r="AH208" s="182"/>
      <c r="AI208" s="182"/>
      <c r="AJ208" s="182"/>
      <c r="AK208" s="182"/>
      <c r="AL208" s="182"/>
      <c r="AM208" s="182"/>
      <c r="AN208" s="182"/>
      <c r="AO208" s="182"/>
      <c r="AP208" s="182"/>
      <c r="AQ208" s="182"/>
      <c r="AR208" s="182"/>
      <c r="AS208" s="182"/>
      <c r="AT208" s="182"/>
      <c r="AU208" s="182"/>
      <c r="AV208" s="182"/>
      <c r="AW208" s="182"/>
      <c r="AX208" s="182"/>
      <c r="AY208" s="182"/>
      <c r="AZ208" s="182"/>
      <c r="BA208" s="182"/>
      <c r="BB208" s="182"/>
      <c r="BC208" s="182"/>
      <c r="BD208" s="182"/>
      <c r="BE208" s="182"/>
      <c r="BF208" s="182"/>
      <c r="BG208" s="182"/>
      <c r="BH208" s="182"/>
      <c r="BI208" s="182"/>
      <c r="BJ208" s="182"/>
      <c r="BK208" s="182"/>
      <c r="BL208" s="182"/>
      <c r="BM208" s="182"/>
      <c r="BN208" s="182"/>
      <c r="BO208" s="182"/>
      <c r="BP208" s="182"/>
      <c r="BQ208" s="182"/>
      <c r="BR208" s="182"/>
      <c r="BS208" s="182"/>
      <c r="BT208" s="182"/>
      <c r="BU208" s="182"/>
      <c r="BV208" s="182"/>
      <c r="BW208" s="182"/>
      <c r="BX208" s="182"/>
      <c r="BY208" s="182"/>
      <c r="BZ208" s="182"/>
      <c r="CA208" s="182"/>
      <c r="CB208" s="182"/>
      <c r="CC208" s="182"/>
      <c r="CD208" s="182"/>
      <c r="CE208" s="182"/>
      <c r="CF208" s="182"/>
      <c r="CG208" s="182"/>
      <c r="CH208" s="182"/>
      <c r="CI208" s="182"/>
      <c r="CJ208" s="182"/>
      <c r="CK208" s="182"/>
      <c r="CL208" s="182"/>
      <c r="CM208" s="182"/>
      <c r="CN208" s="182"/>
      <c r="CO208" s="182"/>
      <c r="CP208" s="182"/>
      <c r="CQ208" s="182"/>
      <c r="CR208" s="182"/>
      <c r="CS208" s="182"/>
      <c r="CT208" s="182"/>
      <c r="CU208" s="182"/>
      <c r="CV208" s="182"/>
      <c r="CW208" s="182"/>
      <c r="CX208" s="182"/>
      <c r="CY208" s="182"/>
      <c r="CZ208" s="182"/>
      <c r="DA208" s="182"/>
      <c r="DB208" s="182"/>
      <c r="DC208" s="182"/>
      <c r="DD208" s="182"/>
      <c r="DE208" s="182"/>
      <c r="DF208" s="182"/>
      <c r="DG208" s="182"/>
      <c r="DH208" s="182"/>
      <c r="DI208" s="182"/>
      <c r="DJ208" s="182"/>
      <c r="DK208" s="182"/>
      <c r="DL208" s="182"/>
      <c r="DM208" s="182"/>
      <c r="DN208" s="182"/>
      <c r="DO208" s="182"/>
      <c r="DP208" s="182"/>
      <c r="DQ208" s="182"/>
      <c r="DR208" s="182"/>
      <c r="DS208" s="182"/>
      <c r="DT208" s="182"/>
      <c r="DU208" s="182"/>
      <c r="DV208" s="182"/>
      <c r="DW208" s="182"/>
      <c r="DX208" s="182"/>
      <c r="DY208" s="182"/>
      <c r="DZ208" s="182"/>
      <c r="EA208" s="182"/>
      <c r="EB208" s="182"/>
      <c r="EC208" s="182"/>
      <c r="ED208" s="182"/>
      <c r="EE208" s="182"/>
      <c r="EF208" s="182"/>
      <c r="EG208" s="182"/>
      <c r="EH208" s="182"/>
      <c r="EI208" s="182"/>
      <c r="EJ208" s="182"/>
      <c r="EK208" s="182"/>
      <c r="EL208" s="182"/>
      <c r="EM208" s="182"/>
      <c r="EN208" s="182"/>
      <c r="EO208" s="182"/>
      <c r="EP208" s="182"/>
      <c r="EQ208" s="182"/>
      <c r="ER208" s="182"/>
      <c r="ES208" s="182"/>
      <c r="ET208" s="182"/>
      <c r="EU208" s="182"/>
      <c r="EV208" s="182"/>
      <c r="EW208" s="182"/>
      <c r="EX208" s="182"/>
      <c r="EY208" s="182"/>
      <c r="EZ208" s="182"/>
      <c r="FA208" s="182"/>
      <c r="FB208" s="182"/>
      <c r="FC208" s="182"/>
      <c r="FD208" s="182"/>
      <c r="FE208" s="182"/>
      <c r="FF208" s="182"/>
      <c r="FG208" s="182"/>
      <c r="FH208" s="182"/>
      <c r="FI208" s="182"/>
      <c r="FJ208" s="182"/>
      <c r="FK208" s="182"/>
      <c r="FL208" s="182"/>
      <c r="FM208" s="182"/>
      <c r="FN208" s="182"/>
      <c r="FO208" s="182"/>
      <c r="FP208" s="182"/>
      <c r="FQ208" s="182"/>
      <c r="FR208" s="182"/>
      <c r="FS208" s="182"/>
      <c r="FT208" s="182"/>
      <c r="FU208" s="182"/>
      <c r="FV208" s="182"/>
      <c r="FW208" s="182"/>
      <c r="FX208" s="182"/>
      <c r="FY208" s="182"/>
      <c r="FZ208" s="182"/>
      <c r="GA208" s="182"/>
      <c r="GB208" s="182"/>
      <c r="GC208" s="182"/>
      <c r="GD208" s="182"/>
      <c r="GE208" s="182"/>
      <c r="GF208" s="182"/>
      <c r="GG208" s="182"/>
      <c r="GH208" s="182"/>
      <c r="GI208" s="182"/>
    </row>
    <row r="209" spans="1:191" s="183" customFormat="1" x14ac:dyDescent="0.2">
      <c r="A209" s="210" t="s">
        <v>38514</v>
      </c>
      <c r="B209" s="210" t="s">
        <v>19057</v>
      </c>
      <c r="C209" s="224" t="s">
        <v>22319</v>
      </c>
      <c r="D209" s="211" t="s">
        <v>16</v>
      </c>
      <c r="E209" s="211">
        <v>60</v>
      </c>
      <c r="F209" s="211"/>
      <c r="G209" s="211">
        <v>0.3</v>
      </c>
      <c r="H209" s="212"/>
      <c r="I209" s="213"/>
      <c r="J209" s="272">
        <v>4560.26</v>
      </c>
      <c r="K209" s="112">
        <f t="shared" si="17"/>
        <v>273615.59999999998</v>
      </c>
      <c r="L209" s="273">
        <f>BDI!$E$17</f>
        <v>0.11260000000000001</v>
      </c>
      <c r="M209" s="213"/>
      <c r="N209" s="213"/>
      <c r="O209" s="114">
        <f t="shared" si="18"/>
        <v>5073.75</v>
      </c>
      <c r="P209" s="113">
        <f t="shared" si="19"/>
        <v>91327.5</v>
      </c>
      <c r="Q209" s="209"/>
      <c r="R209" s="203"/>
      <c r="S209" s="182"/>
      <c r="T209" s="182"/>
      <c r="U209" s="182"/>
      <c r="V209" s="182"/>
      <c r="W209" s="182"/>
      <c r="X209" s="182"/>
      <c r="Y209" s="182"/>
      <c r="Z209" s="182"/>
      <c r="AA209" s="182"/>
      <c r="AB209" s="182"/>
      <c r="AC209" s="182"/>
      <c r="AD209" s="182"/>
      <c r="AE209" s="182"/>
      <c r="AF209" s="182"/>
      <c r="AG209" s="182"/>
      <c r="AH209" s="182"/>
      <c r="AI209" s="182"/>
      <c r="AJ209" s="182"/>
      <c r="AK209" s="182"/>
      <c r="AL209" s="182"/>
      <c r="AM209" s="182"/>
      <c r="AN209" s="182"/>
      <c r="AO209" s="182"/>
      <c r="AP209" s="182"/>
      <c r="AQ209" s="182"/>
      <c r="AR209" s="182"/>
      <c r="AS209" s="182"/>
      <c r="AT209" s="182"/>
      <c r="AU209" s="182"/>
      <c r="AV209" s="182"/>
      <c r="AW209" s="182"/>
      <c r="AX209" s="182"/>
      <c r="AY209" s="182"/>
      <c r="AZ209" s="182"/>
      <c r="BA209" s="182"/>
      <c r="BB209" s="182"/>
      <c r="BC209" s="182"/>
      <c r="BD209" s="182"/>
      <c r="BE209" s="182"/>
      <c r="BF209" s="182"/>
      <c r="BG209" s="182"/>
      <c r="BH209" s="182"/>
      <c r="BI209" s="182"/>
      <c r="BJ209" s="182"/>
      <c r="BK209" s="182"/>
      <c r="BL209" s="182"/>
      <c r="BM209" s="182"/>
      <c r="BN209" s="182"/>
      <c r="BO209" s="182"/>
      <c r="BP209" s="182"/>
      <c r="BQ209" s="182"/>
      <c r="BR209" s="182"/>
      <c r="BS209" s="182"/>
      <c r="BT209" s="182"/>
      <c r="BU209" s="182"/>
      <c r="BV209" s="182"/>
      <c r="BW209" s="182"/>
      <c r="BX209" s="182"/>
      <c r="BY209" s="182"/>
      <c r="BZ209" s="182"/>
      <c r="CA209" s="182"/>
      <c r="CB209" s="182"/>
      <c r="CC209" s="182"/>
      <c r="CD209" s="182"/>
      <c r="CE209" s="182"/>
      <c r="CF209" s="182"/>
      <c r="CG209" s="182"/>
      <c r="CH209" s="182"/>
      <c r="CI209" s="182"/>
      <c r="CJ209" s="182"/>
      <c r="CK209" s="182"/>
      <c r="CL209" s="182"/>
      <c r="CM209" s="182"/>
      <c r="CN209" s="182"/>
      <c r="CO209" s="182"/>
      <c r="CP209" s="182"/>
      <c r="CQ209" s="182"/>
      <c r="CR209" s="182"/>
      <c r="CS209" s="182"/>
      <c r="CT209" s="182"/>
      <c r="CU209" s="182"/>
      <c r="CV209" s="182"/>
      <c r="CW209" s="182"/>
      <c r="CX209" s="182"/>
      <c r="CY209" s="182"/>
      <c r="CZ209" s="182"/>
      <c r="DA209" s="182"/>
      <c r="DB209" s="182"/>
      <c r="DC209" s="182"/>
      <c r="DD209" s="182"/>
      <c r="DE209" s="182"/>
      <c r="DF209" s="182"/>
      <c r="DG209" s="182"/>
      <c r="DH209" s="182"/>
      <c r="DI209" s="182"/>
      <c r="DJ209" s="182"/>
      <c r="DK209" s="182"/>
      <c r="DL209" s="182"/>
      <c r="DM209" s="182"/>
      <c r="DN209" s="182"/>
      <c r="DO209" s="182"/>
      <c r="DP209" s="182"/>
      <c r="DQ209" s="182"/>
      <c r="DR209" s="182"/>
      <c r="DS209" s="182"/>
      <c r="DT209" s="182"/>
      <c r="DU209" s="182"/>
      <c r="DV209" s="182"/>
      <c r="DW209" s="182"/>
      <c r="DX209" s="182"/>
      <c r="DY209" s="182"/>
      <c r="DZ209" s="182"/>
      <c r="EA209" s="182"/>
      <c r="EB209" s="182"/>
      <c r="EC209" s="182"/>
      <c r="ED209" s="182"/>
      <c r="EE209" s="182"/>
      <c r="EF209" s="182"/>
      <c r="EG209" s="182"/>
      <c r="EH209" s="182"/>
      <c r="EI209" s="182"/>
      <c r="EJ209" s="182"/>
      <c r="EK209" s="182"/>
      <c r="EL209" s="182"/>
      <c r="EM209" s="182"/>
      <c r="EN209" s="182"/>
      <c r="EO209" s="182"/>
      <c r="EP209" s="182"/>
      <c r="EQ209" s="182"/>
      <c r="ER209" s="182"/>
      <c r="ES209" s="182"/>
      <c r="ET209" s="182"/>
      <c r="EU209" s="182"/>
      <c r="EV209" s="182"/>
      <c r="EW209" s="182"/>
      <c r="EX209" s="182"/>
      <c r="EY209" s="182"/>
      <c r="EZ209" s="182"/>
      <c r="FA209" s="182"/>
      <c r="FB209" s="182"/>
      <c r="FC209" s="182"/>
      <c r="FD209" s="182"/>
      <c r="FE209" s="182"/>
      <c r="FF209" s="182"/>
      <c r="FG209" s="182"/>
      <c r="FH209" s="182"/>
      <c r="FI209" s="182"/>
      <c r="FJ209" s="182"/>
      <c r="FK209" s="182"/>
      <c r="FL209" s="182"/>
      <c r="FM209" s="182"/>
      <c r="FN209" s="182"/>
      <c r="FO209" s="182"/>
      <c r="FP209" s="182"/>
      <c r="FQ209" s="182"/>
      <c r="FR209" s="182"/>
      <c r="FS209" s="182"/>
      <c r="FT209" s="182"/>
      <c r="FU209" s="182"/>
      <c r="FV209" s="182"/>
      <c r="FW209" s="182"/>
      <c r="FX209" s="182"/>
      <c r="FY209" s="182"/>
      <c r="FZ209" s="182"/>
      <c r="GA209" s="182"/>
      <c r="GB209" s="182"/>
      <c r="GC209" s="182"/>
      <c r="GD209" s="182"/>
      <c r="GE209" s="182"/>
      <c r="GF209" s="182"/>
      <c r="GG209" s="182"/>
      <c r="GH209" s="182"/>
      <c r="GI209" s="182"/>
    </row>
    <row r="210" spans="1:191" s="183" customFormat="1" x14ac:dyDescent="0.2">
      <c r="A210" s="210" t="s">
        <v>38515</v>
      </c>
      <c r="B210" s="210" t="s">
        <v>19058</v>
      </c>
      <c r="C210" s="224" t="s">
        <v>22320</v>
      </c>
      <c r="D210" s="211" t="s">
        <v>16</v>
      </c>
      <c r="E210" s="211">
        <v>5</v>
      </c>
      <c r="F210" s="211"/>
      <c r="G210" s="211">
        <v>0.3</v>
      </c>
      <c r="H210" s="212"/>
      <c r="I210" s="213"/>
      <c r="J210" s="272">
        <v>9788.41</v>
      </c>
      <c r="K210" s="112">
        <f t="shared" si="17"/>
        <v>48942.05</v>
      </c>
      <c r="L210" s="273">
        <f>BDI!$E$17</f>
        <v>0.11260000000000001</v>
      </c>
      <c r="M210" s="213"/>
      <c r="N210" s="213"/>
      <c r="O210" s="114">
        <f t="shared" si="18"/>
        <v>10890.58</v>
      </c>
      <c r="P210" s="113">
        <f t="shared" si="19"/>
        <v>16335.87</v>
      </c>
      <c r="Q210" s="209"/>
      <c r="R210" s="203"/>
      <c r="S210" s="182"/>
      <c r="T210" s="182"/>
      <c r="U210" s="182"/>
      <c r="V210" s="182"/>
      <c r="W210" s="182"/>
      <c r="X210" s="182"/>
      <c r="Y210" s="182"/>
      <c r="Z210" s="182"/>
      <c r="AA210" s="182"/>
      <c r="AB210" s="182"/>
      <c r="AC210" s="182"/>
      <c r="AD210" s="182"/>
      <c r="AE210" s="182"/>
      <c r="AF210" s="182"/>
      <c r="AG210" s="182"/>
      <c r="AH210" s="182"/>
      <c r="AI210" s="182"/>
      <c r="AJ210" s="182"/>
      <c r="AK210" s="182"/>
      <c r="AL210" s="182"/>
      <c r="AM210" s="182"/>
      <c r="AN210" s="182"/>
      <c r="AO210" s="182"/>
      <c r="AP210" s="182"/>
      <c r="AQ210" s="182"/>
      <c r="AR210" s="182"/>
      <c r="AS210" s="182"/>
      <c r="AT210" s="182"/>
      <c r="AU210" s="182"/>
      <c r="AV210" s="182"/>
      <c r="AW210" s="182"/>
      <c r="AX210" s="182"/>
      <c r="AY210" s="182"/>
      <c r="AZ210" s="182"/>
      <c r="BA210" s="182"/>
      <c r="BB210" s="182"/>
      <c r="BC210" s="182"/>
      <c r="BD210" s="182"/>
      <c r="BE210" s="182"/>
      <c r="BF210" s="182"/>
      <c r="BG210" s="182"/>
      <c r="BH210" s="182"/>
      <c r="BI210" s="182"/>
      <c r="BJ210" s="182"/>
      <c r="BK210" s="182"/>
      <c r="BL210" s="182"/>
      <c r="BM210" s="182"/>
      <c r="BN210" s="182"/>
      <c r="BO210" s="182"/>
      <c r="BP210" s="182"/>
      <c r="BQ210" s="182"/>
      <c r="BR210" s="182"/>
      <c r="BS210" s="182"/>
      <c r="BT210" s="182"/>
      <c r="BU210" s="182"/>
      <c r="BV210" s="182"/>
      <c r="BW210" s="182"/>
      <c r="BX210" s="182"/>
      <c r="BY210" s="182"/>
      <c r="BZ210" s="182"/>
      <c r="CA210" s="182"/>
      <c r="CB210" s="182"/>
      <c r="CC210" s="182"/>
      <c r="CD210" s="182"/>
      <c r="CE210" s="182"/>
      <c r="CF210" s="182"/>
      <c r="CG210" s="182"/>
      <c r="CH210" s="182"/>
      <c r="CI210" s="182"/>
      <c r="CJ210" s="182"/>
      <c r="CK210" s="182"/>
      <c r="CL210" s="182"/>
      <c r="CM210" s="182"/>
      <c r="CN210" s="182"/>
      <c r="CO210" s="182"/>
      <c r="CP210" s="182"/>
      <c r="CQ210" s="182"/>
      <c r="CR210" s="182"/>
      <c r="CS210" s="182"/>
      <c r="CT210" s="182"/>
      <c r="CU210" s="182"/>
      <c r="CV210" s="182"/>
      <c r="CW210" s="182"/>
      <c r="CX210" s="182"/>
      <c r="CY210" s="182"/>
      <c r="CZ210" s="182"/>
      <c r="DA210" s="182"/>
      <c r="DB210" s="182"/>
      <c r="DC210" s="182"/>
      <c r="DD210" s="182"/>
      <c r="DE210" s="182"/>
      <c r="DF210" s="182"/>
      <c r="DG210" s="182"/>
      <c r="DH210" s="182"/>
      <c r="DI210" s="182"/>
      <c r="DJ210" s="182"/>
      <c r="DK210" s="182"/>
      <c r="DL210" s="182"/>
      <c r="DM210" s="182"/>
      <c r="DN210" s="182"/>
      <c r="DO210" s="182"/>
      <c r="DP210" s="182"/>
      <c r="DQ210" s="182"/>
      <c r="DR210" s="182"/>
      <c r="DS210" s="182"/>
      <c r="DT210" s="182"/>
      <c r="DU210" s="182"/>
      <c r="DV210" s="182"/>
      <c r="DW210" s="182"/>
      <c r="DX210" s="182"/>
      <c r="DY210" s="182"/>
      <c r="DZ210" s="182"/>
      <c r="EA210" s="182"/>
      <c r="EB210" s="182"/>
      <c r="EC210" s="182"/>
      <c r="ED210" s="182"/>
      <c r="EE210" s="182"/>
      <c r="EF210" s="182"/>
      <c r="EG210" s="182"/>
      <c r="EH210" s="182"/>
      <c r="EI210" s="182"/>
      <c r="EJ210" s="182"/>
      <c r="EK210" s="182"/>
      <c r="EL210" s="182"/>
      <c r="EM210" s="182"/>
      <c r="EN210" s="182"/>
      <c r="EO210" s="182"/>
      <c r="EP210" s="182"/>
      <c r="EQ210" s="182"/>
      <c r="ER210" s="182"/>
      <c r="ES210" s="182"/>
      <c r="ET210" s="182"/>
      <c r="EU210" s="182"/>
      <c r="EV210" s="182"/>
      <c r="EW210" s="182"/>
      <c r="EX210" s="182"/>
      <c r="EY210" s="182"/>
      <c r="EZ210" s="182"/>
      <c r="FA210" s="182"/>
      <c r="FB210" s="182"/>
      <c r="FC210" s="182"/>
      <c r="FD210" s="182"/>
      <c r="FE210" s="182"/>
      <c r="FF210" s="182"/>
      <c r="FG210" s="182"/>
      <c r="FH210" s="182"/>
      <c r="FI210" s="182"/>
      <c r="FJ210" s="182"/>
      <c r="FK210" s="182"/>
      <c r="FL210" s="182"/>
      <c r="FM210" s="182"/>
      <c r="FN210" s="182"/>
      <c r="FO210" s="182"/>
      <c r="FP210" s="182"/>
      <c r="FQ210" s="182"/>
      <c r="FR210" s="182"/>
      <c r="FS210" s="182"/>
      <c r="FT210" s="182"/>
      <c r="FU210" s="182"/>
      <c r="FV210" s="182"/>
      <c r="FW210" s="182"/>
      <c r="FX210" s="182"/>
      <c r="FY210" s="182"/>
      <c r="FZ210" s="182"/>
      <c r="GA210" s="182"/>
      <c r="GB210" s="182"/>
      <c r="GC210" s="182"/>
      <c r="GD210" s="182"/>
      <c r="GE210" s="182"/>
      <c r="GF210" s="182"/>
      <c r="GG210" s="182"/>
      <c r="GH210" s="182"/>
      <c r="GI210" s="182"/>
    </row>
    <row r="211" spans="1:191" s="183" customFormat="1" ht="25.5" x14ac:dyDescent="0.2">
      <c r="A211" s="210" t="s">
        <v>38516</v>
      </c>
      <c r="B211" s="210" t="s">
        <v>19059</v>
      </c>
      <c r="C211" s="224" t="s">
        <v>22321</v>
      </c>
      <c r="D211" s="211" t="s">
        <v>16</v>
      </c>
      <c r="E211" s="211">
        <v>15</v>
      </c>
      <c r="F211" s="211"/>
      <c r="G211" s="211">
        <v>0.3</v>
      </c>
      <c r="H211" s="212"/>
      <c r="I211" s="213"/>
      <c r="J211" s="272">
        <v>12633.96</v>
      </c>
      <c r="K211" s="112">
        <f t="shared" si="17"/>
        <v>189509.4</v>
      </c>
      <c r="L211" s="273">
        <f>BDI!$E$17</f>
        <v>0.11260000000000001</v>
      </c>
      <c r="M211" s="213"/>
      <c r="N211" s="213"/>
      <c r="O211" s="114">
        <f t="shared" si="18"/>
        <v>14056.54</v>
      </c>
      <c r="P211" s="113">
        <f t="shared" si="19"/>
        <v>63254.43</v>
      </c>
      <c r="Q211" s="209"/>
      <c r="R211" s="203"/>
      <c r="S211" s="182"/>
      <c r="T211" s="182"/>
      <c r="U211" s="182"/>
      <c r="V211" s="182"/>
      <c r="W211" s="182"/>
      <c r="X211" s="182"/>
      <c r="Y211" s="182"/>
      <c r="Z211" s="182"/>
      <c r="AA211" s="182"/>
      <c r="AB211" s="182"/>
      <c r="AC211" s="182"/>
      <c r="AD211" s="182"/>
      <c r="AE211" s="182"/>
      <c r="AF211" s="182"/>
      <c r="AG211" s="182"/>
      <c r="AH211" s="182"/>
      <c r="AI211" s="182"/>
      <c r="AJ211" s="182"/>
      <c r="AK211" s="182"/>
      <c r="AL211" s="182"/>
      <c r="AM211" s="182"/>
      <c r="AN211" s="182"/>
      <c r="AO211" s="182"/>
      <c r="AP211" s="182"/>
      <c r="AQ211" s="182"/>
      <c r="AR211" s="182"/>
      <c r="AS211" s="182"/>
      <c r="AT211" s="182"/>
      <c r="AU211" s="182"/>
      <c r="AV211" s="182"/>
      <c r="AW211" s="182"/>
      <c r="AX211" s="182"/>
      <c r="AY211" s="182"/>
      <c r="AZ211" s="182"/>
      <c r="BA211" s="182"/>
      <c r="BB211" s="182"/>
      <c r="BC211" s="182"/>
      <c r="BD211" s="182"/>
      <c r="BE211" s="182"/>
      <c r="BF211" s="182"/>
      <c r="BG211" s="182"/>
      <c r="BH211" s="182"/>
      <c r="BI211" s="182"/>
      <c r="BJ211" s="182"/>
      <c r="BK211" s="182"/>
      <c r="BL211" s="182"/>
      <c r="BM211" s="182"/>
      <c r="BN211" s="182"/>
      <c r="BO211" s="182"/>
      <c r="BP211" s="182"/>
      <c r="BQ211" s="182"/>
      <c r="BR211" s="182"/>
      <c r="BS211" s="182"/>
      <c r="BT211" s="182"/>
      <c r="BU211" s="182"/>
      <c r="BV211" s="182"/>
      <c r="BW211" s="182"/>
      <c r="BX211" s="182"/>
      <c r="BY211" s="182"/>
      <c r="BZ211" s="182"/>
      <c r="CA211" s="182"/>
      <c r="CB211" s="182"/>
      <c r="CC211" s="182"/>
      <c r="CD211" s="182"/>
      <c r="CE211" s="182"/>
      <c r="CF211" s="182"/>
      <c r="CG211" s="182"/>
      <c r="CH211" s="182"/>
      <c r="CI211" s="182"/>
      <c r="CJ211" s="182"/>
      <c r="CK211" s="182"/>
      <c r="CL211" s="182"/>
      <c r="CM211" s="182"/>
      <c r="CN211" s="182"/>
      <c r="CO211" s="182"/>
      <c r="CP211" s="182"/>
      <c r="CQ211" s="182"/>
      <c r="CR211" s="182"/>
      <c r="CS211" s="182"/>
      <c r="CT211" s="182"/>
      <c r="CU211" s="182"/>
      <c r="CV211" s="182"/>
      <c r="CW211" s="182"/>
      <c r="CX211" s="182"/>
      <c r="CY211" s="182"/>
      <c r="CZ211" s="182"/>
      <c r="DA211" s="182"/>
      <c r="DB211" s="182"/>
      <c r="DC211" s="182"/>
      <c r="DD211" s="182"/>
      <c r="DE211" s="182"/>
      <c r="DF211" s="182"/>
      <c r="DG211" s="182"/>
      <c r="DH211" s="182"/>
      <c r="DI211" s="182"/>
      <c r="DJ211" s="182"/>
      <c r="DK211" s="182"/>
      <c r="DL211" s="182"/>
      <c r="DM211" s="182"/>
      <c r="DN211" s="182"/>
      <c r="DO211" s="182"/>
      <c r="DP211" s="182"/>
      <c r="DQ211" s="182"/>
      <c r="DR211" s="182"/>
      <c r="DS211" s="182"/>
      <c r="DT211" s="182"/>
      <c r="DU211" s="182"/>
      <c r="DV211" s="182"/>
      <c r="DW211" s="182"/>
      <c r="DX211" s="182"/>
      <c r="DY211" s="182"/>
      <c r="DZ211" s="182"/>
      <c r="EA211" s="182"/>
      <c r="EB211" s="182"/>
      <c r="EC211" s="182"/>
      <c r="ED211" s="182"/>
      <c r="EE211" s="182"/>
      <c r="EF211" s="182"/>
      <c r="EG211" s="182"/>
      <c r="EH211" s="182"/>
      <c r="EI211" s="182"/>
      <c r="EJ211" s="182"/>
      <c r="EK211" s="182"/>
      <c r="EL211" s="182"/>
      <c r="EM211" s="182"/>
      <c r="EN211" s="182"/>
      <c r="EO211" s="182"/>
      <c r="EP211" s="182"/>
      <c r="EQ211" s="182"/>
      <c r="ER211" s="182"/>
      <c r="ES211" s="182"/>
      <c r="ET211" s="182"/>
      <c r="EU211" s="182"/>
      <c r="EV211" s="182"/>
      <c r="EW211" s="182"/>
      <c r="EX211" s="182"/>
      <c r="EY211" s="182"/>
      <c r="EZ211" s="182"/>
      <c r="FA211" s="182"/>
      <c r="FB211" s="182"/>
      <c r="FC211" s="182"/>
      <c r="FD211" s="182"/>
      <c r="FE211" s="182"/>
      <c r="FF211" s="182"/>
      <c r="FG211" s="182"/>
      <c r="FH211" s="182"/>
      <c r="FI211" s="182"/>
      <c r="FJ211" s="182"/>
      <c r="FK211" s="182"/>
      <c r="FL211" s="182"/>
      <c r="FM211" s="182"/>
      <c r="FN211" s="182"/>
      <c r="FO211" s="182"/>
      <c r="FP211" s="182"/>
      <c r="FQ211" s="182"/>
      <c r="FR211" s="182"/>
      <c r="FS211" s="182"/>
      <c r="FT211" s="182"/>
      <c r="FU211" s="182"/>
      <c r="FV211" s="182"/>
      <c r="FW211" s="182"/>
      <c r="FX211" s="182"/>
      <c r="FY211" s="182"/>
      <c r="FZ211" s="182"/>
      <c r="GA211" s="182"/>
      <c r="GB211" s="182"/>
      <c r="GC211" s="182"/>
      <c r="GD211" s="182"/>
      <c r="GE211" s="182"/>
      <c r="GF211" s="182"/>
      <c r="GG211" s="182"/>
      <c r="GH211" s="182"/>
      <c r="GI211" s="182"/>
    </row>
    <row r="212" spans="1:191" s="183" customFormat="1" ht="25.5" x14ac:dyDescent="0.2">
      <c r="A212" s="210" t="s">
        <v>38517</v>
      </c>
      <c r="B212" s="210" t="s">
        <v>19060</v>
      </c>
      <c r="C212" s="224" t="s">
        <v>22322</v>
      </c>
      <c r="D212" s="211" t="s">
        <v>16</v>
      </c>
      <c r="E212" s="211">
        <v>10</v>
      </c>
      <c r="F212" s="211"/>
      <c r="G212" s="211">
        <v>0.3</v>
      </c>
      <c r="H212" s="212"/>
      <c r="I212" s="213"/>
      <c r="J212" s="272">
        <v>9200</v>
      </c>
      <c r="K212" s="112">
        <f t="shared" si="17"/>
        <v>92000</v>
      </c>
      <c r="L212" s="273">
        <f>BDI!$E$17</f>
        <v>0.11260000000000001</v>
      </c>
      <c r="M212" s="213"/>
      <c r="N212" s="213"/>
      <c r="O212" s="114">
        <f t="shared" si="18"/>
        <v>10235.92</v>
      </c>
      <c r="P212" s="113">
        <f t="shared" si="19"/>
        <v>30707.759999999998</v>
      </c>
      <c r="Q212" s="209"/>
      <c r="R212" s="203"/>
      <c r="S212" s="182"/>
      <c r="T212" s="182"/>
      <c r="U212" s="182"/>
      <c r="V212" s="182"/>
      <c r="W212" s="182"/>
      <c r="X212" s="182"/>
      <c r="Y212" s="182"/>
      <c r="Z212" s="182"/>
      <c r="AA212" s="182"/>
      <c r="AB212" s="182"/>
      <c r="AC212" s="182"/>
      <c r="AD212" s="182"/>
      <c r="AE212" s="182"/>
      <c r="AF212" s="182"/>
      <c r="AG212" s="182"/>
      <c r="AH212" s="182"/>
      <c r="AI212" s="182"/>
      <c r="AJ212" s="182"/>
      <c r="AK212" s="182"/>
      <c r="AL212" s="182"/>
      <c r="AM212" s="182"/>
      <c r="AN212" s="182"/>
      <c r="AO212" s="182"/>
      <c r="AP212" s="182"/>
      <c r="AQ212" s="182"/>
      <c r="AR212" s="182"/>
      <c r="AS212" s="182"/>
      <c r="AT212" s="182"/>
      <c r="AU212" s="182"/>
      <c r="AV212" s="182"/>
      <c r="AW212" s="182"/>
      <c r="AX212" s="182"/>
      <c r="AY212" s="182"/>
      <c r="AZ212" s="182"/>
      <c r="BA212" s="182"/>
      <c r="BB212" s="182"/>
      <c r="BC212" s="182"/>
      <c r="BD212" s="182"/>
      <c r="BE212" s="182"/>
      <c r="BF212" s="182"/>
      <c r="BG212" s="182"/>
      <c r="BH212" s="182"/>
      <c r="BI212" s="182"/>
      <c r="BJ212" s="182"/>
      <c r="BK212" s="182"/>
      <c r="BL212" s="182"/>
      <c r="BM212" s="182"/>
      <c r="BN212" s="182"/>
      <c r="BO212" s="182"/>
      <c r="BP212" s="182"/>
      <c r="BQ212" s="182"/>
      <c r="BR212" s="182"/>
      <c r="BS212" s="182"/>
      <c r="BT212" s="182"/>
      <c r="BU212" s="182"/>
      <c r="BV212" s="182"/>
      <c r="BW212" s="182"/>
      <c r="BX212" s="182"/>
      <c r="BY212" s="182"/>
      <c r="BZ212" s="182"/>
      <c r="CA212" s="182"/>
      <c r="CB212" s="182"/>
      <c r="CC212" s="182"/>
      <c r="CD212" s="182"/>
      <c r="CE212" s="182"/>
      <c r="CF212" s="182"/>
      <c r="CG212" s="182"/>
      <c r="CH212" s="182"/>
      <c r="CI212" s="182"/>
      <c r="CJ212" s="182"/>
      <c r="CK212" s="182"/>
      <c r="CL212" s="182"/>
      <c r="CM212" s="182"/>
      <c r="CN212" s="182"/>
      <c r="CO212" s="182"/>
      <c r="CP212" s="182"/>
      <c r="CQ212" s="182"/>
      <c r="CR212" s="182"/>
      <c r="CS212" s="182"/>
      <c r="CT212" s="182"/>
      <c r="CU212" s="182"/>
      <c r="CV212" s="182"/>
      <c r="CW212" s="182"/>
      <c r="CX212" s="182"/>
      <c r="CY212" s="182"/>
      <c r="CZ212" s="182"/>
      <c r="DA212" s="182"/>
      <c r="DB212" s="182"/>
      <c r="DC212" s="182"/>
      <c r="DD212" s="182"/>
      <c r="DE212" s="182"/>
      <c r="DF212" s="182"/>
      <c r="DG212" s="182"/>
      <c r="DH212" s="182"/>
      <c r="DI212" s="182"/>
      <c r="DJ212" s="182"/>
      <c r="DK212" s="182"/>
      <c r="DL212" s="182"/>
      <c r="DM212" s="182"/>
      <c r="DN212" s="182"/>
      <c r="DO212" s="182"/>
      <c r="DP212" s="182"/>
      <c r="DQ212" s="182"/>
      <c r="DR212" s="182"/>
      <c r="DS212" s="182"/>
      <c r="DT212" s="182"/>
      <c r="DU212" s="182"/>
      <c r="DV212" s="182"/>
      <c r="DW212" s="182"/>
      <c r="DX212" s="182"/>
      <c r="DY212" s="182"/>
      <c r="DZ212" s="182"/>
      <c r="EA212" s="182"/>
      <c r="EB212" s="182"/>
      <c r="EC212" s="182"/>
      <c r="ED212" s="182"/>
      <c r="EE212" s="182"/>
      <c r="EF212" s="182"/>
      <c r="EG212" s="182"/>
      <c r="EH212" s="182"/>
      <c r="EI212" s="182"/>
      <c r="EJ212" s="182"/>
      <c r="EK212" s="182"/>
      <c r="EL212" s="182"/>
      <c r="EM212" s="182"/>
      <c r="EN212" s="182"/>
      <c r="EO212" s="182"/>
      <c r="EP212" s="182"/>
      <c r="EQ212" s="182"/>
      <c r="ER212" s="182"/>
      <c r="ES212" s="182"/>
      <c r="ET212" s="182"/>
      <c r="EU212" s="182"/>
      <c r="EV212" s="182"/>
      <c r="EW212" s="182"/>
      <c r="EX212" s="182"/>
      <c r="EY212" s="182"/>
      <c r="EZ212" s="182"/>
      <c r="FA212" s="182"/>
      <c r="FB212" s="182"/>
      <c r="FC212" s="182"/>
      <c r="FD212" s="182"/>
      <c r="FE212" s="182"/>
      <c r="FF212" s="182"/>
      <c r="FG212" s="182"/>
      <c r="FH212" s="182"/>
      <c r="FI212" s="182"/>
      <c r="FJ212" s="182"/>
      <c r="FK212" s="182"/>
      <c r="FL212" s="182"/>
      <c r="FM212" s="182"/>
      <c r="FN212" s="182"/>
      <c r="FO212" s="182"/>
      <c r="FP212" s="182"/>
      <c r="FQ212" s="182"/>
      <c r="FR212" s="182"/>
      <c r="FS212" s="182"/>
      <c r="FT212" s="182"/>
      <c r="FU212" s="182"/>
      <c r="FV212" s="182"/>
      <c r="FW212" s="182"/>
      <c r="FX212" s="182"/>
      <c r="FY212" s="182"/>
      <c r="FZ212" s="182"/>
      <c r="GA212" s="182"/>
      <c r="GB212" s="182"/>
      <c r="GC212" s="182"/>
      <c r="GD212" s="182"/>
      <c r="GE212" s="182"/>
      <c r="GF212" s="182"/>
      <c r="GG212" s="182"/>
      <c r="GH212" s="182"/>
      <c r="GI212" s="182"/>
    </row>
    <row r="213" spans="1:191" s="183" customFormat="1" ht="25.5" x14ac:dyDescent="0.2">
      <c r="A213" s="210" t="s">
        <v>38518</v>
      </c>
      <c r="B213" s="210" t="s">
        <v>19061</v>
      </c>
      <c r="C213" s="224" t="s">
        <v>22323</v>
      </c>
      <c r="D213" s="211" t="s">
        <v>16</v>
      </c>
      <c r="E213" s="211">
        <v>30</v>
      </c>
      <c r="F213" s="211"/>
      <c r="G213" s="211">
        <v>0.3</v>
      </c>
      <c r="H213" s="212"/>
      <c r="I213" s="213"/>
      <c r="J213" s="272">
        <v>8906.16</v>
      </c>
      <c r="K213" s="112">
        <f t="shared" si="17"/>
        <v>267184.8</v>
      </c>
      <c r="L213" s="273">
        <f>BDI!$E$17</f>
        <v>0.11260000000000001</v>
      </c>
      <c r="M213" s="213"/>
      <c r="N213" s="213"/>
      <c r="O213" s="114">
        <f t="shared" si="18"/>
        <v>9908.99</v>
      </c>
      <c r="P213" s="113">
        <f t="shared" si="19"/>
        <v>89180.91</v>
      </c>
      <c r="Q213" s="209"/>
      <c r="R213" s="203"/>
      <c r="S213" s="182"/>
      <c r="T213" s="182"/>
      <c r="U213" s="182"/>
      <c r="V213" s="182"/>
      <c r="W213" s="182"/>
      <c r="X213" s="182"/>
      <c r="Y213" s="182"/>
      <c r="Z213" s="182"/>
      <c r="AA213" s="182"/>
      <c r="AB213" s="182"/>
      <c r="AC213" s="182"/>
      <c r="AD213" s="182"/>
      <c r="AE213" s="182"/>
      <c r="AF213" s="182"/>
      <c r="AG213" s="182"/>
      <c r="AH213" s="182"/>
      <c r="AI213" s="182"/>
      <c r="AJ213" s="182"/>
      <c r="AK213" s="182"/>
      <c r="AL213" s="182"/>
      <c r="AM213" s="182"/>
      <c r="AN213" s="182"/>
      <c r="AO213" s="182"/>
      <c r="AP213" s="182"/>
      <c r="AQ213" s="182"/>
      <c r="AR213" s="182"/>
      <c r="AS213" s="182"/>
      <c r="AT213" s="182"/>
      <c r="AU213" s="182"/>
      <c r="AV213" s="182"/>
      <c r="AW213" s="182"/>
      <c r="AX213" s="182"/>
      <c r="AY213" s="182"/>
      <c r="AZ213" s="182"/>
      <c r="BA213" s="182"/>
      <c r="BB213" s="182"/>
      <c r="BC213" s="182"/>
      <c r="BD213" s="182"/>
      <c r="BE213" s="182"/>
      <c r="BF213" s="182"/>
      <c r="BG213" s="182"/>
      <c r="BH213" s="182"/>
      <c r="BI213" s="182"/>
      <c r="BJ213" s="182"/>
      <c r="BK213" s="182"/>
      <c r="BL213" s="182"/>
      <c r="BM213" s="182"/>
      <c r="BN213" s="182"/>
      <c r="BO213" s="182"/>
      <c r="BP213" s="182"/>
      <c r="BQ213" s="182"/>
      <c r="BR213" s="182"/>
      <c r="BS213" s="182"/>
      <c r="BT213" s="182"/>
      <c r="BU213" s="182"/>
      <c r="BV213" s="182"/>
      <c r="BW213" s="182"/>
      <c r="BX213" s="182"/>
      <c r="BY213" s="182"/>
      <c r="BZ213" s="182"/>
      <c r="CA213" s="182"/>
      <c r="CB213" s="182"/>
      <c r="CC213" s="182"/>
      <c r="CD213" s="182"/>
      <c r="CE213" s="182"/>
      <c r="CF213" s="182"/>
      <c r="CG213" s="182"/>
      <c r="CH213" s="182"/>
      <c r="CI213" s="182"/>
      <c r="CJ213" s="182"/>
      <c r="CK213" s="182"/>
      <c r="CL213" s="182"/>
      <c r="CM213" s="182"/>
      <c r="CN213" s="182"/>
      <c r="CO213" s="182"/>
      <c r="CP213" s="182"/>
      <c r="CQ213" s="182"/>
      <c r="CR213" s="182"/>
      <c r="CS213" s="182"/>
      <c r="CT213" s="182"/>
      <c r="CU213" s="182"/>
      <c r="CV213" s="182"/>
      <c r="CW213" s="182"/>
      <c r="CX213" s="182"/>
      <c r="CY213" s="182"/>
      <c r="CZ213" s="182"/>
      <c r="DA213" s="182"/>
      <c r="DB213" s="182"/>
      <c r="DC213" s="182"/>
      <c r="DD213" s="182"/>
      <c r="DE213" s="182"/>
      <c r="DF213" s="182"/>
      <c r="DG213" s="182"/>
      <c r="DH213" s="182"/>
      <c r="DI213" s="182"/>
      <c r="DJ213" s="182"/>
      <c r="DK213" s="182"/>
      <c r="DL213" s="182"/>
      <c r="DM213" s="182"/>
      <c r="DN213" s="182"/>
      <c r="DO213" s="182"/>
      <c r="DP213" s="182"/>
      <c r="DQ213" s="182"/>
      <c r="DR213" s="182"/>
      <c r="DS213" s="182"/>
      <c r="DT213" s="182"/>
      <c r="DU213" s="182"/>
      <c r="DV213" s="182"/>
      <c r="DW213" s="182"/>
      <c r="DX213" s="182"/>
      <c r="DY213" s="182"/>
      <c r="DZ213" s="182"/>
      <c r="EA213" s="182"/>
      <c r="EB213" s="182"/>
      <c r="EC213" s="182"/>
      <c r="ED213" s="182"/>
      <c r="EE213" s="182"/>
      <c r="EF213" s="182"/>
      <c r="EG213" s="182"/>
      <c r="EH213" s="182"/>
      <c r="EI213" s="182"/>
      <c r="EJ213" s="182"/>
      <c r="EK213" s="182"/>
      <c r="EL213" s="182"/>
      <c r="EM213" s="182"/>
      <c r="EN213" s="182"/>
      <c r="EO213" s="182"/>
      <c r="EP213" s="182"/>
      <c r="EQ213" s="182"/>
      <c r="ER213" s="182"/>
      <c r="ES213" s="182"/>
      <c r="ET213" s="182"/>
      <c r="EU213" s="182"/>
      <c r="EV213" s="182"/>
      <c r="EW213" s="182"/>
      <c r="EX213" s="182"/>
      <c r="EY213" s="182"/>
      <c r="EZ213" s="182"/>
      <c r="FA213" s="182"/>
      <c r="FB213" s="182"/>
      <c r="FC213" s="182"/>
      <c r="FD213" s="182"/>
      <c r="FE213" s="182"/>
      <c r="FF213" s="182"/>
      <c r="FG213" s="182"/>
      <c r="FH213" s="182"/>
      <c r="FI213" s="182"/>
      <c r="FJ213" s="182"/>
      <c r="FK213" s="182"/>
      <c r="FL213" s="182"/>
      <c r="FM213" s="182"/>
      <c r="FN213" s="182"/>
      <c r="FO213" s="182"/>
      <c r="FP213" s="182"/>
      <c r="FQ213" s="182"/>
      <c r="FR213" s="182"/>
      <c r="FS213" s="182"/>
      <c r="FT213" s="182"/>
      <c r="FU213" s="182"/>
      <c r="FV213" s="182"/>
      <c r="FW213" s="182"/>
      <c r="FX213" s="182"/>
      <c r="FY213" s="182"/>
      <c r="FZ213" s="182"/>
      <c r="GA213" s="182"/>
      <c r="GB213" s="182"/>
      <c r="GC213" s="182"/>
      <c r="GD213" s="182"/>
      <c r="GE213" s="182"/>
      <c r="GF213" s="182"/>
      <c r="GG213" s="182"/>
      <c r="GH213" s="182"/>
      <c r="GI213" s="182"/>
    </row>
    <row r="214" spans="1:191" s="183" customFormat="1" ht="25.5" x14ac:dyDescent="0.2">
      <c r="A214" s="210" t="s">
        <v>38519</v>
      </c>
      <c r="B214" s="210" t="s">
        <v>19062</v>
      </c>
      <c r="C214" s="224" t="s">
        <v>22324</v>
      </c>
      <c r="D214" s="211" t="s">
        <v>16</v>
      </c>
      <c r="E214" s="211">
        <v>10</v>
      </c>
      <c r="F214" s="211"/>
      <c r="G214" s="211">
        <v>0.3</v>
      </c>
      <c r="H214" s="212"/>
      <c r="I214" s="213"/>
      <c r="J214" s="272">
        <v>11747.41</v>
      </c>
      <c r="K214" s="112">
        <f t="shared" si="17"/>
        <v>117474.1</v>
      </c>
      <c r="L214" s="273">
        <f>BDI!$E$17</f>
        <v>0.11260000000000001</v>
      </c>
      <c r="M214" s="213"/>
      <c r="N214" s="213"/>
      <c r="O214" s="114">
        <f t="shared" si="18"/>
        <v>13070.17</v>
      </c>
      <c r="P214" s="113">
        <f t="shared" si="19"/>
        <v>39210.51</v>
      </c>
      <c r="Q214" s="209"/>
      <c r="R214" s="203"/>
      <c r="S214" s="182"/>
      <c r="T214" s="182"/>
      <c r="U214" s="182"/>
      <c r="V214" s="182"/>
      <c r="W214" s="182"/>
      <c r="X214" s="182"/>
      <c r="Y214" s="182"/>
      <c r="Z214" s="182"/>
      <c r="AA214" s="182"/>
      <c r="AB214" s="182"/>
      <c r="AC214" s="182"/>
      <c r="AD214" s="182"/>
      <c r="AE214" s="182"/>
      <c r="AF214" s="182"/>
      <c r="AG214" s="182"/>
      <c r="AH214" s="182"/>
      <c r="AI214" s="182"/>
      <c r="AJ214" s="182"/>
      <c r="AK214" s="182"/>
      <c r="AL214" s="182"/>
      <c r="AM214" s="182"/>
      <c r="AN214" s="182"/>
      <c r="AO214" s="182"/>
      <c r="AP214" s="182"/>
      <c r="AQ214" s="182"/>
      <c r="AR214" s="182"/>
      <c r="AS214" s="182"/>
      <c r="AT214" s="182"/>
      <c r="AU214" s="182"/>
      <c r="AV214" s="182"/>
      <c r="AW214" s="182"/>
      <c r="AX214" s="182"/>
      <c r="AY214" s="182"/>
      <c r="AZ214" s="182"/>
      <c r="BA214" s="182"/>
      <c r="BB214" s="182"/>
      <c r="BC214" s="182"/>
      <c r="BD214" s="182"/>
      <c r="BE214" s="182"/>
      <c r="BF214" s="182"/>
      <c r="BG214" s="182"/>
      <c r="BH214" s="182"/>
      <c r="BI214" s="182"/>
      <c r="BJ214" s="182"/>
      <c r="BK214" s="182"/>
      <c r="BL214" s="182"/>
      <c r="BM214" s="182"/>
      <c r="BN214" s="182"/>
      <c r="BO214" s="182"/>
      <c r="BP214" s="182"/>
      <c r="BQ214" s="182"/>
      <c r="BR214" s="182"/>
      <c r="BS214" s="182"/>
      <c r="BT214" s="182"/>
      <c r="BU214" s="182"/>
      <c r="BV214" s="182"/>
      <c r="BW214" s="182"/>
      <c r="BX214" s="182"/>
      <c r="BY214" s="182"/>
      <c r="BZ214" s="182"/>
      <c r="CA214" s="182"/>
      <c r="CB214" s="182"/>
      <c r="CC214" s="182"/>
      <c r="CD214" s="182"/>
      <c r="CE214" s="182"/>
      <c r="CF214" s="182"/>
      <c r="CG214" s="182"/>
      <c r="CH214" s="182"/>
      <c r="CI214" s="182"/>
      <c r="CJ214" s="182"/>
      <c r="CK214" s="182"/>
      <c r="CL214" s="182"/>
      <c r="CM214" s="182"/>
      <c r="CN214" s="182"/>
      <c r="CO214" s="182"/>
      <c r="CP214" s="182"/>
      <c r="CQ214" s="182"/>
      <c r="CR214" s="182"/>
      <c r="CS214" s="182"/>
      <c r="CT214" s="182"/>
      <c r="CU214" s="182"/>
      <c r="CV214" s="182"/>
      <c r="CW214" s="182"/>
      <c r="CX214" s="182"/>
      <c r="CY214" s="182"/>
      <c r="CZ214" s="182"/>
      <c r="DA214" s="182"/>
      <c r="DB214" s="182"/>
      <c r="DC214" s="182"/>
      <c r="DD214" s="182"/>
      <c r="DE214" s="182"/>
      <c r="DF214" s="182"/>
      <c r="DG214" s="182"/>
      <c r="DH214" s="182"/>
      <c r="DI214" s="182"/>
      <c r="DJ214" s="182"/>
      <c r="DK214" s="182"/>
      <c r="DL214" s="182"/>
      <c r="DM214" s="182"/>
      <c r="DN214" s="182"/>
      <c r="DO214" s="182"/>
      <c r="DP214" s="182"/>
      <c r="DQ214" s="182"/>
      <c r="DR214" s="182"/>
      <c r="DS214" s="182"/>
      <c r="DT214" s="182"/>
      <c r="DU214" s="182"/>
      <c r="DV214" s="182"/>
      <c r="DW214" s="182"/>
      <c r="DX214" s="182"/>
      <c r="DY214" s="182"/>
      <c r="DZ214" s="182"/>
      <c r="EA214" s="182"/>
      <c r="EB214" s="182"/>
      <c r="EC214" s="182"/>
      <c r="ED214" s="182"/>
      <c r="EE214" s="182"/>
      <c r="EF214" s="182"/>
      <c r="EG214" s="182"/>
      <c r="EH214" s="182"/>
      <c r="EI214" s="182"/>
      <c r="EJ214" s="182"/>
      <c r="EK214" s="182"/>
      <c r="EL214" s="182"/>
      <c r="EM214" s="182"/>
      <c r="EN214" s="182"/>
      <c r="EO214" s="182"/>
      <c r="EP214" s="182"/>
      <c r="EQ214" s="182"/>
      <c r="ER214" s="182"/>
      <c r="ES214" s="182"/>
      <c r="ET214" s="182"/>
      <c r="EU214" s="182"/>
      <c r="EV214" s="182"/>
      <c r="EW214" s="182"/>
      <c r="EX214" s="182"/>
      <c r="EY214" s="182"/>
      <c r="EZ214" s="182"/>
      <c r="FA214" s="182"/>
      <c r="FB214" s="182"/>
      <c r="FC214" s="182"/>
      <c r="FD214" s="182"/>
      <c r="FE214" s="182"/>
      <c r="FF214" s="182"/>
      <c r="FG214" s="182"/>
      <c r="FH214" s="182"/>
      <c r="FI214" s="182"/>
      <c r="FJ214" s="182"/>
      <c r="FK214" s="182"/>
      <c r="FL214" s="182"/>
      <c r="FM214" s="182"/>
      <c r="FN214" s="182"/>
      <c r="FO214" s="182"/>
      <c r="FP214" s="182"/>
      <c r="FQ214" s="182"/>
      <c r="FR214" s="182"/>
      <c r="FS214" s="182"/>
      <c r="FT214" s="182"/>
      <c r="FU214" s="182"/>
      <c r="FV214" s="182"/>
      <c r="FW214" s="182"/>
      <c r="FX214" s="182"/>
      <c r="FY214" s="182"/>
      <c r="FZ214" s="182"/>
      <c r="GA214" s="182"/>
      <c r="GB214" s="182"/>
      <c r="GC214" s="182"/>
      <c r="GD214" s="182"/>
      <c r="GE214" s="182"/>
      <c r="GF214" s="182"/>
      <c r="GG214" s="182"/>
      <c r="GH214" s="182"/>
      <c r="GI214" s="182"/>
    </row>
    <row r="215" spans="1:191" s="183" customFormat="1" ht="25.5" x14ac:dyDescent="0.2">
      <c r="A215" s="210" t="s">
        <v>38520</v>
      </c>
      <c r="B215" s="210" t="s">
        <v>19063</v>
      </c>
      <c r="C215" s="224" t="s">
        <v>22325</v>
      </c>
      <c r="D215" s="211" t="s">
        <v>16</v>
      </c>
      <c r="E215" s="211">
        <v>18</v>
      </c>
      <c r="F215" s="211"/>
      <c r="G215" s="211">
        <v>0.3</v>
      </c>
      <c r="H215" s="212"/>
      <c r="I215" s="213"/>
      <c r="J215" s="272">
        <v>2745.75</v>
      </c>
      <c r="K215" s="112">
        <f t="shared" si="17"/>
        <v>49423.5</v>
      </c>
      <c r="L215" s="273">
        <f>BDI!$E$17</f>
        <v>0.11260000000000001</v>
      </c>
      <c r="M215" s="213"/>
      <c r="N215" s="213"/>
      <c r="O215" s="114">
        <f t="shared" si="18"/>
        <v>3054.92</v>
      </c>
      <c r="P215" s="113">
        <f t="shared" si="19"/>
        <v>16496.57</v>
      </c>
      <c r="Q215" s="209"/>
      <c r="R215" s="203"/>
      <c r="S215" s="182"/>
      <c r="T215" s="182"/>
      <c r="U215" s="182"/>
      <c r="V215" s="182"/>
      <c r="W215" s="182"/>
      <c r="X215" s="182"/>
      <c r="Y215" s="182"/>
      <c r="Z215" s="182"/>
      <c r="AA215" s="182"/>
      <c r="AB215" s="182"/>
      <c r="AC215" s="182"/>
      <c r="AD215" s="182"/>
      <c r="AE215" s="182"/>
      <c r="AF215" s="182"/>
      <c r="AG215" s="182"/>
      <c r="AH215" s="182"/>
      <c r="AI215" s="182"/>
      <c r="AJ215" s="182"/>
      <c r="AK215" s="182"/>
      <c r="AL215" s="182"/>
      <c r="AM215" s="182"/>
      <c r="AN215" s="182"/>
      <c r="AO215" s="182"/>
      <c r="AP215" s="182"/>
      <c r="AQ215" s="182"/>
      <c r="AR215" s="182"/>
      <c r="AS215" s="182"/>
      <c r="AT215" s="182"/>
      <c r="AU215" s="182"/>
      <c r="AV215" s="182"/>
      <c r="AW215" s="182"/>
      <c r="AX215" s="182"/>
      <c r="AY215" s="182"/>
      <c r="AZ215" s="182"/>
      <c r="BA215" s="182"/>
      <c r="BB215" s="182"/>
      <c r="BC215" s="182"/>
      <c r="BD215" s="182"/>
      <c r="BE215" s="182"/>
      <c r="BF215" s="182"/>
      <c r="BG215" s="182"/>
      <c r="BH215" s="182"/>
      <c r="BI215" s="182"/>
      <c r="BJ215" s="182"/>
      <c r="BK215" s="182"/>
      <c r="BL215" s="182"/>
      <c r="BM215" s="182"/>
      <c r="BN215" s="182"/>
      <c r="BO215" s="182"/>
      <c r="BP215" s="182"/>
      <c r="BQ215" s="182"/>
      <c r="BR215" s="182"/>
      <c r="BS215" s="182"/>
      <c r="BT215" s="182"/>
      <c r="BU215" s="182"/>
      <c r="BV215" s="182"/>
      <c r="BW215" s="182"/>
      <c r="BX215" s="182"/>
      <c r="BY215" s="182"/>
      <c r="BZ215" s="182"/>
      <c r="CA215" s="182"/>
      <c r="CB215" s="182"/>
      <c r="CC215" s="182"/>
      <c r="CD215" s="182"/>
      <c r="CE215" s="182"/>
      <c r="CF215" s="182"/>
      <c r="CG215" s="182"/>
      <c r="CH215" s="182"/>
      <c r="CI215" s="182"/>
      <c r="CJ215" s="182"/>
      <c r="CK215" s="182"/>
      <c r="CL215" s="182"/>
      <c r="CM215" s="182"/>
      <c r="CN215" s="182"/>
      <c r="CO215" s="182"/>
      <c r="CP215" s="182"/>
      <c r="CQ215" s="182"/>
      <c r="CR215" s="182"/>
      <c r="CS215" s="182"/>
      <c r="CT215" s="182"/>
      <c r="CU215" s="182"/>
      <c r="CV215" s="182"/>
      <c r="CW215" s="182"/>
      <c r="CX215" s="182"/>
      <c r="CY215" s="182"/>
      <c r="CZ215" s="182"/>
      <c r="DA215" s="182"/>
      <c r="DB215" s="182"/>
      <c r="DC215" s="182"/>
      <c r="DD215" s="182"/>
      <c r="DE215" s="182"/>
      <c r="DF215" s="182"/>
      <c r="DG215" s="182"/>
      <c r="DH215" s="182"/>
      <c r="DI215" s="182"/>
      <c r="DJ215" s="182"/>
      <c r="DK215" s="182"/>
      <c r="DL215" s="182"/>
      <c r="DM215" s="182"/>
      <c r="DN215" s="182"/>
      <c r="DO215" s="182"/>
      <c r="DP215" s="182"/>
      <c r="DQ215" s="182"/>
      <c r="DR215" s="182"/>
      <c r="DS215" s="182"/>
      <c r="DT215" s="182"/>
      <c r="DU215" s="182"/>
      <c r="DV215" s="182"/>
      <c r="DW215" s="182"/>
      <c r="DX215" s="182"/>
      <c r="DY215" s="182"/>
      <c r="DZ215" s="182"/>
      <c r="EA215" s="182"/>
      <c r="EB215" s="182"/>
      <c r="EC215" s="182"/>
      <c r="ED215" s="182"/>
      <c r="EE215" s="182"/>
      <c r="EF215" s="182"/>
      <c r="EG215" s="182"/>
      <c r="EH215" s="182"/>
      <c r="EI215" s="182"/>
      <c r="EJ215" s="182"/>
      <c r="EK215" s="182"/>
      <c r="EL215" s="182"/>
      <c r="EM215" s="182"/>
      <c r="EN215" s="182"/>
      <c r="EO215" s="182"/>
      <c r="EP215" s="182"/>
      <c r="EQ215" s="182"/>
      <c r="ER215" s="182"/>
      <c r="ES215" s="182"/>
      <c r="ET215" s="182"/>
      <c r="EU215" s="182"/>
      <c r="EV215" s="182"/>
      <c r="EW215" s="182"/>
      <c r="EX215" s="182"/>
      <c r="EY215" s="182"/>
      <c r="EZ215" s="182"/>
      <c r="FA215" s="182"/>
      <c r="FB215" s="182"/>
      <c r="FC215" s="182"/>
      <c r="FD215" s="182"/>
      <c r="FE215" s="182"/>
      <c r="FF215" s="182"/>
      <c r="FG215" s="182"/>
      <c r="FH215" s="182"/>
      <c r="FI215" s="182"/>
      <c r="FJ215" s="182"/>
      <c r="FK215" s="182"/>
      <c r="FL215" s="182"/>
      <c r="FM215" s="182"/>
      <c r="FN215" s="182"/>
      <c r="FO215" s="182"/>
      <c r="FP215" s="182"/>
      <c r="FQ215" s="182"/>
      <c r="FR215" s="182"/>
      <c r="FS215" s="182"/>
      <c r="FT215" s="182"/>
      <c r="FU215" s="182"/>
      <c r="FV215" s="182"/>
      <c r="FW215" s="182"/>
      <c r="FX215" s="182"/>
      <c r="FY215" s="182"/>
      <c r="FZ215" s="182"/>
      <c r="GA215" s="182"/>
      <c r="GB215" s="182"/>
      <c r="GC215" s="182"/>
      <c r="GD215" s="182"/>
      <c r="GE215" s="182"/>
      <c r="GF215" s="182"/>
      <c r="GG215" s="182"/>
      <c r="GH215" s="182"/>
      <c r="GI215" s="182"/>
    </row>
    <row r="216" spans="1:191" s="183" customFormat="1" ht="25.5" x14ac:dyDescent="0.2">
      <c r="A216" s="210" t="s">
        <v>38521</v>
      </c>
      <c r="B216" s="210" t="s">
        <v>19064</v>
      </c>
      <c r="C216" s="224" t="s">
        <v>22326</v>
      </c>
      <c r="D216" s="211" t="s">
        <v>16</v>
      </c>
      <c r="E216" s="211">
        <v>1</v>
      </c>
      <c r="F216" s="211"/>
      <c r="G216" s="211">
        <v>0.3</v>
      </c>
      <c r="H216" s="212"/>
      <c r="I216" s="213"/>
      <c r="J216" s="272">
        <v>1608.91</v>
      </c>
      <c r="K216" s="112">
        <f t="shared" si="17"/>
        <v>1608.91</v>
      </c>
      <c r="L216" s="273">
        <f>BDI!$E$17</f>
        <v>0.11260000000000001</v>
      </c>
      <c r="M216" s="213"/>
      <c r="N216" s="213"/>
      <c r="O216" s="114">
        <f t="shared" si="18"/>
        <v>1790.07</v>
      </c>
      <c r="P216" s="113">
        <f t="shared" si="19"/>
        <v>537.02</v>
      </c>
      <c r="Q216" s="209"/>
      <c r="R216" s="203"/>
      <c r="S216" s="182"/>
      <c r="T216" s="182"/>
      <c r="U216" s="182"/>
      <c r="V216" s="182"/>
      <c r="W216" s="182"/>
      <c r="X216" s="182"/>
      <c r="Y216" s="182"/>
      <c r="Z216" s="182"/>
      <c r="AA216" s="182"/>
      <c r="AB216" s="182"/>
      <c r="AC216" s="182"/>
      <c r="AD216" s="182"/>
      <c r="AE216" s="182"/>
      <c r="AF216" s="182"/>
      <c r="AG216" s="182"/>
      <c r="AH216" s="182"/>
      <c r="AI216" s="182"/>
      <c r="AJ216" s="182"/>
      <c r="AK216" s="182"/>
      <c r="AL216" s="182"/>
      <c r="AM216" s="182"/>
      <c r="AN216" s="182"/>
      <c r="AO216" s="182"/>
      <c r="AP216" s="182"/>
      <c r="AQ216" s="182"/>
      <c r="AR216" s="182"/>
      <c r="AS216" s="182"/>
      <c r="AT216" s="182"/>
      <c r="AU216" s="182"/>
      <c r="AV216" s="182"/>
      <c r="AW216" s="182"/>
      <c r="AX216" s="182"/>
      <c r="AY216" s="182"/>
      <c r="AZ216" s="182"/>
      <c r="BA216" s="182"/>
      <c r="BB216" s="182"/>
      <c r="BC216" s="182"/>
      <c r="BD216" s="182"/>
      <c r="BE216" s="182"/>
      <c r="BF216" s="182"/>
      <c r="BG216" s="182"/>
      <c r="BH216" s="182"/>
      <c r="BI216" s="182"/>
      <c r="BJ216" s="182"/>
      <c r="BK216" s="182"/>
      <c r="BL216" s="182"/>
      <c r="BM216" s="182"/>
      <c r="BN216" s="182"/>
      <c r="BO216" s="182"/>
      <c r="BP216" s="182"/>
      <c r="BQ216" s="182"/>
      <c r="BR216" s="182"/>
      <c r="BS216" s="182"/>
      <c r="BT216" s="182"/>
      <c r="BU216" s="182"/>
      <c r="BV216" s="182"/>
      <c r="BW216" s="182"/>
      <c r="BX216" s="182"/>
      <c r="BY216" s="182"/>
      <c r="BZ216" s="182"/>
      <c r="CA216" s="182"/>
      <c r="CB216" s="182"/>
      <c r="CC216" s="182"/>
      <c r="CD216" s="182"/>
      <c r="CE216" s="182"/>
      <c r="CF216" s="182"/>
      <c r="CG216" s="182"/>
      <c r="CH216" s="182"/>
      <c r="CI216" s="182"/>
      <c r="CJ216" s="182"/>
      <c r="CK216" s="182"/>
      <c r="CL216" s="182"/>
      <c r="CM216" s="182"/>
      <c r="CN216" s="182"/>
      <c r="CO216" s="182"/>
      <c r="CP216" s="182"/>
      <c r="CQ216" s="182"/>
      <c r="CR216" s="182"/>
      <c r="CS216" s="182"/>
      <c r="CT216" s="182"/>
      <c r="CU216" s="182"/>
      <c r="CV216" s="182"/>
      <c r="CW216" s="182"/>
      <c r="CX216" s="182"/>
      <c r="CY216" s="182"/>
      <c r="CZ216" s="182"/>
      <c r="DA216" s="182"/>
      <c r="DB216" s="182"/>
      <c r="DC216" s="182"/>
      <c r="DD216" s="182"/>
      <c r="DE216" s="182"/>
      <c r="DF216" s="182"/>
      <c r="DG216" s="182"/>
      <c r="DH216" s="182"/>
      <c r="DI216" s="182"/>
      <c r="DJ216" s="182"/>
      <c r="DK216" s="182"/>
      <c r="DL216" s="182"/>
      <c r="DM216" s="182"/>
      <c r="DN216" s="182"/>
      <c r="DO216" s="182"/>
      <c r="DP216" s="182"/>
      <c r="DQ216" s="182"/>
      <c r="DR216" s="182"/>
      <c r="DS216" s="182"/>
      <c r="DT216" s="182"/>
      <c r="DU216" s="182"/>
      <c r="DV216" s="182"/>
      <c r="DW216" s="182"/>
      <c r="DX216" s="182"/>
      <c r="DY216" s="182"/>
      <c r="DZ216" s="182"/>
      <c r="EA216" s="182"/>
      <c r="EB216" s="182"/>
      <c r="EC216" s="182"/>
      <c r="ED216" s="182"/>
      <c r="EE216" s="182"/>
      <c r="EF216" s="182"/>
      <c r="EG216" s="182"/>
      <c r="EH216" s="182"/>
      <c r="EI216" s="182"/>
      <c r="EJ216" s="182"/>
      <c r="EK216" s="182"/>
      <c r="EL216" s="182"/>
      <c r="EM216" s="182"/>
      <c r="EN216" s="182"/>
      <c r="EO216" s="182"/>
      <c r="EP216" s="182"/>
      <c r="EQ216" s="182"/>
      <c r="ER216" s="182"/>
      <c r="ES216" s="182"/>
      <c r="ET216" s="182"/>
      <c r="EU216" s="182"/>
      <c r="EV216" s="182"/>
      <c r="EW216" s="182"/>
      <c r="EX216" s="182"/>
      <c r="EY216" s="182"/>
      <c r="EZ216" s="182"/>
      <c r="FA216" s="182"/>
      <c r="FB216" s="182"/>
      <c r="FC216" s="182"/>
      <c r="FD216" s="182"/>
      <c r="FE216" s="182"/>
      <c r="FF216" s="182"/>
      <c r="FG216" s="182"/>
      <c r="FH216" s="182"/>
      <c r="FI216" s="182"/>
      <c r="FJ216" s="182"/>
      <c r="FK216" s="182"/>
      <c r="FL216" s="182"/>
      <c r="FM216" s="182"/>
      <c r="FN216" s="182"/>
      <c r="FO216" s="182"/>
      <c r="FP216" s="182"/>
      <c r="FQ216" s="182"/>
      <c r="FR216" s="182"/>
      <c r="FS216" s="182"/>
      <c r="FT216" s="182"/>
      <c r="FU216" s="182"/>
      <c r="FV216" s="182"/>
      <c r="FW216" s="182"/>
      <c r="FX216" s="182"/>
      <c r="FY216" s="182"/>
      <c r="FZ216" s="182"/>
      <c r="GA216" s="182"/>
      <c r="GB216" s="182"/>
      <c r="GC216" s="182"/>
      <c r="GD216" s="182"/>
      <c r="GE216" s="182"/>
      <c r="GF216" s="182"/>
      <c r="GG216" s="182"/>
      <c r="GH216" s="182"/>
      <c r="GI216" s="182"/>
    </row>
    <row r="217" spans="1:191" s="183" customFormat="1" ht="25.5" x14ac:dyDescent="0.2">
      <c r="A217" s="210" t="s">
        <v>38522</v>
      </c>
      <c r="B217" s="210" t="s">
        <v>19065</v>
      </c>
      <c r="C217" s="224" t="s">
        <v>22327</v>
      </c>
      <c r="D217" s="211" t="s">
        <v>16</v>
      </c>
      <c r="E217" s="211">
        <v>5</v>
      </c>
      <c r="F217" s="211"/>
      <c r="G217" s="211">
        <v>0.3</v>
      </c>
      <c r="H217" s="212"/>
      <c r="I217" s="213"/>
      <c r="J217" s="272">
        <v>2088.0500000000002</v>
      </c>
      <c r="K217" s="112">
        <f t="shared" si="17"/>
        <v>10440.25</v>
      </c>
      <c r="L217" s="273">
        <f>BDI!$E$17</f>
        <v>0.11260000000000001</v>
      </c>
      <c r="M217" s="213"/>
      <c r="N217" s="213"/>
      <c r="O217" s="114">
        <f t="shared" si="18"/>
        <v>2323.16</v>
      </c>
      <c r="P217" s="113">
        <f t="shared" si="19"/>
        <v>3484.74</v>
      </c>
      <c r="Q217" s="209"/>
      <c r="R217" s="203"/>
      <c r="S217" s="182"/>
      <c r="T217" s="182"/>
      <c r="U217" s="182"/>
      <c r="V217" s="182"/>
      <c r="W217" s="182"/>
      <c r="X217" s="182"/>
      <c r="Y217" s="182"/>
      <c r="Z217" s="182"/>
      <c r="AA217" s="182"/>
      <c r="AB217" s="182"/>
      <c r="AC217" s="182"/>
      <c r="AD217" s="182"/>
      <c r="AE217" s="182"/>
      <c r="AF217" s="182"/>
      <c r="AG217" s="182"/>
      <c r="AH217" s="182"/>
      <c r="AI217" s="182"/>
      <c r="AJ217" s="182"/>
      <c r="AK217" s="182"/>
      <c r="AL217" s="182"/>
      <c r="AM217" s="182"/>
      <c r="AN217" s="182"/>
      <c r="AO217" s="182"/>
      <c r="AP217" s="182"/>
      <c r="AQ217" s="182"/>
      <c r="AR217" s="182"/>
      <c r="AS217" s="182"/>
      <c r="AT217" s="182"/>
      <c r="AU217" s="182"/>
      <c r="AV217" s="182"/>
      <c r="AW217" s="182"/>
      <c r="AX217" s="182"/>
      <c r="AY217" s="182"/>
      <c r="AZ217" s="182"/>
      <c r="BA217" s="182"/>
      <c r="BB217" s="182"/>
      <c r="BC217" s="182"/>
      <c r="BD217" s="182"/>
      <c r="BE217" s="182"/>
      <c r="BF217" s="182"/>
      <c r="BG217" s="182"/>
      <c r="BH217" s="182"/>
      <c r="BI217" s="182"/>
      <c r="BJ217" s="182"/>
      <c r="BK217" s="182"/>
      <c r="BL217" s="182"/>
      <c r="BM217" s="182"/>
      <c r="BN217" s="182"/>
      <c r="BO217" s="182"/>
      <c r="BP217" s="182"/>
      <c r="BQ217" s="182"/>
      <c r="BR217" s="182"/>
      <c r="BS217" s="182"/>
      <c r="BT217" s="182"/>
      <c r="BU217" s="182"/>
      <c r="BV217" s="182"/>
      <c r="BW217" s="182"/>
      <c r="BX217" s="182"/>
      <c r="BY217" s="182"/>
      <c r="BZ217" s="182"/>
      <c r="CA217" s="182"/>
      <c r="CB217" s="182"/>
      <c r="CC217" s="182"/>
      <c r="CD217" s="182"/>
      <c r="CE217" s="182"/>
      <c r="CF217" s="182"/>
      <c r="CG217" s="182"/>
      <c r="CH217" s="182"/>
      <c r="CI217" s="182"/>
      <c r="CJ217" s="182"/>
      <c r="CK217" s="182"/>
      <c r="CL217" s="182"/>
      <c r="CM217" s="182"/>
      <c r="CN217" s="182"/>
      <c r="CO217" s="182"/>
      <c r="CP217" s="182"/>
      <c r="CQ217" s="182"/>
      <c r="CR217" s="182"/>
      <c r="CS217" s="182"/>
      <c r="CT217" s="182"/>
      <c r="CU217" s="182"/>
      <c r="CV217" s="182"/>
      <c r="CW217" s="182"/>
      <c r="CX217" s="182"/>
      <c r="CY217" s="182"/>
      <c r="CZ217" s="182"/>
      <c r="DA217" s="182"/>
      <c r="DB217" s="182"/>
      <c r="DC217" s="182"/>
      <c r="DD217" s="182"/>
      <c r="DE217" s="182"/>
      <c r="DF217" s="182"/>
      <c r="DG217" s="182"/>
      <c r="DH217" s="182"/>
      <c r="DI217" s="182"/>
      <c r="DJ217" s="182"/>
      <c r="DK217" s="182"/>
      <c r="DL217" s="182"/>
      <c r="DM217" s="182"/>
      <c r="DN217" s="182"/>
      <c r="DO217" s="182"/>
      <c r="DP217" s="182"/>
      <c r="DQ217" s="182"/>
      <c r="DR217" s="182"/>
      <c r="DS217" s="182"/>
      <c r="DT217" s="182"/>
      <c r="DU217" s="182"/>
      <c r="DV217" s="182"/>
      <c r="DW217" s="182"/>
      <c r="DX217" s="182"/>
      <c r="DY217" s="182"/>
      <c r="DZ217" s="182"/>
      <c r="EA217" s="182"/>
      <c r="EB217" s="182"/>
      <c r="EC217" s="182"/>
      <c r="ED217" s="182"/>
      <c r="EE217" s="182"/>
      <c r="EF217" s="182"/>
      <c r="EG217" s="182"/>
      <c r="EH217" s="182"/>
      <c r="EI217" s="182"/>
      <c r="EJ217" s="182"/>
      <c r="EK217" s="182"/>
      <c r="EL217" s="182"/>
      <c r="EM217" s="182"/>
      <c r="EN217" s="182"/>
      <c r="EO217" s="182"/>
      <c r="EP217" s="182"/>
      <c r="EQ217" s="182"/>
      <c r="ER217" s="182"/>
      <c r="ES217" s="182"/>
      <c r="ET217" s="182"/>
      <c r="EU217" s="182"/>
      <c r="EV217" s="182"/>
      <c r="EW217" s="182"/>
      <c r="EX217" s="182"/>
      <c r="EY217" s="182"/>
      <c r="EZ217" s="182"/>
      <c r="FA217" s="182"/>
      <c r="FB217" s="182"/>
      <c r="FC217" s="182"/>
      <c r="FD217" s="182"/>
      <c r="FE217" s="182"/>
      <c r="FF217" s="182"/>
      <c r="FG217" s="182"/>
      <c r="FH217" s="182"/>
      <c r="FI217" s="182"/>
      <c r="FJ217" s="182"/>
      <c r="FK217" s="182"/>
      <c r="FL217" s="182"/>
      <c r="FM217" s="182"/>
      <c r="FN217" s="182"/>
      <c r="FO217" s="182"/>
      <c r="FP217" s="182"/>
      <c r="FQ217" s="182"/>
      <c r="FR217" s="182"/>
      <c r="FS217" s="182"/>
      <c r="FT217" s="182"/>
      <c r="FU217" s="182"/>
      <c r="FV217" s="182"/>
      <c r="FW217" s="182"/>
      <c r="FX217" s="182"/>
      <c r="FY217" s="182"/>
      <c r="FZ217" s="182"/>
      <c r="GA217" s="182"/>
      <c r="GB217" s="182"/>
      <c r="GC217" s="182"/>
      <c r="GD217" s="182"/>
      <c r="GE217" s="182"/>
      <c r="GF217" s="182"/>
      <c r="GG217" s="182"/>
      <c r="GH217" s="182"/>
      <c r="GI217" s="182"/>
    </row>
    <row r="218" spans="1:191" s="183" customFormat="1" ht="25.5" x14ac:dyDescent="0.2">
      <c r="A218" s="210" t="s">
        <v>38523</v>
      </c>
      <c r="B218" s="210" t="s">
        <v>19066</v>
      </c>
      <c r="C218" s="224" t="s">
        <v>22328</v>
      </c>
      <c r="D218" s="211" t="s">
        <v>16</v>
      </c>
      <c r="E218" s="211">
        <v>5</v>
      </c>
      <c r="F218" s="211"/>
      <c r="G218" s="211">
        <v>0.3</v>
      </c>
      <c r="H218" s="212"/>
      <c r="I218" s="213"/>
      <c r="J218" s="272">
        <v>2768.77</v>
      </c>
      <c r="K218" s="112">
        <f t="shared" si="17"/>
        <v>13843.85</v>
      </c>
      <c r="L218" s="273">
        <f>BDI!$E$17</f>
        <v>0.11260000000000001</v>
      </c>
      <c r="M218" s="213"/>
      <c r="N218" s="213"/>
      <c r="O218" s="114">
        <f t="shared" si="18"/>
        <v>3080.53</v>
      </c>
      <c r="P218" s="113">
        <f t="shared" si="19"/>
        <v>4620.8</v>
      </c>
      <c r="Q218" s="209"/>
      <c r="R218" s="203"/>
      <c r="S218" s="182"/>
      <c r="T218" s="182"/>
      <c r="U218" s="182"/>
      <c r="V218" s="182"/>
      <c r="W218" s="182"/>
      <c r="X218" s="182"/>
      <c r="Y218" s="182"/>
      <c r="Z218" s="182"/>
      <c r="AA218" s="182"/>
      <c r="AB218" s="182"/>
      <c r="AC218" s="182"/>
      <c r="AD218" s="182"/>
      <c r="AE218" s="182"/>
      <c r="AF218" s="182"/>
      <c r="AG218" s="182"/>
      <c r="AH218" s="182"/>
      <c r="AI218" s="182"/>
      <c r="AJ218" s="182"/>
      <c r="AK218" s="182"/>
      <c r="AL218" s="182"/>
      <c r="AM218" s="182"/>
      <c r="AN218" s="182"/>
      <c r="AO218" s="182"/>
      <c r="AP218" s="182"/>
      <c r="AQ218" s="182"/>
      <c r="AR218" s="182"/>
      <c r="AS218" s="182"/>
      <c r="AT218" s="182"/>
      <c r="AU218" s="182"/>
      <c r="AV218" s="182"/>
      <c r="AW218" s="182"/>
      <c r="AX218" s="182"/>
      <c r="AY218" s="182"/>
      <c r="AZ218" s="182"/>
      <c r="BA218" s="182"/>
      <c r="BB218" s="182"/>
      <c r="BC218" s="182"/>
      <c r="BD218" s="182"/>
      <c r="BE218" s="182"/>
      <c r="BF218" s="182"/>
      <c r="BG218" s="182"/>
      <c r="BH218" s="182"/>
      <c r="BI218" s="182"/>
      <c r="BJ218" s="182"/>
      <c r="BK218" s="182"/>
      <c r="BL218" s="182"/>
      <c r="BM218" s="182"/>
      <c r="BN218" s="182"/>
      <c r="BO218" s="182"/>
      <c r="BP218" s="182"/>
      <c r="BQ218" s="182"/>
      <c r="BR218" s="182"/>
      <c r="BS218" s="182"/>
      <c r="BT218" s="182"/>
      <c r="BU218" s="182"/>
      <c r="BV218" s="182"/>
      <c r="BW218" s="182"/>
      <c r="BX218" s="182"/>
      <c r="BY218" s="182"/>
      <c r="BZ218" s="182"/>
      <c r="CA218" s="182"/>
      <c r="CB218" s="182"/>
      <c r="CC218" s="182"/>
      <c r="CD218" s="182"/>
      <c r="CE218" s="182"/>
      <c r="CF218" s="182"/>
      <c r="CG218" s="182"/>
      <c r="CH218" s="182"/>
      <c r="CI218" s="182"/>
      <c r="CJ218" s="182"/>
      <c r="CK218" s="182"/>
      <c r="CL218" s="182"/>
      <c r="CM218" s="182"/>
      <c r="CN218" s="182"/>
      <c r="CO218" s="182"/>
      <c r="CP218" s="182"/>
      <c r="CQ218" s="182"/>
      <c r="CR218" s="182"/>
      <c r="CS218" s="182"/>
      <c r="CT218" s="182"/>
      <c r="CU218" s="182"/>
      <c r="CV218" s="182"/>
      <c r="CW218" s="182"/>
      <c r="CX218" s="182"/>
      <c r="CY218" s="182"/>
      <c r="CZ218" s="182"/>
      <c r="DA218" s="182"/>
      <c r="DB218" s="182"/>
      <c r="DC218" s="182"/>
      <c r="DD218" s="182"/>
      <c r="DE218" s="182"/>
      <c r="DF218" s="182"/>
      <c r="DG218" s="182"/>
      <c r="DH218" s="182"/>
      <c r="DI218" s="182"/>
      <c r="DJ218" s="182"/>
      <c r="DK218" s="182"/>
      <c r="DL218" s="182"/>
      <c r="DM218" s="182"/>
      <c r="DN218" s="182"/>
      <c r="DO218" s="182"/>
      <c r="DP218" s="182"/>
      <c r="DQ218" s="182"/>
      <c r="DR218" s="182"/>
      <c r="DS218" s="182"/>
      <c r="DT218" s="182"/>
      <c r="DU218" s="182"/>
      <c r="DV218" s="182"/>
      <c r="DW218" s="182"/>
      <c r="DX218" s="182"/>
      <c r="DY218" s="182"/>
      <c r="DZ218" s="182"/>
      <c r="EA218" s="182"/>
      <c r="EB218" s="182"/>
      <c r="EC218" s="182"/>
      <c r="ED218" s="182"/>
      <c r="EE218" s="182"/>
      <c r="EF218" s="182"/>
      <c r="EG218" s="182"/>
      <c r="EH218" s="182"/>
      <c r="EI218" s="182"/>
      <c r="EJ218" s="182"/>
      <c r="EK218" s="182"/>
      <c r="EL218" s="182"/>
      <c r="EM218" s="182"/>
      <c r="EN218" s="182"/>
      <c r="EO218" s="182"/>
      <c r="EP218" s="182"/>
      <c r="EQ218" s="182"/>
      <c r="ER218" s="182"/>
      <c r="ES218" s="182"/>
      <c r="ET218" s="182"/>
      <c r="EU218" s="182"/>
      <c r="EV218" s="182"/>
      <c r="EW218" s="182"/>
      <c r="EX218" s="182"/>
      <c r="EY218" s="182"/>
      <c r="EZ218" s="182"/>
      <c r="FA218" s="182"/>
      <c r="FB218" s="182"/>
      <c r="FC218" s="182"/>
      <c r="FD218" s="182"/>
      <c r="FE218" s="182"/>
      <c r="FF218" s="182"/>
      <c r="FG218" s="182"/>
      <c r="FH218" s="182"/>
      <c r="FI218" s="182"/>
      <c r="FJ218" s="182"/>
      <c r="FK218" s="182"/>
      <c r="FL218" s="182"/>
      <c r="FM218" s="182"/>
      <c r="FN218" s="182"/>
      <c r="FO218" s="182"/>
      <c r="FP218" s="182"/>
      <c r="FQ218" s="182"/>
      <c r="FR218" s="182"/>
      <c r="FS218" s="182"/>
      <c r="FT218" s="182"/>
      <c r="FU218" s="182"/>
      <c r="FV218" s="182"/>
      <c r="FW218" s="182"/>
      <c r="FX218" s="182"/>
      <c r="FY218" s="182"/>
      <c r="FZ218" s="182"/>
      <c r="GA218" s="182"/>
      <c r="GB218" s="182"/>
      <c r="GC218" s="182"/>
      <c r="GD218" s="182"/>
      <c r="GE218" s="182"/>
      <c r="GF218" s="182"/>
      <c r="GG218" s="182"/>
      <c r="GH218" s="182"/>
      <c r="GI218" s="182"/>
    </row>
    <row r="219" spans="1:191" s="183" customFormat="1" ht="25.5" x14ac:dyDescent="0.2">
      <c r="A219" s="210" t="s">
        <v>38524</v>
      </c>
      <c r="B219" s="210" t="s">
        <v>19067</v>
      </c>
      <c r="C219" s="224" t="s">
        <v>22329</v>
      </c>
      <c r="D219" s="211" t="s">
        <v>16</v>
      </c>
      <c r="E219" s="211">
        <v>5</v>
      </c>
      <c r="F219" s="211"/>
      <c r="G219" s="211">
        <v>0.3</v>
      </c>
      <c r="H219" s="212"/>
      <c r="I219" s="213"/>
      <c r="J219" s="272">
        <v>5126.83</v>
      </c>
      <c r="K219" s="112">
        <f t="shared" si="17"/>
        <v>25634.15</v>
      </c>
      <c r="L219" s="273">
        <f>BDI!$E$17</f>
        <v>0.11260000000000001</v>
      </c>
      <c r="M219" s="213"/>
      <c r="N219" s="213"/>
      <c r="O219" s="114">
        <f t="shared" si="18"/>
        <v>5704.11</v>
      </c>
      <c r="P219" s="113">
        <f t="shared" si="19"/>
        <v>8556.17</v>
      </c>
      <c r="Q219" s="209"/>
      <c r="R219" s="203"/>
      <c r="S219" s="182"/>
      <c r="T219" s="182"/>
      <c r="U219" s="182"/>
      <c r="V219" s="182"/>
      <c r="W219" s="182"/>
      <c r="X219" s="182"/>
      <c r="Y219" s="182"/>
      <c r="Z219" s="182"/>
      <c r="AA219" s="182"/>
      <c r="AB219" s="182"/>
      <c r="AC219" s="182"/>
      <c r="AD219" s="182"/>
      <c r="AE219" s="182"/>
      <c r="AF219" s="182"/>
      <c r="AG219" s="182"/>
      <c r="AH219" s="182"/>
      <c r="AI219" s="182"/>
      <c r="AJ219" s="182"/>
      <c r="AK219" s="182"/>
      <c r="AL219" s="182"/>
      <c r="AM219" s="182"/>
      <c r="AN219" s="182"/>
      <c r="AO219" s="182"/>
      <c r="AP219" s="182"/>
      <c r="AQ219" s="182"/>
      <c r="AR219" s="182"/>
      <c r="AS219" s="182"/>
      <c r="AT219" s="182"/>
      <c r="AU219" s="182"/>
      <c r="AV219" s="182"/>
      <c r="AW219" s="182"/>
      <c r="AX219" s="182"/>
      <c r="AY219" s="182"/>
      <c r="AZ219" s="182"/>
      <c r="BA219" s="182"/>
      <c r="BB219" s="182"/>
      <c r="BC219" s="182"/>
      <c r="BD219" s="182"/>
      <c r="BE219" s="182"/>
      <c r="BF219" s="182"/>
      <c r="BG219" s="182"/>
      <c r="BH219" s="182"/>
      <c r="BI219" s="182"/>
      <c r="BJ219" s="182"/>
      <c r="BK219" s="182"/>
      <c r="BL219" s="182"/>
      <c r="BM219" s="182"/>
      <c r="BN219" s="182"/>
      <c r="BO219" s="182"/>
      <c r="BP219" s="182"/>
      <c r="BQ219" s="182"/>
      <c r="BR219" s="182"/>
      <c r="BS219" s="182"/>
      <c r="BT219" s="182"/>
      <c r="BU219" s="182"/>
      <c r="BV219" s="182"/>
      <c r="BW219" s="182"/>
      <c r="BX219" s="182"/>
      <c r="BY219" s="182"/>
      <c r="BZ219" s="182"/>
      <c r="CA219" s="182"/>
      <c r="CB219" s="182"/>
      <c r="CC219" s="182"/>
      <c r="CD219" s="182"/>
      <c r="CE219" s="182"/>
      <c r="CF219" s="182"/>
      <c r="CG219" s="182"/>
      <c r="CH219" s="182"/>
      <c r="CI219" s="182"/>
      <c r="CJ219" s="182"/>
      <c r="CK219" s="182"/>
      <c r="CL219" s="182"/>
      <c r="CM219" s="182"/>
      <c r="CN219" s="182"/>
      <c r="CO219" s="182"/>
      <c r="CP219" s="182"/>
      <c r="CQ219" s="182"/>
      <c r="CR219" s="182"/>
      <c r="CS219" s="182"/>
      <c r="CT219" s="182"/>
      <c r="CU219" s="182"/>
      <c r="CV219" s="182"/>
      <c r="CW219" s="182"/>
      <c r="CX219" s="182"/>
      <c r="CY219" s="182"/>
      <c r="CZ219" s="182"/>
      <c r="DA219" s="182"/>
      <c r="DB219" s="182"/>
      <c r="DC219" s="182"/>
      <c r="DD219" s="182"/>
      <c r="DE219" s="182"/>
      <c r="DF219" s="182"/>
      <c r="DG219" s="182"/>
      <c r="DH219" s="182"/>
      <c r="DI219" s="182"/>
      <c r="DJ219" s="182"/>
      <c r="DK219" s="182"/>
      <c r="DL219" s="182"/>
      <c r="DM219" s="182"/>
      <c r="DN219" s="182"/>
      <c r="DO219" s="182"/>
      <c r="DP219" s="182"/>
      <c r="DQ219" s="182"/>
      <c r="DR219" s="182"/>
      <c r="DS219" s="182"/>
      <c r="DT219" s="182"/>
      <c r="DU219" s="182"/>
      <c r="DV219" s="182"/>
      <c r="DW219" s="182"/>
      <c r="DX219" s="182"/>
      <c r="DY219" s="182"/>
      <c r="DZ219" s="182"/>
      <c r="EA219" s="182"/>
      <c r="EB219" s="182"/>
      <c r="EC219" s="182"/>
      <c r="ED219" s="182"/>
      <c r="EE219" s="182"/>
      <c r="EF219" s="182"/>
      <c r="EG219" s="182"/>
      <c r="EH219" s="182"/>
      <c r="EI219" s="182"/>
      <c r="EJ219" s="182"/>
      <c r="EK219" s="182"/>
      <c r="EL219" s="182"/>
      <c r="EM219" s="182"/>
      <c r="EN219" s="182"/>
      <c r="EO219" s="182"/>
      <c r="EP219" s="182"/>
      <c r="EQ219" s="182"/>
      <c r="ER219" s="182"/>
      <c r="ES219" s="182"/>
      <c r="ET219" s="182"/>
      <c r="EU219" s="182"/>
      <c r="EV219" s="182"/>
      <c r="EW219" s="182"/>
      <c r="EX219" s="182"/>
      <c r="EY219" s="182"/>
      <c r="EZ219" s="182"/>
      <c r="FA219" s="182"/>
      <c r="FB219" s="182"/>
      <c r="FC219" s="182"/>
      <c r="FD219" s="182"/>
      <c r="FE219" s="182"/>
      <c r="FF219" s="182"/>
      <c r="FG219" s="182"/>
      <c r="FH219" s="182"/>
      <c r="FI219" s="182"/>
      <c r="FJ219" s="182"/>
      <c r="FK219" s="182"/>
      <c r="FL219" s="182"/>
      <c r="FM219" s="182"/>
      <c r="FN219" s="182"/>
      <c r="FO219" s="182"/>
      <c r="FP219" s="182"/>
      <c r="FQ219" s="182"/>
      <c r="FR219" s="182"/>
      <c r="FS219" s="182"/>
      <c r="FT219" s="182"/>
      <c r="FU219" s="182"/>
      <c r="FV219" s="182"/>
      <c r="FW219" s="182"/>
      <c r="FX219" s="182"/>
      <c r="FY219" s="182"/>
      <c r="FZ219" s="182"/>
      <c r="GA219" s="182"/>
      <c r="GB219" s="182"/>
      <c r="GC219" s="182"/>
      <c r="GD219" s="182"/>
      <c r="GE219" s="182"/>
      <c r="GF219" s="182"/>
      <c r="GG219" s="182"/>
      <c r="GH219" s="182"/>
      <c r="GI219" s="182"/>
    </row>
    <row r="220" spans="1:191" s="183" customFormat="1" ht="25.5" x14ac:dyDescent="0.2">
      <c r="A220" s="210" t="s">
        <v>38525</v>
      </c>
      <c r="B220" s="210" t="s">
        <v>19068</v>
      </c>
      <c r="C220" s="224" t="s">
        <v>22330</v>
      </c>
      <c r="D220" s="211" t="s">
        <v>16</v>
      </c>
      <c r="E220" s="211">
        <v>60</v>
      </c>
      <c r="F220" s="211"/>
      <c r="G220" s="211">
        <v>0.3</v>
      </c>
      <c r="H220" s="212"/>
      <c r="I220" s="213"/>
      <c r="J220" s="272">
        <v>2920.46</v>
      </c>
      <c r="K220" s="112">
        <f t="shared" si="17"/>
        <v>175227.6</v>
      </c>
      <c r="L220" s="273">
        <f>BDI!$E$17</f>
        <v>0.11260000000000001</v>
      </c>
      <c r="M220" s="213"/>
      <c r="N220" s="213"/>
      <c r="O220" s="114">
        <f t="shared" si="18"/>
        <v>3249.3</v>
      </c>
      <c r="P220" s="113">
        <f t="shared" si="19"/>
        <v>58487.4</v>
      </c>
      <c r="Q220" s="209"/>
      <c r="R220" s="203"/>
      <c r="S220" s="182"/>
      <c r="T220" s="182"/>
      <c r="U220" s="182"/>
      <c r="V220" s="182"/>
      <c r="W220" s="182"/>
      <c r="X220" s="182"/>
      <c r="Y220" s="182"/>
      <c r="Z220" s="182"/>
      <c r="AA220" s="182"/>
      <c r="AB220" s="182"/>
      <c r="AC220" s="182"/>
      <c r="AD220" s="182"/>
      <c r="AE220" s="182"/>
      <c r="AF220" s="182"/>
      <c r="AG220" s="182"/>
      <c r="AH220" s="182"/>
      <c r="AI220" s="182"/>
      <c r="AJ220" s="182"/>
      <c r="AK220" s="182"/>
      <c r="AL220" s="182"/>
      <c r="AM220" s="182"/>
      <c r="AN220" s="182"/>
      <c r="AO220" s="182"/>
      <c r="AP220" s="182"/>
      <c r="AQ220" s="182"/>
      <c r="AR220" s="182"/>
      <c r="AS220" s="182"/>
      <c r="AT220" s="182"/>
      <c r="AU220" s="182"/>
      <c r="AV220" s="182"/>
      <c r="AW220" s="182"/>
      <c r="AX220" s="182"/>
      <c r="AY220" s="182"/>
      <c r="AZ220" s="182"/>
      <c r="BA220" s="182"/>
      <c r="BB220" s="182"/>
      <c r="BC220" s="182"/>
      <c r="BD220" s="182"/>
      <c r="BE220" s="182"/>
      <c r="BF220" s="182"/>
      <c r="BG220" s="182"/>
      <c r="BH220" s="182"/>
      <c r="BI220" s="182"/>
      <c r="BJ220" s="182"/>
      <c r="BK220" s="182"/>
      <c r="BL220" s="182"/>
      <c r="BM220" s="182"/>
      <c r="BN220" s="182"/>
      <c r="BO220" s="182"/>
      <c r="BP220" s="182"/>
      <c r="BQ220" s="182"/>
      <c r="BR220" s="182"/>
      <c r="BS220" s="182"/>
      <c r="BT220" s="182"/>
      <c r="BU220" s="182"/>
      <c r="BV220" s="182"/>
      <c r="BW220" s="182"/>
      <c r="BX220" s="182"/>
      <c r="BY220" s="182"/>
      <c r="BZ220" s="182"/>
      <c r="CA220" s="182"/>
      <c r="CB220" s="182"/>
      <c r="CC220" s="182"/>
      <c r="CD220" s="182"/>
      <c r="CE220" s="182"/>
      <c r="CF220" s="182"/>
      <c r="CG220" s="182"/>
      <c r="CH220" s="182"/>
      <c r="CI220" s="182"/>
      <c r="CJ220" s="182"/>
      <c r="CK220" s="182"/>
      <c r="CL220" s="182"/>
      <c r="CM220" s="182"/>
      <c r="CN220" s="182"/>
      <c r="CO220" s="182"/>
      <c r="CP220" s="182"/>
      <c r="CQ220" s="182"/>
      <c r="CR220" s="182"/>
      <c r="CS220" s="182"/>
      <c r="CT220" s="182"/>
      <c r="CU220" s="182"/>
      <c r="CV220" s="182"/>
      <c r="CW220" s="182"/>
      <c r="CX220" s="182"/>
      <c r="CY220" s="182"/>
      <c r="CZ220" s="182"/>
      <c r="DA220" s="182"/>
      <c r="DB220" s="182"/>
      <c r="DC220" s="182"/>
      <c r="DD220" s="182"/>
      <c r="DE220" s="182"/>
      <c r="DF220" s="182"/>
      <c r="DG220" s="182"/>
      <c r="DH220" s="182"/>
      <c r="DI220" s="182"/>
      <c r="DJ220" s="182"/>
      <c r="DK220" s="182"/>
      <c r="DL220" s="182"/>
      <c r="DM220" s="182"/>
      <c r="DN220" s="182"/>
      <c r="DO220" s="182"/>
      <c r="DP220" s="182"/>
      <c r="DQ220" s="182"/>
      <c r="DR220" s="182"/>
      <c r="DS220" s="182"/>
      <c r="DT220" s="182"/>
      <c r="DU220" s="182"/>
      <c r="DV220" s="182"/>
      <c r="DW220" s="182"/>
      <c r="DX220" s="182"/>
      <c r="DY220" s="182"/>
      <c r="DZ220" s="182"/>
      <c r="EA220" s="182"/>
      <c r="EB220" s="182"/>
      <c r="EC220" s="182"/>
      <c r="ED220" s="182"/>
      <c r="EE220" s="182"/>
      <c r="EF220" s="182"/>
      <c r="EG220" s="182"/>
      <c r="EH220" s="182"/>
      <c r="EI220" s="182"/>
      <c r="EJ220" s="182"/>
      <c r="EK220" s="182"/>
      <c r="EL220" s="182"/>
      <c r="EM220" s="182"/>
      <c r="EN220" s="182"/>
      <c r="EO220" s="182"/>
      <c r="EP220" s="182"/>
      <c r="EQ220" s="182"/>
      <c r="ER220" s="182"/>
      <c r="ES220" s="182"/>
      <c r="ET220" s="182"/>
      <c r="EU220" s="182"/>
      <c r="EV220" s="182"/>
      <c r="EW220" s="182"/>
      <c r="EX220" s="182"/>
      <c r="EY220" s="182"/>
      <c r="EZ220" s="182"/>
      <c r="FA220" s="182"/>
      <c r="FB220" s="182"/>
      <c r="FC220" s="182"/>
      <c r="FD220" s="182"/>
      <c r="FE220" s="182"/>
      <c r="FF220" s="182"/>
      <c r="FG220" s="182"/>
      <c r="FH220" s="182"/>
      <c r="FI220" s="182"/>
      <c r="FJ220" s="182"/>
      <c r="FK220" s="182"/>
      <c r="FL220" s="182"/>
      <c r="FM220" s="182"/>
      <c r="FN220" s="182"/>
      <c r="FO220" s="182"/>
      <c r="FP220" s="182"/>
      <c r="FQ220" s="182"/>
      <c r="FR220" s="182"/>
      <c r="FS220" s="182"/>
      <c r="FT220" s="182"/>
      <c r="FU220" s="182"/>
      <c r="FV220" s="182"/>
      <c r="FW220" s="182"/>
      <c r="FX220" s="182"/>
      <c r="FY220" s="182"/>
      <c r="FZ220" s="182"/>
      <c r="GA220" s="182"/>
      <c r="GB220" s="182"/>
      <c r="GC220" s="182"/>
      <c r="GD220" s="182"/>
      <c r="GE220" s="182"/>
      <c r="GF220" s="182"/>
      <c r="GG220" s="182"/>
      <c r="GH220" s="182"/>
      <c r="GI220" s="182"/>
    </row>
    <row r="221" spans="1:191" s="183" customFormat="1" ht="25.5" x14ac:dyDescent="0.2">
      <c r="A221" s="210" t="s">
        <v>38526</v>
      </c>
      <c r="B221" s="210" t="s">
        <v>19069</v>
      </c>
      <c r="C221" s="224" t="s">
        <v>22331</v>
      </c>
      <c r="D221" s="211" t="s">
        <v>16</v>
      </c>
      <c r="E221" s="211">
        <v>8</v>
      </c>
      <c r="F221" s="211"/>
      <c r="G221" s="211">
        <v>0.3</v>
      </c>
      <c r="H221" s="212"/>
      <c r="I221" s="213"/>
      <c r="J221" s="272">
        <v>3842.1</v>
      </c>
      <c r="K221" s="112">
        <f t="shared" si="17"/>
        <v>30736.799999999999</v>
      </c>
      <c r="L221" s="273">
        <f>BDI!$E$17</f>
        <v>0.11260000000000001</v>
      </c>
      <c r="M221" s="213"/>
      <c r="N221" s="213"/>
      <c r="O221" s="114">
        <f t="shared" si="18"/>
        <v>4274.72</v>
      </c>
      <c r="P221" s="113">
        <f t="shared" si="19"/>
        <v>10259.33</v>
      </c>
      <c r="Q221" s="209"/>
      <c r="R221" s="203"/>
      <c r="S221" s="182"/>
      <c r="T221" s="182"/>
      <c r="U221" s="182"/>
      <c r="V221" s="182"/>
      <c r="W221" s="182"/>
      <c r="X221" s="182"/>
      <c r="Y221" s="182"/>
      <c r="Z221" s="182"/>
      <c r="AA221" s="182"/>
      <c r="AB221" s="182"/>
      <c r="AC221" s="182"/>
      <c r="AD221" s="182"/>
      <c r="AE221" s="182"/>
      <c r="AF221" s="182"/>
      <c r="AG221" s="182"/>
      <c r="AH221" s="182"/>
      <c r="AI221" s="182"/>
      <c r="AJ221" s="182"/>
      <c r="AK221" s="182"/>
      <c r="AL221" s="182"/>
      <c r="AM221" s="182"/>
      <c r="AN221" s="182"/>
      <c r="AO221" s="182"/>
      <c r="AP221" s="182"/>
      <c r="AQ221" s="182"/>
      <c r="AR221" s="182"/>
      <c r="AS221" s="182"/>
      <c r="AT221" s="182"/>
      <c r="AU221" s="182"/>
      <c r="AV221" s="182"/>
      <c r="AW221" s="182"/>
      <c r="AX221" s="182"/>
      <c r="AY221" s="182"/>
      <c r="AZ221" s="182"/>
      <c r="BA221" s="182"/>
      <c r="BB221" s="182"/>
      <c r="BC221" s="182"/>
      <c r="BD221" s="182"/>
      <c r="BE221" s="182"/>
      <c r="BF221" s="182"/>
      <c r="BG221" s="182"/>
      <c r="BH221" s="182"/>
      <c r="BI221" s="182"/>
      <c r="BJ221" s="182"/>
      <c r="BK221" s="182"/>
      <c r="BL221" s="182"/>
      <c r="BM221" s="182"/>
      <c r="BN221" s="182"/>
      <c r="BO221" s="182"/>
      <c r="BP221" s="182"/>
      <c r="BQ221" s="182"/>
      <c r="BR221" s="182"/>
      <c r="BS221" s="182"/>
      <c r="BT221" s="182"/>
      <c r="BU221" s="182"/>
      <c r="BV221" s="182"/>
      <c r="BW221" s="182"/>
      <c r="BX221" s="182"/>
      <c r="BY221" s="182"/>
      <c r="BZ221" s="182"/>
      <c r="CA221" s="182"/>
      <c r="CB221" s="182"/>
      <c r="CC221" s="182"/>
      <c r="CD221" s="182"/>
      <c r="CE221" s="182"/>
      <c r="CF221" s="182"/>
      <c r="CG221" s="182"/>
      <c r="CH221" s="182"/>
      <c r="CI221" s="182"/>
      <c r="CJ221" s="182"/>
      <c r="CK221" s="182"/>
      <c r="CL221" s="182"/>
      <c r="CM221" s="182"/>
      <c r="CN221" s="182"/>
      <c r="CO221" s="182"/>
      <c r="CP221" s="182"/>
      <c r="CQ221" s="182"/>
      <c r="CR221" s="182"/>
      <c r="CS221" s="182"/>
      <c r="CT221" s="182"/>
      <c r="CU221" s="182"/>
      <c r="CV221" s="182"/>
      <c r="CW221" s="182"/>
      <c r="CX221" s="182"/>
      <c r="CY221" s="182"/>
      <c r="CZ221" s="182"/>
      <c r="DA221" s="182"/>
      <c r="DB221" s="182"/>
      <c r="DC221" s="182"/>
      <c r="DD221" s="182"/>
      <c r="DE221" s="182"/>
      <c r="DF221" s="182"/>
      <c r="DG221" s="182"/>
      <c r="DH221" s="182"/>
      <c r="DI221" s="182"/>
      <c r="DJ221" s="182"/>
      <c r="DK221" s="182"/>
      <c r="DL221" s="182"/>
      <c r="DM221" s="182"/>
      <c r="DN221" s="182"/>
      <c r="DO221" s="182"/>
      <c r="DP221" s="182"/>
      <c r="DQ221" s="182"/>
      <c r="DR221" s="182"/>
      <c r="DS221" s="182"/>
      <c r="DT221" s="182"/>
      <c r="DU221" s="182"/>
      <c r="DV221" s="182"/>
      <c r="DW221" s="182"/>
      <c r="DX221" s="182"/>
      <c r="DY221" s="182"/>
      <c r="DZ221" s="182"/>
      <c r="EA221" s="182"/>
      <c r="EB221" s="182"/>
      <c r="EC221" s="182"/>
      <c r="ED221" s="182"/>
      <c r="EE221" s="182"/>
      <c r="EF221" s="182"/>
      <c r="EG221" s="182"/>
      <c r="EH221" s="182"/>
      <c r="EI221" s="182"/>
      <c r="EJ221" s="182"/>
      <c r="EK221" s="182"/>
      <c r="EL221" s="182"/>
      <c r="EM221" s="182"/>
      <c r="EN221" s="182"/>
      <c r="EO221" s="182"/>
      <c r="EP221" s="182"/>
      <c r="EQ221" s="182"/>
      <c r="ER221" s="182"/>
      <c r="ES221" s="182"/>
      <c r="ET221" s="182"/>
      <c r="EU221" s="182"/>
      <c r="EV221" s="182"/>
      <c r="EW221" s="182"/>
      <c r="EX221" s="182"/>
      <c r="EY221" s="182"/>
      <c r="EZ221" s="182"/>
      <c r="FA221" s="182"/>
      <c r="FB221" s="182"/>
      <c r="FC221" s="182"/>
      <c r="FD221" s="182"/>
      <c r="FE221" s="182"/>
      <c r="FF221" s="182"/>
      <c r="FG221" s="182"/>
      <c r="FH221" s="182"/>
      <c r="FI221" s="182"/>
      <c r="FJ221" s="182"/>
      <c r="FK221" s="182"/>
      <c r="FL221" s="182"/>
      <c r="FM221" s="182"/>
      <c r="FN221" s="182"/>
      <c r="FO221" s="182"/>
      <c r="FP221" s="182"/>
      <c r="FQ221" s="182"/>
      <c r="FR221" s="182"/>
      <c r="FS221" s="182"/>
      <c r="FT221" s="182"/>
      <c r="FU221" s="182"/>
      <c r="FV221" s="182"/>
      <c r="FW221" s="182"/>
      <c r="FX221" s="182"/>
      <c r="FY221" s="182"/>
      <c r="FZ221" s="182"/>
      <c r="GA221" s="182"/>
      <c r="GB221" s="182"/>
      <c r="GC221" s="182"/>
      <c r="GD221" s="182"/>
      <c r="GE221" s="182"/>
      <c r="GF221" s="182"/>
      <c r="GG221" s="182"/>
      <c r="GH221" s="182"/>
      <c r="GI221" s="182"/>
    </row>
    <row r="222" spans="1:191" s="183" customFormat="1" ht="25.5" x14ac:dyDescent="0.2">
      <c r="A222" s="210" t="s">
        <v>38527</v>
      </c>
      <c r="B222" s="210" t="s">
        <v>19070</v>
      </c>
      <c r="C222" s="224" t="s">
        <v>22332</v>
      </c>
      <c r="D222" s="211" t="s">
        <v>16</v>
      </c>
      <c r="E222" s="211">
        <v>24</v>
      </c>
      <c r="F222" s="211"/>
      <c r="G222" s="211">
        <v>0.3</v>
      </c>
      <c r="H222" s="212"/>
      <c r="I222" s="213"/>
      <c r="J222" s="272">
        <v>4518.87</v>
      </c>
      <c r="K222" s="112">
        <f t="shared" si="17"/>
        <v>108452.88</v>
      </c>
      <c r="L222" s="273">
        <f>BDI!$E$17</f>
        <v>0.11260000000000001</v>
      </c>
      <c r="M222" s="213"/>
      <c r="N222" s="213"/>
      <c r="O222" s="114">
        <f t="shared" si="18"/>
        <v>5027.6899999999996</v>
      </c>
      <c r="P222" s="113">
        <f t="shared" si="19"/>
        <v>36199.370000000003</v>
      </c>
      <c r="Q222" s="209"/>
      <c r="R222" s="203"/>
      <c r="S222" s="182"/>
      <c r="T222" s="182"/>
      <c r="U222" s="182"/>
      <c r="V222" s="182"/>
      <c r="W222" s="182"/>
      <c r="X222" s="182"/>
      <c r="Y222" s="182"/>
      <c r="Z222" s="182"/>
      <c r="AA222" s="182"/>
      <c r="AB222" s="182"/>
      <c r="AC222" s="182"/>
      <c r="AD222" s="182"/>
      <c r="AE222" s="182"/>
      <c r="AF222" s="182"/>
      <c r="AG222" s="182"/>
      <c r="AH222" s="182"/>
      <c r="AI222" s="182"/>
      <c r="AJ222" s="182"/>
      <c r="AK222" s="182"/>
      <c r="AL222" s="182"/>
      <c r="AM222" s="182"/>
      <c r="AN222" s="182"/>
      <c r="AO222" s="182"/>
      <c r="AP222" s="182"/>
      <c r="AQ222" s="182"/>
      <c r="AR222" s="182"/>
      <c r="AS222" s="182"/>
      <c r="AT222" s="182"/>
      <c r="AU222" s="182"/>
      <c r="AV222" s="182"/>
      <c r="AW222" s="182"/>
      <c r="AX222" s="182"/>
      <c r="AY222" s="182"/>
      <c r="AZ222" s="182"/>
      <c r="BA222" s="182"/>
      <c r="BB222" s="182"/>
      <c r="BC222" s="182"/>
      <c r="BD222" s="182"/>
      <c r="BE222" s="182"/>
      <c r="BF222" s="182"/>
      <c r="BG222" s="182"/>
      <c r="BH222" s="182"/>
      <c r="BI222" s="182"/>
      <c r="BJ222" s="182"/>
      <c r="BK222" s="182"/>
      <c r="BL222" s="182"/>
      <c r="BM222" s="182"/>
      <c r="BN222" s="182"/>
      <c r="BO222" s="182"/>
      <c r="BP222" s="182"/>
      <c r="BQ222" s="182"/>
      <c r="BR222" s="182"/>
      <c r="BS222" s="182"/>
      <c r="BT222" s="182"/>
      <c r="BU222" s="182"/>
      <c r="BV222" s="182"/>
      <c r="BW222" s="182"/>
      <c r="BX222" s="182"/>
      <c r="BY222" s="182"/>
      <c r="BZ222" s="182"/>
      <c r="CA222" s="182"/>
      <c r="CB222" s="182"/>
      <c r="CC222" s="182"/>
      <c r="CD222" s="182"/>
      <c r="CE222" s="182"/>
      <c r="CF222" s="182"/>
      <c r="CG222" s="182"/>
      <c r="CH222" s="182"/>
      <c r="CI222" s="182"/>
      <c r="CJ222" s="182"/>
      <c r="CK222" s="182"/>
      <c r="CL222" s="182"/>
      <c r="CM222" s="182"/>
      <c r="CN222" s="182"/>
      <c r="CO222" s="182"/>
      <c r="CP222" s="182"/>
      <c r="CQ222" s="182"/>
      <c r="CR222" s="182"/>
      <c r="CS222" s="182"/>
      <c r="CT222" s="182"/>
      <c r="CU222" s="182"/>
      <c r="CV222" s="182"/>
      <c r="CW222" s="182"/>
      <c r="CX222" s="182"/>
      <c r="CY222" s="182"/>
      <c r="CZ222" s="182"/>
      <c r="DA222" s="182"/>
      <c r="DB222" s="182"/>
      <c r="DC222" s="182"/>
      <c r="DD222" s="182"/>
      <c r="DE222" s="182"/>
      <c r="DF222" s="182"/>
      <c r="DG222" s="182"/>
      <c r="DH222" s="182"/>
      <c r="DI222" s="182"/>
      <c r="DJ222" s="182"/>
      <c r="DK222" s="182"/>
      <c r="DL222" s="182"/>
      <c r="DM222" s="182"/>
      <c r="DN222" s="182"/>
      <c r="DO222" s="182"/>
      <c r="DP222" s="182"/>
      <c r="DQ222" s="182"/>
      <c r="DR222" s="182"/>
      <c r="DS222" s="182"/>
      <c r="DT222" s="182"/>
      <c r="DU222" s="182"/>
      <c r="DV222" s="182"/>
      <c r="DW222" s="182"/>
      <c r="DX222" s="182"/>
      <c r="DY222" s="182"/>
      <c r="DZ222" s="182"/>
      <c r="EA222" s="182"/>
      <c r="EB222" s="182"/>
      <c r="EC222" s="182"/>
      <c r="ED222" s="182"/>
      <c r="EE222" s="182"/>
      <c r="EF222" s="182"/>
      <c r="EG222" s="182"/>
      <c r="EH222" s="182"/>
      <c r="EI222" s="182"/>
      <c r="EJ222" s="182"/>
      <c r="EK222" s="182"/>
      <c r="EL222" s="182"/>
      <c r="EM222" s="182"/>
      <c r="EN222" s="182"/>
      <c r="EO222" s="182"/>
      <c r="EP222" s="182"/>
      <c r="EQ222" s="182"/>
      <c r="ER222" s="182"/>
      <c r="ES222" s="182"/>
      <c r="ET222" s="182"/>
      <c r="EU222" s="182"/>
      <c r="EV222" s="182"/>
      <c r="EW222" s="182"/>
      <c r="EX222" s="182"/>
      <c r="EY222" s="182"/>
      <c r="EZ222" s="182"/>
      <c r="FA222" s="182"/>
      <c r="FB222" s="182"/>
      <c r="FC222" s="182"/>
      <c r="FD222" s="182"/>
      <c r="FE222" s="182"/>
      <c r="FF222" s="182"/>
      <c r="FG222" s="182"/>
      <c r="FH222" s="182"/>
      <c r="FI222" s="182"/>
      <c r="FJ222" s="182"/>
      <c r="FK222" s="182"/>
      <c r="FL222" s="182"/>
      <c r="FM222" s="182"/>
      <c r="FN222" s="182"/>
      <c r="FO222" s="182"/>
      <c r="FP222" s="182"/>
      <c r="FQ222" s="182"/>
      <c r="FR222" s="182"/>
      <c r="FS222" s="182"/>
      <c r="FT222" s="182"/>
      <c r="FU222" s="182"/>
      <c r="FV222" s="182"/>
      <c r="FW222" s="182"/>
      <c r="FX222" s="182"/>
      <c r="FY222" s="182"/>
      <c r="FZ222" s="182"/>
      <c r="GA222" s="182"/>
      <c r="GB222" s="182"/>
      <c r="GC222" s="182"/>
      <c r="GD222" s="182"/>
      <c r="GE222" s="182"/>
      <c r="GF222" s="182"/>
      <c r="GG222" s="182"/>
      <c r="GH222" s="182"/>
      <c r="GI222" s="182"/>
    </row>
    <row r="223" spans="1:191" s="183" customFormat="1" ht="25.5" x14ac:dyDescent="0.2">
      <c r="A223" s="210" t="s">
        <v>38528</v>
      </c>
      <c r="B223" s="210" t="s">
        <v>19071</v>
      </c>
      <c r="C223" s="224" t="s">
        <v>22333</v>
      </c>
      <c r="D223" s="211" t="s">
        <v>16</v>
      </c>
      <c r="E223" s="211">
        <v>10</v>
      </c>
      <c r="F223" s="211"/>
      <c r="G223" s="211">
        <v>0.3</v>
      </c>
      <c r="H223" s="212"/>
      <c r="I223" s="213"/>
      <c r="J223" s="272">
        <v>4813.24</v>
      </c>
      <c r="K223" s="112">
        <f t="shared" si="17"/>
        <v>48132.4</v>
      </c>
      <c r="L223" s="273">
        <f>BDI!$E$17</f>
        <v>0.11260000000000001</v>
      </c>
      <c r="M223" s="213"/>
      <c r="N223" s="213"/>
      <c r="O223" s="114">
        <f t="shared" si="18"/>
        <v>5355.21</v>
      </c>
      <c r="P223" s="113">
        <f t="shared" si="19"/>
        <v>16065.63</v>
      </c>
      <c r="Q223" s="209"/>
      <c r="R223" s="203"/>
      <c r="S223" s="182"/>
      <c r="T223" s="182"/>
      <c r="U223" s="182"/>
      <c r="V223" s="182"/>
      <c r="W223" s="182"/>
      <c r="X223" s="182"/>
      <c r="Y223" s="182"/>
      <c r="Z223" s="182"/>
      <c r="AA223" s="182"/>
      <c r="AB223" s="182"/>
      <c r="AC223" s="182"/>
      <c r="AD223" s="182"/>
      <c r="AE223" s="182"/>
      <c r="AF223" s="182"/>
      <c r="AG223" s="182"/>
      <c r="AH223" s="182"/>
      <c r="AI223" s="182"/>
      <c r="AJ223" s="182"/>
      <c r="AK223" s="182"/>
      <c r="AL223" s="182"/>
      <c r="AM223" s="182"/>
      <c r="AN223" s="182"/>
      <c r="AO223" s="182"/>
      <c r="AP223" s="182"/>
      <c r="AQ223" s="182"/>
      <c r="AR223" s="182"/>
      <c r="AS223" s="182"/>
      <c r="AT223" s="182"/>
      <c r="AU223" s="182"/>
      <c r="AV223" s="182"/>
      <c r="AW223" s="182"/>
      <c r="AX223" s="182"/>
      <c r="AY223" s="182"/>
      <c r="AZ223" s="182"/>
      <c r="BA223" s="182"/>
      <c r="BB223" s="182"/>
      <c r="BC223" s="182"/>
      <c r="BD223" s="182"/>
      <c r="BE223" s="182"/>
      <c r="BF223" s="182"/>
      <c r="BG223" s="182"/>
      <c r="BH223" s="182"/>
      <c r="BI223" s="182"/>
      <c r="BJ223" s="182"/>
      <c r="BK223" s="182"/>
      <c r="BL223" s="182"/>
      <c r="BM223" s="182"/>
      <c r="BN223" s="182"/>
      <c r="BO223" s="182"/>
      <c r="BP223" s="182"/>
      <c r="BQ223" s="182"/>
      <c r="BR223" s="182"/>
      <c r="BS223" s="182"/>
      <c r="BT223" s="182"/>
      <c r="BU223" s="182"/>
      <c r="BV223" s="182"/>
      <c r="BW223" s="182"/>
      <c r="BX223" s="182"/>
      <c r="BY223" s="182"/>
      <c r="BZ223" s="182"/>
      <c r="CA223" s="182"/>
      <c r="CB223" s="182"/>
      <c r="CC223" s="182"/>
      <c r="CD223" s="182"/>
      <c r="CE223" s="182"/>
      <c r="CF223" s="182"/>
      <c r="CG223" s="182"/>
      <c r="CH223" s="182"/>
      <c r="CI223" s="182"/>
      <c r="CJ223" s="182"/>
      <c r="CK223" s="182"/>
      <c r="CL223" s="182"/>
      <c r="CM223" s="182"/>
      <c r="CN223" s="182"/>
      <c r="CO223" s="182"/>
      <c r="CP223" s="182"/>
      <c r="CQ223" s="182"/>
      <c r="CR223" s="182"/>
      <c r="CS223" s="182"/>
      <c r="CT223" s="182"/>
      <c r="CU223" s="182"/>
      <c r="CV223" s="182"/>
      <c r="CW223" s="182"/>
      <c r="CX223" s="182"/>
      <c r="CY223" s="182"/>
      <c r="CZ223" s="182"/>
      <c r="DA223" s="182"/>
      <c r="DB223" s="182"/>
      <c r="DC223" s="182"/>
      <c r="DD223" s="182"/>
      <c r="DE223" s="182"/>
      <c r="DF223" s="182"/>
      <c r="DG223" s="182"/>
      <c r="DH223" s="182"/>
      <c r="DI223" s="182"/>
      <c r="DJ223" s="182"/>
      <c r="DK223" s="182"/>
      <c r="DL223" s="182"/>
      <c r="DM223" s="182"/>
      <c r="DN223" s="182"/>
      <c r="DO223" s="182"/>
      <c r="DP223" s="182"/>
      <c r="DQ223" s="182"/>
      <c r="DR223" s="182"/>
      <c r="DS223" s="182"/>
      <c r="DT223" s="182"/>
      <c r="DU223" s="182"/>
      <c r="DV223" s="182"/>
      <c r="DW223" s="182"/>
      <c r="DX223" s="182"/>
      <c r="DY223" s="182"/>
      <c r="DZ223" s="182"/>
      <c r="EA223" s="182"/>
      <c r="EB223" s="182"/>
      <c r="EC223" s="182"/>
      <c r="ED223" s="182"/>
      <c r="EE223" s="182"/>
      <c r="EF223" s="182"/>
      <c r="EG223" s="182"/>
      <c r="EH223" s="182"/>
      <c r="EI223" s="182"/>
      <c r="EJ223" s="182"/>
      <c r="EK223" s="182"/>
      <c r="EL223" s="182"/>
      <c r="EM223" s="182"/>
      <c r="EN223" s="182"/>
      <c r="EO223" s="182"/>
      <c r="EP223" s="182"/>
      <c r="EQ223" s="182"/>
      <c r="ER223" s="182"/>
      <c r="ES223" s="182"/>
      <c r="ET223" s="182"/>
      <c r="EU223" s="182"/>
      <c r="EV223" s="182"/>
      <c r="EW223" s="182"/>
      <c r="EX223" s="182"/>
      <c r="EY223" s="182"/>
      <c r="EZ223" s="182"/>
      <c r="FA223" s="182"/>
      <c r="FB223" s="182"/>
      <c r="FC223" s="182"/>
      <c r="FD223" s="182"/>
      <c r="FE223" s="182"/>
      <c r="FF223" s="182"/>
      <c r="FG223" s="182"/>
      <c r="FH223" s="182"/>
      <c r="FI223" s="182"/>
      <c r="FJ223" s="182"/>
      <c r="FK223" s="182"/>
      <c r="FL223" s="182"/>
      <c r="FM223" s="182"/>
      <c r="FN223" s="182"/>
      <c r="FO223" s="182"/>
      <c r="FP223" s="182"/>
      <c r="FQ223" s="182"/>
      <c r="FR223" s="182"/>
      <c r="FS223" s="182"/>
      <c r="FT223" s="182"/>
      <c r="FU223" s="182"/>
      <c r="FV223" s="182"/>
      <c r="FW223" s="182"/>
      <c r="FX223" s="182"/>
      <c r="FY223" s="182"/>
      <c r="FZ223" s="182"/>
      <c r="GA223" s="182"/>
      <c r="GB223" s="182"/>
      <c r="GC223" s="182"/>
      <c r="GD223" s="182"/>
      <c r="GE223" s="182"/>
      <c r="GF223" s="182"/>
      <c r="GG223" s="182"/>
      <c r="GH223" s="182"/>
      <c r="GI223" s="182"/>
    </row>
    <row r="224" spans="1:191" s="183" customFormat="1" ht="25.5" x14ac:dyDescent="0.2">
      <c r="A224" s="210" t="s">
        <v>38529</v>
      </c>
      <c r="B224" s="210" t="s">
        <v>19072</v>
      </c>
      <c r="C224" s="224" t="s">
        <v>22334</v>
      </c>
      <c r="D224" s="211" t="s">
        <v>16</v>
      </c>
      <c r="E224" s="211">
        <v>10</v>
      </c>
      <c r="F224" s="211"/>
      <c r="G224" s="211">
        <v>0.3</v>
      </c>
      <c r="H224" s="212"/>
      <c r="I224" s="213"/>
      <c r="J224" s="272">
        <v>5234.1400000000003</v>
      </c>
      <c r="K224" s="112">
        <f t="shared" si="17"/>
        <v>52341.4</v>
      </c>
      <c r="L224" s="273">
        <f>BDI!$E$17</f>
        <v>0.11260000000000001</v>
      </c>
      <c r="M224" s="213"/>
      <c r="N224" s="213"/>
      <c r="O224" s="114">
        <f t="shared" si="18"/>
        <v>5823.5</v>
      </c>
      <c r="P224" s="113">
        <f t="shared" si="19"/>
        <v>17470.5</v>
      </c>
      <c r="Q224" s="209"/>
      <c r="R224" s="203"/>
      <c r="S224" s="182"/>
      <c r="T224" s="182"/>
      <c r="U224" s="182"/>
      <c r="V224" s="182"/>
      <c r="W224" s="182"/>
      <c r="X224" s="182"/>
      <c r="Y224" s="182"/>
      <c r="Z224" s="182"/>
      <c r="AA224" s="182"/>
      <c r="AB224" s="182"/>
      <c r="AC224" s="182"/>
      <c r="AD224" s="182"/>
      <c r="AE224" s="182"/>
      <c r="AF224" s="182"/>
      <c r="AG224" s="182"/>
      <c r="AH224" s="182"/>
      <c r="AI224" s="182"/>
      <c r="AJ224" s="182"/>
      <c r="AK224" s="182"/>
      <c r="AL224" s="182"/>
      <c r="AM224" s="182"/>
      <c r="AN224" s="182"/>
      <c r="AO224" s="182"/>
      <c r="AP224" s="182"/>
      <c r="AQ224" s="182"/>
      <c r="AR224" s="182"/>
      <c r="AS224" s="182"/>
      <c r="AT224" s="182"/>
      <c r="AU224" s="182"/>
      <c r="AV224" s="182"/>
      <c r="AW224" s="182"/>
      <c r="AX224" s="182"/>
      <c r="AY224" s="182"/>
      <c r="AZ224" s="182"/>
      <c r="BA224" s="182"/>
      <c r="BB224" s="182"/>
      <c r="BC224" s="182"/>
      <c r="BD224" s="182"/>
      <c r="BE224" s="182"/>
      <c r="BF224" s="182"/>
      <c r="BG224" s="182"/>
      <c r="BH224" s="182"/>
      <c r="BI224" s="182"/>
      <c r="BJ224" s="182"/>
      <c r="BK224" s="182"/>
      <c r="BL224" s="182"/>
      <c r="BM224" s="182"/>
      <c r="BN224" s="182"/>
      <c r="BO224" s="182"/>
      <c r="BP224" s="182"/>
      <c r="BQ224" s="182"/>
      <c r="BR224" s="182"/>
      <c r="BS224" s="182"/>
      <c r="BT224" s="182"/>
      <c r="BU224" s="182"/>
      <c r="BV224" s="182"/>
      <c r="BW224" s="182"/>
      <c r="BX224" s="182"/>
      <c r="BY224" s="182"/>
      <c r="BZ224" s="182"/>
      <c r="CA224" s="182"/>
      <c r="CB224" s="182"/>
      <c r="CC224" s="182"/>
      <c r="CD224" s="182"/>
      <c r="CE224" s="182"/>
      <c r="CF224" s="182"/>
      <c r="CG224" s="182"/>
      <c r="CH224" s="182"/>
      <c r="CI224" s="182"/>
      <c r="CJ224" s="182"/>
      <c r="CK224" s="182"/>
      <c r="CL224" s="182"/>
      <c r="CM224" s="182"/>
      <c r="CN224" s="182"/>
      <c r="CO224" s="182"/>
      <c r="CP224" s="182"/>
      <c r="CQ224" s="182"/>
      <c r="CR224" s="182"/>
      <c r="CS224" s="182"/>
      <c r="CT224" s="182"/>
      <c r="CU224" s="182"/>
      <c r="CV224" s="182"/>
      <c r="CW224" s="182"/>
      <c r="CX224" s="182"/>
      <c r="CY224" s="182"/>
      <c r="CZ224" s="182"/>
      <c r="DA224" s="182"/>
      <c r="DB224" s="182"/>
      <c r="DC224" s="182"/>
      <c r="DD224" s="182"/>
      <c r="DE224" s="182"/>
      <c r="DF224" s="182"/>
      <c r="DG224" s="182"/>
      <c r="DH224" s="182"/>
      <c r="DI224" s="182"/>
      <c r="DJ224" s="182"/>
      <c r="DK224" s="182"/>
      <c r="DL224" s="182"/>
      <c r="DM224" s="182"/>
      <c r="DN224" s="182"/>
      <c r="DO224" s="182"/>
      <c r="DP224" s="182"/>
      <c r="DQ224" s="182"/>
      <c r="DR224" s="182"/>
      <c r="DS224" s="182"/>
      <c r="DT224" s="182"/>
      <c r="DU224" s="182"/>
      <c r="DV224" s="182"/>
      <c r="DW224" s="182"/>
      <c r="DX224" s="182"/>
      <c r="DY224" s="182"/>
      <c r="DZ224" s="182"/>
      <c r="EA224" s="182"/>
      <c r="EB224" s="182"/>
      <c r="EC224" s="182"/>
      <c r="ED224" s="182"/>
      <c r="EE224" s="182"/>
      <c r="EF224" s="182"/>
      <c r="EG224" s="182"/>
      <c r="EH224" s="182"/>
      <c r="EI224" s="182"/>
      <c r="EJ224" s="182"/>
      <c r="EK224" s="182"/>
      <c r="EL224" s="182"/>
      <c r="EM224" s="182"/>
      <c r="EN224" s="182"/>
      <c r="EO224" s="182"/>
      <c r="EP224" s="182"/>
      <c r="EQ224" s="182"/>
      <c r="ER224" s="182"/>
      <c r="ES224" s="182"/>
      <c r="ET224" s="182"/>
      <c r="EU224" s="182"/>
      <c r="EV224" s="182"/>
      <c r="EW224" s="182"/>
      <c r="EX224" s="182"/>
      <c r="EY224" s="182"/>
      <c r="EZ224" s="182"/>
      <c r="FA224" s="182"/>
      <c r="FB224" s="182"/>
      <c r="FC224" s="182"/>
      <c r="FD224" s="182"/>
      <c r="FE224" s="182"/>
      <c r="FF224" s="182"/>
      <c r="FG224" s="182"/>
      <c r="FH224" s="182"/>
      <c r="FI224" s="182"/>
      <c r="FJ224" s="182"/>
      <c r="FK224" s="182"/>
      <c r="FL224" s="182"/>
      <c r="FM224" s="182"/>
      <c r="FN224" s="182"/>
      <c r="FO224" s="182"/>
      <c r="FP224" s="182"/>
      <c r="FQ224" s="182"/>
      <c r="FR224" s="182"/>
      <c r="FS224" s="182"/>
      <c r="FT224" s="182"/>
      <c r="FU224" s="182"/>
      <c r="FV224" s="182"/>
      <c r="FW224" s="182"/>
      <c r="FX224" s="182"/>
      <c r="FY224" s="182"/>
      <c r="FZ224" s="182"/>
      <c r="GA224" s="182"/>
      <c r="GB224" s="182"/>
      <c r="GC224" s="182"/>
      <c r="GD224" s="182"/>
      <c r="GE224" s="182"/>
      <c r="GF224" s="182"/>
      <c r="GG224" s="182"/>
      <c r="GH224" s="182"/>
      <c r="GI224" s="182"/>
    </row>
    <row r="225" spans="1:191" s="183" customFormat="1" ht="25.5" x14ac:dyDescent="0.2">
      <c r="A225" s="210" t="s">
        <v>38530</v>
      </c>
      <c r="B225" s="210" t="s">
        <v>19073</v>
      </c>
      <c r="C225" s="224" t="s">
        <v>22335</v>
      </c>
      <c r="D225" s="211" t="s">
        <v>16</v>
      </c>
      <c r="E225" s="211">
        <v>10</v>
      </c>
      <c r="F225" s="211"/>
      <c r="G225" s="211">
        <v>0.3</v>
      </c>
      <c r="H225" s="212"/>
      <c r="I225" s="213"/>
      <c r="J225" s="272">
        <v>6820.81</v>
      </c>
      <c r="K225" s="112">
        <f t="shared" si="17"/>
        <v>68208.100000000006</v>
      </c>
      <c r="L225" s="273">
        <f>BDI!$E$17</f>
        <v>0.11260000000000001</v>
      </c>
      <c r="M225" s="213"/>
      <c r="N225" s="213"/>
      <c r="O225" s="114">
        <f t="shared" si="18"/>
        <v>7588.83</v>
      </c>
      <c r="P225" s="113">
        <f t="shared" si="19"/>
        <v>22766.49</v>
      </c>
      <c r="Q225" s="209"/>
      <c r="R225" s="203"/>
      <c r="S225" s="182"/>
      <c r="T225" s="182"/>
      <c r="U225" s="182"/>
      <c r="V225" s="182"/>
      <c r="W225" s="182"/>
      <c r="X225" s="182"/>
      <c r="Y225" s="182"/>
      <c r="Z225" s="182"/>
      <c r="AA225" s="182"/>
      <c r="AB225" s="182"/>
      <c r="AC225" s="182"/>
      <c r="AD225" s="182"/>
      <c r="AE225" s="182"/>
      <c r="AF225" s="182"/>
      <c r="AG225" s="182"/>
      <c r="AH225" s="182"/>
      <c r="AI225" s="182"/>
      <c r="AJ225" s="182"/>
      <c r="AK225" s="182"/>
      <c r="AL225" s="182"/>
      <c r="AM225" s="182"/>
      <c r="AN225" s="182"/>
      <c r="AO225" s="182"/>
      <c r="AP225" s="182"/>
      <c r="AQ225" s="182"/>
      <c r="AR225" s="182"/>
      <c r="AS225" s="182"/>
      <c r="AT225" s="182"/>
      <c r="AU225" s="182"/>
      <c r="AV225" s="182"/>
      <c r="AW225" s="182"/>
      <c r="AX225" s="182"/>
      <c r="AY225" s="182"/>
      <c r="AZ225" s="182"/>
      <c r="BA225" s="182"/>
      <c r="BB225" s="182"/>
      <c r="BC225" s="182"/>
      <c r="BD225" s="182"/>
      <c r="BE225" s="182"/>
      <c r="BF225" s="182"/>
      <c r="BG225" s="182"/>
      <c r="BH225" s="182"/>
      <c r="BI225" s="182"/>
      <c r="BJ225" s="182"/>
      <c r="BK225" s="182"/>
      <c r="BL225" s="182"/>
      <c r="BM225" s="182"/>
      <c r="BN225" s="182"/>
      <c r="BO225" s="182"/>
      <c r="BP225" s="182"/>
      <c r="BQ225" s="182"/>
      <c r="BR225" s="182"/>
      <c r="BS225" s="182"/>
      <c r="BT225" s="182"/>
      <c r="BU225" s="182"/>
      <c r="BV225" s="182"/>
      <c r="BW225" s="182"/>
      <c r="BX225" s="182"/>
      <c r="BY225" s="182"/>
      <c r="BZ225" s="182"/>
      <c r="CA225" s="182"/>
      <c r="CB225" s="182"/>
      <c r="CC225" s="182"/>
      <c r="CD225" s="182"/>
      <c r="CE225" s="182"/>
      <c r="CF225" s="182"/>
      <c r="CG225" s="182"/>
      <c r="CH225" s="182"/>
      <c r="CI225" s="182"/>
      <c r="CJ225" s="182"/>
      <c r="CK225" s="182"/>
      <c r="CL225" s="182"/>
      <c r="CM225" s="182"/>
      <c r="CN225" s="182"/>
      <c r="CO225" s="182"/>
      <c r="CP225" s="182"/>
      <c r="CQ225" s="182"/>
      <c r="CR225" s="182"/>
      <c r="CS225" s="182"/>
      <c r="CT225" s="182"/>
      <c r="CU225" s="182"/>
      <c r="CV225" s="182"/>
      <c r="CW225" s="182"/>
      <c r="CX225" s="182"/>
      <c r="CY225" s="182"/>
      <c r="CZ225" s="182"/>
      <c r="DA225" s="182"/>
      <c r="DB225" s="182"/>
      <c r="DC225" s="182"/>
      <c r="DD225" s="182"/>
      <c r="DE225" s="182"/>
      <c r="DF225" s="182"/>
      <c r="DG225" s="182"/>
      <c r="DH225" s="182"/>
      <c r="DI225" s="182"/>
      <c r="DJ225" s="182"/>
      <c r="DK225" s="182"/>
      <c r="DL225" s="182"/>
      <c r="DM225" s="182"/>
      <c r="DN225" s="182"/>
      <c r="DO225" s="182"/>
      <c r="DP225" s="182"/>
      <c r="DQ225" s="182"/>
      <c r="DR225" s="182"/>
      <c r="DS225" s="182"/>
      <c r="DT225" s="182"/>
      <c r="DU225" s="182"/>
      <c r="DV225" s="182"/>
      <c r="DW225" s="182"/>
      <c r="DX225" s="182"/>
      <c r="DY225" s="182"/>
      <c r="DZ225" s="182"/>
      <c r="EA225" s="182"/>
      <c r="EB225" s="182"/>
      <c r="EC225" s="182"/>
      <c r="ED225" s="182"/>
      <c r="EE225" s="182"/>
      <c r="EF225" s="182"/>
      <c r="EG225" s="182"/>
      <c r="EH225" s="182"/>
      <c r="EI225" s="182"/>
      <c r="EJ225" s="182"/>
      <c r="EK225" s="182"/>
      <c r="EL225" s="182"/>
      <c r="EM225" s="182"/>
      <c r="EN225" s="182"/>
      <c r="EO225" s="182"/>
      <c r="EP225" s="182"/>
      <c r="EQ225" s="182"/>
      <c r="ER225" s="182"/>
      <c r="ES225" s="182"/>
      <c r="ET225" s="182"/>
      <c r="EU225" s="182"/>
      <c r="EV225" s="182"/>
      <c r="EW225" s="182"/>
      <c r="EX225" s="182"/>
      <c r="EY225" s="182"/>
      <c r="EZ225" s="182"/>
      <c r="FA225" s="182"/>
      <c r="FB225" s="182"/>
      <c r="FC225" s="182"/>
      <c r="FD225" s="182"/>
      <c r="FE225" s="182"/>
      <c r="FF225" s="182"/>
      <c r="FG225" s="182"/>
      <c r="FH225" s="182"/>
      <c r="FI225" s="182"/>
      <c r="FJ225" s="182"/>
      <c r="FK225" s="182"/>
      <c r="FL225" s="182"/>
      <c r="FM225" s="182"/>
      <c r="FN225" s="182"/>
      <c r="FO225" s="182"/>
      <c r="FP225" s="182"/>
      <c r="FQ225" s="182"/>
      <c r="FR225" s="182"/>
      <c r="FS225" s="182"/>
      <c r="FT225" s="182"/>
      <c r="FU225" s="182"/>
      <c r="FV225" s="182"/>
      <c r="FW225" s="182"/>
      <c r="FX225" s="182"/>
      <c r="FY225" s="182"/>
      <c r="FZ225" s="182"/>
      <c r="GA225" s="182"/>
      <c r="GB225" s="182"/>
      <c r="GC225" s="182"/>
      <c r="GD225" s="182"/>
      <c r="GE225" s="182"/>
      <c r="GF225" s="182"/>
      <c r="GG225" s="182"/>
      <c r="GH225" s="182"/>
      <c r="GI225" s="182"/>
    </row>
    <row r="226" spans="1:191" s="183" customFormat="1" ht="25.5" x14ac:dyDescent="0.2">
      <c r="A226" s="210" t="s">
        <v>38531</v>
      </c>
      <c r="B226" s="210" t="s">
        <v>19074</v>
      </c>
      <c r="C226" s="224" t="s">
        <v>22336</v>
      </c>
      <c r="D226" s="211" t="s">
        <v>16</v>
      </c>
      <c r="E226" s="211">
        <v>10</v>
      </c>
      <c r="F226" s="211"/>
      <c r="G226" s="211">
        <v>0.3</v>
      </c>
      <c r="H226" s="212"/>
      <c r="I226" s="213"/>
      <c r="J226" s="272">
        <v>6825.77</v>
      </c>
      <c r="K226" s="112">
        <f t="shared" ref="K226:K289" si="20">IF(ISNUMBER(J226),ROUND(E226*J226,2),"")</f>
        <v>68257.7</v>
      </c>
      <c r="L226" s="273">
        <f>BDI!$E$17</f>
        <v>0.11260000000000001</v>
      </c>
      <c r="M226" s="213"/>
      <c r="N226" s="213"/>
      <c r="O226" s="114">
        <f t="shared" ref="O226:O289" si="21">IF(ISNUMBER(J226),ROUND(J226*(1+L226),2),"")</f>
        <v>7594.35</v>
      </c>
      <c r="P226" s="113">
        <f t="shared" ref="P226:P289" si="22">IF(ISNUMBER(J226),ROUND(G226*O226*E226,2),"")</f>
        <v>22783.05</v>
      </c>
      <c r="Q226" s="209"/>
      <c r="R226" s="203"/>
      <c r="S226" s="182"/>
      <c r="T226" s="182"/>
      <c r="U226" s="182"/>
      <c r="V226" s="182"/>
      <c r="W226" s="182"/>
      <c r="X226" s="182"/>
      <c r="Y226" s="182"/>
      <c r="Z226" s="182"/>
      <c r="AA226" s="182"/>
      <c r="AB226" s="182"/>
      <c r="AC226" s="182"/>
      <c r="AD226" s="182"/>
      <c r="AE226" s="182"/>
      <c r="AF226" s="182"/>
      <c r="AG226" s="182"/>
      <c r="AH226" s="182"/>
      <c r="AI226" s="182"/>
      <c r="AJ226" s="182"/>
      <c r="AK226" s="182"/>
      <c r="AL226" s="182"/>
      <c r="AM226" s="182"/>
      <c r="AN226" s="182"/>
      <c r="AO226" s="182"/>
      <c r="AP226" s="182"/>
      <c r="AQ226" s="182"/>
      <c r="AR226" s="182"/>
      <c r="AS226" s="182"/>
      <c r="AT226" s="182"/>
      <c r="AU226" s="182"/>
      <c r="AV226" s="182"/>
      <c r="AW226" s="182"/>
      <c r="AX226" s="182"/>
      <c r="AY226" s="182"/>
      <c r="AZ226" s="182"/>
      <c r="BA226" s="182"/>
      <c r="BB226" s="182"/>
      <c r="BC226" s="182"/>
      <c r="BD226" s="182"/>
      <c r="BE226" s="182"/>
      <c r="BF226" s="182"/>
      <c r="BG226" s="182"/>
      <c r="BH226" s="182"/>
      <c r="BI226" s="182"/>
      <c r="BJ226" s="182"/>
      <c r="BK226" s="182"/>
      <c r="BL226" s="182"/>
      <c r="BM226" s="182"/>
      <c r="BN226" s="182"/>
      <c r="BO226" s="182"/>
      <c r="BP226" s="182"/>
      <c r="BQ226" s="182"/>
      <c r="BR226" s="182"/>
      <c r="BS226" s="182"/>
      <c r="BT226" s="182"/>
      <c r="BU226" s="182"/>
      <c r="BV226" s="182"/>
      <c r="BW226" s="182"/>
      <c r="BX226" s="182"/>
      <c r="BY226" s="182"/>
      <c r="BZ226" s="182"/>
      <c r="CA226" s="182"/>
      <c r="CB226" s="182"/>
      <c r="CC226" s="182"/>
      <c r="CD226" s="182"/>
      <c r="CE226" s="182"/>
      <c r="CF226" s="182"/>
      <c r="CG226" s="182"/>
      <c r="CH226" s="182"/>
      <c r="CI226" s="182"/>
      <c r="CJ226" s="182"/>
      <c r="CK226" s="182"/>
      <c r="CL226" s="182"/>
      <c r="CM226" s="182"/>
      <c r="CN226" s="182"/>
      <c r="CO226" s="182"/>
      <c r="CP226" s="182"/>
      <c r="CQ226" s="182"/>
      <c r="CR226" s="182"/>
      <c r="CS226" s="182"/>
      <c r="CT226" s="182"/>
      <c r="CU226" s="182"/>
      <c r="CV226" s="182"/>
      <c r="CW226" s="182"/>
      <c r="CX226" s="182"/>
      <c r="CY226" s="182"/>
      <c r="CZ226" s="182"/>
      <c r="DA226" s="182"/>
      <c r="DB226" s="182"/>
      <c r="DC226" s="182"/>
      <c r="DD226" s="182"/>
      <c r="DE226" s="182"/>
      <c r="DF226" s="182"/>
      <c r="DG226" s="182"/>
      <c r="DH226" s="182"/>
      <c r="DI226" s="182"/>
      <c r="DJ226" s="182"/>
      <c r="DK226" s="182"/>
      <c r="DL226" s="182"/>
      <c r="DM226" s="182"/>
      <c r="DN226" s="182"/>
      <c r="DO226" s="182"/>
      <c r="DP226" s="182"/>
      <c r="DQ226" s="182"/>
      <c r="DR226" s="182"/>
      <c r="DS226" s="182"/>
      <c r="DT226" s="182"/>
      <c r="DU226" s="182"/>
      <c r="DV226" s="182"/>
      <c r="DW226" s="182"/>
      <c r="DX226" s="182"/>
      <c r="DY226" s="182"/>
      <c r="DZ226" s="182"/>
      <c r="EA226" s="182"/>
      <c r="EB226" s="182"/>
      <c r="EC226" s="182"/>
      <c r="ED226" s="182"/>
      <c r="EE226" s="182"/>
      <c r="EF226" s="182"/>
      <c r="EG226" s="182"/>
      <c r="EH226" s="182"/>
      <c r="EI226" s="182"/>
      <c r="EJ226" s="182"/>
      <c r="EK226" s="182"/>
      <c r="EL226" s="182"/>
      <c r="EM226" s="182"/>
      <c r="EN226" s="182"/>
      <c r="EO226" s="182"/>
      <c r="EP226" s="182"/>
      <c r="EQ226" s="182"/>
      <c r="ER226" s="182"/>
      <c r="ES226" s="182"/>
      <c r="ET226" s="182"/>
      <c r="EU226" s="182"/>
      <c r="EV226" s="182"/>
      <c r="EW226" s="182"/>
      <c r="EX226" s="182"/>
      <c r="EY226" s="182"/>
      <c r="EZ226" s="182"/>
      <c r="FA226" s="182"/>
      <c r="FB226" s="182"/>
      <c r="FC226" s="182"/>
      <c r="FD226" s="182"/>
      <c r="FE226" s="182"/>
      <c r="FF226" s="182"/>
      <c r="FG226" s="182"/>
      <c r="FH226" s="182"/>
      <c r="FI226" s="182"/>
      <c r="FJ226" s="182"/>
      <c r="FK226" s="182"/>
      <c r="FL226" s="182"/>
      <c r="FM226" s="182"/>
      <c r="FN226" s="182"/>
      <c r="FO226" s="182"/>
      <c r="FP226" s="182"/>
      <c r="FQ226" s="182"/>
      <c r="FR226" s="182"/>
      <c r="FS226" s="182"/>
      <c r="FT226" s="182"/>
      <c r="FU226" s="182"/>
      <c r="FV226" s="182"/>
      <c r="FW226" s="182"/>
      <c r="FX226" s="182"/>
      <c r="FY226" s="182"/>
      <c r="FZ226" s="182"/>
      <c r="GA226" s="182"/>
      <c r="GB226" s="182"/>
      <c r="GC226" s="182"/>
      <c r="GD226" s="182"/>
      <c r="GE226" s="182"/>
      <c r="GF226" s="182"/>
      <c r="GG226" s="182"/>
      <c r="GH226" s="182"/>
      <c r="GI226" s="182"/>
    </row>
    <row r="227" spans="1:191" s="183" customFormat="1" x14ac:dyDescent="0.2">
      <c r="A227" s="210" t="s">
        <v>38532</v>
      </c>
      <c r="B227" s="210" t="s">
        <v>19075</v>
      </c>
      <c r="C227" s="224" t="s">
        <v>22337</v>
      </c>
      <c r="D227" s="211" t="s">
        <v>16</v>
      </c>
      <c r="E227" s="211">
        <v>2</v>
      </c>
      <c r="F227" s="211"/>
      <c r="G227" s="211">
        <v>0.3</v>
      </c>
      <c r="H227" s="212"/>
      <c r="I227" s="213"/>
      <c r="J227" s="272">
        <v>29500</v>
      </c>
      <c r="K227" s="112">
        <f t="shared" si="20"/>
        <v>59000</v>
      </c>
      <c r="L227" s="273">
        <f>BDI!$E$17</f>
        <v>0.11260000000000001</v>
      </c>
      <c r="M227" s="213"/>
      <c r="N227" s="213"/>
      <c r="O227" s="114">
        <f t="shared" si="21"/>
        <v>32821.699999999997</v>
      </c>
      <c r="P227" s="113">
        <f t="shared" si="22"/>
        <v>19693.02</v>
      </c>
      <c r="Q227" s="209"/>
      <c r="R227" s="203"/>
      <c r="S227" s="182"/>
      <c r="T227" s="182"/>
      <c r="U227" s="182"/>
      <c r="V227" s="182"/>
      <c r="W227" s="182"/>
      <c r="X227" s="182"/>
      <c r="Y227" s="182"/>
      <c r="Z227" s="182"/>
      <c r="AA227" s="182"/>
      <c r="AB227" s="182"/>
      <c r="AC227" s="182"/>
      <c r="AD227" s="182"/>
      <c r="AE227" s="182"/>
      <c r="AF227" s="182"/>
      <c r="AG227" s="182"/>
      <c r="AH227" s="182"/>
      <c r="AI227" s="182"/>
      <c r="AJ227" s="182"/>
      <c r="AK227" s="182"/>
      <c r="AL227" s="182"/>
      <c r="AM227" s="182"/>
      <c r="AN227" s="182"/>
      <c r="AO227" s="182"/>
      <c r="AP227" s="182"/>
      <c r="AQ227" s="182"/>
      <c r="AR227" s="182"/>
      <c r="AS227" s="182"/>
      <c r="AT227" s="182"/>
      <c r="AU227" s="182"/>
      <c r="AV227" s="182"/>
      <c r="AW227" s="182"/>
      <c r="AX227" s="182"/>
      <c r="AY227" s="182"/>
      <c r="AZ227" s="182"/>
      <c r="BA227" s="182"/>
      <c r="BB227" s="182"/>
      <c r="BC227" s="182"/>
      <c r="BD227" s="182"/>
      <c r="BE227" s="182"/>
      <c r="BF227" s="182"/>
      <c r="BG227" s="182"/>
      <c r="BH227" s="182"/>
      <c r="BI227" s="182"/>
      <c r="BJ227" s="182"/>
      <c r="BK227" s="182"/>
      <c r="BL227" s="182"/>
      <c r="BM227" s="182"/>
      <c r="BN227" s="182"/>
      <c r="BO227" s="182"/>
      <c r="BP227" s="182"/>
      <c r="BQ227" s="182"/>
      <c r="BR227" s="182"/>
      <c r="BS227" s="182"/>
      <c r="BT227" s="182"/>
      <c r="BU227" s="182"/>
      <c r="BV227" s="182"/>
      <c r="BW227" s="182"/>
      <c r="BX227" s="182"/>
      <c r="BY227" s="182"/>
      <c r="BZ227" s="182"/>
      <c r="CA227" s="182"/>
      <c r="CB227" s="182"/>
      <c r="CC227" s="182"/>
      <c r="CD227" s="182"/>
      <c r="CE227" s="182"/>
      <c r="CF227" s="182"/>
      <c r="CG227" s="182"/>
      <c r="CH227" s="182"/>
      <c r="CI227" s="182"/>
      <c r="CJ227" s="182"/>
      <c r="CK227" s="182"/>
      <c r="CL227" s="182"/>
      <c r="CM227" s="182"/>
      <c r="CN227" s="182"/>
      <c r="CO227" s="182"/>
      <c r="CP227" s="182"/>
      <c r="CQ227" s="182"/>
      <c r="CR227" s="182"/>
      <c r="CS227" s="182"/>
      <c r="CT227" s="182"/>
      <c r="CU227" s="182"/>
      <c r="CV227" s="182"/>
      <c r="CW227" s="182"/>
      <c r="CX227" s="182"/>
      <c r="CY227" s="182"/>
      <c r="CZ227" s="182"/>
      <c r="DA227" s="182"/>
      <c r="DB227" s="182"/>
      <c r="DC227" s="182"/>
      <c r="DD227" s="182"/>
      <c r="DE227" s="182"/>
      <c r="DF227" s="182"/>
      <c r="DG227" s="182"/>
      <c r="DH227" s="182"/>
      <c r="DI227" s="182"/>
      <c r="DJ227" s="182"/>
      <c r="DK227" s="182"/>
      <c r="DL227" s="182"/>
      <c r="DM227" s="182"/>
      <c r="DN227" s="182"/>
      <c r="DO227" s="182"/>
      <c r="DP227" s="182"/>
      <c r="DQ227" s="182"/>
      <c r="DR227" s="182"/>
      <c r="DS227" s="182"/>
      <c r="DT227" s="182"/>
      <c r="DU227" s="182"/>
      <c r="DV227" s="182"/>
      <c r="DW227" s="182"/>
      <c r="DX227" s="182"/>
      <c r="DY227" s="182"/>
      <c r="DZ227" s="182"/>
      <c r="EA227" s="182"/>
      <c r="EB227" s="182"/>
      <c r="EC227" s="182"/>
      <c r="ED227" s="182"/>
      <c r="EE227" s="182"/>
      <c r="EF227" s="182"/>
      <c r="EG227" s="182"/>
      <c r="EH227" s="182"/>
      <c r="EI227" s="182"/>
      <c r="EJ227" s="182"/>
      <c r="EK227" s="182"/>
      <c r="EL227" s="182"/>
      <c r="EM227" s="182"/>
      <c r="EN227" s="182"/>
      <c r="EO227" s="182"/>
      <c r="EP227" s="182"/>
      <c r="EQ227" s="182"/>
      <c r="ER227" s="182"/>
      <c r="ES227" s="182"/>
      <c r="ET227" s="182"/>
      <c r="EU227" s="182"/>
      <c r="EV227" s="182"/>
      <c r="EW227" s="182"/>
      <c r="EX227" s="182"/>
      <c r="EY227" s="182"/>
      <c r="EZ227" s="182"/>
      <c r="FA227" s="182"/>
      <c r="FB227" s="182"/>
      <c r="FC227" s="182"/>
      <c r="FD227" s="182"/>
      <c r="FE227" s="182"/>
      <c r="FF227" s="182"/>
      <c r="FG227" s="182"/>
      <c r="FH227" s="182"/>
      <c r="FI227" s="182"/>
      <c r="FJ227" s="182"/>
      <c r="FK227" s="182"/>
      <c r="FL227" s="182"/>
      <c r="FM227" s="182"/>
      <c r="FN227" s="182"/>
      <c r="FO227" s="182"/>
      <c r="FP227" s="182"/>
      <c r="FQ227" s="182"/>
      <c r="FR227" s="182"/>
      <c r="FS227" s="182"/>
      <c r="FT227" s="182"/>
      <c r="FU227" s="182"/>
      <c r="FV227" s="182"/>
      <c r="FW227" s="182"/>
      <c r="FX227" s="182"/>
      <c r="FY227" s="182"/>
      <c r="FZ227" s="182"/>
      <c r="GA227" s="182"/>
      <c r="GB227" s="182"/>
      <c r="GC227" s="182"/>
      <c r="GD227" s="182"/>
      <c r="GE227" s="182"/>
      <c r="GF227" s="182"/>
      <c r="GG227" s="182"/>
      <c r="GH227" s="182"/>
      <c r="GI227" s="182"/>
    </row>
    <row r="228" spans="1:191" s="183" customFormat="1" x14ac:dyDescent="0.2">
      <c r="A228" s="210" t="s">
        <v>38533</v>
      </c>
      <c r="B228" s="210" t="s">
        <v>19076</v>
      </c>
      <c r="C228" s="224" t="s">
        <v>22338</v>
      </c>
      <c r="D228" s="211" t="s">
        <v>16</v>
      </c>
      <c r="E228" s="211">
        <v>80</v>
      </c>
      <c r="F228" s="211"/>
      <c r="G228" s="211">
        <v>0.3</v>
      </c>
      <c r="H228" s="212"/>
      <c r="I228" s="213"/>
      <c r="J228" s="272">
        <v>32.31</v>
      </c>
      <c r="K228" s="112">
        <f t="shared" si="20"/>
        <v>2584.8000000000002</v>
      </c>
      <c r="L228" s="273">
        <f>BDI!$E$17</f>
        <v>0.11260000000000001</v>
      </c>
      <c r="M228" s="213"/>
      <c r="N228" s="213"/>
      <c r="O228" s="114">
        <f t="shared" si="21"/>
        <v>35.950000000000003</v>
      </c>
      <c r="P228" s="113">
        <f t="shared" si="22"/>
        <v>862.8</v>
      </c>
      <c r="Q228" s="209"/>
      <c r="R228" s="203"/>
      <c r="S228" s="182"/>
      <c r="T228" s="182"/>
      <c r="U228" s="182"/>
      <c r="V228" s="182"/>
      <c r="W228" s="182"/>
      <c r="X228" s="182"/>
      <c r="Y228" s="182"/>
      <c r="Z228" s="182"/>
      <c r="AA228" s="182"/>
      <c r="AB228" s="182"/>
      <c r="AC228" s="182"/>
      <c r="AD228" s="182"/>
      <c r="AE228" s="182"/>
      <c r="AF228" s="182"/>
      <c r="AG228" s="182"/>
      <c r="AH228" s="182"/>
      <c r="AI228" s="182"/>
      <c r="AJ228" s="182"/>
      <c r="AK228" s="182"/>
      <c r="AL228" s="182"/>
      <c r="AM228" s="182"/>
      <c r="AN228" s="182"/>
      <c r="AO228" s="182"/>
      <c r="AP228" s="182"/>
      <c r="AQ228" s="182"/>
      <c r="AR228" s="182"/>
      <c r="AS228" s="182"/>
      <c r="AT228" s="182"/>
      <c r="AU228" s="182"/>
      <c r="AV228" s="182"/>
      <c r="AW228" s="182"/>
      <c r="AX228" s="182"/>
      <c r="AY228" s="182"/>
      <c r="AZ228" s="182"/>
      <c r="BA228" s="182"/>
      <c r="BB228" s="182"/>
      <c r="BC228" s="182"/>
      <c r="BD228" s="182"/>
      <c r="BE228" s="182"/>
      <c r="BF228" s="182"/>
      <c r="BG228" s="182"/>
      <c r="BH228" s="182"/>
      <c r="BI228" s="182"/>
      <c r="BJ228" s="182"/>
      <c r="BK228" s="182"/>
      <c r="BL228" s="182"/>
      <c r="BM228" s="182"/>
      <c r="BN228" s="182"/>
      <c r="BO228" s="182"/>
      <c r="BP228" s="182"/>
      <c r="BQ228" s="182"/>
      <c r="BR228" s="182"/>
      <c r="BS228" s="182"/>
      <c r="BT228" s="182"/>
      <c r="BU228" s="182"/>
      <c r="BV228" s="182"/>
      <c r="BW228" s="182"/>
      <c r="BX228" s="182"/>
      <c r="BY228" s="182"/>
      <c r="BZ228" s="182"/>
      <c r="CA228" s="182"/>
      <c r="CB228" s="182"/>
      <c r="CC228" s="182"/>
      <c r="CD228" s="182"/>
      <c r="CE228" s="182"/>
      <c r="CF228" s="182"/>
      <c r="CG228" s="182"/>
      <c r="CH228" s="182"/>
      <c r="CI228" s="182"/>
      <c r="CJ228" s="182"/>
      <c r="CK228" s="182"/>
      <c r="CL228" s="182"/>
      <c r="CM228" s="182"/>
      <c r="CN228" s="182"/>
      <c r="CO228" s="182"/>
      <c r="CP228" s="182"/>
      <c r="CQ228" s="182"/>
      <c r="CR228" s="182"/>
      <c r="CS228" s="182"/>
      <c r="CT228" s="182"/>
      <c r="CU228" s="182"/>
      <c r="CV228" s="182"/>
      <c r="CW228" s="182"/>
      <c r="CX228" s="182"/>
      <c r="CY228" s="182"/>
      <c r="CZ228" s="182"/>
      <c r="DA228" s="182"/>
      <c r="DB228" s="182"/>
      <c r="DC228" s="182"/>
      <c r="DD228" s="182"/>
      <c r="DE228" s="182"/>
      <c r="DF228" s="182"/>
      <c r="DG228" s="182"/>
      <c r="DH228" s="182"/>
      <c r="DI228" s="182"/>
      <c r="DJ228" s="182"/>
      <c r="DK228" s="182"/>
      <c r="DL228" s="182"/>
      <c r="DM228" s="182"/>
      <c r="DN228" s="182"/>
      <c r="DO228" s="182"/>
      <c r="DP228" s="182"/>
      <c r="DQ228" s="182"/>
      <c r="DR228" s="182"/>
      <c r="DS228" s="182"/>
      <c r="DT228" s="182"/>
      <c r="DU228" s="182"/>
      <c r="DV228" s="182"/>
      <c r="DW228" s="182"/>
      <c r="DX228" s="182"/>
      <c r="DY228" s="182"/>
      <c r="DZ228" s="182"/>
      <c r="EA228" s="182"/>
      <c r="EB228" s="182"/>
      <c r="EC228" s="182"/>
      <c r="ED228" s="182"/>
      <c r="EE228" s="182"/>
      <c r="EF228" s="182"/>
      <c r="EG228" s="182"/>
      <c r="EH228" s="182"/>
      <c r="EI228" s="182"/>
      <c r="EJ228" s="182"/>
      <c r="EK228" s="182"/>
      <c r="EL228" s="182"/>
      <c r="EM228" s="182"/>
      <c r="EN228" s="182"/>
      <c r="EO228" s="182"/>
      <c r="EP228" s="182"/>
      <c r="EQ228" s="182"/>
      <c r="ER228" s="182"/>
      <c r="ES228" s="182"/>
      <c r="ET228" s="182"/>
      <c r="EU228" s="182"/>
      <c r="EV228" s="182"/>
      <c r="EW228" s="182"/>
      <c r="EX228" s="182"/>
      <c r="EY228" s="182"/>
      <c r="EZ228" s="182"/>
      <c r="FA228" s="182"/>
      <c r="FB228" s="182"/>
      <c r="FC228" s="182"/>
      <c r="FD228" s="182"/>
      <c r="FE228" s="182"/>
      <c r="FF228" s="182"/>
      <c r="FG228" s="182"/>
      <c r="FH228" s="182"/>
      <c r="FI228" s="182"/>
      <c r="FJ228" s="182"/>
      <c r="FK228" s="182"/>
      <c r="FL228" s="182"/>
      <c r="FM228" s="182"/>
      <c r="FN228" s="182"/>
      <c r="FO228" s="182"/>
      <c r="FP228" s="182"/>
      <c r="FQ228" s="182"/>
      <c r="FR228" s="182"/>
      <c r="FS228" s="182"/>
      <c r="FT228" s="182"/>
      <c r="FU228" s="182"/>
      <c r="FV228" s="182"/>
      <c r="FW228" s="182"/>
      <c r="FX228" s="182"/>
      <c r="FY228" s="182"/>
      <c r="FZ228" s="182"/>
      <c r="GA228" s="182"/>
      <c r="GB228" s="182"/>
      <c r="GC228" s="182"/>
      <c r="GD228" s="182"/>
      <c r="GE228" s="182"/>
      <c r="GF228" s="182"/>
      <c r="GG228" s="182"/>
      <c r="GH228" s="182"/>
      <c r="GI228" s="182"/>
    </row>
    <row r="229" spans="1:191" s="183" customFormat="1" x14ac:dyDescent="0.2">
      <c r="A229" s="210" t="s">
        <v>38534</v>
      </c>
      <c r="B229" s="210" t="s">
        <v>19077</v>
      </c>
      <c r="C229" s="224" t="s">
        <v>22339</v>
      </c>
      <c r="D229" s="211" t="s">
        <v>16</v>
      </c>
      <c r="E229" s="211">
        <v>60</v>
      </c>
      <c r="F229" s="211"/>
      <c r="G229" s="211">
        <v>0.3</v>
      </c>
      <c r="H229" s="212"/>
      <c r="I229" s="213"/>
      <c r="J229" s="272">
        <v>1241.52</v>
      </c>
      <c r="K229" s="112">
        <f t="shared" si="20"/>
        <v>74491.199999999997</v>
      </c>
      <c r="L229" s="273">
        <f>BDI!$E$17</f>
        <v>0.11260000000000001</v>
      </c>
      <c r="M229" s="213"/>
      <c r="N229" s="213"/>
      <c r="O229" s="114">
        <f t="shared" si="21"/>
        <v>1381.32</v>
      </c>
      <c r="P229" s="113">
        <f t="shared" si="22"/>
        <v>24863.759999999998</v>
      </c>
      <c r="Q229" s="209"/>
      <c r="R229" s="203"/>
      <c r="S229" s="182"/>
      <c r="T229" s="182"/>
      <c r="U229" s="182"/>
      <c r="V229" s="182"/>
      <c r="W229" s="182"/>
      <c r="X229" s="182"/>
      <c r="Y229" s="182"/>
      <c r="Z229" s="182"/>
      <c r="AA229" s="182"/>
      <c r="AB229" s="182"/>
      <c r="AC229" s="182"/>
      <c r="AD229" s="182"/>
      <c r="AE229" s="182"/>
      <c r="AF229" s="182"/>
      <c r="AG229" s="182"/>
      <c r="AH229" s="182"/>
      <c r="AI229" s="182"/>
      <c r="AJ229" s="182"/>
      <c r="AK229" s="182"/>
      <c r="AL229" s="182"/>
      <c r="AM229" s="182"/>
      <c r="AN229" s="182"/>
      <c r="AO229" s="182"/>
      <c r="AP229" s="182"/>
      <c r="AQ229" s="182"/>
      <c r="AR229" s="182"/>
      <c r="AS229" s="182"/>
      <c r="AT229" s="182"/>
      <c r="AU229" s="182"/>
      <c r="AV229" s="182"/>
      <c r="AW229" s="182"/>
      <c r="AX229" s="182"/>
      <c r="AY229" s="182"/>
      <c r="AZ229" s="182"/>
      <c r="BA229" s="182"/>
      <c r="BB229" s="182"/>
      <c r="BC229" s="182"/>
      <c r="BD229" s="182"/>
      <c r="BE229" s="182"/>
      <c r="BF229" s="182"/>
      <c r="BG229" s="182"/>
      <c r="BH229" s="182"/>
      <c r="BI229" s="182"/>
      <c r="BJ229" s="182"/>
      <c r="BK229" s="182"/>
      <c r="BL229" s="182"/>
      <c r="BM229" s="182"/>
      <c r="BN229" s="182"/>
      <c r="BO229" s="182"/>
      <c r="BP229" s="182"/>
      <c r="BQ229" s="182"/>
      <c r="BR229" s="182"/>
      <c r="BS229" s="182"/>
      <c r="BT229" s="182"/>
      <c r="BU229" s="182"/>
      <c r="BV229" s="182"/>
      <c r="BW229" s="182"/>
      <c r="BX229" s="182"/>
      <c r="BY229" s="182"/>
      <c r="BZ229" s="182"/>
      <c r="CA229" s="182"/>
      <c r="CB229" s="182"/>
      <c r="CC229" s="182"/>
      <c r="CD229" s="182"/>
      <c r="CE229" s="182"/>
      <c r="CF229" s="182"/>
      <c r="CG229" s="182"/>
      <c r="CH229" s="182"/>
      <c r="CI229" s="182"/>
      <c r="CJ229" s="182"/>
      <c r="CK229" s="182"/>
      <c r="CL229" s="182"/>
      <c r="CM229" s="182"/>
      <c r="CN229" s="182"/>
      <c r="CO229" s="182"/>
      <c r="CP229" s="182"/>
      <c r="CQ229" s="182"/>
      <c r="CR229" s="182"/>
      <c r="CS229" s="182"/>
      <c r="CT229" s="182"/>
      <c r="CU229" s="182"/>
      <c r="CV229" s="182"/>
      <c r="CW229" s="182"/>
      <c r="CX229" s="182"/>
      <c r="CY229" s="182"/>
      <c r="CZ229" s="182"/>
      <c r="DA229" s="182"/>
      <c r="DB229" s="182"/>
      <c r="DC229" s="182"/>
      <c r="DD229" s="182"/>
      <c r="DE229" s="182"/>
      <c r="DF229" s="182"/>
      <c r="DG229" s="182"/>
      <c r="DH229" s="182"/>
      <c r="DI229" s="182"/>
      <c r="DJ229" s="182"/>
      <c r="DK229" s="182"/>
      <c r="DL229" s="182"/>
      <c r="DM229" s="182"/>
      <c r="DN229" s="182"/>
      <c r="DO229" s="182"/>
      <c r="DP229" s="182"/>
      <c r="DQ229" s="182"/>
      <c r="DR229" s="182"/>
      <c r="DS229" s="182"/>
      <c r="DT229" s="182"/>
      <c r="DU229" s="182"/>
      <c r="DV229" s="182"/>
      <c r="DW229" s="182"/>
      <c r="DX229" s="182"/>
      <c r="DY229" s="182"/>
      <c r="DZ229" s="182"/>
      <c r="EA229" s="182"/>
      <c r="EB229" s="182"/>
      <c r="EC229" s="182"/>
      <c r="ED229" s="182"/>
      <c r="EE229" s="182"/>
      <c r="EF229" s="182"/>
      <c r="EG229" s="182"/>
      <c r="EH229" s="182"/>
      <c r="EI229" s="182"/>
      <c r="EJ229" s="182"/>
      <c r="EK229" s="182"/>
      <c r="EL229" s="182"/>
      <c r="EM229" s="182"/>
      <c r="EN229" s="182"/>
      <c r="EO229" s="182"/>
      <c r="EP229" s="182"/>
      <c r="EQ229" s="182"/>
      <c r="ER229" s="182"/>
      <c r="ES229" s="182"/>
      <c r="ET229" s="182"/>
      <c r="EU229" s="182"/>
      <c r="EV229" s="182"/>
      <c r="EW229" s="182"/>
      <c r="EX229" s="182"/>
      <c r="EY229" s="182"/>
      <c r="EZ229" s="182"/>
      <c r="FA229" s="182"/>
      <c r="FB229" s="182"/>
      <c r="FC229" s="182"/>
      <c r="FD229" s="182"/>
      <c r="FE229" s="182"/>
      <c r="FF229" s="182"/>
      <c r="FG229" s="182"/>
      <c r="FH229" s="182"/>
      <c r="FI229" s="182"/>
      <c r="FJ229" s="182"/>
      <c r="FK229" s="182"/>
      <c r="FL229" s="182"/>
      <c r="FM229" s="182"/>
      <c r="FN229" s="182"/>
      <c r="FO229" s="182"/>
      <c r="FP229" s="182"/>
      <c r="FQ229" s="182"/>
      <c r="FR229" s="182"/>
      <c r="FS229" s="182"/>
      <c r="FT229" s="182"/>
      <c r="FU229" s="182"/>
      <c r="FV229" s="182"/>
      <c r="FW229" s="182"/>
      <c r="FX229" s="182"/>
      <c r="FY229" s="182"/>
      <c r="FZ229" s="182"/>
      <c r="GA229" s="182"/>
      <c r="GB229" s="182"/>
      <c r="GC229" s="182"/>
      <c r="GD229" s="182"/>
      <c r="GE229" s="182"/>
      <c r="GF229" s="182"/>
      <c r="GG229" s="182"/>
      <c r="GH229" s="182"/>
      <c r="GI229" s="182"/>
    </row>
    <row r="230" spans="1:191" s="183" customFormat="1" x14ac:dyDescent="0.2">
      <c r="A230" s="210" t="s">
        <v>38535</v>
      </c>
      <c r="B230" s="210" t="s">
        <v>19078</v>
      </c>
      <c r="C230" s="224" t="s">
        <v>22340</v>
      </c>
      <c r="D230" s="211" t="s">
        <v>16</v>
      </c>
      <c r="E230" s="211">
        <v>62</v>
      </c>
      <c r="F230" s="211"/>
      <c r="G230" s="211">
        <v>0.3</v>
      </c>
      <c r="H230" s="212"/>
      <c r="I230" s="213"/>
      <c r="J230" s="272">
        <v>850.49</v>
      </c>
      <c r="K230" s="112">
        <f t="shared" si="20"/>
        <v>52730.38</v>
      </c>
      <c r="L230" s="273">
        <f>BDI!$E$17</f>
        <v>0.11260000000000001</v>
      </c>
      <c r="M230" s="213"/>
      <c r="N230" s="213"/>
      <c r="O230" s="114">
        <f t="shared" si="21"/>
        <v>946.26</v>
      </c>
      <c r="P230" s="113">
        <f t="shared" si="22"/>
        <v>17600.439999999999</v>
      </c>
      <c r="Q230" s="209"/>
      <c r="R230" s="203"/>
      <c r="S230" s="182"/>
      <c r="T230" s="182"/>
      <c r="U230" s="182"/>
      <c r="V230" s="182"/>
      <c r="W230" s="182"/>
      <c r="X230" s="182"/>
      <c r="Y230" s="182"/>
      <c r="Z230" s="182"/>
      <c r="AA230" s="182"/>
      <c r="AB230" s="182"/>
      <c r="AC230" s="182"/>
      <c r="AD230" s="182"/>
      <c r="AE230" s="182"/>
      <c r="AF230" s="182"/>
      <c r="AG230" s="182"/>
      <c r="AH230" s="182"/>
      <c r="AI230" s="182"/>
      <c r="AJ230" s="182"/>
      <c r="AK230" s="182"/>
      <c r="AL230" s="182"/>
      <c r="AM230" s="182"/>
      <c r="AN230" s="182"/>
      <c r="AO230" s="182"/>
      <c r="AP230" s="182"/>
      <c r="AQ230" s="182"/>
      <c r="AR230" s="182"/>
      <c r="AS230" s="182"/>
      <c r="AT230" s="182"/>
      <c r="AU230" s="182"/>
      <c r="AV230" s="182"/>
      <c r="AW230" s="182"/>
      <c r="AX230" s="182"/>
      <c r="AY230" s="182"/>
      <c r="AZ230" s="182"/>
      <c r="BA230" s="182"/>
      <c r="BB230" s="182"/>
      <c r="BC230" s="182"/>
      <c r="BD230" s="182"/>
      <c r="BE230" s="182"/>
      <c r="BF230" s="182"/>
      <c r="BG230" s="182"/>
      <c r="BH230" s="182"/>
      <c r="BI230" s="182"/>
      <c r="BJ230" s="182"/>
      <c r="BK230" s="182"/>
      <c r="BL230" s="182"/>
      <c r="BM230" s="182"/>
      <c r="BN230" s="182"/>
      <c r="BO230" s="182"/>
      <c r="BP230" s="182"/>
      <c r="BQ230" s="182"/>
      <c r="BR230" s="182"/>
      <c r="BS230" s="182"/>
      <c r="BT230" s="182"/>
      <c r="BU230" s="182"/>
      <c r="BV230" s="182"/>
      <c r="BW230" s="182"/>
      <c r="BX230" s="182"/>
      <c r="BY230" s="182"/>
      <c r="BZ230" s="182"/>
      <c r="CA230" s="182"/>
      <c r="CB230" s="182"/>
      <c r="CC230" s="182"/>
      <c r="CD230" s="182"/>
      <c r="CE230" s="182"/>
      <c r="CF230" s="182"/>
      <c r="CG230" s="182"/>
      <c r="CH230" s="182"/>
      <c r="CI230" s="182"/>
      <c r="CJ230" s="182"/>
      <c r="CK230" s="182"/>
      <c r="CL230" s="182"/>
      <c r="CM230" s="182"/>
      <c r="CN230" s="182"/>
      <c r="CO230" s="182"/>
      <c r="CP230" s="182"/>
      <c r="CQ230" s="182"/>
      <c r="CR230" s="182"/>
      <c r="CS230" s="182"/>
      <c r="CT230" s="182"/>
      <c r="CU230" s="182"/>
      <c r="CV230" s="182"/>
      <c r="CW230" s="182"/>
      <c r="CX230" s="182"/>
      <c r="CY230" s="182"/>
      <c r="CZ230" s="182"/>
      <c r="DA230" s="182"/>
      <c r="DB230" s="182"/>
      <c r="DC230" s="182"/>
      <c r="DD230" s="182"/>
      <c r="DE230" s="182"/>
      <c r="DF230" s="182"/>
      <c r="DG230" s="182"/>
      <c r="DH230" s="182"/>
      <c r="DI230" s="182"/>
      <c r="DJ230" s="182"/>
      <c r="DK230" s="182"/>
      <c r="DL230" s="182"/>
      <c r="DM230" s="182"/>
      <c r="DN230" s="182"/>
      <c r="DO230" s="182"/>
      <c r="DP230" s="182"/>
      <c r="DQ230" s="182"/>
      <c r="DR230" s="182"/>
      <c r="DS230" s="182"/>
      <c r="DT230" s="182"/>
      <c r="DU230" s="182"/>
      <c r="DV230" s="182"/>
      <c r="DW230" s="182"/>
      <c r="DX230" s="182"/>
      <c r="DY230" s="182"/>
      <c r="DZ230" s="182"/>
      <c r="EA230" s="182"/>
      <c r="EB230" s="182"/>
      <c r="EC230" s="182"/>
      <c r="ED230" s="182"/>
      <c r="EE230" s="182"/>
      <c r="EF230" s="182"/>
      <c r="EG230" s="182"/>
      <c r="EH230" s="182"/>
      <c r="EI230" s="182"/>
      <c r="EJ230" s="182"/>
      <c r="EK230" s="182"/>
      <c r="EL230" s="182"/>
      <c r="EM230" s="182"/>
      <c r="EN230" s="182"/>
      <c r="EO230" s="182"/>
      <c r="EP230" s="182"/>
      <c r="EQ230" s="182"/>
      <c r="ER230" s="182"/>
      <c r="ES230" s="182"/>
      <c r="ET230" s="182"/>
      <c r="EU230" s="182"/>
      <c r="EV230" s="182"/>
      <c r="EW230" s="182"/>
      <c r="EX230" s="182"/>
      <c r="EY230" s="182"/>
      <c r="EZ230" s="182"/>
      <c r="FA230" s="182"/>
      <c r="FB230" s="182"/>
      <c r="FC230" s="182"/>
      <c r="FD230" s="182"/>
      <c r="FE230" s="182"/>
      <c r="FF230" s="182"/>
      <c r="FG230" s="182"/>
      <c r="FH230" s="182"/>
      <c r="FI230" s="182"/>
      <c r="FJ230" s="182"/>
      <c r="FK230" s="182"/>
      <c r="FL230" s="182"/>
      <c r="FM230" s="182"/>
      <c r="FN230" s="182"/>
      <c r="FO230" s="182"/>
      <c r="FP230" s="182"/>
      <c r="FQ230" s="182"/>
      <c r="FR230" s="182"/>
      <c r="FS230" s="182"/>
      <c r="FT230" s="182"/>
      <c r="FU230" s="182"/>
      <c r="FV230" s="182"/>
      <c r="FW230" s="182"/>
      <c r="FX230" s="182"/>
      <c r="FY230" s="182"/>
      <c r="FZ230" s="182"/>
      <c r="GA230" s="182"/>
      <c r="GB230" s="182"/>
      <c r="GC230" s="182"/>
      <c r="GD230" s="182"/>
      <c r="GE230" s="182"/>
      <c r="GF230" s="182"/>
      <c r="GG230" s="182"/>
      <c r="GH230" s="182"/>
      <c r="GI230" s="182"/>
    </row>
    <row r="231" spans="1:191" s="183" customFormat="1" x14ac:dyDescent="0.2">
      <c r="A231" s="210" t="s">
        <v>38536</v>
      </c>
      <c r="B231" s="210" t="s">
        <v>19079</v>
      </c>
      <c r="C231" s="224" t="s">
        <v>22341</v>
      </c>
      <c r="D231" s="211" t="s">
        <v>16</v>
      </c>
      <c r="E231" s="211">
        <v>90</v>
      </c>
      <c r="F231" s="211"/>
      <c r="G231" s="211">
        <v>0.3</v>
      </c>
      <c r="H231" s="212"/>
      <c r="I231" s="213"/>
      <c r="J231" s="272">
        <v>268.13</v>
      </c>
      <c r="K231" s="112">
        <f t="shared" si="20"/>
        <v>24131.7</v>
      </c>
      <c r="L231" s="273">
        <f>BDI!$E$17</f>
        <v>0.11260000000000001</v>
      </c>
      <c r="M231" s="213"/>
      <c r="N231" s="213"/>
      <c r="O231" s="114">
        <f t="shared" si="21"/>
        <v>298.32</v>
      </c>
      <c r="P231" s="113">
        <f t="shared" si="22"/>
        <v>8054.64</v>
      </c>
      <c r="Q231" s="209"/>
      <c r="R231" s="203"/>
      <c r="S231" s="182"/>
      <c r="T231" s="182"/>
      <c r="U231" s="182"/>
      <c r="V231" s="182"/>
      <c r="W231" s="182"/>
      <c r="X231" s="182"/>
      <c r="Y231" s="182"/>
      <c r="Z231" s="182"/>
      <c r="AA231" s="182"/>
      <c r="AB231" s="182"/>
      <c r="AC231" s="182"/>
      <c r="AD231" s="182"/>
      <c r="AE231" s="182"/>
      <c r="AF231" s="182"/>
      <c r="AG231" s="182"/>
      <c r="AH231" s="182"/>
      <c r="AI231" s="182"/>
      <c r="AJ231" s="182"/>
      <c r="AK231" s="182"/>
      <c r="AL231" s="182"/>
      <c r="AM231" s="182"/>
      <c r="AN231" s="182"/>
      <c r="AO231" s="182"/>
      <c r="AP231" s="182"/>
      <c r="AQ231" s="182"/>
      <c r="AR231" s="182"/>
      <c r="AS231" s="182"/>
      <c r="AT231" s="182"/>
      <c r="AU231" s="182"/>
      <c r="AV231" s="182"/>
      <c r="AW231" s="182"/>
      <c r="AX231" s="182"/>
      <c r="AY231" s="182"/>
      <c r="AZ231" s="182"/>
      <c r="BA231" s="182"/>
      <c r="BB231" s="182"/>
      <c r="BC231" s="182"/>
      <c r="BD231" s="182"/>
      <c r="BE231" s="182"/>
      <c r="BF231" s="182"/>
      <c r="BG231" s="182"/>
      <c r="BH231" s="182"/>
      <c r="BI231" s="182"/>
      <c r="BJ231" s="182"/>
      <c r="BK231" s="182"/>
      <c r="BL231" s="182"/>
      <c r="BM231" s="182"/>
      <c r="BN231" s="182"/>
      <c r="BO231" s="182"/>
      <c r="BP231" s="182"/>
      <c r="BQ231" s="182"/>
      <c r="BR231" s="182"/>
      <c r="BS231" s="182"/>
      <c r="BT231" s="182"/>
      <c r="BU231" s="182"/>
      <c r="BV231" s="182"/>
      <c r="BW231" s="182"/>
      <c r="BX231" s="182"/>
      <c r="BY231" s="182"/>
      <c r="BZ231" s="182"/>
      <c r="CA231" s="182"/>
      <c r="CB231" s="182"/>
      <c r="CC231" s="182"/>
      <c r="CD231" s="182"/>
      <c r="CE231" s="182"/>
      <c r="CF231" s="182"/>
      <c r="CG231" s="182"/>
      <c r="CH231" s="182"/>
      <c r="CI231" s="182"/>
      <c r="CJ231" s="182"/>
      <c r="CK231" s="182"/>
      <c r="CL231" s="182"/>
      <c r="CM231" s="182"/>
      <c r="CN231" s="182"/>
      <c r="CO231" s="182"/>
      <c r="CP231" s="182"/>
      <c r="CQ231" s="182"/>
      <c r="CR231" s="182"/>
      <c r="CS231" s="182"/>
      <c r="CT231" s="182"/>
      <c r="CU231" s="182"/>
      <c r="CV231" s="182"/>
      <c r="CW231" s="182"/>
      <c r="CX231" s="182"/>
      <c r="CY231" s="182"/>
      <c r="CZ231" s="182"/>
      <c r="DA231" s="182"/>
      <c r="DB231" s="182"/>
      <c r="DC231" s="182"/>
      <c r="DD231" s="182"/>
      <c r="DE231" s="182"/>
      <c r="DF231" s="182"/>
      <c r="DG231" s="182"/>
      <c r="DH231" s="182"/>
      <c r="DI231" s="182"/>
      <c r="DJ231" s="182"/>
      <c r="DK231" s="182"/>
      <c r="DL231" s="182"/>
      <c r="DM231" s="182"/>
      <c r="DN231" s="182"/>
      <c r="DO231" s="182"/>
      <c r="DP231" s="182"/>
      <c r="DQ231" s="182"/>
      <c r="DR231" s="182"/>
      <c r="DS231" s="182"/>
      <c r="DT231" s="182"/>
      <c r="DU231" s="182"/>
      <c r="DV231" s="182"/>
      <c r="DW231" s="182"/>
      <c r="DX231" s="182"/>
      <c r="DY231" s="182"/>
      <c r="DZ231" s="182"/>
      <c r="EA231" s="182"/>
      <c r="EB231" s="182"/>
      <c r="EC231" s="182"/>
      <c r="ED231" s="182"/>
      <c r="EE231" s="182"/>
      <c r="EF231" s="182"/>
      <c r="EG231" s="182"/>
      <c r="EH231" s="182"/>
      <c r="EI231" s="182"/>
      <c r="EJ231" s="182"/>
      <c r="EK231" s="182"/>
      <c r="EL231" s="182"/>
      <c r="EM231" s="182"/>
      <c r="EN231" s="182"/>
      <c r="EO231" s="182"/>
      <c r="EP231" s="182"/>
      <c r="EQ231" s="182"/>
      <c r="ER231" s="182"/>
      <c r="ES231" s="182"/>
      <c r="ET231" s="182"/>
      <c r="EU231" s="182"/>
      <c r="EV231" s="182"/>
      <c r="EW231" s="182"/>
      <c r="EX231" s="182"/>
      <c r="EY231" s="182"/>
      <c r="EZ231" s="182"/>
      <c r="FA231" s="182"/>
      <c r="FB231" s="182"/>
      <c r="FC231" s="182"/>
      <c r="FD231" s="182"/>
      <c r="FE231" s="182"/>
      <c r="FF231" s="182"/>
      <c r="FG231" s="182"/>
      <c r="FH231" s="182"/>
      <c r="FI231" s="182"/>
      <c r="FJ231" s="182"/>
      <c r="FK231" s="182"/>
      <c r="FL231" s="182"/>
      <c r="FM231" s="182"/>
      <c r="FN231" s="182"/>
      <c r="FO231" s="182"/>
      <c r="FP231" s="182"/>
      <c r="FQ231" s="182"/>
      <c r="FR231" s="182"/>
      <c r="FS231" s="182"/>
      <c r="FT231" s="182"/>
      <c r="FU231" s="182"/>
      <c r="FV231" s="182"/>
      <c r="FW231" s="182"/>
      <c r="FX231" s="182"/>
      <c r="FY231" s="182"/>
      <c r="FZ231" s="182"/>
      <c r="GA231" s="182"/>
      <c r="GB231" s="182"/>
      <c r="GC231" s="182"/>
      <c r="GD231" s="182"/>
      <c r="GE231" s="182"/>
      <c r="GF231" s="182"/>
      <c r="GG231" s="182"/>
      <c r="GH231" s="182"/>
      <c r="GI231" s="182"/>
    </row>
    <row r="232" spans="1:191" s="183" customFormat="1" x14ac:dyDescent="0.2">
      <c r="A232" s="210" t="s">
        <v>38537</v>
      </c>
      <c r="B232" s="210" t="s">
        <v>19080</v>
      </c>
      <c r="C232" s="224" t="s">
        <v>22342</v>
      </c>
      <c r="D232" s="211" t="s">
        <v>16</v>
      </c>
      <c r="E232" s="211">
        <v>12</v>
      </c>
      <c r="F232" s="211"/>
      <c r="G232" s="211">
        <v>0.3</v>
      </c>
      <c r="H232" s="212"/>
      <c r="I232" s="213"/>
      <c r="J232" s="272">
        <v>523.07000000000005</v>
      </c>
      <c r="K232" s="112">
        <f t="shared" si="20"/>
        <v>6276.84</v>
      </c>
      <c r="L232" s="273">
        <f>BDI!$E$17</f>
        <v>0.11260000000000001</v>
      </c>
      <c r="M232" s="213"/>
      <c r="N232" s="213"/>
      <c r="O232" s="114">
        <f t="shared" si="21"/>
        <v>581.97</v>
      </c>
      <c r="P232" s="113">
        <f t="shared" si="22"/>
        <v>2095.09</v>
      </c>
      <c r="Q232" s="209"/>
      <c r="R232" s="203"/>
      <c r="S232" s="182"/>
      <c r="T232" s="182"/>
      <c r="U232" s="182"/>
      <c r="V232" s="182"/>
      <c r="W232" s="182"/>
      <c r="X232" s="182"/>
      <c r="Y232" s="182"/>
      <c r="Z232" s="182"/>
      <c r="AA232" s="182"/>
      <c r="AB232" s="182"/>
      <c r="AC232" s="182"/>
      <c r="AD232" s="182"/>
      <c r="AE232" s="182"/>
      <c r="AF232" s="182"/>
      <c r="AG232" s="182"/>
      <c r="AH232" s="182"/>
      <c r="AI232" s="182"/>
      <c r="AJ232" s="182"/>
      <c r="AK232" s="182"/>
      <c r="AL232" s="182"/>
      <c r="AM232" s="182"/>
      <c r="AN232" s="182"/>
      <c r="AO232" s="182"/>
      <c r="AP232" s="182"/>
      <c r="AQ232" s="182"/>
      <c r="AR232" s="182"/>
      <c r="AS232" s="182"/>
      <c r="AT232" s="182"/>
      <c r="AU232" s="182"/>
      <c r="AV232" s="182"/>
      <c r="AW232" s="182"/>
      <c r="AX232" s="182"/>
      <c r="AY232" s="182"/>
      <c r="AZ232" s="182"/>
      <c r="BA232" s="182"/>
      <c r="BB232" s="182"/>
      <c r="BC232" s="182"/>
      <c r="BD232" s="182"/>
      <c r="BE232" s="182"/>
      <c r="BF232" s="182"/>
      <c r="BG232" s="182"/>
      <c r="BH232" s="182"/>
      <c r="BI232" s="182"/>
      <c r="BJ232" s="182"/>
      <c r="BK232" s="182"/>
      <c r="BL232" s="182"/>
      <c r="BM232" s="182"/>
      <c r="BN232" s="182"/>
      <c r="BO232" s="182"/>
      <c r="BP232" s="182"/>
      <c r="BQ232" s="182"/>
      <c r="BR232" s="182"/>
      <c r="BS232" s="182"/>
      <c r="BT232" s="182"/>
      <c r="BU232" s="182"/>
      <c r="BV232" s="182"/>
      <c r="BW232" s="182"/>
      <c r="BX232" s="182"/>
      <c r="BY232" s="182"/>
      <c r="BZ232" s="182"/>
      <c r="CA232" s="182"/>
      <c r="CB232" s="182"/>
      <c r="CC232" s="182"/>
      <c r="CD232" s="182"/>
      <c r="CE232" s="182"/>
      <c r="CF232" s="182"/>
      <c r="CG232" s="182"/>
      <c r="CH232" s="182"/>
      <c r="CI232" s="182"/>
      <c r="CJ232" s="182"/>
      <c r="CK232" s="182"/>
      <c r="CL232" s="182"/>
      <c r="CM232" s="182"/>
      <c r="CN232" s="182"/>
      <c r="CO232" s="182"/>
      <c r="CP232" s="182"/>
      <c r="CQ232" s="182"/>
      <c r="CR232" s="182"/>
      <c r="CS232" s="182"/>
      <c r="CT232" s="182"/>
      <c r="CU232" s="182"/>
      <c r="CV232" s="182"/>
      <c r="CW232" s="182"/>
      <c r="CX232" s="182"/>
      <c r="CY232" s="182"/>
      <c r="CZ232" s="182"/>
      <c r="DA232" s="182"/>
      <c r="DB232" s="182"/>
      <c r="DC232" s="182"/>
      <c r="DD232" s="182"/>
      <c r="DE232" s="182"/>
      <c r="DF232" s="182"/>
      <c r="DG232" s="182"/>
      <c r="DH232" s="182"/>
      <c r="DI232" s="182"/>
      <c r="DJ232" s="182"/>
      <c r="DK232" s="182"/>
      <c r="DL232" s="182"/>
      <c r="DM232" s="182"/>
      <c r="DN232" s="182"/>
      <c r="DO232" s="182"/>
      <c r="DP232" s="182"/>
      <c r="DQ232" s="182"/>
      <c r="DR232" s="182"/>
      <c r="DS232" s="182"/>
      <c r="DT232" s="182"/>
      <c r="DU232" s="182"/>
      <c r="DV232" s="182"/>
      <c r="DW232" s="182"/>
      <c r="DX232" s="182"/>
      <c r="DY232" s="182"/>
      <c r="DZ232" s="182"/>
      <c r="EA232" s="182"/>
      <c r="EB232" s="182"/>
      <c r="EC232" s="182"/>
      <c r="ED232" s="182"/>
      <c r="EE232" s="182"/>
      <c r="EF232" s="182"/>
      <c r="EG232" s="182"/>
      <c r="EH232" s="182"/>
      <c r="EI232" s="182"/>
      <c r="EJ232" s="182"/>
      <c r="EK232" s="182"/>
      <c r="EL232" s="182"/>
      <c r="EM232" s="182"/>
      <c r="EN232" s="182"/>
      <c r="EO232" s="182"/>
      <c r="EP232" s="182"/>
      <c r="EQ232" s="182"/>
      <c r="ER232" s="182"/>
      <c r="ES232" s="182"/>
      <c r="ET232" s="182"/>
      <c r="EU232" s="182"/>
      <c r="EV232" s="182"/>
      <c r="EW232" s="182"/>
      <c r="EX232" s="182"/>
      <c r="EY232" s="182"/>
      <c r="EZ232" s="182"/>
      <c r="FA232" s="182"/>
      <c r="FB232" s="182"/>
      <c r="FC232" s="182"/>
      <c r="FD232" s="182"/>
      <c r="FE232" s="182"/>
      <c r="FF232" s="182"/>
      <c r="FG232" s="182"/>
      <c r="FH232" s="182"/>
      <c r="FI232" s="182"/>
      <c r="FJ232" s="182"/>
      <c r="FK232" s="182"/>
      <c r="FL232" s="182"/>
      <c r="FM232" s="182"/>
      <c r="FN232" s="182"/>
      <c r="FO232" s="182"/>
      <c r="FP232" s="182"/>
      <c r="FQ232" s="182"/>
      <c r="FR232" s="182"/>
      <c r="FS232" s="182"/>
      <c r="FT232" s="182"/>
      <c r="FU232" s="182"/>
      <c r="FV232" s="182"/>
      <c r="FW232" s="182"/>
      <c r="FX232" s="182"/>
      <c r="FY232" s="182"/>
      <c r="FZ232" s="182"/>
      <c r="GA232" s="182"/>
      <c r="GB232" s="182"/>
      <c r="GC232" s="182"/>
      <c r="GD232" s="182"/>
      <c r="GE232" s="182"/>
      <c r="GF232" s="182"/>
      <c r="GG232" s="182"/>
      <c r="GH232" s="182"/>
      <c r="GI232" s="182"/>
    </row>
    <row r="233" spans="1:191" s="183" customFormat="1" x14ac:dyDescent="0.2">
      <c r="A233" s="210" t="s">
        <v>38538</v>
      </c>
      <c r="B233" s="210" t="s">
        <v>19081</v>
      </c>
      <c r="C233" s="224" t="s">
        <v>22343</v>
      </c>
      <c r="D233" s="211" t="s">
        <v>16</v>
      </c>
      <c r="E233" s="211">
        <v>18</v>
      </c>
      <c r="F233" s="211"/>
      <c r="G233" s="211">
        <v>0.3</v>
      </c>
      <c r="H233" s="212"/>
      <c r="I233" s="213"/>
      <c r="J233" s="272">
        <v>340</v>
      </c>
      <c r="K233" s="112">
        <f t="shared" si="20"/>
        <v>6120</v>
      </c>
      <c r="L233" s="273">
        <f>BDI!$E$17</f>
        <v>0.11260000000000001</v>
      </c>
      <c r="M233" s="213"/>
      <c r="N233" s="213"/>
      <c r="O233" s="114">
        <f t="shared" si="21"/>
        <v>378.28</v>
      </c>
      <c r="P233" s="113">
        <f t="shared" si="22"/>
        <v>2042.71</v>
      </c>
      <c r="Q233" s="209"/>
      <c r="R233" s="203"/>
      <c r="S233" s="182"/>
      <c r="T233" s="182"/>
      <c r="U233" s="182"/>
      <c r="V233" s="182"/>
      <c r="W233" s="182"/>
      <c r="X233" s="182"/>
      <c r="Y233" s="182"/>
      <c r="Z233" s="182"/>
      <c r="AA233" s="182"/>
      <c r="AB233" s="182"/>
      <c r="AC233" s="182"/>
      <c r="AD233" s="182"/>
      <c r="AE233" s="182"/>
      <c r="AF233" s="182"/>
      <c r="AG233" s="182"/>
      <c r="AH233" s="182"/>
      <c r="AI233" s="182"/>
      <c r="AJ233" s="182"/>
      <c r="AK233" s="182"/>
      <c r="AL233" s="182"/>
      <c r="AM233" s="182"/>
      <c r="AN233" s="182"/>
      <c r="AO233" s="182"/>
      <c r="AP233" s="182"/>
      <c r="AQ233" s="182"/>
      <c r="AR233" s="182"/>
      <c r="AS233" s="182"/>
      <c r="AT233" s="182"/>
      <c r="AU233" s="182"/>
      <c r="AV233" s="182"/>
      <c r="AW233" s="182"/>
      <c r="AX233" s="182"/>
      <c r="AY233" s="182"/>
      <c r="AZ233" s="182"/>
      <c r="BA233" s="182"/>
      <c r="BB233" s="182"/>
      <c r="BC233" s="182"/>
      <c r="BD233" s="182"/>
      <c r="BE233" s="182"/>
      <c r="BF233" s="182"/>
      <c r="BG233" s="182"/>
      <c r="BH233" s="182"/>
      <c r="BI233" s="182"/>
      <c r="BJ233" s="182"/>
      <c r="BK233" s="182"/>
      <c r="BL233" s="182"/>
      <c r="BM233" s="182"/>
      <c r="BN233" s="182"/>
      <c r="BO233" s="182"/>
      <c r="BP233" s="182"/>
      <c r="BQ233" s="182"/>
      <c r="BR233" s="182"/>
      <c r="BS233" s="182"/>
      <c r="BT233" s="182"/>
      <c r="BU233" s="182"/>
      <c r="BV233" s="182"/>
      <c r="BW233" s="182"/>
      <c r="BX233" s="182"/>
      <c r="BY233" s="182"/>
      <c r="BZ233" s="182"/>
      <c r="CA233" s="182"/>
      <c r="CB233" s="182"/>
      <c r="CC233" s="182"/>
      <c r="CD233" s="182"/>
      <c r="CE233" s="182"/>
      <c r="CF233" s="182"/>
      <c r="CG233" s="182"/>
      <c r="CH233" s="182"/>
      <c r="CI233" s="182"/>
      <c r="CJ233" s="182"/>
      <c r="CK233" s="182"/>
      <c r="CL233" s="182"/>
      <c r="CM233" s="182"/>
      <c r="CN233" s="182"/>
      <c r="CO233" s="182"/>
      <c r="CP233" s="182"/>
      <c r="CQ233" s="182"/>
      <c r="CR233" s="182"/>
      <c r="CS233" s="182"/>
      <c r="CT233" s="182"/>
      <c r="CU233" s="182"/>
      <c r="CV233" s="182"/>
      <c r="CW233" s="182"/>
      <c r="CX233" s="182"/>
      <c r="CY233" s="182"/>
      <c r="CZ233" s="182"/>
      <c r="DA233" s="182"/>
      <c r="DB233" s="182"/>
      <c r="DC233" s="182"/>
      <c r="DD233" s="182"/>
      <c r="DE233" s="182"/>
      <c r="DF233" s="182"/>
      <c r="DG233" s="182"/>
      <c r="DH233" s="182"/>
      <c r="DI233" s="182"/>
      <c r="DJ233" s="182"/>
      <c r="DK233" s="182"/>
      <c r="DL233" s="182"/>
      <c r="DM233" s="182"/>
      <c r="DN233" s="182"/>
      <c r="DO233" s="182"/>
      <c r="DP233" s="182"/>
      <c r="DQ233" s="182"/>
      <c r="DR233" s="182"/>
      <c r="DS233" s="182"/>
      <c r="DT233" s="182"/>
      <c r="DU233" s="182"/>
      <c r="DV233" s="182"/>
      <c r="DW233" s="182"/>
      <c r="DX233" s="182"/>
      <c r="DY233" s="182"/>
      <c r="DZ233" s="182"/>
      <c r="EA233" s="182"/>
      <c r="EB233" s="182"/>
      <c r="EC233" s="182"/>
      <c r="ED233" s="182"/>
      <c r="EE233" s="182"/>
      <c r="EF233" s="182"/>
      <c r="EG233" s="182"/>
      <c r="EH233" s="182"/>
      <c r="EI233" s="182"/>
      <c r="EJ233" s="182"/>
      <c r="EK233" s="182"/>
      <c r="EL233" s="182"/>
      <c r="EM233" s="182"/>
      <c r="EN233" s="182"/>
      <c r="EO233" s="182"/>
      <c r="EP233" s="182"/>
      <c r="EQ233" s="182"/>
      <c r="ER233" s="182"/>
      <c r="ES233" s="182"/>
      <c r="ET233" s="182"/>
      <c r="EU233" s="182"/>
      <c r="EV233" s="182"/>
      <c r="EW233" s="182"/>
      <c r="EX233" s="182"/>
      <c r="EY233" s="182"/>
      <c r="EZ233" s="182"/>
      <c r="FA233" s="182"/>
      <c r="FB233" s="182"/>
      <c r="FC233" s="182"/>
      <c r="FD233" s="182"/>
      <c r="FE233" s="182"/>
      <c r="FF233" s="182"/>
      <c r="FG233" s="182"/>
      <c r="FH233" s="182"/>
      <c r="FI233" s="182"/>
      <c r="FJ233" s="182"/>
      <c r="FK233" s="182"/>
      <c r="FL233" s="182"/>
      <c r="FM233" s="182"/>
      <c r="FN233" s="182"/>
      <c r="FO233" s="182"/>
      <c r="FP233" s="182"/>
      <c r="FQ233" s="182"/>
      <c r="FR233" s="182"/>
      <c r="FS233" s="182"/>
      <c r="FT233" s="182"/>
      <c r="FU233" s="182"/>
      <c r="FV233" s="182"/>
      <c r="FW233" s="182"/>
      <c r="FX233" s="182"/>
      <c r="FY233" s="182"/>
      <c r="FZ233" s="182"/>
      <c r="GA233" s="182"/>
      <c r="GB233" s="182"/>
      <c r="GC233" s="182"/>
      <c r="GD233" s="182"/>
      <c r="GE233" s="182"/>
      <c r="GF233" s="182"/>
      <c r="GG233" s="182"/>
      <c r="GH233" s="182"/>
      <c r="GI233" s="182"/>
    </row>
    <row r="234" spans="1:191" s="183" customFormat="1" x14ac:dyDescent="0.2">
      <c r="A234" s="210" t="s">
        <v>38539</v>
      </c>
      <c r="B234" s="210" t="s">
        <v>19082</v>
      </c>
      <c r="C234" s="224" t="s">
        <v>22344</v>
      </c>
      <c r="D234" s="211" t="s">
        <v>16</v>
      </c>
      <c r="E234" s="211">
        <v>90</v>
      </c>
      <c r="F234" s="211"/>
      <c r="G234" s="211">
        <v>0.3</v>
      </c>
      <c r="H234" s="212"/>
      <c r="I234" s="213"/>
      <c r="J234" s="272">
        <v>375.98</v>
      </c>
      <c r="K234" s="112">
        <f t="shared" si="20"/>
        <v>33838.199999999997</v>
      </c>
      <c r="L234" s="273">
        <f>BDI!$E$17</f>
        <v>0.11260000000000001</v>
      </c>
      <c r="M234" s="213"/>
      <c r="N234" s="213"/>
      <c r="O234" s="114">
        <f t="shared" si="21"/>
        <v>418.32</v>
      </c>
      <c r="P234" s="113">
        <f t="shared" si="22"/>
        <v>11294.64</v>
      </c>
      <c r="Q234" s="209"/>
      <c r="R234" s="203"/>
      <c r="S234" s="182"/>
      <c r="T234" s="182"/>
      <c r="U234" s="182"/>
      <c r="V234" s="182"/>
      <c r="W234" s="182"/>
      <c r="X234" s="182"/>
      <c r="Y234" s="182"/>
      <c r="Z234" s="182"/>
      <c r="AA234" s="182"/>
      <c r="AB234" s="182"/>
      <c r="AC234" s="182"/>
      <c r="AD234" s="182"/>
      <c r="AE234" s="182"/>
      <c r="AF234" s="182"/>
      <c r="AG234" s="182"/>
      <c r="AH234" s="182"/>
      <c r="AI234" s="182"/>
      <c r="AJ234" s="182"/>
      <c r="AK234" s="182"/>
      <c r="AL234" s="182"/>
      <c r="AM234" s="182"/>
      <c r="AN234" s="182"/>
      <c r="AO234" s="182"/>
      <c r="AP234" s="182"/>
      <c r="AQ234" s="182"/>
      <c r="AR234" s="182"/>
      <c r="AS234" s="182"/>
      <c r="AT234" s="182"/>
      <c r="AU234" s="182"/>
      <c r="AV234" s="182"/>
      <c r="AW234" s="182"/>
      <c r="AX234" s="182"/>
      <c r="AY234" s="182"/>
      <c r="AZ234" s="182"/>
      <c r="BA234" s="182"/>
      <c r="BB234" s="182"/>
      <c r="BC234" s="182"/>
      <c r="BD234" s="182"/>
      <c r="BE234" s="182"/>
      <c r="BF234" s="182"/>
      <c r="BG234" s="182"/>
      <c r="BH234" s="182"/>
      <c r="BI234" s="182"/>
      <c r="BJ234" s="182"/>
      <c r="BK234" s="182"/>
      <c r="BL234" s="182"/>
      <c r="BM234" s="182"/>
      <c r="BN234" s="182"/>
      <c r="BO234" s="182"/>
      <c r="BP234" s="182"/>
      <c r="BQ234" s="182"/>
      <c r="BR234" s="182"/>
      <c r="BS234" s="182"/>
      <c r="BT234" s="182"/>
      <c r="BU234" s="182"/>
      <c r="BV234" s="182"/>
      <c r="BW234" s="182"/>
      <c r="BX234" s="182"/>
      <c r="BY234" s="182"/>
      <c r="BZ234" s="182"/>
      <c r="CA234" s="182"/>
      <c r="CB234" s="182"/>
      <c r="CC234" s="182"/>
      <c r="CD234" s="182"/>
      <c r="CE234" s="182"/>
      <c r="CF234" s="182"/>
      <c r="CG234" s="182"/>
      <c r="CH234" s="182"/>
      <c r="CI234" s="182"/>
      <c r="CJ234" s="182"/>
      <c r="CK234" s="182"/>
      <c r="CL234" s="182"/>
      <c r="CM234" s="182"/>
      <c r="CN234" s="182"/>
      <c r="CO234" s="182"/>
      <c r="CP234" s="182"/>
      <c r="CQ234" s="182"/>
      <c r="CR234" s="182"/>
      <c r="CS234" s="182"/>
      <c r="CT234" s="182"/>
      <c r="CU234" s="182"/>
      <c r="CV234" s="182"/>
      <c r="CW234" s="182"/>
      <c r="CX234" s="182"/>
      <c r="CY234" s="182"/>
      <c r="CZ234" s="182"/>
      <c r="DA234" s="182"/>
      <c r="DB234" s="182"/>
      <c r="DC234" s="182"/>
      <c r="DD234" s="182"/>
      <c r="DE234" s="182"/>
      <c r="DF234" s="182"/>
      <c r="DG234" s="182"/>
      <c r="DH234" s="182"/>
      <c r="DI234" s="182"/>
      <c r="DJ234" s="182"/>
      <c r="DK234" s="182"/>
      <c r="DL234" s="182"/>
      <c r="DM234" s="182"/>
      <c r="DN234" s="182"/>
      <c r="DO234" s="182"/>
      <c r="DP234" s="182"/>
      <c r="DQ234" s="182"/>
      <c r="DR234" s="182"/>
      <c r="DS234" s="182"/>
      <c r="DT234" s="182"/>
      <c r="DU234" s="182"/>
      <c r="DV234" s="182"/>
      <c r="DW234" s="182"/>
      <c r="DX234" s="182"/>
      <c r="DY234" s="182"/>
      <c r="DZ234" s="182"/>
      <c r="EA234" s="182"/>
      <c r="EB234" s="182"/>
      <c r="EC234" s="182"/>
      <c r="ED234" s="182"/>
      <c r="EE234" s="182"/>
      <c r="EF234" s="182"/>
      <c r="EG234" s="182"/>
      <c r="EH234" s="182"/>
      <c r="EI234" s="182"/>
      <c r="EJ234" s="182"/>
      <c r="EK234" s="182"/>
      <c r="EL234" s="182"/>
      <c r="EM234" s="182"/>
      <c r="EN234" s="182"/>
      <c r="EO234" s="182"/>
      <c r="EP234" s="182"/>
      <c r="EQ234" s="182"/>
      <c r="ER234" s="182"/>
      <c r="ES234" s="182"/>
      <c r="ET234" s="182"/>
      <c r="EU234" s="182"/>
      <c r="EV234" s="182"/>
      <c r="EW234" s="182"/>
      <c r="EX234" s="182"/>
      <c r="EY234" s="182"/>
      <c r="EZ234" s="182"/>
      <c r="FA234" s="182"/>
      <c r="FB234" s="182"/>
      <c r="FC234" s="182"/>
      <c r="FD234" s="182"/>
      <c r="FE234" s="182"/>
      <c r="FF234" s="182"/>
      <c r="FG234" s="182"/>
      <c r="FH234" s="182"/>
      <c r="FI234" s="182"/>
      <c r="FJ234" s="182"/>
      <c r="FK234" s="182"/>
      <c r="FL234" s="182"/>
      <c r="FM234" s="182"/>
      <c r="FN234" s="182"/>
      <c r="FO234" s="182"/>
      <c r="FP234" s="182"/>
      <c r="FQ234" s="182"/>
      <c r="FR234" s="182"/>
      <c r="FS234" s="182"/>
      <c r="FT234" s="182"/>
      <c r="FU234" s="182"/>
      <c r="FV234" s="182"/>
      <c r="FW234" s="182"/>
      <c r="FX234" s="182"/>
      <c r="FY234" s="182"/>
      <c r="FZ234" s="182"/>
      <c r="GA234" s="182"/>
      <c r="GB234" s="182"/>
      <c r="GC234" s="182"/>
      <c r="GD234" s="182"/>
      <c r="GE234" s="182"/>
      <c r="GF234" s="182"/>
      <c r="GG234" s="182"/>
      <c r="GH234" s="182"/>
      <c r="GI234" s="182"/>
    </row>
    <row r="235" spans="1:191" s="183" customFormat="1" x14ac:dyDescent="0.2">
      <c r="A235" s="210" t="s">
        <v>38540</v>
      </c>
      <c r="B235" s="210" t="s">
        <v>19083</v>
      </c>
      <c r="C235" s="224" t="s">
        <v>1479</v>
      </c>
      <c r="D235" s="211" t="s">
        <v>16</v>
      </c>
      <c r="E235" s="211">
        <v>20</v>
      </c>
      <c r="F235" s="211"/>
      <c r="G235" s="211">
        <v>0.3</v>
      </c>
      <c r="H235" s="212"/>
      <c r="I235" s="213"/>
      <c r="J235" s="272">
        <v>493.99</v>
      </c>
      <c r="K235" s="112">
        <f t="shared" si="20"/>
        <v>9879.7999999999993</v>
      </c>
      <c r="L235" s="273">
        <f>BDI!$E$17</f>
        <v>0.11260000000000001</v>
      </c>
      <c r="M235" s="213"/>
      <c r="N235" s="213"/>
      <c r="O235" s="114">
        <f t="shared" si="21"/>
        <v>549.61</v>
      </c>
      <c r="P235" s="113">
        <f t="shared" si="22"/>
        <v>3297.66</v>
      </c>
      <c r="Q235" s="209"/>
      <c r="R235" s="203"/>
      <c r="S235" s="182"/>
      <c r="T235" s="182"/>
      <c r="U235" s="182"/>
      <c r="V235" s="182"/>
      <c r="W235" s="182"/>
      <c r="X235" s="182"/>
      <c r="Y235" s="182"/>
      <c r="Z235" s="182"/>
      <c r="AA235" s="182"/>
      <c r="AB235" s="182"/>
      <c r="AC235" s="182"/>
      <c r="AD235" s="182"/>
      <c r="AE235" s="182"/>
      <c r="AF235" s="182"/>
      <c r="AG235" s="182"/>
      <c r="AH235" s="182"/>
      <c r="AI235" s="182"/>
      <c r="AJ235" s="182"/>
      <c r="AK235" s="182"/>
      <c r="AL235" s="182"/>
      <c r="AM235" s="182"/>
      <c r="AN235" s="182"/>
      <c r="AO235" s="182"/>
      <c r="AP235" s="182"/>
      <c r="AQ235" s="182"/>
      <c r="AR235" s="182"/>
      <c r="AS235" s="182"/>
      <c r="AT235" s="182"/>
      <c r="AU235" s="182"/>
      <c r="AV235" s="182"/>
      <c r="AW235" s="182"/>
      <c r="AX235" s="182"/>
      <c r="AY235" s="182"/>
      <c r="AZ235" s="182"/>
      <c r="BA235" s="182"/>
      <c r="BB235" s="182"/>
      <c r="BC235" s="182"/>
      <c r="BD235" s="182"/>
      <c r="BE235" s="182"/>
      <c r="BF235" s="182"/>
      <c r="BG235" s="182"/>
      <c r="BH235" s="182"/>
      <c r="BI235" s="182"/>
      <c r="BJ235" s="182"/>
      <c r="BK235" s="182"/>
      <c r="BL235" s="182"/>
      <c r="BM235" s="182"/>
      <c r="BN235" s="182"/>
      <c r="BO235" s="182"/>
      <c r="BP235" s="182"/>
      <c r="BQ235" s="182"/>
      <c r="BR235" s="182"/>
      <c r="BS235" s="182"/>
      <c r="BT235" s="182"/>
      <c r="BU235" s="182"/>
      <c r="BV235" s="182"/>
      <c r="BW235" s="182"/>
      <c r="BX235" s="182"/>
      <c r="BY235" s="182"/>
      <c r="BZ235" s="182"/>
      <c r="CA235" s="182"/>
      <c r="CB235" s="182"/>
      <c r="CC235" s="182"/>
      <c r="CD235" s="182"/>
      <c r="CE235" s="182"/>
      <c r="CF235" s="182"/>
      <c r="CG235" s="182"/>
      <c r="CH235" s="182"/>
      <c r="CI235" s="182"/>
      <c r="CJ235" s="182"/>
      <c r="CK235" s="182"/>
      <c r="CL235" s="182"/>
      <c r="CM235" s="182"/>
      <c r="CN235" s="182"/>
      <c r="CO235" s="182"/>
      <c r="CP235" s="182"/>
      <c r="CQ235" s="182"/>
      <c r="CR235" s="182"/>
      <c r="CS235" s="182"/>
      <c r="CT235" s="182"/>
      <c r="CU235" s="182"/>
      <c r="CV235" s="182"/>
      <c r="CW235" s="182"/>
      <c r="CX235" s="182"/>
      <c r="CY235" s="182"/>
      <c r="CZ235" s="182"/>
      <c r="DA235" s="182"/>
      <c r="DB235" s="182"/>
      <c r="DC235" s="182"/>
      <c r="DD235" s="182"/>
      <c r="DE235" s="182"/>
      <c r="DF235" s="182"/>
      <c r="DG235" s="182"/>
      <c r="DH235" s="182"/>
      <c r="DI235" s="182"/>
      <c r="DJ235" s="182"/>
      <c r="DK235" s="182"/>
      <c r="DL235" s="182"/>
      <c r="DM235" s="182"/>
      <c r="DN235" s="182"/>
      <c r="DO235" s="182"/>
      <c r="DP235" s="182"/>
      <c r="DQ235" s="182"/>
      <c r="DR235" s="182"/>
      <c r="DS235" s="182"/>
      <c r="DT235" s="182"/>
      <c r="DU235" s="182"/>
      <c r="DV235" s="182"/>
      <c r="DW235" s="182"/>
      <c r="DX235" s="182"/>
      <c r="DY235" s="182"/>
      <c r="DZ235" s="182"/>
      <c r="EA235" s="182"/>
      <c r="EB235" s="182"/>
      <c r="EC235" s="182"/>
      <c r="ED235" s="182"/>
      <c r="EE235" s="182"/>
      <c r="EF235" s="182"/>
      <c r="EG235" s="182"/>
      <c r="EH235" s="182"/>
      <c r="EI235" s="182"/>
      <c r="EJ235" s="182"/>
      <c r="EK235" s="182"/>
      <c r="EL235" s="182"/>
      <c r="EM235" s="182"/>
      <c r="EN235" s="182"/>
      <c r="EO235" s="182"/>
      <c r="EP235" s="182"/>
      <c r="EQ235" s="182"/>
      <c r="ER235" s="182"/>
      <c r="ES235" s="182"/>
      <c r="ET235" s="182"/>
      <c r="EU235" s="182"/>
      <c r="EV235" s="182"/>
      <c r="EW235" s="182"/>
      <c r="EX235" s="182"/>
      <c r="EY235" s="182"/>
      <c r="EZ235" s="182"/>
      <c r="FA235" s="182"/>
      <c r="FB235" s="182"/>
      <c r="FC235" s="182"/>
      <c r="FD235" s="182"/>
      <c r="FE235" s="182"/>
      <c r="FF235" s="182"/>
      <c r="FG235" s="182"/>
      <c r="FH235" s="182"/>
      <c r="FI235" s="182"/>
      <c r="FJ235" s="182"/>
      <c r="FK235" s="182"/>
      <c r="FL235" s="182"/>
      <c r="FM235" s="182"/>
      <c r="FN235" s="182"/>
      <c r="FO235" s="182"/>
      <c r="FP235" s="182"/>
      <c r="FQ235" s="182"/>
      <c r="FR235" s="182"/>
      <c r="FS235" s="182"/>
      <c r="FT235" s="182"/>
      <c r="FU235" s="182"/>
      <c r="FV235" s="182"/>
      <c r="FW235" s="182"/>
      <c r="FX235" s="182"/>
      <c r="FY235" s="182"/>
      <c r="FZ235" s="182"/>
      <c r="GA235" s="182"/>
      <c r="GB235" s="182"/>
      <c r="GC235" s="182"/>
      <c r="GD235" s="182"/>
      <c r="GE235" s="182"/>
      <c r="GF235" s="182"/>
      <c r="GG235" s="182"/>
      <c r="GH235" s="182"/>
      <c r="GI235" s="182"/>
    </row>
    <row r="236" spans="1:191" s="183" customFormat="1" x14ac:dyDescent="0.2">
      <c r="A236" s="210" t="s">
        <v>38541</v>
      </c>
      <c r="B236" s="210" t="s">
        <v>19084</v>
      </c>
      <c r="C236" s="224" t="s">
        <v>22345</v>
      </c>
      <c r="D236" s="211" t="s">
        <v>16</v>
      </c>
      <c r="E236" s="211">
        <v>15</v>
      </c>
      <c r="F236" s="211"/>
      <c r="G236" s="211">
        <v>0.3</v>
      </c>
      <c r="H236" s="212"/>
      <c r="I236" s="213"/>
      <c r="J236" s="272">
        <v>306.31</v>
      </c>
      <c r="K236" s="112">
        <f t="shared" si="20"/>
        <v>4594.6499999999996</v>
      </c>
      <c r="L236" s="273">
        <f>BDI!$E$17</f>
        <v>0.11260000000000001</v>
      </c>
      <c r="M236" s="213"/>
      <c r="N236" s="213"/>
      <c r="O236" s="114">
        <f t="shared" si="21"/>
        <v>340.8</v>
      </c>
      <c r="P236" s="113">
        <f t="shared" si="22"/>
        <v>1533.6</v>
      </c>
      <c r="Q236" s="209"/>
      <c r="R236" s="203"/>
      <c r="S236" s="182"/>
      <c r="T236" s="182"/>
      <c r="U236" s="182"/>
      <c r="V236" s="182"/>
      <c r="W236" s="182"/>
      <c r="X236" s="182"/>
      <c r="Y236" s="182"/>
      <c r="Z236" s="182"/>
      <c r="AA236" s="182"/>
      <c r="AB236" s="182"/>
      <c r="AC236" s="182"/>
      <c r="AD236" s="182"/>
      <c r="AE236" s="182"/>
      <c r="AF236" s="182"/>
      <c r="AG236" s="182"/>
      <c r="AH236" s="182"/>
      <c r="AI236" s="182"/>
      <c r="AJ236" s="182"/>
      <c r="AK236" s="182"/>
      <c r="AL236" s="182"/>
      <c r="AM236" s="182"/>
      <c r="AN236" s="182"/>
      <c r="AO236" s="182"/>
      <c r="AP236" s="182"/>
      <c r="AQ236" s="182"/>
      <c r="AR236" s="182"/>
      <c r="AS236" s="182"/>
      <c r="AT236" s="182"/>
      <c r="AU236" s="182"/>
      <c r="AV236" s="182"/>
      <c r="AW236" s="182"/>
      <c r="AX236" s="182"/>
      <c r="AY236" s="182"/>
      <c r="AZ236" s="182"/>
      <c r="BA236" s="182"/>
      <c r="BB236" s="182"/>
      <c r="BC236" s="182"/>
      <c r="BD236" s="182"/>
      <c r="BE236" s="182"/>
      <c r="BF236" s="182"/>
      <c r="BG236" s="182"/>
      <c r="BH236" s="182"/>
      <c r="BI236" s="182"/>
      <c r="BJ236" s="182"/>
      <c r="BK236" s="182"/>
      <c r="BL236" s="182"/>
      <c r="BM236" s="182"/>
      <c r="BN236" s="182"/>
      <c r="BO236" s="182"/>
      <c r="BP236" s="182"/>
      <c r="BQ236" s="182"/>
      <c r="BR236" s="182"/>
      <c r="BS236" s="182"/>
      <c r="BT236" s="182"/>
      <c r="BU236" s="182"/>
      <c r="BV236" s="182"/>
      <c r="BW236" s="182"/>
      <c r="BX236" s="182"/>
      <c r="BY236" s="182"/>
      <c r="BZ236" s="182"/>
      <c r="CA236" s="182"/>
      <c r="CB236" s="182"/>
      <c r="CC236" s="182"/>
      <c r="CD236" s="182"/>
      <c r="CE236" s="182"/>
      <c r="CF236" s="182"/>
      <c r="CG236" s="182"/>
      <c r="CH236" s="182"/>
      <c r="CI236" s="182"/>
      <c r="CJ236" s="182"/>
      <c r="CK236" s="182"/>
      <c r="CL236" s="182"/>
      <c r="CM236" s="182"/>
      <c r="CN236" s="182"/>
      <c r="CO236" s="182"/>
      <c r="CP236" s="182"/>
      <c r="CQ236" s="182"/>
      <c r="CR236" s="182"/>
      <c r="CS236" s="182"/>
      <c r="CT236" s="182"/>
      <c r="CU236" s="182"/>
      <c r="CV236" s="182"/>
      <c r="CW236" s="182"/>
      <c r="CX236" s="182"/>
      <c r="CY236" s="182"/>
      <c r="CZ236" s="182"/>
      <c r="DA236" s="182"/>
      <c r="DB236" s="182"/>
      <c r="DC236" s="182"/>
      <c r="DD236" s="182"/>
      <c r="DE236" s="182"/>
      <c r="DF236" s="182"/>
      <c r="DG236" s="182"/>
      <c r="DH236" s="182"/>
      <c r="DI236" s="182"/>
      <c r="DJ236" s="182"/>
      <c r="DK236" s="182"/>
      <c r="DL236" s="182"/>
      <c r="DM236" s="182"/>
      <c r="DN236" s="182"/>
      <c r="DO236" s="182"/>
      <c r="DP236" s="182"/>
      <c r="DQ236" s="182"/>
      <c r="DR236" s="182"/>
      <c r="DS236" s="182"/>
      <c r="DT236" s="182"/>
      <c r="DU236" s="182"/>
      <c r="DV236" s="182"/>
      <c r="DW236" s="182"/>
      <c r="DX236" s="182"/>
      <c r="DY236" s="182"/>
      <c r="DZ236" s="182"/>
      <c r="EA236" s="182"/>
      <c r="EB236" s="182"/>
      <c r="EC236" s="182"/>
      <c r="ED236" s="182"/>
      <c r="EE236" s="182"/>
      <c r="EF236" s="182"/>
      <c r="EG236" s="182"/>
      <c r="EH236" s="182"/>
      <c r="EI236" s="182"/>
      <c r="EJ236" s="182"/>
      <c r="EK236" s="182"/>
      <c r="EL236" s="182"/>
      <c r="EM236" s="182"/>
      <c r="EN236" s="182"/>
      <c r="EO236" s="182"/>
      <c r="EP236" s="182"/>
      <c r="EQ236" s="182"/>
      <c r="ER236" s="182"/>
      <c r="ES236" s="182"/>
      <c r="ET236" s="182"/>
      <c r="EU236" s="182"/>
      <c r="EV236" s="182"/>
      <c r="EW236" s="182"/>
      <c r="EX236" s="182"/>
      <c r="EY236" s="182"/>
      <c r="EZ236" s="182"/>
      <c r="FA236" s="182"/>
      <c r="FB236" s="182"/>
      <c r="FC236" s="182"/>
      <c r="FD236" s="182"/>
      <c r="FE236" s="182"/>
      <c r="FF236" s="182"/>
      <c r="FG236" s="182"/>
      <c r="FH236" s="182"/>
      <c r="FI236" s="182"/>
      <c r="FJ236" s="182"/>
      <c r="FK236" s="182"/>
      <c r="FL236" s="182"/>
      <c r="FM236" s="182"/>
      <c r="FN236" s="182"/>
      <c r="FO236" s="182"/>
      <c r="FP236" s="182"/>
      <c r="FQ236" s="182"/>
      <c r="FR236" s="182"/>
      <c r="FS236" s="182"/>
      <c r="FT236" s="182"/>
      <c r="FU236" s="182"/>
      <c r="FV236" s="182"/>
      <c r="FW236" s="182"/>
      <c r="FX236" s="182"/>
      <c r="FY236" s="182"/>
      <c r="FZ236" s="182"/>
      <c r="GA236" s="182"/>
      <c r="GB236" s="182"/>
      <c r="GC236" s="182"/>
      <c r="GD236" s="182"/>
      <c r="GE236" s="182"/>
      <c r="GF236" s="182"/>
      <c r="GG236" s="182"/>
      <c r="GH236" s="182"/>
      <c r="GI236" s="182"/>
    </row>
    <row r="237" spans="1:191" s="183" customFormat="1" ht="25.5" x14ac:dyDescent="0.2">
      <c r="A237" s="210" t="s">
        <v>38542</v>
      </c>
      <c r="B237" s="210" t="s">
        <v>19085</v>
      </c>
      <c r="C237" s="224" t="s">
        <v>22346</v>
      </c>
      <c r="D237" s="211" t="s">
        <v>16</v>
      </c>
      <c r="E237" s="211">
        <v>60</v>
      </c>
      <c r="F237" s="211"/>
      <c r="G237" s="211">
        <v>0.3</v>
      </c>
      <c r="H237" s="212"/>
      <c r="I237" s="213"/>
      <c r="J237" s="272">
        <v>61.71</v>
      </c>
      <c r="K237" s="112">
        <f t="shared" si="20"/>
        <v>3702.6</v>
      </c>
      <c r="L237" s="273">
        <f>BDI!$E$17</f>
        <v>0.11260000000000001</v>
      </c>
      <c r="M237" s="213"/>
      <c r="N237" s="213"/>
      <c r="O237" s="114">
        <f t="shared" si="21"/>
        <v>68.66</v>
      </c>
      <c r="P237" s="113">
        <f t="shared" si="22"/>
        <v>1235.8800000000001</v>
      </c>
      <c r="Q237" s="209"/>
      <c r="R237" s="203"/>
      <c r="S237" s="182"/>
      <c r="T237" s="182"/>
      <c r="U237" s="182"/>
      <c r="V237" s="182"/>
      <c r="W237" s="182"/>
      <c r="X237" s="182"/>
      <c r="Y237" s="182"/>
      <c r="Z237" s="182"/>
      <c r="AA237" s="182"/>
      <c r="AB237" s="182"/>
      <c r="AC237" s="182"/>
      <c r="AD237" s="182"/>
      <c r="AE237" s="182"/>
      <c r="AF237" s="182"/>
      <c r="AG237" s="182"/>
      <c r="AH237" s="182"/>
      <c r="AI237" s="182"/>
      <c r="AJ237" s="182"/>
      <c r="AK237" s="182"/>
      <c r="AL237" s="182"/>
      <c r="AM237" s="182"/>
      <c r="AN237" s="182"/>
      <c r="AO237" s="182"/>
      <c r="AP237" s="182"/>
      <c r="AQ237" s="182"/>
      <c r="AR237" s="182"/>
      <c r="AS237" s="182"/>
      <c r="AT237" s="182"/>
      <c r="AU237" s="182"/>
      <c r="AV237" s="182"/>
      <c r="AW237" s="182"/>
      <c r="AX237" s="182"/>
      <c r="AY237" s="182"/>
      <c r="AZ237" s="182"/>
      <c r="BA237" s="182"/>
      <c r="BB237" s="182"/>
      <c r="BC237" s="182"/>
      <c r="BD237" s="182"/>
      <c r="BE237" s="182"/>
      <c r="BF237" s="182"/>
      <c r="BG237" s="182"/>
      <c r="BH237" s="182"/>
      <c r="BI237" s="182"/>
      <c r="BJ237" s="182"/>
      <c r="BK237" s="182"/>
      <c r="BL237" s="182"/>
      <c r="BM237" s="182"/>
      <c r="BN237" s="182"/>
      <c r="BO237" s="182"/>
      <c r="BP237" s="182"/>
      <c r="BQ237" s="182"/>
      <c r="BR237" s="182"/>
      <c r="BS237" s="182"/>
      <c r="BT237" s="182"/>
      <c r="BU237" s="182"/>
      <c r="BV237" s="182"/>
      <c r="BW237" s="182"/>
      <c r="BX237" s="182"/>
      <c r="BY237" s="182"/>
      <c r="BZ237" s="182"/>
      <c r="CA237" s="182"/>
      <c r="CB237" s="182"/>
      <c r="CC237" s="182"/>
      <c r="CD237" s="182"/>
      <c r="CE237" s="182"/>
      <c r="CF237" s="182"/>
      <c r="CG237" s="182"/>
      <c r="CH237" s="182"/>
      <c r="CI237" s="182"/>
      <c r="CJ237" s="182"/>
      <c r="CK237" s="182"/>
      <c r="CL237" s="182"/>
      <c r="CM237" s="182"/>
      <c r="CN237" s="182"/>
      <c r="CO237" s="182"/>
      <c r="CP237" s="182"/>
      <c r="CQ237" s="182"/>
      <c r="CR237" s="182"/>
      <c r="CS237" s="182"/>
      <c r="CT237" s="182"/>
      <c r="CU237" s="182"/>
      <c r="CV237" s="182"/>
      <c r="CW237" s="182"/>
      <c r="CX237" s="182"/>
      <c r="CY237" s="182"/>
      <c r="CZ237" s="182"/>
      <c r="DA237" s="182"/>
      <c r="DB237" s="182"/>
      <c r="DC237" s="182"/>
      <c r="DD237" s="182"/>
      <c r="DE237" s="182"/>
      <c r="DF237" s="182"/>
      <c r="DG237" s="182"/>
      <c r="DH237" s="182"/>
      <c r="DI237" s="182"/>
      <c r="DJ237" s="182"/>
      <c r="DK237" s="182"/>
      <c r="DL237" s="182"/>
      <c r="DM237" s="182"/>
      <c r="DN237" s="182"/>
      <c r="DO237" s="182"/>
      <c r="DP237" s="182"/>
      <c r="DQ237" s="182"/>
      <c r="DR237" s="182"/>
      <c r="DS237" s="182"/>
      <c r="DT237" s="182"/>
      <c r="DU237" s="182"/>
      <c r="DV237" s="182"/>
      <c r="DW237" s="182"/>
      <c r="DX237" s="182"/>
      <c r="DY237" s="182"/>
      <c r="DZ237" s="182"/>
      <c r="EA237" s="182"/>
      <c r="EB237" s="182"/>
      <c r="EC237" s="182"/>
      <c r="ED237" s="182"/>
      <c r="EE237" s="182"/>
      <c r="EF237" s="182"/>
      <c r="EG237" s="182"/>
      <c r="EH237" s="182"/>
      <c r="EI237" s="182"/>
      <c r="EJ237" s="182"/>
      <c r="EK237" s="182"/>
      <c r="EL237" s="182"/>
      <c r="EM237" s="182"/>
      <c r="EN237" s="182"/>
      <c r="EO237" s="182"/>
      <c r="EP237" s="182"/>
      <c r="EQ237" s="182"/>
      <c r="ER237" s="182"/>
      <c r="ES237" s="182"/>
      <c r="ET237" s="182"/>
      <c r="EU237" s="182"/>
      <c r="EV237" s="182"/>
      <c r="EW237" s="182"/>
      <c r="EX237" s="182"/>
      <c r="EY237" s="182"/>
      <c r="EZ237" s="182"/>
      <c r="FA237" s="182"/>
      <c r="FB237" s="182"/>
      <c r="FC237" s="182"/>
      <c r="FD237" s="182"/>
      <c r="FE237" s="182"/>
      <c r="FF237" s="182"/>
      <c r="FG237" s="182"/>
      <c r="FH237" s="182"/>
      <c r="FI237" s="182"/>
      <c r="FJ237" s="182"/>
      <c r="FK237" s="182"/>
      <c r="FL237" s="182"/>
      <c r="FM237" s="182"/>
      <c r="FN237" s="182"/>
      <c r="FO237" s="182"/>
      <c r="FP237" s="182"/>
      <c r="FQ237" s="182"/>
      <c r="FR237" s="182"/>
      <c r="FS237" s="182"/>
      <c r="FT237" s="182"/>
      <c r="FU237" s="182"/>
      <c r="FV237" s="182"/>
      <c r="FW237" s="182"/>
      <c r="FX237" s="182"/>
      <c r="FY237" s="182"/>
      <c r="FZ237" s="182"/>
      <c r="GA237" s="182"/>
      <c r="GB237" s="182"/>
      <c r="GC237" s="182"/>
      <c r="GD237" s="182"/>
      <c r="GE237" s="182"/>
      <c r="GF237" s="182"/>
      <c r="GG237" s="182"/>
      <c r="GH237" s="182"/>
      <c r="GI237" s="182"/>
    </row>
    <row r="238" spans="1:191" s="183" customFormat="1" ht="25.5" x14ac:dyDescent="0.2">
      <c r="A238" s="210" t="s">
        <v>38543</v>
      </c>
      <c r="B238" s="210" t="s">
        <v>19086</v>
      </c>
      <c r="C238" s="224" t="s">
        <v>22347</v>
      </c>
      <c r="D238" s="211" t="s">
        <v>16</v>
      </c>
      <c r="E238" s="211">
        <v>15</v>
      </c>
      <c r="F238" s="211"/>
      <c r="G238" s="211">
        <v>0.3</v>
      </c>
      <c r="H238" s="212"/>
      <c r="I238" s="213"/>
      <c r="J238" s="272">
        <v>71.760000000000005</v>
      </c>
      <c r="K238" s="112">
        <f t="shared" si="20"/>
        <v>1076.4000000000001</v>
      </c>
      <c r="L238" s="273">
        <f>BDI!$E$17</f>
        <v>0.11260000000000001</v>
      </c>
      <c r="M238" s="213"/>
      <c r="N238" s="213"/>
      <c r="O238" s="114">
        <f t="shared" si="21"/>
        <v>79.84</v>
      </c>
      <c r="P238" s="113">
        <f t="shared" si="22"/>
        <v>359.28</v>
      </c>
      <c r="Q238" s="209"/>
      <c r="R238" s="203"/>
      <c r="S238" s="182"/>
      <c r="T238" s="182"/>
      <c r="U238" s="182"/>
      <c r="V238" s="182"/>
      <c r="W238" s="182"/>
      <c r="X238" s="182"/>
      <c r="Y238" s="182"/>
      <c r="Z238" s="182"/>
      <c r="AA238" s="182"/>
      <c r="AB238" s="182"/>
      <c r="AC238" s="182"/>
      <c r="AD238" s="182"/>
      <c r="AE238" s="182"/>
      <c r="AF238" s="182"/>
      <c r="AG238" s="182"/>
      <c r="AH238" s="182"/>
      <c r="AI238" s="182"/>
      <c r="AJ238" s="182"/>
      <c r="AK238" s="182"/>
      <c r="AL238" s="182"/>
      <c r="AM238" s="182"/>
      <c r="AN238" s="182"/>
      <c r="AO238" s="182"/>
      <c r="AP238" s="182"/>
      <c r="AQ238" s="182"/>
      <c r="AR238" s="182"/>
      <c r="AS238" s="182"/>
      <c r="AT238" s="182"/>
      <c r="AU238" s="182"/>
      <c r="AV238" s="182"/>
      <c r="AW238" s="182"/>
      <c r="AX238" s="182"/>
      <c r="AY238" s="182"/>
      <c r="AZ238" s="182"/>
      <c r="BA238" s="182"/>
      <c r="BB238" s="182"/>
      <c r="BC238" s="182"/>
      <c r="BD238" s="182"/>
      <c r="BE238" s="182"/>
      <c r="BF238" s="182"/>
      <c r="BG238" s="182"/>
      <c r="BH238" s="182"/>
      <c r="BI238" s="182"/>
      <c r="BJ238" s="182"/>
      <c r="BK238" s="182"/>
      <c r="BL238" s="182"/>
      <c r="BM238" s="182"/>
      <c r="BN238" s="182"/>
      <c r="BO238" s="182"/>
      <c r="BP238" s="182"/>
      <c r="BQ238" s="182"/>
      <c r="BR238" s="182"/>
      <c r="BS238" s="182"/>
      <c r="BT238" s="182"/>
      <c r="BU238" s="182"/>
      <c r="BV238" s="182"/>
      <c r="BW238" s="182"/>
      <c r="BX238" s="182"/>
      <c r="BY238" s="182"/>
      <c r="BZ238" s="182"/>
      <c r="CA238" s="182"/>
      <c r="CB238" s="182"/>
      <c r="CC238" s="182"/>
      <c r="CD238" s="182"/>
      <c r="CE238" s="182"/>
      <c r="CF238" s="182"/>
      <c r="CG238" s="182"/>
      <c r="CH238" s="182"/>
      <c r="CI238" s="182"/>
      <c r="CJ238" s="182"/>
      <c r="CK238" s="182"/>
      <c r="CL238" s="182"/>
      <c r="CM238" s="182"/>
      <c r="CN238" s="182"/>
      <c r="CO238" s="182"/>
      <c r="CP238" s="182"/>
      <c r="CQ238" s="182"/>
      <c r="CR238" s="182"/>
      <c r="CS238" s="182"/>
      <c r="CT238" s="182"/>
      <c r="CU238" s="182"/>
      <c r="CV238" s="182"/>
      <c r="CW238" s="182"/>
      <c r="CX238" s="182"/>
      <c r="CY238" s="182"/>
      <c r="CZ238" s="182"/>
      <c r="DA238" s="182"/>
      <c r="DB238" s="182"/>
      <c r="DC238" s="182"/>
      <c r="DD238" s="182"/>
      <c r="DE238" s="182"/>
      <c r="DF238" s="182"/>
      <c r="DG238" s="182"/>
      <c r="DH238" s="182"/>
      <c r="DI238" s="182"/>
      <c r="DJ238" s="182"/>
      <c r="DK238" s="182"/>
      <c r="DL238" s="182"/>
      <c r="DM238" s="182"/>
      <c r="DN238" s="182"/>
      <c r="DO238" s="182"/>
      <c r="DP238" s="182"/>
      <c r="DQ238" s="182"/>
      <c r="DR238" s="182"/>
      <c r="DS238" s="182"/>
      <c r="DT238" s="182"/>
      <c r="DU238" s="182"/>
      <c r="DV238" s="182"/>
      <c r="DW238" s="182"/>
      <c r="DX238" s="182"/>
      <c r="DY238" s="182"/>
      <c r="DZ238" s="182"/>
      <c r="EA238" s="182"/>
      <c r="EB238" s="182"/>
      <c r="EC238" s="182"/>
      <c r="ED238" s="182"/>
      <c r="EE238" s="182"/>
      <c r="EF238" s="182"/>
      <c r="EG238" s="182"/>
      <c r="EH238" s="182"/>
      <c r="EI238" s="182"/>
      <c r="EJ238" s="182"/>
      <c r="EK238" s="182"/>
      <c r="EL238" s="182"/>
      <c r="EM238" s="182"/>
      <c r="EN238" s="182"/>
      <c r="EO238" s="182"/>
      <c r="EP238" s="182"/>
      <c r="EQ238" s="182"/>
      <c r="ER238" s="182"/>
      <c r="ES238" s="182"/>
      <c r="ET238" s="182"/>
      <c r="EU238" s="182"/>
      <c r="EV238" s="182"/>
      <c r="EW238" s="182"/>
      <c r="EX238" s="182"/>
      <c r="EY238" s="182"/>
      <c r="EZ238" s="182"/>
      <c r="FA238" s="182"/>
      <c r="FB238" s="182"/>
      <c r="FC238" s="182"/>
      <c r="FD238" s="182"/>
      <c r="FE238" s="182"/>
      <c r="FF238" s="182"/>
      <c r="FG238" s="182"/>
      <c r="FH238" s="182"/>
      <c r="FI238" s="182"/>
      <c r="FJ238" s="182"/>
      <c r="FK238" s="182"/>
      <c r="FL238" s="182"/>
      <c r="FM238" s="182"/>
      <c r="FN238" s="182"/>
      <c r="FO238" s="182"/>
      <c r="FP238" s="182"/>
      <c r="FQ238" s="182"/>
      <c r="FR238" s="182"/>
      <c r="FS238" s="182"/>
      <c r="FT238" s="182"/>
      <c r="FU238" s="182"/>
      <c r="FV238" s="182"/>
      <c r="FW238" s="182"/>
      <c r="FX238" s="182"/>
      <c r="FY238" s="182"/>
      <c r="FZ238" s="182"/>
      <c r="GA238" s="182"/>
      <c r="GB238" s="182"/>
      <c r="GC238" s="182"/>
      <c r="GD238" s="182"/>
      <c r="GE238" s="182"/>
      <c r="GF238" s="182"/>
      <c r="GG238" s="182"/>
      <c r="GH238" s="182"/>
      <c r="GI238" s="182"/>
    </row>
    <row r="239" spans="1:191" s="183" customFormat="1" ht="25.5" x14ac:dyDescent="0.2">
      <c r="A239" s="210" t="s">
        <v>38544</v>
      </c>
      <c r="B239" s="210" t="s">
        <v>19087</v>
      </c>
      <c r="C239" s="224" t="s">
        <v>22348</v>
      </c>
      <c r="D239" s="211" t="s">
        <v>16</v>
      </c>
      <c r="E239" s="211">
        <v>15</v>
      </c>
      <c r="F239" s="211"/>
      <c r="G239" s="211">
        <v>0.3</v>
      </c>
      <c r="H239" s="212"/>
      <c r="I239" s="213"/>
      <c r="J239" s="272">
        <v>59.44</v>
      </c>
      <c r="K239" s="112">
        <f t="shared" si="20"/>
        <v>891.6</v>
      </c>
      <c r="L239" s="273">
        <f>BDI!$E$17</f>
        <v>0.11260000000000001</v>
      </c>
      <c r="M239" s="213"/>
      <c r="N239" s="213"/>
      <c r="O239" s="114">
        <f t="shared" si="21"/>
        <v>66.13</v>
      </c>
      <c r="P239" s="113">
        <f t="shared" si="22"/>
        <v>297.58999999999997</v>
      </c>
      <c r="Q239" s="209"/>
      <c r="R239" s="203"/>
      <c r="S239" s="182"/>
      <c r="T239" s="182"/>
      <c r="U239" s="182"/>
      <c r="V239" s="182"/>
      <c r="W239" s="182"/>
      <c r="X239" s="182"/>
      <c r="Y239" s="182"/>
      <c r="Z239" s="182"/>
      <c r="AA239" s="182"/>
      <c r="AB239" s="182"/>
      <c r="AC239" s="182"/>
      <c r="AD239" s="182"/>
      <c r="AE239" s="182"/>
      <c r="AF239" s="182"/>
      <c r="AG239" s="182"/>
      <c r="AH239" s="182"/>
      <c r="AI239" s="182"/>
      <c r="AJ239" s="182"/>
      <c r="AK239" s="182"/>
      <c r="AL239" s="182"/>
      <c r="AM239" s="182"/>
      <c r="AN239" s="182"/>
      <c r="AO239" s="182"/>
      <c r="AP239" s="182"/>
      <c r="AQ239" s="182"/>
      <c r="AR239" s="182"/>
      <c r="AS239" s="182"/>
      <c r="AT239" s="182"/>
      <c r="AU239" s="182"/>
      <c r="AV239" s="182"/>
      <c r="AW239" s="182"/>
      <c r="AX239" s="182"/>
      <c r="AY239" s="182"/>
      <c r="AZ239" s="182"/>
      <c r="BA239" s="182"/>
      <c r="BB239" s="182"/>
      <c r="BC239" s="182"/>
      <c r="BD239" s="182"/>
      <c r="BE239" s="182"/>
      <c r="BF239" s="182"/>
      <c r="BG239" s="182"/>
      <c r="BH239" s="182"/>
      <c r="BI239" s="182"/>
      <c r="BJ239" s="182"/>
      <c r="BK239" s="182"/>
      <c r="BL239" s="182"/>
      <c r="BM239" s="182"/>
      <c r="BN239" s="182"/>
      <c r="BO239" s="182"/>
      <c r="BP239" s="182"/>
      <c r="BQ239" s="182"/>
      <c r="BR239" s="182"/>
      <c r="BS239" s="182"/>
      <c r="BT239" s="182"/>
      <c r="BU239" s="182"/>
      <c r="BV239" s="182"/>
      <c r="BW239" s="182"/>
      <c r="BX239" s="182"/>
      <c r="BY239" s="182"/>
      <c r="BZ239" s="182"/>
      <c r="CA239" s="182"/>
      <c r="CB239" s="182"/>
      <c r="CC239" s="182"/>
      <c r="CD239" s="182"/>
      <c r="CE239" s="182"/>
      <c r="CF239" s="182"/>
      <c r="CG239" s="182"/>
      <c r="CH239" s="182"/>
      <c r="CI239" s="182"/>
      <c r="CJ239" s="182"/>
      <c r="CK239" s="182"/>
      <c r="CL239" s="182"/>
      <c r="CM239" s="182"/>
      <c r="CN239" s="182"/>
      <c r="CO239" s="182"/>
      <c r="CP239" s="182"/>
      <c r="CQ239" s="182"/>
      <c r="CR239" s="182"/>
      <c r="CS239" s="182"/>
      <c r="CT239" s="182"/>
      <c r="CU239" s="182"/>
      <c r="CV239" s="182"/>
      <c r="CW239" s="182"/>
      <c r="CX239" s="182"/>
      <c r="CY239" s="182"/>
      <c r="CZ239" s="182"/>
      <c r="DA239" s="182"/>
      <c r="DB239" s="182"/>
      <c r="DC239" s="182"/>
      <c r="DD239" s="182"/>
      <c r="DE239" s="182"/>
      <c r="DF239" s="182"/>
      <c r="DG239" s="182"/>
      <c r="DH239" s="182"/>
      <c r="DI239" s="182"/>
      <c r="DJ239" s="182"/>
      <c r="DK239" s="182"/>
      <c r="DL239" s="182"/>
      <c r="DM239" s="182"/>
      <c r="DN239" s="182"/>
      <c r="DO239" s="182"/>
      <c r="DP239" s="182"/>
      <c r="DQ239" s="182"/>
      <c r="DR239" s="182"/>
      <c r="DS239" s="182"/>
      <c r="DT239" s="182"/>
      <c r="DU239" s="182"/>
      <c r="DV239" s="182"/>
      <c r="DW239" s="182"/>
      <c r="DX239" s="182"/>
      <c r="DY239" s="182"/>
      <c r="DZ239" s="182"/>
      <c r="EA239" s="182"/>
      <c r="EB239" s="182"/>
      <c r="EC239" s="182"/>
      <c r="ED239" s="182"/>
      <c r="EE239" s="182"/>
      <c r="EF239" s="182"/>
      <c r="EG239" s="182"/>
      <c r="EH239" s="182"/>
      <c r="EI239" s="182"/>
      <c r="EJ239" s="182"/>
      <c r="EK239" s="182"/>
      <c r="EL239" s="182"/>
      <c r="EM239" s="182"/>
      <c r="EN239" s="182"/>
      <c r="EO239" s="182"/>
      <c r="EP239" s="182"/>
      <c r="EQ239" s="182"/>
      <c r="ER239" s="182"/>
      <c r="ES239" s="182"/>
      <c r="ET239" s="182"/>
      <c r="EU239" s="182"/>
      <c r="EV239" s="182"/>
      <c r="EW239" s="182"/>
      <c r="EX239" s="182"/>
      <c r="EY239" s="182"/>
      <c r="EZ239" s="182"/>
      <c r="FA239" s="182"/>
      <c r="FB239" s="182"/>
      <c r="FC239" s="182"/>
      <c r="FD239" s="182"/>
      <c r="FE239" s="182"/>
      <c r="FF239" s="182"/>
      <c r="FG239" s="182"/>
      <c r="FH239" s="182"/>
      <c r="FI239" s="182"/>
      <c r="FJ239" s="182"/>
      <c r="FK239" s="182"/>
      <c r="FL239" s="182"/>
      <c r="FM239" s="182"/>
      <c r="FN239" s="182"/>
      <c r="FO239" s="182"/>
      <c r="FP239" s="182"/>
      <c r="FQ239" s="182"/>
      <c r="FR239" s="182"/>
      <c r="FS239" s="182"/>
      <c r="FT239" s="182"/>
      <c r="FU239" s="182"/>
      <c r="FV239" s="182"/>
      <c r="FW239" s="182"/>
      <c r="FX239" s="182"/>
      <c r="FY239" s="182"/>
      <c r="FZ239" s="182"/>
      <c r="GA239" s="182"/>
      <c r="GB239" s="182"/>
      <c r="GC239" s="182"/>
      <c r="GD239" s="182"/>
      <c r="GE239" s="182"/>
      <c r="GF239" s="182"/>
      <c r="GG239" s="182"/>
      <c r="GH239" s="182"/>
      <c r="GI239" s="182"/>
    </row>
    <row r="240" spans="1:191" s="183" customFormat="1" ht="25.5" x14ac:dyDescent="0.2">
      <c r="A240" s="210" t="s">
        <v>38545</v>
      </c>
      <c r="B240" s="210" t="s">
        <v>19088</v>
      </c>
      <c r="C240" s="224" t="s">
        <v>22349</v>
      </c>
      <c r="D240" s="211" t="s">
        <v>16</v>
      </c>
      <c r="E240" s="211">
        <v>5</v>
      </c>
      <c r="F240" s="211"/>
      <c r="G240" s="211">
        <v>0.3</v>
      </c>
      <c r="H240" s="212"/>
      <c r="I240" s="213"/>
      <c r="J240" s="272">
        <v>62.82</v>
      </c>
      <c r="K240" s="112">
        <f t="shared" si="20"/>
        <v>314.10000000000002</v>
      </c>
      <c r="L240" s="273">
        <f>BDI!$E$17</f>
        <v>0.11260000000000001</v>
      </c>
      <c r="M240" s="213"/>
      <c r="N240" s="213"/>
      <c r="O240" s="114">
        <f t="shared" si="21"/>
        <v>69.89</v>
      </c>
      <c r="P240" s="113">
        <f t="shared" si="22"/>
        <v>104.84</v>
      </c>
      <c r="Q240" s="209"/>
      <c r="R240" s="203"/>
      <c r="S240" s="182"/>
      <c r="T240" s="182"/>
      <c r="U240" s="182"/>
      <c r="V240" s="182"/>
      <c r="W240" s="182"/>
      <c r="X240" s="182"/>
      <c r="Y240" s="182"/>
      <c r="Z240" s="182"/>
      <c r="AA240" s="182"/>
      <c r="AB240" s="182"/>
      <c r="AC240" s="182"/>
      <c r="AD240" s="182"/>
      <c r="AE240" s="182"/>
      <c r="AF240" s="182"/>
      <c r="AG240" s="182"/>
      <c r="AH240" s="182"/>
      <c r="AI240" s="182"/>
      <c r="AJ240" s="182"/>
      <c r="AK240" s="182"/>
      <c r="AL240" s="182"/>
      <c r="AM240" s="182"/>
      <c r="AN240" s="182"/>
      <c r="AO240" s="182"/>
      <c r="AP240" s="182"/>
      <c r="AQ240" s="182"/>
      <c r="AR240" s="182"/>
      <c r="AS240" s="182"/>
      <c r="AT240" s="182"/>
      <c r="AU240" s="182"/>
      <c r="AV240" s="182"/>
      <c r="AW240" s="182"/>
      <c r="AX240" s="182"/>
      <c r="AY240" s="182"/>
      <c r="AZ240" s="182"/>
      <c r="BA240" s="182"/>
      <c r="BB240" s="182"/>
      <c r="BC240" s="182"/>
      <c r="BD240" s="182"/>
      <c r="BE240" s="182"/>
      <c r="BF240" s="182"/>
      <c r="BG240" s="182"/>
      <c r="BH240" s="182"/>
      <c r="BI240" s="182"/>
      <c r="BJ240" s="182"/>
      <c r="BK240" s="182"/>
      <c r="BL240" s="182"/>
      <c r="BM240" s="182"/>
      <c r="BN240" s="182"/>
      <c r="BO240" s="182"/>
      <c r="BP240" s="182"/>
      <c r="BQ240" s="182"/>
      <c r="BR240" s="182"/>
      <c r="BS240" s="182"/>
      <c r="BT240" s="182"/>
      <c r="BU240" s="182"/>
      <c r="BV240" s="182"/>
      <c r="BW240" s="182"/>
      <c r="BX240" s="182"/>
      <c r="BY240" s="182"/>
      <c r="BZ240" s="182"/>
      <c r="CA240" s="182"/>
      <c r="CB240" s="182"/>
      <c r="CC240" s="182"/>
      <c r="CD240" s="182"/>
      <c r="CE240" s="182"/>
      <c r="CF240" s="182"/>
      <c r="CG240" s="182"/>
      <c r="CH240" s="182"/>
      <c r="CI240" s="182"/>
      <c r="CJ240" s="182"/>
      <c r="CK240" s="182"/>
      <c r="CL240" s="182"/>
      <c r="CM240" s="182"/>
      <c r="CN240" s="182"/>
      <c r="CO240" s="182"/>
      <c r="CP240" s="182"/>
      <c r="CQ240" s="182"/>
      <c r="CR240" s="182"/>
      <c r="CS240" s="182"/>
      <c r="CT240" s="182"/>
      <c r="CU240" s="182"/>
      <c r="CV240" s="182"/>
      <c r="CW240" s="182"/>
      <c r="CX240" s="182"/>
      <c r="CY240" s="182"/>
      <c r="CZ240" s="182"/>
      <c r="DA240" s="182"/>
      <c r="DB240" s="182"/>
      <c r="DC240" s="182"/>
      <c r="DD240" s="182"/>
      <c r="DE240" s="182"/>
      <c r="DF240" s="182"/>
      <c r="DG240" s="182"/>
      <c r="DH240" s="182"/>
      <c r="DI240" s="182"/>
      <c r="DJ240" s="182"/>
      <c r="DK240" s="182"/>
      <c r="DL240" s="182"/>
      <c r="DM240" s="182"/>
      <c r="DN240" s="182"/>
      <c r="DO240" s="182"/>
      <c r="DP240" s="182"/>
      <c r="DQ240" s="182"/>
      <c r="DR240" s="182"/>
      <c r="DS240" s="182"/>
      <c r="DT240" s="182"/>
      <c r="DU240" s="182"/>
      <c r="DV240" s="182"/>
      <c r="DW240" s="182"/>
      <c r="DX240" s="182"/>
      <c r="DY240" s="182"/>
      <c r="DZ240" s="182"/>
      <c r="EA240" s="182"/>
      <c r="EB240" s="182"/>
      <c r="EC240" s="182"/>
      <c r="ED240" s="182"/>
      <c r="EE240" s="182"/>
      <c r="EF240" s="182"/>
      <c r="EG240" s="182"/>
      <c r="EH240" s="182"/>
      <c r="EI240" s="182"/>
      <c r="EJ240" s="182"/>
      <c r="EK240" s="182"/>
      <c r="EL240" s="182"/>
      <c r="EM240" s="182"/>
      <c r="EN240" s="182"/>
      <c r="EO240" s="182"/>
      <c r="EP240" s="182"/>
      <c r="EQ240" s="182"/>
      <c r="ER240" s="182"/>
      <c r="ES240" s="182"/>
      <c r="ET240" s="182"/>
      <c r="EU240" s="182"/>
      <c r="EV240" s="182"/>
      <c r="EW240" s="182"/>
      <c r="EX240" s="182"/>
      <c r="EY240" s="182"/>
      <c r="EZ240" s="182"/>
      <c r="FA240" s="182"/>
      <c r="FB240" s="182"/>
      <c r="FC240" s="182"/>
      <c r="FD240" s="182"/>
      <c r="FE240" s="182"/>
      <c r="FF240" s="182"/>
      <c r="FG240" s="182"/>
      <c r="FH240" s="182"/>
      <c r="FI240" s="182"/>
      <c r="FJ240" s="182"/>
      <c r="FK240" s="182"/>
      <c r="FL240" s="182"/>
      <c r="FM240" s="182"/>
      <c r="FN240" s="182"/>
      <c r="FO240" s="182"/>
      <c r="FP240" s="182"/>
      <c r="FQ240" s="182"/>
      <c r="FR240" s="182"/>
      <c r="FS240" s="182"/>
      <c r="FT240" s="182"/>
      <c r="FU240" s="182"/>
      <c r="FV240" s="182"/>
      <c r="FW240" s="182"/>
      <c r="FX240" s="182"/>
      <c r="FY240" s="182"/>
      <c r="FZ240" s="182"/>
      <c r="GA240" s="182"/>
      <c r="GB240" s="182"/>
      <c r="GC240" s="182"/>
      <c r="GD240" s="182"/>
      <c r="GE240" s="182"/>
      <c r="GF240" s="182"/>
      <c r="GG240" s="182"/>
      <c r="GH240" s="182"/>
      <c r="GI240" s="182"/>
    </row>
    <row r="241" spans="1:191" s="183" customFormat="1" ht="25.5" x14ac:dyDescent="0.2">
      <c r="A241" s="210" t="s">
        <v>38546</v>
      </c>
      <c r="B241" s="210" t="s">
        <v>19089</v>
      </c>
      <c r="C241" s="224" t="s">
        <v>22350</v>
      </c>
      <c r="D241" s="211" t="s">
        <v>16</v>
      </c>
      <c r="E241" s="211">
        <v>5</v>
      </c>
      <c r="F241" s="211"/>
      <c r="G241" s="211">
        <v>0.3</v>
      </c>
      <c r="H241" s="212"/>
      <c r="I241" s="213"/>
      <c r="J241" s="272">
        <v>153.84</v>
      </c>
      <c r="K241" s="112">
        <f t="shared" si="20"/>
        <v>769.2</v>
      </c>
      <c r="L241" s="273">
        <f>BDI!$E$17</f>
        <v>0.11260000000000001</v>
      </c>
      <c r="M241" s="213"/>
      <c r="N241" s="213"/>
      <c r="O241" s="114">
        <f t="shared" si="21"/>
        <v>171.16</v>
      </c>
      <c r="P241" s="113">
        <f t="shared" si="22"/>
        <v>256.74</v>
      </c>
      <c r="Q241" s="209"/>
      <c r="R241" s="203"/>
      <c r="S241" s="182"/>
      <c r="T241" s="182"/>
      <c r="U241" s="182"/>
      <c r="V241" s="182"/>
      <c r="W241" s="182"/>
      <c r="X241" s="182"/>
      <c r="Y241" s="182"/>
      <c r="Z241" s="182"/>
      <c r="AA241" s="182"/>
      <c r="AB241" s="182"/>
      <c r="AC241" s="182"/>
      <c r="AD241" s="182"/>
      <c r="AE241" s="182"/>
      <c r="AF241" s="182"/>
      <c r="AG241" s="182"/>
      <c r="AH241" s="182"/>
      <c r="AI241" s="182"/>
      <c r="AJ241" s="182"/>
      <c r="AK241" s="182"/>
      <c r="AL241" s="182"/>
      <c r="AM241" s="182"/>
      <c r="AN241" s="182"/>
      <c r="AO241" s="182"/>
      <c r="AP241" s="182"/>
      <c r="AQ241" s="182"/>
      <c r="AR241" s="182"/>
      <c r="AS241" s="182"/>
      <c r="AT241" s="182"/>
      <c r="AU241" s="182"/>
      <c r="AV241" s="182"/>
      <c r="AW241" s="182"/>
      <c r="AX241" s="182"/>
      <c r="AY241" s="182"/>
      <c r="AZ241" s="182"/>
      <c r="BA241" s="182"/>
      <c r="BB241" s="182"/>
      <c r="BC241" s="182"/>
      <c r="BD241" s="182"/>
      <c r="BE241" s="182"/>
      <c r="BF241" s="182"/>
      <c r="BG241" s="182"/>
      <c r="BH241" s="182"/>
      <c r="BI241" s="182"/>
      <c r="BJ241" s="182"/>
      <c r="BK241" s="182"/>
      <c r="BL241" s="182"/>
      <c r="BM241" s="182"/>
      <c r="BN241" s="182"/>
      <c r="BO241" s="182"/>
      <c r="BP241" s="182"/>
      <c r="BQ241" s="182"/>
      <c r="BR241" s="182"/>
      <c r="BS241" s="182"/>
      <c r="BT241" s="182"/>
      <c r="BU241" s="182"/>
      <c r="BV241" s="182"/>
      <c r="BW241" s="182"/>
      <c r="BX241" s="182"/>
      <c r="BY241" s="182"/>
      <c r="BZ241" s="182"/>
      <c r="CA241" s="182"/>
      <c r="CB241" s="182"/>
      <c r="CC241" s="182"/>
      <c r="CD241" s="182"/>
      <c r="CE241" s="182"/>
      <c r="CF241" s="182"/>
      <c r="CG241" s="182"/>
      <c r="CH241" s="182"/>
      <c r="CI241" s="182"/>
      <c r="CJ241" s="182"/>
      <c r="CK241" s="182"/>
      <c r="CL241" s="182"/>
      <c r="CM241" s="182"/>
      <c r="CN241" s="182"/>
      <c r="CO241" s="182"/>
      <c r="CP241" s="182"/>
      <c r="CQ241" s="182"/>
      <c r="CR241" s="182"/>
      <c r="CS241" s="182"/>
      <c r="CT241" s="182"/>
      <c r="CU241" s="182"/>
      <c r="CV241" s="182"/>
      <c r="CW241" s="182"/>
      <c r="CX241" s="182"/>
      <c r="CY241" s="182"/>
      <c r="CZ241" s="182"/>
      <c r="DA241" s="182"/>
      <c r="DB241" s="182"/>
      <c r="DC241" s="182"/>
      <c r="DD241" s="182"/>
      <c r="DE241" s="182"/>
      <c r="DF241" s="182"/>
      <c r="DG241" s="182"/>
      <c r="DH241" s="182"/>
      <c r="DI241" s="182"/>
      <c r="DJ241" s="182"/>
      <c r="DK241" s="182"/>
      <c r="DL241" s="182"/>
      <c r="DM241" s="182"/>
      <c r="DN241" s="182"/>
      <c r="DO241" s="182"/>
      <c r="DP241" s="182"/>
      <c r="DQ241" s="182"/>
      <c r="DR241" s="182"/>
      <c r="DS241" s="182"/>
      <c r="DT241" s="182"/>
      <c r="DU241" s="182"/>
      <c r="DV241" s="182"/>
      <c r="DW241" s="182"/>
      <c r="DX241" s="182"/>
      <c r="DY241" s="182"/>
      <c r="DZ241" s="182"/>
      <c r="EA241" s="182"/>
      <c r="EB241" s="182"/>
      <c r="EC241" s="182"/>
      <c r="ED241" s="182"/>
      <c r="EE241" s="182"/>
      <c r="EF241" s="182"/>
      <c r="EG241" s="182"/>
      <c r="EH241" s="182"/>
      <c r="EI241" s="182"/>
      <c r="EJ241" s="182"/>
      <c r="EK241" s="182"/>
      <c r="EL241" s="182"/>
      <c r="EM241" s="182"/>
      <c r="EN241" s="182"/>
      <c r="EO241" s="182"/>
      <c r="EP241" s="182"/>
      <c r="EQ241" s="182"/>
      <c r="ER241" s="182"/>
      <c r="ES241" s="182"/>
      <c r="ET241" s="182"/>
      <c r="EU241" s="182"/>
      <c r="EV241" s="182"/>
      <c r="EW241" s="182"/>
      <c r="EX241" s="182"/>
      <c r="EY241" s="182"/>
      <c r="EZ241" s="182"/>
      <c r="FA241" s="182"/>
      <c r="FB241" s="182"/>
      <c r="FC241" s="182"/>
      <c r="FD241" s="182"/>
      <c r="FE241" s="182"/>
      <c r="FF241" s="182"/>
      <c r="FG241" s="182"/>
      <c r="FH241" s="182"/>
      <c r="FI241" s="182"/>
      <c r="FJ241" s="182"/>
      <c r="FK241" s="182"/>
      <c r="FL241" s="182"/>
      <c r="FM241" s="182"/>
      <c r="FN241" s="182"/>
      <c r="FO241" s="182"/>
      <c r="FP241" s="182"/>
      <c r="FQ241" s="182"/>
      <c r="FR241" s="182"/>
      <c r="FS241" s="182"/>
      <c r="FT241" s="182"/>
      <c r="FU241" s="182"/>
      <c r="FV241" s="182"/>
      <c r="FW241" s="182"/>
      <c r="FX241" s="182"/>
      <c r="FY241" s="182"/>
      <c r="FZ241" s="182"/>
      <c r="GA241" s="182"/>
      <c r="GB241" s="182"/>
      <c r="GC241" s="182"/>
      <c r="GD241" s="182"/>
      <c r="GE241" s="182"/>
      <c r="GF241" s="182"/>
      <c r="GG241" s="182"/>
      <c r="GH241" s="182"/>
      <c r="GI241" s="182"/>
    </row>
    <row r="242" spans="1:191" s="183" customFormat="1" ht="25.5" x14ac:dyDescent="0.2">
      <c r="A242" s="210" t="s">
        <v>38547</v>
      </c>
      <c r="B242" s="210" t="s">
        <v>19090</v>
      </c>
      <c r="C242" s="224" t="s">
        <v>22351</v>
      </c>
      <c r="D242" s="211" t="s">
        <v>16</v>
      </c>
      <c r="E242" s="211">
        <v>5</v>
      </c>
      <c r="F242" s="211"/>
      <c r="G242" s="211">
        <v>0.3</v>
      </c>
      <c r="H242" s="212"/>
      <c r="I242" s="213"/>
      <c r="J242" s="272">
        <v>157.55000000000001</v>
      </c>
      <c r="K242" s="112">
        <f t="shared" si="20"/>
        <v>787.75</v>
      </c>
      <c r="L242" s="273">
        <f>BDI!$E$17</f>
        <v>0.11260000000000001</v>
      </c>
      <c r="M242" s="213"/>
      <c r="N242" s="213"/>
      <c r="O242" s="114">
        <f t="shared" si="21"/>
        <v>175.29</v>
      </c>
      <c r="P242" s="113">
        <f t="shared" si="22"/>
        <v>262.94</v>
      </c>
      <c r="Q242" s="209"/>
      <c r="R242" s="203"/>
      <c r="S242" s="182"/>
      <c r="T242" s="182"/>
      <c r="U242" s="182"/>
      <c r="V242" s="182"/>
      <c r="W242" s="182"/>
      <c r="X242" s="182"/>
      <c r="Y242" s="182"/>
      <c r="Z242" s="182"/>
      <c r="AA242" s="182"/>
      <c r="AB242" s="182"/>
      <c r="AC242" s="182"/>
      <c r="AD242" s="182"/>
      <c r="AE242" s="182"/>
      <c r="AF242" s="182"/>
      <c r="AG242" s="182"/>
      <c r="AH242" s="182"/>
      <c r="AI242" s="182"/>
      <c r="AJ242" s="182"/>
      <c r="AK242" s="182"/>
      <c r="AL242" s="182"/>
      <c r="AM242" s="182"/>
      <c r="AN242" s="182"/>
      <c r="AO242" s="182"/>
      <c r="AP242" s="182"/>
      <c r="AQ242" s="182"/>
      <c r="AR242" s="182"/>
      <c r="AS242" s="182"/>
      <c r="AT242" s="182"/>
      <c r="AU242" s="182"/>
      <c r="AV242" s="182"/>
      <c r="AW242" s="182"/>
      <c r="AX242" s="182"/>
      <c r="AY242" s="182"/>
      <c r="AZ242" s="182"/>
      <c r="BA242" s="182"/>
      <c r="BB242" s="182"/>
      <c r="BC242" s="182"/>
      <c r="BD242" s="182"/>
      <c r="BE242" s="182"/>
      <c r="BF242" s="182"/>
      <c r="BG242" s="182"/>
      <c r="BH242" s="182"/>
      <c r="BI242" s="182"/>
      <c r="BJ242" s="182"/>
      <c r="BK242" s="182"/>
      <c r="BL242" s="182"/>
      <c r="BM242" s="182"/>
      <c r="BN242" s="182"/>
      <c r="BO242" s="182"/>
      <c r="BP242" s="182"/>
      <c r="BQ242" s="182"/>
      <c r="BR242" s="182"/>
      <c r="BS242" s="182"/>
      <c r="BT242" s="182"/>
      <c r="BU242" s="182"/>
      <c r="BV242" s="182"/>
      <c r="BW242" s="182"/>
      <c r="BX242" s="182"/>
      <c r="BY242" s="182"/>
      <c r="BZ242" s="182"/>
      <c r="CA242" s="182"/>
      <c r="CB242" s="182"/>
      <c r="CC242" s="182"/>
      <c r="CD242" s="182"/>
      <c r="CE242" s="182"/>
      <c r="CF242" s="182"/>
      <c r="CG242" s="182"/>
      <c r="CH242" s="182"/>
      <c r="CI242" s="182"/>
      <c r="CJ242" s="182"/>
      <c r="CK242" s="182"/>
      <c r="CL242" s="182"/>
      <c r="CM242" s="182"/>
      <c r="CN242" s="182"/>
      <c r="CO242" s="182"/>
      <c r="CP242" s="182"/>
      <c r="CQ242" s="182"/>
      <c r="CR242" s="182"/>
      <c r="CS242" s="182"/>
      <c r="CT242" s="182"/>
      <c r="CU242" s="182"/>
      <c r="CV242" s="182"/>
      <c r="CW242" s="182"/>
      <c r="CX242" s="182"/>
      <c r="CY242" s="182"/>
      <c r="CZ242" s="182"/>
      <c r="DA242" s="182"/>
      <c r="DB242" s="182"/>
      <c r="DC242" s="182"/>
      <c r="DD242" s="182"/>
      <c r="DE242" s="182"/>
      <c r="DF242" s="182"/>
      <c r="DG242" s="182"/>
      <c r="DH242" s="182"/>
      <c r="DI242" s="182"/>
      <c r="DJ242" s="182"/>
      <c r="DK242" s="182"/>
      <c r="DL242" s="182"/>
      <c r="DM242" s="182"/>
      <c r="DN242" s="182"/>
      <c r="DO242" s="182"/>
      <c r="DP242" s="182"/>
      <c r="DQ242" s="182"/>
      <c r="DR242" s="182"/>
      <c r="DS242" s="182"/>
      <c r="DT242" s="182"/>
      <c r="DU242" s="182"/>
      <c r="DV242" s="182"/>
      <c r="DW242" s="182"/>
      <c r="DX242" s="182"/>
      <c r="DY242" s="182"/>
      <c r="DZ242" s="182"/>
      <c r="EA242" s="182"/>
      <c r="EB242" s="182"/>
      <c r="EC242" s="182"/>
      <c r="ED242" s="182"/>
      <c r="EE242" s="182"/>
      <c r="EF242" s="182"/>
      <c r="EG242" s="182"/>
      <c r="EH242" s="182"/>
      <c r="EI242" s="182"/>
      <c r="EJ242" s="182"/>
      <c r="EK242" s="182"/>
      <c r="EL242" s="182"/>
      <c r="EM242" s="182"/>
      <c r="EN242" s="182"/>
      <c r="EO242" s="182"/>
      <c r="EP242" s="182"/>
      <c r="EQ242" s="182"/>
      <c r="ER242" s="182"/>
      <c r="ES242" s="182"/>
      <c r="ET242" s="182"/>
      <c r="EU242" s="182"/>
      <c r="EV242" s="182"/>
      <c r="EW242" s="182"/>
      <c r="EX242" s="182"/>
      <c r="EY242" s="182"/>
      <c r="EZ242" s="182"/>
      <c r="FA242" s="182"/>
      <c r="FB242" s="182"/>
      <c r="FC242" s="182"/>
      <c r="FD242" s="182"/>
      <c r="FE242" s="182"/>
      <c r="FF242" s="182"/>
      <c r="FG242" s="182"/>
      <c r="FH242" s="182"/>
      <c r="FI242" s="182"/>
      <c r="FJ242" s="182"/>
      <c r="FK242" s="182"/>
      <c r="FL242" s="182"/>
      <c r="FM242" s="182"/>
      <c r="FN242" s="182"/>
      <c r="FO242" s="182"/>
      <c r="FP242" s="182"/>
      <c r="FQ242" s="182"/>
      <c r="FR242" s="182"/>
      <c r="FS242" s="182"/>
      <c r="FT242" s="182"/>
      <c r="FU242" s="182"/>
      <c r="FV242" s="182"/>
      <c r="FW242" s="182"/>
      <c r="FX242" s="182"/>
      <c r="FY242" s="182"/>
      <c r="FZ242" s="182"/>
      <c r="GA242" s="182"/>
      <c r="GB242" s="182"/>
      <c r="GC242" s="182"/>
      <c r="GD242" s="182"/>
      <c r="GE242" s="182"/>
      <c r="GF242" s="182"/>
      <c r="GG242" s="182"/>
      <c r="GH242" s="182"/>
      <c r="GI242" s="182"/>
    </row>
    <row r="243" spans="1:191" s="183" customFormat="1" ht="25.5" x14ac:dyDescent="0.2">
      <c r="A243" s="210" t="s">
        <v>38548</v>
      </c>
      <c r="B243" s="210" t="s">
        <v>19091</v>
      </c>
      <c r="C243" s="224" t="s">
        <v>22352</v>
      </c>
      <c r="D243" s="211" t="s">
        <v>16</v>
      </c>
      <c r="E243" s="211">
        <v>5</v>
      </c>
      <c r="F243" s="211"/>
      <c r="G243" s="211">
        <v>0.3</v>
      </c>
      <c r="H243" s="212"/>
      <c r="I243" s="213"/>
      <c r="J243" s="272">
        <v>113.8</v>
      </c>
      <c r="K243" s="112">
        <f t="shared" si="20"/>
        <v>569</v>
      </c>
      <c r="L243" s="273">
        <f>BDI!$E$17</f>
        <v>0.11260000000000001</v>
      </c>
      <c r="M243" s="213"/>
      <c r="N243" s="213"/>
      <c r="O243" s="114">
        <f t="shared" si="21"/>
        <v>126.61</v>
      </c>
      <c r="P243" s="113">
        <f t="shared" si="22"/>
        <v>189.92</v>
      </c>
      <c r="Q243" s="209"/>
      <c r="R243" s="203"/>
      <c r="S243" s="182"/>
      <c r="T243" s="182"/>
      <c r="U243" s="182"/>
      <c r="V243" s="182"/>
      <c r="W243" s="182"/>
      <c r="X243" s="182"/>
      <c r="Y243" s="182"/>
      <c r="Z243" s="182"/>
      <c r="AA243" s="182"/>
      <c r="AB243" s="182"/>
      <c r="AC243" s="182"/>
      <c r="AD243" s="182"/>
      <c r="AE243" s="182"/>
      <c r="AF243" s="182"/>
      <c r="AG243" s="182"/>
      <c r="AH243" s="182"/>
      <c r="AI243" s="182"/>
      <c r="AJ243" s="182"/>
      <c r="AK243" s="182"/>
      <c r="AL243" s="182"/>
      <c r="AM243" s="182"/>
      <c r="AN243" s="182"/>
      <c r="AO243" s="182"/>
      <c r="AP243" s="182"/>
      <c r="AQ243" s="182"/>
      <c r="AR243" s="182"/>
      <c r="AS243" s="182"/>
      <c r="AT243" s="182"/>
      <c r="AU243" s="182"/>
      <c r="AV243" s="182"/>
      <c r="AW243" s="182"/>
      <c r="AX243" s="182"/>
      <c r="AY243" s="182"/>
      <c r="AZ243" s="182"/>
      <c r="BA243" s="182"/>
      <c r="BB243" s="182"/>
      <c r="BC243" s="182"/>
      <c r="BD243" s="182"/>
      <c r="BE243" s="182"/>
      <c r="BF243" s="182"/>
      <c r="BG243" s="182"/>
      <c r="BH243" s="182"/>
      <c r="BI243" s="182"/>
      <c r="BJ243" s="182"/>
      <c r="BK243" s="182"/>
      <c r="BL243" s="182"/>
      <c r="BM243" s="182"/>
      <c r="BN243" s="182"/>
      <c r="BO243" s="182"/>
      <c r="BP243" s="182"/>
      <c r="BQ243" s="182"/>
      <c r="BR243" s="182"/>
      <c r="BS243" s="182"/>
      <c r="BT243" s="182"/>
      <c r="BU243" s="182"/>
      <c r="BV243" s="182"/>
      <c r="BW243" s="182"/>
      <c r="BX243" s="182"/>
      <c r="BY243" s="182"/>
      <c r="BZ243" s="182"/>
      <c r="CA243" s="182"/>
      <c r="CB243" s="182"/>
      <c r="CC243" s="182"/>
      <c r="CD243" s="182"/>
      <c r="CE243" s="182"/>
      <c r="CF243" s="182"/>
      <c r="CG243" s="182"/>
      <c r="CH243" s="182"/>
      <c r="CI243" s="182"/>
      <c r="CJ243" s="182"/>
      <c r="CK243" s="182"/>
      <c r="CL243" s="182"/>
      <c r="CM243" s="182"/>
      <c r="CN243" s="182"/>
      <c r="CO243" s="182"/>
      <c r="CP243" s="182"/>
      <c r="CQ243" s="182"/>
      <c r="CR243" s="182"/>
      <c r="CS243" s="182"/>
      <c r="CT243" s="182"/>
      <c r="CU243" s="182"/>
      <c r="CV243" s="182"/>
      <c r="CW243" s="182"/>
      <c r="CX243" s="182"/>
      <c r="CY243" s="182"/>
      <c r="CZ243" s="182"/>
      <c r="DA243" s="182"/>
      <c r="DB243" s="182"/>
      <c r="DC243" s="182"/>
      <c r="DD243" s="182"/>
      <c r="DE243" s="182"/>
      <c r="DF243" s="182"/>
      <c r="DG243" s="182"/>
      <c r="DH243" s="182"/>
      <c r="DI243" s="182"/>
      <c r="DJ243" s="182"/>
      <c r="DK243" s="182"/>
      <c r="DL243" s="182"/>
      <c r="DM243" s="182"/>
      <c r="DN243" s="182"/>
      <c r="DO243" s="182"/>
      <c r="DP243" s="182"/>
      <c r="DQ243" s="182"/>
      <c r="DR243" s="182"/>
      <c r="DS243" s="182"/>
      <c r="DT243" s="182"/>
      <c r="DU243" s="182"/>
      <c r="DV243" s="182"/>
      <c r="DW243" s="182"/>
      <c r="DX243" s="182"/>
      <c r="DY243" s="182"/>
      <c r="DZ243" s="182"/>
      <c r="EA243" s="182"/>
      <c r="EB243" s="182"/>
      <c r="EC243" s="182"/>
      <c r="ED243" s="182"/>
      <c r="EE243" s="182"/>
      <c r="EF243" s="182"/>
      <c r="EG243" s="182"/>
      <c r="EH243" s="182"/>
      <c r="EI243" s="182"/>
      <c r="EJ243" s="182"/>
      <c r="EK243" s="182"/>
      <c r="EL243" s="182"/>
      <c r="EM243" s="182"/>
      <c r="EN243" s="182"/>
      <c r="EO243" s="182"/>
      <c r="EP243" s="182"/>
      <c r="EQ243" s="182"/>
      <c r="ER243" s="182"/>
      <c r="ES243" s="182"/>
      <c r="ET243" s="182"/>
      <c r="EU243" s="182"/>
      <c r="EV243" s="182"/>
      <c r="EW243" s="182"/>
      <c r="EX243" s="182"/>
      <c r="EY243" s="182"/>
      <c r="EZ243" s="182"/>
      <c r="FA243" s="182"/>
      <c r="FB243" s="182"/>
      <c r="FC243" s="182"/>
      <c r="FD243" s="182"/>
      <c r="FE243" s="182"/>
      <c r="FF243" s="182"/>
      <c r="FG243" s="182"/>
      <c r="FH243" s="182"/>
      <c r="FI243" s="182"/>
      <c r="FJ243" s="182"/>
      <c r="FK243" s="182"/>
      <c r="FL243" s="182"/>
      <c r="FM243" s="182"/>
      <c r="FN243" s="182"/>
      <c r="FO243" s="182"/>
      <c r="FP243" s="182"/>
      <c r="FQ243" s="182"/>
      <c r="FR243" s="182"/>
      <c r="FS243" s="182"/>
      <c r="FT243" s="182"/>
      <c r="FU243" s="182"/>
      <c r="FV243" s="182"/>
      <c r="FW243" s="182"/>
      <c r="FX243" s="182"/>
      <c r="FY243" s="182"/>
      <c r="FZ243" s="182"/>
      <c r="GA243" s="182"/>
      <c r="GB243" s="182"/>
      <c r="GC243" s="182"/>
      <c r="GD243" s="182"/>
      <c r="GE243" s="182"/>
      <c r="GF243" s="182"/>
      <c r="GG243" s="182"/>
      <c r="GH243" s="182"/>
      <c r="GI243" s="182"/>
    </row>
    <row r="244" spans="1:191" s="183" customFormat="1" ht="25.5" x14ac:dyDescent="0.2">
      <c r="A244" s="210" t="s">
        <v>38549</v>
      </c>
      <c r="B244" s="210" t="s">
        <v>19092</v>
      </c>
      <c r="C244" s="224" t="s">
        <v>22353</v>
      </c>
      <c r="D244" s="211" t="s">
        <v>16</v>
      </c>
      <c r="E244" s="211">
        <v>5</v>
      </c>
      <c r="F244" s="211"/>
      <c r="G244" s="211">
        <v>0.3</v>
      </c>
      <c r="H244" s="212"/>
      <c r="I244" s="213"/>
      <c r="J244" s="272">
        <v>279.85000000000002</v>
      </c>
      <c r="K244" s="112">
        <f t="shared" si="20"/>
        <v>1399.25</v>
      </c>
      <c r="L244" s="273">
        <f>BDI!$E$17</f>
        <v>0.11260000000000001</v>
      </c>
      <c r="M244" s="213"/>
      <c r="N244" s="213"/>
      <c r="O244" s="114">
        <f t="shared" si="21"/>
        <v>311.36</v>
      </c>
      <c r="P244" s="113">
        <f t="shared" si="22"/>
        <v>467.04</v>
      </c>
      <c r="Q244" s="209"/>
      <c r="R244" s="203"/>
      <c r="S244" s="182"/>
      <c r="T244" s="182"/>
      <c r="U244" s="182"/>
      <c r="V244" s="182"/>
      <c r="W244" s="182"/>
      <c r="X244" s="182"/>
      <c r="Y244" s="182"/>
      <c r="Z244" s="182"/>
      <c r="AA244" s="182"/>
      <c r="AB244" s="182"/>
      <c r="AC244" s="182"/>
      <c r="AD244" s="182"/>
      <c r="AE244" s="182"/>
      <c r="AF244" s="182"/>
      <c r="AG244" s="182"/>
      <c r="AH244" s="182"/>
      <c r="AI244" s="182"/>
      <c r="AJ244" s="182"/>
      <c r="AK244" s="182"/>
      <c r="AL244" s="182"/>
      <c r="AM244" s="182"/>
      <c r="AN244" s="182"/>
      <c r="AO244" s="182"/>
      <c r="AP244" s="182"/>
      <c r="AQ244" s="182"/>
      <c r="AR244" s="182"/>
      <c r="AS244" s="182"/>
      <c r="AT244" s="182"/>
      <c r="AU244" s="182"/>
      <c r="AV244" s="182"/>
      <c r="AW244" s="182"/>
      <c r="AX244" s="182"/>
      <c r="AY244" s="182"/>
      <c r="AZ244" s="182"/>
      <c r="BA244" s="182"/>
      <c r="BB244" s="182"/>
      <c r="BC244" s="182"/>
      <c r="BD244" s="182"/>
      <c r="BE244" s="182"/>
      <c r="BF244" s="182"/>
      <c r="BG244" s="182"/>
      <c r="BH244" s="182"/>
      <c r="BI244" s="182"/>
      <c r="BJ244" s="182"/>
      <c r="BK244" s="182"/>
      <c r="BL244" s="182"/>
      <c r="BM244" s="182"/>
      <c r="BN244" s="182"/>
      <c r="BO244" s="182"/>
      <c r="BP244" s="182"/>
      <c r="BQ244" s="182"/>
      <c r="BR244" s="182"/>
      <c r="BS244" s="182"/>
      <c r="BT244" s="182"/>
      <c r="BU244" s="182"/>
      <c r="BV244" s="182"/>
      <c r="BW244" s="182"/>
      <c r="BX244" s="182"/>
      <c r="BY244" s="182"/>
      <c r="BZ244" s="182"/>
      <c r="CA244" s="182"/>
      <c r="CB244" s="182"/>
      <c r="CC244" s="182"/>
      <c r="CD244" s="182"/>
      <c r="CE244" s="182"/>
      <c r="CF244" s="182"/>
      <c r="CG244" s="182"/>
      <c r="CH244" s="182"/>
      <c r="CI244" s="182"/>
      <c r="CJ244" s="182"/>
      <c r="CK244" s="182"/>
      <c r="CL244" s="182"/>
      <c r="CM244" s="182"/>
      <c r="CN244" s="182"/>
      <c r="CO244" s="182"/>
      <c r="CP244" s="182"/>
      <c r="CQ244" s="182"/>
      <c r="CR244" s="182"/>
      <c r="CS244" s="182"/>
      <c r="CT244" s="182"/>
      <c r="CU244" s="182"/>
      <c r="CV244" s="182"/>
      <c r="CW244" s="182"/>
      <c r="CX244" s="182"/>
      <c r="CY244" s="182"/>
      <c r="CZ244" s="182"/>
      <c r="DA244" s="182"/>
      <c r="DB244" s="182"/>
      <c r="DC244" s="182"/>
      <c r="DD244" s="182"/>
      <c r="DE244" s="182"/>
      <c r="DF244" s="182"/>
      <c r="DG244" s="182"/>
      <c r="DH244" s="182"/>
      <c r="DI244" s="182"/>
      <c r="DJ244" s="182"/>
      <c r="DK244" s="182"/>
      <c r="DL244" s="182"/>
      <c r="DM244" s="182"/>
      <c r="DN244" s="182"/>
      <c r="DO244" s="182"/>
      <c r="DP244" s="182"/>
      <c r="DQ244" s="182"/>
      <c r="DR244" s="182"/>
      <c r="DS244" s="182"/>
      <c r="DT244" s="182"/>
      <c r="DU244" s="182"/>
      <c r="DV244" s="182"/>
      <c r="DW244" s="182"/>
      <c r="DX244" s="182"/>
      <c r="DY244" s="182"/>
      <c r="DZ244" s="182"/>
      <c r="EA244" s="182"/>
      <c r="EB244" s="182"/>
      <c r="EC244" s="182"/>
      <c r="ED244" s="182"/>
      <c r="EE244" s="182"/>
      <c r="EF244" s="182"/>
      <c r="EG244" s="182"/>
      <c r="EH244" s="182"/>
      <c r="EI244" s="182"/>
      <c r="EJ244" s="182"/>
      <c r="EK244" s="182"/>
      <c r="EL244" s="182"/>
      <c r="EM244" s="182"/>
      <c r="EN244" s="182"/>
      <c r="EO244" s="182"/>
      <c r="EP244" s="182"/>
      <c r="EQ244" s="182"/>
      <c r="ER244" s="182"/>
      <c r="ES244" s="182"/>
      <c r="ET244" s="182"/>
      <c r="EU244" s="182"/>
      <c r="EV244" s="182"/>
      <c r="EW244" s="182"/>
      <c r="EX244" s="182"/>
      <c r="EY244" s="182"/>
      <c r="EZ244" s="182"/>
      <c r="FA244" s="182"/>
      <c r="FB244" s="182"/>
      <c r="FC244" s="182"/>
      <c r="FD244" s="182"/>
      <c r="FE244" s="182"/>
      <c r="FF244" s="182"/>
      <c r="FG244" s="182"/>
      <c r="FH244" s="182"/>
      <c r="FI244" s="182"/>
      <c r="FJ244" s="182"/>
      <c r="FK244" s="182"/>
      <c r="FL244" s="182"/>
      <c r="FM244" s="182"/>
      <c r="FN244" s="182"/>
      <c r="FO244" s="182"/>
      <c r="FP244" s="182"/>
      <c r="FQ244" s="182"/>
      <c r="FR244" s="182"/>
      <c r="FS244" s="182"/>
      <c r="FT244" s="182"/>
      <c r="FU244" s="182"/>
      <c r="FV244" s="182"/>
      <c r="FW244" s="182"/>
      <c r="FX244" s="182"/>
      <c r="FY244" s="182"/>
      <c r="FZ244" s="182"/>
      <c r="GA244" s="182"/>
      <c r="GB244" s="182"/>
      <c r="GC244" s="182"/>
      <c r="GD244" s="182"/>
      <c r="GE244" s="182"/>
      <c r="GF244" s="182"/>
      <c r="GG244" s="182"/>
      <c r="GH244" s="182"/>
      <c r="GI244" s="182"/>
    </row>
    <row r="245" spans="1:191" s="183" customFormat="1" ht="25.5" x14ac:dyDescent="0.2">
      <c r="A245" s="210" t="s">
        <v>38550</v>
      </c>
      <c r="B245" s="210" t="s">
        <v>19093</v>
      </c>
      <c r="C245" s="224" t="s">
        <v>22354</v>
      </c>
      <c r="D245" s="211" t="s">
        <v>16</v>
      </c>
      <c r="E245" s="211">
        <v>5</v>
      </c>
      <c r="F245" s="211"/>
      <c r="G245" s="211">
        <v>0.3</v>
      </c>
      <c r="H245" s="212"/>
      <c r="I245" s="213"/>
      <c r="J245" s="272">
        <v>245.89</v>
      </c>
      <c r="K245" s="112">
        <f t="shared" si="20"/>
        <v>1229.45</v>
      </c>
      <c r="L245" s="273">
        <f>BDI!$E$17</f>
        <v>0.11260000000000001</v>
      </c>
      <c r="M245" s="213"/>
      <c r="N245" s="213"/>
      <c r="O245" s="114">
        <f t="shared" si="21"/>
        <v>273.58</v>
      </c>
      <c r="P245" s="113">
        <f t="shared" si="22"/>
        <v>410.37</v>
      </c>
      <c r="Q245" s="209"/>
      <c r="R245" s="203"/>
      <c r="S245" s="182"/>
      <c r="T245" s="182"/>
      <c r="U245" s="182"/>
      <c r="V245" s="182"/>
      <c r="W245" s="182"/>
      <c r="X245" s="182"/>
      <c r="Y245" s="182"/>
      <c r="Z245" s="182"/>
      <c r="AA245" s="182"/>
      <c r="AB245" s="182"/>
      <c r="AC245" s="182"/>
      <c r="AD245" s="182"/>
      <c r="AE245" s="182"/>
      <c r="AF245" s="182"/>
      <c r="AG245" s="182"/>
      <c r="AH245" s="182"/>
      <c r="AI245" s="182"/>
      <c r="AJ245" s="182"/>
      <c r="AK245" s="182"/>
      <c r="AL245" s="182"/>
      <c r="AM245" s="182"/>
      <c r="AN245" s="182"/>
      <c r="AO245" s="182"/>
      <c r="AP245" s="182"/>
      <c r="AQ245" s="182"/>
      <c r="AR245" s="182"/>
      <c r="AS245" s="182"/>
      <c r="AT245" s="182"/>
      <c r="AU245" s="182"/>
      <c r="AV245" s="182"/>
      <c r="AW245" s="182"/>
      <c r="AX245" s="182"/>
      <c r="AY245" s="182"/>
      <c r="AZ245" s="182"/>
      <c r="BA245" s="182"/>
      <c r="BB245" s="182"/>
      <c r="BC245" s="182"/>
      <c r="BD245" s="182"/>
      <c r="BE245" s="182"/>
      <c r="BF245" s="182"/>
      <c r="BG245" s="182"/>
      <c r="BH245" s="182"/>
      <c r="BI245" s="182"/>
      <c r="BJ245" s="182"/>
      <c r="BK245" s="182"/>
      <c r="BL245" s="182"/>
      <c r="BM245" s="182"/>
      <c r="BN245" s="182"/>
      <c r="BO245" s="182"/>
      <c r="BP245" s="182"/>
      <c r="BQ245" s="182"/>
      <c r="BR245" s="182"/>
      <c r="BS245" s="182"/>
      <c r="BT245" s="182"/>
      <c r="BU245" s="182"/>
      <c r="BV245" s="182"/>
      <c r="BW245" s="182"/>
      <c r="BX245" s="182"/>
      <c r="BY245" s="182"/>
      <c r="BZ245" s="182"/>
      <c r="CA245" s="182"/>
      <c r="CB245" s="182"/>
      <c r="CC245" s="182"/>
      <c r="CD245" s="182"/>
      <c r="CE245" s="182"/>
      <c r="CF245" s="182"/>
      <c r="CG245" s="182"/>
      <c r="CH245" s="182"/>
      <c r="CI245" s="182"/>
      <c r="CJ245" s="182"/>
      <c r="CK245" s="182"/>
      <c r="CL245" s="182"/>
      <c r="CM245" s="182"/>
      <c r="CN245" s="182"/>
      <c r="CO245" s="182"/>
      <c r="CP245" s="182"/>
      <c r="CQ245" s="182"/>
      <c r="CR245" s="182"/>
      <c r="CS245" s="182"/>
      <c r="CT245" s="182"/>
      <c r="CU245" s="182"/>
      <c r="CV245" s="182"/>
      <c r="CW245" s="182"/>
      <c r="CX245" s="182"/>
      <c r="CY245" s="182"/>
      <c r="CZ245" s="182"/>
      <c r="DA245" s="182"/>
      <c r="DB245" s="182"/>
      <c r="DC245" s="182"/>
      <c r="DD245" s="182"/>
      <c r="DE245" s="182"/>
      <c r="DF245" s="182"/>
      <c r="DG245" s="182"/>
      <c r="DH245" s="182"/>
      <c r="DI245" s="182"/>
      <c r="DJ245" s="182"/>
      <c r="DK245" s="182"/>
      <c r="DL245" s="182"/>
      <c r="DM245" s="182"/>
      <c r="DN245" s="182"/>
      <c r="DO245" s="182"/>
      <c r="DP245" s="182"/>
      <c r="DQ245" s="182"/>
      <c r="DR245" s="182"/>
      <c r="DS245" s="182"/>
      <c r="DT245" s="182"/>
      <c r="DU245" s="182"/>
      <c r="DV245" s="182"/>
      <c r="DW245" s="182"/>
      <c r="DX245" s="182"/>
      <c r="DY245" s="182"/>
      <c r="DZ245" s="182"/>
      <c r="EA245" s="182"/>
      <c r="EB245" s="182"/>
      <c r="EC245" s="182"/>
      <c r="ED245" s="182"/>
      <c r="EE245" s="182"/>
      <c r="EF245" s="182"/>
      <c r="EG245" s="182"/>
      <c r="EH245" s="182"/>
      <c r="EI245" s="182"/>
      <c r="EJ245" s="182"/>
      <c r="EK245" s="182"/>
      <c r="EL245" s="182"/>
      <c r="EM245" s="182"/>
      <c r="EN245" s="182"/>
      <c r="EO245" s="182"/>
      <c r="EP245" s="182"/>
      <c r="EQ245" s="182"/>
      <c r="ER245" s="182"/>
      <c r="ES245" s="182"/>
      <c r="ET245" s="182"/>
      <c r="EU245" s="182"/>
      <c r="EV245" s="182"/>
      <c r="EW245" s="182"/>
      <c r="EX245" s="182"/>
      <c r="EY245" s="182"/>
      <c r="EZ245" s="182"/>
      <c r="FA245" s="182"/>
      <c r="FB245" s="182"/>
      <c r="FC245" s="182"/>
      <c r="FD245" s="182"/>
      <c r="FE245" s="182"/>
      <c r="FF245" s="182"/>
      <c r="FG245" s="182"/>
      <c r="FH245" s="182"/>
      <c r="FI245" s="182"/>
      <c r="FJ245" s="182"/>
      <c r="FK245" s="182"/>
      <c r="FL245" s="182"/>
      <c r="FM245" s="182"/>
      <c r="FN245" s="182"/>
      <c r="FO245" s="182"/>
      <c r="FP245" s="182"/>
      <c r="FQ245" s="182"/>
      <c r="FR245" s="182"/>
      <c r="FS245" s="182"/>
      <c r="FT245" s="182"/>
      <c r="FU245" s="182"/>
      <c r="FV245" s="182"/>
      <c r="FW245" s="182"/>
      <c r="FX245" s="182"/>
      <c r="FY245" s="182"/>
      <c r="FZ245" s="182"/>
      <c r="GA245" s="182"/>
      <c r="GB245" s="182"/>
      <c r="GC245" s="182"/>
      <c r="GD245" s="182"/>
      <c r="GE245" s="182"/>
      <c r="GF245" s="182"/>
      <c r="GG245" s="182"/>
      <c r="GH245" s="182"/>
      <c r="GI245" s="182"/>
    </row>
    <row r="246" spans="1:191" s="183" customFormat="1" x14ac:dyDescent="0.2">
      <c r="A246" s="210" t="s">
        <v>38551</v>
      </c>
      <c r="B246" s="210" t="s">
        <v>19094</v>
      </c>
      <c r="C246" s="224" t="s">
        <v>510</v>
      </c>
      <c r="D246" s="211" t="s">
        <v>16</v>
      </c>
      <c r="E246" s="211">
        <v>90</v>
      </c>
      <c r="F246" s="211"/>
      <c r="G246" s="211">
        <v>0.3</v>
      </c>
      <c r="H246" s="212"/>
      <c r="I246" s="213"/>
      <c r="J246" s="272">
        <v>73.61</v>
      </c>
      <c r="K246" s="112">
        <f t="shared" si="20"/>
        <v>6624.9</v>
      </c>
      <c r="L246" s="273">
        <f>BDI!$E$17</f>
        <v>0.11260000000000001</v>
      </c>
      <c r="M246" s="213"/>
      <c r="N246" s="213"/>
      <c r="O246" s="114">
        <f t="shared" si="21"/>
        <v>81.900000000000006</v>
      </c>
      <c r="P246" s="113">
        <f t="shared" si="22"/>
        <v>2211.3000000000002</v>
      </c>
      <c r="Q246" s="209"/>
      <c r="R246" s="203"/>
      <c r="S246" s="182"/>
      <c r="T246" s="182"/>
      <c r="U246" s="182"/>
      <c r="V246" s="182"/>
      <c r="W246" s="182"/>
      <c r="X246" s="182"/>
      <c r="Y246" s="182"/>
      <c r="Z246" s="182"/>
      <c r="AA246" s="182"/>
      <c r="AB246" s="182"/>
      <c r="AC246" s="182"/>
      <c r="AD246" s="182"/>
      <c r="AE246" s="182"/>
      <c r="AF246" s="182"/>
      <c r="AG246" s="182"/>
      <c r="AH246" s="182"/>
      <c r="AI246" s="182"/>
      <c r="AJ246" s="182"/>
      <c r="AK246" s="182"/>
      <c r="AL246" s="182"/>
      <c r="AM246" s="182"/>
      <c r="AN246" s="182"/>
      <c r="AO246" s="182"/>
      <c r="AP246" s="182"/>
      <c r="AQ246" s="182"/>
      <c r="AR246" s="182"/>
      <c r="AS246" s="182"/>
      <c r="AT246" s="182"/>
      <c r="AU246" s="182"/>
      <c r="AV246" s="182"/>
      <c r="AW246" s="182"/>
      <c r="AX246" s="182"/>
      <c r="AY246" s="182"/>
      <c r="AZ246" s="182"/>
      <c r="BA246" s="182"/>
      <c r="BB246" s="182"/>
      <c r="BC246" s="182"/>
      <c r="BD246" s="182"/>
      <c r="BE246" s="182"/>
      <c r="BF246" s="182"/>
      <c r="BG246" s="182"/>
      <c r="BH246" s="182"/>
      <c r="BI246" s="182"/>
      <c r="BJ246" s="182"/>
      <c r="BK246" s="182"/>
      <c r="BL246" s="182"/>
      <c r="BM246" s="182"/>
      <c r="BN246" s="182"/>
      <c r="BO246" s="182"/>
      <c r="BP246" s="182"/>
      <c r="BQ246" s="182"/>
      <c r="BR246" s="182"/>
      <c r="BS246" s="182"/>
      <c r="BT246" s="182"/>
      <c r="BU246" s="182"/>
      <c r="BV246" s="182"/>
      <c r="BW246" s="182"/>
      <c r="BX246" s="182"/>
      <c r="BY246" s="182"/>
      <c r="BZ246" s="182"/>
      <c r="CA246" s="182"/>
      <c r="CB246" s="182"/>
      <c r="CC246" s="182"/>
      <c r="CD246" s="182"/>
      <c r="CE246" s="182"/>
      <c r="CF246" s="182"/>
      <c r="CG246" s="182"/>
      <c r="CH246" s="182"/>
      <c r="CI246" s="182"/>
      <c r="CJ246" s="182"/>
      <c r="CK246" s="182"/>
      <c r="CL246" s="182"/>
      <c r="CM246" s="182"/>
      <c r="CN246" s="182"/>
      <c r="CO246" s="182"/>
      <c r="CP246" s="182"/>
      <c r="CQ246" s="182"/>
      <c r="CR246" s="182"/>
      <c r="CS246" s="182"/>
      <c r="CT246" s="182"/>
      <c r="CU246" s="182"/>
      <c r="CV246" s="182"/>
      <c r="CW246" s="182"/>
      <c r="CX246" s="182"/>
      <c r="CY246" s="182"/>
      <c r="CZ246" s="182"/>
      <c r="DA246" s="182"/>
      <c r="DB246" s="182"/>
      <c r="DC246" s="182"/>
      <c r="DD246" s="182"/>
      <c r="DE246" s="182"/>
      <c r="DF246" s="182"/>
      <c r="DG246" s="182"/>
      <c r="DH246" s="182"/>
      <c r="DI246" s="182"/>
      <c r="DJ246" s="182"/>
      <c r="DK246" s="182"/>
      <c r="DL246" s="182"/>
      <c r="DM246" s="182"/>
      <c r="DN246" s="182"/>
      <c r="DO246" s="182"/>
      <c r="DP246" s="182"/>
      <c r="DQ246" s="182"/>
      <c r="DR246" s="182"/>
      <c r="DS246" s="182"/>
      <c r="DT246" s="182"/>
      <c r="DU246" s="182"/>
      <c r="DV246" s="182"/>
      <c r="DW246" s="182"/>
      <c r="DX246" s="182"/>
      <c r="DY246" s="182"/>
      <c r="DZ246" s="182"/>
      <c r="EA246" s="182"/>
      <c r="EB246" s="182"/>
      <c r="EC246" s="182"/>
      <c r="ED246" s="182"/>
      <c r="EE246" s="182"/>
      <c r="EF246" s="182"/>
      <c r="EG246" s="182"/>
      <c r="EH246" s="182"/>
      <c r="EI246" s="182"/>
      <c r="EJ246" s="182"/>
      <c r="EK246" s="182"/>
      <c r="EL246" s="182"/>
      <c r="EM246" s="182"/>
      <c r="EN246" s="182"/>
      <c r="EO246" s="182"/>
      <c r="EP246" s="182"/>
      <c r="EQ246" s="182"/>
      <c r="ER246" s="182"/>
      <c r="ES246" s="182"/>
      <c r="ET246" s="182"/>
      <c r="EU246" s="182"/>
      <c r="EV246" s="182"/>
      <c r="EW246" s="182"/>
      <c r="EX246" s="182"/>
      <c r="EY246" s="182"/>
      <c r="EZ246" s="182"/>
      <c r="FA246" s="182"/>
      <c r="FB246" s="182"/>
      <c r="FC246" s="182"/>
      <c r="FD246" s="182"/>
      <c r="FE246" s="182"/>
      <c r="FF246" s="182"/>
      <c r="FG246" s="182"/>
      <c r="FH246" s="182"/>
      <c r="FI246" s="182"/>
      <c r="FJ246" s="182"/>
      <c r="FK246" s="182"/>
      <c r="FL246" s="182"/>
      <c r="FM246" s="182"/>
      <c r="FN246" s="182"/>
      <c r="FO246" s="182"/>
      <c r="FP246" s="182"/>
      <c r="FQ246" s="182"/>
      <c r="FR246" s="182"/>
      <c r="FS246" s="182"/>
      <c r="FT246" s="182"/>
      <c r="FU246" s="182"/>
      <c r="FV246" s="182"/>
      <c r="FW246" s="182"/>
      <c r="FX246" s="182"/>
      <c r="FY246" s="182"/>
      <c r="FZ246" s="182"/>
      <c r="GA246" s="182"/>
      <c r="GB246" s="182"/>
      <c r="GC246" s="182"/>
      <c r="GD246" s="182"/>
      <c r="GE246" s="182"/>
      <c r="GF246" s="182"/>
      <c r="GG246" s="182"/>
      <c r="GH246" s="182"/>
      <c r="GI246" s="182"/>
    </row>
    <row r="247" spans="1:191" s="183" customFormat="1" x14ac:dyDescent="0.2">
      <c r="A247" s="210" t="s">
        <v>38552</v>
      </c>
      <c r="B247" s="210" t="s">
        <v>19095</v>
      </c>
      <c r="C247" s="224" t="s">
        <v>1483</v>
      </c>
      <c r="D247" s="211" t="s">
        <v>16</v>
      </c>
      <c r="E247" s="211">
        <v>90</v>
      </c>
      <c r="F247" s="211"/>
      <c r="G247" s="211">
        <v>0.3</v>
      </c>
      <c r="H247" s="212"/>
      <c r="I247" s="213"/>
      <c r="J247" s="272">
        <v>96.08</v>
      </c>
      <c r="K247" s="112">
        <f t="shared" si="20"/>
        <v>8647.2000000000007</v>
      </c>
      <c r="L247" s="273">
        <f>BDI!$E$17</f>
        <v>0.11260000000000001</v>
      </c>
      <c r="M247" s="213"/>
      <c r="N247" s="213"/>
      <c r="O247" s="114">
        <f t="shared" si="21"/>
        <v>106.9</v>
      </c>
      <c r="P247" s="113">
        <f t="shared" si="22"/>
        <v>2886.3</v>
      </c>
      <c r="Q247" s="209"/>
      <c r="R247" s="203"/>
      <c r="S247" s="182"/>
      <c r="T247" s="182"/>
      <c r="U247" s="182"/>
      <c r="V247" s="182"/>
      <c r="W247" s="182"/>
      <c r="X247" s="182"/>
      <c r="Y247" s="182"/>
      <c r="Z247" s="182"/>
      <c r="AA247" s="182"/>
      <c r="AB247" s="182"/>
      <c r="AC247" s="182"/>
      <c r="AD247" s="182"/>
      <c r="AE247" s="182"/>
      <c r="AF247" s="182"/>
      <c r="AG247" s="182"/>
      <c r="AH247" s="182"/>
      <c r="AI247" s="182"/>
      <c r="AJ247" s="182"/>
      <c r="AK247" s="182"/>
      <c r="AL247" s="182"/>
      <c r="AM247" s="182"/>
      <c r="AN247" s="182"/>
      <c r="AO247" s="182"/>
      <c r="AP247" s="182"/>
      <c r="AQ247" s="182"/>
      <c r="AR247" s="182"/>
      <c r="AS247" s="182"/>
      <c r="AT247" s="182"/>
      <c r="AU247" s="182"/>
      <c r="AV247" s="182"/>
      <c r="AW247" s="182"/>
      <c r="AX247" s="182"/>
      <c r="AY247" s="182"/>
      <c r="AZ247" s="182"/>
      <c r="BA247" s="182"/>
      <c r="BB247" s="182"/>
      <c r="BC247" s="182"/>
      <c r="BD247" s="182"/>
      <c r="BE247" s="182"/>
      <c r="BF247" s="182"/>
      <c r="BG247" s="182"/>
      <c r="BH247" s="182"/>
      <c r="BI247" s="182"/>
      <c r="BJ247" s="182"/>
      <c r="BK247" s="182"/>
      <c r="BL247" s="182"/>
      <c r="BM247" s="182"/>
      <c r="BN247" s="182"/>
      <c r="BO247" s="182"/>
      <c r="BP247" s="182"/>
      <c r="BQ247" s="182"/>
      <c r="BR247" s="182"/>
      <c r="BS247" s="182"/>
      <c r="BT247" s="182"/>
      <c r="BU247" s="182"/>
      <c r="BV247" s="182"/>
      <c r="BW247" s="182"/>
      <c r="BX247" s="182"/>
      <c r="BY247" s="182"/>
      <c r="BZ247" s="182"/>
      <c r="CA247" s="182"/>
      <c r="CB247" s="182"/>
      <c r="CC247" s="182"/>
      <c r="CD247" s="182"/>
      <c r="CE247" s="182"/>
      <c r="CF247" s="182"/>
      <c r="CG247" s="182"/>
      <c r="CH247" s="182"/>
      <c r="CI247" s="182"/>
      <c r="CJ247" s="182"/>
      <c r="CK247" s="182"/>
      <c r="CL247" s="182"/>
      <c r="CM247" s="182"/>
      <c r="CN247" s="182"/>
      <c r="CO247" s="182"/>
      <c r="CP247" s="182"/>
      <c r="CQ247" s="182"/>
      <c r="CR247" s="182"/>
      <c r="CS247" s="182"/>
      <c r="CT247" s="182"/>
      <c r="CU247" s="182"/>
      <c r="CV247" s="182"/>
      <c r="CW247" s="182"/>
      <c r="CX247" s="182"/>
      <c r="CY247" s="182"/>
      <c r="CZ247" s="182"/>
      <c r="DA247" s="182"/>
      <c r="DB247" s="182"/>
      <c r="DC247" s="182"/>
      <c r="DD247" s="182"/>
      <c r="DE247" s="182"/>
      <c r="DF247" s="182"/>
      <c r="DG247" s="182"/>
      <c r="DH247" s="182"/>
      <c r="DI247" s="182"/>
      <c r="DJ247" s="182"/>
      <c r="DK247" s="182"/>
      <c r="DL247" s="182"/>
      <c r="DM247" s="182"/>
      <c r="DN247" s="182"/>
      <c r="DO247" s="182"/>
      <c r="DP247" s="182"/>
      <c r="DQ247" s="182"/>
      <c r="DR247" s="182"/>
      <c r="DS247" s="182"/>
      <c r="DT247" s="182"/>
      <c r="DU247" s="182"/>
      <c r="DV247" s="182"/>
      <c r="DW247" s="182"/>
      <c r="DX247" s="182"/>
      <c r="DY247" s="182"/>
      <c r="DZ247" s="182"/>
      <c r="EA247" s="182"/>
      <c r="EB247" s="182"/>
      <c r="EC247" s="182"/>
      <c r="ED247" s="182"/>
      <c r="EE247" s="182"/>
      <c r="EF247" s="182"/>
      <c r="EG247" s="182"/>
      <c r="EH247" s="182"/>
      <c r="EI247" s="182"/>
      <c r="EJ247" s="182"/>
      <c r="EK247" s="182"/>
      <c r="EL247" s="182"/>
      <c r="EM247" s="182"/>
      <c r="EN247" s="182"/>
      <c r="EO247" s="182"/>
      <c r="EP247" s="182"/>
      <c r="EQ247" s="182"/>
      <c r="ER247" s="182"/>
      <c r="ES247" s="182"/>
      <c r="ET247" s="182"/>
      <c r="EU247" s="182"/>
      <c r="EV247" s="182"/>
      <c r="EW247" s="182"/>
      <c r="EX247" s="182"/>
      <c r="EY247" s="182"/>
      <c r="EZ247" s="182"/>
      <c r="FA247" s="182"/>
      <c r="FB247" s="182"/>
      <c r="FC247" s="182"/>
      <c r="FD247" s="182"/>
      <c r="FE247" s="182"/>
      <c r="FF247" s="182"/>
      <c r="FG247" s="182"/>
      <c r="FH247" s="182"/>
      <c r="FI247" s="182"/>
      <c r="FJ247" s="182"/>
      <c r="FK247" s="182"/>
      <c r="FL247" s="182"/>
      <c r="FM247" s="182"/>
      <c r="FN247" s="182"/>
      <c r="FO247" s="182"/>
      <c r="FP247" s="182"/>
      <c r="FQ247" s="182"/>
      <c r="FR247" s="182"/>
      <c r="FS247" s="182"/>
      <c r="FT247" s="182"/>
      <c r="FU247" s="182"/>
      <c r="FV247" s="182"/>
      <c r="FW247" s="182"/>
      <c r="FX247" s="182"/>
      <c r="FY247" s="182"/>
      <c r="FZ247" s="182"/>
      <c r="GA247" s="182"/>
      <c r="GB247" s="182"/>
      <c r="GC247" s="182"/>
      <c r="GD247" s="182"/>
      <c r="GE247" s="182"/>
      <c r="GF247" s="182"/>
      <c r="GG247" s="182"/>
      <c r="GH247" s="182"/>
      <c r="GI247" s="182"/>
    </row>
    <row r="248" spans="1:191" s="183" customFormat="1" x14ac:dyDescent="0.2">
      <c r="A248" s="210" t="s">
        <v>38553</v>
      </c>
      <c r="B248" s="210" t="s">
        <v>19096</v>
      </c>
      <c r="C248" s="224" t="s">
        <v>22355</v>
      </c>
      <c r="D248" s="211" t="s">
        <v>16</v>
      </c>
      <c r="E248" s="211">
        <v>240</v>
      </c>
      <c r="F248" s="211"/>
      <c r="G248" s="211">
        <v>0.3</v>
      </c>
      <c r="H248" s="212"/>
      <c r="I248" s="213"/>
      <c r="J248" s="272">
        <v>30.95</v>
      </c>
      <c r="K248" s="112">
        <f t="shared" si="20"/>
        <v>7428</v>
      </c>
      <c r="L248" s="273">
        <f>BDI!$E$17</f>
        <v>0.11260000000000001</v>
      </c>
      <c r="M248" s="213"/>
      <c r="N248" s="213"/>
      <c r="O248" s="114">
        <f t="shared" si="21"/>
        <v>34.43</v>
      </c>
      <c r="P248" s="113">
        <f t="shared" si="22"/>
        <v>2478.96</v>
      </c>
      <c r="Q248" s="209"/>
      <c r="R248" s="203"/>
      <c r="S248" s="182"/>
      <c r="T248" s="182"/>
      <c r="U248" s="182"/>
      <c r="V248" s="182"/>
      <c r="W248" s="182"/>
      <c r="X248" s="182"/>
      <c r="Y248" s="182"/>
      <c r="Z248" s="182"/>
      <c r="AA248" s="182"/>
      <c r="AB248" s="182"/>
      <c r="AC248" s="182"/>
      <c r="AD248" s="182"/>
      <c r="AE248" s="182"/>
      <c r="AF248" s="182"/>
      <c r="AG248" s="182"/>
      <c r="AH248" s="182"/>
      <c r="AI248" s="182"/>
      <c r="AJ248" s="182"/>
      <c r="AK248" s="182"/>
      <c r="AL248" s="182"/>
      <c r="AM248" s="182"/>
      <c r="AN248" s="182"/>
      <c r="AO248" s="182"/>
      <c r="AP248" s="182"/>
      <c r="AQ248" s="182"/>
      <c r="AR248" s="182"/>
      <c r="AS248" s="182"/>
      <c r="AT248" s="182"/>
      <c r="AU248" s="182"/>
      <c r="AV248" s="182"/>
      <c r="AW248" s="182"/>
      <c r="AX248" s="182"/>
      <c r="AY248" s="182"/>
      <c r="AZ248" s="182"/>
      <c r="BA248" s="182"/>
      <c r="BB248" s="182"/>
      <c r="BC248" s="182"/>
      <c r="BD248" s="182"/>
      <c r="BE248" s="182"/>
      <c r="BF248" s="182"/>
      <c r="BG248" s="182"/>
      <c r="BH248" s="182"/>
      <c r="BI248" s="182"/>
      <c r="BJ248" s="182"/>
      <c r="BK248" s="182"/>
      <c r="BL248" s="182"/>
      <c r="BM248" s="182"/>
      <c r="BN248" s="182"/>
      <c r="BO248" s="182"/>
      <c r="BP248" s="182"/>
      <c r="BQ248" s="182"/>
      <c r="BR248" s="182"/>
      <c r="BS248" s="182"/>
      <c r="BT248" s="182"/>
      <c r="BU248" s="182"/>
      <c r="BV248" s="182"/>
      <c r="BW248" s="182"/>
      <c r="BX248" s="182"/>
      <c r="BY248" s="182"/>
      <c r="BZ248" s="182"/>
      <c r="CA248" s="182"/>
      <c r="CB248" s="182"/>
      <c r="CC248" s="182"/>
      <c r="CD248" s="182"/>
      <c r="CE248" s="182"/>
      <c r="CF248" s="182"/>
      <c r="CG248" s="182"/>
      <c r="CH248" s="182"/>
      <c r="CI248" s="182"/>
      <c r="CJ248" s="182"/>
      <c r="CK248" s="182"/>
      <c r="CL248" s="182"/>
      <c r="CM248" s="182"/>
      <c r="CN248" s="182"/>
      <c r="CO248" s="182"/>
      <c r="CP248" s="182"/>
      <c r="CQ248" s="182"/>
      <c r="CR248" s="182"/>
      <c r="CS248" s="182"/>
      <c r="CT248" s="182"/>
      <c r="CU248" s="182"/>
      <c r="CV248" s="182"/>
      <c r="CW248" s="182"/>
      <c r="CX248" s="182"/>
      <c r="CY248" s="182"/>
      <c r="CZ248" s="182"/>
      <c r="DA248" s="182"/>
      <c r="DB248" s="182"/>
      <c r="DC248" s="182"/>
      <c r="DD248" s="182"/>
      <c r="DE248" s="182"/>
      <c r="DF248" s="182"/>
      <c r="DG248" s="182"/>
      <c r="DH248" s="182"/>
      <c r="DI248" s="182"/>
      <c r="DJ248" s="182"/>
      <c r="DK248" s="182"/>
      <c r="DL248" s="182"/>
      <c r="DM248" s="182"/>
      <c r="DN248" s="182"/>
      <c r="DO248" s="182"/>
      <c r="DP248" s="182"/>
      <c r="DQ248" s="182"/>
      <c r="DR248" s="182"/>
      <c r="DS248" s="182"/>
      <c r="DT248" s="182"/>
      <c r="DU248" s="182"/>
      <c r="DV248" s="182"/>
      <c r="DW248" s="182"/>
      <c r="DX248" s="182"/>
      <c r="DY248" s="182"/>
      <c r="DZ248" s="182"/>
      <c r="EA248" s="182"/>
      <c r="EB248" s="182"/>
      <c r="EC248" s="182"/>
      <c r="ED248" s="182"/>
      <c r="EE248" s="182"/>
      <c r="EF248" s="182"/>
      <c r="EG248" s="182"/>
      <c r="EH248" s="182"/>
      <c r="EI248" s="182"/>
      <c r="EJ248" s="182"/>
      <c r="EK248" s="182"/>
      <c r="EL248" s="182"/>
      <c r="EM248" s="182"/>
      <c r="EN248" s="182"/>
      <c r="EO248" s="182"/>
      <c r="EP248" s="182"/>
      <c r="EQ248" s="182"/>
      <c r="ER248" s="182"/>
      <c r="ES248" s="182"/>
      <c r="ET248" s="182"/>
      <c r="EU248" s="182"/>
      <c r="EV248" s="182"/>
      <c r="EW248" s="182"/>
      <c r="EX248" s="182"/>
      <c r="EY248" s="182"/>
      <c r="EZ248" s="182"/>
      <c r="FA248" s="182"/>
      <c r="FB248" s="182"/>
      <c r="FC248" s="182"/>
      <c r="FD248" s="182"/>
      <c r="FE248" s="182"/>
      <c r="FF248" s="182"/>
      <c r="FG248" s="182"/>
      <c r="FH248" s="182"/>
      <c r="FI248" s="182"/>
      <c r="FJ248" s="182"/>
      <c r="FK248" s="182"/>
      <c r="FL248" s="182"/>
      <c r="FM248" s="182"/>
      <c r="FN248" s="182"/>
      <c r="FO248" s="182"/>
      <c r="FP248" s="182"/>
      <c r="FQ248" s="182"/>
      <c r="FR248" s="182"/>
      <c r="FS248" s="182"/>
      <c r="FT248" s="182"/>
      <c r="FU248" s="182"/>
      <c r="FV248" s="182"/>
      <c r="FW248" s="182"/>
      <c r="FX248" s="182"/>
      <c r="FY248" s="182"/>
      <c r="FZ248" s="182"/>
      <c r="GA248" s="182"/>
      <c r="GB248" s="182"/>
      <c r="GC248" s="182"/>
      <c r="GD248" s="182"/>
      <c r="GE248" s="182"/>
      <c r="GF248" s="182"/>
      <c r="GG248" s="182"/>
      <c r="GH248" s="182"/>
      <c r="GI248" s="182"/>
    </row>
    <row r="249" spans="1:191" s="183" customFormat="1" ht="25.5" x14ac:dyDescent="0.2">
      <c r="A249" s="210" t="s">
        <v>38554</v>
      </c>
      <c r="B249" s="210" t="s">
        <v>19097</v>
      </c>
      <c r="C249" s="224" t="s">
        <v>22356</v>
      </c>
      <c r="D249" s="211" t="s">
        <v>16</v>
      </c>
      <c r="E249" s="211">
        <v>120</v>
      </c>
      <c r="F249" s="211"/>
      <c r="G249" s="211">
        <v>0.3</v>
      </c>
      <c r="H249" s="212"/>
      <c r="I249" s="213"/>
      <c r="J249" s="272">
        <v>50.9</v>
      </c>
      <c r="K249" s="112">
        <f t="shared" si="20"/>
        <v>6108</v>
      </c>
      <c r="L249" s="273">
        <f>BDI!$E$17</f>
        <v>0.11260000000000001</v>
      </c>
      <c r="M249" s="213"/>
      <c r="N249" s="213"/>
      <c r="O249" s="114">
        <f t="shared" si="21"/>
        <v>56.63</v>
      </c>
      <c r="P249" s="113">
        <f t="shared" si="22"/>
        <v>2038.68</v>
      </c>
      <c r="Q249" s="209"/>
      <c r="R249" s="203"/>
      <c r="S249" s="182"/>
      <c r="T249" s="182"/>
      <c r="U249" s="182"/>
      <c r="V249" s="182"/>
      <c r="W249" s="182"/>
      <c r="X249" s="182"/>
      <c r="Y249" s="182"/>
      <c r="Z249" s="182"/>
      <c r="AA249" s="182"/>
      <c r="AB249" s="182"/>
      <c r="AC249" s="182"/>
      <c r="AD249" s="182"/>
      <c r="AE249" s="182"/>
      <c r="AF249" s="182"/>
      <c r="AG249" s="182"/>
      <c r="AH249" s="182"/>
      <c r="AI249" s="182"/>
      <c r="AJ249" s="182"/>
      <c r="AK249" s="182"/>
      <c r="AL249" s="182"/>
      <c r="AM249" s="182"/>
      <c r="AN249" s="182"/>
      <c r="AO249" s="182"/>
      <c r="AP249" s="182"/>
      <c r="AQ249" s="182"/>
      <c r="AR249" s="182"/>
      <c r="AS249" s="182"/>
      <c r="AT249" s="182"/>
      <c r="AU249" s="182"/>
      <c r="AV249" s="182"/>
      <c r="AW249" s="182"/>
      <c r="AX249" s="182"/>
      <c r="AY249" s="182"/>
      <c r="AZ249" s="182"/>
      <c r="BA249" s="182"/>
      <c r="BB249" s="182"/>
      <c r="BC249" s="182"/>
      <c r="BD249" s="182"/>
      <c r="BE249" s="182"/>
      <c r="BF249" s="182"/>
      <c r="BG249" s="182"/>
      <c r="BH249" s="182"/>
      <c r="BI249" s="182"/>
      <c r="BJ249" s="182"/>
      <c r="BK249" s="182"/>
      <c r="BL249" s="182"/>
      <c r="BM249" s="182"/>
      <c r="BN249" s="182"/>
      <c r="BO249" s="182"/>
      <c r="BP249" s="182"/>
      <c r="BQ249" s="182"/>
      <c r="BR249" s="182"/>
      <c r="BS249" s="182"/>
      <c r="BT249" s="182"/>
      <c r="BU249" s="182"/>
      <c r="BV249" s="182"/>
      <c r="BW249" s="182"/>
      <c r="BX249" s="182"/>
      <c r="BY249" s="182"/>
      <c r="BZ249" s="182"/>
      <c r="CA249" s="182"/>
      <c r="CB249" s="182"/>
      <c r="CC249" s="182"/>
      <c r="CD249" s="182"/>
      <c r="CE249" s="182"/>
      <c r="CF249" s="182"/>
      <c r="CG249" s="182"/>
      <c r="CH249" s="182"/>
      <c r="CI249" s="182"/>
      <c r="CJ249" s="182"/>
      <c r="CK249" s="182"/>
      <c r="CL249" s="182"/>
      <c r="CM249" s="182"/>
      <c r="CN249" s="182"/>
      <c r="CO249" s="182"/>
      <c r="CP249" s="182"/>
      <c r="CQ249" s="182"/>
      <c r="CR249" s="182"/>
      <c r="CS249" s="182"/>
      <c r="CT249" s="182"/>
      <c r="CU249" s="182"/>
      <c r="CV249" s="182"/>
      <c r="CW249" s="182"/>
      <c r="CX249" s="182"/>
      <c r="CY249" s="182"/>
      <c r="CZ249" s="182"/>
      <c r="DA249" s="182"/>
      <c r="DB249" s="182"/>
      <c r="DC249" s="182"/>
      <c r="DD249" s="182"/>
      <c r="DE249" s="182"/>
      <c r="DF249" s="182"/>
      <c r="DG249" s="182"/>
      <c r="DH249" s="182"/>
      <c r="DI249" s="182"/>
      <c r="DJ249" s="182"/>
      <c r="DK249" s="182"/>
      <c r="DL249" s="182"/>
      <c r="DM249" s="182"/>
      <c r="DN249" s="182"/>
      <c r="DO249" s="182"/>
      <c r="DP249" s="182"/>
      <c r="DQ249" s="182"/>
      <c r="DR249" s="182"/>
      <c r="DS249" s="182"/>
      <c r="DT249" s="182"/>
      <c r="DU249" s="182"/>
      <c r="DV249" s="182"/>
      <c r="DW249" s="182"/>
      <c r="DX249" s="182"/>
      <c r="DY249" s="182"/>
      <c r="DZ249" s="182"/>
      <c r="EA249" s="182"/>
      <c r="EB249" s="182"/>
      <c r="EC249" s="182"/>
      <c r="ED249" s="182"/>
      <c r="EE249" s="182"/>
      <c r="EF249" s="182"/>
      <c r="EG249" s="182"/>
      <c r="EH249" s="182"/>
      <c r="EI249" s="182"/>
      <c r="EJ249" s="182"/>
      <c r="EK249" s="182"/>
      <c r="EL249" s="182"/>
      <c r="EM249" s="182"/>
      <c r="EN249" s="182"/>
      <c r="EO249" s="182"/>
      <c r="EP249" s="182"/>
      <c r="EQ249" s="182"/>
      <c r="ER249" s="182"/>
      <c r="ES249" s="182"/>
      <c r="ET249" s="182"/>
      <c r="EU249" s="182"/>
      <c r="EV249" s="182"/>
      <c r="EW249" s="182"/>
      <c r="EX249" s="182"/>
      <c r="EY249" s="182"/>
      <c r="EZ249" s="182"/>
      <c r="FA249" s="182"/>
      <c r="FB249" s="182"/>
      <c r="FC249" s="182"/>
      <c r="FD249" s="182"/>
      <c r="FE249" s="182"/>
      <c r="FF249" s="182"/>
      <c r="FG249" s="182"/>
      <c r="FH249" s="182"/>
      <c r="FI249" s="182"/>
      <c r="FJ249" s="182"/>
      <c r="FK249" s="182"/>
      <c r="FL249" s="182"/>
      <c r="FM249" s="182"/>
      <c r="FN249" s="182"/>
      <c r="FO249" s="182"/>
      <c r="FP249" s="182"/>
      <c r="FQ249" s="182"/>
      <c r="FR249" s="182"/>
      <c r="FS249" s="182"/>
      <c r="FT249" s="182"/>
      <c r="FU249" s="182"/>
      <c r="FV249" s="182"/>
      <c r="FW249" s="182"/>
      <c r="FX249" s="182"/>
      <c r="FY249" s="182"/>
      <c r="FZ249" s="182"/>
      <c r="GA249" s="182"/>
      <c r="GB249" s="182"/>
      <c r="GC249" s="182"/>
      <c r="GD249" s="182"/>
      <c r="GE249" s="182"/>
      <c r="GF249" s="182"/>
      <c r="GG249" s="182"/>
      <c r="GH249" s="182"/>
      <c r="GI249" s="182"/>
    </row>
    <row r="250" spans="1:191" s="183" customFormat="1" ht="25.5" x14ac:dyDescent="0.2">
      <c r="A250" s="210" t="s">
        <v>38555</v>
      </c>
      <c r="B250" s="210" t="s">
        <v>19098</v>
      </c>
      <c r="C250" s="224" t="s">
        <v>22357</v>
      </c>
      <c r="D250" s="211" t="s">
        <v>16</v>
      </c>
      <c r="E250" s="211">
        <v>120</v>
      </c>
      <c r="F250" s="211"/>
      <c r="G250" s="211">
        <v>0.3</v>
      </c>
      <c r="H250" s="212"/>
      <c r="I250" s="213"/>
      <c r="J250" s="272">
        <v>68.75</v>
      </c>
      <c r="K250" s="112">
        <f t="shared" si="20"/>
        <v>8250</v>
      </c>
      <c r="L250" s="273">
        <f>BDI!$E$17</f>
        <v>0.11260000000000001</v>
      </c>
      <c r="M250" s="213"/>
      <c r="N250" s="213"/>
      <c r="O250" s="114">
        <f t="shared" si="21"/>
        <v>76.489999999999995</v>
      </c>
      <c r="P250" s="113">
        <f t="shared" si="22"/>
        <v>2753.64</v>
      </c>
      <c r="Q250" s="209"/>
      <c r="R250" s="203"/>
      <c r="S250" s="182"/>
      <c r="T250" s="182"/>
      <c r="U250" s="182"/>
      <c r="V250" s="182"/>
      <c r="W250" s="182"/>
      <c r="X250" s="182"/>
      <c r="Y250" s="182"/>
      <c r="Z250" s="182"/>
      <c r="AA250" s="182"/>
      <c r="AB250" s="182"/>
      <c r="AC250" s="182"/>
      <c r="AD250" s="182"/>
      <c r="AE250" s="182"/>
      <c r="AF250" s="182"/>
      <c r="AG250" s="182"/>
      <c r="AH250" s="182"/>
      <c r="AI250" s="182"/>
      <c r="AJ250" s="182"/>
      <c r="AK250" s="182"/>
      <c r="AL250" s="182"/>
      <c r="AM250" s="182"/>
      <c r="AN250" s="182"/>
      <c r="AO250" s="182"/>
      <c r="AP250" s="182"/>
      <c r="AQ250" s="182"/>
      <c r="AR250" s="182"/>
      <c r="AS250" s="182"/>
      <c r="AT250" s="182"/>
      <c r="AU250" s="182"/>
      <c r="AV250" s="182"/>
      <c r="AW250" s="182"/>
      <c r="AX250" s="182"/>
      <c r="AY250" s="182"/>
      <c r="AZ250" s="182"/>
      <c r="BA250" s="182"/>
      <c r="BB250" s="182"/>
      <c r="BC250" s="182"/>
      <c r="BD250" s="182"/>
      <c r="BE250" s="182"/>
      <c r="BF250" s="182"/>
      <c r="BG250" s="182"/>
      <c r="BH250" s="182"/>
      <c r="BI250" s="182"/>
      <c r="BJ250" s="182"/>
      <c r="BK250" s="182"/>
      <c r="BL250" s="182"/>
      <c r="BM250" s="182"/>
      <c r="BN250" s="182"/>
      <c r="BO250" s="182"/>
      <c r="BP250" s="182"/>
      <c r="BQ250" s="182"/>
      <c r="BR250" s="182"/>
      <c r="BS250" s="182"/>
      <c r="BT250" s="182"/>
      <c r="BU250" s="182"/>
      <c r="BV250" s="182"/>
      <c r="BW250" s="182"/>
      <c r="BX250" s="182"/>
      <c r="BY250" s="182"/>
      <c r="BZ250" s="182"/>
      <c r="CA250" s="182"/>
      <c r="CB250" s="182"/>
      <c r="CC250" s="182"/>
      <c r="CD250" s="182"/>
      <c r="CE250" s="182"/>
      <c r="CF250" s="182"/>
      <c r="CG250" s="182"/>
      <c r="CH250" s="182"/>
      <c r="CI250" s="182"/>
      <c r="CJ250" s="182"/>
      <c r="CK250" s="182"/>
      <c r="CL250" s="182"/>
      <c r="CM250" s="182"/>
      <c r="CN250" s="182"/>
      <c r="CO250" s="182"/>
      <c r="CP250" s="182"/>
      <c r="CQ250" s="182"/>
      <c r="CR250" s="182"/>
      <c r="CS250" s="182"/>
      <c r="CT250" s="182"/>
      <c r="CU250" s="182"/>
      <c r="CV250" s="182"/>
      <c r="CW250" s="182"/>
      <c r="CX250" s="182"/>
      <c r="CY250" s="182"/>
      <c r="CZ250" s="182"/>
      <c r="DA250" s="182"/>
      <c r="DB250" s="182"/>
      <c r="DC250" s="182"/>
      <c r="DD250" s="182"/>
      <c r="DE250" s="182"/>
      <c r="DF250" s="182"/>
      <c r="DG250" s="182"/>
      <c r="DH250" s="182"/>
      <c r="DI250" s="182"/>
      <c r="DJ250" s="182"/>
      <c r="DK250" s="182"/>
      <c r="DL250" s="182"/>
      <c r="DM250" s="182"/>
      <c r="DN250" s="182"/>
      <c r="DO250" s="182"/>
      <c r="DP250" s="182"/>
      <c r="DQ250" s="182"/>
      <c r="DR250" s="182"/>
      <c r="DS250" s="182"/>
      <c r="DT250" s="182"/>
      <c r="DU250" s="182"/>
      <c r="DV250" s="182"/>
      <c r="DW250" s="182"/>
      <c r="DX250" s="182"/>
      <c r="DY250" s="182"/>
      <c r="DZ250" s="182"/>
      <c r="EA250" s="182"/>
      <c r="EB250" s="182"/>
      <c r="EC250" s="182"/>
      <c r="ED250" s="182"/>
      <c r="EE250" s="182"/>
      <c r="EF250" s="182"/>
      <c r="EG250" s="182"/>
      <c r="EH250" s="182"/>
      <c r="EI250" s="182"/>
      <c r="EJ250" s="182"/>
      <c r="EK250" s="182"/>
      <c r="EL250" s="182"/>
      <c r="EM250" s="182"/>
      <c r="EN250" s="182"/>
      <c r="EO250" s="182"/>
      <c r="EP250" s="182"/>
      <c r="EQ250" s="182"/>
      <c r="ER250" s="182"/>
      <c r="ES250" s="182"/>
      <c r="ET250" s="182"/>
      <c r="EU250" s="182"/>
      <c r="EV250" s="182"/>
      <c r="EW250" s="182"/>
      <c r="EX250" s="182"/>
      <c r="EY250" s="182"/>
      <c r="EZ250" s="182"/>
      <c r="FA250" s="182"/>
      <c r="FB250" s="182"/>
      <c r="FC250" s="182"/>
      <c r="FD250" s="182"/>
      <c r="FE250" s="182"/>
      <c r="FF250" s="182"/>
      <c r="FG250" s="182"/>
      <c r="FH250" s="182"/>
      <c r="FI250" s="182"/>
      <c r="FJ250" s="182"/>
      <c r="FK250" s="182"/>
      <c r="FL250" s="182"/>
      <c r="FM250" s="182"/>
      <c r="FN250" s="182"/>
      <c r="FO250" s="182"/>
      <c r="FP250" s="182"/>
      <c r="FQ250" s="182"/>
      <c r="FR250" s="182"/>
      <c r="FS250" s="182"/>
      <c r="FT250" s="182"/>
      <c r="FU250" s="182"/>
      <c r="FV250" s="182"/>
      <c r="FW250" s="182"/>
      <c r="FX250" s="182"/>
      <c r="FY250" s="182"/>
      <c r="FZ250" s="182"/>
      <c r="GA250" s="182"/>
      <c r="GB250" s="182"/>
      <c r="GC250" s="182"/>
      <c r="GD250" s="182"/>
      <c r="GE250" s="182"/>
      <c r="GF250" s="182"/>
      <c r="GG250" s="182"/>
      <c r="GH250" s="182"/>
      <c r="GI250" s="182"/>
    </row>
    <row r="251" spans="1:191" s="183" customFormat="1" x14ac:dyDescent="0.2">
      <c r="A251" s="210" t="s">
        <v>38556</v>
      </c>
      <c r="B251" s="210" t="s">
        <v>19099</v>
      </c>
      <c r="C251" s="224" t="s">
        <v>22358</v>
      </c>
      <c r="D251" s="211" t="s">
        <v>16</v>
      </c>
      <c r="E251" s="211">
        <v>120</v>
      </c>
      <c r="F251" s="211"/>
      <c r="G251" s="211">
        <v>0.3</v>
      </c>
      <c r="H251" s="212"/>
      <c r="I251" s="213"/>
      <c r="J251" s="272">
        <v>32.770000000000003</v>
      </c>
      <c r="K251" s="112">
        <f t="shared" si="20"/>
        <v>3932.4</v>
      </c>
      <c r="L251" s="273">
        <f>BDI!$E$17</f>
        <v>0.11260000000000001</v>
      </c>
      <c r="M251" s="213"/>
      <c r="N251" s="213"/>
      <c r="O251" s="114">
        <f t="shared" si="21"/>
        <v>36.46</v>
      </c>
      <c r="P251" s="113">
        <f t="shared" si="22"/>
        <v>1312.56</v>
      </c>
      <c r="Q251" s="209"/>
      <c r="R251" s="203"/>
      <c r="S251" s="182"/>
      <c r="T251" s="182"/>
      <c r="U251" s="182"/>
      <c r="V251" s="182"/>
      <c r="W251" s="182"/>
      <c r="X251" s="182"/>
      <c r="Y251" s="182"/>
      <c r="Z251" s="182"/>
      <c r="AA251" s="182"/>
      <c r="AB251" s="182"/>
      <c r="AC251" s="182"/>
      <c r="AD251" s="182"/>
      <c r="AE251" s="182"/>
      <c r="AF251" s="182"/>
      <c r="AG251" s="182"/>
      <c r="AH251" s="182"/>
      <c r="AI251" s="182"/>
      <c r="AJ251" s="182"/>
      <c r="AK251" s="182"/>
      <c r="AL251" s="182"/>
      <c r="AM251" s="182"/>
      <c r="AN251" s="182"/>
      <c r="AO251" s="182"/>
      <c r="AP251" s="182"/>
      <c r="AQ251" s="182"/>
      <c r="AR251" s="182"/>
      <c r="AS251" s="182"/>
      <c r="AT251" s="182"/>
      <c r="AU251" s="182"/>
      <c r="AV251" s="182"/>
      <c r="AW251" s="182"/>
      <c r="AX251" s="182"/>
      <c r="AY251" s="182"/>
      <c r="AZ251" s="182"/>
      <c r="BA251" s="182"/>
      <c r="BB251" s="182"/>
      <c r="BC251" s="182"/>
      <c r="BD251" s="182"/>
      <c r="BE251" s="182"/>
      <c r="BF251" s="182"/>
      <c r="BG251" s="182"/>
      <c r="BH251" s="182"/>
      <c r="BI251" s="182"/>
      <c r="BJ251" s="182"/>
      <c r="BK251" s="182"/>
      <c r="BL251" s="182"/>
      <c r="BM251" s="182"/>
      <c r="BN251" s="182"/>
      <c r="BO251" s="182"/>
      <c r="BP251" s="182"/>
      <c r="BQ251" s="182"/>
      <c r="BR251" s="182"/>
      <c r="BS251" s="182"/>
      <c r="BT251" s="182"/>
      <c r="BU251" s="182"/>
      <c r="BV251" s="182"/>
      <c r="BW251" s="182"/>
      <c r="BX251" s="182"/>
      <c r="BY251" s="182"/>
      <c r="BZ251" s="182"/>
      <c r="CA251" s="182"/>
      <c r="CB251" s="182"/>
      <c r="CC251" s="182"/>
      <c r="CD251" s="182"/>
      <c r="CE251" s="182"/>
      <c r="CF251" s="182"/>
      <c r="CG251" s="182"/>
      <c r="CH251" s="182"/>
      <c r="CI251" s="182"/>
      <c r="CJ251" s="182"/>
      <c r="CK251" s="182"/>
      <c r="CL251" s="182"/>
      <c r="CM251" s="182"/>
      <c r="CN251" s="182"/>
      <c r="CO251" s="182"/>
      <c r="CP251" s="182"/>
      <c r="CQ251" s="182"/>
      <c r="CR251" s="182"/>
      <c r="CS251" s="182"/>
      <c r="CT251" s="182"/>
      <c r="CU251" s="182"/>
      <c r="CV251" s="182"/>
      <c r="CW251" s="182"/>
      <c r="CX251" s="182"/>
      <c r="CY251" s="182"/>
      <c r="CZ251" s="182"/>
      <c r="DA251" s="182"/>
      <c r="DB251" s="182"/>
      <c r="DC251" s="182"/>
      <c r="DD251" s="182"/>
      <c r="DE251" s="182"/>
      <c r="DF251" s="182"/>
      <c r="DG251" s="182"/>
      <c r="DH251" s="182"/>
      <c r="DI251" s="182"/>
      <c r="DJ251" s="182"/>
      <c r="DK251" s="182"/>
      <c r="DL251" s="182"/>
      <c r="DM251" s="182"/>
      <c r="DN251" s="182"/>
      <c r="DO251" s="182"/>
      <c r="DP251" s="182"/>
      <c r="DQ251" s="182"/>
      <c r="DR251" s="182"/>
      <c r="DS251" s="182"/>
      <c r="DT251" s="182"/>
      <c r="DU251" s="182"/>
      <c r="DV251" s="182"/>
      <c r="DW251" s="182"/>
      <c r="DX251" s="182"/>
      <c r="DY251" s="182"/>
      <c r="DZ251" s="182"/>
      <c r="EA251" s="182"/>
      <c r="EB251" s="182"/>
      <c r="EC251" s="182"/>
      <c r="ED251" s="182"/>
      <c r="EE251" s="182"/>
      <c r="EF251" s="182"/>
      <c r="EG251" s="182"/>
      <c r="EH251" s="182"/>
      <c r="EI251" s="182"/>
      <c r="EJ251" s="182"/>
      <c r="EK251" s="182"/>
      <c r="EL251" s="182"/>
      <c r="EM251" s="182"/>
      <c r="EN251" s="182"/>
      <c r="EO251" s="182"/>
      <c r="EP251" s="182"/>
      <c r="EQ251" s="182"/>
      <c r="ER251" s="182"/>
      <c r="ES251" s="182"/>
      <c r="ET251" s="182"/>
      <c r="EU251" s="182"/>
      <c r="EV251" s="182"/>
      <c r="EW251" s="182"/>
      <c r="EX251" s="182"/>
      <c r="EY251" s="182"/>
      <c r="EZ251" s="182"/>
      <c r="FA251" s="182"/>
      <c r="FB251" s="182"/>
      <c r="FC251" s="182"/>
      <c r="FD251" s="182"/>
      <c r="FE251" s="182"/>
      <c r="FF251" s="182"/>
      <c r="FG251" s="182"/>
      <c r="FH251" s="182"/>
      <c r="FI251" s="182"/>
      <c r="FJ251" s="182"/>
      <c r="FK251" s="182"/>
      <c r="FL251" s="182"/>
      <c r="FM251" s="182"/>
      <c r="FN251" s="182"/>
      <c r="FO251" s="182"/>
      <c r="FP251" s="182"/>
      <c r="FQ251" s="182"/>
      <c r="FR251" s="182"/>
      <c r="FS251" s="182"/>
      <c r="FT251" s="182"/>
      <c r="FU251" s="182"/>
      <c r="FV251" s="182"/>
      <c r="FW251" s="182"/>
      <c r="FX251" s="182"/>
      <c r="FY251" s="182"/>
      <c r="FZ251" s="182"/>
      <c r="GA251" s="182"/>
      <c r="GB251" s="182"/>
      <c r="GC251" s="182"/>
      <c r="GD251" s="182"/>
      <c r="GE251" s="182"/>
      <c r="GF251" s="182"/>
      <c r="GG251" s="182"/>
      <c r="GH251" s="182"/>
      <c r="GI251" s="182"/>
    </row>
    <row r="252" spans="1:191" s="183" customFormat="1" x14ac:dyDescent="0.2">
      <c r="A252" s="210" t="s">
        <v>38557</v>
      </c>
      <c r="B252" s="210" t="s">
        <v>19100</v>
      </c>
      <c r="C252" s="224" t="s">
        <v>1481</v>
      </c>
      <c r="D252" s="211" t="s">
        <v>69</v>
      </c>
      <c r="E252" s="211">
        <v>15000</v>
      </c>
      <c r="F252" s="211"/>
      <c r="G252" s="211">
        <v>0.3</v>
      </c>
      <c r="H252" s="212"/>
      <c r="I252" s="213"/>
      <c r="J252" s="272">
        <v>0.36</v>
      </c>
      <c r="K252" s="112">
        <f t="shared" si="20"/>
        <v>5400</v>
      </c>
      <c r="L252" s="273">
        <f>BDI!$E$17</f>
        <v>0.11260000000000001</v>
      </c>
      <c r="M252" s="213"/>
      <c r="N252" s="213"/>
      <c r="O252" s="114">
        <f t="shared" si="21"/>
        <v>0.4</v>
      </c>
      <c r="P252" s="113">
        <f t="shared" si="22"/>
        <v>1800</v>
      </c>
      <c r="Q252" s="209"/>
      <c r="R252" s="203"/>
      <c r="S252" s="182"/>
      <c r="T252" s="182"/>
      <c r="U252" s="182"/>
      <c r="V252" s="182"/>
      <c r="W252" s="182"/>
      <c r="X252" s="182"/>
      <c r="Y252" s="182"/>
      <c r="Z252" s="182"/>
      <c r="AA252" s="182"/>
      <c r="AB252" s="182"/>
      <c r="AC252" s="182"/>
      <c r="AD252" s="182"/>
      <c r="AE252" s="182"/>
      <c r="AF252" s="182"/>
      <c r="AG252" s="182"/>
      <c r="AH252" s="182"/>
      <c r="AI252" s="182"/>
      <c r="AJ252" s="182"/>
      <c r="AK252" s="182"/>
      <c r="AL252" s="182"/>
      <c r="AM252" s="182"/>
      <c r="AN252" s="182"/>
      <c r="AO252" s="182"/>
      <c r="AP252" s="182"/>
      <c r="AQ252" s="182"/>
      <c r="AR252" s="182"/>
      <c r="AS252" s="182"/>
      <c r="AT252" s="182"/>
      <c r="AU252" s="182"/>
      <c r="AV252" s="182"/>
      <c r="AW252" s="182"/>
      <c r="AX252" s="182"/>
      <c r="AY252" s="182"/>
      <c r="AZ252" s="182"/>
      <c r="BA252" s="182"/>
      <c r="BB252" s="182"/>
      <c r="BC252" s="182"/>
      <c r="BD252" s="182"/>
      <c r="BE252" s="182"/>
      <c r="BF252" s="182"/>
      <c r="BG252" s="182"/>
      <c r="BH252" s="182"/>
      <c r="BI252" s="182"/>
      <c r="BJ252" s="182"/>
      <c r="BK252" s="182"/>
      <c r="BL252" s="182"/>
      <c r="BM252" s="182"/>
      <c r="BN252" s="182"/>
      <c r="BO252" s="182"/>
      <c r="BP252" s="182"/>
      <c r="BQ252" s="182"/>
      <c r="BR252" s="182"/>
      <c r="BS252" s="182"/>
      <c r="BT252" s="182"/>
      <c r="BU252" s="182"/>
      <c r="BV252" s="182"/>
      <c r="BW252" s="182"/>
      <c r="BX252" s="182"/>
      <c r="BY252" s="182"/>
      <c r="BZ252" s="182"/>
      <c r="CA252" s="182"/>
      <c r="CB252" s="182"/>
      <c r="CC252" s="182"/>
      <c r="CD252" s="182"/>
      <c r="CE252" s="182"/>
      <c r="CF252" s="182"/>
      <c r="CG252" s="182"/>
      <c r="CH252" s="182"/>
      <c r="CI252" s="182"/>
      <c r="CJ252" s="182"/>
      <c r="CK252" s="182"/>
      <c r="CL252" s="182"/>
      <c r="CM252" s="182"/>
      <c r="CN252" s="182"/>
      <c r="CO252" s="182"/>
      <c r="CP252" s="182"/>
      <c r="CQ252" s="182"/>
      <c r="CR252" s="182"/>
      <c r="CS252" s="182"/>
      <c r="CT252" s="182"/>
      <c r="CU252" s="182"/>
      <c r="CV252" s="182"/>
      <c r="CW252" s="182"/>
      <c r="CX252" s="182"/>
      <c r="CY252" s="182"/>
      <c r="CZ252" s="182"/>
      <c r="DA252" s="182"/>
      <c r="DB252" s="182"/>
      <c r="DC252" s="182"/>
      <c r="DD252" s="182"/>
      <c r="DE252" s="182"/>
      <c r="DF252" s="182"/>
      <c r="DG252" s="182"/>
      <c r="DH252" s="182"/>
      <c r="DI252" s="182"/>
      <c r="DJ252" s="182"/>
      <c r="DK252" s="182"/>
      <c r="DL252" s="182"/>
      <c r="DM252" s="182"/>
      <c r="DN252" s="182"/>
      <c r="DO252" s="182"/>
      <c r="DP252" s="182"/>
      <c r="DQ252" s="182"/>
      <c r="DR252" s="182"/>
      <c r="DS252" s="182"/>
      <c r="DT252" s="182"/>
      <c r="DU252" s="182"/>
      <c r="DV252" s="182"/>
      <c r="DW252" s="182"/>
      <c r="DX252" s="182"/>
      <c r="DY252" s="182"/>
      <c r="DZ252" s="182"/>
      <c r="EA252" s="182"/>
      <c r="EB252" s="182"/>
      <c r="EC252" s="182"/>
      <c r="ED252" s="182"/>
      <c r="EE252" s="182"/>
      <c r="EF252" s="182"/>
      <c r="EG252" s="182"/>
      <c r="EH252" s="182"/>
      <c r="EI252" s="182"/>
      <c r="EJ252" s="182"/>
      <c r="EK252" s="182"/>
      <c r="EL252" s="182"/>
      <c r="EM252" s="182"/>
      <c r="EN252" s="182"/>
      <c r="EO252" s="182"/>
      <c r="EP252" s="182"/>
      <c r="EQ252" s="182"/>
      <c r="ER252" s="182"/>
      <c r="ES252" s="182"/>
      <c r="ET252" s="182"/>
      <c r="EU252" s="182"/>
      <c r="EV252" s="182"/>
      <c r="EW252" s="182"/>
      <c r="EX252" s="182"/>
      <c r="EY252" s="182"/>
      <c r="EZ252" s="182"/>
      <c r="FA252" s="182"/>
      <c r="FB252" s="182"/>
      <c r="FC252" s="182"/>
      <c r="FD252" s="182"/>
      <c r="FE252" s="182"/>
      <c r="FF252" s="182"/>
      <c r="FG252" s="182"/>
      <c r="FH252" s="182"/>
      <c r="FI252" s="182"/>
      <c r="FJ252" s="182"/>
      <c r="FK252" s="182"/>
      <c r="FL252" s="182"/>
      <c r="FM252" s="182"/>
      <c r="FN252" s="182"/>
      <c r="FO252" s="182"/>
      <c r="FP252" s="182"/>
      <c r="FQ252" s="182"/>
      <c r="FR252" s="182"/>
      <c r="FS252" s="182"/>
      <c r="FT252" s="182"/>
      <c r="FU252" s="182"/>
      <c r="FV252" s="182"/>
      <c r="FW252" s="182"/>
      <c r="FX252" s="182"/>
      <c r="FY252" s="182"/>
      <c r="FZ252" s="182"/>
      <c r="GA252" s="182"/>
      <c r="GB252" s="182"/>
      <c r="GC252" s="182"/>
      <c r="GD252" s="182"/>
      <c r="GE252" s="182"/>
      <c r="GF252" s="182"/>
      <c r="GG252" s="182"/>
      <c r="GH252" s="182"/>
      <c r="GI252" s="182"/>
    </row>
    <row r="253" spans="1:191" s="183" customFormat="1" x14ac:dyDescent="0.2">
      <c r="A253" s="210" t="s">
        <v>38558</v>
      </c>
      <c r="B253" s="210" t="s">
        <v>19101</v>
      </c>
      <c r="C253" s="224" t="s">
        <v>1480</v>
      </c>
      <c r="D253" s="211" t="s">
        <v>69</v>
      </c>
      <c r="E253" s="211">
        <v>15000</v>
      </c>
      <c r="F253" s="211"/>
      <c r="G253" s="211">
        <v>0.3</v>
      </c>
      <c r="H253" s="212"/>
      <c r="I253" s="213"/>
      <c r="J253" s="272">
        <v>0.11</v>
      </c>
      <c r="K253" s="112">
        <f t="shared" si="20"/>
        <v>1650</v>
      </c>
      <c r="L253" s="273">
        <f>BDI!$E$17</f>
        <v>0.11260000000000001</v>
      </c>
      <c r="M253" s="213"/>
      <c r="N253" s="213"/>
      <c r="O253" s="114">
        <f t="shared" si="21"/>
        <v>0.12</v>
      </c>
      <c r="P253" s="113">
        <f t="shared" si="22"/>
        <v>540</v>
      </c>
      <c r="Q253" s="209"/>
      <c r="R253" s="203"/>
      <c r="S253" s="182"/>
      <c r="T253" s="182"/>
      <c r="U253" s="182"/>
      <c r="V253" s="182"/>
      <c r="W253" s="182"/>
      <c r="X253" s="182"/>
      <c r="Y253" s="182"/>
      <c r="Z253" s="182"/>
      <c r="AA253" s="182"/>
      <c r="AB253" s="182"/>
      <c r="AC253" s="182"/>
      <c r="AD253" s="182"/>
      <c r="AE253" s="182"/>
      <c r="AF253" s="182"/>
      <c r="AG253" s="182"/>
      <c r="AH253" s="182"/>
      <c r="AI253" s="182"/>
      <c r="AJ253" s="182"/>
      <c r="AK253" s="182"/>
      <c r="AL253" s="182"/>
      <c r="AM253" s="182"/>
      <c r="AN253" s="182"/>
      <c r="AO253" s="182"/>
      <c r="AP253" s="182"/>
      <c r="AQ253" s="182"/>
      <c r="AR253" s="182"/>
      <c r="AS253" s="182"/>
      <c r="AT253" s="182"/>
      <c r="AU253" s="182"/>
      <c r="AV253" s="182"/>
      <c r="AW253" s="182"/>
      <c r="AX253" s="182"/>
      <c r="AY253" s="182"/>
      <c r="AZ253" s="182"/>
      <c r="BA253" s="182"/>
      <c r="BB253" s="182"/>
      <c r="BC253" s="182"/>
      <c r="BD253" s="182"/>
      <c r="BE253" s="182"/>
      <c r="BF253" s="182"/>
      <c r="BG253" s="182"/>
      <c r="BH253" s="182"/>
      <c r="BI253" s="182"/>
      <c r="BJ253" s="182"/>
      <c r="BK253" s="182"/>
      <c r="BL253" s="182"/>
      <c r="BM253" s="182"/>
      <c r="BN253" s="182"/>
      <c r="BO253" s="182"/>
      <c r="BP253" s="182"/>
      <c r="BQ253" s="182"/>
      <c r="BR253" s="182"/>
      <c r="BS253" s="182"/>
      <c r="BT253" s="182"/>
      <c r="BU253" s="182"/>
      <c r="BV253" s="182"/>
      <c r="BW253" s="182"/>
      <c r="BX253" s="182"/>
      <c r="BY253" s="182"/>
      <c r="BZ253" s="182"/>
      <c r="CA253" s="182"/>
      <c r="CB253" s="182"/>
      <c r="CC253" s="182"/>
      <c r="CD253" s="182"/>
      <c r="CE253" s="182"/>
      <c r="CF253" s="182"/>
      <c r="CG253" s="182"/>
      <c r="CH253" s="182"/>
      <c r="CI253" s="182"/>
      <c r="CJ253" s="182"/>
      <c r="CK253" s="182"/>
      <c r="CL253" s="182"/>
      <c r="CM253" s="182"/>
      <c r="CN253" s="182"/>
      <c r="CO253" s="182"/>
      <c r="CP253" s="182"/>
      <c r="CQ253" s="182"/>
      <c r="CR253" s="182"/>
      <c r="CS253" s="182"/>
      <c r="CT253" s="182"/>
      <c r="CU253" s="182"/>
      <c r="CV253" s="182"/>
      <c r="CW253" s="182"/>
      <c r="CX253" s="182"/>
      <c r="CY253" s="182"/>
      <c r="CZ253" s="182"/>
      <c r="DA253" s="182"/>
      <c r="DB253" s="182"/>
      <c r="DC253" s="182"/>
      <c r="DD253" s="182"/>
      <c r="DE253" s="182"/>
      <c r="DF253" s="182"/>
      <c r="DG253" s="182"/>
      <c r="DH253" s="182"/>
      <c r="DI253" s="182"/>
      <c r="DJ253" s="182"/>
      <c r="DK253" s="182"/>
      <c r="DL253" s="182"/>
      <c r="DM253" s="182"/>
      <c r="DN253" s="182"/>
      <c r="DO253" s="182"/>
      <c r="DP253" s="182"/>
      <c r="DQ253" s="182"/>
      <c r="DR253" s="182"/>
      <c r="DS253" s="182"/>
      <c r="DT253" s="182"/>
      <c r="DU253" s="182"/>
      <c r="DV253" s="182"/>
      <c r="DW253" s="182"/>
      <c r="DX253" s="182"/>
      <c r="DY253" s="182"/>
      <c r="DZ253" s="182"/>
      <c r="EA253" s="182"/>
      <c r="EB253" s="182"/>
      <c r="EC253" s="182"/>
      <c r="ED253" s="182"/>
      <c r="EE253" s="182"/>
      <c r="EF253" s="182"/>
      <c r="EG253" s="182"/>
      <c r="EH253" s="182"/>
      <c r="EI253" s="182"/>
      <c r="EJ253" s="182"/>
      <c r="EK253" s="182"/>
      <c r="EL253" s="182"/>
      <c r="EM253" s="182"/>
      <c r="EN253" s="182"/>
      <c r="EO253" s="182"/>
      <c r="EP253" s="182"/>
      <c r="EQ253" s="182"/>
      <c r="ER253" s="182"/>
      <c r="ES253" s="182"/>
      <c r="ET253" s="182"/>
      <c r="EU253" s="182"/>
      <c r="EV253" s="182"/>
      <c r="EW253" s="182"/>
      <c r="EX253" s="182"/>
      <c r="EY253" s="182"/>
      <c r="EZ253" s="182"/>
      <c r="FA253" s="182"/>
      <c r="FB253" s="182"/>
      <c r="FC253" s="182"/>
      <c r="FD253" s="182"/>
      <c r="FE253" s="182"/>
      <c r="FF253" s="182"/>
      <c r="FG253" s="182"/>
      <c r="FH253" s="182"/>
      <c r="FI253" s="182"/>
      <c r="FJ253" s="182"/>
      <c r="FK253" s="182"/>
      <c r="FL253" s="182"/>
      <c r="FM253" s="182"/>
      <c r="FN253" s="182"/>
      <c r="FO253" s="182"/>
      <c r="FP253" s="182"/>
      <c r="FQ253" s="182"/>
      <c r="FR253" s="182"/>
      <c r="FS253" s="182"/>
      <c r="FT253" s="182"/>
      <c r="FU253" s="182"/>
      <c r="FV253" s="182"/>
      <c r="FW253" s="182"/>
      <c r="FX253" s="182"/>
      <c r="FY253" s="182"/>
      <c r="FZ253" s="182"/>
      <c r="GA253" s="182"/>
      <c r="GB253" s="182"/>
      <c r="GC253" s="182"/>
      <c r="GD253" s="182"/>
      <c r="GE253" s="182"/>
      <c r="GF253" s="182"/>
      <c r="GG253" s="182"/>
      <c r="GH253" s="182"/>
      <c r="GI253" s="182"/>
    </row>
    <row r="254" spans="1:191" s="183" customFormat="1" ht="25.5" x14ac:dyDescent="0.2">
      <c r="A254" s="210" t="s">
        <v>38559</v>
      </c>
      <c r="B254" s="210" t="s">
        <v>19102</v>
      </c>
      <c r="C254" s="224" t="s">
        <v>22359</v>
      </c>
      <c r="D254" s="211" t="s">
        <v>69</v>
      </c>
      <c r="E254" s="211">
        <v>120</v>
      </c>
      <c r="F254" s="211"/>
      <c r="G254" s="211">
        <v>0.3</v>
      </c>
      <c r="H254" s="212"/>
      <c r="I254" s="213"/>
      <c r="J254" s="272">
        <v>31.46</v>
      </c>
      <c r="K254" s="112">
        <f t="shared" si="20"/>
        <v>3775.2</v>
      </c>
      <c r="L254" s="273">
        <f>BDI!$E$17</f>
        <v>0.11260000000000001</v>
      </c>
      <c r="M254" s="213"/>
      <c r="N254" s="213"/>
      <c r="O254" s="114">
        <f t="shared" si="21"/>
        <v>35</v>
      </c>
      <c r="P254" s="113">
        <f t="shared" si="22"/>
        <v>1260</v>
      </c>
      <c r="Q254" s="209"/>
      <c r="R254" s="203"/>
      <c r="S254" s="182"/>
      <c r="T254" s="182"/>
      <c r="U254" s="182"/>
      <c r="V254" s="182"/>
      <c r="W254" s="182"/>
      <c r="X254" s="182"/>
      <c r="Y254" s="182"/>
      <c r="Z254" s="182"/>
      <c r="AA254" s="182"/>
      <c r="AB254" s="182"/>
      <c r="AC254" s="182"/>
      <c r="AD254" s="182"/>
      <c r="AE254" s="182"/>
      <c r="AF254" s="182"/>
      <c r="AG254" s="182"/>
      <c r="AH254" s="182"/>
      <c r="AI254" s="182"/>
      <c r="AJ254" s="182"/>
      <c r="AK254" s="182"/>
      <c r="AL254" s="182"/>
      <c r="AM254" s="182"/>
      <c r="AN254" s="182"/>
      <c r="AO254" s="182"/>
      <c r="AP254" s="182"/>
      <c r="AQ254" s="182"/>
      <c r="AR254" s="182"/>
      <c r="AS254" s="182"/>
      <c r="AT254" s="182"/>
      <c r="AU254" s="182"/>
      <c r="AV254" s="182"/>
      <c r="AW254" s="182"/>
      <c r="AX254" s="182"/>
      <c r="AY254" s="182"/>
      <c r="AZ254" s="182"/>
      <c r="BA254" s="182"/>
      <c r="BB254" s="182"/>
      <c r="BC254" s="182"/>
      <c r="BD254" s="182"/>
      <c r="BE254" s="182"/>
      <c r="BF254" s="182"/>
      <c r="BG254" s="182"/>
      <c r="BH254" s="182"/>
      <c r="BI254" s="182"/>
      <c r="BJ254" s="182"/>
      <c r="BK254" s="182"/>
      <c r="BL254" s="182"/>
      <c r="BM254" s="182"/>
      <c r="BN254" s="182"/>
      <c r="BO254" s="182"/>
      <c r="BP254" s="182"/>
      <c r="BQ254" s="182"/>
      <c r="BR254" s="182"/>
      <c r="BS254" s="182"/>
      <c r="BT254" s="182"/>
      <c r="BU254" s="182"/>
      <c r="BV254" s="182"/>
      <c r="BW254" s="182"/>
      <c r="BX254" s="182"/>
      <c r="BY254" s="182"/>
      <c r="BZ254" s="182"/>
      <c r="CA254" s="182"/>
      <c r="CB254" s="182"/>
      <c r="CC254" s="182"/>
      <c r="CD254" s="182"/>
      <c r="CE254" s="182"/>
      <c r="CF254" s="182"/>
      <c r="CG254" s="182"/>
      <c r="CH254" s="182"/>
      <c r="CI254" s="182"/>
      <c r="CJ254" s="182"/>
      <c r="CK254" s="182"/>
      <c r="CL254" s="182"/>
      <c r="CM254" s="182"/>
      <c r="CN254" s="182"/>
      <c r="CO254" s="182"/>
      <c r="CP254" s="182"/>
      <c r="CQ254" s="182"/>
      <c r="CR254" s="182"/>
      <c r="CS254" s="182"/>
      <c r="CT254" s="182"/>
      <c r="CU254" s="182"/>
      <c r="CV254" s="182"/>
      <c r="CW254" s="182"/>
      <c r="CX254" s="182"/>
      <c r="CY254" s="182"/>
      <c r="CZ254" s="182"/>
      <c r="DA254" s="182"/>
      <c r="DB254" s="182"/>
      <c r="DC254" s="182"/>
      <c r="DD254" s="182"/>
      <c r="DE254" s="182"/>
      <c r="DF254" s="182"/>
      <c r="DG254" s="182"/>
      <c r="DH254" s="182"/>
      <c r="DI254" s="182"/>
      <c r="DJ254" s="182"/>
      <c r="DK254" s="182"/>
      <c r="DL254" s="182"/>
      <c r="DM254" s="182"/>
      <c r="DN254" s="182"/>
      <c r="DO254" s="182"/>
      <c r="DP254" s="182"/>
      <c r="DQ254" s="182"/>
      <c r="DR254" s="182"/>
      <c r="DS254" s="182"/>
      <c r="DT254" s="182"/>
      <c r="DU254" s="182"/>
      <c r="DV254" s="182"/>
      <c r="DW254" s="182"/>
      <c r="DX254" s="182"/>
      <c r="DY254" s="182"/>
      <c r="DZ254" s="182"/>
      <c r="EA254" s="182"/>
      <c r="EB254" s="182"/>
      <c r="EC254" s="182"/>
      <c r="ED254" s="182"/>
      <c r="EE254" s="182"/>
      <c r="EF254" s="182"/>
      <c r="EG254" s="182"/>
      <c r="EH254" s="182"/>
      <c r="EI254" s="182"/>
      <c r="EJ254" s="182"/>
      <c r="EK254" s="182"/>
      <c r="EL254" s="182"/>
      <c r="EM254" s="182"/>
      <c r="EN254" s="182"/>
      <c r="EO254" s="182"/>
      <c r="EP254" s="182"/>
      <c r="EQ254" s="182"/>
      <c r="ER254" s="182"/>
      <c r="ES254" s="182"/>
      <c r="ET254" s="182"/>
      <c r="EU254" s="182"/>
      <c r="EV254" s="182"/>
      <c r="EW254" s="182"/>
      <c r="EX254" s="182"/>
      <c r="EY254" s="182"/>
      <c r="EZ254" s="182"/>
      <c r="FA254" s="182"/>
      <c r="FB254" s="182"/>
      <c r="FC254" s="182"/>
      <c r="FD254" s="182"/>
      <c r="FE254" s="182"/>
      <c r="FF254" s="182"/>
      <c r="FG254" s="182"/>
      <c r="FH254" s="182"/>
      <c r="FI254" s="182"/>
      <c r="FJ254" s="182"/>
      <c r="FK254" s="182"/>
      <c r="FL254" s="182"/>
      <c r="FM254" s="182"/>
      <c r="FN254" s="182"/>
      <c r="FO254" s="182"/>
      <c r="FP254" s="182"/>
      <c r="FQ254" s="182"/>
      <c r="FR254" s="182"/>
      <c r="FS254" s="182"/>
      <c r="FT254" s="182"/>
      <c r="FU254" s="182"/>
      <c r="FV254" s="182"/>
      <c r="FW254" s="182"/>
      <c r="FX254" s="182"/>
      <c r="FY254" s="182"/>
      <c r="FZ254" s="182"/>
      <c r="GA254" s="182"/>
      <c r="GB254" s="182"/>
      <c r="GC254" s="182"/>
      <c r="GD254" s="182"/>
      <c r="GE254" s="182"/>
      <c r="GF254" s="182"/>
      <c r="GG254" s="182"/>
      <c r="GH254" s="182"/>
      <c r="GI254" s="182"/>
    </row>
    <row r="255" spans="1:191" s="183" customFormat="1" ht="25.5" x14ac:dyDescent="0.2">
      <c r="A255" s="210" t="s">
        <v>38560</v>
      </c>
      <c r="B255" s="210" t="s">
        <v>19103</v>
      </c>
      <c r="C255" s="224" t="s">
        <v>22360</v>
      </c>
      <c r="D255" s="211" t="s">
        <v>468</v>
      </c>
      <c r="E255" s="211">
        <v>6</v>
      </c>
      <c r="F255" s="211"/>
      <c r="G255" s="211">
        <v>0.3</v>
      </c>
      <c r="H255" s="212"/>
      <c r="I255" s="213"/>
      <c r="J255" s="272">
        <v>595.53</v>
      </c>
      <c r="K255" s="112">
        <f t="shared" si="20"/>
        <v>3573.18</v>
      </c>
      <c r="L255" s="273">
        <f>BDI!$E$17</f>
        <v>0.11260000000000001</v>
      </c>
      <c r="M255" s="213"/>
      <c r="N255" s="213"/>
      <c r="O255" s="114">
        <f t="shared" si="21"/>
        <v>662.59</v>
      </c>
      <c r="P255" s="113">
        <f t="shared" si="22"/>
        <v>1192.6600000000001</v>
      </c>
      <c r="Q255" s="209"/>
      <c r="R255" s="203"/>
      <c r="S255" s="182"/>
      <c r="T255" s="182"/>
      <c r="U255" s="182"/>
      <c r="V255" s="182"/>
      <c r="W255" s="182"/>
      <c r="X255" s="182"/>
      <c r="Y255" s="182"/>
      <c r="Z255" s="182"/>
      <c r="AA255" s="182"/>
      <c r="AB255" s="182"/>
      <c r="AC255" s="182"/>
      <c r="AD255" s="182"/>
      <c r="AE255" s="182"/>
      <c r="AF255" s="182"/>
      <c r="AG255" s="182"/>
      <c r="AH255" s="182"/>
      <c r="AI255" s="182"/>
      <c r="AJ255" s="182"/>
      <c r="AK255" s="182"/>
      <c r="AL255" s="182"/>
      <c r="AM255" s="182"/>
      <c r="AN255" s="182"/>
      <c r="AO255" s="182"/>
      <c r="AP255" s="182"/>
      <c r="AQ255" s="182"/>
      <c r="AR255" s="182"/>
      <c r="AS255" s="182"/>
      <c r="AT255" s="182"/>
      <c r="AU255" s="182"/>
      <c r="AV255" s="182"/>
      <c r="AW255" s="182"/>
      <c r="AX255" s="182"/>
      <c r="AY255" s="182"/>
      <c r="AZ255" s="182"/>
      <c r="BA255" s="182"/>
      <c r="BB255" s="182"/>
      <c r="BC255" s="182"/>
      <c r="BD255" s="182"/>
      <c r="BE255" s="182"/>
      <c r="BF255" s="182"/>
      <c r="BG255" s="182"/>
      <c r="BH255" s="182"/>
      <c r="BI255" s="182"/>
      <c r="BJ255" s="182"/>
      <c r="BK255" s="182"/>
      <c r="BL255" s="182"/>
      <c r="BM255" s="182"/>
      <c r="BN255" s="182"/>
      <c r="BO255" s="182"/>
      <c r="BP255" s="182"/>
      <c r="BQ255" s="182"/>
      <c r="BR255" s="182"/>
      <c r="BS255" s="182"/>
      <c r="BT255" s="182"/>
      <c r="BU255" s="182"/>
      <c r="BV255" s="182"/>
      <c r="BW255" s="182"/>
      <c r="BX255" s="182"/>
      <c r="BY255" s="182"/>
      <c r="BZ255" s="182"/>
      <c r="CA255" s="182"/>
      <c r="CB255" s="182"/>
      <c r="CC255" s="182"/>
      <c r="CD255" s="182"/>
      <c r="CE255" s="182"/>
      <c r="CF255" s="182"/>
      <c r="CG255" s="182"/>
      <c r="CH255" s="182"/>
      <c r="CI255" s="182"/>
      <c r="CJ255" s="182"/>
      <c r="CK255" s="182"/>
      <c r="CL255" s="182"/>
      <c r="CM255" s="182"/>
      <c r="CN255" s="182"/>
      <c r="CO255" s="182"/>
      <c r="CP255" s="182"/>
      <c r="CQ255" s="182"/>
      <c r="CR255" s="182"/>
      <c r="CS255" s="182"/>
      <c r="CT255" s="182"/>
      <c r="CU255" s="182"/>
      <c r="CV255" s="182"/>
      <c r="CW255" s="182"/>
      <c r="CX255" s="182"/>
      <c r="CY255" s="182"/>
      <c r="CZ255" s="182"/>
      <c r="DA255" s="182"/>
      <c r="DB255" s="182"/>
      <c r="DC255" s="182"/>
      <c r="DD255" s="182"/>
      <c r="DE255" s="182"/>
      <c r="DF255" s="182"/>
      <c r="DG255" s="182"/>
      <c r="DH255" s="182"/>
      <c r="DI255" s="182"/>
      <c r="DJ255" s="182"/>
      <c r="DK255" s="182"/>
      <c r="DL255" s="182"/>
      <c r="DM255" s="182"/>
      <c r="DN255" s="182"/>
      <c r="DO255" s="182"/>
      <c r="DP255" s="182"/>
      <c r="DQ255" s="182"/>
      <c r="DR255" s="182"/>
      <c r="DS255" s="182"/>
      <c r="DT255" s="182"/>
      <c r="DU255" s="182"/>
      <c r="DV255" s="182"/>
      <c r="DW255" s="182"/>
      <c r="DX255" s="182"/>
      <c r="DY255" s="182"/>
      <c r="DZ255" s="182"/>
      <c r="EA255" s="182"/>
      <c r="EB255" s="182"/>
      <c r="EC255" s="182"/>
      <c r="ED255" s="182"/>
      <c r="EE255" s="182"/>
      <c r="EF255" s="182"/>
      <c r="EG255" s="182"/>
      <c r="EH255" s="182"/>
      <c r="EI255" s="182"/>
      <c r="EJ255" s="182"/>
      <c r="EK255" s="182"/>
      <c r="EL255" s="182"/>
      <c r="EM255" s="182"/>
      <c r="EN255" s="182"/>
      <c r="EO255" s="182"/>
      <c r="EP255" s="182"/>
      <c r="EQ255" s="182"/>
      <c r="ER255" s="182"/>
      <c r="ES255" s="182"/>
      <c r="ET255" s="182"/>
      <c r="EU255" s="182"/>
      <c r="EV255" s="182"/>
      <c r="EW255" s="182"/>
      <c r="EX255" s="182"/>
      <c r="EY255" s="182"/>
      <c r="EZ255" s="182"/>
      <c r="FA255" s="182"/>
      <c r="FB255" s="182"/>
      <c r="FC255" s="182"/>
      <c r="FD255" s="182"/>
      <c r="FE255" s="182"/>
      <c r="FF255" s="182"/>
      <c r="FG255" s="182"/>
      <c r="FH255" s="182"/>
      <c r="FI255" s="182"/>
      <c r="FJ255" s="182"/>
      <c r="FK255" s="182"/>
      <c r="FL255" s="182"/>
      <c r="FM255" s="182"/>
      <c r="FN255" s="182"/>
      <c r="FO255" s="182"/>
      <c r="FP255" s="182"/>
      <c r="FQ255" s="182"/>
      <c r="FR255" s="182"/>
      <c r="FS255" s="182"/>
      <c r="FT255" s="182"/>
      <c r="FU255" s="182"/>
      <c r="FV255" s="182"/>
      <c r="FW255" s="182"/>
      <c r="FX255" s="182"/>
      <c r="FY255" s="182"/>
      <c r="FZ255" s="182"/>
      <c r="GA255" s="182"/>
      <c r="GB255" s="182"/>
      <c r="GC255" s="182"/>
      <c r="GD255" s="182"/>
      <c r="GE255" s="182"/>
      <c r="GF255" s="182"/>
      <c r="GG255" s="182"/>
      <c r="GH255" s="182"/>
      <c r="GI255" s="182"/>
    </row>
    <row r="256" spans="1:191" s="183" customFormat="1" ht="25.5" x14ac:dyDescent="0.2">
      <c r="A256" s="210" t="s">
        <v>38561</v>
      </c>
      <c r="B256" s="210" t="s">
        <v>19104</v>
      </c>
      <c r="C256" s="224" t="s">
        <v>22361</v>
      </c>
      <c r="D256" s="211" t="s">
        <v>468</v>
      </c>
      <c r="E256" s="211">
        <v>6</v>
      </c>
      <c r="F256" s="211"/>
      <c r="G256" s="211">
        <v>0.3</v>
      </c>
      <c r="H256" s="212"/>
      <c r="I256" s="213"/>
      <c r="J256" s="272">
        <v>1673.8</v>
      </c>
      <c r="K256" s="112">
        <f t="shared" si="20"/>
        <v>10042.799999999999</v>
      </c>
      <c r="L256" s="273">
        <f>BDI!$E$17</f>
        <v>0.11260000000000001</v>
      </c>
      <c r="M256" s="213"/>
      <c r="N256" s="213"/>
      <c r="O256" s="114">
        <f t="shared" si="21"/>
        <v>1862.27</v>
      </c>
      <c r="P256" s="113">
        <f t="shared" si="22"/>
        <v>3352.09</v>
      </c>
      <c r="Q256" s="209"/>
      <c r="R256" s="203"/>
      <c r="S256" s="182"/>
      <c r="T256" s="182"/>
      <c r="U256" s="182"/>
      <c r="V256" s="182"/>
      <c r="W256" s="182"/>
      <c r="X256" s="182"/>
      <c r="Y256" s="182"/>
      <c r="Z256" s="182"/>
      <c r="AA256" s="182"/>
      <c r="AB256" s="182"/>
      <c r="AC256" s="182"/>
      <c r="AD256" s="182"/>
      <c r="AE256" s="182"/>
      <c r="AF256" s="182"/>
      <c r="AG256" s="182"/>
      <c r="AH256" s="182"/>
      <c r="AI256" s="182"/>
      <c r="AJ256" s="182"/>
      <c r="AK256" s="182"/>
      <c r="AL256" s="182"/>
      <c r="AM256" s="182"/>
      <c r="AN256" s="182"/>
      <c r="AO256" s="182"/>
      <c r="AP256" s="182"/>
      <c r="AQ256" s="182"/>
      <c r="AR256" s="182"/>
      <c r="AS256" s="182"/>
      <c r="AT256" s="182"/>
      <c r="AU256" s="182"/>
      <c r="AV256" s="182"/>
      <c r="AW256" s="182"/>
      <c r="AX256" s="182"/>
      <c r="AY256" s="182"/>
      <c r="AZ256" s="182"/>
      <c r="BA256" s="182"/>
      <c r="BB256" s="182"/>
      <c r="BC256" s="182"/>
      <c r="BD256" s="182"/>
      <c r="BE256" s="182"/>
      <c r="BF256" s="182"/>
      <c r="BG256" s="182"/>
      <c r="BH256" s="182"/>
      <c r="BI256" s="182"/>
      <c r="BJ256" s="182"/>
      <c r="BK256" s="182"/>
      <c r="BL256" s="182"/>
      <c r="BM256" s="182"/>
      <c r="BN256" s="182"/>
      <c r="BO256" s="182"/>
      <c r="BP256" s="182"/>
      <c r="BQ256" s="182"/>
      <c r="BR256" s="182"/>
      <c r="BS256" s="182"/>
      <c r="BT256" s="182"/>
      <c r="BU256" s="182"/>
      <c r="BV256" s="182"/>
      <c r="BW256" s="182"/>
      <c r="BX256" s="182"/>
      <c r="BY256" s="182"/>
      <c r="BZ256" s="182"/>
      <c r="CA256" s="182"/>
      <c r="CB256" s="182"/>
      <c r="CC256" s="182"/>
      <c r="CD256" s="182"/>
      <c r="CE256" s="182"/>
      <c r="CF256" s="182"/>
      <c r="CG256" s="182"/>
      <c r="CH256" s="182"/>
      <c r="CI256" s="182"/>
      <c r="CJ256" s="182"/>
      <c r="CK256" s="182"/>
      <c r="CL256" s="182"/>
      <c r="CM256" s="182"/>
      <c r="CN256" s="182"/>
      <c r="CO256" s="182"/>
      <c r="CP256" s="182"/>
      <c r="CQ256" s="182"/>
      <c r="CR256" s="182"/>
      <c r="CS256" s="182"/>
      <c r="CT256" s="182"/>
      <c r="CU256" s="182"/>
      <c r="CV256" s="182"/>
      <c r="CW256" s="182"/>
      <c r="CX256" s="182"/>
      <c r="CY256" s="182"/>
      <c r="CZ256" s="182"/>
      <c r="DA256" s="182"/>
      <c r="DB256" s="182"/>
      <c r="DC256" s="182"/>
      <c r="DD256" s="182"/>
      <c r="DE256" s="182"/>
      <c r="DF256" s="182"/>
      <c r="DG256" s="182"/>
      <c r="DH256" s="182"/>
      <c r="DI256" s="182"/>
      <c r="DJ256" s="182"/>
      <c r="DK256" s="182"/>
      <c r="DL256" s="182"/>
      <c r="DM256" s="182"/>
      <c r="DN256" s="182"/>
      <c r="DO256" s="182"/>
      <c r="DP256" s="182"/>
      <c r="DQ256" s="182"/>
      <c r="DR256" s="182"/>
      <c r="DS256" s="182"/>
      <c r="DT256" s="182"/>
      <c r="DU256" s="182"/>
      <c r="DV256" s="182"/>
      <c r="DW256" s="182"/>
      <c r="DX256" s="182"/>
      <c r="DY256" s="182"/>
      <c r="DZ256" s="182"/>
      <c r="EA256" s="182"/>
      <c r="EB256" s="182"/>
      <c r="EC256" s="182"/>
      <c r="ED256" s="182"/>
      <c r="EE256" s="182"/>
      <c r="EF256" s="182"/>
      <c r="EG256" s="182"/>
      <c r="EH256" s="182"/>
      <c r="EI256" s="182"/>
      <c r="EJ256" s="182"/>
      <c r="EK256" s="182"/>
      <c r="EL256" s="182"/>
      <c r="EM256" s="182"/>
      <c r="EN256" s="182"/>
      <c r="EO256" s="182"/>
      <c r="EP256" s="182"/>
      <c r="EQ256" s="182"/>
      <c r="ER256" s="182"/>
      <c r="ES256" s="182"/>
      <c r="ET256" s="182"/>
      <c r="EU256" s="182"/>
      <c r="EV256" s="182"/>
      <c r="EW256" s="182"/>
      <c r="EX256" s="182"/>
      <c r="EY256" s="182"/>
      <c r="EZ256" s="182"/>
      <c r="FA256" s="182"/>
      <c r="FB256" s="182"/>
      <c r="FC256" s="182"/>
      <c r="FD256" s="182"/>
      <c r="FE256" s="182"/>
      <c r="FF256" s="182"/>
      <c r="FG256" s="182"/>
      <c r="FH256" s="182"/>
      <c r="FI256" s="182"/>
      <c r="FJ256" s="182"/>
      <c r="FK256" s="182"/>
      <c r="FL256" s="182"/>
      <c r="FM256" s="182"/>
      <c r="FN256" s="182"/>
      <c r="FO256" s="182"/>
      <c r="FP256" s="182"/>
      <c r="FQ256" s="182"/>
      <c r="FR256" s="182"/>
      <c r="FS256" s="182"/>
      <c r="FT256" s="182"/>
      <c r="FU256" s="182"/>
      <c r="FV256" s="182"/>
      <c r="FW256" s="182"/>
      <c r="FX256" s="182"/>
      <c r="FY256" s="182"/>
      <c r="FZ256" s="182"/>
      <c r="GA256" s="182"/>
      <c r="GB256" s="182"/>
      <c r="GC256" s="182"/>
      <c r="GD256" s="182"/>
      <c r="GE256" s="182"/>
      <c r="GF256" s="182"/>
      <c r="GG256" s="182"/>
      <c r="GH256" s="182"/>
      <c r="GI256" s="182"/>
    </row>
    <row r="257" spans="1:191" s="183" customFormat="1" ht="25.5" x14ac:dyDescent="0.2">
      <c r="A257" s="210" t="s">
        <v>38562</v>
      </c>
      <c r="B257" s="210" t="s">
        <v>19105</v>
      </c>
      <c r="C257" s="224" t="s">
        <v>22362</v>
      </c>
      <c r="D257" s="211" t="s">
        <v>468</v>
      </c>
      <c r="E257" s="211">
        <v>6</v>
      </c>
      <c r="F257" s="211"/>
      <c r="G257" s="211">
        <v>0.3</v>
      </c>
      <c r="H257" s="212"/>
      <c r="I257" s="213"/>
      <c r="J257" s="272">
        <v>1794.91</v>
      </c>
      <c r="K257" s="112">
        <f t="shared" si="20"/>
        <v>10769.46</v>
      </c>
      <c r="L257" s="273">
        <f>BDI!$E$17</f>
        <v>0.11260000000000001</v>
      </c>
      <c r="M257" s="213"/>
      <c r="N257" s="213"/>
      <c r="O257" s="114">
        <f t="shared" si="21"/>
        <v>1997.02</v>
      </c>
      <c r="P257" s="113">
        <f t="shared" si="22"/>
        <v>3594.64</v>
      </c>
      <c r="Q257" s="209"/>
      <c r="R257" s="203"/>
      <c r="S257" s="182"/>
      <c r="T257" s="182"/>
      <c r="U257" s="182"/>
      <c r="V257" s="182"/>
      <c r="W257" s="182"/>
      <c r="X257" s="182"/>
      <c r="Y257" s="182"/>
      <c r="Z257" s="182"/>
      <c r="AA257" s="182"/>
      <c r="AB257" s="182"/>
      <c r="AC257" s="182"/>
      <c r="AD257" s="182"/>
      <c r="AE257" s="182"/>
      <c r="AF257" s="182"/>
      <c r="AG257" s="182"/>
      <c r="AH257" s="182"/>
      <c r="AI257" s="182"/>
      <c r="AJ257" s="182"/>
      <c r="AK257" s="182"/>
      <c r="AL257" s="182"/>
      <c r="AM257" s="182"/>
      <c r="AN257" s="182"/>
      <c r="AO257" s="182"/>
      <c r="AP257" s="182"/>
      <c r="AQ257" s="182"/>
      <c r="AR257" s="182"/>
      <c r="AS257" s="182"/>
      <c r="AT257" s="182"/>
      <c r="AU257" s="182"/>
      <c r="AV257" s="182"/>
      <c r="AW257" s="182"/>
      <c r="AX257" s="182"/>
      <c r="AY257" s="182"/>
      <c r="AZ257" s="182"/>
      <c r="BA257" s="182"/>
      <c r="BB257" s="182"/>
      <c r="BC257" s="182"/>
      <c r="BD257" s="182"/>
      <c r="BE257" s="182"/>
      <c r="BF257" s="182"/>
      <c r="BG257" s="182"/>
      <c r="BH257" s="182"/>
      <c r="BI257" s="182"/>
      <c r="BJ257" s="182"/>
      <c r="BK257" s="182"/>
      <c r="BL257" s="182"/>
      <c r="BM257" s="182"/>
      <c r="BN257" s="182"/>
      <c r="BO257" s="182"/>
      <c r="BP257" s="182"/>
      <c r="BQ257" s="182"/>
      <c r="BR257" s="182"/>
      <c r="BS257" s="182"/>
      <c r="BT257" s="182"/>
      <c r="BU257" s="182"/>
      <c r="BV257" s="182"/>
      <c r="BW257" s="182"/>
      <c r="BX257" s="182"/>
      <c r="BY257" s="182"/>
      <c r="BZ257" s="182"/>
      <c r="CA257" s="182"/>
      <c r="CB257" s="182"/>
      <c r="CC257" s="182"/>
      <c r="CD257" s="182"/>
      <c r="CE257" s="182"/>
      <c r="CF257" s="182"/>
      <c r="CG257" s="182"/>
      <c r="CH257" s="182"/>
      <c r="CI257" s="182"/>
      <c r="CJ257" s="182"/>
      <c r="CK257" s="182"/>
      <c r="CL257" s="182"/>
      <c r="CM257" s="182"/>
      <c r="CN257" s="182"/>
      <c r="CO257" s="182"/>
      <c r="CP257" s="182"/>
      <c r="CQ257" s="182"/>
      <c r="CR257" s="182"/>
      <c r="CS257" s="182"/>
      <c r="CT257" s="182"/>
      <c r="CU257" s="182"/>
      <c r="CV257" s="182"/>
      <c r="CW257" s="182"/>
      <c r="CX257" s="182"/>
      <c r="CY257" s="182"/>
      <c r="CZ257" s="182"/>
      <c r="DA257" s="182"/>
      <c r="DB257" s="182"/>
      <c r="DC257" s="182"/>
      <c r="DD257" s="182"/>
      <c r="DE257" s="182"/>
      <c r="DF257" s="182"/>
      <c r="DG257" s="182"/>
      <c r="DH257" s="182"/>
      <c r="DI257" s="182"/>
      <c r="DJ257" s="182"/>
      <c r="DK257" s="182"/>
      <c r="DL257" s="182"/>
      <c r="DM257" s="182"/>
      <c r="DN257" s="182"/>
      <c r="DO257" s="182"/>
      <c r="DP257" s="182"/>
      <c r="DQ257" s="182"/>
      <c r="DR257" s="182"/>
      <c r="DS257" s="182"/>
      <c r="DT257" s="182"/>
      <c r="DU257" s="182"/>
      <c r="DV257" s="182"/>
      <c r="DW257" s="182"/>
      <c r="DX257" s="182"/>
      <c r="DY257" s="182"/>
      <c r="DZ257" s="182"/>
      <c r="EA257" s="182"/>
      <c r="EB257" s="182"/>
      <c r="EC257" s="182"/>
      <c r="ED257" s="182"/>
      <c r="EE257" s="182"/>
      <c r="EF257" s="182"/>
      <c r="EG257" s="182"/>
      <c r="EH257" s="182"/>
      <c r="EI257" s="182"/>
      <c r="EJ257" s="182"/>
      <c r="EK257" s="182"/>
      <c r="EL257" s="182"/>
      <c r="EM257" s="182"/>
      <c r="EN257" s="182"/>
      <c r="EO257" s="182"/>
      <c r="EP257" s="182"/>
      <c r="EQ257" s="182"/>
      <c r="ER257" s="182"/>
      <c r="ES257" s="182"/>
      <c r="ET257" s="182"/>
      <c r="EU257" s="182"/>
      <c r="EV257" s="182"/>
      <c r="EW257" s="182"/>
      <c r="EX257" s="182"/>
      <c r="EY257" s="182"/>
      <c r="EZ257" s="182"/>
      <c r="FA257" s="182"/>
      <c r="FB257" s="182"/>
      <c r="FC257" s="182"/>
      <c r="FD257" s="182"/>
      <c r="FE257" s="182"/>
      <c r="FF257" s="182"/>
      <c r="FG257" s="182"/>
      <c r="FH257" s="182"/>
      <c r="FI257" s="182"/>
      <c r="FJ257" s="182"/>
      <c r="FK257" s="182"/>
      <c r="FL257" s="182"/>
      <c r="FM257" s="182"/>
      <c r="FN257" s="182"/>
      <c r="FO257" s="182"/>
      <c r="FP257" s="182"/>
      <c r="FQ257" s="182"/>
      <c r="FR257" s="182"/>
      <c r="FS257" s="182"/>
      <c r="FT257" s="182"/>
      <c r="FU257" s="182"/>
      <c r="FV257" s="182"/>
      <c r="FW257" s="182"/>
      <c r="FX257" s="182"/>
      <c r="FY257" s="182"/>
      <c r="FZ257" s="182"/>
      <c r="GA257" s="182"/>
      <c r="GB257" s="182"/>
      <c r="GC257" s="182"/>
      <c r="GD257" s="182"/>
      <c r="GE257" s="182"/>
      <c r="GF257" s="182"/>
      <c r="GG257" s="182"/>
      <c r="GH257" s="182"/>
      <c r="GI257" s="182"/>
    </row>
    <row r="258" spans="1:191" s="183" customFormat="1" ht="25.5" x14ac:dyDescent="0.2">
      <c r="A258" s="210" t="s">
        <v>38563</v>
      </c>
      <c r="B258" s="210" t="s">
        <v>19106</v>
      </c>
      <c r="C258" s="224" t="s">
        <v>22363</v>
      </c>
      <c r="D258" s="211" t="s">
        <v>468</v>
      </c>
      <c r="E258" s="211">
        <v>12</v>
      </c>
      <c r="F258" s="211"/>
      <c r="G258" s="211">
        <v>0.3</v>
      </c>
      <c r="H258" s="212"/>
      <c r="I258" s="213"/>
      <c r="J258" s="272">
        <v>2181.06</v>
      </c>
      <c r="K258" s="112">
        <f t="shared" si="20"/>
        <v>26172.720000000001</v>
      </c>
      <c r="L258" s="273">
        <f>BDI!$E$17</f>
        <v>0.11260000000000001</v>
      </c>
      <c r="M258" s="213"/>
      <c r="N258" s="213"/>
      <c r="O258" s="114">
        <f t="shared" si="21"/>
        <v>2426.65</v>
      </c>
      <c r="P258" s="113">
        <f t="shared" si="22"/>
        <v>8735.94</v>
      </c>
      <c r="Q258" s="209"/>
      <c r="R258" s="203"/>
      <c r="S258" s="182"/>
      <c r="T258" s="182"/>
      <c r="U258" s="182"/>
      <c r="V258" s="182"/>
      <c r="W258" s="182"/>
      <c r="X258" s="182"/>
      <c r="Y258" s="182"/>
      <c r="Z258" s="182"/>
      <c r="AA258" s="182"/>
      <c r="AB258" s="182"/>
      <c r="AC258" s="182"/>
      <c r="AD258" s="182"/>
      <c r="AE258" s="182"/>
      <c r="AF258" s="182"/>
      <c r="AG258" s="182"/>
      <c r="AH258" s="182"/>
      <c r="AI258" s="182"/>
      <c r="AJ258" s="182"/>
      <c r="AK258" s="182"/>
      <c r="AL258" s="182"/>
      <c r="AM258" s="182"/>
      <c r="AN258" s="182"/>
      <c r="AO258" s="182"/>
      <c r="AP258" s="182"/>
      <c r="AQ258" s="182"/>
      <c r="AR258" s="182"/>
      <c r="AS258" s="182"/>
      <c r="AT258" s="182"/>
      <c r="AU258" s="182"/>
      <c r="AV258" s="182"/>
      <c r="AW258" s="182"/>
      <c r="AX258" s="182"/>
      <c r="AY258" s="182"/>
      <c r="AZ258" s="182"/>
      <c r="BA258" s="182"/>
      <c r="BB258" s="182"/>
      <c r="BC258" s="182"/>
      <c r="BD258" s="182"/>
      <c r="BE258" s="182"/>
      <c r="BF258" s="182"/>
      <c r="BG258" s="182"/>
      <c r="BH258" s="182"/>
      <c r="BI258" s="182"/>
      <c r="BJ258" s="182"/>
      <c r="BK258" s="182"/>
      <c r="BL258" s="182"/>
      <c r="BM258" s="182"/>
      <c r="BN258" s="182"/>
      <c r="BO258" s="182"/>
      <c r="BP258" s="182"/>
      <c r="BQ258" s="182"/>
      <c r="BR258" s="182"/>
      <c r="BS258" s="182"/>
      <c r="BT258" s="182"/>
      <c r="BU258" s="182"/>
      <c r="BV258" s="182"/>
      <c r="BW258" s="182"/>
      <c r="BX258" s="182"/>
      <c r="BY258" s="182"/>
      <c r="BZ258" s="182"/>
      <c r="CA258" s="182"/>
      <c r="CB258" s="182"/>
      <c r="CC258" s="182"/>
      <c r="CD258" s="182"/>
      <c r="CE258" s="182"/>
      <c r="CF258" s="182"/>
      <c r="CG258" s="182"/>
      <c r="CH258" s="182"/>
      <c r="CI258" s="182"/>
      <c r="CJ258" s="182"/>
      <c r="CK258" s="182"/>
      <c r="CL258" s="182"/>
      <c r="CM258" s="182"/>
      <c r="CN258" s="182"/>
      <c r="CO258" s="182"/>
      <c r="CP258" s="182"/>
      <c r="CQ258" s="182"/>
      <c r="CR258" s="182"/>
      <c r="CS258" s="182"/>
      <c r="CT258" s="182"/>
      <c r="CU258" s="182"/>
      <c r="CV258" s="182"/>
      <c r="CW258" s="182"/>
      <c r="CX258" s="182"/>
      <c r="CY258" s="182"/>
      <c r="CZ258" s="182"/>
      <c r="DA258" s="182"/>
      <c r="DB258" s="182"/>
      <c r="DC258" s="182"/>
      <c r="DD258" s="182"/>
      <c r="DE258" s="182"/>
      <c r="DF258" s="182"/>
      <c r="DG258" s="182"/>
      <c r="DH258" s="182"/>
      <c r="DI258" s="182"/>
      <c r="DJ258" s="182"/>
      <c r="DK258" s="182"/>
      <c r="DL258" s="182"/>
      <c r="DM258" s="182"/>
      <c r="DN258" s="182"/>
      <c r="DO258" s="182"/>
      <c r="DP258" s="182"/>
      <c r="DQ258" s="182"/>
      <c r="DR258" s="182"/>
      <c r="DS258" s="182"/>
      <c r="DT258" s="182"/>
      <c r="DU258" s="182"/>
      <c r="DV258" s="182"/>
      <c r="DW258" s="182"/>
      <c r="DX258" s="182"/>
      <c r="DY258" s="182"/>
      <c r="DZ258" s="182"/>
      <c r="EA258" s="182"/>
      <c r="EB258" s="182"/>
      <c r="EC258" s="182"/>
      <c r="ED258" s="182"/>
      <c r="EE258" s="182"/>
      <c r="EF258" s="182"/>
      <c r="EG258" s="182"/>
      <c r="EH258" s="182"/>
      <c r="EI258" s="182"/>
      <c r="EJ258" s="182"/>
      <c r="EK258" s="182"/>
      <c r="EL258" s="182"/>
      <c r="EM258" s="182"/>
      <c r="EN258" s="182"/>
      <c r="EO258" s="182"/>
      <c r="EP258" s="182"/>
      <c r="EQ258" s="182"/>
      <c r="ER258" s="182"/>
      <c r="ES258" s="182"/>
      <c r="ET258" s="182"/>
      <c r="EU258" s="182"/>
      <c r="EV258" s="182"/>
      <c r="EW258" s="182"/>
      <c r="EX258" s="182"/>
      <c r="EY258" s="182"/>
      <c r="EZ258" s="182"/>
      <c r="FA258" s="182"/>
      <c r="FB258" s="182"/>
      <c r="FC258" s="182"/>
      <c r="FD258" s="182"/>
      <c r="FE258" s="182"/>
      <c r="FF258" s="182"/>
      <c r="FG258" s="182"/>
      <c r="FH258" s="182"/>
      <c r="FI258" s="182"/>
      <c r="FJ258" s="182"/>
      <c r="FK258" s="182"/>
      <c r="FL258" s="182"/>
      <c r="FM258" s="182"/>
      <c r="FN258" s="182"/>
      <c r="FO258" s="182"/>
      <c r="FP258" s="182"/>
      <c r="FQ258" s="182"/>
      <c r="FR258" s="182"/>
      <c r="FS258" s="182"/>
      <c r="FT258" s="182"/>
      <c r="FU258" s="182"/>
      <c r="FV258" s="182"/>
      <c r="FW258" s="182"/>
      <c r="FX258" s="182"/>
      <c r="FY258" s="182"/>
      <c r="FZ258" s="182"/>
      <c r="GA258" s="182"/>
      <c r="GB258" s="182"/>
      <c r="GC258" s="182"/>
      <c r="GD258" s="182"/>
      <c r="GE258" s="182"/>
      <c r="GF258" s="182"/>
      <c r="GG258" s="182"/>
      <c r="GH258" s="182"/>
      <c r="GI258" s="182"/>
    </row>
    <row r="259" spans="1:191" s="183" customFormat="1" ht="25.5" x14ac:dyDescent="0.2">
      <c r="A259" s="210" t="s">
        <v>38564</v>
      </c>
      <c r="B259" s="210" t="s">
        <v>19107</v>
      </c>
      <c r="C259" s="224" t="s">
        <v>22364</v>
      </c>
      <c r="D259" s="211" t="s">
        <v>468</v>
      </c>
      <c r="E259" s="211">
        <v>2</v>
      </c>
      <c r="F259" s="211"/>
      <c r="G259" s="211">
        <v>0.3</v>
      </c>
      <c r="H259" s="212"/>
      <c r="I259" s="213"/>
      <c r="J259" s="272">
        <v>2740.33</v>
      </c>
      <c r="K259" s="112">
        <f t="shared" si="20"/>
        <v>5480.66</v>
      </c>
      <c r="L259" s="273">
        <f>BDI!$E$17</f>
        <v>0.11260000000000001</v>
      </c>
      <c r="M259" s="213"/>
      <c r="N259" s="213"/>
      <c r="O259" s="114">
        <f t="shared" si="21"/>
        <v>3048.89</v>
      </c>
      <c r="P259" s="113">
        <f t="shared" si="22"/>
        <v>1829.33</v>
      </c>
      <c r="Q259" s="209"/>
      <c r="R259" s="203"/>
      <c r="S259" s="182"/>
      <c r="T259" s="182"/>
      <c r="U259" s="182"/>
      <c r="V259" s="182"/>
      <c r="W259" s="182"/>
      <c r="X259" s="182"/>
      <c r="Y259" s="182"/>
      <c r="Z259" s="182"/>
      <c r="AA259" s="182"/>
      <c r="AB259" s="182"/>
      <c r="AC259" s="182"/>
      <c r="AD259" s="182"/>
      <c r="AE259" s="182"/>
      <c r="AF259" s="182"/>
      <c r="AG259" s="182"/>
      <c r="AH259" s="182"/>
      <c r="AI259" s="182"/>
      <c r="AJ259" s="182"/>
      <c r="AK259" s="182"/>
      <c r="AL259" s="182"/>
      <c r="AM259" s="182"/>
      <c r="AN259" s="182"/>
      <c r="AO259" s="182"/>
      <c r="AP259" s="182"/>
      <c r="AQ259" s="182"/>
      <c r="AR259" s="182"/>
      <c r="AS259" s="182"/>
      <c r="AT259" s="182"/>
      <c r="AU259" s="182"/>
      <c r="AV259" s="182"/>
      <c r="AW259" s="182"/>
      <c r="AX259" s="182"/>
      <c r="AY259" s="182"/>
      <c r="AZ259" s="182"/>
      <c r="BA259" s="182"/>
      <c r="BB259" s="182"/>
      <c r="BC259" s="182"/>
      <c r="BD259" s="182"/>
      <c r="BE259" s="182"/>
      <c r="BF259" s="182"/>
      <c r="BG259" s="182"/>
      <c r="BH259" s="182"/>
      <c r="BI259" s="182"/>
      <c r="BJ259" s="182"/>
      <c r="BK259" s="182"/>
      <c r="BL259" s="182"/>
      <c r="BM259" s="182"/>
      <c r="BN259" s="182"/>
      <c r="BO259" s="182"/>
      <c r="BP259" s="182"/>
      <c r="BQ259" s="182"/>
      <c r="BR259" s="182"/>
      <c r="BS259" s="182"/>
      <c r="BT259" s="182"/>
      <c r="BU259" s="182"/>
      <c r="BV259" s="182"/>
      <c r="BW259" s="182"/>
      <c r="BX259" s="182"/>
      <c r="BY259" s="182"/>
      <c r="BZ259" s="182"/>
      <c r="CA259" s="182"/>
      <c r="CB259" s="182"/>
      <c r="CC259" s="182"/>
      <c r="CD259" s="182"/>
      <c r="CE259" s="182"/>
      <c r="CF259" s="182"/>
      <c r="CG259" s="182"/>
      <c r="CH259" s="182"/>
      <c r="CI259" s="182"/>
      <c r="CJ259" s="182"/>
      <c r="CK259" s="182"/>
      <c r="CL259" s="182"/>
      <c r="CM259" s="182"/>
      <c r="CN259" s="182"/>
      <c r="CO259" s="182"/>
      <c r="CP259" s="182"/>
      <c r="CQ259" s="182"/>
      <c r="CR259" s="182"/>
      <c r="CS259" s="182"/>
      <c r="CT259" s="182"/>
      <c r="CU259" s="182"/>
      <c r="CV259" s="182"/>
      <c r="CW259" s="182"/>
      <c r="CX259" s="182"/>
      <c r="CY259" s="182"/>
      <c r="CZ259" s="182"/>
      <c r="DA259" s="182"/>
      <c r="DB259" s="182"/>
      <c r="DC259" s="182"/>
      <c r="DD259" s="182"/>
      <c r="DE259" s="182"/>
      <c r="DF259" s="182"/>
      <c r="DG259" s="182"/>
      <c r="DH259" s="182"/>
      <c r="DI259" s="182"/>
      <c r="DJ259" s="182"/>
      <c r="DK259" s="182"/>
      <c r="DL259" s="182"/>
      <c r="DM259" s="182"/>
      <c r="DN259" s="182"/>
      <c r="DO259" s="182"/>
      <c r="DP259" s="182"/>
      <c r="DQ259" s="182"/>
      <c r="DR259" s="182"/>
      <c r="DS259" s="182"/>
      <c r="DT259" s="182"/>
      <c r="DU259" s="182"/>
      <c r="DV259" s="182"/>
      <c r="DW259" s="182"/>
      <c r="DX259" s="182"/>
      <c r="DY259" s="182"/>
      <c r="DZ259" s="182"/>
      <c r="EA259" s="182"/>
      <c r="EB259" s="182"/>
      <c r="EC259" s="182"/>
      <c r="ED259" s="182"/>
      <c r="EE259" s="182"/>
      <c r="EF259" s="182"/>
      <c r="EG259" s="182"/>
      <c r="EH259" s="182"/>
      <c r="EI259" s="182"/>
      <c r="EJ259" s="182"/>
      <c r="EK259" s="182"/>
      <c r="EL259" s="182"/>
      <c r="EM259" s="182"/>
      <c r="EN259" s="182"/>
      <c r="EO259" s="182"/>
      <c r="EP259" s="182"/>
      <c r="EQ259" s="182"/>
      <c r="ER259" s="182"/>
      <c r="ES259" s="182"/>
      <c r="ET259" s="182"/>
      <c r="EU259" s="182"/>
      <c r="EV259" s="182"/>
      <c r="EW259" s="182"/>
      <c r="EX259" s="182"/>
      <c r="EY259" s="182"/>
      <c r="EZ259" s="182"/>
      <c r="FA259" s="182"/>
      <c r="FB259" s="182"/>
      <c r="FC259" s="182"/>
      <c r="FD259" s="182"/>
      <c r="FE259" s="182"/>
      <c r="FF259" s="182"/>
      <c r="FG259" s="182"/>
      <c r="FH259" s="182"/>
      <c r="FI259" s="182"/>
      <c r="FJ259" s="182"/>
      <c r="FK259" s="182"/>
      <c r="FL259" s="182"/>
      <c r="FM259" s="182"/>
      <c r="FN259" s="182"/>
      <c r="FO259" s="182"/>
      <c r="FP259" s="182"/>
      <c r="FQ259" s="182"/>
      <c r="FR259" s="182"/>
      <c r="FS259" s="182"/>
      <c r="FT259" s="182"/>
      <c r="FU259" s="182"/>
      <c r="FV259" s="182"/>
      <c r="FW259" s="182"/>
      <c r="FX259" s="182"/>
      <c r="FY259" s="182"/>
      <c r="FZ259" s="182"/>
      <c r="GA259" s="182"/>
      <c r="GB259" s="182"/>
      <c r="GC259" s="182"/>
      <c r="GD259" s="182"/>
      <c r="GE259" s="182"/>
      <c r="GF259" s="182"/>
      <c r="GG259" s="182"/>
      <c r="GH259" s="182"/>
      <c r="GI259" s="182"/>
    </row>
    <row r="260" spans="1:191" s="183" customFormat="1" x14ac:dyDescent="0.2">
      <c r="A260" s="210" t="s">
        <v>38565</v>
      </c>
      <c r="B260" s="210" t="s">
        <v>19108</v>
      </c>
      <c r="C260" s="224" t="s">
        <v>22365</v>
      </c>
      <c r="D260" s="211" t="s">
        <v>16</v>
      </c>
      <c r="E260" s="211">
        <v>120</v>
      </c>
      <c r="F260" s="211"/>
      <c r="G260" s="211">
        <v>0.3</v>
      </c>
      <c r="H260" s="212"/>
      <c r="I260" s="213"/>
      <c r="J260" s="272">
        <v>471.41</v>
      </c>
      <c r="K260" s="112">
        <f t="shared" si="20"/>
        <v>56569.2</v>
      </c>
      <c r="L260" s="273">
        <f>BDI!$E$17</f>
        <v>0.11260000000000001</v>
      </c>
      <c r="M260" s="213"/>
      <c r="N260" s="213"/>
      <c r="O260" s="114">
        <f t="shared" si="21"/>
        <v>524.49</v>
      </c>
      <c r="P260" s="113">
        <f t="shared" si="22"/>
        <v>18881.64</v>
      </c>
      <c r="Q260" s="209"/>
      <c r="R260" s="203"/>
      <c r="S260" s="182"/>
      <c r="T260" s="182"/>
      <c r="U260" s="182"/>
      <c r="V260" s="182"/>
      <c r="W260" s="182"/>
      <c r="X260" s="182"/>
      <c r="Y260" s="182"/>
      <c r="Z260" s="182"/>
      <c r="AA260" s="182"/>
      <c r="AB260" s="182"/>
      <c r="AC260" s="182"/>
      <c r="AD260" s="182"/>
      <c r="AE260" s="182"/>
      <c r="AF260" s="182"/>
      <c r="AG260" s="182"/>
      <c r="AH260" s="182"/>
      <c r="AI260" s="182"/>
      <c r="AJ260" s="182"/>
      <c r="AK260" s="182"/>
      <c r="AL260" s="182"/>
      <c r="AM260" s="182"/>
      <c r="AN260" s="182"/>
      <c r="AO260" s="182"/>
      <c r="AP260" s="182"/>
      <c r="AQ260" s="182"/>
      <c r="AR260" s="182"/>
      <c r="AS260" s="182"/>
      <c r="AT260" s="182"/>
      <c r="AU260" s="182"/>
      <c r="AV260" s="182"/>
      <c r="AW260" s="182"/>
      <c r="AX260" s="182"/>
      <c r="AY260" s="182"/>
      <c r="AZ260" s="182"/>
      <c r="BA260" s="182"/>
      <c r="BB260" s="182"/>
      <c r="BC260" s="182"/>
      <c r="BD260" s="182"/>
      <c r="BE260" s="182"/>
      <c r="BF260" s="182"/>
      <c r="BG260" s="182"/>
      <c r="BH260" s="182"/>
      <c r="BI260" s="182"/>
      <c r="BJ260" s="182"/>
      <c r="BK260" s="182"/>
      <c r="BL260" s="182"/>
      <c r="BM260" s="182"/>
      <c r="BN260" s="182"/>
      <c r="BO260" s="182"/>
      <c r="BP260" s="182"/>
      <c r="BQ260" s="182"/>
      <c r="BR260" s="182"/>
      <c r="BS260" s="182"/>
      <c r="BT260" s="182"/>
      <c r="BU260" s="182"/>
      <c r="BV260" s="182"/>
      <c r="BW260" s="182"/>
      <c r="BX260" s="182"/>
      <c r="BY260" s="182"/>
      <c r="BZ260" s="182"/>
      <c r="CA260" s="182"/>
      <c r="CB260" s="182"/>
      <c r="CC260" s="182"/>
      <c r="CD260" s="182"/>
      <c r="CE260" s="182"/>
      <c r="CF260" s="182"/>
      <c r="CG260" s="182"/>
      <c r="CH260" s="182"/>
      <c r="CI260" s="182"/>
      <c r="CJ260" s="182"/>
      <c r="CK260" s="182"/>
      <c r="CL260" s="182"/>
      <c r="CM260" s="182"/>
      <c r="CN260" s="182"/>
      <c r="CO260" s="182"/>
      <c r="CP260" s="182"/>
      <c r="CQ260" s="182"/>
      <c r="CR260" s="182"/>
      <c r="CS260" s="182"/>
      <c r="CT260" s="182"/>
      <c r="CU260" s="182"/>
      <c r="CV260" s="182"/>
      <c r="CW260" s="182"/>
      <c r="CX260" s="182"/>
      <c r="CY260" s="182"/>
      <c r="CZ260" s="182"/>
      <c r="DA260" s="182"/>
      <c r="DB260" s="182"/>
      <c r="DC260" s="182"/>
      <c r="DD260" s="182"/>
      <c r="DE260" s="182"/>
      <c r="DF260" s="182"/>
      <c r="DG260" s="182"/>
      <c r="DH260" s="182"/>
      <c r="DI260" s="182"/>
      <c r="DJ260" s="182"/>
      <c r="DK260" s="182"/>
      <c r="DL260" s="182"/>
      <c r="DM260" s="182"/>
      <c r="DN260" s="182"/>
      <c r="DO260" s="182"/>
      <c r="DP260" s="182"/>
      <c r="DQ260" s="182"/>
      <c r="DR260" s="182"/>
      <c r="DS260" s="182"/>
      <c r="DT260" s="182"/>
      <c r="DU260" s="182"/>
      <c r="DV260" s="182"/>
      <c r="DW260" s="182"/>
      <c r="DX260" s="182"/>
      <c r="DY260" s="182"/>
      <c r="DZ260" s="182"/>
      <c r="EA260" s="182"/>
      <c r="EB260" s="182"/>
      <c r="EC260" s="182"/>
      <c r="ED260" s="182"/>
      <c r="EE260" s="182"/>
      <c r="EF260" s="182"/>
      <c r="EG260" s="182"/>
      <c r="EH260" s="182"/>
      <c r="EI260" s="182"/>
      <c r="EJ260" s="182"/>
      <c r="EK260" s="182"/>
      <c r="EL260" s="182"/>
      <c r="EM260" s="182"/>
      <c r="EN260" s="182"/>
      <c r="EO260" s="182"/>
      <c r="EP260" s="182"/>
      <c r="EQ260" s="182"/>
      <c r="ER260" s="182"/>
      <c r="ES260" s="182"/>
      <c r="ET260" s="182"/>
      <c r="EU260" s="182"/>
      <c r="EV260" s="182"/>
      <c r="EW260" s="182"/>
      <c r="EX260" s="182"/>
      <c r="EY260" s="182"/>
      <c r="EZ260" s="182"/>
      <c r="FA260" s="182"/>
      <c r="FB260" s="182"/>
      <c r="FC260" s="182"/>
      <c r="FD260" s="182"/>
      <c r="FE260" s="182"/>
      <c r="FF260" s="182"/>
      <c r="FG260" s="182"/>
      <c r="FH260" s="182"/>
      <c r="FI260" s="182"/>
      <c r="FJ260" s="182"/>
      <c r="FK260" s="182"/>
      <c r="FL260" s="182"/>
      <c r="FM260" s="182"/>
      <c r="FN260" s="182"/>
      <c r="FO260" s="182"/>
      <c r="FP260" s="182"/>
      <c r="FQ260" s="182"/>
      <c r="FR260" s="182"/>
      <c r="FS260" s="182"/>
      <c r="FT260" s="182"/>
      <c r="FU260" s="182"/>
      <c r="FV260" s="182"/>
      <c r="FW260" s="182"/>
      <c r="FX260" s="182"/>
      <c r="FY260" s="182"/>
      <c r="FZ260" s="182"/>
      <c r="GA260" s="182"/>
      <c r="GB260" s="182"/>
      <c r="GC260" s="182"/>
      <c r="GD260" s="182"/>
      <c r="GE260" s="182"/>
      <c r="GF260" s="182"/>
      <c r="GG260" s="182"/>
      <c r="GH260" s="182"/>
      <c r="GI260" s="182"/>
    </row>
    <row r="261" spans="1:191" s="183" customFormat="1" x14ac:dyDescent="0.2">
      <c r="A261" s="210" t="s">
        <v>38566</v>
      </c>
      <c r="B261" s="210" t="s">
        <v>19109</v>
      </c>
      <c r="C261" s="224" t="s">
        <v>22366</v>
      </c>
      <c r="D261" s="211" t="s">
        <v>16</v>
      </c>
      <c r="E261" s="211">
        <v>20</v>
      </c>
      <c r="F261" s="211"/>
      <c r="G261" s="211">
        <v>0.3</v>
      </c>
      <c r="H261" s="212"/>
      <c r="I261" s="213"/>
      <c r="J261" s="272">
        <v>563.82000000000005</v>
      </c>
      <c r="K261" s="112">
        <f t="shared" si="20"/>
        <v>11276.4</v>
      </c>
      <c r="L261" s="273">
        <f>BDI!$E$17</f>
        <v>0.11260000000000001</v>
      </c>
      <c r="M261" s="213"/>
      <c r="N261" s="213"/>
      <c r="O261" s="114">
        <f t="shared" si="21"/>
        <v>627.30999999999995</v>
      </c>
      <c r="P261" s="113">
        <f t="shared" si="22"/>
        <v>3763.86</v>
      </c>
      <c r="Q261" s="209"/>
      <c r="R261" s="203"/>
      <c r="S261" s="182"/>
      <c r="T261" s="182"/>
      <c r="U261" s="182"/>
      <c r="V261" s="182"/>
      <c r="W261" s="182"/>
      <c r="X261" s="182"/>
      <c r="Y261" s="182"/>
      <c r="Z261" s="182"/>
      <c r="AA261" s="182"/>
      <c r="AB261" s="182"/>
      <c r="AC261" s="182"/>
      <c r="AD261" s="182"/>
      <c r="AE261" s="182"/>
      <c r="AF261" s="182"/>
      <c r="AG261" s="182"/>
      <c r="AH261" s="182"/>
      <c r="AI261" s="182"/>
      <c r="AJ261" s="182"/>
      <c r="AK261" s="182"/>
      <c r="AL261" s="182"/>
      <c r="AM261" s="182"/>
      <c r="AN261" s="182"/>
      <c r="AO261" s="182"/>
      <c r="AP261" s="182"/>
      <c r="AQ261" s="182"/>
      <c r="AR261" s="182"/>
      <c r="AS261" s="182"/>
      <c r="AT261" s="182"/>
      <c r="AU261" s="182"/>
      <c r="AV261" s="182"/>
      <c r="AW261" s="182"/>
      <c r="AX261" s="182"/>
      <c r="AY261" s="182"/>
      <c r="AZ261" s="182"/>
      <c r="BA261" s="182"/>
      <c r="BB261" s="182"/>
      <c r="BC261" s="182"/>
      <c r="BD261" s="182"/>
      <c r="BE261" s="182"/>
      <c r="BF261" s="182"/>
      <c r="BG261" s="182"/>
      <c r="BH261" s="182"/>
      <c r="BI261" s="182"/>
      <c r="BJ261" s="182"/>
      <c r="BK261" s="182"/>
      <c r="BL261" s="182"/>
      <c r="BM261" s="182"/>
      <c r="BN261" s="182"/>
      <c r="BO261" s="182"/>
      <c r="BP261" s="182"/>
      <c r="BQ261" s="182"/>
      <c r="BR261" s="182"/>
      <c r="BS261" s="182"/>
      <c r="BT261" s="182"/>
      <c r="BU261" s="182"/>
      <c r="BV261" s="182"/>
      <c r="BW261" s="182"/>
      <c r="BX261" s="182"/>
      <c r="BY261" s="182"/>
      <c r="BZ261" s="182"/>
      <c r="CA261" s="182"/>
      <c r="CB261" s="182"/>
      <c r="CC261" s="182"/>
      <c r="CD261" s="182"/>
      <c r="CE261" s="182"/>
      <c r="CF261" s="182"/>
      <c r="CG261" s="182"/>
      <c r="CH261" s="182"/>
      <c r="CI261" s="182"/>
      <c r="CJ261" s="182"/>
      <c r="CK261" s="182"/>
      <c r="CL261" s="182"/>
      <c r="CM261" s="182"/>
      <c r="CN261" s="182"/>
      <c r="CO261" s="182"/>
      <c r="CP261" s="182"/>
      <c r="CQ261" s="182"/>
      <c r="CR261" s="182"/>
      <c r="CS261" s="182"/>
      <c r="CT261" s="182"/>
      <c r="CU261" s="182"/>
      <c r="CV261" s="182"/>
      <c r="CW261" s="182"/>
      <c r="CX261" s="182"/>
      <c r="CY261" s="182"/>
      <c r="CZ261" s="182"/>
      <c r="DA261" s="182"/>
      <c r="DB261" s="182"/>
      <c r="DC261" s="182"/>
      <c r="DD261" s="182"/>
      <c r="DE261" s="182"/>
      <c r="DF261" s="182"/>
      <c r="DG261" s="182"/>
      <c r="DH261" s="182"/>
      <c r="DI261" s="182"/>
      <c r="DJ261" s="182"/>
      <c r="DK261" s="182"/>
      <c r="DL261" s="182"/>
      <c r="DM261" s="182"/>
      <c r="DN261" s="182"/>
      <c r="DO261" s="182"/>
      <c r="DP261" s="182"/>
      <c r="DQ261" s="182"/>
      <c r="DR261" s="182"/>
      <c r="DS261" s="182"/>
      <c r="DT261" s="182"/>
      <c r="DU261" s="182"/>
      <c r="DV261" s="182"/>
      <c r="DW261" s="182"/>
      <c r="DX261" s="182"/>
      <c r="DY261" s="182"/>
      <c r="DZ261" s="182"/>
      <c r="EA261" s="182"/>
      <c r="EB261" s="182"/>
      <c r="EC261" s="182"/>
      <c r="ED261" s="182"/>
      <c r="EE261" s="182"/>
      <c r="EF261" s="182"/>
      <c r="EG261" s="182"/>
      <c r="EH261" s="182"/>
      <c r="EI261" s="182"/>
      <c r="EJ261" s="182"/>
      <c r="EK261" s="182"/>
      <c r="EL261" s="182"/>
      <c r="EM261" s="182"/>
      <c r="EN261" s="182"/>
      <c r="EO261" s="182"/>
      <c r="EP261" s="182"/>
      <c r="EQ261" s="182"/>
      <c r="ER261" s="182"/>
      <c r="ES261" s="182"/>
      <c r="ET261" s="182"/>
      <c r="EU261" s="182"/>
      <c r="EV261" s="182"/>
      <c r="EW261" s="182"/>
      <c r="EX261" s="182"/>
      <c r="EY261" s="182"/>
      <c r="EZ261" s="182"/>
      <c r="FA261" s="182"/>
      <c r="FB261" s="182"/>
      <c r="FC261" s="182"/>
      <c r="FD261" s="182"/>
      <c r="FE261" s="182"/>
      <c r="FF261" s="182"/>
      <c r="FG261" s="182"/>
      <c r="FH261" s="182"/>
      <c r="FI261" s="182"/>
      <c r="FJ261" s="182"/>
      <c r="FK261" s="182"/>
      <c r="FL261" s="182"/>
      <c r="FM261" s="182"/>
      <c r="FN261" s="182"/>
      <c r="FO261" s="182"/>
      <c r="FP261" s="182"/>
      <c r="FQ261" s="182"/>
      <c r="FR261" s="182"/>
      <c r="FS261" s="182"/>
      <c r="FT261" s="182"/>
      <c r="FU261" s="182"/>
      <c r="FV261" s="182"/>
      <c r="FW261" s="182"/>
      <c r="FX261" s="182"/>
      <c r="FY261" s="182"/>
      <c r="FZ261" s="182"/>
      <c r="GA261" s="182"/>
      <c r="GB261" s="182"/>
      <c r="GC261" s="182"/>
      <c r="GD261" s="182"/>
      <c r="GE261" s="182"/>
      <c r="GF261" s="182"/>
      <c r="GG261" s="182"/>
      <c r="GH261" s="182"/>
      <c r="GI261" s="182"/>
    </row>
    <row r="262" spans="1:191" s="183" customFormat="1" x14ac:dyDescent="0.2">
      <c r="A262" s="210" t="s">
        <v>38567</v>
      </c>
      <c r="B262" s="210" t="s">
        <v>19110</v>
      </c>
      <c r="C262" s="224" t="s">
        <v>22367</v>
      </c>
      <c r="D262" s="211" t="s">
        <v>16</v>
      </c>
      <c r="E262" s="211">
        <v>140</v>
      </c>
      <c r="F262" s="211"/>
      <c r="G262" s="211">
        <v>0.3</v>
      </c>
      <c r="H262" s="212"/>
      <c r="I262" s="213"/>
      <c r="J262" s="272">
        <v>154.49</v>
      </c>
      <c r="K262" s="112">
        <f t="shared" si="20"/>
        <v>21628.6</v>
      </c>
      <c r="L262" s="273">
        <f>BDI!$E$17</f>
        <v>0.11260000000000001</v>
      </c>
      <c r="M262" s="213"/>
      <c r="N262" s="213"/>
      <c r="O262" s="114">
        <f t="shared" si="21"/>
        <v>171.89</v>
      </c>
      <c r="P262" s="113">
        <f t="shared" si="22"/>
        <v>7219.38</v>
      </c>
      <c r="Q262" s="209"/>
      <c r="R262" s="203"/>
      <c r="S262" s="182"/>
      <c r="T262" s="182"/>
      <c r="U262" s="182"/>
      <c r="V262" s="182"/>
      <c r="W262" s="182"/>
      <c r="X262" s="182"/>
      <c r="Y262" s="182"/>
      <c r="Z262" s="182"/>
      <c r="AA262" s="182"/>
      <c r="AB262" s="182"/>
      <c r="AC262" s="182"/>
      <c r="AD262" s="182"/>
      <c r="AE262" s="182"/>
      <c r="AF262" s="182"/>
      <c r="AG262" s="182"/>
      <c r="AH262" s="182"/>
      <c r="AI262" s="182"/>
      <c r="AJ262" s="182"/>
      <c r="AK262" s="182"/>
      <c r="AL262" s="182"/>
      <c r="AM262" s="182"/>
      <c r="AN262" s="182"/>
      <c r="AO262" s="182"/>
      <c r="AP262" s="182"/>
      <c r="AQ262" s="182"/>
      <c r="AR262" s="182"/>
      <c r="AS262" s="182"/>
      <c r="AT262" s="182"/>
      <c r="AU262" s="182"/>
      <c r="AV262" s="182"/>
      <c r="AW262" s="182"/>
      <c r="AX262" s="182"/>
      <c r="AY262" s="182"/>
      <c r="AZ262" s="182"/>
      <c r="BA262" s="182"/>
      <c r="BB262" s="182"/>
      <c r="BC262" s="182"/>
      <c r="BD262" s="182"/>
      <c r="BE262" s="182"/>
      <c r="BF262" s="182"/>
      <c r="BG262" s="182"/>
      <c r="BH262" s="182"/>
      <c r="BI262" s="182"/>
      <c r="BJ262" s="182"/>
      <c r="BK262" s="182"/>
      <c r="BL262" s="182"/>
      <c r="BM262" s="182"/>
      <c r="BN262" s="182"/>
      <c r="BO262" s="182"/>
      <c r="BP262" s="182"/>
      <c r="BQ262" s="182"/>
      <c r="BR262" s="182"/>
      <c r="BS262" s="182"/>
      <c r="BT262" s="182"/>
      <c r="BU262" s="182"/>
      <c r="BV262" s="182"/>
      <c r="BW262" s="182"/>
      <c r="BX262" s="182"/>
      <c r="BY262" s="182"/>
      <c r="BZ262" s="182"/>
      <c r="CA262" s="182"/>
      <c r="CB262" s="182"/>
      <c r="CC262" s="182"/>
      <c r="CD262" s="182"/>
      <c r="CE262" s="182"/>
      <c r="CF262" s="182"/>
      <c r="CG262" s="182"/>
      <c r="CH262" s="182"/>
      <c r="CI262" s="182"/>
      <c r="CJ262" s="182"/>
      <c r="CK262" s="182"/>
      <c r="CL262" s="182"/>
      <c r="CM262" s="182"/>
      <c r="CN262" s="182"/>
      <c r="CO262" s="182"/>
      <c r="CP262" s="182"/>
      <c r="CQ262" s="182"/>
      <c r="CR262" s="182"/>
      <c r="CS262" s="182"/>
      <c r="CT262" s="182"/>
      <c r="CU262" s="182"/>
      <c r="CV262" s="182"/>
      <c r="CW262" s="182"/>
      <c r="CX262" s="182"/>
      <c r="CY262" s="182"/>
      <c r="CZ262" s="182"/>
      <c r="DA262" s="182"/>
      <c r="DB262" s="182"/>
      <c r="DC262" s="182"/>
      <c r="DD262" s="182"/>
      <c r="DE262" s="182"/>
      <c r="DF262" s="182"/>
      <c r="DG262" s="182"/>
      <c r="DH262" s="182"/>
      <c r="DI262" s="182"/>
      <c r="DJ262" s="182"/>
      <c r="DK262" s="182"/>
      <c r="DL262" s="182"/>
      <c r="DM262" s="182"/>
      <c r="DN262" s="182"/>
      <c r="DO262" s="182"/>
      <c r="DP262" s="182"/>
      <c r="DQ262" s="182"/>
      <c r="DR262" s="182"/>
      <c r="DS262" s="182"/>
      <c r="DT262" s="182"/>
      <c r="DU262" s="182"/>
      <c r="DV262" s="182"/>
      <c r="DW262" s="182"/>
      <c r="DX262" s="182"/>
      <c r="DY262" s="182"/>
      <c r="DZ262" s="182"/>
      <c r="EA262" s="182"/>
      <c r="EB262" s="182"/>
      <c r="EC262" s="182"/>
      <c r="ED262" s="182"/>
      <c r="EE262" s="182"/>
      <c r="EF262" s="182"/>
      <c r="EG262" s="182"/>
      <c r="EH262" s="182"/>
      <c r="EI262" s="182"/>
      <c r="EJ262" s="182"/>
      <c r="EK262" s="182"/>
      <c r="EL262" s="182"/>
      <c r="EM262" s="182"/>
      <c r="EN262" s="182"/>
      <c r="EO262" s="182"/>
      <c r="EP262" s="182"/>
      <c r="EQ262" s="182"/>
      <c r="ER262" s="182"/>
      <c r="ES262" s="182"/>
      <c r="ET262" s="182"/>
      <c r="EU262" s="182"/>
      <c r="EV262" s="182"/>
      <c r="EW262" s="182"/>
      <c r="EX262" s="182"/>
      <c r="EY262" s="182"/>
      <c r="EZ262" s="182"/>
      <c r="FA262" s="182"/>
      <c r="FB262" s="182"/>
      <c r="FC262" s="182"/>
      <c r="FD262" s="182"/>
      <c r="FE262" s="182"/>
      <c r="FF262" s="182"/>
      <c r="FG262" s="182"/>
      <c r="FH262" s="182"/>
      <c r="FI262" s="182"/>
      <c r="FJ262" s="182"/>
      <c r="FK262" s="182"/>
      <c r="FL262" s="182"/>
      <c r="FM262" s="182"/>
      <c r="FN262" s="182"/>
      <c r="FO262" s="182"/>
      <c r="FP262" s="182"/>
      <c r="FQ262" s="182"/>
      <c r="FR262" s="182"/>
      <c r="FS262" s="182"/>
      <c r="FT262" s="182"/>
      <c r="FU262" s="182"/>
      <c r="FV262" s="182"/>
      <c r="FW262" s="182"/>
      <c r="FX262" s="182"/>
      <c r="FY262" s="182"/>
      <c r="FZ262" s="182"/>
      <c r="GA262" s="182"/>
      <c r="GB262" s="182"/>
      <c r="GC262" s="182"/>
      <c r="GD262" s="182"/>
      <c r="GE262" s="182"/>
      <c r="GF262" s="182"/>
      <c r="GG262" s="182"/>
      <c r="GH262" s="182"/>
      <c r="GI262" s="182"/>
    </row>
    <row r="263" spans="1:191" s="183" customFormat="1" x14ac:dyDescent="0.2">
      <c r="A263" s="210" t="s">
        <v>38568</v>
      </c>
      <c r="B263" s="210" t="s">
        <v>19111</v>
      </c>
      <c r="C263" s="224" t="s">
        <v>22368</v>
      </c>
      <c r="D263" s="211" t="s">
        <v>16</v>
      </c>
      <c r="E263" s="211">
        <v>5</v>
      </c>
      <c r="F263" s="211"/>
      <c r="G263" s="211">
        <v>0.3</v>
      </c>
      <c r="H263" s="212"/>
      <c r="I263" s="213"/>
      <c r="J263" s="272">
        <v>624.13</v>
      </c>
      <c r="K263" s="112">
        <f t="shared" si="20"/>
        <v>3120.65</v>
      </c>
      <c r="L263" s="273">
        <f>BDI!$E$17</f>
        <v>0.11260000000000001</v>
      </c>
      <c r="M263" s="213"/>
      <c r="N263" s="213"/>
      <c r="O263" s="114">
        <f t="shared" si="21"/>
        <v>694.41</v>
      </c>
      <c r="P263" s="113">
        <f t="shared" si="22"/>
        <v>1041.6199999999999</v>
      </c>
      <c r="Q263" s="209"/>
      <c r="R263" s="203"/>
      <c r="S263" s="182"/>
      <c r="T263" s="182"/>
      <c r="U263" s="182"/>
      <c r="V263" s="182"/>
      <c r="W263" s="182"/>
      <c r="X263" s="182"/>
      <c r="Y263" s="182"/>
      <c r="Z263" s="182"/>
      <c r="AA263" s="182"/>
      <c r="AB263" s="182"/>
      <c r="AC263" s="182"/>
      <c r="AD263" s="182"/>
      <c r="AE263" s="182"/>
      <c r="AF263" s="182"/>
      <c r="AG263" s="182"/>
      <c r="AH263" s="182"/>
      <c r="AI263" s="182"/>
      <c r="AJ263" s="182"/>
      <c r="AK263" s="182"/>
      <c r="AL263" s="182"/>
      <c r="AM263" s="182"/>
      <c r="AN263" s="182"/>
      <c r="AO263" s="182"/>
      <c r="AP263" s="182"/>
      <c r="AQ263" s="182"/>
      <c r="AR263" s="182"/>
      <c r="AS263" s="182"/>
      <c r="AT263" s="182"/>
      <c r="AU263" s="182"/>
      <c r="AV263" s="182"/>
      <c r="AW263" s="182"/>
      <c r="AX263" s="182"/>
      <c r="AY263" s="182"/>
      <c r="AZ263" s="182"/>
      <c r="BA263" s="182"/>
      <c r="BB263" s="182"/>
      <c r="BC263" s="182"/>
      <c r="BD263" s="182"/>
      <c r="BE263" s="182"/>
      <c r="BF263" s="182"/>
      <c r="BG263" s="182"/>
      <c r="BH263" s="182"/>
      <c r="BI263" s="182"/>
      <c r="BJ263" s="182"/>
      <c r="BK263" s="182"/>
      <c r="BL263" s="182"/>
      <c r="BM263" s="182"/>
      <c r="BN263" s="182"/>
      <c r="BO263" s="182"/>
      <c r="BP263" s="182"/>
      <c r="BQ263" s="182"/>
      <c r="BR263" s="182"/>
      <c r="BS263" s="182"/>
      <c r="BT263" s="182"/>
      <c r="BU263" s="182"/>
      <c r="BV263" s="182"/>
      <c r="BW263" s="182"/>
      <c r="BX263" s="182"/>
      <c r="BY263" s="182"/>
      <c r="BZ263" s="182"/>
      <c r="CA263" s="182"/>
      <c r="CB263" s="182"/>
      <c r="CC263" s="182"/>
      <c r="CD263" s="182"/>
      <c r="CE263" s="182"/>
      <c r="CF263" s="182"/>
      <c r="CG263" s="182"/>
      <c r="CH263" s="182"/>
      <c r="CI263" s="182"/>
      <c r="CJ263" s="182"/>
      <c r="CK263" s="182"/>
      <c r="CL263" s="182"/>
      <c r="CM263" s="182"/>
      <c r="CN263" s="182"/>
      <c r="CO263" s="182"/>
      <c r="CP263" s="182"/>
      <c r="CQ263" s="182"/>
      <c r="CR263" s="182"/>
      <c r="CS263" s="182"/>
      <c r="CT263" s="182"/>
      <c r="CU263" s="182"/>
      <c r="CV263" s="182"/>
      <c r="CW263" s="182"/>
      <c r="CX263" s="182"/>
      <c r="CY263" s="182"/>
      <c r="CZ263" s="182"/>
      <c r="DA263" s="182"/>
      <c r="DB263" s="182"/>
      <c r="DC263" s="182"/>
      <c r="DD263" s="182"/>
      <c r="DE263" s="182"/>
      <c r="DF263" s="182"/>
      <c r="DG263" s="182"/>
      <c r="DH263" s="182"/>
      <c r="DI263" s="182"/>
      <c r="DJ263" s="182"/>
      <c r="DK263" s="182"/>
      <c r="DL263" s="182"/>
      <c r="DM263" s="182"/>
      <c r="DN263" s="182"/>
      <c r="DO263" s="182"/>
      <c r="DP263" s="182"/>
      <c r="DQ263" s="182"/>
      <c r="DR263" s="182"/>
      <c r="DS263" s="182"/>
      <c r="DT263" s="182"/>
      <c r="DU263" s="182"/>
      <c r="DV263" s="182"/>
      <c r="DW263" s="182"/>
      <c r="DX263" s="182"/>
      <c r="DY263" s="182"/>
      <c r="DZ263" s="182"/>
      <c r="EA263" s="182"/>
      <c r="EB263" s="182"/>
      <c r="EC263" s="182"/>
      <c r="ED263" s="182"/>
      <c r="EE263" s="182"/>
      <c r="EF263" s="182"/>
      <c r="EG263" s="182"/>
      <c r="EH263" s="182"/>
      <c r="EI263" s="182"/>
      <c r="EJ263" s="182"/>
      <c r="EK263" s="182"/>
      <c r="EL263" s="182"/>
      <c r="EM263" s="182"/>
      <c r="EN263" s="182"/>
      <c r="EO263" s="182"/>
      <c r="EP263" s="182"/>
      <c r="EQ263" s="182"/>
      <c r="ER263" s="182"/>
      <c r="ES263" s="182"/>
      <c r="ET263" s="182"/>
      <c r="EU263" s="182"/>
      <c r="EV263" s="182"/>
      <c r="EW263" s="182"/>
      <c r="EX263" s="182"/>
      <c r="EY263" s="182"/>
      <c r="EZ263" s="182"/>
      <c r="FA263" s="182"/>
      <c r="FB263" s="182"/>
      <c r="FC263" s="182"/>
      <c r="FD263" s="182"/>
      <c r="FE263" s="182"/>
      <c r="FF263" s="182"/>
      <c r="FG263" s="182"/>
      <c r="FH263" s="182"/>
      <c r="FI263" s="182"/>
      <c r="FJ263" s="182"/>
      <c r="FK263" s="182"/>
      <c r="FL263" s="182"/>
      <c r="FM263" s="182"/>
      <c r="FN263" s="182"/>
      <c r="FO263" s="182"/>
      <c r="FP263" s="182"/>
      <c r="FQ263" s="182"/>
      <c r="FR263" s="182"/>
      <c r="FS263" s="182"/>
      <c r="FT263" s="182"/>
      <c r="FU263" s="182"/>
      <c r="FV263" s="182"/>
      <c r="FW263" s="182"/>
      <c r="FX263" s="182"/>
      <c r="FY263" s="182"/>
      <c r="FZ263" s="182"/>
      <c r="GA263" s="182"/>
      <c r="GB263" s="182"/>
      <c r="GC263" s="182"/>
      <c r="GD263" s="182"/>
      <c r="GE263" s="182"/>
      <c r="GF263" s="182"/>
      <c r="GG263" s="182"/>
      <c r="GH263" s="182"/>
      <c r="GI263" s="182"/>
    </row>
    <row r="264" spans="1:191" s="183" customFormat="1" x14ac:dyDescent="0.2">
      <c r="A264" s="210" t="s">
        <v>38569</v>
      </c>
      <c r="B264" s="210" t="s">
        <v>19112</v>
      </c>
      <c r="C264" s="224" t="s">
        <v>22369</v>
      </c>
      <c r="D264" s="211" t="s">
        <v>16</v>
      </c>
      <c r="E264" s="211">
        <v>5</v>
      </c>
      <c r="F264" s="211"/>
      <c r="G264" s="211">
        <v>0.3</v>
      </c>
      <c r="H264" s="212"/>
      <c r="I264" s="213"/>
      <c r="J264" s="272">
        <v>730.78</v>
      </c>
      <c r="K264" s="112">
        <f t="shared" si="20"/>
        <v>3653.9</v>
      </c>
      <c r="L264" s="273">
        <f>BDI!$E$17</f>
        <v>0.11260000000000001</v>
      </c>
      <c r="M264" s="213"/>
      <c r="N264" s="213"/>
      <c r="O264" s="114">
        <f t="shared" si="21"/>
        <v>813.07</v>
      </c>
      <c r="P264" s="113">
        <f t="shared" si="22"/>
        <v>1219.6099999999999</v>
      </c>
      <c r="Q264" s="209"/>
      <c r="R264" s="203"/>
      <c r="S264" s="182"/>
      <c r="T264" s="182"/>
      <c r="U264" s="182"/>
      <c r="V264" s="182"/>
      <c r="W264" s="182"/>
      <c r="X264" s="182"/>
      <c r="Y264" s="182"/>
      <c r="Z264" s="182"/>
      <c r="AA264" s="182"/>
      <c r="AB264" s="182"/>
      <c r="AC264" s="182"/>
      <c r="AD264" s="182"/>
      <c r="AE264" s="182"/>
      <c r="AF264" s="182"/>
      <c r="AG264" s="182"/>
      <c r="AH264" s="182"/>
      <c r="AI264" s="182"/>
      <c r="AJ264" s="182"/>
      <c r="AK264" s="182"/>
      <c r="AL264" s="182"/>
      <c r="AM264" s="182"/>
      <c r="AN264" s="182"/>
      <c r="AO264" s="182"/>
      <c r="AP264" s="182"/>
      <c r="AQ264" s="182"/>
      <c r="AR264" s="182"/>
      <c r="AS264" s="182"/>
      <c r="AT264" s="182"/>
      <c r="AU264" s="182"/>
      <c r="AV264" s="182"/>
      <c r="AW264" s="182"/>
      <c r="AX264" s="182"/>
      <c r="AY264" s="182"/>
      <c r="AZ264" s="182"/>
      <c r="BA264" s="182"/>
      <c r="BB264" s="182"/>
      <c r="BC264" s="182"/>
      <c r="BD264" s="182"/>
      <c r="BE264" s="182"/>
      <c r="BF264" s="182"/>
      <c r="BG264" s="182"/>
      <c r="BH264" s="182"/>
      <c r="BI264" s="182"/>
      <c r="BJ264" s="182"/>
      <c r="BK264" s="182"/>
      <c r="BL264" s="182"/>
      <c r="BM264" s="182"/>
      <c r="BN264" s="182"/>
      <c r="BO264" s="182"/>
      <c r="BP264" s="182"/>
      <c r="BQ264" s="182"/>
      <c r="BR264" s="182"/>
      <c r="BS264" s="182"/>
      <c r="BT264" s="182"/>
      <c r="BU264" s="182"/>
      <c r="BV264" s="182"/>
      <c r="BW264" s="182"/>
      <c r="BX264" s="182"/>
      <c r="BY264" s="182"/>
      <c r="BZ264" s="182"/>
      <c r="CA264" s="182"/>
      <c r="CB264" s="182"/>
      <c r="CC264" s="182"/>
      <c r="CD264" s="182"/>
      <c r="CE264" s="182"/>
      <c r="CF264" s="182"/>
      <c r="CG264" s="182"/>
      <c r="CH264" s="182"/>
      <c r="CI264" s="182"/>
      <c r="CJ264" s="182"/>
      <c r="CK264" s="182"/>
      <c r="CL264" s="182"/>
      <c r="CM264" s="182"/>
      <c r="CN264" s="182"/>
      <c r="CO264" s="182"/>
      <c r="CP264" s="182"/>
      <c r="CQ264" s="182"/>
      <c r="CR264" s="182"/>
      <c r="CS264" s="182"/>
      <c r="CT264" s="182"/>
      <c r="CU264" s="182"/>
      <c r="CV264" s="182"/>
      <c r="CW264" s="182"/>
      <c r="CX264" s="182"/>
      <c r="CY264" s="182"/>
      <c r="CZ264" s="182"/>
      <c r="DA264" s="182"/>
      <c r="DB264" s="182"/>
      <c r="DC264" s="182"/>
      <c r="DD264" s="182"/>
      <c r="DE264" s="182"/>
      <c r="DF264" s="182"/>
      <c r="DG264" s="182"/>
      <c r="DH264" s="182"/>
      <c r="DI264" s="182"/>
      <c r="DJ264" s="182"/>
      <c r="DK264" s="182"/>
      <c r="DL264" s="182"/>
      <c r="DM264" s="182"/>
      <c r="DN264" s="182"/>
      <c r="DO264" s="182"/>
      <c r="DP264" s="182"/>
      <c r="DQ264" s="182"/>
      <c r="DR264" s="182"/>
      <c r="DS264" s="182"/>
      <c r="DT264" s="182"/>
      <c r="DU264" s="182"/>
      <c r="DV264" s="182"/>
      <c r="DW264" s="182"/>
      <c r="DX264" s="182"/>
      <c r="DY264" s="182"/>
      <c r="DZ264" s="182"/>
      <c r="EA264" s="182"/>
      <c r="EB264" s="182"/>
      <c r="EC264" s="182"/>
      <c r="ED264" s="182"/>
      <c r="EE264" s="182"/>
      <c r="EF264" s="182"/>
      <c r="EG264" s="182"/>
      <c r="EH264" s="182"/>
      <c r="EI264" s="182"/>
      <c r="EJ264" s="182"/>
      <c r="EK264" s="182"/>
      <c r="EL264" s="182"/>
      <c r="EM264" s="182"/>
      <c r="EN264" s="182"/>
      <c r="EO264" s="182"/>
      <c r="EP264" s="182"/>
      <c r="EQ264" s="182"/>
      <c r="ER264" s="182"/>
      <c r="ES264" s="182"/>
      <c r="ET264" s="182"/>
      <c r="EU264" s="182"/>
      <c r="EV264" s="182"/>
      <c r="EW264" s="182"/>
      <c r="EX264" s="182"/>
      <c r="EY264" s="182"/>
      <c r="EZ264" s="182"/>
      <c r="FA264" s="182"/>
      <c r="FB264" s="182"/>
      <c r="FC264" s="182"/>
      <c r="FD264" s="182"/>
      <c r="FE264" s="182"/>
      <c r="FF264" s="182"/>
      <c r="FG264" s="182"/>
      <c r="FH264" s="182"/>
      <c r="FI264" s="182"/>
      <c r="FJ264" s="182"/>
      <c r="FK264" s="182"/>
      <c r="FL264" s="182"/>
      <c r="FM264" s="182"/>
      <c r="FN264" s="182"/>
      <c r="FO264" s="182"/>
      <c r="FP264" s="182"/>
      <c r="FQ264" s="182"/>
      <c r="FR264" s="182"/>
      <c r="FS264" s="182"/>
      <c r="FT264" s="182"/>
      <c r="FU264" s="182"/>
      <c r="FV264" s="182"/>
      <c r="FW264" s="182"/>
      <c r="FX264" s="182"/>
      <c r="FY264" s="182"/>
      <c r="FZ264" s="182"/>
      <c r="GA264" s="182"/>
      <c r="GB264" s="182"/>
      <c r="GC264" s="182"/>
      <c r="GD264" s="182"/>
      <c r="GE264" s="182"/>
      <c r="GF264" s="182"/>
      <c r="GG264" s="182"/>
      <c r="GH264" s="182"/>
      <c r="GI264" s="182"/>
    </row>
    <row r="265" spans="1:191" s="183" customFormat="1" x14ac:dyDescent="0.2">
      <c r="A265" s="210" t="s">
        <v>38570</v>
      </c>
      <c r="B265" s="210" t="s">
        <v>19113</v>
      </c>
      <c r="C265" s="224" t="s">
        <v>22370</v>
      </c>
      <c r="D265" s="211" t="s">
        <v>16</v>
      </c>
      <c r="E265" s="211">
        <v>15</v>
      </c>
      <c r="F265" s="211"/>
      <c r="G265" s="211">
        <v>0.3</v>
      </c>
      <c r="H265" s="212"/>
      <c r="I265" s="213"/>
      <c r="J265" s="272">
        <v>914.74</v>
      </c>
      <c r="K265" s="112">
        <f t="shared" si="20"/>
        <v>13721.1</v>
      </c>
      <c r="L265" s="273">
        <f>BDI!$E$17</f>
        <v>0.11260000000000001</v>
      </c>
      <c r="M265" s="213"/>
      <c r="N265" s="213"/>
      <c r="O265" s="114">
        <f t="shared" si="21"/>
        <v>1017.74</v>
      </c>
      <c r="P265" s="113">
        <f t="shared" si="22"/>
        <v>4579.83</v>
      </c>
      <c r="Q265" s="209"/>
      <c r="R265" s="203"/>
      <c r="S265" s="182"/>
      <c r="T265" s="182"/>
      <c r="U265" s="182"/>
      <c r="V265" s="182"/>
      <c r="W265" s="182"/>
      <c r="X265" s="182"/>
      <c r="Y265" s="182"/>
      <c r="Z265" s="182"/>
      <c r="AA265" s="182"/>
      <c r="AB265" s="182"/>
      <c r="AC265" s="182"/>
      <c r="AD265" s="182"/>
      <c r="AE265" s="182"/>
      <c r="AF265" s="182"/>
      <c r="AG265" s="182"/>
      <c r="AH265" s="182"/>
      <c r="AI265" s="182"/>
      <c r="AJ265" s="182"/>
      <c r="AK265" s="182"/>
      <c r="AL265" s="182"/>
      <c r="AM265" s="182"/>
      <c r="AN265" s="182"/>
      <c r="AO265" s="182"/>
      <c r="AP265" s="182"/>
      <c r="AQ265" s="182"/>
      <c r="AR265" s="182"/>
      <c r="AS265" s="182"/>
      <c r="AT265" s="182"/>
      <c r="AU265" s="182"/>
      <c r="AV265" s="182"/>
      <c r="AW265" s="182"/>
      <c r="AX265" s="182"/>
      <c r="AY265" s="182"/>
      <c r="AZ265" s="182"/>
      <c r="BA265" s="182"/>
      <c r="BB265" s="182"/>
      <c r="BC265" s="182"/>
      <c r="BD265" s="182"/>
      <c r="BE265" s="182"/>
      <c r="BF265" s="182"/>
      <c r="BG265" s="182"/>
      <c r="BH265" s="182"/>
      <c r="BI265" s="182"/>
      <c r="BJ265" s="182"/>
      <c r="BK265" s="182"/>
      <c r="BL265" s="182"/>
      <c r="BM265" s="182"/>
      <c r="BN265" s="182"/>
      <c r="BO265" s="182"/>
      <c r="BP265" s="182"/>
      <c r="BQ265" s="182"/>
      <c r="BR265" s="182"/>
      <c r="BS265" s="182"/>
      <c r="BT265" s="182"/>
      <c r="BU265" s="182"/>
      <c r="BV265" s="182"/>
      <c r="BW265" s="182"/>
      <c r="BX265" s="182"/>
      <c r="BY265" s="182"/>
      <c r="BZ265" s="182"/>
      <c r="CA265" s="182"/>
      <c r="CB265" s="182"/>
      <c r="CC265" s="182"/>
      <c r="CD265" s="182"/>
      <c r="CE265" s="182"/>
      <c r="CF265" s="182"/>
      <c r="CG265" s="182"/>
      <c r="CH265" s="182"/>
      <c r="CI265" s="182"/>
      <c r="CJ265" s="182"/>
      <c r="CK265" s="182"/>
      <c r="CL265" s="182"/>
      <c r="CM265" s="182"/>
      <c r="CN265" s="182"/>
      <c r="CO265" s="182"/>
      <c r="CP265" s="182"/>
      <c r="CQ265" s="182"/>
      <c r="CR265" s="182"/>
      <c r="CS265" s="182"/>
      <c r="CT265" s="182"/>
      <c r="CU265" s="182"/>
      <c r="CV265" s="182"/>
      <c r="CW265" s="182"/>
      <c r="CX265" s="182"/>
      <c r="CY265" s="182"/>
      <c r="CZ265" s="182"/>
      <c r="DA265" s="182"/>
      <c r="DB265" s="182"/>
      <c r="DC265" s="182"/>
      <c r="DD265" s="182"/>
      <c r="DE265" s="182"/>
      <c r="DF265" s="182"/>
      <c r="DG265" s="182"/>
      <c r="DH265" s="182"/>
      <c r="DI265" s="182"/>
      <c r="DJ265" s="182"/>
      <c r="DK265" s="182"/>
      <c r="DL265" s="182"/>
      <c r="DM265" s="182"/>
      <c r="DN265" s="182"/>
      <c r="DO265" s="182"/>
      <c r="DP265" s="182"/>
      <c r="DQ265" s="182"/>
      <c r="DR265" s="182"/>
      <c r="DS265" s="182"/>
      <c r="DT265" s="182"/>
      <c r="DU265" s="182"/>
      <c r="DV265" s="182"/>
      <c r="DW265" s="182"/>
      <c r="DX265" s="182"/>
      <c r="DY265" s="182"/>
      <c r="DZ265" s="182"/>
      <c r="EA265" s="182"/>
      <c r="EB265" s="182"/>
      <c r="EC265" s="182"/>
      <c r="ED265" s="182"/>
      <c r="EE265" s="182"/>
      <c r="EF265" s="182"/>
      <c r="EG265" s="182"/>
      <c r="EH265" s="182"/>
      <c r="EI265" s="182"/>
      <c r="EJ265" s="182"/>
      <c r="EK265" s="182"/>
      <c r="EL265" s="182"/>
      <c r="EM265" s="182"/>
      <c r="EN265" s="182"/>
      <c r="EO265" s="182"/>
      <c r="EP265" s="182"/>
      <c r="EQ265" s="182"/>
      <c r="ER265" s="182"/>
      <c r="ES265" s="182"/>
      <c r="ET265" s="182"/>
      <c r="EU265" s="182"/>
      <c r="EV265" s="182"/>
      <c r="EW265" s="182"/>
      <c r="EX265" s="182"/>
      <c r="EY265" s="182"/>
      <c r="EZ265" s="182"/>
      <c r="FA265" s="182"/>
      <c r="FB265" s="182"/>
      <c r="FC265" s="182"/>
      <c r="FD265" s="182"/>
      <c r="FE265" s="182"/>
      <c r="FF265" s="182"/>
      <c r="FG265" s="182"/>
      <c r="FH265" s="182"/>
      <c r="FI265" s="182"/>
      <c r="FJ265" s="182"/>
      <c r="FK265" s="182"/>
      <c r="FL265" s="182"/>
      <c r="FM265" s="182"/>
      <c r="FN265" s="182"/>
      <c r="FO265" s="182"/>
      <c r="FP265" s="182"/>
      <c r="FQ265" s="182"/>
      <c r="FR265" s="182"/>
      <c r="FS265" s="182"/>
      <c r="FT265" s="182"/>
      <c r="FU265" s="182"/>
      <c r="FV265" s="182"/>
      <c r="FW265" s="182"/>
      <c r="FX265" s="182"/>
      <c r="FY265" s="182"/>
      <c r="FZ265" s="182"/>
      <c r="GA265" s="182"/>
      <c r="GB265" s="182"/>
      <c r="GC265" s="182"/>
      <c r="GD265" s="182"/>
      <c r="GE265" s="182"/>
      <c r="GF265" s="182"/>
      <c r="GG265" s="182"/>
      <c r="GH265" s="182"/>
      <c r="GI265" s="182"/>
    </row>
    <row r="266" spans="1:191" s="183" customFormat="1" x14ac:dyDescent="0.2">
      <c r="A266" s="210" t="s">
        <v>38571</v>
      </c>
      <c r="B266" s="210" t="s">
        <v>19114</v>
      </c>
      <c r="C266" s="224" t="s">
        <v>22371</v>
      </c>
      <c r="D266" s="211" t="s">
        <v>16</v>
      </c>
      <c r="E266" s="211">
        <v>15</v>
      </c>
      <c r="F266" s="211"/>
      <c r="G266" s="211">
        <v>0.3</v>
      </c>
      <c r="H266" s="212"/>
      <c r="I266" s="213"/>
      <c r="J266" s="272">
        <v>1572.08</v>
      </c>
      <c r="K266" s="112">
        <f t="shared" si="20"/>
        <v>23581.200000000001</v>
      </c>
      <c r="L266" s="273">
        <f>BDI!$E$17</f>
        <v>0.11260000000000001</v>
      </c>
      <c r="M266" s="213"/>
      <c r="N266" s="213"/>
      <c r="O266" s="114">
        <f t="shared" si="21"/>
        <v>1749.1</v>
      </c>
      <c r="P266" s="113">
        <f t="shared" si="22"/>
        <v>7870.95</v>
      </c>
      <c r="Q266" s="209"/>
      <c r="R266" s="203"/>
      <c r="S266" s="182"/>
      <c r="T266" s="182"/>
      <c r="U266" s="182"/>
      <c r="V266" s="182"/>
      <c r="W266" s="182"/>
      <c r="X266" s="182"/>
      <c r="Y266" s="182"/>
      <c r="Z266" s="182"/>
      <c r="AA266" s="182"/>
      <c r="AB266" s="182"/>
      <c r="AC266" s="182"/>
      <c r="AD266" s="182"/>
      <c r="AE266" s="182"/>
      <c r="AF266" s="182"/>
      <c r="AG266" s="182"/>
      <c r="AH266" s="182"/>
      <c r="AI266" s="182"/>
      <c r="AJ266" s="182"/>
      <c r="AK266" s="182"/>
      <c r="AL266" s="182"/>
      <c r="AM266" s="182"/>
      <c r="AN266" s="182"/>
      <c r="AO266" s="182"/>
      <c r="AP266" s="182"/>
      <c r="AQ266" s="182"/>
      <c r="AR266" s="182"/>
      <c r="AS266" s="182"/>
      <c r="AT266" s="182"/>
      <c r="AU266" s="182"/>
      <c r="AV266" s="182"/>
      <c r="AW266" s="182"/>
      <c r="AX266" s="182"/>
      <c r="AY266" s="182"/>
      <c r="AZ266" s="182"/>
      <c r="BA266" s="182"/>
      <c r="BB266" s="182"/>
      <c r="BC266" s="182"/>
      <c r="BD266" s="182"/>
      <c r="BE266" s="182"/>
      <c r="BF266" s="182"/>
      <c r="BG266" s="182"/>
      <c r="BH266" s="182"/>
      <c r="BI266" s="182"/>
      <c r="BJ266" s="182"/>
      <c r="BK266" s="182"/>
      <c r="BL266" s="182"/>
      <c r="BM266" s="182"/>
      <c r="BN266" s="182"/>
      <c r="BO266" s="182"/>
      <c r="BP266" s="182"/>
      <c r="BQ266" s="182"/>
      <c r="BR266" s="182"/>
      <c r="BS266" s="182"/>
      <c r="BT266" s="182"/>
      <c r="BU266" s="182"/>
      <c r="BV266" s="182"/>
      <c r="BW266" s="182"/>
      <c r="BX266" s="182"/>
      <c r="BY266" s="182"/>
      <c r="BZ266" s="182"/>
      <c r="CA266" s="182"/>
      <c r="CB266" s="182"/>
      <c r="CC266" s="182"/>
      <c r="CD266" s="182"/>
      <c r="CE266" s="182"/>
      <c r="CF266" s="182"/>
      <c r="CG266" s="182"/>
      <c r="CH266" s="182"/>
      <c r="CI266" s="182"/>
      <c r="CJ266" s="182"/>
      <c r="CK266" s="182"/>
      <c r="CL266" s="182"/>
      <c r="CM266" s="182"/>
      <c r="CN266" s="182"/>
      <c r="CO266" s="182"/>
      <c r="CP266" s="182"/>
      <c r="CQ266" s="182"/>
      <c r="CR266" s="182"/>
      <c r="CS266" s="182"/>
      <c r="CT266" s="182"/>
      <c r="CU266" s="182"/>
      <c r="CV266" s="182"/>
      <c r="CW266" s="182"/>
      <c r="CX266" s="182"/>
      <c r="CY266" s="182"/>
      <c r="CZ266" s="182"/>
      <c r="DA266" s="182"/>
      <c r="DB266" s="182"/>
      <c r="DC266" s="182"/>
      <c r="DD266" s="182"/>
      <c r="DE266" s="182"/>
      <c r="DF266" s="182"/>
      <c r="DG266" s="182"/>
      <c r="DH266" s="182"/>
      <c r="DI266" s="182"/>
      <c r="DJ266" s="182"/>
      <c r="DK266" s="182"/>
      <c r="DL266" s="182"/>
      <c r="DM266" s="182"/>
      <c r="DN266" s="182"/>
      <c r="DO266" s="182"/>
      <c r="DP266" s="182"/>
      <c r="DQ266" s="182"/>
      <c r="DR266" s="182"/>
      <c r="DS266" s="182"/>
      <c r="DT266" s="182"/>
      <c r="DU266" s="182"/>
      <c r="DV266" s="182"/>
      <c r="DW266" s="182"/>
      <c r="DX266" s="182"/>
      <c r="DY266" s="182"/>
      <c r="DZ266" s="182"/>
      <c r="EA266" s="182"/>
      <c r="EB266" s="182"/>
      <c r="EC266" s="182"/>
      <c r="ED266" s="182"/>
      <c r="EE266" s="182"/>
      <c r="EF266" s="182"/>
      <c r="EG266" s="182"/>
      <c r="EH266" s="182"/>
      <c r="EI266" s="182"/>
      <c r="EJ266" s="182"/>
      <c r="EK266" s="182"/>
      <c r="EL266" s="182"/>
      <c r="EM266" s="182"/>
      <c r="EN266" s="182"/>
      <c r="EO266" s="182"/>
      <c r="EP266" s="182"/>
      <c r="EQ266" s="182"/>
      <c r="ER266" s="182"/>
      <c r="ES266" s="182"/>
      <c r="ET266" s="182"/>
      <c r="EU266" s="182"/>
      <c r="EV266" s="182"/>
      <c r="EW266" s="182"/>
      <c r="EX266" s="182"/>
      <c r="EY266" s="182"/>
      <c r="EZ266" s="182"/>
      <c r="FA266" s="182"/>
      <c r="FB266" s="182"/>
      <c r="FC266" s="182"/>
      <c r="FD266" s="182"/>
      <c r="FE266" s="182"/>
      <c r="FF266" s="182"/>
      <c r="FG266" s="182"/>
      <c r="FH266" s="182"/>
      <c r="FI266" s="182"/>
      <c r="FJ266" s="182"/>
      <c r="FK266" s="182"/>
      <c r="FL266" s="182"/>
      <c r="FM266" s="182"/>
      <c r="FN266" s="182"/>
      <c r="FO266" s="182"/>
      <c r="FP266" s="182"/>
      <c r="FQ266" s="182"/>
      <c r="FR266" s="182"/>
      <c r="FS266" s="182"/>
      <c r="FT266" s="182"/>
      <c r="FU266" s="182"/>
      <c r="FV266" s="182"/>
      <c r="FW266" s="182"/>
      <c r="FX266" s="182"/>
      <c r="FY266" s="182"/>
      <c r="FZ266" s="182"/>
      <c r="GA266" s="182"/>
      <c r="GB266" s="182"/>
      <c r="GC266" s="182"/>
      <c r="GD266" s="182"/>
      <c r="GE266" s="182"/>
      <c r="GF266" s="182"/>
      <c r="GG266" s="182"/>
      <c r="GH266" s="182"/>
      <c r="GI266" s="182"/>
    </row>
    <row r="267" spans="1:191" s="183" customFormat="1" x14ac:dyDescent="0.2">
      <c r="A267" s="210" t="s">
        <v>38572</v>
      </c>
      <c r="B267" s="210" t="s">
        <v>19115</v>
      </c>
      <c r="C267" s="224" t="s">
        <v>22372</v>
      </c>
      <c r="D267" s="211" t="s">
        <v>16</v>
      </c>
      <c r="E267" s="211">
        <v>40</v>
      </c>
      <c r="F267" s="211"/>
      <c r="G267" s="211">
        <v>0.3</v>
      </c>
      <c r="H267" s="212"/>
      <c r="I267" s="213"/>
      <c r="J267" s="272">
        <v>608.12</v>
      </c>
      <c r="K267" s="112">
        <f t="shared" si="20"/>
        <v>24324.799999999999</v>
      </c>
      <c r="L267" s="273">
        <f>BDI!$E$17</f>
        <v>0.11260000000000001</v>
      </c>
      <c r="M267" s="213"/>
      <c r="N267" s="213"/>
      <c r="O267" s="114">
        <f t="shared" si="21"/>
        <v>676.59</v>
      </c>
      <c r="P267" s="113">
        <f t="shared" si="22"/>
        <v>8119.08</v>
      </c>
      <c r="Q267" s="209"/>
      <c r="R267" s="203"/>
      <c r="S267" s="182"/>
      <c r="T267" s="182"/>
      <c r="U267" s="182"/>
      <c r="V267" s="182"/>
      <c r="W267" s="182"/>
      <c r="X267" s="182"/>
      <c r="Y267" s="182"/>
      <c r="Z267" s="182"/>
      <c r="AA267" s="182"/>
      <c r="AB267" s="182"/>
      <c r="AC267" s="182"/>
      <c r="AD267" s="182"/>
      <c r="AE267" s="182"/>
      <c r="AF267" s="182"/>
      <c r="AG267" s="182"/>
      <c r="AH267" s="182"/>
      <c r="AI267" s="182"/>
      <c r="AJ267" s="182"/>
      <c r="AK267" s="182"/>
      <c r="AL267" s="182"/>
      <c r="AM267" s="182"/>
      <c r="AN267" s="182"/>
      <c r="AO267" s="182"/>
      <c r="AP267" s="182"/>
      <c r="AQ267" s="182"/>
      <c r="AR267" s="182"/>
      <c r="AS267" s="182"/>
      <c r="AT267" s="182"/>
      <c r="AU267" s="182"/>
      <c r="AV267" s="182"/>
      <c r="AW267" s="182"/>
      <c r="AX267" s="182"/>
      <c r="AY267" s="182"/>
      <c r="AZ267" s="182"/>
      <c r="BA267" s="182"/>
      <c r="BB267" s="182"/>
      <c r="BC267" s="182"/>
      <c r="BD267" s="182"/>
      <c r="BE267" s="182"/>
      <c r="BF267" s="182"/>
      <c r="BG267" s="182"/>
      <c r="BH267" s="182"/>
      <c r="BI267" s="182"/>
      <c r="BJ267" s="182"/>
      <c r="BK267" s="182"/>
      <c r="BL267" s="182"/>
      <c r="BM267" s="182"/>
      <c r="BN267" s="182"/>
      <c r="BO267" s="182"/>
      <c r="BP267" s="182"/>
      <c r="BQ267" s="182"/>
      <c r="BR267" s="182"/>
      <c r="BS267" s="182"/>
      <c r="BT267" s="182"/>
      <c r="BU267" s="182"/>
      <c r="BV267" s="182"/>
      <c r="BW267" s="182"/>
      <c r="BX267" s="182"/>
      <c r="BY267" s="182"/>
      <c r="BZ267" s="182"/>
      <c r="CA267" s="182"/>
      <c r="CB267" s="182"/>
      <c r="CC267" s="182"/>
      <c r="CD267" s="182"/>
      <c r="CE267" s="182"/>
      <c r="CF267" s="182"/>
      <c r="CG267" s="182"/>
      <c r="CH267" s="182"/>
      <c r="CI267" s="182"/>
      <c r="CJ267" s="182"/>
      <c r="CK267" s="182"/>
      <c r="CL267" s="182"/>
      <c r="CM267" s="182"/>
      <c r="CN267" s="182"/>
      <c r="CO267" s="182"/>
      <c r="CP267" s="182"/>
      <c r="CQ267" s="182"/>
      <c r="CR267" s="182"/>
      <c r="CS267" s="182"/>
      <c r="CT267" s="182"/>
      <c r="CU267" s="182"/>
      <c r="CV267" s="182"/>
      <c r="CW267" s="182"/>
      <c r="CX267" s="182"/>
      <c r="CY267" s="182"/>
      <c r="CZ267" s="182"/>
      <c r="DA267" s="182"/>
      <c r="DB267" s="182"/>
      <c r="DC267" s="182"/>
      <c r="DD267" s="182"/>
      <c r="DE267" s="182"/>
      <c r="DF267" s="182"/>
      <c r="DG267" s="182"/>
      <c r="DH267" s="182"/>
      <c r="DI267" s="182"/>
      <c r="DJ267" s="182"/>
      <c r="DK267" s="182"/>
      <c r="DL267" s="182"/>
      <c r="DM267" s="182"/>
      <c r="DN267" s="182"/>
      <c r="DO267" s="182"/>
      <c r="DP267" s="182"/>
      <c r="DQ267" s="182"/>
      <c r="DR267" s="182"/>
      <c r="DS267" s="182"/>
      <c r="DT267" s="182"/>
      <c r="DU267" s="182"/>
      <c r="DV267" s="182"/>
      <c r="DW267" s="182"/>
      <c r="DX267" s="182"/>
      <c r="DY267" s="182"/>
      <c r="DZ267" s="182"/>
      <c r="EA267" s="182"/>
      <c r="EB267" s="182"/>
      <c r="EC267" s="182"/>
      <c r="ED267" s="182"/>
      <c r="EE267" s="182"/>
      <c r="EF267" s="182"/>
      <c r="EG267" s="182"/>
      <c r="EH267" s="182"/>
      <c r="EI267" s="182"/>
      <c r="EJ267" s="182"/>
      <c r="EK267" s="182"/>
      <c r="EL267" s="182"/>
      <c r="EM267" s="182"/>
      <c r="EN267" s="182"/>
      <c r="EO267" s="182"/>
      <c r="EP267" s="182"/>
      <c r="EQ267" s="182"/>
      <c r="ER267" s="182"/>
      <c r="ES267" s="182"/>
      <c r="ET267" s="182"/>
      <c r="EU267" s="182"/>
      <c r="EV267" s="182"/>
      <c r="EW267" s="182"/>
      <c r="EX267" s="182"/>
      <c r="EY267" s="182"/>
      <c r="EZ267" s="182"/>
      <c r="FA267" s="182"/>
      <c r="FB267" s="182"/>
      <c r="FC267" s="182"/>
      <c r="FD267" s="182"/>
      <c r="FE267" s="182"/>
      <c r="FF267" s="182"/>
      <c r="FG267" s="182"/>
      <c r="FH267" s="182"/>
      <c r="FI267" s="182"/>
      <c r="FJ267" s="182"/>
      <c r="FK267" s="182"/>
      <c r="FL267" s="182"/>
      <c r="FM267" s="182"/>
      <c r="FN267" s="182"/>
      <c r="FO267" s="182"/>
      <c r="FP267" s="182"/>
      <c r="FQ267" s="182"/>
      <c r="FR267" s="182"/>
      <c r="FS267" s="182"/>
      <c r="FT267" s="182"/>
      <c r="FU267" s="182"/>
      <c r="FV267" s="182"/>
      <c r="FW267" s="182"/>
      <c r="FX267" s="182"/>
      <c r="FY267" s="182"/>
      <c r="FZ267" s="182"/>
      <c r="GA267" s="182"/>
      <c r="GB267" s="182"/>
      <c r="GC267" s="182"/>
      <c r="GD267" s="182"/>
      <c r="GE267" s="182"/>
      <c r="GF267" s="182"/>
      <c r="GG267" s="182"/>
      <c r="GH267" s="182"/>
      <c r="GI267" s="182"/>
    </row>
    <row r="268" spans="1:191" s="183" customFormat="1" x14ac:dyDescent="0.2">
      <c r="A268" s="210" t="s">
        <v>38573</v>
      </c>
      <c r="B268" s="210" t="s">
        <v>19116</v>
      </c>
      <c r="C268" s="224" t="s">
        <v>22373</v>
      </c>
      <c r="D268" s="211" t="s">
        <v>16</v>
      </c>
      <c r="E268" s="211">
        <v>15</v>
      </c>
      <c r="F268" s="211"/>
      <c r="G268" s="211">
        <v>0.3</v>
      </c>
      <c r="H268" s="212"/>
      <c r="I268" s="213"/>
      <c r="J268" s="272">
        <v>3799.96</v>
      </c>
      <c r="K268" s="112">
        <f t="shared" si="20"/>
        <v>56999.4</v>
      </c>
      <c r="L268" s="273">
        <f>BDI!$E$17</f>
        <v>0.11260000000000001</v>
      </c>
      <c r="M268" s="213"/>
      <c r="N268" s="213"/>
      <c r="O268" s="114">
        <f t="shared" si="21"/>
        <v>4227.84</v>
      </c>
      <c r="P268" s="113">
        <f t="shared" si="22"/>
        <v>19025.28</v>
      </c>
      <c r="Q268" s="209"/>
      <c r="R268" s="203"/>
      <c r="S268" s="182"/>
      <c r="T268" s="182"/>
      <c r="U268" s="182"/>
      <c r="V268" s="182"/>
      <c r="W268" s="182"/>
      <c r="X268" s="182"/>
      <c r="Y268" s="182"/>
      <c r="Z268" s="182"/>
      <c r="AA268" s="182"/>
      <c r="AB268" s="182"/>
      <c r="AC268" s="182"/>
      <c r="AD268" s="182"/>
      <c r="AE268" s="182"/>
      <c r="AF268" s="182"/>
      <c r="AG268" s="182"/>
      <c r="AH268" s="182"/>
      <c r="AI268" s="182"/>
      <c r="AJ268" s="182"/>
      <c r="AK268" s="182"/>
      <c r="AL268" s="182"/>
      <c r="AM268" s="182"/>
      <c r="AN268" s="182"/>
      <c r="AO268" s="182"/>
      <c r="AP268" s="182"/>
      <c r="AQ268" s="182"/>
      <c r="AR268" s="182"/>
      <c r="AS268" s="182"/>
      <c r="AT268" s="182"/>
      <c r="AU268" s="182"/>
      <c r="AV268" s="182"/>
      <c r="AW268" s="182"/>
      <c r="AX268" s="182"/>
      <c r="AY268" s="182"/>
      <c r="AZ268" s="182"/>
      <c r="BA268" s="182"/>
      <c r="BB268" s="182"/>
      <c r="BC268" s="182"/>
      <c r="BD268" s="182"/>
      <c r="BE268" s="182"/>
      <c r="BF268" s="182"/>
      <c r="BG268" s="182"/>
      <c r="BH268" s="182"/>
      <c r="BI268" s="182"/>
      <c r="BJ268" s="182"/>
      <c r="BK268" s="182"/>
      <c r="BL268" s="182"/>
      <c r="BM268" s="182"/>
      <c r="BN268" s="182"/>
      <c r="BO268" s="182"/>
      <c r="BP268" s="182"/>
      <c r="BQ268" s="182"/>
      <c r="BR268" s="182"/>
      <c r="BS268" s="182"/>
      <c r="BT268" s="182"/>
      <c r="BU268" s="182"/>
      <c r="BV268" s="182"/>
      <c r="BW268" s="182"/>
      <c r="BX268" s="182"/>
      <c r="BY268" s="182"/>
      <c r="BZ268" s="182"/>
      <c r="CA268" s="182"/>
      <c r="CB268" s="182"/>
      <c r="CC268" s="182"/>
      <c r="CD268" s="182"/>
      <c r="CE268" s="182"/>
      <c r="CF268" s="182"/>
      <c r="CG268" s="182"/>
      <c r="CH268" s="182"/>
      <c r="CI268" s="182"/>
      <c r="CJ268" s="182"/>
      <c r="CK268" s="182"/>
      <c r="CL268" s="182"/>
      <c r="CM268" s="182"/>
      <c r="CN268" s="182"/>
      <c r="CO268" s="182"/>
      <c r="CP268" s="182"/>
      <c r="CQ268" s="182"/>
      <c r="CR268" s="182"/>
      <c r="CS268" s="182"/>
      <c r="CT268" s="182"/>
      <c r="CU268" s="182"/>
      <c r="CV268" s="182"/>
      <c r="CW268" s="182"/>
      <c r="CX268" s="182"/>
      <c r="CY268" s="182"/>
      <c r="CZ268" s="182"/>
      <c r="DA268" s="182"/>
      <c r="DB268" s="182"/>
      <c r="DC268" s="182"/>
      <c r="DD268" s="182"/>
      <c r="DE268" s="182"/>
      <c r="DF268" s="182"/>
      <c r="DG268" s="182"/>
      <c r="DH268" s="182"/>
      <c r="DI268" s="182"/>
      <c r="DJ268" s="182"/>
      <c r="DK268" s="182"/>
      <c r="DL268" s="182"/>
      <c r="DM268" s="182"/>
      <c r="DN268" s="182"/>
      <c r="DO268" s="182"/>
      <c r="DP268" s="182"/>
      <c r="DQ268" s="182"/>
      <c r="DR268" s="182"/>
      <c r="DS268" s="182"/>
      <c r="DT268" s="182"/>
      <c r="DU268" s="182"/>
      <c r="DV268" s="182"/>
      <c r="DW268" s="182"/>
      <c r="DX268" s="182"/>
      <c r="DY268" s="182"/>
      <c r="DZ268" s="182"/>
      <c r="EA268" s="182"/>
      <c r="EB268" s="182"/>
      <c r="EC268" s="182"/>
      <c r="ED268" s="182"/>
      <c r="EE268" s="182"/>
      <c r="EF268" s="182"/>
      <c r="EG268" s="182"/>
      <c r="EH268" s="182"/>
      <c r="EI268" s="182"/>
      <c r="EJ268" s="182"/>
      <c r="EK268" s="182"/>
      <c r="EL268" s="182"/>
      <c r="EM268" s="182"/>
      <c r="EN268" s="182"/>
      <c r="EO268" s="182"/>
      <c r="EP268" s="182"/>
      <c r="EQ268" s="182"/>
      <c r="ER268" s="182"/>
      <c r="ES268" s="182"/>
      <c r="ET268" s="182"/>
      <c r="EU268" s="182"/>
      <c r="EV268" s="182"/>
      <c r="EW268" s="182"/>
      <c r="EX268" s="182"/>
      <c r="EY268" s="182"/>
      <c r="EZ268" s="182"/>
      <c r="FA268" s="182"/>
      <c r="FB268" s="182"/>
      <c r="FC268" s="182"/>
      <c r="FD268" s="182"/>
      <c r="FE268" s="182"/>
      <c r="FF268" s="182"/>
      <c r="FG268" s="182"/>
      <c r="FH268" s="182"/>
      <c r="FI268" s="182"/>
      <c r="FJ268" s="182"/>
      <c r="FK268" s="182"/>
      <c r="FL268" s="182"/>
      <c r="FM268" s="182"/>
      <c r="FN268" s="182"/>
      <c r="FO268" s="182"/>
      <c r="FP268" s="182"/>
      <c r="FQ268" s="182"/>
      <c r="FR268" s="182"/>
      <c r="FS268" s="182"/>
      <c r="FT268" s="182"/>
      <c r="FU268" s="182"/>
      <c r="FV268" s="182"/>
      <c r="FW268" s="182"/>
      <c r="FX268" s="182"/>
      <c r="FY268" s="182"/>
      <c r="FZ268" s="182"/>
      <c r="GA268" s="182"/>
      <c r="GB268" s="182"/>
      <c r="GC268" s="182"/>
      <c r="GD268" s="182"/>
      <c r="GE268" s="182"/>
      <c r="GF268" s="182"/>
      <c r="GG268" s="182"/>
      <c r="GH268" s="182"/>
      <c r="GI268" s="182"/>
    </row>
    <row r="269" spans="1:191" s="183" customFormat="1" x14ac:dyDescent="0.2">
      <c r="A269" s="210" t="s">
        <v>38574</v>
      </c>
      <c r="B269" s="210" t="s">
        <v>19117</v>
      </c>
      <c r="C269" s="224" t="s">
        <v>22374</v>
      </c>
      <c r="D269" s="211" t="s">
        <v>16</v>
      </c>
      <c r="E269" s="211">
        <v>15</v>
      </c>
      <c r="F269" s="211"/>
      <c r="G269" s="211">
        <v>0.3</v>
      </c>
      <c r="H269" s="212"/>
      <c r="I269" s="213"/>
      <c r="J269" s="272">
        <v>4161.3100000000004</v>
      </c>
      <c r="K269" s="112">
        <f t="shared" si="20"/>
        <v>62419.65</v>
      </c>
      <c r="L269" s="273">
        <f>BDI!$E$17</f>
        <v>0.11260000000000001</v>
      </c>
      <c r="M269" s="213"/>
      <c r="N269" s="213"/>
      <c r="O269" s="114">
        <f t="shared" si="21"/>
        <v>4629.87</v>
      </c>
      <c r="P269" s="113">
        <f t="shared" si="22"/>
        <v>20834.419999999998</v>
      </c>
      <c r="Q269" s="209"/>
      <c r="R269" s="203"/>
      <c r="S269" s="182"/>
      <c r="T269" s="182"/>
      <c r="U269" s="182"/>
      <c r="V269" s="182"/>
      <c r="W269" s="182"/>
      <c r="X269" s="182"/>
      <c r="Y269" s="182"/>
      <c r="Z269" s="182"/>
      <c r="AA269" s="182"/>
      <c r="AB269" s="182"/>
      <c r="AC269" s="182"/>
      <c r="AD269" s="182"/>
      <c r="AE269" s="182"/>
      <c r="AF269" s="182"/>
      <c r="AG269" s="182"/>
      <c r="AH269" s="182"/>
      <c r="AI269" s="182"/>
      <c r="AJ269" s="182"/>
      <c r="AK269" s="182"/>
      <c r="AL269" s="182"/>
      <c r="AM269" s="182"/>
      <c r="AN269" s="182"/>
      <c r="AO269" s="182"/>
      <c r="AP269" s="182"/>
      <c r="AQ269" s="182"/>
      <c r="AR269" s="182"/>
      <c r="AS269" s="182"/>
      <c r="AT269" s="182"/>
      <c r="AU269" s="182"/>
      <c r="AV269" s="182"/>
      <c r="AW269" s="182"/>
      <c r="AX269" s="182"/>
      <c r="AY269" s="182"/>
      <c r="AZ269" s="182"/>
      <c r="BA269" s="182"/>
      <c r="BB269" s="182"/>
      <c r="BC269" s="182"/>
      <c r="BD269" s="182"/>
      <c r="BE269" s="182"/>
      <c r="BF269" s="182"/>
      <c r="BG269" s="182"/>
      <c r="BH269" s="182"/>
      <c r="BI269" s="182"/>
      <c r="BJ269" s="182"/>
      <c r="BK269" s="182"/>
      <c r="BL269" s="182"/>
      <c r="BM269" s="182"/>
      <c r="BN269" s="182"/>
      <c r="BO269" s="182"/>
      <c r="BP269" s="182"/>
      <c r="BQ269" s="182"/>
      <c r="BR269" s="182"/>
      <c r="BS269" s="182"/>
      <c r="BT269" s="182"/>
      <c r="BU269" s="182"/>
      <c r="BV269" s="182"/>
      <c r="BW269" s="182"/>
      <c r="BX269" s="182"/>
      <c r="BY269" s="182"/>
      <c r="BZ269" s="182"/>
      <c r="CA269" s="182"/>
      <c r="CB269" s="182"/>
      <c r="CC269" s="182"/>
      <c r="CD269" s="182"/>
      <c r="CE269" s="182"/>
      <c r="CF269" s="182"/>
      <c r="CG269" s="182"/>
      <c r="CH269" s="182"/>
      <c r="CI269" s="182"/>
      <c r="CJ269" s="182"/>
      <c r="CK269" s="182"/>
      <c r="CL269" s="182"/>
      <c r="CM269" s="182"/>
      <c r="CN269" s="182"/>
      <c r="CO269" s="182"/>
      <c r="CP269" s="182"/>
      <c r="CQ269" s="182"/>
      <c r="CR269" s="182"/>
      <c r="CS269" s="182"/>
      <c r="CT269" s="182"/>
      <c r="CU269" s="182"/>
      <c r="CV269" s="182"/>
      <c r="CW269" s="182"/>
      <c r="CX269" s="182"/>
      <c r="CY269" s="182"/>
      <c r="CZ269" s="182"/>
      <c r="DA269" s="182"/>
      <c r="DB269" s="182"/>
      <c r="DC269" s="182"/>
      <c r="DD269" s="182"/>
      <c r="DE269" s="182"/>
      <c r="DF269" s="182"/>
      <c r="DG269" s="182"/>
      <c r="DH269" s="182"/>
      <c r="DI269" s="182"/>
      <c r="DJ269" s="182"/>
      <c r="DK269" s="182"/>
      <c r="DL269" s="182"/>
      <c r="DM269" s="182"/>
      <c r="DN269" s="182"/>
      <c r="DO269" s="182"/>
      <c r="DP269" s="182"/>
      <c r="DQ269" s="182"/>
      <c r="DR269" s="182"/>
      <c r="DS269" s="182"/>
      <c r="DT269" s="182"/>
      <c r="DU269" s="182"/>
      <c r="DV269" s="182"/>
      <c r="DW269" s="182"/>
      <c r="DX269" s="182"/>
      <c r="DY269" s="182"/>
      <c r="DZ269" s="182"/>
      <c r="EA269" s="182"/>
      <c r="EB269" s="182"/>
      <c r="EC269" s="182"/>
      <c r="ED269" s="182"/>
      <c r="EE269" s="182"/>
      <c r="EF269" s="182"/>
      <c r="EG269" s="182"/>
      <c r="EH269" s="182"/>
      <c r="EI269" s="182"/>
      <c r="EJ269" s="182"/>
      <c r="EK269" s="182"/>
      <c r="EL269" s="182"/>
      <c r="EM269" s="182"/>
      <c r="EN269" s="182"/>
      <c r="EO269" s="182"/>
      <c r="EP269" s="182"/>
      <c r="EQ269" s="182"/>
      <c r="ER269" s="182"/>
      <c r="ES269" s="182"/>
      <c r="ET269" s="182"/>
      <c r="EU269" s="182"/>
      <c r="EV269" s="182"/>
      <c r="EW269" s="182"/>
      <c r="EX269" s="182"/>
      <c r="EY269" s="182"/>
      <c r="EZ269" s="182"/>
      <c r="FA269" s="182"/>
      <c r="FB269" s="182"/>
      <c r="FC269" s="182"/>
      <c r="FD269" s="182"/>
      <c r="FE269" s="182"/>
      <c r="FF269" s="182"/>
      <c r="FG269" s="182"/>
      <c r="FH269" s="182"/>
      <c r="FI269" s="182"/>
      <c r="FJ269" s="182"/>
      <c r="FK269" s="182"/>
      <c r="FL269" s="182"/>
      <c r="FM269" s="182"/>
      <c r="FN269" s="182"/>
      <c r="FO269" s="182"/>
      <c r="FP269" s="182"/>
      <c r="FQ269" s="182"/>
      <c r="FR269" s="182"/>
      <c r="FS269" s="182"/>
      <c r="FT269" s="182"/>
      <c r="FU269" s="182"/>
      <c r="FV269" s="182"/>
      <c r="FW269" s="182"/>
      <c r="FX269" s="182"/>
      <c r="FY269" s="182"/>
      <c r="FZ269" s="182"/>
      <c r="GA269" s="182"/>
      <c r="GB269" s="182"/>
      <c r="GC269" s="182"/>
      <c r="GD269" s="182"/>
      <c r="GE269" s="182"/>
      <c r="GF269" s="182"/>
      <c r="GG269" s="182"/>
      <c r="GH269" s="182"/>
      <c r="GI269" s="182"/>
    </row>
    <row r="270" spans="1:191" s="183" customFormat="1" x14ac:dyDescent="0.2">
      <c r="A270" s="210" t="s">
        <v>38575</v>
      </c>
      <c r="B270" s="210" t="s">
        <v>19118</v>
      </c>
      <c r="C270" s="224" t="s">
        <v>22375</v>
      </c>
      <c r="D270" s="211" t="s">
        <v>16</v>
      </c>
      <c r="E270" s="211">
        <v>30</v>
      </c>
      <c r="F270" s="211"/>
      <c r="G270" s="211">
        <v>0.3</v>
      </c>
      <c r="H270" s="212"/>
      <c r="I270" s="213"/>
      <c r="J270" s="272">
        <v>834.81</v>
      </c>
      <c r="K270" s="112">
        <f t="shared" si="20"/>
        <v>25044.3</v>
      </c>
      <c r="L270" s="273">
        <f>BDI!$E$17</f>
        <v>0.11260000000000001</v>
      </c>
      <c r="M270" s="213"/>
      <c r="N270" s="213"/>
      <c r="O270" s="114">
        <f t="shared" si="21"/>
        <v>928.81</v>
      </c>
      <c r="P270" s="113">
        <f t="shared" si="22"/>
        <v>8359.2900000000009</v>
      </c>
      <c r="Q270" s="209"/>
      <c r="R270" s="203"/>
      <c r="S270" s="182"/>
      <c r="T270" s="182"/>
      <c r="U270" s="182"/>
      <c r="V270" s="182"/>
      <c r="W270" s="182"/>
      <c r="X270" s="182"/>
      <c r="Y270" s="182"/>
      <c r="Z270" s="182"/>
      <c r="AA270" s="182"/>
      <c r="AB270" s="182"/>
      <c r="AC270" s="182"/>
      <c r="AD270" s="182"/>
      <c r="AE270" s="182"/>
      <c r="AF270" s="182"/>
      <c r="AG270" s="182"/>
      <c r="AH270" s="182"/>
      <c r="AI270" s="182"/>
      <c r="AJ270" s="182"/>
      <c r="AK270" s="182"/>
      <c r="AL270" s="182"/>
      <c r="AM270" s="182"/>
      <c r="AN270" s="182"/>
      <c r="AO270" s="182"/>
      <c r="AP270" s="182"/>
      <c r="AQ270" s="182"/>
      <c r="AR270" s="182"/>
      <c r="AS270" s="182"/>
      <c r="AT270" s="182"/>
      <c r="AU270" s="182"/>
      <c r="AV270" s="182"/>
      <c r="AW270" s="182"/>
      <c r="AX270" s="182"/>
      <c r="AY270" s="182"/>
      <c r="AZ270" s="182"/>
      <c r="BA270" s="182"/>
      <c r="BB270" s="182"/>
      <c r="BC270" s="182"/>
      <c r="BD270" s="182"/>
      <c r="BE270" s="182"/>
      <c r="BF270" s="182"/>
      <c r="BG270" s="182"/>
      <c r="BH270" s="182"/>
      <c r="BI270" s="182"/>
      <c r="BJ270" s="182"/>
      <c r="BK270" s="182"/>
      <c r="BL270" s="182"/>
      <c r="BM270" s="182"/>
      <c r="BN270" s="182"/>
      <c r="BO270" s="182"/>
      <c r="BP270" s="182"/>
      <c r="BQ270" s="182"/>
      <c r="BR270" s="182"/>
      <c r="BS270" s="182"/>
      <c r="BT270" s="182"/>
      <c r="BU270" s="182"/>
      <c r="BV270" s="182"/>
      <c r="BW270" s="182"/>
      <c r="BX270" s="182"/>
      <c r="BY270" s="182"/>
      <c r="BZ270" s="182"/>
      <c r="CA270" s="182"/>
      <c r="CB270" s="182"/>
      <c r="CC270" s="182"/>
      <c r="CD270" s="182"/>
      <c r="CE270" s="182"/>
      <c r="CF270" s="182"/>
      <c r="CG270" s="182"/>
      <c r="CH270" s="182"/>
      <c r="CI270" s="182"/>
      <c r="CJ270" s="182"/>
      <c r="CK270" s="182"/>
      <c r="CL270" s="182"/>
      <c r="CM270" s="182"/>
      <c r="CN270" s="182"/>
      <c r="CO270" s="182"/>
      <c r="CP270" s="182"/>
      <c r="CQ270" s="182"/>
      <c r="CR270" s="182"/>
      <c r="CS270" s="182"/>
      <c r="CT270" s="182"/>
      <c r="CU270" s="182"/>
      <c r="CV270" s="182"/>
      <c r="CW270" s="182"/>
      <c r="CX270" s="182"/>
      <c r="CY270" s="182"/>
      <c r="CZ270" s="182"/>
      <c r="DA270" s="182"/>
      <c r="DB270" s="182"/>
      <c r="DC270" s="182"/>
      <c r="DD270" s="182"/>
      <c r="DE270" s="182"/>
      <c r="DF270" s="182"/>
      <c r="DG270" s="182"/>
      <c r="DH270" s="182"/>
      <c r="DI270" s="182"/>
      <c r="DJ270" s="182"/>
      <c r="DK270" s="182"/>
      <c r="DL270" s="182"/>
      <c r="DM270" s="182"/>
      <c r="DN270" s="182"/>
      <c r="DO270" s="182"/>
      <c r="DP270" s="182"/>
      <c r="DQ270" s="182"/>
      <c r="DR270" s="182"/>
      <c r="DS270" s="182"/>
      <c r="DT270" s="182"/>
      <c r="DU270" s="182"/>
      <c r="DV270" s="182"/>
      <c r="DW270" s="182"/>
      <c r="DX270" s="182"/>
      <c r="DY270" s="182"/>
      <c r="DZ270" s="182"/>
      <c r="EA270" s="182"/>
      <c r="EB270" s="182"/>
      <c r="EC270" s="182"/>
      <c r="ED270" s="182"/>
      <c r="EE270" s="182"/>
      <c r="EF270" s="182"/>
      <c r="EG270" s="182"/>
      <c r="EH270" s="182"/>
      <c r="EI270" s="182"/>
      <c r="EJ270" s="182"/>
      <c r="EK270" s="182"/>
      <c r="EL270" s="182"/>
      <c r="EM270" s="182"/>
      <c r="EN270" s="182"/>
      <c r="EO270" s="182"/>
      <c r="EP270" s="182"/>
      <c r="EQ270" s="182"/>
      <c r="ER270" s="182"/>
      <c r="ES270" s="182"/>
      <c r="ET270" s="182"/>
      <c r="EU270" s="182"/>
      <c r="EV270" s="182"/>
      <c r="EW270" s="182"/>
      <c r="EX270" s="182"/>
      <c r="EY270" s="182"/>
      <c r="EZ270" s="182"/>
      <c r="FA270" s="182"/>
      <c r="FB270" s="182"/>
      <c r="FC270" s="182"/>
      <c r="FD270" s="182"/>
      <c r="FE270" s="182"/>
      <c r="FF270" s="182"/>
      <c r="FG270" s="182"/>
      <c r="FH270" s="182"/>
      <c r="FI270" s="182"/>
      <c r="FJ270" s="182"/>
      <c r="FK270" s="182"/>
      <c r="FL270" s="182"/>
      <c r="FM270" s="182"/>
      <c r="FN270" s="182"/>
      <c r="FO270" s="182"/>
      <c r="FP270" s="182"/>
      <c r="FQ270" s="182"/>
      <c r="FR270" s="182"/>
      <c r="FS270" s="182"/>
      <c r="FT270" s="182"/>
      <c r="FU270" s="182"/>
      <c r="FV270" s="182"/>
      <c r="FW270" s="182"/>
      <c r="FX270" s="182"/>
      <c r="FY270" s="182"/>
      <c r="FZ270" s="182"/>
      <c r="GA270" s="182"/>
      <c r="GB270" s="182"/>
      <c r="GC270" s="182"/>
      <c r="GD270" s="182"/>
      <c r="GE270" s="182"/>
      <c r="GF270" s="182"/>
      <c r="GG270" s="182"/>
      <c r="GH270" s="182"/>
      <c r="GI270" s="182"/>
    </row>
    <row r="271" spans="1:191" s="183" customFormat="1" x14ac:dyDescent="0.2">
      <c r="A271" s="210" t="s">
        <v>38576</v>
      </c>
      <c r="B271" s="210" t="s">
        <v>19119</v>
      </c>
      <c r="C271" s="224" t="s">
        <v>22376</v>
      </c>
      <c r="D271" s="211" t="s">
        <v>16</v>
      </c>
      <c r="E271" s="211">
        <v>60</v>
      </c>
      <c r="F271" s="211"/>
      <c r="G271" s="211">
        <v>0.3</v>
      </c>
      <c r="H271" s="212"/>
      <c r="I271" s="213"/>
      <c r="J271" s="272">
        <v>29.77</v>
      </c>
      <c r="K271" s="112">
        <f t="shared" si="20"/>
        <v>1786.2</v>
      </c>
      <c r="L271" s="273">
        <f>BDI!$E$17</f>
        <v>0.11260000000000001</v>
      </c>
      <c r="M271" s="213"/>
      <c r="N271" s="213"/>
      <c r="O271" s="114">
        <f t="shared" si="21"/>
        <v>33.119999999999997</v>
      </c>
      <c r="P271" s="113">
        <f t="shared" si="22"/>
        <v>596.16</v>
      </c>
      <c r="Q271" s="209"/>
      <c r="R271" s="203"/>
      <c r="S271" s="182"/>
      <c r="T271" s="182"/>
      <c r="U271" s="182"/>
      <c r="V271" s="182"/>
      <c r="W271" s="182"/>
      <c r="X271" s="182"/>
      <c r="Y271" s="182"/>
      <c r="Z271" s="182"/>
      <c r="AA271" s="182"/>
      <c r="AB271" s="182"/>
      <c r="AC271" s="182"/>
      <c r="AD271" s="182"/>
      <c r="AE271" s="182"/>
      <c r="AF271" s="182"/>
      <c r="AG271" s="182"/>
      <c r="AH271" s="182"/>
      <c r="AI271" s="182"/>
      <c r="AJ271" s="182"/>
      <c r="AK271" s="182"/>
      <c r="AL271" s="182"/>
      <c r="AM271" s="182"/>
      <c r="AN271" s="182"/>
      <c r="AO271" s="182"/>
      <c r="AP271" s="182"/>
      <c r="AQ271" s="182"/>
      <c r="AR271" s="182"/>
      <c r="AS271" s="182"/>
      <c r="AT271" s="182"/>
      <c r="AU271" s="182"/>
      <c r="AV271" s="182"/>
      <c r="AW271" s="182"/>
      <c r="AX271" s="182"/>
      <c r="AY271" s="182"/>
      <c r="AZ271" s="182"/>
      <c r="BA271" s="182"/>
      <c r="BB271" s="182"/>
      <c r="BC271" s="182"/>
      <c r="BD271" s="182"/>
      <c r="BE271" s="182"/>
      <c r="BF271" s="182"/>
      <c r="BG271" s="182"/>
      <c r="BH271" s="182"/>
      <c r="BI271" s="182"/>
      <c r="BJ271" s="182"/>
      <c r="BK271" s="182"/>
      <c r="BL271" s="182"/>
      <c r="BM271" s="182"/>
      <c r="BN271" s="182"/>
      <c r="BO271" s="182"/>
      <c r="BP271" s="182"/>
      <c r="BQ271" s="182"/>
      <c r="BR271" s="182"/>
      <c r="BS271" s="182"/>
      <c r="BT271" s="182"/>
      <c r="BU271" s="182"/>
      <c r="BV271" s="182"/>
      <c r="BW271" s="182"/>
      <c r="BX271" s="182"/>
      <c r="BY271" s="182"/>
      <c r="BZ271" s="182"/>
      <c r="CA271" s="182"/>
      <c r="CB271" s="182"/>
      <c r="CC271" s="182"/>
      <c r="CD271" s="182"/>
      <c r="CE271" s="182"/>
      <c r="CF271" s="182"/>
      <c r="CG271" s="182"/>
      <c r="CH271" s="182"/>
      <c r="CI271" s="182"/>
      <c r="CJ271" s="182"/>
      <c r="CK271" s="182"/>
      <c r="CL271" s="182"/>
      <c r="CM271" s="182"/>
      <c r="CN271" s="182"/>
      <c r="CO271" s="182"/>
      <c r="CP271" s="182"/>
      <c r="CQ271" s="182"/>
      <c r="CR271" s="182"/>
      <c r="CS271" s="182"/>
      <c r="CT271" s="182"/>
      <c r="CU271" s="182"/>
      <c r="CV271" s="182"/>
      <c r="CW271" s="182"/>
      <c r="CX271" s="182"/>
      <c r="CY271" s="182"/>
      <c r="CZ271" s="182"/>
      <c r="DA271" s="182"/>
      <c r="DB271" s="182"/>
      <c r="DC271" s="182"/>
      <c r="DD271" s="182"/>
      <c r="DE271" s="182"/>
      <c r="DF271" s="182"/>
      <c r="DG271" s="182"/>
      <c r="DH271" s="182"/>
      <c r="DI271" s="182"/>
      <c r="DJ271" s="182"/>
      <c r="DK271" s="182"/>
      <c r="DL271" s="182"/>
      <c r="DM271" s="182"/>
      <c r="DN271" s="182"/>
      <c r="DO271" s="182"/>
      <c r="DP271" s="182"/>
      <c r="DQ271" s="182"/>
      <c r="DR271" s="182"/>
      <c r="DS271" s="182"/>
      <c r="DT271" s="182"/>
      <c r="DU271" s="182"/>
      <c r="DV271" s="182"/>
      <c r="DW271" s="182"/>
      <c r="DX271" s="182"/>
      <c r="DY271" s="182"/>
      <c r="DZ271" s="182"/>
      <c r="EA271" s="182"/>
      <c r="EB271" s="182"/>
      <c r="EC271" s="182"/>
      <c r="ED271" s="182"/>
      <c r="EE271" s="182"/>
      <c r="EF271" s="182"/>
      <c r="EG271" s="182"/>
      <c r="EH271" s="182"/>
      <c r="EI271" s="182"/>
      <c r="EJ271" s="182"/>
      <c r="EK271" s="182"/>
      <c r="EL271" s="182"/>
      <c r="EM271" s="182"/>
      <c r="EN271" s="182"/>
      <c r="EO271" s="182"/>
      <c r="EP271" s="182"/>
      <c r="EQ271" s="182"/>
      <c r="ER271" s="182"/>
      <c r="ES271" s="182"/>
      <c r="ET271" s="182"/>
      <c r="EU271" s="182"/>
      <c r="EV271" s="182"/>
      <c r="EW271" s="182"/>
      <c r="EX271" s="182"/>
      <c r="EY271" s="182"/>
      <c r="EZ271" s="182"/>
      <c r="FA271" s="182"/>
      <c r="FB271" s="182"/>
      <c r="FC271" s="182"/>
      <c r="FD271" s="182"/>
      <c r="FE271" s="182"/>
      <c r="FF271" s="182"/>
      <c r="FG271" s="182"/>
      <c r="FH271" s="182"/>
      <c r="FI271" s="182"/>
      <c r="FJ271" s="182"/>
      <c r="FK271" s="182"/>
      <c r="FL271" s="182"/>
      <c r="FM271" s="182"/>
      <c r="FN271" s="182"/>
      <c r="FO271" s="182"/>
      <c r="FP271" s="182"/>
      <c r="FQ271" s="182"/>
      <c r="FR271" s="182"/>
      <c r="FS271" s="182"/>
      <c r="FT271" s="182"/>
      <c r="FU271" s="182"/>
      <c r="FV271" s="182"/>
      <c r="FW271" s="182"/>
      <c r="FX271" s="182"/>
      <c r="FY271" s="182"/>
      <c r="FZ271" s="182"/>
      <c r="GA271" s="182"/>
      <c r="GB271" s="182"/>
      <c r="GC271" s="182"/>
      <c r="GD271" s="182"/>
      <c r="GE271" s="182"/>
      <c r="GF271" s="182"/>
      <c r="GG271" s="182"/>
      <c r="GH271" s="182"/>
      <c r="GI271" s="182"/>
    </row>
    <row r="272" spans="1:191" s="183" customFormat="1" x14ac:dyDescent="0.2">
      <c r="A272" s="210" t="s">
        <v>38577</v>
      </c>
      <c r="B272" s="210" t="s">
        <v>19120</v>
      </c>
      <c r="C272" s="224" t="s">
        <v>22377</v>
      </c>
      <c r="D272" s="211" t="s">
        <v>16</v>
      </c>
      <c r="E272" s="211">
        <v>120</v>
      </c>
      <c r="F272" s="211"/>
      <c r="G272" s="211">
        <v>0.3</v>
      </c>
      <c r="H272" s="212"/>
      <c r="I272" s="213"/>
      <c r="J272" s="272">
        <v>34.369999999999997</v>
      </c>
      <c r="K272" s="112">
        <f t="shared" si="20"/>
        <v>4124.3999999999996</v>
      </c>
      <c r="L272" s="273">
        <f>BDI!$E$17</f>
        <v>0.11260000000000001</v>
      </c>
      <c r="M272" s="213"/>
      <c r="N272" s="213"/>
      <c r="O272" s="114">
        <f t="shared" si="21"/>
        <v>38.24</v>
      </c>
      <c r="P272" s="113">
        <f t="shared" si="22"/>
        <v>1376.64</v>
      </c>
      <c r="Q272" s="209"/>
      <c r="R272" s="203"/>
      <c r="S272" s="182"/>
      <c r="T272" s="182"/>
      <c r="U272" s="182"/>
      <c r="V272" s="182"/>
      <c r="W272" s="182"/>
      <c r="X272" s="182"/>
      <c r="Y272" s="182"/>
      <c r="Z272" s="182"/>
      <c r="AA272" s="182"/>
      <c r="AB272" s="182"/>
      <c r="AC272" s="182"/>
      <c r="AD272" s="182"/>
      <c r="AE272" s="182"/>
      <c r="AF272" s="182"/>
      <c r="AG272" s="182"/>
      <c r="AH272" s="182"/>
      <c r="AI272" s="182"/>
      <c r="AJ272" s="182"/>
      <c r="AK272" s="182"/>
      <c r="AL272" s="182"/>
      <c r="AM272" s="182"/>
      <c r="AN272" s="182"/>
      <c r="AO272" s="182"/>
      <c r="AP272" s="182"/>
      <c r="AQ272" s="182"/>
      <c r="AR272" s="182"/>
      <c r="AS272" s="182"/>
      <c r="AT272" s="182"/>
      <c r="AU272" s="182"/>
      <c r="AV272" s="182"/>
      <c r="AW272" s="182"/>
      <c r="AX272" s="182"/>
      <c r="AY272" s="182"/>
      <c r="AZ272" s="182"/>
      <c r="BA272" s="182"/>
      <c r="BB272" s="182"/>
      <c r="BC272" s="182"/>
      <c r="BD272" s="182"/>
      <c r="BE272" s="182"/>
      <c r="BF272" s="182"/>
      <c r="BG272" s="182"/>
      <c r="BH272" s="182"/>
      <c r="BI272" s="182"/>
      <c r="BJ272" s="182"/>
      <c r="BK272" s="182"/>
      <c r="BL272" s="182"/>
      <c r="BM272" s="182"/>
      <c r="BN272" s="182"/>
      <c r="BO272" s="182"/>
      <c r="BP272" s="182"/>
      <c r="BQ272" s="182"/>
      <c r="BR272" s="182"/>
      <c r="BS272" s="182"/>
      <c r="BT272" s="182"/>
      <c r="BU272" s="182"/>
      <c r="BV272" s="182"/>
      <c r="BW272" s="182"/>
      <c r="BX272" s="182"/>
      <c r="BY272" s="182"/>
      <c r="BZ272" s="182"/>
      <c r="CA272" s="182"/>
      <c r="CB272" s="182"/>
      <c r="CC272" s="182"/>
      <c r="CD272" s="182"/>
      <c r="CE272" s="182"/>
      <c r="CF272" s="182"/>
      <c r="CG272" s="182"/>
      <c r="CH272" s="182"/>
      <c r="CI272" s="182"/>
      <c r="CJ272" s="182"/>
      <c r="CK272" s="182"/>
      <c r="CL272" s="182"/>
      <c r="CM272" s="182"/>
      <c r="CN272" s="182"/>
      <c r="CO272" s="182"/>
      <c r="CP272" s="182"/>
      <c r="CQ272" s="182"/>
      <c r="CR272" s="182"/>
      <c r="CS272" s="182"/>
      <c r="CT272" s="182"/>
      <c r="CU272" s="182"/>
      <c r="CV272" s="182"/>
      <c r="CW272" s="182"/>
      <c r="CX272" s="182"/>
      <c r="CY272" s="182"/>
      <c r="CZ272" s="182"/>
      <c r="DA272" s="182"/>
      <c r="DB272" s="182"/>
      <c r="DC272" s="182"/>
      <c r="DD272" s="182"/>
      <c r="DE272" s="182"/>
      <c r="DF272" s="182"/>
      <c r="DG272" s="182"/>
      <c r="DH272" s="182"/>
      <c r="DI272" s="182"/>
      <c r="DJ272" s="182"/>
      <c r="DK272" s="182"/>
      <c r="DL272" s="182"/>
      <c r="DM272" s="182"/>
      <c r="DN272" s="182"/>
      <c r="DO272" s="182"/>
      <c r="DP272" s="182"/>
      <c r="DQ272" s="182"/>
      <c r="DR272" s="182"/>
      <c r="DS272" s="182"/>
      <c r="DT272" s="182"/>
      <c r="DU272" s="182"/>
      <c r="DV272" s="182"/>
      <c r="DW272" s="182"/>
      <c r="DX272" s="182"/>
      <c r="DY272" s="182"/>
      <c r="DZ272" s="182"/>
      <c r="EA272" s="182"/>
      <c r="EB272" s="182"/>
      <c r="EC272" s="182"/>
      <c r="ED272" s="182"/>
      <c r="EE272" s="182"/>
      <c r="EF272" s="182"/>
      <c r="EG272" s="182"/>
      <c r="EH272" s="182"/>
      <c r="EI272" s="182"/>
      <c r="EJ272" s="182"/>
      <c r="EK272" s="182"/>
      <c r="EL272" s="182"/>
      <c r="EM272" s="182"/>
      <c r="EN272" s="182"/>
      <c r="EO272" s="182"/>
      <c r="EP272" s="182"/>
      <c r="EQ272" s="182"/>
      <c r="ER272" s="182"/>
      <c r="ES272" s="182"/>
      <c r="ET272" s="182"/>
      <c r="EU272" s="182"/>
      <c r="EV272" s="182"/>
      <c r="EW272" s="182"/>
      <c r="EX272" s="182"/>
      <c r="EY272" s="182"/>
      <c r="EZ272" s="182"/>
      <c r="FA272" s="182"/>
      <c r="FB272" s="182"/>
      <c r="FC272" s="182"/>
      <c r="FD272" s="182"/>
      <c r="FE272" s="182"/>
      <c r="FF272" s="182"/>
      <c r="FG272" s="182"/>
      <c r="FH272" s="182"/>
      <c r="FI272" s="182"/>
      <c r="FJ272" s="182"/>
      <c r="FK272" s="182"/>
      <c r="FL272" s="182"/>
      <c r="FM272" s="182"/>
      <c r="FN272" s="182"/>
      <c r="FO272" s="182"/>
      <c r="FP272" s="182"/>
      <c r="FQ272" s="182"/>
      <c r="FR272" s="182"/>
      <c r="FS272" s="182"/>
      <c r="FT272" s="182"/>
      <c r="FU272" s="182"/>
      <c r="FV272" s="182"/>
      <c r="FW272" s="182"/>
      <c r="FX272" s="182"/>
      <c r="FY272" s="182"/>
      <c r="FZ272" s="182"/>
      <c r="GA272" s="182"/>
      <c r="GB272" s="182"/>
      <c r="GC272" s="182"/>
      <c r="GD272" s="182"/>
      <c r="GE272" s="182"/>
      <c r="GF272" s="182"/>
      <c r="GG272" s="182"/>
      <c r="GH272" s="182"/>
      <c r="GI272" s="182"/>
    </row>
    <row r="273" spans="1:191" s="183" customFormat="1" x14ac:dyDescent="0.2">
      <c r="A273" s="210" t="s">
        <v>38578</v>
      </c>
      <c r="B273" s="210" t="s">
        <v>19121</v>
      </c>
      <c r="C273" s="224" t="s">
        <v>22378</v>
      </c>
      <c r="D273" s="211" t="s">
        <v>16</v>
      </c>
      <c r="E273" s="211">
        <v>60</v>
      </c>
      <c r="F273" s="211"/>
      <c r="G273" s="211">
        <v>0.3</v>
      </c>
      <c r="H273" s="212"/>
      <c r="I273" s="213"/>
      <c r="J273" s="272">
        <v>46.4</v>
      </c>
      <c r="K273" s="112">
        <f t="shared" si="20"/>
        <v>2784</v>
      </c>
      <c r="L273" s="273">
        <f>BDI!$E$17</f>
        <v>0.11260000000000001</v>
      </c>
      <c r="M273" s="213"/>
      <c r="N273" s="213"/>
      <c r="O273" s="114">
        <f t="shared" si="21"/>
        <v>51.62</v>
      </c>
      <c r="P273" s="113">
        <f t="shared" si="22"/>
        <v>929.16</v>
      </c>
      <c r="Q273" s="209"/>
      <c r="R273" s="203"/>
      <c r="S273" s="182"/>
      <c r="T273" s="182"/>
      <c r="U273" s="182"/>
      <c r="V273" s="182"/>
      <c r="W273" s="182"/>
      <c r="X273" s="182"/>
      <c r="Y273" s="182"/>
      <c r="Z273" s="182"/>
      <c r="AA273" s="182"/>
      <c r="AB273" s="182"/>
      <c r="AC273" s="182"/>
      <c r="AD273" s="182"/>
      <c r="AE273" s="182"/>
      <c r="AF273" s="182"/>
      <c r="AG273" s="182"/>
      <c r="AH273" s="182"/>
      <c r="AI273" s="182"/>
      <c r="AJ273" s="182"/>
      <c r="AK273" s="182"/>
      <c r="AL273" s="182"/>
      <c r="AM273" s="182"/>
      <c r="AN273" s="182"/>
      <c r="AO273" s="182"/>
      <c r="AP273" s="182"/>
      <c r="AQ273" s="182"/>
      <c r="AR273" s="182"/>
      <c r="AS273" s="182"/>
      <c r="AT273" s="182"/>
      <c r="AU273" s="182"/>
      <c r="AV273" s="182"/>
      <c r="AW273" s="182"/>
      <c r="AX273" s="182"/>
      <c r="AY273" s="182"/>
      <c r="AZ273" s="182"/>
      <c r="BA273" s="182"/>
      <c r="BB273" s="182"/>
      <c r="BC273" s="182"/>
      <c r="BD273" s="182"/>
      <c r="BE273" s="182"/>
      <c r="BF273" s="182"/>
      <c r="BG273" s="182"/>
      <c r="BH273" s="182"/>
      <c r="BI273" s="182"/>
      <c r="BJ273" s="182"/>
      <c r="BK273" s="182"/>
      <c r="BL273" s="182"/>
      <c r="BM273" s="182"/>
      <c r="BN273" s="182"/>
      <c r="BO273" s="182"/>
      <c r="BP273" s="182"/>
      <c r="BQ273" s="182"/>
      <c r="BR273" s="182"/>
      <c r="BS273" s="182"/>
      <c r="BT273" s="182"/>
      <c r="BU273" s="182"/>
      <c r="BV273" s="182"/>
      <c r="BW273" s="182"/>
      <c r="BX273" s="182"/>
      <c r="BY273" s="182"/>
      <c r="BZ273" s="182"/>
      <c r="CA273" s="182"/>
      <c r="CB273" s="182"/>
      <c r="CC273" s="182"/>
      <c r="CD273" s="182"/>
      <c r="CE273" s="182"/>
      <c r="CF273" s="182"/>
      <c r="CG273" s="182"/>
      <c r="CH273" s="182"/>
      <c r="CI273" s="182"/>
      <c r="CJ273" s="182"/>
      <c r="CK273" s="182"/>
      <c r="CL273" s="182"/>
      <c r="CM273" s="182"/>
      <c r="CN273" s="182"/>
      <c r="CO273" s="182"/>
      <c r="CP273" s="182"/>
      <c r="CQ273" s="182"/>
      <c r="CR273" s="182"/>
      <c r="CS273" s="182"/>
      <c r="CT273" s="182"/>
      <c r="CU273" s="182"/>
      <c r="CV273" s="182"/>
      <c r="CW273" s="182"/>
      <c r="CX273" s="182"/>
      <c r="CY273" s="182"/>
      <c r="CZ273" s="182"/>
      <c r="DA273" s="182"/>
      <c r="DB273" s="182"/>
      <c r="DC273" s="182"/>
      <c r="DD273" s="182"/>
      <c r="DE273" s="182"/>
      <c r="DF273" s="182"/>
      <c r="DG273" s="182"/>
      <c r="DH273" s="182"/>
      <c r="DI273" s="182"/>
      <c r="DJ273" s="182"/>
      <c r="DK273" s="182"/>
      <c r="DL273" s="182"/>
      <c r="DM273" s="182"/>
      <c r="DN273" s="182"/>
      <c r="DO273" s="182"/>
      <c r="DP273" s="182"/>
      <c r="DQ273" s="182"/>
      <c r="DR273" s="182"/>
      <c r="DS273" s="182"/>
      <c r="DT273" s="182"/>
      <c r="DU273" s="182"/>
      <c r="DV273" s="182"/>
      <c r="DW273" s="182"/>
      <c r="DX273" s="182"/>
      <c r="DY273" s="182"/>
      <c r="DZ273" s="182"/>
      <c r="EA273" s="182"/>
      <c r="EB273" s="182"/>
      <c r="EC273" s="182"/>
      <c r="ED273" s="182"/>
      <c r="EE273" s="182"/>
      <c r="EF273" s="182"/>
      <c r="EG273" s="182"/>
      <c r="EH273" s="182"/>
      <c r="EI273" s="182"/>
      <c r="EJ273" s="182"/>
      <c r="EK273" s="182"/>
      <c r="EL273" s="182"/>
      <c r="EM273" s="182"/>
      <c r="EN273" s="182"/>
      <c r="EO273" s="182"/>
      <c r="EP273" s="182"/>
      <c r="EQ273" s="182"/>
      <c r="ER273" s="182"/>
      <c r="ES273" s="182"/>
      <c r="ET273" s="182"/>
      <c r="EU273" s="182"/>
      <c r="EV273" s="182"/>
      <c r="EW273" s="182"/>
      <c r="EX273" s="182"/>
      <c r="EY273" s="182"/>
      <c r="EZ273" s="182"/>
      <c r="FA273" s="182"/>
      <c r="FB273" s="182"/>
      <c r="FC273" s="182"/>
      <c r="FD273" s="182"/>
      <c r="FE273" s="182"/>
      <c r="FF273" s="182"/>
      <c r="FG273" s="182"/>
      <c r="FH273" s="182"/>
      <c r="FI273" s="182"/>
      <c r="FJ273" s="182"/>
      <c r="FK273" s="182"/>
      <c r="FL273" s="182"/>
      <c r="FM273" s="182"/>
      <c r="FN273" s="182"/>
      <c r="FO273" s="182"/>
      <c r="FP273" s="182"/>
      <c r="FQ273" s="182"/>
      <c r="FR273" s="182"/>
      <c r="FS273" s="182"/>
      <c r="FT273" s="182"/>
      <c r="FU273" s="182"/>
      <c r="FV273" s="182"/>
      <c r="FW273" s="182"/>
      <c r="FX273" s="182"/>
      <c r="FY273" s="182"/>
      <c r="FZ273" s="182"/>
      <c r="GA273" s="182"/>
      <c r="GB273" s="182"/>
      <c r="GC273" s="182"/>
      <c r="GD273" s="182"/>
      <c r="GE273" s="182"/>
      <c r="GF273" s="182"/>
      <c r="GG273" s="182"/>
      <c r="GH273" s="182"/>
      <c r="GI273" s="182"/>
    </row>
    <row r="274" spans="1:191" s="183" customFormat="1" x14ac:dyDescent="0.2">
      <c r="A274" s="210" t="s">
        <v>38579</v>
      </c>
      <c r="B274" s="210" t="s">
        <v>19122</v>
      </c>
      <c r="C274" s="224" t="s">
        <v>22379</v>
      </c>
      <c r="D274" s="211" t="s">
        <v>16</v>
      </c>
      <c r="E274" s="211">
        <v>40</v>
      </c>
      <c r="F274" s="211"/>
      <c r="G274" s="211">
        <v>0.3</v>
      </c>
      <c r="H274" s="212"/>
      <c r="I274" s="213"/>
      <c r="J274" s="272">
        <v>69.16</v>
      </c>
      <c r="K274" s="112">
        <f t="shared" si="20"/>
        <v>2766.4</v>
      </c>
      <c r="L274" s="273">
        <f>BDI!$E$17</f>
        <v>0.11260000000000001</v>
      </c>
      <c r="M274" s="213"/>
      <c r="N274" s="213"/>
      <c r="O274" s="114">
        <f t="shared" si="21"/>
        <v>76.95</v>
      </c>
      <c r="P274" s="113">
        <f t="shared" si="22"/>
        <v>923.4</v>
      </c>
      <c r="Q274" s="209"/>
      <c r="R274" s="203"/>
      <c r="S274" s="182"/>
      <c r="T274" s="182"/>
      <c r="U274" s="182"/>
      <c r="V274" s="182"/>
      <c r="W274" s="182"/>
      <c r="X274" s="182"/>
      <c r="Y274" s="182"/>
      <c r="Z274" s="182"/>
      <c r="AA274" s="182"/>
      <c r="AB274" s="182"/>
      <c r="AC274" s="182"/>
      <c r="AD274" s="182"/>
      <c r="AE274" s="182"/>
      <c r="AF274" s="182"/>
      <c r="AG274" s="182"/>
      <c r="AH274" s="182"/>
      <c r="AI274" s="182"/>
      <c r="AJ274" s="182"/>
      <c r="AK274" s="182"/>
      <c r="AL274" s="182"/>
      <c r="AM274" s="182"/>
      <c r="AN274" s="182"/>
      <c r="AO274" s="182"/>
      <c r="AP274" s="182"/>
      <c r="AQ274" s="182"/>
      <c r="AR274" s="182"/>
      <c r="AS274" s="182"/>
      <c r="AT274" s="182"/>
      <c r="AU274" s="182"/>
      <c r="AV274" s="182"/>
      <c r="AW274" s="182"/>
      <c r="AX274" s="182"/>
      <c r="AY274" s="182"/>
      <c r="AZ274" s="182"/>
      <c r="BA274" s="182"/>
      <c r="BB274" s="182"/>
      <c r="BC274" s="182"/>
      <c r="BD274" s="182"/>
      <c r="BE274" s="182"/>
      <c r="BF274" s="182"/>
      <c r="BG274" s="182"/>
      <c r="BH274" s="182"/>
      <c r="BI274" s="182"/>
      <c r="BJ274" s="182"/>
      <c r="BK274" s="182"/>
      <c r="BL274" s="182"/>
      <c r="BM274" s="182"/>
      <c r="BN274" s="182"/>
      <c r="BO274" s="182"/>
      <c r="BP274" s="182"/>
      <c r="BQ274" s="182"/>
      <c r="BR274" s="182"/>
      <c r="BS274" s="182"/>
      <c r="BT274" s="182"/>
      <c r="BU274" s="182"/>
      <c r="BV274" s="182"/>
      <c r="BW274" s="182"/>
      <c r="BX274" s="182"/>
      <c r="BY274" s="182"/>
      <c r="BZ274" s="182"/>
      <c r="CA274" s="182"/>
      <c r="CB274" s="182"/>
      <c r="CC274" s="182"/>
      <c r="CD274" s="182"/>
      <c r="CE274" s="182"/>
      <c r="CF274" s="182"/>
      <c r="CG274" s="182"/>
      <c r="CH274" s="182"/>
      <c r="CI274" s="182"/>
      <c r="CJ274" s="182"/>
      <c r="CK274" s="182"/>
      <c r="CL274" s="182"/>
      <c r="CM274" s="182"/>
      <c r="CN274" s="182"/>
      <c r="CO274" s="182"/>
      <c r="CP274" s="182"/>
      <c r="CQ274" s="182"/>
      <c r="CR274" s="182"/>
      <c r="CS274" s="182"/>
      <c r="CT274" s="182"/>
      <c r="CU274" s="182"/>
      <c r="CV274" s="182"/>
      <c r="CW274" s="182"/>
      <c r="CX274" s="182"/>
      <c r="CY274" s="182"/>
      <c r="CZ274" s="182"/>
      <c r="DA274" s="182"/>
      <c r="DB274" s="182"/>
      <c r="DC274" s="182"/>
      <c r="DD274" s="182"/>
      <c r="DE274" s="182"/>
      <c r="DF274" s="182"/>
      <c r="DG274" s="182"/>
      <c r="DH274" s="182"/>
      <c r="DI274" s="182"/>
      <c r="DJ274" s="182"/>
      <c r="DK274" s="182"/>
      <c r="DL274" s="182"/>
      <c r="DM274" s="182"/>
      <c r="DN274" s="182"/>
      <c r="DO274" s="182"/>
      <c r="DP274" s="182"/>
      <c r="DQ274" s="182"/>
      <c r="DR274" s="182"/>
      <c r="DS274" s="182"/>
      <c r="DT274" s="182"/>
      <c r="DU274" s="182"/>
      <c r="DV274" s="182"/>
      <c r="DW274" s="182"/>
      <c r="DX274" s="182"/>
      <c r="DY274" s="182"/>
      <c r="DZ274" s="182"/>
      <c r="EA274" s="182"/>
      <c r="EB274" s="182"/>
      <c r="EC274" s="182"/>
      <c r="ED274" s="182"/>
      <c r="EE274" s="182"/>
      <c r="EF274" s="182"/>
      <c r="EG274" s="182"/>
      <c r="EH274" s="182"/>
      <c r="EI274" s="182"/>
      <c r="EJ274" s="182"/>
      <c r="EK274" s="182"/>
      <c r="EL274" s="182"/>
      <c r="EM274" s="182"/>
      <c r="EN274" s="182"/>
      <c r="EO274" s="182"/>
      <c r="EP274" s="182"/>
      <c r="EQ274" s="182"/>
      <c r="ER274" s="182"/>
      <c r="ES274" s="182"/>
      <c r="ET274" s="182"/>
      <c r="EU274" s="182"/>
      <c r="EV274" s="182"/>
      <c r="EW274" s="182"/>
      <c r="EX274" s="182"/>
      <c r="EY274" s="182"/>
      <c r="EZ274" s="182"/>
      <c r="FA274" s="182"/>
      <c r="FB274" s="182"/>
      <c r="FC274" s="182"/>
      <c r="FD274" s="182"/>
      <c r="FE274" s="182"/>
      <c r="FF274" s="182"/>
      <c r="FG274" s="182"/>
      <c r="FH274" s="182"/>
      <c r="FI274" s="182"/>
      <c r="FJ274" s="182"/>
      <c r="FK274" s="182"/>
      <c r="FL274" s="182"/>
      <c r="FM274" s="182"/>
      <c r="FN274" s="182"/>
      <c r="FO274" s="182"/>
      <c r="FP274" s="182"/>
      <c r="FQ274" s="182"/>
      <c r="FR274" s="182"/>
      <c r="FS274" s="182"/>
      <c r="FT274" s="182"/>
      <c r="FU274" s="182"/>
      <c r="FV274" s="182"/>
      <c r="FW274" s="182"/>
      <c r="FX274" s="182"/>
      <c r="FY274" s="182"/>
      <c r="FZ274" s="182"/>
      <c r="GA274" s="182"/>
      <c r="GB274" s="182"/>
      <c r="GC274" s="182"/>
      <c r="GD274" s="182"/>
      <c r="GE274" s="182"/>
      <c r="GF274" s="182"/>
      <c r="GG274" s="182"/>
      <c r="GH274" s="182"/>
      <c r="GI274" s="182"/>
    </row>
    <row r="275" spans="1:191" s="183" customFormat="1" x14ac:dyDescent="0.2">
      <c r="A275" s="210" t="s">
        <v>38580</v>
      </c>
      <c r="B275" s="210" t="s">
        <v>19123</v>
      </c>
      <c r="C275" s="224" t="s">
        <v>22380</v>
      </c>
      <c r="D275" s="211" t="s">
        <v>16</v>
      </c>
      <c r="E275" s="211">
        <v>20</v>
      </c>
      <c r="F275" s="211"/>
      <c r="G275" s="211">
        <v>0.3</v>
      </c>
      <c r="H275" s="212"/>
      <c r="I275" s="213"/>
      <c r="J275" s="272">
        <v>83.34</v>
      </c>
      <c r="K275" s="112">
        <f t="shared" si="20"/>
        <v>1666.8</v>
      </c>
      <c r="L275" s="273">
        <f>BDI!$E$17</f>
        <v>0.11260000000000001</v>
      </c>
      <c r="M275" s="213"/>
      <c r="N275" s="213"/>
      <c r="O275" s="114">
        <f t="shared" si="21"/>
        <v>92.72</v>
      </c>
      <c r="P275" s="113">
        <f t="shared" si="22"/>
        <v>556.32000000000005</v>
      </c>
      <c r="Q275" s="209"/>
      <c r="R275" s="203"/>
      <c r="S275" s="182"/>
      <c r="T275" s="182"/>
      <c r="U275" s="182"/>
      <c r="V275" s="182"/>
      <c r="W275" s="182"/>
      <c r="X275" s="182"/>
      <c r="Y275" s="182"/>
      <c r="Z275" s="182"/>
      <c r="AA275" s="182"/>
      <c r="AB275" s="182"/>
      <c r="AC275" s="182"/>
      <c r="AD275" s="182"/>
      <c r="AE275" s="182"/>
      <c r="AF275" s="182"/>
      <c r="AG275" s="182"/>
      <c r="AH275" s="182"/>
      <c r="AI275" s="182"/>
      <c r="AJ275" s="182"/>
      <c r="AK275" s="182"/>
      <c r="AL275" s="182"/>
      <c r="AM275" s="182"/>
      <c r="AN275" s="182"/>
      <c r="AO275" s="182"/>
      <c r="AP275" s="182"/>
      <c r="AQ275" s="182"/>
      <c r="AR275" s="182"/>
      <c r="AS275" s="182"/>
      <c r="AT275" s="182"/>
      <c r="AU275" s="182"/>
      <c r="AV275" s="182"/>
      <c r="AW275" s="182"/>
      <c r="AX275" s="182"/>
      <c r="AY275" s="182"/>
      <c r="AZ275" s="182"/>
      <c r="BA275" s="182"/>
      <c r="BB275" s="182"/>
      <c r="BC275" s="182"/>
      <c r="BD275" s="182"/>
      <c r="BE275" s="182"/>
      <c r="BF275" s="182"/>
      <c r="BG275" s="182"/>
      <c r="BH275" s="182"/>
      <c r="BI275" s="182"/>
      <c r="BJ275" s="182"/>
      <c r="BK275" s="182"/>
      <c r="BL275" s="182"/>
      <c r="BM275" s="182"/>
      <c r="BN275" s="182"/>
      <c r="BO275" s="182"/>
      <c r="BP275" s="182"/>
      <c r="BQ275" s="182"/>
      <c r="BR275" s="182"/>
      <c r="BS275" s="182"/>
      <c r="BT275" s="182"/>
      <c r="BU275" s="182"/>
      <c r="BV275" s="182"/>
      <c r="BW275" s="182"/>
      <c r="BX275" s="182"/>
      <c r="BY275" s="182"/>
      <c r="BZ275" s="182"/>
      <c r="CA275" s="182"/>
      <c r="CB275" s="182"/>
      <c r="CC275" s="182"/>
      <c r="CD275" s="182"/>
      <c r="CE275" s="182"/>
      <c r="CF275" s="182"/>
      <c r="CG275" s="182"/>
      <c r="CH275" s="182"/>
      <c r="CI275" s="182"/>
      <c r="CJ275" s="182"/>
      <c r="CK275" s="182"/>
      <c r="CL275" s="182"/>
      <c r="CM275" s="182"/>
      <c r="CN275" s="182"/>
      <c r="CO275" s="182"/>
      <c r="CP275" s="182"/>
      <c r="CQ275" s="182"/>
      <c r="CR275" s="182"/>
      <c r="CS275" s="182"/>
      <c r="CT275" s="182"/>
      <c r="CU275" s="182"/>
      <c r="CV275" s="182"/>
      <c r="CW275" s="182"/>
      <c r="CX275" s="182"/>
      <c r="CY275" s="182"/>
      <c r="CZ275" s="182"/>
      <c r="DA275" s="182"/>
      <c r="DB275" s="182"/>
      <c r="DC275" s="182"/>
      <c r="DD275" s="182"/>
      <c r="DE275" s="182"/>
      <c r="DF275" s="182"/>
      <c r="DG275" s="182"/>
      <c r="DH275" s="182"/>
      <c r="DI275" s="182"/>
      <c r="DJ275" s="182"/>
      <c r="DK275" s="182"/>
      <c r="DL275" s="182"/>
      <c r="DM275" s="182"/>
      <c r="DN275" s="182"/>
      <c r="DO275" s="182"/>
      <c r="DP275" s="182"/>
      <c r="DQ275" s="182"/>
      <c r="DR275" s="182"/>
      <c r="DS275" s="182"/>
      <c r="DT275" s="182"/>
      <c r="DU275" s="182"/>
      <c r="DV275" s="182"/>
      <c r="DW275" s="182"/>
      <c r="DX275" s="182"/>
      <c r="DY275" s="182"/>
      <c r="DZ275" s="182"/>
      <c r="EA275" s="182"/>
      <c r="EB275" s="182"/>
      <c r="EC275" s="182"/>
      <c r="ED275" s="182"/>
      <c r="EE275" s="182"/>
      <c r="EF275" s="182"/>
      <c r="EG275" s="182"/>
      <c r="EH275" s="182"/>
      <c r="EI275" s="182"/>
      <c r="EJ275" s="182"/>
      <c r="EK275" s="182"/>
      <c r="EL275" s="182"/>
      <c r="EM275" s="182"/>
      <c r="EN275" s="182"/>
      <c r="EO275" s="182"/>
      <c r="EP275" s="182"/>
      <c r="EQ275" s="182"/>
      <c r="ER275" s="182"/>
      <c r="ES275" s="182"/>
      <c r="ET275" s="182"/>
      <c r="EU275" s="182"/>
      <c r="EV275" s="182"/>
      <c r="EW275" s="182"/>
      <c r="EX275" s="182"/>
      <c r="EY275" s="182"/>
      <c r="EZ275" s="182"/>
      <c r="FA275" s="182"/>
      <c r="FB275" s="182"/>
      <c r="FC275" s="182"/>
      <c r="FD275" s="182"/>
      <c r="FE275" s="182"/>
      <c r="FF275" s="182"/>
      <c r="FG275" s="182"/>
      <c r="FH275" s="182"/>
      <c r="FI275" s="182"/>
      <c r="FJ275" s="182"/>
      <c r="FK275" s="182"/>
      <c r="FL275" s="182"/>
      <c r="FM275" s="182"/>
      <c r="FN275" s="182"/>
      <c r="FO275" s="182"/>
      <c r="FP275" s="182"/>
      <c r="FQ275" s="182"/>
      <c r="FR275" s="182"/>
      <c r="FS275" s="182"/>
      <c r="FT275" s="182"/>
      <c r="FU275" s="182"/>
      <c r="FV275" s="182"/>
      <c r="FW275" s="182"/>
      <c r="FX275" s="182"/>
      <c r="FY275" s="182"/>
      <c r="FZ275" s="182"/>
      <c r="GA275" s="182"/>
      <c r="GB275" s="182"/>
      <c r="GC275" s="182"/>
      <c r="GD275" s="182"/>
      <c r="GE275" s="182"/>
      <c r="GF275" s="182"/>
      <c r="GG275" s="182"/>
      <c r="GH275" s="182"/>
      <c r="GI275" s="182"/>
    </row>
    <row r="276" spans="1:191" s="183" customFormat="1" x14ac:dyDescent="0.2">
      <c r="A276" s="210" t="s">
        <v>38581</v>
      </c>
      <c r="B276" s="210" t="s">
        <v>19124</v>
      </c>
      <c r="C276" s="224" t="s">
        <v>22381</v>
      </c>
      <c r="D276" s="211" t="s">
        <v>16</v>
      </c>
      <c r="E276" s="211">
        <v>120</v>
      </c>
      <c r="F276" s="211"/>
      <c r="G276" s="211">
        <v>0.3</v>
      </c>
      <c r="H276" s="212"/>
      <c r="I276" s="213"/>
      <c r="J276" s="272">
        <v>77.13</v>
      </c>
      <c r="K276" s="112">
        <f t="shared" si="20"/>
        <v>9255.6</v>
      </c>
      <c r="L276" s="273">
        <f>BDI!$E$17</f>
        <v>0.11260000000000001</v>
      </c>
      <c r="M276" s="213"/>
      <c r="N276" s="213"/>
      <c r="O276" s="114">
        <f t="shared" si="21"/>
        <v>85.81</v>
      </c>
      <c r="P276" s="113">
        <f t="shared" si="22"/>
        <v>3089.16</v>
      </c>
      <c r="Q276" s="209"/>
      <c r="R276" s="203"/>
      <c r="S276" s="182"/>
      <c r="T276" s="182"/>
      <c r="U276" s="182"/>
      <c r="V276" s="182"/>
      <c r="W276" s="182"/>
      <c r="X276" s="182"/>
      <c r="Y276" s="182"/>
      <c r="Z276" s="182"/>
      <c r="AA276" s="182"/>
      <c r="AB276" s="182"/>
      <c r="AC276" s="182"/>
      <c r="AD276" s="182"/>
      <c r="AE276" s="182"/>
      <c r="AF276" s="182"/>
      <c r="AG276" s="182"/>
      <c r="AH276" s="182"/>
      <c r="AI276" s="182"/>
      <c r="AJ276" s="182"/>
      <c r="AK276" s="182"/>
      <c r="AL276" s="182"/>
      <c r="AM276" s="182"/>
      <c r="AN276" s="182"/>
      <c r="AO276" s="182"/>
      <c r="AP276" s="182"/>
      <c r="AQ276" s="182"/>
      <c r="AR276" s="182"/>
      <c r="AS276" s="182"/>
      <c r="AT276" s="182"/>
      <c r="AU276" s="182"/>
      <c r="AV276" s="182"/>
      <c r="AW276" s="182"/>
      <c r="AX276" s="182"/>
      <c r="AY276" s="182"/>
      <c r="AZ276" s="182"/>
      <c r="BA276" s="182"/>
      <c r="BB276" s="182"/>
      <c r="BC276" s="182"/>
      <c r="BD276" s="182"/>
      <c r="BE276" s="182"/>
      <c r="BF276" s="182"/>
      <c r="BG276" s="182"/>
      <c r="BH276" s="182"/>
      <c r="BI276" s="182"/>
      <c r="BJ276" s="182"/>
      <c r="BK276" s="182"/>
      <c r="BL276" s="182"/>
      <c r="BM276" s="182"/>
      <c r="BN276" s="182"/>
      <c r="BO276" s="182"/>
      <c r="BP276" s="182"/>
      <c r="BQ276" s="182"/>
      <c r="BR276" s="182"/>
      <c r="BS276" s="182"/>
      <c r="BT276" s="182"/>
      <c r="BU276" s="182"/>
      <c r="BV276" s="182"/>
      <c r="BW276" s="182"/>
      <c r="BX276" s="182"/>
      <c r="BY276" s="182"/>
      <c r="BZ276" s="182"/>
      <c r="CA276" s="182"/>
      <c r="CB276" s="182"/>
      <c r="CC276" s="182"/>
      <c r="CD276" s="182"/>
      <c r="CE276" s="182"/>
      <c r="CF276" s="182"/>
      <c r="CG276" s="182"/>
      <c r="CH276" s="182"/>
      <c r="CI276" s="182"/>
      <c r="CJ276" s="182"/>
      <c r="CK276" s="182"/>
      <c r="CL276" s="182"/>
      <c r="CM276" s="182"/>
      <c r="CN276" s="182"/>
      <c r="CO276" s="182"/>
      <c r="CP276" s="182"/>
      <c r="CQ276" s="182"/>
      <c r="CR276" s="182"/>
      <c r="CS276" s="182"/>
      <c r="CT276" s="182"/>
      <c r="CU276" s="182"/>
      <c r="CV276" s="182"/>
      <c r="CW276" s="182"/>
      <c r="CX276" s="182"/>
      <c r="CY276" s="182"/>
      <c r="CZ276" s="182"/>
      <c r="DA276" s="182"/>
      <c r="DB276" s="182"/>
      <c r="DC276" s="182"/>
      <c r="DD276" s="182"/>
      <c r="DE276" s="182"/>
      <c r="DF276" s="182"/>
      <c r="DG276" s="182"/>
      <c r="DH276" s="182"/>
      <c r="DI276" s="182"/>
      <c r="DJ276" s="182"/>
      <c r="DK276" s="182"/>
      <c r="DL276" s="182"/>
      <c r="DM276" s="182"/>
      <c r="DN276" s="182"/>
      <c r="DO276" s="182"/>
      <c r="DP276" s="182"/>
      <c r="DQ276" s="182"/>
      <c r="DR276" s="182"/>
      <c r="DS276" s="182"/>
      <c r="DT276" s="182"/>
      <c r="DU276" s="182"/>
      <c r="DV276" s="182"/>
      <c r="DW276" s="182"/>
      <c r="DX276" s="182"/>
      <c r="DY276" s="182"/>
      <c r="DZ276" s="182"/>
      <c r="EA276" s="182"/>
      <c r="EB276" s="182"/>
      <c r="EC276" s="182"/>
      <c r="ED276" s="182"/>
      <c r="EE276" s="182"/>
      <c r="EF276" s="182"/>
      <c r="EG276" s="182"/>
      <c r="EH276" s="182"/>
      <c r="EI276" s="182"/>
      <c r="EJ276" s="182"/>
      <c r="EK276" s="182"/>
      <c r="EL276" s="182"/>
      <c r="EM276" s="182"/>
      <c r="EN276" s="182"/>
      <c r="EO276" s="182"/>
      <c r="EP276" s="182"/>
      <c r="EQ276" s="182"/>
      <c r="ER276" s="182"/>
      <c r="ES276" s="182"/>
      <c r="ET276" s="182"/>
      <c r="EU276" s="182"/>
      <c r="EV276" s="182"/>
      <c r="EW276" s="182"/>
      <c r="EX276" s="182"/>
      <c r="EY276" s="182"/>
      <c r="EZ276" s="182"/>
      <c r="FA276" s="182"/>
      <c r="FB276" s="182"/>
      <c r="FC276" s="182"/>
      <c r="FD276" s="182"/>
      <c r="FE276" s="182"/>
      <c r="FF276" s="182"/>
      <c r="FG276" s="182"/>
      <c r="FH276" s="182"/>
      <c r="FI276" s="182"/>
      <c r="FJ276" s="182"/>
      <c r="FK276" s="182"/>
      <c r="FL276" s="182"/>
      <c r="FM276" s="182"/>
      <c r="FN276" s="182"/>
      <c r="FO276" s="182"/>
      <c r="FP276" s="182"/>
      <c r="FQ276" s="182"/>
      <c r="FR276" s="182"/>
      <c r="FS276" s="182"/>
      <c r="FT276" s="182"/>
      <c r="FU276" s="182"/>
      <c r="FV276" s="182"/>
      <c r="FW276" s="182"/>
      <c r="FX276" s="182"/>
      <c r="FY276" s="182"/>
      <c r="FZ276" s="182"/>
      <c r="GA276" s="182"/>
      <c r="GB276" s="182"/>
      <c r="GC276" s="182"/>
      <c r="GD276" s="182"/>
      <c r="GE276" s="182"/>
      <c r="GF276" s="182"/>
      <c r="GG276" s="182"/>
      <c r="GH276" s="182"/>
      <c r="GI276" s="182"/>
    </row>
    <row r="277" spans="1:191" s="183" customFormat="1" x14ac:dyDescent="0.2">
      <c r="A277" s="210" t="s">
        <v>38582</v>
      </c>
      <c r="B277" s="210" t="s">
        <v>19125</v>
      </c>
      <c r="C277" s="224" t="s">
        <v>22382</v>
      </c>
      <c r="D277" s="211" t="s">
        <v>16</v>
      </c>
      <c r="E277" s="211">
        <v>60</v>
      </c>
      <c r="F277" s="211"/>
      <c r="G277" s="211">
        <v>0.3</v>
      </c>
      <c r="H277" s="212"/>
      <c r="I277" s="213"/>
      <c r="J277" s="272">
        <v>116.02</v>
      </c>
      <c r="K277" s="112">
        <f t="shared" si="20"/>
        <v>6961.2</v>
      </c>
      <c r="L277" s="273">
        <f>BDI!$E$17</f>
        <v>0.11260000000000001</v>
      </c>
      <c r="M277" s="213"/>
      <c r="N277" s="213"/>
      <c r="O277" s="114">
        <f t="shared" si="21"/>
        <v>129.08000000000001</v>
      </c>
      <c r="P277" s="113">
        <f t="shared" si="22"/>
        <v>2323.44</v>
      </c>
      <c r="Q277" s="209"/>
      <c r="R277" s="203"/>
      <c r="S277" s="182"/>
      <c r="T277" s="182"/>
      <c r="U277" s="182"/>
      <c r="V277" s="182"/>
      <c r="W277" s="182"/>
      <c r="X277" s="182"/>
      <c r="Y277" s="182"/>
      <c r="Z277" s="182"/>
      <c r="AA277" s="182"/>
      <c r="AB277" s="182"/>
      <c r="AC277" s="182"/>
      <c r="AD277" s="182"/>
      <c r="AE277" s="182"/>
      <c r="AF277" s="182"/>
      <c r="AG277" s="182"/>
      <c r="AH277" s="182"/>
      <c r="AI277" s="182"/>
      <c r="AJ277" s="182"/>
      <c r="AK277" s="182"/>
      <c r="AL277" s="182"/>
      <c r="AM277" s="182"/>
      <c r="AN277" s="182"/>
      <c r="AO277" s="182"/>
      <c r="AP277" s="182"/>
      <c r="AQ277" s="182"/>
      <c r="AR277" s="182"/>
      <c r="AS277" s="182"/>
      <c r="AT277" s="182"/>
      <c r="AU277" s="182"/>
      <c r="AV277" s="182"/>
      <c r="AW277" s="182"/>
      <c r="AX277" s="182"/>
      <c r="AY277" s="182"/>
      <c r="AZ277" s="182"/>
      <c r="BA277" s="182"/>
      <c r="BB277" s="182"/>
      <c r="BC277" s="182"/>
      <c r="BD277" s="182"/>
      <c r="BE277" s="182"/>
      <c r="BF277" s="182"/>
      <c r="BG277" s="182"/>
      <c r="BH277" s="182"/>
      <c r="BI277" s="182"/>
      <c r="BJ277" s="182"/>
      <c r="BK277" s="182"/>
      <c r="BL277" s="182"/>
      <c r="BM277" s="182"/>
      <c r="BN277" s="182"/>
      <c r="BO277" s="182"/>
      <c r="BP277" s="182"/>
      <c r="BQ277" s="182"/>
      <c r="BR277" s="182"/>
      <c r="BS277" s="182"/>
      <c r="BT277" s="182"/>
      <c r="BU277" s="182"/>
      <c r="BV277" s="182"/>
      <c r="BW277" s="182"/>
      <c r="BX277" s="182"/>
      <c r="BY277" s="182"/>
      <c r="BZ277" s="182"/>
      <c r="CA277" s="182"/>
      <c r="CB277" s="182"/>
      <c r="CC277" s="182"/>
      <c r="CD277" s="182"/>
      <c r="CE277" s="182"/>
      <c r="CF277" s="182"/>
      <c r="CG277" s="182"/>
      <c r="CH277" s="182"/>
      <c r="CI277" s="182"/>
      <c r="CJ277" s="182"/>
      <c r="CK277" s="182"/>
      <c r="CL277" s="182"/>
      <c r="CM277" s="182"/>
      <c r="CN277" s="182"/>
      <c r="CO277" s="182"/>
      <c r="CP277" s="182"/>
      <c r="CQ277" s="182"/>
      <c r="CR277" s="182"/>
      <c r="CS277" s="182"/>
      <c r="CT277" s="182"/>
      <c r="CU277" s="182"/>
      <c r="CV277" s="182"/>
      <c r="CW277" s="182"/>
      <c r="CX277" s="182"/>
      <c r="CY277" s="182"/>
      <c r="CZ277" s="182"/>
      <c r="DA277" s="182"/>
      <c r="DB277" s="182"/>
      <c r="DC277" s="182"/>
      <c r="DD277" s="182"/>
      <c r="DE277" s="182"/>
      <c r="DF277" s="182"/>
      <c r="DG277" s="182"/>
      <c r="DH277" s="182"/>
      <c r="DI277" s="182"/>
      <c r="DJ277" s="182"/>
      <c r="DK277" s="182"/>
      <c r="DL277" s="182"/>
      <c r="DM277" s="182"/>
      <c r="DN277" s="182"/>
      <c r="DO277" s="182"/>
      <c r="DP277" s="182"/>
      <c r="DQ277" s="182"/>
      <c r="DR277" s="182"/>
      <c r="DS277" s="182"/>
      <c r="DT277" s="182"/>
      <c r="DU277" s="182"/>
      <c r="DV277" s="182"/>
      <c r="DW277" s="182"/>
      <c r="DX277" s="182"/>
      <c r="DY277" s="182"/>
      <c r="DZ277" s="182"/>
      <c r="EA277" s="182"/>
      <c r="EB277" s="182"/>
      <c r="EC277" s="182"/>
      <c r="ED277" s="182"/>
      <c r="EE277" s="182"/>
      <c r="EF277" s="182"/>
      <c r="EG277" s="182"/>
      <c r="EH277" s="182"/>
      <c r="EI277" s="182"/>
      <c r="EJ277" s="182"/>
      <c r="EK277" s="182"/>
      <c r="EL277" s="182"/>
      <c r="EM277" s="182"/>
      <c r="EN277" s="182"/>
      <c r="EO277" s="182"/>
      <c r="EP277" s="182"/>
      <c r="EQ277" s="182"/>
      <c r="ER277" s="182"/>
      <c r="ES277" s="182"/>
      <c r="ET277" s="182"/>
      <c r="EU277" s="182"/>
      <c r="EV277" s="182"/>
      <c r="EW277" s="182"/>
      <c r="EX277" s="182"/>
      <c r="EY277" s="182"/>
      <c r="EZ277" s="182"/>
      <c r="FA277" s="182"/>
      <c r="FB277" s="182"/>
      <c r="FC277" s="182"/>
      <c r="FD277" s="182"/>
      <c r="FE277" s="182"/>
      <c r="FF277" s="182"/>
      <c r="FG277" s="182"/>
      <c r="FH277" s="182"/>
      <c r="FI277" s="182"/>
      <c r="FJ277" s="182"/>
      <c r="FK277" s="182"/>
      <c r="FL277" s="182"/>
      <c r="FM277" s="182"/>
      <c r="FN277" s="182"/>
      <c r="FO277" s="182"/>
      <c r="FP277" s="182"/>
      <c r="FQ277" s="182"/>
      <c r="FR277" s="182"/>
      <c r="FS277" s="182"/>
      <c r="FT277" s="182"/>
      <c r="FU277" s="182"/>
      <c r="FV277" s="182"/>
      <c r="FW277" s="182"/>
      <c r="FX277" s="182"/>
      <c r="FY277" s="182"/>
      <c r="FZ277" s="182"/>
      <c r="GA277" s="182"/>
      <c r="GB277" s="182"/>
      <c r="GC277" s="182"/>
      <c r="GD277" s="182"/>
      <c r="GE277" s="182"/>
      <c r="GF277" s="182"/>
      <c r="GG277" s="182"/>
      <c r="GH277" s="182"/>
      <c r="GI277" s="182"/>
    </row>
    <row r="278" spans="1:191" s="183" customFormat="1" ht="25.5" x14ac:dyDescent="0.2">
      <c r="A278" s="210" t="s">
        <v>38583</v>
      </c>
      <c r="B278" s="210" t="s">
        <v>19126</v>
      </c>
      <c r="C278" s="224" t="s">
        <v>22383</v>
      </c>
      <c r="D278" s="211" t="s">
        <v>16</v>
      </c>
      <c r="E278" s="211">
        <v>30</v>
      </c>
      <c r="F278" s="211"/>
      <c r="G278" s="211">
        <v>0.3</v>
      </c>
      <c r="H278" s="212"/>
      <c r="I278" s="213"/>
      <c r="J278" s="272">
        <v>185.8</v>
      </c>
      <c r="K278" s="112">
        <f t="shared" si="20"/>
        <v>5574</v>
      </c>
      <c r="L278" s="273">
        <f>BDI!$E$17</f>
        <v>0.11260000000000001</v>
      </c>
      <c r="M278" s="213"/>
      <c r="N278" s="213"/>
      <c r="O278" s="114">
        <f t="shared" si="21"/>
        <v>206.72</v>
      </c>
      <c r="P278" s="113">
        <f t="shared" si="22"/>
        <v>1860.48</v>
      </c>
      <c r="Q278" s="209"/>
      <c r="R278" s="203"/>
      <c r="S278" s="182"/>
      <c r="T278" s="182"/>
      <c r="U278" s="182"/>
      <c r="V278" s="182"/>
      <c r="W278" s="182"/>
      <c r="X278" s="182"/>
      <c r="Y278" s="182"/>
      <c r="Z278" s="182"/>
      <c r="AA278" s="182"/>
      <c r="AB278" s="182"/>
      <c r="AC278" s="182"/>
      <c r="AD278" s="182"/>
      <c r="AE278" s="182"/>
      <c r="AF278" s="182"/>
      <c r="AG278" s="182"/>
      <c r="AH278" s="182"/>
      <c r="AI278" s="182"/>
      <c r="AJ278" s="182"/>
      <c r="AK278" s="182"/>
      <c r="AL278" s="182"/>
      <c r="AM278" s="182"/>
      <c r="AN278" s="182"/>
      <c r="AO278" s="182"/>
      <c r="AP278" s="182"/>
      <c r="AQ278" s="182"/>
      <c r="AR278" s="182"/>
      <c r="AS278" s="182"/>
      <c r="AT278" s="182"/>
      <c r="AU278" s="182"/>
      <c r="AV278" s="182"/>
      <c r="AW278" s="182"/>
      <c r="AX278" s="182"/>
      <c r="AY278" s="182"/>
      <c r="AZ278" s="182"/>
      <c r="BA278" s="182"/>
      <c r="BB278" s="182"/>
      <c r="BC278" s="182"/>
      <c r="BD278" s="182"/>
      <c r="BE278" s="182"/>
      <c r="BF278" s="182"/>
      <c r="BG278" s="182"/>
      <c r="BH278" s="182"/>
      <c r="BI278" s="182"/>
      <c r="BJ278" s="182"/>
      <c r="BK278" s="182"/>
      <c r="BL278" s="182"/>
      <c r="BM278" s="182"/>
      <c r="BN278" s="182"/>
      <c r="BO278" s="182"/>
      <c r="BP278" s="182"/>
      <c r="BQ278" s="182"/>
      <c r="BR278" s="182"/>
      <c r="BS278" s="182"/>
      <c r="BT278" s="182"/>
      <c r="BU278" s="182"/>
      <c r="BV278" s="182"/>
      <c r="BW278" s="182"/>
      <c r="BX278" s="182"/>
      <c r="BY278" s="182"/>
      <c r="BZ278" s="182"/>
      <c r="CA278" s="182"/>
      <c r="CB278" s="182"/>
      <c r="CC278" s="182"/>
      <c r="CD278" s="182"/>
      <c r="CE278" s="182"/>
      <c r="CF278" s="182"/>
      <c r="CG278" s="182"/>
      <c r="CH278" s="182"/>
      <c r="CI278" s="182"/>
      <c r="CJ278" s="182"/>
      <c r="CK278" s="182"/>
      <c r="CL278" s="182"/>
      <c r="CM278" s="182"/>
      <c r="CN278" s="182"/>
      <c r="CO278" s="182"/>
      <c r="CP278" s="182"/>
      <c r="CQ278" s="182"/>
      <c r="CR278" s="182"/>
      <c r="CS278" s="182"/>
      <c r="CT278" s="182"/>
      <c r="CU278" s="182"/>
      <c r="CV278" s="182"/>
      <c r="CW278" s="182"/>
      <c r="CX278" s="182"/>
      <c r="CY278" s="182"/>
      <c r="CZ278" s="182"/>
      <c r="DA278" s="182"/>
      <c r="DB278" s="182"/>
      <c r="DC278" s="182"/>
      <c r="DD278" s="182"/>
      <c r="DE278" s="182"/>
      <c r="DF278" s="182"/>
      <c r="DG278" s="182"/>
      <c r="DH278" s="182"/>
      <c r="DI278" s="182"/>
      <c r="DJ278" s="182"/>
      <c r="DK278" s="182"/>
      <c r="DL278" s="182"/>
      <c r="DM278" s="182"/>
      <c r="DN278" s="182"/>
      <c r="DO278" s="182"/>
      <c r="DP278" s="182"/>
      <c r="DQ278" s="182"/>
      <c r="DR278" s="182"/>
      <c r="DS278" s="182"/>
      <c r="DT278" s="182"/>
      <c r="DU278" s="182"/>
      <c r="DV278" s="182"/>
      <c r="DW278" s="182"/>
      <c r="DX278" s="182"/>
      <c r="DY278" s="182"/>
      <c r="DZ278" s="182"/>
      <c r="EA278" s="182"/>
      <c r="EB278" s="182"/>
      <c r="EC278" s="182"/>
      <c r="ED278" s="182"/>
      <c r="EE278" s="182"/>
      <c r="EF278" s="182"/>
      <c r="EG278" s="182"/>
      <c r="EH278" s="182"/>
      <c r="EI278" s="182"/>
      <c r="EJ278" s="182"/>
      <c r="EK278" s="182"/>
      <c r="EL278" s="182"/>
      <c r="EM278" s="182"/>
      <c r="EN278" s="182"/>
      <c r="EO278" s="182"/>
      <c r="EP278" s="182"/>
      <c r="EQ278" s="182"/>
      <c r="ER278" s="182"/>
      <c r="ES278" s="182"/>
      <c r="ET278" s="182"/>
      <c r="EU278" s="182"/>
      <c r="EV278" s="182"/>
      <c r="EW278" s="182"/>
      <c r="EX278" s="182"/>
      <c r="EY278" s="182"/>
      <c r="EZ278" s="182"/>
      <c r="FA278" s="182"/>
      <c r="FB278" s="182"/>
      <c r="FC278" s="182"/>
      <c r="FD278" s="182"/>
      <c r="FE278" s="182"/>
      <c r="FF278" s="182"/>
      <c r="FG278" s="182"/>
      <c r="FH278" s="182"/>
      <c r="FI278" s="182"/>
      <c r="FJ278" s="182"/>
      <c r="FK278" s="182"/>
      <c r="FL278" s="182"/>
      <c r="FM278" s="182"/>
      <c r="FN278" s="182"/>
      <c r="FO278" s="182"/>
      <c r="FP278" s="182"/>
      <c r="FQ278" s="182"/>
      <c r="FR278" s="182"/>
      <c r="FS278" s="182"/>
      <c r="FT278" s="182"/>
      <c r="FU278" s="182"/>
      <c r="FV278" s="182"/>
      <c r="FW278" s="182"/>
      <c r="FX278" s="182"/>
      <c r="FY278" s="182"/>
      <c r="FZ278" s="182"/>
      <c r="GA278" s="182"/>
      <c r="GB278" s="182"/>
      <c r="GC278" s="182"/>
      <c r="GD278" s="182"/>
      <c r="GE278" s="182"/>
      <c r="GF278" s="182"/>
      <c r="GG278" s="182"/>
      <c r="GH278" s="182"/>
      <c r="GI278" s="182"/>
    </row>
    <row r="279" spans="1:191" s="183" customFormat="1" ht="25.5" x14ac:dyDescent="0.2">
      <c r="A279" s="210" t="s">
        <v>38584</v>
      </c>
      <c r="B279" s="210" t="s">
        <v>19127</v>
      </c>
      <c r="C279" s="224" t="s">
        <v>22384</v>
      </c>
      <c r="D279" s="211" t="s">
        <v>16</v>
      </c>
      <c r="E279" s="211">
        <v>30</v>
      </c>
      <c r="F279" s="211"/>
      <c r="G279" s="211">
        <v>0.3</v>
      </c>
      <c r="H279" s="212"/>
      <c r="I279" s="213"/>
      <c r="J279" s="272">
        <v>205.03</v>
      </c>
      <c r="K279" s="112">
        <f t="shared" si="20"/>
        <v>6150.9</v>
      </c>
      <c r="L279" s="273">
        <f>BDI!$E$17</f>
        <v>0.11260000000000001</v>
      </c>
      <c r="M279" s="213"/>
      <c r="N279" s="213"/>
      <c r="O279" s="114">
        <f t="shared" si="21"/>
        <v>228.12</v>
      </c>
      <c r="P279" s="113">
        <f t="shared" si="22"/>
        <v>2053.08</v>
      </c>
      <c r="Q279" s="209"/>
      <c r="R279" s="203"/>
      <c r="S279" s="182"/>
      <c r="T279" s="182"/>
      <c r="U279" s="182"/>
      <c r="V279" s="182"/>
      <c r="W279" s="182"/>
      <c r="X279" s="182"/>
      <c r="Y279" s="182"/>
      <c r="Z279" s="182"/>
      <c r="AA279" s="182"/>
      <c r="AB279" s="182"/>
      <c r="AC279" s="182"/>
      <c r="AD279" s="182"/>
      <c r="AE279" s="182"/>
      <c r="AF279" s="182"/>
      <c r="AG279" s="182"/>
      <c r="AH279" s="182"/>
      <c r="AI279" s="182"/>
      <c r="AJ279" s="182"/>
      <c r="AK279" s="182"/>
      <c r="AL279" s="182"/>
      <c r="AM279" s="182"/>
      <c r="AN279" s="182"/>
      <c r="AO279" s="182"/>
      <c r="AP279" s="182"/>
      <c r="AQ279" s="182"/>
      <c r="AR279" s="182"/>
      <c r="AS279" s="182"/>
      <c r="AT279" s="182"/>
      <c r="AU279" s="182"/>
      <c r="AV279" s="182"/>
      <c r="AW279" s="182"/>
      <c r="AX279" s="182"/>
      <c r="AY279" s="182"/>
      <c r="AZ279" s="182"/>
      <c r="BA279" s="182"/>
      <c r="BB279" s="182"/>
      <c r="BC279" s="182"/>
      <c r="BD279" s="182"/>
      <c r="BE279" s="182"/>
      <c r="BF279" s="182"/>
      <c r="BG279" s="182"/>
      <c r="BH279" s="182"/>
      <c r="BI279" s="182"/>
      <c r="BJ279" s="182"/>
      <c r="BK279" s="182"/>
      <c r="BL279" s="182"/>
      <c r="BM279" s="182"/>
      <c r="BN279" s="182"/>
      <c r="BO279" s="182"/>
      <c r="BP279" s="182"/>
      <c r="BQ279" s="182"/>
      <c r="BR279" s="182"/>
      <c r="BS279" s="182"/>
      <c r="BT279" s="182"/>
      <c r="BU279" s="182"/>
      <c r="BV279" s="182"/>
      <c r="BW279" s="182"/>
      <c r="BX279" s="182"/>
      <c r="BY279" s="182"/>
      <c r="BZ279" s="182"/>
      <c r="CA279" s="182"/>
      <c r="CB279" s="182"/>
      <c r="CC279" s="182"/>
      <c r="CD279" s="182"/>
      <c r="CE279" s="182"/>
      <c r="CF279" s="182"/>
      <c r="CG279" s="182"/>
      <c r="CH279" s="182"/>
      <c r="CI279" s="182"/>
      <c r="CJ279" s="182"/>
      <c r="CK279" s="182"/>
      <c r="CL279" s="182"/>
      <c r="CM279" s="182"/>
      <c r="CN279" s="182"/>
      <c r="CO279" s="182"/>
      <c r="CP279" s="182"/>
      <c r="CQ279" s="182"/>
      <c r="CR279" s="182"/>
      <c r="CS279" s="182"/>
      <c r="CT279" s="182"/>
      <c r="CU279" s="182"/>
      <c r="CV279" s="182"/>
      <c r="CW279" s="182"/>
      <c r="CX279" s="182"/>
      <c r="CY279" s="182"/>
      <c r="CZ279" s="182"/>
      <c r="DA279" s="182"/>
      <c r="DB279" s="182"/>
      <c r="DC279" s="182"/>
      <c r="DD279" s="182"/>
      <c r="DE279" s="182"/>
      <c r="DF279" s="182"/>
      <c r="DG279" s="182"/>
      <c r="DH279" s="182"/>
      <c r="DI279" s="182"/>
      <c r="DJ279" s="182"/>
      <c r="DK279" s="182"/>
      <c r="DL279" s="182"/>
      <c r="DM279" s="182"/>
      <c r="DN279" s="182"/>
      <c r="DO279" s="182"/>
      <c r="DP279" s="182"/>
      <c r="DQ279" s="182"/>
      <c r="DR279" s="182"/>
      <c r="DS279" s="182"/>
      <c r="DT279" s="182"/>
      <c r="DU279" s="182"/>
      <c r="DV279" s="182"/>
      <c r="DW279" s="182"/>
      <c r="DX279" s="182"/>
      <c r="DY279" s="182"/>
      <c r="DZ279" s="182"/>
      <c r="EA279" s="182"/>
      <c r="EB279" s="182"/>
      <c r="EC279" s="182"/>
      <c r="ED279" s="182"/>
      <c r="EE279" s="182"/>
      <c r="EF279" s="182"/>
      <c r="EG279" s="182"/>
      <c r="EH279" s="182"/>
      <c r="EI279" s="182"/>
      <c r="EJ279" s="182"/>
      <c r="EK279" s="182"/>
      <c r="EL279" s="182"/>
      <c r="EM279" s="182"/>
      <c r="EN279" s="182"/>
      <c r="EO279" s="182"/>
      <c r="EP279" s="182"/>
      <c r="EQ279" s="182"/>
      <c r="ER279" s="182"/>
      <c r="ES279" s="182"/>
      <c r="ET279" s="182"/>
      <c r="EU279" s="182"/>
      <c r="EV279" s="182"/>
      <c r="EW279" s="182"/>
      <c r="EX279" s="182"/>
      <c r="EY279" s="182"/>
      <c r="EZ279" s="182"/>
      <c r="FA279" s="182"/>
      <c r="FB279" s="182"/>
      <c r="FC279" s="182"/>
      <c r="FD279" s="182"/>
      <c r="FE279" s="182"/>
      <c r="FF279" s="182"/>
      <c r="FG279" s="182"/>
      <c r="FH279" s="182"/>
      <c r="FI279" s="182"/>
      <c r="FJ279" s="182"/>
      <c r="FK279" s="182"/>
      <c r="FL279" s="182"/>
      <c r="FM279" s="182"/>
      <c r="FN279" s="182"/>
      <c r="FO279" s="182"/>
      <c r="FP279" s="182"/>
      <c r="FQ279" s="182"/>
      <c r="FR279" s="182"/>
      <c r="FS279" s="182"/>
      <c r="FT279" s="182"/>
      <c r="FU279" s="182"/>
      <c r="FV279" s="182"/>
      <c r="FW279" s="182"/>
      <c r="FX279" s="182"/>
      <c r="FY279" s="182"/>
      <c r="FZ279" s="182"/>
      <c r="GA279" s="182"/>
      <c r="GB279" s="182"/>
      <c r="GC279" s="182"/>
      <c r="GD279" s="182"/>
      <c r="GE279" s="182"/>
      <c r="GF279" s="182"/>
      <c r="GG279" s="182"/>
      <c r="GH279" s="182"/>
      <c r="GI279" s="182"/>
    </row>
    <row r="280" spans="1:191" s="183" customFormat="1" x14ac:dyDescent="0.2">
      <c r="A280" s="210" t="s">
        <v>38585</v>
      </c>
      <c r="B280" s="210" t="s">
        <v>19128</v>
      </c>
      <c r="C280" s="224" t="s">
        <v>22385</v>
      </c>
      <c r="D280" s="211" t="s">
        <v>16</v>
      </c>
      <c r="E280" s="211">
        <v>2</v>
      </c>
      <c r="F280" s="211"/>
      <c r="G280" s="211">
        <v>0.3</v>
      </c>
      <c r="H280" s="212"/>
      <c r="I280" s="213"/>
      <c r="J280" s="272">
        <v>1366.2</v>
      </c>
      <c r="K280" s="112">
        <f t="shared" si="20"/>
        <v>2732.4</v>
      </c>
      <c r="L280" s="273">
        <f>BDI!$E$17</f>
        <v>0.11260000000000001</v>
      </c>
      <c r="M280" s="213"/>
      <c r="N280" s="213"/>
      <c r="O280" s="114">
        <f t="shared" si="21"/>
        <v>1520.03</v>
      </c>
      <c r="P280" s="113">
        <f t="shared" si="22"/>
        <v>912.02</v>
      </c>
      <c r="Q280" s="209"/>
      <c r="R280" s="203"/>
      <c r="S280" s="182"/>
      <c r="T280" s="182"/>
      <c r="U280" s="182"/>
      <c r="V280" s="182"/>
      <c r="W280" s="182"/>
      <c r="X280" s="182"/>
      <c r="Y280" s="182"/>
      <c r="Z280" s="182"/>
      <c r="AA280" s="182"/>
      <c r="AB280" s="182"/>
      <c r="AC280" s="182"/>
      <c r="AD280" s="182"/>
      <c r="AE280" s="182"/>
      <c r="AF280" s="182"/>
      <c r="AG280" s="182"/>
      <c r="AH280" s="182"/>
      <c r="AI280" s="182"/>
      <c r="AJ280" s="182"/>
      <c r="AK280" s="182"/>
      <c r="AL280" s="182"/>
      <c r="AM280" s="182"/>
      <c r="AN280" s="182"/>
      <c r="AO280" s="182"/>
      <c r="AP280" s="182"/>
      <c r="AQ280" s="182"/>
      <c r="AR280" s="182"/>
      <c r="AS280" s="182"/>
      <c r="AT280" s="182"/>
      <c r="AU280" s="182"/>
      <c r="AV280" s="182"/>
      <c r="AW280" s="182"/>
      <c r="AX280" s="182"/>
      <c r="AY280" s="182"/>
      <c r="AZ280" s="182"/>
      <c r="BA280" s="182"/>
      <c r="BB280" s="182"/>
      <c r="BC280" s="182"/>
      <c r="BD280" s="182"/>
      <c r="BE280" s="182"/>
      <c r="BF280" s="182"/>
      <c r="BG280" s="182"/>
      <c r="BH280" s="182"/>
      <c r="BI280" s="182"/>
      <c r="BJ280" s="182"/>
      <c r="BK280" s="182"/>
      <c r="BL280" s="182"/>
      <c r="BM280" s="182"/>
      <c r="BN280" s="182"/>
      <c r="BO280" s="182"/>
      <c r="BP280" s="182"/>
      <c r="BQ280" s="182"/>
      <c r="BR280" s="182"/>
      <c r="BS280" s="182"/>
      <c r="BT280" s="182"/>
      <c r="BU280" s="182"/>
      <c r="BV280" s="182"/>
      <c r="BW280" s="182"/>
      <c r="BX280" s="182"/>
      <c r="BY280" s="182"/>
      <c r="BZ280" s="182"/>
      <c r="CA280" s="182"/>
      <c r="CB280" s="182"/>
      <c r="CC280" s="182"/>
      <c r="CD280" s="182"/>
      <c r="CE280" s="182"/>
      <c r="CF280" s="182"/>
      <c r="CG280" s="182"/>
      <c r="CH280" s="182"/>
      <c r="CI280" s="182"/>
      <c r="CJ280" s="182"/>
      <c r="CK280" s="182"/>
      <c r="CL280" s="182"/>
      <c r="CM280" s="182"/>
      <c r="CN280" s="182"/>
      <c r="CO280" s="182"/>
      <c r="CP280" s="182"/>
      <c r="CQ280" s="182"/>
      <c r="CR280" s="182"/>
      <c r="CS280" s="182"/>
      <c r="CT280" s="182"/>
      <c r="CU280" s="182"/>
      <c r="CV280" s="182"/>
      <c r="CW280" s="182"/>
      <c r="CX280" s="182"/>
      <c r="CY280" s="182"/>
      <c r="CZ280" s="182"/>
      <c r="DA280" s="182"/>
      <c r="DB280" s="182"/>
      <c r="DC280" s="182"/>
      <c r="DD280" s="182"/>
      <c r="DE280" s="182"/>
      <c r="DF280" s="182"/>
      <c r="DG280" s="182"/>
      <c r="DH280" s="182"/>
      <c r="DI280" s="182"/>
      <c r="DJ280" s="182"/>
      <c r="DK280" s="182"/>
      <c r="DL280" s="182"/>
      <c r="DM280" s="182"/>
      <c r="DN280" s="182"/>
      <c r="DO280" s="182"/>
      <c r="DP280" s="182"/>
      <c r="DQ280" s="182"/>
      <c r="DR280" s="182"/>
      <c r="DS280" s="182"/>
      <c r="DT280" s="182"/>
      <c r="DU280" s="182"/>
      <c r="DV280" s="182"/>
      <c r="DW280" s="182"/>
      <c r="DX280" s="182"/>
      <c r="DY280" s="182"/>
      <c r="DZ280" s="182"/>
      <c r="EA280" s="182"/>
      <c r="EB280" s="182"/>
      <c r="EC280" s="182"/>
      <c r="ED280" s="182"/>
      <c r="EE280" s="182"/>
      <c r="EF280" s="182"/>
      <c r="EG280" s="182"/>
      <c r="EH280" s="182"/>
      <c r="EI280" s="182"/>
      <c r="EJ280" s="182"/>
      <c r="EK280" s="182"/>
      <c r="EL280" s="182"/>
      <c r="EM280" s="182"/>
      <c r="EN280" s="182"/>
      <c r="EO280" s="182"/>
      <c r="EP280" s="182"/>
      <c r="EQ280" s="182"/>
      <c r="ER280" s="182"/>
      <c r="ES280" s="182"/>
      <c r="ET280" s="182"/>
      <c r="EU280" s="182"/>
      <c r="EV280" s="182"/>
      <c r="EW280" s="182"/>
      <c r="EX280" s="182"/>
      <c r="EY280" s="182"/>
      <c r="EZ280" s="182"/>
      <c r="FA280" s="182"/>
      <c r="FB280" s="182"/>
      <c r="FC280" s="182"/>
      <c r="FD280" s="182"/>
      <c r="FE280" s="182"/>
      <c r="FF280" s="182"/>
      <c r="FG280" s="182"/>
      <c r="FH280" s="182"/>
      <c r="FI280" s="182"/>
      <c r="FJ280" s="182"/>
      <c r="FK280" s="182"/>
      <c r="FL280" s="182"/>
      <c r="FM280" s="182"/>
      <c r="FN280" s="182"/>
      <c r="FO280" s="182"/>
      <c r="FP280" s="182"/>
      <c r="FQ280" s="182"/>
      <c r="FR280" s="182"/>
      <c r="FS280" s="182"/>
      <c r="FT280" s="182"/>
      <c r="FU280" s="182"/>
      <c r="FV280" s="182"/>
      <c r="FW280" s="182"/>
      <c r="FX280" s="182"/>
      <c r="FY280" s="182"/>
      <c r="FZ280" s="182"/>
      <c r="GA280" s="182"/>
      <c r="GB280" s="182"/>
      <c r="GC280" s="182"/>
      <c r="GD280" s="182"/>
      <c r="GE280" s="182"/>
      <c r="GF280" s="182"/>
      <c r="GG280" s="182"/>
      <c r="GH280" s="182"/>
      <c r="GI280" s="182"/>
    </row>
    <row r="281" spans="1:191" s="183" customFormat="1" x14ac:dyDescent="0.2">
      <c r="A281" s="210" t="s">
        <v>38586</v>
      </c>
      <c r="B281" s="210" t="s">
        <v>19129</v>
      </c>
      <c r="C281" s="224" t="s">
        <v>22386</v>
      </c>
      <c r="D281" s="211" t="s">
        <v>16</v>
      </c>
      <c r="E281" s="211">
        <v>2</v>
      </c>
      <c r="F281" s="211"/>
      <c r="G281" s="211">
        <v>0.3</v>
      </c>
      <c r="H281" s="212"/>
      <c r="I281" s="213"/>
      <c r="J281" s="272">
        <v>1465.2</v>
      </c>
      <c r="K281" s="112">
        <f t="shared" si="20"/>
        <v>2930.4</v>
      </c>
      <c r="L281" s="273">
        <f>BDI!$E$17</f>
        <v>0.11260000000000001</v>
      </c>
      <c r="M281" s="213"/>
      <c r="N281" s="213"/>
      <c r="O281" s="114">
        <f t="shared" si="21"/>
        <v>1630.18</v>
      </c>
      <c r="P281" s="113">
        <f t="shared" si="22"/>
        <v>978.11</v>
      </c>
      <c r="Q281" s="209"/>
      <c r="R281" s="203"/>
      <c r="S281" s="182"/>
      <c r="T281" s="182"/>
      <c r="U281" s="182"/>
      <c r="V281" s="182"/>
      <c r="W281" s="182"/>
      <c r="X281" s="182"/>
      <c r="Y281" s="182"/>
      <c r="Z281" s="182"/>
      <c r="AA281" s="182"/>
      <c r="AB281" s="182"/>
      <c r="AC281" s="182"/>
      <c r="AD281" s="182"/>
      <c r="AE281" s="182"/>
      <c r="AF281" s="182"/>
      <c r="AG281" s="182"/>
      <c r="AH281" s="182"/>
      <c r="AI281" s="182"/>
      <c r="AJ281" s="182"/>
      <c r="AK281" s="182"/>
      <c r="AL281" s="182"/>
      <c r="AM281" s="182"/>
      <c r="AN281" s="182"/>
      <c r="AO281" s="182"/>
      <c r="AP281" s="182"/>
      <c r="AQ281" s="182"/>
      <c r="AR281" s="182"/>
      <c r="AS281" s="182"/>
      <c r="AT281" s="182"/>
      <c r="AU281" s="182"/>
      <c r="AV281" s="182"/>
      <c r="AW281" s="182"/>
      <c r="AX281" s="182"/>
      <c r="AY281" s="182"/>
      <c r="AZ281" s="182"/>
      <c r="BA281" s="182"/>
      <c r="BB281" s="182"/>
      <c r="BC281" s="182"/>
      <c r="BD281" s="182"/>
      <c r="BE281" s="182"/>
      <c r="BF281" s="182"/>
      <c r="BG281" s="182"/>
      <c r="BH281" s="182"/>
      <c r="BI281" s="182"/>
      <c r="BJ281" s="182"/>
      <c r="BK281" s="182"/>
      <c r="BL281" s="182"/>
      <c r="BM281" s="182"/>
      <c r="BN281" s="182"/>
      <c r="BO281" s="182"/>
      <c r="BP281" s="182"/>
      <c r="BQ281" s="182"/>
      <c r="BR281" s="182"/>
      <c r="BS281" s="182"/>
      <c r="BT281" s="182"/>
      <c r="BU281" s="182"/>
      <c r="BV281" s="182"/>
      <c r="BW281" s="182"/>
      <c r="BX281" s="182"/>
      <c r="BY281" s="182"/>
      <c r="BZ281" s="182"/>
      <c r="CA281" s="182"/>
      <c r="CB281" s="182"/>
      <c r="CC281" s="182"/>
      <c r="CD281" s="182"/>
      <c r="CE281" s="182"/>
      <c r="CF281" s="182"/>
      <c r="CG281" s="182"/>
      <c r="CH281" s="182"/>
      <c r="CI281" s="182"/>
      <c r="CJ281" s="182"/>
      <c r="CK281" s="182"/>
      <c r="CL281" s="182"/>
      <c r="CM281" s="182"/>
      <c r="CN281" s="182"/>
      <c r="CO281" s="182"/>
      <c r="CP281" s="182"/>
      <c r="CQ281" s="182"/>
      <c r="CR281" s="182"/>
      <c r="CS281" s="182"/>
      <c r="CT281" s="182"/>
      <c r="CU281" s="182"/>
      <c r="CV281" s="182"/>
      <c r="CW281" s="182"/>
      <c r="CX281" s="182"/>
      <c r="CY281" s="182"/>
      <c r="CZ281" s="182"/>
      <c r="DA281" s="182"/>
      <c r="DB281" s="182"/>
      <c r="DC281" s="182"/>
      <c r="DD281" s="182"/>
      <c r="DE281" s="182"/>
      <c r="DF281" s="182"/>
      <c r="DG281" s="182"/>
      <c r="DH281" s="182"/>
      <c r="DI281" s="182"/>
      <c r="DJ281" s="182"/>
      <c r="DK281" s="182"/>
      <c r="DL281" s="182"/>
      <c r="DM281" s="182"/>
      <c r="DN281" s="182"/>
      <c r="DO281" s="182"/>
      <c r="DP281" s="182"/>
      <c r="DQ281" s="182"/>
      <c r="DR281" s="182"/>
      <c r="DS281" s="182"/>
      <c r="DT281" s="182"/>
      <c r="DU281" s="182"/>
      <c r="DV281" s="182"/>
      <c r="DW281" s="182"/>
      <c r="DX281" s="182"/>
      <c r="DY281" s="182"/>
      <c r="DZ281" s="182"/>
      <c r="EA281" s="182"/>
      <c r="EB281" s="182"/>
      <c r="EC281" s="182"/>
      <c r="ED281" s="182"/>
      <c r="EE281" s="182"/>
      <c r="EF281" s="182"/>
      <c r="EG281" s="182"/>
      <c r="EH281" s="182"/>
      <c r="EI281" s="182"/>
      <c r="EJ281" s="182"/>
      <c r="EK281" s="182"/>
      <c r="EL281" s="182"/>
      <c r="EM281" s="182"/>
      <c r="EN281" s="182"/>
      <c r="EO281" s="182"/>
      <c r="EP281" s="182"/>
      <c r="EQ281" s="182"/>
      <c r="ER281" s="182"/>
      <c r="ES281" s="182"/>
      <c r="ET281" s="182"/>
      <c r="EU281" s="182"/>
      <c r="EV281" s="182"/>
      <c r="EW281" s="182"/>
      <c r="EX281" s="182"/>
      <c r="EY281" s="182"/>
      <c r="EZ281" s="182"/>
      <c r="FA281" s="182"/>
      <c r="FB281" s="182"/>
      <c r="FC281" s="182"/>
      <c r="FD281" s="182"/>
      <c r="FE281" s="182"/>
      <c r="FF281" s="182"/>
      <c r="FG281" s="182"/>
      <c r="FH281" s="182"/>
      <c r="FI281" s="182"/>
      <c r="FJ281" s="182"/>
      <c r="FK281" s="182"/>
      <c r="FL281" s="182"/>
      <c r="FM281" s="182"/>
      <c r="FN281" s="182"/>
      <c r="FO281" s="182"/>
      <c r="FP281" s="182"/>
      <c r="FQ281" s="182"/>
      <c r="FR281" s="182"/>
      <c r="FS281" s="182"/>
      <c r="FT281" s="182"/>
      <c r="FU281" s="182"/>
      <c r="FV281" s="182"/>
      <c r="FW281" s="182"/>
      <c r="FX281" s="182"/>
      <c r="FY281" s="182"/>
      <c r="FZ281" s="182"/>
      <c r="GA281" s="182"/>
      <c r="GB281" s="182"/>
      <c r="GC281" s="182"/>
      <c r="GD281" s="182"/>
      <c r="GE281" s="182"/>
      <c r="GF281" s="182"/>
      <c r="GG281" s="182"/>
      <c r="GH281" s="182"/>
      <c r="GI281" s="182"/>
    </row>
    <row r="282" spans="1:191" s="183" customFormat="1" x14ac:dyDescent="0.2">
      <c r="A282" s="210" t="s">
        <v>38587</v>
      </c>
      <c r="B282" s="210" t="s">
        <v>19130</v>
      </c>
      <c r="C282" s="224" t="s">
        <v>22387</v>
      </c>
      <c r="D282" s="211" t="s">
        <v>16</v>
      </c>
      <c r="E282" s="211">
        <v>2</v>
      </c>
      <c r="F282" s="211"/>
      <c r="G282" s="211">
        <v>0.3</v>
      </c>
      <c r="H282" s="212"/>
      <c r="I282" s="213"/>
      <c r="J282" s="272">
        <v>1927.4</v>
      </c>
      <c r="K282" s="112">
        <f t="shared" si="20"/>
        <v>3854.8</v>
      </c>
      <c r="L282" s="273">
        <f>BDI!$E$17</f>
        <v>0.11260000000000001</v>
      </c>
      <c r="M282" s="213"/>
      <c r="N282" s="213"/>
      <c r="O282" s="114">
        <f t="shared" si="21"/>
        <v>2144.4299999999998</v>
      </c>
      <c r="P282" s="113">
        <f t="shared" si="22"/>
        <v>1286.6600000000001</v>
      </c>
      <c r="Q282" s="209"/>
      <c r="R282" s="203"/>
      <c r="S282" s="182"/>
      <c r="T282" s="182"/>
      <c r="U282" s="182"/>
      <c r="V282" s="182"/>
      <c r="W282" s="182"/>
      <c r="X282" s="182"/>
      <c r="Y282" s="182"/>
      <c r="Z282" s="182"/>
      <c r="AA282" s="182"/>
      <c r="AB282" s="182"/>
      <c r="AC282" s="182"/>
      <c r="AD282" s="182"/>
      <c r="AE282" s="182"/>
      <c r="AF282" s="182"/>
      <c r="AG282" s="182"/>
      <c r="AH282" s="182"/>
      <c r="AI282" s="182"/>
      <c r="AJ282" s="182"/>
      <c r="AK282" s="182"/>
      <c r="AL282" s="182"/>
      <c r="AM282" s="182"/>
      <c r="AN282" s="182"/>
      <c r="AO282" s="182"/>
      <c r="AP282" s="182"/>
      <c r="AQ282" s="182"/>
      <c r="AR282" s="182"/>
      <c r="AS282" s="182"/>
      <c r="AT282" s="182"/>
      <c r="AU282" s="182"/>
      <c r="AV282" s="182"/>
      <c r="AW282" s="182"/>
      <c r="AX282" s="182"/>
      <c r="AY282" s="182"/>
      <c r="AZ282" s="182"/>
      <c r="BA282" s="182"/>
      <c r="BB282" s="182"/>
      <c r="BC282" s="182"/>
      <c r="BD282" s="182"/>
      <c r="BE282" s="182"/>
      <c r="BF282" s="182"/>
      <c r="BG282" s="182"/>
      <c r="BH282" s="182"/>
      <c r="BI282" s="182"/>
      <c r="BJ282" s="182"/>
      <c r="BK282" s="182"/>
      <c r="BL282" s="182"/>
      <c r="BM282" s="182"/>
      <c r="BN282" s="182"/>
      <c r="BO282" s="182"/>
      <c r="BP282" s="182"/>
      <c r="BQ282" s="182"/>
      <c r="BR282" s="182"/>
      <c r="BS282" s="182"/>
      <c r="BT282" s="182"/>
      <c r="BU282" s="182"/>
      <c r="BV282" s="182"/>
      <c r="BW282" s="182"/>
      <c r="BX282" s="182"/>
      <c r="BY282" s="182"/>
      <c r="BZ282" s="182"/>
      <c r="CA282" s="182"/>
      <c r="CB282" s="182"/>
      <c r="CC282" s="182"/>
      <c r="CD282" s="182"/>
      <c r="CE282" s="182"/>
      <c r="CF282" s="182"/>
      <c r="CG282" s="182"/>
      <c r="CH282" s="182"/>
      <c r="CI282" s="182"/>
      <c r="CJ282" s="182"/>
      <c r="CK282" s="182"/>
      <c r="CL282" s="182"/>
      <c r="CM282" s="182"/>
      <c r="CN282" s="182"/>
      <c r="CO282" s="182"/>
      <c r="CP282" s="182"/>
      <c r="CQ282" s="182"/>
      <c r="CR282" s="182"/>
      <c r="CS282" s="182"/>
      <c r="CT282" s="182"/>
      <c r="CU282" s="182"/>
      <c r="CV282" s="182"/>
      <c r="CW282" s="182"/>
      <c r="CX282" s="182"/>
      <c r="CY282" s="182"/>
      <c r="CZ282" s="182"/>
      <c r="DA282" s="182"/>
      <c r="DB282" s="182"/>
      <c r="DC282" s="182"/>
      <c r="DD282" s="182"/>
      <c r="DE282" s="182"/>
      <c r="DF282" s="182"/>
      <c r="DG282" s="182"/>
      <c r="DH282" s="182"/>
      <c r="DI282" s="182"/>
      <c r="DJ282" s="182"/>
      <c r="DK282" s="182"/>
      <c r="DL282" s="182"/>
      <c r="DM282" s="182"/>
      <c r="DN282" s="182"/>
      <c r="DO282" s="182"/>
      <c r="DP282" s="182"/>
      <c r="DQ282" s="182"/>
      <c r="DR282" s="182"/>
      <c r="DS282" s="182"/>
      <c r="DT282" s="182"/>
      <c r="DU282" s="182"/>
      <c r="DV282" s="182"/>
      <c r="DW282" s="182"/>
      <c r="DX282" s="182"/>
      <c r="DY282" s="182"/>
      <c r="DZ282" s="182"/>
      <c r="EA282" s="182"/>
      <c r="EB282" s="182"/>
      <c r="EC282" s="182"/>
      <c r="ED282" s="182"/>
      <c r="EE282" s="182"/>
      <c r="EF282" s="182"/>
      <c r="EG282" s="182"/>
      <c r="EH282" s="182"/>
      <c r="EI282" s="182"/>
      <c r="EJ282" s="182"/>
      <c r="EK282" s="182"/>
      <c r="EL282" s="182"/>
      <c r="EM282" s="182"/>
      <c r="EN282" s="182"/>
      <c r="EO282" s="182"/>
      <c r="EP282" s="182"/>
      <c r="EQ282" s="182"/>
      <c r="ER282" s="182"/>
      <c r="ES282" s="182"/>
      <c r="ET282" s="182"/>
      <c r="EU282" s="182"/>
      <c r="EV282" s="182"/>
      <c r="EW282" s="182"/>
      <c r="EX282" s="182"/>
      <c r="EY282" s="182"/>
      <c r="EZ282" s="182"/>
      <c r="FA282" s="182"/>
      <c r="FB282" s="182"/>
      <c r="FC282" s="182"/>
      <c r="FD282" s="182"/>
      <c r="FE282" s="182"/>
      <c r="FF282" s="182"/>
      <c r="FG282" s="182"/>
      <c r="FH282" s="182"/>
      <c r="FI282" s="182"/>
      <c r="FJ282" s="182"/>
      <c r="FK282" s="182"/>
      <c r="FL282" s="182"/>
      <c r="FM282" s="182"/>
      <c r="FN282" s="182"/>
      <c r="FO282" s="182"/>
      <c r="FP282" s="182"/>
      <c r="FQ282" s="182"/>
      <c r="FR282" s="182"/>
      <c r="FS282" s="182"/>
      <c r="FT282" s="182"/>
      <c r="FU282" s="182"/>
      <c r="FV282" s="182"/>
      <c r="FW282" s="182"/>
      <c r="FX282" s="182"/>
      <c r="FY282" s="182"/>
      <c r="FZ282" s="182"/>
      <c r="GA282" s="182"/>
      <c r="GB282" s="182"/>
      <c r="GC282" s="182"/>
      <c r="GD282" s="182"/>
      <c r="GE282" s="182"/>
      <c r="GF282" s="182"/>
      <c r="GG282" s="182"/>
      <c r="GH282" s="182"/>
      <c r="GI282" s="182"/>
    </row>
    <row r="283" spans="1:191" s="183" customFormat="1" x14ac:dyDescent="0.2">
      <c r="A283" s="210" t="s">
        <v>38588</v>
      </c>
      <c r="B283" s="210" t="s">
        <v>19131</v>
      </c>
      <c r="C283" s="224" t="s">
        <v>22388</v>
      </c>
      <c r="D283" s="211" t="s">
        <v>16</v>
      </c>
      <c r="E283" s="211">
        <v>2</v>
      </c>
      <c r="F283" s="211"/>
      <c r="G283" s="211">
        <v>0.3</v>
      </c>
      <c r="H283" s="212"/>
      <c r="I283" s="213"/>
      <c r="J283" s="272">
        <v>2808.45</v>
      </c>
      <c r="K283" s="112">
        <f t="shared" si="20"/>
        <v>5616.9</v>
      </c>
      <c r="L283" s="273">
        <f>BDI!$E$17</f>
        <v>0.11260000000000001</v>
      </c>
      <c r="M283" s="213"/>
      <c r="N283" s="213"/>
      <c r="O283" s="114">
        <f t="shared" si="21"/>
        <v>3124.68</v>
      </c>
      <c r="P283" s="113">
        <f t="shared" si="22"/>
        <v>1874.81</v>
      </c>
      <c r="Q283" s="209"/>
      <c r="R283" s="203"/>
      <c r="S283" s="182"/>
      <c r="T283" s="182"/>
      <c r="U283" s="182"/>
      <c r="V283" s="182"/>
      <c r="W283" s="182"/>
      <c r="X283" s="182"/>
      <c r="Y283" s="182"/>
      <c r="Z283" s="182"/>
      <c r="AA283" s="182"/>
      <c r="AB283" s="182"/>
      <c r="AC283" s="182"/>
      <c r="AD283" s="182"/>
      <c r="AE283" s="182"/>
      <c r="AF283" s="182"/>
      <c r="AG283" s="182"/>
      <c r="AH283" s="182"/>
      <c r="AI283" s="182"/>
      <c r="AJ283" s="182"/>
      <c r="AK283" s="182"/>
      <c r="AL283" s="182"/>
      <c r="AM283" s="182"/>
      <c r="AN283" s="182"/>
      <c r="AO283" s="182"/>
      <c r="AP283" s="182"/>
      <c r="AQ283" s="182"/>
      <c r="AR283" s="182"/>
      <c r="AS283" s="182"/>
      <c r="AT283" s="182"/>
      <c r="AU283" s="182"/>
      <c r="AV283" s="182"/>
      <c r="AW283" s="182"/>
      <c r="AX283" s="182"/>
      <c r="AY283" s="182"/>
      <c r="AZ283" s="182"/>
      <c r="BA283" s="182"/>
      <c r="BB283" s="182"/>
      <c r="BC283" s="182"/>
      <c r="BD283" s="182"/>
      <c r="BE283" s="182"/>
      <c r="BF283" s="182"/>
      <c r="BG283" s="182"/>
      <c r="BH283" s="182"/>
      <c r="BI283" s="182"/>
      <c r="BJ283" s="182"/>
      <c r="BK283" s="182"/>
      <c r="BL283" s="182"/>
      <c r="BM283" s="182"/>
      <c r="BN283" s="182"/>
      <c r="BO283" s="182"/>
      <c r="BP283" s="182"/>
      <c r="BQ283" s="182"/>
      <c r="BR283" s="182"/>
      <c r="BS283" s="182"/>
      <c r="BT283" s="182"/>
      <c r="BU283" s="182"/>
      <c r="BV283" s="182"/>
      <c r="BW283" s="182"/>
      <c r="BX283" s="182"/>
      <c r="BY283" s="182"/>
      <c r="BZ283" s="182"/>
      <c r="CA283" s="182"/>
      <c r="CB283" s="182"/>
      <c r="CC283" s="182"/>
      <c r="CD283" s="182"/>
      <c r="CE283" s="182"/>
      <c r="CF283" s="182"/>
      <c r="CG283" s="182"/>
      <c r="CH283" s="182"/>
      <c r="CI283" s="182"/>
      <c r="CJ283" s="182"/>
      <c r="CK283" s="182"/>
      <c r="CL283" s="182"/>
      <c r="CM283" s="182"/>
      <c r="CN283" s="182"/>
      <c r="CO283" s="182"/>
      <c r="CP283" s="182"/>
      <c r="CQ283" s="182"/>
      <c r="CR283" s="182"/>
      <c r="CS283" s="182"/>
      <c r="CT283" s="182"/>
      <c r="CU283" s="182"/>
      <c r="CV283" s="182"/>
      <c r="CW283" s="182"/>
      <c r="CX283" s="182"/>
      <c r="CY283" s="182"/>
      <c r="CZ283" s="182"/>
      <c r="DA283" s="182"/>
      <c r="DB283" s="182"/>
      <c r="DC283" s="182"/>
      <c r="DD283" s="182"/>
      <c r="DE283" s="182"/>
      <c r="DF283" s="182"/>
      <c r="DG283" s="182"/>
      <c r="DH283" s="182"/>
      <c r="DI283" s="182"/>
      <c r="DJ283" s="182"/>
      <c r="DK283" s="182"/>
      <c r="DL283" s="182"/>
      <c r="DM283" s="182"/>
      <c r="DN283" s="182"/>
      <c r="DO283" s="182"/>
      <c r="DP283" s="182"/>
      <c r="DQ283" s="182"/>
      <c r="DR283" s="182"/>
      <c r="DS283" s="182"/>
      <c r="DT283" s="182"/>
      <c r="DU283" s="182"/>
      <c r="DV283" s="182"/>
      <c r="DW283" s="182"/>
      <c r="DX283" s="182"/>
      <c r="DY283" s="182"/>
      <c r="DZ283" s="182"/>
      <c r="EA283" s="182"/>
      <c r="EB283" s="182"/>
      <c r="EC283" s="182"/>
      <c r="ED283" s="182"/>
      <c r="EE283" s="182"/>
      <c r="EF283" s="182"/>
      <c r="EG283" s="182"/>
      <c r="EH283" s="182"/>
      <c r="EI283" s="182"/>
      <c r="EJ283" s="182"/>
      <c r="EK283" s="182"/>
      <c r="EL283" s="182"/>
      <c r="EM283" s="182"/>
      <c r="EN283" s="182"/>
      <c r="EO283" s="182"/>
      <c r="EP283" s="182"/>
      <c r="EQ283" s="182"/>
      <c r="ER283" s="182"/>
      <c r="ES283" s="182"/>
      <c r="ET283" s="182"/>
      <c r="EU283" s="182"/>
      <c r="EV283" s="182"/>
      <c r="EW283" s="182"/>
      <c r="EX283" s="182"/>
      <c r="EY283" s="182"/>
      <c r="EZ283" s="182"/>
      <c r="FA283" s="182"/>
      <c r="FB283" s="182"/>
      <c r="FC283" s="182"/>
      <c r="FD283" s="182"/>
      <c r="FE283" s="182"/>
      <c r="FF283" s="182"/>
      <c r="FG283" s="182"/>
      <c r="FH283" s="182"/>
      <c r="FI283" s="182"/>
      <c r="FJ283" s="182"/>
      <c r="FK283" s="182"/>
      <c r="FL283" s="182"/>
      <c r="FM283" s="182"/>
      <c r="FN283" s="182"/>
      <c r="FO283" s="182"/>
      <c r="FP283" s="182"/>
      <c r="FQ283" s="182"/>
      <c r="FR283" s="182"/>
      <c r="FS283" s="182"/>
      <c r="FT283" s="182"/>
      <c r="FU283" s="182"/>
      <c r="FV283" s="182"/>
      <c r="FW283" s="182"/>
      <c r="FX283" s="182"/>
      <c r="FY283" s="182"/>
      <c r="FZ283" s="182"/>
      <c r="GA283" s="182"/>
      <c r="GB283" s="182"/>
      <c r="GC283" s="182"/>
      <c r="GD283" s="182"/>
      <c r="GE283" s="182"/>
      <c r="GF283" s="182"/>
      <c r="GG283" s="182"/>
      <c r="GH283" s="182"/>
      <c r="GI283" s="182"/>
    </row>
    <row r="284" spans="1:191" s="183" customFormat="1" x14ac:dyDescent="0.2">
      <c r="A284" s="210" t="s">
        <v>38589</v>
      </c>
      <c r="B284" s="210" t="s">
        <v>19132</v>
      </c>
      <c r="C284" s="224" t="s">
        <v>22389</v>
      </c>
      <c r="D284" s="211" t="s">
        <v>16</v>
      </c>
      <c r="E284" s="211">
        <v>2</v>
      </c>
      <c r="F284" s="211"/>
      <c r="G284" s="211">
        <v>0.3</v>
      </c>
      <c r="H284" s="212"/>
      <c r="I284" s="213"/>
      <c r="J284" s="272">
        <v>4720.91</v>
      </c>
      <c r="K284" s="112">
        <f t="shared" si="20"/>
        <v>9441.82</v>
      </c>
      <c r="L284" s="273">
        <f>BDI!$E$17</f>
        <v>0.11260000000000001</v>
      </c>
      <c r="M284" s="213"/>
      <c r="N284" s="213"/>
      <c r="O284" s="114">
        <f t="shared" si="21"/>
        <v>5252.48</v>
      </c>
      <c r="P284" s="113">
        <f t="shared" si="22"/>
        <v>3151.49</v>
      </c>
      <c r="Q284" s="209"/>
      <c r="R284" s="203"/>
      <c r="S284" s="182"/>
      <c r="T284" s="182"/>
      <c r="U284" s="182"/>
      <c r="V284" s="182"/>
      <c r="W284" s="182"/>
      <c r="X284" s="182"/>
      <c r="Y284" s="182"/>
      <c r="Z284" s="182"/>
      <c r="AA284" s="182"/>
      <c r="AB284" s="182"/>
      <c r="AC284" s="182"/>
      <c r="AD284" s="182"/>
      <c r="AE284" s="182"/>
      <c r="AF284" s="182"/>
      <c r="AG284" s="182"/>
      <c r="AH284" s="182"/>
      <c r="AI284" s="182"/>
      <c r="AJ284" s="182"/>
      <c r="AK284" s="182"/>
      <c r="AL284" s="182"/>
      <c r="AM284" s="182"/>
      <c r="AN284" s="182"/>
      <c r="AO284" s="182"/>
      <c r="AP284" s="182"/>
      <c r="AQ284" s="182"/>
      <c r="AR284" s="182"/>
      <c r="AS284" s="182"/>
      <c r="AT284" s="182"/>
      <c r="AU284" s="182"/>
      <c r="AV284" s="182"/>
      <c r="AW284" s="182"/>
      <c r="AX284" s="182"/>
      <c r="AY284" s="182"/>
      <c r="AZ284" s="182"/>
      <c r="BA284" s="182"/>
      <c r="BB284" s="182"/>
      <c r="BC284" s="182"/>
      <c r="BD284" s="182"/>
      <c r="BE284" s="182"/>
      <c r="BF284" s="182"/>
      <c r="BG284" s="182"/>
      <c r="BH284" s="182"/>
      <c r="BI284" s="182"/>
      <c r="BJ284" s="182"/>
      <c r="BK284" s="182"/>
      <c r="BL284" s="182"/>
      <c r="BM284" s="182"/>
      <c r="BN284" s="182"/>
      <c r="BO284" s="182"/>
      <c r="BP284" s="182"/>
      <c r="BQ284" s="182"/>
      <c r="BR284" s="182"/>
      <c r="BS284" s="182"/>
      <c r="BT284" s="182"/>
      <c r="BU284" s="182"/>
      <c r="BV284" s="182"/>
      <c r="BW284" s="182"/>
      <c r="BX284" s="182"/>
      <c r="BY284" s="182"/>
      <c r="BZ284" s="182"/>
      <c r="CA284" s="182"/>
      <c r="CB284" s="182"/>
      <c r="CC284" s="182"/>
      <c r="CD284" s="182"/>
      <c r="CE284" s="182"/>
      <c r="CF284" s="182"/>
      <c r="CG284" s="182"/>
      <c r="CH284" s="182"/>
      <c r="CI284" s="182"/>
      <c r="CJ284" s="182"/>
      <c r="CK284" s="182"/>
      <c r="CL284" s="182"/>
      <c r="CM284" s="182"/>
      <c r="CN284" s="182"/>
      <c r="CO284" s="182"/>
      <c r="CP284" s="182"/>
      <c r="CQ284" s="182"/>
      <c r="CR284" s="182"/>
      <c r="CS284" s="182"/>
      <c r="CT284" s="182"/>
      <c r="CU284" s="182"/>
      <c r="CV284" s="182"/>
      <c r="CW284" s="182"/>
      <c r="CX284" s="182"/>
      <c r="CY284" s="182"/>
      <c r="CZ284" s="182"/>
      <c r="DA284" s="182"/>
      <c r="DB284" s="182"/>
      <c r="DC284" s="182"/>
      <c r="DD284" s="182"/>
      <c r="DE284" s="182"/>
      <c r="DF284" s="182"/>
      <c r="DG284" s="182"/>
      <c r="DH284" s="182"/>
      <c r="DI284" s="182"/>
      <c r="DJ284" s="182"/>
      <c r="DK284" s="182"/>
      <c r="DL284" s="182"/>
      <c r="DM284" s="182"/>
      <c r="DN284" s="182"/>
      <c r="DO284" s="182"/>
      <c r="DP284" s="182"/>
      <c r="DQ284" s="182"/>
      <c r="DR284" s="182"/>
      <c r="DS284" s="182"/>
      <c r="DT284" s="182"/>
      <c r="DU284" s="182"/>
      <c r="DV284" s="182"/>
      <c r="DW284" s="182"/>
      <c r="DX284" s="182"/>
      <c r="DY284" s="182"/>
      <c r="DZ284" s="182"/>
      <c r="EA284" s="182"/>
      <c r="EB284" s="182"/>
      <c r="EC284" s="182"/>
      <c r="ED284" s="182"/>
      <c r="EE284" s="182"/>
      <c r="EF284" s="182"/>
      <c r="EG284" s="182"/>
      <c r="EH284" s="182"/>
      <c r="EI284" s="182"/>
      <c r="EJ284" s="182"/>
      <c r="EK284" s="182"/>
      <c r="EL284" s="182"/>
      <c r="EM284" s="182"/>
      <c r="EN284" s="182"/>
      <c r="EO284" s="182"/>
      <c r="EP284" s="182"/>
      <c r="EQ284" s="182"/>
      <c r="ER284" s="182"/>
      <c r="ES284" s="182"/>
      <c r="ET284" s="182"/>
      <c r="EU284" s="182"/>
      <c r="EV284" s="182"/>
      <c r="EW284" s="182"/>
      <c r="EX284" s="182"/>
      <c r="EY284" s="182"/>
      <c r="EZ284" s="182"/>
      <c r="FA284" s="182"/>
      <c r="FB284" s="182"/>
      <c r="FC284" s="182"/>
      <c r="FD284" s="182"/>
      <c r="FE284" s="182"/>
      <c r="FF284" s="182"/>
      <c r="FG284" s="182"/>
      <c r="FH284" s="182"/>
      <c r="FI284" s="182"/>
      <c r="FJ284" s="182"/>
      <c r="FK284" s="182"/>
      <c r="FL284" s="182"/>
      <c r="FM284" s="182"/>
      <c r="FN284" s="182"/>
      <c r="FO284" s="182"/>
      <c r="FP284" s="182"/>
      <c r="FQ284" s="182"/>
      <c r="FR284" s="182"/>
      <c r="FS284" s="182"/>
      <c r="FT284" s="182"/>
      <c r="FU284" s="182"/>
      <c r="FV284" s="182"/>
      <c r="FW284" s="182"/>
      <c r="FX284" s="182"/>
      <c r="FY284" s="182"/>
      <c r="FZ284" s="182"/>
      <c r="GA284" s="182"/>
      <c r="GB284" s="182"/>
      <c r="GC284" s="182"/>
      <c r="GD284" s="182"/>
      <c r="GE284" s="182"/>
      <c r="GF284" s="182"/>
      <c r="GG284" s="182"/>
      <c r="GH284" s="182"/>
      <c r="GI284" s="182"/>
    </row>
    <row r="285" spans="1:191" s="183" customFormat="1" x14ac:dyDescent="0.2">
      <c r="A285" s="210" t="s">
        <v>38590</v>
      </c>
      <c r="B285" s="210" t="s">
        <v>19133</v>
      </c>
      <c r="C285" s="224" t="s">
        <v>22390</v>
      </c>
      <c r="D285" s="211" t="s">
        <v>16</v>
      </c>
      <c r="E285" s="211">
        <v>2</v>
      </c>
      <c r="F285" s="211"/>
      <c r="G285" s="211">
        <v>0.3</v>
      </c>
      <c r="H285" s="212"/>
      <c r="I285" s="213"/>
      <c r="J285" s="272">
        <v>4514.3999999999996</v>
      </c>
      <c r="K285" s="112">
        <f t="shared" si="20"/>
        <v>9028.7999999999993</v>
      </c>
      <c r="L285" s="273">
        <f>BDI!$E$17</f>
        <v>0.11260000000000001</v>
      </c>
      <c r="M285" s="213"/>
      <c r="N285" s="213"/>
      <c r="O285" s="114">
        <f t="shared" si="21"/>
        <v>5022.72</v>
      </c>
      <c r="P285" s="113">
        <f t="shared" si="22"/>
        <v>3013.63</v>
      </c>
      <c r="Q285" s="209"/>
      <c r="R285" s="203"/>
      <c r="S285" s="182"/>
      <c r="T285" s="182"/>
      <c r="U285" s="182"/>
      <c r="V285" s="182"/>
      <c r="W285" s="182"/>
      <c r="X285" s="182"/>
      <c r="Y285" s="182"/>
      <c r="Z285" s="182"/>
      <c r="AA285" s="182"/>
      <c r="AB285" s="182"/>
      <c r="AC285" s="182"/>
      <c r="AD285" s="182"/>
      <c r="AE285" s="182"/>
      <c r="AF285" s="182"/>
      <c r="AG285" s="182"/>
      <c r="AH285" s="182"/>
      <c r="AI285" s="182"/>
      <c r="AJ285" s="182"/>
      <c r="AK285" s="182"/>
      <c r="AL285" s="182"/>
      <c r="AM285" s="182"/>
      <c r="AN285" s="182"/>
      <c r="AO285" s="182"/>
      <c r="AP285" s="182"/>
      <c r="AQ285" s="182"/>
      <c r="AR285" s="182"/>
      <c r="AS285" s="182"/>
      <c r="AT285" s="182"/>
      <c r="AU285" s="182"/>
      <c r="AV285" s="182"/>
      <c r="AW285" s="182"/>
      <c r="AX285" s="182"/>
      <c r="AY285" s="182"/>
      <c r="AZ285" s="182"/>
      <c r="BA285" s="182"/>
      <c r="BB285" s="182"/>
      <c r="BC285" s="182"/>
      <c r="BD285" s="182"/>
      <c r="BE285" s="182"/>
      <c r="BF285" s="182"/>
      <c r="BG285" s="182"/>
      <c r="BH285" s="182"/>
      <c r="BI285" s="182"/>
      <c r="BJ285" s="182"/>
      <c r="BK285" s="182"/>
      <c r="BL285" s="182"/>
      <c r="BM285" s="182"/>
      <c r="BN285" s="182"/>
      <c r="BO285" s="182"/>
      <c r="BP285" s="182"/>
      <c r="BQ285" s="182"/>
      <c r="BR285" s="182"/>
      <c r="BS285" s="182"/>
      <c r="BT285" s="182"/>
      <c r="BU285" s="182"/>
      <c r="BV285" s="182"/>
      <c r="BW285" s="182"/>
      <c r="BX285" s="182"/>
      <c r="BY285" s="182"/>
      <c r="BZ285" s="182"/>
      <c r="CA285" s="182"/>
      <c r="CB285" s="182"/>
      <c r="CC285" s="182"/>
      <c r="CD285" s="182"/>
      <c r="CE285" s="182"/>
      <c r="CF285" s="182"/>
      <c r="CG285" s="182"/>
      <c r="CH285" s="182"/>
      <c r="CI285" s="182"/>
      <c r="CJ285" s="182"/>
      <c r="CK285" s="182"/>
      <c r="CL285" s="182"/>
      <c r="CM285" s="182"/>
      <c r="CN285" s="182"/>
      <c r="CO285" s="182"/>
      <c r="CP285" s="182"/>
      <c r="CQ285" s="182"/>
      <c r="CR285" s="182"/>
      <c r="CS285" s="182"/>
      <c r="CT285" s="182"/>
      <c r="CU285" s="182"/>
      <c r="CV285" s="182"/>
      <c r="CW285" s="182"/>
      <c r="CX285" s="182"/>
      <c r="CY285" s="182"/>
      <c r="CZ285" s="182"/>
      <c r="DA285" s="182"/>
      <c r="DB285" s="182"/>
      <c r="DC285" s="182"/>
      <c r="DD285" s="182"/>
      <c r="DE285" s="182"/>
      <c r="DF285" s="182"/>
      <c r="DG285" s="182"/>
      <c r="DH285" s="182"/>
      <c r="DI285" s="182"/>
      <c r="DJ285" s="182"/>
      <c r="DK285" s="182"/>
      <c r="DL285" s="182"/>
      <c r="DM285" s="182"/>
      <c r="DN285" s="182"/>
      <c r="DO285" s="182"/>
      <c r="DP285" s="182"/>
      <c r="DQ285" s="182"/>
      <c r="DR285" s="182"/>
      <c r="DS285" s="182"/>
      <c r="DT285" s="182"/>
      <c r="DU285" s="182"/>
      <c r="DV285" s="182"/>
      <c r="DW285" s="182"/>
      <c r="DX285" s="182"/>
      <c r="DY285" s="182"/>
      <c r="DZ285" s="182"/>
      <c r="EA285" s="182"/>
      <c r="EB285" s="182"/>
      <c r="EC285" s="182"/>
      <c r="ED285" s="182"/>
      <c r="EE285" s="182"/>
      <c r="EF285" s="182"/>
      <c r="EG285" s="182"/>
      <c r="EH285" s="182"/>
      <c r="EI285" s="182"/>
      <c r="EJ285" s="182"/>
      <c r="EK285" s="182"/>
      <c r="EL285" s="182"/>
      <c r="EM285" s="182"/>
      <c r="EN285" s="182"/>
      <c r="EO285" s="182"/>
      <c r="EP285" s="182"/>
      <c r="EQ285" s="182"/>
      <c r="ER285" s="182"/>
      <c r="ES285" s="182"/>
      <c r="ET285" s="182"/>
      <c r="EU285" s="182"/>
      <c r="EV285" s="182"/>
      <c r="EW285" s="182"/>
      <c r="EX285" s="182"/>
      <c r="EY285" s="182"/>
      <c r="EZ285" s="182"/>
      <c r="FA285" s="182"/>
      <c r="FB285" s="182"/>
      <c r="FC285" s="182"/>
      <c r="FD285" s="182"/>
      <c r="FE285" s="182"/>
      <c r="FF285" s="182"/>
      <c r="FG285" s="182"/>
      <c r="FH285" s="182"/>
      <c r="FI285" s="182"/>
      <c r="FJ285" s="182"/>
      <c r="FK285" s="182"/>
      <c r="FL285" s="182"/>
      <c r="FM285" s="182"/>
      <c r="FN285" s="182"/>
      <c r="FO285" s="182"/>
      <c r="FP285" s="182"/>
      <c r="FQ285" s="182"/>
      <c r="FR285" s="182"/>
      <c r="FS285" s="182"/>
      <c r="FT285" s="182"/>
      <c r="FU285" s="182"/>
      <c r="FV285" s="182"/>
      <c r="FW285" s="182"/>
      <c r="FX285" s="182"/>
      <c r="FY285" s="182"/>
      <c r="FZ285" s="182"/>
      <c r="GA285" s="182"/>
      <c r="GB285" s="182"/>
      <c r="GC285" s="182"/>
      <c r="GD285" s="182"/>
      <c r="GE285" s="182"/>
      <c r="GF285" s="182"/>
      <c r="GG285" s="182"/>
      <c r="GH285" s="182"/>
      <c r="GI285" s="182"/>
    </row>
    <row r="286" spans="1:191" s="183" customFormat="1" x14ac:dyDescent="0.2">
      <c r="A286" s="210" t="s">
        <v>38591</v>
      </c>
      <c r="B286" s="210" t="s">
        <v>19134</v>
      </c>
      <c r="C286" s="224" t="s">
        <v>22391</v>
      </c>
      <c r="D286" s="211" t="s">
        <v>16</v>
      </c>
      <c r="E286" s="211">
        <v>2</v>
      </c>
      <c r="F286" s="211"/>
      <c r="G286" s="211">
        <v>0.3</v>
      </c>
      <c r="H286" s="212"/>
      <c r="I286" s="213"/>
      <c r="J286" s="272">
        <v>7004.82</v>
      </c>
      <c r="K286" s="112">
        <f t="shared" si="20"/>
        <v>14009.64</v>
      </c>
      <c r="L286" s="273">
        <f>BDI!$E$17</f>
        <v>0.11260000000000001</v>
      </c>
      <c r="M286" s="213"/>
      <c r="N286" s="213"/>
      <c r="O286" s="114">
        <f t="shared" si="21"/>
        <v>7793.56</v>
      </c>
      <c r="P286" s="113">
        <f t="shared" si="22"/>
        <v>4676.1400000000003</v>
      </c>
      <c r="Q286" s="209"/>
      <c r="R286" s="203"/>
      <c r="S286" s="182"/>
      <c r="T286" s="182"/>
      <c r="U286" s="182"/>
      <c r="V286" s="182"/>
      <c r="W286" s="182"/>
      <c r="X286" s="182"/>
      <c r="Y286" s="182"/>
      <c r="Z286" s="182"/>
      <c r="AA286" s="182"/>
      <c r="AB286" s="182"/>
      <c r="AC286" s="182"/>
      <c r="AD286" s="182"/>
      <c r="AE286" s="182"/>
      <c r="AF286" s="182"/>
      <c r="AG286" s="182"/>
      <c r="AH286" s="182"/>
      <c r="AI286" s="182"/>
      <c r="AJ286" s="182"/>
      <c r="AK286" s="182"/>
      <c r="AL286" s="182"/>
      <c r="AM286" s="182"/>
      <c r="AN286" s="182"/>
      <c r="AO286" s="182"/>
      <c r="AP286" s="182"/>
      <c r="AQ286" s="182"/>
      <c r="AR286" s="182"/>
      <c r="AS286" s="182"/>
      <c r="AT286" s="182"/>
      <c r="AU286" s="182"/>
      <c r="AV286" s="182"/>
      <c r="AW286" s="182"/>
      <c r="AX286" s="182"/>
      <c r="AY286" s="182"/>
      <c r="AZ286" s="182"/>
      <c r="BA286" s="182"/>
      <c r="BB286" s="182"/>
      <c r="BC286" s="182"/>
      <c r="BD286" s="182"/>
      <c r="BE286" s="182"/>
      <c r="BF286" s="182"/>
      <c r="BG286" s="182"/>
      <c r="BH286" s="182"/>
      <c r="BI286" s="182"/>
      <c r="BJ286" s="182"/>
      <c r="BK286" s="182"/>
      <c r="BL286" s="182"/>
      <c r="BM286" s="182"/>
      <c r="BN286" s="182"/>
      <c r="BO286" s="182"/>
      <c r="BP286" s="182"/>
      <c r="BQ286" s="182"/>
      <c r="BR286" s="182"/>
      <c r="BS286" s="182"/>
      <c r="BT286" s="182"/>
      <c r="BU286" s="182"/>
      <c r="BV286" s="182"/>
      <c r="BW286" s="182"/>
      <c r="BX286" s="182"/>
      <c r="BY286" s="182"/>
      <c r="BZ286" s="182"/>
      <c r="CA286" s="182"/>
      <c r="CB286" s="182"/>
      <c r="CC286" s="182"/>
      <c r="CD286" s="182"/>
      <c r="CE286" s="182"/>
      <c r="CF286" s="182"/>
      <c r="CG286" s="182"/>
      <c r="CH286" s="182"/>
      <c r="CI286" s="182"/>
      <c r="CJ286" s="182"/>
      <c r="CK286" s="182"/>
      <c r="CL286" s="182"/>
      <c r="CM286" s="182"/>
      <c r="CN286" s="182"/>
      <c r="CO286" s="182"/>
      <c r="CP286" s="182"/>
      <c r="CQ286" s="182"/>
      <c r="CR286" s="182"/>
      <c r="CS286" s="182"/>
      <c r="CT286" s="182"/>
      <c r="CU286" s="182"/>
      <c r="CV286" s="182"/>
      <c r="CW286" s="182"/>
      <c r="CX286" s="182"/>
      <c r="CY286" s="182"/>
      <c r="CZ286" s="182"/>
      <c r="DA286" s="182"/>
      <c r="DB286" s="182"/>
      <c r="DC286" s="182"/>
      <c r="DD286" s="182"/>
      <c r="DE286" s="182"/>
      <c r="DF286" s="182"/>
      <c r="DG286" s="182"/>
      <c r="DH286" s="182"/>
      <c r="DI286" s="182"/>
      <c r="DJ286" s="182"/>
      <c r="DK286" s="182"/>
      <c r="DL286" s="182"/>
      <c r="DM286" s="182"/>
      <c r="DN286" s="182"/>
      <c r="DO286" s="182"/>
      <c r="DP286" s="182"/>
      <c r="DQ286" s="182"/>
      <c r="DR286" s="182"/>
      <c r="DS286" s="182"/>
      <c r="DT286" s="182"/>
      <c r="DU286" s="182"/>
      <c r="DV286" s="182"/>
      <c r="DW286" s="182"/>
      <c r="DX286" s="182"/>
      <c r="DY286" s="182"/>
      <c r="DZ286" s="182"/>
      <c r="EA286" s="182"/>
      <c r="EB286" s="182"/>
      <c r="EC286" s="182"/>
      <c r="ED286" s="182"/>
      <c r="EE286" s="182"/>
      <c r="EF286" s="182"/>
      <c r="EG286" s="182"/>
      <c r="EH286" s="182"/>
      <c r="EI286" s="182"/>
      <c r="EJ286" s="182"/>
      <c r="EK286" s="182"/>
      <c r="EL286" s="182"/>
      <c r="EM286" s="182"/>
      <c r="EN286" s="182"/>
      <c r="EO286" s="182"/>
      <c r="EP286" s="182"/>
      <c r="EQ286" s="182"/>
      <c r="ER286" s="182"/>
      <c r="ES286" s="182"/>
      <c r="ET286" s="182"/>
      <c r="EU286" s="182"/>
      <c r="EV286" s="182"/>
      <c r="EW286" s="182"/>
      <c r="EX286" s="182"/>
      <c r="EY286" s="182"/>
      <c r="EZ286" s="182"/>
      <c r="FA286" s="182"/>
      <c r="FB286" s="182"/>
      <c r="FC286" s="182"/>
      <c r="FD286" s="182"/>
      <c r="FE286" s="182"/>
      <c r="FF286" s="182"/>
      <c r="FG286" s="182"/>
      <c r="FH286" s="182"/>
      <c r="FI286" s="182"/>
      <c r="FJ286" s="182"/>
      <c r="FK286" s="182"/>
      <c r="FL286" s="182"/>
      <c r="FM286" s="182"/>
      <c r="FN286" s="182"/>
      <c r="FO286" s="182"/>
      <c r="FP286" s="182"/>
      <c r="FQ286" s="182"/>
      <c r="FR286" s="182"/>
      <c r="FS286" s="182"/>
      <c r="FT286" s="182"/>
      <c r="FU286" s="182"/>
      <c r="FV286" s="182"/>
      <c r="FW286" s="182"/>
      <c r="FX286" s="182"/>
      <c r="FY286" s="182"/>
      <c r="FZ286" s="182"/>
      <c r="GA286" s="182"/>
      <c r="GB286" s="182"/>
      <c r="GC286" s="182"/>
      <c r="GD286" s="182"/>
      <c r="GE286" s="182"/>
      <c r="GF286" s="182"/>
      <c r="GG286" s="182"/>
      <c r="GH286" s="182"/>
      <c r="GI286" s="182"/>
    </row>
    <row r="287" spans="1:191" s="183" customFormat="1" x14ac:dyDescent="0.2">
      <c r="A287" s="210" t="s">
        <v>38592</v>
      </c>
      <c r="B287" s="210" t="s">
        <v>19135</v>
      </c>
      <c r="C287" s="224" t="s">
        <v>22392</v>
      </c>
      <c r="D287" s="211" t="s">
        <v>16</v>
      </c>
      <c r="E287" s="211">
        <v>2</v>
      </c>
      <c r="F287" s="211"/>
      <c r="G287" s="211">
        <v>0.3</v>
      </c>
      <c r="H287" s="212"/>
      <c r="I287" s="213"/>
      <c r="J287" s="272">
        <v>21930</v>
      </c>
      <c r="K287" s="112">
        <f t="shared" si="20"/>
        <v>43860</v>
      </c>
      <c r="L287" s="273">
        <f>BDI!$E$17</f>
        <v>0.11260000000000001</v>
      </c>
      <c r="M287" s="213"/>
      <c r="N287" s="213"/>
      <c r="O287" s="114">
        <f t="shared" si="21"/>
        <v>24399.32</v>
      </c>
      <c r="P287" s="113">
        <f t="shared" si="22"/>
        <v>14639.59</v>
      </c>
      <c r="Q287" s="209"/>
      <c r="R287" s="203"/>
      <c r="S287" s="182"/>
      <c r="T287" s="182"/>
      <c r="U287" s="182"/>
      <c r="V287" s="182"/>
      <c r="W287" s="182"/>
      <c r="X287" s="182"/>
      <c r="Y287" s="182"/>
      <c r="Z287" s="182"/>
      <c r="AA287" s="182"/>
      <c r="AB287" s="182"/>
      <c r="AC287" s="182"/>
      <c r="AD287" s="182"/>
      <c r="AE287" s="182"/>
      <c r="AF287" s="182"/>
      <c r="AG287" s="182"/>
      <c r="AH287" s="182"/>
      <c r="AI287" s="182"/>
      <c r="AJ287" s="182"/>
      <c r="AK287" s="182"/>
      <c r="AL287" s="182"/>
      <c r="AM287" s="182"/>
      <c r="AN287" s="182"/>
      <c r="AO287" s="182"/>
      <c r="AP287" s="182"/>
      <c r="AQ287" s="182"/>
      <c r="AR287" s="182"/>
      <c r="AS287" s="182"/>
      <c r="AT287" s="182"/>
      <c r="AU287" s="182"/>
      <c r="AV287" s="182"/>
      <c r="AW287" s="182"/>
      <c r="AX287" s="182"/>
      <c r="AY287" s="182"/>
      <c r="AZ287" s="182"/>
      <c r="BA287" s="182"/>
      <c r="BB287" s="182"/>
      <c r="BC287" s="182"/>
      <c r="BD287" s="182"/>
      <c r="BE287" s="182"/>
      <c r="BF287" s="182"/>
      <c r="BG287" s="182"/>
      <c r="BH287" s="182"/>
      <c r="BI287" s="182"/>
      <c r="BJ287" s="182"/>
      <c r="BK287" s="182"/>
      <c r="BL287" s="182"/>
      <c r="BM287" s="182"/>
      <c r="BN287" s="182"/>
      <c r="BO287" s="182"/>
      <c r="BP287" s="182"/>
      <c r="BQ287" s="182"/>
      <c r="BR287" s="182"/>
      <c r="BS287" s="182"/>
      <c r="BT287" s="182"/>
      <c r="BU287" s="182"/>
      <c r="BV287" s="182"/>
      <c r="BW287" s="182"/>
      <c r="BX287" s="182"/>
      <c r="BY287" s="182"/>
      <c r="BZ287" s="182"/>
      <c r="CA287" s="182"/>
      <c r="CB287" s="182"/>
      <c r="CC287" s="182"/>
      <c r="CD287" s="182"/>
      <c r="CE287" s="182"/>
      <c r="CF287" s="182"/>
      <c r="CG287" s="182"/>
      <c r="CH287" s="182"/>
      <c r="CI287" s="182"/>
      <c r="CJ287" s="182"/>
      <c r="CK287" s="182"/>
      <c r="CL287" s="182"/>
      <c r="CM287" s="182"/>
      <c r="CN287" s="182"/>
      <c r="CO287" s="182"/>
      <c r="CP287" s="182"/>
      <c r="CQ287" s="182"/>
      <c r="CR287" s="182"/>
      <c r="CS287" s="182"/>
      <c r="CT287" s="182"/>
      <c r="CU287" s="182"/>
      <c r="CV287" s="182"/>
      <c r="CW287" s="182"/>
      <c r="CX287" s="182"/>
      <c r="CY287" s="182"/>
      <c r="CZ287" s="182"/>
      <c r="DA287" s="182"/>
      <c r="DB287" s="182"/>
      <c r="DC287" s="182"/>
      <c r="DD287" s="182"/>
      <c r="DE287" s="182"/>
      <c r="DF287" s="182"/>
      <c r="DG287" s="182"/>
      <c r="DH287" s="182"/>
      <c r="DI287" s="182"/>
      <c r="DJ287" s="182"/>
      <c r="DK287" s="182"/>
      <c r="DL287" s="182"/>
      <c r="DM287" s="182"/>
      <c r="DN287" s="182"/>
      <c r="DO287" s="182"/>
      <c r="DP287" s="182"/>
      <c r="DQ287" s="182"/>
      <c r="DR287" s="182"/>
      <c r="DS287" s="182"/>
      <c r="DT287" s="182"/>
      <c r="DU287" s="182"/>
      <c r="DV287" s="182"/>
      <c r="DW287" s="182"/>
      <c r="DX287" s="182"/>
      <c r="DY287" s="182"/>
      <c r="DZ287" s="182"/>
      <c r="EA287" s="182"/>
      <c r="EB287" s="182"/>
      <c r="EC287" s="182"/>
      <c r="ED287" s="182"/>
      <c r="EE287" s="182"/>
      <c r="EF287" s="182"/>
      <c r="EG287" s="182"/>
      <c r="EH287" s="182"/>
      <c r="EI287" s="182"/>
      <c r="EJ287" s="182"/>
      <c r="EK287" s="182"/>
      <c r="EL287" s="182"/>
      <c r="EM287" s="182"/>
      <c r="EN287" s="182"/>
      <c r="EO287" s="182"/>
      <c r="EP287" s="182"/>
      <c r="EQ287" s="182"/>
      <c r="ER287" s="182"/>
      <c r="ES287" s="182"/>
      <c r="ET287" s="182"/>
      <c r="EU287" s="182"/>
      <c r="EV287" s="182"/>
      <c r="EW287" s="182"/>
      <c r="EX287" s="182"/>
      <c r="EY287" s="182"/>
      <c r="EZ287" s="182"/>
      <c r="FA287" s="182"/>
      <c r="FB287" s="182"/>
      <c r="FC287" s="182"/>
      <c r="FD287" s="182"/>
      <c r="FE287" s="182"/>
      <c r="FF287" s="182"/>
      <c r="FG287" s="182"/>
      <c r="FH287" s="182"/>
      <c r="FI287" s="182"/>
      <c r="FJ287" s="182"/>
      <c r="FK287" s="182"/>
      <c r="FL287" s="182"/>
      <c r="FM287" s="182"/>
      <c r="FN287" s="182"/>
      <c r="FO287" s="182"/>
      <c r="FP287" s="182"/>
      <c r="FQ287" s="182"/>
      <c r="FR287" s="182"/>
      <c r="FS287" s="182"/>
      <c r="FT287" s="182"/>
      <c r="FU287" s="182"/>
      <c r="FV287" s="182"/>
      <c r="FW287" s="182"/>
      <c r="FX287" s="182"/>
      <c r="FY287" s="182"/>
      <c r="FZ287" s="182"/>
      <c r="GA287" s="182"/>
      <c r="GB287" s="182"/>
      <c r="GC287" s="182"/>
      <c r="GD287" s="182"/>
      <c r="GE287" s="182"/>
      <c r="GF287" s="182"/>
      <c r="GG287" s="182"/>
      <c r="GH287" s="182"/>
      <c r="GI287" s="182"/>
    </row>
    <row r="288" spans="1:191" s="183" customFormat="1" x14ac:dyDescent="0.2">
      <c r="A288" s="210" t="s">
        <v>38593</v>
      </c>
      <c r="B288" s="210" t="s">
        <v>19136</v>
      </c>
      <c r="C288" s="224" t="s">
        <v>22393</v>
      </c>
      <c r="D288" s="211" t="s">
        <v>16</v>
      </c>
      <c r="E288" s="211">
        <v>3</v>
      </c>
      <c r="F288" s="211"/>
      <c r="G288" s="211">
        <v>0.3</v>
      </c>
      <c r="H288" s="212"/>
      <c r="I288" s="213"/>
      <c r="J288" s="272">
        <v>29881.18</v>
      </c>
      <c r="K288" s="112">
        <f t="shared" si="20"/>
        <v>89643.54</v>
      </c>
      <c r="L288" s="273">
        <f>BDI!$E$17</f>
        <v>0.11260000000000001</v>
      </c>
      <c r="M288" s="213"/>
      <c r="N288" s="213"/>
      <c r="O288" s="114">
        <f t="shared" si="21"/>
        <v>33245.800000000003</v>
      </c>
      <c r="P288" s="113">
        <f t="shared" si="22"/>
        <v>29921.22</v>
      </c>
      <c r="Q288" s="209"/>
      <c r="R288" s="203"/>
      <c r="S288" s="182"/>
      <c r="T288" s="182"/>
      <c r="U288" s="182"/>
      <c r="V288" s="182"/>
      <c r="W288" s="182"/>
      <c r="X288" s="182"/>
      <c r="Y288" s="182"/>
      <c r="Z288" s="182"/>
      <c r="AA288" s="182"/>
      <c r="AB288" s="182"/>
      <c r="AC288" s="182"/>
      <c r="AD288" s="182"/>
      <c r="AE288" s="182"/>
      <c r="AF288" s="182"/>
      <c r="AG288" s="182"/>
      <c r="AH288" s="182"/>
      <c r="AI288" s="182"/>
      <c r="AJ288" s="182"/>
      <c r="AK288" s="182"/>
      <c r="AL288" s="182"/>
      <c r="AM288" s="182"/>
      <c r="AN288" s="182"/>
      <c r="AO288" s="182"/>
      <c r="AP288" s="182"/>
      <c r="AQ288" s="182"/>
      <c r="AR288" s="182"/>
      <c r="AS288" s="182"/>
      <c r="AT288" s="182"/>
      <c r="AU288" s="182"/>
      <c r="AV288" s="182"/>
      <c r="AW288" s="182"/>
      <c r="AX288" s="182"/>
      <c r="AY288" s="182"/>
      <c r="AZ288" s="182"/>
      <c r="BA288" s="182"/>
      <c r="BB288" s="182"/>
      <c r="BC288" s="182"/>
      <c r="BD288" s="182"/>
      <c r="BE288" s="182"/>
      <c r="BF288" s="182"/>
      <c r="BG288" s="182"/>
      <c r="BH288" s="182"/>
      <c r="BI288" s="182"/>
      <c r="BJ288" s="182"/>
      <c r="BK288" s="182"/>
      <c r="BL288" s="182"/>
      <c r="BM288" s="182"/>
      <c r="BN288" s="182"/>
      <c r="BO288" s="182"/>
      <c r="BP288" s="182"/>
      <c r="BQ288" s="182"/>
      <c r="BR288" s="182"/>
      <c r="BS288" s="182"/>
      <c r="BT288" s="182"/>
      <c r="BU288" s="182"/>
      <c r="BV288" s="182"/>
      <c r="BW288" s="182"/>
      <c r="BX288" s="182"/>
      <c r="BY288" s="182"/>
      <c r="BZ288" s="182"/>
      <c r="CA288" s="182"/>
      <c r="CB288" s="182"/>
      <c r="CC288" s="182"/>
      <c r="CD288" s="182"/>
      <c r="CE288" s="182"/>
      <c r="CF288" s="182"/>
      <c r="CG288" s="182"/>
      <c r="CH288" s="182"/>
      <c r="CI288" s="182"/>
      <c r="CJ288" s="182"/>
      <c r="CK288" s="182"/>
      <c r="CL288" s="182"/>
      <c r="CM288" s="182"/>
      <c r="CN288" s="182"/>
      <c r="CO288" s="182"/>
      <c r="CP288" s="182"/>
      <c r="CQ288" s="182"/>
      <c r="CR288" s="182"/>
      <c r="CS288" s="182"/>
      <c r="CT288" s="182"/>
      <c r="CU288" s="182"/>
      <c r="CV288" s="182"/>
      <c r="CW288" s="182"/>
      <c r="CX288" s="182"/>
      <c r="CY288" s="182"/>
      <c r="CZ288" s="182"/>
      <c r="DA288" s="182"/>
      <c r="DB288" s="182"/>
      <c r="DC288" s="182"/>
      <c r="DD288" s="182"/>
      <c r="DE288" s="182"/>
      <c r="DF288" s="182"/>
      <c r="DG288" s="182"/>
      <c r="DH288" s="182"/>
      <c r="DI288" s="182"/>
      <c r="DJ288" s="182"/>
      <c r="DK288" s="182"/>
      <c r="DL288" s="182"/>
      <c r="DM288" s="182"/>
      <c r="DN288" s="182"/>
      <c r="DO288" s="182"/>
      <c r="DP288" s="182"/>
      <c r="DQ288" s="182"/>
      <c r="DR288" s="182"/>
      <c r="DS288" s="182"/>
      <c r="DT288" s="182"/>
      <c r="DU288" s="182"/>
      <c r="DV288" s="182"/>
      <c r="DW288" s="182"/>
      <c r="DX288" s="182"/>
      <c r="DY288" s="182"/>
      <c r="DZ288" s="182"/>
      <c r="EA288" s="182"/>
      <c r="EB288" s="182"/>
      <c r="EC288" s="182"/>
      <c r="ED288" s="182"/>
      <c r="EE288" s="182"/>
      <c r="EF288" s="182"/>
      <c r="EG288" s="182"/>
      <c r="EH288" s="182"/>
      <c r="EI288" s="182"/>
      <c r="EJ288" s="182"/>
      <c r="EK288" s="182"/>
      <c r="EL288" s="182"/>
      <c r="EM288" s="182"/>
      <c r="EN288" s="182"/>
      <c r="EO288" s="182"/>
      <c r="EP288" s="182"/>
      <c r="EQ288" s="182"/>
      <c r="ER288" s="182"/>
      <c r="ES288" s="182"/>
      <c r="ET288" s="182"/>
      <c r="EU288" s="182"/>
      <c r="EV288" s="182"/>
      <c r="EW288" s="182"/>
      <c r="EX288" s="182"/>
      <c r="EY288" s="182"/>
      <c r="EZ288" s="182"/>
      <c r="FA288" s="182"/>
      <c r="FB288" s="182"/>
      <c r="FC288" s="182"/>
      <c r="FD288" s="182"/>
      <c r="FE288" s="182"/>
      <c r="FF288" s="182"/>
      <c r="FG288" s="182"/>
      <c r="FH288" s="182"/>
      <c r="FI288" s="182"/>
      <c r="FJ288" s="182"/>
      <c r="FK288" s="182"/>
      <c r="FL288" s="182"/>
      <c r="FM288" s="182"/>
      <c r="FN288" s="182"/>
      <c r="FO288" s="182"/>
      <c r="FP288" s="182"/>
      <c r="FQ288" s="182"/>
      <c r="FR288" s="182"/>
      <c r="FS288" s="182"/>
      <c r="FT288" s="182"/>
      <c r="FU288" s="182"/>
      <c r="FV288" s="182"/>
      <c r="FW288" s="182"/>
      <c r="FX288" s="182"/>
      <c r="FY288" s="182"/>
      <c r="FZ288" s="182"/>
      <c r="GA288" s="182"/>
      <c r="GB288" s="182"/>
      <c r="GC288" s="182"/>
      <c r="GD288" s="182"/>
      <c r="GE288" s="182"/>
      <c r="GF288" s="182"/>
      <c r="GG288" s="182"/>
      <c r="GH288" s="182"/>
      <c r="GI288" s="182"/>
    </row>
    <row r="289" spans="1:191" s="183" customFormat="1" x14ac:dyDescent="0.2">
      <c r="A289" s="210" t="s">
        <v>38594</v>
      </c>
      <c r="B289" s="210" t="s">
        <v>19137</v>
      </c>
      <c r="C289" s="224" t="s">
        <v>22394</v>
      </c>
      <c r="D289" s="211" t="s">
        <v>16</v>
      </c>
      <c r="E289" s="211">
        <v>1</v>
      </c>
      <c r="F289" s="211"/>
      <c r="G289" s="211">
        <v>0.3</v>
      </c>
      <c r="H289" s="212"/>
      <c r="I289" s="213"/>
      <c r="J289" s="272">
        <v>549.20000000000005</v>
      </c>
      <c r="K289" s="112">
        <f t="shared" si="20"/>
        <v>549.20000000000005</v>
      </c>
      <c r="L289" s="273">
        <f>BDI!$E$17</f>
        <v>0.11260000000000001</v>
      </c>
      <c r="M289" s="213"/>
      <c r="N289" s="213"/>
      <c r="O289" s="114">
        <f t="shared" si="21"/>
        <v>611.04</v>
      </c>
      <c r="P289" s="113">
        <f t="shared" si="22"/>
        <v>183.31</v>
      </c>
      <c r="Q289" s="209"/>
      <c r="R289" s="203"/>
      <c r="S289" s="182"/>
      <c r="T289" s="182"/>
      <c r="U289" s="182"/>
      <c r="V289" s="182"/>
      <c r="W289" s="182"/>
      <c r="X289" s="182"/>
      <c r="Y289" s="182"/>
      <c r="Z289" s="182"/>
      <c r="AA289" s="182"/>
      <c r="AB289" s="182"/>
      <c r="AC289" s="182"/>
      <c r="AD289" s="182"/>
      <c r="AE289" s="182"/>
      <c r="AF289" s="182"/>
      <c r="AG289" s="182"/>
      <c r="AH289" s="182"/>
      <c r="AI289" s="182"/>
      <c r="AJ289" s="182"/>
      <c r="AK289" s="182"/>
      <c r="AL289" s="182"/>
      <c r="AM289" s="182"/>
      <c r="AN289" s="182"/>
      <c r="AO289" s="182"/>
      <c r="AP289" s="182"/>
      <c r="AQ289" s="182"/>
      <c r="AR289" s="182"/>
      <c r="AS289" s="182"/>
      <c r="AT289" s="182"/>
      <c r="AU289" s="182"/>
      <c r="AV289" s="182"/>
      <c r="AW289" s="182"/>
      <c r="AX289" s="182"/>
      <c r="AY289" s="182"/>
      <c r="AZ289" s="182"/>
      <c r="BA289" s="182"/>
      <c r="BB289" s="182"/>
      <c r="BC289" s="182"/>
      <c r="BD289" s="182"/>
      <c r="BE289" s="182"/>
      <c r="BF289" s="182"/>
      <c r="BG289" s="182"/>
      <c r="BH289" s="182"/>
      <c r="BI289" s="182"/>
      <c r="BJ289" s="182"/>
      <c r="BK289" s="182"/>
      <c r="BL289" s="182"/>
      <c r="BM289" s="182"/>
      <c r="BN289" s="182"/>
      <c r="BO289" s="182"/>
      <c r="BP289" s="182"/>
      <c r="BQ289" s="182"/>
      <c r="BR289" s="182"/>
      <c r="BS289" s="182"/>
      <c r="BT289" s="182"/>
      <c r="BU289" s="182"/>
      <c r="BV289" s="182"/>
      <c r="BW289" s="182"/>
      <c r="BX289" s="182"/>
      <c r="BY289" s="182"/>
      <c r="BZ289" s="182"/>
      <c r="CA289" s="182"/>
      <c r="CB289" s="182"/>
      <c r="CC289" s="182"/>
      <c r="CD289" s="182"/>
      <c r="CE289" s="182"/>
      <c r="CF289" s="182"/>
      <c r="CG289" s="182"/>
      <c r="CH289" s="182"/>
      <c r="CI289" s="182"/>
      <c r="CJ289" s="182"/>
      <c r="CK289" s="182"/>
      <c r="CL289" s="182"/>
      <c r="CM289" s="182"/>
      <c r="CN289" s="182"/>
      <c r="CO289" s="182"/>
      <c r="CP289" s="182"/>
      <c r="CQ289" s="182"/>
      <c r="CR289" s="182"/>
      <c r="CS289" s="182"/>
      <c r="CT289" s="182"/>
      <c r="CU289" s="182"/>
      <c r="CV289" s="182"/>
      <c r="CW289" s="182"/>
      <c r="CX289" s="182"/>
      <c r="CY289" s="182"/>
      <c r="CZ289" s="182"/>
      <c r="DA289" s="182"/>
      <c r="DB289" s="182"/>
      <c r="DC289" s="182"/>
      <c r="DD289" s="182"/>
      <c r="DE289" s="182"/>
      <c r="DF289" s="182"/>
      <c r="DG289" s="182"/>
      <c r="DH289" s="182"/>
      <c r="DI289" s="182"/>
      <c r="DJ289" s="182"/>
      <c r="DK289" s="182"/>
      <c r="DL289" s="182"/>
      <c r="DM289" s="182"/>
      <c r="DN289" s="182"/>
      <c r="DO289" s="182"/>
      <c r="DP289" s="182"/>
      <c r="DQ289" s="182"/>
      <c r="DR289" s="182"/>
      <c r="DS289" s="182"/>
      <c r="DT289" s="182"/>
      <c r="DU289" s="182"/>
      <c r="DV289" s="182"/>
      <c r="DW289" s="182"/>
      <c r="DX289" s="182"/>
      <c r="DY289" s="182"/>
      <c r="DZ289" s="182"/>
      <c r="EA289" s="182"/>
      <c r="EB289" s="182"/>
      <c r="EC289" s="182"/>
      <c r="ED289" s="182"/>
      <c r="EE289" s="182"/>
      <c r="EF289" s="182"/>
      <c r="EG289" s="182"/>
      <c r="EH289" s="182"/>
      <c r="EI289" s="182"/>
      <c r="EJ289" s="182"/>
      <c r="EK289" s="182"/>
      <c r="EL289" s="182"/>
      <c r="EM289" s="182"/>
      <c r="EN289" s="182"/>
      <c r="EO289" s="182"/>
      <c r="EP289" s="182"/>
      <c r="EQ289" s="182"/>
      <c r="ER289" s="182"/>
      <c r="ES289" s="182"/>
      <c r="ET289" s="182"/>
      <c r="EU289" s="182"/>
      <c r="EV289" s="182"/>
      <c r="EW289" s="182"/>
      <c r="EX289" s="182"/>
      <c r="EY289" s="182"/>
      <c r="EZ289" s="182"/>
      <c r="FA289" s="182"/>
      <c r="FB289" s="182"/>
      <c r="FC289" s="182"/>
      <c r="FD289" s="182"/>
      <c r="FE289" s="182"/>
      <c r="FF289" s="182"/>
      <c r="FG289" s="182"/>
      <c r="FH289" s="182"/>
      <c r="FI289" s="182"/>
      <c r="FJ289" s="182"/>
      <c r="FK289" s="182"/>
      <c r="FL289" s="182"/>
      <c r="FM289" s="182"/>
      <c r="FN289" s="182"/>
      <c r="FO289" s="182"/>
      <c r="FP289" s="182"/>
      <c r="FQ289" s="182"/>
      <c r="FR289" s="182"/>
      <c r="FS289" s="182"/>
      <c r="FT289" s="182"/>
      <c r="FU289" s="182"/>
      <c r="FV289" s="182"/>
      <c r="FW289" s="182"/>
      <c r="FX289" s="182"/>
      <c r="FY289" s="182"/>
      <c r="FZ289" s="182"/>
      <c r="GA289" s="182"/>
      <c r="GB289" s="182"/>
      <c r="GC289" s="182"/>
      <c r="GD289" s="182"/>
      <c r="GE289" s="182"/>
      <c r="GF289" s="182"/>
      <c r="GG289" s="182"/>
      <c r="GH289" s="182"/>
      <c r="GI289" s="182"/>
    </row>
    <row r="290" spans="1:191" s="183" customFormat="1" x14ac:dyDescent="0.2">
      <c r="A290" s="210" t="s">
        <v>38595</v>
      </c>
      <c r="B290" s="210" t="s">
        <v>19138</v>
      </c>
      <c r="C290" s="224" t="s">
        <v>22395</v>
      </c>
      <c r="D290" s="211" t="s">
        <v>16</v>
      </c>
      <c r="E290" s="211">
        <v>36</v>
      </c>
      <c r="F290" s="211"/>
      <c r="G290" s="211">
        <v>0.3</v>
      </c>
      <c r="H290" s="212"/>
      <c r="I290" s="213"/>
      <c r="J290" s="272">
        <v>98.3</v>
      </c>
      <c r="K290" s="112">
        <f t="shared" ref="K290:K352" si="23">IF(ISNUMBER(J290),ROUND(E290*J290,2),"")</f>
        <v>3538.8</v>
      </c>
      <c r="L290" s="273">
        <f>BDI!$E$17</f>
        <v>0.11260000000000001</v>
      </c>
      <c r="M290" s="213"/>
      <c r="N290" s="213"/>
      <c r="O290" s="114">
        <f t="shared" ref="O290:O352" si="24">IF(ISNUMBER(J290),ROUND(J290*(1+L290),2),"")</f>
        <v>109.37</v>
      </c>
      <c r="P290" s="113">
        <f t="shared" ref="P290:P352" si="25">IF(ISNUMBER(J290),ROUND(G290*O290*E290,2),"")</f>
        <v>1181.2</v>
      </c>
      <c r="Q290" s="209"/>
      <c r="R290" s="203"/>
      <c r="S290" s="182"/>
      <c r="T290" s="182"/>
      <c r="U290" s="182"/>
      <c r="V290" s="182"/>
      <c r="W290" s="182"/>
      <c r="X290" s="182"/>
      <c r="Y290" s="182"/>
      <c r="Z290" s="182"/>
      <c r="AA290" s="182"/>
      <c r="AB290" s="182"/>
      <c r="AC290" s="182"/>
      <c r="AD290" s="182"/>
      <c r="AE290" s="182"/>
      <c r="AF290" s="182"/>
      <c r="AG290" s="182"/>
      <c r="AH290" s="182"/>
      <c r="AI290" s="182"/>
      <c r="AJ290" s="182"/>
      <c r="AK290" s="182"/>
      <c r="AL290" s="182"/>
      <c r="AM290" s="182"/>
      <c r="AN290" s="182"/>
      <c r="AO290" s="182"/>
      <c r="AP290" s="182"/>
      <c r="AQ290" s="182"/>
      <c r="AR290" s="182"/>
      <c r="AS290" s="182"/>
      <c r="AT290" s="182"/>
      <c r="AU290" s="182"/>
      <c r="AV290" s="182"/>
      <c r="AW290" s="182"/>
      <c r="AX290" s="182"/>
      <c r="AY290" s="182"/>
      <c r="AZ290" s="182"/>
      <c r="BA290" s="182"/>
      <c r="BB290" s="182"/>
      <c r="BC290" s="182"/>
      <c r="BD290" s="182"/>
      <c r="BE290" s="182"/>
      <c r="BF290" s="182"/>
      <c r="BG290" s="182"/>
      <c r="BH290" s="182"/>
      <c r="BI290" s="182"/>
      <c r="BJ290" s="182"/>
      <c r="BK290" s="182"/>
      <c r="BL290" s="182"/>
      <c r="BM290" s="182"/>
      <c r="BN290" s="182"/>
      <c r="BO290" s="182"/>
      <c r="BP290" s="182"/>
      <c r="BQ290" s="182"/>
      <c r="BR290" s="182"/>
      <c r="BS290" s="182"/>
      <c r="BT290" s="182"/>
      <c r="BU290" s="182"/>
      <c r="BV290" s="182"/>
      <c r="BW290" s="182"/>
      <c r="BX290" s="182"/>
      <c r="BY290" s="182"/>
      <c r="BZ290" s="182"/>
      <c r="CA290" s="182"/>
      <c r="CB290" s="182"/>
      <c r="CC290" s="182"/>
      <c r="CD290" s="182"/>
      <c r="CE290" s="182"/>
      <c r="CF290" s="182"/>
      <c r="CG290" s="182"/>
      <c r="CH290" s="182"/>
      <c r="CI290" s="182"/>
      <c r="CJ290" s="182"/>
      <c r="CK290" s="182"/>
      <c r="CL290" s="182"/>
      <c r="CM290" s="182"/>
      <c r="CN290" s="182"/>
      <c r="CO290" s="182"/>
      <c r="CP290" s="182"/>
      <c r="CQ290" s="182"/>
      <c r="CR290" s="182"/>
      <c r="CS290" s="182"/>
      <c r="CT290" s="182"/>
      <c r="CU290" s="182"/>
      <c r="CV290" s="182"/>
      <c r="CW290" s="182"/>
      <c r="CX290" s="182"/>
      <c r="CY290" s="182"/>
      <c r="CZ290" s="182"/>
      <c r="DA290" s="182"/>
      <c r="DB290" s="182"/>
      <c r="DC290" s="182"/>
      <c r="DD290" s="182"/>
      <c r="DE290" s="182"/>
      <c r="DF290" s="182"/>
      <c r="DG290" s="182"/>
      <c r="DH290" s="182"/>
      <c r="DI290" s="182"/>
      <c r="DJ290" s="182"/>
      <c r="DK290" s="182"/>
      <c r="DL290" s="182"/>
      <c r="DM290" s="182"/>
      <c r="DN290" s="182"/>
      <c r="DO290" s="182"/>
      <c r="DP290" s="182"/>
      <c r="DQ290" s="182"/>
      <c r="DR290" s="182"/>
      <c r="DS290" s="182"/>
      <c r="DT290" s="182"/>
      <c r="DU290" s="182"/>
      <c r="DV290" s="182"/>
      <c r="DW290" s="182"/>
      <c r="DX290" s="182"/>
      <c r="DY290" s="182"/>
      <c r="DZ290" s="182"/>
      <c r="EA290" s="182"/>
      <c r="EB290" s="182"/>
      <c r="EC290" s="182"/>
      <c r="ED290" s="182"/>
      <c r="EE290" s="182"/>
      <c r="EF290" s="182"/>
      <c r="EG290" s="182"/>
      <c r="EH290" s="182"/>
      <c r="EI290" s="182"/>
      <c r="EJ290" s="182"/>
      <c r="EK290" s="182"/>
      <c r="EL290" s="182"/>
      <c r="EM290" s="182"/>
      <c r="EN290" s="182"/>
      <c r="EO290" s="182"/>
      <c r="EP290" s="182"/>
      <c r="EQ290" s="182"/>
      <c r="ER290" s="182"/>
      <c r="ES290" s="182"/>
      <c r="ET290" s="182"/>
      <c r="EU290" s="182"/>
      <c r="EV290" s="182"/>
      <c r="EW290" s="182"/>
      <c r="EX290" s="182"/>
      <c r="EY290" s="182"/>
      <c r="EZ290" s="182"/>
      <c r="FA290" s="182"/>
      <c r="FB290" s="182"/>
      <c r="FC290" s="182"/>
      <c r="FD290" s="182"/>
      <c r="FE290" s="182"/>
      <c r="FF290" s="182"/>
      <c r="FG290" s="182"/>
      <c r="FH290" s="182"/>
      <c r="FI290" s="182"/>
      <c r="FJ290" s="182"/>
      <c r="FK290" s="182"/>
      <c r="FL290" s="182"/>
      <c r="FM290" s="182"/>
      <c r="FN290" s="182"/>
      <c r="FO290" s="182"/>
      <c r="FP290" s="182"/>
      <c r="FQ290" s="182"/>
      <c r="FR290" s="182"/>
      <c r="FS290" s="182"/>
      <c r="FT290" s="182"/>
      <c r="FU290" s="182"/>
      <c r="FV290" s="182"/>
      <c r="FW290" s="182"/>
      <c r="FX290" s="182"/>
      <c r="FY290" s="182"/>
      <c r="FZ290" s="182"/>
      <c r="GA290" s="182"/>
      <c r="GB290" s="182"/>
      <c r="GC290" s="182"/>
      <c r="GD290" s="182"/>
      <c r="GE290" s="182"/>
      <c r="GF290" s="182"/>
      <c r="GG290" s="182"/>
      <c r="GH290" s="182"/>
      <c r="GI290" s="182"/>
    </row>
    <row r="291" spans="1:191" s="183" customFormat="1" x14ac:dyDescent="0.2">
      <c r="A291" s="210" t="s">
        <v>38596</v>
      </c>
      <c r="B291" s="210" t="s">
        <v>19139</v>
      </c>
      <c r="C291" s="224" t="s">
        <v>22396</v>
      </c>
      <c r="D291" s="211" t="s">
        <v>16</v>
      </c>
      <c r="E291" s="211">
        <v>18</v>
      </c>
      <c r="F291" s="211"/>
      <c r="G291" s="211">
        <v>0.3</v>
      </c>
      <c r="H291" s="212"/>
      <c r="I291" s="213"/>
      <c r="J291" s="272">
        <v>163.97</v>
      </c>
      <c r="K291" s="112">
        <f t="shared" si="23"/>
        <v>2951.46</v>
      </c>
      <c r="L291" s="273">
        <f>BDI!$E$17</f>
        <v>0.11260000000000001</v>
      </c>
      <c r="M291" s="213"/>
      <c r="N291" s="213"/>
      <c r="O291" s="114">
        <f t="shared" si="24"/>
        <v>182.43</v>
      </c>
      <c r="P291" s="113">
        <f t="shared" si="25"/>
        <v>985.12</v>
      </c>
      <c r="Q291" s="209"/>
      <c r="R291" s="203"/>
      <c r="S291" s="182"/>
      <c r="T291" s="182"/>
      <c r="U291" s="182"/>
      <c r="V291" s="182"/>
      <c r="W291" s="182"/>
      <c r="X291" s="182"/>
      <c r="Y291" s="182"/>
      <c r="Z291" s="182"/>
      <c r="AA291" s="182"/>
      <c r="AB291" s="182"/>
      <c r="AC291" s="182"/>
      <c r="AD291" s="182"/>
      <c r="AE291" s="182"/>
      <c r="AF291" s="182"/>
      <c r="AG291" s="182"/>
      <c r="AH291" s="182"/>
      <c r="AI291" s="182"/>
      <c r="AJ291" s="182"/>
      <c r="AK291" s="182"/>
      <c r="AL291" s="182"/>
      <c r="AM291" s="182"/>
      <c r="AN291" s="182"/>
      <c r="AO291" s="182"/>
      <c r="AP291" s="182"/>
      <c r="AQ291" s="182"/>
      <c r="AR291" s="182"/>
      <c r="AS291" s="182"/>
      <c r="AT291" s="182"/>
      <c r="AU291" s="182"/>
      <c r="AV291" s="182"/>
      <c r="AW291" s="182"/>
      <c r="AX291" s="182"/>
      <c r="AY291" s="182"/>
      <c r="AZ291" s="182"/>
      <c r="BA291" s="182"/>
      <c r="BB291" s="182"/>
      <c r="BC291" s="182"/>
      <c r="BD291" s="182"/>
      <c r="BE291" s="182"/>
      <c r="BF291" s="182"/>
      <c r="BG291" s="182"/>
      <c r="BH291" s="182"/>
      <c r="BI291" s="182"/>
      <c r="BJ291" s="182"/>
      <c r="BK291" s="182"/>
      <c r="BL291" s="182"/>
      <c r="BM291" s="182"/>
      <c r="BN291" s="182"/>
      <c r="BO291" s="182"/>
      <c r="BP291" s="182"/>
      <c r="BQ291" s="182"/>
      <c r="BR291" s="182"/>
      <c r="BS291" s="182"/>
      <c r="BT291" s="182"/>
      <c r="BU291" s="182"/>
      <c r="BV291" s="182"/>
      <c r="BW291" s="182"/>
      <c r="BX291" s="182"/>
      <c r="BY291" s="182"/>
      <c r="BZ291" s="182"/>
      <c r="CA291" s="182"/>
      <c r="CB291" s="182"/>
      <c r="CC291" s="182"/>
      <c r="CD291" s="182"/>
      <c r="CE291" s="182"/>
      <c r="CF291" s="182"/>
      <c r="CG291" s="182"/>
      <c r="CH291" s="182"/>
      <c r="CI291" s="182"/>
      <c r="CJ291" s="182"/>
      <c r="CK291" s="182"/>
      <c r="CL291" s="182"/>
      <c r="CM291" s="182"/>
      <c r="CN291" s="182"/>
      <c r="CO291" s="182"/>
      <c r="CP291" s="182"/>
      <c r="CQ291" s="182"/>
      <c r="CR291" s="182"/>
      <c r="CS291" s="182"/>
      <c r="CT291" s="182"/>
      <c r="CU291" s="182"/>
      <c r="CV291" s="182"/>
      <c r="CW291" s="182"/>
      <c r="CX291" s="182"/>
      <c r="CY291" s="182"/>
      <c r="CZ291" s="182"/>
      <c r="DA291" s="182"/>
      <c r="DB291" s="182"/>
      <c r="DC291" s="182"/>
      <c r="DD291" s="182"/>
      <c r="DE291" s="182"/>
      <c r="DF291" s="182"/>
      <c r="DG291" s="182"/>
      <c r="DH291" s="182"/>
      <c r="DI291" s="182"/>
      <c r="DJ291" s="182"/>
      <c r="DK291" s="182"/>
      <c r="DL291" s="182"/>
      <c r="DM291" s="182"/>
      <c r="DN291" s="182"/>
      <c r="DO291" s="182"/>
      <c r="DP291" s="182"/>
      <c r="DQ291" s="182"/>
      <c r="DR291" s="182"/>
      <c r="DS291" s="182"/>
      <c r="DT291" s="182"/>
      <c r="DU291" s="182"/>
      <c r="DV291" s="182"/>
      <c r="DW291" s="182"/>
      <c r="DX291" s="182"/>
      <c r="DY291" s="182"/>
      <c r="DZ291" s="182"/>
      <c r="EA291" s="182"/>
      <c r="EB291" s="182"/>
      <c r="EC291" s="182"/>
      <c r="ED291" s="182"/>
      <c r="EE291" s="182"/>
      <c r="EF291" s="182"/>
      <c r="EG291" s="182"/>
      <c r="EH291" s="182"/>
      <c r="EI291" s="182"/>
      <c r="EJ291" s="182"/>
      <c r="EK291" s="182"/>
      <c r="EL291" s="182"/>
      <c r="EM291" s="182"/>
      <c r="EN291" s="182"/>
      <c r="EO291" s="182"/>
      <c r="EP291" s="182"/>
      <c r="EQ291" s="182"/>
      <c r="ER291" s="182"/>
      <c r="ES291" s="182"/>
      <c r="ET291" s="182"/>
      <c r="EU291" s="182"/>
      <c r="EV291" s="182"/>
      <c r="EW291" s="182"/>
      <c r="EX291" s="182"/>
      <c r="EY291" s="182"/>
      <c r="EZ291" s="182"/>
      <c r="FA291" s="182"/>
      <c r="FB291" s="182"/>
      <c r="FC291" s="182"/>
      <c r="FD291" s="182"/>
      <c r="FE291" s="182"/>
      <c r="FF291" s="182"/>
      <c r="FG291" s="182"/>
      <c r="FH291" s="182"/>
      <c r="FI291" s="182"/>
      <c r="FJ291" s="182"/>
      <c r="FK291" s="182"/>
      <c r="FL291" s="182"/>
      <c r="FM291" s="182"/>
      <c r="FN291" s="182"/>
      <c r="FO291" s="182"/>
      <c r="FP291" s="182"/>
      <c r="FQ291" s="182"/>
      <c r="FR291" s="182"/>
      <c r="FS291" s="182"/>
      <c r="FT291" s="182"/>
      <c r="FU291" s="182"/>
      <c r="FV291" s="182"/>
      <c r="FW291" s="182"/>
      <c r="FX291" s="182"/>
      <c r="FY291" s="182"/>
      <c r="FZ291" s="182"/>
      <c r="GA291" s="182"/>
      <c r="GB291" s="182"/>
      <c r="GC291" s="182"/>
      <c r="GD291" s="182"/>
      <c r="GE291" s="182"/>
      <c r="GF291" s="182"/>
      <c r="GG291" s="182"/>
      <c r="GH291" s="182"/>
      <c r="GI291" s="182"/>
    </row>
    <row r="292" spans="1:191" s="183" customFormat="1" x14ac:dyDescent="0.2">
      <c r="A292" s="210" t="s">
        <v>38597</v>
      </c>
      <c r="B292" s="210" t="s">
        <v>19140</v>
      </c>
      <c r="C292" s="224" t="s">
        <v>22397</v>
      </c>
      <c r="D292" s="211" t="s">
        <v>16</v>
      </c>
      <c r="E292" s="211">
        <v>6</v>
      </c>
      <c r="F292" s="211"/>
      <c r="G292" s="211">
        <v>0.3</v>
      </c>
      <c r="H292" s="212"/>
      <c r="I292" s="213"/>
      <c r="J292" s="272">
        <v>207.34</v>
      </c>
      <c r="K292" s="112">
        <f t="shared" si="23"/>
        <v>1244.04</v>
      </c>
      <c r="L292" s="273">
        <f>BDI!$E$17</f>
        <v>0.11260000000000001</v>
      </c>
      <c r="M292" s="213"/>
      <c r="N292" s="213"/>
      <c r="O292" s="114">
        <f t="shared" si="24"/>
        <v>230.69</v>
      </c>
      <c r="P292" s="113">
        <f t="shared" si="25"/>
        <v>415.24</v>
      </c>
      <c r="Q292" s="209"/>
      <c r="R292" s="203"/>
      <c r="S292" s="182"/>
      <c r="T292" s="182"/>
      <c r="U292" s="182"/>
      <c r="V292" s="182"/>
      <c r="W292" s="182"/>
      <c r="X292" s="182"/>
      <c r="Y292" s="182"/>
      <c r="Z292" s="182"/>
      <c r="AA292" s="182"/>
      <c r="AB292" s="182"/>
      <c r="AC292" s="182"/>
      <c r="AD292" s="182"/>
      <c r="AE292" s="182"/>
      <c r="AF292" s="182"/>
      <c r="AG292" s="182"/>
      <c r="AH292" s="182"/>
      <c r="AI292" s="182"/>
      <c r="AJ292" s="182"/>
      <c r="AK292" s="182"/>
      <c r="AL292" s="182"/>
      <c r="AM292" s="182"/>
      <c r="AN292" s="182"/>
      <c r="AO292" s="182"/>
      <c r="AP292" s="182"/>
      <c r="AQ292" s="182"/>
      <c r="AR292" s="182"/>
      <c r="AS292" s="182"/>
      <c r="AT292" s="182"/>
      <c r="AU292" s="182"/>
      <c r="AV292" s="182"/>
      <c r="AW292" s="182"/>
      <c r="AX292" s="182"/>
      <c r="AY292" s="182"/>
      <c r="AZ292" s="182"/>
      <c r="BA292" s="182"/>
      <c r="BB292" s="182"/>
      <c r="BC292" s="182"/>
      <c r="BD292" s="182"/>
      <c r="BE292" s="182"/>
      <c r="BF292" s="182"/>
      <c r="BG292" s="182"/>
      <c r="BH292" s="182"/>
      <c r="BI292" s="182"/>
      <c r="BJ292" s="182"/>
      <c r="BK292" s="182"/>
      <c r="BL292" s="182"/>
      <c r="BM292" s="182"/>
      <c r="BN292" s="182"/>
      <c r="BO292" s="182"/>
      <c r="BP292" s="182"/>
      <c r="BQ292" s="182"/>
      <c r="BR292" s="182"/>
      <c r="BS292" s="182"/>
      <c r="BT292" s="182"/>
      <c r="BU292" s="182"/>
      <c r="BV292" s="182"/>
      <c r="BW292" s="182"/>
      <c r="BX292" s="182"/>
      <c r="BY292" s="182"/>
      <c r="BZ292" s="182"/>
      <c r="CA292" s="182"/>
      <c r="CB292" s="182"/>
      <c r="CC292" s="182"/>
      <c r="CD292" s="182"/>
      <c r="CE292" s="182"/>
      <c r="CF292" s="182"/>
      <c r="CG292" s="182"/>
      <c r="CH292" s="182"/>
      <c r="CI292" s="182"/>
      <c r="CJ292" s="182"/>
      <c r="CK292" s="182"/>
      <c r="CL292" s="182"/>
      <c r="CM292" s="182"/>
      <c r="CN292" s="182"/>
      <c r="CO292" s="182"/>
      <c r="CP292" s="182"/>
      <c r="CQ292" s="182"/>
      <c r="CR292" s="182"/>
      <c r="CS292" s="182"/>
      <c r="CT292" s="182"/>
      <c r="CU292" s="182"/>
      <c r="CV292" s="182"/>
      <c r="CW292" s="182"/>
      <c r="CX292" s="182"/>
      <c r="CY292" s="182"/>
      <c r="CZ292" s="182"/>
      <c r="DA292" s="182"/>
      <c r="DB292" s="182"/>
      <c r="DC292" s="182"/>
      <c r="DD292" s="182"/>
      <c r="DE292" s="182"/>
      <c r="DF292" s="182"/>
      <c r="DG292" s="182"/>
      <c r="DH292" s="182"/>
      <c r="DI292" s="182"/>
      <c r="DJ292" s="182"/>
      <c r="DK292" s="182"/>
      <c r="DL292" s="182"/>
      <c r="DM292" s="182"/>
      <c r="DN292" s="182"/>
      <c r="DO292" s="182"/>
      <c r="DP292" s="182"/>
      <c r="DQ292" s="182"/>
      <c r="DR292" s="182"/>
      <c r="DS292" s="182"/>
      <c r="DT292" s="182"/>
      <c r="DU292" s="182"/>
      <c r="DV292" s="182"/>
      <c r="DW292" s="182"/>
      <c r="DX292" s="182"/>
      <c r="DY292" s="182"/>
      <c r="DZ292" s="182"/>
      <c r="EA292" s="182"/>
      <c r="EB292" s="182"/>
      <c r="EC292" s="182"/>
      <c r="ED292" s="182"/>
      <c r="EE292" s="182"/>
      <c r="EF292" s="182"/>
      <c r="EG292" s="182"/>
      <c r="EH292" s="182"/>
      <c r="EI292" s="182"/>
      <c r="EJ292" s="182"/>
      <c r="EK292" s="182"/>
      <c r="EL292" s="182"/>
      <c r="EM292" s="182"/>
      <c r="EN292" s="182"/>
      <c r="EO292" s="182"/>
      <c r="EP292" s="182"/>
      <c r="EQ292" s="182"/>
      <c r="ER292" s="182"/>
      <c r="ES292" s="182"/>
      <c r="ET292" s="182"/>
      <c r="EU292" s="182"/>
      <c r="EV292" s="182"/>
      <c r="EW292" s="182"/>
      <c r="EX292" s="182"/>
      <c r="EY292" s="182"/>
      <c r="EZ292" s="182"/>
      <c r="FA292" s="182"/>
      <c r="FB292" s="182"/>
      <c r="FC292" s="182"/>
      <c r="FD292" s="182"/>
      <c r="FE292" s="182"/>
      <c r="FF292" s="182"/>
      <c r="FG292" s="182"/>
      <c r="FH292" s="182"/>
      <c r="FI292" s="182"/>
      <c r="FJ292" s="182"/>
      <c r="FK292" s="182"/>
      <c r="FL292" s="182"/>
      <c r="FM292" s="182"/>
      <c r="FN292" s="182"/>
      <c r="FO292" s="182"/>
      <c r="FP292" s="182"/>
      <c r="FQ292" s="182"/>
      <c r="FR292" s="182"/>
      <c r="FS292" s="182"/>
      <c r="FT292" s="182"/>
      <c r="FU292" s="182"/>
      <c r="FV292" s="182"/>
      <c r="FW292" s="182"/>
      <c r="FX292" s="182"/>
      <c r="FY292" s="182"/>
      <c r="FZ292" s="182"/>
      <c r="GA292" s="182"/>
      <c r="GB292" s="182"/>
      <c r="GC292" s="182"/>
      <c r="GD292" s="182"/>
      <c r="GE292" s="182"/>
      <c r="GF292" s="182"/>
      <c r="GG292" s="182"/>
      <c r="GH292" s="182"/>
      <c r="GI292" s="182"/>
    </row>
    <row r="293" spans="1:191" s="183" customFormat="1" x14ac:dyDescent="0.2">
      <c r="A293" s="210" t="s">
        <v>38598</v>
      </c>
      <c r="B293" s="210" t="s">
        <v>19141</v>
      </c>
      <c r="C293" s="224" t="s">
        <v>22398</v>
      </c>
      <c r="D293" s="211" t="s">
        <v>16</v>
      </c>
      <c r="E293" s="211">
        <v>30</v>
      </c>
      <c r="F293" s="211"/>
      <c r="G293" s="211">
        <v>0.3</v>
      </c>
      <c r="H293" s="212"/>
      <c r="I293" s="213"/>
      <c r="J293" s="272">
        <v>297.52999999999997</v>
      </c>
      <c r="K293" s="112">
        <f t="shared" si="23"/>
        <v>8925.9</v>
      </c>
      <c r="L293" s="273">
        <f>BDI!$E$17</f>
        <v>0.11260000000000001</v>
      </c>
      <c r="M293" s="213"/>
      <c r="N293" s="213"/>
      <c r="O293" s="114">
        <f t="shared" si="24"/>
        <v>331.03</v>
      </c>
      <c r="P293" s="113">
        <f t="shared" si="25"/>
        <v>2979.27</v>
      </c>
      <c r="Q293" s="209"/>
      <c r="R293" s="203"/>
      <c r="S293" s="182"/>
      <c r="T293" s="182"/>
      <c r="U293" s="182"/>
      <c r="V293" s="182"/>
      <c r="W293" s="182"/>
      <c r="X293" s="182"/>
      <c r="Y293" s="182"/>
      <c r="Z293" s="182"/>
      <c r="AA293" s="182"/>
      <c r="AB293" s="182"/>
      <c r="AC293" s="182"/>
      <c r="AD293" s="182"/>
      <c r="AE293" s="182"/>
      <c r="AF293" s="182"/>
      <c r="AG293" s="182"/>
      <c r="AH293" s="182"/>
      <c r="AI293" s="182"/>
      <c r="AJ293" s="182"/>
      <c r="AK293" s="182"/>
      <c r="AL293" s="182"/>
      <c r="AM293" s="182"/>
      <c r="AN293" s="182"/>
      <c r="AO293" s="182"/>
      <c r="AP293" s="182"/>
      <c r="AQ293" s="182"/>
      <c r="AR293" s="182"/>
      <c r="AS293" s="182"/>
      <c r="AT293" s="182"/>
      <c r="AU293" s="182"/>
      <c r="AV293" s="182"/>
      <c r="AW293" s="182"/>
      <c r="AX293" s="182"/>
      <c r="AY293" s="182"/>
      <c r="AZ293" s="182"/>
      <c r="BA293" s="182"/>
      <c r="BB293" s="182"/>
      <c r="BC293" s="182"/>
      <c r="BD293" s="182"/>
      <c r="BE293" s="182"/>
      <c r="BF293" s="182"/>
      <c r="BG293" s="182"/>
      <c r="BH293" s="182"/>
      <c r="BI293" s="182"/>
      <c r="BJ293" s="182"/>
      <c r="BK293" s="182"/>
      <c r="BL293" s="182"/>
      <c r="BM293" s="182"/>
      <c r="BN293" s="182"/>
      <c r="BO293" s="182"/>
      <c r="BP293" s="182"/>
      <c r="BQ293" s="182"/>
      <c r="BR293" s="182"/>
      <c r="BS293" s="182"/>
      <c r="BT293" s="182"/>
      <c r="BU293" s="182"/>
      <c r="BV293" s="182"/>
      <c r="BW293" s="182"/>
      <c r="BX293" s="182"/>
      <c r="BY293" s="182"/>
      <c r="BZ293" s="182"/>
      <c r="CA293" s="182"/>
      <c r="CB293" s="182"/>
      <c r="CC293" s="182"/>
      <c r="CD293" s="182"/>
      <c r="CE293" s="182"/>
      <c r="CF293" s="182"/>
      <c r="CG293" s="182"/>
      <c r="CH293" s="182"/>
      <c r="CI293" s="182"/>
      <c r="CJ293" s="182"/>
      <c r="CK293" s="182"/>
      <c r="CL293" s="182"/>
      <c r="CM293" s="182"/>
      <c r="CN293" s="182"/>
      <c r="CO293" s="182"/>
      <c r="CP293" s="182"/>
      <c r="CQ293" s="182"/>
      <c r="CR293" s="182"/>
      <c r="CS293" s="182"/>
      <c r="CT293" s="182"/>
      <c r="CU293" s="182"/>
      <c r="CV293" s="182"/>
      <c r="CW293" s="182"/>
      <c r="CX293" s="182"/>
      <c r="CY293" s="182"/>
      <c r="CZ293" s="182"/>
      <c r="DA293" s="182"/>
      <c r="DB293" s="182"/>
      <c r="DC293" s="182"/>
      <c r="DD293" s="182"/>
      <c r="DE293" s="182"/>
      <c r="DF293" s="182"/>
      <c r="DG293" s="182"/>
      <c r="DH293" s="182"/>
      <c r="DI293" s="182"/>
      <c r="DJ293" s="182"/>
      <c r="DK293" s="182"/>
      <c r="DL293" s="182"/>
      <c r="DM293" s="182"/>
      <c r="DN293" s="182"/>
      <c r="DO293" s="182"/>
      <c r="DP293" s="182"/>
      <c r="DQ293" s="182"/>
      <c r="DR293" s="182"/>
      <c r="DS293" s="182"/>
      <c r="DT293" s="182"/>
      <c r="DU293" s="182"/>
      <c r="DV293" s="182"/>
      <c r="DW293" s="182"/>
      <c r="DX293" s="182"/>
      <c r="DY293" s="182"/>
      <c r="DZ293" s="182"/>
      <c r="EA293" s="182"/>
      <c r="EB293" s="182"/>
      <c r="EC293" s="182"/>
      <c r="ED293" s="182"/>
      <c r="EE293" s="182"/>
      <c r="EF293" s="182"/>
      <c r="EG293" s="182"/>
      <c r="EH293" s="182"/>
      <c r="EI293" s="182"/>
      <c r="EJ293" s="182"/>
      <c r="EK293" s="182"/>
      <c r="EL293" s="182"/>
      <c r="EM293" s="182"/>
      <c r="EN293" s="182"/>
      <c r="EO293" s="182"/>
      <c r="EP293" s="182"/>
      <c r="EQ293" s="182"/>
      <c r="ER293" s="182"/>
      <c r="ES293" s="182"/>
      <c r="ET293" s="182"/>
      <c r="EU293" s="182"/>
      <c r="EV293" s="182"/>
      <c r="EW293" s="182"/>
      <c r="EX293" s="182"/>
      <c r="EY293" s="182"/>
      <c r="EZ293" s="182"/>
      <c r="FA293" s="182"/>
      <c r="FB293" s="182"/>
      <c r="FC293" s="182"/>
      <c r="FD293" s="182"/>
      <c r="FE293" s="182"/>
      <c r="FF293" s="182"/>
      <c r="FG293" s="182"/>
      <c r="FH293" s="182"/>
      <c r="FI293" s="182"/>
      <c r="FJ293" s="182"/>
      <c r="FK293" s="182"/>
      <c r="FL293" s="182"/>
      <c r="FM293" s="182"/>
      <c r="FN293" s="182"/>
      <c r="FO293" s="182"/>
      <c r="FP293" s="182"/>
      <c r="FQ293" s="182"/>
      <c r="FR293" s="182"/>
      <c r="FS293" s="182"/>
      <c r="FT293" s="182"/>
      <c r="FU293" s="182"/>
      <c r="FV293" s="182"/>
      <c r="FW293" s="182"/>
      <c r="FX293" s="182"/>
      <c r="FY293" s="182"/>
      <c r="FZ293" s="182"/>
      <c r="GA293" s="182"/>
      <c r="GB293" s="182"/>
      <c r="GC293" s="182"/>
      <c r="GD293" s="182"/>
      <c r="GE293" s="182"/>
      <c r="GF293" s="182"/>
      <c r="GG293" s="182"/>
      <c r="GH293" s="182"/>
      <c r="GI293" s="182"/>
    </row>
    <row r="294" spans="1:191" s="183" customFormat="1" x14ac:dyDescent="0.2">
      <c r="A294" s="210" t="s">
        <v>38599</v>
      </c>
      <c r="B294" s="210" t="s">
        <v>19142</v>
      </c>
      <c r="C294" s="224" t="s">
        <v>22399</v>
      </c>
      <c r="D294" s="211" t="s">
        <v>16</v>
      </c>
      <c r="E294" s="211">
        <v>15</v>
      </c>
      <c r="F294" s="211"/>
      <c r="G294" s="211">
        <v>0.3</v>
      </c>
      <c r="H294" s="212"/>
      <c r="I294" s="213"/>
      <c r="J294" s="272">
        <v>442.81</v>
      </c>
      <c r="K294" s="112">
        <f t="shared" si="23"/>
        <v>6642.15</v>
      </c>
      <c r="L294" s="273">
        <f>BDI!$E$17</f>
        <v>0.11260000000000001</v>
      </c>
      <c r="M294" s="213"/>
      <c r="N294" s="213"/>
      <c r="O294" s="114">
        <f t="shared" si="24"/>
        <v>492.67</v>
      </c>
      <c r="P294" s="113">
        <f t="shared" si="25"/>
        <v>2217.02</v>
      </c>
      <c r="Q294" s="209"/>
      <c r="R294" s="203"/>
      <c r="S294" s="182"/>
      <c r="T294" s="182"/>
      <c r="U294" s="182"/>
      <c r="V294" s="182"/>
      <c r="W294" s="182"/>
      <c r="X294" s="182"/>
      <c r="Y294" s="182"/>
      <c r="Z294" s="182"/>
      <c r="AA294" s="182"/>
      <c r="AB294" s="182"/>
      <c r="AC294" s="182"/>
      <c r="AD294" s="182"/>
      <c r="AE294" s="182"/>
      <c r="AF294" s="182"/>
      <c r="AG294" s="182"/>
      <c r="AH294" s="182"/>
      <c r="AI294" s="182"/>
      <c r="AJ294" s="182"/>
      <c r="AK294" s="182"/>
      <c r="AL294" s="182"/>
      <c r="AM294" s="182"/>
      <c r="AN294" s="182"/>
      <c r="AO294" s="182"/>
      <c r="AP294" s="182"/>
      <c r="AQ294" s="182"/>
      <c r="AR294" s="182"/>
      <c r="AS294" s="182"/>
      <c r="AT294" s="182"/>
      <c r="AU294" s="182"/>
      <c r="AV294" s="182"/>
      <c r="AW294" s="182"/>
      <c r="AX294" s="182"/>
      <c r="AY294" s="182"/>
      <c r="AZ294" s="182"/>
      <c r="BA294" s="182"/>
      <c r="BB294" s="182"/>
      <c r="BC294" s="182"/>
      <c r="BD294" s="182"/>
      <c r="BE294" s="182"/>
      <c r="BF294" s="182"/>
      <c r="BG294" s="182"/>
      <c r="BH294" s="182"/>
      <c r="BI294" s="182"/>
      <c r="BJ294" s="182"/>
      <c r="BK294" s="182"/>
      <c r="BL294" s="182"/>
      <c r="BM294" s="182"/>
      <c r="BN294" s="182"/>
      <c r="BO294" s="182"/>
      <c r="BP294" s="182"/>
      <c r="BQ294" s="182"/>
      <c r="BR294" s="182"/>
      <c r="BS294" s="182"/>
      <c r="BT294" s="182"/>
      <c r="BU294" s="182"/>
      <c r="BV294" s="182"/>
      <c r="BW294" s="182"/>
      <c r="BX294" s="182"/>
      <c r="BY294" s="182"/>
      <c r="BZ294" s="182"/>
      <c r="CA294" s="182"/>
      <c r="CB294" s="182"/>
      <c r="CC294" s="182"/>
      <c r="CD294" s="182"/>
      <c r="CE294" s="182"/>
      <c r="CF294" s="182"/>
      <c r="CG294" s="182"/>
      <c r="CH294" s="182"/>
      <c r="CI294" s="182"/>
      <c r="CJ294" s="182"/>
      <c r="CK294" s="182"/>
      <c r="CL294" s="182"/>
      <c r="CM294" s="182"/>
      <c r="CN294" s="182"/>
      <c r="CO294" s="182"/>
      <c r="CP294" s="182"/>
      <c r="CQ294" s="182"/>
      <c r="CR294" s="182"/>
      <c r="CS294" s="182"/>
      <c r="CT294" s="182"/>
      <c r="CU294" s="182"/>
      <c r="CV294" s="182"/>
      <c r="CW294" s="182"/>
      <c r="CX294" s="182"/>
      <c r="CY294" s="182"/>
      <c r="CZ294" s="182"/>
      <c r="DA294" s="182"/>
      <c r="DB294" s="182"/>
      <c r="DC294" s="182"/>
      <c r="DD294" s="182"/>
      <c r="DE294" s="182"/>
      <c r="DF294" s="182"/>
      <c r="DG294" s="182"/>
      <c r="DH294" s="182"/>
      <c r="DI294" s="182"/>
      <c r="DJ294" s="182"/>
      <c r="DK294" s="182"/>
      <c r="DL294" s="182"/>
      <c r="DM294" s="182"/>
      <c r="DN294" s="182"/>
      <c r="DO294" s="182"/>
      <c r="DP294" s="182"/>
      <c r="DQ294" s="182"/>
      <c r="DR294" s="182"/>
      <c r="DS294" s="182"/>
      <c r="DT294" s="182"/>
      <c r="DU294" s="182"/>
      <c r="DV294" s="182"/>
      <c r="DW294" s="182"/>
      <c r="DX294" s="182"/>
      <c r="DY294" s="182"/>
      <c r="DZ294" s="182"/>
      <c r="EA294" s="182"/>
      <c r="EB294" s="182"/>
      <c r="EC294" s="182"/>
      <c r="ED294" s="182"/>
      <c r="EE294" s="182"/>
      <c r="EF294" s="182"/>
      <c r="EG294" s="182"/>
      <c r="EH294" s="182"/>
      <c r="EI294" s="182"/>
      <c r="EJ294" s="182"/>
      <c r="EK294" s="182"/>
      <c r="EL294" s="182"/>
      <c r="EM294" s="182"/>
      <c r="EN294" s="182"/>
      <c r="EO294" s="182"/>
      <c r="EP294" s="182"/>
      <c r="EQ294" s="182"/>
      <c r="ER294" s="182"/>
      <c r="ES294" s="182"/>
      <c r="ET294" s="182"/>
      <c r="EU294" s="182"/>
      <c r="EV294" s="182"/>
      <c r="EW294" s="182"/>
      <c r="EX294" s="182"/>
      <c r="EY294" s="182"/>
      <c r="EZ294" s="182"/>
      <c r="FA294" s="182"/>
      <c r="FB294" s="182"/>
      <c r="FC294" s="182"/>
      <c r="FD294" s="182"/>
      <c r="FE294" s="182"/>
      <c r="FF294" s="182"/>
      <c r="FG294" s="182"/>
      <c r="FH294" s="182"/>
      <c r="FI294" s="182"/>
      <c r="FJ294" s="182"/>
      <c r="FK294" s="182"/>
      <c r="FL294" s="182"/>
      <c r="FM294" s="182"/>
      <c r="FN294" s="182"/>
      <c r="FO294" s="182"/>
      <c r="FP294" s="182"/>
      <c r="FQ294" s="182"/>
      <c r="FR294" s="182"/>
      <c r="FS294" s="182"/>
      <c r="FT294" s="182"/>
      <c r="FU294" s="182"/>
      <c r="FV294" s="182"/>
      <c r="FW294" s="182"/>
      <c r="FX294" s="182"/>
      <c r="FY294" s="182"/>
      <c r="FZ294" s="182"/>
      <c r="GA294" s="182"/>
      <c r="GB294" s="182"/>
      <c r="GC294" s="182"/>
      <c r="GD294" s="182"/>
      <c r="GE294" s="182"/>
      <c r="GF294" s="182"/>
      <c r="GG294" s="182"/>
      <c r="GH294" s="182"/>
      <c r="GI294" s="182"/>
    </row>
    <row r="295" spans="1:191" s="183" customFormat="1" x14ac:dyDescent="0.2">
      <c r="A295" s="210" t="s">
        <v>38600</v>
      </c>
      <c r="B295" s="210" t="s">
        <v>19143</v>
      </c>
      <c r="C295" s="224" t="s">
        <v>22400</v>
      </c>
      <c r="D295" s="211" t="s">
        <v>16</v>
      </c>
      <c r="E295" s="211">
        <v>12</v>
      </c>
      <c r="F295" s="211"/>
      <c r="G295" s="211">
        <v>0.3</v>
      </c>
      <c r="H295" s="212"/>
      <c r="I295" s="213"/>
      <c r="J295" s="272">
        <v>839.69</v>
      </c>
      <c r="K295" s="112">
        <f t="shared" si="23"/>
        <v>10076.280000000001</v>
      </c>
      <c r="L295" s="273">
        <f>BDI!$E$17</f>
        <v>0.11260000000000001</v>
      </c>
      <c r="M295" s="213"/>
      <c r="N295" s="213"/>
      <c r="O295" s="114">
        <f t="shared" si="24"/>
        <v>934.24</v>
      </c>
      <c r="P295" s="113">
        <f t="shared" si="25"/>
        <v>3363.26</v>
      </c>
      <c r="Q295" s="209"/>
      <c r="R295" s="203"/>
      <c r="S295" s="182"/>
      <c r="T295" s="182"/>
      <c r="U295" s="182"/>
      <c r="V295" s="182"/>
      <c r="W295" s="182"/>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182"/>
      <c r="BS295" s="182"/>
      <c r="BT295" s="182"/>
      <c r="BU295" s="182"/>
      <c r="BV295" s="182"/>
      <c r="BW295" s="182"/>
      <c r="BX295" s="182"/>
      <c r="BY295" s="182"/>
      <c r="BZ295" s="182"/>
      <c r="CA295" s="182"/>
      <c r="CB295" s="182"/>
      <c r="CC295" s="182"/>
      <c r="CD295" s="182"/>
      <c r="CE295" s="182"/>
      <c r="CF295" s="182"/>
      <c r="CG295" s="182"/>
      <c r="CH295" s="182"/>
      <c r="CI295" s="182"/>
      <c r="CJ295" s="182"/>
      <c r="CK295" s="182"/>
      <c r="CL295" s="182"/>
      <c r="CM295" s="182"/>
      <c r="CN295" s="182"/>
      <c r="CO295" s="182"/>
      <c r="CP295" s="182"/>
      <c r="CQ295" s="182"/>
      <c r="CR295" s="182"/>
      <c r="CS295" s="182"/>
      <c r="CT295" s="182"/>
      <c r="CU295" s="182"/>
      <c r="CV295" s="182"/>
      <c r="CW295" s="182"/>
      <c r="CX295" s="182"/>
      <c r="CY295" s="182"/>
      <c r="CZ295" s="182"/>
      <c r="DA295" s="182"/>
      <c r="DB295" s="182"/>
      <c r="DC295" s="182"/>
      <c r="DD295" s="182"/>
      <c r="DE295" s="182"/>
      <c r="DF295" s="182"/>
      <c r="DG295" s="182"/>
      <c r="DH295" s="182"/>
      <c r="DI295" s="182"/>
      <c r="DJ295" s="182"/>
      <c r="DK295" s="182"/>
      <c r="DL295" s="182"/>
      <c r="DM295" s="182"/>
      <c r="DN295" s="182"/>
      <c r="DO295" s="182"/>
      <c r="DP295" s="182"/>
      <c r="DQ295" s="182"/>
      <c r="DR295" s="182"/>
      <c r="DS295" s="182"/>
      <c r="DT295" s="182"/>
      <c r="DU295" s="182"/>
      <c r="DV295" s="182"/>
      <c r="DW295" s="182"/>
      <c r="DX295" s="182"/>
      <c r="DY295" s="182"/>
      <c r="DZ295" s="182"/>
      <c r="EA295" s="182"/>
      <c r="EB295" s="182"/>
      <c r="EC295" s="182"/>
      <c r="ED295" s="182"/>
      <c r="EE295" s="182"/>
      <c r="EF295" s="182"/>
      <c r="EG295" s="182"/>
      <c r="EH295" s="182"/>
      <c r="EI295" s="182"/>
      <c r="EJ295" s="182"/>
      <c r="EK295" s="182"/>
      <c r="EL295" s="182"/>
      <c r="EM295" s="182"/>
      <c r="EN295" s="182"/>
      <c r="EO295" s="182"/>
      <c r="EP295" s="182"/>
      <c r="EQ295" s="182"/>
      <c r="ER295" s="182"/>
      <c r="ES295" s="182"/>
      <c r="ET295" s="182"/>
      <c r="EU295" s="182"/>
      <c r="EV295" s="182"/>
      <c r="EW295" s="182"/>
      <c r="EX295" s="182"/>
      <c r="EY295" s="182"/>
      <c r="EZ295" s="182"/>
      <c r="FA295" s="182"/>
      <c r="FB295" s="182"/>
      <c r="FC295" s="182"/>
      <c r="FD295" s="182"/>
      <c r="FE295" s="182"/>
      <c r="FF295" s="182"/>
      <c r="FG295" s="182"/>
      <c r="FH295" s="182"/>
      <c r="FI295" s="182"/>
      <c r="FJ295" s="182"/>
      <c r="FK295" s="182"/>
      <c r="FL295" s="182"/>
      <c r="FM295" s="182"/>
      <c r="FN295" s="182"/>
      <c r="FO295" s="182"/>
      <c r="FP295" s="182"/>
      <c r="FQ295" s="182"/>
      <c r="FR295" s="182"/>
      <c r="FS295" s="182"/>
      <c r="FT295" s="182"/>
      <c r="FU295" s="182"/>
      <c r="FV295" s="182"/>
      <c r="FW295" s="182"/>
      <c r="FX295" s="182"/>
      <c r="FY295" s="182"/>
      <c r="FZ295" s="182"/>
      <c r="GA295" s="182"/>
      <c r="GB295" s="182"/>
      <c r="GC295" s="182"/>
      <c r="GD295" s="182"/>
      <c r="GE295" s="182"/>
      <c r="GF295" s="182"/>
      <c r="GG295" s="182"/>
      <c r="GH295" s="182"/>
      <c r="GI295" s="182"/>
    </row>
    <row r="296" spans="1:191" s="183" customFormat="1" x14ac:dyDescent="0.2">
      <c r="A296" s="210" t="s">
        <v>38601</v>
      </c>
      <c r="B296" s="210" t="s">
        <v>19144</v>
      </c>
      <c r="C296" s="224" t="s">
        <v>22401</v>
      </c>
      <c r="D296" s="211" t="s">
        <v>16</v>
      </c>
      <c r="E296" s="211">
        <v>9</v>
      </c>
      <c r="F296" s="211"/>
      <c r="G296" s="211">
        <v>0.3</v>
      </c>
      <c r="H296" s="212"/>
      <c r="I296" s="213"/>
      <c r="J296" s="272">
        <v>261.47000000000003</v>
      </c>
      <c r="K296" s="112">
        <f t="shared" si="23"/>
        <v>2353.23</v>
      </c>
      <c r="L296" s="273">
        <f>BDI!$E$17</f>
        <v>0.11260000000000001</v>
      </c>
      <c r="M296" s="213"/>
      <c r="N296" s="213"/>
      <c r="O296" s="114">
        <f t="shared" si="24"/>
        <v>290.91000000000003</v>
      </c>
      <c r="P296" s="113">
        <f t="shared" si="25"/>
        <v>785.46</v>
      </c>
      <c r="Q296" s="209"/>
      <c r="R296" s="203"/>
      <c r="S296" s="182"/>
      <c r="T296" s="182"/>
      <c r="U296" s="182"/>
      <c r="V296" s="182"/>
      <c r="W296" s="182"/>
      <c r="X296" s="182"/>
      <c r="Y296" s="182"/>
      <c r="Z296" s="182"/>
      <c r="AA296" s="182"/>
      <c r="AB296" s="182"/>
      <c r="AC296" s="182"/>
      <c r="AD296" s="182"/>
      <c r="AE296" s="182"/>
      <c r="AF296" s="182"/>
      <c r="AG296" s="182"/>
      <c r="AH296" s="182"/>
      <c r="AI296" s="182"/>
      <c r="AJ296" s="182"/>
      <c r="AK296" s="182"/>
      <c r="AL296" s="182"/>
      <c r="AM296" s="182"/>
      <c r="AN296" s="182"/>
      <c r="AO296" s="182"/>
      <c r="AP296" s="182"/>
      <c r="AQ296" s="182"/>
      <c r="AR296" s="182"/>
      <c r="AS296" s="182"/>
      <c r="AT296" s="182"/>
      <c r="AU296" s="182"/>
      <c r="AV296" s="182"/>
      <c r="AW296" s="182"/>
      <c r="AX296" s="182"/>
      <c r="AY296" s="182"/>
      <c r="AZ296" s="182"/>
      <c r="BA296" s="182"/>
      <c r="BB296" s="182"/>
      <c r="BC296" s="182"/>
      <c r="BD296" s="182"/>
      <c r="BE296" s="182"/>
      <c r="BF296" s="182"/>
      <c r="BG296" s="182"/>
      <c r="BH296" s="182"/>
      <c r="BI296" s="182"/>
      <c r="BJ296" s="182"/>
      <c r="BK296" s="182"/>
      <c r="BL296" s="182"/>
      <c r="BM296" s="182"/>
      <c r="BN296" s="182"/>
      <c r="BO296" s="182"/>
      <c r="BP296" s="182"/>
      <c r="BQ296" s="182"/>
      <c r="BR296" s="182"/>
      <c r="BS296" s="182"/>
      <c r="BT296" s="182"/>
      <c r="BU296" s="182"/>
      <c r="BV296" s="182"/>
      <c r="BW296" s="182"/>
      <c r="BX296" s="182"/>
      <c r="BY296" s="182"/>
      <c r="BZ296" s="182"/>
      <c r="CA296" s="182"/>
      <c r="CB296" s="182"/>
      <c r="CC296" s="182"/>
      <c r="CD296" s="182"/>
      <c r="CE296" s="182"/>
      <c r="CF296" s="182"/>
      <c r="CG296" s="182"/>
      <c r="CH296" s="182"/>
      <c r="CI296" s="182"/>
      <c r="CJ296" s="182"/>
      <c r="CK296" s="182"/>
      <c r="CL296" s="182"/>
      <c r="CM296" s="182"/>
      <c r="CN296" s="182"/>
      <c r="CO296" s="182"/>
      <c r="CP296" s="182"/>
      <c r="CQ296" s="182"/>
      <c r="CR296" s="182"/>
      <c r="CS296" s="182"/>
      <c r="CT296" s="182"/>
      <c r="CU296" s="182"/>
      <c r="CV296" s="182"/>
      <c r="CW296" s="182"/>
      <c r="CX296" s="182"/>
      <c r="CY296" s="182"/>
      <c r="CZ296" s="182"/>
      <c r="DA296" s="182"/>
      <c r="DB296" s="182"/>
      <c r="DC296" s="182"/>
      <c r="DD296" s="182"/>
      <c r="DE296" s="182"/>
      <c r="DF296" s="182"/>
      <c r="DG296" s="182"/>
      <c r="DH296" s="182"/>
      <c r="DI296" s="182"/>
      <c r="DJ296" s="182"/>
      <c r="DK296" s="182"/>
      <c r="DL296" s="182"/>
      <c r="DM296" s="182"/>
      <c r="DN296" s="182"/>
      <c r="DO296" s="182"/>
      <c r="DP296" s="182"/>
      <c r="DQ296" s="182"/>
      <c r="DR296" s="182"/>
      <c r="DS296" s="182"/>
      <c r="DT296" s="182"/>
      <c r="DU296" s="182"/>
      <c r="DV296" s="182"/>
      <c r="DW296" s="182"/>
      <c r="DX296" s="182"/>
      <c r="DY296" s="182"/>
      <c r="DZ296" s="182"/>
      <c r="EA296" s="182"/>
      <c r="EB296" s="182"/>
      <c r="EC296" s="182"/>
      <c r="ED296" s="182"/>
      <c r="EE296" s="182"/>
      <c r="EF296" s="182"/>
      <c r="EG296" s="182"/>
      <c r="EH296" s="182"/>
      <c r="EI296" s="182"/>
      <c r="EJ296" s="182"/>
      <c r="EK296" s="182"/>
      <c r="EL296" s="182"/>
      <c r="EM296" s="182"/>
      <c r="EN296" s="182"/>
      <c r="EO296" s="182"/>
      <c r="EP296" s="182"/>
      <c r="EQ296" s="182"/>
      <c r="ER296" s="182"/>
      <c r="ES296" s="182"/>
      <c r="ET296" s="182"/>
      <c r="EU296" s="182"/>
      <c r="EV296" s="182"/>
      <c r="EW296" s="182"/>
      <c r="EX296" s="182"/>
      <c r="EY296" s="182"/>
      <c r="EZ296" s="182"/>
      <c r="FA296" s="182"/>
      <c r="FB296" s="182"/>
      <c r="FC296" s="182"/>
      <c r="FD296" s="182"/>
      <c r="FE296" s="182"/>
      <c r="FF296" s="182"/>
      <c r="FG296" s="182"/>
      <c r="FH296" s="182"/>
      <c r="FI296" s="182"/>
      <c r="FJ296" s="182"/>
      <c r="FK296" s="182"/>
      <c r="FL296" s="182"/>
      <c r="FM296" s="182"/>
      <c r="FN296" s="182"/>
      <c r="FO296" s="182"/>
      <c r="FP296" s="182"/>
      <c r="FQ296" s="182"/>
      <c r="FR296" s="182"/>
      <c r="FS296" s="182"/>
      <c r="FT296" s="182"/>
      <c r="FU296" s="182"/>
      <c r="FV296" s="182"/>
      <c r="FW296" s="182"/>
      <c r="FX296" s="182"/>
      <c r="FY296" s="182"/>
      <c r="FZ296" s="182"/>
      <c r="GA296" s="182"/>
      <c r="GB296" s="182"/>
      <c r="GC296" s="182"/>
      <c r="GD296" s="182"/>
      <c r="GE296" s="182"/>
      <c r="GF296" s="182"/>
      <c r="GG296" s="182"/>
      <c r="GH296" s="182"/>
      <c r="GI296" s="182"/>
    </row>
    <row r="297" spans="1:191" s="183" customFormat="1" x14ac:dyDescent="0.2">
      <c r="A297" s="210" t="s">
        <v>38602</v>
      </c>
      <c r="B297" s="210" t="s">
        <v>19145</v>
      </c>
      <c r="C297" s="224" t="s">
        <v>22402</v>
      </c>
      <c r="D297" s="211" t="s">
        <v>16</v>
      </c>
      <c r="E297" s="211">
        <v>20</v>
      </c>
      <c r="F297" s="211"/>
      <c r="G297" s="211">
        <v>0.3</v>
      </c>
      <c r="H297" s="212"/>
      <c r="I297" s="213"/>
      <c r="J297" s="272">
        <v>2467.27</v>
      </c>
      <c r="K297" s="112">
        <f t="shared" si="23"/>
        <v>49345.4</v>
      </c>
      <c r="L297" s="273">
        <f>BDI!$E$17</f>
        <v>0.11260000000000001</v>
      </c>
      <c r="M297" s="213"/>
      <c r="N297" s="213"/>
      <c r="O297" s="114">
        <f t="shared" si="24"/>
        <v>2745.08</v>
      </c>
      <c r="P297" s="113">
        <f t="shared" si="25"/>
        <v>16470.48</v>
      </c>
      <c r="Q297" s="209"/>
      <c r="R297" s="203"/>
      <c r="S297" s="182"/>
      <c r="T297" s="182"/>
      <c r="U297" s="182"/>
      <c r="V297" s="182"/>
      <c r="W297" s="182"/>
      <c r="X297" s="182"/>
      <c r="Y297" s="182"/>
      <c r="Z297" s="182"/>
      <c r="AA297" s="182"/>
      <c r="AB297" s="182"/>
      <c r="AC297" s="182"/>
      <c r="AD297" s="182"/>
      <c r="AE297" s="182"/>
      <c r="AF297" s="182"/>
      <c r="AG297" s="182"/>
      <c r="AH297" s="182"/>
      <c r="AI297" s="182"/>
      <c r="AJ297" s="182"/>
      <c r="AK297" s="182"/>
      <c r="AL297" s="182"/>
      <c r="AM297" s="182"/>
      <c r="AN297" s="182"/>
      <c r="AO297" s="182"/>
      <c r="AP297" s="182"/>
      <c r="AQ297" s="182"/>
      <c r="AR297" s="182"/>
      <c r="AS297" s="182"/>
      <c r="AT297" s="182"/>
      <c r="AU297" s="182"/>
      <c r="AV297" s="182"/>
      <c r="AW297" s="182"/>
      <c r="AX297" s="182"/>
      <c r="AY297" s="182"/>
      <c r="AZ297" s="182"/>
      <c r="BA297" s="182"/>
      <c r="BB297" s="182"/>
      <c r="BC297" s="182"/>
      <c r="BD297" s="182"/>
      <c r="BE297" s="182"/>
      <c r="BF297" s="182"/>
      <c r="BG297" s="182"/>
      <c r="BH297" s="182"/>
      <c r="BI297" s="182"/>
      <c r="BJ297" s="182"/>
      <c r="BK297" s="182"/>
      <c r="BL297" s="182"/>
      <c r="BM297" s="182"/>
      <c r="BN297" s="182"/>
      <c r="BO297" s="182"/>
      <c r="BP297" s="182"/>
      <c r="BQ297" s="182"/>
      <c r="BR297" s="182"/>
      <c r="BS297" s="182"/>
      <c r="BT297" s="182"/>
      <c r="BU297" s="182"/>
      <c r="BV297" s="182"/>
      <c r="BW297" s="182"/>
      <c r="BX297" s="182"/>
      <c r="BY297" s="182"/>
      <c r="BZ297" s="182"/>
      <c r="CA297" s="182"/>
      <c r="CB297" s="182"/>
      <c r="CC297" s="182"/>
      <c r="CD297" s="182"/>
      <c r="CE297" s="182"/>
      <c r="CF297" s="182"/>
      <c r="CG297" s="182"/>
      <c r="CH297" s="182"/>
      <c r="CI297" s="182"/>
      <c r="CJ297" s="182"/>
      <c r="CK297" s="182"/>
      <c r="CL297" s="182"/>
      <c r="CM297" s="182"/>
      <c r="CN297" s="182"/>
      <c r="CO297" s="182"/>
      <c r="CP297" s="182"/>
      <c r="CQ297" s="182"/>
      <c r="CR297" s="182"/>
      <c r="CS297" s="182"/>
      <c r="CT297" s="182"/>
      <c r="CU297" s="182"/>
      <c r="CV297" s="182"/>
      <c r="CW297" s="182"/>
      <c r="CX297" s="182"/>
      <c r="CY297" s="182"/>
      <c r="CZ297" s="182"/>
      <c r="DA297" s="182"/>
      <c r="DB297" s="182"/>
      <c r="DC297" s="182"/>
      <c r="DD297" s="182"/>
      <c r="DE297" s="182"/>
      <c r="DF297" s="182"/>
      <c r="DG297" s="182"/>
      <c r="DH297" s="182"/>
      <c r="DI297" s="182"/>
      <c r="DJ297" s="182"/>
      <c r="DK297" s="182"/>
      <c r="DL297" s="182"/>
      <c r="DM297" s="182"/>
      <c r="DN297" s="182"/>
      <c r="DO297" s="182"/>
      <c r="DP297" s="182"/>
      <c r="DQ297" s="182"/>
      <c r="DR297" s="182"/>
      <c r="DS297" s="182"/>
      <c r="DT297" s="182"/>
      <c r="DU297" s="182"/>
      <c r="DV297" s="182"/>
      <c r="DW297" s="182"/>
      <c r="DX297" s="182"/>
      <c r="DY297" s="182"/>
      <c r="DZ297" s="182"/>
      <c r="EA297" s="182"/>
      <c r="EB297" s="182"/>
      <c r="EC297" s="182"/>
      <c r="ED297" s="182"/>
      <c r="EE297" s="182"/>
      <c r="EF297" s="182"/>
      <c r="EG297" s="182"/>
      <c r="EH297" s="182"/>
      <c r="EI297" s="182"/>
      <c r="EJ297" s="182"/>
      <c r="EK297" s="182"/>
      <c r="EL297" s="182"/>
      <c r="EM297" s="182"/>
      <c r="EN297" s="182"/>
      <c r="EO297" s="182"/>
      <c r="EP297" s="182"/>
      <c r="EQ297" s="182"/>
      <c r="ER297" s="182"/>
      <c r="ES297" s="182"/>
      <c r="ET297" s="182"/>
      <c r="EU297" s="182"/>
      <c r="EV297" s="182"/>
      <c r="EW297" s="182"/>
      <c r="EX297" s="182"/>
      <c r="EY297" s="182"/>
      <c r="EZ297" s="182"/>
      <c r="FA297" s="182"/>
      <c r="FB297" s="182"/>
      <c r="FC297" s="182"/>
      <c r="FD297" s="182"/>
      <c r="FE297" s="182"/>
      <c r="FF297" s="182"/>
      <c r="FG297" s="182"/>
      <c r="FH297" s="182"/>
      <c r="FI297" s="182"/>
      <c r="FJ297" s="182"/>
      <c r="FK297" s="182"/>
      <c r="FL297" s="182"/>
      <c r="FM297" s="182"/>
      <c r="FN297" s="182"/>
      <c r="FO297" s="182"/>
      <c r="FP297" s="182"/>
      <c r="FQ297" s="182"/>
      <c r="FR297" s="182"/>
      <c r="FS297" s="182"/>
      <c r="FT297" s="182"/>
      <c r="FU297" s="182"/>
      <c r="FV297" s="182"/>
      <c r="FW297" s="182"/>
      <c r="FX297" s="182"/>
      <c r="FY297" s="182"/>
      <c r="FZ297" s="182"/>
      <c r="GA297" s="182"/>
      <c r="GB297" s="182"/>
      <c r="GC297" s="182"/>
      <c r="GD297" s="182"/>
      <c r="GE297" s="182"/>
      <c r="GF297" s="182"/>
      <c r="GG297" s="182"/>
      <c r="GH297" s="182"/>
      <c r="GI297" s="182"/>
    </row>
    <row r="298" spans="1:191" s="183" customFormat="1" x14ac:dyDescent="0.2">
      <c r="A298" s="210" t="s">
        <v>38603</v>
      </c>
      <c r="B298" s="210" t="s">
        <v>19146</v>
      </c>
      <c r="C298" s="224" t="s">
        <v>38141</v>
      </c>
      <c r="D298" s="211" t="s">
        <v>16</v>
      </c>
      <c r="E298" s="211">
        <v>50</v>
      </c>
      <c r="F298" s="211"/>
      <c r="G298" s="211">
        <v>0.3</v>
      </c>
      <c r="H298" s="212"/>
      <c r="I298" s="213"/>
      <c r="J298" s="272">
        <v>108.11</v>
      </c>
      <c r="K298" s="112">
        <f t="shared" si="23"/>
        <v>5405.5</v>
      </c>
      <c r="L298" s="273">
        <f>BDI!$E$17</f>
        <v>0.11260000000000001</v>
      </c>
      <c r="M298" s="213"/>
      <c r="N298" s="213"/>
      <c r="O298" s="114">
        <f t="shared" si="24"/>
        <v>120.28</v>
      </c>
      <c r="P298" s="113">
        <f t="shared" si="25"/>
        <v>1804.2</v>
      </c>
      <c r="Q298" s="209"/>
      <c r="R298" s="203"/>
      <c r="S298" s="182"/>
      <c r="T298" s="182"/>
      <c r="U298" s="182"/>
      <c r="V298" s="182"/>
      <c r="W298" s="182"/>
      <c r="X298" s="182"/>
      <c r="Y298" s="182"/>
      <c r="Z298" s="182"/>
      <c r="AA298" s="182"/>
      <c r="AB298" s="182"/>
      <c r="AC298" s="182"/>
      <c r="AD298" s="182"/>
      <c r="AE298" s="182"/>
      <c r="AF298" s="182"/>
      <c r="AG298" s="182"/>
      <c r="AH298" s="182"/>
      <c r="AI298" s="182"/>
      <c r="AJ298" s="182"/>
      <c r="AK298" s="182"/>
      <c r="AL298" s="182"/>
      <c r="AM298" s="182"/>
      <c r="AN298" s="182"/>
      <c r="AO298" s="182"/>
      <c r="AP298" s="182"/>
      <c r="AQ298" s="182"/>
      <c r="AR298" s="182"/>
      <c r="AS298" s="182"/>
      <c r="AT298" s="182"/>
      <c r="AU298" s="182"/>
      <c r="AV298" s="182"/>
      <c r="AW298" s="182"/>
      <c r="AX298" s="182"/>
      <c r="AY298" s="182"/>
      <c r="AZ298" s="182"/>
      <c r="BA298" s="182"/>
      <c r="BB298" s="182"/>
      <c r="BC298" s="182"/>
      <c r="BD298" s="182"/>
      <c r="BE298" s="182"/>
      <c r="BF298" s="182"/>
      <c r="BG298" s="182"/>
      <c r="BH298" s="182"/>
      <c r="BI298" s="182"/>
      <c r="BJ298" s="182"/>
      <c r="BK298" s="182"/>
      <c r="BL298" s="182"/>
      <c r="BM298" s="182"/>
      <c r="BN298" s="182"/>
      <c r="BO298" s="182"/>
      <c r="BP298" s="182"/>
      <c r="BQ298" s="182"/>
      <c r="BR298" s="182"/>
      <c r="BS298" s="182"/>
      <c r="BT298" s="182"/>
      <c r="BU298" s="182"/>
      <c r="BV298" s="182"/>
      <c r="BW298" s="182"/>
      <c r="BX298" s="182"/>
      <c r="BY298" s="182"/>
      <c r="BZ298" s="182"/>
      <c r="CA298" s="182"/>
      <c r="CB298" s="182"/>
      <c r="CC298" s="182"/>
      <c r="CD298" s="182"/>
      <c r="CE298" s="182"/>
      <c r="CF298" s="182"/>
      <c r="CG298" s="182"/>
      <c r="CH298" s="182"/>
      <c r="CI298" s="182"/>
      <c r="CJ298" s="182"/>
      <c r="CK298" s="182"/>
      <c r="CL298" s="182"/>
      <c r="CM298" s="182"/>
      <c r="CN298" s="182"/>
      <c r="CO298" s="182"/>
      <c r="CP298" s="182"/>
      <c r="CQ298" s="182"/>
      <c r="CR298" s="182"/>
      <c r="CS298" s="182"/>
      <c r="CT298" s="182"/>
      <c r="CU298" s="182"/>
      <c r="CV298" s="182"/>
      <c r="CW298" s="182"/>
      <c r="CX298" s="182"/>
      <c r="CY298" s="182"/>
      <c r="CZ298" s="182"/>
      <c r="DA298" s="182"/>
      <c r="DB298" s="182"/>
      <c r="DC298" s="182"/>
      <c r="DD298" s="182"/>
      <c r="DE298" s="182"/>
      <c r="DF298" s="182"/>
      <c r="DG298" s="182"/>
      <c r="DH298" s="182"/>
      <c r="DI298" s="182"/>
      <c r="DJ298" s="182"/>
      <c r="DK298" s="182"/>
      <c r="DL298" s="182"/>
      <c r="DM298" s="182"/>
      <c r="DN298" s="182"/>
      <c r="DO298" s="182"/>
      <c r="DP298" s="182"/>
      <c r="DQ298" s="182"/>
      <c r="DR298" s="182"/>
      <c r="DS298" s="182"/>
      <c r="DT298" s="182"/>
      <c r="DU298" s="182"/>
      <c r="DV298" s="182"/>
      <c r="DW298" s="182"/>
      <c r="DX298" s="182"/>
      <c r="DY298" s="182"/>
      <c r="DZ298" s="182"/>
      <c r="EA298" s="182"/>
      <c r="EB298" s="182"/>
      <c r="EC298" s="182"/>
      <c r="ED298" s="182"/>
      <c r="EE298" s="182"/>
      <c r="EF298" s="182"/>
      <c r="EG298" s="182"/>
      <c r="EH298" s="182"/>
      <c r="EI298" s="182"/>
      <c r="EJ298" s="182"/>
      <c r="EK298" s="182"/>
      <c r="EL298" s="182"/>
      <c r="EM298" s="182"/>
      <c r="EN298" s="182"/>
      <c r="EO298" s="182"/>
      <c r="EP298" s="182"/>
      <c r="EQ298" s="182"/>
      <c r="ER298" s="182"/>
      <c r="ES298" s="182"/>
      <c r="ET298" s="182"/>
      <c r="EU298" s="182"/>
      <c r="EV298" s="182"/>
      <c r="EW298" s="182"/>
      <c r="EX298" s="182"/>
      <c r="EY298" s="182"/>
      <c r="EZ298" s="182"/>
      <c r="FA298" s="182"/>
      <c r="FB298" s="182"/>
      <c r="FC298" s="182"/>
      <c r="FD298" s="182"/>
      <c r="FE298" s="182"/>
      <c r="FF298" s="182"/>
      <c r="FG298" s="182"/>
      <c r="FH298" s="182"/>
      <c r="FI298" s="182"/>
      <c r="FJ298" s="182"/>
      <c r="FK298" s="182"/>
      <c r="FL298" s="182"/>
      <c r="FM298" s="182"/>
      <c r="FN298" s="182"/>
      <c r="FO298" s="182"/>
      <c r="FP298" s="182"/>
      <c r="FQ298" s="182"/>
      <c r="FR298" s="182"/>
      <c r="FS298" s="182"/>
      <c r="FT298" s="182"/>
      <c r="FU298" s="182"/>
      <c r="FV298" s="182"/>
      <c r="FW298" s="182"/>
      <c r="FX298" s="182"/>
      <c r="FY298" s="182"/>
      <c r="FZ298" s="182"/>
      <c r="GA298" s="182"/>
      <c r="GB298" s="182"/>
      <c r="GC298" s="182"/>
      <c r="GD298" s="182"/>
      <c r="GE298" s="182"/>
      <c r="GF298" s="182"/>
      <c r="GG298" s="182"/>
      <c r="GH298" s="182"/>
      <c r="GI298" s="182"/>
    </row>
    <row r="299" spans="1:191" s="183" customFormat="1" x14ac:dyDescent="0.2">
      <c r="A299" s="210" t="s">
        <v>38604</v>
      </c>
      <c r="B299" s="210" t="s">
        <v>19147</v>
      </c>
      <c r="C299" s="224" t="s">
        <v>22403</v>
      </c>
      <c r="D299" s="211" t="s">
        <v>16</v>
      </c>
      <c r="E299" s="211">
        <v>6</v>
      </c>
      <c r="F299" s="211"/>
      <c r="G299" s="211">
        <v>0.3</v>
      </c>
      <c r="H299" s="212"/>
      <c r="I299" s="213"/>
      <c r="J299" s="272">
        <v>2448.23</v>
      </c>
      <c r="K299" s="112">
        <f t="shared" si="23"/>
        <v>14689.38</v>
      </c>
      <c r="L299" s="273">
        <f>BDI!$E$17</f>
        <v>0.11260000000000001</v>
      </c>
      <c r="M299" s="213"/>
      <c r="N299" s="213"/>
      <c r="O299" s="114">
        <f t="shared" si="24"/>
        <v>2723.9</v>
      </c>
      <c r="P299" s="113">
        <f t="shared" si="25"/>
        <v>4903.0200000000004</v>
      </c>
      <c r="Q299" s="209"/>
      <c r="R299" s="203"/>
      <c r="S299" s="182"/>
      <c r="T299" s="182"/>
      <c r="U299" s="182"/>
      <c r="V299" s="182"/>
      <c r="W299" s="182"/>
      <c r="X299" s="182"/>
      <c r="Y299" s="182"/>
      <c r="Z299" s="182"/>
      <c r="AA299" s="182"/>
      <c r="AB299" s="182"/>
      <c r="AC299" s="182"/>
      <c r="AD299" s="182"/>
      <c r="AE299" s="182"/>
      <c r="AF299" s="182"/>
      <c r="AG299" s="182"/>
      <c r="AH299" s="182"/>
      <c r="AI299" s="182"/>
      <c r="AJ299" s="182"/>
      <c r="AK299" s="182"/>
      <c r="AL299" s="182"/>
      <c r="AM299" s="182"/>
      <c r="AN299" s="182"/>
      <c r="AO299" s="182"/>
      <c r="AP299" s="182"/>
      <c r="AQ299" s="182"/>
      <c r="AR299" s="182"/>
      <c r="AS299" s="182"/>
      <c r="AT299" s="182"/>
      <c r="AU299" s="182"/>
      <c r="AV299" s="182"/>
      <c r="AW299" s="182"/>
      <c r="AX299" s="182"/>
      <c r="AY299" s="182"/>
      <c r="AZ299" s="182"/>
      <c r="BA299" s="182"/>
      <c r="BB299" s="182"/>
      <c r="BC299" s="182"/>
      <c r="BD299" s="182"/>
      <c r="BE299" s="182"/>
      <c r="BF299" s="182"/>
      <c r="BG299" s="182"/>
      <c r="BH299" s="182"/>
      <c r="BI299" s="182"/>
      <c r="BJ299" s="182"/>
      <c r="BK299" s="182"/>
      <c r="BL299" s="182"/>
      <c r="BM299" s="182"/>
      <c r="BN299" s="182"/>
      <c r="BO299" s="182"/>
      <c r="BP299" s="182"/>
      <c r="BQ299" s="182"/>
      <c r="BR299" s="182"/>
      <c r="BS299" s="182"/>
      <c r="BT299" s="182"/>
      <c r="BU299" s="182"/>
      <c r="BV299" s="182"/>
      <c r="BW299" s="182"/>
      <c r="BX299" s="182"/>
      <c r="BY299" s="182"/>
      <c r="BZ299" s="182"/>
      <c r="CA299" s="182"/>
      <c r="CB299" s="182"/>
      <c r="CC299" s="182"/>
      <c r="CD299" s="182"/>
      <c r="CE299" s="182"/>
      <c r="CF299" s="182"/>
      <c r="CG299" s="182"/>
      <c r="CH299" s="182"/>
      <c r="CI299" s="182"/>
      <c r="CJ299" s="182"/>
      <c r="CK299" s="182"/>
      <c r="CL299" s="182"/>
      <c r="CM299" s="182"/>
      <c r="CN299" s="182"/>
      <c r="CO299" s="182"/>
      <c r="CP299" s="182"/>
      <c r="CQ299" s="182"/>
      <c r="CR299" s="182"/>
      <c r="CS299" s="182"/>
      <c r="CT299" s="182"/>
      <c r="CU299" s="182"/>
      <c r="CV299" s="182"/>
      <c r="CW299" s="182"/>
      <c r="CX299" s="182"/>
      <c r="CY299" s="182"/>
      <c r="CZ299" s="182"/>
      <c r="DA299" s="182"/>
      <c r="DB299" s="182"/>
      <c r="DC299" s="182"/>
      <c r="DD299" s="182"/>
      <c r="DE299" s="182"/>
      <c r="DF299" s="182"/>
      <c r="DG299" s="182"/>
      <c r="DH299" s="182"/>
      <c r="DI299" s="182"/>
      <c r="DJ299" s="182"/>
      <c r="DK299" s="182"/>
      <c r="DL299" s="182"/>
      <c r="DM299" s="182"/>
      <c r="DN299" s="182"/>
      <c r="DO299" s="182"/>
      <c r="DP299" s="182"/>
      <c r="DQ299" s="182"/>
      <c r="DR299" s="182"/>
      <c r="DS299" s="182"/>
      <c r="DT299" s="182"/>
      <c r="DU299" s="182"/>
      <c r="DV299" s="182"/>
      <c r="DW299" s="182"/>
      <c r="DX299" s="182"/>
      <c r="DY299" s="182"/>
      <c r="DZ299" s="182"/>
      <c r="EA299" s="182"/>
      <c r="EB299" s="182"/>
      <c r="EC299" s="182"/>
      <c r="ED299" s="182"/>
      <c r="EE299" s="182"/>
      <c r="EF299" s="182"/>
      <c r="EG299" s="182"/>
      <c r="EH299" s="182"/>
      <c r="EI299" s="182"/>
      <c r="EJ299" s="182"/>
      <c r="EK299" s="182"/>
      <c r="EL299" s="182"/>
      <c r="EM299" s="182"/>
      <c r="EN299" s="182"/>
      <c r="EO299" s="182"/>
      <c r="EP299" s="182"/>
      <c r="EQ299" s="182"/>
      <c r="ER299" s="182"/>
      <c r="ES299" s="182"/>
      <c r="ET299" s="182"/>
      <c r="EU299" s="182"/>
      <c r="EV299" s="182"/>
      <c r="EW299" s="182"/>
      <c r="EX299" s="182"/>
      <c r="EY299" s="182"/>
      <c r="EZ299" s="182"/>
      <c r="FA299" s="182"/>
      <c r="FB299" s="182"/>
      <c r="FC299" s="182"/>
      <c r="FD299" s="182"/>
      <c r="FE299" s="182"/>
      <c r="FF299" s="182"/>
      <c r="FG299" s="182"/>
      <c r="FH299" s="182"/>
      <c r="FI299" s="182"/>
      <c r="FJ299" s="182"/>
      <c r="FK299" s="182"/>
      <c r="FL299" s="182"/>
      <c r="FM299" s="182"/>
      <c r="FN299" s="182"/>
      <c r="FO299" s="182"/>
      <c r="FP299" s="182"/>
      <c r="FQ299" s="182"/>
      <c r="FR299" s="182"/>
      <c r="FS299" s="182"/>
      <c r="FT299" s="182"/>
      <c r="FU299" s="182"/>
      <c r="FV299" s="182"/>
      <c r="FW299" s="182"/>
      <c r="FX299" s="182"/>
      <c r="FY299" s="182"/>
      <c r="FZ299" s="182"/>
      <c r="GA299" s="182"/>
      <c r="GB299" s="182"/>
      <c r="GC299" s="182"/>
      <c r="GD299" s="182"/>
      <c r="GE299" s="182"/>
      <c r="GF299" s="182"/>
      <c r="GG299" s="182"/>
      <c r="GH299" s="182"/>
      <c r="GI299" s="182"/>
    </row>
    <row r="300" spans="1:191" s="183" customFormat="1" x14ac:dyDescent="0.2">
      <c r="A300" s="210" t="s">
        <v>38605</v>
      </c>
      <c r="B300" s="210" t="s">
        <v>19148</v>
      </c>
      <c r="C300" s="224" t="s">
        <v>22404</v>
      </c>
      <c r="D300" s="211" t="s">
        <v>16</v>
      </c>
      <c r="E300" s="211">
        <v>4</v>
      </c>
      <c r="F300" s="211"/>
      <c r="G300" s="211">
        <v>0.3</v>
      </c>
      <c r="H300" s="212"/>
      <c r="I300" s="213"/>
      <c r="J300" s="272">
        <v>5394.67</v>
      </c>
      <c r="K300" s="112">
        <f t="shared" si="23"/>
        <v>21578.68</v>
      </c>
      <c r="L300" s="273">
        <f>BDI!$E$17</f>
        <v>0.11260000000000001</v>
      </c>
      <c r="M300" s="213"/>
      <c r="N300" s="213"/>
      <c r="O300" s="114">
        <f t="shared" si="24"/>
        <v>6002.11</v>
      </c>
      <c r="P300" s="113">
        <f t="shared" si="25"/>
        <v>7202.53</v>
      </c>
      <c r="Q300" s="209"/>
      <c r="R300" s="203"/>
      <c r="S300" s="182"/>
      <c r="T300" s="182"/>
      <c r="U300" s="182"/>
      <c r="V300" s="182"/>
      <c r="W300" s="182"/>
      <c r="X300" s="182"/>
      <c r="Y300" s="182"/>
      <c r="Z300" s="182"/>
      <c r="AA300" s="182"/>
      <c r="AB300" s="182"/>
      <c r="AC300" s="182"/>
      <c r="AD300" s="182"/>
      <c r="AE300" s="182"/>
      <c r="AF300" s="182"/>
      <c r="AG300" s="182"/>
      <c r="AH300" s="182"/>
      <c r="AI300" s="182"/>
      <c r="AJ300" s="182"/>
      <c r="AK300" s="182"/>
      <c r="AL300" s="182"/>
      <c r="AM300" s="182"/>
      <c r="AN300" s="182"/>
      <c r="AO300" s="182"/>
      <c r="AP300" s="182"/>
      <c r="AQ300" s="182"/>
      <c r="AR300" s="182"/>
      <c r="AS300" s="182"/>
      <c r="AT300" s="182"/>
      <c r="AU300" s="182"/>
      <c r="AV300" s="182"/>
      <c r="AW300" s="182"/>
      <c r="AX300" s="182"/>
      <c r="AY300" s="182"/>
      <c r="AZ300" s="182"/>
      <c r="BA300" s="182"/>
      <c r="BB300" s="182"/>
      <c r="BC300" s="182"/>
      <c r="BD300" s="182"/>
      <c r="BE300" s="182"/>
      <c r="BF300" s="182"/>
      <c r="BG300" s="182"/>
      <c r="BH300" s="182"/>
      <c r="BI300" s="182"/>
      <c r="BJ300" s="182"/>
      <c r="BK300" s="182"/>
      <c r="BL300" s="182"/>
      <c r="BM300" s="182"/>
      <c r="BN300" s="182"/>
      <c r="BO300" s="182"/>
      <c r="BP300" s="182"/>
      <c r="BQ300" s="182"/>
      <c r="BR300" s="182"/>
      <c r="BS300" s="182"/>
      <c r="BT300" s="182"/>
      <c r="BU300" s="182"/>
      <c r="BV300" s="182"/>
      <c r="BW300" s="182"/>
      <c r="BX300" s="182"/>
      <c r="BY300" s="182"/>
      <c r="BZ300" s="182"/>
      <c r="CA300" s="182"/>
      <c r="CB300" s="182"/>
      <c r="CC300" s="182"/>
      <c r="CD300" s="182"/>
      <c r="CE300" s="182"/>
      <c r="CF300" s="182"/>
      <c r="CG300" s="182"/>
      <c r="CH300" s="182"/>
      <c r="CI300" s="182"/>
      <c r="CJ300" s="182"/>
      <c r="CK300" s="182"/>
      <c r="CL300" s="182"/>
      <c r="CM300" s="182"/>
      <c r="CN300" s="182"/>
      <c r="CO300" s="182"/>
      <c r="CP300" s="182"/>
      <c r="CQ300" s="182"/>
      <c r="CR300" s="182"/>
      <c r="CS300" s="182"/>
      <c r="CT300" s="182"/>
      <c r="CU300" s="182"/>
      <c r="CV300" s="182"/>
      <c r="CW300" s="182"/>
      <c r="CX300" s="182"/>
      <c r="CY300" s="182"/>
      <c r="CZ300" s="182"/>
      <c r="DA300" s="182"/>
      <c r="DB300" s="182"/>
      <c r="DC300" s="182"/>
      <c r="DD300" s="182"/>
      <c r="DE300" s="182"/>
      <c r="DF300" s="182"/>
      <c r="DG300" s="182"/>
      <c r="DH300" s="182"/>
      <c r="DI300" s="182"/>
      <c r="DJ300" s="182"/>
      <c r="DK300" s="182"/>
      <c r="DL300" s="182"/>
      <c r="DM300" s="182"/>
      <c r="DN300" s="182"/>
      <c r="DO300" s="182"/>
      <c r="DP300" s="182"/>
      <c r="DQ300" s="182"/>
      <c r="DR300" s="182"/>
      <c r="DS300" s="182"/>
      <c r="DT300" s="182"/>
      <c r="DU300" s="182"/>
      <c r="DV300" s="182"/>
      <c r="DW300" s="182"/>
      <c r="DX300" s="182"/>
      <c r="DY300" s="182"/>
      <c r="DZ300" s="182"/>
      <c r="EA300" s="182"/>
      <c r="EB300" s="182"/>
      <c r="EC300" s="182"/>
      <c r="ED300" s="182"/>
      <c r="EE300" s="182"/>
      <c r="EF300" s="182"/>
      <c r="EG300" s="182"/>
      <c r="EH300" s="182"/>
      <c r="EI300" s="182"/>
      <c r="EJ300" s="182"/>
      <c r="EK300" s="182"/>
      <c r="EL300" s="182"/>
      <c r="EM300" s="182"/>
      <c r="EN300" s="182"/>
      <c r="EO300" s="182"/>
      <c r="EP300" s="182"/>
      <c r="EQ300" s="182"/>
      <c r="ER300" s="182"/>
      <c r="ES300" s="182"/>
      <c r="ET300" s="182"/>
      <c r="EU300" s="182"/>
      <c r="EV300" s="182"/>
      <c r="EW300" s="182"/>
      <c r="EX300" s="182"/>
      <c r="EY300" s="182"/>
      <c r="EZ300" s="182"/>
      <c r="FA300" s="182"/>
      <c r="FB300" s="182"/>
      <c r="FC300" s="182"/>
      <c r="FD300" s="182"/>
      <c r="FE300" s="182"/>
      <c r="FF300" s="182"/>
      <c r="FG300" s="182"/>
      <c r="FH300" s="182"/>
      <c r="FI300" s="182"/>
      <c r="FJ300" s="182"/>
      <c r="FK300" s="182"/>
      <c r="FL300" s="182"/>
      <c r="FM300" s="182"/>
      <c r="FN300" s="182"/>
      <c r="FO300" s="182"/>
      <c r="FP300" s="182"/>
      <c r="FQ300" s="182"/>
      <c r="FR300" s="182"/>
      <c r="FS300" s="182"/>
      <c r="FT300" s="182"/>
      <c r="FU300" s="182"/>
      <c r="FV300" s="182"/>
      <c r="FW300" s="182"/>
      <c r="FX300" s="182"/>
      <c r="FY300" s="182"/>
      <c r="FZ300" s="182"/>
      <c r="GA300" s="182"/>
      <c r="GB300" s="182"/>
      <c r="GC300" s="182"/>
      <c r="GD300" s="182"/>
      <c r="GE300" s="182"/>
      <c r="GF300" s="182"/>
      <c r="GG300" s="182"/>
      <c r="GH300" s="182"/>
      <c r="GI300" s="182"/>
    </row>
    <row r="301" spans="1:191" s="183" customFormat="1" x14ac:dyDescent="0.2">
      <c r="A301" s="210" t="s">
        <v>38606</v>
      </c>
      <c r="B301" s="210" t="s">
        <v>19149</v>
      </c>
      <c r="C301" s="224" t="s">
        <v>22405</v>
      </c>
      <c r="D301" s="211" t="s">
        <v>16</v>
      </c>
      <c r="E301" s="211">
        <v>60</v>
      </c>
      <c r="F301" s="211"/>
      <c r="G301" s="211">
        <v>0.3</v>
      </c>
      <c r="H301" s="212"/>
      <c r="I301" s="213"/>
      <c r="J301" s="272">
        <v>410.75</v>
      </c>
      <c r="K301" s="112">
        <f t="shared" si="23"/>
        <v>24645</v>
      </c>
      <c r="L301" s="273">
        <f>BDI!$E$17</f>
        <v>0.11260000000000001</v>
      </c>
      <c r="M301" s="213"/>
      <c r="N301" s="213"/>
      <c r="O301" s="114">
        <f t="shared" si="24"/>
        <v>457</v>
      </c>
      <c r="P301" s="113">
        <f t="shared" si="25"/>
        <v>8226</v>
      </c>
      <c r="Q301" s="209"/>
      <c r="R301" s="203"/>
      <c r="S301" s="182"/>
      <c r="T301" s="182"/>
      <c r="U301" s="182"/>
      <c r="V301" s="182"/>
      <c r="W301" s="182"/>
      <c r="X301" s="182"/>
      <c r="Y301" s="182"/>
      <c r="Z301" s="182"/>
      <c r="AA301" s="182"/>
      <c r="AB301" s="182"/>
      <c r="AC301" s="182"/>
      <c r="AD301" s="182"/>
      <c r="AE301" s="182"/>
      <c r="AF301" s="182"/>
      <c r="AG301" s="182"/>
      <c r="AH301" s="182"/>
      <c r="AI301" s="182"/>
      <c r="AJ301" s="182"/>
      <c r="AK301" s="182"/>
      <c r="AL301" s="182"/>
      <c r="AM301" s="182"/>
      <c r="AN301" s="182"/>
      <c r="AO301" s="182"/>
      <c r="AP301" s="182"/>
      <c r="AQ301" s="182"/>
      <c r="AR301" s="182"/>
      <c r="AS301" s="182"/>
      <c r="AT301" s="182"/>
      <c r="AU301" s="182"/>
      <c r="AV301" s="182"/>
      <c r="AW301" s="182"/>
      <c r="AX301" s="182"/>
      <c r="AY301" s="182"/>
      <c r="AZ301" s="182"/>
      <c r="BA301" s="182"/>
      <c r="BB301" s="182"/>
      <c r="BC301" s="182"/>
      <c r="BD301" s="182"/>
      <c r="BE301" s="182"/>
      <c r="BF301" s="182"/>
      <c r="BG301" s="182"/>
      <c r="BH301" s="182"/>
      <c r="BI301" s="182"/>
      <c r="BJ301" s="182"/>
      <c r="BK301" s="182"/>
      <c r="BL301" s="182"/>
      <c r="BM301" s="182"/>
      <c r="BN301" s="182"/>
      <c r="BO301" s="182"/>
      <c r="BP301" s="182"/>
      <c r="BQ301" s="182"/>
      <c r="BR301" s="182"/>
      <c r="BS301" s="182"/>
      <c r="BT301" s="182"/>
      <c r="BU301" s="182"/>
      <c r="BV301" s="182"/>
      <c r="BW301" s="182"/>
      <c r="BX301" s="182"/>
      <c r="BY301" s="182"/>
      <c r="BZ301" s="182"/>
      <c r="CA301" s="182"/>
      <c r="CB301" s="182"/>
      <c r="CC301" s="182"/>
      <c r="CD301" s="182"/>
      <c r="CE301" s="182"/>
      <c r="CF301" s="182"/>
      <c r="CG301" s="182"/>
      <c r="CH301" s="182"/>
      <c r="CI301" s="182"/>
      <c r="CJ301" s="182"/>
      <c r="CK301" s="182"/>
      <c r="CL301" s="182"/>
      <c r="CM301" s="182"/>
      <c r="CN301" s="182"/>
      <c r="CO301" s="182"/>
      <c r="CP301" s="182"/>
      <c r="CQ301" s="182"/>
      <c r="CR301" s="182"/>
      <c r="CS301" s="182"/>
      <c r="CT301" s="182"/>
      <c r="CU301" s="182"/>
      <c r="CV301" s="182"/>
      <c r="CW301" s="182"/>
      <c r="CX301" s="182"/>
      <c r="CY301" s="182"/>
      <c r="CZ301" s="182"/>
      <c r="DA301" s="182"/>
      <c r="DB301" s="182"/>
      <c r="DC301" s="182"/>
      <c r="DD301" s="182"/>
      <c r="DE301" s="182"/>
      <c r="DF301" s="182"/>
      <c r="DG301" s="182"/>
      <c r="DH301" s="182"/>
      <c r="DI301" s="182"/>
      <c r="DJ301" s="182"/>
      <c r="DK301" s="182"/>
      <c r="DL301" s="182"/>
      <c r="DM301" s="182"/>
      <c r="DN301" s="182"/>
      <c r="DO301" s="182"/>
      <c r="DP301" s="182"/>
      <c r="DQ301" s="182"/>
      <c r="DR301" s="182"/>
      <c r="DS301" s="182"/>
      <c r="DT301" s="182"/>
      <c r="DU301" s="182"/>
      <c r="DV301" s="182"/>
      <c r="DW301" s="182"/>
      <c r="DX301" s="182"/>
      <c r="DY301" s="182"/>
      <c r="DZ301" s="182"/>
      <c r="EA301" s="182"/>
      <c r="EB301" s="182"/>
      <c r="EC301" s="182"/>
      <c r="ED301" s="182"/>
      <c r="EE301" s="182"/>
      <c r="EF301" s="182"/>
      <c r="EG301" s="182"/>
      <c r="EH301" s="182"/>
      <c r="EI301" s="182"/>
      <c r="EJ301" s="182"/>
      <c r="EK301" s="182"/>
      <c r="EL301" s="182"/>
      <c r="EM301" s="182"/>
      <c r="EN301" s="182"/>
      <c r="EO301" s="182"/>
      <c r="EP301" s="182"/>
      <c r="EQ301" s="182"/>
      <c r="ER301" s="182"/>
      <c r="ES301" s="182"/>
      <c r="ET301" s="182"/>
      <c r="EU301" s="182"/>
      <c r="EV301" s="182"/>
      <c r="EW301" s="182"/>
      <c r="EX301" s="182"/>
      <c r="EY301" s="182"/>
      <c r="EZ301" s="182"/>
      <c r="FA301" s="182"/>
      <c r="FB301" s="182"/>
      <c r="FC301" s="182"/>
      <c r="FD301" s="182"/>
      <c r="FE301" s="182"/>
      <c r="FF301" s="182"/>
      <c r="FG301" s="182"/>
      <c r="FH301" s="182"/>
      <c r="FI301" s="182"/>
      <c r="FJ301" s="182"/>
      <c r="FK301" s="182"/>
      <c r="FL301" s="182"/>
      <c r="FM301" s="182"/>
      <c r="FN301" s="182"/>
      <c r="FO301" s="182"/>
      <c r="FP301" s="182"/>
      <c r="FQ301" s="182"/>
      <c r="FR301" s="182"/>
      <c r="FS301" s="182"/>
      <c r="FT301" s="182"/>
      <c r="FU301" s="182"/>
      <c r="FV301" s="182"/>
      <c r="FW301" s="182"/>
      <c r="FX301" s="182"/>
      <c r="FY301" s="182"/>
      <c r="FZ301" s="182"/>
      <c r="GA301" s="182"/>
      <c r="GB301" s="182"/>
      <c r="GC301" s="182"/>
      <c r="GD301" s="182"/>
      <c r="GE301" s="182"/>
      <c r="GF301" s="182"/>
      <c r="GG301" s="182"/>
      <c r="GH301" s="182"/>
      <c r="GI301" s="182"/>
    </row>
    <row r="302" spans="1:191" s="183" customFormat="1" x14ac:dyDescent="0.2">
      <c r="A302" s="210" t="s">
        <v>38607</v>
      </c>
      <c r="B302" s="210" t="s">
        <v>19150</v>
      </c>
      <c r="C302" s="224" t="s">
        <v>22406</v>
      </c>
      <c r="D302" s="211" t="s">
        <v>16</v>
      </c>
      <c r="E302" s="211">
        <v>60</v>
      </c>
      <c r="F302" s="211"/>
      <c r="G302" s="211">
        <v>0.3</v>
      </c>
      <c r="H302" s="212"/>
      <c r="I302" s="213"/>
      <c r="J302" s="272">
        <v>558.5</v>
      </c>
      <c r="K302" s="112">
        <f t="shared" si="23"/>
        <v>33510</v>
      </c>
      <c r="L302" s="273">
        <f>BDI!$E$17</f>
        <v>0.11260000000000001</v>
      </c>
      <c r="M302" s="213"/>
      <c r="N302" s="213"/>
      <c r="O302" s="114">
        <f t="shared" si="24"/>
        <v>621.39</v>
      </c>
      <c r="P302" s="113">
        <f t="shared" si="25"/>
        <v>11185.02</v>
      </c>
      <c r="Q302" s="209"/>
      <c r="R302" s="203"/>
      <c r="S302" s="182"/>
      <c r="T302" s="182"/>
      <c r="U302" s="182"/>
      <c r="V302" s="182"/>
      <c r="W302" s="182"/>
      <c r="X302" s="182"/>
      <c r="Y302" s="182"/>
      <c r="Z302" s="182"/>
      <c r="AA302" s="182"/>
      <c r="AB302" s="182"/>
      <c r="AC302" s="182"/>
      <c r="AD302" s="182"/>
      <c r="AE302" s="182"/>
      <c r="AF302" s="182"/>
      <c r="AG302" s="182"/>
      <c r="AH302" s="182"/>
      <c r="AI302" s="182"/>
      <c r="AJ302" s="182"/>
      <c r="AK302" s="182"/>
      <c r="AL302" s="182"/>
      <c r="AM302" s="182"/>
      <c r="AN302" s="182"/>
      <c r="AO302" s="182"/>
      <c r="AP302" s="182"/>
      <c r="AQ302" s="182"/>
      <c r="AR302" s="182"/>
      <c r="AS302" s="182"/>
      <c r="AT302" s="182"/>
      <c r="AU302" s="182"/>
      <c r="AV302" s="182"/>
      <c r="AW302" s="182"/>
      <c r="AX302" s="182"/>
      <c r="AY302" s="182"/>
      <c r="AZ302" s="182"/>
      <c r="BA302" s="182"/>
      <c r="BB302" s="182"/>
      <c r="BC302" s="182"/>
      <c r="BD302" s="182"/>
      <c r="BE302" s="182"/>
      <c r="BF302" s="182"/>
      <c r="BG302" s="182"/>
      <c r="BH302" s="182"/>
      <c r="BI302" s="182"/>
      <c r="BJ302" s="182"/>
      <c r="BK302" s="182"/>
      <c r="BL302" s="182"/>
      <c r="BM302" s="182"/>
      <c r="BN302" s="182"/>
      <c r="BO302" s="182"/>
      <c r="BP302" s="182"/>
      <c r="BQ302" s="182"/>
      <c r="BR302" s="182"/>
      <c r="BS302" s="182"/>
      <c r="BT302" s="182"/>
      <c r="BU302" s="182"/>
      <c r="BV302" s="182"/>
      <c r="BW302" s="182"/>
      <c r="BX302" s="182"/>
      <c r="BY302" s="182"/>
      <c r="BZ302" s="182"/>
      <c r="CA302" s="182"/>
      <c r="CB302" s="182"/>
      <c r="CC302" s="182"/>
      <c r="CD302" s="182"/>
      <c r="CE302" s="182"/>
      <c r="CF302" s="182"/>
      <c r="CG302" s="182"/>
      <c r="CH302" s="182"/>
      <c r="CI302" s="182"/>
      <c r="CJ302" s="182"/>
      <c r="CK302" s="182"/>
      <c r="CL302" s="182"/>
      <c r="CM302" s="182"/>
      <c r="CN302" s="182"/>
      <c r="CO302" s="182"/>
      <c r="CP302" s="182"/>
      <c r="CQ302" s="182"/>
      <c r="CR302" s="182"/>
      <c r="CS302" s="182"/>
      <c r="CT302" s="182"/>
      <c r="CU302" s="182"/>
      <c r="CV302" s="182"/>
      <c r="CW302" s="182"/>
      <c r="CX302" s="182"/>
      <c r="CY302" s="182"/>
      <c r="CZ302" s="182"/>
      <c r="DA302" s="182"/>
      <c r="DB302" s="182"/>
      <c r="DC302" s="182"/>
      <c r="DD302" s="182"/>
      <c r="DE302" s="182"/>
      <c r="DF302" s="182"/>
      <c r="DG302" s="182"/>
      <c r="DH302" s="182"/>
      <c r="DI302" s="182"/>
      <c r="DJ302" s="182"/>
      <c r="DK302" s="182"/>
      <c r="DL302" s="182"/>
      <c r="DM302" s="182"/>
      <c r="DN302" s="182"/>
      <c r="DO302" s="182"/>
      <c r="DP302" s="182"/>
      <c r="DQ302" s="182"/>
      <c r="DR302" s="182"/>
      <c r="DS302" s="182"/>
      <c r="DT302" s="182"/>
      <c r="DU302" s="182"/>
      <c r="DV302" s="182"/>
      <c r="DW302" s="182"/>
      <c r="DX302" s="182"/>
      <c r="DY302" s="182"/>
      <c r="DZ302" s="182"/>
      <c r="EA302" s="182"/>
      <c r="EB302" s="182"/>
      <c r="EC302" s="182"/>
      <c r="ED302" s="182"/>
      <c r="EE302" s="182"/>
      <c r="EF302" s="182"/>
      <c r="EG302" s="182"/>
      <c r="EH302" s="182"/>
      <c r="EI302" s="182"/>
      <c r="EJ302" s="182"/>
      <c r="EK302" s="182"/>
      <c r="EL302" s="182"/>
      <c r="EM302" s="182"/>
      <c r="EN302" s="182"/>
      <c r="EO302" s="182"/>
      <c r="EP302" s="182"/>
      <c r="EQ302" s="182"/>
      <c r="ER302" s="182"/>
      <c r="ES302" s="182"/>
      <c r="ET302" s="182"/>
      <c r="EU302" s="182"/>
      <c r="EV302" s="182"/>
      <c r="EW302" s="182"/>
      <c r="EX302" s="182"/>
      <c r="EY302" s="182"/>
      <c r="EZ302" s="182"/>
      <c r="FA302" s="182"/>
      <c r="FB302" s="182"/>
      <c r="FC302" s="182"/>
      <c r="FD302" s="182"/>
      <c r="FE302" s="182"/>
      <c r="FF302" s="182"/>
      <c r="FG302" s="182"/>
      <c r="FH302" s="182"/>
      <c r="FI302" s="182"/>
      <c r="FJ302" s="182"/>
      <c r="FK302" s="182"/>
      <c r="FL302" s="182"/>
      <c r="FM302" s="182"/>
      <c r="FN302" s="182"/>
      <c r="FO302" s="182"/>
      <c r="FP302" s="182"/>
      <c r="FQ302" s="182"/>
      <c r="FR302" s="182"/>
      <c r="FS302" s="182"/>
      <c r="FT302" s="182"/>
      <c r="FU302" s="182"/>
      <c r="FV302" s="182"/>
      <c r="FW302" s="182"/>
      <c r="FX302" s="182"/>
      <c r="FY302" s="182"/>
      <c r="FZ302" s="182"/>
      <c r="GA302" s="182"/>
      <c r="GB302" s="182"/>
      <c r="GC302" s="182"/>
      <c r="GD302" s="182"/>
      <c r="GE302" s="182"/>
      <c r="GF302" s="182"/>
      <c r="GG302" s="182"/>
      <c r="GH302" s="182"/>
      <c r="GI302" s="182"/>
    </row>
    <row r="303" spans="1:191" s="183" customFormat="1" x14ac:dyDescent="0.2">
      <c r="A303" s="210" t="s">
        <v>38608</v>
      </c>
      <c r="B303" s="210" t="s">
        <v>19151</v>
      </c>
      <c r="C303" s="224" t="s">
        <v>22407</v>
      </c>
      <c r="D303" s="211" t="s">
        <v>69</v>
      </c>
      <c r="E303" s="211">
        <v>1500</v>
      </c>
      <c r="F303" s="211"/>
      <c r="G303" s="211">
        <v>0.3</v>
      </c>
      <c r="H303" s="212"/>
      <c r="I303" s="213"/>
      <c r="J303" s="272">
        <v>9.56</v>
      </c>
      <c r="K303" s="112">
        <f t="shared" si="23"/>
        <v>14340</v>
      </c>
      <c r="L303" s="273">
        <f>BDI!$E$17</f>
        <v>0.11260000000000001</v>
      </c>
      <c r="M303" s="213"/>
      <c r="N303" s="213"/>
      <c r="O303" s="114">
        <f t="shared" si="24"/>
        <v>10.64</v>
      </c>
      <c r="P303" s="113">
        <f t="shared" si="25"/>
        <v>4788</v>
      </c>
      <c r="Q303" s="209"/>
      <c r="R303" s="203"/>
      <c r="S303" s="182"/>
      <c r="T303" s="182"/>
      <c r="U303" s="182"/>
      <c r="V303" s="182"/>
      <c r="W303" s="182"/>
      <c r="X303" s="182"/>
      <c r="Y303" s="182"/>
      <c r="Z303" s="182"/>
      <c r="AA303" s="182"/>
      <c r="AB303" s="182"/>
      <c r="AC303" s="182"/>
      <c r="AD303" s="182"/>
      <c r="AE303" s="182"/>
      <c r="AF303" s="182"/>
      <c r="AG303" s="182"/>
      <c r="AH303" s="182"/>
      <c r="AI303" s="182"/>
      <c r="AJ303" s="182"/>
      <c r="AK303" s="182"/>
      <c r="AL303" s="182"/>
      <c r="AM303" s="182"/>
      <c r="AN303" s="182"/>
      <c r="AO303" s="182"/>
      <c r="AP303" s="182"/>
      <c r="AQ303" s="182"/>
      <c r="AR303" s="182"/>
      <c r="AS303" s="182"/>
      <c r="AT303" s="182"/>
      <c r="AU303" s="182"/>
      <c r="AV303" s="182"/>
      <c r="AW303" s="182"/>
      <c r="AX303" s="182"/>
      <c r="AY303" s="182"/>
      <c r="AZ303" s="182"/>
      <c r="BA303" s="182"/>
      <c r="BB303" s="182"/>
      <c r="BC303" s="182"/>
      <c r="BD303" s="182"/>
      <c r="BE303" s="182"/>
      <c r="BF303" s="182"/>
      <c r="BG303" s="182"/>
      <c r="BH303" s="182"/>
      <c r="BI303" s="182"/>
      <c r="BJ303" s="182"/>
      <c r="BK303" s="182"/>
      <c r="BL303" s="182"/>
      <c r="BM303" s="182"/>
      <c r="BN303" s="182"/>
      <c r="BO303" s="182"/>
      <c r="BP303" s="182"/>
      <c r="BQ303" s="182"/>
      <c r="BR303" s="182"/>
      <c r="BS303" s="182"/>
      <c r="BT303" s="182"/>
      <c r="BU303" s="182"/>
      <c r="BV303" s="182"/>
      <c r="BW303" s="182"/>
      <c r="BX303" s="182"/>
      <c r="BY303" s="182"/>
      <c r="BZ303" s="182"/>
      <c r="CA303" s="182"/>
      <c r="CB303" s="182"/>
      <c r="CC303" s="182"/>
      <c r="CD303" s="182"/>
      <c r="CE303" s="182"/>
      <c r="CF303" s="182"/>
      <c r="CG303" s="182"/>
      <c r="CH303" s="182"/>
      <c r="CI303" s="182"/>
      <c r="CJ303" s="182"/>
      <c r="CK303" s="182"/>
      <c r="CL303" s="182"/>
      <c r="CM303" s="182"/>
      <c r="CN303" s="182"/>
      <c r="CO303" s="182"/>
      <c r="CP303" s="182"/>
      <c r="CQ303" s="182"/>
      <c r="CR303" s="182"/>
      <c r="CS303" s="182"/>
      <c r="CT303" s="182"/>
      <c r="CU303" s="182"/>
      <c r="CV303" s="182"/>
      <c r="CW303" s="182"/>
      <c r="CX303" s="182"/>
      <c r="CY303" s="182"/>
      <c r="CZ303" s="182"/>
      <c r="DA303" s="182"/>
      <c r="DB303" s="182"/>
      <c r="DC303" s="182"/>
      <c r="DD303" s="182"/>
      <c r="DE303" s="182"/>
      <c r="DF303" s="182"/>
      <c r="DG303" s="182"/>
      <c r="DH303" s="182"/>
      <c r="DI303" s="182"/>
      <c r="DJ303" s="182"/>
      <c r="DK303" s="182"/>
      <c r="DL303" s="182"/>
      <c r="DM303" s="182"/>
      <c r="DN303" s="182"/>
      <c r="DO303" s="182"/>
      <c r="DP303" s="182"/>
      <c r="DQ303" s="182"/>
      <c r="DR303" s="182"/>
      <c r="DS303" s="182"/>
      <c r="DT303" s="182"/>
      <c r="DU303" s="182"/>
      <c r="DV303" s="182"/>
      <c r="DW303" s="182"/>
      <c r="DX303" s="182"/>
      <c r="DY303" s="182"/>
      <c r="DZ303" s="182"/>
      <c r="EA303" s="182"/>
      <c r="EB303" s="182"/>
      <c r="EC303" s="182"/>
      <c r="ED303" s="182"/>
      <c r="EE303" s="182"/>
      <c r="EF303" s="182"/>
      <c r="EG303" s="182"/>
      <c r="EH303" s="182"/>
      <c r="EI303" s="182"/>
      <c r="EJ303" s="182"/>
      <c r="EK303" s="182"/>
      <c r="EL303" s="182"/>
      <c r="EM303" s="182"/>
      <c r="EN303" s="182"/>
      <c r="EO303" s="182"/>
      <c r="EP303" s="182"/>
      <c r="EQ303" s="182"/>
      <c r="ER303" s="182"/>
      <c r="ES303" s="182"/>
      <c r="ET303" s="182"/>
      <c r="EU303" s="182"/>
      <c r="EV303" s="182"/>
      <c r="EW303" s="182"/>
      <c r="EX303" s="182"/>
      <c r="EY303" s="182"/>
      <c r="EZ303" s="182"/>
      <c r="FA303" s="182"/>
      <c r="FB303" s="182"/>
      <c r="FC303" s="182"/>
      <c r="FD303" s="182"/>
      <c r="FE303" s="182"/>
      <c r="FF303" s="182"/>
      <c r="FG303" s="182"/>
      <c r="FH303" s="182"/>
      <c r="FI303" s="182"/>
      <c r="FJ303" s="182"/>
      <c r="FK303" s="182"/>
      <c r="FL303" s="182"/>
      <c r="FM303" s="182"/>
      <c r="FN303" s="182"/>
      <c r="FO303" s="182"/>
      <c r="FP303" s="182"/>
      <c r="FQ303" s="182"/>
      <c r="FR303" s="182"/>
      <c r="FS303" s="182"/>
      <c r="FT303" s="182"/>
      <c r="FU303" s="182"/>
      <c r="FV303" s="182"/>
      <c r="FW303" s="182"/>
      <c r="FX303" s="182"/>
      <c r="FY303" s="182"/>
      <c r="FZ303" s="182"/>
      <c r="GA303" s="182"/>
      <c r="GB303" s="182"/>
      <c r="GC303" s="182"/>
      <c r="GD303" s="182"/>
      <c r="GE303" s="182"/>
      <c r="GF303" s="182"/>
      <c r="GG303" s="182"/>
      <c r="GH303" s="182"/>
      <c r="GI303" s="182"/>
    </row>
    <row r="304" spans="1:191" s="183" customFormat="1" x14ac:dyDescent="0.2">
      <c r="A304" s="210" t="s">
        <v>38609</v>
      </c>
      <c r="B304" s="210" t="s">
        <v>19152</v>
      </c>
      <c r="C304" s="224" t="s">
        <v>22408</v>
      </c>
      <c r="D304" s="211" t="s">
        <v>69</v>
      </c>
      <c r="E304" s="211">
        <v>3000</v>
      </c>
      <c r="F304" s="211"/>
      <c r="G304" s="211">
        <v>0.3</v>
      </c>
      <c r="H304" s="212"/>
      <c r="I304" s="213"/>
      <c r="J304" s="272">
        <v>6.39</v>
      </c>
      <c r="K304" s="112">
        <f t="shared" si="23"/>
        <v>19170</v>
      </c>
      <c r="L304" s="273">
        <f>BDI!$E$17</f>
        <v>0.11260000000000001</v>
      </c>
      <c r="M304" s="213"/>
      <c r="N304" s="213"/>
      <c r="O304" s="114">
        <f t="shared" si="24"/>
        <v>7.11</v>
      </c>
      <c r="P304" s="113">
        <f t="shared" si="25"/>
        <v>6399</v>
      </c>
      <c r="Q304" s="209"/>
      <c r="R304" s="203"/>
      <c r="S304" s="182"/>
      <c r="T304" s="182"/>
      <c r="U304" s="182"/>
      <c r="V304" s="182"/>
      <c r="W304" s="182"/>
      <c r="X304" s="182"/>
      <c r="Y304" s="182"/>
      <c r="Z304" s="182"/>
      <c r="AA304" s="182"/>
      <c r="AB304" s="182"/>
      <c r="AC304" s="182"/>
      <c r="AD304" s="182"/>
      <c r="AE304" s="182"/>
      <c r="AF304" s="182"/>
      <c r="AG304" s="182"/>
      <c r="AH304" s="182"/>
      <c r="AI304" s="182"/>
      <c r="AJ304" s="182"/>
      <c r="AK304" s="182"/>
      <c r="AL304" s="182"/>
      <c r="AM304" s="182"/>
      <c r="AN304" s="182"/>
      <c r="AO304" s="182"/>
      <c r="AP304" s="182"/>
      <c r="AQ304" s="182"/>
      <c r="AR304" s="182"/>
      <c r="AS304" s="182"/>
      <c r="AT304" s="182"/>
      <c r="AU304" s="182"/>
      <c r="AV304" s="182"/>
      <c r="AW304" s="182"/>
      <c r="AX304" s="182"/>
      <c r="AY304" s="182"/>
      <c r="AZ304" s="182"/>
      <c r="BA304" s="182"/>
      <c r="BB304" s="182"/>
      <c r="BC304" s="182"/>
      <c r="BD304" s="182"/>
      <c r="BE304" s="182"/>
      <c r="BF304" s="182"/>
      <c r="BG304" s="182"/>
      <c r="BH304" s="182"/>
      <c r="BI304" s="182"/>
      <c r="BJ304" s="182"/>
      <c r="BK304" s="182"/>
      <c r="BL304" s="182"/>
      <c r="BM304" s="182"/>
      <c r="BN304" s="182"/>
      <c r="BO304" s="182"/>
      <c r="BP304" s="182"/>
      <c r="BQ304" s="182"/>
      <c r="BR304" s="182"/>
      <c r="BS304" s="182"/>
      <c r="BT304" s="182"/>
      <c r="BU304" s="182"/>
      <c r="BV304" s="182"/>
      <c r="BW304" s="182"/>
      <c r="BX304" s="182"/>
      <c r="BY304" s="182"/>
      <c r="BZ304" s="182"/>
      <c r="CA304" s="182"/>
      <c r="CB304" s="182"/>
      <c r="CC304" s="182"/>
      <c r="CD304" s="182"/>
      <c r="CE304" s="182"/>
      <c r="CF304" s="182"/>
      <c r="CG304" s="182"/>
      <c r="CH304" s="182"/>
      <c r="CI304" s="182"/>
      <c r="CJ304" s="182"/>
      <c r="CK304" s="182"/>
      <c r="CL304" s="182"/>
      <c r="CM304" s="182"/>
      <c r="CN304" s="182"/>
      <c r="CO304" s="182"/>
      <c r="CP304" s="182"/>
      <c r="CQ304" s="182"/>
      <c r="CR304" s="182"/>
      <c r="CS304" s="182"/>
      <c r="CT304" s="182"/>
      <c r="CU304" s="182"/>
      <c r="CV304" s="182"/>
      <c r="CW304" s="182"/>
      <c r="CX304" s="182"/>
      <c r="CY304" s="182"/>
      <c r="CZ304" s="182"/>
      <c r="DA304" s="182"/>
      <c r="DB304" s="182"/>
      <c r="DC304" s="182"/>
      <c r="DD304" s="182"/>
      <c r="DE304" s="182"/>
      <c r="DF304" s="182"/>
      <c r="DG304" s="182"/>
      <c r="DH304" s="182"/>
      <c r="DI304" s="182"/>
      <c r="DJ304" s="182"/>
      <c r="DK304" s="182"/>
      <c r="DL304" s="182"/>
      <c r="DM304" s="182"/>
      <c r="DN304" s="182"/>
      <c r="DO304" s="182"/>
      <c r="DP304" s="182"/>
      <c r="DQ304" s="182"/>
      <c r="DR304" s="182"/>
      <c r="DS304" s="182"/>
      <c r="DT304" s="182"/>
      <c r="DU304" s="182"/>
      <c r="DV304" s="182"/>
      <c r="DW304" s="182"/>
      <c r="DX304" s="182"/>
      <c r="DY304" s="182"/>
      <c r="DZ304" s="182"/>
      <c r="EA304" s="182"/>
      <c r="EB304" s="182"/>
      <c r="EC304" s="182"/>
      <c r="ED304" s="182"/>
      <c r="EE304" s="182"/>
      <c r="EF304" s="182"/>
      <c r="EG304" s="182"/>
      <c r="EH304" s="182"/>
      <c r="EI304" s="182"/>
      <c r="EJ304" s="182"/>
      <c r="EK304" s="182"/>
      <c r="EL304" s="182"/>
      <c r="EM304" s="182"/>
      <c r="EN304" s="182"/>
      <c r="EO304" s="182"/>
      <c r="EP304" s="182"/>
      <c r="EQ304" s="182"/>
      <c r="ER304" s="182"/>
      <c r="ES304" s="182"/>
      <c r="ET304" s="182"/>
      <c r="EU304" s="182"/>
      <c r="EV304" s="182"/>
      <c r="EW304" s="182"/>
      <c r="EX304" s="182"/>
      <c r="EY304" s="182"/>
      <c r="EZ304" s="182"/>
      <c r="FA304" s="182"/>
      <c r="FB304" s="182"/>
      <c r="FC304" s="182"/>
      <c r="FD304" s="182"/>
      <c r="FE304" s="182"/>
      <c r="FF304" s="182"/>
      <c r="FG304" s="182"/>
      <c r="FH304" s="182"/>
      <c r="FI304" s="182"/>
      <c r="FJ304" s="182"/>
      <c r="FK304" s="182"/>
      <c r="FL304" s="182"/>
      <c r="FM304" s="182"/>
      <c r="FN304" s="182"/>
      <c r="FO304" s="182"/>
      <c r="FP304" s="182"/>
      <c r="FQ304" s="182"/>
      <c r="FR304" s="182"/>
      <c r="FS304" s="182"/>
      <c r="FT304" s="182"/>
      <c r="FU304" s="182"/>
      <c r="FV304" s="182"/>
      <c r="FW304" s="182"/>
      <c r="FX304" s="182"/>
      <c r="FY304" s="182"/>
      <c r="FZ304" s="182"/>
      <c r="GA304" s="182"/>
      <c r="GB304" s="182"/>
      <c r="GC304" s="182"/>
      <c r="GD304" s="182"/>
      <c r="GE304" s="182"/>
      <c r="GF304" s="182"/>
      <c r="GG304" s="182"/>
      <c r="GH304" s="182"/>
      <c r="GI304" s="182"/>
    </row>
    <row r="305" spans="1:191" s="183" customFormat="1" x14ac:dyDescent="0.2">
      <c r="A305" s="210" t="s">
        <v>38610</v>
      </c>
      <c r="B305" s="210" t="s">
        <v>19153</v>
      </c>
      <c r="C305" s="224" t="s">
        <v>22409</v>
      </c>
      <c r="D305" s="211" t="s">
        <v>16</v>
      </c>
      <c r="E305" s="211">
        <v>30</v>
      </c>
      <c r="F305" s="211"/>
      <c r="G305" s="211">
        <v>0.3</v>
      </c>
      <c r="H305" s="212"/>
      <c r="I305" s="213"/>
      <c r="J305" s="272">
        <v>124</v>
      </c>
      <c r="K305" s="112">
        <f t="shared" si="23"/>
        <v>3720</v>
      </c>
      <c r="L305" s="273">
        <f>BDI!$E$17</f>
        <v>0.11260000000000001</v>
      </c>
      <c r="M305" s="213"/>
      <c r="N305" s="213"/>
      <c r="O305" s="114">
        <f t="shared" si="24"/>
        <v>137.96</v>
      </c>
      <c r="P305" s="113">
        <f t="shared" si="25"/>
        <v>1241.6400000000001</v>
      </c>
      <c r="Q305" s="209"/>
      <c r="R305" s="203"/>
      <c r="S305" s="182"/>
      <c r="T305" s="182"/>
      <c r="U305" s="182"/>
      <c r="V305" s="182"/>
      <c r="W305" s="182"/>
      <c r="X305" s="182"/>
      <c r="Y305" s="182"/>
      <c r="Z305" s="182"/>
      <c r="AA305" s="182"/>
      <c r="AB305" s="182"/>
      <c r="AC305" s="182"/>
      <c r="AD305" s="182"/>
      <c r="AE305" s="182"/>
      <c r="AF305" s="182"/>
      <c r="AG305" s="182"/>
      <c r="AH305" s="182"/>
      <c r="AI305" s="182"/>
      <c r="AJ305" s="182"/>
      <c r="AK305" s="182"/>
      <c r="AL305" s="182"/>
      <c r="AM305" s="182"/>
      <c r="AN305" s="182"/>
      <c r="AO305" s="182"/>
      <c r="AP305" s="182"/>
      <c r="AQ305" s="182"/>
      <c r="AR305" s="182"/>
      <c r="AS305" s="182"/>
      <c r="AT305" s="182"/>
      <c r="AU305" s="182"/>
      <c r="AV305" s="182"/>
      <c r="AW305" s="182"/>
      <c r="AX305" s="182"/>
      <c r="AY305" s="182"/>
      <c r="AZ305" s="182"/>
      <c r="BA305" s="182"/>
      <c r="BB305" s="182"/>
      <c r="BC305" s="182"/>
      <c r="BD305" s="182"/>
      <c r="BE305" s="182"/>
      <c r="BF305" s="182"/>
      <c r="BG305" s="182"/>
      <c r="BH305" s="182"/>
      <c r="BI305" s="182"/>
      <c r="BJ305" s="182"/>
      <c r="BK305" s="182"/>
      <c r="BL305" s="182"/>
      <c r="BM305" s="182"/>
      <c r="BN305" s="182"/>
      <c r="BO305" s="182"/>
      <c r="BP305" s="182"/>
      <c r="BQ305" s="182"/>
      <c r="BR305" s="182"/>
      <c r="BS305" s="182"/>
      <c r="BT305" s="182"/>
      <c r="BU305" s="182"/>
      <c r="BV305" s="182"/>
      <c r="BW305" s="182"/>
      <c r="BX305" s="182"/>
      <c r="BY305" s="182"/>
      <c r="BZ305" s="182"/>
      <c r="CA305" s="182"/>
      <c r="CB305" s="182"/>
      <c r="CC305" s="182"/>
      <c r="CD305" s="182"/>
      <c r="CE305" s="182"/>
      <c r="CF305" s="182"/>
      <c r="CG305" s="182"/>
      <c r="CH305" s="182"/>
      <c r="CI305" s="182"/>
      <c r="CJ305" s="182"/>
      <c r="CK305" s="182"/>
      <c r="CL305" s="182"/>
      <c r="CM305" s="182"/>
      <c r="CN305" s="182"/>
      <c r="CO305" s="182"/>
      <c r="CP305" s="182"/>
      <c r="CQ305" s="182"/>
      <c r="CR305" s="182"/>
      <c r="CS305" s="182"/>
      <c r="CT305" s="182"/>
      <c r="CU305" s="182"/>
      <c r="CV305" s="182"/>
      <c r="CW305" s="182"/>
      <c r="CX305" s="182"/>
      <c r="CY305" s="182"/>
      <c r="CZ305" s="182"/>
      <c r="DA305" s="182"/>
      <c r="DB305" s="182"/>
      <c r="DC305" s="182"/>
      <c r="DD305" s="182"/>
      <c r="DE305" s="182"/>
      <c r="DF305" s="182"/>
      <c r="DG305" s="182"/>
      <c r="DH305" s="182"/>
      <c r="DI305" s="182"/>
      <c r="DJ305" s="182"/>
      <c r="DK305" s="182"/>
      <c r="DL305" s="182"/>
      <c r="DM305" s="182"/>
      <c r="DN305" s="182"/>
      <c r="DO305" s="182"/>
      <c r="DP305" s="182"/>
      <c r="DQ305" s="182"/>
      <c r="DR305" s="182"/>
      <c r="DS305" s="182"/>
      <c r="DT305" s="182"/>
      <c r="DU305" s="182"/>
      <c r="DV305" s="182"/>
      <c r="DW305" s="182"/>
      <c r="DX305" s="182"/>
      <c r="DY305" s="182"/>
      <c r="DZ305" s="182"/>
      <c r="EA305" s="182"/>
      <c r="EB305" s="182"/>
      <c r="EC305" s="182"/>
      <c r="ED305" s="182"/>
      <c r="EE305" s="182"/>
      <c r="EF305" s="182"/>
      <c r="EG305" s="182"/>
      <c r="EH305" s="182"/>
      <c r="EI305" s="182"/>
      <c r="EJ305" s="182"/>
      <c r="EK305" s="182"/>
      <c r="EL305" s="182"/>
      <c r="EM305" s="182"/>
      <c r="EN305" s="182"/>
      <c r="EO305" s="182"/>
      <c r="EP305" s="182"/>
      <c r="EQ305" s="182"/>
      <c r="ER305" s="182"/>
      <c r="ES305" s="182"/>
      <c r="ET305" s="182"/>
      <c r="EU305" s="182"/>
      <c r="EV305" s="182"/>
      <c r="EW305" s="182"/>
      <c r="EX305" s="182"/>
      <c r="EY305" s="182"/>
      <c r="EZ305" s="182"/>
      <c r="FA305" s="182"/>
      <c r="FB305" s="182"/>
      <c r="FC305" s="182"/>
      <c r="FD305" s="182"/>
      <c r="FE305" s="182"/>
      <c r="FF305" s="182"/>
      <c r="FG305" s="182"/>
      <c r="FH305" s="182"/>
      <c r="FI305" s="182"/>
      <c r="FJ305" s="182"/>
      <c r="FK305" s="182"/>
      <c r="FL305" s="182"/>
      <c r="FM305" s="182"/>
      <c r="FN305" s="182"/>
      <c r="FO305" s="182"/>
      <c r="FP305" s="182"/>
      <c r="FQ305" s="182"/>
      <c r="FR305" s="182"/>
      <c r="FS305" s="182"/>
      <c r="FT305" s="182"/>
      <c r="FU305" s="182"/>
      <c r="FV305" s="182"/>
      <c r="FW305" s="182"/>
      <c r="FX305" s="182"/>
      <c r="FY305" s="182"/>
      <c r="FZ305" s="182"/>
      <c r="GA305" s="182"/>
      <c r="GB305" s="182"/>
      <c r="GC305" s="182"/>
      <c r="GD305" s="182"/>
      <c r="GE305" s="182"/>
      <c r="GF305" s="182"/>
      <c r="GG305" s="182"/>
      <c r="GH305" s="182"/>
      <c r="GI305" s="182"/>
    </row>
    <row r="306" spans="1:191" s="183" customFormat="1" x14ac:dyDescent="0.2">
      <c r="A306" s="210" t="s">
        <v>38611</v>
      </c>
      <c r="B306" s="210" t="s">
        <v>19154</v>
      </c>
      <c r="C306" s="224" t="s">
        <v>22410</v>
      </c>
      <c r="D306" s="211" t="s">
        <v>16</v>
      </c>
      <c r="E306" s="211">
        <v>30</v>
      </c>
      <c r="F306" s="211"/>
      <c r="G306" s="211">
        <v>0.3</v>
      </c>
      <c r="H306" s="212"/>
      <c r="I306" s="213"/>
      <c r="J306" s="272">
        <v>239</v>
      </c>
      <c r="K306" s="112">
        <f t="shared" si="23"/>
        <v>7170</v>
      </c>
      <c r="L306" s="273">
        <f>BDI!$E$17</f>
        <v>0.11260000000000001</v>
      </c>
      <c r="M306" s="213"/>
      <c r="N306" s="213"/>
      <c r="O306" s="114">
        <f t="shared" si="24"/>
        <v>265.91000000000003</v>
      </c>
      <c r="P306" s="113">
        <f t="shared" si="25"/>
        <v>2393.19</v>
      </c>
      <c r="Q306" s="209"/>
      <c r="R306" s="203"/>
      <c r="S306" s="182"/>
      <c r="T306" s="182"/>
      <c r="U306" s="182"/>
      <c r="V306" s="182"/>
      <c r="W306" s="182"/>
      <c r="X306" s="182"/>
      <c r="Y306" s="182"/>
      <c r="Z306" s="182"/>
      <c r="AA306" s="182"/>
      <c r="AB306" s="182"/>
      <c r="AC306" s="182"/>
      <c r="AD306" s="182"/>
      <c r="AE306" s="182"/>
      <c r="AF306" s="182"/>
      <c r="AG306" s="182"/>
      <c r="AH306" s="182"/>
      <c r="AI306" s="182"/>
      <c r="AJ306" s="182"/>
      <c r="AK306" s="182"/>
      <c r="AL306" s="182"/>
      <c r="AM306" s="182"/>
      <c r="AN306" s="182"/>
      <c r="AO306" s="182"/>
      <c r="AP306" s="182"/>
      <c r="AQ306" s="182"/>
      <c r="AR306" s="182"/>
      <c r="AS306" s="182"/>
      <c r="AT306" s="182"/>
      <c r="AU306" s="182"/>
      <c r="AV306" s="182"/>
      <c r="AW306" s="182"/>
      <c r="AX306" s="182"/>
      <c r="AY306" s="182"/>
      <c r="AZ306" s="182"/>
      <c r="BA306" s="182"/>
      <c r="BB306" s="182"/>
      <c r="BC306" s="182"/>
      <c r="BD306" s="182"/>
      <c r="BE306" s="182"/>
      <c r="BF306" s="182"/>
      <c r="BG306" s="182"/>
      <c r="BH306" s="182"/>
      <c r="BI306" s="182"/>
      <c r="BJ306" s="182"/>
      <c r="BK306" s="182"/>
      <c r="BL306" s="182"/>
      <c r="BM306" s="182"/>
      <c r="BN306" s="182"/>
      <c r="BO306" s="182"/>
      <c r="BP306" s="182"/>
      <c r="BQ306" s="182"/>
      <c r="BR306" s="182"/>
      <c r="BS306" s="182"/>
      <c r="BT306" s="182"/>
      <c r="BU306" s="182"/>
      <c r="BV306" s="182"/>
      <c r="BW306" s="182"/>
      <c r="BX306" s="182"/>
      <c r="BY306" s="182"/>
      <c r="BZ306" s="182"/>
      <c r="CA306" s="182"/>
      <c r="CB306" s="182"/>
      <c r="CC306" s="182"/>
      <c r="CD306" s="182"/>
      <c r="CE306" s="182"/>
      <c r="CF306" s="182"/>
      <c r="CG306" s="182"/>
      <c r="CH306" s="182"/>
      <c r="CI306" s="182"/>
      <c r="CJ306" s="182"/>
      <c r="CK306" s="182"/>
      <c r="CL306" s="182"/>
      <c r="CM306" s="182"/>
      <c r="CN306" s="182"/>
      <c r="CO306" s="182"/>
      <c r="CP306" s="182"/>
      <c r="CQ306" s="182"/>
      <c r="CR306" s="182"/>
      <c r="CS306" s="182"/>
      <c r="CT306" s="182"/>
      <c r="CU306" s="182"/>
      <c r="CV306" s="182"/>
      <c r="CW306" s="182"/>
      <c r="CX306" s="182"/>
      <c r="CY306" s="182"/>
      <c r="CZ306" s="182"/>
      <c r="DA306" s="182"/>
      <c r="DB306" s="182"/>
      <c r="DC306" s="182"/>
      <c r="DD306" s="182"/>
      <c r="DE306" s="182"/>
      <c r="DF306" s="182"/>
      <c r="DG306" s="182"/>
      <c r="DH306" s="182"/>
      <c r="DI306" s="182"/>
      <c r="DJ306" s="182"/>
      <c r="DK306" s="182"/>
      <c r="DL306" s="182"/>
      <c r="DM306" s="182"/>
      <c r="DN306" s="182"/>
      <c r="DO306" s="182"/>
      <c r="DP306" s="182"/>
      <c r="DQ306" s="182"/>
      <c r="DR306" s="182"/>
      <c r="DS306" s="182"/>
      <c r="DT306" s="182"/>
      <c r="DU306" s="182"/>
      <c r="DV306" s="182"/>
      <c r="DW306" s="182"/>
      <c r="DX306" s="182"/>
      <c r="DY306" s="182"/>
      <c r="DZ306" s="182"/>
      <c r="EA306" s="182"/>
      <c r="EB306" s="182"/>
      <c r="EC306" s="182"/>
      <c r="ED306" s="182"/>
      <c r="EE306" s="182"/>
      <c r="EF306" s="182"/>
      <c r="EG306" s="182"/>
      <c r="EH306" s="182"/>
      <c r="EI306" s="182"/>
      <c r="EJ306" s="182"/>
      <c r="EK306" s="182"/>
      <c r="EL306" s="182"/>
      <c r="EM306" s="182"/>
      <c r="EN306" s="182"/>
      <c r="EO306" s="182"/>
      <c r="EP306" s="182"/>
      <c r="EQ306" s="182"/>
      <c r="ER306" s="182"/>
      <c r="ES306" s="182"/>
      <c r="ET306" s="182"/>
      <c r="EU306" s="182"/>
      <c r="EV306" s="182"/>
      <c r="EW306" s="182"/>
      <c r="EX306" s="182"/>
      <c r="EY306" s="182"/>
      <c r="EZ306" s="182"/>
      <c r="FA306" s="182"/>
      <c r="FB306" s="182"/>
      <c r="FC306" s="182"/>
      <c r="FD306" s="182"/>
      <c r="FE306" s="182"/>
      <c r="FF306" s="182"/>
      <c r="FG306" s="182"/>
      <c r="FH306" s="182"/>
      <c r="FI306" s="182"/>
      <c r="FJ306" s="182"/>
      <c r="FK306" s="182"/>
      <c r="FL306" s="182"/>
      <c r="FM306" s="182"/>
      <c r="FN306" s="182"/>
      <c r="FO306" s="182"/>
      <c r="FP306" s="182"/>
      <c r="FQ306" s="182"/>
      <c r="FR306" s="182"/>
      <c r="FS306" s="182"/>
      <c r="FT306" s="182"/>
      <c r="FU306" s="182"/>
      <c r="FV306" s="182"/>
      <c r="FW306" s="182"/>
      <c r="FX306" s="182"/>
      <c r="FY306" s="182"/>
      <c r="FZ306" s="182"/>
      <c r="GA306" s="182"/>
      <c r="GB306" s="182"/>
      <c r="GC306" s="182"/>
      <c r="GD306" s="182"/>
      <c r="GE306" s="182"/>
      <c r="GF306" s="182"/>
      <c r="GG306" s="182"/>
      <c r="GH306" s="182"/>
      <c r="GI306" s="182"/>
    </row>
    <row r="307" spans="1:191" s="183" customFormat="1" ht="25.5" x14ac:dyDescent="0.2">
      <c r="A307" s="210" t="s">
        <v>38612</v>
      </c>
      <c r="B307" s="210" t="s">
        <v>19155</v>
      </c>
      <c r="C307" s="224" t="s">
        <v>22411</v>
      </c>
      <c r="D307" s="211" t="s">
        <v>16</v>
      </c>
      <c r="E307" s="211">
        <v>10</v>
      </c>
      <c r="F307" s="211"/>
      <c r="G307" s="211">
        <v>0.3</v>
      </c>
      <c r="H307" s="212"/>
      <c r="I307" s="213"/>
      <c r="J307" s="272">
        <v>1591</v>
      </c>
      <c r="K307" s="112">
        <f t="shared" si="23"/>
        <v>15910</v>
      </c>
      <c r="L307" s="273">
        <f>BDI!$E$17</f>
        <v>0.11260000000000001</v>
      </c>
      <c r="M307" s="213"/>
      <c r="N307" s="213"/>
      <c r="O307" s="114">
        <f t="shared" si="24"/>
        <v>1770.15</v>
      </c>
      <c r="P307" s="113">
        <f t="shared" si="25"/>
        <v>5310.45</v>
      </c>
      <c r="Q307" s="209"/>
      <c r="R307" s="203"/>
      <c r="S307" s="182"/>
      <c r="T307" s="182"/>
      <c r="U307" s="182"/>
      <c r="V307" s="182"/>
      <c r="W307" s="182"/>
      <c r="X307" s="182"/>
      <c r="Y307" s="182"/>
      <c r="Z307" s="182"/>
      <c r="AA307" s="182"/>
      <c r="AB307" s="182"/>
      <c r="AC307" s="182"/>
      <c r="AD307" s="182"/>
      <c r="AE307" s="182"/>
      <c r="AF307" s="182"/>
      <c r="AG307" s="182"/>
      <c r="AH307" s="182"/>
      <c r="AI307" s="182"/>
      <c r="AJ307" s="182"/>
      <c r="AK307" s="182"/>
      <c r="AL307" s="182"/>
      <c r="AM307" s="182"/>
      <c r="AN307" s="182"/>
      <c r="AO307" s="182"/>
      <c r="AP307" s="182"/>
      <c r="AQ307" s="182"/>
      <c r="AR307" s="182"/>
      <c r="AS307" s="182"/>
      <c r="AT307" s="182"/>
      <c r="AU307" s="182"/>
      <c r="AV307" s="182"/>
      <c r="AW307" s="182"/>
      <c r="AX307" s="182"/>
      <c r="AY307" s="182"/>
      <c r="AZ307" s="182"/>
      <c r="BA307" s="182"/>
      <c r="BB307" s="182"/>
      <c r="BC307" s="182"/>
      <c r="BD307" s="182"/>
      <c r="BE307" s="182"/>
      <c r="BF307" s="182"/>
      <c r="BG307" s="182"/>
      <c r="BH307" s="182"/>
      <c r="BI307" s="182"/>
      <c r="BJ307" s="182"/>
      <c r="BK307" s="182"/>
      <c r="BL307" s="182"/>
      <c r="BM307" s="182"/>
      <c r="BN307" s="182"/>
      <c r="BO307" s="182"/>
      <c r="BP307" s="182"/>
      <c r="BQ307" s="182"/>
      <c r="BR307" s="182"/>
      <c r="BS307" s="182"/>
      <c r="BT307" s="182"/>
      <c r="BU307" s="182"/>
      <c r="BV307" s="182"/>
      <c r="BW307" s="182"/>
      <c r="BX307" s="182"/>
      <c r="BY307" s="182"/>
      <c r="BZ307" s="182"/>
      <c r="CA307" s="182"/>
      <c r="CB307" s="182"/>
      <c r="CC307" s="182"/>
      <c r="CD307" s="182"/>
      <c r="CE307" s="182"/>
      <c r="CF307" s="182"/>
      <c r="CG307" s="182"/>
      <c r="CH307" s="182"/>
      <c r="CI307" s="182"/>
      <c r="CJ307" s="182"/>
      <c r="CK307" s="182"/>
      <c r="CL307" s="182"/>
      <c r="CM307" s="182"/>
      <c r="CN307" s="182"/>
      <c r="CO307" s="182"/>
      <c r="CP307" s="182"/>
      <c r="CQ307" s="182"/>
      <c r="CR307" s="182"/>
      <c r="CS307" s="182"/>
      <c r="CT307" s="182"/>
      <c r="CU307" s="182"/>
      <c r="CV307" s="182"/>
      <c r="CW307" s="182"/>
      <c r="CX307" s="182"/>
      <c r="CY307" s="182"/>
      <c r="CZ307" s="182"/>
      <c r="DA307" s="182"/>
      <c r="DB307" s="182"/>
      <c r="DC307" s="182"/>
      <c r="DD307" s="182"/>
      <c r="DE307" s="182"/>
      <c r="DF307" s="182"/>
      <c r="DG307" s="182"/>
      <c r="DH307" s="182"/>
      <c r="DI307" s="182"/>
      <c r="DJ307" s="182"/>
      <c r="DK307" s="182"/>
      <c r="DL307" s="182"/>
      <c r="DM307" s="182"/>
      <c r="DN307" s="182"/>
      <c r="DO307" s="182"/>
      <c r="DP307" s="182"/>
      <c r="DQ307" s="182"/>
      <c r="DR307" s="182"/>
      <c r="DS307" s="182"/>
      <c r="DT307" s="182"/>
      <c r="DU307" s="182"/>
      <c r="DV307" s="182"/>
      <c r="DW307" s="182"/>
      <c r="DX307" s="182"/>
      <c r="DY307" s="182"/>
      <c r="DZ307" s="182"/>
      <c r="EA307" s="182"/>
      <c r="EB307" s="182"/>
      <c r="EC307" s="182"/>
      <c r="ED307" s="182"/>
      <c r="EE307" s="182"/>
      <c r="EF307" s="182"/>
      <c r="EG307" s="182"/>
      <c r="EH307" s="182"/>
      <c r="EI307" s="182"/>
      <c r="EJ307" s="182"/>
      <c r="EK307" s="182"/>
      <c r="EL307" s="182"/>
      <c r="EM307" s="182"/>
      <c r="EN307" s="182"/>
      <c r="EO307" s="182"/>
      <c r="EP307" s="182"/>
      <c r="EQ307" s="182"/>
      <c r="ER307" s="182"/>
      <c r="ES307" s="182"/>
      <c r="ET307" s="182"/>
      <c r="EU307" s="182"/>
      <c r="EV307" s="182"/>
      <c r="EW307" s="182"/>
      <c r="EX307" s="182"/>
      <c r="EY307" s="182"/>
      <c r="EZ307" s="182"/>
      <c r="FA307" s="182"/>
      <c r="FB307" s="182"/>
      <c r="FC307" s="182"/>
      <c r="FD307" s="182"/>
      <c r="FE307" s="182"/>
      <c r="FF307" s="182"/>
      <c r="FG307" s="182"/>
      <c r="FH307" s="182"/>
      <c r="FI307" s="182"/>
      <c r="FJ307" s="182"/>
      <c r="FK307" s="182"/>
      <c r="FL307" s="182"/>
      <c r="FM307" s="182"/>
      <c r="FN307" s="182"/>
      <c r="FO307" s="182"/>
      <c r="FP307" s="182"/>
      <c r="FQ307" s="182"/>
      <c r="FR307" s="182"/>
      <c r="FS307" s="182"/>
      <c r="FT307" s="182"/>
      <c r="FU307" s="182"/>
      <c r="FV307" s="182"/>
      <c r="FW307" s="182"/>
      <c r="FX307" s="182"/>
      <c r="FY307" s="182"/>
      <c r="FZ307" s="182"/>
      <c r="GA307" s="182"/>
      <c r="GB307" s="182"/>
      <c r="GC307" s="182"/>
      <c r="GD307" s="182"/>
      <c r="GE307" s="182"/>
      <c r="GF307" s="182"/>
      <c r="GG307" s="182"/>
      <c r="GH307" s="182"/>
      <c r="GI307" s="182"/>
    </row>
    <row r="308" spans="1:191" s="183" customFormat="1" ht="25.5" x14ac:dyDescent="0.2">
      <c r="A308" s="210" t="s">
        <v>38613</v>
      </c>
      <c r="B308" s="210" t="s">
        <v>19156</v>
      </c>
      <c r="C308" s="224" t="s">
        <v>22412</v>
      </c>
      <c r="D308" s="211" t="s">
        <v>16</v>
      </c>
      <c r="E308" s="211">
        <v>100</v>
      </c>
      <c r="F308" s="211"/>
      <c r="G308" s="211">
        <v>0.3</v>
      </c>
      <c r="H308" s="212"/>
      <c r="I308" s="213"/>
      <c r="J308" s="272">
        <v>141.9</v>
      </c>
      <c r="K308" s="112">
        <f t="shared" si="23"/>
        <v>14190</v>
      </c>
      <c r="L308" s="273">
        <f>BDI!$E$17</f>
        <v>0.11260000000000001</v>
      </c>
      <c r="M308" s="213"/>
      <c r="N308" s="213"/>
      <c r="O308" s="114">
        <f t="shared" si="24"/>
        <v>157.88</v>
      </c>
      <c r="P308" s="113">
        <f t="shared" si="25"/>
        <v>4736.3999999999996</v>
      </c>
      <c r="Q308" s="209"/>
      <c r="R308" s="203"/>
      <c r="S308" s="182"/>
      <c r="T308" s="182"/>
      <c r="U308" s="182"/>
      <c r="V308" s="182"/>
      <c r="W308" s="182"/>
      <c r="X308" s="182"/>
      <c r="Y308" s="182"/>
      <c r="Z308" s="182"/>
      <c r="AA308" s="182"/>
      <c r="AB308" s="182"/>
      <c r="AC308" s="182"/>
      <c r="AD308" s="182"/>
      <c r="AE308" s="182"/>
      <c r="AF308" s="182"/>
      <c r="AG308" s="182"/>
      <c r="AH308" s="182"/>
      <c r="AI308" s="182"/>
      <c r="AJ308" s="182"/>
      <c r="AK308" s="182"/>
      <c r="AL308" s="182"/>
      <c r="AM308" s="182"/>
      <c r="AN308" s="182"/>
      <c r="AO308" s="182"/>
      <c r="AP308" s="182"/>
      <c r="AQ308" s="182"/>
      <c r="AR308" s="182"/>
      <c r="AS308" s="182"/>
      <c r="AT308" s="182"/>
      <c r="AU308" s="182"/>
      <c r="AV308" s="182"/>
      <c r="AW308" s="182"/>
      <c r="AX308" s="182"/>
      <c r="AY308" s="182"/>
      <c r="AZ308" s="182"/>
      <c r="BA308" s="182"/>
      <c r="BB308" s="182"/>
      <c r="BC308" s="182"/>
      <c r="BD308" s="182"/>
      <c r="BE308" s="182"/>
      <c r="BF308" s="182"/>
      <c r="BG308" s="182"/>
      <c r="BH308" s="182"/>
      <c r="BI308" s="182"/>
      <c r="BJ308" s="182"/>
      <c r="BK308" s="182"/>
      <c r="BL308" s="182"/>
      <c r="BM308" s="182"/>
      <c r="BN308" s="182"/>
      <c r="BO308" s="182"/>
      <c r="BP308" s="182"/>
      <c r="BQ308" s="182"/>
      <c r="BR308" s="182"/>
      <c r="BS308" s="182"/>
      <c r="BT308" s="182"/>
      <c r="BU308" s="182"/>
      <c r="BV308" s="182"/>
      <c r="BW308" s="182"/>
      <c r="BX308" s="182"/>
      <c r="BY308" s="182"/>
      <c r="BZ308" s="182"/>
      <c r="CA308" s="182"/>
      <c r="CB308" s="182"/>
      <c r="CC308" s="182"/>
      <c r="CD308" s="182"/>
      <c r="CE308" s="182"/>
      <c r="CF308" s="182"/>
      <c r="CG308" s="182"/>
      <c r="CH308" s="182"/>
      <c r="CI308" s="182"/>
      <c r="CJ308" s="182"/>
      <c r="CK308" s="182"/>
      <c r="CL308" s="182"/>
      <c r="CM308" s="182"/>
      <c r="CN308" s="182"/>
      <c r="CO308" s="182"/>
      <c r="CP308" s="182"/>
      <c r="CQ308" s="182"/>
      <c r="CR308" s="182"/>
      <c r="CS308" s="182"/>
      <c r="CT308" s="182"/>
      <c r="CU308" s="182"/>
      <c r="CV308" s="182"/>
      <c r="CW308" s="182"/>
      <c r="CX308" s="182"/>
      <c r="CY308" s="182"/>
      <c r="CZ308" s="182"/>
      <c r="DA308" s="182"/>
      <c r="DB308" s="182"/>
      <c r="DC308" s="182"/>
      <c r="DD308" s="182"/>
      <c r="DE308" s="182"/>
      <c r="DF308" s="182"/>
      <c r="DG308" s="182"/>
      <c r="DH308" s="182"/>
      <c r="DI308" s="182"/>
      <c r="DJ308" s="182"/>
      <c r="DK308" s="182"/>
      <c r="DL308" s="182"/>
      <c r="DM308" s="182"/>
      <c r="DN308" s="182"/>
      <c r="DO308" s="182"/>
      <c r="DP308" s="182"/>
      <c r="DQ308" s="182"/>
      <c r="DR308" s="182"/>
      <c r="DS308" s="182"/>
      <c r="DT308" s="182"/>
      <c r="DU308" s="182"/>
      <c r="DV308" s="182"/>
      <c r="DW308" s="182"/>
      <c r="DX308" s="182"/>
      <c r="DY308" s="182"/>
      <c r="DZ308" s="182"/>
      <c r="EA308" s="182"/>
      <c r="EB308" s="182"/>
      <c r="EC308" s="182"/>
      <c r="ED308" s="182"/>
      <c r="EE308" s="182"/>
      <c r="EF308" s="182"/>
      <c r="EG308" s="182"/>
      <c r="EH308" s="182"/>
      <c r="EI308" s="182"/>
      <c r="EJ308" s="182"/>
      <c r="EK308" s="182"/>
      <c r="EL308" s="182"/>
      <c r="EM308" s="182"/>
      <c r="EN308" s="182"/>
      <c r="EO308" s="182"/>
      <c r="EP308" s="182"/>
      <c r="EQ308" s="182"/>
      <c r="ER308" s="182"/>
      <c r="ES308" s="182"/>
      <c r="ET308" s="182"/>
      <c r="EU308" s="182"/>
      <c r="EV308" s="182"/>
      <c r="EW308" s="182"/>
      <c r="EX308" s="182"/>
      <c r="EY308" s="182"/>
      <c r="EZ308" s="182"/>
      <c r="FA308" s="182"/>
      <c r="FB308" s="182"/>
      <c r="FC308" s="182"/>
      <c r="FD308" s="182"/>
      <c r="FE308" s="182"/>
      <c r="FF308" s="182"/>
      <c r="FG308" s="182"/>
      <c r="FH308" s="182"/>
      <c r="FI308" s="182"/>
      <c r="FJ308" s="182"/>
      <c r="FK308" s="182"/>
      <c r="FL308" s="182"/>
      <c r="FM308" s="182"/>
      <c r="FN308" s="182"/>
      <c r="FO308" s="182"/>
      <c r="FP308" s="182"/>
      <c r="FQ308" s="182"/>
      <c r="FR308" s="182"/>
      <c r="FS308" s="182"/>
      <c r="FT308" s="182"/>
      <c r="FU308" s="182"/>
      <c r="FV308" s="182"/>
      <c r="FW308" s="182"/>
      <c r="FX308" s="182"/>
      <c r="FY308" s="182"/>
      <c r="FZ308" s="182"/>
      <c r="GA308" s="182"/>
      <c r="GB308" s="182"/>
      <c r="GC308" s="182"/>
      <c r="GD308" s="182"/>
      <c r="GE308" s="182"/>
      <c r="GF308" s="182"/>
      <c r="GG308" s="182"/>
      <c r="GH308" s="182"/>
      <c r="GI308" s="182"/>
    </row>
    <row r="309" spans="1:191" s="183" customFormat="1" x14ac:dyDescent="0.2">
      <c r="A309" s="210" t="s">
        <v>38614</v>
      </c>
      <c r="B309" s="210" t="s">
        <v>19157</v>
      </c>
      <c r="C309" s="224" t="s">
        <v>22413</v>
      </c>
      <c r="D309" s="211" t="s">
        <v>16</v>
      </c>
      <c r="E309" s="211">
        <v>50</v>
      </c>
      <c r="F309" s="211"/>
      <c r="G309" s="211">
        <v>0.3</v>
      </c>
      <c r="H309" s="212"/>
      <c r="I309" s="213"/>
      <c r="J309" s="272">
        <v>453.88</v>
      </c>
      <c r="K309" s="112">
        <f t="shared" si="23"/>
        <v>22694</v>
      </c>
      <c r="L309" s="273">
        <f>BDI!$E$17</f>
        <v>0.11260000000000001</v>
      </c>
      <c r="M309" s="213"/>
      <c r="N309" s="213"/>
      <c r="O309" s="114">
        <f t="shared" si="24"/>
        <v>504.99</v>
      </c>
      <c r="P309" s="113">
        <f t="shared" si="25"/>
        <v>7574.85</v>
      </c>
      <c r="Q309" s="209"/>
      <c r="R309" s="203"/>
      <c r="S309" s="182"/>
      <c r="T309" s="182"/>
      <c r="U309" s="182"/>
      <c r="V309" s="182"/>
      <c r="W309" s="182"/>
      <c r="X309" s="182"/>
      <c r="Y309" s="182"/>
      <c r="Z309" s="182"/>
      <c r="AA309" s="182"/>
      <c r="AB309" s="182"/>
      <c r="AC309" s="182"/>
      <c r="AD309" s="182"/>
      <c r="AE309" s="182"/>
      <c r="AF309" s="182"/>
      <c r="AG309" s="182"/>
      <c r="AH309" s="182"/>
      <c r="AI309" s="182"/>
      <c r="AJ309" s="182"/>
      <c r="AK309" s="182"/>
      <c r="AL309" s="182"/>
      <c r="AM309" s="182"/>
      <c r="AN309" s="182"/>
      <c r="AO309" s="182"/>
      <c r="AP309" s="182"/>
      <c r="AQ309" s="182"/>
      <c r="AR309" s="182"/>
      <c r="AS309" s="182"/>
      <c r="AT309" s="182"/>
      <c r="AU309" s="182"/>
      <c r="AV309" s="182"/>
      <c r="AW309" s="182"/>
      <c r="AX309" s="182"/>
      <c r="AY309" s="182"/>
      <c r="AZ309" s="182"/>
      <c r="BA309" s="182"/>
      <c r="BB309" s="182"/>
      <c r="BC309" s="182"/>
      <c r="BD309" s="182"/>
      <c r="BE309" s="182"/>
      <c r="BF309" s="182"/>
      <c r="BG309" s="182"/>
      <c r="BH309" s="182"/>
      <c r="BI309" s="182"/>
      <c r="BJ309" s="182"/>
      <c r="BK309" s="182"/>
      <c r="BL309" s="182"/>
      <c r="BM309" s="182"/>
      <c r="BN309" s="182"/>
      <c r="BO309" s="182"/>
      <c r="BP309" s="182"/>
      <c r="BQ309" s="182"/>
      <c r="BR309" s="182"/>
      <c r="BS309" s="182"/>
      <c r="BT309" s="182"/>
      <c r="BU309" s="182"/>
      <c r="BV309" s="182"/>
      <c r="BW309" s="182"/>
      <c r="BX309" s="182"/>
      <c r="BY309" s="182"/>
      <c r="BZ309" s="182"/>
      <c r="CA309" s="182"/>
      <c r="CB309" s="182"/>
      <c r="CC309" s="182"/>
      <c r="CD309" s="182"/>
      <c r="CE309" s="182"/>
      <c r="CF309" s="182"/>
      <c r="CG309" s="182"/>
      <c r="CH309" s="182"/>
      <c r="CI309" s="182"/>
      <c r="CJ309" s="182"/>
      <c r="CK309" s="182"/>
      <c r="CL309" s="182"/>
      <c r="CM309" s="182"/>
      <c r="CN309" s="182"/>
      <c r="CO309" s="182"/>
      <c r="CP309" s="182"/>
      <c r="CQ309" s="182"/>
      <c r="CR309" s="182"/>
      <c r="CS309" s="182"/>
      <c r="CT309" s="182"/>
      <c r="CU309" s="182"/>
      <c r="CV309" s="182"/>
      <c r="CW309" s="182"/>
      <c r="CX309" s="182"/>
      <c r="CY309" s="182"/>
      <c r="CZ309" s="182"/>
      <c r="DA309" s="182"/>
      <c r="DB309" s="182"/>
      <c r="DC309" s="182"/>
      <c r="DD309" s="182"/>
      <c r="DE309" s="182"/>
      <c r="DF309" s="182"/>
      <c r="DG309" s="182"/>
      <c r="DH309" s="182"/>
      <c r="DI309" s="182"/>
      <c r="DJ309" s="182"/>
      <c r="DK309" s="182"/>
      <c r="DL309" s="182"/>
      <c r="DM309" s="182"/>
      <c r="DN309" s="182"/>
      <c r="DO309" s="182"/>
      <c r="DP309" s="182"/>
      <c r="DQ309" s="182"/>
      <c r="DR309" s="182"/>
      <c r="DS309" s="182"/>
      <c r="DT309" s="182"/>
      <c r="DU309" s="182"/>
      <c r="DV309" s="182"/>
      <c r="DW309" s="182"/>
      <c r="DX309" s="182"/>
      <c r="DY309" s="182"/>
      <c r="DZ309" s="182"/>
      <c r="EA309" s="182"/>
      <c r="EB309" s="182"/>
      <c r="EC309" s="182"/>
      <c r="ED309" s="182"/>
      <c r="EE309" s="182"/>
      <c r="EF309" s="182"/>
      <c r="EG309" s="182"/>
      <c r="EH309" s="182"/>
      <c r="EI309" s="182"/>
      <c r="EJ309" s="182"/>
      <c r="EK309" s="182"/>
      <c r="EL309" s="182"/>
      <c r="EM309" s="182"/>
      <c r="EN309" s="182"/>
      <c r="EO309" s="182"/>
      <c r="EP309" s="182"/>
      <c r="EQ309" s="182"/>
      <c r="ER309" s="182"/>
      <c r="ES309" s="182"/>
      <c r="ET309" s="182"/>
      <c r="EU309" s="182"/>
      <c r="EV309" s="182"/>
      <c r="EW309" s="182"/>
      <c r="EX309" s="182"/>
      <c r="EY309" s="182"/>
      <c r="EZ309" s="182"/>
      <c r="FA309" s="182"/>
      <c r="FB309" s="182"/>
      <c r="FC309" s="182"/>
      <c r="FD309" s="182"/>
      <c r="FE309" s="182"/>
      <c r="FF309" s="182"/>
      <c r="FG309" s="182"/>
      <c r="FH309" s="182"/>
      <c r="FI309" s="182"/>
      <c r="FJ309" s="182"/>
      <c r="FK309" s="182"/>
      <c r="FL309" s="182"/>
      <c r="FM309" s="182"/>
      <c r="FN309" s="182"/>
      <c r="FO309" s="182"/>
      <c r="FP309" s="182"/>
      <c r="FQ309" s="182"/>
      <c r="FR309" s="182"/>
      <c r="FS309" s="182"/>
      <c r="FT309" s="182"/>
      <c r="FU309" s="182"/>
      <c r="FV309" s="182"/>
      <c r="FW309" s="182"/>
      <c r="FX309" s="182"/>
      <c r="FY309" s="182"/>
      <c r="FZ309" s="182"/>
      <c r="GA309" s="182"/>
      <c r="GB309" s="182"/>
      <c r="GC309" s="182"/>
      <c r="GD309" s="182"/>
      <c r="GE309" s="182"/>
      <c r="GF309" s="182"/>
      <c r="GG309" s="182"/>
      <c r="GH309" s="182"/>
      <c r="GI309" s="182"/>
    </row>
    <row r="310" spans="1:191" s="183" customFormat="1" x14ac:dyDescent="0.2">
      <c r="A310" s="210" t="s">
        <v>38615</v>
      </c>
      <c r="B310" s="210" t="s">
        <v>19158</v>
      </c>
      <c r="C310" s="224" t="s">
        <v>22414</v>
      </c>
      <c r="D310" s="211" t="s">
        <v>16</v>
      </c>
      <c r="E310" s="211">
        <v>50</v>
      </c>
      <c r="F310" s="211"/>
      <c r="G310" s="211">
        <v>0.3</v>
      </c>
      <c r="H310" s="212"/>
      <c r="I310" s="213"/>
      <c r="J310" s="272">
        <v>170.55</v>
      </c>
      <c r="K310" s="112">
        <f t="shared" si="23"/>
        <v>8527.5</v>
      </c>
      <c r="L310" s="273">
        <f>BDI!$E$17</f>
        <v>0.11260000000000001</v>
      </c>
      <c r="M310" s="213"/>
      <c r="N310" s="213"/>
      <c r="O310" s="114">
        <f t="shared" si="24"/>
        <v>189.75</v>
      </c>
      <c r="P310" s="113">
        <f t="shared" si="25"/>
        <v>2846.25</v>
      </c>
      <c r="Q310" s="209"/>
      <c r="R310" s="203"/>
      <c r="S310" s="182"/>
      <c r="T310" s="182"/>
      <c r="U310" s="182"/>
      <c r="V310" s="182"/>
      <c r="W310" s="182"/>
      <c r="X310" s="182"/>
      <c r="Y310" s="182"/>
      <c r="Z310" s="182"/>
      <c r="AA310" s="182"/>
      <c r="AB310" s="182"/>
      <c r="AC310" s="182"/>
      <c r="AD310" s="182"/>
      <c r="AE310" s="182"/>
      <c r="AF310" s="182"/>
      <c r="AG310" s="182"/>
      <c r="AH310" s="182"/>
      <c r="AI310" s="182"/>
      <c r="AJ310" s="182"/>
      <c r="AK310" s="182"/>
      <c r="AL310" s="182"/>
      <c r="AM310" s="182"/>
      <c r="AN310" s="182"/>
      <c r="AO310" s="182"/>
      <c r="AP310" s="182"/>
      <c r="AQ310" s="182"/>
      <c r="AR310" s="182"/>
      <c r="AS310" s="182"/>
      <c r="AT310" s="182"/>
      <c r="AU310" s="182"/>
      <c r="AV310" s="182"/>
      <c r="AW310" s="182"/>
      <c r="AX310" s="182"/>
      <c r="AY310" s="182"/>
      <c r="AZ310" s="182"/>
      <c r="BA310" s="182"/>
      <c r="BB310" s="182"/>
      <c r="BC310" s="182"/>
      <c r="BD310" s="182"/>
      <c r="BE310" s="182"/>
      <c r="BF310" s="182"/>
      <c r="BG310" s="182"/>
      <c r="BH310" s="182"/>
      <c r="BI310" s="182"/>
      <c r="BJ310" s="182"/>
      <c r="BK310" s="182"/>
      <c r="BL310" s="182"/>
      <c r="BM310" s="182"/>
      <c r="BN310" s="182"/>
      <c r="BO310" s="182"/>
      <c r="BP310" s="182"/>
      <c r="BQ310" s="182"/>
      <c r="BR310" s="182"/>
      <c r="BS310" s="182"/>
      <c r="BT310" s="182"/>
      <c r="BU310" s="182"/>
      <c r="BV310" s="182"/>
      <c r="BW310" s="182"/>
      <c r="BX310" s="182"/>
      <c r="BY310" s="182"/>
      <c r="BZ310" s="182"/>
      <c r="CA310" s="182"/>
      <c r="CB310" s="182"/>
      <c r="CC310" s="182"/>
      <c r="CD310" s="182"/>
      <c r="CE310" s="182"/>
      <c r="CF310" s="182"/>
      <c r="CG310" s="182"/>
      <c r="CH310" s="182"/>
      <c r="CI310" s="182"/>
      <c r="CJ310" s="182"/>
      <c r="CK310" s="182"/>
      <c r="CL310" s="182"/>
      <c r="CM310" s="182"/>
      <c r="CN310" s="182"/>
      <c r="CO310" s="182"/>
      <c r="CP310" s="182"/>
      <c r="CQ310" s="182"/>
      <c r="CR310" s="182"/>
      <c r="CS310" s="182"/>
      <c r="CT310" s="182"/>
      <c r="CU310" s="182"/>
      <c r="CV310" s="182"/>
      <c r="CW310" s="182"/>
      <c r="CX310" s="182"/>
      <c r="CY310" s="182"/>
      <c r="CZ310" s="182"/>
      <c r="DA310" s="182"/>
      <c r="DB310" s="182"/>
      <c r="DC310" s="182"/>
      <c r="DD310" s="182"/>
      <c r="DE310" s="182"/>
      <c r="DF310" s="182"/>
      <c r="DG310" s="182"/>
      <c r="DH310" s="182"/>
      <c r="DI310" s="182"/>
      <c r="DJ310" s="182"/>
      <c r="DK310" s="182"/>
      <c r="DL310" s="182"/>
      <c r="DM310" s="182"/>
      <c r="DN310" s="182"/>
      <c r="DO310" s="182"/>
      <c r="DP310" s="182"/>
      <c r="DQ310" s="182"/>
      <c r="DR310" s="182"/>
      <c r="DS310" s="182"/>
      <c r="DT310" s="182"/>
      <c r="DU310" s="182"/>
      <c r="DV310" s="182"/>
      <c r="DW310" s="182"/>
      <c r="DX310" s="182"/>
      <c r="DY310" s="182"/>
      <c r="DZ310" s="182"/>
      <c r="EA310" s="182"/>
      <c r="EB310" s="182"/>
      <c r="EC310" s="182"/>
      <c r="ED310" s="182"/>
      <c r="EE310" s="182"/>
      <c r="EF310" s="182"/>
      <c r="EG310" s="182"/>
      <c r="EH310" s="182"/>
      <c r="EI310" s="182"/>
      <c r="EJ310" s="182"/>
      <c r="EK310" s="182"/>
      <c r="EL310" s="182"/>
      <c r="EM310" s="182"/>
      <c r="EN310" s="182"/>
      <c r="EO310" s="182"/>
      <c r="EP310" s="182"/>
      <c r="EQ310" s="182"/>
      <c r="ER310" s="182"/>
      <c r="ES310" s="182"/>
      <c r="ET310" s="182"/>
      <c r="EU310" s="182"/>
      <c r="EV310" s="182"/>
      <c r="EW310" s="182"/>
      <c r="EX310" s="182"/>
      <c r="EY310" s="182"/>
      <c r="EZ310" s="182"/>
      <c r="FA310" s="182"/>
      <c r="FB310" s="182"/>
      <c r="FC310" s="182"/>
      <c r="FD310" s="182"/>
      <c r="FE310" s="182"/>
      <c r="FF310" s="182"/>
      <c r="FG310" s="182"/>
      <c r="FH310" s="182"/>
      <c r="FI310" s="182"/>
      <c r="FJ310" s="182"/>
      <c r="FK310" s="182"/>
      <c r="FL310" s="182"/>
      <c r="FM310" s="182"/>
      <c r="FN310" s="182"/>
      <c r="FO310" s="182"/>
      <c r="FP310" s="182"/>
      <c r="FQ310" s="182"/>
      <c r="FR310" s="182"/>
      <c r="FS310" s="182"/>
      <c r="FT310" s="182"/>
      <c r="FU310" s="182"/>
      <c r="FV310" s="182"/>
      <c r="FW310" s="182"/>
      <c r="FX310" s="182"/>
      <c r="FY310" s="182"/>
      <c r="FZ310" s="182"/>
      <c r="GA310" s="182"/>
      <c r="GB310" s="182"/>
      <c r="GC310" s="182"/>
      <c r="GD310" s="182"/>
      <c r="GE310" s="182"/>
      <c r="GF310" s="182"/>
      <c r="GG310" s="182"/>
      <c r="GH310" s="182"/>
      <c r="GI310" s="182"/>
    </row>
    <row r="311" spans="1:191" s="183" customFormat="1" x14ac:dyDescent="0.2">
      <c r="A311" s="210" t="s">
        <v>38616</v>
      </c>
      <c r="B311" s="210" t="s">
        <v>19159</v>
      </c>
      <c r="C311" s="224" t="s">
        <v>22415</v>
      </c>
      <c r="D311" s="211" t="s">
        <v>16</v>
      </c>
      <c r="E311" s="211">
        <v>12</v>
      </c>
      <c r="F311" s="211"/>
      <c r="G311" s="211">
        <v>0.3</v>
      </c>
      <c r="H311" s="212"/>
      <c r="I311" s="213"/>
      <c r="J311" s="272">
        <v>245.67</v>
      </c>
      <c r="K311" s="112">
        <f t="shared" si="23"/>
        <v>2948.04</v>
      </c>
      <c r="L311" s="273">
        <f>BDI!$E$17</f>
        <v>0.11260000000000001</v>
      </c>
      <c r="M311" s="213"/>
      <c r="N311" s="213"/>
      <c r="O311" s="114">
        <f t="shared" si="24"/>
        <v>273.33</v>
      </c>
      <c r="P311" s="113">
        <f t="shared" si="25"/>
        <v>983.99</v>
      </c>
      <c r="Q311" s="209"/>
      <c r="R311" s="203"/>
      <c r="S311" s="182"/>
      <c r="T311" s="182"/>
      <c r="U311" s="182"/>
      <c r="V311" s="182"/>
      <c r="W311" s="182"/>
      <c r="X311" s="182"/>
      <c r="Y311" s="182"/>
      <c r="Z311" s="182"/>
      <c r="AA311" s="182"/>
      <c r="AB311" s="182"/>
      <c r="AC311" s="182"/>
      <c r="AD311" s="182"/>
      <c r="AE311" s="182"/>
      <c r="AF311" s="182"/>
      <c r="AG311" s="182"/>
      <c r="AH311" s="182"/>
      <c r="AI311" s="182"/>
      <c r="AJ311" s="182"/>
      <c r="AK311" s="182"/>
      <c r="AL311" s="182"/>
      <c r="AM311" s="182"/>
      <c r="AN311" s="182"/>
      <c r="AO311" s="182"/>
      <c r="AP311" s="182"/>
      <c r="AQ311" s="182"/>
      <c r="AR311" s="182"/>
      <c r="AS311" s="182"/>
      <c r="AT311" s="182"/>
      <c r="AU311" s="182"/>
      <c r="AV311" s="182"/>
      <c r="AW311" s="182"/>
      <c r="AX311" s="182"/>
      <c r="AY311" s="182"/>
      <c r="AZ311" s="182"/>
      <c r="BA311" s="182"/>
      <c r="BB311" s="182"/>
      <c r="BC311" s="182"/>
      <c r="BD311" s="182"/>
      <c r="BE311" s="182"/>
      <c r="BF311" s="182"/>
      <c r="BG311" s="182"/>
      <c r="BH311" s="182"/>
      <c r="BI311" s="182"/>
      <c r="BJ311" s="182"/>
      <c r="BK311" s="182"/>
      <c r="BL311" s="182"/>
      <c r="BM311" s="182"/>
      <c r="BN311" s="182"/>
      <c r="BO311" s="182"/>
      <c r="BP311" s="182"/>
      <c r="BQ311" s="182"/>
      <c r="BR311" s="182"/>
      <c r="BS311" s="182"/>
      <c r="BT311" s="182"/>
      <c r="BU311" s="182"/>
      <c r="BV311" s="182"/>
      <c r="BW311" s="182"/>
      <c r="BX311" s="182"/>
      <c r="BY311" s="182"/>
      <c r="BZ311" s="182"/>
      <c r="CA311" s="182"/>
      <c r="CB311" s="182"/>
      <c r="CC311" s="182"/>
      <c r="CD311" s="182"/>
      <c r="CE311" s="182"/>
      <c r="CF311" s="182"/>
      <c r="CG311" s="182"/>
      <c r="CH311" s="182"/>
      <c r="CI311" s="182"/>
      <c r="CJ311" s="182"/>
      <c r="CK311" s="182"/>
      <c r="CL311" s="182"/>
      <c r="CM311" s="182"/>
      <c r="CN311" s="182"/>
      <c r="CO311" s="182"/>
      <c r="CP311" s="182"/>
      <c r="CQ311" s="182"/>
      <c r="CR311" s="182"/>
      <c r="CS311" s="182"/>
      <c r="CT311" s="182"/>
      <c r="CU311" s="182"/>
      <c r="CV311" s="182"/>
      <c r="CW311" s="182"/>
      <c r="CX311" s="182"/>
      <c r="CY311" s="182"/>
      <c r="CZ311" s="182"/>
      <c r="DA311" s="182"/>
      <c r="DB311" s="182"/>
      <c r="DC311" s="182"/>
      <c r="DD311" s="182"/>
      <c r="DE311" s="182"/>
      <c r="DF311" s="182"/>
      <c r="DG311" s="182"/>
      <c r="DH311" s="182"/>
      <c r="DI311" s="182"/>
      <c r="DJ311" s="182"/>
      <c r="DK311" s="182"/>
      <c r="DL311" s="182"/>
      <c r="DM311" s="182"/>
      <c r="DN311" s="182"/>
      <c r="DO311" s="182"/>
      <c r="DP311" s="182"/>
      <c r="DQ311" s="182"/>
      <c r="DR311" s="182"/>
      <c r="DS311" s="182"/>
      <c r="DT311" s="182"/>
      <c r="DU311" s="182"/>
      <c r="DV311" s="182"/>
      <c r="DW311" s="182"/>
      <c r="DX311" s="182"/>
      <c r="DY311" s="182"/>
      <c r="DZ311" s="182"/>
      <c r="EA311" s="182"/>
      <c r="EB311" s="182"/>
      <c r="EC311" s="182"/>
      <c r="ED311" s="182"/>
      <c r="EE311" s="182"/>
      <c r="EF311" s="182"/>
      <c r="EG311" s="182"/>
      <c r="EH311" s="182"/>
      <c r="EI311" s="182"/>
      <c r="EJ311" s="182"/>
      <c r="EK311" s="182"/>
      <c r="EL311" s="182"/>
      <c r="EM311" s="182"/>
      <c r="EN311" s="182"/>
      <c r="EO311" s="182"/>
      <c r="EP311" s="182"/>
      <c r="EQ311" s="182"/>
      <c r="ER311" s="182"/>
      <c r="ES311" s="182"/>
      <c r="ET311" s="182"/>
      <c r="EU311" s="182"/>
      <c r="EV311" s="182"/>
      <c r="EW311" s="182"/>
      <c r="EX311" s="182"/>
      <c r="EY311" s="182"/>
      <c r="EZ311" s="182"/>
      <c r="FA311" s="182"/>
      <c r="FB311" s="182"/>
      <c r="FC311" s="182"/>
      <c r="FD311" s="182"/>
      <c r="FE311" s="182"/>
      <c r="FF311" s="182"/>
      <c r="FG311" s="182"/>
      <c r="FH311" s="182"/>
      <c r="FI311" s="182"/>
      <c r="FJ311" s="182"/>
      <c r="FK311" s="182"/>
      <c r="FL311" s="182"/>
      <c r="FM311" s="182"/>
      <c r="FN311" s="182"/>
      <c r="FO311" s="182"/>
      <c r="FP311" s="182"/>
      <c r="FQ311" s="182"/>
      <c r="FR311" s="182"/>
      <c r="FS311" s="182"/>
      <c r="FT311" s="182"/>
      <c r="FU311" s="182"/>
      <c r="FV311" s="182"/>
      <c r="FW311" s="182"/>
      <c r="FX311" s="182"/>
      <c r="FY311" s="182"/>
      <c r="FZ311" s="182"/>
      <c r="GA311" s="182"/>
      <c r="GB311" s="182"/>
      <c r="GC311" s="182"/>
      <c r="GD311" s="182"/>
      <c r="GE311" s="182"/>
      <c r="GF311" s="182"/>
      <c r="GG311" s="182"/>
      <c r="GH311" s="182"/>
      <c r="GI311" s="182"/>
    </row>
    <row r="312" spans="1:191" s="183" customFormat="1" x14ac:dyDescent="0.2">
      <c r="A312" s="210" t="s">
        <v>38617</v>
      </c>
      <c r="B312" s="210" t="s">
        <v>19160</v>
      </c>
      <c r="C312" s="224" t="s">
        <v>22416</v>
      </c>
      <c r="D312" s="211" t="s">
        <v>16</v>
      </c>
      <c r="E312" s="211">
        <v>6</v>
      </c>
      <c r="F312" s="211"/>
      <c r="G312" s="211">
        <v>0.3</v>
      </c>
      <c r="H312" s="212"/>
      <c r="I312" s="213"/>
      <c r="J312" s="272">
        <v>9042.27</v>
      </c>
      <c r="K312" s="112">
        <f t="shared" si="23"/>
        <v>54253.62</v>
      </c>
      <c r="L312" s="273">
        <f>BDI!$E$17</f>
        <v>0.11260000000000001</v>
      </c>
      <c r="M312" s="213"/>
      <c r="N312" s="213"/>
      <c r="O312" s="114">
        <f t="shared" si="24"/>
        <v>10060.43</v>
      </c>
      <c r="P312" s="113">
        <f t="shared" si="25"/>
        <v>18108.77</v>
      </c>
      <c r="Q312" s="209"/>
      <c r="R312" s="203"/>
      <c r="S312" s="182"/>
      <c r="T312" s="182"/>
      <c r="U312" s="182"/>
      <c r="V312" s="182"/>
      <c r="W312" s="182"/>
      <c r="X312" s="182"/>
      <c r="Y312" s="182"/>
      <c r="Z312" s="182"/>
      <c r="AA312" s="182"/>
      <c r="AB312" s="182"/>
      <c r="AC312" s="182"/>
      <c r="AD312" s="182"/>
      <c r="AE312" s="182"/>
      <c r="AF312" s="182"/>
      <c r="AG312" s="182"/>
      <c r="AH312" s="182"/>
      <c r="AI312" s="182"/>
      <c r="AJ312" s="182"/>
      <c r="AK312" s="182"/>
      <c r="AL312" s="182"/>
      <c r="AM312" s="182"/>
      <c r="AN312" s="182"/>
      <c r="AO312" s="182"/>
      <c r="AP312" s="182"/>
      <c r="AQ312" s="182"/>
      <c r="AR312" s="182"/>
      <c r="AS312" s="182"/>
      <c r="AT312" s="182"/>
      <c r="AU312" s="182"/>
      <c r="AV312" s="182"/>
      <c r="AW312" s="182"/>
      <c r="AX312" s="182"/>
      <c r="AY312" s="182"/>
      <c r="AZ312" s="182"/>
      <c r="BA312" s="182"/>
      <c r="BB312" s="182"/>
      <c r="BC312" s="182"/>
      <c r="BD312" s="182"/>
      <c r="BE312" s="182"/>
      <c r="BF312" s="182"/>
      <c r="BG312" s="182"/>
      <c r="BH312" s="182"/>
      <c r="BI312" s="182"/>
      <c r="BJ312" s="182"/>
      <c r="BK312" s="182"/>
      <c r="BL312" s="182"/>
      <c r="BM312" s="182"/>
      <c r="BN312" s="182"/>
      <c r="BO312" s="182"/>
      <c r="BP312" s="182"/>
      <c r="BQ312" s="182"/>
      <c r="BR312" s="182"/>
      <c r="BS312" s="182"/>
      <c r="BT312" s="182"/>
      <c r="BU312" s="182"/>
      <c r="BV312" s="182"/>
      <c r="BW312" s="182"/>
      <c r="BX312" s="182"/>
      <c r="BY312" s="182"/>
      <c r="BZ312" s="182"/>
      <c r="CA312" s="182"/>
      <c r="CB312" s="182"/>
      <c r="CC312" s="182"/>
      <c r="CD312" s="182"/>
      <c r="CE312" s="182"/>
      <c r="CF312" s="182"/>
      <c r="CG312" s="182"/>
      <c r="CH312" s="182"/>
      <c r="CI312" s="182"/>
      <c r="CJ312" s="182"/>
      <c r="CK312" s="182"/>
      <c r="CL312" s="182"/>
      <c r="CM312" s="182"/>
      <c r="CN312" s="182"/>
      <c r="CO312" s="182"/>
      <c r="CP312" s="182"/>
      <c r="CQ312" s="182"/>
      <c r="CR312" s="182"/>
      <c r="CS312" s="182"/>
      <c r="CT312" s="182"/>
      <c r="CU312" s="182"/>
      <c r="CV312" s="182"/>
      <c r="CW312" s="182"/>
      <c r="CX312" s="182"/>
      <c r="CY312" s="182"/>
      <c r="CZ312" s="182"/>
      <c r="DA312" s="182"/>
      <c r="DB312" s="182"/>
      <c r="DC312" s="182"/>
      <c r="DD312" s="182"/>
      <c r="DE312" s="182"/>
      <c r="DF312" s="182"/>
      <c r="DG312" s="182"/>
      <c r="DH312" s="182"/>
      <c r="DI312" s="182"/>
      <c r="DJ312" s="182"/>
      <c r="DK312" s="182"/>
      <c r="DL312" s="182"/>
      <c r="DM312" s="182"/>
      <c r="DN312" s="182"/>
      <c r="DO312" s="182"/>
      <c r="DP312" s="182"/>
      <c r="DQ312" s="182"/>
      <c r="DR312" s="182"/>
      <c r="DS312" s="182"/>
      <c r="DT312" s="182"/>
      <c r="DU312" s="182"/>
      <c r="DV312" s="182"/>
      <c r="DW312" s="182"/>
      <c r="DX312" s="182"/>
      <c r="DY312" s="182"/>
      <c r="DZ312" s="182"/>
      <c r="EA312" s="182"/>
      <c r="EB312" s="182"/>
      <c r="EC312" s="182"/>
      <c r="ED312" s="182"/>
      <c r="EE312" s="182"/>
      <c r="EF312" s="182"/>
      <c r="EG312" s="182"/>
      <c r="EH312" s="182"/>
      <c r="EI312" s="182"/>
      <c r="EJ312" s="182"/>
      <c r="EK312" s="182"/>
      <c r="EL312" s="182"/>
      <c r="EM312" s="182"/>
      <c r="EN312" s="182"/>
      <c r="EO312" s="182"/>
      <c r="EP312" s="182"/>
      <c r="EQ312" s="182"/>
      <c r="ER312" s="182"/>
      <c r="ES312" s="182"/>
      <c r="ET312" s="182"/>
      <c r="EU312" s="182"/>
      <c r="EV312" s="182"/>
      <c r="EW312" s="182"/>
      <c r="EX312" s="182"/>
      <c r="EY312" s="182"/>
      <c r="EZ312" s="182"/>
      <c r="FA312" s="182"/>
      <c r="FB312" s="182"/>
      <c r="FC312" s="182"/>
      <c r="FD312" s="182"/>
      <c r="FE312" s="182"/>
      <c r="FF312" s="182"/>
      <c r="FG312" s="182"/>
      <c r="FH312" s="182"/>
      <c r="FI312" s="182"/>
      <c r="FJ312" s="182"/>
      <c r="FK312" s="182"/>
      <c r="FL312" s="182"/>
      <c r="FM312" s="182"/>
      <c r="FN312" s="182"/>
      <c r="FO312" s="182"/>
      <c r="FP312" s="182"/>
      <c r="FQ312" s="182"/>
      <c r="FR312" s="182"/>
      <c r="FS312" s="182"/>
      <c r="FT312" s="182"/>
      <c r="FU312" s="182"/>
      <c r="FV312" s="182"/>
      <c r="FW312" s="182"/>
      <c r="FX312" s="182"/>
      <c r="FY312" s="182"/>
      <c r="FZ312" s="182"/>
      <c r="GA312" s="182"/>
      <c r="GB312" s="182"/>
      <c r="GC312" s="182"/>
      <c r="GD312" s="182"/>
      <c r="GE312" s="182"/>
      <c r="GF312" s="182"/>
      <c r="GG312" s="182"/>
      <c r="GH312" s="182"/>
      <c r="GI312" s="182"/>
    </row>
    <row r="313" spans="1:191" s="183" customFormat="1" x14ac:dyDescent="0.2">
      <c r="A313" s="210" t="s">
        <v>38618</v>
      </c>
      <c r="B313" s="210" t="s">
        <v>19161</v>
      </c>
      <c r="C313" s="224" t="s">
        <v>22417</v>
      </c>
      <c r="D313" s="211" t="s">
        <v>16</v>
      </c>
      <c r="E313" s="211">
        <v>6</v>
      </c>
      <c r="F313" s="211"/>
      <c r="G313" s="211">
        <v>0.3</v>
      </c>
      <c r="H313" s="212"/>
      <c r="I313" s="213"/>
      <c r="J313" s="272">
        <v>8385.9</v>
      </c>
      <c r="K313" s="112">
        <f t="shared" si="23"/>
        <v>50315.4</v>
      </c>
      <c r="L313" s="273">
        <f>BDI!$E$17</f>
        <v>0.11260000000000001</v>
      </c>
      <c r="M313" s="213"/>
      <c r="N313" s="213"/>
      <c r="O313" s="114">
        <f t="shared" si="24"/>
        <v>9330.15</v>
      </c>
      <c r="P313" s="113">
        <f t="shared" si="25"/>
        <v>16794.27</v>
      </c>
      <c r="Q313" s="209"/>
      <c r="R313" s="203"/>
      <c r="S313" s="182"/>
      <c r="T313" s="182"/>
      <c r="U313" s="182"/>
      <c r="V313" s="182"/>
      <c r="W313" s="182"/>
      <c r="X313" s="182"/>
      <c r="Y313" s="182"/>
      <c r="Z313" s="182"/>
      <c r="AA313" s="182"/>
      <c r="AB313" s="182"/>
      <c r="AC313" s="182"/>
      <c r="AD313" s="182"/>
      <c r="AE313" s="182"/>
      <c r="AF313" s="182"/>
      <c r="AG313" s="182"/>
      <c r="AH313" s="182"/>
      <c r="AI313" s="182"/>
      <c r="AJ313" s="182"/>
      <c r="AK313" s="182"/>
      <c r="AL313" s="182"/>
      <c r="AM313" s="182"/>
      <c r="AN313" s="182"/>
      <c r="AO313" s="182"/>
      <c r="AP313" s="182"/>
      <c r="AQ313" s="182"/>
      <c r="AR313" s="182"/>
      <c r="AS313" s="182"/>
      <c r="AT313" s="182"/>
      <c r="AU313" s="182"/>
      <c r="AV313" s="182"/>
      <c r="AW313" s="182"/>
      <c r="AX313" s="182"/>
      <c r="AY313" s="182"/>
      <c r="AZ313" s="182"/>
      <c r="BA313" s="182"/>
      <c r="BB313" s="182"/>
      <c r="BC313" s="182"/>
      <c r="BD313" s="182"/>
      <c r="BE313" s="182"/>
      <c r="BF313" s="182"/>
      <c r="BG313" s="182"/>
      <c r="BH313" s="182"/>
      <c r="BI313" s="182"/>
      <c r="BJ313" s="182"/>
      <c r="BK313" s="182"/>
      <c r="BL313" s="182"/>
      <c r="BM313" s="182"/>
      <c r="BN313" s="182"/>
      <c r="BO313" s="182"/>
      <c r="BP313" s="182"/>
      <c r="BQ313" s="182"/>
      <c r="BR313" s="182"/>
      <c r="BS313" s="182"/>
      <c r="BT313" s="182"/>
      <c r="BU313" s="182"/>
      <c r="BV313" s="182"/>
      <c r="BW313" s="182"/>
      <c r="BX313" s="182"/>
      <c r="BY313" s="182"/>
      <c r="BZ313" s="182"/>
      <c r="CA313" s="182"/>
      <c r="CB313" s="182"/>
      <c r="CC313" s="182"/>
      <c r="CD313" s="182"/>
      <c r="CE313" s="182"/>
      <c r="CF313" s="182"/>
      <c r="CG313" s="182"/>
      <c r="CH313" s="182"/>
      <c r="CI313" s="182"/>
      <c r="CJ313" s="182"/>
      <c r="CK313" s="182"/>
      <c r="CL313" s="182"/>
      <c r="CM313" s="182"/>
      <c r="CN313" s="182"/>
      <c r="CO313" s="182"/>
      <c r="CP313" s="182"/>
      <c r="CQ313" s="182"/>
      <c r="CR313" s="182"/>
      <c r="CS313" s="182"/>
      <c r="CT313" s="182"/>
      <c r="CU313" s="182"/>
      <c r="CV313" s="182"/>
      <c r="CW313" s="182"/>
      <c r="CX313" s="182"/>
      <c r="CY313" s="182"/>
      <c r="CZ313" s="182"/>
      <c r="DA313" s="182"/>
      <c r="DB313" s="182"/>
      <c r="DC313" s="182"/>
      <c r="DD313" s="182"/>
      <c r="DE313" s="182"/>
      <c r="DF313" s="182"/>
      <c r="DG313" s="182"/>
      <c r="DH313" s="182"/>
      <c r="DI313" s="182"/>
      <c r="DJ313" s="182"/>
      <c r="DK313" s="182"/>
      <c r="DL313" s="182"/>
      <c r="DM313" s="182"/>
      <c r="DN313" s="182"/>
      <c r="DO313" s="182"/>
      <c r="DP313" s="182"/>
      <c r="DQ313" s="182"/>
      <c r="DR313" s="182"/>
      <c r="DS313" s="182"/>
      <c r="DT313" s="182"/>
      <c r="DU313" s="182"/>
      <c r="DV313" s="182"/>
      <c r="DW313" s="182"/>
      <c r="DX313" s="182"/>
      <c r="DY313" s="182"/>
      <c r="DZ313" s="182"/>
      <c r="EA313" s="182"/>
      <c r="EB313" s="182"/>
      <c r="EC313" s="182"/>
      <c r="ED313" s="182"/>
      <c r="EE313" s="182"/>
      <c r="EF313" s="182"/>
      <c r="EG313" s="182"/>
      <c r="EH313" s="182"/>
      <c r="EI313" s="182"/>
      <c r="EJ313" s="182"/>
      <c r="EK313" s="182"/>
      <c r="EL313" s="182"/>
      <c r="EM313" s="182"/>
      <c r="EN313" s="182"/>
      <c r="EO313" s="182"/>
      <c r="EP313" s="182"/>
      <c r="EQ313" s="182"/>
      <c r="ER313" s="182"/>
      <c r="ES313" s="182"/>
      <c r="ET313" s="182"/>
      <c r="EU313" s="182"/>
      <c r="EV313" s="182"/>
      <c r="EW313" s="182"/>
      <c r="EX313" s="182"/>
      <c r="EY313" s="182"/>
      <c r="EZ313" s="182"/>
      <c r="FA313" s="182"/>
      <c r="FB313" s="182"/>
      <c r="FC313" s="182"/>
      <c r="FD313" s="182"/>
      <c r="FE313" s="182"/>
      <c r="FF313" s="182"/>
      <c r="FG313" s="182"/>
      <c r="FH313" s="182"/>
      <c r="FI313" s="182"/>
      <c r="FJ313" s="182"/>
      <c r="FK313" s="182"/>
      <c r="FL313" s="182"/>
      <c r="FM313" s="182"/>
      <c r="FN313" s="182"/>
      <c r="FO313" s="182"/>
      <c r="FP313" s="182"/>
      <c r="FQ313" s="182"/>
      <c r="FR313" s="182"/>
      <c r="FS313" s="182"/>
      <c r="FT313" s="182"/>
      <c r="FU313" s="182"/>
      <c r="FV313" s="182"/>
      <c r="FW313" s="182"/>
      <c r="FX313" s="182"/>
      <c r="FY313" s="182"/>
      <c r="FZ313" s="182"/>
      <c r="GA313" s="182"/>
      <c r="GB313" s="182"/>
      <c r="GC313" s="182"/>
      <c r="GD313" s="182"/>
      <c r="GE313" s="182"/>
      <c r="GF313" s="182"/>
      <c r="GG313" s="182"/>
      <c r="GH313" s="182"/>
      <c r="GI313" s="182"/>
    </row>
    <row r="314" spans="1:191" s="183" customFormat="1" x14ac:dyDescent="0.2">
      <c r="A314" s="210" t="s">
        <v>38619</v>
      </c>
      <c r="B314" s="210" t="s">
        <v>19162</v>
      </c>
      <c r="C314" s="224" t="s">
        <v>22418</v>
      </c>
      <c r="D314" s="211" t="s">
        <v>16</v>
      </c>
      <c r="E314" s="211">
        <v>6</v>
      </c>
      <c r="F314" s="211"/>
      <c r="G314" s="211">
        <v>0.3</v>
      </c>
      <c r="H314" s="212"/>
      <c r="I314" s="213"/>
      <c r="J314" s="272">
        <v>9972.43</v>
      </c>
      <c r="K314" s="112">
        <f t="shared" si="23"/>
        <v>59834.58</v>
      </c>
      <c r="L314" s="273">
        <f>BDI!$E$17</f>
        <v>0.11260000000000001</v>
      </c>
      <c r="M314" s="213"/>
      <c r="N314" s="213"/>
      <c r="O314" s="114">
        <f t="shared" si="24"/>
        <v>11095.33</v>
      </c>
      <c r="P314" s="113">
        <f t="shared" si="25"/>
        <v>19971.59</v>
      </c>
      <c r="Q314" s="209"/>
      <c r="R314" s="203"/>
      <c r="S314" s="182"/>
      <c r="T314" s="182"/>
      <c r="U314" s="182"/>
      <c r="V314" s="182"/>
      <c r="W314" s="182"/>
      <c r="X314" s="182"/>
      <c r="Y314" s="182"/>
      <c r="Z314" s="182"/>
      <c r="AA314" s="182"/>
      <c r="AB314" s="182"/>
      <c r="AC314" s="182"/>
      <c r="AD314" s="182"/>
      <c r="AE314" s="182"/>
      <c r="AF314" s="182"/>
      <c r="AG314" s="182"/>
      <c r="AH314" s="182"/>
      <c r="AI314" s="182"/>
      <c r="AJ314" s="182"/>
      <c r="AK314" s="182"/>
      <c r="AL314" s="182"/>
      <c r="AM314" s="182"/>
      <c r="AN314" s="182"/>
      <c r="AO314" s="182"/>
      <c r="AP314" s="182"/>
      <c r="AQ314" s="182"/>
      <c r="AR314" s="182"/>
      <c r="AS314" s="182"/>
      <c r="AT314" s="182"/>
      <c r="AU314" s="182"/>
      <c r="AV314" s="182"/>
      <c r="AW314" s="182"/>
      <c r="AX314" s="182"/>
      <c r="AY314" s="182"/>
      <c r="AZ314" s="182"/>
      <c r="BA314" s="182"/>
      <c r="BB314" s="182"/>
      <c r="BC314" s="182"/>
      <c r="BD314" s="182"/>
      <c r="BE314" s="182"/>
      <c r="BF314" s="182"/>
      <c r="BG314" s="182"/>
      <c r="BH314" s="182"/>
      <c r="BI314" s="182"/>
      <c r="BJ314" s="182"/>
      <c r="BK314" s="182"/>
      <c r="BL314" s="182"/>
      <c r="BM314" s="182"/>
      <c r="BN314" s="182"/>
      <c r="BO314" s="182"/>
      <c r="BP314" s="182"/>
      <c r="BQ314" s="182"/>
      <c r="BR314" s="182"/>
      <c r="BS314" s="182"/>
      <c r="BT314" s="182"/>
      <c r="BU314" s="182"/>
      <c r="BV314" s="182"/>
      <c r="BW314" s="182"/>
      <c r="BX314" s="182"/>
      <c r="BY314" s="182"/>
      <c r="BZ314" s="182"/>
      <c r="CA314" s="182"/>
      <c r="CB314" s="182"/>
      <c r="CC314" s="182"/>
      <c r="CD314" s="182"/>
      <c r="CE314" s="182"/>
      <c r="CF314" s="182"/>
      <c r="CG314" s="182"/>
      <c r="CH314" s="182"/>
      <c r="CI314" s="182"/>
      <c r="CJ314" s="182"/>
      <c r="CK314" s="182"/>
      <c r="CL314" s="182"/>
      <c r="CM314" s="182"/>
      <c r="CN314" s="182"/>
      <c r="CO314" s="182"/>
      <c r="CP314" s="182"/>
      <c r="CQ314" s="182"/>
      <c r="CR314" s="182"/>
      <c r="CS314" s="182"/>
      <c r="CT314" s="182"/>
      <c r="CU314" s="182"/>
      <c r="CV314" s="182"/>
      <c r="CW314" s="182"/>
      <c r="CX314" s="182"/>
      <c r="CY314" s="182"/>
      <c r="CZ314" s="182"/>
      <c r="DA314" s="182"/>
      <c r="DB314" s="182"/>
      <c r="DC314" s="182"/>
      <c r="DD314" s="182"/>
      <c r="DE314" s="182"/>
      <c r="DF314" s="182"/>
      <c r="DG314" s="182"/>
      <c r="DH314" s="182"/>
      <c r="DI314" s="182"/>
      <c r="DJ314" s="182"/>
      <c r="DK314" s="182"/>
      <c r="DL314" s="182"/>
      <c r="DM314" s="182"/>
      <c r="DN314" s="182"/>
      <c r="DO314" s="182"/>
      <c r="DP314" s="182"/>
      <c r="DQ314" s="182"/>
      <c r="DR314" s="182"/>
      <c r="DS314" s="182"/>
      <c r="DT314" s="182"/>
      <c r="DU314" s="182"/>
      <c r="DV314" s="182"/>
      <c r="DW314" s="182"/>
      <c r="DX314" s="182"/>
      <c r="DY314" s="182"/>
      <c r="DZ314" s="182"/>
      <c r="EA314" s="182"/>
      <c r="EB314" s="182"/>
      <c r="EC314" s="182"/>
      <c r="ED314" s="182"/>
      <c r="EE314" s="182"/>
      <c r="EF314" s="182"/>
      <c r="EG314" s="182"/>
      <c r="EH314" s="182"/>
      <c r="EI314" s="182"/>
      <c r="EJ314" s="182"/>
      <c r="EK314" s="182"/>
      <c r="EL314" s="182"/>
      <c r="EM314" s="182"/>
      <c r="EN314" s="182"/>
      <c r="EO314" s="182"/>
      <c r="EP314" s="182"/>
      <c r="EQ314" s="182"/>
      <c r="ER314" s="182"/>
      <c r="ES314" s="182"/>
      <c r="ET314" s="182"/>
      <c r="EU314" s="182"/>
      <c r="EV314" s="182"/>
      <c r="EW314" s="182"/>
      <c r="EX314" s="182"/>
      <c r="EY314" s="182"/>
      <c r="EZ314" s="182"/>
      <c r="FA314" s="182"/>
      <c r="FB314" s="182"/>
      <c r="FC314" s="182"/>
      <c r="FD314" s="182"/>
      <c r="FE314" s="182"/>
      <c r="FF314" s="182"/>
      <c r="FG314" s="182"/>
      <c r="FH314" s="182"/>
      <c r="FI314" s="182"/>
      <c r="FJ314" s="182"/>
      <c r="FK314" s="182"/>
      <c r="FL314" s="182"/>
      <c r="FM314" s="182"/>
      <c r="FN314" s="182"/>
      <c r="FO314" s="182"/>
      <c r="FP314" s="182"/>
      <c r="FQ314" s="182"/>
      <c r="FR314" s="182"/>
      <c r="FS314" s="182"/>
      <c r="FT314" s="182"/>
      <c r="FU314" s="182"/>
      <c r="FV314" s="182"/>
      <c r="FW314" s="182"/>
      <c r="FX314" s="182"/>
      <c r="FY314" s="182"/>
      <c r="FZ314" s="182"/>
      <c r="GA314" s="182"/>
      <c r="GB314" s="182"/>
      <c r="GC314" s="182"/>
      <c r="GD314" s="182"/>
      <c r="GE314" s="182"/>
      <c r="GF314" s="182"/>
      <c r="GG314" s="182"/>
      <c r="GH314" s="182"/>
      <c r="GI314" s="182"/>
    </row>
    <row r="315" spans="1:191" s="183" customFormat="1" x14ac:dyDescent="0.2">
      <c r="A315" s="210" t="s">
        <v>38620</v>
      </c>
      <c r="B315" s="210" t="s">
        <v>19163</v>
      </c>
      <c r="C315" s="224" t="s">
        <v>22419</v>
      </c>
      <c r="D315" s="211" t="s">
        <v>16</v>
      </c>
      <c r="E315" s="211">
        <v>1</v>
      </c>
      <c r="F315" s="211"/>
      <c r="G315" s="211">
        <v>0.3</v>
      </c>
      <c r="H315" s="212"/>
      <c r="I315" s="213"/>
      <c r="J315" s="272">
        <v>10469.98</v>
      </c>
      <c r="K315" s="112">
        <f t="shared" si="23"/>
        <v>10469.98</v>
      </c>
      <c r="L315" s="273">
        <f>BDI!$E$17</f>
        <v>0.11260000000000001</v>
      </c>
      <c r="M315" s="213"/>
      <c r="N315" s="213"/>
      <c r="O315" s="114">
        <f t="shared" si="24"/>
        <v>11648.9</v>
      </c>
      <c r="P315" s="113">
        <f t="shared" si="25"/>
        <v>3494.67</v>
      </c>
      <c r="Q315" s="209"/>
      <c r="R315" s="203"/>
      <c r="S315" s="182"/>
      <c r="T315" s="182"/>
      <c r="U315" s="182"/>
      <c r="V315" s="182"/>
      <c r="W315" s="182"/>
      <c r="X315" s="182"/>
      <c r="Y315" s="182"/>
      <c r="Z315" s="182"/>
      <c r="AA315" s="182"/>
      <c r="AB315" s="182"/>
      <c r="AC315" s="182"/>
      <c r="AD315" s="182"/>
      <c r="AE315" s="182"/>
      <c r="AF315" s="182"/>
      <c r="AG315" s="182"/>
      <c r="AH315" s="182"/>
      <c r="AI315" s="182"/>
      <c r="AJ315" s="182"/>
      <c r="AK315" s="182"/>
      <c r="AL315" s="182"/>
      <c r="AM315" s="182"/>
      <c r="AN315" s="182"/>
      <c r="AO315" s="182"/>
      <c r="AP315" s="182"/>
      <c r="AQ315" s="182"/>
      <c r="AR315" s="182"/>
      <c r="AS315" s="182"/>
      <c r="AT315" s="182"/>
      <c r="AU315" s="182"/>
      <c r="AV315" s="182"/>
      <c r="AW315" s="182"/>
      <c r="AX315" s="182"/>
      <c r="AY315" s="182"/>
      <c r="AZ315" s="182"/>
      <c r="BA315" s="182"/>
      <c r="BB315" s="182"/>
      <c r="BC315" s="182"/>
      <c r="BD315" s="182"/>
      <c r="BE315" s="182"/>
      <c r="BF315" s="182"/>
      <c r="BG315" s="182"/>
      <c r="BH315" s="182"/>
      <c r="BI315" s="182"/>
      <c r="BJ315" s="182"/>
      <c r="BK315" s="182"/>
      <c r="BL315" s="182"/>
      <c r="BM315" s="182"/>
      <c r="BN315" s="182"/>
      <c r="BO315" s="182"/>
      <c r="BP315" s="182"/>
      <c r="BQ315" s="182"/>
      <c r="BR315" s="182"/>
      <c r="BS315" s="182"/>
      <c r="BT315" s="182"/>
      <c r="BU315" s="182"/>
      <c r="BV315" s="182"/>
      <c r="BW315" s="182"/>
      <c r="BX315" s="182"/>
      <c r="BY315" s="182"/>
      <c r="BZ315" s="182"/>
      <c r="CA315" s="182"/>
      <c r="CB315" s="182"/>
      <c r="CC315" s="182"/>
      <c r="CD315" s="182"/>
      <c r="CE315" s="182"/>
      <c r="CF315" s="182"/>
      <c r="CG315" s="182"/>
      <c r="CH315" s="182"/>
      <c r="CI315" s="182"/>
      <c r="CJ315" s="182"/>
      <c r="CK315" s="182"/>
      <c r="CL315" s="182"/>
      <c r="CM315" s="182"/>
      <c r="CN315" s="182"/>
      <c r="CO315" s="182"/>
      <c r="CP315" s="182"/>
      <c r="CQ315" s="182"/>
      <c r="CR315" s="182"/>
      <c r="CS315" s="182"/>
      <c r="CT315" s="182"/>
      <c r="CU315" s="182"/>
      <c r="CV315" s="182"/>
      <c r="CW315" s="182"/>
      <c r="CX315" s="182"/>
      <c r="CY315" s="182"/>
      <c r="CZ315" s="182"/>
      <c r="DA315" s="182"/>
      <c r="DB315" s="182"/>
      <c r="DC315" s="182"/>
      <c r="DD315" s="182"/>
      <c r="DE315" s="182"/>
      <c r="DF315" s="182"/>
      <c r="DG315" s="182"/>
      <c r="DH315" s="182"/>
      <c r="DI315" s="182"/>
      <c r="DJ315" s="182"/>
      <c r="DK315" s="182"/>
      <c r="DL315" s="182"/>
      <c r="DM315" s="182"/>
      <c r="DN315" s="182"/>
      <c r="DO315" s="182"/>
      <c r="DP315" s="182"/>
      <c r="DQ315" s="182"/>
      <c r="DR315" s="182"/>
      <c r="DS315" s="182"/>
      <c r="DT315" s="182"/>
      <c r="DU315" s="182"/>
      <c r="DV315" s="182"/>
      <c r="DW315" s="182"/>
      <c r="DX315" s="182"/>
      <c r="DY315" s="182"/>
      <c r="DZ315" s="182"/>
      <c r="EA315" s="182"/>
      <c r="EB315" s="182"/>
      <c r="EC315" s="182"/>
      <c r="ED315" s="182"/>
      <c r="EE315" s="182"/>
      <c r="EF315" s="182"/>
      <c r="EG315" s="182"/>
      <c r="EH315" s="182"/>
      <c r="EI315" s="182"/>
      <c r="EJ315" s="182"/>
      <c r="EK315" s="182"/>
      <c r="EL315" s="182"/>
      <c r="EM315" s="182"/>
      <c r="EN315" s="182"/>
      <c r="EO315" s="182"/>
      <c r="EP315" s="182"/>
      <c r="EQ315" s="182"/>
      <c r="ER315" s="182"/>
      <c r="ES315" s="182"/>
      <c r="ET315" s="182"/>
      <c r="EU315" s="182"/>
      <c r="EV315" s="182"/>
      <c r="EW315" s="182"/>
      <c r="EX315" s="182"/>
      <c r="EY315" s="182"/>
      <c r="EZ315" s="182"/>
      <c r="FA315" s="182"/>
      <c r="FB315" s="182"/>
      <c r="FC315" s="182"/>
      <c r="FD315" s="182"/>
      <c r="FE315" s="182"/>
      <c r="FF315" s="182"/>
      <c r="FG315" s="182"/>
      <c r="FH315" s="182"/>
      <c r="FI315" s="182"/>
      <c r="FJ315" s="182"/>
      <c r="FK315" s="182"/>
      <c r="FL315" s="182"/>
      <c r="FM315" s="182"/>
      <c r="FN315" s="182"/>
      <c r="FO315" s="182"/>
      <c r="FP315" s="182"/>
      <c r="FQ315" s="182"/>
      <c r="FR315" s="182"/>
      <c r="FS315" s="182"/>
      <c r="FT315" s="182"/>
      <c r="FU315" s="182"/>
      <c r="FV315" s="182"/>
      <c r="FW315" s="182"/>
      <c r="FX315" s="182"/>
      <c r="FY315" s="182"/>
      <c r="FZ315" s="182"/>
      <c r="GA315" s="182"/>
      <c r="GB315" s="182"/>
      <c r="GC315" s="182"/>
      <c r="GD315" s="182"/>
      <c r="GE315" s="182"/>
      <c r="GF315" s="182"/>
      <c r="GG315" s="182"/>
      <c r="GH315" s="182"/>
      <c r="GI315" s="182"/>
    </row>
    <row r="316" spans="1:191" s="183" customFormat="1" x14ac:dyDescent="0.2">
      <c r="A316" s="210" t="s">
        <v>38621</v>
      </c>
      <c r="B316" s="210" t="s">
        <v>19164</v>
      </c>
      <c r="C316" s="224" t="s">
        <v>22420</v>
      </c>
      <c r="D316" s="211" t="s">
        <v>16</v>
      </c>
      <c r="E316" s="211">
        <v>1</v>
      </c>
      <c r="F316" s="211"/>
      <c r="G316" s="211">
        <v>0.3</v>
      </c>
      <c r="H316" s="212"/>
      <c r="I316" s="213"/>
      <c r="J316" s="272">
        <v>7324.46</v>
      </c>
      <c r="K316" s="112">
        <f t="shared" si="23"/>
        <v>7324.46</v>
      </c>
      <c r="L316" s="273">
        <f>BDI!$E$17</f>
        <v>0.11260000000000001</v>
      </c>
      <c r="M316" s="213"/>
      <c r="N316" s="213"/>
      <c r="O316" s="114">
        <f t="shared" si="24"/>
        <v>8149.19</v>
      </c>
      <c r="P316" s="113">
        <f t="shared" si="25"/>
        <v>2444.7600000000002</v>
      </c>
      <c r="Q316" s="209"/>
      <c r="R316" s="203"/>
      <c r="S316" s="182"/>
      <c r="T316" s="182"/>
      <c r="U316" s="182"/>
      <c r="V316" s="182"/>
      <c r="W316" s="182"/>
      <c r="X316" s="182"/>
      <c r="Y316" s="182"/>
      <c r="Z316" s="182"/>
      <c r="AA316" s="182"/>
      <c r="AB316" s="182"/>
      <c r="AC316" s="182"/>
      <c r="AD316" s="182"/>
      <c r="AE316" s="182"/>
      <c r="AF316" s="182"/>
      <c r="AG316" s="182"/>
      <c r="AH316" s="182"/>
      <c r="AI316" s="182"/>
      <c r="AJ316" s="182"/>
      <c r="AK316" s="182"/>
      <c r="AL316" s="182"/>
      <c r="AM316" s="182"/>
      <c r="AN316" s="182"/>
      <c r="AO316" s="182"/>
      <c r="AP316" s="182"/>
      <c r="AQ316" s="182"/>
      <c r="AR316" s="182"/>
      <c r="AS316" s="182"/>
      <c r="AT316" s="182"/>
      <c r="AU316" s="182"/>
      <c r="AV316" s="182"/>
      <c r="AW316" s="182"/>
      <c r="AX316" s="182"/>
      <c r="AY316" s="182"/>
      <c r="AZ316" s="182"/>
      <c r="BA316" s="182"/>
      <c r="BB316" s="182"/>
      <c r="BC316" s="182"/>
      <c r="BD316" s="182"/>
      <c r="BE316" s="182"/>
      <c r="BF316" s="182"/>
      <c r="BG316" s="182"/>
      <c r="BH316" s="182"/>
      <c r="BI316" s="182"/>
      <c r="BJ316" s="182"/>
      <c r="BK316" s="182"/>
      <c r="BL316" s="182"/>
      <c r="BM316" s="182"/>
      <c r="BN316" s="182"/>
      <c r="BO316" s="182"/>
      <c r="BP316" s="182"/>
      <c r="BQ316" s="182"/>
      <c r="BR316" s="182"/>
      <c r="BS316" s="182"/>
      <c r="BT316" s="182"/>
      <c r="BU316" s="182"/>
      <c r="BV316" s="182"/>
      <c r="BW316" s="182"/>
      <c r="BX316" s="182"/>
      <c r="BY316" s="182"/>
      <c r="BZ316" s="182"/>
      <c r="CA316" s="182"/>
      <c r="CB316" s="182"/>
      <c r="CC316" s="182"/>
      <c r="CD316" s="182"/>
      <c r="CE316" s="182"/>
      <c r="CF316" s="182"/>
      <c r="CG316" s="182"/>
      <c r="CH316" s="182"/>
      <c r="CI316" s="182"/>
      <c r="CJ316" s="182"/>
      <c r="CK316" s="182"/>
      <c r="CL316" s="182"/>
      <c r="CM316" s="182"/>
      <c r="CN316" s="182"/>
      <c r="CO316" s="182"/>
      <c r="CP316" s="182"/>
      <c r="CQ316" s="182"/>
      <c r="CR316" s="182"/>
      <c r="CS316" s="182"/>
      <c r="CT316" s="182"/>
      <c r="CU316" s="182"/>
      <c r="CV316" s="182"/>
      <c r="CW316" s="182"/>
      <c r="CX316" s="182"/>
      <c r="CY316" s="182"/>
      <c r="CZ316" s="182"/>
      <c r="DA316" s="182"/>
      <c r="DB316" s="182"/>
      <c r="DC316" s="182"/>
      <c r="DD316" s="182"/>
      <c r="DE316" s="182"/>
      <c r="DF316" s="182"/>
      <c r="DG316" s="182"/>
      <c r="DH316" s="182"/>
      <c r="DI316" s="182"/>
      <c r="DJ316" s="182"/>
      <c r="DK316" s="182"/>
      <c r="DL316" s="182"/>
      <c r="DM316" s="182"/>
      <c r="DN316" s="182"/>
      <c r="DO316" s="182"/>
      <c r="DP316" s="182"/>
      <c r="DQ316" s="182"/>
      <c r="DR316" s="182"/>
      <c r="DS316" s="182"/>
      <c r="DT316" s="182"/>
      <c r="DU316" s="182"/>
      <c r="DV316" s="182"/>
      <c r="DW316" s="182"/>
      <c r="DX316" s="182"/>
      <c r="DY316" s="182"/>
      <c r="DZ316" s="182"/>
      <c r="EA316" s="182"/>
      <c r="EB316" s="182"/>
      <c r="EC316" s="182"/>
      <c r="ED316" s="182"/>
      <c r="EE316" s="182"/>
      <c r="EF316" s="182"/>
      <c r="EG316" s="182"/>
      <c r="EH316" s="182"/>
      <c r="EI316" s="182"/>
      <c r="EJ316" s="182"/>
      <c r="EK316" s="182"/>
      <c r="EL316" s="182"/>
      <c r="EM316" s="182"/>
      <c r="EN316" s="182"/>
      <c r="EO316" s="182"/>
      <c r="EP316" s="182"/>
      <c r="EQ316" s="182"/>
      <c r="ER316" s="182"/>
      <c r="ES316" s="182"/>
      <c r="ET316" s="182"/>
      <c r="EU316" s="182"/>
      <c r="EV316" s="182"/>
      <c r="EW316" s="182"/>
      <c r="EX316" s="182"/>
      <c r="EY316" s="182"/>
      <c r="EZ316" s="182"/>
      <c r="FA316" s="182"/>
      <c r="FB316" s="182"/>
      <c r="FC316" s="182"/>
      <c r="FD316" s="182"/>
      <c r="FE316" s="182"/>
      <c r="FF316" s="182"/>
      <c r="FG316" s="182"/>
      <c r="FH316" s="182"/>
      <c r="FI316" s="182"/>
      <c r="FJ316" s="182"/>
      <c r="FK316" s="182"/>
      <c r="FL316" s="182"/>
      <c r="FM316" s="182"/>
      <c r="FN316" s="182"/>
      <c r="FO316" s="182"/>
      <c r="FP316" s="182"/>
      <c r="FQ316" s="182"/>
      <c r="FR316" s="182"/>
      <c r="FS316" s="182"/>
      <c r="FT316" s="182"/>
      <c r="FU316" s="182"/>
      <c r="FV316" s="182"/>
      <c r="FW316" s="182"/>
      <c r="FX316" s="182"/>
      <c r="FY316" s="182"/>
      <c r="FZ316" s="182"/>
      <c r="GA316" s="182"/>
      <c r="GB316" s="182"/>
      <c r="GC316" s="182"/>
      <c r="GD316" s="182"/>
      <c r="GE316" s="182"/>
      <c r="GF316" s="182"/>
      <c r="GG316" s="182"/>
      <c r="GH316" s="182"/>
      <c r="GI316" s="182"/>
    </row>
    <row r="317" spans="1:191" s="183" customFormat="1" x14ac:dyDescent="0.2">
      <c r="A317" s="210" t="s">
        <v>38622</v>
      </c>
      <c r="B317" s="210" t="s">
        <v>19165</v>
      </c>
      <c r="C317" s="224" t="s">
        <v>22421</v>
      </c>
      <c r="D317" s="211" t="s">
        <v>16</v>
      </c>
      <c r="E317" s="211">
        <v>1</v>
      </c>
      <c r="F317" s="211"/>
      <c r="G317" s="211">
        <v>0.3</v>
      </c>
      <c r="H317" s="212"/>
      <c r="I317" s="213"/>
      <c r="J317" s="272">
        <v>2686.89</v>
      </c>
      <c r="K317" s="112">
        <f t="shared" si="23"/>
        <v>2686.89</v>
      </c>
      <c r="L317" s="273">
        <f>BDI!$E$17</f>
        <v>0.11260000000000001</v>
      </c>
      <c r="M317" s="213"/>
      <c r="N317" s="213"/>
      <c r="O317" s="114">
        <f t="shared" si="24"/>
        <v>2989.43</v>
      </c>
      <c r="P317" s="113">
        <f t="shared" si="25"/>
        <v>896.83</v>
      </c>
      <c r="Q317" s="209"/>
      <c r="R317" s="203"/>
      <c r="S317" s="182"/>
      <c r="T317" s="182"/>
      <c r="U317" s="182"/>
      <c r="V317" s="182"/>
      <c r="W317" s="182"/>
      <c r="X317" s="182"/>
      <c r="Y317" s="182"/>
      <c r="Z317" s="182"/>
      <c r="AA317" s="182"/>
      <c r="AB317" s="182"/>
      <c r="AC317" s="182"/>
      <c r="AD317" s="182"/>
      <c r="AE317" s="182"/>
      <c r="AF317" s="182"/>
      <c r="AG317" s="182"/>
      <c r="AH317" s="182"/>
      <c r="AI317" s="182"/>
      <c r="AJ317" s="182"/>
      <c r="AK317" s="182"/>
      <c r="AL317" s="182"/>
      <c r="AM317" s="182"/>
      <c r="AN317" s="182"/>
      <c r="AO317" s="182"/>
      <c r="AP317" s="182"/>
      <c r="AQ317" s="182"/>
      <c r="AR317" s="182"/>
      <c r="AS317" s="182"/>
      <c r="AT317" s="182"/>
      <c r="AU317" s="182"/>
      <c r="AV317" s="182"/>
      <c r="AW317" s="182"/>
      <c r="AX317" s="182"/>
      <c r="AY317" s="182"/>
      <c r="AZ317" s="182"/>
      <c r="BA317" s="182"/>
      <c r="BB317" s="182"/>
      <c r="BC317" s="182"/>
      <c r="BD317" s="182"/>
      <c r="BE317" s="182"/>
      <c r="BF317" s="182"/>
      <c r="BG317" s="182"/>
      <c r="BH317" s="182"/>
      <c r="BI317" s="182"/>
      <c r="BJ317" s="182"/>
      <c r="BK317" s="182"/>
      <c r="BL317" s="182"/>
      <c r="BM317" s="182"/>
      <c r="BN317" s="182"/>
      <c r="BO317" s="182"/>
      <c r="BP317" s="182"/>
      <c r="BQ317" s="182"/>
      <c r="BR317" s="182"/>
      <c r="BS317" s="182"/>
      <c r="BT317" s="182"/>
      <c r="BU317" s="182"/>
      <c r="BV317" s="182"/>
      <c r="BW317" s="182"/>
      <c r="BX317" s="182"/>
      <c r="BY317" s="182"/>
      <c r="BZ317" s="182"/>
      <c r="CA317" s="182"/>
      <c r="CB317" s="182"/>
      <c r="CC317" s="182"/>
      <c r="CD317" s="182"/>
      <c r="CE317" s="182"/>
      <c r="CF317" s="182"/>
      <c r="CG317" s="182"/>
      <c r="CH317" s="182"/>
      <c r="CI317" s="182"/>
      <c r="CJ317" s="182"/>
      <c r="CK317" s="182"/>
      <c r="CL317" s="182"/>
      <c r="CM317" s="182"/>
      <c r="CN317" s="182"/>
      <c r="CO317" s="182"/>
      <c r="CP317" s="182"/>
      <c r="CQ317" s="182"/>
      <c r="CR317" s="182"/>
      <c r="CS317" s="182"/>
      <c r="CT317" s="182"/>
      <c r="CU317" s="182"/>
      <c r="CV317" s="182"/>
      <c r="CW317" s="182"/>
      <c r="CX317" s="182"/>
      <c r="CY317" s="182"/>
      <c r="CZ317" s="182"/>
      <c r="DA317" s="182"/>
      <c r="DB317" s="182"/>
      <c r="DC317" s="182"/>
      <c r="DD317" s="182"/>
      <c r="DE317" s="182"/>
      <c r="DF317" s="182"/>
      <c r="DG317" s="182"/>
      <c r="DH317" s="182"/>
      <c r="DI317" s="182"/>
      <c r="DJ317" s="182"/>
      <c r="DK317" s="182"/>
      <c r="DL317" s="182"/>
      <c r="DM317" s="182"/>
      <c r="DN317" s="182"/>
      <c r="DO317" s="182"/>
      <c r="DP317" s="182"/>
      <c r="DQ317" s="182"/>
      <c r="DR317" s="182"/>
      <c r="DS317" s="182"/>
      <c r="DT317" s="182"/>
      <c r="DU317" s="182"/>
      <c r="DV317" s="182"/>
      <c r="DW317" s="182"/>
      <c r="DX317" s="182"/>
      <c r="DY317" s="182"/>
      <c r="DZ317" s="182"/>
      <c r="EA317" s="182"/>
      <c r="EB317" s="182"/>
      <c r="EC317" s="182"/>
      <c r="ED317" s="182"/>
      <c r="EE317" s="182"/>
      <c r="EF317" s="182"/>
      <c r="EG317" s="182"/>
      <c r="EH317" s="182"/>
      <c r="EI317" s="182"/>
      <c r="EJ317" s="182"/>
      <c r="EK317" s="182"/>
      <c r="EL317" s="182"/>
      <c r="EM317" s="182"/>
      <c r="EN317" s="182"/>
      <c r="EO317" s="182"/>
      <c r="EP317" s="182"/>
      <c r="EQ317" s="182"/>
      <c r="ER317" s="182"/>
      <c r="ES317" s="182"/>
      <c r="ET317" s="182"/>
      <c r="EU317" s="182"/>
      <c r="EV317" s="182"/>
      <c r="EW317" s="182"/>
      <c r="EX317" s="182"/>
      <c r="EY317" s="182"/>
      <c r="EZ317" s="182"/>
      <c r="FA317" s="182"/>
      <c r="FB317" s="182"/>
      <c r="FC317" s="182"/>
      <c r="FD317" s="182"/>
      <c r="FE317" s="182"/>
      <c r="FF317" s="182"/>
      <c r="FG317" s="182"/>
      <c r="FH317" s="182"/>
      <c r="FI317" s="182"/>
      <c r="FJ317" s="182"/>
      <c r="FK317" s="182"/>
      <c r="FL317" s="182"/>
      <c r="FM317" s="182"/>
      <c r="FN317" s="182"/>
      <c r="FO317" s="182"/>
      <c r="FP317" s="182"/>
      <c r="FQ317" s="182"/>
      <c r="FR317" s="182"/>
      <c r="FS317" s="182"/>
      <c r="FT317" s="182"/>
      <c r="FU317" s="182"/>
      <c r="FV317" s="182"/>
      <c r="FW317" s="182"/>
      <c r="FX317" s="182"/>
      <c r="FY317" s="182"/>
      <c r="FZ317" s="182"/>
      <c r="GA317" s="182"/>
      <c r="GB317" s="182"/>
      <c r="GC317" s="182"/>
      <c r="GD317" s="182"/>
      <c r="GE317" s="182"/>
      <c r="GF317" s="182"/>
      <c r="GG317" s="182"/>
      <c r="GH317" s="182"/>
      <c r="GI317" s="182"/>
    </row>
    <row r="318" spans="1:191" s="183" customFormat="1" x14ac:dyDescent="0.2">
      <c r="A318" s="210" t="s">
        <v>38623</v>
      </c>
      <c r="B318" s="210" t="s">
        <v>19166</v>
      </c>
      <c r="C318" s="224" t="s">
        <v>22422</v>
      </c>
      <c r="D318" s="211" t="s">
        <v>16</v>
      </c>
      <c r="E318" s="211">
        <v>5</v>
      </c>
      <c r="F318" s="211"/>
      <c r="G318" s="211">
        <v>0.3</v>
      </c>
      <c r="H318" s="212"/>
      <c r="I318" s="213"/>
      <c r="J318" s="272">
        <v>2888.83</v>
      </c>
      <c r="K318" s="112">
        <f t="shared" si="23"/>
        <v>14444.15</v>
      </c>
      <c r="L318" s="273">
        <f>BDI!$E$17</f>
        <v>0.11260000000000001</v>
      </c>
      <c r="M318" s="213"/>
      <c r="N318" s="213"/>
      <c r="O318" s="114">
        <f t="shared" si="24"/>
        <v>3214.11</v>
      </c>
      <c r="P318" s="113">
        <f t="shared" si="25"/>
        <v>4821.17</v>
      </c>
      <c r="Q318" s="209"/>
      <c r="R318" s="203"/>
      <c r="S318" s="182"/>
      <c r="T318" s="182"/>
      <c r="U318" s="182"/>
      <c r="V318" s="182"/>
      <c r="W318" s="182"/>
      <c r="X318" s="182"/>
      <c r="Y318" s="182"/>
      <c r="Z318" s="182"/>
      <c r="AA318" s="182"/>
      <c r="AB318" s="182"/>
      <c r="AC318" s="182"/>
      <c r="AD318" s="182"/>
      <c r="AE318" s="182"/>
      <c r="AF318" s="182"/>
      <c r="AG318" s="182"/>
      <c r="AH318" s="182"/>
      <c r="AI318" s="182"/>
      <c r="AJ318" s="182"/>
      <c r="AK318" s="182"/>
      <c r="AL318" s="182"/>
      <c r="AM318" s="182"/>
      <c r="AN318" s="182"/>
      <c r="AO318" s="182"/>
      <c r="AP318" s="182"/>
      <c r="AQ318" s="182"/>
      <c r="AR318" s="182"/>
      <c r="AS318" s="182"/>
      <c r="AT318" s="182"/>
      <c r="AU318" s="182"/>
      <c r="AV318" s="182"/>
      <c r="AW318" s="182"/>
      <c r="AX318" s="182"/>
      <c r="AY318" s="182"/>
      <c r="AZ318" s="182"/>
      <c r="BA318" s="182"/>
      <c r="BB318" s="182"/>
      <c r="BC318" s="182"/>
      <c r="BD318" s="182"/>
      <c r="BE318" s="182"/>
      <c r="BF318" s="182"/>
      <c r="BG318" s="182"/>
      <c r="BH318" s="182"/>
      <c r="BI318" s="182"/>
      <c r="BJ318" s="182"/>
      <c r="BK318" s="182"/>
      <c r="BL318" s="182"/>
      <c r="BM318" s="182"/>
      <c r="BN318" s="182"/>
      <c r="BO318" s="182"/>
      <c r="BP318" s="182"/>
      <c r="BQ318" s="182"/>
      <c r="BR318" s="182"/>
      <c r="BS318" s="182"/>
      <c r="BT318" s="182"/>
      <c r="BU318" s="182"/>
      <c r="BV318" s="182"/>
      <c r="BW318" s="182"/>
      <c r="BX318" s="182"/>
      <c r="BY318" s="182"/>
      <c r="BZ318" s="182"/>
      <c r="CA318" s="182"/>
      <c r="CB318" s="182"/>
      <c r="CC318" s="182"/>
      <c r="CD318" s="182"/>
      <c r="CE318" s="182"/>
      <c r="CF318" s="182"/>
      <c r="CG318" s="182"/>
      <c r="CH318" s="182"/>
      <c r="CI318" s="182"/>
      <c r="CJ318" s="182"/>
      <c r="CK318" s="182"/>
      <c r="CL318" s="182"/>
      <c r="CM318" s="182"/>
      <c r="CN318" s="182"/>
      <c r="CO318" s="182"/>
      <c r="CP318" s="182"/>
      <c r="CQ318" s="182"/>
      <c r="CR318" s="182"/>
      <c r="CS318" s="182"/>
      <c r="CT318" s="182"/>
      <c r="CU318" s="182"/>
      <c r="CV318" s="182"/>
      <c r="CW318" s="182"/>
      <c r="CX318" s="182"/>
      <c r="CY318" s="182"/>
      <c r="CZ318" s="182"/>
      <c r="DA318" s="182"/>
      <c r="DB318" s="182"/>
      <c r="DC318" s="182"/>
      <c r="DD318" s="182"/>
      <c r="DE318" s="182"/>
      <c r="DF318" s="182"/>
      <c r="DG318" s="182"/>
      <c r="DH318" s="182"/>
      <c r="DI318" s="182"/>
      <c r="DJ318" s="182"/>
      <c r="DK318" s="182"/>
      <c r="DL318" s="182"/>
      <c r="DM318" s="182"/>
      <c r="DN318" s="182"/>
      <c r="DO318" s="182"/>
      <c r="DP318" s="182"/>
      <c r="DQ318" s="182"/>
      <c r="DR318" s="182"/>
      <c r="DS318" s="182"/>
      <c r="DT318" s="182"/>
      <c r="DU318" s="182"/>
      <c r="DV318" s="182"/>
      <c r="DW318" s="182"/>
      <c r="DX318" s="182"/>
      <c r="DY318" s="182"/>
      <c r="DZ318" s="182"/>
      <c r="EA318" s="182"/>
      <c r="EB318" s="182"/>
      <c r="EC318" s="182"/>
      <c r="ED318" s="182"/>
      <c r="EE318" s="182"/>
      <c r="EF318" s="182"/>
      <c r="EG318" s="182"/>
      <c r="EH318" s="182"/>
      <c r="EI318" s="182"/>
      <c r="EJ318" s="182"/>
      <c r="EK318" s="182"/>
      <c r="EL318" s="182"/>
      <c r="EM318" s="182"/>
      <c r="EN318" s="182"/>
      <c r="EO318" s="182"/>
      <c r="EP318" s="182"/>
      <c r="EQ318" s="182"/>
      <c r="ER318" s="182"/>
      <c r="ES318" s="182"/>
      <c r="ET318" s="182"/>
      <c r="EU318" s="182"/>
      <c r="EV318" s="182"/>
      <c r="EW318" s="182"/>
      <c r="EX318" s="182"/>
      <c r="EY318" s="182"/>
      <c r="EZ318" s="182"/>
      <c r="FA318" s="182"/>
      <c r="FB318" s="182"/>
      <c r="FC318" s="182"/>
      <c r="FD318" s="182"/>
      <c r="FE318" s="182"/>
      <c r="FF318" s="182"/>
      <c r="FG318" s="182"/>
      <c r="FH318" s="182"/>
      <c r="FI318" s="182"/>
      <c r="FJ318" s="182"/>
      <c r="FK318" s="182"/>
      <c r="FL318" s="182"/>
      <c r="FM318" s="182"/>
      <c r="FN318" s="182"/>
      <c r="FO318" s="182"/>
      <c r="FP318" s="182"/>
      <c r="FQ318" s="182"/>
      <c r="FR318" s="182"/>
      <c r="FS318" s="182"/>
      <c r="FT318" s="182"/>
      <c r="FU318" s="182"/>
      <c r="FV318" s="182"/>
      <c r="FW318" s="182"/>
      <c r="FX318" s="182"/>
      <c r="FY318" s="182"/>
      <c r="FZ318" s="182"/>
      <c r="GA318" s="182"/>
      <c r="GB318" s="182"/>
      <c r="GC318" s="182"/>
      <c r="GD318" s="182"/>
      <c r="GE318" s="182"/>
      <c r="GF318" s="182"/>
      <c r="GG318" s="182"/>
      <c r="GH318" s="182"/>
      <c r="GI318" s="182"/>
    </row>
    <row r="319" spans="1:191" s="183" customFormat="1" ht="25.5" x14ac:dyDescent="0.2">
      <c r="A319" s="210" t="s">
        <v>38624</v>
      </c>
      <c r="B319" s="210" t="s">
        <v>19167</v>
      </c>
      <c r="C319" s="224" t="s">
        <v>22423</v>
      </c>
      <c r="D319" s="211" t="s">
        <v>16</v>
      </c>
      <c r="E319" s="211">
        <v>1</v>
      </c>
      <c r="F319" s="211"/>
      <c r="G319" s="211">
        <v>0.3</v>
      </c>
      <c r="H319" s="212"/>
      <c r="I319" s="213"/>
      <c r="J319" s="272">
        <v>12827.31</v>
      </c>
      <c r="K319" s="112">
        <f t="shared" si="23"/>
        <v>12827.31</v>
      </c>
      <c r="L319" s="273">
        <f>BDI!$E$17</f>
        <v>0.11260000000000001</v>
      </c>
      <c r="M319" s="213"/>
      <c r="N319" s="213"/>
      <c r="O319" s="114">
        <f t="shared" si="24"/>
        <v>14271.67</v>
      </c>
      <c r="P319" s="113">
        <f t="shared" si="25"/>
        <v>4281.5</v>
      </c>
      <c r="Q319" s="209"/>
      <c r="R319" s="203"/>
      <c r="S319" s="182"/>
      <c r="T319" s="182"/>
      <c r="U319" s="182"/>
      <c r="V319" s="182"/>
      <c r="W319" s="182"/>
      <c r="X319" s="182"/>
      <c r="Y319" s="182"/>
      <c r="Z319" s="182"/>
      <c r="AA319" s="182"/>
      <c r="AB319" s="182"/>
      <c r="AC319" s="182"/>
      <c r="AD319" s="182"/>
      <c r="AE319" s="182"/>
      <c r="AF319" s="182"/>
      <c r="AG319" s="182"/>
      <c r="AH319" s="182"/>
      <c r="AI319" s="182"/>
      <c r="AJ319" s="182"/>
      <c r="AK319" s="182"/>
      <c r="AL319" s="182"/>
      <c r="AM319" s="182"/>
      <c r="AN319" s="182"/>
      <c r="AO319" s="182"/>
      <c r="AP319" s="182"/>
      <c r="AQ319" s="182"/>
      <c r="AR319" s="182"/>
      <c r="AS319" s="182"/>
      <c r="AT319" s="182"/>
      <c r="AU319" s="182"/>
      <c r="AV319" s="182"/>
      <c r="AW319" s="182"/>
      <c r="AX319" s="182"/>
      <c r="AY319" s="182"/>
      <c r="AZ319" s="182"/>
      <c r="BA319" s="182"/>
      <c r="BB319" s="182"/>
      <c r="BC319" s="182"/>
      <c r="BD319" s="182"/>
      <c r="BE319" s="182"/>
      <c r="BF319" s="182"/>
      <c r="BG319" s="182"/>
      <c r="BH319" s="182"/>
      <c r="BI319" s="182"/>
      <c r="BJ319" s="182"/>
      <c r="BK319" s="182"/>
      <c r="BL319" s="182"/>
      <c r="BM319" s="182"/>
      <c r="BN319" s="182"/>
      <c r="BO319" s="182"/>
      <c r="BP319" s="182"/>
      <c r="BQ319" s="182"/>
      <c r="BR319" s="182"/>
      <c r="BS319" s="182"/>
      <c r="BT319" s="182"/>
      <c r="BU319" s="182"/>
      <c r="BV319" s="182"/>
      <c r="BW319" s="182"/>
      <c r="BX319" s="182"/>
      <c r="BY319" s="182"/>
      <c r="BZ319" s="182"/>
      <c r="CA319" s="182"/>
      <c r="CB319" s="182"/>
      <c r="CC319" s="182"/>
      <c r="CD319" s="182"/>
      <c r="CE319" s="182"/>
      <c r="CF319" s="182"/>
      <c r="CG319" s="182"/>
      <c r="CH319" s="182"/>
      <c r="CI319" s="182"/>
      <c r="CJ319" s="182"/>
      <c r="CK319" s="182"/>
      <c r="CL319" s="182"/>
      <c r="CM319" s="182"/>
      <c r="CN319" s="182"/>
      <c r="CO319" s="182"/>
      <c r="CP319" s="182"/>
      <c r="CQ319" s="182"/>
      <c r="CR319" s="182"/>
      <c r="CS319" s="182"/>
      <c r="CT319" s="182"/>
      <c r="CU319" s="182"/>
      <c r="CV319" s="182"/>
      <c r="CW319" s="182"/>
      <c r="CX319" s="182"/>
      <c r="CY319" s="182"/>
      <c r="CZ319" s="182"/>
      <c r="DA319" s="182"/>
      <c r="DB319" s="182"/>
      <c r="DC319" s="182"/>
      <c r="DD319" s="182"/>
      <c r="DE319" s="182"/>
      <c r="DF319" s="182"/>
      <c r="DG319" s="182"/>
      <c r="DH319" s="182"/>
      <c r="DI319" s="182"/>
      <c r="DJ319" s="182"/>
      <c r="DK319" s="182"/>
      <c r="DL319" s="182"/>
      <c r="DM319" s="182"/>
      <c r="DN319" s="182"/>
      <c r="DO319" s="182"/>
      <c r="DP319" s="182"/>
      <c r="DQ319" s="182"/>
      <c r="DR319" s="182"/>
      <c r="DS319" s="182"/>
      <c r="DT319" s="182"/>
      <c r="DU319" s="182"/>
      <c r="DV319" s="182"/>
      <c r="DW319" s="182"/>
      <c r="DX319" s="182"/>
      <c r="DY319" s="182"/>
      <c r="DZ319" s="182"/>
      <c r="EA319" s="182"/>
      <c r="EB319" s="182"/>
      <c r="EC319" s="182"/>
      <c r="ED319" s="182"/>
      <c r="EE319" s="182"/>
      <c r="EF319" s="182"/>
      <c r="EG319" s="182"/>
      <c r="EH319" s="182"/>
      <c r="EI319" s="182"/>
      <c r="EJ319" s="182"/>
      <c r="EK319" s="182"/>
      <c r="EL319" s="182"/>
      <c r="EM319" s="182"/>
      <c r="EN319" s="182"/>
      <c r="EO319" s="182"/>
      <c r="EP319" s="182"/>
      <c r="EQ319" s="182"/>
      <c r="ER319" s="182"/>
      <c r="ES319" s="182"/>
      <c r="ET319" s="182"/>
      <c r="EU319" s="182"/>
      <c r="EV319" s="182"/>
      <c r="EW319" s="182"/>
      <c r="EX319" s="182"/>
      <c r="EY319" s="182"/>
      <c r="EZ319" s="182"/>
      <c r="FA319" s="182"/>
      <c r="FB319" s="182"/>
      <c r="FC319" s="182"/>
      <c r="FD319" s="182"/>
      <c r="FE319" s="182"/>
      <c r="FF319" s="182"/>
      <c r="FG319" s="182"/>
      <c r="FH319" s="182"/>
      <c r="FI319" s="182"/>
      <c r="FJ319" s="182"/>
      <c r="FK319" s="182"/>
      <c r="FL319" s="182"/>
      <c r="FM319" s="182"/>
      <c r="FN319" s="182"/>
      <c r="FO319" s="182"/>
      <c r="FP319" s="182"/>
      <c r="FQ319" s="182"/>
      <c r="FR319" s="182"/>
      <c r="FS319" s="182"/>
      <c r="FT319" s="182"/>
      <c r="FU319" s="182"/>
      <c r="FV319" s="182"/>
      <c r="FW319" s="182"/>
      <c r="FX319" s="182"/>
      <c r="FY319" s="182"/>
      <c r="FZ319" s="182"/>
      <c r="GA319" s="182"/>
      <c r="GB319" s="182"/>
      <c r="GC319" s="182"/>
      <c r="GD319" s="182"/>
      <c r="GE319" s="182"/>
      <c r="GF319" s="182"/>
      <c r="GG319" s="182"/>
      <c r="GH319" s="182"/>
      <c r="GI319" s="182"/>
    </row>
    <row r="320" spans="1:191" s="183" customFormat="1" ht="25.5" x14ac:dyDescent="0.2">
      <c r="A320" s="210" t="s">
        <v>38625</v>
      </c>
      <c r="B320" s="210" t="s">
        <v>19168</v>
      </c>
      <c r="C320" s="224" t="s">
        <v>22424</v>
      </c>
      <c r="D320" s="211" t="s">
        <v>16</v>
      </c>
      <c r="E320" s="211">
        <v>10</v>
      </c>
      <c r="F320" s="211"/>
      <c r="G320" s="211">
        <v>0.3</v>
      </c>
      <c r="H320" s="212"/>
      <c r="I320" s="213"/>
      <c r="J320" s="272">
        <v>51.52</v>
      </c>
      <c r="K320" s="112">
        <f t="shared" si="23"/>
        <v>515.20000000000005</v>
      </c>
      <c r="L320" s="273">
        <f>BDI!$E$17</f>
        <v>0.11260000000000001</v>
      </c>
      <c r="M320" s="213"/>
      <c r="N320" s="213"/>
      <c r="O320" s="114">
        <f t="shared" si="24"/>
        <v>57.32</v>
      </c>
      <c r="P320" s="113">
        <f t="shared" si="25"/>
        <v>171.96</v>
      </c>
      <c r="Q320" s="209"/>
      <c r="R320" s="203"/>
      <c r="S320" s="182"/>
      <c r="T320" s="182"/>
      <c r="U320" s="182"/>
      <c r="V320" s="182"/>
      <c r="W320" s="182"/>
      <c r="X320" s="182"/>
      <c r="Y320" s="182"/>
      <c r="Z320" s="182"/>
      <c r="AA320" s="182"/>
      <c r="AB320" s="182"/>
      <c r="AC320" s="182"/>
      <c r="AD320" s="182"/>
      <c r="AE320" s="182"/>
      <c r="AF320" s="182"/>
      <c r="AG320" s="182"/>
      <c r="AH320" s="182"/>
      <c r="AI320" s="182"/>
      <c r="AJ320" s="182"/>
      <c r="AK320" s="182"/>
      <c r="AL320" s="182"/>
      <c r="AM320" s="182"/>
      <c r="AN320" s="182"/>
      <c r="AO320" s="182"/>
      <c r="AP320" s="182"/>
      <c r="AQ320" s="182"/>
      <c r="AR320" s="182"/>
      <c r="AS320" s="182"/>
      <c r="AT320" s="182"/>
      <c r="AU320" s="182"/>
      <c r="AV320" s="182"/>
      <c r="AW320" s="182"/>
      <c r="AX320" s="182"/>
      <c r="AY320" s="182"/>
      <c r="AZ320" s="182"/>
      <c r="BA320" s="182"/>
      <c r="BB320" s="182"/>
      <c r="BC320" s="182"/>
      <c r="BD320" s="182"/>
      <c r="BE320" s="182"/>
      <c r="BF320" s="182"/>
      <c r="BG320" s="182"/>
      <c r="BH320" s="182"/>
      <c r="BI320" s="182"/>
      <c r="BJ320" s="182"/>
      <c r="BK320" s="182"/>
      <c r="BL320" s="182"/>
      <c r="BM320" s="182"/>
      <c r="BN320" s="182"/>
      <c r="BO320" s="182"/>
      <c r="BP320" s="182"/>
      <c r="BQ320" s="182"/>
      <c r="BR320" s="182"/>
      <c r="BS320" s="182"/>
      <c r="BT320" s="182"/>
      <c r="BU320" s="182"/>
      <c r="BV320" s="182"/>
      <c r="BW320" s="182"/>
      <c r="BX320" s="182"/>
      <c r="BY320" s="182"/>
      <c r="BZ320" s="182"/>
      <c r="CA320" s="182"/>
      <c r="CB320" s="182"/>
      <c r="CC320" s="182"/>
      <c r="CD320" s="182"/>
      <c r="CE320" s="182"/>
      <c r="CF320" s="182"/>
      <c r="CG320" s="182"/>
      <c r="CH320" s="182"/>
      <c r="CI320" s="182"/>
      <c r="CJ320" s="182"/>
      <c r="CK320" s="182"/>
      <c r="CL320" s="182"/>
      <c r="CM320" s="182"/>
      <c r="CN320" s="182"/>
      <c r="CO320" s="182"/>
      <c r="CP320" s="182"/>
      <c r="CQ320" s="182"/>
      <c r="CR320" s="182"/>
      <c r="CS320" s="182"/>
      <c r="CT320" s="182"/>
      <c r="CU320" s="182"/>
      <c r="CV320" s="182"/>
      <c r="CW320" s="182"/>
      <c r="CX320" s="182"/>
      <c r="CY320" s="182"/>
      <c r="CZ320" s="182"/>
      <c r="DA320" s="182"/>
      <c r="DB320" s="182"/>
      <c r="DC320" s="182"/>
      <c r="DD320" s="182"/>
      <c r="DE320" s="182"/>
      <c r="DF320" s="182"/>
      <c r="DG320" s="182"/>
      <c r="DH320" s="182"/>
      <c r="DI320" s="182"/>
      <c r="DJ320" s="182"/>
      <c r="DK320" s="182"/>
      <c r="DL320" s="182"/>
      <c r="DM320" s="182"/>
      <c r="DN320" s="182"/>
      <c r="DO320" s="182"/>
      <c r="DP320" s="182"/>
      <c r="DQ320" s="182"/>
      <c r="DR320" s="182"/>
      <c r="DS320" s="182"/>
      <c r="DT320" s="182"/>
      <c r="DU320" s="182"/>
      <c r="DV320" s="182"/>
      <c r="DW320" s="182"/>
      <c r="DX320" s="182"/>
      <c r="DY320" s="182"/>
      <c r="DZ320" s="182"/>
      <c r="EA320" s="182"/>
      <c r="EB320" s="182"/>
      <c r="EC320" s="182"/>
      <c r="ED320" s="182"/>
      <c r="EE320" s="182"/>
      <c r="EF320" s="182"/>
      <c r="EG320" s="182"/>
      <c r="EH320" s="182"/>
      <c r="EI320" s="182"/>
      <c r="EJ320" s="182"/>
      <c r="EK320" s="182"/>
      <c r="EL320" s="182"/>
      <c r="EM320" s="182"/>
      <c r="EN320" s="182"/>
      <c r="EO320" s="182"/>
      <c r="EP320" s="182"/>
      <c r="EQ320" s="182"/>
      <c r="ER320" s="182"/>
      <c r="ES320" s="182"/>
      <c r="ET320" s="182"/>
      <c r="EU320" s="182"/>
      <c r="EV320" s="182"/>
      <c r="EW320" s="182"/>
      <c r="EX320" s="182"/>
      <c r="EY320" s="182"/>
      <c r="EZ320" s="182"/>
      <c r="FA320" s="182"/>
      <c r="FB320" s="182"/>
      <c r="FC320" s="182"/>
      <c r="FD320" s="182"/>
      <c r="FE320" s="182"/>
      <c r="FF320" s="182"/>
      <c r="FG320" s="182"/>
      <c r="FH320" s="182"/>
      <c r="FI320" s="182"/>
      <c r="FJ320" s="182"/>
      <c r="FK320" s="182"/>
      <c r="FL320" s="182"/>
      <c r="FM320" s="182"/>
      <c r="FN320" s="182"/>
      <c r="FO320" s="182"/>
      <c r="FP320" s="182"/>
      <c r="FQ320" s="182"/>
      <c r="FR320" s="182"/>
      <c r="FS320" s="182"/>
      <c r="FT320" s="182"/>
      <c r="FU320" s="182"/>
      <c r="FV320" s="182"/>
      <c r="FW320" s="182"/>
      <c r="FX320" s="182"/>
      <c r="FY320" s="182"/>
      <c r="FZ320" s="182"/>
      <c r="GA320" s="182"/>
      <c r="GB320" s="182"/>
      <c r="GC320" s="182"/>
      <c r="GD320" s="182"/>
      <c r="GE320" s="182"/>
      <c r="GF320" s="182"/>
      <c r="GG320" s="182"/>
      <c r="GH320" s="182"/>
      <c r="GI320" s="182"/>
    </row>
    <row r="321" spans="1:191" s="183" customFormat="1" ht="25.5" x14ac:dyDescent="0.2">
      <c r="A321" s="210" t="s">
        <v>38626</v>
      </c>
      <c r="B321" s="210" t="s">
        <v>19169</v>
      </c>
      <c r="C321" s="224" t="s">
        <v>22425</v>
      </c>
      <c r="D321" s="211" t="s">
        <v>16</v>
      </c>
      <c r="E321" s="211">
        <v>10</v>
      </c>
      <c r="F321" s="211"/>
      <c r="G321" s="211">
        <v>0.3</v>
      </c>
      <c r="H321" s="212"/>
      <c r="I321" s="213"/>
      <c r="J321" s="272">
        <v>63.42</v>
      </c>
      <c r="K321" s="112">
        <f t="shared" si="23"/>
        <v>634.20000000000005</v>
      </c>
      <c r="L321" s="273">
        <f>BDI!$E$17</f>
        <v>0.11260000000000001</v>
      </c>
      <c r="M321" s="213"/>
      <c r="N321" s="213"/>
      <c r="O321" s="114">
        <f t="shared" si="24"/>
        <v>70.56</v>
      </c>
      <c r="P321" s="113">
        <f t="shared" si="25"/>
        <v>211.68</v>
      </c>
      <c r="Q321" s="209"/>
      <c r="R321" s="203"/>
      <c r="S321" s="182"/>
      <c r="T321" s="182"/>
      <c r="U321" s="182"/>
      <c r="V321" s="182"/>
      <c r="W321" s="182"/>
      <c r="X321" s="182"/>
      <c r="Y321" s="182"/>
      <c r="Z321" s="182"/>
      <c r="AA321" s="182"/>
      <c r="AB321" s="182"/>
      <c r="AC321" s="182"/>
      <c r="AD321" s="182"/>
      <c r="AE321" s="182"/>
      <c r="AF321" s="182"/>
      <c r="AG321" s="182"/>
      <c r="AH321" s="182"/>
      <c r="AI321" s="182"/>
      <c r="AJ321" s="182"/>
      <c r="AK321" s="182"/>
      <c r="AL321" s="182"/>
      <c r="AM321" s="182"/>
      <c r="AN321" s="182"/>
      <c r="AO321" s="182"/>
      <c r="AP321" s="182"/>
      <c r="AQ321" s="182"/>
      <c r="AR321" s="182"/>
      <c r="AS321" s="182"/>
      <c r="AT321" s="182"/>
      <c r="AU321" s="182"/>
      <c r="AV321" s="182"/>
      <c r="AW321" s="182"/>
      <c r="AX321" s="182"/>
      <c r="AY321" s="182"/>
      <c r="AZ321" s="182"/>
      <c r="BA321" s="182"/>
      <c r="BB321" s="182"/>
      <c r="BC321" s="182"/>
      <c r="BD321" s="182"/>
      <c r="BE321" s="182"/>
      <c r="BF321" s="182"/>
      <c r="BG321" s="182"/>
      <c r="BH321" s="182"/>
      <c r="BI321" s="182"/>
      <c r="BJ321" s="182"/>
      <c r="BK321" s="182"/>
      <c r="BL321" s="182"/>
      <c r="BM321" s="182"/>
      <c r="BN321" s="182"/>
      <c r="BO321" s="182"/>
      <c r="BP321" s="182"/>
      <c r="BQ321" s="182"/>
      <c r="BR321" s="182"/>
      <c r="BS321" s="182"/>
      <c r="BT321" s="182"/>
      <c r="BU321" s="182"/>
      <c r="BV321" s="182"/>
      <c r="BW321" s="182"/>
      <c r="BX321" s="182"/>
      <c r="BY321" s="182"/>
      <c r="BZ321" s="182"/>
      <c r="CA321" s="182"/>
      <c r="CB321" s="182"/>
      <c r="CC321" s="182"/>
      <c r="CD321" s="182"/>
      <c r="CE321" s="182"/>
      <c r="CF321" s="182"/>
      <c r="CG321" s="182"/>
      <c r="CH321" s="182"/>
      <c r="CI321" s="182"/>
      <c r="CJ321" s="182"/>
      <c r="CK321" s="182"/>
      <c r="CL321" s="182"/>
      <c r="CM321" s="182"/>
      <c r="CN321" s="182"/>
      <c r="CO321" s="182"/>
      <c r="CP321" s="182"/>
      <c r="CQ321" s="182"/>
      <c r="CR321" s="182"/>
      <c r="CS321" s="182"/>
      <c r="CT321" s="182"/>
      <c r="CU321" s="182"/>
      <c r="CV321" s="182"/>
      <c r="CW321" s="182"/>
      <c r="CX321" s="182"/>
      <c r="CY321" s="182"/>
      <c r="CZ321" s="182"/>
      <c r="DA321" s="182"/>
      <c r="DB321" s="182"/>
      <c r="DC321" s="182"/>
      <c r="DD321" s="182"/>
      <c r="DE321" s="182"/>
      <c r="DF321" s="182"/>
      <c r="DG321" s="182"/>
      <c r="DH321" s="182"/>
      <c r="DI321" s="182"/>
      <c r="DJ321" s="182"/>
      <c r="DK321" s="182"/>
      <c r="DL321" s="182"/>
      <c r="DM321" s="182"/>
      <c r="DN321" s="182"/>
      <c r="DO321" s="182"/>
      <c r="DP321" s="182"/>
      <c r="DQ321" s="182"/>
      <c r="DR321" s="182"/>
      <c r="DS321" s="182"/>
      <c r="DT321" s="182"/>
      <c r="DU321" s="182"/>
      <c r="DV321" s="182"/>
      <c r="DW321" s="182"/>
      <c r="DX321" s="182"/>
      <c r="DY321" s="182"/>
      <c r="DZ321" s="182"/>
      <c r="EA321" s="182"/>
      <c r="EB321" s="182"/>
      <c r="EC321" s="182"/>
      <c r="ED321" s="182"/>
      <c r="EE321" s="182"/>
      <c r="EF321" s="182"/>
      <c r="EG321" s="182"/>
      <c r="EH321" s="182"/>
      <c r="EI321" s="182"/>
      <c r="EJ321" s="182"/>
      <c r="EK321" s="182"/>
      <c r="EL321" s="182"/>
      <c r="EM321" s="182"/>
      <c r="EN321" s="182"/>
      <c r="EO321" s="182"/>
      <c r="EP321" s="182"/>
      <c r="EQ321" s="182"/>
      <c r="ER321" s="182"/>
      <c r="ES321" s="182"/>
      <c r="ET321" s="182"/>
      <c r="EU321" s="182"/>
      <c r="EV321" s="182"/>
      <c r="EW321" s="182"/>
      <c r="EX321" s="182"/>
      <c r="EY321" s="182"/>
      <c r="EZ321" s="182"/>
      <c r="FA321" s="182"/>
      <c r="FB321" s="182"/>
      <c r="FC321" s="182"/>
      <c r="FD321" s="182"/>
      <c r="FE321" s="182"/>
      <c r="FF321" s="182"/>
      <c r="FG321" s="182"/>
      <c r="FH321" s="182"/>
      <c r="FI321" s="182"/>
      <c r="FJ321" s="182"/>
      <c r="FK321" s="182"/>
      <c r="FL321" s="182"/>
      <c r="FM321" s="182"/>
      <c r="FN321" s="182"/>
      <c r="FO321" s="182"/>
      <c r="FP321" s="182"/>
      <c r="FQ321" s="182"/>
      <c r="FR321" s="182"/>
      <c r="FS321" s="182"/>
      <c r="FT321" s="182"/>
      <c r="FU321" s="182"/>
      <c r="FV321" s="182"/>
      <c r="FW321" s="182"/>
      <c r="FX321" s="182"/>
      <c r="FY321" s="182"/>
      <c r="FZ321" s="182"/>
      <c r="GA321" s="182"/>
      <c r="GB321" s="182"/>
      <c r="GC321" s="182"/>
      <c r="GD321" s="182"/>
      <c r="GE321" s="182"/>
      <c r="GF321" s="182"/>
      <c r="GG321" s="182"/>
      <c r="GH321" s="182"/>
      <c r="GI321" s="182"/>
    </row>
    <row r="322" spans="1:191" s="183" customFormat="1" ht="25.5" x14ac:dyDescent="0.2">
      <c r="A322" s="210" t="s">
        <v>38627</v>
      </c>
      <c r="B322" s="210" t="s">
        <v>19170</v>
      </c>
      <c r="C322" s="224" t="s">
        <v>22426</v>
      </c>
      <c r="D322" s="211" t="s">
        <v>16</v>
      </c>
      <c r="E322" s="211">
        <v>10</v>
      </c>
      <c r="F322" s="211"/>
      <c r="G322" s="211">
        <v>0.3</v>
      </c>
      <c r="H322" s="212"/>
      <c r="I322" s="213"/>
      <c r="J322" s="272">
        <v>74.62</v>
      </c>
      <c r="K322" s="112">
        <f t="shared" si="23"/>
        <v>746.2</v>
      </c>
      <c r="L322" s="273">
        <f>BDI!$E$17</f>
        <v>0.11260000000000001</v>
      </c>
      <c r="M322" s="213"/>
      <c r="N322" s="213"/>
      <c r="O322" s="114">
        <f t="shared" si="24"/>
        <v>83.02</v>
      </c>
      <c r="P322" s="113">
        <f t="shared" si="25"/>
        <v>249.06</v>
      </c>
      <c r="Q322" s="209"/>
      <c r="R322" s="203"/>
      <c r="S322" s="182"/>
      <c r="T322" s="182"/>
      <c r="U322" s="182"/>
      <c r="V322" s="182"/>
      <c r="W322" s="182"/>
      <c r="X322" s="182"/>
      <c r="Y322" s="182"/>
      <c r="Z322" s="182"/>
      <c r="AA322" s="182"/>
      <c r="AB322" s="182"/>
      <c r="AC322" s="182"/>
      <c r="AD322" s="182"/>
      <c r="AE322" s="182"/>
      <c r="AF322" s="182"/>
      <c r="AG322" s="182"/>
      <c r="AH322" s="182"/>
      <c r="AI322" s="182"/>
      <c r="AJ322" s="182"/>
      <c r="AK322" s="182"/>
      <c r="AL322" s="182"/>
      <c r="AM322" s="182"/>
      <c r="AN322" s="182"/>
      <c r="AO322" s="182"/>
      <c r="AP322" s="182"/>
      <c r="AQ322" s="182"/>
      <c r="AR322" s="182"/>
      <c r="AS322" s="182"/>
      <c r="AT322" s="182"/>
      <c r="AU322" s="182"/>
      <c r="AV322" s="182"/>
      <c r="AW322" s="182"/>
      <c r="AX322" s="182"/>
      <c r="AY322" s="182"/>
      <c r="AZ322" s="182"/>
      <c r="BA322" s="182"/>
      <c r="BB322" s="182"/>
      <c r="BC322" s="182"/>
      <c r="BD322" s="182"/>
      <c r="BE322" s="182"/>
      <c r="BF322" s="182"/>
      <c r="BG322" s="182"/>
      <c r="BH322" s="182"/>
      <c r="BI322" s="182"/>
      <c r="BJ322" s="182"/>
      <c r="BK322" s="182"/>
      <c r="BL322" s="182"/>
      <c r="BM322" s="182"/>
      <c r="BN322" s="182"/>
      <c r="BO322" s="182"/>
      <c r="BP322" s="182"/>
      <c r="BQ322" s="182"/>
      <c r="BR322" s="182"/>
      <c r="BS322" s="182"/>
      <c r="BT322" s="182"/>
      <c r="BU322" s="182"/>
      <c r="BV322" s="182"/>
      <c r="BW322" s="182"/>
      <c r="BX322" s="182"/>
      <c r="BY322" s="182"/>
      <c r="BZ322" s="182"/>
      <c r="CA322" s="182"/>
      <c r="CB322" s="182"/>
      <c r="CC322" s="182"/>
      <c r="CD322" s="182"/>
      <c r="CE322" s="182"/>
      <c r="CF322" s="182"/>
      <c r="CG322" s="182"/>
      <c r="CH322" s="182"/>
      <c r="CI322" s="182"/>
      <c r="CJ322" s="182"/>
      <c r="CK322" s="182"/>
      <c r="CL322" s="182"/>
      <c r="CM322" s="182"/>
      <c r="CN322" s="182"/>
      <c r="CO322" s="182"/>
      <c r="CP322" s="182"/>
      <c r="CQ322" s="182"/>
      <c r="CR322" s="182"/>
      <c r="CS322" s="182"/>
      <c r="CT322" s="182"/>
      <c r="CU322" s="182"/>
      <c r="CV322" s="182"/>
      <c r="CW322" s="182"/>
      <c r="CX322" s="182"/>
      <c r="CY322" s="182"/>
      <c r="CZ322" s="182"/>
      <c r="DA322" s="182"/>
      <c r="DB322" s="182"/>
      <c r="DC322" s="182"/>
      <c r="DD322" s="182"/>
      <c r="DE322" s="182"/>
      <c r="DF322" s="182"/>
      <c r="DG322" s="182"/>
      <c r="DH322" s="182"/>
      <c r="DI322" s="182"/>
      <c r="DJ322" s="182"/>
      <c r="DK322" s="182"/>
      <c r="DL322" s="182"/>
      <c r="DM322" s="182"/>
      <c r="DN322" s="182"/>
      <c r="DO322" s="182"/>
      <c r="DP322" s="182"/>
      <c r="DQ322" s="182"/>
      <c r="DR322" s="182"/>
      <c r="DS322" s="182"/>
      <c r="DT322" s="182"/>
      <c r="DU322" s="182"/>
      <c r="DV322" s="182"/>
      <c r="DW322" s="182"/>
      <c r="DX322" s="182"/>
      <c r="DY322" s="182"/>
      <c r="DZ322" s="182"/>
      <c r="EA322" s="182"/>
      <c r="EB322" s="182"/>
      <c r="EC322" s="182"/>
      <c r="ED322" s="182"/>
      <c r="EE322" s="182"/>
      <c r="EF322" s="182"/>
      <c r="EG322" s="182"/>
      <c r="EH322" s="182"/>
      <c r="EI322" s="182"/>
      <c r="EJ322" s="182"/>
      <c r="EK322" s="182"/>
      <c r="EL322" s="182"/>
      <c r="EM322" s="182"/>
      <c r="EN322" s="182"/>
      <c r="EO322" s="182"/>
      <c r="EP322" s="182"/>
      <c r="EQ322" s="182"/>
      <c r="ER322" s="182"/>
      <c r="ES322" s="182"/>
      <c r="ET322" s="182"/>
      <c r="EU322" s="182"/>
      <c r="EV322" s="182"/>
      <c r="EW322" s="182"/>
      <c r="EX322" s="182"/>
      <c r="EY322" s="182"/>
      <c r="EZ322" s="182"/>
      <c r="FA322" s="182"/>
      <c r="FB322" s="182"/>
      <c r="FC322" s="182"/>
      <c r="FD322" s="182"/>
      <c r="FE322" s="182"/>
      <c r="FF322" s="182"/>
      <c r="FG322" s="182"/>
      <c r="FH322" s="182"/>
      <c r="FI322" s="182"/>
      <c r="FJ322" s="182"/>
      <c r="FK322" s="182"/>
      <c r="FL322" s="182"/>
      <c r="FM322" s="182"/>
      <c r="FN322" s="182"/>
      <c r="FO322" s="182"/>
      <c r="FP322" s="182"/>
      <c r="FQ322" s="182"/>
      <c r="FR322" s="182"/>
      <c r="FS322" s="182"/>
      <c r="FT322" s="182"/>
      <c r="FU322" s="182"/>
      <c r="FV322" s="182"/>
      <c r="FW322" s="182"/>
      <c r="FX322" s="182"/>
      <c r="FY322" s="182"/>
      <c r="FZ322" s="182"/>
      <c r="GA322" s="182"/>
      <c r="GB322" s="182"/>
      <c r="GC322" s="182"/>
      <c r="GD322" s="182"/>
      <c r="GE322" s="182"/>
      <c r="GF322" s="182"/>
      <c r="GG322" s="182"/>
      <c r="GH322" s="182"/>
      <c r="GI322" s="182"/>
    </row>
    <row r="323" spans="1:191" s="183" customFormat="1" ht="25.5" x14ac:dyDescent="0.2">
      <c r="A323" s="210" t="s">
        <v>38628</v>
      </c>
      <c r="B323" s="210" t="s">
        <v>19171</v>
      </c>
      <c r="C323" s="224" t="s">
        <v>22427</v>
      </c>
      <c r="D323" s="211" t="s">
        <v>16</v>
      </c>
      <c r="E323" s="211">
        <v>10</v>
      </c>
      <c r="F323" s="211"/>
      <c r="G323" s="211">
        <v>0.3</v>
      </c>
      <c r="H323" s="212"/>
      <c r="I323" s="213"/>
      <c r="J323" s="272">
        <v>137.34</v>
      </c>
      <c r="K323" s="112">
        <f t="shared" si="23"/>
        <v>1373.4</v>
      </c>
      <c r="L323" s="273">
        <f>BDI!$E$17</f>
        <v>0.11260000000000001</v>
      </c>
      <c r="M323" s="213"/>
      <c r="N323" s="213"/>
      <c r="O323" s="114">
        <f t="shared" si="24"/>
        <v>152.80000000000001</v>
      </c>
      <c r="P323" s="113">
        <f t="shared" si="25"/>
        <v>458.4</v>
      </c>
      <c r="Q323" s="209"/>
      <c r="R323" s="203"/>
      <c r="S323" s="182"/>
      <c r="T323" s="182"/>
      <c r="U323" s="182"/>
      <c r="V323" s="182"/>
      <c r="W323" s="182"/>
      <c r="X323" s="182"/>
      <c r="Y323" s="182"/>
      <c r="Z323" s="182"/>
      <c r="AA323" s="182"/>
      <c r="AB323" s="182"/>
      <c r="AC323" s="182"/>
      <c r="AD323" s="182"/>
      <c r="AE323" s="182"/>
      <c r="AF323" s="182"/>
      <c r="AG323" s="182"/>
      <c r="AH323" s="182"/>
      <c r="AI323" s="182"/>
      <c r="AJ323" s="182"/>
      <c r="AK323" s="182"/>
      <c r="AL323" s="182"/>
      <c r="AM323" s="182"/>
      <c r="AN323" s="182"/>
      <c r="AO323" s="182"/>
      <c r="AP323" s="182"/>
      <c r="AQ323" s="182"/>
      <c r="AR323" s="182"/>
      <c r="AS323" s="182"/>
      <c r="AT323" s="182"/>
      <c r="AU323" s="182"/>
      <c r="AV323" s="182"/>
      <c r="AW323" s="182"/>
      <c r="AX323" s="182"/>
      <c r="AY323" s="182"/>
      <c r="AZ323" s="182"/>
      <c r="BA323" s="182"/>
      <c r="BB323" s="182"/>
      <c r="BC323" s="182"/>
      <c r="BD323" s="182"/>
      <c r="BE323" s="182"/>
      <c r="BF323" s="182"/>
      <c r="BG323" s="182"/>
      <c r="BH323" s="182"/>
      <c r="BI323" s="182"/>
      <c r="BJ323" s="182"/>
      <c r="BK323" s="182"/>
      <c r="BL323" s="182"/>
      <c r="BM323" s="182"/>
      <c r="BN323" s="182"/>
      <c r="BO323" s="182"/>
      <c r="BP323" s="182"/>
      <c r="BQ323" s="182"/>
      <c r="BR323" s="182"/>
      <c r="BS323" s="182"/>
      <c r="BT323" s="182"/>
      <c r="BU323" s="182"/>
      <c r="BV323" s="182"/>
      <c r="BW323" s="182"/>
      <c r="BX323" s="182"/>
      <c r="BY323" s="182"/>
      <c r="BZ323" s="182"/>
      <c r="CA323" s="182"/>
      <c r="CB323" s="182"/>
      <c r="CC323" s="182"/>
      <c r="CD323" s="182"/>
      <c r="CE323" s="182"/>
      <c r="CF323" s="182"/>
      <c r="CG323" s="182"/>
      <c r="CH323" s="182"/>
      <c r="CI323" s="182"/>
      <c r="CJ323" s="182"/>
      <c r="CK323" s="182"/>
      <c r="CL323" s="182"/>
      <c r="CM323" s="182"/>
      <c r="CN323" s="182"/>
      <c r="CO323" s="182"/>
      <c r="CP323" s="182"/>
      <c r="CQ323" s="182"/>
      <c r="CR323" s="182"/>
      <c r="CS323" s="182"/>
      <c r="CT323" s="182"/>
      <c r="CU323" s="182"/>
      <c r="CV323" s="182"/>
      <c r="CW323" s="182"/>
      <c r="CX323" s="182"/>
      <c r="CY323" s="182"/>
      <c r="CZ323" s="182"/>
      <c r="DA323" s="182"/>
      <c r="DB323" s="182"/>
      <c r="DC323" s="182"/>
      <c r="DD323" s="182"/>
      <c r="DE323" s="182"/>
      <c r="DF323" s="182"/>
      <c r="DG323" s="182"/>
      <c r="DH323" s="182"/>
      <c r="DI323" s="182"/>
      <c r="DJ323" s="182"/>
      <c r="DK323" s="182"/>
      <c r="DL323" s="182"/>
      <c r="DM323" s="182"/>
      <c r="DN323" s="182"/>
      <c r="DO323" s="182"/>
      <c r="DP323" s="182"/>
      <c r="DQ323" s="182"/>
      <c r="DR323" s="182"/>
      <c r="DS323" s="182"/>
      <c r="DT323" s="182"/>
      <c r="DU323" s="182"/>
      <c r="DV323" s="182"/>
      <c r="DW323" s="182"/>
      <c r="DX323" s="182"/>
      <c r="DY323" s="182"/>
      <c r="DZ323" s="182"/>
      <c r="EA323" s="182"/>
      <c r="EB323" s="182"/>
      <c r="EC323" s="182"/>
      <c r="ED323" s="182"/>
      <c r="EE323" s="182"/>
      <c r="EF323" s="182"/>
      <c r="EG323" s="182"/>
      <c r="EH323" s="182"/>
      <c r="EI323" s="182"/>
      <c r="EJ323" s="182"/>
      <c r="EK323" s="182"/>
      <c r="EL323" s="182"/>
      <c r="EM323" s="182"/>
      <c r="EN323" s="182"/>
      <c r="EO323" s="182"/>
      <c r="EP323" s="182"/>
      <c r="EQ323" s="182"/>
      <c r="ER323" s="182"/>
      <c r="ES323" s="182"/>
      <c r="ET323" s="182"/>
      <c r="EU323" s="182"/>
      <c r="EV323" s="182"/>
      <c r="EW323" s="182"/>
      <c r="EX323" s="182"/>
      <c r="EY323" s="182"/>
      <c r="EZ323" s="182"/>
      <c r="FA323" s="182"/>
      <c r="FB323" s="182"/>
      <c r="FC323" s="182"/>
      <c r="FD323" s="182"/>
      <c r="FE323" s="182"/>
      <c r="FF323" s="182"/>
      <c r="FG323" s="182"/>
      <c r="FH323" s="182"/>
      <c r="FI323" s="182"/>
      <c r="FJ323" s="182"/>
      <c r="FK323" s="182"/>
      <c r="FL323" s="182"/>
      <c r="FM323" s="182"/>
      <c r="FN323" s="182"/>
      <c r="FO323" s="182"/>
      <c r="FP323" s="182"/>
      <c r="FQ323" s="182"/>
      <c r="FR323" s="182"/>
      <c r="FS323" s="182"/>
      <c r="FT323" s="182"/>
      <c r="FU323" s="182"/>
      <c r="FV323" s="182"/>
      <c r="FW323" s="182"/>
      <c r="FX323" s="182"/>
      <c r="FY323" s="182"/>
      <c r="FZ323" s="182"/>
      <c r="GA323" s="182"/>
      <c r="GB323" s="182"/>
      <c r="GC323" s="182"/>
      <c r="GD323" s="182"/>
      <c r="GE323" s="182"/>
      <c r="GF323" s="182"/>
      <c r="GG323" s="182"/>
      <c r="GH323" s="182"/>
      <c r="GI323" s="182"/>
    </row>
    <row r="324" spans="1:191" s="183" customFormat="1" x14ac:dyDescent="0.2">
      <c r="A324" s="210" t="s">
        <v>38629</v>
      </c>
      <c r="B324" s="210" t="s">
        <v>19172</v>
      </c>
      <c r="C324" s="224" t="s">
        <v>22428</v>
      </c>
      <c r="D324" s="211" t="s">
        <v>16</v>
      </c>
      <c r="E324" s="211">
        <v>10</v>
      </c>
      <c r="F324" s="211"/>
      <c r="G324" s="211">
        <v>0.3</v>
      </c>
      <c r="H324" s="212"/>
      <c r="I324" s="213"/>
      <c r="J324" s="272">
        <v>178.31</v>
      </c>
      <c r="K324" s="112">
        <f t="shared" si="23"/>
        <v>1783.1</v>
      </c>
      <c r="L324" s="273">
        <f>BDI!$E$17</f>
        <v>0.11260000000000001</v>
      </c>
      <c r="M324" s="213"/>
      <c r="N324" s="213"/>
      <c r="O324" s="114">
        <f t="shared" si="24"/>
        <v>198.39</v>
      </c>
      <c r="P324" s="113">
        <f t="shared" si="25"/>
        <v>595.16999999999996</v>
      </c>
      <c r="Q324" s="209"/>
      <c r="R324" s="203"/>
      <c r="S324" s="182"/>
      <c r="T324" s="182"/>
      <c r="U324" s="182"/>
      <c r="V324" s="182"/>
      <c r="W324" s="182"/>
      <c r="X324" s="182"/>
      <c r="Y324" s="182"/>
      <c r="Z324" s="182"/>
      <c r="AA324" s="182"/>
      <c r="AB324" s="182"/>
      <c r="AC324" s="182"/>
      <c r="AD324" s="182"/>
      <c r="AE324" s="182"/>
      <c r="AF324" s="182"/>
      <c r="AG324" s="182"/>
      <c r="AH324" s="182"/>
      <c r="AI324" s="182"/>
      <c r="AJ324" s="182"/>
      <c r="AK324" s="182"/>
      <c r="AL324" s="182"/>
      <c r="AM324" s="182"/>
      <c r="AN324" s="182"/>
      <c r="AO324" s="182"/>
      <c r="AP324" s="182"/>
      <c r="AQ324" s="182"/>
      <c r="AR324" s="182"/>
      <c r="AS324" s="182"/>
      <c r="AT324" s="182"/>
      <c r="AU324" s="182"/>
      <c r="AV324" s="182"/>
      <c r="AW324" s="182"/>
      <c r="AX324" s="182"/>
      <c r="AY324" s="182"/>
      <c r="AZ324" s="182"/>
      <c r="BA324" s="182"/>
      <c r="BB324" s="182"/>
      <c r="BC324" s="182"/>
      <c r="BD324" s="182"/>
      <c r="BE324" s="182"/>
      <c r="BF324" s="182"/>
      <c r="BG324" s="182"/>
      <c r="BH324" s="182"/>
      <c r="BI324" s="182"/>
      <c r="BJ324" s="182"/>
      <c r="BK324" s="182"/>
      <c r="BL324" s="182"/>
      <c r="BM324" s="182"/>
      <c r="BN324" s="182"/>
      <c r="BO324" s="182"/>
      <c r="BP324" s="182"/>
      <c r="BQ324" s="182"/>
      <c r="BR324" s="182"/>
      <c r="BS324" s="182"/>
      <c r="BT324" s="182"/>
      <c r="BU324" s="182"/>
      <c r="BV324" s="182"/>
      <c r="BW324" s="182"/>
      <c r="BX324" s="182"/>
      <c r="BY324" s="182"/>
      <c r="BZ324" s="182"/>
      <c r="CA324" s="182"/>
      <c r="CB324" s="182"/>
      <c r="CC324" s="182"/>
      <c r="CD324" s="182"/>
      <c r="CE324" s="182"/>
      <c r="CF324" s="182"/>
      <c r="CG324" s="182"/>
      <c r="CH324" s="182"/>
      <c r="CI324" s="182"/>
      <c r="CJ324" s="182"/>
      <c r="CK324" s="182"/>
      <c r="CL324" s="182"/>
      <c r="CM324" s="182"/>
      <c r="CN324" s="182"/>
      <c r="CO324" s="182"/>
      <c r="CP324" s="182"/>
      <c r="CQ324" s="182"/>
      <c r="CR324" s="182"/>
      <c r="CS324" s="182"/>
      <c r="CT324" s="182"/>
      <c r="CU324" s="182"/>
      <c r="CV324" s="182"/>
      <c r="CW324" s="182"/>
      <c r="CX324" s="182"/>
      <c r="CY324" s="182"/>
      <c r="CZ324" s="182"/>
      <c r="DA324" s="182"/>
      <c r="DB324" s="182"/>
      <c r="DC324" s="182"/>
      <c r="DD324" s="182"/>
      <c r="DE324" s="182"/>
      <c r="DF324" s="182"/>
      <c r="DG324" s="182"/>
      <c r="DH324" s="182"/>
      <c r="DI324" s="182"/>
      <c r="DJ324" s="182"/>
      <c r="DK324" s="182"/>
      <c r="DL324" s="182"/>
      <c r="DM324" s="182"/>
      <c r="DN324" s="182"/>
      <c r="DO324" s="182"/>
      <c r="DP324" s="182"/>
      <c r="DQ324" s="182"/>
      <c r="DR324" s="182"/>
      <c r="DS324" s="182"/>
      <c r="DT324" s="182"/>
      <c r="DU324" s="182"/>
      <c r="DV324" s="182"/>
      <c r="DW324" s="182"/>
      <c r="DX324" s="182"/>
      <c r="DY324" s="182"/>
      <c r="DZ324" s="182"/>
      <c r="EA324" s="182"/>
      <c r="EB324" s="182"/>
      <c r="EC324" s="182"/>
      <c r="ED324" s="182"/>
      <c r="EE324" s="182"/>
      <c r="EF324" s="182"/>
      <c r="EG324" s="182"/>
      <c r="EH324" s="182"/>
      <c r="EI324" s="182"/>
      <c r="EJ324" s="182"/>
      <c r="EK324" s="182"/>
      <c r="EL324" s="182"/>
      <c r="EM324" s="182"/>
      <c r="EN324" s="182"/>
      <c r="EO324" s="182"/>
      <c r="EP324" s="182"/>
      <c r="EQ324" s="182"/>
      <c r="ER324" s="182"/>
      <c r="ES324" s="182"/>
      <c r="ET324" s="182"/>
      <c r="EU324" s="182"/>
      <c r="EV324" s="182"/>
      <c r="EW324" s="182"/>
      <c r="EX324" s="182"/>
      <c r="EY324" s="182"/>
      <c r="EZ324" s="182"/>
      <c r="FA324" s="182"/>
      <c r="FB324" s="182"/>
      <c r="FC324" s="182"/>
      <c r="FD324" s="182"/>
      <c r="FE324" s="182"/>
      <c r="FF324" s="182"/>
      <c r="FG324" s="182"/>
      <c r="FH324" s="182"/>
      <c r="FI324" s="182"/>
      <c r="FJ324" s="182"/>
      <c r="FK324" s="182"/>
      <c r="FL324" s="182"/>
      <c r="FM324" s="182"/>
      <c r="FN324" s="182"/>
      <c r="FO324" s="182"/>
      <c r="FP324" s="182"/>
      <c r="FQ324" s="182"/>
      <c r="FR324" s="182"/>
      <c r="FS324" s="182"/>
      <c r="FT324" s="182"/>
      <c r="FU324" s="182"/>
      <c r="FV324" s="182"/>
      <c r="FW324" s="182"/>
      <c r="FX324" s="182"/>
      <c r="FY324" s="182"/>
      <c r="FZ324" s="182"/>
      <c r="GA324" s="182"/>
      <c r="GB324" s="182"/>
      <c r="GC324" s="182"/>
      <c r="GD324" s="182"/>
      <c r="GE324" s="182"/>
      <c r="GF324" s="182"/>
      <c r="GG324" s="182"/>
      <c r="GH324" s="182"/>
      <c r="GI324" s="182"/>
    </row>
    <row r="325" spans="1:191" s="183" customFormat="1" ht="25.5" x14ac:dyDescent="0.2">
      <c r="A325" s="210" t="s">
        <v>38630</v>
      </c>
      <c r="B325" s="210" t="s">
        <v>19173</v>
      </c>
      <c r="C325" s="224" t="s">
        <v>22429</v>
      </c>
      <c r="D325" s="211" t="s">
        <v>16</v>
      </c>
      <c r="E325" s="211">
        <v>10</v>
      </c>
      <c r="F325" s="211"/>
      <c r="G325" s="211">
        <v>0.3</v>
      </c>
      <c r="H325" s="212"/>
      <c r="I325" s="213"/>
      <c r="J325" s="272">
        <v>264.27999999999997</v>
      </c>
      <c r="K325" s="112">
        <f t="shared" si="23"/>
        <v>2642.8</v>
      </c>
      <c r="L325" s="273">
        <f>BDI!$E$17</f>
        <v>0.11260000000000001</v>
      </c>
      <c r="M325" s="213"/>
      <c r="N325" s="213"/>
      <c r="O325" s="114">
        <f t="shared" si="24"/>
        <v>294.04000000000002</v>
      </c>
      <c r="P325" s="113">
        <f t="shared" si="25"/>
        <v>882.12</v>
      </c>
      <c r="Q325" s="209"/>
      <c r="R325" s="203"/>
      <c r="S325" s="182"/>
      <c r="T325" s="182"/>
      <c r="U325" s="182"/>
      <c r="V325" s="182"/>
      <c r="W325" s="182"/>
      <c r="X325" s="182"/>
      <c r="Y325" s="182"/>
      <c r="Z325" s="182"/>
      <c r="AA325" s="182"/>
      <c r="AB325" s="182"/>
      <c r="AC325" s="182"/>
      <c r="AD325" s="182"/>
      <c r="AE325" s="182"/>
      <c r="AF325" s="182"/>
      <c r="AG325" s="182"/>
      <c r="AH325" s="182"/>
      <c r="AI325" s="182"/>
      <c r="AJ325" s="182"/>
      <c r="AK325" s="182"/>
      <c r="AL325" s="182"/>
      <c r="AM325" s="182"/>
      <c r="AN325" s="182"/>
      <c r="AO325" s="182"/>
      <c r="AP325" s="182"/>
      <c r="AQ325" s="182"/>
      <c r="AR325" s="182"/>
      <c r="AS325" s="182"/>
      <c r="AT325" s="182"/>
      <c r="AU325" s="182"/>
      <c r="AV325" s="182"/>
      <c r="AW325" s="182"/>
      <c r="AX325" s="182"/>
      <c r="AY325" s="182"/>
      <c r="AZ325" s="182"/>
      <c r="BA325" s="182"/>
      <c r="BB325" s="182"/>
      <c r="BC325" s="182"/>
      <c r="BD325" s="182"/>
      <c r="BE325" s="182"/>
      <c r="BF325" s="182"/>
      <c r="BG325" s="182"/>
      <c r="BH325" s="182"/>
      <c r="BI325" s="182"/>
      <c r="BJ325" s="182"/>
      <c r="BK325" s="182"/>
      <c r="BL325" s="182"/>
      <c r="BM325" s="182"/>
      <c r="BN325" s="182"/>
      <c r="BO325" s="182"/>
      <c r="BP325" s="182"/>
      <c r="BQ325" s="182"/>
      <c r="BR325" s="182"/>
      <c r="BS325" s="182"/>
      <c r="BT325" s="182"/>
      <c r="BU325" s="182"/>
      <c r="BV325" s="182"/>
      <c r="BW325" s="182"/>
      <c r="BX325" s="182"/>
      <c r="BY325" s="182"/>
      <c r="BZ325" s="182"/>
      <c r="CA325" s="182"/>
      <c r="CB325" s="182"/>
      <c r="CC325" s="182"/>
      <c r="CD325" s="182"/>
      <c r="CE325" s="182"/>
      <c r="CF325" s="182"/>
      <c r="CG325" s="182"/>
      <c r="CH325" s="182"/>
      <c r="CI325" s="182"/>
      <c r="CJ325" s="182"/>
      <c r="CK325" s="182"/>
      <c r="CL325" s="182"/>
      <c r="CM325" s="182"/>
      <c r="CN325" s="182"/>
      <c r="CO325" s="182"/>
      <c r="CP325" s="182"/>
      <c r="CQ325" s="182"/>
      <c r="CR325" s="182"/>
      <c r="CS325" s="182"/>
      <c r="CT325" s="182"/>
      <c r="CU325" s="182"/>
      <c r="CV325" s="182"/>
      <c r="CW325" s="182"/>
      <c r="CX325" s="182"/>
      <c r="CY325" s="182"/>
      <c r="CZ325" s="182"/>
      <c r="DA325" s="182"/>
      <c r="DB325" s="182"/>
      <c r="DC325" s="182"/>
      <c r="DD325" s="182"/>
      <c r="DE325" s="182"/>
      <c r="DF325" s="182"/>
      <c r="DG325" s="182"/>
      <c r="DH325" s="182"/>
      <c r="DI325" s="182"/>
      <c r="DJ325" s="182"/>
      <c r="DK325" s="182"/>
      <c r="DL325" s="182"/>
      <c r="DM325" s="182"/>
      <c r="DN325" s="182"/>
      <c r="DO325" s="182"/>
      <c r="DP325" s="182"/>
      <c r="DQ325" s="182"/>
      <c r="DR325" s="182"/>
      <c r="DS325" s="182"/>
      <c r="DT325" s="182"/>
      <c r="DU325" s="182"/>
      <c r="DV325" s="182"/>
      <c r="DW325" s="182"/>
      <c r="DX325" s="182"/>
      <c r="DY325" s="182"/>
      <c r="DZ325" s="182"/>
      <c r="EA325" s="182"/>
      <c r="EB325" s="182"/>
      <c r="EC325" s="182"/>
      <c r="ED325" s="182"/>
      <c r="EE325" s="182"/>
      <c r="EF325" s="182"/>
      <c r="EG325" s="182"/>
      <c r="EH325" s="182"/>
      <c r="EI325" s="182"/>
      <c r="EJ325" s="182"/>
      <c r="EK325" s="182"/>
      <c r="EL325" s="182"/>
      <c r="EM325" s="182"/>
      <c r="EN325" s="182"/>
      <c r="EO325" s="182"/>
      <c r="EP325" s="182"/>
      <c r="EQ325" s="182"/>
      <c r="ER325" s="182"/>
      <c r="ES325" s="182"/>
      <c r="ET325" s="182"/>
      <c r="EU325" s="182"/>
      <c r="EV325" s="182"/>
      <c r="EW325" s="182"/>
      <c r="EX325" s="182"/>
      <c r="EY325" s="182"/>
      <c r="EZ325" s="182"/>
      <c r="FA325" s="182"/>
      <c r="FB325" s="182"/>
      <c r="FC325" s="182"/>
      <c r="FD325" s="182"/>
      <c r="FE325" s="182"/>
      <c r="FF325" s="182"/>
      <c r="FG325" s="182"/>
      <c r="FH325" s="182"/>
      <c r="FI325" s="182"/>
      <c r="FJ325" s="182"/>
      <c r="FK325" s="182"/>
      <c r="FL325" s="182"/>
      <c r="FM325" s="182"/>
      <c r="FN325" s="182"/>
      <c r="FO325" s="182"/>
      <c r="FP325" s="182"/>
      <c r="FQ325" s="182"/>
      <c r="FR325" s="182"/>
      <c r="FS325" s="182"/>
      <c r="FT325" s="182"/>
      <c r="FU325" s="182"/>
      <c r="FV325" s="182"/>
      <c r="FW325" s="182"/>
      <c r="FX325" s="182"/>
      <c r="FY325" s="182"/>
      <c r="FZ325" s="182"/>
      <c r="GA325" s="182"/>
      <c r="GB325" s="182"/>
      <c r="GC325" s="182"/>
      <c r="GD325" s="182"/>
      <c r="GE325" s="182"/>
      <c r="GF325" s="182"/>
      <c r="GG325" s="182"/>
      <c r="GH325" s="182"/>
      <c r="GI325" s="182"/>
    </row>
    <row r="326" spans="1:191" s="183" customFormat="1" ht="25.5" x14ac:dyDescent="0.2">
      <c r="A326" s="210" t="s">
        <v>38631</v>
      </c>
      <c r="B326" s="210" t="s">
        <v>19174</v>
      </c>
      <c r="C326" s="224" t="s">
        <v>22430</v>
      </c>
      <c r="D326" s="211" t="s">
        <v>16</v>
      </c>
      <c r="E326" s="211">
        <v>10</v>
      </c>
      <c r="F326" s="211"/>
      <c r="G326" s="211">
        <v>0.3</v>
      </c>
      <c r="H326" s="212"/>
      <c r="I326" s="213"/>
      <c r="J326" s="272">
        <v>347.34</v>
      </c>
      <c r="K326" s="112">
        <f t="shared" si="23"/>
        <v>3473.4</v>
      </c>
      <c r="L326" s="273">
        <f>BDI!$E$17</f>
        <v>0.11260000000000001</v>
      </c>
      <c r="M326" s="213"/>
      <c r="N326" s="213"/>
      <c r="O326" s="114">
        <f t="shared" si="24"/>
        <v>386.45</v>
      </c>
      <c r="P326" s="113">
        <f t="shared" si="25"/>
        <v>1159.3499999999999</v>
      </c>
      <c r="Q326" s="209"/>
      <c r="R326" s="203"/>
      <c r="S326" s="182"/>
      <c r="T326" s="182"/>
      <c r="U326" s="182"/>
      <c r="V326" s="182"/>
      <c r="W326" s="182"/>
      <c r="X326" s="182"/>
      <c r="Y326" s="182"/>
      <c r="Z326" s="182"/>
      <c r="AA326" s="182"/>
      <c r="AB326" s="182"/>
      <c r="AC326" s="182"/>
      <c r="AD326" s="182"/>
      <c r="AE326" s="182"/>
      <c r="AF326" s="182"/>
      <c r="AG326" s="182"/>
      <c r="AH326" s="182"/>
      <c r="AI326" s="182"/>
      <c r="AJ326" s="182"/>
      <c r="AK326" s="182"/>
      <c r="AL326" s="182"/>
      <c r="AM326" s="182"/>
      <c r="AN326" s="182"/>
      <c r="AO326" s="182"/>
      <c r="AP326" s="182"/>
      <c r="AQ326" s="182"/>
      <c r="AR326" s="182"/>
      <c r="AS326" s="182"/>
      <c r="AT326" s="182"/>
      <c r="AU326" s="182"/>
      <c r="AV326" s="182"/>
      <c r="AW326" s="182"/>
      <c r="AX326" s="182"/>
      <c r="AY326" s="182"/>
      <c r="AZ326" s="182"/>
      <c r="BA326" s="182"/>
      <c r="BB326" s="182"/>
      <c r="BC326" s="182"/>
      <c r="BD326" s="182"/>
      <c r="BE326" s="182"/>
      <c r="BF326" s="182"/>
      <c r="BG326" s="182"/>
      <c r="BH326" s="182"/>
      <c r="BI326" s="182"/>
      <c r="BJ326" s="182"/>
      <c r="BK326" s="182"/>
      <c r="BL326" s="182"/>
      <c r="BM326" s="182"/>
      <c r="BN326" s="182"/>
      <c r="BO326" s="182"/>
      <c r="BP326" s="182"/>
      <c r="BQ326" s="182"/>
      <c r="BR326" s="182"/>
      <c r="BS326" s="182"/>
      <c r="BT326" s="182"/>
      <c r="BU326" s="182"/>
      <c r="BV326" s="182"/>
      <c r="BW326" s="182"/>
      <c r="BX326" s="182"/>
      <c r="BY326" s="182"/>
      <c r="BZ326" s="182"/>
      <c r="CA326" s="182"/>
      <c r="CB326" s="182"/>
      <c r="CC326" s="182"/>
      <c r="CD326" s="182"/>
      <c r="CE326" s="182"/>
      <c r="CF326" s="182"/>
      <c r="CG326" s="182"/>
      <c r="CH326" s="182"/>
      <c r="CI326" s="182"/>
      <c r="CJ326" s="182"/>
      <c r="CK326" s="182"/>
      <c r="CL326" s="182"/>
      <c r="CM326" s="182"/>
      <c r="CN326" s="182"/>
      <c r="CO326" s="182"/>
      <c r="CP326" s="182"/>
      <c r="CQ326" s="182"/>
      <c r="CR326" s="182"/>
      <c r="CS326" s="182"/>
      <c r="CT326" s="182"/>
      <c r="CU326" s="182"/>
      <c r="CV326" s="182"/>
      <c r="CW326" s="182"/>
      <c r="CX326" s="182"/>
      <c r="CY326" s="182"/>
      <c r="CZ326" s="182"/>
      <c r="DA326" s="182"/>
      <c r="DB326" s="182"/>
      <c r="DC326" s="182"/>
      <c r="DD326" s="182"/>
      <c r="DE326" s="182"/>
      <c r="DF326" s="182"/>
      <c r="DG326" s="182"/>
      <c r="DH326" s="182"/>
      <c r="DI326" s="182"/>
      <c r="DJ326" s="182"/>
      <c r="DK326" s="182"/>
      <c r="DL326" s="182"/>
      <c r="DM326" s="182"/>
      <c r="DN326" s="182"/>
      <c r="DO326" s="182"/>
      <c r="DP326" s="182"/>
      <c r="DQ326" s="182"/>
      <c r="DR326" s="182"/>
      <c r="DS326" s="182"/>
      <c r="DT326" s="182"/>
      <c r="DU326" s="182"/>
      <c r="DV326" s="182"/>
      <c r="DW326" s="182"/>
      <c r="DX326" s="182"/>
      <c r="DY326" s="182"/>
      <c r="DZ326" s="182"/>
      <c r="EA326" s="182"/>
      <c r="EB326" s="182"/>
      <c r="EC326" s="182"/>
      <c r="ED326" s="182"/>
      <c r="EE326" s="182"/>
      <c r="EF326" s="182"/>
      <c r="EG326" s="182"/>
      <c r="EH326" s="182"/>
      <c r="EI326" s="182"/>
      <c r="EJ326" s="182"/>
      <c r="EK326" s="182"/>
      <c r="EL326" s="182"/>
      <c r="EM326" s="182"/>
      <c r="EN326" s="182"/>
      <c r="EO326" s="182"/>
      <c r="EP326" s="182"/>
      <c r="EQ326" s="182"/>
      <c r="ER326" s="182"/>
      <c r="ES326" s="182"/>
      <c r="ET326" s="182"/>
      <c r="EU326" s="182"/>
      <c r="EV326" s="182"/>
      <c r="EW326" s="182"/>
      <c r="EX326" s="182"/>
      <c r="EY326" s="182"/>
      <c r="EZ326" s="182"/>
      <c r="FA326" s="182"/>
      <c r="FB326" s="182"/>
      <c r="FC326" s="182"/>
      <c r="FD326" s="182"/>
      <c r="FE326" s="182"/>
      <c r="FF326" s="182"/>
      <c r="FG326" s="182"/>
      <c r="FH326" s="182"/>
      <c r="FI326" s="182"/>
      <c r="FJ326" s="182"/>
      <c r="FK326" s="182"/>
      <c r="FL326" s="182"/>
      <c r="FM326" s="182"/>
      <c r="FN326" s="182"/>
      <c r="FO326" s="182"/>
      <c r="FP326" s="182"/>
      <c r="FQ326" s="182"/>
      <c r="FR326" s="182"/>
      <c r="FS326" s="182"/>
      <c r="FT326" s="182"/>
      <c r="FU326" s="182"/>
      <c r="FV326" s="182"/>
      <c r="FW326" s="182"/>
      <c r="FX326" s="182"/>
      <c r="FY326" s="182"/>
      <c r="FZ326" s="182"/>
      <c r="GA326" s="182"/>
      <c r="GB326" s="182"/>
      <c r="GC326" s="182"/>
      <c r="GD326" s="182"/>
      <c r="GE326" s="182"/>
      <c r="GF326" s="182"/>
      <c r="GG326" s="182"/>
      <c r="GH326" s="182"/>
      <c r="GI326" s="182"/>
    </row>
    <row r="327" spans="1:191" s="183" customFormat="1" x14ac:dyDescent="0.2">
      <c r="A327" s="210" t="s">
        <v>38632</v>
      </c>
      <c r="B327" s="210" t="s">
        <v>19175</v>
      </c>
      <c r="C327" s="224" t="s">
        <v>22431</v>
      </c>
      <c r="D327" s="211" t="s">
        <v>16</v>
      </c>
      <c r="E327" s="211">
        <v>10</v>
      </c>
      <c r="F327" s="211"/>
      <c r="G327" s="211">
        <v>0.3</v>
      </c>
      <c r="H327" s="212"/>
      <c r="I327" s="213"/>
      <c r="J327" s="272">
        <v>549.91999999999996</v>
      </c>
      <c r="K327" s="112">
        <f t="shared" si="23"/>
        <v>5499.2</v>
      </c>
      <c r="L327" s="273">
        <f>BDI!$E$17</f>
        <v>0.11260000000000001</v>
      </c>
      <c r="M327" s="213"/>
      <c r="N327" s="213"/>
      <c r="O327" s="114">
        <f t="shared" si="24"/>
        <v>611.84</v>
      </c>
      <c r="P327" s="113">
        <f t="shared" si="25"/>
        <v>1835.52</v>
      </c>
      <c r="Q327" s="209"/>
      <c r="R327" s="203"/>
      <c r="S327" s="182"/>
      <c r="T327" s="182"/>
      <c r="U327" s="182"/>
      <c r="V327" s="182"/>
      <c r="W327" s="182"/>
      <c r="X327" s="182"/>
      <c r="Y327" s="182"/>
      <c r="Z327" s="182"/>
      <c r="AA327" s="182"/>
      <c r="AB327" s="182"/>
      <c r="AC327" s="182"/>
      <c r="AD327" s="182"/>
      <c r="AE327" s="182"/>
      <c r="AF327" s="182"/>
      <c r="AG327" s="182"/>
      <c r="AH327" s="182"/>
      <c r="AI327" s="182"/>
      <c r="AJ327" s="182"/>
      <c r="AK327" s="182"/>
      <c r="AL327" s="182"/>
      <c r="AM327" s="182"/>
      <c r="AN327" s="182"/>
      <c r="AO327" s="182"/>
      <c r="AP327" s="182"/>
      <c r="AQ327" s="182"/>
      <c r="AR327" s="182"/>
      <c r="AS327" s="182"/>
      <c r="AT327" s="182"/>
      <c r="AU327" s="182"/>
      <c r="AV327" s="182"/>
      <c r="AW327" s="182"/>
      <c r="AX327" s="182"/>
      <c r="AY327" s="182"/>
      <c r="AZ327" s="182"/>
      <c r="BA327" s="182"/>
      <c r="BB327" s="182"/>
      <c r="BC327" s="182"/>
      <c r="BD327" s="182"/>
      <c r="BE327" s="182"/>
      <c r="BF327" s="182"/>
      <c r="BG327" s="182"/>
      <c r="BH327" s="182"/>
      <c r="BI327" s="182"/>
      <c r="BJ327" s="182"/>
      <c r="BK327" s="182"/>
      <c r="BL327" s="182"/>
      <c r="BM327" s="182"/>
      <c r="BN327" s="182"/>
      <c r="BO327" s="182"/>
      <c r="BP327" s="182"/>
      <c r="BQ327" s="182"/>
      <c r="BR327" s="182"/>
      <c r="BS327" s="182"/>
      <c r="BT327" s="182"/>
      <c r="BU327" s="182"/>
      <c r="BV327" s="182"/>
      <c r="BW327" s="182"/>
      <c r="BX327" s="182"/>
      <c r="BY327" s="182"/>
      <c r="BZ327" s="182"/>
      <c r="CA327" s="182"/>
      <c r="CB327" s="182"/>
      <c r="CC327" s="182"/>
      <c r="CD327" s="182"/>
      <c r="CE327" s="182"/>
      <c r="CF327" s="182"/>
      <c r="CG327" s="182"/>
      <c r="CH327" s="182"/>
      <c r="CI327" s="182"/>
      <c r="CJ327" s="182"/>
      <c r="CK327" s="182"/>
      <c r="CL327" s="182"/>
      <c r="CM327" s="182"/>
      <c r="CN327" s="182"/>
      <c r="CO327" s="182"/>
      <c r="CP327" s="182"/>
      <c r="CQ327" s="182"/>
      <c r="CR327" s="182"/>
      <c r="CS327" s="182"/>
      <c r="CT327" s="182"/>
      <c r="CU327" s="182"/>
      <c r="CV327" s="182"/>
      <c r="CW327" s="182"/>
      <c r="CX327" s="182"/>
      <c r="CY327" s="182"/>
      <c r="CZ327" s="182"/>
      <c r="DA327" s="182"/>
      <c r="DB327" s="182"/>
      <c r="DC327" s="182"/>
      <c r="DD327" s="182"/>
      <c r="DE327" s="182"/>
      <c r="DF327" s="182"/>
      <c r="DG327" s="182"/>
      <c r="DH327" s="182"/>
      <c r="DI327" s="182"/>
      <c r="DJ327" s="182"/>
      <c r="DK327" s="182"/>
      <c r="DL327" s="182"/>
      <c r="DM327" s="182"/>
      <c r="DN327" s="182"/>
      <c r="DO327" s="182"/>
      <c r="DP327" s="182"/>
      <c r="DQ327" s="182"/>
      <c r="DR327" s="182"/>
      <c r="DS327" s="182"/>
      <c r="DT327" s="182"/>
      <c r="DU327" s="182"/>
      <c r="DV327" s="182"/>
      <c r="DW327" s="182"/>
      <c r="DX327" s="182"/>
      <c r="DY327" s="182"/>
      <c r="DZ327" s="182"/>
      <c r="EA327" s="182"/>
      <c r="EB327" s="182"/>
      <c r="EC327" s="182"/>
      <c r="ED327" s="182"/>
      <c r="EE327" s="182"/>
      <c r="EF327" s="182"/>
      <c r="EG327" s="182"/>
      <c r="EH327" s="182"/>
      <c r="EI327" s="182"/>
      <c r="EJ327" s="182"/>
      <c r="EK327" s="182"/>
      <c r="EL327" s="182"/>
      <c r="EM327" s="182"/>
      <c r="EN327" s="182"/>
      <c r="EO327" s="182"/>
      <c r="EP327" s="182"/>
      <c r="EQ327" s="182"/>
      <c r="ER327" s="182"/>
      <c r="ES327" s="182"/>
      <c r="ET327" s="182"/>
      <c r="EU327" s="182"/>
      <c r="EV327" s="182"/>
      <c r="EW327" s="182"/>
      <c r="EX327" s="182"/>
      <c r="EY327" s="182"/>
      <c r="EZ327" s="182"/>
      <c r="FA327" s="182"/>
      <c r="FB327" s="182"/>
      <c r="FC327" s="182"/>
      <c r="FD327" s="182"/>
      <c r="FE327" s="182"/>
      <c r="FF327" s="182"/>
      <c r="FG327" s="182"/>
      <c r="FH327" s="182"/>
      <c r="FI327" s="182"/>
      <c r="FJ327" s="182"/>
      <c r="FK327" s="182"/>
      <c r="FL327" s="182"/>
      <c r="FM327" s="182"/>
      <c r="FN327" s="182"/>
      <c r="FO327" s="182"/>
      <c r="FP327" s="182"/>
      <c r="FQ327" s="182"/>
      <c r="FR327" s="182"/>
      <c r="FS327" s="182"/>
      <c r="FT327" s="182"/>
      <c r="FU327" s="182"/>
      <c r="FV327" s="182"/>
      <c r="FW327" s="182"/>
      <c r="FX327" s="182"/>
      <c r="FY327" s="182"/>
      <c r="FZ327" s="182"/>
      <c r="GA327" s="182"/>
      <c r="GB327" s="182"/>
      <c r="GC327" s="182"/>
      <c r="GD327" s="182"/>
      <c r="GE327" s="182"/>
      <c r="GF327" s="182"/>
      <c r="GG327" s="182"/>
      <c r="GH327" s="182"/>
      <c r="GI327" s="182"/>
    </row>
    <row r="328" spans="1:191" s="183" customFormat="1" x14ac:dyDescent="0.2">
      <c r="A328" s="210" t="s">
        <v>38633</v>
      </c>
      <c r="B328" s="210" t="s">
        <v>19176</v>
      </c>
      <c r="C328" s="224" t="s">
        <v>22432</v>
      </c>
      <c r="D328" s="211" t="s">
        <v>69</v>
      </c>
      <c r="E328" s="211">
        <v>60</v>
      </c>
      <c r="F328" s="211"/>
      <c r="G328" s="211">
        <v>0.3</v>
      </c>
      <c r="H328" s="212"/>
      <c r="I328" s="213"/>
      <c r="J328" s="272">
        <v>41.21</v>
      </c>
      <c r="K328" s="112">
        <f t="shared" si="23"/>
        <v>2472.6</v>
      </c>
      <c r="L328" s="273">
        <f>BDI!$E$17</f>
        <v>0.11260000000000001</v>
      </c>
      <c r="M328" s="213"/>
      <c r="N328" s="213"/>
      <c r="O328" s="114">
        <f t="shared" si="24"/>
        <v>45.85</v>
      </c>
      <c r="P328" s="113">
        <f t="shared" si="25"/>
        <v>825.3</v>
      </c>
      <c r="Q328" s="209"/>
      <c r="R328" s="203"/>
      <c r="S328" s="182"/>
      <c r="T328" s="182"/>
      <c r="U328" s="182"/>
      <c r="V328" s="182"/>
      <c r="W328" s="182"/>
      <c r="X328" s="182"/>
      <c r="Y328" s="182"/>
      <c r="Z328" s="182"/>
      <c r="AA328" s="182"/>
      <c r="AB328" s="182"/>
      <c r="AC328" s="182"/>
      <c r="AD328" s="182"/>
      <c r="AE328" s="182"/>
      <c r="AF328" s="182"/>
      <c r="AG328" s="182"/>
      <c r="AH328" s="182"/>
      <c r="AI328" s="182"/>
      <c r="AJ328" s="182"/>
      <c r="AK328" s="182"/>
      <c r="AL328" s="182"/>
      <c r="AM328" s="182"/>
      <c r="AN328" s="182"/>
      <c r="AO328" s="182"/>
      <c r="AP328" s="182"/>
      <c r="AQ328" s="182"/>
      <c r="AR328" s="182"/>
      <c r="AS328" s="182"/>
      <c r="AT328" s="182"/>
      <c r="AU328" s="182"/>
      <c r="AV328" s="182"/>
      <c r="AW328" s="182"/>
      <c r="AX328" s="182"/>
      <c r="AY328" s="182"/>
      <c r="AZ328" s="182"/>
      <c r="BA328" s="182"/>
      <c r="BB328" s="182"/>
      <c r="BC328" s="182"/>
      <c r="BD328" s="182"/>
      <c r="BE328" s="182"/>
      <c r="BF328" s="182"/>
      <c r="BG328" s="182"/>
      <c r="BH328" s="182"/>
      <c r="BI328" s="182"/>
      <c r="BJ328" s="182"/>
      <c r="BK328" s="182"/>
      <c r="BL328" s="182"/>
      <c r="BM328" s="182"/>
      <c r="BN328" s="182"/>
      <c r="BO328" s="182"/>
      <c r="BP328" s="182"/>
      <c r="BQ328" s="182"/>
      <c r="BR328" s="182"/>
      <c r="BS328" s="182"/>
      <c r="BT328" s="182"/>
      <c r="BU328" s="182"/>
      <c r="BV328" s="182"/>
      <c r="BW328" s="182"/>
      <c r="BX328" s="182"/>
      <c r="BY328" s="182"/>
      <c r="BZ328" s="182"/>
      <c r="CA328" s="182"/>
      <c r="CB328" s="182"/>
      <c r="CC328" s="182"/>
      <c r="CD328" s="182"/>
      <c r="CE328" s="182"/>
      <c r="CF328" s="182"/>
      <c r="CG328" s="182"/>
      <c r="CH328" s="182"/>
      <c r="CI328" s="182"/>
      <c r="CJ328" s="182"/>
      <c r="CK328" s="182"/>
      <c r="CL328" s="182"/>
      <c r="CM328" s="182"/>
      <c r="CN328" s="182"/>
      <c r="CO328" s="182"/>
      <c r="CP328" s="182"/>
      <c r="CQ328" s="182"/>
      <c r="CR328" s="182"/>
      <c r="CS328" s="182"/>
      <c r="CT328" s="182"/>
      <c r="CU328" s="182"/>
      <c r="CV328" s="182"/>
      <c r="CW328" s="182"/>
      <c r="CX328" s="182"/>
      <c r="CY328" s="182"/>
      <c r="CZ328" s="182"/>
      <c r="DA328" s="182"/>
      <c r="DB328" s="182"/>
      <c r="DC328" s="182"/>
      <c r="DD328" s="182"/>
      <c r="DE328" s="182"/>
      <c r="DF328" s="182"/>
      <c r="DG328" s="182"/>
      <c r="DH328" s="182"/>
      <c r="DI328" s="182"/>
      <c r="DJ328" s="182"/>
      <c r="DK328" s="182"/>
      <c r="DL328" s="182"/>
      <c r="DM328" s="182"/>
      <c r="DN328" s="182"/>
      <c r="DO328" s="182"/>
      <c r="DP328" s="182"/>
      <c r="DQ328" s="182"/>
      <c r="DR328" s="182"/>
      <c r="DS328" s="182"/>
      <c r="DT328" s="182"/>
      <c r="DU328" s="182"/>
      <c r="DV328" s="182"/>
      <c r="DW328" s="182"/>
      <c r="DX328" s="182"/>
      <c r="DY328" s="182"/>
      <c r="DZ328" s="182"/>
      <c r="EA328" s="182"/>
      <c r="EB328" s="182"/>
      <c r="EC328" s="182"/>
      <c r="ED328" s="182"/>
      <c r="EE328" s="182"/>
      <c r="EF328" s="182"/>
      <c r="EG328" s="182"/>
      <c r="EH328" s="182"/>
      <c r="EI328" s="182"/>
      <c r="EJ328" s="182"/>
      <c r="EK328" s="182"/>
      <c r="EL328" s="182"/>
      <c r="EM328" s="182"/>
      <c r="EN328" s="182"/>
      <c r="EO328" s="182"/>
      <c r="EP328" s="182"/>
      <c r="EQ328" s="182"/>
      <c r="ER328" s="182"/>
      <c r="ES328" s="182"/>
      <c r="ET328" s="182"/>
      <c r="EU328" s="182"/>
      <c r="EV328" s="182"/>
      <c r="EW328" s="182"/>
      <c r="EX328" s="182"/>
      <c r="EY328" s="182"/>
      <c r="EZ328" s="182"/>
      <c r="FA328" s="182"/>
      <c r="FB328" s="182"/>
      <c r="FC328" s="182"/>
      <c r="FD328" s="182"/>
      <c r="FE328" s="182"/>
      <c r="FF328" s="182"/>
      <c r="FG328" s="182"/>
      <c r="FH328" s="182"/>
      <c r="FI328" s="182"/>
      <c r="FJ328" s="182"/>
      <c r="FK328" s="182"/>
      <c r="FL328" s="182"/>
      <c r="FM328" s="182"/>
      <c r="FN328" s="182"/>
      <c r="FO328" s="182"/>
      <c r="FP328" s="182"/>
      <c r="FQ328" s="182"/>
      <c r="FR328" s="182"/>
      <c r="FS328" s="182"/>
      <c r="FT328" s="182"/>
      <c r="FU328" s="182"/>
      <c r="FV328" s="182"/>
      <c r="FW328" s="182"/>
      <c r="FX328" s="182"/>
      <c r="FY328" s="182"/>
      <c r="FZ328" s="182"/>
      <c r="GA328" s="182"/>
      <c r="GB328" s="182"/>
      <c r="GC328" s="182"/>
      <c r="GD328" s="182"/>
      <c r="GE328" s="182"/>
      <c r="GF328" s="182"/>
      <c r="GG328" s="182"/>
      <c r="GH328" s="182"/>
      <c r="GI328" s="182"/>
    </row>
    <row r="329" spans="1:191" s="183" customFormat="1" x14ac:dyDescent="0.2">
      <c r="A329" s="210" t="s">
        <v>38634</v>
      </c>
      <c r="B329" s="210" t="s">
        <v>19177</v>
      </c>
      <c r="C329" s="224" t="s">
        <v>22433</v>
      </c>
      <c r="D329" s="211" t="s">
        <v>16</v>
      </c>
      <c r="E329" s="211">
        <v>120</v>
      </c>
      <c r="F329" s="211"/>
      <c r="G329" s="211">
        <v>0.3</v>
      </c>
      <c r="H329" s="212"/>
      <c r="I329" s="213"/>
      <c r="J329" s="272">
        <v>9.16</v>
      </c>
      <c r="K329" s="112">
        <f t="shared" si="23"/>
        <v>1099.2</v>
      </c>
      <c r="L329" s="273">
        <f>BDI!$E$17</f>
        <v>0.11260000000000001</v>
      </c>
      <c r="M329" s="213"/>
      <c r="N329" s="213"/>
      <c r="O329" s="114">
        <f t="shared" si="24"/>
        <v>10.19</v>
      </c>
      <c r="P329" s="113">
        <f t="shared" si="25"/>
        <v>366.84</v>
      </c>
      <c r="Q329" s="209"/>
      <c r="R329" s="203"/>
      <c r="S329" s="182"/>
      <c r="T329" s="182"/>
      <c r="U329" s="182"/>
      <c r="V329" s="182"/>
      <c r="W329" s="182"/>
      <c r="X329" s="182"/>
      <c r="Y329" s="182"/>
      <c r="Z329" s="182"/>
      <c r="AA329" s="182"/>
      <c r="AB329" s="182"/>
      <c r="AC329" s="182"/>
      <c r="AD329" s="182"/>
      <c r="AE329" s="182"/>
      <c r="AF329" s="182"/>
      <c r="AG329" s="182"/>
      <c r="AH329" s="182"/>
      <c r="AI329" s="182"/>
      <c r="AJ329" s="182"/>
      <c r="AK329" s="182"/>
      <c r="AL329" s="182"/>
      <c r="AM329" s="182"/>
      <c r="AN329" s="182"/>
      <c r="AO329" s="182"/>
      <c r="AP329" s="182"/>
      <c r="AQ329" s="182"/>
      <c r="AR329" s="182"/>
      <c r="AS329" s="182"/>
      <c r="AT329" s="182"/>
      <c r="AU329" s="182"/>
      <c r="AV329" s="182"/>
      <c r="AW329" s="182"/>
      <c r="AX329" s="182"/>
      <c r="AY329" s="182"/>
      <c r="AZ329" s="182"/>
      <c r="BA329" s="182"/>
      <c r="BB329" s="182"/>
      <c r="BC329" s="182"/>
      <c r="BD329" s="182"/>
      <c r="BE329" s="182"/>
      <c r="BF329" s="182"/>
      <c r="BG329" s="182"/>
      <c r="BH329" s="182"/>
      <c r="BI329" s="182"/>
      <c r="BJ329" s="182"/>
      <c r="BK329" s="182"/>
      <c r="BL329" s="182"/>
      <c r="BM329" s="182"/>
      <c r="BN329" s="182"/>
      <c r="BO329" s="182"/>
      <c r="BP329" s="182"/>
      <c r="BQ329" s="182"/>
      <c r="BR329" s="182"/>
      <c r="BS329" s="182"/>
      <c r="BT329" s="182"/>
      <c r="BU329" s="182"/>
      <c r="BV329" s="182"/>
      <c r="BW329" s="182"/>
      <c r="BX329" s="182"/>
      <c r="BY329" s="182"/>
      <c r="BZ329" s="182"/>
      <c r="CA329" s="182"/>
      <c r="CB329" s="182"/>
      <c r="CC329" s="182"/>
      <c r="CD329" s="182"/>
      <c r="CE329" s="182"/>
      <c r="CF329" s="182"/>
      <c r="CG329" s="182"/>
      <c r="CH329" s="182"/>
      <c r="CI329" s="182"/>
      <c r="CJ329" s="182"/>
      <c r="CK329" s="182"/>
      <c r="CL329" s="182"/>
      <c r="CM329" s="182"/>
      <c r="CN329" s="182"/>
      <c r="CO329" s="182"/>
      <c r="CP329" s="182"/>
      <c r="CQ329" s="182"/>
      <c r="CR329" s="182"/>
      <c r="CS329" s="182"/>
      <c r="CT329" s="182"/>
      <c r="CU329" s="182"/>
      <c r="CV329" s="182"/>
      <c r="CW329" s="182"/>
      <c r="CX329" s="182"/>
      <c r="CY329" s="182"/>
      <c r="CZ329" s="182"/>
      <c r="DA329" s="182"/>
      <c r="DB329" s="182"/>
      <c r="DC329" s="182"/>
      <c r="DD329" s="182"/>
      <c r="DE329" s="182"/>
      <c r="DF329" s="182"/>
      <c r="DG329" s="182"/>
      <c r="DH329" s="182"/>
      <c r="DI329" s="182"/>
      <c r="DJ329" s="182"/>
      <c r="DK329" s="182"/>
      <c r="DL329" s="182"/>
      <c r="DM329" s="182"/>
      <c r="DN329" s="182"/>
      <c r="DO329" s="182"/>
      <c r="DP329" s="182"/>
      <c r="DQ329" s="182"/>
      <c r="DR329" s="182"/>
      <c r="DS329" s="182"/>
      <c r="DT329" s="182"/>
      <c r="DU329" s="182"/>
      <c r="DV329" s="182"/>
      <c r="DW329" s="182"/>
      <c r="DX329" s="182"/>
      <c r="DY329" s="182"/>
      <c r="DZ329" s="182"/>
      <c r="EA329" s="182"/>
      <c r="EB329" s="182"/>
      <c r="EC329" s="182"/>
      <c r="ED329" s="182"/>
      <c r="EE329" s="182"/>
      <c r="EF329" s="182"/>
      <c r="EG329" s="182"/>
      <c r="EH329" s="182"/>
      <c r="EI329" s="182"/>
      <c r="EJ329" s="182"/>
      <c r="EK329" s="182"/>
      <c r="EL329" s="182"/>
      <c r="EM329" s="182"/>
      <c r="EN329" s="182"/>
      <c r="EO329" s="182"/>
      <c r="EP329" s="182"/>
      <c r="EQ329" s="182"/>
      <c r="ER329" s="182"/>
      <c r="ES329" s="182"/>
      <c r="ET329" s="182"/>
      <c r="EU329" s="182"/>
      <c r="EV329" s="182"/>
      <c r="EW329" s="182"/>
      <c r="EX329" s="182"/>
      <c r="EY329" s="182"/>
      <c r="EZ329" s="182"/>
      <c r="FA329" s="182"/>
      <c r="FB329" s="182"/>
      <c r="FC329" s="182"/>
      <c r="FD329" s="182"/>
      <c r="FE329" s="182"/>
      <c r="FF329" s="182"/>
      <c r="FG329" s="182"/>
      <c r="FH329" s="182"/>
      <c r="FI329" s="182"/>
      <c r="FJ329" s="182"/>
      <c r="FK329" s="182"/>
      <c r="FL329" s="182"/>
      <c r="FM329" s="182"/>
      <c r="FN329" s="182"/>
      <c r="FO329" s="182"/>
      <c r="FP329" s="182"/>
      <c r="FQ329" s="182"/>
      <c r="FR329" s="182"/>
      <c r="FS329" s="182"/>
      <c r="FT329" s="182"/>
      <c r="FU329" s="182"/>
      <c r="FV329" s="182"/>
      <c r="FW329" s="182"/>
      <c r="FX329" s="182"/>
      <c r="FY329" s="182"/>
      <c r="FZ329" s="182"/>
      <c r="GA329" s="182"/>
      <c r="GB329" s="182"/>
      <c r="GC329" s="182"/>
      <c r="GD329" s="182"/>
      <c r="GE329" s="182"/>
      <c r="GF329" s="182"/>
      <c r="GG329" s="182"/>
      <c r="GH329" s="182"/>
      <c r="GI329" s="182"/>
    </row>
    <row r="330" spans="1:191" s="183" customFormat="1" x14ac:dyDescent="0.2">
      <c r="A330" s="210" t="s">
        <v>38635</v>
      </c>
      <c r="B330" s="210" t="s">
        <v>19178</v>
      </c>
      <c r="C330" s="224" t="s">
        <v>22434</v>
      </c>
      <c r="D330" s="211" t="s">
        <v>16</v>
      </c>
      <c r="E330" s="211">
        <v>60</v>
      </c>
      <c r="F330" s="211"/>
      <c r="G330" s="211">
        <v>0.3</v>
      </c>
      <c r="H330" s="212"/>
      <c r="I330" s="213"/>
      <c r="J330" s="272">
        <v>22.94</v>
      </c>
      <c r="K330" s="112">
        <f t="shared" si="23"/>
        <v>1376.4</v>
      </c>
      <c r="L330" s="273">
        <f>BDI!$E$17</f>
        <v>0.11260000000000001</v>
      </c>
      <c r="M330" s="213"/>
      <c r="N330" s="213"/>
      <c r="O330" s="114">
        <f t="shared" si="24"/>
        <v>25.52</v>
      </c>
      <c r="P330" s="113">
        <f t="shared" si="25"/>
        <v>459.36</v>
      </c>
      <c r="Q330" s="209"/>
      <c r="R330" s="203"/>
      <c r="S330" s="182"/>
      <c r="T330" s="182"/>
      <c r="U330" s="182"/>
      <c r="V330" s="182"/>
      <c r="W330" s="182"/>
      <c r="X330" s="182"/>
      <c r="Y330" s="182"/>
      <c r="Z330" s="182"/>
      <c r="AA330" s="182"/>
      <c r="AB330" s="182"/>
      <c r="AC330" s="182"/>
      <c r="AD330" s="182"/>
      <c r="AE330" s="182"/>
      <c r="AF330" s="182"/>
      <c r="AG330" s="182"/>
      <c r="AH330" s="182"/>
      <c r="AI330" s="182"/>
      <c r="AJ330" s="182"/>
      <c r="AK330" s="182"/>
      <c r="AL330" s="182"/>
      <c r="AM330" s="182"/>
      <c r="AN330" s="182"/>
      <c r="AO330" s="182"/>
      <c r="AP330" s="182"/>
      <c r="AQ330" s="182"/>
      <c r="AR330" s="182"/>
      <c r="AS330" s="182"/>
      <c r="AT330" s="182"/>
      <c r="AU330" s="182"/>
      <c r="AV330" s="182"/>
      <c r="AW330" s="182"/>
      <c r="AX330" s="182"/>
      <c r="AY330" s="182"/>
      <c r="AZ330" s="182"/>
      <c r="BA330" s="182"/>
      <c r="BB330" s="182"/>
      <c r="BC330" s="182"/>
      <c r="BD330" s="182"/>
      <c r="BE330" s="182"/>
      <c r="BF330" s="182"/>
      <c r="BG330" s="182"/>
      <c r="BH330" s="182"/>
      <c r="BI330" s="182"/>
      <c r="BJ330" s="182"/>
      <c r="BK330" s="182"/>
      <c r="BL330" s="182"/>
      <c r="BM330" s="182"/>
      <c r="BN330" s="182"/>
      <c r="BO330" s="182"/>
      <c r="BP330" s="182"/>
      <c r="BQ330" s="182"/>
      <c r="BR330" s="182"/>
      <c r="BS330" s="182"/>
      <c r="BT330" s="182"/>
      <c r="BU330" s="182"/>
      <c r="BV330" s="182"/>
      <c r="BW330" s="182"/>
      <c r="BX330" s="182"/>
      <c r="BY330" s="182"/>
      <c r="BZ330" s="182"/>
      <c r="CA330" s="182"/>
      <c r="CB330" s="182"/>
      <c r="CC330" s="182"/>
      <c r="CD330" s="182"/>
      <c r="CE330" s="182"/>
      <c r="CF330" s="182"/>
      <c r="CG330" s="182"/>
      <c r="CH330" s="182"/>
      <c r="CI330" s="182"/>
      <c r="CJ330" s="182"/>
      <c r="CK330" s="182"/>
      <c r="CL330" s="182"/>
      <c r="CM330" s="182"/>
      <c r="CN330" s="182"/>
      <c r="CO330" s="182"/>
      <c r="CP330" s="182"/>
      <c r="CQ330" s="182"/>
      <c r="CR330" s="182"/>
      <c r="CS330" s="182"/>
      <c r="CT330" s="182"/>
      <c r="CU330" s="182"/>
      <c r="CV330" s="182"/>
      <c r="CW330" s="182"/>
      <c r="CX330" s="182"/>
      <c r="CY330" s="182"/>
      <c r="CZ330" s="182"/>
      <c r="DA330" s="182"/>
      <c r="DB330" s="182"/>
      <c r="DC330" s="182"/>
      <c r="DD330" s="182"/>
      <c r="DE330" s="182"/>
      <c r="DF330" s="182"/>
      <c r="DG330" s="182"/>
      <c r="DH330" s="182"/>
      <c r="DI330" s="182"/>
      <c r="DJ330" s="182"/>
      <c r="DK330" s="182"/>
      <c r="DL330" s="182"/>
      <c r="DM330" s="182"/>
      <c r="DN330" s="182"/>
      <c r="DO330" s="182"/>
      <c r="DP330" s="182"/>
      <c r="DQ330" s="182"/>
      <c r="DR330" s="182"/>
      <c r="DS330" s="182"/>
      <c r="DT330" s="182"/>
      <c r="DU330" s="182"/>
      <c r="DV330" s="182"/>
      <c r="DW330" s="182"/>
      <c r="DX330" s="182"/>
      <c r="DY330" s="182"/>
      <c r="DZ330" s="182"/>
      <c r="EA330" s="182"/>
      <c r="EB330" s="182"/>
      <c r="EC330" s="182"/>
      <c r="ED330" s="182"/>
      <c r="EE330" s="182"/>
      <c r="EF330" s="182"/>
      <c r="EG330" s="182"/>
      <c r="EH330" s="182"/>
      <c r="EI330" s="182"/>
      <c r="EJ330" s="182"/>
      <c r="EK330" s="182"/>
      <c r="EL330" s="182"/>
      <c r="EM330" s="182"/>
      <c r="EN330" s="182"/>
      <c r="EO330" s="182"/>
      <c r="EP330" s="182"/>
      <c r="EQ330" s="182"/>
      <c r="ER330" s="182"/>
      <c r="ES330" s="182"/>
      <c r="ET330" s="182"/>
      <c r="EU330" s="182"/>
      <c r="EV330" s="182"/>
      <c r="EW330" s="182"/>
      <c r="EX330" s="182"/>
      <c r="EY330" s="182"/>
      <c r="EZ330" s="182"/>
      <c r="FA330" s="182"/>
      <c r="FB330" s="182"/>
      <c r="FC330" s="182"/>
      <c r="FD330" s="182"/>
      <c r="FE330" s="182"/>
      <c r="FF330" s="182"/>
      <c r="FG330" s="182"/>
      <c r="FH330" s="182"/>
      <c r="FI330" s="182"/>
      <c r="FJ330" s="182"/>
      <c r="FK330" s="182"/>
      <c r="FL330" s="182"/>
      <c r="FM330" s="182"/>
      <c r="FN330" s="182"/>
      <c r="FO330" s="182"/>
      <c r="FP330" s="182"/>
      <c r="FQ330" s="182"/>
      <c r="FR330" s="182"/>
      <c r="FS330" s="182"/>
      <c r="FT330" s="182"/>
      <c r="FU330" s="182"/>
      <c r="FV330" s="182"/>
      <c r="FW330" s="182"/>
      <c r="FX330" s="182"/>
      <c r="FY330" s="182"/>
      <c r="FZ330" s="182"/>
      <c r="GA330" s="182"/>
      <c r="GB330" s="182"/>
      <c r="GC330" s="182"/>
      <c r="GD330" s="182"/>
      <c r="GE330" s="182"/>
      <c r="GF330" s="182"/>
      <c r="GG330" s="182"/>
      <c r="GH330" s="182"/>
      <c r="GI330" s="182"/>
    </row>
    <row r="331" spans="1:191" s="183" customFormat="1" x14ac:dyDescent="0.2">
      <c r="A331" s="210" t="s">
        <v>38636</v>
      </c>
      <c r="B331" s="210" t="s">
        <v>19179</v>
      </c>
      <c r="C331" s="224" t="s">
        <v>22435</v>
      </c>
      <c r="D331" s="211" t="s">
        <v>16</v>
      </c>
      <c r="E331" s="211">
        <v>60</v>
      </c>
      <c r="F331" s="211"/>
      <c r="G331" s="211">
        <v>0.3</v>
      </c>
      <c r="H331" s="212"/>
      <c r="I331" s="213"/>
      <c r="J331" s="272">
        <v>5.34</v>
      </c>
      <c r="K331" s="112">
        <f t="shared" si="23"/>
        <v>320.39999999999998</v>
      </c>
      <c r="L331" s="273">
        <f>BDI!$E$17</f>
        <v>0.11260000000000001</v>
      </c>
      <c r="M331" s="213"/>
      <c r="N331" s="213"/>
      <c r="O331" s="114">
        <f t="shared" si="24"/>
        <v>5.94</v>
      </c>
      <c r="P331" s="113">
        <f t="shared" si="25"/>
        <v>106.92</v>
      </c>
      <c r="Q331" s="209"/>
      <c r="R331" s="203"/>
      <c r="S331" s="182"/>
      <c r="T331" s="182"/>
      <c r="U331" s="182"/>
      <c r="V331" s="182"/>
      <c r="W331" s="182"/>
      <c r="X331" s="182"/>
      <c r="Y331" s="182"/>
      <c r="Z331" s="182"/>
      <c r="AA331" s="182"/>
      <c r="AB331" s="182"/>
      <c r="AC331" s="182"/>
      <c r="AD331" s="182"/>
      <c r="AE331" s="182"/>
      <c r="AF331" s="182"/>
      <c r="AG331" s="182"/>
      <c r="AH331" s="182"/>
      <c r="AI331" s="182"/>
      <c r="AJ331" s="182"/>
      <c r="AK331" s="182"/>
      <c r="AL331" s="182"/>
      <c r="AM331" s="182"/>
      <c r="AN331" s="182"/>
      <c r="AO331" s="182"/>
      <c r="AP331" s="182"/>
      <c r="AQ331" s="182"/>
      <c r="AR331" s="182"/>
      <c r="AS331" s="182"/>
      <c r="AT331" s="182"/>
      <c r="AU331" s="182"/>
      <c r="AV331" s="182"/>
      <c r="AW331" s="182"/>
      <c r="AX331" s="182"/>
      <c r="AY331" s="182"/>
      <c r="AZ331" s="182"/>
      <c r="BA331" s="182"/>
      <c r="BB331" s="182"/>
      <c r="BC331" s="182"/>
      <c r="BD331" s="182"/>
      <c r="BE331" s="182"/>
      <c r="BF331" s="182"/>
      <c r="BG331" s="182"/>
      <c r="BH331" s="182"/>
      <c r="BI331" s="182"/>
      <c r="BJ331" s="182"/>
      <c r="BK331" s="182"/>
      <c r="BL331" s="182"/>
      <c r="BM331" s="182"/>
      <c r="BN331" s="182"/>
      <c r="BO331" s="182"/>
      <c r="BP331" s="182"/>
      <c r="BQ331" s="182"/>
      <c r="BR331" s="182"/>
      <c r="BS331" s="182"/>
      <c r="BT331" s="182"/>
      <c r="BU331" s="182"/>
      <c r="BV331" s="182"/>
      <c r="BW331" s="182"/>
      <c r="BX331" s="182"/>
      <c r="BY331" s="182"/>
      <c r="BZ331" s="182"/>
      <c r="CA331" s="182"/>
      <c r="CB331" s="182"/>
      <c r="CC331" s="182"/>
      <c r="CD331" s="182"/>
      <c r="CE331" s="182"/>
      <c r="CF331" s="182"/>
      <c r="CG331" s="182"/>
      <c r="CH331" s="182"/>
      <c r="CI331" s="182"/>
      <c r="CJ331" s="182"/>
      <c r="CK331" s="182"/>
      <c r="CL331" s="182"/>
      <c r="CM331" s="182"/>
      <c r="CN331" s="182"/>
      <c r="CO331" s="182"/>
      <c r="CP331" s="182"/>
      <c r="CQ331" s="182"/>
      <c r="CR331" s="182"/>
      <c r="CS331" s="182"/>
      <c r="CT331" s="182"/>
      <c r="CU331" s="182"/>
      <c r="CV331" s="182"/>
      <c r="CW331" s="182"/>
      <c r="CX331" s="182"/>
      <c r="CY331" s="182"/>
      <c r="CZ331" s="182"/>
      <c r="DA331" s="182"/>
      <c r="DB331" s="182"/>
      <c r="DC331" s="182"/>
      <c r="DD331" s="182"/>
      <c r="DE331" s="182"/>
      <c r="DF331" s="182"/>
      <c r="DG331" s="182"/>
      <c r="DH331" s="182"/>
      <c r="DI331" s="182"/>
      <c r="DJ331" s="182"/>
      <c r="DK331" s="182"/>
      <c r="DL331" s="182"/>
      <c r="DM331" s="182"/>
      <c r="DN331" s="182"/>
      <c r="DO331" s="182"/>
      <c r="DP331" s="182"/>
      <c r="DQ331" s="182"/>
      <c r="DR331" s="182"/>
      <c r="DS331" s="182"/>
      <c r="DT331" s="182"/>
      <c r="DU331" s="182"/>
      <c r="DV331" s="182"/>
      <c r="DW331" s="182"/>
      <c r="DX331" s="182"/>
      <c r="DY331" s="182"/>
      <c r="DZ331" s="182"/>
      <c r="EA331" s="182"/>
      <c r="EB331" s="182"/>
      <c r="EC331" s="182"/>
      <c r="ED331" s="182"/>
      <c r="EE331" s="182"/>
      <c r="EF331" s="182"/>
      <c r="EG331" s="182"/>
      <c r="EH331" s="182"/>
      <c r="EI331" s="182"/>
      <c r="EJ331" s="182"/>
      <c r="EK331" s="182"/>
      <c r="EL331" s="182"/>
      <c r="EM331" s="182"/>
      <c r="EN331" s="182"/>
      <c r="EO331" s="182"/>
      <c r="EP331" s="182"/>
      <c r="EQ331" s="182"/>
      <c r="ER331" s="182"/>
      <c r="ES331" s="182"/>
      <c r="ET331" s="182"/>
      <c r="EU331" s="182"/>
      <c r="EV331" s="182"/>
      <c r="EW331" s="182"/>
      <c r="EX331" s="182"/>
      <c r="EY331" s="182"/>
      <c r="EZ331" s="182"/>
      <c r="FA331" s="182"/>
      <c r="FB331" s="182"/>
      <c r="FC331" s="182"/>
      <c r="FD331" s="182"/>
      <c r="FE331" s="182"/>
      <c r="FF331" s="182"/>
      <c r="FG331" s="182"/>
      <c r="FH331" s="182"/>
      <c r="FI331" s="182"/>
      <c r="FJ331" s="182"/>
      <c r="FK331" s="182"/>
      <c r="FL331" s="182"/>
      <c r="FM331" s="182"/>
      <c r="FN331" s="182"/>
      <c r="FO331" s="182"/>
      <c r="FP331" s="182"/>
      <c r="FQ331" s="182"/>
      <c r="FR331" s="182"/>
      <c r="FS331" s="182"/>
      <c r="FT331" s="182"/>
      <c r="FU331" s="182"/>
      <c r="FV331" s="182"/>
      <c r="FW331" s="182"/>
      <c r="FX331" s="182"/>
      <c r="FY331" s="182"/>
      <c r="FZ331" s="182"/>
      <c r="GA331" s="182"/>
      <c r="GB331" s="182"/>
      <c r="GC331" s="182"/>
      <c r="GD331" s="182"/>
      <c r="GE331" s="182"/>
      <c r="GF331" s="182"/>
      <c r="GG331" s="182"/>
      <c r="GH331" s="182"/>
      <c r="GI331" s="182"/>
    </row>
    <row r="332" spans="1:191" s="183" customFormat="1" x14ac:dyDescent="0.2">
      <c r="A332" s="210" t="s">
        <v>38637</v>
      </c>
      <c r="B332" s="210" t="s">
        <v>19180</v>
      </c>
      <c r="C332" s="224" t="s">
        <v>22436</v>
      </c>
      <c r="D332" s="211" t="s">
        <v>16</v>
      </c>
      <c r="E332" s="211">
        <v>60</v>
      </c>
      <c r="F332" s="211"/>
      <c r="G332" s="211">
        <v>0.3</v>
      </c>
      <c r="H332" s="212"/>
      <c r="I332" s="213"/>
      <c r="J332" s="272">
        <v>5.72</v>
      </c>
      <c r="K332" s="112">
        <f t="shared" si="23"/>
        <v>343.2</v>
      </c>
      <c r="L332" s="273">
        <f>BDI!$E$17</f>
        <v>0.11260000000000001</v>
      </c>
      <c r="M332" s="213"/>
      <c r="N332" s="213"/>
      <c r="O332" s="114">
        <f t="shared" si="24"/>
        <v>6.36</v>
      </c>
      <c r="P332" s="113">
        <f t="shared" si="25"/>
        <v>114.48</v>
      </c>
      <c r="Q332" s="209"/>
      <c r="R332" s="203"/>
      <c r="S332" s="182"/>
      <c r="T332" s="182"/>
      <c r="U332" s="182"/>
      <c r="V332" s="182"/>
      <c r="W332" s="182"/>
      <c r="X332" s="182"/>
      <c r="Y332" s="182"/>
      <c r="Z332" s="182"/>
      <c r="AA332" s="182"/>
      <c r="AB332" s="182"/>
      <c r="AC332" s="182"/>
      <c r="AD332" s="182"/>
      <c r="AE332" s="182"/>
      <c r="AF332" s="182"/>
      <c r="AG332" s="182"/>
      <c r="AH332" s="182"/>
      <c r="AI332" s="182"/>
      <c r="AJ332" s="182"/>
      <c r="AK332" s="182"/>
      <c r="AL332" s="182"/>
      <c r="AM332" s="182"/>
      <c r="AN332" s="182"/>
      <c r="AO332" s="182"/>
      <c r="AP332" s="182"/>
      <c r="AQ332" s="182"/>
      <c r="AR332" s="182"/>
      <c r="AS332" s="182"/>
      <c r="AT332" s="182"/>
      <c r="AU332" s="182"/>
      <c r="AV332" s="182"/>
      <c r="AW332" s="182"/>
      <c r="AX332" s="182"/>
      <c r="AY332" s="182"/>
      <c r="AZ332" s="182"/>
      <c r="BA332" s="182"/>
      <c r="BB332" s="182"/>
      <c r="BC332" s="182"/>
      <c r="BD332" s="182"/>
      <c r="BE332" s="182"/>
      <c r="BF332" s="182"/>
      <c r="BG332" s="182"/>
      <c r="BH332" s="182"/>
      <c r="BI332" s="182"/>
      <c r="BJ332" s="182"/>
      <c r="BK332" s="182"/>
      <c r="BL332" s="182"/>
      <c r="BM332" s="182"/>
      <c r="BN332" s="182"/>
      <c r="BO332" s="182"/>
      <c r="BP332" s="182"/>
      <c r="BQ332" s="182"/>
      <c r="BR332" s="182"/>
      <c r="BS332" s="182"/>
      <c r="BT332" s="182"/>
      <c r="BU332" s="182"/>
      <c r="BV332" s="182"/>
      <c r="BW332" s="182"/>
      <c r="BX332" s="182"/>
      <c r="BY332" s="182"/>
      <c r="BZ332" s="182"/>
      <c r="CA332" s="182"/>
      <c r="CB332" s="182"/>
      <c r="CC332" s="182"/>
      <c r="CD332" s="182"/>
      <c r="CE332" s="182"/>
      <c r="CF332" s="182"/>
      <c r="CG332" s="182"/>
      <c r="CH332" s="182"/>
      <c r="CI332" s="182"/>
      <c r="CJ332" s="182"/>
      <c r="CK332" s="182"/>
      <c r="CL332" s="182"/>
      <c r="CM332" s="182"/>
      <c r="CN332" s="182"/>
      <c r="CO332" s="182"/>
      <c r="CP332" s="182"/>
      <c r="CQ332" s="182"/>
      <c r="CR332" s="182"/>
      <c r="CS332" s="182"/>
      <c r="CT332" s="182"/>
      <c r="CU332" s="182"/>
      <c r="CV332" s="182"/>
      <c r="CW332" s="182"/>
      <c r="CX332" s="182"/>
      <c r="CY332" s="182"/>
      <c r="CZ332" s="182"/>
      <c r="DA332" s="182"/>
      <c r="DB332" s="182"/>
      <c r="DC332" s="182"/>
      <c r="DD332" s="182"/>
      <c r="DE332" s="182"/>
      <c r="DF332" s="182"/>
      <c r="DG332" s="182"/>
      <c r="DH332" s="182"/>
      <c r="DI332" s="182"/>
      <c r="DJ332" s="182"/>
      <c r="DK332" s="182"/>
      <c r="DL332" s="182"/>
      <c r="DM332" s="182"/>
      <c r="DN332" s="182"/>
      <c r="DO332" s="182"/>
      <c r="DP332" s="182"/>
      <c r="DQ332" s="182"/>
      <c r="DR332" s="182"/>
      <c r="DS332" s="182"/>
      <c r="DT332" s="182"/>
      <c r="DU332" s="182"/>
      <c r="DV332" s="182"/>
      <c r="DW332" s="182"/>
      <c r="DX332" s="182"/>
      <c r="DY332" s="182"/>
      <c r="DZ332" s="182"/>
      <c r="EA332" s="182"/>
      <c r="EB332" s="182"/>
      <c r="EC332" s="182"/>
      <c r="ED332" s="182"/>
      <c r="EE332" s="182"/>
      <c r="EF332" s="182"/>
      <c r="EG332" s="182"/>
      <c r="EH332" s="182"/>
      <c r="EI332" s="182"/>
      <c r="EJ332" s="182"/>
      <c r="EK332" s="182"/>
      <c r="EL332" s="182"/>
      <c r="EM332" s="182"/>
      <c r="EN332" s="182"/>
      <c r="EO332" s="182"/>
      <c r="EP332" s="182"/>
      <c r="EQ332" s="182"/>
      <c r="ER332" s="182"/>
      <c r="ES332" s="182"/>
      <c r="ET332" s="182"/>
      <c r="EU332" s="182"/>
      <c r="EV332" s="182"/>
      <c r="EW332" s="182"/>
      <c r="EX332" s="182"/>
      <c r="EY332" s="182"/>
      <c r="EZ332" s="182"/>
      <c r="FA332" s="182"/>
      <c r="FB332" s="182"/>
      <c r="FC332" s="182"/>
      <c r="FD332" s="182"/>
      <c r="FE332" s="182"/>
      <c r="FF332" s="182"/>
      <c r="FG332" s="182"/>
      <c r="FH332" s="182"/>
      <c r="FI332" s="182"/>
      <c r="FJ332" s="182"/>
      <c r="FK332" s="182"/>
      <c r="FL332" s="182"/>
      <c r="FM332" s="182"/>
      <c r="FN332" s="182"/>
      <c r="FO332" s="182"/>
      <c r="FP332" s="182"/>
      <c r="FQ332" s="182"/>
      <c r="FR332" s="182"/>
      <c r="FS332" s="182"/>
      <c r="FT332" s="182"/>
      <c r="FU332" s="182"/>
      <c r="FV332" s="182"/>
      <c r="FW332" s="182"/>
      <c r="FX332" s="182"/>
      <c r="FY332" s="182"/>
      <c r="FZ332" s="182"/>
      <c r="GA332" s="182"/>
      <c r="GB332" s="182"/>
      <c r="GC332" s="182"/>
      <c r="GD332" s="182"/>
      <c r="GE332" s="182"/>
      <c r="GF332" s="182"/>
      <c r="GG332" s="182"/>
      <c r="GH332" s="182"/>
      <c r="GI332" s="182"/>
    </row>
    <row r="333" spans="1:191" s="183" customFormat="1" x14ac:dyDescent="0.2">
      <c r="A333" s="210" t="s">
        <v>38638</v>
      </c>
      <c r="B333" s="210" t="s">
        <v>19181</v>
      </c>
      <c r="C333" s="224" t="s">
        <v>22437</v>
      </c>
      <c r="D333" s="211" t="s">
        <v>16</v>
      </c>
      <c r="E333" s="211">
        <v>30</v>
      </c>
      <c r="F333" s="211"/>
      <c r="G333" s="211">
        <v>0.3</v>
      </c>
      <c r="H333" s="212"/>
      <c r="I333" s="213"/>
      <c r="J333" s="272">
        <v>5.0999999999999996</v>
      </c>
      <c r="K333" s="112">
        <f t="shared" si="23"/>
        <v>153</v>
      </c>
      <c r="L333" s="273">
        <f>BDI!$E$17</f>
        <v>0.11260000000000001</v>
      </c>
      <c r="M333" s="213"/>
      <c r="N333" s="213"/>
      <c r="O333" s="114">
        <f t="shared" si="24"/>
        <v>5.67</v>
      </c>
      <c r="P333" s="113">
        <f t="shared" si="25"/>
        <v>51.03</v>
      </c>
      <c r="Q333" s="209"/>
      <c r="R333" s="203"/>
      <c r="S333" s="182"/>
      <c r="T333" s="182"/>
      <c r="U333" s="182"/>
      <c r="V333" s="182"/>
      <c r="W333" s="182"/>
      <c r="X333" s="182"/>
      <c r="Y333" s="182"/>
      <c r="Z333" s="182"/>
      <c r="AA333" s="182"/>
      <c r="AB333" s="182"/>
      <c r="AC333" s="182"/>
      <c r="AD333" s="182"/>
      <c r="AE333" s="182"/>
      <c r="AF333" s="182"/>
      <c r="AG333" s="182"/>
      <c r="AH333" s="182"/>
      <c r="AI333" s="182"/>
      <c r="AJ333" s="182"/>
      <c r="AK333" s="182"/>
      <c r="AL333" s="182"/>
      <c r="AM333" s="182"/>
      <c r="AN333" s="182"/>
      <c r="AO333" s="182"/>
      <c r="AP333" s="182"/>
      <c r="AQ333" s="182"/>
      <c r="AR333" s="182"/>
      <c r="AS333" s="182"/>
      <c r="AT333" s="182"/>
      <c r="AU333" s="182"/>
      <c r="AV333" s="182"/>
      <c r="AW333" s="182"/>
      <c r="AX333" s="182"/>
      <c r="AY333" s="182"/>
      <c r="AZ333" s="182"/>
      <c r="BA333" s="182"/>
      <c r="BB333" s="182"/>
      <c r="BC333" s="182"/>
      <c r="BD333" s="182"/>
      <c r="BE333" s="182"/>
      <c r="BF333" s="182"/>
      <c r="BG333" s="182"/>
      <c r="BH333" s="182"/>
      <c r="BI333" s="182"/>
      <c r="BJ333" s="182"/>
      <c r="BK333" s="182"/>
      <c r="BL333" s="182"/>
      <c r="BM333" s="182"/>
      <c r="BN333" s="182"/>
      <c r="BO333" s="182"/>
      <c r="BP333" s="182"/>
      <c r="BQ333" s="182"/>
      <c r="BR333" s="182"/>
      <c r="BS333" s="182"/>
      <c r="BT333" s="182"/>
      <c r="BU333" s="182"/>
      <c r="BV333" s="182"/>
      <c r="BW333" s="182"/>
      <c r="BX333" s="182"/>
      <c r="BY333" s="182"/>
      <c r="BZ333" s="182"/>
      <c r="CA333" s="182"/>
      <c r="CB333" s="182"/>
      <c r="CC333" s="182"/>
      <c r="CD333" s="182"/>
      <c r="CE333" s="182"/>
      <c r="CF333" s="182"/>
      <c r="CG333" s="182"/>
      <c r="CH333" s="182"/>
      <c r="CI333" s="182"/>
      <c r="CJ333" s="182"/>
      <c r="CK333" s="182"/>
      <c r="CL333" s="182"/>
      <c r="CM333" s="182"/>
      <c r="CN333" s="182"/>
      <c r="CO333" s="182"/>
      <c r="CP333" s="182"/>
      <c r="CQ333" s="182"/>
      <c r="CR333" s="182"/>
      <c r="CS333" s="182"/>
      <c r="CT333" s="182"/>
      <c r="CU333" s="182"/>
      <c r="CV333" s="182"/>
      <c r="CW333" s="182"/>
      <c r="CX333" s="182"/>
      <c r="CY333" s="182"/>
      <c r="CZ333" s="182"/>
      <c r="DA333" s="182"/>
      <c r="DB333" s="182"/>
      <c r="DC333" s="182"/>
      <c r="DD333" s="182"/>
      <c r="DE333" s="182"/>
      <c r="DF333" s="182"/>
      <c r="DG333" s="182"/>
      <c r="DH333" s="182"/>
      <c r="DI333" s="182"/>
      <c r="DJ333" s="182"/>
      <c r="DK333" s="182"/>
      <c r="DL333" s="182"/>
      <c r="DM333" s="182"/>
      <c r="DN333" s="182"/>
      <c r="DO333" s="182"/>
      <c r="DP333" s="182"/>
      <c r="DQ333" s="182"/>
      <c r="DR333" s="182"/>
      <c r="DS333" s="182"/>
      <c r="DT333" s="182"/>
      <c r="DU333" s="182"/>
      <c r="DV333" s="182"/>
      <c r="DW333" s="182"/>
      <c r="DX333" s="182"/>
      <c r="DY333" s="182"/>
      <c r="DZ333" s="182"/>
      <c r="EA333" s="182"/>
      <c r="EB333" s="182"/>
      <c r="EC333" s="182"/>
      <c r="ED333" s="182"/>
      <c r="EE333" s="182"/>
      <c r="EF333" s="182"/>
      <c r="EG333" s="182"/>
      <c r="EH333" s="182"/>
      <c r="EI333" s="182"/>
      <c r="EJ333" s="182"/>
      <c r="EK333" s="182"/>
      <c r="EL333" s="182"/>
      <c r="EM333" s="182"/>
      <c r="EN333" s="182"/>
      <c r="EO333" s="182"/>
      <c r="EP333" s="182"/>
      <c r="EQ333" s="182"/>
      <c r="ER333" s="182"/>
      <c r="ES333" s="182"/>
      <c r="ET333" s="182"/>
      <c r="EU333" s="182"/>
      <c r="EV333" s="182"/>
      <c r="EW333" s="182"/>
      <c r="EX333" s="182"/>
      <c r="EY333" s="182"/>
      <c r="EZ333" s="182"/>
      <c r="FA333" s="182"/>
      <c r="FB333" s="182"/>
      <c r="FC333" s="182"/>
      <c r="FD333" s="182"/>
      <c r="FE333" s="182"/>
      <c r="FF333" s="182"/>
      <c r="FG333" s="182"/>
      <c r="FH333" s="182"/>
      <c r="FI333" s="182"/>
      <c r="FJ333" s="182"/>
      <c r="FK333" s="182"/>
      <c r="FL333" s="182"/>
      <c r="FM333" s="182"/>
      <c r="FN333" s="182"/>
      <c r="FO333" s="182"/>
      <c r="FP333" s="182"/>
      <c r="FQ333" s="182"/>
      <c r="FR333" s="182"/>
      <c r="FS333" s="182"/>
      <c r="FT333" s="182"/>
      <c r="FU333" s="182"/>
      <c r="FV333" s="182"/>
      <c r="FW333" s="182"/>
      <c r="FX333" s="182"/>
      <c r="FY333" s="182"/>
      <c r="FZ333" s="182"/>
      <c r="GA333" s="182"/>
      <c r="GB333" s="182"/>
      <c r="GC333" s="182"/>
      <c r="GD333" s="182"/>
      <c r="GE333" s="182"/>
      <c r="GF333" s="182"/>
      <c r="GG333" s="182"/>
      <c r="GH333" s="182"/>
      <c r="GI333" s="182"/>
    </row>
    <row r="334" spans="1:191" s="183" customFormat="1" x14ac:dyDescent="0.2">
      <c r="A334" s="210" t="s">
        <v>38639</v>
      </c>
      <c r="B334" s="210" t="s">
        <v>19182</v>
      </c>
      <c r="C334" s="224" t="s">
        <v>22438</v>
      </c>
      <c r="D334" s="211" t="s">
        <v>16</v>
      </c>
      <c r="E334" s="211">
        <v>30</v>
      </c>
      <c r="F334" s="211"/>
      <c r="G334" s="211">
        <v>0.3</v>
      </c>
      <c r="H334" s="212"/>
      <c r="I334" s="213"/>
      <c r="J334" s="272">
        <v>8.9</v>
      </c>
      <c r="K334" s="112">
        <f t="shared" si="23"/>
        <v>267</v>
      </c>
      <c r="L334" s="273">
        <f>BDI!$E$17</f>
        <v>0.11260000000000001</v>
      </c>
      <c r="M334" s="213"/>
      <c r="N334" s="213"/>
      <c r="O334" s="114">
        <f t="shared" si="24"/>
        <v>9.9</v>
      </c>
      <c r="P334" s="113">
        <f t="shared" si="25"/>
        <v>89.1</v>
      </c>
      <c r="Q334" s="209"/>
      <c r="R334" s="203"/>
      <c r="S334" s="182"/>
      <c r="T334" s="182"/>
      <c r="U334" s="182"/>
      <c r="V334" s="182"/>
      <c r="W334" s="182"/>
      <c r="X334" s="182"/>
      <c r="Y334" s="182"/>
      <c r="Z334" s="182"/>
      <c r="AA334" s="182"/>
      <c r="AB334" s="182"/>
      <c r="AC334" s="182"/>
      <c r="AD334" s="182"/>
      <c r="AE334" s="182"/>
      <c r="AF334" s="182"/>
      <c r="AG334" s="182"/>
      <c r="AH334" s="182"/>
      <c r="AI334" s="182"/>
      <c r="AJ334" s="182"/>
      <c r="AK334" s="182"/>
      <c r="AL334" s="182"/>
      <c r="AM334" s="182"/>
      <c r="AN334" s="182"/>
      <c r="AO334" s="182"/>
      <c r="AP334" s="182"/>
      <c r="AQ334" s="182"/>
      <c r="AR334" s="182"/>
      <c r="AS334" s="182"/>
      <c r="AT334" s="182"/>
      <c r="AU334" s="182"/>
      <c r="AV334" s="182"/>
      <c r="AW334" s="182"/>
      <c r="AX334" s="182"/>
      <c r="AY334" s="182"/>
      <c r="AZ334" s="182"/>
      <c r="BA334" s="182"/>
      <c r="BB334" s="182"/>
      <c r="BC334" s="182"/>
      <c r="BD334" s="182"/>
      <c r="BE334" s="182"/>
      <c r="BF334" s="182"/>
      <c r="BG334" s="182"/>
      <c r="BH334" s="182"/>
      <c r="BI334" s="182"/>
      <c r="BJ334" s="182"/>
      <c r="BK334" s="182"/>
      <c r="BL334" s="182"/>
      <c r="BM334" s="182"/>
      <c r="BN334" s="182"/>
      <c r="BO334" s="182"/>
      <c r="BP334" s="182"/>
      <c r="BQ334" s="182"/>
      <c r="BR334" s="182"/>
      <c r="BS334" s="182"/>
      <c r="BT334" s="182"/>
      <c r="BU334" s="182"/>
      <c r="BV334" s="182"/>
      <c r="BW334" s="182"/>
      <c r="BX334" s="182"/>
      <c r="BY334" s="182"/>
      <c r="BZ334" s="182"/>
      <c r="CA334" s="182"/>
      <c r="CB334" s="182"/>
      <c r="CC334" s="182"/>
      <c r="CD334" s="182"/>
      <c r="CE334" s="182"/>
      <c r="CF334" s="182"/>
      <c r="CG334" s="182"/>
      <c r="CH334" s="182"/>
      <c r="CI334" s="182"/>
      <c r="CJ334" s="182"/>
      <c r="CK334" s="182"/>
      <c r="CL334" s="182"/>
      <c r="CM334" s="182"/>
      <c r="CN334" s="182"/>
      <c r="CO334" s="182"/>
      <c r="CP334" s="182"/>
      <c r="CQ334" s="182"/>
      <c r="CR334" s="182"/>
      <c r="CS334" s="182"/>
      <c r="CT334" s="182"/>
      <c r="CU334" s="182"/>
      <c r="CV334" s="182"/>
      <c r="CW334" s="182"/>
      <c r="CX334" s="182"/>
      <c r="CY334" s="182"/>
      <c r="CZ334" s="182"/>
      <c r="DA334" s="182"/>
      <c r="DB334" s="182"/>
      <c r="DC334" s="182"/>
      <c r="DD334" s="182"/>
      <c r="DE334" s="182"/>
      <c r="DF334" s="182"/>
      <c r="DG334" s="182"/>
      <c r="DH334" s="182"/>
      <c r="DI334" s="182"/>
      <c r="DJ334" s="182"/>
      <c r="DK334" s="182"/>
      <c r="DL334" s="182"/>
      <c r="DM334" s="182"/>
      <c r="DN334" s="182"/>
      <c r="DO334" s="182"/>
      <c r="DP334" s="182"/>
      <c r="DQ334" s="182"/>
      <c r="DR334" s="182"/>
      <c r="DS334" s="182"/>
      <c r="DT334" s="182"/>
      <c r="DU334" s="182"/>
      <c r="DV334" s="182"/>
      <c r="DW334" s="182"/>
      <c r="DX334" s="182"/>
      <c r="DY334" s="182"/>
      <c r="DZ334" s="182"/>
      <c r="EA334" s="182"/>
      <c r="EB334" s="182"/>
      <c r="EC334" s="182"/>
      <c r="ED334" s="182"/>
      <c r="EE334" s="182"/>
      <c r="EF334" s="182"/>
      <c r="EG334" s="182"/>
      <c r="EH334" s="182"/>
      <c r="EI334" s="182"/>
      <c r="EJ334" s="182"/>
      <c r="EK334" s="182"/>
      <c r="EL334" s="182"/>
      <c r="EM334" s="182"/>
      <c r="EN334" s="182"/>
      <c r="EO334" s="182"/>
      <c r="EP334" s="182"/>
      <c r="EQ334" s="182"/>
      <c r="ER334" s="182"/>
      <c r="ES334" s="182"/>
      <c r="ET334" s="182"/>
      <c r="EU334" s="182"/>
      <c r="EV334" s="182"/>
      <c r="EW334" s="182"/>
      <c r="EX334" s="182"/>
      <c r="EY334" s="182"/>
      <c r="EZ334" s="182"/>
      <c r="FA334" s="182"/>
      <c r="FB334" s="182"/>
      <c r="FC334" s="182"/>
      <c r="FD334" s="182"/>
      <c r="FE334" s="182"/>
      <c r="FF334" s="182"/>
      <c r="FG334" s="182"/>
      <c r="FH334" s="182"/>
      <c r="FI334" s="182"/>
      <c r="FJ334" s="182"/>
      <c r="FK334" s="182"/>
      <c r="FL334" s="182"/>
      <c r="FM334" s="182"/>
      <c r="FN334" s="182"/>
      <c r="FO334" s="182"/>
      <c r="FP334" s="182"/>
      <c r="FQ334" s="182"/>
      <c r="FR334" s="182"/>
      <c r="FS334" s="182"/>
      <c r="FT334" s="182"/>
      <c r="FU334" s="182"/>
      <c r="FV334" s="182"/>
      <c r="FW334" s="182"/>
      <c r="FX334" s="182"/>
      <c r="FY334" s="182"/>
      <c r="FZ334" s="182"/>
      <c r="GA334" s="182"/>
      <c r="GB334" s="182"/>
      <c r="GC334" s="182"/>
      <c r="GD334" s="182"/>
      <c r="GE334" s="182"/>
      <c r="GF334" s="182"/>
      <c r="GG334" s="182"/>
      <c r="GH334" s="182"/>
      <c r="GI334" s="182"/>
    </row>
    <row r="335" spans="1:191" s="183" customFormat="1" x14ac:dyDescent="0.2">
      <c r="A335" s="210" t="s">
        <v>38640</v>
      </c>
      <c r="B335" s="210" t="s">
        <v>19183</v>
      </c>
      <c r="C335" s="224" t="s">
        <v>22439</v>
      </c>
      <c r="D335" s="211" t="s">
        <v>16</v>
      </c>
      <c r="E335" s="211">
        <v>30</v>
      </c>
      <c r="F335" s="211"/>
      <c r="G335" s="211">
        <v>0.3</v>
      </c>
      <c r="H335" s="212"/>
      <c r="I335" s="213"/>
      <c r="J335" s="272">
        <v>3.9</v>
      </c>
      <c r="K335" s="112">
        <f t="shared" si="23"/>
        <v>117</v>
      </c>
      <c r="L335" s="273">
        <f>BDI!$E$17</f>
        <v>0.11260000000000001</v>
      </c>
      <c r="M335" s="213"/>
      <c r="N335" s="213"/>
      <c r="O335" s="114">
        <f t="shared" si="24"/>
        <v>4.34</v>
      </c>
      <c r="P335" s="113">
        <f t="shared" si="25"/>
        <v>39.06</v>
      </c>
      <c r="Q335" s="209"/>
      <c r="R335" s="203"/>
      <c r="S335" s="182"/>
      <c r="T335" s="182"/>
      <c r="U335" s="182"/>
      <c r="V335" s="182"/>
      <c r="W335" s="182"/>
      <c r="X335" s="182"/>
      <c r="Y335" s="182"/>
      <c r="Z335" s="182"/>
      <c r="AA335" s="182"/>
      <c r="AB335" s="182"/>
      <c r="AC335" s="182"/>
      <c r="AD335" s="182"/>
      <c r="AE335" s="182"/>
      <c r="AF335" s="182"/>
      <c r="AG335" s="182"/>
      <c r="AH335" s="182"/>
      <c r="AI335" s="182"/>
      <c r="AJ335" s="182"/>
      <c r="AK335" s="182"/>
      <c r="AL335" s="182"/>
      <c r="AM335" s="182"/>
      <c r="AN335" s="182"/>
      <c r="AO335" s="182"/>
      <c r="AP335" s="182"/>
      <c r="AQ335" s="182"/>
      <c r="AR335" s="182"/>
      <c r="AS335" s="182"/>
      <c r="AT335" s="182"/>
      <c r="AU335" s="182"/>
      <c r="AV335" s="182"/>
      <c r="AW335" s="182"/>
      <c r="AX335" s="182"/>
      <c r="AY335" s="182"/>
      <c r="AZ335" s="182"/>
      <c r="BA335" s="182"/>
      <c r="BB335" s="182"/>
      <c r="BC335" s="182"/>
      <c r="BD335" s="182"/>
      <c r="BE335" s="182"/>
      <c r="BF335" s="182"/>
      <c r="BG335" s="182"/>
      <c r="BH335" s="182"/>
      <c r="BI335" s="182"/>
      <c r="BJ335" s="182"/>
      <c r="BK335" s="182"/>
      <c r="BL335" s="182"/>
      <c r="BM335" s="182"/>
      <c r="BN335" s="182"/>
      <c r="BO335" s="182"/>
      <c r="BP335" s="182"/>
      <c r="BQ335" s="182"/>
      <c r="BR335" s="182"/>
      <c r="BS335" s="182"/>
      <c r="BT335" s="182"/>
      <c r="BU335" s="182"/>
      <c r="BV335" s="182"/>
      <c r="BW335" s="182"/>
      <c r="BX335" s="182"/>
      <c r="BY335" s="182"/>
      <c r="BZ335" s="182"/>
      <c r="CA335" s="182"/>
      <c r="CB335" s="182"/>
      <c r="CC335" s="182"/>
      <c r="CD335" s="182"/>
      <c r="CE335" s="182"/>
      <c r="CF335" s="182"/>
      <c r="CG335" s="182"/>
      <c r="CH335" s="182"/>
      <c r="CI335" s="182"/>
      <c r="CJ335" s="182"/>
      <c r="CK335" s="182"/>
      <c r="CL335" s="182"/>
      <c r="CM335" s="182"/>
      <c r="CN335" s="182"/>
      <c r="CO335" s="182"/>
      <c r="CP335" s="182"/>
      <c r="CQ335" s="182"/>
      <c r="CR335" s="182"/>
      <c r="CS335" s="182"/>
      <c r="CT335" s="182"/>
      <c r="CU335" s="182"/>
      <c r="CV335" s="182"/>
      <c r="CW335" s="182"/>
      <c r="CX335" s="182"/>
      <c r="CY335" s="182"/>
      <c r="CZ335" s="182"/>
      <c r="DA335" s="182"/>
      <c r="DB335" s="182"/>
      <c r="DC335" s="182"/>
      <c r="DD335" s="182"/>
      <c r="DE335" s="182"/>
      <c r="DF335" s="182"/>
      <c r="DG335" s="182"/>
      <c r="DH335" s="182"/>
      <c r="DI335" s="182"/>
      <c r="DJ335" s="182"/>
      <c r="DK335" s="182"/>
      <c r="DL335" s="182"/>
      <c r="DM335" s="182"/>
      <c r="DN335" s="182"/>
      <c r="DO335" s="182"/>
      <c r="DP335" s="182"/>
      <c r="DQ335" s="182"/>
      <c r="DR335" s="182"/>
      <c r="DS335" s="182"/>
      <c r="DT335" s="182"/>
      <c r="DU335" s="182"/>
      <c r="DV335" s="182"/>
      <c r="DW335" s="182"/>
      <c r="DX335" s="182"/>
      <c r="DY335" s="182"/>
      <c r="DZ335" s="182"/>
      <c r="EA335" s="182"/>
      <c r="EB335" s="182"/>
      <c r="EC335" s="182"/>
      <c r="ED335" s="182"/>
      <c r="EE335" s="182"/>
      <c r="EF335" s="182"/>
      <c r="EG335" s="182"/>
      <c r="EH335" s="182"/>
      <c r="EI335" s="182"/>
      <c r="EJ335" s="182"/>
      <c r="EK335" s="182"/>
      <c r="EL335" s="182"/>
      <c r="EM335" s="182"/>
      <c r="EN335" s="182"/>
      <c r="EO335" s="182"/>
      <c r="EP335" s="182"/>
      <c r="EQ335" s="182"/>
      <c r="ER335" s="182"/>
      <c r="ES335" s="182"/>
      <c r="ET335" s="182"/>
      <c r="EU335" s="182"/>
      <c r="EV335" s="182"/>
      <c r="EW335" s="182"/>
      <c r="EX335" s="182"/>
      <c r="EY335" s="182"/>
      <c r="EZ335" s="182"/>
      <c r="FA335" s="182"/>
      <c r="FB335" s="182"/>
      <c r="FC335" s="182"/>
      <c r="FD335" s="182"/>
      <c r="FE335" s="182"/>
      <c r="FF335" s="182"/>
      <c r="FG335" s="182"/>
      <c r="FH335" s="182"/>
      <c r="FI335" s="182"/>
      <c r="FJ335" s="182"/>
      <c r="FK335" s="182"/>
      <c r="FL335" s="182"/>
      <c r="FM335" s="182"/>
      <c r="FN335" s="182"/>
      <c r="FO335" s="182"/>
      <c r="FP335" s="182"/>
      <c r="FQ335" s="182"/>
      <c r="FR335" s="182"/>
      <c r="FS335" s="182"/>
      <c r="FT335" s="182"/>
      <c r="FU335" s="182"/>
      <c r="FV335" s="182"/>
      <c r="FW335" s="182"/>
      <c r="FX335" s="182"/>
      <c r="FY335" s="182"/>
      <c r="FZ335" s="182"/>
      <c r="GA335" s="182"/>
      <c r="GB335" s="182"/>
      <c r="GC335" s="182"/>
      <c r="GD335" s="182"/>
      <c r="GE335" s="182"/>
      <c r="GF335" s="182"/>
      <c r="GG335" s="182"/>
      <c r="GH335" s="182"/>
      <c r="GI335" s="182"/>
    </row>
    <row r="336" spans="1:191" s="183" customFormat="1" x14ac:dyDescent="0.2">
      <c r="A336" s="210" t="s">
        <v>38641</v>
      </c>
      <c r="B336" s="210" t="s">
        <v>19184</v>
      </c>
      <c r="C336" s="224" t="s">
        <v>22440</v>
      </c>
      <c r="D336" s="211" t="s">
        <v>16</v>
      </c>
      <c r="E336" s="211">
        <v>10</v>
      </c>
      <c r="F336" s="211"/>
      <c r="G336" s="211">
        <v>0.3</v>
      </c>
      <c r="H336" s="212"/>
      <c r="I336" s="213"/>
      <c r="J336" s="272">
        <v>8.73</v>
      </c>
      <c r="K336" s="112">
        <f t="shared" si="23"/>
        <v>87.3</v>
      </c>
      <c r="L336" s="273">
        <f>BDI!$E$17</f>
        <v>0.11260000000000001</v>
      </c>
      <c r="M336" s="213"/>
      <c r="N336" s="213"/>
      <c r="O336" s="114">
        <f t="shared" si="24"/>
        <v>9.7100000000000009</v>
      </c>
      <c r="P336" s="113">
        <f t="shared" si="25"/>
        <v>29.13</v>
      </c>
      <c r="Q336" s="209"/>
      <c r="R336" s="203"/>
      <c r="S336" s="182"/>
      <c r="T336" s="182"/>
      <c r="U336" s="182"/>
      <c r="V336" s="182"/>
      <c r="W336" s="182"/>
      <c r="X336" s="182"/>
      <c r="Y336" s="182"/>
      <c r="Z336" s="182"/>
      <c r="AA336" s="182"/>
      <c r="AB336" s="182"/>
      <c r="AC336" s="182"/>
      <c r="AD336" s="182"/>
      <c r="AE336" s="182"/>
      <c r="AF336" s="182"/>
      <c r="AG336" s="182"/>
      <c r="AH336" s="182"/>
      <c r="AI336" s="182"/>
      <c r="AJ336" s="182"/>
      <c r="AK336" s="182"/>
      <c r="AL336" s="182"/>
      <c r="AM336" s="182"/>
      <c r="AN336" s="182"/>
      <c r="AO336" s="182"/>
      <c r="AP336" s="182"/>
      <c r="AQ336" s="182"/>
      <c r="AR336" s="182"/>
      <c r="AS336" s="182"/>
      <c r="AT336" s="182"/>
      <c r="AU336" s="182"/>
      <c r="AV336" s="182"/>
      <c r="AW336" s="182"/>
      <c r="AX336" s="182"/>
      <c r="AY336" s="182"/>
      <c r="AZ336" s="182"/>
      <c r="BA336" s="182"/>
      <c r="BB336" s="182"/>
      <c r="BC336" s="182"/>
      <c r="BD336" s="182"/>
      <c r="BE336" s="182"/>
      <c r="BF336" s="182"/>
      <c r="BG336" s="182"/>
      <c r="BH336" s="182"/>
      <c r="BI336" s="182"/>
      <c r="BJ336" s="182"/>
      <c r="BK336" s="182"/>
      <c r="BL336" s="182"/>
      <c r="BM336" s="182"/>
      <c r="BN336" s="182"/>
      <c r="BO336" s="182"/>
      <c r="BP336" s="182"/>
      <c r="BQ336" s="182"/>
      <c r="BR336" s="182"/>
      <c r="BS336" s="182"/>
      <c r="BT336" s="182"/>
      <c r="BU336" s="182"/>
      <c r="BV336" s="182"/>
      <c r="BW336" s="182"/>
      <c r="BX336" s="182"/>
      <c r="BY336" s="182"/>
      <c r="BZ336" s="182"/>
      <c r="CA336" s="182"/>
      <c r="CB336" s="182"/>
      <c r="CC336" s="182"/>
      <c r="CD336" s="182"/>
      <c r="CE336" s="182"/>
      <c r="CF336" s="182"/>
      <c r="CG336" s="182"/>
      <c r="CH336" s="182"/>
      <c r="CI336" s="182"/>
      <c r="CJ336" s="182"/>
      <c r="CK336" s="182"/>
      <c r="CL336" s="182"/>
      <c r="CM336" s="182"/>
      <c r="CN336" s="182"/>
      <c r="CO336" s="182"/>
      <c r="CP336" s="182"/>
      <c r="CQ336" s="182"/>
      <c r="CR336" s="182"/>
      <c r="CS336" s="182"/>
      <c r="CT336" s="182"/>
      <c r="CU336" s="182"/>
      <c r="CV336" s="182"/>
      <c r="CW336" s="182"/>
      <c r="CX336" s="182"/>
      <c r="CY336" s="182"/>
      <c r="CZ336" s="182"/>
      <c r="DA336" s="182"/>
      <c r="DB336" s="182"/>
      <c r="DC336" s="182"/>
      <c r="DD336" s="182"/>
      <c r="DE336" s="182"/>
      <c r="DF336" s="182"/>
      <c r="DG336" s="182"/>
      <c r="DH336" s="182"/>
      <c r="DI336" s="182"/>
      <c r="DJ336" s="182"/>
      <c r="DK336" s="182"/>
      <c r="DL336" s="182"/>
      <c r="DM336" s="182"/>
      <c r="DN336" s="182"/>
      <c r="DO336" s="182"/>
      <c r="DP336" s="182"/>
      <c r="DQ336" s="182"/>
      <c r="DR336" s="182"/>
      <c r="DS336" s="182"/>
      <c r="DT336" s="182"/>
      <c r="DU336" s="182"/>
      <c r="DV336" s="182"/>
      <c r="DW336" s="182"/>
      <c r="DX336" s="182"/>
      <c r="DY336" s="182"/>
      <c r="DZ336" s="182"/>
      <c r="EA336" s="182"/>
      <c r="EB336" s="182"/>
      <c r="EC336" s="182"/>
      <c r="ED336" s="182"/>
      <c r="EE336" s="182"/>
      <c r="EF336" s="182"/>
      <c r="EG336" s="182"/>
      <c r="EH336" s="182"/>
      <c r="EI336" s="182"/>
      <c r="EJ336" s="182"/>
      <c r="EK336" s="182"/>
      <c r="EL336" s="182"/>
      <c r="EM336" s="182"/>
      <c r="EN336" s="182"/>
      <c r="EO336" s="182"/>
      <c r="EP336" s="182"/>
      <c r="EQ336" s="182"/>
      <c r="ER336" s="182"/>
      <c r="ES336" s="182"/>
      <c r="ET336" s="182"/>
      <c r="EU336" s="182"/>
      <c r="EV336" s="182"/>
      <c r="EW336" s="182"/>
      <c r="EX336" s="182"/>
      <c r="EY336" s="182"/>
      <c r="EZ336" s="182"/>
      <c r="FA336" s="182"/>
      <c r="FB336" s="182"/>
      <c r="FC336" s="182"/>
      <c r="FD336" s="182"/>
      <c r="FE336" s="182"/>
      <c r="FF336" s="182"/>
      <c r="FG336" s="182"/>
      <c r="FH336" s="182"/>
      <c r="FI336" s="182"/>
      <c r="FJ336" s="182"/>
      <c r="FK336" s="182"/>
      <c r="FL336" s="182"/>
      <c r="FM336" s="182"/>
      <c r="FN336" s="182"/>
      <c r="FO336" s="182"/>
      <c r="FP336" s="182"/>
      <c r="FQ336" s="182"/>
      <c r="FR336" s="182"/>
      <c r="FS336" s="182"/>
      <c r="FT336" s="182"/>
      <c r="FU336" s="182"/>
      <c r="FV336" s="182"/>
      <c r="FW336" s="182"/>
      <c r="FX336" s="182"/>
      <c r="FY336" s="182"/>
      <c r="FZ336" s="182"/>
      <c r="GA336" s="182"/>
      <c r="GB336" s="182"/>
      <c r="GC336" s="182"/>
      <c r="GD336" s="182"/>
      <c r="GE336" s="182"/>
      <c r="GF336" s="182"/>
      <c r="GG336" s="182"/>
      <c r="GH336" s="182"/>
      <c r="GI336" s="182"/>
    </row>
    <row r="337" spans="1:191" s="183" customFormat="1" x14ac:dyDescent="0.2">
      <c r="A337" s="210" t="s">
        <v>38642</v>
      </c>
      <c r="B337" s="210" t="s">
        <v>19185</v>
      </c>
      <c r="C337" s="224" t="s">
        <v>22441</v>
      </c>
      <c r="D337" s="211" t="s">
        <v>69</v>
      </c>
      <c r="E337" s="211">
        <v>540</v>
      </c>
      <c r="F337" s="211"/>
      <c r="G337" s="211">
        <v>0.3</v>
      </c>
      <c r="H337" s="212"/>
      <c r="I337" s="213"/>
      <c r="J337" s="272">
        <v>56.22</v>
      </c>
      <c r="K337" s="112">
        <f t="shared" si="23"/>
        <v>30358.799999999999</v>
      </c>
      <c r="L337" s="273">
        <f>BDI!$E$17</f>
        <v>0.11260000000000001</v>
      </c>
      <c r="M337" s="213"/>
      <c r="N337" s="213"/>
      <c r="O337" s="114">
        <f t="shared" si="24"/>
        <v>62.55</v>
      </c>
      <c r="P337" s="113">
        <f t="shared" si="25"/>
        <v>10133.1</v>
      </c>
      <c r="Q337" s="209"/>
      <c r="R337" s="203"/>
      <c r="S337" s="182"/>
      <c r="T337" s="182"/>
      <c r="U337" s="182"/>
      <c r="V337" s="182"/>
      <c r="W337" s="182"/>
      <c r="X337" s="182"/>
      <c r="Y337" s="182"/>
      <c r="Z337" s="182"/>
      <c r="AA337" s="182"/>
      <c r="AB337" s="182"/>
      <c r="AC337" s="182"/>
      <c r="AD337" s="182"/>
      <c r="AE337" s="182"/>
      <c r="AF337" s="182"/>
      <c r="AG337" s="182"/>
      <c r="AH337" s="182"/>
      <c r="AI337" s="182"/>
      <c r="AJ337" s="182"/>
      <c r="AK337" s="182"/>
      <c r="AL337" s="182"/>
      <c r="AM337" s="182"/>
      <c r="AN337" s="182"/>
      <c r="AO337" s="182"/>
      <c r="AP337" s="182"/>
      <c r="AQ337" s="182"/>
      <c r="AR337" s="182"/>
      <c r="AS337" s="182"/>
      <c r="AT337" s="182"/>
      <c r="AU337" s="182"/>
      <c r="AV337" s="182"/>
      <c r="AW337" s="182"/>
      <c r="AX337" s="182"/>
      <c r="AY337" s="182"/>
      <c r="AZ337" s="182"/>
      <c r="BA337" s="182"/>
      <c r="BB337" s="182"/>
      <c r="BC337" s="182"/>
      <c r="BD337" s="182"/>
      <c r="BE337" s="182"/>
      <c r="BF337" s="182"/>
      <c r="BG337" s="182"/>
      <c r="BH337" s="182"/>
      <c r="BI337" s="182"/>
      <c r="BJ337" s="182"/>
      <c r="BK337" s="182"/>
      <c r="BL337" s="182"/>
      <c r="BM337" s="182"/>
      <c r="BN337" s="182"/>
      <c r="BO337" s="182"/>
      <c r="BP337" s="182"/>
      <c r="BQ337" s="182"/>
      <c r="BR337" s="182"/>
      <c r="BS337" s="182"/>
      <c r="BT337" s="182"/>
      <c r="BU337" s="182"/>
      <c r="BV337" s="182"/>
      <c r="BW337" s="182"/>
      <c r="BX337" s="182"/>
      <c r="BY337" s="182"/>
      <c r="BZ337" s="182"/>
      <c r="CA337" s="182"/>
      <c r="CB337" s="182"/>
      <c r="CC337" s="182"/>
      <c r="CD337" s="182"/>
      <c r="CE337" s="182"/>
      <c r="CF337" s="182"/>
      <c r="CG337" s="182"/>
      <c r="CH337" s="182"/>
      <c r="CI337" s="182"/>
      <c r="CJ337" s="182"/>
      <c r="CK337" s="182"/>
      <c r="CL337" s="182"/>
      <c r="CM337" s="182"/>
      <c r="CN337" s="182"/>
      <c r="CO337" s="182"/>
      <c r="CP337" s="182"/>
      <c r="CQ337" s="182"/>
      <c r="CR337" s="182"/>
      <c r="CS337" s="182"/>
      <c r="CT337" s="182"/>
      <c r="CU337" s="182"/>
      <c r="CV337" s="182"/>
      <c r="CW337" s="182"/>
      <c r="CX337" s="182"/>
      <c r="CY337" s="182"/>
      <c r="CZ337" s="182"/>
      <c r="DA337" s="182"/>
      <c r="DB337" s="182"/>
      <c r="DC337" s="182"/>
      <c r="DD337" s="182"/>
      <c r="DE337" s="182"/>
      <c r="DF337" s="182"/>
      <c r="DG337" s="182"/>
      <c r="DH337" s="182"/>
      <c r="DI337" s="182"/>
      <c r="DJ337" s="182"/>
      <c r="DK337" s="182"/>
      <c r="DL337" s="182"/>
      <c r="DM337" s="182"/>
      <c r="DN337" s="182"/>
      <c r="DO337" s="182"/>
      <c r="DP337" s="182"/>
      <c r="DQ337" s="182"/>
      <c r="DR337" s="182"/>
      <c r="DS337" s="182"/>
      <c r="DT337" s="182"/>
      <c r="DU337" s="182"/>
      <c r="DV337" s="182"/>
      <c r="DW337" s="182"/>
      <c r="DX337" s="182"/>
      <c r="DY337" s="182"/>
      <c r="DZ337" s="182"/>
      <c r="EA337" s="182"/>
      <c r="EB337" s="182"/>
      <c r="EC337" s="182"/>
      <c r="ED337" s="182"/>
      <c r="EE337" s="182"/>
      <c r="EF337" s="182"/>
      <c r="EG337" s="182"/>
      <c r="EH337" s="182"/>
      <c r="EI337" s="182"/>
      <c r="EJ337" s="182"/>
      <c r="EK337" s="182"/>
      <c r="EL337" s="182"/>
      <c r="EM337" s="182"/>
      <c r="EN337" s="182"/>
      <c r="EO337" s="182"/>
      <c r="EP337" s="182"/>
      <c r="EQ337" s="182"/>
      <c r="ER337" s="182"/>
      <c r="ES337" s="182"/>
      <c r="ET337" s="182"/>
      <c r="EU337" s="182"/>
      <c r="EV337" s="182"/>
      <c r="EW337" s="182"/>
      <c r="EX337" s="182"/>
      <c r="EY337" s="182"/>
      <c r="EZ337" s="182"/>
      <c r="FA337" s="182"/>
      <c r="FB337" s="182"/>
      <c r="FC337" s="182"/>
      <c r="FD337" s="182"/>
      <c r="FE337" s="182"/>
      <c r="FF337" s="182"/>
      <c r="FG337" s="182"/>
      <c r="FH337" s="182"/>
      <c r="FI337" s="182"/>
      <c r="FJ337" s="182"/>
      <c r="FK337" s="182"/>
      <c r="FL337" s="182"/>
      <c r="FM337" s="182"/>
      <c r="FN337" s="182"/>
      <c r="FO337" s="182"/>
      <c r="FP337" s="182"/>
      <c r="FQ337" s="182"/>
      <c r="FR337" s="182"/>
      <c r="FS337" s="182"/>
      <c r="FT337" s="182"/>
      <c r="FU337" s="182"/>
      <c r="FV337" s="182"/>
      <c r="FW337" s="182"/>
      <c r="FX337" s="182"/>
      <c r="FY337" s="182"/>
      <c r="FZ337" s="182"/>
      <c r="GA337" s="182"/>
      <c r="GB337" s="182"/>
      <c r="GC337" s="182"/>
      <c r="GD337" s="182"/>
      <c r="GE337" s="182"/>
      <c r="GF337" s="182"/>
      <c r="GG337" s="182"/>
      <c r="GH337" s="182"/>
      <c r="GI337" s="182"/>
    </row>
    <row r="338" spans="1:191" s="183" customFormat="1" x14ac:dyDescent="0.2">
      <c r="A338" s="210" t="s">
        <v>38643</v>
      </c>
      <c r="B338" s="210" t="s">
        <v>19186</v>
      </c>
      <c r="C338" s="224" t="s">
        <v>22442</v>
      </c>
      <c r="D338" s="211" t="s">
        <v>16</v>
      </c>
      <c r="E338" s="211">
        <v>1080</v>
      </c>
      <c r="F338" s="211"/>
      <c r="G338" s="211">
        <v>0.3</v>
      </c>
      <c r="H338" s="212"/>
      <c r="I338" s="213"/>
      <c r="J338" s="272">
        <v>10.95</v>
      </c>
      <c r="K338" s="112">
        <f t="shared" si="23"/>
        <v>11826</v>
      </c>
      <c r="L338" s="273">
        <f>BDI!$E$17</f>
        <v>0.11260000000000001</v>
      </c>
      <c r="M338" s="213"/>
      <c r="N338" s="213"/>
      <c r="O338" s="114">
        <f t="shared" si="24"/>
        <v>12.18</v>
      </c>
      <c r="P338" s="113">
        <f t="shared" si="25"/>
        <v>3946.32</v>
      </c>
      <c r="Q338" s="209"/>
      <c r="R338" s="203"/>
      <c r="S338" s="182"/>
      <c r="T338" s="182"/>
      <c r="U338" s="182"/>
      <c r="V338" s="182"/>
      <c r="W338" s="182"/>
      <c r="X338" s="182"/>
      <c r="Y338" s="182"/>
      <c r="Z338" s="182"/>
      <c r="AA338" s="182"/>
      <c r="AB338" s="182"/>
      <c r="AC338" s="182"/>
      <c r="AD338" s="182"/>
      <c r="AE338" s="182"/>
      <c r="AF338" s="182"/>
      <c r="AG338" s="182"/>
      <c r="AH338" s="182"/>
      <c r="AI338" s="182"/>
      <c r="AJ338" s="182"/>
      <c r="AK338" s="182"/>
      <c r="AL338" s="182"/>
      <c r="AM338" s="182"/>
      <c r="AN338" s="182"/>
      <c r="AO338" s="182"/>
      <c r="AP338" s="182"/>
      <c r="AQ338" s="182"/>
      <c r="AR338" s="182"/>
      <c r="AS338" s="182"/>
      <c r="AT338" s="182"/>
      <c r="AU338" s="182"/>
      <c r="AV338" s="182"/>
      <c r="AW338" s="182"/>
      <c r="AX338" s="182"/>
      <c r="AY338" s="182"/>
      <c r="AZ338" s="182"/>
      <c r="BA338" s="182"/>
      <c r="BB338" s="182"/>
      <c r="BC338" s="182"/>
      <c r="BD338" s="182"/>
      <c r="BE338" s="182"/>
      <c r="BF338" s="182"/>
      <c r="BG338" s="182"/>
      <c r="BH338" s="182"/>
      <c r="BI338" s="182"/>
      <c r="BJ338" s="182"/>
      <c r="BK338" s="182"/>
      <c r="BL338" s="182"/>
      <c r="BM338" s="182"/>
      <c r="BN338" s="182"/>
      <c r="BO338" s="182"/>
      <c r="BP338" s="182"/>
      <c r="BQ338" s="182"/>
      <c r="BR338" s="182"/>
      <c r="BS338" s="182"/>
      <c r="BT338" s="182"/>
      <c r="BU338" s="182"/>
      <c r="BV338" s="182"/>
      <c r="BW338" s="182"/>
      <c r="BX338" s="182"/>
      <c r="BY338" s="182"/>
      <c r="BZ338" s="182"/>
      <c r="CA338" s="182"/>
      <c r="CB338" s="182"/>
      <c r="CC338" s="182"/>
      <c r="CD338" s="182"/>
      <c r="CE338" s="182"/>
      <c r="CF338" s="182"/>
      <c r="CG338" s="182"/>
      <c r="CH338" s="182"/>
      <c r="CI338" s="182"/>
      <c r="CJ338" s="182"/>
      <c r="CK338" s="182"/>
      <c r="CL338" s="182"/>
      <c r="CM338" s="182"/>
      <c r="CN338" s="182"/>
      <c r="CO338" s="182"/>
      <c r="CP338" s="182"/>
      <c r="CQ338" s="182"/>
      <c r="CR338" s="182"/>
      <c r="CS338" s="182"/>
      <c r="CT338" s="182"/>
      <c r="CU338" s="182"/>
      <c r="CV338" s="182"/>
      <c r="CW338" s="182"/>
      <c r="CX338" s="182"/>
      <c r="CY338" s="182"/>
      <c r="CZ338" s="182"/>
      <c r="DA338" s="182"/>
      <c r="DB338" s="182"/>
      <c r="DC338" s="182"/>
      <c r="DD338" s="182"/>
      <c r="DE338" s="182"/>
      <c r="DF338" s="182"/>
      <c r="DG338" s="182"/>
      <c r="DH338" s="182"/>
      <c r="DI338" s="182"/>
      <c r="DJ338" s="182"/>
      <c r="DK338" s="182"/>
      <c r="DL338" s="182"/>
      <c r="DM338" s="182"/>
      <c r="DN338" s="182"/>
      <c r="DO338" s="182"/>
      <c r="DP338" s="182"/>
      <c r="DQ338" s="182"/>
      <c r="DR338" s="182"/>
      <c r="DS338" s="182"/>
      <c r="DT338" s="182"/>
      <c r="DU338" s="182"/>
      <c r="DV338" s="182"/>
      <c r="DW338" s="182"/>
      <c r="DX338" s="182"/>
      <c r="DY338" s="182"/>
      <c r="DZ338" s="182"/>
      <c r="EA338" s="182"/>
      <c r="EB338" s="182"/>
      <c r="EC338" s="182"/>
      <c r="ED338" s="182"/>
      <c r="EE338" s="182"/>
      <c r="EF338" s="182"/>
      <c r="EG338" s="182"/>
      <c r="EH338" s="182"/>
      <c r="EI338" s="182"/>
      <c r="EJ338" s="182"/>
      <c r="EK338" s="182"/>
      <c r="EL338" s="182"/>
      <c r="EM338" s="182"/>
      <c r="EN338" s="182"/>
      <c r="EO338" s="182"/>
      <c r="EP338" s="182"/>
      <c r="EQ338" s="182"/>
      <c r="ER338" s="182"/>
      <c r="ES338" s="182"/>
      <c r="ET338" s="182"/>
      <c r="EU338" s="182"/>
      <c r="EV338" s="182"/>
      <c r="EW338" s="182"/>
      <c r="EX338" s="182"/>
      <c r="EY338" s="182"/>
      <c r="EZ338" s="182"/>
      <c r="FA338" s="182"/>
      <c r="FB338" s="182"/>
      <c r="FC338" s="182"/>
      <c r="FD338" s="182"/>
      <c r="FE338" s="182"/>
      <c r="FF338" s="182"/>
      <c r="FG338" s="182"/>
      <c r="FH338" s="182"/>
      <c r="FI338" s="182"/>
      <c r="FJ338" s="182"/>
      <c r="FK338" s="182"/>
      <c r="FL338" s="182"/>
      <c r="FM338" s="182"/>
      <c r="FN338" s="182"/>
      <c r="FO338" s="182"/>
      <c r="FP338" s="182"/>
      <c r="FQ338" s="182"/>
      <c r="FR338" s="182"/>
      <c r="FS338" s="182"/>
      <c r="FT338" s="182"/>
      <c r="FU338" s="182"/>
      <c r="FV338" s="182"/>
      <c r="FW338" s="182"/>
      <c r="FX338" s="182"/>
      <c r="FY338" s="182"/>
      <c r="FZ338" s="182"/>
      <c r="GA338" s="182"/>
      <c r="GB338" s="182"/>
      <c r="GC338" s="182"/>
      <c r="GD338" s="182"/>
      <c r="GE338" s="182"/>
      <c r="GF338" s="182"/>
      <c r="GG338" s="182"/>
      <c r="GH338" s="182"/>
      <c r="GI338" s="182"/>
    </row>
    <row r="339" spans="1:191" s="183" customFormat="1" x14ac:dyDescent="0.2">
      <c r="A339" s="210" t="s">
        <v>38644</v>
      </c>
      <c r="B339" s="210" t="s">
        <v>19187</v>
      </c>
      <c r="C339" s="224" t="s">
        <v>22443</v>
      </c>
      <c r="D339" s="211" t="s">
        <v>16</v>
      </c>
      <c r="E339" s="211">
        <v>540</v>
      </c>
      <c r="F339" s="211"/>
      <c r="G339" s="211">
        <v>0.3</v>
      </c>
      <c r="H339" s="212"/>
      <c r="I339" s="213"/>
      <c r="J339" s="272">
        <v>30.38</v>
      </c>
      <c r="K339" s="112">
        <f t="shared" si="23"/>
        <v>16405.2</v>
      </c>
      <c r="L339" s="273">
        <f>BDI!$E$17</f>
        <v>0.11260000000000001</v>
      </c>
      <c r="M339" s="213"/>
      <c r="N339" s="213"/>
      <c r="O339" s="114">
        <f t="shared" si="24"/>
        <v>33.799999999999997</v>
      </c>
      <c r="P339" s="113">
        <f t="shared" si="25"/>
        <v>5475.6</v>
      </c>
      <c r="Q339" s="209"/>
      <c r="R339" s="203"/>
      <c r="S339" s="182"/>
      <c r="T339" s="182"/>
      <c r="U339" s="182"/>
      <c r="V339" s="182"/>
      <c r="W339" s="182"/>
      <c r="X339" s="182"/>
      <c r="Y339" s="182"/>
      <c r="Z339" s="182"/>
      <c r="AA339" s="182"/>
      <c r="AB339" s="182"/>
      <c r="AC339" s="182"/>
      <c r="AD339" s="182"/>
      <c r="AE339" s="182"/>
      <c r="AF339" s="182"/>
      <c r="AG339" s="182"/>
      <c r="AH339" s="182"/>
      <c r="AI339" s="182"/>
      <c r="AJ339" s="182"/>
      <c r="AK339" s="182"/>
      <c r="AL339" s="182"/>
      <c r="AM339" s="182"/>
      <c r="AN339" s="182"/>
      <c r="AO339" s="182"/>
      <c r="AP339" s="182"/>
      <c r="AQ339" s="182"/>
      <c r="AR339" s="182"/>
      <c r="AS339" s="182"/>
      <c r="AT339" s="182"/>
      <c r="AU339" s="182"/>
      <c r="AV339" s="182"/>
      <c r="AW339" s="182"/>
      <c r="AX339" s="182"/>
      <c r="AY339" s="182"/>
      <c r="AZ339" s="182"/>
      <c r="BA339" s="182"/>
      <c r="BB339" s="182"/>
      <c r="BC339" s="182"/>
      <c r="BD339" s="182"/>
      <c r="BE339" s="182"/>
      <c r="BF339" s="182"/>
      <c r="BG339" s="182"/>
      <c r="BH339" s="182"/>
      <c r="BI339" s="182"/>
      <c r="BJ339" s="182"/>
      <c r="BK339" s="182"/>
      <c r="BL339" s="182"/>
      <c r="BM339" s="182"/>
      <c r="BN339" s="182"/>
      <c r="BO339" s="182"/>
      <c r="BP339" s="182"/>
      <c r="BQ339" s="182"/>
      <c r="BR339" s="182"/>
      <c r="BS339" s="182"/>
      <c r="BT339" s="182"/>
      <c r="BU339" s="182"/>
      <c r="BV339" s="182"/>
      <c r="BW339" s="182"/>
      <c r="BX339" s="182"/>
      <c r="BY339" s="182"/>
      <c r="BZ339" s="182"/>
      <c r="CA339" s="182"/>
      <c r="CB339" s="182"/>
      <c r="CC339" s="182"/>
      <c r="CD339" s="182"/>
      <c r="CE339" s="182"/>
      <c r="CF339" s="182"/>
      <c r="CG339" s="182"/>
      <c r="CH339" s="182"/>
      <c r="CI339" s="182"/>
      <c r="CJ339" s="182"/>
      <c r="CK339" s="182"/>
      <c r="CL339" s="182"/>
      <c r="CM339" s="182"/>
      <c r="CN339" s="182"/>
      <c r="CO339" s="182"/>
      <c r="CP339" s="182"/>
      <c r="CQ339" s="182"/>
      <c r="CR339" s="182"/>
      <c r="CS339" s="182"/>
      <c r="CT339" s="182"/>
      <c r="CU339" s="182"/>
      <c r="CV339" s="182"/>
      <c r="CW339" s="182"/>
      <c r="CX339" s="182"/>
      <c r="CY339" s="182"/>
      <c r="CZ339" s="182"/>
      <c r="DA339" s="182"/>
      <c r="DB339" s="182"/>
      <c r="DC339" s="182"/>
      <c r="DD339" s="182"/>
      <c r="DE339" s="182"/>
      <c r="DF339" s="182"/>
      <c r="DG339" s="182"/>
      <c r="DH339" s="182"/>
      <c r="DI339" s="182"/>
      <c r="DJ339" s="182"/>
      <c r="DK339" s="182"/>
      <c r="DL339" s="182"/>
      <c r="DM339" s="182"/>
      <c r="DN339" s="182"/>
      <c r="DO339" s="182"/>
      <c r="DP339" s="182"/>
      <c r="DQ339" s="182"/>
      <c r="DR339" s="182"/>
      <c r="DS339" s="182"/>
      <c r="DT339" s="182"/>
      <c r="DU339" s="182"/>
      <c r="DV339" s="182"/>
      <c r="DW339" s="182"/>
      <c r="DX339" s="182"/>
      <c r="DY339" s="182"/>
      <c r="DZ339" s="182"/>
      <c r="EA339" s="182"/>
      <c r="EB339" s="182"/>
      <c r="EC339" s="182"/>
      <c r="ED339" s="182"/>
      <c r="EE339" s="182"/>
      <c r="EF339" s="182"/>
      <c r="EG339" s="182"/>
      <c r="EH339" s="182"/>
      <c r="EI339" s="182"/>
      <c r="EJ339" s="182"/>
      <c r="EK339" s="182"/>
      <c r="EL339" s="182"/>
      <c r="EM339" s="182"/>
      <c r="EN339" s="182"/>
      <c r="EO339" s="182"/>
      <c r="EP339" s="182"/>
      <c r="EQ339" s="182"/>
      <c r="ER339" s="182"/>
      <c r="ES339" s="182"/>
      <c r="ET339" s="182"/>
      <c r="EU339" s="182"/>
      <c r="EV339" s="182"/>
      <c r="EW339" s="182"/>
      <c r="EX339" s="182"/>
      <c r="EY339" s="182"/>
      <c r="EZ339" s="182"/>
      <c r="FA339" s="182"/>
      <c r="FB339" s="182"/>
      <c r="FC339" s="182"/>
      <c r="FD339" s="182"/>
      <c r="FE339" s="182"/>
      <c r="FF339" s="182"/>
      <c r="FG339" s="182"/>
      <c r="FH339" s="182"/>
      <c r="FI339" s="182"/>
      <c r="FJ339" s="182"/>
      <c r="FK339" s="182"/>
      <c r="FL339" s="182"/>
      <c r="FM339" s="182"/>
      <c r="FN339" s="182"/>
      <c r="FO339" s="182"/>
      <c r="FP339" s="182"/>
      <c r="FQ339" s="182"/>
      <c r="FR339" s="182"/>
      <c r="FS339" s="182"/>
      <c r="FT339" s="182"/>
      <c r="FU339" s="182"/>
      <c r="FV339" s="182"/>
      <c r="FW339" s="182"/>
      <c r="FX339" s="182"/>
      <c r="FY339" s="182"/>
      <c r="FZ339" s="182"/>
      <c r="GA339" s="182"/>
      <c r="GB339" s="182"/>
      <c r="GC339" s="182"/>
      <c r="GD339" s="182"/>
      <c r="GE339" s="182"/>
      <c r="GF339" s="182"/>
      <c r="GG339" s="182"/>
      <c r="GH339" s="182"/>
      <c r="GI339" s="182"/>
    </row>
    <row r="340" spans="1:191" s="183" customFormat="1" x14ac:dyDescent="0.2">
      <c r="A340" s="210" t="s">
        <v>38645</v>
      </c>
      <c r="B340" s="210" t="s">
        <v>19188</v>
      </c>
      <c r="C340" s="224" t="s">
        <v>22444</v>
      </c>
      <c r="D340" s="211" t="s">
        <v>16</v>
      </c>
      <c r="E340" s="211">
        <v>540</v>
      </c>
      <c r="F340" s="211"/>
      <c r="G340" s="211">
        <v>0.3</v>
      </c>
      <c r="H340" s="212"/>
      <c r="I340" s="213"/>
      <c r="J340" s="272">
        <v>7.4</v>
      </c>
      <c r="K340" s="112">
        <f t="shared" si="23"/>
        <v>3996</v>
      </c>
      <c r="L340" s="273">
        <f>BDI!$E$17</f>
        <v>0.11260000000000001</v>
      </c>
      <c r="M340" s="213"/>
      <c r="N340" s="213"/>
      <c r="O340" s="114">
        <f t="shared" si="24"/>
        <v>8.23</v>
      </c>
      <c r="P340" s="113">
        <f t="shared" si="25"/>
        <v>1333.26</v>
      </c>
      <c r="Q340" s="209"/>
      <c r="R340" s="203"/>
      <c r="S340" s="182"/>
      <c r="T340" s="182"/>
      <c r="U340" s="182"/>
      <c r="V340" s="182"/>
      <c r="W340" s="182"/>
      <c r="X340" s="182"/>
      <c r="Y340" s="182"/>
      <c r="Z340" s="182"/>
      <c r="AA340" s="182"/>
      <c r="AB340" s="182"/>
      <c r="AC340" s="182"/>
      <c r="AD340" s="182"/>
      <c r="AE340" s="182"/>
      <c r="AF340" s="182"/>
      <c r="AG340" s="182"/>
      <c r="AH340" s="182"/>
      <c r="AI340" s="182"/>
      <c r="AJ340" s="182"/>
      <c r="AK340" s="182"/>
      <c r="AL340" s="182"/>
      <c r="AM340" s="182"/>
      <c r="AN340" s="182"/>
      <c r="AO340" s="182"/>
      <c r="AP340" s="182"/>
      <c r="AQ340" s="182"/>
      <c r="AR340" s="182"/>
      <c r="AS340" s="182"/>
      <c r="AT340" s="182"/>
      <c r="AU340" s="182"/>
      <c r="AV340" s="182"/>
      <c r="AW340" s="182"/>
      <c r="AX340" s="182"/>
      <c r="AY340" s="182"/>
      <c r="AZ340" s="182"/>
      <c r="BA340" s="182"/>
      <c r="BB340" s="182"/>
      <c r="BC340" s="182"/>
      <c r="BD340" s="182"/>
      <c r="BE340" s="182"/>
      <c r="BF340" s="182"/>
      <c r="BG340" s="182"/>
      <c r="BH340" s="182"/>
      <c r="BI340" s="182"/>
      <c r="BJ340" s="182"/>
      <c r="BK340" s="182"/>
      <c r="BL340" s="182"/>
      <c r="BM340" s="182"/>
      <c r="BN340" s="182"/>
      <c r="BO340" s="182"/>
      <c r="BP340" s="182"/>
      <c r="BQ340" s="182"/>
      <c r="BR340" s="182"/>
      <c r="BS340" s="182"/>
      <c r="BT340" s="182"/>
      <c r="BU340" s="182"/>
      <c r="BV340" s="182"/>
      <c r="BW340" s="182"/>
      <c r="BX340" s="182"/>
      <c r="BY340" s="182"/>
      <c r="BZ340" s="182"/>
      <c r="CA340" s="182"/>
      <c r="CB340" s="182"/>
      <c r="CC340" s="182"/>
      <c r="CD340" s="182"/>
      <c r="CE340" s="182"/>
      <c r="CF340" s="182"/>
      <c r="CG340" s="182"/>
      <c r="CH340" s="182"/>
      <c r="CI340" s="182"/>
      <c r="CJ340" s="182"/>
      <c r="CK340" s="182"/>
      <c r="CL340" s="182"/>
      <c r="CM340" s="182"/>
      <c r="CN340" s="182"/>
      <c r="CO340" s="182"/>
      <c r="CP340" s="182"/>
      <c r="CQ340" s="182"/>
      <c r="CR340" s="182"/>
      <c r="CS340" s="182"/>
      <c r="CT340" s="182"/>
      <c r="CU340" s="182"/>
      <c r="CV340" s="182"/>
      <c r="CW340" s="182"/>
      <c r="CX340" s="182"/>
      <c r="CY340" s="182"/>
      <c r="CZ340" s="182"/>
      <c r="DA340" s="182"/>
      <c r="DB340" s="182"/>
      <c r="DC340" s="182"/>
      <c r="DD340" s="182"/>
      <c r="DE340" s="182"/>
      <c r="DF340" s="182"/>
      <c r="DG340" s="182"/>
      <c r="DH340" s="182"/>
      <c r="DI340" s="182"/>
      <c r="DJ340" s="182"/>
      <c r="DK340" s="182"/>
      <c r="DL340" s="182"/>
      <c r="DM340" s="182"/>
      <c r="DN340" s="182"/>
      <c r="DO340" s="182"/>
      <c r="DP340" s="182"/>
      <c r="DQ340" s="182"/>
      <c r="DR340" s="182"/>
      <c r="DS340" s="182"/>
      <c r="DT340" s="182"/>
      <c r="DU340" s="182"/>
      <c r="DV340" s="182"/>
      <c r="DW340" s="182"/>
      <c r="DX340" s="182"/>
      <c r="DY340" s="182"/>
      <c r="DZ340" s="182"/>
      <c r="EA340" s="182"/>
      <c r="EB340" s="182"/>
      <c r="EC340" s="182"/>
      <c r="ED340" s="182"/>
      <c r="EE340" s="182"/>
      <c r="EF340" s="182"/>
      <c r="EG340" s="182"/>
      <c r="EH340" s="182"/>
      <c r="EI340" s="182"/>
      <c r="EJ340" s="182"/>
      <c r="EK340" s="182"/>
      <c r="EL340" s="182"/>
      <c r="EM340" s="182"/>
      <c r="EN340" s="182"/>
      <c r="EO340" s="182"/>
      <c r="EP340" s="182"/>
      <c r="EQ340" s="182"/>
      <c r="ER340" s="182"/>
      <c r="ES340" s="182"/>
      <c r="ET340" s="182"/>
      <c r="EU340" s="182"/>
      <c r="EV340" s="182"/>
      <c r="EW340" s="182"/>
      <c r="EX340" s="182"/>
      <c r="EY340" s="182"/>
      <c r="EZ340" s="182"/>
      <c r="FA340" s="182"/>
      <c r="FB340" s="182"/>
      <c r="FC340" s="182"/>
      <c r="FD340" s="182"/>
      <c r="FE340" s="182"/>
      <c r="FF340" s="182"/>
      <c r="FG340" s="182"/>
      <c r="FH340" s="182"/>
      <c r="FI340" s="182"/>
      <c r="FJ340" s="182"/>
      <c r="FK340" s="182"/>
      <c r="FL340" s="182"/>
      <c r="FM340" s="182"/>
      <c r="FN340" s="182"/>
      <c r="FO340" s="182"/>
      <c r="FP340" s="182"/>
      <c r="FQ340" s="182"/>
      <c r="FR340" s="182"/>
      <c r="FS340" s="182"/>
      <c r="FT340" s="182"/>
      <c r="FU340" s="182"/>
      <c r="FV340" s="182"/>
      <c r="FW340" s="182"/>
      <c r="FX340" s="182"/>
      <c r="FY340" s="182"/>
      <c r="FZ340" s="182"/>
      <c r="GA340" s="182"/>
      <c r="GB340" s="182"/>
      <c r="GC340" s="182"/>
      <c r="GD340" s="182"/>
      <c r="GE340" s="182"/>
      <c r="GF340" s="182"/>
      <c r="GG340" s="182"/>
      <c r="GH340" s="182"/>
      <c r="GI340" s="182"/>
    </row>
    <row r="341" spans="1:191" s="183" customFormat="1" x14ac:dyDescent="0.2">
      <c r="A341" s="210" t="s">
        <v>38646</v>
      </c>
      <c r="B341" s="210" t="s">
        <v>19189</v>
      </c>
      <c r="C341" s="224" t="s">
        <v>22445</v>
      </c>
      <c r="D341" s="211" t="s">
        <v>16</v>
      </c>
      <c r="E341" s="211">
        <v>540</v>
      </c>
      <c r="F341" s="211"/>
      <c r="G341" s="211">
        <v>0.3</v>
      </c>
      <c r="H341" s="212"/>
      <c r="I341" s="213"/>
      <c r="J341" s="272">
        <v>7.79</v>
      </c>
      <c r="K341" s="112">
        <f t="shared" si="23"/>
        <v>4206.6000000000004</v>
      </c>
      <c r="L341" s="273">
        <f>BDI!$E$17</f>
        <v>0.11260000000000001</v>
      </c>
      <c r="M341" s="213"/>
      <c r="N341" s="213"/>
      <c r="O341" s="114">
        <f t="shared" si="24"/>
        <v>8.67</v>
      </c>
      <c r="P341" s="113">
        <f t="shared" si="25"/>
        <v>1404.54</v>
      </c>
      <c r="Q341" s="209"/>
      <c r="R341" s="203"/>
      <c r="S341" s="182"/>
      <c r="T341" s="182"/>
      <c r="U341" s="182"/>
      <c r="V341" s="182"/>
      <c r="W341" s="182"/>
      <c r="X341" s="182"/>
      <c r="Y341" s="182"/>
      <c r="Z341" s="182"/>
      <c r="AA341" s="182"/>
      <c r="AB341" s="182"/>
      <c r="AC341" s="182"/>
      <c r="AD341" s="182"/>
      <c r="AE341" s="182"/>
      <c r="AF341" s="182"/>
      <c r="AG341" s="182"/>
      <c r="AH341" s="182"/>
      <c r="AI341" s="182"/>
      <c r="AJ341" s="182"/>
      <c r="AK341" s="182"/>
      <c r="AL341" s="182"/>
      <c r="AM341" s="182"/>
      <c r="AN341" s="182"/>
      <c r="AO341" s="182"/>
      <c r="AP341" s="182"/>
      <c r="AQ341" s="182"/>
      <c r="AR341" s="182"/>
      <c r="AS341" s="182"/>
      <c r="AT341" s="182"/>
      <c r="AU341" s="182"/>
      <c r="AV341" s="182"/>
      <c r="AW341" s="182"/>
      <c r="AX341" s="182"/>
      <c r="AY341" s="182"/>
      <c r="AZ341" s="182"/>
      <c r="BA341" s="182"/>
      <c r="BB341" s="182"/>
      <c r="BC341" s="182"/>
      <c r="BD341" s="182"/>
      <c r="BE341" s="182"/>
      <c r="BF341" s="182"/>
      <c r="BG341" s="182"/>
      <c r="BH341" s="182"/>
      <c r="BI341" s="182"/>
      <c r="BJ341" s="182"/>
      <c r="BK341" s="182"/>
      <c r="BL341" s="182"/>
      <c r="BM341" s="182"/>
      <c r="BN341" s="182"/>
      <c r="BO341" s="182"/>
      <c r="BP341" s="182"/>
      <c r="BQ341" s="182"/>
      <c r="BR341" s="182"/>
      <c r="BS341" s="182"/>
      <c r="BT341" s="182"/>
      <c r="BU341" s="182"/>
      <c r="BV341" s="182"/>
      <c r="BW341" s="182"/>
      <c r="BX341" s="182"/>
      <c r="BY341" s="182"/>
      <c r="BZ341" s="182"/>
      <c r="CA341" s="182"/>
      <c r="CB341" s="182"/>
      <c r="CC341" s="182"/>
      <c r="CD341" s="182"/>
      <c r="CE341" s="182"/>
      <c r="CF341" s="182"/>
      <c r="CG341" s="182"/>
      <c r="CH341" s="182"/>
      <c r="CI341" s="182"/>
      <c r="CJ341" s="182"/>
      <c r="CK341" s="182"/>
      <c r="CL341" s="182"/>
      <c r="CM341" s="182"/>
      <c r="CN341" s="182"/>
      <c r="CO341" s="182"/>
      <c r="CP341" s="182"/>
      <c r="CQ341" s="182"/>
      <c r="CR341" s="182"/>
      <c r="CS341" s="182"/>
      <c r="CT341" s="182"/>
      <c r="CU341" s="182"/>
      <c r="CV341" s="182"/>
      <c r="CW341" s="182"/>
      <c r="CX341" s="182"/>
      <c r="CY341" s="182"/>
      <c r="CZ341" s="182"/>
      <c r="DA341" s="182"/>
      <c r="DB341" s="182"/>
      <c r="DC341" s="182"/>
      <c r="DD341" s="182"/>
      <c r="DE341" s="182"/>
      <c r="DF341" s="182"/>
      <c r="DG341" s="182"/>
      <c r="DH341" s="182"/>
      <c r="DI341" s="182"/>
      <c r="DJ341" s="182"/>
      <c r="DK341" s="182"/>
      <c r="DL341" s="182"/>
      <c r="DM341" s="182"/>
      <c r="DN341" s="182"/>
      <c r="DO341" s="182"/>
      <c r="DP341" s="182"/>
      <c r="DQ341" s="182"/>
      <c r="DR341" s="182"/>
      <c r="DS341" s="182"/>
      <c r="DT341" s="182"/>
      <c r="DU341" s="182"/>
      <c r="DV341" s="182"/>
      <c r="DW341" s="182"/>
      <c r="DX341" s="182"/>
      <c r="DY341" s="182"/>
      <c r="DZ341" s="182"/>
      <c r="EA341" s="182"/>
      <c r="EB341" s="182"/>
      <c r="EC341" s="182"/>
      <c r="ED341" s="182"/>
      <c r="EE341" s="182"/>
      <c r="EF341" s="182"/>
      <c r="EG341" s="182"/>
      <c r="EH341" s="182"/>
      <c r="EI341" s="182"/>
      <c r="EJ341" s="182"/>
      <c r="EK341" s="182"/>
      <c r="EL341" s="182"/>
      <c r="EM341" s="182"/>
      <c r="EN341" s="182"/>
      <c r="EO341" s="182"/>
      <c r="EP341" s="182"/>
      <c r="EQ341" s="182"/>
      <c r="ER341" s="182"/>
      <c r="ES341" s="182"/>
      <c r="ET341" s="182"/>
      <c r="EU341" s="182"/>
      <c r="EV341" s="182"/>
      <c r="EW341" s="182"/>
      <c r="EX341" s="182"/>
      <c r="EY341" s="182"/>
      <c r="EZ341" s="182"/>
      <c r="FA341" s="182"/>
      <c r="FB341" s="182"/>
      <c r="FC341" s="182"/>
      <c r="FD341" s="182"/>
      <c r="FE341" s="182"/>
      <c r="FF341" s="182"/>
      <c r="FG341" s="182"/>
      <c r="FH341" s="182"/>
      <c r="FI341" s="182"/>
      <c r="FJ341" s="182"/>
      <c r="FK341" s="182"/>
      <c r="FL341" s="182"/>
      <c r="FM341" s="182"/>
      <c r="FN341" s="182"/>
      <c r="FO341" s="182"/>
      <c r="FP341" s="182"/>
      <c r="FQ341" s="182"/>
      <c r="FR341" s="182"/>
      <c r="FS341" s="182"/>
      <c r="FT341" s="182"/>
      <c r="FU341" s="182"/>
      <c r="FV341" s="182"/>
      <c r="FW341" s="182"/>
      <c r="FX341" s="182"/>
      <c r="FY341" s="182"/>
      <c r="FZ341" s="182"/>
      <c r="GA341" s="182"/>
      <c r="GB341" s="182"/>
      <c r="GC341" s="182"/>
      <c r="GD341" s="182"/>
      <c r="GE341" s="182"/>
      <c r="GF341" s="182"/>
      <c r="GG341" s="182"/>
      <c r="GH341" s="182"/>
      <c r="GI341" s="182"/>
    </row>
    <row r="342" spans="1:191" s="183" customFormat="1" x14ac:dyDescent="0.2">
      <c r="A342" s="210" t="s">
        <v>38647</v>
      </c>
      <c r="B342" s="210" t="s">
        <v>19190</v>
      </c>
      <c r="C342" s="224" t="s">
        <v>22446</v>
      </c>
      <c r="D342" s="211" t="s">
        <v>16</v>
      </c>
      <c r="E342" s="211">
        <v>270</v>
      </c>
      <c r="F342" s="211"/>
      <c r="G342" s="211">
        <v>0.3</v>
      </c>
      <c r="H342" s="212"/>
      <c r="I342" s="213"/>
      <c r="J342" s="272">
        <v>6.59</v>
      </c>
      <c r="K342" s="112">
        <f t="shared" si="23"/>
        <v>1779.3</v>
      </c>
      <c r="L342" s="273">
        <f>BDI!$E$17</f>
        <v>0.11260000000000001</v>
      </c>
      <c r="M342" s="213"/>
      <c r="N342" s="213"/>
      <c r="O342" s="114">
        <f t="shared" si="24"/>
        <v>7.33</v>
      </c>
      <c r="P342" s="113">
        <f t="shared" si="25"/>
        <v>593.73</v>
      </c>
      <c r="Q342" s="209"/>
      <c r="R342" s="203"/>
      <c r="S342" s="182"/>
      <c r="T342" s="182"/>
      <c r="U342" s="182"/>
      <c r="V342" s="182"/>
      <c r="W342" s="182"/>
      <c r="X342" s="182"/>
      <c r="Y342" s="182"/>
      <c r="Z342" s="182"/>
      <c r="AA342" s="182"/>
      <c r="AB342" s="182"/>
      <c r="AC342" s="182"/>
      <c r="AD342" s="182"/>
      <c r="AE342" s="182"/>
      <c r="AF342" s="182"/>
      <c r="AG342" s="182"/>
      <c r="AH342" s="182"/>
      <c r="AI342" s="182"/>
      <c r="AJ342" s="182"/>
      <c r="AK342" s="182"/>
      <c r="AL342" s="182"/>
      <c r="AM342" s="182"/>
      <c r="AN342" s="182"/>
      <c r="AO342" s="182"/>
      <c r="AP342" s="182"/>
      <c r="AQ342" s="182"/>
      <c r="AR342" s="182"/>
      <c r="AS342" s="182"/>
      <c r="AT342" s="182"/>
      <c r="AU342" s="182"/>
      <c r="AV342" s="182"/>
      <c r="AW342" s="182"/>
      <c r="AX342" s="182"/>
      <c r="AY342" s="182"/>
      <c r="AZ342" s="182"/>
      <c r="BA342" s="182"/>
      <c r="BB342" s="182"/>
      <c r="BC342" s="182"/>
      <c r="BD342" s="182"/>
      <c r="BE342" s="182"/>
      <c r="BF342" s="182"/>
      <c r="BG342" s="182"/>
      <c r="BH342" s="182"/>
      <c r="BI342" s="182"/>
      <c r="BJ342" s="182"/>
      <c r="BK342" s="182"/>
      <c r="BL342" s="182"/>
      <c r="BM342" s="182"/>
      <c r="BN342" s="182"/>
      <c r="BO342" s="182"/>
      <c r="BP342" s="182"/>
      <c r="BQ342" s="182"/>
      <c r="BR342" s="182"/>
      <c r="BS342" s="182"/>
      <c r="BT342" s="182"/>
      <c r="BU342" s="182"/>
      <c r="BV342" s="182"/>
      <c r="BW342" s="182"/>
      <c r="BX342" s="182"/>
      <c r="BY342" s="182"/>
      <c r="BZ342" s="182"/>
      <c r="CA342" s="182"/>
      <c r="CB342" s="182"/>
      <c r="CC342" s="182"/>
      <c r="CD342" s="182"/>
      <c r="CE342" s="182"/>
      <c r="CF342" s="182"/>
      <c r="CG342" s="182"/>
      <c r="CH342" s="182"/>
      <c r="CI342" s="182"/>
      <c r="CJ342" s="182"/>
      <c r="CK342" s="182"/>
      <c r="CL342" s="182"/>
      <c r="CM342" s="182"/>
      <c r="CN342" s="182"/>
      <c r="CO342" s="182"/>
      <c r="CP342" s="182"/>
      <c r="CQ342" s="182"/>
      <c r="CR342" s="182"/>
      <c r="CS342" s="182"/>
      <c r="CT342" s="182"/>
      <c r="CU342" s="182"/>
      <c r="CV342" s="182"/>
      <c r="CW342" s="182"/>
      <c r="CX342" s="182"/>
      <c r="CY342" s="182"/>
      <c r="CZ342" s="182"/>
      <c r="DA342" s="182"/>
      <c r="DB342" s="182"/>
      <c r="DC342" s="182"/>
      <c r="DD342" s="182"/>
      <c r="DE342" s="182"/>
      <c r="DF342" s="182"/>
      <c r="DG342" s="182"/>
      <c r="DH342" s="182"/>
      <c r="DI342" s="182"/>
      <c r="DJ342" s="182"/>
      <c r="DK342" s="182"/>
      <c r="DL342" s="182"/>
      <c r="DM342" s="182"/>
      <c r="DN342" s="182"/>
      <c r="DO342" s="182"/>
      <c r="DP342" s="182"/>
      <c r="DQ342" s="182"/>
      <c r="DR342" s="182"/>
      <c r="DS342" s="182"/>
      <c r="DT342" s="182"/>
      <c r="DU342" s="182"/>
      <c r="DV342" s="182"/>
      <c r="DW342" s="182"/>
      <c r="DX342" s="182"/>
      <c r="DY342" s="182"/>
      <c r="DZ342" s="182"/>
      <c r="EA342" s="182"/>
      <c r="EB342" s="182"/>
      <c r="EC342" s="182"/>
      <c r="ED342" s="182"/>
      <c r="EE342" s="182"/>
      <c r="EF342" s="182"/>
      <c r="EG342" s="182"/>
      <c r="EH342" s="182"/>
      <c r="EI342" s="182"/>
      <c r="EJ342" s="182"/>
      <c r="EK342" s="182"/>
      <c r="EL342" s="182"/>
      <c r="EM342" s="182"/>
      <c r="EN342" s="182"/>
      <c r="EO342" s="182"/>
      <c r="EP342" s="182"/>
      <c r="EQ342" s="182"/>
      <c r="ER342" s="182"/>
      <c r="ES342" s="182"/>
      <c r="ET342" s="182"/>
      <c r="EU342" s="182"/>
      <c r="EV342" s="182"/>
      <c r="EW342" s="182"/>
      <c r="EX342" s="182"/>
      <c r="EY342" s="182"/>
      <c r="EZ342" s="182"/>
      <c r="FA342" s="182"/>
      <c r="FB342" s="182"/>
      <c r="FC342" s="182"/>
      <c r="FD342" s="182"/>
      <c r="FE342" s="182"/>
      <c r="FF342" s="182"/>
      <c r="FG342" s="182"/>
      <c r="FH342" s="182"/>
      <c r="FI342" s="182"/>
      <c r="FJ342" s="182"/>
      <c r="FK342" s="182"/>
      <c r="FL342" s="182"/>
      <c r="FM342" s="182"/>
      <c r="FN342" s="182"/>
      <c r="FO342" s="182"/>
      <c r="FP342" s="182"/>
      <c r="FQ342" s="182"/>
      <c r="FR342" s="182"/>
      <c r="FS342" s="182"/>
      <c r="FT342" s="182"/>
      <c r="FU342" s="182"/>
      <c r="FV342" s="182"/>
      <c r="FW342" s="182"/>
      <c r="FX342" s="182"/>
      <c r="FY342" s="182"/>
      <c r="FZ342" s="182"/>
      <c r="GA342" s="182"/>
      <c r="GB342" s="182"/>
      <c r="GC342" s="182"/>
      <c r="GD342" s="182"/>
      <c r="GE342" s="182"/>
      <c r="GF342" s="182"/>
      <c r="GG342" s="182"/>
      <c r="GH342" s="182"/>
      <c r="GI342" s="182"/>
    </row>
    <row r="343" spans="1:191" s="183" customFormat="1" x14ac:dyDescent="0.2">
      <c r="A343" s="210" t="s">
        <v>38648</v>
      </c>
      <c r="B343" s="210" t="s">
        <v>19191</v>
      </c>
      <c r="C343" s="224" t="s">
        <v>22447</v>
      </c>
      <c r="D343" s="211" t="s">
        <v>16</v>
      </c>
      <c r="E343" s="211">
        <v>270</v>
      </c>
      <c r="F343" s="211"/>
      <c r="G343" s="211">
        <v>0.3</v>
      </c>
      <c r="H343" s="212"/>
      <c r="I343" s="213"/>
      <c r="J343" s="272">
        <v>12.67</v>
      </c>
      <c r="K343" s="112">
        <f t="shared" si="23"/>
        <v>3420.9</v>
      </c>
      <c r="L343" s="273">
        <f>BDI!$E$17</f>
        <v>0.11260000000000001</v>
      </c>
      <c r="M343" s="213"/>
      <c r="N343" s="213"/>
      <c r="O343" s="114">
        <f t="shared" si="24"/>
        <v>14.1</v>
      </c>
      <c r="P343" s="113">
        <f t="shared" si="25"/>
        <v>1142.0999999999999</v>
      </c>
      <c r="Q343" s="209"/>
      <c r="R343" s="203"/>
      <c r="S343" s="182"/>
      <c r="T343" s="182"/>
      <c r="U343" s="182"/>
      <c r="V343" s="182"/>
      <c r="W343" s="182"/>
      <c r="X343" s="182"/>
      <c r="Y343" s="182"/>
      <c r="Z343" s="182"/>
      <c r="AA343" s="182"/>
      <c r="AB343" s="182"/>
      <c r="AC343" s="182"/>
      <c r="AD343" s="182"/>
      <c r="AE343" s="182"/>
      <c r="AF343" s="182"/>
      <c r="AG343" s="182"/>
      <c r="AH343" s="182"/>
      <c r="AI343" s="182"/>
      <c r="AJ343" s="182"/>
      <c r="AK343" s="182"/>
      <c r="AL343" s="182"/>
      <c r="AM343" s="182"/>
      <c r="AN343" s="182"/>
      <c r="AO343" s="182"/>
      <c r="AP343" s="182"/>
      <c r="AQ343" s="182"/>
      <c r="AR343" s="182"/>
      <c r="AS343" s="182"/>
      <c r="AT343" s="182"/>
      <c r="AU343" s="182"/>
      <c r="AV343" s="182"/>
      <c r="AW343" s="182"/>
      <c r="AX343" s="182"/>
      <c r="AY343" s="182"/>
      <c r="AZ343" s="182"/>
      <c r="BA343" s="182"/>
      <c r="BB343" s="182"/>
      <c r="BC343" s="182"/>
      <c r="BD343" s="182"/>
      <c r="BE343" s="182"/>
      <c r="BF343" s="182"/>
      <c r="BG343" s="182"/>
      <c r="BH343" s="182"/>
      <c r="BI343" s="182"/>
      <c r="BJ343" s="182"/>
      <c r="BK343" s="182"/>
      <c r="BL343" s="182"/>
      <c r="BM343" s="182"/>
      <c r="BN343" s="182"/>
      <c r="BO343" s="182"/>
      <c r="BP343" s="182"/>
      <c r="BQ343" s="182"/>
      <c r="BR343" s="182"/>
      <c r="BS343" s="182"/>
      <c r="BT343" s="182"/>
      <c r="BU343" s="182"/>
      <c r="BV343" s="182"/>
      <c r="BW343" s="182"/>
      <c r="BX343" s="182"/>
      <c r="BY343" s="182"/>
      <c r="BZ343" s="182"/>
      <c r="CA343" s="182"/>
      <c r="CB343" s="182"/>
      <c r="CC343" s="182"/>
      <c r="CD343" s="182"/>
      <c r="CE343" s="182"/>
      <c r="CF343" s="182"/>
      <c r="CG343" s="182"/>
      <c r="CH343" s="182"/>
      <c r="CI343" s="182"/>
      <c r="CJ343" s="182"/>
      <c r="CK343" s="182"/>
      <c r="CL343" s="182"/>
      <c r="CM343" s="182"/>
      <c r="CN343" s="182"/>
      <c r="CO343" s="182"/>
      <c r="CP343" s="182"/>
      <c r="CQ343" s="182"/>
      <c r="CR343" s="182"/>
      <c r="CS343" s="182"/>
      <c r="CT343" s="182"/>
      <c r="CU343" s="182"/>
      <c r="CV343" s="182"/>
      <c r="CW343" s="182"/>
      <c r="CX343" s="182"/>
      <c r="CY343" s="182"/>
      <c r="CZ343" s="182"/>
      <c r="DA343" s="182"/>
      <c r="DB343" s="182"/>
      <c r="DC343" s="182"/>
      <c r="DD343" s="182"/>
      <c r="DE343" s="182"/>
      <c r="DF343" s="182"/>
      <c r="DG343" s="182"/>
      <c r="DH343" s="182"/>
      <c r="DI343" s="182"/>
      <c r="DJ343" s="182"/>
      <c r="DK343" s="182"/>
      <c r="DL343" s="182"/>
      <c r="DM343" s="182"/>
      <c r="DN343" s="182"/>
      <c r="DO343" s="182"/>
      <c r="DP343" s="182"/>
      <c r="DQ343" s="182"/>
      <c r="DR343" s="182"/>
      <c r="DS343" s="182"/>
      <c r="DT343" s="182"/>
      <c r="DU343" s="182"/>
      <c r="DV343" s="182"/>
      <c r="DW343" s="182"/>
      <c r="DX343" s="182"/>
      <c r="DY343" s="182"/>
      <c r="DZ343" s="182"/>
      <c r="EA343" s="182"/>
      <c r="EB343" s="182"/>
      <c r="EC343" s="182"/>
      <c r="ED343" s="182"/>
      <c r="EE343" s="182"/>
      <c r="EF343" s="182"/>
      <c r="EG343" s="182"/>
      <c r="EH343" s="182"/>
      <c r="EI343" s="182"/>
      <c r="EJ343" s="182"/>
      <c r="EK343" s="182"/>
      <c r="EL343" s="182"/>
      <c r="EM343" s="182"/>
      <c r="EN343" s="182"/>
      <c r="EO343" s="182"/>
      <c r="EP343" s="182"/>
      <c r="EQ343" s="182"/>
      <c r="ER343" s="182"/>
      <c r="ES343" s="182"/>
      <c r="ET343" s="182"/>
      <c r="EU343" s="182"/>
      <c r="EV343" s="182"/>
      <c r="EW343" s="182"/>
      <c r="EX343" s="182"/>
      <c r="EY343" s="182"/>
      <c r="EZ343" s="182"/>
      <c r="FA343" s="182"/>
      <c r="FB343" s="182"/>
      <c r="FC343" s="182"/>
      <c r="FD343" s="182"/>
      <c r="FE343" s="182"/>
      <c r="FF343" s="182"/>
      <c r="FG343" s="182"/>
      <c r="FH343" s="182"/>
      <c r="FI343" s="182"/>
      <c r="FJ343" s="182"/>
      <c r="FK343" s="182"/>
      <c r="FL343" s="182"/>
      <c r="FM343" s="182"/>
      <c r="FN343" s="182"/>
      <c r="FO343" s="182"/>
      <c r="FP343" s="182"/>
      <c r="FQ343" s="182"/>
      <c r="FR343" s="182"/>
      <c r="FS343" s="182"/>
      <c r="FT343" s="182"/>
      <c r="FU343" s="182"/>
      <c r="FV343" s="182"/>
      <c r="FW343" s="182"/>
      <c r="FX343" s="182"/>
      <c r="FY343" s="182"/>
      <c r="FZ343" s="182"/>
      <c r="GA343" s="182"/>
      <c r="GB343" s="182"/>
      <c r="GC343" s="182"/>
      <c r="GD343" s="182"/>
      <c r="GE343" s="182"/>
      <c r="GF343" s="182"/>
      <c r="GG343" s="182"/>
      <c r="GH343" s="182"/>
      <c r="GI343" s="182"/>
    </row>
    <row r="344" spans="1:191" s="183" customFormat="1" x14ac:dyDescent="0.2">
      <c r="A344" s="210" t="s">
        <v>38649</v>
      </c>
      <c r="B344" s="210" t="s">
        <v>19192</v>
      </c>
      <c r="C344" s="224" t="s">
        <v>22448</v>
      </c>
      <c r="D344" s="211" t="s">
        <v>16</v>
      </c>
      <c r="E344" s="211">
        <v>270</v>
      </c>
      <c r="F344" s="211"/>
      <c r="G344" s="211">
        <v>0.3</v>
      </c>
      <c r="H344" s="212"/>
      <c r="I344" s="213"/>
      <c r="J344" s="272">
        <v>5.26</v>
      </c>
      <c r="K344" s="112">
        <f t="shared" si="23"/>
        <v>1420.2</v>
      </c>
      <c r="L344" s="273">
        <f>BDI!$E$17</f>
        <v>0.11260000000000001</v>
      </c>
      <c r="M344" s="213"/>
      <c r="N344" s="213"/>
      <c r="O344" s="114">
        <f t="shared" si="24"/>
        <v>5.85</v>
      </c>
      <c r="P344" s="113">
        <f t="shared" si="25"/>
        <v>473.85</v>
      </c>
      <c r="Q344" s="209"/>
      <c r="R344" s="203"/>
      <c r="S344" s="182"/>
      <c r="T344" s="182"/>
      <c r="U344" s="182"/>
      <c r="V344" s="182"/>
      <c r="W344" s="182"/>
      <c r="X344" s="182"/>
      <c r="Y344" s="182"/>
      <c r="Z344" s="182"/>
      <c r="AA344" s="182"/>
      <c r="AB344" s="182"/>
      <c r="AC344" s="182"/>
      <c r="AD344" s="182"/>
      <c r="AE344" s="182"/>
      <c r="AF344" s="182"/>
      <c r="AG344" s="182"/>
      <c r="AH344" s="182"/>
      <c r="AI344" s="182"/>
      <c r="AJ344" s="182"/>
      <c r="AK344" s="182"/>
      <c r="AL344" s="182"/>
      <c r="AM344" s="182"/>
      <c r="AN344" s="182"/>
      <c r="AO344" s="182"/>
      <c r="AP344" s="182"/>
      <c r="AQ344" s="182"/>
      <c r="AR344" s="182"/>
      <c r="AS344" s="182"/>
      <c r="AT344" s="182"/>
      <c r="AU344" s="182"/>
      <c r="AV344" s="182"/>
      <c r="AW344" s="182"/>
      <c r="AX344" s="182"/>
      <c r="AY344" s="182"/>
      <c r="AZ344" s="182"/>
      <c r="BA344" s="182"/>
      <c r="BB344" s="182"/>
      <c r="BC344" s="182"/>
      <c r="BD344" s="182"/>
      <c r="BE344" s="182"/>
      <c r="BF344" s="182"/>
      <c r="BG344" s="182"/>
      <c r="BH344" s="182"/>
      <c r="BI344" s="182"/>
      <c r="BJ344" s="182"/>
      <c r="BK344" s="182"/>
      <c r="BL344" s="182"/>
      <c r="BM344" s="182"/>
      <c r="BN344" s="182"/>
      <c r="BO344" s="182"/>
      <c r="BP344" s="182"/>
      <c r="BQ344" s="182"/>
      <c r="BR344" s="182"/>
      <c r="BS344" s="182"/>
      <c r="BT344" s="182"/>
      <c r="BU344" s="182"/>
      <c r="BV344" s="182"/>
      <c r="BW344" s="182"/>
      <c r="BX344" s="182"/>
      <c r="BY344" s="182"/>
      <c r="BZ344" s="182"/>
      <c r="CA344" s="182"/>
      <c r="CB344" s="182"/>
      <c r="CC344" s="182"/>
      <c r="CD344" s="182"/>
      <c r="CE344" s="182"/>
      <c r="CF344" s="182"/>
      <c r="CG344" s="182"/>
      <c r="CH344" s="182"/>
      <c r="CI344" s="182"/>
      <c r="CJ344" s="182"/>
      <c r="CK344" s="182"/>
      <c r="CL344" s="182"/>
      <c r="CM344" s="182"/>
      <c r="CN344" s="182"/>
      <c r="CO344" s="182"/>
      <c r="CP344" s="182"/>
      <c r="CQ344" s="182"/>
      <c r="CR344" s="182"/>
      <c r="CS344" s="182"/>
      <c r="CT344" s="182"/>
      <c r="CU344" s="182"/>
      <c r="CV344" s="182"/>
      <c r="CW344" s="182"/>
      <c r="CX344" s="182"/>
      <c r="CY344" s="182"/>
      <c r="CZ344" s="182"/>
      <c r="DA344" s="182"/>
      <c r="DB344" s="182"/>
      <c r="DC344" s="182"/>
      <c r="DD344" s="182"/>
      <c r="DE344" s="182"/>
      <c r="DF344" s="182"/>
      <c r="DG344" s="182"/>
      <c r="DH344" s="182"/>
      <c r="DI344" s="182"/>
      <c r="DJ344" s="182"/>
      <c r="DK344" s="182"/>
      <c r="DL344" s="182"/>
      <c r="DM344" s="182"/>
      <c r="DN344" s="182"/>
      <c r="DO344" s="182"/>
      <c r="DP344" s="182"/>
      <c r="DQ344" s="182"/>
      <c r="DR344" s="182"/>
      <c r="DS344" s="182"/>
      <c r="DT344" s="182"/>
      <c r="DU344" s="182"/>
      <c r="DV344" s="182"/>
      <c r="DW344" s="182"/>
      <c r="DX344" s="182"/>
      <c r="DY344" s="182"/>
      <c r="DZ344" s="182"/>
      <c r="EA344" s="182"/>
      <c r="EB344" s="182"/>
      <c r="EC344" s="182"/>
      <c r="ED344" s="182"/>
      <c r="EE344" s="182"/>
      <c r="EF344" s="182"/>
      <c r="EG344" s="182"/>
      <c r="EH344" s="182"/>
      <c r="EI344" s="182"/>
      <c r="EJ344" s="182"/>
      <c r="EK344" s="182"/>
      <c r="EL344" s="182"/>
      <c r="EM344" s="182"/>
      <c r="EN344" s="182"/>
      <c r="EO344" s="182"/>
      <c r="EP344" s="182"/>
      <c r="EQ344" s="182"/>
      <c r="ER344" s="182"/>
      <c r="ES344" s="182"/>
      <c r="ET344" s="182"/>
      <c r="EU344" s="182"/>
      <c r="EV344" s="182"/>
      <c r="EW344" s="182"/>
      <c r="EX344" s="182"/>
      <c r="EY344" s="182"/>
      <c r="EZ344" s="182"/>
      <c r="FA344" s="182"/>
      <c r="FB344" s="182"/>
      <c r="FC344" s="182"/>
      <c r="FD344" s="182"/>
      <c r="FE344" s="182"/>
      <c r="FF344" s="182"/>
      <c r="FG344" s="182"/>
      <c r="FH344" s="182"/>
      <c r="FI344" s="182"/>
      <c r="FJ344" s="182"/>
      <c r="FK344" s="182"/>
      <c r="FL344" s="182"/>
      <c r="FM344" s="182"/>
      <c r="FN344" s="182"/>
      <c r="FO344" s="182"/>
      <c r="FP344" s="182"/>
      <c r="FQ344" s="182"/>
      <c r="FR344" s="182"/>
      <c r="FS344" s="182"/>
      <c r="FT344" s="182"/>
      <c r="FU344" s="182"/>
      <c r="FV344" s="182"/>
      <c r="FW344" s="182"/>
      <c r="FX344" s="182"/>
      <c r="FY344" s="182"/>
      <c r="FZ344" s="182"/>
      <c r="GA344" s="182"/>
      <c r="GB344" s="182"/>
      <c r="GC344" s="182"/>
      <c r="GD344" s="182"/>
      <c r="GE344" s="182"/>
      <c r="GF344" s="182"/>
      <c r="GG344" s="182"/>
      <c r="GH344" s="182"/>
      <c r="GI344" s="182"/>
    </row>
    <row r="345" spans="1:191" s="183" customFormat="1" x14ac:dyDescent="0.2">
      <c r="A345" s="210" t="s">
        <v>38650</v>
      </c>
      <c r="B345" s="210" t="s">
        <v>19193</v>
      </c>
      <c r="C345" s="224" t="s">
        <v>22449</v>
      </c>
      <c r="D345" s="211" t="s">
        <v>16</v>
      </c>
      <c r="E345" s="211">
        <v>90</v>
      </c>
      <c r="F345" s="211"/>
      <c r="G345" s="211">
        <v>0.3</v>
      </c>
      <c r="H345" s="212"/>
      <c r="I345" s="213"/>
      <c r="J345" s="272">
        <v>13.17</v>
      </c>
      <c r="K345" s="112">
        <f t="shared" si="23"/>
        <v>1185.3</v>
      </c>
      <c r="L345" s="273">
        <f>BDI!$E$17</f>
        <v>0.11260000000000001</v>
      </c>
      <c r="M345" s="213"/>
      <c r="N345" s="213"/>
      <c r="O345" s="114">
        <f t="shared" si="24"/>
        <v>14.65</v>
      </c>
      <c r="P345" s="113">
        <f t="shared" si="25"/>
        <v>395.55</v>
      </c>
      <c r="Q345" s="209"/>
      <c r="R345" s="203"/>
      <c r="S345" s="182"/>
      <c r="T345" s="182"/>
      <c r="U345" s="182"/>
      <c r="V345" s="182"/>
      <c r="W345" s="182"/>
      <c r="X345" s="182"/>
      <c r="Y345" s="182"/>
      <c r="Z345" s="182"/>
      <c r="AA345" s="182"/>
      <c r="AB345" s="182"/>
      <c r="AC345" s="182"/>
      <c r="AD345" s="182"/>
      <c r="AE345" s="182"/>
      <c r="AF345" s="182"/>
      <c r="AG345" s="182"/>
      <c r="AH345" s="182"/>
      <c r="AI345" s="182"/>
      <c r="AJ345" s="182"/>
      <c r="AK345" s="182"/>
      <c r="AL345" s="182"/>
      <c r="AM345" s="182"/>
      <c r="AN345" s="182"/>
      <c r="AO345" s="182"/>
      <c r="AP345" s="182"/>
      <c r="AQ345" s="182"/>
      <c r="AR345" s="182"/>
      <c r="AS345" s="182"/>
      <c r="AT345" s="182"/>
      <c r="AU345" s="182"/>
      <c r="AV345" s="182"/>
      <c r="AW345" s="182"/>
      <c r="AX345" s="182"/>
      <c r="AY345" s="182"/>
      <c r="AZ345" s="182"/>
      <c r="BA345" s="182"/>
      <c r="BB345" s="182"/>
      <c r="BC345" s="182"/>
      <c r="BD345" s="182"/>
      <c r="BE345" s="182"/>
      <c r="BF345" s="182"/>
      <c r="BG345" s="182"/>
      <c r="BH345" s="182"/>
      <c r="BI345" s="182"/>
      <c r="BJ345" s="182"/>
      <c r="BK345" s="182"/>
      <c r="BL345" s="182"/>
      <c r="BM345" s="182"/>
      <c r="BN345" s="182"/>
      <c r="BO345" s="182"/>
      <c r="BP345" s="182"/>
      <c r="BQ345" s="182"/>
      <c r="BR345" s="182"/>
      <c r="BS345" s="182"/>
      <c r="BT345" s="182"/>
      <c r="BU345" s="182"/>
      <c r="BV345" s="182"/>
      <c r="BW345" s="182"/>
      <c r="BX345" s="182"/>
      <c r="BY345" s="182"/>
      <c r="BZ345" s="182"/>
      <c r="CA345" s="182"/>
      <c r="CB345" s="182"/>
      <c r="CC345" s="182"/>
      <c r="CD345" s="182"/>
      <c r="CE345" s="182"/>
      <c r="CF345" s="182"/>
      <c r="CG345" s="182"/>
      <c r="CH345" s="182"/>
      <c r="CI345" s="182"/>
      <c r="CJ345" s="182"/>
      <c r="CK345" s="182"/>
      <c r="CL345" s="182"/>
      <c r="CM345" s="182"/>
      <c r="CN345" s="182"/>
      <c r="CO345" s="182"/>
      <c r="CP345" s="182"/>
      <c r="CQ345" s="182"/>
      <c r="CR345" s="182"/>
      <c r="CS345" s="182"/>
      <c r="CT345" s="182"/>
      <c r="CU345" s="182"/>
      <c r="CV345" s="182"/>
      <c r="CW345" s="182"/>
      <c r="CX345" s="182"/>
      <c r="CY345" s="182"/>
      <c r="CZ345" s="182"/>
      <c r="DA345" s="182"/>
      <c r="DB345" s="182"/>
      <c r="DC345" s="182"/>
      <c r="DD345" s="182"/>
      <c r="DE345" s="182"/>
      <c r="DF345" s="182"/>
      <c r="DG345" s="182"/>
      <c r="DH345" s="182"/>
      <c r="DI345" s="182"/>
      <c r="DJ345" s="182"/>
      <c r="DK345" s="182"/>
      <c r="DL345" s="182"/>
      <c r="DM345" s="182"/>
      <c r="DN345" s="182"/>
      <c r="DO345" s="182"/>
      <c r="DP345" s="182"/>
      <c r="DQ345" s="182"/>
      <c r="DR345" s="182"/>
      <c r="DS345" s="182"/>
      <c r="DT345" s="182"/>
      <c r="DU345" s="182"/>
      <c r="DV345" s="182"/>
      <c r="DW345" s="182"/>
      <c r="DX345" s="182"/>
      <c r="DY345" s="182"/>
      <c r="DZ345" s="182"/>
      <c r="EA345" s="182"/>
      <c r="EB345" s="182"/>
      <c r="EC345" s="182"/>
      <c r="ED345" s="182"/>
      <c r="EE345" s="182"/>
      <c r="EF345" s="182"/>
      <c r="EG345" s="182"/>
      <c r="EH345" s="182"/>
      <c r="EI345" s="182"/>
      <c r="EJ345" s="182"/>
      <c r="EK345" s="182"/>
      <c r="EL345" s="182"/>
      <c r="EM345" s="182"/>
      <c r="EN345" s="182"/>
      <c r="EO345" s="182"/>
      <c r="EP345" s="182"/>
      <c r="EQ345" s="182"/>
      <c r="ER345" s="182"/>
      <c r="ES345" s="182"/>
      <c r="ET345" s="182"/>
      <c r="EU345" s="182"/>
      <c r="EV345" s="182"/>
      <c r="EW345" s="182"/>
      <c r="EX345" s="182"/>
      <c r="EY345" s="182"/>
      <c r="EZ345" s="182"/>
      <c r="FA345" s="182"/>
      <c r="FB345" s="182"/>
      <c r="FC345" s="182"/>
      <c r="FD345" s="182"/>
      <c r="FE345" s="182"/>
      <c r="FF345" s="182"/>
      <c r="FG345" s="182"/>
      <c r="FH345" s="182"/>
      <c r="FI345" s="182"/>
      <c r="FJ345" s="182"/>
      <c r="FK345" s="182"/>
      <c r="FL345" s="182"/>
      <c r="FM345" s="182"/>
      <c r="FN345" s="182"/>
      <c r="FO345" s="182"/>
      <c r="FP345" s="182"/>
      <c r="FQ345" s="182"/>
      <c r="FR345" s="182"/>
      <c r="FS345" s="182"/>
      <c r="FT345" s="182"/>
      <c r="FU345" s="182"/>
      <c r="FV345" s="182"/>
      <c r="FW345" s="182"/>
      <c r="FX345" s="182"/>
      <c r="FY345" s="182"/>
      <c r="FZ345" s="182"/>
      <c r="GA345" s="182"/>
      <c r="GB345" s="182"/>
      <c r="GC345" s="182"/>
      <c r="GD345" s="182"/>
      <c r="GE345" s="182"/>
      <c r="GF345" s="182"/>
      <c r="GG345" s="182"/>
      <c r="GH345" s="182"/>
      <c r="GI345" s="182"/>
    </row>
    <row r="346" spans="1:191" s="183" customFormat="1" x14ac:dyDescent="0.2">
      <c r="A346" s="210" t="s">
        <v>38651</v>
      </c>
      <c r="B346" s="210" t="s">
        <v>19194</v>
      </c>
      <c r="C346" s="224" t="s">
        <v>22450</v>
      </c>
      <c r="D346" s="211" t="s">
        <v>16</v>
      </c>
      <c r="E346" s="211">
        <v>30</v>
      </c>
      <c r="F346" s="211"/>
      <c r="G346" s="211">
        <v>0.3</v>
      </c>
      <c r="H346" s="212"/>
      <c r="I346" s="213"/>
      <c r="J346" s="272">
        <v>6.53</v>
      </c>
      <c r="K346" s="112">
        <f t="shared" si="23"/>
        <v>195.9</v>
      </c>
      <c r="L346" s="273">
        <f>BDI!$E$17</f>
        <v>0.11260000000000001</v>
      </c>
      <c r="M346" s="213"/>
      <c r="N346" s="213"/>
      <c r="O346" s="114">
        <f t="shared" si="24"/>
        <v>7.27</v>
      </c>
      <c r="P346" s="113">
        <f t="shared" si="25"/>
        <v>65.430000000000007</v>
      </c>
      <c r="Q346" s="209"/>
      <c r="R346" s="203"/>
      <c r="S346" s="182"/>
      <c r="T346" s="182"/>
      <c r="U346" s="182"/>
      <c r="V346" s="182"/>
      <c r="W346" s="182"/>
      <c r="X346" s="182"/>
      <c r="Y346" s="182"/>
      <c r="Z346" s="182"/>
      <c r="AA346" s="182"/>
      <c r="AB346" s="182"/>
      <c r="AC346" s="182"/>
      <c r="AD346" s="182"/>
      <c r="AE346" s="182"/>
      <c r="AF346" s="182"/>
      <c r="AG346" s="182"/>
      <c r="AH346" s="182"/>
      <c r="AI346" s="182"/>
      <c r="AJ346" s="182"/>
      <c r="AK346" s="182"/>
      <c r="AL346" s="182"/>
      <c r="AM346" s="182"/>
      <c r="AN346" s="182"/>
      <c r="AO346" s="182"/>
      <c r="AP346" s="182"/>
      <c r="AQ346" s="182"/>
      <c r="AR346" s="182"/>
      <c r="AS346" s="182"/>
      <c r="AT346" s="182"/>
      <c r="AU346" s="182"/>
      <c r="AV346" s="182"/>
      <c r="AW346" s="182"/>
      <c r="AX346" s="182"/>
      <c r="AY346" s="182"/>
      <c r="AZ346" s="182"/>
      <c r="BA346" s="182"/>
      <c r="BB346" s="182"/>
      <c r="BC346" s="182"/>
      <c r="BD346" s="182"/>
      <c r="BE346" s="182"/>
      <c r="BF346" s="182"/>
      <c r="BG346" s="182"/>
      <c r="BH346" s="182"/>
      <c r="BI346" s="182"/>
      <c r="BJ346" s="182"/>
      <c r="BK346" s="182"/>
      <c r="BL346" s="182"/>
      <c r="BM346" s="182"/>
      <c r="BN346" s="182"/>
      <c r="BO346" s="182"/>
      <c r="BP346" s="182"/>
      <c r="BQ346" s="182"/>
      <c r="BR346" s="182"/>
      <c r="BS346" s="182"/>
      <c r="BT346" s="182"/>
      <c r="BU346" s="182"/>
      <c r="BV346" s="182"/>
      <c r="BW346" s="182"/>
      <c r="BX346" s="182"/>
      <c r="BY346" s="182"/>
      <c r="BZ346" s="182"/>
      <c r="CA346" s="182"/>
      <c r="CB346" s="182"/>
      <c r="CC346" s="182"/>
      <c r="CD346" s="182"/>
      <c r="CE346" s="182"/>
      <c r="CF346" s="182"/>
      <c r="CG346" s="182"/>
      <c r="CH346" s="182"/>
      <c r="CI346" s="182"/>
      <c r="CJ346" s="182"/>
      <c r="CK346" s="182"/>
      <c r="CL346" s="182"/>
      <c r="CM346" s="182"/>
      <c r="CN346" s="182"/>
      <c r="CO346" s="182"/>
      <c r="CP346" s="182"/>
      <c r="CQ346" s="182"/>
      <c r="CR346" s="182"/>
      <c r="CS346" s="182"/>
      <c r="CT346" s="182"/>
      <c r="CU346" s="182"/>
      <c r="CV346" s="182"/>
      <c r="CW346" s="182"/>
      <c r="CX346" s="182"/>
      <c r="CY346" s="182"/>
      <c r="CZ346" s="182"/>
      <c r="DA346" s="182"/>
      <c r="DB346" s="182"/>
      <c r="DC346" s="182"/>
      <c r="DD346" s="182"/>
      <c r="DE346" s="182"/>
      <c r="DF346" s="182"/>
      <c r="DG346" s="182"/>
      <c r="DH346" s="182"/>
      <c r="DI346" s="182"/>
      <c r="DJ346" s="182"/>
      <c r="DK346" s="182"/>
      <c r="DL346" s="182"/>
      <c r="DM346" s="182"/>
      <c r="DN346" s="182"/>
      <c r="DO346" s="182"/>
      <c r="DP346" s="182"/>
      <c r="DQ346" s="182"/>
      <c r="DR346" s="182"/>
      <c r="DS346" s="182"/>
      <c r="DT346" s="182"/>
      <c r="DU346" s="182"/>
      <c r="DV346" s="182"/>
      <c r="DW346" s="182"/>
      <c r="DX346" s="182"/>
      <c r="DY346" s="182"/>
      <c r="DZ346" s="182"/>
      <c r="EA346" s="182"/>
      <c r="EB346" s="182"/>
      <c r="EC346" s="182"/>
      <c r="ED346" s="182"/>
      <c r="EE346" s="182"/>
      <c r="EF346" s="182"/>
      <c r="EG346" s="182"/>
      <c r="EH346" s="182"/>
      <c r="EI346" s="182"/>
      <c r="EJ346" s="182"/>
      <c r="EK346" s="182"/>
      <c r="EL346" s="182"/>
      <c r="EM346" s="182"/>
      <c r="EN346" s="182"/>
      <c r="EO346" s="182"/>
      <c r="EP346" s="182"/>
      <c r="EQ346" s="182"/>
      <c r="ER346" s="182"/>
      <c r="ES346" s="182"/>
      <c r="ET346" s="182"/>
      <c r="EU346" s="182"/>
      <c r="EV346" s="182"/>
      <c r="EW346" s="182"/>
      <c r="EX346" s="182"/>
      <c r="EY346" s="182"/>
      <c r="EZ346" s="182"/>
      <c r="FA346" s="182"/>
      <c r="FB346" s="182"/>
      <c r="FC346" s="182"/>
      <c r="FD346" s="182"/>
      <c r="FE346" s="182"/>
      <c r="FF346" s="182"/>
      <c r="FG346" s="182"/>
      <c r="FH346" s="182"/>
      <c r="FI346" s="182"/>
      <c r="FJ346" s="182"/>
      <c r="FK346" s="182"/>
      <c r="FL346" s="182"/>
      <c r="FM346" s="182"/>
      <c r="FN346" s="182"/>
      <c r="FO346" s="182"/>
      <c r="FP346" s="182"/>
      <c r="FQ346" s="182"/>
      <c r="FR346" s="182"/>
      <c r="FS346" s="182"/>
      <c r="FT346" s="182"/>
      <c r="FU346" s="182"/>
      <c r="FV346" s="182"/>
      <c r="FW346" s="182"/>
      <c r="FX346" s="182"/>
      <c r="FY346" s="182"/>
      <c r="FZ346" s="182"/>
      <c r="GA346" s="182"/>
      <c r="GB346" s="182"/>
      <c r="GC346" s="182"/>
      <c r="GD346" s="182"/>
      <c r="GE346" s="182"/>
      <c r="GF346" s="182"/>
      <c r="GG346" s="182"/>
      <c r="GH346" s="182"/>
      <c r="GI346" s="182"/>
    </row>
    <row r="347" spans="1:191" s="183" customFormat="1" x14ac:dyDescent="0.2">
      <c r="A347" s="210" t="s">
        <v>38652</v>
      </c>
      <c r="B347" s="210" t="s">
        <v>19195</v>
      </c>
      <c r="C347" s="224" t="s">
        <v>22451</v>
      </c>
      <c r="D347" s="211" t="s">
        <v>16</v>
      </c>
      <c r="E347" s="211">
        <v>30</v>
      </c>
      <c r="F347" s="211"/>
      <c r="G347" s="211">
        <v>0.3</v>
      </c>
      <c r="H347" s="212"/>
      <c r="I347" s="213"/>
      <c r="J347" s="272">
        <v>9.0399999999999991</v>
      </c>
      <c r="K347" s="112">
        <f t="shared" si="23"/>
        <v>271.2</v>
      </c>
      <c r="L347" s="273">
        <f>BDI!$E$17</f>
        <v>0.11260000000000001</v>
      </c>
      <c r="M347" s="213"/>
      <c r="N347" s="213"/>
      <c r="O347" s="114">
        <f t="shared" si="24"/>
        <v>10.06</v>
      </c>
      <c r="P347" s="113">
        <f t="shared" si="25"/>
        <v>90.54</v>
      </c>
      <c r="Q347" s="209"/>
      <c r="R347" s="203"/>
      <c r="S347" s="182"/>
      <c r="T347" s="182"/>
      <c r="U347" s="182"/>
      <c r="V347" s="182"/>
      <c r="W347" s="182"/>
      <c r="X347" s="182"/>
      <c r="Y347" s="182"/>
      <c r="Z347" s="182"/>
      <c r="AA347" s="182"/>
      <c r="AB347" s="182"/>
      <c r="AC347" s="182"/>
      <c r="AD347" s="182"/>
      <c r="AE347" s="182"/>
      <c r="AF347" s="182"/>
      <c r="AG347" s="182"/>
      <c r="AH347" s="182"/>
      <c r="AI347" s="182"/>
      <c r="AJ347" s="182"/>
      <c r="AK347" s="182"/>
      <c r="AL347" s="182"/>
      <c r="AM347" s="182"/>
      <c r="AN347" s="182"/>
      <c r="AO347" s="182"/>
      <c r="AP347" s="182"/>
      <c r="AQ347" s="182"/>
      <c r="AR347" s="182"/>
      <c r="AS347" s="182"/>
      <c r="AT347" s="182"/>
      <c r="AU347" s="182"/>
      <c r="AV347" s="182"/>
      <c r="AW347" s="182"/>
      <c r="AX347" s="182"/>
      <c r="AY347" s="182"/>
      <c r="AZ347" s="182"/>
      <c r="BA347" s="182"/>
      <c r="BB347" s="182"/>
      <c r="BC347" s="182"/>
      <c r="BD347" s="182"/>
      <c r="BE347" s="182"/>
      <c r="BF347" s="182"/>
      <c r="BG347" s="182"/>
      <c r="BH347" s="182"/>
      <c r="BI347" s="182"/>
      <c r="BJ347" s="182"/>
      <c r="BK347" s="182"/>
      <c r="BL347" s="182"/>
      <c r="BM347" s="182"/>
      <c r="BN347" s="182"/>
      <c r="BO347" s="182"/>
      <c r="BP347" s="182"/>
      <c r="BQ347" s="182"/>
      <c r="BR347" s="182"/>
      <c r="BS347" s="182"/>
      <c r="BT347" s="182"/>
      <c r="BU347" s="182"/>
      <c r="BV347" s="182"/>
      <c r="BW347" s="182"/>
      <c r="BX347" s="182"/>
      <c r="BY347" s="182"/>
      <c r="BZ347" s="182"/>
      <c r="CA347" s="182"/>
      <c r="CB347" s="182"/>
      <c r="CC347" s="182"/>
      <c r="CD347" s="182"/>
      <c r="CE347" s="182"/>
      <c r="CF347" s="182"/>
      <c r="CG347" s="182"/>
      <c r="CH347" s="182"/>
      <c r="CI347" s="182"/>
      <c r="CJ347" s="182"/>
      <c r="CK347" s="182"/>
      <c r="CL347" s="182"/>
      <c r="CM347" s="182"/>
      <c r="CN347" s="182"/>
      <c r="CO347" s="182"/>
      <c r="CP347" s="182"/>
      <c r="CQ347" s="182"/>
      <c r="CR347" s="182"/>
      <c r="CS347" s="182"/>
      <c r="CT347" s="182"/>
      <c r="CU347" s="182"/>
      <c r="CV347" s="182"/>
      <c r="CW347" s="182"/>
      <c r="CX347" s="182"/>
      <c r="CY347" s="182"/>
      <c r="CZ347" s="182"/>
      <c r="DA347" s="182"/>
      <c r="DB347" s="182"/>
      <c r="DC347" s="182"/>
      <c r="DD347" s="182"/>
      <c r="DE347" s="182"/>
      <c r="DF347" s="182"/>
      <c r="DG347" s="182"/>
      <c r="DH347" s="182"/>
      <c r="DI347" s="182"/>
      <c r="DJ347" s="182"/>
      <c r="DK347" s="182"/>
      <c r="DL347" s="182"/>
      <c r="DM347" s="182"/>
      <c r="DN347" s="182"/>
      <c r="DO347" s="182"/>
      <c r="DP347" s="182"/>
      <c r="DQ347" s="182"/>
      <c r="DR347" s="182"/>
      <c r="DS347" s="182"/>
      <c r="DT347" s="182"/>
      <c r="DU347" s="182"/>
      <c r="DV347" s="182"/>
      <c r="DW347" s="182"/>
      <c r="DX347" s="182"/>
      <c r="DY347" s="182"/>
      <c r="DZ347" s="182"/>
      <c r="EA347" s="182"/>
      <c r="EB347" s="182"/>
      <c r="EC347" s="182"/>
      <c r="ED347" s="182"/>
      <c r="EE347" s="182"/>
      <c r="EF347" s="182"/>
      <c r="EG347" s="182"/>
      <c r="EH347" s="182"/>
      <c r="EI347" s="182"/>
      <c r="EJ347" s="182"/>
      <c r="EK347" s="182"/>
      <c r="EL347" s="182"/>
      <c r="EM347" s="182"/>
      <c r="EN347" s="182"/>
      <c r="EO347" s="182"/>
      <c r="EP347" s="182"/>
      <c r="EQ347" s="182"/>
      <c r="ER347" s="182"/>
      <c r="ES347" s="182"/>
      <c r="ET347" s="182"/>
      <c r="EU347" s="182"/>
      <c r="EV347" s="182"/>
      <c r="EW347" s="182"/>
      <c r="EX347" s="182"/>
      <c r="EY347" s="182"/>
      <c r="EZ347" s="182"/>
      <c r="FA347" s="182"/>
      <c r="FB347" s="182"/>
      <c r="FC347" s="182"/>
      <c r="FD347" s="182"/>
      <c r="FE347" s="182"/>
      <c r="FF347" s="182"/>
      <c r="FG347" s="182"/>
      <c r="FH347" s="182"/>
      <c r="FI347" s="182"/>
      <c r="FJ347" s="182"/>
      <c r="FK347" s="182"/>
      <c r="FL347" s="182"/>
      <c r="FM347" s="182"/>
      <c r="FN347" s="182"/>
      <c r="FO347" s="182"/>
      <c r="FP347" s="182"/>
      <c r="FQ347" s="182"/>
      <c r="FR347" s="182"/>
      <c r="FS347" s="182"/>
      <c r="FT347" s="182"/>
      <c r="FU347" s="182"/>
      <c r="FV347" s="182"/>
      <c r="FW347" s="182"/>
      <c r="FX347" s="182"/>
      <c r="FY347" s="182"/>
      <c r="FZ347" s="182"/>
      <c r="GA347" s="182"/>
      <c r="GB347" s="182"/>
      <c r="GC347" s="182"/>
      <c r="GD347" s="182"/>
      <c r="GE347" s="182"/>
      <c r="GF347" s="182"/>
      <c r="GG347" s="182"/>
      <c r="GH347" s="182"/>
      <c r="GI347" s="182"/>
    </row>
    <row r="348" spans="1:191" s="183" customFormat="1" x14ac:dyDescent="0.2">
      <c r="A348" s="210" t="s">
        <v>38653</v>
      </c>
      <c r="B348" s="210" t="s">
        <v>19196</v>
      </c>
      <c r="C348" s="224" t="s">
        <v>22452</v>
      </c>
      <c r="D348" s="211" t="s">
        <v>16</v>
      </c>
      <c r="E348" s="211">
        <v>30</v>
      </c>
      <c r="F348" s="211"/>
      <c r="G348" s="211">
        <v>0.3</v>
      </c>
      <c r="H348" s="212"/>
      <c r="I348" s="213"/>
      <c r="J348" s="272">
        <v>8.4700000000000006</v>
      </c>
      <c r="K348" s="112">
        <f t="shared" si="23"/>
        <v>254.1</v>
      </c>
      <c r="L348" s="273">
        <f>BDI!$E$17</f>
        <v>0.11260000000000001</v>
      </c>
      <c r="M348" s="213"/>
      <c r="N348" s="213"/>
      <c r="O348" s="114">
        <f t="shared" si="24"/>
        <v>9.42</v>
      </c>
      <c r="P348" s="113">
        <f t="shared" si="25"/>
        <v>84.78</v>
      </c>
      <c r="Q348" s="209"/>
      <c r="R348" s="203"/>
      <c r="S348" s="182"/>
      <c r="T348" s="182"/>
      <c r="U348" s="182"/>
      <c r="V348" s="182"/>
      <c r="W348" s="182"/>
      <c r="X348" s="182"/>
      <c r="Y348" s="182"/>
      <c r="Z348" s="182"/>
      <c r="AA348" s="182"/>
      <c r="AB348" s="182"/>
      <c r="AC348" s="182"/>
      <c r="AD348" s="182"/>
      <c r="AE348" s="182"/>
      <c r="AF348" s="182"/>
      <c r="AG348" s="182"/>
      <c r="AH348" s="182"/>
      <c r="AI348" s="182"/>
      <c r="AJ348" s="182"/>
      <c r="AK348" s="182"/>
      <c r="AL348" s="182"/>
      <c r="AM348" s="182"/>
      <c r="AN348" s="182"/>
      <c r="AO348" s="182"/>
      <c r="AP348" s="182"/>
      <c r="AQ348" s="182"/>
      <c r="AR348" s="182"/>
      <c r="AS348" s="182"/>
      <c r="AT348" s="182"/>
      <c r="AU348" s="182"/>
      <c r="AV348" s="182"/>
      <c r="AW348" s="182"/>
      <c r="AX348" s="182"/>
      <c r="AY348" s="182"/>
      <c r="AZ348" s="182"/>
      <c r="BA348" s="182"/>
      <c r="BB348" s="182"/>
      <c r="BC348" s="182"/>
      <c r="BD348" s="182"/>
      <c r="BE348" s="182"/>
      <c r="BF348" s="182"/>
      <c r="BG348" s="182"/>
      <c r="BH348" s="182"/>
      <c r="BI348" s="182"/>
      <c r="BJ348" s="182"/>
      <c r="BK348" s="182"/>
      <c r="BL348" s="182"/>
      <c r="BM348" s="182"/>
      <c r="BN348" s="182"/>
      <c r="BO348" s="182"/>
      <c r="BP348" s="182"/>
      <c r="BQ348" s="182"/>
      <c r="BR348" s="182"/>
      <c r="BS348" s="182"/>
      <c r="BT348" s="182"/>
      <c r="BU348" s="182"/>
      <c r="BV348" s="182"/>
      <c r="BW348" s="182"/>
      <c r="BX348" s="182"/>
      <c r="BY348" s="182"/>
      <c r="BZ348" s="182"/>
      <c r="CA348" s="182"/>
      <c r="CB348" s="182"/>
      <c r="CC348" s="182"/>
      <c r="CD348" s="182"/>
      <c r="CE348" s="182"/>
      <c r="CF348" s="182"/>
      <c r="CG348" s="182"/>
      <c r="CH348" s="182"/>
      <c r="CI348" s="182"/>
      <c r="CJ348" s="182"/>
      <c r="CK348" s="182"/>
      <c r="CL348" s="182"/>
      <c r="CM348" s="182"/>
      <c r="CN348" s="182"/>
      <c r="CO348" s="182"/>
      <c r="CP348" s="182"/>
      <c r="CQ348" s="182"/>
      <c r="CR348" s="182"/>
      <c r="CS348" s="182"/>
      <c r="CT348" s="182"/>
      <c r="CU348" s="182"/>
      <c r="CV348" s="182"/>
      <c r="CW348" s="182"/>
      <c r="CX348" s="182"/>
      <c r="CY348" s="182"/>
      <c r="CZ348" s="182"/>
      <c r="DA348" s="182"/>
      <c r="DB348" s="182"/>
      <c r="DC348" s="182"/>
      <c r="DD348" s="182"/>
      <c r="DE348" s="182"/>
      <c r="DF348" s="182"/>
      <c r="DG348" s="182"/>
      <c r="DH348" s="182"/>
      <c r="DI348" s="182"/>
      <c r="DJ348" s="182"/>
      <c r="DK348" s="182"/>
      <c r="DL348" s="182"/>
      <c r="DM348" s="182"/>
      <c r="DN348" s="182"/>
      <c r="DO348" s="182"/>
      <c r="DP348" s="182"/>
      <c r="DQ348" s="182"/>
      <c r="DR348" s="182"/>
      <c r="DS348" s="182"/>
      <c r="DT348" s="182"/>
      <c r="DU348" s="182"/>
      <c r="DV348" s="182"/>
      <c r="DW348" s="182"/>
      <c r="DX348" s="182"/>
      <c r="DY348" s="182"/>
      <c r="DZ348" s="182"/>
      <c r="EA348" s="182"/>
      <c r="EB348" s="182"/>
      <c r="EC348" s="182"/>
      <c r="ED348" s="182"/>
      <c r="EE348" s="182"/>
      <c r="EF348" s="182"/>
      <c r="EG348" s="182"/>
      <c r="EH348" s="182"/>
      <c r="EI348" s="182"/>
      <c r="EJ348" s="182"/>
      <c r="EK348" s="182"/>
      <c r="EL348" s="182"/>
      <c r="EM348" s="182"/>
      <c r="EN348" s="182"/>
      <c r="EO348" s="182"/>
      <c r="EP348" s="182"/>
      <c r="EQ348" s="182"/>
      <c r="ER348" s="182"/>
      <c r="ES348" s="182"/>
      <c r="ET348" s="182"/>
      <c r="EU348" s="182"/>
      <c r="EV348" s="182"/>
      <c r="EW348" s="182"/>
      <c r="EX348" s="182"/>
      <c r="EY348" s="182"/>
      <c r="EZ348" s="182"/>
      <c r="FA348" s="182"/>
      <c r="FB348" s="182"/>
      <c r="FC348" s="182"/>
      <c r="FD348" s="182"/>
      <c r="FE348" s="182"/>
      <c r="FF348" s="182"/>
      <c r="FG348" s="182"/>
      <c r="FH348" s="182"/>
      <c r="FI348" s="182"/>
      <c r="FJ348" s="182"/>
      <c r="FK348" s="182"/>
      <c r="FL348" s="182"/>
      <c r="FM348" s="182"/>
      <c r="FN348" s="182"/>
      <c r="FO348" s="182"/>
      <c r="FP348" s="182"/>
      <c r="FQ348" s="182"/>
      <c r="FR348" s="182"/>
      <c r="FS348" s="182"/>
      <c r="FT348" s="182"/>
      <c r="FU348" s="182"/>
      <c r="FV348" s="182"/>
      <c r="FW348" s="182"/>
      <c r="FX348" s="182"/>
      <c r="FY348" s="182"/>
      <c r="FZ348" s="182"/>
      <c r="GA348" s="182"/>
      <c r="GB348" s="182"/>
      <c r="GC348" s="182"/>
      <c r="GD348" s="182"/>
      <c r="GE348" s="182"/>
      <c r="GF348" s="182"/>
      <c r="GG348" s="182"/>
      <c r="GH348" s="182"/>
      <c r="GI348" s="182"/>
    </row>
    <row r="349" spans="1:191" s="183" customFormat="1" x14ac:dyDescent="0.2">
      <c r="A349" s="210" t="s">
        <v>38654</v>
      </c>
      <c r="B349" s="210" t="s">
        <v>19197</v>
      </c>
      <c r="C349" s="224" t="s">
        <v>22453</v>
      </c>
      <c r="D349" s="211" t="s">
        <v>69</v>
      </c>
      <c r="E349" s="211">
        <v>300</v>
      </c>
      <c r="F349" s="211"/>
      <c r="G349" s="211">
        <v>0.3</v>
      </c>
      <c r="H349" s="212"/>
      <c r="I349" s="213"/>
      <c r="J349" s="272">
        <v>63.27</v>
      </c>
      <c r="K349" s="112">
        <f t="shared" si="23"/>
        <v>18981</v>
      </c>
      <c r="L349" s="273">
        <f>BDI!$E$17</f>
        <v>0.11260000000000001</v>
      </c>
      <c r="M349" s="213"/>
      <c r="N349" s="213"/>
      <c r="O349" s="114">
        <f t="shared" si="24"/>
        <v>70.39</v>
      </c>
      <c r="P349" s="113">
        <f t="shared" si="25"/>
        <v>6335.1</v>
      </c>
      <c r="Q349" s="209"/>
      <c r="R349" s="203"/>
      <c r="S349" s="182"/>
      <c r="T349" s="182"/>
      <c r="U349" s="182"/>
      <c r="V349" s="182"/>
      <c r="W349" s="182"/>
      <c r="X349" s="182"/>
      <c r="Y349" s="182"/>
      <c r="Z349" s="182"/>
      <c r="AA349" s="182"/>
      <c r="AB349" s="182"/>
      <c r="AC349" s="182"/>
      <c r="AD349" s="182"/>
      <c r="AE349" s="182"/>
      <c r="AF349" s="182"/>
      <c r="AG349" s="182"/>
      <c r="AH349" s="182"/>
      <c r="AI349" s="182"/>
      <c r="AJ349" s="182"/>
      <c r="AK349" s="182"/>
      <c r="AL349" s="182"/>
      <c r="AM349" s="182"/>
      <c r="AN349" s="182"/>
      <c r="AO349" s="182"/>
      <c r="AP349" s="182"/>
      <c r="AQ349" s="182"/>
      <c r="AR349" s="182"/>
      <c r="AS349" s="182"/>
      <c r="AT349" s="182"/>
      <c r="AU349" s="182"/>
      <c r="AV349" s="182"/>
      <c r="AW349" s="182"/>
      <c r="AX349" s="182"/>
      <c r="AY349" s="182"/>
      <c r="AZ349" s="182"/>
      <c r="BA349" s="182"/>
      <c r="BB349" s="182"/>
      <c r="BC349" s="182"/>
      <c r="BD349" s="182"/>
      <c r="BE349" s="182"/>
      <c r="BF349" s="182"/>
      <c r="BG349" s="182"/>
      <c r="BH349" s="182"/>
      <c r="BI349" s="182"/>
      <c r="BJ349" s="182"/>
      <c r="BK349" s="182"/>
      <c r="BL349" s="182"/>
      <c r="BM349" s="182"/>
      <c r="BN349" s="182"/>
      <c r="BO349" s="182"/>
      <c r="BP349" s="182"/>
      <c r="BQ349" s="182"/>
      <c r="BR349" s="182"/>
      <c r="BS349" s="182"/>
      <c r="BT349" s="182"/>
      <c r="BU349" s="182"/>
      <c r="BV349" s="182"/>
      <c r="BW349" s="182"/>
      <c r="BX349" s="182"/>
      <c r="BY349" s="182"/>
      <c r="BZ349" s="182"/>
      <c r="CA349" s="182"/>
      <c r="CB349" s="182"/>
      <c r="CC349" s="182"/>
      <c r="CD349" s="182"/>
      <c r="CE349" s="182"/>
      <c r="CF349" s="182"/>
      <c r="CG349" s="182"/>
      <c r="CH349" s="182"/>
      <c r="CI349" s="182"/>
      <c r="CJ349" s="182"/>
      <c r="CK349" s="182"/>
      <c r="CL349" s="182"/>
      <c r="CM349" s="182"/>
      <c r="CN349" s="182"/>
      <c r="CO349" s="182"/>
      <c r="CP349" s="182"/>
      <c r="CQ349" s="182"/>
      <c r="CR349" s="182"/>
      <c r="CS349" s="182"/>
      <c r="CT349" s="182"/>
      <c r="CU349" s="182"/>
      <c r="CV349" s="182"/>
      <c r="CW349" s="182"/>
      <c r="CX349" s="182"/>
      <c r="CY349" s="182"/>
      <c r="CZ349" s="182"/>
      <c r="DA349" s="182"/>
      <c r="DB349" s="182"/>
      <c r="DC349" s="182"/>
      <c r="DD349" s="182"/>
      <c r="DE349" s="182"/>
      <c r="DF349" s="182"/>
      <c r="DG349" s="182"/>
      <c r="DH349" s="182"/>
      <c r="DI349" s="182"/>
      <c r="DJ349" s="182"/>
      <c r="DK349" s="182"/>
      <c r="DL349" s="182"/>
      <c r="DM349" s="182"/>
      <c r="DN349" s="182"/>
      <c r="DO349" s="182"/>
      <c r="DP349" s="182"/>
      <c r="DQ349" s="182"/>
      <c r="DR349" s="182"/>
      <c r="DS349" s="182"/>
      <c r="DT349" s="182"/>
      <c r="DU349" s="182"/>
      <c r="DV349" s="182"/>
      <c r="DW349" s="182"/>
      <c r="DX349" s="182"/>
      <c r="DY349" s="182"/>
      <c r="DZ349" s="182"/>
      <c r="EA349" s="182"/>
      <c r="EB349" s="182"/>
      <c r="EC349" s="182"/>
      <c r="ED349" s="182"/>
      <c r="EE349" s="182"/>
      <c r="EF349" s="182"/>
      <c r="EG349" s="182"/>
      <c r="EH349" s="182"/>
      <c r="EI349" s="182"/>
      <c r="EJ349" s="182"/>
      <c r="EK349" s="182"/>
      <c r="EL349" s="182"/>
      <c r="EM349" s="182"/>
      <c r="EN349" s="182"/>
      <c r="EO349" s="182"/>
      <c r="EP349" s="182"/>
      <c r="EQ349" s="182"/>
      <c r="ER349" s="182"/>
      <c r="ES349" s="182"/>
      <c r="ET349" s="182"/>
      <c r="EU349" s="182"/>
      <c r="EV349" s="182"/>
      <c r="EW349" s="182"/>
      <c r="EX349" s="182"/>
      <c r="EY349" s="182"/>
      <c r="EZ349" s="182"/>
      <c r="FA349" s="182"/>
      <c r="FB349" s="182"/>
      <c r="FC349" s="182"/>
      <c r="FD349" s="182"/>
      <c r="FE349" s="182"/>
      <c r="FF349" s="182"/>
      <c r="FG349" s="182"/>
      <c r="FH349" s="182"/>
      <c r="FI349" s="182"/>
      <c r="FJ349" s="182"/>
      <c r="FK349" s="182"/>
      <c r="FL349" s="182"/>
      <c r="FM349" s="182"/>
      <c r="FN349" s="182"/>
      <c r="FO349" s="182"/>
      <c r="FP349" s="182"/>
      <c r="FQ349" s="182"/>
      <c r="FR349" s="182"/>
      <c r="FS349" s="182"/>
      <c r="FT349" s="182"/>
      <c r="FU349" s="182"/>
      <c r="FV349" s="182"/>
      <c r="FW349" s="182"/>
      <c r="FX349" s="182"/>
      <c r="FY349" s="182"/>
      <c r="FZ349" s="182"/>
      <c r="GA349" s="182"/>
      <c r="GB349" s="182"/>
      <c r="GC349" s="182"/>
      <c r="GD349" s="182"/>
      <c r="GE349" s="182"/>
      <c r="GF349" s="182"/>
      <c r="GG349" s="182"/>
      <c r="GH349" s="182"/>
      <c r="GI349" s="182"/>
    </row>
    <row r="350" spans="1:191" s="183" customFormat="1" x14ac:dyDescent="0.2">
      <c r="A350" s="210" t="s">
        <v>38655</v>
      </c>
      <c r="B350" s="210" t="s">
        <v>19198</v>
      </c>
      <c r="C350" s="224" t="s">
        <v>22454</v>
      </c>
      <c r="D350" s="211" t="s">
        <v>16</v>
      </c>
      <c r="E350" s="211">
        <v>600</v>
      </c>
      <c r="F350" s="211"/>
      <c r="G350" s="211">
        <v>0.3</v>
      </c>
      <c r="H350" s="212"/>
      <c r="I350" s="213"/>
      <c r="J350" s="272">
        <v>19.66</v>
      </c>
      <c r="K350" s="112">
        <f t="shared" si="23"/>
        <v>11796</v>
      </c>
      <c r="L350" s="273">
        <f>BDI!$E$17</f>
        <v>0.11260000000000001</v>
      </c>
      <c r="M350" s="213"/>
      <c r="N350" s="213"/>
      <c r="O350" s="114">
        <f t="shared" si="24"/>
        <v>21.87</v>
      </c>
      <c r="P350" s="113">
        <f t="shared" si="25"/>
        <v>3936.6</v>
      </c>
      <c r="Q350" s="209"/>
      <c r="R350" s="203"/>
      <c r="S350" s="182"/>
      <c r="T350" s="182"/>
      <c r="U350" s="182"/>
      <c r="V350" s="182"/>
      <c r="W350" s="182"/>
      <c r="X350" s="182"/>
      <c r="Y350" s="182"/>
      <c r="Z350" s="182"/>
      <c r="AA350" s="182"/>
      <c r="AB350" s="182"/>
      <c r="AC350" s="182"/>
      <c r="AD350" s="182"/>
      <c r="AE350" s="182"/>
      <c r="AF350" s="182"/>
      <c r="AG350" s="182"/>
      <c r="AH350" s="182"/>
      <c r="AI350" s="182"/>
      <c r="AJ350" s="182"/>
      <c r="AK350" s="182"/>
      <c r="AL350" s="182"/>
      <c r="AM350" s="182"/>
      <c r="AN350" s="182"/>
      <c r="AO350" s="182"/>
      <c r="AP350" s="182"/>
      <c r="AQ350" s="182"/>
      <c r="AR350" s="182"/>
      <c r="AS350" s="182"/>
      <c r="AT350" s="182"/>
      <c r="AU350" s="182"/>
      <c r="AV350" s="182"/>
      <c r="AW350" s="182"/>
      <c r="AX350" s="182"/>
      <c r="AY350" s="182"/>
      <c r="AZ350" s="182"/>
      <c r="BA350" s="182"/>
      <c r="BB350" s="182"/>
      <c r="BC350" s="182"/>
      <c r="BD350" s="182"/>
      <c r="BE350" s="182"/>
      <c r="BF350" s="182"/>
      <c r="BG350" s="182"/>
      <c r="BH350" s="182"/>
      <c r="BI350" s="182"/>
      <c r="BJ350" s="182"/>
      <c r="BK350" s="182"/>
      <c r="BL350" s="182"/>
      <c r="BM350" s="182"/>
      <c r="BN350" s="182"/>
      <c r="BO350" s="182"/>
      <c r="BP350" s="182"/>
      <c r="BQ350" s="182"/>
      <c r="BR350" s="182"/>
      <c r="BS350" s="182"/>
      <c r="BT350" s="182"/>
      <c r="BU350" s="182"/>
      <c r="BV350" s="182"/>
      <c r="BW350" s="182"/>
      <c r="BX350" s="182"/>
      <c r="BY350" s="182"/>
      <c r="BZ350" s="182"/>
      <c r="CA350" s="182"/>
      <c r="CB350" s="182"/>
      <c r="CC350" s="182"/>
      <c r="CD350" s="182"/>
      <c r="CE350" s="182"/>
      <c r="CF350" s="182"/>
      <c r="CG350" s="182"/>
      <c r="CH350" s="182"/>
      <c r="CI350" s="182"/>
      <c r="CJ350" s="182"/>
      <c r="CK350" s="182"/>
      <c r="CL350" s="182"/>
      <c r="CM350" s="182"/>
      <c r="CN350" s="182"/>
      <c r="CO350" s="182"/>
      <c r="CP350" s="182"/>
      <c r="CQ350" s="182"/>
      <c r="CR350" s="182"/>
      <c r="CS350" s="182"/>
      <c r="CT350" s="182"/>
      <c r="CU350" s="182"/>
      <c r="CV350" s="182"/>
      <c r="CW350" s="182"/>
      <c r="CX350" s="182"/>
      <c r="CY350" s="182"/>
      <c r="CZ350" s="182"/>
      <c r="DA350" s="182"/>
      <c r="DB350" s="182"/>
      <c r="DC350" s="182"/>
      <c r="DD350" s="182"/>
      <c r="DE350" s="182"/>
      <c r="DF350" s="182"/>
      <c r="DG350" s="182"/>
      <c r="DH350" s="182"/>
      <c r="DI350" s="182"/>
      <c r="DJ350" s="182"/>
      <c r="DK350" s="182"/>
      <c r="DL350" s="182"/>
      <c r="DM350" s="182"/>
      <c r="DN350" s="182"/>
      <c r="DO350" s="182"/>
      <c r="DP350" s="182"/>
      <c r="DQ350" s="182"/>
      <c r="DR350" s="182"/>
      <c r="DS350" s="182"/>
      <c r="DT350" s="182"/>
      <c r="DU350" s="182"/>
      <c r="DV350" s="182"/>
      <c r="DW350" s="182"/>
      <c r="DX350" s="182"/>
      <c r="DY350" s="182"/>
      <c r="DZ350" s="182"/>
      <c r="EA350" s="182"/>
      <c r="EB350" s="182"/>
      <c r="EC350" s="182"/>
      <c r="ED350" s="182"/>
      <c r="EE350" s="182"/>
      <c r="EF350" s="182"/>
      <c r="EG350" s="182"/>
      <c r="EH350" s="182"/>
      <c r="EI350" s="182"/>
      <c r="EJ350" s="182"/>
      <c r="EK350" s="182"/>
      <c r="EL350" s="182"/>
      <c r="EM350" s="182"/>
      <c r="EN350" s="182"/>
      <c r="EO350" s="182"/>
      <c r="EP350" s="182"/>
      <c r="EQ350" s="182"/>
      <c r="ER350" s="182"/>
      <c r="ES350" s="182"/>
      <c r="ET350" s="182"/>
      <c r="EU350" s="182"/>
      <c r="EV350" s="182"/>
      <c r="EW350" s="182"/>
      <c r="EX350" s="182"/>
      <c r="EY350" s="182"/>
      <c r="EZ350" s="182"/>
      <c r="FA350" s="182"/>
      <c r="FB350" s="182"/>
      <c r="FC350" s="182"/>
      <c r="FD350" s="182"/>
      <c r="FE350" s="182"/>
      <c r="FF350" s="182"/>
      <c r="FG350" s="182"/>
      <c r="FH350" s="182"/>
      <c r="FI350" s="182"/>
      <c r="FJ350" s="182"/>
      <c r="FK350" s="182"/>
      <c r="FL350" s="182"/>
      <c r="FM350" s="182"/>
      <c r="FN350" s="182"/>
      <c r="FO350" s="182"/>
      <c r="FP350" s="182"/>
      <c r="FQ350" s="182"/>
      <c r="FR350" s="182"/>
      <c r="FS350" s="182"/>
      <c r="FT350" s="182"/>
      <c r="FU350" s="182"/>
      <c r="FV350" s="182"/>
      <c r="FW350" s="182"/>
      <c r="FX350" s="182"/>
      <c r="FY350" s="182"/>
      <c r="FZ350" s="182"/>
      <c r="GA350" s="182"/>
      <c r="GB350" s="182"/>
      <c r="GC350" s="182"/>
      <c r="GD350" s="182"/>
      <c r="GE350" s="182"/>
      <c r="GF350" s="182"/>
      <c r="GG350" s="182"/>
      <c r="GH350" s="182"/>
      <c r="GI350" s="182"/>
    </row>
    <row r="351" spans="1:191" s="183" customFormat="1" x14ac:dyDescent="0.2">
      <c r="A351" s="210" t="s">
        <v>38656</v>
      </c>
      <c r="B351" s="210" t="s">
        <v>19199</v>
      </c>
      <c r="C351" s="224" t="s">
        <v>22455</v>
      </c>
      <c r="D351" s="211" t="s">
        <v>16</v>
      </c>
      <c r="E351" s="211">
        <v>300</v>
      </c>
      <c r="F351" s="211"/>
      <c r="G351" s="211">
        <v>0.3</v>
      </c>
      <c r="H351" s="212"/>
      <c r="I351" s="213"/>
      <c r="J351" s="272">
        <v>31.43</v>
      </c>
      <c r="K351" s="112">
        <f t="shared" si="23"/>
        <v>9429</v>
      </c>
      <c r="L351" s="273">
        <f>BDI!$E$17</f>
        <v>0.11260000000000001</v>
      </c>
      <c r="M351" s="213"/>
      <c r="N351" s="213"/>
      <c r="O351" s="114">
        <f t="shared" si="24"/>
        <v>34.97</v>
      </c>
      <c r="P351" s="113">
        <f t="shared" si="25"/>
        <v>3147.3</v>
      </c>
      <c r="Q351" s="209"/>
      <c r="R351" s="203"/>
      <c r="S351" s="182"/>
      <c r="T351" s="182"/>
      <c r="U351" s="182"/>
      <c r="V351" s="182"/>
      <c r="W351" s="182"/>
      <c r="X351" s="182"/>
      <c r="Y351" s="182"/>
      <c r="Z351" s="182"/>
      <c r="AA351" s="182"/>
      <c r="AB351" s="182"/>
      <c r="AC351" s="182"/>
      <c r="AD351" s="182"/>
      <c r="AE351" s="182"/>
      <c r="AF351" s="182"/>
      <c r="AG351" s="182"/>
      <c r="AH351" s="182"/>
      <c r="AI351" s="182"/>
      <c r="AJ351" s="182"/>
      <c r="AK351" s="182"/>
      <c r="AL351" s="182"/>
      <c r="AM351" s="182"/>
      <c r="AN351" s="182"/>
      <c r="AO351" s="182"/>
      <c r="AP351" s="182"/>
      <c r="AQ351" s="182"/>
      <c r="AR351" s="182"/>
      <c r="AS351" s="182"/>
      <c r="AT351" s="182"/>
      <c r="AU351" s="182"/>
      <c r="AV351" s="182"/>
      <c r="AW351" s="182"/>
      <c r="AX351" s="182"/>
      <c r="AY351" s="182"/>
      <c r="AZ351" s="182"/>
      <c r="BA351" s="182"/>
      <c r="BB351" s="182"/>
      <c r="BC351" s="182"/>
      <c r="BD351" s="182"/>
      <c r="BE351" s="182"/>
      <c r="BF351" s="182"/>
      <c r="BG351" s="182"/>
      <c r="BH351" s="182"/>
      <c r="BI351" s="182"/>
      <c r="BJ351" s="182"/>
      <c r="BK351" s="182"/>
      <c r="BL351" s="182"/>
      <c r="BM351" s="182"/>
      <c r="BN351" s="182"/>
      <c r="BO351" s="182"/>
      <c r="BP351" s="182"/>
      <c r="BQ351" s="182"/>
      <c r="BR351" s="182"/>
      <c r="BS351" s="182"/>
      <c r="BT351" s="182"/>
      <c r="BU351" s="182"/>
      <c r="BV351" s="182"/>
      <c r="BW351" s="182"/>
      <c r="BX351" s="182"/>
      <c r="BY351" s="182"/>
      <c r="BZ351" s="182"/>
      <c r="CA351" s="182"/>
      <c r="CB351" s="182"/>
      <c r="CC351" s="182"/>
      <c r="CD351" s="182"/>
      <c r="CE351" s="182"/>
      <c r="CF351" s="182"/>
      <c r="CG351" s="182"/>
      <c r="CH351" s="182"/>
      <c r="CI351" s="182"/>
      <c r="CJ351" s="182"/>
      <c r="CK351" s="182"/>
      <c r="CL351" s="182"/>
      <c r="CM351" s="182"/>
      <c r="CN351" s="182"/>
      <c r="CO351" s="182"/>
      <c r="CP351" s="182"/>
      <c r="CQ351" s="182"/>
      <c r="CR351" s="182"/>
      <c r="CS351" s="182"/>
      <c r="CT351" s="182"/>
      <c r="CU351" s="182"/>
      <c r="CV351" s="182"/>
      <c r="CW351" s="182"/>
      <c r="CX351" s="182"/>
      <c r="CY351" s="182"/>
      <c r="CZ351" s="182"/>
      <c r="DA351" s="182"/>
      <c r="DB351" s="182"/>
      <c r="DC351" s="182"/>
      <c r="DD351" s="182"/>
      <c r="DE351" s="182"/>
      <c r="DF351" s="182"/>
      <c r="DG351" s="182"/>
      <c r="DH351" s="182"/>
      <c r="DI351" s="182"/>
      <c r="DJ351" s="182"/>
      <c r="DK351" s="182"/>
      <c r="DL351" s="182"/>
      <c r="DM351" s="182"/>
      <c r="DN351" s="182"/>
      <c r="DO351" s="182"/>
      <c r="DP351" s="182"/>
      <c r="DQ351" s="182"/>
      <c r="DR351" s="182"/>
      <c r="DS351" s="182"/>
      <c r="DT351" s="182"/>
      <c r="DU351" s="182"/>
      <c r="DV351" s="182"/>
      <c r="DW351" s="182"/>
      <c r="DX351" s="182"/>
      <c r="DY351" s="182"/>
      <c r="DZ351" s="182"/>
      <c r="EA351" s="182"/>
      <c r="EB351" s="182"/>
      <c r="EC351" s="182"/>
      <c r="ED351" s="182"/>
      <c r="EE351" s="182"/>
      <c r="EF351" s="182"/>
      <c r="EG351" s="182"/>
      <c r="EH351" s="182"/>
      <c r="EI351" s="182"/>
      <c r="EJ351" s="182"/>
      <c r="EK351" s="182"/>
      <c r="EL351" s="182"/>
      <c r="EM351" s="182"/>
      <c r="EN351" s="182"/>
      <c r="EO351" s="182"/>
      <c r="EP351" s="182"/>
      <c r="EQ351" s="182"/>
      <c r="ER351" s="182"/>
      <c r="ES351" s="182"/>
      <c r="ET351" s="182"/>
      <c r="EU351" s="182"/>
      <c r="EV351" s="182"/>
      <c r="EW351" s="182"/>
      <c r="EX351" s="182"/>
      <c r="EY351" s="182"/>
      <c r="EZ351" s="182"/>
      <c r="FA351" s="182"/>
      <c r="FB351" s="182"/>
      <c r="FC351" s="182"/>
      <c r="FD351" s="182"/>
      <c r="FE351" s="182"/>
      <c r="FF351" s="182"/>
      <c r="FG351" s="182"/>
      <c r="FH351" s="182"/>
      <c r="FI351" s="182"/>
      <c r="FJ351" s="182"/>
      <c r="FK351" s="182"/>
      <c r="FL351" s="182"/>
      <c r="FM351" s="182"/>
      <c r="FN351" s="182"/>
      <c r="FO351" s="182"/>
      <c r="FP351" s="182"/>
      <c r="FQ351" s="182"/>
      <c r="FR351" s="182"/>
      <c r="FS351" s="182"/>
      <c r="FT351" s="182"/>
      <c r="FU351" s="182"/>
      <c r="FV351" s="182"/>
      <c r="FW351" s="182"/>
      <c r="FX351" s="182"/>
      <c r="FY351" s="182"/>
      <c r="FZ351" s="182"/>
      <c r="GA351" s="182"/>
      <c r="GB351" s="182"/>
      <c r="GC351" s="182"/>
      <c r="GD351" s="182"/>
      <c r="GE351" s="182"/>
      <c r="GF351" s="182"/>
      <c r="GG351" s="182"/>
      <c r="GH351" s="182"/>
      <c r="GI351" s="182"/>
    </row>
    <row r="352" spans="1:191" s="183" customFormat="1" x14ac:dyDescent="0.2">
      <c r="A352" s="210" t="s">
        <v>38657</v>
      </c>
      <c r="B352" s="210" t="s">
        <v>19200</v>
      </c>
      <c r="C352" s="224" t="s">
        <v>22456</v>
      </c>
      <c r="D352" s="211" t="s">
        <v>16</v>
      </c>
      <c r="E352" s="211">
        <v>300</v>
      </c>
      <c r="F352" s="211"/>
      <c r="G352" s="211">
        <v>0.3</v>
      </c>
      <c r="H352" s="212"/>
      <c r="I352" s="213"/>
      <c r="J352" s="272">
        <v>10.92</v>
      </c>
      <c r="K352" s="112">
        <f t="shared" si="23"/>
        <v>3276</v>
      </c>
      <c r="L352" s="273">
        <f>BDI!$E$17</f>
        <v>0.11260000000000001</v>
      </c>
      <c r="M352" s="213"/>
      <c r="N352" s="213"/>
      <c r="O352" s="114">
        <f t="shared" si="24"/>
        <v>12.15</v>
      </c>
      <c r="P352" s="113">
        <f t="shared" si="25"/>
        <v>1093.5</v>
      </c>
      <c r="Q352" s="209"/>
      <c r="R352" s="203"/>
      <c r="S352" s="182"/>
      <c r="T352" s="182"/>
      <c r="U352" s="182"/>
      <c r="V352" s="182"/>
      <c r="W352" s="182"/>
      <c r="X352" s="182"/>
      <c r="Y352" s="182"/>
      <c r="Z352" s="182"/>
      <c r="AA352" s="182"/>
      <c r="AB352" s="182"/>
      <c r="AC352" s="182"/>
      <c r="AD352" s="182"/>
      <c r="AE352" s="182"/>
      <c r="AF352" s="182"/>
      <c r="AG352" s="182"/>
      <c r="AH352" s="182"/>
      <c r="AI352" s="182"/>
      <c r="AJ352" s="182"/>
      <c r="AK352" s="182"/>
      <c r="AL352" s="182"/>
      <c r="AM352" s="182"/>
      <c r="AN352" s="182"/>
      <c r="AO352" s="182"/>
      <c r="AP352" s="182"/>
      <c r="AQ352" s="182"/>
      <c r="AR352" s="182"/>
      <c r="AS352" s="182"/>
      <c r="AT352" s="182"/>
      <c r="AU352" s="182"/>
      <c r="AV352" s="182"/>
      <c r="AW352" s="182"/>
      <c r="AX352" s="182"/>
      <c r="AY352" s="182"/>
      <c r="AZ352" s="182"/>
      <c r="BA352" s="182"/>
      <c r="BB352" s="182"/>
      <c r="BC352" s="182"/>
      <c r="BD352" s="182"/>
      <c r="BE352" s="182"/>
      <c r="BF352" s="182"/>
      <c r="BG352" s="182"/>
      <c r="BH352" s="182"/>
      <c r="BI352" s="182"/>
      <c r="BJ352" s="182"/>
      <c r="BK352" s="182"/>
      <c r="BL352" s="182"/>
      <c r="BM352" s="182"/>
      <c r="BN352" s="182"/>
      <c r="BO352" s="182"/>
      <c r="BP352" s="182"/>
      <c r="BQ352" s="182"/>
      <c r="BR352" s="182"/>
      <c r="BS352" s="182"/>
      <c r="BT352" s="182"/>
      <c r="BU352" s="182"/>
      <c r="BV352" s="182"/>
      <c r="BW352" s="182"/>
      <c r="BX352" s="182"/>
      <c r="BY352" s="182"/>
      <c r="BZ352" s="182"/>
      <c r="CA352" s="182"/>
      <c r="CB352" s="182"/>
      <c r="CC352" s="182"/>
      <c r="CD352" s="182"/>
      <c r="CE352" s="182"/>
      <c r="CF352" s="182"/>
      <c r="CG352" s="182"/>
      <c r="CH352" s="182"/>
      <c r="CI352" s="182"/>
      <c r="CJ352" s="182"/>
      <c r="CK352" s="182"/>
      <c r="CL352" s="182"/>
      <c r="CM352" s="182"/>
      <c r="CN352" s="182"/>
      <c r="CO352" s="182"/>
      <c r="CP352" s="182"/>
      <c r="CQ352" s="182"/>
      <c r="CR352" s="182"/>
      <c r="CS352" s="182"/>
      <c r="CT352" s="182"/>
      <c r="CU352" s="182"/>
      <c r="CV352" s="182"/>
      <c r="CW352" s="182"/>
      <c r="CX352" s="182"/>
      <c r="CY352" s="182"/>
      <c r="CZ352" s="182"/>
      <c r="DA352" s="182"/>
      <c r="DB352" s="182"/>
      <c r="DC352" s="182"/>
      <c r="DD352" s="182"/>
      <c r="DE352" s="182"/>
      <c r="DF352" s="182"/>
      <c r="DG352" s="182"/>
      <c r="DH352" s="182"/>
      <c r="DI352" s="182"/>
      <c r="DJ352" s="182"/>
      <c r="DK352" s="182"/>
      <c r="DL352" s="182"/>
      <c r="DM352" s="182"/>
      <c r="DN352" s="182"/>
      <c r="DO352" s="182"/>
      <c r="DP352" s="182"/>
      <c r="DQ352" s="182"/>
      <c r="DR352" s="182"/>
      <c r="DS352" s="182"/>
      <c r="DT352" s="182"/>
      <c r="DU352" s="182"/>
      <c r="DV352" s="182"/>
      <c r="DW352" s="182"/>
      <c r="DX352" s="182"/>
      <c r="DY352" s="182"/>
      <c r="DZ352" s="182"/>
      <c r="EA352" s="182"/>
      <c r="EB352" s="182"/>
      <c r="EC352" s="182"/>
      <c r="ED352" s="182"/>
      <c r="EE352" s="182"/>
      <c r="EF352" s="182"/>
      <c r="EG352" s="182"/>
      <c r="EH352" s="182"/>
      <c r="EI352" s="182"/>
      <c r="EJ352" s="182"/>
      <c r="EK352" s="182"/>
      <c r="EL352" s="182"/>
      <c r="EM352" s="182"/>
      <c r="EN352" s="182"/>
      <c r="EO352" s="182"/>
      <c r="EP352" s="182"/>
      <c r="EQ352" s="182"/>
      <c r="ER352" s="182"/>
      <c r="ES352" s="182"/>
      <c r="ET352" s="182"/>
      <c r="EU352" s="182"/>
      <c r="EV352" s="182"/>
      <c r="EW352" s="182"/>
      <c r="EX352" s="182"/>
      <c r="EY352" s="182"/>
      <c r="EZ352" s="182"/>
      <c r="FA352" s="182"/>
      <c r="FB352" s="182"/>
      <c r="FC352" s="182"/>
      <c r="FD352" s="182"/>
      <c r="FE352" s="182"/>
      <c r="FF352" s="182"/>
      <c r="FG352" s="182"/>
      <c r="FH352" s="182"/>
      <c r="FI352" s="182"/>
      <c r="FJ352" s="182"/>
      <c r="FK352" s="182"/>
      <c r="FL352" s="182"/>
      <c r="FM352" s="182"/>
      <c r="FN352" s="182"/>
      <c r="FO352" s="182"/>
      <c r="FP352" s="182"/>
      <c r="FQ352" s="182"/>
      <c r="FR352" s="182"/>
      <c r="FS352" s="182"/>
      <c r="FT352" s="182"/>
      <c r="FU352" s="182"/>
      <c r="FV352" s="182"/>
      <c r="FW352" s="182"/>
      <c r="FX352" s="182"/>
      <c r="FY352" s="182"/>
      <c r="FZ352" s="182"/>
      <c r="GA352" s="182"/>
      <c r="GB352" s="182"/>
      <c r="GC352" s="182"/>
      <c r="GD352" s="182"/>
      <c r="GE352" s="182"/>
      <c r="GF352" s="182"/>
      <c r="GG352" s="182"/>
      <c r="GH352" s="182"/>
      <c r="GI352" s="182"/>
    </row>
    <row r="353" spans="1:191" s="183" customFormat="1" x14ac:dyDescent="0.2">
      <c r="A353" s="210" t="s">
        <v>38658</v>
      </c>
      <c r="B353" s="210" t="s">
        <v>19201</v>
      </c>
      <c r="C353" s="224" t="s">
        <v>22457</v>
      </c>
      <c r="D353" s="211" t="s">
        <v>16</v>
      </c>
      <c r="E353" s="211">
        <v>300</v>
      </c>
      <c r="F353" s="211"/>
      <c r="G353" s="211">
        <v>0.3</v>
      </c>
      <c r="H353" s="212"/>
      <c r="I353" s="213"/>
      <c r="J353" s="272">
        <v>12.66</v>
      </c>
      <c r="K353" s="112">
        <f t="shared" ref="K353:K416" si="26">IF(ISNUMBER(J353),ROUND(E353*J353,2),"")</f>
        <v>3798</v>
      </c>
      <c r="L353" s="273">
        <f>BDI!$E$17</f>
        <v>0.11260000000000001</v>
      </c>
      <c r="M353" s="213"/>
      <c r="N353" s="213"/>
      <c r="O353" s="114">
        <f t="shared" ref="O353:O416" si="27">IF(ISNUMBER(J353),ROUND(J353*(1+L353),2),"")</f>
        <v>14.09</v>
      </c>
      <c r="P353" s="113">
        <f t="shared" ref="P353:P416" si="28">IF(ISNUMBER(J353),ROUND(G353*O353*E353,2),"")</f>
        <v>1268.0999999999999</v>
      </c>
      <c r="Q353" s="209"/>
      <c r="R353" s="203"/>
      <c r="S353" s="182"/>
      <c r="T353" s="182"/>
      <c r="U353" s="182"/>
      <c r="V353" s="182"/>
      <c r="W353" s="182"/>
      <c r="X353" s="182"/>
      <c r="Y353" s="182"/>
      <c r="Z353" s="182"/>
      <c r="AA353" s="182"/>
      <c r="AB353" s="182"/>
      <c r="AC353" s="182"/>
      <c r="AD353" s="182"/>
      <c r="AE353" s="182"/>
      <c r="AF353" s="182"/>
      <c r="AG353" s="182"/>
      <c r="AH353" s="182"/>
      <c r="AI353" s="182"/>
      <c r="AJ353" s="182"/>
      <c r="AK353" s="182"/>
      <c r="AL353" s="182"/>
      <c r="AM353" s="182"/>
      <c r="AN353" s="182"/>
      <c r="AO353" s="182"/>
      <c r="AP353" s="182"/>
      <c r="AQ353" s="182"/>
      <c r="AR353" s="182"/>
      <c r="AS353" s="182"/>
      <c r="AT353" s="182"/>
      <c r="AU353" s="182"/>
      <c r="AV353" s="182"/>
      <c r="AW353" s="182"/>
      <c r="AX353" s="182"/>
      <c r="AY353" s="182"/>
      <c r="AZ353" s="182"/>
      <c r="BA353" s="182"/>
      <c r="BB353" s="182"/>
      <c r="BC353" s="182"/>
      <c r="BD353" s="182"/>
      <c r="BE353" s="182"/>
      <c r="BF353" s="182"/>
      <c r="BG353" s="182"/>
      <c r="BH353" s="182"/>
      <c r="BI353" s="182"/>
      <c r="BJ353" s="182"/>
      <c r="BK353" s="182"/>
      <c r="BL353" s="182"/>
      <c r="BM353" s="182"/>
      <c r="BN353" s="182"/>
      <c r="BO353" s="182"/>
      <c r="BP353" s="182"/>
      <c r="BQ353" s="182"/>
      <c r="BR353" s="182"/>
      <c r="BS353" s="182"/>
      <c r="BT353" s="182"/>
      <c r="BU353" s="182"/>
      <c r="BV353" s="182"/>
      <c r="BW353" s="182"/>
      <c r="BX353" s="182"/>
      <c r="BY353" s="182"/>
      <c r="BZ353" s="182"/>
      <c r="CA353" s="182"/>
      <c r="CB353" s="182"/>
      <c r="CC353" s="182"/>
      <c r="CD353" s="182"/>
      <c r="CE353" s="182"/>
      <c r="CF353" s="182"/>
      <c r="CG353" s="182"/>
      <c r="CH353" s="182"/>
      <c r="CI353" s="182"/>
      <c r="CJ353" s="182"/>
      <c r="CK353" s="182"/>
      <c r="CL353" s="182"/>
      <c r="CM353" s="182"/>
      <c r="CN353" s="182"/>
      <c r="CO353" s="182"/>
      <c r="CP353" s="182"/>
      <c r="CQ353" s="182"/>
      <c r="CR353" s="182"/>
      <c r="CS353" s="182"/>
      <c r="CT353" s="182"/>
      <c r="CU353" s="182"/>
      <c r="CV353" s="182"/>
      <c r="CW353" s="182"/>
      <c r="CX353" s="182"/>
      <c r="CY353" s="182"/>
      <c r="CZ353" s="182"/>
      <c r="DA353" s="182"/>
      <c r="DB353" s="182"/>
      <c r="DC353" s="182"/>
      <c r="DD353" s="182"/>
      <c r="DE353" s="182"/>
      <c r="DF353" s="182"/>
      <c r="DG353" s="182"/>
      <c r="DH353" s="182"/>
      <c r="DI353" s="182"/>
      <c r="DJ353" s="182"/>
      <c r="DK353" s="182"/>
      <c r="DL353" s="182"/>
      <c r="DM353" s="182"/>
      <c r="DN353" s="182"/>
      <c r="DO353" s="182"/>
      <c r="DP353" s="182"/>
      <c r="DQ353" s="182"/>
      <c r="DR353" s="182"/>
      <c r="DS353" s="182"/>
      <c r="DT353" s="182"/>
      <c r="DU353" s="182"/>
      <c r="DV353" s="182"/>
      <c r="DW353" s="182"/>
      <c r="DX353" s="182"/>
      <c r="DY353" s="182"/>
      <c r="DZ353" s="182"/>
      <c r="EA353" s="182"/>
      <c r="EB353" s="182"/>
      <c r="EC353" s="182"/>
      <c r="ED353" s="182"/>
      <c r="EE353" s="182"/>
      <c r="EF353" s="182"/>
      <c r="EG353" s="182"/>
      <c r="EH353" s="182"/>
      <c r="EI353" s="182"/>
      <c r="EJ353" s="182"/>
      <c r="EK353" s="182"/>
      <c r="EL353" s="182"/>
      <c r="EM353" s="182"/>
      <c r="EN353" s="182"/>
      <c r="EO353" s="182"/>
      <c r="EP353" s="182"/>
      <c r="EQ353" s="182"/>
      <c r="ER353" s="182"/>
      <c r="ES353" s="182"/>
      <c r="ET353" s="182"/>
      <c r="EU353" s="182"/>
      <c r="EV353" s="182"/>
      <c r="EW353" s="182"/>
      <c r="EX353" s="182"/>
      <c r="EY353" s="182"/>
      <c r="EZ353" s="182"/>
      <c r="FA353" s="182"/>
      <c r="FB353" s="182"/>
      <c r="FC353" s="182"/>
      <c r="FD353" s="182"/>
      <c r="FE353" s="182"/>
      <c r="FF353" s="182"/>
      <c r="FG353" s="182"/>
      <c r="FH353" s="182"/>
      <c r="FI353" s="182"/>
      <c r="FJ353" s="182"/>
      <c r="FK353" s="182"/>
      <c r="FL353" s="182"/>
      <c r="FM353" s="182"/>
      <c r="FN353" s="182"/>
      <c r="FO353" s="182"/>
      <c r="FP353" s="182"/>
      <c r="FQ353" s="182"/>
      <c r="FR353" s="182"/>
      <c r="FS353" s="182"/>
      <c r="FT353" s="182"/>
      <c r="FU353" s="182"/>
      <c r="FV353" s="182"/>
      <c r="FW353" s="182"/>
      <c r="FX353" s="182"/>
      <c r="FY353" s="182"/>
      <c r="FZ353" s="182"/>
      <c r="GA353" s="182"/>
      <c r="GB353" s="182"/>
      <c r="GC353" s="182"/>
      <c r="GD353" s="182"/>
      <c r="GE353" s="182"/>
      <c r="GF353" s="182"/>
      <c r="GG353" s="182"/>
      <c r="GH353" s="182"/>
      <c r="GI353" s="182"/>
    </row>
    <row r="354" spans="1:191" s="183" customFormat="1" x14ac:dyDescent="0.2">
      <c r="A354" s="210" t="s">
        <v>38659</v>
      </c>
      <c r="B354" s="210" t="s">
        <v>19202</v>
      </c>
      <c r="C354" s="224" t="s">
        <v>22458</v>
      </c>
      <c r="D354" s="211" t="s">
        <v>16</v>
      </c>
      <c r="E354" s="211">
        <v>150</v>
      </c>
      <c r="F354" s="211"/>
      <c r="G354" s="211">
        <v>0.3</v>
      </c>
      <c r="H354" s="212"/>
      <c r="I354" s="213"/>
      <c r="J354" s="272">
        <v>9.61</v>
      </c>
      <c r="K354" s="112">
        <f t="shared" si="26"/>
        <v>1441.5</v>
      </c>
      <c r="L354" s="273">
        <f>BDI!$E$17</f>
        <v>0.11260000000000001</v>
      </c>
      <c r="M354" s="213"/>
      <c r="N354" s="213"/>
      <c r="O354" s="114">
        <f t="shared" si="27"/>
        <v>10.69</v>
      </c>
      <c r="P354" s="113">
        <f t="shared" si="28"/>
        <v>481.05</v>
      </c>
      <c r="Q354" s="209"/>
      <c r="R354" s="203"/>
      <c r="S354" s="182"/>
      <c r="T354" s="182"/>
      <c r="U354" s="182"/>
      <c r="V354" s="182"/>
      <c r="W354" s="182"/>
      <c r="X354" s="182"/>
      <c r="Y354" s="182"/>
      <c r="Z354" s="182"/>
      <c r="AA354" s="182"/>
      <c r="AB354" s="182"/>
      <c r="AC354" s="182"/>
      <c r="AD354" s="182"/>
      <c r="AE354" s="182"/>
      <c r="AF354" s="182"/>
      <c r="AG354" s="182"/>
      <c r="AH354" s="182"/>
      <c r="AI354" s="182"/>
      <c r="AJ354" s="182"/>
      <c r="AK354" s="182"/>
      <c r="AL354" s="182"/>
      <c r="AM354" s="182"/>
      <c r="AN354" s="182"/>
      <c r="AO354" s="182"/>
      <c r="AP354" s="182"/>
      <c r="AQ354" s="182"/>
      <c r="AR354" s="182"/>
      <c r="AS354" s="182"/>
      <c r="AT354" s="182"/>
      <c r="AU354" s="182"/>
      <c r="AV354" s="182"/>
      <c r="AW354" s="182"/>
      <c r="AX354" s="182"/>
      <c r="AY354" s="182"/>
      <c r="AZ354" s="182"/>
      <c r="BA354" s="182"/>
      <c r="BB354" s="182"/>
      <c r="BC354" s="182"/>
      <c r="BD354" s="182"/>
      <c r="BE354" s="182"/>
      <c r="BF354" s="182"/>
      <c r="BG354" s="182"/>
      <c r="BH354" s="182"/>
      <c r="BI354" s="182"/>
      <c r="BJ354" s="182"/>
      <c r="BK354" s="182"/>
      <c r="BL354" s="182"/>
      <c r="BM354" s="182"/>
      <c r="BN354" s="182"/>
      <c r="BO354" s="182"/>
      <c r="BP354" s="182"/>
      <c r="BQ354" s="182"/>
      <c r="BR354" s="182"/>
      <c r="BS354" s="182"/>
      <c r="BT354" s="182"/>
      <c r="BU354" s="182"/>
      <c r="BV354" s="182"/>
      <c r="BW354" s="182"/>
      <c r="BX354" s="182"/>
      <c r="BY354" s="182"/>
      <c r="BZ354" s="182"/>
      <c r="CA354" s="182"/>
      <c r="CB354" s="182"/>
      <c r="CC354" s="182"/>
      <c r="CD354" s="182"/>
      <c r="CE354" s="182"/>
      <c r="CF354" s="182"/>
      <c r="CG354" s="182"/>
      <c r="CH354" s="182"/>
      <c r="CI354" s="182"/>
      <c r="CJ354" s="182"/>
      <c r="CK354" s="182"/>
      <c r="CL354" s="182"/>
      <c r="CM354" s="182"/>
      <c r="CN354" s="182"/>
      <c r="CO354" s="182"/>
      <c r="CP354" s="182"/>
      <c r="CQ354" s="182"/>
      <c r="CR354" s="182"/>
      <c r="CS354" s="182"/>
      <c r="CT354" s="182"/>
      <c r="CU354" s="182"/>
      <c r="CV354" s="182"/>
      <c r="CW354" s="182"/>
      <c r="CX354" s="182"/>
      <c r="CY354" s="182"/>
      <c r="CZ354" s="182"/>
      <c r="DA354" s="182"/>
      <c r="DB354" s="182"/>
      <c r="DC354" s="182"/>
      <c r="DD354" s="182"/>
      <c r="DE354" s="182"/>
      <c r="DF354" s="182"/>
      <c r="DG354" s="182"/>
      <c r="DH354" s="182"/>
      <c r="DI354" s="182"/>
      <c r="DJ354" s="182"/>
      <c r="DK354" s="182"/>
      <c r="DL354" s="182"/>
      <c r="DM354" s="182"/>
      <c r="DN354" s="182"/>
      <c r="DO354" s="182"/>
      <c r="DP354" s="182"/>
      <c r="DQ354" s="182"/>
      <c r="DR354" s="182"/>
      <c r="DS354" s="182"/>
      <c r="DT354" s="182"/>
      <c r="DU354" s="182"/>
      <c r="DV354" s="182"/>
      <c r="DW354" s="182"/>
      <c r="DX354" s="182"/>
      <c r="DY354" s="182"/>
      <c r="DZ354" s="182"/>
      <c r="EA354" s="182"/>
      <c r="EB354" s="182"/>
      <c r="EC354" s="182"/>
      <c r="ED354" s="182"/>
      <c r="EE354" s="182"/>
      <c r="EF354" s="182"/>
      <c r="EG354" s="182"/>
      <c r="EH354" s="182"/>
      <c r="EI354" s="182"/>
      <c r="EJ354" s="182"/>
      <c r="EK354" s="182"/>
      <c r="EL354" s="182"/>
      <c r="EM354" s="182"/>
      <c r="EN354" s="182"/>
      <c r="EO354" s="182"/>
      <c r="EP354" s="182"/>
      <c r="EQ354" s="182"/>
      <c r="ER354" s="182"/>
      <c r="ES354" s="182"/>
      <c r="ET354" s="182"/>
      <c r="EU354" s="182"/>
      <c r="EV354" s="182"/>
      <c r="EW354" s="182"/>
      <c r="EX354" s="182"/>
      <c r="EY354" s="182"/>
      <c r="EZ354" s="182"/>
      <c r="FA354" s="182"/>
      <c r="FB354" s="182"/>
      <c r="FC354" s="182"/>
      <c r="FD354" s="182"/>
      <c r="FE354" s="182"/>
      <c r="FF354" s="182"/>
      <c r="FG354" s="182"/>
      <c r="FH354" s="182"/>
      <c r="FI354" s="182"/>
      <c r="FJ354" s="182"/>
      <c r="FK354" s="182"/>
      <c r="FL354" s="182"/>
      <c r="FM354" s="182"/>
      <c r="FN354" s="182"/>
      <c r="FO354" s="182"/>
      <c r="FP354" s="182"/>
      <c r="FQ354" s="182"/>
      <c r="FR354" s="182"/>
      <c r="FS354" s="182"/>
      <c r="FT354" s="182"/>
      <c r="FU354" s="182"/>
      <c r="FV354" s="182"/>
      <c r="FW354" s="182"/>
      <c r="FX354" s="182"/>
      <c r="FY354" s="182"/>
      <c r="FZ354" s="182"/>
      <c r="GA354" s="182"/>
      <c r="GB354" s="182"/>
      <c r="GC354" s="182"/>
      <c r="GD354" s="182"/>
      <c r="GE354" s="182"/>
      <c r="GF354" s="182"/>
      <c r="GG354" s="182"/>
      <c r="GH354" s="182"/>
      <c r="GI354" s="182"/>
    </row>
    <row r="355" spans="1:191" s="183" customFormat="1" x14ac:dyDescent="0.2">
      <c r="A355" s="210" t="s">
        <v>38660</v>
      </c>
      <c r="B355" s="210" t="s">
        <v>19203</v>
      </c>
      <c r="C355" s="224" t="s">
        <v>22459</v>
      </c>
      <c r="D355" s="211" t="s">
        <v>16</v>
      </c>
      <c r="E355" s="211">
        <v>150</v>
      </c>
      <c r="F355" s="211"/>
      <c r="G355" s="211">
        <v>0.3</v>
      </c>
      <c r="H355" s="212"/>
      <c r="I355" s="213"/>
      <c r="J355" s="272">
        <v>20.41</v>
      </c>
      <c r="K355" s="112">
        <f t="shared" si="26"/>
        <v>3061.5</v>
      </c>
      <c r="L355" s="273">
        <f>BDI!$E$17</f>
        <v>0.11260000000000001</v>
      </c>
      <c r="M355" s="213"/>
      <c r="N355" s="213"/>
      <c r="O355" s="114">
        <f t="shared" si="27"/>
        <v>22.71</v>
      </c>
      <c r="P355" s="113">
        <f t="shared" si="28"/>
        <v>1021.95</v>
      </c>
      <c r="Q355" s="209"/>
      <c r="R355" s="203"/>
      <c r="S355" s="182"/>
      <c r="T355" s="182"/>
      <c r="U355" s="182"/>
      <c r="V355" s="182"/>
      <c r="W355" s="182"/>
      <c r="X355" s="182"/>
      <c r="Y355" s="182"/>
      <c r="Z355" s="182"/>
      <c r="AA355" s="182"/>
      <c r="AB355" s="182"/>
      <c r="AC355" s="182"/>
      <c r="AD355" s="182"/>
      <c r="AE355" s="182"/>
      <c r="AF355" s="182"/>
      <c r="AG355" s="182"/>
      <c r="AH355" s="182"/>
      <c r="AI355" s="182"/>
      <c r="AJ355" s="182"/>
      <c r="AK355" s="182"/>
      <c r="AL355" s="182"/>
      <c r="AM355" s="182"/>
      <c r="AN355" s="182"/>
      <c r="AO355" s="182"/>
      <c r="AP355" s="182"/>
      <c r="AQ355" s="182"/>
      <c r="AR355" s="182"/>
      <c r="AS355" s="182"/>
      <c r="AT355" s="182"/>
      <c r="AU355" s="182"/>
      <c r="AV355" s="182"/>
      <c r="AW355" s="182"/>
      <c r="AX355" s="182"/>
      <c r="AY355" s="182"/>
      <c r="AZ355" s="182"/>
      <c r="BA355" s="182"/>
      <c r="BB355" s="182"/>
      <c r="BC355" s="182"/>
      <c r="BD355" s="182"/>
      <c r="BE355" s="182"/>
      <c r="BF355" s="182"/>
      <c r="BG355" s="182"/>
      <c r="BH355" s="182"/>
      <c r="BI355" s="182"/>
      <c r="BJ355" s="182"/>
      <c r="BK355" s="182"/>
      <c r="BL355" s="182"/>
      <c r="BM355" s="182"/>
      <c r="BN355" s="182"/>
      <c r="BO355" s="182"/>
      <c r="BP355" s="182"/>
      <c r="BQ355" s="182"/>
      <c r="BR355" s="182"/>
      <c r="BS355" s="182"/>
      <c r="BT355" s="182"/>
      <c r="BU355" s="182"/>
      <c r="BV355" s="182"/>
      <c r="BW355" s="182"/>
      <c r="BX355" s="182"/>
      <c r="BY355" s="182"/>
      <c r="BZ355" s="182"/>
      <c r="CA355" s="182"/>
      <c r="CB355" s="182"/>
      <c r="CC355" s="182"/>
      <c r="CD355" s="182"/>
      <c r="CE355" s="182"/>
      <c r="CF355" s="182"/>
      <c r="CG355" s="182"/>
      <c r="CH355" s="182"/>
      <c r="CI355" s="182"/>
      <c r="CJ355" s="182"/>
      <c r="CK355" s="182"/>
      <c r="CL355" s="182"/>
      <c r="CM355" s="182"/>
      <c r="CN355" s="182"/>
      <c r="CO355" s="182"/>
      <c r="CP355" s="182"/>
      <c r="CQ355" s="182"/>
      <c r="CR355" s="182"/>
      <c r="CS355" s="182"/>
      <c r="CT355" s="182"/>
      <c r="CU355" s="182"/>
      <c r="CV355" s="182"/>
      <c r="CW355" s="182"/>
      <c r="CX355" s="182"/>
      <c r="CY355" s="182"/>
      <c r="CZ355" s="182"/>
      <c r="DA355" s="182"/>
      <c r="DB355" s="182"/>
      <c r="DC355" s="182"/>
      <c r="DD355" s="182"/>
      <c r="DE355" s="182"/>
      <c r="DF355" s="182"/>
      <c r="DG355" s="182"/>
      <c r="DH355" s="182"/>
      <c r="DI355" s="182"/>
      <c r="DJ355" s="182"/>
      <c r="DK355" s="182"/>
      <c r="DL355" s="182"/>
      <c r="DM355" s="182"/>
      <c r="DN355" s="182"/>
      <c r="DO355" s="182"/>
      <c r="DP355" s="182"/>
      <c r="DQ355" s="182"/>
      <c r="DR355" s="182"/>
      <c r="DS355" s="182"/>
      <c r="DT355" s="182"/>
      <c r="DU355" s="182"/>
      <c r="DV355" s="182"/>
      <c r="DW355" s="182"/>
      <c r="DX355" s="182"/>
      <c r="DY355" s="182"/>
      <c r="DZ355" s="182"/>
      <c r="EA355" s="182"/>
      <c r="EB355" s="182"/>
      <c r="EC355" s="182"/>
      <c r="ED355" s="182"/>
      <c r="EE355" s="182"/>
      <c r="EF355" s="182"/>
      <c r="EG355" s="182"/>
      <c r="EH355" s="182"/>
      <c r="EI355" s="182"/>
      <c r="EJ355" s="182"/>
      <c r="EK355" s="182"/>
      <c r="EL355" s="182"/>
      <c r="EM355" s="182"/>
      <c r="EN355" s="182"/>
      <c r="EO355" s="182"/>
      <c r="EP355" s="182"/>
      <c r="EQ355" s="182"/>
      <c r="ER355" s="182"/>
      <c r="ES355" s="182"/>
      <c r="ET355" s="182"/>
      <c r="EU355" s="182"/>
      <c r="EV355" s="182"/>
      <c r="EW355" s="182"/>
      <c r="EX355" s="182"/>
      <c r="EY355" s="182"/>
      <c r="EZ355" s="182"/>
      <c r="FA355" s="182"/>
      <c r="FB355" s="182"/>
      <c r="FC355" s="182"/>
      <c r="FD355" s="182"/>
      <c r="FE355" s="182"/>
      <c r="FF355" s="182"/>
      <c r="FG355" s="182"/>
      <c r="FH355" s="182"/>
      <c r="FI355" s="182"/>
      <c r="FJ355" s="182"/>
      <c r="FK355" s="182"/>
      <c r="FL355" s="182"/>
      <c r="FM355" s="182"/>
      <c r="FN355" s="182"/>
      <c r="FO355" s="182"/>
      <c r="FP355" s="182"/>
      <c r="FQ355" s="182"/>
      <c r="FR355" s="182"/>
      <c r="FS355" s="182"/>
      <c r="FT355" s="182"/>
      <c r="FU355" s="182"/>
      <c r="FV355" s="182"/>
      <c r="FW355" s="182"/>
      <c r="FX355" s="182"/>
      <c r="FY355" s="182"/>
      <c r="FZ355" s="182"/>
      <c r="GA355" s="182"/>
      <c r="GB355" s="182"/>
      <c r="GC355" s="182"/>
      <c r="GD355" s="182"/>
      <c r="GE355" s="182"/>
      <c r="GF355" s="182"/>
      <c r="GG355" s="182"/>
      <c r="GH355" s="182"/>
      <c r="GI355" s="182"/>
    </row>
    <row r="356" spans="1:191" s="183" customFormat="1" x14ac:dyDescent="0.2">
      <c r="A356" s="210" t="s">
        <v>38661</v>
      </c>
      <c r="B356" s="210" t="s">
        <v>19204</v>
      </c>
      <c r="C356" s="224" t="s">
        <v>22460</v>
      </c>
      <c r="D356" s="211" t="s">
        <v>16</v>
      </c>
      <c r="E356" s="211">
        <v>150</v>
      </c>
      <c r="F356" s="211"/>
      <c r="G356" s="211">
        <v>0.3</v>
      </c>
      <c r="H356" s="212"/>
      <c r="I356" s="213"/>
      <c r="J356" s="272">
        <v>7.32</v>
      </c>
      <c r="K356" s="112">
        <f t="shared" si="26"/>
        <v>1098</v>
      </c>
      <c r="L356" s="273">
        <f>BDI!$E$17</f>
        <v>0.11260000000000001</v>
      </c>
      <c r="M356" s="213"/>
      <c r="N356" s="213"/>
      <c r="O356" s="114">
        <f t="shared" si="27"/>
        <v>8.14</v>
      </c>
      <c r="P356" s="113">
        <f t="shared" si="28"/>
        <v>366.3</v>
      </c>
      <c r="Q356" s="209"/>
      <c r="R356" s="203"/>
      <c r="S356" s="182"/>
      <c r="T356" s="182"/>
      <c r="U356" s="182"/>
      <c r="V356" s="182"/>
      <c r="W356" s="182"/>
      <c r="X356" s="182"/>
      <c r="Y356" s="182"/>
      <c r="Z356" s="182"/>
      <c r="AA356" s="182"/>
      <c r="AB356" s="182"/>
      <c r="AC356" s="182"/>
      <c r="AD356" s="182"/>
      <c r="AE356" s="182"/>
      <c r="AF356" s="182"/>
      <c r="AG356" s="182"/>
      <c r="AH356" s="182"/>
      <c r="AI356" s="182"/>
      <c r="AJ356" s="182"/>
      <c r="AK356" s="182"/>
      <c r="AL356" s="182"/>
      <c r="AM356" s="182"/>
      <c r="AN356" s="182"/>
      <c r="AO356" s="182"/>
      <c r="AP356" s="182"/>
      <c r="AQ356" s="182"/>
      <c r="AR356" s="182"/>
      <c r="AS356" s="182"/>
      <c r="AT356" s="182"/>
      <c r="AU356" s="182"/>
      <c r="AV356" s="182"/>
      <c r="AW356" s="182"/>
      <c r="AX356" s="182"/>
      <c r="AY356" s="182"/>
      <c r="AZ356" s="182"/>
      <c r="BA356" s="182"/>
      <c r="BB356" s="182"/>
      <c r="BC356" s="182"/>
      <c r="BD356" s="182"/>
      <c r="BE356" s="182"/>
      <c r="BF356" s="182"/>
      <c r="BG356" s="182"/>
      <c r="BH356" s="182"/>
      <c r="BI356" s="182"/>
      <c r="BJ356" s="182"/>
      <c r="BK356" s="182"/>
      <c r="BL356" s="182"/>
      <c r="BM356" s="182"/>
      <c r="BN356" s="182"/>
      <c r="BO356" s="182"/>
      <c r="BP356" s="182"/>
      <c r="BQ356" s="182"/>
      <c r="BR356" s="182"/>
      <c r="BS356" s="182"/>
      <c r="BT356" s="182"/>
      <c r="BU356" s="182"/>
      <c r="BV356" s="182"/>
      <c r="BW356" s="182"/>
      <c r="BX356" s="182"/>
      <c r="BY356" s="182"/>
      <c r="BZ356" s="182"/>
      <c r="CA356" s="182"/>
      <c r="CB356" s="182"/>
      <c r="CC356" s="182"/>
      <c r="CD356" s="182"/>
      <c r="CE356" s="182"/>
      <c r="CF356" s="182"/>
      <c r="CG356" s="182"/>
      <c r="CH356" s="182"/>
      <c r="CI356" s="182"/>
      <c r="CJ356" s="182"/>
      <c r="CK356" s="182"/>
      <c r="CL356" s="182"/>
      <c r="CM356" s="182"/>
      <c r="CN356" s="182"/>
      <c r="CO356" s="182"/>
      <c r="CP356" s="182"/>
      <c r="CQ356" s="182"/>
      <c r="CR356" s="182"/>
      <c r="CS356" s="182"/>
      <c r="CT356" s="182"/>
      <c r="CU356" s="182"/>
      <c r="CV356" s="182"/>
      <c r="CW356" s="182"/>
      <c r="CX356" s="182"/>
      <c r="CY356" s="182"/>
      <c r="CZ356" s="182"/>
      <c r="DA356" s="182"/>
      <c r="DB356" s="182"/>
      <c r="DC356" s="182"/>
      <c r="DD356" s="182"/>
      <c r="DE356" s="182"/>
      <c r="DF356" s="182"/>
      <c r="DG356" s="182"/>
      <c r="DH356" s="182"/>
      <c r="DI356" s="182"/>
      <c r="DJ356" s="182"/>
      <c r="DK356" s="182"/>
      <c r="DL356" s="182"/>
      <c r="DM356" s="182"/>
      <c r="DN356" s="182"/>
      <c r="DO356" s="182"/>
      <c r="DP356" s="182"/>
      <c r="DQ356" s="182"/>
      <c r="DR356" s="182"/>
      <c r="DS356" s="182"/>
      <c r="DT356" s="182"/>
      <c r="DU356" s="182"/>
      <c r="DV356" s="182"/>
      <c r="DW356" s="182"/>
      <c r="DX356" s="182"/>
      <c r="DY356" s="182"/>
      <c r="DZ356" s="182"/>
      <c r="EA356" s="182"/>
      <c r="EB356" s="182"/>
      <c r="EC356" s="182"/>
      <c r="ED356" s="182"/>
      <c r="EE356" s="182"/>
      <c r="EF356" s="182"/>
      <c r="EG356" s="182"/>
      <c r="EH356" s="182"/>
      <c r="EI356" s="182"/>
      <c r="EJ356" s="182"/>
      <c r="EK356" s="182"/>
      <c r="EL356" s="182"/>
      <c r="EM356" s="182"/>
      <c r="EN356" s="182"/>
      <c r="EO356" s="182"/>
      <c r="EP356" s="182"/>
      <c r="EQ356" s="182"/>
      <c r="ER356" s="182"/>
      <c r="ES356" s="182"/>
      <c r="ET356" s="182"/>
      <c r="EU356" s="182"/>
      <c r="EV356" s="182"/>
      <c r="EW356" s="182"/>
      <c r="EX356" s="182"/>
      <c r="EY356" s="182"/>
      <c r="EZ356" s="182"/>
      <c r="FA356" s="182"/>
      <c r="FB356" s="182"/>
      <c r="FC356" s="182"/>
      <c r="FD356" s="182"/>
      <c r="FE356" s="182"/>
      <c r="FF356" s="182"/>
      <c r="FG356" s="182"/>
      <c r="FH356" s="182"/>
      <c r="FI356" s="182"/>
      <c r="FJ356" s="182"/>
      <c r="FK356" s="182"/>
      <c r="FL356" s="182"/>
      <c r="FM356" s="182"/>
      <c r="FN356" s="182"/>
      <c r="FO356" s="182"/>
      <c r="FP356" s="182"/>
      <c r="FQ356" s="182"/>
      <c r="FR356" s="182"/>
      <c r="FS356" s="182"/>
      <c r="FT356" s="182"/>
      <c r="FU356" s="182"/>
      <c r="FV356" s="182"/>
      <c r="FW356" s="182"/>
      <c r="FX356" s="182"/>
      <c r="FY356" s="182"/>
      <c r="FZ356" s="182"/>
      <c r="GA356" s="182"/>
      <c r="GB356" s="182"/>
      <c r="GC356" s="182"/>
      <c r="GD356" s="182"/>
      <c r="GE356" s="182"/>
      <c r="GF356" s="182"/>
      <c r="GG356" s="182"/>
      <c r="GH356" s="182"/>
      <c r="GI356" s="182"/>
    </row>
    <row r="357" spans="1:191" s="183" customFormat="1" x14ac:dyDescent="0.2">
      <c r="A357" s="210" t="s">
        <v>38662</v>
      </c>
      <c r="B357" s="210" t="s">
        <v>19205</v>
      </c>
      <c r="C357" s="224" t="s">
        <v>22461</v>
      </c>
      <c r="D357" s="211" t="s">
        <v>16</v>
      </c>
      <c r="E357" s="211">
        <v>50</v>
      </c>
      <c r="F357" s="211"/>
      <c r="G357" s="211">
        <v>0.3</v>
      </c>
      <c r="H357" s="212"/>
      <c r="I357" s="213"/>
      <c r="J357" s="272">
        <v>21.58</v>
      </c>
      <c r="K357" s="112">
        <f t="shared" si="26"/>
        <v>1079</v>
      </c>
      <c r="L357" s="273">
        <f>BDI!$E$17</f>
        <v>0.11260000000000001</v>
      </c>
      <c r="M357" s="213"/>
      <c r="N357" s="213"/>
      <c r="O357" s="114">
        <f t="shared" si="27"/>
        <v>24.01</v>
      </c>
      <c r="P357" s="113">
        <f t="shared" si="28"/>
        <v>360.15</v>
      </c>
      <c r="Q357" s="209"/>
      <c r="R357" s="203"/>
      <c r="S357" s="182"/>
      <c r="T357" s="182"/>
      <c r="U357" s="182"/>
      <c r="V357" s="182"/>
      <c r="W357" s="182"/>
      <c r="X357" s="182"/>
      <c r="Y357" s="182"/>
      <c r="Z357" s="182"/>
      <c r="AA357" s="182"/>
      <c r="AB357" s="182"/>
      <c r="AC357" s="182"/>
      <c r="AD357" s="182"/>
      <c r="AE357" s="182"/>
      <c r="AF357" s="182"/>
      <c r="AG357" s="182"/>
      <c r="AH357" s="182"/>
      <c r="AI357" s="182"/>
      <c r="AJ357" s="182"/>
      <c r="AK357" s="182"/>
      <c r="AL357" s="182"/>
      <c r="AM357" s="182"/>
      <c r="AN357" s="182"/>
      <c r="AO357" s="182"/>
      <c r="AP357" s="182"/>
      <c r="AQ357" s="182"/>
      <c r="AR357" s="182"/>
      <c r="AS357" s="182"/>
      <c r="AT357" s="182"/>
      <c r="AU357" s="182"/>
      <c r="AV357" s="182"/>
      <c r="AW357" s="182"/>
      <c r="AX357" s="182"/>
      <c r="AY357" s="182"/>
      <c r="AZ357" s="182"/>
      <c r="BA357" s="182"/>
      <c r="BB357" s="182"/>
      <c r="BC357" s="182"/>
      <c r="BD357" s="182"/>
      <c r="BE357" s="182"/>
      <c r="BF357" s="182"/>
      <c r="BG357" s="182"/>
      <c r="BH357" s="182"/>
      <c r="BI357" s="182"/>
      <c r="BJ357" s="182"/>
      <c r="BK357" s="182"/>
      <c r="BL357" s="182"/>
      <c r="BM357" s="182"/>
      <c r="BN357" s="182"/>
      <c r="BO357" s="182"/>
      <c r="BP357" s="182"/>
      <c r="BQ357" s="182"/>
      <c r="BR357" s="182"/>
      <c r="BS357" s="182"/>
      <c r="BT357" s="182"/>
      <c r="BU357" s="182"/>
      <c r="BV357" s="182"/>
      <c r="BW357" s="182"/>
      <c r="BX357" s="182"/>
      <c r="BY357" s="182"/>
      <c r="BZ357" s="182"/>
      <c r="CA357" s="182"/>
      <c r="CB357" s="182"/>
      <c r="CC357" s="182"/>
      <c r="CD357" s="182"/>
      <c r="CE357" s="182"/>
      <c r="CF357" s="182"/>
      <c r="CG357" s="182"/>
      <c r="CH357" s="182"/>
      <c r="CI357" s="182"/>
      <c r="CJ357" s="182"/>
      <c r="CK357" s="182"/>
      <c r="CL357" s="182"/>
      <c r="CM357" s="182"/>
      <c r="CN357" s="182"/>
      <c r="CO357" s="182"/>
      <c r="CP357" s="182"/>
      <c r="CQ357" s="182"/>
      <c r="CR357" s="182"/>
      <c r="CS357" s="182"/>
      <c r="CT357" s="182"/>
      <c r="CU357" s="182"/>
      <c r="CV357" s="182"/>
      <c r="CW357" s="182"/>
      <c r="CX357" s="182"/>
      <c r="CY357" s="182"/>
      <c r="CZ357" s="182"/>
      <c r="DA357" s="182"/>
      <c r="DB357" s="182"/>
      <c r="DC357" s="182"/>
      <c r="DD357" s="182"/>
      <c r="DE357" s="182"/>
      <c r="DF357" s="182"/>
      <c r="DG357" s="182"/>
      <c r="DH357" s="182"/>
      <c r="DI357" s="182"/>
      <c r="DJ357" s="182"/>
      <c r="DK357" s="182"/>
      <c r="DL357" s="182"/>
      <c r="DM357" s="182"/>
      <c r="DN357" s="182"/>
      <c r="DO357" s="182"/>
      <c r="DP357" s="182"/>
      <c r="DQ357" s="182"/>
      <c r="DR357" s="182"/>
      <c r="DS357" s="182"/>
      <c r="DT357" s="182"/>
      <c r="DU357" s="182"/>
      <c r="DV357" s="182"/>
      <c r="DW357" s="182"/>
      <c r="DX357" s="182"/>
      <c r="DY357" s="182"/>
      <c r="DZ357" s="182"/>
      <c r="EA357" s="182"/>
      <c r="EB357" s="182"/>
      <c r="EC357" s="182"/>
      <c r="ED357" s="182"/>
      <c r="EE357" s="182"/>
      <c r="EF357" s="182"/>
      <c r="EG357" s="182"/>
      <c r="EH357" s="182"/>
      <c r="EI357" s="182"/>
      <c r="EJ357" s="182"/>
      <c r="EK357" s="182"/>
      <c r="EL357" s="182"/>
      <c r="EM357" s="182"/>
      <c r="EN357" s="182"/>
      <c r="EO357" s="182"/>
      <c r="EP357" s="182"/>
      <c r="EQ357" s="182"/>
      <c r="ER357" s="182"/>
      <c r="ES357" s="182"/>
      <c r="ET357" s="182"/>
      <c r="EU357" s="182"/>
      <c r="EV357" s="182"/>
      <c r="EW357" s="182"/>
      <c r="EX357" s="182"/>
      <c r="EY357" s="182"/>
      <c r="EZ357" s="182"/>
      <c r="FA357" s="182"/>
      <c r="FB357" s="182"/>
      <c r="FC357" s="182"/>
      <c r="FD357" s="182"/>
      <c r="FE357" s="182"/>
      <c r="FF357" s="182"/>
      <c r="FG357" s="182"/>
      <c r="FH357" s="182"/>
      <c r="FI357" s="182"/>
      <c r="FJ357" s="182"/>
      <c r="FK357" s="182"/>
      <c r="FL357" s="182"/>
      <c r="FM357" s="182"/>
      <c r="FN357" s="182"/>
      <c r="FO357" s="182"/>
      <c r="FP357" s="182"/>
      <c r="FQ357" s="182"/>
      <c r="FR357" s="182"/>
      <c r="FS357" s="182"/>
      <c r="FT357" s="182"/>
      <c r="FU357" s="182"/>
      <c r="FV357" s="182"/>
      <c r="FW357" s="182"/>
      <c r="FX357" s="182"/>
      <c r="FY357" s="182"/>
      <c r="FZ357" s="182"/>
      <c r="GA357" s="182"/>
      <c r="GB357" s="182"/>
      <c r="GC357" s="182"/>
      <c r="GD357" s="182"/>
      <c r="GE357" s="182"/>
      <c r="GF357" s="182"/>
      <c r="GG357" s="182"/>
      <c r="GH357" s="182"/>
      <c r="GI357" s="182"/>
    </row>
    <row r="358" spans="1:191" s="183" customFormat="1" x14ac:dyDescent="0.2">
      <c r="A358" s="210" t="s">
        <v>38663</v>
      </c>
      <c r="B358" s="210" t="s">
        <v>19206</v>
      </c>
      <c r="C358" s="224" t="s">
        <v>22462</v>
      </c>
      <c r="D358" s="211" t="s">
        <v>16</v>
      </c>
      <c r="E358" s="211">
        <v>300</v>
      </c>
      <c r="F358" s="211"/>
      <c r="G358" s="211">
        <v>0.3</v>
      </c>
      <c r="H358" s="212"/>
      <c r="I358" s="213"/>
      <c r="J358" s="272">
        <v>9.4499999999999993</v>
      </c>
      <c r="K358" s="112">
        <f t="shared" si="26"/>
        <v>2835</v>
      </c>
      <c r="L358" s="273">
        <f>BDI!$E$17</f>
        <v>0.11260000000000001</v>
      </c>
      <c r="M358" s="213"/>
      <c r="N358" s="213"/>
      <c r="O358" s="114">
        <f t="shared" si="27"/>
        <v>10.51</v>
      </c>
      <c r="P358" s="113">
        <f t="shared" si="28"/>
        <v>945.9</v>
      </c>
      <c r="Q358" s="209"/>
      <c r="R358" s="203"/>
      <c r="S358" s="182"/>
      <c r="T358" s="182"/>
      <c r="U358" s="182"/>
      <c r="V358" s="182"/>
      <c r="W358" s="182"/>
      <c r="X358" s="182"/>
      <c r="Y358" s="182"/>
      <c r="Z358" s="182"/>
      <c r="AA358" s="182"/>
      <c r="AB358" s="182"/>
      <c r="AC358" s="182"/>
      <c r="AD358" s="182"/>
      <c r="AE358" s="182"/>
      <c r="AF358" s="182"/>
      <c r="AG358" s="182"/>
      <c r="AH358" s="182"/>
      <c r="AI358" s="182"/>
      <c r="AJ358" s="182"/>
      <c r="AK358" s="182"/>
      <c r="AL358" s="182"/>
      <c r="AM358" s="182"/>
      <c r="AN358" s="182"/>
      <c r="AO358" s="182"/>
      <c r="AP358" s="182"/>
      <c r="AQ358" s="182"/>
      <c r="AR358" s="182"/>
      <c r="AS358" s="182"/>
      <c r="AT358" s="182"/>
      <c r="AU358" s="182"/>
      <c r="AV358" s="182"/>
      <c r="AW358" s="182"/>
      <c r="AX358" s="182"/>
      <c r="AY358" s="182"/>
      <c r="AZ358" s="182"/>
      <c r="BA358" s="182"/>
      <c r="BB358" s="182"/>
      <c r="BC358" s="182"/>
      <c r="BD358" s="182"/>
      <c r="BE358" s="182"/>
      <c r="BF358" s="182"/>
      <c r="BG358" s="182"/>
      <c r="BH358" s="182"/>
      <c r="BI358" s="182"/>
      <c r="BJ358" s="182"/>
      <c r="BK358" s="182"/>
      <c r="BL358" s="182"/>
      <c r="BM358" s="182"/>
      <c r="BN358" s="182"/>
      <c r="BO358" s="182"/>
      <c r="BP358" s="182"/>
      <c r="BQ358" s="182"/>
      <c r="BR358" s="182"/>
      <c r="BS358" s="182"/>
      <c r="BT358" s="182"/>
      <c r="BU358" s="182"/>
      <c r="BV358" s="182"/>
      <c r="BW358" s="182"/>
      <c r="BX358" s="182"/>
      <c r="BY358" s="182"/>
      <c r="BZ358" s="182"/>
      <c r="CA358" s="182"/>
      <c r="CB358" s="182"/>
      <c r="CC358" s="182"/>
      <c r="CD358" s="182"/>
      <c r="CE358" s="182"/>
      <c r="CF358" s="182"/>
      <c r="CG358" s="182"/>
      <c r="CH358" s="182"/>
      <c r="CI358" s="182"/>
      <c r="CJ358" s="182"/>
      <c r="CK358" s="182"/>
      <c r="CL358" s="182"/>
      <c r="CM358" s="182"/>
      <c r="CN358" s="182"/>
      <c r="CO358" s="182"/>
      <c r="CP358" s="182"/>
      <c r="CQ358" s="182"/>
      <c r="CR358" s="182"/>
      <c r="CS358" s="182"/>
      <c r="CT358" s="182"/>
      <c r="CU358" s="182"/>
      <c r="CV358" s="182"/>
      <c r="CW358" s="182"/>
      <c r="CX358" s="182"/>
      <c r="CY358" s="182"/>
      <c r="CZ358" s="182"/>
      <c r="DA358" s="182"/>
      <c r="DB358" s="182"/>
      <c r="DC358" s="182"/>
      <c r="DD358" s="182"/>
      <c r="DE358" s="182"/>
      <c r="DF358" s="182"/>
      <c r="DG358" s="182"/>
      <c r="DH358" s="182"/>
      <c r="DI358" s="182"/>
      <c r="DJ358" s="182"/>
      <c r="DK358" s="182"/>
      <c r="DL358" s="182"/>
      <c r="DM358" s="182"/>
      <c r="DN358" s="182"/>
      <c r="DO358" s="182"/>
      <c r="DP358" s="182"/>
      <c r="DQ358" s="182"/>
      <c r="DR358" s="182"/>
      <c r="DS358" s="182"/>
      <c r="DT358" s="182"/>
      <c r="DU358" s="182"/>
      <c r="DV358" s="182"/>
      <c r="DW358" s="182"/>
      <c r="DX358" s="182"/>
      <c r="DY358" s="182"/>
      <c r="DZ358" s="182"/>
      <c r="EA358" s="182"/>
      <c r="EB358" s="182"/>
      <c r="EC358" s="182"/>
      <c r="ED358" s="182"/>
      <c r="EE358" s="182"/>
      <c r="EF358" s="182"/>
      <c r="EG358" s="182"/>
      <c r="EH358" s="182"/>
      <c r="EI358" s="182"/>
      <c r="EJ358" s="182"/>
      <c r="EK358" s="182"/>
      <c r="EL358" s="182"/>
      <c r="EM358" s="182"/>
      <c r="EN358" s="182"/>
      <c r="EO358" s="182"/>
      <c r="EP358" s="182"/>
      <c r="EQ358" s="182"/>
      <c r="ER358" s="182"/>
      <c r="ES358" s="182"/>
      <c r="ET358" s="182"/>
      <c r="EU358" s="182"/>
      <c r="EV358" s="182"/>
      <c r="EW358" s="182"/>
      <c r="EX358" s="182"/>
      <c r="EY358" s="182"/>
      <c r="EZ358" s="182"/>
      <c r="FA358" s="182"/>
      <c r="FB358" s="182"/>
      <c r="FC358" s="182"/>
      <c r="FD358" s="182"/>
      <c r="FE358" s="182"/>
      <c r="FF358" s="182"/>
      <c r="FG358" s="182"/>
      <c r="FH358" s="182"/>
      <c r="FI358" s="182"/>
      <c r="FJ358" s="182"/>
      <c r="FK358" s="182"/>
      <c r="FL358" s="182"/>
      <c r="FM358" s="182"/>
      <c r="FN358" s="182"/>
      <c r="FO358" s="182"/>
      <c r="FP358" s="182"/>
      <c r="FQ358" s="182"/>
      <c r="FR358" s="182"/>
      <c r="FS358" s="182"/>
      <c r="FT358" s="182"/>
      <c r="FU358" s="182"/>
      <c r="FV358" s="182"/>
      <c r="FW358" s="182"/>
      <c r="FX358" s="182"/>
      <c r="FY358" s="182"/>
      <c r="FZ358" s="182"/>
      <c r="GA358" s="182"/>
      <c r="GB358" s="182"/>
      <c r="GC358" s="182"/>
      <c r="GD358" s="182"/>
      <c r="GE358" s="182"/>
      <c r="GF358" s="182"/>
      <c r="GG358" s="182"/>
      <c r="GH358" s="182"/>
      <c r="GI358" s="182"/>
    </row>
    <row r="359" spans="1:191" s="183" customFormat="1" x14ac:dyDescent="0.2">
      <c r="A359" s="210" t="s">
        <v>38664</v>
      </c>
      <c r="B359" s="210" t="s">
        <v>19207</v>
      </c>
      <c r="C359" s="224" t="s">
        <v>22463</v>
      </c>
      <c r="D359" s="211" t="s">
        <v>16</v>
      </c>
      <c r="E359" s="211">
        <v>300</v>
      </c>
      <c r="F359" s="211"/>
      <c r="G359" s="211">
        <v>0.3</v>
      </c>
      <c r="H359" s="212"/>
      <c r="I359" s="213"/>
      <c r="J359" s="272">
        <v>12.76</v>
      </c>
      <c r="K359" s="112">
        <f t="shared" si="26"/>
        <v>3828</v>
      </c>
      <c r="L359" s="273">
        <f>BDI!$E$17</f>
        <v>0.11260000000000001</v>
      </c>
      <c r="M359" s="213"/>
      <c r="N359" s="213"/>
      <c r="O359" s="114">
        <f t="shared" si="27"/>
        <v>14.2</v>
      </c>
      <c r="P359" s="113">
        <f t="shared" si="28"/>
        <v>1278</v>
      </c>
      <c r="Q359" s="209"/>
      <c r="R359" s="203"/>
      <c r="S359" s="182"/>
      <c r="T359" s="182"/>
      <c r="U359" s="182"/>
      <c r="V359" s="182"/>
      <c r="W359" s="182"/>
      <c r="X359" s="182"/>
      <c r="Y359" s="182"/>
      <c r="Z359" s="182"/>
      <c r="AA359" s="182"/>
      <c r="AB359" s="182"/>
      <c r="AC359" s="182"/>
      <c r="AD359" s="182"/>
      <c r="AE359" s="182"/>
      <c r="AF359" s="182"/>
      <c r="AG359" s="182"/>
      <c r="AH359" s="182"/>
      <c r="AI359" s="182"/>
      <c r="AJ359" s="182"/>
      <c r="AK359" s="182"/>
      <c r="AL359" s="182"/>
      <c r="AM359" s="182"/>
      <c r="AN359" s="182"/>
      <c r="AO359" s="182"/>
      <c r="AP359" s="182"/>
      <c r="AQ359" s="182"/>
      <c r="AR359" s="182"/>
      <c r="AS359" s="182"/>
      <c r="AT359" s="182"/>
      <c r="AU359" s="182"/>
      <c r="AV359" s="182"/>
      <c r="AW359" s="182"/>
      <c r="AX359" s="182"/>
      <c r="AY359" s="182"/>
      <c r="AZ359" s="182"/>
      <c r="BA359" s="182"/>
      <c r="BB359" s="182"/>
      <c r="BC359" s="182"/>
      <c r="BD359" s="182"/>
      <c r="BE359" s="182"/>
      <c r="BF359" s="182"/>
      <c r="BG359" s="182"/>
      <c r="BH359" s="182"/>
      <c r="BI359" s="182"/>
      <c r="BJ359" s="182"/>
      <c r="BK359" s="182"/>
      <c r="BL359" s="182"/>
      <c r="BM359" s="182"/>
      <c r="BN359" s="182"/>
      <c r="BO359" s="182"/>
      <c r="BP359" s="182"/>
      <c r="BQ359" s="182"/>
      <c r="BR359" s="182"/>
      <c r="BS359" s="182"/>
      <c r="BT359" s="182"/>
      <c r="BU359" s="182"/>
      <c r="BV359" s="182"/>
      <c r="BW359" s="182"/>
      <c r="BX359" s="182"/>
      <c r="BY359" s="182"/>
      <c r="BZ359" s="182"/>
      <c r="CA359" s="182"/>
      <c r="CB359" s="182"/>
      <c r="CC359" s="182"/>
      <c r="CD359" s="182"/>
      <c r="CE359" s="182"/>
      <c r="CF359" s="182"/>
      <c r="CG359" s="182"/>
      <c r="CH359" s="182"/>
      <c r="CI359" s="182"/>
      <c r="CJ359" s="182"/>
      <c r="CK359" s="182"/>
      <c r="CL359" s="182"/>
      <c r="CM359" s="182"/>
      <c r="CN359" s="182"/>
      <c r="CO359" s="182"/>
      <c r="CP359" s="182"/>
      <c r="CQ359" s="182"/>
      <c r="CR359" s="182"/>
      <c r="CS359" s="182"/>
      <c r="CT359" s="182"/>
      <c r="CU359" s="182"/>
      <c r="CV359" s="182"/>
      <c r="CW359" s="182"/>
      <c r="CX359" s="182"/>
      <c r="CY359" s="182"/>
      <c r="CZ359" s="182"/>
      <c r="DA359" s="182"/>
      <c r="DB359" s="182"/>
      <c r="DC359" s="182"/>
      <c r="DD359" s="182"/>
      <c r="DE359" s="182"/>
      <c r="DF359" s="182"/>
      <c r="DG359" s="182"/>
      <c r="DH359" s="182"/>
      <c r="DI359" s="182"/>
      <c r="DJ359" s="182"/>
      <c r="DK359" s="182"/>
      <c r="DL359" s="182"/>
      <c r="DM359" s="182"/>
      <c r="DN359" s="182"/>
      <c r="DO359" s="182"/>
      <c r="DP359" s="182"/>
      <c r="DQ359" s="182"/>
      <c r="DR359" s="182"/>
      <c r="DS359" s="182"/>
      <c r="DT359" s="182"/>
      <c r="DU359" s="182"/>
      <c r="DV359" s="182"/>
      <c r="DW359" s="182"/>
      <c r="DX359" s="182"/>
      <c r="DY359" s="182"/>
      <c r="DZ359" s="182"/>
      <c r="EA359" s="182"/>
      <c r="EB359" s="182"/>
      <c r="EC359" s="182"/>
      <c r="ED359" s="182"/>
      <c r="EE359" s="182"/>
      <c r="EF359" s="182"/>
      <c r="EG359" s="182"/>
      <c r="EH359" s="182"/>
      <c r="EI359" s="182"/>
      <c r="EJ359" s="182"/>
      <c r="EK359" s="182"/>
      <c r="EL359" s="182"/>
      <c r="EM359" s="182"/>
      <c r="EN359" s="182"/>
      <c r="EO359" s="182"/>
      <c r="EP359" s="182"/>
      <c r="EQ359" s="182"/>
      <c r="ER359" s="182"/>
      <c r="ES359" s="182"/>
      <c r="ET359" s="182"/>
      <c r="EU359" s="182"/>
      <c r="EV359" s="182"/>
      <c r="EW359" s="182"/>
      <c r="EX359" s="182"/>
      <c r="EY359" s="182"/>
      <c r="EZ359" s="182"/>
      <c r="FA359" s="182"/>
      <c r="FB359" s="182"/>
      <c r="FC359" s="182"/>
      <c r="FD359" s="182"/>
      <c r="FE359" s="182"/>
      <c r="FF359" s="182"/>
      <c r="FG359" s="182"/>
      <c r="FH359" s="182"/>
      <c r="FI359" s="182"/>
      <c r="FJ359" s="182"/>
      <c r="FK359" s="182"/>
      <c r="FL359" s="182"/>
      <c r="FM359" s="182"/>
      <c r="FN359" s="182"/>
      <c r="FO359" s="182"/>
      <c r="FP359" s="182"/>
      <c r="FQ359" s="182"/>
      <c r="FR359" s="182"/>
      <c r="FS359" s="182"/>
      <c r="FT359" s="182"/>
      <c r="FU359" s="182"/>
      <c r="FV359" s="182"/>
      <c r="FW359" s="182"/>
      <c r="FX359" s="182"/>
      <c r="FY359" s="182"/>
      <c r="FZ359" s="182"/>
      <c r="GA359" s="182"/>
      <c r="GB359" s="182"/>
      <c r="GC359" s="182"/>
      <c r="GD359" s="182"/>
      <c r="GE359" s="182"/>
      <c r="GF359" s="182"/>
      <c r="GG359" s="182"/>
      <c r="GH359" s="182"/>
      <c r="GI359" s="182"/>
    </row>
    <row r="360" spans="1:191" s="183" customFormat="1" x14ac:dyDescent="0.2">
      <c r="A360" s="210" t="s">
        <v>38665</v>
      </c>
      <c r="B360" s="210" t="s">
        <v>19208</v>
      </c>
      <c r="C360" s="224" t="s">
        <v>22464</v>
      </c>
      <c r="D360" s="211" t="s">
        <v>16</v>
      </c>
      <c r="E360" s="211">
        <v>300</v>
      </c>
      <c r="F360" s="211"/>
      <c r="G360" s="211">
        <v>0.3</v>
      </c>
      <c r="H360" s="212"/>
      <c r="I360" s="213"/>
      <c r="J360" s="272">
        <v>13.29</v>
      </c>
      <c r="K360" s="112">
        <f t="shared" si="26"/>
        <v>3987</v>
      </c>
      <c r="L360" s="273">
        <f>BDI!$E$17</f>
        <v>0.11260000000000001</v>
      </c>
      <c r="M360" s="213"/>
      <c r="N360" s="213"/>
      <c r="O360" s="114">
        <f t="shared" si="27"/>
        <v>14.79</v>
      </c>
      <c r="P360" s="113">
        <f t="shared" si="28"/>
        <v>1331.1</v>
      </c>
      <c r="Q360" s="209"/>
      <c r="R360" s="203"/>
      <c r="S360" s="182"/>
      <c r="T360" s="182"/>
      <c r="U360" s="182"/>
      <c r="V360" s="182"/>
      <c r="W360" s="182"/>
      <c r="X360" s="182"/>
      <c r="Y360" s="182"/>
      <c r="Z360" s="182"/>
      <c r="AA360" s="182"/>
      <c r="AB360" s="182"/>
      <c r="AC360" s="182"/>
      <c r="AD360" s="182"/>
      <c r="AE360" s="182"/>
      <c r="AF360" s="182"/>
      <c r="AG360" s="182"/>
      <c r="AH360" s="182"/>
      <c r="AI360" s="182"/>
      <c r="AJ360" s="182"/>
      <c r="AK360" s="182"/>
      <c r="AL360" s="182"/>
      <c r="AM360" s="182"/>
      <c r="AN360" s="182"/>
      <c r="AO360" s="182"/>
      <c r="AP360" s="182"/>
      <c r="AQ360" s="182"/>
      <c r="AR360" s="182"/>
      <c r="AS360" s="182"/>
      <c r="AT360" s="182"/>
      <c r="AU360" s="182"/>
      <c r="AV360" s="182"/>
      <c r="AW360" s="182"/>
      <c r="AX360" s="182"/>
      <c r="AY360" s="182"/>
      <c r="AZ360" s="182"/>
      <c r="BA360" s="182"/>
      <c r="BB360" s="182"/>
      <c r="BC360" s="182"/>
      <c r="BD360" s="182"/>
      <c r="BE360" s="182"/>
      <c r="BF360" s="182"/>
      <c r="BG360" s="182"/>
      <c r="BH360" s="182"/>
      <c r="BI360" s="182"/>
      <c r="BJ360" s="182"/>
      <c r="BK360" s="182"/>
      <c r="BL360" s="182"/>
      <c r="BM360" s="182"/>
      <c r="BN360" s="182"/>
      <c r="BO360" s="182"/>
      <c r="BP360" s="182"/>
      <c r="BQ360" s="182"/>
      <c r="BR360" s="182"/>
      <c r="BS360" s="182"/>
      <c r="BT360" s="182"/>
      <c r="BU360" s="182"/>
      <c r="BV360" s="182"/>
      <c r="BW360" s="182"/>
      <c r="BX360" s="182"/>
      <c r="BY360" s="182"/>
      <c r="BZ360" s="182"/>
      <c r="CA360" s="182"/>
      <c r="CB360" s="182"/>
      <c r="CC360" s="182"/>
      <c r="CD360" s="182"/>
      <c r="CE360" s="182"/>
      <c r="CF360" s="182"/>
      <c r="CG360" s="182"/>
      <c r="CH360" s="182"/>
      <c r="CI360" s="182"/>
      <c r="CJ360" s="182"/>
      <c r="CK360" s="182"/>
      <c r="CL360" s="182"/>
      <c r="CM360" s="182"/>
      <c r="CN360" s="182"/>
      <c r="CO360" s="182"/>
      <c r="CP360" s="182"/>
      <c r="CQ360" s="182"/>
      <c r="CR360" s="182"/>
      <c r="CS360" s="182"/>
      <c r="CT360" s="182"/>
      <c r="CU360" s="182"/>
      <c r="CV360" s="182"/>
      <c r="CW360" s="182"/>
      <c r="CX360" s="182"/>
      <c r="CY360" s="182"/>
      <c r="CZ360" s="182"/>
      <c r="DA360" s="182"/>
      <c r="DB360" s="182"/>
      <c r="DC360" s="182"/>
      <c r="DD360" s="182"/>
      <c r="DE360" s="182"/>
      <c r="DF360" s="182"/>
      <c r="DG360" s="182"/>
      <c r="DH360" s="182"/>
      <c r="DI360" s="182"/>
      <c r="DJ360" s="182"/>
      <c r="DK360" s="182"/>
      <c r="DL360" s="182"/>
      <c r="DM360" s="182"/>
      <c r="DN360" s="182"/>
      <c r="DO360" s="182"/>
      <c r="DP360" s="182"/>
      <c r="DQ360" s="182"/>
      <c r="DR360" s="182"/>
      <c r="DS360" s="182"/>
      <c r="DT360" s="182"/>
      <c r="DU360" s="182"/>
      <c r="DV360" s="182"/>
      <c r="DW360" s="182"/>
      <c r="DX360" s="182"/>
      <c r="DY360" s="182"/>
      <c r="DZ360" s="182"/>
      <c r="EA360" s="182"/>
      <c r="EB360" s="182"/>
      <c r="EC360" s="182"/>
      <c r="ED360" s="182"/>
      <c r="EE360" s="182"/>
      <c r="EF360" s="182"/>
      <c r="EG360" s="182"/>
      <c r="EH360" s="182"/>
      <c r="EI360" s="182"/>
      <c r="EJ360" s="182"/>
      <c r="EK360" s="182"/>
      <c r="EL360" s="182"/>
      <c r="EM360" s="182"/>
      <c r="EN360" s="182"/>
      <c r="EO360" s="182"/>
      <c r="EP360" s="182"/>
      <c r="EQ360" s="182"/>
      <c r="ER360" s="182"/>
      <c r="ES360" s="182"/>
      <c r="ET360" s="182"/>
      <c r="EU360" s="182"/>
      <c r="EV360" s="182"/>
      <c r="EW360" s="182"/>
      <c r="EX360" s="182"/>
      <c r="EY360" s="182"/>
      <c r="EZ360" s="182"/>
      <c r="FA360" s="182"/>
      <c r="FB360" s="182"/>
      <c r="FC360" s="182"/>
      <c r="FD360" s="182"/>
      <c r="FE360" s="182"/>
      <c r="FF360" s="182"/>
      <c r="FG360" s="182"/>
      <c r="FH360" s="182"/>
      <c r="FI360" s="182"/>
      <c r="FJ360" s="182"/>
      <c r="FK360" s="182"/>
      <c r="FL360" s="182"/>
      <c r="FM360" s="182"/>
      <c r="FN360" s="182"/>
      <c r="FO360" s="182"/>
      <c r="FP360" s="182"/>
      <c r="FQ360" s="182"/>
      <c r="FR360" s="182"/>
      <c r="FS360" s="182"/>
      <c r="FT360" s="182"/>
      <c r="FU360" s="182"/>
      <c r="FV360" s="182"/>
      <c r="FW360" s="182"/>
      <c r="FX360" s="182"/>
      <c r="FY360" s="182"/>
      <c r="FZ360" s="182"/>
      <c r="GA360" s="182"/>
      <c r="GB360" s="182"/>
      <c r="GC360" s="182"/>
      <c r="GD360" s="182"/>
      <c r="GE360" s="182"/>
      <c r="GF360" s="182"/>
      <c r="GG360" s="182"/>
      <c r="GH360" s="182"/>
      <c r="GI360" s="182"/>
    </row>
    <row r="361" spans="1:191" s="183" customFormat="1" x14ac:dyDescent="0.2">
      <c r="A361" s="210" t="s">
        <v>38666</v>
      </c>
      <c r="B361" s="210" t="s">
        <v>19209</v>
      </c>
      <c r="C361" s="224" t="s">
        <v>22465</v>
      </c>
      <c r="D361" s="211" t="s">
        <v>69</v>
      </c>
      <c r="E361" s="211">
        <v>120</v>
      </c>
      <c r="F361" s="211"/>
      <c r="G361" s="211">
        <v>0.3</v>
      </c>
      <c r="H361" s="212"/>
      <c r="I361" s="213"/>
      <c r="J361" s="272">
        <v>84.79</v>
      </c>
      <c r="K361" s="112">
        <f t="shared" si="26"/>
        <v>10174.799999999999</v>
      </c>
      <c r="L361" s="273">
        <f>BDI!$E$17</f>
        <v>0.11260000000000001</v>
      </c>
      <c r="M361" s="213"/>
      <c r="N361" s="213"/>
      <c r="O361" s="114">
        <f t="shared" si="27"/>
        <v>94.34</v>
      </c>
      <c r="P361" s="113">
        <f t="shared" si="28"/>
        <v>3396.24</v>
      </c>
      <c r="Q361" s="209"/>
      <c r="R361" s="203"/>
      <c r="S361" s="182"/>
      <c r="T361" s="182"/>
      <c r="U361" s="182"/>
      <c r="V361" s="182"/>
      <c r="W361" s="182"/>
      <c r="X361" s="182"/>
      <c r="Y361" s="182"/>
      <c r="Z361" s="182"/>
      <c r="AA361" s="182"/>
      <c r="AB361" s="182"/>
      <c r="AC361" s="182"/>
      <c r="AD361" s="182"/>
      <c r="AE361" s="182"/>
      <c r="AF361" s="182"/>
      <c r="AG361" s="182"/>
      <c r="AH361" s="182"/>
      <c r="AI361" s="182"/>
      <c r="AJ361" s="182"/>
      <c r="AK361" s="182"/>
      <c r="AL361" s="182"/>
      <c r="AM361" s="182"/>
      <c r="AN361" s="182"/>
      <c r="AO361" s="182"/>
      <c r="AP361" s="182"/>
      <c r="AQ361" s="182"/>
      <c r="AR361" s="182"/>
      <c r="AS361" s="182"/>
      <c r="AT361" s="182"/>
      <c r="AU361" s="182"/>
      <c r="AV361" s="182"/>
      <c r="AW361" s="182"/>
      <c r="AX361" s="182"/>
      <c r="AY361" s="182"/>
      <c r="AZ361" s="182"/>
      <c r="BA361" s="182"/>
      <c r="BB361" s="182"/>
      <c r="BC361" s="182"/>
      <c r="BD361" s="182"/>
      <c r="BE361" s="182"/>
      <c r="BF361" s="182"/>
      <c r="BG361" s="182"/>
      <c r="BH361" s="182"/>
      <c r="BI361" s="182"/>
      <c r="BJ361" s="182"/>
      <c r="BK361" s="182"/>
      <c r="BL361" s="182"/>
      <c r="BM361" s="182"/>
      <c r="BN361" s="182"/>
      <c r="BO361" s="182"/>
      <c r="BP361" s="182"/>
      <c r="BQ361" s="182"/>
      <c r="BR361" s="182"/>
      <c r="BS361" s="182"/>
      <c r="BT361" s="182"/>
      <c r="BU361" s="182"/>
      <c r="BV361" s="182"/>
      <c r="BW361" s="182"/>
      <c r="BX361" s="182"/>
      <c r="BY361" s="182"/>
      <c r="BZ361" s="182"/>
      <c r="CA361" s="182"/>
      <c r="CB361" s="182"/>
      <c r="CC361" s="182"/>
      <c r="CD361" s="182"/>
      <c r="CE361" s="182"/>
      <c r="CF361" s="182"/>
      <c r="CG361" s="182"/>
      <c r="CH361" s="182"/>
      <c r="CI361" s="182"/>
      <c r="CJ361" s="182"/>
      <c r="CK361" s="182"/>
      <c r="CL361" s="182"/>
      <c r="CM361" s="182"/>
      <c r="CN361" s="182"/>
      <c r="CO361" s="182"/>
      <c r="CP361" s="182"/>
      <c r="CQ361" s="182"/>
      <c r="CR361" s="182"/>
      <c r="CS361" s="182"/>
      <c r="CT361" s="182"/>
      <c r="CU361" s="182"/>
      <c r="CV361" s="182"/>
      <c r="CW361" s="182"/>
      <c r="CX361" s="182"/>
      <c r="CY361" s="182"/>
      <c r="CZ361" s="182"/>
      <c r="DA361" s="182"/>
      <c r="DB361" s="182"/>
      <c r="DC361" s="182"/>
      <c r="DD361" s="182"/>
      <c r="DE361" s="182"/>
      <c r="DF361" s="182"/>
      <c r="DG361" s="182"/>
      <c r="DH361" s="182"/>
      <c r="DI361" s="182"/>
      <c r="DJ361" s="182"/>
      <c r="DK361" s="182"/>
      <c r="DL361" s="182"/>
      <c r="DM361" s="182"/>
      <c r="DN361" s="182"/>
      <c r="DO361" s="182"/>
      <c r="DP361" s="182"/>
      <c r="DQ361" s="182"/>
      <c r="DR361" s="182"/>
      <c r="DS361" s="182"/>
      <c r="DT361" s="182"/>
      <c r="DU361" s="182"/>
      <c r="DV361" s="182"/>
      <c r="DW361" s="182"/>
      <c r="DX361" s="182"/>
      <c r="DY361" s="182"/>
      <c r="DZ361" s="182"/>
      <c r="EA361" s="182"/>
      <c r="EB361" s="182"/>
      <c r="EC361" s="182"/>
      <c r="ED361" s="182"/>
      <c r="EE361" s="182"/>
      <c r="EF361" s="182"/>
      <c r="EG361" s="182"/>
      <c r="EH361" s="182"/>
      <c r="EI361" s="182"/>
      <c r="EJ361" s="182"/>
      <c r="EK361" s="182"/>
      <c r="EL361" s="182"/>
      <c r="EM361" s="182"/>
      <c r="EN361" s="182"/>
      <c r="EO361" s="182"/>
      <c r="EP361" s="182"/>
      <c r="EQ361" s="182"/>
      <c r="ER361" s="182"/>
      <c r="ES361" s="182"/>
      <c r="ET361" s="182"/>
      <c r="EU361" s="182"/>
      <c r="EV361" s="182"/>
      <c r="EW361" s="182"/>
      <c r="EX361" s="182"/>
      <c r="EY361" s="182"/>
      <c r="EZ361" s="182"/>
      <c r="FA361" s="182"/>
      <c r="FB361" s="182"/>
      <c r="FC361" s="182"/>
      <c r="FD361" s="182"/>
      <c r="FE361" s="182"/>
      <c r="FF361" s="182"/>
      <c r="FG361" s="182"/>
      <c r="FH361" s="182"/>
      <c r="FI361" s="182"/>
      <c r="FJ361" s="182"/>
      <c r="FK361" s="182"/>
      <c r="FL361" s="182"/>
      <c r="FM361" s="182"/>
      <c r="FN361" s="182"/>
      <c r="FO361" s="182"/>
      <c r="FP361" s="182"/>
      <c r="FQ361" s="182"/>
      <c r="FR361" s="182"/>
      <c r="FS361" s="182"/>
      <c r="FT361" s="182"/>
      <c r="FU361" s="182"/>
      <c r="FV361" s="182"/>
      <c r="FW361" s="182"/>
      <c r="FX361" s="182"/>
      <c r="FY361" s="182"/>
      <c r="FZ361" s="182"/>
      <c r="GA361" s="182"/>
      <c r="GB361" s="182"/>
      <c r="GC361" s="182"/>
      <c r="GD361" s="182"/>
      <c r="GE361" s="182"/>
      <c r="GF361" s="182"/>
      <c r="GG361" s="182"/>
      <c r="GH361" s="182"/>
      <c r="GI361" s="182"/>
    </row>
    <row r="362" spans="1:191" s="183" customFormat="1" x14ac:dyDescent="0.2">
      <c r="A362" s="210" t="s">
        <v>38667</v>
      </c>
      <c r="B362" s="210" t="s">
        <v>19210</v>
      </c>
      <c r="C362" s="224" t="s">
        <v>22466</v>
      </c>
      <c r="D362" s="211" t="s">
        <v>16</v>
      </c>
      <c r="E362" s="211">
        <v>240</v>
      </c>
      <c r="F362" s="211"/>
      <c r="G362" s="211">
        <v>0.3</v>
      </c>
      <c r="H362" s="212"/>
      <c r="I362" s="213"/>
      <c r="J362" s="272">
        <v>31.6</v>
      </c>
      <c r="K362" s="112">
        <f t="shared" si="26"/>
        <v>7584</v>
      </c>
      <c r="L362" s="273">
        <f>BDI!$E$17</f>
        <v>0.11260000000000001</v>
      </c>
      <c r="M362" s="213"/>
      <c r="N362" s="213"/>
      <c r="O362" s="114">
        <f t="shared" si="27"/>
        <v>35.159999999999997</v>
      </c>
      <c r="P362" s="113">
        <f t="shared" si="28"/>
        <v>2531.52</v>
      </c>
      <c r="Q362" s="209"/>
      <c r="R362" s="203"/>
      <c r="S362" s="182"/>
      <c r="T362" s="182"/>
      <c r="U362" s="182"/>
      <c r="V362" s="182"/>
      <c r="W362" s="182"/>
      <c r="X362" s="182"/>
      <c r="Y362" s="182"/>
      <c r="Z362" s="182"/>
      <c r="AA362" s="182"/>
      <c r="AB362" s="182"/>
      <c r="AC362" s="182"/>
      <c r="AD362" s="182"/>
      <c r="AE362" s="182"/>
      <c r="AF362" s="182"/>
      <c r="AG362" s="182"/>
      <c r="AH362" s="182"/>
      <c r="AI362" s="182"/>
      <c r="AJ362" s="182"/>
      <c r="AK362" s="182"/>
      <c r="AL362" s="182"/>
      <c r="AM362" s="182"/>
      <c r="AN362" s="182"/>
      <c r="AO362" s="182"/>
      <c r="AP362" s="182"/>
      <c r="AQ362" s="182"/>
      <c r="AR362" s="182"/>
      <c r="AS362" s="182"/>
      <c r="AT362" s="182"/>
      <c r="AU362" s="182"/>
      <c r="AV362" s="182"/>
      <c r="AW362" s="182"/>
      <c r="AX362" s="182"/>
      <c r="AY362" s="182"/>
      <c r="AZ362" s="182"/>
      <c r="BA362" s="182"/>
      <c r="BB362" s="182"/>
      <c r="BC362" s="182"/>
      <c r="BD362" s="182"/>
      <c r="BE362" s="182"/>
      <c r="BF362" s="182"/>
      <c r="BG362" s="182"/>
      <c r="BH362" s="182"/>
      <c r="BI362" s="182"/>
      <c r="BJ362" s="182"/>
      <c r="BK362" s="182"/>
      <c r="BL362" s="182"/>
      <c r="BM362" s="182"/>
      <c r="BN362" s="182"/>
      <c r="BO362" s="182"/>
      <c r="BP362" s="182"/>
      <c r="BQ362" s="182"/>
      <c r="BR362" s="182"/>
      <c r="BS362" s="182"/>
      <c r="BT362" s="182"/>
      <c r="BU362" s="182"/>
      <c r="BV362" s="182"/>
      <c r="BW362" s="182"/>
      <c r="BX362" s="182"/>
      <c r="BY362" s="182"/>
      <c r="BZ362" s="182"/>
      <c r="CA362" s="182"/>
      <c r="CB362" s="182"/>
      <c r="CC362" s="182"/>
      <c r="CD362" s="182"/>
      <c r="CE362" s="182"/>
      <c r="CF362" s="182"/>
      <c r="CG362" s="182"/>
      <c r="CH362" s="182"/>
      <c r="CI362" s="182"/>
      <c r="CJ362" s="182"/>
      <c r="CK362" s="182"/>
      <c r="CL362" s="182"/>
      <c r="CM362" s="182"/>
      <c r="CN362" s="182"/>
      <c r="CO362" s="182"/>
      <c r="CP362" s="182"/>
      <c r="CQ362" s="182"/>
      <c r="CR362" s="182"/>
      <c r="CS362" s="182"/>
      <c r="CT362" s="182"/>
      <c r="CU362" s="182"/>
      <c r="CV362" s="182"/>
      <c r="CW362" s="182"/>
      <c r="CX362" s="182"/>
      <c r="CY362" s="182"/>
      <c r="CZ362" s="182"/>
      <c r="DA362" s="182"/>
      <c r="DB362" s="182"/>
      <c r="DC362" s="182"/>
      <c r="DD362" s="182"/>
      <c r="DE362" s="182"/>
      <c r="DF362" s="182"/>
      <c r="DG362" s="182"/>
      <c r="DH362" s="182"/>
      <c r="DI362" s="182"/>
      <c r="DJ362" s="182"/>
      <c r="DK362" s="182"/>
      <c r="DL362" s="182"/>
      <c r="DM362" s="182"/>
      <c r="DN362" s="182"/>
      <c r="DO362" s="182"/>
      <c r="DP362" s="182"/>
      <c r="DQ362" s="182"/>
      <c r="DR362" s="182"/>
      <c r="DS362" s="182"/>
      <c r="DT362" s="182"/>
      <c r="DU362" s="182"/>
      <c r="DV362" s="182"/>
      <c r="DW362" s="182"/>
      <c r="DX362" s="182"/>
      <c r="DY362" s="182"/>
      <c r="DZ362" s="182"/>
      <c r="EA362" s="182"/>
      <c r="EB362" s="182"/>
      <c r="EC362" s="182"/>
      <c r="ED362" s="182"/>
      <c r="EE362" s="182"/>
      <c r="EF362" s="182"/>
      <c r="EG362" s="182"/>
      <c r="EH362" s="182"/>
      <c r="EI362" s="182"/>
      <c r="EJ362" s="182"/>
      <c r="EK362" s="182"/>
      <c r="EL362" s="182"/>
      <c r="EM362" s="182"/>
      <c r="EN362" s="182"/>
      <c r="EO362" s="182"/>
      <c r="EP362" s="182"/>
      <c r="EQ362" s="182"/>
      <c r="ER362" s="182"/>
      <c r="ES362" s="182"/>
      <c r="ET362" s="182"/>
      <c r="EU362" s="182"/>
      <c r="EV362" s="182"/>
      <c r="EW362" s="182"/>
      <c r="EX362" s="182"/>
      <c r="EY362" s="182"/>
      <c r="EZ362" s="182"/>
      <c r="FA362" s="182"/>
      <c r="FB362" s="182"/>
      <c r="FC362" s="182"/>
      <c r="FD362" s="182"/>
      <c r="FE362" s="182"/>
      <c r="FF362" s="182"/>
      <c r="FG362" s="182"/>
      <c r="FH362" s="182"/>
      <c r="FI362" s="182"/>
      <c r="FJ362" s="182"/>
      <c r="FK362" s="182"/>
      <c r="FL362" s="182"/>
      <c r="FM362" s="182"/>
      <c r="FN362" s="182"/>
      <c r="FO362" s="182"/>
      <c r="FP362" s="182"/>
      <c r="FQ362" s="182"/>
      <c r="FR362" s="182"/>
      <c r="FS362" s="182"/>
      <c r="FT362" s="182"/>
      <c r="FU362" s="182"/>
      <c r="FV362" s="182"/>
      <c r="FW362" s="182"/>
      <c r="FX362" s="182"/>
      <c r="FY362" s="182"/>
      <c r="FZ362" s="182"/>
      <c r="GA362" s="182"/>
      <c r="GB362" s="182"/>
      <c r="GC362" s="182"/>
      <c r="GD362" s="182"/>
      <c r="GE362" s="182"/>
      <c r="GF362" s="182"/>
      <c r="GG362" s="182"/>
      <c r="GH362" s="182"/>
      <c r="GI362" s="182"/>
    </row>
    <row r="363" spans="1:191" s="183" customFormat="1" x14ac:dyDescent="0.2">
      <c r="A363" s="210" t="s">
        <v>38668</v>
      </c>
      <c r="B363" s="210" t="s">
        <v>19211</v>
      </c>
      <c r="C363" s="224" t="s">
        <v>22467</v>
      </c>
      <c r="D363" s="211" t="s">
        <v>16</v>
      </c>
      <c r="E363" s="211">
        <v>120</v>
      </c>
      <c r="F363" s="211"/>
      <c r="G363" s="211">
        <v>0.3</v>
      </c>
      <c r="H363" s="212"/>
      <c r="I363" s="213"/>
      <c r="J363" s="272">
        <v>52.57</v>
      </c>
      <c r="K363" s="112">
        <f t="shared" si="26"/>
        <v>6308.4</v>
      </c>
      <c r="L363" s="273">
        <f>BDI!$E$17</f>
        <v>0.11260000000000001</v>
      </c>
      <c r="M363" s="213"/>
      <c r="N363" s="213"/>
      <c r="O363" s="114">
        <f t="shared" si="27"/>
        <v>58.49</v>
      </c>
      <c r="P363" s="113">
        <f t="shared" si="28"/>
        <v>2105.64</v>
      </c>
      <c r="Q363" s="209"/>
      <c r="R363" s="203"/>
      <c r="S363" s="182"/>
      <c r="T363" s="182"/>
      <c r="U363" s="182"/>
      <c r="V363" s="182"/>
      <c r="W363" s="182"/>
      <c r="X363" s="182"/>
      <c r="Y363" s="182"/>
      <c r="Z363" s="182"/>
      <c r="AA363" s="182"/>
      <c r="AB363" s="182"/>
      <c r="AC363" s="182"/>
      <c r="AD363" s="182"/>
      <c r="AE363" s="182"/>
      <c r="AF363" s="182"/>
      <c r="AG363" s="182"/>
      <c r="AH363" s="182"/>
      <c r="AI363" s="182"/>
      <c r="AJ363" s="182"/>
      <c r="AK363" s="182"/>
      <c r="AL363" s="182"/>
      <c r="AM363" s="182"/>
      <c r="AN363" s="182"/>
      <c r="AO363" s="182"/>
      <c r="AP363" s="182"/>
      <c r="AQ363" s="182"/>
      <c r="AR363" s="182"/>
      <c r="AS363" s="182"/>
      <c r="AT363" s="182"/>
      <c r="AU363" s="182"/>
      <c r="AV363" s="182"/>
      <c r="AW363" s="182"/>
      <c r="AX363" s="182"/>
      <c r="AY363" s="182"/>
      <c r="AZ363" s="182"/>
      <c r="BA363" s="182"/>
      <c r="BB363" s="182"/>
      <c r="BC363" s="182"/>
      <c r="BD363" s="182"/>
      <c r="BE363" s="182"/>
      <c r="BF363" s="182"/>
      <c r="BG363" s="182"/>
      <c r="BH363" s="182"/>
      <c r="BI363" s="182"/>
      <c r="BJ363" s="182"/>
      <c r="BK363" s="182"/>
      <c r="BL363" s="182"/>
      <c r="BM363" s="182"/>
      <c r="BN363" s="182"/>
      <c r="BO363" s="182"/>
      <c r="BP363" s="182"/>
      <c r="BQ363" s="182"/>
      <c r="BR363" s="182"/>
      <c r="BS363" s="182"/>
      <c r="BT363" s="182"/>
      <c r="BU363" s="182"/>
      <c r="BV363" s="182"/>
      <c r="BW363" s="182"/>
      <c r="BX363" s="182"/>
      <c r="BY363" s="182"/>
      <c r="BZ363" s="182"/>
      <c r="CA363" s="182"/>
      <c r="CB363" s="182"/>
      <c r="CC363" s="182"/>
      <c r="CD363" s="182"/>
      <c r="CE363" s="182"/>
      <c r="CF363" s="182"/>
      <c r="CG363" s="182"/>
      <c r="CH363" s="182"/>
      <c r="CI363" s="182"/>
      <c r="CJ363" s="182"/>
      <c r="CK363" s="182"/>
      <c r="CL363" s="182"/>
      <c r="CM363" s="182"/>
      <c r="CN363" s="182"/>
      <c r="CO363" s="182"/>
      <c r="CP363" s="182"/>
      <c r="CQ363" s="182"/>
      <c r="CR363" s="182"/>
      <c r="CS363" s="182"/>
      <c r="CT363" s="182"/>
      <c r="CU363" s="182"/>
      <c r="CV363" s="182"/>
      <c r="CW363" s="182"/>
      <c r="CX363" s="182"/>
      <c r="CY363" s="182"/>
      <c r="CZ363" s="182"/>
      <c r="DA363" s="182"/>
      <c r="DB363" s="182"/>
      <c r="DC363" s="182"/>
      <c r="DD363" s="182"/>
      <c r="DE363" s="182"/>
      <c r="DF363" s="182"/>
      <c r="DG363" s="182"/>
      <c r="DH363" s="182"/>
      <c r="DI363" s="182"/>
      <c r="DJ363" s="182"/>
      <c r="DK363" s="182"/>
      <c r="DL363" s="182"/>
      <c r="DM363" s="182"/>
      <c r="DN363" s="182"/>
      <c r="DO363" s="182"/>
      <c r="DP363" s="182"/>
      <c r="DQ363" s="182"/>
      <c r="DR363" s="182"/>
      <c r="DS363" s="182"/>
      <c r="DT363" s="182"/>
      <c r="DU363" s="182"/>
      <c r="DV363" s="182"/>
      <c r="DW363" s="182"/>
      <c r="DX363" s="182"/>
      <c r="DY363" s="182"/>
      <c r="DZ363" s="182"/>
      <c r="EA363" s="182"/>
      <c r="EB363" s="182"/>
      <c r="EC363" s="182"/>
      <c r="ED363" s="182"/>
      <c r="EE363" s="182"/>
      <c r="EF363" s="182"/>
      <c r="EG363" s="182"/>
      <c r="EH363" s="182"/>
      <c r="EI363" s="182"/>
      <c r="EJ363" s="182"/>
      <c r="EK363" s="182"/>
      <c r="EL363" s="182"/>
      <c r="EM363" s="182"/>
      <c r="EN363" s="182"/>
      <c r="EO363" s="182"/>
      <c r="EP363" s="182"/>
      <c r="EQ363" s="182"/>
      <c r="ER363" s="182"/>
      <c r="ES363" s="182"/>
      <c r="ET363" s="182"/>
      <c r="EU363" s="182"/>
      <c r="EV363" s="182"/>
      <c r="EW363" s="182"/>
      <c r="EX363" s="182"/>
      <c r="EY363" s="182"/>
      <c r="EZ363" s="182"/>
      <c r="FA363" s="182"/>
      <c r="FB363" s="182"/>
      <c r="FC363" s="182"/>
      <c r="FD363" s="182"/>
      <c r="FE363" s="182"/>
      <c r="FF363" s="182"/>
      <c r="FG363" s="182"/>
      <c r="FH363" s="182"/>
      <c r="FI363" s="182"/>
      <c r="FJ363" s="182"/>
      <c r="FK363" s="182"/>
      <c r="FL363" s="182"/>
      <c r="FM363" s="182"/>
      <c r="FN363" s="182"/>
      <c r="FO363" s="182"/>
      <c r="FP363" s="182"/>
      <c r="FQ363" s="182"/>
      <c r="FR363" s="182"/>
      <c r="FS363" s="182"/>
      <c r="FT363" s="182"/>
      <c r="FU363" s="182"/>
      <c r="FV363" s="182"/>
      <c r="FW363" s="182"/>
      <c r="FX363" s="182"/>
      <c r="FY363" s="182"/>
      <c r="FZ363" s="182"/>
      <c r="GA363" s="182"/>
      <c r="GB363" s="182"/>
      <c r="GC363" s="182"/>
      <c r="GD363" s="182"/>
      <c r="GE363" s="182"/>
      <c r="GF363" s="182"/>
      <c r="GG363" s="182"/>
      <c r="GH363" s="182"/>
      <c r="GI363" s="182"/>
    </row>
    <row r="364" spans="1:191" s="183" customFormat="1" x14ac:dyDescent="0.2">
      <c r="A364" s="210" t="s">
        <v>38669</v>
      </c>
      <c r="B364" s="210" t="s">
        <v>19212</v>
      </c>
      <c r="C364" s="224" t="s">
        <v>22468</v>
      </c>
      <c r="D364" s="211" t="s">
        <v>16</v>
      </c>
      <c r="E364" s="211">
        <v>120</v>
      </c>
      <c r="F364" s="211"/>
      <c r="G364" s="211">
        <v>0.3</v>
      </c>
      <c r="H364" s="212"/>
      <c r="I364" s="213"/>
      <c r="J364" s="272">
        <v>16.07</v>
      </c>
      <c r="K364" s="112">
        <f t="shared" si="26"/>
        <v>1928.4</v>
      </c>
      <c r="L364" s="273">
        <f>BDI!$E$17</f>
        <v>0.11260000000000001</v>
      </c>
      <c r="M364" s="213"/>
      <c r="N364" s="213"/>
      <c r="O364" s="114">
        <f t="shared" si="27"/>
        <v>17.88</v>
      </c>
      <c r="P364" s="113">
        <f t="shared" si="28"/>
        <v>643.67999999999995</v>
      </c>
      <c r="Q364" s="209"/>
      <c r="R364" s="203"/>
      <c r="S364" s="182"/>
      <c r="T364" s="182"/>
      <c r="U364" s="182"/>
      <c r="V364" s="182"/>
      <c r="W364" s="182"/>
      <c r="X364" s="182"/>
      <c r="Y364" s="182"/>
      <c r="Z364" s="182"/>
      <c r="AA364" s="182"/>
      <c r="AB364" s="182"/>
      <c r="AC364" s="182"/>
      <c r="AD364" s="182"/>
      <c r="AE364" s="182"/>
      <c r="AF364" s="182"/>
      <c r="AG364" s="182"/>
      <c r="AH364" s="182"/>
      <c r="AI364" s="182"/>
      <c r="AJ364" s="182"/>
      <c r="AK364" s="182"/>
      <c r="AL364" s="182"/>
      <c r="AM364" s="182"/>
      <c r="AN364" s="182"/>
      <c r="AO364" s="182"/>
      <c r="AP364" s="182"/>
      <c r="AQ364" s="182"/>
      <c r="AR364" s="182"/>
      <c r="AS364" s="182"/>
      <c r="AT364" s="182"/>
      <c r="AU364" s="182"/>
      <c r="AV364" s="182"/>
      <c r="AW364" s="182"/>
      <c r="AX364" s="182"/>
      <c r="AY364" s="182"/>
      <c r="AZ364" s="182"/>
      <c r="BA364" s="182"/>
      <c r="BB364" s="182"/>
      <c r="BC364" s="182"/>
      <c r="BD364" s="182"/>
      <c r="BE364" s="182"/>
      <c r="BF364" s="182"/>
      <c r="BG364" s="182"/>
      <c r="BH364" s="182"/>
      <c r="BI364" s="182"/>
      <c r="BJ364" s="182"/>
      <c r="BK364" s="182"/>
      <c r="BL364" s="182"/>
      <c r="BM364" s="182"/>
      <c r="BN364" s="182"/>
      <c r="BO364" s="182"/>
      <c r="BP364" s="182"/>
      <c r="BQ364" s="182"/>
      <c r="BR364" s="182"/>
      <c r="BS364" s="182"/>
      <c r="BT364" s="182"/>
      <c r="BU364" s="182"/>
      <c r="BV364" s="182"/>
      <c r="BW364" s="182"/>
      <c r="BX364" s="182"/>
      <c r="BY364" s="182"/>
      <c r="BZ364" s="182"/>
      <c r="CA364" s="182"/>
      <c r="CB364" s="182"/>
      <c r="CC364" s="182"/>
      <c r="CD364" s="182"/>
      <c r="CE364" s="182"/>
      <c r="CF364" s="182"/>
      <c r="CG364" s="182"/>
      <c r="CH364" s="182"/>
      <c r="CI364" s="182"/>
      <c r="CJ364" s="182"/>
      <c r="CK364" s="182"/>
      <c r="CL364" s="182"/>
      <c r="CM364" s="182"/>
      <c r="CN364" s="182"/>
      <c r="CO364" s="182"/>
      <c r="CP364" s="182"/>
      <c r="CQ364" s="182"/>
      <c r="CR364" s="182"/>
      <c r="CS364" s="182"/>
      <c r="CT364" s="182"/>
      <c r="CU364" s="182"/>
      <c r="CV364" s="182"/>
      <c r="CW364" s="182"/>
      <c r="CX364" s="182"/>
      <c r="CY364" s="182"/>
      <c r="CZ364" s="182"/>
      <c r="DA364" s="182"/>
      <c r="DB364" s="182"/>
      <c r="DC364" s="182"/>
      <c r="DD364" s="182"/>
      <c r="DE364" s="182"/>
      <c r="DF364" s="182"/>
      <c r="DG364" s="182"/>
      <c r="DH364" s="182"/>
      <c r="DI364" s="182"/>
      <c r="DJ364" s="182"/>
      <c r="DK364" s="182"/>
      <c r="DL364" s="182"/>
      <c r="DM364" s="182"/>
      <c r="DN364" s="182"/>
      <c r="DO364" s="182"/>
      <c r="DP364" s="182"/>
      <c r="DQ364" s="182"/>
      <c r="DR364" s="182"/>
      <c r="DS364" s="182"/>
      <c r="DT364" s="182"/>
      <c r="DU364" s="182"/>
      <c r="DV364" s="182"/>
      <c r="DW364" s="182"/>
      <c r="DX364" s="182"/>
      <c r="DY364" s="182"/>
      <c r="DZ364" s="182"/>
      <c r="EA364" s="182"/>
      <c r="EB364" s="182"/>
      <c r="EC364" s="182"/>
      <c r="ED364" s="182"/>
      <c r="EE364" s="182"/>
      <c r="EF364" s="182"/>
      <c r="EG364" s="182"/>
      <c r="EH364" s="182"/>
      <c r="EI364" s="182"/>
      <c r="EJ364" s="182"/>
      <c r="EK364" s="182"/>
      <c r="EL364" s="182"/>
      <c r="EM364" s="182"/>
      <c r="EN364" s="182"/>
      <c r="EO364" s="182"/>
      <c r="EP364" s="182"/>
      <c r="EQ364" s="182"/>
      <c r="ER364" s="182"/>
      <c r="ES364" s="182"/>
      <c r="ET364" s="182"/>
      <c r="EU364" s="182"/>
      <c r="EV364" s="182"/>
      <c r="EW364" s="182"/>
      <c r="EX364" s="182"/>
      <c r="EY364" s="182"/>
      <c r="EZ364" s="182"/>
      <c r="FA364" s="182"/>
      <c r="FB364" s="182"/>
      <c r="FC364" s="182"/>
      <c r="FD364" s="182"/>
      <c r="FE364" s="182"/>
      <c r="FF364" s="182"/>
      <c r="FG364" s="182"/>
      <c r="FH364" s="182"/>
      <c r="FI364" s="182"/>
      <c r="FJ364" s="182"/>
      <c r="FK364" s="182"/>
      <c r="FL364" s="182"/>
      <c r="FM364" s="182"/>
      <c r="FN364" s="182"/>
      <c r="FO364" s="182"/>
      <c r="FP364" s="182"/>
      <c r="FQ364" s="182"/>
      <c r="FR364" s="182"/>
      <c r="FS364" s="182"/>
      <c r="FT364" s="182"/>
      <c r="FU364" s="182"/>
      <c r="FV364" s="182"/>
      <c r="FW364" s="182"/>
      <c r="FX364" s="182"/>
      <c r="FY364" s="182"/>
      <c r="FZ364" s="182"/>
      <c r="GA364" s="182"/>
      <c r="GB364" s="182"/>
      <c r="GC364" s="182"/>
      <c r="GD364" s="182"/>
      <c r="GE364" s="182"/>
      <c r="GF364" s="182"/>
      <c r="GG364" s="182"/>
      <c r="GH364" s="182"/>
      <c r="GI364" s="182"/>
    </row>
    <row r="365" spans="1:191" s="183" customFormat="1" x14ac:dyDescent="0.2">
      <c r="A365" s="210" t="s">
        <v>38670</v>
      </c>
      <c r="B365" s="210" t="s">
        <v>19213</v>
      </c>
      <c r="C365" s="224" t="s">
        <v>22469</v>
      </c>
      <c r="D365" s="211" t="s">
        <v>16</v>
      </c>
      <c r="E365" s="211">
        <v>120</v>
      </c>
      <c r="F365" s="211"/>
      <c r="G365" s="211">
        <v>0.3</v>
      </c>
      <c r="H365" s="212"/>
      <c r="I365" s="213"/>
      <c r="J365" s="272">
        <v>17.7</v>
      </c>
      <c r="K365" s="112">
        <f t="shared" si="26"/>
        <v>2124</v>
      </c>
      <c r="L365" s="273">
        <f>BDI!$E$17</f>
        <v>0.11260000000000001</v>
      </c>
      <c r="M365" s="213"/>
      <c r="N365" s="213"/>
      <c r="O365" s="114">
        <f t="shared" si="27"/>
        <v>19.690000000000001</v>
      </c>
      <c r="P365" s="113">
        <f t="shared" si="28"/>
        <v>708.84</v>
      </c>
      <c r="Q365" s="209"/>
      <c r="R365" s="203"/>
      <c r="S365" s="182"/>
      <c r="T365" s="182"/>
      <c r="U365" s="182"/>
      <c r="V365" s="182"/>
      <c r="W365" s="182"/>
      <c r="X365" s="182"/>
      <c r="Y365" s="182"/>
      <c r="Z365" s="182"/>
      <c r="AA365" s="182"/>
      <c r="AB365" s="182"/>
      <c r="AC365" s="182"/>
      <c r="AD365" s="182"/>
      <c r="AE365" s="182"/>
      <c r="AF365" s="182"/>
      <c r="AG365" s="182"/>
      <c r="AH365" s="182"/>
      <c r="AI365" s="182"/>
      <c r="AJ365" s="182"/>
      <c r="AK365" s="182"/>
      <c r="AL365" s="182"/>
      <c r="AM365" s="182"/>
      <c r="AN365" s="182"/>
      <c r="AO365" s="182"/>
      <c r="AP365" s="182"/>
      <c r="AQ365" s="182"/>
      <c r="AR365" s="182"/>
      <c r="AS365" s="182"/>
      <c r="AT365" s="182"/>
      <c r="AU365" s="182"/>
      <c r="AV365" s="182"/>
      <c r="AW365" s="182"/>
      <c r="AX365" s="182"/>
      <c r="AY365" s="182"/>
      <c r="AZ365" s="182"/>
      <c r="BA365" s="182"/>
      <c r="BB365" s="182"/>
      <c r="BC365" s="182"/>
      <c r="BD365" s="182"/>
      <c r="BE365" s="182"/>
      <c r="BF365" s="182"/>
      <c r="BG365" s="182"/>
      <c r="BH365" s="182"/>
      <c r="BI365" s="182"/>
      <c r="BJ365" s="182"/>
      <c r="BK365" s="182"/>
      <c r="BL365" s="182"/>
      <c r="BM365" s="182"/>
      <c r="BN365" s="182"/>
      <c r="BO365" s="182"/>
      <c r="BP365" s="182"/>
      <c r="BQ365" s="182"/>
      <c r="BR365" s="182"/>
      <c r="BS365" s="182"/>
      <c r="BT365" s="182"/>
      <c r="BU365" s="182"/>
      <c r="BV365" s="182"/>
      <c r="BW365" s="182"/>
      <c r="BX365" s="182"/>
      <c r="BY365" s="182"/>
      <c r="BZ365" s="182"/>
      <c r="CA365" s="182"/>
      <c r="CB365" s="182"/>
      <c r="CC365" s="182"/>
      <c r="CD365" s="182"/>
      <c r="CE365" s="182"/>
      <c r="CF365" s="182"/>
      <c r="CG365" s="182"/>
      <c r="CH365" s="182"/>
      <c r="CI365" s="182"/>
      <c r="CJ365" s="182"/>
      <c r="CK365" s="182"/>
      <c r="CL365" s="182"/>
      <c r="CM365" s="182"/>
      <c r="CN365" s="182"/>
      <c r="CO365" s="182"/>
      <c r="CP365" s="182"/>
      <c r="CQ365" s="182"/>
      <c r="CR365" s="182"/>
      <c r="CS365" s="182"/>
      <c r="CT365" s="182"/>
      <c r="CU365" s="182"/>
      <c r="CV365" s="182"/>
      <c r="CW365" s="182"/>
      <c r="CX365" s="182"/>
      <c r="CY365" s="182"/>
      <c r="CZ365" s="182"/>
      <c r="DA365" s="182"/>
      <c r="DB365" s="182"/>
      <c r="DC365" s="182"/>
      <c r="DD365" s="182"/>
      <c r="DE365" s="182"/>
      <c r="DF365" s="182"/>
      <c r="DG365" s="182"/>
      <c r="DH365" s="182"/>
      <c r="DI365" s="182"/>
      <c r="DJ365" s="182"/>
      <c r="DK365" s="182"/>
      <c r="DL365" s="182"/>
      <c r="DM365" s="182"/>
      <c r="DN365" s="182"/>
      <c r="DO365" s="182"/>
      <c r="DP365" s="182"/>
      <c r="DQ365" s="182"/>
      <c r="DR365" s="182"/>
      <c r="DS365" s="182"/>
      <c r="DT365" s="182"/>
      <c r="DU365" s="182"/>
      <c r="DV365" s="182"/>
      <c r="DW365" s="182"/>
      <c r="DX365" s="182"/>
      <c r="DY365" s="182"/>
      <c r="DZ365" s="182"/>
      <c r="EA365" s="182"/>
      <c r="EB365" s="182"/>
      <c r="EC365" s="182"/>
      <c r="ED365" s="182"/>
      <c r="EE365" s="182"/>
      <c r="EF365" s="182"/>
      <c r="EG365" s="182"/>
      <c r="EH365" s="182"/>
      <c r="EI365" s="182"/>
      <c r="EJ365" s="182"/>
      <c r="EK365" s="182"/>
      <c r="EL365" s="182"/>
      <c r="EM365" s="182"/>
      <c r="EN365" s="182"/>
      <c r="EO365" s="182"/>
      <c r="EP365" s="182"/>
      <c r="EQ365" s="182"/>
      <c r="ER365" s="182"/>
      <c r="ES365" s="182"/>
      <c r="ET365" s="182"/>
      <c r="EU365" s="182"/>
      <c r="EV365" s="182"/>
      <c r="EW365" s="182"/>
      <c r="EX365" s="182"/>
      <c r="EY365" s="182"/>
      <c r="EZ365" s="182"/>
      <c r="FA365" s="182"/>
      <c r="FB365" s="182"/>
      <c r="FC365" s="182"/>
      <c r="FD365" s="182"/>
      <c r="FE365" s="182"/>
      <c r="FF365" s="182"/>
      <c r="FG365" s="182"/>
      <c r="FH365" s="182"/>
      <c r="FI365" s="182"/>
      <c r="FJ365" s="182"/>
      <c r="FK365" s="182"/>
      <c r="FL365" s="182"/>
      <c r="FM365" s="182"/>
      <c r="FN365" s="182"/>
      <c r="FO365" s="182"/>
      <c r="FP365" s="182"/>
      <c r="FQ365" s="182"/>
      <c r="FR365" s="182"/>
      <c r="FS365" s="182"/>
      <c r="FT365" s="182"/>
      <c r="FU365" s="182"/>
      <c r="FV365" s="182"/>
      <c r="FW365" s="182"/>
      <c r="FX365" s="182"/>
      <c r="FY365" s="182"/>
      <c r="FZ365" s="182"/>
      <c r="GA365" s="182"/>
      <c r="GB365" s="182"/>
      <c r="GC365" s="182"/>
      <c r="GD365" s="182"/>
      <c r="GE365" s="182"/>
      <c r="GF365" s="182"/>
      <c r="GG365" s="182"/>
      <c r="GH365" s="182"/>
      <c r="GI365" s="182"/>
    </row>
    <row r="366" spans="1:191" s="183" customFormat="1" x14ac:dyDescent="0.2">
      <c r="A366" s="210" t="s">
        <v>38671</v>
      </c>
      <c r="B366" s="210" t="s">
        <v>19214</v>
      </c>
      <c r="C366" s="224" t="s">
        <v>22470</v>
      </c>
      <c r="D366" s="211" t="s">
        <v>16</v>
      </c>
      <c r="E366" s="211">
        <v>60</v>
      </c>
      <c r="F366" s="211"/>
      <c r="G366" s="211">
        <v>0.3</v>
      </c>
      <c r="H366" s="212"/>
      <c r="I366" s="213"/>
      <c r="J366" s="272">
        <v>14.68</v>
      </c>
      <c r="K366" s="112">
        <f t="shared" si="26"/>
        <v>880.8</v>
      </c>
      <c r="L366" s="273">
        <f>BDI!$E$17</f>
        <v>0.11260000000000001</v>
      </c>
      <c r="M366" s="213"/>
      <c r="N366" s="213"/>
      <c r="O366" s="114">
        <f t="shared" si="27"/>
        <v>16.329999999999998</v>
      </c>
      <c r="P366" s="113">
        <f t="shared" si="28"/>
        <v>293.94</v>
      </c>
      <c r="Q366" s="209"/>
      <c r="R366" s="203"/>
      <c r="S366" s="182"/>
      <c r="T366" s="182"/>
      <c r="U366" s="182"/>
      <c r="V366" s="182"/>
      <c r="W366" s="182"/>
      <c r="X366" s="182"/>
      <c r="Y366" s="182"/>
      <c r="Z366" s="182"/>
      <c r="AA366" s="182"/>
      <c r="AB366" s="182"/>
      <c r="AC366" s="182"/>
      <c r="AD366" s="182"/>
      <c r="AE366" s="182"/>
      <c r="AF366" s="182"/>
      <c r="AG366" s="182"/>
      <c r="AH366" s="182"/>
      <c r="AI366" s="182"/>
      <c r="AJ366" s="182"/>
      <c r="AK366" s="182"/>
      <c r="AL366" s="182"/>
      <c r="AM366" s="182"/>
      <c r="AN366" s="182"/>
      <c r="AO366" s="182"/>
      <c r="AP366" s="182"/>
      <c r="AQ366" s="182"/>
      <c r="AR366" s="182"/>
      <c r="AS366" s="182"/>
      <c r="AT366" s="182"/>
      <c r="AU366" s="182"/>
      <c r="AV366" s="182"/>
      <c r="AW366" s="182"/>
      <c r="AX366" s="182"/>
      <c r="AY366" s="182"/>
      <c r="AZ366" s="182"/>
      <c r="BA366" s="182"/>
      <c r="BB366" s="182"/>
      <c r="BC366" s="182"/>
      <c r="BD366" s="182"/>
      <c r="BE366" s="182"/>
      <c r="BF366" s="182"/>
      <c r="BG366" s="182"/>
      <c r="BH366" s="182"/>
      <c r="BI366" s="182"/>
      <c r="BJ366" s="182"/>
      <c r="BK366" s="182"/>
      <c r="BL366" s="182"/>
      <c r="BM366" s="182"/>
      <c r="BN366" s="182"/>
      <c r="BO366" s="182"/>
      <c r="BP366" s="182"/>
      <c r="BQ366" s="182"/>
      <c r="BR366" s="182"/>
      <c r="BS366" s="182"/>
      <c r="BT366" s="182"/>
      <c r="BU366" s="182"/>
      <c r="BV366" s="182"/>
      <c r="BW366" s="182"/>
      <c r="BX366" s="182"/>
      <c r="BY366" s="182"/>
      <c r="BZ366" s="182"/>
      <c r="CA366" s="182"/>
      <c r="CB366" s="182"/>
      <c r="CC366" s="182"/>
      <c r="CD366" s="182"/>
      <c r="CE366" s="182"/>
      <c r="CF366" s="182"/>
      <c r="CG366" s="182"/>
      <c r="CH366" s="182"/>
      <c r="CI366" s="182"/>
      <c r="CJ366" s="182"/>
      <c r="CK366" s="182"/>
      <c r="CL366" s="182"/>
      <c r="CM366" s="182"/>
      <c r="CN366" s="182"/>
      <c r="CO366" s="182"/>
      <c r="CP366" s="182"/>
      <c r="CQ366" s="182"/>
      <c r="CR366" s="182"/>
      <c r="CS366" s="182"/>
      <c r="CT366" s="182"/>
      <c r="CU366" s="182"/>
      <c r="CV366" s="182"/>
      <c r="CW366" s="182"/>
      <c r="CX366" s="182"/>
      <c r="CY366" s="182"/>
      <c r="CZ366" s="182"/>
      <c r="DA366" s="182"/>
      <c r="DB366" s="182"/>
      <c r="DC366" s="182"/>
      <c r="DD366" s="182"/>
      <c r="DE366" s="182"/>
      <c r="DF366" s="182"/>
      <c r="DG366" s="182"/>
      <c r="DH366" s="182"/>
      <c r="DI366" s="182"/>
      <c r="DJ366" s="182"/>
      <c r="DK366" s="182"/>
      <c r="DL366" s="182"/>
      <c r="DM366" s="182"/>
      <c r="DN366" s="182"/>
      <c r="DO366" s="182"/>
      <c r="DP366" s="182"/>
      <c r="DQ366" s="182"/>
      <c r="DR366" s="182"/>
      <c r="DS366" s="182"/>
      <c r="DT366" s="182"/>
      <c r="DU366" s="182"/>
      <c r="DV366" s="182"/>
      <c r="DW366" s="182"/>
      <c r="DX366" s="182"/>
      <c r="DY366" s="182"/>
      <c r="DZ366" s="182"/>
      <c r="EA366" s="182"/>
      <c r="EB366" s="182"/>
      <c r="EC366" s="182"/>
      <c r="ED366" s="182"/>
      <c r="EE366" s="182"/>
      <c r="EF366" s="182"/>
      <c r="EG366" s="182"/>
      <c r="EH366" s="182"/>
      <c r="EI366" s="182"/>
      <c r="EJ366" s="182"/>
      <c r="EK366" s="182"/>
      <c r="EL366" s="182"/>
      <c r="EM366" s="182"/>
      <c r="EN366" s="182"/>
      <c r="EO366" s="182"/>
      <c r="EP366" s="182"/>
      <c r="EQ366" s="182"/>
      <c r="ER366" s="182"/>
      <c r="ES366" s="182"/>
      <c r="ET366" s="182"/>
      <c r="EU366" s="182"/>
      <c r="EV366" s="182"/>
      <c r="EW366" s="182"/>
      <c r="EX366" s="182"/>
      <c r="EY366" s="182"/>
      <c r="EZ366" s="182"/>
      <c r="FA366" s="182"/>
      <c r="FB366" s="182"/>
      <c r="FC366" s="182"/>
      <c r="FD366" s="182"/>
      <c r="FE366" s="182"/>
      <c r="FF366" s="182"/>
      <c r="FG366" s="182"/>
      <c r="FH366" s="182"/>
      <c r="FI366" s="182"/>
      <c r="FJ366" s="182"/>
      <c r="FK366" s="182"/>
      <c r="FL366" s="182"/>
      <c r="FM366" s="182"/>
      <c r="FN366" s="182"/>
      <c r="FO366" s="182"/>
      <c r="FP366" s="182"/>
      <c r="FQ366" s="182"/>
      <c r="FR366" s="182"/>
      <c r="FS366" s="182"/>
      <c r="FT366" s="182"/>
      <c r="FU366" s="182"/>
      <c r="FV366" s="182"/>
      <c r="FW366" s="182"/>
      <c r="FX366" s="182"/>
      <c r="FY366" s="182"/>
      <c r="FZ366" s="182"/>
      <c r="GA366" s="182"/>
      <c r="GB366" s="182"/>
      <c r="GC366" s="182"/>
      <c r="GD366" s="182"/>
      <c r="GE366" s="182"/>
      <c r="GF366" s="182"/>
      <c r="GG366" s="182"/>
      <c r="GH366" s="182"/>
      <c r="GI366" s="182"/>
    </row>
    <row r="367" spans="1:191" s="183" customFormat="1" x14ac:dyDescent="0.2">
      <c r="A367" s="210" t="s">
        <v>38672</v>
      </c>
      <c r="B367" s="210" t="s">
        <v>19215</v>
      </c>
      <c r="C367" s="224" t="s">
        <v>22471</v>
      </c>
      <c r="D367" s="211" t="s">
        <v>16</v>
      </c>
      <c r="E367" s="211">
        <v>60</v>
      </c>
      <c r="F367" s="211"/>
      <c r="G367" s="211">
        <v>0.3</v>
      </c>
      <c r="H367" s="212"/>
      <c r="I367" s="213"/>
      <c r="J367" s="272">
        <v>31.23</v>
      </c>
      <c r="K367" s="112">
        <f t="shared" si="26"/>
        <v>1873.8</v>
      </c>
      <c r="L367" s="273">
        <f>BDI!$E$17</f>
        <v>0.11260000000000001</v>
      </c>
      <c r="M367" s="213"/>
      <c r="N367" s="213"/>
      <c r="O367" s="114">
        <f t="shared" si="27"/>
        <v>34.75</v>
      </c>
      <c r="P367" s="113">
        <f t="shared" si="28"/>
        <v>625.5</v>
      </c>
      <c r="Q367" s="209"/>
      <c r="R367" s="203"/>
      <c r="S367" s="182"/>
      <c r="T367" s="182"/>
      <c r="U367" s="182"/>
      <c r="V367" s="182"/>
      <c r="W367" s="182"/>
      <c r="X367" s="182"/>
      <c r="Y367" s="182"/>
      <c r="Z367" s="182"/>
      <c r="AA367" s="182"/>
      <c r="AB367" s="182"/>
      <c r="AC367" s="182"/>
      <c r="AD367" s="182"/>
      <c r="AE367" s="182"/>
      <c r="AF367" s="182"/>
      <c r="AG367" s="182"/>
      <c r="AH367" s="182"/>
      <c r="AI367" s="182"/>
      <c r="AJ367" s="182"/>
      <c r="AK367" s="182"/>
      <c r="AL367" s="182"/>
      <c r="AM367" s="182"/>
      <c r="AN367" s="182"/>
      <c r="AO367" s="182"/>
      <c r="AP367" s="182"/>
      <c r="AQ367" s="182"/>
      <c r="AR367" s="182"/>
      <c r="AS367" s="182"/>
      <c r="AT367" s="182"/>
      <c r="AU367" s="182"/>
      <c r="AV367" s="182"/>
      <c r="AW367" s="182"/>
      <c r="AX367" s="182"/>
      <c r="AY367" s="182"/>
      <c r="AZ367" s="182"/>
      <c r="BA367" s="182"/>
      <c r="BB367" s="182"/>
      <c r="BC367" s="182"/>
      <c r="BD367" s="182"/>
      <c r="BE367" s="182"/>
      <c r="BF367" s="182"/>
      <c r="BG367" s="182"/>
      <c r="BH367" s="182"/>
      <c r="BI367" s="182"/>
      <c r="BJ367" s="182"/>
      <c r="BK367" s="182"/>
      <c r="BL367" s="182"/>
      <c r="BM367" s="182"/>
      <c r="BN367" s="182"/>
      <c r="BO367" s="182"/>
      <c r="BP367" s="182"/>
      <c r="BQ367" s="182"/>
      <c r="BR367" s="182"/>
      <c r="BS367" s="182"/>
      <c r="BT367" s="182"/>
      <c r="BU367" s="182"/>
      <c r="BV367" s="182"/>
      <c r="BW367" s="182"/>
      <c r="BX367" s="182"/>
      <c r="BY367" s="182"/>
      <c r="BZ367" s="182"/>
      <c r="CA367" s="182"/>
      <c r="CB367" s="182"/>
      <c r="CC367" s="182"/>
      <c r="CD367" s="182"/>
      <c r="CE367" s="182"/>
      <c r="CF367" s="182"/>
      <c r="CG367" s="182"/>
      <c r="CH367" s="182"/>
      <c r="CI367" s="182"/>
      <c r="CJ367" s="182"/>
      <c r="CK367" s="182"/>
      <c r="CL367" s="182"/>
      <c r="CM367" s="182"/>
      <c r="CN367" s="182"/>
      <c r="CO367" s="182"/>
      <c r="CP367" s="182"/>
      <c r="CQ367" s="182"/>
      <c r="CR367" s="182"/>
      <c r="CS367" s="182"/>
      <c r="CT367" s="182"/>
      <c r="CU367" s="182"/>
      <c r="CV367" s="182"/>
      <c r="CW367" s="182"/>
      <c r="CX367" s="182"/>
      <c r="CY367" s="182"/>
      <c r="CZ367" s="182"/>
      <c r="DA367" s="182"/>
      <c r="DB367" s="182"/>
      <c r="DC367" s="182"/>
      <c r="DD367" s="182"/>
      <c r="DE367" s="182"/>
      <c r="DF367" s="182"/>
      <c r="DG367" s="182"/>
      <c r="DH367" s="182"/>
      <c r="DI367" s="182"/>
      <c r="DJ367" s="182"/>
      <c r="DK367" s="182"/>
      <c r="DL367" s="182"/>
      <c r="DM367" s="182"/>
      <c r="DN367" s="182"/>
      <c r="DO367" s="182"/>
      <c r="DP367" s="182"/>
      <c r="DQ367" s="182"/>
      <c r="DR367" s="182"/>
      <c r="DS367" s="182"/>
      <c r="DT367" s="182"/>
      <c r="DU367" s="182"/>
      <c r="DV367" s="182"/>
      <c r="DW367" s="182"/>
      <c r="DX367" s="182"/>
      <c r="DY367" s="182"/>
      <c r="DZ367" s="182"/>
      <c r="EA367" s="182"/>
      <c r="EB367" s="182"/>
      <c r="EC367" s="182"/>
      <c r="ED367" s="182"/>
      <c r="EE367" s="182"/>
      <c r="EF367" s="182"/>
      <c r="EG367" s="182"/>
      <c r="EH367" s="182"/>
      <c r="EI367" s="182"/>
      <c r="EJ367" s="182"/>
      <c r="EK367" s="182"/>
      <c r="EL367" s="182"/>
      <c r="EM367" s="182"/>
      <c r="EN367" s="182"/>
      <c r="EO367" s="182"/>
      <c r="EP367" s="182"/>
      <c r="EQ367" s="182"/>
      <c r="ER367" s="182"/>
      <c r="ES367" s="182"/>
      <c r="ET367" s="182"/>
      <c r="EU367" s="182"/>
      <c r="EV367" s="182"/>
      <c r="EW367" s="182"/>
      <c r="EX367" s="182"/>
      <c r="EY367" s="182"/>
      <c r="EZ367" s="182"/>
      <c r="FA367" s="182"/>
      <c r="FB367" s="182"/>
      <c r="FC367" s="182"/>
      <c r="FD367" s="182"/>
      <c r="FE367" s="182"/>
      <c r="FF367" s="182"/>
      <c r="FG367" s="182"/>
      <c r="FH367" s="182"/>
      <c r="FI367" s="182"/>
      <c r="FJ367" s="182"/>
      <c r="FK367" s="182"/>
      <c r="FL367" s="182"/>
      <c r="FM367" s="182"/>
      <c r="FN367" s="182"/>
      <c r="FO367" s="182"/>
      <c r="FP367" s="182"/>
      <c r="FQ367" s="182"/>
      <c r="FR367" s="182"/>
      <c r="FS367" s="182"/>
      <c r="FT367" s="182"/>
      <c r="FU367" s="182"/>
      <c r="FV367" s="182"/>
      <c r="FW367" s="182"/>
      <c r="FX367" s="182"/>
      <c r="FY367" s="182"/>
      <c r="FZ367" s="182"/>
      <c r="GA367" s="182"/>
      <c r="GB367" s="182"/>
      <c r="GC367" s="182"/>
      <c r="GD367" s="182"/>
      <c r="GE367" s="182"/>
      <c r="GF367" s="182"/>
      <c r="GG367" s="182"/>
      <c r="GH367" s="182"/>
      <c r="GI367" s="182"/>
    </row>
    <row r="368" spans="1:191" s="183" customFormat="1" x14ac:dyDescent="0.2">
      <c r="A368" s="210" t="s">
        <v>38673</v>
      </c>
      <c r="B368" s="210" t="s">
        <v>19216</v>
      </c>
      <c r="C368" s="224" t="s">
        <v>22472</v>
      </c>
      <c r="D368" s="211" t="s">
        <v>16</v>
      </c>
      <c r="E368" s="211">
        <v>60</v>
      </c>
      <c r="F368" s="211"/>
      <c r="G368" s="211">
        <v>0.3</v>
      </c>
      <c r="H368" s="212"/>
      <c r="I368" s="213"/>
      <c r="J368" s="272">
        <v>11.43</v>
      </c>
      <c r="K368" s="112">
        <f t="shared" si="26"/>
        <v>685.8</v>
      </c>
      <c r="L368" s="273">
        <f>BDI!$E$17</f>
        <v>0.11260000000000001</v>
      </c>
      <c r="M368" s="213"/>
      <c r="N368" s="213"/>
      <c r="O368" s="114">
        <f t="shared" si="27"/>
        <v>12.72</v>
      </c>
      <c r="P368" s="113">
        <f t="shared" si="28"/>
        <v>228.96</v>
      </c>
      <c r="Q368" s="209"/>
      <c r="R368" s="203"/>
      <c r="S368" s="182"/>
      <c r="T368" s="182"/>
      <c r="U368" s="182"/>
      <c r="V368" s="182"/>
      <c r="W368" s="182"/>
      <c r="X368" s="182"/>
      <c r="Y368" s="182"/>
      <c r="Z368" s="182"/>
      <c r="AA368" s="182"/>
      <c r="AB368" s="182"/>
      <c r="AC368" s="182"/>
      <c r="AD368" s="182"/>
      <c r="AE368" s="182"/>
      <c r="AF368" s="182"/>
      <c r="AG368" s="182"/>
      <c r="AH368" s="182"/>
      <c r="AI368" s="182"/>
      <c r="AJ368" s="182"/>
      <c r="AK368" s="182"/>
      <c r="AL368" s="182"/>
      <c r="AM368" s="182"/>
      <c r="AN368" s="182"/>
      <c r="AO368" s="182"/>
      <c r="AP368" s="182"/>
      <c r="AQ368" s="182"/>
      <c r="AR368" s="182"/>
      <c r="AS368" s="182"/>
      <c r="AT368" s="182"/>
      <c r="AU368" s="182"/>
      <c r="AV368" s="182"/>
      <c r="AW368" s="182"/>
      <c r="AX368" s="182"/>
      <c r="AY368" s="182"/>
      <c r="AZ368" s="182"/>
      <c r="BA368" s="182"/>
      <c r="BB368" s="182"/>
      <c r="BC368" s="182"/>
      <c r="BD368" s="182"/>
      <c r="BE368" s="182"/>
      <c r="BF368" s="182"/>
      <c r="BG368" s="182"/>
      <c r="BH368" s="182"/>
      <c r="BI368" s="182"/>
      <c r="BJ368" s="182"/>
      <c r="BK368" s="182"/>
      <c r="BL368" s="182"/>
      <c r="BM368" s="182"/>
      <c r="BN368" s="182"/>
      <c r="BO368" s="182"/>
      <c r="BP368" s="182"/>
      <c r="BQ368" s="182"/>
      <c r="BR368" s="182"/>
      <c r="BS368" s="182"/>
      <c r="BT368" s="182"/>
      <c r="BU368" s="182"/>
      <c r="BV368" s="182"/>
      <c r="BW368" s="182"/>
      <c r="BX368" s="182"/>
      <c r="BY368" s="182"/>
      <c r="BZ368" s="182"/>
      <c r="CA368" s="182"/>
      <c r="CB368" s="182"/>
      <c r="CC368" s="182"/>
      <c r="CD368" s="182"/>
      <c r="CE368" s="182"/>
      <c r="CF368" s="182"/>
      <c r="CG368" s="182"/>
      <c r="CH368" s="182"/>
      <c r="CI368" s="182"/>
      <c r="CJ368" s="182"/>
      <c r="CK368" s="182"/>
      <c r="CL368" s="182"/>
      <c r="CM368" s="182"/>
      <c r="CN368" s="182"/>
      <c r="CO368" s="182"/>
      <c r="CP368" s="182"/>
      <c r="CQ368" s="182"/>
      <c r="CR368" s="182"/>
      <c r="CS368" s="182"/>
      <c r="CT368" s="182"/>
      <c r="CU368" s="182"/>
      <c r="CV368" s="182"/>
      <c r="CW368" s="182"/>
      <c r="CX368" s="182"/>
      <c r="CY368" s="182"/>
      <c r="CZ368" s="182"/>
      <c r="DA368" s="182"/>
      <c r="DB368" s="182"/>
      <c r="DC368" s="182"/>
      <c r="DD368" s="182"/>
      <c r="DE368" s="182"/>
      <c r="DF368" s="182"/>
      <c r="DG368" s="182"/>
      <c r="DH368" s="182"/>
      <c r="DI368" s="182"/>
      <c r="DJ368" s="182"/>
      <c r="DK368" s="182"/>
      <c r="DL368" s="182"/>
      <c r="DM368" s="182"/>
      <c r="DN368" s="182"/>
      <c r="DO368" s="182"/>
      <c r="DP368" s="182"/>
      <c r="DQ368" s="182"/>
      <c r="DR368" s="182"/>
      <c r="DS368" s="182"/>
      <c r="DT368" s="182"/>
      <c r="DU368" s="182"/>
      <c r="DV368" s="182"/>
      <c r="DW368" s="182"/>
      <c r="DX368" s="182"/>
      <c r="DY368" s="182"/>
      <c r="DZ368" s="182"/>
      <c r="EA368" s="182"/>
      <c r="EB368" s="182"/>
      <c r="EC368" s="182"/>
      <c r="ED368" s="182"/>
      <c r="EE368" s="182"/>
      <c r="EF368" s="182"/>
      <c r="EG368" s="182"/>
      <c r="EH368" s="182"/>
      <c r="EI368" s="182"/>
      <c r="EJ368" s="182"/>
      <c r="EK368" s="182"/>
      <c r="EL368" s="182"/>
      <c r="EM368" s="182"/>
      <c r="EN368" s="182"/>
      <c r="EO368" s="182"/>
      <c r="EP368" s="182"/>
      <c r="EQ368" s="182"/>
      <c r="ER368" s="182"/>
      <c r="ES368" s="182"/>
      <c r="ET368" s="182"/>
      <c r="EU368" s="182"/>
      <c r="EV368" s="182"/>
      <c r="EW368" s="182"/>
      <c r="EX368" s="182"/>
      <c r="EY368" s="182"/>
      <c r="EZ368" s="182"/>
      <c r="FA368" s="182"/>
      <c r="FB368" s="182"/>
      <c r="FC368" s="182"/>
      <c r="FD368" s="182"/>
      <c r="FE368" s="182"/>
      <c r="FF368" s="182"/>
      <c r="FG368" s="182"/>
      <c r="FH368" s="182"/>
      <c r="FI368" s="182"/>
      <c r="FJ368" s="182"/>
      <c r="FK368" s="182"/>
      <c r="FL368" s="182"/>
      <c r="FM368" s="182"/>
      <c r="FN368" s="182"/>
      <c r="FO368" s="182"/>
      <c r="FP368" s="182"/>
      <c r="FQ368" s="182"/>
      <c r="FR368" s="182"/>
      <c r="FS368" s="182"/>
      <c r="FT368" s="182"/>
      <c r="FU368" s="182"/>
      <c r="FV368" s="182"/>
      <c r="FW368" s="182"/>
      <c r="FX368" s="182"/>
      <c r="FY368" s="182"/>
      <c r="FZ368" s="182"/>
      <c r="GA368" s="182"/>
      <c r="GB368" s="182"/>
      <c r="GC368" s="182"/>
      <c r="GD368" s="182"/>
      <c r="GE368" s="182"/>
      <c r="GF368" s="182"/>
      <c r="GG368" s="182"/>
      <c r="GH368" s="182"/>
      <c r="GI368" s="182"/>
    </row>
    <row r="369" spans="1:191" s="183" customFormat="1" x14ac:dyDescent="0.2">
      <c r="A369" s="210" t="s">
        <v>38674</v>
      </c>
      <c r="B369" s="210" t="s">
        <v>19217</v>
      </c>
      <c r="C369" s="224" t="s">
        <v>22473</v>
      </c>
      <c r="D369" s="211" t="s">
        <v>16</v>
      </c>
      <c r="E369" s="211">
        <v>20</v>
      </c>
      <c r="F369" s="211"/>
      <c r="G369" s="211">
        <v>0.3</v>
      </c>
      <c r="H369" s="212"/>
      <c r="I369" s="213"/>
      <c r="J369" s="272">
        <v>26.2</v>
      </c>
      <c r="K369" s="112">
        <f t="shared" si="26"/>
        <v>524</v>
      </c>
      <c r="L369" s="273">
        <f>BDI!$E$17</f>
        <v>0.11260000000000001</v>
      </c>
      <c r="M369" s="213"/>
      <c r="N369" s="213"/>
      <c r="O369" s="114">
        <f t="shared" si="27"/>
        <v>29.15</v>
      </c>
      <c r="P369" s="113">
        <f t="shared" si="28"/>
        <v>174.9</v>
      </c>
      <c r="Q369" s="209"/>
      <c r="R369" s="203"/>
      <c r="S369" s="182"/>
      <c r="T369" s="182"/>
      <c r="U369" s="182"/>
      <c r="V369" s="182"/>
      <c r="W369" s="182"/>
      <c r="X369" s="182"/>
      <c r="Y369" s="182"/>
      <c r="Z369" s="182"/>
      <c r="AA369" s="182"/>
      <c r="AB369" s="182"/>
      <c r="AC369" s="182"/>
      <c r="AD369" s="182"/>
      <c r="AE369" s="182"/>
      <c r="AF369" s="182"/>
      <c r="AG369" s="182"/>
      <c r="AH369" s="182"/>
      <c r="AI369" s="182"/>
      <c r="AJ369" s="182"/>
      <c r="AK369" s="182"/>
      <c r="AL369" s="182"/>
      <c r="AM369" s="182"/>
      <c r="AN369" s="182"/>
      <c r="AO369" s="182"/>
      <c r="AP369" s="182"/>
      <c r="AQ369" s="182"/>
      <c r="AR369" s="182"/>
      <c r="AS369" s="182"/>
      <c r="AT369" s="182"/>
      <c r="AU369" s="182"/>
      <c r="AV369" s="182"/>
      <c r="AW369" s="182"/>
      <c r="AX369" s="182"/>
      <c r="AY369" s="182"/>
      <c r="AZ369" s="182"/>
      <c r="BA369" s="182"/>
      <c r="BB369" s="182"/>
      <c r="BC369" s="182"/>
      <c r="BD369" s="182"/>
      <c r="BE369" s="182"/>
      <c r="BF369" s="182"/>
      <c r="BG369" s="182"/>
      <c r="BH369" s="182"/>
      <c r="BI369" s="182"/>
      <c r="BJ369" s="182"/>
      <c r="BK369" s="182"/>
      <c r="BL369" s="182"/>
      <c r="BM369" s="182"/>
      <c r="BN369" s="182"/>
      <c r="BO369" s="182"/>
      <c r="BP369" s="182"/>
      <c r="BQ369" s="182"/>
      <c r="BR369" s="182"/>
      <c r="BS369" s="182"/>
      <c r="BT369" s="182"/>
      <c r="BU369" s="182"/>
      <c r="BV369" s="182"/>
      <c r="BW369" s="182"/>
      <c r="BX369" s="182"/>
      <c r="BY369" s="182"/>
      <c r="BZ369" s="182"/>
      <c r="CA369" s="182"/>
      <c r="CB369" s="182"/>
      <c r="CC369" s="182"/>
      <c r="CD369" s="182"/>
      <c r="CE369" s="182"/>
      <c r="CF369" s="182"/>
      <c r="CG369" s="182"/>
      <c r="CH369" s="182"/>
      <c r="CI369" s="182"/>
      <c r="CJ369" s="182"/>
      <c r="CK369" s="182"/>
      <c r="CL369" s="182"/>
      <c r="CM369" s="182"/>
      <c r="CN369" s="182"/>
      <c r="CO369" s="182"/>
      <c r="CP369" s="182"/>
      <c r="CQ369" s="182"/>
      <c r="CR369" s="182"/>
      <c r="CS369" s="182"/>
      <c r="CT369" s="182"/>
      <c r="CU369" s="182"/>
      <c r="CV369" s="182"/>
      <c r="CW369" s="182"/>
      <c r="CX369" s="182"/>
      <c r="CY369" s="182"/>
      <c r="CZ369" s="182"/>
      <c r="DA369" s="182"/>
      <c r="DB369" s="182"/>
      <c r="DC369" s="182"/>
      <c r="DD369" s="182"/>
      <c r="DE369" s="182"/>
      <c r="DF369" s="182"/>
      <c r="DG369" s="182"/>
      <c r="DH369" s="182"/>
      <c r="DI369" s="182"/>
      <c r="DJ369" s="182"/>
      <c r="DK369" s="182"/>
      <c r="DL369" s="182"/>
      <c r="DM369" s="182"/>
      <c r="DN369" s="182"/>
      <c r="DO369" s="182"/>
      <c r="DP369" s="182"/>
      <c r="DQ369" s="182"/>
      <c r="DR369" s="182"/>
      <c r="DS369" s="182"/>
      <c r="DT369" s="182"/>
      <c r="DU369" s="182"/>
      <c r="DV369" s="182"/>
      <c r="DW369" s="182"/>
      <c r="DX369" s="182"/>
      <c r="DY369" s="182"/>
      <c r="DZ369" s="182"/>
      <c r="EA369" s="182"/>
      <c r="EB369" s="182"/>
      <c r="EC369" s="182"/>
      <c r="ED369" s="182"/>
      <c r="EE369" s="182"/>
      <c r="EF369" s="182"/>
      <c r="EG369" s="182"/>
      <c r="EH369" s="182"/>
      <c r="EI369" s="182"/>
      <c r="EJ369" s="182"/>
      <c r="EK369" s="182"/>
      <c r="EL369" s="182"/>
      <c r="EM369" s="182"/>
      <c r="EN369" s="182"/>
      <c r="EO369" s="182"/>
      <c r="EP369" s="182"/>
      <c r="EQ369" s="182"/>
      <c r="ER369" s="182"/>
      <c r="ES369" s="182"/>
      <c r="ET369" s="182"/>
      <c r="EU369" s="182"/>
      <c r="EV369" s="182"/>
      <c r="EW369" s="182"/>
      <c r="EX369" s="182"/>
      <c r="EY369" s="182"/>
      <c r="EZ369" s="182"/>
      <c r="FA369" s="182"/>
      <c r="FB369" s="182"/>
      <c r="FC369" s="182"/>
      <c r="FD369" s="182"/>
      <c r="FE369" s="182"/>
      <c r="FF369" s="182"/>
      <c r="FG369" s="182"/>
      <c r="FH369" s="182"/>
      <c r="FI369" s="182"/>
      <c r="FJ369" s="182"/>
      <c r="FK369" s="182"/>
      <c r="FL369" s="182"/>
      <c r="FM369" s="182"/>
      <c r="FN369" s="182"/>
      <c r="FO369" s="182"/>
      <c r="FP369" s="182"/>
      <c r="FQ369" s="182"/>
      <c r="FR369" s="182"/>
      <c r="FS369" s="182"/>
      <c r="FT369" s="182"/>
      <c r="FU369" s="182"/>
      <c r="FV369" s="182"/>
      <c r="FW369" s="182"/>
      <c r="FX369" s="182"/>
      <c r="FY369" s="182"/>
      <c r="FZ369" s="182"/>
      <c r="GA369" s="182"/>
      <c r="GB369" s="182"/>
      <c r="GC369" s="182"/>
      <c r="GD369" s="182"/>
      <c r="GE369" s="182"/>
      <c r="GF369" s="182"/>
      <c r="GG369" s="182"/>
      <c r="GH369" s="182"/>
      <c r="GI369" s="182"/>
    </row>
    <row r="370" spans="1:191" s="183" customFormat="1" x14ac:dyDescent="0.2">
      <c r="A370" s="210" t="s">
        <v>38675</v>
      </c>
      <c r="B370" s="210" t="s">
        <v>19218</v>
      </c>
      <c r="C370" s="224" t="s">
        <v>22474</v>
      </c>
      <c r="D370" s="211" t="s">
        <v>16</v>
      </c>
      <c r="E370" s="211">
        <v>120</v>
      </c>
      <c r="F370" s="211"/>
      <c r="G370" s="211">
        <v>0.3</v>
      </c>
      <c r="H370" s="212"/>
      <c r="I370" s="213"/>
      <c r="J370" s="272">
        <v>15.36</v>
      </c>
      <c r="K370" s="112">
        <f t="shared" si="26"/>
        <v>1843.2</v>
      </c>
      <c r="L370" s="273">
        <f>BDI!$E$17</f>
        <v>0.11260000000000001</v>
      </c>
      <c r="M370" s="213"/>
      <c r="N370" s="213"/>
      <c r="O370" s="114">
        <f t="shared" si="27"/>
        <v>17.09</v>
      </c>
      <c r="P370" s="113">
        <f t="shared" si="28"/>
        <v>615.24</v>
      </c>
      <c r="Q370" s="209"/>
      <c r="R370" s="203"/>
      <c r="S370" s="182"/>
      <c r="T370" s="182"/>
      <c r="U370" s="182"/>
      <c r="V370" s="182"/>
      <c r="W370" s="182"/>
      <c r="X370" s="182"/>
      <c r="Y370" s="182"/>
      <c r="Z370" s="182"/>
      <c r="AA370" s="182"/>
      <c r="AB370" s="182"/>
      <c r="AC370" s="182"/>
      <c r="AD370" s="182"/>
      <c r="AE370" s="182"/>
      <c r="AF370" s="182"/>
      <c r="AG370" s="182"/>
      <c r="AH370" s="182"/>
      <c r="AI370" s="182"/>
      <c r="AJ370" s="182"/>
      <c r="AK370" s="182"/>
      <c r="AL370" s="182"/>
      <c r="AM370" s="182"/>
      <c r="AN370" s="182"/>
      <c r="AO370" s="182"/>
      <c r="AP370" s="182"/>
      <c r="AQ370" s="182"/>
      <c r="AR370" s="182"/>
      <c r="AS370" s="182"/>
      <c r="AT370" s="182"/>
      <c r="AU370" s="182"/>
      <c r="AV370" s="182"/>
      <c r="AW370" s="182"/>
      <c r="AX370" s="182"/>
      <c r="AY370" s="182"/>
      <c r="AZ370" s="182"/>
      <c r="BA370" s="182"/>
      <c r="BB370" s="182"/>
      <c r="BC370" s="182"/>
      <c r="BD370" s="182"/>
      <c r="BE370" s="182"/>
      <c r="BF370" s="182"/>
      <c r="BG370" s="182"/>
      <c r="BH370" s="182"/>
      <c r="BI370" s="182"/>
      <c r="BJ370" s="182"/>
      <c r="BK370" s="182"/>
      <c r="BL370" s="182"/>
      <c r="BM370" s="182"/>
      <c r="BN370" s="182"/>
      <c r="BO370" s="182"/>
      <c r="BP370" s="182"/>
      <c r="BQ370" s="182"/>
      <c r="BR370" s="182"/>
      <c r="BS370" s="182"/>
      <c r="BT370" s="182"/>
      <c r="BU370" s="182"/>
      <c r="BV370" s="182"/>
      <c r="BW370" s="182"/>
      <c r="BX370" s="182"/>
      <c r="BY370" s="182"/>
      <c r="BZ370" s="182"/>
      <c r="CA370" s="182"/>
      <c r="CB370" s="182"/>
      <c r="CC370" s="182"/>
      <c r="CD370" s="182"/>
      <c r="CE370" s="182"/>
      <c r="CF370" s="182"/>
      <c r="CG370" s="182"/>
      <c r="CH370" s="182"/>
      <c r="CI370" s="182"/>
      <c r="CJ370" s="182"/>
      <c r="CK370" s="182"/>
      <c r="CL370" s="182"/>
      <c r="CM370" s="182"/>
      <c r="CN370" s="182"/>
      <c r="CO370" s="182"/>
      <c r="CP370" s="182"/>
      <c r="CQ370" s="182"/>
      <c r="CR370" s="182"/>
      <c r="CS370" s="182"/>
      <c r="CT370" s="182"/>
      <c r="CU370" s="182"/>
      <c r="CV370" s="182"/>
      <c r="CW370" s="182"/>
      <c r="CX370" s="182"/>
      <c r="CY370" s="182"/>
      <c r="CZ370" s="182"/>
      <c r="DA370" s="182"/>
      <c r="DB370" s="182"/>
      <c r="DC370" s="182"/>
      <c r="DD370" s="182"/>
      <c r="DE370" s="182"/>
      <c r="DF370" s="182"/>
      <c r="DG370" s="182"/>
      <c r="DH370" s="182"/>
      <c r="DI370" s="182"/>
      <c r="DJ370" s="182"/>
      <c r="DK370" s="182"/>
      <c r="DL370" s="182"/>
      <c r="DM370" s="182"/>
      <c r="DN370" s="182"/>
      <c r="DO370" s="182"/>
      <c r="DP370" s="182"/>
      <c r="DQ370" s="182"/>
      <c r="DR370" s="182"/>
      <c r="DS370" s="182"/>
      <c r="DT370" s="182"/>
      <c r="DU370" s="182"/>
      <c r="DV370" s="182"/>
      <c r="DW370" s="182"/>
      <c r="DX370" s="182"/>
      <c r="DY370" s="182"/>
      <c r="DZ370" s="182"/>
      <c r="EA370" s="182"/>
      <c r="EB370" s="182"/>
      <c r="EC370" s="182"/>
      <c r="ED370" s="182"/>
      <c r="EE370" s="182"/>
      <c r="EF370" s="182"/>
      <c r="EG370" s="182"/>
      <c r="EH370" s="182"/>
      <c r="EI370" s="182"/>
      <c r="EJ370" s="182"/>
      <c r="EK370" s="182"/>
      <c r="EL370" s="182"/>
      <c r="EM370" s="182"/>
      <c r="EN370" s="182"/>
      <c r="EO370" s="182"/>
      <c r="EP370" s="182"/>
      <c r="EQ370" s="182"/>
      <c r="ER370" s="182"/>
      <c r="ES370" s="182"/>
      <c r="ET370" s="182"/>
      <c r="EU370" s="182"/>
      <c r="EV370" s="182"/>
      <c r="EW370" s="182"/>
      <c r="EX370" s="182"/>
      <c r="EY370" s="182"/>
      <c r="EZ370" s="182"/>
      <c r="FA370" s="182"/>
      <c r="FB370" s="182"/>
      <c r="FC370" s="182"/>
      <c r="FD370" s="182"/>
      <c r="FE370" s="182"/>
      <c r="FF370" s="182"/>
      <c r="FG370" s="182"/>
      <c r="FH370" s="182"/>
      <c r="FI370" s="182"/>
      <c r="FJ370" s="182"/>
      <c r="FK370" s="182"/>
      <c r="FL370" s="182"/>
      <c r="FM370" s="182"/>
      <c r="FN370" s="182"/>
      <c r="FO370" s="182"/>
      <c r="FP370" s="182"/>
      <c r="FQ370" s="182"/>
      <c r="FR370" s="182"/>
      <c r="FS370" s="182"/>
      <c r="FT370" s="182"/>
      <c r="FU370" s="182"/>
      <c r="FV370" s="182"/>
      <c r="FW370" s="182"/>
      <c r="FX370" s="182"/>
      <c r="FY370" s="182"/>
      <c r="FZ370" s="182"/>
      <c r="GA370" s="182"/>
      <c r="GB370" s="182"/>
      <c r="GC370" s="182"/>
      <c r="GD370" s="182"/>
      <c r="GE370" s="182"/>
      <c r="GF370" s="182"/>
      <c r="GG370" s="182"/>
      <c r="GH370" s="182"/>
      <c r="GI370" s="182"/>
    </row>
    <row r="371" spans="1:191" s="183" customFormat="1" x14ac:dyDescent="0.2">
      <c r="A371" s="210" t="s">
        <v>38676</v>
      </c>
      <c r="B371" s="210" t="s">
        <v>19219</v>
      </c>
      <c r="C371" s="224" t="s">
        <v>22475</v>
      </c>
      <c r="D371" s="211" t="s">
        <v>16</v>
      </c>
      <c r="E371" s="211">
        <v>120</v>
      </c>
      <c r="F371" s="211"/>
      <c r="G371" s="211">
        <v>0.3</v>
      </c>
      <c r="H371" s="212"/>
      <c r="I371" s="213"/>
      <c r="J371" s="272">
        <v>18.98</v>
      </c>
      <c r="K371" s="112">
        <f t="shared" si="26"/>
        <v>2277.6</v>
      </c>
      <c r="L371" s="273">
        <f>BDI!$E$17</f>
        <v>0.11260000000000001</v>
      </c>
      <c r="M371" s="213"/>
      <c r="N371" s="213"/>
      <c r="O371" s="114">
        <f t="shared" si="27"/>
        <v>21.12</v>
      </c>
      <c r="P371" s="113">
        <f t="shared" si="28"/>
        <v>760.32</v>
      </c>
      <c r="Q371" s="209"/>
      <c r="R371" s="203"/>
      <c r="S371" s="182"/>
      <c r="T371" s="182"/>
      <c r="U371" s="182"/>
      <c r="V371" s="182"/>
      <c r="W371" s="182"/>
      <c r="X371" s="182"/>
      <c r="Y371" s="182"/>
      <c r="Z371" s="182"/>
      <c r="AA371" s="182"/>
      <c r="AB371" s="182"/>
      <c r="AC371" s="182"/>
      <c r="AD371" s="182"/>
      <c r="AE371" s="182"/>
      <c r="AF371" s="182"/>
      <c r="AG371" s="182"/>
      <c r="AH371" s="182"/>
      <c r="AI371" s="182"/>
      <c r="AJ371" s="182"/>
      <c r="AK371" s="182"/>
      <c r="AL371" s="182"/>
      <c r="AM371" s="182"/>
      <c r="AN371" s="182"/>
      <c r="AO371" s="182"/>
      <c r="AP371" s="182"/>
      <c r="AQ371" s="182"/>
      <c r="AR371" s="182"/>
      <c r="AS371" s="182"/>
      <c r="AT371" s="182"/>
      <c r="AU371" s="182"/>
      <c r="AV371" s="182"/>
      <c r="AW371" s="182"/>
      <c r="AX371" s="182"/>
      <c r="AY371" s="182"/>
      <c r="AZ371" s="182"/>
      <c r="BA371" s="182"/>
      <c r="BB371" s="182"/>
      <c r="BC371" s="182"/>
      <c r="BD371" s="182"/>
      <c r="BE371" s="182"/>
      <c r="BF371" s="182"/>
      <c r="BG371" s="182"/>
      <c r="BH371" s="182"/>
      <c r="BI371" s="182"/>
      <c r="BJ371" s="182"/>
      <c r="BK371" s="182"/>
      <c r="BL371" s="182"/>
      <c r="BM371" s="182"/>
      <c r="BN371" s="182"/>
      <c r="BO371" s="182"/>
      <c r="BP371" s="182"/>
      <c r="BQ371" s="182"/>
      <c r="BR371" s="182"/>
      <c r="BS371" s="182"/>
      <c r="BT371" s="182"/>
      <c r="BU371" s="182"/>
      <c r="BV371" s="182"/>
      <c r="BW371" s="182"/>
      <c r="BX371" s="182"/>
      <c r="BY371" s="182"/>
      <c r="BZ371" s="182"/>
      <c r="CA371" s="182"/>
      <c r="CB371" s="182"/>
      <c r="CC371" s="182"/>
      <c r="CD371" s="182"/>
      <c r="CE371" s="182"/>
      <c r="CF371" s="182"/>
      <c r="CG371" s="182"/>
      <c r="CH371" s="182"/>
      <c r="CI371" s="182"/>
      <c r="CJ371" s="182"/>
      <c r="CK371" s="182"/>
      <c r="CL371" s="182"/>
      <c r="CM371" s="182"/>
      <c r="CN371" s="182"/>
      <c r="CO371" s="182"/>
      <c r="CP371" s="182"/>
      <c r="CQ371" s="182"/>
      <c r="CR371" s="182"/>
      <c r="CS371" s="182"/>
      <c r="CT371" s="182"/>
      <c r="CU371" s="182"/>
      <c r="CV371" s="182"/>
      <c r="CW371" s="182"/>
      <c r="CX371" s="182"/>
      <c r="CY371" s="182"/>
      <c r="CZ371" s="182"/>
      <c r="DA371" s="182"/>
      <c r="DB371" s="182"/>
      <c r="DC371" s="182"/>
      <c r="DD371" s="182"/>
      <c r="DE371" s="182"/>
      <c r="DF371" s="182"/>
      <c r="DG371" s="182"/>
      <c r="DH371" s="182"/>
      <c r="DI371" s="182"/>
      <c r="DJ371" s="182"/>
      <c r="DK371" s="182"/>
      <c r="DL371" s="182"/>
      <c r="DM371" s="182"/>
      <c r="DN371" s="182"/>
      <c r="DO371" s="182"/>
      <c r="DP371" s="182"/>
      <c r="DQ371" s="182"/>
      <c r="DR371" s="182"/>
      <c r="DS371" s="182"/>
      <c r="DT371" s="182"/>
      <c r="DU371" s="182"/>
      <c r="DV371" s="182"/>
      <c r="DW371" s="182"/>
      <c r="DX371" s="182"/>
      <c r="DY371" s="182"/>
      <c r="DZ371" s="182"/>
      <c r="EA371" s="182"/>
      <c r="EB371" s="182"/>
      <c r="EC371" s="182"/>
      <c r="ED371" s="182"/>
      <c r="EE371" s="182"/>
      <c r="EF371" s="182"/>
      <c r="EG371" s="182"/>
      <c r="EH371" s="182"/>
      <c r="EI371" s="182"/>
      <c r="EJ371" s="182"/>
      <c r="EK371" s="182"/>
      <c r="EL371" s="182"/>
      <c r="EM371" s="182"/>
      <c r="EN371" s="182"/>
      <c r="EO371" s="182"/>
      <c r="EP371" s="182"/>
      <c r="EQ371" s="182"/>
      <c r="ER371" s="182"/>
      <c r="ES371" s="182"/>
      <c r="ET371" s="182"/>
      <c r="EU371" s="182"/>
      <c r="EV371" s="182"/>
      <c r="EW371" s="182"/>
      <c r="EX371" s="182"/>
      <c r="EY371" s="182"/>
      <c r="EZ371" s="182"/>
      <c r="FA371" s="182"/>
      <c r="FB371" s="182"/>
      <c r="FC371" s="182"/>
      <c r="FD371" s="182"/>
      <c r="FE371" s="182"/>
      <c r="FF371" s="182"/>
      <c r="FG371" s="182"/>
      <c r="FH371" s="182"/>
      <c r="FI371" s="182"/>
      <c r="FJ371" s="182"/>
      <c r="FK371" s="182"/>
      <c r="FL371" s="182"/>
      <c r="FM371" s="182"/>
      <c r="FN371" s="182"/>
      <c r="FO371" s="182"/>
      <c r="FP371" s="182"/>
      <c r="FQ371" s="182"/>
      <c r="FR371" s="182"/>
      <c r="FS371" s="182"/>
      <c r="FT371" s="182"/>
      <c r="FU371" s="182"/>
      <c r="FV371" s="182"/>
      <c r="FW371" s="182"/>
      <c r="FX371" s="182"/>
      <c r="FY371" s="182"/>
      <c r="FZ371" s="182"/>
      <c r="GA371" s="182"/>
      <c r="GB371" s="182"/>
      <c r="GC371" s="182"/>
      <c r="GD371" s="182"/>
      <c r="GE371" s="182"/>
      <c r="GF371" s="182"/>
      <c r="GG371" s="182"/>
      <c r="GH371" s="182"/>
      <c r="GI371" s="182"/>
    </row>
    <row r="372" spans="1:191" s="183" customFormat="1" x14ac:dyDescent="0.2">
      <c r="A372" s="210" t="s">
        <v>38677</v>
      </c>
      <c r="B372" s="210" t="s">
        <v>19220</v>
      </c>
      <c r="C372" s="224" t="s">
        <v>22476</v>
      </c>
      <c r="D372" s="211" t="s">
        <v>16</v>
      </c>
      <c r="E372" s="211">
        <v>120</v>
      </c>
      <c r="F372" s="211"/>
      <c r="G372" s="211">
        <v>0.3</v>
      </c>
      <c r="H372" s="212"/>
      <c r="I372" s="213"/>
      <c r="J372" s="272">
        <v>22.03</v>
      </c>
      <c r="K372" s="112">
        <f t="shared" si="26"/>
        <v>2643.6</v>
      </c>
      <c r="L372" s="273">
        <f>BDI!$E$17</f>
        <v>0.11260000000000001</v>
      </c>
      <c r="M372" s="213"/>
      <c r="N372" s="213"/>
      <c r="O372" s="114">
        <f t="shared" si="27"/>
        <v>24.51</v>
      </c>
      <c r="P372" s="113">
        <f t="shared" si="28"/>
        <v>882.36</v>
      </c>
      <c r="Q372" s="209"/>
      <c r="R372" s="203"/>
      <c r="S372" s="182"/>
      <c r="T372" s="182"/>
      <c r="U372" s="182"/>
      <c r="V372" s="182"/>
      <c r="W372" s="182"/>
      <c r="X372" s="182"/>
      <c r="Y372" s="182"/>
      <c r="Z372" s="182"/>
      <c r="AA372" s="182"/>
      <c r="AB372" s="182"/>
      <c r="AC372" s="182"/>
      <c r="AD372" s="182"/>
      <c r="AE372" s="182"/>
      <c r="AF372" s="182"/>
      <c r="AG372" s="182"/>
      <c r="AH372" s="182"/>
      <c r="AI372" s="182"/>
      <c r="AJ372" s="182"/>
      <c r="AK372" s="182"/>
      <c r="AL372" s="182"/>
      <c r="AM372" s="182"/>
      <c r="AN372" s="182"/>
      <c r="AO372" s="182"/>
      <c r="AP372" s="182"/>
      <c r="AQ372" s="182"/>
      <c r="AR372" s="182"/>
      <c r="AS372" s="182"/>
      <c r="AT372" s="182"/>
      <c r="AU372" s="182"/>
      <c r="AV372" s="182"/>
      <c r="AW372" s="182"/>
      <c r="AX372" s="182"/>
      <c r="AY372" s="182"/>
      <c r="AZ372" s="182"/>
      <c r="BA372" s="182"/>
      <c r="BB372" s="182"/>
      <c r="BC372" s="182"/>
      <c r="BD372" s="182"/>
      <c r="BE372" s="182"/>
      <c r="BF372" s="182"/>
      <c r="BG372" s="182"/>
      <c r="BH372" s="182"/>
      <c r="BI372" s="182"/>
      <c r="BJ372" s="182"/>
      <c r="BK372" s="182"/>
      <c r="BL372" s="182"/>
      <c r="BM372" s="182"/>
      <c r="BN372" s="182"/>
      <c r="BO372" s="182"/>
      <c r="BP372" s="182"/>
      <c r="BQ372" s="182"/>
      <c r="BR372" s="182"/>
      <c r="BS372" s="182"/>
      <c r="BT372" s="182"/>
      <c r="BU372" s="182"/>
      <c r="BV372" s="182"/>
      <c r="BW372" s="182"/>
      <c r="BX372" s="182"/>
      <c r="BY372" s="182"/>
      <c r="BZ372" s="182"/>
      <c r="CA372" s="182"/>
      <c r="CB372" s="182"/>
      <c r="CC372" s="182"/>
      <c r="CD372" s="182"/>
      <c r="CE372" s="182"/>
      <c r="CF372" s="182"/>
      <c r="CG372" s="182"/>
      <c r="CH372" s="182"/>
      <c r="CI372" s="182"/>
      <c r="CJ372" s="182"/>
      <c r="CK372" s="182"/>
      <c r="CL372" s="182"/>
      <c r="CM372" s="182"/>
      <c r="CN372" s="182"/>
      <c r="CO372" s="182"/>
      <c r="CP372" s="182"/>
      <c r="CQ372" s="182"/>
      <c r="CR372" s="182"/>
      <c r="CS372" s="182"/>
      <c r="CT372" s="182"/>
      <c r="CU372" s="182"/>
      <c r="CV372" s="182"/>
      <c r="CW372" s="182"/>
      <c r="CX372" s="182"/>
      <c r="CY372" s="182"/>
      <c r="CZ372" s="182"/>
      <c r="DA372" s="182"/>
      <c r="DB372" s="182"/>
      <c r="DC372" s="182"/>
      <c r="DD372" s="182"/>
      <c r="DE372" s="182"/>
      <c r="DF372" s="182"/>
      <c r="DG372" s="182"/>
      <c r="DH372" s="182"/>
      <c r="DI372" s="182"/>
      <c r="DJ372" s="182"/>
      <c r="DK372" s="182"/>
      <c r="DL372" s="182"/>
      <c r="DM372" s="182"/>
      <c r="DN372" s="182"/>
      <c r="DO372" s="182"/>
      <c r="DP372" s="182"/>
      <c r="DQ372" s="182"/>
      <c r="DR372" s="182"/>
      <c r="DS372" s="182"/>
      <c r="DT372" s="182"/>
      <c r="DU372" s="182"/>
      <c r="DV372" s="182"/>
      <c r="DW372" s="182"/>
      <c r="DX372" s="182"/>
      <c r="DY372" s="182"/>
      <c r="DZ372" s="182"/>
      <c r="EA372" s="182"/>
      <c r="EB372" s="182"/>
      <c r="EC372" s="182"/>
      <c r="ED372" s="182"/>
      <c r="EE372" s="182"/>
      <c r="EF372" s="182"/>
      <c r="EG372" s="182"/>
      <c r="EH372" s="182"/>
      <c r="EI372" s="182"/>
      <c r="EJ372" s="182"/>
      <c r="EK372" s="182"/>
      <c r="EL372" s="182"/>
      <c r="EM372" s="182"/>
      <c r="EN372" s="182"/>
      <c r="EO372" s="182"/>
      <c r="EP372" s="182"/>
      <c r="EQ372" s="182"/>
      <c r="ER372" s="182"/>
      <c r="ES372" s="182"/>
      <c r="ET372" s="182"/>
      <c r="EU372" s="182"/>
      <c r="EV372" s="182"/>
      <c r="EW372" s="182"/>
      <c r="EX372" s="182"/>
      <c r="EY372" s="182"/>
      <c r="EZ372" s="182"/>
      <c r="FA372" s="182"/>
      <c r="FB372" s="182"/>
      <c r="FC372" s="182"/>
      <c r="FD372" s="182"/>
      <c r="FE372" s="182"/>
      <c r="FF372" s="182"/>
      <c r="FG372" s="182"/>
      <c r="FH372" s="182"/>
      <c r="FI372" s="182"/>
      <c r="FJ372" s="182"/>
      <c r="FK372" s="182"/>
      <c r="FL372" s="182"/>
      <c r="FM372" s="182"/>
      <c r="FN372" s="182"/>
      <c r="FO372" s="182"/>
      <c r="FP372" s="182"/>
      <c r="FQ372" s="182"/>
      <c r="FR372" s="182"/>
      <c r="FS372" s="182"/>
      <c r="FT372" s="182"/>
      <c r="FU372" s="182"/>
      <c r="FV372" s="182"/>
      <c r="FW372" s="182"/>
      <c r="FX372" s="182"/>
      <c r="FY372" s="182"/>
      <c r="FZ372" s="182"/>
      <c r="GA372" s="182"/>
      <c r="GB372" s="182"/>
      <c r="GC372" s="182"/>
      <c r="GD372" s="182"/>
      <c r="GE372" s="182"/>
      <c r="GF372" s="182"/>
      <c r="GG372" s="182"/>
      <c r="GH372" s="182"/>
      <c r="GI372" s="182"/>
    </row>
    <row r="373" spans="1:191" s="183" customFormat="1" x14ac:dyDescent="0.2">
      <c r="A373" s="210" t="s">
        <v>38678</v>
      </c>
      <c r="B373" s="210" t="s">
        <v>19221</v>
      </c>
      <c r="C373" s="224" t="s">
        <v>22477</v>
      </c>
      <c r="D373" s="211" t="s">
        <v>16</v>
      </c>
      <c r="E373" s="211">
        <v>120</v>
      </c>
      <c r="F373" s="211"/>
      <c r="G373" s="211">
        <v>0.3</v>
      </c>
      <c r="H373" s="212"/>
      <c r="I373" s="213"/>
      <c r="J373" s="272">
        <v>15.03</v>
      </c>
      <c r="K373" s="112">
        <f t="shared" si="26"/>
        <v>1803.6</v>
      </c>
      <c r="L373" s="273">
        <f>BDI!$E$17</f>
        <v>0.11260000000000001</v>
      </c>
      <c r="M373" s="213"/>
      <c r="N373" s="213"/>
      <c r="O373" s="114">
        <f t="shared" si="27"/>
        <v>16.72</v>
      </c>
      <c r="P373" s="113">
        <f t="shared" si="28"/>
        <v>601.91999999999996</v>
      </c>
      <c r="Q373" s="209"/>
      <c r="R373" s="203"/>
      <c r="S373" s="182"/>
      <c r="T373" s="182"/>
      <c r="U373" s="182"/>
      <c r="V373" s="182"/>
      <c r="W373" s="182"/>
      <c r="X373" s="182"/>
      <c r="Y373" s="182"/>
      <c r="Z373" s="182"/>
      <c r="AA373" s="182"/>
      <c r="AB373" s="182"/>
      <c r="AC373" s="182"/>
      <c r="AD373" s="182"/>
      <c r="AE373" s="182"/>
      <c r="AF373" s="182"/>
      <c r="AG373" s="182"/>
      <c r="AH373" s="182"/>
      <c r="AI373" s="182"/>
      <c r="AJ373" s="182"/>
      <c r="AK373" s="182"/>
      <c r="AL373" s="182"/>
      <c r="AM373" s="182"/>
      <c r="AN373" s="182"/>
      <c r="AO373" s="182"/>
      <c r="AP373" s="182"/>
      <c r="AQ373" s="182"/>
      <c r="AR373" s="182"/>
      <c r="AS373" s="182"/>
      <c r="AT373" s="182"/>
      <c r="AU373" s="182"/>
      <c r="AV373" s="182"/>
      <c r="AW373" s="182"/>
      <c r="AX373" s="182"/>
      <c r="AY373" s="182"/>
      <c r="AZ373" s="182"/>
      <c r="BA373" s="182"/>
      <c r="BB373" s="182"/>
      <c r="BC373" s="182"/>
      <c r="BD373" s="182"/>
      <c r="BE373" s="182"/>
      <c r="BF373" s="182"/>
      <c r="BG373" s="182"/>
      <c r="BH373" s="182"/>
      <c r="BI373" s="182"/>
      <c r="BJ373" s="182"/>
      <c r="BK373" s="182"/>
      <c r="BL373" s="182"/>
      <c r="BM373" s="182"/>
      <c r="BN373" s="182"/>
      <c r="BO373" s="182"/>
      <c r="BP373" s="182"/>
      <c r="BQ373" s="182"/>
      <c r="BR373" s="182"/>
      <c r="BS373" s="182"/>
      <c r="BT373" s="182"/>
      <c r="BU373" s="182"/>
      <c r="BV373" s="182"/>
      <c r="BW373" s="182"/>
      <c r="BX373" s="182"/>
      <c r="BY373" s="182"/>
      <c r="BZ373" s="182"/>
      <c r="CA373" s="182"/>
      <c r="CB373" s="182"/>
      <c r="CC373" s="182"/>
      <c r="CD373" s="182"/>
      <c r="CE373" s="182"/>
      <c r="CF373" s="182"/>
      <c r="CG373" s="182"/>
      <c r="CH373" s="182"/>
      <c r="CI373" s="182"/>
      <c r="CJ373" s="182"/>
      <c r="CK373" s="182"/>
      <c r="CL373" s="182"/>
      <c r="CM373" s="182"/>
      <c r="CN373" s="182"/>
      <c r="CO373" s="182"/>
      <c r="CP373" s="182"/>
      <c r="CQ373" s="182"/>
      <c r="CR373" s="182"/>
      <c r="CS373" s="182"/>
      <c r="CT373" s="182"/>
      <c r="CU373" s="182"/>
      <c r="CV373" s="182"/>
      <c r="CW373" s="182"/>
      <c r="CX373" s="182"/>
      <c r="CY373" s="182"/>
      <c r="CZ373" s="182"/>
      <c r="DA373" s="182"/>
      <c r="DB373" s="182"/>
      <c r="DC373" s="182"/>
      <c r="DD373" s="182"/>
      <c r="DE373" s="182"/>
      <c r="DF373" s="182"/>
      <c r="DG373" s="182"/>
      <c r="DH373" s="182"/>
      <c r="DI373" s="182"/>
      <c r="DJ373" s="182"/>
      <c r="DK373" s="182"/>
      <c r="DL373" s="182"/>
      <c r="DM373" s="182"/>
      <c r="DN373" s="182"/>
      <c r="DO373" s="182"/>
      <c r="DP373" s="182"/>
      <c r="DQ373" s="182"/>
      <c r="DR373" s="182"/>
      <c r="DS373" s="182"/>
      <c r="DT373" s="182"/>
      <c r="DU373" s="182"/>
      <c r="DV373" s="182"/>
      <c r="DW373" s="182"/>
      <c r="DX373" s="182"/>
      <c r="DY373" s="182"/>
      <c r="DZ373" s="182"/>
      <c r="EA373" s="182"/>
      <c r="EB373" s="182"/>
      <c r="EC373" s="182"/>
      <c r="ED373" s="182"/>
      <c r="EE373" s="182"/>
      <c r="EF373" s="182"/>
      <c r="EG373" s="182"/>
      <c r="EH373" s="182"/>
      <c r="EI373" s="182"/>
      <c r="EJ373" s="182"/>
      <c r="EK373" s="182"/>
      <c r="EL373" s="182"/>
      <c r="EM373" s="182"/>
      <c r="EN373" s="182"/>
      <c r="EO373" s="182"/>
      <c r="EP373" s="182"/>
      <c r="EQ373" s="182"/>
      <c r="ER373" s="182"/>
      <c r="ES373" s="182"/>
      <c r="ET373" s="182"/>
      <c r="EU373" s="182"/>
      <c r="EV373" s="182"/>
      <c r="EW373" s="182"/>
      <c r="EX373" s="182"/>
      <c r="EY373" s="182"/>
      <c r="EZ373" s="182"/>
      <c r="FA373" s="182"/>
      <c r="FB373" s="182"/>
      <c r="FC373" s="182"/>
      <c r="FD373" s="182"/>
      <c r="FE373" s="182"/>
      <c r="FF373" s="182"/>
      <c r="FG373" s="182"/>
      <c r="FH373" s="182"/>
      <c r="FI373" s="182"/>
      <c r="FJ373" s="182"/>
      <c r="FK373" s="182"/>
      <c r="FL373" s="182"/>
      <c r="FM373" s="182"/>
      <c r="FN373" s="182"/>
      <c r="FO373" s="182"/>
      <c r="FP373" s="182"/>
      <c r="FQ373" s="182"/>
      <c r="FR373" s="182"/>
      <c r="FS373" s="182"/>
      <c r="FT373" s="182"/>
      <c r="FU373" s="182"/>
      <c r="FV373" s="182"/>
      <c r="FW373" s="182"/>
      <c r="FX373" s="182"/>
      <c r="FY373" s="182"/>
      <c r="FZ373" s="182"/>
      <c r="GA373" s="182"/>
      <c r="GB373" s="182"/>
      <c r="GC373" s="182"/>
      <c r="GD373" s="182"/>
      <c r="GE373" s="182"/>
      <c r="GF373" s="182"/>
      <c r="GG373" s="182"/>
      <c r="GH373" s="182"/>
      <c r="GI373" s="182"/>
    </row>
    <row r="374" spans="1:191" s="183" customFormat="1" x14ac:dyDescent="0.2">
      <c r="A374" s="210" t="s">
        <v>38679</v>
      </c>
      <c r="B374" s="210" t="s">
        <v>19222</v>
      </c>
      <c r="C374" s="224" t="s">
        <v>22478</v>
      </c>
      <c r="D374" s="211" t="s">
        <v>16</v>
      </c>
      <c r="E374" s="211">
        <v>120</v>
      </c>
      <c r="F374" s="211"/>
      <c r="G374" s="211">
        <v>0.3</v>
      </c>
      <c r="H374" s="212"/>
      <c r="I374" s="213"/>
      <c r="J374" s="272">
        <v>19</v>
      </c>
      <c r="K374" s="112">
        <f t="shared" si="26"/>
        <v>2280</v>
      </c>
      <c r="L374" s="273">
        <f>BDI!$E$17</f>
        <v>0.11260000000000001</v>
      </c>
      <c r="M374" s="213"/>
      <c r="N374" s="213"/>
      <c r="O374" s="114">
        <f t="shared" si="27"/>
        <v>21.14</v>
      </c>
      <c r="P374" s="113">
        <f t="shared" si="28"/>
        <v>761.04</v>
      </c>
      <c r="Q374" s="209"/>
      <c r="R374" s="203"/>
      <c r="S374" s="182"/>
      <c r="T374" s="182"/>
      <c r="U374" s="182"/>
      <c r="V374" s="182"/>
      <c r="W374" s="182"/>
      <c r="X374" s="182"/>
      <c r="Y374" s="182"/>
      <c r="Z374" s="182"/>
      <c r="AA374" s="182"/>
      <c r="AB374" s="182"/>
      <c r="AC374" s="182"/>
      <c r="AD374" s="182"/>
      <c r="AE374" s="182"/>
      <c r="AF374" s="182"/>
      <c r="AG374" s="182"/>
      <c r="AH374" s="182"/>
      <c r="AI374" s="182"/>
      <c r="AJ374" s="182"/>
      <c r="AK374" s="182"/>
      <c r="AL374" s="182"/>
      <c r="AM374" s="182"/>
      <c r="AN374" s="182"/>
      <c r="AO374" s="182"/>
      <c r="AP374" s="182"/>
      <c r="AQ374" s="182"/>
      <c r="AR374" s="182"/>
      <c r="AS374" s="182"/>
      <c r="AT374" s="182"/>
      <c r="AU374" s="182"/>
      <c r="AV374" s="182"/>
      <c r="AW374" s="182"/>
      <c r="AX374" s="182"/>
      <c r="AY374" s="182"/>
      <c r="AZ374" s="182"/>
      <c r="BA374" s="182"/>
      <c r="BB374" s="182"/>
      <c r="BC374" s="182"/>
      <c r="BD374" s="182"/>
      <c r="BE374" s="182"/>
      <c r="BF374" s="182"/>
      <c r="BG374" s="182"/>
      <c r="BH374" s="182"/>
      <c r="BI374" s="182"/>
      <c r="BJ374" s="182"/>
      <c r="BK374" s="182"/>
      <c r="BL374" s="182"/>
      <c r="BM374" s="182"/>
      <c r="BN374" s="182"/>
      <c r="BO374" s="182"/>
      <c r="BP374" s="182"/>
      <c r="BQ374" s="182"/>
      <c r="BR374" s="182"/>
      <c r="BS374" s="182"/>
      <c r="BT374" s="182"/>
      <c r="BU374" s="182"/>
      <c r="BV374" s="182"/>
      <c r="BW374" s="182"/>
      <c r="BX374" s="182"/>
      <c r="BY374" s="182"/>
      <c r="BZ374" s="182"/>
      <c r="CA374" s="182"/>
      <c r="CB374" s="182"/>
      <c r="CC374" s="182"/>
      <c r="CD374" s="182"/>
      <c r="CE374" s="182"/>
      <c r="CF374" s="182"/>
      <c r="CG374" s="182"/>
      <c r="CH374" s="182"/>
      <c r="CI374" s="182"/>
      <c r="CJ374" s="182"/>
      <c r="CK374" s="182"/>
      <c r="CL374" s="182"/>
      <c r="CM374" s="182"/>
      <c r="CN374" s="182"/>
      <c r="CO374" s="182"/>
      <c r="CP374" s="182"/>
      <c r="CQ374" s="182"/>
      <c r="CR374" s="182"/>
      <c r="CS374" s="182"/>
      <c r="CT374" s="182"/>
      <c r="CU374" s="182"/>
      <c r="CV374" s="182"/>
      <c r="CW374" s="182"/>
      <c r="CX374" s="182"/>
      <c r="CY374" s="182"/>
      <c r="CZ374" s="182"/>
      <c r="DA374" s="182"/>
      <c r="DB374" s="182"/>
      <c r="DC374" s="182"/>
      <c r="DD374" s="182"/>
      <c r="DE374" s="182"/>
      <c r="DF374" s="182"/>
      <c r="DG374" s="182"/>
      <c r="DH374" s="182"/>
      <c r="DI374" s="182"/>
      <c r="DJ374" s="182"/>
      <c r="DK374" s="182"/>
      <c r="DL374" s="182"/>
      <c r="DM374" s="182"/>
      <c r="DN374" s="182"/>
      <c r="DO374" s="182"/>
      <c r="DP374" s="182"/>
      <c r="DQ374" s="182"/>
      <c r="DR374" s="182"/>
      <c r="DS374" s="182"/>
      <c r="DT374" s="182"/>
      <c r="DU374" s="182"/>
      <c r="DV374" s="182"/>
      <c r="DW374" s="182"/>
      <c r="DX374" s="182"/>
      <c r="DY374" s="182"/>
      <c r="DZ374" s="182"/>
      <c r="EA374" s="182"/>
      <c r="EB374" s="182"/>
      <c r="EC374" s="182"/>
      <c r="ED374" s="182"/>
      <c r="EE374" s="182"/>
      <c r="EF374" s="182"/>
      <c r="EG374" s="182"/>
      <c r="EH374" s="182"/>
      <c r="EI374" s="182"/>
      <c r="EJ374" s="182"/>
      <c r="EK374" s="182"/>
      <c r="EL374" s="182"/>
      <c r="EM374" s="182"/>
      <c r="EN374" s="182"/>
      <c r="EO374" s="182"/>
      <c r="EP374" s="182"/>
      <c r="EQ374" s="182"/>
      <c r="ER374" s="182"/>
      <c r="ES374" s="182"/>
      <c r="ET374" s="182"/>
      <c r="EU374" s="182"/>
      <c r="EV374" s="182"/>
      <c r="EW374" s="182"/>
      <c r="EX374" s="182"/>
      <c r="EY374" s="182"/>
      <c r="EZ374" s="182"/>
      <c r="FA374" s="182"/>
      <c r="FB374" s="182"/>
      <c r="FC374" s="182"/>
      <c r="FD374" s="182"/>
      <c r="FE374" s="182"/>
      <c r="FF374" s="182"/>
      <c r="FG374" s="182"/>
      <c r="FH374" s="182"/>
      <c r="FI374" s="182"/>
      <c r="FJ374" s="182"/>
      <c r="FK374" s="182"/>
      <c r="FL374" s="182"/>
      <c r="FM374" s="182"/>
      <c r="FN374" s="182"/>
      <c r="FO374" s="182"/>
      <c r="FP374" s="182"/>
      <c r="FQ374" s="182"/>
      <c r="FR374" s="182"/>
      <c r="FS374" s="182"/>
      <c r="FT374" s="182"/>
      <c r="FU374" s="182"/>
      <c r="FV374" s="182"/>
      <c r="FW374" s="182"/>
      <c r="FX374" s="182"/>
      <c r="FY374" s="182"/>
      <c r="FZ374" s="182"/>
      <c r="GA374" s="182"/>
      <c r="GB374" s="182"/>
      <c r="GC374" s="182"/>
      <c r="GD374" s="182"/>
      <c r="GE374" s="182"/>
      <c r="GF374" s="182"/>
      <c r="GG374" s="182"/>
      <c r="GH374" s="182"/>
      <c r="GI374" s="182"/>
    </row>
    <row r="375" spans="1:191" s="183" customFormat="1" x14ac:dyDescent="0.2">
      <c r="A375" s="210" t="s">
        <v>38680</v>
      </c>
      <c r="B375" s="210" t="s">
        <v>19223</v>
      </c>
      <c r="C375" s="224" t="s">
        <v>22479</v>
      </c>
      <c r="D375" s="211" t="s">
        <v>16</v>
      </c>
      <c r="E375" s="211">
        <v>120</v>
      </c>
      <c r="F375" s="211"/>
      <c r="G375" s="211">
        <v>0.3</v>
      </c>
      <c r="H375" s="212"/>
      <c r="I375" s="213"/>
      <c r="J375" s="272">
        <v>22.03</v>
      </c>
      <c r="K375" s="112">
        <f t="shared" si="26"/>
        <v>2643.6</v>
      </c>
      <c r="L375" s="273">
        <f>BDI!$E$17</f>
        <v>0.11260000000000001</v>
      </c>
      <c r="M375" s="213"/>
      <c r="N375" s="213"/>
      <c r="O375" s="114">
        <f t="shared" si="27"/>
        <v>24.51</v>
      </c>
      <c r="P375" s="113">
        <f t="shared" si="28"/>
        <v>882.36</v>
      </c>
      <c r="Q375" s="209"/>
      <c r="R375" s="203"/>
      <c r="S375" s="182"/>
      <c r="T375" s="182"/>
      <c r="U375" s="182"/>
      <c r="V375" s="182"/>
      <c r="W375" s="182"/>
      <c r="X375" s="182"/>
      <c r="Y375" s="182"/>
      <c r="Z375" s="182"/>
      <c r="AA375" s="182"/>
      <c r="AB375" s="182"/>
      <c r="AC375" s="182"/>
      <c r="AD375" s="182"/>
      <c r="AE375" s="182"/>
      <c r="AF375" s="182"/>
      <c r="AG375" s="182"/>
      <c r="AH375" s="182"/>
      <c r="AI375" s="182"/>
      <c r="AJ375" s="182"/>
      <c r="AK375" s="182"/>
      <c r="AL375" s="182"/>
      <c r="AM375" s="182"/>
      <c r="AN375" s="182"/>
      <c r="AO375" s="182"/>
      <c r="AP375" s="182"/>
      <c r="AQ375" s="182"/>
      <c r="AR375" s="182"/>
      <c r="AS375" s="182"/>
      <c r="AT375" s="182"/>
      <c r="AU375" s="182"/>
      <c r="AV375" s="182"/>
      <c r="AW375" s="182"/>
      <c r="AX375" s="182"/>
      <c r="AY375" s="182"/>
      <c r="AZ375" s="182"/>
      <c r="BA375" s="182"/>
      <c r="BB375" s="182"/>
      <c r="BC375" s="182"/>
      <c r="BD375" s="182"/>
      <c r="BE375" s="182"/>
      <c r="BF375" s="182"/>
      <c r="BG375" s="182"/>
      <c r="BH375" s="182"/>
      <c r="BI375" s="182"/>
      <c r="BJ375" s="182"/>
      <c r="BK375" s="182"/>
      <c r="BL375" s="182"/>
      <c r="BM375" s="182"/>
      <c r="BN375" s="182"/>
      <c r="BO375" s="182"/>
      <c r="BP375" s="182"/>
      <c r="BQ375" s="182"/>
      <c r="BR375" s="182"/>
      <c r="BS375" s="182"/>
      <c r="BT375" s="182"/>
      <c r="BU375" s="182"/>
      <c r="BV375" s="182"/>
      <c r="BW375" s="182"/>
      <c r="BX375" s="182"/>
      <c r="BY375" s="182"/>
      <c r="BZ375" s="182"/>
      <c r="CA375" s="182"/>
      <c r="CB375" s="182"/>
      <c r="CC375" s="182"/>
      <c r="CD375" s="182"/>
      <c r="CE375" s="182"/>
      <c r="CF375" s="182"/>
      <c r="CG375" s="182"/>
      <c r="CH375" s="182"/>
      <c r="CI375" s="182"/>
      <c r="CJ375" s="182"/>
      <c r="CK375" s="182"/>
      <c r="CL375" s="182"/>
      <c r="CM375" s="182"/>
      <c r="CN375" s="182"/>
      <c r="CO375" s="182"/>
      <c r="CP375" s="182"/>
      <c r="CQ375" s="182"/>
      <c r="CR375" s="182"/>
      <c r="CS375" s="182"/>
      <c r="CT375" s="182"/>
      <c r="CU375" s="182"/>
      <c r="CV375" s="182"/>
      <c r="CW375" s="182"/>
      <c r="CX375" s="182"/>
      <c r="CY375" s="182"/>
      <c r="CZ375" s="182"/>
      <c r="DA375" s="182"/>
      <c r="DB375" s="182"/>
      <c r="DC375" s="182"/>
      <c r="DD375" s="182"/>
      <c r="DE375" s="182"/>
      <c r="DF375" s="182"/>
      <c r="DG375" s="182"/>
      <c r="DH375" s="182"/>
      <c r="DI375" s="182"/>
      <c r="DJ375" s="182"/>
      <c r="DK375" s="182"/>
      <c r="DL375" s="182"/>
      <c r="DM375" s="182"/>
      <c r="DN375" s="182"/>
      <c r="DO375" s="182"/>
      <c r="DP375" s="182"/>
      <c r="DQ375" s="182"/>
      <c r="DR375" s="182"/>
      <c r="DS375" s="182"/>
      <c r="DT375" s="182"/>
      <c r="DU375" s="182"/>
      <c r="DV375" s="182"/>
      <c r="DW375" s="182"/>
      <c r="DX375" s="182"/>
      <c r="DY375" s="182"/>
      <c r="DZ375" s="182"/>
      <c r="EA375" s="182"/>
      <c r="EB375" s="182"/>
      <c r="EC375" s="182"/>
      <c r="ED375" s="182"/>
      <c r="EE375" s="182"/>
      <c r="EF375" s="182"/>
      <c r="EG375" s="182"/>
      <c r="EH375" s="182"/>
      <c r="EI375" s="182"/>
      <c r="EJ375" s="182"/>
      <c r="EK375" s="182"/>
      <c r="EL375" s="182"/>
      <c r="EM375" s="182"/>
      <c r="EN375" s="182"/>
      <c r="EO375" s="182"/>
      <c r="EP375" s="182"/>
      <c r="EQ375" s="182"/>
      <c r="ER375" s="182"/>
      <c r="ES375" s="182"/>
      <c r="ET375" s="182"/>
      <c r="EU375" s="182"/>
      <c r="EV375" s="182"/>
      <c r="EW375" s="182"/>
      <c r="EX375" s="182"/>
      <c r="EY375" s="182"/>
      <c r="EZ375" s="182"/>
      <c r="FA375" s="182"/>
      <c r="FB375" s="182"/>
      <c r="FC375" s="182"/>
      <c r="FD375" s="182"/>
      <c r="FE375" s="182"/>
      <c r="FF375" s="182"/>
      <c r="FG375" s="182"/>
      <c r="FH375" s="182"/>
      <c r="FI375" s="182"/>
      <c r="FJ375" s="182"/>
      <c r="FK375" s="182"/>
      <c r="FL375" s="182"/>
      <c r="FM375" s="182"/>
      <c r="FN375" s="182"/>
      <c r="FO375" s="182"/>
      <c r="FP375" s="182"/>
      <c r="FQ375" s="182"/>
      <c r="FR375" s="182"/>
      <c r="FS375" s="182"/>
      <c r="FT375" s="182"/>
      <c r="FU375" s="182"/>
      <c r="FV375" s="182"/>
      <c r="FW375" s="182"/>
      <c r="FX375" s="182"/>
      <c r="FY375" s="182"/>
      <c r="FZ375" s="182"/>
      <c r="GA375" s="182"/>
      <c r="GB375" s="182"/>
      <c r="GC375" s="182"/>
      <c r="GD375" s="182"/>
      <c r="GE375" s="182"/>
      <c r="GF375" s="182"/>
      <c r="GG375" s="182"/>
      <c r="GH375" s="182"/>
      <c r="GI375" s="182"/>
    </row>
    <row r="376" spans="1:191" s="183" customFormat="1" x14ac:dyDescent="0.2">
      <c r="A376" s="210" t="s">
        <v>38681</v>
      </c>
      <c r="B376" s="210" t="s">
        <v>19224</v>
      </c>
      <c r="C376" s="224" t="s">
        <v>22480</v>
      </c>
      <c r="D376" s="211" t="s">
        <v>69</v>
      </c>
      <c r="E376" s="211">
        <v>90</v>
      </c>
      <c r="F376" s="211"/>
      <c r="G376" s="211">
        <v>0.3</v>
      </c>
      <c r="H376" s="212"/>
      <c r="I376" s="213"/>
      <c r="J376" s="272">
        <v>92.4</v>
      </c>
      <c r="K376" s="112">
        <f t="shared" si="26"/>
        <v>8316</v>
      </c>
      <c r="L376" s="273">
        <f>BDI!$E$17</f>
        <v>0.11260000000000001</v>
      </c>
      <c r="M376" s="213"/>
      <c r="N376" s="213"/>
      <c r="O376" s="114">
        <f t="shared" si="27"/>
        <v>102.8</v>
      </c>
      <c r="P376" s="113">
        <f t="shared" si="28"/>
        <v>2775.6</v>
      </c>
      <c r="Q376" s="209"/>
      <c r="R376" s="203"/>
      <c r="S376" s="182"/>
      <c r="T376" s="182"/>
      <c r="U376" s="182"/>
      <c r="V376" s="182"/>
      <c r="W376" s="182"/>
      <c r="X376" s="182"/>
      <c r="Y376" s="182"/>
      <c r="Z376" s="182"/>
      <c r="AA376" s="182"/>
      <c r="AB376" s="182"/>
      <c r="AC376" s="182"/>
      <c r="AD376" s="182"/>
      <c r="AE376" s="182"/>
      <c r="AF376" s="182"/>
      <c r="AG376" s="182"/>
      <c r="AH376" s="182"/>
      <c r="AI376" s="182"/>
      <c r="AJ376" s="182"/>
      <c r="AK376" s="182"/>
      <c r="AL376" s="182"/>
      <c r="AM376" s="182"/>
      <c r="AN376" s="182"/>
      <c r="AO376" s="182"/>
      <c r="AP376" s="182"/>
      <c r="AQ376" s="182"/>
      <c r="AR376" s="182"/>
      <c r="AS376" s="182"/>
      <c r="AT376" s="182"/>
      <c r="AU376" s="182"/>
      <c r="AV376" s="182"/>
      <c r="AW376" s="182"/>
      <c r="AX376" s="182"/>
      <c r="AY376" s="182"/>
      <c r="AZ376" s="182"/>
      <c r="BA376" s="182"/>
      <c r="BB376" s="182"/>
      <c r="BC376" s="182"/>
      <c r="BD376" s="182"/>
      <c r="BE376" s="182"/>
      <c r="BF376" s="182"/>
      <c r="BG376" s="182"/>
      <c r="BH376" s="182"/>
      <c r="BI376" s="182"/>
      <c r="BJ376" s="182"/>
      <c r="BK376" s="182"/>
      <c r="BL376" s="182"/>
      <c r="BM376" s="182"/>
      <c r="BN376" s="182"/>
      <c r="BO376" s="182"/>
      <c r="BP376" s="182"/>
      <c r="BQ376" s="182"/>
      <c r="BR376" s="182"/>
      <c r="BS376" s="182"/>
      <c r="BT376" s="182"/>
      <c r="BU376" s="182"/>
      <c r="BV376" s="182"/>
      <c r="BW376" s="182"/>
      <c r="BX376" s="182"/>
      <c r="BY376" s="182"/>
      <c r="BZ376" s="182"/>
      <c r="CA376" s="182"/>
      <c r="CB376" s="182"/>
      <c r="CC376" s="182"/>
      <c r="CD376" s="182"/>
      <c r="CE376" s="182"/>
      <c r="CF376" s="182"/>
      <c r="CG376" s="182"/>
      <c r="CH376" s="182"/>
      <c r="CI376" s="182"/>
      <c r="CJ376" s="182"/>
      <c r="CK376" s="182"/>
      <c r="CL376" s="182"/>
      <c r="CM376" s="182"/>
      <c r="CN376" s="182"/>
      <c r="CO376" s="182"/>
      <c r="CP376" s="182"/>
      <c r="CQ376" s="182"/>
      <c r="CR376" s="182"/>
      <c r="CS376" s="182"/>
      <c r="CT376" s="182"/>
      <c r="CU376" s="182"/>
      <c r="CV376" s="182"/>
      <c r="CW376" s="182"/>
      <c r="CX376" s="182"/>
      <c r="CY376" s="182"/>
      <c r="CZ376" s="182"/>
      <c r="DA376" s="182"/>
      <c r="DB376" s="182"/>
      <c r="DC376" s="182"/>
      <c r="DD376" s="182"/>
      <c r="DE376" s="182"/>
      <c r="DF376" s="182"/>
      <c r="DG376" s="182"/>
      <c r="DH376" s="182"/>
      <c r="DI376" s="182"/>
      <c r="DJ376" s="182"/>
      <c r="DK376" s="182"/>
      <c r="DL376" s="182"/>
      <c r="DM376" s="182"/>
      <c r="DN376" s="182"/>
      <c r="DO376" s="182"/>
      <c r="DP376" s="182"/>
      <c r="DQ376" s="182"/>
      <c r="DR376" s="182"/>
      <c r="DS376" s="182"/>
      <c r="DT376" s="182"/>
      <c r="DU376" s="182"/>
      <c r="DV376" s="182"/>
      <c r="DW376" s="182"/>
      <c r="DX376" s="182"/>
      <c r="DY376" s="182"/>
      <c r="DZ376" s="182"/>
      <c r="EA376" s="182"/>
      <c r="EB376" s="182"/>
      <c r="EC376" s="182"/>
      <c r="ED376" s="182"/>
      <c r="EE376" s="182"/>
      <c r="EF376" s="182"/>
      <c r="EG376" s="182"/>
      <c r="EH376" s="182"/>
      <c r="EI376" s="182"/>
      <c r="EJ376" s="182"/>
      <c r="EK376" s="182"/>
      <c r="EL376" s="182"/>
      <c r="EM376" s="182"/>
      <c r="EN376" s="182"/>
      <c r="EO376" s="182"/>
      <c r="EP376" s="182"/>
      <c r="EQ376" s="182"/>
      <c r="ER376" s="182"/>
      <c r="ES376" s="182"/>
      <c r="ET376" s="182"/>
      <c r="EU376" s="182"/>
      <c r="EV376" s="182"/>
      <c r="EW376" s="182"/>
      <c r="EX376" s="182"/>
      <c r="EY376" s="182"/>
      <c r="EZ376" s="182"/>
      <c r="FA376" s="182"/>
      <c r="FB376" s="182"/>
      <c r="FC376" s="182"/>
      <c r="FD376" s="182"/>
      <c r="FE376" s="182"/>
      <c r="FF376" s="182"/>
      <c r="FG376" s="182"/>
      <c r="FH376" s="182"/>
      <c r="FI376" s="182"/>
      <c r="FJ376" s="182"/>
      <c r="FK376" s="182"/>
      <c r="FL376" s="182"/>
      <c r="FM376" s="182"/>
      <c r="FN376" s="182"/>
      <c r="FO376" s="182"/>
      <c r="FP376" s="182"/>
      <c r="FQ376" s="182"/>
      <c r="FR376" s="182"/>
      <c r="FS376" s="182"/>
      <c r="FT376" s="182"/>
      <c r="FU376" s="182"/>
      <c r="FV376" s="182"/>
      <c r="FW376" s="182"/>
      <c r="FX376" s="182"/>
      <c r="FY376" s="182"/>
      <c r="FZ376" s="182"/>
      <c r="GA376" s="182"/>
      <c r="GB376" s="182"/>
      <c r="GC376" s="182"/>
      <c r="GD376" s="182"/>
      <c r="GE376" s="182"/>
      <c r="GF376" s="182"/>
      <c r="GG376" s="182"/>
      <c r="GH376" s="182"/>
      <c r="GI376" s="182"/>
    </row>
    <row r="377" spans="1:191" s="183" customFormat="1" x14ac:dyDescent="0.2">
      <c r="A377" s="210" t="s">
        <v>38682</v>
      </c>
      <c r="B377" s="210" t="s">
        <v>19225</v>
      </c>
      <c r="C377" s="224" t="s">
        <v>22481</v>
      </c>
      <c r="D377" s="211" t="s">
        <v>16</v>
      </c>
      <c r="E377" s="211">
        <v>180</v>
      </c>
      <c r="F377" s="211"/>
      <c r="G377" s="211">
        <v>0.3</v>
      </c>
      <c r="H377" s="212"/>
      <c r="I377" s="213"/>
      <c r="J377" s="272">
        <v>38.32</v>
      </c>
      <c r="K377" s="112">
        <f t="shared" si="26"/>
        <v>6897.6</v>
      </c>
      <c r="L377" s="273">
        <f>BDI!$E$17</f>
        <v>0.11260000000000001</v>
      </c>
      <c r="M377" s="213"/>
      <c r="N377" s="213"/>
      <c r="O377" s="114">
        <f t="shared" si="27"/>
        <v>42.63</v>
      </c>
      <c r="P377" s="113">
        <f t="shared" si="28"/>
        <v>2302.02</v>
      </c>
      <c r="Q377" s="209"/>
      <c r="R377" s="203"/>
      <c r="S377" s="182"/>
      <c r="T377" s="182"/>
      <c r="U377" s="182"/>
      <c r="V377" s="182"/>
      <c r="W377" s="182"/>
      <c r="X377" s="182"/>
      <c r="Y377" s="182"/>
      <c r="Z377" s="182"/>
      <c r="AA377" s="182"/>
      <c r="AB377" s="182"/>
      <c r="AC377" s="182"/>
      <c r="AD377" s="182"/>
      <c r="AE377" s="182"/>
      <c r="AF377" s="182"/>
      <c r="AG377" s="182"/>
      <c r="AH377" s="182"/>
      <c r="AI377" s="182"/>
      <c r="AJ377" s="182"/>
      <c r="AK377" s="182"/>
      <c r="AL377" s="182"/>
      <c r="AM377" s="182"/>
      <c r="AN377" s="182"/>
      <c r="AO377" s="182"/>
      <c r="AP377" s="182"/>
      <c r="AQ377" s="182"/>
      <c r="AR377" s="182"/>
      <c r="AS377" s="182"/>
      <c r="AT377" s="182"/>
      <c r="AU377" s="182"/>
      <c r="AV377" s="182"/>
      <c r="AW377" s="182"/>
      <c r="AX377" s="182"/>
      <c r="AY377" s="182"/>
      <c r="AZ377" s="182"/>
      <c r="BA377" s="182"/>
      <c r="BB377" s="182"/>
      <c r="BC377" s="182"/>
      <c r="BD377" s="182"/>
      <c r="BE377" s="182"/>
      <c r="BF377" s="182"/>
      <c r="BG377" s="182"/>
      <c r="BH377" s="182"/>
      <c r="BI377" s="182"/>
      <c r="BJ377" s="182"/>
      <c r="BK377" s="182"/>
      <c r="BL377" s="182"/>
      <c r="BM377" s="182"/>
      <c r="BN377" s="182"/>
      <c r="BO377" s="182"/>
      <c r="BP377" s="182"/>
      <c r="BQ377" s="182"/>
      <c r="BR377" s="182"/>
      <c r="BS377" s="182"/>
      <c r="BT377" s="182"/>
      <c r="BU377" s="182"/>
      <c r="BV377" s="182"/>
      <c r="BW377" s="182"/>
      <c r="BX377" s="182"/>
      <c r="BY377" s="182"/>
      <c r="BZ377" s="182"/>
      <c r="CA377" s="182"/>
      <c r="CB377" s="182"/>
      <c r="CC377" s="182"/>
      <c r="CD377" s="182"/>
      <c r="CE377" s="182"/>
      <c r="CF377" s="182"/>
      <c r="CG377" s="182"/>
      <c r="CH377" s="182"/>
      <c r="CI377" s="182"/>
      <c r="CJ377" s="182"/>
      <c r="CK377" s="182"/>
      <c r="CL377" s="182"/>
      <c r="CM377" s="182"/>
      <c r="CN377" s="182"/>
      <c r="CO377" s="182"/>
      <c r="CP377" s="182"/>
      <c r="CQ377" s="182"/>
      <c r="CR377" s="182"/>
      <c r="CS377" s="182"/>
      <c r="CT377" s="182"/>
      <c r="CU377" s="182"/>
      <c r="CV377" s="182"/>
      <c r="CW377" s="182"/>
      <c r="CX377" s="182"/>
      <c r="CY377" s="182"/>
      <c r="CZ377" s="182"/>
      <c r="DA377" s="182"/>
      <c r="DB377" s="182"/>
      <c r="DC377" s="182"/>
      <c r="DD377" s="182"/>
      <c r="DE377" s="182"/>
      <c r="DF377" s="182"/>
      <c r="DG377" s="182"/>
      <c r="DH377" s="182"/>
      <c r="DI377" s="182"/>
      <c r="DJ377" s="182"/>
      <c r="DK377" s="182"/>
      <c r="DL377" s="182"/>
      <c r="DM377" s="182"/>
      <c r="DN377" s="182"/>
      <c r="DO377" s="182"/>
      <c r="DP377" s="182"/>
      <c r="DQ377" s="182"/>
      <c r="DR377" s="182"/>
      <c r="DS377" s="182"/>
      <c r="DT377" s="182"/>
      <c r="DU377" s="182"/>
      <c r="DV377" s="182"/>
      <c r="DW377" s="182"/>
      <c r="DX377" s="182"/>
      <c r="DY377" s="182"/>
      <c r="DZ377" s="182"/>
      <c r="EA377" s="182"/>
      <c r="EB377" s="182"/>
      <c r="EC377" s="182"/>
      <c r="ED377" s="182"/>
      <c r="EE377" s="182"/>
      <c r="EF377" s="182"/>
      <c r="EG377" s="182"/>
      <c r="EH377" s="182"/>
      <c r="EI377" s="182"/>
      <c r="EJ377" s="182"/>
      <c r="EK377" s="182"/>
      <c r="EL377" s="182"/>
      <c r="EM377" s="182"/>
      <c r="EN377" s="182"/>
      <c r="EO377" s="182"/>
      <c r="EP377" s="182"/>
      <c r="EQ377" s="182"/>
      <c r="ER377" s="182"/>
      <c r="ES377" s="182"/>
      <c r="ET377" s="182"/>
      <c r="EU377" s="182"/>
      <c r="EV377" s="182"/>
      <c r="EW377" s="182"/>
      <c r="EX377" s="182"/>
      <c r="EY377" s="182"/>
      <c r="EZ377" s="182"/>
      <c r="FA377" s="182"/>
      <c r="FB377" s="182"/>
      <c r="FC377" s="182"/>
      <c r="FD377" s="182"/>
      <c r="FE377" s="182"/>
      <c r="FF377" s="182"/>
      <c r="FG377" s="182"/>
      <c r="FH377" s="182"/>
      <c r="FI377" s="182"/>
      <c r="FJ377" s="182"/>
      <c r="FK377" s="182"/>
      <c r="FL377" s="182"/>
      <c r="FM377" s="182"/>
      <c r="FN377" s="182"/>
      <c r="FO377" s="182"/>
      <c r="FP377" s="182"/>
      <c r="FQ377" s="182"/>
      <c r="FR377" s="182"/>
      <c r="FS377" s="182"/>
      <c r="FT377" s="182"/>
      <c r="FU377" s="182"/>
      <c r="FV377" s="182"/>
      <c r="FW377" s="182"/>
      <c r="FX377" s="182"/>
      <c r="FY377" s="182"/>
      <c r="FZ377" s="182"/>
      <c r="GA377" s="182"/>
      <c r="GB377" s="182"/>
      <c r="GC377" s="182"/>
      <c r="GD377" s="182"/>
      <c r="GE377" s="182"/>
      <c r="GF377" s="182"/>
      <c r="GG377" s="182"/>
      <c r="GH377" s="182"/>
      <c r="GI377" s="182"/>
    </row>
    <row r="378" spans="1:191" s="183" customFormat="1" x14ac:dyDescent="0.2">
      <c r="A378" s="210" t="s">
        <v>38683</v>
      </c>
      <c r="B378" s="210" t="s">
        <v>19226</v>
      </c>
      <c r="C378" s="224" t="s">
        <v>22482</v>
      </c>
      <c r="D378" s="211" t="s">
        <v>16</v>
      </c>
      <c r="E378" s="211">
        <v>90</v>
      </c>
      <c r="F378" s="211"/>
      <c r="G378" s="211">
        <v>0.3</v>
      </c>
      <c r="H378" s="212"/>
      <c r="I378" s="213"/>
      <c r="J378" s="272">
        <v>65.44</v>
      </c>
      <c r="K378" s="112">
        <f t="shared" si="26"/>
        <v>5889.6</v>
      </c>
      <c r="L378" s="273">
        <f>BDI!$E$17</f>
        <v>0.11260000000000001</v>
      </c>
      <c r="M378" s="213"/>
      <c r="N378" s="213"/>
      <c r="O378" s="114">
        <f t="shared" si="27"/>
        <v>72.81</v>
      </c>
      <c r="P378" s="113">
        <f t="shared" si="28"/>
        <v>1965.87</v>
      </c>
      <c r="Q378" s="209"/>
      <c r="R378" s="203"/>
      <c r="S378" s="182"/>
      <c r="T378" s="182"/>
      <c r="U378" s="182"/>
      <c r="V378" s="182"/>
      <c r="W378" s="182"/>
      <c r="X378" s="182"/>
      <c r="Y378" s="182"/>
      <c r="Z378" s="182"/>
      <c r="AA378" s="182"/>
      <c r="AB378" s="182"/>
      <c r="AC378" s="182"/>
      <c r="AD378" s="182"/>
      <c r="AE378" s="182"/>
      <c r="AF378" s="182"/>
      <c r="AG378" s="182"/>
      <c r="AH378" s="182"/>
      <c r="AI378" s="182"/>
      <c r="AJ378" s="182"/>
      <c r="AK378" s="182"/>
      <c r="AL378" s="182"/>
      <c r="AM378" s="182"/>
      <c r="AN378" s="182"/>
      <c r="AO378" s="182"/>
      <c r="AP378" s="182"/>
      <c r="AQ378" s="182"/>
      <c r="AR378" s="182"/>
      <c r="AS378" s="182"/>
      <c r="AT378" s="182"/>
      <c r="AU378" s="182"/>
      <c r="AV378" s="182"/>
      <c r="AW378" s="182"/>
      <c r="AX378" s="182"/>
      <c r="AY378" s="182"/>
      <c r="AZ378" s="182"/>
      <c r="BA378" s="182"/>
      <c r="BB378" s="182"/>
      <c r="BC378" s="182"/>
      <c r="BD378" s="182"/>
      <c r="BE378" s="182"/>
      <c r="BF378" s="182"/>
      <c r="BG378" s="182"/>
      <c r="BH378" s="182"/>
      <c r="BI378" s="182"/>
      <c r="BJ378" s="182"/>
      <c r="BK378" s="182"/>
      <c r="BL378" s="182"/>
      <c r="BM378" s="182"/>
      <c r="BN378" s="182"/>
      <c r="BO378" s="182"/>
      <c r="BP378" s="182"/>
      <c r="BQ378" s="182"/>
      <c r="BR378" s="182"/>
      <c r="BS378" s="182"/>
      <c r="BT378" s="182"/>
      <c r="BU378" s="182"/>
      <c r="BV378" s="182"/>
      <c r="BW378" s="182"/>
      <c r="BX378" s="182"/>
      <c r="BY378" s="182"/>
      <c r="BZ378" s="182"/>
      <c r="CA378" s="182"/>
      <c r="CB378" s="182"/>
      <c r="CC378" s="182"/>
      <c r="CD378" s="182"/>
      <c r="CE378" s="182"/>
      <c r="CF378" s="182"/>
      <c r="CG378" s="182"/>
      <c r="CH378" s="182"/>
      <c r="CI378" s="182"/>
      <c r="CJ378" s="182"/>
      <c r="CK378" s="182"/>
      <c r="CL378" s="182"/>
      <c r="CM378" s="182"/>
      <c r="CN378" s="182"/>
      <c r="CO378" s="182"/>
      <c r="CP378" s="182"/>
      <c r="CQ378" s="182"/>
      <c r="CR378" s="182"/>
      <c r="CS378" s="182"/>
      <c r="CT378" s="182"/>
      <c r="CU378" s="182"/>
      <c r="CV378" s="182"/>
      <c r="CW378" s="182"/>
      <c r="CX378" s="182"/>
      <c r="CY378" s="182"/>
      <c r="CZ378" s="182"/>
      <c r="DA378" s="182"/>
      <c r="DB378" s="182"/>
      <c r="DC378" s="182"/>
      <c r="DD378" s="182"/>
      <c r="DE378" s="182"/>
      <c r="DF378" s="182"/>
      <c r="DG378" s="182"/>
      <c r="DH378" s="182"/>
      <c r="DI378" s="182"/>
      <c r="DJ378" s="182"/>
      <c r="DK378" s="182"/>
      <c r="DL378" s="182"/>
      <c r="DM378" s="182"/>
      <c r="DN378" s="182"/>
      <c r="DO378" s="182"/>
      <c r="DP378" s="182"/>
      <c r="DQ378" s="182"/>
      <c r="DR378" s="182"/>
      <c r="DS378" s="182"/>
      <c r="DT378" s="182"/>
      <c r="DU378" s="182"/>
      <c r="DV378" s="182"/>
      <c r="DW378" s="182"/>
      <c r="DX378" s="182"/>
      <c r="DY378" s="182"/>
      <c r="DZ378" s="182"/>
      <c r="EA378" s="182"/>
      <c r="EB378" s="182"/>
      <c r="EC378" s="182"/>
      <c r="ED378" s="182"/>
      <c r="EE378" s="182"/>
      <c r="EF378" s="182"/>
      <c r="EG378" s="182"/>
      <c r="EH378" s="182"/>
      <c r="EI378" s="182"/>
      <c r="EJ378" s="182"/>
      <c r="EK378" s="182"/>
      <c r="EL378" s="182"/>
      <c r="EM378" s="182"/>
      <c r="EN378" s="182"/>
      <c r="EO378" s="182"/>
      <c r="EP378" s="182"/>
      <c r="EQ378" s="182"/>
      <c r="ER378" s="182"/>
      <c r="ES378" s="182"/>
      <c r="ET378" s="182"/>
      <c r="EU378" s="182"/>
      <c r="EV378" s="182"/>
      <c r="EW378" s="182"/>
      <c r="EX378" s="182"/>
      <c r="EY378" s="182"/>
      <c r="EZ378" s="182"/>
      <c r="FA378" s="182"/>
      <c r="FB378" s="182"/>
      <c r="FC378" s="182"/>
      <c r="FD378" s="182"/>
      <c r="FE378" s="182"/>
      <c r="FF378" s="182"/>
      <c r="FG378" s="182"/>
      <c r="FH378" s="182"/>
      <c r="FI378" s="182"/>
      <c r="FJ378" s="182"/>
      <c r="FK378" s="182"/>
      <c r="FL378" s="182"/>
      <c r="FM378" s="182"/>
      <c r="FN378" s="182"/>
      <c r="FO378" s="182"/>
      <c r="FP378" s="182"/>
      <c r="FQ378" s="182"/>
      <c r="FR378" s="182"/>
      <c r="FS378" s="182"/>
      <c r="FT378" s="182"/>
      <c r="FU378" s="182"/>
      <c r="FV378" s="182"/>
      <c r="FW378" s="182"/>
      <c r="FX378" s="182"/>
      <c r="FY378" s="182"/>
      <c r="FZ378" s="182"/>
      <c r="GA378" s="182"/>
      <c r="GB378" s="182"/>
      <c r="GC378" s="182"/>
      <c r="GD378" s="182"/>
      <c r="GE378" s="182"/>
      <c r="GF378" s="182"/>
      <c r="GG378" s="182"/>
      <c r="GH378" s="182"/>
      <c r="GI378" s="182"/>
    </row>
    <row r="379" spans="1:191" s="183" customFormat="1" x14ac:dyDescent="0.2">
      <c r="A379" s="210" t="s">
        <v>38684</v>
      </c>
      <c r="B379" s="210" t="s">
        <v>19227</v>
      </c>
      <c r="C379" s="224" t="s">
        <v>22483</v>
      </c>
      <c r="D379" s="211" t="s">
        <v>16</v>
      </c>
      <c r="E379" s="211">
        <v>90</v>
      </c>
      <c r="F379" s="211"/>
      <c r="G379" s="211">
        <v>0.3</v>
      </c>
      <c r="H379" s="212"/>
      <c r="I379" s="213"/>
      <c r="J379" s="272">
        <v>21.36</v>
      </c>
      <c r="K379" s="112">
        <f t="shared" si="26"/>
        <v>1922.4</v>
      </c>
      <c r="L379" s="273">
        <f>BDI!$E$17</f>
        <v>0.11260000000000001</v>
      </c>
      <c r="M379" s="213"/>
      <c r="N379" s="213"/>
      <c r="O379" s="114">
        <f t="shared" si="27"/>
        <v>23.77</v>
      </c>
      <c r="P379" s="113">
        <f t="shared" si="28"/>
        <v>641.79</v>
      </c>
      <c r="Q379" s="209"/>
      <c r="R379" s="203"/>
      <c r="S379" s="182"/>
      <c r="T379" s="182"/>
      <c r="U379" s="182"/>
      <c r="V379" s="182"/>
      <c r="W379" s="182"/>
      <c r="X379" s="182"/>
      <c r="Y379" s="182"/>
      <c r="Z379" s="182"/>
      <c r="AA379" s="182"/>
      <c r="AB379" s="182"/>
      <c r="AC379" s="182"/>
      <c r="AD379" s="182"/>
      <c r="AE379" s="182"/>
      <c r="AF379" s="182"/>
      <c r="AG379" s="182"/>
      <c r="AH379" s="182"/>
      <c r="AI379" s="182"/>
      <c r="AJ379" s="182"/>
      <c r="AK379" s="182"/>
      <c r="AL379" s="182"/>
      <c r="AM379" s="182"/>
      <c r="AN379" s="182"/>
      <c r="AO379" s="182"/>
      <c r="AP379" s="182"/>
      <c r="AQ379" s="182"/>
      <c r="AR379" s="182"/>
      <c r="AS379" s="182"/>
      <c r="AT379" s="182"/>
      <c r="AU379" s="182"/>
      <c r="AV379" s="182"/>
      <c r="AW379" s="182"/>
      <c r="AX379" s="182"/>
      <c r="AY379" s="182"/>
      <c r="AZ379" s="182"/>
      <c r="BA379" s="182"/>
      <c r="BB379" s="182"/>
      <c r="BC379" s="182"/>
      <c r="BD379" s="182"/>
      <c r="BE379" s="182"/>
      <c r="BF379" s="182"/>
      <c r="BG379" s="182"/>
      <c r="BH379" s="182"/>
      <c r="BI379" s="182"/>
      <c r="BJ379" s="182"/>
      <c r="BK379" s="182"/>
      <c r="BL379" s="182"/>
      <c r="BM379" s="182"/>
      <c r="BN379" s="182"/>
      <c r="BO379" s="182"/>
      <c r="BP379" s="182"/>
      <c r="BQ379" s="182"/>
      <c r="BR379" s="182"/>
      <c r="BS379" s="182"/>
      <c r="BT379" s="182"/>
      <c r="BU379" s="182"/>
      <c r="BV379" s="182"/>
      <c r="BW379" s="182"/>
      <c r="BX379" s="182"/>
      <c r="BY379" s="182"/>
      <c r="BZ379" s="182"/>
      <c r="CA379" s="182"/>
      <c r="CB379" s="182"/>
      <c r="CC379" s="182"/>
      <c r="CD379" s="182"/>
      <c r="CE379" s="182"/>
      <c r="CF379" s="182"/>
      <c r="CG379" s="182"/>
      <c r="CH379" s="182"/>
      <c r="CI379" s="182"/>
      <c r="CJ379" s="182"/>
      <c r="CK379" s="182"/>
      <c r="CL379" s="182"/>
      <c r="CM379" s="182"/>
      <c r="CN379" s="182"/>
      <c r="CO379" s="182"/>
      <c r="CP379" s="182"/>
      <c r="CQ379" s="182"/>
      <c r="CR379" s="182"/>
      <c r="CS379" s="182"/>
      <c r="CT379" s="182"/>
      <c r="CU379" s="182"/>
      <c r="CV379" s="182"/>
      <c r="CW379" s="182"/>
      <c r="CX379" s="182"/>
      <c r="CY379" s="182"/>
      <c r="CZ379" s="182"/>
      <c r="DA379" s="182"/>
      <c r="DB379" s="182"/>
      <c r="DC379" s="182"/>
      <c r="DD379" s="182"/>
      <c r="DE379" s="182"/>
      <c r="DF379" s="182"/>
      <c r="DG379" s="182"/>
      <c r="DH379" s="182"/>
      <c r="DI379" s="182"/>
      <c r="DJ379" s="182"/>
      <c r="DK379" s="182"/>
      <c r="DL379" s="182"/>
      <c r="DM379" s="182"/>
      <c r="DN379" s="182"/>
      <c r="DO379" s="182"/>
      <c r="DP379" s="182"/>
      <c r="DQ379" s="182"/>
      <c r="DR379" s="182"/>
      <c r="DS379" s="182"/>
      <c r="DT379" s="182"/>
      <c r="DU379" s="182"/>
      <c r="DV379" s="182"/>
      <c r="DW379" s="182"/>
      <c r="DX379" s="182"/>
      <c r="DY379" s="182"/>
      <c r="DZ379" s="182"/>
      <c r="EA379" s="182"/>
      <c r="EB379" s="182"/>
      <c r="EC379" s="182"/>
      <c r="ED379" s="182"/>
      <c r="EE379" s="182"/>
      <c r="EF379" s="182"/>
      <c r="EG379" s="182"/>
      <c r="EH379" s="182"/>
      <c r="EI379" s="182"/>
      <c r="EJ379" s="182"/>
      <c r="EK379" s="182"/>
      <c r="EL379" s="182"/>
      <c r="EM379" s="182"/>
      <c r="EN379" s="182"/>
      <c r="EO379" s="182"/>
      <c r="EP379" s="182"/>
      <c r="EQ379" s="182"/>
      <c r="ER379" s="182"/>
      <c r="ES379" s="182"/>
      <c r="ET379" s="182"/>
      <c r="EU379" s="182"/>
      <c r="EV379" s="182"/>
      <c r="EW379" s="182"/>
      <c r="EX379" s="182"/>
      <c r="EY379" s="182"/>
      <c r="EZ379" s="182"/>
      <c r="FA379" s="182"/>
      <c r="FB379" s="182"/>
      <c r="FC379" s="182"/>
      <c r="FD379" s="182"/>
      <c r="FE379" s="182"/>
      <c r="FF379" s="182"/>
      <c r="FG379" s="182"/>
      <c r="FH379" s="182"/>
      <c r="FI379" s="182"/>
      <c r="FJ379" s="182"/>
      <c r="FK379" s="182"/>
      <c r="FL379" s="182"/>
      <c r="FM379" s="182"/>
      <c r="FN379" s="182"/>
      <c r="FO379" s="182"/>
      <c r="FP379" s="182"/>
      <c r="FQ379" s="182"/>
      <c r="FR379" s="182"/>
      <c r="FS379" s="182"/>
      <c r="FT379" s="182"/>
      <c r="FU379" s="182"/>
      <c r="FV379" s="182"/>
      <c r="FW379" s="182"/>
      <c r="FX379" s="182"/>
      <c r="FY379" s="182"/>
      <c r="FZ379" s="182"/>
      <c r="GA379" s="182"/>
      <c r="GB379" s="182"/>
      <c r="GC379" s="182"/>
      <c r="GD379" s="182"/>
      <c r="GE379" s="182"/>
      <c r="GF379" s="182"/>
      <c r="GG379" s="182"/>
      <c r="GH379" s="182"/>
      <c r="GI379" s="182"/>
    </row>
    <row r="380" spans="1:191" s="183" customFormat="1" x14ac:dyDescent="0.2">
      <c r="A380" s="210" t="s">
        <v>38685</v>
      </c>
      <c r="B380" s="210" t="s">
        <v>19228</v>
      </c>
      <c r="C380" s="224" t="s">
        <v>22484</v>
      </c>
      <c r="D380" s="211" t="s">
        <v>16</v>
      </c>
      <c r="E380" s="211">
        <v>90</v>
      </c>
      <c r="F380" s="211"/>
      <c r="G380" s="211">
        <v>0.3</v>
      </c>
      <c r="H380" s="212"/>
      <c r="I380" s="213"/>
      <c r="J380" s="272">
        <v>21.67</v>
      </c>
      <c r="K380" s="112">
        <f t="shared" si="26"/>
        <v>1950.3</v>
      </c>
      <c r="L380" s="273">
        <f>BDI!$E$17</f>
        <v>0.11260000000000001</v>
      </c>
      <c r="M380" s="213"/>
      <c r="N380" s="213"/>
      <c r="O380" s="114">
        <f t="shared" si="27"/>
        <v>24.11</v>
      </c>
      <c r="P380" s="113">
        <f t="shared" si="28"/>
        <v>650.97</v>
      </c>
      <c r="Q380" s="209"/>
      <c r="R380" s="203"/>
      <c r="S380" s="182"/>
      <c r="T380" s="182"/>
      <c r="U380" s="182"/>
      <c r="V380" s="182"/>
      <c r="W380" s="182"/>
      <c r="X380" s="182"/>
      <c r="Y380" s="182"/>
      <c r="Z380" s="182"/>
      <c r="AA380" s="182"/>
      <c r="AB380" s="182"/>
      <c r="AC380" s="182"/>
      <c r="AD380" s="182"/>
      <c r="AE380" s="182"/>
      <c r="AF380" s="182"/>
      <c r="AG380" s="182"/>
      <c r="AH380" s="182"/>
      <c r="AI380" s="182"/>
      <c r="AJ380" s="182"/>
      <c r="AK380" s="182"/>
      <c r="AL380" s="182"/>
      <c r="AM380" s="182"/>
      <c r="AN380" s="182"/>
      <c r="AO380" s="182"/>
      <c r="AP380" s="182"/>
      <c r="AQ380" s="182"/>
      <c r="AR380" s="182"/>
      <c r="AS380" s="182"/>
      <c r="AT380" s="182"/>
      <c r="AU380" s="182"/>
      <c r="AV380" s="182"/>
      <c r="AW380" s="182"/>
      <c r="AX380" s="182"/>
      <c r="AY380" s="182"/>
      <c r="AZ380" s="182"/>
      <c r="BA380" s="182"/>
      <c r="BB380" s="182"/>
      <c r="BC380" s="182"/>
      <c r="BD380" s="182"/>
      <c r="BE380" s="182"/>
      <c r="BF380" s="182"/>
      <c r="BG380" s="182"/>
      <c r="BH380" s="182"/>
      <c r="BI380" s="182"/>
      <c r="BJ380" s="182"/>
      <c r="BK380" s="182"/>
      <c r="BL380" s="182"/>
      <c r="BM380" s="182"/>
      <c r="BN380" s="182"/>
      <c r="BO380" s="182"/>
      <c r="BP380" s="182"/>
      <c r="BQ380" s="182"/>
      <c r="BR380" s="182"/>
      <c r="BS380" s="182"/>
      <c r="BT380" s="182"/>
      <c r="BU380" s="182"/>
      <c r="BV380" s="182"/>
      <c r="BW380" s="182"/>
      <c r="BX380" s="182"/>
      <c r="BY380" s="182"/>
      <c r="BZ380" s="182"/>
      <c r="CA380" s="182"/>
      <c r="CB380" s="182"/>
      <c r="CC380" s="182"/>
      <c r="CD380" s="182"/>
      <c r="CE380" s="182"/>
      <c r="CF380" s="182"/>
      <c r="CG380" s="182"/>
      <c r="CH380" s="182"/>
      <c r="CI380" s="182"/>
      <c r="CJ380" s="182"/>
      <c r="CK380" s="182"/>
      <c r="CL380" s="182"/>
      <c r="CM380" s="182"/>
      <c r="CN380" s="182"/>
      <c r="CO380" s="182"/>
      <c r="CP380" s="182"/>
      <c r="CQ380" s="182"/>
      <c r="CR380" s="182"/>
      <c r="CS380" s="182"/>
      <c r="CT380" s="182"/>
      <c r="CU380" s="182"/>
      <c r="CV380" s="182"/>
      <c r="CW380" s="182"/>
      <c r="CX380" s="182"/>
      <c r="CY380" s="182"/>
      <c r="CZ380" s="182"/>
      <c r="DA380" s="182"/>
      <c r="DB380" s="182"/>
      <c r="DC380" s="182"/>
      <c r="DD380" s="182"/>
      <c r="DE380" s="182"/>
      <c r="DF380" s="182"/>
      <c r="DG380" s="182"/>
      <c r="DH380" s="182"/>
      <c r="DI380" s="182"/>
      <c r="DJ380" s="182"/>
      <c r="DK380" s="182"/>
      <c r="DL380" s="182"/>
      <c r="DM380" s="182"/>
      <c r="DN380" s="182"/>
      <c r="DO380" s="182"/>
      <c r="DP380" s="182"/>
      <c r="DQ380" s="182"/>
      <c r="DR380" s="182"/>
      <c r="DS380" s="182"/>
      <c r="DT380" s="182"/>
      <c r="DU380" s="182"/>
      <c r="DV380" s="182"/>
      <c r="DW380" s="182"/>
      <c r="DX380" s="182"/>
      <c r="DY380" s="182"/>
      <c r="DZ380" s="182"/>
      <c r="EA380" s="182"/>
      <c r="EB380" s="182"/>
      <c r="EC380" s="182"/>
      <c r="ED380" s="182"/>
      <c r="EE380" s="182"/>
      <c r="EF380" s="182"/>
      <c r="EG380" s="182"/>
      <c r="EH380" s="182"/>
      <c r="EI380" s="182"/>
      <c r="EJ380" s="182"/>
      <c r="EK380" s="182"/>
      <c r="EL380" s="182"/>
      <c r="EM380" s="182"/>
      <c r="EN380" s="182"/>
      <c r="EO380" s="182"/>
      <c r="EP380" s="182"/>
      <c r="EQ380" s="182"/>
      <c r="ER380" s="182"/>
      <c r="ES380" s="182"/>
      <c r="ET380" s="182"/>
      <c r="EU380" s="182"/>
      <c r="EV380" s="182"/>
      <c r="EW380" s="182"/>
      <c r="EX380" s="182"/>
      <c r="EY380" s="182"/>
      <c r="EZ380" s="182"/>
      <c r="FA380" s="182"/>
      <c r="FB380" s="182"/>
      <c r="FC380" s="182"/>
      <c r="FD380" s="182"/>
      <c r="FE380" s="182"/>
      <c r="FF380" s="182"/>
      <c r="FG380" s="182"/>
      <c r="FH380" s="182"/>
      <c r="FI380" s="182"/>
      <c r="FJ380" s="182"/>
      <c r="FK380" s="182"/>
      <c r="FL380" s="182"/>
      <c r="FM380" s="182"/>
      <c r="FN380" s="182"/>
      <c r="FO380" s="182"/>
      <c r="FP380" s="182"/>
      <c r="FQ380" s="182"/>
      <c r="FR380" s="182"/>
      <c r="FS380" s="182"/>
      <c r="FT380" s="182"/>
      <c r="FU380" s="182"/>
      <c r="FV380" s="182"/>
      <c r="FW380" s="182"/>
      <c r="FX380" s="182"/>
      <c r="FY380" s="182"/>
      <c r="FZ380" s="182"/>
      <c r="GA380" s="182"/>
      <c r="GB380" s="182"/>
      <c r="GC380" s="182"/>
      <c r="GD380" s="182"/>
      <c r="GE380" s="182"/>
      <c r="GF380" s="182"/>
      <c r="GG380" s="182"/>
      <c r="GH380" s="182"/>
      <c r="GI380" s="182"/>
    </row>
    <row r="381" spans="1:191" s="183" customFormat="1" x14ac:dyDescent="0.2">
      <c r="A381" s="210" t="s">
        <v>38686</v>
      </c>
      <c r="B381" s="210" t="s">
        <v>19229</v>
      </c>
      <c r="C381" s="224" t="s">
        <v>22485</v>
      </c>
      <c r="D381" s="211" t="s">
        <v>16</v>
      </c>
      <c r="E381" s="211">
        <v>45</v>
      </c>
      <c r="F381" s="211"/>
      <c r="G381" s="211">
        <v>0.3</v>
      </c>
      <c r="H381" s="212"/>
      <c r="I381" s="213"/>
      <c r="J381" s="272">
        <v>18.13</v>
      </c>
      <c r="K381" s="112">
        <f t="shared" si="26"/>
        <v>815.85</v>
      </c>
      <c r="L381" s="273">
        <f>BDI!$E$17</f>
        <v>0.11260000000000001</v>
      </c>
      <c r="M381" s="213"/>
      <c r="N381" s="213"/>
      <c r="O381" s="114">
        <f t="shared" si="27"/>
        <v>20.170000000000002</v>
      </c>
      <c r="P381" s="113">
        <f t="shared" si="28"/>
        <v>272.3</v>
      </c>
      <c r="Q381" s="209"/>
      <c r="R381" s="203"/>
      <c r="S381" s="182"/>
      <c r="T381" s="182"/>
      <c r="U381" s="182"/>
      <c r="V381" s="182"/>
      <c r="W381" s="182"/>
      <c r="X381" s="182"/>
      <c r="Y381" s="182"/>
      <c r="Z381" s="182"/>
      <c r="AA381" s="182"/>
      <c r="AB381" s="182"/>
      <c r="AC381" s="182"/>
      <c r="AD381" s="182"/>
      <c r="AE381" s="182"/>
      <c r="AF381" s="182"/>
      <c r="AG381" s="182"/>
      <c r="AH381" s="182"/>
      <c r="AI381" s="182"/>
      <c r="AJ381" s="182"/>
      <c r="AK381" s="182"/>
      <c r="AL381" s="182"/>
      <c r="AM381" s="182"/>
      <c r="AN381" s="182"/>
      <c r="AO381" s="182"/>
      <c r="AP381" s="182"/>
      <c r="AQ381" s="182"/>
      <c r="AR381" s="182"/>
      <c r="AS381" s="182"/>
      <c r="AT381" s="182"/>
      <c r="AU381" s="182"/>
      <c r="AV381" s="182"/>
      <c r="AW381" s="182"/>
      <c r="AX381" s="182"/>
      <c r="AY381" s="182"/>
      <c r="AZ381" s="182"/>
      <c r="BA381" s="182"/>
      <c r="BB381" s="182"/>
      <c r="BC381" s="182"/>
      <c r="BD381" s="182"/>
      <c r="BE381" s="182"/>
      <c r="BF381" s="182"/>
      <c r="BG381" s="182"/>
      <c r="BH381" s="182"/>
      <c r="BI381" s="182"/>
      <c r="BJ381" s="182"/>
      <c r="BK381" s="182"/>
      <c r="BL381" s="182"/>
      <c r="BM381" s="182"/>
      <c r="BN381" s="182"/>
      <c r="BO381" s="182"/>
      <c r="BP381" s="182"/>
      <c r="BQ381" s="182"/>
      <c r="BR381" s="182"/>
      <c r="BS381" s="182"/>
      <c r="BT381" s="182"/>
      <c r="BU381" s="182"/>
      <c r="BV381" s="182"/>
      <c r="BW381" s="182"/>
      <c r="BX381" s="182"/>
      <c r="BY381" s="182"/>
      <c r="BZ381" s="182"/>
      <c r="CA381" s="182"/>
      <c r="CB381" s="182"/>
      <c r="CC381" s="182"/>
      <c r="CD381" s="182"/>
      <c r="CE381" s="182"/>
      <c r="CF381" s="182"/>
      <c r="CG381" s="182"/>
      <c r="CH381" s="182"/>
      <c r="CI381" s="182"/>
      <c r="CJ381" s="182"/>
      <c r="CK381" s="182"/>
      <c r="CL381" s="182"/>
      <c r="CM381" s="182"/>
      <c r="CN381" s="182"/>
      <c r="CO381" s="182"/>
      <c r="CP381" s="182"/>
      <c r="CQ381" s="182"/>
      <c r="CR381" s="182"/>
      <c r="CS381" s="182"/>
      <c r="CT381" s="182"/>
      <c r="CU381" s="182"/>
      <c r="CV381" s="182"/>
      <c r="CW381" s="182"/>
      <c r="CX381" s="182"/>
      <c r="CY381" s="182"/>
      <c r="CZ381" s="182"/>
      <c r="DA381" s="182"/>
      <c r="DB381" s="182"/>
      <c r="DC381" s="182"/>
      <c r="DD381" s="182"/>
      <c r="DE381" s="182"/>
      <c r="DF381" s="182"/>
      <c r="DG381" s="182"/>
      <c r="DH381" s="182"/>
      <c r="DI381" s="182"/>
      <c r="DJ381" s="182"/>
      <c r="DK381" s="182"/>
      <c r="DL381" s="182"/>
      <c r="DM381" s="182"/>
      <c r="DN381" s="182"/>
      <c r="DO381" s="182"/>
      <c r="DP381" s="182"/>
      <c r="DQ381" s="182"/>
      <c r="DR381" s="182"/>
      <c r="DS381" s="182"/>
      <c r="DT381" s="182"/>
      <c r="DU381" s="182"/>
      <c r="DV381" s="182"/>
      <c r="DW381" s="182"/>
      <c r="DX381" s="182"/>
      <c r="DY381" s="182"/>
      <c r="DZ381" s="182"/>
      <c r="EA381" s="182"/>
      <c r="EB381" s="182"/>
      <c r="EC381" s="182"/>
      <c r="ED381" s="182"/>
      <c r="EE381" s="182"/>
      <c r="EF381" s="182"/>
      <c r="EG381" s="182"/>
      <c r="EH381" s="182"/>
      <c r="EI381" s="182"/>
      <c r="EJ381" s="182"/>
      <c r="EK381" s="182"/>
      <c r="EL381" s="182"/>
      <c r="EM381" s="182"/>
      <c r="EN381" s="182"/>
      <c r="EO381" s="182"/>
      <c r="EP381" s="182"/>
      <c r="EQ381" s="182"/>
      <c r="ER381" s="182"/>
      <c r="ES381" s="182"/>
      <c r="ET381" s="182"/>
      <c r="EU381" s="182"/>
      <c r="EV381" s="182"/>
      <c r="EW381" s="182"/>
      <c r="EX381" s="182"/>
      <c r="EY381" s="182"/>
      <c r="EZ381" s="182"/>
      <c r="FA381" s="182"/>
      <c r="FB381" s="182"/>
      <c r="FC381" s="182"/>
      <c r="FD381" s="182"/>
      <c r="FE381" s="182"/>
      <c r="FF381" s="182"/>
      <c r="FG381" s="182"/>
      <c r="FH381" s="182"/>
      <c r="FI381" s="182"/>
      <c r="FJ381" s="182"/>
      <c r="FK381" s="182"/>
      <c r="FL381" s="182"/>
      <c r="FM381" s="182"/>
      <c r="FN381" s="182"/>
      <c r="FO381" s="182"/>
      <c r="FP381" s="182"/>
      <c r="FQ381" s="182"/>
      <c r="FR381" s="182"/>
      <c r="FS381" s="182"/>
      <c r="FT381" s="182"/>
      <c r="FU381" s="182"/>
      <c r="FV381" s="182"/>
      <c r="FW381" s="182"/>
      <c r="FX381" s="182"/>
      <c r="FY381" s="182"/>
      <c r="FZ381" s="182"/>
      <c r="GA381" s="182"/>
      <c r="GB381" s="182"/>
      <c r="GC381" s="182"/>
      <c r="GD381" s="182"/>
      <c r="GE381" s="182"/>
      <c r="GF381" s="182"/>
      <c r="GG381" s="182"/>
      <c r="GH381" s="182"/>
      <c r="GI381" s="182"/>
    </row>
    <row r="382" spans="1:191" s="183" customFormat="1" x14ac:dyDescent="0.2">
      <c r="A382" s="210" t="s">
        <v>38687</v>
      </c>
      <c r="B382" s="210" t="s">
        <v>19230</v>
      </c>
      <c r="C382" s="224" t="s">
        <v>22486</v>
      </c>
      <c r="D382" s="211" t="s">
        <v>16</v>
      </c>
      <c r="E382" s="211">
        <v>45</v>
      </c>
      <c r="F382" s="211"/>
      <c r="G382" s="211">
        <v>0.3</v>
      </c>
      <c r="H382" s="212"/>
      <c r="I382" s="213"/>
      <c r="J382" s="272">
        <v>39.57</v>
      </c>
      <c r="K382" s="112">
        <f t="shared" si="26"/>
        <v>1780.65</v>
      </c>
      <c r="L382" s="273">
        <f>BDI!$E$17</f>
        <v>0.11260000000000001</v>
      </c>
      <c r="M382" s="213"/>
      <c r="N382" s="213"/>
      <c r="O382" s="114">
        <f t="shared" si="27"/>
        <v>44.03</v>
      </c>
      <c r="P382" s="113">
        <f t="shared" si="28"/>
        <v>594.41</v>
      </c>
      <c r="Q382" s="209"/>
      <c r="R382" s="203"/>
      <c r="S382" s="182"/>
      <c r="T382" s="182"/>
      <c r="U382" s="182"/>
      <c r="V382" s="182"/>
      <c r="W382" s="182"/>
      <c r="X382" s="182"/>
      <c r="Y382" s="182"/>
      <c r="Z382" s="182"/>
      <c r="AA382" s="182"/>
      <c r="AB382" s="182"/>
      <c r="AC382" s="182"/>
      <c r="AD382" s="182"/>
      <c r="AE382" s="182"/>
      <c r="AF382" s="182"/>
      <c r="AG382" s="182"/>
      <c r="AH382" s="182"/>
      <c r="AI382" s="182"/>
      <c r="AJ382" s="182"/>
      <c r="AK382" s="182"/>
      <c r="AL382" s="182"/>
      <c r="AM382" s="182"/>
      <c r="AN382" s="182"/>
      <c r="AO382" s="182"/>
      <c r="AP382" s="182"/>
      <c r="AQ382" s="182"/>
      <c r="AR382" s="182"/>
      <c r="AS382" s="182"/>
      <c r="AT382" s="182"/>
      <c r="AU382" s="182"/>
      <c r="AV382" s="182"/>
      <c r="AW382" s="182"/>
      <c r="AX382" s="182"/>
      <c r="AY382" s="182"/>
      <c r="AZ382" s="182"/>
      <c r="BA382" s="182"/>
      <c r="BB382" s="182"/>
      <c r="BC382" s="182"/>
      <c r="BD382" s="182"/>
      <c r="BE382" s="182"/>
      <c r="BF382" s="182"/>
      <c r="BG382" s="182"/>
      <c r="BH382" s="182"/>
      <c r="BI382" s="182"/>
      <c r="BJ382" s="182"/>
      <c r="BK382" s="182"/>
      <c r="BL382" s="182"/>
      <c r="BM382" s="182"/>
      <c r="BN382" s="182"/>
      <c r="BO382" s="182"/>
      <c r="BP382" s="182"/>
      <c r="BQ382" s="182"/>
      <c r="BR382" s="182"/>
      <c r="BS382" s="182"/>
      <c r="BT382" s="182"/>
      <c r="BU382" s="182"/>
      <c r="BV382" s="182"/>
      <c r="BW382" s="182"/>
      <c r="BX382" s="182"/>
      <c r="BY382" s="182"/>
      <c r="BZ382" s="182"/>
      <c r="CA382" s="182"/>
      <c r="CB382" s="182"/>
      <c r="CC382" s="182"/>
      <c r="CD382" s="182"/>
      <c r="CE382" s="182"/>
      <c r="CF382" s="182"/>
      <c r="CG382" s="182"/>
      <c r="CH382" s="182"/>
      <c r="CI382" s="182"/>
      <c r="CJ382" s="182"/>
      <c r="CK382" s="182"/>
      <c r="CL382" s="182"/>
      <c r="CM382" s="182"/>
      <c r="CN382" s="182"/>
      <c r="CO382" s="182"/>
      <c r="CP382" s="182"/>
      <c r="CQ382" s="182"/>
      <c r="CR382" s="182"/>
      <c r="CS382" s="182"/>
      <c r="CT382" s="182"/>
      <c r="CU382" s="182"/>
      <c r="CV382" s="182"/>
      <c r="CW382" s="182"/>
      <c r="CX382" s="182"/>
      <c r="CY382" s="182"/>
      <c r="CZ382" s="182"/>
      <c r="DA382" s="182"/>
      <c r="DB382" s="182"/>
      <c r="DC382" s="182"/>
      <c r="DD382" s="182"/>
      <c r="DE382" s="182"/>
      <c r="DF382" s="182"/>
      <c r="DG382" s="182"/>
      <c r="DH382" s="182"/>
      <c r="DI382" s="182"/>
      <c r="DJ382" s="182"/>
      <c r="DK382" s="182"/>
      <c r="DL382" s="182"/>
      <c r="DM382" s="182"/>
      <c r="DN382" s="182"/>
      <c r="DO382" s="182"/>
      <c r="DP382" s="182"/>
      <c r="DQ382" s="182"/>
      <c r="DR382" s="182"/>
      <c r="DS382" s="182"/>
      <c r="DT382" s="182"/>
      <c r="DU382" s="182"/>
      <c r="DV382" s="182"/>
      <c r="DW382" s="182"/>
      <c r="DX382" s="182"/>
      <c r="DY382" s="182"/>
      <c r="DZ382" s="182"/>
      <c r="EA382" s="182"/>
      <c r="EB382" s="182"/>
      <c r="EC382" s="182"/>
      <c r="ED382" s="182"/>
      <c r="EE382" s="182"/>
      <c r="EF382" s="182"/>
      <c r="EG382" s="182"/>
      <c r="EH382" s="182"/>
      <c r="EI382" s="182"/>
      <c r="EJ382" s="182"/>
      <c r="EK382" s="182"/>
      <c r="EL382" s="182"/>
      <c r="EM382" s="182"/>
      <c r="EN382" s="182"/>
      <c r="EO382" s="182"/>
      <c r="EP382" s="182"/>
      <c r="EQ382" s="182"/>
      <c r="ER382" s="182"/>
      <c r="ES382" s="182"/>
      <c r="ET382" s="182"/>
      <c r="EU382" s="182"/>
      <c r="EV382" s="182"/>
      <c r="EW382" s="182"/>
      <c r="EX382" s="182"/>
      <c r="EY382" s="182"/>
      <c r="EZ382" s="182"/>
      <c r="FA382" s="182"/>
      <c r="FB382" s="182"/>
      <c r="FC382" s="182"/>
      <c r="FD382" s="182"/>
      <c r="FE382" s="182"/>
      <c r="FF382" s="182"/>
      <c r="FG382" s="182"/>
      <c r="FH382" s="182"/>
      <c r="FI382" s="182"/>
      <c r="FJ382" s="182"/>
      <c r="FK382" s="182"/>
      <c r="FL382" s="182"/>
      <c r="FM382" s="182"/>
      <c r="FN382" s="182"/>
      <c r="FO382" s="182"/>
      <c r="FP382" s="182"/>
      <c r="FQ382" s="182"/>
      <c r="FR382" s="182"/>
      <c r="FS382" s="182"/>
      <c r="FT382" s="182"/>
      <c r="FU382" s="182"/>
      <c r="FV382" s="182"/>
      <c r="FW382" s="182"/>
      <c r="FX382" s="182"/>
      <c r="FY382" s="182"/>
      <c r="FZ382" s="182"/>
      <c r="GA382" s="182"/>
      <c r="GB382" s="182"/>
      <c r="GC382" s="182"/>
      <c r="GD382" s="182"/>
      <c r="GE382" s="182"/>
      <c r="GF382" s="182"/>
      <c r="GG382" s="182"/>
      <c r="GH382" s="182"/>
      <c r="GI382" s="182"/>
    </row>
    <row r="383" spans="1:191" s="183" customFormat="1" x14ac:dyDescent="0.2">
      <c r="A383" s="210" t="s">
        <v>38688</v>
      </c>
      <c r="B383" s="210" t="s">
        <v>19231</v>
      </c>
      <c r="C383" s="224" t="s">
        <v>22487</v>
      </c>
      <c r="D383" s="211" t="s">
        <v>16</v>
      </c>
      <c r="E383" s="211">
        <v>45</v>
      </c>
      <c r="F383" s="211"/>
      <c r="G383" s="211">
        <v>0.3</v>
      </c>
      <c r="H383" s="212"/>
      <c r="I383" s="213"/>
      <c r="J383" s="272">
        <v>13.32</v>
      </c>
      <c r="K383" s="112">
        <f t="shared" si="26"/>
        <v>599.4</v>
      </c>
      <c r="L383" s="273">
        <f>BDI!$E$17</f>
        <v>0.11260000000000001</v>
      </c>
      <c r="M383" s="213"/>
      <c r="N383" s="213"/>
      <c r="O383" s="114">
        <f t="shared" si="27"/>
        <v>14.82</v>
      </c>
      <c r="P383" s="113">
        <f t="shared" si="28"/>
        <v>200.07</v>
      </c>
      <c r="Q383" s="209"/>
      <c r="R383" s="203"/>
      <c r="S383" s="182"/>
      <c r="T383" s="182"/>
      <c r="U383" s="182"/>
      <c r="V383" s="182"/>
      <c r="W383" s="182"/>
      <c r="X383" s="182"/>
      <c r="Y383" s="182"/>
      <c r="Z383" s="182"/>
      <c r="AA383" s="182"/>
      <c r="AB383" s="182"/>
      <c r="AC383" s="182"/>
      <c r="AD383" s="182"/>
      <c r="AE383" s="182"/>
      <c r="AF383" s="182"/>
      <c r="AG383" s="182"/>
      <c r="AH383" s="182"/>
      <c r="AI383" s="182"/>
      <c r="AJ383" s="182"/>
      <c r="AK383" s="182"/>
      <c r="AL383" s="182"/>
      <c r="AM383" s="182"/>
      <c r="AN383" s="182"/>
      <c r="AO383" s="182"/>
      <c r="AP383" s="182"/>
      <c r="AQ383" s="182"/>
      <c r="AR383" s="182"/>
      <c r="AS383" s="182"/>
      <c r="AT383" s="182"/>
      <c r="AU383" s="182"/>
      <c r="AV383" s="182"/>
      <c r="AW383" s="182"/>
      <c r="AX383" s="182"/>
      <c r="AY383" s="182"/>
      <c r="AZ383" s="182"/>
      <c r="BA383" s="182"/>
      <c r="BB383" s="182"/>
      <c r="BC383" s="182"/>
      <c r="BD383" s="182"/>
      <c r="BE383" s="182"/>
      <c r="BF383" s="182"/>
      <c r="BG383" s="182"/>
      <c r="BH383" s="182"/>
      <c r="BI383" s="182"/>
      <c r="BJ383" s="182"/>
      <c r="BK383" s="182"/>
      <c r="BL383" s="182"/>
      <c r="BM383" s="182"/>
      <c r="BN383" s="182"/>
      <c r="BO383" s="182"/>
      <c r="BP383" s="182"/>
      <c r="BQ383" s="182"/>
      <c r="BR383" s="182"/>
      <c r="BS383" s="182"/>
      <c r="BT383" s="182"/>
      <c r="BU383" s="182"/>
      <c r="BV383" s="182"/>
      <c r="BW383" s="182"/>
      <c r="BX383" s="182"/>
      <c r="BY383" s="182"/>
      <c r="BZ383" s="182"/>
      <c r="CA383" s="182"/>
      <c r="CB383" s="182"/>
      <c r="CC383" s="182"/>
      <c r="CD383" s="182"/>
      <c r="CE383" s="182"/>
      <c r="CF383" s="182"/>
      <c r="CG383" s="182"/>
      <c r="CH383" s="182"/>
      <c r="CI383" s="182"/>
      <c r="CJ383" s="182"/>
      <c r="CK383" s="182"/>
      <c r="CL383" s="182"/>
      <c r="CM383" s="182"/>
      <c r="CN383" s="182"/>
      <c r="CO383" s="182"/>
      <c r="CP383" s="182"/>
      <c r="CQ383" s="182"/>
      <c r="CR383" s="182"/>
      <c r="CS383" s="182"/>
      <c r="CT383" s="182"/>
      <c r="CU383" s="182"/>
      <c r="CV383" s="182"/>
      <c r="CW383" s="182"/>
      <c r="CX383" s="182"/>
      <c r="CY383" s="182"/>
      <c r="CZ383" s="182"/>
      <c r="DA383" s="182"/>
      <c r="DB383" s="182"/>
      <c r="DC383" s="182"/>
      <c r="DD383" s="182"/>
      <c r="DE383" s="182"/>
      <c r="DF383" s="182"/>
      <c r="DG383" s="182"/>
      <c r="DH383" s="182"/>
      <c r="DI383" s="182"/>
      <c r="DJ383" s="182"/>
      <c r="DK383" s="182"/>
      <c r="DL383" s="182"/>
      <c r="DM383" s="182"/>
      <c r="DN383" s="182"/>
      <c r="DO383" s="182"/>
      <c r="DP383" s="182"/>
      <c r="DQ383" s="182"/>
      <c r="DR383" s="182"/>
      <c r="DS383" s="182"/>
      <c r="DT383" s="182"/>
      <c r="DU383" s="182"/>
      <c r="DV383" s="182"/>
      <c r="DW383" s="182"/>
      <c r="DX383" s="182"/>
      <c r="DY383" s="182"/>
      <c r="DZ383" s="182"/>
      <c r="EA383" s="182"/>
      <c r="EB383" s="182"/>
      <c r="EC383" s="182"/>
      <c r="ED383" s="182"/>
      <c r="EE383" s="182"/>
      <c r="EF383" s="182"/>
      <c r="EG383" s="182"/>
      <c r="EH383" s="182"/>
      <c r="EI383" s="182"/>
      <c r="EJ383" s="182"/>
      <c r="EK383" s="182"/>
      <c r="EL383" s="182"/>
      <c r="EM383" s="182"/>
      <c r="EN383" s="182"/>
      <c r="EO383" s="182"/>
      <c r="EP383" s="182"/>
      <c r="EQ383" s="182"/>
      <c r="ER383" s="182"/>
      <c r="ES383" s="182"/>
      <c r="ET383" s="182"/>
      <c r="EU383" s="182"/>
      <c r="EV383" s="182"/>
      <c r="EW383" s="182"/>
      <c r="EX383" s="182"/>
      <c r="EY383" s="182"/>
      <c r="EZ383" s="182"/>
      <c r="FA383" s="182"/>
      <c r="FB383" s="182"/>
      <c r="FC383" s="182"/>
      <c r="FD383" s="182"/>
      <c r="FE383" s="182"/>
      <c r="FF383" s="182"/>
      <c r="FG383" s="182"/>
      <c r="FH383" s="182"/>
      <c r="FI383" s="182"/>
      <c r="FJ383" s="182"/>
      <c r="FK383" s="182"/>
      <c r="FL383" s="182"/>
      <c r="FM383" s="182"/>
      <c r="FN383" s="182"/>
      <c r="FO383" s="182"/>
      <c r="FP383" s="182"/>
      <c r="FQ383" s="182"/>
      <c r="FR383" s="182"/>
      <c r="FS383" s="182"/>
      <c r="FT383" s="182"/>
      <c r="FU383" s="182"/>
      <c r="FV383" s="182"/>
      <c r="FW383" s="182"/>
      <c r="FX383" s="182"/>
      <c r="FY383" s="182"/>
      <c r="FZ383" s="182"/>
      <c r="GA383" s="182"/>
      <c r="GB383" s="182"/>
      <c r="GC383" s="182"/>
      <c r="GD383" s="182"/>
      <c r="GE383" s="182"/>
      <c r="GF383" s="182"/>
      <c r="GG383" s="182"/>
      <c r="GH383" s="182"/>
      <c r="GI383" s="182"/>
    </row>
    <row r="384" spans="1:191" s="183" customFormat="1" x14ac:dyDescent="0.2">
      <c r="A384" s="210" t="s">
        <v>38689</v>
      </c>
      <c r="B384" s="210" t="s">
        <v>19232</v>
      </c>
      <c r="C384" s="224" t="s">
        <v>22488</v>
      </c>
      <c r="D384" s="211" t="s">
        <v>16</v>
      </c>
      <c r="E384" s="211">
        <v>15</v>
      </c>
      <c r="F384" s="211"/>
      <c r="G384" s="211">
        <v>0.3</v>
      </c>
      <c r="H384" s="212"/>
      <c r="I384" s="213"/>
      <c r="J384" s="272">
        <v>34.200000000000003</v>
      </c>
      <c r="K384" s="112">
        <f t="shared" si="26"/>
        <v>513</v>
      </c>
      <c r="L384" s="273">
        <f>BDI!$E$17</f>
        <v>0.11260000000000001</v>
      </c>
      <c r="M384" s="213"/>
      <c r="N384" s="213"/>
      <c r="O384" s="114">
        <f t="shared" si="27"/>
        <v>38.049999999999997</v>
      </c>
      <c r="P384" s="113">
        <f t="shared" si="28"/>
        <v>171.23</v>
      </c>
      <c r="Q384" s="209"/>
      <c r="R384" s="203"/>
      <c r="S384" s="182"/>
      <c r="T384" s="182"/>
      <c r="U384" s="182"/>
      <c r="V384" s="182"/>
      <c r="W384" s="182"/>
      <c r="X384" s="182"/>
      <c r="Y384" s="182"/>
      <c r="Z384" s="182"/>
      <c r="AA384" s="182"/>
      <c r="AB384" s="182"/>
      <c r="AC384" s="182"/>
      <c r="AD384" s="182"/>
      <c r="AE384" s="182"/>
      <c r="AF384" s="182"/>
      <c r="AG384" s="182"/>
      <c r="AH384" s="182"/>
      <c r="AI384" s="182"/>
      <c r="AJ384" s="182"/>
      <c r="AK384" s="182"/>
      <c r="AL384" s="182"/>
      <c r="AM384" s="182"/>
      <c r="AN384" s="182"/>
      <c r="AO384" s="182"/>
      <c r="AP384" s="182"/>
      <c r="AQ384" s="182"/>
      <c r="AR384" s="182"/>
      <c r="AS384" s="182"/>
      <c r="AT384" s="182"/>
      <c r="AU384" s="182"/>
      <c r="AV384" s="182"/>
      <c r="AW384" s="182"/>
      <c r="AX384" s="182"/>
      <c r="AY384" s="182"/>
      <c r="AZ384" s="182"/>
      <c r="BA384" s="182"/>
      <c r="BB384" s="182"/>
      <c r="BC384" s="182"/>
      <c r="BD384" s="182"/>
      <c r="BE384" s="182"/>
      <c r="BF384" s="182"/>
      <c r="BG384" s="182"/>
      <c r="BH384" s="182"/>
      <c r="BI384" s="182"/>
      <c r="BJ384" s="182"/>
      <c r="BK384" s="182"/>
      <c r="BL384" s="182"/>
      <c r="BM384" s="182"/>
      <c r="BN384" s="182"/>
      <c r="BO384" s="182"/>
      <c r="BP384" s="182"/>
      <c r="BQ384" s="182"/>
      <c r="BR384" s="182"/>
      <c r="BS384" s="182"/>
      <c r="BT384" s="182"/>
      <c r="BU384" s="182"/>
      <c r="BV384" s="182"/>
      <c r="BW384" s="182"/>
      <c r="BX384" s="182"/>
      <c r="BY384" s="182"/>
      <c r="BZ384" s="182"/>
      <c r="CA384" s="182"/>
      <c r="CB384" s="182"/>
      <c r="CC384" s="182"/>
      <c r="CD384" s="182"/>
      <c r="CE384" s="182"/>
      <c r="CF384" s="182"/>
      <c r="CG384" s="182"/>
      <c r="CH384" s="182"/>
      <c r="CI384" s="182"/>
      <c r="CJ384" s="182"/>
      <c r="CK384" s="182"/>
      <c r="CL384" s="182"/>
      <c r="CM384" s="182"/>
      <c r="CN384" s="182"/>
      <c r="CO384" s="182"/>
      <c r="CP384" s="182"/>
      <c r="CQ384" s="182"/>
      <c r="CR384" s="182"/>
      <c r="CS384" s="182"/>
      <c r="CT384" s="182"/>
      <c r="CU384" s="182"/>
      <c r="CV384" s="182"/>
      <c r="CW384" s="182"/>
      <c r="CX384" s="182"/>
      <c r="CY384" s="182"/>
      <c r="CZ384" s="182"/>
      <c r="DA384" s="182"/>
      <c r="DB384" s="182"/>
      <c r="DC384" s="182"/>
      <c r="DD384" s="182"/>
      <c r="DE384" s="182"/>
      <c r="DF384" s="182"/>
      <c r="DG384" s="182"/>
      <c r="DH384" s="182"/>
      <c r="DI384" s="182"/>
      <c r="DJ384" s="182"/>
      <c r="DK384" s="182"/>
      <c r="DL384" s="182"/>
      <c r="DM384" s="182"/>
      <c r="DN384" s="182"/>
      <c r="DO384" s="182"/>
      <c r="DP384" s="182"/>
      <c r="DQ384" s="182"/>
      <c r="DR384" s="182"/>
      <c r="DS384" s="182"/>
      <c r="DT384" s="182"/>
      <c r="DU384" s="182"/>
      <c r="DV384" s="182"/>
      <c r="DW384" s="182"/>
      <c r="DX384" s="182"/>
      <c r="DY384" s="182"/>
      <c r="DZ384" s="182"/>
      <c r="EA384" s="182"/>
      <c r="EB384" s="182"/>
      <c r="EC384" s="182"/>
      <c r="ED384" s="182"/>
      <c r="EE384" s="182"/>
      <c r="EF384" s="182"/>
      <c r="EG384" s="182"/>
      <c r="EH384" s="182"/>
      <c r="EI384" s="182"/>
      <c r="EJ384" s="182"/>
      <c r="EK384" s="182"/>
      <c r="EL384" s="182"/>
      <c r="EM384" s="182"/>
      <c r="EN384" s="182"/>
      <c r="EO384" s="182"/>
      <c r="EP384" s="182"/>
      <c r="EQ384" s="182"/>
      <c r="ER384" s="182"/>
      <c r="ES384" s="182"/>
      <c r="ET384" s="182"/>
      <c r="EU384" s="182"/>
      <c r="EV384" s="182"/>
      <c r="EW384" s="182"/>
      <c r="EX384" s="182"/>
      <c r="EY384" s="182"/>
      <c r="EZ384" s="182"/>
      <c r="FA384" s="182"/>
      <c r="FB384" s="182"/>
      <c r="FC384" s="182"/>
      <c r="FD384" s="182"/>
      <c r="FE384" s="182"/>
      <c r="FF384" s="182"/>
      <c r="FG384" s="182"/>
      <c r="FH384" s="182"/>
      <c r="FI384" s="182"/>
      <c r="FJ384" s="182"/>
      <c r="FK384" s="182"/>
      <c r="FL384" s="182"/>
      <c r="FM384" s="182"/>
      <c r="FN384" s="182"/>
      <c r="FO384" s="182"/>
      <c r="FP384" s="182"/>
      <c r="FQ384" s="182"/>
      <c r="FR384" s="182"/>
      <c r="FS384" s="182"/>
      <c r="FT384" s="182"/>
      <c r="FU384" s="182"/>
      <c r="FV384" s="182"/>
      <c r="FW384" s="182"/>
      <c r="FX384" s="182"/>
      <c r="FY384" s="182"/>
      <c r="FZ384" s="182"/>
      <c r="GA384" s="182"/>
      <c r="GB384" s="182"/>
      <c r="GC384" s="182"/>
      <c r="GD384" s="182"/>
      <c r="GE384" s="182"/>
      <c r="GF384" s="182"/>
      <c r="GG384" s="182"/>
      <c r="GH384" s="182"/>
      <c r="GI384" s="182"/>
    </row>
    <row r="385" spans="1:191" s="183" customFormat="1" x14ac:dyDescent="0.2">
      <c r="A385" s="210" t="s">
        <v>38690</v>
      </c>
      <c r="B385" s="210" t="s">
        <v>19233</v>
      </c>
      <c r="C385" s="224" t="s">
        <v>22489</v>
      </c>
      <c r="D385" s="211" t="s">
        <v>16</v>
      </c>
      <c r="E385" s="211">
        <v>45</v>
      </c>
      <c r="F385" s="211"/>
      <c r="G385" s="211">
        <v>0.3</v>
      </c>
      <c r="H385" s="212"/>
      <c r="I385" s="213"/>
      <c r="J385" s="272">
        <v>19.55</v>
      </c>
      <c r="K385" s="112">
        <f t="shared" si="26"/>
        <v>879.75</v>
      </c>
      <c r="L385" s="273">
        <f>BDI!$E$17</f>
        <v>0.11260000000000001</v>
      </c>
      <c r="M385" s="213"/>
      <c r="N385" s="213"/>
      <c r="O385" s="114">
        <f t="shared" si="27"/>
        <v>21.75</v>
      </c>
      <c r="P385" s="113">
        <f t="shared" si="28"/>
        <v>293.63</v>
      </c>
      <c r="Q385" s="209"/>
      <c r="R385" s="203"/>
      <c r="S385" s="182"/>
      <c r="T385" s="182"/>
      <c r="U385" s="182"/>
      <c r="V385" s="182"/>
      <c r="W385" s="182"/>
      <c r="X385" s="182"/>
      <c r="Y385" s="182"/>
      <c r="Z385" s="182"/>
      <c r="AA385" s="182"/>
      <c r="AB385" s="182"/>
      <c r="AC385" s="182"/>
      <c r="AD385" s="182"/>
      <c r="AE385" s="182"/>
      <c r="AF385" s="182"/>
      <c r="AG385" s="182"/>
      <c r="AH385" s="182"/>
      <c r="AI385" s="182"/>
      <c r="AJ385" s="182"/>
      <c r="AK385" s="182"/>
      <c r="AL385" s="182"/>
      <c r="AM385" s="182"/>
      <c r="AN385" s="182"/>
      <c r="AO385" s="182"/>
      <c r="AP385" s="182"/>
      <c r="AQ385" s="182"/>
      <c r="AR385" s="182"/>
      <c r="AS385" s="182"/>
      <c r="AT385" s="182"/>
      <c r="AU385" s="182"/>
      <c r="AV385" s="182"/>
      <c r="AW385" s="182"/>
      <c r="AX385" s="182"/>
      <c r="AY385" s="182"/>
      <c r="AZ385" s="182"/>
      <c r="BA385" s="182"/>
      <c r="BB385" s="182"/>
      <c r="BC385" s="182"/>
      <c r="BD385" s="182"/>
      <c r="BE385" s="182"/>
      <c r="BF385" s="182"/>
      <c r="BG385" s="182"/>
      <c r="BH385" s="182"/>
      <c r="BI385" s="182"/>
      <c r="BJ385" s="182"/>
      <c r="BK385" s="182"/>
      <c r="BL385" s="182"/>
      <c r="BM385" s="182"/>
      <c r="BN385" s="182"/>
      <c r="BO385" s="182"/>
      <c r="BP385" s="182"/>
      <c r="BQ385" s="182"/>
      <c r="BR385" s="182"/>
      <c r="BS385" s="182"/>
      <c r="BT385" s="182"/>
      <c r="BU385" s="182"/>
      <c r="BV385" s="182"/>
      <c r="BW385" s="182"/>
      <c r="BX385" s="182"/>
      <c r="BY385" s="182"/>
      <c r="BZ385" s="182"/>
      <c r="CA385" s="182"/>
      <c r="CB385" s="182"/>
      <c r="CC385" s="182"/>
      <c r="CD385" s="182"/>
      <c r="CE385" s="182"/>
      <c r="CF385" s="182"/>
      <c r="CG385" s="182"/>
      <c r="CH385" s="182"/>
      <c r="CI385" s="182"/>
      <c r="CJ385" s="182"/>
      <c r="CK385" s="182"/>
      <c r="CL385" s="182"/>
      <c r="CM385" s="182"/>
      <c r="CN385" s="182"/>
      <c r="CO385" s="182"/>
      <c r="CP385" s="182"/>
      <c r="CQ385" s="182"/>
      <c r="CR385" s="182"/>
      <c r="CS385" s="182"/>
      <c r="CT385" s="182"/>
      <c r="CU385" s="182"/>
      <c r="CV385" s="182"/>
      <c r="CW385" s="182"/>
      <c r="CX385" s="182"/>
      <c r="CY385" s="182"/>
      <c r="CZ385" s="182"/>
      <c r="DA385" s="182"/>
      <c r="DB385" s="182"/>
      <c r="DC385" s="182"/>
      <c r="DD385" s="182"/>
      <c r="DE385" s="182"/>
      <c r="DF385" s="182"/>
      <c r="DG385" s="182"/>
      <c r="DH385" s="182"/>
      <c r="DI385" s="182"/>
      <c r="DJ385" s="182"/>
      <c r="DK385" s="182"/>
      <c r="DL385" s="182"/>
      <c r="DM385" s="182"/>
      <c r="DN385" s="182"/>
      <c r="DO385" s="182"/>
      <c r="DP385" s="182"/>
      <c r="DQ385" s="182"/>
      <c r="DR385" s="182"/>
      <c r="DS385" s="182"/>
      <c r="DT385" s="182"/>
      <c r="DU385" s="182"/>
      <c r="DV385" s="182"/>
      <c r="DW385" s="182"/>
      <c r="DX385" s="182"/>
      <c r="DY385" s="182"/>
      <c r="DZ385" s="182"/>
      <c r="EA385" s="182"/>
      <c r="EB385" s="182"/>
      <c r="EC385" s="182"/>
      <c r="ED385" s="182"/>
      <c r="EE385" s="182"/>
      <c r="EF385" s="182"/>
      <c r="EG385" s="182"/>
      <c r="EH385" s="182"/>
      <c r="EI385" s="182"/>
      <c r="EJ385" s="182"/>
      <c r="EK385" s="182"/>
      <c r="EL385" s="182"/>
      <c r="EM385" s="182"/>
      <c r="EN385" s="182"/>
      <c r="EO385" s="182"/>
      <c r="EP385" s="182"/>
      <c r="EQ385" s="182"/>
      <c r="ER385" s="182"/>
      <c r="ES385" s="182"/>
      <c r="ET385" s="182"/>
      <c r="EU385" s="182"/>
      <c r="EV385" s="182"/>
      <c r="EW385" s="182"/>
      <c r="EX385" s="182"/>
      <c r="EY385" s="182"/>
      <c r="EZ385" s="182"/>
      <c r="FA385" s="182"/>
      <c r="FB385" s="182"/>
      <c r="FC385" s="182"/>
      <c r="FD385" s="182"/>
      <c r="FE385" s="182"/>
      <c r="FF385" s="182"/>
      <c r="FG385" s="182"/>
      <c r="FH385" s="182"/>
      <c r="FI385" s="182"/>
      <c r="FJ385" s="182"/>
      <c r="FK385" s="182"/>
      <c r="FL385" s="182"/>
      <c r="FM385" s="182"/>
      <c r="FN385" s="182"/>
      <c r="FO385" s="182"/>
      <c r="FP385" s="182"/>
      <c r="FQ385" s="182"/>
      <c r="FR385" s="182"/>
      <c r="FS385" s="182"/>
      <c r="FT385" s="182"/>
      <c r="FU385" s="182"/>
      <c r="FV385" s="182"/>
      <c r="FW385" s="182"/>
      <c r="FX385" s="182"/>
      <c r="FY385" s="182"/>
      <c r="FZ385" s="182"/>
      <c r="GA385" s="182"/>
      <c r="GB385" s="182"/>
      <c r="GC385" s="182"/>
      <c r="GD385" s="182"/>
      <c r="GE385" s="182"/>
      <c r="GF385" s="182"/>
      <c r="GG385" s="182"/>
      <c r="GH385" s="182"/>
      <c r="GI385" s="182"/>
    </row>
    <row r="386" spans="1:191" s="183" customFormat="1" x14ac:dyDescent="0.2">
      <c r="A386" s="210" t="s">
        <v>38691</v>
      </c>
      <c r="B386" s="210" t="s">
        <v>19234</v>
      </c>
      <c r="C386" s="224" t="s">
        <v>22490</v>
      </c>
      <c r="D386" s="211" t="s">
        <v>16</v>
      </c>
      <c r="E386" s="211">
        <v>45</v>
      </c>
      <c r="F386" s="211"/>
      <c r="G386" s="211">
        <v>0.3</v>
      </c>
      <c r="H386" s="212"/>
      <c r="I386" s="213"/>
      <c r="J386" s="272">
        <v>23.01</v>
      </c>
      <c r="K386" s="112">
        <f t="shared" si="26"/>
        <v>1035.45</v>
      </c>
      <c r="L386" s="273">
        <f>BDI!$E$17</f>
        <v>0.11260000000000001</v>
      </c>
      <c r="M386" s="213"/>
      <c r="N386" s="213"/>
      <c r="O386" s="114">
        <f t="shared" si="27"/>
        <v>25.6</v>
      </c>
      <c r="P386" s="113">
        <f t="shared" si="28"/>
        <v>345.6</v>
      </c>
      <c r="Q386" s="209"/>
      <c r="R386" s="203"/>
      <c r="S386" s="182"/>
      <c r="T386" s="182"/>
      <c r="U386" s="182"/>
      <c r="V386" s="182"/>
      <c r="W386" s="182"/>
      <c r="X386" s="182"/>
      <c r="Y386" s="182"/>
      <c r="Z386" s="182"/>
      <c r="AA386" s="182"/>
      <c r="AB386" s="182"/>
      <c r="AC386" s="182"/>
      <c r="AD386" s="182"/>
      <c r="AE386" s="182"/>
      <c r="AF386" s="182"/>
      <c r="AG386" s="182"/>
      <c r="AH386" s="182"/>
      <c r="AI386" s="182"/>
      <c r="AJ386" s="182"/>
      <c r="AK386" s="182"/>
      <c r="AL386" s="182"/>
      <c r="AM386" s="182"/>
      <c r="AN386" s="182"/>
      <c r="AO386" s="182"/>
      <c r="AP386" s="182"/>
      <c r="AQ386" s="182"/>
      <c r="AR386" s="182"/>
      <c r="AS386" s="182"/>
      <c r="AT386" s="182"/>
      <c r="AU386" s="182"/>
      <c r="AV386" s="182"/>
      <c r="AW386" s="182"/>
      <c r="AX386" s="182"/>
      <c r="AY386" s="182"/>
      <c r="AZ386" s="182"/>
      <c r="BA386" s="182"/>
      <c r="BB386" s="182"/>
      <c r="BC386" s="182"/>
      <c r="BD386" s="182"/>
      <c r="BE386" s="182"/>
      <c r="BF386" s="182"/>
      <c r="BG386" s="182"/>
      <c r="BH386" s="182"/>
      <c r="BI386" s="182"/>
      <c r="BJ386" s="182"/>
      <c r="BK386" s="182"/>
      <c r="BL386" s="182"/>
      <c r="BM386" s="182"/>
      <c r="BN386" s="182"/>
      <c r="BO386" s="182"/>
      <c r="BP386" s="182"/>
      <c r="BQ386" s="182"/>
      <c r="BR386" s="182"/>
      <c r="BS386" s="182"/>
      <c r="BT386" s="182"/>
      <c r="BU386" s="182"/>
      <c r="BV386" s="182"/>
      <c r="BW386" s="182"/>
      <c r="BX386" s="182"/>
      <c r="BY386" s="182"/>
      <c r="BZ386" s="182"/>
      <c r="CA386" s="182"/>
      <c r="CB386" s="182"/>
      <c r="CC386" s="182"/>
      <c r="CD386" s="182"/>
      <c r="CE386" s="182"/>
      <c r="CF386" s="182"/>
      <c r="CG386" s="182"/>
      <c r="CH386" s="182"/>
      <c r="CI386" s="182"/>
      <c r="CJ386" s="182"/>
      <c r="CK386" s="182"/>
      <c r="CL386" s="182"/>
      <c r="CM386" s="182"/>
      <c r="CN386" s="182"/>
      <c r="CO386" s="182"/>
      <c r="CP386" s="182"/>
      <c r="CQ386" s="182"/>
      <c r="CR386" s="182"/>
      <c r="CS386" s="182"/>
      <c r="CT386" s="182"/>
      <c r="CU386" s="182"/>
      <c r="CV386" s="182"/>
      <c r="CW386" s="182"/>
      <c r="CX386" s="182"/>
      <c r="CY386" s="182"/>
      <c r="CZ386" s="182"/>
      <c r="DA386" s="182"/>
      <c r="DB386" s="182"/>
      <c r="DC386" s="182"/>
      <c r="DD386" s="182"/>
      <c r="DE386" s="182"/>
      <c r="DF386" s="182"/>
      <c r="DG386" s="182"/>
      <c r="DH386" s="182"/>
      <c r="DI386" s="182"/>
      <c r="DJ386" s="182"/>
      <c r="DK386" s="182"/>
      <c r="DL386" s="182"/>
      <c r="DM386" s="182"/>
      <c r="DN386" s="182"/>
      <c r="DO386" s="182"/>
      <c r="DP386" s="182"/>
      <c r="DQ386" s="182"/>
      <c r="DR386" s="182"/>
      <c r="DS386" s="182"/>
      <c r="DT386" s="182"/>
      <c r="DU386" s="182"/>
      <c r="DV386" s="182"/>
      <c r="DW386" s="182"/>
      <c r="DX386" s="182"/>
      <c r="DY386" s="182"/>
      <c r="DZ386" s="182"/>
      <c r="EA386" s="182"/>
      <c r="EB386" s="182"/>
      <c r="EC386" s="182"/>
      <c r="ED386" s="182"/>
      <c r="EE386" s="182"/>
      <c r="EF386" s="182"/>
      <c r="EG386" s="182"/>
      <c r="EH386" s="182"/>
      <c r="EI386" s="182"/>
      <c r="EJ386" s="182"/>
      <c r="EK386" s="182"/>
      <c r="EL386" s="182"/>
      <c r="EM386" s="182"/>
      <c r="EN386" s="182"/>
      <c r="EO386" s="182"/>
      <c r="EP386" s="182"/>
      <c r="EQ386" s="182"/>
      <c r="ER386" s="182"/>
      <c r="ES386" s="182"/>
      <c r="ET386" s="182"/>
      <c r="EU386" s="182"/>
      <c r="EV386" s="182"/>
      <c r="EW386" s="182"/>
      <c r="EX386" s="182"/>
      <c r="EY386" s="182"/>
      <c r="EZ386" s="182"/>
      <c r="FA386" s="182"/>
      <c r="FB386" s="182"/>
      <c r="FC386" s="182"/>
      <c r="FD386" s="182"/>
      <c r="FE386" s="182"/>
      <c r="FF386" s="182"/>
      <c r="FG386" s="182"/>
      <c r="FH386" s="182"/>
      <c r="FI386" s="182"/>
      <c r="FJ386" s="182"/>
      <c r="FK386" s="182"/>
      <c r="FL386" s="182"/>
      <c r="FM386" s="182"/>
      <c r="FN386" s="182"/>
      <c r="FO386" s="182"/>
      <c r="FP386" s="182"/>
      <c r="FQ386" s="182"/>
      <c r="FR386" s="182"/>
      <c r="FS386" s="182"/>
      <c r="FT386" s="182"/>
      <c r="FU386" s="182"/>
      <c r="FV386" s="182"/>
      <c r="FW386" s="182"/>
      <c r="FX386" s="182"/>
      <c r="FY386" s="182"/>
      <c r="FZ386" s="182"/>
      <c r="GA386" s="182"/>
      <c r="GB386" s="182"/>
      <c r="GC386" s="182"/>
      <c r="GD386" s="182"/>
      <c r="GE386" s="182"/>
      <c r="GF386" s="182"/>
      <c r="GG386" s="182"/>
      <c r="GH386" s="182"/>
      <c r="GI386" s="182"/>
    </row>
    <row r="387" spans="1:191" s="183" customFormat="1" x14ac:dyDescent="0.2">
      <c r="A387" s="210" t="s">
        <v>38692</v>
      </c>
      <c r="B387" s="210" t="s">
        <v>19235</v>
      </c>
      <c r="C387" s="224" t="s">
        <v>22491</v>
      </c>
      <c r="D387" s="211" t="s">
        <v>16</v>
      </c>
      <c r="E387" s="211">
        <v>45</v>
      </c>
      <c r="F387" s="211"/>
      <c r="G387" s="211">
        <v>0.3</v>
      </c>
      <c r="H387" s="212"/>
      <c r="I387" s="213"/>
      <c r="J387" s="272">
        <v>28.2</v>
      </c>
      <c r="K387" s="112">
        <f t="shared" si="26"/>
        <v>1269</v>
      </c>
      <c r="L387" s="273">
        <f>BDI!$E$17</f>
        <v>0.11260000000000001</v>
      </c>
      <c r="M387" s="213"/>
      <c r="N387" s="213"/>
      <c r="O387" s="114">
        <f t="shared" si="27"/>
        <v>31.38</v>
      </c>
      <c r="P387" s="113">
        <f t="shared" si="28"/>
        <v>423.63</v>
      </c>
      <c r="Q387" s="209"/>
      <c r="R387" s="203"/>
      <c r="S387" s="182"/>
      <c r="T387" s="182"/>
      <c r="U387" s="182"/>
      <c r="V387" s="182"/>
      <c r="W387" s="182"/>
      <c r="X387" s="182"/>
      <c r="Y387" s="182"/>
      <c r="Z387" s="182"/>
      <c r="AA387" s="182"/>
      <c r="AB387" s="182"/>
      <c r="AC387" s="182"/>
      <c r="AD387" s="182"/>
      <c r="AE387" s="182"/>
      <c r="AF387" s="182"/>
      <c r="AG387" s="182"/>
      <c r="AH387" s="182"/>
      <c r="AI387" s="182"/>
      <c r="AJ387" s="182"/>
      <c r="AK387" s="182"/>
      <c r="AL387" s="182"/>
      <c r="AM387" s="182"/>
      <c r="AN387" s="182"/>
      <c r="AO387" s="182"/>
      <c r="AP387" s="182"/>
      <c r="AQ387" s="182"/>
      <c r="AR387" s="182"/>
      <c r="AS387" s="182"/>
      <c r="AT387" s="182"/>
      <c r="AU387" s="182"/>
      <c r="AV387" s="182"/>
      <c r="AW387" s="182"/>
      <c r="AX387" s="182"/>
      <c r="AY387" s="182"/>
      <c r="AZ387" s="182"/>
      <c r="BA387" s="182"/>
      <c r="BB387" s="182"/>
      <c r="BC387" s="182"/>
      <c r="BD387" s="182"/>
      <c r="BE387" s="182"/>
      <c r="BF387" s="182"/>
      <c r="BG387" s="182"/>
      <c r="BH387" s="182"/>
      <c r="BI387" s="182"/>
      <c r="BJ387" s="182"/>
      <c r="BK387" s="182"/>
      <c r="BL387" s="182"/>
      <c r="BM387" s="182"/>
      <c r="BN387" s="182"/>
      <c r="BO387" s="182"/>
      <c r="BP387" s="182"/>
      <c r="BQ387" s="182"/>
      <c r="BR387" s="182"/>
      <c r="BS387" s="182"/>
      <c r="BT387" s="182"/>
      <c r="BU387" s="182"/>
      <c r="BV387" s="182"/>
      <c r="BW387" s="182"/>
      <c r="BX387" s="182"/>
      <c r="BY387" s="182"/>
      <c r="BZ387" s="182"/>
      <c r="CA387" s="182"/>
      <c r="CB387" s="182"/>
      <c r="CC387" s="182"/>
      <c r="CD387" s="182"/>
      <c r="CE387" s="182"/>
      <c r="CF387" s="182"/>
      <c r="CG387" s="182"/>
      <c r="CH387" s="182"/>
      <c r="CI387" s="182"/>
      <c r="CJ387" s="182"/>
      <c r="CK387" s="182"/>
      <c r="CL387" s="182"/>
      <c r="CM387" s="182"/>
      <c r="CN387" s="182"/>
      <c r="CO387" s="182"/>
      <c r="CP387" s="182"/>
      <c r="CQ387" s="182"/>
      <c r="CR387" s="182"/>
      <c r="CS387" s="182"/>
      <c r="CT387" s="182"/>
      <c r="CU387" s="182"/>
      <c r="CV387" s="182"/>
      <c r="CW387" s="182"/>
      <c r="CX387" s="182"/>
      <c r="CY387" s="182"/>
      <c r="CZ387" s="182"/>
      <c r="DA387" s="182"/>
      <c r="DB387" s="182"/>
      <c r="DC387" s="182"/>
      <c r="DD387" s="182"/>
      <c r="DE387" s="182"/>
      <c r="DF387" s="182"/>
      <c r="DG387" s="182"/>
      <c r="DH387" s="182"/>
      <c r="DI387" s="182"/>
      <c r="DJ387" s="182"/>
      <c r="DK387" s="182"/>
      <c r="DL387" s="182"/>
      <c r="DM387" s="182"/>
      <c r="DN387" s="182"/>
      <c r="DO387" s="182"/>
      <c r="DP387" s="182"/>
      <c r="DQ387" s="182"/>
      <c r="DR387" s="182"/>
      <c r="DS387" s="182"/>
      <c r="DT387" s="182"/>
      <c r="DU387" s="182"/>
      <c r="DV387" s="182"/>
      <c r="DW387" s="182"/>
      <c r="DX387" s="182"/>
      <c r="DY387" s="182"/>
      <c r="DZ387" s="182"/>
      <c r="EA387" s="182"/>
      <c r="EB387" s="182"/>
      <c r="EC387" s="182"/>
      <c r="ED387" s="182"/>
      <c r="EE387" s="182"/>
      <c r="EF387" s="182"/>
      <c r="EG387" s="182"/>
      <c r="EH387" s="182"/>
      <c r="EI387" s="182"/>
      <c r="EJ387" s="182"/>
      <c r="EK387" s="182"/>
      <c r="EL387" s="182"/>
      <c r="EM387" s="182"/>
      <c r="EN387" s="182"/>
      <c r="EO387" s="182"/>
      <c r="EP387" s="182"/>
      <c r="EQ387" s="182"/>
      <c r="ER387" s="182"/>
      <c r="ES387" s="182"/>
      <c r="ET387" s="182"/>
      <c r="EU387" s="182"/>
      <c r="EV387" s="182"/>
      <c r="EW387" s="182"/>
      <c r="EX387" s="182"/>
      <c r="EY387" s="182"/>
      <c r="EZ387" s="182"/>
      <c r="FA387" s="182"/>
      <c r="FB387" s="182"/>
      <c r="FC387" s="182"/>
      <c r="FD387" s="182"/>
      <c r="FE387" s="182"/>
      <c r="FF387" s="182"/>
      <c r="FG387" s="182"/>
      <c r="FH387" s="182"/>
      <c r="FI387" s="182"/>
      <c r="FJ387" s="182"/>
      <c r="FK387" s="182"/>
      <c r="FL387" s="182"/>
      <c r="FM387" s="182"/>
      <c r="FN387" s="182"/>
      <c r="FO387" s="182"/>
      <c r="FP387" s="182"/>
      <c r="FQ387" s="182"/>
      <c r="FR387" s="182"/>
      <c r="FS387" s="182"/>
      <c r="FT387" s="182"/>
      <c r="FU387" s="182"/>
      <c r="FV387" s="182"/>
      <c r="FW387" s="182"/>
      <c r="FX387" s="182"/>
      <c r="FY387" s="182"/>
      <c r="FZ387" s="182"/>
      <c r="GA387" s="182"/>
      <c r="GB387" s="182"/>
      <c r="GC387" s="182"/>
      <c r="GD387" s="182"/>
      <c r="GE387" s="182"/>
      <c r="GF387" s="182"/>
      <c r="GG387" s="182"/>
      <c r="GH387" s="182"/>
      <c r="GI387" s="182"/>
    </row>
    <row r="388" spans="1:191" s="183" customFormat="1" x14ac:dyDescent="0.2">
      <c r="A388" s="210" t="s">
        <v>38693</v>
      </c>
      <c r="B388" s="210" t="s">
        <v>19236</v>
      </c>
      <c r="C388" s="224" t="s">
        <v>22492</v>
      </c>
      <c r="D388" s="211" t="s">
        <v>69</v>
      </c>
      <c r="E388" s="211">
        <v>90</v>
      </c>
      <c r="F388" s="211"/>
      <c r="G388" s="211">
        <v>0.3</v>
      </c>
      <c r="H388" s="212"/>
      <c r="I388" s="213"/>
      <c r="J388" s="272">
        <v>113.38</v>
      </c>
      <c r="K388" s="112">
        <f t="shared" si="26"/>
        <v>10204.200000000001</v>
      </c>
      <c r="L388" s="273">
        <f>BDI!$E$17</f>
        <v>0.11260000000000001</v>
      </c>
      <c r="M388" s="213"/>
      <c r="N388" s="213"/>
      <c r="O388" s="114">
        <f t="shared" si="27"/>
        <v>126.15</v>
      </c>
      <c r="P388" s="113">
        <f t="shared" si="28"/>
        <v>3406.05</v>
      </c>
      <c r="Q388" s="209"/>
      <c r="R388" s="203"/>
      <c r="S388" s="182"/>
      <c r="T388" s="182"/>
      <c r="U388" s="182"/>
      <c r="V388" s="182"/>
      <c r="W388" s="182"/>
      <c r="X388" s="182"/>
      <c r="Y388" s="182"/>
      <c r="Z388" s="182"/>
      <c r="AA388" s="182"/>
      <c r="AB388" s="182"/>
      <c r="AC388" s="182"/>
      <c r="AD388" s="182"/>
      <c r="AE388" s="182"/>
      <c r="AF388" s="182"/>
      <c r="AG388" s="182"/>
      <c r="AH388" s="182"/>
      <c r="AI388" s="182"/>
      <c r="AJ388" s="182"/>
      <c r="AK388" s="182"/>
      <c r="AL388" s="182"/>
      <c r="AM388" s="182"/>
      <c r="AN388" s="182"/>
      <c r="AO388" s="182"/>
      <c r="AP388" s="182"/>
      <c r="AQ388" s="182"/>
      <c r="AR388" s="182"/>
      <c r="AS388" s="182"/>
      <c r="AT388" s="182"/>
      <c r="AU388" s="182"/>
      <c r="AV388" s="182"/>
      <c r="AW388" s="182"/>
      <c r="AX388" s="182"/>
      <c r="AY388" s="182"/>
      <c r="AZ388" s="182"/>
      <c r="BA388" s="182"/>
      <c r="BB388" s="182"/>
      <c r="BC388" s="182"/>
      <c r="BD388" s="182"/>
      <c r="BE388" s="182"/>
      <c r="BF388" s="182"/>
      <c r="BG388" s="182"/>
      <c r="BH388" s="182"/>
      <c r="BI388" s="182"/>
      <c r="BJ388" s="182"/>
      <c r="BK388" s="182"/>
      <c r="BL388" s="182"/>
      <c r="BM388" s="182"/>
      <c r="BN388" s="182"/>
      <c r="BO388" s="182"/>
      <c r="BP388" s="182"/>
      <c r="BQ388" s="182"/>
      <c r="BR388" s="182"/>
      <c r="BS388" s="182"/>
      <c r="BT388" s="182"/>
      <c r="BU388" s="182"/>
      <c r="BV388" s="182"/>
      <c r="BW388" s="182"/>
      <c r="BX388" s="182"/>
      <c r="BY388" s="182"/>
      <c r="BZ388" s="182"/>
      <c r="CA388" s="182"/>
      <c r="CB388" s="182"/>
      <c r="CC388" s="182"/>
      <c r="CD388" s="182"/>
      <c r="CE388" s="182"/>
      <c r="CF388" s="182"/>
      <c r="CG388" s="182"/>
      <c r="CH388" s="182"/>
      <c r="CI388" s="182"/>
      <c r="CJ388" s="182"/>
      <c r="CK388" s="182"/>
      <c r="CL388" s="182"/>
      <c r="CM388" s="182"/>
      <c r="CN388" s="182"/>
      <c r="CO388" s="182"/>
      <c r="CP388" s="182"/>
      <c r="CQ388" s="182"/>
      <c r="CR388" s="182"/>
      <c r="CS388" s="182"/>
      <c r="CT388" s="182"/>
      <c r="CU388" s="182"/>
      <c r="CV388" s="182"/>
      <c r="CW388" s="182"/>
      <c r="CX388" s="182"/>
      <c r="CY388" s="182"/>
      <c r="CZ388" s="182"/>
      <c r="DA388" s="182"/>
      <c r="DB388" s="182"/>
      <c r="DC388" s="182"/>
      <c r="DD388" s="182"/>
      <c r="DE388" s="182"/>
      <c r="DF388" s="182"/>
      <c r="DG388" s="182"/>
      <c r="DH388" s="182"/>
      <c r="DI388" s="182"/>
      <c r="DJ388" s="182"/>
      <c r="DK388" s="182"/>
      <c r="DL388" s="182"/>
      <c r="DM388" s="182"/>
      <c r="DN388" s="182"/>
      <c r="DO388" s="182"/>
      <c r="DP388" s="182"/>
      <c r="DQ388" s="182"/>
      <c r="DR388" s="182"/>
      <c r="DS388" s="182"/>
      <c r="DT388" s="182"/>
      <c r="DU388" s="182"/>
      <c r="DV388" s="182"/>
      <c r="DW388" s="182"/>
      <c r="DX388" s="182"/>
      <c r="DY388" s="182"/>
      <c r="DZ388" s="182"/>
      <c r="EA388" s="182"/>
      <c r="EB388" s="182"/>
      <c r="EC388" s="182"/>
      <c r="ED388" s="182"/>
      <c r="EE388" s="182"/>
      <c r="EF388" s="182"/>
      <c r="EG388" s="182"/>
      <c r="EH388" s="182"/>
      <c r="EI388" s="182"/>
      <c r="EJ388" s="182"/>
      <c r="EK388" s="182"/>
      <c r="EL388" s="182"/>
      <c r="EM388" s="182"/>
      <c r="EN388" s="182"/>
      <c r="EO388" s="182"/>
      <c r="EP388" s="182"/>
      <c r="EQ388" s="182"/>
      <c r="ER388" s="182"/>
      <c r="ES388" s="182"/>
      <c r="ET388" s="182"/>
      <c r="EU388" s="182"/>
      <c r="EV388" s="182"/>
      <c r="EW388" s="182"/>
      <c r="EX388" s="182"/>
      <c r="EY388" s="182"/>
      <c r="EZ388" s="182"/>
      <c r="FA388" s="182"/>
      <c r="FB388" s="182"/>
      <c r="FC388" s="182"/>
      <c r="FD388" s="182"/>
      <c r="FE388" s="182"/>
      <c r="FF388" s="182"/>
      <c r="FG388" s="182"/>
      <c r="FH388" s="182"/>
      <c r="FI388" s="182"/>
      <c r="FJ388" s="182"/>
      <c r="FK388" s="182"/>
      <c r="FL388" s="182"/>
      <c r="FM388" s="182"/>
      <c r="FN388" s="182"/>
      <c r="FO388" s="182"/>
      <c r="FP388" s="182"/>
      <c r="FQ388" s="182"/>
      <c r="FR388" s="182"/>
      <c r="FS388" s="182"/>
      <c r="FT388" s="182"/>
      <c r="FU388" s="182"/>
      <c r="FV388" s="182"/>
      <c r="FW388" s="182"/>
      <c r="FX388" s="182"/>
      <c r="FY388" s="182"/>
      <c r="FZ388" s="182"/>
      <c r="GA388" s="182"/>
      <c r="GB388" s="182"/>
      <c r="GC388" s="182"/>
      <c r="GD388" s="182"/>
      <c r="GE388" s="182"/>
      <c r="GF388" s="182"/>
      <c r="GG388" s="182"/>
      <c r="GH388" s="182"/>
      <c r="GI388" s="182"/>
    </row>
    <row r="389" spans="1:191" s="183" customFormat="1" x14ac:dyDescent="0.2">
      <c r="A389" s="210" t="s">
        <v>38694</v>
      </c>
      <c r="B389" s="210" t="s">
        <v>19237</v>
      </c>
      <c r="C389" s="224" t="s">
        <v>22493</v>
      </c>
      <c r="D389" s="211" t="s">
        <v>16</v>
      </c>
      <c r="E389" s="211">
        <v>180</v>
      </c>
      <c r="F389" s="211"/>
      <c r="G389" s="211">
        <v>0.3</v>
      </c>
      <c r="H389" s="212"/>
      <c r="I389" s="213"/>
      <c r="J389" s="272">
        <v>47.14</v>
      </c>
      <c r="K389" s="112">
        <f t="shared" si="26"/>
        <v>8485.2000000000007</v>
      </c>
      <c r="L389" s="273">
        <f>BDI!$E$17</f>
        <v>0.11260000000000001</v>
      </c>
      <c r="M389" s="213"/>
      <c r="N389" s="213"/>
      <c r="O389" s="114">
        <f t="shared" si="27"/>
        <v>52.45</v>
      </c>
      <c r="P389" s="113">
        <f t="shared" si="28"/>
        <v>2832.3</v>
      </c>
      <c r="Q389" s="209"/>
      <c r="R389" s="203"/>
      <c r="S389" s="182"/>
      <c r="T389" s="182"/>
      <c r="U389" s="182"/>
      <c r="V389" s="182"/>
      <c r="W389" s="182"/>
      <c r="X389" s="182"/>
      <c r="Y389" s="182"/>
      <c r="Z389" s="182"/>
      <c r="AA389" s="182"/>
      <c r="AB389" s="182"/>
      <c r="AC389" s="182"/>
      <c r="AD389" s="182"/>
      <c r="AE389" s="182"/>
      <c r="AF389" s="182"/>
      <c r="AG389" s="182"/>
      <c r="AH389" s="182"/>
      <c r="AI389" s="182"/>
      <c r="AJ389" s="182"/>
      <c r="AK389" s="182"/>
      <c r="AL389" s="182"/>
      <c r="AM389" s="182"/>
      <c r="AN389" s="182"/>
      <c r="AO389" s="182"/>
      <c r="AP389" s="182"/>
      <c r="AQ389" s="182"/>
      <c r="AR389" s="182"/>
      <c r="AS389" s="182"/>
      <c r="AT389" s="182"/>
      <c r="AU389" s="182"/>
      <c r="AV389" s="182"/>
      <c r="AW389" s="182"/>
      <c r="AX389" s="182"/>
      <c r="AY389" s="182"/>
      <c r="AZ389" s="182"/>
      <c r="BA389" s="182"/>
      <c r="BB389" s="182"/>
      <c r="BC389" s="182"/>
      <c r="BD389" s="182"/>
      <c r="BE389" s="182"/>
      <c r="BF389" s="182"/>
      <c r="BG389" s="182"/>
      <c r="BH389" s="182"/>
      <c r="BI389" s="182"/>
      <c r="BJ389" s="182"/>
      <c r="BK389" s="182"/>
      <c r="BL389" s="182"/>
      <c r="BM389" s="182"/>
      <c r="BN389" s="182"/>
      <c r="BO389" s="182"/>
      <c r="BP389" s="182"/>
      <c r="BQ389" s="182"/>
      <c r="BR389" s="182"/>
      <c r="BS389" s="182"/>
      <c r="BT389" s="182"/>
      <c r="BU389" s="182"/>
      <c r="BV389" s="182"/>
      <c r="BW389" s="182"/>
      <c r="BX389" s="182"/>
      <c r="BY389" s="182"/>
      <c r="BZ389" s="182"/>
      <c r="CA389" s="182"/>
      <c r="CB389" s="182"/>
      <c r="CC389" s="182"/>
      <c r="CD389" s="182"/>
      <c r="CE389" s="182"/>
      <c r="CF389" s="182"/>
      <c r="CG389" s="182"/>
      <c r="CH389" s="182"/>
      <c r="CI389" s="182"/>
      <c r="CJ389" s="182"/>
      <c r="CK389" s="182"/>
      <c r="CL389" s="182"/>
      <c r="CM389" s="182"/>
      <c r="CN389" s="182"/>
      <c r="CO389" s="182"/>
      <c r="CP389" s="182"/>
      <c r="CQ389" s="182"/>
      <c r="CR389" s="182"/>
      <c r="CS389" s="182"/>
      <c r="CT389" s="182"/>
      <c r="CU389" s="182"/>
      <c r="CV389" s="182"/>
      <c r="CW389" s="182"/>
      <c r="CX389" s="182"/>
      <c r="CY389" s="182"/>
      <c r="CZ389" s="182"/>
      <c r="DA389" s="182"/>
      <c r="DB389" s="182"/>
      <c r="DC389" s="182"/>
      <c r="DD389" s="182"/>
      <c r="DE389" s="182"/>
      <c r="DF389" s="182"/>
      <c r="DG389" s="182"/>
      <c r="DH389" s="182"/>
      <c r="DI389" s="182"/>
      <c r="DJ389" s="182"/>
      <c r="DK389" s="182"/>
      <c r="DL389" s="182"/>
      <c r="DM389" s="182"/>
      <c r="DN389" s="182"/>
      <c r="DO389" s="182"/>
      <c r="DP389" s="182"/>
      <c r="DQ389" s="182"/>
      <c r="DR389" s="182"/>
      <c r="DS389" s="182"/>
      <c r="DT389" s="182"/>
      <c r="DU389" s="182"/>
      <c r="DV389" s="182"/>
      <c r="DW389" s="182"/>
      <c r="DX389" s="182"/>
      <c r="DY389" s="182"/>
      <c r="DZ389" s="182"/>
      <c r="EA389" s="182"/>
      <c r="EB389" s="182"/>
      <c r="EC389" s="182"/>
      <c r="ED389" s="182"/>
      <c r="EE389" s="182"/>
      <c r="EF389" s="182"/>
      <c r="EG389" s="182"/>
      <c r="EH389" s="182"/>
      <c r="EI389" s="182"/>
      <c r="EJ389" s="182"/>
      <c r="EK389" s="182"/>
      <c r="EL389" s="182"/>
      <c r="EM389" s="182"/>
      <c r="EN389" s="182"/>
      <c r="EO389" s="182"/>
      <c r="EP389" s="182"/>
      <c r="EQ389" s="182"/>
      <c r="ER389" s="182"/>
      <c r="ES389" s="182"/>
      <c r="ET389" s="182"/>
      <c r="EU389" s="182"/>
      <c r="EV389" s="182"/>
      <c r="EW389" s="182"/>
      <c r="EX389" s="182"/>
      <c r="EY389" s="182"/>
      <c r="EZ389" s="182"/>
      <c r="FA389" s="182"/>
      <c r="FB389" s="182"/>
      <c r="FC389" s="182"/>
      <c r="FD389" s="182"/>
      <c r="FE389" s="182"/>
      <c r="FF389" s="182"/>
      <c r="FG389" s="182"/>
      <c r="FH389" s="182"/>
      <c r="FI389" s="182"/>
      <c r="FJ389" s="182"/>
      <c r="FK389" s="182"/>
      <c r="FL389" s="182"/>
      <c r="FM389" s="182"/>
      <c r="FN389" s="182"/>
      <c r="FO389" s="182"/>
      <c r="FP389" s="182"/>
      <c r="FQ389" s="182"/>
      <c r="FR389" s="182"/>
      <c r="FS389" s="182"/>
      <c r="FT389" s="182"/>
      <c r="FU389" s="182"/>
      <c r="FV389" s="182"/>
      <c r="FW389" s="182"/>
      <c r="FX389" s="182"/>
      <c r="FY389" s="182"/>
      <c r="FZ389" s="182"/>
      <c r="GA389" s="182"/>
      <c r="GB389" s="182"/>
      <c r="GC389" s="182"/>
      <c r="GD389" s="182"/>
      <c r="GE389" s="182"/>
      <c r="GF389" s="182"/>
      <c r="GG389" s="182"/>
      <c r="GH389" s="182"/>
      <c r="GI389" s="182"/>
    </row>
    <row r="390" spans="1:191" s="183" customFormat="1" x14ac:dyDescent="0.2">
      <c r="A390" s="210" t="s">
        <v>38695</v>
      </c>
      <c r="B390" s="210" t="s">
        <v>19238</v>
      </c>
      <c r="C390" s="224" t="s">
        <v>22494</v>
      </c>
      <c r="D390" s="211" t="s">
        <v>16</v>
      </c>
      <c r="E390" s="211">
        <v>90</v>
      </c>
      <c r="F390" s="211"/>
      <c r="G390" s="211">
        <v>0.3</v>
      </c>
      <c r="H390" s="212"/>
      <c r="I390" s="213"/>
      <c r="J390" s="272">
        <v>96.22</v>
      </c>
      <c r="K390" s="112">
        <f t="shared" si="26"/>
        <v>8659.7999999999993</v>
      </c>
      <c r="L390" s="273">
        <f>BDI!$E$17</f>
        <v>0.11260000000000001</v>
      </c>
      <c r="M390" s="213"/>
      <c r="N390" s="213"/>
      <c r="O390" s="114">
        <f t="shared" si="27"/>
        <v>107.05</v>
      </c>
      <c r="P390" s="113">
        <f t="shared" si="28"/>
        <v>2890.35</v>
      </c>
      <c r="Q390" s="209"/>
      <c r="R390" s="203"/>
      <c r="S390" s="182"/>
      <c r="T390" s="182"/>
      <c r="U390" s="182"/>
      <c r="V390" s="182"/>
      <c r="W390" s="182"/>
      <c r="X390" s="182"/>
      <c r="Y390" s="182"/>
      <c r="Z390" s="182"/>
      <c r="AA390" s="182"/>
      <c r="AB390" s="182"/>
      <c r="AC390" s="182"/>
      <c r="AD390" s="182"/>
      <c r="AE390" s="182"/>
      <c r="AF390" s="182"/>
      <c r="AG390" s="182"/>
      <c r="AH390" s="182"/>
      <c r="AI390" s="182"/>
      <c r="AJ390" s="182"/>
      <c r="AK390" s="182"/>
      <c r="AL390" s="182"/>
      <c r="AM390" s="182"/>
      <c r="AN390" s="182"/>
      <c r="AO390" s="182"/>
      <c r="AP390" s="182"/>
      <c r="AQ390" s="182"/>
      <c r="AR390" s="182"/>
      <c r="AS390" s="182"/>
      <c r="AT390" s="182"/>
      <c r="AU390" s="182"/>
      <c r="AV390" s="182"/>
      <c r="AW390" s="182"/>
      <c r="AX390" s="182"/>
      <c r="AY390" s="182"/>
      <c r="AZ390" s="182"/>
      <c r="BA390" s="182"/>
      <c r="BB390" s="182"/>
      <c r="BC390" s="182"/>
      <c r="BD390" s="182"/>
      <c r="BE390" s="182"/>
      <c r="BF390" s="182"/>
      <c r="BG390" s="182"/>
      <c r="BH390" s="182"/>
      <c r="BI390" s="182"/>
      <c r="BJ390" s="182"/>
      <c r="BK390" s="182"/>
      <c r="BL390" s="182"/>
      <c r="BM390" s="182"/>
      <c r="BN390" s="182"/>
      <c r="BO390" s="182"/>
      <c r="BP390" s="182"/>
      <c r="BQ390" s="182"/>
      <c r="BR390" s="182"/>
      <c r="BS390" s="182"/>
      <c r="BT390" s="182"/>
      <c r="BU390" s="182"/>
      <c r="BV390" s="182"/>
      <c r="BW390" s="182"/>
      <c r="BX390" s="182"/>
      <c r="BY390" s="182"/>
      <c r="BZ390" s="182"/>
      <c r="CA390" s="182"/>
      <c r="CB390" s="182"/>
      <c r="CC390" s="182"/>
      <c r="CD390" s="182"/>
      <c r="CE390" s="182"/>
      <c r="CF390" s="182"/>
      <c r="CG390" s="182"/>
      <c r="CH390" s="182"/>
      <c r="CI390" s="182"/>
      <c r="CJ390" s="182"/>
      <c r="CK390" s="182"/>
      <c r="CL390" s="182"/>
      <c r="CM390" s="182"/>
      <c r="CN390" s="182"/>
      <c r="CO390" s="182"/>
      <c r="CP390" s="182"/>
      <c r="CQ390" s="182"/>
      <c r="CR390" s="182"/>
      <c r="CS390" s="182"/>
      <c r="CT390" s="182"/>
      <c r="CU390" s="182"/>
      <c r="CV390" s="182"/>
      <c r="CW390" s="182"/>
      <c r="CX390" s="182"/>
      <c r="CY390" s="182"/>
      <c r="CZ390" s="182"/>
      <c r="DA390" s="182"/>
      <c r="DB390" s="182"/>
      <c r="DC390" s="182"/>
      <c r="DD390" s="182"/>
      <c r="DE390" s="182"/>
      <c r="DF390" s="182"/>
      <c r="DG390" s="182"/>
      <c r="DH390" s="182"/>
      <c r="DI390" s="182"/>
      <c r="DJ390" s="182"/>
      <c r="DK390" s="182"/>
      <c r="DL390" s="182"/>
      <c r="DM390" s="182"/>
      <c r="DN390" s="182"/>
      <c r="DO390" s="182"/>
      <c r="DP390" s="182"/>
      <c r="DQ390" s="182"/>
      <c r="DR390" s="182"/>
      <c r="DS390" s="182"/>
      <c r="DT390" s="182"/>
      <c r="DU390" s="182"/>
      <c r="DV390" s="182"/>
      <c r="DW390" s="182"/>
      <c r="DX390" s="182"/>
      <c r="DY390" s="182"/>
      <c r="DZ390" s="182"/>
      <c r="EA390" s="182"/>
      <c r="EB390" s="182"/>
      <c r="EC390" s="182"/>
      <c r="ED390" s="182"/>
      <c r="EE390" s="182"/>
      <c r="EF390" s="182"/>
      <c r="EG390" s="182"/>
      <c r="EH390" s="182"/>
      <c r="EI390" s="182"/>
      <c r="EJ390" s="182"/>
      <c r="EK390" s="182"/>
      <c r="EL390" s="182"/>
      <c r="EM390" s="182"/>
      <c r="EN390" s="182"/>
      <c r="EO390" s="182"/>
      <c r="EP390" s="182"/>
      <c r="EQ390" s="182"/>
      <c r="ER390" s="182"/>
      <c r="ES390" s="182"/>
      <c r="ET390" s="182"/>
      <c r="EU390" s="182"/>
      <c r="EV390" s="182"/>
      <c r="EW390" s="182"/>
      <c r="EX390" s="182"/>
      <c r="EY390" s="182"/>
      <c r="EZ390" s="182"/>
      <c r="FA390" s="182"/>
      <c r="FB390" s="182"/>
      <c r="FC390" s="182"/>
      <c r="FD390" s="182"/>
      <c r="FE390" s="182"/>
      <c r="FF390" s="182"/>
      <c r="FG390" s="182"/>
      <c r="FH390" s="182"/>
      <c r="FI390" s="182"/>
      <c r="FJ390" s="182"/>
      <c r="FK390" s="182"/>
      <c r="FL390" s="182"/>
      <c r="FM390" s="182"/>
      <c r="FN390" s="182"/>
      <c r="FO390" s="182"/>
      <c r="FP390" s="182"/>
      <c r="FQ390" s="182"/>
      <c r="FR390" s="182"/>
      <c r="FS390" s="182"/>
      <c r="FT390" s="182"/>
      <c r="FU390" s="182"/>
      <c r="FV390" s="182"/>
      <c r="FW390" s="182"/>
      <c r="FX390" s="182"/>
      <c r="FY390" s="182"/>
      <c r="FZ390" s="182"/>
      <c r="GA390" s="182"/>
      <c r="GB390" s="182"/>
      <c r="GC390" s="182"/>
      <c r="GD390" s="182"/>
      <c r="GE390" s="182"/>
      <c r="GF390" s="182"/>
      <c r="GG390" s="182"/>
      <c r="GH390" s="182"/>
      <c r="GI390" s="182"/>
    </row>
    <row r="391" spans="1:191" s="183" customFormat="1" x14ac:dyDescent="0.2">
      <c r="A391" s="210" t="s">
        <v>38696</v>
      </c>
      <c r="B391" s="210" t="s">
        <v>19239</v>
      </c>
      <c r="C391" s="224" t="s">
        <v>22495</v>
      </c>
      <c r="D391" s="211" t="s">
        <v>16</v>
      </c>
      <c r="E391" s="211">
        <v>90</v>
      </c>
      <c r="F391" s="211"/>
      <c r="G391" s="211">
        <v>0.3</v>
      </c>
      <c r="H391" s="212"/>
      <c r="I391" s="213"/>
      <c r="J391" s="272">
        <v>33.200000000000003</v>
      </c>
      <c r="K391" s="112">
        <f t="shared" si="26"/>
        <v>2988</v>
      </c>
      <c r="L391" s="273">
        <f>BDI!$E$17</f>
        <v>0.11260000000000001</v>
      </c>
      <c r="M391" s="213"/>
      <c r="N391" s="213"/>
      <c r="O391" s="114">
        <f t="shared" si="27"/>
        <v>36.94</v>
      </c>
      <c r="P391" s="113">
        <f t="shared" si="28"/>
        <v>997.38</v>
      </c>
      <c r="Q391" s="209"/>
      <c r="R391" s="203"/>
      <c r="S391" s="182"/>
      <c r="T391" s="182"/>
      <c r="U391" s="182"/>
      <c r="V391" s="182"/>
      <c r="W391" s="182"/>
      <c r="X391" s="182"/>
      <c r="Y391" s="182"/>
      <c r="Z391" s="182"/>
      <c r="AA391" s="182"/>
      <c r="AB391" s="182"/>
      <c r="AC391" s="182"/>
      <c r="AD391" s="182"/>
      <c r="AE391" s="182"/>
      <c r="AF391" s="182"/>
      <c r="AG391" s="182"/>
      <c r="AH391" s="182"/>
      <c r="AI391" s="182"/>
      <c r="AJ391" s="182"/>
      <c r="AK391" s="182"/>
      <c r="AL391" s="182"/>
      <c r="AM391" s="182"/>
      <c r="AN391" s="182"/>
      <c r="AO391" s="182"/>
      <c r="AP391" s="182"/>
      <c r="AQ391" s="182"/>
      <c r="AR391" s="182"/>
      <c r="AS391" s="182"/>
      <c r="AT391" s="182"/>
      <c r="AU391" s="182"/>
      <c r="AV391" s="182"/>
      <c r="AW391" s="182"/>
      <c r="AX391" s="182"/>
      <c r="AY391" s="182"/>
      <c r="AZ391" s="182"/>
      <c r="BA391" s="182"/>
      <c r="BB391" s="182"/>
      <c r="BC391" s="182"/>
      <c r="BD391" s="182"/>
      <c r="BE391" s="182"/>
      <c r="BF391" s="182"/>
      <c r="BG391" s="182"/>
      <c r="BH391" s="182"/>
      <c r="BI391" s="182"/>
      <c r="BJ391" s="182"/>
      <c r="BK391" s="182"/>
      <c r="BL391" s="182"/>
      <c r="BM391" s="182"/>
      <c r="BN391" s="182"/>
      <c r="BO391" s="182"/>
      <c r="BP391" s="182"/>
      <c r="BQ391" s="182"/>
      <c r="BR391" s="182"/>
      <c r="BS391" s="182"/>
      <c r="BT391" s="182"/>
      <c r="BU391" s="182"/>
      <c r="BV391" s="182"/>
      <c r="BW391" s="182"/>
      <c r="BX391" s="182"/>
      <c r="BY391" s="182"/>
      <c r="BZ391" s="182"/>
      <c r="CA391" s="182"/>
      <c r="CB391" s="182"/>
      <c r="CC391" s="182"/>
      <c r="CD391" s="182"/>
      <c r="CE391" s="182"/>
      <c r="CF391" s="182"/>
      <c r="CG391" s="182"/>
      <c r="CH391" s="182"/>
      <c r="CI391" s="182"/>
      <c r="CJ391" s="182"/>
      <c r="CK391" s="182"/>
      <c r="CL391" s="182"/>
      <c r="CM391" s="182"/>
      <c r="CN391" s="182"/>
      <c r="CO391" s="182"/>
      <c r="CP391" s="182"/>
      <c r="CQ391" s="182"/>
      <c r="CR391" s="182"/>
      <c r="CS391" s="182"/>
      <c r="CT391" s="182"/>
      <c r="CU391" s="182"/>
      <c r="CV391" s="182"/>
      <c r="CW391" s="182"/>
      <c r="CX391" s="182"/>
      <c r="CY391" s="182"/>
      <c r="CZ391" s="182"/>
      <c r="DA391" s="182"/>
      <c r="DB391" s="182"/>
      <c r="DC391" s="182"/>
      <c r="DD391" s="182"/>
      <c r="DE391" s="182"/>
      <c r="DF391" s="182"/>
      <c r="DG391" s="182"/>
      <c r="DH391" s="182"/>
      <c r="DI391" s="182"/>
      <c r="DJ391" s="182"/>
      <c r="DK391" s="182"/>
      <c r="DL391" s="182"/>
      <c r="DM391" s="182"/>
      <c r="DN391" s="182"/>
      <c r="DO391" s="182"/>
      <c r="DP391" s="182"/>
      <c r="DQ391" s="182"/>
      <c r="DR391" s="182"/>
      <c r="DS391" s="182"/>
      <c r="DT391" s="182"/>
      <c r="DU391" s="182"/>
      <c r="DV391" s="182"/>
      <c r="DW391" s="182"/>
      <c r="DX391" s="182"/>
      <c r="DY391" s="182"/>
      <c r="DZ391" s="182"/>
      <c r="EA391" s="182"/>
      <c r="EB391" s="182"/>
      <c r="EC391" s="182"/>
      <c r="ED391" s="182"/>
      <c r="EE391" s="182"/>
      <c r="EF391" s="182"/>
      <c r="EG391" s="182"/>
      <c r="EH391" s="182"/>
      <c r="EI391" s="182"/>
      <c r="EJ391" s="182"/>
      <c r="EK391" s="182"/>
      <c r="EL391" s="182"/>
      <c r="EM391" s="182"/>
      <c r="EN391" s="182"/>
      <c r="EO391" s="182"/>
      <c r="EP391" s="182"/>
      <c r="EQ391" s="182"/>
      <c r="ER391" s="182"/>
      <c r="ES391" s="182"/>
      <c r="ET391" s="182"/>
      <c r="EU391" s="182"/>
      <c r="EV391" s="182"/>
      <c r="EW391" s="182"/>
      <c r="EX391" s="182"/>
      <c r="EY391" s="182"/>
      <c r="EZ391" s="182"/>
      <c r="FA391" s="182"/>
      <c r="FB391" s="182"/>
      <c r="FC391" s="182"/>
      <c r="FD391" s="182"/>
      <c r="FE391" s="182"/>
      <c r="FF391" s="182"/>
      <c r="FG391" s="182"/>
      <c r="FH391" s="182"/>
      <c r="FI391" s="182"/>
      <c r="FJ391" s="182"/>
      <c r="FK391" s="182"/>
      <c r="FL391" s="182"/>
      <c r="FM391" s="182"/>
      <c r="FN391" s="182"/>
      <c r="FO391" s="182"/>
      <c r="FP391" s="182"/>
      <c r="FQ391" s="182"/>
      <c r="FR391" s="182"/>
      <c r="FS391" s="182"/>
      <c r="FT391" s="182"/>
      <c r="FU391" s="182"/>
      <c r="FV391" s="182"/>
      <c r="FW391" s="182"/>
      <c r="FX391" s="182"/>
      <c r="FY391" s="182"/>
      <c r="FZ391" s="182"/>
      <c r="GA391" s="182"/>
      <c r="GB391" s="182"/>
      <c r="GC391" s="182"/>
      <c r="GD391" s="182"/>
      <c r="GE391" s="182"/>
      <c r="GF391" s="182"/>
      <c r="GG391" s="182"/>
      <c r="GH391" s="182"/>
      <c r="GI391" s="182"/>
    </row>
    <row r="392" spans="1:191" s="183" customFormat="1" x14ac:dyDescent="0.2">
      <c r="A392" s="210" t="s">
        <v>38697</v>
      </c>
      <c r="B392" s="210" t="s">
        <v>19240</v>
      </c>
      <c r="C392" s="224" t="s">
        <v>22496</v>
      </c>
      <c r="D392" s="211" t="s">
        <v>16</v>
      </c>
      <c r="E392" s="211">
        <v>90</v>
      </c>
      <c r="F392" s="211"/>
      <c r="G392" s="211">
        <v>0.3</v>
      </c>
      <c r="H392" s="212"/>
      <c r="I392" s="213"/>
      <c r="J392" s="272">
        <v>33.18</v>
      </c>
      <c r="K392" s="112">
        <f t="shared" si="26"/>
        <v>2986.2</v>
      </c>
      <c r="L392" s="273">
        <f>BDI!$E$17</f>
        <v>0.11260000000000001</v>
      </c>
      <c r="M392" s="213"/>
      <c r="N392" s="213"/>
      <c r="O392" s="114">
        <f t="shared" si="27"/>
        <v>36.92</v>
      </c>
      <c r="P392" s="113">
        <f t="shared" si="28"/>
        <v>996.84</v>
      </c>
      <c r="Q392" s="209"/>
      <c r="R392" s="203"/>
      <c r="S392" s="182"/>
      <c r="T392" s="182"/>
      <c r="U392" s="182"/>
      <c r="V392" s="182"/>
      <c r="W392" s="182"/>
      <c r="X392" s="182"/>
      <c r="Y392" s="182"/>
      <c r="Z392" s="182"/>
      <c r="AA392" s="182"/>
      <c r="AB392" s="182"/>
      <c r="AC392" s="182"/>
      <c r="AD392" s="182"/>
      <c r="AE392" s="182"/>
      <c r="AF392" s="182"/>
      <c r="AG392" s="182"/>
      <c r="AH392" s="182"/>
      <c r="AI392" s="182"/>
      <c r="AJ392" s="182"/>
      <c r="AK392" s="182"/>
      <c r="AL392" s="182"/>
      <c r="AM392" s="182"/>
      <c r="AN392" s="182"/>
      <c r="AO392" s="182"/>
      <c r="AP392" s="182"/>
      <c r="AQ392" s="182"/>
      <c r="AR392" s="182"/>
      <c r="AS392" s="182"/>
      <c r="AT392" s="182"/>
      <c r="AU392" s="182"/>
      <c r="AV392" s="182"/>
      <c r="AW392" s="182"/>
      <c r="AX392" s="182"/>
      <c r="AY392" s="182"/>
      <c r="AZ392" s="182"/>
      <c r="BA392" s="182"/>
      <c r="BB392" s="182"/>
      <c r="BC392" s="182"/>
      <c r="BD392" s="182"/>
      <c r="BE392" s="182"/>
      <c r="BF392" s="182"/>
      <c r="BG392" s="182"/>
      <c r="BH392" s="182"/>
      <c r="BI392" s="182"/>
      <c r="BJ392" s="182"/>
      <c r="BK392" s="182"/>
      <c r="BL392" s="182"/>
      <c r="BM392" s="182"/>
      <c r="BN392" s="182"/>
      <c r="BO392" s="182"/>
      <c r="BP392" s="182"/>
      <c r="BQ392" s="182"/>
      <c r="BR392" s="182"/>
      <c r="BS392" s="182"/>
      <c r="BT392" s="182"/>
      <c r="BU392" s="182"/>
      <c r="BV392" s="182"/>
      <c r="BW392" s="182"/>
      <c r="BX392" s="182"/>
      <c r="BY392" s="182"/>
      <c r="BZ392" s="182"/>
      <c r="CA392" s="182"/>
      <c r="CB392" s="182"/>
      <c r="CC392" s="182"/>
      <c r="CD392" s="182"/>
      <c r="CE392" s="182"/>
      <c r="CF392" s="182"/>
      <c r="CG392" s="182"/>
      <c r="CH392" s="182"/>
      <c r="CI392" s="182"/>
      <c r="CJ392" s="182"/>
      <c r="CK392" s="182"/>
      <c r="CL392" s="182"/>
      <c r="CM392" s="182"/>
      <c r="CN392" s="182"/>
      <c r="CO392" s="182"/>
      <c r="CP392" s="182"/>
      <c r="CQ392" s="182"/>
      <c r="CR392" s="182"/>
      <c r="CS392" s="182"/>
      <c r="CT392" s="182"/>
      <c r="CU392" s="182"/>
      <c r="CV392" s="182"/>
      <c r="CW392" s="182"/>
      <c r="CX392" s="182"/>
      <c r="CY392" s="182"/>
      <c r="CZ392" s="182"/>
      <c r="DA392" s="182"/>
      <c r="DB392" s="182"/>
      <c r="DC392" s="182"/>
      <c r="DD392" s="182"/>
      <c r="DE392" s="182"/>
      <c r="DF392" s="182"/>
      <c r="DG392" s="182"/>
      <c r="DH392" s="182"/>
      <c r="DI392" s="182"/>
      <c r="DJ392" s="182"/>
      <c r="DK392" s="182"/>
      <c r="DL392" s="182"/>
      <c r="DM392" s="182"/>
      <c r="DN392" s="182"/>
      <c r="DO392" s="182"/>
      <c r="DP392" s="182"/>
      <c r="DQ392" s="182"/>
      <c r="DR392" s="182"/>
      <c r="DS392" s="182"/>
      <c r="DT392" s="182"/>
      <c r="DU392" s="182"/>
      <c r="DV392" s="182"/>
      <c r="DW392" s="182"/>
      <c r="DX392" s="182"/>
      <c r="DY392" s="182"/>
      <c r="DZ392" s="182"/>
      <c r="EA392" s="182"/>
      <c r="EB392" s="182"/>
      <c r="EC392" s="182"/>
      <c r="ED392" s="182"/>
      <c r="EE392" s="182"/>
      <c r="EF392" s="182"/>
      <c r="EG392" s="182"/>
      <c r="EH392" s="182"/>
      <c r="EI392" s="182"/>
      <c r="EJ392" s="182"/>
      <c r="EK392" s="182"/>
      <c r="EL392" s="182"/>
      <c r="EM392" s="182"/>
      <c r="EN392" s="182"/>
      <c r="EO392" s="182"/>
      <c r="EP392" s="182"/>
      <c r="EQ392" s="182"/>
      <c r="ER392" s="182"/>
      <c r="ES392" s="182"/>
      <c r="ET392" s="182"/>
      <c r="EU392" s="182"/>
      <c r="EV392" s="182"/>
      <c r="EW392" s="182"/>
      <c r="EX392" s="182"/>
      <c r="EY392" s="182"/>
      <c r="EZ392" s="182"/>
      <c r="FA392" s="182"/>
      <c r="FB392" s="182"/>
      <c r="FC392" s="182"/>
      <c r="FD392" s="182"/>
      <c r="FE392" s="182"/>
      <c r="FF392" s="182"/>
      <c r="FG392" s="182"/>
      <c r="FH392" s="182"/>
      <c r="FI392" s="182"/>
      <c r="FJ392" s="182"/>
      <c r="FK392" s="182"/>
      <c r="FL392" s="182"/>
      <c r="FM392" s="182"/>
      <c r="FN392" s="182"/>
      <c r="FO392" s="182"/>
      <c r="FP392" s="182"/>
      <c r="FQ392" s="182"/>
      <c r="FR392" s="182"/>
      <c r="FS392" s="182"/>
      <c r="FT392" s="182"/>
      <c r="FU392" s="182"/>
      <c r="FV392" s="182"/>
      <c r="FW392" s="182"/>
      <c r="FX392" s="182"/>
      <c r="FY392" s="182"/>
      <c r="FZ392" s="182"/>
      <c r="GA392" s="182"/>
      <c r="GB392" s="182"/>
      <c r="GC392" s="182"/>
      <c r="GD392" s="182"/>
      <c r="GE392" s="182"/>
      <c r="GF392" s="182"/>
      <c r="GG392" s="182"/>
      <c r="GH392" s="182"/>
      <c r="GI392" s="182"/>
    </row>
    <row r="393" spans="1:191" s="183" customFormat="1" x14ac:dyDescent="0.2">
      <c r="A393" s="210" t="s">
        <v>38698</v>
      </c>
      <c r="B393" s="210" t="s">
        <v>19241</v>
      </c>
      <c r="C393" s="224" t="s">
        <v>22497</v>
      </c>
      <c r="D393" s="211" t="s">
        <v>16</v>
      </c>
      <c r="E393" s="211">
        <v>45</v>
      </c>
      <c r="F393" s="211"/>
      <c r="G393" s="211">
        <v>0.3</v>
      </c>
      <c r="H393" s="212"/>
      <c r="I393" s="213"/>
      <c r="J393" s="272">
        <v>26.18</v>
      </c>
      <c r="K393" s="112">
        <f t="shared" si="26"/>
        <v>1178.0999999999999</v>
      </c>
      <c r="L393" s="273">
        <f>BDI!$E$17</f>
        <v>0.11260000000000001</v>
      </c>
      <c r="M393" s="213"/>
      <c r="N393" s="213"/>
      <c r="O393" s="114">
        <f t="shared" si="27"/>
        <v>29.13</v>
      </c>
      <c r="P393" s="113">
        <f t="shared" si="28"/>
        <v>393.26</v>
      </c>
      <c r="Q393" s="209"/>
      <c r="R393" s="203"/>
      <c r="S393" s="182"/>
      <c r="T393" s="182"/>
      <c r="U393" s="182"/>
      <c r="V393" s="182"/>
      <c r="W393" s="182"/>
      <c r="X393" s="182"/>
      <c r="Y393" s="182"/>
      <c r="Z393" s="182"/>
      <c r="AA393" s="182"/>
      <c r="AB393" s="182"/>
      <c r="AC393" s="182"/>
      <c r="AD393" s="182"/>
      <c r="AE393" s="182"/>
      <c r="AF393" s="182"/>
      <c r="AG393" s="182"/>
      <c r="AH393" s="182"/>
      <c r="AI393" s="182"/>
      <c r="AJ393" s="182"/>
      <c r="AK393" s="182"/>
      <c r="AL393" s="182"/>
      <c r="AM393" s="182"/>
      <c r="AN393" s="182"/>
      <c r="AO393" s="182"/>
      <c r="AP393" s="182"/>
      <c r="AQ393" s="182"/>
      <c r="AR393" s="182"/>
      <c r="AS393" s="182"/>
      <c r="AT393" s="182"/>
      <c r="AU393" s="182"/>
      <c r="AV393" s="182"/>
      <c r="AW393" s="182"/>
      <c r="AX393" s="182"/>
      <c r="AY393" s="182"/>
      <c r="AZ393" s="182"/>
      <c r="BA393" s="182"/>
      <c r="BB393" s="182"/>
      <c r="BC393" s="182"/>
      <c r="BD393" s="182"/>
      <c r="BE393" s="182"/>
      <c r="BF393" s="182"/>
      <c r="BG393" s="182"/>
      <c r="BH393" s="182"/>
      <c r="BI393" s="182"/>
      <c r="BJ393" s="182"/>
      <c r="BK393" s="182"/>
      <c r="BL393" s="182"/>
      <c r="BM393" s="182"/>
      <c r="BN393" s="182"/>
      <c r="BO393" s="182"/>
      <c r="BP393" s="182"/>
      <c r="BQ393" s="182"/>
      <c r="BR393" s="182"/>
      <c r="BS393" s="182"/>
      <c r="BT393" s="182"/>
      <c r="BU393" s="182"/>
      <c r="BV393" s="182"/>
      <c r="BW393" s="182"/>
      <c r="BX393" s="182"/>
      <c r="BY393" s="182"/>
      <c r="BZ393" s="182"/>
      <c r="CA393" s="182"/>
      <c r="CB393" s="182"/>
      <c r="CC393" s="182"/>
      <c r="CD393" s="182"/>
      <c r="CE393" s="182"/>
      <c r="CF393" s="182"/>
      <c r="CG393" s="182"/>
      <c r="CH393" s="182"/>
      <c r="CI393" s="182"/>
      <c r="CJ393" s="182"/>
      <c r="CK393" s="182"/>
      <c r="CL393" s="182"/>
      <c r="CM393" s="182"/>
      <c r="CN393" s="182"/>
      <c r="CO393" s="182"/>
      <c r="CP393" s="182"/>
      <c r="CQ393" s="182"/>
      <c r="CR393" s="182"/>
      <c r="CS393" s="182"/>
      <c r="CT393" s="182"/>
      <c r="CU393" s="182"/>
      <c r="CV393" s="182"/>
      <c r="CW393" s="182"/>
      <c r="CX393" s="182"/>
      <c r="CY393" s="182"/>
      <c r="CZ393" s="182"/>
      <c r="DA393" s="182"/>
      <c r="DB393" s="182"/>
      <c r="DC393" s="182"/>
      <c r="DD393" s="182"/>
      <c r="DE393" s="182"/>
      <c r="DF393" s="182"/>
      <c r="DG393" s="182"/>
      <c r="DH393" s="182"/>
      <c r="DI393" s="182"/>
      <c r="DJ393" s="182"/>
      <c r="DK393" s="182"/>
      <c r="DL393" s="182"/>
      <c r="DM393" s="182"/>
      <c r="DN393" s="182"/>
      <c r="DO393" s="182"/>
      <c r="DP393" s="182"/>
      <c r="DQ393" s="182"/>
      <c r="DR393" s="182"/>
      <c r="DS393" s="182"/>
      <c r="DT393" s="182"/>
      <c r="DU393" s="182"/>
      <c r="DV393" s="182"/>
      <c r="DW393" s="182"/>
      <c r="DX393" s="182"/>
      <c r="DY393" s="182"/>
      <c r="DZ393" s="182"/>
      <c r="EA393" s="182"/>
      <c r="EB393" s="182"/>
      <c r="EC393" s="182"/>
      <c r="ED393" s="182"/>
      <c r="EE393" s="182"/>
      <c r="EF393" s="182"/>
      <c r="EG393" s="182"/>
      <c r="EH393" s="182"/>
      <c r="EI393" s="182"/>
      <c r="EJ393" s="182"/>
      <c r="EK393" s="182"/>
      <c r="EL393" s="182"/>
      <c r="EM393" s="182"/>
      <c r="EN393" s="182"/>
      <c r="EO393" s="182"/>
      <c r="EP393" s="182"/>
      <c r="EQ393" s="182"/>
      <c r="ER393" s="182"/>
      <c r="ES393" s="182"/>
      <c r="ET393" s="182"/>
      <c r="EU393" s="182"/>
      <c r="EV393" s="182"/>
      <c r="EW393" s="182"/>
      <c r="EX393" s="182"/>
      <c r="EY393" s="182"/>
      <c r="EZ393" s="182"/>
      <c r="FA393" s="182"/>
      <c r="FB393" s="182"/>
      <c r="FC393" s="182"/>
      <c r="FD393" s="182"/>
      <c r="FE393" s="182"/>
      <c r="FF393" s="182"/>
      <c r="FG393" s="182"/>
      <c r="FH393" s="182"/>
      <c r="FI393" s="182"/>
      <c r="FJ393" s="182"/>
      <c r="FK393" s="182"/>
      <c r="FL393" s="182"/>
      <c r="FM393" s="182"/>
      <c r="FN393" s="182"/>
      <c r="FO393" s="182"/>
      <c r="FP393" s="182"/>
      <c r="FQ393" s="182"/>
      <c r="FR393" s="182"/>
      <c r="FS393" s="182"/>
      <c r="FT393" s="182"/>
      <c r="FU393" s="182"/>
      <c r="FV393" s="182"/>
      <c r="FW393" s="182"/>
      <c r="FX393" s="182"/>
      <c r="FY393" s="182"/>
      <c r="FZ393" s="182"/>
      <c r="GA393" s="182"/>
      <c r="GB393" s="182"/>
      <c r="GC393" s="182"/>
      <c r="GD393" s="182"/>
      <c r="GE393" s="182"/>
      <c r="GF393" s="182"/>
      <c r="GG393" s="182"/>
      <c r="GH393" s="182"/>
      <c r="GI393" s="182"/>
    </row>
    <row r="394" spans="1:191" s="183" customFormat="1" x14ac:dyDescent="0.2">
      <c r="A394" s="210" t="s">
        <v>38699</v>
      </c>
      <c r="B394" s="210" t="s">
        <v>19242</v>
      </c>
      <c r="C394" s="224" t="s">
        <v>22498</v>
      </c>
      <c r="D394" s="211" t="s">
        <v>16</v>
      </c>
      <c r="E394" s="211">
        <v>45</v>
      </c>
      <c r="F394" s="211"/>
      <c r="G394" s="211">
        <v>0.3</v>
      </c>
      <c r="H394" s="212"/>
      <c r="I394" s="213"/>
      <c r="J394" s="272">
        <v>62.67</v>
      </c>
      <c r="K394" s="112">
        <f t="shared" si="26"/>
        <v>2820.15</v>
      </c>
      <c r="L394" s="273">
        <f>BDI!$E$17</f>
        <v>0.11260000000000001</v>
      </c>
      <c r="M394" s="213"/>
      <c r="N394" s="213"/>
      <c r="O394" s="114">
        <f t="shared" si="27"/>
        <v>69.73</v>
      </c>
      <c r="P394" s="113">
        <f t="shared" si="28"/>
        <v>941.36</v>
      </c>
      <c r="Q394" s="209"/>
      <c r="R394" s="203"/>
      <c r="S394" s="182"/>
      <c r="T394" s="182"/>
      <c r="U394" s="182"/>
      <c r="V394" s="182"/>
      <c r="W394" s="182"/>
      <c r="X394" s="182"/>
      <c r="Y394" s="182"/>
      <c r="Z394" s="182"/>
      <c r="AA394" s="182"/>
      <c r="AB394" s="182"/>
      <c r="AC394" s="182"/>
      <c r="AD394" s="182"/>
      <c r="AE394" s="182"/>
      <c r="AF394" s="182"/>
      <c r="AG394" s="182"/>
      <c r="AH394" s="182"/>
      <c r="AI394" s="182"/>
      <c r="AJ394" s="182"/>
      <c r="AK394" s="182"/>
      <c r="AL394" s="182"/>
      <c r="AM394" s="182"/>
      <c r="AN394" s="182"/>
      <c r="AO394" s="182"/>
      <c r="AP394" s="182"/>
      <c r="AQ394" s="182"/>
      <c r="AR394" s="182"/>
      <c r="AS394" s="182"/>
      <c r="AT394" s="182"/>
      <c r="AU394" s="182"/>
      <c r="AV394" s="182"/>
      <c r="AW394" s="182"/>
      <c r="AX394" s="182"/>
      <c r="AY394" s="182"/>
      <c r="AZ394" s="182"/>
      <c r="BA394" s="182"/>
      <c r="BB394" s="182"/>
      <c r="BC394" s="182"/>
      <c r="BD394" s="182"/>
      <c r="BE394" s="182"/>
      <c r="BF394" s="182"/>
      <c r="BG394" s="182"/>
      <c r="BH394" s="182"/>
      <c r="BI394" s="182"/>
      <c r="BJ394" s="182"/>
      <c r="BK394" s="182"/>
      <c r="BL394" s="182"/>
      <c r="BM394" s="182"/>
      <c r="BN394" s="182"/>
      <c r="BO394" s="182"/>
      <c r="BP394" s="182"/>
      <c r="BQ394" s="182"/>
      <c r="BR394" s="182"/>
      <c r="BS394" s="182"/>
      <c r="BT394" s="182"/>
      <c r="BU394" s="182"/>
      <c r="BV394" s="182"/>
      <c r="BW394" s="182"/>
      <c r="BX394" s="182"/>
      <c r="BY394" s="182"/>
      <c r="BZ394" s="182"/>
      <c r="CA394" s="182"/>
      <c r="CB394" s="182"/>
      <c r="CC394" s="182"/>
      <c r="CD394" s="182"/>
      <c r="CE394" s="182"/>
      <c r="CF394" s="182"/>
      <c r="CG394" s="182"/>
      <c r="CH394" s="182"/>
      <c r="CI394" s="182"/>
      <c r="CJ394" s="182"/>
      <c r="CK394" s="182"/>
      <c r="CL394" s="182"/>
      <c r="CM394" s="182"/>
      <c r="CN394" s="182"/>
      <c r="CO394" s="182"/>
      <c r="CP394" s="182"/>
      <c r="CQ394" s="182"/>
      <c r="CR394" s="182"/>
      <c r="CS394" s="182"/>
      <c r="CT394" s="182"/>
      <c r="CU394" s="182"/>
      <c r="CV394" s="182"/>
      <c r="CW394" s="182"/>
      <c r="CX394" s="182"/>
      <c r="CY394" s="182"/>
      <c r="CZ394" s="182"/>
      <c r="DA394" s="182"/>
      <c r="DB394" s="182"/>
      <c r="DC394" s="182"/>
      <c r="DD394" s="182"/>
      <c r="DE394" s="182"/>
      <c r="DF394" s="182"/>
      <c r="DG394" s="182"/>
      <c r="DH394" s="182"/>
      <c r="DI394" s="182"/>
      <c r="DJ394" s="182"/>
      <c r="DK394" s="182"/>
      <c r="DL394" s="182"/>
      <c r="DM394" s="182"/>
      <c r="DN394" s="182"/>
      <c r="DO394" s="182"/>
      <c r="DP394" s="182"/>
      <c r="DQ394" s="182"/>
      <c r="DR394" s="182"/>
      <c r="DS394" s="182"/>
      <c r="DT394" s="182"/>
      <c r="DU394" s="182"/>
      <c r="DV394" s="182"/>
      <c r="DW394" s="182"/>
      <c r="DX394" s="182"/>
      <c r="DY394" s="182"/>
      <c r="DZ394" s="182"/>
      <c r="EA394" s="182"/>
      <c r="EB394" s="182"/>
      <c r="EC394" s="182"/>
      <c r="ED394" s="182"/>
      <c r="EE394" s="182"/>
      <c r="EF394" s="182"/>
      <c r="EG394" s="182"/>
      <c r="EH394" s="182"/>
      <c r="EI394" s="182"/>
      <c r="EJ394" s="182"/>
      <c r="EK394" s="182"/>
      <c r="EL394" s="182"/>
      <c r="EM394" s="182"/>
      <c r="EN394" s="182"/>
      <c r="EO394" s="182"/>
      <c r="EP394" s="182"/>
      <c r="EQ394" s="182"/>
      <c r="ER394" s="182"/>
      <c r="ES394" s="182"/>
      <c r="ET394" s="182"/>
      <c r="EU394" s="182"/>
      <c r="EV394" s="182"/>
      <c r="EW394" s="182"/>
      <c r="EX394" s="182"/>
      <c r="EY394" s="182"/>
      <c r="EZ394" s="182"/>
      <c r="FA394" s="182"/>
      <c r="FB394" s="182"/>
      <c r="FC394" s="182"/>
      <c r="FD394" s="182"/>
      <c r="FE394" s="182"/>
      <c r="FF394" s="182"/>
      <c r="FG394" s="182"/>
      <c r="FH394" s="182"/>
      <c r="FI394" s="182"/>
      <c r="FJ394" s="182"/>
      <c r="FK394" s="182"/>
      <c r="FL394" s="182"/>
      <c r="FM394" s="182"/>
      <c r="FN394" s="182"/>
      <c r="FO394" s="182"/>
      <c r="FP394" s="182"/>
      <c r="FQ394" s="182"/>
      <c r="FR394" s="182"/>
      <c r="FS394" s="182"/>
      <c r="FT394" s="182"/>
      <c r="FU394" s="182"/>
      <c r="FV394" s="182"/>
      <c r="FW394" s="182"/>
      <c r="FX394" s="182"/>
      <c r="FY394" s="182"/>
      <c r="FZ394" s="182"/>
      <c r="GA394" s="182"/>
      <c r="GB394" s="182"/>
      <c r="GC394" s="182"/>
      <c r="GD394" s="182"/>
      <c r="GE394" s="182"/>
      <c r="GF394" s="182"/>
      <c r="GG394" s="182"/>
      <c r="GH394" s="182"/>
      <c r="GI394" s="182"/>
    </row>
    <row r="395" spans="1:191" s="183" customFormat="1" x14ac:dyDescent="0.2">
      <c r="A395" s="210" t="s">
        <v>38700</v>
      </c>
      <c r="B395" s="210" t="s">
        <v>19243</v>
      </c>
      <c r="C395" s="224" t="s">
        <v>22499</v>
      </c>
      <c r="D395" s="211" t="s">
        <v>16</v>
      </c>
      <c r="E395" s="211">
        <v>45</v>
      </c>
      <c r="F395" s="211"/>
      <c r="G395" s="211">
        <v>0.3</v>
      </c>
      <c r="H395" s="212"/>
      <c r="I395" s="213"/>
      <c r="J395" s="272">
        <v>19.690000000000001</v>
      </c>
      <c r="K395" s="112">
        <f t="shared" si="26"/>
        <v>886.05</v>
      </c>
      <c r="L395" s="273">
        <f>BDI!$E$17</f>
        <v>0.11260000000000001</v>
      </c>
      <c r="M395" s="213"/>
      <c r="N395" s="213"/>
      <c r="O395" s="114">
        <f t="shared" si="27"/>
        <v>21.91</v>
      </c>
      <c r="P395" s="113">
        <f t="shared" si="28"/>
        <v>295.79000000000002</v>
      </c>
      <c r="Q395" s="209"/>
      <c r="R395" s="203"/>
      <c r="S395" s="182"/>
      <c r="T395" s="182"/>
      <c r="U395" s="182"/>
      <c r="V395" s="182"/>
      <c r="W395" s="182"/>
      <c r="X395" s="182"/>
      <c r="Y395" s="182"/>
      <c r="Z395" s="182"/>
      <c r="AA395" s="182"/>
      <c r="AB395" s="182"/>
      <c r="AC395" s="182"/>
      <c r="AD395" s="182"/>
      <c r="AE395" s="182"/>
      <c r="AF395" s="182"/>
      <c r="AG395" s="182"/>
      <c r="AH395" s="182"/>
      <c r="AI395" s="182"/>
      <c r="AJ395" s="182"/>
      <c r="AK395" s="182"/>
      <c r="AL395" s="182"/>
      <c r="AM395" s="182"/>
      <c r="AN395" s="182"/>
      <c r="AO395" s="182"/>
      <c r="AP395" s="182"/>
      <c r="AQ395" s="182"/>
      <c r="AR395" s="182"/>
      <c r="AS395" s="182"/>
      <c r="AT395" s="182"/>
      <c r="AU395" s="182"/>
      <c r="AV395" s="182"/>
      <c r="AW395" s="182"/>
      <c r="AX395" s="182"/>
      <c r="AY395" s="182"/>
      <c r="AZ395" s="182"/>
      <c r="BA395" s="182"/>
      <c r="BB395" s="182"/>
      <c r="BC395" s="182"/>
      <c r="BD395" s="182"/>
      <c r="BE395" s="182"/>
      <c r="BF395" s="182"/>
      <c r="BG395" s="182"/>
      <c r="BH395" s="182"/>
      <c r="BI395" s="182"/>
      <c r="BJ395" s="182"/>
      <c r="BK395" s="182"/>
      <c r="BL395" s="182"/>
      <c r="BM395" s="182"/>
      <c r="BN395" s="182"/>
      <c r="BO395" s="182"/>
      <c r="BP395" s="182"/>
      <c r="BQ395" s="182"/>
      <c r="BR395" s="182"/>
      <c r="BS395" s="182"/>
      <c r="BT395" s="182"/>
      <c r="BU395" s="182"/>
      <c r="BV395" s="182"/>
      <c r="BW395" s="182"/>
      <c r="BX395" s="182"/>
      <c r="BY395" s="182"/>
      <c r="BZ395" s="182"/>
      <c r="CA395" s="182"/>
      <c r="CB395" s="182"/>
      <c r="CC395" s="182"/>
      <c r="CD395" s="182"/>
      <c r="CE395" s="182"/>
      <c r="CF395" s="182"/>
      <c r="CG395" s="182"/>
      <c r="CH395" s="182"/>
      <c r="CI395" s="182"/>
      <c r="CJ395" s="182"/>
      <c r="CK395" s="182"/>
      <c r="CL395" s="182"/>
      <c r="CM395" s="182"/>
      <c r="CN395" s="182"/>
      <c r="CO395" s="182"/>
      <c r="CP395" s="182"/>
      <c r="CQ395" s="182"/>
      <c r="CR395" s="182"/>
      <c r="CS395" s="182"/>
      <c r="CT395" s="182"/>
      <c r="CU395" s="182"/>
      <c r="CV395" s="182"/>
      <c r="CW395" s="182"/>
      <c r="CX395" s="182"/>
      <c r="CY395" s="182"/>
      <c r="CZ395" s="182"/>
      <c r="DA395" s="182"/>
      <c r="DB395" s="182"/>
      <c r="DC395" s="182"/>
      <c r="DD395" s="182"/>
      <c r="DE395" s="182"/>
      <c r="DF395" s="182"/>
      <c r="DG395" s="182"/>
      <c r="DH395" s="182"/>
      <c r="DI395" s="182"/>
      <c r="DJ395" s="182"/>
      <c r="DK395" s="182"/>
      <c r="DL395" s="182"/>
      <c r="DM395" s="182"/>
      <c r="DN395" s="182"/>
      <c r="DO395" s="182"/>
      <c r="DP395" s="182"/>
      <c r="DQ395" s="182"/>
      <c r="DR395" s="182"/>
      <c r="DS395" s="182"/>
      <c r="DT395" s="182"/>
      <c r="DU395" s="182"/>
      <c r="DV395" s="182"/>
      <c r="DW395" s="182"/>
      <c r="DX395" s="182"/>
      <c r="DY395" s="182"/>
      <c r="DZ395" s="182"/>
      <c r="EA395" s="182"/>
      <c r="EB395" s="182"/>
      <c r="EC395" s="182"/>
      <c r="ED395" s="182"/>
      <c r="EE395" s="182"/>
      <c r="EF395" s="182"/>
      <c r="EG395" s="182"/>
      <c r="EH395" s="182"/>
      <c r="EI395" s="182"/>
      <c r="EJ395" s="182"/>
      <c r="EK395" s="182"/>
      <c r="EL395" s="182"/>
      <c r="EM395" s="182"/>
      <c r="EN395" s="182"/>
      <c r="EO395" s="182"/>
      <c r="EP395" s="182"/>
      <c r="EQ395" s="182"/>
      <c r="ER395" s="182"/>
      <c r="ES395" s="182"/>
      <c r="ET395" s="182"/>
      <c r="EU395" s="182"/>
      <c r="EV395" s="182"/>
      <c r="EW395" s="182"/>
      <c r="EX395" s="182"/>
      <c r="EY395" s="182"/>
      <c r="EZ395" s="182"/>
      <c r="FA395" s="182"/>
      <c r="FB395" s="182"/>
      <c r="FC395" s="182"/>
      <c r="FD395" s="182"/>
      <c r="FE395" s="182"/>
      <c r="FF395" s="182"/>
      <c r="FG395" s="182"/>
      <c r="FH395" s="182"/>
      <c r="FI395" s="182"/>
      <c r="FJ395" s="182"/>
      <c r="FK395" s="182"/>
      <c r="FL395" s="182"/>
      <c r="FM395" s="182"/>
      <c r="FN395" s="182"/>
      <c r="FO395" s="182"/>
      <c r="FP395" s="182"/>
      <c r="FQ395" s="182"/>
      <c r="FR395" s="182"/>
      <c r="FS395" s="182"/>
      <c r="FT395" s="182"/>
      <c r="FU395" s="182"/>
      <c r="FV395" s="182"/>
      <c r="FW395" s="182"/>
      <c r="FX395" s="182"/>
      <c r="FY395" s="182"/>
      <c r="FZ395" s="182"/>
      <c r="GA395" s="182"/>
      <c r="GB395" s="182"/>
      <c r="GC395" s="182"/>
      <c r="GD395" s="182"/>
      <c r="GE395" s="182"/>
      <c r="GF395" s="182"/>
      <c r="GG395" s="182"/>
      <c r="GH395" s="182"/>
      <c r="GI395" s="182"/>
    </row>
    <row r="396" spans="1:191" s="183" customFormat="1" x14ac:dyDescent="0.2">
      <c r="A396" s="210" t="s">
        <v>38701</v>
      </c>
      <c r="B396" s="210" t="s">
        <v>19244</v>
      </c>
      <c r="C396" s="224" t="s">
        <v>22500</v>
      </c>
      <c r="D396" s="211" t="s">
        <v>69</v>
      </c>
      <c r="E396" s="211">
        <v>90</v>
      </c>
      <c r="F396" s="211"/>
      <c r="G396" s="211">
        <v>0.3</v>
      </c>
      <c r="H396" s="212"/>
      <c r="I396" s="213"/>
      <c r="J396" s="272">
        <v>183.7</v>
      </c>
      <c r="K396" s="112">
        <f t="shared" si="26"/>
        <v>16533</v>
      </c>
      <c r="L396" s="273">
        <f>BDI!$E$17</f>
        <v>0.11260000000000001</v>
      </c>
      <c r="M396" s="213"/>
      <c r="N396" s="213"/>
      <c r="O396" s="114">
        <f t="shared" si="27"/>
        <v>204.38</v>
      </c>
      <c r="P396" s="113">
        <f t="shared" si="28"/>
        <v>5518.26</v>
      </c>
      <c r="Q396" s="209"/>
      <c r="R396" s="203"/>
      <c r="S396" s="182"/>
      <c r="T396" s="182"/>
      <c r="U396" s="182"/>
      <c r="V396" s="182"/>
      <c r="W396" s="182"/>
      <c r="X396" s="182"/>
      <c r="Y396" s="182"/>
      <c r="Z396" s="182"/>
      <c r="AA396" s="182"/>
      <c r="AB396" s="182"/>
      <c r="AC396" s="182"/>
      <c r="AD396" s="182"/>
      <c r="AE396" s="182"/>
      <c r="AF396" s="182"/>
      <c r="AG396" s="182"/>
      <c r="AH396" s="182"/>
      <c r="AI396" s="182"/>
      <c r="AJ396" s="182"/>
      <c r="AK396" s="182"/>
      <c r="AL396" s="182"/>
      <c r="AM396" s="182"/>
      <c r="AN396" s="182"/>
      <c r="AO396" s="182"/>
      <c r="AP396" s="182"/>
      <c r="AQ396" s="182"/>
      <c r="AR396" s="182"/>
      <c r="AS396" s="182"/>
      <c r="AT396" s="182"/>
      <c r="AU396" s="182"/>
      <c r="AV396" s="182"/>
      <c r="AW396" s="182"/>
      <c r="AX396" s="182"/>
      <c r="AY396" s="182"/>
      <c r="AZ396" s="182"/>
      <c r="BA396" s="182"/>
      <c r="BB396" s="182"/>
      <c r="BC396" s="182"/>
      <c r="BD396" s="182"/>
      <c r="BE396" s="182"/>
      <c r="BF396" s="182"/>
      <c r="BG396" s="182"/>
      <c r="BH396" s="182"/>
      <c r="BI396" s="182"/>
      <c r="BJ396" s="182"/>
      <c r="BK396" s="182"/>
      <c r="BL396" s="182"/>
      <c r="BM396" s="182"/>
      <c r="BN396" s="182"/>
      <c r="BO396" s="182"/>
      <c r="BP396" s="182"/>
      <c r="BQ396" s="182"/>
      <c r="BR396" s="182"/>
      <c r="BS396" s="182"/>
      <c r="BT396" s="182"/>
      <c r="BU396" s="182"/>
      <c r="BV396" s="182"/>
      <c r="BW396" s="182"/>
      <c r="BX396" s="182"/>
      <c r="BY396" s="182"/>
      <c r="BZ396" s="182"/>
      <c r="CA396" s="182"/>
      <c r="CB396" s="182"/>
      <c r="CC396" s="182"/>
      <c r="CD396" s="182"/>
      <c r="CE396" s="182"/>
      <c r="CF396" s="182"/>
      <c r="CG396" s="182"/>
      <c r="CH396" s="182"/>
      <c r="CI396" s="182"/>
      <c r="CJ396" s="182"/>
      <c r="CK396" s="182"/>
      <c r="CL396" s="182"/>
      <c r="CM396" s="182"/>
      <c r="CN396" s="182"/>
      <c r="CO396" s="182"/>
      <c r="CP396" s="182"/>
      <c r="CQ396" s="182"/>
      <c r="CR396" s="182"/>
      <c r="CS396" s="182"/>
      <c r="CT396" s="182"/>
      <c r="CU396" s="182"/>
      <c r="CV396" s="182"/>
      <c r="CW396" s="182"/>
      <c r="CX396" s="182"/>
      <c r="CY396" s="182"/>
      <c r="CZ396" s="182"/>
      <c r="DA396" s="182"/>
      <c r="DB396" s="182"/>
      <c r="DC396" s="182"/>
      <c r="DD396" s="182"/>
      <c r="DE396" s="182"/>
      <c r="DF396" s="182"/>
      <c r="DG396" s="182"/>
      <c r="DH396" s="182"/>
      <c r="DI396" s="182"/>
      <c r="DJ396" s="182"/>
      <c r="DK396" s="182"/>
      <c r="DL396" s="182"/>
      <c r="DM396" s="182"/>
      <c r="DN396" s="182"/>
      <c r="DO396" s="182"/>
      <c r="DP396" s="182"/>
      <c r="DQ396" s="182"/>
      <c r="DR396" s="182"/>
      <c r="DS396" s="182"/>
      <c r="DT396" s="182"/>
      <c r="DU396" s="182"/>
      <c r="DV396" s="182"/>
      <c r="DW396" s="182"/>
      <c r="DX396" s="182"/>
      <c r="DY396" s="182"/>
      <c r="DZ396" s="182"/>
      <c r="EA396" s="182"/>
      <c r="EB396" s="182"/>
      <c r="EC396" s="182"/>
      <c r="ED396" s="182"/>
      <c r="EE396" s="182"/>
      <c r="EF396" s="182"/>
      <c r="EG396" s="182"/>
      <c r="EH396" s="182"/>
      <c r="EI396" s="182"/>
      <c r="EJ396" s="182"/>
      <c r="EK396" s="182"/>
      <c r="EL396" s="182"/>
      <c r="EM396" s="182"/>
      <c r="EN396" s="182"/>
      <c r="EO396" s="182"/>
      <c r="EP396" s="182"/>
      <c r="EQ396" s="182"/>
      <c r="ER396" s="182"/>
      <c r="ES396" s="182"/>
      <c r="ET396" s="182"/>
      <c r="EU396" s="182"/>
      <c r="EV396" s="182"/>
      <c r="EW396" s="182"/>
      <c r="EX396" s="182"/>
      <c r="EY396" s="182"/>
      <c r="EZ396" s="182"/>
      <c r="FA396" s="182"/>
      <c r="FB396" s="182"/>
      <c r="FC396" s="182"/>
      <c r="FD396" s="182"/>
      <c r="FE396" s="182"/>
      <c r="FF396" s="182"/>
      <c r="FG396" s="182"/>
      <c r="FH396" s="182"/>
      <c r="FI396" s="182"/>
      <c r="FJ396" s="182"/>
      <c r="FK396" s="182"/>
      <c r="FL396" s="182"/>
      <c r="FM396" s="182"/>
      <c r="FN396" s="182"/>
      <c r="FO396" s="182"/>
      <c r="FP396" s="182"/>
      <c r="FQ396" s="182"/>
      <c r="FR396" s="182"/>
      <c r="FS396" s="182"/>
      <c r="FT396" s="182"/>
      <c r="FU396" s="182"/>
      <c r="FV396" s="182"/>
      <c r="FW396" s="182"/>
      <c r="FX396" s="182"/>
      <c r="FY396" s="182"/>
      <c r="FZ396" s="182"/>
      <c r="GA396" s="182"/>
      <c r="GB396" s="182"/>
      <c r="GC396" s="182"/>
      <c r="GD396" s="182"/>
      <c r="GE396" s="182"/>
      <c r="GF396" s="182"/>
      <c r="GG396" s="182"/>
      <c r="GH396" s="182"/>
      <c r="GI396" s="182"/>
    </row>
    <row r="397" spans="1:191" s="183" customFormat="1" x14ac:dyDescent="0.2">
      <c r="A397" s="210" t="s">
        <v>38702</v>
      </c>
      <c r="B397" s="210" t="s">
        <v>19245</v>
      </c>
      <c r="C397" s="224" t="s">
        <v>22501</v>
      </c>
      <c r="D397" s="211" t="s">
        <v>16</v>
      </c>
      <c r="E397" s="211">
        <v>180</v>
      </c>
      <c r="F397" s="211"/>
      <c r="G397" s="211">
        <v>0.3</v>
      </c>
      <c r="H397" s="212"/>
      <c r="I397" s="213"/>
      <c r="J397" s="272">
        <v>111.87</v>
      </c>
      <c r="K397" s="112">
        <f t="shared" si="26"/>
        <v>20136.599999999999</v>
      </c>
      <c r="L397" s="273">
        <f>BDI!$E$17</f>
        <v>0.11260000000000001</v>
      </c>
      <c r="M397" s="213"/>
      <c r="N397" s="213"/>
      <c r="O397" s="114">
        <f t="shared" si="27"/>
        <v>124.47</v>
      </c>
      <c r="P397" s="113">
        <f t="shared" si="28"/>
        <v>6721.38</v>
      </c>
      <c r="Q397" s="209"/>
      <c r="R397" s="203"/>
      <c r="S397" s="182"/>
      <c r="T397" s="182"/>
      <c r="U397" s="182"/>
      <c r="V397" s="182"/>
      <c r="W397" s="182"/>
      <c r="X397" s="182"/>
      <c r="Y397" s="182"/>
      <c r="Z397" s="182"/>
      <c r="AA397" s="182"/>
      <c r="AB397" s="182"/>
      <c r="AC397" s="182"/>
      <c r="AD397" s="182"/>
      <c r="AE397" s="182"/>
      <c r="AF397" s="182"/>
      <c r="AG397" s="182"/>
      <c r="AH397" s="182"/>
      <c r="AI397" s="182"/>
      <c r="AJ397" s="182"/>
      <c r="AK397" s="182"/>
      <c r="AL397" s="182"/>
      <c r="AM397" s="182"/>
      <c r="AN397" s="182"/>
      <c r="AO397" s="182"/>
      <c r="AP397" s="182"/>
      <c r="AQ397" s="182"/>
      <c r="AR397" s="182"/>
      <c r="AS397" s="182"/>
      <c r="AT397" s="182"/>
      <c r="AU397" s="182"/>
      <c r="AV397" s="182"/>
      <c r="AW397" s="182"/>
      <c r="AX397" s="182"/>
      <c r="AY397" s="182"/>
      <c r="AZ397" s="182"/>
      <c r="BA397" s="182"/>
      <c r="BB397" s="182"/>
      <c r="BC397" s="182"/>
      <c r="BD397" s="182"/>
      <c r="BE397" s="182"/>
      <c r="BF397" s="182"/>
      <c r="BG397" s="182"/>
      <c r="BH397" s="182"/>
      <c r="BI397" s="182"/>
      <c r="BJ397" s="182"/>
      <c r="BK397" s="182"/>
      <c r="BL397" s="182"/>
      <c r="BM397" s="182"/>
      <c r="BN397" s="182"/>
      <c r="BO397" s="182"/>
      <c r="BP397" s="182"/>
      <c r="BQ397" s="182"/>
      <c r="BR397" s="182"/>
      <c r="BS397" s="182"/>
      <c r="BT397" s="182"/>
      <c r="BU397" s="182"/>
      <c r="BV397" s="182"/>
      <c r="BW397" s="182"/>
      <c r="BX397" s="182"/>
      <c r="BY397" s="182"/>
      <c r="BZ397" s="182"/>
      <c r="CA397" s="182"/>
      <c r="CB397" s="182"/>
      <c r="CC397" s="182"/>
      <c r="CD397" s="182"/>
      <c r="CE397" s="182"/>
      <c r="CF397" s="182"/>
      <c r="CG397" s="182"/>
      <c r="CH397" s="182"/>
      <c r="CI397" s="182"/>
      <c r="CJ397" s="182"/>
      <c r="CK397" s="182"/>
      <c r="CL397" s="182"/>
      <c r="CM397" s="182"/>
      <c r="CN397" s="182"/>
      <c r="CO397" s="182"/>
      <c r="CP397" s="182"/>
      <c r="CQ397" s="182"/>
      <c r="CR397" s="182"/>
      <c r="CS397" s="182"/>
      <c r="CT397" s="182"/>
      <c r="CU397" s="182"/>
      <c r="CV397" s="182"/>
      <c r="CW397" s="182"/>
      <c r="CX397" s="182"/>
      <c r="CY397" s="182"/>
      <c r="CZ397" s="182"/>
      <c r="DA397" s="182"/>
      <c r="DB397" s="182"/>
      <c r="DC397" s="182"/>
      <c r="DD397" s="182"/>
      <c r="DE397" s="182"/>
      <c r="DF397" s="182"/>
      <c r="DG397" s="182"/>
      <c r="DH397" s="182"/>
      <c r="DI397" s="182"/>
      <c r="DJ397" s="182"/>
      <c r="DK397" s="182"/>
      <c r="DL397" s="182"/>
      <c r="DM397" s="182"/>
      <c r="DN397" s="182"/>
      <c r="DO397" s="182"/>
      <c r="DP397" s="182"/>
      <c r="DQ397" s="182"/>
      <c r="DR397" s="182"/>
      <c r="DS397" s="182"/>
      <c r="DT397" s="182"/>
      <c r="DU397" s="182"/>
      <c r="DV397" s="182"/>
      <c r="DW397" s="182"/>
      <c r="DX397" s="182"/>
      <c r="DY397" s="182"/>
      <c r="DZ397" s="182"/>
      <c r="EA397" s="182"/>
      <c r="EB397" s="182"/>
      <c r="EC397" s="182"/>
      <c r="ED397" s="182"/>
      <c r="EE397" s="182"/>
      <c r="EF397" s="182"/>
      <c r="EG397" s="182"/>
      <c r="EH397" s="182"/>
      <c r="EI397" s="182"/>
      <c r="EJ397" s="182"/>
      <c r="EK397" s="182"/>
      <c r="EL397" s="182"/>
      <c r="EM397" s="182"/>
      <c r="EN397" s="182"/>
      <c r="EO397" s="182"/>
      <c r="EP397" s="182"/>
      <c r="EQ397" s="182"/>
      <c r="ER397" s="182"/>
      <c r="ES397" s="182"/>
      <c r="ET397" s="182"/>
      <c r="EU397" s="182"/>
      <c r="EV397" s="182"/>
      <c r="EW397" s="182"/>
      <c r="EX397" s="182"/>
      <c r="EY397" s="182"/>
      <c r="EZ397" s="182"/>
      <c r="FA397" s="182"/>
      <c r="FB397" s="182"/>
      <c r="FC397" s="182"/>
      <c r="FD397" s="182"/>
      <c r="FE397" s="182"/>
      <c r="FF397" s="182"/>
      <c r="FG397" s="182"/>
      <c r="FH397" s="182"/>
      <c r="FI397" s="182"/>
      <c r="FJ397" s="182"/>
      <c r="FK397" s="182"/>
      <c r="FL397" s="182"/>
      <c r="FM397" s="182"/>
      <c r="FN397" s="182"/>
      <c r="FO397" s="182"/>
      <c r="FP397" s="182"/>
      <c r="FQ397" s="182"/>
      <c r="FR397" s="182"/>
      <c r="FS397" s="182"/>
      <c r="FT397" s="182"/>
      <c r="FU397" s="182"/>
      <c r="FV397" s="182"/>
      <c r="FW397" s="182"/>
      <c r="FX397" s="182"/>
      <c r="FY397" s="182"/>
      <c r="FZ397" s="182"/>
      <c r="GA397" s="182"/>
      <c r="GB397" s="182"/>
      <c r="GC397" s="182"/>
      <c r="GD397" s="182"/>
      <c r="GE397" s="182"/>
      <c r="GF397" s="182"/>
      <c r="GG397" s="182"/>
      <c r="GH397" s="182"/>
      <c r="GI397" s="182"/>
    </row>
    <row r="398" spans="1:191" s="183" customFormat="1" x14ac:dyDescent="0.2">
      <c r="A398" s="210" t="s">
        <v>38703</v>
      </c>
      <c r="B398" s="210" t="s">
        <v>19246</v>
      </c>
      <c r="C398" s="224" t="s">
        <v>22502</v>
      </c>
      <c r="D398" s="211" t="s">
        <v>16</v>
      </c>
      <c r="E398" s="211">
        <v>90</v>
      </c>
      <c r="F398" s="211"/>
      <c r="G398" s="211">
        <v>0.3</v>
      </c>
      <c r="H398" s="212"/>
      <c r="I398" s="213"/>
      <c r="J398" s="272">
        <v>159.19</v>
      </c>
      <c r="K398" s="112">
        <f t="shared" si="26"/>
        <v>14327.1</v>
      </c>
      <c r="L398" s="273">
        <f>BDI!$E$17</f>
        <v>0.11260000000000001</v>
      </c>
      <c r="M398" s="213"/>
      <c r="N398" s="213"/>
      <c r="O398" s="114">
        <f t="shared" si="27"/>
        <v>177.11</v>
      </c>
      <c r="P398" s="113">
        <f t="shared" si="28"/>
        <v>4781.97</v>
      </c>
      <c r="Q398" s="209"/>
      <c r="R398" s="203"/>
      <c r="S398" s="182"/>
      <c r="T398" s="182"/>
      <c r="U398" s="182"/>
      <c r="V398" s="182"/>
      <c r="W398" s="182"/>
      <c r="X398" s="182"/>
      <c r="Y398" s="182"/>
      <c r="Z398" s="182"/>
      <c r="AA398" s="182"/>
      <c r="AB398" s="182"/>
      <c r="AC398" s="182"/>
      <c r="AD398" s="182"/>
      <c r="AE398" s="182"/>
      <c r="AF398" s="182"/>
      <c r="AG398" s="182"/>
      <c r="AH398" s="182"/>
      <c r="AI398" s="182"/>
      <c r="AJ398" s="182"/>
      <c r="AK398" s="182"/>
      <c r="AL398" s="182"/>
      <c r="AM398" s="182"/>
      <c r="AN398" s="182"/>
      <c r="AO398" s="182"/>
      <c r="AP398" s="182"/>
      <c r="AQ398" s="182"/>
      <c r="AR398" s="182"/>
      <c r="AS398" s="182"/>
      <c r="AT398" s="182"/>
      <c r="AU398" s="182"/>
      <c r="AV398" s="182"/>
      <c r="AW398" s="182"/>
      <c r="AX398" s="182"/>
      <c r="AY398" s="182"/>
      <c r="AZ398" s="182"/>
      <c r="BA398" s="182"/>
      <c r="BB398" s="182"/>
      <c r="BC398" s="182"/>
      <c r="BD398" s="182"/>
      <c r="BE398" s="182"/>
      <c r="BF398" s="182"/>
      <c r="BG398" s="182"/>
      <c r="BH398" s="182"/>
      <c r="BI398" s="182"/>
      <c r="BJ398" s="182"/>
      <c r="BK398" s="182"/>
      <c r="BL398" s="182"/>
      <c r="BM398" s="182"/>
      <c r="BN398" s="182"/>
      <c r="BO398" s="182"/>
      <c r="BP398" s="182"/>
      <c r="BQ398" s="182"/>
      <c r="BR398" s="182"/>
      <c r="BS398" s="182"/>
      <c r="BT398" s="182"/>
      <c r="BU398" s="182"/>
      <c r="BV398" s="182"/>
      <c r="BW398" s="182"/>
      <c r="BX398" s="182"/>
      <c r="BY398" s="182"/>
      <c r="BZ398" s="182"/>
      <c r="CA398" s="182"/>
      <c r="CB398" s="182"/>
      <c r="CC398" s="182"/>
      <c r="CD398" s="182"/>
      <c r="CE398" s="182"/>
      <c r="CF398" s="182"/>
      <c r="CG398" s="182"/>
      <c r="CH398" s="182"/>
      <c r="CI398" s="182"/>
      <c r="CJ398" s="182"/>
      <c r="CK398" s="182"/>
      <c r="CL398" s="182"/>
      <c r="CM398" s="182"/>
      <c r="CN398" s="182"/>
      <c r="CO398" s="182"/>
      <c r="CP398" s="182"/>
      <c r="CQ398" s="182"/>
      <c r="CR398" s="182"/>
      <c r="CS398" s="182"/>
      <c r="CT398" s="182"/>
      <c r="CU398" s="182"/>
      <c r="CV398" s="182"/>
      <c r="CW398" s="182"/>
      <c r="CX398" s="182"/>
      <c r="CY398" s="182"/>
      <c r="CZ398" s="182"/>
      <c r="DA398" s="182"/>
      <c r="DB398" s="182"/>
      <c r="DC398" s="182"/>
      <c r="DD398" s="182"/>
      <c r="DE398" s="182"/>
      <c r="DF398" s="182"/>
      <c r="DG398" s="182"/>
      <c r="DH398" s="182"/>
      <c r="DI398" s="182"/>
      <c r="DJ398" s="182"/>
      <c r="DK398" s="182"/>
      <c r="DL398" s="182"/>
      <c r="DM398" s="182"/>
      <c r="DN398" s="182"/>
      <c r="DO398" s="182"/>
      <c r="DP398" s="182"/>
      <c r="DQ398" s="182"/>
      <c r="DR398" s="182"/>
      <c r="DS398" s="182"/>
      <c r="DT398" s="182"/>
      <c r="DU398" s="182"/>
      <c r="DV398" s="182"/>
      <c r="DW398" s="182"/>
      <c r="DX398" s="182"/>
      <c r="DY398" s="182"/>
      <c r="DZ398" s="182"/>
      <c r="EA398" s="182"/>
      <c r="EB398" s="182"/>
      <c r="EC398" s="182"/>
      <c r="ED398" s="182"/>
      <c r="EE398" s="182"/>
      <c r="EF398" s="182"/>
      <c r="EG398" s="182"/>
      <c r="EH398" s="182"/>
      <c r="EI398" s="182"/>
      <c r="EJ398" s="182"/>
      <c r="EK398" s="182"/>
      <c r="EL398" s="182"/>
      <c r="EM398" s="182"/>
      <c r="EN398" s="182"/>
      <c r="EO398" s="182"/>
      <c r="EP398" s="182"/>
      <c r="EQ398" s="182"/>
      <c r="ER398" s="182"/>
      <c r="ES398" s="182"/>
      <c r="ET398" s="182"/>
      <c r="EU398" s="182"/>
      <c r="EV398" s="182"/>
      <c r="EW398" s="182"/>
      <c r="EX398" s="182"/>
      <c r="EY398" s="182"/>
      <c r="EZ398" s="182"/>
      <c r="FA398" s="182"/>
      <c r="FB398" s="182"/>
      <c r="FC398" s="182"/>
      <c r="FD398" s="182"/>
      <c r="FE398" s="182"/>
      <c r="FF398" s="182"/>
      <c r="FG398" s="182"/>
      <c r="FH398" s="182"/>
      <c r="FI398" s="182"/>
      <c r="FJ398" s="182"/>
      <c r="FK398" s="182"/>
      <c r="FL398" s="182"/>
      <c r="FM398" s="182"/>
      <c r="FN398" s="182"/>
      <c r="FO398" s="182"/>
      <c r="FP398" s="182"/>
      <c r="FQ398" s="182"/>
      <c r="FR398" s="182"/>
      <c r="FS398" s="182"/>
      <c r="FT398" s="182"/>
      <c r="FU398" s="182"/>
      <c r="FV398" s="182"/>
      <c r="FW398" s="182"/>
      <c r="FX398" s="182"/>
      <c r="FY398" s="182"/>
      <c r="FZ398" s="182"/>
      <c r="GA398" s="182"/>
      <c r="GB398" s="182"/>
      <c r="GC398" s="182"/>
      <c r="GD398" s="182"/>
      <c r="GE398" s="182"/>
      <c r="GF398" s="182"/>
      <c r="GG398" s="182"/>
      <c r="GH398" s="182"/>
      <c r="GI398" s="182"/>
    </row>
    <row r="399" spans="1:191" s="183" customFormat="1" x14ac:dyDescent="0.2">
      <c r="A399" s="210" t="s">
        <v>38704</v>
      </c>
      <c r="B399" s="210" t="s">
        <v>19247</v>
      </c>
      <c r="C399" s="224" t="s">
        <v>22503</v>
      </c>
      <c r="D399" s="211" t="s">
        <v>16</v>
      </c>
      <c r="E399" s="211">
        <v>90</v>
      </c>
      <c r="F399" s="211"/>
      <c r="G399" s="211">
        <v>0.3</v>
      </c>
      <c r="H399" s="212"/>
      <c r="I399" s="213"/>
      <c r="J399" s="272">
        <v>50.83</v>
      </c>
      <c r="K399" s="112">
        <f t="shared" si="26"/>
        <v>4574.7</v>
      </c>
      <c r="L399" s="273">
        <f>BDI!$E$17</f>
        <v>0.11260000000000001</v>
      </c>
      <c r="M399" s="213"/>
      <c r="N399" s="213"/>
      <c r="O399" s="114">
        <f t="shared" si="27"/>
        <v>56.55</v>
      </c>
      <c r="P399" s="113">
        <f t="shared" si="28"/>
        <v>1526.85</v>
      </c>
      <c r="Q399" s="209"/>
      <c r="R399" s="203"/>
      <c r="S399" s="182"/>
      <c r="T399" s="182"/>
      <c r="U399" s="182"/>
      <c r="V399" s="182"/>
      <c r="W399" s="182"/>
      <c r="X399" s="182"/>
      <c r="Y399" s="182"/>
      <c r="Z399" s="182"/>
      <c r="AA399" s="182"/>
      <c r="AB399" s="182"/>
      <c r="AC399" s="182"/>
      <c r="AD399" s="182"/>
      <c r="AE399" s="182"/>
      <c r="AF399" s="182"/>
      <c r="AG399" s="182"/>
      <c r="AH399" s="182"/>
      <c r="AI399" s="182"/>
      <c r="AJ399" s="182"/>
      <c r="AK399" s="182"/>
      <c r="AL399" s="182"/>
      <c r="AM399" s="182"/>
      <c r="AN399" s="182"/>
      <c r="AO399" s="182"/>
      <c r="AP399" s="182"/>
      <c r="AQ399" s="182"/>
      <c r="AR399" s="182"/>
      <c r="AS399" s="182"/>
      <c r="AT399" s="182"/>
      <c r="AU399" s="182"/>
      <c r="AV399" s="182"/>
      <c r="AW399" s="182"/>
      <c r="AX399" s="182"/>
      <c r="AY399" s="182"/>
      <c r="AZ399" s="182"/>
      <c r="BA399" s="182"/>
      <c r="BB399" s="182"/>
      <c r="BC399" s="182"/>
      <c r="BD399" s="182"/>
      <c r="BE399" s="182"/>
      <c r="BF399" s="182"/>
      <c r="BG399" s="182"/>
      <c r="BH399" s="182"/>
      <c r="BI399" s="182"/>
      <c r="BJ399" s="182"/>
      <c r="BK399" s="182"/>
      <c r="BL399" s="182"/>
      <c r="BM399" s="182"/>
      <c r="BN399" s="182"/>
      <c r="BO399" s="182"/>
      <c r="BP399" s="182"/>
      <c r="BQ399" s="182"/>
      <c r="BR399" s="182"/>
      <c r="BS399" s="182"/>
      <c r="BT399" s="182"/>
      <c r="BU399" s="182"/>
      <c r="BV399" s="182"/>
      <c r="BW399" s="182"/>
      <c r="BX399" s="182"/>
      <c r="BY399" s="182"/>
      <c r="BZ399" s="182"/>
      <c r="CA399" s="182"/>
      <c r="CB399" s="182"/>
      <c r="CC399" s="182"/>
      <c r="CD399" s="182"/>
      <c r="CE399" s="182"/>
      <c r="CF399" s="182"/>
      <c r="CG399" s="182"/>
      <c r="CH399" s="182"/>
      <c r="CI399" s="182"/>
      <c r="CJ399" s="182"/>
      <c r="CK399" s="182"/>
      <c r="CL399" s="182"/>
      <c r="CM399" s="182"/>
      <c r="CN399" s="182"/>
      <c r="CO399" s="182"/>
      <c r="CP399" s="182"/>
      <c r="CQ399" s="182"/>
      <c r="CR399" s="182"/>
      <c r="CS399" s="182"/>
      <c r="CT399" s="182"/>
      <c r="CU399" s="182"/>
      <c r="CV399" s="182"/>
      <c r="CW399" s="182"/>
      <c r="CX399" s="182"/>
      <c r="CY399" s="182"/>
      <c r="CZ399" s="182"/>
      <c r="DA399" s="182"/>
      <c r="DB399" s="182"/>
      <c r="DC399" s="182"/>
      <c r="DD399" s="182"/>
      <c r="DE399" s="182"/>
      <c r="DF399" s="182"/>
      <c r="DG399" s="182"/>
      <c r="DH399" s="182"/>
      <c r="DI399" s="182"/>
      <c r="DJ399" s="182"/>
      <c r="DK399" s="182"/>
      <c r="DL399" s="182"/>
      <c r="DM399" s="182"/>
      <c r="DN399" s="182"/>
      <c r="DO399" s="182"/>
      <c r="DP399" s="182"/>
      <c r="DQ399" s="182"/>
      <c r="DR399" s="182"/>
      <c r="DS399" s="182"/>
      <c r="DT399" s="182"/>
      <c r="DU399" s="182"/>
      <c r="DV399" s="182"/>
      <c r="DW399" s="182"/>
      <c r="DX399" s="182"/>
      <c r="DY399" s="182"/>
      <c r="DZ399" s="182"/>
      <c r="EA399" s="182"/>
      <c r="EB399" s="182"/>
      <c r="EC399" s="182"/>
      <c r="ED399" s="182"/>
      <c r="EE399" s="182"/>
      <c r="EF399" s="182"/>
      <c r="EG399" s="182"/>
      <c r="EH399" s="182"/>
      <c r="EI399" s="182"/>
      <c r="EJ399" s="182"/>
      <c r="EK399" s="182"/>
      <c r="EL399" s="182"/>
      <c r="EM399" s="182"/>
      <c r="EN399" s="182"/>
      <c r="EO399" s="182"/>
      <c r="EP399" s="182"/>
      <c r="EQ399" s="182"/>
      <c r="ER399" s="182"/>
      <c r="ES399" s="182"/>
      <c r="ET399" s="182"/>
      <c r="EU399" s="182"/>
      <c r="EV399" s="182"/>
      <c r="EW399" s="182"/>
      <c r="EX399" s="182"/>
      <c r="EY399" s="182"/>
      <c r="EZ399" s="182"/>
      <c r="FA399" s="182"/>
      <c r="FB399" s="182"/>
      <c r="FC399" s="182"/>
      <c r="FD399" s="182"/>
      <c r="FE399" s="182"/>
      <c r="FF399" s="182"/>
      <c r="FG399" s="182"/>
      <c r="FH399" s="182"/>
      <c r="FI399" s="182"/>
      <c r="FJ399" s="182"/>
      <c r="FK399" s="182"/>
      <c r="FL399" s="182"/>
      <c r="FM399" s="182"/>
      <c r="FN399" s="182"/>
      <c r="FO399" s="182"/>
      <c r="FP399" s="182"/>
      <c r="FQ399" s="182"/>
      <c r="FR399" s="182"/>
      <c r="FS399" s="182"/>
      <c r="FT399" s="182"/>
      <c r="FU399" s="182"/>
      <c r="FV399" s="182"/>
      <c r="FW399" s="182"/>
      <c r="FX399" s="182"/>
      <c r="FY399" s="182"/>
      <c r="FZ399" s="182"/>
      <c r="GA399" s="182"/>
      <c r="GB399" s="182"/>
      <c r="GC399" s="182"/>
      <c r="GD399" s="182"/>
      <c r="GE399" s="182"/>
      <c r="GF399" s="182"/>
      <c r="GG399" s="182"/>
      <c r="GH399" s="182"/>
      <c r="GI399" s="182"/>
    </row>
    <row r="400" spans="1:191" s="183" customFormat="1" x14ac:dyDescent="0.2">
      <c r="A400" s="210" t="s">
        <v>38705</v>
      </c>
      <c r="B400" s="210" t="s">
        <v>19248</v>
      </c>
      <c r="C400" s="224" t="s">
        <v>22504</v>
      </c>
      <c r="D400" s="211" t="s">
        <v>16</v>
      </c>
      <c r="E400" s="211">
        <v>90</v>
      </c>
      <c r="F400" s="211"/>
      <c r="G400" s="211">
        <v>0.3</v>
      </c>
      <c r="H400" s="212"/>
      <c r="I400" s="213"/>
      <c r="J400" s="272">
        <v>60.53</v>
      </c>
      <c r="K400" s="112">
        <f t="shared" si="26"/>
        <v>5447.7</v>
      </c>
      <c r="L400" s="273">
        <f>BDI!$E$17</f>
        <v>0.11260000000000001</v>
      </c>
      <c r="M400" s="213"/>
      <c r="N400" s="213"/>
      <c r="O400" s="114">
        <f t="shared" si="27"/>
        <v>67.349999999999994</v>
      </c>
      <c r="P400" s="113">
        <f t="shared" si="28"/>
        <v>1818.45</v>
      </c>
      <c r="Q400" s="209"/>
      <c r="R400" s="203"/>
      <c r="S400" s="182"/>
      <c r="T400" s="182"/>
      <c r="U400" s="182"/>
      <c r="V400" s="182"/>
      <c r="W400" s="182"/>
      <c r="X400" s="182"/>
      <c r="Y400" s="182"/>
      <c r="Z400" s="182"/>
      <c r="AA400" s="182"/>
      <c r="AB400" s="182"/>
      <c r="AC400" s="182"/>
      <c r="AD400" s="182"/>
      <c r="AE400" s="182"/>
      <c r="AF400" s="182"/>
      <c r="AG400" s="182"/>
      <c r="AH400" s="182"/>
      <c r="AI400" s="182"/>
      <c r="AJ400" s="182"/>
      <c r="AK400" s="182"/>
      <c r="AL400" s="182"/>
      <c r="AM400" s="182"/>
      <c r="AN400" s="182"/>
      <c r="AO400" s="182"/>
      <c r="AP400" s="182"/>
      <c r="AQ400" s="182"/>
      <c r="AR400" s="182"/>
      <c r="AS400" s="182"/>
      <c r="AT400" s="182"/>
      <c r="AU400" s="182"/>
      <c r="AV400" s="182"/>
      <c r="AW400" s="182"/>
      <c r="AX400" s="182"/>
      <c r="AY400" s="182"/>
      <c r="AZ400" s="182"/>
      <c r="BA400" s="182"/>
      <c r="BB400" s="182"/>
      <c r="BC400" s="182"/>
      <c r="BD400" s="182"/>
      <c r="BE400" s="182"/>
      <c r="BF400" s="182"/>
      <c r="BG400" s="182"/>
      <c r="BH400" s="182"/>
      <c r="BI400" s="182"/>
      <c r="BJ400" s="182"/>
      <c r="BK400" s="182"/>
      <c r="BL400" s="182"/>
      <c r="BM400" s="182"/>
      <c r="BN400" s="182"/>
      <c r="BO400" s="182"/>
      <c r="BP400" s="182"/>
      <c r="BQ400" s="182"/>
      <c r="BR400" s="182"/>
      <c r="BS400" s="182"/>
      <c r="BT400" s="182"/>
      <c r="BU400" s="182"/>
      <c r="BV400" s="182"/>
      <c r="BW400" s="182"/>
      <c r="BX400" s="182"/>
      <c r="BY400" s="182"/>
      <c r="BZ400" s="182"/>
      <c r="CA400" s="182"/>
      <c r="CB400" s="182"/>
      <c r="CC400" s="182"/>
      <c r="CD400" s="182"/>
      <c r="CE400" s="182"/>
      <c r="CF400" s="182"/>
      <c r="CG400" s="182"/>
      <c r="CH400" s="182"/>
      <c r="CI400" s="182"/>
      <c r="CJ400" s="182"/>
      <c r="CK400" s="182"/>
      <c r="CL400" s="182"/>
      <c r="CM400" s="182"/>
      <c r="CN400" s="182"/>
      <c r="CO400" s="182"/>
      <c r="CP400" s="182"/>
      <c r="CQ400" s="182"/>
      <c r="CR400" s="182"/>
      <c r="CS400" s="182"/>
      <c r="CT400" s="182"/>
      <c r="CU400" s="182"/>
      <c r="CV400" s="182"/>
      <c r="CW400" s="182"/>
      <c r="CX400" s="182"/>
      <c r="CY400" s="182"/>
      <c r="CZ400" s="182"/>
      <c r="DA400" s="182"/>
      <c r="DB400" s="182"/>
      <c r="DC400" s="182"/>
      <c r="DD400" s="182"/>
      <c r="DE400" s="182"/>
      <c r="DF400" s="182"/>
      <c r="DG400" s="182"/>
      <c r="DH400" s="182"/>
      <c r="DI400" s="182"/>
      <c r="DJ400" s="182"/>
      <c r="DK400" s="182"/>
      <c r="DL400" s="182"/>
      <c r="DM400" s="182"/>
      <c r="DN400" s="182"/>
      <c r="DO400" s="182"/>
      <c r="DP400" s="182"/>
      <c r="DQ400" s="182"/>
      <c r="DR400" s="182"/>
      <c r="DS400" s="182"/>
      <c r="DT400" s="182"/>
      <c r="DU400" s="182"/>
      <c r="DV400" s="182"/>
      <c r="DW400" s="182"/>
      <c r="DX400" s="182"/>
      <c r="DY400" s="182"/>
      <c r="DZ400" s="182"/>
      <c r="EA400" s="182"/>
      <c r="EB400" s="182"/>
      <c r="EC400" s="182"/>
      <c r="ED400" s="182"/>
      <c r="EE400" s="182"/>
      <c r="EF400" s="182"/>
      <c r="EG400" s="182"/>
      <c r="EH400" s="182"/>
      <c r="EI400" s="182"/>
      <c r="EJ400" s="182"/>
      <c r="EK400" s="182"/>
      <c r="EL400" s="182"/>
      <c r="EM400" s="182"/>
      <c r="EN400" s="182"/>
      <c r="EO400" s="182"/>
      <c r="EP400" s="182"/>
      <c r="EQ400" s="182"/>
      <c r="ER400" s="182"/>
      <c r="ES400" s="182"/>
      <c r="ET400" s="182"/>
      <c r="EU400" s="182"/>
      <c r="EV400" s="182"/>
      <c r="EW400" s="182"/>
      <c r="EX400" s="182"/>
      <c r="EY400" s="182"/>
      <c r="EZ400" s="182"/>
      <c r="FA400" s="182"/>
      <c r="FB400" s="182"/>
      <c r="FC400" s="182"/>
      <c r="FD400" s="182"/>
      <c r="FE400" s="182"/>
      <c r="FF400" s="182"/>
      <c r="FG400" s="182"/>
      <c r="FH400" s="182"/>
      <c r="FI400" s="182"/>
      <c r="FJ400" s="182"/>
      <c r="FK400" s="182"/>
      <c r="FL400" s="182"/>
      <c r="FM400" s="182"/>
      <c r="FN400" s="182"/>
      <c r="FO400" s="182"/>
      <c r="FP400" s="182"/>
      <c r="FQ400" s="182"/>
      <c r="FR400" s="182"/>
      <c r="FS400" s="182"/>
      <c r="FT400" s="182"/>
      <c r="FU400" s="182"/>
      <c r="FV400" s="182"/>
      <c r="FW400" s="182"/>
      <c r="FX400" s="182"/>
      <c r="FY400" s="182"/>
      <c r="FZ400" s="182"/>
      <c r="GA400" s="182"/>
      <c r="GB400" s="182"/>
      <c r="GC400" s="182"/>
      <c r="GD400" s="182"/>
      <c r="GE400" s="182"/>
      <c r="GF400" s="182"/>
      <c r="GG400" s="182"/>
      <c r="GH400" s="182"/>
      <c r="GI400" s="182"/>
    </row>
    <row r="401" spans="1:191" s="183" customFormat="1" x14ac:dyDescent="0.2">
      <c r="A401" s="210" t="s">
        <v>38706</v>
      </c>
      <c r="B401" s="210" t="s">
        <v>19249</v>
      </c>
      <c r="C401" s="224" t="s">
        <v>22505</v>
      </c>
      <c r="D401" s="211" t="s">
        <v>16</v>
      </c>
      <c r="E401" s="211">
        <v>45</v>
      </c>
      <c r="F401" s="211"/>
      <c r="G401" s="211">
        <v>0.3</v>
      </c>
      <c r="H401" s="212"/>
      <c r="I401" s="213"/>
      <c r="J401" s="272">
        <v>47.22</v>
      </c>
      <c r="K401" s="112">
        <f t="shared" si="26"/>
        <v>2124.9</v>
      </c>
      <c r="L401" s="273">
        <f>BDI!$E$17</f>
        <v>0.11260000000000001</v>
      </c>
      <c r="M401" s="213"/>
      <c r="N401" s="213"/>
      <c r="O401" s="114">
        <f t="shared" si="27"/>
        <v>52.54</v>
      </c>
      <c r="P401" s="113">
        <f t="shared" si="28"/>
        <v>709.29</v>
      </c>
      <c r="Q401" s="209"/>
      <c r="R401" s="203"/>
      <c r="S401" s="182"/>
      <c r="T401" s="182"/>
      <c r="U401" s="182"/>
      <c r="V401" s="182"/>
      <c r="W401" s="182"/>
      <c r="X401" s="182"/>
      <c r="Y401" s="182"/>
      <c r="Z401" s="182"/>
      <c r="AA401" s="182"/>
      <c r="AB401" s="182"/>
      <c r="AC401" s="182"/>
      <c r="AD401" s="182"/>
      <c r="AE401" s="182"/>
      <c r="AF401" s="182"/>
      <c r="AG401" s="182"/>
      <c r="AH401" s="182"/>
      <c r="AI401" s="182"/>
      <c r="AJ401" s="182"/>
      <c r="AK401" s="182"/>
      <c r="AL401" s="182"/>
      <c r="AM401" s="182"/>
      <c r="AN401" s="182"/>
      <c r="AO401" s="182"/>
      <c r="AP401" s="182"/>
      <c r="AQ401" s="182"/>
      <c r="AR401" s="182"/>
      <c r="AS401" s="182"/>
      <c r="AT401" s="182"/>
      <c r="AU401" s="182"/>
      <c r="AV401" s="182"/>
      <c r="AW401" s="182"/>
      <c r="AX401" s="182"/>
      <c r="AY401" s="182"/>
      <c r="AZ401" s="182"/>
      <c r="BA401" s="182"/>
      <c r="BB401" s="182"/>
      <c r="BC401" s="182"/>
      <c r="BD401" s="182"/>
      <c r="BE401" s="182"/>
      <c r="BF401" s="182"/>
      <c r="BG401" s="182"/>
      <c r="BH401" s="182"/>
      <c r="BI401" s="182"/>
      <c r="BJ401" s="182"/>
      <c r="BK401" s="182"/>
      <c r="BL401" s="182"/>
      <c r="BM401" s="182"/>
      <c r="BN401" s="182"/>
      <c r="BO401" s="182"/>
      <c r="BP401" s="182"/>
      <c r="BQ401" s="182"/>
      <c r="BR401" s="182"/>
      <c r="BS401" s="182"/>
      <c r="BT401" s="182"/>
      <c r="BU401" s="182"/>
      <c r="BV401" s="182"/>
      <c r="BW401" s="182"/>
      <c r="BX401" s="182"/>
      <c r="BY401" s="182"/>
      <c r="BZ401" s="182"/>
      <c r="CA401" s="182"/>
      <c r="CB401" s="182"/>
      <c r="CC401" s="182"/>
      <c r="CD401" s="182"/>
      <c r="CE401" s="182"/>
      <c r="CF401" s="182"/>
      <c r="CG401" s="182"/>
      <c r="CH401" s="182"/>
      <c r="CI401" s="182"/>
      <c r="CJ401" s="182"/>
      <c r="CK401" s="182"/>
      <c r="CL401" s="182"/>
      <c r="CM401" s="182"/>
      <c r="CN401" s="182"/>
      <c r="CO401" s="182"/>
      <c r="CP401" s="182"/>
      <c r="CQ401" s="182"/>
      <c r="CR401" s="182"/>
      <c r="CS401" s="182"/>
      <c r="CT401" s="182"/>
      <c r="CU401" s="182"/>
      <c r="CV401" s="182"/>
      <c r="CW401" s="182"/>
      <c r="CX401" s="182"/>
      <c r="CY401" s="182"/>
      <c r="CZ401" s="182"/>
      <c r="DA401" s="182"/>
      <c r="DB401" s="182"/>
      <c r="DC401" s="182"/>
      <c r="DD401" s="182"/>
      <c r="DE401" s="182"/>
      <c r="DF401" s="182"/>
      <c r="DG401" s="182"/>
      <c r="DH401" s="182"/>
      <c r="DI401" s="182"/>
      <c r="DJ401" s="182"/>
      <c r="DK401" s="182"/>
      <c r="DL401" s="182"/>
      <c r="DM401" s="182"/>
      <c r="DN401" s="182"/>
      <c r="DO401" s="182"/>
      <c r="DP401" s="182"/>
      <c r="DQ401" s="182"/>
      <c r="DR401" s="182"/>
      <c r="DS401" s="182"/>
      <c r="DT401" s="182"/>
      <c r="DU401" s="182"/>
      <c r="DV401" s="182"/>
      <c r="DW401" s="182"/>
      <c r="DX401" s="182"/>
      <c r="DY401" s="182"/>
      <c r="DZ401" s="182"/>
      <c r="EA401" s="182"/>
      <c r="EB401" s="182"/>
      <c r="EC401" s="182"/>
      <c r="ED401" s="182"/>
      <c r="EE401" s="182"/>
      <c r="EF401" s="182"/>
      <c r="EG401" s="182"/>
      <c r="EH401" s="182"/>
      <c r="EI401" s="182"/>
      <c r="EJ401" s="182"/>
      <c r="EK401" s="182"/>
      <c r="EL401" s="182"/>
      <c r="EM401" s="182"/>
      <c r="EN401" s="182"/>
      <c r="EO401" s="182"/>
      <c r="EP401" s="182"/>
      <c r="EQ401" s="182"/>
      <c r="ER401" s="182"/>
      <c r="ES401" s="182"/>
      <c r="ET401" s="182"/>
      <c r="EU401" s="182"/>
      <c r="EV401" s="182"/>
      <c r="EW401" s="182"/>
      <c r="EX401" s="182"/>
      <c r="EY401" s="182"/>
      <c r="EZ401" s="182"/>
      <c r="FA401" s="182"/>
      <c r="FB401" s="182"/>
      <c r="FC401" s="182"/>
      <c r="FD401" s="182"/>
      <c r="FE401" s="182"/>
      <c r="FF401" s="182"/>
      <c r="FG401" s="182"/>
      <c r="FH401" s="182"/>
      <c r="FI401" s="182"/>
      <c r="FJ401" s="182"/>
      <c r="FK401" s="182"/>
      <c r="FL401" s="182"/>
      <c r="FM401" s="182"/>
      <c r="FN401" s="182"/>
      <c r="FO401" s="182"/>
      <c r="FP401" s="182"/>
      <c r="FQ401" s="182"/>
      <c r="FR401" s="182"/>
      <c r="FS401" s="182"/>
      <c r="FT401" s="182"/>
      <c r="FU401" s="182"/>
      <c r="FV401" s="182"/>
      <c r="FW401" s="182"/>
      <c r="FX401" s="182"/>
      <c r="FY401" s="182"/>
      <c r="FZ401" s="182"/>
      <c r="GA401" s="182"/>
      <c r="GB401" s="182"/>
      <c r="GC401" s="182"/>
      <c r="GD401" s="182"/>
      <c r="GE401" s="182"/>
      <c r="GF401" s="182"/>
      <c r="GG401" s="182"/>
      <c r="GH401" s="182"/>
      <c r="GI401" s="182"/>
    </row>
    <row r="402" spans="1:191" s="183" customFormat="1" x14ac:dyDescent="0.2">
      <c r="A402" s="210" t="s">
        <v>38707</v>
      </c>
      <c r="B402" s="210" t="s">
        <v>19250</v>
      </c>
      <c r="C402" s="224" t="s">
        <v>22506</v>
      </c>
      <c r="D402" s="211" t="s">
        <v>16</v>
      </c>
      <c r="E402" s="211">
        <v>45</v>
      </c>
      <c r="F402" s="211"/>
      <c r="G402" s="211">
        <v>0.3</v>
      </c>
      <c r="H402" s="212"/>
      <c r="I402" s="213"/>
      <c r="J402" s="272">
        <v>119</v>
      </c>
      <c r="K402" s="112">
        <f t="shared" si="26"/>
        <v>5355</v>
      </c>
      <c r="L402" s="273">
        <f>BDI!$E$17</f>
        <v>0.11260000000000001</v>
      </c>
      <c r="M402" s="213"/>
      <c r="N402" s="213"/>
      <c r="O402" s="114">
        <f t="shared" si="27"/>
        <v>132.4</v>
      </c>
      <c r="P402" s="113">
        <f t="shared" si="28"/>
        <v>1787.4</v>
      </c>
      <c r="Q402" s="209"/>
      <c r="R402" s="203"/>
      <c r="S402" s="182"/>
      <c r="T402" s="182"/>
      <c r="U402" s="182"/>
      <c r="V402" s="182"/>
      <c r="W402" s="182"/>
      <c r="X402" s="182"/>
      <c r="Y402" s="182"/>
      <c r="Z402" s="182"/>
      <c r="AA402" s="182"/>
      <c r="AB402" s="182"/>
      <c r="AC402" s="182"/>
      <c r="AD402" s="182"/>
      <c r="AE402" s="182"/>
      <c r="AF402" s="182"/>
      <c r="AG402" s="182"/>
      <c r="AH402" s="182"/>
      <c r="AI402" s="182"/>
      <c r="AJ402" s="182"/>
      <c r="AK402" s="182"/>
      <c r="AL402" s="182"/>
      <c r="AM402" s="182"/>
      <c r="AN402" s="182"/>
      <c r="AO402" s="182"/>
      <c r="AP402" s="182"/>
      <c r="AQ402" s="182"/>
      <c r="AR402" s="182"/>
      <c r="AS402" s="182"/>
      <c r="AT402" s="182"/>
      <c r="AU402" s="182"/>
      <c r="AV402" s="182"/>
      <c r="AW402" s="182"/>
      <c r="AX402" s="182"/>
      <c r="AY402" s="182"/>
      <c r="AZ402" s="182"/>
      <c r="BA402" s="182"/>
      <c r="BB402" s="182"/>
      <c r="BC402" s="182"/>
      <c r="BD402" s="182"/>
      <c r="BE402" s="182"/>
      <c r="BF402" s="182"/>
      <c r="BG402" s="182"/>
      <c r="BH402" s="182"/>
      <c r="BI402" s="182"/>
      <c r="BJ402" s="182"/>
      <c r="BK402" s="182"/>
      <c r="BL402" s="182"/>
      <c r="BM402" s="182"/>
      <c r="BN402" s="182"/>
      <c r="BO402" s="182"/>
      <c r="BP402" s="182"/>
      <c r="BQ402" s="182"/>
      <c r="BR402" s="182"/>
      <c r="BS402" s="182"/>
      <c r="BT402" s="182"/>
      <c r="BU402" s="182"/>
      <c r="BV402" s="182"/>
      <c r="BW402" s="182"/>
      <c r="BX402" s="182"/>
      <c r="BY402" s="182"/>
      <c r="BZ402" s="182"/>
      <c r="CA402" s="182"/>
      <c r="CB402" s="182"/>
      <c r="CC402" s="182"/>
      <c r="CD402" s="182"/>
      <c r="CE402" s="182"/>
      <c r="CF402" s="182"/>
      <c r="CG402" s="182"/>
      <c r="CH402" s="182"/>
      <c r="CI402" s="182"/>
      <c r="CJ402" s="182"/>
      <c r="CK402" s="182"/>
      <c r="CL402" s="182"/>
      <c r="CM402" s="182"/>
      <c r="CN402" s="182"/>
      <c r="CO402" s="182"/>
      <c r="CP402" s="182"/>
      <c r="CQ402" s="182"/>
      <c r="CR402" s="182"/>
      <c r="CS402" s="182"/>
      <c r="CT402" s="182"/>
      <c r="CU402" s="182"/>
      <c r="CV402" s="182"/>
      <c r="CW402" s="182"/>
      <c r="CX402" s="182"/>
      <c r="CY402" s="182"/>
      <c r="CZ402" s="182"/>
      <c r="DA402" s="182"/>
      <c r="DB402" s="182"/>
      <c r="DC402" s="182"/>
      <c r="DD402" s="182"/>
      <c r="DE402" s="182"/>
      <c r="DF402" s="182"/>
      <c r="DG402" s="182"/>
      <c r="DH402" s="182"/>
      <c r="DI402" s="182"/>
      <c r="DJ402" s="182"/>
      <c r="DK402" s="182"/>
      <c r="DL402" s="182"/>
      <c r="DM402" s="182"/>
      <c r="DN402" s="182"/>
      <c r="DO402" s="182"/>
      <c r="DP402" s="182"/>
      <c r="DQ402" s="182"/>
      <c r="DR402" s="182"/>
      <c r="DS402" s="182"/>
      <c r="DT402" s="182"/>
      <c r="DU402" s="182"/>
      <c r="DV402" s="182"/>
      <c r="DW402" s="182"/>
      <c r="DX402" s="182"/>
      <c r="DY402" s="182"/>
      <c r="DZ402" s="182"/>
      <c r="EA402" s="182"/>
      <c r="EB402" s="182"/>
      <c r="EC402" s="182"/>
      <c r="ED402" s="182"/>
      <c r="EE402" s="182"/>
      <c r="EF402" s="182"/>
      <c r="EG402" s="182"/>
      <c r="EH402" s="182"/>
      <c r="EI402" s="182"/>
      <c r="EJ402" s="182"/>
      <c r="EK402" s="182"/>
      <c r="EL402" s="182"/>
      <c r="EM402" s="182"/>
      <c r="EN402" s="182"/>
      <c r="EO402" s="182"/>
      <c r="EP402" s="182"/>
      <c r="EQ402" s="182"/>
      <c r="ER402" s="182"/>
      <c r="ES402" s="182"/>
      <c r="ET402" s="182"/>
      <c r="EU402" s="182"/>
      <c r="EV402" s="182"/>
      <c r="EW402" s="182"/>
      <c r="EX402" s="182"/>
      <c r="EY402" s="182"/>
      <c r="EZ402" s="182"/>
      <c r="FA402" s="182"/>
      <c r="FB402" s="182"/>
      <c r="FC402" s="182"/>
      <c r="FD402" s="182"/>
      <c r="FE402" s="182"/>
      <c r="FF402" s="182"/>
      <c r="FG402" s="182"/>
      <c r="FH402" s="182"/>
      <c r="FI402" s="182"/>
      <c r="FJ402" s="182"/>
      <c r="FK402" s="182"/>
      <c r="FL402" s="182"/>
      <c r="FM402" s="182"/>
      <c r="FN402" s="182"/>
      <c r="FO402" s="182"/>
      <c r="FP402" s="182"/>
      <c r="FQ402" s="182"/>
      <c r="FR402" s="182"/>
      <c r="FS402" s="182"/>
      <c r="FT402" s="182"/>
      <c r="FU402" s="182"/>
      <c r="FV402" s="182"/>
      <c r="FW402" s="182"/>
      <c r="FX402" s="182"/>
      <c r="FY402" s="182"/>
      <c r="FZ402" s="182"/>
      <c r="GA402" s="182"/>
      <c r="GB402" s="182"/>
      <c r="GC402" s="182"/>
      <c r="GD402" s="182"/>
      <c r="GE402" s="182"/>
      <c r="GF402" s="182"/>
      <c r="GG402" s="182"/>
      <c r="GH402" s="182"/>
      <c r="GI402" s="182"/>
    </row>
    <row r="403" spans="1:191" s="183" customFormat="1" x14ac:dyDescent="0.2">
      <c r="A403" s="210" t="s">
        <v>38708</v>
      </c>
      <c r="B403" s="210" t="s">
        <v>19251</v>
      </c>
      <c r="C403" s="224" t="s">
        <v>22507</v>
      </c>
      <c r="D403" s="211" t="s">
        <v>16</v>
      </c>
      <c r="E403" s="211">
        <v>45</v>
      </c>
      <c r="F403" s="211"/>
      <c r="G403" s="211">
        <v>0.3</v>
      </c>
      <c r="H403" s="212"/>
      <c r="I403" s="213"/>
      <c r="J403" s="272">
        <v>39.39</v>
      </c>
      <c r="K403" s="112">
        <f t="shared" si="26"/>
        <v>1772.55</v>
      </c>
      <c r="L403" s="273">
        <f>BDI!$E$17</f>
        <v>0.11260000000000001</v>
      </c>
      <c r="M403" s="213"/>
      <c r="N403" s="213"/>
      <c r="O403" s="114">
        <f t="shared" si="27"/>
        <v>43.83</v>
      </c>
      <c r="P403" s="113">
        <f t="shared" si="28"/>
        <v>591.71</v>
      </c>
      <c r="Q403" s="209"/>
      <c r="R403" s="203"/>
      <c r="S403" s="182"/>
      <c r="T403" s="182"/>
      <c r="U403" s="182"/>
      <c r="V403" s="182"/>
      <c r="W403" s="182"/>
      <c r="X403" s="182"/>
      <c r="Y403" s="182"/>
      <c r="Z403" s="182"/>
      <c r="AA403" s="182"/>
      <c r="AB403" s="182"/>
      <c r="AC403" s="182"/>
      <c r="AD403" s="182"/>
      <c r="AE403" s="182"/>
      <c r="AF403" s="182"/>
      <c r="AG403" s="182"/>
      <c r="AH403" s="182"/>
      <c r="AI403" s="182"/>
      <c r="AJ403" s="182"/>
      <c r="AK403" s="182"/>
      <c r="AL403" s="182"/>
      <c r="AM403" s="182"/>
      <c r="AN403" s="182"/>
      <c r="AO403" s="182"/>
      <c r="AP403" s="182"/>
      <c r="AQ403" s="182"/>
      <c r="AR403" s="182"/>
      <c r="AS403" s="182"/>
      <c r="AT403" s="182"/>
      <c r="AU403" s="182"/>
      <c r="AV403" s="182"/>
      <c r="AW403" s="182"/>
      <c r="AX403" s="182"/>
      <c r="AY403" s="182"/>
      <c r="AZ403" s="182"/>
      <c r="BA403" s="182"/>
      <c r="BB403" s="182"/>
      <c r="BC403" s="182"/>
      <c r="BD403" s="182"/>
      <c r="BE403" s="182"/>
      <c r="BF403" s="182"/>
      <c r="BG403" s="182"/>
      <c r="BH403" s="182"/>
      <c r="BI403" s="182"/>
      <c r="BJ403" s="182"/>
      <c r="BK403" s="182"/>
      <c r="BL403" s="182"/>
      <c r="BM403" s="182"/>
      <c r="BN403" s="182"/>
      <c r="BO403" s="182"/>
      <c r="BP403" s="182"/>
      <c r="BQ403" s="182"/>
      <c r="BR403" s="182"/>
      <c r="BS403" s="182"/>
      <c r="BT403" s="182"/>
      <c r="BU403" s="182"/>
      <c r="BV403" s="182"/>
      <c r="BW403" s="182"/>
      <c r="BX403" s="182"/>
      <c r="BY403" s="182"/>
      <c r="BZ403" s="182"/>
      <c r="CA403" s="182"/>
      <c r="CB403" s="182"/>
      <c r="CC403" s="182"/>
      <c r="CD403" s="182"/>
      <c r="CE403" s="182"/>
      <c r="CF403" s="182"/>
      <c r="CG403" s="182"/>
      <c r="CH403" s="182"/>
      <c r="CI403" s="182"/>
      <c r="CJ403" s="182"/>
      <c r="CK403" s="182"/>
      <c r="CL403" s="182"/>
      <c r="CM403" s="182"/>
      <c r="CN403" s="182"/>
      <c r="CO403" s="182"/>
      <c r="CP403" s="182"/>
      <c r="CQ403" s="182"/>
      <c r="CR403" s="182"/>
      <c r="CS403" s="182"/>
      <c r="CT403" s="182"/>
      <c r="CU403" s="182"/>
      <c r="CV403" s="182"/>
      <c r="CW403" s="182"/>
      <c r="CX403" s="182"/>
      <c r="CY403" s="182"/>
      <c r="CZ403" s="182"/>
      <c r="DA403" s="182"/>
      <c r="DB403" s="182"/>
      <c r="DC403" s="182"/>
      <c r="DD403" s="182"/>
      <c r="DE403" s="182"/>
      <c r="DF403" s="182"/>
      <c r="DG403" s="182"/>
      <c r="DH403" s="182"/>
      <c r="DI403" s="182"/>
      <c r="DJ403" s="182"/>
      <c r="DK403" s="182"/>
      <c r="DL403" s="182"/>
      <c r="DM403" s="182"/>
      <c r="DN403" s="182"/>
      <c r="DO403" s="182"/>
      <c r="DP403" s="182"/>
      <c r="DQ403" s="182"/>
      <c r="DR403" s="182"/>
      <c r="DS403" s="182"/>
      <c r="DT403" s="182"/>
      <c r="DU403" s="182"/>
      <c r="DV403" s="182"/>
      <c r="DW403" s="182"/>
      <c r="DX403" s="182"/>
      <c r="DY403" s="182"/>
      <c r="DZ403" s="182"/>
      <c r="EA403" s="182"/>
      <c r="EB403" s="182"/>
      <c r="EC403" s="182"/>
      <c r="ED403" s="182"/>
      <c r="EE403" s="182"/>
      <c r="EF403" s="182"/>
      <c r="EG403" s="182"/>
      <c r="EH403" s="182"/>
      <c r="EI403" s="182"/>
      <c r="EJ403" s="182"/>
      <c r="EK403" s="182"/>
      <c r="EL403" s="182"/>
      <c r="EM403" s="182"/>
      <c r="EN403" s="182"/>
      <c r="EO403" s="182"/>
      <c r="EP403" s="182"/>
      <c r="EQ403" s="182"/>
      <c r="ER403" s="182"/>
      <c r="ES403" s="182"/>
      <c r="ET403" s="182"/>
      <c r="EU403" s="182"/>
      <c r="EV403" s="182"/>
      <c r="EW403" s="182"/>
      <c r="EX403" s="182"/>
      <c r="EY403" s="182"/>
      <c r="EZ403" s="182"/>
      <c r="FA403" s="182"/>
      <c r="FB403" s="182"/>
      <c r="FC403" s="182"/>
      <c r="FD403" s="182"/>
      <c r="FE403" s="182"/>
      <c r="FF403" s="182"/>
      <c r="FG403" s="182"/>
      <c r="FH403" s="182"/>
      <c r="FI403" s="182"/>
      <c r="FJ403" s="182"/>
      <c r="FK403" s="182"/>
      <c r="FL403" s="182"/>
      <c r="FM403" s="182"/>
      <c r="FN403" s="182"/>
      <c r="FO403" s="182"/>
      <c r="FP403" s="182"/>
      <c r="FQ403" s="182"/>
      <c r="FR403" s="182"/>
      <c r="FS403" s="182"/>
      <c r="FT403" s="182"/>
      <c r="FU403" s="182"/>
      <c r="FV403" s="182"/>
      <c r="FW403" s="182"/>
      <c r="FX403" s="182"/>
      <c r="FY403" s="182"/>
      <c r="FZ403" s="182"/>
      <c r="GA403" s="182"/>
      <c r="GB403" s="182"/>
      <c r="GC403" s="182"/>
      <c r="GD403" s="182"/>
      <c r="GE403" s="182"/>
      <c r="GF403" s="182"/>
      <c r="GG403" s="182"/>
      <c r="GH403" s="182"/>
      <c r="GI403" s="182"/>
    </row>
    <row r="404" spans="1:191" s="183" customFormat="1" x14ac:dyDescent="0.2">
      <c r="A404" s="210" t="s">
        <v>38709</v>
      </c>
      <c r="B404" s="210" t="s">
        <v>19252</v>
      </c>
      <c r="C404" s="224" t="s">
        <v>22508</v>
      </c>
      <c r="D404" s="211" t="s">
        <v>69</v>
      </c>
      <c r="E404" s="211">
        <v>30</v>
      </c>
      <c r="F404" s="211"/>
      <c r="G404" s="211">
        <v>0.3</v>
      </c>
      <c r="H404" s="212"/>
      <c r="I404" s="213"/>
      <c r="J404" s="272">
        <v>231.28</v>
      </c>
      <c r="K404" s="112">
        <f t="shared" si="26"/>
        <v>6938.4</v>
      </c>
      <c r="L404" s="273">
        <f>BDI!$E$17</f>
        <v>0.11260000000000001</v>
      </c>
      <c r="M404" s="213"/>
      <c r="N404" s="213"/>
      <c r="O404" s="114">
        <f t="shared" si="27"/>
        <v>257.32</v>
      </c>
      <c r="P404" s="113">
        <f t="shared" si="28"/>
        <v>2315.88</v>
      </c>
      <c r="Q404" s="209"/>
      <c r="R404" s="203"/>
      <c r="S404" s="182"/>
      <c r="T404" s="182"/>
      <c r="U404" s="182"/>
      <c r="V404" s="182"/>
      <c r="W404" s="182"/>
      <c r="X404" s="182"/>
      <c r="Y404" s="182"/>
      <c r="Z404" s="182"/>
      <c r="AA404" s="182"/>
      <c r="AB404" s="182"/>
      <c r="AC404" s="182"/>
      <c r="AD404" s="182"/>
      <c r="AE404" s="182"/>
      <c r="AF404" s="182"/>
      <c r="AG404" s="182"/>
      <c r="AH404" s="182"/>
      <c r="AI404" s="182"/>
      <c r="AJ404" s="182"/>
      <c r="AK404" s="182"/>
      <c r="AL404" s="182"/>
      <c r="AM404" s="182"/>
      <c r="AN404" s="182"/>
      <c r="AO404" s="182"/>
      <c r="AP404" s="182"/>
      <c r="AQ404" s="182"/>
      <c r="AR404" s="182"/>
      <c r="AS404" s="182"/>
      <c r="AT404" s="182"/>
      <c r="AU404" s="182"/>
      <c r="AV404" s="182"/>
      <c r="AW404" s="182"/>
      <c r="AX404" s="182"/>
      <c r="AY404" s="182"/>
      <c r="AZ404" s="182"/>
      <c r="BA404" s="182"/>
      <c r="BB404" s="182"/>
      <c r="BC404" s="182"/>
      <c r="BD404" s="182"/>
      <c r="BE404" s="182"/>
      <c r="BF404" s="182"/>
      <c r="BG404" s="182"/>
      <c r="BH404" s="182"/>
      <c r="BI404" s="182"/>
      <c r="BJ404" s="182"/>
      <c r="BK404" s="182"/>
      <c r="BL404" s="182"/>
      <c r="BM404" s="182"/>
      <c r="BN404" s="182"/>
      <c r="BO404" s="182"/>
      <c r="BP404" s="182"/>
      <c r="BQ404" s="182"/>
      <c r="BR404" s="182"/>
      <c r="BS404" s="182"/>
      <c r="BT404" s="182"/>
      <c r="BU404" s="182"/>
      <c r="BV404" s="182"/>
      <c r="BW404" s="182"/>
      <c r="BX404" s="182"/>
      <c r="BY404" s="182"/>
      <c r="BZ404" s="182"/>
      <c r="CA404" s="182"/>
      <c r="CB404" s="182"/>
      <c r="CC404" s="182"/>
      <c r="CD404" s="182"/>
      <c r="CE404" s="182"/>
      <c r="CF404" s="182"/>
      <c r="CG404" s="182"/>
      <c r="CH404" s="182"/>
      <c r="CI404" s="182"/>
      <c r="CJ404" s="182"/>
      <c r="CK404" s="182"/>
      <c r="CL404" s="182"/>
      <c r="CM404" s="182"/>
      <c r="CN404" s="182"/>
      <c r="CO404" s="182"/>
      <c r="CP404" s="182"/>
      <c r="CQ404" s="182"/>
      <c r="CR404" s="182"/>
      <c r="CS404" s="182"/>
      <c r="CT404" s="182"/>
      <c r="CU404" s="182"/>
      <c r="CV404" s="182"/>
      <c r="CW404" s="182"/>
      <c r="CX404" s="182"/>
      <c r="CY404" s="182"/>
      <c r="CZ404" s="182"/>
      <c r="DA404" s="182"/>
      <c r="DB404" s="182"/>
      <c r="DC404" s="182"/>
      <c r="DD404" s="182"/>
      <c r="DE404" s="182"/>
      <c r="DF404" s="182"/>
      <c r="DG404" s="182"/>
      <c r="DH404" s="182"/>
      <c r="DI404" s="182"/>
      <c r="DJ404" s="182"/>
      <c r="DK404" s="182"/>
      <c r="DL404" s="182"/>
      <c r="DM404" s="182"/>
      <c r="DN404" s="182"/>
      <c r="DO404" s="182"/>
      <c r="DP404" s="182"/>
      <c r="DQ404" s="182"/>
      <c r="DR404" s="182"/>
      <c r="DS404" s="182"/>
      <c r="DT404" s="182"/>
      <c r="DU404" s="182"/>
      <c r="DV404" s="182"/>
      <c r="DW404" s="182"/>
      <c r="DX404" s="182"/>
      <c r="DY404" s="182"/>
      <c r="DZ404" s="182"/>
      <c r="EA404" s="182"/>
      <c r="EB404" s="182"/>
      <c r="EC404" s="182"/>
      <c r="ED404" s="182"/>
      <c r="EE404" s="182"/>
      <c r="EF404" s="182"/>
      <c r="EG404" s="182"/>
      <c r="EH404" s="182"/>
      <c r="EI404" s="182"/>
      <c r="EJ404" s="182"/>
      <c r="EK404" s="182"/>
      <c r="EL404" s="182"/>
      <c r="EM404" s="182"/>
      <c r="EN404" s="182"/>
      <c r="EO404" s="182"/>
      <c r="EP404" s="182"/>
      <c r="EQ404" s="182"/>
      <c r="ER404" s="182"/>
      <c r="ES404" s="182"/>
      <c r="ET404" s="182"/>
      <c r="EU404" s="182"/>
      <c r="EV404" s="182"/>
      <c r="EW404" s="182"/>
      <c r="EX404" s="182"/>
      <c r="EY404" s="182"/>
      <c r="EZ404" s="182"/>
      <c r="FA404" s="182"/>
      <c r="FB404" s="182"/>
      <c r="FC404" s="182"/>
      <c r="FD404" s="182"/>
      <c r="FE404" s="182"/>
      <c r="FF404" s="182"/>
      <c r="FG404" s="182"/>
      <c r="FH404" s="182"/>
      <c r="FI404" s="182"/>
      <c r="FJ404" s="182"/>
      <c r="FK404" s="182"/>
      <c r="FL404" s="182"/>
      <c r="FM404" s="182"/>
      <c r="FN404" s="182"/>
      <c r="FO404" s="182"/>
      <c r="FP404" s="182"/>
      <c r="FQ404" s="182"/>
      <c r="FR404" s="182"/>
      <c r="FS404" s="182"/>
      <c r="FT404" s="182"/>
      <c r="FU404" s="182"/>
      <c r="FV404" s="182"/>
      <c r="FW404" s="182"/>
      <c r="FX404" s="182"/>
      <c r="FY404" s="182"/>
      <c r="FZ404" s="182"/>
      <c r="GA404" s="182"/>
      <c r="GB404" s="182"/>
      <c r="GC404" s="182"/>
      <c r="GD404" s="182"/>
      <c r="GE404" s="182"/>
      <c r="GF404" s="182"/>
      <c r="GG404" s="182"/>
      <c r="GH404" s="182"/>
      <c r="GI404" s="182"/>
    </row>
    <row r="405" spans="1:191" s="183" customFormat="1" x14ac:dyDescent="0.2">
      <c r="A405" s="210" t="s">
        <v>38710</v>
      </c>
      <c r="B405" s="210" t="s">
        <v>19253</v>
      </c>
      <c r="C405" s="224" t="s">
        <v>22509</v>
      </c>
      <c r="D405" s="211" t="s">
        <v>16</v>
      </c>
      <c r="E405" s="211">
        <v>4</v>
      </c>
      <c r="F405" s="211"/>
      <c r="G405" s="211">
        <v>0.3</v>
      </c>
      <c r="H405" s="212"/>
      <c r="I405" s="213"/>
      <c r="J405" s="272">
        <v>37.119999999999997</v>
      </c>
      <c r="K405" s="112">
        <f t="shared" si="26"/>
        <v>148.47999999999999</v>
      </c>
      <c r="L405" s="273">
        <f>BDI!$E$17</f>
        <v>0.11260000000000001</v>
      </c>
      <c r="M405" s="213"/>
      <c r="N405" s="213"/>
      <c r="O405" s="114">
        <f t="shared" si="27"/>
        <v>41.3</v>
      </c>
      <c r="P405" s="113">
        <f t="shared" si="28"/>
        <v>49.56</v>
      </c>
      <c r="Q405" s="209"/>
      <c r="R405" s="203"/>
      <c r="S405" s="182"/>
      <c r="T405" s="182"/>
      <c r="U405" s="182"/>
      <c r="V405" s="182"/>
      <c r="W405" s="182"/>
      <c r="X405" s="182"/>
      <c r="Y405" s="182"/>
      <c r="Z405" s="182"/>
      <c r="AA405" s="182"/>
      <c r="AB405" s="182"/>
      <c r="AC405" s="182"/>
      <c r="AD405" s="182"/>
      <c r="AE405" s="182"/>
      <c r="AF405" s="182"/>
      <c r="AG405" s="182"/>
      <c r="AH405" s="182"/>
      <c r="AI405" s="182"/>
      <c r="AJ405" s="182"/>
      <c r="AK405" s="182"/>
      <c r="AL405" s="182"/>
      <c r="AM405" s="182"/>
      <c r="AN405" s="182"/>
      <c r="AO405" s="182"/>
      <c r="AP405" s="182"/>
      <c r="AQ405" s="182"/>
      <c r="AR405" s="182"/>
      <c r="AS405" s="182"/>
      <c r="AT405" s="182"/>
      <c r="AU405" s="182"/>
      <c r="AV405" s="182"/>
      <c r="AW405" s="182"/>
      <c r="AX405" s="182"/>
      <c r="AY405" s="182"/>
      <c r="AZ405" s="182"/>
      <c r="BA405" s="182"/>
      <c r="BB405" s="182"/>
      <c r="BC405" s="182"/>
      <c r="BD405" s="182"/>
      <c r="BE405" s="182"/>
      <c r="BF405" s="182"/>
      <c r="BG405" s="182"/>
      <c r="BH405" s="182"/>
      <c r="BI405" s="182"/>
      <c r="BJ405" s="182"/>
      <c r="BK405" s="182"/>
      <c r="BL405" s="182"/>
      <c r="BM405" s="182"/>
      <c r="BN405" s="182"/>
      <c r="BO405" s="182"/>
      <c r="BP405" s="182"/>
      <c r="BQ405" s="182"/>
      <c r="BR405" s="182"/>
      <c r="BS405" s="182"/>
      <c r="BT405" s="182"/>
      <c r="BU405" s="182"/>
      <c r="BV405" s="182"/>
      <c r="BW405" s="182"/>
      <c r="BX405" s="182"/>
      <c r="BY405" s="182"/>
      <c r="BZ405" s="182"/>
      <c r="CA405" s="182"/>
      <c r="CB405" s="182"/>
      <c r="CC405" s="182"/>
      <c r="CD405" s="182"/>
      <c r="CE405" s="182"/>
      <c r="CF405" s="182"/>
      <c r="CG405" s="182"/>
      <c r="CH405" s="182"/>
      <c r="CI405" s="182"/>
      <c r="CJ405" s="182"/>
      <c r="CK405" s="182"/>
      <c r="CL405" s="182"/>
      <c r="CM405" s="182"/>
      <c r="CN405" s="182"/>
      <c r="CO405" s="182"/>
      <c r="CP405" s="182"/>
      <c r="CQ405" s="182"/>
      <c r="CR405" s="182"/>
      <c r="CS405" s="182"/>
      <c r="CT405" s="182"/>
      <c r="CU405" s="182"/>
      <c r="CV405" s="182"/>
      <c r="CW405" s="182"/>
      <c r="CX405" s="182"/>
      <c r="CY405" s="182"/>
      <c r="CZ405" s="182"/>
      <c r="DA405" s="182"/>
      <c r="DB405" s="182"/>
      <c r="DC405" s="182"/>
      <c r="DD405" s="182"/>
      <c r="DE405" s="182"/>
      <c r="DF405" s="182"/>
      <c r="DG405" s="182"/>
      <c r="DH405" s="182"/>
      <c r="DI405" s="182"/>
      <c r="DJ405" s="182"/>
      <c r="DK405" s="182"/>
      <c r="DL405" s="182"/>
      <c r="DM405" s="182"/>
      <c r="DN405" s="182"/>
      <c r="DO405" s="182"/>
      <c r="DP405" s="182"/>
      <c r="DQ405" s="182"/>
      <c r="DR405" s="182"/>
      <c r="DS405" s="182"/>
      <c r="DT405" s="182"/>
      <c r="DU405" s="182"/>
      <c r="DV405" s="182"/>
      <c r="DW405" s="182"/>
      <c r="DX405" s="182"/>
      <c r="DY405" s="182"/>
      <c r="DZ405" s="182"/>
      <c r="EA405" s="182"/>
      <c r="EB405" s="182"/>
      <c r="EC405" s="182"/>
      <c r="ED405" s="182"/>
      <c r="EE405" s="182"/>
      <c r="EF405" s="182"/>
      <c r="EG405" s="182"/>
      <c r="EH405" s="182"/>
      <c r="EI405" s="182"/>
      <c r="EJ405" s="182"/>
      <c r="EK405" s="182"/>
      <c r="EL405" s="182"/>
      <c r="EM405" s="182"/>
      <c r="EN405" s="182"/>
      <c r="EO405" s="182"/>
      <c r="EP405" s="182"/>
      <c r="EQ405" s="182"/>
      <c r="ER405" s="182"/>
      <c r="ES405" s="182"/>
      <c r="ET405" s="182"/>
      <c r="EU405" s="182"/>
      <c r="EV405" s="182"/>
      <c r="EW405" s="182"/>
      <c r="EX405" s="182"/>
      <c r="EY405" s="182"/>
      <c r="EZ405" s="182"/>
      <c r="FA405" s="182"/>
      <c r="FB405" s="182"/>
      <c r="FC405" s="182"/>
      <c r="FD405" s="182"/>
      <c r="FE405" s="182"/>
      <c r="FF405" s="182"/>
      <c r="FG405" s="182"/>
      <c r="FH405" s="182"/>
      <c r="FI405" s="182"/>
      <c r="FJ405" s="182"/>
      <c r="FK405" s="182"/>
      <c r="FL405" s="182"/>
      <c r="FM405" s="182"/>
      <c r="FN405" s="182"/>
      <c r="FO405" s="182"/>
      <c r="FP405" s="182"/>
      <c r="FQ405" s="182"/>
      <c r="FR405" s="182"/>
      <c r="FS405" s="182"/>
      <c r="FT405" s="182"/>
      <c r="FU405" s="182"/>
      <c r="FV405" s="182"/>
      <c r="FW405" s="182"/>
      <c r="FX405" s="182"/>
      <c r="FY405" s="182"/>
      <c r="FZ405" s="182"/>
      <c r="GA405" s="182"/>
      <c r="GB405" s="182"/>
      <c r="GC405" s="182"/>
      <c r="GD405" s="182"/>
      <c r="GE405" s="182"/>
      <c r="GF405" s="182"/>
      <c r="GG405" s="182"/>
      <c r="GH405" s="182"/>
      <c r="GI405" s="182"/>
    </row>
    <row r="406" spans="1:191" s="183" customFormat="1" x14ac:dyDescent="0.2">
      <c r="A406" s="210" t="s">
        <v>38711</v>
      </c>
      <c r="B406" s="210" t="s">
        <v>19254</v>
      </c>
      <c r="C406" s="224" t="s">
        <v>22510</v>
      </c>
      <c r="D406" s="211" t="s">
        <v>16</v>
      </c>
      <c r="E406" s="211">
        <v>4</v>
      </c>
      <c r="F406" s="211"/>
      <c r="G406" s="211">
        <v>0.3</v>
      </c>
      <c r="H406" s="212"/>
      <c r="I406" s="213"/>
      <c r="J406" s="272">
        <v>42.66</v>
      </c>
      <c r="K406" s="112">
        <f t="shared" si="26"/>
        <v>170.64</v>
      </c>
      <c r="L406" s="273">
        <f>BDI!$E$17</f>
        <v>0.11260000000000001</v>
      </c>
      <c r="M406" s="213"/>
      <c r="N406" s="213"/>
      <c r="O406" s="114">
        <f t="shared" si="27"/>
        <v>47.46</v>
      </c>
      <c r="P406" s="113">
        <f t="shared" si="28"/>
        <v>56.95</v>
      </c>
      <c r="Q406" s="209"/>
      <c r="R406" s="203"/>
      <c r="S406" s="182"/>
      <c r="T406" s="182"/>
      <c r="U406" s="182"/>
      <c r="V406" s="182"/>
      <c r="W406" s="182"/>
      <c r="X406" s="182"/>
      <c r="Y406" s="182"/>
      <c r="Z406" s="182"/>
      <c r="AA406" s="182"/>
      <c r="AB406" s="182"/>
      <c r="AC406" s="182"/>
      <c r="AD406" s="182"/>
      <c r="AE406" s="182"/>
      <c r="AF406" s="182"/>
      <c r="AG406" s="182"/>
      <c r="AH406" s="182"/>
      <c r="AI406" s="182"/>
      <c r="AJ406" s="182"/>
      <c r="AK406" s="182"/>
      <c r="AL406" s="182"/>
      <c r="AM406" s="182"/>
      <c r="AN406" s="182"/>
      <c r="AO406" s="182"/>
      <c r="AP406" s="182"/>
      <c r="AQ406" s="182"/>
      <c r="AR406" s="182"/>
      <c r="AS406" s="182"/>
      <c r="AT406" s="182"/>
      <c r="AU406" s="182"/>
      <c r="AV406" s="182"/>
      <c r="AW406" s="182"/>
      <c r="AX406" s="182"/>
      <c r="AY406" s="182"/>
      <c r="AZ406" s="182"/>
      <c r="BA406" s="182"/>
      <c r="BB406" s="182"/>
      <c r="BC406" s="182"/>
      <c r="BD406" s="182"/>
      <c r="BE406" s="182"/>
      <c r="BF406" s="182"/>
      <c r="BG406" s="182"/>
      <c r="BH406" s="182"/>
      <c r="BI406" s="182"/>
      <c r="BJ406" s="182"/>
      <c r="BK406" s="182"/>
      <c r="BL406" s="182"/>
      <c r="BM406" s="182"/>
      <c r="BN406" s="182"/>
      <c r="BO406" s="182"/>
      <c r="BP406" s="182"/>
      <c r="BQ406" s="182"/>
      <c r="BR406" s="182"/>
      <c r="BS406" s="182"/>
      <c r="BT406" s="182"/>
      <c r="BU406" s="182"/>
      <c r="BV406" s="182"/>
      <c r="BW406" s="182"/>
      <c r="BX406" s="182"/>
      <c r="BY406" s="182"/>
      <c r="BZ406" s="182"/>
      <c r="CA406" s="182"/>
      <c r="CB406" s="182"/>
      <c r="CC406" s="182"/>
      <c r="CD406" s="182"/>
      <c r="CE406" s="182"/>
      <c r="CF406" s="182"/>
      <c r="CG406" s="182"/>
      <c r="CH406" s="182"/>
      <c r="CI406" s="182"/>
      <c r="CJ406" s="182"/>
      <c r="CK406" s="182"/>
      <c r="CL406" s="182"/>
      <c r="CM406" s="182"/>
      <c r="CN406" s="182"/>
      <c r="CO406" s="182"/>
      <c r="CP406" s="182"/>
      <c r="CQ406" s="182"/>
      <c r="CR406" s="182"/>
      <c r="CS406" s="182"/>
      <c r="CT406" s="182"/>
      <c r="CU406" s="182"/>
      <c r="CV406" s="182"/>
      <c r="CW406" s="182"/>
      <c r="CX406" s="182"/>
      <c r="CY406" s="182"/>
      <c r="CZ406" s="182"/>
      <c r="DA406" s="182"/>
      <c r="DB406" s="182"/>
      <c r="DC406" s="182"/>
      <c r="DD406" s="182"/>
      <c r="DE406" s="182"/>
      <c r="DF406" s="182"/>
      <c r="DG406" s="182"/>
      <c r="DH406" s="182"/>
      <c r="DI406" s="182"/>
      <c r="DJ406" s="182"/>
      <c r="DK406" s="182"/>
      <c r="DL406" s="182"/>
      <c r="DM406" s="182"/>
      <c r="DN406" s="182"/>
      <c r="DO406" s="182"/>
      <c r="DP406" s="182"/>
      <c r="DQ406" s="182"/>
      <c r="DR406" s="182"/>
      <c r="DS406" s="182"/>
      <c r="DT406" s="182"/>
      <c r="DU406" s="182"/>
      <c r="DV406" s="182"/>
      <c r="DW406" s="182"/>
      <c r="DX406" s="182"/>
      <c r="DY406" s="182"/>
      <c r="DZ406" s="182"/>
      <c r="EA406" s="182"/>
      <c r="EB406" s="182"/>
      <c r="EC406" s="182"/>
      <c r="ED406" s="182"/>
      <c r="EE406" s="182"/>
      <c r="EF406" s="182"/>
      <c r="EG406" s="182"/>
      <c r="EH406" s="182"/>
      <c r="EI406" s="182"/>
      <c r="EJ406" s="182"/>
      <c r="EK406" s="182"/>
      <c r="EL406" s="182"/>
      <c r="EM406" s="182"/>
      <c r="EN406" s="182"/>
      <c r="EO406" s="182"/>
      <c r="EP406" s="182"/>
      <c r="EQ406" s="182"/>
      <c r="ER406" s="182"/>
      <c r="ES406" s="182"/>
      <c r="ET406" s="182"/>
      <c r="EU406" s="182"/>
      <c r="EV406" s="182"/>
      <c r="EW406" s="182"/>
      <c r="EX406" s="182"/>
      <c r="EY406" s="182"/>
      <c r="EZ406" s="182"/>
      <c r="FA406" s="182"/>
      <c r="FB406" s="182"/>
      <c r="FC406" s="182"/>
      <c r="FD406" s="182"/>
      <c r="FE406" s="182"/>
      <c r="FF406" s="182"/>
      <c r="FG406" s="182"/>
      <c r="FH406" s="182"/>
      <c r="FI406" s="182"/>
      <c r="FJ406" s="182"/>
      <c r="FK406" s="182"/>
      <c r="FL406" s="182"/>
      <c r="FM406" s="182"/>
      <c r="FN406" s="182"/>
      <c r="FO406" s="182"/>
      <c r="FP406" s="182"/>
      <c r="FQ406" s="182"/>
      <c r="FR406" s="182"/>
      <c r="FS406" s="182"/>
      <c r="FT406" s="182"/>
      <c r="FU406" s="182"/>
      <c r="FV406" s="182"/>
      <c r="FW406" s="182"/>
      <c r="FX406" s="182"/>
      <c r="FY406" s="182"/>
      <c r="FZ406" s="182"/>
      <c r="GA406" s="182"/>
      <c r="GB406" s="182"/>
      <c r="GC406" s="182"/>
      <c r="GD406" s="182"/>
      <c r="GE406" s="182"/>
      <c r="GF406" s="182"/>
      <c r="GG406" s="182"/>
      <c r="GH406" s="182"/>
      <c r="GI406" s="182"/>
    </row>
    <row r="407" spans="1:191" s="183" customFormat="1" x14ac:dyDescent="0.2">
      <c r="A407" s="210" t="s">
        <v>38712</v>
      </c>
      <c r="B407" s="210" t="s">
        <v>20668</v>
      </c>
      <c r="C407" s="224" t="s">
        <v>22511</v>
      </c>
      <c r="D407" s="211" t="s">
        <v>16</v>
      </c>
      <c r="E407" s="211">
        <v>4</v>
      </c>
      <c r="F407" s="211"/>
      <c r="G407" s="211">
        <v>0.3</v>
      </c>
      <c r="H407" s="212"/>
      <c r="I407" s="213"/>
      <c r="J407" s="272">
        <v>32.94</v>
      </c>
      <c r="K407" s="112">
        <f t="shared" si="26"/>
        <v>131.76</v>
      </c>
      <c r="L407" s="273">
        <f>BDI!$E$17</f>
        <v>0.11260000000000001</v>
      </c>
      <c r="M407" s="213"/>
      <c r="N407" s="213"/>
      <c r="O407" s="114">
        <f t="shared" si="27"/>
        <v>36.65</v>
      </c>
      <c r="P407" s="113">
        <f t="shared" si="28"/>
        <v>43.98</v>
      </c>
      <c r="Q407" s="209"/>
      <c r="R407" s="203"/>
      <c r="S407" s="182"/>
      <c r="T407" s="182"/>
      <c r="U407" s="182"/>
      <c r="V407" s="182"/>
      <c r="W407" s="182"/>
      <c r="X407" s="182"/>
      <c r="Y407" s="182"/>
      <c r="Z407" s="182"/>
      <c r="AA407" s="182"/>
      <c r="AB407" s="182"/>
      <c r="AC407" s="182"/>
      <c r="AD407" s="182"/>
      <c r="AE407" s="182"/>
      <c r="AF407" s="182"/>
      <c r="AG407" s="182"/>
      <c r="AH407" s="182"/>
      <c r="AI407" s="182"/>
      <c r="AJ407" s="182"/>
      <c r="AK407" s="182"/>
      <c r="AL407" s="182"/>
      <c r="AM407" s="182"/>
      <c r="AN407" s="182"/>
      <c r="AO407" s="182"/>
      <c r="AP407" s="182"/>
      <c r="AQ407" s="182"/>
      <c r="AR407" s="182"/>
      <c r="AS407" s="182"/>
      <c r="AT407" s="182"/>
      <c r="AU407" s="182"/>
      <c r="AV407" s="182"/>
      <c r="AW407" s="182"/>
      <c r="AX407" s="182"/>
      <c r="AY407" s="182"/>
      <c r="AZ407" s="182"/>
      <c r="BA407" s="182"/>
      <c r="BB407" s="182"/>
      <c r="BC407" s="182"/>
      <c r="BD407" s="182"/>
      <c r="BE407" s="182"/>
      <c r="BF407" s="182"/>
      <c r="BG407" s="182"/>
      <c r="BH407" s="182"/>
      <c r="BI407" s="182"/>
      <c r="BJ407" s="182"/>
      <c r="BK407" s="182"/>
      <c r="BL407" s="182"/>
      <c r="BM407" s="182"/>
      <c r="BN407" s="182"/>
      <c r="BO407" s="182"/>
      <c r="BP407" s="182"/>
      <c r="BQ407" s="182"/>
      <c r="BR407" s="182"/>
      <c r="BS407" s="182"/>
      <c r="BT407" s="182"/>
      <c r="BU407" s="182"/>
      <c r="BV407" s="182"/>
      <c r="BW407" s="182"/>
      <c r="BX407" s="182"/>
      <c r="BY407" s="182"/>
      <c r="BZ407" s="182"/>
      <c r="CA407" s="182"/>
      <c r="CB407" s="182"/>
      <c r="CC407" s="182"/>
      <c r="CD407" s="182"/>
      <c r="CE407" s="182"/>
      <c r="CF407" s="182"/>
      <c r="CG407" s="182"/>
      <c r="CH407" s="182"/>
      <c r="CI407" s="182"/>
      <c r="CJ407" s="182"/>
      <c r="CK407" s="182"/>
      <c r="CL407" s="182"/>
      <c r="CM407" s="182"/>
      <c r="CN407" s="182"/>
      <c r="CO407" s="182"/>
      <c r="CP407" s="182"/>
      <c r="CQ407" s="182"/>
      <c r="CR407" s="182"/>
      <c r="CS407" s="182"/>
      <c r="CT407" s="182"/>
      <c r="CU407" s="182"/>
      <c r="CV407" s="182"/>
      <c r="CW407" s="182"/>
      <c r="CX407" s="182"/>
      <c r="CY407" s="182"/>
      <c r="CZ407" s="182"/>
      <c r="DA407" s="182"/>
      <c r="DB407" s="182"/>
      <c r="DC407" s="182"/>
      <c r="DD407" s="182"/>
      <c r="DE407" s="182"/>
      <c r="DF407" s="182"/>
      <c r="DG407" s="182"/>
      <c r="DH407" s="182"/>
      <c r="DI407" s="182"/>
      <c r="DJ407" s="182"/>
      <c r="DK407" s="182"/>
      <c r="DL407" s="182"/>
      <c r="DM407" s="182"/>
      <c r="DN407" s="182"/>
      <c r="DO407" s="182"/>
      <c r="DP407" s="182"/>
      <c r="DQ407" s="182"/>
      <c r="DR407" s="182"/>
      <c r="DS407" s="182"/>
      <c r="DT407" s="182"/>
      <c r="DU407" s="182"/>
      <c r="DV407" s="182"/>
      <c r="DW407" s="182"/>
      <c r="DX407" s="182"/>
      <c r="DY407" s="182"/>
      <c r="DZ407" s="182"/>
      <c r="EA407" s="182"/>
      <c r="EB407" s="182"/>
      <c r="EC407" s="182"/>
      <c r="ED407" s="182"/>
      <c r="EE407" s="182"/>
      <c r="EF407" s="182"/>
      <c r="EG407" s="182"/>
      <c r="EH407" s="182"/>
      <c r="EI407" s="182"/>
      <c r="EJ407" s="182"/>
      <c r="EK407" s="182"/>
      <c r="EL407" s="182"/>
      <c r="EM407" s="182"/>
      <c r="EN407" s="182"/>
      <c r="EO407" s="182"/>
      <c r="EP407" s="182"/>
      <c r="EQ407" s="182"/>
      <c r="ER407" s="182"/>
      <c r="ES407" s="182"/>
      <c r="ET407" s="182"/>
      <c r="EU407" s="182"/>
      <c r="EV407" s="182"/>
      <c r="EW407" s="182"/>
      <c r="EX407" s="182"/>
      <c r="EY407" s="182"/>
      <c r="EZ407" s="182"/>
      <c r="FA407" s="182"/>
      <c r="FB407" s="182"/>
      <c r="FC407" s="182"/>
      <c r="FD407" s="182"/>
      <c r="FE407" s="182"/>
      <c r="FF407" s="182"/>
      <c r="FG407" s="182"/>
      <c r="FH407" s="182"/>
      <c r="FI407" s="182"/>
      <c r="FJ407" s="182"/>
      <c r="FK407" s="182"/>
      <c r="FL407" s="182"/>
      <c r="FM407" s="182"/>
      <c r="FN407" s="182"/>
      <c r="FO407" s="182"/>
      <c r="FP407" s="182"/>
      <c r="FQ407" s="182"/>
      <c r="FR407" s="182"/>
      <c r="FS407" s="182"/>
      <c r="FT407" s="182"/>
      <c r="FU407" s="182"/>
      <c r="FV407" s="182"/>
      <c r="FW407" s="182"/>
      <c r="FX407" s="182"/>
      <c r="FY407" s="182"/>
      <c r="FZ407" s="182"/>
      <c r="GA407" s="182"/>
      <c r="GB407" s="182"/>
      <c r="GC407" s="182"/>
      <c r="GD407" s="182"/>
      <c r="GE407" s="182"/>
      <c r="GF407" s="182"/>
      <c r="GG407" s="182"/>
      <c r="GH407" s="182"/>
      <c r="GI407" s="182"/>
    </row>
    <row r="408" spans="1:191" s="183" customFormat="1" x14ac:dyDescent="0.2">
      <c r="A408" s="210" t="s">
        <v>38713</v>
      </c>
      <c r="B408" s="210" t="s">
        <v>20669</v>
      </c>
      <c r="C408" s="224" t="s">
        <v>22512</v>
      </c>
      <c r="D408" s="211" t="s">
        <v>16</v>
      </c>
      <c r="E408" s="211">
        <v>4</v>
      </c>
      <c r="F408" s="211"/>
      <c r="G408" s="211">
        <v>0.3</v>
      </c>
      <c r="H408" s="212"/>
      <c r="I408" s="213"/>
      <c r="J408" s="272">
        <v>23.4</v>
      </c>
      <c r="K408" s="112">
        <f t="shared" si="26"/>
        <v>93.6</v>
      </c>
      <c r="L408" s="273">
        <f>BDI!$E$17</f>
        <v>0.11260000000000001</v>
      </c>
      <c r="M408" s="213"/>
      <c r="N408" s="213"/>
      <c r="O408" s="114">
        <f t="shared" si="27"/>
        <v>26.03</v>
      </c>
      <c r="P408" s="113">
        <f t="shared" si="28"/>
        <v>31.24</v>
      </c>
      <c r="Q408" s="209"/>
      <c r="R408" s="203"/>
      <c r="S408" s="182"/>
      <c r="T408" s="182"/>
      <c r="U408" s="182"/>
      <c r="V408" s="182"/>
      <c r="W408" s="182"/>
      <c r="X408" s="182"/>
      <c r="Y408" s="182"/>
      <c r="Z408" s="182"/>
      <c r="AA408" s="182"/>
      <c r="AB408" s="182"/>
      <c r="AC408" s="182"/>
      <c r="AD408" s="182"/>
      <c r="AE408" s="182"/>
      <c r="AF408" s="182"/>
      <c r="AG408" s="182"/>
      <c r="AH408" s="182"/>
      <c r="AI408" s="182"/>
      <c r="AJ408" s="182"/>
      <c r="AK408" s="182"/>
      <c r="AL408" s="182"/>
      <c r="AM408" s="182"/>
      <c r="AN408" s="182"/>
      <c r="AO408" s="182"/>
      <c r="AP408" s="182"/>
      <c r="AQ408" s="182"/>
      <c r="AR408" s="182"/>
      <c r="AS408" s="182"/>
      <c r="AT408" s="182"/>
      <c r="AU408" s="182"/>
      <c r="AV408" s="182"/>
      <c r="AW408" s="182"/>
      <c r="AX408" s="182"/>
      <c r="AY408" s="182"/>
      <c r="AZ408" s="182"/>
      <c r="BA408" s="182"/>
      <c r="BB408" s="182"/>
      <c r="BC408" s="182"/>
      <c r="BD408" s="182"/>
      <c r="BE408" s="182"/>
      <c r="BF408" s="182"/>
      <c r="BG408" s="182"/>
      <c r="BH408" s="182"/>
      <c r="BI408" s="182"/>
      <c r="BJ408" s="182"/>
      <c r="BK408" s="182"/>
      <c r="BL408" s="182"/>
      <c r="BM408" s="182"/>
      <c r="BN408" s="182"/>
      <c r="BO408" s="182"/>
      <c r="BP408" s="182"/>
      <c r="BQ408" s="182"/>
      <c r="BR408" s="182"/>
      <c r="BS408" s="182"/>
      <c r="BT408" s="182"/>
      <c r="BU408" s="182"/>
      <c r="BV408" s="182"/>
      <c r="BW408" s="182"/>
      <c r="BX408" s="182"/>
      <c r="BY408" s="182"/>
      <c r="BZ408" s="182"/>
      <c r="CA408" s="182"/>
      <c r="CB408" s="182"/>
      <c r="CC408" s="182"/>
      <c r="CD408" s="182"/>
      <c r="CE408" s="182"/>
      <c r="CF408" s="182"/>
      <c r="CG408" s="182"/>
      <c r="CH408" s="182"/>
      <c r="CI408" s="182"/>
      <c r="CJ408" s="182"/>
      <c r="CK408" s="182"/>
      <c r="CL408" s="182"/>
      <c r="CM408" s="182"/>
      <c r="CN408" s="182"/>
      <c r="CO408" s="182"/>
      <c r="CP408" s="182"/>
      <c r="CQ408" s="182"/>
      <c r="CR408" s="182"/>
      <c r="CS408" s="182"/>
      <c r="CT408" s="182"/>
      <c r="CU408" s="182"/>
      <c r="CV408" s="182"/>
      <c r="CW408" s="182"/>
      <c r="CX408" s="182"/>
      <c r="CY408" s="182"/>
      <c r="CZ408" s="182"/>
      <c r="DA408" s="182"/>
      <c r="DB408" s="182"/>
      <c r="DC408" s="182"/>
      <c r="DD408" s="182"/>
      <c r="DE408" s="182"/>
      <c r="DF408" s="182"/>
      <c r="DG408" s="182"/>
      <c r="DH408" s="182"/>
      <c r="DI408" s="182"/>
      <c r="DJ408" s="182"/>
      <c r="DK408" s="182"/>
      <c r="DL408" s="182"/>
      <c r="DM408" s="182"/>
      <c r="DN408" s="182"/>
      <c r="DO408" s="182"/>
      <c r="DP408" s="182"/>
      <c r="DQ408" s="182"/>
      <c r="DR408" s="182"/>
      <c r="DS408" s="182"/>
      <c r="DT408" s="182"/>
      <c r="DU408" s="182"/>
      <c r="DV408" s="182"/>
      <c r="DW408" s="182"/>
      <c r="DX408" s="182"/>
      <c r="DY408" s="182"/>
      <c r="DZ408" s="182"/>
      <c r="EA408" s="182"/>
      <c r="EB408" s="182"/>
      <c r="EC408" s="182"/>
      <c r="ED408" s="182"/>
      <c r="EE408" s="182"/>
      <c r="EF408" s="182"/>
      <c r="EG408" s="182"/>
      <c r="EH408" s="182"/>
      <c r="EI408" s="182"/>
      <c r="EJ408" s="182"/>
      <c r="EK408" s="182"/>
      <c r="EL408" s="182"/>
      <c r="EM408" s="182"/>
      <c r="EN408" s="182"/>
      <c r="EO408" s="182"/>
      <c r="EP408" s="182"/>
      <c r="EQ408" s="182"/>
      <c r="ER408" s="182"/>
      <c r="ES408" s="182"/>
      <c r="ET408" s="182"/>
      <c r="EU408" s="182"/>
      <c r="EV408" s="182"/>
      <c r="EW408" s="182"/>
      <c r="EX408" s="182"/>
      <c r="EY408" s="182"/>
      <c r="EZ408" s="182"/>
      <c r="FA408" s="182"/>
      <c r="FB408" s="182"/>
      <c r="FC408" s="182"/>
      <c r="FD408" s="182"/>
      <c r="FE408" s="182"/>
      <c r="FF408" s="182"/>
      <c r="FG408" s="182"/>
      <c r="FH408" s="182"/>
      <c r="FI408" s="182"/>
      <c r="FJ408" s="182"/>
      <c r="FK408" s="182"/>
      <c r="FL408" s="182"/>
      <c r="FM408" s="182"/>
      <c r="FN408" s="182"/>
      <c r="FO408" s="182"/>
      <c r="FP408" s="182"/>
      <c r="FQ408" s="182"/>
      <c r="FR408" s="182"/>
      <c r="FS408" s="182"/>
      <c r="FT408" s="182"/>
      <c r="FU408" s="182"/>
      <c r="FV408" s="182"/>
      <c r="FW408" s="182"/>
      <c r="FX408" s="182"/>
      <c r="FY408" s="182"/>
      <c r="FZ408" s="182"/>
      <c r="GA408" s="182"/>
      <c r="GB408" s="182"/>
      <c r="GC408" s="182"/>
      <c r="GD408" s="182"/>
      <c r="GE408" s="182"/>
      <c r="GF408" s="182"/>
      <c r="GG408" s="182"/>
      <c r="GH408" s="182"/>
      <c r="GI408" s="182"/>
    </row>
    <row r="409" spans="1:191" s="183" customFormat="1" x14ac:dyDescent="0.2">
      <c r="A409" s="210" t="s">
        <v>38714</v>
      </c>
      <c r="B409" s="210" t="s">
        <v>20670</v>
      </c>
      <c r="C409" s="224" t="s">
        <v>22513</v>
      </c>
      <c r="D409" s="211" t="s">
        <v>16</v>
      </c>
      <c r="E409" s="211">
        <v>2</v>
      </c>
      <c r="F409" s="211"/>
      <c r="G409" s="211">
        <v>0.3</v>
      </c>
      <c r="H409" s="212"/>
      <c r="I409" s="213"/>
      <c r="J409" s="272">
        <v>76.19</v>
      </c>
      <c r="K409" s="112">
        <f t="shared" si="26"/>
        <v>152.38</v>
      </c>
      <c r="L409" s="273">
        <f>BDI!$E$17</f>
        <v>0.11260000000000001</v>
      </c>
      <c r="M409" s="213"/>
      <c r="N409" s="213"/>
      <c r="O409" s="114">
        <f t="shared" si="27"/>
        <v>84.77</v>
      </c>
      <c r="P409" s="113">
        <f t="shared" si="28"/>
        <v>50.86</v>
      </c>
      <c r="Q409" s="209"/>
      <c r="R409" s="203"/>
      <c r="S409" s="182"/>
      <c r="T409" s="182"/>
      <c r="U409" s="182"/>
      <c r="V409" s="182"/>
      <c r="W409" s="182"/>
      <c r="X409" s="182"/>
      <c r="Y409" s="182"/>
      <c r="Z409" s="182"/>
      <c r="AA409" s="182"/>
      <c r="AB409" s="182"/>
      <c r="AC409" s="182"/>
      <c r="AD409" s="182"/>
      <c r="AE409" s="182"/>
      <c r="AF409" s="182"/>
      <c r="AG409" s="182"/>
      <c r="AH409" s="182"/>
      <c r="AI409" s="182"/>
      <c r="AJ409" s="182"/>
      <c r="AK409" s="182"/>
      <c r="AL409" s="182"/>
      <c r="AM409" s="182"/>
      <c r="AN409" s="182"/>
      <c r="AO409" s="182"/>
      <c r="AP409" s="182"/>
      <c r="AQ409" s="182"/>
      <c r="AR409" s="182"/>
      <c r="AS409" s="182"/>
      <c r="AT409" s="182"/>
      <c r="AU409" s="182"/>
      <c r="AV409" s="182"/>
      <c r="AW409" s="182"/>
      <c r="AX409" s="182"/>
      <c r="AY409" s="182"/>
      <c r="AZ409" s="182"/>
      <c r="BA409" s="182"/>
      <c r="BB409" s="182"/>
      <c r="BC409" s="182"/>
      <c r="BD409" s="182"/>
      <c r="BE409" s="182"/>
      <c r="BF409" s="182"/>
      <c r="BG409" s="182"/>
      <c r="BH409" s="182"/>
      <c r="BI409" s="182"/>
      <c r="BJ409" s="182"/>
      <c r="BK409" s="182"/>
      <c r="BL409" s="182"/>
      <c r="BM409" s="182"/>
      <c r="BN409" s="182"/>
      <c r="BO409" s="182"/>
      <c r="BP409" s="182"/>
      <c r="BQ409" s="182"/>
      <c r="BR409" s="182"/>
      <c r="BS409" s="182"/>
      <c r="BT409" s="182"/>
      <c r="BU409" s="182"/>
      <c r="BV409" s="182"/>
      <c r="BW409" s="182"/>
      <c r="BX409" s="182"/>
      <c r="BY409" s="182"/>
      <c r="BZ409" s="182"/>
      <c r="CA409" s="182"/>
      <c r="CB409" s="182"/>
      <c r="CC409" s="182"/>
      <c r="CD409" s="182"/>
      <c r="CE409" s="182"/>
      <c r="CF409" s="182"/>
      <c r="CG409" s="182"/>
      <c r="CH409" s="182"/>
      <c r="CI409" s="182"/>
      <c r="CJ409" s="182"/>
      <c r="CK409" s="182"/>
      <c r="CL409" s="182"/>
      <c r="CM409" s="182"/>
      <c r="CN409" s="182"/>
      <c r="CO409" s="182"/>
      <c r="CP409" s="182"/>
      <c r="CQ409" s="182"/>
      <c r="CR409" s="182"/>
      <c r="CS409" s="182"/>
      <c r="CT409" s="182"/>
      <c r="CU409" s="182"/>
      <c r="CV409" s="182"/>
      <c r="CW409" s="182"/>
      <c r="CX409" s="182"/>
      <c r="CY409" s="182"/>
      <c r="CZ409" s="182"/>
      <c r="DA409" s="182"/>
      <c r="DB409" s="182"/>
      <c r="DC409" s="182"/>
      <c r="DD409" s="182"/>
      <c r="DE409" s="182"/>
      <c r="DF409" s="182"/>
      <c r="DG409" s="182"/>
      <c r="DH409" s="182"/>
      <c r="DI409" s="182"/>
      <c r="DJ409" s="182"/>
      <c r="DK409" s="182"/>
      <c r="DL409" s="182"/>
      <c r="DM409" s="182"/>
      <c r="DN409" s="182"/>
      <c r="DO409" s="182"/>
      <c r="DP409" s="182"/>
      <c r="DQ409" s="182"/>
      <c r="DR409" s="182"/>
      <c r="DS409" s="182"/>
      <c r="DT409" s="182"/>
      <c r="DU409" s="182"/>
      <c r="DV409" s="182"/>
      <c r="DW409" s="182"/>
      <c r="DX409" s="182"/>
      <c r="DY409" s="182"/>
      <c r="DZ409" s="182"/>
      <c r="EA409" s="182"/>
      <c r="EB409" s="182"/>
      <c r="EC409" s="182"/>
      <c r="ED409" s="182"/>
      <c r="EE409" s="182"/>
      <c r="EF409" s="182"/>
      <c r="EG409" s="182"/>
      <c r="EH409" s="182"/>
      <c r="EI409" s="182"/>
      <c r="EJ409" s="182"/>
      <c r="EK409" s="182"/>
      <c r="EL409" s="182"/>
      <c r="EM409" s="182"/>
      <c r="EN409" s="182"/>
      <c r="EO409" s="182"/>
      <c r="EP409" s="182"/>
      <c r="EQ409" s="182"/>
      <c r="ER409" s="182"/>
      <c r="ES409" s="182"/>
      <c r="ET409" s="182"/>
      <c r="EU409" s="182"/>
      <c r="EV409" s="182"/>
      <c r="EW409" s="182"/>
      <c r="EX409" s="182"/>
      <c r="EY409" s="182"/>
      <c r="EZ409" s="182"/>
      <c r="FA409" s="182"/>
      <c r="FB409" s="182"/>
      <c r="FC409" s="182"/>
      <c r="FD409" s="182"/>
      <c r="FE409" s="182"/>
      <c r="FF409" s="182"/>
      <c r="FG409" s="182"/>
      <c r="FH409" s="182"/>
      <c r="FI409" s="182"/>
      <c r="FJ409" s="182"/>
      <c r="FK409" s="182"/>
      <c r="FL409" s="182"/>
      <c r="FM409" s="182"/>
      <c r="FN409" s="182"/>
      <c r="FO409" s="182"/>
      <c r="FP409" s="182"/>
      <c r="FQ409" s="182"/>
      <c r="FR409" s="182"/>
      <c r="FS409" s="182"/>
      <c r="FT409" s="182"/>
      <c r="FU409" s="182"/>
      <c r="FV409" s="182"/>
      <c r="FW409" s="182"/>
      <c r="FX409" s="182"/>
      <c r="FY409" s="182"/>
      <c r="FZ409" s="182"/>
      <c r="GA409" s="182"/>
      <c r="GB409" s="182"/>
      <c r="GC409" s="182"/>
      <c r="GD409" s="182"/>
      <c r="GE409" s="182"/>
      <c r="GF409" s="182"/>
      <c r="GG409" s="182"/>
      <c r="GH409" s="182"/>
      <c r="GI409" s="182"/>
    </row>
    <row r="410" spans="1:191" s="183" customFormat="1" x14ac:dyDescent="0.2">
      <c r="A410" s="210" t="s">
        <v>38715</v>
      </c>
      <c r="B410" s="210" t="s">
        <v>20671</v>
      </c>
      <c r="C410" s="224" t="s">
        <v>22514</v>
      </c>
      <c r="D410" s="211" t="s">
        <v>69</v>
      </c>
      <c r="E410" s="211">
        <v>30</v>
      </c>
      <c r="F410" s="211"/>
      <c r="G410" s="211">
        <v>0.3</v>
      </c>
      <c r="H410" s="212"/>
      <c r="I410" s="213"/>
      <c r="J410" s="272">
        <v>212.21</v>
      </c>
      <c r="K410" s="112">
        <f t="shared" si="26"/>
        <v>6366.3</v>
      </c>
      <c r="L410" s="273">
        <f>BDI!$E$17</f>
        <v>0.11260000000000001</v>
      </c>
      <c r="M410" s="213"/>
      <c r="N410" s="213"/>
      <c r="O410" s="114">
        <f t="shared" si="27"/>
        <v>236.1</v>
      </c>
      <c r="P410" s="113">
        <f t="shared" si="28"/>
        <v>2124.9</v>
      </c>
      <c r="Q410" s="209"/>
      <c r="R410" s="203"/>
      <c r="S410" s="182"/>
      <c r="T410" s="182"/>
      <c r="U410" s="182"/>
      <c r="V410" s="182"/>
      <c r="W410" s="182"/>
      <c r="X410" s="182"/>
      <c r="Y410" s="182"/>
      <c r="Z410" s="182"/>
      <c r="AA410" s="182"/>
      <c r="AB410" s="182"/>
      <c r="AC410" s="182"/>
      <c r="AD410" s="182"/>
      <c r="AE410" s="182"/>
      <c r="AF410" s="182"/>
      <c r="AG410" s="182"/>
      <c r="AH410" s="182"/>
      <c r="AI410" s="182"/>
      <c r="AJ410" s="182"/>
      <c r="AK410" s="182"/>
      <c r="AL410" s="182"/>
      <c r="AM410" s="182"/>
      <c r="AN410" s="182"/>
      <c r="AO410" s="182"/>
      <c r="AP410" s="182"/>
      <c r="AQ410" s="182"/>
      <c r="AR410" s="182"/>
      <c r="AS410" s="182"/>
      <c r="AT410" s="182"/>
      <c r="AU410" s="182"/>
      <c r="AV410" s="182"/>
      <c r="AW410" s="182"/>
      <c r="AX410" s="182"/>
      <c r="AY410" s="182"/>
      <c r="AZ410" s="182"/>
      <c r="BA410" s="182"/>
      <c r="BB410" s="182"/>
      <c r="BC410" s="182"/>
      <c r="BD410" s="182"/>
      <c r="BE410" s="182"/>
      <c r="BF410" s="182"/>
      <c r="BG410" s="182"/>
      <c r="BH410" s="182"/>
      <c r="BI410" s="182"/>
      <c r="BJ410" s="182"/>
      <c r="BK410" s="182"/>
      <c r="BL410" s="182"/>
      <c r="BM410" s="182"/>
      <c r="BN410" s="182"/>
      <c r="BO410" s="182"/>
      <c r="BP410" s="182"/>
      <c r="BQ410" s="182"/>
      <c r="BR410" s="182"/>
      <c r="BS410" s="182"/>
      <c r="BT410" s="182"/>
      <c r="BU410" s="182"/>
      <c r="BV410" s="182"/>
      <c r="BW410" s="182"/>
      <c r="BX410" s="182"/>
      <c r="BY410" s="182"/>
      <c r="BZ410" s="182"/>
      <c r="CA410" s="182"/>
      <c r="CB410" s="182"/>
      <c r="CC410" s="182"/>
      <c r="CD410" s="182"/>
      <c r="CE410" s="182"/>
      <c r="CF410" s="182"/>
      <c r="CG410" s="182"/>
      <c r="CH410" s="182"/>
      <c r="CI410" s="182"/>
      <c r="CJ410" s="182"/>
      <c r="CK410" s="182"/>
      <c r="CL410" s="182"/>
      <c r="CM410" s="182"/>
      <c r="CN410" s="182"/>
      <c r="CO410" s="182"/>
      <c r="CP410" s="182"/>
      <c r="CQ410" s="182"/>
      <c r="CR410" s="182"/>
      <c r="CS410" s="182"/>
      <c r="CT410" s="182"/>
      <c r="CU410" s="182"/>
      <c r="CV410" s="182"/>
      <c r="CW410" s="182"/>
      <c r="CX410" s="182"/>
      <c r="CY410" s="182"/>
      <c r="CZ410" s="182"/>
      <c r="DA410" s="182"/>
      <c r="DB410" s="182"/>
      <c r="DC410" s="182"/>
      <c r="DD410" s="182"/>
      <c r="DE410" s="182"/>
      <c r="DF410" s="182"/>
      <c r="DG410" s="182"/>
      <c r="DH410" s="182"/>
      <c r="DI410" s="182"/>
      <c r="DJ410" s="182"/>
      <c r="DK410" s="182"/>
      <c r="DL410" s="182"/>
      <c r="DM410" s="182"/>
      <c r="DN410" s="182"/>
      <c r="DO410" s="182"/>
      <c r="DP410" s="182"/>
      <c r="DQ410" s="182"/>
      <c r="DR410" s="182"/>
      <c r="DS410" s="182"/>
      <c r="DT410" s="182"/>
      <c r="DU410" s="182"/>
      <c r="DV410" s="182"/>
      <c r="DW410" s="182"/>
      <c r="DX410" s="182"/>
      <c r="DY410" s="182"/>
      <c r="DZ410" s="182"/>
      <c r="EA410" s="182"/>
      <c r="EB410" s="182"/>
      <c r="EC410" s="182"/>
      <c r="ED410" s="182"/>
      <c r="EE410" s="182"/>
      <c r="EF410" s="182"/>
      <c r="EG410" s="182"/>
      <c r="EH410" s="182"/>
      <c r="EI410" s="182"/>
      <c r="EJ410" s="182"/>
      <c r="EK410" s="182"/>
      <c r="EL410" s="182"/>
      <c r="EM410" s="182"/>
      <c r="EN410" s="182"/>
      <c r="EO410" s="182"/>
      <c r="EP410" s="182"/>
      <c r="EQ410" s="182"/>
      <c r="ER410" s="182"/>
      <c r="ES410" s="182"/>
      <c r="ET410" s="182"/>
      <c r="EU410" s="182"/>
      <c r="EV410" s="182"/>
      <c r="EW410" s="182"/>
      <c r="EX410" s="182"/>
      <c r="EY410" s="182"/>
      <c r="EZ410" s="182"/>
      <c r="FA410" s="182"/>
      <c r="FB410" s="182"/>
      <c r="FC410" s="182"/>
      <c r="FD410" s="182"/>
      <c r="FE410" s="182"/>
      <c r="FF410" s="182"/>
      <c r="FG410" s="182"/>
      <c r="FH410" s="182"/>
      <c r="FI410" s="182"/>
      <c r="FJ410" s="182"/>
      <c r="FK410" s="182"/>
      <c r="FL410" s="182"/>
      <c r="FM410" s="182"/>
      <c r="FN410" s="182"/>
      <c r="FO410" s="182"/>
      <c r="FP410" s="182"/>
      <c r="FQ410" s="182"/>
      <c r="FR410" s="182"/>
      <c r="FS410" s="182"/>
      <c r="FT410" s="182"/>
      <c r="FU410" s="182"/>
      <c r="FV410" s="182"/>
      <c r="FW410" s="182"/>
      <c r="FX410" s="182"/>
      <c r="FY410" s="182"/>
      <c r="FZ410" s="182"/>
      <c r="GA410" s="182"/>
      <c r="GB410" s="182"/>
      <c r="GC410" s="182"/>
      <c r="GD410" s="182"/>
      <c r="GE410" s="182"/>
      <c r="GF410" s="182"/>
      <c r="GG410" s="182"/>
      <c r="GH410" s="182"/>
      <c r="GI410" s="182"/>
    </row>
    <row r="411" spans="1:191" s="183" customFormat="1" x14ac:dyDescent="0.2">
      <c r="A411" s="210" t="s">
        <v>38716</v>
      </c>
      <c r="B411" s="210" t="s">
        <v>20672</v>
      </c>
      <c r="C411" s="224" t="s">
        <v>22515</v>
      </c>
      <c r="D411" s="211" t="s">
        <v>16</v>
      </c>
      <c r="E411" s="211">
        <v>4</v>
      </c>
      <c r="F411" s="211"/>
      <c r="G411" s="211">
        <v>0.3</v>
      </c>
      <c r="H411" s="212"/>
      <c r="I411" s="213"/>
      <c r="J411" s="272">
        <v>102.66</v>
      </c>
      <c r="K411" s="112">
        <f t="shared" si="26"/>
        <v>410.64</v>
      </c>
      <c r="L411" s="273">
        <f>BDI!$E$17</f>
        <v>0.11260000000000001</v>
      </c>
      <c r="M411" s="213"/>
      <c r="N411" s="213"/>
      <c r="O411" s="114">
        <f t="shared" si="27"/>
        <v>114.22</v>
      </c>
      <c r="P411" s="113">
        <f t="shared" si="28"/>
        <v>137.06</v>
      </c>
      <c r="Q411" s="209"/>
      <c r="R411" s="203"/>
      <c r="S411" s="182"/>
      <c r="T411" s="182"/>
      <c r="U411" s="182"/>
      <c r="V411" s="182"/>
      <c r="W411" s="182"/>
      <c r="X411" s="182"/>
      <c r="Y411" s="182"/>
      <c r="Z411" s="182"/>
      <c r="AA411" s="182"/>
      <c r="AB411" s="182"/>
      <c r="AC411" s="182"/>
      <c r="AD411" s="182"/>
      <c r="AE411" s="182"/>
      <c r="AF411" s="182"/>
      <c r="AG411" s="182"/>
      <c r="AH411" s="182"/>
      <c r="AI411" s="182"/>
      <c r="AJ411" s="182"/>
      <c r="AK411" s="182"/>
      <c r="AL411" s="182"/>
      <c r="AM411" s="182"/>
      <c r="AN411" s="182"/>
      <c r="AO411" s="182"/>
      <c r="AP411" s="182"/>
      <c r="AQ411" s="182"/>
      <c r="AR411" s="182"/>
      <c r="AS411" s="182"/>
      <c r="AT411" s="182"/>
      <c r="AU411" s="182"/>
      <c r="AV411" s="182"/>
      <c r="AW411" s="182"/>
      <c r="AX411" s="182"/>
      <c r="AY411" s="182"/>
      <c r="AZ411" s="182"/>
      <c r="BA411" s="182"/>
      <c r="BB411" s="182"/>
      <c r="BC411" s="182"/>
      <c r="BD411" s="182"/>
      <c r="BE411" s="182"/>
      <c r="BF411" s="182"/>
      <c r="BG411" s="182"/>
      <c r="BH411" s="182"/>
      <c r="BI411" s="182"/>
      <c r="BJ411" s="182"/>
      <c r="BK411" s="182"/>
      <c r="BL411" s="182"/>
      <c r="BM411" s="182"/>
      <c r="BN411" s="182"/>
      <c r="BO411" s="182"/>
      <c r="BP411" s="182"/>
      <c r="BQ411" s="182"/>
      <c r="BR411" s="182"/>
      <c r="BS411" s="182"/>
      <c r="BT411" s="182"/>
      <c r="BU411" s="182"/>
      <c r="BV411" s="182"/>
      <c r="BW411" s="182"/>
      <c r="BX411" s="182"/>
      <c r="BY411" s="182"/>
      <c r="BZ411" s="182"/>
      <c r="CA411" s="182"/>
      <c r="CB411" s="182"/>
      <c r="CC411" s="182"/>
      <c r="CD411" s="182"/>
      <c r="CE411" s="182"/>
      <c r="CF411" s="182"/>
      <c r="CG411" s="182"/>
      <c r="CH411" s="182"/>
      <c r="CI411" s="182"/>
      <c r="CJ411" s="182"/>
      <c r="CK411" s="182"/>
      <c r="CL411" s="182"/>
      <c r="CM411" s="182"/>
      <c r="CN411" s="182"/>
      <c r="CO411" s="182"/>
      <c r="CP411" s="182"/>
      <c r="CQ411" s="182"/>
      <c r="CR411" s="182"/>
      <c r="CS411" s="182"/>
      <c r="CT411" s="182"/>
      <c r="CU411" s="182"/>
      <c r="CV411" s="182"/>
      <c r="CW411" s="182"/>
      <c r="CX411" s="182"/>
      <c r="CY411" s="182"/>
      <c r="CZ411" s="182"/>
      <c r="DA411" s="182"/>
      <c r="DB411" s="182"/>
      <c r="DC411" s="182"/>
      <c r="DD411" s="182"/>
      <c r="DE411" s="182"/>
      <c r="DF411" s="182"/>
      <c r="DG411" s="182"/>
      <c r="DH411" s="182"/>
      <c r="DI411" s="182"/>
      <c r="DJ411" s="182"/>
      <c r="DK411" s="182"/>
      <c r="DL411" s="182"/>
      <c r="DM411" s="182"/>
      <c r="DN411" s="182"/>
      <c r="DO411" s="182"/>
      <c r="DP411" s="182"/>
      <c r="DQ411" s="182"/>
      <c r="DR411" s="182"/>
      <c r="DS411" s="182"/>
      <c r="DT411" s="182"/>
      <c r="DU411" s="182"/>
      <c r="DV411" s="182"/>
      <c r="DW411" s="182"/>
      <c r="DX411" s="182"/>
      <c r="DY411" s="182"/>
      <c r="DZ411" s="182"/>
      <c r="EA411" s="182"/>
      <c r="EB411" s="182"/>
      <c r="EC411" s="182"/>
      <c r="ED411" s="182"/>
      <c r="EE411" s="182"/>
      <c r="EF411" s="182"/>
      <c r="EG411" s="182"/>
      <c r="EH411" s="182"/>
      <c r="EI411" s="182"/>
      <c r="EJ411" s="182"/>
      <c r="EK411" s="182"/>
      <c r="EL411" s="182"/>
      <c r="EM411" s="182"/>
      <c r="EN411" s="182"/>
      <c r="EO411" s="182"/>
      <c r="EP411" s="182"/>
      <c r="EQ411" s="182"/>
      <c r="ER411" s="182"/>
      <c r="ES411" s="182"/>
      <c r="ET411" s="182"/>
      <c r="EU411" s="182"/>
      <c r="EV411" s="182"/>
      <c r="EW411" s="182"/>
      <c r="EX411" s="182"/>
      <c r="EY411" s="182"/>
      <c r="EZ411" s="182"/>
      <c r="FA411" s="182"/>
      <c r="FB411" s="182"/>
      <c r="FC411" s="182"/>
      <c r="FD411" s="182"/>
      <c r="FE411" s="182"/>
      <c r="FF411" s="182"/>
      <c r="FG411" s="182"/>
      <c r="FH411" s="182"/>
      <c r="FI411" s="182"/>
      <c r="FJ411" s="182"/>
      <c r="FK411" s="182"/>
      <c r="FL411" s="182"/>
      <c r="FM411" s="182"/>
      <c r="FN411" s="182"/>
      <c r="FO411" s="182"/>
      <c r="FP411" s="182"/>
      <c r="FQ411" s="182"/>
      <c r="FR411" s="182"/>
      <c r="FS411" s="182"/>
      <c r="FT411" s="182"/>
      <c r="FU411" s="182"/>
      <c r="FV411" s="182"/>
      <c r="FW411" s="182"/>
      <c r="FX411" s="182"/>
      <c r="FY411" s="182"/>
      <c r="FZ411" s="182"/>
      <c r="GA411" s="182"/>
      <c r="GB411" s="182"/>
      <c r="GC411" s="182"/>
      <c r="GD411" s="182"/>
      <c r="GE411" s="182"/>
      <c r="GF411" s="182"/>
      <c r="GG411" s="182"/>
      <c r="GH411" s="182"/>
      <c r="GI411" s="182"/>
    </row>
    <row r="412" spans="1:191" s="183" customFormat="1" x14ac:dyDescent="0.2">
      <c r="A412" s="210" t="s">
        <v>38717</v>
      </c>
      <c r="B412" s="210" t="s">
        <v>20673</v>
      </c>
      <c r="C412" s="224" t="s">
        <v>22516</v>
      </c>
      <c r="D412" s="211" t="s">
        <v>16</v>
      </c>
      <c r="E412" s="211">
        <v>4</v>
      </c>
      <c r="F412" s="211"/>
      <c r="G412" s="211">
        <v>0.3</v>
      </c>
      <c r="H412" s="212"/>
      <c r="I412" s="213"/>
      <c r="J412" s="272">
        <v>101.67</v>
      </c>
      <c r="K412" s="112">
        <f t="shared" si="26"/>
        <v>406.68</v>
      </c>
      <c r="L412" s="273">
        <f>BDI!$E$17</f>
        <v>0.11260000000000001</v>
      </c>
      <c r="M412" s="213"/>
      <c r="N412" s="213"/>
      <c r="O412" s="114">
        <f t="shared" si="27"/>
        <v>113.12</v>
      </c>
      <c r="P412" s="113">
        <f t="shared" si="28"/>
        <v>135.74</v>
      </c>
      <c r="Q412" s="209"/>
      <c r="R412" s="203"/>
      <c r="S412" s="182"/>
      <c r="T412" s="182"/>
      <c r="U412" s="182"/>
      <c r="V412" s="182"/>
      <c r="W412" s="182"/>
      <c r="X412" s="182"/>
      <c r="Y412" s="182"/>
      <c r="Z412" s="182"/>
      <c r="AA412" s="182"/>
      <c r="AB412" s="182"/>
      <c r="AC412" s="182"/>
      <c r="AD412" s="182"/>
      <c r="AE412" s="182"/>
      <c r="AF412" s="182"/>
      <c r="AG412" s="182"/>
      <c r="AH412" s="182"/>
      <c r="AI412" s="182"/>
      <c r="AJ412" s="182"/>
      <c r="AK412" s="182"/>
      <c r="AL412" s="182"/>
      <c r="AM412" s="182"/>
      <c r="AN412" s="182"/>
      <c r="AO412" s="182"/>
      <c r="AP412" s="182"/>
      <c r="AQ412" s="182"/>
      <c r="AR412" s="182"/>
      <c r="AS412" s="182"/>
      <c r="AT412" s="182"/>
      <c r="AU412" s="182"/>
      <c r="AV412" s="182"/>
      <c r="AW412" s="182"/>
      <c r="AX412" s="182"/>
      <c r="AY412" s="182"/>
      <c r="AZ412" s="182"/>
      <c r="BA412" s="182"/>
      <c r="BB412" s="182"/>
      <c r="BC412" s="182"/>
      <c r="BD412" s="182"/>
      <c r="BE412" s="182"/>
      <c r="BF412" s="182"/>
      <c r="BG412" s="182"/>
      <c r="BH412" s="182"/>
      <c r="BI412" s="182"/>
      <c r="BJ412" s="182"/>
      <c r="BK412" s="182"/>
      <c r="BL412" s="182"/>
      <c r="BM412" s="182"/>
      <c r="BN412" s="182"/>
      <c r="BO412" s="182"/>
      <c r="BP412" s="182"/>
      <c r="BQ412" s="182"/>
      <c r="BR412" s="182"/>
      <c r="BS412" s="182"/>
      <c r="BT412" s="182"/>
      <c r="BU412" s="182"/>
      <c r="BV412" s="182"/>
      <c r="BW412" s="182"/>
      <c r="BX412" s="182"/>
      <c r="BY412" s="182"/>
      <c r="BZ412" s="182"/>
      <c r="CA412" s="182"/>
      <c r="CB412" s="182"/>
      <c r="CC412" s="182"/>
      <c r="CD412" s="182"/>
      <c r="CE412" s="182"/>
      <c r="CF412" s="182"/>
      <c r="CG412" s="182"/>
      <c r="CH412" s="182"/>
      <c r="CI412" s="182"/>
      <c r="CJ412" s="182"/>
      <c r="CK412" s="182"/>
      <c r="CL412" s="182"/>
      <c r="CM412" s="182"/>
      <c r="CN412" s="182"/>
      <c r="CO412" s="182"/>
      <c r="CP412" s="182"/>
      <c r="CQ412" s="182"/>
      <c r="CR412" s="182"/>
      <c r="CS412" s="182"/>
      <c r="CT412" s="182"/>
      <c r="CU412" s="182"/>
      <c r="CV412" s="182"/>
      <c r="CW412" s="182"/>
      <c r="CX412" s="182"/>
      <c r="CY412" s="182"/>
      <c r="CZ412" s="182"/>
      <c r="DA412" s="182"/>
      <c r="DB412" s="182"/>
      <c r="DC412" s="182"/>
      <c r="DD412" s="182"/>
      <c r="DE412" s="182"/>
      <c r="DF412" s="182"/>
      <c r="DG412" s="182"/>
      <c r="DH412" s="182"/>
      <c r="DI412" s="182"/>
      <c r="DJ412" s="182"/>
      <c r="DK412" s="182"/>
      <c r="DL412" s="182"/>
      <c r="DM412" s="182"/>
      <c r="DN412" s="182"/>
      <c r="DO412" s="182"/>
      <c r="DP412" s="182"/>
      <c r="DQ412" s="182"/>
      <c r="DR412" s="182"/>
      <c r="DS412" s="182"/>
      <c r="DT412" s="182"/>
      <c r="DU412" s="182"/>
      <c r="DV412" s="182"/>
      <c r="DW412" s="182"/>
      <c r="DX412" s="182"/>
      <c r="DY412" s="182"/>
      <c r="DZ412" s="182"/>
      <c r="EA412" s="182"/>
      <c r="EB412" s="182"/>
      <c r="EC412" s="182"/>
      <c r="ED412" s="182"/>
      <c r="EE412" s="182"/>
      <c r="EF412" s="182"/>
      <c r="EG412" s="182"/>
      <c r="EH412" s="182"/>
      <c r="EI412" s="182"/>
      <c r="EJ412" s="182"/>
      <c r="EK412" s="182"/>
      <c r="EL412" s="182"/>
      <c r="EM412" s="182"/>
      <c r="EN412" s="182"/>
      <c r="EO412" s="182"/>
      <c r="EP412" s="182"/>
      <c r="EQ412" s="182"/>
      <c r="ER412" s="182"/>
      <c r="ES412" s="182"/>
      <c r="ET412" s="182"/>
      <c r="EU412" s="182"/>
      <c r="EV412" s="182"/>
      <c r="EW412" s="182"/>
      <c r="EX412" s="182"/>
      <c r="EY412" s="182"/>
      <c r="EZ412" s="182"/>
      <c r="FA412" s="182"/>
      <c r="FB412" s="182"/>
      <c r="FC412" s="182"/>
      <c r="FD412" s="182"/>
      <c r="FE412" s="182"/>
      <c r="FF412" s="182"/>
      <c r="FG412" s="182"/>
      <c r="FH412" s="182"/>
      <c r="FI412" s="182"/>
      <c r="FJ412" s="182"/>
      <c r="FK412" s="182"/>
      <c r="FL412" s="182"/>
      <c r="FM412" s="182"/>
      <c r="FN412" s="182"/>
      <c r="FO412" s="182"/>
      <c r="FP412" s="182"/>
      <c r="FQ412" s="182"/>
      <c r="FR412" s="182"/>
      <c r="FS412" s="182"/>
      <c r="FT412" s="182"/>
      <c r="FU412" s="182"/>
      <c r="FV412" s="182"/>
      <c r="FW412" s="182"/>
      <c r="FX412" s="182"/>
      <c r="FY412" s="182"/>
      <c r="FZ412" s="182"/>
      <c r="GA412" s="182"/>
      <c r="GB412" s="182"/>
      <c r="GC412" s="182"/>
      <c r="GD412" s="182"/>
      <c r="GE412" s="182"/>
      <c r="GF412" s="182"/>
      <c r="GG412" s="182"/>
      <c r="GH412" s="182"/>
      <c r="GI412" s="182"/>
    </row>
    <row r="413" spans="1:191" s="183" customFormat="1" x14ac:dyDescent="0.2">
      <c r="A413" s="210" t="s">
        <v>38718</v>
      </c>
      <c r="B413" s="210" t="s">
        <v>20674</v>
      </c>
      <c r="C413" s="224" t="s">
        <v>22517</v>
      </c>
      <c r="D413" s="211" t="s">
        <v>16</v>
      </c>
      <c r="E413" s="211">
        <v>4</v>
      </c>
      <c r="F413" s="211"/>
      <c r="G413" s="211">
        <v>0.3</v>
      </c>
      <c r="H413" s="212"/>
      <c r="I413" s="213"/>
      <c r="J413" s="272">
        <v>72.92</v>
      </c>
      <c r="K413" s="112">
        <f t="shared" si="26"/>
        <v>291.68</v>
      </c>
      <c r="L413" s="273">
        <f>BDI!$E$17</f>
        <v>0.11260000000000001</v>
      </c>
      <c r="M413" s="213"/>
      <c r="N413" s="213"/>
      <c r="O413" s="114">
        <f t="shared" si="27"/>
        <v>81.13</v>
      </c>
      <c r="P413" s="113">
        <f t="shared" si="28"/>
        <v>97.36</v>
      </c>
      <c r="Q413" s="209"/>
      <c r="R413" s="203"/>
      <c r="S413" s="182"/>
      <c r="T413" s="182"/>
      <c r="U413" s="182"/>
      <c r="V413" s="182"/>
      <c r="W413" s="182"/>
      <c r="X413" s="182"/>
      <c r="Y413" s="182"/>
      <c r="Z413" s="182"/>
      <c r="AA413" s="182"/>
      <c r="AB413" s="182"/>
      <c r="AC413" s="182"/>
      <c r="AD413" s="182"/>
      <c r="AE413" s="182"/>
      <c r="AF413" s="182"/>
      <c r="AG413" s="182"/>
      <c r="AH413" s="182"/>
      <c r="AI413" s="182"/>
      <c r="AJ413" s="182"/>
      <c r="AK413" s="182"/>
      <c r="AL413" s="182"/>
      <c r="AM413" s="182"/>
      <c r="AN413" s="182"/>
      <c r="AO413" s="182"/>
      <c r="AP413" s="182"/>
      <c r="AQ413" s="182"/>
      <c r="AR413" s="182"/>
      <c r="AS413" s="182"/>
      <c r="AT413" s="182"/>
      <c r="AU413" s="182"/>
      <c r="AV413" s="182"/>
      <c r="AW413" s="182"/>
      <c r="AX413" s="182"/>
      <c r="AY413" s="182"/>
      <c r="AZ413" s="182"/>
      <c r="BA413" s="182"/>
      <c r="BB413" s="182"/>
      <c r="BC413" s="182"/>
      <c r="BD413" s="182"/>
      <c r="BE413" s="182"/>
      <c r="BF413" s="182"/>
      <c r="BG413" s="182"/>
      <c r="BH413" s="182"/>
      <c r="BI413" s="182"/>
      <c r="BJ413" s="182"/>
      <c r="BK413" s="182"/>
      <c r="BL413" s="182"/>
      <c r="BM413" s="182"/>
      <c r="BN413" s="182"/>
      <c r="BO413" s="182"/>
      <c r="BP413" s="182"/>
      <c r="BQ413" s="182"/>
      <c r="BR413" s="182"/>
      <c r="BS413" s="182"/>
      <c r="BT413" s="182"/>
      <c r="BU413" s="182"/>
      <c r="BV413" s="182"/>
      <c r="BW413" s="182"/>
      <c r="BX413" s="182"/>
      <c r="BY413" s="182"/>
      <c r="BZ413" s="182"/>
      <c r="CA413" s="182"/>
      <c r="CB413" s="182"/>
      <c r="CC413" s="182"/>
      <c r="CD413" s="182"/>
      <c r="CE413" s="182"/>
      <c r="CF413" s="182"/>
      <c r="CG413" s="182"/>
      <c r="CH413" s="182"/>
      <c r="CI413" s="182"/>
      <c r="CJ413" s="182"/>
      <c r="CK413" s="182"/>
      <c r="CL413" s="182"/>
      <c r="CM413" s="182"/>
      <c r="CN413" s="182"/>
      <c r="CO413" s="182"/>
      <c r="CP413" s="182"/>
      <c r="CQ413" s="182"/>
      <c r="CR413" s="182"/>
      <c r="CS413" s="182"/>
      <c r="CT413" s="182"/>
      <c r="CU413" s="182"/>
      <c r="CV413" s="182"/>
      <c r="CW413" s="182"/>
      <c r="CX413" s="182"/>
      <c r="CY413" s="182"/>
      <c r="CZ413" s="182"/>
      <c r="DA413" s="182"/>
      <c r="DB413" s="182"/>
      <c r="DC413" s="182"/>
      <c r="DD413" s="182"/>
      <c r="DE413" s="182"/>
      <c r="DF413" s="182"/>
      <c r="DG413" s="182"/>
      <c r="DH413" s="182"/>
      <c r="DI413" s="182"/>
      <c r="DJ413" s="182"/>
      <c r="DK413" s="182"/>
      <c r="DL413" s="182"/>
      <c r="DM413" s="182"/>
      <c r="DN413" s="182"/>
      <c r="DO413" s="182"/>
      <c r="DP413" s="182"/>
      <c r="DQ413" s="182"/>
      <c r="DR413" s="182"/>
      <c r="DS413" s="182"/>
      <c r="DT413" s="182"/>
      <c r="DU413" s="182"/>
      <c r="DV413" s="182"/>
      <c r="DW413" s="182"/>
      <c r="DX413" s="182"/>
      <c r="DY413" s="182"/>
      <c r="DZ413" s="182"/>
      <c r="EA413" s="182"/>
      <c r="EB413" s="182"/>
      <c r="EC413" s="182"/>
      <c r="ED413" s="182"/>
      <c r="EE413" s="182"/>
      <c r="EF413" s="182"/>
      <c r="EG413" s="182"/>
      <c r="EH413" s="182"/>
      <c r="EI413" s="182"/>
      <c r="EJ413" s="182"/>
      <c r="EK413" s="182"/>
      <c r="EL413" s="182"/>
      <c r="EM413" s="182"/>
      <c r="EN413" s="182"/>
      <c r="EO413" s="182"/>
      <c r="EP413" s="182"/>
      <c r="EQ413" s="182"/>
      <c r="ER413" s="182"/>
      <c r="ES413" s="182"/>
      <c r="ET413" s="182"/>
      <c r="EU413" s="182"/>
      <c r="EV413" s="182"/>
      <c r="EW413" s="182"/>
      <c r="EX413" s="182"/>
      <c r="EY413" s="182"/>
      <c r="EZ413" s="182"/>
      <c r="FA413" s="182"/>
      <c r="FB413" s="182"/>
      <c r="FC413" s="182"/>
      <c r="FD413" s="182"/>
      <c r="FE413" s="182"/>
      <c r="FF413" s="182"/>
      <c r="FG413" s="182"/>
      <c r="FH413" s="182"/>
      <c r="FI413" s="182"/>
      <c r="FJ413" s="182"/>
      <c r="FK413" s="182"/>
      <c r="FL413" s="182"/>
      <c r="FM413" s="182"/>
      <c r="FN413" s="182"/>
      <c r="FO413" s="182"/>
      <c r="FP413" s="182"/>
      <c r="FQ413" s="182"/>
      <c r="FR413" s="182"/>
      <c r="FS413" s="182"/>
      <c r="FT413" s="182"/>
      <c r="FU413" s="182"/>
      <c r="FV413" s="182"/>
      <c r="FW413" s="182"/>
      <c r="FX413" s="182"/>
      <c r="FY413" s="182"/>
      <c r="FZ413" s="182"/>
      <c r="GA413" s="182"/>
      <c r="GB413" s="182"/>
      <c r="GC413" s="182"/>
      <c r="GD413" s="182"/>
      <c r="GE413" s="182"/>
      <c r="GF413" s="182"/>
      <c r="GG413" s="182"/>
      <c r="GH413" s="182"/>
      <c r="GI413" s="182"/>
    </row>
    <row r="414" spans="1:191" s="183" customFormat="1" x14ac:dyDescent="0.2">
      <c r="A414" s="210" t="s">
        <v>38719</v>
      </c>
      <c r="B414" s="210" t="s">
        <v>20675</v>
      </c>
      <c r="C414" s="224" t="s">
        <v>22518</v>
      </c>
      <c r="D414" s="211" t="s">
        <v>16</v>
      </c>
      <c r="E414" s="211">
        <v>4</v>
      </c>
      <c r="F414" s="211"/>
      <c r="G414" s="211">
        <v>0.3</v>
      </c>
      <c r="H414" s="212"/>
      <c r="I414" s="213"/>
      <c r="J414" s="272">
        <v>92.17</v>
      </c>
      <c r="K414" s="112">
        <f t="shared" si="26"/>
        <v>368.68</v>
      </c>
      <c r="L414" s="273">
        <f>BDI!$E$17</f>
        <v>0.11260000000000001</v>
      </c>
      <c r="M414" s="213"/>
      <c r="N414" s="213"/>
      <c r="O414" s="114">
        <f t="shared" si="27"/>
        <v>102.55</v>
      </c>
      <c r="P414" s="113">
        <f t="shared" si="28"/>
        <v>123.06</v>
      </c>
      <c r="Q414" s="209"/>
      <c r="R414" s="203"/>
      <c r="S414" s="182"/>
      <c r="T414" s="182"/>
      <c r="U414" s="182"/>
      <c r="V414" s="182"/>
      <c r="W414" s="182"/>
      <c r="X414" s="182"/>
      <c r="Y414" s="182"/>
      <c r="Z414" s="182"/>
      <c r="AA414" s="182"/>
      <c r="AB414" s="182"/>
      <c r="AC414" s="182"/>
      <c r="AD414" s="182"/>
      <c r="AE414" s="182"/>
      <c r="AF414" s="182"/>
      <c r="AG414" s="182"/>
      <c r="AH414" s="182"/>
      <c r="AI414" s="182"/>
      <c r="AJ414" s="182"/>
      <c r="AK414" s="182"/>
      <c r="AL414" s="182"/>
      <c r="AM414" s="182"/>
      <c r="AN414" s="182"/>
      <c r="AO414" s="182"/>
      <c r="AP414" s="182"/>
      <c r="AQ414" s="182"/>
      <c r="AR414" s="182"/>
      <c r="AS414" s="182"/>
      <c r="AT414" s="182"/>
      <c r="AU414" s="182"/>
      <c r="AV414" s="182"/>
      <c r="AW414" s="182"/>
      <c r="AX414" s="182"/>
      <c r="AY414" s="182"/>
      <c r="AZ414" s="182"/>
      <c r="BA414" s="182"/>
      <c r="BB414" s="182"/>
      <c r="BC414" s="182"/>
      <c r="BD414" s="182"/>
      <c r="BE414" s="182"/>
      <c r="BF414" s="182"/>
      <c r="BG414" s="182"/>
      <c r="BH414" s="182"/>
      <c r="BI414" s="182"/>
      <c r="BJ414" s="182"/>
      <c r="BK414" s="182"/>
      <c r="BL414" s="182"/>
      <c r="BM414" s="182"/>
      <c r="BN414" s="182"/>
      <c r="BO414" s="182"/>
      <c r="BP414" s="182"/>
      <c r="BQ414" s="182"/>
      <c r="BR414" s="182"/>
      <c r="BS414" s="182"/>
      <c r="BT414" s="182"/>
      <c r="BU414" s="182"/>
      <c r="BV414" s="182"/>
      <c r="BW414" s="182"/>
      <c r="BX414" s="182"/>
      <c r="BY414" s="182"/>
      <c r="BZ414" s="182"/>
      <c r="CA414" s="182"/>
      <c r="CB414" s="182"/>
      <c r="CC414" s="182"/>
      <c r="CD414" s="182"/>
      <c r="CE414" s="182"/>
      <c r="CF414" s="182"/>
      <c r="CG414" s="182"/>
      <c r="CH414" s="182"/>
      <c r="CI414" s="182"/>
      <c r="CJ414" s="182"/>
      <c r="CK414" s="182"/>
      <c r="CL414" s="182"/>
      <c r="CM414" s="182"/>
      <c r="CN414" s="182"/>
      <c r="CO414" s="182"/>
      <c r="CP414" s="182"/>
      <c r="CQ414" s="182"/>
      <c r="CR414" s="182"/>
      <c r="CS414" s="182"/>
      <c r="CT414" s="182"/>
      <c r="CU414" s="182"/>
      <c r="CV414" s="182"/>
      <c r="CW414" s="182"/>
      <c r="CX414" s="182"/>
      <c r="CY414" s="182"/>
      <c r="CZ414" s="182"/>
      <c r="DA414" s="182"/>
      <c r="DB414" s="182"/>
      <c r="DC414" s="182"/>
      <c r="DD414" s="182"/>
      <c r="DE414" s="182"/>
      <c r="DF414" s="182"/>
      <c r="DG414" s="182"/>
      <c r="DH414" s="182"/>
      <c r="DI414" s="182"/>
      <c r="DJ414" s="182"/>
      <c r="DK414" s="182"/>
      <c r="DL414" s="182"/>
      <c r="DM414" s="182"/>
      <c r="DN414" s="182"/>
      <c r="DO414" s="182"/>
      <c r="DP414" s="182"/>
      <c r="DQ414" s="182"/>
      <c r="DR414" s="182"/>
      <c r="DS414" s="182"/>
      <c r="DT414" s="182"/>
      <c r="DU414" s="182"/>
      <c r="DV414" s="182"/>
      <c r="DW414" s="182"/>
      <c r="DX414" s="182"/>
      <c r="DY414" s="182"/>
      <c r="DZ414" s="182"/>
      <c r="EA414" s="182"/>
      <c r="EB414" s="182"/>
      <c r="EC414" s="182"/>
      <c r="ED414" s="182"/>
      <c r="EE414" s="182"/>
      <c r="EF414" s="182"/>
      <c r="EG414" s="182"/>
      <c r="EH414" s="182"/>
      <c r="EI414" s="182"/>
      <c r="EJ414" s="182"/>
      <c r="EK414" s="182"/>
      <c r="EL414" s="182"/>
      <c r="EM414" s="182"/>
      <c r="EN414" s="182"/>
      <c r="EO414" s="182"/>
      <c r="EP414" s="182"/>
      <c r="EQ414" s="182"/>
      <c r="ER414" s="182"/>
      <c r="ES414" s="182"/>
      <c r="ET414" s="182"/>
      <c r="EU414" s="182"/>
      <c r="EV414" s="182"/>
      <c r="EW414" s="182"/>
      <c r="EX414" s="182"/>
      <c r="EY414" s="182"/>
      <c r="EZ414" s="182"/>
      <c r="FA414" s="182"/>
      <c r="FB414" s="182"/>
      <c r="FC414" s="182"/>
      <c r="FD414" s="182"/>
      <c r="FE414" s="182"/>
      <c r="FF414" s="182"/>
      <c r="FG414" s="182"/>
      <c r="FH414" s="182"/>
      <c r="FI414" s="182"/>
      <c r="FJ414" s="182"/>
      <c r="FK414" s="182"/>
      <c r="FL414" s="182"/>
      <c r="FM414" s="182"/>
      <c r="FN414" s="182"/>
      <c r="FO414" s="182"/>
      <c r="FP414" s="182"/>
      <c r="FQ414" s="182"/>
      <c r="FR414" s="182"/>
      <c r="FS414" s="182"/>
      <c r="FT414" s="182"/>
      <c r="FU414" s="182"/>
      <c r="FV414" s="182"/>
      <c r="FW414" s="182"/>
      <c r="FX414" s="182"/>
      <c r="FY414" s="182"/>
      <c r="FZ414" s="182"/>
      <c r="GA414" s="182"/>
      <c r="GB414" s="182"/>
      <c r="GC414" s="182"/>
      <c r="GD414" s="182"/>
      <c r="GE414" s="182"/>
      <c r="GF414" s="182"/>
      <c r="GG414" s="182"/>
      <c r="GH414" s="182"/>
      <c r="GI414" s="182"/>
    </row>
    <row r="415" spans="1:191" s="183" customFormat="1" x14ac:dyDescent="0.2">
      <c r="A415" s="210" t="s">
        <v>38720</v>
      </c>
      <c r="B415" s="210" t="s">
        <v>20676</v>
      </c>
      <c r="C415" s="224" t="s">
        <v>22519</v>
      </c>
      <c r="D415" s="211" t="s">
        <v>16</v>
      </c>
      <c r="E415" s="211">
        <v>2</v>
      </c>
      <c r="F415" s="211"/>
      <c r="G415" s="211">
        <v>0.3</v>
      </c>
      <c r="H415" s="212"/>
      <c r="I415" s="213"/>
      <c r="J415" s="272">
        <v>129.93</v>
      </c>
      <c r="K415" s="112">
        <f t="shared" si="26"/>
        <v>259.86</v>
      </c>
      <c r="L415" s="273">
        <f>BDI!$E$17</f>
        <v>0.11260000000000001</v>
      </c>
      <c r="M415" s="213"/>
      <c r="N415" s="213"/>
      <c r="O415" s="114">
        <f t="shared" si="27"/>
        <v>144.56</v>
      </c>
      <c r="P415" s="113">
        <f t="shared" si="28"/>
        <v>86.74</v>
      </c>
      <c r="Q415" s="209"/>
      <c r="R415" s="203"/>
      <c r="S415" s="182"/>
      <c r="T415" s="182"/>
      <c r="U415" s="182"/>
      <c r="V415" s="182"/>
      <c r="W415" s="182"/>
      <c r="X415" s="182"/>
      <c r="Y415" s="182"/>
      <c r="Z415" s="182"/>
      <c r="AA415" s="182"/>
      <c r="AB415" s="182"/>
      <c r="AC415" s="182"/>
      <c r="AD415" s="182"/>
      <c r="AE415" s="182"/>
      <c r="AF415" s="182"/>
      <c r="AG415" s="182"/>
      <c r="AH415" s="182"/>
      <c r="AI415" s="182"/>
      <c r="AJ415" s="182"/>
      <c r="AK415" s="182"/>
      <c r="AL415" s="182"/>
      <c r="AM415" s="182"/>
      <c r="AN415" s="182"/>
      <c r="AO415" s="182"/>
      <c r="AP415" s="182"/>
      <c r="AQ415" s="182"/>
      <c r="AR415" s="182"/>
      <c r="AS415" s="182"/>
      <c r="AT415" s="182"/>
      <c r="AU415" s="182"/>
      <c r="AV415" s="182"/>
      <c r="AW415" s="182"/>
      <c r="AX415" s="182"/>
      <c r="AY415" s="182"/>
      <c r="AZ415" s="182"/>
      <c r="BA415" s="182"/>
      <c r="BB415" s="182"/>
      <c r="BC415" s="182"/>
      <c r="BD415" s="182"/>
      <c r="BE415" s="182"/>
      <c r="BF415" s="182"/>
      <c r="BG415" s="182"/>
      <c r="BH415" s="182"/>
      <c r="BI415" s="182"/>
      <c r="BJ415" s="182"/>
      <c r="BK415" s="182"/>
      <c r="BL415" s="182"/>
      <c r="BM415" s="182"/>
      <c r="BN415" s="182"/>
      <c r="BO415" s="182"/>
      <c r="BP415" s="182"/>
      <c r="BQ415" s="182"/>
      <c r="BR415" s="182"/>
      <c r="BS415" s="182"/>
      <c r="BT415" s="182"/>
      <c r="BU415" s="182"/>
      <c r="BV415" s="182"/>
      <c r="BW415" s="182"/>
      <c r="BX415" s="182"/>
      <c r="BY415" s="182"/>
      <c r="BZ415" s="182"/>
      <c r="CA415" s="182"/>
      <c r="CB415" s="182"/>
      <c r="CC415" s="182"/>
      <c r="CD415" s="182"/>
      <c r="CE415" s="182"/>
      <c r="CF415" s="182"/>
      <c r="CG415" s="182"/>
      <c r="CH415" s="182"/>
      <c r="CI415" s="182"/>
      <c r="CJ415" s="182"/>
      <c r="CK415" s="182"/>
      <c r="CL415" s="182"/>
      <c r="CM415" s="182"/>
      <c r="CN415" s="182"/>
      <c r="CO415" s="182"/>
      <c r="CP415" s="182"/>
      <c r="CQ415" s="182"/>
      <c r="CR415" s="182"/>
      <c r="CS415" s="182"/>
      <c r="CT415" s="182"/>
      <c r="CU415" s="182"/>
      <c r="CV415" s="182"/>
      <c r="CW415" s="182"/>
      <c r="CX415" s="182"/>
      <c r="CY415" s="182"/>
      <c r="CZ415" s="182"/>
      <c r="DA415" s="182"/>
      <c r="DB415" s="182"/>
      <c r="DC415" s="182"/>
      <c r="DD415" s="182"/>
      <c r="DE415" s="182"/>
      <c r="DF415" s="182"/>
      <c r="DG415" s="182"/>
      <c r="DH415" s="182"/>
      <c r="DI415" s="182"/>
      <c r="DJ415" s="182"/>
      <c r="DK415" s="182"/>
      <c r="DL415" s="182"/>
      <c r="DM415" s="182"/>
      <c r="DN415" s="182"/>
      <c r="DO415" s="182"/>
      <c r="DP415" s="182"/>
      <c r="DQ415" s="182"/>
      <c r="DR415" s="182"/>
      <c r="DS415" s="182"/>
      <c r="DT415" s="182"/>
      <c r="DU415" s="182"/>
      <c r="DV415" s="182"/>
      <c r="DW415" s="182"/>
      <c r="DX415" s="182"/>
      <c r="DY415" s="182"/>
      <c r="DZ415" s="182"/>
      <c r="EA415" s="182"/>
      <c r="EB415" s="182"/>
      <c r="EC415" s="182"/>
      <c r="ED415" s="182"/>
      <c r="EE415" s="182"/>
      <c r="EF415" s="182"/>
      <c r="EG415" s="182"/>
      <c r="EH415" s="182"/>
      <c r="EI415" s="182"/>
      <c r="EJ415" s="182"/>
      <c r="EK415" s="182"/>
      <c r="EL415" s="182"/>
      <c r="EM415" s="182"/>
      <c r="EN415" s="182"/>
      <c r="EO415" s="182"/>
      <c r="EP415" s="182"/>
      <c r="EQ415" s="182"/>
      <c r="ER415" s="182"/>
      <c r="ES415" s="182"/>
      <c r="ET415" s="182"/>
      <c r="EU415" s="182"/>
      <c r="EV415" s="182"/>
      <c r="EW415" s="182"/>
      <c r="EX415" s="182"/>
      <c r="EY415" s="182"/>
      <c r="EZ415" s="182"/>
      <c r="FA415" s="182"/>
      <c r="FB415" s="182"/>
      <c r="FC415" s="182"/>
      <c r="FD415" s="182"/>
      <c r="FE415" s="182"/>
      <c r="FF415" s="182"/>
      <c r="FG415" s="182"/>
      <c r="FH415" s="182"/>
      <c r="FI415" s="182"/>
      <c r="FJ415" s="182"/>
      <c r="FK415" s="182"/>
      <c r="FL415" s="182"/>
      <c r="FM415" s="182"/>
      <c r="FN415" s="182"/>
      <c r="FO415" s="182"/>
      <c r="FP415" s="182"/>
      <c r="FQ415" s="182"/>
      <c r="FR415" s="182"/>
      <c r="FS415" s="182"/>
      <c r="FT415" s="182"/>
      <c r="FU415" s="182"/>
      <c r="FV415" s="182"/>
      <c r="FW415" s="182"/>
      <c r="FX415" s="182"/>
      <c r="FY415" s="182"/>
      <c r="FZ415" s="182"/>
      <c r="GA415" s="182"/>
      <c r="GB415" s="182"/>
      <c r="GC415" s="182"/>
      <c r="GD415" s="182"/>
      <c r="GE415" s="182"/>
      <c r="GF415" s="182"/>
      <c r="GG415" s="182"/>
      <c r="GH415" s="182"/>
      <c r="GI415" s="182"/>
    </row>
    <row r="416" spans="1:191" s="183" customFormat="1" x14ac:dyDescent="0.2">
      <c r="A416" s="210" t="s">
        <v>38721</v>
      </c>
      <c r="B416" s="210" t="s">
        <v>20677</v>
      </c>
      <c r="C416" s="224" t="s">
        <v>22520</v>
      </c>
      <c r="D416" s="211" t="s">
        <v>69</v>
      </c>
      <c r="E416" s="211">
        <v>30</v>
      </c>
      <c r="F416" s="211"/>
      <c r="G416" s="211">
        <v>0.3</v>
      </c>
      <c r="H416" s="212"/>
      <c r="I416" s="213"/>
      <c r="J416" s="272">
        <v>336.52</v>
      </c>
      <c r="K416" s="112">
        <f t="shared" si="26"/>
        <v>10095.6</v>
      </c>
      <c r="L416" s="273">
        <f>BDI!$E$17</f>
        <v>0.11260000000000001</v>
      </c>
      <c r="M416" s="213"/>
      <c r="N416" s="213"/>
      <c r="O416" s="114">
        <f t="shared" si="27"/>
        <v>374.41</v>
      </c>
      <c r="P416" s="113">
        <f t="shared" si="28"/>
        <v>3369.69</v>
      </c>
      <c r="Q416" s="209"/>
      <c r="R416" s="203"/>
      <c r="S416" s="182"/>
      <c r="T416" s="182"/>
      <c r="U416" s="182"/>
      <c r="V416" s="182"/>
      <c r="W416" s="182"/>
      <c r="X416" s="182"/>
      <c r="Y416" s="182"/>
      <c r="Z416" s="182"/>
      <c r="AA416" s="182"/>
      <c r="AB416" s="182"/>
      <c r="AC416" s="182"/>
      <c r="AD416" s="182"/>
      <c r="AE416" s="182"/>
      <c r="AF416" s="182"/>
      <c r="AG416" s="182"/>
      <c r="AH416" s="182"/>
      <c r="AI416" s="182"/>
      <c r="AJ416" s="182"/>
      <c r="AK416" s="182"/>
      <c r="AL416" s="182"/>
      <c r="AM416" s="182"/>
      <c r="AN416" s="182"/>
      <c r="AO416" s="182"/>
      <c r="AP416" s="182"/>
      <c r="AQ416" s="182"/>
      <c r="AR416" s="182"/>
      <c r="AS416" s="182"/>
      <c r="AT416" s="182"/>
      <c r="AU416" s="182"/>
      <c r="AV416" s="182"/>
      <c r="AW416" s="182"/>
      <c r="AX416" s="182"/>
      <c r="AY416" s="182"/>
      <c r="AZ416" s="182"/>
      <c r="BA416" s="182"/>
      <c r="BB416" s="182"/>
      <c r="BC416" s="182"/>
      <c r="BD416" s="182"/>
      <c r="BE416" s="182"/>
      <c r="BF416" s="182"/>
      <c r="BG416" s="182"/>
      <c r="BH416" s="182"/>
      <c r="BI416" s="182"/>
      <c r="BJ416" s="182"/>
      <c r="BK416" s="182"/>
      <c r="BL416" s="182"/>
      <c r="BM416" s="182"/>
      <c r="BN416" s="182"/>
      <c r="BO416" s="182"/>
      <c r="BP416" s="182"/>
      <c r="BQ416" s="182"/>
      <c r="BR416" s="182"/>
      <c r="BS416" s="182"/>
      <c r="BT416" s="182"/>
      <c r="BU416" s="182"/>
      <c r="BV416" s="182"/>
      <c r="BW416" s="182"/>
      <c r="BX416" s="182"/>
      <c r="BY416" s="182"/>
      <c r="BZ416" s="182"/>
      <c r="CA416" s="182"/>
      <c r="CB416" s="182"/>
      <c r="CC416" s="182"/>
      <c r="CD416" s="182"/>
      <c r="CE416" s="182"/>
      <c r="CF416" s="182"/>
      <c r="CG416" s="182"/>
      <c r="CH416" s="182"/>
      <c r="CI416" s="182"/>
      <c r="CJ416" s="182"/>
      <c r="CK416" s="182"/>
      <c r="CL416" s="182"/>
      <c r="CM416" s="182"/>
      <c r="CN416" s="182"/>
      <c r="CO416" s="182"/>
      <c r="CP416" s="182"/>
      <c r="CQ416" s="182"/>
      <c r="CR416" s="182"/>
      <c r="CS416" s="182"/>
      <c r="CT416" s="182"/>
      <c r="CU416" s="182"/>
      <c r="CV416" s="182"/>
      <c r="CW416" s="182"/>
      <c r="CX416" s="182"/>
      <c r="CY416" s="182"/>
      <c r="CZ416" s="182"/>
      <c r="DA416" s="182"/>
      <c r="DB416" s="182"/>
      <c r="DC416" s="182"/>
      <c r="DD416" s="182"/>
      <c r="DE416" s="182"/>
      <c r="DF416" s="182"/>
      <c r="DG416" s="182"/>
      <c r="DH416" s="182"/>
      <c r="DI416" s="182"/>
      <c r="DJ416" s="182"/>
      <c r="DK416" s="182"/>
      <c r="DL416" s="182"/>
      <c r="DM416" s="182"/>
      <c r="DN416" s="182"/>
      <c r="DO416" s="182"/>
      <c r="DP416" s="182"/>
      <c r="DQ416" s="182"/>
      <c r="DR416" s="182"/>
      <c r="DS416" s="182"/>
      <c r="DT416" s="182"/>
      <c r="DU416" s="182"/>
      <c r="DV416" s="182"/>
      <c r="DW416" s="182"/>
      <c r="DX416" s="182"/>
      <c r="DY416" s="182"/>
      <c r="DZ416" s="182"/>
      <c r="EA416" s="182"/>
      <c r="EB416" s="182"/>
      <c r="EC416" s="182"/>
      <c r="ED416" s="182"/>
      <c r="EE416" s="182"/>
      <c r="EF416" s="182"/>
      <c r="EG416" s="182"/>
      <c r="EH416" s="182"/>
      <c r="EI416" s="182"/>
      <c r="EJ416" s="182"/>
      <c r="EK416" s="182"/>
      <c r="EL416" s="182"/>
      <c r="EM416" s="182"/>
      <c r="EN416" s="182"/>
      <c r="EO416" s="182"/>
      <c r="EP416" s="182"/>
      <c r="EQ416" s="182"/>
      <c r="ER416" s="182"/>
      <c r="ES416" s="182"/>
      <c r="ET416" s="182"/>
      <c r="EU416" s="182"/>
      <c r="EV416" s="182"/>
      <c r="EW416" s="182"/>
      <c r="EX416" s="182"/>
      <c r="EY416" s="182"/>
      <c r="EZ416" s="182"/>
      <c r="FA416" s="182"/>
      <c r="FB416" s="182"/>
      <c r="FC416" s="182"/>
      <c r="FD416" s="182"/>
      <c r="FE416" s="182"/>
      <c r="FF416" s="182"/>
      <c r="FG416" s="182"/>
      <c r="FH416" s="182"/>
      <c r="FI416" s="182"/>
      <c r="FJ416" s="182"/>
      <c r="FK416" s="182"/>
      <c r="FL416" s="182"/>
      <c r="FM416" s="182"/>
      <c r="FN416" s="182"/>
      <c r="FO416" s="182"/>
      <c r="FP416" s="182"/>
      <c r="FQ416" s="182"/>
      <c r="FR416" s="182"/>
      <c r="FS416" s="182"/>
      <c r="FT416" s="182"/>
      <c r="FU416" s="182"/>
      <c r="FV416" s="182"/>
      <c r="FW416" s="182"/>
      <c r="FX416" s="182"/>
      <c r="FY416" s="182"/>
      <c r="FZ416" s="182"/>
      <c r="GA416" s="182"/>
      <c r="GB416" s="182"/>
      <c r="GC416" s="182"/>
      <c r="GD416" s="182"/>
      <c r="GE416" s="182"/>
      <c r="GF416" s="182"/>
      <c r="GG416" s="182"/>
      <c r="GH416" s="182"/>
      <c r="GI416" s="182"/>
    </row>
    <row r="417" spans="1:191" s="183" customFormat="1" x14ac:dyDescent="0.2">
      <c r="A417" s="210" t="s">
        <v>38722</v>
      </c>
      <c r="B417" s="210" t="s">
        <v>20678</v>
      </c>
      <c r="C417" s="224" t="s">
        <v>22521</v>
      </c>
      <c r="D417" s="211" t="s">
        <v>16</v>
      </c>
      <c r="E417" s="211">
        <v>4</v>
      </c>
      <c r="F417" s="211"/>
      <c r="G417" s="211">
        <v>0.3</v>
      </c>
      <c r="H417" s="212"/>
      <c r="I417" s="213"/>
      <c r="J417" s="272">
        <v>67.540000000000006</v>
      </c>
      <c r="K417" s="112">
        <f t="shared" ref="K417:K480" si="29">IF(ISNUMBER(J417),ROUND(E417*J417,2),"")</f>
        <v>270.16000000000003</v>
      </c>
      <c r="L417" s="273">
        <f>BDI!$E$17</f>
        <v>0.11260000000000001</v>
      </c>
      <c r="M417" s="213"/>
      <c r="N417" s="213"/>
      <c r="O417" s="114">
        <f t="shared" ref="O417:O480" si="30">IF(ISNUMBER(J417),ROUND(J417*(1+L417),2),"")</f>
        <v>75.150000000000006</v>
      </c>
      <c r="P417" s="113">
        <f t="shared" ref="P417:P480" si="31">IF(ISNUMBER(J417),ROUND(G417*O417*E417,2),"")</f>
        <v>90.18</v>
      </c>
      <c r="Q417" s="209"/>
      <c r="R417" s="203"/>
      <c r="S417" s="182"/>
      <c r="T417" s="182"/>
      <c r="U417" s="182"/>
      <c r="V417" s="182"/>
      <c r="W417" s="182"/>
      <c r="X417" s="182"/>
      <c r="Y417" s="182"/>
      <c r="Z417" s="182"/>
      <c r="AA417" s="182"/>
      <c r="AB417" s="182"/>
      <c r="AC417" s="182"/>
      <c r="AD417" s="182"/>
      <c r="AE417" s="182"/>
      <c r="AF417" s="182"/>
      <c r="AG417" s="182"/>
      <c r="AH417" s="182"/>
      <c r="AI417" s="182"/>
      <c r="AJ417" s="182"/>
      <c r="AK417" s="182"/>
      <c r="AL417" s="182"/>
      <c r="AM417" s="182"/>
      <c r="AN417" s="182"/>
      <c r="AO417" s="182"/>
      <c r="AP417" s="182"/>
      <c r="AQ417" s="182"/>
      <c r="AR417" s="182"/>
      <c r="AS417" s="182"/>
      <c r="AT417" s="182"/>
      <c r="AU417" s="182"/>
      <c r="AV417" s="182"/>
      <c r="AW417" s="182"/>
      <c r="AX417" s="182"/>
      <c r="AY417" s="182"/>
      <c r="AZ417" s="182"/>
      <c r="BA417" s="182"/>
      <c r="BB417" s="182"/>
      <c r="BC417" s="182"/>
      <c r="BD417" s="182"/>
      <c r="BE417" s="182"/>
      <c r="BF417" s="182"/>
      <c r="BG417" s="182"/>
      <c r="BH417" s="182"/>
      <c r="BI417" s="182"/>
      <c r="BJ417" s="182"/>
      <c r="BK417" s="182"/>
      <c r="BL417" s="182"/>
      <c r="BM417" s="182"/>
      <c r="BN417" s="182"/>
      <c r="BO417" s="182"/>
      <c r="BP417" s="182"/>
      <c r="BQ417" s="182"/>
      <c r="BR417" s="182"/>
      <c r="BS417" s="182"/>
      <c r="BT417" s="182"/>
      <c r="BU417" s="182"/>
      <c r="BV417" s="182"/>
      <c r="BW417" s="182"/>
      <c r="BX417" s="182"/>
      <c r="BY417" s="182"/>
      <c r="BZ417" s="182"/>
      <c r="CA417" s="182"/>
      <c r="CB417" s="182"/>
      <c r="CC417" s="182"/>
      <c r="CD417" s="182"/>
      <c r="CE417" s="182"/>
      <c r="CF417" s="182"/>
      <c r="CG417" s="182"/>
      <c r="CH417" s="182"/>
      <c r="CI417" s="182"/>
      <c r="CJ417" s="182"/>
      <c r="CK417" s="182"/>
      <c r="CL417" s="182"/>
      <c r="CM417" s="182"/>
      <c r="CN417" s="182"/>
      <c r="CO417" s="182"/>
      <c r="CP417" s="182"/>
      <c r="CQ417" s="182"/>
      <c r="CR417" s="182"/>
      <c r="CS417" s="182"/>
      <c r="CT417" s="182"/>
      <c r="CU417" s="182"/>
      <c r="CV417" s="182"/>
      <c r="CW417" s="182"/>
      <c r="CX417" s="182"/>
      <c r="CY417" s="182"/>
      <c r="CZ417" s="182"/>
      <c r="DA417" s="182"/>
      <c r="DB417" s="182"/>
      <c r="DC417" s="182"/>
      <c r="DD417" s="182"/>
      <c r="DE417" s="182"/>
      <c r="DF417" s="182"/>
      <c r="DG417" s="182"/>
      <c r="DH417" s="182"/>
      <c r="DI417" s="182"/>
      <c r="DJ417" s="182"/>
      <c r="DK417" s="182"/>
      <c r="DL417" s="182"/>
      <c r="DM417" s="182"/>
      <c r="DN417" s="182"/>
      <c r="DO417" s="182"/>
      <c r="DP417" s="182"/>
      <c r="DQ417" s="182"/>
      <c r="DR417" s="182"/>
      <c r="DS417" s="182"/>
      <c r="DT417" s="182"/>
      <c r="DU417" s="182"/>
      <c r="DV417" s="182"/>
      <c r="DW417" s="182"/>
      <c r="DX417" s="182"/>
      <c r="DY417" s="182"/>
      <c r="DZ417" s="182"/>
      <c r="EA417" s="182"/>
      <c r="EB417" s="182"/>
      <c r="EC417" s="182"/>
      <c r="ED417" s="182"/>
      <c r="EE417" s="182"/>
      <c r="EF417" s="182"/>
      <c r="EG417" s="182"/>
      <c r="EH417" s="182"/>
      <c r="EI417" s="182"/>
      <c r="EJ417" s="182"/>
      <c r="EK417" s="182"/>
      <c r="EL417" s="182"/>
      <c r="EM417" s="182"/>
      <c r="EN417" s="182"/>
      <c r="EO417" s="182"/>
      <c r="EP417" s="182"/>
      <c r="EQ417" s="182"/>
      <c r="ER417" s="182"/>
      <c r="ES417" s="182"/>
      <c r="ET417" s="182"/>
      <c r="EU417" s="182"/>
      <c r="EV417" s="182"/>
      <c r="EW417" s="182"/>
      <c r="EX417" s="182"/>
      <c r="EY417" s="182"/>
      <c r="EZ417" s="182"/>
      <c r="FA417" s="182"/>
      <c r="FB417" s="182"/>
      <c r="FC417" s="182"/>
      <c r="FD417" s="182"/>
      <c r="FE417" s="182"/>
      <c r="FF417" s="182"/>
      <c r="FG417" s="182"/>
      <c r="FH417" s="182"/>
      <c r="FI417" s="182"/>
      <c r="FJ417" s="182"/>
      <c r="FK417" s="182"/>
      <c r="FL417" s="182"/>
      <c r="FM417" s="182"/>
      <c r="FN417" s="182"/>
      <c r="FO417" s="182"/>
      <c r="FP417" s="182"/>
      <c r="FQ417" s="182"/>
      <c r="FR417" s="182"/>
      <c r="FS417" s="182"/>
      <c r="FT417" s="182"/>
      <c r="FU417" s="182"/>
      <c r="FV417" s="182"/>
      <c r="FW417" s="182"/>
      <c r="FX417" s="182"/>
      <c r="FY417" s="182"/>
      <c r="FZ417" s="182"/>
      <c r="GA417" s="182"/>
      <c r="GB417" s="182"/>
      <c r="GC417" s="182"/>
      <c r="GD417" s="182"/>
      <c r="GE417" s="182"/>
      <c r="GF417" s="182"/>
      <c r="GG417" s="182"/>
      <c r="GH417" s="182"/>
      <c r="GI417" s="182"/>
    </row>
    <row r="418" spans="1:191" s="183" customFormat="1" x14ac:dyDescent="0.2">
      <c r="A418" s="210" t="s">
        <v>38723</v>
      </c>
      <c r="B418" s="210" t="s">
        <v>20679</v>
      </c>
      <c r="C418" s="224" t="s">
        <v>22522</v>
      </c>
      <c r="D418" s="211" t="s">
        <v>16</v>
      </c>
      <c r="E418" s="211">
        <v>4</v>
      </c>
      <c r="F418" s="211"/>
      <c r="G418" s="211">
        <v>0.3</v>
      </c>
      <c r="H418" s="212"/>
      <c r="I418" s="213"/>
      <c r="J418" s="272">
        <v>96</v>
      </c>
      <c r="K418" s="112">
        <f t="shared" si="29"/>
        <v>384</v>
      </c>
      <c r="L418" s="273">
        <f>BDI!$E$17</f>
        <v>0.11260000000000001</v>
      </c>
      <c r="M418" s="213"/>
      <c r="N418" s="213"/>
      <c r="O418" s="114">
        <f t="shared" si="30"/>
        <v>106.81</v>
      </c>
      <c r="P418" s="113">
        <f t="shared" si="31"/>
        <v>128.16999999999999</v>
      </c>
      <c r="Q418" s="209"/>
      <c r="R418" s="203"/>
      <c r="S418" s="182"/>
      <c r="T418" s="182"/>
      <c r="U418" s="182"/>
      <c r="V418" s="182"/>
      <c r="W418" s="182"/>
      <c r="X418" s="182"/>
      <c r="Y418" s="182"/>
      <c r="Z418" s="182"/>
      <c r="AA418" s="182"/>
      <c r="AB418" s="182"/>
      <c r="AC418" s="182"/>
      <c r="AD418" s="182"/>
      <c r="AE418" s="182"/>
      <c r="AF418" s="182"/>
      <c r="AG418" s="182"/>
      <c r="AH418" s="182"/>
      <c r="AI418" s="182"/>
      <c r="AJ418" s="182"/>
      <c r="AK418" s="182"/>
      <c r="AL418" s="182"/>
      <c r="AM418" s="182"/>
      <c r="AN418" s="182"/>
      <c r="AO418" s="182"/>
      <c r="AP418" s="182"/>
      <c r="AQ418" s="182"/>
      <c r="AR418" s="182"/>
      <c r="AS418" s="182"/>
      <c r="AT418" s="182"/>
      <c r="AU418" s="182"/>
      <c r="AV418" s="182"/>
      <c r="AW418" s="182"/>
      <c r="AX418" s="182"/>
      <c r="AY418" s="182"/>
      <c r="AZ418" s="182"/>
      <c r="BA418" s="182"/>
      <c r="BB418" s="182"/>
      <c r="BC418" s="182"/>
      <c r="BD418" s="182"/>
      <c r="BE418" s="182"/>
      <c r="BF418" s="182"/>
      <c r="BG418" s="182"/>
      <c r="BH418" s="182"/>
      <c r="BI418" s="182"/>
      <c r="BJ418" s="182"/>
      <c r="BK418" s="182"/>
      <c r="BL418" s="182"/>
      <c r="BM418" s="182"/>
      <c r="BN418" s="182"/>
      <c r="BO418" s="182"/>
      <c r="BP418" s="182"/>
      <c r="BQ418" s="182"/>
      <c r="BR418" s="182"/>
      <c r="BS418" s="182"/>
      <c r="BT418" s="182"/>
      <c r="BU418" s="182"/>
      <c r="BV418" s="182"/>
      <c r="BW418" s="182"/>
      <c r="BX418" s="182"/>
      <c r="BY418" s="182"/>
      <c r="BZ418" s="182"/>
      <c r="CA418" s="182"/>
      <c r="CB418" s="182"/>
      <c r="CC418" s="182"/>
      <c r="CD418" s="182"/>
      <c r="CE418" s="182"/>
      <c r="CF418" s="182"/>
      <c r="CG418" s="182"/>
      <c r="CH418" s="182"/>
      <c r="CI418" s="182"/>
      <c r="CJ418" s="182"/>
      <c r="CK418" s="182"/>
      <c r="CL418" s="182"/>
      <c r="CM418" s="182"/>
      <c r="CN418" s="182"/>
      <c r="CO418" s="182"/>
      <c r="CP418" s="182"/>
      <c r="CQ418" s="182"/>
      <c r="CR418" s="182"/>
      <c r="CS418" s="182"/>
      <c r="CT418" s="182"/>
      <c r="CU418" s="182"/>
      <c r="CV418" s="182"/>
      <c r="CW418" s="182"/>
      <c r="CX418" s="182"/>
      <c r="CY418" s="182"/>
      <c r="CZ418" s="182"/>
      <c r="DA418" s="182"/>
      <c r="DB418" s="182"/>
      <c r="DC418" s="182"/>
      <c r="DD418" s="182"/>
      <c r="DE418" s="182"/>
      <c r="DF418" s="182"/>
      <c r="DG418" s="182"/>
      <c r="DH418" s="182"/>
      <c r="DI418" s="182"/>
      <c r="DJ418" s="182"/>
      <c r="DK418" s="182"/>
      <c r="DL418" s="182"/>
      <c r="DM418" s="182"/>
      <c r="DN418" s="182"/>
      <c r="DO418" s="182"/>
      <c r="DP418" s="182"/>
      <c r="DQ418" s="182"/>
      <c r="DR418" s="182"/>
      <c r="DS418" s="182"/>
      <c r="DT418" s="182"/>
      <c r="DU418" s="182"/>
      <c r="DV418" s="182"/>
      <c r="DW418" s="182"/>
      <c r="DX418" s="182"/>
      <c r="DY418" s="182"/>
      <c r="DZ418" s="182"/>
      <c r="EA418" s="182"/>
      <c r="EB418" s="182"/>
      <c r="EC418" s="182"/>
      <c r="ED418" s="182"/>
      <c r="EE418" s="182"/>
      <c r="EF418" s="182"/>
      <c r="EG418" s="182"/>
      <c r="EH418" s="182"/>
      <c r="EI418" s="182"/>
      <c r="EJ418" s="182"/>
      <c r="EK418" s="182"/>
      <c r="EL418" s="182"/>
      <c r="EM418" s="182"/>
      <c r="EN418" s="182"/>
      <c r="EO418" s="182"/>
      <c r="EP418" s="182"/>
      <c r="EQ418" s="182"/>
      <c r="ER418" s="182"/>
      <c r="ES418" s="182"/>
      <c r="ET418" s="182"/>
      <c r="EU418" s="182"/>
      <c r="EV418" s="182"/>
      <c r="EW418" s="182"/>
      <c r="EX418" s="182"/>
      <c r="EY418" s="182"/>
      <c r="EZ418" s="182"/>
      <c r="FA418" s="182"/>
      <c r="FB418" s="182"/>
      <c r="FC418" s="182"/>
      <c r="FD418" s="182"/>
      <c r="FE418" s="182"/>
      <c r="FF418" s="182"/>
      <c r="FG418" s="182"/>
      <c r="FH418" s="182"/>
      <c r="FI418" s="182"/>
      <c r="FJ418" s="182"/>
      <c r="FK418" s="182"/>
      <c r="FL418" s="182"/>
      <c r="FM418" s="182"/>
      <c r="FN418" s="182"/>
      <c r="FO418" s="182"/>
      <c r="FP418" s="182"/>
      <c r="FQ418" s="182"/>
      <c r="FR418" s="182"/>
      <c r="FS418" s="182"/>
      <c r="FT418" s="182"/>
      <c r="FU418" s="182"/>
      <c r="FV418" s="182"/>
      <c r="FW418" s="182"/>
      <c r="FX418" s="182"/>
      <c r="FY418" s="182"/>
      <c r="FZ418" s="182"/>
      <c r="GA418" s="182"/>
      <c r="GB418" s="182"/>
      <c r="GC418" s="182"/>
      <c r="GD418" s="182"/>
      <c r="GE418" s="182"/>
      <c r="GF418" s="182"/>
      <c r="GG418" s="182"/>
      <c r="GH418" s="182"/>
      <c r="GI418" s="182"/>
    </row>
    <row r="419" spans="1:191" s="183" customFormat="1" x14ac:dyDescent="0.2">
      <c r="A419" s="210" t="s">
        <v>38724</v>
      </c>
      <c r="B419" s="210" t="s">
        <v>20680</v>
      </c>
      <c r="C419" s="224" t="s">
        <v>22523</v>
      </c>
      <c r="D419" s="211" t="s">
        <v>16</v>
      </c>
      <c r="E419" s="211">
        <v>4</v>
      </c>
      <c r="F419" s="211"/>
      <c r="G419" s="211">
        <v>0.3</v>
      </c>
      <c r="H419" s="212"/>
      <c r="I419" s="213"/>
      <c r="J419" s="272">
        <v>58.09</v>
      </c>
      <c r="K419" s="112">
        <f t="shared" si="29"/>
        <v>232.36</v>
      </c>
      <c r="L419" s="273">
        <f>BDI!$E$17</f>
        <v>0.11260000000000001</v>
      </c>
      <c r="M419" s="213"/>
      <c r="N419" s="213"/>
      <c r="O419" s="114">
        <f t="shared" si="30"/>
        <v>64.63</v>
      </c>
      <c r="P419" s="113">
        <f t="shared" si="31"/>
        <v>77.56</v>
      </c>
      <c r="Q419" s="209"/>
      <c r="R419" s="203"/>
      <c r="S419" s="182"/>
      <c r="T419" s="182"/>
      <c r="U419" s="182"/>
      <c r="V419" s="182"/>
      <c r="W419" s="182"/>
      <c r="X419" s="182"/>
      <c r="Y419" s="182"/>
      <c r="Z419" s="182"/>
      <c r="AA419" s="182"/>
      <c r="AB419" s="182"/>
      <c r="AC419" s="182"/>
      <c r="AD419" s="182"/>
      <c r="AE419" s="182"/>
      <c r="AF419" s="182"/>
      <c r="AG419" s="182"/>
      <c r="AH419" s="182"/>
      <c r="AI419" s="182"/>
      <c r="AJ419" s="182"/>
      <c r="AK419" s="182"/>
      <c r="AL419" s="182"/>
      <c r="AM419" s="182"/>
      <c r="AN419" s="182"/>
      <c r="AO419" s="182"/>
      <c r="AP419" s="182"/>
      <c r="AQ419" s="182"/>
      <c r="AR419" s="182"/>
      <c r="AS419" s="182"/>
      <c r="AT419" s="182"/>
      <c r="AU419" s="182"/>
      <c r="AV419" s="182"/>
      <c r="AW419" s="182"/>
      <c r="AX419" s="182"/>
      <c r="AY419" s="182"/>
      <c r="AZ419" s="182"/>
      <c r="BA419" s="182"/>
      <c r="BB419" s="182"/>
      <c r="BC419" s="182"/>
      <c r="BD419" s="182"/>
      <c r="BE419" s="182"/>
      <c r="BF419" s="182"/>
      <c r="BG419" s="182"/>
      <c r="BH419" s="182"/>
      <c r="BI419" s="182"/>
      <c r="BJ419" s="182"/>
      <c r="BK419" s="182"/>
      <c r="BL419" s="182"/>
      <c r="BM419" s="182"/>
      <c r="BN419" s="182"/>
      <c r="BO419" s="182"/>
      <c r="BP419" s="182"/>
      <c r="BQ419" s="182"/>
      <c r="BR419" s="182"/>
      <c r="BS419" s="182"/>
      <c r="BT419" s="182"/>
      <c r="BU419" s="182"/>
      <c r="BV419" s="182"/>
      <c r="BW419" s="182"/>
      <c r="BX419" s="182"/>
      <c r="BY419" s="182"/>
      <c r="BZ419" s="182"/>
      <c r="CA419" s="182"/>
      <c r="CB419" s="182"/>
      <c r="CC419" s="182"/>
      <c r="CD419" s="182"/>
      <c r="CE419" s="182"/>
      <c r="CF419" s="182"/>
      <c r="CG419" s="182"/>
      <c r="CH419" s="182"/>
      <c r="CI419" s="182"/>
      <c r="CJ419" s="182"/>
      <c r="CK419" s="182"/>
      <c r="CL419" s="182"/>
      <c r="CM419" s="182"/>
      <c r="CN419" s="182"/>
      <c r="CO419" s="182"/>
      <c r="CP419" s="182"/>
      <c r="CQ419" s="182"/>
      <c r="CR419" s="182"/>
      <c r="CS419" s="182"/>
      <c r="CT419" s="182"/>
      <c r="CU419" s="182"/>
      <c r="CV419" s="182"/>
      <c r="CW419" s="182"/>
      <c r="CX419" s="182"/>
      <c r="CY419" s="182"/>
      <c r="CZ419" s="182"/>
      <c r="DA419" s="182"/>
      <c r="DB419" s="182"/>
      <c r="DC419" s="182"/>
      <c r="DD419" s="182"/>
      <c r="DE419" s="182"/>
      <c r="DF419" s="182"/>
      <c r="DG419" s="182"/>
      <c r="DH419" s="182"/>
      <c r="DI419" s="182"/>
      <c r="DJ419" s="182"/>
      <c r="DK419" s="182"/>
      <c r="DL419" s="182"/>
      <c r="DM419" s="182"/>
      <c r="DN419" s="182"/>
      <c r="DO419" s="182"/>
      <c r="DP419" s="182"/>
      <c r="DQ419" s="182"/>
      <c r="DR419" s="182"/>
      <c r="DS419" s="182"/>
      <c r="DT419" s="182"/>
      <c r="DU419" s="182"/>
      <c r="DV419" s="182"/>
      <c r="DW419" s="182"/>
      <c r="DX419" s="182"/>
      <c r="DY419" s="182"/>
      <c r="DZ419" s="182"/>
      <c r="EA419" s="182"/>
      <c r="EB419" s="182"/>
      <c r="EC419" s="182"/>
      <c r="ED419" s="182"/>
      <c r="EE419" s="182"/>
      <c r="EF419" s="182"/>
      <c r="EG419" s="182"/>
      <c r="EH419" s="182"/>
      <c r="EI419" s="182"/>
      <c r="EJ419" s="182"/>
      <c r="EK419" s="182"/>
      <c r="EL419" s="182"/>
      <c r="EM419" s="182"/>
      <c r="EN419" s="182"/>
      <c r="EO419" s="182"/>
      <c r="EP419" s="182"/>
      <c r="EQ419" s="182"/>
      <c r="ER419" s="182"/>
      <c r="ES419" s="182"/>
      <c r="ET419" s="182"/>
      <c r="EU419" s="182"/>
      <c r="EV419" s="182"/>
      <c r="EW419" s="182"/>
      <c r="EX419" s="182"/>
      <c r="EY419" s="182"/>
      <c r="EZ419" s="182"/>
      <c r="FA419" s="182"/>
      <c r="FB419" s="182"/>
      <c r="FC419" s="182"/>
      <c r="FD419" s="182"/>
      <c r="FE419" s="182"/>
      <c r="FF419" s="182"/>
      <c r="FG419" s="182"/>
      <c r="FH419" s="182"/>
      <c r="FI419" s="182"/>
      <c r="FJ419" s="182"/>
      <c r="FK419" s="182"/>
      <c r="FL419" s="182"/>
      <c r="FM419" s="182"/>
      <c r="FN419" s="182"/>
      <c r="FO419" s="182"/>
      <c r="FP419" s="182"/>
      <c r="FQ419" s="182"/>
      <c r="FR419" s="182"/>
      <c r="FS419" s="182"/>
      <c r="FT419" s="182"/>
      <c r="FU419" s="182"/>
      <c r="FV419" s="182"/>
      <c r="FW419" s="182"/>
      <c r="FX419" s="182"/>
      <c r="FY419" s="182"/>
      <c r="FZ419" s="182"/>
      <c r="GA419" s="182"/>
      <c r="GB419" s="182"/>
      <c r="GC419" s="182"/>
      <c r="GD419" s="182"/>
      <c r="GE419" s="182"/>
      <c r="GF419" s="182"/>
      <c r="GG419" s="182"/>
      <c r="GH419" s="182"/>
      <c r="GI419" s="182"/>
    </row>
    <row r="420" spans="1:191" s="183" customFormat="1" x14ac:dyDescent="0.2">
      <c r="A420" s="210" t="s">
        <v>38725</v>
      </c>
      <c r="B420" s="210" t="s">
        <v>20681</v>
      </c>
      <c r="C420" s="224" t="s">
        <v>22524</v>
      </c>
      <c r="D420" s="211" t="s">
        <v>16</v>
      </c>
      <c r="E420" s="211">
        <v>4</v>
      </c>
      <c r="F420" s="211"/>
      <c r="G420" s="211">
        <v>0.3</v>
      </c>
      <c r="H420" s="212"/>
      <c r="I420" s="213"/>
      <c r="J420" s="272">
        <v>27.85</v>
      </c>
      <c r="K420" s="112">
        <f t="shared" si="29"/>
        <v>111.4</v>
      </c>
      <c r="L420" s="273">
        <f>BDI!$E$17</f>
        <v>0.11260000000000001</v>
      </c>
      <c r="M420" s="213"/>
      <c r="N420" s="213"/>
      <c r="O420" s="114">
        <f t="shared" si="30"/>
        <v>30.99</v>
      </c>
      <c r="P420" s="113">
        <f t="shared" si="31"/>
        <v>37.19</v>
      </c>
      <c r="Q420" s="209"/>
      <c r="R420" s="203"/>
      <c r="S420" s="182"/>
      <c r="T420" s="182"/>
      <c r="U420" s="182"/>
      <c r="V420" s="182"/>
      <c r="W420" s="182"/>
      <c r="X420" s="182"/>
      <c r="Y420" s="182"/>
      <c r="Z420" s="182"/>
      <c r="AA420" s="182"/>
      <c r="AB420" s="182"/>
      <c r="AC420" s="182"/>
      <c r="AD420" s="182"/>
      <c r="AE420" s="182"/>
      <c r="AF420" s="182"/>
      <c r="AG420" s="182"/>
      <c r="AH420" s="182"/>
      <c r="AI420" s="182"/>
      <c r="AJ420" s="182"/>
      <c r="AK420" s="182"/>
      <c r="AL420" s="182"/>
      <c r="AM420" s="182"/>
      <c r="AN420" s="182"/>
      <c r="AO420" s="182"/>
      <c r="AP420" s="182"/>
      <c r="AQ420" s="182"/>
      <c r="AR420" s="182"/>
      <c r="AS420" s="182"/>
      <c r="AT420" s="182"/>
      <c r="AU420" s="182"/>
      <c r="AV420" s="182"/>
      <c r="AW420" s="182"/>
      <c r="AX420" s="182"/>
      <c r="AY420" s="182"/>
      <c r="AZ420" s="182"/>
      <c r="BA420" s="182"/>
      <c r="BB420" s="182"/>
      <c r="BC420" s="182"/>
      <c r="BD420" s="182"/>
      <c r="BE420" s="182"/>
      <c r="BF420" s="182"/>
      <c r="BG420" s="182"/>
      <c r="BH420" s="182"/>
      <c r="BI420" s="182"/>
      <c r="BJ420" s="182"/>
      <c r="BK420" s="182"/>
      <c r="BL420" s="182"/>
      <c r="BM420" s="182"/>
      <c r="BN420" s="182"/>
      <c r="BO420" s="182"/>
      <c r="BP420" s="182"/>
      <c r="BQ420" s="182"/>
      <c r="BR420" s="182"/>
      <c r="BS420" s="182"/>
      <c r="BT420" s="182"/>
      <c r="BU420" s="182"/>
      <c r="BV420" s="182"/>
      <c r="BW420" s="182"/>
      <c r="BX420" s="182"/>
      <c r="BY420" s="182"/>
      <c r="BZ420" s="182"/>
      <c r="CA420" s="182"/>
      <c r="CB420" s="182"/>
      <c r="CC420" s="182"/>
      <c r="CD420" s="182"/>
      <c r="CE420" s="182"/>
      <c r="CF420" s="182"/>
      <c r="CG420" s="182"/>
      <c r="CH420" s="182"/>
      <c r="CI420" s="182"/>
      <c r="CJ420" s="182"/>
      <c r="CK420" s="182"/>
      <c r="CL420" s="182"/>
      <c r="CM420" s="182"/>
      <c r="CN420" s="182"/>
      <c r="CO420" s="182"/>
      <c r="CP420" s="182"/>
      <c r="CQ420" s="182"/>
      <c r="CR420" s="182"/>
      <c r="CS420" s="182"/>
      <c r="CT420" s="182"/>
      <c r="CU420" s="182"/>
      <c r="CV420" s="182"/>
      <c r="CW420" s="182"/>
      <c r="CX420" s="182"/>
      <c r="CY420" s="182"/>
      <c r="CZ420" s="182"/>
      <c r="DA420" s="182"/>
      <c r="DB420" s="182"/>
      <c r="DC420" s="182"/>
      <c r="DD420" s="182"/>
      <c r="DE420" s="182"/>
      <c r="DF420" s="182"/>
      <c r="DG420" s="182"/>
      <c r="DH420" s="182"/>
      <c r="DI420" s="182"/>
      <c r="DJ420" s="182"/>
      <c r="DK420" s="182"/>
      <c r="DL420" s="182"/>
      <c r="DM420" s="182"/>
      <c r="DN420" s="182"/>
      <c r="DO420" s="182"/>
      <c r="DP420" s="182"/>
      <c r="DQ420" s="182"/>
      <c r="DR420" s="182"/>
      <c r="DS420" s="182"/>
      <c r="DT420" s="182"/>
      <c r="DU420" s="182"/>
      <c r="DV420" s="182"/>
      <c r="DW420" s="182"/>
      <c r="DX420" s="182"/>
      <c r="DY420" s="182"/>
      <c r="DZ420" s="182"/>
      <c r="EA420" s="182"/>
      <c r="EB420" s="182"/>
      <c r="EC420" s="182"/>
      <c r="ED420" s="182"/>
      <c r="EE420" s="182"/>
      <c r="EF420" s="182"/>
      <c r="EG420" s="182"/>
      <c r="EH420" s="182"/>
      <c r="EI420" s="182"/>
      <c r="EJ420" s="182"/>
      <c r="EK420" s="182"/>
      <c r="EL420" s="182"/>
      <c r="EM420" s="182"/>
      <c r="EN420" s="182"/>
      <c r="EO420" s="182"/>
      <c r="EP420" s="182"/>
      <c r="EQ420" s="182"/>
      <c r="ER420" s="182"/>
      <c r="ES420" s="182"/>
      <c r="ET420" s="182"/>
      <c r="EU420" s="182"/>
      <c r="EV420" s="182"/>
      <c r="EW420" s="182"/>
      <c r="EX420" s="182"/>
      <c r="EY420" s="182"/>
      <c r="EZ420" s="182"/>
      <c r="FA420" s="182"/>
      <c r="FB420" s="182"/>
      <c r="FC420" s="182"/>
      <c r="FD420" s="182"/>
      <c r="FE420" s="182"/>
      <c r="FF420" s="182"/>
      <c r="FG420" s="182"/>
      <c r="FH420" s="182"/>
      <c r="FI420" s="182"/>
      <c r="FJ420" s="182"/>
      <c r="FK420" s="182"/>
      <c r="FL420" s="182"/>
      <c r="FM420" s="182"/>
      <c r="FN420" s="182"/>
      <c r="FO420" s="182"/>
      <c r="FP420" s="182"/>
      <c r="FQ420" s="182"/>
      <c r="FR420" s="182"/>
      <c r="FS420" s="182"/>
      <c r="FT420" s="182"/>
      <c r="FU420" s="182"/>
      <c r="FV420" s="182"/>
      <c r="FW420" s="182"/>
      <c r="FX420" s="182"/>
      <c r="FY420" s="182"/>
      <c r="FZ420" s="182"/>
      <c r="GA420" s="182"/>
      <c r="GB420" s="182"/>
      <c r="GC420" s="182"/>
      <c r="GD420" s="182"/>
      <c r="GE420" s="182"/>
      <c r="GF420" s="182"/>
      <c r="GG420" s="182"/>
      <c r="GH420" s="182"/>
      <c r="GI420" s="182"/>
    </row>
    <row r="421" spans="1:191" s="183" customFormat="1" x14ac:dyDescent="0.2">
      <c r="A421" s="210" t="s">
        <v>38726</v>
      </c>
      <c r="B421" s="210" t="s">
        <v>20682</v>
      </c>
      <c r="C421" s="224" t="s">
        <v>22525</v>
      </c>
      <c r="D421" s="211" t="s">
        <v>16</v>
      </c>
      <c r="E421" s="211">
        <v>2</v>
      </c>
      <c r="F421" s="211"/>
      <c r="G421" s="211">
        <v>0.3</v>
      </c>
      <c r="H421" s="212"/>
      <c r="I421" s="213"/>
      <c r="J421" s="272">
        <v>108.7</v>
      </c>
      <c r="K421" s="112">
        <f t="shared" si="29"/>
        <v>217.4</v>
      </c>
      <c r="L421" s="273">
        <f>BDI!$E$17</f>
        <v>0.11260000000000001</v>
      </c>
      <c r="M421" s="213"/>
      <c r="N421" s="213"/>
      <c r="O421" s="114">
        <f t="shared" si="30"/>
        <v>120.94</v>
      </c>
      <c r="P421" s="113">
        <f t="shared" si="31"/>
        <v>72.56</v>
      </c>
      <c r="Q421" s="209"/>
      <c r="R421" s="203"/>
      <c r="S421" s="182"/>
      <c r="T421" s="182"/>
      <c r="U421" s="182"/>
      <c r="V421" s="182"/>
      <c r="W421" s="182"/>
      <c r="X421" s="182"/>
      <c r="Y421" s="182"/>
      <c r="Z421" s="182"/>
      <c r="AA421" s="182"/>
      <c r="AB421" s="182"/>
      <c r="AC421" s="182"/>
      <c r="AD421" s="182"/>
      <c r="AE421" s="182"/>
      <c r="AF421" s="182"/>
      <c r="AG421" s="182"/>
      <c r="AH421" s="182"/>
      <c r="AI421" s="182"/>
      <c r="AJ421" s="182"/>
      <c r="AK421" s="182"/>
      <c r="AL421" s="182"/>
      <c r="AM421" s="182"/>
      <c r="AN421" s="182"/>
      <c r="AO421" s="182"/>
      <c r="AP421" s="182"/>
      <c r="AQ421" s="182"/>
      <c r="AR421" s="182"/>
      <c r="AS421" s="182"/>
      <c r="AT421" s="182"/>
      <c r="AU421" s="182"/>
      <c r="AV421" s="182"/>
      <c r="AW421" s="182"/>
      <c r="AX421" s="182"/>
      <c r="AY421" s="182"/>
      <c r="AZ421" s="182"/>
      <c r="BA421" s="182"/>
      <c r="BB421" s="182"/>
      <c r="BC421" s="182"/>
      <c r="BD421" s="182"/>
      <c r="BE421" s="182"/>
      <c r="BF421" s="182"/>
      <c r="BG421" s="182"/>
      <c r="BH421" s="182"/>
      <c r="BI421" s="182"/>
      <c r="BJ421" s="182"/>
      <c r="BK421" s="182"/>
      <c r="BL421" s="182"/>
      <c r="BM421" s="182"/>
      <c r="BN421" s="182"/>
      <c r="BO421" s="182"/>
      <c r="BP421" s="182"/>
      <c r="BQ421" s="182"/>
      <c r="BR421" s="182"/>
      <c r="BS421" s="182"/>
      <c r="BT421" s="182"/>
      <c r="BU421" s="182"/>
      <c r="BV421" s="182"/>
      <c r="BW421" s="182"/>
      <c r="BX421" s="182"/>
      <c r="BY421" s="182"/>
      <c r="BZ421" s="182"/>
      <c r="CA421" s="182"/>
      <c r="CB421" s="182"/>
      <c r="CC421" s="182"/>
      <c r="CD421" s="182"/>
      <c r="CE421" s="182"/>
      <c r="CF421" s="182"/>
      <c r="CG421" s="182"/>
      <c r="CH421" s="182"/>
      <c r="CI421" s="182"/>
      <c r="CJ421" s="182"/>
      <c r="CK421" s="182"/>
      <c r="CL421" s="182"/>
      <c r="CM421" s="182"/>
      <c r="CN421" s="182"/>
      <c r="CO421" s="182"/>
      <c r="CP421" s="182"/>
      <c r="CQ421" s="182"/>
      <c r="CR421" s="182"/>
      <c r="CS421" s="182"/>
      <c r="CT421" s="182"/>
      <c r="CU421" s="182"/>
      <c r="CV421" s="182"/>
      <c r="CW421" s="182"/>
      <c r="CX421" s="182"/>
      <c r="CY421" s="182"/>
      <c r="CZ421" s="182"/>
      <c r="DA421" s="182"/>
      <c r="DB421" s="182"/>
      <c r="DC421" s="182"/>
      <c r="DD421" s="182"/>
      <c r="DE421" s="182"/>
      <c r="DF421" s="182"/>
      <c r="DG421" s="182"/>
      <c r="DH421" s="182"/>
      <c r="DI421" s="182"/>
      <c r="DJ421" s="182"/>
      <c r="DK421" s="182"/>
      <c r="DL421" s="182"/>
      <c r="DM421" s="182"/>
      <c r="DN421" s="182"/>
      <c r="DO421" s="182"/>
      <c r="DP421" s="182"/>
      <c r="DQ421" s="182"/>
      <c r="DR421" s="182"/>
      <c r="DS421" s="182"/>
      <c r="DT421" s="182"/>
      <c r="DU421" s="182"/>
      <c r="DV421" s="182"/>
      <c r="DW421" s="182"/>
      <c r="DX421" s="182"/>
      <c r="DY421" s="182"/>
      <c r="DZ421" s="182"/>
      <c r="EA421" s="182"/>
      <c r="EB421" s="182"/>
      <c r="EC421" s="182"/>
      <c r="ED421" s="182"/>
      <c r="EE421" s="182"/>
      <c r="EF421" s="182"/>
      <c r="EG421" s="182"/>
      <c r="EH421" s="182"/>
      <c r="EI421" s="182"/>
      <c r="EJ421" s="182"/>
      <c r="EK421" s="182"/>
      <c r="EL421" s="182"/>
      <c r="EM421" s="182"/>
      <c r="EN421" s="182"/>
      <c r="EO421" s="182"/>
      <c r="EP421" s="182"/>
      <c r="EQ421" s="182"/>
      <c r="ER421" s="182"/>
      <c r="ES421" s="182"/>
      <c r="ET421" s="182"/>
      <c r="EU421" s="182"/>
      <c r="EV421" s="182"/>
      <c r="EW421" s="182"/>
      <c r="EX421" s="182"/>
      <c r="EY421" s="182"/>
      <c r="EZ421" s="182"/>
      <c r="FA421" s="182"/>
      <c r="FB421" s="182"/>
      <c r="FC421" s="182"/>
      <c r="FD421" s="182"/>
      <c r="FE421" s="182"/>
      <c r="FF421" s="182"/>
      <c r="FG421" s="182"/>
      <c r="FH421" s="182"/>
      <c r="FI421" s="182"/>
      <c r="FJ421" s="182"/>
      <c r="FK421" s="182"/>
      <c r="FL421" s="182"/>
      <c r="FM421" s="182"/>
      <c r="FN421" s="182"/>
      <c r="FO421" s="182"/>
      <c r="FP421" s="182"/>
      <c r="FQ421" s="182"/>
      <c r="FR421" s="182"/>
      <c r="FS421" s="182"/>
      <c r="FT421" s="182"/>
      <c r="FU421" s="182"/>
      <c r="FV421" s="182"/>
      <c r="FW421" s="182"/>
      <c r="FX421" s="182"/>
      <c r="FY421" s="182"/>
      <c r="FZ421" s="182"/>
      <c r="GA421" s="182"/>
      <c r="GB421" s="182"/>
      <c r="GC421" s="182"/>
      <c r="GD421" s="182"/>
      <c r="GE421" s="182"/>
      <c r="GF421" s="182"/>
      <c r="GG421" s="182"/>
      <c r="GH421" s="182"/>
      <c r="GI421" s="182"/>
    </row>
    <row r="422" spans="1:191" s="183" customFormat="1" x14ac:dyDescent="0.2">
      <c r="A422" s="210" t="s">
        <v>38727</v>
      </c>
      <c r="B422" s="210" t="s">
        <v>20683</v>
      </c>
      <c r="C422" s="224" t="s">
        <v>22526</v>
      </c>
      <c r="D422" s="211" t="s">
        <v>69</v>
      </c>
      <c r="E422" s="211">
        <v>30</v>
      </c>
      <c r="F422" s="211"/>
      <c r="G422" s="211">
        <v>0.3</v>
      </c>
      <c r="H422" s="212"/>
      <c r="I422" s="213"/>
      <c r="J422" s="272">
        <v>527.88</v>
      </c>
      <c r="K422" s="112">
        <f t="shared" si="29"/>
        <v>15836.4</v>
      </c>
      <c r="L422" s="273">
        <f>BDI!$E$17</f>
        <v>0.11260000000000001</v>
      </c>
      <c r="M422" s="213"/>
      <c r="N422" s="213"/>
      <c r="O422" s="114">
        <f t="shared" si="30"/>
        <v>587.32000000000005</v>
      </c>
      <c r="P422" s="113">
        <f t="shared" si="31"/>
        <v>5285.88</v>
      </c>
      <c r="Q422" s="209"/>
      <c r="R422" s="203"/>
      <c r="S422" s="182"/>
      <c r="T422" s="182"/>
      <c r="U422" s="182"/>
      <c r="V422" s="182"/>
      <c r="W422" s="182"/>
      <c r="X422" s="182"/>
      <c r="Y422" s="182"/>
      <c r="Z422" s="182"/>
      <c r="AA422" s="182"/>
      <c r="AB422" s="182"/>
      <c r="AC422" s="182"/>
      <c r="AD422" s="182"/>
      <c r="AE422" s="182"/>
      <c r="AF422" s="182"/>
      <c r="AG422" s="182"/>
      <c r="AH422" s="182"/>
      <c r="AI422" s="182"/>
      <c r="AJ422" s="182"/>
      <c r="AK422" s="182"/>
      <c r="AL422" s="182"/>
      <c r="AM422" s="182"/>
      <c r="AN422" s="182"/>
      <c r="AO422" s="182"/>
      <c r="AP422" s="182"/>
      <c r="AQ422" s="182"/>
      <c r="AR422" s="182"/>
      <c r="AS422" s="182"/>
      <c r="AT422" s="182"/>
      <c r="AU422" s="182"/>
      <c r="AV422" s="182"/>
      <c r="AW422" s="182"/>
      <c r="AX422" s="182"/>
      <c r="AY422" s="182"/>
      <c r="AZ422" s="182"/>
      <c r="BA422" s="182"/>
      <c r="BB422" s="182"/>
      <c r="BC422" s="182"/>
      <c r="BD422" s="182"/>
      <c r="BE422" s="182"/>
      <c r="BF422" s="182"/>
      <c r="BG422" s="182"/>
      <c r="BH422" s="182"/>
      <c r="BI422" s="182"/>
      <c r="BJ422" s="182"/>
      <c r="BK422" s="182"/>
      <c r="BL422" s="182"/>
      <c r="BM422" s="182"/>
      <c r="BN422" s="182"/>
      <c r="BO422" s="182"/>
      <c r="BP422" s="182"/>
      <c r="BQ422" s="182"/>
      <c r="BR422" s="182"/>
      <c r="BS422" s="182"/>
      <c r="BT422" s="182"/>
      <c r="BU422" s="182"/>
      <c r="BV422" s="182"/>
      <c r="BW422" s="182"/>
      <c r="BX422" s="182"/>
      <c r="BY422" s="182"/>
      <c r="BZ422" s="182"/>
      <c r="CA422" s="182"/>
      <c r="CB422" s="182"/>
      <c r="CC422" s="182"/>
      <c r="CD422" s="182"/>
      <c r="CE422" s="182"/>
      <c r="CF422" s="182"/>
      <c r="CG422" s="182"/>
      <c r="CH422" s="182"/>
      <c r="CI422" s="182"/>
      <c r="CJ422" s="182"/>
      <c r="CK422" s="182"/>
      <c r="CL422" s="182"/>
      <c r="CM422" s="182"/>
      <c r="CN422" s="182"/>
      <c r="CO422" s="182"/>
      <c r="CP422" s="182"/>
      <c r="CQ422" s="182"/>
      <c r="CR422" s="182"/>
      <c r="CS422" s="182"/>
      <c r="CT422" s="182"/>
      <c r="CU422" s="182"/>
      <c r="CV422" s="182"/>
      <c r="CW422" s="182"/>
      <c r="CX422" s="182"/>
      <c r="CY422" s="182"/>
      <c r="CZ422" s="182"/>
      <c r="DA422" s="182"/>
      <c r="DB422" s="182"/>
      <c r="DC422" s="182"/>
      <c r="DD422" s="182"/>
      <c r="DE422" s="182"/>
      <c r="DF422" s="182"/>
      <c r="DG422" s="182"/>
      <c r="DH422" s="182"/>
      <c r="DI422" s="182"/>
      <c r="DJ422" s="182"/>
      <c r="DK422" s="182"/>
      <c r="DL422" s="182"/>
      <c r="DM422" s="182"/>
      <c r="DN422" s="182"/>
      <c r="DO422" s="182"/>
      <c r="DP422" s="182"/>
      <c r="DQ422" s="182"/>
      <c r="DR422" s="182"/>
      <c r="DS422" s="182"/>
      <c r="DT422" s="182"/>
      <c r="DU422" s="182"/>
      <c r="DV422" s="182"/>
      <c r="DW422" s="182"/>
      <c r="DX422" s="182"/>
      <c r="DY422" s="182"/>
      <c r="DZ422" s="182"/>
      <c r="EA422" s="182"/>
      <c r="EB422" s="182"/>
      <c r="EC422" s="182"/>
      <c r="ED422" s="182"/>
      <c r="EE422" s="182"/>
      <c r="EF422" s="182"/>
      <c r="EG422" s="182"/>
      <c r="EH422" s="182"/>
      <c r="EI422" s="182"/>
      <c r="EJ422" s="182"/>
      <c r="EK422" s="182"/>
      <c r="EL422" s="182"/>
      <c r="EM422" s="182"/>
      <c r="EN422" s="182"/>
      <c r="EO422" s="182"/>
      <c r="EP422" s="182"/>
      <c r="EQ422" s="182"/>
      <c r="ER422" s="182"/>
      <c r="ES422" s="182"/>
      <c r="ET422" s="182"/>
      <c r="EU422" s="182"/>
      <c r="EV422" s="182"/>
      <c r="EW422" s="182"/>
      <c r="EX422" s="182"/>
      <c r="EY422" s="182"/>
      <c r="EZ422" s="182"/>
      <c r="FA422" s="182"/>
      <c r="FB422" s="182"/>
      <c r="FC422" s="182"/>
      <c r="FD422" s="182"/>
      <c r="FE422" s="182"/>
      <c r="FF422" s="182"/>
      <c r="FG422" s="182"/>
      <c r="FH422" s="182"/>
      <c r="FI422" s="182"/>
      <c r="FJ422" s="182"/>
      <c r="FK422" s="182"/>
      <c r="FL422" s="182"/>
      <c r="FM422" s="182"/>
      <c r="FN422" s="182"/>
      <c r="FO422" s="182"/>
      <c r="FP422" s="182"/>
      <c r="FQ422" s="182"/>
      <c r="FR422" s="182"/>
      <c r="FS422" s="182"/>
      <c r="FT422" s="182"/>
      <c r="FU422" s="182"/>
      <c r="FV422" s="182"/>
      <c r="FW422" s="182"/>
      <c r="FX422" s="182"/>
      <c r="FY422" s="182"/>
      <c r="FZ422" s="182"/>
      <c r="GA422" s="182"/>
      <c r="GB422" s="182"/>
      <c r="GC422" s="182"/>
      <c r="GD422" s="182"/>
      <c r="GE422" s="182"/>
      <c r="GF422" s="182"/>
      <c r="GG422" s="182"/>
      <c r="GH422" s="182"/>
      <c r="GI422" s="182"/>
    </row>
    <row r="423" spans="1:191" s="183" customFormat="1" x14ac:dyDescent="0.2">
      <c r="A423" s="210" t="s">
        <v>38728</v>
      </c>
      <c r="B423" s="210" t="s">
        <v>20684</v>
      </c>
      <c r="C423" s="224" t="s">
        <v>22527</v>
      </c>
      <c r="D423" s="211" t="s">
        <v>16</v>
      </c>
      <c r="E423" s="211">
        <v>4</v>
      </c>
      <c r="F423" s="211"/>
      <c r="G423" s="211">
        <v>0.3</v>
      </c>
      <c r="H423" s="212"/>
      <c r="I423" s="213"/>
      <c r="J423" s="272">
        <v>108.72</v>
      </c>
      <c r="K423" s="112">
        <f t="shared" si="29"/>
        <v>434.88</v>
      </c>
      <c r="L423" s="273">
        <f>BDI!$E$17</f>
        <v>0.11260000000000001</v>
      </c>
      <c r="M423" s="213"/>
      <c r="N423" s="213"/>
      <c r="O423" s="114">
        <f t="shared" si="30"/>
        <v>120.96</v>
      </c>
      <c r="P423" s="113">
        <f t="shared" si="31"/>
        <v>145.15</v>
      </c>
      <c r="Q423" s="209"/>
      <c r="R423" s="203"/>
      <c r="S423" s="182"/>
      <c r="T423" s="182"/>
      <c r="U423" s="182"/>
      <c r="V423" s="182"/>
      <c r="W423" s="182"/>
      <c r="X423" s="182"/>
      <c r="Y423" s="182"/>
      <c r="Z423" s="182"/>
      <c r="AA423" s="182"/>
      <c r="AB423" s="182"/>
      <c r="AC423" s="182"/>
      <c r="AD423" s="182"/>
      <c r="AE423" s="182"/>
      <c r="AF423" s="182"/>
      <c r="AG423" s="182"/>
      <c r="AH423" s="182"/>
      <c r="AI423" s="182"/>
      <c r="AJ423" s="182"/>
      <c r="AK423" s="182"/>
      <c r="AL423" s="182"/>
      <c r="AM423" s="182"/>
      <c r="AN423" s="182"/>
      <c r="AO423" s="182"/>
      <c r="AP423" s="182"/>
      <c r="AQ423" s="182"/>
      <c r="AR423" s="182"/>
      <c r="AS423" s="182"/>
      <c r="AT423" s="182"/>
      <c r="AU423" s="182"/>
      <c r="AV423" s="182"/>
      <c r="AW423" s="182"/>
      <c r="AX423" s="182"/>
      <c r="AY423" s="182"/>
      <c r="AZ423" s="182"/>
      <c r="BA423" s="182"/>
      <c r="BB423" s="182"/>
      <c r="BC423" s="182"/>
      <c r="BD423" s="182"/>
      <c r="BE423" s="182"/>
      <c r="BF423" s="182"/>
      <c r="BG423" s="182"/>
      <c r="BH423" s="182"/>
      <c r="BI423" s="182"/>
      <c r="BJ423" s="182"/>
      <c r="BK423" s="182"/>
      <c r="BL423" s="182"/>
      <c r="BM423" s="182"/>
      <c r="BN423" s="182"/>
      <c r="BO423" s="182"/>
      <c r="BP423" s="182"/>
      <c r="BQ423" s="182"/>
      <c r="BR423" s="182"/>
      <c r="BS423" s="182"/>
      <c r="BT423" s="182"/>
      <c r="BU423" s="182"/>
      <c r="BV423" s="182"/>
      <c r="BW423" s="182"/>
      <c r="BX423" s="182"/>
      <c r="BY423" s="182"/>
      <c r="BZ423" s="182"/>
      <c r="CA423" s="182"/>
      <c r="CB423" s="182"/>
      <c r="CC423" s="182"/>
      <c r="CD423" s="182"/>
      <c r="CE423" s="182"/>
      <c r="CF423" s="182"/>
      <c r="CG423" s="182"/>
      <c r="CH423" s="182"/>
      <c r="CI423" s="182"/>
      <c r="CJ423" s="182"/>
      <c r="CK423" s="182"/>
      <c r="CL423" s="182"/>
      <c r="CM423" s="182"/>
      <c r="CN423" s="182"/>
      <c r="CO423" s="182"/>
      <c r="CP423" s="182"/>
      <c r="CQ423" s="182"/>
      <c r="CR423" s="182"/>
      <c r="CS423" s="182"/>
      <c r="CT423" s="182"/>
      <c r="CU423" s="182"/>
      <c r="CV423" s="182"/>
      <c r="CW423" s="182"/>
      <c r="CX423" s="182"/>
      <c r="CY423" s="182"/>
      <c r="CZ423" s="182"/>
      <c r="DA423" s="182"/>
      <c r="DB423" s="182"/>
      <c r="DC423" s="182"/>
      <c r="DD423" s="182"/>
      <c r="DE423" s="182"/>
      <c r="DF423" s="182"/>
      <c r="DG423" s="182"/>
      <c r="DH423" s="182"/>
      <c r="DI423" s="182"/>
      <c r="DJ423" s="182"/>
      <c r="DK423" s="182"/>
      <c r="DL423" s="182"/>
      <c r="DM423" s="182"/>
      <c r="DN423" s="182"/>
      <c r="DO423" s="182"/>
      <c r="DP423" s="182"/>
      <c r="DQ423" s="182"/>
      <c r="DR423" s="182"/>
      <c r="DS423" s="182"/>
      <c r="DT423" s="182"/>
      <c r="DU423" s="182"/>
      <c r="DV423" s="182"/>
      <c r="DW423" s="182"/>
      <c r="DX423" s="182"/>
      <c r="DY423" s="182"/>
      <c r="DZ423" s="182"/>
      <c r="EA423" s="182"/>
      <c r="EB423" s="182"/>
      <c r="EC423" s="182"/>
      <c r="ED423" s="182"/>
      <c r="EE423" s="182"/>
      <c r="EF423" s="182"/>
      <c r="EG423" s="182"/>
      <c r="EH423" s="182"/>
      <c r="EI423" s="182"/>
      <c r="EJ423" s="182"/>
      <c r="EK423" s="182"/>
      <c r="EL423" s="182"/>
      <c r="EM423" s="182"/>
      <c r="EN423" s="182"/>
      <c r="EO423" s="182"/>
      <c r="EP423" s="182"/>
      <c r="EQ423" s="182"/>
      <c r="ER423" s="182"/>
      <c r="ES423" s="182"/>
      <c r="ET423" s="182"/>
      <c r="EU423" s="182"/>
      <c r="EV423" s="182"/>
      <c r="EW423" s="182"/>
      <c r="EX423" s="182"/>
      <c r="EY423" s="182"/>
      <c r="EZ423" s="182"/>
      <c r="FA423" s="182"/>
      <c r="FB423" s="182"/>
      <c r="FC423" s="182"/>
      <c r="FD423" s="182"/>
      <c r="FE423" s="182"/>
      <c r="FF423" s="182"/>
      <c r="FG423" s="182"/>
      <c r="FH423" s="182"/>
      <c r="FI423" s="182"/>
      <c r="FJ423" s="182"/>
      <c r="FK423" s="182"/>
      <c r="FL423" s="182"/>
      <c r="FM423" s="182"/>
      <c r="FN423" s="182"/>
      <c r="FO423" s="182"/>
      <c r="FP423" s="182"/>
      <c r="FQ423" s="182"/>
      <c r="FR423" s="182"/>
      <c r="FS423" s="182"/>
      <c r="FT423" s="182"/>
      <c r="FU423" s="182"/>
      <c r="FV423" s="182"/>
      <c r="FW423" s="182"/>
      <c r="FX423" s="182"/>
      <c r="FY423" s="182"/>
      <c r="FZ423" s="182"/>
      <c r="GA423" s="182"/>
      <c r="GB423" s="182"/>
      <c r="GC423" s="182"/>
      <c r="GD423" s="182"/>
      <c r="GE423" s="182"/>
      <c r="GF423" s="182"/>
      <c r="GG423" s="182"/>
      <c r="GH423" s="182"/>
      <c r="GI423" s="182"/>
    </row>
    <row r="424" spans="1:191" s="183" customFormat="1" x14ac:dyDescent="0.2">
      <c r="A424" s="210" t="s">
        <v>38729</v>
      </c>
      <c r="B424" s="210" t="s">
        <v>20685</v>
      </c>
      <c r="C424" s="224" t="s">
        <v>22528</v>
      </c>
      <c r="D424" s="211" t="s">
        <v>16</v>
      </c>
      <c r="E424" s="211">
        <v>4</v>
      </c>
      <c r="F424" s="211"/>
      <c r="G424" s="211">
        <v>0.3</v>
      </c>
      <c r="H424" s="212"/>
      <c r="I424" s="213"/>
      <c r="J424" s="272">
        <v>129.47999999999999</v>
      </c>
      <c r="K424" s="112">
        <f t="shared" si="29"/>
        <v>517.91999999999996</v>
      </c>
      <c r="L424" s="273">
        <f>BDI!$E$17</f>
        <v>0.11260000000000001</v>
      </c>
      <c r="M424" s="213"/>
      <c r="N424" s="213"/>
      <c r="O424" s="114">
        <f t="shared" si="30"/>
        <v>144.06</v>
      </c>
      <c r="P424" s="113">
        <f t="shared" si="31"/>
        <v>172.87</v>
      </c>
      <c r="Q424" s="209"/>
      <c r="R424" s="203"/>
      <c r="S424" s="182"/>
      <c r="T424" s="182"/>
      <c r="U424" s="182"/>
      <c r="V424" s="182"/>
      <c r="W424" s="182"/>
      <c r="X424" s="182"/>
      <c r="Y424" s="182"/>
      <c r="Z424" s="182"/>
      <c r="AA424" s="182"/>
      <c r="AB424" s="182"/>
      <c r="AC424" s="182"/>
      <c r="AD424" s="182"/>
      <c r="AE424" s="182"/>
      <c r="AF424" s="182"/>
      <c r="AG424" s="182"/>
      <c r="AH424" s="182"/>
      <c r="AI424" s="182"/>
      <c r="AJ424" s="182"/>
      <c r="AK424" s="182"/>
      <c r="AL424" s="182"/>
      <c r="AM424" s="182"/>
      <c r="AN424" s="182"/>
      <c r="AO424" s="182"/>
      <c r="AP424" s="182"/>
      <c r="AQ424" s="182"/>
      <c r="AR424" s="182"/>
      <c r="AS424" s="182"/>
      <c r="AT424" s="182"/>
      <c r="AU424" s="182"/>
      <c r="AV424" s="182"/>
      <c r="AW424" s="182"/>
      <c r="AX424" s="182"/>
      <c r="AY424" s="182"/>
      <c r="AZ424" s="182"/>
      <c r="BA424" s="182"/>
      <c r="BB424" s="182"/>
      <c r="BC424" s="182"/>
      <c r="BD424" s="182"/>
      <c r="BE424" s="182"/>
      <c r="BF424" s="182"/>
      <c r="BG424" s="182"/>
      <c r="BH424" s="182"/>
      <c r="BI424" s="182"/>
      <c r="BJ424" s="182"/>
      <c r="BK424" s="182"/>
      <c r="BL424" s="182"/>
      <c r="BM424" s="182"/>
      <c r="BN424" s="182"/>
      <c r="BO424" s="182"/>
      <c r="BP424" s="182"/>
      <c r="BQ424" s="182"/>
      <c r="BR424" s="182"/>
      <c r="BS424" s="182"/>
      <c r="BT424" s="182"/>
      <c r="BU424" s="182"/>
      <c r="BV424" s="182"/>
      <c r="BW424" s="182"/>
      <c r="BX424" s="182"/>
      <c r="BY424" s="182"/>
      <c r="BZ424" s="182"/>
      <c r="CA424" s="182"/>
      <c r="CB424" s="182"/>
      <c r="CC424" s="182"/>
      <c r="CD424" s="182"/>
      <c r="CE424" s="182"/>
      <c r="CF424" s="182"/>
      <c r="CG424" s="182"/>
      <c r="CH424" s="182"/>
      <c r="CI424" s="182"/>
      <c r="CJ424" s="182"/>
      <c r="CK424" s="182"/>
      <c r="CL424" s="182"/>
      <c r="CM424" s="182"/>
      <c r="CN424" s="182"/>
      <c r="CO424" s="182"/>
      <c r="CP424" s="182"/>
      <c r="CQ424" s="182"/>
      <c r="CR424" s="182"/>
      <c r="CS424" s="182"/>
      <c r="CT424" s="182"/>
      <c r="CU424" s="182"/>
      <c r="CV424" s="182"/>
      <c r="CW424" s="182"/>
      <c r="CX424" s="182"/>
      <c r="CY424" s="182"/>
      <c r="CZ424" s="182"/>
      <c r="DA424" s="182"/>
      <c r="DB424" s="182"/>
      <c r="DC424" s="182"/>
      <c r="DD424" s="182"/>
      <c r="DE424" s="182"/>
      <c r="DF424" s="182"/>
      <c r="DG424" s="182"/>
      <c r="DH424" s="182"/>
      <c r="DI424" s="182"/>
      <c r="DJ424" s="182"/>
      <c r="DK424" s="182"/>
      <c r="DL424" s="182"/>
      <c r="DM424" s="182"/>
      <c r="DN424" s="182"/>
      <c r="DO424" s="182"/>
      <c r="DP424" s="182"/>
      <c r="DQ424" s="182"/>
      <c r="DR424" s="182"/>
      <c r="DS424" s="182"/>
      <c r="DT424" s="182"/>
      <c r="DU424" s="182"/>
      <c r="DV424" s="182"/>
      <c r="DW424" s="182"/>
      <c r="DX424" s="182"/>
      <c r="DY424" s="182"/>
      <c r="DZ424" s="182"/>
      <c r="EA424" s="182"/>
      <c r="EB424" s="182"/>
      <c r="EC424" s="182"/>
      <c r="ED424" s="182"/>
      <c r="EE424" s="182"/>
      <c r="EF424" s="182"/>
      <c r="EG424" s="182"/>
      <c r="EH424" s="182"/>
      <c r="EI424" s="182"/>
      <c r="EJ424" s="182"/>
      <c r="EK424" s="182"/>
      <c r="EL424" s="182"/>
      <c r="EM424" s="182"/>
      <c r="EN424" s="182"/>
      <c r="EO424" s="182"/>
      <c r="EP424" s="182"/>
      <c r="EQ424" s="182"/>
      <c r="ER424" s="182"/>
      <c r="ES424" s="182"/>
      <c r="ET424" s="182"/>
      <c r="EU424" s="182"/>
      <c r="EV424" s="182"/>
      <c r="EW424" s="182"/>
      <c r="EX424" s="182"/>
      <c r="EY424" s="182"/>
      <c r="EZ424" s="182"/>
      <c r="FA424" s="182"/>
      <c r="FB424" s="182"/>
      <c r="FC424" s="182"/>
      <c r="FD424" s="182"/>
      <c r="FE424" s="182"/>
      <c r="FF424" s="182"/>
      <c r="FG424" s="182"/>
      <c r="FH424" s="182"/>
      <c r="FI424" s="182"/>
      <c r="FJ424" s="182"/>
      <c r="FK424" s="182"/>
      <c r="FL424" s="182"/>
      <c r="FM424" s="182"/>
      <c r="FN424" s="182"/>
      <c r="FO424" s="182"/>
      <c r="FP424" s="182"/>
      <c r="FQ424" s="182"/>
      <c r="FR424" s="182"/>
      <c r="FS424" s="182"/>
      <c r="FT424" s="182"/>
      <c r="FU424" s="182"/>
      <c r="FV424" s="182"/>
      <c r="FW424" s="182"/>
      <c r="FX424" s="182"/>
      <c r="FY424" s="182"/>
      <c r="FZ424" s="182"/>
      <c r="GA424" s="182"/>
      <c r="GB424" s="182"/>
      <c r="GC424" s="182"/>
      <c r="GD424" s="182"/>
      <c r="GE424" s="182"/>
      <c r="GF424" s="182"/>
      <c r="GG424" s="182"/>
      <c r="GH424" s="182"/>
      <c r="GI424" s="182"/>
    </row>
    <row r="425" spans="1:191" s="183" customFormat="1" x14ac:dyDescent="0.2">
      <c r="A425" s="210" t="s">
        <v>38730</v>
      </c>
      <c r="B425" s="210" t="s">
        <v>20686</v>
      </c>
      <c r="C425" s="224" t="s">
        <v>22529</v>
      </c>
      <c r="D425" s="211" t="s">
        <v>16</v>
      </c>
      <c r="E425" s="211">
        <v>4</v>
      </c>
      <c r="F425" s="211"/>
      <c r="G425" s="211">
        <v>0.3</v>
      </c>
      <c r="H425" s="212"/>
      <c r="I425" s="213"/>
      <c r="J425" s="272">
        <v>88.15</v>
      </c>
      <c r="K425" s="112">
        <f t="shared" si="29"/>
        <v>352.6</v>
      </c>
      <c r="L425" s="273">
        <f>BDI!$E$17</f>
        <v>0.11260000000000001</v>
      </c>
      <c r="M425" s="213"/>
      <c r="N425" s="213"/>
      <c r="O425" s="114">
        <f t="shared" si="30"/>
        <v>98.08</v>
      </c>
      <c r="P425" s="113">
        <f t="shared" si="31"/>
        <v>117.7</v>
      </c>
      <c r="Q425" s="209"/>
      <c r="R425" s="203"/>
      <c r="S425" s="182"/>
      <c r="T425" s="182"/>
      <c r="U425" s="182"/>
      <c r="V425" s="182"/>
      <c r="W425" s="182"/>
      <c r="X425" s="182"/>
      <c r="Y425" s="182"/>
      <c r="Z425" s="182"/>
      <c r="AA425" s="182"/>
      <c r="AB425" s="182"/>
      <c r="AC425" s="182"/>
      <c r="AD425" s="182"/>
      <c r="AE425" s="182"/>
      <c r="AF425" s="182"/>
      <c r="AG425" s="182"/>
      <c r="AH425" s="182"/>
      <c r="AI425" s="182"/>
      <c r="AJ425" s="182"/>
      <c r="AK425" s="182"/>
      <c r="AL425" s="182"/>
      <c r="AM425" s="182"/>
      <c r="AN425" s="182"/>
      <c r="AO425" s="182"/>
      <c r="AP425" s="182"/>
      <c r="AQ425" s="182"/>
      <c r="AR425" s="182"/>
      <c r="AS425" s="182"/>
      <c r="AT425" s="182"/>
      <c r="AU425" s="182"/>
      <c r="AV425" s="182"/>
      <c r="AW425" s="182"/>
      <c r="AX425" s="182"/>
      <c r="AY425" s="182"/>
      <c r="AZ425" s="182"/>
      <c r="BA425" s="182"/>
      <c r="BB425" s="182"/>
      <c r="BC425" s="182"/>
      <c r="BD425" s="182"/>
      <c r="BE425" s="182"/>
      <c r="BF425" s="182"/>
      <c r="BG425" s="182"/>
      <c r="BH425" s="182"/>
      <c r="BI425" s="182"/>
      <c r="BJ425" s="182"/>
      <c r="BK425" s="182"/>
      <c r="BL425" s="182"/>
      <c r="BM425" s="182"/>
      <c r="BN425" s="182"/>
      <c r="BO425" s="182"/>
      <c r="BP425" s="182"/>
      <c r="BQ425" s="182"/>
      <c r="BR425" s="182"/>
      <c r="BS425" s="182"/>
      <c r="BT425" s="182"/>
      <c r="BU425" s="182"/>
      <c r="BV425" s="182"/>
      <c r="BW425" s="182"/>
      <c r="BX425" s="182"/>
      <c r="BY425" s="182"/>
      <c r="BZ425" s="182"/>
      <c r="CA425" s="182"/>
      <c r="CB425" s="182"/>
      <c r="CC425" s="182"/>
      <c r="CD425" s="182"/>
      <c r="CE425" s="182"/>
      <c r="CF425" s="182"/>
      <c r="CG425" s="182"/>
      <c r="CH425" s="182"/>
      <c r="CI425" s="182"/>
      <c r="CJ425" s="182"/>
      <c r="CK425" s="182"/>
      <c r="CL425" s="182"/>
      <c r="CM425" s="182"/>
      <c r="CN425" s="182"/>
      <c r="CO425" s="182"/>
      <c r="CP425" s="182"/>
      <c r="CQ425" s="182"/>
      <c r="CR425" s="182"/>
      <c r="CS425" s="182"/>
      <c r="CT425" s="182"/>
      <c r="CU425" s="182"/>
      <c r="CV425" s="182"/>
      <c r="CW425" s="182"/>
      <c r="CX425" s="182"/>
      <c r="CY425" s="182"/>
      <c r="CZ425" s="182"/>
      <c r="DA425" s="182"/>
      <c r="DB425" s="182"/>
      <c r="DC425" s="182"/>
      <c r="DD425" s="182"/>
      <c r="DE425" s="182"/>
      <c r="DF425" s="182"/>
      <c r="DG425" s="182"/>
      <c r="DH425" s="182"/>
      <c r="DI425" s="182"/>
      <c r="DJ425" s="182"/>
      <c r="DK425" s="182"/>
      <c r="DL425" s="182"/>
      <c r="DM425" s="182"/>
      <c r="DN425" s="182"/>
      <c r="DO425" s="182"/>
      <c r="DP425" s="182"/>
      <c r="DQ425" s="182"/>
      <c r="DR425" s="182"/>
      <c r="DS425" s="182"/>
      <c r="DT425" s="182"/>
      <c r="DU425" s="182"/>
      <c r="DV425" s="182"/>
      <c r="DW425" s="182"/>
      <c r="DX425" s="182"/>
      <c r="DY425" s="182"/>
      <c r="DZ425" s="182"/>
      <c r="EA425" s="182"/>
      <c r="EB425" s="182"/>
      <c r="EC425" s="182"/>
      <c r="ED425" s="182"/>
      <c r="EE425" s="182"/>
      <c r="EF425" s="182"/>
      <c r="EG425" s="182"/>
      <c r="EH425" s="182"/>
      <c r="EI425" s="182"/>
      <c r="EJ425" s="182"/>
      <c r="EK425" s="182"/>
      <c r="EL425" s="182"/>
      <c r="EM425" s="182"/>
      <c r="EN425" s="182"/>
      <c r="EO425" s="182"/>
      <c r="EP425" s="182"/>
      <c r="EQ425" s="182"/>
      <c r="ER425" s="182"/>
      <c r="ES425" s="182"/>
      <c r="ET425" s="182"/>
      <c r="EU425" s="182"/>
      <c r="EV425" s="182"/>
      <c r="EW425" s="182"/>
      <c r="EX425" s="182"/>
      <c r="EY425" s="182"/>
      <c r="EZ425" s="182"/>
      <c r="FA425" s="182"/>
      <c r="FB425" s="182"/>
      <c r="FC425" s="182"/>
      <c r="FD425" s="182"/>
      <c r="FE425" s="182"/>
      <c r="FF425" s="182"/>
      <c r="FG425" s="182"/>
      <c r="FH425" s="182"/>
      <c r="FI425" s="182"/>
      <c r="FJ425" s="182"/>
      <c r="FK425" s="182"/>
      <c r="FL425" s="182"/>
      <c r="FM425" s="182"/>
      <c r="FN425" s="182"/>
      <c r="FO425" s="182"/>
      <c r="FP425" s="182"/>
      <c r="FQ425" s="182"/>
      <c r="FR425" s="182"/>
      <c r="FS425" s="182"/>
      <c r="FT425" s="182"/>
      <c r="FU425" s="182"/>
      <c r="FV425" s="182"/>
      <c r="FW425" s="182"/>
      <c r="FX425" s="182"/>
      <c r="FY425" s="182"/>
      <c r="FZ425" s="182"/>
      <c r="GA425" s="182"/>
      <c r="GB425" s="182"/>
      <c r="GC425" s="182"/>
      <c r="GD425" s="182"/>
      <c r="GE425" s="182"/>
      <c r="GF425" s="182"/>
      <c r="GG425" s="182"/>
      <c r="GH425" s="182"/>
      <c r="GI425" s="182"/>
    </row>
    <row r="426" spans="1:191" s="183" customFormat="1" x14ac:dyDescent="0.2">
      <c r="A426" s="210" t="s">
        <v>38731</v>
      </c>
      <c r="B426" s="210" t="s">
        <v>20687</v>
      </c>
      <c r="C426" s="224" t="s">
        <v>22530</v>
      </c>
      <c r="D426" s="211" t="s">
        <v>16</v>
      </c>
      <c r="E426" s="211">
        <v>4</v>
      </c>
      <c r="F426" s="211"/>
      <c r="G426" s="211">
        <v>0.3</v>
      </c>
      <c r="H426" s="212"/>
      <c r="I426" s="213"/>
      <c r="J426" s="272">
        <v>47.96</v>
      </c>
      <c r="K426" s="112">
        <f t="shared" si="29"/>
        <v>191.84</v>
      </c>
      <c r="L426" s="273">
        <f>BDI!$E$17</f>
        <v>0.11260000000000001</v>
      </c>
      <c r="M426" s="213"/>
      <c r="N426" s="213"/>
      <c r="O426" s="114">
        <f t="shared" si="30"/>
        <v>53.36</v>
      </c>
      <c r="P426" s="113">
        <f t="shared" si="31"/>
        <v>64.03</v>
      </c>
      <c r="Q426" s="209"/>
      <c r="R426" s="203"/>
      <c r="S426" s="182"/>
      <c r="T426" s="182"/>
      <c r="U426" s="182"/>
      <c r="V426" s="182"/>
      <c r="W426" s="182"/>
      <c r="X426" s="182"/>
      <c r="Y426" s="182"/>
      <c r="Z426" s="182"/>
      <c r="AA426" s="182"/>
      <c r="AB426" s="182"/>
      <c r="AC426" s="182"/>
      <c r="AD426" s="182"/>
      <c r="AE426" s="182"/>
      <c r="AF426" s="182"/>
      <c r="AG426" s="182"/>
      <c r="AH426" s="182"/>
      <c r="AI426" s="182"/>
      <c r="AJ426" s="182"/>
      <c r="AK426" s="182"/>
      <c r="AL426" s="182"/>
      <c r="AM426" s="182"/>
      <c r="AN426" s="182"/>
      <c r="AO426" s="182"/>
      <c r="AP426" s="182"/>
      <c r="AQ426" s="182"/>
      <c r="AR426" s="182"/>
      <c r="AS426" s="182"/>
      <c r="AT426" s="182"/>
      <c r="AU426" s="182"/>
      <c r="AV426" s="182"/>
      <c r="AW426" s="182"/>
      <c r="AX426" s="182"/>
      <c r="AY426" s="182"/>
      <c r="AZ426" s="182"/>
      <c r="BA426" s="182"/>
      <c r="BB426" s="182"/>
      <c r="BC426" s="182"/>
      <c r="BD426" s="182"/>
      <c r="BE426" s="182"/>
      <c r="BF426" s="182"/>
      <c r="BG426" s="182"/>
      <c r="BH426" s="182"/>
      <c r="BI426" s="182"/>
      <c r="BJ426" s="182"/>
      <c r="BK426" s="182"/>
      <c r="BL426" s="182"/>
      <c r="BM426" s="182"/>
      <c r="BN426" s="182"/>
      <c r="BO426" s="182"/>
      <c r="BP426" s="182"/>
      <c r="BQ426" s="182"/>
      <c r="BR426" s="182"/>
      <c r="BS426" s="182"/>
      <c r="BT426" s="182"/>
      <c r="BU426" s="182"/>
      <c r="BV426" s="182"/>
      <c r="BW426" s="182"/>
      <c r="BX426" s="182"/>
      <c r="BY426" s="182"/>
      <c r="BZ426" s="182"/>
      <c r="CA426" s="182"/>
      <c r="CB426" s="182"/>
      <c r="CC426" s="182"/>
      <c r="CD426" s="182"/>
      <c r="CE426" s="182"/>
      <c r="CF426" s="182"/>
      <c r="CG426" s="182"/>
      <c r="CH426" s="182"/>
      <c r="CI426" s="182"/>
      <c r="CJ426" s="182"/>
      <c r="CK426" s="182"/>
      <c r="CL426" s="182"/>
      <c r="CM426" s="182"/>
      <c r="CN426" s="182"/>
      <c r="CO426" s="182"/>
      <c r="CP426" s="182"/>
      <c r="CQ426" s="182"/>
      <c r="CR426" s="182"/>
      <c r="CS426" s="182"/>
      <c r="CT426" s="182"/>
      <c r="CU426" s="182"/>
      <c r="CV426" s="182"/>
      <c r="CW426" s="182"/>
      <c r="CX426" s="182"/>
      <c r="CY426" s="182"/>
      <c r="CZ426" s="182"/>
      <c r="DA426" s="182"/>
      <c r="DB426" s="182"/>
      <c r="DC426" s="182"/>
      <c r="DD426" s="182"/>
      <c r="DE426" s="182"/>
      <c r="DF426" s="182"/>
      <c r="DG426" s="182"/>
      <c r="DH426" s="182"/>
      <c r="DI426" s="182"/>
      <c r="DJ426" s="182"/>
      <c r="DK426" s="182"/>
      <c r="DL426" s="182"/>
      <c r="DM426" s="182"/>
      <c r="DN426" s="182"/>
      <c r="DO426" s="182"/>
      <c r="DP426" s="182"/>
      <c r="DQ426" s="182"/>
      <c r="DR426" s="182"/>
      <c r="DS426" s="182"/>
      <c r="DT426" s="182"/>
      <c r="DU426" s="182"/>
      <c r="DV426" s="182"/>
      <c r="DW426" s="182"/>
      <c r="DX426" s="182"/>
      <c r="DY426" s="182"/>
      <c r="DZ426" s="182"/>
      <c r="EA426" s="182"/>
      <c r="EB426" s="182"/>
      <c r="EC426" s="182"/>
      <c r="ED426" s="182"/>
      <c r="EE426" s="182"/>
      <c r="EF426" s="182"/>
      <c r="EG426" s="182"/>
      <c r="EH426" s="182"/>
      <c r="EI426" s="182"/>
      <c r="EJ426" s="182"/>
      <c r="EK426" s="182"/>
      <c r="EL426" s="182"/>
      <c r="EM426" s="182"/>
      <c r="EN426" s="182"/>
      <c r="EO426" s="182"/>
      <c r="EP426" s="182"/>
      <c r="EQ426" s="182"/>
      <c r="ER426" s="182"/>
      <c r="ES426" s="182"/>
      <c r="ET426" s="182"/>
      <c r="EU426" s="182"/>
      <c r="EV426" s="182"/>
      <c r="EW426" s="182"/>
      <c r="EX426" s="182"/>
      <c r="EY426" s="182"/>
      <c r="EZ426" s="182"/>
      <c r="FA426" s="182"/>
      <c r="FB426" s="182"/>
      <c r="FC426" s="182"/>
      <c r="FD426" s="182"/>
      <c r="FE426" s="182"/>
      <c r="FF426" s="182"/>
      <c r="FG426" s="182"/>
      <c r="FH426" s="182"/>
      <c r="FI426" s="182"/>
      <c r="FJ426" s="182"/>
      <c r="FK426" s="182"/>
      <c r="FL426" s="182"/>
      <c r="FM426" s="182"/>
      <c r="FN426" s="182"/>
      <c r="FO426" s="182"/>
      <c r="FP426" s="182"/>
      <c r="FQ426" s="182"/>
      <c r="FR426" s="182"/>
      <c r="FS426" s="182"/>
      <c r="FT426" s="182"/>
      <c r="FU426" s="182"/>
      <c r="FV426" s="182"/>
      <c r="FW426" s="182"/>
      <c r="FX426" s="182"/>
      <c r="FY426" s="182"/>
      <c r="FZ426" s="182"/>
      <c r="GA426" s="182"/>
      <c r="GB426" s="182"/>
      <c r="GC426" s="182"/>
      <c r="GD426" s="182"/>
      <c r="GE426" s="182"/>
      <c r="GF426" s="182"/>
      <c r="GG426" s="182"/>
      <c r="GH426" s="182"/>
      <c r="GI426" s="182"/>
    </row>
    <row r="427" spans="1:191" s="183" customFormat="1" x14ac:dyDescent="0.2">
      <c r="A427" s="210" t="s">
        <v>38732</v>
      </c>
      <c r="B427" s="210" t="s">
        <v>20688</v>
      </c>
      <c r="C427" s="224" t="s">
        <v>22531</v>
      </c>
      <c r="D427" s="211" t="s">
        <v>16</v>
      </c>
      <c r="E427" s="211">
        <v>2</v>
      </c>
      <c r="F427" s="211"/>
      <c r="G427" s="211">
        <v>0.3</v>
      </c>
      <c r="H427" s="212"/>
      <c r="I427" s="213"/>
      <c r="J427" s="272">
        <v>181.46</v>
      </c>
      <c r="K427" s="112">
        <f t="shared" si="29"/>
        <v>362.92</v>
      </c>
      <c r="L427" s="273">
        <f>BDI!$E$17</f>
        <v>0.11260000000000001</v>
      </c>
      <c r="M427" s="213"/>
      <c r="N427" s="213"/>
      <c r="O427" s="114">
        <f t="shared" si="30"/>
        <v>201.89</v>
      </c>
      <c r="P427" s="113">
        <f t="shared" si="31"/>
        <v>121.13</v>
      </c>
      <c r="Q427" s="209"/>
      <c r="R427" s="203"/>
      <c r="S427" s="182"/>
      <c r="T427" s="182"/>
      <c r="U427" s="182"/>
      <c r="V427" s="182"/>
      <c r="W427" s="182"/>
      <c r="X427" s="182"/>
      <c r="Y427" s="182"/>
      <c r="Z427" s="182"/>
      <c r="AA427" s="182"/>
      <c r="AB427" s="182"/>
      <c r="AC427" s="182"/>
      <c r="AD427" s="182"/>
      <c r="AE427" s="182"/>
      <c r="AF427" s="182"/>
      <c r="AG427" s="182"/>
      <c r="AH427" s="182"/>
      <c r="AI427" s="182"/>
      <c r="AJ427" s="182"/>
      <c r="AK427" s="182"/>
      <c r="AL427" s="182"/>
      <c r="AM427" s="182"/>
      <c r="AN427" s="182"/>
      <c r="AO427" s="182"/>
      <c r="AP427" s="182"/>
      <c r="AQ427" s="182"/>
      <c r="AR427" s="182"/>
      <c r="AS427" s="182"/>
      <c r="AT427" s="182"/>
      <c r="AU427" s="182"/>
      <c r="AV427" s="182"/>
      <c r="AW427" s="182"/>
      <c r="AX427" s="182"/>
      <c r="AY427" s="182"/>
      <c r="AZ427" s="182"/>
      <c r="BA427" s="182"/>
      <c r="BB427" s="182"/>
      <c r="BC427" s="182"/>
      <c r="BD427" s="182"/>
      <c r="BE427" s="182"/>
      <c r="BF427" s="182"/>
      <c r="BG427" s="182"/>
      <c r="BH427" s="182"/>
      <c r="BI427" s="182"/>
      <c r="BJ427" s="182"/>
      <c r="BK427" s="182"/>
      <c r="BL427" s="182"/>
      <c r="BM427" s="182"/>
      <c r="BN427" s="182"/>
      <c r="BO427" s="182"/>
      <c r="BP427" s="182"/>
      <c r="BQ427" s="182"/>
      <c r="BR427" s="182"/>
      <c r="BS427" s="182"/>
      <c r="BT427" s="182"/>
      <c r="BU427" s="182"/>
      <c r="BV427" s="182"/>
      <c r="BW427" s="182"/>
      <c r="BX427" s="182"/>
      <c r="BY427" s="182"/>
      <c r="BZ427" s="182"/>
      <c r="CA427" s="182"/>
      <c r="CB427" s="182"/>
      <c r="CC427" s="182"/>
      <c r="CD427" s="182"/>
      <c r="CE427" s="182"/>
      <c r="CF427" s="182"/>
      <c r="CG427" s="182"/>
      <c r="CH427" s="182"/>
      <c r="CI427" s="182"/>
      <c r="CJ427" s="182"/>
      <c r="CK427" s="182"/>
      <c r="CL427" s="182"/>
      <c r="CM427" s="182"/>
      <c r="CN427" s="182"/>
      <c r="CO427" s="182"/>
      <c r="CP427" s="182"/>
      <c r="CQ427" s="182"/>
      <c r="CR427" s="182"/>
      <c r="CS427" s="182"/>
      <c r="CT427" s="182"/>
      <c r="CU427" s="182"/>
      <c r="CV427" s="182"/>
      <c r="CW427" s="182"/>
      <c r="CX427" s="182"/>
      <c r="CY427" s="182"/>
      <c r="CZ427" s="182"/>
      <c r="DA427" s="182"/>
      <c r="DB427" s="182"/>
      <c r="DC427" s="182"/>
      <c r="DD427" s="182"/>
      <c r="DE427" s="182"/>
      <c r="DF427" s="182"/>
      <c r="DG427" s="182"/>
      <c r="DH427" s="182"/>
      <c r="DI427" s="182"/>
      <c r="DJ427" s="182"/>
      <c r="DK427" s="182"/>
      <c r="DL427" s="182"/>
      <c r="DM427" s="182"/>
      <c r="DN427" s="182"/>
      <c r="DO427" s="182"/>
      <c r="DP427" s="182"/>
      <c r="DQ427" s="182"/>
      <c r="DR427" s="182"/>
      <c r="DS427" s="182"/>
      <c r="DT427" s="182"/>
      <c r="DU427" s="182"/>
      <c r="DV427" s="182"/>
      <c r="DW427" s="182"/>
      <c r="DX427" s="182"/>
      <c r="DY427" s="182"/>
      <c r="DZ427" s="182"/>
      <c r="EA427" s="182"/>
      <c r="EB427" s="182"/>
      <c r="EC427" s="182"/>
      <c r="ED427" s="182"/>
      <c r="EE427" s="182"/>
      <c r="EF427" s="182"/>
      <c r="EG427" s="182"/>
      <c r="EH427" s="182"/>
      <c r="EI427" s="182"/>
      <c r="EJ427" s="182"/>
      <c r="EK427" s="182"/>
      <c r="EL427" s="182"/>
      <c r="EM427" s="182"/>
      <c r="EN427" s="182"/>
      <c r="EO427" s="182"/>
      <c r="EP427" s="182"/>
      <c r="EQ427" s="182"/>
      <c r="ER427" s="182"/>
      <c r="ES427" s="182"/>
      <c r="ET427" s="182"/>
      <c r="EU427" s="182"/>
      <c r="EV427" s="182"/>
      <c r="EW427" s="182"/>
      <c r="EX427" s="182"/>
      <c r="EY427" s="182"/>
      <c r="EZ427" s="182"/>
      <c r="FA427" s="182"/>
      <c r="FB427" s="182"/>
      <c r="FC427" s="182"/>
      <c r="FD427" s="182"/>
      <c r="FE427" s="182"/>
      <c r="FF427" s="182"/>
      <c r="FG427" s="182"/>
      <c r="FH427" s="182"/>
      <c r="FI427" s="182"/>
      <c r="FJ427" s="182"/>
      <c r="FK427" s="182"/>
      <c r="FL427" s="182"/>
      <c r="FM427" s="182"/>
      <c r="FN427" s="182"/>
      <c r="FO427" s="182"/>
      <c r="FP427" s="182"/>
      <c r="FQ427" s="182"/>
      <c r="FR427" s="182"/>
      <c r="FS427" s="182"/>
      <c r="FT427" s="182"/>
      <c r="FU427" s="182"/>
      <c r="FV427" s="182"/>
      <c r="FW427" s="182"/>
      <c r="FX427" s="182"/>
      <c r="FY427" s="182"/>
      <c r="FZ427" s="182"/>
      <c r="GA427" s="182"/>
      <c r="GB427" s="182"/>
      <c r="GC427" s="182"/>
      <c r="GD427" s="182"/>
      <c r="GE427" s="182"/>
      <c r="GF427" s="182"/>
      <c r="GG427" s="182"/>
      <c r="GH427" s="182"/>
      <c r="GI427" s="182"/>
    </row>
    <row r="428" spans="1:191" s="183" customFormat="1" x14ac:dyDescent="0.2">
      <c r="A428" s="210" t="s">
        <v>38733</v>
      </c>
      <c r="B428" s="210" t="s">
        <v>20689</v>
      </c>
      <c r="C428" s="224" t="s">
        <v>22532</v>
      </c>
      <c r="D428" s="211" t="s">
        <v>16</v>
      </c>
      <c r="E428" s="211">
        <v>2</v>
      </c>
      <c r="F428" s="211"/>
      <c r="G428" s="211">
        <v>0.3</v>
      </c>
      <c r="H428" s="212"/>
      <c r="I428" s="213"/>
      <c r="J428" s="272">
        <v>321.88</v>
      </c>
      <c r="K428" s="112">
        <f t="shared" si="29"/>
        <v>643.76</v>
      </c>
      <c r="L428" s="273">
        <f>BDI!$E$17</f>
        <v>0.11260000000000001</v>
      </c>
      <c r="M428" s="213"/>
      <c r="N428" s="213"/>
      <c r="O428" s="114">
        <f t="shared" si="30"/>
        <v>358.12</v>
      </c>
      <c r="P428" s="113">
        <f t="shared" si="31"/>
        <v>214.87</v>
      </c>
      <c r="Q428" s="209"/>
      <c r="R428" s="203"/>
      <c r="S428" s="182"/>
      <c r="T428" s="182"/>
      <c r="U428" s="182"/>
      <c r="V428" s="182"/>
      <c r="W428" s="182"/>
      <c r="X428" s="182"/>
      <c r="Y428" s="182"/>
      <c r="Z428" s="182"/>
      <c r="AA428" s="182"/>
      <c r="AB428" s="182"/>
      <c r="AC428" s="182"/>
      <c r="AD428" s="182"/>
      <c r="AE428" s="182"/>
      <c r="AF428" s="182"/>
      <c r="AG428" s="182"/>
      <c r="AH428" s="182"/>
      <c r="AI428" s="182"/>
      <c r="AJ428" s="182"/>
      <c r="AK428" s="182"/>
      <c r="AL428" s="182"/>
      <c r="AM428" s="182"/>
      <c r="AN428" s="182"/>
      <c r="AO428" s="182"/>
      <c r="AP428" s="182"/>
      <c r="AQ428" s="182"/>
      <c r="AR428" s="182"/>
      <c r="AS428" s="182"/>
      <c r="AT428" s="182"/>
      <c r="AU428" s="182"/>
      <c r="AV428" s="182"/>
      <c r="AW428" s="182"/>
      <c r="AX428" s="182"/>
      <c r="AY428" s="182"/>
      <c r="AZ428" s="182"/>
      <c r="BA428" s="182"/>
      <c r="BB428" s="182"/>
      <c r="BC428" s="182"/>
      <c r="BD428" s="182"/>
      <c r="BE428" s="182"/>
      <c r="BF428" s="182"/>
      <c r="BG428" s="182"/>
      <c r="BH428" s="182"/>
      <c r="BI428" s="182"/>
      <c r="BJ428" s="182"/>
      <c r="BK428" s="182"/>
      <c r="BL428" s="182"/>
      <c r="BM428" s="182"/>
      <c r="BN428" s="182"/>
      <c r="BO428" s="182"/>
      <c r="BP428" s="182"/>
      <c r="BQ428" s="182"/>
      <c r="BR428" s="182"/>
      <c r="BS428" s="182"/>
      <c r="BT428" s="182"/>
      <c r="BU428" s="182"/>
      <c r="BV428" s="182"/>
      <c r="BW428" s="182"/>
      <c r="BX428" s="182"/>
      <c r="BY428" s="182"/>
      <c r="BZ428" s="182"/>
      <c r="CA428" s="182"/>
      <c r="CB428" s="182"/>
      <c r="CC428" s="182"/>
      <c r="CD428" s="182"/>
      <c r="CE428" s="182"/>
      <c r="CF428" s="182"/>
      <c r="CG428" s="182"/>
      <c r="CH428" s="182"/>
      <c r="CI428" s="182"/>
      <c r="CJ428" s="182"/>
      <c r="CK428" s="182"/>
      <c r="CL428" s="182"/>
      <c r="CM428" s="182"/>
      <c r="CN428" s="182"/>
      <c r="CO428" s="182"/>
      <c r="CP428" s="182"/>
      <c r="CQ428" s="182"/>
      <c r="CR428" s="182"/>
      <c r="CS428" s="182"/>
      <c r="CT428" s="182"/>
      <c r="CU428" s="182"/>
      <c r="CV428" s="182"/>
      <c r="CW428" s="182"/>
      <c r="CX428" s="182"/>
      <c r="CY428" s="182"/>
      <c r="CZ428" s="182"/>
      <c r="DA428" s="182"/>
      <c r="DB428" s="182"/>
      <c r="DC428" s="182"/>
      <c r="DD428" s="182"/>
      <c r="DE428" s="182"/>
      <c r="DF428" s="182"/>
      <c r="DG428" s="182"/>
      <c r="DH428" s="182"/>
      <c r="DI428" s="182"/>
      <c r="DJ428" s="182"/>
      <c r="DK428" s="182"/>
      <c r="DL428" s="182"/>
      <c r="DM428" s="182"/>
      <c r="DN428" s="182"/>
      <c r="DO428" s="182"/>
      <c r="DP428" s="182"/>
      <c r="DQ428" s="182"/>
      <c r="DR428" s="182"/>
      <c r="DS428" s="182"/>
      <c r="DT428" s="182"/>
      <c r="DU428" s="182"/>
      <c r="DV428" s="182"/>
      <c r="DW428" s="182"/>
      <c r="DX428" s="182"/>
      <c r="DY428" s="182"/>
      <c r="DZ428" s="182"/>
      <c r="EA428" s="182"/>
      <c r="EB428" s="182"/>
      <c r="EC428" s="182"/>
      <c r="ED428" s="182"/>
      <c r="EE428" s="182"/>
      <c r="EF428" s="182"/>
      <c r="EG428" s="182"/>
      <c r="EH428" s="182"/>
      <c r="EI428" s="182"/>
      <c r="EJ428" s="182"/>
      <c r="EK428" s="182"/>
      <c r="EL428" s="182"/>
      <c r="EM428" s="182"/>
      <c r="EN428" s="182"/>
      <c r="EO428" s="182"/>
      <c r="EP428" s="182"/>
      <c r="EQ428" s="182"/>
      <c r="ER428" s="182"/>
      <c r="ES428" s="182"/>
      <c r="ET428" s="182"/>
      <c r="EU428" s="182"/>
      <c r="EV428" s="182"/>
      <c r="EW428" s="182"/>
      <c r="EX428" s="182"/>
      <c r="EY428" s="182"/>
      <c r="EZ428" s="182"/>
      <c r="FA428" s="182"/>
      <c r="FB428" s="182"/>
      <c r="FC428" s="182"/>
      <c r="FD428" s="182"/>
      <c r="FE428" s="182"/>
      <c r="FF428" s="182"/>
      <c r="FG428" s="182"/>
      <c r="FH428" s="182"/>
      <c r="FI428" s="182"/>
      <c r="FJ428" s="182"/>
      <c r="FK428" s="182"/>
      <c r="FL428" s="182"/>
      <c r="FM428" s="182"/>
      <c r="FN428" s="182"/>
      <c r="FO428" s="182"/>
      <c r="FP428" s="182"/>
      <c r="FQ428" s="182"/>
      <c r="FR428" s="182"/>
      <c r="FS428" s="182"/>
      <c r="FT428" s="182"/>
      <c r="FU428" s="182"/>
      <c r="FV428" s="182"/>
      <c r="FW428" s="182"/>
      <c r="FX428" s="182"/>
      <c r="FY428" s="182"/>
      <c r="FZ428" s="182"/>
      <c r="GA428" s="182"/>
      <c r="GB428" s="182"/>
      <c r="GC428" s="182"/>
      <c r="GD428" s="182"/>
      <c r="GE428" s="182"/>
      <c r="GF428" s="182"/>
      <c r="GG428" s="182"/>
      <c r="GH428" s="182"/>
      <c r="GI428" s="182"/>
    </row>
    <row r="429" spans="1:191" s="183" customFormat="1" x14ac:dyDescent="0.2">
      <c r="A429" s="210" t="s">
        <v>38734</v>
      </c>
      <c r="B429" s="210" t="s">
        <v>20690</v>
      </c>
      <c r="C429" s="224" t="s">
        <v>22533</v>
      </c>
      <c r="D429" s="211" t="s">
        <v>69</v>
      </c>
      <c r="E429" s="211">
        <v>30</v>
      </c>
      <c r="F429" s="211"/>
      <c r="G429" s="211">
        <v>0.3</v>
      </c>
      <c r="H429" s="212"/>
      <c r="I429" s="213"/>
      <c r="J429" s="272">
        <v>594.22</v>
      </c>
      <c r="K429" s="112">
        <f t="shared" si="29"/>
        <v>17826.599999999999</v>
      </c>
      <c r="L429" s="273">
        <f>BDI!$E$17</f>
        <v>0.11260000000000001</v>
      </c>
      <c r="M429" s="213"/>
      <c r="N429" s="213"/>
      <c r="O429" s="114">
        <f t="shared" si="30"/>
        <v>661.13</v>
      </c>
      <c r="P429" s="113">
        <f t="shared" si="31"/>
        <v>5950.17</v>
      </c>
      <c r="Q429" s="209"/>
      <c r="R429" s="203"/>
      <c r="S429" s="182"/>
      <c r="T429" s="182"/>
      <c r="U429" s="182"/>
      <c r="V429" s="182"/>
      <c r="W429" s="182"/>
      <c r="X429" s="182"/>
      <c r="Y429" s="182"/>
      <c r="Z429" s="182"/>
      <c r="AA429" s="182"/>
      <c r="AB429" s="182"/>
      <c r="AC429" s="182"/>
      <c r="AD429" s="182"/>
      <c r="AE429" s="182"/>
      <c r="AF429" s="182"/>
      <c r="AG429" s="182"/>
      <c r="AH429" s="182"/>
      <c r="AI429" s="182"/>
      <c r="AJ429" s="182"/>
      <c r="AK429" s="182"/>
      <c r="AL429" s="182"/>
      <c r="AM429" s="182"/>
      <c r="AN429" s="182"/>
      <c r="AO429" s="182"/>
      <c r="AP429" s="182"/>
      <c r="AQ429" s="182"/>
      <c r="AR429" s="182"/>
      <c r="AS429" s="182"/>
      <c r="AT429" s="182"/>
      <c r="AU429" s="182"/>
      <c r="AV429" s="182"/>
      <c r="AW429" s="182"/>
      <c r="AX429" s="182"/>
      <c r="AY429" s="182"/>
      <c r="AZ429" s="182"/>
      <c r="BA429" s="182"/>
      <c r="BB429" s="182"/>
      <c r="BC429" s="182"/>
      <c r="BD429" s="182"/>
      <c r="BE429" s="182"/>
      <c r="BF429" s="182"/>
      <c r="BG429" s="182"/>
      <c r="BH429" s="182"/>
      <c r="BI429" s="182"/>
      <c r="BJ429" s="182"/>
      <c r="BK429" s="182"/>
      <c r="BL429" s="182"/>
      <c r="BM429" s="182"/>
      <c r="BN429" s="182"/>
      <c r="BO429" s="182"/>
      <c r="BP429" s="182"/>
      <c r="BQ429" s="182"/>
      <c r="BR429" s="182"/>
      <c r="BS429" s="182"/>
      <c r="BT429" s="182"/>
      <c r="BU429" s="182"/>
      <c r="BV429" s="182"/>
      <c r="BW429" s="182"/>
      <c r="BX429" s="182"/>
      <c r="BY429" s="182"/>
      <c r="BZ429" s="182"/>
      <c r="CA429" s="182"/>
      <c r="CB429" s="182"/>
      <c r="CC429" s="182"/>
      <c r="CD429" s="182"/>
      <c r="CE429" s="182"/>
      <c r="CF429" s="182"/>
      <c r="CG429" s="182"/>
      <c r="CH429" s="182"/>
      <c r="CI429" s="182"/>
      <c r="CJ429" s="182"/>
      <c r="CK429" s="182"/>
      <c r="CL429" s="182"/>
      <c r="CM429" s="182"/>
      <c r="CN429" s="182"/>
      <c r="CO429" s="182"/>
      <c r="CP429" s="182"/>
      <c r="CQ429" s="182"/>
      <c r="CR429" s="182"/>
      <c r="CS429" s="182"/>
      <c r="CT429" s="182"/>
      <c r="CU429" s="182"/>
      <c r="CV429" s="182"/>
      <c r="CW429" s="182"/>
      <c r="CX429" s="182"/>
      <c r="CY429" s="182"/>
      <c r="CZ429" s="182"/>
      <c r="DA429" s="182"/>
      <c r="DB429" s="182"/>
      <c r="DC429" s="182"/>
      <c r="DD429" s="182"/>
      <c r="DE429" s="182"/>
      <c r="DF429" s="182"/>
      <c r="DG429" s="182"/>
      <c r="DH429" s="182"/>
      <c r="DI429" s="182"/>
      <c r="DJ429" s="182"/>
      <c r="DK429" s="182"/>
      <c r="DL429" s="182"/>
      <c r="DM429" s="182"/>
      <c r="DN429" s="182"/>
      <c r="DO429" s="182"/>
      <c r="DP429" s="182"/>
      <c r="DQ429" s="182"/>
      <c r="DR429" s="182"/>
      <c r="DS429" s="182"/>
      <c r="DT429" s="182"/>
      <c r="DU429" s="182"/>
      <c r="DV429" s="182"/>
      <c r="DW429" s="182"/>
      <c r="DX429" s="182"/>
      <c r="DY429" s="182"/>
      <c r="DZ429" s="182"/>
      <c r="EA429" s="182"/>
      <c r="EB429" s="182"/>
      <c r="EC429" s="182"/>
      <c r="ED429" s="182"/>
      <c r="EE429" s="182"/>
      <c r="EF429" s="182"/>
      <c r="EG429" s="182"/>
      <c r="EH429" s="182"/>
      <c r="EI429" s="182"/>
      <c r="EJ429" s="182"/>
      <c r="EK429" s="182"/>
      <c r="EL429" s="182"/>
      <c r="EM429" s="182"/>
      <c r="EN429" s="182"/>
      <c r="EO429" s="182"/>
      <c r="EP429" s="182"/>
      <c r="EQ429" s="182"/>
      <c r="ER429" s="182"/>
      <c r="ES429" s="182"/>
      <c r="ET429" s="182"/>
      <c r="EU429" s="182"/>
      <c r="EV429" s="182"/>
      <c r="EW429" s="182"/>
      <c r="EX429" s="182"/>
      <c r="EY429" s="182"/>
      <c r="EZ429" s="182"/>
      <c r="FA429" s="182"/>
      <c r="FB429" s="182"/>
      <c r="FC429" s="182"/>
      <c r="FD429" s="182"/>
      <c r="FE429" s="182"/>
      <c r="FF429" s="182"/>
      <c r="FG429" s="182"/>
      <c r="FH429" s="182"/>
      <c r="FI429" s="182"/>
      <c r="FJ429" s="182"/>
      <c r="FK429" s="182"/>
      <c r="FL429" s="182"/>
      <c r="FM429" s="182"/>
      <c r="FN429" s="182"/>
      <c r="FO429" s="182"/>
      <c r="FP429" s="182"/>
      <c r="FQ429" s="182"/>
      <c r="FR429" s="182"/>
      <c r="FS429" s="182"/>
      <c r="FT429" s="182"/>
      <c r="FU429" s="182"/>
      <c r="FV429" s="182"/>
      <c r="FW429" s="182"/>
      <c r="FX429" s="182"/>
      <c r="FY429" s="182"/>
      <c r="FZ429" s="182"/>
      <c r="GA429" s="182"/>
      <c r="GB429" s="182"/>
      <c r="GC429" s="182"/>
      <c r="GD429" s="182"/>
      <c r="GE429" s="182"/>
      <c r="GF429" s="182"/>
      <c r="GG429" s="182"/>
      <c r="GH429" s="182"/>
      <c r="GI429" s="182"/>
    </row>
    <row r="430" spans="1:191" s="183" customFormat="1" x14ac:dyDescent="0.2">
      <c r="A430" s="210" t="s">
        <v>38735</v>
      </c>
      <c r="B430" s="210" t="s">
        <v>20691</v>
      </c>
      <c r="C430" s="224" t="s">
        <v>22534</v>
      </c>
      <c r="D430" s="211" t="s">
        <v>16</v>
      </c>
      <c r="E430" s="211">
        <v>4</v>
      </c>
      <c r="F430" s="211"/>
      <c r="G430" s="211">
        <v>0.3</v>
      </c>
      <c r="H430" s="212"/>
      <c r="I430" s="213"/>
      <c r="J430" s="272">
        <v>169.23</v>
      </c>
      <c r="K430" s="112">
        <f t="shared" si="29"/>
        <v>676.92</v>
      </c>
      <c r="L430" s="273">
        <f>BDI!$E$17</f>
        <v>0.11260000000000001</v>
      </c>
      <c r="M430" s="213"/>
      <c r="N430" s="213"/>
      <c r="O430" s="114">
        <f t="shared" si="30"/>
        <v>188.29</v>
      </c>
      <c r="P430" s="113">
        <f t="shared" si="31"/>
        <v>225.95</v>
      </c>
      <c r="Q430" s="209"/>
      <c r="R430" s="203"/>
      <c r="S430" s="182"/>
      <c r="T430" s="182"/>
      <c r="U430" s="182"/>
      <c r="V430" s="182"/>
      <c r="W430" s="182"/>
      <c r="X430" s="182"/>
      <c r="Y430" s="182"/>
      <c r="Z430" s="182"/>
      <c r="AA430" s="182"/>
      <c r="AB430" s="182"/>
      <c r="AC430" s="182"/>
      <c r="AD430" s="182"/>
      <c r="AE430" s="182"/>
      <c r="AF430" s="182"/>
      <c r="AG430" s="182"/>
      <c r="AH430" s="182"/>
      <c r="AI430" s="182"/>
      <c r="AJ430" s="182"/>
      <c r="AK430" s="182"/>
      <c r="AL430" s="182"/>
      <c r="AM430" s="182"/>
      <c r="AN430" s="182"/>
      <c r="AO430" s="182"/>
      <c r="AP430" s="182"/>
      <c r="AQ430" s="182"/>
      <c r="AR430" s="182"/>
      <c r="AS430" s="182"/>
      <c r="AT430" s="182"/>
      <c r="AU430" s="182"/>
      <c r="AV430" s="182"/>
      <c r="AW430" s="182"/>
      <c r="AX430" s="182"/>
      <c r="AY430" s="182"/>
      <c r="AZ430" s="182"/>
      <c r="BA430" s="182"/>
      <c r="BB430" s="182"/>
      <c r="BC430" s="182"/>
      <c r="BD430" s="182"/>
      <c r="BE430" s="182"/>
      <c r="BF430" s="182"/>
      <c r="BG430" s="182"/>
      <c r="BH430" s="182"/>
      <c r="BI430" s="182"/>
      <c r="BJ430" s="182"/>
      <c r="BK430" s="182"/>
      <c r="BL430" s="182"/>
      <c r="BM430" s="182"/>
      <c r="BN430" s="182"/>
      <c r="BO430" s="182"/>
      <c r="BP430" s="182"/>
      <c r="BQ430" s="182"/>
      <c r="BR430" s="182"/>
      <c r="BS430" s="182"/>
      <c r="BT430" s="182"/>
      <c r="BU430" s="182"/>
      <c r="BV430" s="182"/>
      <c r="BW430" s="182"/>
      <c r="BX430" s="182"/>
      <c r="BY430" s="182"/>
      <c r="BZ430" s="182"/>
      <c r="CA430" s="182"/>
      <c r="CB430" s="182"/>
      <c r="CC430" s="182"/>
      <c r="CD430" s="182"/>
      <c r="CE430" s="182"/>
      <c r="CF430" s="182"/>
      <c r="CG430" s="182"/>
      <c r="CH430" s="182"/>
      <c r="CI430" s="182"/>
      <c r="CJ430" s="182"/>
      <c r="CK430" s="182"/>
      <c r="CL430" s="182"/>
      <c r="CM430" s="182"/>
      <c r="CN430" s="182"/>
      <c r="CO430" s="182"/>
      <c r="CP430" s="182"/>
      <c r="CQ430" s="182"/>
      <c r="CR430" s="182"/>
      <c r="CS430" s="182"/>
      <c r="CT430" s="182"/>
      <c r="CU430" s="182"/>
      <c r="CV430" s="182"/>
      <c r="CW430" s="182"/>
      <c r="CX430" s="182"/>
      <c r="CY430" s="182"/>
      <c r="CZ430" s="182"/>
      <c r="DA430" s="182"/>
      <c r="DB430" s="182"/>
      <c r="DC430" s="182"/>
      <c r="DD430" s="182"/>
      <c r="DE430" s="182"/>
      <c r="DF430" s="182"/>
      <c r="DG430" s="182"/>
      <c r="DH430" s="182"/>
      <c r="DI430" s="182"/>
      <c r="DJ430" s="182"/>
      <c r="DK430" s="182"/>
      <c r="DL430" s="182"/>
      <c r="DM430" s="182"/>
      <c r="DN430" s="182"/>
      <c r="DO430" s="182"/>
      <c r="DP430" s="182"/>
      <c r="DQ430" s="182"/>
      <c r="DR430" s="182"/>
      <c r="DS430" s="182"/>
      <c r="DT430" s="182"/>
      <c r="DU430" s="182"/>
      <c r="DV430" s="182"/>
      <c r="DW430" s="182"/>
      <c r="DX430" s="182"/>
      <c r="DY430" s="182"/>
      <c r="DZ430" s="182"/>
      <c r="EA430" s="182"/>
      <c r="EB430" s="182"/>
      <c r="EC430" s="182"/>
      <c r="ED430" s="182"/>
      <c r="EE430" s="182"/>
      <c r="EF430" s="182"/>
      <c r="EG430" s="182"/>
      <c r="EH430" s="182"/>
      <c r="EI430" s="182"/>
      <c r="EJ430" s="182"/>
      <c r="EK430" s="182"/>
      <c r="EL430" s="182"/>
      <c r="EM430" s="182"/>
      <c r="EN430" s="182"/>
      <c r="EO430" s="182"/>
      <c r="EP430" s="182"/>
      <c r="EQ430" s="182"/>
      <c r="ER430" s="182"/>
      <c r="ES430" s="182"/>
      <c r="ET430" s="182"/>
      <c r="EU430" s="182"/>
      <c r="EV430" s="182"/>
      <c r="EW430" s="182"/>
      <c r="EX430" s="182"/>
      <c r="EY430" s="182"/>
      <c r="EZ430" s="182"/>
      <c r="FA430" s="182"/>
      <c r="FB430" s="182"/>
      <c r="FC430" s="182"/>
      <c r="FD430" s="182"/>
      <c r="FE430" s="182"/>
      <c r="FF430" s="182"/>
      <c r="FG430" s="182"/>
      <c r="FH430" s="182"/>
      <c r="FI430" s="182"/>
      <c r="FJ430" s="182"/>
      <c r="FK430" s="182"/>
      <c r="FL430" s="182"/>
      <c r="FM430" s="182"/>
      <c r="FN430" s="182"/>
      <c r="FO430" s="182"/>
      <c r="FP430" s="182"/>
      <c r="FQ430" s="182"/>
      <c r="FR430" s="182"/>
      <c r="FS430" s="182"/>
      <c r="FT430" s="182"/>
      <c r="FU430" s="182"/>
      <c r="FV430" s="182"/>
      <c r="FW430" s="182"/>
      <c r="FX430" s="182"/>
      <c r="FY430" s="182"/>
      <c r="FZ430" s="182"/>
      <c r="GA430" s="182"/>
      <c r="GB430" s="182"/>
      <c r="GC430" s="182"/>
      <c r="GD430" s="182"/>
      <c r="GE430" s="182"/>
      <c r="GF430" s="182"/>
      <c r="GG430" s="182"/>
      <c r="GH430" s="182"/>
      <c r="GI430" s="182"/>
    </row>
    <row r="431" spans="1:191" s="183" customFormat="1" x14ac:dyDescent="0.2">
      <c r="A431" s="210" t="s">
        <v>38736</v>
      </c>
      <c r="B431" s="210" t="s">
        <v>20692</v>
      </c>
      <c r="C431" s="224" t="s">
        <v>22535</v>
      </c>
      <c r="D431" s="211" t="s">
        <v>16</v>
      </c>
      <c r="E431" s="211">
        <v>4</v>
      </c>
      <c r="F431" s="211"/>
      <c r="G431" s="211">
        <v>0.3</v>
      </c>
      <c r="H431" s="212"/>
      <c r="I431" s="213"/>
      <c r="J431" s="272">
        <v>220</v>
      </c>
      <c r="K431" s="112">
        <f t="shared" si="29"/>
        <v>880</v>
      </c>
      <c r="L431" s="273">
        <f>BDI!$E$17</f>
        <v>0.11260000000000001</v>
      </c>
      <c r="M431" s="213"/>
      <c r="N431" s="213"/>
      <c r="O431" s="114">
        <f t="shared" si="30"/>
        <v>244.77</v>
      </c>
      <c r="P431" s="113">
        <f t="shared" si="31"/>
        <v>293.72000000000003</v>
      </c>
      <c r="Q431" s="209"/>
      <c r="R431" s="203"/>
      <c r="S431" s="182"/>
      <c r="T431" s="182"/>
      <c r="U431" s="182"/>
      <c r="V431" s="182"/>
      <c r="W431" s="182"/>
      <c r="X431" s="182"/>
      <c r="Y431" s="182"/>
      <c r="Z431" s="182"/>
      <c r="AA431" s="182"/>
      <c r="AB431" s="182"/>
      <c r="AC431" s="182"/>
      <c r="AD431" s="182"/>
      <c r="AE431" s="182"/>
      <c r="AF431" s="182"/>
      <c r="AG431" s="182"/>
      <c r="AH431" s="182"/>
      <c r="AI431" s="182"/>
      <c r="AJ431" s="182"/>
      <c r="AK431" s="182"/>
      <c r="AL431" s="182"/>
      <c r="AM431" s="182"/>
      <c r="AN431" s="182"/>
      <c r="AO431" s="182"/>
      <c r="AP431" s="182"/>
      <c r="AQ431" s="182"/>
      <c r="AR431" s="182"/>
      <c r="AS431" s="182"/>
      <c r="AT431" s="182"/>
      <c r="AU431" s="182"/>
      <c r="AV431" s="182"/>
      <c r="AW431" s="182"/>
      <c r="AX431" s="182"/>
      <c r="AY431" s="182"/>
      <c r="AZ431" s="182"/>
      <c r="BA431" s="182"/>
      <c r="BB431" s="182"/>
      <c r="BC431" s="182"/>
      <c r="BD431" s="182"/>
      <c r="BE431" s="182"/>
      <c r="BF431" s="182"/>
      <c r="BG431" s="182"/>
      <c r="BH431" s="182"/>
      <c r="BI431" s="182"/>
      <c r="BJ431" s="182"/>
      <c r="BK431" s="182"/>
      <c r="BL431" s="182"/>
      <c r="BM431" s="182"/>
      <c r="BN431" s="182"/>
      <c r="BO431" s="182"/>
      <c r="BP431" s="182"/>
      <c r="BQ431" s="182"/>
      <c r="BR431" s="182"/>
      <c r="BS431" s="182"/>
      <c r="BT431" s="182"/>
      <c r="BU431" s="182"/>
      <c r="BV431" s="182"/>
      <c r="BW431" s="182"/>
      <c r="BX431" s="182"/>
      <c r="BY431" s="182"/>
      <c r="BZ431" s="182"/>
      <c r="CA431" s="182"/>
      <c r="CB431" s="182"/>
      <c r="CC431" s="182"/>
      <c r="CD431" s="182"/>
      <c r="CE431" s="182"/>
      <c r="CF431" s="182"/>
      <c r="CG431" s="182"/>
      <c r="CH431" s="182"/>
      <c r="CI431" s="182"/>
      <c r="CJ431" s="182"/>
      <c r="CK431" s="182"/>
      <c r="CL431" s="182"/>
      <c r="CM431" s="182"/>
      <c r="CN431" s="182"/>
      <c r="CO431" s="182"/>
      <c r="CP431" s="182"/>
      <c r="CQ431" s="182"/>
      <c r="CR431" s="182"/>
      <c r="CS431" s="182"/>
      <c r="CT431" s="182"/>
      <c r="CU431" s="182"/>
      <c r="CV431" s="182"/>
      <c r="CW431" s="182"/>
      <c r="CX431" s="182"/>
      <c r="CY431" s="182"/>
      <c r="CZ431" s="182"/>
      <c r="DA431" s="182"/>
      <c r="DB431" s="182"/>
      <c r="DC431" s="182"/>
      <c r="DD431" s="182"/>
      <c r="DE431" s="182"/>
      <c r="DF431" s="182"/>
      <c r="DG431" s="182"/>
      <c r="DH431" s="182"/>
      <c r="DI431" s="182"/>
      <c r="DJ431" s="182"/>
      <c r="DK431" s="182"/>
      <c r="DL431" s="182"/>
      <c r="DM431" s="182"/>
      <c r="DN431" s="182"/>
      <c r="DO431" s="182"/>
      <c r="DP431" s="182"/>
      <c r="DQ431" s="182"/>
      <c r="DR431" s="182"/>
      <c r="DS431" s="182"/>
      <c r="DT431" s="182"/>
      <c r="DU431" s="182"/>
      <c r="DV431" s="182"/>
      <c r="DW431" s="182"/>
      <c r="DX431" s="182"/>
      <c r="DY431" s="182"/>
      <c r="DZ431" s="182"/>
      <c r="EA431" s="182"/>
      <c r="EB431" s="182"/>
      <c r="EC431" s="182"/>
      <c r="ED431" s="182"/>
      <c r="EE431" s="182"/>
      <c r="EF431" s="182"/>
      <c r="EG431" s="182"/>
      <c r="EH431" s="182"/>
      <c r="EI431" s="182"/>
      <c r="EJ431" s="182"/>
      <c r="EK431" s="182"/>
      <c r="EL431" s="182"/>
      <c r="EM431" s="182"/>
      <c r="EN431" s="182"/>
      <c r="EO431" s="182"/>
      <c r="EP431" s="182"/>
      <c r="EQ431" s="182"/>
      <c r="ER431" s="182"/>
      <c r="ES431" s="182"/>
      <c r="ET431" s="182"/>
      <c r="EU431" s="182"/>
      <c r="EV431" s="182"/>
      <c r="EW431" s="182"/>
      <c r="EX431" s="182"/>
      <c r="EY431" s="182"/>
      <c r="EZ431" s="182"/>
      <c r="FA431" s="182"/>
      <c r="FB431" s="182"/>
      <c r="FC431" s="182"/>
      <c r="FD431" s="182"/>
      <c r="FE431" s="182"/>
      <c r="FF431" s="182"/>
      <c r="FG431" s="182"/>
      <c r="FH431" s="182"/>
      <c r="FI431" s="182"/>
      <c r="FJ431" s="182"/>
      <c r="FK431" s="182"/>
      <c r="FL431" s="182"/>
      <c r="FM431" s="182"/>
      <c r="FN431" s="182"/>
      <c r="FO431" s="182"/>
      <c r="FP431" s="182"/>
      <c r="FQ431" s="182"/>
      <c r="FR431" s="182"/>
      <c r="FS431" s="182"/>
      <c r="FT431" s="182"/>
      <c r="FU431" s="182"/>
      <c r="FV431" s="182"/>
      <c r="FW431" s="182"/>
      <c r="FX431" s="182"/>
      <c r="FY431" s="182"/>
      <c r="FZ431" s="182"/>
      <c r="GA431" s="182"/>
      <c r="GB431" s="182"/>
      <c r="GC431" s="182"/>
      <c r="GD431" s="182"/>
      <c r="GE431" s="182"/>
      <c r="GF431" s="182"/>
      <c r="GG431" s="182"/>
      <c r="GH431" s="182"/>
      <c r="GI431" s="182"/>
    </row>
    <row r="432" spans="1:191" s="183" customFormat="1" x14ac:dyDescent="0.2">
      <c r="A432" s="210" t="s">
        <v>38737</v>
      </c>
      <c r="B432" s="210" t="s">
        <v>20693</v>
      </c>
      <c r="C432" s="224" t="s">
        <v>22536</v>
      </c>
      <c r="D432" s="211" t="s">
        <v>16</v>
      </c>
      <c r="E432" s="211">
        <v>4</v>
      </c>
      <c r="F432" s="211"/>
      <c r="G432" s="211">
        <v>0.3</v>
      </c>
      <c r="H432" s="212"/>
      <c r="I432" s="213"/>
      <c r="J432" s="272">
        <v>140.75</v>
      </c>
      <c r="K432" s="112">
        <f t="shared" si="29"/>
        <v>563</v>
      </c>
      <c r="L432" s="273">
        <f>BDI!$E$17</f>
        <v>0.11260000000000001</v>
      </c>
      <c r="M432" s="213"/>
      <c r="N432" s="213"/>
      <c r="O432" s="114">
        <f t="shared" si="30"/>
        <v>156.6</v>
      </c>
      <c r="P432" s="113">
        <f t="shared" si="31"/>
        <v>187.92</v>
      </c>
      <c r="Q432" s="209"/>
      <c r="R432" s="203"/>
      <c r="S432" s="182"/>
      <c r="T432" s="182"/>
      <c r="U432" s="182"/>
      <c r="V432" s="182"/>
      <c r="W432" s="182"/>
      <c r="X432" s="182"/>
      <c r="Y432" s="182"/>
      <c r="Z432" s="182"/>
      <c r="AA432" s="182"/>
      <c r="AB432" s="182"/>
      <c r="AC432" s="182"/>
      <c r="AD432" s="182"/>
      <c r="AE432" s="182"/>
      <c r="AF432" s="182"/>
      <c r="AG432" s="182"/>
      <c r="AH432" s="182"/>
      <c r="AI432" s="182"/>
      <c r="AJ432" s="182"/>
      <c r="AK432" s="182"/>
      <c r="AL432" s="182"/>
      <c r="AM432" s="182"/>
      <c r="AN432" s="182"/>
      <c r="AO432" s="182"/>
      <c r="AP432" s="182"/>
      <c r="AQ432" s="182"/>
      <c r="AR432" s="182"/>
      <c r="AS432" s="182"/>
      <c r="AT432" s="182"/>
      <c r="AU432" s="182"/>
      <c r="AV432" s="182"/>
      <c r="AW432" s="182"/>
      <c r="AX432" s="182"/>
      <c r="AY432" s="182"/>
      <c r="AZ432" s="182"/>
      <c r="BA432" s="182"/>
      <c r="BB432" s="182"/>
      <c r="BC432" s="182"/>
      <c r="BD432" s="182"/>
      <c r="BE432" s="182"/>
      <c r="BF432" s="182"/>
      <c r="BG432" s="182"/>
      <c r="BH432" s="182"/>
      <c r="BI432" s="182"/>
      <c r="BJ432" s="182"/>
      <c r="BK432" s="182"/>
      <c r="BL432" s="182"/>
      <c r="BM432" s="182"/>
      <c r="BN432" s="182"/>
      <c r="BO432" s="182"/>
      <c r="BP432" s="182"/>
      <c r="BQ432" s="182"/>
      <c r="BR432" s="182"/>
      <c r="BS432" s="182"/>
      <c r="BT432" s="182"/>
      <c r="BU432" s="182"/>
      <c r="BV432" s="182"/>
      <c r="BW432" s="182"/>
      <c r="BX432" s="182"/>
      <c r="BY432" s="182"/>
      <c r="BZ432" s="182"/>
      <c r="CA432" s="182"/>
      <c r="CB432" s="182"/>
      <c r="CC432" s="182"/>
      <c r="CD432" s="182"/>
      <c r="CE432" s="182"/>
      <c r="CF432" s="182"/>
      <c r="CG432" s="182"/>
      <c r="CH432" s="182"/>
      <c r="CI432" s="182"/>
      <c r="CJ432" s="182"/>
      <c r="CK432" s="182"/>
      <c r="CL432" s="182"/>
      <c r="CM432" s="182"/>
      <c r="CN432" s="182"/>
      <c r="CO432" s="182"/>
      <c r="CP432" s="182"/>
      <c r="CQ432" s="182"/>
      <c r="CR432" s="182"/>
      <c r="CS432" s="182"/>
      <c r="CT432" s="182"/>
      <c r="CU432" s="182"/>
      <c r="CV432" s="182"/>
      <c r="CW432" s="182"/>
      <c r="CX432" s="182"/>
      <c r="CY432" s="182"/>
      <c r="CZ432" s="182"/>
      <c r="DA432" s="182"/>
      <c r="DB432" s="182"/>
      <c r="DC432" s="182"/>
      <c r="DD432" s="182"/>
      <c r="DE432" s="182"/>
      <c r="DF432" s="182"/>
      <c r="DG432" s="182"/>
      <c r="DH432" s="182"/>
      <c r="DI432" s="182"/>
      <c r="DJ432" s="182"/>
      <c r="DK432" s="182"/>
      <c r="DL432" s="182"/>
      <c r="DM432" s="182"/>
      <c r="DN432" s="182"/>
      <c r="DO432" s="182"/>
      <c r="DP432" s="182"/>
      <c r="DQ432" s="182"/>
      <c r="DR432" s="182"/>
      <c r="DS432" s="182"/>
      <c r="DT432" s="182"/>
      <c r="DU432" s="182"/>
      <c r="DV432" s="182"/>
      <c r="DW432" s="182"/>
      <c r="DX432" s="182"/>
      <c r="DY432" s="182"/>
      <c r="DZ432" s="182"/>
      <c r="EA432" s="182"/>
      <c r="EB432" s="182"/>
      <c r="EC432" s="182"/>
      <c r="ED432" s="182"/>
      <c r="EE432" s="182"/>
      <c r="EF432" s="182"/>
      <c r="EG432" s="182"/>
      <c r="EH432" s="182"/>
      <c r="EI432" s="182"/>
      <c r="EJ432" s="182"/>
      <c r="EK432" s="182"/>
      <c r="EL432" s="182"/>
      <c r="EM432" s="182"/>
      <c r="EN432" s="182"/>
      <c r="EO432" s="182"/>
      <c r="EP432" s="182"/>
      <c r="EQ432" s="182"/>
      <c r="ER432" s="182"/>
      <c r="ES432" s="182"/>
      <c r="ET432" s="182"/>
      <c r="EU432" s="182"/>
      <c r="EV432" s="182"/>
      <c r="EW432" s="182"/>
      <c r="EX432" s="182"/>
      <c r="EY432" s="182"/>
      <c r="EZ432" s="182"/>
      <c r="FA432" s="182"/>
      <c r="FB432" s="182"/>
      <c r="FC432" s="182"/>
      <c r="FD432" s="182"/>
      <c r="FE432" s="182"/>
      <c r="FF432" s="182"/>
      <c r="FG432" s="182"/>
      <c r="FH432" s="182"/>
      <c r="FI432" s="182"/>
      <c r="FJ432" s="182"/>
      <c r="FK432" s="182"/>
      <c r="FL432" s="182"/>
      <c r="FM432" s="182"/>
      <c r="FN432" s="182"/>
      <c r="FO432" s="182"/>
      <c r="FP432" s="182"/>
      <c r="FQ432" s="182"/>
      <c r="FR432" s="182"/>
      <c r="FS432" s="182"/>
      <c r="FT432" s="182"/>
      <c r="FU432" s="182"/>
      <c r="FV432" s="182"/>
      <c r="FW432" s="182"/>
      <c r="FX432" s="182"/>
      <c r="FY432" s="182"/>
      <c r="FZ432" s="182"/>
      <c r="GA432" s="182"/>
      <c r="GB432" s="182"/>
      <c r="GC432" s="182"/>
      <c r="GD432" s="182"/>
      <c r="GE432" s="182"/>
      <c r="GF432" s="182"/>
      <c r="GG432" s="182"/>
      <c r="GH432" s="182"/>
      <c r="GI432" s="182"/>
    </row>
    <row r="433" spans="1:191" s="183" customFormat="1" x14ac:dyDescent="0.2">
      <c r="A433" s="210" t="s">
        <v>38738</v>
      </c>
      <c r="B433" s="210" t="s">
        <v>20694</v>
      </c>
      <c r="C433" s="224" t="s">
        <v>22537</v>
      </c>
      <c r="D433" s="211" t="s">
        <v>16</v>
      </c>
      <c r="E433" s="211">
        <v>4</v>
      </c>
      <c r="F433" s="211"/>
      <c r="G433" s="211">
        <v>0.3</v>
      </c>
      <c r="H433" s="212"/>
      <c r="I433" s="213"/>
      <c r="J433" s="272">
        <v>54.7</v>
      </c>
      <c r="K433" s="112">
        <f t="shared" si="29"/>
        <v>218.8</v>
      </c>
      <c r="L433" s="273">
        <f>BDI!$E$17</f>
        <v>0.11260000000000001</v>
      </c>
      <c r="M433" s="213"/>
      <c r="N433" s="213"/>
      <c r="O433" s="114">
        <f t="shared" si="30"/>
        <v>60.86</v>
      </c>
      <c r="P433" s="113">
        <f t="shared" si="31"/>
        <v>73.03</v>
      </c>
      <c r="Q433" s="209"/>
      <c r="R433" s="203"/>
      <c r="S433" s="182"/>
      <c r="T433" s="182"/>
      <c r="U433" s="182"/>
      <c r="V433" s="182"/>
      <c r="W433" s="182"/>
      <c r="X433" s="182"/>
      <c r="Y433" s="182"/>
      <c r="Z433" s="182"/>
      <c r="AA433" s="182"/>
      <c r="AB433" s="182"/>
      <c r="AC433" s="182"/>
      <c r="AD433" s="182"/>
      <c r="AE433" s="182"/>
      <c r="AF433" s="182"/>
      <c r="AG433" s="182"/>
      <c r="AH433" s="182"/>
      <c r="AI433" s="182"/>
      <c r="AJ433" s="182"/>
      <c r="AK433" s="182"/>
      <c r="AL433" s="182"/>
      <c r="AM433" s="182"/>
      <c r="AN433" s="182"/>
      <c r="AO433" s="182"/>
      <c r="AP433" s="182"/>
      <c r="AQ433" s="182"/>
      <c r="AR433" s="182"/>
      <c r="AS433" s="182"/>
      <c r="AT433" s="182"/>
      <c r="AU433" s="182"/>
      <c r="AV433" s="182"/>
      <c r="AW433" s="182"/>
      <c r="AX433" s="182"/>
      <c r="AY433" s="182"/>
      <c r="AZ433" s="182"/>
      <c r="BA433" s="182"/>
      <c r="BB433" s="182"/>
      <c r="BC433" s="182"/>
      <c r="BD433" s="182"/>
      <c r="BE433" s="182"/>
      <c r="BF433" s="182"/>
      <c r="BG433" s="182"/>
      <c r="BH433" s="182"/>
      <c r="BI433" s="182"/>
      <c r="BJ433" s="182"/>
      <c r="BK433" s="182"/>
      <c r="BL433" s="182"/>
      <c r="BM433" s="182"/>
      <c r="BN433" s="182"/>
      <c r="BO433" s="182"/>
      <c r="BP433" s="182"/>
      <c r="BQ433" s="182"/>
      <c r="BR433" s="182"/>
      <c r="BS433" s="182"/>
      <c r="BT433" s="182"/>
      <c r="BU433" s="182"/>
      <c r="BV433" s="182"/>
      <c r="BW433" s="182"/>
      <c r="BX433" s="182"/>
      <c r="BY433" s="182"/>
      <c r="BZ433" s="182"/>
      <c r="CA433" s="182"/>
      <c r="CB433" s="182"/>
      <c r="CC433" s="182"/>
      <c r="CD433" s="182"/>
      <c r="CE433" s="182"/>
      <c r="CF433" s="182"/>
      <c r="CG433" s="182"/>
      <c r="CH433" s="182"/>
      <c r="CI433" s="182"/>
      <c r="CJ433" s="182"/>
      <c r="CK433" s="182"/>
      <c r="CL433" s="182"/>
      <c r="CM433" s="182"/>
      <c r="CN433" s="182"/>
      <c r="CO433" s="182"/>
      <c r="CP433" s="182"/>
      <c r="CQ433" s="182"/>
      <c r="CR433" s="182"/>
      <c r="CS433" s="182"/>
      <c r="CT433" s="182"/>
      <c r="CU433" s="182"/>
      <c r="CV433" s="182"/>
      <c r="CW433" s="182"/>
      <c r="CX433" s="182"/>
      <c r="CY433" s="182"/>
      <c r="CZ433" s="182"/>
      <c r="DA433" s="182"/>
      <c r="DB433" s="182"/>
      <c r="DC433" s="182"/>
      <c r="DD433" s="182"/>
      <c r="DE433" s="182"/>
      <c r="DF433" s="182"/>
      <c r="DG433" s="182"/>
      <c r="DH433" s="182"/>
      <c r="DI433" s="182"/>
      <c r="DJ433" s="182"/>
      <c r="DK433" s="182"/>
      <c r="DL433" s="182"/>
      <c r="DM433" s="182"/>
      <c r="DN433" s="182"/>
      <c r="DO433" s="182"/>
      <c r="DP433" s="182"/>
      <c r="DQ433" s="182"/>
      <c r="DR433" s="182"/>
      <c r="DS433" s="182"/>
      <c r="DT433" s="182"/>
      <c r="DU433" s="182"/>
      <c r="DV433" s="182"/>
      <c r="DW433" s="182"/>
      <c r="DX433" s="182"/>
      <c r="DY433" s="182"/>
      <c r="DZ433" s="182"/>
      <c r="EA433" s="182"/>
      <c r="EB433" s="182"/>
      <c r="EC433" s="182"/>
      <c r="ED433" s="182"/>
      <c r="EE433" s="182"/>
      <c r="EF433" s="182"/>
      <c r="EG433" s="182"/>
      <c r="EH433" s="182"/>
      <c r="EI433" s="182"/>
      <c r="EJ433" s="182"/>
      <c r="EK433" s="182"/>
      <c r="EL433" s="182"/>
      <c r="EM433" s="182"/>
      <c r="EN433" s="182"/>
      <c r="EO433" s="182"/>
      <c r="EP433" s="182"/>
      <c r="EQ433" s="182"/>
      <c r="ER433" s="182"/>
      <c r="ES433" s="182"/>
      <c r="ET433" s="182"/>
      <c r="EU433" s="182"/>
      <c r="EV433" s="182"/>
      <c r="EW433" s="182"/>
      <c r="EX433" s="182"/>
      <c r="EY433" s="182"/>
      <c r="EZ433" s="182"/>
      <c r="FA433" s="182"/>
      <c r="FB433" s="182"/>
      <c r="FC433" s="182"/>
      <c r="FD433" s="182"/>
      <c r="FE433" s="182"/>
      <c r="FF433" s="182"/>
      <c r="FG433" s="182"/>
      <c r="FH433" s="182"/>
      <c r="FI433" s="182"/>
      <c r="FJ433" s="182"/>
      <c r="FK433" s="182"/>
      <c r="FL433" s="182"/>
      <c r="FM433" s="182"/>
      <c r="FN433" s="182"/>
      <c r="FO433" s="182"/>
      <c r="FP433" s="182"/>
      <c r="FQ433" s="182"/>
      <c r="FR433" s="182"/>
      <c r="FS433" s="182"/>
      <c r="FT433" s="182"/>
      <c r="FU433" s="182"/>
      <c r="FV433" s="182"/>
      <c r="FW433" s="182"/>
      <c r="FX433" s="182"/>
      <c r="FY433" s="182"/>
      <c r="FZ433" s="182"/>
      <c r="GA433" s="182"/>
      <c r="GB433" s="182"/>
      <c r="GC433" s="182"/>
      <c r="GD433" s="182"/>
      <c r="GE433" s="182"/>
      <c r="GF433" s="182"/>
      <c r="GG433" s="182"/>
      <c r="GH433" s="182"/>
      <c r="GI433" s="182"/>
    </row>
    <row r="434" spans="1:191" s="183" customFormat="1" x14ac:dyDescent="0.2">
      <c r="A434" s="210" t="s">
        <v>38739</v>
      </c>
      <c r="B434" s="210" t="s">
        <v>20695</v>
      </c>
      <c r="C434" s="224" t="s">
        <v>22538</v>
      </c>
      <c r="D434" s="211" t="s">
        <v>16</v>
      </c>
      <c r="E434" s="211">
        <v>2</v>
      </c>
      <c r="F434" s="211"/>
      <c r="G434" s="211">
        <v>0.3</v>
      </c>
      <c r="H434" s="212"/>
      <c r="I434" s="213"/>
      <c r="J434" s="272">
        <v>209</v>
      </c>
      <c r="K434" s="112">
        <f t="shared" si="29"/>
        <v>418</v>
      </c>
      <c r="L434" s="273">
        <f>BDI!$E$17</f>
        <v>0.11260000000000001</v>
      </c>
      <c r="M434" s="213"/>
      <c r="N434" s="213"/>
      <c r="O434" s="114">
        <f t="shared" si="30"/>
        <v>232.53</v>
      </c>
      <c r="P434" s="113">
        <f t="shared" si="31"/>
        <v>139.52000000000001</v>
      </c>
      <c r="Q434" s="209"/>
      <c r="R434" s="203"/>
      <c r="S434" s="182"/>
      <c r="T434" s="182"/>
      <c r="U434" s="182"/>
      <c r="V434" s="182"/>
      <c r="W434" s="182"/>
      <c r="X434" s="182"/>
      <c r="Y434" s="182"/>
      <c r="Z434" s="182"/>
      <c r="AA434" s="182"/>
      <c r="AB434" s="182"/>
      <c r="AC434" s="182"/>
      <c r="AD434" s="182"/>
      <c r="AE434" s="182"/>
      <c r="AF434" s="182"/>
      <c r="AG434" s="182"/>
      <c r="AH434" s="182"/>
      <c r="AI434" s="182"/>
      <c r="AJ434" s="182"/>
      <c r="AK434" s="182"/>
      <c r="AL434" s="182"/>
      <c r="AM434" s="182"/>
      <c r="AN434" s="182"/>
      <c r="AO434" s="182"/>
      <c r="AP434" s="182"/>
      <c r="AQ434" s="182"/>
      <c r="AR434" s="182"/>
      <c r="AS434" s="182"/>
      <c r="AT434" s="182"/>
      <c r="AU434" s="182"/>
      <c r="AV434" s="182"/>
      <c r="AW434" s="182"/>
      <c r="AX434" s="182"/>
      <c r="AY434" s="182"/>
      <c r="AZ434" s="182"/>
      <c r="BA434" s="182"/>
      <c r="BB434" s="182"/>
      <c r="BC434" s="182"/>
      <c r="BD434" s="182"/>
      <c r="BE434" s="182"/>
      <c r="BF434" s="182"/>
      <c r="BG434" s="182"/>
      <c r="BH434" s="182"/>
      <c r="BI434" s="182"/>
      <c r="BJ434" s="182"/>
      <c r="BK434" s="182"/>
      <c r="BL434" s="182"/>
      <c r="BM434" s="182"/>
      <c r="BN434" s="182"/>
      <c r="BO434" s="182"/>
      <c r="BP434" s="182"/>
      <c r="BQ434" s="182"/>
      <c r="BR434" s="182"/>
      <c r="BS434" s="182"/>
      <c r="BT434" s="182"/>
      <c r="BU434" s="182"/>
      <c r="BV434" s="182"/>
      <c r="BW434" s="182"/>
      <c r="BX434" s="182"/>
      <c r="BY434" s="182"/>
      <c r="BZ434" s="182"/>
      <c r="CA434" s="182"/>
      <c r="CB434" s="182"/>
      <c r="CC434" s="182"/>
      <c r="CD434" s="182"/>
      <c r="CE434" s="182"/>
      <c r="CF434" s="182"/>
      <c r="CG434" s="182"/>
      <c r="CH434" s="182"/>
      <c r="CI434" s="182"/>
      <c r="CJ434" s="182"/>
      <c r="CK434" s="182"/>
      <c r="CL434" s="182"/>
      <c r="CM434" s="182"/>
      <c r="CN434" s="182"/>
      <c r="CO434" s="182"/>
      <c r="CP434" s="182"/>
      <c r="CQ434" s="182"/>
      <c r="CR434" s="182"/>
      <c r="CS434" s="182"/>
      <c r="CT434" s="182"/>
      <c r="CU434" s="182"/>
      <c r="CV434" s="182"/>
      <c r="CW434" s="182"/>
      <c r="CX434" s="182"/>
      <c r="CY434" s="182"/>
      <c r="CZ434" s="182"/>
      <c r="DA434" s="182"/>
      <c r="DB434" s="182"/>
      <c r="DC434" s="182"/>
      <c r="DD434" s="182"/>
      <c r="DE434" s="182"/>
      <c r="DF434" s="182"/>
      <c r="DG434" s="182"/>
      <c r="DH434" s="182"/>
      <c r="DI434" s="182"/>
      <c r="DJ434" s="182"/>
      <c r="DK434" s="182"/>
      <c r="DL434" s="182"/>
      <c r="DM434" s="182"/>
      <c r="DN434" s="182"/>
      <c r="DO434" s="182"/>
      <c r="DP434" s="182"/>
      <c r="DQ434" s="182"/>
      <c r="DR434" s="182"/>
      <c r="DS434" s="182"/>
      <c r="DT434" s="182"/>
      <c r="DU434" s="182"/>
      <c r="DV434" s="182"/>
      <c r="DW434" s="182"/>
      <c r="DX434" s="182"/>
      <c r="DY434" s="182"/>
      <c r="DZ434" s="182"/>
      <c r="EA434" s="182"/>
      <c r="EB434" s="182"/>
      <c r="EC434" s="182"/>
      <c r="ED434" s="182"/>
      <c r="EE434" s="182"/>
      <c r="EF434" s="182"/>
      <c r="EG434" s="182"/>
      <c r="EH434" s="182"/>
      <c r="EI434" s="182"/>
      <c r="EJ434" s="182"/>
      <c r="EK434" s="182"/>
      <c r="EL434" s="182"/>
      <c r="EM434" s="182"/>
      <c r="EN434" s="182"/>
      <c r="EO434" s="182"/>
      <c r="EP434" s="182"/>
      <c r="EQ434" s="182"/>
      <c r="ER434" s="182"/>
      <c r="ES434" s="182"/>
      <c r="ET434" s="182"/>
      <c r="EU434" s="182"/>
      <c r="EV434" s="182"/>
      <c r="EW434" s="182"/>
      <c r="EX434" s="182"/>
      <c r="EY434" s="182"/>
      <c r="EZ434" s="182"/>
      <c r="FA434" s="182"/>
      <c r="FB434" s="182"/>
      <c r="FC434" s="182"/>
      <c r="FD434" s="182"/>
      <c r="FE434" s="182"/>
      <c r="FF434" s="182"/>
      <c r="FG434" s="182"/>
      <c r="FH434" s="182"/>
      <c r="FI434" s="182"/>
      <c r="FJ434" s="182"/>
      <c r="FK434" s="182"/>
      <c r="FL434" s="182"/>
      <c r="FM434" s="182"/>
      <c r="FN434" s="182"/>
      <c r="FO434" s="182"/>
      <c r="FP434" s="182"/>
      <c r="FQ434" s="182"/>
      <c r="FR434" s="182"/>
      <c r="FS434" s="182"/>
      <c r="FT434" s="182"/>
      <c r="FU434" s="182"/>
      <c r="FV434" s="182"/>
      <c r="FW434" s="182"/>
      <c r="FX434" s="182"/>
      <c r="FY434" s="182"/>
      <c r="FZ434" s="182"/>
      <c r="GA434" s="182"/>
      <c r="GB434" s="182"/>
      <c r="GC434" s="182"/>
      <c r="GD434" s="182"/>
      <c r="GE434" s="182"/>
      <c r="GF434" s="182"/>
      <c r="GG434" s="182"/>
      <c r="GH434" s="182"/>
      <c r="GI434" s="182"/>
    </row>
    <row r="435" spans="1:191" s="183" customFormat="1" x14ac:dyDescent="0.2">
      <c r="A435" s="210" t="s">
        <v>38740</v>
      </c>
      <c r="B435" s="210" t="s">
        <v>20696</v>
      </c>
      <c r="C435" s="224" t="s">
        <v>22539</v>
      </c>
      <c r="D435" s="211" t="s">
        <v>69</v>
      </c>
      <c r="E435" s="211">
        <v>30</v>
      </c>
      <c r="F435" s="211"/>
      <c r="G435" s="211">
        <v>0.3</v>
      </c>
      <c r="H435" s="212"/>
      <c r="I435" s="213"/>
      <c r="J435" s="272">
        <v>894.69</v>
      </c>
      <c r="K435" s="112">
        <f t="shared" si="29"/>
        <v>26840.7</v>
      </c>
      <c r="L435" s="273">
        <f>BDI!$E$17</f>
        <v>0.11260000000000001</v>
      </c>
      <c r="M435" s="213"/>
      <c r="N435" s="213"/>
      <c r="O435" s="114">
        <f t="shared" si="30"/>
        <v>995.43</v>
      </c>
      <c r="P435" s="113">
        <f t="shared" si="31"/>
        <v>8958.8700000000008</v>
      </c>
      <c r="Q435" s="209"/>
      <c r="R435" s="203"/>
      <c r="S435" s="182"/>
      <c r="T435" s="182"/>
      <c r="U435" s="182"/>
      <c r="V435" s="182"/>
      <c r="W435" s="182"/>
      <c r="X435" s="182"/>
      <c r="Y435" s="182"/>
      <c r="Z435" s="182"/>
      <c r="AA435" s="182"/>
      <c r="AB435" s="182"/>
      <c r="AC435" s="182"/>
      <c r="AD435" s="182"/>
      <c r="AE435" s="182"/>
      <c r="AF435" s="182"/>
      <c r="AG435" s="182"/>
      <c r="AH435" s="182"/>
      <c r="AI435" s="182"/>
      <c r="AJ435" s="182"/>
      <c r="AK435" s="182"/>
      <c r="AL435" s="182"/>
      <c r="AM435" s="182"/>
      <c r="AN435" s="182"/>
      <c r="AO435" s="182"/>
      <c r="AP435" s="182"/>
      <c r="AQ435" s="182"/>
      <c r="AR435" s="182"/>
      <c r="AS435" s="182"/>
      <c r="AT435" s="182"/>
      <c r="AU435" s="182"/>
      <c r="AV435" s="182"/>
      <c r="AW435" s="182"/>
      <c r="AX435" s="182"/>
      <c r="AY435" s="182"/>
      <c r="AZ435" s="182"/>
      <c r="BA435" s="182"/>
      <c r="BB435" s="182"/>
      <c r="BC435" s="182"/>
      <c r="BD435" s="182"/>
      <c r="BE435" s="182"/>
      <c r="BF435" s="182"/>
      <c r="BG435" s="182"/>
      <c r="BH435" s="182"/>
      <c r="BI435" s="182"/>
      <c r="BJ435" s="182"/>
      <c r="BK435" s="182"/>
      <c r="BL435" s="182"/>
      <c r="BM435" s="182"/>
      <c r="BN435" s="182"/>
      <c r="BO435" s="182"/>
      <c r="BP435" s="182"/>
      <c r="BQ435" s="182"/>
      <c r="BR435" s="182"/>
      <c r="BS435" s="182"/>
      <c r="BT435" s="182"/>
      <c r="BU435" s="182"/>
      <c r="BV435" s="182"/>
      <c r="BW435" s="182"/>
      <c r="BX435" s="182"/>
      <c r="BY435" s="182"/>
      <c r="BZ435" s="182"/>
      <c r="CA435" s="182"/>
      <c r="CB435" s="182"/>
      <c r="CC435" s="182"/>
      <c r="CD435" s="182"/>
      <c r="CE435" s="182"/>
      <c r="CF435" s="182"/>
      <c r="CG435" s="182"/>
      <c r="CH435" s="182"/>
      <c r="CI435" s="182"/>
      <c r="CJ435" s="182"/>
      <c r="CK435" s="182"/>
      <c r="CL435" s="182"/>
      <c r="CM435" s="182"/>
      <c r="CN435" s="182"/>
      <c r="CO435" s="182"/>
      <c r="CP435" s="182"/>
      <c r="CQ435" s="182"/>
      <c r="CR435" s="182"/>
      <c r="CS435" s="182"/>
      <c r="CT435" s="182"/>
      <c r="CU435" s="182"/>
      <c r="CV435" s="182"/>
      <c r="CW435" s="182"/>
      <c r="CX435" s="182"/>
      <c r="CY435" s="182"/>
      <c r="CZ435" s="182"/>
      <c r="DA435" s="182"/>
      <c r="DB435" s="182"/>
      <c r="DC435" s="182"/>
      <c r="DD435" s="182"/>
      <c r="DE435" s="182"/>
      <c r="DF435" s="182"/>
      <c r="DG435" s="182"/>
      <c r="DH435" s="182"/>
      <c r="DI435" s="182"/>
      <c r="DJ435" s="182"/>
      <c r="DK435" s="182"/>
      <c r="DL435" s="182"/>
      <c r="DM435" s="182"/>
      <c r="DN435" s="182"/>
      <c r="DO435" s="182"/>
      <c r="DP435" s="182"/>
      <c r="DQ435" s="182"/>
      <c r="DR435" s="182"/>
      <c r="DS435" s="182"/>
      <c r="DT435" s="182"/>
      <c r="DU435" s="182"/>
      <c r="DV435" s="182"/>
      <c r="DW435" s="182"/>
      <c r="DX435" s="182"/>
      <c r="DY435" s="182"/>
      <c r="DZ435" s="182"/>
      <c r="EA435" s="182"/>
      <c r="EB435" s="182"/>
      <c r="EC435" s="182"/>
      <c r="ED435" s="182"/>
      <c r="EE435" s="182"/>
      <c r="EF435" s="182"/>
      <c r="EG435" s="182"/>
      <c r="EH435" s="182"/>
      <c r="EI435" s="182"/>
      <c r="EJ435" s="182"/>
      <c r="EK435" s="182"/>
      <c r="EL435" s="182"/>
      <c r="EM435" s="182"/>
      <c r="EN435" s="182"/>
      <c r="EO435" s="182"/>
      <c r="EP435" s="182"/>
      <c r="EQ435" s="182"/>
      <c r="ER435" s="182"/>
      <c r="ES435" s="182"/>
      <c r="ET435" s="182"/>
      <c r="EU435" s="182"/>
      <c r="EV435" s="182"/>
      <c r="EW435" s="182"/>
      <c r="EX435" s="182"/>
      <c r="EY435" s="182"/>
      <c r="EZ435" s="182"/>
      <c r="FA435" s="182"/>
      <c r="FB435" s="182"/>
      <c r="FC435" s="182"/>
      <c r="FD435" s="182"/>
      <c r="FE435" s="182"/>
      <c r="FF435" s="182"/>
      <c r="FG435" s="182"/>
      <c r="FH435" s="182"/>
      <c r="FI435" s="182"/>
      <c r="FJ435" s="182"/>
      <c r="FK435" s="182"/>
      <c r="FL435" s="182"/>
      <c r="FM435" s="182"/>
      <c r="FN435" s="182"/>
      <c r="FO435" s="182"/>
      <c r="FP435" s="182"/>
      <c r="FQ435" s="182"/>
      <c r="FR435" s="182"/>
      <c r="FS435" s="182"/>
      <c r="FT435" s="182"/>
      <c r="FU435" s="182"/>
      <c r="FV435" s="182"/>
      <c r="FW435" s="182"/>
      <c r="FX435" s="182"/>
      <c r="FY435" s="182"/>
      <c r="FZ435" s="182"/>
      <c r="GA435" s="182"/>
      <c r="GB435" s="182"/>
      <c r="GC435" s="182"/>
      <c r="GD435" s="182"/>
      <c r="GE435" s="182"/>
      <c r="GF435" s="182"/>
      <c r="GG435" s="182"/>
      <c r="GH435" s="182"/>
      <c r="GI435" s="182"/>
    </row>
    <row r="436" spans="1:191" s="183" customFormat="1" x14ac:dyDescent="0.2">
      <c r="A436" s="210" t="s">
        <v>38741</v>
      </c>
      <c r="B436" s="210" t="s">
        <v>20697</v>
      </c>
      <c r="C436" s="224" t="s">
        <v>22540</v>
      </c>
      <c r="D436" s="211" t="s">
        <v>16</v>
      </c>
      <c r="E436" s="211">
        <v>4</v>
      </c>
      <c r="F436" s="211"/>
      <c r="G436" s="211">
        <v>0.3</v>
      </c>
      <c r="H436" s="212"/>
      <c r="I436" s="213"/>
      <c r="J436" s="272">
        <v>277.33</v>
      </c>
      <c r="K436" s="112">
        <f t="shared" si="29"/>
        <v>1109.32</v>
      </c>
      <c r="L436" s="273">
        <f>BDI!$E$17</f>
        <v>0.11260000000000001</v>
      </c>
      <c r="M436" s="213"/>
      <c r="N436" s="213"/>
      <c r="O436" s="114">
        <f t="shared" si="30"/>
        <v>308.56</v>
      </c>
      <c r="P436" s="113">
        <f t="shared" si="31"/>
        <v>370.27</v>
      </c>
      <c r="Q436" s="209"/>
      <c r="R436" s="203"/>
      <c r="S436" s="182"/>
      <c r="T436" s="182"/>
      <c r="U436" s="182"/>
      <c r="V436" s="182"/>
      <c r="W436" s="182"/>
      <c r="X436" s="182"/>
      <c r="Y436" s="182"/>
      <c r="Z436" s="182"/>
      <c r="AA436" s="182"/>
      <c r="AB436" s="182"/>
      <c r="AC436" s="182"/>
      <c r="AD436" s="182"/>
      <c r="AE436" s="182"/>
      <c r="AF436" s="182"/>
      <c r="AG436" s="182"/>
      <c r="AH436" s="182"/>
      <c r="AI436" s="182"/>
      <c r="AJ436" s="182"/>
      <c r="AK436" s="182"/>
      <c r="AL436" s="182"/>
      <c r="AM436" s="182"/>
      <c r="AN436" s="182"/>
      <c r="AO436" s="182"/>
      <c r="AP436" s="182"/>
      <c r="AQ436" s="182"/>
      <c r="AR436" s="182"/>
      <c r="AS436" s="182"/>
      <c r="AT436" s="182"/>
      <c r="AU436" s="182"/>
      <c r="AV436" s="182"/>
      <c r="AW436" s="182"/>
      <c r="AX436" s="182"/>
      <c r="AY436" s="182"/>
      <c r="AZ436" s="182"/>
      <c r="BA436" s="182"/>
      <c r="BB436" s="182"/>
      <c r="BC436" s="182"/>
      <c r="BD436" s="182"/>
      <c r="BE436" s="182"/>
      <c r="BF436" s="182"/>
      <c r="BG436" s="182"/>
      <c r="BH436" s="182"/>
      <c r="BI436" s="182"/>
      <c r="BJ436" s="182"/>
      <c r="BK436" s="182"/>
      <c r="BL436" s="182"/>
      <c r="BM436" s="182"/>
      <c r="BN436" s="182"/>
      <c r="BO436" s="182"/>
      <c r="BP436" s="182"/>
      <c r="BQ436" s="182"/>
      <c r="BR436" s="182"/>
      <c r="BS436" s="182"/>
      <c r="BT436" s="182"/>
      <c r="BU436" s="182"/>
      <c r="BV436" s="182"/>
      <c r="BW436" s="182"/>
      <c r="BX436" s="182"/>
      <c r="BY436" s="182"/>
      <c r="BZ436" s="182"/>
      <c r="CA436" s="182"/>
      <c r="CB436" s="182"/>
      <c r="CC436" s="182"/>
      <c r="CD436" s="182"/>
      <c r="CE436" s="182"/>
      <c r="CF436" s="182"/>
      <c r="CG436" s="182"/>
      <c r="CH436" s="182"/>
      <c r="CI436" s="182"/>
      <c r="CJ436" s="182"/>
      <c r="CK436" s="182"/>
      <c r="CL436" s="182"/>
      <c r="CM436" s="182"/>
      <c r="CN436" s="182"/>
      <c r="CO436" s="182"/>
      <c r="CP436" s="182"/>
      <c r="CQ436" s="182"/>
      <c r="CR436" s="182"/>
      <c r="CS436" s="182"/>
      <c r="CT436" s="182"/>
      <c r="CU436" s="182"/>
      <c r="CV436" s="182"/>
      <c r="CW436" s="182"/>
      <c r="CX436" s="182"/>
      <c r="CY436" s="182"/>
      <c r="CZ436" s="182"/>
      <c r="DA436" s="182"/>
      <c r="DB436" s="182"/>
      <c r="DC436" s="182"/>
      <c r="DD436" s="182"/>
      <c r="DE436" s="182"/>
      <c r="DF436" s="182"/>
      <c r="DG436" s="182"/>
      <c r="DH436" s="182"/>
      <c r="DI436" s="182"/>
      <c r="DJ436" s="182"/>
      <c r="DK436" s="182"/>
      <c r="DL436" s="182"/>
      <c r="DM436" s="182"/>
      <c r="DN436" s="182"/>
      <c r="DO436" s="182"/>
      <c r="DP436" s="182"/>
      <c r="DQ436" s="182"/>
      <c r="DR436" s="182"/>
      <c r="DS436" s="182"/>
      <c r="DT436" s="182"/>
      <c r="DU436" s="182"/>
      <c r="DV436" s="182"/>
      <c r="DW436" s="182"/>
      <c r="DX436" s="182"/>
      <c r="DY436" s="182"/>
      <c r="DZ436" s="182"/>
      <c r="EA436" s="182"/>
      <c r="EB436" s="182"/>
      <c r="EC436" s="182"/>
      <c r="ED436" s="182"/>
      <c r="EE436" s="182"/>
      <c r="EF436" s="182"/>
      <c r="EG436" s="182"/>
      <c r="EH436" s="182"/>
      <c r="EI436" s="182"/>
      <c r="EJ436" s="182"/>
      <c r="EK436" s="182"/>
      <c r="EL436" s="182"/>
      <c r="EM436" s="182"/>
      <c r="EN436" s="182"/>
      <c r="EO436" s="182"/>
      <c r="EP436" s="182"/>
      <c r="EQ436" s="182"/>
      <c r="ER436" s="182"/>
      <c r="ES436" s="182"/>
      <c r="ET436" s="182"/>
      <c r="EU436" s="182"/>
      <c r="EV436" s="182"/>
      <c r="EW436" s="182"/>
      <c r="EX436" s="182"/>
      <c r="EY436" s="182"/>
      <c r="EZ436" s="182"/>
      <c r="FA436" s="182"/>
      <c r="FB436" s="182"/>
      <c r="FC436" s="182"/>
      <c r="FD436" s="182"/>
      <c r="FE436" s="182"/>
      <c r="FF436" s="182"/>
      <c r="FG436" s="182"/>
      <c r="FH436" s="182"/>
      <c r="FI436" s="182"/>
      <c r="FJ436" s="182"/>
      <c r="FK436" s="182"/>
      <c r="FL436" s="182"/>
      <c r="FM436" s="182"/>
      <c r="FN436" s="182"/>
      <c r="FO436" s="182"/>
      <c r="FP436" s="182"/>
      <c r="FQ436" s="182"/>
      <c r="FR436" s="182"/>
      <c r="FS436" s="182"/>
      <c r="FT436" s="182"/>
      <c r="FU436" s="182"/>
      <c r="FV436" s="182"/>
      <c r="FW436" s="182"/>
      <c r="FX436" s="182"/>
      <c r="FY436" s="182"/>
      <c r="FZ436" s="182"/>
      <c r="GA436" s="182"/>
      <c r="GB436" s="182"/>
      <c r="GC436" s="182"/>
      <c r="GD436" s="182"/>
      <c r="GE436" s="182"/>
      <c r="GF436" s="182"/>
      <c r="GG436" s="182"/>
      <c r="GH436" s="182"/>
      <c r="GI436" s="182"/>
    </row>
    <row r="437" spans="1:191" s="183" customFormat="1" x14ac:dyDescent="0.2">
      <c r="A437" s="210" t="s">
        <v>38742</v>
      </c>
      <c r="B437" s="210" t="s">
        <v>20698</v>
      </c>
      <c r="C437" s="224" t="s">
        <v>22541</v>
      </c>
      <c r="D437" s="211" t="s">
        <v>16</v>
      </c>
      <c r="E437" s="211">
        <v>4</v>
      </c>
      <c r="F437" s="211"/>
      <c r="G437" s="211">
        <v>0.3</v>
      </c>
      <c r="H437" s="212"/>
      <c r="I437" s="213"/>
      <c r="J437" s="272">
        <v>307.91000000000003</v>
      </c>
      <c r="K437" s="112">
        <f t="shared" si="29"/>
        <v>1231.6400000000001</v>
      </c>
      <c r="L437" s="273">
        <f>BDI!$E$17</f>
        <v>0.11260000000000001</v>
      </c>
      <c r="M437" s="213"/>
      <c r="N437" s="213"/>
      <c r="O437" s="114">
        <f t="shared" si="30"/>
        <v>342.58</v>
      </c>
      <c r="P437" s="113">
        <f t="shared" si="31"/>
        <v>411.1</v>
      </c>
      <c r="Q437" s="209"/>
      <c r="R437" s="203"/>
      <c r="S437" s="182"/>
      <c r="T437" s="182"/>
      <c r="U437" s="182"/>
      <c r="V437" s="182"/>
      <c r="W437" s="182"/>
      <c r="X437" s="182"/>
      <c r="Y437" s="182"/>
      <c r="Z437" s="182"/>
      <c r="AA437" s="182"/>
      <c r="AB437" s="182"/>
      <c r="AC437" s="182"/>
      <c r="AD437" s="182"/>
      <c r="AE437" s="182"/>
      <c r="AF437" s="182"/>
      <c r="AG437" s="182"/>
      <c r="AH437" s="182"/>
      <c r="AI437" s="182"/>
      <c r="AJ437" s="182"/>
      <c r="AK437" s="182"/>
      <c r="AL437" s="182"/>
      <c r="AM437" s="182"/>
      <c r="AN437" s="182"/>
      <c r="AO437" s="182"/>
      <c r="AP437" s="182"/>
      <c r="AQ437" s="182"/>
      <c r="AR437" s="182"/>
      <c r="AS437" s="182"/>
      <c r="AT437" s="182"/>
      <c r="AU437" s="182"/>
      <c r="AV437" s="182"/>
      <c r="AW437" s="182"/>
      <c r="AX437" s="182"/>
      <c r="AY437" s="182"/>
      <c r="AZ437" s="182"/>
      <c r="BA437" s="182"/>
      <c r="BB437" s="182"/>
      <c r="BC437" s="182"/>
      <c r="BD437" s="182"/>
      <c r="BE437" s="182"/>
      <c r="BF437" s="182"/>
      <c r="BG437" s="182"/>
      <c r="BH437" s="182"/>
      <c r="BI437" s="182"/>
      <c r="BJ437" s="182"/>
      <c r="BK437" s="182"/>
      <c r="BL437" s="182"/>
      <c r="BM437" s="182"/>
      <c r="BN437" s="182"/>
      <c r="BO437" s="182"/>
      <c r="BP437" s="182"/>
      <c r="BQ437" s="182"/>
      <c r="BR437" s="182"/>
      <c r="BS437" s="182"/>
      <c r="BT437" s="182"/>
      <c r="BU437" s="182"/>
      <c r="BV437" s="182"/>
      <c r="BW437" s="182"/>
      <c r="BX437" s="182"/>
      <c r="BY437" s="182"/>
      <c r="BZ437" s="182"/>
      <c r="CA437" s="182"/>
      <c r="CB437" s="182"/>
      <c r="CC437" s="182"/>
      <c r="CD437" s="182"/>
      <c r="CE437" s="182"/>
      <c r="CF437" s="182"/>
      <c r="CG437" s="182"/>
      <c r="CH437" s="182"/>
      <c r="CI437" s="182"/>
      <c r="CJ437" s="182"/>
      <c r="CK437" s="182"/>
      <c r="CL437" s="182"/>
      <c r="CM437" s="182"/>
      <c r="CN437" s="182"/>
      <c r="CO437" s="182"/>
      <c r="CP437" s="182"/>
      <c r="CQ437" s="182"/>
      <c r="CR437" s="182"/>
      <c r="CS437" s="182"/>
      <c r="CT437" s="182"/>
      <c r="CU437" s="182"/>
      <c r="CV437" s="182"/>
      <c r="CW437" s="182"/>
      <c r="CX437" s="182"/>
      <c r="CY437" s="182"/>
      <c r="CZ437" s="182"/>
      <c r="DA437" s="182"/>
      <c r="DB437" s="182"/>
      <c r="DC437" s="182"/>
      <c r="DD437" s="182"/>
      <c r="DE437" s="182"/>
      <c r="DF437" s="182"/>
      <c r="DG437" s="182"/>
      <c r="DH437" s="182"/>
      <c r="DI437" s="182"/>
      <c r="DJ437" s="182"/>
      <c r="DK437" s="182"/>
      <c r="DL437" s="182"/>
      <c r="DM437" s="182"/>
      <c r="DN437" s="182"/>
      <c r="DO437" s="182"/>
      <c r="DP437" s="182"/>
      <c r="DQ437" s="182"/>
      <c r="DR437" s="182"/>
      <c r="DS437" s="182"/>
      <c r="DT437" s="182"/>
      <c r="DU437" s="182"/>
      <c r="DV437" s="182"/>
      <c r="DW437" s="182"/>
      <c r="DX437" s="182"/>
      <c r="DY437" s="182"/>
      <c r="DZ437" s="182"/>
      <c r="EA437" s="182"/>
      <c r="EB437" s="182"/>
      <c r="EC437" s="182"/>
      <c r="ED437" s="182"/>
      <c r="EE437" s="182"/>
      <c r="EF437" s="182"/>
      <c r="EG437" s="182"/>
      <c r="EH437" s="182"/>
      <c r="EI437" s="182"/>
      <c r="EJ437" s="182"/>
      <c r="EK437" s="182"/>
      <c r="EL437" s="182"/>
      <c r="EM437" s="182"/>
      <c r="EN437" s="182"/>
      <c r="EO437" s="182"/>
      <c r="EP437" s="182"/>
      <c r="EQ437" s="182"/>
      <c r="ER437" s="182"/>
      <c r="ES437" s="182"/>
      <c r="ET437" s="182"/>
      <c r="EU437" s="182"/>
      <c r="EV437" s="182"/>
      <c r="EW437" s="182"/>
      <c r="EX437" s="182"/>
      <c r="EY437" s="182"/>
      <c r="EZ437" s="182"/>
      <c r="FA437" s="182"/>
      <c r="FB437" s="182"/>
      <c r="FC437" s="182"/>
      <c r="FD437" s="182"/>
      <c r="FE437" s="182"/>
      <c r="FF437" s="182"/>
      <c r="FG437" s="182"/>
      <c r="FH437" s="182"/>
      <c r="FI437" s="182"/>
      <c r="FJ437" s="182"/>
      <c r="FK437" s="182"/>
      <c r="FL437" s="182"/>
      <c r="FM437" s="182"/>
      <c r="FN437" s="182"/>
      <c r="FO437" s="182"/>
      <c r="FP437" s="182"/>
      <c r="FQ437" s="182"/>
      <c r="FR437" s="182"/>
      <c r="FS437" s="182"/>
      <c r="FT437" s="182"/>
      <c r="FU437" s="182"/>
      <c r="FV437" s="182"/>
      <c r="FW437" s="182"/>
      <c r="FX437" s="182"/>
      <c r="FY437" s="182"/>
      <c r="FZ437" s="182"/>
      <c r="GA437" s="182"/>
      <c r="GB437" s="182"/>
      <c r="GC437" s="182"/>
      <c r="GD437" s="182"/>
      <c r="GE437" s="182"/>
      <c r="GF437" s="182"/>
      <c r="GG437" s="182"/>
      <c r="GH437" s="182"/>
      <c r="GI437" s="182"/>
    </row>
    <row r="438" spans="1:191" s="183" customFormat="1" x14ac:dyDescent="0.2">
      <c r="A438" s="210" t="s">
        <v>38743</v>
      </c>
      <c r="B438" s="210" t="s">
        <v>20699</v>
      </c>
      <c r="C438" s="224" t="s">
        <v>22542</v>
      </c>
      <c r="D438" s="211" t="s">
        <v>16</v>
      </c>
      <c r="E438" s="211">
        <v>4</v>
      </c>
      <c r="F438" s="211"/>
      <c r="G438" s="211">
        <v>0.3</v>
      </c>
      <c r="H438" s="212"/>
      <c r="I438" s="213"/>
      <c r="J438" s="272">
        <v>247.41</v>
      </c>
      <c r="K438" s="112">
        <f t="shared" si="29"/>
        <v>989.64</v>
      </c>
      <c r="L438" s="273">
        <f>BDI!$E$17</f>
        <v>0.11260000000000001</v>
      </c>
      <c r="M438" s="213"/>
      <c r="N438" s="213"/>
      <c r="O438" s="114">
        <f t="shared" si="30"/>
        <v>275.27</v>
      </c>
      <c r="P438" s="113">
        <f t="shared" si="31"/>
        <v>330.32</v>
      </c>
      <c r="Q438" s="209"/>
      <c r="R438" s="203"/>
      <c r="S438" s="182"/>
      <c r="T438" s="182"/>
      <c r="U438" s="182"/>
      <c r="V438" s="182"/>
      <c r="W438" s="182"/>
      <c r="X438" s="182"/>
      <c r="Y438" s="182"/>
      <c r="Z438" s="182"/>
      <c r="AA438" s="182"/>
      <c r="AB438" s="182"/>
      <c r="AC438" s="182"/>
      <c r="AD438" s="182"/>
      <c r="AE438" s="182"/>
      <c r="AF438" s="182"/>
      <c r="AG438" s="182"/>
      <c r="AH438" s="182"/>
      <c r="AI438" s="182"/>
      <c r="AJ438" s="182"/>
      <c r="AK438" s="182"/>
      <c r="AL438" s="182"/>
      <c r="AM438" s="182"/>
      <c r="AN438" s="182"/>
      <c r="AO438" s="182"/>
      <c r="AP438" s="182"/>
      <c r="AQ438" s="182"/>
      <c r="AR438" s="182"/>
      <c r="AS438" s="182"/>
      <c r="AT438" s="182"/>
      <c r="AU438" s="182"/>
      <c r="AV438" s="182"/>
      <c r="AW438" s="182"/>
      <c r="AX438" s="182"/>
      <c r="AY438" s="182"/>
      <c r="AZ438" s="182"/>
      <c r="BA438" s="182"/>
      <c r="BB438" s="182"/>
      <c r="BC438" s="182"/>
      <c r="BD438" s="182"/>
      <c r="BE438" s="182"/>
      <c r="BF438" s="182"/>
      <c r="BG438" s="182"/>
      <c r="BH438" s="182"/>
      <c r="BI438" s="182"/>
      <c r="BJ438" s="182"/>
      <c r="BK438" s="182"/>
      <c r="BL438" s="182"/>
      <c r="BM438" s="182"/>
      <c r="BN438" s="182"/>
      <c r="BO438" s="182"/>
      <c r="BP438" s="182"/>
      <c r="BQ438" s="182"/>
      <c r="BR438" s="182"/>
      <c r="BS438" s="182"/>
      <c r="BT438" s="182"/>
      <c r="BU438" s="182"/>
      <c r="BV438" s="182"/>
      <c r="BW438" s="182"/>
      <c r="BX438" s="182"/>
      <c r="BY438" s="182"/>
      <c r="BZ438" s="182"/>
      <c r="CA438" s="182"/>
      <c r="CB438" s="182"/>
      <c r="CC438" s="182"/>
      <c r="CD438" s="182"/>
      <c r="CE438" s="182"/>
      <c r="CF438" s="182"/>
      <c r="CG438" s="182"/>
      <c r="CH438" s="182"/>
      <c r="CI438" s="182"/>
      <c r="CJ438" s="182"/>
      <c r="CK438" s="182"/>
      <c r="CL438" s="182"/>
      <c r="CM438" s="182"/>
      <c r="CN438" s="182"/>
      <c r="CO438" s="182"/>
      <c r="CP438" s="182"/>
      <c r="CQ438" s="182"/>
      <c r="CR438" s="182"/>
      <c r="CS438" s="182"/>
      <c r="CT438" s="182"/>
      <c r="CU438" s="182"/>
      <c r="CV438" s="182"/>
      <c r="CW438" s="182"/>
      <c r="CX438" s="182"/>
      <c r="CY438" s="182"/>
      <c r="CZ438" s="182"/>
      <c r="DA438" s="182"/>
      <c r="DB438" s="182"/>
      <c r="DC438" s="182"/>
      <c r="DD438" s="182"/>
      <c r="DE438" s="182"/>
      <c r="DF438" s="182"/>
      <c r="DG438" s="182"/>
      <c r="DH438" s="182"/>
      <c r="DI438" s="182"/>
      <c r="DJ438" s="182"/>
      <c r="DK438" s="182"/>
      <c r="DL438" s="182"/>
      <c r="DM438" s="182"/>
      <c r="DN438" s="182"/>
      <c r="DO438" s="182"/>
      <c r="DP438" s="182"/>
      <c r="DQ438" s="182"/>
      <c r="DR438" s="182"/>
      <c r="DS438" s="182"/>
      <c r="DT438" s="182"/>
      <c r="DU438" s="182"/>
      <c r="DV438" s="182"/>
      <c r="DW438" s="182"/>
      <c r="DX438" s="182"/>
      <c r="DY438" s="182"/>
      <c r="DZ438" s="182"/>
      <c r="EA438" s="182"/>
      <c r="EB438" s="182"/>
      <c r="EC438" s="182"/>
      <c r="ED438" s="182"/>
      <c r="EE438" s="182"/>
      <c r="EF438" s="182"/>
      <c r="EG438" s="182"/>
      <c r="EH438" s="182"/>
      <c r="EI438" s="182"/>
      <c r="EJ438" s="182"/>
      <c r="EK438" s="182"/>
      <c r="EL438" s="182"/>
      <c r="EM438" s="182"/>
      <c r="EN438" s="182"/>
      <c r="EO438" s="182"/>
      <c r="EP438" s="182"/>
      <c r="EQ438" s="182"/>
      <c r="ER438" s="182"/>
      <c r="ES438" s="182"/>
      <c r="ET438" s="182"/>
      <c r="EU438" s="182"/>
      <c r="EV438" s="182"/>
      <c r="EW438" s="182"/>
      <c r="EX438" s="182"/>
      <c r="EY438" s="182"/>
      <c r="EZ438" s="182"/>
      <c r="FA438" s="182"/>
      <c r="FB438" s="182"/>
      <c r="FC438" s="182"/>
      <c r="FD438" s="182"/>
      <c r="FE438" s="182"/>
      <c r="FF438" s="182"/>
      <c r="FG438" s="182"/>
      <c r="FH438" s="182"/>
      <c r="FI438" s="182"/>
      <c r="FJ438" s="182"/>
      <c r="FK438" s="182"/>
      <c r="FL438" s="182"/>
      <c r="FM438" s="182"/>
      <c r="FN438" s="182"/>
      <c r="FO438" s="182"/>
      <c r="FP438" s="182"/>
      <c r="FQ438" s="182"/>
      <c r="FR438" s="182"/>
      <c r="FS438" s="182"/>
      <c r="FT438" s="182"/>
      <c r="FU438" s="182"/>
      <c r="FV438" s="182"/>
      <c r="FW438" s="182"/>
      <c r="FX438" s="182"/>
      <c r="FY438" s="182"/>
      <c r="FZ438" s="182"/>
      <c r="GA438" s="182"/>
      <c r="GB438" s="182"/>
      <c r="GC438" s="182"/>
      <c r="GD438" s="182"/>
      <c r="GE438" s="182"/>
      <c r="GF438" s="182"/>
      <c r="GG438" s="182"/>
      <c r="GH438" s="182"/>
      <c r="GI438" s="182"/>
    </row>
    <row r="439" spans="1:191" s="183" customFormat="1" x14ac:dyDescent="0.2">
      <c r="A439" s="210" t="s">
        <v>38744</v>
      </c>
      <c r="B439" s="210" t="s">
        <v>20700</v>
      </c>
      <c r="C439" s="224" t="s">
        <v>22543</v>
      </c>
      <c r="D439" s="211" t="s">
        <v>16</v>
      </c>
      <c r="E439" s="211">
        <v>4</v>
      </c>
      <c r="F439" s="211"/>
      <c r="G439" s="211">
        <v>0.3</v>
      </c>
      <c r="H439" s="212"/>
      <c r="I439" s="213"/>
      <c r="J439" s="272">
        <v>156</v>
      </c>
      <c r="K439" s="112">
        <f t="shared" si="29"/>
        <v>624</v>
      </c>
      <c r="L439" s="273">
        <f>BDI!$E$17</f>
        <v>0.11260000000000001</v>
      </c>
      <c r="M439" s="213"/>
      <c r="N439" s="213"/>
      <c r="O439" s="114">
        <f t="shared" si="30"/>
        <v>173.57</v>
      </c>
      <c r="P439" s="113">
        <f t="shared" si="31"/>
        <v>208.28</v>
      </c>
      <c r="Q439" s="209"/>
      <c r="R439" s="203"/>
      <c r="S439" s="182"/>
      <c r="T439" s="182"/>
      <c r="U439" s="182"/>
      <c r="V439" s="182"/>
      <c r="W439" s="182"/>
      <c r="X439" s="182"/>
      <c r="Y439" s="182"/>
      <c r="Z439" s="182"/>
      <c r="AA439" s="182"/>
      <c r="AB439" s="182"/>
      <c r="AC439" s="182"/>
      <c r="AD439" s="182"/>
      <c r="AE439" s="182"/>
      <c r="AF439" s="182"/>
      <c r="AG439" s="182"/>
      <c r="AH439" s="182"/>
      <c r="AI439" s="182"/>
      <c r="AJ439" s="182"/>
      <c r="AK439" s="182"/>
      <c r="AL439" s="182"/>
      <c r="AM439" s="182"/>
      <c r="AN439" s="182"/>
      <c r="AO439" s="182"/>
      <c r="AP439" s="182"/>
      <c r="AQ439" s="182"/>
      <c r="AR439" s="182"/>
      <c r="AS439" s="182"/>
      <c r="AT439" s="182"/>
      <c r="AU439" s="182"/>
      <c r="AV439" s="182"/>
      <c r="AW439" s="182"/>
      <c r="AX439" s="182"/>
      <c r="AY439" s="182"/>
      <c r="AZ439" s="182"/>
      <c r="BA439" s="182"/>
      <c r="BB439" s="182"/>
      <c r="BC439" s="182"/>
      <c r="BD439" s="182"/>
      <c r="BE439" s="182"/>
      <c r="BF439" s="182"/>
      <c r="BG439" s="182"/>
      <c r="BH439" s="182"/>
      <c r="BI439" s="182"/>
      <c r="BJ439" s="182"/>
      <c r="BK439" s="182"/>
      <c r="BL439" s="182"/>
      <c r="BM439" s="182"/>
      <c r="BN439" s="182"/>
      <c r="BO439" s="182"/>
      <c r="BP439" s="182"/>
      <c r="BQ439" s="182"/>
      <c r="BR439" s="182"/>
      <c r="BS439" s="182"/>
      <c r="BT439" s="182"/>
      <c r="BU439" s="182"/>
      <c r="BV439" s="182"/>
      <c r="BW439" s="182"/>
      <c r="BX439" s="182"/>
      <c r="BY439" s="182"/>
      <c r="BZ439" s="182"/>
      <c r="CA439" s="182"/>
      <c r="CB439" s="182"/>
      <c r="CC439" s="182"/>
      <c r="CD439" s="182"/>
      <c r="CE439" s="182"/>
      <c r="CF439" s="182"/>
      <c r="CG439" s="182"/>
      <c r="CH439" s="182"/>
      <c r="CI439" s="182"/>
      <c r="CJ439" s="182"/>
      <c r="CK439" s="182"/>
      <c r="CL439" s="182"/>
      <c r="CM439" s="182"/>
      <c r="CN439" s="182"/>
      <c r="CO439" s="182"/>
      <c r="CP439" s="182"/>
      <c r="CQ439" s="182"/>
      <c r="CR439" s="182"/>
      <c r="CS439" s="182"/>
      <c r="CT439" s="182"/>
      <c r="CU439" s="182"/>
      <c r="CV439" s="182"/>
      <c r="CW439" s="182"/>
      <c r="CX439" s="182"/>
      <c r="CY439" s="182"/>
      <c r="CZ439" s="182"/>
      <c r="DA439" s="182"/>
      <c r="DB439" s="182"/>
      <c r="DC439" s="182"/>
      <c r="DD439" s="182"/>
      <c r="DE439" s="182"/>
      <c r="DF439" s="182"/>
      <c r="DG439" s="182"/>
      <c r="DH439" s="182"/>
      <c r="DI439" s="182"/>
      <c r="DJ439" s="182"/>
      <c r="DK439" s="182"/>
      <c r="DL439" s="182"/>
      <c r="DM439" s="182"/>
      <c r="DN439" s="182"/>
      <c r="DO439" s="182"/>
      <c r="DP439" s="182"/>
      <c r="DQ439" s="182"/>
      <c r="DR439" s="182"/>
      <c r="DS439" s="182"/>
      <c r="DT439" s="182"/>
      <c r="DU439" s="182"/>
      <c r="DV439" s="182"/>
      <c r="DW439" s="182"/>
      <c r="DX439" s="182"/>
      <c r="DY439" s="182"/>
      <c r="DZ439" s="182"/>
      <c r="EA439" s="182"/>
      <c r="EB439" s="182"/>
      <c r="EC439" s="182"/>
      <c r="ED439" s="182"/>
      <c r="EE439" s="182"/>
      <c r="EF439" s="182"/>
      <c r="EG439" s="182"/>
      <c r="EH439" s="182"/>
      <c r="EI439" s="182"/>
      <c r="EJ439" s="182"/>
      <c r="EK439" s="182"/>
      <c r="EL439" s="182"/>
      <c r="EM439" s="182"/>
      <c r="EN439" s="182"/>
      <c r="EO439" s="182"/>
      <c r="EP439" s="182"/>
      <c r="EQ439" s="182"/>
      <c r="ER439" s="182"/>
      <c r="ES439" s="182"/>
      <c r="ET439" s="182"/>
      <c r="EU439" s="182"/>
      <c r="EV439" s="182"/>
      <c r="EW439" s="182"/>
      <c r="EX439" s="182"/>
      <c r="EY439" s="182"/>
      <c r="EZ439" s="182"/>
      <c r="FA439" s="182"/>
      <c r="FB439" s="182"/>
      <c r="FC439" s="182"/>
      <c r="FD439" s="182"/>
      <c r="FE439" s="182"/>
      <c r="FF439" s="182"/>
      <c r="FG439" s="182"/>
      <c r="FH439" s="182"/>
      <c r="FI439" s="182"/>
      <c r="FJ439" s="182"/>
      <c r="FK439" s="182"/>
      <c r="FL439" s="182"/>
      <c r="FM439" s="182"/>
      <c r="FN439" s="182"/>
      <c r="FO439" s="182"/>
      <c r="FP439" s="182"/>
      <c r="FQ439" s="182"/>
      <c r="FR439" s="182"/>
      <c r="FS439" s="182"/>
      <c r="FT439" s="182"/>
      <c r="FU439" s="182"/>
      <c r="FV439" s="182"/>
      <c r="FW439" s="182"/>
      <c r="FX439" s="182"/>
      <c r="FY439" s="182"/>
      <c r="FZ439" s="182"/>
      <c r="GA439" s="182"/>
      <c r="GB439" s="182"/>
      <c r="GC439" s="182"/>
      <c r="GD439" s="182"/>
      <c r="GE439" s="182"/>
      <c r="GF439" s="182"/>
      <c r="GG439" s="182"/>
      <c r="GH439" s="182"/>
      <c r="GI439" s="182"/>
    </row>
    <row r="440" spans="1:191" s="183" customFormat="1" x14ac:dyDescent="0.2">
      <c r="A440" s="210" t="s">
        <v>38745</v>
      </c>
      <c r="B440" s="210" t="s">
        <v>20701</v>
      </c>
      <c r="C440" s="224" t="s">
        <v>22544</v>
      </c>
      <c r="D440" s="211" t="s">
        <v>16</v>
      </c>
      <c r="E440" s="211">
        <v>2</v>
      </c>
      <c r="F440" s="211"/>
      <c r="G440" s="211">
        <v>0.3</v>
      </c>
      <c r="H440" s="212"/>
      <c r="I440" s="213"/>
      <c r="J440" s="272">
        <v>397.81</v>
      </c>
      <c r="K440" s="112">
        <f t="shared" si="29"/>
        <v>795.62</v>
      </c>
      <c r="L440" s="273">
        <f>BDI!$E$17</f>
        <v>0.11260000000000001</v>
      </c>
      <c r="M440" s="213"/>
      <c r="N440" s="213"/>
      <c r="O440" s="114">
        <f t="shared" si="30"/>
        <v>442.6</v>
      </c>
      <c r="P440" s="113">
        <f t="shared" si="31"/>
        <v>265.56</v>
      </c>
      <c r="Q440" s="209"/>
      <c r="R440" s="203"/>
      <c r="S440" s="182"/>
      <c r="T440" s="182"/>
      <c r="U440" s="182"/>
      <c r="V440" s="182"/>
      <c r="W440" s="182"/>
      <c r="X440" s="182"/>
      <c r="Y440" s="182"/>
      <c r="Z440" s="182"/>
      <c r="AA440" s="182"/>
      <c r="AB440" s="182"/>
      <c r="AC440" s="182"/>
      <c r="AD440" s="182"/>
      <c r="AE440" s="182"/>
      <c r="AF440" s="182"/>
      <c r="AG440" s="182"/>
      <c r="AH440" s="182"/>
      <c r="AI440" s="182"/>
      <c r="AJ440" s="182"/>
      <c r="AK440" s="182"/>
      <c r="AL440" s="182"/>
      <c r="AM440" s="182"/>
      <c r="AN440" s="182"/>
      <c r="AO440" s="182"/>
      <c r="AP440" s="182"/>
      <c r="AQ440" s="182"/>
      <c r="AR440" s="182"/>
      <c r="AS440" s="182"/>
      <c r="AT440" s="182"/>
      <c r="AU440" s="182"/>
      <c r="AV440" s="182"/>
      <c r="AW440" s="182"/>
      <c r="AX440" s="182"/>
      <c r="AY440" s="182"/>
      <c r="AZ440" s="182"/>
      <c r="BA440" s="182"/>
      <c r="BB440" s="182"/>
      <c r="BC440" s="182"/>
      <c r="BD440" s="182"/>
      <c r="BE440" s="182"/>
      <c r="BF440" s="182"/>
      <c r="BG440" s="182"/>
      <c r="BH440" s="182"/>
      <c r="BI440" s="182"/>
      <c r="BJ440" s="182"/>
      <c r="BK440" s="182"/>
      <c r="BL440" s="182"/>
      <c r="BM440" s="182"/>
      <c r="BN440" s="182"/>
      <c r="BO440" s="182"/>
      <c r="BP440" s="182"/>
      <c r="BQ440" s="182"/>
      <c r="BR440" s="182"/>
      <c r="BS440" s="182"/>
      <c r="BT440" s="182"/>
      <c r="BU440" s="182"/>
      <c r="BV440" s="182"/>
      <c r="BW440" s="182"/>
      <c r="BX440" s="182"/>
      <c r="BY440" s="182"/>
      <c r="BZ440" s="182"/>
      <c r="CA440" s="182"/>
      <c r="CB440" s="182"/>
      <c r="CC440" s="182"/>
      <c r="CD440" s="182"/>
      <c r="CE440" s="182"/>
      <c r="CF440" s="182"/>
      <c r="CG440" s="182"/>
      <c r="CH440" s="182"/>
      <c r="CI440" s="182"/>
      <c r="CJ440" s="182"/>
      <c r="CK440" s="182"/>
      <c r="CL440" s="182"/>
      <c r="CM440" s="182"/>
      <c r="CN440" s="182"/>
      <c r="CO440" s="182"/>
      <c r="CP440" s="182"/>
      <c r="CQ440" s="182"/>
      <c r="CR440" s="182"/>
      <c r="CS440" s="182"/>
      <c r="CT440" s="182"/>
      <c r="CU440" s="182"/>
      <c r="CV440" s="182"/>
      <c r="CW440" s="182"/>
      <c r="CX440" s="182"/>
      <c r="CY440" s="182"/>
      <c r="CZ440" s="182"/>
      <c r="DA440" s="182"/>
      <c r="DB440" s="182"/>
      <c r="DC440" s="182"/>
      <c r="DD440" s="182"/>
      <c r="DE440" s="182"/>
      <c r="DF440" s="182"/>
      <c r="DG440" s="182"/>
      <c r="DH440" s="182"/>
      <c r="DI440" s="182"/>
      <c r="DJ440" s="182"/>
      <c r="DK440" s="182"/>
      <c r="DL440" s="182"/>
      <c r="DM440" s="182"/>
      <c r="DN440" s="182"/>
      <c r="DO440" s="182"/>
      <c r="DP440" s="182"/>
      <c r="DQ440" s="182"/>
      <c r="DR440" s="182"/>
      <c r="DS440" s="182"/>
      <c r="DT440" s="182"/>
      <c r="DU440" s="182"/>
      <c r="DV440" s="182"/>
      <c r="DW440" s="182"/>
      <c r="DX440" s="182"/>
      <c r="DY440" s="182"/>
      <c r="DZ440" s="182"/>
      <c r="EA440" s="182"/>
      <c r="EB440" s="182"/>
      <c r="EC440" s="182"/>
      <c r="ED440" s="182"/>
      <c r="EE440" s="182"/>
      <c r="EF440" s="182"/>
      <c r="EG440" s="182"/>
      <c r="EH440" s="182"/>
      <c r="EI440" s="182"/>
      <c r="EJ440" s="182"/>
      <c r="EK440" s="182"/>
      <c r="EL440" s="182"/>
      <c r="EM440" s="182"/>
      <c r="EN440" s="182"/>
      <c r="EO440" s="182"/>
      <c r="EP440" s="182"/>
      <c r="EQ440" s="182"/>
      <c r="ER440" s="182"/>
      <c r="ES440" s="182"/>
      <c r="ET440" s="182"/>
      <c r="EU440" s="182"/>
      <c r="EV440" s="182"/>
      <c r="EW440" s="182"/>
      <c r="EX440" s="182"/>
      <c r="EY440" s="182"/>
      <c r="EZ440" s="182"/>
      <c r="FA440" s="182"/>
      <c r="FB440" s="182"/>
      <c r="FC440" s="182"/>
      <c r="FD440" s="182"/>
      <c r="FE440" s="182"/>
      <c r="FF440" s="182"/>
      <c r="FG440" s="182"/>
      <c r="FH440" s="182"/>
      <c r="FI440" s="182"/>
      <c r="FJ440" s="182"/>
      <c r="FK440" s="182"/>
      <c r="FL440" s="182"/>
      <c r="FM440" s="182"/>
      <c r="FN440" s="182"/>
      <c r="FO440" s="182"/>
      <c r="FP440" s="182"/>
      <c r="FQ440" s="182"/>
      <c r="FR440" s="182"/>
      <c r="FS440" s="182"/>
      <c r="FT440" s="182"/>
      <c r="FU440" s="182"/>
      <c r="FV440" s="182"/>
      <c r="FW440" s="182"/>
      <c r="FX440" s="182"/>
      <c r="FY440" s="182"/>
      <c r="FZ440" s="182"/>
      <c r="GA440" s="182"/>
      <c r="GB440" s="182"/>
      <c r="GC440" s="182"/>
      <c r="GD440" s="182"/>
      <c r="GE440" s="182"/>
      <c r="GF440" s="182"/>
      <c r="GG440" s="182"/>
      <c r="GH440" s="182"/>
      <c r="GI440" s="182"/>
    </row>
    <row r="441" spans="1:191" s="183" customFormat="1" x14ac:dyDescent="0.2">
      <c r="A441" s="210" t="s">
        <v>38746</v>
      </c>
      <c r="B441" s="210" t="s">
        <v>20702</v>
      </c>
      <c r="C441" s="224" t="s">
        <v>22545</v>
      </c>
      <c r="D441" s="211" t="s">
        <v>16</v>
      </c>
      <c r="E441" s="211">
        <v>1</v>
      </c>
      <c r="F441" s="211"/>
      <c r="G441" s="211">
        <v>0.3</v>
      </c>
      <c r="H441" s="212"/>
      <c r="I441" s="213"/>
      <c r="J441" s="272">
        <v>190.11</v>
      </c>
      <c r="K441" s="112">
        <f t="shared" si="29"/>
        <v>190.11</v>
      </c>
      <c r="L441" s="273">
        <f>BDI!$E$17</f>
        <v>0.11260000000000001</v>
      </c>
      <c r="M441" s="213"/>
      <c r="N441" s="213"/>
      <c r="O441" s="114">
        <f t="shared" si="30"/>
        <v>211.52</v>
      </c>
      <c r="P441" s="113">
        <f t="shared" si="31"/>
        <v>63.46</v>
      </c>
      <c r="Q441" s="209"/>
      <c r="R441" s="203"/>
      <c r="S441" s="182"/>
      <c r="T441" s="182"/>
      <c r="U441" s="182"/>
      <c r="V441" s="182"/>
      <c r="W441" s="182"/>
      <c r="X441" s="182"/>
      <c r="Y441" s="182"/>
      <c r="Z441" s="182"/>
      <c r="AA441" s="182"/>
      <c r="AB441" s="182"/>
      <c r="AC441" s="182"/>
      <c r="AD441" s="182"/>
      <c r="AE441" s="182"/>
      <c r="AF441" s="182"/>
      <c r="AG441" s="182"/>
      <c r="AH441" s="182"/>
      <c r="AI441" s="182"/>
      <c r="AJ441" s="182"/>
      <c r="AK441" s="182"/>
      <c r="AL441" s="182"/>
      <c r="AM441" s="182"/>
      <c r="AN441" s="182"/>
      <c r="AO441" s="182"/>
      <c r="AP441" s="182"/>
      <c r="AQ441" s="182"/>
      <c r="AR441" s="182"/>
      <c r="AS441" s="182"/>
      <c r="AT441" s="182"/>
      <c r="AU441" s="182"/>
      <c r="AV441" s="182"/>
      <c r="AW441" s="182"/>
      <c r="AX441" s="182"/>
      <c r="AY441" s="182"/>
      <c r="AZ441" s="182"/>
      <c r="BA441" s="182"/>
      <c r="BB441" s="182"/>
      <c r="BC441" s="182"/>
      <c r="BD441" s="182"/>
      <c r="BE441" s="182"/>
      <c r="BF441" s="182"/>
      <c r="BG441" s="182"/>
      <c r="BH441" s="182"/>
      <c r="BI441" s="182"/>
      <c r="BJ441" s="182"/>
      <c r="BK441" s="182"/>
      <c r="BL441" s="182"/>
      <c r="BM441" s="182"/>
      <c r="BN441" s="182"/>
      <c r="BO441" s="182"/>
      <c r="BP441" s="182"/>
      <c r="BQ441" s="182"/>
      <c r="BR441" s="182"/>
      <c r="BS441" s="182"/>
      <c r="BT441" s="182"/>
      <c r="BU441" s="182"/>
      <c r="BV441" s="182"/>
      <c r="BW441" s="182"/>
      <c r="BX441" s="182"/>
      <c r="BY441" s="182"/>
      <c r="BZ441" s="182"/>
      <c r="CA441" s="182"/>
      <c r="CB441" s="182"/>
      <c r="CC441" s="182"/>
      <c r="CD441" s="182"/>
      <c r="CE441" s="182"/>
      <c r="CF441" s="182"/>
      <c r="CG441" s="182"/>
      <c r="CH441" s="182"/>
      <c r="CI441" s="182"/>
      <c r="CJ441" s="182"/>
      <c r="CK441" s="182"/>
      <c r="CL441" s="182"/>
      <c r="CM441" s="182"/>
      <c r="CN441" s="182"/>
      <c r="CO441" s="182"/>
      <c r="CP441" s="182"/>
      <c r="CQ441" s="182"/>
      <c r="CR441" s="182"/>
      <c r="CS441" s="182"/>
      <c r="CT441" s="182"/>
      <c r="CU441" s="182"/>
      <c r="CV441" s="182"/>
      <c r="CW441" s="182"/>
      <c r="CX441" s="182"/>
      <c r="CY441" s="182"/>
      <c r="CZ441" s="182"/>
      <c r="DA441" s="182"/>
      <c r="DB441" s="182"/>
      <c r="DC441" s="182"/>
      <c r="DD441" s="182"/>
      <c r="DE441" s="182"/>
      <c r="DF441" s="182"/>
      <c r="DG441" s="182"/>
      <c r="DH441" s="182"/>
      <c r="DI441" s="182"/>
      <c r="DJ441" s="182"/>
      <c r="DK441" s="182"/>
      <c r="DL441" s="182"/>
      <c r="DM441" s="182"/>
      <c r="DN441" s="182"/>
      <c r="DO441" s="182"/>
      <c r="DP441" s="182"/>
      <c r="DQ441" s="182"/>
      <c r="DR441" s="182"/>
      <c r="DS441" s="182"/>
      <c r="DT441" s="182"/>
      <c r="DU441" s="182"/>
      <c r="DV441" s="182"/>
      <c r="DW441" s="182"/>
      <c r="DX441" s="182"/>
      <c r="DY441" s="182"/>
      <c r="DZ441" s="182"/>
      <c r="EA441" s="182"/>
      <c r="EB441" s="182"/>
      <c r="EC441" s="182"/>
      <c r="ED441" s="182"/>
      <c r="EE441" s="182"/>
      <c r="EF441" s="182"/>
      <c r="EG441" s="182"/>
      <c r="EH441" s="182"/>
      <c r="EI441" s="182"/>
      <c r="EJ441" s="182"/>
      <c r="EK441" s="182"/>
      <c r="EL441" s="182"/>
      <c r="EM441" s="182"/>
      <c r="EN441" s="182"/>
      <c r="EO441" s="182"/>
      <c r="EP441" s="182"/>
      <c r="EQ441" s="182"/>
      <c r="ER441" s="182"/>
      <c r="ES441" s="182"/>
      <c r="ET441" s="182"/>
      <c r="EU441" s="182"/>
      <c r="EV441" s="182"/>
      <c r="EW441" s="182"/>
      <c r="EX441" s="182"/>
      <c r="EY441" s="182"/>
      <c r="EZ441" s="182"/>
      <c r="FA441" s="182"/>
      <c r="FB441" s="182"/>
      <c r="FC441" s="182"/>
      <c r="FD441" s="182"/>
      <c r="FE441" s="182"/>
      <c r="FF441" s="182"/>
      <c r="FG441" s="182"/>
      <c r="FH441" s="182"/>
      <c r="FI441" s="182"/>
      <c r="FJ441" s="182"/>
      <c r="FK441" s="182"/>
      <c r="FL441" s="182"/>
      <c r="FM441" s="182"/>
      <c r="FN441" s="182"/>
      <c r="FO441" s="182"/>
      <c r="FP441" s="182"/>
      <c r="FQ441" s="182"/>
      <c r="FR441" s="182"/>
      <c r="FS441" s="182"/>
      <c r="FT441" s="182"/>
      <c r="FU441" s="182"/>
      <c r="FV441" s="182"/>
      <c r="FW441" s="182"/>
      <c r="FX441" s="182"/>
      <c r="FY441" s="182"/>
      <c r="FZ441" s="182"/>
      <c r="GA441" s="182"/>
      <c r="GB441" s="182"/>
      <c r="GC441" s="182"/>
      <c r="GD441" s="182"/>
      <c r="GE441" s="182"/>
      <c r="GF441" s="182"/>
      <c r="GG441" s="182"/>
      <c r="GH441" s="182"/>
      <c r="GI441" s="182"/>
    </row>
    <row r="442" spans="1:191" s="183" customFormat="1" x14ac:dyDescent="0.2">
      <c r="A442" s="210" t="s">
        <v>38747</v>
      </c>
      <c r="B442" s="210" t="s">
        <v>20703</v>
      </c>
      <c r="C442" s="224" t="s">
        <v>22546</v>
      </c>
      <c r="D442" s="211" t="s">
        <v>69</v>
      </c>
      <c r="E442" s="211">
        <v>1000</v>
      </c>
      <c r="F442" s="211"/>
      <c r="G442" s="211">
        <v>0.3</v>
      </c>
      <c r="H442" s="212"/>
      <c r="I442" s="213"/>
      <c r="J442" s="272">
        <v>4.0999999999999996</v>
      </c>
      <c r="K442" s="112">
        <f t="shared" si="29"/>
        <v>4100</v>
      </c>
      <c r="L442" s="273">
        <f>BDI!$E$17</f>
        <v>0.11260000000000001</v>
      </c>
      <c r="M442" s="213"/>
      <c r="N442" s="213"/>
      <c r="O442" s="114">
        <f t="shared" si="30"/>
        <v>4.5599999999999996</v>
      </c>
      <c r="P442" s="113">
        <f t="shared" si="31"/>
        <v>1368</v>
      </c>
      <c r="Q442" s="209"/>
      <c r="R442" s="203"/>
      <c r="S442" s="182"/>
      <c r="T442" s="182"/>
      <c r="U442" s="182"/>
      <c r="V442" s="182"/>
      <c r="W442" s="182"/>
      <c r="X442" s="182"/>
      <c r="Y442" s="182"/>
      <c r="Z442" s="182"/>
      <c r="AA442" s="182"/>
      <c r="AB442" s="182"/>
      <c r="AC442" s="182"/>
      <c r="AD442" s="182"/>
      <c r="AE442" s="182"/>
      <c r="AF442" s="182"/>
      <c r="AG442" s="182"/>
      <c r="AH442" s="182"/>
      <c r="AI442" s="182"/>
      <c r="AJ442" s="182"/>
      <c r="AK442" s="182"/>
      <c r="AL442" s="182"/>
      <c r="AM442" s="182"/>
      <c r="AN442" s="182"/>
      <c r="AO442" s="182"/>
      <c r="AP442" s="182"/>
      <c r="AQ442" s="182"/>
      <c r="AR442" s="182"/>
      <c r="AS442" s="182"/>
      <c r="AT442" s="182"/>
      <c r="AU442" s="182"/>
      <c r="AV442" s="182"/>
      <c r="AW442" s="182"/>
      <c r="AX442" s="182"/>
      <c r="AY442" s="182"/>
      <c r="AZ442" s="182"/>
      <c r="BA442" s="182"/>
      <c r="BB442" s="182"/>
      <c r="BC442" s="182"/>
      <c r="BD442" s="182"/>
      <c r="BE442" s="182"/>
      <c r="BF442" s="182"/>
      <c r="BG442" s="182"/>
      <c r="BH442" s="182"/>
      <c r="BI442" s="182"/>
      <c r="BJ442" s="182"/>
      <c r="BK442" s="182"/>
      <c r="BL442" s="182"/>
      <c r="BM442" s="182"/>
      <c r="BN442" s="182"/>
      <c r="BO442" s="182"/>
      <c r="BP442" s="182"/>
      <c r="BQ442" s="182"/>
      <c r="BR442" s="182"/>
      <c r="BS442" s="182"/>
      <c r="BT442" s="182"/>
      <c r="BU442" s="182"/>
      <c r="BV442" s="182"/>
      <c r="BW442" s="182"/>
      <c r="BX442" s="182"/>
      <c r="BY442" s="182"/>
      <c r="BZ442" s="182"/>
      <c r="CA442" s="182"/>
      <c r="CB442" s="182"/>
      <c r="CC442" s="182"/>
      <c r="CD442" s="182"/>
      <c r="CE442" s="182"/>
      <c r="CF442" s="182"/>
      <c r="CG442" s="182"/>
      <c r="CH442" s="182"/>
      <c r="CI442" s="182"/>
      <c r="CJ442" s="182"/>
      <c r="CK442" s="182"/>
      <c r="CL442" s="182"/>
      <c r="CM442" s="182"/>
      <c r="CN442" s="182"/>
      <c r="CO442" s="182"/>
      <c r="CP442" s="182"/>
      <c r="CQ442" s="182"/>
      <c r="CR442" s="182"/>
      <c r="CS442" s="182"/>
      <c r="CT442" s="182"/>
      <c r="CU442" s="182"/>
      <c r="CV442" s="182"/>
      <c r="CW442" s="182"/>
      <c r="CX442" s="182"/>
      <c r="CY442" s="182"/>
      <c r="CZ442" s="182"/>
      <c r="DA442" s="182"/>
      <c r="DB442" s="182"/>
      <c r="DC442" s="182"/>
      <c r="DD442" s="182"/>
      <c r="DE442" s="182"/>
      <c r="DF442" s="182"/>
      <c r="DG442" s="182"/>
      <c r="DH442" s="182"/>
      <c r="DI442" s="182"/>
      <c r="DJ442" s="182"/>
      <c r="DK442" s="182"/>
      <c r="DL442" s="182"/>
      <c r="DM442" s="182"/>
      <c r="DN442" s="182"/>
      <c r="DO442" s="182"/>
      <c r="DP442" s="182"/>
      <c r="DQ442" s="182"/>
      <c r="DR442" s="182"/>
      <c r="DS442" s="182"/>
      <c r="DT442" s="182"/>
      <c r="DU442" s="182"/>
      <c r="DV442" s="182"/>
      <c r="DW442" s="182"/>
      <c r="DX442" s="182"/>
      <c r="DY442" s="182"/>
      <c r="DZ442" s="182"/>
      <c r="EA442" s="182"/>
      <c r="EB442" s="182"/>
      <c r="EC442" s="182"/>
      <c r="ED442" s="182"/>
      <c r="EE442" s="182"/>
      <c r="EF442" s="182"/>
      <c r="EG442" s="182"/>
      <c r="EH442" s="182"/>
      <c r="EI442" s="182"/>
      <c r="EJ442" s="182"/>
      <c r="EK442" s="182"/>
      <c r="EL442" s="182"/>
      <c r="EM442" s="182"/>
      <c r="EN442" s="182"/>
      <c r="EO442" s="182"/>
      <c r="EP442" s="182"/>
      <c r="EQ442" s="182"/>
      <c r="ER442" s="182"/>
      <c r="ES442" s="182"/>
      <c r="ET442" s="182"/>
      <c r="EU442" s="182"/>
      <c r="EV442" s="182"/>
      <c r="EW442" s="182"/>
      <c r="EX442" s="182"/>
      <c r="EY442" s="182"/>
      <c r="EZ442" s="182"/>
      <c r="FA442" s="182"/>
      <c r="FB442" s="182"/>
      <c r="FC442" s="182"/>
      <c r="FD442" s="182"/>
      <c r="FE442" s="182"/>
      <c r="FF442" s="182"/>
      <c r="FG442" s="182"/>
      <c r="FH442" s="182"/>
      <c r="FI442" s="182"/>
      <c r="FJ442" s="182"/>
      <c r="FK442" s="182"/>
      <c r="FL442" s="182"/>
      <c r="FM442" s="182"/>
      <c r="FN442" s="182"/>
      <c r="FO442" s="182"/>
      <c r="FP442" s="182"/>
      <c r="FQ442" s="182"/>
      <c r="FR442" s="182"/>
      <c r="FS442" s="182"/>
      <c r="FT442" s="182"/>
      <c r="FU442" s="182"/>
      <c r="FV442" s="182"/>
      <c r="FW442" s="182"/>
      <c r="FX442" s="182"/>
      <c r="FY442" s="182"/>
      <c r="FZ442" s="182"/>
      <c r="GA442" s="182"/>
      <c r="GB442" s="182"/>
      <c r="GC442" s="182"/>
      <c r="GD442" s="182"/>
      <c r="GE442" s="182"/>
      <c r="GF442" s="182"/>
      <c r="GG442" s="182"/>
      <c r="GH442" s="182"/>
      <c r="GI442" s="182"/>
    </row>
    <row r="443" spans="1:191" s="183" customFormat="1" x14ac:dyDescent="0.2">
      <c r="A443" s="210" t="s">
        <v>38748</v>
      </c>
      <c r="B443" s="210" t="s">
        <v>20704</v>
      </c>
      <c r="C443" s="224" t="s">
        <v>22547</v>
      </c>
      <c r="D443" s="211" t="s">
        <v>16</v>
      </c>
      <c r="E443" s="211">
        <v>400</v>
      </c>
      <c r="F443" s="211"/>
      <c r="G443" s="211">
        <v>0.3</v>
      </c>
      <c r="H443" s="212"/>
      <c r="I443" s="213"/>
      <c r="J443" s="272">
        <v>2.71</v>
      </c>
      <c r="K443" s="112">
        <f t="shared" si="29"/>
        <v>1084</v>
      </c>
      <c r="L443" s="273">
        <f>BDI!$E$17</f>
        <v>0.11260000000000001</v>
      </c>
      <c r="M443" s="213"/>
      <c r="N443" s="213"/>
      <c r="O443" s="114">
        <f t="shared" si="30"/>
        <v>3.02</v>
      </c>
      <c r="P443" s="113">
        <f t="shared" si="31"/>
        <v>362.4</v>
      </c>
      <c r="Q443" s="209"/>
      <c r="R443" s="203"/>
      <c r="S443" s="182"/>
      <c r="T443" s="182"/>
      <c r="U443" s="182"/>
      <c r="V443" s="182"/>
      <c r="W443" s="182"/>
      <c r="X443" s="182"/>
      <c r="Y443" s="182"/>
      <c r="Z443" s="182"/>
      <c r="AA443" s="182"/>
      <c r="AB443" s="182"/>
      <c r="AC443" s="182"/>
      <c r="AD443" s="182"/>
      <c r="AE443" s="182"/>
      <c r="AF443" s="182"/>
      <c r="AG443" s="182"/>
      <c r="AH443" s="182"/>
      <c r="AI443" s="182"/>
      <c r="AJ443" s="182"/>
      <c r="AK443" s="182"/>
      <c r="AL443" s="182"/>
      <c r="AM443" s="182"/>
      <c r="AN443" s="182"/>
      <c r="AO443" s="182"/>
      <c r="AP443" s="182"/>
      <c r="AQ443" s="182"/>
      <c r="AR443" s="182"/>
      <c r="AS443" s="182"/>
      <c r="AT443" s="182"/>
      <c r="AU443" s="182"/>
      <c r="AV443" s="182"/>
      <c r="AW443" s="182"/>
      <c r="AX443" s="182"/>
      <c r="AY443" s="182"/>
      <c r="AZ443" s="182"/>
      <c r="BA443" s="182"/>
      <c r="BB443" s="182"/>
      <c r="BC443" s="182"/>
      <c r="BD443" s="182"/>
      <c r="BE443" s="182"/>
      <c r="BF443" s="182"/>
      <c r="BG443" s="182"/>
      <c r="BH443" s="182"/>
      <c r="BI443" s="182"/>
      <c r="BJ443" s="182"/>
      <c r="BK443" s="182"/>
      <c r="BL443" s="182"/>
      <c r="BM443" s="182"/>
      <c r="BN443" s="182"/>
      <c r="BO443" s="182"/>
      <c r="BP443" s="182"/>
      <c r="BQ443" s="182"/>
      <c r="BR443" s="182"/>
      <c r="BS443" s="182"/>
      <c r="BT443" s="182"/>
      <c r="BU443" s="182"/>
      <c r="BV443" s="182"/>
      <c r="BW443" s="182"/>
      <c r="BX443" s="182"/>
      <c r="BY443" s="182"/>
      <c r="BZ443" s="182"/>
      <c r="CA443" s="182"/>
      <c r="CB443" s="182"/>
      <c r="CC443" s="182"/>
      <c r="CD443" s="182"/>
      <c r="CE443" s="182"/>
      <c r="CF443" s="182"/>
      <c r="CG443" s="182"/>
      <c r="CH443" s="182"/>
      <c r="CI443" s="182"/>
      <c r="CJ443" s="182"/>
      <c r="CK443" s="182"/>
      <c r="CL443" s="182"/>
      <c r="CM443" s="182"/>
      <c r="CN443" s="182"/>
      <c r="CO443" s="182"/>
      <c r="CP443" s="182"/>
      <c r="CQ443" s="182"/>
      <c r="CR443" s="182"/>
      <c r="CS443" s="182"/>
      <c r="CT443" s="182"/>
      <c r="CU443" s="182"/>
      <c r="CV443" s="182"/>
      <c r="CW443" s="182"/>
      <c r="CX443" s="182"/>
      <c r="CY443" s="182"/>
      <c r="CZ443" s="182"/>
      <c r="DA443" s="182"/>
      <c r="DB443" s="182"/>
      <c r="DC443" s="182"/>
      <c r="DD443" s="182"/>
      <c r="DE443" s="182"/>
      <c r="DF443" s="182"/>
      <c r="DG443" s="182"/>
      <c r="DH443" s="182"/>
      <c r="DI443" s="182"/>
      <c r="DJ443" s="182"/>
      <c r="DK443" s="182"/>
      <c r="DL443" s="182"/>
      <c r="DM443" s="182"/>
      <c r="DN443" s="182"/>
      <c r="DO443" s="182"/>
      <c r="DP443" s="182"/>
      <c r="DQ443" s="182"/>
      <c r="DR443" s="182"/>
      <c r="DS443" s="182"/>
      <c r="DT443" s="182"/>
      <c r="DU443" s="182"/>
      <c r="DV443" s="182"/>
      <c r="DW443" s="182"/>
      <c r="DX443" s="182"/>
      <c r="DY443" s="182"/>
      <c r="DZ443" s="182"/>
      <c r="EA443" s="182"/>
      <c r="EB443" s="182"/>
      <c r="EC443" s="182"/>
      <c r="ED443" s="182"/>
      <c r="EE443" s="182"/>
      <c r="EF443" s="182"/>
      <c r="EG443" s="182"/>
      <c r="EH443" s="182"/>
      <c r="EI443" s="182"/>
      <c r="EJ443" s="182"/>
      <c r="EK443" s="182"/>
      <c r="EL443" s="182"/>
      <c r="EM443" s="182"/>
      <c r="EN443" s="182"/>
      <c r="EO443" s="182"/>
      <c r="EP443" s="182"/>
      <c r="EQ443" s="182"/>
      <c r="ER443" s="182"/>
      <c r="ES443" s="182"/>
      <c r="ET443" s="182"/>
      <c r="EU443" s="182"/>
      <c r="EV443" s="182"/>
      <c r="EW443" s="182"/>
      <c r="EX443" s="182"/>
      <c r="EY443" s="182"/>
      <c r="EZ443" s="182"/>
      <c r="FA443" s="182"/>
      <c r="FB443" s="182"/>
      <c r="FC443" s="182"/>
      <c r="FD443" s="182"/>
      <c r="FE443" s="182"/>
      <c r="FF443" s="182"/>
      <c r="FG443" s="182"/>
      <c r="FH443" s="182"/>
      <c r="FI443" s="182"/>
      <c r="FJ443" s="182"/>
      <c r="FK443" s="182"/>
      <c r="FL443" s="182"/>
      <c r="FM443" s="182"/>
      <c r="FN443" s="182"/>
      <c r="FO443" s="182"/>
      <c r="FP443" s="182"/>
      <c r="FQ443" s="182"/>
      <c r="FR443" s="182"/>
      <c r="FS443" s="182"/>
      <c r="FT443" s="182"/>
      <c r="FU443" s="182"/>
      <c r="FV443" s="182"/>
      <c r="FW443" s="182"/>
      <c r="FX443" s="182"/>
      <c r="FY443" s="182"/>
      <c r="FZ443" s="182"/>
      <c r="GA443" s="182"/>
      <c r="GB443" s="182"/>
      <c r="GC443" s="182"/>
      <c r="GD443" s="182"/>
      <c r="GE443" s="182"/>
      <c r="GF443" s="182"/>
      <c r="GG443" s="182"/>
      <c r="GH443" s="182"/>
      <c r="GI443" s="182"/>
    </row>
    <row r="444" spans="1:191" s="183" customFormat="1" x14ac:dyDescent="0.2">
      <c r="A444" s="210" t="s">
        <v>38749</v>
      </c>
      <c r="B444" s="210" t="s">
        <v>20705</v>
      </c>
      <c r="C444" s="224" t="s">
        <v>22548</v>
      </c>
      <c r="D444" s="211" t="s">
        <v>16</v>
      </c>
      <c r="E444" s="211">
        <v>400</v>
      </c>
      <c r="F444" s="211"/>
      <c r="G444" s="211">
        <v>0.3</v>
      </c>
      <c r="H444" s="212"/>
      <c r="I444" s="213"/>
      <c r="J444" s="272">
        <v>2.0499999999999998</v>
      </c>
      <c r="K444" s="112">
        <f t="shared" si="29"/>
        <v>820</v>
      </c>
      <c r="L444" s="273">
        <f>BDI!$E$17</f>
        <v>0.11260000000000001</v>
      </c>
      <c r="M444" s="213"/>
      <c r="N444" s="213"/>
      <c r="O444" s="114">
        <f t="shared" si="30"/>
        <v>2.2799999999999998</v>
      </c>
      <c r="P444" s="113">
        <f t="shared" si="31"/>
        <v>273.60000000000002</v>
      </c>
      <c r="Q444" s="209"/>
      <c r="R444" s="203"/>
      <c r="S444" s="182"/>
      <c r="T444" s="182"/>
      <c r="U444" s="182"/>
      <c r="V444" s="182"/>
      <c r="W444" s="182"/>
      <c r="X444" s="182"/>
      <c r="Y444" s="182"/>
      <c r="Z444" s="182"/>
      <c r="AA444" s="182"/>
      <c r="AB444" s="182"/>
      <c r="AC444" s="182"/>
      <c r="AD444" s="182"/>
      <c r="AE444" s="182"/>
      <c r="AF444" s="182"/>
      <c r="AG444" s="182"/>
      <c r="AH444" s="182"/>
      <c r="AI444" s="182"/>
      <c r="AJ444" s="182"/>
      <c r="AK444" s="182"/>
      <c r="AL444" s="182"/>
      <c r="AM444" s="182"/>
      <c r="AN444" s="182"/>
      <c r="AO444" s="182"/>
      <c r="AP444" s="182"/>
      <c r="AQ444" s="182"/>
      <c r="AR444" s="182"/>
      <c r="AS444" s="182"/>
      <c r="AT444" s="182"/>
      <c r="AU444" s="182"/>
      <c r="AV444" s="182"/>
      <c r="AW444" s="182"/>
      <c r="AX444" s="182"/>
      <c r="AY444" s="182"/>
      <c r="AZ444" s="182"/>
      <c r="BA444" s="182"/>
      <c r="BB444" s="182"/>
      <c r="BC444" s="182"/>
      <c r="BD444" s="182"/>
      <c r="BE444" s="182"/>
      <c r="BF444" s="182"/>
      <c r="BG444" s="182"/>
      <c r="BH444" s="182"/>
      <c r="BI444" s="182"/>
      <c r="BJ444" s="182"/>
      <c r="BK444" s="182"/>
      <c r="BL444" s="182"/>
      <c r="BM444" s="182"/>
      <c r="BN444" s="182"/>
      <c r="BO444" s="182"/>
      <c r="BP444" s="182"/>
      <c r="BQ444" s="182"/>
      <c r="BR444" s="182"/>
      <c r="BS444" s="182"/>
      <c r="BT444" s="182"/>
      <c r="BU444" s="182"/>
      <c r="BV444" s="182"/>
      <c r="BW444" s="182"/>
      <c r="BX444" s="182"/>
      <c r="BY444" s="182"/>
      <c r="BZ444" s="182"/>
      <c r="CA444" s="182"/>
      <c r="CB444" s="182"/>
      <c r="CC444" s="182"/>
      <c r="CD444" s="182"/>
      <c r="CE444" s="182"/>
      <c r="CF444" s="182"/>
      <c r="CG444" s="182"/>
      <c r="CH444" s="182"/>
      <c r="CI444" s="182"/>
      <c r="CJ444" s="182"/>
      <c r="CK444" s="182"/>
      <c r="CL444" s="182"/>
      <c r="CM444" s="182"/>
      <c r="CN444" s="182"/>
      <c r="CO444" s="182"/>
      <c r="CP444" s="182"/>
      <c r="CQ444" s="182"/>
      <c r="CR444" s="182"/>
      <c r="CS444" s="182"/>
      <c r="CT444" s="182"/>
      <c r="CU444" s="182"/>
      <c r="CV444" s="182"/>
      <c r="CW444" s="182"/>
      <c r="CX444" s="182"/>
      <c r="CY444" s="182"/>
      <c r="CZ444" s="182"/>
      <c r="DA444" s="182"/>
      <c r="DB444" s="182"/>
      <c r="DC444" s="182"/>
      <c r="DD444" s="182"/>
      <c r="DE444" s="182"/>
      <c r="DF444" s="182"/>
      <c r="DG444" s="182"/>
      <c r="DH444" s="182"/>
      <c r="DI444" s="182"/>
      <c r="DJ444" s="182"/>
      <c r="DK444" s="182"/>
      <c r="DL444" s="182"/>
      <c r="DM444" s="182"/>
      <c r="DN444" s="182"/>
      <c r="DO444" s="182"/>
      <c r="DP444" s="182"/>
      <c r="DQ444" s="182"/>
      <c r="DR444" s="182"/>
      <c r="DS444" s="182"/>
      <c r="DT444" s="182"/>
      <c r="DU444" s="182"/>
      <c r="DV444" s="182"/>
      <c r="DW444" s="182"/>
      <c r="DX444" s="182"/>
      <c r="DY444" s="182"/>
      <c r="DZ444" s="182"/>
      <c r="EA444" s="182"/>
      <c r="EB444" s="182"/>
      <c r="EC444" s="182"/>
      <c r="ED444" s="182"/>
      <c r="EE444" s="182"/>
      <c r="EF444" s="182"/>
      <c r="EG444" s="182"/>
      <c r="EH444" s="182"/>
      <c r="EI444" s="182"/>
      <c r="EJ444" s="182"/>
      <c r="EK444" s="182"/>
      <c r="EL444" s="182"/>
      <c r="EM444" s="182"/>
      <c r="EN444" s="182"/>
      <c r="EO444" s="182"/>
      <c r="EP444" s="182"/>
      <c r="EQ444" s="182"/>
      <c r="ER444" s="182"/>
      <c r="ES444" s="182"/>
      <c r="ET444" s="182"/>
      <c r="EU444" s="182"/>
      <c r="EV444" s="182"/>
      <c r="EW444" s="182"/>
      <c r="EX444" s="182"/>
      <c r="EY444" s="182"/>
      <c r="EZ444" s="182"/>
      <c r="FA444" s="182"/>
      <c r="FB444" s="182"/>
      <c r="FC444" s="182"/>
      <c r="FD444" s="182"/>
      <c r="FE444" s="182"/>
      <c r="FF444" s="182"/>
      <c r="FG444" s="182"/>
      <c r="FH444" s="182"/>
      <c r="FI444" s="182"/>
      <c r="FJ444" s="182"/>
      <c r="FK444" s="182"/>
      <c r="FL444" s="182"/>
      <c r="FM444" s="182"/>
      <c r="FN444" s="182"/>
      <c r="FO444" s="182"/>
      <c r="FP444" s="182"/>
      <c r="FQ444" s="182"/>
      <c r="FR444" s="182"/>
      <c r="FS444" s="182"/>
      <c r="FT444" s="182"/>
      <c r="FU444" s="182"/>
      <c r="FV444" s="182"/>
      <c r="FW444" s="182"/>
      <c r="FX444" s="182"/>
      <c r="FY444" s="182"/>
      <c r="FZ444" s="182"/>
      <c r="GA444" s="182"/>
      <c r="GB444" s="182"/>
      <c r="GC444" s="182"/>
      <c r="GD444" s="182"/>
      <c r="GE444" s="182"/>
      <c r="GF444" s="182"/>
      <c r="GG444" s="182"/>
      <c r="GH444" s="182"/>
      <c r="GI444" s="182"/>
    </row>
    <row r="445" spans="1:191" s="183" customFormat="1" x14ac:dyDescent="0.2">
      <c r="A445" s="210" t="s">
        <v>38750</v>
      </c>
      <c r="B445" s="210" t="s">
        <v>20706</v>
      </c>
      <c r="C445" s="224" t="s">
        <v>22549</v>
      </c>
      <c r="D445" s="211" t="s">
        <v>16</v>
      </c>
      <c r="E445" s="211">
        <v>400</v>
      </c>
      <c r="F445" s="211"/>
      <c r="G445" s="211">
        <v>0.3</v>
      </c>
      <c r="H445" s="212"/>
      <c r="I445" s="213"/>
      <c r="J445" s="272">
        <v>12.29</v>
      </c>
      <c r="K445" s="112">
        <f t="shared" si="29"/>
        <v>4916</v>
      </c>
      <c r="L445" s="273">
        <f>BDI!$E$17</f>
        <v>0.11260000000000001</v>
      </c>
      <c r="M445" s="213"/>
      <c r="N445" s="213"/>
      <c r="O445" s="114">
        <f t="shared" si="30"/>
        <v>13.67</v>
      </c>
      <c r="P445" s="113">
        <f t="shared" si="31"/>
        <v>1640.4</v>
      </c>
      <c r="Q445" s="209"/>
      <c r="R445" s="203"/>
      <c r="S445" s="182"/>
      <c r="T445" s="182"/>
      <c r="U445" s="182"/>
      <c r="V445" s="182"/>
      <c r="W445" s="182"/>
      <c r="X445" s="182"/>
      <c r="Y445" s="182"/>
      <c r="Z445" s="182"/>
      <c r="AA445" s="182"/>
      <c r="AB445" s="182"/>
      <c r="AC445" s="182"/>
      <c r="AD445" s="182"/>
      <c r="AE445" s="182"/>
      <c r="AF445" s="182"/>
      <c r="AG445" s="182"/>
      <c r="AH445" s="182"/>
      <c r="AI445" s="182"/>
      <c r="AJ445" s="182"/>
      <c r="AK445" s="182"/>
      <c r="AL445" s="182"/>
      <c r="AM445" s="182"/>
      <c r="AN445" s="182"/>
      <c r="AO445" s="182"/>
      <c r="AP445" s="182"/>
      <c r="AQ445" s="182"/>
      <c r="AR445" s="182"/>
      <c r="AS445" s="182"/>
      <c r="AT445" s="182"/>
      <c r="AU445" s="182"/>
      <c r="AV445" s="182"/>
      <c r="AW445" s="182"/>
      <c r="AX445" s="182"/>
      <c r="AY445" s="182"/>
      <c r="AZ445" s="182"/>
      <c r="BA445" s="182"/>
      <c r="BB445" s="182"/>
      <c r="BC445" s="182"/>
      <c r="BD445" s="182"/>
      <c r="BE445" s="182"/>
      <c r="BF445" s="182"/>
      <c r="BG445" s="182"/>
      <c r="BH445" s="182"/>
      <c r="BI445" s="182"/>
      <c r="BJ445" s="182"/>
      <c r="BK445" s="182"/>
      <c r="BL445" s="182"/>
      <c r="BM445" s="182"/>
      <c r="BN445" s="182"/>
      <c r="BO445" s="182"/>
      <c r="BP445" s="182"/>
      <c r="BQ445" s="182"/>
      <c r="BR445" s="182"/>
      <c r="BS445" s="182"/>
      <c r="BT445" s="182"/>
      <c r="BU445" s="182"/>
      <c r="BV445" s="182"/>
      <c r="BW445" s="182"/>
      <c r="BX445" s="182"/>
      <c r="BY445" s="182"/>
      <c r="BZ445" s="182"/>
      <c r="CA445" s="182"/>
      <c r="CB445" s="182"/>
      <c r="CC445" s="182"/>
      <c r="CD445" s="182"/>
      <c r="CE445" s="182"/>
      <c r="CF445" s="182"/>
      <c r="CG445" s="182"/>
      <c r="CH445" s="182"/>
      <c r="CI445" s="182"/>
      <c r="CJ445" s="182"/>
      <c r="CK445" s="182"/>
      <c r="CL445" s="182"/>
      <c r="CM445" s="182"/>
      <c r="CN445" s="182"/>
      <c r="CO445" s="182"/>
      <c r="CP445" s="182"/>
      <c r="CQ445" s="182"/>
      <c r="CR445" s="182"/>
      <c r="CS445" s="182"/>
      <c r="CT445" s="182"/>
      <c r="CU445" s="182"/>
      <c r="CV445" s="182"/>
      <c r="CW445" s="182"/>
      <c r="CX445" s="182"/>
      <c r="CY445" s="182"/>
      <c r="CZ445" s="182"/>
      <c r="DA445" s="182"/>
      <c r="DB445" s="182"/>
      <c r="DC445" s="182"/>
      <c r="DD445" s="182"/>
      <c r="DE445" s="182"/>
      <c r="DF445" s="182"/>
      <c r="DG445" s="182"/>
      <c r="DH445" s="182"/>
      <c r="DI445" s="182"/>
      <c r="DJ445" s="182"/>
      <c r="DK445" s="182"/>
      <c r="DL445" s="182"/>
      <c r="DM445" s="182"/>
      <c r="DN445" s="182"/>
      <c r="DO445" s="182"/>
      <c r="DP445" s="182"/>
      <c r="DQ445" s="182"/>
      <c r="DR445" s="182"/>
      <c r="DS445" s="182"/>
      <c r="DT445" s="182"/>
      <c r="DU445" s="182"/>
      <c r="DV445" s="182"/>
      <c r="DW445" s="182"/>
      <c r="DX445" s="182"/>
      <c r="DY445" s="182"/>
      <c r="DZ445" s="182"/>
      <c r="EA445" s="182"/>
      <c r="EB445" s="182"/>
      <c r="EC445" s="182"/>
      <c r="ED445" s="182"/>
      <c r="EE445" s="182"/>
      <c r="EF445" s="182"/>
      <c r="EG445" s="182"/>
      <c r="EH445" s="182"/>
      <c r="EI445" s="182"/>
      <c r="EJ445" s="182"/>
      <c r="EK445" s="182"/>
      <c r="EL445" s="182"/>
      <c r="EM445" s="182"/>
      <c r="EN445" s="182"/>
      <c r="EO445" s="182"/>
      <c r="EP445" s="182"/>
      <c r="EQ445" s="182"/>
      <c r="ER445" s="182"/>
      <c r="ES445" s="182"/>
      <c r="ET445" s="182"/>
      <c r="EU445" s="182"/>
      <c r="EV445" s="182"/>
      <c r="EW445" s="182"/>
      <c r="EX445" s="182"/>
      <c r="EY445" s="182"/>
      <c r="EZ445" s="182"/>
      <c r="FA445" s="182"/>
      <c r="FB445" s="182"/>
      <c r="FC445" s="182"/>
      <c r="FD445" s="182"/>
      <c r="FE445" s="182"/>
      <c r="FF445" s="182"/>
      <c r="FG445" s="182"/>
      <c r="FH445" s="182"/>
      <c r="FI445" s="182"/>
      <c r="FJ445" s="182"/>
      <c r="FK445" s="182"/>
      <c r="FL445" s="182"/>
      <c r="FM445" s="182"/>
      <c r="FN445" s="182"/>
      <c r="FO445" s="182"/>
      <c r="FP445" s="182"/>
      <c r="FQ445" s="182"/>
      <c r="FR445" s="182"/>
      <c r="FS445" s="182"/>
      <c r="FT445" s="182"/>
      <c r="FU445" s="182"/>
      <c r="FV445" s="182"/>
      <c r="FW445" s="182"/>
      <c r="FX445" s="182"/>
      <c r="FY445" s="182"/>
      <c r="FZ445" s="182"/>
      <c r="GA445" s="182"/>
      <c r="GB445" s="182"/>
      <c r="GC445" s="182"/>
      <c r="GD445" s="182"/>
      <c r="GE445" s="182"/>
      <c r="GF445" s="182"/>
      <c r="GG445" s="182"/>
      <c r="GH445" s="182"/>
      <c r="GI445" s="182"/>
    </row>
    <row r="446" spans="1:191" s="183" customFormat="1" x14ac:dyDescent="0.2">
      <c r="A446" s="210" t="s">
        <v>38751</v>
      </c>
      <c r="B446" s="210" t="s">
        <v>20707</v>
      </c>
      <c r="C446" s="224" t="s">
        <v>22550</v>
      </c>
      <c r="D446" s="211" t="s">
        <v>69</v>
      </c>
      <c r="E446" s="211">
        <v>150</v>
      </c>
      <c r="F446" s="211"/>
      <c r="G446" s="211">
        <v>0.3</v>
      </c>
      <c r="H446" s="212"/>
      <c r="I446" s="213"/>
      <c r="J446" s="272">
        <v>10</v>
      </c>
      <c r="K446" s="112">
        <f t="shared" si="29"/>
        <v>1500</v>
      </c>
      <c r="L446" s="273">
        <f>BDI!$E$17</f>
        <v>0.11260000000000001</v>
      </c>
      <c r="M446" s="213"/>
      <c r="N446" s="213"/>
      <c r="O446" s="114">
        <f t="shared" si="30"/>
        <v>11.13</v>
      </c>
      <c r="P446" s="113">
        <f t="shared" si="31"/>
        <v>500.85</v>
      </c>
      <c r="Q446" s="209"/>
      <c r="R446" s="203"/>
      <c r="S446" s="182"/>
      <c r="T446" s="182"/>
      <c r="U446" s="182"/>
      <c r="V446" s="182"/>
      <c r="W446" s="182"/>
      <c r="X446" s="182"/>
      <c r="Y446" s="182"/>
      <c r="Z446" s="182"/>
      <c r="AA446" s="182"/>
      <c r="AB446" s="182"/>
      <c r="AC446" s="182"/>
      <c r="AD446" s="182"/>
      <c r="AE446" s="182"/>
      <c r="AF446" s="182"/>
      <c r="AG446" s="182"/>
      <c r="AH446" s="182"/>
      <c r="AI446" s="182"/>
      <c r="AJ446" s="182"/>
      <c r="AK446" s="182"/>
      <c r="AL446" s="182"/>
      <c r="AM446" s="182"/>
      <c r="AN446" s="182"/>
      <c r="AO446" s="182"/>
      <c r="AP446" s="182"/>
      <c r="AQ446" s="182"/>
      <c r="AR446" s="182"/>
      <c r="AS446" s="182"/>
      <c r="AT446" s="182"/>
      <c r="AU446" s="182"/>
      <c r="AV446" s="182"/>
      <c r="AW446" s="182"/>
      <c r="AX446" s="182"/>
      <c r="AY446" s="182"/>
      <c r="AZ446" s="182"/>
      <c r="BA446" s="182"/>
      <c r="BB446" s="182"/>
      <c r="BC446" s="182"/>
      <c r="BD446" s="182"/>
      <c r="BE446" s="182"/>
      <c r="BF446" s="182"/>
      <c r="BG446" s="182"/>
      <c r="BH446" s="182"/>
      <c r="BI446" s="182"/>
      <c r="BJ446" s="182"/>
      <c r="BK446" s="182"/>
      <c r="BL446" s="182"/>
      <c r="BM446" s="182"/>
      <c r="BN446" s="182"/>
      <c r="BO446" s="182"/>
      <c r="BP446" s="182"/>
      <c r="BQ446" s="182"/>
      <c r="BR446" s="182"/>
      <c r="BS446" s="182"/>
      <c r="BT446" s="182"/>
      <c r="BU446" s="182"/>
      <c r="BV446" s="182"/>
      <c r="BW446" s="182"/>
      <c r="BX446" s="182"/>
      <c r="BY446" s="182"/>
      <c r="BZ446" s="182"/>
      <c r="CA446" s="182"/>
      <c r="CB446" s="182"/>
      <c r="CC446" s="182"/>
      <c r="CD446" s="182"/>
      <c r="CE446" s="182"/>
      <c r="CF446" s="182"/>
      <c r="CG446" s="182"/>
      <c r="CH446" s="182"/>
      <c r="CI446" s="182"/>
      <c r="CJ446" s="182"/>
      <c r="CK446" s="182"/>
      <c r="CL446" s="182"/>
      <c r="CM446" s="182"/>
      <c r="CN446" s="182"/>
      <c r="CO446" s="182"/>
      <c r="CP446" s="182"/>
      <c r="CQ446" s="182"/>
      <c r="CR446" s="182"/>
      <c r="CS446" s="182"/>
      <c r="CT446" s="182"/>
      <c r="CU446" s="182"/>
      <c r="CV446" s="182"/>
      <c r="CW446" s="182"/>
      <c r="CX446" s="182"/>
      <c r="CY446" s="182"/>
      <c r="CZ446" s="182"/>
      <c r="DA446" s="182"/>
      <c r="DB446" s="182"/>
      <c r="DC446" s="182"/>
      <c r="DD446" s="182"/>
      <c r="DE446" s="182"/>
      <c r="DF446" s="182"/>
      <c r="DG446" s="182"/>
      <c r="DH446" s="182"/>
      <c r="DI446" s="182"/>
      <c r="DJ446" s="182"/>
      <c r="DK446" s="182"/>
      <c r="DL446" s="182"/>
      <c r="DM446" s="182"/>
      <c r="DN446" s="182"/>
      <c r="DO446" s="182"/>
      <c r="DP446" s="182"/>
      <c r="DQ446" s="182"/>
      <c r="DR446" s="182"/>
      <c r="DS446" s="182"/>
      <c r="DT446" s="182"/>
      <c r="DU446" s="182"/>
      <c r="DV446" s="182"/>
      <c r="DW446" s="182"/>
      <c r="DX446" s="182"/>
      <c r="DY446" s="182"/>
      <c r="DZ446" s="182"/>
      <c r="EA446" s="182"/>
      <c r="EB446" s="182"/>
      <c r="EC446" s="182"/>
      <c r="ED446" s="182"/>
      <c r="EE446" s="182"/>
      <c r="EF446" s="182"/>
      <c r="EG446" s="182"/>
      <c r="EH446" s="182"/>
      <c r="EI446" s="182"/>
      <c r="EJ446" s="182"/>
      <c r="EK446" s="182"/>
      <c r="EL446" s="182"/>
      <c r="EM446" s="182"/>
      <c r="EN446" s="182"/>
      <c r="EO446" s="182"/>
      <c r="EP446" s="182"/>
      <c r="EQ446" s="182"/>
      <c r="ER446" s="182"/>
      <c r="ES446" s="182"/>
      <c r="ET446" s="182"/>
      <c r="EU446" s="182"/>
      <c r="EV446" s="182"/>
      <c r="EW446" s="182"/>
      <c r="EX446" s="182"/>
      <c r="EY446" s="182"/>
      <c r="EZ446" s="182"/>
      <c r="FA446" s="182"/>
      <c r="FB446" s="182"/>
      <c r="FC446" s="182"/>
      <c r="FD446" s="182"/>
      <c r="FE446" s="182"/>
      <c r="FF446" s="182"/>
      <c r="FG446" s="182"/>
      <c r="FH446" s="182"/>
      <c r="FI446" s="182"/>
      <c r="FJ446" s="182"/>
      <c r="FK446" s="182"/>
      <c r="FL446" s="182"/>
      <c r="FM446" s="182"/>
      <c r="FN446" s="182"/>
      <c r="FO446" s="182"/>
      <c r="FP446" s="182"/>
      <c r="FQ446" s="182"/>
      <c r="FR446" s="182"/>
      <c r="FS446" s="182"/>
      <c r="FT446" s="182"/>
      <c r="FU446" s="182"/>
      <c r="FV446" s="182"/>
      <c r="FW446" s="182"/>
      <c r="FX446" s="182"/>
      <c r="FY446" s="182"/>
      <c r="FZ446" s="182"/>
      <c r="GA446" s="182"/>
      <c r="GB446" s="182"/>
      <c r="GC446" s="182"/>
      <c r="GD446" s="182"/>
      <c r="GE446" s="182"/>
      <c r="GF446" s="182"/>
      <c r="GG446" s="182"/>
      <c r="GH446" s="182"/>
      <c r="GI446" s="182"/>
    </row>
    <row r="447" spans="1:191" s="183" customFormat="1" x14ac:dyDescent="0.2">
      <c r="A447" s="210" t="s">
        <v>38752</v>
      </c>
      <c r="B447" s="210" t="s">
        <v>20708</v>
      </c>
      <c r="C447" s="224" t="s">
        <v>22551</v>
      </c>
      <c r="D447" s="211" t="s">
        <v>16</v>
      </c>
      <c r="E447" s="211">
        <v>70</v>
      </c>
      <c r="F447" s="211"/>
      <c r="G447" s="211">
        <v>0.3</v>
      </c>
      <c r="H447" s="212"/>
      <c r="I447" s="213"/>
      <c r="J447" s="272">
        <v>14.26</v>
      </c>
      <c r="K447" s="112">
        <f t="shared" si="29"/>
        <v>998.2</v>
      </c>
      <c r="L447" s="273">
        <f>BDI!$E$17</f>
        <v>0.11260000000000001</v>
      </c>
      <c r="M447" s="213"/>
      <c r="N447" s="213"/>
      <c r="O447" s="114">
        <f t="shared" si="30"/>
        <v>15.87</v>
      </c>
      <c r="P447" s="113">
        <f t="shared" si="31"/>
        <v>333.27</v>
      </c>
      <c r="Q447" s="209"/>
      <c r="R447" s="203"/>
      <c r="S447" s="182"/>
      <c r="T447" s="182"/>
      <c r="U447" s="182"/>
      <c r="V447" s="182"/>
      <c r="W447" s="182"/>
      <c r="X447" s="182"/>
      <c r="Y447" s="182"/>
      <c r="Z447" s="182"/>
      <c r="AA447" s="182"/>
      <c r="AB447" s="182"/>
      <c r="AC447" s="182"/>
      <c r="AD447" s="182"/>
      <c r="AE447" s="182"/>
      <c r="AF447" s="182"/>
      <c r="AG447" s="182"/>
      <c r="AH447" s="182"/>
      <c r="AI447" s="182"/>
      <c r="AJ447" s="182"/>
      <c r="AK447" s="182"/>
      <c r="AL447" s="182"/>
      <c r="AM447" s="182"/>
      <c r="AN447" s="182"/>
      <c r="AO447" s="182"/>
      <c r="AP447" s="182"/>
      <c r="AQ447" s="182"/>
      <c r="AR447" s="182"/>
      <c r="AS447" s="182"/>
      <c r="AT447" s="182"/>
      <c r="AU447" s="182"/>
      <c r="AV447" s="182"/>
      <c r="AW447" s="182"/>
      <c r="AX447" s="182"/>
      <c r="AY447" s="182"/>
      <c r="AZ447" s="182"/>
      <c r="BA447" s="182"/>
      <c r="BB447" s="182"/>
      <c r="BC447" s="182"/>
      <c r="BD447" s="182"/>
      <c r="BE447" s="182"/>
      <c r="BF447" s="182"/>
      <c r="BG447" s="182"/>
      <c r="BH447" s="182"/>
      <c r="BI447" s="182"/>
      <c r="BJ447" s="182"/>
      <c r="BK447" s="182"/>
      <c r="BL447" s="182"/>
      <c r="BM447" s="182"/>
      <c r="BN447" s="182"/>
      <c r="BO447" s="182"/>
      <c r="BP447" s="182"/>
      <c r="BQ447" s="182"/>
      <c r="BR447" s="182"/>
      <c r="BS447" s="182"/>
      <c r="BT447" s="182"/>
      <c r="BU447" s="182"/>
      <c r="BV447" s="182"/>
      <c r="BW447" s="182"/>
      <c r="BX447" s="182"/>
      <c r="BY447" s="182"/>
      <c r="BZ447" s="182"/>
      <c r="CA447" s="182"/>
      <c r="CB447" s="182"/>
      <c r="CC447" s="182"/>
      <c r="CD447" s="182"/>
      <c r="CE447" s="182"/>
      <c r="CF447" s="182"/>
      <c r="CG447" s="182"/>
      <c r="CH447" s="182"/>
      <c r="CI447" s="182"/>
      <c r="CJ447" s="182"/>
      <c r="CK447" s="182"/>
      <c r="CL447" s="182"/>
      <c r="CM447" s="182"/>
      <c r="CN447" s="182"/>
      <c r="CO447" s="182"/>
      <c r="CP447" s="182"/>
      <c r="CQ447" s="182"/>
      <c r="CR447" s="182"/>
      <c r="CS447" s="182"/>
      <c r="CT447" s="182"/>
      <c r="CU447" s="182"/>
      <c r="CV447" s="182"/>
      <c r="CW447" s="182"/>
      <c r="CX447" s="182"/>
      <c r="CY447" s="182"/>
      <c r="CZ447" s="182"/>
      <c r="DA447" s="182"/>
      <c r="DB447" s="182"/>
      <c r="DC447" s="182"/>
      <c r="DD447" s="182"/>
      <c r="DE447" s="182"/>
      <c r="DF447" s="182"/>
      <c r="DG447" s="182"/>
      <c r="DH447" s="182"/>
      <c r="DI447" s="182"/>
      <c r="DJ447" s="182"/>
      <c r="DK447" s="182"/>
      <c r="DL447" s="182"/>
      <c r="DM447" s="182"/>
      <c r="DN447" s="182"/>
      <c r="DO447" s="182"/>
      <c r="DP447" s="182"/>
      <c r="DQ447" s="182"/>
      <c r="DR447" s="182"/>
      <c r="DS447" s="182"/>
      <c r="DT447" s="182"/>
      <c r="DU447" s="182"/>
      <c r="DV447" s="182"/>
      <c r="DW447" s="182"/>
      <c r="DX447" s="182"/>
      <c r="DY447" s="182"/>
      <c r="DZ447" s="182"/>
      <c r="EA447" s="182"/>
      <c r="EB447" s="182"/>
      <c r="EC447" s="182"/>
      <c r="ED447" s="182"/>
      <c r="EE447" s="182"/>
      <c r="EF447" s="182"/>
      <c r="EG447" s="182"/>
      <c r="EH447" s="182"/>
      <c r="EI447" s="182"/>
      <c r="EJ447" s="182"/>
      <c r="EK447" s="182"/>
      <c r="EL447" s="182"/>
      <c r="EM447" s="182"/>
      <c r="EN447" s="182"/>
      <c r="EO447" s="182"/>
      <c r="EP447" s="182"/>
      <c r="EQ447" s="182"/>
      <c r="ER447" s="182"/>
      <c r="ES447" s="182"/>
      <c r="ET447" s="182"/>
      <c r="EU447" s="182"/>
      <c r="EV447" s="182"/>
      <c r="EW447" s="182"/>
      <c r="EX447" s="182"/>
      <c r="EY447" s="182"/>
      <c r="EZ447" s="182"/>
      <c r="FA447" s="182"/>
      <c r="FB447" s="182"/>
      <c r="FC447" s="182"/>
      <c r="FD447" s="182"/>
      <c r="FE447" s="182"/>
      <c r="FF447" s="182"/>
      <c r="FG447" s="182"/>
      <c r="FH447" s="182"/>
      <c r="FI447" s="182"/>
      <c r="FJ447" s="182"/>
      <c r="FK447" s="182"/>
      <c r="FL447" s="182"/>
      <c r="FM447" s="182"/>
      <c r="FN447" s="182"/>
      <c r="FO447" s="182"/>
      <c r="FP447" s="182"/>
      <c r="FQ447" s="182"/>
      <c r="FR447" s="182"/>
      <c r="FS447" s="182"/>
      <c r="FT447" s="182"/>
      <c r="FU447" s="182"/>
      <c r="FV447" s="182"/>
      <c r="FW447" s="182"/>
      <c r="FX447" s="182"/>
      <c r="FY447" s="182"/>
      <c r="FZ447" s="182"/>
      <c r="GA447" s="182"/>
      <c r="GB447" s="182"/>
      <c r="GC447" s="182"/>
      <c r="GD447" s="182"/>
      <c r="GE447" s="182"/>
      <c r="GF447" s="182"/>
      <c r="GG447" s="182"/>
      <c r="GH447" s="182"/>
      <c r="GI447" s="182"/>
    </row>
    <row r="448" spans="1:191" s="183" customFormat="1" x14ac:dyDescent="0.2">
      <c r="A448" s="210" t="s">
        <v>38753</v>
      </c>
      <c r="B448" s="210" t="s">
        <v>20709</v>
      </c>
      <c r="C448" s="224" t="s">
        <v>22552</v>
      </c>
      <c r="D448" s="211" t="s">
        <v>16</v>
      </c>
      <c r="E448" s="211">
        <v>70</v>
      </c>
      <c r="F448" s="211"/>
      <c r="G448" s="211">
        <v>0.3</v>
      </c>
      <c r="H448" s="212"/>
      <c r="I448" s="213"/>
      <c r="J448" s="272">
        <v>5.03</v>
      </c>
      <c r="K448" s="112">
        <f t="shared" si="29"/>
        <v>352.1</v>
      </c>
      <c r="L448" s="273">
        <f>BDI!$E$17</f>
        <v>0.11260000000000001</v>
      </c>
      <c r="M448" s="213"/>
      <c r="N448" s="213"/>
      <c r="O448" s="114">
        <f t="shared" si="30"/>
        <v>5.6</v>
      </c>
      <c r="P448" s="113">
        <f t="shared" si="31"/>
        <v>117.6</v>
      </c>
      <c r="Q448" s="209"/>
      <c r="R448" s="203"/>
      <c r="S448" s="182"/>
      <c r="T448" s="182"/>
      <c r="U448" s="182"/>
      <c r="V448" s="182"/>
      <c r="W448" s="182"/>
      <c r="X448" s="182"/>
      <c r="Y448" s="182"/>
      <c r="Z448" s="182"/>
      <c r="AA448" s="182"/>
      <c r="AB448" s="182"/>
      <c r="AC448" s="182"/>
      <c r="AD448" s="182"/>
      <c r="AE448" s="182"/>
      <c r="AF448" s="182"/>
      <c r="AG448" s="182"/>
      <c r="AH448" s="182"/>
      <c r="AI448" s="182"/>
      <c r="AJ448" s="182"/>
      <c r="AK448" s="182"/>
      <c r="AL448" s="182"/>
      <c r="AM448" s="182"/>
      <c r="AN448" s="182"/>
      <c r="AO448" s="182"/>
      <c r="AP448" s="182"/>
      <c r="AQ448" s="182"/>
      <c r="AR448" s="182"/>
      <c r="AS448" s="182"/>
      <c r="AT448" s="182"/>
      <c r="AU448" s="182"/>
      <c r="AV448" s="182"/>
      <c r="AW448" s="182"/>
      <c r="AX448" s="182"/>
      <c r="AY448" s="182"/>
      <c r="AZ448" s="182"/>
      <c r="BA448" s="182"/>
      <c r="BB448" s="182"/>
      <c r="BC448" s="182"/>
      <c r="BD448" s="182"/>
      <c r="BE448" s="182"/>
      <c r="BF448" s="182"/>
      <c r="BG448" s="182"/>
      <c r="BH448" s="182"/>
      <c r="BI448" s="182"/>
      <c r="BJ448" s="182"/>
      <c r="BK448" s="182"/>
      <c r="BL448" s="182"/>
      <c r="BM448" s="182"/>
      <c r="BN448" s="182"/>
      <c r="BO448" s="182"/>
      <c r="BP448" s="182"/>
      <c r="BQ448" s="182"/>
      <c r="BR448" s="182"/>
      <c r="BS448" s="182"/>
      <c r="BT448" s="182"/>
      <c r="BU448" s="182"/>
      <c r="BV448" s="182"/>
      <c r="BW448" s="182"/>
      <c r="BX448" s="182"/>
      <c r="BY448" s="182"/>
      <c r="BZ448" s="182"/>
      <c r="CA448" s="182"/>
      <c r="CB448" s="182"/>
      <c r="CC448" s="182"/>
      <c r="CD448" s="182"/>
      <c r="CE448" s="182"/>
      <c r="CF448" s="182"/>
      <c r="CG448" s="182"/>
      <c r="CH448" s="182"/>
      <c r="CI448" s="182"/>
      <c r="CJ448" s="182"/>
      <c r="CK448" s="182"/>
      <c r="CL448" s="182"/>
      <c r="CM448" s="182"/>
      <c r="CN448" s="182"/>
      <c r="CO448" s="182"/>
      <c r="CP448" s="182"/>
      <c r="CQ448" s="182"/>
      <c r="CR448" s="182"/>
      <c r="CS448" s="182"/>
      <c r="CT448" s="182"/>
      <c r="CU448" s="182"/>
      <c r="CV448" s="182"/>
      <c r="CW448" s="182"/>
      <c r="CX448" s="182"/>
      <c r="CY448" s="182"/>
      <c r="CZ448" s="182"/>
      <c r="DA448" s="182"/>
      <c r="DB448" s="182"/>
      <c r="DC448" s="182"/>
      <c r="DD448" s="182"/>
      <c r="DE448" s="182"/>
      <c r="DF448" s="182"/>
      <c r="DG448" s="182"/>
      <c r="DH448" s="182"/>
      <c r="DI448" s="182"/>
      <c r="DJ448" s="182"/>
      <c r="DK448" s="182"/>
      <c r="DL448" s="182"/>
      <c r="DM448" s="182"/>
      <c r="DN448" s="182"/>
      <c r="DO448" s="182"/>
      <c r="DP448" s="182"/>
      <c r="DQ448" s="182"/>
      <c r="DR448" s="182"/>
      <c r="DS448" s="182"/>
      <c r="DT448" s="182"/>
      <c r="DU448" s="182"/>
      <c r="DV448" s="182"/>
      <c r="DW448" s="182"/>
      <c r="DX448" s="182"/>
      <c r="DY448" s="182"/>
      <c r="DZ448" s="182"/>
      <c r="EA448" s="182"/>
      <c r="EB448" s="182"/>
      <c r="EC448" s="182"/>
      <c r="ED448" s="182"/>
      <c r="EE448" s="182"/>
      <c r="EF448" s="182"/>
      <c r="EG448" s="182"/>
      <c r="EH448" s="182"/>
      <c r="EI448" s="182"/>
      <c r="EJ448" s="182"/>
      <c r="EK448" s="182"/>
      <c r="EL448" s="182"/>
      <c r="EM448" s="182"/>
      <c r="EN448" s="182"/>
      <c r="EO448" s="182"/>
      <c r="EP448" s="182"/>
      <c r="EQ448" s="182"/>
      <c r="ER448" s="182"/>
      <c r="ES448" s="182"/>
      <c r="ET448" s="182"/>
      <c r="EU448" s="182"/>
      <c r="EV448" s="182"/>
      <c r="EW448" s="182"/>
      <c r="EX448" s="182"/>
      <c r="EY448" s="182"/>
      <c r="EZ448" s="182"/>
      <c r="FA448" s="182"/>
      <c r="FB448" s="182"/>
      <c r="FC448" s="182"/>
      <c r="FD448" s="182"/>
      <c r="FE448" s="182"/>
      <c r="FF448" s="182"/>
      <c r="FG448" s="182"/>
      <c r="FH448" s="182"/>
      <c r="FI448" s="182"/>
      <c r="FJ448" s="182"/>
      <c r="FK448" s="182"/>
      <c r="FL448" s="182"/>
      <c r="FM448" s="182"/>
      <c r="FN448" s="182"/>
      <c r="FO448" s="182"/>
      <c r="FP448" s="182"/>
      <c r="FQ448" s="182"/>
      <c r="FR448" s="182"/>
      <c r="FS448" s="182"/>
      <c r="FT448" s="182"/>
      <c r="FU448" s="182"/>
      <c r="FV448" s="182"/>
      <c r="FW448" s="182"/>
      <c r="FX448" s="182"/>
      <c r="FY448" s="182"/>
      <c r="FZ448" s="182"/>
      <c r="GA448" s="182"/>
      <c r="GB448" s="182"/>
      <c r="GC448" s="182"/>
      <c r="GD448" s="182"/>
      <c r="GE448" s="182"/>
      <c r="GF448" s="182"/>
      <c r="GG448" s="182"/>
      <c r="GH448" s="182"/>
      <c r="GI448" s="182"/>
    </row>
    <row r="449" spans="1:191" s="183" customFormat="1" x14ac:dyDescent="0.2">
      <c r="A449" s="210" t="s">
        <v>38754</v>
      </c>
      <c r="B449" s="210" t="s">
        <v>20710</v>
      </c>
      <c r="C449" s="224" t="s">
        <v>22553</v>
      </c>
      <c r="D449" s="211" t="s">
        <v>16</v>
      </c>
      <c r="E449" s="211">
        <v>150</v>
      </c>
      <c r="F449" s="211"/>
      <c r="G449" s="211">
        <v>0.3</v>
      </c>
      <c r="H449" s="212"/>
      <c r="I449" s="213"/>
      <c r="J449" s="272">
        <v>14.3</v>
      </c>
      <c r="K449" s="112">
        <f t="shared" si="29"/>
        <v>2145</v>
      </c>
      <c r="L449" s="273">
        <f>BDI!$E$17</f>
        <v>0.11260000000000001</v>
      </c>
      <c r="M449" s="213"/>
      <c r="N449" s="213"/>
      <c r="O449" s="114">
        <f t="shared" si="30"/>
        <v>15.91</v>
      </c>
      <c r="P449" s="113">
        <f t="shared" si="31"/>
        <v>715.95</v>
      </c>
      <c r="Q449" s="209"/>
      <c r="R449" s="203"/>
      <c r="S449" s="182"/>
      <c r="T449" s="182"/>
      <c r="U449" s="182"/>
      <c r="V449" s="182"/>
      <c r="W449" s="182"/>
      <c r="X449" s="182"/>
      <c r="Y449" s="182"/>
      <c r="Z449" s="182"/>
      <c r="AA449" s="182"/>
      <c r="AB449" s="182"/>
      <c r="AC449" s="182"/>
      <c r="AD449" s="182"/>
      <c r="AE449" s="182"/>
      <c r="AF449" s="182"/>
      <c r="AG449" s="182"/>
      <c r="AH449" s="182"/>
      <c r="AI449" s="182"/>
      <c r="AJ449" s="182"/>
      <c r="AK449" s="182"/>
      <c r="AL449" s="182"/>
      <c r="AM449" s="182"/>
      <c r="AN449" s="182"/>
      <c r="AO449" s="182"/>
      <c r="AP449" s="182"/>
      <c r="AQ449" s="182"/>
      <c r="AR449" s="182"/>
      <c r="AS449" s="182"/>
      <c r="AT449" s="182"/>
      <c r="AU449" s="182"/>
      <c r="AV449" s="182"/>
      <c r="AW449" s="182"/>
      <c r="AX449" s="182"/>
      <c r="AY449" s="182"/>
      <c r="AZ449" s="182"/>
      <c r="BA449" s="182"/>
      <c r="BB449" s="182"/>
      <c r="BC449" s="182"/>
      <c r="BD449" s="182"/>
      <c r="BE449" s="182"/>
      <c r="BF449" s="182"/>
      <c r="BG449" s="182"/>
      <c r="BH449" s="182"/>
      <c r="BI449" s="182"/>
      <c r="BJ449" s="182"/>
      <c r="BK449" s="182"/>
      <c r="BL449" s="182"/>
      <c r="BM449" s="182"/>
      <c r="BN449" s="182"/>
      <c r="BO449" s="182"/>
      <c r="BP449" s="182"/>
      <c r="BQ449" s="182"/>
      <c r="BR449" s="182"/>
      <c r="BS449" s="182"/>
      <c r="BT449" s="182"/>
      <c r="BU449" s="182"/>
      <c r="BV449" s="182"/>
      <c r="BW449" s="182"/>
      <c r="BX449" s="182"/>
      <c r="BY449" s="182"/>
      <c r="BZ449" s="182"/>
      <c r="CA449" s="182"/>
      <c r="CB449" s="182"/>
      <c r="CC449" s="182"/>
      <c r="CD449" s="182"/>
      <c r="CE449" s="182"/>
      <c r="CF449" s="182"/>
      <c r="CG449" s="182"/>
      <c r="CH449" s="182"/>
      <c r="CI449" s="182"/>
      <c r="CJ449" s="182"/>
      <c r="CK449" s="182"/>
      <c r="CL449" s="182"/>
      <c r="CM449" s="182"/>
      <c r="CN449" s="182"/>
      <c r="CO449" s="182"/>
      <c r="CP449" s="182"/>
      <c r="CQ449" s="182"/>
      <c r="CR449" s="182"/>
      <c r="CS449" s="182"/>
      <c r="CT449" s="182"/>
      <c r="CU449" s="182"/>
      <c r="CV449" s="182"/>
      <c r="CW449" s="182"/>
      <c r="CX449" s="182"/>
      <c r="CY449" s="182"/>
      <c r="CZ449" s="182"/>
      <c r="DA449" s="182"/>
      <c r="DB449" s="182"/>
      <c r="DC449" s="182"/>
      <c r="DD449" s="182"/>
      <c r="DE449" s="182"/>
      <c r="DF449" s="182"/>
      <c r="DG449" s="182"/>
      <c r="DH449" s="182"/>
      <c r="DI449" s="182"/>
      <c r="DJ449" s="182"/>
      <c r="DK449" s="182"/>
      <c r="DL449" s="182"/>
      <c r="DM449" s="182"/>
      <c r="DN449" s="182"/>
      <c r="DO449" s="182"/>
      <c r="DP449" s="182"/>
      <c r="DQ449" s="182"/>
      <c r="DR449" s="182"/>
      <c r="DS449" s="182"/>
      <c r="DT449" s="182"/>
      <c r="DU449" s="182"/>
      <c r="DV449" s="182"/>
      <c r="DW449" s="182"/>
      <c r="DX449" s="182"/>
      <c r="DY449" s="182"/>
      <c r="DZ449" s="182"/>
      <c r="EA449" s="182"/>
      <c r="EB449" s="182"/>
      <c r="EC449" s="182"/>
      <c r="ED449" s="182"/>
      <c r="EE449" s="182"/>
      <c r="EF449" s="182"/>
      <c r="EG449" s="182"/>
      <c r="EH449" s="182"/>
      <c r="EI449" s="182"/>
      <c r="EJ449" s="182"/>
      <c r="EK449" s="182"/>
      <c r="EL449" s="182"/>
      <c r="EM449" s="182"/>
      <c r="EN449" s="182"/>
      <c r="EO449" s="182"/>
      <c r="EP449" s="182"/>
      <c r="EQ449" s="182"/>
      <c r="ER449" s="182"/>
      <c r="ES449" s="182"/>
      <c r="ET449" s="182"/>
      <c r="EU449" s="182"/>
      <c r="EV449" s="182"/>
      <c r="EW449" s="182"/>
      <c r="EX449" s="182"/>
      <c r="EY449" s="182"/>
      <c r="EZ449" s="182"/>
      <c r="FA449" s="182"/>
      <c r="FB449" s="182"/>
      <c r="FC449" s="182"/>
      <c r="FD449" s="182"/>
      <c r="FE449" s="182"/>
      <c r="FF449" s="182"/>
      <c r="FG449" s="182"/>
      <c r="FH449" s="182"/>
      <c r="FI449" s="182"/>
      <c r="FJ449" s="182"/>
      <c r="FK449" s="182"/>
      <c r="FL449" s="182"/>
      <c r="FM449" s="182"/>
      <c r="FN449" s="182"/>
      <c r="FO449" s="182"/>
      <c r="FP449" s="182"/>
      <c r="FQ449" s="182"/>
      <c r="FR449" s="182"/>
      <c r="FS449" s="182"/>
      <c r="FT449" s="182"/>
      <c r="FU449" s="182"/>
      <c r="FV449" s="182"/>
      <c r="FW449" s="182"/>
      <c r="FX449" s="182"/>
      <c r="FY449" s="182"/>
      <c r="FZ449" s="182"/>
      <c r="GA449" s="182"/>
      <c r="GB449" s="182"/>
      <c r="GC449" s="182"/>
      <c r="GD449" s="182"/>
      <c r="GE449" s="182"/>
      <c r="GF449" s="182"/>
      <c r="GG449" s="182"/>
      <c r="GH449" s="182"/>
      <c r="GI449" s="182"/>
    </row>
    <row r="450" spans="1:191" s="183" customFormat="1" x14ac:dyDescent="0.2">
      <c r="A450" s="210" t="s">
        <v>38755</v>
      </c>
      <c r="B450" s="210" t="s">
        <v>20711</v>
      </c>
      <c r="C450" s="224" t="s">
        <v>22554</v>
      </c>
      <c r="D450" s="211" t="s">
        <v>16</v>
      </c>
      <c r="E450" s="211">
        <v>150</v>
      </c>
      <c r="F450" s="211"/>
      <c r="G450" s="211">
        <v>0.3</v>
      </c>
      <c r="H450" s="212"/>
      <c r="I450" s="213"/>
      <c r="J450" s="272">
        <v>1.06</v>
      </c>
      <c r="K450" s="112">
        <f t="shared" si="29"/>
        <v>159</v>
      </c>
      <c r="L450" s="273">
        <f>BDI!$E$17</f>
        <v>0.11260000000000001</v>
      </c>
      <c r="M450" s="213"/>
      <c r="N450" s="213"/>
      <c r="O450" s="114">
        <f t="shared" si="30"/>
        <v>1.18</v>
      </c>
      <c r="P450" s="113">
        <f t="shared" si="31"/>
        <v>53.1</v>
      </c>
      <c r="Q450" s="209"/>
      <c r="R450" s="203"/>
      <c r="S450" s="182"/>
      <c r="T450" s="182"/>
      <c r="U450" s="182"/>
      <c r="V450" s="182"/>
      <c r="W450" s="182"/>
      <c r="X450" s="182"/>
      <c r="Y450" s="182"/>
      <c r="Z450" s="182"/>
      <c r="AA450" s="182"/>
      <c r="AB450" s="182"/>
      <c r="AC450" s="182"/>
      <c r="AD450" s="182"/>
      <c r="AE450" s="182"/>
      <c r="AF450" s="182"/>
      <c r="AG450" s="182"/>
      <c r="AH450" s="182"/>
      <c r="AI450" s="182"/>
      <c r="AJ450" s="182"/>
      <c r="AK450" s="182"/>
      <c r="AL450" s="182"/>
      <c r="AM450" s="182"/>
      <c r="AN450" s="182"/>
      <c r="AO450" s="182"/>
      <c r="AP450" s="182"/>
      <c r="AQ450" s="182"/>
      <c r="AR450" s="182"/>
      <c r="AS450" s="182"/>
      <c r="AT450" s="182"/>
      <c r="AU450" s="182"/>
      <c r="AV450" s="182"/>
      <c r="AW450" s="182"/>
      <c r="AX450" s="182"/>
      <c r="AY450" s="182"/>
      <c r="AZ450" s="182"/>
      <c r="BA450" s="182"/>
      <c r="BB450" s="182"/>
      <c r="BC450" s="182"/>
      <c r="BD450" s="182"/>
      <c r="BE450" s="182"/>
      <c r="BF450" s="182"/>
      <c r="BG450" s="182"/>
      <c r="BH450" s="182"/>
      <c r="BI450" s="182"/>
      <c r="BJ450" s="182"/>
      <c r="BK450" s="182"/>
      <c r="BL450" s="182"/>
      <c r="BM450" s="182"/>
      <c r="BN450" s="182"/>
      <c r="BO450" s="182"/>
      <c r="BP450" s="182"/>
      <c r="BQ450" s="182"/>
      <c r="BR450" s="182"/>
      <c r="BS450" s="182"/>
      <c r="BT450" s="182"/>
      <c r="BU450" s="182"/>
      <c r="BV450" s="182"/>
      <c r="BW450" s="182"/>
      <c r="BX450" s="182"/>
      <c r="BY450" s="182"/>
      <c r="BZ450" s="182"/>
      <c r="CA450" s="182"/>
      <c r="CB450" s="182"/>
      <c r="CC450" s="182"/>
      <c r="CD450" s="182"/>
      <c r="CE450" s="182"/>
      <c r="CF450" s="182"/>
      <c r="CG450" s="182"/>
      <c r="CH450" s="182"/>
      <c r="CI450" s="182"/>
      <c r="CJ450" s="182"/>
      <c r="CK450" s="182"/>
      <c r="CL450" s="182"/>
      <c r="CM450" s="182"/>
      <c r="CN450" s="182"/>
      <c r="CO450" s="182"/>
      <c r="CP450" s="182"/>
      <c r="CQ450" s="182"/>
      <c r="CR450" s="182"/>
      <c r="CS450" s="182"/>
      <c r="CT450" s="182"/>
      <c r="CU450" s="182"/>
      <c r="CV450" s="182"/>
      <c r="CW450" s="182"/>
      <c r="CX450" s="182"/>
      <c r="CY450" s="182"/>
      <c r="CZ450" s="182"/>
      <c r="DA450" s="182"/>
      <c r="DB450" s="182"/>
      <c r="DC450" s="182"/>
      <c r="DD450" s="182"/>
      <c r="DE450" s="182"/>
      <c r="DF450" s="182"/>
      <c r="DG450" s="182"/>
      <c r="DH450" s="182"/>
      <c r="DI450" s="182"/>
      <c r="DJ450" s="182"/>
      <c r="DK450" s="182"/>
      <c r="DL450" s="182"/>
      <c r="DM450" s="182"/>
      <c r="DN450" s="182"/>
      <c r="DO450" s="182"/>
      <c r="DP450" s="182"/>
      <c r="DQ450" s="182"/>
      <c r="DR450" s="182"/>
      <c r="DS450" s="182"/>
      <c r="DT450" s="182"/>
      <c r="DU450" s="182"/>
      <c r="DV450" s="182"/>
      <c r="DW450" s="182"/>
      <c r="DX450" s="182"/>
      <c r="DY450" s="182"/>
      <c r="DZ450" s="182"/>
      <c r="EA450" s="182"/>
      <c r="EB450" s="182"/>
      <c r="EC450" s="182"/>
      <c r="ED450" s="182"/>
      <c r="EE450" s="182"/>
      <c r="EF450" s="182"/>
      <c r="EG450" s="182"/>
      <c r="EH450" s="182"/>
      <c r="EI450" s="182"/>
      <c r="EJ450" s="182"/>
      <c r="EK450" s="182"/>
      <c r="EL450" s="182"/>
      <c r="EM450" s="182"/>
      <c r="EN450" s="182"/>
      <c r="EO450" s="182"/>
      <c r="EP450" s="182"/>
      <c r="EQ450" s="182"/>
      <c r="ER450" s="182"/>
      <c r="ES450" s="182"/>
      <c r="ET450" s="182"/>
      <c r="EU450" s="182"/>
      <c r="EV450" s="182"/>
      <c r="EW450" s="182"/>
      <c r="EX450" s="182"/>
      <c r="EY450" s="182"/>
      <c r="EZ450" s="182"/>
      <c r="FA450" s="182"/>
      <c r="FB450" s="182"/>
      <c r="FC450" s="182"/>
      <c r="FD450" s="182"/>
      <c r="FE450" s="182"/>
      <c r="FF450" s="182"/>
      <c r="FG450" s="182"/>
      <c r="FH450" s="182"/>
      <c r="FI450" s="182"/>
      <c r="FJ450" s="182"/>
      <c r="FK450" s="182"/>
      <c r="FL450" s="182"/>
      <c r="FM450" s="182"/>
      <c r="FN450" s="182"/>
      <c r="FO450" s="182"/>
      <c r="FP450" s="182"/>
      <c r="FQ450" s="182"/>
      <c r="FR450" s="182"/>
      <c r="FS450" s="182"/>
      <c r="FT450" s="182"/>
      <c r="FU450" s="182"/>
      <c r="FV450" s="182"/>
      <c r="FW450" s="182"/>
      <c r="FX450" s="182"/>
      <c r="FY450" s="182"/>
      <c r="FZ450" s="182"/>
      <c r="GA450" s="182"/>
      <c r="GB450" s="182"/>
      <c r="GC450" s="182"/>
      <c r="GD450" s="182"/>
      <c r="GE450" s="182"/>
      <c r="GF450" s="182"/>
      <c r="GG450" s="182"/>
      <c r="GH450" s="182"/>
      <c r="GI450" s="182"/>
    </row>
    <row r="451" spans="1:191" s="183" customFormat="1" x14ac:dyDescent="0.2">
      <c r="A451" s="210" t="s">
        <v>38756</v>
      </c>
      <c r="B451" s="210" t="s">
        <v>20712</v>
      </c>
      <c r="C451" s="224" t="s">
        <v>22555</v>
      </c>
      <c r="D451" s="211" t="s">
        <v>69</v>
      </c>
      <c r="E451" s="211">
        <v>1000</v>
      </c>
      <c r="F451" s="211"/>
      <c r="G451" s="211">
        <v>0.3</v>
      </c>
      <c r="H451" s="212"/>
      <c r="I451" s="213"/>
      <c r="J451" s="272">
        <v>16.989999999999998</v>
      </c>
      <c r="K451" s="112">
        <f t="shared" si="29"/>
        <v>16990</v>
      </c>
      <c r="L451" s="273">
        <f>BDI!$E$17</f>
        <v>0.11260000000000001</v>
      </c>
      <c r="M451" s="213"/>
      <c r="N451" s="213"/>
      <c r="O451" s="114">
        <f t="shared" si="30"/>
        <v>18.899999999999999</v>
      </c>
      <c r="P451" s="113">
        <f t="shared" si="31"/>
        <v>5670</v>
      </c>
      <c r="Q451" s="209"/>
      <c r="R451" s="203"/>
      <c r="S451" s="182"/>
      <c r="T451" s="182"/>
      <c r="U451" s="182"/>
      <c r="V451" s="182"/>
      <c r="W451" s="182"/>
      <c r="X451" s="182"/>
      <c r="Y451" s="182"/>
      <c r="Z451" s="182"/>
      <c r="AA451" s="182"/>
      <c r="AB451" s="182"/>
      <c r="AC451" s="182"/>
      <c r="AD451" s="182"/>
      <c r="AE451" s="182"/>
      <c r="AF451" s="182"/>
      <c r="AG451" s="182"/>
      <c r="AH451" s="182"/>
      <c r="AI451" s="182"/>
      <c r="AJ451" s="182"/>
      <c r="AK451" s="182"/>
      <c r="AL451" s="182"/>
      <c r="AM451" s="182"/>
      <c r="AN451" s="182"/>
      <c r="AO451" s="182"/>
      <c r="AP451" s="182"/>
      <c r="AQ451" s="182"/>
      <c r="AR451" s="182"/>
      <c r="AS451" s="182"/>
      <c r="AT451" s="182"/>
      <c r="AU451" s="182"/>
      <c r="AV451" s="182"/>
      <c r="AW451" s="182"/>
      <c r="AX451" s="182"/>
      <c r="AY451" s="182"/>
      <c r="AZ451" s="182"/>
      <c r="BA451" s="182"/>
      <c r="BB451" s="182"/>
      <c r="BC451" s="182"/>
      <c r="BD451" s="182"/>
      <c r="BE451" s="182"/>
      <c r="BF451" s="182"/>
      <c r="BG451" s="182"/>
      <c r="BH451" s="182"/>
      <c r="BI451" s="182"/>
      <c r="BJ451" s="182"/>
      <c r="BK451" s="182"/>
      <c r="BL451" s="182"/>
      <c r="BM451" s="182"/>
      <c r="BN451" s="182"/>
      <c r="BO451" s="182"/>
      <c r="BP451" s="182"/>
      <c r="BQ451" s="182"/>
      <c r="BR451" s="182"/>
      <c r="BS451" s="182"/>
      <c r="BT451" s="182"/>
      <c r="BU451" s="182"/>
      <c r="BV451" s="182"/>
      <c r="BW451" s="182"/>
      <c r="BX451" s="182"/>
      <c r="BY451" s="182"/>
      <c r="BZ451" s="182"/>
      <c r="CA451" s="182"/>
      <c r="CB451" s="182"/>
      <c r="CC451" s="182"/>
      <c r="CD451" s="182"/>
      <c r="CE451" s="182"/>
      <c r="CF451" s="182"/>
      <c r="CG451" s="182"/>
      <c r="CH451" s="182"/>
      <c r="CI451" s="182"/>
      <c r="CJ451" s="182"/>
      <c r="CK451" s="182"/>
      <c r="CL451" s="182"/>
      <c r="CM451" s="182"/>
      <c r="CN451" s="182"/>
      <c r="CO451" s="182"/>
      <c r="CP451" s="182"/>
      <c r="CQ451" s="182"/>
      <c r="CR451" s="182"/>
      <c r="CS451" s="182"/>
      <c r="CT451" s="182"/>
      <c r="CU451" s="182"/>
      <c r="CV451" s="182"/>
      <c r="CW451" s="182"/>
      <c r="CX451" s="182"/>
      <c r="CY451" s="182"/>
      <c r="CZ451" s="182"/>
      <c r="DA451" s="182"/>
      <c r="DB451" s="182"/>
      <c r="DC451" s="182"/>
      <c r="DD451" s="182"/>
      <c r="DE451" s="182"/>
      <c r="DF451" s="182"/>
      <c r="DG451" s="182"/>
      <c r="DH451" s="182"/>
      <c r="DI451" s="182"/>
      <c r="DJ451" s="182"/>
      <c r="DK451" s="182"/>
      <c r="DL451" s="182"/>
      <c r="DM451" s="182"/>
      <c r="DN451" s="182"/>
      <c r="DO451" s="182"/>
      <c r="DP451" s="182"/>
      <c r="DQ451" s="182"/>
      <c r="DR451" s="182"/>
      <c r="DS451" s="182"/>
      <c r="DT451" s="182"/>
      <c r="DU451" s="182"/>
      <c r="DV451" s="182"/>
      <c r="DW451" s="182"/>
      <c r="DX451" s="182"/>
      <c r="DY451" s="182"/>
      <c r="DZ451" s="182"/>
      <c r="EA451" s="182"/>
      <c r="EB451" s="182"/>
      <c r="EC451" s="182"/>
      <c r="ED451" s="182"/>
      <c r="EE451" s="182"/>
      <c r="EF451" s="182"/>
      <c r="EG451" s="182"/>
      <c r="EH451" s="182"/>
      <c r="EI451" s="182"/>
      <c r="EJ451" s="182"/>
      <c r="EK451" s="182"/>
      <c r="EL451" s="182"/>
      <c r="EM451" s="182"/>
      <c r="EN451" s="182"/>
      <c r="EO451" s="182"/>
      <c r="EP451" s="182"/>
      <c r="EQ451" s="182"/>
      <c r="ER451" s="182"/>
      <c r="ES451" s="182"/>
      <c r="ET451" s="182"/>
      <c r="EU451" s="182"/>
      <c r="EV451" s="182"/>
      <c r="EW451" s="182"/>
      <c r="EX451" s="182"/>
      <c r="EY451" s="182"/>
      <c r="EZ451" s="182"/>
      <c r="FA451" s="182"/>
      <c r="FB451" s="182"/>
      <c r="FC451" s="182"/>
      <c r="FD451" s="182"/>
      <c r="FE451" s="182"/>
      <c r="FF451" s="182"/>
      <c r="FG451" s="182"/>
      <c r="FH451" s="182"/>
      <c r="FI451" s="182"/>
      <c r="FJ451" s="182"/>
      <c r="FK451" s="182"/>
      <c r="FL451" s="182"/>
      <c r="FM451" s="182"/>
      <c r="FN451" s="182"/>
      <c r="FO451" s="182"/>
      <c r="FP451" s="182"/>
      <c r="FQ451" s="182"/>
      <c r="FR451" s="182"/>
      <c r="FS451" s="182"/>
      <c r="FT451" s="182"/>
      <c r="FU451" s="182"/>
      <c r="FV451" s="182"/>
      <c r="FW451" s="182"/>
      <c r="FX451" s="182"/>
      <c r="FY451" s="182"/>
      <c r="FZ451" s="182"/>
      <c r="GA451" s="182"/>
      <c r="GB451" s="182"/>
      <c r="GC451" s="182"/>
      <c r="GD451" s="182"/>
      <c r="GE451" s="182"/>
      <c r="GF451" s="182"/>
      <c r="GG451" s="182"/>
      <c r="GH451" s="182"/>
      <c r="GI451" s="182"/>
    </row>
    <row r="452" spans="1:191" s="183" customFormat="1" x14ac:dyDescent="0.2">
      <c r="A452" s="210" t="s">
        <v>38757</v>
      </c>
      <c r="B452" s="210" t="s">
        <v>20713</v>
      </c>
      <c r="C452" s="224" t="s">
        <v>22556</v>
      </c>
      <c r="D452" s="211" t="s">
        <v>16</v>
      </c>
      <c r="E452" s="211">
        <v>50</v>
      </c>
      <c r="F452" s="211"/>
      <c r="G452" s="211">
        <v>0.3</v>
      </c>
      <c r="H452" s="212"/>
      <c r="I452" s="213"/>
      <c r="J452" s="272">
        <v>1.82</v>
      </c>
      <c r="K452" s="112">
        <f t="shared" si="29"/>
        <v>91</v>
      </c>
      <c r="L452" s="273">
        <f>BDI!$E$17</f>
        <v>0.11260000000000001</v>
      </c>
      <c r="M452" s="213"/>
      <c r="N452" s="213"/>
      <c r="O452" s="114">
        <f t="shared" si="30"/>
        <v>2.02</v>
      </c>
      <c r="P452" s="113">
        <f t="shared" si="31"/>
        <v>30.3</v>
      </c>
      <c r="Q452" s="209"/>
      <c r="R452" s="203"/>
      <c r="S452" s="182"/>
      <c r="T452" s="182"/>
      <c r="U452" s="182"/>
      <c r="V452" s="182"/>
      <c r="W452" s="182"/>
      <c r="X452" s="182"/>
      <c r="Y452" s="182"/>
      <c r="Z452" s="182"/>
      <c r="AA452" s="182"/>
      <c r="AB452" s="182"/>
      <c r="AC452" s="182"/>
      <c r="AD452" s="182"/>
      <c r="AE452" s="182"/>
      <c r="AF452" s="182"/>
      <c r="AG452" s="182"/>
      <c r="AH452" s="182"/>
      <c r="AI452" s="182"/>
      <c r="AJ452" s="182"/>
      <c r="AK452" s="182"/>
      <c r="AL452" s="182"/>
      <c r="AM452" s="182"/>
      <c r="AN452" s="182"/>
      <c r="AO452" s="182"/>
      <c r="AP452" s="182"/>
      <c r="AQ452" s="182"/>
      <c r="AR452" s="182"/>
      <c r="AS452" s="182"/>
      <c r="AT452" s="182"/>
      <c r="AU452" s="182"/>
      <c r="AV452" s="182"/>
      <c r="AW452" s="182"/>
      <c r="AX452" s="182"/>
      <c r="AY452" s="182"/>
      <c r="AZ452" s="182"/>
      <c r="BA452" s="182"/>
      <c r="BB452" s="182"/>
      <c r="BC452" s="182"/>
      <c r="BD452" s="182"/>
      <c r="BE452" s="182"/>
      <c r="BF452" s="182"/>
      <c r="BG452" s="182"/>
      <c r="BH452" s="182"/>
      <c r="BI452" s="182"/>
      <c r="BJ452" s="182"/>
      <c r="BK452" s="182"/>
      <c r="BL452" s="182"/>
      <c r="BM452" s="182"/>
      <c r="BN452" s="182"/>
      <c r="BO452" s="182"/>
      <c r="BP452" s="182"/>
      <c r="BQ452" s="182"/>
      <c r="BR452" s="182"/>
      <c r="BS452" s="182"/>
      <c r="BT452" s="182"/>
      <c r="BU452" s="182"/>
      <c r="BV452" s="182"/>
      <c r="BW452" s="182"/>
      <c r="BX452" s="182"/>
      <c r="BY452" s="182"/>
      <c r="BZ452" s="182"/>
      <c r="CA452" s="182"/>
      <c r="CB452" s="182"/>
      <c r="CC452" s="182"/>
      <c r="CD452" s="182"/>
      <c r="CE452" s="182"/>
      <c r="CF452" s="182"/>
      <c r="CG452" s="182"/>
      <c r="CH452" s="182"/>
      <c r="CI452" s="182"/>
      <c r="CJ452" s="182"/>
      <c r="CK452" s="182"/>
      <c r="CL452" s="182"/>
      <c r="CM452" s="182"/>
      <c r="CN452" s="182"/>
      <c r="CO452" s="182"/>
      <c r="CP452" s="182"/>
      <c r="CQ452" s="182"/>
      <c r="CR452" s="182"/>
      <c r="CS452" s="182"/>
      <c r="CT452" s="182"/>
      <c r="CU452" s="182"/>
      <c r="CV452" s="182"/>
      <c r="CW452" s="182"/>
      <c r="CX452" s="182"/>
      <c r="CY452" s="182"/>
      <c r="CZ452" s="182"/>
      <c r="DA452" s="182"/>
      <c r="DB452" s="182"/>
      <c r="DC452" s="182"/>
      <c r="DD452" s="182"/>
      <c r="DE452" s="182"/>
      <c r="DF452" s="182"/>
      <c r="DG452" s="182"/>
      <c r="DH452" s="182"/>
      <c r="DI452" s="182"/>
      <c r="DJ452" s="182"/>
      <c r="DK452" s="182"/>
      <c r="DL452" s="182"/>
      <c r="DM452" s="182"/>
      <c r="DN452" s="182"/>
      <c r="DO452" s="182"/>
      <c r="DP452" s="182"/>
      <c r="DQ452" s="182"/>
      <c r="DR452" s="182"/>
      <c r="DS452" s="182"/>
      <c r="DT452" s="182"/>
      <c r="DU452" s="182"/>
      <c r="DV452" s="182"/>
      <c r="DW452" s="182"/>
      <c r="DX452" s="182"/>
      <c r="DY452" s="182"/>
      <c r="DZ452" s="182"/>
      <c r="EA452" s="182"/>
      <c r="EB452" s="182"/>
      <c r="EC452" s="182"/>
      <c r="ED452" s="182"/>
      <c r="EE452" s="182"/>
      <c r="EF452" s="182"/>
      <c r="EG452" s="182"/>
      <c r="EH452" s="182"/>
      <c r="EI452" s="182"/>
      <c r="EJ452" s="182"/>
      <c r="EK452" s="182"/>
      <c r="EL452" s="182"/>
      <c r="EM452" s="182"/>
      <c r="EN452" s="182"/>
      <c r="EO452" s="182"/>
      <c r="EP452" s="182"/>
      <c r="EQ452" s="182"/>
      <c r="ER452" s="182"/>
      <c r="ES452" s="182"/>
      <c r="ET452" s="182"/>
      <c r="EU452" s="182"/>
      <c r="EV452" s="182"/>
      <c r="EW452" s="182"/>
      <c r="EX452" s="182"/>
      <c r="EY452" s="182"/>
      <c r="EZ452" s="182"/>
      <c r="FA452" s="182"/>
      <c r="FB452" s="182"/>
      <c r="FC452" s="182"/>
      <c r="FD452" s="182"/>
      <c r="FE452" s="182"/>
      <c r="FF452" s="182"/>
      <c r="FG452" s="182"/>
      <c r="FH452" s="182"/>
      <c r="FI452" s="182"/>
      <c r="FJ452" s="182"/>
      <c r="FK452" s="182"/>
      <c r="FL452" s="182"/>
      <c r="FM452" s="182"/>
      <c r="FN452" s="182"/>
      <c r="FO452" s="182"/>
      <c r="FP452" s="182"/>
      <c r="FQ452" s="182"/>
      <c r="FR452" s="182"/>
      <c r="FS452" s="182"/>
      <c r="FT452" s="182"/>
      <c r="FU452" s="182"/>
      <c r="FV452" s="182"/>
      <c r="FW452" s="182"/>
      <c r="FX452" s="182"/>
      <c r="FY452" s="182"/>
      <c r="FZ452" s="182"/>
      <c r="GA452" s="182"/>
      <c r="GB452" s="182"/>
      <c r="GC452" s="182"/>
      <c r="GD452" s="182"/>
      <c r="GE452" s="182"/>
      <c r="GF452" s="182"/>
      <c r="GG452" s="182"/>
      <c r="GH452" s="182"/>
      <c r="GI452" s="182"/>
    </row>
    <row r="453" spans="1:191" s="183" customFormat="1" x14ac:dyDescent="0.2">
      <c r="A453" s="210" t="s">
        <v>38758</v>
      </c>
      <c r="B453" s="210" t="s">
        <v>20714</v>
      </c>
      <c r="C453" s="224" t="s">
        <v>22557</v>
      </c>
      <c r="D453" s="211" t="s">
        <v>16</v>
      </c>
      <c r="E453" s="211">
        <v>50</v>
      </c>
      <c r="F453" s="211"/>
      <c r="G453" s="211">
        <v>0.3</v>
      </c>
      <c r="H453" s="212"/>
      <c r="I453" s="213"/>
      <c r="J453" s="272">
        <v>1.04</v>
      </c>
      <c r="K453" s="112">
        <f t="shared" si="29"/>
        <v>52</v>
      </c>
      <c r="L453" s="273">
        <f>BDI!$E$17</f>
        <v>0.11260000000000001</v>
      </c>
      <c r="M453" s="213"/>
      <c r="N453" s="213"/>
      <c r="O453" s="114">
        <f t="shared" si="30"/>
        <v>1.1599999999999999</v>
      </c>
      <c r="P453" s="113">
        <f t="shared" si="31"/>
        <v>17.399999999999999</v>
      </c>
      <c r="Q453" s="209"/>
      <c r="R453" s="203"/>
      <c r="S453" s="182"/>
      <c r="T453" s="182"/>
      <c r="U453" s="182"/>
      <c r="V453" s="182"/>
      <c r="W453" s="182"/>
      <c r="X453" s="182"/>
      <c r="Y453" s="182"/>
      <c r="Z453" s="182"/>
      <c r="AA453" s="182"/>
      <c r="AB453" s="182"/>
      <c r="AC453" s="182"/>
      <c r="AD453" s="182"/>
      <c r="AE453" s="182"/>
      <c r="AF453" s="182"/>
      <c r="AG453" s="182"/>
      <c r="AH453" s="182"/>
      <c r="AI453" s="182"/>
      <c r="AJ453" s="182"/>
      <c r="AK453" s="182"/>
      <c r="AL453" s="182"/>
      <c r="AM453" s="182"/>
      <c r="AN453" s="182"/>
      <c r="AO453" s="182"/>
      <c r="AP453" s="182"/>
      <c r="AQ453" s="182"/>
      <c r="AR453" s="182"/>
      <c r="AS453" s="182"/>
      <c r="AT453" s="182"/>
      <c r="AU453" s="182"/>
      <c r="AV453" s="182"/>
      <c r="AW453" s="182"/>
      <c r="AX453" s="182"/>
      <c r="AY453" s="182"/>
      <c r="AZ453" s="182"/>
      <c r="BA453" s="182"/>
      <c r="BB453" s="182"/>
      <c r="BC453" s="182"/>
      <c r="BD453" s="182"/>
      <c r="BE453" s="182"/>
      <c r="BF453" s="182"/>
      <c r="BG453" s="182"/>
      <c r="BH453" s="182"/>
      <c r="BI453" s="182"/>
      <c r="BJ453" s="182"/>
      <c r="BK453" s="182"/>
      <c r="BL453" s="182"/>
      <c r="BM453" s="182"/>
      <c r="BN453" s="182"/>
      <c r="BO453" s="182"/>
      <c r="BP453" s="182"/>
      <c r="BQ453" s="182"/>
      <c r="BR453" s="182"/>
      <c r="BS453" s="182"/>
      <c r="BT453" s="182"/>
      <c r="BU453" s="182"/>
      <c r="BV453" s="182"/>
      <c r="BW453" s="182"/>
      <c r="BX453" s="182"/>
      <c r="BY453" s="182"/>
      <c r="BZ453" s="182"/>
      <c r="CA453" s="182"/>
      <c r="CB453" s="182"/>
      <c r="CC453" s="182"/>
      <c r="CD453" s="182"/>
      <c r="CE453" s="182"/>
      <c r="CF453" s="182"/>
      <c r="CG453" s="182"/>
      <c r="CH453" s="182"/>
      <c r="CI453" s="182"/>
      <c r="CJ453" s="182"/>
      <c r="CK453" s="182"/>
      <c r="CL453" s="182"/>
      <c r="CM453" s="182"/>
      <c r="CN453" s="182"/>
      <c r="CO453" s="182"/>
      <c r="CP453" s="182"/>
      <c r="CQ453" s="182"/>
      <c r="CR453" s="182"/>
      <c r="CS453" s="182"/>
      <c r="CT453" s="182"/>
      <c r="CU453" s="182"/>
      <c r="CV453" s="182"/>
      <c r="CW453" s="182"/>
      <c r="CX453" s="182"/>
      <c r="CY453" s="182"/>
      <c r="CZ453" s="182"/>
      <c r="DA453" s="182"/>
      <c r="DB453" s="182"/>
      <c r="DC453" s="182"/>
      <c r="DD453" s="182"/>
      <c r="DE453" s="182"/>
      <c r="DF453" s="182"/>
      <c r="DG453" s="182"/>
      <c r="DH453" s="182"/>
      <c r="DI453" s="182"/>
      <c r="DJ453" s="182"/>
      <c r="DK453" s="182"/>
      <c r="DL453" s="182"/>
      <c r="DM453" s="182"/>
      <c r="DN453" s="182"/>
      <c r="DO453" s="182"/>
      <c r="DP453" s="182"/>
      <c r="DQ453" s="182"/>
      <c r="DR453" s="182"/>
      <c r="DS453" s="182"/>
      <c r="DT453" s="182"/>
      <c r="DU453" s="182"/>
      <c r="DV453" s="182"/>
      <c r="DW453" s="182"/>
      <c r="DX453" s="182"/>
      <c r="DY453" s="182"/>
      <c r="DZ453" s="182"/>
      <c r="EA453" s="182"/>
      <c r="EB453" s="182"/>
      <c r="EC453" s="182"/>
      <c r="ED453" s="182"/>
      <c r="EE453" s="182"/>
      <c r="EF453" s="182"/>
      <c r="EG453" s="182"/>
      <c r="EH453" s="182"/>
      <c r="EI453" s="182"/>
      <c r="EJ453" s="182"/>
      <c r="EK453" s="182"/>
      <c r="EL453" s="182"/>
      <c r="EM453" s="182"/>
      <c r="EN453" s="182"/>
      <c r="EO453" s="182"/>
      <c r="EP453" s="182"/>
      <c r="EQ453" s="182"/>
      <c r="ER453" s="182"/>
      <c r="ES453" s="182"/>
      <c r="ET453" s="182"/>
      <c r="EU453" s="182"/>
      <c r="EV453" s="182"/>
      <c r="EW453" s="182"/>
      <c r="EX453" s="182"/>
      <c r="EY453" s="182"/>
      <c r="EZ453" s="182"/>
      <c r="FA453" s="182"/>
      <c r="FB453" s="182"/>
      <c r="FC453" s="182"/>
      <c r="FD453" s="182"/>
      <c r="FE453" s="182"/>
      <c r="FF453" s="182"/>
      <c r="FG453" s="182"/>
      <c r="FH453" s="182"/>
      <c r="FI453" s="182"/>
      <c r="FJ453" s="182"/>
      <c r="FK453" s="182"/>
      <c r="FL453" s="182"/>
      <c r="FM453" s="182"/>
      <c r="FN453" s="182"/>
      <c r="FO453" s="182"/>
      <c r="FP453" s="182"/>
      <c r="FQ453" s="182"/>
      <c r="FR453" s="182"/>
      <c r="FS453" s="182"/>
      <c r="FT453" s="182"/>
      <c r="FU453" s="182"/>
      <c r="FV453" s="182"/>
      <c r="FW453" s="182"/>
      <c r="FX453" s="182"/>
      <c r="FY453" s="182"/>
      <c r="FZ453" s="182"/>
      <c r="GA453" s="182"/>
      <c r="GB453" s="182"/>
      <c r="GC453" s="182"/>
      <c r="GD453" s="182"/>
      <c r="GE453" s="182"/>
      <c r="GF453" s="182"/>
      <c r="GG453" s="182"/>
      <c r="GH453" s="182"/>
      <c r="GI453" s="182"/>
    </row>
    <row r="454" spans="1:191" s="183" customFormat="1" x14ac:dyDescent="0.2">
      <c r="A454" s="210" t="s">
        <v>38759</v>
      </c>
      <c r="B454" s="210" t="s">
        <v>20715</v>
      </c>
      <c r="C454" s="224" t="s">
        <v>22558</v>
      </c>
      <c r="D454" s="211" t="s">
        <v>69</v>
      </c>
      <c r="E454" s="211">
        <v>1000</v>
      </c>
      <c r="F454" s="211"/>
      <c r="G454" s="211">
        <v>0.3</v>
      </c>
      <c r="H454" s="212"/>
      <c r="I454" s="213"/>
      <c r="J454" s="272">
        <v>26.13</v>
      </c>
      <c r="K454" s="112">
        <f t="shared" si="29"/>
        <v>26130</v>
      </c>
      <c r="L454" s="273">
        <f>BDI!$E$17</f>
        <v>0.11260000000000001</v>
      </c>
      <c r="M454" s="213"/>
      <c r="N454" s="213"/>
      <c r="O454" s="114">
        <f t="shared" si="30"/>
        <v>29.07</v>
      </c>
      <c r="P454" s="113">
        <f t="shared" si="31"/>
        <v>8721</v>
      </c>
      <c r="Q454" s="209"/>
      <c r="R454" s="203"/>
      <c r="S454" s="182"/>
      <c r="T454" s="182"/>
      <c r="U454" s="182"/>
      <c r="V454" s="182"/>
      <c r="W454" s="182"/>
      <c r="X454" s="182"/>
      <c r="Y454" s="182"/>
      <c r="Z454" s="182"/>
      <c r="AA454" s="182"/>
      <c r="AB454" s="182"/>
      <c r="AC454" s="182"/>
      <c r="AD454" s="182"/>
      <c r="AE454" s="182"/>
      <c r="AF454" s="182"/>
      <c r="AG454" s="182"/>
      <c r="AH454" s="182"/>
      <c r="AI454" s="182"/>
      <c r="AJ454" s="182"/>
      <c r="AK454" s="182"/>
      <c r="AL454" s="182"/>
      <c r="AM454" s="182"/>
      <c r="AN454" s="182"/>
      <c r="AO454" s="182"/>
      <c r="AP454" s="182"/>
      <c r="AQ454" s="182"/>
      <c r="AR454" s="182"/>
      <c r="AS454" s="182"/>
      <c r="AT454" s="182"/>
      <c r="AU454" s="182"/>
      <c r="AV454" s="182"/>
      <c r="AW454" s="182"/>
      <c r="AX454" s="182"/>
      <c r="AY454" s="182"/>
      <c r="AZ454" s="182"/>
      <c r="BA454" s="182"/>
      <c r="BB454" s="182"/>
      <c r="BC454" s="182"/>
      <c r="BD454" s="182"/>
      <c r="BE454" s="182"/>
      <c r="BF454" s="182"/>
      <c r="BG454" s="182"/>
      <c r="BH454" s="182"/>
      <c r="BI454" s="182"/>
      <c r="BJ454" s="182"/>
      <c r="BK454" s="182"/>
      <c r="BL454" s="182"/>
      <c r="BM454" s="182"/>
      <c r="BN454" s="182"/>
      <c r="BO454" s="182"/>
      <c r="BP454" s="182"/>
      <c r="BQ454" s="182"/>
      <c r="BR454" s="182"/>
      <c r="BS454" s="182"/>
      <c r="BT454" s="182"/>
      <c r="BU454" s="182"/>
      <c r="BV454" s="182"/>
      <c r="BW454" s="182"/>
      <c r="BX454" s="182"/>
      <c r="BY454" s="182"/>
      <c r="BZ454" s="182"/>
      <c r="CA454" s="182"/>
      <c r="CB454" s="182"/>
      <c r="CC454" s="182"/>
      <c r="CD454" s="182"/>
      <c r="CE454" s="182"/>
      <c r="CF454" s="182"/>
      <c r="CG454" s="182"/>
      <c r="CH454" s="182"/>
      <c r="CI454" s="182"/>
      <c r="CJ454" s="182"/>
      <c r="CK454" s="182"/>
      <c r="CL454" s="182"/>
      <c r="CM454" s="182"/>
      <c r="CN454" s="182"/>
      <c r="CO454" s="182"/>
      <c r="CP454" s="182"/>
      <c r="CQ454" s="182"/>
      <c r="CR454" s="182"/>
      <c r="CS454" s="182"/>
      <c r="CT454" s="182"/>
      <c r="CU454" s="182"/>
      <c r="CV454" s="182"/>
      <c r="CW454" s="182"/>
      <c r="CX454" s="182"/>
      <c r="CY454" s="182"/>
      <c r="CZ454" s="182"/>
      <c r="DA454" s="182"/>
      <c r="DB454" s="182"/>
      <c r="DC454" s="182"/>
      <c r="DD454" s="182"/>
      <c r="DE454" s="182"/>
      <c r="DF454" s="182"/>
      <c r="DG454" s="182"/>
      <c r="DH454" s="182"/>
      <c r="DI454" s="182"/>
      <c r="DJ454" s="182"/>
      <c r="DK454" s="182"/>
      <c r="DL454" s="182"/>
      <c r="DM454" s="182"/>
      <c r="DN454" s="182"/>
      <c r="DO454" s="182"/>
      <c r="DP454" s="182"/>
      <c r="DQ454" s="182"/>
      <c r="DR454" s="182"/>
      <c r="DS454" s="182"/>
      <c r="DT454" s="182"/>
      <c r="DU454" s="182"/>
      <c r="DV454" s="182"/>
      <c r="DW454" s="182"/>
      <c r="DX454" s="182"/>
      <c r="DY454" s="182"/>
      <c r="DZ454" s="182"/>
      <c r="EA454" s="182"/>
      <c r="EB454" s="182"/>
      <c r="EC454" s="182"/>
      <c r="ED454" s="182"/>
      <c r="EE454" s="182"/>
      <c r="EF454" s="182"/>
      <c r="EG454" s="182"/>
      <c r="EH454" s="182"/>
      <c r="EI454" s="182"/>
      <c r="EJ454" s="182"/>
      <c r="EK454" s="182"/>
      <c r="EL454" s="182"/>
      <c r="EM454" s="182"/>
      <c r="EN454" s="182"/>
      <c r="EO454" s="182"/>
      <c r="EP454" s="182"/>
      <c r="EQ454" s="182"/>
      <c r="ER454" s="182"/>
      <c r="ES454" s="182"/>
      <c r="ET454" s="182"/>
      <c r="EU454" s="182"/>
      <c r="EV454" s="182"/>
      <c r="EW454" s="182"/>
      <c r="EX454" s="182"/>
      <c r="EY454" s="182"/>
      <c r="EZ454" s="182"/>
      <c r="FA454" s="182"/>
      <c r="FB454" s="182"/>
      <c r="FC454" s="182"/>
      <c r="FD454" s="182"/>
      <c r="FE454" s="182"/>
      <c r="FF454" s="182"/>
      <c r="FG454" s="182"/>
      <c r="FH454" s="182"/>
      <c r="FI454" s="182"/>
      <c r="FJ454" s="182"/>
      <c r="FK454" s="182"/>
      <c r="FL454" s="182"/>
      <c r="FM454" s="182"/>
      <c r="FN454" s="182"/>
      <c r="FO454" s="182"/>
      <c r="FP454" s="182"/>
      <c r="FQ454" s="182"/>
      <c r="FR454" s="182"/>
      <c r="FS454" s="182"/>
      <c r="FT454" s="182"/>
      <c r="FU454" s="182"/>
      <c r="FV454" s="182"/>
      <c r="FW454" s="182"/>
      <c r="FX454" s="182"/>
      <c r="FY454" s="182"/>
      <c r="FZ454" s="182"/>
      <c r="GA454" s="182"/>
      <c r="GB454" s="182"/>
      <c r="GC454" s="182"/>
      <c r="GD454" s="182"/>
      <c r="GE454" s="182"/>
      <c r="GF454" s="182"/>
      <c r="GG454" s="182"/>
      <c r="GH454" s="182"/>
      <c r="GI454" s="182"/>
    </row>
    <row r="455" spans="1:191" s="183" customFormat="1" x14ac:dyDescent="0.2">
      <c r="A455" s="210" t="s">
        <v>38760</v>
      </c>
      <c r="B455" s="210" t="s">
        <v>20716</v>
      </c>
      <c r="C455" s="224" t="s">
        <v>22559</v>
      </c>
      <c r="D455" s="211" t="s">
        <v>16</v>
      </c>
      <c r="E455" s="211">
        <v>50</v>
      </c>
      <c r="F455" s="211"/>
      <c r="G455" s="211">
        <v>0.3</v>
      </c>
      <c r="H455" s="212"/>
      <c r="I455" s="213"/>
      <c r="J455" s="272">
        <v>2.1800000000000002</v>
      </c>
      <c r="K455" s="112">
        <f t="shared" si="29"/>
        <v>109</v>
      </c>
      <c r="L455" s="273">
        <f>BDI!$E$17</f>
        <v>0.11260000000000001</v>
      </c>
      <c r="M455" s="213"/>
      <c r="N455" s="213"/>
      <c r="O455" s="114">
        <f t="shared" si="30"/>
        <v>2.4300000000000002</v>
      </c>
      <c r="P455" s="113">
        <f t="shared" si="31"/>
        <v>36.450000000000003</v>
      </c>
      <c r="Q455" s="209"/>
      <c r="R455" s="203"/>
      <c r="S455" s="182"/>
      <c r="T455" s="182"/>
      <c r="U455" s="182"/>
      <c r="V455" s="182"/>
      <c r="W455" s="182"/>
      <c r="X455" s="182"/>
      <c r="Y455" s="182"/>
      <c r="Z455" s="182"/>
      <c r="AA455" s="182"/>
      <c r="AB455" s="182"/>
      <c r="AC455" s="182"/>
      <c r="AD455" s="182"/>
      <c r="AE455" s="182"/>
      <c r="AF455" s="182"/>
      <c r="AG455" s="182"/>
      <c r="AH455" s="182"/>
      <c r="AI455" s="182"/>
      <c r="AJ455" s="182"/>
      <c r="AK455" s="182"/>
      <c r="AL455" s="182"/>
      <c r="AM455" s="182"/>
      <c r="AN455" s="182"/>
      <c r="AO455" s="182"/>
      <c r="AP455" s="182"/>
      <c r="AQ455" s="182"/>
      <c r="AR455" s="182"/>
      <c r="AS455" s="182"/>
      <c r="AT455" s="182"/>
      <c r="AU455" s="182"/>
      <c r="AV455" s="182"/>
      <c r="AW455" s="182"/>
      <c r="AX455" s="182"/>
      <c r="AY455" s="182"/>
      <c r="AZ455" s="182"/>
      <c r="BA455" s="182"/>
      <c r="BB455" s="182"/>
      <c r="BC455" s="182"/>
      <c r="BD455" s="182"/>
      <c r="BE455" s="182"/>
      <c r="BF455" s="182"/>
      <c r="BG455" s="182"/>
      <c r="BH455" s="182"/>
      <c r="BI455" s="182"/>
      <c r="BJ455" s="182"/>
      <c r="BK455" s="182"/>
      <c r="BL455" s="182"/>
      <c r="BM455" s="182"/>
      <c r="BN455" s="182"/>
      <c r="BO455" s="182"/>
      <c r="BP455" s="182"/>
      <c r="BQ455" s="182"/>
      <c r="BR455" s="182"/>
      <c r="BS455" s="182"/>
      <c r="BT455" s="182"/>
      <c r="BU455" s="182"/>
      <c r="BV455" s="182"/>
      <c r="BW455" s="182"/>
      <c r="BX455" s="182"/>
      <c r="BY455" s="182"/>
      <c r="BZ455" s="182"/>
      <c r="CA455" s="182"/>
      <c r="CB455" s="182"/>
      <c r="CC455" s="182"/>
      <c r="CD455" s="182"/>
      <c r="CE455" s="182"/>
      <c r="CF455" s="182"/>
      <c r="CG455" s="182"/>
      <c r="CH455" s="182"/>
      <c r="CI455" s="182"/>
      <c r="CJ455" s="182"/>
      <c r="CK455" s="182"/>
      <c r="CL455" s="182"/>
      <c r="CM455" s="182"/>
      <c r="CN455" s="182"/>
      <c r="CO455" s="182"/>
      <c r="CP455" s="182"/>
      <c r="CQ455" s="182"/>
      <c r="CR455" s="182"/>
      <c r="CS455" s="182"/>
      <c r="CT455" s="182"/>
      <c r="CU455" s="182"/>
      <c r="CV455" s="182"/>
      <c r="CW455" s="182"/>
      <c r="CX455" s="182"/>
      <c r="CY455" s="182"/>
      <c r="CZ455" s="182"/>
      <c r="DA455" s="182"/>
      <c r="DB455" s="182"/>
      <c r="DC455" s="182"/>
      <c r="DD455" s="182"/>
      <c r="DE455" s="182"/>
      <c r="DF455" s="182"/>
      <c r="DG455" s="182"/>
      <c r="DH455" s="182"/>
      <c r="DI455" s="182"/>
      <c r="DJ455" s="182"/>
      <c r="DK455" s="182"/>
      <c r="DL455" s="182"/>
      <c r="DM455" s="182"/>
      <c r="DN455" s="182"/>
      <c r="DO455" s="182"/>
      <c r="DP455" s="182"/>
      <c r="DQ455" s="182"/>
      <c r="DR455" s="182"/>
      <c r="DS455" s="182"/>
      <c r="DT455" s="182"/>
      <c r="DU455" s="182"/>
      <c r="DV455" s="182"/>
      <c r="DW455" s="182"/>
      <c r="DX455" s="182"/>
      <c r="DY455" s="182"/>
      <c r="DZ455" s="182"/>
      <c r="EA455" s="182"/>
      <c r="EB455" s="182"/>
      <c r="EC455" s="182"/>
      <c r="ED455" s="182"/>
      <c r="EE455" s="182"/>
      <c r="EF455" s="182"/>
      <c r="EG455" s="182"/>
      <c r="EH455" s="182"/>
      <c r="EI455" s="182"/>
      <c r="EJ455" s="182"/>
      <c r="EK455" s="182"/>
      <c r="EL455" s="182"/>
      <c r="EM455" s="182"/>
      <c r="EN455" s="182"/>
      <c r="EO455" s="182"/>
      <c r="EP455" s="182"/>
      <c r="EQ455" s="182"/>
      <c r="ER455" s="182"/>
      <c r="ES455" s="182"/>
      <c r="ET455" s="182"/>
      <c r="EU455" s="182"/>
      <c r="EV455" s="182"/>
      <c r="EW455" s="182"/>
      <c r="EX455" s="182"/>
      <c r="EY455" s="182"/>
      <c r="EZ455" s="182"/>
      <c r="FA455" s="182"/>
      <c r="FB455" s="182"/>
      <c r="FC455" s="182"/>
      <c r="FD455" s="182"/>
      <c r="FE455" s="182"/>
      <c r="FF455" s="182"/>
      <c r="FG455" s="182"/>
      <c r="FH455" s="182"/>
      <c r="FI455" s="182"/>
      <c r="FJ455" s="182"/>
      <c r="FK455" s="182"/>
      <c r="FL455" s="182"/>
      <c r="FM455" s="182"/>
      <c r="FN455" s="182"/>
      <c r="FO455" s="182"/>
      <c r="FP455" s="182"/>
      <c r="FQ455" s="182"/>
      <c r="FR455" s="182"/>
      <c r="FS455" s="182"/>
      <c r="FT455" s="182"/>
      <c r="FU455" s="182"/>
      <c r="FV455" s="182"/>
      <c r="FW455" s="182"/>
      <c r="FX455" s="182"/>
      <c r="FY455" s="182"/>
      <c r="FZ455" s="182"/>
      <c r="GA455" s="182"/>
      <c r="GB455" s="182"/>
      <c r="GC455" s="182"/>
      <c r="GD455" s="182"/>
      <c r="GE455" s="182"/>
      <c r="GF455" s="182"/>
      <c r="GG455" s="182"/>
      <c r="GH455" s="182"/>
      <c r="GI455" s="182"/>
    </row>
    <row r="456" spans="1:191" s="183" customFormat="1" x14ac:dyDescent="0.2">
      <c r="A456" s="210" t="s">
        <v>38761</v>
      </c>
      <c r="B456" s="210" t="s">
        <v>20717</v>
      </c>
      <c r="C456" s="224" t="s">
        <v>22560</v>
      </c>
      <c r="D456" s="211" t="s">
        <v>16</v>
      </c>
      <c r="E456" s="211">
        <v>50</v>
      </c>
      <c r="F456" s="211"/>
      <c r="G456" s="211">
        <v>0.3</v>
      </c>
      <c r="H456" s="212"/>
      <c r="I456" s="213"/>
      <c r="J456" s="272">
        <v>1.39</v>
      </c>
      <c r="K456" s="112">
        <f t="shared" si="29"/>
        <v>69.5</v>
      </c>
      <c r="L456" s="273">
        <f>BDI!$E$17</f>
        <v>0.11260000000000001</v>
      </c>
      <c r="M456" s="213"/>
      <c r="N456" s="213"/>
      <c r="O456" s="114">
        <f t="shared" si="30"/>
        <v>1.55</v>
      </c>
      <c r="P456" s="113">
        <f t="shared" si="31"/>
        <v>23.25</v>
      </c>
      <c r="Q456" s="209"/>
      <c r="R456" s="203"/>
      <c r="S456" s="182"/>
      <c r="T456" s="182"/>
      <c r="U456" s="182"/>
      <c r="V456" s="182"/>
      <c r="W456" s="182"/>
      <c r="X456" s="182"/>
      <c r="Y456" s="182"/>
      <c r="Z456" s="182"/>
      <c r="AA456" s="182"/>
      <c r="AB456" s="182"/>
      <c r="AC456" s="182"/>
      <c r="AD456" s="182"/>
      <c r="AE456" s="182"/>
      <c r="AF456" s="182"/>
      <c r="AG456" s="182"/>
      <c r="AH456" s="182"/>
      <c r="AI456" s="182"/>
      <c r="AJ456" s="182"/>
      <c r="AK456" s="182"/>
      <c r="AL456" s="182"/>
      <c r="AM456" s="182"/>
      <c r="AN456" s="182"/>
      <c r="AO456" s="182"/>
      <c r="AP456" s="182"/>
      <c r="AQ456" s="182"/>
      <c r="AR456" s="182"/>
      <c r="AS456" s="182"/>
      <c r="AT456" s="182"/>
      <c r="AU456" s="182"/>
      <c r="AV456" s="182"/>
      <c r="AW456" s="182"/>
      <c r="AX456" s="182"/>
      <c r="AY456" s="182"/>
      <c r="AZ456" s="182"/>
      <c r="BA456" s="182"/>
      <c r="BB456" s="182"/>
      <c r="BC456" s="182"/>
      <c r="BD456" s="182"/>
      <c r="BE456" s="182"/>
      <c r="BF456" s="182"/>
      <c r="BG456" s="182"/>
      <c r="BH456" s="182"/>
      <c r="BI456" s="182"/>
      <c r="BJ456" s="182"/>
      <c r="BK456" s="182"/>
      <c r="BL456" s="182"/>
      <c r="BM456" s="182"/>
      <c r="BN456" s="182"/>
      <c r="BO456" s="182"/>
      <c r="BP456" s="182"/>
      <c r="BQ456" s="182"/>
      <c r="BR456" s="182"/>
      <c r="BS456" s="182"/>
      <c r="BT456" s="182"/>
      <c r="BU456" s="182"/>
      <c r="BV456" s="182"/>
      <c r="BW456" s="182"/>
      <c r="BX456" s="182"/>
      <c r="BY456" s="182"/>
      <c r="BZ456" s="182"/>
      <c r="CA456" s="182"/>
      <c r="CB456" s="182"/>
      <c r="CC456" s="182"/>
      <c r="CD456" s="182"/>
      <c r="CE456" s="182"/>
      <c r="CF456" s="182"/>
      <c r="CG456" s="182"/>
      <c r="CH456" s="182"/>
      <c r="CI456" s="182"/>
      <c r="CJ456" s="182"/>
      <c r="CK456" s="182"/>
      <c r="CL456" s="182"/>
      <c r="CM456" s="182"/>
      <c r="CN456" s="182"/>
      <c r="CO456" s="182"/>
      <c r="CP456" s="182"/>
      <c r="CQ456" s="182"/>
      <c r="CR456" s="182"/>
      <c r="CS456" s="182"/>
      <c r="CT456" s="182"/>
      <c r="CU456" s="182"/>
      <c r="CV456" s="182"/>
      <c r="CW456" s="182"/>
      <c r="CX456" s="182"/>
      <c r="CY456" s="182"/>
      <c r="CZ456" s="182"/>
      <c r="DA456" s="182"/>
      <c r="DB456" s="182"/>
      <c r="DC456" s="182"/>
      <c r="DD456" s="182"/>
      <c r="DE456" s="182"/>
      <c r="DF456" s="182"/>
      <c r="DG456" s="182"/>
      <c r="DH456" s="182"/>
      <c r="DI456" s="182"/>
      <c r="DJ456" s="182"/>
      <c r="DK456" s="182"/>
      <c r="DL456" s="182"/>
      <c r="DM456" s="182"/>
      <c r="DN456" s="182"/>
      <c r="DO456" s="182"/>
      <c r="DP456" s="182"/>
      <c r="DQ456" s="182"/>
      <c r="DR456" s="182"/>
      <c r="DS456" s="182"/>
      <c r="DT456" s="182"/>
      <c r="DU456" s="182"/>
      <c r="DV456" s="182"/>
      <c r="DW456" s="182"/>
      <c r="DX456" s="182"/>
      <c r="DY456" s="182"/>
      <c r="DZ456" s="182"/>
      <c r="EA456" s="182"/>
      <c r="EB456" s="182"/>
      <c r="EC456" s="182"/>
      <c r="ED456" s="182"/>
      <c r="EE456" s="182"/>
      <c r="EF456" s="182"/>
      <c r="EG456" s="182"/>
      <c r="EH456" s="182"/>
      <c r="EI456" s="182"/>
      <c r="EJ456" s="182"/>
      <c r="EK456" s="182"/>
      <c r="EL456" s="182"/>
      <c r="EM456" s="182"/>
      <c r="EN456" s="182"/>
      <c r="EO456" s="182"/>
      <c r="EP456" s="182"/>
      <c r="EQ456" s="182"/>
      <c r="ER456" s="182"/>
      <c r="ES456" s="182"/>
      <c r="ET456" s="182"/>
      <c r="EU456" s="182"/>
      <c r="EV456" s="182"/>
      <c r="EW456" s="182"/>
      <c r="EX456" s="182"/>
      <c r="EY456" s="182"/>
      <c r="EZ456" s="182"/>
      <c r="FA456" s="182"/>
      <c r="FB456" s="182"/>
      <c r="FC456" s="182"/>
      <c r="FD456" s="182"/>
      <c r="FE456" s="182"/>
      <c r="FF456" s="182"/>
      <c r="FG456" s="182"/>
      <c r="FH456" s="182"/>
      <c r="FI456" s="182"/>
      <c r="FJ456" s="182"/>
      <c r="FK456" s="182"/>
      <c r="FL456" s="182"/>
      <c r="FM456" s="182"/>
      <c r="FN456" s="182"/>
      <c r="FO456" s="182"/>
      <c r="FP456" s="182"/>
      <c r="FQ456" s="182"/>
      <c r="FR456" s="182"/>
      <c r="FS456" s="182"/>
      <c r="FT456" s="182"/>
      <c r="FU456" s="182"/>
      <c r="FV456" s="182"/>
      <c r="FW456" s="182"/>
      <c r="FX456" s="182"/>
      <c r="FY456" s="182"/>
      <c r="FZ456" s="182"/>
      <c r="GA456" s="182"/>
      <c r="GB456" s="182"/>
      <c r="GC456" s="182"/>
      <c r="GD456" s="182"/>
      <c r="GE456" s="182"/>
      <c r="GF456" s="182"/>
      <c r="GG456" s="182"/>
      <c r="GH456" s="182"/>
      <c r="GI456" s="182"/>
    </row>
    <row r="457" spans="1:191" s="183" customFormat="1" x14ac:dyDescent="0.2">
      <c r="A457" s="210" t="s">
        <v>38762</v>
      </c>
      <c r="B457" s="210" t="s">
        <v>20718</v>
      </c>
      <c r="C457" s="224" t="s">
        <v>22561</v>
      </c>
      <c r="D457" s="211" t="s">
        <v>69</v>
      </c>
      <c r="E457" s="211">
        <v>1000</v>
      </c>
      <c r="F457" s="211"/>
      <c r="G457" s="211">
        <v>0.3</v>
      </c>
      <c r="H457" s="212"/>
      <c r="I457" s="213"/>
      <c r="J457" s="272">
        <v>35.44</v>
      </c>
      <c r="K457" s="112">
        <f t="shared" si="29"/>
        <v>35440</v>
      </c>
      <c r="L457" s="273">
        <f>BDI!$E$17</f>
        <v>0.11260000000000001</v>
      </c>
      <c r="M457" s="213"/>
      <c r="N457" s="213"/>
      <c r="O457" s="114">
        <f t="shared" si="30"/>
        <v>39.43</v>
      </c>
      <c r="P457" s="113">
        <f t="shared" si="31"/>
        <v>11829</v>
      </c>
      <c r="Q457" s="209"/>
      <c r="R457" s="203"/>
      <c r="S457" s="182"/>
      <c r="T457" s="182"/>
      <c r="U457" s="182"/>
      <c r="V457" s="182"/>
      <c r="W457" s="182"/>
      <c r="X457" s="182"/>
      <c r="Y457" s="182"/>
      <c r="Z457" s="182"/>
      <c r="AA457" s="182"/>
      <c r="AB457" s="182"/>
      <c r="AC457" s="182"/>
      <c r="AD457" s="182"/>
      <c r="AE457" s="182"/>
      <c r="AF457" s="182"/>
      <c r="AG457" s="182"/>
      <c r="AH457" s="182"/>
      <c r="AI457" s="182"/>
      <c r="AJ457" s="182"/>
      <c r="AK457" s="182"/>
      <c r="AL457" s="182"/>
      <c r="AM457" s="182"/>
      <c r="AN457" s="182"/>
      <c r="AO457" s="182"/>
      <c r="AP457" s="182"/>
      <c r="AQ457" s="182"/>
      <c r="AR457" s="182"/>
      <c r="AS457" s="182"/>
      <c r="AT457" s="182"/>
      <c r="AU457" s="182"/>
      <c r="AV457" s="182"/>
      <c r="AW457" s="182"/>
      <c r="AX457" s="182"/>
      <c r="AY457" s="182"/>
      <c r="AZ457" s="182"/>
      <c r="BA457" s="182"/>
      <c r="BB457" s="182"/>
      <c r="BC457" s="182"/>
      <c r="BD457" s="182"/>
      <c r="BE457" s="182"/>
      <c r="BF457" s="182"/>
      <c r="BG457" s="182"/>
      <c r="BH457" s="182"/>
      <c r="BI457" s="182"/>
      <c r="BJ457" s="182"/>
      <c r="BK457" s="182"/>
      <c r="BL457" s="182"/>
      <c r="BM457" s="182"/>
      <c r="BN457" s="182"/>
      <c r="BO457" s="182"/>
      <c r="BP457" s="182"/>
      <c r="BQ457" s="182"/>
      <c r="BR457" s="182"/>
      <c r="BS457" s="182"/>
      <c r="BT457" s="182"/>
      <c r="BU457" s="182"/>
      <c r="BV457" s="182"/>
      <c r="BW457" s="182"/>
      <c r="BX457" s="182"/>
      <c r="BY457" s="182"/>
      <c r="BZ457" s="182"/>
      <c r="CA457" s="182"/>
      <c r="CB457" s="182"/>
      <c r="CC457" s="182"/>
      <c r="CD457" s="182"/>
      <c r="CE457" s="182"/>
      <c r="CF457" s="182"/>
      <c r="CG457" s="182"/>
      <c r="CH457" s="182"/>
      <c r="CI457" s="182"/>
      <c r="CJ457" s="182"/>
      <c r="CK457" s="182"/>
      <c r="CL457" s="182"/>
      <c r="CM457" s="182"/>
      <c r="CN457" s="182"/>
      <c r="CO457" s="182"/>
      <c r="CP457" s="182"/>
      <c r="CQ457" s="182"/>
      <c r="CR457" s="182"/>
      <c r="CS457" s="182"/>
      <c r="CT457" s="182"/>
      <c r="CU457" s="182"/>
      <c r="CV457" s="182"/>
      <c r="CW457" s="182"/>
      <c r="CX457" s="182"/>
      <c r="CY457" s="182"/>
      <c r="CZ457" s="182"/>
      <c r="DA457" s="182"/>
      <c r="DB457" s="182"/>
      <c r="DC457" s="182"/>
      <c r="DD457" s="182"/>
      <c r="DE457" s="182"/>
      <c r="DF457" s="182"/>
      <c r="DG457" s="182"/>
      <c r="DH457" s="182"/>
      <c r="DI457" s="182"/>
      <c r="DJ457" s="182"/>
      <c r="DK457" s="182"/>
      <c r="DL457" s="182"/>
      <c r="DM457" s="182"/>
      <c r="DN457" s="182"/>
      <c r="DO457" s="182"/>
      <c r="DP457" s="182"/>
      <c r="DQ457" s="182"/>
      <c r="DR457" s="182"/>
      <c r="DS457" s="182"/>
      <c r="DT457" s="182"/>
      <c r="DU457" s="182"/>
      <c r="DV457" s="182"/>
      <c r="DW457" s="182"/>
      <c r="DX457" s="182"/>
      <c r="DY457" s="182"/>
      <c r="DZ457" s="182"/>
      <c r="EA457" s="182"/>
      <c r="EB457" s="182"/>
      <c r="EC457" s="182"/>
      <c r="ED457" s="182"/>
      <c r="EE457" s="182"/>
      <c r="EF457" s="182"/>
      <c r="EG457" s="182"/>
      <c r="EH457" s="182"/>
      <c r="EI457" s="182"/>
      <c r="EJ457" s="182"/>
      <c r="EK457" s="182"/>
      <c r="EL457" s="182"/>
      <c r="EM457" s="182"/>
      <c r="EN457" s="182"/>
      <c r="EO457" s="182"/>
      <c r="EP457" s="182"/>
      <c r="EQ457" s="182"/>
      <c r="ER457" s="182"/>
      <c r="ES457" s="182"/>
      <c r="ET457" s="182"/>
      <c r="EU457" s="182"/>
      <c r="EV457" s="182"/>
      <c r="EW457" s="182"/>
      <c r="EX457" s="182"/>
      <c r="EY457" s="182"/>
      <c r="EZ457" s="182"/>
      <c r="FA457" s="182"/>
      <c r="FB457" s="182"/>
      <c r="FC457" s="182"/>
      <c r="FD457" s="182"/>
      <c r="FE457" s="182"/>
      <c r="FF457" s="182"/>
      <c r="FG457" s="182"/>
      <c r="FH457" s="182"/>
      <c r="FI457" s="182"/>
      <c r="FJ457" s="182"/>
      <c r="FK457" s="182"/>
      <c r="FL457" s="182"/>
      <c r="FM457" s="182"/>
      <c r="FN457" s="182"/>
      <c r="FO457" s="182"/>
      <c r="FP457" s="182"/>
      <c r="FQ457" s="182"/>
      <c r="FR457" s="182"/>
      <c r="FS457" s="182"/>
      <c r="FT457" s="182"/>
      <c r="FU457" s="182"/>
      <c r="FV457" s="182"/>
      <c r="FW457" s="182"/>
      <c r="FX457" s="182"/>
      <c r="FY457" s="182"/>
      <c r="FZ457" s="182"/>
      <c r="GA457" s="182"/>
      <c r="GB457" s="182"/>
      <c r="GC457" s="182"/>
      <c r="GD457" s="182"/>
      <c r="GE457" s="182"/>
      <c r="GF457" s="182"/>
      <c r="GG457" s="182"/>
      <c r="GH457" s="182"/>
      <c r="GI457" s="182"/>
    </row>
    <row r="458" spans="1:191" s="183" customFormat="1" x14ac:dyDescent="0.2">
      <c r="A458" s="210" t="s">
        <v>38763</v>
      </c>
      <c r="B458" s="210" t="s">
        <v>20719</v>
      </c>
      <c r="C458" s="224" t="s">
        <v>22562</v>
      </c>
      <c r="D458" s="211" t="s">
        <v>16</v>
      </c>
      <c r="E458" s="211">
        <v>18</v>
      </c>
      <c r="F458" s="211"/>
      <c r="G458" s="211">
        <v>0.3</v>
      </c>
      <c r="H458" s="212"/>
      <c r="I458" s="213"/>
      <c r="J458" s="272">
        <v>4.51</v>
      </c>
      <c r="K458" s="112">
        <f t="shared" si="29"/>
        <v>81.180000000000007</v>
      </c>
      <c r="L458" s="273">
        <f>BDI!$E$17</f>
        <v>0.11260000000000001</v>
      </c>
      <c r="M458" s="213"/>
      <c r="N458" s="213"/>
      <c r="O458" s="114">
        <f t="shared" si="30"/>
        <v>5.0199999999999996</v>
      </c>
      <c r="P458" s="113">
        <f t="shared" si="31"/>
        <v>27.11</v>
      </c>
      <c r="Q458" s="209"/>
      <c r="R458" s="203"/>
      <c r="S458" s="182"/>
      <c r="T458" s="182"/>
      <c r="U458" s="182"/>
      <c r="V458" s="182"/>
      <c r="W458" s="182"/>
      <c r="X458" s="182"/>
      <c r="Y458" s="182"/>
      <c r="Z458" s="182"/>
      <c r="AA458" s="182"/>
      <c r="AB458" s="182"/>
      <c r="AC458" s="182"/>
      <c r="AD458" s="182"/>
      <c r="AE458" s="182"/>
      <c r="AF458" s="182"/>
      <c r="AG458" s="182"/>
      <c r="AH458" s="182"/>
      <c r="AI458" s="182"/>
      <c r="AJ458" s="182"/>
      <c r="AK458" s="182"/>
      <c r="AL458" s="182"/>
      <c r="AM458" s="182"/>
      <c r="AN458" s="182"/>
      <c r="AO458" s="182"/>
      <c r="AP458" s="182"/>
      <c r="AQ458" s="182"/>
      <c r="AR458" s="182"/>
      <c r="AS458" s="182"/>
      <c r="AT458" s="182"/>
      <c r="AU458" s="182"/>
      <c r="AV458" s="182"/>
      <c r="AW458" s="182"/>
      <c r="AX458" s="182"/>
      <c r="AY458" s="182"/>
      <c r="AZ458" s="182"/>
      <c r="BA458" s="182"/>
      <c r="BB458" s="182"/>
      <c r="BC458" s="182"/>
      <c r="BD458" s="182"/>
      <c r="BE458" s="182"/>
      <c r="BF458" s="182"/>
      <c r="BG458" s="182"/>
      <c r="BH458" s="182"/>
      <c r="BI458" s="182"/>
      <c r="BJ458" s="182"/>
      <c r="BK458" s="182"/>
      <c r="BL458" s="182"/>
      <c r="BM458" s="182"/>
      <c r="BN458" s="182"/>
      <c r="BO458" s="182"/>
      <c r="BP458" s="182"/>
      <c r="BQ458" s="182"/>
      <c r="BR458" s="182"/>
      <c r="BS458" s="182"/>
      <c r="BT458" s="182"/>
      <c r="BU458" s="182"/>
      <c r="BV458" s="182"/>
      <c r="BW458" s="182"/>
      <c r="BX458" s="182"/>
      <c r="BY458" s="182"/>
      <c r="BZ458" s="182"/>
      <c r="CA458" s="182"/>
      <c r="CB458" s="182"/>
      <c r="CC458" s="182"/>
      <c r="CD458" s="182"/>
      <c r="CE458" s="182"/>
      <c r="CF458" s="182"/>
      <c r="CG458" s="182"/>
      <c r="CH458" s="182"/>
      <c r="CI458" s="182"/>
      <c r="CJ458" s="182"/>
      <c r="CK458" s="182"/>
      <c r="CL458" s="182"/>
      <c r="CM458" s="182"/>
      <c r="CN458" s="182"/>
      <c r="CO458" s="182"/>
      <c r="CP458" s="182"/>
      <c r="CQ458" s="182"/>
      <c r="CR458" s="182"/>
      <c r="CS458" s="182"/>
      <c r="CT458" s="182"/>
      <c r="CU458" s="182"/>
      <c r="CV458" s="182"/>
      <c r="CW458" s="182"/>
      <c r="CX458" s="182"/>
      <c r="CY458" s="182"/>
      <c r="CZ458" s="182"/>
      <c r="DA458" s="182"/>
      <c r="DB458" s="182"/>
      <c r="DC458" s="182"/>
      <c r="DD458" s="182"/>
      <c r="DE458" s="182"/>
      <c r="DF458" s="182"/>
      <c r="DG458" s="182"/>
      <c r="DH458" s="182"/>
      <c r="DI458" s="182"/>
      <c r="DJ458" s="182"/>
      <c r="DK458" s="182"/>
      <c r="DL458" s="182"/>
      <c r="DM458" s="182"/>
      <c r="DN458" s="182"/>
      <c r="DO458" s="182"/>
      <c r="DP458" s="182"/>
      <c r="DQ458" s="182"/>
      <c r="DR458" s="182"/>
      <c r="DS458" s="182"/>
      <c r="DT458" s="182"/>
      <c r="DU458" s="182"/>
      <c r="DV458" s="182"/>
      <c r="DW458" s="182"/>
      <c r="DX458" s="182"/>
      <c r="DY458" s="182"/>
      <c r="DZ458" s="182"/>
      <c r="EA458" s="182"/>
      <c r="EB458" s="182"/>
      <c r="EC458" s="182"/>
      <c r="ED458" s="182"/>
      <c r="EE458" s="182"/>
      <c r="EF458" s="182"/>
      <c r="EG458" s="182"/>
      <c r="EH458" s="182"/>
      <c r="EI458" s="182"/>
      <c r="EJ458" s="182"/>
      <c r="EK458" s="182"/>
      <c r="EL458" s="182"/>
      <c r="EM458" s="182"/>
      <c r="EN458" s="182"/>
      <c r="EO458" s="182"/>
      <c r="EP458" s="182"/>
      <c r="EQ458" s="182"/>
      <c r="ER458" s="182"/>
      <c r="ES458" s="182"/>
      <c r="ET458" s="182"/>
      <c r="EU458" s="182"/>
      <c r="EV458" s="182"/>
      <c r="EW458" s="182"/>
      <c r="EX458" s="182"/>
      <c r="EY458" s="182"/>
      <c r="EZ458" s="182"/>
      <c r="FA458" s="182"/>
      <c r="FB458" s="182"/>
      <c r="FC458" s="182"/>
      <c r="FD458" s="182"/>
      <c r="FE458" s="182"/>
      <c r="FF458" s="182"/>
      <c r="FG458" s="182"/>
      <c r="FH458" s="182"/>
      <c r="FI458" s="182"/>
      <c r="FJ458" s="182"/>
      <c r="FK458" s="182"/>
      <c r="FL458" s="182"/>
      <c r="FM458" s="182"/>
      <c r="FN458" s="182"/>
      <c r="FO458" s="182"/>
      <c r="FP458" s="182"/>
      <c r="FQ458" s="182"/>
      <c r="FR458" s="182"/>
      <c r="FS458" s="182"/>
      <c r="FT458" s="182"/>
      <c r="FU458" s="182"/>
      <c r="FV458" s="182"/>
      <c r="FW458" s="182"/>
      <c r="FX458" s="182"/>
      <c r="FY458" s="182"/>
      <c r="FZ458" s="182"/>
      <c r="GA458" s="182"/>
      <c r="GB458" s="182"/>
      <c r="GC458" s="182"/>
      <c r="GD458" s="182"/>
      <c r="GE458" s="182"/>
      <c r="GF458" s="182"/>
      <c r="GG458" s="182"/>
      <c r="GH458" s="182"/>
      <c r="GI458" s="182"/>
    </row>
    <row r="459" spans="1:191" s="183" customFormat="1" x14ac:dyDescent="0.2">
      <c r="A459" s="210" t="s">
        <v>38764</v>
      </c>
      <c r="B459" s="210" t="s">
        <v>20720</v>
      </c>
      <c r="C459" s="224" t="s">
        <v>22563</v>
      </c>
      <c r="D459" s="211" t="s">
        <v>16</v>
      </c>
      <c r="E459" s="211">
        <v>18</v>
      </c>
      <c r="F459" s="211"/>
      <c r="G459" s="211">
        <v>0.3</v>
      </c>
      <c r="H459" s="212"/>
      <c r="I459" s="213"/>
      <c r="J459" s="272">
        <v>2.5099999999999998</v>
      </c>
      <c r="K459" s="112">
        <f t="shared" si="29"/>
        <v>45.18</v>
      </c>
      <c r="L459" s="273">
        <f>BDI!$E$17</f>
        <v>0.11260000000000001</v>
      </c>
      <c r="M459" s="213"/>
      <c r="N459" s="213"/>
      <c r="O459" s="114">
        <f t="shared" si="30"/>
        <v>2.79</v>
      </c>
      <c r="P459" s="113">
        <f t="shared" si="31"/>
        <v>15.07</v>
      </c>
      <c r="Q459" s="209"/>
      <c r="R459" s="203"/>
      <c r="S459" s="182"/>
      <c r="T459" s="182"/>
      <c r="U459" s="182"/>
      <c r="V459" s="182"/>
      <c r="W459" s="182"/>
      <c r="X459" s="182"/>
      <c r="Y459" s="182"/>
      <c r="Z459" s="182"/>
      <c r="AA459" s="182"/>
      <c r="AB459" s="182"/>
      <c r="AC459" s="182"/>
      <c r="AD459" s="182"/>
      <c r="AE459" s="182"/>
      <c r="AF459" s="182"/>
      <c r="AG459" s="182"/>
      <c r="AH459" s="182"/>
      <c r="AI459" s="182"/>
      <c r="AJ459" s="182"/>
      <c r="AK459" s="182"/>
      <c r="AL459" s="182"/>
      <c r="AM459" s="182"/>
      <c r="AN459" s="182"/>
      <c r="AO459" s="182"/>
      <c r="AP459" s="182"/>
      <c r="AQ459" s="182"/>
      <c r="AR459" s="182"/>
      <c r="AS459" s="182"/>
      <c r="AT459" s="182"/>
      <c r="AU459" s="182"/>
      <c r="AV459" s="182"/>
      <c r="AW459" s="182"/>
      <c r="AX459" s="182"/>
      <c r="AY459" s="182"/>
      <c r="AZ459" s="182"/>
      <c r="BA459" s="182"/>
      <c r="BB459" s="182"/>
      <c r="BC459" s="182"/>
      <c r="BD459" s="182"/>
      <c r="BE459" s="182"/>
      <c r="BF459" s="182"/>
      <c r="BG459" s="182"/>
      <c r="BH459" s="182"/>
      <c r="BI459" s="182"/>
      <c r="BJ459" s="182"/>
      <c r="BK459" s="182"/>
      <c r="BL459" s="182"/>
      <c r="BM459" s="182"/>
      <c r="BN459" s="182"/>
      <c r="BO459" s="182"/>
      <c r="BP459" s="182"/>
      <c r="BQ459" s="182"/>
      <c r="BR459" s="182"/>
      <c r="BS459" s="182"/>
      <c r="BT459" s="182"/>
      <c r="BU459" s="182"/>
      <c r="BV459" s="182"/>
      <c r="BW459" s="182"/>
      <c r="BX459" s="182"/>
      <c r="BY459" s="182"/>
      <c r="BZ459" s="182"/>
      <c r="CA459" s="182"/>
      <c r="CB459" s="182"/>
      <c r="CC459" s="182"/>
      <c r="CD459" s="182"/>
      <c r="CE459" s="182"/>
      <c r="CF459" s="182"/>
      <c r="CG459" s="182"/>
      <c r="CH459" s="182"/>
      <c r="CI459" s="182"/>
      <c r="CJ459" s="182"/>
      <c r="CK459" s="182"/>
      <c r="CL459" s="182"/>
      <c r="CM459" s="182"/>
      <c r="CN459" s="182"/>
      <c r="CO459" s="182"/>
      <c r="CP459" s="182"/>
      <c r="CQ459" s="182"/>
      <c r="CR459" s="182"/>
      <c r="CS459" s="182"/>
      <c r="CT459" s="182"/>
      <c r="CU459" s="182"/>
      <c r="CV459" s="182"/>
      <c r="CW459" s="182"/>
      <c r="CX459" s="182"/>
      <c r="CY459" s="182"/>
      <c r="CZ459" s="182"/>
      <c r="DA459" s="182"/>
      <c r="DB459" s="182"/>
      <c r="DC459" s="182"/>
      <c r="DD459" s="182"/>
      <c r="DE459" s="182"/>
      <c r="DF459" s="182"/>
      <c r="DG459" s="182"/>
      <c r="DH459" s="182"/>
      <c r="DI459" s="182"/>
      <c r="DJ459" s="182"/>
      <c r="DK459" s="182"/>
      <c r="DL459" s="182"/>
      <c r="DM459" s="182"/>
      <c r="DN459" s="182"/>
      <c r="DO459" s="182"/>
      <c r="DP459" s="182"/>
      <c r="DQ459" s="182"/>
      <c r="DR459" s="182"/>
      <c r="DS459" s="182"/>
      <c r="DT459" s="182"/>
      <c r="DU459" s="182"/>
      <c r="DV459" s="182"/>
      <c r="DW459" s="182"/>
      <c r="DX459" s="182"/>
      <c r="DY459" s="182"/>
      <c r="DZ459" s="182"/>
      <c r="EA459" s="182"/>
      <c r="EB459" s="182"/>
      <c r="EC459" s="182"/>
      <c r="ED459" s="182"/>
      <c r="EE459" s="182"/>
      <c r="EF459" s="182"/>
      <c r="EG459" s="182"/>
      <c r="EH459" s="182"/>
      <c r="EI459" s="182"/>
      <c r="EJ459" s="182"/>
      <c r="EK459" s="182"/>
      <c r="EL459" s="182"/>
      <c r="EM459" s="182"/>
      <c r="EN459" s="182"/>
      <c r="EO459" s="182"/>
      <c r="EP459" s="182"/>
      <c r="EQ459" s="182"/>
      <c r="ER459" s="182"/>
      <c r="ES459" s="182"/>
      <c r="ET459" s="182"/>
      <c r="EU459" s="182"/>
      <c r="EV459" s="182"/>
      <c r="EW459" s="182"/>
      <c r="EX459" s="182"/>
      <c r="EY459" s="182"/>
      <c r="EZ459" s="182"/>
      <c r="FA459" s="182"/>
      <c r="FB459" s="182"/>
      <c r="FC459" s="182"/>
      <c r="FD459" s="182"/>
      <c r="FE459" s="182"/>
      <c r="FF459" s="182"/>
      <c r="FG459" s="182"/>
      <c r="FH459" s="182"/>
      <c r="FI459" s="182"/>
      <c r="FJ459" s="182"/>
      <c r="FK459" s="182"/>
      <c r="FL459" s="182"/>
      <c r="FM459" s="182"/>
      <c r="FN459" s="182"/>
      <c r="FO459" s="182"/>
      <c r="FP459" s="182"/>
      <c r="FQ459" s="182"/>
      <c r="FR459" s="182"/>
      <c r="FS459" s="182"/>
      <c r="FT459" s="182"/>
      <c r="FU459" s="182"/>
      <c r="FV459" s="182"/>
      <c r="FW459" s="182"/>
      <c r="FX459" s="182"/>
      <c r="FY459" s="182"/>
      <c r="FZ459" s="182"/>
      <c r="GA459" s="182"/>
      <c r="GB459" s="182"/>
      <c r="GC459" s="182"/>
      <c r="GD459" s="182"/>
      <c r="GE459" s="182"/>
      <c r="GF459" s="182"/>
      <c r="GG459" s="182"/>
      <c r="GH459" s="182"/>
      <c r="GI459" s="182"/>
    </row>
    <row r="460" spans="1:191" s="183" customFormat="1" x14ac:dyDescent="0.2">
      <c r="A460" s="210" t="s">
        <v>38765</v>
      </c>
      <c r="B460" s="210" t="s">
        <v>20721</v>
      </c>
      <c r="C460" s="224" t="s">
        <v>22564</v>
      </c>
      <c r="D460" s="211" t="s">
        <v>69</v>
      </c>
      <c r="E460" s="211">
        <v>1000</v>
      </c>
      <c r="F460" s="211"/>
      <c r="G460" s="211">
        <v>0.3</v>
      </c>
      <c r="H460" s="212"/>
      <c r="I460" s="213"/>
      <c r="J460" s="272">
        <v>44.07</v>
      </c>
      <c r="K460" s="112">
        <f t="shared" si="29"/>
        <v>44070</v>
      </c>
      <c r="L460" s="273">
        <f>BDI!$E$17</f>
        <v>0.11260000000000001</v>
      </c>
      <c r="M460" s="213"/>
      <c r="N460" s="213"/>
      <c r="O460" s="114">
        <f t="shared" si="30"/>
        <v>49.03</v>
      </c>
      <c r="P460" s="113">
        <f t="shared" si="31"/>
        <v>14709</v>
      </c>
      <c r="Q460" s="209"/>
      <c r="R460" s="203"/>
      <c r="S460" s="182"/>
      <c r="T460" s="182"/>
      <c r="U460" s="182"/>
      <c r="V460" s="182"/>
      <c r="W460" s="182"/>
      <c r="X460" s="182"/>
      <c r="Y460" s="182"/>
      <c r="Z460" s="182"/>
      <c r="AA460" s="182"/>
      <c r="AB460" s="182"/>
      <c r="AC460" s="182"/>
      <c r="AD460" s="182"/>
      <c r="AE460" s="182"/>
      <c r="AF460" s="182"/>
      <c r="AG460" s="182"/>
      <c r="AH460" s="182"/>
      <c r="AI460" s="182"/>
      <c r="AJ460" s="182"/>
      <c r="AK460" s="182"/>
      <c r="AL460" s="182"/>
      <c r="AM460" s="182"/>
      <c r="AN460" s="182"/>
      <c r="AO460" s="182"/>
      <c r="AP460" s="182"/>
      <c r="AQ460" s="182"/>
      <c r="AR460" s="182"/>
      <c r="AS460" s="182"/>
      <c r="AT460" s="182"/>
      <c r="AU460" s="182"/>
      <c r="AV460" s="182"/>
      <c r="AW460" s="182"/>
      <c r="AX460" s="182"/>
      <c r="AY460" s="182"/>
      <c r="AZ460" s="182"/>
      <c r="BA460" s="182"/>
      <c r="BB460" s="182"/>
      <c r="BC460" s="182"/>
      <c r="BD460" s="182"/>
      <c r="BE460" s="182"/>
      <c r="BF460" s="182"/>
      <c r="BG460" s="182"/>
      <c r="BH460" s="182"/>
      <c r="BI460" s="182"/>
      <c r="BJ460" s="182"/>
      <c r="BK460" s="182"/>
      <c r="BL460" s="182"/>
      <c r="BM460" s="182"/>
      <c r="BN460" s="182"/>
      <c r="BO460" s="182"/>
      <c r="BP460" s="182"/>
      <c r="BQ460" s="182"/>
      <c r="BR460" s="182"/>
      <c r="BS460" s="182"/>
      <c r="BT460" s="182"/>
      <c r="BU460" s="182"/>
      <c r="BV460" s="182"/>
      <c r="BW460" s="182"/>
      <c r="BX460" s="182"/>
      <c r="BY460" s="182"/>
      <c r="BZ460" s="182"/>
      <c r="CA460" s="182"/>
      <c r="CB460" s="182"/>
      <c r="CC460" s="182"/>
      <c r="CD460" s="182"/>
      <c r="CE460" s="182"/>
      <c r="CF460" s="182"/>
      <c r="CG460" s="182"/>
      <c r="CH460" s="182"/>
      <c r="CI460" s="182"/>
      <c r="CJ460" s="182"/>
      <c r="CK460" s="182"/>
      <c r="CL460" s="182"/>
      <c r="CM460" s="182"/>
      <c r="CN460" s="182"/>
      <c r="CO460" s="182"/>
      <c r="CP460" s="182"/>
      <c r="CQ460" s="182"/>
      <c r="CR460" s="182"/>
      <c r="CS460" s="182"/>
      <c r="CT460" s="182"/>
      <c r="CU460" s="182"/>
      <c r="CV460" s="182"/>
      <c r="CW460" s="182"/>
      <c r="CX460" s="182"/>
      <c r="CY460" s="182"/>
      <c r="CZ460" s="182"/>
      <c r="DA460" s="182"/>
      <c r="DB460" s="182"/>
      <c r="DC460" s="182"/>
      <c r="DD460" s="182"/>
      <c r="DE460" s="182"/>
      <c r="DF460" s="182"/>
      <c r="DG460" s="182"/>
      <c r="DH460" s="182"/>
      <c r="DI460" s="182"/>
      <c r="DJ460" s="182"/>
      <c r="DK460" s="182"/>
      <c r="DL460" s="182"/>
      <c r="DM460" s="182"/>
      <c r="DN460" s="182"/>
      <c r="DO460" s="182"/>
      <c r="DP460" s="182"/>
      <c r="DQ460" s="182"/>
      <c r="DR460" s="182"/>
      <c r="DS460" s="182"/>
      <c r="DT460" s="182"/>
      <c r="DU460" s="182"/>
      <c r="DV460" s="182"/>
      <c r="DW460" s="182"/>
      <c r="DX460" s="182"/>
      <c r="DY460" s="182"/>
      <c r="DZ460" s="182"/>
      <c r="EA460" s="182"/>
      <c r="EB460" s="182"/>
      <c r="EC460" s="182"/>
      <c r="ED460" s="182"/>
      <c r="EE460" s="182"/>
      <c r="EF460" s="182"/>
      <c r="EG460" s="182"/>
      <c r="EH460" s="182"/>
      <c r="EI460" s="182"/>
      <c r="EJ460" s="182"/>
      <c r="EK460" s="182"/>
      <c r="EL460" s="182"/>
      <c r="EM460" s="182"/>
      <c r="EN460" s="182"/>
      <c r="EO460" s="182"/>
      <c r="EP460" s="182"/>
      <c r="EQ460" s="182"/>
      <c r="ER460" s="182"/>
      <c r="ES460" s="182"/>
      <c r="ET460" s="182"/>
      <c r="EU460" s="182"/>
      <c r="EV460" s="182"/>
      <c r="EW460" s="182"/>
      <c r="EX460" s="182"/>
      <c r="EY460" s="182"/>
      <c r="EZ460" s="182"/>
      <c r="FA460" s="182"/>
      <c r="FB460" s="182"/>
      <c r="FC460" s="182"/>
      <c r="FD460" s="182"/>
      <c r="FE460" s="182"/>
      <c r="FF460" s="182"/>
      <c r="FG460" s="182"/>
      <c r="FH460" s="182"/>
      <c r="FI460" s="182"/>
      <c r="FJ460" s="182"/>
      <c r="FK460" s="182"/>
      <c r="FL460" s="182"/>
      <c r="FM460" s="182"/>
      <c r="FN460" s="182"/>
      <c r="FO460" s="182"/>
      <c r="FP460" s="182"/>
      <c r="FQ460" s="182"/>
      <c r="FR460" s="182"/>
      <c r="FS460" s="182"/>
      <c r="FT460" s="182"/>
      <c r="FU460" s="182"/>
      <c r="FV460" s="182"/>
      <c r="FW460" s="182"/>
      <c r="FX460" s="182"/>
      <c r="FY460" s="182"/>
      <c r="FZ460" s="182"/>
      <c r="GA460" s="182"/>
      <c r="GB460" s="182"/>
      <c r="GC460" s="182"/>
      <c r="GD460" s="182"/>
      <c r="GE460" s="182"/>
      <c r="GF460" s="182"/>
      <c r="GG460" s="182"/>
      <c r="GH460" s="182"/>
      <c r="GI460" s="182"/>
    </row>
    <row r="461" spans="1:191" s="183" customFormat="1" x14ac:dyDescent="0.2">
      <c r="A461" s="210" t="s">
        <v>38766</v>
      </c>
      <c r="B461" s="210" t="s">
        <v>20722</v>
      </c>
      <c r="C461" s="224" t="s">
        <v>22565</v>
      </c>
      <c r="D461" s="211" t="s">
        <v>16</v>
      </c>
      <c r="E461" s="211">
        <v>50</v>
      </c>
      <c r="F461" s="211"/>
      <c r="G461" s="211">
        <v>0.3</v>
      </c>
      <c r="H461" s="212"/>
      <c r="I461" s="213"/>
      <c r="J461" s="272">
        <v>5.16</v>
      </c>
      <c r="K461" s="112">
        <f t="shared" si="29"/>
        <v>258</v>
      </c>
      <c r="L461" s="273">
        <f>BDI!$E$17</f>
        <v>0.11260000000000001</v>
      </c>
      <c r="M461" s="213"/>
      <c r="N461" s="213"/>
      <c r="O461" s="114">
        <f t="shared" si="30"/>
        <v>5.74</v>
      </c>
      <c r="P461" s="113">
        <f t="shared" si="31"/>
        <v>86.1</v>
      </c>
      <c r="Q461" s="209"/>
      <c r="R461" s="203"/>
      <c r="S461" s="182"/>
      <c r="T461" s="182"/>
      <c r="U461" s="182"/>
      <c r="V461" s="182"/>
      <c r="W461" s="182"/>
      <c r="X461" s="182"/>
      <c r="Y461" s="182"/>
      <c r="Z461" s="182"/>
      <c r="AA461" s="182"/>
      <c r="AB461" s="182"/>
      <c r="AC461" s="182"/>
      <c r="AD461" s="182"/>
      <c r="AE461" s="182"/>
      <c r="AF461" s="182"/>
      <c r="AG461" s="182"/>
      <c r="AH461" s="182"/>
      <c r="AI461" s="182"/>
      <c r="AJ461" s="182"/>
      <c r="AK461" s="182"/>
      <c r="AL461" s="182"/>
      <c r="AM461" s="182"/>
      <c r="AN461" s="182"/>
      <c r="AO461" s="182"/>
      <c r="AP461" s="182"/>
      <c r="AQ461" s="182"/>
      <c r="AR461" s="182"/>
      <c r="AS461" s="182"/>
      <c r="AT461" s="182"/>
      <c r="AU461" s="182"/>
      <c r="AV461" s="182"/>
      <c r="AW461" s="182"/>
      <c r="AX461" s="182"/>
      <c r="AY461" s="182"/>
      <c r="AZ461" s="182"/>
      <c r="BA461" s="182"/>
      <c r="BB461" s="182"/>
      <c r="BC461" s="182"/>
      <c r="BD461" s="182"/>
      <c r="BE461" s="182"/>
      <c r="BF461" s="182"/>
      <c r="BG461" s="182"/>
      <c r="BH461" s="182"/>
      <c r="BI461" s="182"/>
      <c r="BJ461" s="182"/>
      <c r="BK461" s="182"/>
      <c r="BL461" s="182"/>
      <c r="BM461" s="182"/>
      <c r="BN461" s="182"/>
      <c r="BO461" s="182"/>
      <c r="BP461" s="182"/>
      <c r="BQ461" s="182"/>
      <c r="BR461" s="182"/>
      <c r="BS461" s="182"/>
      <c r="BT461" s="182"/>
      <c r="BU461" s="182"/>
      <c r="BV461" s="182"/>
      <c r="BW461" s="182"/>
      <c r="BX461" s="182"/>
      <c r="BY461" s="182"/>
      <c r="BZ461" s="182"/>
      <c r="CA461" s="182"/>
      <c r="CB461" s="182"/>
      <c r="CC461" s="182"/>
      <c r="CD461" s="182"/>
      <c r="CE461" s="182"/>
      <c r="CF461" s="182"/>
      <c r="CG461" s="182"/>
      <c r="CH461" s="182"/>
      <c r="CI461" s="182"/>
      <c r="CJ461" s="182"/>
      <c r="CK461" s="182"/>
      <c r="CL461" s="182"/>
      <c r="CM461" s="182"/>
      <c r="CN461" s="182"/>
      <c r="CO461" s="182"/>
      <c r="CP461" s="182"/>
      <c r="CQ461" s="182"/>
      <c r="CR461" s="182"/>
      <c r="CS461" s="182"/>
      <c r="CT461" s="182"/>
      <c r="CU461" s="182"/>
      <c r="CV461" s="182"/>
      <c r="CW461" s="182"/>
      <c r="CX461" s="182"/>
      <c r="CY461" s="182"/>
      <c r="CZ461" s="182"/>
      <c r="DA461" s="182"/>
      <c r="DB461" s="182"/>
      <c r="DC461" s="182"/>
      <c r="DD461" s="182"/>
      <c r="DE461" s="182"/>
      <c r="DF461" s="182"/>
      <c r="DG461" s="182"/>
      <c r="DH461" s="182"/>
      <c r="DI461" s="182"/>
      <c r="DJ461" s="182"/>
      <c r="DK461" s="182"/>
      <c r="DL461" s="182"/>
      <c r="DM461" s="182"/>
      <c r="DN461" s="182"/>
      <c r="DO461" s="182"/>
      <c r="DP461" s="182"/>
      <c r="DQ461" s="182"/>
      <c r="DR461" s="182"/>
      <c r="DS461" s="182"/>
      <c r="DT461" s="182"/>
      <c r="DU461" s="182"/>
      <c r="DV461" s="182"/>
      <c r="DW461" s="182"/>
      <c r="DX461" s="182"/>
      <c r="DY461" s="182"/>
      <c r="DZ461" s="182"/>
      <c r="EA461" s="182"/>
      <c r="EB461" s="182"/>
      <c r="EC461" s="182"/>
      <c r="ED461" s="182"/>
      <c r="EE461" s="182"/>
      <c r="EF461" s="182"/>
      <c r="EG461" s="182"/>
      <c r="EH461" s="182"/>
      <c r="EI461" s="182"/>
      <c r="EJ461" s="182"/>
      <c r="EK461" s="182"/>
      <c r="EL461" s="182"/>
      <c r="EM461" s="182"/>
      <c r="EN461" s="182"/>
      <c r="EO461" s="182"/>
      <c r="EP461" s="182"/>
      <c r="EQ461" s="182"/>
      <c r="ER461" s="182"/>
      <c r="ES461" s="182"/>
      <c r="ET461" s="182"/>
      <c r="EU461" s="182"/>
      <c r="EV461" s="182"/>
      <c r="EW461" s="182"/>
      <c r="EX461" s="182"/>
      <c r="EY461" s="182"/>
      <c r="EZ461" s="182"/>
      <c r="FA461" s="182"/>
      <c r="FB461" s="182"/>
      <c r="FC461" s="182"/>
      <c r="FD461" s="182"/>
      <c r="FE461" s="182"/>
      <c r="FF461" s="182"/>
      <c r="FG461" s="182"/>
      <c r="FH461" s="182"/>
      <c r="FI461" s="182"/>
      <c r="FJ461" s="182"/>
      <c r="FK461" s="182"/>
      <c r="FL461" s="182"/>
      <c r="FM461" s="182"/>
      <c r="FN461" s="182"/>
      <c r="FO461" s="182"/>
      <c r="FP461" s="182"/>
      <c r="FQ461" s="182"/>
      <c r="FR461" s="182"/>
      <c r="FS461" s="182"/>
      <c r="FT461" s="182"/>
      <c r="FU461" s="182"/>
      <c r="FV461" s="182"/>
      <c r="FW461" s="182"/>
      <c r="FX461" s="182"/>
      <c r="FY461" s="182"/>
      <c r="FZ461" s="182"/>
      <c r="GA461" s="182"/>
      <c r="GB461" s="182"/>
      <c r="GC461" s="182"/>
      <c r="GD461" s="182"/>
      <c r="GE461" s="182"/>
      <c r="GF461" s="182"/>
      <c r="GG461" s="182"/>
      <c r="GH461" s="182"/>
      <c r="GI461" s="182"/>
    </row>
    <row r="462" spans="1:191" s="183" customFormat="1" x14ac:dyDescent="0.2">
      <c r="A462" s="210" t="s">
        <v>38767</v>
      </c>
      <c r="B462" s="210" t="s">
        <v>20723</v>
      </c>
      <c r="C462" s="224" t="s">
        <v>22566</v>
      </c>
      <c r="D462" s="211" t="s">
        <v>16</v>
      </c>
      <c r="E462" s="211">
        <v>50</v>
      </c>
      <c r="F462" s="211"/>
      <c r="G462" s="211">
        <v>0.3</v>
      </c>
      <c r="H462" s="212"/>
      <c r="I462" s="213"/>
      <c r="J462" s="272">
        <v>3.06</v>
      </c>
      <c r="K462" s="112">
        <f t="shared" si="29"/>
        <v>153</v>
      </c>
      <c r="L462" s="273">
        <f>BDI!$E$17</f>
        <v>0.11260000000000001</v>
      </c>
      <c r="M462" s="213"/>
      <c r="N462" s="213"/>
      <c r="O462" s="114">
        <f t="shared" si="30"/>
        <v>3.4</v>
      </c>
      <c r="P462" s="113">
        <f t="shared" si="31"/>
        <v>51</v>
      </c>
      <c r="Q462" s="209"/>
      <c r="R462" s="203"/>
      <c r="S462" s="182"/>
      <c r="T462" s="182"/>
      <c r="U462" s="182"/>
      <c r="V462" s="182"/>
      <c r="W462" s="182"/>
      <c r="X462" s="182"/>
      <c r="Y462" s="182"/>
      <c r="Z462" s="182"/>
      <c r="AA462" s="182"/>
      <c r="AB462" s="182"/>
      <c r="AC462" s="182"/>
      <c r="AD462" s="182"/>
      <c r="AE462" s="182"/>
      <c r="AF462" s="182"/>
      <c r="AG462" s="182"/>
      <c r="AH462" s="182"/>
      <c r="AI462" s="182"/>
      <c r="AJ462" s="182"/>
      <c r="AK462" s="182"/>
      <c r="AL462" s="182"/>
      <c r="AM462" s="182"/>
      <c r="AN462" s="182"/>
      <c r="AO462" s="182"/>
      <c r="AP462" s="182"/>
      <c r="AQ462" s="182"/>
      <c r="AR462" s="182"/>
      <c r="AS462" s="182"/>
      <c r="AT462" s="182"/>
      <c r="AU462" s="182"/>
      <c r="AV462" s="182"/>
      <c r="AW462" s="182"/>
      <c r="AX462" s="182"/>
      <c r="AY462" s="182"/>
      <c r="AZ462" s="182"/>
      <c r="BA462" s="182"/>
      <c r="BB462" s="182"/>
      <c r="BC462" s="182"/>
      <c r="BD462" s="182"/>
      <c r="BE462" s="182"/>
      <c r="BF462" s="182"/>
      <c r="BG462" s="182"/>
      <c r="BH462" s="182"/>
      <c r="BI462" s="182"/>
      <c r="BJ462" s="182"/>
      <c r="BK462" s="182"/>
      <c r="BL462" s="182"/>
      <c r="BM462" s="182"/>
      <c r="BN462" s="182"/>
      <c r="BO462" s="182"/>
      <c r="BP462" s="182"/>
      <c r="BQ462" s="182"/>
      <c r="BR462" s="182"/>
      <c r="BS462" s="182"/>
      <c r="BT462" s="182"/>
      <c r="BU462" s="182"/>
      <c r="BV462" s="182"/>
      <c r="BW462" s="182"/>
      <c r="BX462" s="182"/>
      <c r="BY462" s="182"/>
      <c r="BZ462" s="182"/>
      <c r="CA462" s="182"/>
      <c r="CB462" s="182"/>
      <c r="CC462" s="182"/>
      <c r="CD462" s="182"/>
      <c r="CE462" s="182"/>
      <c r="CF462" s="182"/>
      <c r="CG462" s="182"/>
      <c r="CH462" s="182"/>
      <c r="CI462" s="182"/>
      <c r="CJ462" s="182"/>
      <c r="CK462" s="182"/>
      <c r="CL462" s="182"/>
      <c r="CM462" s="182"/>
      <c r="CN462" s="182"/>
      <c r="CO462" s="182"/>
      <c r="CP462" s="182"/>
      <c r="CQ462" s="182"/>
      <c r="CR462" s="182"/>
      <c r="CS462" s="182"/>
      <c r="CT462" s="182"/>
      <c r="CU462" s="182"/>
      <c r="CV462" s="182"/>
      <c r="CW462" s="182"/>
      <c r="CX462" s="182"/>
      <c r="CY462" s="182"/>
      <c r="CZ462" s="182"/>
      <c r="DA462" s="182"/>
      <c r="DB462" s="182"/>
      <c r="DC462" s="182"/>
      <c r="DD462" s="182"/>
      <c r="DE462" s="182"/>
      <c r="DF462" s="182"/>
      <c r="DG462" s="182"/>
      <c r="DH462" s="182"/>
      <c r="DI462" s="182"/>
      <c r="DJ462" s="182"/>
      <c r="DK462" s="182"/>
      <c r="DL462" s="182"/>
      <c r="DM462" s="182"/>
      <c r="DN462" s="182"/>
      <c r="DO462" s="182"/>
      <c r="DP462" s="182"/>
      <c r="DQ462" s="182"/>
      <c r="DR462" s="182"/>
      <c r="DS462" s="182"/>
      <c r="DT462" s="182"/>
      <c r="DU462" s="182"/>
      <c r="DV462" s="182"/>
      <c r="DW462" s="182"/>
      <c r="DX462" s="182"/>
      <c r="DY462" s="182"/>
      <c r="DZ462" s="182"/>
      <c r="EA462" s="182"/>
      <c r="EB462" s="182"/>
      <c r="EC462" s="182"/>
      <c r="ED462" s="182"/>
      <c r="EE462" s="182"/>
      <c r="EF462" s="182"/>
      <c r="EG462" s="182"/>
      <c r="EH462" s="182"/>
      <c r="EI462" s="182"/>
      <c r="EJ462" s="182"/>
      <c r="EK462" s="182"/>
      <c r="EL462" s="182"/>
      <c r="EM462" s="182"/>
      <c r="EN462" s="182"/>
      <c r="EO462" s="182"/>
      <c r="EP462" s="182"/>
      <c r="EQ462" s="182"/>
      <c r="ER462" s="182"/>
      <c r="ES462" s="182"/>
      <c r="ET462" s="182"/>
      <c r="EU462" s="182"/>
      <c r="EV462" s="182"/>
      <c r="EW462" s="182"/>
      <c r="EX462" s="182"/>
      <c r="EY462" s="182"/>
      <c r="EZ462" s="182"/>
      <c r="FA462" s="182"/>
      <c r="FB462" s="182"/>
      <c r="FC462" s="182"/>
      <c r="FD462" s="182"/>
      <c r="FE462" s="182"/>
      <c r="FF462" s="182"/>
      <c r="FG462" s="182"/>
      <c r="FH462" s="182"/>
      <c r="FI462" s="182"/>
      <c r="FJ462" s="182"/>
      <c r="FK462" s="182"/>
      <c r="FL462" s="182"/>
      <c r="FM462" s="182"/>
      <c r="FN462" s="182"/>
      <c r="FO462" s="182"/>
      <c r="FP462" s="182"/>
      <c r="FQ462" s="182"/>
      <c r="FR462" s="182"/>
      <c r="FS462" s="182"/>
      <c r="FT462" s="182"/>
      <c r="FU462" s="182"/>
      <c r="FV462" s="182"/>
      <c r="FW462" s="182"/>
      <c r="FX462" s="182"/>
      <c r="FY462" s="182"/>
      <c r="FZ462" s="182"/>
      <c r="GA462" s="182"/>
      <c r="GB462" s="182"/>
      <c r="GC462" s="182"/>
      <c r="GD462" s="182"/>
      <c r="GE462" s="182"/>
      <c r="GF462" s="182"/>
      <c r="GG462" s="182"/>
      <c r="GH462" s="182"/>
      <c r="GI462" s="182"/>
    </row>
    <row r="463" spans="1:191" s="183" customFormat="1" x14ac:dyDescent="0.2">
      <c r="A463" s="210" t="s">
        <v>38768</v>
      </c>
      <c r="B463" s="210" t="s">
        <v>20724</v>
      </c>
      <c r="C463" s="224" t="s">
        <v>22567</v>
      </c>
      <c r="D463" s="211" t="s">
        <v>69</v>
      </c>
      <c r="E463" s="211">
        <v>500</v>
      </c>
      <c r="F463" s="211"/>
      <c r="G463" s="211">
        <v>0.3</v>
      </c>
      <c r="H463" s="212"/>
      <c r="I463" s="213"/>
      <c r="J463" s="272">
        <v>53.3</v>
      </c>
      <c r="K463" s="112">
        <f t="shared" si="29"/>
        <v>26650</v>
      </c>
      <c r="L463" s="273">
        <f>BDI!$E$17</f>
        <v>0.11260000000000001</v>
      </c>
      <c r="M463" s="213"/>
      <c r="N463" s="213"/>
      <c r="O463" s="114">
        <f t="shared" si="30"/>
        <v>59.3</v>
      </c>
      <c r="P463" s="113">
        <f t="shared" si="31"/>
        <v>8895</v>
      </c>
      <c r="Q463" s="209"/>
      <c r="R463" s="203"/>
      <c r="S463" s="182"/>
      <c r="T463" s="182"/>
      <c r="U463" s="182"/>
      <c r="V463" s="182"/>
      <c r="W463" s="182"/>
      <c r="X463" s="182"/>
      <c r="Y463" s="182"/>
      <c r="Z463" s="182"/>
      <c r="AA463" s="182"/>
      <c r="AB463" s="182"/>
      <c r="AC463" s="182"/>
      <c r="AD463" s="182"/>
      <c r="AE463" s="182"/>
      <c r="AF463" s="182"/>
      <c r="AG463" s="182"/>
      <c r="AH463" s="182"/>
      <c r="AI463" s="182"/>
      <c r="AJ463" s="182"/>
      <c r="AK463" s="182"/>
      <c r="AL463" s="182"/>
      <c r="AM463" s="182"/>
      <c r="AN463" s="182"/>
      <c r="AO463" s="182"/>
      <c r="AP463" s="182"/>
      <c r="AQ463" s="182"/>
      <c r="AR463" s="182"/>
      <c r="AS463" s="182"/>
      <c r="AT463" s="182"/>
      <c r="AU463" s="182"/>
      <c r="AV463" s="182"/>
      <c r="AW463" s="182"/>
      <c r="AX463" s="182"/>
      <c r="AY463" s="182"/>
      <c r="AZ463" s="182"/>
      <c r="BA463" s="182"/>
      <c r="BB463" s="182"/>
      <c r="BC463" s="182"/>
      <c r="BD463" s="182"/>
      <c r="BE463" s="182"/>
      <c r="BF463" s="182"/>
      <c r="BG463" s="182"/>
      <c r="BH463" s="182"/>
      <c r="BI463" s="182"/>
      <c r="BJ463" s="182"/>
      <c r="BK463" s="182"/>
      <c r="BL463" s="182"/>
      <c r="BM463" s="182"/>
      <c r="BN463" s="182"/>
      <c r="BO463" s="182"/>
      <c r="BP463" s="182"/>
      <c r="BQ463" s="182"/>
      <c r="BR463" s="182"/>
      <c r="BS463" s="182"/>
      <c r="BT463" s="182"/>
      <c r="BU463" s="182"/>
      <c r="BV463" s="182"/>
      <c r="BW463" s="182"/>
      <c r="BX463" s="182"/>
      <c r="BY463" s="182"/>
      <c r="BZ463" s="182"/>
      <c r="CA463" s="182"/>
      <c r="CB463" s="182"/>
      <c r="CC463" s="182"/>
      <c r="CD463" s="182"/>
      <c r="CE463" s="182"/>
      <c r="CF463" s="182"/>
      <c r="CG463" s="182"/>
      <c r="CH463" s="182"/>
      <c r="CI463" s="182"/>
      <c r="CJ463" s="182"/>
      <c r="CK463" s="182"/>
      <c r="CL463" s="182"/>
      <c r="CM463" s="182"/>
      <c r="CN463" s="182"/>
      <c r="CO463" s="182"/>
      <c r="CP463" s="182"/>
      <c r="CQ463" s="182"/>
      <c r="CR463" s="182"/>
      <c r="CS463" s="182"/>
      <c r="CT463" s="182"/>
      <c r="CU463" s="182"/>
      <c r="CV463" s="182"/>
      <c r="CW463" s="182"/>
      <c r="CX463" s="182"/>
      <c r="CY463" s="182"/>
      <c r="CZ463" s="182"/>
      <c r="DA463" s="182"/>
      <c r="DB463" s="182"/>
      <c r="DC463" s="182"/>
      <c r="DD463" s="182"/>
      <c r="DE463" s="182"/>
      <c r="DF463" s="182"/>
      <c r="DG463" s="182"/>
      <c r="DH463" s="182"/>
      <c r="DI463" s="182"/>
      <c r="DJ463" s="182"/>
      <c r="DK463" s="182"/>
      <c r="DL463" s="182"/>
      <c r="DM463" s="182"/>
      <c r="DN463" s="182"/>
      <c r="DO463" s="182"/>
      <c r="DP463" s="182"/>
      <c r="DQ463" s="182"/>
      <c r="DR463" s="182"/>
      <c r="DS463" s="182"/>
      <c r="DT463" s="182"/>
      <c r="DU463" s="182"/>
      <c r="DV463" s="182"/>
      <c r="DW463" s="182"/>
      <c r="DX463" s="182"/>
      <c r="DY463" s="182"/>
      <c r="DZ463" s="182"/>
      <c r="EA463" s="182"/>
      <c r="EB463" s="182"/>
      <c r="EC463" s="182"/>
      <c r="ED463" s="182"/>
      <c r="EE463" s="182"/>
      <c r="EF463" s="182"/>
      <c r="EG463" s="182"/>
      <c r="EH463" s="182"/>
      <c r="EI463" s="182"/>
      <c r="EJ463" s="182"/>
      <c r="EK463" s="182"/>
      <c r="EL463" s="182"/>
      <c r="EM463" s="182"/>
      <c r="EN463" s="182"/>
      <c r="EO463" s="182"/>
      <c r="EP463" s="182"/>
      <c r="EQ463" s="182"/>
      <c r="ER463" s="182"/>
      <c r="ES463" s="182"/>
      <c r="ET463" s="182"/>
      <c r="EU463" s="182"/>
      <c r="EV463" s="182"/>
      <c r="EW463" s="182"/>
      <c r="EX463" s="182"/>
      <c r="EY463" s="182"/>
      <c r="EZ463" s="182"/>
      <c r="FA463" s="182"/>
      <c r="FB463" s="182"/>
      <c r="FC463" s="182"/>
      <c r="FD463" s="182"/>
      <c r="FE463" s="182"/>
      <c r="FF463" s="182"/>
      <c r="FG463" s="182"/>
      <c r="FH463" s="182"/>
      <c r="FI463" s="182"/>
      <c r="FJ463" s="182"/>
      <c r="FK463" s="182"/>
      <c r="FL463" s="182"/>
      <c r="FM463" s="182"/>
      <c r="FN463" s="182"/>
      <c r="FO463" s="182"/>
      <c r="FP463" s="182"/>
      <c r="FQ463" s="182"/>
      <c r="FR463" s="182"/>
      <c r="FS463" s="182"/>
      <c r="FT463" s="182"/>
      <c r="FU463" s="182"/>
      <c r="FV463" s="182"/>
      <c r="FW463" s="182"/>
      <c r="FX463" s="182"/>
      <c r="FY463" s="182"/>
      <c r="FZ463" s="182"/>
      <c r="GA463" s="182"/>
      <c r="GB463" s="182"/>
      <c r="GC463" s="182"/>
      <c r="GD463" s="182"/>
      <c r="GE463" s="182"/>
      <c r="GF463" s="182"/>
      <c r="GG463" s="182"/>
      <c r="GH463" s="182"/>
      <c r="GI463" s="182"/>
    </row>
    <row r="464" spans="1:191" s="183" customFormat="1" x14ac:dyDescent="0.2">
      <c r="A464" s="210" t="s">
        <v>38769</v>
      </c>
      <c r="B464" s="210" t="s">
        <v>20725</v>
      </c>
      <c r="C464" s="224" t="s">
        <v>22568</v>
      </c>
      <c r="D464" s="211" t="s">
        <v>16</v>
      </c>
      <c r="E464" s="211">
        <v>20</v>
      </c>
      <c r="F464" s="211"/>
      <c r="G464" s="211">
        <v>0.3</v>
      </c>
      <c r="H464" s="212"/>
      <c r="I464" s="213"/>
      <c r="J464" s="272">
        <v>10.19</v>
      </c>
      <c r="K464" s="112">
        <f t="shared" si="29"/>
        <v>203.8</v>
      </c>
      <c r="L464" s="273">
        <f>BDI!$E$17</f>
        <v>0.11260000000000001</v>
      </c>
      <c r="M464" s="213"/>
      <c r="N464" s="213"/>
      <c r="O464" s="114">
        <f t="shared" si="30"/>
        <v>11.34</v>
      </c>
      <c r="P464" s="113">
        <f t="shared" si="31"/>
        <v>68.040000000000006</v>
      </c>
      <c r="Q464" s="209"/>
      <c r="R464" s="203"/>
      <c r="S464" s="182"/>
      <c r="T464" s="182"/>
      <c r="U464" s="182"/>
      <c r="V464" s="182"/>
      <c r="W464" s="182"/>
      <c r="X464" s="182"/>
      <c r="Y464" s="182"/>
      <c r="Z464" s="182"/>
      <c r="AA464" s="182"/>
      <c r="AB464" s="182"/>
      <c r="AC464" s="182"/>
      <c r="AD464" s="182"/>
      <c r="AE464" s="182"/>
      <c r="AF464" s="182"/>
      <c r="AG464" s="182"/>
      <c r="AH464" s="182"/>
      <c r="AI464" s="182"/>
      <c r="AJ464" s="182"/>
      <c r="AK464" s="182"/>
      <c r="AL464" s="182"/>
      <c r="AM464" s="182"/>
      <c r="AN464" s="182"/>
      <c r="AO464" s="182"/>
      <c r="AP464" s="182"/>
      <c r="AQ464" s="182"/>
      <c r="AR464" s="182"/>
      <c r="AS464" s="182"/>
      <c r="AT464" s="182"/>
      <c r="AU464" s="182"/>
      <c r="AV464" s="182"/>
      <c r="AW464" s="182"/>
      <c r="AX464" s="182"/>
      <c r="AY464" s="182"/>
      <c r="AZ464" s="182"/>
      <c r="BA464" s="182"/>
      <c r="BB464" s="182"/>
      <c r="BC464" s="182"/>
      <c r="BD464" s="182"/>
      <c r="BE464" s="182"/>
      <c r="BF464" s="182"/>
      <c r="BG464" s="182"/>
      <c r="BH464" s="182"/>
      <c r="BI464" s="182"/>
      <c r="BJ464" s="182"/>
      <c r="BK464" s="182"/>
      <c r="BL464" s="182"/>
      <c r="BM464" s="182"/>
      <c r="BN464" s="182"/>
      <c r="BO464" s="182"/>
      <c r="BP464" s="182"/>
      <c r="BQ464" s="182"/>
      <c r="BR464" s="182"/>
      <c r="BS464" s="182"/>
      <c r="BT464" s="182"/>
      <c r="BU464" s="182"/>
      <c r="BV464" s="182"/>
      <c r="BW464" s="182"/>
      <c r="BX464" s="182"/>
      <c r="BY464" s="182"/>
      <c r="BZ464" s="182"/>
      <c r="CA464" s="182"/>
      <c r="CB464" s="182"/>
      <c r="CC464" s="182"/>
      <c r="CD464" s="182"/>
      <c r="CE464" s="182"/>
      <c r="CF464" s="182"/>
      <c r="CG464" s="182"/>
      <c r="CH464" s="182"/>
      <c r="CI464" s="182"/>
      <c r="CJ464" s="182"/>
      <c r="CK464" s="182"/>
      <c r="CL464" s="182"/>
      <c r="CM464" s="182"/>
      <c r="CN464" s="182"/>
      <c r="CO464" s="182"/>
      <c r="CP464" s="182"/>
      <c r="CQ464" s="182"/>
      <c r="CR464" s="182"/>
      <c r="CS464" s="182"/>
      <c r="CT464" s="182"/>
      <c r="CU464" s="182"/>
      <c r="CV464" s="182"/>
      <c r="CW464" s="182"/>
      <c r="CX464" s="182"/>
      <c r="CY464" s="182"/>
      <c r="CZ464" s="182"/>
      <c r="DA464" s="182"/>
      <c r="DB464" s="182"/>
      <c r="DC464" s="182"/>
      <c r="DD464" s="182"/>
      <c r="DE464" s="182"/>
      <c r="DF464" s="182"/>
      <c r="DG464" s="182"/>
      <c r="DH464" s="182"/>
      <c r="DI464" s="182"/>
      <c r="DJ464" s="182"/>
      <c r="DK464" s="182"/>
      <c r="DL464" s="182"/>
      <c r="DM464" s="182"/>
      <c r="DN464" s="182"/>
      <c r="DO464" s="182"/>
      <c r="DP464" s="182"/>
      <c r="DQ464" s="182"/>
      <c r="DR464" s="182"/>
      <c r="DS464" s="182"/>
      <c r="DT464" s="182"/>
      <c r="DU464" s="182"/>
      <c r="DV464" s="182"/>
      <c r="DW464" s="182"/>
      <c r="DX464" s="182"/>
      <c r="DY464" s="182"/>
      <c r="DZ464" s="182"/>
      <c r="EA464" s="182"/>
      <c r="EB464" s="182"/>
      <c r="EC464" s="182"/>
      <c r="ED464" s="182"/>
      <c r="EE464" s="182"/>
      <c r="EF464" s="182"/>
      <c r="EG464" s="182"/>
      <c r="EH464" s="182"/>
      <c r="EI464" s="182"/>
      <c r="EJ464" s="182"/>
      <c r="EK464" s="182"/>
      <c r="EL464" s="182"/>
      <c r="EM464" s="182"/>
      <c r="EN464" s="182"/>
      <c r="EO464" s="182"/>
      <c r="EP464" s="182"/>
      <c r="EQ464" s="182"/>
      <c r="ER464" s="182"/>
      <c r="ES464" s="182"/>
      <c r="ET464" s="182"/>
      <c r="EU464" s="182"/>
      <c r="EV464" s="182"/>
      <c r="EW464" s="182"/>
      <c r="EX464" s="182"/>
      <c r="EY464" s="182"/>
      <c r="EZ464" s="182"/>
      <c r="FA464" s="182"/>
      <c r="FB464" s="182"/>
      <c r="FC464" s="182"/>
      <c r="FD464" s="182"/>
      <c r="FE464" s="182"/>
      <c r="FF464" s="182"/>
      <c r="FG464" s="182"/>
      <c r="FH464" s="182"/>
      <c r="FI464" s="182"/>
      <c r="FJ464" s="182"/>
      <c r="FK464" s="182"/>
      <c r="FL464" s="182"/>
      <c r="FM464" s="182"/>
      <c r="FN464" s="182"/>
      <c r="FO464" s="182"/>
      <c r="FP464" s="182"/>
      <c r="FQ464" s="182"/>
      <c r="FR464" s="182"/>
      <c r="FS464" s="182"/>
      <c r="FT464" s="182"/>
      <c r="FU464" s="182"/>
      <c r="FV464" s="182"/>
      <c r="FW464" s="182"/>
      <c r="FX464" s="182"/>
      <c r="FY464" s="182"/>
      <c r="FZ464" s="182"/>
      <c r="GA464" s="182"/>
      <c r="GB464" s="182"/>
      <c r="GC464" s="182"/>
      <c r="GD464" s="182"/>
      <c r="GE464" s="182"/>
      <c r="GF464" s="182"/>
      <c r="GG464" s="182"/>
      <c r="GH464" s="182"/>
      <c r="GI464" s="182"/>
    </row>
    <row r="465" spans="1:191" s="183" customFormat="1" x14ac:dyDescent="0.2">
      <c r="A465" s="210" t="s">
        <v>38770</v>
      </c>
      <c r="B465" s="210" t="s">
        <v>20726</v>
      </c>
      <c r="C465" s="224" t="s">
        <v>22569</v>
      </c>
      <c r="D465" s="211" t="s">
        <v>16</v>
      </c>
      <c r="E465" s="211">
        <v>20</v>
      </c>
      <c r="F465" s="211"/>
      <c r="G465" s="211">
        <v>0.3</v>
      </c>
      <c r="H465" s="212"/>
      <c r="I465" s="213"/>
      <c r="J465" s="272">
        <v>4.83</v>
      </c>
      <c r="K465" s="112">
        <f t="shared" si="29"/>
        <v>96.6</v>
      </c>
      <c r="L465" s="273">
        <f>BDI!$E$17</f>
        <v>0.11260000000000001</v>
      </c>
      <c r="M465" s="213"/>
      <c r="N465" s="213"/>
      <c r="O465" s="114">
        <f t="shared" si="30"/>
        <v>5.37</v>
      </c>
      <c r="P465" s="113">
        <f t="shared" si="31"/>
        <v>32.22</v>
      </c>
      <c r="Q465" s="209"/>
      <c r="R465" s="203"/>
      <c r="S465" s="182"/>
      <c r="T465" s="182"/>
      <c r="U465" s="182"/>
      <c r="V465" s="182"/>
      <c r="W465" s="182"/>
      <c r="X465" s="182"/>
      <c r="Y465" s="182"/>
      <c r="Z465" s="182"/>
      <c r="AA465" s="182"/>
      <c r="AB465" s="182"/>
      <c r="AC465" s="182"/>
      <c r="AD465" s="182"/>
      <c r="AE465" s="182"/>
      <c r="AF465" s="182"/>
      <c r="AG465" s="182"/>
      <c r="AH465" s="182"/>
      <c r="AI465" s="182"/>
      <c r="AJ465" s="182"/>
      <c r="AK465" s="182"/>
      <c r="AL465" s="182"/>
      <c r="AM465" s="182"/>
      <c r="AN465" s="182"/>
      <c r="AO465" s="182"/>
      <c r="AP465" s="182"/>
      <c r="AQ465" s="182"/>
      <c r="AR465" s="182"/>
      <c r="AS465" s="182"/>
      <c r="AT465" s="182"/>
      <c r="AU465" s="182"/>
      <c r="AV465" s="182"/>
      <c r="AW465" s="182"/>
      <c r="AX465" s="182"/>
      <c r="AY465" s="182"/>
      <c r="AZ465" s="182"/>
      <c r="BA465" s="182"/>
      <c r="BB465" s="182"/>
      <c r="BC465" s="182"/>
      <c r="BD465" s="182"/>
      <c r="BE465" s="182"/>
      <c r="BF465" s="182"/>
      <c r="BG465" s="182"/>
      <c r="BH465" s="182"/>
      <c r="BI465" s="182"/>
      <c r="BJ465" s="182"/>
      <c r="BK465" s="182"/>
      <c r="BL465" s="182"/>
      <c r="BM465" s="182"/>
      <c r="BN465" s="182"/>
      <c r="BO465" s="182"/>
      <c r="BP465" s="182"/>
      <c r="BQ465" s="182"/>
      <c r="BR465" s="182"/>
      <c r="BS465" s="182"/>
      <c r="BT465" s="182"/>
      <c r="BU465" s="182"/>
      <c r="BV465" s="182"/>
      <c r="BW465" s="182"/>
      <c r="BX465" s="182"/>
      <c r="BY465" s="182"/>
      <c r="BZ465" s="182"/>
      <c r="CA465" s="182"/>
      <c r="CB465" s="182"/>
      <c r="CC465" s="182"/>
      <c r="CD465" s="182"/>
      <c r="CE465" s="182"/>
      <c r="CF465" s="182"/>
      <c r="CG465" s="182"/>
      <c r="CH465" s="182"/>
      <c r="CI465" s="182"/>
      <c r="CJ465" s="182"/>
      <c r="CK465" s="182"/>
      <c r="CL465" s="182"/>
      <c r="CM465" s="182"/>
      <c r="CN465" s="182"/>
      <c r="CO465" s="182"/>
      <c r="CP465" s="182"/>
      <c r="CQ465" s="182"/>
      <c r="CR465" s="182"/>
      <c r="CS465" s="182"/>
      <c r="CT465" s="182"/>
      <c r="CU465" s="182"/>
      <c r="CV465" s="182"/>
      <c r="CW465" s="182"/>
      <c r="CX465" s="182"/>
      <c r="CY465" s="182"/>
      <c r="CZ465" s="182"/>
      <c r="DA465" s="182"/>
      <c r="DB465" s="182"/>
      <c r="DC465" s="182"/>
      <c r="DD465" s="182"/>
      <c r="DE465" s="182"/>
      <c r="DF465" s="182"/>
      <c r="DG465" s="182"/>
      <c r="DH465" s="182"/>
      <c r="DI465" s="182"/>
      <c r="DJ465" s="182"/>
      <c r="DK465" s="182"/>
      <c r="DL465" s="182"/>
      <c r="DM465" s="182"/>
      <c r="DN465" s="182"/>
      <c r="DO465" s="182"/>
      <c r="DP465" s="182"/>
      <c r="DQ465" s="182"/>
      <c r="DR465" s="182"/>
      <c r="DS465" s="182"/>
      <c r="DT465" s="182"/>
      <c r="DU465" s="182"/>
      <c r="DV465" s="182"/>
      <c r="DW465" s="182"/>
      <c r="DX465" s="182"/>
      <c r="DY465" s="182"/>
      <c r="DZ465" s="182"/>
      <c r="EA465" s="182"/>
      <c r="EB465" s="182"/>
      <c r="EC465" s="182"/>
      <c r="ED465" s="182"/>
      <c r="EE465" s="182"/>
      <c r="EF465" s="182"/>
      <c r="EG465" s="182"/>
      <c r="EH465" s="182"/>
      <c r="EI465" s="182"/>
      <c r="EJ465" s="182"/>
      <c r="EK465" s="182"/>
      <c r="EL465" s="182"/>
      <c r="EM465" s="182"/>
      <c r="EN465" s="182"/>
      <c r="EO465" s="182"/>
      <c r="EP465" s="182"/>
      <c r="EQ465" s="182"/>
      <c r="ER465" s="182"/>
      <c r="ES465" s="182"/>
      <c r="ET465" s="182"/>
      <c r="EU465" s="182"/>
      <c r="EV465" s="182"/>
      <c r="EW465" s="182"/>
      <c r="EX465" s="182"/>
      <c r="EY465" s="182"/>
      <c r="EZ465" s="182"/>
      <c r="FA465" s="182"/>
      <c r="FB465" s="182"/>
      <c r="FC465" s="182"/>
      <c r="FD465" s="182"/>
      <c r="FE465" s="182"/>
      <c r="FF465" s="182"/>
      <c r="FG465" s="182"/>
      <c r="FH465" s="182"/>
      <c r="FI465" s="182"/>
      <c r="FJ465" s="182"/>
      <c r="FK465" s="182"/>
      <c r="FL465" s="182"/>
      <c r="FM465" s="182"/>
      <c r="FN465" s="182"/>
      <c r="FO465" s="182"/>
      <c r="FP465" s="182"/>
      <c r="FQ465" s="182"/>
      <c r="FR465" s="182"/>
      <c r="FS465" s="182"/>
      <c r="FT465" s="182"/>
      <c r="FU465" s="182"/>
      <c r="FV465" s="182"/>
      <c r="FW465" s="182"/>
      <c r="FX465" s="182"/>
      <c r="FY465" s="182"/>
      <c r="FZ465" s="182"/>
      <c r="GA465" s="182"/>
      <c r="GB465" s="182"/>
      <c r="GC465" s="182"/>
      <c r="GD465" s="182"/>
      <c r="GE465" s="182"/>
      <c r="GF465" s="182"/>
      <c r="GG465" s="182"/>
      <c r="GH465" s="182"/>
      <c r="GI465" s="182"/>
    </row>
    <row r="466" spans="1:191" s="183" customFormat="1" x14ac:dyDescent="0.2">
      <c r="A466" s="210" t="s">
        <v>38771</v>
      </c>
      <c r="B466" s="210" t="s">
        <v>20727</v>
      </c>
      <c r="C466" s="224" t="s">
        <v>22570</v>
      </c>
      <c r="D466" s="211" t="s">
        <v>69</v>
      </c>
      <c r="E466" s="211">
        <v>500</v>
      </c>
      <c r="F466" s="211"/>
      <c r="G466" s="211">
        <v>0.3</v>
      </c>
      <c r="H466" s="212"/>
      <c r="I466" s="213"/>
      <c r="J466" s="272">
        <v>39.65</v>
      </c>
      <c r="K466" s="112">
        <f t="shared" si="29"/>
        <v>19825</v>
      </c>
      <c r="L466" s="273">
        <f>BDI!$E$17</f>
        <v>0.11260000000000001</v>
      </c>
      <c r="M466" s="213"/>
      <c r="N466" s="213"/>
      <c r="O466" s="114">
        <f t="shared" si="30"/>
        <v>44.11</v>
      </c>
      <c r="P466" s="113">
        <f t="shared" si="31"/>
        <v>6616.5</v>
      </c>
      <c r="Q466" s="209"/>
      <c r="R466" s="203"/>
      <c r="S466" s="182"/>
      <c r="T466" s="182"/>
      <c r="U466" s="182"/>
      <c r="V466" s="182"/>
      <c r="W466" s="182"/>
      <c r="X466" s="182"/>
      <c r="Y466" s="182"/>
      <c r="Z466" s="182"/>
      <c r="AA466" s="182"/>
      <c r="AB466" s="182"/>
      <c r="AC466" s="182"/>
      <c r="AD466" s="182"/>
      <c r="AE466" s="182"/>
      <c r="AF466" s="182"/>
      <c r="AG466" s="182"/>
      <c r="AH466" s="182"/>
      <c r="AI466" s="182"/>
      <c r="AJ466" s="182"/>
      <c r="AK466" s="182"/>
      <c r="AL466" s="182"/>
      <c r="AM466" s="182"/>
      <c r="AN466" s="182"/>
      <c r="AO466" s="182"/>
      <c r="AP466" s="182"/>
      <c r="AQ466" s="182"/>
      <c r="AR466" s="182"/>
      <c r="AS466" s="182"/>
      <c r="AT466" s="182"/>
      <c r="AU466" s="182"/>
      <c r="AV466" s="182"/>
      <c r="AW466" s="182"/>
      <c r="AX466" s="182"/>
      <c r="AY466" s="182"/>
      <c r="AZ466" s="182"/>
      <c r="BA466" s="182"/>
      <c r="BB466" s="182"/>
      <c r="BC466" s="182"/>
      <c r="BD466" s="182"/>
      <c r="BE466" s="182"/>
      <c r="BF466" s="182"/>
      <c r="BG466" s="182"/>
      <c r="BH466" s="182"/>
      <c r="BI466" s="182"/>
      <c r="BJ466" s="182"/>
      <c r="BK466" s="182"/>
      <c r="BL466" s="182"/>
      <c r="BM466" s="182"/>
      <c r="BN466" s="182"/>
      <c r="BO466" s="182"/>
      <c r="BP466" s="182"/>
      <c r="BQ466" s="182"/>
      <c r="BR466" s="182"/>
      <c r="BS466" s="182"/>
      <c r="BT466" s="182"/>
      <c r="BU466" s="182"/>
      <c r="BV466" s="182"/>
      <c r="BW466" s="182"/>
      <c r="BX466" s="182"/>
      <c r="BY466" s="182"/>
      <c r="BZ466" s="182"/>
      <c r="CA466" s="182"/>
      <c r="CB466" s="182"/>
      <c r="CC466" s="182"/>
      <c r="CD466" s="182"/>
      <c r="CE466" s="182"/>
      <c r="CF466" s="182"/>
      <c r="CG466" s="182"/>
      <c r="CH466" s="182"/>
      <c r="CI466" s="182"/>
      <c r="CJ466" s="182"/>
      <c r="CK466" s="182"/>
      <c r="CL466" s="182"/>
      <c r="CM466" s="182"/>
      <c r="CN466" s="182"/>
      <c r="CO466" s="182"/>
      <c r="CP466" s="182"/>
      <c r="CQ466" s="182"/>
      <c r="CR466" s="182"/>
      <c r="CS466" s="182"/>
      <c r="CT466" s="182"/>
      <c r="CU466" s="182"/>
      <c r="CV466" s="182"/>
      <c r="CW466" s="182"/>
      <c r="CX466" s="182"/>
      <c r="CY466" s="182"/>
      <c r="CZ466" s="182"/>
      <c r="DA466" s="182"/>
      <c r="DB466" s="182"/>
      <c r="DC466" s="182"/>
      <c r="DD466" s="182"/>
      <c r="DE466" s="182"/>
      <c r="DF466" s="182"/>
      <c r="DG466" s="182"/>
      <c r="DH466" s="182"/>
      <c r="DI466" s="182"/>
      <c r="DJ466" s="182"/>
      <c r="DK466" s="182"/>
      <c r="DL466" s="182"/>
      <c r="DM466" s="182"/>
      <c r="DN466" s="182"/>
      <c r="DO466" s="182"/>
      <c r="DP466" s="182"/>
      <c r="DQ466" s="182"/>
      <c r="DR466" s="182"/>
      <c r="DS466" s="182"/>
      <c r="DT466" s="182"/>
      <c r="DU466" s="182"/>
      <c r="DV466" s="182"/>
      <c r="DW466" s="182"/>
      <c r="DX466" s="182"/>
      <c r="DY466" s="182"/>
      <c r="DZ466" s="182"/>
      <c r="EA466" s="182"/>
      <c r="EB466" s="182"/>
      <c r="EC466" s="182"/>
      <c r="ED466" s="182"/>
      <c r="EE466" s="182"/>
      <c r="EF466" s="182"/>
      <c r="EG466" s="182"/>
      <c r="EH466" s="182"/>
      <c r="EI466" s="182"/>
      <c r="EJ466" s="182"/>
      <c r="EK466" s="182"/>
      <c r="EL466" s="182"/>
      <c r="EM466" s="182"/>
      <c r="EN466" s="182"/>
      <c r="EO466" s="182"/>
      <c r="EP466" s="182"/>
      <c r="EQ466" s="182"/>
      <c r="ER466" s="182"/>
      <c r="ES466" s="182"/>
      <c r="ET466" s="182"/>
      <c r="EU466" s="182"/>
      <c r="EV466" s="182"/>
      <c r="EW466" s="182"/>
      <c r="EX466" s="182"/>
      <c r="EY466" s="182"/>
      <c r="EZ466" s="182"/>
      <c r="FA466" s="182"/>
      <c r="FB466" s="182"/>
      <c r="FC466" s="182"/>
      <c r="FD466" s="182"/>
      <c r="FE466" s="182"/>
      <c r="FF466" s="182"/>
      <c r="FG466" s="182"/>
      <c r="FH466" s="182"/>
      <c r="FI466" s="182"/>
      <c r="FJ466" s="182"/>
      <c r="FK466" s="182"/>
      <c r="FL466" s="182"/>
      <c r="FM466" s="182"/>
      <c r="FN466" s="182"/>
      <c r="FO466" s="182"/>
      <c r="FP466" s="182"/>
      <c r="FQ466" s="182"/>
      <c r="FR466" s="182"/>
      <c r="FS466" s="182"/>
      <c r="FT466" s="182"/>
      <c r="FU466" s="182"/>
      <c r="FV466" s="182"/>
      <c r="FW466" s="182"/>
      <c r="FX466" s="182"/>
      <c r="FY466" s="182"/>
      <c r="FZ466" s="182"/>
      <c r="GA466" s="182"/>
      <c r="GB466" s="182"/>
      <c r="GC466" s="182"/>
      <c r="GD466" s="182"/>
      <c r="GE466" s="182"/>
      <c r="GF466" s="182"/>
      <c r="GG466" s="182"/>
      <c r="GH466" s="182"/>
      <c r="GI466" s="182"/>
    </row>
    <row r="467" spans="1:191" s="183" customFormat="1" x14ac:dyDescent="0.2">
      <c r="A467" s="210" t="s">
        <v>38772</v>
      </c>
      <c r="B467" s="210" t="s">
        <v>20728</v>
      </c>
      <c r="C467" s="224" t="s">
        <v>22571</v>
      </c>
      <c r="D467" s="211" t="s">
        <v>16</v>
      </c>
      <c r="E467" s="211">
        <v>40</v>
      </c>
      <c r="F467" s="211"/>
      <c r="G467" s="211">
        <v>0.3</v>
      </c>
      <c r="H467" s="212"/>
      <c r="I467" s="213"/>
      <c r="J467" s="272">
        <v>11.96</v>
      </c>
      <c r="K467" s="112">
        <f t="shared" si="29"/>
        <v>478.4</v>
      </c>
      <c r="L467" s="273">
        <f>BDI!$E$17</f>
        <v>0.11260000000000001</v>
      </c>
      <c r="M467" s="213"/>
      <c r="N467" s="213"/>
      <c r="O467" s="114">
        <f t="shared" si="30"/>
        <v>13.31</v>
      </c>
      <c r="P467" s="113">
        <f t="shared" si="31"/>
        <v>159.72</v>
      </c>
      <c r="Q467" s="209"/>
      <c r="R467" s="203"/>
      <c r="S467" s="182"/>
      <c r="T467" s="182"/>
      <c r="U467" s="182"/>
      <c r="V467" s="182"/>
      <c r="W467" s="182"/>
      <c r="X467" s="182"/>
      <c r="Y467" s="182"/>
      <c r="Z467" s="182"/>
      <c r="AA467" s="182"/>
      <c r="AB467" s="182"/>
      <c r="AC467" s="182"/>
      <c r="AD467" s="182"/>
      <c r="AE467" s="182"/>
      <c r="AF467" s="182"/>
      <c r="AG467" s="182"/>
      <c r="AH467" s="182"/>
      <c r="AI467" s="182"/>
      <c r="AJ467" s="182"/>
      <c r="AK467" s="182"/>
      <c r="AL467" s="182"/>
      <c r="AM467" s="182"/>
      <c r="AN467" s="182"/>
      <c r="AO467" s="182"/>
      <c r="AP467" s="182"/>
      <c r="AQ467" s="182"/>
      <c r="AR467" s="182"/>
      <c r="AS467" s="182"/>
      <c r="AT467" s="182"/>
      <c r="AU467" s="182"/>
      <c r="AV467" s="182"/>
      <c r="AW467" s="182"/>
      <c r="AX467" s="182"/>
      <c r="AY467" s="182"/>
      <c r="AZ467" s="182"/>
      <c r="BA467" s="182"/>
      <c r="BB467" s="182"/>
      <c r="BC467" s="182"/>
      <c r="BD467" s="182"/>
      <c r="BE467" s="182"/>
      <c r="BF467" s="182"/>
      <c r="BG467" s="182"/>
      <c r="BH467" s="182"/>
      <c r="BI467" s="182"/>
      <c r="BJ467" s="182"/>
      <c r="BK467" s="182"/>
      <c r="BL467" s="182"/>
      <c r="BM467" s="182"/>
      <c r="BN467" s="182"/>
      <c r="BO467" s="182"/>
      <c r="BP467" s="182"/>
      <c r="BQ467" s="182"/>
      <c r="BR467" s="182"/>
      <c r="BS467" s="182"/>
      <c r="BT467" s="182"/>
      <c r="BU467" s="182"/>
      <c r="BV467" s="182"/>
      <c r="BW467" s="182"/>
      <c r="BX467" s="182"/>
      <c r="BY467" s="182"/>
      <c r="BZ467" s="182"/>
      <c r="CA467" s="182"/>
      <c r="CB467" s="182"/>
      <c r="CC467" s="182"/>
      <c r="CD467" s="182"/>
      <c r="CE467" s="182"/>
      <c r="CF467" s="182"/>
      <c r="CG467" s="182"/>
      <c r="CH467" s="182"/>
      <c r="CI467" s="182"/>
      <c r="CJ467" s="182"/>
      <c r="CK467" s="182"/>
      <c r="CL467" s="182"/>
      <c r="CM467" s="182"/>
      <c r="CN467" s="182"/>
      <c r="CO467" s="182"/>
      <c r="CP467" s="182"/>
      <c r="CQ467" s="182"/>
      <c r="CR467" s="182"/>
      <c r="CS467" s="182"/>
      <c r="CT467" s="182"/>
      <c r="CU467" s="182"/>
      <c r="CV467" s="182"/>
      <c r="CW467" s="182"/>
      <c r="CX467" s="182"/>
      <c r="CY467" s="182"/>
      <c r="CZ467" s="182"/>
      <c r="DA467" s="182"/>
      <c r="DB467" s="182"/>
      <c r="DC467" s="182"/>
      <c r="DD467" s="182"/>
      <c r="DE467" s="182"/>
      <c r="DF467" s="182"/>
      <c r="DG467" s="182"/>
      <c r="DH467" s="182"/>
      <c r="DI467" s="182"/>
      <c r="DJ467" s="182"/>
      <c r="DK467" s="182"/>
      <c r="DL467" s="182"/>
      <c r="DM467" s="182"/>
      <c r="DN467" s="182"/>
      <c r="DO467" s="182"/>
      <c r="DP467" s="182"/>
      <c r="DQ467" s="182"/>
      <c r="DR467" s="182"/>
      <c r="DS467" s="182"/>
      <c r="DT467" s="182"/>
      <c r="DU467" s="182"/>
      <c r="DV467" s="182"/>
      <c r="DW467" s="182"/>
      <c r="DX467" s="182"/>
      <c r="DY467" s="182"/>
      <c r="DZ467" s="182"/>
      <c r="EA467" s="182"/>
      <c r="EB467" s="182"/>
      <c r="EC467" s="182"/>
      <c r="ED467" s="182"/>
      <c r="EE467" s="182"/>
      <c r="EF467" s="182"/>
      <c r="EG467" s="182"/>
      <c r="EH467" s="182"/>
      <c r="EI467" s="182"/>
      <c r="EJ467" s="182"/>
      <c r="EK467" s="182"/>
      <c r="EL467" s="182"/>
      <c r="EM467" s="182"/>
      <c r="EN467" s="182"/>
      <c r="EO467" s="182"/>
      <c r="EP467" s="182"/>
      <c r="EQ467" s="182"/>
      <c r="ER467" s="182"/>
      <c r="ES467" s="182"/>
      <c r="ET467" s="182"/>
      <c r="EU467" s="182"/>
      <c r="EV467" s="182"/>
      <c r="EW467" s="182"/>
      <c r="EX467" s="182"/>
      <c r="EY467" s="182"/>
      <c r="EZ467" s="182"/>
      <c r="FA467" s="182"/>
      <c r="FB467" s="182"/>
      <c r="FC467" s="182"/>
      <c r="FD467" s="182"/>
      <c r="FE467" s="182"/>
      <c r="FF467" s="182"/>
      <c r="FG467" s="182"/>
      <c r="FH467" s="182"/>
      <c r="FI467" s="182"/>
      <c r="FJ467" s="182"/>
      <c r="FK467" s="182"/>
      <c r="FL467" s="182"/>
      <c r="FM467" s="182"/>
      <c r="FN467" s="182"/>
      <c r="FO467" s="182"/>
      <c r="FP467" s="182"/>
      <c r="FQ467" s="182"/>
      <c r="FR467" s="182"/>
      <c r="FS467" s="182"/>
      <c r="FT467" s="182"/>
      <c r="FU467" s="182"/>
      <c r="FV467" s="182"/>
      <c r="FW467" s="182"/>
      <c r="FX467" s="182"/>
      <c r="FY467" s="182"/>
      <c r="FZ467" s="182"/>
      <c r="GA467" s="182"/>
      <c r="GB467" s="182"/>
      <c r="GC467" s="182"/>
      <c r="GD467" s="182"/>
      <c r="GE467" s="182"/>
      <c r="GF467" s="182"/>
      <c r="GG467" s="182"/>
      <c r="GH467" s="182"/>
      <c r="GI467" s="182"/>
    </row>
    <row r="468" spans="1:191" s="183" customFormat="1" x14ac:dyDescent="0.2">
      <c r="A468" s="210" t="s">
        <v>38773</v>
      </c>
      <c r="B468" s="210" t="s">
        <v>20729</v>
      </c>
      <c r="C468" s="224" t="s">
        <v>22572</v>
      </c>
      <c r="D468" s="211" t="s">
        <v>16</v>
      </c>
      <c r="E468" s="211">
        <v>40</v>
      </c>
      <c r="F468" s="211"/>
      <c r="G468" s="211">
        <v>0.3</v>
      </c>
      <c r="H468" s="212"/>
      <c r="I468" s="213"/>
      <c r="J468" s="272">
        <v>6.45</v>
      </c>
      <c r="K468" s="112">
        <f t="shared" si="29"/>
        <v>258</v>
      </c>
      <c r="L468" s="273">
        <f>BDI!$E$17</f>
        <v>0.11260000000000001</v>
      </c>
      <c r="M468" s="213"/>
      <c r="N468" s="213"/>
      <c r="O468" s="114">
        <f t="shared" si="30"/>
        <v>7.18</v>
      </c>
      <c r="P468" s="113">
        <f t="shared" si="31"/>
        <v>86.16</v>
      </c>
      <c r="Q468" s="209"/>
      <c r="R468" s="203"/>
      <c r="S468" s="182"/>
      <c r="T468" s="182"/>
      <c r="U468" s="182"/>
      <c r="V468" s="182"/>
      <c r="W468" s="182"/>
      <c r="X468" s="182"/>
      <c r="Y468" s="182"/>
      <c r="Z468" s="182"/>
      <c r="AA468" s="182"/>
      <c r="AB468" s="182"/>
      <c r="AC468" s="182"/>
      <c r="AD468" s="182"/>
      <c r="AE468" s="182"/>
      <c r="AF468" s="182"/>
      <c r="AG468" s="182"/>
      <c r="AH468" s="182"/>
      <c r="AI468" s="182"/>
      <c r="AJ468" s="182"/>
      <c r="AK468" s="182"/>
      <c r="AL468" s="182"/>
      <c r="AM468" s="182"/>
      <c r="AN468" s="182"/>
      <c r="AO468" s="182"/>
      <c r="AP468" s="182"/>
      <c r="AQ468" s="182"/>
      <c r="AR468" s="182"/>
      <c r="AS468" s="182"/>
      <c r="AT468" s="182"/>
      <c r="AU468" s="182"/>
      <c r="AV468" s="182"/>
      <c r="AW468" s="182"/>
      <c r="AX468" s="182"/>
      <c r="AY468" s="182"/>
      <c r="AZ468" s="182"/>
      <c r="BA468" s="182"/>
      <c r="BB468" s="182"/>
      <c r="BC468" s="182"/>
      <c r="BD468" s="182"/>
      <c r="BE468" s="182"/>
      <c r="BF468" s="182"/>
      <c r="BG468" s="182"/>
      <c r="BH468" s="182"/>
      <c r="BI468" s="182"/>
      <c r="BJ468" s="182"/>
      <c r="BK468" s="182"/>
      <c r="BL468" s="182"/>
      <c r="BM468" s="182"/>
      <c r="BN468" s="182"/>
      <c r="BO468" s="182"/>
      <c r="BP468" s="182"/>
      <c r="BQ468" s="182"/>
      <c r="BR468" s="182"/>
      <c r="BS468" s="182"/>
      <c r="BT468" s="182"/>
      <c r="BU468" s="182"/>
      <c r="BV468" s="182"/>
      <c r="BW468" s="182"/>
      <c r="BX468" s="182"/>
      <c r="BY468" s="182"/>
      <c r="BZ468" s="182"/>
      <c r="CA468" s="182"/>
      <c r="CB468" s="182"/>
      <c r="CC468" s="182"/>
      <c r="CD468" s="182"/>
      <c r="CE468" s="182"/>
      <c r="CF468" s="182"/>
      <c r="CG468" s="182"/>
      <c r="CH468" s="182"/>
      <c r="CI468" s="182"/>
      <c r="CJ468" s="182"/>
      <c r="CK468" s="182"/>
      <c r="CL468" s="182"/>
      <c r="CM468" s="182"/>
      <c r="CN468" s="182"/>
      <c r="CO468" s="182"/>
      <c r="CP468" s="182"/>
      <c r="CQ468" s="182"/>
      <c r="CR468" s="182"/>
      <c r="CS468" s="182"/>
      <c r="CT468" s="182"/>
      <c r="CU468" s="182"/>
      <c r="CV468" s="182"/>
      <c r="CW468" s="182"/>
      <c r="CX468" s="182"/>
      <c r="CY468" s="182"/>
      <c r="CZ468" s="182"/>
      <c r="DA468" s="182"/>
      <c r="DB468" s="182"/>
      <c r="DC468" s="182"/>
      <c r="DD468" s="182"/>
      <c r="DE468" s="182"/>
      <c r="DF468" s="182"/>
      <c r="DG468" s="182"/>
      <c r="DH468" s="182"/>
      <c r="DI468" s="182"/>
      <c r="DJ468" s="182"/>
      <c r="DK468" s="182"/>
      <c r="DL468" s="182"/>
      <c r="DM468" s="182"/>
      <c r="DN468" s="182"/>
      <c r="DO468" s="182"/>
      <c r="DP468" s="182"/>
      <c r="DQ468" s="182"/>
      <c r="DR468" s="182"/>
      <c r="DS468" s="182"/>
      <c r="DT468" s="182"/>
      <c r="DU468" s="182"/>
      <c r="DV468" s="182"/>
      <c r="DW468" s="182"/>
      <c r="DX468" s="182"/>
      <c r="DY468" s="182"/>
      <c r="DZ468" s="182"/>
      <c r="EA468" s="182"/>
      <c r="EB468" s="182"/>
      <c r="EC468" s="182"/>
      <c r="ED468" s="182"/>
      <c r="EE468" s="182"/>
      <c r="EF468" s="182"/>
      <c r="EG468" s="182"/>
      <c r="EH468" s="182"/>
      <c r="EI468" s="182"/>
      <c r="EJ468" s="182"/>
      <c r="EK468" s="182"/>
      <c r="EL468" s="182"/>
      <c r="EM468" s="182"/>
      <c r="EN468" s="182"/>
      <c r="EO468" s="182"/>
      <c r="EP468" s="182"/>
      <c r="EQ468" s="182"/>
      <c r="ER468" s="182"/>
      <c r="ES468" s="182"/>
      <c r="ET468" s="182"/>
      <c r="EU468" s="182"/>
      <c r="EV468" s="182"/>
      <c r="EW468" s="182"/>
      <c r="EX468" s="182"/>
      <c r="EY468" s="182"/>
      <c r="EZ468" s="182"/>
      <c r="FA468" s="182"/>
      <c r="FB468" s="182"/>
      <c r="FC468" s="182"/>
      <c r="FD468" s="182"/>
      <c r="FE468" s="182"/>
      <c r="FF468" s="182"/>
      <c r="FG468" s="182"/>
      <c r="FH468" s="182"/>
      <c r="FI468" s="182"/>
      <c r="FJ468" s="182"/>
      <c r="FK468" s="182"/>
      <c r="FL468" s="182"/>
      <c r="FM468" s="182"/>
      <c r="FN468" s="182"/>
      <c r="FO468" s="182"/>
      <c r="FP468" s="182"/>
      <c r="FQ468" s="182"/>
      <c r="FR468" s="182"/>
      <c r="FS468" s="182"/>
      <c r="FT468" s="182"/>
      <c r="FU468" s="182"/>
      <c r="FV468" s="182"/>
      <c r="FW468" s="182"/>
      <c r="FX468" s="182"/>
      <c r="FY468" s="182"/>
      <c r="FZ468" s="182"/>
      <c r="GA468" s="182"/>
      <c r="GB468" s="182"/>
      <c r="GC468" s="182"/>
      <c r="GD468" s="182"/>
      <c r="GE468" s="182"/>
      <c r="GF468" s="182"/>
      <c r="GG468" s="182"/>
      <c r="GH468" s="182"/>
      <c r="GI468" s="182"/>
    </row>
    <row r="469" spans="1:191" s="183" customFormat="1" x14ac:dyDescent="0.2">
      <c r="A469" s="210" t="s">
        <v>38774</v>
      </c>
      <c r="B469" s="210" t="s">
        <v>20730</v>
      </c>
      <c r="C469" s="224" t="s">
        <v>22573</v>
      </c>
      <c r="D469" s="211" t="s">
        <v>16</v>
      </c>
      <c r="E469" s="211">
        <v>40</v>
      </c>
      <c r="F469" s="211"/>
      <c r="G469" s="211">
        <v>0.3</v>
      </c>
      <c r="H469" s="212"/>
      <c r="I469" s="213"/>
      <c r="J469" s="272">
        <v>12.24</v>
      </c>
      <c r="K469" s="112">
        <f t="shared" si="29"/>
        <v>489.6</v>
      </c>
      <c r="L469" s="273">
        <f>BDI!$E$17</f>
        <v>0.11260000000000001</v>
      </c>
      <c r="M469" s="213"/>
      <c r="N469" s="213"/>
      <c r="O469" s="114">
        <f t="shared" si="30"/>
        <v>13.62</v>
      </c>
      <c r="P469" s="113">
        <f t="shared" si="31"/>
        <v>163.44</v>
      </c>
      <c r="Q469" s="209"/>
      <c r="R469" s="203"/>
      <c r="S469" s="182"/>
      <c r="T469" s="182"/>
      <c r="U469" s="182"/>
      <c r="V469" s="182"/>
      <c r="W469" s="182"/>
      <c r="X469" s="182"/>
      <c r="Y469" s="182"/>
      <c r="Z469" s="182"/>
      <c r="AA469" s="182"/>
      <c r="AB469" s="182"/>
      <c r="AC469" s="182"/>
      <c r="AD469" s="182"/>
      <c r="AE469" s="182"/>
      <c r="AF469" s="182"/>
      <c r="AG469" s="182"/>
      <c r="AH469" s="182"/>
      <c r="AI469" s="182"/>
      <c r="AJ469" s="182"/>
      <c r="AK469" s="182"/>
      <c r="AL469" s="182"/>
      <c r="AM469" s="182"/>
      <c r="AN469" s="182"/>
      <c r="AO469" s="182"/>
      <c r="AP469" s="182"/>
      <c r="AQ469" s="182"/>
      <c r="AR469" s="182"/>
      <c r="AS469" s="182"/>
      <c r="AT469" s="182"/>
      <c r="AU469" s="182"/>
      <c r="AV469" s="182"/>
      <c r="AW469" s="182"/>
      <c r="AX469" s="182"/>
      <c r="AY469" s="182"/>
      <c r="AZ469" s="182"/>
      <c r="BA469" s="182"/>
      <c r="BB469" s="182"/>
      <c r="BC469" s="182"/>
      <c r="BD469" s="182"/>
      <c r="BE469" s="182"/>
      <c r="BF469" s="182"/>
      <c r="BG469" s="182"/>
      <c r="BH469" s="182"/>
      <c r="BI469" s="182"/>
      <c r="BJ469" s="182"/>
      <c r="BK469" s="182"/>
      <c r="BL469" s="182"/>
      <c r="BM469" s="182"/>
      <c r="BN469" s="182"/>
      <c r="BO469" s="182"/>
      <c r="BP469" s="182"/>
      <c r="BQ469" s="182"/>
      <c r="BR469" s="182"/>
      <c r="BS469" s="182"/>
      <c r="BT469" s="182"/>
      <c r="BU469" s="182"/>
      <c r="BV469" s="182"/>
      <c r="BW469" s="182"/>
      <c r="BX469" s="182"/>
      <c r="BY469" s="182"/>
      <c r="BZ469" s="182"/>
      <c r="CA469" s="182"/>
      <c r="CB469" s="182"/>
      <c r="CC469" s="182"/>
      <c r="CD469" s="182"/>
      <c r="CE469" s="182"/>
      <c r="CF469" s="182"/>
      <c r="CG469" s="182"/>
      <c r="CH469" s="182"/>
      <c r="CI469" s="182"/>
      <c r="CJ469" s="182"/>
      <c r="CK469" s="182"/>
      <c r="CL469" s="182"/>
      <c r="CM469" s="182"/>
      <c r="CN469" s="182"/>
      <c r="CO469" s="182"/>
      <c r="CP469" s="182"/>
      <c r="CQ469" s="182"/>
      <c r="CR469" s="182"/>
      <c r="CS469" s="182"/>
      <c r="CT469" s="182"/>
      <c r="CU469" s="182"/>
      <c r="CV469" s="182"/>
      <c r="CW469" s="182"/>
      <c r="CX469" s="182"/>
      <c r="CY469" s="182"/>
      <c r="CZ469" s="182"/>
      <c r="DA469" s="182"/>
      <c r="DB469" s="182"/>
      <c r="DC469" s="182"/>
      <c r="DD469" s="182"/>
      <c r="DE469" s="182"/>
      <c r="DF469" s="182"/>
      <c r="DG469" s="182"/>
      <c r="DH469" s="182"/>
      <c r="DI469" s="182"/>
      <c r="DJ469" s="182"/>
      <c r="DK469" s="182"/>
      <c r="DL469" s="182"/>
      <c r="DM469" s="182"/>
      <c r="DN469" s="182"/>
      <c r="DO469" s="182"/>
      <c r="DP469" s="182"/>
      <c r="DQ469" s="182"/>
      <c r="DR469" s="182"/>
      <c r="DS469" s="182"/>
      <c r="DT469" s="182"/>
      <c r="DU469" s="182"/>
      <c r="DV469" s="182"/>
      <c r="DW469" s="182"/>
      <c r="DX469" s="182"/>
      <c r="DY469" s="182"/>
      <c r="DZ469" s="182"/>
      <c r="EA469" s="182"/>
      <c r="EB469" s="182"/>
      <c r="EC469" s="182"/>
      <c r="ED469" s="182"/>
      <c r="EE469" s="182"/>
      <c r="EF469" s="182"/>
      <c r="EG469" s="182"/>
      <c r="EH469" s="182"/>
      <c r="EI469" s="182"/>
      <c r="EJ469" s="182"/>
      <c r="EK469" s="182"/>
      <c r="EL469" s="182"/>
      <c r="EM469" s="182"/>
      <c r="EN469" s="182"/>
      <c r="EO469" s="182"/>
      <c r="EP469" s="182"/>
      <c r="EQ469" s="182"/>
      <c r="ER469" s="182"/>
      <c r="ES469" s="182"/>
      <c r="ET469" s="182"/>
      <c r="EU469" s="182"/>
      <c r="EV469" s="182"/>
      <c r="EW469" s="182"/>
      <c r="EX469" s="182"/>
      <c r="EY469" s="182"/>
      <c r="EZ469" s="182"/>
      <c r="FA469" s="182"/>
      <c r="FB469" s="182"/>
      <c r="FC469" s="182"/>
      <c r="FD469" s="182"/>
      <c r="FE469" s="182"/>
      <c r="FF469" s="182"/>
      <c r="FG469" s="182"/>
      <c r="FH469" s="182"/>
      <c r="FI469" s="182"/>
      <c r="FJ469" s="182"/>
      <c r="FK469" s="182"/>
      <c r="FL469" s="182"/>
      <c r="FM469" s="182"/>
      <c r="FN469" s="182"/>
      <c r="FO469" s="182"/>
      <c r="FP469" s="182"/>
      <c r="FQ469" s="182"/>
      <c r="FR469" s="182"/>
      <c r="FS469" s="182"/>
      <c r="FT469" s="182"/>
      <c r="FU469" s="182"/>
      <c r="FV469" s="182"/>
      <c r="FW469" s="182"/>
      <c r="FX469" s="182"/>
      <c r="FY469" s="182"/>
      <c r="FZ469" s="182"/>
      <c r="GA469" s="182"/>
      <c r="GB469" s="182"/>
      <c r="GC469" s="182"/>
      <c r="GD469" s="182"/>
      <c r="GE469" s="182"/>
      <c r="GF469" s="182"/>
      <c r="GG469" s="182"/>
      <c r="GH469" s="182"/>
      <c r="GI469" s="182"/>
    </row>
    <row r="470" spans="1:191" s="183" customFormat="1" x14ac:dyDescent="0.2">
      <c r="A470" s="210" t="s">
        <v>38775</v>
      </c>
      <c r="B470" s="210" t="s">
        <v>20731</v>
      </c>
      <c r="C470" s="224" t="s">
        <v>22574</v>
      </c>
      <c r="D470" s="211" t="s">
        <v>69</v>
      </c>
      <c r="E470" s="211">
        <v>30</v>
      </c>
      <c r="F470" s="211"/>
      <c r="G470" s="211">
        <v>0.3</v>
      </c>
      <c r="H470" s="212"/>
      <c r="I470" s="213"/>
      <c r="J470" s="272">
        <v>85.71</v>
      </c>
      <c r="K470" s="112">
        <f t="shared" si="29"/>
        <v>2571.3000000000002</v>
      </c>
      <c r="L470" s="273">
        <f>BDI!$E$17</f>
        <v>0.11260000000000001</v>
      </c>
      <c r="M470" s="213"/>
      <c r="N470" s="213"/>
      <c r="O470" s="114">
        <f t="shared" si="30"/>
        <v>95.36</v>
      </c>
      <c r="P470" s="113">
        <f t="shared" si="31"/>
        <v>858.24</v>
      </c>
      <c r="Q470" s="209"/>
      <c r="R470" s="203"/>
      <c r="S470" s="182"/>
      <c r="T470" s="182"/>
      <c r="U470" s="182"/>
      <c r="V470" s="182"/>
      <c r="W470" s="182"/>
      <c r="X470" s="182"/>
      <c r="Y470" s="182"/>
      <c r="Z470" s="182"/>
      <c r="AA470" s="182"/>
      <c r="AB470" s="182"/>
      <c r="AC470" s="182"/>
      <c r="AD470" s="182"/>
      <c r="AE470" s="182"/>
      <c r="AF470" s="182"/>
      <c r="AG470" s="182"/>
      <c r="AH470" s="182"/>
      <c r="AI470" s="182"/>
      <c r="AJ470" s="182"/>
      <c r="AK470" s="182"/>
      <c r="AL470" s="182"/>
      <c r="AM470" s="182"/>
      <c r="AN470" s="182"/>
      <c r="AO470" s="182"/>
      <c r="AP470" s="182"/>
      <c r="AQ470" s="182"/>
      <c r="AR470" s="182"/>
      <c r="AS470" s="182"/>
      <c r="AT470" s="182"/>
      <c r="AU470" s="182"/>
      <c r="AV470" s="182"/>
      <c r="AW470" s="182"/>
      <c r="AX470" s="182"/>
      <c r="AY470" s="182"/>
      <c r="AZ470" s="182"/>
      <c r="BA470" s="182"/>
      <c r="BB470" s="182"/>
      <c r="BC470" s="182"/>
      <c r="BD470" s="182"/>
      <c r="BE470" s="182"/>
      <c r="BF470" s="182"/>
      <c r="BG470" s="182"/>
      <c r="BH470" s="182"/>
      <c r="BI470" s="182"/>
      <c r="BJ470" s="182"/>
      <c r="BK470" s="182"/>
      <c r="BL470" s="182"/>
      <c r="BM470" s="182"/>
      <c r="BN470" s="182"/>
      <c r="BO470" s="182"/>
      <c r="BP470" s="182"/>
      <c r="BQ470" s="182"/>
      <c r="BR470" s="182"/>
      <c r="BS470" s="182"/>
      <c r="BT470" s="182"/>
      <c r="BU470" s="182"/>
      <c r="BV470" s="182"/>
      <c r="BW470" s="182"/>
      <c r="BX470" s="182"/>
      <c r="BY470" s="182"/>
      <c r="BZ470" s="182"/>
      <c r="CA470" s="182"/>
      <c r="CB470" s="182"/>
      <c r="CC470" s="182"/>
      <c r="CD470" s="182"/>
      <c r="CE470" s="182"/>
      <c r="CF470" s="182"/>
      <c r="CG470" s="182"/>
      <c r="CH470" s="182"/>
      <c r="CI470" s="182"/>
      <c r="CJ470" s="182"/>
      <c r="CK470" s="182"/>
      <c r="CL470" s="182"/>
      <c r="CM470" s="182"/>
      <c r="CN470" s="182"/>
      <c r="CO470" s="182"/>
      <c r="CP470" s="182"/>
      <c r="CQ470" s="182"/>
      <c r="CR470" s="182"/>
      <c r="CS470" s="182"/>
      <c r="CT470" s="182"/>
      <c r="CU470" s="182"/>
      <c r="CV470" s="182"/>
      <c r="CW470" s="182"/>
      <c r="CX470" s="182"/>
      <c r="CY470" s="182"/>
      <c r="CZ470" s="182"/>
      <c r="DA470" s="182"/>
      <c r="DB470" s="182"/>
      <c r="DC470" s="182"/>
      <c r="DD470" s="182"/>
      <c r="DE470" s="182"/>
      <c r="DF470" s="182"/>
      <c r="DG470" s="182"/>
      <c r="DH470" s="182"/>
      <c r="DI470" s="182"/>
      <c r="DJ470" s="182"/>
      <c r="DK470" s="182"/>
      <c r="DL470" s="182"/>
      <c r="DM470" s="182"/>
      <c r="DN470" s="182"/>
      <c r="DO470" s="182"/>
      <c r="DP470" s="182"/>
      <c r="DQ470" s="182"/>
      <c r="DR470" s="182"/>
      <c r="DS470" s="182"/>
      <c r="DT470" s="182"/>
      <c r="DU470" s="182"/>
      <c r="DV470" s="182"/>
      <c r="DW470" s="182"/>
      <c r="DX470" s="182"/>
      <c r="DY470" s="182"/>
      <c r="DZ470" s="182"/>
      <c r="EA470" s="182"/>
      <c r="EB470" s="182"/>
      <c r="EC470" s="182"/>
      <c r="ED470" s="182"/>
      <c r="EE470" s="182"/>
      <c r="EF470" s="182"/>
      <c r="EG470" s="182"/>
      <c r="EH470" s="182"/>
      <c r="EI470" s="182"/>
      <c r="EJ470" s="182"/>
      <c r="EK470" s="182"/>
      <c r="EL470" s="182"/>
      <c r="EM470" s="182"/>
      <c r="EN470" s="182"/>
      <c r="EO470" s="182"/>
      <c r="EP470" s="182"/>
      <c r="EQ470" s="182"/>
      <c r="ER470" s="182"/>
      <c r="ES470" s="182"/>
      <c r="ET470" s="182"/>
      <c r="EU470" s="182"/>
      <c r="EV470" s="182"/>
      <c r="EW470" s="182"/>
      <c r="EX470" s="182"/>
      <c r="EY470" s="182"/>
      <c r="EZ470" s="182"/>
      <c r="FA470" s="182"/>
      <c r="FB470" s="182"/>
      <c r="FC470" s="182"/>
      <c r="FD470" s="182"/>
      <c r="FE470" s="182"/>
      <c r="FF470" s="182"/>
      <c r="FG470" s="182"/>
      <c r="FH470" s="182"/>
      <c r="FI470" s="182"/>
      <c r="FJ470" s="182"/>
      <c r="FK470" s="182"/>
      <c r="FL470" s="182"/>
      <c r="FM470" s="182"/>
      <c r="FN470" s="182"/>
      <c r="FO470" s="182"/>
      <c r="FP470" s="182"/>
      <c r="FQ470" s="182"/>
      <c r="FR470" s="182"/>
      <c r="FS470" s="182"/>
      <c r="FT470" s="182"/>
      <c r="FU470" s="182"/>
      <c r="FV470" s="182"/>
      <c r="FW470" s="182"/>
      <c r="FX470" s="182"/>
      <c r="FY470" s="182"/>
      <c r="FZ470" s="182"/>
      <c r="GA470" s="182"/>
      <c r="GB470" s="182"/>
      <c r="GC470" s="182"/>
      <c r="GD470" s="182"/>
      <c r="GE470" s="182"/>
      <c r="GF470" s="182"/>
      <c r="GG470" s="182"/>
      <c r="GH470" s="182"/>
      <c r="GI470" s="182"/>
    </row>
    <row r="471" spans="1:191" s="183" customFormat="1" x14ac:dyDescent="0.2">
      <c r="A471" s="210" t="s">
        <v>38776</v>
      </c>
      <c r="B471" s="210" t="s">
        <v>20732</v>
      </c>
      <c r="C471" s="224" t="s">
        <v>22575</v>
      </c>
      <c r="D471" s="211" t="s">
        <v>16</v>
      </c>
      <c r="E471" s="211">
        <v>15</v>
      </c>
      <c r="F471" s="211"/>
      <c r="G471" s="211">
        <v>0.3</v>
      </c>
      <c r="H471" s="212"/>
      <c r="I471" s="213"/>
      <c r="J471" s="272">
        <v>17.510000000000002</v>
      </c>
      <c r="K471" s="112">
        <f t="shared" si="29"/>
        <v>262.64999999999998</v>
      </c>
      <c r="L471" s="273">
        <f>BDI!$E$17</f>
        <v>0.11260000000000001</v>
      </c>
      <c r="M471" s="213"/>
      <c r="N471" s="213"/>
      <c r="O471" s="114">
        <f t="shared" si="30"/>
        <v>19.48</v>
      </c>
      <c r="P471" s="113">
        <f t="shared" si="31"/>
        <v>87.66</v>
      </c>
      <c r="Q471" s="209"/>
      <c r="R471" s="203"/>
      <c r="S471" s="182"/>
      <c r="T471" s="182"/>
      <c r="U471" s="182"/>
      <c r="V471" s="182"/>
      <c r="W471" s="182"/>
      <c r="X471" s="182"/>
      <c r="Y471" s="182"/>
      <c r="Z471" s="182"/>
      <c r="AA471" s="182"/>
      <c r="AB471" s="182"/>
      <c r="AC471" s="182"/>
      <c r="AD471" s="182"/>
      <c r="AE471" s="182"/>
      <c r="AF471" s="182"/>
      <c r="AG471" s="182"/>
      <c r="AH471" s="182"/>
      <c r="AI471" s="182"/>
      <c r="AJ471" s="182"/>
      <c r="AK471" s="182"/>
      <c r="AL471" s="182"/>
      <c r="AM471" s="182"/>
      <c r="AN471" s="182"/>
      <c r="AO471" s="182"/>
      <c r="AP471" s="182"/>
      <c r="AQ471" s="182"/>
      <c r="AR471" s="182"/>
      <c r="AS471" s="182"/>
      <c r="AT471" s="182"/>
      <c r="AU471" s="182"/>
      <c r="AV471" s="182"/>
      <c r="AW471" s="182"/>
      <c r="AX471" s="182"/>
      <c r="AY471" s="182"/>
      <c r="AZ471" s="182"/>
      <c r="BA471" s="182"/>
      <c r="BB471" s="182"/>
      <c r="BC471" s="182"/>
      <c r="BD471" s="182"/>
      <c r="BE471" s="182"/>
      <c r="BF471" s="182"/>
      <c r="BG471" s="182"/>
      <c r="BH471" s="182"/>
      <c r="BI471" s="182"/>
      <c r="BJ471" s="182"/>
      <c r="BK471" s="182"/>
      <c r="BL471" s="182"/>
      <c r="BM471" s="182"/>
      <c r="BN471" s="182"/>
      <c r="BO471" s="182"/>
      <c r="BP471" s="182"/>
      <c r="BQ471" s="182"/>
      <c r="BR471" s="182"/>
      <c r="BS471" s="182"/>
      <c r="BT471" s="182"/>
      <c r="BU471" s="182"/>
      <c r="BV471" s="182"/>
      <c r="BW471" s="182"/>
      <c r="BX471" s="182"/>
      <c r="BY471" s="182"/>
      <c r="BZ471" s="182"/>
      <c r="CA471" s="182"/>
      <c r="CB471" s="182"/>
      <c r="CC471" s="182"/>
      <c r="CD471" s="182"/>
      <c r="CE471" s="182"/>
      <c r="CF471" s="182"/>
      <c r="CG471" s="182"/>
      <c r="CH471" s="182"/>
      <c r="CI471" s="182"/>
      <c r="CJ471" s="182"/>
      <c r="CK471" s="182"/>
      <c r="CL471" s="182"/>
      <c r="CM471" s="182"/>
      <c r="CN471" s="182"/>
      <c r="CO471" s="182"/>
      <c r="CP471" s="182"/>
      <c r="CQ471" s="182"/>
      <c r="CR471" s="182"/>
      <c r="CS471" s="182"/>
      <c r="CT471" s="182"/>
      <c r="CU471" s="182"/>
      <c r="CV471" s="182"/>
      <c r="CW471" s="182"/>
      <c r="CX471" s="182"/>
      <c r="CY471" s="182"/>
      <c r="CZ471" s="182"/>
      <c r="DA471" s="182"/>
      <c r="DB471" s="182"/>
      <c r="DC471" s="182"/>
      <c r="DD471" s="182"/>
      <c r="DE471" s="182"/>
      <c r="DF471" s="182"/>
      <c r="DG471" s="182"/>
      <c r="DH471" s="182"/>
      <c r="DI471" s="182"/>
      <c r="DJ471" s="182"/>
      <c r="DK471" s="182"/>
      <c r="DL471" s="182"/>
      <c r="DM471" s="182"/>
      <c r="DN471" s="182"/>
      <c r="DO471" s="182"/>
      <c r="DP471" s="182"/>
      <c r="DQ471" s="182"/>
      <c r="DR471" s="182"/>
      <c r="DS471" s="182"/>
      <c r="DT471" s="182"/>
      <c r="DU471" s="182"/>
      <c r="DV471" s="182"/>
      <c r="DW471" s="182"/>
      <c r="DX471" s="182"/>
      <c r="DY471" s="182"/>
      <c r="DZ471" s="182"/>
      <c r="EA471" s="182"/>
      <c r="EB471" s="182"/>
      <c r="EC471" s="182"/>
      <c r="ED471" s="182"/>
      <c r="EE471" s="182"/>
      <c r="EF471" s="182"/>
      <c r="EG471" s="182"/>
      <c r="EH471" s="182"/>
      <c r="EI471" s="182"/>
      <c r="EJ471" s="182"/>
      <c r="EK471" s="182"/>
      <c r="EL471" s="182"/>
      <c r="EM471" s="182"/>
      <c r="EN471" s="182"/>
      <c r="EO471" s="182"/>
      <c r="EP471" s="182"/>
      <c r="EQ471" s="182"/>
      <c r="ER471" s="182"/>
      <c r="ES471" s="182"/>
      <c r="ET471" s="182"/>
      <c r="EU471" s="182"/>
      <c r="EV471" s="182"/>
      <c r="EW471" s="182"/>
      <c r="EX471" s="182"/>
      <c r="EY471" s="182"/>
      <c r="EZ471" s="182"/>
      <c r="FA471" s="182"/>
      <c r="FB471" s="182"/>
      <c r="FC471" s="182"/>
      <c r="FD471" s="182"/>
      <c r="FE471" s="182"/>
      <c r="FF471" s="182"/>
      <c r="FG471" s="182"/>
      <c r="FH471" s="182"/>
      <c r="FI471" s="182"/>
      <c r="FJ471" s="182"/>
      <c r="FK471" s="182"/>
      <c r="FL471" s="182"/>
      <c r="FM471" s="182"/>
      <c r="FN471" s="182"/>
      <c r="FO471" s="182"/>
      <c r="FP471" s="182"/>
      <c r="FQ471" s="182"/>
      <c r="FR471" s="182"/>
      <c r="FS471" s="182"/>
      <c r="FT471" s="182"/>
      <c r="FU471" s="182"/>
      <c r="FV471" s="182"/>
      <c r="FW471" s="182"/>
      <c r="FX471" s="182"/>
      <c r="FY471" s="182"/>
      <c r="FZ471" s="182"/>
      <c r="GA471" s="182"/>
      <c r="GB471" s="182"/>
      <c r="GC471" s="182"/>
      <c r="GD471" s="182"/>
      <c r="GE471" s="182"/>
      <c r="GF471" s="182"/>
      <c r="GG471" s="182"/>
      <c r="GH471" s="182"/>
      <c r="GI471" s="182"/>
    </row>
    <row r="472" spans="1:191" s="183" customFormat="1" x14ac:dyDescent="0.2">
      <c r="A472" s="210" t="s">
        <v>38777</v>
      </c>
      <c r="B472" s="210" t="s">
        <v>20733</v>
      </c>
      <c r="C472" s="224" t="s">
        <v>22576</v>
      </c>
      <c r="D472" s="211" t="s">
        <v>16</v>
      </c>
      <c r="E472" s="211">
        <v>15</v>
      </c>
      <c r="F472" s="211"/>
      <c r="G472" s="211">
        <v>0.3</v>
      </c>
      <c r="H472" s="212"/>
      <c r="I472" s="213"/>
      <c r="J472" s="272">
        <v>9.69</v>
      </c>
      <c r="K472" s="112">
        <f t="shared" si="29"/>
        <v>145.35</v>
      </c>
      <c r="L472" s="273">
        <f>BDI!$E$17</f>
        <v>0.11260000000000001</v>
      </c>
      <c r="M472" s="213"/>
      <c r="N472" s="213"/>
      <c r="O472" s="114">
        <f t="shared" si="30"/>
        <v>10.78</v>
      </c>
      <c r="P472" s="113">
        <f t="shared" si="31"/>
        <v>48.51</v>
      </c>
      <c r="Q472" s="209"/>
      <c r="R472" s="203"/>
      <c r="S472" s="182"/>
      <c r="T472" s="182"/>
      <c r="U472" s="182"/>
      <c r="V472" s="182"/>
      <c r="W472" s="182"/>
      <c r="X472" s="182"/>
      <c r="Y472" s="182"/>
      <c r="Z472" s="182"/>
      <c r="AA472" s="182"/>
      <c r="AB472" s="182"/>
      <c r="AC472" s="182"/>
      <c r="AD472" s="182"/>
      <c r="AE472" s="182"/>
      <c r="AF472" s="182"/>
      <c r="AG472" s="182"/>
      <c r="AH472" s="182"/>
      <c r="AI472" s="182"/>
      <c r="AJ472" s="182"/>
      <c r="AK472" s="182"/>
      <c r="AL472" s="182"/>
      <c r="AM472" s="182"/>
      <c r="AN472" s="182"/>
      <c r="AO472" s="182"/>
      <c r="AP472" s="182"/>
      <c r="AQ472" s="182"/>
      <c r="AR472" s="182"/>
      <c r="AS472" s="182"/>
      <c r="AT472" s="182"/>
      <c r="AU472" s="182"/>
      <c r="AV472" s="182"/>
      <c r="AW472" s="182"/>
      <c r="AX472" s="182"/>
      <c r="AY472" s="182"/>
      <c r="AZ472" s="182"/>
      <c r="BA472" s="182"/>
      <c r="BB472" s="182"/>
      <c r="BC472" s="182"/>
      <c r="BD472" s="182"/>
      <c r="BE472" s="182"/>
      <c r="BF472" s="182"/>
      <c r="BG472" s="182"/>
      <c r="BH472" s="182"/>
      <c r="BI472" s="182"/>
      <c r="BJ472" s="182"/>
      <c r="BK472" s="182"/>
      <c r="BL472" s="182"/>
      <c r="BM472" s="182"/>
      <c r="BN472" s="182"/>
      <c r="BO472" s="182"/>
      <c r="BP472" s="182"/>
      <c r="BQ472" s="182"/>
      <c r="BR472" s="182"/>
      <c r="BS472" s="182"/>
      <c r="BT472" s="182"/>
      <c r="BU472" s="182"/>
      <c r="BV472" s="182"/>
      <c r="BW472" s="182"/>
      <c r="BX472" s="182"/>
      <c r="BY472" s="182"/>
      <c r="BZ472" s="182"/>
      <c r="CA472" s="182"/>
      <c r="CB472" s="182"/>
      <c r="CC472" s="182"/>
      <c r="CD472" s="182"/>
      <c r="CE472" s="182"/>
      <c r="CF472" s="182"/>
      <c r="CG472" s="182"/>
      <c r="CH472" s="182"/>
      <c r="CI472" s="182"/>
      <c r="CJ472" s="182"/>
      <c r="CK472" s="182"/>
      <c r="CL472" s="182"/>
      <c r="CM472" s="182"/>
      <c r="CN472" s="182"/>
      <c r="CO472" s="182"/>
      <c r="CP472" s="182"/>
      <c r="CQ472" s="182"/>
      <c r="CR472" s="182"/>
      <c r="CS472" s="182"/>
      <c r="CT472" s="182"/>
      <c r="CU472" s="182"/>
      <c r="CV472" s="182"/>
      <c r="CW472" s="182"/>
      <c r="CX472" s="182"/>
      <c r="CY472" s="182"/>
      <c r="CZ472" s="182"/>
      <c r="DA472" s="182"/>
      <c r="DB472" s="182"/>
      <c r="DC472" s="182"/>
      <c r="DD472" s="182"/>
      <c r="DE472" s="182"/>
      <c r="DF472" s="182"/>
      <c r="DG472" s="182"/>
      <c r="DH472" s="182"/>
      <c r="DI472" s="182"/>
      <c r="DJ472" s="182"/>
      <c r="DK472" s="182"/>
      <c r="DL472" s="182"/>
      <c r="DM472" s="182"/>
      <c r="DN472" s="182"/>
      <c r="DO472" s="182"/>
      <c r="DP472" s="182"/>
      <c r="DQ472" s="182"/>
      <c r="DR472" s="182"/>
      <c r="DS472" s="182"/>
      <c r="DT472" s="182"/>
      <c r="DU472" s="182"/>
      <c r="DV472" s="182"/>
      <c r="DW472" s="182"/>
      <c r="DX472" s="182"/>
      <c r="DY472" s="182"/>
      <c r="DZ472" s="182"/>
      <c r="EA472" s="182"/>
      <c r="EB472" s="182"/>
      <c r="EC472" s="182"/>
      <c r="ED472" s="182"/>
      <c r="EE472" s="182"/>
      <c r="EF472" s="182"/>
      <c r="EG472" s="182"/>
      <c r="EH472" s="182"/>
      <c r="EI472" s="182"/>
      <c r="EJ472" s="182"/>
      <c r="EK472" s="182"/>
      <c r="EL472" s="182"/>
      <c r="EM472" s="182"/>
      <c r="EN472" s="182"/>
      <c r="EO472" s="182"/>
      <c r="EP472" s="182"/>
      <c r="EQ472" s="182"/>
      <c r="ER472" s="182"/>
      <c r="ES472" s="182"/>
      <c r="ET472" s="182"/>
      <c r="EU472" s="182"/>
      <c r="EV472" s="182"/>
      <c r="EW472" s="182"/>
      <c r="EX472" s="182"/>
      <c r="EY472" s="182"/>
      <c r="EZ472" s="182"/>
      <c r="FA472" s="182"/>
      <c r="FB472" s="182"/>
      <c r="FC472" s="182"/>
      <c r="FD472" s="182"/>
      <c r="FE472" s="182"/>
      <c r="FF472" s="182"/>
      <c r="FG472" s="182"/>
      <c r="FH472" s="182"/>
      <c r="FI472" s="182"/>
      <c r="FJ472" s="182"/>
      <c r="FK472" s="182"/>
      <c r="FL472" s="182"/>
      <c r="FM472" s="182"/>
      <c r="FN472" s="182"/>
      <c r="FO472" s="182"/>
      <c r="FP472" s="182"/>
      <c r="FQ472" s="182"/>
      <c r="FR472" s="182"/>
      <c r="FS472" s="182"/>
      <c r="FT472" s="182"/>
      <c r="FU472" s="182"/>
      <c r="FV472" s="182"/>
      <c r="FW472" s="182"/>
      <c r="FX472" s="182"/>
      <c r="FY472" s="182"/>
      <c r="FZ472" s="182"/>
      <c r="GA472" s="182"/>
      <c r="GB472" s="182"/>
      <c r="GC472" s="182"/>
      <c r="GD472" s="182"/>
      <c r="GE472" s="182"/>
      <c r="GF472" s="182"/>
      <c r="GG472" s="182"/>
      <c r="GH472" s="182"/>
      <c r="GI472" s="182"/>
    </row>
    <row r="473" spans="1:191" s="183" customFormat="1" x14ac:dyDescent="0.2">
      <c r="A473" s="210" t="s">
        <v>38778</v>
      </c>
      <c r="B473" s="210" t="s">
        <v>20734</v>
      </c>
      <c r="C473" s="224" t="s">
        <v>22577</v>
      </c>
      <c r="D473" s="211" t="s">
        <v>69</v>
      </c>
      <c r="E473" s="211">
        <v>30</v>
      </c>
      <c r="F473" s="211"/>
      <c r="G473" s="211">
        <v>0.3</v>
      </c>
      <c r="H473" s="212"/>
      <c r="I473" s="213"/>
      <c r="J473" s="272">
        <v>54.18</v>
      </c>
      <c r="K473" s="112">
        <f t="shared" si="29"/>
        <v>1625.4</v>
      </c>
      <c r="L473" s="273">
        <f>BDI!$E$17</f>
        <v>0.11260000000000001</v>
      </c>
      <c r="M473" s="213"/>
      <c r="N473" s="213"/>
      <c r="O473" s="114">
        <f t="shared" si="30"/>
        <v>60.28</v>
      </c>
      <c r="P473" s="113">
        <f t="shared" si="31"/>
        <v>542.52</v>
      </c>
      <c r="Q473" s="209"/>
      <c r="R473" s="203"/>
      <c r="S473" s="182"/>
      <c r="T473" s="182"/>
      <c r="U473" s="182"/>
      <c r="V473" s="182"/>
      <c r="W473" s="182"/>
      <c r="X473" s="182"/>
      <c r="Y473" s="182"/>
      <c r="Z473" s="182"/>
      <c r="AA473" s="182"/>
      <c r="AB473" s="182"/>
      <c r="AC473" s="182"/>
      <c r="AD473" s="182"/>
      <c r="AE473" s="182"/>
      <c r="AF473" s="182"/>
      <c r="AG473" s="182"/>
      <c r="AH473" s="182"/>
      <c r="AI473" s="182"/>
      <c r="AJ473" s="182"/>
      <c r="AK473" s="182"/>
      <c r="AL473" s="182"/>
      <c r="AM473" s="182"/>
      <c r="AN473" s="182"/>
      <c r="AO473" s="182"/>
      <c r="AP473" s="182"/>
      <c r="AQ473" s="182"/>
      <c r="AR473" s="182"/>
      <c r="AS473" s="182"/>
      <c r="AT473" s="182"/>
      <c r="AU473" s="182"/>
      <c r="AV473" s="182"/>
      <c r="AW473" s="182"/>
      <c r="AX473" s="182"/>
      <c r="AY473" s="182"/>
      <c r="AZ473" s="182"/>
      <c r="BA473" s="182"/>
      <c r="BB473" s="182"/>
      <c r="BC473" s="182"/>
      <c r="BD473" s="182"/>
      <c r="BE473" s="182"/>
      <c r="BF473" s="182"/>
      <c r="BG473" s="182"/>
      <c r="BH473" s="182"/>
      <c r="BI473" s="182"/>
      <c r="BJ473" s="182"/>
      <c r="BK473" s="182"/>
      <c r="BL473" s="182"/>
      <c r="BM473" s="182"/>
      <c r="BN473" s="182"/>
      <c r="BO473" s="182"/>
      <c r="BP473" s="182"/>
      <c r="BQ473" s="182"/>
      <c r="BR473" s="182"/>
      <c r="BS473" s="182"/>
      <c r="BT473" s="182"/>
      <c r="BU473" s="182"/>
      <c r="BV473" s="182"/>
      <c r="BW473" s="182"/>
      <c r="BX473" s="182"/>
      <c r="BY473" s="182"/>
      <c r="BZ473" s="182"/>
      <c r="CA473" s="182"/>
      <c r="CB473" s="182"/>
      <c r="CC473" s="182"/>
      <c r="CD473" s="182"/>
      <c r="CE473" s="182"/>
      <c r="CF473" s="182"/>
      <c r="CG473" s="182"/>
      <c r="CH473" s="182"/>
      <c r="CI473" s="182"/>
      <c r="CJ473" s="182"/>
      <c r="CK473" s="182"/>
      <c r="CL473" s="182"/>
      <c r="CM473" s="182"/>
      <c r="CN473" s="182"/>
      <c r="CO473" s="182"/>
      <c r="CP473" s="182"/>
      <c r="CQ473" s="182"/>
      <c r="CR473" s="182"/>
      <c r="CS473" s="182"/>
      <c r="CT473" s="182"/>
      <c r="CU473" s="182"/>
      <c r="CV473" s="182"/>
      <c r="CW473" s="182"/>
      <c r="CX473" s="182"/>
      <c r="CY473" s="182"/>
      <c r="CZ473" s="182"/>
      <c r="DA473" s="182"/>
      <c r="DB473" s="182"/>
      <c r="DC473" s="182"/>
      <c r="DD473" s="182"/>
      <c r="DE473" s="182"/>
      <c r="DF473" s="182"/>
      <c r="DG473" s="182"/>
      <c r="DH473" s="182"/>
      <c r="DI473" s="182"/>
      <c r="DJ473" s="182"/>
      <c r="DK473" s="182"/>
      <c r="DL473" s="182"/>
      <c r="DM473" s="182"/>
      <c r="DN473" s="182"/>
      <c r="DO473" s="182"/>
      <c r="DP473" s="182"/>
      <c r="DQ473" s="182"/>
      <c r="DR473" s="182"/>
      <c r="DS473" s="182"/>
      <c r="DT473" s="182"/>
      <c r="DU473" s="182"/>
      <c r="DV473" s="182"/>
      <c r="DW473" s="182"/>
      <c r="DX473" s="182"/>
      <c r="DY473" s="182"/>
      <c r="DZ473" s="182"/>
      <c r="EA473" s="182"/>
      <c r="EB473" s="182"/>
      <c r="EC473" s="182"/>
      <c r="ED473" s="182"/>
      <c r="EE473" s="182"/>
      <c r="EF473" s="182"/>
      <c r="EG473" s="182"/>
      <c r="EH473" s="182"/>
      <c r="EI473" s="182"/>
      <c r="EJ473" s="182"/>
      <c r="EK473" s="182"/>
      <c r="EL473" s="182"/>
      <c r="EM473" s="182"/>
      <c r="EN473" s="182"/>
      <c r="EO473" s="182"/>
      <c r="EP473" s="182"/>
      <c r="EQ473" s="182"/>
      <c r="ER473" s="182"/>
      <c r="ES473" s="182"/>
      <c r="ET473" s="182"/>
      <c r="EU473" s="182"/>
      <c r="EV473" s="182"/>
      <c r="EW473" s="182"/>
      <c r="EX473" s="182"/>
      <c r="EY473" s="182"/>
      <c r="EZ473" s="182"/>
      <c r="FA473" s="182"/>
      <c r="FB473" s="182"/>
      <c r="FC473" s="182"/>
      <c r="FD473" s="182"/>
      <c r="FE473" s="182"/>
      <c r="FF473" s="182"/>
      <c r="FG473" s="182"/>
      <c r="FH473" s="182"/>
      <c r="FI473" s="182"/>
      <c r="FJ473" s="182"/>
      <c r="FK473" s="182"/>
      <c r="FL473" s="182"/>
      <c r="FM473" s="182"/>
      <c r="FN473" s="182"/>
      <c r="FO473" s="182"/>
      <c r="FP473" s="182"/>
      <c r="FQ473" s="182"/>
      <c r="FR473" s="182"/>
      <c r="FS473" s="182"/>
      <c r="FT473" s="182"/>
      <c r="FU473" s="182"/>
      <c r="FV473" s="182"/>
      <c r="FW473" s="182"/>
      <c r="FX473" s="182"/>
      <c r="FY473" s="182"/>
      <c r="FZ473" s="182"/>
      <c r="GA473" s="182"/>
      <c r="GB473" s="182"/>
      <c r="GC473" s="182"/>
      <c r="GD473" s="182"/>
      <c r="GE473" s="182"/>
      <c r="GF473" s="182"/>
      <c r="GG473" s="182"/>
      <c r="GH473" s="182"/>
      <c r="GI473" s="182"/>
    </row>
    <row r="474" spans="1:191" s="183" customFormat="1" x14ac:dyDescent="0.2">
      <c r="A474" s="210" t="s">
        <v>38779</v>
      </c>
      <c r="B474" s="210" t="s">
        <v>20735</v>
      </c>
      <c r="C474" s="224" t="s">
        <v>22578</v>
      </c>
      <c r="D474" s="211" t="s">
        <v>16</v>
      </c>
      <c r="E474" s="211">
        <v>15</v>
      </c>
      <c r="F474" s="211"/>
      <c r="G474" s="211">
        <v>0.3</v>
      </c>
      <c r="H474" s="212"/>
      <c r="I474" s="213"/>
      <c r="J474" s="272">
        <v>17.79</v>
      </c>
      <c r="K474" s="112">
        <f t="shared" si="29"/>
        <v>266.85000000000002</v>
      </c>
      <c r="L474" s="273">
        <f>BDI!$E$17</f>
        <v>0.11260000000000001</v>
      </c>
      <c r="M474" s="213"/>
      <c r="N474" s="213"/>
      <c r="O474" s="114">
        <f t="shared" si="30"/>
        <v>19.79</v>
      </c>
      <c r="P474" s="113">
        <f t="shared" si="31"/>
        <v>89.06</v>
      </c>
      <c r="Q474" s="209"/>
      <c r="R474" s="203"/>
      <c r="S474" s="182"/>
      <c r="T474" s="182"/>
      <c r="U474" s="182"/>
      <c r="V474" s="182"/>
      <c r="W474" s="182"/>
      <c r="X474" s="182"/>
      <c r="Y474" s="182"/>
      <c r="Z474" s="182"/>
      <c r="AA474" s="182"/>
      <c r="AB474" s="182"/>
      <c r="AC474" s="182"/>
      <c r="AD474" s="182"/>
      <c r="AE474" s="182"/>
      <c r="AF474" s="182"/>
      <c r="AG474" s="182"/>
      <c r="AH474" s="182"/>
      <c r="AI474" s="182"/>
      <c r="AJ474" s="182"/>
      <c r="AK474" s="182"/>
      <c r="AL474" s="182"/>
      <c r="AM474" s="182"/>
      <c r="AN474" s="182"/>
      <c r="AO474" s="182"/>
      <c r="AP474" s="182"/>
      <c r="AQ474" s="182"/>
      <c r="AR474" s="182"/>
      <c r="AS474" s="182"/>
      <c r="AT474" s="182"/>
      <c r="AU474" s="182"/>
      <c r="AV474" s="182"/>
      <c r="AW474" s="182"/>
      <c r="AX474" s="182"/>
      <c r="AY474" s="182"/>
      <c r="AZ474" s="182"/>
      <c r="BA474" s="182"/>
      <c r="BB474" s="182"/>
      <c r="BC474" s="182"/>
      <c r="BD474" s="182"/>
      <c r="BE474" s="182"/>
      <c r="BF474" s="182"/>
      <c r="BG474" s="182"/>
      <c r="BH474" s="182"/>
      <c r="BI474" s="182"/>
      <c r="BJ474" s="182"/>
      <c r="BK474" s="182"/>
      <c r="BL474" s="182"/>
      <c r="BM474" s="182"/>
      <c r="BN474" s="182"/>
      <c r="BO474" s="182"/>
      <c r="BP474" s="182"/>
      <c r="BQ474" s="182"/>
      <c r="BR474" s="182"/>
      <c r="BS474" s="182"/>
      <c r="BT474" s="182"/>
      <c r="BU474" s="182"/>
      <c r="BV474" s="182"/>
      <c r="BW474" s="182"/>
      <c r="BX474" s="182"/>
      <c r="BY474" s="182"/>
      <c r="BZ474" s="182"/>
      <c r="CA474" s="182"/>
      <c r="CB474" s="182"/>
      <c r="CC474" s="182"/>
      <c r="CD474" s="182"/>
      <c r="CE474" s="182"/>
      <c r="CF474" s="182"/>
      <c r="CG474" s="182"/>
      <c r="CH474" s="182"/>
      <c r="CI474" s="182"/>
      <c r="CJ474" s="182"/>
      <c r="CK474" s="182"/>
      <c r="CL474" s="182"/>
      <c r="CM474" s="182"/>
      <c r="CN474" s="182"/>
      <c r="CO474" s="182"/>
      <c r="CP474" s="182"/>
      <c r="CQ474" s="182"/>
      <c r="CR474" s="182"/>
      <c r="CS474" s="182"/>
      <c r="CT474" s="182"/>
      <c r="CU474" s="182"/>
      <c r="CV474" s="182"/>
      <c r="CW474" s="182"/>
      <c r="CX474" s="182"/>
      <c r="CY474" s="182"/>
      <c r="CZ474" s="182"/>
      <c r="DA474" s="182"/>
      <c r="DB474" s="182"/>
      <c r="DC474" s="182"/>
      <c r="DD474" s="182"/>
      <c r="DE474" s="182"/>
      <c r="DF474" s="182"/>
      <c r="DG474" s="182"/>
      <c r="DH474" s="182"/>
      <c r="DI474" s="182"/>
      <c r="DJ474" s="182"/>
      <c r="DK474" s="182"/>
      <c r="DL474" s="182"/>
      <c r="DM474" s="182"/>
      <c r="DN474" s="182"/>
      <c r="DO474" s="182"/>
      <c r="DP474" s="182"/>
      <c r="DQ474" s="182"/>
      <c r="DR474" s="182"/>
      <c r="DS474" s="182"/>
      <c r="DT474" s="182"/>
      <c r="DU474" s="182"/>
      <c r="DV474" s="182"/>
      <c r="DW474" s="182"/>
      <c r="DX474" s="182"/>
      <c r="DY474" s="182"/>
      <c r="DZ474" s="182"/>
      <c r="EA474" s="182"/>
      <c r="EB474" s="182"/>
      <c r="EC474" s="182"/>
      <c r="ED474" s="182"/>
      <c r="EE474" s="182"/>
      <c r="EF474" s="182"/>
      <c r="EG474" s="182"/>
      <c r="EH474" s="182"/>
      <c r="EI474" s="182"/>
      <c r="EJ474" s="182"/>
      <c r="EK474" s="182"/>
      <c r="EL474" s="182"/>
      <c r="EM474" s="182"/>
      <c r="EN474" s="182"/>
      <c r="EO474" s="182"/>
      <c r="EP474" s="182"/>
      <c r="EQ474" s="182"/>
      <c r="ER474" s="182"/>
      <c r="ES474" s="182"/>
      <c r="ET474" s="182"/>
      <c r="EU474" s="182"/>
      <c r="EV474" s="182"/>
      <c r="EW474" s="182"/>
      <c r="EX474" s="182"/>
      <c r="EY474" s="182"/>
      <c r="EZ474" s="182"/>
      <c r="FA474" s="182"/>
      <c r="FB474" s="182"/>
      <c r="FC474" s="182"/>
      <c r="FD474" s="182"/>
      <c r="FE474" s="182"/>
      <c r="FF474" s="182"/>
      <c r="FG474" s="182"/>
      <c r="FH474" s="182"/>
      <c r="FI474" s="182"/>
      <c r="FJ474" s="182"/>
      <c r="FK474" s="182"/>
      <c r="FL474" s="182"/>
      <c r="FM474" s="182"/>
      <c r="FN474" s="182"/>
      <c r="FO474" s="182"/>
      <c r="FP474" s="182"/>
      <c r="FQ474" s="182"/>
      <c r="FR474" s="182"/>
      <c r="FS474" s="182"/>
      <c r="FT474" s="182"/>
      <c r="FU474" s="182"/>
      <c r="FV474" s="182"/>
      <c r="FW474" s="182"/>
      <c r="FX474" s="182"/>
      <c r="FY474" s="182"/>
      <c r="FZ474" s="182"/>
      <c r="GA474" s="182"/>
      <c r="GB474" s="182"/>
      <c r="GC474" s="182"/>
      <c r="GD474" s="182"/>
      <c r="GE474" s="182"/>
      <c r="GF474" s="182"/>
      <c r="GG474" s="182"/>
      <c r="GH474" s="182"/>
      <c r="GI474" s="182"/>
    </row>
    <row r="475" spans="1:191" s="183" customFormat="1" x14ac:dyDescent="0.2">
      <c r="A475" s="210" t="s">
        <v>38780</v>
      </c>
      <c r="B475" s="210" t="s">
        <v>20736</v>
      </c>
      <c r="C475" s="224" t="s">
        <v>22579</v>
      </c>
      <c r="D475" s="211" t="s">
        <v>16</v>
      </c>
      <c r="E475" s="211">
        <v>15</v>
      </c>
      <c r="F475" s="211"/>
      <c r="G475" s="211">
        <v>0.3</v>
      </c>
      <c r="H475" s="212"/>
      <c r="I475" s="213"/>
      <c r="J475" s="272">
        <v>7.75</v>
      </c>
      <c r="K475" s="112">
        <f t="shared" si="29"/>
        <v>116.25</v>
      </c>
      <c r="L475" s="273">
        <f>BDI!$E$17</f>
        <v>0.11260000000000001</v>
      </c>
      <c r="M475" s="213"/>
      <c r="N475" s="213"/>
      <c r="O475" s="114">
        <f t="shared" si="30"/>
        <v>8.6199999999999992</v>
      </c>
      <c r="P475" s="113">
        <f t="shared" si="31"/>
        <v>38.79</v>
      </c>
      <c r="Q475" s="209"/>
      <c r="R475" s="203"/>
      <c r="S475" s="182"/>
      <c r="T475" s="182"/>
      <c r="U475" s="182"/>
      <c r="V475" s="182"/>
      <c r="W475" s="182"/>
      <c r="X475" s="182"/>
      <c r="Y475" s="182"/>
      <c r="Z475" s="182"/>
      <c r="AA475" s="182"/>
      <c r="AB475" s="182"/>
      <c r="AC475" s="182"/>
      <c r="AD475" s="182"/>
      <c r="AE475" s="182"/>
      <c r="AF475" s="182"/>
      <c r="AG475" s="182"/>
      <c r="AH475" s="182"/>
      <c r="AI475" s="182"/>
      <c r="AJ475" s="182"/>
      <c r="AK475" s="182"/>
      <c r="AL475" s="182"/>
      <c r="AM475" s="182"/>
      <c r="AN475" s="182"/>
      <c r="AO475" s="182"/>
      <c r="AP475" s="182"/>
      <c r="AQ475" s="182"/>
      <c r="AR475" s="182"/>
      <c r="AS475" s="182"/>
      <c r="AT475" s="182"/>
      <c r="AU475" s="182"/>
      <c r="AV475" s="182"/>
      <c r="AW475" s="182"/>
      <c r="AX475" s="182"/>
      <c r="AY475" s="182"/>
      <c r="AZ475" s="182"/>
      <c r="BA475" s="182"/>
      <c r="BB475" s="182"/>
      <c r="BC475" s="182"/>
      <c r="BD475" s="182"/>
      <c r="BE475" s="182"/>
      <c r="BF475" s="182"/>
      <c r="BG475" s="182"/>
      <c r="BH475" s="182"/>
      <c r="BI475" s="182"/>
      <c r="BJ475" s="182"/>
      <c r="BK475" s="182"/>
      <c r="BL475" s="182"/>
      <c r="BM475" s="182"/>
      <c r="BN475" s="182"/>
      <c r="BO475" s="182"/>
      <c r="BP475" s="182"/>
      <c r="BQ475" s="182"/>
      <c r="BR475" s="182"/>
      <c r="BS475" s="182"/>
      <c r="BT475" s="182"/>
      <c r="BU475" s="182"/>
      <c r="BV475" s="182"/>
      <c r="BW475" s="182"/>
      <c r="BX475" s="182"/>
      <c r="BY475" s="182"/>
      <c r="BZ475" s="182"/>
      <c r="CA475" s="182"/>
      <c r="CB475" s="182"/>
      <c r="CC475" s="182"/>
      <c r="CD475" s="182"/>
      <c r="CE475" s="182"/>
      <c r="CF475" s="182"/>
      <c r="CG475" s="182"/>
      <c r="CH475" s="182"/>
      <c r="CI475" s="182"/>
      <c r="CJ475" s="182"/>
      <c r="CK475" s="182"/>
      <c r="CL475" s="182"/>
      <c r="CM475" s="182"/>
      <c r="CN475" s="182"/>
      <c r="CO475" s="182"/>
      <c r="CP475" s="182"/>
      <c r="CQ475" s="182"/>
      <c r="CR475" s="182"/>
      <c r="CS475" s="182"/>
      <c r="CT475" s="182"/>
      <c r="CU475" s="182"/>
      <c r="CV475" s="182"/>
      <c r="CW475" s="182"/>
      <c r="CX475" s="182"/>
      <c r="CY475" s="182"/>
      <c r="CZ475" s="182"/>
      <c r="DA475" s="182"/>
      <c r="DB475" s="182"/>
      <c r="DC475" s="182"/>
      <c r="DD475" s="182"/>
      <c r="DE475" s="182"/>
      <c r="DF475" s="182"/>
      <c r="DG475" s="182"/>
      <c r="DH475" s="182"/>
      <c r="DI475" s="182"/>
      <c r="DJ475" s="182"/>
      <c r="DK475" s="182"/>
      <c r="DL475" s="182"/>
      <c r="DM475" s="182"/>
      <c r="DN475" s="182"/>
      <c r="DO475" s="182"/>
      <c r="DP475" s="182"/>
      <c r="DQ475" s="182"/>
      <c r="DR475" s="182"/>
      <c r="DS475" s="182"/>
      <c r="DT475" s="182"/>
      <c r="DU475" s="182"/>
      <c r="DV475" s="182"/>
      <c r="DW475" s="182"/>
      <c r="DX475" s="182"/>
      <c r="DY475" s="182"/>
      <c r="DZ475" s="182"/>
      <c r="EA475" s="182"/>
      <c r="EB475" s="182"/>
      <c r="EC475" s="182"/>
      <c r="ED475" s="182"/>
      <c r="EE475" s="182"/>
      <c r="EF475" s="182"/>
      <c r="EG475" s="182"/>
      <c r="EH475" s="182"/>
      <c r="EI475" s="182"/>
      <c r="EJ475" s="182"/>
      <c r="EK475" s="182"/>
      <c r="EL475" s="182"/>
      <c r="EM475" s="182"/>
      <c r="EN475" s="182"/>
      <c r="EO475" s="182"/>
      <c r="EP475" s="182"/>
      <c r="EQ475" s="182"/>
      <c r="ER475" s="182"/>
      <c r="ES475" s="182"/>
      <c r="ET475" s="182"/>
      <c r="EU475" s="182"/>
      <c r="EV475" s="182"/>
      <c r="EW475" s="182"/>
      <c r="EX475" s="182"/>
      <c r="EY475" s="182"/>
      <c r="EZ475" s="182"/>
      <c r="FA475" s="182"/>
      <c r="FB475" s="182"/>
      <c r="FC475" s="182"/>
      <c r="FD475" s="182"/>
      <c r="FE475" s="182"/>
      <c r="FF475" s="182"/>
      <c r="FG475" s="182"/>
      <c r="FH475" s="182"/>
      <c r="FI475" s="182"/>
      <c r="FJ475" s="182"/>
      <c r="FK475" s="182"/>
      <c r="FL475" s="182"/>
      <c r="FM475" s="182"/>
      <c r="FN475" s="182"/>
      <c r="FO475" s="182"/>
      <c r="FP475" s="182"/>
      <c r="FQ475" s="182"/>
      <c r="FR475" s="182"/>
      <c r="FS475" s="182"/>
      <c r="FT475" s="182"/>
      <c r="FU475" s="182"/>
      <c r="FV475" s="182"/>
      <c r="FW475" s="182"/>
      <c r="FX475" s="182"/>
      <c r="FY475" s="182"/>
      <c r="FZ475" s="182"/>
      <c r="GA475" s="182"/>
      <c r="GB475" s="182"/>
      <c r="GC475" s="182"/>
      <c r="GD475" s="182"/>
      <c r="GE475" s="182"/>
      <c r="GF475" s="182"/>
      <c r="GG475" s="182"/>
      <c r="GH475" s="182"/>
      <c r="GI475" s="182"/>
    </row>
    <row r="476" spans="1:191" s="183" customFormat="1" x14ac:dyDescent="0.2">
      <c r="A476" s="210" t="s">
        <v>38781</v>
      </c>
      <c r="B476" s="210" t="s">
        <v>20737</v>
      </c>
      <c r="C476" s="224" t="s">
        <v>22580</v>
      </c>
      <c r="D476" s="211" t="s">
        <v>69</v>
      </c>
      <c r="E476" s="211">
        <v>30</v>
      </c>
      <c r="F476" s="211"/>
      <c r="G476" s="211">
        <v>0.3</v>
      </c>
      <c r="H476" s="212"/>
      <c r="I476" s="213"/>
      <c r="J476" s="272">
        <v>92.21</v>
      </c>
      <c r="K476" s="112">
        <f t="shared" si="29"/>
        <v>2766.3</v>
      </c>
      <c r="L476" s="273">
        <f>BDI!$E$17</f>
        <v>0.11260000000000001</v>
      </c>
      <c r="M476" s="213"/>
      <c r="N476" s="213"/>
      <c r="O476" s="114">
        <f t="shared" si="30"/>
        <v>102.59</v>
      </c>
      <c r="P476" s="113">
        <f t="shared" si="31"/>
        <v>923.31</v>
      </c>
      <c r="Q476" s="209"/>
      <c r="R476" s="203"/>
      <c r="S476" s="182"/>
      <c r="T476" s="182"/>
      <c r="U476" s="182"/>
      <c r="V476" s="182"/>
      <c r="W476" s="182"/>
      <c r="X476" s="182"/>
      <c r="Y476" s="182"/>
      <c r="Z476" s="182"/>
      <c r="AA476" s="182"/>
      <c r="AB476" s="182"/>
      <c r="AC476" s="182"/>
      <c r="AD476" s="182"/>
      <c r="AE476" s="182"/>
      <c r="AF476" s="182"/>
      <c r="AG476" s="182"/>
      <c r="AH476" s="182"/>
      <c r="AI476" s="182"/>
      <c r="AJ476" s="182"/>
      <c r="AK476" s="182"/>
      <c r="AL476" s="182"/>
      <c r="AM476" s="182"/>
      <c r="AN476" s="182"/>
      <c r="AO476" s="182"/>
      <c r="AP476" s="182"/>
      <c r="AQ476" s="182"/>
      <c r="AR476" s="182"/>
      <c r="AS476" s="182"/>
      <c r="AT476" s="182"/>
      <c r="AU476" s="182"/>
      <c r="AV476" s="182"/>
      <c r="AW476" s="182"/>
      <c r="AX476" s="182"/>
      <c r="AY476" s="182"/>
      <c r="AZ476" s="182"/>
      <c r="BA476" s="182"/>
      <c r="BB476" s="182"/>
      <c r="BC476" s="182"/>
      <c r="BD476" s="182"/>
      <c r="BE476" s="182"/>
      <c r="BF476" s="182"/>
      <c r="BG476" s="182"/>
      <c r="BH476" s="182"/>
      <c r="BI476" s="182"/>
      <c r="BJ476" s="182"/>
      <c r="BK476" s="182"/>
      <c r="BL476" s="182"/>
      <c r="BM476" s="182"/>
      <c r="BN476" s="182"/>
      <c r="BO476" s="182"/>
      <c r="BP476" s="182"/>
      <c r="BQ476" s="182"/>
      <c r="BR476" s="182"/>
      <c r="BS476" s="182"/>
      <c r="BT476" s="182"/>
      <c r="BU476" s="182"/>
      <c r="BV476" s="182"/>
      <c r="BW476" s="182"/>
      <c r="BX476" s="182"/>
      <c r="BY476" s="182"/>
      <c r="BZ476" s="182"/>
      <c r="CA476" s="182"/>
      <c r="CB476" s="182"/>
      <c r="CC476" s="182"/>
      <c r="CD476" s="182"/>
      <c r="CE476" s="182"/>
      <c r="CF476" s="182"/>
      <c r="CG476" s="182"/>
      <c r="CH476" s="182"/>
      <c r="CI476" s="182"/>
      <c r="CJ476" s="182"/>
      <c r="CK476" s="182"/>
      <c r="CL476" s="182"/>
      <c r="CM476" s="182"/>
      <c r="CN476" s="182"/>
      <c r="CO476" s="182"/>
      <c r="CP476" s="182"/>
      <c r="CQ476" s="182"/>
      <c r="CR476" s="182"/>
      <c r="CS476" s="182"/>
      <c r="CT476" s="182"/>
      <c r="CU476" s="182"/>
      <c r="CV476" s="182"/>
      <c r="CW476" s="182"/>
      <c r="CX476" s="182"/>
      <c r="CY476" s="182"/>
      <c r="CZ476" s="182"/>
      <c r="DA476" s="182"/>
      <c r="DB476" s="182"/>
      <c r="DC476" s="182"/>
      <c r="DD476" s="182"/>
      <c r="DE476" s="182"/>
      <c r="DF476" s="182"/>
      <c r="DG476" s="182"/>
      <c r="DH476" s="182"/>
      <c r="DI476" s="182"/>
      <c r="DJ476" s="182"/>
      <c r="DK476" s="182"/>
      <c r="DL476" s="182"/>
      <c r="DM476" s="182"/>
      <c r="DN476" s="182"/>
      <c r="DO476" s="182"/>
      <c r="DP476" s="182"/>
      <c r="DQ476" s="182"/>
      <c r="DR476" s="182"/>
      <c r="DS476" s="182"/>
      <c r="DT476" s="182"/>
      <c r="DU476" s="182"/>
      <c r="DV476" s="182"/>
      <c r="DW476" s="182"/>
      <c r="DX476" s="182"/>
      <c r="DY476" s="182"/>
      <c r="DZ476" s="182"/>
      <c r="EA476" s="182"/>
      <c r="EB476" s="182"/>
      <c r="EC476" s="182"/>
      <c r="ED476" s="182"/>
      <c r="EE476" s="182"/>
      <c r="EF476" s="182"/>
      <c r="EG476" s="182"/>
      <c r="EH476" s="182"/>
      <c r="EI476" s="182"/>
      <c r="EJ476" s="182"/>
      <c r="EK476" s="182"/>
      <c r="EL476" s="182"/>
      <c r="EM476" s="182"/>
      <c r="EN476" s="182"/>
      <c r="EO476" s="182"/>
      <c r="EP476" s="182"/>
      <c r="EQ476" s="182"/>
      <c r="ER476" s="182"/>
      <c r="ES476" s="182"/>
      <c r="ET476" s="182"/>
      <c r="EU476" s="182"/>
      <c r="EV476" s="182"/>
      <c r="EW476" s="182"/>
      <c r="EX476" s="182"/>
      <c r="EY476" s="182"/>
      <c r="EZ476" s="182"/>
      <c r="FA476" s="182"/>
      <c r="FB476" s="182"/>
      <c r="FC476" s="182"/>
      <c r="FD476" s="182"/>
      <c r="FE476" s="182"/>
      <c r="FF476" s="182"/>
      <c r="FG476" s="182"/>
      <c r="FH476" s="182"/>
      <c r="FI476" s="182"/>
      <c r="FJ476" s="182"/>
      <c r="FK476" s="182"/>
      <c r="FL476" s="182"/>
      <c r="FM476" s="182"/>
      <c r="FN476" s="182"/>
      <c r="FO476" s="182"/>
      <c r="FP476" s="182"/>
      <c r="FQ476" s="182"/>
      <c r="FR476" s="182"/>
      <c r="FS476" s="182"/>
      <c r="FT476" s="182"/>
      <c r="FU476" s="182"/>
      <c r="FV476" s="182"/>
      <c r="FW476" s="182"/>
      <c r="FX476" s="182"/>
      <c r="FY476" s="182"/>
      <c r="FZ476" s="182"/>
      <c r="GA476" s="182"/>
      <c r="GB476" s="182"/>
      <c r="GC476" s="182"/>
      <c r="GD476" s="182"/>
      <c r="GE476" s="182"/>
      <c r="GF476" s="182"/>
      <c r="GG476" s="182"/>
      <c r="GH476" s="182"/>
      <c r="GI476" s="182"/>
    </row>
    <row r="477" spans="1:191" s="183" customFormat="1" x14ac:dyDescent="0.2">
      <c r="A477" s="210" t="s">
        <v>38782</v>
      </c>
      <c r="B477" s="210" t="s">
        <v>20738</v>
      </c>
      <c r="C477" s="224" t="s">
        <v>22581</v>
      </c>
      <c r="D477" s="211" t="s">
        <v>16</v>
      </c>
      <c r="E477" s="211">
        <v>15</v>
      </c>
      <c r="F477" s="211"/>
      <c r="G477" s="211">
        <v>0.3</v>
      </c>
      <c r="H477" s="212"/>
      <c r="I477" s="213"/>
      <c r="J477" s="272">
        <v>34.42</v>
      </c>
      <c r="K477" s="112">
        <f t="shared" si="29"/>
        <v>516.29999999999995</v>
      </c>
      <c r="L477" s="273">
        <f>BDI!$E$17</f>
        <v>0.11260000000000001</v>
      </c>
      <c r="M477" s="213"/>
      <c r="N477" s="213"/>
      <c r="O477" s="114">
        <f t="shared" si="30"/>
        <v>38.299999999999997</v>
      </c>
      <c r="P477" s="113">
        <f t="shared" si="31"/>
        <v>172.35</v>
      </c>
      <c r="Q477" s="209"/>
      <c r="R477" s="203"/>
      <c r="S477" s="182"/>
      <c r="T477" s="182"/>
      <c r="U477" s="182"/>
      <c r="V477" s="182"/>
      <c r="W477" s="182"/>
      <c r="X477" s="182"/>
      <c r="Y477" s="182"/>
      <c r="Z477" s="182"/>
      <c r="AA477" s="182"/>
      <c r="AB477" s="182"/>
      <c r="AC477" s="182"/>
      <c r="AD477" s="182"/>
      <c r="AE477" s="182"/>
      <c r="AF477" s="182"/>
      <c r="AG477" s="182"/>
      <c r="AH477" s="182"/>
      <c r="AI477" s="182"/>
      <c r="AJ477" s="182"/>
      <c r="AK477" s="182"/>
      <c r="AL477" s="182"/>
      <c r="AM477" s="182"/>
      <c r="AN477" s="182"/>
      <c r="AO477" s="182"/>
      <c r="AP477" s="182"/>
      <c r="AQ477" s="182"/>
      <c r="AR477" s="182"/>
      <c r="AS477" s="182"/>
      <c r="AT477" s="182"/>
      <c r="AU477" s="182"/>
      <c r="AV477" s="182"/>
      <c r="AW477" s="182"/>
      <c r="AX477" s="182"/>
      <c r="AY477" s="182"/>
      <c r="AZ477" s="182"/>
      <c r="BA477" s="182"/>
      <c r="BB477" s="182"/>
      <c r="BC477" s="182"/>
      <c r="BD477" s="182"/>
      <c r="BE477" s="182"/>
      <c r="BF477" s="182"/>
      <c r="BG477" s="182"/>
      <c r="BH477" s="182"/>
      <c r="BI477" s="182"/>
      <c r="BJ477" s="182"/>
      <c r="BK477" s="182"/>
      <c r="BL477" s="182"/>
      <c r="BM477" s="182"/>
      <c r="BN477" s="182"/>
      <c r="BO477" s="182"/>
      <c r="BP477" s="182"/>
      <c r="BQ477" s="182"/>
      <c r="BR477" s="182"/>
      <c r="BS477" s="182"/>
      <c r="BT477" s="182"/>
      <c r="BU477" s="182"/>
      <c r="BV477" s="182"/>
      <c r="BW477" s="182"/>
      <c r="BX477" s="182"/>
      <c r="BY477" s="182"/>
      <c r="BZ477" s="182"/>
      <c r="CA477" s="182"/>
      <c r="CB477" s="182"/>
      <c r="CC477" s="182"/>
      <c r="CD477" s="182"/>
      <c r="CE477" s="182"/>
      <c r="CF477" s="182"/>
      <c r="CG477" s="182"/>
      <c r="CH477" s="182"/>
      <c r="CI477" s="182"/>
      <c r="CJ477" s="182"/>
      <c r="CK477" s="182"/>
      <c r="CL477" s="182"/>
      <c r="CM477" s="182"/>
      <c r="CN477" s="182"/>
      <c r="CO477" s="182"/>
      <c r="CP477" s="182"/>
      <c r="CQ477" s="182"/>
      <c r="CR477" s="182"/>
      <c r="CS477" s="182"/>
      <c r="CT477" s="182"/>
      <c r="CU477" s="182"/>
      <c r="CV477" s="182"/>
      <c r="CW477" s="182"/>
      <c r="CX477" s="182"/>
      <c r="CY477" s="182"/>
      <c r="CZ477" s="182"/>
      <c r="DA477" s="182"/>
      <c r="DB477" s="182"/>
      <c r="DC477" s="182"/>
      <c r="DD477" s="182"/>
      <c r="DE477" s="182"/>
      <c r="DF477" s="182"/>
      <c r="DG477" s="182"/>
      <c r="DH477" s="182"/>
      <c r="DI477" s="182"/>
      <c r="DJ477" s="182"/>
      <c r="DK477" s="182"/>
      <c r="DL477" s="182"/>
      <c r="DM477" s="182"/>
      <c r="DN477" s="182"/>
      <c r="DO477" s="182"/>
      <c r="DP477" s="182"/>
      <c r="DQ477" s="182"/>
      <c r="DR477" s="182"/>
      <c r="DS477" s="182"/>
      <c r="DT477" s="182"/>
      <c r="DU477" s="182"/>
      <c r="DV477" s="182"/>
      <c r="DW477" s="182"/>
      <c r="DX477" s="182"/>
      <c r="DY477" s="182"/>
      <c r="DZ477" s="182"/>
      <c r="EA477" s="182"/>
      <c r="EB477" s="182"/>
      <c r="EC477" s="182"/>
      <c r="ED477" s="182"/>
      <c r="EE477" s="182"/>
      <c r="EF477" s="182"/>
      <c r="EG477" s="182"/>
      <c r="EH477" s="182"/>
      <c r="EI477" s="182"/>
      <c r="EJ477" s="182"/>
      <c r="EK477" s="182"/>
      <c r="EL477" s="182"/>
      <c r="EM477" s="182"/>
      <c r="EN477" s="182"/>
      <c r="EO477" s="182"/>
      <c r="EP477" s="182"/>
      <c r="EQ477" s="182"/>
      <c r="ER477" s="182"/>
      <c r="ES477" s="182"/>
      <c r="ET477" s="182"/>
      <c r="EU477" s="182"/>
      <c r="EV477" s="182"/>
      <c r="EW477" s="182"/>
      <c r="EX477" s="182"/>
      <c r="EY477" s="182"/>
      <c r="EZ477" s="182"/>
      <c r="FA477" s="182"/>
      <c r="FB477" s="182"/>
      <c r="FC477" s="182"/>
      <c r="FD477" s="182"/>
      <c r="FE477" s="182"/>
      <c r="FF477" s="182"/>
      <c r="FG477" s="182"/>
      <c r="FH477" s="182"/>
      <c r="FI477" s="182"/>
      <c r="FJ477" s="182"/>
      <c r="FK477" s="182"/>
      <c r="FL477" s="182"/>
      <c r="FM477" s="182"/>
      <c r="FN477" s="182"/>
      <c r="FO477" s="182"/>
      <c r="FP477" s="182"/>
      <c r="FQ477" s="182"/>
      <c r="FR477" s="182"/>
      <c r="FS477" s="182"/>
      <c r="FT477" s="182"/>
      <c r="FU477" s="182"/>
      <c r="FV477" s="182"/>
      <c r="FW477" s="182"/>
      <c r="FX477" s="182"/>
      <c r="FY477" s="182"/>
      <c r="FZ477" s="182"/>
      <c r="GA477" s="182"/>
      <c r="GB477" s="182"/>
      <c r="GC477" s="182"/>
      <c r="GD477" s="182"/>
      <c r="GE477" s="182"/>
      <c r="GF477" s="182"/>
      <c r="GG477" s="182"/>
      <c r="GH477" s="182"/>
      <c r="GI477" s="182"/>
    </row>
    <row r="478" spans="1:191" s="183" customFormat="1" x14ac:dyDescent="0.2">
      <c r="A478" s="210" t="s">
        <v>38783</v>
      </c>
      <c r="B478" s="210" t="s">
        <v>20739</v>
      </c>
      <c r="C478" s="224" t="s">
        <v>22582</v>
      </c>
      <c r="D478" s="211" t="s">
        <v>16</v>
      </c>
      <c r="E478" s="211">
        <v>15</v>
      </c>
      <c r="F478" s="211"/>
      <c r="G478" s="211">
        <v>0.3</v>
      </c>
      <c r="H478" s="212"/>
      <c r="I478" s="213"/>
      <c r="J478" s="272">
        <v>21.38</v>
      </c>
      <c r="K478" s="112">
        <f t="shared" si="29"/>
        <v>320.7</v>
      </c>
      <c r="L478" s="273">
        <f>BDI!$E$17</f>
        <v>0.11260000000000001</v>
      </c>
      <c r="M478" s="213"/>
      <c r="N478" s="213"/>
      <c r="O478" s="114">
        <f t="shared" si="30"/>
        <v>23.79</v>
      </c>
      <c r="P478" s="113">
        <f t="shared" si="31"/>
        <v>107.06</v>
      </c>
      <c r="Q478" s="209"/>
      <c r="R478" s="203"/>
      <c r="S478" s="182"/>
      <c r="T478" s="182"/>
      <c r="U478" s="182"/>
      <c r="V478" s="182"/>
      <c r="W478" s="182"/>
      <c r="X478" s="182"/>
      <c r="Y478" s="182"/>
      <c r="Z478" s="182"/>
      <c r="AA478" s="182"/>
      <c r="AB478" s="182"/>
      <c r="AC478" s="182"/>
      <c r="AD478" s="182"/>
      <c r="AE478" s="182"/>
      <c r="AF478" s="182"/>
      <c r="AG478" s="182"/>
      <c r="AH478" s="182"/>
      <c r="AI478" s="182"/>
      <c r="AJ478" s="182"/>
      <c r="AK478" s="182"/>
      <c r="AL478" s="182"/>
      <c r="AM478" s="182"/>
      <c r="AN478" s="182"/>
      <c r="AO478" s="182"/>
      <c r="AP478" s="182"/>
      <c r="AQ478" s="182"/>
      <c r="AR478" s="182"/>
      <c r="AS478" s="182"/>
      <c r="AT478" s="182"/>
      <c r="AU478" s="182"/>
      <c r="AV478" s="182"/>
      <c r="AW478" s="182"/>
      <c r="AX478" s="182"/>
      <c r="AY478" s="182"/>
      <c r="AZ478" s="182"/>
      <c r="BA478" s="182"/>
      <c r="BB478" s="182"/>
      <c r="BC478" s="182"/>
      <c r="BD478" s="182"/>
      <c r="BE478" s="182"/>
      <c r="BF478" s="182"/>
      <c r="BG478" s="182"/>
      <c r="BH478" s="182"/>
      <c r="BI478" s="182"/>
      <c r="BJ478" s="182"/>
      <c r="BK478" s="182"/>
      <c r="BL478" s="182"/>
      <c r="BM478" s="182"/>
      <c r="BN478" s="182"/>
      <c r="BO478" s="182"/>
      <c r="BP478" s="182"/>
      <c r="BQ478" s="182"/>
      <c r="BR478" s="182"/>
      <c r="BS478" s="182"/>
      <c r="BT478" s="182"/>
      <c r="BU478" s="182"/>
      <c r="BV478" s="182"/>
      <c r="BW478" s="182"/>
      <c r="BX478" s="182"/>
      <c r="BY478" s="182"/>
      <c r="BZ478" s="182"/>
      <c r="CA478" s="182"/>
      <c r="CB478" s="182"/>
      <c r="CC478" s="182"/>
      <c r="CD478" s="182"/>
      <c r="CE478" s="182"/>
      <c r="CF478" s="182"/>
      <c r="CG478" s="182"/>
      <c r="CH478" s="182"/>
      <c r="CI478" s="182"/>
      <c r="CJ478" s="182"/>
      <c r="CK478" s="182"/>
      <c r="CL478" s="182"/>
      <c r="CM478" s="182"/>
      <c r="CN478" s="182"/>
      <c r="CO478" s="182"/>
      <c r="CP478" s="182"/>
      <c r="CQ478" s="182"/>
      <c r="CR478" s="182"/>
      <c r="CS478" s="182"/>
      <c r="CT478" s="182"/>
      <c r="CU478" s="182"/>
      <c r="CV478" s="182"/>
      <c r="CW478" s="182"/>
      <c r="CX478" s="182"/>
      <c r="CY478" s="182"/>
      <c r="CZ478" s="182"/>
      <c r="DA478" s="182"/>
      <c r="DB478" s="182"/>
      <c r="DC478" s="182"/>
      <c r="DD478" s="182"/>
      <c r="DE478" s="182"/>
      <c r="DF478" s="182"/>
      <c r="DG478" s="182"/>
      <c r="DH478" s="182"/>
      <c r="DI478" s="182"/>
      <c r="DJ478" s="182"/>
      <c r="DK478" s="182"/>
      <c r="DL478" s="182"/>
      <c r="DM478" s="182"/>
      <c r="DN478" s="182"/>
      <c r="DO478" s="182"/>
      <c r="DP478" s="182"/>
      <c r="DQ478" s="182"/>
      <c r="DR478" s="182"/>
      <c r="DS478" s="182"/>
      <c r="DT478" s="182"/>
      <c r="DU478" s="182"/>
      <c r="DV478" s="182"/>
      <c r="DW478" s="182"/>
      <c r="DX478" s="182"/>
      <c r="DY478" s="182"/>
      <c r="DZ478" s="182"/>
      <c r="EA478" s="182"/>
      <c r="EB478" s="182"/>
      <c r="EC478" s="182"/>
      <c r="ED478" s="182"/>
      <c r="EE478" s="182"/>
      <c r="EF478" s="182"/>
      <c r="EG478" s="182"/>
      <c r="EH478" s="182"/>
      <c r="EI478" s="182"/>
      <c r="EJ478" s="182"/>
      <c r="EK478" s="182"/>
      <c r="EL478" s="182"/>
      <c r="EM478" s="182"/>
      <c r="EN478" s="182"/>
      <c r="EO478" s="182"/>
      <c r="EP478" s="182"/>
      <c r="EQ478" s="182"/>
      <c r="ER478" s="182"/>
      <c r="ES478" s="182"/>
      <c r="ET478" s="182"/>
      <c r="EU478" s="182"/>
      <c r="EV478" s="182"/>
      <c r="EW478" s="182"/>
      <c r="EX478" s="182"/>
      <c r="EY478" s="182"/>
      <c r="EZ478" s="182"/>
      <c r="FA478" s="182"/>
      <c r="FB478" s="182"/>
      <c r="FC478" s="182"/>
      <c r="FD478" s="182"/>
      <c r="FE478" s="182"/>
      <c r="FF478" s="182"/>
      <c r="FG478" s="182"/>
      <c r="FH478" s="182"/>
      <c r="FI478" s="182"/>
      <c r="FJ478" s="182"/>
      <c r="FK478" s="182"/>
      <c r="FL478" s="182"/>
      <c r="FM478" s="182"/>
      <c r="FN478" s="182"/>
      <c r="FO478" s="182"/>
      <c r="FP478" s="182"/>
      <c r="FQ478" s="182"/>
      <c r="FR478" s="182"/>
      <c r="FS478" s="182"/>
      <c r="FT478" s="182"/>
      <c r="FU478" s="182"/>
      <c r="FV478" s="182"/>
      <c r="FW478" s="182"/>
      <c r="FX478" s="182"/>
      <c r="FY478" s="182"/>
      <c r="FZ478" s="182"/>
      <c r="GA478" s="182"/>
      <c r="GB478" s="182"/>
      <c r="GC478" s="182"/>
      <c r="GD478" s="182"/>
      <c r="GE478" s="182"/>
      <c r="GF478" s="182"/>
      <c r="GG478" s="182"/>
      <c r="GH478" s="182"/>
      <c r="GI478" s="182"/>
    </row>
    <row r="479" spans="1:191" s="183" customFormat="1" x14ac:dyDescent="0.2">
      <c r="A479" s="210" t="s">
        <v>38784</v>
      </c>
      <c r="B479" s="210" t="s">
        <v>20740</v>
      </c>
      <c r="C479" s="224" t="s">
        <v>22583</v>
      </c>
      <c r="D479" s="211" t="s">
        <v>69</v>
      </c>
      <c r="E479" s="211">
        <v>30</v>
      </c>
      <c r="F479" s="211"/>
      <c r="G479" s="211">
        <v>0.3</v>
      </c>
      <c r="H479" s="212"/>
      <c r="I479" s="213"/>
      <c r="J479" s="272">
        <v>167.26</v>
      </c>
      <c r="K479" s="112">
        <f t="shared" si="29"/>
        <v>5017.8</v>
      </c>
      <c r="L479" s="273">
        <f>BDI!$E$17</f>
        <v>0.11260000000000001</v>
      </c>
      <c r="M479" s="213"/>
      <c r="N479" s="213"/>
      <c r="O479" s="114">
        <f t="shared" si="30"/>
        <v>186.09</v>
      </c>
      <c r="P479" s="113">
        <f t="shared" si="31"/>
        <v>1674.81</v>
      </c>
      <c r="Q479" s="209"/>
      <c r="R479" s="203"/>
      <c r="S479" s="182"/>
      <c r="T479" s="182"/>
      <c r="U479" s="182"/>
      <c r="V479" s="182"/>
      <c r="W479" s="182"/>
      <c r="X479" s="182"/>
      <c r="Y479" s="182"/>
      <c r="Z479" s="182"/>
      <c r="AA479" s="182"/>
      <c r="AB479" s="182"/>
      <c r="AC479" s="182"/>
      <c r="AD479" s="182"/>
      <c r="AE479" s="182"/>
      <c r="AF479" s="182"/>
      <c r="AG479" s="182"/>
      <c r="AH479" s="182"/>
      <c r="AI479" s="182"/>
      <c r="AJ479" s="182"/>
      <c r="AK479" s="182"/>
      <c r="AL479" s="182"/>
      <c r="AM479" s="182"/>
      <c r="AN479" s="182"/>
      <c r="AO479" s="182"/>
      <c r="AP479" s="182"/>
      <c r="AQ479" s="182"/>
      <c r="AR479" s="182"/>
      <c r="AS479" s="182"/>
      <c r="AT479" s="182"/>
      <c r="AU479" s="182"/>
      <c r="AV479" s="182"/>
      <c r="AW479" s="182"/>
      <c r="AX479" s="182"/>
      <c r="AY479" s="182"/>
      <c r="AZ479" s="182"/>
      <c r="BA479" s="182"/>
      <c r="BB479" s="182"/>
      <c r="BC479" s="182"/>
      <c r="BD479" s="182"/>
      <c r="BE479" s="182"/>
      <c r="BF479" s="182"/>
      <c r="BG479" s="182"/>
      <c r="BH479" s="182"/>
      <c r="BI479" s="182"/>
      <c r="BJ479" s="182"/>
      <c r="BK479" s="182"/>
      <c r="BL479" s="182"/>
      <c r="BM479" s="182"/>
      <c r="BN479" s="182"/>
      <c r="BO479" s="182"/>
      <c r="BP479" s="182"/>
      <c r="BQ479" s="182"/>
      <c r="BR479" s="182"/>
      <c r="BS479" s="182"/>
      <c r="BT479" s="182"/>
      <c r="BU479" s="182"/>
      <c r="BV479" s="182"/>
      <c r="BW479" s="182"/>
      <c r="BX479" s="182"/>
      <c r="BY479" s="182"/>
      <c r="BZ479" s="182"/>
      <c r="CA479" s="182"/>
      <c r="CB479" s="182"/>
      <c r="CC479" s="182"/>
      <c r="CD479" s="182"/>
      <c r="CE479" s="182"/>
      <c r="CF479" s="182"/>
      <c r="CG479" s="182"/>
      <c r="CH479" s="182"/>
      <c r="CI479" s="182"/>
      <c r="CJ479" s="182"/>
      <c r="CK479" s="182"/>
      <c r="CL479" s="182"/>
      <c r="CM479" s="182"/>
      <c r="CN479" s="182"/>
      <c r="CO479" s="182"/>
      <c r="CP479" s="182"/>
      <c r="CQ479" s="182"/>
      <c r="CR479" s="182"/>
      <c r="CS479" s="182"/>
      <c r="CT479" s="182"/>
      <c r="CU479" s="182"/>
      <c r="CV479" s="182"/>
      <c r="CW479" s="182"/>
      <c r="CX479" s="182"/>
      <c r="CY479" s="182"/>
      <c r="CZ479" s="182"/>
      <c r="DA479" s="182"/>
      <c r="DB479" s="182"/>
      <c r="DC479" s="182"/>
      <c r="DD479" s="182"/>
      <c r="DE479" s="182"/>
      <c r="DF479" s="182"/>
      <c r="DG479" s="182"/>
      <c r="DH479" s="182"/>
      <c r="DI479" s="182"/>
      <c r="DJ479" s="182"/>
      <c r="DK479" s="182"/>
      <c r="DL479" s="182"/>
      <c r="DM479" s="182"/>
      <c r="DN479" s="182"/>
      <c r="DO479" s="182"/>
      <c r="DP479" s="182"/>
      <c r="DQ479" s="182"/>
      <c r="DR479" s="182"/>
      <c r="DS479" s="182"/>
      <c r="DT479" s="182"/>
      <c r="DU479" s="182"/>
      <c r="DV479" s="182"/>
      <c r="DW479" s="182"/>
      <c r="DX479" s="182"/>
      <c r="DY479" s="182"/>
      <c r="DZ479" s="182"/>
      <c r="EA479" s="182"/>
      <c r="EB479" s="182"/>
      <c r="EC479" s="182"/>
      <c r="ED479" s="182"/>
      <c r="EE479" s="182"/>
      <c r="EF479" s="182"/>
      <c r="EG479" s="182"/>
      <c r="EH479" s="182"/>
      <c r="EI479" s="182"/>
      <c r="EJ479" s="182"/>
      <c r="EK479" s="182"/>
      <c r="EL479" s="182"/>
      <c r="EM479" s="182"/>
      <c r="EN479" s="182"/>
      <c r="EO479" s="182"/>
      <c r="EP479" s="182"/>
      <c r="EQ479" s="182"/>
      <c r="ER479" s="182"/>
      <c r="ES479" s="182"/>
      <c r="ET479" s="182"/>
      <c r="EU479" s="182"/>
      <c r="EV479" s="182"/>
      <c r="EW479" s="182"/>
      <c r="EX479" s="182"/>
      <c r="EY479" s="182"/>
      <c r="EZ479" s="182"/>
      <c r="FA479" s="182"/>
      <c r="FB479" s="182"/>
      <c r="FC479" s="182"/>
      <c r="FD479" s="182"/>
      <c r="FE479" s="182"/>
      <c r="FF479" s="182"/>
      <c r="FG479" s="182"/>
      <c r="FH479" s="182"/>
      <c r="FI479" s="182"/>
      <c r="FJ479" s="182"/>
      <c r="FK479" s="182"/>
      <c r="FL479" s="182"/>
      <c r="FM479" s="182"/>
      <c r="FN479" s="182"/>
      <c r="FO479" s="182"/>
      <c r="FP479" s="182"/>
      <c r="FQ479" s="182"/>
      <c r="FR479" s="182"/>
      <c r="FS479" s="182"/>
      <c r="FT479" s="182"/>
      <c r="FU479" s="182"/>
      <c r="FV479" s="182"/>
      <c r="FW479" s="182"/>
      <c r="FX479" s="182"/>
      <c r="FY479" s="182"/>
      <c r="FZ479" s="182"/>
      <c r="GA479" s="182"/>
      <c r="GB479" s="182"/>
      <c r="GC479" s="182"/>
      <c r="GD479" s="182"/>
      <c r="GE479" s="182"/>
      <c r="GF479" s="182"/>
      <c r="GG479" s="182"/>
      <c r="GH479" s="182"/>
      <c r="GI479" s="182"/>
    </row>
    <row r="480" spans="1:191" s="183" customFormat="1" x14ac:dyDescent="0.2">
      <c r="A480" s="210" t="s">
        <v>38785</v>
      </c>
      <c r="B480" s="210" t="s">
        <v>20741</v>
      </c>
      <c r="C480" s="224" t="s">
        <v>22584</v>
      </c>
      <c r="D480" s="211" t="s">
        <v>16</v>
      </c>
      <c r="E480" s="211">
        <v>15</v>
      </c>
      <c r="F480" s="211"/>
      <c r="G480" s="211">
        <v>0.3</v>
      </c>
      <c r="H480" s="212"/>
      <c r="I480" s="213"/>
      <c r="J480" s="272">
        <v>52.83</v>
      </c>
      <c r="K480" s="112">
        <f t="shared" si="29"/>
        <v>792.45</v>
      </c>
      <c r="L480" s="273">
        <f>BDI!$E$17</f>
        <v>0.11260000000000001</v>
      </c>
      <c r="M480" s="213"/>
      <c r="N480" s="213"/>
      <c r="O480" s="114">
        <f t="shared" si="30"/>
        <v>58.78</v>
      </c>
      <c r="P480" s="113">
        <f t="shared" si="31"/>
        <v>264.51</v>
      </c>
      <c r="Q480" s="209"/>
      <c r="R480" s="203"/>
      <c r="S480" s="182"/>
      <c r="T480" s="182"/>
      <c r="U480" s="182"/>
      <c r="V480" s="182"/>
      <c r="W480" s="182"/>
      <c r="X480" s="182"/>
      <c r="Y480" s="182"/>
      <c r="Z480" s="182"/>
      <c r="AA480" s="182"/>
      <c r="AB480" s="182"/>
      <c r="AC480" s="182"/>
      <c r="AD480" s="182"/>
      <c r="AE480" s="182"/>
      <c r="AF480" s="182"/>
      <c r="AG480" s="182"/>
      <c r="AH480" s="182"/>
      <c r="AI480" s="182"/>
      <c r="AJ480" s="182"/>
      <c r="AK480" s="182"/>
      <c r="AL480" s="182"/>
      <c r="AM480" s="182"/>
      <c r="AN480" s="182"/>
      <c r="AO480" s="182"/>
      <c r="AP480" s="182"/>
      <c r="AQ480" s="182"/>
      <c r="AR480" s="182"/>
      <c r="AS480" s="182"/>
      <c r="AT480" s="182"/>
      <c r="AU480" s="182"/>
      <c r="AV480" s="182"/>
      <c r="AW480" s="182"/>
      <c r="AX480" s="182"/>
      <c r="AY480" s="182"/>
      <c r="AZ480" s="182"/>
      <c r="BA480" s="182"/>
      <c r="BB480" s="182"/>
      <c r="BC480" s="182"/>
      <c r="BD480" s="182"/>
      <c r="BE480" s="182"/>
      <c r="BF480" s="182"/>
      <c r="BG480" s="182"/>
      <c r="BH480" s="182"/>
      <c r="BI480" s="182"/>
      <c r="BJ480" s="182"/>
      <c r="BK480" s="182"/>
      <c r="BL480" s="182"/>
      <c r="BM480" s="182"/>
      <c r="BN480" s="182"/>
      <c r="BO480" s="182"/>
      <c r="BP480" s="182"/>
      <c r="BQ480" s="182"/>
      <c r="BR480" s="182"/>
      <c r="BS480" s="182"/>
      <c r="BT480" s="182"/>
      <c r="BU480" s="182"/>
      <c r="BV480" s="182"/>
      <c r="BW480" s="182"/>
      <c r="BX480" s="182"/>
      <c r="BY480" s="182"/>
      <c r="BZ480" s="182"/>
      <c r="CA480" s="182"/>
      <c r="CB480" s="182"/>
      <c r="CC480" s="182"/>
      <c r="CD480" s="182"/>
      <c r="CE480" s="182"/>
      <c r="CF480" s="182"/>
      <c r="CG480" s="182"/>
      <c r="CH480" s="182"/>
      <c r="CI480" s="182"/>
      <c r="CJ480" s="182"/>
      <c r="CK480" s="182"/>
      <c r="CL480" s="182"/>
      <c r="CM480" s="182"/>
      <c r="CN480" s="182"/>
      <c r="CO480" s="182"/>
      <c r="CP480" s="182"/>
      <c r="CQ480" s="182"/>
      <c r="CR480" s="182"/>
      <c r="CS480" s="182"/>
      <c r="CT480" s="182"/>
      <c r="CU480" s="182"/>
      <c r="CV480" s="182"/>
      <c r="CW480" s="182"/>
      <c r="CX480" s="182"/>
      <c r="CY480" s="182"/>
      <c r="CZ480" s="182"/>
      <c r="DA480" s="182"/>
      <c r="DB480" s="182"/>
      <c r="DC480" s="182"/>
      <c r="DD480" s="182"/>
      <c r="DE480" s="182"/>
      <c r="DF480" s="182"/>
      <c r="DG480" s="182"/>
      <c r="DH480" s="182"/>
      <c r="DI480" s="182"/>
      <c r="DJ480" s="182"/>
      <c r="DK480" s="182"/>
      <c r="DL480" s="182"/>
      <c r="DM480" s="182"/>
      <c r="DN480" s="182"/>
      <c r="DO480" s="182"/>
      <c r="DP480" s="182"/>
      <c r="DQ480" s="182"/>
      <c r="DR480" s="182"/>
      <c r="DS480" s="182"/>
      <c r="DT480" s="182"/>
      <c r="DU480" s="182"/>
      <c r="DV480" s="182"/>
      <c r="DW480" s="182"/>
      <c r="DX480" s="182"/>
      <c r="DY480" s="182"/>
      <c r="DZ480" s="182"/>
      <c r="EA480" s="182"/>
      <c r="EB480" s="182"/>
      <c r="EC480" s="182"/>
      <c r="ED480" s="182"/>
      <c r="EE480" s="182"/>
      <c r="EF480" s="182"/>
      <c r="EG480" s="182"/>
      <c r="EH480" s="182"/>
      <c r="EI480" s="182"/>
      <c r="EJ480" s="182"/>
      <c r="EK480" s="182"/>
      <c r="EL480" s="182"/>
      <c r="EM480" s="182"/>
      <c r="EN480" s="182"/>
      <c r="EO480" s="182"/>
      <c r="EP480" s="182"/>
      <c r="EQ480" s="182"/>
      <c r="ER480" s="182"/>
      <c r="ES480" s="182"/>
      <c r="ET480" s="182"/>
      <c r="EU480" s="182"/>
      <c r="EV480" s="182"/>
      <c r="EW480" s="182"/>
      <c r="EX480" s="182"/>
      <c r="EY480" s="182"/>
      <c r="EZ480" s="182"/>
      <c r="FA480" s="182"/>
      <c r="FB480" s="182"/>
      <c r="FC480" s="182"/>
      <c r="FD480" s="182"/>
      <c r="FE480" s="182"/>
      <c r="FF480" s="182"/>
      <c r="FG480" s="182"/>
      <c r="FH480" s="182"/>
      <c r="FI480" s="182"/>
      <c r="FJ480" s="182"/>
      <c r="FK480" s="182"/>
      <c r="FL480" s="182"/>
      <c r="FM480" s="182"/>
      <c r="FN480" s="182"/>
      <c r="FO480" s="182"/>
      <c r="FP480" s="182"/>
      <c r="FQ480" s="182"/>
      <c r="FR480" s="182"/>
      <c r="FS480" s="182"/>
      <c r="FT480" s="182"/>
      <c r="FU480" s="182"/>
      <c r="FV480" s="182"/>
      <c r="FW480" s="182"/>
      <c r="FX480" s="182"/>
      <c r="FY480" s="182"/>
      <c r="FZ480" s="182"/>
      <c r="GA480" s="182"/>
      <c r="GB480" s="182"/>
      <c r="GC480" s="182"/>
      <c r="GD480" s="182"/>
      <c r="GE480" s="182"/>
      <c r="GF480" s="182"/>
      <c r="GG480" s="182"/>
      <c r="GH480" s="182"/>
      <c r="GI480" s="182"/>
    </row>
    <row r="481" spans="1:191" s="183" customFormat="1" x14ac:dyDescent="0.2">
      <c r="A481" s="210" t="s">
        <v>38786</v>
      </c>
      <c r="B481" s="210" t="s">
        <v>20742</v>
      </c>
      <c r="C481" s="224" t="s">
        <v>22585</v>
      </c>
      <c r="D481" s="211" t="s">
        <v>16</v>
      </c>
      <c r="E481" s="211">
        <v>15</v>
      </c>
      <c r="F481" s="211"/>
      <c r="G481" s="211">
        <v>0.3</v>
      </c>
      <c r="H481" s="212"/>
      <c r="I481" s="213"/>
      <c r="J481" s="272">
        <v>27.12</v>
      </c>
      <c r="K481" s="112">
        <f t="shared" ref="K481:K515" si="32">IF(ISNUMBER(J481),ROUND(E481*J481,2),"")</f>
        <v>406.8</v>
      </c>
      <c r="L481" s="273">
        <f>BDI!$E$17</f>
        <v>0.11260000000000001</v>
      </c>
      <c r="M481" s="213"/>
      <c r="N481" s="213"/>
      <c r="O481" s="114">
        <f t="shared" ref="O481:O515" si="33">IF(ISNUMBER(J481),ROUND(J481*(1+L481),2),"")</f>
        <v>30.17</v>
      </c>
      <c r="P481" s="113">
        <f t="shared" ref="P481:P515" si="34">IF(ISNUMBER(J481),ROUND(G481*O481*E481,2),"")</f>
        <v>135.77000000000001</v>
      </c>
      <c r="Q481" s="209"/>
      <c r="R481" s="203"/>
      <c r="S481" s="182"/>
      <c r="T481" s="182"/>
      <c r="U481" s="182"/>
      <c r="V481" s="182"/>
      <c r="W481" s="182"/>
      <c r="X481" s="182"/>
      <c r="Y481" s="182"/>
      <c r="Z481" s="182"/>
      <c r="AA481" s="182"/>
      <c r="AB481" s="182"/>
      <c r="AC481" s="182"/>
      <c r="AD481" s="182"/>
      <c r="AE481" s="182"/>
      <c r="AF481" s="182"/>
      <c r="AG481" s="182"/>
      <c r="AH481" s="182"/>
      <c r="AI481" s="182"/>
      <c r="AJ481" s="182"/>
      <c r="AK481" s="182"/>
      <c r="AL481" s="182"/>
      <c r="AM481" s="182"/>
      <c r="AN481" s="182"/>
      <c r="AO481" s="182"/>
      <c r="AP481" s="182"/>
      <c r="AQ481" s="182"/>
      <c r="AR481" s="182"/>
      <c r="AS481" s="182"/>
      <c r="AT481" s="182"/>
      <c r="AU481" s="182"/>
      <c r="AV481" s="182"/>
      <c r="AW481" s="182"/>
      <c r="AX481" s="182"/>
      <c r="AY481" s="182"/>
      <c r="AZ481" s="182"/>
      <c r="BA481" s="182"/>
      <c r="BB481" s="182"/>
      <c r="BC481" s="182"/>
      <c r="BD481" s="182"/>
      <c r="BE481" s="182"/>
      <c r="BF481" s="182"/>
      <c r="BG481" s="182"/>
      <c r="BH481" s="182"/>
      <c r="BI481" s="182"/>
      <c r="BJ481" s="182"/>
      <c r="BK481" s="182"/>
      <c r="BL481" s="182"/>
      <c r="BM481" s="182"/>
      <c r="BN481" s="182"/>
      <c r="BO481" s="182"/>
      <c r="BP481" s="182"/>
      <c r="BQ481" s="182"/>
      <c r="BR481" s="182"/>
      <c r="BS481" s="182"/>
      <c r="BT481" s="182"/>
      <c r="BU481" s="182"/>
      <c r="BV481" s="182"/>
      <c r="BW481" s="182"/>
      <c r="BX481" s="182"/>
      <c r="BY481" s="182"/>
      <c r="BZ481" s="182"/>
      <c r="CA481" s="182"/>
      <c r="CB481" s="182"/>
      <c r="CC481" s="182"/>
      <c r="CD481" s="182"/>
      <c r="CE481" s="182"/>
      <c r="CF481" s="182"/>
      <c r="CG481" s="182"/>
      <c r="CH481" s="182"/>
      <c r="CI481" s="182"/>
      <c r="CJ481" s="182"/>
      <c r="CK481" s="182"/>
      <c r="CL481" s="182"/>
      <c r="CM481" s="182"/>
      <c r="CN481" s="182"/>
      <c r="CO481" s="182"/>
      <c r="CP481" s="182"/>
      <c r="CQ481" s="182"/>
      <c r="CR481" s="182"/>
      <c r="CS481" s="182"/>
      <c r="CT481" s="182"/>
      <c r="CU481" s="182"/>
      <c r="CV481" s="182"/>
      <c r="CW481" s="182"/>
      <c r="CX481" s="182"/>
      <c r="CY481" s="182"/>
      <c r="CZ481" s="182"/>
      <c r="DA481" s="182"/>
      <c r="DB481" s="182"/>
      <c r="DC481" s="182"/>
      <c r="DD481" s="182"/>
      <c r="DE481" s="182"/>
      <c r="DF481" s="182"/>
      <c r="DG481" s="182"/>
      <c r="DH481" s="182"/>
      <c r="DI481" s="182"/>
      <c r="DJ481" s="182"/>
      <c r="DK481" s="182"/>
      <c r="DL481" s="182"/>
      <c r="DM481" s="182"/>
      <c r="DN481" s="182"/>
      <c r="DO481" s="182"/>
      <c r="DP481" s="182"/>
      <c r="DQ481" s="182"/>
      <c r="DR481" s="182"/>
      <c r="DS481" s="182"/>
      <c r="DT481" s="182"/>
      <c r="DU481" s="182"/>
      <c r="DV481" s="182"/>
      <c r="DW481" s="182"/>
      <c r="DX481" s="182"/>
      <c r="DY481" s="182"/>
      <c r="DZ481" s="182"/>
      <c r="EA481" s="182"/>
      <c r="EB481" s="182"/>
      <c r="EC481" s="182"/>
      <c r="ED481" s="182"/>
      <c r="EE481" s="182"/>
      <c r="EF481" s="182"/>
      <c r="EG481" s="182"/>
      <c r="EH481" s="182"/>
      <c r="EI481" s="182"/>
      <c r="EJ481" s="182"/>
      <c r="EK481" s="182"/>
      <c r="EL481" s="182"/>
      <c r="EM481" s="182"/>
      <c r="EN481" s="182"/>
      <c r="EO481" s="182"/>
      <c r="EP481" s="182"/>
      <c r="EQ481" s="182"/>
      <c r="ER481" s="182"/>
      <c r="ES481" s="182"/>
      <c r="ET481" s="182"/>
      <c r="EU481" s="182"/>
      <c r="EV481" s="182"/>
      <c r="EW481" s="182"/>
      <c r="EX481" s="182"/>
      <c r="EY481" s="182"/>
      <c r="EZ481" s="182"/>
      <c r="FA481" s="182"/>
      <c r="FB481" s="182"/>
      <c r="FC481" s="182"/>
      <c r="FD481" s="182"/>
      <c r="FE481" s="182"/>
      <c r="FF481" s="182"/>
      <c r="FG481" s="182"/>
      <c r="FH481" s="182"/>
      <c r="FI481" s="182"/>
      <c r="FJ481" s="182"/>
      <c r="FK481" s="182"/>
      <c r="FL481" s="182"/>
      <c r="FM481" s="182"/>
      <c r="FN481" s="182"/>
      <c r="FO481" s="182"/>
      <c r="FP481" s="182"/>
      <c r="FQ481" s="182"/>
      <c r="FR481" s="182"/>
      <c r="FS481" s="182"/>
      <c r="FT481" s="182"/>
      <c r="FU481" s="182"/>
      <c r="FV481" s="182"/>
      <c r="FW481" s="182"/>
      <c r="FX481" s="182"/>
      <c r="FY481" s="182"/>
      <c r="FZ481" s="182"/>
      <c r="GA481" s="182"/>
      <c r="GB481" s="182"/>
      <c r="GC481" s="182"/>
      <c r="GD481" s="182"/>
      <c r="GE481" s="182"/>
      <c r="GF481" s="182"/>
      <c r="GG481" s="182"/>
      <c r="GH481" s="182"/>
      <c r="GI481" s="182"/>
    </row>
    <row r="482" spans="1:191" s="183" customFormat="1" ht="25.5" x14ac:dyDescent="0.2">
      <c r="A482" s="210" t="s">
        <v>38787</v>
      </c>
      <c r="B482" s="210" t="s">
        <v>20743</v>
      </c>
      <c r="C482" s="224" t="s">
        <v>22586</v>
      </c>
      <c r="D482" s="211" t="s">
        <v>69</v>
      </c>
      <c r="E482" s="211">
        <v>1500</v>
      </c>
      <c r="F482" s="211"/>
      <c r="G482" s="211">
        <v>0.3</v>
      </c>
      <c r="H482" s="212"/>
      <c r="I482" s="213"/>
      <c r="J482" s="272">
        <v>8.86</v>
      </c>
      <c r="K482" s="112">
        <f t="shared" si="32"/>
        <v>13290</v>
      </c>
      <c r="L482" s="273">
        <f>BDI!$E$17</f>
        <v>0.11260000000000001</v>
      </c>
      <c r="M482" s="213"/>
      <c r="N482" s="213"/>
      <c r="O482" s="114">
        <f t="shared" si="33"/>
        <v>9.86</v>
      </c>
      <c r="P482" s="113">
        <f t="shared" si="34"/>
        <v>4437</v>
      </c>
      <c r="Q482" s="209"/>
      <c r="R482" s="203"/>
      <c r="S482" s="182"/>
      <c r="T482" s="182"/>
      <c r="U482" s="182"/>
      <c r="V482" s="182"/>
      <c r="W482" s="182"/>
      <c r="X482" s="182"/>
      <c r="Y482" s="182"/>
      <c r="Z482" s="182"/>
      <c r="AA482" s="182"/>
      <c r="AB482" s="182"/>
      <c r="AC482" s="182"/>
      <c r="AD482" s="182"/>
      <c r="AE482" s="182"/>
      <c r="AF482" s="182"/>
      <c r="AG482" s="182"/>
      <c r="AH482" s="182"/>
      <c r="AI482" s="182"/>
      <c r="AJ482" s="182"/>
      <c r="AK482" s="182"/>
      <c r="AL482" s="182"/>
      <c r="AM482" s="182"/>
      <c r="AN482" s="182"/>
      <c r="AO482" s="182"/>
      <c r="AP482" s="182"/>
      <c r="AQ482" s="182"/>
      <c r="AR482" s="182"/>
      <c r="AS482" s="182"/>
      <c r="AT482" s="182"/>
      <c r="AU482" s="182"/>
      <c r="AV482" s="182"/>
      <c r="AW482" s="182"/>
      <c r="AX482" s="182"/>
      <c r="AY482" s="182"/>
      <c r="AZ482" s="182"/>
      <c r="BA482" s="182"/>
      <c r="BB482" s="182"/>
      <c r="BC482" s="182"/>
      <c r="BD482" s="182"/>
      <c r="BE482" s="182"/>
      <c r="BF482" s="182"/>
      <c r="BG482" s="182"/>
      <c r="BH482" s="182"/>
      <c r="BI482" s="182"/>
      <c r="BJ482" s="182"/>
      <c r="BK482" s="182"/>
      <c r="BL482" s="182"/>
      <c r="BM482" s="182"/>
      <c r="BN482" s="182"/>
      <c r="BO482" s="182"/>
      <c r="BP482" s="182"/>
      <c r="BQ482" s="182"/>
      <c r="BR482" s="182"/>
      <c r="BS482" s="182"/>
      <c r="BT482" s="182"/>
      <c r="BU482" s="182"/>
      <c r="BV482" s="182"/>
      <c r="BW482" s="182"/>
      <c r="BX482" s="182"/>
      <c r="BY482" s="182"/>
      <c r="BZ482" s="182"/>
      <c r="CA482" s="182"/>
      <c r="CB482" s="182"/>
      <c r="CC482" s="182"/>
      <c r="CD482" s="182"/>
      <c r="CE482" s="182"/>
      <c r="CF482" s="182"/>
      <c r="CG482" s="182"/>
      <c r="CH482" s="182"/>
      <c r="CI482" s="182"/>
      <c r="CJ482" s="182"/>
      <c r="CK482" s="182"/>
      <c r="CL482" s="182"/>
      <c r="CM482" s="182"/>
      <c r="CN482" s="182"/>
      <c r="CO482" s="182"/>
      <c r="CP482" s="182"/>
      <c r="CQ482" s="182"/>
      <c r="CR482" s="182"/>
      <c r="CS482" s="182"/>
      <c r="CT482" s="182"/>
      <c r="CU482" s="182"/>
      <c r="CV482" s="182"/>
      <c r="CW482" s="182"/>
      <c r="CX482" s="182"/>
      <c r="CY482" s="182"/>
      <c r="CZ482" s="182"/>
      <c r="DA482" s="182"/>
      <c r="DB482" s="182"/>
      <c r="DC482" s="182"/>
      <c r="DD482" s="182"/>
      <c r="DE482" s="182"/>
      <c r="DF482" s="182"/>
      <c r="DG482" s="182"/>
      <c r="DH482" s="182"/>
      <c r="DI482" s="182"/>
      <c r="DJ482" s="182"/>
      <c r="DK482" s="182"/>
      <c r="DL482" s="182"/>
      <c r="DM482" s="182"/>
      <c r="DN482" s="182"/>
      <c r="DO482" s="182"/>
      <c r="DP482" s="182"/>
      <c r="DQ482" s="182"/>
      <c r="DR482" s="182"/>
      <c r="DS482" s="182"/>
      <c r="DT482" s="182"/>
      <c r="DU482" s="182"/>
      <c r="DV482" s="182"/>
      <c r="DW482" s="182"/>
      <c r="DX482" s="182"/>
      <c r="DY482" s="182"/>
      <c r="DZ482" s="182"/>
      <c r="EA482" s="182"/>
      <c r="EB482" s="182"/>
      <c r="EC482" s="182"/>
      <c r="ED482" s="182"/>
      <c r="EE482" s="182"/>
      <c r="EF482" s="182"/>
      <c r="EG482" s="182"/>
      <c r="EH482" s="182"/>
      <c r="EI482" s="182"/>
      <c r="EJ482" s="182"/>
      <c r="EK482" s="182"/>
      <c r="EL482" s="182"/>
      <c r="EM482" s="182"/>
      <c r="EN482" s="182"/>
      <c r="EO482" s="182"/>
      <c r="EP482" s="182"/>
      <c r="EQ482" s="182"/>
      <c r="ER482" s="182"/>
      <c r="ES482" s="182"/>
      <c r="ET482" s="182"/>
      <c r="EU482" s="182"/>
      <c r="EV482" s="182"/>
      <c r="EW482" s="182"/>
      <c r="EX482" s="182"/>
      <c r="EY482" s="182"/>
      <c r="EZ482" s="182"/>
      <c r="FA482" s="182"/>
      <c r="FB482" s="182"/>
      <c r="FC482" s="182"/>
      <c r="FD482" s="182"/>
      <c r="FE482" s="182"/>
      <c r="FF482" s="182"/>
      <c r="FG482" s="182"/>
      <c r="FH482" s="182"/>
      <c r="FI482" s="182"/>
      <c r="FJ482" s="182"/>
      <c r="FK482" s="182"/>
      <c r="FL482" s="182"/>
      <c r="FM482" s="182"/>
      <c r="FN482" s="182"/>
      <c r="FO482" s="182"/>
      <c r="FP482" s="182"/>
      <c r="FQ482" s="182"/>
      <c r="FR482" s="182"/>
      <c r="FS482" s="182"/>
      <c r="FT482" s="182"/>
      <c r="FU482" s="182"/>
      <c r="FV482" s="182"/>
      <c r="FW482" s="182"/>
      <c r="FX482" s="182"/>
      <c r="FY482" s="182"/>
      <c r="FZ482" s="182"/>
      <c r="GA482" s="182"/>
      <c r="GB482" s="182"/>
      <c r="GC482" s="182"/>
      <c r="GD482" s="182"/>
      <c r="GE482" s="182"/>
      <c r="GF482" s="182"/>
      <c r="GG482" s="182"/>
      <c r="GH482" s="182"/>
      <c r="GI482" s="182"/>
    </row>
    <row r="483" spans="1:191" s="183" customFormat="1" ht="25.5" x14ac:dyDescent="0.2">
      <c r="A483" s="210" t="s">
        <v>38788</v>
      </c>
      <c r="B483" s="210" t="s">
        <v>20744</v>
      </c>
      <c r="C483" s="224" t="s">
        <v>22587</v>
      </c>
      <c r="D483" s="211" t="s">
        <v>69</v>
      </c>
      <c r="E483" s="211">
        <v>1500</v>
      </c>
      <c r="F483" s="211"/>
      <c r="G483" s="211">
        <v>0.3</v>
      </c>
      <c r="H483" s="212"/>
      <c r="I483" s="213"/>
      <c r="J483" s="272">
        <v>10.28</v>
      </c>
      <c r="K483" s="112">
        <f t="shared" si="32"/>
        <v>15420</v>
      </c>
      <c r="L483" s="273">
        <f>BDI!$E$17</f>
        <v>0.11260000000000001</v>
      </c>
      <c r="M483" s="213"/>
      <c r="N483" s="213"/>
      <c r="O483" s="114">
        <f t="shared" si="33"/>
        <v>11.44</v>
      </c>
      <c r="P483" s="113">
        <f t="shared" si="34"/>
        <v>5148</v>
      </c>
      <c r="Q483" s="209"/>
      <c r="R483" s="203"/>
      <c r="S483" s="182"/>
      <c r="T483" s="182"/>
      <c r="U483" s="182"/>
      <c r="V483" s="182"/>
      <c r="W483" s="182"/>
      <c r="X483" s="182"/>
      <c r="Y483" s="182"/>
      <c r="Z483" s="182"/>
      <c r="AA483" s="182"/>
      <c r="AB483" s="182"/>
      <c r="AC483" s="182"/>
      <c r="AD483" s="182"/>
      <c r="AE483" s="182"/>
      <c r="AF483" s="182"/>
      <c r="AG483" s="182"/>
      <c r="AH483" s="182"/>
      <c r="AI483" s="182"/>
      <c r="AJ483" s="182"/>
      <c r="AK483" s="182"/>
      <c r="AL483" s="182"/>
      <c r="AM483" s="182"/>
      <c r="AN483" s="182"/>
      <c r="AO483" s="182"/>
      <c r="AP483" s="182"/>
      <c r="AQ483" s="182"/>
      <c r="AR483" s="182"/>
      <c r="AS483" s="182"/>
      <c r="AT483" s="182"/>
      <c r="AU483" s="182"/>
      <c r="AV483" s="182"/>
      <c r="AW483" s="182"/>
      <c r="AX483" s="182"/>
      <c r="AY483" s="182"/>
      <c r="AZ483" s="182"/>
      <c r="BA483" s="182"/>
      <c r="BB483" s="182"/>
      <c r="BC483" s="182"/>
      <c r="BD483" s="182"/>
      <c r="BE483" s="182"/>
      <c r="BF483" s="182"/>
      <c r="BG483" s="182"/>
      <c r="BH483" s="182"/>
      <c r="BI483" s="182"/>
      <c r="BJ483" s="182"/>
      <c r="BK483" s="182"/>
      <c r="BL483" s="182"/>
      <c r="BM483" s="182"/>
      <c r="BN483" s="182"/>
      <c r="BO483" s="182"/>
      <c r="BP483" s="182"/>
      <c r="BQ483" s="182"/>
      <c r="BR483" s="182"/>
      <c r="BS483" s="182"/>
      <c r="BT483" s="182"/>
      <c r="BU483" s="182"/>
      <c r="BV483" s="182"/>
      <c r="BW483" s="182"/>
      <c r="BX483" s="182"/>
      <c r="BY483" s="182"/>
      <c r="BZ483" s="182"/>
      <c r="CA483" s="182"/>
      <c r="CB483" s="182"/>
      <c r="CC483" s="182"/>
      <c r="CD483" s="182"/>
      <c r="CE483" s="182"/>
      <c r="CF483" s="182"/>
      <c r="CG483" s="182"/>
      <c r="CH483" s="182"/>
      <c r="CI483" s="182"/>
      <c r="CJ483" s="182"/>
      <c r="CK483" s="182"/>
      <c r="CL483" s="182"/>
      <c r="CM483" s="182"/>
      <c r="CN483" s="182"/>
      <c r="CO483" s="182"/>
      <c r="CP483" s="182"/>
      <c r="CQ483" s="182"/>
      <c r="CR483" s="182"/>
      <c r="CS483" s="182"/>
      <c r="CT483" s="182"/>
      <c r="CU483" s="182"/>
      <c r="CV483" s="182"/>
      <c r="CW483" s="182"/>
      <c r="CX483" s="182"/>
      <c r="CY483" s="182"/>
      <c r="CZ483" s="182"/>
      <c r="DA483" s="182"/>
      <c r="DB483" s="182"/>
      <c r="DC483" s="182"/>
      <c r="DD483" s="182"/>
      <c r="DE483" s="182"/>
      <c r="DF483" s="182"/>
      <c r="DG483" s="182"/>
      <c r="DH483" s="182"/>
      <c r="DI483" s="182"/>
      <c r="DJ483" s="182"/>
      <c r="DK483" s="182"/>
      <c r="DL483" s="182"/>
      <c r="DM483" s="182"/>
      <c r="DN483" s="182"/>
      <c r="DO483" s="182"/>
      <c r="DP483" s="182"/>
      <c r="DQ483" s="182"/>
      <c r="DR483" s="182"/>
      <c r="DS483" s="182"/>
      <c r="DT483" s="182"/>
      <c r="DU483" s="182"/>
      <c r="DV483" s="182"/>
      <c r="DW483" s="182"/>
      <c r="DX483" s="182"/>
      <c r="DY483" s="182"/>
      <c r="DZ483" s="182"/>
      <c r="EA483" s="182"/>
      <c r="EB483" s="182"/>
      <c r="EC483" s="182"/>
      <c r="ED483" s="182"/>
      <c r="EE483" s="182"/>
      <c r="EF483" s="182"/>
      <c r="EG483" s="182"/>
      <c r="EH483" s="182"/>
      <c r="EI483" s="182"/>
      <c r="EJ483" s="182"/>
      <c r="EK483" s="182"/>
      <c r="EL483" s="182"/>
      <c r="EM483" s="182"/>
      <c r="EN483" s="182"/>
      <c r="EO483" s="182"/>
      <c r="EP483" s="182"/>
      <c r="EQ483" s="182"/>
      <c r="ER483" s="182"/>
      <c r="ES483" s="182"/>
      <c r="ET483" s="182"/>
      <c r="EU483" s="182"/>
      <c r="EV483" s="182"/>
      <c r="EW483" s="182"/>
      <c r="EX483" s="182"/>
      <c r="EY483" s="182"/>
      <c r="EZ483" s="182"/>
      <c r="FA483" s="182"/>
      <c r="FB483" s="182"/>
      <c r="FC483" s="182"/>
      <c r="FD483" s="182"/>
      <c r="FE483" s="182"/>
      <c r="FF483" s="182"/>
      <c r="FG483" s="182"/>
      <c r="FH483" s="182"/>
      <c r="FI483" s="182"/>
      <c r="FJ483" s="182"/>
      <c r="FK483" s="182"/>
      <c r="FL483" s="182"/>
      <c r="FM483" s="182"/>
      <c r="FN483" s="182"/>
      <c r="FO483" s="182"/>
      <c r="FP483" s="182"/>
      <c r="FQ483" s="182"/>
      <c r="FR483" s="182"/>
      <c r="FS483" s="182"/>
      <c r="FT483" s="182"/>
      <c r="FU483" s="182"/>
      <c r="FV483" s="182"/>
      <c r="FW483" s="182"/>
      <c r="FX483" s="182"/>
      <c r="FY483" s="182"/>
      <c r="FZ483" s="182"/>
      <c r="GA483" s="182"/>
      <c r="GB483" s="182"/>
      <c r="GC483" s="182"/>
      <c r="GD483" s="182"/>
      <c r="GE483" s="182"/>
      <c r="GF483" s="182"/>
      <c r="GG483" s="182"/>
      <c r="GH483" s="182"/>
      <c r="GI483" s="182"/>
    </row>
    <row r="484" spans="1:191" s="183" customFormat="1" ht="25.5" x14ac:dyDescent="0.2">
      <c r="A484" s="210" t="s">
        <v>38789</v>
      </c>
      <c r="B484" s="210" t="s">
        <v>20745</v>
      </c>
      <c r="C484" s="224" t="s">
        <v>22588</v>
      </c>
      <c r="D484" s="211" t="s">
        <v>69</v>
      </c>
      <c r="E484" s="211">
        <v>1500</v>
      </c>
      <c r="F484" s="211"/>
      <c r="G484" s="211">
        <v>0.3</v>
      </c>
      <c r="H484" s="212"/>
      <c r="I484" s="213"/>
      <c r="J484" s="272">
        <v>11.27</v>
      </c>
      <c r="K484" s="112">
        <f t="shared" si="32"/>
        <v>16905</v>
      </c>
      <c r="L484" s="273">
        <f>BDI!$E$17</f>
        <v>0.11260000000000001</v>
      </c>
      <c r="M484" s="213"/>
      <c r="N484" s="213"/>
      <c r="O484" s="114">
        <f t="shared" si="33"/>
        <v>12.54</v>
      </c>
      <c r="P484" s="113">
        <f t="shared" si="34"/>
        <v>5643</v>
      </c>
      <c r="Q484" s="209"/>
      <c r="R484" s="203"/>
      <c r="S484" s="182"/>
      <c r="T484" s="182"/>
      <c r="U484" s="182"/>
      <c r="V484" s="182"/>
      <c r="W484" s="182"/>
      <c r="X484" s="182"/>
      <c r="Y484" s="182"/>
      <c r="Z484" s="182"/>
      <c r="AA484" s="182"/>
      <c r="AB484" s="182"/>
      <c r="AC484" s="182"/>
      <c r="AD484" s="182"/>
      <c r="AE484" s="182"/>
      <c r="AF484" s="182"/>
      <c r="AG484" s="182"/>
      <c r="AH484" s="182"/>
      <c r="AI484" s="182"/>
      <c r="AJ484" s="182"/>
      <c r="AK484" s="182"/>
      <c r="AL484" s="182"/>
      <c r="AM484" s="182"/>
      <c r="AN484" s="182"/>
      <c r="AO484" s="182"/>
      <c r="AP484" s="182"/>
      <c r="AQ484" s="182"/>
      <c r="AR484" s="182"/>
      <c r="AS484" s="182"/>
      <c r="AT484" s="182"/>
      <c r="AU484" s="182"/>
      <c r="AV484" s="182"/>
      <c r="AW484" s="182"/>
      <c r="AX484" s="182"/>
      <c r="AY484" s="182"/>
      <c r="AZ484" s="182"/>
      <c r="BA484" s="182"/>
      <c r="BB484" s="182"/>
      <c r="BC484" s="182"/>
      <c r="BD484" s="182"/>
      <c r="BE484" s="182"/>
      <c r="BF484" s="182"/>
      <c r="BG484" s="182"/>
      <c r="BH484" s="182"/>
      <c r="BI484" s="182"/>
      <c r="BJ484" s="182"/>
      <c r="BK484" s="182"/>
      <c r="BL484" s="182"/>
      <c r="BM484" s="182"/>
      <c r="BN484" s="182"/>
      <c r="BO484" s="182"/>
      <c r="BP484" s="182"/>
      <c r="BQ484" s="182"/>
      <c r="BR484" s="182"/>
      <c r="BS484" s="182"/>
      <c r="BT484" s="182"/>
      <c r="BU484" s="182"/>
      <c r="BV484" s="182"/>
      <c r="BW484" s="182"/>
      <c r="BX484" s="182"/>
      <c r="BY484" s="182"/>
      <c r="BZ484" s="182"/>
      <c r="CA484" s="182"/>
      <c r="CB484" s="182"/>
      <c r="CC484" s="182"/>
      <c r="CD484" s="182"/>
      <c r="CE484" s="182"/>
      <c r="CF484" s="182"/>
      <c r="CG484" s="182"/>
      <c r="CH484" s="182"/>
      <c r="CI484" s="182"/>
      <c r="CJ484" s="182"/>
      <c r="CK484" s="182"/>
      <c r="CL484" s="182"/>
      <c r="CM484" s="182"/>
      <c r="CN484" s="182"/>
      <c r="CO484" s="182"/>
      <c r="CP484" s="182"/>
      <c r="CQ484" s="182"/>
      <c r="CR484" s="182"/>
      <c r="CS484" s="182"/>
      <c r="CT484" s="182"/>
      <c r="CU484" s="182"/>
      <c r="CV484" s="182"/>
      <c r="CW484" s="182"/>
      <c r="CX484" s="182"/>
      <c r="CY484" s="182"/>
      <c r="CZ484" s="182"/>
      <c r="DA484" s="182"/>
      <c r="DB484" s="182"/>
      <c r="DC484" s="182"/>
      <c r="DD484" s="182"/>
      <c r="DE484" s="182"/>
      <c r="DF484" s="182"/>
      <c r="DG484" s="182"/>
      <c r="DH484" s="182"/>
      <c r="DI484" s="182"/>
      <c r="DJ484" s="182"/>
      <c r="DK484" s="182"/>
      <c r="DL484" s="182"/>
      <c r="DM484" s="182"/>
      <c r="DN484" s="182"/>
      <c r="DO484" s="182"/>
      <c r="DP484" s="182"/>
      <c r="DQ484" s="182"/>
      <c r="DR484" s="182"/>
      <c r="DS484" s="182"/>
      <c r="DT484" s="182"/>
      <c r="DU484" s="182"/>
      <c r="DV484" s="182"/>
      <c r="DW484" s="182"/>
      <c r="DX484" s="182"/>
      <c r="DY484" s="182"/>
      <c r="DZ484" s="182"/>
      <c r="EA484" s="182"/>
      <c r="EB484" s="182"/>
      <c r="EC484" s="182"/>
      <c r="ED484" s="182"/>
      <c r="EE484" s="182"/>
      <c r="EF484" s="182"/>
      <c r="EG484" s="182"/>
      <c r="EH484" s="182"/>
      <c r="EI484" s="182"/>
      <c r="EJ484" s="182"/>
      <c r="EK484" s="182"/>
      <c r="EL484" s="182"/>
      <c r="EM484" s="182"/>
      <c r="EN484" s="182"/>
      <c r="EO484" s="182"/>
      <c r="EP484" s="182"/>
      <c r="EQ484" s="182"/>
      <c r="ER484" s="182"/>
      <c r="ES484" s="182"/>
      <c r="ET484" s="182"/>
      <c r="EU484" s="182"/>
      <c r="EV484" s="182"/>
      <c r="EW484" s="182"/>
      <c r="EX484" s="182"/>
      <c r="EY484" s="182"/>
      <c r="EZ484" s="182"/>
      <c r="FA484" s="182"/>
      <c r="FB484" s="182"/>
      <c r="FC484" s="182"/>
      <c r="FD484" s="182"/>
      <c r="FE484" s="182"/>
      <c r="FF484" s="182"/>
      <c r="FG484" s="182"/>
      <c r="FH484" s="182"/>
      <c r="FI484" s="182"/>
      <c r="FJ484" s="182"/>
      <c r="FK484" s="182"/>
      <c r="FL484" s="182"/>
      <c r="FM484" s="182"/>
      <c r="FN484" s="182"/>
      <c r="FO484" s="182"/>
      <c r="FP484" s="182"/>
      <c r="FQ484" s="182"/>
      <c r="FR484" s="182"/>
      <c r="FS484" s="182"/>
      <c r="FT484" s="182"/>
      <c r="FU484" s="182"/>
      <c r="FV484" s="182"/>
      <c r="FW484" s="182"/>
      <c r="FX484" s="182"/>
      <c r="FY484" s="182"/>
      <c r="FZ484" s="182"/>
      <c r="GA484" s="182"/>
      <c r="GB484" s="182"/>
      <c r="GC484" s="182"/>
      <c r="GD484" s="182"/>
      <c r="GE484" s="182"/>
      <c r="GF484" s="182"/>
      <c r="GG484" s="182"/>
      <c r="GH484" s="182"/>
      <c r="GI484" s="182"/>
    </row>
    <row r="485" spans="1:191" s="183" customFormat="1" ht="25.5" x14ac:dyDescent="0.2">
      <c r="A485" s="210" t="s">
        <v>38790</v>
      </c>
      <c r="B485" s="210" t="s">
        <v>20746</v>
      </c>
      <c r="C485" s="224" t="s">
        <v>22589</v>
      </c>
      <c r="D485" s="211" t="s">
        <v>69</v>
      </c>
      <c r="E485" s="211">
        <v>1500</v>
      </c>
      <c r="F485" s="211"/>
      <c r="G485" s="211">
        <v>0.3</v>
      </c>
      <c r="H485" s="212"/>
      <c r="I485" s="213"/>
      <c r="J485" s="272">
        <v>13.39</v>
      </c>
      <c r="K485" s="112">
        <f t="shared" si="32"/>
        <v>20085</v>
      </c>
      <c r="L485" s="273">
        <f>BDI!$E$17</f>
        <v>0.11260000000000001</v>
      </c>
      <c r="M485" s="213"/>
      <c r="N485" s="213"/>
      <c r="O485" s="114">
        <f t="shared" si="33"/>
        <v>14.9</v>
      </c>
      <c r="P485" s="113">
        <f t="shared" si="34"/>
        <v>6705</v>
      </c>
      <c r="Q485" s="209"/>
      <c r="R485" s="203"/>
      <c r="S485" s="182"/>
      <c r="T485" s="182"/>
      <c r="U485" s="182"/>
      <c r="V485" s="182"/>
      <c r="W485" s="182"/>
      <c r="X485" s="182"/>
      <c r="Y485" s="182"/>
      <c r="Z485" s="182"/>
      <c r="AA485" s="182"/>
      <c r="AB485" s="182"/>
      <c r="AC485" s="182"/>
      <c r="AD485" s="182"/>
      <c r="AE485" s="182"/>
      <c r="AF485" s="182"/>
      <c r="AG485" s="182"/>
      <c r="AH485" s="182"/>
      <c r="AI485" s="182"/>
      <c r="AJ485" s="182"/>
      <c r="AK485" s="182"/>
      <c r="AL485" s="182"/>
      <c r="AM485" s="182"/>
      <c r="AN485" s="182"/>
      <c r="AO485" s="182"/>
      <c r="AP485" s="182"/>
      <c r="AQ485" s="182"/>
      <c r="AR485" s="182"/>
      <c r="AS485" s="182"/>
      <c r="AT485" s="182"/>
      <c r="AU485" s="182"/>
      <c r="AV485" s="182"/>
      <c r="AW485" s="182"/>
      <c r="AX485" s="182"/>
      <c r="AY485" s="182"/>
      <c r="AZ485" s="182"/>
      <c r="BA485" s="182"/>
      <c r="BB485" s="182"/>
      <c r="BC485" s="182"/>
      <c r="BD485" s="182"/>
      <c r="BE485" s="182"/>
      <c r="BF485" s="182"/>
      <c r="BG485" s="182"/>
      <c r="BH485" s="182"/>
      <c r="BI485" s="182"/>
      <c r="BJ485" s="182"/>
      <c r="BK485" s="182"/>
      <c r="BL485" s="182"/>
      <c r="BM485" s="182"/>
      <c r="BN485" s="182"/>
      <c r="BO485" s="182"/>
      <c r="BP485" s="182"/>
      <c r="BQ485" s="182"/>
      <c r="BR485" s="182"/>
      <c r="BS485" s="182"/>
      <c r="BT485" s="182"/>
      <c r="BU485" s="182"/>
      <c r="BV485" s="182"/>
      <c r="BW485" s="182"/>
      <c r="BX485" s="182"/>
      <c r="BY485" s="182"/>
      <c r="BZ485" s="182"/>
      <c r="CA485" s="182"/>
      <c r="CB485" s="182"/>
      <c r="CC485" s="182"/>
      <c r="CD485" s="182"/>
      <c r="CE485" s="182"/>
      <c r="CF485" s="182"/>
      <c r="CG485" s="182"/>
      <c r="CH485" s="182"/>
      <c r="CI485" s="182"/>
      <c r="CJ485" s="182"/>
      <c r="CK485" s="182"/>
      <c r="CL485" s="182"/>
      <c r="CM485" s="182"/>
      <c r="CN485" s="182"/>
      <c r="CO485" s="182"/>
      <c r="CP485" s="182"/>
      <c r="CQ485" s="182"/>
      <c r="CR485" s="182"/>
      <c r="CS485" s="182"/>
      <c r="CT485" s="182"/>
      <c r="CU485" s="182"/>
      <c r="CV485" s="182"/>
      <c r="CW485" s="182"/>
      <c r="CX485" s="182"/>
      <c r="CY485" s="182"/>
      <c r="CZ485" s="182"/>
      <c r="DA485" s="182"/>
      <c r="DB485" s="182"/>
      <c r="DC485" s="182"/>
      <c r="DD485" s="182"/>
      <c r="DE485" s="182"/>
      <c r="DF485" s="182"/>
      <c r="DG485" s="182"/>
      <c r="DH485" s="182"/>
      <c r="DI485" s="182"/>
      <c r="DJ485" s="182"/>
      <c r="DK485" s="182"/>
      <c r="DL485" s="182"/>
      <c r="DM485" s="182"/>
      <c r="DN485" s="182"/>
      <c r="DO485" s="182"/>
      <c r="DP485" s="182"/>
      <c r="DQ485" s="182"/>
      <c r="DR485" s="182"/>
      <c r="DS485" s="182"/>
      <c r="DT485" s="182"/>
      <c r="DU485" s="182"/>
      <c r="DV485" s="182"/>
      <c r="DW485" s="182"/>
      <c r="DX485" s="182"/>
      <c r="DY485" s="182"/>
      <c r="DZ485" s="182"/>
      <c r="EA485" s="182"/>
      <c r="EB485" s="182"/>
      <c r="EC485" s="182"/>
      <c r="ED485" s="182"/>
      <c r="EE485" s="182"/>
      <c r="EF485" s="182"/>
      <c r="EG485" s="182"/>
      <c r="EH485" s="182"/>
      <c r="EI485" s="182"/>
      <c r="EJ485" s="182"/>
      <c r="EK485" s="182"/>
      <c r="EL485" s="182"/>
      <c r="EM485" s="182"/>
      <c r="EN485" s="182"/>
      <c r="EO485" s="182"/>
      <c r="EP485" s="182"/>
      <c r="EQ485" s="182"/>
      <c r="ER485" s="182"/>
      <c r="ES485" s="182"/>
      <c r="ET485" s="182"/>
      <c r="EU485" s="182"/>
      <c r="EV485" s="182"/>
      <c r="EW485" s="182"/>
      <c r="EX485" s="182"/>
      <c r="EY485" s="182"/>
      <c r="EZ485" s="182"/>
      <c r="FA485" s="182"/>
      <c r="FB485" s="182"/>
      <c r="FC485" s="182"/>
      <c r="FD485" s="182"/>
      <c r="FE485" s="182"/>
      <c r="FF485" s="182"/>
      <c r="FG485" s="182"/>
      <c r="FH485" s="182"/>
      <c r="FI485" s="182"/>
      <c r="FJ485" s="182"/>
      <c r="FK485" s="182"/>
      <c r="FL485" s="182"/>
      <c r="FM485" s="182"/>
      <c r="FN485" s="182"/>
      <c r="FO485" s="182"/>
      <c r="FP485" s="182"/>
      <c r="FQ485" s="182"/>
      <c r="FR485" s="182"/>
      <c r="FS485" s="182"/>
      <c r="FT485" s="182"/>
      <c r="FU485" s="182"/>
      <c r="FV485" s="182"/>
      <c r="FW485" s="182"/>
      <c r="FX485" s="182"/>
      <c r="FY485" s="182"/>
      <c r="FZ485" s="182"/>
      <c r="GA485" s="182"/>
      <c r="GB485" s="182"/>
      <c r="GC485" s="182"/>
      <c r="GD485" s="182"/>
      <c r="GE485" s="182"/>
      <c r="GF485" s="182"/>
      <c r="GG485" s="182"/>
      <c r="GH485" s="182"/>
      <c r="GI485" s="182"/>
    </row>
    <row r="486" spans="1:191" s="183" customFormat="1" ht="25.5" x14ac:dyDescent="0.2">
      <c r="A486" s="210" t="s">
        <v>38791</v>
      </c>
      <c r="B486" s="210" t="s">
        <v>20747</v>
      </c>
      <c r="C486" s="224" t="s">
        <v>22590</v>
      </c>
      <c r="D486" s="211" t="s">
        <v>69</v>
      </c>
      <c r="E486" s="211">
        <v>600</v>
      </c>
      <c r="F486" s="211"/>
      <c r="G486" s="211">
        <v>0.3</v>
      </c>
      <c r="H486" s="212"/>
      <c r="I486" s="213"/>
      <c r="J486" s="272">
        <v>13.16</v>
      </c>
      <c r="K486" s="112">
        <f t="shared" si="32"/>
        <v>7896</v>
      </c>
      <c r="L486" s="273">
        <f>BDI!$E$17</f>
        <v>0.11260000000000001</v>
      </c>
      <c r="M486" s="213"/>
      <c r="N486" s="213"/>
      <c r="O486" s="114">
        <f t="shared" si="33"/>
        <v>14.64</v>
      </c>
      <c r="P486" s="113">
        <f t="shared" si="34"/>
        <v>2635.2</v>
      </c>
      <c r="Q486" s="209"/>
      <c r="R486" s="203"/>
      <c r="S486" s="182"/>
      <c r="T486" s="182"/>
      <c r="U486" s="182"/>
      <c r="V486" s="182"/>
      <c r="W486" s="182"/>
      <c r="X486" s="182"/>
      <c r="Y486" s="182"/>
      <c r="Z486" s="182"/>
      <c r="AA486" s="182"/>
      <c r="AB486" s="182"/>
      <c r="AC486" s="182"/>
      <c r="AD486" s="182"/>
      <c r="AE486" s="182"/>
      <c r="AF486" s="182"/>
      <c r="AG486" s="182"/>
      <c r="AH486" s="182"/>
      <c r="AI486" s="182"/>
      <c r="AJ486" s="182"/>
      <c r="AK486" s="182"/>
      <c r="AL486" s="182"/>
      <c r="AM486" s="182"/>
      <c r="AN486" s="182"/>
      <c r="AO486" s="182"/>
      <c r="AP486" s="182"/>
      <c r="AQ486" s="182"/>
      <c r="AR486" s="182"/>
      <c r="AS486" s="182"/>
      <c r="AT486" s="182"/>
      <c r="AU486" s="182"/>
      <c r="AV486" s="182"/>
      <c r="AW486" s="182"/>
      <c r="AX486" s="182"/>
      <c r="AY486" s="182"/>
      <c r="AZ486" s="182"/>
      <c r="BA486" s="182"/>
      <c r="BB486" s="182"/>
      <c r="BC486" s="182"/>
      <c r="BD486" s="182"/>
      <c r="BE486" s="182"/>
      <c r="BF486" s="182"/>
      <c r="BG486" s="182"/>
      <c r="BH486" s="182"/>
      <c r="BI486" s="182"/>
      <c r="BJ486" s="182"/>
      <c r="BK486" s="182"/>
      <c r="BL486" s="182"/>
      <c r="BM486" s="182"/>
      <c r="BN486" s="182"/>
      <c r="BO486" s="182"/>
      <c r="BP486" s="182"/>
      <c r="BQ486" s="182"/>
      <c r="BR486" s="182"/>
      <c r="BS486" s="182"/>
      <c r="BT486" s="182"/>
      <c r="BU486" s="182"/>
      <c r="BV486" s="182"/>
      <c r="BW486" s="182"/>
      <c r="BX486" s="182"/>
      <c r="BY486" s="182"/>
      <c r="BZ486" s="182"/>
      <c r="CA486" s="182"/>
      <c r="CB486" s="182"/>
      <c r="CC486" s="182"/>
      <c r="CD486" s="182"/>
      <c r="CE486" s="182"/>
      <c r="CF486" s="182"/>
      <c r="CG486" s="182"/>
      <c r="CH486" s="182"/>
      <c r="CI486" s="182"/>
      <c r="CJ486" s="182"/>
      <c r="CK486" s="182"/>
      <c r="CL486" s="182"/>
      <c r="CM486" s="182"/>
      <c r="CN486" s="182"/>
      <c r="CO486" s="182"/>
      <c r="CP486" s="182"/>
      <c r="CQ486" s="182"/>
      <c r="CR486" s="182"/>
      <c r="CS486" s="182"/>
      <c r="CT486" s="182"/>
      <c r="CU486" s="182"/>
      <c r="CV486" s="182"/>
      <c r="CW486" s="182"/>
      <c r="CX486" s="182"/>
      <c r="CY486" s="182"/>
      <c r="CZ486" s="182"/>
      <c r="DA486" s="182"/>
      <c r="DB486" s="182"/>
      <c r="DC486" s="182"/>
      <c r="DD486" s="182"/>
      <c r="DE486" s="182"/>
      <c r="DF486" s="182"/>
      <c r="DG486" s="182"/>
      <c r="DH486" s="182"/>
      <c r="DI486" s="182"/>
      <c r="DJ486" s="182"/>
      <c r="DK486" s="182"/>
      <c r="DL486" s="182"/>
      <c r="DM486" s="182"/>
      <c r="DN486" s="182"/>
      <c r="DO486" s="182"/>
      <c r="DP486" s="182"/>
      <c r="DQ486" s="182"/>
      <c r="DR486" s="182"/>
      <c r="DS486" s="182"/>
      <c r="DT486" s="182"/>
      <c r="DU486" s="182"/>
      <c r="DV486" s="182"/>
      <c r="DW486" s="182"/>
      <c r="DX486" s="182"/>
      <c r="DY486" s="182"/>
      <c r="DZ486" s="182"/>
      <c r="EA486" s="182"/>
      <c r="EB486" s="182"/>
      <c r="EC486" s="182"/>
      <c r="ED486" s="182"/>
      <c r="EE486" s="182"/>
      <c r="EF486" s="182"/>
      <c r="EG486" s="182"/>
      <c r="EH486" s="182"/>
      <c r="EI486" s="182"/>
      <c r="EJ486" s="182"/>
      <c r="EK486" s="182"/>
      <c r="EL486" s="182"/>
      <c r="EM486" s="182"/>
      <c r="EN486" s="182"/>
      <c r="EO486" s="182"/>
      <c r="EP486" s="182"/>
      <c r="EQ486" s="182"/>
      <c r="ER486" s="182"/>
      <c r="ES486" s="182"/>
      <c r="ET486" s="182"/>
      <c r="EU486" s="182"/>
      <c r="EV486" s="182"/>
      <c r="EW486" s="182"/>
      <c r="EX486" s="182"/>
      <c r="EY486" s="182"/>
      <c r="EZ486" s="182"/>
      <c r="FA486" s="182"/>
      <c r="FB486" s="182"/>
      <c r="FC486" s="182"/>
      <c r="FD486" s="182"/>
      <c r="FE486" s="182"/>
      <c r="FF486" s="182"/>
      <c r="FG486" s="182"/>
      <c r="FH486" s="182"/>
      <c r="FI486" s="182"/>
      <c r="FJ486" s="182"/>
      <c r="FK486" s="182"/>
      <c r="FL486" s="182"/>
      <c r="FM486" s="182"/>
      <c r="FN486" s="182"/>
      <c r="FO486" s="182"/>
      <c r="FP486" s="182"/>
      <c r="FQ486" s="182"/>
      <c r="FR486" s="182"/>
      <c r="FS486" s="182"/>
      <c r="FT486" s="182"/>
      <c r="FU486" s="182"/>
      <c r="FV486" s="182"/>
      <c r="FW486" s="182"/>
      <c r="FX486" s="182"/>
      <c r="FY486" s="182"/>
      <c r="FZ486" s="182"/>
      <c r="GA486" s="182"/>
      <c r="GB486" s="182"/>
      <c r="GC486" s="182"/>
      <c r="GD486" s="182"/>
      <c r="GE486" s="182"/>
      <c r="GF486" s="182"/>
      <c r="GG486" s="182"/>
      <c r="GH486" s="182"/>
      <c r="GI486" s="182"/>
    </row>
    <row r="487" spans="1:191" s="183" customFormat="1" ht="38.25" x14ac:dyDescent="0.2">
      <c r="A487" s="210" t="s">
        <v>38792</v>
      </c>
      <c r="B487" s="210" t="s">
        <v>20748</v>
      </c>
      <c r="C487" s="224" t="s">
        <v>22591</v>
      </c>
      <c r="D487" s="211" t="s">
        <v>69</v>
      </c>
      <c r="E487" s="211">
        <v>600</v>
      </c>
      <c r="F487" s="211"/>
      <c r="G487" s="211">
        <v>0.3</v>
      </c>
      <c r="H487" s="212"/>
      <c r="I487" s="213"/>
      <c r="J487" s="272">
        <v>15.62</v>
      </c>
      <c r="K487" s="112">
        <f t="shared" si="32"/>
        <v>9372</v>
      </c>
      <c r="L487" s="273">
        <f>BDI!$E$17</f>
        <v>0.11260000000000001</v>
      </c>
      <c r="M487" s="213"/>
      <c r="N487" s="213"/>
      <c r="O487" s="114">
        <f t="shared" si="33"/>
        <v>17.38</v>
      </c>
      <c r="P487" s="113">
        <f t="shared" si="34"/>
        <v>3128.4</v>
      </c>
      <c r="Q487" s="209"/>
      <c r="R487" s="203"/>
      <c r="S487" s="182"/>
      <c r="T487" s="182"/>
      <c r="U487" s="182"/>
      <c r="V487" s="182"/>
      <c r="W487" s="182"/>
      <c r="X487" s="182"/>
      <c r="Y487" s="182"/>
      <c r="Z487" s="182"/>
      <c r="AA487" s="182"/>
      <c r="AB487" s="182"/>
      <c r="AC487" s="182"/>
      <c r="AD487" s="182"/>
      <c r="AE487" s="182"/>
      <c r="AF487" s="182"/>
      <c r="AG487" s="182"/>
      <c r="AH487" s="182"/>
      <c r="AI487" s="182"/>
      <c r="AJ487" s="182"/>
      <c r="AK487" s="182"/>
      <c r="AL487" s="182"/>
      <c r="AM487" s="182"/>
      <c r="AN487" s="182"/>
      <c r="AO487" s="182"/>
      <c r="AP487" s="182"/>
      <c r="AQ487" s="182"/>
      <c r="AR487" s="182"/>
      <c r="AS487" s="182"/>
      <c r="AT487" s="182"/>
      <c r="AU487" s="182"/>
      <c r="AV487" s="182"/>
      <c r="AW487" s="182"/>
      <c r="AX487" s="182"/>
      <c r="AY487" s="182"/>
      <c r="AZ487" s="182"/>
      <c r="BA487" s="182"/>
      <c r="BB487" s="182"/>
      <c r="BC487" s="182"/>
      <c r="BD487" s="182"/>
      <c r="BE487" s="182"/>
      <c r="BF487" s="182"/>
      <c r="BG487" s="182"/>
      <c r="BH487" s="182"/>
      <c r="BI487" s="182"/>
      <c r="BJ487" s="182"/>
      <c r="BK487" s="182"/>
      <c r="BL487" s="182"/>
      <c r="BM487" s="182"/>
      <c r="BN487" s="182"/>
      <c r="BO487" s="182"/>
      <c r="BP487" s="182"/>
      <c r="BQ487" s="182"/>
      <c r="BR487" s="182"/>
      <c r="BS487" s="182"/>
      <c r="BT487" s="182"/>
      <c r="BU487" s="182"/>
      <c r="BV487" s="182"/>
      <c r="BW487" s="182"/>
      <c r="BX487" s="182"/>
      <c r="BY487" s="182"/>
      <c r="BZ487" s="182"/>
      <c r="CA487" s="182"/>
      <c r="CB487" s="182"/>
      <c r="CC487" s="182"/>
      <c r="CD487" s="182"/>
      <c r="CE487" s="182"/>
      <c r="CF487" s="182"/>
      <c r="CG487" s="182"/>
      <c r="CH487" s="182"/>
      <c r="CI487" s="182"/>
      <c r="CJ487" s="182"/>
      <c r="CK487" s="182"/>
      <c r="CL487" s="182"/>
      <c r="CM487" s="182"/>
      <c r="CN487" s="182"/>
      <c r="CO487" s="182"/>
      <c r="CP487" s="182"/>
      <c r="CQ487" s="182"/>
      <c r="CR487" s="182"/>
      <c r="CS487" s="182"/>
      <c r="CT487" s="182"/>
      <c r="CU487" s="182"/>
      <c r="CV487" s="182"/>
      <c r="CW487" s="182"/>
      <c r="CX487" s="182"/>
      <c r="CY487" s="182"/>
      <c r="CZ487" s="182"/>
      <c r="DA487" s="182"/>
      <c r="DB487" s="182"/>
      <c r="DC487" s="182"/>
      <c r="DD487" s="182"/>
      <c r="DE487" s="182"/>
      <c r="DF487" s="182"/>
      <c r="DG487" s="182"/>
      <c r="DH487" s="182"/>
      <c r="DI487" s="182"/>
      <c r="DJ487" s="182"/>
      <c r="DK487" s="182"/>
      <c r="DL487" s="182"/>
      <c r="DM487" s="182"/>
      <c r="DN487" s="182"/>
      <c r="DO487" s="182"/>
      <c r="DP487" s="182"/>
      <c r="DQ487" s="182"/>
      <c r="DR487" s="182"/>
      <c r="DS487" s="182"/>
      <c r="DT487" s="182"/>
      <c r="DU487" s="182"/>
      <c r="DV487" s="182"/>
      <c r="DW487" s="182"/>
      <c r="DX487" s="182"/>
      <c r="DY487" s="182"/>
      <c r="DZ487" s="182"/>
      <c r="EA487" s="182"/>
      <c r="EB487" s="182"/>
      <c r="EC487" s="182"/>
      <c r="ED487" s="182"/>
      <c r="EE487" s="182"/>
      <c r="EF487" s="182"/>
      <c r="EG487" s="182"/>
      <c r="EH487" s="182"/>
      <c r="EI487" s="182"/>
      <c r="EJ487" s="182"/>
      <c r="EK487" s="182"/>
      <c r="EL487" s="182"/>
      <c r="EM487" s="182"/>
      <c r="EN487" s="182"/>
      <c r="EO487" s="182"/>
      <c r="EP487" s="182"/>
      <c r="EQ487" s="182"/>
      <c r="ER487" s="182"/>
      <c r="ES487" s="182"/>
      <c r="ET487" s="182"/>
      <c r="EU487" s="182"/>
      <c r="EV487" s="182"/>
      <c r="EW487" s="182"/>
      <c r="EX487" s="182"/>
      <c r="EY487" s="182"/>
      <c r="EZ487" s="182"/>
      <c r="FA487" s="182"/>
      <c r="FB487" s="182"/>
      <c r="FC487" s="182"/>
      <c r="FD487" s="182"/>
      <c r="FE487" s="182"/>
      <c r="FF487" s="182"/>
      <c r="FG487" s="182"/>
      <c r="FH487" s="182"/>
      <c r="FI487" s="182"/>
      <c r="FJ487" s="182"/>
      <c r="FK487" s="182"/>
      <c r="FL487" s="182"/>
      <c r="FM487" s="182"/>
      <c r="FN487" s="182"/>
      <c r="FO487" s="182"/>
      <c r="FP487" s="182"/>
      <c r="FQ487" s="182"/>
      <c r="FR487" s="182"/>
      <c r="FS487" s="182"/>
      <c r="FT487" s="182"/>
      <c r="FU487" s="182"/>
      <c r="FV487" s="182"/>
      <c r="FW487" s="182"/>
      <c r="FX487" s="182"/>
      <c r="FY487" s="182"/>
      <c r="FZ487" s="182"/>
      <c r="GA487" s="182"/>
      <c r="GB487" s="182"/>
      <c r="GC487" s="182"/>
      <c r="GD487" s="182"/>
      <c r="GE487" s="182"/>
      <c r="GF487" s="182"/>
      <c r="GG487" s="182"/>
      <c r="GH487" s="182"/>
      <c r="GI487" s="182"/>
    </row>
    <row r="488" spans="1:191" s="183" customFormat="1" ht="25.5" x14ac:dyDescent="0.2">
      <c r="A488" s="210" t="s">
        <v>38793</v>
      </c>
      <c r="B488" s="210" t="s">
        <v>20749</v>
      </c>
      <c r="C488" s="224" t="s">
        <v>22592</v>
      </c>
      <c r="D488" s="211" t="s">
        <v>69</v>
      </c>
      <c r="E488" s="211">
        <v>300</v>
      </c>
      <c r="F488" s="211"/>
      <c r="G488" s="211">
        <v>0.3</v>
      </c>
      <c r="H488" s="212"/>
      <c r="I488" s="213"/>
      <c r="J488" s="272">
        <v>20.399999999999999</v>
      </c>
      <c r="K488" s="112">
        <f t="shared" si="32"/>
        <v>6120</v>
      </c>
      <c r="L488" s="273">
        <f>BDI!$E$17</f>
        <v>0.11260000000000001</v>
      </c>
      <c r="M488" s="213"/>
      <c r="N488" s="213"/>
      <c r="O488" s="114">
        <f t="shared" si="33"/>
        <v>22.7</v>
      </c>
      <c r="P488" s="113">
        <f t="shared" si="34"/>
        <v>2043</v>
      </c>
      <c r="Q488" s="209"/>
      <c r="R488" s="203"/>
      <c r="S488" s="182"/>
      <c r="T488" s="182"/>
      <c r="U488" s="182"/>
      <c r="V488" s="182"/>
      <c r="W488" s="182"/>
      <c r="X488" s="182"/>
      <c r="Y488" s="182"/>
      <c r="Z488" s="182"/>
      <c r="AA488" s="182"/>
      <c r="AB488" s="182"/>
      <c r="AC488" s="182"/>
      <c r="AD488" s="182"/>
      <c r="AE488" s="182"/>
      <c r="AF488" s="182"/>
      <c r="AG488" s="182"/>
      <c r="AH488" s="182"/>
      <c r="AI488" s="182"/>
      <c r="AJ488" s="182"/>
      <c r="AK488" s="182"/>
      <c r="AL488" s="182"/>
      <c r="AM488" s="182"/>
      <c r="AN488" s="182"/>
      <c r="AO488" s="182"/>
      <c r="AP488" s="182"/>
      <c r="AQ488" s="182"/>
      <c r="AR488" s="182"/>
      <c r="AS488" s="182"/>
      <c r="AT488" s="182"/>
      <c r="AU488" s="182"/>
      <c r="AV488" s="182"/>
      <c r="AW488" s="182"/>
      <c r="AX488" s="182"/>
      <c r="AY488" s="182"/>
      <c r="AZ488" s="182"/>
      <c r="BA488" s="182"/>
      <c r="BB488" s="182"/>
      <c r="BC488" s="182"/>
      <c r="BD488" s="182"/>
      <c r="BE488" s="182"/>
      <c r="BF488" s="182"/>
      <c r="BG488" s="182"/>
      <c r="BH488" s="182"/>
      <c r="BI488" s="182"/>
      <c r="BJ488" s="182"/>
      <c r="BK488" s="182"/>
      <c r="BL488" s="182"/>
      <c r="BM488" s="182"/>
      <c r="BN488" s="182"/>
      <c r="BO488" s="182"/>
      <c r="BP488" s="182"/>
      <c r="BQ488" s="182"/>
      <c r="BR488" s="182"/>
      <c r="BS488" s="182"/>
      <c r="BT488" s="182"/>
      <c r="BU488" s="182"/>
      <c r="BV488" s="182"/>
      <c r="BW488" s="182"/>
      <c r="BX488" s="182"/>
      <c r="BY488" s="182"/>
      <c r="BZ488" s="182"/>
      <c r="CA488" s="182"/>
      <c r="CB488" s="182"/>
      <c r="CC488" s="182"/>
      <c r="CD488" s="182"/>
      <c r="CE488" s="182"/>
      <c r="CF488" s="182"/>
      <c r="CG488" s="182"/>
      <c r="CH488" s="182"/>
      <c r="CI488" s="182"/>
      <c r="CJ488" s="182"/>
      <c r="CK488" s="182"/>
      <c r="CL488" s="182"/>
      <c r="CM488" s="182"/>
      <c r="CN488" s="182"/>
      <c r="CO488" s="182"/>
      <c r="CP488" s="182"/>
      <c r="CQ488" s="182"/>
      <c r="CR488" s="182"/>
      <c r="CS488" s="182"/>
      <c r="CT488" s="182"/>
      <c r="CU488" s="182"/>
      <c r="CV488" s="182"/>
      <c r="CW488" s="182"/>
      <c r="CX488" s="182"/>
      <c r="CY488" s="182"/>
      <c r="CZ488" s="182"/>
      <c r="DA488" s="182"/>
      <c r="DB488" s="182"/>
      <c r="DC488" s="182"/>
      <c r="DD488" s="182"/>
      <c r="DE488" s="182"/>
      <c r="DF488" s="182"/>
      <c r="DG488" s="182"/>
      <c r="DH488" s="182"/>
      <c r="DI488" s="182"/>
      <c r="DJ488" s="182"/>
      <c r="DK488" s="182"/>
      <c r="DL488" s="182"/>
      <c r="DM488" s="182"/>
      <c r="DN488" s="182"/>
      <c r="DO488" s="182"/>
      <c r="DP488" s="182"/>
      <c r="DQ488" s="182"/>
      <c r="DR488" s="182"/>
      <c r="DS488" s="182"/>
      <c r="DT488" s="182"/>
      <c r="DU488" s="182"/>
      <c r="DV488" s="182"/>
      <c r="DW488" s="182"/>
      <c r="DX488" s="182"/>
      <c r="DY488" s="182"/>
      <c r="DZ488" s="182"/>
      <c r="EA488" s="182"/>
      <c r="EB488" s="182"/>
      <c r="EC488" s="182"/>
      <c r="ED488" s="182"/>
      <c r="EE488" s="182"/>
      <c r="EF488" s="182"/>
      <c r="EG488" s="182"/>
      <c r="EH488" s="182"/>
      <c r="EI488" s="182"/>
      <c r="EJ488" s="182"/>
      <c r="EK488" s="182"/>
      <c r="EL488" s="182"/>
      <c r="EM488" s="182"/>
      <c r="EN488" s="182"/>
      <c r="EO488" s="182"/>
      <c r="EP488" s="182"/>
      <c r="EQ488" s="182"/>
      <c r="ER488" s="182"/>
      <c r="ES488" s="182"/>
      <c r="ET488" s="182"/>
      <c r="EU488" s="182"/>
      <c r="EV488" s="182"/>
      <c r="EW488" s="182"/>
      <c r="EX488" s="182"/>
      <c r="EY488" s="182"/>
      <c r="EZ488" s="182"/>
      <c r="FA488" s="182"/>
      <c r="FB488" s="182"/>
      <c r="FC488" s="182"/>
      <c r="FD488" s="182"/>
      <c r="FE488" s="182"/>
      <c r="FF488" s="182"/>
      <c r="FG488" s="182"/>
      <c r="FH488" s="182"/>
      <c r="FI488" s="182"/>
      <c r="FJ488" s="182"/>
      <c r="FK488" s="182"/>
      <c r="FL488" s="182"/>
      <c r="FM488" s="182"/>
      <c r="FN488" s="182"/>
      <c r="FO488" s="182"/>
      <c r="FP488" s="182"/>
      <c r="FQ488" s="182"/>
      <c r="FR488" s="182"/>
      <c r="FS488" s="182"/>
      <c r="FT488" s="182"/>
      <c r="FU488" s="182"/>
      <c r="FV488" s="182"/>
      <c r="FW488" s="182"/>
      <c r="FX488" s="182"/>
      <c r="FY488" s="182"/>
      <c r="FZ488" s="182"/>
      <c r="GA488" s="182"/>
      <c r="GB488" s="182"/>
      <c r="GC488" s="182"/>
      <c r="GD488" s="182"/>
      <c r="GE488" s="182"/>
      <c r="GF488" s="182"/>
      <c r="GG488" s="182"/>
      <c r="GH488" s="182"/>
      <c r="GI488" s="182"/>
    </row>
    <row r="489" spans="1:191" s="183" customFormat="1" ht="38.25" x14ac:dyDescent="0.2">
      <c r="A489" s="210" t="s">
        <v>38794</v>
      </c>
      <c r="B489" s="210" t="s">
        <v>20750</v>
      </c>
      <c r="C489" s="224" t="s">
        <v>22593</v>
      </c>
      <c r="D489" s="211" t="s">
        <v>69</v>
      </c>
      <c r="E489" s="211">
        <v>1200</v>
      </c>
      <c r="F489" s="211"/>
      <c r="G489" s="211">
        <v>0.3</v>
      </c>
      <c r="H489" s="212"/>
      <c r="I489" s="213"/>
      <c r="J489" s="272">
        <v>20.86</v>
      </c>
      <c r="K489" s="112">
        <f t="shared" si="32"/>
        <v>25032</v>
      </c>
      <c r="L489" s="273">
        <f>BDI!$E$17</f>
        <v>0.11260000000000001</v>
      </c>
      <c r="M489" s="213"/>
      <c r="N489" s="213"/>
      <c r="O489" s="114">
        <f t="shared" si="33"/>
        <v>23.21</v>
      </c>
      <c r="P489" s="113">
        <f t="shared" si="34"/>
        <v>8355.6</v>
      </c>
      <c r="Q489" s="209"/>
      <c r="R489" s="203"/>
      <c r="S489" s="182"/>
      <c r="T489" s="182"/>
      <c r="U489" s="182"/>
      <c r="V489" s="182"/>
      <c r="W489" s="182"/>
      <c r="X489" s="182"/>
      <c r="Y489" s="182"/>
      <c r="Z489" s="182"/>
      <c r="AA489" s="182"/>
      <c r="AB489" s="182"/>
      <c r="AC489" s="182"/>
      <c r="AD489" s="182"/>
      <c r="AE489" s="182"/>
      <c r="AF489" s="182"/>
      <c r="AG489" s="182"/>
      <c r="AH489" s="182"/>
      <c r="AI489" s="182"/>
      <c r="AJ489" s="182"/>
      <c r="AK489" s="182"/>
      <c r="AL489" s="182"/>
      <c r="AM489" s="182"/>
      <c r="AN489" s="182"/>
      <c r="AO489" s="182"/>
      <c r="AP489" s="182"/>
      <c r="AQ489" s="182"/>
      <c r="AR489" s="182"/>
      <c r="AS489" s="182"/>
      <c r="AT489" s="182"/>
      <c r="AU489" s="182"/>
      <c r="AV489" s="182"/>
      <c r="AW489" s="182"/>
      <c r="AX489" s="182"/>
      <c r="AY489" s="182"/>
      <c r="AZ489" s="182"/>
      <c r="BA489" s="182"/>
      <c r="BB489" s="182"/>
      <c r="BC489" s="182"/>
      <c r="BD489" s="182"/>
      <c r="BE489" s="182"/>
      <c r="BF489" s="182"/>
      <c r="BG489" s="182"/>
      <c r="BH489" s="182"/>
      <c r="BI489" s="182"/>
      <c r="BJ489" s="182"/>
      <c r="BK489" s="182"/>
      <c r="BL489" s="182"/>
      <c r="BM489" s="182"/>
      <c r="BN489" s="182"/>
      <c r="BO489" s="182"/>
      <c r="BP489" s="182"/>
      <c r="BQ489" s="182"/>
      <c r="BR489" s="182"/>
      <c r="BS489" s="182"/>
      <c r="BT489" s="182"/>
      <c r="BU489" s="182"/>
      <c r="BV489" s="182"/>
      <c r="BW489" s="182"/>
      <c r="BX489" s="182"/>
      <c r="BY489" s="182"/>
      <c r="BZ489" s="182"/>
      <c r="CA489" s="182"/>
      <c r="CB489" s="182"/>
      <c r="CC489" s="182"/>
      <c r="CD489" s="182"/>
      <c r="CE489" s="182"/>
      <c r="CF489" s="182"/>
      <c r="CG489" s="182"/>
      <c r="CH489" s="182"/>
      <c r="CI489" s="182"/>
      <c r="CJ489" s="182"/>
      <c r="CK489" s="182"/>
      <c r="CL489" s="182"/>
      <c r="CM489" s="182"/>
      <c r="CN489" s="182"/>
      <c r="CO489" s="182"/>
      <c r="CP489" s="182"/>
      <c r="CQ489" s="182"/>
      <c r="CR489" s="182"/>
      <c r="CS489" s="182"/>
      <c r="CT489" s="182"/>
      <c r="CU489" s="182"/>
      <c r="CV489" s="182"/>
      <c r="CW489" s="182"/>
      <c r="CX489" s="182"/>
      <c r="CY489" s="182"/>
      <c r="CZ489" s="182"/>
      <c r="DA489" s="182"/>
      <c r="DB489" s="182"/>
      <c r="DC489" s="182"/>
      <c r="DD489" s="182"/>
      <c r="DE489" s="182"/>
      <c r="DF489" s="182"/>
      <c r="DG489" s="182"/>
      <c r="DH489" s="182"/>
      <c r="DI489" s="182"/>
      <c r="DJ489" s="182"/>
      <c r="DK489" s="182"/>
      <c r="DL489" s="182"/>
      <c r="DM489" s="182"/>
      <c r="DN489" s="182"/>
      <c r="DO489" s="182"/>
      <c r="DP489" s="182"/>
      <c r="DQ489" s="182"/>
      <c r="DR489" s="182"/>
      <c r="DS489" s="182"/>
      <c r="DT489" s="182"/>
      <c r="DU489" s="182"/>
      <c r="DV489" s="182"/>
      <c r="DW489" s="182"/>
      <c r="DX489" s="182"/>
      <c r="DY489" s="182"/>
      <c r="DZ489" s="182"/>
      <c r="EA489" s="182"/>
      <c r="EB489" s="182"/>
      <c r="EC489" s="182"/>
      <c r="ED489" s="182"/>
      <c r="EE489" s="182"/>
      <c r="EF489" s="182"/>
      <c r="EG489" s="182"/>
      <c r="EH489" s="182"/>
      <c r="EI489" s="182"/>
      <c r="EJ489" s="182"/>
      <c r="EK489" s="182"/>
      <c r="EL489" s="182"/>
      <c r="EM489" s="182"/>
      <c r="EN489" s="182"/>
      <c r="EO489" s="182"/>
      <c r="EP489" s="182"/>
      <c r="EQ489" s="182"/>
      <c r="ER489" s="182"/>
      <c r="ES489" s="182"/>
      <c r="ET489" s="182"/>
      <c r="EU489" s="182"/>
      <c r="EV489" s="182"/>
      <c r="EW489" s="182"/>
      <c r="EX489" s="182"/>
      <c r="EY489" s="182"/>
      <c r="EZ489" s="182"/>
      <c r="FA489" s="182"/>
      <c r="FB489" s="182"/>
      <c r="FC489" s="182"/>
      <c r="FD489" s="182"/>
      <c r="FE489" s="182"/>
      <c r="FF489" s="182"/>
      <c r="FG489" s="182"/>
      <c r="FH489" s="182"/>
      <c r="FI489" s="182"/>
      <c r="FJ489" s="182"/>
      <c r="FK489" s="182"/>
      <c r="FL489" s="182"/>
      <c r="FM489" s="182"/>
      <c r="FN489" s="182"/>
      <c r="FO489" s="182"/>
      <c r="FP489" s="182"/>
      <c r="FQ489" s="182"/>
      <c r="FR489" s="182"/>
      <c r="FS489" s="182"/>
      <c r="FT489" s="182"/>
      <c r="FU489" s="182"/>
      <c r="FV489" s="182"/>
      <c r="FW489" s="182"/>
      <c r="FX489" s="182"/>
      <c r="FY489" s="182"/>
      <c r="FZ489" s="182"/>
      <c r="GA489" s="182"/>
      <c r="GB489" s="182"/>
      <c r="GC489" s="182"/>
      <c r="GD489" s="182"/>
      <c r="GE489" s="182"/>
      <c r="GF489" s="182"/>
      <c r="GG489" s="182"/>
      <c r="GH489" s="182"/>
      <c r="GI489" s="182"/>
    </row>
    <row r="490" spans="1:191" s="183" customFormat="1" ht="38.25" x14ac:dyDescent="0.2">
      <c r="A490" s="210" t="s">
        <v>38795</v>
      </c>
      <c r="B490" s="210" t="s">
        <v>20751</v>
      </c>
      <c r="C490" s="224" t="s">
        <v>22594</v>
      </c>
      <c r="D490" s="211" t="s">
        <v>69</v>
      </c>
      <c r="E490" s="211">
        <v>750</v>
      </c>
      <c r="F490" s="211"/>
      <c r="G490" s="211">
        <v>0.3</v>
      </c>
      <c r="H490" s="212"/>
      <c r="I490" s="213"/>
      <c r="J490" s="272">
        <v>22.68</v>
      </c>
      <c r="K490" s="112">
        <f t="shared" si="32"/>
        <v>17010</v>
      </c>
      <c r="L490" s="273">
        <f>BDI!$E$17</f>
        <v>0.11260000000000001</v>
      </c>
      <c r="M490" s="213"/>
      <c r="N490" s="213"/>
      <c r="O490" s="114">
        <f t="shared" si="33"/>
        <v>25.23</v>
      </c>
      <c r="P490" s="113">
        <f t="shared" si="34"/>
        <v>5676.75</v>
      </c>
      <c r="Q490" s="209"/>
      <c r="R490" s="203"/>
      <c r="S490" s="182"/>
      <c r="T490" s="182"/>
      <c r="U490" s="182"/>
      <c r="V490" s="182"/>
      <c r="W490" s="182"/>
      <c r="X490" s="182"/>
      <c r="Y490" s="182"/>
      <c r="Z490" s="182"/>
      <c r="AA490" s="182"/>
      <c r="AB490" s="182"/>
      <c r="AC490" s="182"/>
      <c r="AD490" s="182"/>
      <c r="AE490" s="182"/>
      <c r="AF490" s="182"/>
      <c r="AG490" s="182"/>
      <c r="AH490" s="182"/>
      <c r="AI490" s="182"/>
      <c r="AJ490" s="182"/>
      <c r="AK490" s="182"/>
      <c r="AL490" s="182"/>
      <c r="AM490" s="182"/>
      <c r="AN490" s="182"/>
      <c r="AO490" s="182"/>
      <c r="AP490" s="182"/>
      <c r="AQ490" s="182"/>
      <c r="AR490" s="182"/>
      <c r="AS490" s="182"/>
      <c r="AT490" s="182"/>
      <c r="AU490" s="182"/>
      <c r="AV490" s="182"/>
      <c r="AW490" s="182"/>
      <c r="AX490" s="182"/>
      <c r="AY490" s="182"/>
      <c r="AZ490" s="182"/>
      <c r="BA490" s="182"/>
      <c r="BB490" s="182"/>
      <c r="BC490" s="182"/>
      <c r="BD490" s="182"/>
      <c r="BE490" s="182"/>
      <c r="BF490" s="182"/>
      <c r="BG490" s="182"/>
      <c r="BH490" s="182"/>
      <c r="BI490" s="182"/>
      <c r="BJ490" s="182"/>
      <c r="BK490" s="182"/>
      <c r="BL490" s="182"/>
      <c r="BM490" s="182"/>
      <c r="BN490" s="182"/>
      <c r="BO490" s="182"/>
      <c r="BP490" s="182"/>
      <c r="BQ490" s="182"/>
      <c r="BR490" s="182"/>
      <c r="BS490" s="182"/>
      <c r="BT490" s="182"/>
      <c r="BU490" s="182"/>
      <c r="BV490" s="182"/>
      <c r="BW490" s="182"/>
      <c r="BX490" s="182"/>
      <c r="BY490" s="182"/>
      <c r="BZ490" s="182"/>
      <c r="CA490" s="182"/>
      <c r="CB490" s="182"/>
      <c r="CC490" s="182"/>
      <c r="CD490" s="182"/>
      <c r="CE490" s="182"/>
      <c r="CF490" s="182"/>
      <c r="CG490" s="182"/>
      <c r="CH490" s="182"/>
      <c r="CI490" s="182"/>
      <c r="CJ490" s="182"/>
      <c r="CK490" s="182"/>
      <c r="CL490" s="182"/>
      <c r="CM490" s="182"/>
      <c r="CN490" s="182"/>
      <c r="CO490" s="182"/>
      <c r="CP490" s="182"/>
      <c r="CQ490" s="182"/>
      <c r="CR490" s="182"/>
      <c r="CS490" s="182"/>
      <c r="CT490" s="182"/>
      <c r="CU490" s="182"/>
      <c r="CV490" s="182"/>
      <c r="CW490" s="182"/>
      <c r="CX490" s="182"/>
      <c r="CY490" s="182"/>
      <c r="CZ490" s="182"/>
      <c r="DA490" s="182"/>
      <c r="DB490" s="182"/>
      <c r="DC490" s="182"/>
      <c r="DD490" s="182"/>
      <c r="DE490" s="182"/>
      <c r="DF490" s="182"/>
      <c r="DG490" s="182"/>
      <c r="DH490" s="182"/>
      <c r="DI490" s="182"/>
      <c r="DJ490" s="182"/>
      <c r="DK490" s="182"/>
      <c r="DL490" s="182"/>
      <c r="DM490" s="182"/>
      <c r="DN490" s="182"/>
      <c r="DO490" s="182"/>
      <c r="DP490" s="182"/>
      <c r="DQ490" s="182"/>
      <c r="DR490" s="182"/>
      <c r="DS490" s="182"/>
      <c r="DT490" s="182"/>
      <c r="DU490" s="182"/>
      <c r="DV490" s="182"/>
      <c r="DW490" s="182"/>
      <c r="DX490" s="182"/>
      <c r="DY490" s="182"/>
      <c r="DZ490" s="182"/>
      <c r="EA490" s="182"/>
      <c r="EB490" s="182"/>
      <c r="EC490" s="182"/>
      <c r="ED490" s="182"/>
      <c r="EE490" s="182"/>
      <c r="EF490" s="182"/>
      <c r="EG490" s="182"/>
      <c r="EH490" s="182"/>
      <c r="EI490" s="182"/>
      <c r="EJ490" s="182"/>
      <c r="EK490" s="182"/>
      <c r="EL490" s="182"/>
      <c r="EM490" s="182"/>
      <c r="EN490" s="182"/>
      <c r="EO490" s="182"/>
      <c r="EP490" s="182"/>
      <c r="EQ490" s="182"/>
      <c r="ER490" s="182"/>
      <c r="ES490" s="182"/>
      <c r="ET490" s="182"/>
      <c r="EU490" s="182"/>
      <c r="EV490" s="182"/>
      <c r="EW490" s="182"/>
      <c r="EX490" s="182"/>
      <c r="EY490" s="182"/>
      <c r="EZ490" s="182"/>
      <c r="FA490" s="182"/>
      <c r="FB490" s="182"/>
      <c r="FC490" s="182"/>
      <c r="FD490" s="182"/>
      <c r="FE490" s="182"/>
      <c r="FF490" s="182"/>
      <c r="FG490" s="182"/>
      <c r="FH490" s="182"/>
      <c r="FI490" s="182"/>
      <c r="FJ490" s="182"/>
      <c r="FK490" s="182"/>
      <c r="FL490" s="182"/>
      <c r="FM490" s="182"/>
      <c r="FN490" s="182"/>
      <c r="FO490" s="182"/>
      <c r="FP490" s="182"/>
      <c r="FQ490" s="182"/>
      <c r="FR490" s="182"/>
      <c r="FS490" s="182"/>
      <c r="FT490" s="182"/>
      <c r="FU490" s="182"/>
      <c r="FV490" s="182"/>
      <c r="FW490" s="182"/>
      <c r="FX490" s="182"/>
      <c r="FY490" s="182"/>
      <c r="FZ490" s="182"/>
      <c r="GA490" s="182"/>
      <c r="GB490" s="182"/>
      <c r="GC490" s="182"/>
      <c r="GD490" s="182"/>
      <c r="GE490" s="182"/>
      <c r="GF490" s="182"/>
      <c r="GG490" s="182"/>
      <c r="GH490" s="182"/>
      <c r="GI490" s="182"/>
    </row>
    <row r="491" spans="1:191" s="183" customFormat="1" ht="38.25" x14ac:dyDescent="0.2">
      <c r="A491" s="210" t="s">
        <v>38796</v>
      </c>
      <c r="B491" s="210" t="s">
        <v>20752</v>
      </c>
      <c r="C491" s="224" t="s">
        <v>22595</v>
      </c>
      <c r="D491" s="211" t="s">
        <v>69</v>
      </c>
      <c r="E491" s="211">
        <v>300</v>
      </c>
      <c r="F491" s="211"/>
      <c r="G491" s="211">
        <v>0.3</v>
      </c>
      <c r="H491" s="212"/>
      <c r="I491" s="213"/>
      <c r="J491" s="272">
        <v>26.8</v>
      </c>
      <c r="K491" s="112">
        <f t="shared" si="32"/>
        <v>8040</v>
      </c>
      <c r="L491" s="273">
        <f>BDI!$E$17</f>
        <v>0.11260000000000001</v>
      </c>
      <c r="M491" s="213"/>
      <c r="N491" s="213"/>
      <c r="O491" s="114">
        <f t="shared" si="33"/>
        <v>29.82</v>
      </c>
      <c r="P491" s="113">
        <f t="shared" si="34"/>
        <v>2683.8</v>
      </c>
      <c r="Q491" s="209"/>
      <c r="R491" s="203"/>
      <c r="S491" s="182"/>
      <c r="T491" s="182"/>
      <c r="U491" s="182"/>
      <c r="V491" s="182"/>
      <c r="W491" s="182"/>
      <c r="X491" s="182"/>
      <c r="Y491" s="182"/>
      <c r="Z491" s="182"/>
      <c r="AA491" s="182"/>
      <c r="AB491" s="182"/>
      <c r="AC491" s="182"/>
      <c r="AD491" s="182"/>
      <c r="AE491" s="182"/>
      <c r="AF491" s="182"/>
      <c r="AG491" s="182"/>
      <c r="AH491" s="182"/>
      <c r="AI491" s="182"/>
      <c r="AJ491" s="182"/>
      <c r="AK491" s="182"/>
      <c r="AL491" s="182"/>
      <c r="AM491" s="182"/>
      <c r="AN491" s="182"/>
      <c r="AO491" s="182"/>
      <c r="AP491" s="182"/>
      <c r="AQ491" s="182"/>
      <c r="AR491" s="182"/>
      <c r="AS491" s="182"/>
      <c r="AT491" s="182"/>
      <c r="AU491" s="182"/>
      <c r="AV491" s="182"/>
      <c r="AW491" s="182"/>
      <c r="AX491" s="182"/>
      <c r="AY491" s="182"/>
      <c r="AZ491" s="182"/>
      <c r="BA491" s="182"/>
      <c r="BB491" s="182"/>
      <c r="BC491" s="182"/>
      <c r="BD491" s="182"/>
      <c r="BE491" s="182"/>
      <c r="BF491" s="182"/>
      <c r="BG491" s="182"/>
      <c r="BH491" s="182"/>
      <c r="BI491" s="182"/>
      <c r="BJ491" s="182"/>
      <c r="BK491" s="182"/>
      <c r="BL491" s="182"/>
      <c r="BM491" s="182"/>
      <c r="BN491" s="182"/>
      <c r="BO491" s="182"/>
      <c r="BP491" s="182"/>
      <c r="BQ491" s="182"/>
      <c r="BR491" s="182"/>
      <c r="BS491" s="182"/>
      <c r="BT491" s="182"/>
      <c r="BU491" s="182"/>
      <c r="BV491" s="182"/>
      <c r="BW491" s="182"/>
      <c r="BX491" s="182"/>
      <c r="BY491" s="182"/>
      <c r="BZ491" s="182"/>
      <c r="CA491" s="182"/>
      <c r="CB491" s="182"/>
      <c r="CC491" s="182"/>
      <c r="CD491" s="182"/>
      <c r="CE491" s="182"/>
      <c r="CF491" s="182"/>
      <c r="CG491" s="182"/>
      <c r="CH491" s="182"/>
      <c r="CI491" s="182"/>
      <c r="CJ491" s="182"/>
      <c r="CK491" s="182"/>
      <c r="CL491" s="182"/>
      <c r="CM491" s="182"/>
      <c r="CN491" s="182"/>
      <c r="CO491" s="182"/>
      <c r="CP491" s="182"/>
      <c r="CQ491" s="182"/>
      <c r="CR491" s="182"/>
      <c r="CS491" s="182"/>
      <c r="CT491" s="182"/>
      <c r="CU491" s="182"/>
      <c r="CV491" s="182"/>
      <c r="CW491" s="182"/>
      <c r="CX491" s="182"/>
      <c r="CY491" s="182"/>
      <c r="CZ491" s="182"/>
      <c r="DA491" s="182"/>
      <c r="DB491" s="182"/>
      <c r="DC491" s="182"/>
      <c r="DD491" s="182"/>
      <c r="DE491" s="182"/>
      <c r="DF491" s="182"/>
      <c r="DG491" s="182"/>
      <c r="DH491" s="182"/>
      <c r="DI491" s="182"/>
      <c r="DJ491" s="182"/>
      <c r="DK491" s="182"/>
      <c r="DL491" s="182"/>
      <c r="DM491" s="182"/>
      <c r="DN491" s="182"/>
      <c r="DO491" s="182"/>
      <c r="DP491" s="182"/>
      <c r="DQ491" s="182"/>
      <c r="DR491" s="182"/>
      <c r="DS491" s="182"/>
      <c r="DT491" s="182"/>
      <c r="DU491" s="182"/>
      <c r="DV491" s="182"/>
      <c r="DW491" s="182"/>
      <c r="DX491" s="182"/>
      <c r="DY491" s="182"/>
      <c r="DZ491" s="182"/>
      <c r="EA491" s="182"/>
      <c r="EB491" s="182"/>
      <c r="EC491" s="182"/>
      <c r="ED491" s="182"/>
      <c r="EE491" s="182"/>
      <c r="EF491" s="182"/>
      <c r="EG491" s="182"/>
      <c r="EH491" s="182"/>
      <c r="EI491" s="182"/>
      <c r="EJ491" s="182"/>
      <c r="EK491" s="182"/>
      <c r="EL491" s="182"/>
      <c r="EM491" s="182"/>
      <c r="EN491" s="182"/>
      <c r="EO491" s="182"/>
      <c r="EP491" s="182"/>
      <c r="EQ491" s="182"/>
      <c r="ER491" s="182"/>
      <c r="ES491" s="182"/>
      <c r="ET491" s="182"/>
      <c r="EU491" s="182"/>
      <c r="EV491" s="182"/>
      <c r="EW491" s="182"/>
      <c r="EX491" s="182"/>
      <c r="EY491" s="182"/>
      <c r="EZ491" s="182"/>
      <c r="FA491" s="182"/>
      <c r="FB491" s="182"/>
      <c r="FC491" s="182"/>
      <c r="FD491" s="182"/>
      <c r="FE491" s="182"/>
      <c r="FF491" s="182"/>
      <c r="FG491" s="182"/>
      <c r="FH491" s="182"/>
      <c r="FI491" s="182"/>
      <c r="FJ491" s="182"/>
      <c r="FK491" s="182"/>
      <c r="FL491" s="182"/>
      <c r="FM491" s="182"/>
      <c r="FN491" s="182"/>
      <c r="FO491" s="182"/>
      <c r="FP491" s="182"/>
      <c r="FQ491" s="182"/>
      <c r="FR491" s="182"/>
      <c r="FS491" s="182"/>
      <c r="FT491" s="182"/>
      <c r="FU491" s="182"/>
      <c r="FV491" s="182"/>
      <c r="FW491" s="182"/>
      <c r="FX491" s="182"/>
      <c r="FY491" s="182"/>
      <c r="FZ491" s="182"/>
      <c r="GA491" s="182"/>
      <c r="GB491" s="182"/>
      <c r="GC491" s="182"/>
      <c r="GD491" s="182"/>
      <c r="GE491" s="182"/>
      <c r="GF491" s="182"/>
      <c r="GG491" s="182"/>
      <c r="GH491" s="182"/>
      <c r="GI491" s="182"/>
    </row>
    <row r="492" spans="1:191" s="183" customFormat="1" ht="25.5" x14ac:dyDescent="0.2">
      <c r="A492" s="210" t="s">
        <v>38797</v>
      </c>
      <c r="B492" s="210" t="s">
        <v>20753</v>
      </c>
      <c r="C492" s="224" t="s">
        <v>22596</v>
      </c>
      <c r="D492" s="211" t="s">
        <v>69</v>
      </c>
      <c r="E492" s="211">
        <v>240</v>
      </c>
      <c r="F492" s="211"/>
      <c r="G492" s="211">
        <v>0.3</v>
      </c>
      <c r="H492" s="212"/>
      <c r="I492" s="213"/>
      <c r="J492" s="272">
        <v>29.32</v>
      </c>
      <c r="K492" s="112">
        <f t="shared" si="32"/>
        <v>7036.8</v>
      </c>
      <c r="L492" s="273">
        <f>BDI!$E$17</f>
        <v>0.11260000000000001</v>
      </c>
      <c r="M492" s="213"/>
      <c r="N492" s="213"/>
      <c r="O492" s="114">
        <f t="shared" si="33"/>
        <v>32.619999999999997</v>
      </c>
      <c r="P492" s="113">
        <f t="shared" si="34"/>
        <v>2348.64</v>
      </c>
      <c r="Q492" s="209"/>
      <c r="R492" s="203"/>
      <c r="S492" s="182"/>
      <c r="T492" s="182"/>
      <c r="U492" s="182"/>
      <c r="V492" s="182"/>
      <c r="W492" s="182"/>
      <c r="X492" s="182"/>
      <c r="Y492" s="182"/>
      <c r="Z492" s="182"/>
      <c r="AA492" s="182"/>
      <c r="AB492" s="182"/>
      <c r="AC492" s="182"/>
      <c r="AD492" s="182"/>
      <c r="AE492" s="182"/>
      <c r="AF492" s="182"/>
      <c r="AG492" s="182"/>
      <c r="AH492" s="182"/>
      <c r="AI492" s="182"/>
      <c r="AJ492" s="182"/>
      <c r="AK492" s="182"/>
      <c r="AL492" s="182"/>
      <c r="AM492" s="182"/>
      <c r="AN492" s="182"/>
      <c r="AO492" s="182"/>
      <c r="AP492" s="182"/>
      <c r="AQ492" s="182"/>
      <c r="AR492" s="182"/>
      <c r="AS492" s="182"/>
      <c r="AT492" s="182"/>
      <c r="AU492" s="182"/>
      <c r="AV492" s="182"/>
      <c r="AW492" s="182"/>
      <c r="AX492" s="182"/>
      <c r="AY492" s="182"/>
      <c r="AZ492" s="182"/>
      <c r="BA492" s="182"/>
      <c r="BB492" s="182"/>
      <c r="BC492" s="182"/>
      <c r="BD492" s="182"/>
      <c r="BE492" s="182"/>
      <c r="BF492" s="182"/>
      <c r="BG492" s="182"/>
      <c r="BH492" s="182"/>
      <c r="BI492" s="182"/>
      <c r="BJ492" s="182"/>
      <c r="BK492" s="182"/>
      <c r="BL492" s="182"/>
      <c r="BM492" s="182"/>
      <c r="BN492" s="182"/>
      <c r="BO492" s="182"/>
      <c r="BP492" s="182"/>
      <c r="BQ492" s="182"/>
      <c r="BR492" s="182"/>
      <c r="BS492" s="182"/>
      <c r="BT492" s="182"/>
      <c r="BU492" s="182"/>
      <c r="BV492" s="182"/>
      <c r="BW492" s="182"/>
      <c r="BX492" s="182"/>
      <c r="BY492" s="182"/>
      <c r="BZ492" s="182"/>
      <c r="CA492" s="182"/>
      <c r="CB492" s="182"/>
      <c r="CC492" s="182"/>
      <c r="CD492" s="182"/>
      <c r="CE492" s="182"/>
      <c r="CF492" s="182"/>
      <c r="CG492" s="182"/>
      <c r="CH492" s="182"/>
      <c r="CI492" s="182"/>
      <c r="CJ492" s="182"/>
      <c r="CK492" s="182"/>
      <c r="CL492" s="182"/>
      <c r="CM492" s="182"/>
      <c r="CN492" s="182"/>
      <c r="CO492" s="182"/>
      <c r="CP492" s="182"/>
      <c r="CQ492" s="182"/>
      <c r="CR492" s="182"/>
      <c r="CS492" s="182"/>
      <c r="CT492" s="182"/>
      <c r="CU492" s="182"/>
      <c r="CV492" s="182"/>
      <c r="CW492" s="182"/>
      <c r="CX492" s="182"/>
      <c r="CY492" s="182"/>
      <c r="CZ492" s="182"/>
      <c r="DA492" s="182"/>
      <c r="DB492" s="182"/>
      <c r="DC492" s="182"/>
      <c r="DD492" s="182"/>
      <c r="DE492" s="182"/>
      <c r="DF492" s="182"/>
      <c r="DG492" s="182"/>
      <c r="DH492" s="182"/>
      <c r="DI492" s="182"/>
      <c r="DJ492" s="182"/>
      <c r="DK492" s="182"/>
      <c r="DL492" s="182"/>
      <c r="DM492" s="182"/>
      <c r="DN492" s="182"/>
      <c r="DO492" s="182"/>
      <c r="DP492" s="182"/>
      <c r="DQ492" s="182"/>
      <c r="DR492" s="182"/>
      <c r="DS492" s="182"/>
      <c r="DT492" s="182"/>
      <c r="DU492" s="182"/>
      <c r="DV492" s="182"/>
      <c r="DW492" s="182"/>
      <c r="DX492" s="182"/>
      <c r="DY492" s="182"/>
      <c r="DZ492" s="182"/>
      <c r="EA492" s="182"/>
      <c r="EB492" s="182"/>
      <c r="EC492" s="182"/>
      <c r="ED492" s="182"/>
      <c r="EE492" s="182"/>
      <c r="EF492" s="182"/>
      <c r="EG492" s="182"/>
      <c r="EH492" s="182"/>
      <c r="EI492" s="182"/>
      <c r="EJ492" s="182"/>
      <c r="EK492" s="182"/>
      <c r="EL492" s="182"/>
      <c r="EM492" s="182"/>
      <c r="EN492" s="182"/>
      <c r="EO492" s="182"/>
      <c r="EP492" s="182"/>
      <c r="EQ492" s="182"/>
      <c r="ER492" s="182"/>
      <c r="ES492" s="182"/>
      <c r="ET492" s="182"/>
      <c r="EU492" s="182"/>
      <c r="EV492" s="182"/>
      <c r="EW492" s="182"/>
      <c r="EX492" s="182"/>
      <c r="EY492" s="182"/>
      <c r="EZ492" s="182"/>
      <c r="FA492" s="182"/>
      <c r="FB492" s="182"/>
      <c r="FC492" s="182"/>
      <c r="FD492" s="182"/>
      <c r="FE492" s="182"/>
      <c r="FF492" s="182"/>
      <c r="FG492" s="182"/>
      <c r="FH492" s="182"/>
      <c r="FI492" s="182"/>
      <c r="FJ492" s="182"/>
      <c r="FK492" s="182"/>
      <c r="FL492" s="182"/>
      <c r="FM492" s="182"/>
      <c r="FN492" s="182"/>
      <c r="FO492" s="182"/>
      <c r="FP492" s="182"/>
      <c r="FQ492" s="182"/>
      <c r="FR492" s="182"/>
      <c r="FS492" s="182"/>
      <c r="FT492" s="182"/>
      <c r="FU492" s="182"/>
      <c r="FV492" s="182"/>
      <c r="FW492" s="182"/>
      <c r="FX492" s="182"/>
      <c r="FY492" s="182"/>
      <c r="FZ492" s="182"/>
      <c r="GA492" s="182"/>
      <c r="GB492" s="182"/>
      <c r="GC492" s="182"/>
      <c r="GD492" s="182"/>
      <c r="GE492" s="182"/>
      <c r="GF492" s="182"/>
      <c r="GG492" s="182"/>
      <c r="GH492" s="182"/>
      <c r="GI492" s="182"/>
    </row>
    <row r="493" spans="1:191" s="183" customFormat="1" ht="25.5" x14ac:dyDescent="0.2">
      <c r="A493" s="210" t="s">
        <v>38798</v>
      </c>
      <c r="B493" s="210" t="s">
        <v>20754</v>
      </c>
      <c r="C493" s="224" t="s">
        <v>22597</v>
      </c>
      <c r="D493" s="211" t="s">
        <v>69</v>
      </c>
      <c r="E493" s="211">
        <v>240</v>
      </c>
      <c r="F493" s="211"/>
      <c r="G493" s="211">
        <v>0.3</v>
      </c>
      <c r="H493" s="212"/>
      <c r="I493" s="213"/>
      <c r="J493" s="272">
        <v>41.5</v>
      </c>
      <c r="K493" s="112">
        <f t="shared" si="32"/>
        <v>9960</v>
      </c>
      <c r="L493" s="273">
        <f>BDI!$E$17</f>
        <v>0.11260000000000001</v>
      </c>
      <c r="M493" s="213"/>
      <c r="N493" s="213"/>
      <c r="O493" s="114">
        <f t="shared" si="33"/>
        <v>46.17</v>
      </c>
      <c r="P493" s="113">
        <f t="shared" si="34"/>
        <v>3324.24</v>
      </c>
      <c r="Q493" s="209"/>
      <c r="R493" s="203"/>
      <c r="S493" s="182"/>
      <c r="T493" s="182"/>
      <c r="U493" s="182"/>
      <c r="V493" s="182"/>
      <c r="W493" s="182"/>
      <c r="X493" s="182"/>
      <c r="Y493" s="182"/>
      <c r="Z493" s="182"/>
      <c r="AA493" s="182"/>
      <c r="AB493" s="182"/>
      <c r="AC493" s="182"/>
      <c r="AD493" s="182"/>
      <c r="AE493" s="182"/>
      <c r="AF493" s="182"/>
      <c r="AG493" s="182"/>
      <c r="AH493" s="182"/>
      <c r="AI493" s="182"/>
      <c r="AJ493" s="182"/>
      <c r="AK493" s="182"/>
      <c r="AL493" s="182"/>
      <c r="AM493" s="182"/>
      <c r="AN493" s="182"/>
      <c r="AO493" s="182"/>
      <c r="AP493" s="182"/>
      <c r="AQ493" s="182"/>
      <c r="AR493" s="182"/>
      <c r="AS493" s="182"/>
      <c r="AT493" s="182"/>
      <c r="AU493" s="182"/>
      <c r="AV493" s="182"/>
      <c r="AW493" s="182"/>
      <c r="AX493" s="182"/>
      <c r="AY493" s="182"/>
      <c r="AZ493" s="182"/>
      <c r="BA493" s="182"/>
      <c r="BB493" s="182"/>
      <c r="BC493" s="182"/>
      <c r="BD493" s="182"/>
      <c r="BE493" s="182"/>
      <c r="BF493" s="182"/>
      <c r="BG493" s="182"/>
      <c r="BH493" s="182"/>
      <c r="BI493" s="182"/>
      <c r="BJ493" s="182"/>
      <c r="BK493" s="182"/>
      <c r="BL493" s="182"/>
      <c r="BM493" s="182"/>
      <c r="BN493" s="182"/>
      <c r="BO493" s="182"/>
      <c r="BP493" s="182"/>
      <c r="BQ493" s="182"/>
      <c r="BR493" s="182"/>
      <c r="BS493" s="182"/>
      <c r="BT493" s="182"/>
      <c r="BU493" s="182"/>
      <c r="BV493" s="182"/>
      <c r="BW493" s="182"/>
      <c r="BX493" s="182"/>
      <c r="BY493" s="182"/>
      <c r="BZ493" s="182"/>
      <c r="CA493" s="182"/>
      <c r="CB493" s="182"/>
      <c r="CC493" s="182"/>
      <c r="CD493" s="182"/>
      <c r="CE493" s="182"/>
      <c r="CF493" s="182"/>
      <c r="CG493" s="182"/>
      <c r="CH493" s="182"/>
      <c r="CI493" s="182"/>
      <c r="CJ493" s="182"/>
      <c r="CK493" s="182"/>
      <c r="CL493" s="182"/>
      <c r="CM493" s="182"/>
      <c r="CN493" s="182"/>
      <c r="CO493" s="182"/>
      <c r="CP493" s="182"/>
      <c r="CQ493" s="182"/>
      <c r="CR493" s="182"/>
      <c r="CS493" s="182"/>
      <c r="CT493" s="182"/>
      <c r="CU493" s="182"/>
      <c r="CV493" s="182"/>
      <c r="CW493" s="182"/>
      <c r="CX493" s="182"/>
      <c r="CY493" s="182"/>
      <c r="CZ493" s="182"/>
      <c r="DA493" s="182"/>
      <c r="DB493" s="182"/>
      <c r="DC493" s="182"/>
      <c r="DD493" s="182"/>
      <c r="DE493" s="182"/>
      <c r="DF493" s="182"/>
      <c r="DG493" s="182"/>
      <c r="DH493" s="182"/>
      <c r="DI493" s="182"/>
      <c r="DJ493" s="182"/>
      <c r="DK493" s="182"/>
      <c r="DL493" s="182"/>
      <c r="DM493" s="182"/>
      <c r="DN493" s="182"/>
      <c r="DO493" s="182"/>
      <c r="DP493" s="182"/>
      <c r="DQ493" s="182"/>
      <c r="DR493" s="182"/>
      <c r="DS493" s="182"/>
      <c r="DT493" s="182"/>
      <c r="DU493" s="182"/>
      <c r="DV493" s="182"/>
      <c r="DW493" s="182"/>
      <c r="DX493" s="182"/>
      <c r="DY493" s="182"/>
      <c r="DZ493" s="182"/>
      <c r="EA493" s="182"/>
      <c r="EB493" s="182"/>
      <c r="EC493" s="182"/>
      <c r="ED493" s="182"/>
      <c r="EE493" s="182"/>
      <c r="EF493" s="182"/>
      <c r="EG493" s="182"/>
      <c r="EH493" s="182"/>
      <c r="EI493" s="182"/>
      <c r="EJ493" s="182"/>
      <c r="EK493" s="182"/>
      <c r="EL493" s="182"/>
      <c r="EM493" s="182"/>
      <c r="EN493" s="182"/>
      <c r="EO493" s="182"/>
      <c r="EP493" s="182"/>
      <c r="EQ493" s="182"/>
      <c r="ER493" s="182"/>
      <c r="ES493" s="182"/>
      <c r="ET493" s="182"/>
      <c r="EU493" s="182"/>
      <c r="EV493" s="182"/>
      <c r="EW493" s="182"/>
      <c r="EX493" s="182"/>
      <c r="EY493" s="182"/>
      <c r="EZ493" s="182"/>
      <c r="FA493" s="182"/>
      <c r="FB493" s="182"/>
      <c r="FC493" s="182"/>
      <c r="FD493" s="182"/>
      <c r="FE493" s="182"/>
      <c r="FF493" s="182"/>
      <c r="FG493" s="182"/>
      <c r="FH493" s="182"/>
      <c r="FI493" s="182"/>
      <c r="FJ493" s="182"/>
      <c r="FK493" s="182"/>
      <c r="FL493" s="182"/>
      <c r="FM493" s="182"/>
      <c r="FN493" s="182"/>
      <c r="FO493" s="182"/>
      <c r="FP493" s="182"/>
      <c r="FQ493" s="182"/>
      <c r="FR493" s="182"/>
      <c r="FS493" s="182"/>
      <c r="FT493" s="182"/>
      <c r="FU493" s="182"/>
      <c r="FV493" s="182"/>
      <c r="FW493" s="182"/>
      <c r="FX493" s="182"/>
      <c r="FY493" s="182"/>
      <c r="FZ493" s="182"/>
      <c r="GA493" s="182"/>
      <c r="GB493" s="182"/>
      <c r="GC493" s="182"/>
      <c r="GD493" s="182"/>
      <c r="GE493" s="182"/>
      <c r="GF493" s="182"/>
      <c r="GG493" s="182"/>
      <c r="GH493" s="182"/>
      <c r="GI493" s="182"/>
    </row>
    <row r="494" spans="1:191" s="183" customFormat="1" ht="25.5" x14ac:dyDescent="0.2">
      <c r="A494" s="210" t="s">
        <v>38799</v>
      </c>
      <c r="B494" s="210" t="s">
        <v>20755</v>
      </c>
      <c r="C494" s="224" t="s">
        <v>22598</v>
      </c>
      <c r="D494" s="211" t="s">
        <v>69</v>
      </c>
      <c r="E494" s="211">
        <v>240</v>
      </c>
      <c r="F494" s="211"/>
      <c r="G494" s="211">
        <v>0.3</v>
      </c>
      <c r="H494" s="212"/>
      <c r="I494" s="213"/>
      <c r="J494" s="272">
        <v>52.34</v>
      </c>
      <c r="K494" s="112">
        <f t="shared" si="32"/>
        <v>12561.6</v>
      </c>
      <c r="L494" s="273">
        <f>BDI!$E$17</f>
        <v>0.11260000000000001</v>
      </c>
      <c r="M494" s="213"/>
      <c r="N494" s="213"/>
      <c r="O494" s="114">
        <f t="shared" si="33"/>
        <v>58.23</v>
      </c>
      <c r="P494" s="113">
        <f t="shared" si="34"/>
        <v>4192.5600000000004</v>
      </c>
      <c r="Q494" s="209"/>
      <c r="R494" s="203"/>
      <c r="S494" s="182"/>
      <c r="T494" s="182"/>
      <c r="U494" s="182"/>
      <c r="V494" s="182"/>
      <c r="W494" s="182"/>
      <c r="X494" s="182"/>
      <c r="Y494" s="182"/>
      <c r="Z494" s="182"/>
      <c r="AA494" s="182"/>
      <c r="AB494" s="182"/>
      <c r="AC494" s="182"/>
      <c r="AD494" s="182"/>
      <c r="AE494" s="182"/>
      <c r="AF494" s="182"/>
      <c r="AG494" s="182"/>
      <c r="AH494" s="182"/>
      <c r="AI494" s="182"/>
      <c r="AJ494" s="182"/>
      <c r="AK494" s="182"/>
      <c r="AL494" s="182"/>
      <c r="AM494" s="182"/>
      <c r="AN494" s="182"/>
      <c r="AO494" s="182"/>
      <c r="AP494" s="182"/>
      <c r="AQ494" s="182"/>
      <c r="AR494" s="182"/>
      <c r="AS494" s="182"/>
      <c r="AT494" s="182"/>
      <c r="AU494" s="182"/>
      <c r="AV494" s="182"/>
      <c r="AW494" s="182"/>
      <c r="AX494" s="182"/>
      <c r="AY494" s="182"/>
      <c r="AZ494" s="182"/>
      <c r="BA494" s="182"/>
      <c r="BB494" s="182"/>
      <c r="BC494" s="182"/>
      <c r="BD494" s="182"/>
      <c r="BE494" s="182"/>
      <c r="BF494" s="182"/>
      <c r="BG494" s="182"/>
      <c r="BH494" s="182"/>
      <c r="BI494" s="182"/>
      <c r="BJ494" s="182"/>
      <c r="BK494" s="182"/>
      <c r="BL494" s="182"/>
      <c r="BM494" s="182"/>
      <c r="BN494" s="182"/>
      <c r="BO494" s="182"/>
      <c r="BP494" s="182"/>
      <c r="BQ494" s="182"/>
      <c r="BR494" s="182"/>
      <c r="BS494" s="182"/>
      <c r="BT494" s="182"/>
      <c r="BU494" s="182"/>
      <c r="BV494" s="182"/>
      <c r="BW494" s="182"/>
      <c r="BX494" s="182"/>
      <c r="BY494" s="182"/>
      <c r="BZ494" s="182"/>
      <c r="CA494" s="182"/>
      <c r="CB494" s="182"/>
      <c r="CC494" s="182"/>
      <c r="CD494" s="182"/>
      <c r="CE494" s="182"/>
      <c r="CF494" s="182"/>
      <c r="CG494" s="182"/>
      <c r="CH494" s="182"/>
      <c r="CI494" s="182"/>
      <c r="CJ494" s="182"/>
      <c r="CK494" s="182"/>
      <c r="CL494" s="182"/>
      <c r="CM494" s="182"/>
      <c r="CN494" s="182"/>
      <c r="CO494" s="182"/>
      <c r="CP494" s="182"/>
      <c r="CQ494" s="182"/>
      <c r="CR494" s="182"/>
      <c r="CS494" s="182"/>
      <c r="CT494" s="182"/>
      <c r="CU494" s="182"/>
      <c r="CV494" s="182"/>
      <c r="CW494" s="182"/>
      <c r="CX494" s="182"/>
      <c r="CY494" s="182"/>
      <c r="CZ494" s="182"/>
      <c r="DA494" s="182"/>
      <c r="DB494" s="182"/>
      <c r="DC494" s="182"/>
      <c r="DD494" s="182"/>
      <c r="DE494" s="182"/>
      <c r="DF494" s="182"/>
      <c r="DG494" s="182"/>
      <c r="DH494" s="182"/>
      <c r="DI494" s="182"/>
      <c r="DJ494" s="182"/>
      <c r="DK494" s="182"/>
      <c r="DL494" s="182"/>
      <c r="DM494" s="182"/>
      <c r="DN494" s="182"/>
      <c r="DO494" s="182"/>
      <c r="DP494" s="182"/>
      <c r="DQ494" s="182"/>
      <c r="DR494" s="182"/>
      <c r="DS494" s="182"/>
      <c r="DT494" s="182"/>
      <c r="DU494" s="182"/>
      <c r="DV494" s="182"/>
      <c r="DW494" s="182"/>
      <c r="DX494" s="182"/>
      <c r="DY494" s="182"/>
      <c r="DZ494" s="182"/>
      <c r="EA494" s="182"/>
      <c r="EB494" s="182"/>
      <c r="EC494" s="182"/>
      <c r="ED494" s="182"/>
      <c r="EE494" s="182"/>
      <c r="EF494" s="182"/>
      <c r="EG494" s="182"/>
      <c r="EH494" s="182"/>
      <c r="EI494" s="182"/>
      <c r="EJ494" s="182"/>
      <c r="EK494" s="182"/>
      <c r="EL494" s="182"/>
      <c r="EM494" s="182"/>
      <c r="EN494" s="182"/>
      <c r="EO494" s="182"/>
      <c r="EP494" s="182"/>
      <c r="EQ494" s="182"/>
      <c r="ER494" s="182"/>
      <c r="ES494" s="182"/>
      <c r="ET494" s="182"/>
      <c r="EU494" s="182"/>
      <c r="EV494" s="182"/>
      <c r="EW494" s="182"/>
      <c r="EX494" s="182"/>
      <c r="EY494" s="182"/>
      <c r="EZ494" s="182"/>
      <c r="FA494" s="182"/>
      <c r="FB494" s="182"/>
      <c r="FC494" s="182"/>
      <c r="FD494" s="182"/>
      <c r="FE494" s="182"/>
      <c r="FF494" s="182"/>
      <c r="FG494" s="182"/>
      <c r="FH494" s="182"/>
      <c r="FI494" s="182"/>
      <c r="FJ494" s="182"/>
      <c r="FK494" s="182"/>
      <c r="FL494" s="182"/>
      <c r="FM494" s="182"/>
      <c r="FN494" s="182"/>
      <c r="FO494" s="182"/>
      <c r="FP494" s="182"/>
      <c r="FQ494" s="182"/>
      <c r="FR494" s="182"/>
      <c r="FS494" s="182"/>
      <c r="FT494" s="182"/>
      <c r="FU494" s="182"/>
      <c r="FV494" s="182"/>
      <c r="FW494" s="182"/>
      <c r="FX494" s="182"/>
      <c r="FY494" s="182"/>
      <c r="FZ494" s="182"/>
      <c r="GA494" s="182"/>
      <c r="GB494" s="182"/>
      <c r="GC494" s="182"/>
      <c r="GD494" s="182"/>
      <c r="GE494" s="182"/>
      <c r="GF494" s="182"/>
      <c r="GG494" s="182"/>
      <c r="GH494" s="182"/>
      <c r="GI494" s="182"/>
    </row>
    <row r="495" spans="1:191" s="183" customFormat="1" ht="25.5" x14ac:dyDescent="0.2">
      <c r="A495" s="210" t="s">
        <v>38800</v>
      </c>
      <c r="B495" s="210" t="s">
        <v>20756</v>
      </c>
      <c r="C495" s="224" t="s">
        <v>22599</v>
      </c>
      <c r="D495" s="211" t="s">
        <v>69</v>
      </c>
      <c r="E495" s="211">
        <v>240</v>
      </c>
      <c r="F495" s="211"/>
      <c r="G495" s="211">
        <v>0.3</v>
      </c>
      <c r="H495" s="212"/>
      <c r="I495" s="213"/>
      <c r="J495" s="272">
        <v>59.47</v>
      </c>
      <c r="K495" s="112">
        <f t="shared" si="32"/>
        <v>14272.8</v>
      </c>
      <c r="L495" s="273">
        <f>BDI!$E$17</f>
        <v>0.11260000000000001</v>
      </c>
      <c r="M495" s="213"/>
      <c r="N495" s="213"/>
      <c r="O495" s="114">
        <f t="shared" si="33"/>
        <v>66.17</v>
      </c>
      <c r="P495" s="113">
        <f t="shared" si="34"/>
        <v>4764.24</v>
      </c>
      <c r="Q495" s="209"/>
      <c r="R495" s="203"/>
      <c r="S495" s="182"/>
      <c r="T495" s="182"/>
      <c r="U495" s="182"/>
      <c r="V495" s="182"/>
      <c r="W495" s="182"/>
      <c r="X495" s="182"/>
      <c r="Y495" s="182"/>
      <c r="Z495" s="182"/>
      <c r="AA495" s="182"/>
      <c r="AB495" s="182"/>
      <c r="AC495" s="182"/>
      <c r="AD495" s="182"/>
      <c r="AE495" s="182"/>
      <c r="AF495" s="182"/>
      <c r="AG495" s="182"/>
      <c r="AH495" s="182"/>
      <c r="AI495" s="182"/>
      <c r="AJ495" s="182"/>
      <c r="AK495" s="182"/>
      <c r="AL495" s="182"/>
      <c r="AM495" s="182"/>
      <c r="AN495" s="182"/>
      <c r="AO495" s="182"/>
      <c r="AP495" s="182"/>
      <c r="AQ495" s="182"/>
      <c r="AR495" s="182"/>
      <c r="AS495" s="182"/>
      <c r="AT495" s="182"/>
      <c r="AU495" s="182"/>
      <c r="AV495" s="182"/>
      <c r="AW495" s="182"/>
      <c r="AX495" s="182"/>
      <c r="AY495" s="182"/>
      <c r="AZ495" s="182"/>
      <c r="BA495" s="182"/>
      <c r="BB495" s="182"/>
      <c r="BC495" s="182"/>
      <c r="BD495" s="182"/>
      <c r="BE495" s="182"/>
      <c r="BF495" s="182"/>
      <c r="BG495" s="182"/>
      <c r="BH495" s="182"/>
      <c r="BI495" s="182"/>
      <c r="BJ495" s="182"/>
      <c r="BK495" s="182"/>
      <c r="BL495" s="182"/>
      <c r="BM495" s="182"/>
      <c r="BN495" s="182"/>
      <c r="BO495" s="182"/>
      <c r="BP495" s="182"/>
      <c r="BQ495" s="182"/>
      <c r="BR495" s="182"/>
      <c r="BS495" s="182"/>
      <c r="BT495" s="182"/>
      <c r="BU495" s="182"/>
      <c r="BV495" s="182"/>
      <c r="BW495" s="182"/>
      <c r="BX495" s="182"/>
      <c r="BY495" s="182"/>
      <c r="BZ495" s="182"/>
      <c r="CA495" s="182"/>
      <c r="CB495" s="182"/>
      <c r="CC495" s="182"/>
      <c r="CD495" s="182"/>
      <c r="CE495" s="182"/>
      <c r="CF495" s="182"/>
      <c r="CG495" s="182"/>
      <c r="CH495" s="182"/>
      <c r="CI495" s="182"/>
      <c r="CJ495" s="182"/>
      <c r="CK495" s="182"/>
      <c r="CL495" s="182"/>
      <c r="CM495" s="182"/>
      <c r="CN495" s="182"/>
      <c r="CO495" s="182"/>
      <c r="CP495" s="182"/>
      <c r="CQ495" s="182"/>
      <c r="CR495" s="182"/>
      <c r="CS495" s="182"/>
      <c r="CT495" s="182"/>
      <c r="CU495" s="182"/>
      <c r="CV495" s="182"/>
      <c r="CW495" s="182"/>
      <c r="CX495" s="182"/>
      <c r="CY495" s="182"/>
      <c r="CZ495" s="182"/>
      <c r="DA495" s="182"/>
      <c r="DB495" s="182"/>
      <c r="DC495" s="182"/>
      <c r="DD495" s="182"/>
      <c r="DE495" s="182"/>
      <c r="DF495" s="182"/>
      <c r="DG495" s="182"/>
      <c r="DH495" s="182"/>
      <c r="DI495" s="182"/>
      <c r="DJ495" s="182"/>
      <c r="DK495" s="182"/>
      <c r="DL495" s="182"/>
      <c r="DM495" s="182"/>
      <c r="DN495" s="182"/>
      <c r="DO495" s="182"/>
      <c r="DP495" s="182"/>
      <c r="DQ495" s="182"/>
      <c r="DR495" s="182"/>
      <c r="DS495" s="182"/>
      <c r="DT495" s="182"/>
      <c r="DU495" s="182"/>
      <c r="DV495" s="182"/>
      <c r="DW495" s="182"/>
      <c r="DX495" s="182"/>
      <c r="DY495" s="182"/>
      <c r="DZ495" s="182"/>
      <c r="EA495" s="182"/>
      <c r="EB495" s="182"/>
      <c r="EC495" s="182"/>
      <c r="ED495" s="182"/>
      <c r="EE495" s="182"/>
      <c r="EF495" s="182"/>
      <c r="EG495" s="182"/>
      <c r="EH495" s="182"/>
      <c r="EI495" s="182"/>
      <c r="EJ495" s="182"/>
      <c r="EK495" s="182"/>
      <c r="EL495" s="182"/>
      <c r="EM495" s="182"/>
      <c r="EN495" s="182"/>
      <c r="EO495" s="182"/>
      <c r="EP495" s="182"/>
      <c r="EQ495" s="182"/>
      <c r="ER495" s="182"/>
      <c r="ES495" s="182"/>
      <c r="ET495" s="182"/>
      <c r="EU495" s="182"/>
      <c r="EV495" s="182"/>
      <c r="EW495" s="182"/>
      <c r="EX495" s="182"/>
      <c r="EY495" s="182"/>
      <c r="EZ495" s="182"/>
      <c r="FA495" s="182"/>
      <c r="FB495" s="182"/>
      <c r="FC495" s="182"/>
      <c r="FD495" s="182"/>
      <c r="FE495" s="182"/>
      <c r="FF495" s="182"/>
      <c r="FG495" s="182"/>
      <c r="FH495" s="182"/>
      <c r="FI495" s="182"/>
      <c r="FJ495" s="182"/>
      <c r="FK495" s="182"/>
      <c r="FL495" s="182"/>
      <c r="FM495" s="182"/>
      <c r="FN495" s="182"/>
      <c r="FO495" s="182"/>
      <c r="FP495" s="182"/>
      <c r="FQ495" s="182"/>
      <c r="FR495" s="182"/>
      <c r="FS495" s="182"/>
      <c r="FT495" s="182"/>
      <c r="FU495" s="182"/>
      <c r="FV495" s="182"/>
      <c r="FW495" s="182"/>
      <c r="FX495" s="182"/>
      <c r="FY495" s="182"/>
      <c r="FZ495" s="182"/>
      <c r="GA495" s="182"/>
      <c r="GB495" s="182"/>
      <c r="GC495" s="182"/>
      <c r="GD495" s="182"/>
      <c r="GE495" s="182"/>
      <c r="GF495" s="182"/>
      <c r="GG495" s="182"/>
      <c r="GH495" s="182"/>
      <c r="GI495" s="182"/>
    </row>
    <row r="496" spans="1:191" s="183" customFormat="1" ht="25.5" x14ac:dyDescent="0.2">
      <c r="A496" s="210" t="s">
        <v>38801</v>
      </c>
      <c r="B496" s="210" t="s">
        <v>20757</v>
      </c>
      <c r="C496" s="224" t="s">
        <v>22600</v>
      </c>
      <c r="D496" s="211" t="s">
        <v>69</v>
      </c>
      <c r="E496" s="211">
        <v>240</v>
      </c>
      <c r="F496" s="211"/>
      <c r="G496" s="211">
        <v>0.3</v>
      </c>
      <c r="H496" s="212"/>
      <c r="I496" s="213"/>
      <c r="J496" s="272">
        <v>70.36</v>
      </c>
      <c r="K496" s="112">
        <f t="shared" si="32"/>
        <v>16886.400000000001</v>
      </c>
      <c r="L496" s="273">
        <f>BDI!$E$17</f>
        <v>0.11260000000000001</v>
      </c>
      <c r="M496" s="213"/>
      <c r="N496" s="213"/>
      <c r="O496" s="114">
        <f t="shared" si="33"/>
        <v>78.28</v>
      </c>
      <c r="P496" s="113">
        <f t="shared" si="34"/>
        <v>5636.16</v>
      </c>
      <c r="Q496" s="209"/>
      <c r="R496" s="203"/>
      <c r="S496" s="182"/>
      <c r="T496" s="182"/>
      <c r="U496" s="182"/>
      <c r="V496" s="182"/>
      <c r="W496" s="182"/>
      <c r="X496" s="182"/>
      <c r="Y496" s="182"/>
      <c r="Z496" s="182"/>
      <c r="AA496" s="182"/>
      <c r="AB496" s="182"/>
      <c r="AC496" s="182"/>
      <c r="AD496" s="182"/>
      <c r="AE496" s="182"/>
      <c r="AF496" s="182"/>
      <c r="AG496" s="182"/>
      <c r="AH496" s="182"/>
      <c r="AI496" s="182"/>
      <c r="AJ496" s="182"/>
      <c r="AK496" s="182"/>
      <c r="AL496" s="182"/>
      <c r="AM496" s="182"/>
      <c r="AN496" s="182"/>
      <c r="AO496" s="182"/>
      <c r="AP496" s="182"/>
      <c r="AQ496" s="182"/>
      <c r="AR496" s="182"/>
      <c r="AS496" s="182"/>
      <c r="AT496" s="182"/>
      <c r="AU496" s="182"/>
      <c r="AV496" s="182"/>
      <c r="AW496" s="182"/>
      <c r="AX496" s="182"/>
      <c r="AY496" s="182"/>
      <c r="AZ496" s="182"/>
      <c r="BA496" s="182"/>
      <c r="BB496" s="182"/>
      <c r="BC496" s="182"/>
      <c r="BD496" s="182"/>
      <c r="BE496" s="182"/>
      <c r="BF496" s="182"/>
      <c r="BG496" s="182"/>
      <c r="BH496" s="182"/>
      <c r="BI496" s="182"/>
      <c r="BJ496" s="182"/>
      <c r="BK496" s="182"/>
      <c r="BL496" s="182"/>
      <c r="BM496" s="182"/>
      <c r="BN496" s="182"/>
      <c r="BO496" s="182"/>
      <c r="BP496" s="182"/>
      <c r="BQ496" s="182"/>
      <c r="BR496" s="182"/>
      <c r="BS496" s="182"/>
      <c r="BT496" s="182"/>
      <c r="BU496" s="182"/>
      <c r="BV496" s="182"/>
      <c r="BW496" s="182"/>
      <c r="BX496" s="182"/>
      <c r="BY496" s="182"/>
      <c r="BZ496" s="182"/>
      <c r="CA496" s="182"/>
      <c r="CB496" s="182"/>
      <c r="CC496" s="182"/>
      <c r="CD496" s="182"/>
      <c r="CE496" s="182"/>
      <c r="CF496" s="182"/>
      <c r="CG496" s="182"/>
      <c r="CH496" s="182"/>
      <c r="CI496" s="182"/>
      <c r="CJ496" s="182"/>
      <c r="CK496" s="182"/>
      <c r="CL496" s="182"/>
      <c r="CM496" s="182"/>
      <c r="CN496" s="182"/>
      <c r="CO496" s="182"/>
      <c r="CP496" s="182"/>
      <c r="CQ496" s="182"/>
      <c r="CR496" s="182"/>
      <c r="CS496" s="182"/>
      <c r="CT496" s="182"/>
      <c r="CU496" s="182"/>
      <c r="CV496" s="182"/>
      <c r="CW496" s="182"/>
      <c r="CX496" s="182"/>
      <c r="CY496" s="182"/>
      <c r="CZ496" s="182"/>
      <c r="DA496" s="182"/>
      <c r="DB496" s="182"/>
      <c r="DC496" s="182"/>
      <c r="DD496" s="182"/>
      <c r="DE496" s="182"/>
      <c r="DF496" s="182"/>
      <c r="DG496" s="182"/>
      <c r="DH496" s="182"/>
      <c r="DI496" s="182"/>
      <c r="DJ496" s="182"/>
      <c r="DK496" s="182"/>
      <c r="DL496" s="182"/>
      <c r="DM496" s="182"/>
      <c r="DN496" s="182"/>
      <c r="DO496" s="182"/>
      <c r="DP496" s="182"/>
      <c r="DQ496" s="182"/>
      <c r="DR496" s="182"/>
      <c r="DS496" s="182"/>
      <c r="DT496" s="182"/>
      <c r="DU496" s="182"/>
      <c r="DV496" s="182"/>
      <c r="DW496" s="182"/>
      <c r="DX496" s="182"/>
      <c r="DY496" s="182"/>
      <c r="DZ496" s="182"/>
      <c r="EA496" s="182"/>
      <c r="EB496" s="182"/>
      <c r="EC496" s="182"/>
      <c r="ED496" s="182"/>
      <c r="EE496" s="182"/>
      <c r="EF496" s="182"/>
      <c r="EG496" s="182"/>
      <c r="EH496" s="182"/>
      <c r="EI496" s="182"/>
      <c r="EJ496" s="182"/>
      <c r="EK496" s="182"/>
      <c r="EL496" s="182"/>
      <c r="EM496" s="182"/>
      <c r="EN496" s="182"/>
      <c r="EO496" s="182"/>
      <c r="EP496" s="182"/>
      <c r="EQ496" s="182"/>
      <c r="ER496" s="182"/>
      <c r="ES496" s="182"/>
      <c r="ET496" s="182"/>
      <c r="EU496" s="182"/>
      <c r="EV496" s="182"/>
      <c r="EW496" s="182"/>
      <c r="EX496" s="182"/>
      <c r="EY496" s="182"/>
      <c r="EZ496" s="182"/>
      <c r="FA496" s="182"/>
      <c r="FB496" s="182"/>
      <c r="FC496" s="182"/>
      <c r="FD496" s="182"/>
      <c r="FE496" s="182"/>
      <c r="FF496" s="182"/>
      <c r="FG496" s="182"/>
      <c r="FH496" s="182"/>
      <c r="FI496" s="182"/>
      <c r="FJ496" s="182"/>
      <c r="FK496" s="182"/>
      <c r="FL496" s="182"/>
      <c r="FM496" s="182"/>
      <c r="FN496" s="182"/>
      <c r="FO496" s="182"/>
      <c r="FP496" s="182"/>
      <c r="FQ496" s="182"/>
      <c r="FR496" s="182"/>
      <c r="FS496" s="182"/>
      <c r="FT496" s="182"/>
      <c r="FU496" s="182"/>
      <c r="FV496" s="182"/>
      <c r="FW496" s="182"/>
      <c r="FX496" s="182"/>
      <c r="FY496" s="182"/>
      <c r="FZ496" s="182"/>
      <c r="GA496" s="182"/>
      <c r="GB496" s="182"/>
      <c r="GC496" s="182"/>
      <c r="GD496" s="182"/>
      <c r="GE496" s="182"/>
      <c r="GF496" s="182"/>
      <c r="GG496" s="182"/>
      <c r="GH496" s="182"/>
      <c r="GI496" s="182"/>
    </row>
    <row r="497" spans="1:191" s="183" customFormat="1" ht="25.5" x14ac:dyDescent="0.2">
      <c r="A497" s="210" t="s">
        <v>38802</v>
      </c>
      <c r="B497" s="210" t="s">
        <v>20758</v>
      </c>
      <c r="C497" s="224" t="s">
        <v>22601</v>
      </c>
      <c r="D497" s="211" t="s">
        <v>69</v>
      </c>
      <c r="E497" s="211">
        <v>240</v>
      </c>
      <c r="F497" s="211"/>
      <c r="G497" s="211">
        <v>0.3</v>
      </c>
      <c r="H497" s="212"/>
      <c r="I497" s="213"/>
      <c r="J497" s="272">
        <v>78.510000000000005</v>
      </c>
      <c r="K497" s="112">
        <f t="shared" si="32"/>
        <v>18842.400000000001</v>
      </c>
      <c r="L497" s="273">
        <f>BDI!$E$17</f>
        <v>0.11260000000000001</v>
      </c>
      <c r="M497" s="213"/>
      <c r="N497" s="213"/>
      <c r="O497" s="114">
        <f t="shared" si="33"/>
        <v>87.35</v>
      </c>
      <c r="P497" s="113">
        <f t="shared" si="34"/>
        <v>6289.2</v>
      </c>
      <c r="Q497" s="209"/>
      <c r="R497" s="203"/>
      <c r="S497" s="182"/>
      <c r="T497" s="182"/>
      <c r="U497" s="182"/>
      <c r="V497" s="182"/>
      <c r="W497" s="182"/>
      <c r="X497" s="182"/>
      <c r="Y497" s="182"/>
      <c r="Z497" s="182"/>
      <c r="AA497" s="182"/>
      <c r="AB497" s="182"/>
      <c r="AC497" s="182"/>
      <c r="AD497" s="182"/>
      <c r="AE497" s="182"/>
      <c r="AF497" s="182"/>
      <c r="AG497" s="182"/>
      <c r="AH497" s="182"/>
      <c r="AI497" s="182"/>
      <c r="AJ497" s="182"/>
      <c r="AK497" s="182"/>
      <c r="AL497" s="182"/>
      <c r="AM497" s="182"/>
      <c r="AN497" s="182"/>
      <c r="AO497" s="182"/>
      <c r="AP497" s="182"/>
      <c r="AQ497" s="182"/>
      <c r="AR497" s="182"/>
      <c r="AS497" s="182"/>
      <c r="AT497" s="182"/>
      <c r="AU497" s="182"/>
      <c r="AV497" s="182"/>
      <c r="AW497" s="182"/>
      <c r="AX497" s="182"/>
      <c r="AY497" s="182"/>
      <c r="AZ497" s="182"/>
      <c r="BA497" s="182"/>
      <c r="BB497" s="182"/>
      <c r="BC497" s="182"/>
      <c r="BD497" s="182"/>
      <c r="BE497" s="182"/>
      <c r="BF497" s="182"/>
      <c r="BG497" s="182"/>
      <c r="BH497" s="182"/>
      <c r="BI497" s="182"/>
      <c r="BJ497" s="182"/>
      <c r="BK497" s="182"/>
      <c r="BL497" s="182"/>
      <c r="BM497" s="182"/>
      <c r="BN497" s="182"/>
      <c r="BO497" s="182"/>
      <c r="BP497" s="182"/>
      <c r="BQ497" s="182"/>
      <c r="BR497" s="182"/>
      <c r="BS497" s="182"/>
      <c r="BT497" s="182"/>
      <c r="BU497" s="182"/>
      <c r="BV497" s="182"/>
      <c r="BW497" s="182"/>
      <c r="BX497" s="182"/>
      <c r="BY497" s="182"/>
      <c r="BZ497" s="182"/>
      <c r="CA497" s="182"/>
      <c r="CB497" s="182"/>
      <c r="CC497" s="182"/>
      <c r="CD497" s="182"/>
      <c r="CE497" s="182"/>
      <c r="CF497" s="182"/>
      <c r="CG497" s="182"/>
      <c r="CH497" s="182"/>
      <c r="CI497" s="182"/>
      <c r="CJ497" s="182"/>
      <c r="CK497" s="182"/>
      <c r="CL497" s="182"/>
      <c r="CM497" s="182"/>
      <c r="CN497" s="182"/>
      <c r="CO497" s="182"/>
      <c r="CP497" s="182"/>
      <c r="CQ497" s="182"/>
      <c r="CR497" s="182"/>
      <c r="CS497" s="182"/>
      <c r="CT497" s="182"/>
      <c r="CU497" s="182"/>
      <c r="CV497" s="182"/>
      <c r="CW497" s="182"/>
      <c r="CX497" s="182"/>
      <c r="CY497" s="182"/>
      <c r="CZ497" s="182"/>
      <c r="DA497" s="182"/>
      <c r="DB497" s="182"/>
      <c r="DC497" s="182"/>
      <c r="DD497" s="182"/>
      <c r="DE497" s="182"/>
      <c r="DF497" s="182"/>
      <c r="DG497" s="182"/>
      <c r="DH497" s="182"/>
      <c r="DI497" s="182"/>
      <c r="DJ497" s="182"/>
      <c r="DK497" s="182"/>
      <c r="DL497" s="182"/>
      <c r="DM497" s="182"/>
      <c r="DN497" s="182"/>
      <c r="DO497" s="182"/>
      <c r="DP497" s="182"/>
      <c r="DQ497" s="182"/>
      <c r="DR497" s="182"/>
      <c r="DS497" s="182"/>
      <c r="DT497" s="182"/>
      <c r="DU497" s="182"/>
      <c r="DV497" s="182"/>
      <c r="DW497" s="182"/>
      <c r="DX497" s="182"/>
      <c r="DY497" s="182"/>
      <c r="DZ497" s="182"/>
      <c r="EA497" s="182"/>
      <c r="EB497" s="182"/>
      <c r="EC497" s="182"/>
      <c r="ED497" s="182"/>
      <c r="EE497" s="182"/>
      <c r="EF497" s="182"/>
      <c r="EG497" s="182"/>
      <c r="EH497" s="182"/>
      <c r="EI497" s="182"/>
      <c r="EJ497" s="182"/>
      <c r="EK497" s="182"/>
      <c r="EL497" s="182"/>
      <c r="EM497" s="182"/>
      <c r="EN497" s="182"/>
      <c r="EO497" s="182"/>
      <c r="EP497" s="182"/>
      <c r="EQ497" s="182"/>
      <c r="ER497" s="182"/>
      <c r="ES497" s="182"/>
      <c r="ET497" s="182"/>
      <c r="EU497" s="182"/>
      <c r="EV497" s="182"/>
      <c r="EW497" s="182"/>
      <c r="EX497" s="182"/>
      <c r="EY497" s="182"/>
      <c r="EZ497" s="182"/>
      <c r="FA497" s="182"/>
      <c r="FB497" s="182"/>
      <c r="FC497" s="182"/>
      <c r="FD497" s="182"/>
      <c r="FE497" s="182"/>
      <c r="FF497" s="182"/>
      <c r="FG497" s="182"/>
      <c r="FH497" s="182"/>
      <c r="FI497" s="182"/>
      <c r="FJ497" s="182"/>
      <c r="FK497" s="182"/>
      <c r="FL497" s="182"/>
      <c r="FM497" s="182"/>
      <c r="FN497" s="182"/>
      <c r="FO497" s="182"/>
      <c r="FP497" s="182"/>
      <c r="FQ497" s="182"/>
      <c r="FR497" s="182"/>
      <c r="FS497" s="182"/>
      <c r="FT497" s="182"/>
      <c r="FU497" s="182"/>
      <c r="FV497" s="182"/>
      <c r="FW497" s="182"/>
      <c r="FX497" s="182"/>
      <c r="FY497" s="182"/>
      <c r="FZ497" s="182"/>
      <c r="GA497" s="182"/>
      <c r="GB497" s="182"/>
      <c r="GC497" s="182"/>
      <c r="GD497" s="182"/>
      <c r="GE497" s="182"/>
      <c r="GF497" s="182"/>
      <c r="GG497" s="182"/>
      <c r="GH497" s="182"/>
      <c r="GI497" s="182"/>
    </row>
    <row r="498" spans="1:191" s="183" customFormat="1" ht="25.5" x14ac:dyDescent="0.2">
      <c r="A498" s="210" t="s">
        <v>38803</v>
      </c>
      <c r="B498" s="210" t="s">
        <v>20759</v>
      </c>
      <c r="C498" s="224" t="s">
        <v>22602</v>
      </c>
      <c r="D498" s="211" t="s">
        <v>69</v>
      </c>
      <c r="E498" s="211">
        <v>240</v>
      </c>
      <c r="F498" s="211"/>
      <c r="G498" s="211">
        <v>0.3</v>
      </c>
      <c r="H498" s="212"/>
      <c r="I498" s="213"/>
      <c r="J498" s="272">
        <v>74.36</v>
      </c>
      <c r="K498" s="112">
        <f t="shared" si="32"/>
        <v>17846.400000000001</v>
      </c>
      <c r="L498" s="273">
        <f>BDI!$E$17</f>
        <v>0.11260000000000001</v>
      </c>
      <c r="M498" s="213"/>
      <c r="N498" s="213"/>
      <c r="O498" s="114">
        <f t="shared" si="33"/>
        <v>82.73</v>
      </c>
      <c r="P498" s="113">
        <f t="shared" si="34"/>
        <v>5956.56</v>
      </c>
      <c r="Q498" s="209"/>
      <c r="R498" s="203"/>
      <c r="S498" s="182"/>
      <c r="T498" s="182"/>
      <c r="U498" s="182"/>
      <c r="V498" s="182"/>
      <c r="W498" s="182"/>
      <c r="X498" s="182"/>
      <c r="Y498" s="182"/>
      <c r="Z498" s="182"/>
      <c r="AA498" s="182"/>
      <c r="AB498" s="182"/>
      <c r="AC498" s="182"/>
      <c r="AD498" s="182"/>
      <c r="AE498" s="182"/>
      <c r="AF498" s="182"/>
      <c r="AG498" s="182"/>
      <c r="AH498" s="182"/>
      <c r="AI498" s="182"/>
      <c r="AJ498" s="182"/>
      <c r="AK498" s="182"/>
      <c r="AL498" s="182"/>
      <c r="AM498" s="182"/>
      <c r="AN498" s="182"/>
      <c r="AO498" s="182"/>
      <c r="AP498" s="182"/>
      <c r="AQ498" s="182"/>
      <c r="AR498" s="182"/>
      <c r="AS498" s="182"/>
      <c r="AT498" s="182"/>
      <c r="AU498" s="182"/>
      <c r="AV498" s="182"/>
      <c r="AW498" s="182"/>
      <c r="AX498" s="182"/>
      <c r="AY498" s="182"/>
      <c r="AZ498" s="182"/>
      <c r="BA498" s="182"/>
      <c r="BB498" s="182"/>
      <c r="BC498" s="182"/>
      <c r="BD498" s="182"/>
      <c r="BE498" s="182"/>
      <c r="BF498" s="182"/>
      <c r="BG498" s="182"/>
      <c r="BH498" s="182"/>
      <c r="BI498" s="182"/>
      <c r="BJ498" s="182"/>
      <c r="BK498" s="182"/>
      <c r="BL498" s="182"/>
      <c r="BM498" s="182"/>
      <c r="BN498" s="182"/>
      <c r="BO498" s="182"/>
      <c r="BP498" s="182"/>
      <c r="BQ498" s="182"/>
      <c r="BR498" s="182"/>
      <c r="BS498" s="182"/>
      <c r="BT498" s="182"/>
      <c r="BU498" s="182"/>
      <c r="BV498" s="182"/>
      <c r="BW498" s="182"/>
      <c r="BX498" s="182"/>
      <c r="BY498" s="182"/>
      <c r="BZ498" s="182"/>
      <c r="CA498" s="182"/>
      <c r="CB498" s="182"/>
      <c r="CC498" s="182"/>
      <c r="CD498" s="182"/>
      <c r="CE498" s="182"/>
      <c r="CF498" s="182"/>
      <c r="CG498" s="182"/>
      <c r="CH498" s="182"/>
      <c r="CI498" s="182"/>
      <c r="CJ498" s="182"/>
      <c r="CK498" s="182"/>
      <c r="CL498" s="182"/>
      <c r="CM498" s="182"/>
      <c r="CN498" s="182"/>
      <c r="CO498" s="182"/>
      <c r="CP498" s="182"/>
      <c r="CQ498" s="182"/>
      <c r="CR498" s="182"/>
      <c r="CS498" s="182"/>
      <c r="CT498" s="182"/>
      <c r="CU498" s="182"/>
      <c r="CV498" s="182"/>
      <c r="CW498" s="182"/>
      <c r="CX498" s="182"/>
      <c r="CY498" s="182"/>
      <c r="CZ498" s="182"/>
      <c r="DA498" s="182"/>
      <c r="DB498" s="182"/>
      <c r="DC498" s="182"/>
      <c r="DD498" s="182"/>
      <c r="DE498" s="182"/>
      <c r="DF498" s="182"/>
      <c r="DG498" s="182"/>
      <c r="DH498" s="182"/>
      <c r="DI498" s="182"/>
      <c r="DJ498" s="182"/>
      <c r="DK498" s="182"/>
      <c r="DL498" s="182"/>
      <c r="DM498" s="182"/>
      <c r="DN498" s="182"/>
      <c r="DO498" s="182"/>
      <c r="DP498" s="182"/>
      <c r="DQ498" s="182"/>
      <c r="DR498" s="182"/>
      <c r="DS498" s="182"/>
      <c r="DT498" s="182"/>
      <c r="DU498" s="182"/>
      <c r="DV498" s="182"/>
      <c r="DW498" s="182"/>
      <c r="DX498" s="182"/>
      <c r="DY498" s="182"/>
      <c r="DZ498" s="182"/>
      <c r="EA498" s="182"/>
      <c r="EB498" s="182"/>
      <c r="EC498" s="182"/>
      <c r="ED498" s="182"/>
      <c r="EE498" s="182"/>
      <c r="EF498" s="182"/>
      <c r="EG498" s="182"/>
      <c r="EH498" s="182"/>
      <c r="EI498" s="182"/>
      <c r="EJ498" s="182"/>
      <c r="EK498" s="182"/>
      <c r="EL498" s="182"/>
      <c r="EM498" s="182"/>
      <c r="EN498" s="182"/>
      <c r="EO498" s="182"/>
      <c r="EP498" s="182"/>
      <c r="EQ498" s="182"/>
      <c r="ER498" s="182"/>
      <c r="ES498" s="182"/>
      <c r="ET498" s="182"/>
      <c r="EU498" s="182"/>
      <c r="EV498" s="182"/>
      <c r="EW498" s="182"/>
      <c r="EX498" s="182"/>
      <c r="EY498" s="182"/>
      <c r="EZ498" s="182"/>
      <c r="FA498" s="182"/>
      <c r="FB498" s="182"/>
      <c r="FC498" s="182"/>
      <c r="FD498" s="182"/>
      <c r="FE498" s="182"/>
      <c r="FF498" s="182"/>
      <c r="FG498" s="182"/>
      <c r="FH498" s="182"/>
      <c r="FI498" s="182"/>
      <c r="FJ498" s="182"/>
      <c r="FK498" s="182"/>
      <c r="FL498" s="182"/>
      <c r="FM498" s="182"/>
      <c r="FN498" s="182"/>
      <c r="FO498" s="182"/>
      <c r="FP498" s="182"/>
      <c r="FQ498" s="182"/>
      <c r="FR498" s="182"/>
      <c r="FS498" s="182"/>
      <c r="FT498" s="182"/>
      <c r="FU498" s="182"/>
      <c r="FV498" s="182"/>
      <c r="FW498" s="182"/>
      <c r="FX498" s="182"/>
      <c r="FY498" s="182"/>
      <c r="FZ498" s="182"/>
      <c r="GA498" s="182"/>
      <c r="GB498" s="182"/>
      <c r="GC498" s="182"/>
      <c r="GD498" s="182"/>
      <c r="GE498" s="182"/>
      <c r="GF498" s="182"/>
      <c r="GG498" s="182"/>
      <c r="GH498" s="182"/>
      <c r="GI498" s="182"/>
    </row>
    <row r="499" spans="1:191" s="183" customFormat="1" ht="25.5" x14ac:dyDescent="0.2">
      <c r="A499" s="210" t="s">
        <v>38804</v>
      </c>
      <c r="B499" s="210" t="s">
        <v>20760</v>
      </c>
      <c r="C499" s="224" t="s">
        <v>22603</v>
      </c>
      <c r="D499" s="211" t="s">
        <v>69</v>
      </c>
      <c r="E499" s="211">
        <v>240</v>
      </c>
      <c r="F499" s="211"/>
      <c r="G499" s="211">
        <v>0.3</v>
      </c>
      <c r="H499" s="212"/>
      <c r="I499" s="213"/>
      <c r="J499" s="272">
        <v>91.03</v>
      </c>
      <c r="K499" s="112">
        <f t="shared" si="32"/>
        <v>21847.200000000001</v>
      </c>
      <c r="L499" s="273">
        <f>BDI!$E$17</f>
        <v>0.11260000000000001</v>
      </c>
      <c r="M499" s="213"/>
      <c r="N499" s="213"/>
      <c r="O499" s="114">
        <f t="shared" si="33"/>
        <v>101.28</v>
      </c>
      <c r="P499" s="113">
        <f t="shared" si="34"/>
        <v>7292.16</v>
      </c>
      <c r="Q499" s="209"/>
      <c r="R499" s="203"/>
      <c r="S499" s="182"/>
      <c r="T499" s="182"/>
      <c r="U499" s="182"/>
      <c r="V499" s="182"/>
      <c r="W499" s="182"/>
      <c r="X499" s="182"/>
      <c r="Y499" s="182"/>
      <c r="Z499" s="182"/>
      <c r="AA499" s="182"/>
      <c r="AB499" s="182"/>
      <c r="AC499" s="182"/>
      <c r="AD499" s="182"/>
      <c r="AE499" s="182"/>
      <c r="AF499" s="182"/>
      <c r="AG499" s="182"/>
      <c r="AH499" s="182"/>
      <c r="AI499" s="182"/>
      <c r="AJ499" s="182"/>
      <c r="AK499" s="182"/>
      <c r="AL499" s="182"/>
      <c r="AM499" s="182"/>
      <c r="AN499" s="182"/>
      <c r="AO499" s="182"/>
      <c r="AP499" s="182"/>
      <c r="AQ499" s="182"/>
      <c r="AR499" s="182"/>
      <c r="AS499" s="182"/>
      <c r="AT499" s="182"/>
      <c r="AU499" s="182"/>
      <c r="AV499" s="182"/>
      <c r="AW499" s="182"/>
      <c r="AX499" s="182"/>
      <c r="AY499" s="182"/>
      <c r="AZ499" s="182"/>
      <c r="BA499" s="182"/>
      <c r="BB499" s="182"/>
      <c r="BC499" s="182"/>
      <c r="BD499" s="182"/>
      <c r="BE499" s="182"/>
      <c r="BF499" s="182"/>
      <c r="BG499" s="182"/>
      <c r="BH499" s="182"/>
      <c r="BI499" s="182"/>
      <c r="BJ499" s="182"/>
      <c r="BK499" s="182"/>
      <c r="BL499" s="182"/>
      <c r="BM499" s="182"/>
      <c r="BN499" s="182"/>
      <c r="BO499" s="182"/>
      <c r="BP499" s="182"/>
      <c r="BQ499" s="182"/>
      <c r="BR499" s="182"/>
      <c r="BS499" s="182"/>
      <c r="BT499" s="182"/>
      <c r="BU499" s="182"/>
      <c r="BV499" s="182"/>
      <c r="BW499" s="182"/>
      <c r="BX499" s="182"/>
      <c r="BY499" s="182"/>
      <c r="BZ499" s="182"/>
      <c r="CA499" s="182"/>
      <c r="CB499" s="182"/>
      <c r="CC499" s="182"/>
      <c r="CD499" s="182"/>
      <c r="CE499" s="182"/>
      <c r="CF499" s="182"/>
      <c r="CG499" s="182"/>
      <c r="CH499" s="182"/>
      <c r="CI499" s="182"/>
      <c r="CJ499" s="182"/>
      <c r="CK499" s="182"/>
      <c r="CL499" s="182"/>
      <c r="CM499" s="182"/>
      <c r="CN499" s="182"/>
      <c r="CO499" s="182"/>
      <c r="CP499" s="182"/>
      <c r="CQ499" s="182"/>
      <c r="CR499" s="182"/>
      <c r="CS499" s="182"/>
      <c r="CT499" s="182"/>
      <c r="CU499" s="182"/>
      <c r="CV499" s="182"/>
      <c r="CW499" s="182"/>
      <c r="CX499" s="182"/>
      <c r="CY499" s="182"/>
      <c r="CZ499" s="182"/>
      <c r="DA499" s="182"/>
      <c r="DB499" s="182"/>
      <c r="DC499" s="182"/>
      <c r="DD499" s="182"/>
      <c r="DE499" s="182"/>
      <c r="DF499" s="182"/>
      <c r="DG499" s="182"/>
      <c r="DH499" s="182"/>
      <c r="DI499" s="182"/>
      <c r="DJ499" s="182"/>
      <c r="DK499" s="182"/>
      <c r="DL499" s="182"/>
      <c r="DM499" s="182"/>
      <c r="DN499" s="182"/>
      <c r="DO499" s="182"/>
      <c r="DP499" s="182"/>
      <c r="DQ499" s="182"/>
      <c r="DR499" s="182"/>
      <c r="DS499" s="182"/>
      <c r="DT499" s="182"/>
      <c r="DU499" s="182"/>
      <c r="DV499" s="182"/>
      <c r="DW499" s="182"/>
      <c r="DX499" s="182"/>
      <c r="DY499" s="182"/>
      <c r="DZ499" s="182"/>
      <c r="EA499" s="182"/>
      <c r="EB499" s="182"/>
      <c r="EC499" s="182"/>
      <c r="ED499" s="182"/>
      <c r="EE499" s="182"/>
      <c r="EF499" s="182"/>
      <c r="EG499" s="182"/>
      <c r="EH499" s="182"/>
      <c r="EI499" s="182"/>
      <c r="EJ499" s="182"/>
      <c r="EK499" s="182"/>
      <c r="EL499" s="182"/>
      <c r="EM499" s="182"/>
      <c r="EN499" s="182"/>
      <c r="EO499" s="182"/>
      <c r="EP499" s="182"/>
      <c r="EQ499" s="182"/>
      <c r="ER499" s="182"/>
      <c r="ES499" s="182"/>
      <c r="ET499" s="182"/>
      <c r="EU499" s="182"/>
      <c r="EV499" s="182"/>
      <c r="EW499" s="182"/>
      <c r="EX499" s="182"/>
      <c r="EY499" s="182"/>
      <c r="EZ499" s="182"/>
      <c r="FA499" s="182"/>
      <c r="FB499" s="182"/>
      <c r="FC499" s="182"/>
      <c r="FD499" s="182"/>
      <c r="FE499" s="182"/>
      <c r="FF499" s="182"/>
      <c r="FG499" s="182"/>
      <c r="FH499" s="182"/>
      <c r="FI499" s="182"/>
      <c r="FJ499" s="182"/>
      <c r="FK499" s="182"/>
      <c r="FL499" s="182"/>
      <c r="FM499" s="182"/>
      <c r="FN499" s="182"/>
      <c r="FO499" s="182"/>
      <c r="FP499" s="182"/>
      <c r="FQ499" s="182"/>
      <c r="FR499" s="182"/>
      <c r="FS499" s="182"/>
      <c r="FT499" s="182"/>
      <c r="FU499" s="182"/>
      <c r="FV499" s="182"/>
      <c r="FW499" s="182"/>
      <c r="FX499" s="182"/>
      <c r="FY499" s="182"/>
      <c r="FZ499" s="182"/>
      <c r="GA499" s="182"/>
      <c r="GB499" s="182"/>
      <c r="GC499" s="182"/>
      <c r="GD499" s="182"/>
      <c r="GE499" s="182"/>
      <c r="GF499" s="182"/>
      <c r="GG499" s="182"/>
      <c r="GH499" s="182"/>
      <c r="GI499" s="182"/>
    </row>
    <row r="500" spans="1:191" s="183" customFormat="1" x14ac:dyDescent="0.2">
      <c r="A500" s="210" t="s">
        <v>38805</v>
      </c>
      <c r="B500" s="210" t="s">
        <v>20761</v>
      </c>
      <c r="C500" s="224" t="s">
        <v>22604</v>
      </c>
      <c r="D500" s="211" t="s">
        <v>70</v>
      </c>
      <c r="E500" s="211">
        <v>180</v>
      </c>
      <c r="F500" s="211"/>
      <c r="G500" s="211">
        <v>0.3</v>
      </c>
      <c r="H500" s="212"/>
      <c r="I500" s="213"/>
      <c r="J500" s="272">
        <v>119.64</v>
      </c>
      <c r="K500" s="112">
        <f t="shared" si="32"/>
        <v>21535.200000000001</v>
      </c>
      <c r="L500" s="273">
        <f>BDI!$E$17</f>
        <v>0.11260000000000001</v>
      </c>
      <c r="M500" s="213"/>
      <c r="N500" s="213"/>
      <c r="O500" s="114">
        <f t="shared" si="33"/>
        <v>133.11000000000001</v>
      </c>
      <c r="P500" s="113">
        <f t="shared" si="34"/>
        <v>7187.94</v>
      </c>
      <c r="Q500" s="209"/>
      <c r="R500" s="203"/>
      <c r="S500" s="182"/>
      <c r="T500" s="182"/>
      <c r="U500" s="182"/>
      <c r="V500" s="182"/>
      <c r="W500" s="182"/>
      <c r="X500" s="182"/>
      <c r="Y500" s="182"/>
      <c r="Z500" s="182"/>
      <c r="AA500" s="182"/>
      <c r="AB500" s="182"/>
      <c r="AC500" s="182"/>
      <c r="AD500" s="182"/>
      <c r="AE500" s="182"/>
      <c r="AF500" s="182"/>
      <c r="AG500" s="182"/>
      <c r="AH500" s="182"/>
      <c r="AI500" s="182"/>
      <c r="AJ500" s="182"/>
      <c r="AK500" s="182"/>
      <c r="AL500" s="182"/>
      <c r="AM500" s="182"/>
      <c r="AN500" s="182"/>
      <c r="AO500" s="182"/>
      <c r="AP500" s="182"/>
      <c r="AQ500" s="182"/>
      <c r="AR500" s="182"/>
      <c r="AS500" s="182"/>
      <c r="AT500" s="182"/>
      <c r="AU500" s="182"/>
      <c r="AV500" s="182"/>
      <c r="AW500" s="182"/>
      <c r="AX500" s="182"/>
      <c r="AY500" s="182"/>
      <c r="AZ500" s="182"/>
      <c r="BA500" s="182"/>
      <c r="BB500" s="182"/>
      <c r="BC500" s="182"/>
      <c r="BD500" s="182"/>
      <c r="BE500" s="182"/>
      <c r="BF500" s="182"/>
      <c r="BG500" s="182"/>
      <c r="BH500" s="182"/>
      <c r="BI500" s="182"/>
      <c r="BJ500" s="182"/>
      <c r="BK500" s="182"/>
      <c r="BL500" s="182"/>
      <c r="BM500" s="182"/>
      <c r="BN500" s="182"/>
      <c r="BO500" s="182"/>
      <c r="BP500" s="182"/>
      <c r="BQ500" s="182"/>
      <c r="BR500" s="182"/>
      <c r="BS500" s="182"/>
      <c r="BT500" s="182"/>
      <c r="BU500" s="182"/>
      <c r="BV500" s="182"/>
      <c r="BW500" s="182"/>
      <c r="BX500" s="182"/>
      <c r="BY500" s="182"/>
      <c r="BZ500" s="182"/>
      <c r="CA500" s="182"/>
      <c r="CB500" s="182"/>
      <c r="CC500" s="182"/>
      <c r="CD500" s="182"/>
      <c r="CE500" s="182"/>
      <c r="CF500" s="182"/>
      <c r="CG500" s="182"/>
      <c r="CH500" s="182"/>
      <c r="CI500" s="182"/>
      <c r="CJ500" s="182"/>
      <c r="CK500" s="182"/>
      <c r="CL500" s="182"/>
      <c r="CM500" s="182"/>
      <c r="CN500" s="182"/>
      <c r="CO500" s="182"/>
      <c r="CP500" s="182"/>
      <c r="CQ500" s="182"/>
      <c r="CR500" s="182"/>
      <c r="CS500" s="182"/>
      <c r="CT500" s="182"/>
      <c r="CU500" s="182"/>
      <c r="CV500" s="182"/>
      <c r="CW500" s="182"/>
      <c r="CX500" s="182"/>
      <c r="CY500" s="182"/>
      <c r="CZ500" s="182"/>
      <c r="DA500" s="182"/>
      <c r="DB500" s="182"/>
      <c r="DC500" s="182"/>
      <c r="DD500" s="182"/>
      <c r="DE500" s="182"/>
      <c r="DF500" s="182"/>
      <c r="DG500" s="182"/>
      <c r="DH500" s="182"/>
      <c r="DI500" s="182"/>
      <c r="DJ500" s="182"/>
      <c r="DK500" s="182"/>
      <c r="DL500" s="182"/>
      <c r="DM500" s="182"/>
      <c r="DN500" s="182"/>
      <c r="DO500" s="182"/>
      <c r="DP500" s="182"/>
      <c r="DQ500" s="182"/>
      <c r="DR500" s="182"/>
      <c r="DS500" s="182"/>
      <c r="DT500" s="182"/>
      <c r="DU500" s="182"/>
      <c r="DV500" s="182"/>
      <c r="DW500" s="182"/>
      <c r="DX500" s="182"/>
      <c r="DY500" s="182"/>
      <c r="DZ500" s="182"/>
      <c r="EA500" s="182"/>
      <c r="EB500" s="182"/>
      <c r="EC500" s="182"/>
      <c r="ED500" s="182"/>
      <c r="EE500" s="182"/>
      <c r="EF500" s="182"/>
      <c r="EG500" s="182"/>
      <c r="EH500" s="182"/>
      <c r="EI500" s="182"/>
      <c r="EJ500" s="182"/>
      <c r="EK500" s="182"/>
      <c r="EL500" s="182"/>
      <c r="EM500" s="182"/>
      <c r="EN500" s="182"/>
      <c r="EO500" s="182"/>
      <c r="EP500" s="182"/>
      <c r="EQ500" s="182"/>
      <c r="ER500" s="182"/>
      <c r="ES500" s="182"/>
      <c r="ET500" s="182"/>
      <c r="EU500" s="182"/>
      <c r="EV500" s="182"/>
      <c r="EW500" s="182"/>
      <c r="EX500" s="182"/>
      <c r="EY500" s="182"/>
      <c r="EZ500" s="182"/>
      <c r="FA500" s="182"/>
      <c r="FB500" s="182"/>
      <c r="FC500" s="182"/>
      <c r="FD500" s="182"/>
      <c r="FE500" s="182"/>
      <c r="FF500" s="182"/>
      <c r="FG500" s="182"/>
      <c r="FH500" s="182"/>
      <c r="FI500" s="182"/>
      <c r="FJ500" s="182"/>
      <c r="FK500" s="182"/>
      <c r="FL500" s="182"/>
      <c r="FM500" s="182"/>
      <c r="FN500" s="182"/>
      <c r="FO500" s="182"/>
      <c r="FP500" s="182"/>
      <c r="FQ500" s="182"/>
      <c r="FR500" s="182"/>
      <c r="FS500" s="182"/>
      <c r="FT500" s="182"/>
      <c r="FU500" s="182"/>
      <c r="FV500" s="182"/>
      <c r="FW500" s="182"/>
      <c r="FX500" s="182"/>
      <c r="FY500" s="182"/>
      <c r="FZ500" s="182"/>
      <c r="GA500" s="182"/>
      <c r="GB500" s="182"/>
      <c r="GC500" s="182"/>
      <c r="GD500" s="182"/>
      <c r="GE500" s="182"/>
      <c r="GF500" s="182"/>
      <c r="GG500" s="182"/>
      <c r="GH500" s="182"/>
      <c r="GI500" s="182"/>
    </row>
    <row r="501" spans="1:191" s="183" customFormat="1" x14ac:dyDescent="0.2">
      <c r="A501" s="210" t="s">
        <v>38806</v>
      </c>
      <c r="B501" s="210" t="s">
        <v>20762</v>
      </c>
      <c r="C501" s="224" t="s">
        <v>22605</v>
      </c>
      <c r="D501" s="211" t="s">
        <v>70</v>
      </c>
      <c r="E501" s="211">
        <v>300</v>
      </c>
      <c r="F501" s="211"/>
      <c r="G501" s="211">
        <v>0.3</v>
      </c>
      <c r="H501" s="212"/>
      <c r="I501" s="213"/>
      <c r="J501" s="272">
        <v>138.47999999999999</v>
      </c>
      <c r="K501" s="112">
        <f t="shared" si="32"/>
        <v>41544</v>
      </c>
      <c r="L501" s="273">
        <f>BDI!$E$17</f>
        <v>0.11260000000000001</v>
      </c>
      <c r="M501" s="213"/>
      <c r="N501" s="213"/>
      <c r="O501" s="114">
        <f t="shared" si="33"/>
        <v>154.07</v>
      </c>
      <c r="P501" s="113">
        <f t="shared" si="34"/>
        <v>13866.3</v>
      </c>
      <c r="Q501" s="209"/>
      <c r="R501" s="203"/>
      <c r="S501" s="182"/>
      <c r="T501" s="182"/>
      <c r="U501" s="182"/>
      <c r="V501" s="182"/>
      <c r="W501" s="182"/>
      <c r="X501" s="182"/>
      <c r="Y501" s="182"/>
      <c r="Z501" s="182"/>
      <c r="AA501" s="182"/>
      <c r="AB501" s="182"/>
      <c r="AC501" s="182"/>
      <c r="AD501" s="182"/>
      <c r="AE501" s="182"/>
      <c r="AF501" s="182"/>
      <c r="AG501" s="182"/>
      <c r="AH501" s="182"/>
      <c r="AI501" s="182"/>
      <c r="AJ501" s="182"/>
      <c r="AK501" s="182"/>
      <c r="AL501" s="182"/>
      <c r="AM501" s="182"/>
      <c r="AN501" s="182"/>
      <c r="AO501" s="182"/>
      <c r="AP501" s="182"/>
      <c r="AQ501" s="182"/>
      <c r="AR501" s="182"/>
      <c r="AS501" s="182"/>
      <c r="AT501" s="182"/>
      <c r="AU501" s="182"/>
      <c r="AV501" s="182"/>
      <c r="AW501" s="182"/>
      <c r="AX501" s="182"/>
      <c r="AY501" s="182"/>
      <c r="AZ501" s="182"/>
      <c r="BA501" s="182"/>
      <c r="BB501" s="182"/>
      <c r="BC501" s="182"/>
      <c r="BD501" s="182"/>
      <c r="BE501" s="182"/>
      <c r="BF501" s="182"/>
      <c r="BG501" s="182"/>
      <c r="BH501" s="182"/>
      <c r="BI501" s="182"/>
      <c r="BJ501" s="182"/>
      <c r="BK501" s="182"/>
      <c r="BL501" s="182"/>
      <c r="BM501" s="182"/>
      <c r="BN501" s="182"/>
      <c r="BO501" s="182"/>
      <c r="BP501" s="182"/>
      <c r="BQ501" s="182"/>
      <c r="BR501" s="182"/>
      <c r="BS501" s="182"/>
      <c r="BT501" s="182"/>
      <c r="BU501" s="182"/>
      <c r="BV501" s="182"/>
      <c r="BW501" s="182"/>
      <c r="BX501" s="182"/>
      <c r="BY501" s="182"/>
      <c r="BZ501" s="182"/>
      <c r="CA501" s="182"/>
      <c r="CB501" s="182"/>
      <c r="CC501" s="182"/>
      <c r="CD501" s="182"/>
      <c r="CE501" s="182"/>
      <c r="CF501" s="182"/>
      <c r="CG501" s="182"/>
      <c r="CH501" s="182"/>
      <c r="CI501" s="182"/>
      <c r="CJ501" s="182"/>
      <c r="CK501" s="182"/>
      <c r="CL501" s="182"/>
      <c r="CM501" s="182"/>
      <c r="CN501" s="182"/>
      <c r="CO501" s="182"/>
      <c r="CP501" s="182"/>
      <c r="CQ501" s="182"/>
      <c r="CR501" s="182"/>
      <c r="CS501" s="182"/>
      <c r="CT501" s="182"/>
      <c r="CU501" s="182"/>
      <c r="CV501" s="182"/>
      <c r="CW501" s="182"/>
      <c r="CX501" s="182"/>
      <c r="CY501" s="182"/>
      <c r="CZ501" s="182"/>
      <c r="DA501" s="182"/>
      <c r="DB501" s="182"/>
      <c r="DC501" s="182"/>
      <c r="DD501" s="182"/>
      <c r="DE501" s="182"/>
      <c r="DF501" s="182"/>
      <c r="DG501" s="182"/>
      <c r="DH501" s="182"/>
      <c r="DI501" s="182"/>
      <c r="DJ501" s="182"/>
      <c r="DK501" s="182"/>
      <c r="DL501" s="182"/>
      <c r="DM501" s="182"/>
      <c r="DN501" s="182"/>
      <c r="DO501" s="182"/>
      <c r="DP501" s="182"/>
      <c r="DQ501" s="182"/>
      <c r="DR501" s="182"/>
      <c r="DS501" s="182"/>
      <c r="DT501" s="182"/>
      <c r="DU501" s="182"/>
      <c r="DV501" s="182"/>
      <c r="DW501" s="182"/>
      <c r="DX501" s="182"/>
      <c r="DY501" s="182"/>
      <c r="DZ501" s="182"/>
      <c r="EA501" s="182"/>
      <c r="EB501" s="182"/>
      <c r="EC501" s="182"/>
      <c r="ED501" s="182"/>
      <c r="EE501" s="182"/>
      <c r="EF501" s="182"/>
      <c r="EG501" s="182"/>
      <c r="EH501" s="182"/>
      <c r="EI501" s="182"/>
      <c r="EJ501" s="182"/>
      <c r="EK501" s="182"/>
      <c r="EL501" s="182"/>
      <c r="EM501" s="182"/>
      <c r="EN501" s="182"/>
      <c r="EO501" s="182"/>
      <c r="EP501" s="182"/>
      <c r="EQ501" s="182"/>
      <c r="ER501" s="182"/>
      <c r="ES501" s="182"/>
      <c r="ET501" s="182"/>
      <c r="EU501" s="182"/>
      <c r="EV501" s="182"/>
      <c r="EW501" s="182"/>
      <c r="EX501" s="182"/>
      <c r="EY501" s="182"/>
      <c r="EZ501" s="182"/>
      <c r="FA501" s="182"/>
      <c r="FB501" s="182"/>
      <c r="FC501" s="182"/>
      <c r="FD501" s="182"/>
      <c r="FE501" s="182"/>
      <c r="FF501" s="182"/>
      <c r="FG501" s="182"/>
      <c r="FH501" s="182"/>
      <c r="FI501" s="182"/>
      <c r="FJ501" s="182"/>
      <c r="FK501" s="182"/>
      <c r="FL501" s="182"/>
      <c r="FM501" s="182"/>
      <c r="FN501" s="182"/>
      <c r="FO501" s="182"/>
      <c r="FP501" s="182"/>
      <c r="FQ501" s="182"/>
      <c r="FR501" s="182"/>
      <c r="FS501" s="182"/>
      <c r="FT501" s="182"/>
      <c r="FU501" s="182"/>
      <c r="FV501" s="182"/>
      <c r="FW501" s="182"/>
      <c r="FX501" s="182"/>
      <c r="FY501" s="182"/>
      <c r="FZ501" s="182"/>
      <c r="GA501" s="182"/>
      <c r="GB501" s="182"/>
      <c r="GC501" s="182"/>
      <c r="GD501" s="182"/>
      <c r="GE501" s="182"/>
      <c r="GF501" s="182"/>
      <c r="GG501" s="182"/>
      <c r="GH501" s="182"/>
      <c r="GI501" s="182"/>
    </row>
    <row r="502" spans="1:191" s="183" customFormat="1" x14ac:dyDescent="0.2">
      <c r="A502" s="210" t="s">
        <v>38807</v>
      </c>
      <c r="B502" s="210" t="s">
        <v>20763</v>
      </c>
      <c r="C502" s="224" t="s">
        <v>1502</v>
      </c>
      <c r="D502" s="211" t="s">
        <v>70</v>
      </c>
      <c r="E502" s="211">
        <v>150</v>
      </c>
      <c r="F502" s="211"/>
      <c r="G502" s="211">
        <v>0.3</v>
      </c>
      <c r="H502" s="212"/>
      <c r="I502" s="213"/>
      <c r="J502" s="272">
        <v>23.63</v>
      </c>
      <c r="K502" s="112">
        <f t="shared" si="32"/>
        <v>3544.5</v>
      </c>
      <c r="L502" s="273">
        <f>BDI!$E$17</f>
        <v>0.11260000000000001</v>
      </c>
      <c r="M502" s="213"/>
      <c r="N502" s="213"/>
      <c r="O502" s="114">
        <f t="shared" si="33"/>
        <v>26.29</v>
      </c>
      <c r="P502" s="113">
        <f t="shared" si="34"/>
        <v>1183.05</v>
      </c>
      <c r="Q502" s="209"/>
      <c r="R502" s="203"/>
      <c r="S502" s="182"/>
      <c r="T502" s="182"/>
      <c r="U502" s="182"/>
      <c r="V502" s="182"/>
      <c r="W502" s="182"/>
      <c r="X502" s="182"/>
      <c r="Y502" s="182"/>
      <c r="Z502" s="182"/>
      <c r="AA502" s="182"/>
      <c r="AB502" s="182"/>
      <c r="AC502" s="182"/>
      <c r="AD502" s="182"/>
      <c r="AE502" s="182"/>
      <c r="AF502" s="182"/>
      <c r="AG502" s="182"/>
      <c r="AH502" s="182"/>
      <c r="AI502" s="182"/>
      <c r="AJ502" s="182"/>
      <c r="AK502" s="182"/>
      <c r="AL502" s="182"/>
      <c r="AM502" s="182"/>
      <c r="AN502" s="182"/>
      <c r="AO502" s="182"/>
      <c r="AP502" s="182"/>
      <c r="AQ502" s="182"/>
      <c r="AR502" s="182"/>
      <c r="AS502" s="182"/>
      <c r="AT502" s="182"/>
      <c r="AU502" s="182"/>
      <c r="AV502" s="182"/>
      <c r="AW502" s="182"/>
      <c r="AX502" s="182"/>
      <c r="AY502" s="182"/>
      <c r="AZ502" s="182"/>
      <c r="BA502" s="182"/>
      <c r="BB502" s="182"/>
      <c r="BC502" s="182"/>
      <c r="BD502" s="182"/>
      <c r="BE502" s="182"/>
      <c r="BF502" s="182"/>
      <c r="BG502" s="182"/>
      <c r="BH502" s="182"/>
      <c r="BI502" s="182"/>
      <c r="BJ502" s="182"/>
      <c r="BK502" s="182"/>
      <c r="BL502" s="182"/>
      <c r="BM502" s="182"/>
      <c r="BN502" s="182"/>
      <c r="BO502" s="182"/>
      <c r="BP502" s="182"/>
      <c r="BQ502" s="182"/>
      <c r="BR502" s="182"/>
      <c r="BS502" s="182"/>
      <c r="BT502" s="182"/>
      <c r="BU502" s="182"/>
      <c r="BV502" s="182"/>
      <c r="BW502" s="182"/>
      <c r="BX502" s="182"/>
      <c r="BY502" s="182"/>
      <c r="BZ502" s="182"/>
      <c r="CA502" s="182"/>
      <c r="CB502" s="182"/>
      <c r="CC502" s="182"/>
      <c r="CD502" s="182"/>
      <c r="CE502" s="182"/>
      <c r="CF502" s="182"/>
      <c r="CG502" s="182"/>
      <c r="CH502" s="182"/>
      <c r="CI502" s="182"/>
      <c r="CJ502" s="182"/>
      <c r="CK502" s="182"/>
      <c r="CL502" s="182"/>
      <c r="CM502" s="182"/>
      <c r="CN502" s="182"/>
      <c r="CO502" s="182"/>
      <c r="CP502" s="182"/>
      <c r="CQ502" s="182"/>
      <c r="CR502" s="182"/>
      <c r="CS502" s="182"/>
      <c r="CT502" s="182"/>
      <c r="CU502" s="182"/>
      <c r="CV502" s="182"/>
      <c r="CW502" s="182"/>
      <c r="CX502" s="182"/>
      <c r="CY502" s="182"/>
      <c r="CZ502" s="182"/>
      <c r="DA502" s="182"/>
      <c r="DB502" s="182"/>
      <c r="DC502" s="182"/>
      <c r="DD502" s="182"/>
      <c r="DE502" s="182"/>
      <c r="DF502" s="182"/>
      <c r="DG502" s="182"/>
      <c r="DH502" s="182"/>
      <c r="DI502" s="182"/>
      <c r="DJ502" s="182"/>
      <c r="DK502" s="182"/>
      <c r="DL502" s="182"/>
      <c r="DM502" s="182"/>
      <c r="DN502" s="182"/>
      <c r="DO502" s="182"/>
      <c r="DP502" s="182"/>
      <c r="DQ502" s="182"/>
      <c r="DR502" s="182"/>
      <c r="DS502" s="182"/>
      <c r="DT502" s="182"/>
      <c r="DU502" s="182"/>
      <c r="DV502" s="182"/>
      <c r="DW502" s="182"/>
      <c r="DX502" s="182"/>
      <c r="DY502" s="182"/>
      <c r="DZ502" s="182"/>
      <c r="EA502" s="182"/>
      <c r="EB502" s="182"/>
      <c r="EC502" s="182"/>
      <c r="ED502" s="182"/>
      <c r="EE502" s="182"/>
      <c r="EF502" s="182"/>
      <c r="EG502" s="182"/>
      <c r="EH502" s="182"/>
      <c r="EI502" s="182"/>
      <c r="EJ502" s="182"/>
      <c r="EK502" s="182"/>
      <c r="EL502" s="182"/>
      <c r="EM502" s="182"/>
      <c r="EN502" s="182"/>
      <c r="EO502" s="182"/>
      <c r="EP502" s="182"/>
      <c r="EQ502" s="182"/>
      <c r="ER502" s="182"/>
      <c r="ES502" s="182"/>
      <c r="ET502" s="182"/>
      <c r="EU502" s="182"/>
      <c r="EV502" s="182"/>
      <c r="EW502" s="182"/>
      <c r="EX502" s="182"/>
      <c r="EY502" s="182"/>
      <c r="EZ502" s="182"/>
      <c r="FA502" s="182"/>
      <c r="FB502" s="182"/>
      <c r="FC502" s="182"/>
      <c r="FD502" s="182"/>
      <c r="FE502" s="182"/>
      <c r="FF502" s="182"/>
      <c r="FG502" s="182"/>
      <c r="FH502" s="182"/>
      <c r="FI502" s="182"/>
      <c r="FJ502" s="182"/>
      <c r="FK502" s="182"/>
      <c r="FL502" s="182"/>
      <c r="FM502" s="182"/>
      <c r="FN502" s="182"/>
      <c r="FO502" s="182"/>
      <c r="FP502" s="182"/>
      <c r="FQ502" s="182"/>
      <c r="FR502" s="182"/>
      <c r="FS502" s="182"/>
      <c r="FT502" s="182"/>
      <c r="FU502" s="182"/>
      <c r="FV502" s="182"/>
      <c r="FW502" s="182"/>
      <c r="FX502" s="182"/>
      <c r="FY502" s="182"/>
      <c r="FZ502" s="182"/>
      <c r="GA502" s="182"/>
      <c r="GB502" s="182"/>
      <c r="GC502" s="182"/>
      <c r="GD502" s="182"/>
      <c r="GE502" s="182"/>
      <c r="GF502" s="182"/>
      <c r="GG502" s="182"/>
      <c r="GH502" s="182"/>
      <c r="GI502" s="182"/>
    </row>
    <row r="503" spans="1:191" s="183" customFormat="1" x14ac:dyDescent="0.2">
      <c r="A503" s="210" t="s">
        <v>38808</v>
      </c>
      <c r="B503" s="210" t="s">
        <v>20764</v>
      </c>
      <c r="C503" s="224" t="s">
        <v>22606</v>
      </c>
      <c r="D503" s="211" t="s">
        <v>28</v>
      </c>
      <c r="E503" s="211">
        <v>5000</v>
      </c>
      <c r="F503" s="211"/>
      <c r="G503" s="211">
        <v>0.3</v>
      </c>
      <c r="H503" s="212"/>
      <c r="I503" s="213"/>
      <c r="J503" s="272">
        <v>12.81</v>
      </c>
      <c r="K503" s="112">
        <f t="shared" si="32"/>
        <v>64050</v>
      </c>
      <c r="L503" s="273">
        <f>BDI!$E$17</f>
        <v>0.11260000000000001</v>
      </c>
      <c r="M503" s="213"/>
      <c r="N503" s="213"/>
      <c r="O503" s="114">
        <f t="shared" si="33"/>
        <v>14.25</v>
      </c>
      <c r="P503" s="113">
        <f t="shared" si="34"/>
        <v>21375</v>
      </c>
      <c r="Q503" s="209"/>
      <c r="R503" s="203"/>
      <c r="S503" s="182"/>
      <c r="T503" s="182"/>
      <c r="U503" s="182"/>
      <c r="V503" s="182"/>
      <c r="W503" s="182"/>
      <c r="X503" s="182"/>
      <c r="Y503" s="182"/>
      <c r="Z503" s="182"/>
      <c r="AA503" s="182"/>
      <c r="AB503" s="182"/>
      <c r="AC503" s="182"/>
      <c r="AD503" s="182"/>
      <c r="AE503" s="182"/>
      <c r="AF503" s="182"/>
      <c r="AG503" s="182"/>
      <c r="AH503" s="182"/>
      <c r="AI503" s="182"/>
      <c r="AJ503" s="182"/>
      <c r="AK503" s="182"/>
      <c r="AL503" s="182"/>
      <c r="AM503" s="182"/>
      <c r="AN503" s="182"/>
      <c r="AO503" s="182"/>
      <c r="AP503" s="182"/>
      <c r="AQ503" s="182"/>
      <c r="AR503" s="182"/>
      <c r="AS503" s="182"/>
      <c r="AT503" s="182"/>
      <c r="AU503" s="182"/>
      <c r="AV503" s="182"/>
      <c r="AW503" s="182"/>
      <c r="AX503" s="182"/>
      <c r="AY503" s="182"/>
      <c r="AZ503" s="182"/>
      <c r="BA503" s="182"/>
      <c r="BB503" s="182"/>
      <c r="BC503" s="182"/>
      <c r="BD503" s="182"/>
      <c r="BE503" s="182"/>
      <c r="BF503" s="182"/>
      <c r="BG503" s="182"/>
      <c r="BH503" s="182"/>
      <c r="BI503" s="182"/>
      <c r="BJ503" s="182"/>
      <c r="BK503" s="182"/>
      <c r="BL503" s="182"/>
      <c r="BM503" s="182"/>
      <c r="BN503" s="182"/>
      <c r="BO503" s="182"/>
      <c r="BP503" s="182"/>
      <c r="BQ503" s="182"/>
      <c r="BR503" s="182"/>
      <c r="BS503" s="182"/>
      <c r="BT503" s="182"/>
      <c r="BU503" s="182"/>
      <c r="BV503" s="182"/>
      <c r="BW503" s="182"/>
      <c r="BX503" s="182"/>
      <c r="BY503" s="182"/>
      <c r="BZ503" s="182"/>
      <c r="CA503" s="182"/>
      <c r="CB503" s="182"/>
      <c r="CC503" s="182"/>
      <c r="CD503" s="182"/>
      <c r="CE503" s="182"/>
      <c r="CF503" s="182"/>
      <c r="CG503" s="182"/>
      <c r="CH503" s="182"/>
      <c r="CI503" s="182"/>
      <c r="CJ503" s="182"/>
      <c r="CK503" s="182"/>
      <c r="CL503" s="182"/>
      <c r="CM503" s="182"/>
      <c r="CN503" s="182"/>
      <c r="CO503" s="182"/>
      <c r="CP503" s="182"/>
      <c r="CQ503" s="182"/>
      <c r="CR503" s="182"/>
      <c r="CS503" s="182"/>
      <c r="CT503" s="182"/>
      <c r="CU503" s="182"/>
      <c r="CV503" s="182"/>
      <c r="CW503" s="182"/>
      <c r="CX503" s="182"/>
      <c r="CY503" s="182"/>
      <c r="CZ503" s="182"/>
      <c r="DA503" s="182"/>
      <c r="DB503" s="182"/>
      <c r="DC503" s="182"/>
      <c r="DD503" s="182"/>
      <c r="DE503" s="182"/>
      <c r="DF503" s="182"/>
      <c r="DG503" s="182"/>
      <c r="DH503" s="182"/>
      <c r="DI503" s="182"/>
      <c r="DJ503" s="182"/>
      <c r="DK503" s="182"/>
      <c r="DL503" s="182"/>
      <c r="DM503" s="182"/>
      <c r="DN503" s="182"/>
      <c r="DO503" s="182"/>
      <c r="DP503" s="182"/>
      <c r="DQ503" s="182"/>
      <c r="DR503" s="182"/>
      <c r="DS503" s="182"/>
      <c r="DT503" s="182"/>
      <c r="DU503" s="182"/>
      <c r="DV503" s="182"/>
      <c r="DW503" s="182"/>
      <c r="DX503" s="182"/>
      <c r="DY503" s="182"/>
      <c r="DZ503" s="182"/>
      <c r="EA503" s="182"/>
      <c r="EB503" s="182"/>
      <c r="EC503" s="182"/>
      <c r="ED503" s="182"/>
      <c r="EE503" s="182"/>
      <c r="EF503" s="182"/>
      <c r="EG503" s="182"/>
      <c r="EH503" s="182"/>
      <c r="EI503" s="182"/>
      <c r="EJ503" s="182"/>
      <c r="EK503" s="182"/>
      <c r="EL503" s="182"/>
      <c r="EM503" s="182"/>
      <c r="EN503" s="182"/>
      <c r="EO503" s="182"/>
      <c r="EP503" s="182"/>
      <c r="EQ503" s="182"/>
      <c r="ER503" s="182"/>
      <c r="ES503" s="182"/>
      <c r="ET503" s="182"/>
      <c r="EU503" s="182"/>
      <c r="EV503" s="182"/>
      <c r="EW503" s="182"/>
      <c r="EX503" s="182"/>
      <c r="EY503" s="182"/>
      <c r="EZ503" s="182"/>
      <c r="FA503" s="182"/>
      <c r="FB503" s="182"/>
      <c r="FC503" s="182"/>
      <c r="FD503" s="182"/>
      <c r="FE503" s="182"/>
      <c r="FF503" s="182"/>
      <c r="FG503" s="182"/>
      <c r="FH503" s="182"/>
      <c r="FI503" s="182"/>
      <c r="FJ503" s="182"/>
      <c r="FK503" s="182"/>
      <c r="FL503" s="182"/>
      <c r="FM503" s="182"/>
      <c r="FN503" s="182"/>
      <c r="FO503" s="182"/>
      <c r="FP503" s="182"/>
      <c r="FQ503" s="182"/>
      <c r="FR503" s="182"/>
      <c r="FS503" s="182"/>
      <c r="FT503" s="182"/>
      <c r="FU503" s="182"/>
      <c r="FV503" s="182"/>
      <c r="FW503" s="182"/>
      <c r="FX503" s="182"/>
      <c r="FY503" s="182"/>
      <c r="FZ503" s="182"/>
      <c r="GA503" s="182"/>
      <c r="GB503" s="182"/>
      <c r="GC503" s="182"/>
      <c r="GD503" s="182"/>
      <c r="GE503" s="182"/>
      <c r="GF503" s="182"/>
      <c r="GG503" s="182"/>
      <c r="GH503" s="182"/>
      <c r="GI503" s="182"/>
    </row>
    <row r="504" spans="1:191" s="183" customFormat="1" x14ac:dyDescent="0.2">
      <c r="A504" s="210" t="s">
        <v>38809</v>
      </c>
      <c r="B504" s="210" t="s">
        <v>20765</v>
      </c>
      <c r="C504" s="224" t="s">
        <v>1465</v>
      </c>
      <c r="D504" s="211" t="s">
        <v>69</v>
      </c>
      <c r="E504" s="211">
        <v>180</v>
      </c>
      <c r="F504" s="211"/>
      <c r="G504" s="211">
        <v>0.3</v>
      </c>
      <c r="H504" s="212"/>
      <c r="I504" s="213"/>
      <c r="J504" s="272">
        <v>15.59</v>
      </c>
      <c r="K504" s="112">
        <f t="shared" si="32"/>
        <v>2806.2</v>
      </c>
      <c r="L504" s="273">
        <f>BDI!$E$17</f>
        <v>0.11260000000000001</v>
      </c>
      <c r="M504" s="213"/>
      <c r="N504" s="213"/>
      <c r="O504" s="114">
        <f t="shared" si="33"/>
        <v>17.350000000000001</v>
      </c>
      <c r="P504" s="113">
        <f t="shared" si="34"/>
        <v>936.9</v>
      </c>
      <c r="Q504" s="209"/>
      <c r="R504" s="203"/>
      <c r="S504" s="182"/>
      <c r="T504" s="182"/>
      <c r="U504" s="182"/>
      <c r="V504" s="182"/>
      <c r="W504" s="182"/>
      <c r="X504" s="182"/>
      <c r="Y504" s="182"/>
      <c r="Z504" s="182"/>
      <c r="AA504" s="182"/>
      <c r="AB504" s="182"/>
      <c r="AC504" s="182"/>
      <c r="AD504" s="182"/>
      <c r="AE504" s="182"/>
      <c r="AF504" s="182"/>
      <c r="AG504" s="182"/>
      <c r="AH504" s="182"/>
      <c r="AI504" s="182"/>
      <c r="AJ504" s="182"/>
      <c r="AK504" s="182"/>
      <c r="AL504" s="182"/>
      <c r="AM504" s="182"/>
      <c r="AN504" s="182"/>
      <c r="AO504" s="182"/>
      <c r="AP504" s="182"/>
      <c r="AQ504" s="182"/>
      <c r="AR504" s="182"/>
      <c r="AS504" s="182"/>
      <c r="AT504" s="182"/>
      <c r="AU504" s="182"/>
      <c r="AV504" s="182"/>
      <c r="AW504" s="182"/>
      <c r="AX504" s="182"/>
      <c r="AY504" s="182"/>
      <c r="AZ504" s="182"/>
      <c r="BA504" s="182"/>
      <c r="BB504" s="182"/>
      <c r="BC504" s="182"/>
      <c r="BD504" s="182"/>
      <c r="BE504" s="182"/>
      <c r="BF504" s="182"/>
      <c r="BG504" s="182"/>
      <c r="BH504" s="182"/>
      <c r="BI504" s="182"/>
      <c r="BJ504" s="182"/>
      <c r="BK504" s="182"/>
      <c r="BL504" s="182"/>
      <c r="BM504" s="182"/>
      <c r="BN504" s="182"/>
      <c r="BO504" s="182"/>
      <c r="BP504" s="182"/>
      <c r="BQ504" s="182"/>
      <c r="BR504" s="182"/>
      <c r="BS504" s="182"/>
      <c r="BT504" s="182"/>
      <c r="BU504" s="182"/>
      <c r="BV504" s="182"/>
      <c r="BW504" s="182"/>
      <c r="BX504" s="182"/>
      <c r="BY504" s="182"/>
      <c r="BZ504" s="182"/>
      <c r="CA504" s="182"/>
      <c r="CB504" s="182"/>
      <c r="CC504" s="182"/>
      <c r="CD504" s="182"/>
      <c r="CE504" s="182"/>
      <c r="CF504" s="182"/>
      <c r="CG504" s="182"/>
      <c r="CH504" s="182"/>
      <c r="CI504" s="182"/>
      <c r="CJ504" s="182"/>
      <c r="CK504" s="182"/>
      <c r="CL504" s="182"/>
      <c r="CM504" s="182"/>
      <c r="CN504" s="182"/>
      <c r="CO504" s="182"/>
      <c r="CP504" s="182"/>
      <c r="CQ504" s="182"/>
      <c r="CR504" s="182"/>
      <c r="CS504" s="182"/>
      <c r="CT504" s="182"/>
      <c r="CU504" s="182"/>
      <c r="CV504" s="182"/>
      <c r="CW504" s="182"/>
      <c r="CX504" s="182"/>
      <c r="CY504" s="182"/>
      <c r="CZ504" s="182"/>
      <c r="DA504" s="182"/>
      <c r="DB504" s="182"/>
      <c r="DC504" s="182"/>
      <c r="DD504" s="182"/>
      <c r="DE504" s="182"/>
      <c r="DF504" s="182"/>
      <c r="DG504" s="182"/>
      <c r="DH504" s="182"/>
      <c r="DI504" s="182"/>
      <c r="DJ504" s="182"/>
      <c r="DK504" s="182"/>
      <c r="DL504" s="182"/>
      <c r="DM504" s="182"/>
      <c r="DN504" s="182"/>
      <c r="DO504" s="182"/>
      <c r="DP504" s="182"/>
      <c r="DQ504" s="182"/>
      <c r="DR504" s="182"/>
      <c r="DS504" s="182"/>
      <c r="DT504" s="182"/>
      <c r="DU504" s="182"/>
      <c r="DV504" s="182"/>
      <c r="DW504" s="182"/>
      <c r="DX504" s="182"/>
      <c r="DY504" s="182"/>
      <c r="DZ504" s="182"/>
      <c r="EA504" s="182"/>
      <c r="EB504" s="182"/>
      <c r="EC504" s="182"/>
      <c r="ED504" s="182"/>
      <c r="EE504" s="182"/>
      <c r="EF504" s="182"/>
      <c r="EG504" s="182"/>
      <c r="EH504" s="182"/>
      <c r="EI504" s="182"/>
      <c r="EJ504" s="182"/>
      <c r="EK504" s="182"/>
      <c r="EL504" s="182"/>
      <c r="EM504" s="182"/>
      <c r="EN504" s="182"/>
      <c r="EO504" s="182"/>
      <c r="EP504" s="182"/>
      <c r="EQ504" s="182"/>
      <c r="ER504" s="182"/>
      <c r="ES504" s="182"/>
      <c r="ET504" s="182"/>
      <c r="EU504" s="182"/>
      <c r="EV504" s="182"/>
      <c r="EW504" s="182"/>
      <c r="EX504" s="182"/>
      <c r="EY504" s="182"/>
      <c r="EZ504" s="182"/>
      <c r="FA504" s="182"/>
      <c r="FB504" s="182"/>
      <c r="FC504" s="182"/>
      <c r="FD504" s="182"/>
      <c r="FE504" s="182"/>
      <c r="FF504" s="182"/>
      <c r="FG504" s="182"/>
      <c r="FH504" s="182"/>
      <c r="FI504" s="182"/>
      <c r="FJ504" s="182"/>
      <c r="FK504" s="182"/>
      <c r="FL504" s="182"/>
      <c r="FM504" s="182"/>
      <c r="FN504" s="182"/>
      <c r="FO504" s="182"/>
      <c r="FP504" s="182"/>
      <c r="FQ504" s="182"/>
      <c r="FR504" s="182"/>
      <c r="FS504" s="182"/>
      <c r="FT504" s="182"/>
      <c r="FU504" s="182"/>
      <c r="FV504" s="182"/>
      <c r="FW504" s="182"/>
      <c r="FX504" s="182"/>
      <c r="FY504" s="182"/>
      <c r="FZ504" s="182"/>
      <c r="GA504" s="182"/>
      <c r="GB504" s="182"/>
      <c r="GC504" s="182"/>
      <c r="GD504" s="182"/>
      <c r="GE504" s="182"/>
      <c r="GF504" s="182"/>
      <c r="GG504" s="182"/>
      <c r="GH504" s="182"/>
      <c r="GI504" s="182"/>
    </row>
    <row r="505" spans="1:191" s="183" customFormat="1" x14ac:dyDescent="0.2">
      <c r="A505" s="210" t="s">
        <v>38810</v>
      </c>
      <c r="B505" s="210" t="s">
        <v>20766</v>
      </c>
      <c r="C505" s="224" t="s">
        <v>1466</v>
      </c>
      <c r="D505" s="211" t="s">
        <v>69</v>
      </c>
      <c r="E505" s="211">
        <v>180</v>
      </c>
      <c r="F505" s="211"/>
      <c r="G505" s="211">
        <v>0.3</v>
      </c>
      <c r="H505" s="212"/>
      <c r="I505" s="213"/>
      <c r="J505" s="272">
        <v>19.7</v>
      </c>
      <c r="K505" s="112">
        <f t="shared" si="32"/>
        <v>3546</v>
      </c>
      <c r="L505" s="273">
        <f>BDI!$E$17</f>
        <v>0.11260000000000001</v>
      </c>
      <c r="M505" s="213"/>
      <c r="N505" s="213"/>
      <c r="O505" s="114">
        <f t="shared" si="33"/>
        <v>21.92</v>
      </c>
      <c r="P505" s="113">
        <f t="shared" si="34"/>
        <v>1183.68</v>
      </c>
      <c r="Q505" s="209"/>
      <c r="R505" s="203"/>
      <c r="S505" s="182"/>
      <c r="T505" s="182"/>
      <c r="U505" s="182"/>
      <c r="V505" s="182"/>
      <c r="W505" s="182"/>
      <c r="X505" s="182"/>
      <c r="Y505" s="182"/>
      <c r="Z505" s="182"/>
      <c r="AA505" s="182"/>
      <c r="AB505" s="182"/>
      <c r="AC505" s="182"/>
      <c r="AD505" s="182"/>
      <c r="AE505" s="182"/>
      <c r="AF505" s="182"/>
      <c r="AG505" s="182"/>
      <c r="AH505" s="182"/>
      <c r="AI505" s="182"/>
      <c r="AJ505" s="182"/>
      <c r="AK505" s="182"/>
      <c r="AL505" s="182"/>
      <c r="AM505" s="182"/>
      <c r="AN505" s="182"/>
      <c r="AO505" s="182"/>
      <c r="AP505" s="182"/>
      <c r="AQ505" s="182"/>
      <c r="AR505" s="182"/>
      <c r="AS505" s="182"/>
      <c r="AT505" s="182"/>
      <c r="AU505" s="182"/>
      <c r="AV505" s="182"/>
      <c r="AW505" s="182"/>
      <c r="AX505" s="182"/>
      <c r="AY505" s="182"/>
      <c r="AZ505" s="182"/>
      <c r="BA505" s="182"/>
      <c r="BB505" s="182"/>
      <c r="BC505" s="182"/>
      <c r="BD505" s="182"/>
      <c r="BE505" s="182"/>
      <c r="BF505" s="182"/>
      <c r="BG505" s="182"/>
      <c r="BH505" s="182"/>
      <c r="BI505" s="182"/>
      <c r="BJ505" s="182"/>
      <c r="BK505" s="182"/>
      <c r="BL505" s="182"/>
      <c r="BM505" s="182"/>
      <c r="BN505" s="182"/>
      <c r="BO505" s="182"/>
      <c r="BP505" s="182"/>
      <c r="BQ505" s="182"/>
      <c r="BR505" s="182"/>
      <c r="BS505" s="182"/>
      <c r="BT505" s="182"/>
      <c r="BU505" s="182"/>
      <c r="BV505" s="182"/>
      <c r="BW505" s="182"/>
      <c r="BX505" s="182"/>
      <c r="BY505" s="182"/>
      <c r="BZ505" s="182"/>
      <c r="CA505" s="182"/>
      <c r="CB505" s="182"/>
      <c r="CC505" s="182"/>
      <c r="CD505" s="182"/>
      <c r="CE505" s="182"/>
      <c r="CF505" s="182"/>
      <c r="CG505" s="182"/>
      <c r="CH505" s="182"/>
      <c r="CI505" s="182"/>
      <c r="CJ505" s="182"/>
      <c r="CK505" s="182"/>
      <c r="CL505" s="182"/>
      <c r="CM505" s="182"/>
      <c r="CN505" s="182"/>
      <c r="CO505" s="182"/>
      <c r="CP505" s="182"/>
      <c r="CQ505" s="182"/>
      <c r="CR505" s="182"/>
      <c r="CS505" s="182"/>
      <c r="CT505" s="182"/>
      <c r="CU505" s="182"/>
      <c r="CV505" s="182"/>
      <c r="CW505" s="182"/>
      <c r="CX505" s="182"/>
      <c r="CY505" s="182"/>
      <c r="CZ505" s="182"/>
      <c r="DA505" s="182"/>
      <c r="DB505" s="182"/>
      <c r="DC505" s="182"/>
      <c r="DD505" s="182"/>
      <c r="DE505" s="182"/>
      <c r="DF505" s="182"/>
      <c r="DG505" s="182"/>
      <c r="DH505" s="182"/>
      <c r="DI505" s="182"/>
      <c r="DJ505" s="182"/>
      <c r="DK505" s="182"/>
      <c r="DL505" s="182"/>
      <c r="DM505" s="182"/>
      <c r="DN505" s="182"/>
      <c r="DO505" s="182"/>
      <c r="DP505" s="182"/>
      <c r="DQ505" s="182"/>
      <c r="DR505" s="182"/>
      <c r="DS505" s="182"/>
      <c r="DT505" s="182"/>
      <c r="DU505" s="182"/>
      <c r="DV505" s="182"/>
      <c r="DW505" s="182"/>
      <c r="DX505" s="182"/>
      <c r="DY505" s="182"/>
      <c r="DZ505" s="182"/>
      <c r="EA505" s="182"/>
      <c r="EB505" s="182"/>
      <c r="EC505" s="182"/>
      <c r="ED505" s="182"/>
      <c r="EE505" s="182"/>
      <c r="EF505" s="182"/>
      <c r="EG505" s="182"/>
      <c r="EH505" s="182"/>
      <c r="EI505" s="182"/>
      <c r="EJ505" s="182"/>
      <c r="EK505" s="182"/>
      <c r="EL505" s="182"/>
      <c r="EM505" s="182"/>
      <c r="EN505" s="182"/>
      <c r="EO505" s="182"/>
      <c r="EP505" s="182"/>
      <c r="EQ505" s="182"/>
      <c r="ER505" s="182"/>
      <c r="ES505" s="182"/>
      <c r="ET505" s="182"/>
      <c r="EU505" s="182"/>
      <c r="EV505" s="182"/>
      <c r="EW505" s="182"/>
      <c r="EX505" s="182"/>
      <c r="EY505" s="182"/>
      <c r="EZ505" s="182"/>
      <c r="FA505" s="182"/>
      <c r="FB505" s="182"/>
      <c r="FC505" s="182"/>
      <c r="FD505" s="182"/>
      <c r="FE505" s="182"/>
      <c r="FF505" s="182"/>
      <c r="FG505" s="182"/>
      <c r="FH505" s="182"/>
      <c r="FI505" s="182"/>
      <c r="FJ505" s="182"/>
      <c r="FK505" s="182"/>
      <c r="FL505" s="182"/>
      <c r="FM505" s="182"/>
      <c r="FN505" s="182"/>
      <c r="FO505" s="182"/>
      <c r="FP505" s="182"/>
      <c r="FQ505" s="182"/>
      <c r="FR505" s="182"/>
      <c r="FS505" s="182"/>
      <c r="FT505" s="182"/>
      <c r="FU505" s="182"/>
      <c r="FV505" s="182"/>
      <c r="FW505" s="182"/>
      <c r="FX505" s="182"/>
      <c r="FY505" s="182"/>
      <c r="FZ505" s="182"/>
      <c r="GA505" s="182"/>
      <c r="GB505" s="182"/>
      <c r="GC505" s="182"/>
      <c r="GD505" s="182"/>
      <c r="GE505" s="182"/>
      <c r="GF505" s="182"/>
      <c r="GG505" s="182"/>
      <c r="GH505" s="182"/>
      <c r="GI505" s="182"/>
    </row>
    <row r="506" spans="1:191" s="183" customFormat="1" x14ac:dyDescent="0.2">
      <c r="A506" s="210" t="s">
        <v>38811</v>
      </c>
      <c r="B506" s="210" t="s">
        <v>20767</v>
      </c>
      <c r="C506" s="224" t="s">
        <v>22607</v>
      </c>
      <c r="D506" s="211" t="s">
        <v>28</v>
      </c>
      <c r="E506" s="211">
        <v>100</v>
      </c>
      <c r="F506" s="211"/>
      <c r="G506" s="211">
        <v>0.3</v>
      </c>
      <c r="H506" s="212"/>
      <c r="I506" s="213"/>
      <c r="J506" s="272">
        <v>41.67</v>
      </c>
      <c r="K506" s="112">
        <f t="shared" si="32"/>
        <v>4167</v>
      </c>
      <c r="L506" s="273">
        <f>BDI!$E$17</f>
        <v>0.11260000000000001</v>
      </c>
      <c r="M506" s="213"/>
      <c r="N506" s="213"/>
      <c r="O506" s="114">
        <f t="shared" si="33"/>
        <v>46.36</v>
      </c>
      <c r="P506" s="113">
        <f t="shared" si="34"/>
        <v>1390.8</v>
      </c>
      <c r="Q506" s="209"/>
      <c r="R506" s="203"/>
      <c r="S506" s="182"/>
      <c r="T506" s="182"/>
      <c r="U506" s="182"/>
      <c r="V506" s="182"/>
      <c r="W506" s="182"/>
      <c r="X506" s="182"/>
      <c r="Y506" s="182"/>
      <c r="Z506" s="182"/>
      <c r="AA506" s="182"/>
      <c r="AB506" s="182"/>
      <c r="AC506" s="182"/>
      <c r="AD506" s="182"/>
      <c r="AE506" s="182"/>
      <c r="AF506" s="182"/>
      <c r="AG506" s="182"/>
      <c r="AH506" s="182"/>
      <c r="AI506" s="182"/>
      <c r="AJ506" s="182"/>
      <c r="AK506" s="182"/>
      <c r="AL506" s="182"/>
      <c r="AM506" s="182"/>
      <c r="AN506" s="182"/>
      <c r="AO506" s="182"/>
      <c r="AP506" s="182"/>
      <c r="AQ506" s="182"/>
      <c r="AR506" s="182"/>
      <c r="AS506" s="182"/>
      <c r="AT506" s="182"/>
      <c r="AU506" s="182"/>
      <c r="AV506" s="182"/>
      <c r="AW506" s="182"/>
      <c r="AX506" s="182"/>
      <c r="AY506" s="182"/>
      <c r="AZ506" s="182"/>
      <c r="BA506" s="182"/>
      <c r="BB506" s="182"/>
      <c r="BC506" s="182"/>
      <c r="BD506" s="182"/>
      <c r="BE506" s="182"/>
      <c r="BF506" s="182"/>
      <c r="BG506" s="182"/>
      <c r="BH506" s="182"/>
      <c r="BI506" s="182"/>
      <c r="BJ506" s="182"/>
      <c r="BK506" s="182"/>
      <c r="BL506" s="182"/>
      <c r="BM506" s="182"/>
      <c r="BN506" s="182"/>
      <c r="BO506" s="182"/>
      <c r="BP506" s="182"/>
      <c r="BQ506" s="182"/>
      <c r="BR506" s="182"/>
      <c r="BS506" s="182"/>
      <c r="BT506" s="182"/>
      <c r="BU506" s="182"/>
      <c r="BV506" s="182"/>
      <c r="BW506" s="182"/>
      <c r="BX506" s="182"/>
      <c r="BY506" s="182"/>
      <c r="BZ506" s="182"/>
      <c r="CA506" s="182"/>
      <c r="CB506" s="182"/>
      <c r="CC506" s="182"/>
      <c r="CD506" s="182"/>
      <c r="CE506" s="182"/>
      <c r="CF506" s="182"/>
      <c r="CG506" s="182"/>
      <c r="CH506" s="182"/>
      <c r="CI506" s="182"/>
      <c r="CJ506" s="182"/>
      <c r="CK506" s="182"/>
      <c r="CL506" s="182"/>
      <c r="CM506" s="182"/>
      <c r="CN506" s="182"/>
      <c r="CO506" s="182"/>
      <c r="CP506" s="182"/>
      <c r="CQ506" s="182"/>
      <c r="CR506" s="182"/>
      <c r="CS506" s="182"/>
      <c r="CT506" s="182"/>
      <c r="CU506" s="182"/>
      <c r="CV506" s="182"/>
      <c r="CW506" s="182"/>
      <c r="CX506" s="182"/>
      <c r="CY506" s="182"/>
      <c r="CZ506" s="182"/>
      <c r="DA506" s="182"/>
      <c r="DB506" s="182"/>
      <c r="DC506" s="182"/>
      <c r="DD506" s="182"/>
      <c r="DE506" s="182"/>
      <c r="DF506" s="182"/>
      <c r="DG506" s="182"/>
      <c r="DH506" s="182"/>
      <c r="DI506" s="182"/>
      <c r="DJ506" s="182"/>
      <c r="DK506" s="182"/>
      <c r="DL506" s="182"/>
      <c r="DM506" s="182"/>
      <c r="DN506" s="182"/>
      <c r="DO506" s="182"/>
      <c r="DP506" s="182"/>
      <c r="DQ506" s="182"/>
      <c r="DR506" s="182"/>
      <c r="DS506" s="182"/>
      <c r="DT506" s="182"/>
      <c r="DU506" s="182"/>
      <c r="DV506" s="182"/>
      <c r="DW506" s="182"/>
      <c r="DX506" s="182"/>
      <c r="DY506" s="182"/>
      <c r="DZ506" s="182"/>
      <c r="EA506" s="182"/>
      <c r="EB506" s="182"/>
      <c r="EC506" s="182"/>
      <c r="ED506" s="182"/>
      <c r="EE506" s="182"/>
      <c r="EF506" s="182"/>
      <c r="EG506" s="182"/>
      <c r="EH506" s="182"/>
      <c r="EI506" s="182"/>
      <c r="EJ506" s="182"/>
      <c r="EK506" s="182"/>
      <c r="EL506" s="182"/>
      <c r="EM506" s="182"/>
      <c r="EN506" s="182"/>
      <c r="EO506" s="182"/>
      <c r="EP506" s="182"/>
      <c r="EQ506" s="182"/>
      <c r="ER506" s="182"/>
      <c r="ES506" s="182"/>
      <c r="ET506" s="182"/>
      <c r="EU506" s="182"/>
      <c r="EV506" s="182"/>
      <c r="EW506" s="182"/>
      <c r="EX506" s="182"/>
      <c r="EY506" s="182"/>
      <c r="EZ506" s="182"/>
      <c r="FA506" s="182"/>
      <c r="FB506" s="182"/>
      <c r="FC506" s="182"/>
      <c r="FD506" s="182"/>
      <c r="FE506" s="182"/>
      <c r="FF506" s="182"/>
      <c r="FG506" s="182"/>
      <c r="FH506" s="182"/>
      <c r="FI506" s="182"/>
      <c r="FJ506" s="182"/>
      <c r="FK506" s="182"/>
      <c r="FL506" s="182"/>
      <c r="FM506" s="182"/>
      <c r="FN506" s="182"/>
      <c r="FO506" s="182"/>
      <c r="FP506" s="182"/>
      <c r="FQ506" s="182"/>
      <c r="FR506" s="182"/>
      <c r="FS506" s="182"/>
      <c r="FT506" s="182"/>
      <c r="FU506" s="182"/>
      <c r="FV506" s="182"/>
      <c r="FW506" s="182"/>
      <c r="FX506" s="182"/>
      <c r="FY506" s="182"/>
      <c r="FZ506" s="182"/>
      <c r="GA506" s="182"/>
      <c r="GB506" s="182"/>
      <c r="GC506" s="182"/>
      <c r="GD506" s="182"/>
      <c r="GE506" s="182"/>
      <c r="GF506" s="182"/>
      <c r="GG506" s="182"/>
      <c r="GH506" s="182"/>
      <c r="GI506" s="182"/>
    </row>
    <row r="507" spans="1:191" s="183" customFormat="1" x14ac:dyDescent="0.2">
      <c r="A507" s="210" t="s">
        <v>38812</v>
      </c>
      <c r="B507" s="210" t="s">
        <v>20768</v>
      </c>
      <c r="C507" s="224" t="s">
        <v>22608</v>
      </c>
      <c r="D507" s="211" t="s">
        <v>28</v>
      </c>
      <c r="E507" s="211">
        <v>100</v>
      </c>
      <c r="F507" s="211"/>
      <c r="G507" s="211">
        <v>0.3</v>
      </c>
      <c r="H507" s="212"/>
      <c r="I507" s="213"/>
      <c r="J507" s="272">
        <v>43.5</v>
      </c>
      <c r="K507" s="112">
        <f t="shared" si="32"/>
        <v>4350</v>
      </c>
      <c r="L507" s="273">
        <f>BDI!$E$17</f>
        <v>0.11260000000000001</v>
      </c>
      <c r="M507" s="213"/>
      <c r="N507" s="213"/>
      <c r="O507" s="114">
        <f t="shared" si="33"/>
        <v>48.4</v>
      </c>
      <c r="P507" s="113">
        <f t="shared" si="34"/>
        <v>1452</v>
      </c>
      <c r="Q507" s="209"/>
      <c r="R507" s="203"/>
      <c r="S507" s="182"/>
      <c r="T507" s="182"/>
      <c r="U507" s="182"/>
      <c r="V507" s="182"/>
      <c r="W507" s="182"/>
      <c r="X507" s="182"/>
      <c r="Y507" s="182"/>
      <c r="Z507" s="182"/>
      <c r="AA507" s="182"/>
      <c r="AB507" s="182"/>
      <c r="AC507" s="182"/>
      <c r="AD507" s="182"/>
      <c r="AE507" s="182"/>
      <c r="AF507" s="182"/>
      <c r="AG507" s="182"/>
      <c r="AH507" s="182"/>
      <c r="AI507" s="182"/>
      <c r="AJ507" s="182"/>
      <c r="AK507" s="182"/>
      <c r="AL507" s="182"/>
      <c r="AM507" s="182"/>
      <c r="AN507" s="182"/>
      <c r="AO507" s="182"/>
      <c r="AP507" s="182"/>
      <c r="AQ507" s="182"/>
      <c r="AR507" s="182"/>
      <c r="AS507" s="182"/>
      <c r="AT507" s="182"/>
      <c r="AU507" s="182"/>
      <c r="AV507" s="182"/>
      <c r="AW507" s="182"/>
      <c r="AX507" s="182"/>
      <c r="AY507" s="182"/>
      <c r="AZ507" s="182"/>
      <c r="BA507" s="182"/>
      <c r="BB507" s="182"/>
      <c r="BC507" s="182"/>
      <c r="BD507" s="182"/>
      <c r="BE507" s="182"/>
      <c r="BF507" s="182"/>
      <c r="BG507" s="182"/>
      <c r="BH507" s="182"/>
      <c r="BI507" s="182"/>
      <c r="BJ507" s="182"/>
      <c r="BK507" s="182"/>
      <c r="BL507" s="182"/>
      <c r="BM507" s="182"/>
      <c r="BN507" s="182"/>
      <c r="BO507" s="182"/>
      <c r="BP507" s="182"/>
      <c r="BQ507" s="182"/>
      <c r="BR507" s="182"/>
      <c r="BS507" s="182"/>
      <c r="BT507" s="182"/>
      <c r="BU507" s="182"/>
      <c r="BV507" s="182"/>
      <c r="BW507" s="182"/>
      <c r="BX507" s="182"/>
      <c r="BY507" s="182"/>
      <c r="BZ507" s="182"/>
      <c r="CA507" s="182"/>
      <c r="CB507" s="182"/>
      <c r="CC507" s="182"/>
      <c r="CD507" s="182"/>
      <c r="CE507" s="182"/>
      <c r="CF507" s="182"/>
      <c r="CG507" s="182"/>
      <c r="CH507" s="182"/>
      <c r="CI507" s="182"/>
      <c r="CJ507" s="182"/>
      <c r="CK507" s="182"/>
      <c r="CL507" s="182"/>
      <c r="CM507" s="182"/>
      <c r="CN507" s="182"/>
      <c r="CO507" s="182"/>
      <c r="CP507" s="182"/>
      <c r="CQ507" s="182"/>
      <c r="CR507" s="182"/>
      <c r="CS507" s="182"/>
      <c r="CT507" s="182"/>
      <c r="CU507" s="182"/>
      <c r="CV507" s="182"/>
      <c r="CW507" s="182"/>
      <c r="CX507" s="182"/>
      <c r="CY507" s="182"/>
      <c r="CZ507" s="182"/>
      <c r="DA507" s="182"/>
      <c r="DB507" s="182"/>
      <c r="DC507" s="182"/>
      <c r="DD507" s="182"/>
      <c r="DE507" s="182"/>
      <c r="DF507" s="182"/>
      <c r="DG507" s="182"/>
      <c r="DH507" s="182"/>
      <c r="DI507" s="182"/>
      <c r="DJ507" s="182"/>
      <c r="DK507" s="182"/>
      <c r="DL507" s="182"/>
      <c r="DM507" s="182"/>
      <c r="DN507" s="182"/>
      <c r="DO507" s="182"/>
      <c r="DP507" s="182"/>
      <c r="DQ507" s="182"/>
      <c r="DR507" s="182"/>
      <c r="DS507" s="182"/>
      <c r="DT507" s="182"/>
      <c r="DU507" s="182"/>
      <c r="DV507" s="182"/>
      <c r="DW507" s="182"/>
      <c r="DX507" s="182"/>
      <c r="DY507" s="182"/>
      <c r="DZ507" s="182"/>
      <c r="EA507" s="182"/>
      <c r="EB507" s="182"/>
      <c r="EC507" s="182"/>
      <c r="ED507" s="182"/>
      <c r="EE507" s="182"/>
      <c r="EF507" s="182"/>
      <c r="EG507" s="182"/>
      <c r="EH507" s="182"/>
      <c r="EI507" s="182"/>
      <c r="EJ507" s="182"/>
      <c r="EK507" s="182"/>
      <c r="EL507" s="182"/>
      <c r="EM507" s="182"/>
      <c r="EN507" s="182"/>
      <c r="EO507" s="182"/>
      <c r="EP507" s="182"/>
      <c r="EQ507" s="182"/>
      <c r="ER507" s="182"/>
      <c r="ES507" s="182"/>
      <c r="ET507" s="182"/>
      <c r="EU507" s="182"/>
      <c r="EV507" s="182"/>
      <c r="EW507" s="182"/>
      <c r="EX507" s="182"/>
      <c r="EY507" s="182"/>
      <c r="EZ507" s="182"/>
      <c r="FA507" s="182"/>
      <c r="FB507" s="182"/>
      <c r="FC507" s="182"/>
      <c r="FD507" s="182"/>
      <c r="FE507" s="182"/>
      <c r="FF507" s="182"/>
      <c r="FG507" s="182"/>
      <c r="FH507" s="182"/>
      <c r="FI507" s="182"/>
      <c r="FJ507" s="182"/>
      <c r="FK507" s="182"/>
      <c r="FL507" s="182"/>
      <c r="FM507" s="182"/>
      <c r="FN507" s="182"/>
      <c r="FO507" s="182"/>
      <c r="FP507" s="182"/>
      <c r="FQ507" s="182"/>
      <c r="FR507" s="182"/>
      <c r="FS507" s="182"/>
      <c r="FT507" s="182"/>
      <c r="FU507" s="182"/>
      <c r="FV507" s="182"/>
      <c r="FW507" s="182"/>
      <c r="FX507" s="182"/>
      <c r="FY507" s="182"/>
      <c r="FZ507" s="182"/>
      <c r="GA507" s="182"/>
      <c r="GB507" s="182"/>
      <c r="GC507" s="182"/>
      <c r="GD507" s="182"/>
      <c r="GE507" s="182"/>
      <c r="GF507" s="182"/>
      <c r="GG507" s="182"/>
      <c r="GH507" s="182"/>
      <c r="GI507" s="182"/>
    </row>
    <row r="508" spans="1:191" s="183" customFormat="1" x14ac:dyDescent="0.2">
      <c r="A508" s="210" t="s">
        <v>38813</v>
      </c>
      <c r="B508" s="210" t="s">
        <v>20769</v>
      </c>
      <c r="C508" s="224" t="s">
        <v>22609</v>
      </c>
      <c r="D508" s="211" t="s">
        <v>15730</v>
      </c>
      <c r="E508" s="211">
        <v>270</v>
      </c>
      <c r="F508" s="211"/>
      <c r="G508" s="211">
        <v>0.3</v>
      </c>
      <c r="H508" s="212"/>
      <c r="I508" s="213"/>
      <c r="J508" s="272">
        <v>131.53</v>
      </c>
      <c r="K508" s="112">
        <f t="shared" si="32"/>
        <v>35513.1</v>
      </c>
      <c r="L508" s="273">
        <f>BDI!$E$17</f>
        <v>0.11260000000000001</v>
      </c>
      <c r="M508" s="213"/>
      <c r="N508" s="213"/>
      <c r="O508" s="114">
        <f t="shared" si="33"/>
        <v>146.34</v>
      </c>
      <c r="P508" s="113">
        <f t="shared" si="34"/>
        <v>11853.54</v>
      </c>
      <c r="Q508" s="209"/>
      <c r="R508" s="203"/>
      <c r="S508" s="182"/>
      <c r="T508" s="182"/>
      <c r="U508" s="182"/>
      <c r="V508" s="182"/>
      <c r="W508" s="182"/>
      <c r="X508" s="182"/>
      <c r="Y508" s="182"/>
      <c r="Z508" s="182"/>
      <c r="AA508" s="182"/>
      <c r="AB508" s="182"/>
      <c r="AC508" s="182"/>
      <c r="AD508" s="182"/>
      <c r="AE508" s="182"/>
      <c r="AF508" s="182"/>
      <c r="AG508" s="182"/>
      <c r="AH508" s="182"/>
      <c r="AI508" s="182"/>
      <c r="AJ508" s="182"/>
      <c r="AK508" s="182"/>
      <c r="AL508" s="182"/>
      <c r="AM508" s="182"/>
      <c r="AN508" s="182"/>
      <c r="AO508" s="182"/>
      <c r="AP508" s="182"/>
      <c r="AQ508" s="182"/>
      <c r="AR508" s="182"/>
      <c r="AS508" s="182"/>
      <c r="AT508" s="182"/>
      <c r="AU508" s="182"/>
      <c r="AV508" s="182"/>
      <c r="AW508" s="182"/>
      <c r="AX508" s="182"/>
      <c r="AY508" s="182"/>
      <c r="AZ508" s="182"/>
      <c r="BA508" s="182"/>
      <c r="BB508" s="182"/>
      <c r="BC508" s="182"/>
      <c r="BD508" s="182"/>
      <c r="BE508" s="182"/>
      <c r="BF508" s="182"/>
      <c r="BG508" s="182"/>
      <c r="BH508" s="182"/>
      <c r="BI508" s="182"/>
      <c r="BJ508" s="182"/>
      <c r="BK508" s="182"/>
      <c r="BL508" s="182"/>
      <c r="BM508" s="182"/>
      <c r="BN508" s="182"/>
      <c r="BO508" s="182"/>
      <c r="BP508" s="182"/>
      <c r="BQ508" s="182"/>
      <c r="BR508" s="182"/>
      <c r="BS508" s="182"/>
      <c r="BT508" s="182"/>
      <c r="BU508" s="182"/>
      <c r="BV508" s="182"/>
      <c r="BW508" s="182"/>
      <c r="BX508" s="182"/>
      <c r="BY508" s="182"/>
      <c r="BZ508" s="182"/>
      <c r="CA508" s="182"/>
      <c r="CB508" s="182"/>
      <c r="CC508" s="182"/>
      <c r="CD508" s="182"/>
      <c r="CE508" s="182"/>
      <c r="CF508" s="182"/>
      <c r="CG508" s="182"/>
      <c r="CH508" s="182"/>
      <c r="CI508" s="182"/>
      <c r="CJ508" s="182"/>
      <c r="CK508" s="182"/>
      <c r="CL508" s="182"/>
      <c r="CM508" s="182"/>
      <c r="CN508" s="182"/>
      <c r="CO508" s="182"/>
      <c r="CP508" s="182"/>
      <c r="CQ508" s="182"/>
      <c r="CR508" s="182"/>
      <c r="CS508" s="182"/>
      <c r="CT508" s="182"/>
      <c r="CU508" s="182"/>
      <c r="CV508" s="182"/>
      <c r="CW508" s="182"/>
      <c r="CX508" s="182"/>
      <c r="CY508" s="182"/>
      <c r="CZ508" s="182"/>
      <c r="DA508" s="182"/>
      <c r="DB508" s="182"/>
      <c r="DC508" s="182"/>
      <c r="DD508" s="182"/>
      <c r="DE508" s="182"/>
      <c r="DF508" s="182"/>
      <c r="DG508" s="182"/>
      <c r="DH508" s="182"/>
      <c r="DI508" s="182"/>
      <c r="DJ508" s="182"/>
      <c r="DK508" s="182"/>
      <c r="DL508" s="182"/>
      <c r="DM508" s="182"/>
      <c r="DN508" s="182"/>
      <c r="DO508" s="182"/>
      <c r="DP508" s="182"/>
      <c r="DQ508" s="182"/>
      <c r="DR508" s="182"/>
      <c r="DS508" s="182"/>
      <c r="DT508" s="182"/>
      <c r="DU508" s="182"/>
      <c r="DV508" s="182"/>
      <c r="DW508" s="182"/>
      <c r="DX508" s="182"/>
      <c r="DY508" s="182"/>
      <c r="DZ508" s="182"/>
      <c r="EA508" s="182"/>
      <c r="EB508" s="182"/>
      <c r="EC508" s="182"/>
      <c r="ED508" s="182"/>
      <c r="EE508" s="182"/>
      <c r="EF508" s="182"/>
      <c r="EG508" s="182"/>
      <c r="EH508" s="182"/>
      <c r="EI508" s="182"/>
      <c r="EJ508" s="182"/>
      <c r="EK508" s="182"/>
      <c r="EL508" s="182"/>
      <c r="EM508" s="182"/>
      <c r="EN508" s="182"/>
      <c r="EO508" s="182"/>
      <c r="EP508" s="182"/>
      <c r="EQ508" s="182"/>
      <c r="ER508" s="182"/>
      <c r="ES508" s="182"/>
      <c r="ET508" s="182"/>
      <c r="EU508" s="182"/>
      <c r="EV508" s="182"/>
      <c r="EW508" s="182"/>
      <c r="EX508" s="182"/>
      <c r="EY508" s="182"/>
      <c r="EZ508" s="182"/>
      <c r="FA508" s="182"/>
      <c r="FB508" s="182"/>
      <c r="FC508" s="182"/>
      <c r="FD508" s="182"/>
      <c r="FE508" s="182"/>
      <c r="FF508" s="182"/>
      <c r="FG508" s="182"/>
      <c r="FH508" s="182"/>
      <c r="FI508" s="182"/>
      <c r="FJ508" s="182"/>
      <c r="FK508" s="182"/>
      <c r="FL508" s="182"/>
      <c r="FM508" s="182"/>
      <c r="FN508" s="182"/>
      <c r="FO508" s="182"/>
      <c r="FP508" s="182"/>
      <c r="FQ508" s="182"/>
      <c r="FR508" s="182"/>
      <c r="FS508" s="182"/>
      <c r="FT508" s="182"/>
      <c r="FU508" s="182"/>
      <c r="FV508" s="182"/>
      <c r="FW508" s="182"/>
      <c r="FX508" s="182"/>
      <c r="FY508" s="182"/>
      <c r="FZ508" s="182"/>
      <c r="GA508" s="182"/>
      <c r="GB508" s="182"/>
      <c r="GC508" s="182"/>
      <c r="GD508" s="182"/>
      <c r="GE508" s="182"/>
      <c r="GF508" s="182"/>
      <c r="GG508" s="182"/>
      <c r="GH508" s="182"/>
      <c r="GI508" s="182"/>
    </row>
    <row r="509" spans="1:191" s="183" customFormat="1" x14ac:dyDescent="0.2">
      <c r="A509" s="210" t="s">
        <v>38814</v>
      </c>
      <c r="B509" s="210" t="s">
        <v>20770</v>
      </c>
      <c r="C509" s="224" t="s">
        <v>22610</v>
      </c>
      <c r="D509" s="211" t="s">
        <v>15730</v>
      </c>
      <c r="E509" s="211">
        <v>512</v>
      </c>
      <c r="F509" s="211"/>
      <c r="G509" s="211">
        <v>0.3</v>
      </c>
      <c r="H509" s="212"/>
      <c r="I509" s="213"/>
      <c r="J509" s="272">
        <v>42.02</v>
      </c>
      <c r="K509" s="112">
        <f t="shared" si="32"/>
        <v>21514.240000000002</v>
      </c>
      <c r="L509" s="273">
        <f>BDI!$E$17</f>
        <v>0.11260000000000001</v>
      </c>
      <c r="M509" s="213"/>
      <c r="N509" s="213"/>
      <c r="O509" s="114">
        <f t="shared" si="33"/>
        <v>46.75</v>
      </c>
      <c r="P509" s="113">
        <f t="shared" si="34"/>
        <v>7180.8</v>
      </c>
      <c r="Q509" s="209"/>
      <c r="R509" s="203"/>
      <c r="S509" s="182"/>
      <c r="T509" s="182"/>
      <c r="U509" s="182"/>
      <c r="V509" s="182"/>
      <c r="W509" s="182"/>
      <c r="X509" s="182"/>
      <c r="Y509" s="182"/>
      <c r="Z509" s="182"/>
      <c r="AA509" s="182"/>
      <c r="AB509" s="182"/>
      <c r="AC509" s="182"/>
      <c r="AD509" s="182"/>
      <c r="AE509" s="182"/>
      <c r="AF509" s="182"/>
      <c r="AG509" s="182"/>
      <c r="AH509" s="182"/>
      <c r="AI509" s="182"/>
      <c r="AJ509" s="182"/>
      <c r="AK509" s="182"/>
      <c r="AL509" s="182"/>
      <c r="AM509" s="182"/>
      <c r="AN509" s="182"/>
      <c r="AO509" s="182"/>
      <c r="AP509" s="182"/>
      <c r="AQ509" s="182"/>
      <c r="AR509" s="182"/>
      <c r="AS509" s="182"/>
      <c r="AT509" s="182"/>
      <c r="AU509" s="182"/>
      <c r="AV509" s="182"/>
      <c r="AW509" s="182"/>
      <c r="AX509" s="182"/>
      <c r="AY509" s="182"/>
      <c r="AZ509" s="182"/>
      <c r="BA509" s="182"/>
      <c r="BB509" s="182"/>
      <c r="BC509" s="182"/>
      <c r="BD509" s="182"/>
      <c r="BE509" s="182"/>
      <c r="BF509" s="182"/>
      <c r="BG509" s="182"/>
      <c r="BH509" s="182"/>
      <c r="BI509" s="182"/>
      <c r="BJ509" s="182"/>
      <c r="BK509" s="182"/>
      <c r="BL509" s="182"/>
      <c r="BM509" s="182"/>
      <c r="BN509" s="182"/>
      <c r="BO509" s="182"/>
      <c r="BP509" s="182"/>
      <c r="BQ509" s="182"/>
      <c r="BR509" s="182"/>
      <c r="BS509" s="182"/>
      <c r="BT509" s="182"/>
      <c r="BU509" s="182"/>
      <c r="BV509" s="182"/>
      <c r="BW509" s="182"/>
      <c r="BX509" s="182"/>
      <c r="BY509" s="182"/>
      <c r="BZ509" s="182"/>
      <c r="CA509" s="182"/>
      <c r="CB509" s="182"/>
      <c r="CC509" s="182"/>
      <c r="CD509" s="182"/>
      <c r="CE509" s="182"/>
      <c r="CF509" s="182"/>
      <c r="CG509" s="182"/>
      <c r="CH509" s="182"/>
      <c r="CI509" s="182"/>
      <c r="CJ509" s="182"/>
      <c r="CK509" s="182"/>
      <c r="CL509" s="182"/>
      <c r="CM509" s="182"/>
      <c r="CN509" s="182"/>
      <c r="CO509" s="182"/>
      <c r="CP509" s="182"/>
      <c r="CQ509" s="182"/>
      <c r="CR509" s="182"/>
      <c r="CS509" s="182"/>
      <c r="CT509" s="182"/>
      <c r="CU509" s="182"/>
      <c r="CV509" s="182"/>
      <c r="CW509" s="182"/>
      <c r="CX509" s="182"/>
      <c r="CY509" s="182"/>
      <c r="CZ509" s="182"/>
      <c r="DA509" s="182"/>
      <c r="DB509" s="182"/>
      <c r="DC509" s="182"/>
      <c r="DD509" s="182"/>
      <c r="DE509" s="182"/>
      <c r="DF509" s="182"/>
      <c r="DG509" s="182"/>
      <c r="DH509" s="182"/>
      <c r="DI509" s="182"/>
      <c r="DJ509" s="182"/>
      <c r="DK509" s="182"/>
      <c r="DL509" s="182"/>
      <c r="DM509" s="182"/>
      <c r="DN509" s="182"/>
      <c r="DO509" s="182"/>
      <c r="DP509" s="182"/>
      <c r="DQ509" s="182"/>
      <c r="DR509" s="182"/>
      <c r="DS509" s="182"/>
      <c r="DT509" s="182"/>
      <c r="DU509" s="182"/>
      <c r="DV509" s="182"/>
      <c r="DW509" s="182"/>
      <c r="DX509" s="182"/>
      <c r="DY509" s="182"/>
      <c r="DZ509" s="182"/>
      <c r="EA509" s="182"/>
      <c r="EB509" s="182"/>
      <c r="EC509" s="182"/>
      <c r="ED509" s="182"/>
      <c r="EE509" s="182"/>
      <c r="EF509" s="182"/>
      <c r="EG509" s="182"/>
      <c r="EH509" s="182"/>
      <c r="EI509" s="182"/>
      <c r="EJ509" s="182"/>
      <c r="EK509" s="182"/>
      <c r="EL509" s="182"/>
      <c r="EM509" s="182"/>
      <c r="EN509" s="182"/>
      <c r="EO509" s="182"/>
      <c r="EP509" s="182"/>
      <c r="EQ509" s="182"/>
      <c r="ER509" s="182"/>
      <c r="ES509" s="182"/>
      <c r="ET509" s="182"/>
      <c r="EU509" s="182"/>
      <c r="EV509" s="182"/>
      <c r="EW509" s="182"/>
      <c r="EX509" s="182"/>
      <c r="EY509" s="182"/>
      <c r="EZ509" s="182"/>
      <c r="FA509" s="182"/>
      <c r="FB509" s="182"/>
      <c r="FC509" s="182"/>
      <c r="FD509" s="182"/>
      <c r="FE509" s="182"/>
      <c r="FF509" s="182"/>
      <c r="FG509" s="182"/>
      <c r="FH509" s="182"/>
      <c r="FI509" s="182"/>
      <c r="FJ509" s="182"/>
      <c r="FK509" s="182"/>
      <c r="FL509" s="182"/>
      <c r="FM509" s="182"/>
      <c r="FN509" s="182"/>
      <c r="FO509" s="182"/>
      <c r="FP509" s="182"/>
      <c r="FQ509" s="182"/>
      <c r="FR509" s="182"/>
      <c r="FS509" s="182"/>
      <c r="FT509" s="182"/>
      <c r="FU509" s="182"/>
      <c r="FV509" s="182"/>
      <c r="FW509" s="182"/>
      <c r="FX509" s="182"/>
      <c r="FY509" s="182"/>
      <c r="FZ509" s="182"/>
      <c r="GA509" s="182"/>
      <c r="GB509" s="182"/>
      <c r="GC509" s="182"/>
      <c r="GD509" s="182"/>
      <c r="GE509" s="182"/>
      <c r="GF509" s="182"/>
      <c r="GG509" s="182"/>
      <c r="GH509" s="182"/>
      <c r="GI509" s="182"/>
    </row>
    <row r="510" spans="1:191" s="183" customFormat="1" x14ac:dyDescent="0.2">
      <c r="A510" s="210" t="s">
        <v>38815</v>
      </c>
      <c r="B510" s="210" t="s">
        <v>20771</v>
      </c>
      <c r="C510" s="224" t="s">
        <v>22611</v>
      </c>
      <c r="D510" s="211" t="s">
        <v>15730</v>
      </c>
      <c r="E510" s="211">
        <v>229</v>
      </c>
      <c r="F510" s="211"/>
      <c r="G510" s="211">
        <v>0.3</v>
      </c>
      <c r="H510" s="212"/>
      <c r="I510" s="213"/>
      <c r="J510" s="272">
        <v>27.75</v>
      </c>
      <c r="K510" s="112">
        <f t="shared" si="32"/>
        <v>6354.75</v>
      </c>
      <c r="L510" s="273">
        <f>BDI!$E$17</f>
        <v>0.11260000000000001</v>
      </c>
      <c r="M510" s="213"/>
      <c r="N510" s="213"/>
      <c r="O510" s="114">
        <f t="shared" si="33"/>
        <v>30.87</v>
      </c>
      <c r="P510" s="113">
        <f t="shared" si="34"/>
        <v>2120.77</v>
      </c>
      <c r="Q510" s="209"/>
      <c r="R510" s="203"/>
      <c r="S510" s="182"/>
      <c r="T510" s="182"/>
      <c r="U510" s="182"/>
      <c r="V510" s="182"/>
      <c r="W510" s="182"/>
      <c r="X510" s="182"/>
      <c r="Y510" s="182"/>
      <c r="Z510" s="182"/>
      <c r="AA510" s="182"/>
      <c r="AB510" s="182"/>
      <c r="AC510" s="182"/>
      <c r="AD510" s="182"/>
      <c r="AE510" s="182"/>
      <c r="AF510" s="182"/>
      <c r="AG510" s="182"/>
      <c r="AH510" s="182"/>
      <c r="AI510" s="182"/>
      <c r="AJ510" s="182"/>
      <c r="AK510" s="182"/>
      <c r="AL510" s="182"/>
      <c r="AM510" s="182"/>
      <c r="AN510" s="182"/>
      <c r="AO510" s="182"/>
      <c r="AP510" s="182"/>
      <c r="AQ510" s="182"/>
      <c r="AR510" s="182"/>
      <c r="AS510" s="182"/>
      <c r="AT510" s="182"/>
      <c r="AU510" s="182"/>
      <c r="AV510" s="182"/>
      <c r="AW510" s="182"/>
      <c r="AX510" s="182"/>
      <c r="AY510" s="182"/>
      <c r="AZ510" s="182"/>
      <c r="BA510" s="182"/>
      <c r="BB510" s="182"/>
      <c r="BC510" s="182"/>
      <c r="BD510" s="182"/>
      <c r="BE510" s="182"/>
      <c r="BF510" s="182"/>
      <c r="BG510" s="182"/>
      <c r="BH510" s="182"/>
      <c r="BI510" s="182"/>
      <c r="BJ510" s="182"/>
      <c r="BK510" s="182"/>
      <c r="BL510" s="182"/>
      <c r="BM510" s="182"/>
      <c r="BN510" s="182"/>
      <c r="BO510" s="182"/>
      <c r="BP510" s="182"/>
      <c r="BQ510" s="182"/>
      <c r="BR510" s="182"/>
      <c r="BS510" s="182"/>
      <c r="BT510" s="182"/>
      <c r="BU510" s="182"/>
      <c r="BV510" s="182"/>
      <c r="BW510" s="182"/>
      <c r="BX510" s="182"/>
      <c r="BY510" s="182"/>
      <c r="BZ510" s="182"/>
      <c r="CA510" s="182"/>
      <c r="CB510" s="182"/>
      <c r="CC510" s="182"/>
      <c r="CD510" s="182"/>
      <c r="CE510" s="182"/>
      <c r="CF510" s="182"/>
      <c r="CG510" s="182"/>
      <c r="CH510" s="182"/>
      <c r="CI510" s="182"/>
      <c r="CJ510" s="182"/>
      <c r="CK510" s="182"/>
      <c r="CL510" s="182"/>
      <c r="CM510" s="182"/>
      <c r="CN510" s="182"/>
      <c r="CO510" s="182"/>
      <c r="CP510" s="182"/>
      <c r="CQ510" s="182"/>
      <c r="CR510" s="182"/>
      <c r="CS510" s="182"/>
      <c r="CT510" s="182"/>
      <c r="CU510" s="182"/>
      <c r="CV510" s="182"/>
      <c r="CW510" s="182"/>
      <c r="CX510" s="182"/>
      <c r="CY510" s="182"/>
      <c r="CZ510" s="182"/>
      <c r="DA510" s="182"/>
      <c r="DB510" s="182"/>
      <c r="DC510" s="182"/>
      <c r="DD510" s="182"/>
      <c r="DE510" s="182"/>
      <c r="DF510" s="182"/>
      <c r="DG510" s="182"/>
      <c r="DH510" s="182"/>
      <c r="DI510" s="182"/>
      <c r="DJ510" s="182"/>
      <c r="DK510" s="182"/>
      <c r="DL510" s="182"/>
      <c r="DM510" s="182"/>
      <c r="DN510" s="182"/>
      <c r="DO510" s="182"/>
      <c r="DP510" s="182"/>
      <c r="DQ510" s="182"/>
      <c r="DR510" s="182"/>
      <c r="DS510" s="182"/>
      <c r="DT510" s="182"/>
      <c r="DU510" s="182"/>
      <c r="DV510" s="182"/>
      <c r="DW510" s="182"/>
      <c r="DX510" s="182"/>
      <c r="DY510" s="182"/>
      <c r="DZ510" s="182"/>
      <c r="EA510" s="182"/>
      <c r="EB510" s="182"/>
      <c r="EC510" s="182"/>
      <c r="ED510" s="182"/>
      <c r="EE510" s="182"/>
      <c r="EF510" s="182"/>
      <c r="EG510" s="182"/>
      <c r="EH510" s="182"/>
      <c r="EI510" s="182"/>
      <c r="EJ510" s="182"/>
      <c r="EK510" s="182"/>
      <c r="EL510" s="182"/>
      <c r="EM510" s="182"/>
      <c r="EN510" s="182"/>
      <c r="EO510" s="182"/>
      <c r="EP510" s="182"/>
      <c r="EQ510" s="182"/>
      <c r="ER510" s="182"/>
      <c r="ES510" s="182"/>
      <c r="ET510" s="182"/>
      <c r="EU510" s="182"/>
      <c r="EV510" s="182"/>
      <c r="EW510" s="182"/>
      <c r="EX510" s="182"/>
      <c r="EY510" s="182"/>
      <c r="EZ510" s="182"/>
      <c r="FA510" s="182"/>
      <c r="FB510" s="182"/>
      <c r="FC510" s="182"/>
      <c r="FD510" s="182"/>
      <c r="FE510" s="182"/>
      <c r="FF510" s="182"/>
      <c r="FG510" s="182"/>
      <c r="FH510" s="182"/>
      <c r="FI510" s="182"/>
      <c r="FJ510" s="182"/>
      <c r="FK510" s="182"/>
      <c r="FL510" s="182"/>
      <c r="FM510" s="182"/>
      <c r="FN510" s="182"/>
      <c r="FO510" s="182"/>
      <c r="FP510" s="182"/>
      <c r="FQ510" s="182"/>
      <c r="FR510" s="182"/>
      <c r="FS510" s="182"/>
      <c r="FT510" s="182"/>
      <c r="FU510" s="182"/>
      <c r="FV510" s="182"/>
      <c r="FW510" s="182"/>
      <c r="FX510" s="182"/>
      <c r="FY510" s="182"/>
      <c r="FZ510" s="182"/>
      <c r="GA510" s="182"/>
      <c r="GB510" s="182"/>
      <c r="GC510" s="182"/>
      <c r="GD510" s="182"/>
      <c r="GE510" s="182"/>
      <c r="GF510" s="182"/>
      <c r="GG510" s="182"/>
      <c r="GH510" s="182"/>
      <c r="GI510" s="182"/>
    </row>
    <row r="511" spans="1:191" s="183" customFormat="1" x14ac:dyDescent="0.2">
      <c r="A511" s="210" t="s">
        <v>38816</v>
      </c>
      <c r="B511" s="210" t="s">
        <v>20772</v>
      </c>
      <c r="C511" s="224" t="s">
        <v>22612</v>
      </c>
      <c r="D511" s="211" t="s">
        <v>15730</v>
      </c>
      <c r="E511" s="211">
        <v>236</v>
      </c>
      <c r="F511" s="211"/>
      <c r="G511" s="211">
        <v>0.3</v>
      </c>
      <c r="H511" s="212"/>
      <c r="I511" s="213"/>
      <c r="J511" s="272">
        <v>47.57</v>
      </c>
      <c r="K511" s="112">
        <f t="shared" si="32"/>
        <v>11226.52</v>
      </c>
      <c r="L511" s="273">
        <f>BDI!$E$17</f>
        <v>0.11260000000000001</v>
      </c>
      <c r="M511" s="213"/>
      <c r="N511" s="213"/>
      <c r="O511" s="114">
        <f t="shared" si="33"/>
        <v>52.93</v>
      </c>
      <c r="P511" s="113">
        <f t="shared" si="34"/>
        <v>3747.44</v>
      </c>
      <c r="Q511" s="209"/>
      <c r="R511" s="203"/>
      <c r="S511" s="182"/>
      <c r="T511" s="182"/>
      <c r="U511" s="182"/>
      <c r="V511" s="182"/>
      <c r="W511" s="182"/>
      <c r="X511" s="182"/>
      <c r="Y511" s="182"/>
      <c r="Z511" s="182"/>
      <c r="AA511" s="182"/>
      <c r="AB511" s="182"/>
      <c r="AC511" s="182"/>
      <c r="AD511" s="182"/>
      <c r="AE511" s="182"/>
      <c r="AF511" s="182"/>
      <c r="AG511" s="182"/>
      <c r="AH511" s="182"/>
      <c r="AI511" s="182"/>
      <c r="AJ511" s="182"/>
      <c r="AK511" s="182"/>
      <c r="AL511" s="182"/>
      <c r="AM511" s="182"/>
      <c r="AN511" s="182"/>
      <c r="AO511" s="182"/>
      <c r="AP511" s="182"/>
      <c r="AQ511" s="182"/>
      <c r="AR511" s="182"/>
      <c r="AS511" s="182"/>
      <c r="AT511" s="182"/>
      <c r="AU511" s="182"/>
      <c r="AV511" s="182"/>
      <c r="AW511" s="182"/>
      <c r="AX511" s="182"/>
      <c r="AY511" s="182"/>
      <c r="AZ511" s="182"/>
      <c r="BA511" s="182"/>
      <c r="BB511" s="182"/>
      <c r="BC511" s="182"/>
      <c r="BD511" s="182"/>
      <c r="BE511" s="182"/>
      <c r="BF511" s="182"/>
      <c r="BG511" s="182"/>
      <c r="BH511" s="182"/>
      <c r="BI511" s="182"/>
      <c r="BJ511" s="182"/>
      <c r="BK511" s="182"/>
      <c r="BL511" s="182"/>
      <c r="BM511" s="182"/>
      <c r="BN511" s="182"/>
      <c r="BO511" s="182"/>
      <c r="BP511" s="182"/>
      <c r="BQ511" s="182"/>
      <c r="BR511" s="182"/>
      <c r="BS511" s="182"/>
      <c r="BT511" s="182"/>
      <c r="BU511" s="182"/>
      <c r="BV511" s="182"/>
      <c r="BW511" s="182"/>
      <c r="BX511" s="182"/>
      <c r="BY511" s="182"/>
      <c r="BZ511" s="182"/>
      <c r="CA511" s="182"/>
      <c r="CB511" s="182"/>
      <c r="CC511" s="182"/>
      <c r="CD511" s="182"/>
      <c r="CE511" s="182"/>
      <c r="CF511" s="182"/>
      <c r="CG511" s="182"/>
      <c r="CH511" s="182"/>
      <c r="CI511" s="182"/>
      <c r="CJ511" s="182"/>
      <c r="CK511" s="182"/>
      <c r="CL511" s="182"/>
      <c r="CM511" s="182"/>
      <c r="CN511" s="182"/>
      <c r="CO511" s="182"/>
      <c r="CP511" s="182"/>
      <c r="CQ511" s="182"/>
      <c r="CR511" s="182"/>
      <c r="CS511" s="182"/>
      <c r="CT511" s="182"/>
      <c r="CU511" s="182"/>
      <c r="CV511" s="182"/>
      <c r="CW511" s="182"/>
      <c r="CX511" s="182"/>
      <c r="CY511" s="182"/>
      <c r="CZ511" s="182"/>
      <c r="DA511" s="182"/>
      <c r="DB511" s="182"/>
      <c r="DC511" s="182"/>
      <c r="DD511" s="182"/>
      <c r="DE511" s="182"/>
      <c r="DF511" s="182"/>
      <c r="DG511" s="182"/>
      <c r="DH511" s="182"/>
      <c r="DI511" s="182"/>
      <c r="DJ511" s="182"/>
      <c r="DK511" s="182"/>
      <c r="DL511" s="182"/>
      <c r="DM511" s="182"/>
      <c r="DN511" s="182"/>
      <c r="DO511" s="182"/>
      <c r="DP511" s="182"/>
      <c r="DQ511" s="182"/>
      <c r="DR511" s="182"/>
      <c r="DS511" s="182"/>
      <c r="DT511" s="182"/>
      <c r="DU511" s="182"/>
      <c r="DV511" s="182"/>
      <c r="DW511" s="182"/>
      <c r="DX511" s="182"/>
      <c r="DY511" s="182"/>
      <c r="DZ511" s="182"/>
      <c r="EA511" s="182"/>
      <c r="EB511" s="182"/>
      <c r="EC511" s="182"/>
      <c r="ED511" s="182"/>
      <c r="EE511" s="182"/>
      <c r="EF511" s="182"/>
      <c r="EG511" s="182"/>
      <c r="EH511" s="182"/>
      <c r="EI511" s="182"/>
      <c r="EJ511" s="182"/>
      <c r="EK511" s="182"/>
      <c r="EL511" s="182"/>
      <c r="EM511" s="182"/>
      <c r="EN511" s="182"/>
      <c r="EO511" s="182"/>
      <c r="EP511" s="182"/>
      <c r="EQ511" s="182"/>
      <c r="ER511" s="182"/>
      <c r="ES511" s="182"/>
      <c r="ET511" s="182"/>
      <c r="EU511" s="182"/>
      <c r="EV511" s="182"/>
      <c r="EW511" s="182"/>
      <c r="EX511" s="182"/>
      <c r="EY511" s="182"/>
      <c r="EZ511" s="182"/>
      <c r="FA511" s="182"/>
      <c r="FB511" s="182"/>
      <c r="FC511" s="182"/>
      <c r="FD511" s="182"/>
      <c r="FE511" s="182"/>
      <c r="FF511" s="182"/>
      <c r="FG511" s="182"/>
      <c r="FH511" s="182"/>
      <c r="FI511" s="182"/>
      <c r="FJ511" s="182"/>
      <c r="FK511" s="182"/>
      <c r="FL511" s="182"/>
      <c r="FM511" s="182"/>
      <c r="FN511" s="182"/>
      <c r="FO511" s="182"/>
      <c r="FP511" s="182"/>
      <c r="FQ511" s="182"/>
      <c r="FR511" s="182"/>
      <c r="FS511" s="182"/>
      <c r="FT511" s="182"/>
      <c r="FU511" s="182"/>
      <c r="FV511" s="182"/>
      <c r="FW511" s="182"/>
      <c r="FX511" s="182"/>
      <c r="FY511" s="182"/>
      <c r="FZ511" s="182"/>
      <c r="GA511" s="182"/>
      <c r="GB511" s="182"/>
      <c r="GC511" s="182"/>
      <c r="GD511" s="182"/>
      <c r="GE511" s="182"/>
      <c r="GF511" s="182"/>
      <c r="GG511" s="182"/>
      <c r="GH511" s="182"/>
      <c r="GI511" s="182"/>
    </row>
    <row r="512" spans="1:191" s="183" customFormat="1" ht="25.5" x14ac:dyDescent="0.2">
      <c r="A512" s="210" t="s">
        <v>38817</v>
      </c>
      <c r="B512" s="210" t="s">
        <v>20773</v>
      </c>
      <c r="C512" s="224" t="s">
        <v>22613</v>
      </c>
      <c r="D512" s="211" t="s">
        <v>15730</v>
      </c>
      <c r="E512" s="211">
        <v>121</v>
      </c>
      <c r="F512" s="211"/>
      <c r="G512" s="211">
        <v>0.3</v>
      </c>
      <c r="H512" s="212"/>
      <c r="I512" s="213"/>
      <c r="J512" s="272">
        <v>27.75</v>
      </c>
      <c r="K512" s="112">
        <f t="shared" si="32"/>
        <v>3357.75</v>
      </c>
      <c r="L512" s="273">
        <f>BDI!$E$17</f>
        <v>0.11260000000000001</v>
      </c>
      <c r="M512" s="213"/>
      <c r="N512" s="213"/>
      <c r="O512" s="114">
        <f t="shared" si="33"/>
        <v>30.87</v>
      </c>
      <c r="P512" s="113">
        <f t="shared" si="34"/>
        <v>1120.58</v>
      </c>
      <c r="Q512" s="209"/>
      <c r="R512" s="203"/>
      <c r="S512" s="182"/>
      <c r="T512" s="182"/>
      <c r="U512" s="182"/>
      <c r="V512" s="182"/>
      <c r="W512" s="182"/>
      <c r="X512" s="182"/>
      <c r="Y512" s="182"/>
      <c r="Z512" s="182"/>
      <c r="AA512" s="182"/>
      <c r="AB512" s="182"/>
      <c r="AC512" s="182"/>
      <c r="AD512" s="182"/>
      <c r="AE512" s="182"/>
      <c r="AF512" s="182"/>
      <c r="AG512" s="182"/>
      <c r="AH512" s="182"/>
      <c r="AI512" s="182"/>
      <c r="AJ512" s="182"/>
      <c r="AK512" s="182"/>
      <c r="AL512" s="182"/>
      <c r="AM512" s="182"/>
      <c r="AN512" s="182"/>
      <c r="AO512" s="182"/>
      <c r="AP512" s="182"/>
      <c r="AQ512" s="182"/>
      <c r="AR512" s="182"/>
      <c r="AS512" s="182"/>
      <c r="AT512" s="182"/>
      <c r="AU512" s="182"/>
      <c r="AV512" s="182"/>
      <c r="AW512" s="182"/>
      <c r="AX512" s="182"/>
      <c r="AY512" s="182"/>
      <c r="AZ512" s="182"/>
      <c r="BA512" s="182"/>
      <c r="BB512" s="182"/>
      <c r="BC512" s="182"/>
      <c r="BD512" s="182"/>
      <c r="BE512" s="182"/>
      <c r="BF512" s="182"/>
      <c r="BG512" s="182"/>
      <c r="BH512" s="182"/>
      <c r="BI512" s="182"/>
      <c r="BJ512" s="182"/>
      <c r="BK512" s="182"/>
      <c r="BL512" s="182"/>
      <c r="BM512" s="182"/>
      <c r="BN512" s="182"/>
      <c r="BO512" s="182"/>
      <c r="BP512" s="182"/>
      <c r="BQ512" s="182"/>
      <c r="BR512" s="182"/>
      <c r="BS512" s="182"/>
      <c r="BT512" s="182"/>
      <c r="BU512" s="182"/>
      <c r="BV512" s="182"/>
      <c r="BW512" s="182"/>
      <c r="BX512" s="182"/>
      <c r="BY512" s="182"/>
      <c r="BZ512" s="182"/>
      <c r="CA512" s="182"/>
      <c r="CB512" s="182"/>
      <c r="CC512" s="182"/>
      <c r="CD512" s="182"/>
      <c r="CE512" s="182"/>
      <c r="CF512" s="182"/>
      <c r="CG512" s="182"/>
      <c r="CH512" s="182"/>
      <c r="CI512" s="182"/>
      <c r="CJ512" s="182"/>
      <c r="CK512" s="182"/>
      <c r="CL512" s="182"/>
      <c r="CM512" s="182"/>
      <c r="CN512" s="182"/>
      <c r="CO512" s="182"/>
      <c r="CP512" s="182"/>
      <c r="CQ512" s="182"/>
      <c r="CR512" s="182"/>
      <c r="CS512" s="182"/>
      <c r="CT512" s="182"/>
      <c r="CU512" s="182"/>
      <c r="CV512" s="182"/>
      <c r="CW512" s="182"/>
      <c r="CX512" s="182"/>
      <c r="CY512" s="182"/>
      <c r="CZ512" s="182"/>
      <c r="DA512" s="182"/>
      <c r="DB512" s="182"/>
      <c r="DC512" s="182"/>
      <c r="DD512" s="182"/>
      <c r="DE512" s="182"/>
      <c r="DF512" s="182"/>
      <c r="DG512" s="182"/>
      <c r="DH512" s="182"/>
      <c r="DI512" s="182"/>
      <c r="DJ512" s="182"/>
      <c r="DK512" s="182"/>
      <c r="DL512" s="182"/>
      <c r="DM512" s="182"/>
      <c r="DN512" s="182"/>
      <c r="DO512" s="182"/>
      <c r="DP512" s="182"/>
      <c r="DQ512" s="182"/>
      <c r="DR512" s="182"/>
      <c r="DS512" s="182"/>
      <c r="DT512" s="182"/>
      <c r="DU512" s="182"/>
      <c r="DV512" s="182"/>
      <c r="DW512" s="182"/>
      <c r="DX512" s="182"/>
      <c r="DY512" s="182"/>
      <c r="DZ512" s="182"/>
      <c r="EA512" s="182"/>
      <c r="EB512" s="182"/>
      <c r="EC512" s="182"/>
      <c r="ED512" s="182"/>
      <c r="EE512" s="182"/>
      <c r="EF512" s="182"/>
      <c r="EG512" s="182"/>
      <c r="EH512" s="182"/>
      <c r="EI512" s="182"/>
      <c r="EJ512" s="182"/>
      <c r="EK512" s="182"/>
      <c r="EL512" s="182"/>
      <c r="EM512" s="182"/>
      <c r="EN512" s="182"/>
      <c r="EO512" s="182"/>
      <c r="EP512" s="182"/>
      <c r="EQ512" s="182"/>
      <c r="ER512" s="182"/>
      <c r="ES512" s="182"/>
      <c r="ET512" s="182"/>
      <c r="EU512" s="182"/>
      <c r="EV512" s="182"/>
      <c r="EW512" s="182"/>
      <c r="EX512" s="182"/>
      <c r="EY512" s="182"/>
      <c r="EZ512" s="182"/>
      <c r="FA512" s="182"/>
      <c r="FB512" s="182"/>
      <c r="FC512" s="182"/>
      <c r="FD512" s="182"/>
      <c r="FE512" s="182"/>
      <c r="FF512" s="182"/>
      <c r="FG512" s="182"/>
      <c r="FH512" s="182"/>
      <c r="FI512" s="182"/>
      <c r="FJ512" s="182"/>
      <c r="FK512" s="182"/>
      <c r="FL512" s="182"/>
      <c r="FM512" s="182"/>
      <c r="FN512" s="182"/>
      <c r="FO512" s="182"/>
      <c r="FP512" s="182"/>
      <c r="FQ512" s="182"/>
      <c r="FR512" s="182"/>
      <c r="FS512" s="182"/>
      <c r="FT512" s="182"/>
      <c r="FU512" s="182"/>
      <c r="FV512" s="182"/>
      <c r="FW512" s="182"/>
      <c r="FX512" s="182"/>
      <c r="FY512" s="182"/>
      <c r="FZ512" s="182"/>
      <c r="GA512" s="182"/>
      <c r="GB512" s="182"/>
      <c r="GC512" s="182"/>
      <c r="GD512" s="182"/>
      <c r="GE512" s="182"/>
      <c r="GF512" s="182"/>
      <c r="GG512" s="182"/>
      <c r="GH512" s="182"/>
      <c r="GI512" s="182"/>
    </row>
    <row r="513" spans="1:191" s="183" customFormat="1" x14ac:dyDescent="0.2">
      <c r="A513" s="210" t="s">
        <v>38818</v>
      </c>
      <c r="B513" s="210" t="s">
        <v>20774</v>
      </c>
      <c r="C513" s="224" t="s">
        <v>22614</v>
      </c>
      <c r="D513" s="211" t="s">
        <v>15730</v>
      </c>
      <c r="E513" s="211">
        <v>48</v>
      </c>
      <c r="F513" s="211"/>
      <c r="G513" s="211">
        <v>0.3</v>
      </c>
      <c r="H513" s="212"/>
      <c r="I513" s="213"/>
      <c r="J513" s="272">
        <v>27.75</v>
      </c>
      <c r="K513" s="112">
        <f t="shared" si="32"/>
        <v>1332</v>
      </c>
      <c r="L513" s="273">
        <f>BDI!$E$17</f>
        <v>0.11260000000000001</v>
      </c>
      <c r="M513" s="213"/>
      <c r="N513" s="213"/>
      <c r="O513" s="114">
        <f t="shared" si="33"/>
        <v>30.87</v>
      </c>
      <c r="P513" s="113">
        <f t="shared" si="34"/>
        <v>444.53</v>
      </c>
      <c r="Q513" s="209"/>
      <c r="R513" s="203"/>
      <c r="S513" s="182"/>
      <c r="T513" s="182"/>
      <c r="U513" s="182"/>
      <c r="V513" s="182"/>
      <c r="W513" s="182"/>
      <c r="X513" s="182"/>
      <c r="Y513" s="182"/>
      <c r="Z513" s="182"/>
      <c r="AA513" s="182"/>
      <c r="AB513" s="182"/>
      <c r="AC513" s="182"/>
      <c r="AD513" s="182"/>
      <c r="AE513" s="182"/>
      <c r="AF513" s="182"/>
      <c r="AG513" s="182"/>
      <c r="AH513" s="182"/>
      <c r="AI513" s="182"/>
      <c r="AJ513" s="182"/>
      <c r="AK513" s="182"/>
      <c r="AL513" s="182"/>
      <c r="AM513" s="182"/>
      <c r="AN513" s="182"/>
      <c r="AO513" s="182"/>
      <c r="AP513" s="182"/>
      <c r="AQ513" s="182"/>
      <c r="AR513" s="182"/>
      <c r="AS513" s="182"/>
      <c r="AT513" s="182"/>
      <c r="AU513" s="182"/>
      <c r="AV513" s="182"/>
      <c r="AW513" s="182"/>
      <c r="AX513" s="182"/>
      <c r="AY513" s="182"/>
      <c r="AZ513" s="182"/>
      <c r="BA513" s="182"/>
      <c r="BB513" s="182"/>
      <c r="BC513" s="182"/>
      <c r="BD513" s="182"/>
      <c r="BE513" s="182"/>
      <c r="BF513" s="182"/>
      <c r="BG513" s="182"/>
      <c r="BH513" s="182"/>
      <c r="BI513" s="182"/>
      <c r="BJ513" s="182"/>
      <c r="BK513" s="182"/>
      <c r="BL513" s="182"/>
      <c r="BM513" s="182"/>
      <c r="BN513" s="182"/>
      <c r="BO513" s="182"/>
      <c r="BP513" s="182"/>
      <c r="BQ513" s="182"/>
      <c r="BR513" s="182"/>
      <c r="BS513" s="182"/>
      <c r="BT513" s="182"/>
      <c r="BU513" s="182"/>
      <c r="BV513" s="182"/>
      <c r="BW513" s="182"/>
      <c r="BX513" s="182"/>
      <c r="BY513" s="182"/>
      <c r="BZ513" s="182"/>
      <c r="CA513" s="182"/>
      <c r="CB513" s="182"/>
      <c r="CC513" s="182"/>
      <c r="CD513" s="182"/>
      <c r="CE513" s="182"/>
      <c r="CF513" s="182"/>
      <c r="CG513" s="182"/>
      <c r="CH513" s="182"/>
      <c r="CI513" s="182"/>
      <c r="CJ513" s="182"/>
      <c r="CK513" s="182"/>
      <c r="CL513" s="182"/>
      <c r="CM513" s="182"/>
      <c r="CN513" s="182"/>
      <c r="CO513" s="182"/>
      <c r="CP513" s="182"/>
      <c r="CQ513" s="182"/>
      <c r="CR513" s="182"/>
      <c r="CS513" s="182"/>
      <c r="CT513" s="182"/>
      <c r="CU513" s="182"/>
      <c r="CV513" s="182"/>
      <c r="CW513" s="182"/>
      <c r="CX513" s="182"/>
      <c r="CY513" s="182"/>
      <c r="CZ513" s="182"/>
      <c r="DA513" s="182"/>
      <c r="DB513" s="182"/>
      <c r="DC513" s="182"/>
      <c r="DD513" s="182"/>
      <c r="DE513" s="182"/>
      <c r="DF513" s="182"/>
      <c r="DG513" s="182"/>
      <c r="DH513" s="182"/>
      <c r="DI513" s="182"/>
      <c r="DJ513" s="182"/>
      <c r="DK513" s="182"/>
      <c r="DL513" s="182"/>
      <c r="DM513" s="182"/>
      <c r="DN513" s="182"/>
      <c r="DO513" s="182"/>
      <c r="DP513" s="182"/>
      <c r="DQ513" s="182"/>
      <c r="DR513" s="182"/>
      <c r="DS513" s="182"/>
      <c r="DT513" s="182"/>
      <c r="DU513" s="182"/>
      <c r="DV513" s="182"/>
      <c r="DW513" s="182"/>
      <c r="DX513" s="182"/>
      <c r="DY513" s="182"/>
      <c r="DZ513" s="182"/>
      <c r="EA513" s="182"/>
      <c r="EB513" s="182"/>
      <c r="EC513" s="182"/>
      <c r="ED513" s="182"/>
      <c r="EE513" s="182"/>
      <c r="EF513" s="182"/>
      <c r="EG513" s="182"/>
      <c r="EH513" s="182"/>
      <c r="EI513" s="182"/>
      <c r="EJ513" s="182"/>
      <c r="EK513" s="182"/>
      <c r="EL513" s="182"/>
      <c r="EM513" s="182"/>
      <c r="EN513" s="182"/>
      <c r="EO513" s="182"/>
      <c r="EP513" s="182"/>
      <c r="EQ513" s="182"/>
      <c r="ER513" s="182"/>
      <c r="ES513" s="182"/>
      <c r="ET513" s="182"/>
      <c r="EU513" s="182"/>
      <c r="EV513" s="182"/>
      <c r="EW513" s="182"/>
      <c r="EX513" s="182"/>
      <c r="EY513" s="182"/>
      <c r="EZ513" s="182"/>
      <c r="FA513" s="182"/>
      <c r="FB513" s="182"/>
      <c r="FC513" s="182"/>
      <c r="FD513" s="182"/>
      <c r="FE513" s="182"/>
      <c r="FF513" s="182"/>
      <c r="FG513" s="182"/>
      <c r="FH513" s="182"/>
      <c r="FI513" s="182"/>
      <c r="FJ513" s="182"/>
      <c r="FK513" s="182"/>
      <c r="FL513" s="182"/>
      <c r="FM513" s="182"/>
      <c r="FN513" s="182"/>
      <c r="FO513" s="182"/>
      <c r="FP513" s="182"/>
      <c r="FQ513" s="182"/>
      <c r="FR513" s="182"/>
      <c r="FS513" s="182"/>
      <c r="FT513" s="182"/>
      <c r="FU513" s="182"/>
      <c r="FV513" s="182"/>
      <c r="FW513" s="182"/>
      <c r="FX513" s="182"/>
      <c r="FY513" s="182"/>
      <c r="FZ513" s="182"/>
      <c r="GA513" s="182"/>
      <c r="GB513" s="182"/>
      <c r="GC513" s="182"/>
      <c r="GD513" s="182"/>
      <c r="GE513" s="182"/>
      <c r="GF513" s="182"/>
      <c r="GG513" s="182"/>
      <c r="GH513" s="182"/>
      <c r="GI513" s="182"/>
    </row>
    <row r="514" spans="1:191" s="183" customFormat="1" ht="25.5" x14ac:dyDescent="0.2">
      <c r="A514" s="210" t="s">
        <v>38819</v>
      </c>
      <c r="B514" s="210" t="s">
        <v>20860</v>
      </c>
      <c r="C514" s="224" t="s">
        <v>22695</v>
      </c>
      <c r="D514" s="211" t="s">
        <v>16</v>
      </c>
      <c r="E514" s="211">
        <v>1</v>
      </c>
      <c r="F514" s="211"/>
      <c r="G514" s="211">
        <v>0.3</v>
      </c>
      <c r="H514" s="212"/>
      <c r="I514" s="213"/>
      <c r="J514" s="272">
        <v>5582.95</v>
      </c>
      <c r="K514" s="112">
        <f t="shared" si="32"/>
        <v>5582.95</v>
      </c>
      <c r="L514" s="273">
        <f>BDI!$E$17</f>
        <v>0.11260000000000001</v>
      </c>
      <c r="M514" s="213"/>
      <c r="N514" s="213"/>
      <c r="O514" s="114">
        <f t="shared" si="33"/>
        <v>6211.59</v>
      </c>
      <c r="P514" s="113">
        <f t="shared" si="34"/>
        <v>1863.48</v>
      </c>
      <c r="Q514" s="209"/>
      <c r="R514" s="203"/>
      <c r="S514" s="182"/>
      <c r="T514" s="182"/>
      <c r="U514" s="182"/>
      <c r="V514" s="182"/>
      <c r="W514" s="182"/>
      <c r="X514" s="182"/>
      <c r="Y514" s="182"/>
      <c r="Z514" s="182"/>
      <c r="AA514" s="182"/>
      <c r="AB514" s="182"/>
      <c r="AC514" s="182"/>
      <c r="AD514" s="182"/>
      <c r="AE514" s="182"/>
      <c r="AF514" s="182"/>
      <c r="AG514" s="182"/>
      <c r="AH514" s="182"/>
      <c r="AI514" s="182"/>
      <c r="AJ514" s="182"/>
      <c r="AK514" s="182"/>
      <c r="AL514" s="182"/>
      <c r="AM514" s="182"/>
      <c r="AN514" s="182"/>
      <c r="AO514" s="182"/>
      <c r="AP514" s="182"/>
      <c r="AQ514" s="182"/>
      <c r="AR514" s="182"/>
      <c r="AS514" s="182"/>
      <c r="AT514" s="182"/>
      <c r="AU514" s="182"/>
      <c r="AV514" s="182"/>
      <c r="AW514" s="182"/>
      <c r="AX514" s="182"/>
      <c r="AY514" s="182"/>
      <c r="AZ514" s="182"/>
      <c r="BA514" s="182"/>
      <c r="BB514" s="182"/>
      <c r="BC514" s="182"/>
      <c r="BD514" s="182"/>
      <c r="BE514" s="182"/>
      <c r="BF514" s="182"/>
      <c r="BG514" s="182"/>
      <c r="BH514" s="182"/>
      <c r="BI514" s="182"/>
      <c r="BJ514" s="182"/>
      <c r="BK514" s="182"/>
      <c r="BL514" s="182"/>
      <c r="BM514" s="182"/>
      <c r="BN514" s="182"/>
      <c r="BO514" s="182"/>
      <c r="BP514" s="182"/>
      <c r="BQ514" s="182"/>
      <c r="BR514" s="182"/>
      <c r="BS514" s="182"/>
      <c r="BT514" s="182"/>
      <c r="BU514" s="182"/>
      <c r="BV514" s="182"/>
      <c r="BW514" s="182"/>
      <c r="BX514" s="182"/>
      <c r="BY514" s="182"/>
      <c r="BZ514" s="182"/>
      <c r="CA514" s="182"/>
      <c r="CB514" s="182"/>
      <c r="CC514" s="182"/>
      <c r="CD514" s="182"/>
      <c r="CE514" s="182"/>
      <c r="CF514" s="182"/>
      <c r="CG514" s="182"/>
      <c r="CH514" s="182"/>
      <c r="CI514" s="182"/>
      <c r="CJ514" s="182"/>
      <c r="CK514" s="182"/>
      <c r="CL514" s="182"/>
      <c r="CM514" s="182"/>
      <c r="CN514" s="182"/>
      <c r="CO514" s="182"/>
      <c r="CP514" s="182"/>
      <c r="CQ514" s="182"/>
      <c r="CR514" s="182"/>
      <c r="CS514" s="182"/>
      <c r="CT514" s="182"/>
      <c r="CU514" s="182"/>
      <c r="CV514" s="182"/>
      <c r="CW514" s="182"/>
      <c r="CX514" s="182"/>
      <c r="CY514" s="182"/>
      <c r="CZ514" s="182"/>
      <c r="DA514" s="182"/>
      <c r="DB514" s="182"/>
      <c r="DC514" s="182"/>
      <c r="DD514" s="182"/>
      <c r="DE514" s="182"/>
      <c r="DF514" s="182"/>
      <c r="DG514" s="182"/>
      <c r="DH514" s="182"/>
      <c r="DI514" s="182"/>
      <c r="DJ514" s="182"/>
      <c r="DK514" s="182"/>
      <c r="DL514" s="182"/>
      <c r="DM514" s="182"/>
      <c r="DN514" s="182"/>
      <c r="DO514" s="182"/>
      <c r="DP514" s="182"/>
      <c r="DQ514" s="182"/>
      <c r="DR514" s="182"/>
      <c r="DS514" s="182"/>
      <c r="DT514" s="182"/>
      <c r="DU514" s="182"/>
      <c r="DV514" s="182"/>
      <c r="DW514" s="182"/>
      <c r="DX514" s="182"/>
      <c r="DY514" s="182"/>
      <c r="DZ514" s="182"/>
      <c r="EA514" s="182"/>
      <c r="EB514" s="182"/>
      <c r="EC514" s="182"/>
      <c r="ED514" s="182"/>
      <c r="EE514" s="182"/>
      <c r="EF514" s="182"/>
      <c r="EG514" s="182"/>
      <c r="EH514" s="182"/>
      <c r="EI514" s="182"/>
      <c r="EJ514" s="182"/>
      <c r="EK514" s="182"/>
      <c r="EL514" s="182"/>
      <c r="EM514" s="182"/>
      <c r="EN514" s="182"/>
      <c r="EO514" s="182"/>
      <c r="EP514" s="182"/>
      <c r="EQ514" s="182"/>
      <c r="ER514" s="182"/>
      <c r="ES514" s="182"/>
      <c r="ET514" s="182"/>
      <c r="EU514" s="182"/>
      <c r="EV514" s="182"/>
      <c r="EW514" s="182"/>
      <c r="EX514" s="182"/>
      <c r="EY514" s="182"/>
      <c r="EZ514" s="182"/>
      <c r="FA514" s="182"/>
      <c r="FB514" s="182"/>
      <c r="FC514" s="182"/>
      <c r="FD514" s="182"/>
      <c r="FE514" s="182"/>
      <c r="FF514" s="182"/>
      <c r="FG514" s="182"/>
      <c r="FH514" s="182"/>
      <c r="FI514" s="182"/>
      <c r="FJ514" s="182"/>
      <c r="FK514" s="182"/>
      <c r="FL514" s="182"/>
      <c r="FM514" s="182"/>
      <c r="FN514" s="182"/>
      <c r="FO514" s="182"/>
      <c r="FP514" s="182"/>
      <c r="FQ514" s="182"/>
      <c r="FR514" s="182"/>
      <c r="FS514" s="182"/>
      <c r="FT514" s="182"/>
      <c r="FU514" s="182"/>
      <c r="FV514" s="182"/>
      <c r="FW514" s="182"/>
      <c r="FX514" s="182"/>
      <c r="FY514" s="182"/>
      <c r="FZ514" s="182"/>
      <c r="GA514" s="182"/>
      <c r="GB514" s="182"/>
      <c r="GC514" s="182"/>
      <c r="GD514" s="182"/>
      <c r="GE514" s="182"/>
      <c r="GF514" s="182"/>
      <c r="GG514" s="182"/>
      <c r="GH514" s="182"/>
      <c r="GI514" s="182"/>
    </row>
    <row r="515" spans="1:191" s="183" customFormat="1" x14ac:dyDescent="0.2">
      <c r="A515" s="210" t="s">
        <v>38820</v>
      </c>
      <c r="B515" s="210" t="s">
        <v>20861</v>
      </c>
      <c r="C515" s="224" t="s">
        <v>22696</v>
      </c>
      <c r="D515" s="211" t="s">
        <v>16</v>
      </c>
      <c r="E515" s="211">
        <v>3</v>
      </c>
      <c r="F515" s="211"/>
      <c r="G515" s="211">
        <v>0.3</v>
      </c>
      <c r="H515" s="212"/>
      <c r="I515" s="213"/>
      <c r="J515" s="272">
        <v>40287.78</v>
      </c>
      <c r="K515" s="112">
        <f t="shared" si="32"/>
        <v>120863.34</v>
      </c>
      <c r="L515" s="273">
        <f>BDI!$E$17</f>
        <v>0.11260000000000001</v>
      </c>
      <c r="M515" s="213"/>
      <c r="N515" s="213"/>
      <c r="O515" s="114">
        <f t="shared" si="33"/>
        <v>44824.18</v>
      </c>
      <c r="P515" s="113">
        <f t="shared" si="34"/>
        <v>40341.760000000002</v>
      </c>
      <c r="Q515" s="209"/>
      <c r="R515" s="203"/>
      <c r="S515" s="182"/>
      <c r="T515" s="182"/>
      <c r="U515" s="182"/>
      <c r="V515" s="182"/>
      <c r="W515" s="182"/>
      <c r="X515" s="182"/>
      <c r="Y515" s="182"/>
      <c r="Z515" s="182"/>
      <c r="AA515" s="182"/>
      <c r="AB515" s="182"/>
      <c r="AC515" s="182"/>
      <c r="AD515" s="182"/>
      <c r="AE515" s="182"/>
      <c r="AF515" s="182"/>
      <c r="AG515" s="182"/>
      <c r="AH515" s="182"/>
      <c r="AI515" s="182"/>
      <c r="AJ515" s="182"/>
      <c r="AK515" s="182"/>
      <c r="AL515" s="182"/>
      <c r="AM515" s="182"/>
      <c r="AN515" s="182"/>
      <c r="AO515" s="182"/>
      <c r="AP515" s="182"/>
      <c r="AQ515" s="182"/>
      <c r="AR515" s="182"/>
      <c r="AS515" s="182"/>
      <c r="AT515" s="182"/>
      <c r="AU515" s="182"/>
      <c r="AV515" s="182"/>
      <c r="AW515" s="182"/>
      <c r="AX515" s="182"/>
      <c r="AY515" s="182"/>
      <c r="AZ515" s="182"/>
      <c r="BA515" s="182"/>
      <c r="BB515" s="182"/>
      <c r="BC515" s="182"/>
      <c r="BD515" s="182"/>
      <c r="BE515" s="182"/>
      <c r="BF515" s="182"/>
      <c r="BG515" s="182"/>
      <c r="BH515" s="182"/>
      <c r="BI515" s="182"/>
      <c r="BJ515" s="182"/>
      <c r="BK515" s="182"/>
      <c r="BL515" s="182"/>
      <c r="BM515" s="182"/>
      <c r="BN515" s="182"/>
      <c r="BO515" s="182"/>
      <c r="BP515" s="182"/>
      <c r="BQ515" s="182"/>
      <c r="BR515" s="182"/>
      <c r="BS515" s="182"/>
      <c r="BT515" s="182"/>
      <c r="BU515" s="182"/>
      <c r="BV515" s="182"/>
      <c r="BW515" s="182"/>
      <c r="BX515" s="182"/>
      <c r="BY515" s="182"/>
      <c r="BZ515" s="182"/>
      <c r="CA515" s="182"/>
      <c r="CB515" s="182"/>
      <c r="CC515" s="182"/>
      <c r="CD515" s="182"/>
      <c r="CE515" s="182"/>
      <c r="CF515" s="182"/>
      <c r="CG515" s="182"/>
      <c r="CH515" s="182"/>
      <c r="CI515" s="182"/>
      <c r="CJ515" s="182"/>
      <c r="CK515" s="182"/>
      <c r="CL515" s="182"/>
      <c r="CM515" s="182"/>
      <c r="CN515" s="182"/>
      <c r="CO515" s="182"/>
      <c r="CP515" s="182"/>
      <c r="CQ515" s="182"/>
      <c r="CR515" s="182"/>
      <c r="CS515" s="182"/>
      <c r="CT515" s="182"/>
      <c r="CU515" s="182"/>
      <c r="CV515" s="182"/>
      <c r="CW515" s="182"/>
      <c r="CX515" s="182"/>
      <c r="CY515" s="182"/>
      <c r="CZ515" s="182"/>
      <c r="DA515" s="182"/>
      <c r="DB515" s="182"/>
      <c r="DC515" s="182"/>
      <c r="DD515" s="182"/>
      <c r="DE515" s="182"/>
      <c r="DF515" s="182"/>
      <c r="DG515" s="182"/>
      <c r="DH515" s="182"/>
      <c r="DI515" s="182"/>
      <c r="DJ515" s="182"/>
      <c r="DK515" s="182"/>
      <c r="DL515" s="182"/>
      <c r="DM515" s="182"/>
      <c r="DN515" s="182"/>
      <c r="DO515" s="182"/>
      <c r="DP515" s="182"/>
      <c r="DQ515" s="182"/>
      <c r="DR515" s="182"/>
      <c r="DS515" s="182"/>
      <c r="DT515" s="182"/>
      <c r="DU515" s="182"/>
      <c r="DV515" s="182"/>
      <c r="DW515" s="182"/>
      <c r="DX515" s="182"/>
      <c r="DY515" s="182"/>
      <c r="DZ515" s="182"/>
      <c r="EA515" s="182"/>
      <c r="EB515" s="182"/>
      <c r="EC515" s="182"/>
      <c r="ED515" s="182"/>
      <c r="EE515" s="182"/>
      <c r="EF515" s="182"/>
      <c r="EG515" s="182"/>
      <c r="EH515" s="182"/>
      <c r="EI515" s="182"/>
      <c r="EJ515" s="182"/>
      <c r="EK515" s="182"/>
      <c r="EL515" s="182"/>
      <c r="EM515" s="182"/>
      <c r="EN515" s="182"/>
      <c r="EO515" s="182"/>
      <c r="EP515" s="182"/>
      <c r="EQ515" s="182"/>
      <c r="ER515" s="182"/>
      <c r="ES515" s="182"/>
      <c r="ET515" s="182"/>
      <c r="EU515" s="182"/>
      <c r="EV515" s="182"/>
      <c r="EW515" s="182"/>
      <c r="EX515" s="182"/>
      <c r="EY515" s="182"/>
      <c r="EZ515" s="182"/>
      <c r="FA515" s="182"/>
      <c r="FB515" s="182"/>
      <c r="FC515" s="182"/>
      <c r="FD515" s="182"/>
      <c r="FE515" s="182"/>
      <c r="FF515" s="182"/>
      <c r="FG515" s="182"/>
      <c r="FH515" s="182"/>
      <c r="FI515" s="182"/>
      <c r="FJ515" s="182"/>
      <c r="FK515" s="182"/>
      <c r="FL515" s="182"/>
      <c r="FM515" s="182"/>
      <c r="FN515" s="182"/>
      <c r="FO515" s="182"/>
      <c r="FP515" s="182"/>
      <c r="FQ515" s="182"/>
      <c r="FR515" s="182"/>
      <c r="FS515" s="182"/>
      <c r="FT515" s="182"/>
      <c r="FU515" s="182"/>
      <c r="FV515" s="182"/>
      <c r="FW515" s="182"/>
      <c r="FX515" s="182"/>
      <c r="FY515" s="182"/>
      <c r="FZ515" s="182"/>
      <c r="GA515" s="182"/>
      <c r="GB515" s="182"/>
      <c r="GC515" s="182"/>
      <c r="GD515" s="182"/>
      <c r="GE515" s="182"/>
      <c r="GF515" s="182"/>
      <c r="GG515" s="182"/>
      <c r="GH515" s="182"/>
      <c r="GI515" s="182"/>
    </row>
    <row r="516" spans="1:191" s="183" customFormat="1" ht="15" x14ac:dyDescent="0.25">
      <c r="A516" s="229" t="s">
        <v>38184</v>
      </c>
      <c r="B516" s="198"/>
      <c r="C516" s="227" t="s">
        <v>38153</v>
      </c>
      <c r="D516" s="199"/>
      <c r="E516" s="199"/>
      <c r="F516" s="199"/>
      <c r="G516" s="199"/>
      <c r="H516" s="200"/>
      <c r="I516" s="201"/>
      <c r="J516" s="199"/>
      <c r="K516" s="202"/>
      <c r="L516" s="199"/>
      <c r="M516" s="202"/>
      <c r="N516" s="202">
        <f>SUBTOTAL(109,N517:N680)</f>
        <v>242513.4</v>
      </c>
      <c r="O516" s="199"/>
      <c r="P516" s="202"/>
      <c r="R516" s="203"/>
      <c r="S516" s="182"/>
      <c r="T516" s="182"/>
      <c r="U516" s="182"/>
      <c r="V516" s="182"/>
      <c r="W516" s="182"/>
      <c r="X516" s="182"/>
      <c r="Y516" s="182"/>
      <c r="Z516" s="182"/>
      <c r="AA516" s="182"/>
      <c r="AB516" s="182"/>
      <c r="AC516" s="182"/>
      <c r="AD516" s="182"/>
      <c r="AE516" s="182"/>
      <c r="AF516" s="182"/>
      <c r="AG516" s="182"/>
      <c r="AH516" s="182"/>
      <c r="AI516" s="182"/>
      <c r="AJ516" s="182"/>
      <c r="AK516" s="182"/>
      <c r="AL516" s="182"/>
      <c r="AM516" s="182"/>
      <c r="AN516" s="182"/>
      <c r="AO516" s="182"/>
      <c r="AP516" s="182"/>
      <c r="AQ516" s="182"/>
      <c r="AR516" s="182"/>
      <c r="AS516" s="182"/>
      <c r="AT516" s="182"/>
      <c r="AU516" s="182"/>
      <c r="AV516" s="182"/>
      <c r="AW516" s="182"/>
      <c r="AX516" s="182"/>
      <c r="AY516" s="182"/>
      <c r="AZ516" s="182"/>
      <c r="BA516" s="182"/>
      <c r="BB516" s="182"/>
      <c r="BC516" s="182"/>
      <c r="BD516" s="182"/>
      <c r="BE516" s="182"/>
      <c r="BF516" s="182"/>
      <c r="BG516" s="182"/>
      <c r="BH516" s="182"/>
      <c r="BI516" s="182"/>
      <c r="BJ516" s="182"/>
      <c r="BK516" s="182"/>
      <c r="BL516" s="182"/>
      <c r="BM516" s="182"/>
      <c r="BN516" s="182"/>
      <c r="BO516" s="182"/>
      <c r="BP516" s="182"/>
      <c r="BQ516" s="182"/>
      <c r="BR516" s="182"/>
      <c r="BS516" s="182"/>
      <c r="BT516" s="182"/>
      <c r="BU516" s="182"/>
      <c r="BV516" s="182"/>
      <c r="BW516" s="182"/>
      <c r="BX516" s="182"/>
      <c r="BY516" s="182"/>
      <c r="BZ516" s="182"/>
      <c r="CA516" s="182"/>
      <c r="CB516" s="182"/>
      <c r="CC516" s="182"/>
      <c r="CD516" s="182"/>
      <c r="CE516" s="182"/>
      <c r="CF516" s="182"/>
      <c r="CG516" s="182"/>
      <c r="CH516" s="182"/>
      <c r="CI516" s="182"/>
      <c r="CJ516" s="182"/>
      <c r="CK516" s="182"/>
      <c r="CL516" s="182"/>
      <c r="CM516" s="182"/>
      <c r="CN516" s="182"/>
      <c r="CO516" s="182"/>
      <c r="CP516" s="182"/>
      <c r="CQ516" s="182"/>
      <c r="CR516" s="182"/>
      <c r="CS516" s="182"/>
      <c r="CT516" s="182"/>
      <c r="CU516" s="182"/>
      <c r="CV516" s="182"/>
      <c r="CW516" s="182"/>
      <c r="CX516" s="182"/>
      <c r="CY516" s="182"/>
      <c r="CZ516" s="182"/>
      <c r="DA516" s="182"/>
      <c r="DB516" s="182"/>
      <c r="DC516" s="182"/>
      <c r="DD516" s="182"/>
      <c r="DE516" s="182"/>
      <c r="DF516" s="182"/>
      <c r="DG516" s="182"/>
      <c r="DH516" s="182"/>
      <c r="DI516" s="182"/>
      <c r="DJ516" s="182"/>
      <c r="DK516" s="182"/>
      <c r="DL516" s="182"/>
      <c r="DM516" s="182"/>
      <c r="DN516" s="182"/>
      <c r="DO516" s="182"/>
      <c r="DP516" s="182"/>
      <c r="DQ516" s="182"/>
      <c r="DR516" s="182"/>
      <c r="DS516" s="182"/>
      <c r="DT516" s="182"/>
      <c r="DU516" s="182"/>
      <c r="DV516" s="182"/>
      <c r="DW516" s="182"/>
      <c r="DX516" s="182"/>
      <c r="DY516" s="182"/>
      <c r="DZ516" s="182"/>
      <c r="EA516" s="182"/>
      <c r="EB516" s="182"/>
      <c r="EC516" s="182"/>
      <c r="ED516" s="182"/>
      <c r="EE516" s="182"/>
      <c r="EF516" s="182"/>
      <c r="EG516" s="182"/>
      <c r="EH516" s="182"/>
      <c r="EI516" s="182"/>
      <c r="EJ516" s="182"/>
      <c r="EK516" s="182"/>
      <c r="EL516" s="182"/>
      <c r="EM516" s="182"/>
      <c r="EN516" s="182"/>
      <c r="EO516" s="182"/>
      <c r="EP516" s="182"/>
      <c r="EQ516" s="182"/>
      <c r="ER516" s="182"/>
      <c r="ES516" s="182"/>
      <c r="ET516" s="182"/>
      <c r="EU516" s="182"/>
      <c r="EV516" s="182"/>
      <c r="EW516" s="182"/>
      <c r="EX516" s="182"/>
      <c r="EY516" s="182"/>
      <c r="EZ516" s="182"/>
      <c r="FA516" s="182"/>
      <c r="FB516" s="182"/>
      <c r="FC516" s="182"/>
      <c r="FD516" s="182"/>
      <c r="FE516" s="182"/>
      <c r="FF516" s="182"/>
      <c r="FG516" s="182"/>
      <c r="FH516" s="182"/>
      <c r="FI516" s="182"/>
      <c r="FJ516" s="182"/>
      <c r="FK516" s="182"/>
      <c r="FL516" s="182"/>
      <c r="FM516" s="182"/>
      <c r="FN516" s="182"/>
      <c r="FO516" s="182"/>
      <c r="FP516" s="182"/>
      <c r="FQ516" s="182"/>
      <c r="FR516" s="182"/>
      <c r="FS516" s="182"/>
      <c r="FT516" s="182"/>
      <c r="FU516" s="182"/>
      <c r="FV516" s="182"/>
      <c r="FW516" s="182"/>
      <c r="FX516" s="182"/>
      <c r="FY516" s="182"/>
      <c r="FZ516" s="182"/>
      <c r="GA516" s="182"/>
      <c r="GB516" s="182"/>
      <c r="GC516" s="182"/>
      <c r="GD516" s="182"/>
      <c r="GE516" s="182"/>
      <c r="GF516" s="182"/>
      <c r="GG516" s="182"/>
      <c r="GH516" s="182"/>
      <c r="GI516" s="182"/>
    </row>
    <row r="517" spans="1:191" s="183" customFormat="1" x14ac:dyDescent="0.2">
      <c r="A517" s="210" t="s">
        <v>38155</v>
      </c>
      <c r="B517" s="210" t="s">
        <v>1641</v>
      </c>
      <c r="C517" s="224" t="s">
        <v>13500</v>
      </c>
      <c r="D517" s="211" t="s">
        <v>16</v>
      </c>
      <c r="E517" s="211">
        <v>1</v>
      </c>
      <c r="F517" s="211"/>
      <c r="G517" s="211"/>
      <c r="H517" s="231">
        <v>10</v>
      </c>
      <c r="I517" s="213">
        <f t="shared" ref="I517:I581" si="35">1/(12*H517)</f>
        <v>8.3333333333333332E-3</v>
      </c>
      <c r="J517" s="272">
        <v>1259.49</v>
      </c>
      <c r="K517" s="113"/>
      <c r="L517" s="213"/>
      <c r="M517" s="112">
        <f t="shared" ref="M517:M581" si="36">IF(ISNUMBER(J517),ROUND(I517*E517*J517,2),"")</f>
        <v>10.5</v>
      </c>
      <c r="N517" s="112">
        <f>IF(ISNUMBER(J517),ROUND(M517*30,2),"")</f>
        <v>315</v>
      </c>
      <c r="O517" s="114"/>
      <c r="P517" s="113"/>
      <c r="R517" s="203"/>
      <c r="S517" s="182"/>
      <c r="T517" s="182"/>
      <c r="U517" s="182"/>
      <c r="V517" s="182"/>
      <c r="W517" s="182"/>
      <c r="X517" s="182"/>
      <c r="Y517" s="182"/>
      <c r="Z517" s="182"/>
      <c r="AA517" s="182"/>
      <c r="AB517" s="182"/>
      <c r="AC517" s="182"/>
      <c r="AD517" s="182"/>
      <c r="AE517" s="182"/>
      <c r="AF517" s="182"/>
      <c r="AG517" s="182"/>
      <c r="AH517" s="182"/>
      <c r="AI517" s="182"/>
      <c r="AJ517" s="182"/>
      <c r="AK517" s="182"/>
      <c r="AL517" s="182"/>
      <c r="AM517" s="182"/>
      <c r="AN517" s="182"/>
      <c r="AO517" s="182"/>
      <c r="AP517" s="182"/>
      <c r="AQ517" s="182"/>
      <c r="AR517" s="182"/>
      <c r="AS517" s="182"/>
      <c r="AT517" s="182"/>
      <c r="AU517" s="182"/>
      <c r="AV517" s="182"/>
      <c r="AW517" s="182"/>
      <c r="AX517" s="182"/>
      <c r="AY517" s="182"/>
      <c r="AZ517" s="182"/>
      <c r="BA517" s="182"/>
      <c r="BB517" s="182"/>
      <c r="BC517" s="182"/>
      <c r="BD517" s="182"/>
      <c r="BE517" s="182"/>
      <c r="BF517" s="182"/>
      <c r="BG517" s="182"/>
      <c r="BH517" s="182"/>
      <c r="BI517" s="182"/>
      <c r="BJ517" s="182"/>
      <c r="BK517" s="182"/>
      <c r="BL517" s="182"/>
      <c r="BM517" s="182"/>
      <c r="BN517" s="182"/>
      <c r="BO517" s="182"/>
      <c r="BP517" s="182"/>
      <c r="BQ517" s="182"/>
      <c r="BR517" s="182"/>
      <c r="BS517" s="182"/>
      <c r="BT517" s="182"/>
      <c r="BU517" s="182"/>
      <c r="BV517" s="182"/>
      <c r="BW517" s="182"/>
      <c r="BX517" s="182"/>
      <c r="BY517" s="182"/>
      <c r="BZ517" s="182"/>
      <c r="CA517" s="182"/>
      <c r="CB517" s="182"/>
      <c r="CC517" s="182"/>
      <c r="CD517" s="182"/>
      <c r="CE517" s="182"/>
      <c r="CF517" s="182"/>
      <c r="CG517" s="182"/>
      <c r="CH517" s="182"/>
      <c r="CI517" s="182"/>
      <c r="CJ517" s="182"/>
      <c r="CK517" s="182"/>
      <c r="CL517" s="182"/>
      <c r="CM517" s="182"/>
      <c r="CN517" s="182"/>
      <c r="CO517" s="182"/>
      <c r="CP517" s="182"/>
      <c r="CQ517" s="182"/>
      <c r="CR517" s="182"/>
      <c r="CS517" s="182"/>
      <c r="CT517" s="182"/>
      <c r="CU517" s="182"/>
      <c r="CV517" s="182"/>
      <c r="CW517" s="182"/>
      <c r="CX517" s="182"/>
      <c r="CY517" s="182"/>
      <c r="CZ517" s="182"/>
      <c r="DA517" s="182"/>
      <c r="DB517" s="182"/>
      <c r="DC517" s="182"/>
      <c r="DD517" s="182"/>
      <c r="DE517" s="182"/>
      <c r="DF517" s="182"/>
      <c r="DG517" s="182"/>
      <c r="DH517" s="182"/>
      <c r="DI517" s="182"/>
      <c r="DJ517" s="182"/>
      <c r="DK517" s="182"/>
      <c r="DL517" s="182"/>
      <c r="DM517" s="182"/>
      <c r="DN517" s="182"/>
      <c r="DO517" s="182"/>
      <c r="DP517" s="182"/>
      <c r="DQ517" s="182"/>
      <c r="DR517" s="182"/>
      <c r="DS517" s="182"/>
      <c r="DT517" s="182"/>
      <c r="DU517" s="182"/>
      <c r="DV517" s="182"/>
      <c r="DW517" s="182"/>
      <c r="DX517" s="182"/>
      <c r="DY517" s="182"/>
      <c r="DZ517" s="182"/>
      <c r="EA517" s="182"/>
      <c r="EB517" s="182"/>
      <c r="EC517" s="182"/>
      <c r="ED517" s="182"/>
      <c r="EE517" s="182"/>
      <c r="EF517" s="182"/>
      <c r="EG517" s="182"/>
      <c r="EH517" s="182"/>
      <c r="EI517" s="182"/>
      <c r="EJ517" s="182"/>
      <c r="EK517" s="182"/>
      <c r="EL517" s="182"/>
      <c r="EM517" s="182"/>
      <c r="EN517" s="182"/>
      <c r="EO517" s="182"/>
      <c r="EP517" s="182"/>
      <c r="EQ517" s="182"/>
      <c r="ER517" s="182"/>
      <c r="ES517" s="182"/>
      <c r="ET517" s="182"/>
      <c r="EU517" s="182"/>
      <c r="EV517" s="182"/>
      <c r="EW517" s="182"/>
      <c r="EX517" s="182"/>
      <c r="EY517" s="182"/>
      <c r="EZ517" s="182"/>
      <c r="FA517" s="182"/>
      <c r="FB517" s="182"/>
      <c r="FC517" s="182"/>
      <c r="FD517" s="182"/>
      <c r="FE517" s="182"/>
      <c r="FF517" s="182"/>
      <c r="FG517" s="182"/>
      <c r="FH517" s="182"/>
      <c r="FI517" s="182"/>
      <c r="FJ517" s="182"/>
      <c r="FK517" s="182"/>
      <c r="FL517" s="182"/>
      <c r="FM517" s="182"/>
      <c r="FN517" s="182"/>
      <c r="FO517" s="182"/>
      <c r="FP517" s="182"/>
      <c r="FQ517" s="182"/>
      <c r="FR517" s="182"/>
      <c r="FS517" s="182"/>
      <c r="FT517" s="182"/>
      <c r="FU517" s="182"/>
      <c r="FV517" s="182"/>
      <c r="FW517" s="182"/>
      <c r="FX517" s="182"/>
      <c r="FY517" s="182"/>
      <c r="FZ517" s="182"/>
      <c r="GA517" s="182"/>
      <c r="GB517" s="182"/>
      <c r="GC517" s="182"/>
      <c r="GD517" s="182"/>
      <c r="GE517" s="182"/>
      <c r="GF517" s="182"/>
      <c r="GG517" s="182"/>
      <c r="GH517" s="182"/>
      <c r="GI517" s="182"/>
    </row>
    <row r="518" spans="1:191" s="183" customFormat="1" x14ac:dyDescent="0.2">
      <c r="A518" s="210" t="s">
        <v>38185</v>
      </c>
      <c r="B518" s="210" t="s">
        <v>1644</v>
      </c>
      <c r="C518" s="224" t="s">
        <v>13459</v>
      </c>
      <c r="D518" s="211" t="s">
        <v>16</v>
      </c>
      <c r="E518" s="211">
        <v>7</v>
      </c>
      <c r="F518" s="211"/>
      <c r="G518" s="211"/>
      <c r="H518" s="231">
        <v>5</v>
      </c>
      <c r="I518" s="213">
        <f t="shared" si="35"/>
        <v>1.6666666666666666E-2</v>
      </c>
      <c r="J518" s="272">
        <v>735.52</v>
      </c>
      <c r="K518" s="113"/>
      <c r="L518" s="213"/>
      <c r="M518" s="112">
        <f t="shared" si="36"/>
        <v>85.81</v>
      </c>
      <c r="N518" s="112">
        <f t="shared" ref="N518:N581" si="37">IF(ISNUMBER(J518),ROUND(M518*30,2),"")</f>
        <v>2574.3000000000002</v>
      </c>
      <c r="O518" s="114"/>
      <c r="P518" s="113"/>
      <c r="R518" s="203"/>
      <c r="S518" s="182"/>
      <c r="T518" s="182"/>
      <c r="U518" s="182"/>
      <c r="V518" s="182"/>
      <c r="W518" s="182"/>
      <c r="X518" s="182"/>
      <c r="Y518" s="182"/>
      <c r="Z518" s="182"/>
      <c r="AA518" s="182"/>
      <c r="AB518" s="182"/>
      <c r="AC518" s="182"/>
      <c r="AD518" s="182"/>
      <c r="AE518" s="182"/>
      <c r="AF518" s="182"/>
      <c r="AG518" s="182"/>
      <c r="AH518" s="182"/>
      <c r="AI518" s="182"/>
      <c r="AJ518" s="182"/>
      <c r="AK518" s="182"/>
      <c r="AL518" s="182"/>
      <c r="AM518" s="182"/>
      <c r="AN518" s="182"/>
      <c r="AO518" s="182"/>
      <c r="AP518" s="182"/>
      <c r="AQ518" s="182"/>
      <c r="AR518" s="182"/>
      <c r="AS518" s="182"/>
      <c r="AT518" s="182"/>
      <c r="AU518" s="182"/>
      <c r="AV518" s="182"/>
      <c r="AW518" s="182"/>
      <c r="AX518" s="182"/>
      <c r="AY518" s="182"/>
      <c r="AZ518" s="182"/>
      <c r="BA518" s="182"/>
      <c r="BB518" s="182"/>
      <c r="BC518" s="182"/>
      <c r="BD518" s="182"/>
      <c r="BE518" s="182"/>
      <c r="BF518" s="182"/>
      <c r="BG518" s="182"/>
      <c r="BH518" s="182"/>
      <c r="BI518" s="182"/>
      <c r="BJ518" s="182"/>
      <c r="BK518" s="182"/>
      <c r="BL518" s="182"/>
      <c r="BM518" s="182"/>
      <c r="BN518" s="182"/>
      <c r="BO518" s="182"/>
      <c r="BP518" s="182"/>
      <c r="BQ518" s="182"/>
      <c r="BR518" s="182"/>
      <c r="BS518" s="182"/>
      <c r="BT518" s="182"/>
      <c r="BU518" s="182"/>
      <c r="BV518" s="182"/>
      <c r="BW518" s="182"/>
      <c r="BX518" s="182"/>
      <c r="BY518" s="182"/>
      <c r="BZ518" s="182"/>
      <c r="CA518" s="182"/>
      <c r="CB518" s="182"/>
      <c r="CC518" s="182"/>
      <c r="CD518" s="182"/>
      <c r="CE518" s="182"/>
      <c r="CF518" s="182"/>
      <c r="CG518" s="182"/>
      <c r="CH518" s="182"/>
      <c r="CI518" s="182"/>
      <c r="CJ518" s="182"/>
      <c r="CK518" s="182"/>
      <c r="CL518" s="182"/>
      <c r="CM518" s="182"/>
      <c r="CN518" s="182"/>
      <c r="CO518" s="182"/>
      <c r="CP518" s="182"/>
      <c r="CQ518" s="182"/>
      <c r="CR518" s="182"/>
      <c r="CS518" s="182"/>
      <c r="CT518" s="182"/>
      <c r="CU518" s="182"/>
      <c r="CV518" s="182"/>
      <c r="CW518" s="182"/>
      <c r="CX518" s="182"/>
      <c r="CY518" s="182"/>
      <c r="CZ518" s="182"/>
      <c r="DA518" s="182"/>
      <c r="DB518" s="182"/>
      <c r="DC518" s="182"/>
      <c r="DD518" s="182"/>
      <c r="DE518" s="182"/>
      <c r="DF518" s="182"/>
      <c r="DG518" s="182"/>
      <c r="DH518" s="182"/>
      <c r="DI518" s="182"/>
      <c r="DJ518" s="182"/>
      <c r="DK518" s="182"/>
      <c r="DL518" s="182"/>
      <c r="DM518" s="182"/>
      <c r="DN518" s="182"/>
      <c r="DO518" s="182"/>
      <c r="DP518" s="182"/>
      <c r="DQ518" s="182"/>
      <c r="DR518" s="182"/>
      <c r="DS518" s="182"/>
      <c r="DT518" s="182"/>
      <c r="DU518" s="182"/>
      <c r="DV518" s="182"/>
      <c r="DW518" s="182"/>
      <c r="DX518" s="182"/>
      <c r="DY518" s="182"/>
      <c r="DZ518" s="182"/>
      <c r="EA518" s="182"/>
      <c r="EB518" s="182"/>
      <c r="EC518" s="182"/>
      <c r="ED518" s="182"/>
      <c r="EE518" s="182"/>
      <c r="EF518" s="182"/>
      <c r="EG518" s="182"/>
      <c r="EH518" s="182"/>
      <c r="EI518" s="182"/>
      <c r="EJ518" s="182"/>
      <c r="EK518" s="182"/>
      <c r="EL518" s="182"/>
      <c r="EM518" s="182"/>
      <c r="EN518" s="182"/>
      <c r="EO518" s="182"/>
      <c r="EP518" s="182"/>
      <c r="EQ518" s="182"/>
      <c r="ER518" s="182"/>
      <c r="ES518" s="182"/>
      <c r="ET518" s="182"/>
      <c r="EU518" s="182"/>
      <c r="EV518" s="182"/>
      <c r="EW518" s="182"/>
      <c r="EX518" s="182"/>
      <c r="EY518" s="182"/>
      <c r="EZ518" s="182"/>
      <c r="FA518" s="182"/>
      <c r="FB518" s="182"/>
      <c r="FC518" s="182"/>
      <c r="FD518" s="182"/>
      <c r="FE518" s="182"/>
      <c r="FF518" s="182"/>
      <c r="FG518" s="182"/>
      <c r="FH518" s="182"/>
      <c r="FI518" s="182"/>
      <c r="FJ518" s="182"/>
      <c r="FK518" s="182"/>
      <c r="FL518" s="182"/>
      <c r="FM518" s="182"/>
      <c r="FN518" s="182"/>
      <c r="FO518" s="182"/>
      <c r="FP518" s="182"/>
      <c r="FQ518" s="182"/>
      <c r="FR518" s="182"/>
      <c r="FS518" s="182"/>
      <c r="FT518" s="182"/>
      <c r="FU518" s="182"/>
      <c r="FV518" s="182"/>
      <c r="FW518" s="182"/>
      <c r="FX518" s="182"/>
      <c r="FY518" s="182"/>
      <c r="FZ518" s="182"/>
      <c r="GA518" s="182"/>
      <c r="GB518" s="182"/>
      <c r="GC518" s="182"/>
      <c r="GD518" s="182"/>
      <c r="GE518" s="182"/>
      <c r="GF518" s="182"/>
      <c r="GG518" s="182"/>
      <c r="GH518" s="182"/>
      <c r="GI518" s="182"/>
    </row>
    <row r="519" spans="1:191" s="183" customFormat="1" x14ac:dyDescent="0.2">
      <c r="A519" s="210" t="s">
        <v>38186</v>
      </c>
      <c r="B519" s="210" t="s">
        <v>1645</v>
      </c>
      <c r="C519" s="224" t="s">
        <v>1646</v>
      </c>
      <c r="D519" s="211" t="s">
        <v>16</v>
      </c>
      <c r="E519" s="211">
        <v>43</v>
      </c>
      <c r="F519" s="211"/>
      <c r="G519" s="211"/>
      <c r="H519" s="231">
        <v>5</v>
      </c>
      <c r="I519" s="213">
        <f t="shared" si="35"/>
        <v>1.6666666666666666E-2</v>
      </c>
      <c r="J519" s="272">
        <v>31.6</v>
      </c>
      <c r="K519" s="113"/>
      <c r="L519" s="213"/>
      <c r="M519" s="112">
        <f t="shared" si="36"/>
        <v>22.65</v>
      </c>
      <c r="N519" s="112">
        <f t="shared" si="37"/>
        <v>679.5</v>
      </c>
      <c r="O519" s="114"/>
      <c r="P519" s="113"/>
      <c r="R519" s="203"/>
      <c r="S519" s="182"/>
      <c r="T519" s="182"/>
      <c r="U519" s="182"/>
      <c r="V519" s="182"/>
      <c r="W519" s="182"/>
      <c r="X519" s="182"/>
      <c r="Y519" s="182"/>
      <c r="Z519" s="182"/>
      <c r="AA519" s="182"/>
      <c r="AB519" s="182"/>
      <c r="AC519" s="182"/>
      <c r="AD519" s="182"/>
      <c r="AE519" s="182"/>
      <c r="AF519" s="182"/>
      <c r="AG519" s="182"/>
      <c r="AH519" s="182"/>
      <c r="AI519" s="182"/>
      <c r="AJ519" s="182"/>
      <c r="AK519" s="182"/>
      <c r="AL519" s="182"/>
      <c r="AM519" s="182"/>
      <c r="AN519" s="182"/>
      <c r="AO519" s="182"/>
      <c r="AP519" s="182"/>
      <c r="AQ519" s="182"/>
      <c r="AR519" s="182"/>
      <c r="AS519" s="182"/>
      <c r="AT519" s="182"/>
      <c r="AU519" s="182"/>
      <c r="AV519" s="182"/>
      <c r="AW519" s="182"/>
      <c r="AX519" s="182"/>
      <c r="AY519" s="182"/>
      <c r="AZ519" s="182"/>
      <c r="BA519" s="182"/>
      <c r="BB519" s="182"/>
      <c r="BC519" s="182"/>
      <c r="BD519" s="182"/>
      <c r="BE519" s="182"/>
      <c r="BF519" s="182"/>
      <c r="BG519" s="182"/>
      <c r="BH519" s="182"/>
      <c r="BI519" s="182"/>
      <c r="BJ519" s="182"/>
      <c r="BK519" s="182"/>
      <c r="BL519" s="182"/>
      <c r="BM519" s="182"/>
      <c r="BN519" s="182"/>
      <c r="BO519" s="182"/>
      <c r="BP519" s="182"/>
      <c r="BQ519" s="182"/>
      <c r="BR519" s="182"/>
      <c r="BS519" s="182"/>
      <c r="BT519" s="182"/>
      <c r="BU519" s="182"/>
      <c r="BV519" s="182"/>
      <c r="BW519" s="182"/>
      <c r="BX519" s="182"/>
      <c r="BY519" s="182"/>
      <c r="BZ519" s="182"/>
      <c r="CA519" s="182"/>
      <c r="CB519" s="182"/>
      <c r="CC519" s="182"/>
      <c r="CD519" s="182"/>
      <c r="CE519" s="182"/>
      <c r="CF519" s="182"/>
      <c r="CG519" s="182"/>
      <c r="CH519" s="182"/>
      <c r="CI519" s="182"/>
      <c r="CJ519" s="182"/>
      <c r="CK519" s="182"/>
      <c r="CL519" s="182"/>
      <c r="CM519" s="182"/>
      <c r="CN519" s="182"/>
      <c r="CO519" s="182"/>
      <c r="CP519" s="182"/>
      <c r="CQ519" s="182"/>
      <c r="CR519" s="182"/>
      <c r="CS519" s="182"/>
      <c r="CT519" s="182"/>
      <c r="CU519" s="182"/>
      <c r="CV519" s="182"/>
      <c r="CW519" s="182"/>
      <c r="CX519" s="182"/>
      <c r="CY519" s="182"/>
      <c r="CZ519" s="182"/>
      <c r="DA519" s="182"/>
      <c r="DB519" s="182"/>
      <c r="DC519" s="182"/>
      <c r="DD519" s="182"/>
      <c r="DE519" s="182"/>
      <c r="DF519" s="182"/>
      <c r="DG519" s="182"/>
      <c r="DH519" s="182"/>
      <c r="DI519" s="182"/>
      <c r="DJ519" s="182"/>
      <c r="DK519" s="182"/>
      <c r="DL519" s="182"/>
      <c r="DM519" s="182"/>
      <c r="DN519" s="182"/>
      <c r="DO519" s="182"/>
      <c r="DP519" s="182"/>
      <c r="DQ519" s="182"/>
      <c r="DR519" s="182"/>
      <c r="DS519" s="182"/>
      <c r="DT519" s="182"/>
      <c r="DU519" s="182"/>
      <c r="DV519" s="182"/>
      <c r="DW519" s="182"/>
      <c r="DX519" s="182"/>
      <c r="DY519" s="182"/>
      <c r="DZ519" s="182"/>
      <c r="EA519" s="182"/>
      <c r="EB519" s="182"/>
      <c r="EC519" s="182"/>
      <c r="ED519" s="182"/>
      <c r="EE519" s="182"/>
      <c r="EF519" s="182"/>
      <c r="EG519" s="182"/>
      <c r="EH519" s="182"/>
      <c r="EI519" s="182"/>
      <c r="EJ519" s="182"/>
      <c r="EK519" s="182"/>
      <c r="EL519" s="182"/>
      <c r="EM519" s="182"/>
      <c r="EN519" s="182"/>
      <c r="EO519" s="182"/>
      <c r="EP519" s="182"/>
      <c r="EQ519" s="182"/>
      <c r="ER519" s="182"/>
      <c r="ES519" s="182"/>
      <c r="ET519" s="182"/>
      <c r="EU519" s="182"/>
      <c r="EV519" s="182"/>
      <c r="EW519" s="182"/>
      <c r="EX519" s="182"/>
      <c r="EY519" s="182"/>
      <c r="EZ519" s="182"/>
      <c r="FA519" s="182"/>
      <c r="FB519" s="182"/>
      <c r="FC519" s="182"/>
      <c r="FD519" s="182"/>
      <c r="FE519" s="182"/>
      <c r="FF519" s="182"/>
      <c r="FG519" s="182"/>
      <c r="FH519" s="182"/>
      <c r="FI519" s="182"/>
      <c r="FJ519" s="182"/>
      <c r="FK519" s="182"/>
      <c r="FL519" s="182"/>
      <c r="FM519" s="182"/>
      <c r="FN519" s="182"/>
      <c r="FO519" s="182"/>
      <c r="FP519" s="182"/>
      <c r="FQ519" s="182"/>
      <c r="FR519" s="182"/>
      <c r="FS519" s="182"/>
      <c r="FT519" s="182"/>
      <c r="FU519" s="182"/>
      <c r="FV519" s="182"/>
      <c r="FW519" s="182"/>
      <c r="FX519" s="182"/>
      <c r="FY519" s="182"/>
      <c r="FZ519" s="182"/>
      <c r="GA519" s="182"/>
      <c r="GB519" s="182"/>
      <c r="GC519" s="182"/>
      <c r="GD519" s="182"/>
      <c r="GE519" s="182"/>
      <c r="GF519" s="182"/>
      <c r="GG519" s="182"/>
      <c r="GH519" s="182"/>
      <c r="GI519" s="182"/>
    </row>
    <row r="520" spans="1:191" s="183" customFormat="1" x14ac:dyDescent="0.2">
      <c r="A520" s="210" t="s">
        <v>38187</v>
      </c>
      <c r="B520" s="210" t="s">
        <v>1647</v>
      </c>
      <c r="C520" s="224" t="s">
        <v>1648</v>
      </c>
      <c r="D520" s="211" t="s">
        <v>16</v>
      </c>
      <c r="E520" s="211">
        <v>43</v>
      </c>
      <c r="F520" s="211"/>
      <c r="G520" s="211"/>
      <c r="H520" s="231">
        <v>5</v>
      </c>
      <c r="I520" s="213">
        <f t="shared" si="35"/>
        <v>1.6666666666666666E-2</v>
      </c>
      <c r="J520" s="272">
        <v>25.94</v>
      </c>
      <c r="K520" s="113"/>
      <c r="L520" s="213"/>
      <c r="M520" s="112">
        <f t="shared" si="36"/>
        <v>18.59</v>
      </c>
      <c r="N520" s="112">
        <f t="shared" si="37"/>
        <v>557.70000000000005</v>
      </c>
      <c r="O520" s="114"/>
      <c r="P520" s="113"/>
      <c r="R520" s="203"/>
      <c r="S520" s="182"/>
      <c r="T520" s="182"/>
      <c r="U520" s="182"/>
      <c r="V520" s="182"/>
      <c r="W520" s="182"/>
      <c r="X520" s="182"/>
      <c r="Y520" s="182"/>
      <c r="Z520" s="182"/>
      <c r="AA520" s="182"/>
      <c r="AB520" s="182"/>
      <c r="AC520" s="182"/>
      <c r="AD520" s="182"/>
      <c r="AE520" s="182"/>
      <c r="AF520" s="182"/>
      <c r="AG520" s="182"/>
      <c r="AH520" s="182"/>
      <c r="AI520" s="182"/>
      <c r="AJ520" s="182"/>
      <c r="AK520" s="182"/>
      <c r="AL520" s="182"/>
      <c r="AM520" s="182"/>
      <c r="AN520" s="182"/>
      <c r="AO520" s="182"/>
      <c r="AP520" s="182"/>
      <c r="AQ520" s="182"/>
      <c r="AR520" s="182"/>
      <c r="AS520" s="182"/>
      <c r="AT520" s="182"/>
      <c r="AU520" s="182"/>
      <c r="AV520" s="182"/>
      <c r="AW520" s="182"/>
      <c r="AX520" s="182"/>
      <c r="AY520" s="182"/>
      <c r="AZ520" s="182"/>
      <c r="BA520" s="182"/>
      <c r="BB520" s="182"/>
      <c r="BC520" s="182"/>
      <c r="BD520" s="182"/>
      <c r="BE520" s="182"/>
      <c r="BF520" s="182"/>
      <c r="BG520" s="182"/>
      <c r="BH520" s="182"/>
      <c r="BI520" s="182"/>
      <c r="BJ520" s="182"/>
      <c r="BK520" s="182"/>
      <c r="BL520" s="182"/>
      <c r="BM520" s="182"/>
      <c r="BN520" s="182"/>
      <c r="BO520" s="182"/>
      <c r="BP520" s="182"/>
      <c r="BQ520" s="182"/>
      <c r="BR520" s="182"/>
      <c r="BS520" s="182"/>
      <c r="BT520" s="182"/>
      <c r="BU520" s="182"/>
      <c r="BV520" s="182"/>
      <c r="BW520" s="182"/>
      <c r="BX520" s="182"/>
      <c r="BY520" s="182"/>
      <c r="BZ520" s="182"/>
      <c r="CA520" s="182"/>
      <c r="CB520" s="182"/>
      <c r="CC520" s="182"/>
      <c r="CD520" s="182"/>
      <c r="CE520" s="182"/>
      <c r="CF520" s="182"/>
      <c r="CG520" s="182"/>
      <c r="CH520" s="182"/>
      <c r="CI520" s="182"/>
      <c r="CJ520" s="182"/>
      <c r="CK520" s="182"/>
      <c r="CL520" s="182"/>
      <c r="CM520" s="182"/>
      <c r="CN520" s="182"/>
      <c r="CO520" s="182"/>
      <c r="CP520" s="182"/>
      <c r="CQ520" s="182"/>
      <c r="CR520" s="182"/>
      <c r="CS520" s="182"/>
      <c r="CT520" s="182"/>
      <c r="CU520" s="182"/>
      <c r="CV520" s="182"/>
      <c r="CW520" s="182"/>
      <c r="CX520" s="182"/>
      <c r="CY520" s="182"/>
      <c r="CZ520" s="182"/>
      <c r="DA520" s="182"/>
      <c r="DB520" s="182"/>
      <c r="DC520" s="182"/>
      <c r="DD520" s="182"/>
      <c r="DE520" s="182"/>
      <c r="DF520" s="182"/>
      <c r="DG520" s="182"/>
      <c r="DH520" s="182"/>
      <c r="DI520" s="182"/>
      <c r="DJ520" s="182"/>
      <c r="DK520" s="182"/>
      <c r="DL520" s="182"/>
      <c r="DM520" s="182"/>
      <c r="DN520" s="182"/>
      <c r="DO520" s="182"/>
      <c r="DP520" s="182"/>
      <c r="DQ520" s="182"/>
      <c r="DR520" s="182"/>
      <c r="DS520" s="182"/>
      <c r="DT520" s="182"/>
      <c r="DU520" s="182"/>
      <c r="DV520" s="182"/>
      <c r="DW520" s="182"/>
      <c r="DX520" s="182"/>
      <c r="DY520" s="182"/>
      <c r="DZ520" s="182"/>
      <c r="EA520" s="182"/>
      <c r="EB520" s="182"/>
      <c r="EC520" s="182"/>
      <c r="ED520" s="182"/>
      <c r="EE520" s="182"/>
      <c r="EF520" s="182"/>
      <c r="EG520" s="182"/>
      <c r="EH520" s="182"/>
      <c r="EI520" s="182"/>
      <c r="EJ520" s="182"/>
      <c r="EK520" s="182"/>
      <c r="EL520" s="182"/>
      <c r="EM520" s="182"/>
      <c r="EN520" s="182"/>
      <c r="EO520" s="182"/>
      <c r="EP520" s="182"/>
      <c r="EQ520" s="182"/>
      <c r="ER520" s="182"/>
      <c r="ES520" s="182"/>
      <c r="ET520" s="182"/>
      <c r="EU520" s="182"/>
      <c r="EV520" s="182"/>
      <c r="EW520" s="182"/>
      <c r="EX520" s="182"/>
      <c r="EY520" s="182"/>
      <c r="EZ520" s="182"/>
      <c r="FA520" s="182"/>
      <c r="FB520" s="182"/>
      <c r="FC520" s="182"/>
      <c r="FD520" s="182"/>
      <c r="FE520" s="182"/>
      <c r="FF520" s="182"/>
      <c r="FG520" s="182"/>
      <c r="FH520" s="182"/>
      <c r="FI520" s="182"/>
      <c r="FJ520" s="182"/>
      <c r="FK520" s="182"/>
      <c r="FL520" s="182"/>
      <c r="FM520" s="182"/>
      <c r="FN520" s="182"/>
      <c r="FO520" s="182"/>
      <c r="FP520" s="182"/>
      <c r="FQ520" s="182"/>
      <c r="FR520" s="182"/>
      <c r="FS520" s="182"/>
      <c r="FT520" s="182"/>
      <c r="FU520" s="182"/>
      <c r="FV520" s="182"/>
      <c r="FW520" s="182"/>
      <c r="FX520" s="182"/>
      <c r="FY520" s="182"/>
      <c r="FZ520" s="182"/>
      <c r="GA520" s="182"/>
      <c r="GB520" s="182"/>
      <c r="GC520" s="182"/>
      <c r="GD520" s="182"/>
      <c r="GE520" s="182"/>
      <c r="GF520" s="182"/>
      <c r="GG520" s="182"/>
      <c r="GH520" s="182"/>
      <c r="GI520" s="182"/>
    </row>
    <row r="521" spans="1:191" s="183" customFormat="1" x14ac:dyDescent="0.2">
      <c r="A521" s="210" t="s">
        <v>38188</v>
      </c>
      <c r="B521" s="210" t="s">
        <v>1649</v>
      </c>
      <c r="C521" s="224" t="s">
        <v>13460</v>
      </c>
      <c r="D521" s="211" t="s">
        <v>16</v>
      </c>
      <c r="E521" s="211">
        <v>2</v>
      </c>
      <c r="F521" s="211"/>
      <c r="G521" s="211"/>
      <c r="H521" s="231">
        <v>5</v>
      </c>
      <c r="I521" s="213">
        <f t="shared" si="35"/>
        <v>1.6666666666666666E-2</v>
      </c>
      <c r="J521" s="272">
        <v>41.21</v>
      </c>
      <c r="K521" s="113"/>
      <c r="L521" s="213"/>
      <c r="M521" s="112">
        <f t="shared" si="36"/>
        <v>1.37</v>
      </c>
      <c r="N521" s="112">
        <f t="shared" si="37"/>
        <v>41.1</v>
      </c>
      <c r="O521" s="114"/>
      <c r="P521" s="113"/>
      <c r="R521" s="203"/>
      <c r="S521" s="182"/>
      <c r="T521" s="182"/>
      <c r="U521" s="182"/>
      <c r="V521" s="182"/>
      <c r="W521" s="182"/>
      <c r="X521" s="182"/>
      <c r="Y521" s="182"/>
      <c r="Z521" s="182"/>
      <c r="AA521" s="182"/>
      <c r="AB521" s="182"/>
      <c r="AC521" s="182"/>
      <c r="AD521" s="182"/>
      <c r="AE521" s="182"/>
      <c r="AF521" s="182"/>
      <c r="AG521" s="182"/>
      <c r="AH521" s="182"/>
      <c r="AI521" s="182"/>
      <c r="AJ521" s="182"/>
      <c r="AK521" s="182"/>
      <c r="AL521" s="182"/>
      <c r="AM521" s="182"/>
      <c r="AN521" s="182"/>
      <c r="AO521" s="182"/>
      <c r="AP521" s="182"/>
      <c r="AQ521" s="182"/>
      <c r="AR521" s="182"/>
      <c r="AS521" s="182"/>
      <c r="AT521" s="182"/>
      <c r="AU521" s="182"/>
      <c r="AV521" s="182"/>
      <c r="AW521" s="182"/>
      <c r="AX521" s="182"/>
      <c r="AY521" s="182"/>
      <c r="AZ521" s="182"/>
      <c r="BA521" s="182"/>
      <c r="BB521" s="182"/>
      <c r="BC521" s="182"/>
      <c r="BD521" s="182"/>
      <c r="BE521" s="182"/>
      <c r="BF521" s="182"/>
      <c r="BG521" s="182"/>
      <c r="BH521" s="182"/>
      <c r="BI521" s="182"/>
      <c r="BJ521" s="182"/>
      <c r="BK521" s="182"/>
      <c r="BL521" s="182"/>
      <c r="BM521" s="182"/>
      <c r="BN521" s="182"/>
      <c r="BO521" s="182"/>
      <c r="BP521" s="182"/>
      <c r="BQ521" s="182"/>
      <c r="BR521" s="182"/>
      <c r="BS521" s="182"/>
      <c r="BT521" s="182"/>
      <c r="BU521" s="182"/>
      <c r="BV521" s="182"/>
      <c r="BW521" s="182"/>
      <c r="BX521" s="182"/>
      <c r="BY521" s="182"/>
      <c r="BZ521" s="182"/>
      <c r="CA521" s="182"/>
      <c r="CB521" s="182"/>
      <c r="CC521" s="182"/>
      <c r="CD521" s="182"/>
      <c r="CE521" s="182"/>
      <c r="CF521" s="182"/>
      <c r="CG521" s="182"/>
      <c r="CH521" s="182"/>
      <c r="CI521" s="182"/>
      <c r="CJ521" s="182"/>
      <c r="CK521" s="182"/>
      <c r="CL521" s="182"/>
      <c r="CM521" s="182"/>
      <c r="CN521" s="182"/>
      <c r="CO521" s="182"/>
      <c r="CP521" s="182"/>
      <c r="CQ521" s="182"/>
      <c r="CR521" s="182"/>
      <c r="CS521" s="182"/>
      <c r="CT521" s="182"/>
      <c r="CU521" s="182"/>
      <c r="CV521" s="182"/>
      <c r="CW521" s="182"/>
      <c r="CX521" s="182"/>
      <c r="CY521" s="182"/>
      <c r="CZ521" s="182"/>
      <c r="DA521" s="182"/>
      <c r="DB521" s="182"/>
      <c r="DC521" s="182"/>
      <c r="DD521" s="182"/>
      <c r="DE521" s="182"/>
      <c r="DF521" s="182"/>
      <c r="DG521" s="182"/>
      <c r="DH521" s="182"/>
      <c r="DI521" s="182"/>
      <c r="DJ521" s="182"/>
      <c r="DK521" s="182"/>
      <c r="DL521" s="182"/>
      <c r="DM521" s="182"/>
      <c r="DN521" s="182"/>
      <c r="DO521" s="182"/>
      <c r="DP521" s="182"/>
      <c r="DQ521" s="182"/>
      <c r="DR521" s="182"/>
      <c r="DS521" s="182"/>
      <c r="DT521" s="182"/>
      <c r="DU521" s="182"/>
      <c r="DV521" s="182"/>
      <c r="DW521" s="182"/>
      <c r="DX521" s="182"/>
      <c r="DY521" s="182"/>
      <c r="DZ521" s="182"/>
      <c r="EA521" s="182"/>
      <c r="EB521" s="182"/>
      <c r="EC521" s="182"/>
      <c r="ED521" s="182"/>
      <c r="EE521" s="182"/>
      <c r="EF521" s="182"/>
      <c r="EG521" s="182"/>
      <c r="EH521" s="182"/>
      <c r="EI521" s="182"/>
      <c r="EJ521" s="182"/>
      <c r="EK521" s="182"/>
      <c r="EL521" s="182"/>
      <c r="EM521" s="182"/>
      <c r="EN521" s="182"/>
      <c r="EO521" s="182"/>
      <c r="EP521" s="182"/>
      <c r="EQ521" s="182"/>
      <c r="ER521" s="182"/>
      <c r="ES521" s="182"/>
      <c r="ET521" s="182"/>
      <c r="EU521" s="182"/>
      <c r="EV521" s="182"/>
      <c r="EW521" s="182"/>
      <c r="EX521" s="182"/>
      <c r="EY521" s="182"/>
      <c r="EZ521" s="182"/>
      <c r="FA521" s="182"/>
      <c r="FB521" s="182"/>
      <c r="FC521" s="182"/>
      <c r="FD521" s="182"/>
      <c r="FE521" s="182"/>
      <c r="FF521" s="182"/>
      <c r="FG521" s="182"/>
      <c r="FH521" s="182"/>
      <c r="FI521" s="182"/>
      <c r="FJ521" s="182"/>
      <c r="FK521" s="182"/>
      <c r="FL521" s="182"/>
      <c r="FM521" s="182"/>
      <c r="FN521" s="182"/>
      <c r="FO521" s="182"/>
      <c r="FP521" s="182"/>
      <c r="FQ521" s="182"/>
      <c r="FR521" s="182"/>
      <c r="FS521" s="182"/>
      <c r="FT521" s="182"/>
      <c r="FU521" s="182"/>
      <c r="FV521" s="182"/>
      <c r="FW521" s="182"/>
      <c r="FX521" s="182"/>
      <c r="FY521" s="182"/>
      <c r="FZ521" s="182"/>
      <c r="GA521" s="182"/>
      <c r="GB521" s="182"/>
      <c r="GC521" s="182"/>
      <c r="GD521" s="182"/>
      <c r="GE521" s="182"/>
      <c r="GF521" s="182"/>
      <c r="GG521" s="182"/>
      <c r="GH521" s="182"/>
      <c r="GI521" s="182"/>
    </row>
    <row r="522" spans="1:191" s="183" customFormat="1" x14ac:dyDescent="0.2">
      <c r="A522" s="210" t="s">
        <v>38189</v>
      </c>
      <c r="B522" s="210" t="s">
        <v>1650</v>
      </c>
      <c r="C522" s="224" t="s">
        <v>1651</v>
      </c>
      <c r="D522" s="211" t="s">
        <v>16</v>
      </c>
      <c r="E522" s="211">
        <v>43</v>
      </c>
      <c r="F522" s="211"/>
      <c r="G522" s="211"/>
      <c r="H522" s="231">
        <v>5</v>
      </c>
      <c r="I522" s="213">
        <f t="shared" si="35"/>
        <v>1.6666666666666666E-2</v>
      </c>
      <c r="J522" s="272">
        <v>38.74</v>
      </c>
      <c r="K522" s="113"/>
      <c r="L522" s="213"/>
      <c r="M522" s="112">
        <f t="shared" si="36"/>
        <v>27.76</v>
      </c>
      <c r="N522" s="112">
        <f t="shared" si="37"/>
        <v>832.8</v>
      </c>
      <c r="O522" s="114"/>
      <c r="P522" s="113"/>
      <c r="R522" s="203"/>
      <c r="S522" s="182"/>
      <c r="T522" s="182"/>
      <c r="U522" s="182"/>
      <c r="V522" s="182"/>
      <c r="W522" s="182"/>
      <c r="X522" s="182"/>
      <c r="Y522" s="182"/>
      <c r="Z522" s="182"/>
      <c r="AA522" s="182"/>
      <c r="AB522" s="182"/>
      <c r="AC522" s="182"/>
      <c r="AD522" s="182"/>
      <c r="AE522" s="182"/>
      <c r="AF522" s="182"/>
      <c r="AG522" s="182"/>
      <c r="AH522" s="182"/>
      <c r="AI522" s="182"/>
      <c r="AJ522" s="182"/>
      <c r="AK522" s="182"/>
      <c r="AL522" s="182"/>
      <c r="AM522" s="182"/>
      <c r="AN522" s="182"/>
      <c r="AO522" s="182"/>
      <c r="AP522" s="182"/>
      <c r="AQ522" s="182"/>
      <c r="AR522" s="182"/>
      <c r="AS522" s="182"/>
      <c r="AT522" s="182"/>
      <c r="AU522" s="182"/>
      <c r="AV522" s="182"/>
      <c r="AW522" s="182"/>
      <c r="AX522" s="182"/>
      <c r="AY522" s="182"/>
      <c r="AZ522" s="182"/>
      <c r="BA522" s="182"/>
      <c r="BB522" s="182"/>
      <c r="BC522" s="182"/>
      <c r="BD522" s="182"/>
      <c r="BE522" s="182"/>
      <c r="BF522" s="182"/>
      <c r="BG522" s="182"/>
      <c r="BH522" s="182"/>
      <c r="BI522" s="182"/>
      <c r="BJ522" s="182"/>
      <c r="BK522" s="182"/>
      <c r="BL522" s="182"/>
      <c r="BM522" s="182"/>
      <c r="BN522" s="182"/>
      <c r="BO522" s="182"/>
      <c r="BP522" s="182"/>
      <c r="BQ522" s="182"/>
      <c r="BR522" s="182"/>
      <c r="BS522" s="182"/>
      <c r="BT522" s="182"/>
      <c r="BU522" s="182"/>
      <c r="BV522" s="182"/>
      <c r="BW522" s="182"/>
      <c r="BX522" s="182"/>
      <c r="BY522" s="182"/>
      <c r="BZ522" s="182"/>
      <c r="CA522" s="182"/>
      <c r="CB522" s="182"/>
      <c r="CC522" s="182"/>
      <c r="CD522" s="182"/>
      <c r="CE522" s="182"/>
      <c r="CF522" s="182"/>
      <c r="CG522" s="182"/>
      <c r="CH522" s="182"/>
      <c r="CI522" s="182"/>
      <c r="CJ522" s="182"/>
      <c r="CK522" s="182"/>
      <c r="CL522" s="182"/>
      <c r="CM522" s="182"/>
      <c r="CN522" s="182"/>
      <c r="CO522" s="182"/>
      <c r="CP522" s="182"/>
      <c r="CQ522" s="182"/>
      <c r="CR522" s="182"/>
      <c r="CS522" s="182"/>
      <c r="CT522" s="182"/>
      <c r="CU522" s="182"/>
      <c r="CV522" s="182"/>
      <c r="CW522" s="182"/>
      <c r="CX522" s="182"/>
      <c r="CY522" s="182"/>
      <c r="CZ522" s="182"/>
      <c r="DA522" s="182"/>
      <c r="DB522" s="182"/>
      <c r="DC522" s="182"/>
      <c r="DD522" s="182"/>
      <c r="DE522" s="182"/>
      <c r="DF522" s="182"/>
      <c r="DG522" s="182"/>
      <c r="DH522" s="182"/>
      <c r="DI522" s="182"/>
      <c r="DJ522" s="182"/>
      <c r="DK522" s="182"/>
      <c r="DL522" s="182"/>
      <c r="DM522" s="182"/>
      <c r="DN522" s="182"/>
      <c r="DO522" s="182"/>
      <c r="DP522" s="182"/>
      <c r="DQ522" s="182"/>
      <c r="DR522" s="182"/>
      <c r="DS522" s="182"/>
      <c r="DT522" s="182"/>
      <c r="DU522" s="182"/>
      <c r="DV522" s="182"/>
      <c r="DW522" s="182"/>
      <c r="DX522" s="182"/>
      <c r="DY522" s="182"/>
      <c r="DZ522" s="182"/>
      <c r="EA522" s="182"/>
      <c r="EB522" s="182"/>
      <c r="EC522" s="182"/>
      <c r="ED522" s="182"/>
      <c r="EE522" s="182"/>
      <c r="EF522" s="182"/>
      <c r="EG522" s="182"/>
      <c r="EH522" s="182"/>
      <c r="EI522" s="182"/>
      <c r="EJ522" s="182"/>
      <c r="EK522" s="182"/>
      <c r="EL522" s="182"/>
      <c r="EM522" s="182"/>
      <c r="EN522" s="182"/>
      <c r="EO522" s="182"/>
      <c r="EP522" s="182"/>
      <c r="EQ522" s="182"/>
      <c r="ER522" s="182"/>
      <c r="ES522" s="182"/>
      <c r="ET522" s="182"/>
      <c r="EU522" s="182"/>
      <c r="EV522" s="182"/>
      <c r="EW522" s="182"/>
      <c r="EX522" s="182"/>
      <c r="EY522" s="182"/>
      <c r="EZ522" s="182"/>
      <c r="FA522" s="182"/>
      <c r="FB522" s="182"/>
      <c r="FC522" s="182"/>
      <c r="FD522" s="182"/>
      <c r="FE522" s="182"/>
      <c r="FF522" s="182"/>
      <c r="FG522" s="182"/>
      <c r="FH522" s="182"/>
      <c r="FI522" s="182"/>
      <c r="FJ522" s="182"/>
      <c r="FK522" s="182"/>
      <c r="FL522" s="182"/>
      <c r="FM522" s="182"/>
      <c r="FN522" s="182"/>
      <c r="FO522" s="182"/>
      <c r="FP522" s="182"/>
      <c r="FQ522" s="182"/>
      <c r="FR522" s="182"/>
      <c r="FS522" s="182"/>
      <c r="FT522" s="182"/>
      <c r="FU522" s="182"/>
      <c r="FV522" s="182"/>
      <c r="FW522" s="182"/>
      <c r="FX522" s="182"/>
      <c r="FY522" s="182"/>
      <c r="FZ522" s="182"/>
      <c r="GA522" s="182"/>
      <c r="GB522" s="182"/>
      <c r="GC522" s="182"/>
      <c r="GD522" s="182"/>
      <c r="GE522" s="182"/>
      <c r="GF522" s="182"/>
      <c r="GG522" s="182"/>
      <c r="GH522" s="182"/>
      <c r="GI522" s="182"/>
    </row>
    <row r="523" spans="1:191" s="183" customFormat="1" x14ac:dyDescent="0.2">
      <c r="A523" s="210" t="s">
        <v>38190</v>
      </c>
      <c r="B523" s="210" t="s">
        <v>1652</v>
      </c>
      <c r="C523" s="224" t="s">
        <v>19748</v>
      </c>
      <c r="D523" s="211" t="s">
        <v>16</v>
      </c>
      <c r="E523" s="211">
        <v>1</v>
      </c>
      <c r="F523" s="211"/>
      <c r="G523" s="211"/>
      <c r="H523" s="231">
        <v>5</v>
      </c>
      <c r="I523" s="213">
        <f t="shared" si="35"/>
        <v>1.6666666666666666E-2</v>
      </c>
      <c r="J523" s="272">
        <v>41.31</v>
      </c>
      <c r="K523" s="113"/>
      <c r="L523" s="213"/>
      <c r="M523" s="112">
        <f t="shared" si="36"/>
        <v>0.69</v>
      </c>
      <c r="N523" s="112">
        <f t="shared" si="37"/>
        <v>20.7</v>
      </c>
      <c r="O523" s="114"/>
      <c r="P523" s="113"/>
      <c r="R523" s="203"/>
      <c r="S523" s="182"/>
      <c r="T523" s="182"/>
      <c r="U523" s="182"/>
      <c r="V523" s="182"/>
      <c r="W523" s="182"/>
      <c r="X523" s="182"/>
      <c r="Y523" s="182"/>
      <c r="Z523" s="182"/>
      <c r="AA523" s="182"/>
      <c r="AB523" s="182"/>
      <c r="AC523" s="182"/>
      <c r="AD523" s="182"/>
      <c r="AE523" s="182"/>
      <c r="AF523" s="182"/>
      <c r="AG523" s="182"/>
      <c r="AH523" s="182"/>
      <c r="AI523" s="182"/>
      <c r="AJ523" s="182"/>
      <c r="AK523" s="182"/>
      <c r="AL523" s="182"/>
      <c r="AM523" s="182"/>
      <c r="AN523" s="182"/>
      <c r="AO523" s="182"/>
      <c r="AP523" s="182"/>
      <c r="AQ523" s="182"/>
      <c r="AR523" s="182"/>
      <c r="AS523" s="182"/>
      <c r="AT523" s="182"/>
      <c r="AU523" s="182"/>
      <c r="AV523" s="182"/>
      <c r="AW523" s="182"/>
      <c r="AX523" s="182"/>
      <c r="AY523" s="182"/>
      <c r="AZ523" s="182"/>
      <c r="BA523" s="182"/>
      <c r="BB523" s="182"/>
      <c r="BC523" s="182"/>
      <c r="BD523" s="182"/>
      <c r="BE523" s="182"/>
      <c r="BF523" s="182"/>
      <c r="BG523" s="182"/>
      <c r="BH523" s="182"/>
      <c r="BI523" s="182"/>
      <c r="BJ523" s="182"/>
      <c r="BK523" s="182"/>
      <c r="BL523" s="182"/>
      <c r="BM523" s="182"/>
      <c r="BN523" s="182"/>
      <c r="BO523" s="182"/>
      <c r="BP523" s="182"/>
      <c r="BQ523" s="182"/>
      <c r="BR523" s="182"/>
      <c r="BS523" s="182"/>
      <c r="BT523" s="182"/>
      <c r="BU523" s="182"/>
      <c r="BV523" s="182"/>
      <c r="BW523" s="182"/>
      <c r="BX523" s="182"/>
      <c r="BY523" s="182"/>
      <c r="BZ523" s="182"/>
      <c r="CA523" s="182"/>
      <c r="CB523" s="182"/>
      <c r="CC523" s="182"/>
      <c r="CD523" s="182"/>
      <c r="CE523" s="182"/>
      <c r="CF523" s="182"/>
      <c r="CG523" s="182"/>
      <c r="CH523" s="182"/>
      <c r="CI523" s="182"/>
      <c r="CJ523" s="182"/>
      <c r="CK523" s="182"/>
      <c r="CL523" s="182"/>
      <c r="CM523" s="182"/>
      <c r="CN523" s="182"/>
      <c r="CO523" s="182"/>
      <c r="CP523" s="182"/>
      <c r="CQ523" s="182"/>
      <c r="CR523" s="182"/>
      <c r="CS523" s="182"/>
      <c r="CT523" s="182"/>
      <c r="CU523" s="182"/>
      <c r="CV523" s="182"/>
      <c r="CW523" s="182"/>
      <c r="CX523" s="182"/>
      <c r="CY523" s="182"/>
      <c r="CZ523" s="182"/>
      <c r="DA523" s="182"/>
      <c r="DB523" s="182"/>
      <c r="DC523" s="182"/>
      <c r="DD523" s="182"/>
      <c r="DE523" s="182"/>
      <c r="DF523" s="182"/>
      <c r="DG523" s="182"/>
      <c r="DH523" s="182"/>
      <c r="DI523" s="182"/>
      <c r="DJ523" s="182"/>
      <c r="DK523" s="182"/>
      <c r="DL523" s="182"/>
      <c r="DM523" s="182"/>
      <c r="DN523" s="182"/>
      <c r="DO523" s="182"/>
      <c r="DP523" s="182"/>
      <c r="DQ523" s="182"/>
      <c r="DR523" s="182"/>
      <c r="DS523" s="182"/>
      <c r="DT523" s="182"/>
      <c r="DU523" s="182"/>
      <c r="DV523" s="182"/>
      <c r="DW523" s="182"/>
      <c r="DX523" s="182"/>
      <c r="DY523" s="182"/>
      <c r="DZ523" s="182"/>
      <c r="EA523" s="182"/>
      <c r="EB523" s="182"/>
      <c r="EC523" s="182"/>
      <c r="ED523" s="182"/>
      <c r="EE523" s="182"/>
      <c r="EF523" s="182"/>
      <c r="EG523" s="182"/>
      <c r="EH523" s="182"/>
      <c r="EI523" s="182"/>
      <c r="EJ523" s="182"/>
      <c r="EK523" s="182"/>
      <c r="EL523" s="182"/>
      <c r="EM523" s="182"/>
      <c r="EN523" s="182"/>
      <c r="EO523" s="182"/>
      <c r="EP523" s="182"/>
      <c r="EQ523" s="182"/>
      <c r="ER523" s="182"/>
      <c r="ES523" s="182"/>
      <c r="ET523" s="182"/>
      <c r="EU523" s="182"/>
      <c r="EV523" s="182"/>
      <c r="EW523" s="182"/>
      <c r="EX523" s="182"/>
      <c r="EY523" s="182"/>
      <c r="EZ523" s="182"/>
      <c r="FA523" s="182"/>
      <c r="FB523" s="182"/>
      <c r="FC523" s="182"/>
      <c r="FD523" s="182"/>
      <c r="FE523" s="182"/>
      <c r="FF523" s="182"/>
      <c r="FG523" s="182"/>
      <c r="FH523" s="182"/>
      <c r="FI523" s="182"/>
      <c r="FJ523" s="182"/>
      <c r="FK523" s="182"/>
      <c r="FL523" s="182"/>
      <c r="FM523" s="182"/>
      <c r="FN523" s="182"/>
      <c r="FO523" s="182"/>
      <c r="FP523" s="182"/>
      <c r="FQ523" s="182"/>
      <c r="FR523" s="182"/>
      <c r="FS523" s="182"/>
      <c r="FT523" s="182"/>
      <c r="FU523" s="182"/>
      <c r="FV523" s="182"/>
      <c r="FW523" s="182"/>
      <c r="FX523" s="182"/>
      <c r="FY523" s="182"/>
      <c r="FZ523" s="182"/>
      <c r="GA523" s="182"/>
      <c r="GB523" s="182"/>
      <c r="GC523" s="182"/>
      <c r="GD523" s="182"/>
      <c r="GE523" s="182"/>
      <c r="GF523" s="182"/>
      <c r="GG523" s="182"/>
      <c r="GH523" s="182"/>
      <c r="GI523" s="182"/>
    </row>
    <row r="524" spans="1:191" s="183" customFormat="1" x14ac:dyDescent="0.2">
      <c r="A524" s="210" t="s">
        <v>38191</v>
      </c>
      <c r="B524" s="210" t="s">
        <v>1653</v>
      </c>
      <c r="C524" s="224" t="s">
        <v>13461</v>
      </c>
      <c r="D524" s="211" t="s">
        <v>16</v>
      </c>
      <c r="E524" s="211">
        <v>1</v>
      </c>
      <c r="F524" s="211"/>
      <c r="G524" s="211"/>
      <c r="H524" s="231">
        <v>5</v>
      </c>
      <c r="I524" s="213">
        <f t="shared" si="35"/>
        <v>1.6666666666666666E-2</v>
      </c>
      <c r="J524" s="272">
        <v>37.979999999999997</v>
      </c>
      <c r="K524" s="113"/>
      <c r="L524" s="213"/>
      <c r="M524" s="112">
        <f t="shared" si="36"/>
        <v>0.63</v>
      </c>
      <c r="N524" s="112">
        <f t="shared" si="37"/>
        <v>18.899999999999999</v>
      </c>
      <c r="O524" s="114"/>
      <c r="P524" s="113"/>
      <c r="R524" s="203"/>
      <c r="S524" s="182"/>
      <c r="T524" s="182"/>
      <c r="U524" s="182"/>
      <c r="V524" s="182"/>
      <c r="W524" s="182"/>
      <c r="X524" s="182"/>
      <c r="Y524" s="182"/>
      <c r="Z524" s="182"/>
      <c r="AA524" s="182"/>
      <c r="AB524" s="182"/>
      <c r="AC524" s="182"/>
      <c r="AD524" s="182"/>
      <c r="AE524" s="182"/>
      <c r="AF524" s="182"/>
      <c r="AG524" s="182"/>
      <c r="AH524" s="182"/>
      <c r="AI524" s="182"/>
      <c r="AJ524" s="182"/>
      <c r="AK524" s="182"/>
      <c r="AL524" s="182"/>
      <c r="AM524" s="182"/>
      <c r="AN524" s="182"/>
      <c r="AO524" s="182"/>
      <c r="AP524" s="182"/>
      <c r="AQ524" s="182"/>
      <c r="AR524" s="182"/>
      <c r="AS524" s="182"/>
      <c r="AT524" s="182"/>
      <c r="AU524" s="182"/>
      <c r="AV524" s="182"/>
      <c r="AW524" s="182"/>
      <c r="AX524" s="182"/>
      <c r="AY524" s="182"/>
      <c r="AZ524" s="182"/>
      <c r="BA524" s="182"/>
      <c r="BB524" s="182"/>
      <c r="BC524" s="182"/>
      <c r="BD524" s="182"/>
      <c r="BE524" s="182"/>
      <c r="BF524" s="182"/>
      <c r="BG524" s="182"/>
      <c r="BH524" s="182"/>
      <c r="BI524" s="182"/>
      <c r="BJ524" s="182"/>
      <c r="BK524" s="182"/>
      <c r="BL524" s="182"/>
      <c r="BM524" s="182"/>
      <c r="BN524" s="182"/>
      <c r="BO524" s="182"/>
      <c r="BP524" s="182"/>
      <c r="BQ524" s="182"/>
      <c r="BR524" s="182"/>
      <c r="BS524" s="182"/>
      <c r="BT524" s="182"/>
      <c r="BU524" s="182"/>
      <c r="BV524" s="182"/>
      <c r="BW524" s="182"/>
      <c r="BX524" s="182"/>
      <c r="BY524" s="182"/>
      <c r="BZ524" s="182"/>
      <c r="CA524" s="182"/>
      <c r="CB524" s="182"/>
      <c r="CC524" s="182"/>
      <c r="CD524" s="182"/>
      <c r="CE524" s="182"/>
      <c r="CF524" s="182"/>
      <c r="CG524" s="182"/>
      <c r="CH524" s="182"/>
      <c r="CI524" s="182"/>
      <c r="CJ524" s="182"/>
      <c r="CK524" s="182"/>
      <c r="CL524" s="182"/>
      <c r="CM524" s="182"/>
      <c r="CN524" s="182"/>
      <c r="CO524" s="182"/>
      <c r="CP524" s="182"/>
      <c r="CQ524" s="182"/>
      <c r="CR524" s="182"/>
      <c r="CS524" s="182"/>
      <c r="CT524" s="182"/>
      <c r="CU524" s="182"/>
      <c r="CV524" s="182"/>
      <c r="CW524" s="182"/>
      <c r="CX524" s="182"/>
      <c r="CY524" s="182"/>
      <c r="CZ524" s="182"/>
      <c r="DA524" s="182"/>
      <c r="DB524" s="182"/>
      <c r="DC524" s="182"/>
      <c r="DD524" s="182"/>
      <c r="DE524" s="182"/>
      <c r="DF524" s="182"/>
      <c r="DG524" s="182"/>
      <c r="DH524" s="182"/>
      <c r="DI524" s="182"/>
      <c r="DJ524" s="182"/>
      <c r="DK524" s="182"/>
      <c r="DL524" s="182"/>
      <c r="DM524" s="182"/>
      <c r="DN524" s="182"/>
      <c r="DO524" s="182"/>
      <c r="DP524" s="182"/>
      <c r="DQ524" s="182"/>
      <c r="DR524" s="182"/>
      <c r="DS524" s="182"/>
      <c r="DT524" s="182"/>
      <c r="DU524" s="182"/>
      <c r="DV524" s="182"/>
      <c r="DW524" s="182"/>
      <c r="DX524" s="182"/>
      <c r="DY524" s="182"/>
      <c r="DZ524" s="182"/>
      <c r="EA524" s="182"/>
      <c r="EB524" s="182"/>
      <c r="EC524" s="182"/>
      <c r="ED524" s="182"/>
      <c r="EE524" s="182"/>
      <c r="EF524" s="182"/>
      <c r="EG524" s="182"/>
      <c r="EH524" s="182"/>
      <c r="EI524" s="182"/>
      <c r="EJ524" s="182"/>
      <c r="EK524" s="182"/>
      <c r="EL524" s="182"/>
      <c r="EM524" s="182"/>
      <c r="EN524" s="182"/>
      <c r="EO524" s="182"/>
      <c r="EP524" s="182"/>
      <c r="EQ524" s="182"/>
      <c r="ER524" s="182"/>
      <c r="ES524" s="182"/>
      <c r="ET524" s="182"/>
      <c r="EU524" s="182"/>
      <c r="EV524" s="182"/>
      <c r="EW524" s="182"/>
      <c r="EX524" s="182"/>
      <c r="EY524" s="182"/>
      <c r="EZ524" s="182"/>
      <c r="FA524" s="182"/>
      <c r="FB524" s="182"/>
      <c r="FC524" s="182"/>
      <c r="FD524" s="182"/>
      <c r="FE524" s="182"/>
      <c r="FF524" s="182"/>
      <c r="FG524" s="182"/>
      <c r="FH524" s="182"/>
      <c r="FI524" s="182"/>
      <c r="FJ524" s="182"/>
      <c r="FK524" s="182"/>
      <c r="FL524" s="182"/>
      <c r="FM524" s="182"/>
      <c r="FN524" s="182"/>
      <c r="FO524" s="182"/>
      <c r="FP524" s="182"/>
      <c r="FQ524" s="182"/>
      <c r="FR524" s="182"/>
      <c r="FS524" s="182"/>
      <c r="FT524" s="182"/>
      <c r="FU524" s="182"/>
      <c r="FV524" s="182"/>
      <c r="FW524" s="182"/>
      <c r="FX524" s="182"/>
      <c r="FY524" s="182"/>
      <c r="FZ524" s="182"/>
      <c r="GA524" s="182"/>
      <c r="GB524" s="182"/>
      <c r="GC524" s="182"/>
      <c r="GD524" s="182"/>
      <c r="GE524" s="182"/>
      <c r="GF524" s="182"/>
      <c r="GG524" s="182"/>
      <c r="GH524" s="182"/>
      <c r="GI524" s="182"/>
    </row>
    <row r="525" spans="1:191" s="183" customFormat="1" x14ac:dyDescent="0.2">
      <c r="A525" s="210" t="s">
        <v>38192</v>
      </c>
      <c r="B525" s="210" t="s">
        <v>1654</v>
      </c>
      <c r="C525" s="224" t="s">
        <v>1655</v>
      </c>
      <c r="D525" s="211" t="s">
        <v>16</v>
      </c>
      <c r="E525" s="211">
        <v>5</v>
      </c>
      <c r="F525" s="211"/>
      <c r="G525" s="211"/>
      <c r="H525" s="231">
        <v>5</v>
      </c>
      <c r="I525" s="213">
        <f t="shared" si="35"/>
        <v>1.6666666666666666E-2</v>
      </c>
      <c r="J525" s="272">
        <v>57.29</v>
      </c>
      <c r="K525" s="113"/>
      <c r="L525" s="213"/>
      <c r="M525" s="112">
        <f t="shared" si="36"/>
        <v>4.7699999999999996</v>
      </c>
      <c r="N525" s="112">
        <f t="shared" si="37"/>
        <v>143.1</v>
      </c>
      <c r="O525" s="114"/>
      <c r="P525" s="113"/>
      <c r="R525" s="203"/>
      <c r="S525" s="182"/>
      <c r="T525" s="182"/>
      <c r="U525" s="182"/>
      <c r="V525" s="182"/>
      <c r="W525" s="182"/>
      <c r="X525" s="182"/>
      <c r="Y525" s="182"/>
      <c r="Z525" s="182"/>
      <c r="AA525" s="182"/>
      <c r="AB525" s="182"/>
      <c r="AC525" s="182"/>
      <c r="AD525" s="182"/>
      <c r="AE525" s="182"/>
      <c r="AF525" s="182"/>
      <c r="AG525" s="182"/>
      <c r="AH525" s="182"/>
      <c r="AI525" s="182"/>
      <c r="AJ525" s="182"/>
      <c r="AK525" s="182"/>
      <c r="AL525" s="182"/>
      <c r="AM525" s="182"/>
      <c r="AN525" s="182"/>
      <c r="AO525" s="182"/>
      <c r="AP525" s="182"/>
      <c r="AQ525" s="182"/>
      <c r="AR525" s="182"/>
      <c r="AS525" s="182"/>
      <c r="AT525" s="182"/>
      <c r="AU525" s="182"/>
      <c r="AV525" s="182"/>
      <c r="AW525" s="182"/>
      <c r="AX525" s="182"/>
      <c r="AY525" s="182"/>
      <c r="AZ525" s="182"/>
      <c r="BA525" s="182"/>
      <c r="BB525" s="182"/>
      <c r="BC525" s="182"/>
      <c r="BD525" s="182"/>
      <c r="BE525" s="182"/>
      <c r="BF525" s="182"/>
      <c r="BG525" s="182"/>
      <c r="BH525" s="182"/>
      <c r="BI525" s="182"/>
      <c r="BJ525" s="182"/>
      <c r="BK525" s="182"/>
      <c r="BL525" s="182"/>
      <c r="BM525" s="182"/>
      <c r="BN525" s="182"/>
      <c r="BO525" s="182"/>
      <c r="BP525" s="182"/>
      <c r="BQ525" s="182"/>
      <c r="BR525" s="182"/>
      <c r="BS525" s="182"/>
      <c r="BT525" s="182"/>
      <c r="BU525" s="182"/>
      <c r="BV525" s="182"/>
      <c r="BW525" s="182"/>
      <c r="BX525" s="182"/>
      <c r="BY525" s="182"/>
      <c r="BZ525" s="182"/>
      <c r="CA525" s="182"/>
      <c r="CB525" s="182"/>
      <c r="CC525" s="182"/>
      <c r="CD525" s="182"/>
      <c r="CE525" s="182"/>
      <c r="CF525" s="182"/>
      <c r="CG525" s="182"/>
      <c r="CH525" s="182"/>
      <c r="CI525" s="182"/>
      <c r="CJ525" s="182"/>
      <c r="CK525" s="182"/>
      <c r="CL525" s="182"/>
      <c r="CM525" s="182"/>
      <c r="CN525" s="182"/>
      <c r="CO525" s="182"/>
      <c r="CP525" s="182"/>
      <c r="CQ525" s="182"/>
      <c r="CR525" s="182"/>
      <c r="CS525" s="182"/>
      <c r="CT525" s="182"/>
      <c r="CU525" s="182"/>
      <c r="CV525" s="182"/>
      <c r="CW525" s="182"/>
      <c r="CX525" s="182"/>
      <c r="CY525" s="182"/>
      <c r="CZ525" s="182"/>
      <c r="DA525" s="182"/>
      <c r="DB525" s="182"/>
      <c r="DC525" s="182"/>
      <c r="DD525" s="182"/>
      <c r="DE525" s="182"/>
      <c r="DF525" s="182"/>
      <c r="DG525" s="182"/>
      <c r="DH525" s="182"/>
      <c r="DI525" s="182"/>
      <c r="DJ525" s="182"/>
      <c r="DK525" s="182"/>
      <c r="DL525" s="182"/>
      <c r="DM525" s="182"/>
      <c r="DN525" s="182"/>
      <c r="DO525" s="182"/>
      <c r="DP525" s="182"/>
      <c r="DQ525" s="182"/>
      <c r="DR525" s="182"/>
      <c r="DS525" s="182"/>
      <c r="DT525" s="182"/>
      <c r="DU525" s="182"/>
      <c r="DV525" s="182"/>
      <c r="DW525" s="182"/>
      <c r="DX525" s="182"/>
      <c r="DY525" s="182"/>
      <c r="DZ525" s="182"/>
      <c r="EA525" s="182"/>
      <c r="EB525" s="182"/>
      <c r="EC525" s="182"/>
      <c r="ED525" s="182"/>
      <c r="EE525" s="182"/>
      <c r="EF525" s="182"/>
      <c r="EG525" s="182"/>
      <c r="EH525" s="182"/>
      <c r="EI525" s="182"/>
      <c r="EJ525" s="182"/>
      <c r="EK525" s="182"/>
      <c r="EL525" s="182"/>
      <c r="EM525" s="182"/>
      <c r="EN525" s="182"/>
      <c r="EO525" s="182"/>
      <c r="EP525" s="182"/>
      <c r="EQ525" s="182"/>
      <c r="ER525" s="182"/>
      <c r="ES525" s="182"/>
      <c r="ET525" s="182"/>
      <c r="EU525" s="182"/>
      <c r="EV525" s="182"/>
      <c r="EW525" s="182"/>
      <c r="EX525" s="182"/>
      <c r="EY525" s="182"/>
      <c r="EZ525" s="182"/>
      <c r="FA525" s="182"/>
      <c r="FB525" s="182"/>
      <c r="FC525" s="182"/>
      <c r="FD525" s="182"/>
      <c r="FE525" s="182"/>
      <c r="FF525" s="182"/>
      <c r="FG525" s="182"/>
      <c r="FH525" s="182"/>
      <c r="FI525" s="182"/>
      <c r="FJ525" s="182"/>
      <c r="FK525" s="182"/>
      <c r="FL525" s="182"/>
      <c r="FM525" s="182"/>
      <c r="FN525" s="182"/>
      <c r="FO525" s="182"/>
      <c r="FP525" s="182"/>
      <c r="FQ525" s="182"/>
      <c r="FR525" s="182"/>
      <c r="FS525" s="182"/>
      <c r="FT525" s="182"/>
      <c r="FU525" s="182"/>
      <c r="FV525" s="182"/>
      <c r="FW525" s="182"/>
      <c r="FX525" s="182"/>
      <c r="FY525" s="182"/>
      <c r="FZ525" s="182"/>
      <c r="GA525" s="182"/>
      <c r="GB525" s="182"/>
      <c r="GC525" s="182"/>
      <c r="GD525" s="182"/>
      <c r="GE525" s="182"/>
      <c r="GF525" s="182"/>
      <c r="GG525" s="182"/>
      <c r="GH525" s="182"/>
      <c r="GI525" s="182"/>
    </row>
    <row r="526" spans="1:191" s="183" customFormat="1" x14ac:dyDescent="0.2">
      <c r="A526" s="210" t="s">
        <v>38193</v>
      </c>
      <c r="B526" s="210" t="s">
        <v>1660</v>
      </c>
      <c r="C526" s="224" t="s">
        <v>13462</v>
      </c>
      <c r="D526" s="211" t="s">
        <v>16</v>
      </c>
      <c r="E526" s="211">
        <v>1</v>
      </c>
      <c r="F526" s="211"/>
      <c r="G526" s="211"/>
      <c r="H526" s="231">
        <v>5</v>
      </c>
      <c r="I526" s="213">
        <f t="shared" si="35"/>
        <v>1.6666666666666666E-2</v>
      </c>
      <c r="J526" s="272">
        <v>155.13999999999999</v>
      </c>
      <c r="K526" s="113"/>
      <c r="L526" s="213"/>
      <c r="M526" s="112">
        <f t="shared" si="36"/>
        <v>2.59</v>
      </c>
      <c r="N526" s="112">
        <f t="shared" si="37"/>
        <v>77.7</v>
      </c>
      <c r="O526" s="114"/>
      <c r="P526" s="113"/>
      <c r="R526" s="203"/>
      <c r="S526" s="182"/>
      <c r="T526" s="182"/>
      <c r="U526" s="182"/>
      <c r="V526" s="182"/>
      <c r="W526" s="182"/>
      <c r="X526" s="182"/>
      <c r="Y526" s="182"/>
      <c r="Z526" s="182"/>
      <c r="AA526" s="182"/>
      <c r="AB526" s="182"/>
      <c r="AC526" s="182"/>
      <c r="AD526" s="182"/>
      <c r="AE526" s="182"/>
      <c r="AF526" s="182"/>
      <c r="AG526" s="182"/>
      <c r="AH526" s="182"/>
      <c r="AI526" s="182"/>
      <c r="AJ526" s="182"/>
      <c r="AK526" s="182"/>
      <c r="AL526" s="182"/>
      <c r="AM526" s="182"/>
      <c r="AN526" s="182"/>
      <c r="AO526" s="182"/>
      <c r="AP526" s="182"/>
      <c r="AQ526" s="182"/>
      <c r="AR526" s="182"/>
      <c r="AS526" s="182"/>
      <c r="AT526" s="182"/>
      <c r="AU526" s="182"/>
      <c r="AV526" s="182"/>
      <c r="AW526" s="182"/>
      <c r="AX526" s="182"/>
      <c r="AY526" s="182"/>
      <c r="AZ526" s="182"/>
      <c r="BA526" s="182"/>
      <c r="BB526" s="182"/>
      <c r="BC526" s="182"/>
      <c r="BD526" s="182"/>
      <c r="BE526" s="182"/>
      <c r="BF526" s="182"/>
      <c r="BG526" s="182"/>
      <c r="BH526" s="182"/>
      <c r="BI526" s="182"/>
      <c r="BJ526" s="182"/>
      <c r="BK526" s="182"/>
      <c r="BL526" s="182"/>
      <c r="BM526" s="182"/>
      <c r="BN526" s="182"/>
      <c r="BO526" s="182"/>
      <c r="BP526" s="182"/>
      <c r="BQ526" s="182"/>
      <c r="BR526" s="182"/>
      <c r="BS526" s="182"/>
      <c r="BT526" s="182"/>
      <c r="BU526" s="182"/>
      <c r="BV526" s="182"/>
      <c r="BW526" s="182"/>
      <c r="BX526" s="182"/>
      <c r="BY526" s="182"/>
      <c r="BZ526" s="182"/>
      <c r="CA526" s="182"/>
      <c r="CB526" s="182"/>
      <c r="CC526" s="182"/>
      <c r="CD526" s="182"/>
      <c r="CE526" s="182"/>
      <c r="CF526" s="182"/>
      <c r="CG526" s="182"/>
      <c r="CH526" s="182"/>
      <c r="CI526" s="182"/>
      <c r="CJ526" s="182"/>
      <c r="CK526" s="182"/>
      <c r="CL526" s="182"/>
      <c r="CM526" s="182"/>
      <c r="CN526" s="182"/>
      <c r="CO526" s="182"/>
      <c r="CP526" s="182"/>
      <c r="CQ526" s="182"/>
      <c r="CR526" s="182"/>
      <c r="CS526" s="182"/>
      <c r="CT526" s="182"/>
      <c r="CU526" s="182"/>
      <c r="CV526" s="182"/>
      <c r="CW526" s="182"/>
      <c r="CX526" s="182"/>
      <c r="CY526" s="182"/>
      <c r="CZ526" s="182"/>
      <c r="DA526" s="182"/>
      <c r="DB526" s="182"/>
      <c r="DC526" s="182"/>
      <c r="DD526" s="182"/>
      <c r="DE526" s="182"/>
      <c r="DF526" s="182"/>
      <c r="DG526" s="182"/>
      <c r="DH526" s="182"/>
      <c r="DI526" s="182"/>
      <c r="DJ526" s="182"/>
      <c r="DK526" s="182"/>
      <c r="DL526" s="182"/>
      <c r="DM526" s="182"/>
      <c r="DN526" s="182"/>
      <c r="DO526" s="182"/>
      <c r="DP526" s="182"/>
      <c r="DQ526" s="182"/>
      <c r="DR526" s="182"/>
      <c r="DS526" s="182"/>
      <c r="DT526" s="182"/>
      <c r="DU526" s="182"/>
      <c r="DV526" s="182"/>
      <c r="DW526" s="182"/>
      <c r="DX526" s="182"/>
      <c r="DY526" s="182"/>
      <c r="DZ526" s="182"/>
      <c r="EA526" s="182"/>
      <c r="EB526" s="182"/>
      <c r="EC526" s="182"/>
      <c r="ED526" s="182"/>
      <c r="EE526" s="182"/>
      <c r="EF526" s="182"/>
      <c r="EG526" s="182"/>
      <c r="EH526" s="182"/>
      <c r="EI526" s="182"/>
      <c r="EJ526" s="182"/>
      <c r="EK526" s="182"/>
      <c r="EL526" s="182"/>
      <c r="EM526" s="182"/>
      <c r="EN526" s="182"/>
      <c r="EO526" s="182"/>
      <c r="EP526" s="182"/>
      <c r="EQ526" s="182"/>
      <c r="ER526" s="182"/>
      <c r="ES526" s="182"/>
      <c r="ET526" s="182"/>
      <c r="EU526" s="182"/>
      <c r="EV526" s="182"/>
      <c r="EW526" s="182"/>
      <c r="EX526" s="182"/>
      <c r="EY526" s="182"/>
      <c r="EZ526" s="182"/>
      <c r="FA526" s="182"/>
      <c r="FB526" s="182"/>
      <c r="FC526" s="182"/>
      <c r="FD526" s="182"/>
      <c r="FE526" s="182"/>
      <c r="FF526" s="182"/>
      <c r="FG526" s="182"/>
      <c r="FH526" s="182"/>
      <c r="FI526" s="182"/>
      <c r="FJ526" s="182"/>
      <c r="FK526" s="182"/>
      <c r="FL526" s="182"/>
      <c r="FM526" s="182"/>
      <c r="FN526" s="182"/>
      <c r="FO526" s="182"/>
      <c r="FP526" s="182"/>
      <c r="FQ526" s="182"/>
      <c r="FR526" s="182"/>
      <c r="FS526" s="182"/>
      <c r="FT526" s="182"/>
      <c r="FU526" s="182"/>
      <c r="FV526" s="182"/>
      <c r="FW526" s="182"/>
      <c r="FX526" s="182"/>
      <c r="FY526" s="182"/>
      <c r="FZ526" s="182"/>
      <c r="GA526" s="182"/>
      <c r="GB526" s="182"/>
      <c r="GC526" s="182"/>
      <c r="GD526" s="182"/>
      <c r="GE526" s="182"/>
      <c r="GF526" s="182"/>
      <c r="GG526" s="182"/>
      <c r="GH526" s="182"/>
      <c r="GI526" s="182"/>
    </row>
    <row r="527" spans="1:191" s="183" customFormat="1" x14ac:dyDescent="0.2">
      <c r="A527" s="210" t="s">
        <v>38194</v>
      </c>
      <c r="B527" s="210" t="s">
        <v>1662</v>
      </c>
      <c r="C527" s="224" t="s">
        <v>1663</v>
      </c>
      <c r="D527" s="211" t="s">
        <v>16</v>
      </c>
      <c r="E527" s="211">
        <v>1</v>
      </c>
      <c r="F527" s="211"/>
      <c r="G527" s="211"/>
      <c r="H527" s="231">
        <v>10</v>
      </c>
      <c r="I527" s="213">
        <f t="shared" si="35"/>
        <v>8.3333333333333332E-3</v>
      </c>
      <c r="J527" s="272">
        <v>1472.15</v>
      </c>
      <c r="K527" s="113"/>
      <c r="L527" s="213"/>
      <c r="M527" s="112">
        <f t="shared" si="36"/>
        <v>12.27</v>
      </c>
      <c r="N527" s="112">
        <f t="shared" si="37"/>
        <v>368.1</v>
      </c>
      <c r="O527" s="114"/>
      <c r="P527" s="113"/>
      <c r="R527" s="203"/>
      <c r="S527" s="182"/>
      <c r="T527" s="182"/>
      <c r="U527" s="182"/>
      <c r="V527" s="182"/>
      <c r="W527" s="182"/>
      <c r="X527" s="182"/>
      <c r="Y527" s="182"/>
      <c r="Z527" s="182"/>
      <c r="AA527" s="182"/>
      <c r="AB527" s="182"/>
      <c r="AC527" s="182"/>
      <c r="AD527" s="182"/>
      <c r="AE527" s="182"/>
      <c r="AF527" s="182"/>
      <c r="AG527" s="182"/>
      <c r="AH527" s="182"/>
      <c r="AI527" s="182"/>
      <c r="AJ527" s="182"/>
      <c r="AK527" s="182"/>
      <c r="AL527" s="182"/>
      <c r="AM527" s="182"/>
      <c r="AN527" s="182"/>
      <c r="AO527" s="182"/>
      <c r="AP527" s="182"/>
      <c r="AQ527" s="182"/>
      <c r="AR527" s="182"/>
      <c r="AS527" s="182"/>
      <c r="AT527" s="182"/>
      <c r="AU527" s="182"/>
      <c r="AV527" s="182"/>
      <c r="AW527" s="182"/>
      <c r="AX527" s="182"/>
      <c r="AY527" s="182"/>
      <c r="AZ527" s="182"/>
      <c r="BA527" s="182"/>
      <c r="BB527" s="182"/>
      <c r="BC527" s="182"/>
      <c r="BD527" s="182"/>
      <c r="BE527" s="182"/>
      <c r="BF527" s="182"/>
      <c r="BG527" s="182"/>
      <c r="BH527" s="182"/>
      <c r="BI527" s="182"/>
      <c r="BJ527" s="182"/>
      <c r="BK527" s="182"/>
      <c r="BL527" s="182"/>
      <c r="BM527" s="182"/>
      <c r="BN527" s="182"/>
      <c r="BO527" s="182"/>
      <c r="BP527" s="182"/>
      <c r="BQ527" s="182"/>
      <c r="BR527" s="182"/>
      <c r="BS527" s="182"/>
      <c r="BT527" s="182"/>
      <c r="BU527" s="182"/>
      <c r="BV527" s="182"/>
      <c r="BW527" s="182"/>
      <c r="BX527" s="182"/>
      <c r="BY527" s="182"/>
      <c r="BZ527" s="182"/>
      <c r="CA527" s="182"/>
      <c r="CB527" s="182"/>
      <c r="CC527" s="182"/>
      <c r="CD527" s="182"/>
      <c r="CE527" s="182"/>
      <c r="CF527" s="182"/>
      <c r="CG527" s="182"/>
      <c r="CH527" s="182"/>
      <c r="CI527" s="182"/>
      <c r="CJ527" s="182"/>
      <c r="CK527" s="182"/>
      <c r="CL527" s="182"/>
      <c r="CM527" s="182"/>
      <c r="CN527" s="182"/>
      <c r="CO527" s="182"/>
      <c r="CP527" s="182"/>
      <c r="CQ527" s="182"/>
      <c r="CR527" s="182"/>
      <c r="CS527" s="182"/>
      <c r="CT527" s="182"/>
      <c r="CU527" s="182"/>
      <c r="CV527" s="182"/>
      <c r="CW527" s="182"/>
      <c r="CX527" s="182"/>
      <c r="CY527" s="182"/>
      <c r="CZ527" s="182"/>
      <c r="DA527" s="182"/>
      <c r="DB527" s="182"/>
      <c r="DC527" s="182"/>
      <c r="DD527" s="182"/>
      <c r="DE527" s="182"/>
      <c r="DF527" s="182"/>
      <c r="DG527" s="182"/>
      <c r="DH527" s="182"/>
      <c r="DI527" s="182"/>
      <c r="DJ527" s="182"/>
      <c r="DK527" s="182"/>
      <c r="DL527" s="182"/>
      <c r="DM527" s="182"/>
      <c r="DN527" s="182"/>
      <c r="DO527" s="182"/>
      <c r="DP527" s="182"/>
      <c r="DQ527" s="182"/>
      <c r="DR527" s="182"/>
      <c r="DS527" s="182"/>
      <c r="DT527" s="182"/>
      <c r="DU527" s="182"/>
      <c r="DV527" s="182"/>
      <c r="DW527" s="182"/>
      <c r="DX527" s="182"/>
      <c r="DY527" s="182"/>
      <c r="DZ527" s="182"/>
      <c r="EA527" s="182"/>
      <c r="EB527" s="182"/>
      <c r="EC527" s="182"/>
      <c r="ED527" s="182"/>
      <c r="EE527" s="182"/>
      <c r="EF527" s="182"/>
      <c r="EG527" s="182"/>
      <c r="EH527" s="182"/>
      <c r="EI527" s="182"/>
      <c r="EJ527" s="182"/>
      <c r="EK527" s="182"/>
      <c r="EL527" s="182"/>
      <c r="EM527" s="182"/>
      <c r="EN527" s="182"/>
      <c r="EO527" s="182"/>
      <c r="EP527" s="182"/>
      <c r="EQ527" s="182"/>
      <c r="ER527" s="182"/>
      <c r="ES527" s="182"/>
      <c r="ET527" s="182"/>
      <c r="EU527" s="182"/>
      <c r="EV527" s="182"/>
      <c r="EW527" s="182"/>
      <c r="EX527" s="182"/>
      <c r="EY527" s="182"/>
      <c r="EZ527" s="182"/>
      <c r="FA527" s="182"/>
      <c r="FB527" s="182"/>
      <c r="FC527" s="182"/>
      <c r="FD527" s="182"/>
      <c r="FE527" s="182"/>
      <c r="FF527" s="182"/>
      <c r="FG527" s="182"/>
      <c r="FH527" s="182"/>
      <c r="FI527" s="182"/>
      <c r="FJ527" s="182"/>
      <c r="FK527" s="182"/>
      <c r="FL527" s="182"/>
      <c r="FM527" s="182"/>
      <c r="FN527" s="182"/>
      <c r="FO527" s="182"/>
      <c r="FP527" s="182"/>
      <c r="FQ527" s="182"/>
      <c r="FR527" s="182"/>
      <c r="FS527" s="182"/>
      <c r="FT527" s="182"/>
      <c r="FU527" s="182"/>
      <c r="FV527" s="182"/>
      <c r="FW527" s="182"/>
      <c r="FX527" s="182"/>
      <c r="FY527" s="182"/>
      <c r="FZ527" s="182"/>
      <c r="GA527" s="182"/>
      <c r="GB527" s="182"/>
      <c r="GC527" s="182"/>
      <c r="GD527" s="182"/>
      <c r="GE527" s="182"/>
      <c r="GF527" s="182"/>
      <c r="GG527" s="182"/>
      <c r="GH527" s="182"/>
      <c r="GI527" s="182"/>
    </row>
    <row r="528" spans="1:191" s="183" customFormat="1" x14ac:dyDescent="0.2">
      <c r="A528" s="210" t="s">
        <v>38195</v>
      </c>
      <c r="B528" s="210" t="s">
        <v>1664</v>
      </c>
      <c r="C528" s="224" t="s">
        <v>19750</v>
      </c>
      <c r="D528" s="211" t="s">
        <v>16</v>
      </c>
      <c r="E528" s="211">
        <v>1</v>
      </c>
      <c r="F528" s="211"/>
      <c r="G528" s="211"/>
      <c r="H528" s="231">
        <v>10</v>
      </c>
      <c r="I528" s="213">
        <f t="shared" si="35"/>
        <v>8.3333333333333332E-3</v>
      </c>
      <c r="J528" s="272">
        <v>2499</v>
      </c>
      <c r="K528" s="113"/>
      <c r="L528" s="213"/>
      <c r="M528" s="112">
        <f t="shared" si="36"/>
        <v>20.83</v>
      </c>
      <c r="N528" s="112">
        <f t="shared" si="37"/>
        <v>624.9</v>
      </c>
      <c r="O528" s="114"/>
      <c r="P528" s="113"/>
      <c r="R528" s="203"/>
      <c r="S528" s="182"/>
      <c r="T528" s="182"/>
      <c r="U528" s="182"/>
      <c r="V528" s="182"/>
      <c r="W528" s="182"/>
      <c r="X528" s="182"/>
      <c r="Y528" s="182"/>
      <c r="Z528" s="182"/>
      <c r="AA528" s="182"/>
      <c r="AB528" s="182"/>
      <c r="AC528" s="182"/>
      <c r="AD528" s="182"/>
      <c r="AE528" s="182"/>
      <c r="AF528" s="182"/>
      <c r="AG528" s="182"/>
      <c r="AH528" s="182"/>
      <c r="AI528" s="182"/>
      <c r="AJ528" s="182"/>
      <c r="AK528" s="182"/>
      <c r="AL528" s="182"/>
      <c r="AM528" s="182"/>
      <c r="AN528" s="182"/>
      <c r="AO528" s="182"/>
      <c r="AP528" s="182"/>
      <c r="AQ528" s="182"/>
      <c r="AR528" s="182"/>
      <c r="AS528" s="182"/>
      <c r="AT528" s="182"/>
      <c r="AU528" s="182"/>
      <c r="AV528" s="182"/>
      <c r="AW528" s="182"/>
      <c r="AX528" s="182"/>
      <c r="AY528" s="182"/>
      <c r="AZ528" s="182"/>
      <c r="BA528" s="182"/>
      <c r="BB528" s="182"/>
      <c r="BC528" s="182"/>
      <c r="BD528" s="182"/>
      <c r="BE528" s="182"/>
      <c r="BF528" s="182"/>
      <c r="BG528" s="182"/>
      <c r="BH528" s="182"/>
      <c r="BI528" s="182"/>
      <c r="BJ528" s="182"/>
      <c r="BK528" s="182"/>
      <c r="BL528" s="182"/>
      <c r="BM528" s="182"/>
      <c r="BN528" s="182"/>
      <c r="BO528" s="182"/>
      <c r="BP528" s="182"/>
      <c r="BQ528" s="182"/>
      <c r="BR528" s="182"/>
      <c r="BS528" s="182"/>
      <c r="BT528" s="182"/>
      <c r="BU528" s="182"/>
      <c r="BV528" s="182"/>
      <c r="BW528" s="182"/>
      <c r="BX528" s="182"/>
      <c r="BY528" s="182"/>
      <c r="BZ528" s="182"/>
      <c r="CA528" s="182"/>
      <c r="CB528" s="182"/>
      <c r="CC528" s="182"/>
      <c r="CD528" s="182"/>
      <c r="CE528" s="182"/>
      <c r="CF528" s="182"/>
      <c r="CG528" s="182"/>
      <c r="CH528" s="182"/>
      <c r="CI528" s="182"/>
      <c r="CJ528" s="182"/>
      <c r="CK528" s="182"/>
      <c r="CL528" s="182"/>
      <c r="CM528" s="182"/>
      <c r="CN528" s="182"/>
      <c r="CO528" s="182"/>
      <c r="CP528" s="182"/>
      <c r="CQ528" s="182"/>
      <c r="CR528" s="182"/>
      <c r="CS528" s="182"/>
      <c r="CT528" s="182"/>
      <c r="CU528" s="182"/>
      <c r="CV528" s="182"/>
      <c r="CW528" s="182"/>
      <c r="CX528" s="182"/>
      <c r="CY528" s="182"/>
      <c r="CZ528" s="182"/>
      <c r="DA528" s="182"/>
      <c r="DB528" s="182"/>
      <c r="DC528" s="182"/>
      <c r="DD528" s="182"/>
      <c r="DE528" s="182"/>
      <c r="DF528" s="182"/>
      <c r="DG528" s="182"/>
      <c r="DH528" s="182"/>
      <c r="DI528" s="182"/>
      <c r="DJ528" s="182"/>
      <c r="DK528" s="182"/>
      <c r="DL528" s="182"/>
      <c r="DM528" s="182"/>
      <c r="DN528" s="182"/>
      <c r="DO528" s="182"/>
      <c r="DP528" s="182"/>
      <c r="DQ528" s="182"/>
      <c r="DR528" s="182"/>
      <c r="DS528" s="182"/>
      <c r="DT528" s="182"/>
      <c r="DU528" s="182"/>
      <c r="DV528" s="182"/>
      <c r="DW528" s="182"/>
      <c r="DX528" s="182"/>
      <c r="DY528" s="182"/>
      <c r="DZ528" s="182"/>
      <c r="EA528" s="182"/>
      <c r="EB528" s="182"/>
      <c r="EC528" s="182"/>
      <c r="ED528" s="182"/>
      <c r="EE528" s="182"/>
      <c r="EF528" s="182"/>
      <c r="EG528" s="182"/>
      <c r="EH528" s="182"/>
      <c r="EI528" s="182"/>
      <c r="EJ528" s="182"/>
      <c r="EK528" s="182"/>
      <c r="EL528" s="182"/>
      <c r="EM528" s="182"/>
      <c r="EN528" s="182"/>
      <c r="EO528" s="182"/>
      <c r="EP528" s="182"/>
      <c r="EQ528" s="182"/>
      <c r="ER528" s="182"/>
      <c r="ES528" s="182"/>
      <c r="ET528" s="182"/>
      <c r="EU528" s="182"/>
      <c r="EV528" s="182"/>
      <c r="EW528" s="182"/>
      <c r="EX528" s="182"/>
      <c r="EY528" s="182"/>
      <c r="EZ528" s="182"/>
      <c r="FA528" s="182"/>
      <c r="FB528" s="182"/>
      <c r="FC528" s="182"/>
      <c r="FD528" s="182"/>
      <c r="FE528" s="182"/>
      <c r="FF528" s="182"/>
      <c r="FG528" s="182"/>
      <c r="FH528" s="182"/>
      <c r="FI528" s="182"/>
      <c r="FJ528" s="182"/>
      <c r="FK528" s="182"/>
      <c r="FL528" s="182"/>
      <c r="FM528" s="182"/>
      <c r="FN528" s="182"/>
      <c r="FO528" s="182"/>
      <c r="FP528" s="182"/>
      <c r="FQ528" s="182"/>
      <c r="FR528" s="182"/>
      <c r="FS528" s="182"/>
      <c r="FT528" s="182"/>
      <c r="FU528" s="182"/>
      <c r="FV528" s="182"/>
      <c r="FW528" s="182"/>
      <c r="FX528" s="182"/>
      <c r="FY528" s="182"/>
      <c r="FZ528" s="182"/>
      <c r="GA528" s="182"/>
      <c r="GB528" s="182"/>
      <c r="GC528" s="182"/>
      <c r="GD528" s="182"/>
      <c r="GE528" s="182"/>
      <c r="GF528" s="182"/>
      <c r="GG528" s="182"/>
      <c r="GH528" s="182"/>
      <c r="GI528" s="182"/>
    </row>
    <row r="529" spans="1:191" s="183" customFormat="1" x14ac:dyDescent="0.2">
      <c r="A529" s="210" t="s">
        <v>38196</v>
      </c>
      <c r="B529" s="210" t="s">
        <v>1673</v>
      </c>
      <c r="C529" s="224" t="s">
        <v>1674</v>
      </c>
      <c r="D529" s="211" t="s">
        <v>16</v>
      </c>
      <c r="E529" s="211">
        <v>5</v>
      </c>
      <c r="F529" s="211"/>
      <c r="G529" s="211"/>
      <c r="H529" s="231">
        <v>5</v>
      </c>
      <c r="I529" s="213">
        <f t="shared" si="35"/>
        <v>1.6666666666666666E-2</v>
      </c>
      <c r="J529" s="272">
        <v>764.99</v>
      </c>
      <c r="K529" s="113"/>
      <c r="L529" s="213"/>
      <c r="M529" s="112">
        <f t="shared" si="36"/>
        <v>63.75</v>
      </c>
      <c r="N529" s="112">
        <f t="shared" si="37"/>
        <v>1912.5</v>
      </c>
      <c r="O529" s="114"/>
      <c r="P529" s="113"/>
      <c r="R529" s="203"/>
      <c r="S529" s="182"/>
      <c r="T529" s="182"/>
      <c r="U529" s="182"/>
      <c r="V529" s="182"/>
      <c r="W529" s="182"/>
      <c r="X529" s="182"/>
      <c r="Y529" s="182"/>
      <c r="Z529" s="182"/>
      <c r="AA529" s="182"/>
      <c r="AB529" s="182"/>
      <c r="AC529" s="182"/>
      <c r="AD529" s="182"/>
      <c r="AE529" s="182"/>
      <c r="AF529" s="182"/>
      <c r="AG529" s="182"/>
      <c r="AH529" s="182"/>
      <c r="AI529" s="182"/>
      <c r="AJ529" s="182"/>
      <c r="AK529" s="182"/>
      <c r="AL529" s="182"/>
      <c r="AM529" s="182"/>
      <c r="AN529" s="182"/>
      <c r="AO529" s="182"/>
      <c r="AP529" s="182"/>
      <c r="AQ529" s="182"/>
      <c r="AR529" s="182"/>
      <c r="AS529" s="182"/>
      <c r="AT529" s="182"/>
      <c r="AU529" s="182"/>
      <c r="AV529" s="182"/>
      <c r="AW529" s="182"/>
      <c r="AX529" s="182"/>
      <c r="AY529" s="182"/>
      <c r="AZ529" s="182"/>
      <c r="BA529" s="182"/>
      <c r="BB529" s="182"/>
      <c r="BC529" s="182"/>
      <c r="BD529" s="182"/>
      <c r="BE529" s="182"/>
      <c r="BF529" s="182"/>
      <c r="BG529" s="182"/>
      <c r="BH529" s="182"/>
      <c r="BI529" s="182"/>
      <c r="BJ529" s="182"/>
      <c r="BK529" s="182"/>
      <c r="BL529" s="182"/>
      <c r="BM529" s="182"/>
      <c r="BN529" s="182"/>
      <c r="BO529" s="182"/>
      <c r="BP529" s="182"/>
      <c r="BQ529" s="182"/>
      <c r="BR529" s="182"/>
      <c r="BS529" s="182"/>
      <c r="BT529" s="182"/>
      <c r="BU529" s="182"/>
      <c r="BV529" s="182"/>
      <c r="BW529" s="182"/>
      <c r="BX529" s="182"/>
      <c r="BY529" s="182"/>
      <c r="BZ529" s="182"/>
      <c r="CA529" s="182"/>
      <c r="CB529" s="182"/>
      <c r="CC529" s="182"/>
      <c r="CD529" s="182"/>
      <c r="CE529" s="182"/>
      <c r="CF529" s="182"/>
      <c r="CG529" s="182"/>
      <c r="CH529" s="182"/>
      <c r="CI529" s="182"/>
      <c r="CJ529" s="182"/>
      <c r="CK529" s="182"/>
      <c r="CL529" s="182"/>
      <c r="CM529" s="182"/>
      <c r="CN529" s="182"/>
      <c r="CO529" s="182"/>
      <c r="CP529" s="182"/>
      <c r="CQ529" s="182"/>
      <c r="CR529" s="182"/>
      <c r="CS529" s="182"/>
      <c r="CT529" s="182"/>
      <c r="CU529" s="182"/>
      <c r="CV529" s="182"/>
      <c r="CW529" s="182"/>
      <c r="CX529" s="182"/>
      <c r="CY529" s="182"/>
      <c r="CZ529" s="182"/>
      <c r="DA529" s="182"/>
      <c r="DB529" s="182"/>
      <c r="DC529" s="182"/>
      <c r="DD529" s="182"/>
      <c r="DE529" s="182"/>
      <c r="DF529" s="182"/>
      <c r="DG529" s="182"/>
      <c r="DH529" s="182"/>
      <c r="DI529" s="182"/>
      <c r="DJ529" s="182"/>
      <c r="DK529" s="182"/>
      <c r="DL529" s="182"/>
      <c r="DM529" s="182"/>
      <c r="DN529" s="182"/>
      <c r="DO529" s="182"/>
      <c r="DP529" s="182"/>
      <c r="DQ529" s="182"/>
      <c r="DR529" s="182"/>
      <c r="DS529" s="182"/>
      <c r="DT529" s="182"/>
      <c r="DU529" s="182"/>
      <c r="DV529" s="182"/>
      <c r="DW529" s="182"/>
      <c r="DX529" s="182"/>
      <c r="DY529" s="182"/>
      <c r="DZ529" s="182"/>
      <c r="EA529" s="182"/>
      <c r="EB529" s="182"/>
      <c r="EC529" s="182"/>
      <c r="ED529" s="182"/>
      <c r="EE529" s="182"/>
      <c r="EF529" s="182"/>
      <c r="EG529" s="182"/>
      <c r="EH529" s="182"/>
      <c r="EI529" s="182"/>
      <c r="EJ529" s="182"/>
      <c r="EK529" s="182"/>
      <c r="EL529" s="182"/>
      <c r="EM529" s="182"/>
      <c r="EN529" s="182"/>
      <c r="EO529" s="182"/>
      <c r="EP529" s="182"/>
      <c r="EQ529" s="182"/>
      <c r="ER529" s="182"/>
      <c r="ES529" s="182"/>
      <c r="ET529" s="182"/>
      <c r="EU529" s="182"/>
      <c r="EV529" s="182"/>
      <c r="EW529" s="182"/>
      <c r="EX529" s="182"/>
      <c r="EY529" s="182"/>
      <c r="EZ529" s="182"/>
      <c r="FA529" s="182"/>
      <c r="FB529" s="182"/>
      <c r="FC529" s="182"/>
      <c r="FD529" s="182"/>
      <c r="FE529" s="182"/>
      <c r="FF529" s="182"/>
      <c r="FG529" s="182"/>
      <c r="FH529" s="182"/>
      <c r="FI529" s="182"/>
      <c r="FJ529" s="182"/>
      <c r="FK529" s="182"/>
      <c r="FL529" s="182"/>
      <c r="FM529" s="182"/>
      <c r="FN529" s="182"/>
      <c r="FO529" s="182"/>
      <c r="FP529" s="182"/>
      <c r="FQ529" s="182"/>
      <c r="FR529" s="182"/>
      <c r="FS529" s="182"/>
      <c r="FT529" s="182"/>
      <c r="FU529" s="182"/>
      <c r="FV529" s="182"/>
      <c r="FW529" s="182"/>
      <c r="FX529" s="182"/>
      <c r="FY529" s="182"/>
      <c r="FZ529" s="182"/>
      <c r="GA529" s="182"/>
      <c r="GB529" s="182"/>
      <c r="GC529" s="182"/>
      <c r="GD529" s="182"/>
      <c r="GE529" s="182"/>
      <c r="GF529" s="182"/>
      <c r="GG529" s="182"/>
      <c r="GH529" s="182"/>
      <c r="GI529" s="182"/>
    </row>
    <row r="530" spans="1:191" s="183" customFormat="1" x14ac:dyDescent="0.2">
      <c r="A530" s="210" t="s">
        <v>38197</v>
      </c>
      <c r="B530" s="210" t="s">
        <v>1676</v>
      </c>
      <c r="C530" s="224" t="s">
        <v>13501</v>
      </c>
      <c r="D530" s="211" t="s">
        <v>16</v>
      </c>
      <c r="E530" s="211">
        <v>10</v>
      </c>
      <c r="F530" s="211"/>
      <c r="G530" s="211"/>
      <c r="H530" s="231">
        <v>5</v>
      </c>
      <c r="I530" s="213">
        <f t="shared" si="35"/>
        <v>1.6666666666666666E-2</v>
      </c>
      <c r="J530" s="272">
        <v>214.13</v>
      </c>
      <c r="K530" s="113"/>
      <c r="L530" s="213"/>
      <c r="M530" s="112">
        <f t="shared" si="36"/>
        <v>35.69</v>
      </c>
      <c r="N530" s="112">
        <f t="shared" si="37"/>
        <v>1070.7</v>
      </c>
      <c r="O530" s="114"/>
      <c r="P530" s="113"/>
      <c r="R530" s="203"/>
      <c r="S530" s="182"/>
      <c r="T530" s="182"/>
      <c r="U530" s="182"/>
      <c r="V530" s="182"/>
      <c r="W530" s="182"/>
      <c r="X530" s="182"/>
      <c r="Y530" s="182"/>
      <c r="Z530" s="182"/>
      <c r="AA530" s="182"/>
      <c r="AB530" s="182"/>
      <c r="AC530" s="182"/>
      <c r="AD530" s="182"/>
      <c r="AE530" s="182"/>
      <c r="AF530" s="182"/>
      <c r="AG530" s="182"/>
      <c r="AH530" s="182"/>
      <c r="AI530" s="182"/>
      <c r="AJ530" s="182"/>
      <c r="AK530" s="182"/>
      <c r="AL530" s="182"/>
      <c r="AM530" s="182"/>
      <c r="AN530" s="182"/>
      <c r="AO530" s="182"/>
      <c r="AP530" s="182"/>
      <c r="AQ530" s="182"/>
      <c r="AR530" s="182"/>
      <c r="AS530" s="182"/>
      <c r="AT530" s="182"/>
      <c r="AU530" s="182"/>
      <c r="AV530" s="182"/>
      <c r="AW530" s="182"/>
      <c r="AX530" s="182"/>
      <c r="AY530" s="182"/>
      <c r="AZ530" s="182"/>
      <c r="BA530" s="182"/>
      <c r="BB530" s="182"/>
      <c r="BC530" s="182"/>
      <c r="BD530" s="182"/>
      <c r="BE530" s="182"/>
      <c r="BF530" s="182"/>
      <c r="BG530" s="182"/>
      <c r="BH530" s="182"/>
      <c r="BI530" s="182"/>
      <c r="BJ530" s="182"/>
      <c r="BK530" s="182"/>
      <c r="BL530" s="182"/>
      <c r="BM530" s="182"/>
      <c r="BN530" s="182"/>
      <c r="BO530" s="182"/>
      <c r="BP530" s="182"/>
      <c r="BQ530" s="182"/>
      <c r="BR530" s="182"/>
      <c r="BS530" s="182"/>
      <c r="BT530" s="182"/>
      <c r="BU530" s="182"/>
      <c r="BV530" s="182"/>
      <c r="BW530" s="182"/>
      <c r="BX530" s="182"/>
      <c r="BY530" s="182"/>
      <c r="BZ530" s="182"/>
      <c r="CA530" s="182"/>
      <c r="CB530" s="182"/>
      <c r="CC530" s="182"/>
      <c r="CD530" s="182"/>
      <c r="CE530" s="182"/>
      <c r="CF530" s="182"/>
      <c r="CG530" s="182"/>
      <c r="CH530" s="182"/>
      <c r="CI530" s="182"/>
      <c r="CJ530" s="182"/>
      <c r="CK530" s="182"/>
      <c r="CL530" s="182"/>
      <c r="CM530" s="182"/>
      <c r="CN530" s="182"/>
      <c r="CO530" s="182"/>
      <c r="CP530" s="182"/>
      <c r="CQ530" s="182"/>
      <c r="CR530" s="182"/>
      <c r="CS530" s="182"/>
      <c r="CT530" s="182"/>
      <c r="CU530" s="182"/>
      <c r="CV530" s="182"/>
      <c r="CW530" s="182"/>
      <c r="CX530" s="182"/>
      <c r="CY530" s="182"/>
      <c r="CZ530" s="182"/>
      <c r="DA530" s="182"/>
      <c r="DB530" s="182"/>
      <c r="DC530" s="182"/>
      <c r="DD530" s="182"/>
      <c r="DE530" s="182"/>
      <c r="DF530" s="182"/>
      <c r="DG530" s="182"/>
      <c r="DH530" s="182"/>
      <c r="DI530" s="182"/>
      <c r="DJ530" s="182"/>
      <c r="DK530" s="182"/>
      <c r="DL530" s="182"/>
      <c r="DM530" s="182"/>
      <c r="DN530" s="182"/>
      <c r="DO530" s="182"/>
      <c r="DP530" s="182"/>
      <c r="DQ530" s="182"/>
      <c r="DR530" s="182"/>
      <c r="DS530" s="182"/>
      <c r="DT530" s="182"/>
      <c r="DU530" s="182"/>
      <c r="DV530" s="182"/>
      <c r="DW530" s="182"/>
      <c r="DX530" s="182"/>
      <c r="DY530" s="182"/>
      <c r="DZ530" s="182"/>
      <c r="EA530" s="182"/>
      <c r="EB530" s="182"/>
      <c r="EC530" s="182"/>
      <c r="ED530" s="182"/>
      <c r="EE530" s="182"/>
      <c r="EF530" s="182"/>
      <c r="EG530" s="182"/>
      <c r="EH530" s="182"/>
      <c r="EI530" s="182"/>
      <c r="EJ530" s="182"/>
      <c r="EK530" s="182"/>
      <c r="EL530" s="182"/>
      <c r="EM530" s="182"/>
      <c r="EN530" s="182"/>
      <c r="EO530" s="182"/>
      <c r="EP530" s="182"/>
      <c r="EQ530" s="182"/>
      <c r="ER530" s="182"/>
      <c r="ES530" s="182"/>
      <c r="ET530" s="182"/>
      <c r="EU530" s="182"/>
      <c r="EV530" s="182"/>
      <c r="EW530" s="182"/>
      <c r="EX530" s="182"/>
      <c r="EY530" s="182"/>
      <c r="EZ530" s="182"/>
      <c r="FA530" s="182"/>
      <c r="FB530" s="182"/>
      <c r="FC530" s="182"/>
      <c r="FD530" s="182"/>
      <c r="FE530" s="182"/>
      <c r="FF530" s="182"/>
      <c r="FG530" s="182"/>
      <c r="FH530" s="182"/>
      <c r="FI530" s="182"/>
      <c r="FJ530" s="182"/>
      <c r="FK530" s="182"/>
      <c r="FL530" s="182"/>
      <c r="FM530" s="182"/>
      <c r="FN530" s="182"/>
      <c r="FO530" s="182"/>
      <c r="FP530" s="182"/>
      <c r="FQ530" s="182"/>
      <c r="FR530" s="182"/>
      <c r="FS530" s="182"/>
      <c r="FT530" s="182"/>
      <c r="FU530" s="182"/>
      <c r="FV530" s="182"/>
      <c r="FW530" s="182"/>
      <c r="FX530" s="182"/>
      <c r="FY530" s="182"/>
      <c r="FZ530" s="182"/>
      <c r="GA530" s="182"/>
      <c r="GB530" s="182"/>
      <c r="GC530" s="182"/>
      <c r="GD530" s="182"/>
      <c r="GE530" s="182"/>
      <c r="GF530" s="182"/>
      <c r="GG530" s="182"/>
      <c r="GH530" s="182"/>
      <c r="GI530" s="182"/>
    </row>
    <row r="531" spans="1:191" s="183" customFormat="1" x14ac:dyDescent="0.2">
      <c r="A531" s="210" t="s">
        <v>38198</v>
      </c>
      <c r="B531" s="210" t="s">
        <v>1677</v>
      </c>
      <c r="C531" s="224" t="s">
        <v>1678</v>
      </c>
      <c r="D531" s="211" t="s">
        <v>16</v>
      </c>
      <c r="E531" s="211">
        <v>20</v>
      </c>
      <c r="F531" s="211"/>
      <c r="G531" s="211"/>
      <c r="H531" s="231">
        <v>5</v>
      </c>
      <c r="I531" s="213">
        <f t="shared" si="35"/>
        <v>1.6666666666666666E-2</v>
      </c>
      <c r="J531" s="272">
        <v>185.51</v>
      </c>
      <c r="K531" s="113"/>
      <c r="L531" s="213"/>
      <c r="M531" s="112">
        <f t="shared" si="36"/>
        <v>61.84</v>
      </c>
      <c r="N531" s="112">
        <f t="shared" si="37"/>
        <v>1855.2</v>
      </c>
      <c r="O531" s="114"/>
      <c r="P531" s="113"/>
      <c r="R531" s="203"/>
      <c r="S531" s="182"/>
      <c r="T531" s="182"/>
      <c r="U531" s="182"/>
      <c r="V531" s="182"/>
      <c r="W531" s="182"/>
      <c r="X531" s="182"/>
      <c r="Y531" s="182"/>
      <c r="Z531" s="182"/>
      <c r="AA531" s="182"/>
      <c r="AB531" s="182"/>
      <c r="AC531" s="182"/>
      <c r="AD531" s="182"/>
      <c r="AE531" s="182"/>
      <c r="AF531" s="182"/>
      <c r="AG531" s="182"/>
      <c r="AH531" s="182"/>
      <c r="AI531" s="182"/>
      <c r="AJ531" s="182"/>
      <c r="AK531" s="182"/>
      <c r="AL531" s="182"/>
      <c r="AM531" s="182"/>
      <c r="AN531" s="182"/>
      <c r="AO531" s="182"/>
      <c r="AP531" s="182"/>
      <c r="AQ531" s="182"/>
      <c r="AR531" s="182"/>
      <c r="AS531" s="182"/>
      <c r="AT531" s="182"/>
      <c r="AU531" s="182"/>
      <c r="AV531" s="182"/>
      <c r="AW531" s="182"/>
      <c r="AX531" s="182"/>
      <c r="AY531" s="182"/>
      <c r="AZ531" s="182"/>
      <c r="BA531" s="182"/>
      <c r="BB531" s="182"/>
      <c r="BC531" s="182"/>
      <c r="BD531" s="182"/>
      <c r="BE531" s="182"/>
      <c r="BF531" s="182"/>
      <c r="BG531" s="182"/>
      <c r="BH531" s="182"/>
      <c r="BI531" s="182"/>
      <c r="BJ531" s="182"/>
      <c r="BK531" s="182"/>
      <c r="BL531" s="182"/>
      <c r="BM531" s="182"/>
      <c r="BN531" s="182"/>
      <c r="BO531" s="182"/>
      <c r="BP531" s="182"/>
      <c r="BQ531" s="182"/>
      <c r="BR531" s="182"/>
      <c r="BS531" s="182"/>
      <c r="BT531" s="182"/>
      <c r="BU531" s="182"/>
      <c r="BV531" s="182"/>
      <c r="BW531" s="182"/>
      <c r="BX531" s="182"/>
      <c r="BY531" s="182"/>
      <c r="BZ531" s="182"/>
      <c r="CA531" s="182"/>
      <c r="CB531" s="182"/>
      <c r="CC531" s="182"/>
      <c r="CD531" s="182"/>
      <c r="CE531" s="182"/>
      <c r="CF531" s="182"/>
      <c r="CG531" s="182"/>
      <c r="CH531" s="182"/>
      <c r="CI531" s="182"/>
      <c r="CJ531" s="182"/>
      <c r="CK531" s="182"/>
      <c r="CL531" s="182"/>
      <c r="CM531" s="182"/>
      <c r="CN531" s="182"/>
      <c r="CO531" s="182"/>
      <c r="CP531" s="182"/>
      <c r="CQ531" s="182"/>
      <c r="CR531" s="182"/>
      <c r="CS531" s="182"/>
      <c r="CT531" s="182"/>
      <c r="CU531" s="182"/>
      <c r="CV531" s="182"/>
      <c r="CW531" s="182"/>
      <c r="CX531" s="182"/>
      <c r="CY531" s="182"/>
      <c r="CZ531" s="182"/>
      <c r="DA531" s="182"/>
      <c r="DB531" s="182"/>
      <c r="DC531" s="182"/>
      <c r="DD531" s="182"/>
      <c r="DE531" s="182"/>
      <c r="DF531" s="182"/>
      <c r="DG531" s="182"/>
      <c r="DH531" s="182"/>
      <c r="DI531" s="182"/>
      <c r="DJ531" s="182"/>
      <c r="DK531" s="182"/>
      <c r="DL531" s="182"/>
      <c r="DM531" s="182"/>
      <c r="DN531" s="182"/>
      <c r="DO531" s="182"/>
      <c r="DP531" s="182"/>
      <c r="DQ531" s="182"/>
      <c r="DR531" s="182"/>
      <c r="DS531" s="182"/>
      <c r="DT531" s="182"/>
      <c r="DU531" s="182"/>
      <c r="DV531" s="182"/>
      <c r="DW531" s="182"/>
      <c r="DX531" s="182"/>
      <c r="DY531" s="182"/>
      <c r="DZ531" s="182"/>
      <c r="EA531" s="182"/>
      <c r="EB531" s="182"/>
      <c r="EC531" s="182"/>
      <c r="ED531" s="182"/>
      <c r="EE531" s="182"/>
      <c r="EF531" s="182"/>
      <c r="EG531" s="182"/>
      <c r="EH531" s="182"/>
      <c r="EI531" s="182"/>
      <c r="EJ531" s="182"/>
      <c r="EK531" s="182"/>
      <c r="EL531" s="182"/>
      <c r="EM531" s="182"/>
      <c r="EN531" s="182"/>
      <c r="EO531" s="182"/>
      <c r="EP531" s="182"/>
      <c r="EQ531" s="182"/>
      <c r="ER531" s="182"/>
      <c r="ES531" s="182"/>
      <c r="ET531" s="182"/>
      <c r="EU531" s="182"/>
      <c r="EV531" s="182"/>
      <c r="EW531" s="182"/>
      <c r="EX531" s="182"/>
      <c r="EY531" s="182"/>
      <c r="EZ531" s="182"/>
      <c r="FA531" s="182"/>
      <c r="FB531" s="182"/>
      <c r="FC531" s="182"/>
      <c r="FD531" s="182"/>
      <c r="FE531" s="182"/>
      <c r="FF531" s="182"/>
      <c r="FG531" s="182"/>
      <c r="FH531" s="182"/>
      <c r="FI531" s="182"/>
      <c r="FJ531" s="182"/>
      <c r="FK531" s="182"/>
      <c r="FL531" s="182"/>
      <c r="FM531" s="182"/>
      <c r="FN531" s="182"/>
      <c r="FO531" s="182"/>
      <c r="FP531" s="182"/>
      <c r="FQ531" s="182"/>
      <c r="FR531" s="182"/>
      <c r="FS531" s="182"/>
      <c r="FT531" s="182"/>
      <c r="FU531" s="182"/>
      <c r="FV531" s="182"/>
      <c r="FW531" s="182"/>
      <c r="FX531" s="182"/>
      <c r="FY531" s="182"/>
      <c r="FZ531" s="182"/>
      <c r="GA531" s="182"/>
      <c r="GB531" s="182"/>
      <c r="GC531" s="182"/>
      <c r="GD531" s="182"/>
      <c r="GE531" s="182"/>
      <c r="GF531" s="182"/>
      <c r="GG531" s="182"/>
      <c r="GH531" s="182"/>
      <c r="GI531" s="182"/>
    </row>
    <row r="532" spans="1:191" s="183" customFormat="1" x14ac:dyDescent="0.2">
      <c r="A532" s="210" t="s">
        <v>38199</v>
      </c>
      <c r="B532" s="210" t="s">
        <v>1679</v>
      </c>
      <c r="C532" s="224" t="s">
        <v>13502</v>
      </c>
      <c r="D532" s="211" t="s">
        <v>16</v>
      </c>
      <c r="E532" s="211">
        <v>5</v>
      </c>
      <c r="F532" s="211"/>
      <c r="G532" s="211"/>
      <c r="H532" s="231">
        <v>5</v>
      </c>
      <c r="I532" s="213">
        <f t="shared" si="35"/>
        <v>1.6666666666666666E-2</v>
      </c>
      <c r="J532" s="272">
        <v>162.97</v>
      </c>
      <c r="K532" s="113"/>
      <c r="L532" s="213"/>
      <c r="M532" s="112">
        <f t="shared" si="36"/>
        <v>13.58</v>
      </c>
      <c r="N532" s="112">
        <f t="shared" si="37"/>
        <v>407.4</v>
      </c>
      <c r="O532" s="114"/>
      <c r="P532" s="113"/>
      <c r="R532" s="203"/>
      <c r="S532" s="182"/>
      <c r="T532" s="182"/>
      <c r="U532" s="182"/>
      <c r="V532" s="182"/>
      <c r="W532" s="182"/>
      <c r="X532" s="182"/>
      <c r="Y532" s="182"/>
      <c r="Z532" s="182"/>
      <c r="AA532" s="182"/>
      <c r="AB532" s="182"/>
      <c r="AC532" s="182"/>
      <c r="AD532" s="182"/>
      <c r="AE532" s="182"/>
      <c r="AF532" s="182"/>
      <c r="AG532" s="182"/>
      <c r="AH532" s="182"/>
      <c r="AI532" s="182"/>
      <c r="AJ532" s="182"/>
      <c r="AK532" s="182"/>
      <c r="AL532" s="182"/>
      <c r="AM532" s="182"/>
      <c r="AN532" s="182"/>
      <c r="AO532" s="182"/>
      <c r="AP532" s="182"/>
      <c r="AQ532" s="182"/>
      <c r="AR532" s="182"/>
      <c r="AS532" s="182"/>
      <c r="AT532" s="182"/>
      <c r="AU532" s="182"/>
      <c r="AV532" s="182"/>
      <c r="AW532" s="182"/>
      <c r="AX532" s="182"/>
      <c r="AY532" s="182"/>
      <c r="AZ532" s="182"/>
      <c r="BA532" s="182"/>
      <c r="BB532" s="182"/>
      <c r="BC532" s="182"/>
      <c r="BD532" s="182"/>
      <c r="BE532" s="182"/>
      <c r="BF532" s="182"/>
      <c r="BG532" s="182"/>
      <c r="BH532" s="182"/>
      <c r="BI532" s="182"/>
      <c r="BJ532" s="182"/>
      <c r="BK532" s="182"/>
      <c r="BL532" s="182"/>
      <c r="BM532" s="182"/>
      <c r="BN532" s="182"/>
      <c r="BO532" s="182"/>
      <c r="BP532" s="182"/>
      <c r="BQ532" s="182"/>
      <c r="BR532" s="182"/>
      <c r="BS532" s="182"/>
      <c r="BT532" s="182"/>
      <c r="BU532" s="182"/>
      <c r="BV532" s="182"/>
      <c r="BW532" s="182"/>
      <c r="BX532" s="182"/>
      <c r="BY532" s="182"/>
      <c r="BZ532" s="182"/>
      <c r="CA532" s="182"/>
      <c r="CB532" s="182"/>
      <c r="CC532" s="182"/>
      <c r="CD532" s="182"/>
      <c r="CE532" s="182"/>
      <c r="CF532" s="182"/>
      <c r="CG532" s="182"/>
      <c r="CH532" s="182"/>
      <c r="CI532" s="182"/>
      <c r="CJ532" s="182"/>
      <c r="CK532" s="182"/>
      <c r="CL532" s="182"/>
      <c r="CM532" s="182"/>
      <c r="CN532" s="182"/>
      <c r="CO532" s="182"/>
      <c r="CP532" s="182"/>
      <c r="CQ532" s="182"/>
      <c r="CR532" s="182"/>
      <c r="CS532" s="182"/>
      <c r="CT532" s="182"/>
      <c r="CU532" s="182"/>
      <c r="CV532" s="182"/>
      <c r="CW532" s="182"/>
      <c r="CX532" s="182"/>
      <c r="CY532" s="182"/>
      <c r="CZ532" s="182"/>
      <c r="DA532" s="182"/>
      <c r="DB532" s="182"/>
      <c r="DC532" s="182"/>
      <c r="DD532" s="182"/>
      <c r="DE532" s="182"/>
      <c r="DF532" s="182"/>
      <c r="DG532" s="182"/>
      <c r="DH532" s="182"/>
      <c r="DI532" s="182"/>
      <c r="DJ532" s="182"/>
      <c r="DK532" s="182"/>
      <c r="DL532" s="182"/>
      <c r="DM532" s="182"/>
      <c r="DN532" s="182"/>
      <c r="DO532" s="182"/>
      <c r="DP532" s="182"/>
      <c r="DQ532" s="182"/>
      <c r="DR532" s="182"/>
      <c r="DS532" s="182"/>
      <c r="DT532" s="182"/>
      <c r="DU532" s="182"/>
      <c r="DV532" s="182"/>
      <c r="DW532" s="182"/>
      <c r="DX532" s="182"/>
      <c r="DY532" s="182"/>
      <c r="DZ532" s="182"/>
      <c r="EA532" s="182"/>
      <c r="EB532" s="182"/>
      <c r="EC532" s="182"/>
      <c r="ED532" s="182"/>
      <c r="EE532" s="182"/>
      <c r="EF532" s="182"/>
      <c r="EG532" s="182"/>
      <c r="EH532" s="182"/>
      <c r="EI532" s="182"/>
      <c r="EJ532" s="182"/>
      <c r="EK532" s="182"/>
      <c r="EL532" s="182"/>
      <c r="EM532" s="182"/>
      <c r="EN532" s="182"/>
      <c r="EO532" s="182"/>
      <c r="EP532" s="182"/>
      <c r="EQ532" s="182"/>
      <c r="ER532" s="182"/>
      <c r="ES532" s="182"/>
      <c r="ET532" s="182"/>
      <c r="EU532" s="182"/>
      <c r="EV532" s="182"/>
      <c r="EW532" s="182"/>
      <c r="EX532" s="182"/>
      <c r="EY532" s="182"/>
      <c r="EZ532" s="182"/>
      <c r="FA532" s="182"/>
      <c r="FB532" s="182"/>
      <c r="FC532" s="182"/>
      <c r="FD532" s="182"/>
      <c r="FE532" s="182"/>
      <c r="FF532" s="182"/>
      <c r="FG532" s="182"/>
      <c r="FH532" s="182"/>
      <c r="FI532" s="182"/>
      <c r="FJ532" s="182"/>
      <c r="FK532" s="182"/>
      <c r="FL532" s="182"/>
      <c r="FM532" s="182"/>
      <c r="FN532" s="182"/>
      <c r="FO532" s="182"/>
      <c r="FP532" s="182"/>
      <c r="FQ532" s="182"/>
      <c r="FR532" s="182"/>
      <c r="FS532" s="182"/>
      <c r="FT532" s="182"/>
      <c r="FU532" s="182"/>
      <c r="FV532" s="182"/>
      <c r="FW532" s="182"/>
      <c r="FX532" s="182"/>
      <c r="FY532" s="182"/>
      <c r="FZ532" s="182"/>
      <c r="GA532" s="182"/>
      <c r="GB532" s="182"/>
      <c r="GC532" s="182"/>
      <c r="GD532" s="182"/>
      <c r="GE532" s="182"/>
      <c r="GF532" s="182"/>
      <c r="GG532" s="182"/>
      <c r="GH532" s="182"/>
      <c r="GI532" s="182"/>
    </row>
    <row r="533" spans="1:191" s="183" customFormat="1" x14ac:dyDescent="0.2">
      <c r="A533" s="210" t="s">
        <v>38200</v>
      </c>
      <c r="B533" s="210" t="s">
        <v>1893</v>
      </c>
      <c r="C533" s="224" t="s">
        <v>13488</v>
      </c>
      <c r="D533" s="211" t="s">
        <v>16</v>
      </c>
      <c r="E533" s="211">
        <v>42</v>
      </c>
      <c r="F533" s="211"/>
      <c r="G533" s="211"/>
      <c r="H533" s="231">
        <v>5</v>
      </c>
      <c r="I533" s="213">
        <f t="shared" si="35"/>
        <v>1.6666666666666666E-2</v>
      </c>
      <c r="J533" s="272">
        <v>55.32</v>
      </c>
      <c r="K533" s="113"/>
      <c r="L533" s="213"/>
      <c r="M533" s="112">
        <f t="shared" si="36"/>
        <v>38.72</v>
      </c>
      <c r="N533" s="112">
        <f t="shared" si="37"/>
        <v>1161.5999999999999</v>
      </c>
      <c r="O533" s="114"/>
      <c r="P533" s="113"/>
      <c r="R533" s="203"/>
      <c r="S533" s="182"/>
      <c r="T533" s="182"/>
      <c r="U533" s="182"/>
      <c r="V533" s="182"/>
      <c r="W533" s="182"/>
      <c r="X533" s="182"/>
      <c r="Y533" s="182"/>
      <c r="Z533" s="182"/>
      <c r="AA533" s="182"/>
      <c r="AB533" s="182"/>
      <c r="AC533" s="182"/>
      <c r="AD533" s="182"/>
      <c r="AE533" s="182"/>
      <c r="AF533" s="182"/>
      <c r="AG533" s="182"/>
      <c r="AH533" s="182"/>
      <c r="AI533" s="182"/>
      <c r="AJ533" s="182"/>
      <c r="AK533" s="182"/>
      <c r="AL533" s="182"/>
      <c r="AM533" s="182"/>
      <c r="AN533" s="182"/>
      <c r="AO533" s="182"/>
      <c r="AP533" s="182"/>
      <c r="AQ533" s="182"/>
      <c r="AR533" s="182"/>
      <c r="AS533" s="182"/>
      <c r="AT533" s="182"/>
      <c r="AU533" s="182"/>
      <c r="AV533" s="182"/>
      <c r="AW533" s="182"/>
      <c r="AX533" s="182"/>
      <c r="AY533" s="182"/>
      <c r="AZ533" s="182"/>
      <c r="BA533" s="182"/>
      <c r="BB533" s="182"/>
      <c r="BC533" s="182"/>
      <c r="BD533" s="182"/>
      <c r="BE533" s="182"/>
      <c r="BF533" s="182"/>
      <c r="BG533" s="182"/>
      <c r="BH533" s="182"/>
      <c r="BI533" s="182"/>
      <c r="BJ533" s="182"/>
      <c r="BK533" s="182"/>
      <c r="BL533" s="182"/>
      <c r="BM533" s="182"/>
      <c r="BN533" s="182"/>
      <c r="BO533" s="182"/>
      <c r="BP533" s="182"/>
      <c r="BQ533" s="182"/>
      <c r="BR533" s="182"/>
      <c r="BS533" s="182"/>
      <c r="BT533" s="182"/>
      <c r="BU533" s="182"/>
      <c r="BV533" s="182"/>
      <c r="BW533" s="182"/>
      <c r="BX533" s="182"/>
      <c r="BY533" s="182"/>
      <c r="BZ533" s="182"/>
      <c r="CA533" s="182"/>
      <c r="CB533" s="182"/>
      <c r="CC533" s="182"/>
      <c r="CD533" s="182"/>
      <c r="CE533" s="182"/>
      <c r="CF533" s="182"/>
      <c r="CG533" s="182"/>
      <c r="CH533" s="182"/>
      <c r="CI533" s="182"/>
      <c r="CJ533" s="182"/>
      <c r="CK533" s="182"/>
      <c r="CL533" s="182"/>
      <c r="CM533" s="182"/>
      <c r="CN533" s="182"/>
      <c r="CO533" s="182"/>
      <c r="CP533" s="182"/>
      <c r="CQ533" s="182"/>
      <c r="CR533" s="182"/>
      <c r="CS533" s="182"/>
      <c r="CT533" s="182"/>
      <c r="CU533" s="182"/>
      <c r="CV533" s="182"/>
      <c r="CW533" s="182"/>
      <c r="CX533" s="182"/>
      <c r="CY533" s="182"/>
      <c r="CZ533" s="182"/>
      <c r="DA533" s="182"/>
      <c r="DB533" s="182"/>
      <c r="DC533" s="182"/>
      <c r="DD533" s="182"/>
      <c r="DE533" s="182"/>
      <c r="DF533" s="182"/>
      <c r="DG533" s="182"/>
      <c r="DH533" s="182"/>
      <c r="DI533" s="182"/>
      <c r="DJ533" s="182"/>
      <c r="DK533" s="182"/>
      <c r="DL533" s="182"/>
      <c r="DM533" s="182"/>
      <c r="DN533" s="182"/>
      <c r="DO533" s="182"/>
      <c r="DP533" s="182"/>
      <c r="DQ533" s="182"/>
      <c r="DR533" s="182"/>
      <c r="DS533" s="182"/>
      <c r="DT533" s="182"/>
      <c r="DU533" s="182"/>
      <c r="DV533" s="182"/>
      <c r="DW533" s="182"/>
      <c r="DX533" s="182"/>
      <c r="DY533" s="182"/>
      <c r="DZ533" s="182"/>
      <c r="EA533" s="182"/>
      <c r="EB533" s="182"/>
      <c r="EC533" s="182"/>
      <c r="ED533" s="182"/>
      <c r="EE533" s="182"/>
      <c r="EF533" s="182"/>
      <c r="EG533" s="182"/>
      <c r="EH533" s="182"/>
      <c r="EI533" s="182"/>
      <c r="EJ533" s="182"/>
      <c r="EK533" s="182"/>
      <c r="EL533" s="182"/>
      <c r="EM533" s="182"/>
      <c r="EN533" s="182"/>
      <c r="EO533" s="182"/>
      <c r="EP533" s="182"/>
      <c r="EQ533" s="182"/>
      <c r="ER533" s="182"/>
      <c r="ES533" s="182"/>
      <c r="ET533" s="182"/>
      <c r="EU533" s="182"/>
      <c r="EV533" s="182"/>
      <c r="EW533" s="182"/>
      <c r="EX533" s="182"/>
      <c r="EY533" s="182"/>
      <c r="EZ533" s="182"/>
      <c r="FA533" s="182"/>
      <c r="FB533" s="182"/>
      <c r="FC533" s="182"/>
      <c r="FD533" s="182"/>
      <c r="FE533" s="182"/>
      <c r="FF533" s="182"/>
      <c r="FG533" s="182"/>
      <c r="FH533" s="182"/>
      <c r="FI533" s="182"/>
      <c r="FJ533" s="182"/>
      <c r="FK533" s="182"/>
      <c r="FL533" s="182"/>
      <c r="FM533" s="182"/>
      <c r="FN533" s="182"/>
      <c r="FO533" s="182"/>
      <c r="FP533" s="182"/>
      <c r="FQ533" s="182"/>
      <c r="FR533" s="182"/>
      <c r="FS533" s="182"/>
      <c r="FT533" s="182"/>
      <c r="FU533" s="182"/>
      <c r="FV533" s="182"/>
      <c r="FW533" s="182"/>
      <c r="FX533" s="182"/>
      <c r="FY533" s="182"/>
      <c r="FZ533" s="182"/>
      <c r="GA533" s="182"/>
      <c r="GB533" s="182"/>
      <c r="GC533" s="182"/>
      <c r="GD533" s="182"/>
      <c r="GE533" s="182"/>
      <c r="GF533" s="182"/>
      <c r="GG533" s="182"/>
      <c r="GH533" s="182"/>
      <c r="GI533" s="182"/>
    </row>
    <row r="534" spans="1:191" s="183" customFormat="1" x14ac:dyDescent="0.2">
      <c r="A534" s="210" t="s">
        <v>38201</v>
      </c>
      <c r="B534" s="210" t="s">
        <v>1899</v>
      </c>
      <c r="C534" s="224" t="s">
        <v>13490</v>
      </c>
      <c r="D534" s="211" t="s">
        <v>16</v>
      </c>
      <c r="E534" s="211">
        <v>1</v>
      </c>
      <c r="F534" s="211"/>
      <c r="G534" s="211"/>
      <c r="H534" s="231">
        <v>10</v>
      </c>
      <c r="I534" s="213">
        <f t="shared" si="35"/>
        <v>8.3333333333333332E-3</v>
      </c>
      <c r="J534" s="272">
        <v>3851.68</v>
      </c>
      <c r="K534" s="113"/>
      <c r="L534" s="213"/>
      <c r="M534" s="112">
        <f t="shared" si="36"/>
        <v>32.1</v>
      </c>
      <c r="N534" s="112">
        <f t="shared" si="37"/>
        <v>963</v>
      </c>
      <c r="O534" s="114"/>
      <c r="P534" s="113"/>
      <c r="R534" s="203"/>
      <c r="S534" s="182"/>
      <c r="T534" s="182"/>
      <c r="U534" s="182"/>
      <c r="V534" s="182"/>
      <c r="W534" s="182"/>
      <c r="X534" s="182"/>
      <c r="Y534" s="182"/>
      <c r="Z534" s="182"/>
      <c r="AA534" s="182"/>
      <c r="AB534" s="182"/>
      <c r="AC534" s="182"/>
      <c r="AD534" s="182"/>
      <c r="AE534" s="182"/>
      <c r="AF534" s="182"/>
      <c r="AG534" s="182"/>
      <c r="AH534" s="182"/>
      <c r="AI534" s="182"/>
      <c r="AJ534" s="182"/>
      <c r="AK534" s="182"/>
      <c r="AL534" s="182"/>
      <c r="AM534" s="182"/>
      <c r="AN534" s="182"/>
      <c r="AO534" s="182"/>
      <c r="AP534" s="182"/>
      <c r="AQ534" s="182"/>
      <c r="AR534" s="182"/>
      <c r="AS534" s="182"/>
      <c r="AT534" s="182"/>
      <c r="AU534" s="182"/>
      <c r="AV534" s="182"/>
      <c r="AW534" s="182"/>
      <c r="AX534" s="182"/>
      <c r="AY534" s="182"/>
      <c r="AZ534" s="182"/>
      <c r="BA534" s="182"/>
      <c r="BB534" s="182"/>
      <c r="BC534" s="182"/>
      <c r="BD534" s="182"/>
      <c r="BE534" s="182"/>
      <c r="BF534" s="182"/>
      <c r="BG534" s="182"/>
      <c r="BH534" s="182"/>
      <c r="BI534" s="182"/>
      <c r="BJ534" s="182"/>
      <c r="BK534" s="182"/>
      <c r="BL534" s="182"/>
      <c r="BM534" s="182"/>
      <c r="BN534" s="182"/>
      <c r="BO534" s="182"/>
      <c r="BP534" s="182"/>
      <c r="BQ534" s="182"/>
      <c r="BR534" s="182"/>
      <c r="BS534" s="182"/>
      <c r="BT534" s="182"/>
      <c r="BU534" s="182"/>
      <c r="BV534" s="182"/>
      <c r="BW534" s="182"/>
      <c r="BX534" s="182"/>
      <c r="BY534" s="182"/>
      <c r="BZ534" s="182"/>
      <c r="CA534" s="182"/>
      <c r="CB534" s="182"/>
      <c r="CC534" s="182"/>
      <c r="CD534" s="182"/>
      <c r="CE534" s="182"/>
      <c r="CF534" s="182"/>
      <c r="CG534" s="182"/>
      <c r="CH534" s="182"/>
      <c r="CI534" s="182"/>
      <c r="CJ534" s="182"/>
      <c r="CK534" s="182"/>
      <c r="CL534" s="182"/>
      <c r="CM534" s="182"/>
      <c r="CN534" s="182"/>
      <c r="CO534" s="182"/>
      <c r="CP534" s="182"/>
      <c r="CQ534" s="182"/>
      <c r="CR534" s="182"/>
      <c r="CS534" s="182"/>
      <c r="CT534" s="182"/>
      <c r="CU534" s="182"/>
      <c r="CV534" s="182"/>
      <c r="CW534" s="182"/>
      <c r="CX534" s="182"/>
      <c r="CY534" s="182"/>
      <c r="CZ534" s="182"/>
      <c r="DA534" s="182"/>
      <c r="DB534" s="182"/>
      <c r="DC534" s="182"/>
      <c r="DD534" s="182"/>
      <c r="DE534" s="182"/>
      <c r="DF534" s="182"/>
      <c r="DG534" s="182"/>
      <c r="DH534" s="182"/>
      <c r="DI534" s="182"/>
      <c r="DJ534" s="182"/>
      <c r="DK534" s="182"/>
      <c r="DL534" s="182"/>
      <c r="DM534" s="182"/>
      <c r="DN534" s="182"/>
      <c r="DO534" s="182"/>
      <c r="DP534" s="182"/>
      <c r="DQ534" s="182"/>
      <c r="DR534" s="182"/>
      <c r="DS534" s="182"/>
      <c r="DT534" s="182"/>
      <c r="DU534" s="182"/>
      <c r="DV534" s="182"/>
      <c r="DW534" s="182"/>
      <c r="DX534" s="182"/>
      <c r="DY534" s="182"/>
      <c r="DZ534" s="182"/>
      <c r="EA534" s="182"/>
      <c r="EB534" s="182"/>
      <c r="EC534" s="182"/>
      <c r="ED534" s="182"/>
      <c r="EE534" s="182"/>
      <c r="EF534" s="182"/>
      <c r="EG534" s="182"/>
      <c r="EH534" s="182"/>
      <c r="EI534" s="182"/>
      <c r="EJ534" s="182"/>
      <c r="EK534" s="182"/>
      <c r="EL534" s="182"/>
      <c r="EM534" s="182"/>
      <c r="EN534" s="182"/>
      <c r="EO534" s="182"/>
      <c r="EP534" s="182"/>
      <c r="EQ534" s="182"/>
      <c r="ER534" s="182"/>
      <c r="ES534" s="182"/>
      <c r="ET534" s="182"/>
      <c r="EU534" s="182"/>
      <c r="EV534" s="182"/>
      <c r="EW534" s="182"/>
      <c r="EX534" s="182"/>
      <c r="EY534" s="182"/>
      <c r="EZ534" s="182"/>
      <c r="FA534" s="182"/>
      <c r="FB534" s="182"/>
      <c r="FC534" s="182"/>
      <c r="FD534" s="182"/>
      <c r="FE534" s="182"/>
      <c r="FF534" s="182"/>
      <c r="FG534" s="182"/>
      <c r="FH534" s="182"/>
      <c r="FI534" s="182"/>
      <c r="FJ534" s="182"/>
      <c r="FK534" s="182"/>
      <c r="FL534" s="182"/>
      <c r="FM534" s="182"/>
      <c r="FN534" s="182"/>
      <c r="FO534" s="182"/>
      <c r="FP534" s="182"/>
      <c r="FQ534" s="182"/>
      <c r="FR534" s="182"/>
      <c r="FS534" s="182"/>
      <c r="FT534" s="182"/>
      <c r="FU534" s="182"/>
      <c r="FV534" s="182"/>
      <c r="FW534" s="182"/>
      <c r="FX534" s="182"/>
      <c r="FY534" s="182"/>
      <c r="FZ534" s="182"/>
      <c r="GA534" s="182"/>
      <c r="GB534" s="182"/>
      <c r="GC534" s="182"/>
      <c r="GD534" s="182"/>
      <c r="GE534" s="182"/>
      <c r="GF534" s="182"/>
      <c r="GG534" s="182"/>
      <c r="GH534" s="182"/>
      <c r="GI534" s="182"/>
    </row>
    <row r="535" spans="1:191" s="183" customFormat="1" x14ac:dyDescent="0.2">
      <c r="A535" s="210" t="s">
        <v>38202</v>
      </c>
      <c r="B535" s="210" t="s">
        <v>1900</v>
      </c>
      <c r="C535" s="224" t="s">
        <v>1901</v>
      </c>
      <c r="D535" s="211" t="s">
        <v>16</v>
      </c>
      <c r="E535" s="211">
        <v>4</v>
      </c>
      <c r="F535" s="211"/>
      <c r="G535" s="211"/>
      <c r="H535" s="231">
        <v>10</v>
      </c>
      <c r="I535" s="213">
        <f t="shared" si="35"/>
        <v>8.3333333333333332E-3</v>
      </c>
      <c r="J535" s="272">
        <v>1167.3800000000001</v>
      </c>
      <c r="K535" s="113"/>
      <c r="L535" s="213"/>
      <c r="M535" s="112">
        <f t="shared" si="36"/>
        <v>38.909999999999997</v>
      </c>
      <c r="N535" s="112">
        <f t="shared" si="37"/>
        <v>1167.3</v>
      </c>
      <c r="O535" s="114"/>
      <c r="P535" s="113"/>
      <c r="R535" s="203"/>
      <c r="S535" s="182"/>
      <c r="T535" s="182"/>
      <c r="U535" s="182"/>
      <c r="V535" s="182"/>
      <c r="W535" s="182"/>
      <c r="X535" s="182"/>
      <c r="Y535" s="182"/>
      <c r="Z535" s="182"/>
      <c r="AA535" s="182"/>
      <c r="AB535" s="182"/>
      <c r="AC535" s="182"/>
      <c r="AD535" s="182"/>
      <c r="AE535" s="182"/>
      <c r="AF535" s="182"/>
      <c r="AG535" s="182"/>
      <c r="AH535" s="182"/>
      <c r="AI535" s="182"/>
      <c r="AJ535" s="182"/>
      <c r="AK535" s="182"/>
      <c r="AL535" s="182"/>
      <c r="AM535" s="182"/>
      <c r="AN535" s="182"/>
      <c r="AO535" s="182"/>
      <c r="AP535" s="182"/>
      <c r="AQ535" s="182"/>
      <c r="AR535" s="182"/>
      <c r="AS535" s="182"/>
      <c r="AT535" s="182"/>
      <c r="AU535" s="182"/>
      <c r="AV535" s="182"/>
      <c r="AW535" s="182"/>
      <c r="AX535" s="182"/>
      <c r="AY535" s="182"/>
      <c r="AZ535" s="182"/>
      <c r="BA535" s="182"/>
      <c r="BB535" s="182"/>
      <c r="BC535" s="182"/>
      <c r="BD535" s="182"/>
      <c r="BE535" s="182"/>
      <c r="BF535" s="182"/>
      <c r="BG535" s="182"/>
      <c r="BH535" s="182"/>
      <c r="BI535" s="182"/>
      <c r="BJ535" s="182"/>
      <c r="BK535" s="182"/>
      <c r="BL535" s="182"/>
      <c r="BM535" s="182"/>
      <c r="BN535" s="182"/>
      <c r="BO535" s="182"/>
      <c r="BP535" s="182"/>
      <c r="BQ535" s="182"/>
      <c r="BR535" s="182"/>
      <c r="BS535" s="182"/>
      <c r="BT535" s="182"/>
      <c r="BU535" s="182"/>
      <c r="BV535" s="182"/>
      <c r="BW535" s="182"/>
      <c r="BX535" s="182"/>
      <c r="BY535" s="182"/>
      <c r="BZ535" s="182"/>
      <c r="CA535" s="182"/>
      <c r="CB535" s="182"/>
      <c r="CC535" s="182"/>
      <c r="CD535" s="182"/>
      <c r="CE535" s="182"/>
      <c r="CF535" s="182"/>
      <c r="CG535" s="182"/>
      <c r="CH535" s="182"/>
      <c r="CI535" s="182"/>
      <c r="CJ535" s="182"/>
      <c r="CK535" s="182"/>
      <c r="CL535" s="182"/>
      <c r="CM535" s="182"/>
      <c r="CN535" s="182"/>
      <c r="CO535" s="182"/>
      <c r="CP535" s="182"/>
      <c r="CQ535" s="182"/>
      <c r="CR535" s="182"/>
      <c r="CS535" s="182"/>
      <c r="CT535" s="182"/>
      <c r="CU535" s="182"/>
      <c r="CV535" s="182"/>
      <c r="CW535" s="182"/>
      <c r="CX535" s="182"/>
      <c r="CY535" s="182"/>
      <c r="CZ535" s="182"/>
      <c r="DA535" s="182"/>
      <c r="DB535" s="182"/>
      <c r="DC535" s="182"/>
      <c r="DD535" s="182"/>
      <c r="DE535" s="182"/>
      <c r="DF535" s="182"/>
      <c r="DG535" s="182"/>
      <c r="DH535" s="182"/>
      <c r="DI535" s="182"/>
      <c r="DJ535" s="182"/>
      <c r="DK535" s="182"/>
      <c r="DL535" s="182"/>
      <c r="DM535" s="182"/>
      <c r="DN535" s="182"/>
      <c r="DO535" s="182"/>
      <c r="DP535" s="182"/>
      <c r="DQ535" s="182"/>
      <c r="DR535" s="182"/>
      <c r="DS535" s="182"/>
      <c r="DT535" s="182"/>
      <c r="DU535" s="182"/>
      <c r="DV535" s="182"/>
      <c r="DW535" s="182"/>
      <c r="DX535" s="182"/>
      <c r="DY535" s="182"/>
      <c r="DZ535" s="182"/>
      <c r="EA535" s="182"/>
      <c r="EB535" s="182"/>
      <c r="EC535" s="182"/>
      <c r="ED535" s="182"/>
      <c r="EE535" s="182"/>
      <c r="EF535" s="182"/>
      <c r="EG535" s="182"/>
      <c r="EH535" s="182"/>
      <c r="EI535" s="182"/>
      <c r="EJ535" s="182"/>
      <c r="EK535" s="182"/>
      <c r="EL535" s="182"/>
      <c r="EM535" s="182"/>
      <c r="EN535" s="182"/>
      <c r="EO535" s="182"/>
      <c r="EP535" s="182"/>
      <c r="EQ535" s="182"/>
      <c r="ER535" s="182"/>
      <c r="ES535" s="182"/>
      <c r="ET535" s="182"/>
      <c r="EU535" s="182"/>
      <c r="EV535" s="182"/>
      <c r="EW535" s="182"/>
      <c r="EX535" s="182"/>
      <c r="EY535" s="182"/>
      <c r="EZ535" s="182"/>
      <c r="FA535" s="182"/>
      <c r="FB535" s="182"/>
      <c r="FC535" s="182"/>
      <c r="FD535" s="182"/>
      <c r="FE535" s="182"/>
      <c r="FF535" s="182"/>
      <c r="FG535" s="182"/>
      <c r="FH535" s="182"/>
      <c r="FI535" s="182"/>
      <c r="FJ535" s="182"/>
      <c r="FK535" s="182"/>
      <c r="FL535" s="182"/>
      <c r="FM535" s="182"/>
      <c r="FN535" s="182"/>
      <c r="FO535" s="182"/>
      <c r="FP535" s="182"/>
      <c r="FQ535" s="182"/>
      <c r="FR535" s="182"/>
      <c r="FS535" s="182"/>
      <c r="FT535" s="182"/>
      <c r="FU535" s="182"/>
      <c r="FV535" s="182"/>
      <c r="FW535" s="182"/>
      <c r="FX535" s="182"/>
      <c r="FY535" s="182"/>
      <c r="FZ535" s="182"/>
      <c r="GA535" s="182"/>
      <c r="GB535" s="182"/>
      <c r="GC535" s="182"/>
      <c r="GD535" s="182"/>
      <c r="GE535" s="182"/>
      <c r="GF535" s="182"/>
      <c r="GG535" s="182"/>
      <c r="GH535" s="182"/>
      <c r="GI535" s="182"/>
    </row>
    <row r="536" spans="1:191" s="183" customFormat="1" x14ac:dyDescent="0.2">
      <c r="A536" s="210" t="s">
        <v>38203</v>
      </c>
      <c r="B536" s="210" t="s">
        <v>1903</v>
      </c>
      <c r="C536" s="224" t="s">
        <v>1904</v>
      </c>
      <c r="D536" s="211" t="s">
        <v>16</v>
      </c>
      <c r="E536" s="211">
        <v>4</v>
      </c>
      <c r="F536" s="211"/>
      <c r="G536" s="211"/>
      <c r="H536" s="231">
        <v>5</v>
      </c>
      <c r="I536" s="213">
        <f t="shared" si="35"/>
        <v>1.6666666666666666E-2</v>
      </c>
      <c r="J536" s="272">
        <v>50.88</v>
      </c>
      <c r="K536" s="113"/>
      <c r="L536" s="213"/>
      <c r="M536" s="112">
        <f t="shared" si="36"/>
        <v>3.39</v>
      </c>
      <c r="N536" s="112">
        <f t="shared" si="37"/>
        <v>101.7</v>
      </c>
      <c r="O536" s="114"/>
      <c r="P536" s="113"/>
      <c r="R536" s="203"/>
      <c r="S536" s="182"/>
      <c r="T536" s="182"/>
      <c r="U536" s="182"/>
      <c r="V536" s="182"/>
      <c r="W536" s="182"/>
      <c r="X536" s="182"/>
      <c r="Y536" s="182"/>
      <c r="Z536" s="182"/>
      <c r="AA536" s="182"/>
      <c r="AB536" s="182"/>
      <c r="AC536" s="182"/>
      <c r="AD536" s="182"/>
      <c r="AE536" s="182"/>
      <c r="AF536" s="182"/>
      <c r="AG536" s="182"/>
      <c r="AH536" s="182"/>
      <c r="AI536" s="182"/>
      <c r="AJ536" s="182"/>
      <c r="AK536" s="182"/>
      <c r="AL536" s="182"/>
      <c r="AM536" s="182"/>
      <c r="AN536" s="182"/>
      <c r="AO536" s="182"/>
      <c r="AP536" s="182"/>
      <c r="AQ536" s="182"/>
      <c r="AR536" s="182"/>
      <c r="AS536" s="182"/>
      <c r="AT536" s="182"/>
      <c r="AU536" s="182"/>
      <c r="AV536" s="182"/>
      <c r="AW536" s="182"/>
      <c r="AX536" s="182"/>
      <c r="AY536" s="182"/>
      <c r="AZ536" s="182"/>
      <c r="BA536" s="182"/>
      <c r="BB536" s="182"/>
      <c r="BC536" s="182"/>
      <c r="BD536" s="182"/>
      <c r="BE536" s="182"/>
      <c r="BF536" s="182"/>
      <c r="BG536" s="182"/>
      <c r="BH536" s="182"/>
      <c r="BI536" s="182"/>
      <c r="BJ536" s="182"/>
      <c r="BK536" s="182"/>
      <c r="BL536" s="182"/>
      <c r="BM536" s="182"/>
      <c r="BN536" s="182"/>
      <c r="BO536" s="182"/>
      <c r="BP536" s="182"/>
      <c r="BQ536" s="182"/>
      <c r="BR536" s="182"/>
      <c r="BS536" s="182"/>
      <c r="BT536" s="182"/>
      <c r="BU536" s="182"/>
      <c r="BV536" s="182"/>
      <c r="BW536" s="182"/>
      <c r="BX536" s="182"/>
      <c r="BY536" s="182"/>
      <c r="BZ536" s="182"/>
      <c r="CA536" s="182"/>
      <c r="CB536" s="182"/>
      <c r="CC536" s="182"/>
      <c r="CD536" s="182"/>
      <c r="CE536" s="182"/>
      <c r="CF536" s="182"/>
      <c r="CG536" s="182"/>
      <c r="CH536" s="182"/>
      <c r="CI536" s="182"/>
      <c r="CJ536" s="182"/>
      <c r="CK536" s="182"/>
      <c r="CL536" s="182"/>
      <c r="CM536" s="182"/>
      <c r="CN536" s="182"/>
      <c r="CO536" s="182"/>
      <c r="CP536" s="182"/>
      <c r="CQ536" s="182"/>
      <c r="CR536" s="182"/>
      <c r="CS536" s="182"/>
      <c r="CT536" s="182"/>
      <c r="CU536" s="182"/>
      <c r="CV536" s="182"/>
      <c r="CW536" s="182"/>
      <c r="CX536" s="182"/>
      <c r="CY536" s="182"/>
      <c r="CZ536" s="182"/>
      <c r="DA536" s="182"/>
      <c r="DB536" s="182"/>
      <c r="DC536" s="182"/>
      <c r="DD536" s="182"/>
      <c r="DE536" s="182"/>
      <c r="DF536" s="182"/>
      <c r="DG536" s="182"/>
      <c r="DH536" s="182"/>
      <c r="DI536" s="182"/>
      <c r="DJ536" s="182"/>
      <c r="DK536" s="182"/>
      <c r="DL536" s="182"/>
      <c r="DM536" s="182"/>
      <c r="DN536" s="182"/>
      <c r="DO536" s="182"/>
      <c r="DP536" s="182"/>
      <c r="DQ536" s="182"/>
      <c r="DR536" s="182"/>
      <c r="DS536" s="182"/>
      <c r="DT536" s="182"/>
      <c r="DU536" s="182"/>
      <c r="DV536" s="182"/>
      <c r="DW536" s="182"/>
      <c r="DX536" s="182"/>
      <c r="DY536" s="182"/>
      <c r="DZ536" s="182"/>
      <c r="EA536" s="182"/>
      <c r="EB536" s="182"/>
      <c r="EC536" s="182"/>
      <c r="ED536" s="182"/>
      <c r="EE536" s="182"/>
      <c r="EF536" s="182"/>
      <c r="EG536" s="182"/>
      <c r="EH536" s="182"/>
      <c r="EI536" s="182"/>
      <c r="EJ536" s="182"/>
      <c r="EK536" s="182"/>
      <c r="EL536" s="182"/>
      <c r="EM536" s="182"/>
      <c r="EN536" s="182"/>
      <c r="EO536" s="182"/>
      <c r="EP536" s="182"/>
      <c r="EQ536" s="182"/>
      <c r="ER536" s="182"/>
      <c r="ES536" s="182"/>
      <c r="ET536" s="182"/>
      <c r="EU536" s="182"/>
      <c r="EV536" s="182"/>
      <c r="EW536" s="182"/>
      <c r="EX536" s="182"/>
      <c r="EY536" s="182"/>
      <c r="EZ536" s="182"/>
      <c r="FA536" s="182"/>
      <c r="FB536" s="182"/>
      <c r="FC536" s="182"/>
      <c r="FD536" s="182"/>
      <c r="FE536" s="182"/>
      <c r="FF536" s="182"/>
      <c r="FG536" s="182"/>
      <c r="FH536" s="182"/>
      <c r="FI536" s="182"/>
      <c r="FJ536" s="182"/>
      <c r="FK536" s="182"/>
      <c r="FL536" s="182"/>
      <c r="FM536" s="182"/>
      <c r="FN536" s="182"/>
      <c r="FO536" s="182"/>
      <c r="FP536" s="182"/>
      <c r="FQ536" s="182"/>
      <c r="FR536" s="182"/>
      <c r="FS536" s="182"/>
      <c r="FT536" s="182"/>
      <c r="FU536" s="182"/>
      <c r="FV536" s="182"/>
      <c r="FW536" s="182"/>
      <c r="FX536" s="182"/>
      <c r="FY536" s="182"/>
      <c r="FZ536" s="182"/>
      <c r="GA536" s="182"/>
      <c r="GB536" s="182"/>
      <c r="GC536" s="182"/>
      <c r="GD536" s="182"/>
      <c r="GE536" s="182"/>
      <c r="GF536" s="182"/>
      <c r="GG536" s="182"/>
      <c r="GH536" s="182"/>
      <c r="GI536" s="182"/>
    </row>
    <row r="537" spans="1:191" s="183" customFormat="1" x14ac:dyDescent="0.2">
      <c r="A537" s="210" t="s">
        <v>38204</v>
      </c>
      <c r="B537" s="210" t="s">
        <v>1905</v>
      </c>
      <c r="C537" s="224" t="s">
        <v>1906</v>
      </c>
      <c r="D537" s="211" t="s">
        <v>16</v>
      </c>
      <c r="E537" s="211">
        <v>1</v>
      </c>
      <c r="F537" s="211"/>
      <c r="G537" s="211"/>
      <c r="H537" s="231">
        <v>10</v>
      </c>
      <c r="I537" s="213">
        <f t="shared" si="35"/>
        <v>8.3333333333333332E-3</v>
      </c>
      <c r="J537" s="272">
        <v>1125.1300000000001</v>
      </c>
      <c r="K537" s="113"/>
      <c r="L537" s="213"/>
      <c r="M537" s="112">
        <f t="shared" si="36"/>
        <v>9.3800000000000008</v>
      </c>
      <c r="N537" s="112">
        <f t="shared" si="37"/>
        <v>281.39999999999998</v>
      </c>
      <c r="O537" s="114"/>
      <c r="P537" s="113"/>
      <c r="R537" s="203"/>
      <c r="S537" s="182"/>
      <c r="T537" s="182"/>
      <c r="U537" s="182"/>
      <c r="V537" s="182"/>
      <c r="W537" s="182"/>
      <c r="X537" s="182"/>
      <c r="Y537" s="182"/>
      <c r="Z537" s="182"/>
      <c r="AA537" s="182"/>
      <c r="AB537" s="182"/>
      <c r="AC537" s="182"/>
      <c r="AD537" s="182"/>
      <c r="AE537" s="182"/>
      <c r="AF537" s="182"/>
      <c r="AG537" s="182"/>
      <c r="AH537" s="182"/>
      <c r="AI537" s="182"/>
      <c r="AJ537" s="182"/>
      <c r="AK537" s="182"/>
      <c r="AL537" s="182"/>
      <c r="AM537" s="182"/>
      <c r="AN537" s="182"/>
      <c r="AO537" s="182"/>
      <c r="AP537" s="182"/>
      <c r="AQ537" s="182"/>
      <c r="AR537" s="182"/>
      <c r="AS537" s="182"/>
      <c r="AT537" s="182"/>
      <c r="AU537" s="182"/>
      <c r="AV537" s="182"/>
      <c r="AW537" s="182"/>
      <c r="AX537" s="182"/>
      <c r="AY537" s="182"/>
      <c r="AZ537" s="182"/>
      <c r="BA537" s="182"/>
      <c r="BB537" s="182"/>
      <c r="BC537" s="182"/>
      <c r="BD537" s="182"/>
      <c r="BE537" s="182"/>
      <c r="BF537" s="182"/>
      <c r="BG537" s="182"/>
      <c r="BH537" s="182"/>
      <c r="BI537" s="182"/>
      <c r="BJ537" s="182"/>
      <c r="BK537" s="182"/>
      <c r="BL537" s="182"/>
      <c r="BM537" s="182"/>
      <c r="BN537" s="182"/>
      <c r="BO537" s="182"/>
      <c r="BP537" s="182"/>
      <c r="BQ537" s="182"/>
      <c r="BR537" s="182"/>
      <c r="BS537" s="182"/>
      <c r="BT537" s="182"/>
      <c r="BU537" s="182"/>
      <c r="BV537" s="182"/>
      <c r="BW537" s="182"/>
      <c r="BX537" s="182"/>
      <c r="BY537" s="182"/>
      <c r="BZ537" s="182"/>
      <c r="CA537" s="182"/>
      <c r="CB537" s="182"/>
      <c r="CC537" s="182"/>
      <c r="CD537" s="182"/>
      <c r="CE537" s="182"/>
      <c r="CF537" s="182"/>
      <c r="CG537" s="182"/>
      <c r="CH537" s="182"/>
      <c r="CI537" s="182"/>
      <c r="CJ537" s="182"/>
      <c r="CK537" s="182"/>
      <c r="CL537" s="182"/>
      <c r="CM537" s="182"/>
      <c r="CN537" s="182"/>
      <c r="CO537" s="182"/>
      <c r="CP537" s="182"/>
      <c r="CQ537" s="182"/>
      <c r="CR537" s="182"/>
      <c r="CS537" s="182"/>
      <c r="CT537" s="182"/>
      <c r="CU537" s="182"/>
      <c r="CV537" s="182"/>
      <c r="CW537" s="182"/>
      <c r="CX537" s="182"/>
      <c r="CY537" s="182"/>
      <c r="CZ537" s="182"/>
      <c r="DA537" s="182"/>
      <c r="DB537" s="182"/>
      <c r="DC537" s="182"/>
      <c r="DD537" s="182"/>
      <c r="DE537" s="182"/>
      <c r="DF537" s="182"/>
      <c r="DG537" s="182"/>
      <c r="DH537" s="182"/>
      <c r="DI537" s="182"/>
      <c r="DJ537" s="182"/>
      <c r="DK537" s="182"/>
      <c r="DL537" s="182"/>
      <c r="DM537" s="182"/>
      <c r="DN537" s="182"/>
      <c r="DO537" s="182"/>
      <c r="DP537" s="182"/>
      <c r="DQ537" s="182"/>
      <c r="DR537" s="182"/>
      <c r="DS537" s="182"/>
      <c r="DT537" s="182"/>
      <c r="DU537" s="182"/>
      <c r="DV537" s="182"/>
      <c r="DW537" s="182"/>
      <c r="DX537" s="182"/>
      <c r="DY537" s="182"/>
      <c r="DZ537" s="182"/>
      <c r="EA537" s="182"/>
      <c r="EB537" s="182"/>
      <c r="EC537" s="182"/>
      <c r="ED537" s="182"/>
      <c r="EE537" s="182"/>
      <c r="EF537" s="182"/>
      <c r="EG537" s="182"/>
      <c r="EH537" s="182"/>
      <c r="EI537" s="182"/>
      <c r="EJ537" s="182"/>
      <c r="EK537" s="182"/>
      <c r="EL537" s="182"/>
      <c r="EM537" s="182"/>
      <c r="EN537" s="182"/>
      <c r="EO537" s="182"/>
      <c r="EP537" s="182"/>
      <c r="EQ537" s="182"/>
      <c r="ER537" s="182"/>
      <c r="ES537" s="182"/>
      <c r="ET537" s="182"/>
      <c r="EU537" s="182"/>
      <c r="EV537" s="182"/>
      <c r="EW537" s="182"/>
      <c r="EX537" s="182"/>
      <c r="EY537" s="182"/>
      <c r="EZ537" s="182"/>
      <c r="FA537" s="182"/>
      <c r="FB537" s="182"/>
      <c r="FC537" s="182"/>
      <c r="FD537" s="182"/>
      <c r="FE537" s="182"/>
      <c r="FF537" s="182"/>
      <c r="FG537" s="182"/>
      <c r="FH537" s="182"/>
      <c r="FI537" s="182"/>
      <c r="FJ537" s="182"/>
      <c r="FK537" s="182"/>
      <c r="FL537" s="182"/>
      <c r="FM537" s="182"/>
      <c r="FN537" s="182"/>
      <c r="FO537" s="182"/>
      <c r="FP537" s="182"/>
      <c r="FQ537" s="182"/>
      <c r="FR537" s="182"/>
      <c r="FS537" s="182"/>
      <c r="FT537" s="182"/>
      <c r="FU537" s="182"/>
      <c r="FV537" s="182"/>
      <c r="FW537" s="182"/>
      <c r="FX537" s="182"/>
      <c r="FY537" s="182"/>
      <c r="FZ537" s="182"/>
      <c r="GA537" s="182"/>
      <c r="GB537" s="182"/>
      <c r="GC537" s="182"/>
      <c r="GD537" s="182"/>
      <c r="GE537" s="182"/>
      <c r="GF537" s="182"/>
      <c r="GG537" s="182"/>
      <c r="GH537" s="182"/>
      <c r="GI537" s="182"/>
    </row>
    <row r="538" spans="1:191" s="183" customFormat="1" x14ac:dyDescent="0.2">
      <c r="A538" s="210" t="s">
        <v>38205</v>
      </c>
      <c r="B538" s="210" t="s">
        <v>1907</v>
      </c>
      <c r="C538" s="224" t="s">
        <v>13491</v>
      </c>
      <c r="D538" s="211" t="s">
        <v>16</v>
      </c>
      <c r="E538" s="211">
        <v>1</v>
      </c>
      <c r="F538" s="211"/>
      <c r="G538" s="211"/>
      <c r="H538" s="231">
        <v>4</v>
      </c>
      <c r="I538" s="213">
        <f t="shared" si="35"/>
        <v>2.0833333333333332E-2</v>
      </c>
      <c r="J538" s="272">
        <v>59092</v>
      </c>
      <c r="K538" s="113"/>
      <c r="L538" s="213"/>
      <c r="M538" s="112">
        <f t="shared" si="36"/>
        <v>1231.08</v>
      </c>
      <c r="N538" s="112">
        <f t="shared" si="37"/>
        <v>36932.400000000001</v>
      </c>
      <c r="O538" s="114"/>
      <c r="P538" s="113"/>
      <c r="R538" s="203"/>
      <c r="S538" s="182"/>
      <c r="T538" s="182"/>
      <c r="U538" s="182"/>
      <c r="V538" s="182"/>
      <c r="W538" s="182"/>
      <c r="X538" s="182"/>
      <c r="Y538" s="182"/>
      <c r="Z538" s="182"/>
      <c r="AA538" s="182"/>
      <c r="AB538" s="182"/>
      <c r="AC538" s="182"/>
      <c r="AD538" s="182"/>
      <c r="AE538" s="182"/>
      <c r="AF538" s="182"/>
      <c r="AG538" s="182"/>
      <c r="AH538" s="182"/>
      <c r="AI538" s="182"/>
      <c r="AJ538" s="182"/>
      <c r="AK538" s="182"/>
      <c r="AL538" s="182"/>
      <c r="AM538" s="182"/>
      <c r="AN538" s="182"/>
      <c r="AO538" s="182"/>
      <c r="AP538" s="182"/>
      <c r="AQ538" s="182"/>
      <c r="AR538" s="182"/>
      <c r="AS538" s="182"/>
      <c r="AT538" s="182"/>
      <c r="AU538" s="182"/>
      <c r="AV538" s="182"/>
      <c r="AW538" s="182"/>
      <c r="AX538" s="182"/>
      <c r="AY538" s="182"/>
      <c r="AZ538" s="182"/>
      <c r="BA538" s="182"/>
      <c r="BB538" s="182"/>
      <c r="BC538" s="182"/>
      <c r="BD538" s="182"/>
      <c r="BE538" s="182"/>
      <c r="BF538" s="182"/>
      <c r="BG538" s="182"/>
      <c r="BH538" s="182"/>
      <c r="BI538" s="182"/>
      <c r="BJ538" s="182"/>
      <c r="BK538" s="182"/>
      <c r="BL538" s="182"/>
      <c r="BM538" s="182"/>
      <c r="BN538" s="182"/>
      <c r="BO538" s="182"/>
      <c r="BP538" s="182"/>
      <c r="BQ538" s="182"/>
      <c r="BR538" s="182"/>
      <c r="BS538" s="182"/>
      <c r="BT538" s="182"/>
      <c r="BU538" s="182"/>
      <c r="BV538" s="182"/>
      <c r="BW538" s="182"/>
      <c r="BX538" s="182"/>
      <c r="BY538" s="182"/>
      <c r="BZ538" s="182"/>
      <c r="CA538" s="182"/>
      <c r="CB538" s="182"/>
      <c r="CC538" s="182"/>
      <c r="CD538" s="182"/>
      <c r="CE538" s="182"/>
      <c r="CF538" s="182"/>
      <c r="CG538" s="182"/>
      <c r="CH538" s="182"/>
      <c r="CI538" s="182"/>
      <c r="CJ538" s="182"/>
      <c r="CK538" s="182"/>
      <c r="CL538" s="182"/>
      <c r="CM538" s="182"/>
      <c r="CN538" s="182"/>
      <c r="CO538" s="182"/>
      <c r="CP538" s="182"/>
      <c r="CQ538" s="182"/>
      <c r="CR538" s="182"/>
      <c r="CS538" s="182"/>
      <c r="CT538" s="182"/>
      <c r="CU538" s="182"/>
      <c r="CV538" s="182"/>
      <c r="CW538" s="182"/>
      <c r="CX538" s="182"/>
      <c r="CY538" s="182"/>
      <c r="CZ538" s="182"/>
      <c r="DA538" s="182"/>
      <c r="DB538" s="182"/>
      <c r="DC538" s="182"/>
      <c r="DD538" s="182"/>
      <c r="DE538" s="182"/>
      <c r="DF538" s="182"/>
      <c r="DG538" s="182"/>
      <c r="DH538" s="182"/>
      <c r="DI538" s="182"/>
      <c r="DJ538" s="182"/>
      <c r="DK538" s="182"/>
      <c r="DL538" s="182"/>
      <c r="DM538" s="182"/>
      <c r="DN538" s="182"/>
      <c r="DO538" s="182"/>
      <c r="DP538" s="182"/>
      <c r="DQ538" s="182"/>
      <c r="DR538" s="182"/>
      <c r="DS538" s="182"/>
      <c r="DT538" s="182"/>
      <c r="DU538" s="182"/>
      <c r="DV538" s="182"/>
      <c r="DW538" s="182"/>
      <c r="DX538" s="182"/>
      <c r="DY538" s="182"/>
      <c r="DZ538" s="182"/>
      <c r="EA538" s="182"/>
      <c r="EB538" s="182"/>
      <c r="EC538" s="182"/>
      <c r="ED538" s="182"/>
      <c r="EE538" s="182"/>
      <c r="EF538" s="182"/>
      <c r="EG538" s="182"/>
      <c r="EH538" s="182"/>
      <c r="EI538" s="182"/>
      <c r="EJ538" s="182"/>
      <c r="EK538" s="182"/>
      <c r="EL538" s="182"/>
      <c r="EM538" s="182"/>
      <c r="EN538" s="182"/>
      <c r="EO538" s="182"/>
      <c r="EP538" s="182"/>
      <c r="EQ538" s="182"/>
      <c r="ER538" s="182"/>
      <c r="ES538" s="182"/>
      <c r="ET538" s="182"/>
      <c r="EU538" s="182"/>
      <c r="EV538" s="182"/>
      <c r="EW538" s="182"/>
      <c r="EX538" s="182"/>
      <c r="EY538" s="182"/>
      <c r="EZ538" s="182"/>
      <c r="FA538" s="182"/>
      <c r="FB538" s="182"/>
      <c r="FC538" s="182"/>
      <c r="FD538" s="182"/>
      <c r="FE538" s="182"/>
      <c r="FF538" s="182"/>
      <c r="FG538" s="182"/>
      <c r="FH538" s="182"/>
      <c r="FI538" s="182"/>
      <c r="FJ538" s="182"/>
      <c r="FK538" s="182"/>
      <c r="FL538" s="182"/>
      <c r="FM538" s="182"/>
      <c r="FN538" s="182"/>
      <c r="FO538" s="182"/>
      <c r="FP538" s="182"/>
      <c r="FQ538" s="182"/>
      <c r="FR538" s="182"/>
      <c r="FS538" s="182"/>
      <c r="FT538" s="182"/>
      <c r="FU538" s="182"/>
      <c r="FV538" s="182"/>
      <c r="FW538" s="182"/>
      <c r="FX538" s="182"/>
      <c r="FY538" s="182"/>
      <c r="FZ538" s="182"/>
      <c r="GA538" s="182"/>
      <c r="GB538" s="182"/>
      <c r="GC538" s="182"/>
      <c r="GD538" s="182"/>
      <c r="GE538" s="182"/>
      <c r="GF538" s="182"/>
      <c r="GG538" s="182"/>
      <c r="GH538" s="182"/>
      <c r="GI538" s="182"/>
    </row>
    <row r="539" spans="1:191" s="183" customFormat="1" x14ac:dyDescent="0.2">
      <c r="A539" s="210" t="s">
        <v>38206</v>
      </c>
      <c r="B539" s="210" t="s">
        <v>1908</v>
      </c>
      <c r="C539" s="224" t="s">
        <v>1909</v>
      </c>
      <c r="D539" s="211" t="s">
        <v>16</v>
      </c>
      <c r="E539" s="211">
        <v>3</v>
      </c>
      <c r="F539" s="211"/>
      <c r="G539" s="211"/>
      <c r="H539" s="231">
        <v>10</v>
      </c>
      <c r="I539" s="213">
        <f t="shared" si="35"/>
        <v>8.3333333333333332E-3</v>
      </c>
      <c r="J539" s="272">
        <v>4189.99</v>
      </c>
      <c r="K539" s="113"/>
      <c r="L539" s="213"/>
      <c r="M539" s="112">
        <f t="shared" si="36"/>
        <v>104.75</v>
      </c>
      <c r="N539" s="112">
        <f t="shared" si="37"/>
        <v>3142.5</v>
      </c>
      <c r="O539" s="114"/>
      <c r="P539" s="113"/>
      <c r="R539" s="203"/>
      <c r="S539" s="182"/>
      <c r="T539" s="182"/>
      <c r="U539" s="182"/>
      <c r="V539" s="182"/>
      <c r="W539" s="182"/>
      <c r="X539" s="182"/>
      <c r="Y539" s="182"/>
      <c r="Z539" s="182"/>
      <c r="AA539" s="182"/>
      <c r="AB539" s="182"/>
      <c r="AC539" s="182"/>
      <c r="AD539" s="182"/>
      <c r="AE539" s="182"/>
      <c r="AF539" s="182"/>
      <c r="AG539" s="182"/>
      <c r="AH539" s="182"/>
      <c r="AI539" s="182"/>
      <c r="AJ539" s="182"/>
      <c r="AK539" s="182"/>
      <c r="AL539" s="182"/>
      <c r="AM539" s="182"/>
      <c r="AN539" s="182"/>
      <c r="AO539" s="182"/>
      <c r="AP539" s="182"/>
      <c r="AQ539" s="182"/>
      <c r="AR539" s="182"/>
      <c r="AS539" s="182"/>
      <c r="AT539" s="182"/>
      <c r="AU539" s="182"/>
      <c r="AV539" s="182"/>
      <c r="AW539" s="182"/>
      <c r="AX539" s="182"/>
      <c r="AY539" s="182"/>
      <c r="AZ539" s="182"/>
      <c r="BA539" s="182"/>
      <c r="BB539" s="182"/>
      <c r="BC539" s="182"/>
      <c r="BD539" s="182"/>
      <c r="BE539" s="182"/>
      <c r="BF539" s="182"/>
      <c r="BG539" s="182"/>
      <c r="BH539" s="182"/>
      <c r="BI539" s="182"/>
      <c r="BJ539" s="182"/>
      <c r="BK539" s="182"/>
      <c r="BL539" s="182"/>
      <c r="BM539" s="182"/>
      <c r="BN539" s="182"/>
      <c r="BO539" s="182"/>
      <c r="BP539" s="182"/>
      <c r="BQ539" s="182"/>
      <c r="BR539" s="182"/>
      <c r="BS539" s="182"/>
      <c r="BT539" s="182"/>
      <c r="BU539" s="182"/>
      <c r="BV539" s="182"/>
      <c r="BW539" s="182"/>
      <c r="BX539" s="182"/>
      <c r="BY539" s="182"/>
      <c r="BZ539" s="182"/>
      <c r="CA539" s="182"/>
      <c r="CB539" s="182"/>
      <c r="CC539" s="182"/>
      <c r="CD539" s="182"/>
      <c r="CE539" s="182"/>
      <c r="CF539" s="182"/>
      <c r="CG539" s="182"/>
      <c r="CH539" s="182"/>
      <c r="CI539" s="182"/>
      <c r="CJ539" s="182"/>
      <c r="CK539" s="182"/>
      <c r="CL539" s="182"/>
      <c r="CM539" s="182"/>
      <c r="CN539" s="182"/>
      <c r="CO539" s="182"/>
      <c r="CP539" s="182"/>
      <c r="CQ539" s="182"/>
      <c r="CR539" s="182"/>
      <c r="CS539" s="182"/>
      <c r="CT539" s="182"/>
      <c r="CU539" s="182"/>
      <c r="CV539" s="182"/>
      <c r="CW539" s="182"/>
      <c r="CX539" s="182"/>
      <c r="CY539" s="182"/>
      <c r="CZ539" s="182"/>
      <c r="DA539" s="182"/>
      <c r="DB539" s="182"/>
      <c r="DC539" s="182"/>
      <c r="DD539" s="182"/>
      <c r="DE539" s="182"/>
      <c r="DF539" s="182"/>
      <c r="DG539" s="182"/>
      <c r="DH539" s="182"/>
      <c r="DI539" s="182"/>
      <c r="DJ539" s="182"/>
      <c r="DK539" s="182"/>
      <c r="DL539" s="182"/>
      <c r="DM539" s="182"/>
      <c r="DN539" s="182"/>
      <c r="DO539" s="182"/>
      <c r="DP539" s="182"/>
      <c r="DQ539" s="182"/>
      <c r="DR539" s="182"/>
      <c r="DS539" s="182"/>
      <c r="DT539" s="182"/>
      <c r="DU539" s="182"/>
      <c r="DV539" s="182"/>
      <c r="DW539" s="182"/>
      <c r="DX539" s="182"/>
      <c r="DY539" s="182"/>
      <c r="DZ539" s="182"/>
      <c r="EA539" s="182"/>
      <c r="EB539" s="182"/>
      <c r="EC539" s="182"/>
      <c r="ED539" s="182"/>
      <c r="EE539" s="182"/>
      <c r="EF539" s="182"/>
      <c r="EG539" s="182"/>
      <c r="EH539" s="182"/>
      <c r="EI539" s="182"/>
      <c r="EJ539" s="182"/>
      <c r="EK539" s="182"/>
      <c r="EL539" s="182"/>
      <c r="EM539" s="182"/>
      <c r="EN539" s="182"/>
      <c r="EO539" s="182"/>
      <c r="EP539" s="182"/>
      <c r="EQ539" s="182"/>
      <c r="ER539" s="182"/>
      <c r="ES539" s="182"/>
      <c r="ET539" s="182"/>
      <c r="EU539" s="182"/>
      <c r="EV539" s="182"/>
      <c r="EW539" s="182"/>
      <c r="EX539" s="182"/>
      <c r="EY539" s="182"/>
      <c r="EZ539" s="182"/>
      <c r="FA539" s="182"/>
      <c r="FB539" s="182"/>
      <c r="FC539" s="182"/>
      <c r="FD539" s="182"/>
      <c r="FE539" s="182"/>
      <c r="FF539" s="182"/>
      <c r="FG539" s="182"/>
      <c r="FH539" s="182"/>
      <c r="FI539" s="182"/>
      <c r="FJ539" s="182"/>
      <c r="FK539" s="182"/>
      <c r="FL539" s="182"/>
      <c r="FM539" s="182"/>
      <c r="FN539" s="182"/>
      <c r="FO539" s="182"/>
      <c r="FP539" s="182"/>
      <c r="FQ539" s="182"/>
      <c r="FR539" s="182"/>
      <c r="FS539" s="182"/>
      <c r="FT539" s="182"/>
      <c r="FU539" s="182"/>
      <c r="FV539" s="182"/>
      <c r="FW539" s="182"/>
      <c r="FX539" s="182"/>
      <c r="FY539" s="182"/>
      <c r="FZ539" s="182"/>
      <c r="GA539" s="182"/>
      <c r="GB539" s="182"/>
      <c r="GC539" s="182"/>
      <c r="GD539" s="182"/>
      <c r="GE539" s="182"/>
      <c r="GF539" s="182"/>
      <c r="GG539" s="182"/>
      <c r="GH539" s="182"/>
      <c r="GI539" s="182"/>
    </row>
    <row r="540" spans="1:191" s="183" customFormat="1" x14ac:dyDescent="0.2">
      <c r="A540" s="210" t="s">
        <v>38207</v>
      </c>
      <c r="B540" s="210" t="s">
        <v>13312</v>
      </c>
      <c r="C540" s="224" t="s">
        <v>13085</v>
      </c>
      <c r="D540" s="211" t="s">
        <v>16</v>
      </c>
      <c r="E540" s="211">
        <v>3</v>
      </c>
      <c r="F540" s="211"/>
      <c r="G540" s="211"/>
      <c r="H540" s="231">
        <v>5</v>
      </c>
      <c r="I540" s="213">
        <f t="shared" si="35"/>
        <v>1.6666666666666666E-2</v>
      </c>
      <c r="J540" s="272">
        <v>1969.3</v>
      </c>
      <c r="K540" s="113"/>
      <c r="L540" s="213"/>
      <c r="M540" s="112">
        <f t="shared" si="36"/>
        <v>98.47</v>
      </c>
      <c r="N540" s="112">
        <f t="shared" si="37"/>
        <v>2954.1</v>
      </c>
      <c r="O540" s="114"/>
      <c r="P540" s="113"/>
      <c r="R540" s="203"/>
      <c r="S540" s="182"/>
      <c r="T540" s="182"/>
      <c r="U540" s="182"/>
      <c r="V540" s="182"/>
      <c r="W540" s="182"/>
      <c r="X540" s="182"/>
      <c r="Y540" s="182"/>
      <c r="Z540" s="182"/>
      <c r="AA540" s="182"/>
      <c r="AB540" s="182"/>
      <c r="AC540" s="182"/>
      <c r="AD540" s="182"/>
      <c r="AE540" s="182"/>
      <c r="AF540" s="182"/>
      <c r="AG540" s="182"/>
      <c r="AH540" s="182"/>
      <c r="AI540" s="182"/>
      <c r="AJ540" s="182"/>
      <c r="AK540" s="182"/>
      <c r="AL540" s="182"/>
      <c r="AM540" s="182"/>
      <c r="AN540" s="182"/>
      <c r="AO540" s="182"/>
      <c r="AP540" s="182"/>
      <c r="AQ540" s="182"/>
      <c r="AR540" s="182"/>
      <c r="AS540" s="182"/>
      <c r="AT540" s="182"/>
      <c r="AU540" s="182"/>
      <c r="AV540" s="182"/>
      <c r="AW540" s="182"/>
      <c r="AX540" s="182"/>
      <c r="AY540" s="182"/>
      <c r="AZ540" s="182"/>
      <c r="BA540" s="182"/>
      <c r="BB540" s="182"/>
      <c r="BC540" s="182"/>
      <c r="BD540" s="182"/>
      <c r="BE540" s="182"/>
      <c r="BF540" s="182"/>
      <c r="BG540" s="182"/>
      <c r="BH540" s="182"/>
      <c r="BI540" s="182"/>
      <c r="BJ540" s="182"/>
      <c r="BK540" s="182"/>
      <c r="BL540" s="182"/>
      <c r="BM540" s="182"/>
      <c r="BN540" s="182"/>
      <c r="BO540" s="182"/>
      <c r="BP540" s="182"/>
      <c r="BQ540" s="182"/>
      <c r="BR540" s="182"/>
      <c r="BS540" s="182"/>
      <c r="BT540" s="182"/>
      <c r="BU540" s="182"/>
      <c r="BV540" s="182"/>
      <c r="BW540" s="182"/>
      <c r="BX540" s="182"/>
      <c r="BY540" s="182"/>
      <c r="BZ540" s="182"/>
      <c r="CA540" s="182"/>
      <c r="CB540" s="182"/>
      <c r="CC540" s="182"/>
      <c r="CD540" s="182"/>
      <c r="CE540" s="182"/>
      <c r="CF540" s="182"/>
      <c r="CG540" s="182"/>
      <c r="CH540" s="182"/>
      <c r="CI540" s="182"/>
      <c r="CJ540" s="182"/>
      <c r="CK540" s="182"/>
      <c r="CL540" s="182"/>
      <c r="CM540" s="182"/>
      <c r="CN540" s="182"/>
      <c r="CO540" s="182"/>
      <c r="CP540" s="182"/>
      <c r="CQ540" s="182"/>
      <c r="CR540" s="182"/>
      <c r="CS540" s="182"/>
      <c r="CT540" s="182"/>
      <c r="CU540" s="182"/>
      <c r="CV540" s="182"/>
      <c r="CW540" s="182"/>
      <c r="CX540" s="182"/>
      <c r="CY540" s="182"/>
      <c r="CZ540" s="182"/>
      <c r="DA540" s="182"/>
      <c r="DB540" s="182"/>
      <c r="DC540" s="182"/>
      <c r="DD540" s="182"/>
      <c r="DE540" s="182"/>
      <c r="DF540" s="182"/>
      <c r="DG540" s="182"/>
      <c r="DH540" s="182"/>
      <c r="DI540" s="182"/>
      <c r="DJ540" s="182"/>
      <c r="DK540" s="182"/>
      <c r="DL540" s="182"/>
      <c r="DM540" s="182"/>
      <c r="DN540" s="182"/>
      <c r="DO540" s="182"/>
      <c r="DP540" s="182"/>
      <c r="DQ540" s="182"/>
      <c r="DR540" s="182"/>
      <c r="DS540" s="182"/>
      <c r="DT540" s="182"/>
      <c r="DU540" s="182"/>
      <c r="DV540" s="182"/>
      <c r="DW540" s="182"/>
      <c r="DX540" s="182"/>
      <c r="DY540" s="182"/>
      <c r="DZ540" s="182"/>
      <c r="EA540" s="182"/>
      <c r="EB540" s="182"/>
      <c r="EC540" s="182"/>
      <c r="ED540" s="182"/>
      <c r="EE540" s="182"/>
      <c r="EF540" s="182"/>
      <c r="EG540" s="182"/>
      <c r="EH540" s="182"/>
      <c r="EI540" s="182"/>
      <c r="EJ540" s="182"/>
      <c r="EK540" s="182"/>
      <c r="EL540" s="182"/>
      <c r="EM540" s="182"/>
      <c r="EN540" s="182"/>
      <c r="EO540" s="182"/>
      <c r="EP540" s="182"/>
      <c r="EQ540" s="182"/>
      <c r="ER540" s="182"/>
      <c r="ES540" s="182"/>
      <c r="ET540" s="182"/>
      <c r="EU540" s="182"/>
      <c r="EV540" s="182"/>
      <c r="EW540" s="182"/>
      <c r="EX540" s="182"/>
      <c r="EY540" s="182"/>
      <c r="EZ540" s="182"/>
      <c r="FA540" s="182"/>
      <c r="FB540" s="182"/>
      <c r="FC540" s="182"/>
      <c r="FD540" s="182"/>
      <c r="FE540" s="182"/>
      <c r="FF540" s="182"/>
      <c r="FG540" s="182"/>
      <c r="FH540" s="182"/>
      <c r="FI540" s="182"/>
      <c r="FJ540" s="182"/>
      <c r="FK540" s="182"/>
      <c r="FL540" s="182"/>
      <c r="FM540" s="182"/>
      <c r="FN540" s="182"/>
      <c r="FO540" s="182"/>
      <c r="FP540" s="182"/>
      <c r="FQ540" s="182"/>
      <c r="FR540" s="182"/>
      <c r="FS540" s="182"/>
      <c r="FT540" s="182"/>
      <c r="FU540" s="182"/>
      <c r="FV540" s="182"/>
      <c r="FW540" s="182"/>
      <c r="FX540" s="182"/>
      <c r="FY540" s="182"/>
      <c r="FZ540" s="182"/>
      <c r="GA540" s="182"/>
      <c r="GB540" s="182"/>
      <c r="GC540" s="182"/>
      <c r="GD540" s="182"/>
      <c r="GE540" s="182"/>
      <c r="GF540" s="182"/>
      <c r="GG540" s="182"/>
      <c r="GH540" s="182"/>
      <c r="GI540" s="182"/>
    </row>
    <row r="541" spans="1:191" s="183" customFormat="1" x14ac:dyDescent="0.2">
      <c r="A541" s="210" t="s">
        <v>38208</v>
      </c>
      <c r="B541" s="210" t="s">
        <v>13313</v>
      </c>
      <c r="C541" s="224" t="s">
        <v>13086</v>
      </c>
      <c r="D541" s="211" t="s">
        <v>16</v>
      </c>
      <c r="E541" s="211">
        <v>5</v>
      </c>
      <c r="F541" s="211"/>
      <c r="G541" s="211"/>
      <c r="H541" s="231">
        <v>10</v>
      </c>
      <c r="I541" s="213">
        <f t="shared" si="35"/>
        <v>8.3333333333333332E-3</v>
      </c>
      <c r="J541" s="272">
        <v>86.59</v>
      </c>
      <c r="K541" s="113"/>
      <c r="L541" s="213"/>
      <c r="M541" s="112">
        <f t="shared" si="36"/>
        <v>3.61</v>
      </c>
      <c r="N541" s="112">
        <f t="shared" si="37"/>
        <v>108.3</v>
      </c>
      <c r="O541" s="114"/>
      <c r="P541" s="113"/>
      <c r="R541" s="203"/>
      <c r="S541" s="182"/>
      <c r="T541" s="182"/>
      <c r="U541" s="182"/>
      <c r="V541" s="182"/>
      <c r="W541" s="182"/>
      <c r="X541" s="182"/>
      <c r="Y541" s="182"/>
      <c r="Z541" s="182"/>
      <c r="AA541" s="182"/>
      <c r="AB541" s="182"/>
      <c r="AC541" s="182"/>
      <c r="AD541" s="182"/>
      <c r="AE541" s="182"/>
      <c r="AF541" s="182"/>
      <c r="AG541" s="182"/>
      <c r="AH541" s="182"/>
      <c r="AI541" s="182"/>
      <c r="AJ541" s="182"/>
      <c r="AK541" s="182"/>
      <c r="AL541" s="182"/>
      <c r="AM541" s="182"/>
      <c r="AN541" s="182"/>
      <c r="AO541" s="182"/>
      <c r="AP541" s="182"/>
      <c r="AQ541" s="182"/>
      <c r="AR541" s="182"/>
      <c r="AS541" s="182"/>
      <c r="AT541" s="182"/>
      <c r="AU541" s="182"/>
      <c r="AV541" s="182"/>
      <c r="AW541" s="182"/>
      <c r="AX541" s="182"/>
      <c r="AY541" s="182"/>
      <c r="AZ541" s="182"/>
      <c r="BA541" s="182"/>
      <c r="BB541" s="182"/>
      <c r="BC541" s="182"/>
      <c r="BD541" s="182"/>
      <c r="BE541" s="182"/>
      <c r="BF541" s="182"/>
      <c r="BG541" s="182"/>
      <c r="BH541" s="182"/>
      <c r="BI541" s="182"/>
      <c r="BJ541" s="182"/>
      <c r="BK541" s="182"/>
      <c r="BL541" s="182"/>
      <c r="BM541" s="182"/>
      <c r="BN541" s="182"/>
      <c r="BO541" s="182"/>
      <c r="BP541" s="182"/>
      <c r="BQ541" s="182"/>
      <c r="BR541" s="182"/>
      <c r="BS541" s="182"/>
      <c r="BT541" s="182"/>
      <c r="BU541" s="182"/>
      <c r="BV541" s="182"/>
      <c r="BW541" s="182"/>
      <c r="BX541" s="182"/>
      <c r="BY541" s="182"/>
      <c r="BZ541" s="182"/>
      <c r="CA541" s="182"/>
      <c r="CB541" s="182"/>
      <c r="CC541" s="182"/>
      <c r="CD541" s="182"/>
      <c r="CE541" s="182"/>
      <c r="CF541" s="182"/>
      <c r="CG541" s="182"/>
      <c r="CH541" s="182"/>
      <c r="CI541" s="182"/>
      <c r="CJ541" s="182"/>
      <c r="CK541" s="182"/>
      <c r="CL541" s="182"/>
      <c r="CM541" s="182"/>
      <c r="CN541" s="182"/>
      <c r="CO541" s="182"/>
      <c r="CP541" s="182"/>
      <c r="CQ541" s="182"/>
      <c r="CR541" s="182"/>
      <c r="CS541" s="182"/>
      <c r="CT541" s="182"/>
      <c r="CU541" s="182"/>
      <c r="CV541" s="182"/>
      <c r="CW541" s="182"/>
      <c r="CX541" s="182"/>
      <c r="CY541" s="182"/>
      <c r="CZ541" s="182"/>
      <c r="DA541" s="182"/>
      <c r="DB541" s="182"/>
      <c r="DC541" s="182"/>
      <c r="DD541" s="182"/>
      <c r="DE541" s="182"/>
      <c r="DF541" s="182"/>
      <c r="DG541" s="182"/>
      <c r="DH541" s="182"/>
      <c r="DI541" s="182"/>
      <c r="DJ541" s="182"/>
      <c r="DK541" s="182"/>
      <c r="DL541" s="182"/>
      <c r="DM541" s="182"/>
      <c r="DN541" s="182"/>
      <c r="DO541" s="182"/>
      <c r="DP541" s="182"/>
      <c r="DQ541" s="182"/>
      <c r="DR541" s="182"/>
      <c r="DS541" s="182"/>
      <c r="DT541" s="182"/>
      <c r="DU541" s="182"/>
      <c r="DV541" s="182"/>
      <c r="DW541" s="182"/>
      <c r="DX541" s="182"/>
      <c r="DY541" s="182"/>
      <c r="DZ541" s="182"/>
      <c r="EA541" s="182"/>
      <c r="EB541" s="182"/>
      <c r="EC541" s="182"/>
      <c r="ED541" s="182"/>
      <c r="EE541" s="182"/>
      <c r="EF541" s="182"/>
      <c r="EG541" s="182"/>
      <c r="EH541" s="182"/>
      <c r="EI541" s="182"/>
      <c r="EJ541" s="182"/>
      <c r="EK541" s="182"/>
      <c r="EL541" s="182"/>
      <c r="EM541" s="182"/>
      <c r="EN541" s="182"/>
      <c r="EO541" s="182"/>
      <c r="EP541" s="182"/>
      <c r="EQ541" s="182"/>
      <c r="ER541" s="182"/>
      <c r="ES541" s="182"/>
      <c r="ET541" s="182"/>
      <c r="EU541" s="182"/>
      <c r="EV541" s="182"/>
      <c r="EW541" s="182"/>
      <c r="EX541" s="182"/>
      <c r="EY541" s="182"/>
      <c r="EZ541" s="182"/>
      <c r="FA541" s="182"/>
      <c r="FB541" s="182"/>
      <c r="FC541" s="182"/>
      <c r="FD541" s="182"/>
      <c r="FE541" s="182"/>
      <c r="FF541" s="182"/>
      <c r="FG541" s="182"/>
      <c r="FH541" s="182"/>
      <c r="FI541" s="182"/>
      <c r="FJ541" s="182"/>
      <c r="FK541" s="182"/>
      <c r="FL541" s="182"/>
      <c r="FM541" s="182"/>
      <c r="FN541" s="182"/>
      <c r="FO541" s="182"/>
      <c r="FP541" s="182"/>
      <c r="FQ541" s="182"/>
      <c r="FR541" s="182"/>
      <c r="FS541" s="182"/>
      <c r="FT541" s="182"/>
      <c r="FU541" s="182"/>
      <c r="FV541" s="182"/>
      <c r="FW541" s="182"/>
      <c r="FX541" s="182"/>
      <c r="FY541" s="182"/>
      <c r="FZ541" s="182"/>
      <c r="GA541" s="182"/>
      <c r="GB541" s="182"/>
      <c r="GC541" s="182"/>
      <c r="GD541" s="182"/>
      <c r="GE541" s="182"/>
      <c r="GF541" s="182"/>
      <c r="GG541" s="182"/>
      <c r="GH541" s="182"/>
      <c r="GI541" s="182"/>
    </row>
    <row r="542" spans="1:191" s="183" customFormat="1" x14ac:dyDescent="0.2">
      <c r="A542" s="210" t="s">
        <v>38209</v>
      </c>
      <c r="B542" s="210" t="s">
        <v>13314</v>
      </c>
      <c r="C542" s="224" t="s">
        <v>13087</v>
      </c>
      <c r="D542" s="211" t="s">
        <v>16</v>
      </c>
      <c r="E542" s="211">
        <v>8</v>
      </c>
      <c r="F542" s="211"/>
      <c r="G542" s="211"/>
      <c r="H542" s="231">
        <v>5</v>
      </c>
      <c r="I542" s="213">
        <f t="shared" si="35"/>
        <v>1.6666666666666666E-2</v>
      </c>
      <c r="J542" s="272">
        <v>58.78</v>
      </c>
      <c r="K542" s="113"/>
      <c r="L542" s="213"/>
      <c r="M542" s="112">
        <f t="shared" si="36"/>
        <v>7.84</v>
      </c>
      <c r="N542" s="112">
        <f t="shared" si="37"/>
        <v>235.2</v>
      </c>
      <c r="O542" s="114"/>
      <c r="P542" s="113"/>
      <c r="R542" s="203"/>
      <c r="S542" s="182"/>
      <c r="T542" s="182"/>
      <c r="U542" s="182"/>
      <c r="V542" s="182"/>
      <c r="W542" s="182"/>
      <c r="X542" s="182"/>
      <c r="Y542" s="182"/>
      <c r="Z542" s="182"/>
      <c r="AA542" s="182"/>
      <c r="AB542" s="182"/>
      <c r="AC542" s="182"/>
      <c r="AD542" s="182"/>
      <c r="AE542" s="182"/>
      <c r="AF542" s="182"/>
      <c r="AG542" s="182"/>
      <c r="AH542" s="182"/>
      <c r="AI542" s="182"/>
      <c r="AJ542" s="182"/>
      <c r="AK542" s="182"/>
      <c r="AL542" s="182"/>
      <c r="AM542" s="182"/>
      <c r="AN542" s="182"/>
      <c r="AO542" s="182"/>
      <c r="AP542" s="182"/>
      <c r="AQ542" s="182"/>
      <c r="AR542" s="182"/>
      <c r="AS542" s="182"/>
      <c r="AT542" s="182"/>
      <c r="AU542" s="182"/>
      <c r="AV542" s="182"/>
      <c r="AW542" s="182"/>
      <c r="AX542" s="182"/>
      <c r="AY542" s="182"/>
      <c r="AZ542" s="182"/>
      <c r="BA542" s="182"/>
      <c r="BB542" s="182"/>
      <c r="BC542" s="182"/>
      <c r="BD542" s="182"/>
      <c r="BE542" s="182"/>
      <c r="BF542" s="182"/>
      <c r="BG542" s="182"/>
      <c r="BH542" s="182"/>
      <c r="BI542" s="182"/>
      <c r="BJ542" s="182"/>
      <c r="BK542" s="182"/>
      <c r="BL542" s="182"/>
      <c r="BM542" s="182"/>
      <c r="BN542" s="182"/>
      <c r="BO542" s="182"/>
      <c r="BP542" s="182"/>
      <c r="BQ542" s="182"/>
      <c r="BR542" s="182"/>
      <c r="BS542" s="182"/>
      <c r="BT542" s="182"/>
      <c r="BU542" s="182"/>
      <c r="BV542" s="182"/>
      <c r="BW542" s="182"/>
      <c r="BX542" s="182"/>
      <c r="BY542" s="182"/>
      <c r="BZ542" s="182"/>
      <c r="CA542" s="182"/>
      <c r="CB542" s="182"/>
      <c r="CC542" s="182"/>
      <c r="CD542" s="182"/>
      <c r="CE542" s="182"/>
      <c r="CF542" s="182"/>
      <c r="CG542" s="182"/>
      <c r="CH542" s="182"/>
      <c r="CI542" s="182"/>
      <c r="CJ542" s="182"/>
      <c r="CK542" s="182"/>
      <c r="CL542" s="182"/>
      <c r="CM542" s="182"/>
      <c r="CN542" s="182"/>
      <c r="CO542" s="182"/>
      <c r="CP542" s="182"/>
      <c r="CQ542" s="182"/>
      <c r="CR542" s="182"/>
      <c r="CS542" s="182"/>
      <c r="CT542" s="182"/>
      <c r="CU542" s="182"/>
      <c r="CV542" s="182"/>
      <c r="CW542" s="182"/>
      <c r="CX542" s="182"/>
      <c r="CY542" s="182"/>
      <c r="CZ542" s="182"/>
      <c r="DA542" s="182"/>
      <c r="DB542" s="182"/>
      <c r="DC542" s="182"/>
      <c r="DD542" s="182"/>
      <c r="DE542" s="182"/>
      <c r="DF542" s="182"/>
      <c r="DG542" s="182"/>
      <c r="DH542" s="182"/>
      <c r="DI542" s="182"/>
      <c r="DJ542" s="182"/>
      <c r="DK542" s="182"/>
      <c r="DL542" s="182"/>
      <c r="DM542" s="182"/>
      <c r="DN542" s="182"/>
      <c r="DO542" s="182"/>
      <c r="DP542" s="182"/>
      <c r="DQ542" s="182"/>
      <c r="DR542" s="182"/>
      <c r="DS542" s="182"/>
      <c r="DT542" s="182"/>
      <c r="DU542" s="182"/>
      <c r="DV542" s="182"/>
      <c r="DW542" s="182"/>
      <c r="DX542" s="182"/>
      <c r="DY542" s="182"/>
      <c r="DZ542" s="182"/>
      <c r="EA542" s="182"/>
      <c r="EB542" s="182"/>
      <c r="EC542" s="182"/>
      <c r="ED542" s="182"/>
      <c r="EE542" s="182"/>
      <c r="EF542" s="182"/>
      <c r="EG542" s="182"/>
      <c r="EH542" s="182"/>
      <c r="EI542" s="182"/>
      <c r="EJ542" s="182"/>
      <c r="EK542" s="182"/>
      <c r="EL542" s="182"/>
      <c r="EM542" s="182"/>
      <c r="EN542" s="182"/>
      <c r="EO542" s="182"/>
      <c r="EP542" s="182"/>
      <c r="EQ542" s="182"/>
      <c r="ER542" s="182"/>
      <c r="ES542" s="182"/>
      <c r="ET542" s="182"/>
      <c r="EU542" s="182"/>
      <c r="EV542" s="182"/>
      <c r="EW542" s="182"/>
      <c r="EX542" s="182"/>
      <c r="EY542" s="182"/>
      <c r="EZ542" s="182"/>
      <c r="FA542" s="182"/>
      <c r="FB542" s="182"/>
      <c r="FC542" s="182"/>
      <c r="FD542" s="182"/>
      <c r="FE542" s="182"/>
      <c r="FF542" s="182"/>
      <c r="FG542" s="182"/>
      <c r="FH542" s="182"/>
      <c r="FI542" s="182"/>
      <c r="FJ542" s="182"/>
      <c r="FK542" s="182"/>
      <c r="FL542" s="182"/>
      <c r="FM542" s="182"/>
      <c r="FN542" s="182"/>
      <c r="FO542" s="182"/>
      <c r="FP542" s="182"/>
      <c r="FQ542" s="182"/>
      <c r="FR542" s="182"/>
      <c r="FS542" s="182"/>
      <c r="FT542" s="182"/>
      <c r="FU542" s="182"/>
      <c r="FV542" s="182"/>
      <c r="FW542" s="182"/>
      <c r="FX542" s="182"/>
      <c r="FY542" s="182"/>
      <c r="FZ542" s="182"/>
      <c r="GA542" s="182"/>
      <c r="GB542" s="182"/>
      <c r="GC542" s="182"/>
      <c r="GD542" s="182"/>
      <c r="GE542" s="182"/>
      <c r="GF542" s="182"/>
      <c r="GG542" s="182"/>
      <c r="GH542" s="182"/>
      <c r="GI542" s="182"/>
    </row>
    <row r="543" spans="1:191" s="183" customFormat="1" x14ac:dyDescent="0.2">
      <c r="A543" s="210" t="s">
        <v>38210</v>
      </c>
      <c r="B543" s="210" t="s">
        <v>13315</v>
      </c>
      <c r="C543" s="224" t="s">
        <v>13088</v>
      </c>
      <c r="D543" s="211" t="s">
        <v>16</v>
      </c>
      <c r="E543" s="211">
        <v>12</v>
      </c>
      <c r="F543" s="211"/>
      <c r="G543" s="211"/>
      <c r="H543" s="231">
        <v>5</v>
      </c>
      <c r="I543" s="213">
        <f t="shared" si="35"/>
        <v>1.6666666666666666E-2</v>
      </c>
      <c r="J543" s="272">
        <v>34.68</v>
      </c>
      <c r="K543" s="113"/>
      <c r="L543" s="213"/>
      <c r="M543" s="112">
        <f t="shared" si="36"/>
        <v>6.94</v>
      </c>
      <c r="N543" s="112">
        <f t="shared" si="37"/>
        <v>208.2</v>
      </c>
      <c r="O543" s="114"/>
      <c r="P543" s="113"/>
      <c r="R543" s="203"/>
      <c r="S543" s="182"/>
      <c r="T543" s="182"/>
      <c r="U543" s="182"/>
      <c r="V543" s="182"/>
      <c r="W543" s="182"/>
      <c r="X543" s="182"/>
      <c r="Y543" s="182"/>
      <c r="Z543" s="182"/>
      <c r="AA543" s="182"/>
      <c r="AB543" s="182"/>
      <c r="AC543" s="182"/>
      <c r="AD543" s="182"/>
      <c r="AE543" s="182"/>
      <c r="AF543" s="182"/>
      <c r="AG543" s="182"/>
      <c r="AH543" s="182"/>
      <c r="AI543" s="182"/>
      <c r="AJ543" s="182"/>
      <c r="AK543" s="182"/>
      <c r="AL543" s="182"/>
      <c r="AM543" s="182"/>
      <c r="AN543" s="182"/>
      <c r="AO543" s="182"/>
      <c r="AP543" s="182"/>
      <c r="AQ543" s="182"/>
      <c r="AR543" s="182"/>
      <c r="AS543" s="182"/>
      <c r="AT543" s="182"/>
      <c r="AU543" s="182"/>
      <c r="AV543" s="182"/>
      <c r="AW543" s="182"/>
      <c r="AX543" s="182"/>
      <c r="AY543" s="182"/>
      <c r="AZ543" s="182"/>
      <c r="BA543" s="182"/>
      <c r="BB543" s="182"/>
      <c r="BC543" s="182"/>
      <c r="BD543" s="182"/>
      <c r="BE543" s="182"/>
      <c r="BF543" s="182"/>
      <c r="BG543" s="182"/>
      <c r="BH543" s="182"/>
      <c r="BI543" s="182"/>
      <c r="BJ543" s="182"/>
      <c r="BK543" s="182"/>
      <c r="BL543" s="182"/>
      <c r="BM543" s="182"/>
      <c r="BN543" s="182"/>
      <c r="BO543" s="182"/>
      <c r="BP543" s="182"/>
      <c r="BQ543" s="182"/>
      <c r="BR543" s="182"/>
      <c r="BS543" s="182"/>
      <c r="BT543" s="182"/>
      <c r="BU543" s="182"/>
      <c r="BV543" s="182"/>
      <c r="BW543" s="182"/>
      <c r="BX543" s="182"/>
      <c r="BY543" s="182"/>
      <c r="BZ543" s="182"/>
      <c r="CA543" s="182"/>
      <c r="CB543" s="182"/>
      <c r="CC543" s="182"/>
      <c r="CD543" s="182"/>
      <c r="CE543" s="182"/>
      <c r="CF543" s="182"/>
      <c r="CG543" s="182"/>
      <c r="CH543" s="182"/>
      <c r="CI543" s="182"/>
      <c r="CJ543" s="182"/>
      <c r="CK543" s="182"/>
      <c r="CL543" s="182"/>
      <c r="CM543" s="182"/>
      <c r="CN543" s="182"/>
      <c r="CO543" s="182"/>
      <c r="CP543" s="182"/>
      <c r="CQ543" s="182"/>
      <c r="CR543" s="182"/>
      <c r="CS543" s="182"/>
      <c r="CT543" s="182"/>
      <c r="CU543" s="182"/>
      <c r="CV543" s="182"/>
      <c r="CW543" s="182"/>
      <c r="CX543" s="182"/>
      <c r="CY543" s="182"/>
      <c r="CZ543" s="182"/>
      <c r="DA543" s="182"/>
      <c r="DB543" s="182"/>
      <c r="DC543" s="182"/>
      <c r="DD543" s="182"/>
      <c r="DE543" s="182"/>
      <c r="DF543" s="182"/>
      <c r="DG543" s="182"/>
      <c r="DH543" s="182"/>
      <c r="DI543" s="182"/>
      <c r="DJ543" s="182"/>
      <c r="DK543" s="182"/>
      <c r="DL543" s="182"/>
      <c r="DM543" s="182"/>
      <c r="DN543" s="182"/>
      <c r="DO543" s="182"/>
      <c r="DP543" s="182"/>
      <c r="DQ543" s="182"/>
      <c r="DR543" s="182"/>
      <c r="DS543" s="182"/>
      <c r="DT543" s="182"/>
      <c r="DU543" s="182"/>
      <c r="DV543" s="182"/>
      <c r="DW543" s="182"/>
      <c r="DX543" s="182"/>
      <c r="DY543" s="182"/>
      <c r="DZ543" s="182"/>
      <c r="EA543" s="182"/>
      <c r="EB543" s="182"/>
      <c r="EC543" s="182"/>
      <c r="ED543" s="182"/>
      <c r="EE543" s="182"/>
      <c r="EF543" s="182"/>
      <c r="EG543" s="182"/>
      <c r="EH543" s="182"/>
      <c r="EI543" s="182"/>
      <c r="EJ543" s="182"/>
      <c r="EK543" s="182"/>
      <c r="EL543" s="182"/>
      <c r="EM543" s="182"/>
      <c r="EN543" s="182"/>
      <c r="EO543" s="182"/>
      <c r="EP543" s="182"/>
      <c r="EQ543" s="182"/>
      <c r="ER543" s="182"/>
      <c r="ES543" s="182"/>
      <c r="ET543" s="182"/>
      <c r="EU543" s="182"/>
      <c r="EV543" s="182"/>
      <c r="EW543" s="182"/>
      <c r="EX543" s="182"/>
      <c r="EY543" s="182"/>
      <c r="EZ543" s="182"/>
      <c r="FA543" s="182"/>
      <c r="FB543" s="182"/>
      <c r="FC543" s="182"/>
      <c r="FD543" s="182"/>
      <c r="FE543" s="182"/>
      <c r="FF543" s="182"/>
      <c r="FG543" s="182"/>
      <c r="FH543" s="182"/>
      <c r="FI543" s="182"/>
      <c r="FJ543" s="182"/>
      <c r="FK543" s="182"/>
      <c r="FL543" s="182"/>
      <c r="FM543" s="182"/>
      <c r="FN543" s="182"/>
      <c r="FO543" s="182"/>
      <c r="FP543" s="182"/>
      <c r="FQ543" s="182"/>
      <c r="FR543" s="182"/>
      <c r="FS543" s="182"/>
      <c r="FT543" s="182"/>
      <c r="FU543" s="182"/>
      <c r="FV543" s="182"/>
      <c r="FW543" s="182"/>
      <c r="FX543" s="182"/>
      <c r="FY543" s="182"/>
      <c r="FZ543" s="182"/>
      <c r="GA543" s="182"/>
      <c r="GB543" s="182"/>
      <c r="GC543" s="182"/>
      <c r="GD543" s="182"/>
      <c r="GE543" s="182"/>
      <c r="GF543" s="182"/>
      <c r="GG543" s="182"/>
      <c r="GH543" s="182"/>
      <c r="GI543" s="182"/>
    </row>
    <row r="544" spans="1:191" s="183" customFormat="1" x14ac:dyDescent="0.2">
      <c r="A544" s="210" t="s">
        <v>38211</v>
      </c>
      <c r="B544" s="210" t="s">
        <v>13316</v>
      </c>
      <c r="C544" s="224" t="s">
        <v>13089</v>
      </c>
      <c r="D544" s="211" t="s">
        <v>16</v>
      </c>
      <c r="E544" s="211">
        <v>43</v>
      </c>
      <c r="F544" s="211"/>
      <c r="G544" s="211"/>
      <c r="H544" s="231">
        <v>10</v>
      </c>
      <c r="I544" s="213">
        <f t="shared" si="35"/>
        <v>8.3333333333333332E-3</v>
      </c>
      <c r="J544" s="272">
        <v>125.11</v>
      </c>
      <c r="K544" s="113"/>
      <c r="L544" s="213"/>
      <c r="M544" s="112">
        <f t="shared" si="36"/>
        <v>44.83</v>
      </c>
      <c r="N544" s="112">
        <f t="shared" si="37"/>
        <v>1344.9</v>
      </c>
      <c r="O544" s="114"/>
      <c r="P544" s="113"/>
      <c r="R544" s="203"/>
      <c r="S544" s="182"/>
      <c r="T544" s="182"/>
      <c r="U544" s="182"/>
      <c r="V544" s="182"/>
      <c r="W544" s="182"/>
      <c r="X544" s="182"/>
      <c r="Y544" s="182"/>
      <c r="Z544" s="182"/>
      <c r="AA544" s="182"/>
      <c r="AB544" s="182"/>
      <c r="AC544" s="182"/>
      <c r="AD544" s="182"/>
      <c r="AE544" s="182"/>
      <c r="AF544" s="182"/>
      <c r="AG544" s="182"/>
      <c r="AH544" s="182"/>
      <c r="AI544" s="182"/>
      <c r="AJ544" s="182"/>
      <c r="AK544" s="182"/>
      <c r="AL544" s="182"/>
      <c r="AM544" s="182"/>
      <c r="AN544" s="182"/>
      <c r="AO544" s="182"/>
      <c r="AP544" s="182"/>
      <c r="AQ544" s="182"/>
      <c r="AR544" s="182"/>
      <c r="AS544" s="182"/>
      <c r="AT544" s="182"/>
      <c r="AU544" s="182"/>
      <c r="AV544" s="182"/>
      <c r="AW544" s="182"/>
      <c r="AX544" s="182"/>
      <c r="AY544" s="182"/>
      <c r="AZ544" s="182"/>
      <c r="BA544" s="182"/>
      <c r="BB544" s="182"/>
      <c r="BC544" s="182"/>
      <c r="BD544" s="182"/>
      <c r="BE544" s="182"/>
      <c r="BF544" s="182"/>
      <c r="BG544" s="182"/>
      <c r="BH544" s="182"/>
      <c r="BI544" s="182"/>
      <c r="BJ544" s="182"/>
      <c r="BK544" s="182"/>
      <c r="BL544" s="182"/>
      <c r="BM544" s="182"/>
      <c r="BN544" s="182"/>
      <c r="BO544" s="182"/>
      <c r="BP544" s="182"/>
      <c r="BQ544" s="182"/>
      <c r="BR544" s="182"/>
      <c r="BS544" s="182"/>
      <c r="BT544" s="182"/>
      <c r="BU544" s="182"/>
      <c r="BV544" s="182"/>
      <c r="BW544" s="182"/>
      <c r="BX544" s="182"/>
      <c r="BY544" s="182"/>
      <c r="BZ544" s="182"/>
      <c r="CA544" s="182"/>
      <c r="CB544" s="182"/>
      <c r="CC544" s="182"/>
      <c r="CD544" s="182"/>
      <c r="CE544" s="182"/>
      <c r="CF544" s="182"/>
      <c r="CG544" s="182"/>
      <c r="CH544" s="182"/>
      <c r="CI544" s="182"/>
      <c r="CJ544" s="182"/>
      <c r="CK544" s="182"/>
      <c r="CL544" s="182"/>
      <c r="CM544" s="182"/>
      <c r="CN544" s="182"/>
      <c r="CO544" s="182"/>
      <c r="CP544" s="182"/>
      <c r="CQ544" s="182"/>
      <c r="CR544" s="182"/>
      <c r="CS544" s="182"/>
      <c r="CT544" s="182"/>
      <c r="CU544" s="182"/>
      <c r="CV544" s="182"/>
      <c r="CW544" s="182"/>
      <c r="CX544" s="182"/>
      <c r="CY544" s="182"/>
      <c r="CZ544" s="182"/>
      <c r="DA544" s="182"/>
      <c r="DB544" s="182"/>
      <c r="DC544" s="182"/>
      <c r="DD544" s="182"/>
      <c r="DE544" s="182"/>
      <c r="DF544" s="182"/>
      <c r="DG544" s="182"/>
      <c r="DH544" s="182"/>
      <c r="DI544" s="182"/>
      <c r="DJ544" s="182"/>
      <c r="DK544" s="182"/>
      <c r="DL544" s="182"/>
      <c r="DM544" s="182"/>
      <c r="DN544" s="182"/>
      <c r="DO544" s="182"/>
      <c r="DP544" s="182"/>
      <c r="DQ544" s="182"/>
      <c r="DR544" s="182"/>
      <c r="DS544" s="182"/>
      <c r="DT544" s="182"/>
      <c r="DU544" s="182"/>
      <c r="DV544" s="182"/>
      <c r="DW544" s="182"/>
      <c r="DX544" s="182"/>
      <c r="DY544" s="182"/>
      <c r="DZ544" s="182"/>
      <c r="EA544" s="182"/>
      <c r="EB544" s="182"/>
      <c r="EC544" s="182"/>
      <c r="ED544" s="182"/>
      <c r="EE544" s="182"/>
      <c r="EF544" s="182"/>
      <c r="EG544" s="182"/>
      <c r="EH544" s="182"/>
      <c r="EI544" s="182"/>
      <c r="EJ544" s="182"/>
      <c r="EK544" s="182"/>
      <c r="EL544" s="182"/>
      <c r="EM544" s="182"/>
      <c r="EN544" s="182"/>
      <c r="EO544" s="182"/>
      <c r="EP544" s="182"/>
      <c r="EQ544" s="182"/>
      <c r="ER544" s="182"/>
      <c r="ES544" s="182"/>
      <c r="ET544" s="182"/>
      <c r="EU544" s="182"/>
      <c r="EV544" s="182"/>
      <c r="EW544" s="182"/>
      <c r="EX544" s="182"/>
      <c r="EY544" s="182"/>
      <c r="EZ544" s="182"/>
      <c r="FA544" s="182"/>
      <c r="FB544" s="182"/>
      <c r="FC544" s="182"/>
      <c r="FD544" s="182"/>
      <c r="FE544" s="182"/>
      <c r="FF544" s="182"/>
      <c r="FG544" s="182"/>
      <c r="FH544" s="182"/>
      <c r="FI544" s="182"/>
      <c r="FJ544" s="182"/>
      <c r="FK544" s="182"/>
      <c r="FL544" s="182"/>
      <c r="FM544" s="182"/>
      <c r="FN544" s="182"/>
      <c r="FO544" s="182"/>
      <c r="FP544" s="182"/>
      <c r="FQ544" s="182"/>
      <c r="FR544" s="182"/>
      <c r="FS544" s="182"/>
      <c r="FT544" s="182"/>
      <c r="FU544" s="182"/>
      <c r="FV544" s="182"/>
      <c r="FW544" s="182"/>
      <c r="FX544" s="182"/>
      <c r="FY544" s="182"/>
      <c r="FZ544" s="182"/>
      <c r="GA544" s="182"/>
      <c r="GB544" s="182"/>
      <c r="GC544" s="182"/>
      <c r="GD544" s="182"/>
      <c r="GE544" s="182"/>
      <c r="GF544" s="182"/>
      <c r="GG544" s="182"/>
      <c r="GH544" s="182"/>
      <c r="GI544" s="182"/>
    </row>
    <row r="545" spans="1:191" s="183" customFormat="1" x14ac:dyDescent="0.2">
      <c r="A545" s="210" t="s">
        <v>38212</v>
      </c>
      <c r="B545" s="210" t="s">
        <v>13317</v>
      </c>
      <c r="C545" s="224" t="s">
        <v>13090</v>
      </c>
      <c r="D545" s="211" t="s">
        <v>16</v>
      </c>
      <c r="E545" s="211">
        <v>43</v>
      </c>
      <c r="F545" s="211"/>
      <c r="G545" s="211"/>
      <c r="H545" s="231">
        <v>5</v>
      </c>
      <c r="I545" s="213">
        <f t="shared" si="35"/>
        <v>1.6666666666666666E-2</v>
      </c>
      <c r="J545" s="272">
        <v>6.91</v>
      </c>
      <c r="K545" s="113"/>
      <c r="L545" s="213"/>
      <c r="M545" s="112">
        <f t="shared" si="36"/>
        <v>4.95</v>
      </c>
      <c r="N545" s="112">
        <f t="shared" si="37"/>
        <v>148.5</v>
      </c>
      <c r="O545" s="114"/>
      <c r="P545" s="113"/>
      <c r="R545" s="203"/>
      <c r="S545" s="182"/>
      <c r="T545" s="182"/>
      <c r="U545" s="182"/>
      <c r="V545" s="182"/>
      <c r="W545" s="182"/>
      <c r="X545" s="182"/>
      <c r="Y545" s="182"/>
      <c r="Z545" s="182"/>
      <c r="AA545" s="182"/>
      <c r="AB545" s="182"/>
      <c r="AC545" s="182"/>
      <c r="AD545" s="182"/>
      <c r="AE545" s="182"/>
      <c r="AF545" s="182"/>
      <c r="AG545" s="182"/>
      <c r="AH545" s="182"/>
      <c r="AI545" s="182"/>
      <c r="AJ545" s="182"/>
      <c r="AK545" s="182"/>
      <c r="AL545" s="182"/>
      <c r="AM545" s="182"/>
      <c r="AN545" s="182"/>
      <c r="AO545" s="182"/>
      <c r="AP545" s="182"/>
      <c r="AQ545" s="182"/>
      <c r="AR545" s="182"/>
      <c r="AS545" s="182"/>
      <c r="AT545" s="182"/>
      <c r="AU545" s="182"/>
      <c r="AV545" s="182"/>
      <c r="AW545" s="182"/>
      <c r="AX545" s="182"/>
      <c r="AY545" s="182"/>
      <c r="AZ545" s="182"/>
      <c r="BA545" s="182"/>
      <c r="BB545" s="182"/>
      <c r="BC545" s="182"/>
      <c r="BD545" s="182"/>
      <c r="BE545" s="182"/>
      <c r="BF545" s="182"/>
      <c r="BG545" s="182"/>
      <c r="BH545" s="182"/>
      <c r="BI545" s="182"/>
      <c r="BJ545" s="182"/>
      <c r="BK545" s="182"/>
      <c r="BL545" s="182"/>
      <c r="BM545" s="182"/>
      <c r="BN545" s="182"/>
      <c r="BO545" s="182"/>
      <c r="BP545" s="182"/>
      <c r="BQ545" s="182"/>
      <c r="BR545" s="182"/>
      <c r="BS545" s="182"/>
      <c r="BT545" s="182"/>
      <c r="BU545" s="182"/>
      <c r="BV545" s="182"/>
      <c r="BW545" s="182"/>
      <c r="BX545" s="182"/>
      <c r="BY545" s="182"/>
      <c r="BZ545" s="182"/>
      <c r="CA545" s="182"/>
      <c r="CB545" s="182"/>
      <c r="CC545" s="182"/>
      <c r="CD545" s="182"/>
      <c r="CE545" s="182"/>
      <c r="CF545" s="182"/>
      <c r="CG545" s="182"/>
      <c r="CH545" s="182"/>
      <c r="CI545" s="182"/>
      <c r="CJ545" s="182"/>
      <c r="CK545" s="182"/>
      <c r="CL545" s="182"/>
      <c r="CM545" s="182"/>
      <c r="CN545" s="182"/>
      <c r="CO545" s="182"/>
      <c r="CP545" s="182"/>
      <c r="CQ545" s="182"/>
      <c r="CR545" s="182"/>
      <c r="CS545" s="182"/>
      <c r="CT545" s="182"/>
      <c r="CU545" s="182"/>
      <c r="CV545" s="182"/>
      <c r="CW545" s="182"/>
      <c r="CX545" s="182"/>
      <c r="CY545" s="182"/>
      <c r="CZ545" s="182"/>
      <c r="DA545" s="182"/>
      <c r="DB545" s="182"/>
      <c r="DC545" s="182"/>
      <c r="DD545" s="182"/>
      <c r="DE545" s="182"/>
      <c r="DF545" s="182"/>
      <c r="DG545" s="182"/>
      <c r="DH545" s="182"/>
      <c r="DI545" s="182"/>
      <c r="DJ545" s="182"/>
      <c r="DK545" s="182"/>
      <c r="DL545" s="182"/>
      <c r="DM545" s="182"/>
      <c r="DN545" s="182"/>
      <c r="DO545" s="182"/>
      <c r="DP545" s="182"/>
      <c r="DQ545" s="182"/>
      <c r="DR545" s="182"/>
      <c r="DS545" s="182"/>
      <c r="DT545" s="182"/>
      <c r="DU545" s="182"/>
      <c r="DV545" s="182"/>
      <c r="DW545" s="182"/>
      <c r="DX545" s="182"/>
      <c r="DY545" s="182"/>
      <c r="DZ545" s="182"/>
      <c r="EA545" s="182"/>
      <c r="EB545" s="182"/>
      <c r="EC545" s="182"/>
      <c r="ED545" s="182"/>
      <c r="EE545" s="182"/>
      <c r="EF545" s="182"/>
      <c r="EG545" s="182"/>
      <c r="EH545" s="182"/>
      <c r="EI545" s="182"/>
      <c r="EJ545" s="182"/>
      <c r="EK545" s="182"/>
      <c r="EL545" s="182"/>
      <c r="EM545" s="182"/>
      <c r="EN545" s="182"/>
      <c r="EO545" s="182"/>
      <c r="EP545" s="182"/>
      <c r="EQ545" s="182"/>
      <c r="ER545" s="182"/>
      <c r="ES545" s="182"/>
      <c r="ET545" s="182"/>
      <c r="EU545" s="182"/>
      <c r="EV545" s="182"/>
      <c r="EW545" s="182"/>
      <c r="EX545" s="182"/>
      <c r="EY545" s="182"/>
      <c r="EZ545" s="182"/>
      <c r="FA545" s="182"/>
      <c r="FB545" s="182"/>
      <c r="FC545" s="182"/>
      <c r="FD545" s="182"/>
      <c r="FE545" s="182"/>
      <c r="FF545" s="182"/>
      <c r="FG545" s="182"/>
      <c r="FH545" s="182"/>
      <c r="FI545" s="182"/>
      <c r="FJ545" s="182"/>
      <c r="FK545" s="182"/>
      <c r="FL545" s="182"/>
      <c r="FM545" s="182"/>
      <c r="FN545" s="182"/>
      <c r="FO545" s="182"/>
      <c r="FP545" s="182"/>
      <c r="FQ545" s="182"/>
      <c r="FR545" s="182"/>
      <c r="FS545" s="182"/>
      <c r="FT545" s="182"/>
      <c r="FU545" s="182"/>
      <c r="FV545" s="182"/>
      <c r="FW545" s="182"/>
      <c r="FX545" s="182"/>
      <c r="FY545" s="182"/>
      <c r="FZ545" s="182"/>
      <c r="GA545" s="182"/>
      <c r="GB545" s="182"/>
      <c r="GC545" s="182"/>
      <c r="GD545" s="182"/>
      <c r="GE545" s="182"/>
      <c r="GF545" s="182"/>
      <c r="GG545" s="182"/>
      <c r="GH545" s="182"/>
      <c r="GI545" s="182"/>
    </row>
    <row r="546" spans="1:191" s="183" customFormat="1" x14ac:dyDescent="0.2">
      <c r="A546" s="210" t="s">
        <v>38213</v>
      </c>
      <c r="B546" s="210" t="s">
        <v>13318</v>
      </c>
      <c r="C546" s="224" t="s">
        <v>13091</v>
      </c>
      <c r="D546" s="211" t="s">
        <v>16</v>
      </c>
      <c r="E546" s="211">
        <v>3</v>
      </c>
      <c r="F546" s="211"/>
      <c r="G546" s="211"/>
      <c r="H546" s="231">
        <v>5</v>
      </c>
      <c r="I546" s="213">
        <f t="shared" si="35"/>
        <v>1.6666666666666666E-2</v>
      </c>
      <c r="J546" s="272">
        <v>608.65</v>
      </c>
      <c r="K546" s="113"/>
      <c r="L546" s="213"/>
      <c r="M546" s="112">
        <f t="shared" si="36"/>
        <v>30.43</v>
      </c>
      <c r="N546" s="112">
        <f t="shared" si="37"/>
        <v>912.9</v>
      </c>
      <c r="O546" s="114"/>
      <c r="P546" s="113"/>
      <c r="R546" s="203"/>
      <c r="S546" s="182"/>
      <c r="T546" s="182"/>
      <c r="U546" s="182"/>
      <c r="V546" s="182"/>
      <c r="W546" s="182"/>
      <c r="X546" s="182"/>
      <c r="Y546" s="182"/>
      <c r="Z546" s="182"/>
      <c r="AA546" s="182"/>
      <c r="AB546" s="182"/>
      <c r="AC546" s="182"/>
      <c r="AD546" s="182"/>
      <c r="AE546" s="182"/>
      <c r="AF546" s="182"/>
      <c r="AG546" s="182"/>
      <c r="AH546" s="182"/>
      <c r="AI546" s="182"/>
      <c r="AJ546" s="182"/>
      <c r="AK546" s="182"/>
      <c r="AL546" s="182"/>
      <c r="AM546" s="182"/>
      <c r="AN546" s="182"/>
      <c r="AO546" s="182"/>
      <c r="AP546" s="182"/>
      <c r="AQ546" s="182"/>
      <c r="AR546" s="182"/>
      <c r="AS546" s="182"/>
      <c r="AT546" s="182"/>
      <c r="AU546" s="182"/>
      <c r="AV546" s="182"/>
      <c r="AW546" s="182"/>
      <c r="AX546" s="182"/>
      <c r="AY546" s="182"/>
      <c r="AZ546" s="182"/>
      <c r="BA546" s="182"/>
      <c r="BB546" s="182"/>
      <c r="BC546" s="182"/>
      <c r="BD546" s="182"/>
      <c r="BE546" s="182"/>
      <c r="BF546" s="182"/>
      <c r="BG546" s="182"/>
      <c r="BH546" s="182"/>
      <c r="BI546" s="182"/>
      <c r="BJ546" s="182"/>
      <c r="BK546" s="182"/>
      <c r="BL546" s="182"/>
      <c r="BM546" s="182"/>
      <c r="BN546" s="182"/>
      <c r="BO546" s="182"/>
      <c r="BP546" s="182"/>
      <c r="BQ546" s="182"/>
      <c r="BR546" s="182"/>
      <c r="BS546" s="182"/>
      <c r="BT546" s="182"/>
      <c r="BU546" s="182"/>
      <c r="BV546" s="182"/>
      <c r="BW546" s="182"/>
      <c r="BX546" s="182"/>
      <c r="BY546" s="182"/>
      <c r="BZ546" s="182"/>
      <c r="CA546" s="182"/>
      <c r="CB546" s="182"/>
      <c r="CC546" s="182"/>
      <c r="CD546" s="182"/>
      <c r="CE546" s="182"/>
      <c r="CF546" s="182"/>
      <c r="CG546" s="182"/>
      <c r="CH546" s="182"/>
      <c r="CI546" s="182"/>
      <c r="CJ546" s="182"/>
      <c r="CK546" s="182"/>
      <c r="CL546" s="182"/>
      <c r="CM546" s="182"/>
      <c r="CN546" s="182"/>
      <c r="CO546" s="182"/>
      <c r="CP546" s="182"/>
      <c r="CQ546" s="182"/>
      <c r="CR546" s="182"/>
      <c r="CS546" s="182"/>
      <c r="CT546" s="182"/>
      <c r="CU546" s="182"/>
      <c r="CV546" s="182"/>
      <c r="CW546" s="182"/>
      <c r="CX546" s="182"/>
      <c r="CY546" s="182"/>
      <c r="CZ546" s="182"/>
      <c r="DA546" s="182"/>
      <c r="DB546" s="182"/>
      <c r="DC546" s="182"/>
      <c r="DD546" s="182"/>
      <c r="DE546" s="182"/>
      <c r="DF546" s="182"/>
      <c r="DG546" s="182"/>
      <c r="DH546" s="182"/>
      <c r="DI546" s="182"/>
      <c r="DJ546" s="182"/>
      <c r="DK546" s="182"/>
      <c r="DL546" s="182"/>
      <c r="DM546" s="182"/>
      <c r="DN546" s="182"/>
      <c r="DO546" s="182"/>
      <c r="DP546" s="182"/>
      <c r="DQ546" s="182"/>
      <c r="DR546" s="182"/>
      <c r="DS546" s="182"/>
      <c r="DT546" s="182"/>
      <c r="DU546" s="182"/>
      <c r="DV546" s="182"/>
      <c r="DW546" s="182"/>
      <c r="DX546" s="182"/>
      <c r="DY546" s="182"/>
      <c r="DZ546" s="182"/>
      <c r="EA546" s="182"/>
      <c r="EB546" s="182"/>
      <c r="EC546" s="182"/>
      <c r="ED546" s="182"/>
      <c r="EE546" s="182"/>
      <c r="EF546" s="182"/>
      <c r="EG546" s="182"/>
      <c r="EH546" s="182"/>
      <c r="EI546" s="182"/>
      <c r="EJ546" s="182"/>
      <c r="EK546" s="182"/>
      <c r="EL546" s="182"/>
      <c r="EM546" s="182"/>
      <c r="EN546" s="182"/>
      <c r="EO546" s="182"/>
      <c r="EP546" s="182"/>
      <c r="EQ546" s="182"/>
      <c r="ER546" s="182"/>
      <c r="ES546" s="182"/>
      <c r="ET546" s="182"/>
      <c r="EU546" s="182"/>
      <c r="EV546" s="182"/>
      <c r="EW546" s="182"/>
      <c r="EX546" s="182"/>
      <c r="EY546" s="182"/>
      <c r="EZ546" s="182"/>
      <c r="FA546" s="182"/>
      <c r="FB546" s="182"/>
      <c r="FC546" s="182"/>
      <c r="FD546" s="182"/>
      <c r="FE546" s="182"/>
      <c r="FF546" s="182"/>
      <c r="FG546" s="182"/>
      <c r="FH546" s="182"/>
      <c r="FI546" s="182"/>
      <c r="FJ546" s="182"/>
      <c r="FK546" s="182"/>
      <c r="FL546" s="182"/>
      <c r="FM546" s="182"/>
      <c r="FN546" s="182"/>
      <c r="FO546" s="182"/>
      <c r="FP546" s="182"/>
      <c r="FQ546" s="182"/>
      <c r="FR546" s="182"/>
      <c r="FS546" s="182"/>
      <c r="FT546" s="182"/>
      <c r="FU546" s="182"/>
      <c r="FV546" s="182"/>
      <c r="FW546" s="182"/>
      <c r="FX546" s="182"/>
      <c r="FY546" s="182"/>
      <c r="FZ546" s="182"/>
      <c r="GA546" s="182"/>
      <c r="GB546" s="182"/>
      <c r="GC546" s="182"/>
      <c r="GD546" s="182"/>
      <c r="GE546" s="182"/>
      <c r="GF546" s="182"/>
      <c r="GG546" s="182"/>
      <c r="GH546" s="182"/>
      <c r="GI546" s="182"/>
    </row>
    <row r="547" spans="1:191" s="183" customFormat="1" x14ac:dyDescent="0.2">
      <c r="A547" s="210" t="s">
        <v>38214</v>
      </c>
      <c r="B547" s="210" t="s">
        <v>13319</v>
      </c>
      <c r="C547" s="224" t="s">
        <v>13092</v>
      </c>
      <c r="D547" s="211" t="s">
        <v>16</v>
      </c>
      <c r="E547" s="211">
        <v>1</v>
      </c>
      <c r="F547" s="211"/>
      <c r="G547" s="211"/>
      <c r="H547" s="231">
        <v>5</v>
      </c>
      <c r="I547" s="213">
        <f t="shared" si="35"/>
        <v>1.6666666666666666E-2</v>
      </c>
      <c r="J547" s="272">
        <v>7027.4</v>
      </c>
      <c r="K547" s="113"/>
      <c r="L547" s="213"/>
      <c r="M547" s="112">
        <f t="shared" si="36"/>
        <v>117.12</v>
      </c>
      <c r="N547" s="112">
        <f t="shared" si="37"/>
        <v>3513.6</v>
      </c>
      <c r="O547" s="114"/>
      <c r="P547" s="113"/>
      <c r="R547" s="203"/>
      <c r="S547" s="182"/>
      <c r="T547" s="182"/>
      <c r="U547" s="182"/>
      <c r="V547" s="182"/>
      <c r="W547" s="182"/>
      <c r="X547" s="182"/>
      <c r="Y547" s="182"/>
      <c r="Z547" s="182"/>
      <c r="AA547" s="182"/>
      <c r="AB547" s="182"/>
      <c r="AC547" s="182"/>
      <c r="AD547" s="182"/>
      <c r="AE547" s="182"/>
      <c r="AF547" s="182"/>
      <c r="AG547" s="182"/>
      <c r="AH547" s="182"/>
      <c r="AI547" s="182"/>
      <c r="AJ547" s="182"/>
      <c r="AK547" s="182"/>
      <c r="AL547" s="182"/>
      <c r="AM547" s="182"/>
      <c r="AN547" s="182"/>
      <c r="AO547" s="182"/>
      <c r="AP547" s="182"/>
      <c r="AQ547" s="182"/>
      <c r="AR547" s="182"/>
      <c r="AS547" s="182"/>
      <c r="AT547" s="182"/>
      <c r="AU547" s="182"/>
      <c r="AV547" s="182"/>
      <c r="AW547" s="182"/>
      <c r="AX547" s="182"/>
      <c r="AY547" s="182"/>
      <c r="AZ547" s="182"/>
      <c r="BA547" s="182"/>
      <c r="BB547" s="182"/>
      <c r="BC547" s="182"/>
      <c r="BD547" s="182"/>
      <c r="BE547" s="182"/>
      <c r="BF547" s="182"/>
      <c r="BG547" s="182"/>
      <c r="BH547" s="182"/>
      <c r="BI547" s="182"/>
      <c r="BJ547" s="182"/>
      <c r="BK547" s="182"/>
      <c r="BL547" s="182"/>
      <c r="BM547" s="182"/>
      <c r="BN547" s="182"/>
      <c r="BO547" s="182"/>
      <c r="BP547" s="182"/>
      <c r="BQ547" s="182"/>
      <c r="BR547" s="182"/>
      <c r="BS547" s="182"/>
      <c r="BT547" s="182"/>
      <c r="BU547" s="182"/>
      <c r="BV547" s="182"/>
      <c r="BW547" s="182"/>
      <c r="BX547" s="182"/>
      <c r="BY547" s="182"/>
      <c r="BZ547" s="182"/>
      <c r="CA547" s="182"/>
      <c r="CB547" s="182"/>
      <c r="CC547" s="182"/>
      <c r="CD547" s="182"/>
      <c r="CE547" s="182"/>
      <c r="CF547" s="182"/>
      <c r="CG547" s="182"/>
      <c r="CH547" s="182"/>
      <c r="CI547" s="182"/>
      <c r="CJ547" s="182"/>
      <c r="CK547" s="182"/>
      <c r="CL547" s="182"/>
      <c r="CM547" s="182"/>
      <c r="CN547" s="182"/>
      <c r="CO547" s="182"/>
      <c r="CP547" s="182"/>
      <c r="CQ547" s="182"/>
      <c r="CR547" s="182"/>
      <c r="CS547" s="182"/>
      <c r="CT547" s="182"/>
      <c r="CU547" s="182"/>
      <c r="CV547" s="182"/>
      <c r="CW547" s="182"/>
      <c r="CX547" s="182"/>
      <c r="CY547" s="182"/>
      <c r="CZ547" s="182"/>
      <c r="DA547" s="182"/>
      <c r="DB547" s="182"/>
      <c r="DC547" s="182"/>
      <c r="DD547" s="182"/>
      <c r="DE547" s="182"/>
      <c r="DF547" s="182"/>
      <c r="DG547" s="182"/>
      <c r="DH547" s="182"/>
      <c r="DI547" s="182"/>
      <c r="DJ547" s="182"/>
      <c r="DK547" s="182"/>
      <c r="DL547" s="182"/>
      <c r="DM547" s="182"/>
      <c r="DN547" s="182"/>
      <c r="DO547" s="182"/>
      <c r="DP547" s="182"/>
      <c r="DQ547" s="182"/>
      <c r="DR547" s="182"/>
      <c r="DS547" s="182"/>
      <c r="DT547" s="182"/>
      <c r="DU547" s="182"/>
      <c r="DV547" s="182"/>
      <c r="DW547" s="182"/>
      <c r="DX547" s="182"/>
      <c r="DY547" s="182"/>
      <c r="DZ547" s="182"/>
      <c r="EA547" s="182"/>
      <c r="EB547" s="182"/>
      <c r="EC547" s="182"/>
      <c r="ED547" s="182"/>
      <c r="EE547" s="182"/>
      <c r="EF547" s="182"/>
      <c r="EG547" s="182"/>
      <c r="EH547" s="182"/>
      <c r="EI547" s="182"/>
      <c r="EJ547" s="182"/>
      <c r="EK547" s="182"/>
      <c r="EL547" s="182"/>
      <c r="EM547" s="182"/>
      <c r="EN547" s="182"/>
      <c r="EO547" s="182"/>
      <c r="EP547" s="182"/>
      <c r="EQ547" s="182"/>
      <c r="ER547" s="182"/>
      <c r="ES547" s="182"/>
      <c r="ET547" s="182"/>
      <c r="EU547" s="182"/>
      <c r="EV547" s="182"/>
      <c r="EW547" s="182"/>
      <c r="EX547" s="182"/>
      <c r="EY547" s="182"/>
      <c r="EZ547" s="182"/>
      <c r="FA547" s="182"/>
      <c r="FB547" s="182"/>
      <c r="FC547" s="182"/>
      <c r="FD547" s="182"/>
      <c r="FE547" s="182"/>
      <c r="FF547" s="182"/>
      <c r="FG547" s="182"/>
      <c r="FH547" s="182"/>
      <c r="FI547" s="182"/>
      <c r="FJ547" s="182"/>
      <c r="FK547" s="182"/>
      <c r="FL547" s="182"/>
      <c r="FM547" s="182"/>
      <c r="FN547" s="182"/>
      <c r="FO547" s="182"/>
      <c r="FP547" s="182"/>
      <c r="FQ547" s="182"/>
      <c r="FR547" s="182"/>
      <c r="FS547" s="182"/>
      <c r="FT547" s="182"/>
      <c r="FU547" s="182"/>
      <c r="FV547" s="182"/>
      <c r="FW547" s="182"/>
      <c r="FX547" s="182"/>
      <c r="FY547" s="182"/>
      <c r="FZ547" s="182"/>
      <c r="GA547" s="182"/>
      <c r="GB547" s="182"/>
      <c r="GC547" s="182"/>
      <c r="GD547" s="182"/>
      <c r="GE547" s="182"/>
      <c r="GF547" s="182"/>
      <c r="GG547" s="182"/>
      <c r="GH547" s="182"/>
      <c r="GI547" s="182"/>
    </row>
    <row r="548" spans="1:191" s="183" customFormat="1" x14ac:dyDescent="0.2">
      <c r="A548" s="210" t="s">
        <v>38215</v>
      </c>
      <c r="B548" s="210" t="s">
        <v>13320</v>
      </c>
      <c r="C548" s="224" t="s">
        <v>13093</v>
      </c>
      <c r="D548" s="211" t="s">
        <v>16</v>
      </c>
      <c r="E548" s="211">
        <v>1</v>
      </c>
      <c r="F548" s="211"/>
      <c r="G548" s="211"/>
      <c r="H548" s="231">
        <v>5</v>
      </c>
      <c r="I548" s="213">
        <f t="shared" si="35"/>
        <v>1.6666666666666666E-2</v>
      </c>
      <c r="J548" s="272">
        <v>7805.4</v>
      </c>
      <c r="K548" s="113"/>
      <c r="L548" s="213"/>
      <c r="M548" s="112">
        <f t="shared" si="36"/>
        <v>130.09</v>
      </c>
      <c r="N548" s="112">
        <f t="shared" si="37"/>
        <v>3902.7</v>
      </c>
      <c r="O548" s="114"/>
      <c r="P548" s="113"/>
      <c r="R548" s="203"/>
      <c r="S548" s="182"/>
      <c r="T548" s="182"/>
      <c r="U548" s="182"/>
      <c r="V548" s="182"/>
      <c r="W548" s="182"/>
      <c r="X548" s="182"/>
      <c r="Y548" s="182"/>
      <c r="Z548" s="182"/>
      <c r="AA548" s="182"/>
      <c r="AB548" s="182"/>
      <c r="AC548" s="182"/>
      <c r="AD548" s="182"/>
      <c r="AE548" s="182"/>
      <c r="AF548" s="182"/>
      <c r="AG548" s="182"/>
      <c r="AH548" s="182"/>
      <c r="AI548" s="182"/>
      <c r="AJ548" s="182"/>
      <c r="AK548" s="182"/>
      <c r="AL548" s="182"/>
      <c r="AM548" s="182"/>
      <c r="AN548" s="182"/>
      <c r="AO548" s="182"/>
      <c r="AP548" s="182"/>
      <c r="AQ548" s="182"/>
      <c r="AR548" s="182"/>
      <c r="AS548" s="182"/>
      <c r="AT548" s="182"/>
      <c r="AU548" s="182"/>
      <c r="AV548" s="182"/>
      <c r="AW548" s="182"/>
      <c r="AX548" s="182"/>
      <c r="AY548" s="182"/>
      <c r="AZ548" s="182"/>
      <c r="BA548" s="182"/>
      <c r="BB548" s="182"/>
      <c r="BC548" s="182"/>
      <c r="BD548" s="182"/>
      <c r="BE548" s="182"/>
      <c r="BF548" s="182"/>
      <c r="BG548" s="182"/>
      <c r="BH548" s="182"/>
      <c r="BI548" s="182"/>
      <c r="BJ548" s="182"/>
      <c r="BK548" s="182"/>
      <c r="BL548" s="182"/>
      <c r="BM548" s="182"/>
      <c r="BN548" s="182"/>
      <c r="BO548" s="182"/>
      <c r="BP548" s="182"/>
      <c r="BQ548" s="182"/>
      <c r="BR548" s="182"/>
      <c r="BS548" s="182"/>
      <c r="BT548" s="182"/>
      <c r="BU548" s="182"/>
      <c r="BV548" s="182"/>
      <c r="BW548" s="182"/>
      <c r="BX548" s="182"/>
      <c r="BY548" s="182"/>
      <c r="BZ548" s="182"/>
      <c r="CA548" s="182"/>
      <c r="CB548" s="182"/>
      <c r="CC548" s="182"/>
      <c r="CD548" s="182"/>
      <c r="CE548" s="182"/>
      <c r="CF548" s="182"/>
      <c r="CG548" s="182"/>
      <c r="CH548" s="182"/>
      <c r="CI548" s="182"/>
      <c r="CJ548" s="182"/>
      <c r="CK548" s="182"/>
      <c r="CL548" s="182"/>
      <c r="CM548" s="182"/>
      <c r="CN548" s="182"/>
      <c r="CO548" s="182"/>
      <c r="CP548" s="182"/>
      <c r="CQ548" s="182"/>
      <c r="CR548" s="182"/>
      <c r="CS548" s="182"/>
      <c r="CT548" s="182"/>
      <c r="CU548" s="182"/>
      <c r="CV548" s="182"/>
      <c r="CW548" s="182"/>
      <c r="CX548" s="182"/>
      <c r="CY548" s="182"/>
      <c r="CZ548" s="182"/>
      <c r="DA548" s="182"/>
      <c r="DB548" s="182"/>
      <c r="DC548" s="182"/>
      <c r="DD548" s="182"/>
      <c r="DE548" s="182"/>
      <c r="DF548" s="182"/>
      <c r="DG548" s="182"/>
      <c r="DH548" s="182"/>
      <c r="DI548" s="182"/>
      <c r="DJ548" s="182"/>
      <c r="DK548" s="182"/>
      <c r="DL548" s="182"/>
      <c r="DM548" s="182"/>
      <c r="DN548" s="182"/>
      <c r="DO548" s="182"/>
      <c r="DP548" s="182"/>
      <c r="DQ548" s="182"/>
      <c r="DR548" s="182"/>
      <c r="DS548" s="182"/>
      <c r="DT548" s="182"/>
      <c r="DU548" s="182"/>
      <c r="DV548" s="182"/>
      <c r="DW548" s="182"/>
      <c r="DX548" s="182"/>
      <c r="DY548" s="182"/>
      <c r="DZ548" s="182"/>
      <c r="EA548" s="182"/>
      <c r="EB548" s="182"/>
      <c r="EC548" s="182"/>
      <c r="ED548" s="182"/>
      <c r="EE548" s="182"/>
      <c r="EF548" s="182"/>
      <c r="EG548" s="182"/>
      <c r="EH548" s="182"/>
      <c r="EI548" s="182"/>
      <c r="EJ548" s="182"/>
      <c r="EK548" s="182"/>
      <c r="EL548" s="182"/>
      <c r="EM548" s="182"/>
      <c r="EN548" s="182"/>
      <c r="EO548" s="182"/>
      <c r="EP548" s="182"/>
      <c r="EQ548" s="182"/>
      <c r="ER548" s="182"/>
      <c r="ES548" s="182"/>
      <c r="ET548" s="182"/>
      <c r="EU548" s="182"/>
      <c r="EV548" s="182"/>
      <c r="EW548" s="182"/>
      <c r="EX548" s="182"/>
      <c r="EY548" s="182"/>
      <c r="EZ548" s="182"/>
      <c r="FA548" s="182"/>
      <c r="FB548" s="182"/>
      <c r="FC548" s="182"/>
      <c r="FD548" s="182"/>
      <c r="FE548" s="182"/>
      <c r="FF548" s="182"/>
      <c r="FG548" s="182"/>
      <c r="FH548" s="182"/>
      <c r="FI548" s="182"/>
      <c r="FJ548" s="182"/>
      <c r="FK548" s="182"/>
      <c r="FL548" s="182"/>
      <c r="FM548" s="182"/>
      <c r="FN548" s="182"/>
      <c r="FO548" s="182"/>
      <c r="FP548" s="182"/>
      <c r="FQ548" s="182"/>
      <c r="FR548" s="182"/>
      <c r="FS548" s="182"/>
      <c r="FT548" s="182"/>
      <c r="FU548" s="182"/>
      <c r="FV548" s="182"/>
      <c r="FW548" s="182"/>
      <c r="FX548" s="182"/>
      <c r="FY548" s="182"/>
      <c r="FZ548" s="182"/>
      <c r="GA548" s="182"/>
      <c r="GB548" s="182"/>
      <c r="GC548" s="182"/>
      <c r="GD548" s="182"/>
      <c r="GE548" s="182"/>
      <c r="GF548" s="182"/>
      <c r="GG548" s="182"/>
      <c r="GH548" s="182"/>
      <c r="GI548" s="182"/>
    </row>
    <row r="549" spans="1:191" s="183" customFormat="1" x14ac:dyDescent="0.2">
      <c r="A549" s="210" t="s">
        <v>38216</v>
      </c>
      <c r="B549" s="210" t="s">
        <v>13321</v>
      </c>
      <c r="C549" s="224" t="s">
        <v>13094</v>
      </c>
      <c r="D549" s="211" t="s">
        <v>69</v>
      </c>
      <c r="E549" s="211">
        <v>300</v>
      </c>
      <c r="F549" s="211"/>
      <c r="G549" s="211"/>
      <c r="H549" s="231">
        <v>5</v>
      </c>
      <c r="I549" s="213">
        <f t="shared" si="35"/>
        <v>1.6666666666666666E-2</v>
      </c>
      <c r="J549" s="272">
        <v>10.39</v>
      </c>
      <c r="K549" s="113"/>
      <c r="L549" s="213"/>
      <c r="M549" s="112">
        <f t="shared" si="36"/>
        <v>51.95</v>
      </c>
      <c r="N549" s="112">
        <f t="shared" si="37"/>
        <v>1558.5</v>
      </c>
      <c r="O549" s="114"/>
      <c r="P549" s="113"/>
      <c r="R549" s="203"/>
      <c r="S549" s="182"/>
      <c r="T549" s="182"/>
      <c r="U549" s="182"/>
      <c r="V549" s="182"/>
      <c r="W549" s="182"/>
      <c r="X549" s="182"/>
      <c r="Y549" s="182"/>
      <c r="Z549" s="182"/>
      <c r="AA549" s="182"/>
      <c r="AB549" s="182"/>
      <c r="AC549" s="182"/>
      <c r="AD549" s="182"/>
      <c r="AE549" s="182"/>
      <c r="AF549" s="182"/>
      <c r="AG549" s="182"/>
      <c r="AH549" s="182"/>
      <c r="AI549" s="182"/>
      <c r="AJ549" s="182"/>
      <c r="AK549" s="182"/>
      <c r="AL549" s="182"/>
      <c r="AM549" s="182"/>
      <c r="AN549" s="182"/>
      <c r="AO549" s="182"/>
      <c r="AP549" s="182"/>
      <c r="AQ549" s="182"/>
      <c r="AR549" s="182"/>
      <c r="AS549" s="182"/>
      <c r="AT549" s="182"/>
      <c r="AU549" s="182"/>
      <c r="AV549" s="182"/>
      <c r="AW549" s="182"/>
      <c r="AX549" s="182"/>
      <c r="AY549" s="182"/>
      <c r="AZ549" s="182"/>
      <c r="BA549" s="182"/>
      <c r="BB549" s="182"/>
      <c r="BC549" s="182"/>
      <c r="BD549" s="182"/>
      <c r="BE549" s="182"/>
      <c r="BF549" s="182"/>
      <c r="BG549" s="182"/>
      <c r="BH549" s="182"/>
      <c r="BI549" s="182"/>
      <c r="BJ549" s="182"/>
      <c r="BK549" s="182"/>
      <c r="BL549" s="182"/>
      <c r="BM549" s="182"/>
      <c r="BN549" s="182"/>
      <c r="BO549" s="182"/>
      <c r="BP549" s="182"/>
      <c r="BQ549" s="182"/>
      <c r="BR549" s="182"/>
      <c r="BS549" s="182"/>
      <c r="BT549" s="182"/>
      <c r="BU549" s="182"/>
      <c r="BV549" s="182"/>
      <c r="BW549" s="182"/>
      <c r="BX549" s="182"/>
      <c r="BY549" s="182"/>
      <c r="BZ549" s="182"/>
      <c r="CA549" s="182"/>
      <c r="CB549" s="182"/>
      <c r="CC549" s="182"/>
      <c r="CD549" s="182"/>
      <c r="CE549" s="182"/>
      <c r="CF549" s="182"/>
      <c r="CG549" s="182"/>
      <c r="CH549" s="182"/>
      <c r="CI549" s="182"/>
      <c r="CJ549" s="182"/>
      <c r="CK549" s="182"/>
      <c r="CL549" s="182"/>
      <c r="CM549" s="182"/>
      <c r="CN549" s="182"/>
      <c r="CO549" s="182"/>
      <c r="CP549" s="182"/>
      <c r="CQ549" s="182"/>
      <c r="CR549" s="182"/>
      <c r="CS549" s="182"/>
      <c r="CT549" s="182"/>
      <c r="CU549" s="182"/>
      <c r="CV549" s="182"/>
      <c r="CW549" s="182"/>
      <c r="CX549" s="182"/>
      <c r="CY549" s="182"/>
      <c r="CZ549" s="182"/>
      <c r="DA549" s="182"/>
      <c r="DB549" s="182"/>
      <c r="DC549" s="182"/>
      <c r="DD549" s="182"/>
      <c r="DE549" s="182"/>
      <c r="DF549" s="182"/>
      <c r="DG549" s="182"/>
      <c r="DH549" s="182"/>
      <c r="DI549" s="182"/>
      <c r="DJ549" s="182"/>
      <c r="DK549" s="182"/>
      <c r="DL549" s="182"/>
      <c r="DM549" s="182"/>
      <c r="DN549" s="182"/>
      <c r="DO549" s="182"/>
      <c r="DP549" s="182"/>
      <c r="DQ549" s="182"/>
      <c r="DR549" s="182"/>
      <c r="DS549" s="182"/>
      <c r="DT549" s="182"/>
      <c r="DU549" s="182"/>
      <c r="DV549" s="182"/>
      <c r="DW549" s="182"/>
      <c r="DX549" s="182"/>
      <c r="DY549" s="182"/>
      <c r="DZ549" s="182"/>
      <c r="EA549" s="182"/>
      <c r="EB549" s="182"/>
      <c r="EC549" s="182"/>
      <c r="ED549" s="182"/>
      <c r="EE549" s="182"/>
      <c r="EF549" s="182"/>
      <c r="EG549" s="182"/>
      <c r="EH549" s="182"/>
      <c r="EI549" s="182"/>
      <c r="EJ549" s="182"/>
      <c r="EK549" s="182"/>
      <c r="EL549" s="182"/>
      <c r="EM549" s="182"/>
      <c r="EN549" s="182"/>
      <c r="EO549" s="182"/>
      <c r="EP549" s="182"/>
      <c r="EQ549" s="182"/>
      <c r="ER549" s="182"/>
      <c r="ES549" s="182"/>
      <c r="ET549" s="182"/>
      <c r="EU549" s="182"/>
      <c r="EV549" s="182"/>
      <c r="EW549" s="182"/>
      <c r="EX549" s="182"/>
      <c r="EY549" s="182"/>
      <c r="EZ549" s="182"/>
      <c r="FA549" s="182"/>
      <c r="FB549" s="182"/>
      <c r="FC549" s="182"/>
      <c r="FD549" s="182"/>
      <c r="FE549" s="182"/>
      <c r="FF549" s="182"/>
      <c r="FG549" s="182"/>
      <c r="FH549" s="182"/>
      <c r="FI549" s="182"/>
      <c r="FJ549" s="182"/>
      <c r="FK549" s="182"/>
      <c r="FL549" s="182"/>
      <c r="FM549" s="182"/>
      <c r="FN549" s="182"/>
      <c r="FO549" s="182"/>
      <c r="FP549" s="182"/>
      <c r="FQ549" s="182"/>
      <c r="FR549" s="182"/>
      <c r="FS549" s="182"/>
      <c r="FT549" s="182"/>
      <c r="FU549" s="182"/>
      <c r="FV549" s="182"/>
      <c r="FW549" s="182"/>
      <c r="FX549" s="182"/>
      <c r="FY549" s="182"/>
      <c r="FZ549" s="182"/>
      <c r="GA549" s="182"/>
      <c r="GB549" s="182"/>
      <c r="GC549" s="182"/>
      <c r="GD549" s="182"/>
      <c r="GE549" s="182"/>
      <c r="GF549" s="182"/>
      <c r="GG549" s="182"/>
      <c r="GH549" s="182"/>
      <c r="GI549" s="182"/>
    </row>
    <row r="550" spans="1:191" s="183" customFormat="1" x14ac:dyDescent="0.2">
      <c r="A550" s="210" t="s">
        <v>38217</v>
      </c>
      <c r="B550" s="210" t="s">
        <v>13322</v>
      </c>
      <c r="C550" s="224" t="s">
        <v>13095</v>
      </c>
      <c r="D550" s="211" t="s">
        <v>16</v>
      </c>
      <c r="E550" s="211">
        <v>3</v>
      </c>
      <c r="F550" s="211"/>
      <c r="G550" s="211"/>
      <c r="H550" s="231">
        <v>10</v>
      </c>
      <c r="I550" s="213">
        <f t="shared" si="35"/>
        <v>8.3333333333333332E-3</v>
      </c>
      <c r="J550" s="272">
        <v>2912.44</v>
      </c>
      <c r="K550" s="113"/>
      <c r="L550" s="213"/>
      <c r="M550" s="112">
        <f t="shared" si="36"/>
        <v>72.81</v>
      </c>
      <c r="N550" s="112">
        <f t="shared" si="37"/>
        <v>2184.3000000000002</v>
      </c>
      <c r="O550" s="114"/>
      <c r="P550" s="113"/>
      <c r="R550" s="203"/>
      <c r="S550" s="182"/>
      <c r="T550" s="182"/>
      <c r="U550" s="182"/>
      <c r="V550" s="182"/>
      <c r="W550" s="182"/>
      <c r="X550" s="182"/>
      <c r="Y550" s="182"/>
      <c r="Z550" s="182"/>
      <c r="AA550" s="182"/>
      <c r="AB550" s="182"/>
      <c r="AC550" s="182"/>
      <c r="AD550" s="182"/>
      <c r="AE550" s="182"/>
      <c r="AF550" s="182"/>
      <c r="AG550" s="182"/>
      <c r="AH550" s="182"/>
      <c r="AI550" s="182"/>
      <c r="AJ550" s="182"/>
      <c r="AK550" s="182"/>
      <c r="AL550" s="182"/>
      <c r="AM550" s="182"/>
      <c r="AN550" s="182"/>
      <c r="AO550" s="182"/>
      <c r="AP550" s="182"/>
      <c r="AQ550" s="182"/>
      <c r="AR550" s="182"/>
      <c r="AS550" s="182"/>
      <c r="AT550" s="182"/>
      <c r="AU550" s="182"/>
      <c r="AV550" s="182"/>
      <c r="AW550" s="182"/>
      <c r="AX550" s="182"/>
      <c r="AY550" s="182"/>
      <c r="AZ550" s="182"/>
      <c r="BA550" s="182"/>
      <c r="BB550" s="182"/>
      <c r="BC550" s="182"/>
      <c r="BD550" s="182"/>
      <c r="BE550" s="182"/>
      <c r="BF550" s="182"/>
      <c r="BG550" s="182"/>
      <c r="BH550" s="182"/>
      <c r="BI550" s="182"/>
      <c r="BJ550" s="182"/>
      <c r="BK550" s="182"/>
      <c r="BL550" s="182"/>
      <c r="BM550" s="182"/>
      <c r="BN550" s="182"/>
      <c r="BO550" s="182"/>
      <c r="BP550" s="182"/>
      <c r="BQ550" s="182"/>
      <c r="BR550" s="182"/>
      <c r="BS550" s="182"/>
      <c r="BT550" s="182"/>
      <c r="BU550" s="182"/>
      <c r="BV550" s="182"/>
      <c r="BW550" s="182"/>
      <c r="BX550" s="182"/>
      <c r="BY550" s="182"/>
      <c r="BZ550" s="182"/>
      <c r="CA550" s="182"/>
      <c r="CB550" s="182"/>
      <c r="CC550" s="182"/>
      <c r="CD550" s="182"/>
      <c r="CE550" s="182"/>
      <c r="CF550" s="182"/>
      <c r="CG550" s="182"/>
      <c r="CH550" s="182"/>
      <c r="CI550" s="182"/>
      <c r="CJ550" s="182"/>
      <c r="CK550" s="182"/>
      <c r="CL550" s="182"/>
      <c r="CM550" s="182"/>
      <c r="CN550" s="182"/>
      <c r="CO550" s="182"/>
      <c r="CP550" s="182"/>
      <c r="CQ550" s="182"/>
      <c r="CR550" s="182"/>
      <c r="CS550" s="182"/>
      <c r="CT550" s="182"/>
      <c r="CU550" s="182"/>
      <c r="CV550" s="182"/>
      <c r="CW550" s="182"/>
      <c r="CX550" s="182"/>
      <c r="CY550" s="182"/>
      <c r="CZ550" s="182"/>
      <c r="DA550" s="182"/>
      <c r="DB550" s="182"/>
      <c r="DC550" s="182"/>
      <c r="DD550" s="182"/>
      <c r="DE550" s="182"/>
      <c r="DF550" s="182"/>
      <c r="DG550" s="182"/>
      <c r="DH550" s="182"/>
      <c r="DI550" s="182"/>
      <c r="DJ550" s="182"/>
      <c r="DK550" s="182"/>
      <c r="DL550" s="182"/>
      <c r="DM550" s="182"/>
      <c r="DN550" s="182"/>
      <c r="DO550" s="182"/>
      <c r="DP550" s="182"/>
      <c r="DQ550" s="182"/>
      <c r="DR550" s="182"/>
      <c r="DS550" s="182"/>
      <c r="DT550" s="182"/>
      <c r="DU550" s="182"/>
      <c r="DV550" s="182"/>
      <c r="DW550" s="182"/>
      <c r="DX550" s="182"/>
      <c r="DY550" s="182"/>
      <c r="DZ550" s="182"/>
      <c r="EA550" s="182"/>
      <c r="EB550" s="182"/>
      <c r="EC550" s="182"/>
      <c r="ED550" s="182"/>
      <c r="EE550" s="182"/>
      <c r="EF550" s="182"/>
      <c r="EG550" s="182"/>
      <c r="EH550" s="182"/>
      <c r="EI550" s="182"/>
      <c r="EJ550" s="182"/>
      <c r="EK550" s="182"/>
      <c r="EL550" s="182"/>
      <c r="EM550" s="182"/>
      <c r="EN550" s="182"/>
      <c r="EO550" s="182"/>
      <c r="EP550" s="182"/>
      <c r="EQ550" s="182"/>
      <c r="ER550" s="182"/>
      <c r="ES550" s="182"/>
      <c r="ET550" s="182"/>
      <c r="EU550" s="182"/>
      <c r="EV550" s="182"/>
      <c r="EW550" s="182"/>
      <c r="EX550" s="182"/>
      <c r="EY550" s="182"/>
      <c r="EZ550" s="182"/>
      <c r="FA550" s="182"/>
      <c r="FB550" s="182"/>
      <c r="FC550" s="182"/>
      <c r="FD550" s="182"/>
      <c r="FE550" s="182"/>
      <c r="FF550" s="182"/>
      <c r="FG550" s="182"/>
      <c r="FH550" s="182"/>
      <c r="FI550" s="182"/>
      <c r="FJ550" s="182"/>
      <c r="FK550" s="182"/>
      <c r="FL550" s="182"/>
      <c r="FM550" s="182"/>
      <c r="FN550" s="182"/>
      <c r="FO550" s="182"/>
      <c r="FP550" s="182"/>
      <c r="FQ550" s="182"/>
      <c r="FR550" s="182"/>
      <c r="FS550" s="182"/>
      <c r="FT550" s="182"/>
      <c r="FU550" s="182"/>
      <c r="FV550" s="182"/>
      <c r="FW550" s="182"/>
      <c r="FX550" s="182"/>
      <c r="FY550" s="182"/>
      <c r="FZ550" s="182"/>
      <c r="GA550" s="182"/>
      <c r="GB550" s="182"/>
      <c r="GC550" s="182"/>
      <c r="GD550" s="182"/>
      <c r="GE550" s="182"/>
      <c r="GF550" s="182"/>
      <c r="GG550" s="182"/>
      <c r="GH550" s="182"/>
      <c r="GI550" s="182"/>
    </row>
    <row r="551" spans="1:191" s="183" customFormat="1" x14ac:dyDescent="0.2">
      <c r="A551" s="210" t="s">
        <v>38218</v>
      </c>
      <c r="B551" s="210" t="s">
        <v>13323</v>
      </c>
      <c r="C551" s="224" t="s">
        <v>13096</v>
      </c>
      <c r="D551" s="211" t="s">
        <v>16</v>
      </c>
      <c r="E551" s="211">
        <v>1</v>
      </c>
      <c r="F551" s="211"/>
      <c r="G551" s="211"/>
      <c r="H551" s="231">
        <v>10</v>
      </c>
      <c r="I551" s="213">
        <f t="shared" si="35"/>
        <v>8.3333333333333332E-3</v>
      </c>
      <c r="J551" s="272">
        <v>346.79</v>
      </c>
      <c r="K551" s="113"/>
      <c r="L551" s="213"/>
      <c r="M551" s="112">
        <f t="shared" si="36"/>
        <v>2.89</v>
      </c>
      <c r="N551" s="112">
        <f t="shared" si="37"/>
        <v>86.7</v>
      </c>
      <c r="O551" s="114"/>
      <c r="P551" s="113"/>
      <c r="R551" s="203"/>
      <c r="S551" s="182"/>
      <c r="T551" s="182"/>
      <c r="U551" s="182"/>
      <c r="V551" s="182"/>
      <c r="W551" s="182"/>
      <c r="X551" s="182"/>
      <c r="Y551" s="182"/>
      <c r="Z551" s="182"/>
      <c r="AA551" s="182"/>
      <c r="AB551" s="182"/>
      <c r="AC551" s="182"/>
      <c r="AD551" s="182"/>
      <c r="AE551" s="182"/>
      <c r="AF551" s="182"/>
      <c r="AG551" s="182"/>
      <c r="AH551" s="182"/>
      <c r="AI551" s="182"/>
      <c r="AJ551" s="182"/>
      <c r="AK551" s="182"/>
      <c r="AL551" s="182"/>
      <c r="AM551" s="182"/>
      <c r="AN551" s="182"/>
      <c r="AO551" s="182"/>
      <c r="AP551" s="182"/>
      <c r="AQ551" s="182"/>
      <c r="AR551" s="182"/>
      <c r="AS551" s="182"/>
      <c r="AT551" s="182"/>
      <c r="AU551" s="182"/>
      <c r="AV551" s="182"/>
      <c r="AW551" s="182"/>
      <c r="AX551" s="182"/>
      <c r="AY551" s="182"/>
      <c r="AZ551" s="182"/>
      <c r="BA551" s="182"/>
      <c r="BB551" s="182"/>
      <c r="BC551" s="182"/>
      <c r="BD551" s="182"/>
      <c r="BE551" s="182"/>
      <c r="BF551" s="182"/>
      <c r="BG551" s="182"/>
      <c r="BH551" s="182"/>
      <c r="BI551" s="182"/>
      <c r="BJ551" s="182"/>
      <c r="BK551" s="182"/>
      <c r="BL551" s="182"/>
      <c r="BM551" s="182"/>
      <c r="BN551" s="182"/>
      <c r="BO551" s="182"/>
      <c r="BP551" s="182"/>
      <c r="BQ551" s="182"/>
      <c r="BR551" s="182"/>
      <c r="BS551" s="182"/>
      <c r="BT551" s="182"/>
      <c r="BU551" s="182"/>
      <c r="BV551" s="182"/>
      <c r="BW551" s="182"/>
      <c r="BX551" s="182"/>
      <c r="BY551" s="182"/>
      <c r="BZ551" s="182"/>
      <c r="CA551" s="182"/>
      <c r="CB551" s="182"/>
      <c r="CC551" s="182"/>
      <c r="CD551" s="182"/>
      <c r="CE551" s="182"/>
      <c r="CF551" s="182"/>
      <c r="CG551" s="182"/>
      <c r="CH551" s="182"/>
      <c r="CI551" s="182"/>
      <c r="CJ551" s="182"/>
      <c r="CK551" s="182"/>
      <c r="CL551" s="182"/>
      <c r="CM551" s="182"/>
      <c r="CN551" s="182"/>
      <c r="CO551" s="182"/>
      <c r="CP551" s="182"/>
      <c r="CQ551" s="182"/>
      <c r="CR551" s="182"/>
      <c r="CS551" s="182"/>
      <c r="CT551" s="182"/>
      <c r="CU551" s="182"/>
      <c r="CV551" s="182"/>
      <c r="CW551" s="182"/>
      <c r="CX551" s="182"/>
      <c r="CY551" s="182"/>
      <c r="CZ551" s="182"/>
      <c r="DA551" s="182"/>
      <c r="DB551" s="182"/>
      <c r="DC551" s="182"/>
      <c r="DD551" s="182"/>
      <c r="DE551" s="182"/>
      <c r="DF551" s="182"/>
      <c r="DG551" s="182"/>
      <c r="DH551" s="182"/>
      <c r="DI551" s="182"/>
      <c r="DJ551" s="182"/>
      <c r="DK551" s="182"/>
      <c r="DL551" s="182"/>
      <c r="DM551" s="182"/>
      <c r="DN551" s="182"/>
      <c r="DO551" s="182"/>
      <c r="DP551" s="182"/>
      <c r="DQ551" s="182"/>
      <c r="DR551" s="182"/>
      <c r="DS551" s="182"/>
      <c r="DT551" s="182"/>
      <c r="DU551" s="182"/>
      <c r="DV551" s="182"/>
      <c r="DW551" s="182"/>
      <c r="DX551" s="182"/>
      <c r="DY551" s="182"/>
      <c r="DZ551" s="182"/>
      <c r="EA551" s="182"/>
      <c r="EB551" s="182"/>
      <c r="EC551" s="182"/>
      <c r="ED551" s="182"/>
      <c r="EE551" s="182"/>
      <c r="EF551" s="182"/>
      <c r="EG551" s="182"/>
      <c r="EH551" s="182"/>
      <c r="EI551" s="182"/>
      <c r="EJ551" s="182"/>
      <c r="EK551" s="182"/>
      <c r="EL551" s="182"/>
      <c r="EM551" s="182"/>
      <c r="EN551" s="182"/>
      <c r="EO551" s="182"/>
      <c r="EP551" s="182"/>
      <c r="EQ551" s="182"/>
      <c r="ER551" s="182"/>
      <c r="ES551" s="182"/>
      <c r="ET551" s="182"/>
      <c r="EU551" s="182"/>
      <c r="EV551" s="182"/>
      <c r="EW551" s="182"/>
      <c r="EX551" s="182"/>
      <c r="EY551" s="182"/>
      <c r="EZ551" s="182"/>
      <c r="FA551" s="182"/>
      <c r="FB551" s="182"/>
      <c r="FC551" s="182"/>
      <c r="FD551" s="182"/>
      <c r="FE551" s="182"/>
      <c r="FF551" s="182"/>
      <c r="FG551" s="182"/>
      <c r="FH551" s="182"/>
      <c r="FI551" s="182"/>
      <c r="FJ551" s="182"/>
      <c r="FK551" s="182"/>
      <c r="FL551" s="182"/>
      <c r="FM551" s="182"/>
      <c r="FN551" s="182"/>
      <c r="FO551" s="182"/>
      <c r="FP551" s="182"/>
      <c r="FQ551" s="182"/>
      <c r="FR551" s="182"/>
      <c r="FS551" s="182"/>
      <c r="FT551" s="182"/>
      <c r="FU551" s="182"/>
      <c r="FV551" s="182"/>
      <c r="FW551" s="182"/>
      <c r="FX551" s="182"/>
      <c r="FY551" s="182"/>
      <c r="FZ551" s="182"/>
      <c r="GA551" s="182"/>
      <c r="GB551" s="182"/>
      <c r="GC551" s="182"/>
      <c r="GD551" s="182"/>
      <c r="GE551" s="182"/>
      <c r="GF551" s="182"/>
      <c r="GG551" s="182"/>
      <c r="GH551" s="182"/>
      <c r="GI551" s="182"/>
    </row>
    <row r="552" spans="1:191" s="183" customFormat="1" x14ac:dyDescent="0.2">
      <c r="A552" s="210" t="s">
        <v>38219</v>
      </c>
      <c r="B552" s="210" t="s">
        <v>13324</v>
      </c>
      <c r="C552" s="224" t="s">
        <v>13097</v>
      </c>
      <c r="D552" s="211" t="s">
        <v>16</v>
      </c>
      <c r="E552" s="211">
        <v>1</v>
      </c>
      <c r="F552" s="211"/>
      <c r="G552" s="211"/>
      <c r="H552" s="231">
        <v>10</v>
      </c>
      <c r="I552" s="213">
        <f t="shared" si="35"/>
        <v>8.3333333333333332E-3</v>
      </c>
      <c r="J552" s="272">
        <v>3545.45</v>
      </c>
      <c r="K552" s="113"/>
      <c r="L552" s="213"/>
      <c r="M552" s="112">
        <f t="shared" si="36"/>
        <v>29.55</v>
      </c>
      <c r="N552" s="112">
        <f t="shared" si="37"/>
        <v>886.5</v>
      </c>
      <c r="O552" s="114"/>
      <c r="P552" s="113"/>
      <c r="R552" s="203"/>
      <c r="S552" s="182"/>
      <c r="T552" s="182"/>
      <c r="U552" s="182"/>
      <c r="V552" s="182"/>
      <c r="W552" s="182"/>
      <c r="X552" s="182"/>
      <c r="Y552" s="182"/>
      <c r="Z552" s="182"/>
      <c r="AA552" s="182"/>
      <c r="AB552" s="182"/>
      <c r="AC552" s="182"/>
      <c r="AD552" s="182"/>
      <c r="AE552" s="182"/>
      <c r="AF552" s="182"/>
      <c r="AG552" s="182"/>
      <c r="AH552" s="182"/>
      <c r="AI552" s="182"/>
      <c r="AJ552" s="182"/>
      <c r="AK552" s="182"/>
      <c r="AL552" s="182"/>
      <c r="AM552" s="182"/>
      <c r="AN552" s="182"/>
      <c r="AO552" s="182"/>
      <c r="AP552" s="182"/>
      <c r="AQ552" s="182"/>
      <c r="AR552" s="182"/>
      <c r="AS552" s="182"/>
      <c r="AT552" s="182"/>
      <c r="AU552" s="182"/>
      <c r="AV552" s="182"/>
      <c r="AW552" s="182"/>
      <c r="AX552" s="182"/>
      <c r="AY552" s="182"/>
      <c r="AZ552" s="182"/>
      <c r="BA552" s="182"/>
      <c r="BB552" s="182"/>
      <c r="BC552" s="182"/>
      <c r="BD552" s="182"/>
      <c r="BE552" s="182"/>
      <c r="BF552" s="182"/>
      <c r="BG552" s="182"/>
      <c r="BH552" s="182"/>
      <c r="BI552" s="182"/>
      <c r="BJ552" s="182"/>
      <c r="BK552" s="182"/>
      <c r="BL552" s="182"/>
      <c r="BM552" s="182"/>
      <c r="BN552" s="182"/>
      <c r="BO552" s="182"/>
      <c r="BP552" s="182"/>
      <c r="BQ552" s="182"/>
      <c r="BR552" s="182"/>
      <c r="BS552" s="182"/>
      <c r="BT552" s="182"/>
      <c r="BU552" s="182"/>
      <c r="BV552" s="182"/>
      <c r="BW552" s="182"/>
      <c r="BX552" s="182"/>
      <c r="BY552" s="182"/>
      <c r="BZ552" s="182"/>
      <c r="CA552" s="182"/>
      <c r="CB552" s="182"/>
      <c r="CC552" s="182"/>
      <c r="CD552" s="182"/>
      <c r="CE552" s="182"/>
      <c r="CF552" s="182"/>
      <c r="CG552" s="182"/>
      <c r="CH552" s="182"/>
      <c r="CI552" s="182"/>
      <c r="CJ552" s="182"/>
      <c r="CK552" s="182"/>
      <c r="CL552" s="182"/>
      <c r="CM552" s="182"/>
      <c r="CN552" s="182"/>
      <c r="CO552" s="182"/>
      <c r="CP552" s="182"/>
      <c r="CQ552" s="182"/>
      <c r="CR552" s="182"/>
      <c r="CS552" s="182"/>
      <c r="CT552" s="182"/>
      <c r="CU552" s="182"/>
      <c r="CV552" s="182"/>
      <c r="CW552" s="182"/>
      <c r="CX552" s="182"/>
      <c r="CY552" s="182"/>
      <c r="CZ552" s="182"/>
      <c r="DA552" s="182"/>
      <c r="DB552" s="182"/>
      <c r="DC552" s="182"/>
      <c r="DD552" s="182"/>
      <c r="DE552" s="182"/>
      <c r="DF552" s="182"/>
      <c r="DG552" s="182"/>
      <c r="DH552" s="182"/>
      <c r="DI552" s="182"/>
      <c r="DJ552" s="182"/>
      <c r="DK552" s="182"/>
      <c r="DL552" s="182"/>
      <c r="DM552" s="182"/>
      <c r="DN552" s="182"/>
      <c r="DO552" s="182"/>
      <c r="DP552" s="182"/>
      <c r="DQ552" s="182"/>
      <c r="DR552" s="182"/>
      <c r="DS552" s="182"/>
      <c r="DT552" s="182"/>
      <c r="DU552" s="182"/>
      <c r="DV552" s="182"/>
      <c r="DW552" s="182"/>
      <c r="DX552" s="182"/>
      <c r="DY552" s="182"/>
      <c r="DZ552" s="182"/>
      <c r="EA552" s="182"/>
      <c r="EB552" s="182"/>
      <c r="EC552" s="182"/>
      <c r="ED552" s="182"/>
      <c r="EE552" s="182"/>
      <c r="EF552" s="182"/>
      <c r="EG552" s="182"/>
      <c r="EH552" s="182"/>
      <c r="EI552" s="182"/>
      <c r="EJ552" s="182"/>
      <c r="EK552" s="182"/>
      <c r="EL552" s="182"/>
      <c r="EM552" s="182"/>
      <c r="EN552" s="182"/>
      <c r="EO552" s="182"/>
      <c r="EP552" s="182"/>
      <c r="EQ552" s="182"/>
      <c r="ER552" s="182"/>
      <c r="ES552" s="182"/>
      <c r="ET552" s="182"/>
      <c r="EU552" s="182"/>
      <c r="EV552" s="182"/>
      <c r="EW552" s="182"/>
      <c r="EX552" s="182"/>
      <c r="EY552" s="182"/>
      <c r="EZ552" s="182"/>
      <c r="FA552" s="182"/>
      <c r="FB552" s="182"/>
      <c r="FC552" s="182"/>
      <c r="FD552" s="182"/>
      <c r="FE552" s="182"/>
      <c r="FF552" s="182"/>
      <c r="FG552" s="182"/>
      <c r="FH552" s="182"/>
      <c r="FI552" s="182"/>
      <c r="FJ552" s="182"/>
      <c r="FK552" s="182"/>
      <c r="FL552" s="182"/>
      <c r="FM552" s="182"/>
      <c r="FN552" s="182"/>
      <c r="FO552" s="182"/>
      <c r="FP552" s="182"/>
      <c r="FQ552" s="182"/>
      <c r="FR552" s="182"/>
      <c r="FS552" s="182"/>
      <c r="FT552" s="182"/>
      <c r="FU552" s="182"/>
      <c r="FV552" s="182"/>
      <c r="FW552" s="182"/>
      <c r="FX552" s="182"/>
      <c r="FY552" s="182"/>
      <c r="FZ552" s="182"/>
      <c r="GA552" s="182"/>
      <c r="GB552" s="182"/>
      <c r="GC552" s="182"/>
      <c r="GD552" s="182"/>
      <c r="GE552" s="182"/>
      <c r="GF552" s="182"/>
      <c r="GG552" s="182"/>
      <c r="GH552" s="182"/>
      <c r="GI552" s="182"/>
    </row>
    <row r="553" spans="1:191" s="183" customFormat="1" x14ac:dyDescent="0.2">
      <c r="A553" s="210" t="s">
        <v>38220</v>
      </c>
      <c r="B553" s="210" t="s">
        <v>13325</v>
      </c>
      <c r="C553" s="224" t="s">
        <v>13098</v>
      </c>
      <c r="D553" s="211" t="s">
        <v>16</v>
      </c>
      <c r="E553" s="211">
        <v>1</v>
      </c>
      <c r="F553" s="211"/>
      <c r="G553" s="211"/>
      <c r="H553" s="231">
        <v>10</v>
      </c>
      <c r="I553" s="213">
        <f t="shared" si="35"/>
        <v>8.3333333333333332E-3</v>
      </c>
      <c r="J553" s="272">
        <v>237.3</v>
      </c>
      <c r="K553" s="113"/>
      <c r="L553" s="213"/>
      <c r="M553" s="112">
        <f t="shared" si="36"/>
        <v>1.98</v>
      </c>
      <c r="N553" s="112">
        <f t="shared" si="37"/>
        <v>59.4</v>
      </c>
      <c r="O553" s="114"/>
      <c r="P553" s="113"/>
      <c r="R553" s="203"/>
      <c r="S553" s="182"/>
      <c r="T553" s="182"/>
      <c r="U553" s="182"/>
      <c r="V553" s="182"/>
      <c r="W553" s="182"/>
      <c r="X553" s="182"/>
      <c r="Y553" s="182"/>
      <c r="Z553" s="182"/>
      <c r="AA553" s="182"/>
      <c r="AB553" s="182"/>
      <c r="AC553" s="182"/>
      <c r="AD553" s="182"/>
      <c r="AE553" s="182"/>
      <c r="AF553" s="182"/>
      <c r="AG553" s="182"/>
      <c r="AH553" s="182"/>
      <c r="AI553" s="182"/>
      <c r="AJ553" s="182"/>
      <c r="AK553" s="182"/>
      <c r="AL553" s="182"/>
      <c r="AM553" s="182"/>
      <c r="AN553" s="182"/>
      <c r="AO553" s="182"/>
      <c r="AP553" s="182"/>
      <c r="AQ553" s="182"/>
      <c r="AR553" s="182"/>
      <c r="AS553" s="182"/>
      <c r="AT553" s="182"/>
      <c r="AU553" s="182"/>
      <c r="AV553" s="182"/>
      <c r="AW553" s="182"/>
      <c r="AX553" s="182"/>
      <c r="AY553" s="182"/>
      <c r="AZ553" s="182"/>
      <c r="BA553" s="182"/>
      <c r="BB553" s="182"/>
      <c r="BC553" s="182"/>
      <c r="BD553" s="182"/>
      <c r="BE553" s="182"/>
      <c r="BF553" s="182"/>
      <c r="BG553" s="182"/>
      <c r="BH553" s="182"/>
      <c r="BI553" s="182"/>
      <c r="BJ553" s="182"/>
      <c r="BK553" s="182"/>
      <c r="BL553" s="182"/>
      <c r="BM553" s="182"/>
      <c r="BN553" s="182"/>
      <c r="BO553" s="182"/>
      <c r="BP553" s="182"/>
      <c r="BQ553" s="182"/>
      <c r="BR553" s="182"/>
      <c r="BS553" s="182"/>
      <c r="BT553" s="182"/>
      <c r="BU553" s="182"/>
      <c r="BV553" s="182"/>
      <c r="BW553" s="182"/>
      <c r="BX553" s="182"/>
      <c r="BY553" s="182"/>
      <c r="BZ553" s="182"/>
      <c r="CA553" s="182"/>
      <c r="CB553" s="182"/>
      <c r="CC553" s="182"/>
      <c r="CD553" s="182"/>
      <c r="CE553" s="182"/>
      <c r="CF553" s="182"/>
      <c r="CG553" s="182"/>
      <c r="CH553" s="182"/>
      <c r="CI553" s="182"/>
      <c r="CJ553" s="182"/>
      <c r="CK553" s="182"/>
      <c r="CL553" s="182"/>
      <c r="CM553" s="182"/>
      <c r="CN553" s="182"/>
      <c r="CO553" s="182"/>
      <c r="CP553" s="182"/>
      <c r="CQ553" s="182"/>
      <c r="CR553" s="182"/>
      <c r="CS553" s="182"/>
      <c r="CT553" s="182"/>
      <c r="CU553" s="182"/>
      <c r="CV553" s="182"/>
      <c r="CW553" s="182"/>
      <c r="CX553" s="182"/>
      <c r="CY553" s="182"/>
      <c r="CZ553" s="182"/>
      <c r="DA553" s="182"/>
      <c r="DB553" s="182"/>
      <c r="DC553" s="182"/>
      <c r="DD553" s="182"/>
      <c r="DE553" s="182"/>
      <c r="DF553" s="182"/>
      <c r="DG553" s="182"/>
      <c r="DH553" s="182"/>
      <c r="DI553" s="182"/>
      <c r="DJ553" s="182"/>
      <c r="DK553" s="182"/>
      <c r="DL553" s="182"/>
      <c r="DM553" s="182"/>
      <c r="DN553" s="182"/>
      <c r="DO553" s="182"/>
      <c r="DP553" s="182"/>
      <c r="DQ553" s="182"/>
      <c r="DR553" s="182"/>
      <c r="DS553" s="182"/>
      <c r="DT553" s="182"/>
      <c r="DU553" s="182"/>
      <c r="DV553" s="182"/>
      <c r="DW553" s="182"/>
      <c r="DX553" s="182"/>
      <c r="DY553" s="182"/>
      <c r="DZ553" s="182"/>
      <c r="EA553" s="182"/>
      <c r="EB553" s="182"/>
      <c r="EC553" s="182"/>
      <c r="ED553" s="182"/>
      <c r="EE553" s="182"/>
      <c r="EF553" s="182"/>
      <c r="EG553" s="182"/>
      <c r="EH553" s="182"/>
      <c r="EI553" s="182"/>
      <c r="EJ553" s="182"/>
      <c r="EK553" s="182"/>
      <c r="EL553" s="182"/>
      <c r="EM553" s="182"/>
      <c r="EN553" s="182"/>
      <c r="EO553" s="182"/>
      <c r="EP553" s="182"/>
      <c r="EQ553" s="182"/>
      <c r="ER553" s="182"/>
      <c r="ES553" s="182"/>
      <c r="ET553" s="182"/>
      <c r="EU553" s="182"/>
      <c r="EV553" s="182"/>
      <c r="EW553" s="182"/>
      <c r="EX553" s="182"/>
      <c r="EY553" s="182"/>
      <c r="EZ553" s="182"/>
      <c r="FA553" s="182"/>
      <c r="FB553" s="182"/>
      <c r="FC553" s="182"/>
      <c r="FD553" s="182"/>
      <c r="FE553" s="182"/>
      <c r="FF553" s="182"/>
      <c r="FG553" s="182"/>
      <c r="FH553" s="182"/>
      <c r="FI553" s="182"/>
      <c r="FJ553" s="182"/>
      <c r="FK553" s="182"/>
      <c r="FL553" s="182"/>
      <c r="FM553" s="182"/>
      <c r="FN553" s="182"/>
      <c r="FO553" s="182"/>
      <c r="FP553" s="182"/>
      <c r="FQ553" s="182"/>
      <c r="FR553" s="182"/>
      <c r="FS553" s="182"/>
      <c r="FT553" s="182"/>
      <c r="FU553" s="182"/>
      <c r="FV553" s="182"/>
      <c r="FW553" s="182"/>
      <c r="FX553" s="182"/>
      <c r="FY553" s="182"/>
      <c r="FZ553" s="182"/>
      <c r="GA553" s="182"/>
      <c r="GB553" s="182"/>
      <c r="GC553" s="182"/>
      <c r="GD553" s="182"/>
      <c r="GE553" s="182"/>
      <c r="GF553" s="182"/>
      <c r="GG553" s="182"/>
      <c r="GH553" s="182"/>
      <c r="GI553" s="182"/>
    </row>
    <row r="554" spans="1:191" s="183" customFormat="1" x14ac:dyDescent="0.2">
      <c r="A554" s="210" t="s">
        <v>38221</v>
      </c>
      <c r="B554" s="210" t="s">
        <v>13326</v>
      </c>
      <c r="C554" s="224" t="s">
        <v>13099</v>
      </c>
      <c r="D554" s="211" t="s">
        <v>16</v>
      </c>
      <c r="E554" s="211">
        <v>7</v>
      </c>
      <c r="F554" s="211"/>
      <c r="G554" s="211"/>
      <c r="H554" s="231">
        <v>5</v>
      </c>
      <c r="I554" s="213">
        <f t="shared" si="35"/>
        <v>1.6666666666666666E-2</v>
      </c>
      <c r="J554" s="272">
        <v>200.93</v>
      </c>
      <c r="K554" s="113"/>
      <c r="L554" s="213"/>
      <c r="M554" s="112">
        <f t="shared" si="36"/>
        <v>23.44</v>
      </c>
      <c r="N554" s="112">
        <f t="shared" si="37"/>
        <v>703.2</v>
      </c>
      <c r="O554" s="114"/>
      <c r="P554" s="113"/>
      <c r="R554" s="203"/>
      <c r="S554" s="182"/>
      <c r="T554" s="182"/>
      <c r="U554" s="182"/>
      <c r="V554" s="182"/>
      <c r="W554" s="182"/>
      <c r="X554" s="182"/>
      <c r="Y554" s="182"/>
      <c r="Z554" s="182"/>
      <c r="AA554" s="182"/>
      <c r="AB554" s="182"/>
      <c r="AC554" s="182"/>
      <c r="AD554" s="182"/>
      <c r="AE554" s="182"/>
      <c r="AF554" s="182"/>
      <c r="AG554" s="182"/>
      <c r="AH554" s="182"/>
      <c r="AI554" s="182"/>
      <c r="AJ554" s="182"/>
      <c r="AK554" s="182"/>
      <c r="AL554" s="182"/>
      <c r="AM554" s="182"/>
      <c r="AN554" s="182"/>
      <c r="AO554" s="182"/>
      <c r="AP554" s="182"/>
      <c r="AQ554" s="182"/>
      <c r="AR554" s="182"/>
      <c r="AS554" s="182"/>
      <c r="AT554" s="182"/>
      <c r="AU554" s="182"/>
      <c r="AV554" s="182"/>
      <c r="AW554" s="182"/>
      <c r="AX554" s="182"/>
      <c r="AY554" s="182"/>
      <c r="AZ554" s="182"/>
      <c r="BA554" s="182"/>
      <c r="BB554" s="182"/>
      <c r="BC554" s="182"/>
      <c r="BD554" s="182"/>
      <c r="BE554" s="182"/>
      <c r="BF554" s="182"/>
      <c r="BG554" s="182"/>
      <c r="BH554" s="182"/>
      <c r="BI554" s="182"/>
      <c r="BJ554" s="182"/>
      <c r="BK554" s="182"/>
      <c r="BL554" s="182"/>
      <c r="BM554" s="182"/>
      <c r="BN554" s="182"/>
      <c r="BO554" s="182"/>
      <c r="BP554" s="182"/>
      <c r="BQ554" s="182"/>
      <c r="BR554" s="182"/>
      <c r="BS554" s="182"/>
      <c r="BT554" s="182"/>
      <c r="BU554" s="182"/>
      <c r="BV554" s="182"/>
      <c r="BW554" s="182"/>
      <c r="BX554" s="182"/>
      <c r="BY554" s="182"/>
      <c r="BZ554" s="182"/>
      <c r="CA554" s="182"/>
      <c r="CB554" s="182"/>
      <c r="CC554" s="182"/>
      <c r="CD554" s="182"/>
      <c r="CE554" s="182"/>
      <c r="CF554" s="182"/>
      <c r="CG554" s="182"/>
      <c r="CH554" s="182"/>
      <c r="CI554" s="182"/>
      <c r="CJ554" s="182"/>
      <c r="CK554" s="182"/>
      <c r="CL554" s="182"/>
      <c r="CM554" s="182"/>
      <c r="CN554" s="182"/>
      <c r="CO554" s="182"/>
      <c r="CP554" s="182"/>
      <c r="CQ554" s="182"/>
      <c r="CR554" s="182"/>
      <c r="CS554" s="182"/>
      <c r="CT554" s="182"/>
      <c r="CU554" s="182"/>
      <c r="CV554" s="182"/>
      <c r="CW554" s="182"/>
      <c r="CX554" s="182"/>
      <c r="CY554" s="182"/>
      <c r="CZ554" s="182"/>
      <c r="DA554" s="182"/>
      <c r="DB554" s="182"/>
      <c r="DC554" s="182"/>
      <c r="DD554" s="182"/>
      <c r="DE554" s="182"/>
      <c r="DF554" s="182"/>
      <c r="DG554" s="182"/>
      <c r="DH554" s="182"/>
      <c r="DI554" s="182"/>
      <c r="DJ554" s="182"/>
      <c r="DK554" s="182"/>
      <c r="DL554" s="182"/>
      <c r="DM554" s="182"/>
      <c r="DN554" s="182"/>
      <c r="DO554" s="182"/>
      <c r="DP554" s="182"/>
      <c r="DQ554" s="182"/>
      <c r="DR554" s="182"/>
      <c r="DS554" s="182"/>
      <c r="DT554" s="182"/>
      <c r="DU554" s="182"/>
      <c r="DV554" s="182"/>
      <c r="DW554" s="182"/>
      <c r="DX554" s="182"/>
      <c r="DY554" s="182"/>
      <c r="DZ554" s="182"/>
      <c r="EA554" s="182"/>
      <c r="EB554" s="182"/>
      <c r="EC554" s="182"/>
      <c r="ED554" s="182"/>
      <c r="EE554" s="182"/>
      <c r="EF554" s="182"/>
      <c r="EG554" s="182"/>
      <c r="EH554" s="182"/>
      <c r="EI554" s="182"/>
      <c r="EJ554" s="182"/>
      <c r="EK554" s="182"/>
      <c r="EL554" s="182"/>
      <c r="EM554" s="182"/>
      <c r="EN554" s="182"/>
      <c r="EO554" s="182"/>
      <c r="EP554" s="182"/>
      <c r="EQ554" s="182"/>
      <c r="ER554" s="182"/>
      <c r="ES554" s="182"/>
      <c r="ET554" s="182"/>
      <c r="EU554" s="182"/>
      <c r="EV554" s="182"/>
      <c r="EW554" s="182"/>
      <c r="EX554" s="182"/>
      <c r="EY554" s="182"/>
      <c r="EZ554" s="182"/>
      <c r="FA554" s="182"/>
      <c r="FB554" s="182"/>
      <c r="FC554" s="182"/>
      <c r="FD554" s="182"/>
      <c r="FE554" s="182"/>
      <c r="FF554" s="182"/>
      <c r="FG554" s="182"/>
      <c r="FH554" s="182"/>
      <c r="FI554" s="182"/>
      <c r="FJ554" s="182"/>
      <c r="FK554" s="182"/>
      <c r="FL554" s="182"/>
      <c r="FM554" s="182"/>
      <c r="FN554" s="182"/>
      <c r="FO554" s="182"/>
      <c r="FP554" s="182"/>
      <c r="FQ554" s="182"/>
      <c r="FR554" s="182"/>
      <c r="FS554" s="182"/>
      <c r="FT554" s="182"/>
      <c r="FU554" s="182"/>
      <c r="FV554" s="182"/>
      <c r="FW554" s="182"/>
      <c r="FX554" s="182"/>
      <c r="FY554" s="182"/>
      <c r="FZ554" s="182"/>
      <c r="GA554" s="182"/>
      <c r="GB554" s="182"/>
      <c r="GC554" s="182"/>
      <c r="GD554" s="182"/>
      <c r="GE554" s="182"/>
      <c r="GF554" s="182"/>
      <c r="GG554" s="182"/>
      <c r="GH554" s="182"/>
      <c r="GI554" s="182"/>
    </row>
    <row r="555" spans="1:191" s="183" customFormat="1" x14ac:dyDescent="0.2">
      <c r="A555" s="210" t="s">
        <v>38222</v>
      </c>
      <c r="B555" s="210" t="s">
        <v>13327</v>
      </c>
      <c r="C555" s="224" t="s">
        <v>13100</v>
      </c>
      <c r="D555" s="211" t="s">
        <v>16</v>
      </c>
      <c r="E555" s="211">
        <v>43</v>
      </c>
      <c r="F555" s="211"/>
      <c r="G555" s="211"/>
      <c r="H555" s="231">
        <v>5</v>
      </c>
      <c r="I555" s="213">
        <f t="shared" si="35"/>
        <v>1.6666666666666666E-2</v>
      </c>
      <c r="J555" s="272">
        <v>229.21</v>
      </c>
      <c r="K555" s="113"/>
      <c r="L555" s="213"/>
      <c r="M555" s="112">
        <f t="shared" si="36"/>
        <v>164.27</v>
      </c>
      <c r="N555" s="112">
        <f t="shared" si="37"/>
        <v>4928.1000000000004</v>
      </c>
      <c r="O555" s="114"/>
      <c r="P555" s="113"/>
      <c r="R555" s="203"/>
      <c r="S555" s="182"/>
      <c r="T555" s="182"/>
      <c r="U555" s="182"/>
      <c r="V555" s="182"/>
      <c r="W555" s="182"/>
      <c r="X555" s="182"/>
      <c r="Y555" s="182"/>
      <c r="Z555" s="182"/>
      <c r="AA555" s="182"/>
      <c r="AB555" s="182"/>
      <c r="AC555" s="182"/>
      <c r="AD555" s="182"/>
      <c r="AE555" s="182"/>
      <c r="AF555" s="182"/>
      <c r="AG555" s="182"/>
      <c r="AH555" s="182"/>
      <c r="AI555" s="182"/>
      <c r="AJ555" s="182"/>
      <c r="AK555" s="182"/>
      <c r="AL555" s="182"/>
      <c r="AM555" s="182"/>
      <c r="AN555" s="182"/>
      <c r="AO555" s="182"/>
      <c r="AP555" s="182"/>
      <c r="AQ555" s="182"/>
      <c r="AR555" s="182"/>
      <c r="AS555" s="182"/>
      <c r="AT555" s="182"/>
      <c r="AU555" s="182"/>
      <c r="AV555" s="182"/>
      <c r="AW555" s="182"/>
      <c r="AX555" s="182"/>
      <c r="AY555" s="182"/>
      <c r="AZ555" s="182"/>
      <c r="BA555" s="182"/>
      <c r="BB555" s="182"/>
      <c r="BC555" s="182"/>
      <c r="BD555" s="182"/>
      <c r="BE555" s="182"/>
      <c r="BF555" s="182"/>
      <c r="BG555" s="182"/>
      <c r="BH555" s="182"/>
      <c r="BI555" s="182"/>
      <c r="BJ555" s="182"/>
      <c r="BK555" s="182"/>
      <c r="BL555" s="182"/>
      <c r="BM555" s="182"/>
      <c r="BN555" s="182"/>
      <c r="BO555" s="182"/>
      <c r="BP555" s="182"/>
      <c r="BQ555" s="182"/>
      <c r="BR555" s="182"/>
      <c r="BS555" s="182"/>
      <c r="BT555" s="182"/>
      <c r="BU555" s="182"/>
      <c r="BV555" s="182"/>
      <c r="BW555" s="182"/>
      <c r="BX555" s="182"/>
      <c r="BY555" s="182"/>
      <c r="BZ555" s="182"/>
      <c r="CA555" s="182"/>
      <c r="CB555" s="182"/>
      <c r="CC555" s="182"/>
      <c r="CD555" s="182"/>
      <c r="CE555" s="182"/>
      <c r="CF555" s="182"/>
      <c r="CG555" s="182"/>
      <c r="CH555" s="182"/>
      <c r="CI555" s="182"/>
      <c r="CJ555" s="182"/>
      <c r="CK555" s="182"/>
      <c r="CL555" s="182"/>
      <c r="CM555" s="182"/>
      <c r="CN555" s="182"/>
      <c r="CO555" s="182"/>
      <c r="CP555" s="182"/>
      <c r="CQ555" s="182"/>
      <c r="CR555" s="182"/>
      <c r="CS555" s="182"/>
      <c r="CT555" s="182"/>
      <c r="CU555" s="182"/>
      <c r="CV555" s="182"/>
      <c r="CW555" s="182"/>
      <c r="CX555" s="182"/>
      <c r="CY555" s="182"/>
      <c r="CZ555" s="182"/>
      <c r="DA555" s="182"/>
      <c r="DB555" s="182"/>
      <c r="DC555" s="182"/>
      <c r="DD555" s="182"/>
      <c r="DE555" s="182"/>
      <c r="DF555" s="182"/>
      <c r="DG555" s="182"/>
      <c r="DH555" s="182"/>
      <c r="DI555" s="182"/>
      <c r="DJ555" s="182"/>
      <c r="DK555" s="182"/>
      <c r="DL555" s="182"/>
      <c r="DM555" s="182"/>
      <c r="DN555" s="182"/>
      <c r="DO555" s="182"/>
      <c r="DP555" s="182"/>
      <c r="DQ555" s="182"/>
      <c r="DR555" s="182"/>
      <c r="DS555" s="182"/>
      <c r="DT555" s="182"/>
      <c r="DU555" s="182"/>
      <c r="DV555" s="182"/>
      <c r="DW555" s="182"/>
      <c r="DX555" s="182"/>
      <c r="DY555" s="182"/>
      <c r="DZ555" s="182"/>
      <c r="EA555" s="182"/>
      <c r="EB555" s="182"/>
      <c r="EC555" s="182"/>
      <c r="ED555" s="182"/>
      <c r="EE555" s="182"/>
      <c r="EF555" s="182"/>
      <c r="EG555" s="182"/>
      <c r="EH555" s="182"/>
      <c r="EI555" s="182"/>
      <c r="EJ555" s="182"/>
      <c r="EK555" s="182"/>
      <c r="EL555" s="182"/>
      <c r="EM555" s="182"/>
      <c r="EN555" s="182"/>
      <c r="EO555" s="182"/>
      <c r="EP555" s="182"/>
      <c r="EQ555" s="182"/>
      <c r="ER555" s="182"/>
      <c r="ES555" s="182"/>
      <c r="ET555" s="182"/>
      <c r="EU555" s="182"/>
      <c r="EV555" s="182"/>
      <c r="EW555" s="182"/>
      <c r="EX555" s="182"/>
      <c r="EY555" s="182"/>
      <c r="EZ555" s="182"/>
      <c r="FA555" s="182"/>
      <c r="FB555" s="182"/>
      <c r="FC555" s="182"/>
      <c r="FD555" s="182"/>
      <c r="FE555" s="182"/>
      <c r="FF555" s="182"/>
      <c r="FG555" s="182"/>
      <c r="FH555" s="182"/>
      <c r="FI555" s="182"/>
      <c r="FJ555" s="182"/>
      <c r="FK555" s="182"/>
      <c r="FL555" s="182"/>
      <c r="FM555" s="182"/>
      <c r="FN555" s="182"/>
      <c r="FO555" s="182"/>
      <c r="FP555" s="182"/>
      <c r="FQ555" s="182"/>
      <c r="FR555" s="182"/>
      <c r="FS555" s="182"/>
      <c r="FT555" s="182"/>
      <c r="FU555" s="182"/>
      <c r="FV555" s="182"/>
      <c r="FW555" s="182"/>
      <c r="FX555" s="182"/>
      <c r="FY555" s="182"/>
      <c r="FZ555" s="182"/>
      <c r="GA555" s="182"/>
      <c r="GB555" s="182"/>
      <c r="GC555" s="182"/>
      <c r="GD555" s="182"/>
      <c r="GE555" s="182"/>
      <c r="GF555" s="182"/>
      <c r="GG555" s="182"/>
      <c r="GH555" s="182"/>
      <c r="GI555" s="182"/>
    </row>
    <row r="556" spans="1:191" s="183" customFormat="1" x14ac:dyDescent="0.2">
      <c r="A556" s="210" t="s">
        <v>38223</v>
      </c>
      <c r="B556" s="210" t="s">
        <v>13328</v>
      </c>
      <c r="C556" s="224" t="s">
        <v>13101</v>
      </c>
      <c r="D556" s="211" t="s">
        <v>16</v>
      </c>
      <c r="E556" s="211">
        <v>7</v>
      </c>
      <c r="F556" s="211"/>
      <c r="G556" s="211"/>
      <c r="H556" s="231">
        <v>5</v>
      </c>
      <c r="I556" s="213">
        <f t="shared" si="35"/>
        <v>1.6666666666666666E-2</v>
      </c>
      <c r="J556" s="272">
        <v>195.53</v>
      </c>
      <c r="K556" s="113"/>
      <c r="L556" s="213"/>
      <c r="M556" s="112">
        <f t="shared" si="36"/>
        <v>22.81</v>
      </c>
      <c r="N556" s="112">
        <f t="shared" si="37"/>
        <v>684.3</v>
      </c>
      <c r="O556" s="114"/>
      <c r="P556" s="113"/>
      <c r="R556" s="203"/>
      <c r="S556" s="182"/>
      <c r="T556" s="182"/>
      <c r="U556" s="182"/>
      <c r="V556" s="182"/>
      <c r="W556" s="182"/>
      <c r="X556" s="182"/>
      <c r="Y556" s="182"/>
      <c r="Z556" s="182"/>
      <c r="AA556" s="182"/>
      <c r="AB556" s="182"/>
      <c r="AC556" s="182"/>
      <c r="AD556" s="182"/>
      <c r="AE556" s="182"/>
      <c r="AF556" s="182"/>
      <c r="AG556" s="182"/>
      <c r="AH556" s="182"/>
      <c r="AI556" s="182"/>
      <c r="AJ556" s="182"/>
      <c r="AK556" s="182"/>
      <c r="AL556" s="182"/>
      <c r="AM556" s="182"/>
      <c r="AN556" s="182"/>
      <c r="AO556" s="182"/>
      <c r="AP556" s="182"/>
      <c r="AQ556" s="182"/>
      <c r="AR556" s="182"/>
      <c r="AS556" s="182"/>
      <c r="AT556" s="182"/>
      <c r="AU556" s="182"/>
      <c r="AV556" s="182"/>
      <c r="AW556" s="182"/>
      <c r="AX556" s="182"/>
      <c r="AY556" s="182"/>
      <c r="AZ556" s="182"/>
      <c r="BA556" s="182"/>
      <c r="BB556" s="182"/>
      <c r="BC556" s="182"/>
      <c r="BD556" s="182"/>
      <c r="BE556" s="182"/>
      <c r="BF556" s="182"/>
      <c r="BG556" s="182"/>
      <c r="BH556" s="182"/>
      <c r="BI556" s="182"/>
      <c r="BJ556" s="182"/>
      <c r="BK556" s="182"/>
      <c r="BL556" s="182"/>
      <c r="BM556" s="182"/>
      <c r="BN556" s="182"/>
      <c r="BO556" s="182"/>
      <c r="BP556" s="182"/>
      <c r="BQ556" s="182"/>
      <c r="BR556" s="182"/>
      <c r="BS556" s="182"/>
      <c r="BT556" s="182"/>
      <c r="BU556" s="182"/>
      <c r="BV556" s="182"/>
      <c r="BW556" s="182"/>
      <c r="BX556" s="182"/>
      <c r="BY556" s="182"/>
      <c r="BZ556" s="182"/>
      <c r="CA556" s="182"/>
      <c r="CB556" s="182"/>
      <c r="CC556" s="182"/>
      <c r="CD556" s="182"/>
      <c r="CE556" s="182"/>
      <c r="CF556" s="182"/>
      <c r="CG556" s="182"/>
      <c r="CH556" s="182"/>
      <c r="CI556" s="182"/>
      <c r="CJ556" s="182"/>
      <c r="CK556" s="182"/>
      <c r="CL556" s="182"/>
      <c r="CM556" s="182"/>
      <c r="CN556" s="182"/>
      <c r="CO556" s="182"/>
      <c r="CP556" s="182"/>
      <c r="CQ556" s="182"/>
      <c r="CR556" s="182"/>
      <c r="CS556" s="182"/>
      <c r="CT556" s="182"/>
      <c r="CU556" s="182"/>
      <c r="CV556" s="182"/>
      <c r="CW556" s="182"/>
      <c r="CX556" s="182"/>
      <c r="CY556" s="182"/>
      <c r="CZ556" s="182"/>
      <c r="DA556" s="182"/>
      <c r="DB556" s="182"/>
      <c r="DC556" s="182"/>
      <c r="DD556" s="182"/>
      <c r="DE556" s="182"/>
      <c r="DF556" s="182"/>
      <c r="DG556" s="182"/>
      <c r="DH556" s="182"/>
      <c r="DI556" s="182"/>
      <c r="DJ556" s="182"/>
      <c r="DK556" s="182"/>
      <c r="DL556" s="182"/>
      <c r="DM556" s="182"/>
      <c r="DN556" s="182"/>
      <c r="DO556" s="182"/>
      <c r="DP556" s="182"/>
      <c r="DQ556" s="182"/>
      <c r="DR556" s="182"/>
      <c r="DS556" s="182"/>
      <c r="DT556" s="182"/>
      <c r="DU556" s="182"/>
      <c r="DV556" s="182"/>
      <c r="DW556" s="182"/>
      <c r="DX556" s="182"/>
      <c r="DY556" s="182"/>
      <c r="DZ556" s="182"/>
      <c r="EA556" s="182"/>
      <c r="EB556" s="182"/>
      <c r="EC556" s="182"/>
      <c r="ED556" s="182"/>
      <c r="EE556" s="182"/>
      <c r="EF556" s="182"/>
      <c r="EG556" s="182"/>
      <c r="EH556" s="182"/>
      <c r="EI556" s="182"/>
      <c r="EJ556" s="182"/>
      <c r="EK556" s="182"/>
      <c r="EL556" s="182"/>
      <c r="EM556" s="182"/>
      <c r="EN556" s="182"/>
      <c r="EO556" s="182"/>
      <c r="EP556" s="182"/>
      <c r="EQ556" s="182"/>
      <c r="ER556" s="182"/>
      <c r="ES556" s="182"/>
      <c r="ET556" s="182"/>
      <c r="EU556" s="182"/>
      <c r="EV556" s="182"/>
      <c r="EW556" s="182"/>
      <c r="EX556" s="182"/>
      <c r="EY556" s="182"/>
      <c r="EZ556" s="182"/>
      <c r="FA556" s="182"/>
      <c r="FB556" s="182"/>
      <c r="FC556" s="182"/>
      <c r="FD556" s="182"/>
      <c r="FE556" s="182"/>
      <c r="FF556" s="182"/>
      <c r="FG556" s="182"/>
      <c r="FH556" s="182"/>
      <c r="FI556" s="182"/>
      <c r="FJ556" s="182"/>
      <c r="FK556" s="182"/>
      <c r="FL556" s="182"/>
      <c r="FM556" s="182"/>
      <c r="FN556" s="182"/>
      <c r="FO556" s="182"/>
      <c r="FP556" s="182"/>
      <c r="FQ556" s="182"/>
      <c r="FR556" s="182"/>
      <c r="FS556" s="182"/>
      <c r="FT556" s="182"/>
      <c r="FU556" s="182"/>
      <c r="FV556" s="182"/>
      <c r="FW556" s="182"/>
      <c r="FX556" s="182"/>
      <c r="FY556" s="182"/>
      <c r="FZ556" s="182"/>
      <c r="GA556" s="182"/>
      <c r="GB556" s="182"/>
      <c r="GC556" s="182"/>
      <c r="GD556" s="182"/>
      <c r="GE556" s="182"/>
      <c r="GF556" s="182"/>
      <c r="GG556" s="182"/>
      <c r="GH556" s="182"/>
      <c r="GI556" s="182"/>
    </row>
    <row r="557" spans="1:191" s="183" customFormat="1" x14ac:dyDescent="0.2">
      <c r="A557" s="210" t="s">
        <v>38224</v>
      </c>
      <c r="B557" s="210" t="s">
        <v>13329</v>
      </c>
      <c r="C557" s="224" t="s">
        <v>13102</v>
      </c>
      <c r="D557" s="211" t="s">
        <v>16</v>
      </c>
      <c r="E557" s="211">
        <v>7</v>
      </c>
      <c r="F557" s="211"/>
      <c r="G557" s="211"/>
      <c r="H557" s="231">
        <v>5</v>
      </c>
      <c r="I557" s="213">
        <f t="shared" si="35"/>
        <v>1.6666666666666666E-2</v>
      </c>
      <c r="J557" s="272">
        <v>237.97</v>
      </c>
      <c r="K557" s="113"/>
      <c r="L557" s="213"/>
      <c r="M557" s="112">
        <f t="shared" si="36"/>
        <v>27.76</v>
      </c>
      <c r="N557" s="112">
        <f t="shared" si="37"/>
        <v>832.8</v>
      </c>
      <c r="O557" s="114"/>
      <c r="P557" s="113"/>
      <c r="R557" s="203"/>
      <c r="S557" s="182"/>
      <c r="T557" s="182"/>
      <c r="U557" s="182"/>
      <c r="V557" s="182"/>
      <c r="W557" s="182"/>
      <c r="X557" s="182"/>
      <c r="Y557" s="182"/>
      <c r="Z557" s="182"/>
      <c r="AA557" s="182"/>
      <c r="AB557" s="182"/>
      <c r="AC557" s="182"/>
      <c r="AD557" s="182"/>
      <c r="AE557" s="182"/>
      <c r="AF557" s="182"/>
      <c r="AG557" s="182"/>
      <c r="AH557" s="182"/>
      <c r="AI557" s="182"/>
      <c r="AJ557" s="182"/>
      <c r="AK557" s="182"/>
      <c r="AL557" s="182"/>
      <c r="AM557" s="182"/>
      <c r="AN557" s="182"/>
      <c r="AO557" s="182"/>
      <c r="AP557" s="182"/>
      <c r="AQ557" s="182"/>
      <c r="AR557" s="182"/>
      <c r="AS557" s="182"/>
      <c r="AT557" s="182"/>
      <c r="AU557" s="182"/>
      <c r="AV557" s="182"/>
      <c r="AW557" s="182"/>
      <c r="AX557" s="182"/>
      <c r="AY557" s="182"/>
      <c r="AZ557" s="182"/>
      <c r="BA557" s="182"/>
      <c r="BB557" s="182"/>
      <c r="BC557" s="182"/>
      <c r="BD557" s="182"/>
      <c r="BE557" s="182"/>
      <c r="BF557" s="182"/>
      <c r="BG557" s="182"/>
      <c r="BH557" s="182"/>
      <c r="BI557" s="182"/>
      <c r="BJ557" s="182"/>
      <c r="BK557" s="182"/>
      <c r="BL557" s="182"/>
      <c r="BM557" s="182"/>
      <c r="BN557" s="182"/>
      <c r="BO557" s="182"/>
      <c r="BP557" s="182"/>
      <c r="BQ557" s="182"/>
      <c r="BR557" s="182"/>
      <c r="BS557" s="182"/>
      <c r="BT557" s="182"/>
      <c r="BU557" s="182"/>
      <c r="BV557" s="182"/>
      <c r="BW557" s="182"/>
      <c r="BX557" s="182"/>
      <c r="BY557" s="182"/>
      <c r="BZ557" s="182"/>
      <c r="CA557" s="182"/>
      <c r="CB557" s="182"/>
      <c r="CC557" s="182"/>
      <c r="CD557" s="182"/>
      <c r="CE557" s="182"/>
      <c r="CF557" s="182"/>
      <c r="CG557" s="182"/>
      <c r="CH557" s="182"/>
      <c r="CI557" s="182"/>
      <c r="CJ557" s="182"/>
      <c r="CK557" s="182"/>
      <c r="CL557" s="182"/>
      <c r="CM557" s="182"/>
      <c r="CN557" s="182"/>
      <c r="CO557" s="182"/>
      <c r="CP557" s="182"/>
      <c r="CQ557" s="182"/>
      <c r="CR557" s="182"/>
      <c r="CS557" s="182"/>
      <c r="CT557" s="182"/>
      <c r="CU557" s="182"/>
      <c r="CV557" s="182"/>
      <c r="CW557" s="182"/>
      <c r="CX557" s="182"/>
      <c r="CY557" s="182"/>
      <c r="CZ557" s="182"/>
      <c r="DA557" s="182"/>
      <c r="DB557" s="182"/>
      <c r="DC557" s="182"/>
      <c r="DD557" s="182"/>
      <c r="DE557" s="182"/>
      <c r="DF557" s="182"/>
      <c r="DG557" s="182"/>
      <c r="DH557" s="182"/>
      <c r="DI557" s="182"/>
      <c r="DJ557" s="182"/>
      <c r="DK557" s="182"/>
      <c r="DL557" s="182"/>
      <c r="DM557" s="182"/>
      <c r="DN557" s="182"/>
      <c r="DO557" s="182"/>
      <c r="DP557" s="182"/>
      <c r="DQ557" s="182"/>
      <c r="DR557" s="182"/>
      <c r="DS557" s="182"/>
      <c r="DT557" s="182"/>
      <c r="DU557" s="182"/>
      <c r="DV557" s="182"/>
      <c r="DW557" s="182"/>
      <c r="DX557" s="182"/>
      <c r="DY557" s="182"/>
      <c r="DZ557" s="182"/>
      <c r="EA557" s="182"/>
      <c r="EB557" s="182"/>
      <c r="EC557" s="182"/>
      <c r="ED557" s="182"/>
      <c r="EE557" s="182"/>
      <c r="EF557" s="182"/>
      <c r="EG557" s="182"/>
      <c r="EH557" s="182"/>
      <c r="EI557" s="182"/>
      <c r="EJ557" s="182"/>
      <c r="EK557" s="182"/>
      <c r="EL557" s="182"/>
      <c r="EM557" s="182"/>
      <c r="EN557" s="182"/>
      <c r="EO557" s="182"/>
      <c r="EP557" s="182"/>
      <c r="EQ557" s="182"/>
      <c r="ER557" s="182"/>
      <c r="ES557" s="182"/>
      <c r="ET557" s="182"/>
      <c r="EU557" s="182"/>
      <c r="EV557" s="182"/>
      <c r="EW557" s="182"/>
      <c r="EX557" s="182"/>
      <c r="EY557" s="182"/>
      <c r="EZ557" s="182"/>
      <c r="FA557" s="182"/>
      <c r="FB557" s="182"/>
      <c r="FC557" s="182"/>
      <c r="FD557" s="182"/>
      <c r="FE557" s="182"/>
      <c r="FF557" s="182"/>
      <c r="FG557" s="182"/>
      <c r="FH557" s="182"/>
      <c r="FI557" s="182"/>
      <c r="FJ557" s="182"/>
      <c r="FK557" s="182"/>
      <c r="FL557" s="182"/>
      <c r="FM557" s="182"/>
      <c r="FN557" s="182"/>
      <c r="FO557" s="182"/>
      <c r="FP557" s="182"/>
      <c r="FQ557" s="182"/>
      <c r="FR557" s="182"/>
      <c r="FS557" s="182"/>
      <c r="FT557" s="182"/>
      <c r="FU557" s="182"/>
      <c r="FV557" s="182"/>
      <c r="FW557" s="182"/>
      <c r="FX557" s="182"/>
      <c r="FY557" s="182"/>
      <c r="FZ557" s="182"/>
      <c r="GA557" s="182"/>
      <c r="GB557" s="182"/>
      <c r="GC557" s="182"/>
      <c r="GD557" s="182"/>
      <c r="GE557" s="182"/>
      <c r="GF557" s="182"/>
      <c r="GG557" s="182"/>
      <c r="GH557" s="182"/>
      <c r="GI557" s="182"/>
    </row>
    <row r="558" spans="1:191" s="183" customFormat="1" x14ac:dyDescent="0.2">
      <c r="A558" s="210" t="s">
        <v>38225</v>
      </c>
      <c r="B558" s="210" t="s">
        <v>13330</v>
      </c>
      <c r="C558" s="224" t="s">
        <v>13103</v>
      </c>
      <c r="D558" s="211" t="s">
        <v>16</v>
      </c>
      <c r="E558" s="211">
        <v>7</v>
      </c>
      <c r="F558" s="211"/>
      <c r="G558" s="211"/>
      <c r="H558" s="231">
        <v>5</v>
      </c>
      <c r="I558" s="213">
        <f t="shared" si="35"/>
        <v>1.6666666666666666E-2</v>
      </c>
      <c r="J558" s="272">
        <v>41.32</v>
      </c>
      <c r="K558" s="113"/>
      <c r="L558" s="213"/>
      <c r="M558" s="112">
        <f t="shared" si="36"/>
        <v>4.82</v>
      </c>
      <c r="N558" s="112">
        <f t="shared" si="37"/>
        <v>144.6</v>
      </c>
      <c r="O558" s="114"/>
      <c r="P558" s="113"/>
      <c r="R558" s="203"/>
      <c r="S558" s="182"/>
      <c r="T558" s="182"/>
      <c r="U558" s="182"/>
      <c r="V558" s="182"/>
      <c r="W558" s="182"/>
      <c r="X558" s="182"/>
      <c r="Y558" s="182"/>
      <c r="Z558" s="182"/>
      <c r="AA558" s="182"/>
      <c r="AB558" s="182"/>
      <c r="AC558" s="182"/>
      <c r="AD558" s="182"/>
      <c r="AE558" s="182"/>
      <c r="AF558" s="182"/>
      <c r="AG558" s="182"/>
      <c r="AH558" s="182"/>
      <c r="AI558" s="182"/>
      <c r="AJ558" s="182"/>
      <c r="AK558" s="182"/>
      <c r="AL558" s="182"/>
      <c r="AM558" s="182"/>
      <c r="AN558" s="182"/>
      <c r="AO558" s="182"/>
      <c r="AP558" s="182"/>
      <c r="AQ558" s="182"/>
      <c r="AR558" s="182"/>
      <c r="AS558" s="182"/>
      <c r="AT558" s="182"/>
      <c r="AU558" s="182"/>
      <c r="AV558" s="182"/>
      <c r="AW558" s="182"/>
      <c r="AX558" s="182"/>
      <c r="AY558" s="182"/>
      <c r="AZ558" s="182"/>
      <c r="BA558" s="182"/>
      <c r="BB558" s="182"/>
      <c r="BC558" s="182"/>
      <c r="BD558" s="182"/>
      <c r="BE558" s="182"/>
      <c r="BF558" s="182"/>
      <c r="BG558" s="182"/>
      <c r="BH558" s="182"/>
      <c r="BI558" s="182"/>
      <c r="BJ558" s="182"/>
      <c r="BK558" s="182"/>
      <c r="BL558" s="182"/>
      <c r="BM558" s="182"/>
      <c r="BN558" s="182"/>
      <c r="BO558" s="182"/>
      <c r="BP558" s="182"/>
      <c r="BQ558" s="182"/>
      <c r="BR558" s="182"/>
      <c r="BS558" s="182"/>
      <c r="BT558" s="182"/>
      <c r="BU558" s="182"/>
      <c r="BV558" s="182"/>
      <c r="BW558" s="182"/>
      <c r="BX558" s="182"/>
      <c r="BY558" s="182"/>
      <c r="BZ558" s="182"/>
      <c r="CA558" s="182"/>
      <c r="CB558" s="182"/>
      <c r="CC558" s="182"/>
      <c r="CD558" s="182"/>
      <c r="CE558" s="182"/>
      <c r="CF558" s="182"/>
      <c r="CG558" s="182"/>
      <c r="CH558" s="182"/>
      <c r="CI558" s="182"/>
      <c r="CJ558" s="182"/>
      <c r="CK558" s="182"/>
      <c r="CL558" s="182"/>
      <c r="CM558" s="182"/>
      <c r="CN558" s="182"/>
      <c r="CO558" s="182"/>
      <c r="CP558" s="182"/>
      <c r="CQ558" s="182"/>
      <c r="CR558" s="182"/>
      <c r="CS558" s="182"/>
      <c r="CT558" s="182"/>
      <c r="CU558" s="182"/>
      <c r="CV558" s="182"/>
      <c r="CW558" s="182"/>
      <c r="CX558" s="182"/>
      <c r="CY558" s="182"/>
      <c r="CZ558" s="182"/>
      <c r="DA558" s="182"/>
      <c r="DB558" s="182"/>
      <c r="DC558" s="182"/>
      <c r="DD558" s="182"/>
      <c r="DE558" s="182"/>
      <c r="DF558" s="182"/>
      <c r="DG558" s="182"/>
      <c r="DH558" s="182"/>
      <c r="DI558" s="182"/>
      <c r="DJ558" s="182"/>
      <c r="DK558" s="182"/>
      <c r="DL558" s="182"/>
      <c r="DM558" s="182"/>
      <c r="DN558" s="182"/>
      <c r="DO558" s="182"/>
      <c r="DP558" s="182"/>
      <c r="DQ558" s="182"/>
      <c r="DR558" s="182"/>
      <c r="DS558" s="182"/>
      <c r="DT558" s="182"/>
      <c r="DU558" s="182"/>
      <c r="DV558" s="182"/>
      <c r="DW558" s="182"/>
      <c r="DX558" s="182"/>
      <c r="DY558" s="182"/>
      <c r="DZ558" s="182"/>
      <c r="EA558" s="182"/>
      <c r="EB558" s="182"/>
      <c r="EC558" s="182"/>
      <c r="ED558" s="182"/>
      <c r="EE558" s="182"/>
      <c r="EF558" s="182"/>
      <c r="EG558" s="182"/>
      <c r="EH558" s="182"/>
      <c r="EI558" s="182"/>
      <c r="EJ558" s="182"/>
      <c r="EK558" s="182"/>
      <c r="EL558" s="182"/>
      <c r="EM558" s="182"/>
      <c r="EN558" s="182"/>
      <c r="EO558" s="182"/>
      <c r="EP558" s="182"/>
      <c r="EQ558" s="182"/>
      <c r="ER558" s="182"/>
      <c r="ES558" s="182"/>
      <c r="ET558" s="182"/>
      <c r="EU558" s="182"/>
      <c r="EV558" s="182"/>
      <c r="EW558" s="182"/>
      <c r="EX558" s="182"/>
      <c r="EY558" s="182"/>
      <c r="EZ558" s="182"/>
      <c r="FA558" s="182"/>
      <c r="FB558" s="182"/>
      <c r="FC558" s="182"/>
      <c r="FD558" s="182"/>
      <c r="FE558" s="182"/>
      <c r="FF558" s="182"/>
      <c r="FG558" s="182"/>
      <c r="FH558" s="182"/>
      <c r="FI558" s="182"/>
      <c r="FJ558" s="182"/>
      <c r="FK558" s="182"/>
      <c r="FL558" s="182"/>
      <c r="FM558" s="182"/>
      <c r="FN558" s="182"/>
      <c r="FO558" s="182"/>
      <c r="FP558" s="182"/>
      <c r="FQ558" s="182"/>
      <c r="FR558" s="182"/>
      <c r="FS558" s="182"/>
      <c r="FT558" s="182"/>
      <c r="FU558" s="182"/>
      <c r="FV558" s="182"/>
      <c r="FW558" s="182"/>
      <c r="FX558" s="182"/>
      <c r="FY558" s="182"/>
      <c r="FZ558" s="182"/>
      <c r="GA558" s="182"/>
      <c r="GB558" s="182"/>
      <c r="GC558" s="182"/>
      <c r="GD558" s="182"/>
      <c r="GE558" s="182"/>
      <c r="GF558" s="182"/>
      <c r="GG558" s="182"/>
      <c r="GH558" s="182"/>
      <c r="GI558" s="182"/>
    </row>
    <row r="559" spans="1:191" s="183" customFormat="1" x14ac:dyDescent="0.2">
      <c r="A559" s="210" t="s">
        <v>38226</v>
      </c>
      <c r="B559" s="210" t="s">
        <v>13331</v>
      </c>
      <c r="C559" s="224" t="s">
        <v>13104</v>
      </c>
      <c r="D559" s="211" t="s">
        <v>16</v>
      </c>
      <c r="E559" s="211">
        <v>7</v>
      </c>
      <c r="F559" s="211"/>
      <c r="G559" s="211"/>
      <c r="H559" s="231">
        <v>5</v>
      </c>
      <c r="I559" s="213">
        <f t="shared" si="35"/>
        <v>1.6666666666666666E-2</v>
      </c>
      <c r="J559" s="272">
        <v>62.13</v>
      </c>
      <c r="K559" s="113"/>
      <c r="L559" s="213"/>
      <c r="M559" s="112">
        <f t="shared" si="36"/>
        <v>7.25</v>
      </c>
      <c r="N559" s="112">
        <f t="shared" si="37"/>
        <v>217.5</v>
      </c>
      <c r="O559" s="114"/>
      <c r="P559" s="113"/>
      <c r="R559" s="203"/>
      <c r="S559" s="182"/>
      <c r="T559" s="182"/>
      <c r="U559" s="182"/>
      <c r="V559" s="182"/>
      <c r="W559" s="182"/>
      <c r="X559" s="182"/>
      <c r="Y559" s="182"/>
      <c r="Z559" s="182"/>
      <c r="AA559" s="182"/>
      <c r="AB559" s="182"/>
      <c r="AC559" s="182"/>
      <c r="AD559" s="182"/>
      <c r="AE559" s="182"/>
      <c r="AF559" s="182"/>
      <c r="AG559" s="182"/>
      <c r="AH559" s="182"/>
      <c r="AI559" s="182"/>
      <c r="AJ559" s="182"/>
      <c r="AK559" s="182"/>
      <c r="AL559" s="182"/>
      <c r="AM559" s="182"/>
      <c r="AN559" s="182"/>
      <c r="AO559" s="182"/>
      <c r="AP559" s="182"/>
      <c r="AQ559" s="182"/>
      <c r="AR559" s="182"/>
      <c r="AS559" s="182"/>
      <c r="AT559" s="182"/>
      <c r="AU559" s="182"/>
      <c r="AV559" s="182"/>
      <c r="AW559" s="182"/>
      <c r="AX559" s="182"/>
      <c r="AY559" s="182"/>
      <c r="AZ559" s="182"/>
      <c r="BA559" s="182"/>
      <c r="BB559" s="182"/>
      <c r="BC559" s="182"/>
      <c r="BD559" s="182"/>
      <c r="BE559" s="182"/>
      <c r="BF559" s="182"/>
      <c r="BG559" s="182"/>
      <c r="BH559" s="182"/>
      <c r="BI559" s="182"/>
      <c r="BJ559" s="182"/>
      <c r="BK559" s="182"/>
      <c r="BL559" s="182"/>
      <c r="BM559" s="182"/>
      <c r="BN559" s="182"/>
      <c r="BO559" s="182"/>
      <c r="BP559" s="182"/>
      <c r="BQ559" s="182"/>
      <c r="BR559" s="182"/>
      <c r="BS559" s="182"/>
      <c r="BT559" s="182"/>
      <c r="BU559" s="182"/>
      <c r="BV559" s="182"/>
      <c r="BW559" s="182"/>
      <c r="BX559" s="182"/>
      <c r="BY559" s="182"/>
      <c r="BZ559" s="182"/>
      <c r="CA559" s="182"/>
      <c r="CB559" s="182"/>
      <c r="CC559" s="182"/>
      <c r="CD559" s="182"/>
      <c r="CE559" s="182"/>
      <c r="CF559" s="182"/>
      <c r="CG559" s="182"/>
      <c r="CH559" s="182"/>
      <c r="CI559" s="182"/>
      <c r="CJ559" s="182"/>
      <c r="CK559" s="182"/>
      <c r="CL559" s="182"/>
      <c r="CM559" s="182"/>
      <c r="CN559" s="182"/>
      <c r="CO559" s="182"/>
      <c r="CP559" s="182"/>
      <c r="CQ559" s="182"/>
      <c r="CR559" s="182"/>
      <c r="CS559" s="182"/>
      <c r="CT559" s="182"/>
      <c r="CU559" s="182"/>
      <c r="CV559" s="182"/>
      <c r="CW559" s="182"/>
      <c r="CX559" s="182"/>
      <c r="CY559" s="182"/>
      <c r="CZ559" s="182"/>
      <c r="DA559" s="182"/>
      <c r="DB559" s="182"/>
      <c r="DC559" s="182"/>
      <c r="DD559" s="182"/>
      <c r="DE559" s="182"/>
      <c r="DF559" s="182"/>
      <c r="DG559" s="182"/>
      <c r="DH559" s="182"/>
      <c r="DI559" s="182"/>
      <c r="DJ559" s="182"/>
      <c r="DK559" s="182"/>
      <c r="DL559" s="182"/>
      <c r="DM559" s="182"/>
      <c r="DN559" s="182"/>
      <c r="DO559" s="182"/>
      <c r="DP559" s="182"/>
      <c r="DQ559" s="182"/>
      <c r="DR559" s="182"/>
      <c r="DS559" s="182"/>
      <c r="DT559" s="182"/>
      <c r="DU559" s="182"/>
      <c r="DV559" s="182"/>
      <c r="DW559" s="182"/>
      <c r="DX559" s="182"/>
      <c r="DY559" s="182"/>
      <c r="DZ559" s="182"/>
      <c r="EA559" s="182"/>
      <c r="EB559" s="182"/>
      <c r="EC559" s="182"/>
      <c r="ED559" s="182"/>
      <c r="EE559" s="182"/>
      <c r="EF559" s="182"/>
      <c r="EG559" s="182"/>
      <c r="EH559" s="182"/>
      <c r="EI559" s="182"/>
      <c r="EJ559" s="182"/>
      <c r="EK559" s="182"/>
      <c r="EL559" s="182"/>
      <c r="EM559" s="182"/>
      <c r="EN559" s="182"/>
      <c r="EO559" s="182"/>
      <c r="EP559" s="182"/>
      <c r="EQ559" s="182"/>
      <c r="ER559" s="182"/>
      <c r="ES559" s="182"/>
      <c r="ET559" s="182"/>
      <c r="EU559" s="182"/>
      <c r="EV559" s="182"/>
      <c r="EW559" s="182"/>
      <c r="EX559" s="182"/>
      <c r="EY559" s="182"/>
      <c r="EZ559" s="182"/>
      <c r="FA559" s="182"/>
      <c r="FB559" s="182"/>
      <c r="FC559" s="182"/>
      <c r="FD559" s="182"/>
      <c r="FE559" s="182"/>
      <c r="FF559" s="182"/>
      <c r="FG559" s="182"/>
      <c r="FH559" s="182"/>
      <c r="FI559" s="182"/>
      <c r="FJ559" s="182"/>
      <c r="FK559" s="182"/>
      <c r="FL559" s="182"/>
      <c r="FM559" s="182"/>
      <c r="FN559" s="182"/>
      <c r="FO559" s="182"/>
      <c r="FP559" s="182"/>
      <c r="FQ559" s="182"/>
      <c r="FR559" s="182"/>
      <c r="FS559" s="182"/>
      <c r="FT559" s="182"/>
      <c r="FU559" s="182"/>
      <c r="FV559" s="182"/>
      <c r="FW559" s="182"/>
      <c r="FX559" s="182"/>
      <c r="FY559" s="182"/>
      <c r="FZ559" s="182"/>
      <c r="GA559" s="182"/>
      <c r="GB559" s="182"/>
      <c r="GC559" s="182"/>
      <c r="GD559" s="182"/>
      <c r="GE559" s="182"/>
      <c r="GF559" s="182"/>
      <c r="GG559" s="182"/>
      <c r="GH559" s="182"/>
      <c r="GI559" s="182"/>
    </row>
    <row r="560" spans="1:191" s="183" customFormat="1" x14ac:dyDescent="0.2">
      <c r="A560" s="210" t="s">
        <v>38227</v>
      </c>
      <c r="B560" s="210" t="s">
        <v>13332</v>
      </c>
      <c r="C560" s="224" t="s">
        <v>13105</v>
      </c>
      <c r="D560" s="211" t="s">
        <v>16</v>
      </c>
      <c r="E560" s="211">
        <v>7</v>
      </c>
      <c r="F560" s="211"/>
      <c r="G560" s="211"/>
      <c r="H560" s="231">
        <v>5</v>
      </c>
      <c r="I560" s="213">
        <f t="shared" si="35"/>
        <v>1.6666666666666666E-2</v>
      </c>
      <c r="J560" s="272">
        <v>74.099999999999994</v>
      </c>
      <c r="K560" s="113"/>
      <c r="L560" s="213"/>
      <c r="M560" s="112">
        <f t="shared" si="36"/>
        <v>8.65</v>
      </c>
      <c r="N560" s="112">
        <f t="shared" si="37"/>
        <v>259.5</v>
      </c>
      <c r="O560" s="114"/>
      <c r="P560" s="113"/>
      <c r="R560" s="203"/>
      <c r="S560" s="182"/>
      <c r="T560" s="182"/>
      <c r="U560" s="182"/>
      <c r="V560" s="182"/>
      <c r="W560" s="182"/>
      <c r="X560" s="182"/>
      <c r="Y560" s="182"/>
      <c r="Z560" s="182"/>
      <c r="AA560" s="182"/>
      <c r="AB560" s="182"/>
      <c r="AC560" s="182"/>
      <c r="AD560" s="182"/>
      <c r="AE560" s="182"/>
      <c r="AF560" s="182"/>
      <c r="AG560" s="182"/>
      <c r="AH560" s="182"/>
      <c r="AI560" s="182"/>
      <c r="AJ560" s="182"/>
      <c r="AK560" s="182"/>
      <c r="AL560" s="182"/>
      <c r="AM560" s="182"/>
      <c r="AN560" s="182"/>
      <c r="AO560" s="182"/>
      <c r="AP560" s="182"/>
      <c r="AQ560" s="182"/>
      <c r="AR560" s="182"/>
      <c r="AS560" s="182"/>
      <c r="AT560" s="182"/>
      <c r="AU560" s="182"/>
      <c r="AV560" s="182"/>
      <c r="AW560" s="182"/>
      <c r="AX560" s="182"/>
      <c r="AY560" s="182"/>
      <c r="AZ560" s="182"/>
      <c r="BA560" s="182"/>
      <c r="BB560" s="182"/>
      <c r="BC560" s="182"/>
      <c r="BD560" s="182"/>
      <c r="BE560" s="182"/>
      <c r="BF560" s="182"/>
      <c r="BG560" s="182"/>
      <c r="BH560" s="182"/>
      <c r="BI560" s="182"/>
      <c r="BJ560" s="182"/>
      <c r="BK560" s="182"/>
      <c r="BL560" s="182"/>
      <c r="BM560" s="182"/>
      <c r="BN560" s="182"/>
      <c r="BO560" s="182"/>
      <c r="BP560" s="182"/>
      <c r="BQ560" s="182"/>
      <c r="BR560" s="182"/>
      <c r="BS560" s="182"/>
      <c r="BT560" s="182"/>
      <c r="BU560" s="182"/>
      <c r="BV560" s="182"/>
      <c r="BW560" s="182"/>
      <c r="BX560" s="182"/>
      <c r="BY560" s="182"/>
      <c r="BZ560" s="182"/>
      <c r="CA560" s="182"/>
      <c r="CB560" s="182"/>
      <c r="CC560" s="182"/>
      <c r="CD560" s="182"/>
      <c r="CE560" s="182"/>
      <c r="CF560" s="182"/>
      <c r="CG560" s="182"/>
      <c r="CH560" s="182"/>
      <c r="CI560" s="182"/>
      <c r="CJ560" s="182"/>
      <c r="CK560" s="182"/>
      <c r="CL560" s="182"/>
      <c r="CM560" s="182"/>
      <c r="CN560" s="182"/>
      <c r="CO560" s="182"/>
      <c r="CP560" s="182"/>
      <c r="CQ560" s="182"/>
      <c r="CR560" s="182"/>
      <c r="CS560" s="182"/>
      <c r="CT560" s="182"/>
      <c r="CU560" s="182"/>
      <c r="CV560" s="182"/>
      <c r="CW560" s="182"/>
      <c r="CX560" s="182"/>
      <c r="CY560" s="182"/>
      <c r="CZ560" s="182"/>
      <c r="DA560" s="182"/>
      <c r="DB560" s="182"/>
      <c r="DC560" s="182"/>
      <c r="DD560" s="182"/>
      <c r="DE560" s="182"/>
      <c r="DF560" s="182"/>
      <c r="DG560" s="182"/>
      <c r="DH560" s="182"/>
      <c r="DI560" s="182"/>
      <c r="DJ560" s="182"/>
      <c r="DK560" s="182"/>
      <c r="DL560" s="182"/>
      <c r="DM560" s="182"/>
      <c r="DN560" s="182"/>
      <c r="DO560" s="182"/>
      <c r="DP560" s="182"/>
      <c r="DQ560" s="182"/>
      <c r="DR560" s="182"/>
      <c r="DS560" s="182"/>
      <c r="DT560" s="182"/>
      <c r="DU560" s="182"/>
      <c r="DV560" s="182"/>
      <c r="DW560" s="182"/>
      <c r="DX560" s="182"/>
      <c r="DY560" s="182"/>
      <c r="DZ560" s="182"/>
      <c r="EA560" s="182"/>
      <c r="EB560" s="182"/>
      <c r="EC560" s="182"/>
      <c r="ED560" s="182"/>
      <c r="EE560" s="182"/>
      <c r="EF560" s="182"/>
      <c r="EG560" s="182"/>
      <c r="EH560" s="182"/>
      <c r="EI560" s="182"/>
      <c r="EJ560" s="182"/>
      <c r="EK560" s="182"/>
      <c r="EL560" s="182"/>
      <c r="EM560" s="182"/>
      <c r="EN560" s="182"/>
      <c r="EO560" s="182"/>
      <c r="EP560" s="182"/>
      <c r="EQ560" s="182"/>
      <c r="ER560" s="182"/>
      <c r="ES560" s="182"/>
      <c r="ET560" s="182"/>
      <c r="EU560" s="182"/>
      <c r="EV560" s="182"/>
      <c r="EW560" s="182"/>
      <c r="EX560" s="182"/>
      <c r="EY560" s="182"/>
      <c r="EZ560" s="182"/>
      <c r="FA560" s="182"/>
      <c r="FB560" s="182"/>
      <c r="FC560" s="182"/>
      <c r="FD560" s="182"/>
      <c r="FE560" s="182"/>
      <c r="FF560" s="182"/>
      <c r="FG560" s="182"/>
      <c r="FH560" s="182"/>
      <c r="FI560" s="182"/>
      <c r="FJ560" s="182"/>
      <c r="FK560" s="182"/>
      <c r="FL560" s="182"/>
      <c r="FM560" s="182"/>
      <c r="FN560" s="182"/>
      <c r="FO560" s="182"/>
      <c r="FP560" s="182"/>
      <c r="FQ560" s="182"/>
      <c r="FR560" s="182"/>
      <c r="FS560" s="182"/>
      <c r="FT560" s="182"/>
      <c r="FU560" s="182"/>
      <c r="FV560" s="182"/>
      <c r="FW560" s="182"/>
      <c r="FX560" s="182"/>
      <c r="FY560" s="182"/>
      <c r="FZ560" s="182"/>
      <c r="GA560" s="182"/>
      <c r="GB560" s="182"/>
      <c r="GC560" s="182"/>
      <c r="GD560" s="182"/>
      <c r="GE560" s="182"/>
      <c r="GF560" s="182"/>
      <c r="GG560" s="182"/>
      <c r="GH560" s="182"/>
      <c r="GI560" s="182"/>
    </row>
    <row r="561" spans="1:191" s="183" customFormat="1" x14ac:dyDescent="0.2">
      <c r="A561" s="210" t="s">
        <v>38228</v>
      </c>
      <c r="B561" s="210" t="s">
        <v>13333</v>
      </c>
      <c r="C561" s="224" t="s">
        <v>13106</v>
      </c>
      <c r="D561" s="211" t="s">
        <v>16</v>
      </c>
      <c r="E561" s="211">
        <v>7</v>
      </c>
      <c r="F561" s="211"/>
      <c r="G561" s="211"/>
      <c r="H561" s="231">
        <v>5</v>
      </c>
      <c r="I561" s="213">
        <f t="shared" si="35"/>
        <v>1.6666666666666666E-2</v>
      </c>
      <c r="J561" s="272">
        <v>43.15</v>
      </c>
      <c r="K561" s="113"/>
      <c r="L561" s="213"/>
      <c r="M561" s="112">
        <f t="shared" si="36"/>
        <v>5.03</v>
      </c>
      <c r="N561" s="112">
        <f t="shared" si="37"/>
        <v>150.9</v>
      </c>
      <c r="O561" s="114"/>
      <c r="P561" s="113"/>
      <c r="R561" s="203"/>
      <c r="S561" s="182"/>
      <c r="T561" s="182"/>
      <c r="U561" s="182"/>
      <c r="V561" s="182"/>
      <c r="W561" s="182"/>
      <c r="X561" s="182"/>
      <c r="Y561" s="182"/>
      <c r="Z561" s="182"/>
      <c r="AA561" s="182"/>
      <c r="AB561" s="182"/>
      <c r="AC561" s="182"/>
      <c r="AD561" s="182"/>
      <c r="AE561" s="182"/>
      <c r="AF561" s="182"/>
      <c r="AG561" s="182"/>
      <c r="AH561" s="182"/>
      <c r="AI561" s="182"/>
      <c r="AJ561" s="182"/>
      <c r="AK561" s="182"/>
      <c r="AL561" s="182"/>
      <c r="AM561" s="182"/>
      <c r="AN561" s="182"/>
      <c r="AO561" s="182"/>
      <c r="AP561" s="182"/>
      <c r="AQ561" s="182"/>
      <c r="AR561" s="182"/>
      <c r="AS561" s="182"/>
      <c r="AT561" s="182"/>
      <c r="AU561" s="182"/>
      <c r="AV561" s="182"/>
      <c r="AW561" s="182"/>
      <c r="AX561" s="182"/>
      <c r="AY561" s="182"/>
      <c r="AZ561" s="182"/>
      <c r="BA561" s="182"/>
      <c r="BB561" s="182"/>
      <c r="BC561" s="182"/>
      <c r="BD561" s="182"/>
      <c r="BE561" s="182"/>
      <c r="BF561" s="182"/>
      <c r="BG561" s="182"/>
      <c r="BH561" s="182"/>
      <c r="BI561" s="182"/>
      <c r="BJ561" s="182"/>
      <c r="BK561" s="182"/>
      <c r="BL561" s="182"/>
      <c r="BM561" s="182"/>
      <c r="BN561" s="182"/>
      <c r="BO561" s="182"/>
      <c r="BP561" s="182"/>
      <c r="BQ561" s="182"/>
      <c r="BR561" s="182"/>
      <c r="BS561" s="182"/>
      <c r="BT561" s="182"/>
      <c r="BU561" s="182"/>
      <c r="BV561" s="182"/>
      <c r="BW561" s="182"/>
      <c r="BX561" s="182"/>
      <c r="BY561" s="182"/>
      <c r="BZ561" s="182"/>
      <c r="CA561" s="182"/>
      <c r="CB561" s="182"/>
      <c r="CC561" s="182"/>
      <c r="CD561" s="182"/>
      <c r="CE561" s="182"/>
      <c r="CF561" s="182"/>
      <c r="CG561" s="182"/>
      <c r="CH561" s="182"/>
      <c r="CI561" s="182"/>
      <c r="CJ561" s="182"/>
      <c r="CK561" s="182"/>
      <c r="CL561" s="182"/>
      <c r="CM561" s="182"/>
      <c r="CN561" s="182"/>
      <c r="CO561" s="182"/>
      <c r="CP561" s="182"/>
      <c r="CQ561" s="182"/>
      <c r="CR561" s="182"/>
      <c r="CS561" s="182"/>
      <c r="CT561" s="182"/>
      <c r="CU561" s="182"/>
      <c r="CV561" s="182"/>
      <c r="CW561" s="182"/>
      <c r="CX561" s="182"/>
      <c r="CY561" s="182"/>
      <c r="CZ561" s="182"/>
      <c r="DA561" s="182"/>
      <c r="DB561" s="182"/>
      <c r="DC561" s="182"/>
      <c r="DD561" s="182"/>
      <c r="DE561" s="182"/>
      <c r="DF561" s="182"/>
      <c r="DG561" s="182"/>
      <c r="DH561" s="182"/>
      <c r="DI561" s="182"/>
      <c r="DJ561" s="182"/>
      <c r="DK561" s="182"/>
      <c r="DL561" s="182"/>
      <c r="DM561" s="182"/>
      <c r="DN561" s="182"/>
      <c r="DO561" s="182"/>
      <c r="DP561" s="182"/>
      <c r="DQ561" s="182"/>
      <c r="DR561" s="182"/>
      <c r="DS561" s="182"/>
      <c r="DT561" s="182"/>
      <c r="DU561" s="182"/>
      <c r="DV561" s="182"/>
      <c r="DW561" s="182"/>
      <c r="DX561" s="182"/>
      <c r="DY561" s="182"/>
      <c r="DZ561" s="182"/>
      <c r="EA561" s="182"/>
      <c r="EB561" s="182"/>
      <c r="EC561" s="182"/>
      <c r="ED561" s="182"/>
      <c r="EE561" s="182"/>
      <c r="EF561" s="182"/>
      <c r="EG561" s="182"/>
      <c r="EH561" s="182"/>
      <c r="EI561" s="182"/>
      <c r="EJ561" s="182"/>
      <c r="EK561" s="182"/>
      <c r="EL561" s="182"/>
      <c r="EM561" s="182"/>
      <c r="EN561" s="182"/>
      <c r="EO561" s="182"/>
      <c r="EP561" s="182"/>
      <c r="EQ561" s="182"/>
      <c r="ER561" s="182"/>
      <c r="ES561" s="182"/>
      <c r="ET561" s="182"/>
      <c r="EU561" s="182"/>
      <c r="EV561" s="182"/>
      <c r="EW561" s="182"/>
      <c r="EX561" s="182"/>
      <c r="EY561" s="182"/>
      <c r="EZ561" s="182"/>
      <c r="FA561" s="182"/>
      <c r="FB561" s="182"/>
      <c r="FC561" s="182"/>
      <c r="FD561" s="182"/>
      <c r="FE561" s="182"/>
      <c r="FF561" s="182"/>
      <c r="FG561" s="182"/>
      <c r="FH561" s="182"/>
      <c r="FI561" s="182"/>
      <c r="FJ561" s="182"/>
      <c r="FK561" s="182"/>
      <c r="FL561" s="182"/>
      <c r="FM561" s="182"/>
      <c r="FN561" s="182"/>
      <c r="FO561" s="182"/>
      <c r="FP561" s="182"/>
      <c r="FQ561" s="182"/>
      <c r="FR561" s="182"/>
      <c r="FS561" s="182"/>
      <c r="FT561" s="182"/>
      <c r="FU561" s="182"/>
      <c r="FV561" s="182"/>
      <c r="FW561" s="182"/>
      <c r="FX561" s="182"/>
      <c r="FY561" s="182"/>
      <c r="FZ561" s="182"/>
      <c r="GA561" s="182"/>
      <c r="GB561" s="182"/>
      <c r="GC561" s="182"/>
      <c r="GD561" s="182"/>
      <c r="GE561" s="182"/>
      <c r="GF561" s="182"/>
      <c r="GG561" s="182"/>
      <c r="GH561" s="182"/>
      <c r="GI561" s="182"/>
    </row>
    <row r="562" spans="1:191" s="183" customFormat="1" x14ac:dyDescent="0.2">
      <c r="A562" s="210" t="s">
        <v>38229</v>
      </c>
      <c r="B562" s="210" t="s">
        <v>13334</v>
      </c>
      <c r="C562" s="224" t="s">
        <v>13107</v>
      </c>
      <c r="D562" s="211" t="s">
        <v>16</v>
      </c>
      <c r="E562" s="211">
        <v>7</v>
      </c>
      <c r="F562" s="211"/>
      <c r="G562" s="211"/>
      <c r="H562" s="231">
        <v>5</v>
      </c>
      <c r="I562" s="213">
        <f t="shared" si="35"/>
        <v>1.6666666666666666E-2</v>
      </c>
      <c r="J562" s="272">
        <v>62.84</v>
      </c>
      <c r="K562" s="113"/>
      <c r="L562" s="213"/>
      <c r="M562" s="112">
        <f t="shared" si="36"/>
        <v>7.33</v>
      </c>
      <c r="N562" s="112">
        <f t="shared" si="37"/>
        <v>219.9</v>
      </c>
      <c r="O562" s="114"/>
      <c r="P562" s="113"/>
      <c r="R562" s="203"/>
      <c r="S562" s="182"/>
      <c r="T562" s="182"/>
      <c r="U562" s="182"/>
      <c r="V562" s="182"/>
      <c r="W562" s="182"/>
      <c r="X562" s="182"/>
      <c r="Y562" s="182"/>
      <c r="Z562" s="182"/>
      <c r="AA562" s="182"/>
      <c r="AB562" s="182"/>
      <c r="AC562" s="182"/>
      <c r="AD562" s="182"/>
      <c r="AE562" s="182"/>
      <c r="AF562" s="182"/>
      <c r="AG562" s="182"/>
      <c r="AH562" s="182"/>
      <c r="AI562" s="182"/>
      <c r="AJ562" s="182"/>
      <c r="AK562" s="182"/>
      <c r="AL562" s="182"/>
      <c r="AM562" s="182"/>
      <c r="AN562" s="182"/>
      <c r="AO562" s="182"/>
      <c r="AP562" s="182"/>
      <c r="AQ562" s="182"/>
      <c r="AR562" s="182"/>
      <c r="AS562" s="182"/>
      <c r="AT562" s="182"/>
      <c r="AU562" s="182"/>
      <c r="AV562" s="182"/>
      <c r="AW562" s="182"/>
      <c r="AX562" s="182"/>
      <c r="AY562" s="182"/>
      <c r="AZ562" s="182"/>
      <c r="BA562" s="182"/>
      <c r="BB562" s="182"/>
      <c r="BC562" s="182"/>
      <c r="BD562" s="182"/>
      <c r="BE562" s="182"/>
      <c r="BF562" s="182"/>
      <c r="BG562" s="182"/>
      <c r="BH562" s="182"/>
      <c r="BI562" s="182"/>
      <c r="BJ562" s="182"/>
      <c r="BK562" s="182"/>
      <c r="BL562" s="182"/>
      <c r="BM562" s="182"/>
      <c r="BN562" s="182"/>
      <c r="BO562" s="182"/>
      <c r="BP562" s="182"/>
      <c r="BQ562" s="182"/>
      <c r="BR562" s="182"/>
      <c r="BS562" s="182"/>
      <c r="BT562" s="182"/>
      <c r="BU562" s="182"/>
      <c r="BV562" s="182"/>
      <c r="BW562" s="182"/>
      <c r="BX562" s="182"/>
      <c r="BY562" s="182"/>
      <c r="BZ562" s="182"/>
      <c r="CA562" s="182"/>
      <c r="CB562" s="182"/>
      <c r="CC562" s="182"/>
      <c r="CD562" s="182"/>
      <c r="CE562" s="182"/>
      <c r="CF562" s="182"/>
      <c r="CG562" s="182"/>
      <c r="CH562" s="182"/>
      <c r="CI562" s="182"/>
      <c r="CJ562" s="182"/>
      <c r="CK562" s="182"/>
      <c r="CL562" s="182"/>
      <c r="CM562" s="182"/>
      <c r="CN562" s="182"/>
      <c r="CO562" s="182"/>
      <c r="CP562" s="182"/>
      <c r="CQ562" s="182"/>
      <c r="CR562" s="182"/>
      <c r="CS562" s="182"/>
      <c r="CT562" s="182"/>
      <c r="CU562" s="182"/>
      <c r="CV562" s="182"/>
      <c r="CW562" s="182"/>
      <c r="CX562" s="182"/>
      <c r="CY562" s="182"/>
      <c r="CZ562" s="182"/>
      <c r="DA562" s="182"/>
      <c r="DB562" s="182"/>
      <c r="DC562" s="182"/>
      <c r="DD562" s="182"/>
      <c r="DE562" s="182"/>
      <c r="DF562" s="182"/>
      <c r="DG562" s="182"/>
      <c r="DH562" s="182"/>
      <c r="DI562" s="182"/>
      <c r="DJ562" s="182"/>
      <c r="DK562" s="182"/>
      <c r="DL562" s="182"/>
      <c r="DM562" s="182"/>
      <c r="DN562" s="182"/>
      <c r="DO562" s="182"/>
      <c r="DP562" s="182"/>
      <c r="DQ562" s="182"/>
      <c r="DR562" s="182"/>
      <c r="DS562" s="182"/>
      <c r="DT562" s="182"/>
      <c r="DU562" s="182"/>
      <c r="DV562" s="182"/>
      <c r="DW562" s="182"/>
      <c r="DX562" s="182"/>
      <c r="DY562" s="182"/>
      <c r="DZ562" s="182"/>
      <c r="EA562" s="182"/>
      <c r="EB562" s="182"/>
      <c r="EC562" s="182"/>
      <c r="ED562" s="182"/>
      <c r="EE562" s="182"/>
      <c r="EF562" s="182"/>
      <c r="EG562" s="182"/>
      <c r="EH562" s="182"/>
      <c r="EI562" s="182"/>
      <c r="EJ562" s="182"/>
      <c r="EK562" s="182"/>
      <c r="EL562" s="182"/>
      <c r="EM562" s="182"/>
      <c r="EN562" s="182"/>
      <c r="EO562" s="182"/>
      <c r="EP562" s="182"/>
      <c r="EQ562" s="182"/>
      <c r="ER562" s="182"/>
      <c r="ES562" s="182"/>
      <c r="ET562" s="182"/>
      <c r="EU562" s="182"/>
      <c r="EV562" s="182"/>
      <c r="EW562" s="182"/>
      <c r="EX562" s="182"/>
      <c r="EY562" s="182"/>
      <c r="EZ562" s="182"/>
      <c r="FA562" s="182"/>
      <c r="FB562" s="182"/>
      <c r="FC562" s="182"/>
      <c r="FD562" s="182"/>
      <c r="FE562" s="182"/>
      <c r="FF562" s="182"/>
      <c r="FG562" s="182"/>
      <c r="FH562" s="182"/>
      <c r="FI562" s="182"/>
      <c r="FJ562" s="182"/>
      <c r="FK562" s="182"/>
      <c r="FL562" s="182"/>
      <c r="FM562" s="182"/>
      <c r="FN562" s="182"/>
      <c r="FO562" s="182"/>
      <c r="FP562" s="182"/>
      <c r="FQ562" s="182"/>
      <c r="FR562" s="182"/>
      <c r="FS562" s="182"/>
      <c r="FT562" s="182"/>
      <c r="FU562" s="182"/>
      <c r="FV562" s="182"/>
      <c r="FW562" s="182"/>
      <c r="FX562" s="182"/>
      <c r="FY562" s="182"/>
      <c r="FZ562" s="182"/>
      <c r="GA562" s="182"/>
      <c r="GB562" s="182"/>
      <c r="GC562" s="182"/>
      <c r="GD562" s="182"/>
      <c r="GE562" s="182"/>
      <c r="GF562" s="182"/>
      <c r="GG562" s="182"/>
      <c r="GH562" s="182"/>
      <c r="GI562" s="182"/>
    </row>
    <row r="563" spans="1:191" s="183" customFormat="1" x14ac:dyDescent="0.2">
      <c r="A563" s="210" t="s">
        <v>38230</v>
      </c>
      <c r="B563" s="210" t="s">
        <v>13335</v>
      </c>
      <c r="C563" s="224" t="s">
        <v>13108</v>
      </c>
      <c r="D563" s="211" t="s">
        <v>16</v>
      </c>
      <c r="E563" s="211">
        <v>7</v>
      </c>
      <c r="F563" s="211"/>
      <c r="G563" s="211"/>
      <c r="H563" s="231">
        <v>5</v>
      </c>
      <c r="I563" s="213">
        <f t="shared" si="35"/>
        <v>1.6666666666666666E-2</v>
      </c>
      <c r="J563" s="272">
        <v>92.67</v>
      </c>
      <c r="K563" s="113"/>
      <c r="L563" s="213"/>
      <c r="M563" s="112">
        <f t="shared" si="36"/>
        <v>10.81</v>
      </c>
      <c r="N563" s="112">
        <f t="shared" si="37"/>
        <v>324.3</v>
      </c>
      <c r="O563" s="114"/>
      <c r="P563" s="113"/>
      <c r="R563" s="203"/>
      <c r="S563" s="182"/>
      <c r="T563" s="182"/>
      <c r="U563" s="182"/>
      <c r="V563" s="182"/>
      <c r="W563" s="182"/>
      <c r="X563" s="182"/>
      <c r="Y563" s="182"/>
      <c r="Z563" s="182"/>
      <c r="AA563" s="182"/>
      <c r="AB563" s="182"/>
      <c r="AC563" s="182"/>
      <c r="AD563" s="182"/>
      <c r="AE563" s="182"/>
      <c r="AF563" s="182"/>
      <c r="AG563" s="182"/>
      <c r="AH563" s="182"/>
      <c r="AI563" s="182"/>
      <c r="AJ563" s="182"/>
      <c r="AK563" s="182"/>
      <c r="AL563" s="182"/>
      <c r="AM563" s="182"/>
      <c r="AN563" s="182"/>
      <c r="AO563" s="182"/>
      <c r="AP563" s="182"/>
      <c r="AQ563" s="182"/>
      <c r="AR563" s="182"/>
      <c r="AS563" s="182"/>
      <c r="AT563" s="182"/>
      <c r="AU563" s="182"/>
      <c r="AV563" s="182"/>
      <c r="AW563" s="182"/>
      <c r="AX563" s="182"/>
      <c r="AY563" s="182"/>
      <c r="AZ563" s="182"/>
      <c r="BA563" s="182"/>
      <c r="BB563" s="182"/>
      <c r="BC563" s="182"/>
      <c r="BD563" s="182"/>
      <c r="BE563" s="182"/>
      <c r="BF563" s="182"/>
      <c r="BG563" s="182"/>
      <c r="BH563" s="182"/>
      <c r="BI563" s="182"/>
      <c r="BJ563" s="182"/>
      <c r="BK563" s="182"/>
      <c r="BL563" s="182"/>
      <c r="BM563" s="182"/>
      <c r="BN563" s="182"/>
      <c r="BO563" s="182"/>
      <c r="BP563" s="182"/>
      <c r="BQ563" s="182"/>
      <c r="BR563" s="182"/>
      <c r="BS563" s="182"/>
      <c r="BT563" s="182"/>
      <c r="BU563" s="182"/>
      <c r="BV563" s="182"/>
      <c r="BW563" s="182"/>
      <c r="BX563" s="182"/>
      <c r="BY563" s="182"/>
      <c r="BZ563" s="182"/>
      <c r="CA563" s="182"/>
      <c r="CB563" s="182"/>
      <c r="CC563" s="182"/>
      <c r="CD563" s="182"/>
      <c r="CE563" s="182"/>
      <c r="CF563" s="182"/>
      <c r="CG563" s="182"/>
      <c r="CH563" s="182"/>
      <c r="CI563" s="182"/>
      <c r="CJ563" s="182"/>
      <c r="CK563" s="182"/>
      <c r="CL563" s="182"/>
      <c r="CM563" s="182"/>
      <c r="CN563" s="182"/>
      <c r="CO563" s="182"/>
      <c r="CP563" s="182"/>
      <c r="CQ563" s="182"/>
      <c r="CR563" s="182"/>
      <c r="CS563" s="182"/>
      <c r="CT563" s="182"/>
      <c r="CU563" s="182"/>
      <c r="CV563" s="182"/>
      <c r="CW563" s="182"/>
      <c r="CX563" s="182"/>
      <c r="CY563" s="182"/>
      <c r="CZ563" s="182"/>
      <c r="DA563" s="182"/>
      <c r="DB563" s="182"/>
      <c r="DC563" s="182"/>
      <c r="DD563" s="182"/>
      <c r="DE563" s="182"/>
      <c r="DF563" s="182"/>
      <c r="DG563" s="182"/>
      <c r="DH563" s="182"/>
      <c r="DI563" s="182"/>
      <c r="DJ563" s="182"/>
      <c r="DK563" s="182"/>
      <c r="DL563" s="182"/>
      <c r="DM563" s="182"/>
      <c r="DN563" s="182"/>
      <c r="DO563" s="182"/>
      <c r="DP563" s="182"/>
      <c r="DQ563" s="182"/>
      <c r="DR563" s="182"/>
      <c r="DS563" s="182"/>
      <c r="DT563" s="182"/>
      <c r="DU563" s="182"/>
      <c r="DV563" s="182"/>
      <c r="DW563" s="182"/>
      <c r="DX563" s="182"/>
      <c r="DY563" s="182"/>
      <c r="DZ563" s="182"/>
      <c r="EA563" s="182"/>
      <c r="EB563" s="182"/>
      <c r="EC563" s="182"/>
      <c r="ED563" s="182"/>
      <c r="EE563" s="182"/>
      <c r="EF563" s="182"/>
      <c r="EG563" s="182"/>
      <c r="EH563" s="182"/>
      <c r="EI563" s="182"/>
      <c r="EJ563" s="182"/>
      <c r="EK563" s="182"/>
      <c r="EL563" s="182"/>
      <c r="EM563" s="182"/>
      <c r="EN563" s="182"/>
      <c r="EO563" s="182"/>
      <c r="EP563" s="182"/>
      <c r="EQ563" s="182"/>
      <c r="ER563" s="182"/>
      <c r="ES563" s="182"/>
      <c r="ET563" s="182"/>
      <c r="EU563" s="182"/>
      <c r="EV563" s="182"/>
      <c r="EW563" s="182"/>
      <c r="EX563" s="182"/>
      <c r="EY563" s="182"/>
      <c r="EZ563" s="182"/>
      <c r="FA563" s="182"/>
      <c r="FB563" s="182"/>
      <c r="FC563" s="182"/>
      <c r="FD563" s="182"/>
      <c r="FE563" s="182"/>
      <c r="FF563" s="182"/>
      <c r="FG563" s="182"/>
      <c r="FH563" s="182"/>
      <c r="FI563" s="182"/>
      <c r="FJ563" s="182"/>
      <c r="FK563" s="182"/>
      <c r="FL563" s="182"/>
      <c r="FM563" s="182"/>
      <c r="FN563" s="182"/>
      <c r="FO563" s="182"/>
      <c r="FP563" s="182"/>
      <c r="FQ563" s="182"/>
      <c r="FR563" s="182"/>
      <c r="FS563" s="182"/>
      <c r="FT563" s="182"/>
      <c r="FU563" s="182"/>
      <c r="FV563" s="182"/>
      <c r="FW563" s="182"/>
      <c r="FX563" s="182"/>
      <c r="FY563" s="182"/>
      <c r="FZ563" s="182"/>
      <c r="GA563" s="182"/>
      <c r="GB563" s="182"/>
      <c r="GC563" s="182"/>
      <c r="GD563" s="182"/>
      <c r="GE563" s="182"/>
      <c r="GF563" s="182"/>
      <c r="GG563" s="182"/>
      <c r="GH563" s="182"/>
      <c r="GI563" s="182"/>
    </row>
    <row r="564" spans="1:191" s="183" customFormat="1" x14ac:dyDescent="0.2">
      <c r="A564" s="210" t="s">
        <v>38231</v>
      </c>
      <c r="B564" s="210" t="s">
        <v>13336</v>
      </c>
      <c r="C564" s="224" t="s">
        <v>19658</v>
      </c>
      <c r="D564" s="211" t="s">
        <v>16</v>
      </c>
      <c r="E564" s="211">
        <v>7</v>
      </c>
      <c r="F564" s="211"/>
      <c r="G564" s="211"/>
      <c r="H564" s="231">
        <v>5</v>
      </c>
      <c r="I564" s="213">
        <f t="shared" si="35"/>
        <v>1.6666666666666666E-2</v>
      </c>
      <c r="J564" s="272">
        <v>303.33</v>
      </c>
      <c r="K564" s="113"/>
      <c r="L564" s="213"/>
      <c r="M564" s="112">
        <f t="shared" si="36"/>
        <v>35.39</v>
      </c>
      <c r="N564" s="112">
        <f t="shared" si="37"/>
        <v>1061.7</v>
      </c>
      <c r="O564" s="114"/>
      <c r="P564" s="113"/>
      <c r="R564" s="203"/>
      <c r="S564" s="182"/>
      <c r="T564" s="182"/>
      <c r="U564" s="182"/>
      <c r="V564" s="182"/>
      <c r="W564" s="182"/>
      <c r="X564" s="182"/>
      <c r="Y564" s="182"/>
      <c r="Z564" s="182"/>
      <c r="AA564" s="182"/>
      <c r="AB564" s="182"/>
      <c r="AC564" s="182"/>
      <c r="AD564" s="182"/>
      <c r="AE564" s="182"/>
      <c r="AF564" s="182"/>
      <c r="AG564" s="182"/>
      <c r="AH564" s="182"/>
      <c r="AI564" s="182"/>
      <c r="AJ564" s="182"/>
      <c r="AK564" s="182"/>
      <c r="AL564" s="182"/>
      <c r="AM564" s="182"/>
      <c r="AN564" s="182"/>
      <c r="AO564" s="182"/>
      <c r="AP564" s="182"/>
      <c r="AQ564" s="182"/>
      <c r="AR564" s="182"/>
      <c r="AS564" s="182"/>
      <c r="AT564" s="182"/>
      <c r="AU564" s="182"/>
      <c r="AV564" s="182"/>
      <c r="AW564" s="182"/>
      <c r="AX564" s="182"/>
      <c r="AY564" s="182"/>
      <c r="AZ564" s="182"/>
      <c r="BA564" s="182"/>
      <c r="BB564" s="182"/>
      <c r="BC564" s="182"/>
      <c r="BD564" s="182"/>
      <c r="BE564" s="182"/>
      <c r="BF564" s="182"/>
      <c r="BG564" s="182"/>
      <c r="BH564" s="182"/>
      <c r="BI564" s="182"/>
      <c r="BJ564" s="182"/>
      <c r="BK564" s="182"/>
      <c r="BL564" s="182"/>
      <c r="BM564" s="182"/>
      <c r="BN564" s="182"/>
      <c r="BO564" s="182"/>
      <c r="BP564" s="182"/>
      <c r="BQ564" s="182"/>
      <c r="BR564" s="182"/>
      <c r="BS564" s="182"/>
      <c r="BT564" s="182"/>
      <c r="BU564" s="182"/>
      <c r="BV564" s="182"/>
      <c r="BW564" s="182"/>
      <c r="BX564" s="182"/>
      <c r="BY564" s="182"/>
      <c r="BZ564" s="182"/>
      <c r="CA564" s="182"/>
      <c r="CB564" s="182"/>
      <c r="CC564" s="182"/>
      <c r="CD564" s="182"/>
      <c r="CE564" s="182"/>
      <c r="CF564" s="182"/>
      <c r="CG564" s="182"/>
      <c r="CH564" s="182"/>
      <c r="CI564" s="182"/>
      <c r="CJ564" s="182"/>
      <c r="CK564" s="182"/>
      <c r="CL564" s="182"/>
      <c r="CM564" s="182"/>
      <c r="CN564" s="182"/>
      <c r="CO564" s="182"/>
      <c r="CP564" s="182"/>
      <c r="CQ564" s="182"/>
      <c r="CR564" s="182"/>
      <c r="CS564" s="182"/>
      <c r="CT564" s="182"/>
      <c r="CU564" s="182"/>
      <c r="CV564" s="182"/>
      <c r="CW564" s="182"/>
      <c r="CX564" s="182"/>
      <c r="CY564" s="182"/>
      <c r="CZ564" s="182"/>
      <c r="DA564" s="182"/>
      <c r="DB564" s="182"/>
      <c r="DC564" s="182"/>
      <c r="DD564" s="182"/>
      <c r="DE564" s="182"/>
      <c r="DF564" s="182"/>
      <c r="DG564" s="182"/>
      <c r="DH564" s="182"/>
      <c r="DI564" s="182"/>
      <c r="DJ564" s="182"/>
      <c r="DK564" s="182"/>
      <c r="DL564" s="182"/>
      <c r="DM564" s="182"/>
      <c r="DN564" s="182"/>
      <c r="DO564" s="182"/>
      <c r="DP564" s="182"/>
      <c r="DQ564" s="182"/>
      <c r="DR564" s="182"/>
      <c r="DS564" s="182"/>
      <c r="DT564" s="182"/>
      <c r="DU564" s="182"/>
      <c r="DV564" s="182"/>
      <c r="DW564" s="182"/>
      <c r="DX564" s="182"/>
      <c r="DY564" s="182"/>
      <c r="DZ564" s="182"/>
      <c r="EA564" s="182"/>
      <c r="EB564" s="182"/>
      <c r="EC564" s="182"/>
      <c r="ED564" s="182"/>
      <c r="EE564" s="182"/>
      <c r="EF564" s="182"/>
      <c r="EG564" s="182"/>
      <c r="EH564" s="182"/>
      <c r="EI564" s="182"/>
      <c r="EJ564" s="182"/>
      <c r="EK564" s="182"/>
      <c r="EL564" s="182"/>
      <c r="EM564" s="182"/>
      <c r="EN564" s="182"/>
      <c r="EO564" s="182"/>
      <c r="EP564" s="182"/>
      <c r="EQ564" s="182"/>
      <c r="ER564" s="182"/>
      <c r="ES564" s="182"/>
      <c r="ET564" s="182"/>
      <c r="EU564" s="182"/>
      <c r="EV564" s="182"/>
      <c r="EW564" s="182"/>
      <c r="EX564" s="182"/>
      <c r="EY564" s="182"/>
      <c r="EZ564" s="182"/>
      <c r="FA564" s="182"/>
      <c r="FB564" s="182"/>
      <c r="FC564" s="182"/>
      <c r="FD564" s="182"/>
      <c r="FE564" s="182"/>
      <c r="FF564" s="182"/>
      <c r="FG564" s="182"/>
      <c r="FH564" s="182"/>
      <c r="FI564" s="182"/>
      <c r="FJ564" s="182"/>
      <c r="FK564" s="182"/>
      <c r="FL564" s="182"/>
      <c r="FM564" s="182"/>
      <c r="FN564" s="182"/>
      <c r="FO564" s="182"/>
      <c r="FP564" s="182"/>
      <c r="FQ564" s="182"/>
      <c r="FR564" s="182"/>
      <c r="FS564" s="182"/>
      <c r="FT564" s="182"/>
      <c r="FU564" s="182"/>
      <c r="FV564" s="182"/>
      <c r="FW564" s="182"/>
      <c r="FX564" s="182"/>
      <c r="FY564" s="182"/>
      <c r="FZ564" s="182"/>
      <c r="GA564" s="182"/>
      <c r="GB564" s="182"/>
      <c r="GC564" s="182"/>
      <c r="GD564" s="182"/>
      <c r="GE564" s="182"/>
      <c r="GF564" s="182"/>
      <c r="GG564" s="182"/>
      <c r="GH564" s="182"/>
      <c r="GI564" s="182"/>
    </row>
    <row r="565" spans="1:191" s="183" customFormat="1" x14ac:dyDescent="0.2">
      <c r="A565" s="210" t="s">
        <v>38232</v>
      </c>
      <c r="B565" s="210" t="s">
        <v>13337</v>
      </c>
      <c r="C565" s="224" t="s">
        <v>19659</v>
      </c>
      <c r="D565" s="211" t="s">
        <v>16</v>
      </c>
      <c r="E565" s="211">
        <v>7</v>
      </c>
      <c r="F565" s="211"/>
      <c r="G565" s="211"/>
      <c r="H565" s="231">
        <v>5</v>
      </c>
      <c r="I565" s="213">
        <f t="shared" si="35"/>
        <v>1.6666666666666666E-2</v>
      </c>
      <c r="J565" s="272">
        <v>144.07</v>
      </c>
      <c r="K565" s="113"/>
      <c r="L565" s="213"/>
      <c r="M565" s="112">
        <f t="shared" si="36"/>
        <v>16.809999999999999</v>
      </c>
      <c r="N565" s="112">
        <f t="shared" si="37"/>
        <v>504.3</v>
      </c>
      <c r="O565" s="114"/>
      <c r="P565" s="113"/>
      <c r="R565" s="203"/>
      <c r="S565" s="182"/>
      <c r="T565" s="182"/>
      <c r="U565" s="182"/>
      <c r="V565" s="182"/>
      <c r="W565" s="182"/>
      <c r="X565" s="182"/>
      <c r="Y565" s="182"/>
      <c r="Z565" s="182"/>
      <c r="AA565" s="182"/>
      <c r="AB565" s="182"/>
      <c r="AC565" s="182"/>
      <c r="AD565" s="182"/>
      <c r="AE565" s="182"/>
      <c r="AF565" s="182"/>
      <c r="AG565" s="182"/>
      <c r="AH565" s="182"/>
      <c r="AI565" s="182"/>
      <c r="AJ565" s="182"/>
      <c r="AK565" s="182"/>
      <c r="AL565" s="182"/>
      <c r="AM565" s="182"/>
      <c r="AN565" s="182"/>
      <c r="AO565" s="182"/>
      <c r="AP565" s="182"/>
      <c r="AQ565" s="182"/>
      <c r="AR565" s="182"/>
      <c r="AS565" s="182"/>
      <c r="AT565" s="182"/>
      <c r="AU565" s="182"/>
      <c r="AV565" s="182"/>
      <c r="AW565" s="182"/>
      <c r="AX565" s="182"/>
      <c r="AY565" s="182"/>
      <c r="AZ565" s="182"/>
      <c r="BA565" s="182"/>
      <c r="BB565" s="182"/>
      <c r="BC565" s="182"/>
      <c r="BD565" s="182"/>
      <c r="BE565" s="182"/>
      <c r="BF565" s="182"/>
      <c r="BG565" s="182"/>
      <c r="BH565" s="182"/>
      <c r="BI565" s="182"/>
      <c r="BJ565" s="182"/>
      <c r="BK565" s="182"/>
      <c r="BL565" s="182"/>
      <c r="BM565" s="182"/>
      <c r="BN565" s="182"/>
      <c r="BO565" s="182"/>
      <c r="BP565" s="182"/>
      <c r="BQ565" s="182"/>
      <c r="BR565" s="182"/>
      <c r="BS565" s="182"/>
      <c r="BT565" s="182"/>
      <c r="BU565" s="182"/>
      <c r="BV565" s="182"/>
      <c r="BW565" s="182"/>
      <c r="BX565" s="182"/>
      <c r="BY565" s="182"/>
      <c r="BZ565" s="182"/>
      <c r="CA565" s="182"/>
      <c r="CB565" s="182"/>
      <c r="CC565" s="182"/>
      <c r="CD565" s="182"/>
      <c r="CE565" s="182"/>
      <c r="CF565" s="182"/>
      <c r="CG565" s="182"/>
      <c r="CH565" s="182"/>
      <c r="CI565" s="182"/>
      <c r="CJ565" s="182"/>
      <c r="CK565" s="182"/>
      <c r="CL565" s="182"/>
      <c r="CM565" s="182"/>
      <c r="CN565" s="182"/>
      <c r="CO565" s="182"/>
      <c r="CP565" s="182"/>
      <c r="CQ565" s="182"/>
      <c r="CR565" s="182"/>
      <c r="CS565" s="182"/>
      <c r="CT565" s="182"/>
      <c r="CU565" s="182"/>
      <c r="CV565" s="182"/>
      <c r="CW565" s="182"/>
      <c r="CX565" s="182"/>
      <c r="CY565" s="182"/>
      <c r="CZ565" s="182"/>
      <c r="DA565" s="182"/>
      <c r="DB565" s="182"/>
      <c r="DC565" s="182"/>
      <c r="DD565" s="182"/>
      <c r="DE565" s="182"/>
      <c r="DF565" s="182"/>
      <c r="DG565" s="182"/>
      <c r="DH565" s="182"/>
      <c r="DI565" s="182"/>
      <c r="DJ565" s="182"/>
      <c r="DK565" s="182"/>
      <c r="DL565" s="182"/>
      <c r="DM565" s="182"/>
      <c r="DN565" s="182"/>
      <c r="DO565" s="182"/>
      <c r="DP565" s="182"/>
      <c r="DQ565" s="182"/>
      <c r="DR565" s="182"/>
      <c r="DS565" s="182"/>
      <c r="DT565" s="182"/>
      <c r="DU565" s="182"/>
      <c r="DV565" s="182"/>
      <c r="DW565" s="182"/>
      <c r="DX565" s="182"/>
      <c r="DY565" s="182"/>
      <c r="DZ565" s="182"/>
      <c r="EA565" s="182"/>
      <c r="EB565" s="182"/>
      <c r="EC565" s="182"/>
      <c r="ED565" s="182"/>
      <c r="EE565" s="182"/>
      <c r="EF565" s="182"/>
      <c r="EG565" s="182"/>
      <c r="EH565" s="182"/>
      <c r="EI565" s="182"/>
      <c r="EJ565" s="182"/>
      <c r="EK565" s="182"/>
      <c r="EL565" s="182"/>
      <c r="EM565" s="182"/>
      <c r="EN565" s="182"/>
      <c r="EO565" s="182"/>
      <c r="EP565" s="182"/>
      <c r="EQ565" s="182"/>
      <c r="ER565" s="182"/>
      <c r="ES565" s="182"/>
      <c r="ET565" s="182"/>
      <c r="EU565" s="182"/>
      <c r="EV565" s="182"/>
      <c r="EW565" s="182"/>
      <c r="EX565" s="182"/>
      <c r="EY565" s="182"/>
      <c r="EZ565" s="182"/>
      <c r="FA565" s="182"/>
      <c r="FB565" s="182"/>
      <c r="FC565" s="182"/>
      <c r="FD565" s="182"/>
      <c r="FE565" s="182"/>
      <c r="FF565" s="182"/>
      <c r="FG565" s="182"/>
      <c r="FH565" s="182"/>
      <c r="FI565" s="182"/>
      <c r="FJ565" s="182"/>
      <c r="FK565" s="182"/>
      <c r="FL565" s="182"/>
      <c r="FM565" s="182"/>
      <c r="FN565" s="182"/>
      <c r="FO565" s="182"/>
      <c r="FP565" s="182"/>
      <c r="FQ565" s="182"/>
      <c r="FR565" s="182"/>
      <c r="FS565" s="182"/>
      <c r="FT565" s="182"/>
      <c r="FU565" s="182"/>
      <c r="FV565" s="182"/>
      <c r="FW565" s="182"/>
      <c r="FX565" s="182"/>
      <c r="FY565" s="182"/>
      <c r="FZ565" s="182"/>
      <c r="GA565" s="182"/>
      <c r="GB565" s="182"/>
      <c r="GC565" s="182"/>
      <c r="GD565" s="182"/>
      <c r="GE565" s="182"/>
      <c r="GF565" s="182"/>
      <c r="GG565" s="182"/>
      <c r="GH565" s="182"/>
      <c r="GI565" s="182"/>
    </row>
    <row r="566" spans="1:191" s="183" customFormat="1" x14ac:dyDescent="0.2">
      <c r="A566" s="210" t="s">
        <v>38233</v>
      </c>
      <c r="B566" s="210" t="s">
        <v>13339</v>
      </c>
      <c r="C566" s="224" t="s">
        <v>13110</v>
      </c>
      <c r="D566" s="211" t="s">
        <v>16</v>
      </c>
      <c r="E566" s="211">
        <v>4</v>
      </c>
      <c r="F566" s="211"/>
      <c r="G566" s="211"/>
      <c r="H566" s="231">
        <v>5</v>
      </c>
      <c r="I566" s="213">
        <f t="shared" si="35"/>
        <v>1.6666666666666666E-2</v>
      </c>
      <c r="J566" s="272">
        <v>69.81</v>
      </c>
      <c r="K566" s="113"/>
      <c r="L566" s="213"/>
      <c r="M566" s="112">
        <f t="shared" si="36"/>
        <v>4.6500000000000004</v>
      </c>
      <c r="N566" s="112">
        <f t="shared" si="37"/>
        <v>139.5</v>
      </c>
      <c r="O566" s="114"/>
      <c r="P566" s="113"/>
      <c r="R566" s="203"/>
      <c r="S566" s="182"/>
      <c r="T566" s="182"/>
      <c r="U566" s="182"/>
      <c r="V566" s="182"/>
      <c r="W566" s="182"/>
      <c r="X566" s="182"/>
      <c r="Y566" s="182"/>
      <c r="Z566" s="182"/>
      <c r="AA566" s="182"/>
      <c r="AB566" s="182"/>
      <c r="AC566" s="182"/>
      <c r="AD566" s="182"/>
      <c r="AE566" s="182"/>
      <c r="AF566" s="182"/>
      <c r="AG566" s="182"/>
      <c r="AH566" s="182"/>
      <c r="AI566" s="182"/>
      <c r="AJ566" s="182"/>
      <c r="AK566" s="182"/>
      <c r="AL566" s="182"/>
      <c r="AM566" s="182"/>
      <c r="AN566" s="182"/>
      <c r="AO566" s="182"/>
      <c r="AP566" s="182"/>
      <c r="AQ566" s="182"/>
      <c r="AR566" s="182"/>
      <c r="AS566" s="182"/>
      <c r="AT566" s="182"/>
      <c r="AU566" s="182"/>
      <c r="AV566" s="182"/>
      <c r="AW566" s="182"/>
      <c r="AX566" s="182"/>
      <c r="AY566" s="182"/>
      <c r="AZ566" s="182"/>
      <c r="BA566" s="182"/>
      <c r="BB566" s="182"/>
      <c r="BC566" s="182"/>
      <c r="BD566" s="182"/>
      <c r="BE566" s="182"/>
      <c r="BF566" s="182"/>
      <c r="BG566" s="182"/>
      <c r="BH566" s="182"/>
      <c r="BI566" s="182"/>
      <c r="BJ566" s="182"/>
      <c r="BK566" s="182"/>
      <c r="BL566" s="182"/>
      <c r="BM566" s="182"/>
      <c r="BN566" s="182"/>
      <c r="BO566" s="182"/>
      <c r="BP566" s="182"/>
      <c r="BQ566" s="182"/>
      <c r="BR566" s="182"/>
      <c r="BS566" s="182"/>
      <c r="BT566" s="182"/>
      <c r="BU566" s="182"/>
      <c r="BV566" s="182"/>
      <c r="BW566" s="182"/>
      <c r="BX566" s="182"/>
      <c r="BY566" s="182"/>
      <c r="BZ566" s="182"/>
      <c r="CA566" s="182"/>
      <c r="CB566" s="182"/>
      <c r="CC566" s="182"/>
      <c r="CD566" s="182"/>
      <c r="CE566" s="182"/>
      <c r="CF566" s="182"/>
      <c r="CG566" s="182"/>
      <c r="CH566" s="182"/>
      <c r="CI566" s="182"/>
      <c r="CJ566" s="182"/>
      <c r="CK566" s="182"/>
      <c r="CL566" s="182"/>
      <c r="CM566" s="182"/>
      <c r="CN566" s="182"/>
      <c r="CO566" s="182"/>
      <c r="CP566" s="182"/>
      <c r="CQ566" s="182"/>
      <c r="CR566" s="182"/>
      <c r="CS566" s="182"/>
      <c r="CT566" s="182"/>
      <c r="CU566" s="182"/>
      <c r="CV566" s="182"/>
      <c r="CW566" s="182"/>
      <c r="CX566" s="182"/>
      <c r="CY566" s="182"/>
      <c r="CZ566" s="182"/>
      <c r="DA566" s="182"/>
      <c r="DB566" s="182"/>
      <c r="DC566" s="182"/>
      <c r="DD566" s="182"/>
      <c r="DE566" s="182"/>
      <c r="DF566" s="182"/>
      <c r="DG566" s="182"/>
      <c r="DH566" s="182"/>
      <c r="DI566" s="182"/>
      <c r="DJ566" s="182"/>
      <c r="DK566" s="182"/>
      <c r="DL566" s="182"/>
      <c r="DM566" s="182"/>
      <c r="DN566" s="182"/>
      <c r="DO566" s="182"/>
      <c r="DP566" s="182"/>
      <c r="DQ566" s="182"/>
      <c r="DR566" s="182"/>
      <c r="DS566" s="182"/>
      <c r="DT566" s="182"/>
      <c r="DU566" s="182"/>
      <c r="DV566" s="182"/>
      <c r="DW566" s="182"/>
      <c r="DX566" s="182"/>
      <c r="DY566" s="182"/>
      <c r="DZ566" s="182"/>
      <c r="EA566" s="182"/>
      <c r="EB566" s="182"/>
      <c r="EC566" s="182"/>
      <c r="ED566" s="182"/>
      <c r="EE566" s="182"/>
      <c r="EF566" s="182"/>
      <c r="EG566" s="182"/>
      <c r="EH566" s="182"/>
      <c r="EI566" s="182"/>
      <c r="EJ566" s="182"/>
      <c r="EK566" s="182"/>
      <c r="EL566" s="182"/>
      <c r="EM566" s="182"/>
      <c r="EN566" s="182"/>
      <c r="EO566" s="182"/>
      <c r="EP566" s="182"/>
      <c r="EQ566" s="182"/>
      <c r="ER566" s="182"/>
      <c r="ES566" s="182"/>
      <c r="ET566" s="182"/>
      <c r="EU566" s="182"/>
      <c r="EV566" s="182"/>
      <c r="EW566" s="182"/>
      <c r="EX566" s="182"/>
      <c r="EY566" s="182"/>
      <c r="EZ566" s="182"/>
      <c r="FA566" s="182"/>
      <c r="FB566" s="182"/>
      <c r="FC566" s="182"/>
      <c r="FD566" s="182"/>
      <c r="FE566" s="182"/>
      <c r="FF566" s="182"/>
      <c r="FG566" s="182"/>
      <c r="FH566" s="182"/>
      <c r="FI566" s="182"/>
      <c r="FJ566" s="182"/>
      <c r="FK566" s="182"/>
      <c r="FL566" s="182"/>
      <c r="FM566" s="182"/>
      <c r="FN566" s="182"/>
      <c r="FO566" s="182"/>
      <c r="FP566" s="182"/>
      <c r="FQ566" s="182"/>
      <c r="FR566" s="182"/>
      <c r="FS566" s="182"/>
      <c r="FT566" s="182"/>
      <c r="FU566" s="182"/>
      <c r="FV566" s="182"/>
      <c r="FW566" s="182"/>
      <c r="FX566" s="182"/>
      <c r="FY566" s="182"/>
      <c r="FZ566" s="182"/>
      <c r="GA566" s="182"/>
      <c r="GB566" s="182"/>
      <c r="GC566" s="182"/>
      <c r="GD566" s="182"/>
      <c r="GE566" s="182"/>
      <c r="GF566" s="182"/>
      <c r="GG566" s="182"/>
      <c r="GH566" s="182"/>
      <c r="GI566" s="182"/>
    </row>
    <row r="567" spans="1:191" s="183" customFormat="1" x14ac:dyDescent="0.2">
      <c r="A567" s="210" t="s">
        <v>38234</v>
      </c>
      <c r="B567" s="210" t="s">
        <v>13340</v>
      </c>
      <c r="C567" s="224" t="s">
        <v>13111</v>
      </c>
      <c r="D567" s="211" t="s">
        <v>16</v>
      </c>
      <c r="E567" s="211">
        <v>4</v>
      </c>
      <c r="F567" s="211"/>
      <c r="G567" s="211"/>
      <c r="H567" s="231">
        <v>5</v>
      </c>
      <c r="I567" s="213">
        <f t="shared" si="35"/>
        <v>1.6666666666666666E-2</v>
      </c>
      <c r="J567" s="272">
        <v>503.97</v>
      </c>
      <c r="K567" s="113"/>
      <c r="L567" s="213"/>
      <c r="M567" s="112">
        <f t="shared" si="36"/>
        <v>33.6</v>
      </c>
      <c r="N567" s="112">
        <f t="shared" si="37"/>
        <v>1008</v>
      </c>
      <c r="O567" s="114"/>
      <c r="P567" s="113"/>
      <c r="R567" s="203"/>
      <c r="S567" s="182"/>
      <c r="T567" s="182"/>
      <c r="U567" s="182"/>
      <c r="V567" s="182"/>
      <c r="W567" s="182"/>
      <c r="X567" s="182"/>
      <c r="Y567" s="182"/>
      <c r="Z567" s="182"/>
      <c r="AA567" s="182"/>
      <c r="AB567" s="182"/>
      <c r="AC567" s="182"/>
      <c r="AD567" s="182"/>
      <c r="AE567" s="182"/>
      <c r="AF567" s="182"/>
      <c r="AG567" s="182"/>
      <c r="AH567" s="182"/>
      <c r="AI567" s="182"/>
      <c r="AJ567" s="182"/>
      <c r="AK567" s="182"/>
      <c r="AL567" s="182"/>
      <c r="AM567" s="182"/>
      <c r="AN567" s="182"/>
      <c r="AO567" s="182"/>
      <c r="AP567" s="182"/>
      <c r="AQ567" s="182"/>
      <c r="AR567" s="182"/>
      <c r="AS567" s="182"/>
      <c r="AT567" s="182"/>
      <c r="AU567" s="182"/>
      <c r="AV567" s="182"/>
      <c r="AW567" s="182"/>
      <c r="AX567" s="182"/>
      <c r="AY567" s="182"/>
      <c r="AZ567" s="182"/>
      <c r="BA567" s="182"/>
      <c r="BB567" s="182"/>
      <c r="BC567" s="182"/>
      <c r="BD567" s="182"/>
      <c r="BE567" s="182"/>
      <c r="BF567" s="182"/>
      <c r="BG567" s="182"/>
      <c r="BH567" s="182"/>
      <c r="BI567" s="182"/>
      <c r="BJ567" s="182"/>
      <c r="BK567" s="182"/>
      <c r="BL567" s="182"/>
      <c r="BM567" s="182"/>
      <c r="BN567" s="182"/>
      <c r="BO567" s="182"/>
      <c r="BP567" s="182"/>
      <c r="BQ567" s="182"/>
      <c r="BR567" s="182"/>
      <c r="BS567" s="182"/>
      <c r="BT567" s="182"/>
      <c r="BU567" s="182"/>
      <c r="BV567" s="182"/>
      <c r="BW567" s="182"/>
      <c r="BX567" s="182"/>
      <c r="BY567" s="182"/>
      <c r="BZ567" s="182"/>
      <c r="CA567" s="182"/>
      <c r="CB567" s="182"/>
      <c r="CC567" s="182"/>
      <c r="CD567" s="182"/>
      <c r="CE567" s="182"/>
      <c r="CF567" s="182"/>
      <c r="CG567" s="182"/>
      <c r="CH567" s="182"/>
      <c r="CI567" s="182"/>
      <c r="CJ567" s="182"/>
      <c r="CK567" s="182"/>
      <c r="CL567" s="182"/>
      <c r="CM567" s="182"/>
      <c r="CN567" s="182"/>
      <c r="CO567" s="182"/>
      <c r="CP567" s="182"/>
      <c r="CQ567" s="182"/>
      <c r="CR567" s="182"/>
      <c r="CS567" s="182"/>
      <c r="CT567" s="182"/>
      <c r="CU567" s="182"/>
      <c r="CV567" s="182"/>
      <c r="CW567" s="182"/>
      <c r="CX567" s="182"/>
      <c r="CY567" s="182"/>
      <c r="CZ567" s="182"/>
      <c r="DA567" s="182"/>
      <c r="DB567" s="182"/>
      <c r="DC567" s="182"/>
      <c r="DD567" s="182"/>
      <c r="DE567" s="182"/>
      <c r="DF567" s="182"/>
      <c r="DG567" s="182"/>
      <c r="DH567" s="182"/>
      <c r="DI567" s="182"/>
      <c r="DJ567" s="182"/>
      <c r="DK567" s="182"/>
      <c r="DL567" s="182"/>
      <c r="DM567" s="182"/>
      <c r="DN567" s="182"/>
      <c r="DO567" s="182"/>
      <c r="DP567" s="182"/>
      <c r="DQ567" s="182"/>
      <c r="DR567" s="182"/>
      <c r="DS567" s="182"/>
      <c r="DT567" s="182"/>
      <c r="DU567" s="182"/>
      <c r="DV567" s="182"/>
      <c r="DW567" s="182"/>
      <c r="DX567" s="182"/>
      <c r="DY567" s="182"/>
      <c r="DZ567" s="182"/>
      <c r="EA567" s="182"/>
      <c r="EB567" s="182"/>
      <c r="EC567" s="182"/>
      <c r="ED567" s="182"/>
      <c r="EE567" s="182"/>
      <c r="EF567" s="182"/>
      <c r="EG567" s="182"/>
      <c r="EH567" s="182"/>
      <c r="EI567" s="182"/>
      <c r="EJ567" s="182"/>
      <c r="EK567" s="182"/>
      <c r="EL567" s="182"/>
      <c r="EM567" s="182"/>
      <c r="EN567" s="182"/>
      <c r="EO567" s="182"/>
      <c r="EP567" s="182"/>
      <c r="EQ567" s="182"/>
      <c r="ER567" s="182"/>
      <c r="ES567" s="182"/>
      <c r="ET567" s="182"/>
      <c r="EU567" s="182"/>
      <c r="EV567" s="182"/>
      <c r="EW567" s="182"/>
      <c r="EX567" s="182"/>
      <c r="EY567" s="182"/>
      <c r="EZ567" s="182"/>
      <c r="FA567" s="182"/>
      <c r="FB567" s="182"/>
      <c r="FC567" s="182"/>
      <c r="FD567" s="182"/>
      <c r="FE567" s="182"/>
      <c r="FF567" s="182"/>
      <c r="FG567" s="182"/>
      <c r="FH567" s="182"/>
      <c r="FI567" s="182"/>
      <c r="FJ567" s="182"/>
      <c r="FK567" s="182"/>
      <c r="FL567" s="182"/>
      <c r="FM567" s="182"/>
      <c r="FN567" s="182"/>
      <c r="FO567" s="182"/>
      <c r="FP567" s="182"/>
      <c r="FQ567" s="182"/>
      <c r="FR567" s="182"/>
      <c r="FS567" s="182"/>
      <c r="FT567" s="182"/>
      <c r="FU567" s="182"/>
      <c r="FV567" s="182"/>
      <c r="FW567" s="182"/>
      <c r="FX567" s="182"/>
      <c r="FY567" s="182"/>
      <c r="FZ567" s="182"/>
      <c r="GA567" s="182"/>
      <c r="GB567" s="182"/>
      <c r="GC567" s="182"/>
      <c r="GD567" s="182"/>
      <c r="GE567" s="182"/>
      <c r="GF567" s="182"/>
      <c r="GG567" s="182"/>
      <c r="GH567" s="182"/>
      <c r="GI567" s="182"/>
    </row>
    <row r="568" spans="1:191" s="183" customFormat="1" x14ac:dyDescent="0.2">
      <c r="A568" s="210" t="s">
        <v>38235</v>
      </c>
      <c r="B568" s="210" t="s">
        <v>13341</v>
      </c>
      <c r="C568" s="224" t="s">
        <v>13112</v>
      </c>
      <c r="D568" s="211" t="s">
        <v>16</v>
      </c>
      <c r="E568" s="211">
        <v>4</v>
      </c>
      <c r="F568" s="211"/>
      <c r="G568" s="211"/>
      <c r="H568" s="231">
        <v>5</v>
      </c>
      <c r="I568" s="213">
        <f t="shared" si="35"/>
        <v>1.6666666666666666E-2</v>
      </c>
      <c r="J568" s="272">
        <v>324.02</v>
      </c>
      <c r="K568" s="113"/>
      <c r="L568" s="213"/>
      <c r="M568" s="112">
        <f t="shared" si="36"/>
        <v>21.6</v>
      </c>
      <c r="N568" s="112">
        <f t="shared" si="37"/>
        <v>648</v>
      </c>
      <c r="O568" s="114"/>
      <c r="P568" s="113"/>
      <c r="R568" s="203"/>
      <c r="S568" s="182"/>
      <c r="T568" s="182"/>
      <c r="U568" s="182"/>
      <c r="V568" s="182"/>
      <c r="W568" s="182"/>
      <c r="X568" s="182"/>
      <c r="Y568" s="182"/>
      <c r="Z568" s="182"/>
      <c r="AA568" s="182"/>
      <c r="AB568" s="182"/>
      <c r="AC568" s="182"/>
      <c r="AD568" s="182"/>
      <c r="AE568" s="182"/>
      <c r="AF568" s="182"/>
      <c r="AG568" s="182"/>
      <c r="AH568" s="182"/>
      <c r="AI568" s="182"/>
      <c r="AJ568" s="182"/>
      <c r="AK568" s="182"/>
      <c r="AL568" s="182"/>
      <c r="AM568" s="182"/>
      <c r="AN568" s="182"/>
      <c r="AO568" s="182"/>
      <c r="AP568" s="182"/>
      <c r="AQ568" s="182"/>
      <c r="AR568" s="182"/>
      <c r="AS568" s="182"/>
      <c r="AT568" s="182"/>
      <c r="AU568" s="182"/>
      <c r="AV568" s="182"/>
      <c r="AW568" s="182"/>
      <c r="AX568" s="182"/>
      <c r="AY568" s="182"/>
      <c r="AZ568" s="182"/>
      <c r="BA568" s="182"/>
      <c r="BB568" s="182"/>
      <c r="BC568" s="182"/>
      <c r="BD568" s="182"/>
      <c r="BE568" s="182"/>
      <c r="BF568" s="182"/>
      <c r="BG568" s="182"/>
      <c r="BH568" s="182"/>
      <c r="BI568" s="182"/>
      <c r="BJ568" s="182"/>
      <c r="BK568" s="182"/>
      <c r="BL568" s="182"/>
      <c r="BM568" s="182"/>
      <c r="BN568" s="182"/>
      <c r="BO568" s="182"/>
      <c r="BP568" s="182"/>
      <c r="BQ568" s="182"/>
      <c r="BR568" s="182"/>
      <c r="BS568" s="182"/>
      <c r="BT568" s="182"/>
      <c r="BU568" s="182"/>
      <c r="BV568" s="182"/>
      <c r="BW568" s="182"/>
      <c r="BX568" s="182"/>
      <c r="BY568" s="182"/>
      <c r="BZ568" s="182"/>
      <c r="CA568" s="182"/>
      <c r="CB568" s="182"/>
      <c r="CC568" s="182"/>
      <c r="CD568" s="182"/>
      <c r="CE568" s="182"/>
      <c r="CF568" s="182"/>
      <c r="CG568" s="182"/>
      <c r="CH568" s="182"/>
      <c r="CI568" s="182"/>
      <c r="CJ568" s="182"/>
      <c r="CK568" s="182"/>
      <c r="CL568" s="182"/>
      <c r="CM568" s="182"/>
      <c r="CN568" s="182"/>
      <c r="CO568" s="182"/>
      <c r="CP568" s="182"/>
      <c r="CQ568" s="182"/>
      <c r="CR568" s="182"/>
      <c r="CS568" s="182"/>
      <c r="CT568" s="182"/>
      <c r="CU568" s="182"/>
      <c r="CV568" s="182"/>
      <c r="CW568" s="182"/>
      <c r="CX568" s="182"/>
      <c r="CY568" s="182"/>
      <c r="CZ568" s="182"/>
      <c r="DA568" s="182"/>
      <c r="DB568" s="182"/>
      <c r="DC568" s="182"/>
      <c r="DD568" s="182"/>
      <c r="DE568" s="182"/>
      <c r="DF568" s="182"/>
      <c r="DG568" s="182"/>
      <c r="DH568" s="182"/>
      <c r="DI568" s="182"/>
      <c r="DJ568" s="182"/>
      <c r="DK568" s="182"/>
      <c r="DL568" s="182"/>
      <c r="DM568" s="182"/>
      <c r="DN568" s="182"/>
      <c r="DO568" s="182"/>
      <c r="DP568" s="182"/>
      <c r="DQ568" s="182"/>
      <c r="DR568" s="182"/>
      <c r="DS568" s="182"/>
      <c r="DT568" s="182"/>
      <c r="DU568" s="182"/>
      <c r="DV568" s="182"/>
      <c r="DW568" s="182"/>
      <c r="DX568" s="182"/>
      <c r="DY568" s="182"/>
      <c r="DZ568" s="182"/>
      <c r="EA568" s="182"/>
      <c r="EB568" s="182"/>
      <c r="EC568" s="182"/>
      <c r="ED568" s="182"/>
      <c r="EE568" s="182"/>
      <c r="EF568" s="182"/>
      <c r="EG568" s="182"/>
      <c r="EH568" s="182"/>
      <c r="EI568" s="182"/>
      <c r="EJ568" s="182"/>
      <c r="EK568" s="182"/>
      <c r="EL568" s="182"/>
      <c r="EM568" s="182"/>
      <c r="EN568" s="182"/>
      <c r="EO568" s="182"/>
      <c r="EP568" s="182"/>
      <c r="EQ568" s="182"/>
      <c r="ER568" s="182"/>
      <c r="ES568" s="182"/>
      <c r="ET568" s="182"/>
      <c r="EU568" s="182"/>
      <c r="EV568" s="182"/>
      <c r="EW568" s="182"/>
      <c r="EX568" s="182"/>
      <c r="EY568" s="182"/>
      <c r="EZ568" s="182"/>
      <c r="FA568" s="182"/>
      <c r="FB568" s="182"/>
      <c r="FC568" s="182"/>
      <c r="FD568" s="182"/>
      <c r="FE568" s="182"/>
      <c r="FF568" s="182"/>
      <c r="FG568" s="182"/>
      <c r="FH568" s="182"/>
      <c r="FI568" s="182"/>
      <c r="FJ568" s="182"/>
      <c r="FK568" s="182"/>
      <c r="FL568" s="182"/>
      <c r="FM568" s="182"/>
      <c r="FN568" s="182"/>
      <c r="FO568" s="182"/>
      <c r="FP568" s="182"/>
      <c r="FQ568" s="182"/>
      <c r="FR568" s="182"/>
      <c r="FS568" s="182"/>
      <c r="FT568" s="182"/>
      <c r="FU568" s="182"/>
      <c r="FV568" s="182"/>
      <c r="FW568" s="182"/>
      <c r="FX568" s="182"/>
      <c r="FY568" s="182"/>
      <c r="FZ568" s="182"/>
      <c r="GA568" s="182"/>
      <c r="GB568" s="182"/>
      <c r="GC568" s="182"/>
      <c r="GD568" s="182"/>
      <c r="GE568" s="182"/>
      <c r="GF568" s="182"/>
      <c r="GG568" s="182"/>
      <c r="GH568" s="182"/>
      <c r="GI568" s="182"/>
    </row>
    <row r="569" spans="1:191" s="183" customFormat="1" x14ac:dyDescent="0.2">
      <c r="A569" s="210" t="s">
        <v>38236</v>
      </c>
      <c r="B569" s="210" t="s">
        <v>13342</v>
      </c>
      <c r="C569" s="224" t="s">
        <v>13113</v>
      </c>
      <c r="D569" s="211" t="s">
        <v>16</v>
      </c>
      <c r="E569" s="211">
        <v>4</v>
      </c>
      <c r="F569" s="211"/>
      <c r="G569" s="211"/>
      <c r="H569" s="231">
        <v>5</v>
      </c>
      <c r="I569" s="213">
        <f t="shared" si="35"/>
        <v>1.6666666666666666E-2</v>
      </c>
      <c r="J569" s="272">
        <v>419.99</v>
      </c>
      <c r="K569" s="113"/>
      <c r="L569" s="213"/>
      <c r="M569" s="112">
        <f t="shared" si="36"/>
        <v>28</v>
      </c>
      <c r="N569" s="112">
        <f t="shared" si="37"/>
        <v>840</v>
      </c>
      <c r="O569" s="114"/>
      <c r="P569" s="113"/>
      <c r="R569" s="203"/>
      <c r="S569" s="182"/>
      <c r="T569" s="182"/>
      <c r="U569" s="182"/>
      <c r="V569" s="182"/>
      <c r="W569" s="182"/>
      <c r="X569" s="182"/>
      <c r="Y569" s="182"/>
      <c r="Z569" s="182"/>
      <c r="AA569" s="182"/>
      <c r="AB569" s="182"/>
      <c r="AC569" s="182"/>
      <c r="AD569" s="182"/>
      <c r="AE569" s="182"/>
      <c r="AF569" s="182"/>
      <c r="AG569" s="182"/>
      <c r="AH569" s="182"/>
      <c r="AI569" s="182"/>
      <c r="AJ569" s="182"/>
      <c r="AK569" s="182"/>
      <c r="AL569" s="182"/>
      <c r="AM569" s="182"/>
      <c r="AN569" s="182"/>
      <c r="AO569" s="182"/>
      <c r="AP569" s="182"/>
      <c r="AQ569" s="182"/>
      <c r="AR569" s="182"/>
      <c r="AS569" s="182"/>
      <c r="AT569" s="182"/>
      <c r="AU569" s="182"/>
      <c r="AV569" s="182"/>
      <c r="AW569" s="182"/>
      <c r="AX569" s="182"/>
      <c r="AY569" s="182"/>
      <c r="AZ569" s="182"/>
      <c r="BA569" s="182"/>
      <c r="BB569" s="182"/>
      <c r="BC569" s="182"/>
      <c r="BD569" s="182"/>
      <c r="BE569" s="182"/>
      <c r="BF569" s="182"/>
      <c r="BG569" s="182"/>
      <c r="BH569" s="182"/>
      <c r="BI569" s="182"/>
      <c r="BJ569" s="182"/>
      <c r="BK569" s="182"/>
      <c r="BL569" s="182"/>
      <c r="BM569" s="182"/>
      <c r="BN569" s="182"/>
      <c r="BO569" s="182"/>
      <c r="BP569" s="182"/>
      <c r="BQ569" s="182"/>
      <c r="BR569" s="182"/>
      <c r="BS569" s="182"/>
      <c r="BT569" s="182"/>
      <c r="BU569" s="182"/>
      <c r="BV569" s="182"/>
      <c r="BW569" s="182"/>
      <c r="BX569" s="182"/>
      <c r="BY569" s="182"/>
      <c r="BZ569" s="182"/>
      <c r="CA569" s="182"/>
      <c r="CB569" s="182"/>
      <c r="CC569" s="182"/>
      <c r="CD569" s="182"/>
      <c r="CE569" s="182"/>
      <c r="CF569" s="182"/>
      <c r="CG569" s="182"/>
      <c r="CH569" s="182"/>
      <c r="CI569" s="182"/>
      <c r="CJ569" s="182"/>
      <c r="CK569" s="182"/>
      <c r="CL569" s="182"/>
      <c r="CM569" s="182"/>
      <c r="CN569" s="182"/>
      <c r="CO569" s="182"/>
      <c r="CP569" s="182"/>
      <c r="CQ569" s="182"/>
      <c r="CR569" s="182"/>
      <c r="CS569" s="182"/>
      <c r="CT569" s="182"/>
      <c r="CU569" s="182"/>
      <c r="CV569" s="182"/>
      <c r="CW569" s="182"/>
      <c r="CX569" s="182"/>
      <c r="CY569" s="182"/>
      <c r="CZ569" s="182"/>
      <c r="DA569" s="182"/>
      <c r="DB569" s="182"/>
      <c r="DC569" s="182"/>
      <c r="DD569" s="182"/>
      <c r="DE569" s="182"/>
      <c r="DF569" s="182"/>
      <c r="DG569" s="182"/>
      <c r="DH569" s="182"/>
      <c r="DI569" s="182"/>
      <c r="DJ569" s="182"/>
      <c r="DK569" s="182"/>
      <c r="DL569" s="182"/>
      <c r="DM569" s="182"/>
      <c r="DN569" s="182"/>
      <c r="DO569" s="182"/>
      <c r="DP569" s="182"/>
      <c r="DQ569" s="182"/>
      <c r="DR569" s="182"/>
      <c r="DS569" s="182"/>
      <c r="DT569" s="182"/>
      <c r="DU569" s="182"/>
      <c r="DV569" s="182"/>
      <c r="DW569" s="182"/>
      <c r="DX569" s="182"/>
      <c r="DY569" s="182"/>
      <c r="DZ569" s="182"/>
      <c r="EA569" s="182"/>
      <c r="EB569" s="182"/>
      <c r="EC569" s="182"/>
      <c r="ED569" s="182"/>
      <c r="EE569" s="182"/>
      <c r="EF569" s="182"/>
      <c r="EG569" s="182"/>
      <c r="EH569" s="182"/>
      <c r="EI569" s="182"/>
      <c r="EJ569" s="182"/>
      <c r="EK569" s="182"/>
      <c r="EL569" s="182"/>
      <c r="EM569" s="182"/>
      <c r="EN569" s="182"/>
      <c r="EO569" s="182"/>
      <c r="EP569" s="182"/>
      <c r="EQ569" s="182"/>
      <c r="ER569" s="182"/>
      <c r="ES569" s="182"/>
      <c r="ET569" s="182"/>
      <c r="EU569" s="182"/>
      <c r="EV569" s="182"/>
      <c r="EW569" s="182"/>
      <c r="EX569" s="182"/>
      <c r="EY569" s="182"/>
      <c r="EZ569" s="182"/>
      <c r="FA569" s="182"/>
      <c r="FB569" s="182"/>
      <c r="FC569" s="182"/>
      <c r="FD569" s="182"/>
      <c r="FE569" s="182"/>
      <c r="FF569" s="182"/>
      <c r="FG569" s="182"/>
      <c r="FH569" s="182"/>
      <c r="FI569" s="182"/>
      <c r="FJ569" s="182"/>
      <c r="FK569" s="182"/>
      <c r="FL569" s="182"/>
      <c r="FM569" s="182"/>
      <c r="FN569" s="182"/>
      <c r="FO569" s="182"/>
      <c r="FP569" s="182"/>
      <c r="FQ569" s="182"/>
      <c r="FR569" s="182"/>
      <c r="FS569" s="182"/>
      <c r="FT569" s="182"/>
      <c r="FU569" s="182"/>
      <c r="FV569" s="182"/>
      <c r="FW569" s="182"/>
      <c r="FX569" s="182"/>
      <c r="FY569" s="182"/>
      <c r="FZ569" s="182"/>
      <c r="GA569" s="182"/>
      <c r="GB569" s="182"/>
      <c r="GC569" s="182"/>
      <c r="GD569" s="182"/>
      <c r="GE569" s="182"/>
      <c r="GF569" s="182"/>
      <c r="GG569" s="182"/>
      <c r="GH569" s="182"/>
      <c r="GI569" s="182"/>
    </row>
    <row r="570" spans="1:191" s="183" customFormat="1" x14ac:dyDescent="0.2">
      <c r="A570" s="210" t="s">
        <v>38237</v>
      </c>
      <c r="B570" s="210" t="s">
        <v>13343</v>
      </c>
      <c r="C570" s="224" t="s">
        <v>13114</v>
      </c>
      <c r="D570" s="211" t="s">
        <v>16</v>
      </c>
      <c r="E570" s="211">
        <v>4</v>
      </c>
      <c r="F570" s="211"/>
      <c r="G570" s="211"/>
      <c r="H570" s="231">
        <v>5</v>
      </c>
      <c r="I570" s="213">
        <f t="shared" si="35"/>
        <v>1.6666666666666666E-2</v>
      </c>
      <c r="J570" s="272">
        <v>486.38</v>
      </c>
      <c r="K570" s="113"/>
      <c r="L570" s="213"/>
      <c r="M570" s="112">
        <f t="shared" si="36"/>
        <v>32.43</v>
      </c>
      <c r="N570" s="112">
        <f t="shared" si="37"/>
        <v>972.9</v>
      </c>
      <c r="O570" s="114"/>
      <c r="P570" s="113"/>
      <c r="R570" s="203"/>
      <c r="S570" s="182"/>
      <c r="T570" s="182"/>
      <c r="U570" s="182"/>
      <c r="V570" s="182"/>
      <c r="W570" s="182"/>
      <c r="X570" s="182"/>
      <c r="Y570" s="182"/>
      <c r="Z570" s="182"/>
      <c r="AA570" s="182"/>
      <c r="AB570" s="182"/>
      <c r="AC570" s="182"/>
      <c r="AD570" s="182"/>
      <c r="AE570" s="182"/>
      <c r="AF570" s="182"/>
      <c r="AG570" s="182"/>
      <c r="AH570" s="182"/>
      <c r="AI570" s="182"/>
      <c r="AJ570" s="182"/>
      <c r="AK570" s="182"/>
      <c r="AL570" s="182"/>
      <c r="AM570" s="182"/>
      <c r="AN570" s="182"/>
      <c r="AO570" s="182"/>
      <c r="AP570" s="182"/>
      <c r="AQ570" s="182"/>
      <c r="AR570" s="182"/>
      <c r="AS570" s="182"/>
      <c r="AT570" s="182"/>
      <c r="AU570" s="182"/>
      <c r="AV570" s="182"/>
      <c r="AW570" s="182"/>
      <c r="AX570" s="182"/>
      <c r="AY570" s="182"/>
      <c r="AZ570" s="182"/>
      <c r="BA570" s="182"/>
      <c r="BB570" s="182"/>
      <c r="BC570" s="182"/>
      <c r="BD570" s="182"/>
      <c r="BE570" s="182"/>
      <c r="BF570" s="182"/>
      <c r="BG570" s="182"/>
      <c r="BH570" s="182"/>
      <c r="BI570" s="182"/>
      <c r="BJ570" s="182"/>
      <c r="BK570" s="182"/>
      <c r="BL570" s="182"/>
      <c r="BM570" s="182"/>
      <c r="BN570" s="182"/>
      <c r="BO570" s="182"/>
      <c r="BP570" s="182"/>
      <c r="BQ570" s="182"/>
      <c r="BR570" s="182"/>
      <c r="BS570" s="182"/>
      <c r="BT570" s="182"/>
      <c r="BU570" s="182"/>
      <c r="BV570" s="182"/>
      <c r="BW570" s="182"/>
      <c r="BX570" s="182"/>
      <c r="BY570" s="182"/>
      <c r="BZ570" s="182"/>
      <c r="CA570" s="182"/>
      <c r="CB570" s="182"/>
      <c r="CC570" s="182"/>
      <c r="CD570" s="182"/>
      <c r="CE570" s="182"/>
      <c r="CF570" s="182"/>
      <c r="CG570" s="182"/>
      <c r="CH570" s="182"/>
      <c r="CI570" s="182"/>
      <c r="CJ570" s="182"/>
      <c r="CK570" s="182"/>
      <c r="CL570" s="182"/>
      <c r="CM570" s="182"/>
      <c r="CN570" s="182"/>
      <c r="CO570" s="182"/>
      <c r="CP570" s="182"/>
      <c r="CQ570" s="182"/>
      <c r="CR570" s="182"/>
      <c r="CS570" s="182"/>
      <c r="CT570" s="182"/>
      <c r="CU570" s="182"/>
      <c r="CV570" s="182"/>
      <c r="CW570" s="182"/>
      <c r="CX570" s="182"/>
      <c r="CY570" s="182"/>
      <c r="CZ570" s="182"/>
      <c r="DA570" s="182"/>
      <c r="DB570" s="182"/>
      <c r="DC570" s="182"/>
      <c r="DD570" s="182"/>
      <c r="DE570" s="182"/>
      <c r="DF570" s="182"/>
      <c r="DG570" s="182"/>
      <c r="DH570" s="182"/>
      <c r="DI570" s="182"/>
      <c r="DJ570" s="182"/>
      <c r="DK570" s="182"/>
      <c r="DL570" s="182"/>
      <c r="DM570" s="182"/>
      <c r="DN570" s="182"/>
      <c r="DO570" s="182"/>
      <c r="DP570" s="182"/>
      <c r="DQ570" s="182"/>
      <c r="DR570" s="182"/>
      <c r="DS570" s="182"/>
      <c r="DT570" s="182"/>
      <c r="DU570" s="182"/>
      <c r="DV570" s="182"/>
      <c r="DW570" s="182"/>
      <c r="DX570" s="182"/>
      <c r="DY570" s="182"/>
      <c r="DZ570" s="182"/>
      <c r="EA570" s="182"/>
      <c r="EB570" s="182"/>
      <c r="EC570" s="182"/>
      <c r="ED570" s="182"/>
      <c r="EE570" s="182"/>
      <c r="EF570" s="182"/>
      <c r="EG570" s="182"/>
      <c r="EH570" s="182"/>
      <c r="EI570" s="182"/>
      <c r="EJ570" s="182"/>
      <c r="EK570" s="182"/>
      <c r="EL570" s="182"/>
      <c r="EM570" s="182"/>
      <c r="EN570" s="182"/>
      <c r="EO570" s="182"/>
      <c r="EP570" s="182"/>
      <c r="EQ570" s="182"/>
      <c r="ER570" s="182"/>
      <c r="ES570" s="182"/>
      <c r="ET570" s="182"/>
      <c r="EU570" s="182"/>
      <c r="EV570" s="182"/>
      <c r="EW570" s="182"/>
      <c r="EX570" s="182"/>
      <c r="EY570" s="182"/>
      <c r="EZ570" s="182"/>
      <c r="FA570" s="182"/>
      <c r="FB570" s="182"/>
      <c r="FC570" s="182"/>
      <c r="FD570" s="182"/>
      <c r="FE570" s="182"/>
      <c r="FF570" s="182"/>
      <c r="FG570" s="182"/>
      <c r="FH570" s="182"/>
      <c r="FI570" s="182"/>
      <c r="FJ570" s="182"/>
      <c r="FK570" s="182"/>
      <c r="FL570" s="182"/>
      <c r="FM570" s="182"/>
      <c r="FN570" s="182"/>
      <c r="FO570" s="182"/>
      <c r="FP570" s="182"/>
      <c r="FQ570" s="182"/>
      <c r="FR570" s="182"/>
      <c r="FS570" s="182"/>
      <c r="FT570" s="182"/>
      <c r="FU570" s="182"/>
      <c r="FV570" s="182"/>
      <c r="FW570" s="182"/>
      <c r="FX570" s="182"/>
      <c r="FY570" s="182"/>
      <c r="FZ570" s="182"/>
      <c r="GA570" s="182"/>
      <c r="GB570" s="182"/>
      <c r="GC570" s="182"/>
      <c r="GD570" s="182"/>
      <c r="GE570" s="182"/>
      <c r="GF570" s="182"/>
      <c r="GG570" s="182"/>
      <c r="GH570" s="182"/>
      <c r="GI570" s="182"/>
    </row>
    <row r="571" spans="1:191" s="183" customFormat="1" x14ac:dyDescent="0.2">
      <c r="A571" s="210" t="s">
        <v>38238</v>
      </c>
      <c r="B571" s="210" t="s">
        <v>13344</v>
      </c>
      <c r="C571" s="224" t="s">
        <v>13115</v>
      </c>
      <c r="D571" s="211" t="s">
        <v>16</v>
      </c>
      <c r="E571" s="211">
        <v>4</v>
      </c>
      <c r="F571" s="211"/>
      <c r="G571" s="211"/>
      <c r="H571" s="231">
        <v>5</v>
      </c>
      <c r="I571" s="213">
        <f t="shared" si="35"/>
        <v>1.6666666666666666E-2</v>
      </c>
      <c r="J571" s="272">
        <v>760.75</v>
      </c>
      <c r="K571" s="113"/>
      <c r="L571" s="213"/>
      <c r="M571" s="112">
        <f t="shared" si="36"/>
        <v>50.72</v>
      </c>
      <c r="N571" s="112">
        <f t="shared" si="37"/>
        <v>1521.6</v>
      </c>
      <c r="O571" s="114"/>
      <c r="P571" s="113"/>
      <c r="R571" s="203"/>
      <c r="S571" s="182"/>
      <c r="T571" s="182"/>
      <c r="U571" s="182"/>
      <c r="V571" s="182"/>
      <c r="W571" s="182"/>
      <c r="X571" s="182"/>
      <c r="Y571" s="182"/>
      <c r="Z571" s="182"/>
      <c r="AA571" s="182"/>
      <c r="AB571" s="182"/>
      <c r="AC571" s="182"/>
      <c r="AD571" s="182"/>
      <c r="AE571" s="182"/>
      <c r="AF571" s="182"/>
      <c r="AG571" s="182"/>
      <c r="AH571" s="182"/>
      <c r="AI571" s="182"/>
      <c r="AJ571" s="182"/>
      <c r="AK571" s="182"/>
      <c r="AL571" s="182"/>
      <c r="AM571" s="182"/>
      <c r="AN571" s="182"/>
      <c r="AO571" s="182"/>
      <c r="AP571" s="182"/>
      <c r="AQ571" s="182"/>
      <c r="AR571" s="182"/>
      <c r="AS571" s="182"/>
      <c r="AT571" s="182"/>
      <c r="AU571" s="182"/>
      <c r="AV571" s="182"/>
      <c r="AW571" s="182"/>
      <c r="AX571" s="182"/>
      <c r="AY571" s="182"/>
      <c r="AZ571" s="182"/>
      <c r="BA571" s="182"/>
      <c r="BB571" s="182"/>
      <c r="BC571" s="182"/>
      <c r="BD571" s="182"/>
      <c r="BE571" s="182"/>
      <c r="BF571" s="182"/>
      <c r="BG571" s="182"/>
      <c r="BH571" s="182"/>
      <c r="BI571" s="182"/>
      <c r="BJ571" s="182"/>
      <c r="BK571" s="182"/>
      <c r="BL571" s="182"/>
      <c r="BM571" s="182"/>
      <c r="BN571" s="182"/>
      <c r="BO571" s="182"/>
      <c r="BP571" s="182"/>
      <c r="BQ571" s="182"/>
      <c r="BR571" s="182"/>
      <c r="BS571" s="182"/>
      <c r="BT571" s="182"/>
      <c r="BU571" s="182"/>
      <c r="BV571" s="182"/>
      <c r="BW571" s="182"/>
      <c r="BX571" s="182"/>
      <c r="BY571" s="182"/>
      <c r="BZ571" s="182"/>
      <c r="CA571" s="182"/>
      <c r="CB571" s="182"/>
      <c r="CC571" s="182"/>
      <c r="CD571" s="182"/>
      <c r="CE571" s="182"/>
      <c r="CF571" s="182"/>
      <c r="CG571" s="182"/>
      <c r="CH571" s="182"/>
      <c r="CI571" s="182"/>
      <c r="CJ571" s="182"/>
      <c r="CK571" s="182"/>
      <c r="CL571" s="182"/>
      <c r="CM571" s="182"/>
      <c r="CN571" s="182"/>
      <c r="CO571" s="182"/>
      <c r="CP571" s="182"/>
      <c r="CQ571" s="182"/>
      <c r="CR571" s="182"/>
      <c r="CS571" s="182"/>
      <c r="CT571" s="182"/>
      <c r="CU571" s="182"/>
      <c r="CV571" s="182"/>
      <c r="CW571" s="182"/>
      <c r="CX571" s="182"/>
      <c r="CY571" s="182"/>
      <c r="CZ571" s="182"/>
      <c r="DA571" s="182"/>
      <c r="DB571" s="182"/>
      <c r="DC571" s="182"/>
      <c r="DD571" s="182"/>
      <c r="DE571" s="182"/>
      <c r="DF571" s="182"/>
      <c r="DG571" s="182"/>
      <c r="DH571" s="182"/>
      <c r="DI571" s="182"/>
      <c r="DJ571" s="182"/>
      <c r="DK571" s="182"/>
      <c r="DL571" s="182"/>
      <c r="DM571" s="182"/>
      <c r="DN571" s="182"/>
      <c r="DO571" s="182"/>
      <c r="DP571" s="182"/>
      <c r="DQ571" s="182"/>
      <c r="DR571" s="182"/>
      <c r="DS571" s="182"/>
      <c r="DT571" s="182"/>
      <c r="DU571" s="182"/>
      <c r="DV571" s="182"/>
      <c r="DW571" s="182"/>
      <c r="DX571" s="182"/>
      <c r="DY571" s="182"/>
      <c r="DZ571" s="182"/>
      <c r="EA571" s="182"/>
      <c r="EB571" s="182"/>
      <c r="EC571" s="182"/>
      <c r="ED571" s="182"/>
      <c r="EE571" s="182"/>
      <c r="EF571" s="182"/>
      <c r="EG571" s="182"/>
      <c r="EH571" s="182"/>
      <c r="EI571" s="182"/>
      <c r="EJ571" s="182"/>
      <c r="EK571" s="182"/>
      <c r="EL571" s="182"/>
      <c r="EM571" s="182"/>
      <c r="EN571" s="182"/>
      <c r="EO571" s="182"/>
      <c r="EP571" s="182"/>
      <c r="EQ571" s="182"/>
      <c r="ER571" s="182"/>
      <c r="ES571" s="182"/>
      <c r="ET571" s="182"/>
      <c r="EU571" s="182"/>
      <c r="EV571" s="182"/>
      <c r="EW571" s="182"/>
      <c r="EX571" s="182"/>
      <c r="EY571" s="182"/>
      <c r="EZ571" s="182"/>
      <c r="FA571" s="182"/>
      <c r="FB571" s="182"/>
      <c r="FC571" s="182"/>
      <c r="FD571" s="182"/>
      <c r="FE571" s="182"/>
      <c r="FF571" s="182"/>
      <c r="FG571" s="182"/>
      <c r="FH571" s="182"/>
      <c r="FI571" s="182"/>
      <c r="FJ571" s="182"/>
      <c r="FK571" s="182"/>
      <c r="FL571" s="182"/>
      <c r="FM571" s="182"/>
      <c r="FN571" s="182"/>
      <c r="FO571" s="182"/>
      <c r="FP571" s="182"/>
      <c r="FQ571" s="182"/>
      <c r="FR571" s="182"/>
      <c r="FS571" s="182"/>
      <c r="FT571" s="182"/>
      <c r="FU571" s="182"/>
      <c r="FV571" s="182"/>
      <c r="FW571" s="182"/>
      <c r="FX571" s="182"/>
      <c r="FY571" s="182"/>
      <c r="FZ571" s="182"/>
      <c r="GA571" s="182"/>
      <c r="GB571" s="182"/>
      <c r="GC571" s="182"/>
      <c r="GD571" s="182"/>
      <c r="GE571" s="182"/>
      <c r="GF571" s="182"/>
      <c r="GG571" s="182"/>
      <c r="GH571" s="182"/>
      <c r="GI571" s="182"/>
    </row>
    <row r="572" spans="1:191" s="183" customFormat="1" x14ac:dyDescent="0.2">
      <c r="A572" s="210" t="s">
        <v>38239</v>
      </c>
      <c r="B572" s="210" t="s">
        <v>13345</v>
      </c>
      <c r="C572" s="224" t="s">
        <v>13116</v>
      </c>
      <c r="D572" s="211" t="s">
        <v>16</v>
      </c>
      <c r="E572" s="211">
        <v>4</v>
      </c>
      <c r="F572" s="211"/>
      <c r="G572" s="211"/>
      <c r="H572" s="231">
        <v>5</v>
      </c>
      <c r="I572" s="213">
        <f t="shared" si="35"/>
        <v>1.6666666666666666E-2</v>
      </c>
      <c r="J572" s="272">
        <v>910.36</v>
      </c>
      <c r="K572" s="113"/>
      <c r="L572" s="213"/>
      <c r="M572" s="112">
        <f t="shared" si="36"/>
        <v>60.69</v>
      </c>
      <c r="N572" s="112">
        <f t="shared" si="37"/>
        <v>1820.7</v>
      </c>
      <c r="O572" s="114"/>
      <c r="P572" s="113"/>
      <c r="R572" s="203"/>
      <c r="S572" s="182"/>
      <c r="T572" s="182"/>
      <c r="U572" s="182"/>
      <c r="V572" s="182"/>
      <c r="W572" s="182"/>
      <c r="X572" s="182"/>
      <c r="Y572" s="182"/>
      <c r="Z572" s="182"/>
      <c r="AA572" s="182"/>
      <c r="AB572" s="182"/>
      <c r="AC572" s="182"/>
      <c r="AD572" s="182"/>
      <c r="AE572" s="182"/>
      <c r="AF572" s="182"/>
      <c r="AG572" s="182"/>
      <c r="AH572" s="182"/>
      <c r="AI572" s="182"/>
      <c r="AJ572" s="182"/>
      <c r="AK572" s="182"/>
      <c r="AL572" s="182"/>
      <c r="AM572" s="182"/>
      <c r="AN572" s="182"/>
      <c r="AO572" s="182"/>
      <c r="AP572" s="182"/>
      <c r="AQ572" s="182"/>
      <c r="AR572" s="182"/>
      <c r="AS572" s="182"/>
      <c r="AT572" s="182"/>
      <c r="AU572" s="182"/>
      <c r="AV572" s="182"/>
      <c r="AW572" s="182"/>
      <c r="AX572" s="182"/>
      <c r="AY572" s="182"/>
      <c r="AZ572" s="182"/>
      <c r="BA572" s="182"/>
      <c r="BB572" s="182"/>
      <c r="BC572" s="182"/>
      <c r="BD572" s="182"/>
      <c r="BE572" s="182"/>
      <c r="BF572" s="182"/>
      <c r="BG572" s="182"/>
      <c r="BH572" s="182"/>
      <c r="BI572" s="182"/>
      <c r="BJ572" s="182"/>
      <c r="BK572" s="182"/>
      <c r="BL572" s="182"/>
      <c r="BM572" s="182"/>
      <c r="BN572" s="182"/>
      <c r="BO572" s="182"/>
      <c r="BP572" s="182"/>
      <c r="BQ572" s="182"/>
      <c r="BR572" s="182"/>
      <c r="BS572" s="182"/>
      <c r="BT572" s="182"/>
      <c r="BU572" s="182"/>
      <c r="BV572" s="182"/>
      <c r="BW572" s="182"/>
      <c r="BX572" s="182"/>
      <c r="BY572" s="182"/>
      <c r="BZ572" s="182"/>
      <c r="CA572" s="182"/>
      <c r="CB572" s="182"/>
      <c r="CC572" s="182"/>
      <c r="CD572" s="182"/>
      <c r="CE572" s="182"/>
      <c r="CF572" s="182"/>
      <c r="CG572" s="182"/>
      <c r="CH572" s="182"/>
      <c r="CI572" s="182"/>
      <c r="CJ572" s="182"/>
      <c r="CK572" s="182"/>
      <c r="CL572" s="182"/>
      <c r="CM572" s="182"/>
      <c r="CN572" s="182"/>
      <c r="CO572" s="182"/>
      <c r="CP572" s="182"/>
      <c r="CQ572" s="182"/>
      <c r="CR572" s="182"/>
      <c r="CS572" s="182"/>
      <c r="CT572" s="182"/>
      <c r="CU572" s="182"/>
      <c r="CV572" s="182"/>
      <c r="CW572" s="182"/>
      <c r="CX572" s="182"/>
      <c r="CY572" s="182"/>
      <c r="CZ572" s="182"/>
      <c r="DA572" s="182"/>
      <c r="DB572" s="182"/>
      <c r="DC572" s="182"/>
      <c r="DD572" s="182"/>
      <c r="DE572" s="182"/>
      <c r="DF572" s="182"/>
      <c r="DG572" s="182"/>
      <c r="DH572" s="182"/>
      <c r="DI572" s="182"/>
      <c r="DJ572" s="182"/>
      <c r="DK572" s="182"/>
      <c r="DL572" s="182"/>
      <c r="DM572" s="182"/>
      <c r="DN572" s="182"/>
      <c r="DO572" s="182"/>
      <c r="DP572" s="182"/>
      <c r="DQ572" s="182"/>
      <c r="DR572" s="182"/>
      <c r="DS572" s="182"/>
      <c r="DT572" s="182"/>
      <c r="DU572" s="182"/>
      <c r="DV572" s="182"/>
      <c r="DW572" s="182"/>
      <c r="DX572" s="182"/>
      <c r="DY572" s="182"/>
      <c r="DZ572" s="182"/>
      <c r="EA572" s="182"/>
      <c r="EB572" s="182"/>
      <c r="EC572" s="182"/>
      <c r="ED572" s="182"/>
      <c r="EE572" s="182"/>
      <c r="EF572" s="182"/>
      <c r="EG572" s="182"/>
      <c r="EH572" s="182"/>
      <c r="EI572" s="182"/>
      <c r="EJ572" s="182"/>
      <c r="EK572" s="182"/>
      <c r="EL572" s="182"/>
      <c r="EM572" s="182"/>
      <c r="EN572" s="182"/>
      <c r="EO572" s="182"/>
      <c r="EP572" s="182"/>
      <c r="EQ572" s="182"/>
      <c r="ER572" s="182"/>
      <c r="ES572" s="182"/>
      <c r="ET572" s="182"/>
      <c r="EU572" s="182"/>
      <c r="EV572" s="182"/>
      <c r="EW572" s="182"/>
      <c r="EX572" s="182"/>
      <c r="EY572" s="182"/>
      <c r="EZ572" s="182"/>
      <c r="FA572" s="182"/>
      <c r="FB572" s="182"/>
      <c r="FC572" s="182"/>
      <c r="FD572" s="182"/>
      <c r="FE572" s="182"/>
      <c r="FF572" s="182"/>
      <c r="FG572" s="182"/>
      <c r="FH572" s="182"/>
      <c r="FI572" s="182"/>
      <c r="FJ572" s="182"/>
      <c r="FK572" s="182"/>
      <c r="FL572" s="182"/>
      <c r="FM572" s="182"/>
      <c r="FN572" s="182"/>
      <c r="FO572" s="182"/>
      <c r="FP572" s="182"/>
      <c r="FQ572" s="182"/>
      <c r="FR572" s="182"/>
      <c r="FS572" s="182"/>
      <c r="FT572" s="182"/>
      <c r="FU572" s="182"/>
      <c r="FV572" s="182"/>
      <c r="FW572" s="182"/>
      <c r="FX572" s="182"/>
      <c r="FY572" s="182"/>
      <c r="FZ572" s="182"/>
      <c r="GA572" s="182"/>
      <c r="GB572" s="182"/>
      <c r="GC572" s="182"/>
      <c r="GD572" s="182"/>
      <c r="GE572" s="182"/>
      <c r="GF572" s="182"/>
      <c r="GG572" s="182"/>
      <c r="GH572" s="182"/>
      <c r="GI572" s="182"/>
    </row>
    <row r="573" spans="1:191" x14ac:dyDescent="0.2">
      <c r="A573" s="210" t="s">
        <v>38240</v>
      </c>
      <c r="B573" s="210" t="s">
        <v>13346</v>
      </c>
      <c r="C573" s="224" t="s">
        <v>13117</v>
      </c>
      <c r="D573" s="211" t="s">
        <v>16</v>
      </c>
      <c r="E573" s="211">
        <v>4</v>
      </c>
      <c r="F573" s="211"/>
      <c r="G573" s="211"/>
      <c r="H573" s="231">
        <v>5</v>
      </c>
      <c r="I573" s="213">
        <f t="shared" si="35"/>
        <v>1.6666666666666666E-2</v>
      </c>
      <c r="J573" s="272">
        <v>774.99</v>
      </c>
      <c r="K573" s="113"/>
      <c r="L573" s="213"/>
      <c r="M573" s="112">
        <f t="shared" si="36"/>
        <v>51.67</v>
      </c>
      <c r="N573" s="112">
        <f t="shared" si="37"/>
        <v>1550.1</v>
      </c>
      <c r="O573" s="114"/>
      <c r="P573" s="113"/>
      <c r="Q573" s="183"/>
      <c r="R573" s="203"/>
    </row>
    <row r="574" spans="1:191" x14ac:dyDescent="0.2">
      <c r="A574" s="210" t="s">
        <v>38241</v>
      </c>
      <c r="B574" s="210" t="s">
        <v>13347</v>
      </c>
      <c r="C574" s="224" t="s">
        <v>13118</v>
      </c>
      <c r="D574" s="211" t="s">
        <v>16</v>
      </c>
      <c r="E574" s="211">
        <v>43</v>
      </c>
      <c r="F574" s="211"/>
      <c r="G574" s="211"/>
      <c r="H574" s="231">
        <v>5</v>
      </c>
      <c r="I574" s="213">
        <f t="shared" si="35"/>
        <v>1.6666666666666666E-2</v>
      </c>
      <c r="J574" s="272">
        <v>127.4</v>
      </c>
      <c r="K574" s="113"/>
      <c r="L574" s="213"/>
      <c r="M574" s="112">
        <f t="shared" si="36"/>
        <v>91.3</v>
      </c>
      <c r="N574" s="112">
        <f t="shared" si="37"/>
        <v>2739</v>
      </c>
      <c r="O574" s="114"/>
      <c r="P574" s="113"/>
      <c r="Q574" s="183"/>
      <c r="R574" s="203"/>
    </row>
    <row r="575" spans="1:191" s="183" customFormat="1" x14ac:dyDescent="0.2">
      <c r="A575" s="210" t="s">
        <v>38242</v>
      </c>
      <c r="B575" s="210" t="s">
        <v>13348</v>
      </c>
      <c r="C575" s="224" t="s">
        <v>13119</v>
      </c>
      <c r="D575" s="211" t="s">
        <v>16</v>
      </c>
      <c r="E575" s="211">
        <v>4</v>
      </c>
      <c r="F575" s="211"/>
      <c r="G575" s="211"/>
      <c r="H575" s="231">
        <v>5</v>
      </c>
      <c r="I575" s="213">
        <f t="shared" si="35"/>
        <v>1.6666666666666666E-2</v>
      </c>
      <c r="J575" s="272">
        <v>401.8</v>
      </c>
      <c r="K575" s="113"/>
      <c r="L575" s="213"/>
      <c r="M575" s="112">
        <f t="shared" si="36"/>
        <v>26.79</v>
      </c>
      <c r="N575" s="112">
        <f t="shared" si="37"/>
        <v>803.7</v>
      </c>
      <c r="O575" s="114"/>
      <c r="P575" s="113"/>
      <c r="R575" s="203"/>
      <c r="S575" s="182"/>
      <c r="T575" s="182"/>
      <c r="U575" s="182"/>
      <c r="V575" s="182"/>
      <c r="W575" s="182"/>
      <c r="X575" s="182"/>
      <c r="Y575" s="182"/>
      <c r="Z575" s="182"/>
      <c r="AA575" s="182"/>
      <c r="AB575" s="182"/>
      <c r="AC575" s="182"/>
      <c r="AD575" s="182"/>
      <c r="AE575" s="182"/>
      <c r="AF575" s="182"/>
      <c r="AG575" s="182"/>
      <c r="AH575" s="182"/>
      <c r="AI575" s="182"/>
      <c r="AJ575" s="182"/>
      <c r="AK575" s="182"/>
      <c r="AL575" s="182"/>
      <c r="AM575" s="182"/>
      <c r="AN575" s="182"/>
      <c r="AO575" s="182"/>
      <c r="AP575" s="182"/>
      <c r="AQ575" s="182"/>
      <c r="AR575" s="182"/>
      <c r="AS575" s="182"/>
      <c r="AT575" s="182"/>
      <c r="AU575" s="182"/>
      <c r="AV575" s="182"/>
      <c r="AW575" s="182"/>
      <c r="AX575" s="182"/>
      <c r="AY575" s="182"/>
      <c r="AZ575" s="182"/>
      <c r="BA575" s="182"/>
      <c r="BB575" s="182"/>
      <c r="BC575" s="182"/>
      <c r="BD575" s="182"/>
      <c r="BE575" s="182"/>
      <c r="BF575" s="182"/>
      <c r="BG575" s="182"/>
      <c r="BH575" s="182"/>
      <c r="BI575" s="182"/>
      <c r="BJ575" s="182"/>
      <c r="BK575" s="182"/>
      <c r="BL575" s="182"/>
      <c r="BM575" s="182"/>
      <c r="BN575" s="182"/>
      <c r="BO575" s="182"/>
      <c r="BP575" s="182"/>
      <c r="BQ575" s="182"/>
      <c r="BR575" s="182"/>
      <c r="BS575" s="182"/>
      <c r="BT575" s="182"/>
      <c r="BU575" s="182"/>
      <c r="BV575" s="182"/>
      <c r="BW575" s="182"/>
      <c r="BX575" s="182"/>
      <c r="BY575" s="182"/>
      <c r="BZ575" s="182"/>
      <c r="CA575" s="182"/>
      <c r="CB575" s="182"/>
      <c r="CC575" s="182"/>
      <c r="CD575" s="182"/>
      <c r="CE575" s="182"/>
      <c r="CF575" s="182"/>
      <c r="CG575" s="182"/>
      <c r="CH575" s="182"/>
      <c r="CI575" s="182"/>
      <c r="CJ575" s="182"/>
      <c r="CK575" s="182"/>
      <c r="CL575" s="182"/>
      <c r="CM575" s="182"/>
      <c r="CN575" s="182"/>
      <c r="CO575" s="182"/>
      <c r="CP575" s="182"/>
      <c r="CQ575" s="182"/>
      <c r="CR575" s="182"/>
      <c r="CS575" s="182"/>
      <c r="CT575" s="182"/>
      <c r="CU575" s="182"/>
      <c r="CV575" s="182"/>
      <c r="CW575" s="182"/>
      <c r="CX575" s="182"/>
      <c r="CY575" s="182"/>
      <c r="CZ575" s="182"/>
      <c r="DA575" s="182"/>
      <c r="DB575" s="182"/>
      <c r="DC575" s="182"/>
      <c r="DD575" s="182"/>
      <c r="DE575" s="182"/>
      <c r="DF575" s="182"/>
      <c r="DG575" s="182"/>
      <c r="DH575" s="182"/>
      <c r="DI575" s="182"/>
      <c r="DJ575" s="182"/>
      <c r="DK575" s="182"/>
      <c r="DL575" s="182"/>
      <c r="DM575" s="182"/>
      <c r="DN575" s="182"/>
      <c r="DO575" s="182"/>
      <c r="DP575" s="182"/>
      <c r="DQ575" s="182"/>
      <c r="DR575" s="182"/>
      <c r="DS575" s="182"/>
      <c r="DT575" s="182"/>
      <c r="DU575" s="182"/>
      <c r="DV575" s="182"/>
      <c r="DW575" s="182"/>
      <c r="DX575" s="182"/>
      <c r="DY575" s="182"/>
      <c r="DZ575" s="182"/>
      <c r="EA575" s="182"/>
      <c r="EB575" s="182"/>
      <c r="EC575" s="182"/>
      <c r="ED575" s="182"/>
      <c r="EE575" s="182"/>
      <c r="EF575" s="182"/>
      <c r="EG575" s="182"/>
      <c r="EH575" s="182"/>
      <c r="EI575" s="182"/>
      <c r="EJ575" s="182"/>
      <c r="EK575" s="182"/>
      <c r="EL575" s="182"/>
      <c r="EM575" s="182"/>
      <c r="EN575" s="182"/>
      <c r="EO575" s="182"/>
      <c r="EP575" s="182"/>
      <c r="EQ575" s="182"/>
      <c r="ER575" s="182"/>
      <c r="ES575" s="182"/>
      <c r="ET575" s="182"/>
      <c r="EU575" s="182"/>
      <c r="EV575" s="182"/>
      <c r="EW575" s="182"/>
      <c r="EX575" s="182"/>
      <c r="EY575" s="182"/>
      <c r="EZ575" s="182"/>
      <c r="FA575" s="182"/>
      <c r="FB575" s="182"/>
      <c r="FC575" s="182"/>
      <c r="FD575" s="182"/>
      <c r="FE575" s="182"/>
      <c r="FF575" s="182"/>
      <c r="FG575" s="182"/>
      <c r="FH575" s="182"/>
      <c r="FI575" s="182"/>
      <c r="FJ575" s="182"/>
      <c r="FK575" s="182"/>
      <c r="FL575" s="182"/>
      <c r="FM575" s="182"/>
      <c r="FN575" s="182"/>
      <c r="FO575" s="182"/>
      <c r="FP575" s="182"/>
      <c r="FQ575" s="182"/>
      <c r="FR575" s="182"/>
      <c r="FS575" s="182"/>
      <c r="FT575" s="182"/>
      <c r="FU575" s="182"/>
      <c r="FV575" s="182"/>
      <c r="FW575" s="182"/>
      <c r="FX575" s="182"/>
      <c r="FY575" s="182"/>
      <c r="FZ575" s="182"/>
      <c r="GA575" s="182"/>
      <c r="GB575" s="182"/>
      <c r="GC575" s="182"/>
      <c r="GD575" s="182"/>
      <c r="GE575" s="182"/>
      <c r="GF575" s="182"/>
      <c r="GG575" s="182"/>
      <c r="GH575" s="182"/>
      <c r="GI575" s="182"/>
    </row>
    <row r="576" spans="1:191" x14ac:dyDescent="0.2">
      <c r="A576" s="210" t="s">
        <v>38243</v>
      </c>
      <c r="B576" s="210" t="s">
        <v>13349</v>
      </c>
      <c r="C576" s="224" t="s">
        <v>13120</v>
      </c>
      <c r="D576" s="211" t="s">
        <v>16</v>
      </c>
      <c r="E576" s="211">
        <v>4</v>
      </c>
      <c r="F576" s="211"/>
      <c r="G576" s="211"/>
      <c r="H576" s="231">
        <v>5</v>
      </c>
      <c r="I576" s="213">
        <f t="shared" si="35"/>
        <v>1.6666666666666666E-2</v>
      </c>
      <c r="J576" s="272">
        <v>274.55</v>
      </c>
      <c r="K576" s="113"/>
      <c r="L576" s="213"/>
      <c r="M576" s="112">
        <f t="shared" si="36"/>
        <v>18.3</v>
      </c>
      <c r="N576" s="112">
        <f t="shared" si="37"/>
        <v>549</v>
      </c>
      <c r="O576" s="114"/>
      <c r="P576" s="113"/>
      <c r="Q576" s="183"/>
      <c r="R576" s="203"/>
    </row>
    <row r="577" spans="1:191" x14ac:dyDescent="0.2">
      <c r="A577" s="210" t="s">
        <v>38244</v>
      </c>
      <c r="B577" s="210" t="s">
        <v>13350</v>
      </c>
      <c r="C577" s="224" t="s">
        <v>13121</v>
      </c>
      <c r="D577" s="211" t="s">
        <v>16</v>
      </c>
      <c r="E577" s="211">
        <v>1</v>
      </c>
      <c r="F577" s="211"/>
      <c r="G577" s="211"/>
      <c r="H577" s="231">
        <v>5</v>
      </c>
      <c r="I577" s="213">
        <f t="shared" si="35"/>
        <v>1.6666666666666666E-2</v>
      </c>
      <c r="J577" s="272">
        <v>33.69</v>
      </c>
      <c r="K577" s="113"/>
      <c r="L577" s="213"/>
      <c r="M577" s="112">
        <f t="shared" si="36"/>
        <v>0.56000000000000005</v>
      </c>
      <c r="N577" s="112">
        <f t="shared" si="37"/>
        <v>16.8</v>
      </c>
      <c r="O577" s="114"/>
      <c r="P577" s="113"/>
      <c r="Q577" s="183"/>
      <c r="R577" s="203"/>
    </row>
    <row r="578" spans="1:191" x14ac:dyDescent="0.2">
      <c r="A578" s="210" t="s">
        <v>38245</v>
      </c>
      <c r="B578" s="210" t="s">
        <v>13351</v>
      </c>
      <c r="C578" s="224" t="s">
        <v>13122</v>
      </c>
      <c r="D578" s="211" t="s">
        <v>16</v>
      </c>
      <c r="E578" s="211">
        <v>1</v>
      </c>
      <c r="F578" s="211"/>
      <c r="G578" s="211"/>
      <c r="H578" s="231">
        <v>5</v>
      </c>
      <c r="I578" s="213">
        <f t="shared" si="35"/>
        <v>1.6666666666666666E-2</v>
      </c>
      <c r="J578" s="272">
        <v>30.12</v>
      </c>
      <c r="K578" s="113"/>
      <c r="L578" s="213"/>
      <c r="M578" s="112">
        <f t="shared" si="36"/>
        <v>0.5</v>
      </c>
      <c r="N578" s="112">
        <f t="shared" si="37"/>
        <v>15</v>
      </c>
      <c r="O578" s="114"/>
      <c r="P578" s="113"/>
      <c r="Q578" s="183"/>
      <c r="R578" s="203"/>
    </row>
    <row r="579" spans="1:191" x14ac:dyDescent="0.2">
      <c r="A579" s="210" t="s">
        <v>38246</v>
      </c>
      <c r="B579" s="210" t="s">
        <v>13352</v>
      </c>
      <c r="C579" s="224" t="s">
        <v>13123</v>
      </c>
      <c r="D579" s="211" t="s">
        <v>16</v>
      </c>
      <c r="E579" s="211">
        <v>1</v>
      </c>
      <c r="F579" s="211"/>
      <c r="G579" s="211"/>
      <c r="H579" s="231">
        <v>5</v>
      </c>
      <c r="I579" s="213">
        <f t="shared" si="35"/>
        <v>1.6666666666666666E-2</v>
      </c>
      <c r="J579" s="272">
        <v>65.73</v>
      </c>
      <c r="K579" s="113"/>
      <c r="L579" s="213"/>
      <c r="M579" s="112">
        <f t="shared" si="36"/>
        <v>1.1000000000000001</v>
      </c>
      <c r="N579" s="112">
        <f t="shared" si="37"/>
        <v>33</v>
      </c>
      <c r="O579" s="114"/>
      <c r="P579" s="113"/>
      <c r="Q579" s="183"/>
      <c r="R579" s="203"/>
    </row>
    <row r="580" spans="1:191" s="183" customFormat="1" x14ac:dyDescent="0.2">
      <c r="A580" s="210" t="s">
        <v>38247</v>
      </c>
      <c r="B580" s="210" t="s">
        <v>13353</v>
      </c>
      <c r="C580" s="224" t="s">
        <v>19657</v>
      </c>
      <c r="D580" s="211" t="s">
        <v>16</v>
      </c>
      <c r="E580" s="211">
        <v>3</v>
      </c>
      <c r="F580" s="211"/>
      <c r="G580" s="211"/>
      <c r="H580" s="231">
        <v>5</v>
      </c>
      <c r="I580" s="213">
        <f t="shared" si="35"/>
        <v>1.6666666666666666E-2</v>
      </c>
      <c r="J580" s="272">
        <v>39.369999999999997</v>
      </c>
      <c r="K580" s="113"/>
      <c r="L580" s="213"/>
      <c r="M580" s="112">
        <f t="shared" si="36"/>
        <v>1.97</v>
      </c>
      <c r="N580" s="112">
        <f t="shared" si="37"/>
        <v>59.1</v>
      </c>
      <c r="O580" s="114"/>
      <c r="P580" s="113"/>
      <c r="R580" s="203"/>
      <c r="S580" s="182"/>
      <c r="T580" s="182"/>
      <c r="U580" s="182"/>
      <c r="V580" s="182"/>
      <c r="W580" s="182"/>
      <c r="X580" s="182"/>
      <c r="Y580" s="182"/>
      <c r="Z580" s="182"/>
      <c r="AA580" s="182"/>
      <c r="AB580" s="182"/>
      <c r="AC580" s="182"/>
      <c r="AD580" s="182"/>
      <c r="AE580" s="182"/>
      <c r="AF580" s="182"/>
      <c r="AG580" s="182"/>
      <c r="AH580" s="182"/>
      <c r="AI580" s="182"/>
      <c r="AJ580" s="182"/>
      <c r="AK580" s="182"/>
      <c r="AL580" s="182"/>
      <c r="AM580" s="182"/>
      <c r="AN580" s="182"/>
      <c r="AO580" s="182"/>
      <c r="AP580" s="182"/>
      <c r="AQ580" s="182"/>
      <c r="AR580" s="182"/>
      <c r="AS580" s="182"/>
      <c r="AT580" s="182"/>
      <c r="AU580" s="182"/>
      <c r="AV580" s="182"/>
      <c r="AW580" s="182"/>
      <c r="AX580" s="182"/>
      <c r="AY580" s="182"/>
      <c r="AZ580" s="182"/>
      <c r="BA580" s="182"/>
      <c r="BB580" s="182"/>
      <c r="BC580" s="182"/>
      <c r="BD580" s="182"/>
      <c r="BE580" s="182"/>
      <c r="BF580" s="182"/>
      <c r="BG580" s="182"/>
      <c r="BH580" s="182"/>
      <c r="BI580" s="182"/>
      <c r="BJ580" s="182"/>
      <c r="BK580" s="182"/>
      <c r="BL580" s="182"/>
      <c r="BM580" s="182"/>
      <c r="BN580" s="182"/>
      <c r="BO580" s="182"/>
      <c r="BP580" s="182"/>
      <c r="BQ580" s="182"/>
      <c r="BR580" s="182"/>
      <c r="BS580" s="182"/>
      <c r="BT580" s="182"/>
      <c r="BU580" s="182"/>
      <c r="BV580" s="182"/>
      <c r="BW580" s="182"/>
      <c r="BX580" s="182"/>
      <c r="BY580" s="182"/>
      <c r="BZ580" s="182"/>
      <c r="CA580" s="182"/>
      <c r="CB580" s="182"/>
      <c r="CC580" s="182"/>
      <c r="CD580" s="182"/>
      <c r="CE580" s="182"/>
      <c r="CF580" s="182"/>
      <c r="CG580" s="182"/>
      <c r="CH580" s="182"/>
      <c r="CI580" s="182"/>
      <c r="CJ580" s="182"/>
      <c r="CK580" s="182"/>
      <c r="CL580" s="182"/>
      <c r="CM580" s="182"/>
      <c r="CN580" s="182"/>
      <c r="CO580" s="182"/>
      <c r="CP580" s="182"/>
      <c r="CQ580" s="182"/>
      <c r="CR580" s="182"/>
      <c r="CS580" s="182"/>
      <c r="CT580" s="182"/>
      <c r="CU580" s="182"/>
      <c r="CV580" s="182"/>
      <c r="CW580" s="182"/>
      <c r="CX580" s="182"/>
      <c r="CY580" s="182"/>
      <c r="CZ580" s="182"/>
      <c r="DA580" s="182"/>
      <c r="DB580" s="182"/>
      <c r="DC580" s="182"/>
      <c r="DD580" s="182"/>
      <c r="DE580" s="182"/>
      <c r="DF580" s="182"/>
      <c r="DG580" s="182"/>
      <c r="DH580" s="182"/>
      <c r="DI580" s="182"/>
      <c r="DJ580" s="182"/>
      <c r="DK580" s="182"/>
      <c r="DL580" s="182"/>
      <c r="DM580" s="182"/>
      <c r="DN580" s="182"/>
      <c r="DO580" s="182"/>
      <c r="DP580" s="182"/>
      <c r="DQ580" s="182"/>
      <c r="DR580" s="182"/>
      <c r="DS580" s="182"/>
      <c r="DT580" s="182"/>
      <c r="DU580" s="182"/>
      <c r="DV580" s="182"/>
      <c r="DW580" s="182"/>
      <c r="DX580" s="182"/>
      <c r="DY580" s="182"/>
      <c r="DZ580" s="182"/>
      <c r="EA580" s="182"/>
      <c r="EB580" s="182"/>
      <c r="EC580" s="182"/>
      <c r="ED580" s="182"/>
      <c r="EE580" s="182"/>
      <c r="EF580" s="182"/>
      <c r="EG580" s="182"/>
      <c r="EH580" s="182"/>
      <c r="EI580" s="182"/>
      <c r="EJ580" s="182"/>
      <c r="EK580" s="182"/>
      <c r="EL580" s="182"/>
      <c r="EM580" s="182"/>
      <c r="EN580" s="182"/>
      <c r="EO580" s="182"/>
      <c r="EP580" s="182"/>
      <c r="EQ580" s="182"/>
      <c r="ER580" s="182"/>
      <c r="ES580" s="182"/>
      <c r="ET580" s="182"/>
      <c r="EU580" s="182"/>
      <c r="EV580" s="182"/>
      <c r="EW580" s="182"/>
      <c r="EX580" s="182"/>
      <c r="EY580" s="182"/>
      <c r="EZ580" s="182"/>
      <c r="FA580" s="182"/>
      <c r="FB580" s="182"/>
      <c r="FC580" s="182"/>
      <c r="FD580" s="182"/>
      <c r="FE580" s="182"/>
      <c r="FF580" s="182"/>
      <c r="FG580" s="182"/>
      <c r="FH580" s="182"/>
      <c r="FI580" s="182"/>
      <c r="FJ580" s="182"/>
      <c r="FK580" s="182"/>
      <c r="FL580" s="182"/>
      <c r="FM580" s="182"/>
      <c r="FN580" s="182"/>
      <c r="FO580" s="182"/>
      <c r="FP580" s="182"/>
      <c r="FQ580" s="182"/>
      <c r="FR580" s="182"/>
      <c r="FS580" s="182"/>
      <c r="FT580" s="182"/>
      <c r="FU580" s="182"/>
      <c r="FV580" s="182"/>
      <c r="FW580" s="182"/>
      <c r="FX580" s="182"/>
      <c r="FY580" s="182"/>
      <c r="FZ580" s="182"/>
      <c r="GA580" s="182"/>
      <c r="GB580" s="182"/>
      <c r="GC580" s="182"/>
      <c r="GD580" s="182"/>
      <c r="GE580" s="182"/>
      <c r="GF580" s="182"/>
      <c r="GG580" s="182"/>
      <c r="GH580" s="182"/>
      <c r="GI580" s="182"/>
    </row>
    <row r="581" spans="1:191" s="183" customFormat="1" x14ac:dyDescent="0.2">
      <c r="A581" s="210" t="s">
        <v>38248</v>
      </c>
      <c r="B581" s="210" t="s">
        <v>13354</v>
      </c>
      <c r="C581" s="224" t="s">
        <v>13124</v>
      </c>
      <c r="D581" s="211" t="s">
        <v>16</v>
      </c>
      <c r="E581" s="211">
        <v>1</v>
      </c>
      <c r="F581" s="211"/>
      <c r="G581" s="211"/>
      <c r="H581" s="231">
        <v>10</v>
      </c>
      <c r="I581" s="213">
        <f t="shared" si="35"/>
        <v>8.3333333333333332E-3</v>
      </c>
      <c r="J581" s="272">
        <v>459.4</v>
      </c>
      <c r="K581" s="113"/>
      <c r="L581" s="213"/>
      <c r="M581" s="112">
        <f t="shared" si="36"/>
        <v>3.83</v>
      </c>
      <c r="N581" s="112">
        <f t="shared" si="37"/>
        <v>114.9</v>
      </c>
      <c r="O581" s="114"/>
      <c r="P581" s="113"/>
      <c r="R581" s="203"/>
      <c r="S581" s="182"/>
      <c r="T581" s="182"/>
      <c r="U581" s="182"/>
      <c r="V581" s="182"/>
      <c r="W581" s="182"/>
      <c r="X581" s="182"/>
      <c r="Y581" s="182"/>
      <c r="Z581" s="182"/>
      <c r="AA581" s="182"/>
      <c r="AB581" s="182"/>
      <c r="AC581" s="182"/>
      <c r="AD581" s="182"/>
      <c r="AE581" s="182"/>
      <c r="AF581" s="182"/>
      <c r="AG581" s="182"/>
      <c r="AH581" s="182"/>
      <c r="AI581" s="182"/>
      <c r="AJ581" s="182"/>
      <c r="AK581" s="182"/>
      <c r="AL581" s="182"/>
      <c r="AM581" s="182"/>
      <c r="AN581" s="182"/>
      <c r="AO581" s="182"/>
      <c r="AP581" s="182"/>
      <c r="AQ581" s="182"/>
      <c r="AR581" s="182"/>
      <c r="AS581" s="182"/>
      <c r="AT581" s="182"/>
      <c r="AU581" s="182"/>
      <c r="AV581" s="182"/>
      <c r="AW581" s="182"/>
      <c r="AX581" s="182"/>
      <c r="AY581" s="182"/>
      <c r="AZ581" s="182"/>
      <c r="BA581" s="182"/>
      <c r="BB581" s="182"/>
      <c r="BC581" s="182"/>
      <c r="BD581" s="182"/>
      <c r="BE581" s="182"/>
      <c r="BF581" s="182"/>
      <c r="BG581" s="182"/>
      <c r="BH581" s="182"/>
      <c r="BI581" s="182"/>
      <c r="BJ581" s="182"/>
      <c r="BK581" s="182"/>
      <c r="BL581" s="182"/>
      <c r="BM581" s="182"/>
      <c r="BN581" s="182"/>
      <c r="BO581" s="182"/>
      <c r="BP581" s="182"/>
      <c r="BQ581" s="182"/>
      <c r="BR581" s="182"/>
      <c r="BS581" s="182"/>
      <c r="BT581" s="182"/>
      <c r="BU581" s="182"/>
      <c r="BV581" s="182"/>
      <c r="BW581" s="182"/>
      <c r="BX581" s="182"/>
      <c r="BY581" s="182"/>
      <c r="BZ581" s="182"/>
      <c r="CA581" s="182"/>
      <c r="CB581" s="182"/>
      <c r="CC581" s="182"/>
      <c r="CD581" s="182"/>
      <c r="CE581" s="182"/>
      <c r="CF581" s="182"/>
      <c r="CG581" s="182"/>
      <c r="CH581" s="182"/>
      <c r="CI581" s="182"/>
      <c r="CJ581" s="182"/>
      <c r="CK581" s="182"/>
      <c r="CL581" s="182"/>
      <c r="CM581" s="182"/>
      <c r="CN581" s="182"/>
      <c r="CO581" s="182"/>
      <c r="CP581" s="182"/>
      <c r="CQ581" s="182"/>
      <c r="CR581" s="182"/>
      <c r="CS581" s="182"/>
      <c r="CT581" s="182"/>
      <c r="CU581" s="182"/>
      <c r="CV581" s="182"/>
      <c r="CW581" s="182"/>
      <c r="CX581" s="182"/>
      <c r="CY581" s="182"/>
      <c r="CZ581" s="182"/>
      <c r="DA581" s="182"/>
      <c r="DB581" s="182"/>
      <c r="DC581" s="182"/>
      <c r="DD581" s="182"/>
      <c r="DE581" s="182"/>
      <c r="DF581" s="182"/>
      <c r="DG581" s="182"/>
      <c r="DH581" s="182"/>
      <c r="DI581" s="182"/>
      <c r="DJ581" s="182"/>
      <c r="DK581" s="182"/>
      <c r="DL581" s="182"/>
      <c r="DM581" s="182"/>
      <c r="DN581" s="182"/>
      <c r="DO581" s="182"/>
      <c r="DP581" s="182"/>
      <c r="DQ581" s="182"/>
      <c r="DR581" s="182"/>
      <c r="DS581" s="182"/>
      <c r="DT581" s="182"/>
      <c r="DU581" s="182"/>
      <c r="DV581" s="182"/>
      <c r="DW581" s="182"/>
      <c r="DX581" s="182"/>
      <c r="DY581" s="182"/>
      <c r="DZ581" s="182"/>
      <c r="EA581" s="182"/>
      <c r="EB581" s="182"/>
      <c r="EC581" s="182"/>
      <c r="ED581" s="182"/>
      <c r="EE581" s="182"/>
      <c r="EF581" s="182"/>
      <c r="EG581" s="182"/>
      <c r="EH581" s="182"/>
      <c r="EI581" s="182"/>
      <c r="EJ581" s="182"/>
      <c r="EK581" s="182"/>
      <c r="EL581" s="182"/>
      <c r="EM581" s="182"/>
      <c r="EN581" s="182"/>
      <c r="EO581" s="182"/>
      <c r="EP581" s="182"/>
      <c r="EQ581" s="182"/>
      <c r="ER581" s="182"/>
      <c r="ES581" s="182"/>
      <c r="ET581" s="182"/>
      <c r="EU581" s="182"/>
      <c r="EV581" s="182"/>
      <c r="EW581" s="182"/>
      <c r="EX581" s="182"/>
      <c r="EY581" s="182"/>
      <c r="EZ581" s="182"/>
      <c r="FA581" s="182"/>
      <c r="FB581" s="182"/>
      <c r="FC581" s="182"/>
      <c r="FD581" s="182"/>
      <c r="FE581" s="182"/>
      <c r="FF581" s="182"/>
      <c r="FG581" s="182"/>
      <c r="FH581" s="182"/>
      <c r="FI581" s="182"/>
      <c r="FJ581" s="182"/>
      <c r="FK581" s="182"/>
      <c r="FL581" s="182"/>
      <c r="FM581" s="182"/>
      <c r="FN581" s="182"/>
      <c r="FO581" s="182"/>
      <c r="FP581" s="182"/>
      <c r="FQ581" s="182"/>
      <c r="FR581" s="182"/>
      <c r="FS581" s="182"/>
      <c r="FT581" s="182"/>
      <c r="FU581" s="182"/>
      <c r="FV581" s="182"/>
      <c r="FW581" s="182"/>
      <c r="FX581" s="182"/>
      <c r="FY581" s="182"/>
      <c r="FZ581" s="182"/>
      <c r="GA581" s="182"/>
      <c r="GB581" s="182"/>
      <c r="GC581" s="182"/>
      <c r="GD581" s="182"/>
      <c r="GE581" s="182"/>
      <c r="GF581" s="182"/>
      <c r="GG581" s="182"/>
      <c r="GH581" s="182"/>
      <c r="GI581" s="182"/>
    </row>
    <row r="582" spans="1:191" s="183" customFormat="1" x14ac:dyDescent="0.2">
      <c r="A582" s="210" t="s">
        <v>38249</v>
      </c>
      <c r="B582" s="210" t="s">
        <v>13355</v>
      </c>
      <c r="C582" s="224" t="s">
        <v>13125</v>
      </c>
      <c r="D582" s="211" t="s">
        <v>16</v>
      </c>
      <c r="E582" s="211">
        <v>42</v>
      </c>
      <c r="F582" s="211"/>
      <c r="G582" s="211"/>
      <c r="H582" s="231">
        <v>10</v>
      </c>
      <c r="I582" s="213">
        <f t="shared" ref="I582:I627" si="38">1/(12*H582)</f>
        <v>8.3333333333333332E-3</v>
      </c>
      <c r="J582" s="272">
        <v>663.1</v>
      </c>
      <c r="K582" s="113"/>
      <c r="L582" s="213"/>
      <c r="M582" s="112">
        <f t="shared" ref="M582:M627" si="39">IF(ISNUMBER(J582),ROUND(I582*E582*J582,2),"")</f>
        <v>232.09</v>
      </c>
      <c r="N582" s="112">
        <f t="shared" ref="N582:N644" si="40">IF(ISNUMBER(J582),ROUND(M582*30,2),"")</f>
        <v>6962.7</v>
      </c>
      <c r="O582" s="114"/>
      <c r="P582" s="113"/>
      <c r="R582" s="203"/>
      <c r="S582" s="182"/>
      <c r="T582" s="182"/>
      <c r="U582" s="182"/>
      <c r="V582" s="182"/>
      <c r="W582" s="182"/>
      <c r="X582" s="182"/>
      <c r="Y582" s="182"/>
      <c r="Z582" s="182"/>
      <c r="AA582" s="182"/>
      <c r="AB582" s="182"/>
      <c r="AC582" s="182"/>
      <c r="AD582" s="182"/>
      <c r="AE582" s="182"/>
      <c r="AF582" s="182"/>
      <c r="AG582" s="182"/>
      <c r="AH582" s="182"/>
      <c r="AI582" s="182"/>
      <c r="AJ582" s="182"/>
      <c r="AK582" s="182"/>
      <c r="AL582" s="182"/>
      <c r="AM582" s="182"/>
      <c r="AN582" s="182"/>
      <c r="AO582" s="182"/>
      <c r="AP582" s="182"/>
      <c r="AQ582" s="182"/>
      <c r="AR582" s="182"/>
      <c r="AS582" s="182"/>
      <c r="AT582" s="182"/>
      <c r="AU582" s="182"/>
      <c r="AV582" s="182"/>
      <c r="AW582" s="182"/>
      <c r="AX582" s="182"/>
      <c r="AY582" s="182"/>
      <c r="AZ582" s="182"/>
      <c r="BA582" s="182"/>
      <c r="BB582" s="182"/>
      <c r="BC582" s="182"/>
      <c r="BD582" s="182"/>
      <c r="BE582" s="182"/>
      <c r="BF582" s="182"/>
      <c r="BG582" s="182"/>
      <c r="BH582" s="182"/>
      <c r="BI582" s="182"/>
      <c r="BJ582" s="182"/>
      <c r="BK582" s="182"/>
      <c r="BL582" s="182"/>
      <c r="BM582" s="182"/>
      <c r="BN582" s="182"/>
      <c r="BO582" s="182"/>
      <c r="BP582" s="182"/>
      <c r="BQ582" s="182"/>
      <c r="BR582" s="182"/>
      <c r="BS582" s="182"/>
      <c r="BT582" s="182"/>
      <c r="BU582" s="182"/>
      <c r="BV582" s="182"/>
      <c r="BW582" s="182"/>
      <c r="BX582" s="182"/>
      <c r="BY582" s="182"/>
      <c r="BZ582" s="182"/>
      <c r="CA582" s="182"/>
      <c r="CB582" s="182"/>
      <c r="CC582" s="182"/>
      <c r="CD582" s="182"/>
      <c r="CE582" s="182"/>
      <c r="CF582" s="182"/>
      <c r="CG582" s="182"/>
      <c r="CH582" s="182"/>
      <c r="CI582" s="182"/>
      <c r="CJ582" s="182"/>
      <c r="CK582" s="182"/>
      <c r="CL582" s="182"/>
      <c r="CM582" s="182"/>
      <c r="CN582" s="182"/>
      <c r="CO582" s="182"/>
      <c r="CP582" s="182"/>
      <c r="CQ582" s="182"/>
      <c r="CR582" s="182"/>
      <c r="CS582" s="182"/>
      <c r="CT582" s="182"/>
      <c r="CU582" s="182"/>
      <c r="CV582" s="182"/>
      <c r="CW582" s="182"/>
      <c r="CX582" s="182"/>
      <c r="CY582" s="182"/>
      <c r="CZ582" s="182"/>
      <c r="DA582" s="182"/>
      <c r="DB582" s="182"/>
      <c r="DC582" s="182"/>
      <c r="DD582" s="182"/>
      <c r="DE582" s="182"/>
      <c r="DF582" s="182"/>
      <c r="DG582" s="182"/>
      <c r="DH582" s="182"/>
      <c r="DI582" s="182"/>
      <c r="DJ582" s="182"/>
      <c r="DK582" s="182"/>
      <c r="DL582" s="182"/>
      <c r="DM582" s="182"/>
      <c r="DN582" s="182"/>
      <c r="DO582" s="182"/>
      <c r="DP582" s="182"/>
      <c r="DQ582" s="182"/>
      <c r="DR582" s="182"/>
      <c r="DS582" s="182"/>
      <c r="DT582" s="182"/>
      <c r="DU582" s="182"/>
      <c r="DV582" s="182"/>
      <c r="DW582" s="182"/>
      <c r="DX582" s="182"/>
      <c r="DY582" s="182"/>
      <c r="DZ582" s="182"/>
      <c r="EA582" s="182"/>
      <c r="EB582" s="182"/>
      <c r="EC582" s="182"/>
      <c r="ED582" s="182"/>
      <c r="EE582" s="182"/>
      <c r="EF582" s="182"/>
      <c r="EG582" s="182"/>
      <c r="EH582" s="182"/>
      <c r="EI582" s="182"/>
      <c r="EJ582" s="182"/>
      <c r="EK582" s="182"/>
      <c r="EL582" s="182"/>
      <c r="EM582" s="182"/>
      <c r="EN582" s="182"/>
      <c r="EO582" s="182"/>
      <c r="EP582" s="182"/>
      <c r="EQ582" s="182"/>
      <c r="ER582" s="182"/>
      <c r="ES582" s="182"/>
      <c r="ET582" s="182"/>
      <c r="EU582" s="182"/>
      <c r="EV582" s="182"/>
      <c r="EW582" s="182"/>
      <c r="EX582" s="182"/>
      <c r="EY582" s="182"/>
      <c r="EZ582" s="182"/>
      <c r="FA582" s="182"/>
      <c r="FB582" s="182"/>
      <c r="FC582" s="182"/>
      <c r="FD582" s="182"/>
      <c r="FE582" s="182"/>
      <c r="FF582" s="182"/>
      <c r="FG582" s="182"/>
      <c r="FH582" s="182"/>
      <c r="FI582" s="182"/>
      <c r="FJ582" s="182"/>
      <c r="FK582" s="182"/>
      <c r="FL582" s="182"/>
      <c r="FM582" s="182"/>
      <c r="FN582" s="182"/>
      <c r="FO582" s="182"/>
      <c r="FP582" s="182"/>
      <c r="FQ582" s="182"/>
      <c r="FR582" s="182"/>
      <c r="FS582" s="182"/>
      <c r="FT582" s="182"/>
      <c r="FU582" s="182"/>
      <c r="FV582" s="182"/>
      <c r="FW582" s="182"/>
      <c r="FX582" s="182"/>
      <c r="FY582" s="182"/>
      <c r="FZ582" s="182"/>
      <c r="GA582" s="182"/>
      <c r="GB582" s="182"/>
      <c r="GC582" s="182"/>
      <c r="GD582" s="182"/>
      <c r="GE582" s="182"/>
      <c r="GF582" s="182"/>
      <c r="GG582" s="182"/>
      <c r="GH582" s="182"/>
      <c r="GI582" s="182"/>
    </row>
    <row r="583" spans="1:191" s="183" customFormat="1" x14ac:dyDescent="0.2">
      <c r="A583" s="210" t="s">
        <v>38250</v>
      </c>
      <c r="B583" s="210" t="s">
        <v>13356</v>
      </c>
      <c r="C583" s="224" t="s">
        <v>13126</v>
      </c>
      <c r="D583" s="211" t="s">
        <v>16</v>
      </c>
      <c r="E583" s="211">
        <v>3</v>
      </c>
      <c r="F583" s="211"/>
      <c r="G583" s="211"/>
      <c r="H583" s="231">
        <v>10</v>
      </c>
      <c r="I583" s="213">
        <f t="shared" si="38"/>
        <v>8.3333333333333332E-3</v>
      </c>
      <c r="J583" s="272">
        <v>352.08</v>
      </c>
      <c r="K583" s="113"/>
      <c r="L583" s="213"/>
      <c r="M583" s="112">
        <f t="shared" si="39"/>
        <v>8.8000000000000007</v>
      </c>
      <c r="N583" s="112">
        <f t="shared" si="40"/>
        <v>264</v>
      </c>
      <c r="O583" s="114"/>
      <c r="P583" s="113"/>
      <c r="R583" s="203"/>
      <c r="S583" s="182"/>
      <c r="T583" s="182"/>
      <c r="U583" s="182"/>
      <c r="V583" s="182"/>
      <c r="W583" s="182"/>
      <c r="X583" s="182"/>
      <c r="Y583" s="182"/>
      <c r="Z583" s="182"/>
      <c r="AA583" s="182"/>
      <c r="AB583" s="182"/>
      <c r="AC583" s="182"/>
      <c r="AD583" s="182"/>
      <c r="AE583" s="182"/>
      <c r="AF583" s="182"/>
      <c r="AG583" s="182"/>
      <c r="AH583" s="182"/>
      <c r="AI583" s="182"/>
      <c r="AJ583" s="182"/>
      <c r="AK583" s="182"/>
      <c r="AL583" s="182"/>
      <c r="AM583" s="182"/>
      <c r="AN583" s="182"/>
      <c r="AO583" s="182"/>
      <c r="AP583" s="182"/>
      <c r="AQ583" s="182"/>
      <c r="AR583" s="182"/>
      <c r="AS583" s="182"/>
      <c r="AT583" s="182"/>
      <c r="AU583" s="182"/>
      <c r="AV583" s="182"/>
      <c r="AW583" s="182"/>
      <c r="AX583" s="182"/>
      <c r="AY583" s="182"/>
      <c r="AZ583" s="182"/>
      <c r="BA583" s="182"/>
      <c r="BB583" s="182"/>
      <c r="BC583" s="182"/>
      <c r="BD583" s="182"/>
      <c r="BE583" s="182"/>
      <c r="BF583" s="182"/>
      <c r="BG583" s="182"/>
      <c r="BH583" s="182"/>
      <c r="BI583" s="182"/>
      <c r="BJ583" s="182"/>
      <c r="BK583" s="182"/>
      <c r="BL583" s="182"/>
      <c r="BM583" s="182"/>
      <c r="BN583" s="182"/>
      <c r="BO583" s="182"/>
      <c r="BP583" s="182"/>
      <c r="BQ583" s="182"/>
      <c r="BR583" s="182"/>
      <c r="BS583" s="182"/>
      <c r="BT583" s="182"/>
      <c r="BU583" s="182"/>
      <c r="BV583" s="182"/>
      <c r="BW583" s="182"/>
      <c r="BX583" s="182"/>
      <c r="BY583" s="182"/>
      <c r="BZ583" s="182"/>
      <c r="CA583" s="182"/>
      <c r="CB583" s="182"/>
      <c r="CC583" s="182"/>
      <c r="CD583" s="182"/>
      <c r="CE583" s="182"/>
      <c r="CF583" s="182"/>
      <c r="CG583" s="182"/>
      <c r="CH583" s="182"/>
      <c r="CI583" s="182"/>
      <c r="CJ583" s="182"/>
      <c r="CK583" s="182"/>
      <c r="CL583" s="182"/>
      <c r="CM583" s="182"/>
      <c r="CN583" s="182"/>
      <c r="CO583" s="182"/>
      <c r="CP583" s="182"/>
      <c r="CQ583" s="182"/>
      <c r="CR583" s="182"/>
      <c r="CS583" s="182"/>
      <c r="CT583" s="182"/>
      <c r="CU583" s="182"/>
      <c r="CV583" s="182"/>
      <c r="CW583" s="182"/>
      <c r="CX583" s="182"/>
      <c r="CY583" s="182"/>
      <c r="CZ583" s="182"/>
      <c r="DA583" s="182"/>
      <c r="DB583" s="182"/>
      <c r="DC583" s="182"/>
      <c r="DD583" s="182"/>
      <c r="DE583" s="182"/>
      <c r="DF583" s="182"/>
      <c r="DG583" s="182"/>
      <c r="DH583" s="182"/>
      <c r="DI583" s="182"/>
      <c r="DJ583" s="182"/>
      <c r="DK583" s="182"/>
      <c r="DL583" s="182"/>
      <c r="DM583" s="182"/>
      <c r="DN583" s="182"/>
      <c r="DO583" s="182"/>
      <c r="DP583" s="182"/>
      <c r="DQ583" s="182"/>
      <c r="DR583" s="182"/>
      <c r="DS583" s="182"/>
      <c r="DT583" s="182"/>
      <c r="DU583" s="182"/>
      <c r="DV583" s="182"/>
      <c r="DW583" s="182"/>
      <c r="DX583" s="182"/>
      <c r="DY583" s="182"/>
      <c r="DZ583" s="182"/>
      <c r="EA583" s="182"/>
      <c r="EB583" s="182"/>
      <c r="EC583" s="182"/>
      <c r="ED583" s="182"/>
      <c r="EE583" s="182"/>
      <c r="EF583" s="182"/>
      <c r="EG583" s="182"/>
      <c r="EH583" s="182"/>
      <c r="EI583" s="182"/>
      <c r="EJ583" s="182"/>
      <c r="EK583" s="182"/>
      <c r="EL583" s="182"/>
      <c r="EM583" s="182"/>
      <c r="EN583" s="182"/>
      <c r="EO583" s="182"/>
      <c r="EP583" s="182"/>
      <c r="EQ583" s="182"/>
      <c r="ER583" s="182"/>
      <c r="ES583" s="182"/>
      <c r="ET583" s="182"/>
      <c r="EU583" s="182"/>
      <c r="EV583" s="182"/>
      <c r="EW583" s="182"/>
      <c r="EX583" s="182"/>
      <c r="EY583" s="182"/>
      <c r="EZ583" s="182"/>
      <c r="FA583" s="182"/>
      <c r="FB583" s="182"/>
      <c r="FC583" s="182"/>
      <c r="FD583" s="182"/>
      <c r="FE583" s="182"/>
      <c r="FF583" s="182"/>
      <c r="FG583" s="182"/>
      <c r="FH583" s="182"/>
      <c r="FI583" s="182"/>
      <c r="FJ583" s="182"/>
      <c r="FK583" s="182"/>
      <c r="FL583" s="182"/>
      <c r="FM583" s="182"/>
      <c r="FN583" s="182"/>
      <c r="FO583" s="182"/>
      <c r="FP583" s="182"/>
      <c r="FQ583" s="182"/>
      <c r="FR583" s="182"/>
      <c r="FS583" s="182"/>
      <c r="FT583" s="182"/>
      <c r="FU583" s="182"/>
      <c r="FV583" s="182"/>
      <c r="FW583" s="182"/>
      <c r="FX583" s="182"/>
      <c r="FY583" s="182"/>
      <c r="FZ583" s="182"/>
      <c r="GA583" s="182"/>
      <c r="GB583" s="182"/>
      <c r="GC583" s="182"/>
      <c r="GD583" s="182"/>
      <c r="GE583" s="182"/>
      <c r="GF583" s="182"/>
      <c r="GG583" s="182"/>
      <c r="GH583" s="182"/>
      <c r="GI583" s="182"/>
    </row>
    <row r="584" spans="1:191" s="183" customFormat="1" x14ac:dyDescent="0.2">
      <c r="A584" s="210" t="s">
        <v>38251</v>
      </c>
      <c r="B584" s="210" t="s">
        <v>13357</v>
      </c>
      <c r="C584" s="224" t="s">
        <v>13127</v>
      </c>
      <c r="D584" s="211" t="s">
        <v>16</v>
      </c>
      <c r="E584" s="211">
        <v>43</v>
      </c>
      <c r="F584" s="211"/>
      <c r="G584" s="211"/>
      <c r="H584" s="231">
        <v>10</v>
      </c>
      <c r="I584" s="213">
        <f t="shared" si="38"/>
        <v>8.3333333333333332E-3</v>
      </c>
      <c r="J584" s="272">
        <v>68.22</v>
      </c>
      <c r="K584" s="113"/>
      <c r="L584" s="213"/>
      <c r="M584" s="112">
        <f t="shared" si="39"/>
        <v>24.45</v>
      </c>
      <c r="N584" s="112">
        <f t="shared" si="40"/>
        <v>733.5</v>
      </c>
      <c r="O584" s="114"/>
      <c r="P584" s="113"/>
      <c r="R584" s="203"/>
      <c r="S584" s="182"/>
      <c r="T584" s="182"/>
      <c r="U584" s="182"/>
      <c r="V584" s="182"/>
      <c r="W584" s="182"/>
      <c r="X584" s="182"/>
      <c r="Y584" s="182"/>
      <c r="Z584" s="182"/>
      <c r="AA584" s="182"/>
      <c r="AB584" s="182"/>
      <c r="AC584" s="182"/>
      <c r="AD584" s="182"/>
      <c r="AE584" s="182"/>
      <c r="AF584" s="182"/>
      <c r="AG584" s="182"/>
      <c r="AH584" s="182"/>
      <c r="AI584" s="182"/>
      <c r="AJ584" s="182"/>
      <c r="AK584" s="182"/>
      <c r="AL584" s="182"/>
      <c r="AM584" s="182"/>
      <c r="AN584" s="182"/>
      <c r="AO584" s="182"/>
      <c r="AP584" s="182"/>
      <c r="AQ584" s="182"/>
      <c r="AR584" s="182"/>
      <c r="AS584" s="182"/>
      <c r="AT584" s="182"/>
      <c r="AU584" s="182"/>
      <c r="AV584" s="182"/>
      <c r="AW584" s="182"/>
      <c r="AX584" s="182"/>
      <c r="AY584" s="182"/>
      <c r="AZ584" s="182"/>
      <c r="BA584" s="182"/>
      <c r="BB584" s="182"/>
      <c r="BC584" s="182"/>
      <c r="BD584" s="182"/>
      <c r="BE584" s="182"/>
      <c r="BF584" s="182"/>
      <c r="BG584" s="182"/>
      <c r="BH584" s="182"/>
      <c r="BI584" s="182"/>
      <c r="BJ584" s="182"/>
      <c r="BK584" s="182"/>
      <c r="BL584" s="182"/>
      <c r="BM584" s="182"/>
      <c r="BN584" s="182"/>
      <c r="BO584" s="182"/>
      <c r="BP584" s="182"/>
      <c r="BQ584" s="182"/>
      <c r="BR584" s="182"/>
      <c r="BS584" s="182"/>
      <c r="BT584" s="182"/>
      <c r="BU584" s="182"/>
      <c r="BV584" s="182"/>
      <c r="BW584" s="182"/>
      <c r="BX584" s="182"/>
      <c r="BY584" s="182"/>
      <c r="BZ584" s="182"/>
      <c r="CA584" s="182"/>
      <c r="CB584" s="182"/>
      <c r="CC584" s="182"/>
      <c r="CD584" s="182"/>
      <c r="CE584" s="182"/>
      <c r="CF584" s="182"/>
      <c r="CG584" s="182"/>
      <c r="CH584" s="182"/>
      <c r="CI584" s="182"/>
      <c r="CJ584" s="182"/>
      <c r="CK584" s="182"/>
      <c r="CL584" s="182"/>
      <c r="CM584" s="182"/>
      <c r="CN584" s="182"/>
      <c r="CO584" s="182"/>
      <c r="CP584" s="182"/>
      <c r="CQ584" s="182"/>
      <c r="CR584" s="182"/>
      <c r="CS584" s="182"/>
      <c r="CT584" s="182"/>
      <c r="CU584" s="182"/>
      <c r="CV584" s="182"/>
      <c r="CW584" s="182"/>
      <c r="CX584" s="182"/>
      <c r="CY584" s="182"/>
      <c r="CZ584" s="182"/>
      <c r="DA584" s="182"/>
      <c r="DB584" s="182"/>
      <c r="DC584" s="182"/>
      <c r="DD584" s="182"/>
      <c r="DE584" s="182"/>
      <c r="DF584" s="182"/>
      <c r="DG584" s="182"/>
      <c r="DH584" s="182"/>
      <c r="DI584" s="182"/>
      <c r="DJ584" s="182"/>
      <c r="DK584" s="182"/>
      <c r="DL584" s="182"/>
      <c r="DM584" s="182"/>
      <c r="DN584" s="182"/>
      <c r="DO584" s="182"/>
      <c r="DP584" s="182"/>
      <c r="DQ584" s="182"/>
      <c r="DR584" s="182"/>
      <c r="DS584" s="182"/>
      <c r="DT584" s="182"/>
      <c r="DU584" s="182"/>
      <c r="DV584" s="182"/>
      <c r="DW584" s="182"/>
      <c r="DX584" s="182"/>
      <c r="DY584" s="182"/>
      <c r="DZ584" s="182"/>
      <c r="EA584" s="182"/>
      <c r="EB584" s="182"/>
      <c r="EC584" s="182"/>
      <c r="ED584" s="182"/>
      <c r="EE584" s="182"/>
      <c r="EF584" s="182"/>
      <c r="EG584" s="182"/>
      <c r="EH584" s="182"/>
      <c r="EI584" s="182"/>
      <c r="EJ584" s="182"/>
      <c r="EK584" s="182"/>
      <c r="EL584" s="182"/>
      <c r="EM584" s="182"/>
      <c r="EN584" s="182"/>
      <c r="EO584" s="182"/>
      <c r="EP584" s="182"/>
      <c r="EQ584" s="182"/>
      <c r="ER584" s="182"/>
      <c r="ES584" s="182"/>
      <c r="ET584" s="182"/>
      <c r="EU584" s="182"/>
      <c r="EV584" s="182"/>
      <c r="EW584" s="182"/>
      <c r="EX584" s="182"/>
      <c r="EY584" s="182"/>
      <c r="EZ584" s="182"/>
      <c r="FA584" s="182"/>
      <c r="FB584" s="182"/>
      <c r="FC584" s="182"/>
      <c r="FD584" s="182"/>
      <c r="FE584" s="182"/>
      <c r="FF584" s="182"/>
      <c r="FG584" s="182"/>
      <c r="FH584" s="182"/>
      <c r="FI584" s="182"/>
      <c r="FJ584" s="182"/>
      <c r="FK584" s="182"/>
      <c r="FL584" s="182"/>
      <c r="FM584" s="182"/>
      <c r="FN584" s="182"/>
      <c r="FO584" s="182"/>
      <c r="FP584" s="182"/>
      <c r="FQ584" s="182"/>
      <c r="FR584" s="182"/>
      <c r="FS584" s="182"/>
      <c r="FT584" s="182"/>
      <c r="FU584" s="182"/>
      <c r="FV584" s="182"/>
      <c r="FW584" s="182"/>
      <c r="FX584" s="182"/>
      <c r="FY584" s="182"/>
      <c r="FZ584" s="182"/>
      <c r="GA584" s="182"/>
      <c r="GB584" s="182"/>
      <c r="GC584" s="182"/>
      <c r="GD584" s="182"/>
      <c r="GE584" s="182"/>
      <c r="GF584" s="182"/>
      <c r="GG584" s="182"/>
      <c r="GH584" s="182"/>
      <c r="GI584" s="182"/>
    </row>
    <row r="585" spans="1:191" s="183" customFormat="1" x14ac:dyDescent="0.2">
      <c r="A585" s="210" t="s">
        <v>38252</v>
      </c>
      <c r="B585" s="210" t="s">
        <v>13358</v>
      </c>
      <c r="C585" s="224" t="s">
        <v>13128</v>
      </c>
      <c r="D585" s="211" t="s">
        <v>16</v>
      </c>
      <c r="E585" s="211">
        <v>1</v>
      </c>
      <c r="F585" s="211"/>
      <c r="G585" s="211"/>
      <c r="H585" s="231">
        <v>10</v>
      </c>
      <c r="I585" s="213">
        <f t="shared" si="38"/>
        <v>8.3333333333333332E-3</v>
      </c>
      <c r="J585" s="272">
        <v>108.41</v>
      </c>
      <c r="K585" s="113"/>
      <c r="L585" s="213"/>
      <c r="M585" s="112">
        <f t="shared" si="39"/>
        <v>0.9</v>
      </c>
      <c r="N585" s="112">
        <f t="shared" si="40"/>
        <v>27</v>
      </c>
      <c r="O585" s="114"/>
      <c r="P585" s="113"/>
      <c r="R585" s="203"/>
      <c r="S585" s="182"/>
      <c r="T585" s="182"/>
      <c r="U585" s="182"/>
      <c r="V585" s="182"/>
      <c r="W585" s="182"/>
      <c r="X585" s="182"/>
      <c r="Y585" s="182"/>
      <c r="Z585" s="182"/>
      <c r="AA585" s="182"/>
      <c r="AB585" s="182"/>
      <c r="AC585" s="182"/>
      <c r="AD585" s="182"/>
      <c r="AE585" s="182"/>
      <c r="AF585" s="182"/>
      <c r="AG585" s="182"/>
      <c r="AH585" s="182"/>
      <c r="AI585" s="182"/>
      <c r="AJ585" s="182"/>
      <c r="AK585" s="182"/>
      <c r="AL585" s="182"/>
      <c r="AM585" s="182"/>
      <c r="AN585" s="182"/>
      <c r="AO585" s="182"/>
      <c r="AP585" s="182"/>
      <c r="AQ585" s="182"/>
      <c r="AR585" s="182"/>
      <c r="AS585" s="182"/>
      <c r="AT585" s="182"/>
      <c r="AU585" s="182"/>
      <c r="AV585" s="182"/>
      <c r="AW585" s="182"/>
      <c r="AX585" s="182"/>
      <c r="AY585" s="182"/>
      <c r="AZ585" s="182"/>
      <c r="BA585" s="182"/>
      <c r="BB585" s="182"/>
      <c r="BC585" s="182"/>
      <c r="BD585" s="182"/>
      <c r="BE585" s="182"/>
      <c r="BF585" s="182"/>
      <c r="BG585" s="182"/>
      <c r="BH585" s="182"/>
      <c r="BI585" s="182"/>
      <c r="BJ585" s="182"/>
      <c r="BK585" s="182"/>
      <c r="BL585" s="182"/>
      <c r="BM585" s="182"/>
      <c r="BN585" s="182"/>
      <c r="BO585" s="182"/>
      <c r="BP585" s="182"/>
      <c r="BQ585" s="182"/>
      <c r="BR585" s="182"/>
      <c r="BS585" s="182"/>
      <c r="BT585" s="182"/>
      <c r="BU585" s="182"/>
      <c r="BV585" s="182"/>
      <c r="BW585" s="182"/>
      <c r="BX585" s="182"/>
      <c r="BY585" s="182"/>
      <c r="BZ585" s="182"/>
      <c r="CA585" s="182"/>
      <c r="CB585" s="182"/>
      <c r="CC585" s="182"/>
      <c r="CD585" s="182"/>
      <c r="CE585" s="182"/>
      <c r="CF585" s="182"/>
      <c r="CG585" s="182"/>
      <c r="CH585" s="182"/>
      <c r="CI585" s="182"/>
      <c r="CJ585" s="182"/>
      <c r="CK585" s="182"/>
      <c r="CL585" s="182"/>
      <c r="CM585" s="182"/>
      <c r="CN585" s="182"/>
      <c r="CO585" s="182"/>
      <c r="CP585" s="182"/>
      <c r="CQ585" s="182"/>
      <c r="CR585" s="182"/>
      <c r="CS585" s="182"/>
      <c r="CT585" s="182"/>
      <c r="CU585" s="182"/>
      <c r="CV585" s="182"/>
      <c r="CW585" s="182"/>
      <c r="CX585" s="182"/>
      <c r="CY585" s="182"/>
      <c r="CZ585" s="182"/>
      <c r="DA585" s="182"/>
      <c r="DB585" s="182"/>
      <c r="DC585" s="182"/>
      <c r="DD585" s="182"/>
      <c r="DE585" s="182"/>
      <c r="DF585" s="182"/>
      <c r="DG585" s="182"/>
      <c r="DH585" s="182"/>
      <c r="DI585" s="182"/>
      <c r="DJ585" s="182"/>
      <c r="DK585" s="182"/>
      <c r="DL585" s="182"/>
      <c r="DM585" s="182"/>
      <c r="DN585" s="182"/>
      <c r="DO585" s="182"/>
      <c r="DP585" s="182"/>
      <c r="DQ585" s="182"/>
      <c r="DR585" s="182"/>
      <c r="DS585" s="182"/>
      <c r="DT585" s="182"/>
      <c r="DU585" s="182"/>
      <c r="DV585" s="182"/>
      <c r="DW585" s="182"/>
      <c r="DX585" s="182"/>
      <c r="DY585" s="182"/>
      <c r="DZ585" s="182"/>
      <c r="EA585" s="182"/>
      <c r="EB585" s="182"/>
      <c r="EC585" s="182"/>
      <c r="ED585" s="182"/>
      <c r="EE585" s="182"/>
      <c r="EF585" s="182"/>
      <c r="EG585" s="182"/>
      <c r="EH585" s="182"/>
      <c r="EI585" s="182"/>
      <c r="EJ585" s="182"/>
      <c r="EK585" s="182"/>
      <c r="EL585" s="182"/>
      <c r="EM585" s="182"/>
      <c r="EN585" s="182"/>
      <c r="EO585" s="182"/>
      <c r="EP585" s="182"/>
      <c r="EQ585" s="182"/>
      <c r="ER585" s="182"/>
      <c r="ES585" s="182"/>
      <c r="ET585" s="182"/>
      <c r="EU585" s="182"/>
      <c r="EV585" s="182"/>
      <c r="EW585" s="182"/>
      <c r="EX585" s="182"/>
      <c r="EY585" s="182"/>
      <c r="EZ585" s="182"/>
      <c r="FA585" s="182"/>
      <c r="FB585" s="182"/>
      <c r="FC585" s="182"/>
      <c r="FD585" s="182"/>
      <c r="FE585" s="182"/>
      <c r="FF585" s="182"/>
      <c r="FG585" s="182"/>
      <c r="FH585" s="182"/>
      <c r="FI585" s="182"/>
      <c r="FJ585" s="182"/>
      <c r="FK585" s="182"/>
      <c r="FL585" s="182"/>
      <c r="FM585" s="182"/>
      <c r="FN585" s="182"/>
      <c r="FO585" s="182"/>
      <c r="FP585" s="182"/>
      <c r="FQ585" s="182"/>
      <c r="FR585" s="182"/>
      <c r="FS585" s="182"/>
      <c r="FT585" s="182"/>
      <c r="FU585" s="182"/>
      <c r="FV585" s="182"/>
      <c r="FW585" s="182"/>
      <c r="FX585" s="182"/>
      <c r="FY585" s="182"/>
      <c r="FZ585" s="182"/>
      <c r="GA585" s="182"/>
      <c r="GB585" s="182"/>
      <c r="GC585" s="182"/>
      <c r="GD585" s="182"/>
      <c r="GE585" s="182"/>
      <c r="GF585" s="182"/>
      <c r="GG585" s="182"/>
      <c r="GH585" s="182"/>
      <c r="GI585" s="182"/>
    </row>
    <row r="586" spans="1:191" s="183" customFormat="1" x14ac:dyDescent="0.2">
      <c r="A586" s="210" t="s">
        <v>38253</v>
      </c>
      <c r="B586" s="210" t="s">
        <v>13359</v>
      </c>
      <c r="C586" s="224" t="s">
        <v>13129</v>
      </c>
      <c r="D586" s="211" t="s">
        <v>16</v>
      </c>
      <c r="E586" s="211">
        <v>1</v>
      </c>
      <c r="F586" s="211"/>
      <c r="G586" s="211"/>
      <c r="H586" s="231">
        <v>10</v>
      </c>
      <c r="I586" s="213">
        <f t="shared" si="38"/>
        <v>8.3333333333333332E-3</v>
      </c>
      <c r="J586" s="272">
        <v>2180.39</v>
      </c>
      <c r="K586" s="113"/>
      <c r="L586" s="213"/>
      <c r="M586" s="112">
        <f t="shared" si="39"/>
        <v>18.170000000000002</v>
      </c>
      <c r="N586" s="112">
        <f t="shared" si="40"/>
        <v>545.1</v>
      </c>
      <c r="O586" s="114"/>
      <c r="P586" s="113"/>
      <c r="R586" s="203"/>
      <c r="S586" s="182"/>
      <c r="T586" s="182"/>
      <c r="U586" s="182"/>
      <c r="V586" s="182"/>
      <c r="W586" s="182"/>
      <c r="X586" s="182"/>
      <c r="Y586" s="182"/>
      <c r="Z586" s="182"/>
      <c r="AA586" s="182"/>
      <c r="AB586" s="182"/>
      <c r="AC586" s="182"/>
      <c r="AD586" s="182"/>
      <c r="AE586" s="182"/>
      <c r="AF586" s="182"/>
      <c r="AG586" s="182"/>
      <c r="AH586" s="182"/>
      <c r="AI586" s="182"/>
      <c r="AJ586" s="182"/>
      <c r="AK586" s="182"/>
      <c r="AL586" s="182"/>
      <c r="AM586" s="182"/>
      <c r="AN586" s="182"/>
      <c r="AO586" s="182"/>
      <c r="AP586" s="182"/>
      <c r="AQ586" s="182"/>
      <c r="AR586" s="182"/>
      <c r="AS586" s="182"/>
      <c r="AT586" s="182"/>
      <c r="AU586" s="182"/>
      <c r="AV586" s="182"/>
      <c r="AW586" s="182"/>
      <c r="AX586" s="182"/>
      <c r="AY586" s="182"/>
      <c r="AZ586" s="182"/>
      <c r="BA586" s="182"/>
      <c r="BB586" s="182"/>
      <c r="BC586" s="182"/>
      <c r="BD586" s="182"/>
      <c r="BE586" s="182"/>
      <c r="BF586" s="182"/>
      <c r="BG586" s="182"/>
      <c r="BH586" s="182"/>
      <c r="BI586" s="182"/>
      <c r="BJ586" s="182"/>
      <c r="BK586" s="182"/>
      <c r="BL586" s="182"/>
      <c r="BM586" s="182"/>
      <c r="BN586" s="182"/>
      <c r="BO586" s="182"/>
      <c r="BP586" s="182"/>
      <c r="BQ586" s="182"/>
      <c r="BR586" s="182"/>
      <c r="BS586" s="182"/>
      <c r="BT586" s="182"/>
      <c r="BU586" s="182"/>
      <c r="BV586" s="182"/>
      <c r="BW586" s="182"/>
      <c r="BX586" s="182"/>
      <c r="BY586" s="182"/>
      <c r="BZ586" s="182"/>
      <c r="CA586" s="182"/>
      <c r="CB586" s="182"/>
      <c r="CC586" s="182"/>
      <c r="CD586" s="182"/>
      <c r="CE586" s="182"/>
      <c r="CF586" s="182"/>
      <c r="CG586" s="182"/>
      <c r="CH586" s="182"/>
      <c r="CI586" s="182"/>
      <c r="CJ586" s="182"/>
      <c r="CK586" s="182"/>
      <c r="CL586" s="182"/>
      <c r="CM586" s="182"/>
      <c r="CN586" s="182"/>
      <c r="CO586" s="182"/>
      <c r="CP586" s="182"/>
      <c r="CQ586" s="182"/>
      <c r="CR586" s="182"/>
      <c r="CS586" s="182"/>
      <c r="CT586" s="182"/>
      <c r="CU586" s="182"/>
      <c r="CV586" s="182"/>
      <c r="CW586" s="182"/>
      <c r="CX586" s="182"/>
      <c r="CY586" s="182"/>
      <c r="CZ586" s="182"/>
      <c r="DA586" s="182"/>
      <c r="DB586" s="182"/>
      <c r="DC586" s="182"/>
      <c r="DD586" s="182"/>
      <c r="DE586" s="182"/>
      <c r="DF586" s="182"/>
      <c r="DG586" s="182"/>
      <c r="DH586" s="182"/>
      <c r="DI586" s="182"/>
      <c r="DJ586" s="182"/>
      <c r="DK586" s="182"/>
      <c r="DL586" s="182"/>
      <c r="DM586" s="182"/>
      <c r="DN586" s="182"/>
      <c r="DO586" s="182"/>
      <c r="DP586" s="182"/>
      <c r="DQ586" s="182"/>
      <c r="DR586" s="182"/>
      <c r="DS586" s="182"/>
      <c r="DT586" s="182"/>
      <c r="DU586" s="182"/>
      <c r="DV586" s="182"/>
      <c r="DW586" s="182"/>
      <c r="DX586" s="182"/>
      <c r="DY586" s="182"/>
      <c r="DZ586" s="182"/>
      <c r="EA586" s="182"/>
      <c r="EB586" s="182"/>
      <c r="EC586" s="182"/>
      <c r="ED586" s="182"/>
      <c r="EE586" s="182"/>
      <c r="EF586" s="182"/>
      <c r="EG586" s="182"/>
      <c r="EH586" s="182"/>
      <c r="EI586" s="182"/>
      <c r="EJ586" s="182"/>
      <c r="EK586" s="182"/>
      <c r="EL586" s="182"/>
      <c r="EM586" s="182"/>
      <c r="EN586" s="182"/>
      <c r="EO586" s="182"/>
      <c r="EP586" s="182"/>
      <c r="EQ586" s="182"/>
      <c r="ER586" s="182"/>
      <c r="ES586" s="182"/>
      <c r="ET586" s="182"/>
      <c r="EU586" s="182"/>
      <c r="EV586" s="182"/>
      <c r="EW586" s="182"/>
      <c r="EX586" s="182"/>
      <c r="EY586" s="182"/>
      <c r="EZ586" s="182"/>
      <c r="FA586" s="182"/>
      <c r="FB586" s="182"/>
      <c r="FC586" s="182"/>
      <c r="FD586" s="182"/>
      <c r="FE586" s="182"/>
      <c r="FF586" s="182"/>
      <c r="FG586" s="182"/>
      <c r="FH586" s="182"/>
      <c r="FI586" s="182"/>
      <c r="FJ586" s="182"/>
      <c r="FK586" s="182"/>
      <c r="FL586" s="182"/>
      <c r="FM586" s="182"/>
      <c r="FN586" s="182"/>
      <c r="FO586" s="182"/>
      <c r="FP586" s="182"/>
      <c r="FQ586" s="182"/>
      <c r="FR586" s="182"/>
      <c r="FS586" s="182"/>
      <c r="FT586" s="182"/>
      <c r="FU586" s="182"/>
      <c r="FV586" s="182"/>
      <c r="FW586" s="182"/>
      <c r="FX586" s="182"/>
      <c r="FY586" s="182"/>
      <c r="FZ586" s="182"/>
      <c r="GA586" s="182"/>
      <c r="GB586" s="182"/>
      <c r="GC586" s="182"/>
      <c r="GD586" s="182"/>
      <c r="GE586" s="182"/>
      <c r="GF586" s="182"/>
      <c r="GG586" s="182"/>
      <c r="GH586" s="182"/>
      <c r="GI586" s="182"/>
    </row>
    <row r="587" spans="1:191" s="183" customFormat="1" x14ac:dyDescent="0.2">
      <c r="A587" s="210" t="s">
        <v>38254</v>
      </c>
      <c r="B587" s="210" t="s">
        <v>13360</v>
      </c>
      <c r="C587" s="224" t="s">
        <v>13130</v>
      </c>
      <c r="D587" s="211" t="s">
        <v>16</v>
      </c>
      <c r="E587" s="211">
        <v>1</v>
      </c>
      <c r="F587" s="211"/>
      <c r="G587" s="211"/>
      <c r="H587" s="231">
        <v>10</v>
      </c>
      <c r="I587" s="213">
        <f t="shared" si="38"/>
        <v>8.3333333333333332E-3</v>
      </c>
      <c r="J587" s="272">
        <v>2702.51</v>
      </c>
      <c r="K587" s="113"/>
      <c r="L587" s="213"/>
      <c r="M587" s="112">
        <f t="shared" si="39"/>
        <v>22.52</v>
      </c>
      <c r="N587" s="112">
        <f t="shared" si="40"/>
        <v>675.6</v>
      </c>
      <c r="O587" s="114"/>
      <c r="P587" s="113"/>
      <c r="R587" s="203"/>
      <c r="S587" s="182"/>
      <c r="T587" s="182"/>
      <c r="U587" s="182"/>
      <c r="V587" s="182"/>
      <c r="W587" s="182"/>
      <c r="X587" s="182"/>
      <c r="Y587" s="182"/>
      <c r="Z587" s="182"/>
      <c r="AA587" s="182"/>
      <c r="AB587" s="182"/>
      <c r="AC587" s="182"/>
      <c r="AD587" s="182"/>
      <c r="AE587" s="182"/>
      <c r="AF587" s="182"/>
      <c r="AG587" s="182"/>
      <c r="AH587" s="182"/>
      <c r="AI587" s="182"/>
      <c r="AJ587" s="182"/>
      <c r="AK587" s="182"/>
      <c r="AL587" s="182"/>
      <c r="AM587" s="182"/>
      <c r="AN587" s="182"/>
      <c r="AO587" s="182"/>
      <c r="AP587" s="182"/>
      <c r="AQ587" s="182"/>
      <c r="AR587" s="182"/>
      <c r="AS587" s="182"/>
      <c r="AT587" s="182"/>
      <c r="AU587" s="182"/>
      <c r="AV587" s="182"/>
      <c r="AW587" s="182"/>
      <c r="AX587" s="182"/>
      <c r="AY587" s="182"/>
      <c r="AZ587" s="182"/>
      <c r="BA587" s="182"/>
      <c r="BB587" s="182"/>
      <c r="BC587" s="182"/>
      <c r="BD587" s="182"/>
      <c r="BE587" s="182"/>
      <c r="BF587" s="182"/>
      <c r="BG587" s="182"/>
      <c r="BH587" s="182"/>
      <c r="BI587" s="182"/>
      <c r="BJ587" s="182"/>
      <c r="BK587" s="182"/>
      <c r="BL587" s="182"/>
      <c r="BM587" s="182"/>
      <c r="BN587" s="182"/>
      <c r="BO587" s="182"/>
      <c r="BP587" s="182"/>
      <c r="BQ587" s="182"/>
      <c r="BR587" s="182"/>
      <c r="BS587" s="182"/>
      <c r="BT587" s="182"/>
      <c r="BU587" s="182"/>
      <c r="BV587" s="182"/>
      <c r="BW587" s="182"/>
      <c r="BX587" s="182"/>
      <c r="BY587" s="182"/>
      <c r="BZ587" s="182"/>
      <c r="CA587" s="182"/>
      <c r="CB587" s="182"/>
      <c r="CC587" s="182"/>
      <c r="CD587" s="182"/>
      <c r="CE587" s="182"/>
      <c r="CF587" s="182"/>
      <c r="CG587" s="182"/>
      <c r="CH587" s="182"/>
      <c r="CI587" s="182"/>
      <c r="CJ587" s="182"/>
      <c r="CK587" s="182"/>
      <c r="CL587" s="182"/>
      <c r="CM587" s="182"/>
      <c r="CN587" s="182"/>
      <c r="CO587" s="182"/>
      <c r="CP587" s="182"/>
      <c r="CQ587" s="182"/>
      <c r="CR587" s="182"/>
      <c r="CS587" s="182"/>
      <c r="CT587" s="182"/>
      <c r="CU587" s="182"/>
      <c r="CV587" s="182"/>
      <c r="CW587" s="182"/>
      <c r="CX587" s="182"/>
      <c r="CY587" s="182"/>
      <c r="CZ587" s="182"/>
      <c r="DA587" s="182"/>
      <c r="DB587" s="182"/>
      <c r="DC587" s="182"/>
      <c r="DD587" s="182"/>
      <c r="DE587" s="182"/>
      <c r="DF587" s="182"/>
      <c r="DG587" s="182"/>
      <c r="DH587" s="182"/>
      <c r="DI587" s="182"/>
      <c r="DJ587" s="182"/>
      <c r="DK587" s="182"/>
      <c r="DL587" s="182"/>
      <c r="DM587" s="182"/>
      <c r="DN587" s="182"/>
      <c r="DO587" s="182"/>
      <c r="DP587" s="182"/>
      <c r="DQ587" s="182"/>
      <c r="DR587" s="182"/>
      <c r="DS587" s="182"/>
      <c r="DT587" s="182"/>
      <c r="DU587" s="182"/>
      <c r="DV587" s="182"/>
      <c r="DW587" s="182"/>
      <c r="DX587" s="182"/>
      <c r="DY587" s="182"/>
      <c r="DZ587" s="182"/>
      <c r="EA587" s="182"/>
      <c r="EB587" s="182"/>
      <c r="EC587" s="182"/>
      <c r="ED587" s="182"/>
      <c r="EE587" s="182"/>
      <c r="EF587" s="182"/>
      <c r="EG587" s="182"/>
      <c r="EH587" s="182"/>
      <c r="EI587" s="182"/>
      <c r="EJ587" s="182"/>
      <c r="EK587" s="182"/>
      <c r="EL587" s="182"/>
      <c r="EM587" s="182"/>
      <c r="EN587" s="182"/>
      <c r="EO587" s="182"/>
      <c r="EP587" s="182"/>
      <c r="EQ587" s="182"/>
      <c r="ER587" s="182"/>
      <c r="ES587" s="182"/>
      <c r="ET587" s="182"/>
      <c r="EU587" s="182"/>
      <c r="EV587" s="182"/>
      <c r="EW587" s="182"/>
      <c r="EX587" s="182"/>
      <c r="EY587" s="182"/>
      <c r="EZ587" s="182"/>
      <c r="FA587" s="182"/>
      <c r="FB587" s="182"/>
      <c r="FC587" s="182"/>
      <c r="FD587" s="182"/>
      <c r="FE587" s="182"/>
      <c r="FF587" s="182"/>
      <c r="FG587" s="182"/>
      <c r="FH587" s="182"/>
      <c r="FI587" s="182"/>
      <c r="FJ587" s="182"/>
      <c r="FK587" s="182"/>
      <c r="FL587" s="182"/>
      <c r="FM587" s="182"/>
      <c r="FN587" s="182"/>
      <c r="FO587" s="182"/>
      <c r="FP587" s="182"/>
      <c r="FQ587" s="182"/>
      <c r="FR587" s="182"/>
      <c r="FS587" s="182"/>
      <c r="FT587" s="182"/>
      <c r="FU587" s="182"/>
      <c r="FV587" s="182"/>
      <c r="FW587" s="182"/>
      <c r="FX587" s="182"/>
      <c r="FY587" s="182"/>
      <c r="FZ587" s="182"/>
      <c r="GA587" s="182"/>
      <c r="GB587" s="182"/>
      <c r="GC587" s="182"/>
      <c r="GD587" s="182"/>
      <c r="GE587" s="182"/>
      <c r="GF587" s="182"/>
      <c r="GG587" s="182"/>
      <c r="GH587" s="182"/>
      <c r="GI587" s="182"/>
    </row>
    <row r="588" spans="1:191" s="183" customFormat="1" x14ac:dyDescent="0.2">
      <c r="A588" s="210" t="s">
        <v>38255</v>
      </c>
      <c r="B588" s="210" t="s">
        <v>13361</v>
      </c>
      <c r="C588" s="224" t="s">
        <v>13131</v>
      </c>
      <c r="D588" s="211" t="s">
        <v>16</v>
      </c>
      <c r="E588" s="211">
        <v>7</v>
      </c>
      <c r="F588" s="211"/>
      <c r="G588" s="211"/>
      <c r="H588" s="231">
        <v>10</v>
      </c>
      <c r="I588" s="213">
        <f t="shared" si="38"/>
        <v>8.3333333333333332E-3</v>
      </c>
      <c r="J588" s="272">
        <v>6134.38</v>
      </c>
      <c r="K588" s="113"/>
      <c r="L588" s="213"/>
      <c r="M588" s="112">
        <f t="shared" si="39"/>
        <v>357.84</v>
      </c>
      <c r="N588" s="112">
        <f t="shared" si="40"/>
        <v>10735.2</v>
      </c>
      <c r="O588" s="114"/>
      <c r="P588" s="113"/>
      <c r="R588" s="203"/>
      <c r="S588" s="182"/>
      <c r="T588" s="182"/>
      <c r="U588" s="182"/>
      <c r="V588" s="182"/>
      <c r="W588" s="182"/>
      <c r="X588" s="182"/>
      <c r="Y588" s="182"/>
      <c r="Z588" s="182"/>
      <c r="AA588" s="182"/>
      <c r="AB588" s="182"/>
      <c r="AC588" s="182"/>
      <c r="AD588" s="182"/>
      <c r="AE588" s="182"/>
      <c r="AF588" s="182"/>
      <c r="AG588" s="182"/>
      <c r="AH588" s="182"/>
      <c r="AI588" s="182"/>
      <c r="AJ588" s="182"/>
      <c r="AK588" s="182"/>
      <c r="AL588" s="182"/>
      <c r="AM588" s="182"/>
      <c r="AN588" s="182"/>
      <c r="AO588" s="182"/>
      <c r="AP588" s="182"/>
      <c r="AQ588" s="182"/>
      <c r="AR588" s="182"/>
      <c r="AS588" s="182"/>
      <c r="AT588" s="182"/>
      <c r="AU588" s="182"/>
      <c r="AV588" s="182"/>
      <c r="AW588" s="182"/>
      <c r="AX588" s="182"/>
      <c r="AY588" s="182"/>
      <c r="AZ588" s="182"/>
      <c r="BA588" s="182"/>
      <c r="BB588" s="182"/>
      <c r="BC588" s="182"/>
      <c r="BD588" s="182"/>
      <c r="BE588" s="182"/>
      <c r="BF588" s="182"/>
      <c r="BG588" s="182"/>
      <c r="BH588" s="182"/>
      <c r="BI588" s="182"/>
      <c r="BJ588" s="182"/>
      <c r="BK588" s="182"/>
      <c r="BL588" s="182"/>
      <c r="BM588" s="182"/>
      <c r="BN588" s="182"/>
      <c r="BO588" s="182"/>
      <c r="BP588" s="182"/>
      <c r="BQ588" s="182"/>
      <c r="BR588" s="182"/>
      <c r="BS588" s="182"/>
      <c r="BT588" s="182"/>
      <c r="BU588" s="182"/>
      <c r="BV588" s="182"/>
      <c r="BW588" s="182"/>
      <c r="BX588" s="182"/>
      <c r="BY588" s="182"/>
      <c r="BZ588" s="182"/>
      <c r="CA588" s="182"/>
      <c r="CB588" s="182"/>
      <c r="CC588" s="182"/>
      <c r="CD588" s="182"/>
      <c r="CE588" s="182"/>
      <c r="CF588" s="182"/>
      <c r="CG588" s="182"/>
      <c r="CH588" s="182"/>
      <c r="CI588" s="182"/>
      <c r="CJ588" s="182"/>
      <c r="CK588" s="182"/>
      <c r="CL588" s="182"/>
      <c r="CM588" s="182"/>
      <c r="CN588" s="182"/>
      <c r="CO588" s="182"/>
      <c r="CP588" s="182"/>
      <c r="CQ588" s="182"/>
      <c r="CR588" s="182"/>
      <c r="CS588" s="182"/>
      <c r="CT588" s="182"/>
      <c r="CU588" s="182"/>
      <c r="CV588" s="182"/>
      <c r="CW588" s="182"/>
      <c r="CX588" s="182"/>
      <c r="CY588" s="182"/>
      <c r="CZ588" s="182"/>
      <c r="DA588" s="182"/>
      <c r="DB588" s="182"/>
      <c r="DC588" s="182"/>
      <c r="DD588" s="182"/>
      <c r="DE588" s="182"/>
      <c r="DF588" s="182"/>
      <c r="DG588" s="182"/>
      <c r="DH588" s="182"/>
      <c r="DI588" s="182"/>
      <c r="DJ588" s="182"/>
      <c r="DK588" s="182"/>
      <c r="DL588" s="182"/>
      <c r="DM588" s="182"/>
      <c r="DN588" s="182"/>
      <c r="DO588" s="182"/>
      <c r="DP588" s="182"/>
      <c r="DQ588" s="182"/>
      <c r="DR588" s="182"/>
      <c r="DS588" s="182"/>
      <c r="DT588" s="182"/>
      <c r="DU588" s="182"/>
      <c r="DV588" s="182"/>
      <c r="DW588" s="182"/>
      <c r="DX588" s="182"/>
      <c r="DY588" s="182"/>
      <c r="DZ588" s="182"/>
      <c r="EA588" s="182"/>
      <c r="EB588" s="182"/>
      <c r="EC588" s="182"/>
      <c r="ED588" s="182"/>
      <c r="EE588" s="182"/>
      <c r="EF588" s="182"/>
      <c r="EG588" s="182"/>
      <c r="EH588" s="182"/>
      <c r="EI588" s="182"/>
      <c r="EJ588" s="182"/>
      <c r="EK588" s="182"/>
      <c r="EL588" s="182"/>
      <c r="EM588" s="182"/>
      <c r="EN588" s="182"/>
      <c r="EO588" s="182"/>
      <c r="EP588" s="182"/>
      <c r="EQ588" s="182"/>
      <c r="ER588" s="182"/>
      <c r="ES588" s="182"/>
      <c r="ET588" s="182"/>
      <c r="EU588" s="182"/>
      <c r="EV588" s="182"/>
      <c r="EW588" s="182"/>
      <c r="EX588" s="182"/>
      <c r="EY588" s="182"/>
      <c r="EZ588" s="182"/>
      <c r="FA588" s="182"/>
      <c r="FB588" s="182"/>
      <c r="FC588" s="182"/>
      <c r="FD588" s="182"/>
      <c r="FE588" s="182"/>
      <c r="FF588" s="182"/>
      <c r="FG588" s="182"/>
      <c r="FH588" s="182"/>
      <c r="FI588" s="182"/>
      <c r="FJ588" s="182"/>
      <c r="FK588" s="182"/>
      <c r="FL588" s="182"/>
      <c r="FM588" s="182"/>
      <c r="FN588" s="182"/>
      <c r="FO588" s="182"/>
      <c r="FP588" s="182"/>
      <c r="FQ588" s="182"/>
      <c r="FR588" s="182"/>
      <c r="FS588" s="182"/>
      <c r="FT588" s="182"/>
      <c r="FU588" s="182"/>
      <c r="FV588" s="182"/>
      <c r="FW588" s="182"/>
      <c r="FX588" s="182"/>
      <c r="FY588" s="182"/>
      <c r="FZ588" s="182"/>
      <c r="GA588" s="182"/>
      <c r="GB588" s="182"/>
      <c r="GC588" s="182"/>
      <c r="GD588" s="182"/>
      <c r="GE588" s="182"/>
      <c r="GF588" s="182"/>
      <c r="GG588" s="182"/>
      <c r="GH588" s="182"/>
      <c r="GI588" s="182"/>
    </row>
    <row r="589" spans="1:191" s="183" customFormat="1" x14ac:dyDescent="0.2">
      <c r="A589" s="210" t="s">
        <v>38256</v>
      </c>
      <c r="B589" s="210" t="s">
        <v>13362</v>
      </c>
      <c r="C589" s="224" t="s">
        <v>13132</v>
      </c>
      <c r="D589" s="211" t="s">
        <v>16</v>
      </c>
      <c r="E589" s="211">
        <v>1</v>
      </c>
      <c r="F589" s="211"/>
      <c r="G589" s="211"/>
      <c r="H589" s="231">
        <v>5</v>
      </c>
      <c r="I589" s="213">
        <f t="shared" si="38"/>
        <v>1.6666666666666666E-2</v>
      </c>
      <c r="J589" s="272">
        <v>63012</v>
      </c>
      <c r="K589" s="113"/>
      <c r="L589" s="213"/>
      <c r="M589" s="112">
        <f t="shared" si="39"/>
        <v>1050.2</v>
      </c>
      <c r="N589" s="112">
        <f t="shared" si="40"/>
        <v>31506</v>
      </c>
      <c r="O589" s="114"/>
      <c r="P589" s="113"/>
      <c r="R589" s="203"/>
      <c r="S589" s="182"/>
      <c r="T589" s="182"/>
      <c r="U589" s="182"/>
      <c r="V589" s="182"/>
      <c r="W589" s="182"/>
      <c r="X589" s="182"/>
      <c r="Y589" s="182"/>
      <c r="Z589" s="182"/>
      <c r="AA589" s="182"/>
      <c r="AB589" s="182"/>
      <c r="AC589" s="182"/>
      <c r="AD589" s="182"/>
      <c r="AE589" s="182"/>
      <c r="AF589" s="182"/>
      <c r="AG589" s="182"/>
      <c r="AH589" s="182"/>
      <c r="AI589" s="182"/>
      <c r="AJ589" s="182"/>
      <c r="AK589" s="182"/>
      <c r="AL589" s="182"/>
      <c r="AM589" s="182"/>
      <c r="AN589" s="182"/>
      <c r="AO589" s="182"/>
      <c r="AP589" s="182"/>
      <c r="AQ589" s="182"/>
      <c r="AR589" s="182"/>
      <c r="AS589" s="182"/>
      <c r="AT589" s="182"/>
      <c r="AU589" s="182"/>
      <c r="AV589" s="182"/>
      <c r="AW589" s="182"/>
      <c r="AX589" s="182"/>
      <c r="AY589" s="182"/>
      <c r="AZ589" s="182"/>
      <c r="BA589" s="182"/>
      <c r="BB589" s="182"/>
      <c r="BC589" s="182"/>
      <c r="BD589" s="182"/>
      <c r="BE589" s="182"/>
      <c r="BF589" s="182"/>
      <c r="BG589" s="182"/>
      <c r="BH589" s="182"/>
      <c r="BI589" s="182"/>
      <c r="BJ589" s="182"/>
      <c r="BK589" s="182"/>
      <c r="BL589" s="182"/>
      <c r="BM589" s="182"/>
      <c r="BN589" s="182"/>
      <c r="BO589" s="182"/>
      <c r="BP589" s="182"/>
      <c r="BQ589" s="182"/>
      <c r="BR589" s="182"/>
      <c r="BS589" s="182"/>
      <c r="BT589" s="182"/>
      <c r="BU589" s="182"/>
      <c r="BV589" s="182"/>
      <c r="BW589" s="182"/>
      <c r="BX589" s="182"/>
      <c r="BY589" s="182"/>
      <c r="BZ589" s="182"/>
      <c r="CA589" s="182"/>
      <c r="CB589" s="182"/>
      <c r="CC589" s="182"/>
      <c r="CD589" s="182"/>
      <c r="CE589" s="182"/>
      <c r="CF589" s="182"/>
      <c r="CG589" s="182"/>
      <c r="CH589" s="182"/>
      <c r="CI589" s="182"/>
      <c r="CJ589" s="182"/>
      <c r="CK589" s="182"/>
      <c r="CL589" s="182"/>
      <c r="CM589" s="182"/>
      <c r="CN589" s="182"/>
      <c r="CO589" s="182"/>
      <c r="CP589" s="182"/>
      <c r="CQ589" s="182"/>
      <c r="CR589" s="182"/>
      <c r="CS589" s="182"/>
      <c r="CT589" s="182"/>
      <c r="CU589" s="182"/>
      <c r="CV589" s="182"/>
      <c r="CW589" s="182"/>
      <c r="CX589" s="182"/>
      <c r="CY589" s="182"/>
      <c r="CZ589" s="182"/>
      <c r="DA589" s="182"/>
      <c r="DB589" s="182"/>
      <c r="DC589" s="182"/>
      <c r="DD589" s="182"/>
      <c r="DE589" s="182"/>
      <c r="DF589" s="182"/>
      <c r="DG589" s="182"/>
      <c r="DH589" s="182"/>
      <c r="DI589" s="182"/>
      <c r="DJ589" s="182"/>
      <c r="DK589" s="182"/>
      <c r="DL589" s="182"/>
      <c r="DM589" s="182"/>
      <c r="DN589" s="182"/>
      <c r="DO589" s="182"/>
      <c r="DP589" s="182"/>
      <c r="DQ589" s="182"/>
      <c r="DR589" s="182"/>
      <c r="DS589" s="182"/>
      <c r="DT589" s="182"/>
      <c r="DU589" s="182"/>
      <c r="DV589" s="182"/>
      <c r="DW589" s="182"/>
      <c r="DX589" s="182"/>
      <c r="DY589" s="182"/>
      <c r="DZ589" s="182"/>
      <c r="EA589" s="182"/>
      <c r="EB589" s="182"/>
      <c r="EC589" s="182"/>
      <c r="ED589" s="182"/>
      <c r="EE589" s="182"/>
      <c r="EF589" s="182"/>
      <c r="EG589" s="182"/>
      <c r="EH589" s="182"/>
      <c r="EI589" s="182"/>
      <c r="EJ589" s="182"/>
      <c r="EK589" s="182"/>
      <c r="EL589" s="182"/>
      <c r="EM589" s="182"/>
      <c r="EN589" s="182"/>
      <c r="EO589" s="182"/>
      <c r="EP589" s="182"/>
      <c r="EQ589" s="182"/>
      <c r="ER589" s="182"/>
      <c r="ES589" s="182"/>
      <c r="ET589" s="182"/>
      <c r="EU589" s="182"/>
      <c r="EV589" s="182"/>
      <c r="EW589" s="182"/>
      <c r="EX589" s="182"/>
      <c r="EY589" s="182"/>
      <c r="EZ589" s="182"/>
      <c r="FA589" s="182"/>
      <c r="FB589" s="182"/>
      <c r="FC589" s="182"/>
      <c r="FD589" s="182"/>
      <c r="FE589" s="182"/>
      <c r="FF589" s="182"/>
      <c r="FG589" s="182"/>
      <c r="FH589" s="182"/>
      <c r="FI589" s="182"/>
      <c r="FJ589" s="182"/>
      <c r="FK589" s="182"/>
      <c r="FL589" s="182"/>
      <c r="FM589" s="182"/>
      <c r="FN589" s="182"/>
      <c r="FO589" s="182"/>
      <c r="FP589" s="182"/>
      <c r="FQ589" s="182"/>
      <c r="FR589" s="182"/>
      <c r="FS589" s="182"/>
      <c r="FT589" s="182"/>
      <c r="FU589" s="182"/>
      <c r="FV589" s="182"/>
      <c r="FW589" s="182"/>
      <c r="FX589" s="182"/>
      <c r="FY589" s="182"/>
      <c r="FZ589" s="182"/>
      <c r="GA589" s="182"/>
      <c r="GB589" s="182"/>
      <c r="GC589" s="182"/>
      <c r="GD589" s="182"/>
      <c r="GE589" s="182"/>
      <c r="GF589" s="182"/>
      <c r="GG589" s="182"/>
      <c r="GH589" s="182"/>
      <c r="GI589" s="182"/>
    </row>
    <row r="590" spans="1:191" s="183" customFormat="1" x14ac:dyDescent="0.2">
      <c r="A590" s="210" t="s">
        <v>38257</v>
      </c>
      <c r="B590" s="210" t="s">
        <v>15458</v>
      </c>
      <c r="C590" s="224" t="s">
        <v>15459</v>
      </c>
      <c r="D590" s="211" t="s">
        <v>16</v>
      </c>
      <c r="E590" s="211">
        <v>6</v>
      </c>
      <c r="F590" s="211"/>
      <c r="G590" s="211"/>
      <c r="H590" s="231">
        <v>5</v>
      </c>
      <c r="I590" s="213">
        <f t="shared" si="38"/>
        <v>1.6666666666666666E-2</v>
      </c>
      <c r="J590" s="272">
        <v>122.47</v>
      </c>
      <c r="K590" s="113"/>
      <c r="L590" s="213"/>
      <c r="M590" s="112">
        <f t="shared" si="39"/>
        <v>12.25</v>
      </c>
      <c r="N590" s="112">
        <f t="shared" si="40"/>
        <v>367.5</v>
      </c>
      <c r="O590" s="114"/>
      <c r="P590" s="113"/>
      <c r="R590" s="203"/>
      <c r="S590" s="182"/>
      <c r="T590" s="182"/>
      <c r="U590" s="182"/>
      <c r="V590" s="182"/>
      <c r="W590" s="182"/>
      <c r="X590" s="182"/>
      <c r="Y590" s="182"/>
      <c r="Z590" s="182"/>
      <c r="AA590" s="182"/>
      <c r="AB590" s="182"/>
      <c r="AC590" s="182"/>
      <c r="AD590" s="182"/>
      <c r="AE590" s="182"/>
      <c r="AF590" s="182"/>
      <c r="AG590" s="182"/>
      <c r="AH590" s="182"/>
      <c r="AI590" s="182"/>
      <c r="AJ590" s="182"/>
      <c r="AK590" s="182"/>
      <c r="AL590" s="182"/>
      <c r="AM590" s="182"/>
      <c r="AN590" s="182"/>
      <c r="AO590" s="182"/>
      <c r="AP590" s="182"/>
      <c r="AQ590" s="182"/>
      <c r="AR590" s="182"/>
      <c r="AS590" s="182"/>
      <c r="AT590" s="182"/>
      <c r="AU590" s="182"/>
      <c r="AV590" s="182"/>
      <c r="AW590" s="182"/>
      <c r="AX590" s="182"/>
      <c r="AY590" s="182"/>
      <c r="AZ590" s="182"/>
      <c r="BA590" s="182"/>
      <c r="BB590" s="182"/>
      <c r="BC590" s="182"/>
      <c r="BD590" s="182"/>
      <c r="BE590" s="182"/>
      <c r="BF590" s="182"/>
      <c r="BG590" s="182"/>
      <c r="BH590" s="182"/>
      <c r="BI590" s="182"/>
      <c r="BJ590" s="182"/>
      <c r="BK590" s="182"/>
      <c r="BL590" s="182"/>
      <c r="BM590" s="182"/>
      <c r="BN590" s="182"/>
      <c r="BO590" s="182"/>
      <c r="BP590" s="182"/>
      <c r="BQ590" s="182"/>
      <c r="BR590" s="182"/>
      <c r="BS590" s="182"/>
      <c r="BT590" s="182"/>
      <c r="BU590" s="182"/>
      <c r="BV590" s="182"/>
      <c r="BW590" s="182"/>
      <c r="BX590" s="182"/>
      <c r="BY590" s="182"/>
      <c r="BZ590" s="182"/>
      <c r="CA590" s="182"/>
      <c r="CB590" s="182"/>
      <c r="CC590" s="182"/>
      <c r="CD590" s="182"/>
      <c r="CE590" s="182"/>
      <c r="CF590" s="182"/>
      <c r="CG590" s="182"/>
      <c r="CH590" s="182"/>
      <c r="CI590" s="182"/>
      <c r="CJ590" s="182"/>
      <c r="CK590" s="182"/>
      <c r="CL590" s="182"/>
      <c r="CM590" s="182"/>
      <c r="CN590" s="182"/>
      <c r="CO590" s="182"/>
      <c r="CP590" s="182"/>
      <c r="CQ590" s="182"/>
      <c r="CR590" s="182"/>
      <c r="CS590" s="182"/>
      <c r="CT590" s="182"/>
      <c r="CU590" s="182"/>
      <c r="CV590" s="182"/>
      <c r="CW590" s="182"/>
      <c r="CX590" s="182"/>
      <c r="CY590" s="182"/>
      <c r="CZ590" s="182"/>
      <c r="DA590" s="182"/>
      <c r="DB590" s="182"/>
      <c r="DC590" s="182"/>
      <c r="DD590" s="182"/>
      <c r="DE590" s="182"/>
      <c r="DF590" s="182"/>
      <c r="DG590" s="182"/>
      <c r="DH590" s="182"/>
      <c r="DI590" s="182"/>
      <c r="DJ590" s="182"/>
      <c r="DK590" s="182"/>
      <c r="DL590" s="182"/>
      <c r="DM590" s="182"/>
      <c r="DN590" s="182"/>
      <c r="DO590" s="182"/>
      <c r="DP590" s="182"/>
      <c r="DQ590" s="182"/>
      <c r="DR590" s="182"/>
      <c r="DS590" s="182"/>
      <c r="DT590" s="182"/>
      <c r="DU590" s="182"/>
      <c r="DV590" s="182"/>
      <c r="DW590" s="182"/>
      <c r="DX590" s="182"/>
      <c r="DY590" s="182"/>
      <c r="DZ590" s="182"/>
      <c r="EA590" s="182"/>
      <c r="EB590" s="182"/>
      <c r="EC590" s="182"/>
      <c r="ED590" s="182"/>
      <c r="EE590" s="182"/>
      <c r="EF590" s="182"/>
      <c r="EG590" s="182"/>
      <c r="EH590" s="182"/>
      <c r="EI590" s="182"/>
      <c r="EJ590" s="182"/>
      <c r="EK590" s="182"/>
      <c r="EL590" s="182"/>
      <c r="EM590" s="182"/>
      <c r="EN590" s="182"/>
      <c r="EO590" s="182"/>
      <c r="EP590" s="182"/>
      <c r="EQ590" s="182"/>
      <c r="ER590" s="182"/>
      <c r="ES590" s="182"/>
      <c r="ET590" s="182"/>
      <c r="EU590" s="182"/>
      <c r="EV590" s="182"/>
      <c r="EW590" s="182"/>
      <c r="EX590" s="182"/>
      <c r="EY590" s="182"/>
      <c r="EZ590" s="182"/>
      <c r="FA590" s="182"/>
      <c r="FB590" s="182"/>
      <c r="FC590" s="182"/>
      <c r="FD590" s="182"/>
      <c r="FE590" s="182"/>
      <c r="FF590" s="182"/>
      <c r="FG590" s="182"/>
      <c r="FH590" s="182"/>
      <c r="FI590" s="182"/>
      <c r="FJ590" s="182"/>
      <c r="FK590" s="182"/>
      <c r="FL590" s="182"/>
      <c r="FM590" s="182"/>
      <c r="FN590" s="182"/>
      <c r="FO590" s="182"/>
      <c r="FP590" s="182"/>
      <c r="FQ590" s="182"/>
      <c r="FR590" s="182"/>
      <c r="FS590" s="182"/>
      <c r="FT590" s="182"/>
      <c r="FU590" s="182"/>
      <c r="FV590" s="182"/>
      <c r="FW590" s="182"/>
      <c r="FX590" s="182"/>
      <c r="FY590" s="182"/>
      <c r="FZ590" s="182"/>
      <c r="GA590" s="182"/>
      <c r="GB590" s="182"/>
      <c r="GC590" s="182"/>
      <c r="GD590" s="182"/>
      <c r="GE590" s="182"/>
      <c r="GF590" s="182"/>
      <c r="GG590" s="182"/>
      <c r="GH590" s="182"/>
      <c r="GI590" s="182"/>
    </row>
    <row r="591" spans="1:191" s="183" customFormat="1" x14ac:dyDescent="0.2">
      <c r="A591" s="210" t="s">
        <v>38258</v>
      </c>
      <c r="B591" s="210" t="s">
        <v>15460</v>
      </c>
      <c r="C591" s="224" t="s">
        <v>15461</v>
      </c>
      <c r="D591" s="211" t="s">
        <v>16</v>
      </c>
      <c r="E591" s="211">
        <v>6</v>
      </c>
      <c r="F591" s="211"/>
      <c r="G591" s="211"/>
      <c r="H591" s="231">
        <v>5</v>
      </c>
      <c r="I591" s="213">
        <f t="shared" si="38"/>
        <v>1.6666666666666666E-2</v>
      </c>
      <c r="J591" s="272">
        <v>67.47</v>
      </c>
      <c r="K591" s="113"/>
      <c r="L591" s="213"/>
      <c r="M591" s="112">
        <f t="shared" si="39"/>
        <v>6.75</v>
      </c>
      <c r="N591" s="112">
        <f t="shared" si="40"/>
        <v>202.5</v>
      </c>
      <c r="O591" s="114"/>
      <c r="P591" s="113"/>
      <c r="R591" s="203"/>
      <c r="S591" s="182"/>
      <c r="T591" s="182"/>
      <c r="U591" s="182"/>
      <c r="V591" s="182"/>
      <c r="W591" s="182"/>
      <c r="X591" s="182"/>
      <c r="Y591" s="182"/>
      <c r="Z591" s="182"/>
      <c r="AA591" s="182"/>
      <c r="AB591" s="182"/>
      <c r="AC591" s="182"/>
      <c r="AD591" s="182"/>
      <c r="AE591" s="182"/>
      <c r="AF591" s="182"/>
      <c r="AG591" s="182"/>
      <c r="AH591" s="182"/>
      <c r="AI591" s="182"/>
      <c r="AJ591" s="182"/>
      <c r="AK591" s="182"/>
      <c r="AL591" s="182"/>
      <c r="AM591" s="182"/>
      <c r="AN591" s="182"/>
      <c r="AO591" s="182"/>
      <c r="AP591" s="182"/>
      <c r="AQ591" s="182"/>
      <c r="AR591" s="182"/>
      <c r="AS591" s="182"/>
      <c r="AT591" s="182"/>
      <c r="AU591" s="182"/>
      <c r="AV591" s="182"/>
      <c r="AW591" s="182"/>
      <c r="AX591" s="182"/>
      <c r="AY591" s="182"/>
      <c r="AZ591" s="182"/>
      <c r="BA591" s="182"/>
      <c r="BB591" s="182"/>
      <c r="BC591" s="182"/>
      <c r="BD591" s="182"/>
      <c r="BE591" s="182"/>
      <c r="BF591" s="182"/>
      <c r="BG591" s="182"/>
      <c r="BH591" s="182"/>
      <c r="BI591" s="182"/>
      <c r="BJ591" s="182"/>
      <c r="BK591" s="182"/>
      <c r="BL591" s="182"/>
      <c r="BM591" s="182"/>
      <c r="BN591" s="182"/>
      <c r="BO591" s="182"/>
      <c r="BP591" s="182"/>
      <c r="BQ591" s="182"/>
      <c r="BR591" s="182"/>
      <c r="BS591" s="182"/>
      <c r="BT591" s="182"/>
      <c r="BU591" s="182"/>
      <c r="BV591" s="182"/>
      <c r="BW591" s="182"/>
      <c r="BX591" s="182"/>
      <c r="BY591" s="182"/>
      <c r="BZ591" s="182"/>
      <c r="CA591" s="182"/>
      <c r="CB591" s="182"/>
      <c r="CC591" s="182"/>
      <c r="CD591" s="182"/>
      <c r="CE591" s="182"/>
      <c r="CF591" s="182"/>
      <c r="CG591" s="182"/>
      <c r="CH591" s="182"/>
      <c r="CI591" s="182"/>
      <c r="CJ591" s="182"/>
      <c r="CK591" s="182"/>
      <c r="CL591" s="182"/>
      <c r="CM591" s="182"/>
      <c r="CN591" s="182"/>
      <c r="CO591" s="182"/>
      <c r="CP591" s="182"/>
      <c r="CQ591" s="182"/>
      <c r="CR591" s="182"/>
      <c r="CS591" s="182"/>
      <c r="CT591" s="182"/>
      <c r="CU591" s="182"/>
      <c r="CV591" s="182"/>
      <c r="CW591" s="182"/>
      <c r="CX591" s="182"/>
      <c r="CY591" s="182"/>
      <c r="CZ591" s="182"/>
      <c r="DA591" s="182"/>
      <c r="DB591" s="182"/>
      <c r="DC591" s="182"/>
      <c r="DD591" s="182"/>
      <c r="DE591" s="182"/>
      <c r="DF591" s="182"/>
      <c r="DG591" s="182"/>
      <c r="DH591" s="182"/>
      <c r="DI591" s="182"/>
      <c r="DJ591" s="182"/>
      <c r="DK591" s="182"/>
      <c r="DL591" s="182"/>
      <c r="DM591" s="182"/>
      <c r="DN591" s="182"/>
      <c r="DO591" s="182"/>
      <c r="DP591" s="182"/>
      <c r="DQ591" s="182"/>
      <c r="DR591" s="182"/>
      <c r="DS591" s="182"/>
      <c r="DT591" s="182"/>
      <c r="DU591" s="182"/>
      <c r="DV591" s="182"/>
      <c r="DW591" s="182"/>
      <c r="DX591" s="182"/>
      <c r="DY591" s="182"/>
      <c r="DZ591" s="182"/>
      <c r="EA591" s="182"/>
      <c r="EB591" s="182"/>
      <c r="EC591" s="182"/>
      <c r="ED591" s="182"/>
      <c r="EE591" s="182"/>
      <c r="EF591" s="182"/>
      <c r="EG591" s="182"/>
      <c r="EH591" s="182"/>
      <c r="EI591" s="182"/>
      <c r="EJ591" s="182"/>
      <c r="EK591" s="182"/>
      <c r="EL591" s="182"/>
      <c r="EM591" s="182"/>
      <c r="EN591" s="182"/>
      <c r="EO591" s="182"/>
      <c r="EP591" s="182"/>
      <c r="EQ591" s="182"/>
      <c r="ER591" s="182"/>
      <c r="ES591" s="182"/>
      <c r="ET591" s="182"/>
      <c r="EU591" s="182"/>
      <c r="EV591" s="182"/>
      <c r="EW591" s="182"/>
      <c r="EX591" s="182"/>
      <c r="EY591" s="182"/>
      <c r="EZ591" s="182"/>
      <c r="FA591" s="182"/>
      <c r="FB591" s="182"/>
      <c r="FC591" s="182"/>
      <c r="FD591" s="182"/>
      <c r="FE591" s="182"/>
      <c r="FF591" s="182"/>
      <c r="FG591" s="182"/>
      <c r="FH591" s="182"/>
      <c r="FI591" s="182"/>
      <c r="FJ591" s="182"/>
      <c r="FK591" s="182"/>
      <c r="FL591" s="182"/>
      <c r="FM591" s="182"/>
      <c r="FN591" s="182"/>
      <c r="FO591" s="182"/>
      <c r="FP591" s="182"/>
      <c r="FQ591" s="182"/>
      <c r="FR591" s="182"/>
      <c r="FS591" s="182"/>
      <c r="FT591" s="182"/>
      <c r="FU591" s="182"/>
      <c r="FV591" s="182"/>
      <c r="FW591" s="182"/>
      <c r="FX591" s="182"/>
      <c r="FY591" s="182"/>
      <c r="FZ591" s="182"/>
      <c r="GA591" s="182"/>
      <c r="GB591" s="182"/>
      <c r="GC591" s="182"/>
      <c r="GD591" s="182"/>
      <c r="GE591" s="182"/>
      <c r="GF591" s="182"/>
      <c r="GG591" s="182"/>
      <c r="GH591" s="182"/>
      <c r="GI591" s="182"/>
    </row>
    <row r="592" spans="1:191" s="183" customFormat="1" x14ac:dyDescent="0.2">
      <c r="A592" s="210" t="s">
        <v>38259</v>
      </c>
      <c r="B592" s="210" t="s">
        <v>15462</v>
      </c>
      <c r="C592" s="224" t="s">
        <v>15463</v>
      </c>
      <c r="D592" s="211" t="s">
        <v>16</v>
      </c>
      <c r="E592" s="211">
        <v>6</v>
      </c>
      <c r="F592" s="211"/>
      <c r="G592" s="211"/>
      <c r="H592" s="231">
        <v>5</v>
      </c>
      <c r="I592" s="213">
        <f t="shared" si="38"/>
        <v>1.6666666666666666E-2</v>
      </c>
      <c r="J592" s="272">
        <v>104.99</v>
      </c>
      <c r="K592" s="113"/>
      <c r="L592" s="213"/>
      <c r="M592" s="112">
        <f t="shared" si="39"/>
        <v>10.5</v>
      </c>
      <c r="N592" s="112">
        <f t="shared" si="40"/>
        <v>315</v>
      </c>
      <c r="O592" s="114"/>
      <c r="P592" s="113"/>
      <c r="R592" s="203"/>
      <c r="S592" s="182"/>
      <c r="T592" s="182"/>
      <c r="U592" s="182"/>
      <c r="V592" s="182"/>
      <c r="W592" s="182"/>
      <c r="X592" s="182"/>
      <c r="Y592" s="182"/>
      <c r="Z592" s="182"/>
      <c r="AA592" s="182"/>
      <c r="AB592" s="182"/>
      <c r="AC592" s="182"/>
      <c r="AD592" s="182"/>
      <c r="AE592" s="182"/>
      <c r="AF592" s="182"/>
      <c r="AG592" s="182"/>
      <c r="AH592" s="182"/>
      <c r="AI592" s="182"/>
      <c r="AJ592" s="182"/>
      <c r="AK592" s="182"/>
      <c r="AL592" s="182"/>
      <c r="AM592" s="182"/>
      <c r="AN592" s="182"/>
      <c r="AO592" s="182"/>
      <c r="AP592" s="182"/>
      <c r="AQ592" s="182"/>
      <c r="AR592" s="182"/>
      <c r="AS592" s="182"/>
      <c r="AT592" s="182"/>
      <c r="AU592" s="182"/>
      <c r="AV592" s="182"/>
      <c r="AW592" s="182"/>
      <c r="AX592" s="182"/>
      <c r="AY592" s="182"/>
      <c r="AZ592" s="182"/>
      <c r="BA592" s="182"/>
      <c r="BB592" s="182"/>
      <c r="BC592" s="182"/>
      <c r="BD592" s="182"/>
      <c r="BE592" s="182"/>
      <c r="BF592" s="182"/>
      <c r="BG592" s="182"/>
      <c r="BH592" s="182"/>
      <c r="BI592" s="182"/>
      <c r="BJ592" s="182"/>
      <c r="BK592" s="182"/>
      <c r="BL592" s="182"/>
      <c r="BM592" s="182"/>
      <c r="BN592" s="182"/>
      <c r="BO592" s="182"/>
      <c r="BP592" s="182"/>
      <c r="BQ592" s="182"/>
      <c r="BR592" s="182"/>
      <c r="BS592" s="182"/>
      <c r="BT592" s="182"/>
      <c r="BU592" s="182"/>
      <c r="BV592" s="182"/>
      <c r="BW592" s="182"/>
      <c r="BX592" s="182"/>
      <c r="BY592" s="182"/>
      <c r="BZ592" s="182"/>
      <c r="CA592" s="182"/>
      <c r="CB592" s="182"/>
      <c r="CC592" s="182"/>
      <c r="CD592" s="182"/>
      <c r="CE592" s="182"/>
      <c r="CF592" s="182"/>
      <c r="CG592" s="182"/>
      <c r="CH592" s="182"/>
      <c r="CI592" s="182"/>
      <c r="CJ592" s="182"/>
      <c r="CK592" s="182"/>
      <c r="CL592" s="182"/>
      <c r="CM592" s="182"/>
      <c r="CN592" s="182"/>
      <c r="CO592" s="182"/>
      <c r="CP592" s="182"/>
      <c r="CQ592" s="182"/>
      <c r="CR592" s="182"/>
      <c r="CS592" s="182"/>
      <c r="CT592" s="182"/>
      <c r="CU592" s="182"/>
      <c r="CV592" s="182"/>
      <c r="CW592" s="182"/>
      <c r="CX592" s="182"/>
      <c r="CY592" s="182"/>
      <c r="CZ592" s="182"/>
      <c r="DA592" s="182"/>
      <c r="DB592" s="182"/>
      <c r="DC592" s="182"/>
      <c r="DD592" s="182"/>
      <c r="DE592" s="182"/>
      <c r="DF592" s="182"/>
      <c r="DG592" s="182"/>
      <c r="DH592" s="182"/>
      <c r="DI592" s="182"/>
      <c r="DJ592" s="182"/>
      <c r="DK592" s="182"/>
      <c r="DL592" s="182"/>
      <c r="DM592" s="182"/>
      <c r="DN592" s="182"/>
      <c r="DO592" s="182"/>
      <c r="DP592" s="182"/>
      <c r="DQ592" s="182"/>
      <c r="DR592" s="182"/>
      <c r="DS592" s="182"/>
      <c r="DT592" s="182"/>
      <c r="DU592" s="182"/>
      <c r="DV592" s="182"/>
      <c r="DW592" s="182"/>
      <c r="DX592" s="182"/>
      <c r="DY592" s="182"/>
      <c r="DZ592" s="182"/>
      <c r="EA592" s="182"/>
      <c r="EB592" s="182"/>
      <c r="EC592" s="182"/>
      <c r="ED592" s="182"/>
      <c r="EE592" s="182"/>
      <c r="EF592" s="182"/>
      <c r="EG592" s="182"/>
      <c r="EH592" s="182"/>
      <c r="EI592" s="182"/>
      <c r="EJ592" s="182"/>
      <c r="EK592" s="182"/>
      <c r="EL592" s="182"/>
      <c r="EM592" s="182"/>
      <c r="EN592" s="182"/>
      <c r="EO592" s="182"/>
      <c r="EP592" s="182"/>
      <c r="EQ592" s="182"/>
      <c r="ER592" s="182"/>
      <c r="ES592" s="182"/>
      <c r="ET592" s="182"/>
      <c r="EU592" s="182"/>
      <c r="EV592" s="182"/>
      <c r="EW592" s="182"/>
      <c r="EX592" s="182"/>
      <c r="EY592" s="182"/>
      <c r="EZ592" s="182"/>
      <c r="FA592" s="182"/>
      <c r="FB592" s="182"/>
      <c r="FC592" s="182"/>
      <c r="FD592" s="182"/>
      <c r="FE592" s="182"/>
      <c r="FF592" s="182"/>
      <c r="FG592" s="182"/>
      <c r="FH592" s="182"/>
      <c r="FI592" s="182"/>
      <c r="FJ592" s="182"/>
      <c r="FK592" s="182"/>
      <c r="FL592" s="182"/>
      <c r="FM592" s="182"/>
      <c r="FN592" s="182"/>
      <c r="FO592" s="182"/>
      <c r="FP592" s="182"/>
      <c r="FQ592" s="182"/>
      <c r="FR592" s="182"/>
      <c r="FS592" s="182"/>
      <c r="FT592" s="182"/>
      <c r="FU592" s="182"/>
      <c r="FV592" s="182"/>
      <c r="FW592" s="182"/>
      <c r="FX592" s="182"/>
      <c r="FY592" s="182"/>
      <c r="FZ592" s="182"/>
      <c r="GA592" s="182"/>
      <c r="GB592" s="182"/>
      <c r="GC592" s="182"/>
      <c r="GD592" s="182"/>
      <c r="GE592" s="182"/>
      <c r="GF592" s="182"/>
      <c r="GG592" s="182"/>
      <c r="GH592" s="182"/>
      <c r="GI592" s="182"/>
    </row>
    <row r="593" spans="1:191" s="183" customFormat="1" x14ac:dyDescent="0.2">
      <c r="A593" s="210" t="s">
        <v>38260</v>
      </c>
      <c r="B593" s="210" t="s">
        <v>15464</v>
      </c>
      <c r="C593" s="224" t="s">
        <v>15465</v>
      </c>
      <c r="D593" s="211" t="s">
        <v>16</v>
      </c>
      <c r="E593" s="211">
        <v>6</v>
      </c>
      <c r="F593" s="211"/>
      <c r="G593" s="211"/>
      <c r="H593" s="231">
        <v>5</v>
      </c>
      <c r="I593" s="213">
        <f t="shared" si="38"/>
        <v>1.6666666666666666E-2</v>
      </c>
      <c r="J593" s="272">
        <v>170.91</v>
      </c>
      <c r="K593" s="113"/>
      <c r="L593" s="213"/>
      <c r="M593" s="112">
        <f t="shared" si="39"/>
        <v>17.09</v>
      </c>
      <c r="N593" s="112">
        <f t="shared" si="40"/>
        <v>512.70000000000005</v>
      </c>
      <c r="O593" s="114"/>
      <c r="P593" s="113"/>
      <c r="R593" s="203"/>
      <c r="S593" s="182"/>
      <c r="T593" s="182"/>
      <c r="U593" s="182"/>
      <c r="V593" s="182"/>
      <c r="W593" s="182"/>
      <c r="X593" s="182"/>
      <c r="Y593" s="182"/>
      <c r="Z593" s="182"/>
      <c r="AA593" s="182"/>
      <c r="AB593" s="182"/>
      <c r="AC593" s="182"/>
      <c r="AD593" s="182"/>
      <c r="AE593" s="182"/>
      <c r="AF593" s="182"/>
      <c r="AG593" s="182"/>
      <c r="AH593" s="182"/>
      <c r="AI593" s="182"/>
      <c r="AJ593" s="182"/>
      <c r="AK593" s="182"/>
      <c r="AL593" s="182"/>
      <c r="AM593" s="182"/>
      <c r="AN593" s="182"/>
      <c r="AO593" s="182"/>
      <c r="AP593" s="182"/>
      <c r="AQ593" s="182"/>
      <c r="AR593" s="182"/>
      <c r="AS593" s="182"/>
      <c r="AT593" s="182"/>
      <c r="AU593" s="182"/>
      <c r="AV593" s="182"/>
      <c r="AW593" s="182"/>
      <c r="AX593" s="182"/>
      <c r="AY593" s="182"/>
      <c r="AZ593" s="182"/>
      <c r="BA593" s="182"/>
      <c r="BB593" s="182"/>
      <c r="BC593" s="182"/>
      <c r="BD593" s="182"/>
      <c r="BE593" s="182"/>
      <c r="BF593" s="182"/>
      <c r="BG593" s="182"/>
      <c r="BH593" s="182"/>
      <c r="BI593" s="182"/>
      <c r="BJ593" s="182"/>
      <c r="BK593" s="182"/>
      <c r="BL593" s="182"/>
      <c r="BM593" s="182"/>
      <c r="BN593" s="182"/>
      <c r="BO593" s="182"/>
      <c r="BP593" s="182"/>
      <c r="BQ593" s="182"/>
      <c r="BR593" s="182"/>
      <c r="BS593" s="182"/>
      <c r="BT593" s="182"/>
      <c r="BU593" s="182"/>
      <c r="BV593" s="182"/>
      <c r="BW593" s="182"/>
      <c r="BX593" s="182"/>
      <c r="BY593" s="182"/>
      <c r="BZ593" s="182"/>
      <c r="CA593" s="182"/>
      <c r="CB593" s="182"/>
      <c r="CC593" s="182"/>
      <c r="CD593" s="182"/>
      <c r="CE593" s="182"/>
      <c r="CF593" s="182"/>
      <c r="CG593" s="182"/>
      <c r="CH593" s="182"/>
      <c r="CI593" s="182"/>
      <c r="CJ593" s="182"/>
      <c r="CK593" s="182"/>
      <c r="CL593" s="182"/>
      <c r="CM593" s="182"/>
      <c r="CN593" s="182"/>
      <c r="CO593" s="182"/>
      <c r="CP593" s="182"/>
      <c r="CQ593" s="182"/>
      <c r="CR593" s="182"/>
      <c r="CS593" s="182"/>
      <c r="CT593" s="182"/>
      <c r="CU593" s="182"/>
      <c r="CV593" s="182"/>
      <c r="CW593" s="182"/>
      <c r="CX593" s="182"/>
      <c r="CY593" s="182"/>
      <c r="CZ593" s="182"/>
      <c r="DA593" s="182"/>
      <c r="DB593" s="182"/>
      <c r="DC593" s="182"/>
      <c r="DD593" s="182"/>
      <c r="DE593" s="182"/>
      <c r="DF593" s="182"/>
      <c r="DG593" s="182"/>
      <c r="DH593" s="182"/>
      <c r="DI593" s="182"/>
      <c r="DJ593" s="182"/>
      <c r="DK593" s="182"/>
      <c r="DL593" s="182"/>
      <c r="DM593" s="182"/>
      <c r="DN593" s="182"/>
      <c r="DO593" s="182"/>
      <c r="DP593" s="182"/>
      <c r="DQ593" s="182"/>
      <c r="DR593" s="182"/>
      <c r="DS593" s="182"/>
      <c r="DT593" s="182"/>
      <c r="DU593" s="182"/>
      <c r="DV593" s="182"/>
      <c r="DW593" s="182"/>
      <c r="DX593" s="182"/>
      <c r="DY593" s="182"/>
      <c r="DZ593" s="182"/>
      <c r="EA593" s="182"/>
      <c r="EB593" s="182"/>
      <c r="EC593" s="182"/>
      <c r="ED593" s="182"/>
      <c r="EE593" s="182"/>
      <c r="EF593" s="182"/>
      <c r="EG593" s="182"/>
      <c r="EH593" s="182"/>
      <c r="EI593" s="182"/>
      <c r="EJ593" s="182"/>
      <c r="EK593" s="182"/>
      <c r="EL593" s="182"/>
      <c r="EM593" s="182"/>
      <c r="EN593" s="182"/>
      <c r="EO593" s="182"/>
      <c r="EP593" s="182"/>
      <c r="EQ593" s="182"/>
      <c r="ER593" s="182"/>
      <c r="ES593" s="182"/>
      <c r="ET593" s="182"/>
      <c r="EU593" s="182"/>
      <c r="EV593" s="182"/>
      <c r="EW593" s="182"/>
      <c r="EX593" s="182"/>
      <c r="EY593" s="182"/>
      <c r="EZ593" s="182"/>
      <c r="FA593" s="182"/>
      <c r="FB593" s="182"/>
      <c r="FC593" s="182"/>
      <c r="FD593" s="182"/>
      <c r="FE593" s="182"/>
      <c r="FF593" s="182"/>
      <c r="FG593" s="182"/>
      <c r="FH593" s="182"/>
      <c r="FI593" s="182"/>
      <c r="FJ593" s="182"/>
      <c r="FK593" s="182"/>
      <c r="FL593" s="182"/>
      <c r="FM593" s="182"/>
      <c r="FN593" s="182"/>
      <c r="FO593" s="182"/>
      <c r="FP593" s="182"/>
      <c r="FQ593" s="182"/>
      <c r="FR593" s="182"/>
      <c r="FS593" s="182"/>
      <c r="FT593" s="182"/>
      <c r="FU593" s="182"/>
      <c r="FV593" s="182"/>
      <c r="FW593" s="182"/>
      <c r="FX593" s="182"/>
      <c r="FY593" s="182"/>
      <c r="FZ593" s="182"/>
      <c r="GA593" s="182"/>
      <c r="GB593" s="182"/>
      <c r="GC593" s="182"/>
      <c r="GD593" s="182"/>
      <c r="GE593" s="182"/>
      <c r="GF593" s="182"/>
      <c r="GG593" s="182"/>
      <c r="GH593" s="182"/>
      <c r="GI593" s="182"/>
    </row>
    <row r="594" spans="1:191" s="183" customFormat="1" x14ac:dyDescent="0.2">
      <c r="A594" s="210" t="s">
        <v>38261</v>
      </c>
      <c r="B594" s="210" t="s">
        <v>15466</v>
      </c>
      <c r="C594" s="224" t="s">
        <v>15467</v>
      </c>
      <c r="D594" s="211" t="s">
        <v>16</v>
      </c>
      <c r="E594" s="211">
        <v>2</v>
      </c>
      <c r="F594" s="211"/>
      <c r="G594" s="211"/>
      <c r="H594" s="231">
        <v>5</v>
      </c>
      <c r="I594" s="213">
        <f t="shared" si="38"/>
        <v>1.6666666666666666E-2</v>
      </c>
      <c r="J594" s="272">
        <v>506.27</v>
      </c>
      <c r="K594" s="113"/>
      <c r="L594" s="213"/>
      <c r="M594" s="112">
        <f t="shared" si="39"/>
        <v>16.88</v>
      </c>
      <c r="N594" s="112">
        <f t="shared" si="40"/>
        <v>506.4</v>
      </c>
      <c r="O594" s="114"/>
      <c r="P594" s="113"/>
      <c r="R594" s="203"/>
      <c r="S594" s="182"/>
      <c r="T594" s="182"/>
      <c r="U594" s="182"/>
      <c r="V594" s="182"/>
      <c r="W594" s="182"/>
      <c r="X594" s="182"/>
      <c r="Y594" s="182"/>
      <c r="Z594" s="182"/>
      <c r="AA594" s="182"/>
      <c r="AB594" s="182"/>
      <c r="AC594" s="182"/>
      <c r="AD594" s="182"/>
      <c r="AE594" s="182"/>
      <c r="AF594" s="182"/>
      <c r="AG594" s="182"/>
      <c r="AH594" s="182"/>
      <c r="AI594" s="182"/>
      <c r="AJ594" s="182"/>
      <c r="AK594" s="182"/>
      <c r="AL594" s="182"/>
      <c r="AM594" s="182"/>
      <c r="AN594" s="182"/>
      <c r="AO594" s="182"/>
      <c r="AP594" s="182"/>
      <c r="AQ594" s="182"/>
      <c r="AR594" s="182"/>
      <c r="AS594" s="182"/>
      <c r="AT594" s="182"/>
      <c r="AU594" s="182"/>
      <c r="AV594" s="182"/>
      <c r="AW594" s="182"/>
      <c r="AX594" s="182"/>
      <c r="AY594" s="182"/>
      <c r="AZ594" s="182"/>
      <c r="BA594" s="182"/>
      <c r="BB594" s="182"/>
      <c r="BC594" s="182"/>
      <c r="BD594" s="182"/>
      <c r="BE594" s="182"/>
      <c r="BF594" s="182"/>
      <c r="BG594" s="182"/>
      <c r="BH594" s="182"/>
      <c r="BI594" s="182"/>
      <c r="BJ594" s="182"/>
      <c r="BK594" s="182"/>
      <c r="BL594" s="182"/>
      <c r="BM594" s="182"/>
      <c r="BN594" s="182"/>
      <c r="BO594" s="182"/>
      <c r="BP594" s="182"/>
      <c r="BQ594" s="182"/>
      <c r="BR594" s="182"/>
      <c r="BS594" s="182"/>
      <c r="BT594" s="182"/>
      <c r="BU594" s="182"/>
      <c r="BV594" s="182"/>
      <c r="BW594" s="182"/>
      <c r="BX594" s="182"/>
      <c r="BY594" s="182"/>
      <c r="BZ594" s="182"/>
      <c r="CA594" s="182"/>
      <c r="CB594" s="182"/>
      <c r="CC594" s="182"/>
      <c r="CD594" s="182"/>
      <c r="CE594" s="182"/>
      <c r="CF594" s="182"/>
      <c r="CG594" s="182"/>
      <c r="CH594" s="182"/>
      <c r="CI594" s="182"/>
      <c r="CJ594" s="182"/>
      <c r="CK594" s="182"/>
      <c r="CL594" s="182"/>
      <c r="CM594" s="182"/>
      <c r="CN594" s="182"/>
      <c r="CO594" s="182"/>
      <c r="CP594" s="182"/>
      <c r="CQ594" s="182"/>
      <c r="CR594" s="182"/>
      <c r="CS594" s="182"/>
      <c r="CT594" s="182"/>
      <c r="CU594" s="182"/>
      <c r="CV594" s="182"/>
      <c r="CW594" s="182"/>
      <c r="CX594" s="182"/>
      <c r="CY594" s="182"/>
      <c r="CZ594" s="182"/>
      <c r="DA594" s="182"/>
      <c r="DB594" s="182"/>
      <c r="DC594" s="182"/>
      <c r="DD594" s="182"/>
      <c r="DE594" s="182"/>
      <c r="DF594" s="182"/>
      <c r="DG594" s="182"/>
      <c r="DH594" s="182"/>
      <c r="DI594" s="182"/>
      <c r="DJ594" s="182"/>
      <c r="DK594" s="182"/>
      <c r="DL594" s="182"/>
      <c r="DM594" s="182"/>
      <c r="DN594" s="182"/>
      <c r="DO594" s="182"/>
      <c r="DP594" s="182"/>
      <c r="DQ594" s="182"/>
      <c r="DR594" s="182"/>
      <c r="DS594" s="182"/>
      <c r="DT594" s="182"/>
      <c r="DU594" s="182"/>
      <c r="DV594" s="182"/>
      <c r="DW594" s="182"/>
      <c r="DX594" s="182"/>
      <c r="DY594" s="182"/>
      <c r="DZ594" s="182"/>
      <c r="EA594" s="182"/>
      <c r="EB594" s="182"/>
      <c r="EC594" s="182"/>
      <c r="ED594" s="182"/>
      <c r="EE594" s="182"/>
      <c r="EF594" s="182"/>
      <c r="EG594" s="182"/>
      <c r="EH594" s="182"/>
      <c r="EI594" s="182"/>
      <c r="EJ594" s="182"/>
      <c r="EK594" s="182"/>
      <c r="EL594" s="182"/>
      <c r="EM594" s="182"/>
      <c r="EN594" s="182"/>
      <c r="EO594" s="182"/>
      <c r="EP594" s="182"/>
      <c r="EQ594" s="182"/>
      <c r="ER594" s="182"/>
      <c r="ES594" s="182"/>
      <c r="ET594" s="182"/>
      <c r="EU594" s="182"/>
      <c r="EV594" s="182"/>
      <c r="EW594" s="182"/>
      <c r="EX594" s="182"/>
      <c r="EY594" s="182"/>
      <c r="EZ594" s="182"/>
      <c r="FA594" s="182"/>
      <c r="FB594" s="182"/>
      <c r="FC594" s="182"/>
      <c r="FD594" s="182"/>
      <c r="FE594" s="182"/>
      <c r="FF594" s="182"/>
      <c r="FG594" s="182"/>
      <c r="FH594" s="182"/>
      <c r="FI594" s="182"/>
      <c r="FJ594" s="182"/>
      <c r="FK594" s="182"/>
      <c r="FL594" s="182"/>
      <c r="FM594" s="182"/>
      <c r="FN594" s="182"/>
      <c r="FO594" s="182"/>
      <c r="FP594" s="182"/>
      <c r="FQ594" s="182"/>
      <c r="FR594" s="182"/>
      <c r="FS594" s="182"/>
      <c r="FT594" s="182"/>
      <c r="FU594" s="182"/>
      <c r="FV594" s="182"/>
      <c r="FW594" s="182"/>
      <c r="FX594" s="182"/>
      <c r="FY594" s="182"/>
      <c r="FZ594" s="182"/>
      <c r="GA594" s="182"/>
      <c r="GB594" s="182"/>
      <c r="GC594" s="182"/>
      <c r="GD594" s="182"/>
      <c r="GE594" s="182"/>
      <c r="GF594" s="182"/>
      <c r="GG594" s="182"/>
      <c r="GH594" s="182"/>
      <c r="GI594" s="182"/>
    </row>
    <row r="595" spans="1:191" s="183" customFormat="1" x14ac:dyDescent="0.2">
      <c r="A595" s="210" t="s">
        <v>38262</v>
      </c>
      <c r="B595" s="210" t="s">
        <v>15468</v>
      </c>
      <c r="C595" s="224" t="s">
        <v>15469</v>
      </c>
      <c r="D595" s="211" t="s">
        <v>16</v>
      </c>
      <c r="E595" s="211">
        <v>1</v>
      </c>
      <c r="F595" s="211"/>
      <c r="G595" s="211"/>
      <c r="H595" s="231">
        <v>10</v>
      </c>
      <c r="I595" s="213">
        <f t="shared" si="38"/>
        <v>8.3333333333333332E-3</v>
      </c>
      <c r="J595" s="272">
        <v>188.42</v>
      </c>
      <c r="K595" s="113"/>
      <c r="L595" s="213"/>
      <c r="M595" s="112">
        <f t="shared" si="39"/>
        <v>1.57</v>
      </c>
      <c r="N595" s="112">
        <f t="shared" si="40"/>
        <v>47.1</v>
      </c>
      <c r="O595" s="114"/>
      <c r="P595" s="113"/>
      <c r="R595" s="203"/>
      <c r="S595" s="182"/>
      <c r="T595" s="182"/>
      <c r="U595" s="182"/>
      <c r="V595" s="182"/>
      <c r="W595" s="182"/>
      <c r="X595" s="182"/>
      <c r="Y595" s="182"/>
      <c r="Z595" s="182"/>
      <c r="AA595" s="182"/>
      <c r="AB595" s="182"/>
      <c r="AC595" s="182"/>
      <c r="AD595" s="182"/>
      <c r="AE595" s="182"/>
      <c r="AF595" s="182"/>
      <c r="AG595" s="182"/>
      <c r="AH595" s="182"/>
      <c r="AI595" s="182"/>
      <c r="AJ595" s="182"/>
      <c r="AK595" s="182"/>
      <c r="AL595" s="182"/>
      <c r="AM595" s="182"/>
      <c r="AN595" s="182"/>
      <c r="AO595" s="182"/>
      <c r="AP595" s="182"/>
      <c r="AQ595" s="182"/>
      <c r="AR595" s="182"/>
      <c r="AS595" s="182"/>
      <c r="AT595" s="182"/>
      <c r="AU595" s="182"/>
      <c r="AV595" s="182"/>
      <c r="AW595" s="182"/>
      <c r="AX595" s="182"/>
      <c r="AY595" s="182"/>
      <c r="AZ595" s="182"/>
      <c r="BA595" s="182"/>
      <c r="BB595" s="182"/>
      <c r="BC595" s="182"/>
      <c r="BD595" s="182"/>
      <c r="BE595" s="182"/>
      <c r="BF595" s="182"/>
      <c r="BG595" s="182"/>
      <c r="BH595" s="182"/>
      <c r="BI595" s="182"/>
      <c r="BJ595" s="182"/>
      <c r="BK595" s="182"/>
      <c r="BL595" s="182"/>
      <c r="BM595" s="182"/>
      <c r="BN595" s="182"/>
      <c r="BO595" s="182"/>
      <c r="BP595" s="182"/>
      <c r="BQ595" s="182"/>
      <c r="BR595" s="182"/>
      <c r="BS595" s="182"/>
      <c r="BT595" s="182"/>
      <c r="BU595" s="182"/>
      <c r="BV595" s="182"/>
      <c r="BW595" s="182"/>
      <c r="BX595" s="182"/>
      <c r="BY595" s="182"/>
      <c r="BZ595" s="182"/>
      <c r="CA595" s="182"/>
      <c r="CB595" s="182"/>
      <c r="CC595" s="182"/>
      <c r="CD595" s="182"/>
      <c r="CE595" s="182"/>
      <c r="CF595" s="182"/>
      <c r="CG595" s="182"/>
      <c r="CH595" s="182"/>
      <c r="CI595" s="182"/>
      <c r="CJ595" s="182"/>
      <c r="CK595" s="182"/>
      <c r="CL595" s="182"/>
      <c r="CM595" s="182"/>
      <c r="CN595" s="182"/>
      <c r="CO595" s="182"/>
      <c r="CP595" s="182"/>
      <c r="CQ595" s="182"/>
      <c r="CR595" s="182"/>
      <c r="CS595" s="182"/>
      <c r="CT595" s="182"/>
      <c r="CU595" s="182"/>
      <c r="CV595" s="182"/>
      <c r="CW595" s="182"/>
      <c r="CX595" s="182"/>
      <c r="CY595" s="182"/>
      <c r="CZ595" s="182"/>
      <c r="DA595" s="182"/>
      <c r="DB595" s="182"/>
      <c r="DC595" s="182"/>
      <c r="DD595" s="182"/>
      <c r="DE595" s="182"/>
      <c r="DF595" s="182"/>
      <c r="DG595" s="182"/>
      <c r="DH595" s="182"/>
      <c r="DI595" s="182"/>
      <c r="DJ595" s="182"/>
      <c r="DK595" s="182"/>
      <c r="DL595" s="182"/>
      <c r="DM595" s="182"/>
      <c r="DN595" s="182"/>
      <c r="DO595" s="182"/>
      <c r="DP595" s="182"/>
      <c r="DQ595" s="182"/>
      <c r="DR595" s="182"/>
      <c r="DS595" s="182"/>
      <c r="DT595" s="182"/>
      <c r="DU595" s="182"/>
      <c r="DV595" s="182"/>
      <c r="DW595" s="182"/>
      <c r="DX595" s="182"/>
      <c r="DY595" s="182"/>
      <c r="DZ595" s="182"/>
      <c r="EA595" s="182"/>
      <c r="EB595" s="182"/>
      <c r="EC595" s="182"/>
      <c r="ED595" s="182"/>
      <c r="EE595" s="182"/>
      <c r="EF595" s="182"/>
      <c r="EG595" s="182"/>
      <c r="EH595" s="182"/>
      <c r="EI595" s="182"/>
      <c r="EJ595" s="182"/>
      <c r="EK595" s="182"/>
      <c r="EL595" s="182"/>
      <c r="EM595" s="182"/>
      <c r="EN595" s="182"/>
      <c r="EO595" s="182"/>
      <c r="EP595" s="182"/>
      <c r="EQ595" s="182"/>
      <c r="ER595" s="182"/>
      <c r="ES595" s="182"/>
      <c r="ET595" s="182"/>
      <c r="EU595" s="182"/>
      <c r="EV595" s="182"/>
      <c r="EW595" s="182"/>
      <c r="EX595" s="182"/>
      <c r="EY595" s="182"/>
      <c r="EZ595" s="182"/>
      <c r="FA595" s="182"/>
      <c r="FB595" s="182"/>
      <c r="FC595" s="182"/>
      <c r="FD595" s="182"/>
      <c r="FE595" s="182"/>
      <c r="FF595" s="182"/>
      <c r="FG595" s="182"/>
      <c r="FH595" s="182"/>
      <c r="FI595" s="182"/>
      <c r="FJ595" s="182"/>
      <c r="FK595" s="182"/>
      <c r="FL595" s="182"/>
      <c r="FM595" s="182"/>
      <c r="FN595" s="182"/>
      <c r="FO595" s="182"/>
      <c r="FP595" s="182"/>
      <c r="FQ595" s="182"/>
      <c r="FR595" s="182"/>
      <c r="FS595" s="182"/>
      <c r="FT595" s="182"/>
      <c r="FU595" s="182"/>
      <c r="FV595" s="182"/>
      <c r="FW595" s="182"/>
      <c r="FX595" s="182"/>
      <c r="FY595" s="182"/>
      <c r="FZ595" s="182"/>
      <c r="GA595" s="182"/>
      <c r="GB595" s="182"/>
      <c r="GC595" s="182"/>
      <c r="GD595" s="182"/>
      <c r="GE595" s="182"/>
      <c r="GF595" s="182"/>
      <c r="GG595" s="182"/>
      <c r="GH595" s="182"/>
      <c r="GI595" s="182"/>
    </row>
    <row r="596" spans="1:191" s="183" customFormat="1" x14ac:dyDescent="0.2">
      <c r="A596" s="210" t="s">
        <v>38263</v>
      </c>
      <c r="B596" s="210" t="s">
        <v>20775</v>
      </c>
      <c r="C596" s="224" t="s">
        <v>22615</v>
      </c>
      <c r="D596" s="211" t="s">
        <v>16</v>
      </c>
      <c r="E596" s="211">
        <v>3</v>
      </c>
      <c r="F596" s="211"/>
      <c r="G596" s="211"/>
      <c r="H596" s="231">
        <v>5</v>
      </c>
      <c r="I596" s="213">
        <f t="shared" ref="I596:I597" si="41">1/(12*H596)</f>
        <v>1.6666666666666666E-2</v>
      </c>
      <c r="J596" s="272">
        <v>431.59</v>
      </c>
      <c r="K596" s="113"/>
      <c r="L596" s="213"/>
      <c r="M596" s="112">
        <f t="shared" ref="M596:M597" si="42">IF(ISNUMBER(J596),ROUND(I596*E596*J596,2),"")</f>
        <v>21.58</v>
      </c>
      <c r="N596" s="112">
        <f t="shared" ref="N596:N597" si="43">IF(ISNUMBER(J596),ROUND(M596*30,2),"")</f>
        <v>647.4</v>
      </c>
      <c r="O596" s="114"/>
      <c r="P596" s="113"/>
      <c r="R596" s="203"/>
      <c r="S596" s="182"/>
      <c r="T596" s="182"/>
      <c r="U596" s="182"/>
      <c r="V596" s="182"/>
      <c r="W596" s="182"/>
      <c r="X596" s="182"/>
      <c r="Y596" s="182"/>
      <c r="Z596" s="182"/>
      <c r="AA596" s="182"/>
      <c r="AB596" s="182"/>
      <c r="AC596" s="182"/>
      <c r="AD596" s="182"/>
      <c r="AE596" s="182"/>
      <c r="AF596" s="182"/>
      <c r="AG596" s="182"/>
      <c r="AH596" s="182"/>
      <c r="AI596" s="182"/>
      <c r="AJ596" s="182"/>
      <c r="AK596" s="182"/>
      <c r="AL596" s="182"/>
      <c r="AM596" s="182"/>
      <c r="AN596" s="182"/>
      <c r="AO596" s="182"/>
      <c r="AP596" s="182"/>
      <c r="AQ596" s="182"/>
      <c r="AR596" s="182"/>
      <c r="AS596" s="182"/>
      <c r="AT596" s="182"/>
      <c r="AU596" s="182"/>
      <c r="AV596" s="182"/>
      <c r="AW596" s="182"/>
      <c r="AX596" s="182"/>
      <c r="AY596" s="182"/>
      <c r="AZ596" s="182"/>
      <c r="BA596" s="182"/>
      <c r="BB596" s="182"/>
      <c r="BC596" s="182"/>
      <c r="BD596" s="182"/>
      <c r="BE596" s="182"/>
      <c r="BF596" s="182"/>
      <c r="BG596" s="182"/>
      <c r="BH596" s="182"/>
      <c r="BI596" s="182"/>
      <c r="BJ596" s="182"/>
      <c r="BK596" s="182"/>
      <c r="BL596" s="182"/>
      <c r="BM596" s="182"/>
      <c r="BN596" s="182"/>
      <c r="BO596" s="182"/>
      <c r="BP596" s="182"/>
      <c r="BQ596" s="182"/>
      <c r="BR596" s="182"/>
      <c r="BS596" s="182"/>
      <c r="BT596" s="182"/>
      <c r="BU596" s="182"/>
      <c r="BV596" s="182"/>
      <c r="BW596" s="182"/>
      <c r="BX596" s="182"/>
      <c r="BY596" s="182"/>
      <c r="BZ596" s="182"/>
      <c r="CA596" s="182"/>
      <c r="CB596" s="182"/>
      <c r="CC596" s="182"/>
      <c r="CD596" s="182"/>
      <c r="CE596" s="182"/>
      <c r="CF596" s="182"/>
      <c r="CG596" s="182"/>
      <c r="CH596" s="182"/>
      <c r="CI596" s="182"/>
      <c r="CJ596" s="182"/>
      <c r="CK596" s="182"/>
      <c r="CL596" s="182"/>
      <c r="CM596" s="182"/>
      <c r="CN596" s="182"/>
      <c r="CO596" s="182"/>
      <c r="CP596" s="182"/>
      <c r="CQ596" s="182"/>
      <c r="CR596" s="182"/>
      <c r="CS596" s="182"/>
      <c r="CT596" s="182"/>
      <c r="CU596" s="182"/>
      <c r="CV596" s="182"/>
      <c r="CW596" s="182"/>
      <c r="CX596" s="182"/>
      <c r="CY596" s="182"/>
      <c r="CZ596" s="182"/>
      <c r="DA596" s="182"/>
      <c r="DB596" s="182"/>
      <c r="DC596" s="182"/>
      <c r="DD596" s="182"/>
      <c r="DE596" s="182"/>
      <c r="DF596" s="182"/>
      <c r="DG596" s="182"/>
      <c r="DH596" s="182"/>
      <c r="DI596" s="182"/>
      <c r="DJ596" s="182"/>
      <c r="DK596" s="182"/>
      <c r="DL596" s="182"/>
      <c r="DM596" s="182"/>
      <c r="DN596" s="182"/>
      <c r="DO596" s="182"/>
      <c r="DP596" s="182"/>
      <c r="DQ596" s="182"/>
      <c r="DR596" s="182"/>
      <c r="DS596" s="182"/>
      <c r="DT596" s="182"/>
      <c r="DU596" s="182"/>
      <c r="DV596" s="182"/>
      <c r="DW596" s="182"/>
      <c r="DX596" s="182"/>
      <c r="DY596" s="182"/>
      <c r="DZ596" s="182"/>
      <c r="EA596" s="182"/>
      <c r="EB596" s="182"/>
      <c r="EC596" s="182"/>
      <c r="ED596" s="182"/>
      <c r="EE596" s="182"/>
      <c r="EF596" s="182"/>
      <c r="EG596" s="182"/>
      <c r="EH596" s="182"/>
      <c r="EI596" s="182"/>
      <c r="EJ596" s="182"/>
      <c r="EK596" s="182"/>
      <c r="EL596" s="182"/>
      <c r="EM596" s="182"/>
      <c r="EN596" s="182"/>
      <c r="EO596" s="182"/>
      <c r="EP596" s="182"/>
      <c r="EQ596" s="182"/>
      <c r="ER596" s="182"/>
      <c r="ES596" s="182"/>
      <c r="ET596" s="182"/>
      <c r="EU596" s="182"/>
      <c r="EV596" s="182"/>
      <c r="EW596" s="182"/>
      <c r="EX596" s="182"/>
      <c r="EY596" s="182"/>
      <c r="EZ596" s="182"/>
      <c r="FA596" s="182"/>
      <c r="FB596" s="182"/>
      <c r="FC596" s="182"/>
      <c r="FD596" s="182"/>
      <c r="FE596" s="182"/>
      <c r="FF596" s="182"/>
      <c r="FG596" s="182"/>
      <c r="FH596" s="182"/>
      <c r="FI596" s="182"/>
      <c r="FJ596" s="182"/>
      <c r="FK596" s="182"/>
      <c r="FL596" s="182"/>
      <c r="FM596" s="182"/>
      <c r="FN596" s="182"/>
      <c r="FO596" s="182"/>
      <c r="FP596" s="182"/>
      <c r="FQ596" s="182"/>
      <c r="FR596" s="182"/>
      <c r="FS596" s="182"/>
      <c r="FT596" s="182"/>
      <c r="FU596" s="182"/>
      <c r="FV596" s="182"/>
      <c r="FW596" s="182"/>
      <c r="FX596" s="182"/>
      <c r="FY596" s="182"/>
      <c r="FZ596" s="182"/>
      <c r="GA596" s="182"/>
      <c r="GB596" s="182"/>
      <c r="GC596" s="182"/>
      <c r="GD596" s="182"/>
      <c r="GE596" s="182"/>
      <c r="GF596" s="182"/>
      <c r="GG596" s="182"/>
      <c r="GH596" s="182"/>
      <c r="GI596" s="182"/>
    </row>
    <row r="597" spans="1:191" s="183" customFormat="1" x14ac:dyDescent="0.2">
      <c r="A597" s="210" t="s">
        <v>38264</v>
      </c>
      <c r="B597" s="210" t="s">
        <v>20776</v>
      </c>
      <c r="C597" s="224" t="s">
        <v>22616</v>
      </c>
      <c r="D597" s="211" t="s">
        <v>16</v>
      </c>
      <c r="E597" s="211">
        <v>4</v>
      </c>
      <c r="F597" s="211"/>
      <c r="G597" s="211"/>
      <c r="H597" s="231">
        <v>5</v>
      </c>
      <c r="I597" s="213">
        <f t="shared" si="41"/>
        <v>1.6666666666666666E-2</v>
      </c>
      <c r="J597" s="272">
        <v>73.37</v>
      </c>
      <c r="K597" s="113"/>
      <c r="L597" s="213"/>
      <c r="M597" s="112">
        <f t="shared" si="42"/>
        <v>4.8899999999999997</v>
      </c>
      <c r="N597" s="112">
        <f t="shared" si="43"/>
        <v>146.69999999999999</v>
      </c>
      <c r="O597" s="114"/>
      <c r="P597" s="113"/>
      <c r="R597" s="203"/>
      <c r="S597" s="182"/>
      <c r="T597" s="182"/>
      <c r="U597" s="182"/>
      <c r="V597" s="182"/>
      <c r="W597" s="182"/>
      <c r="X597" s="182"/>
      <c r="Y597" s="182"/>
      <c r="Z597" s="182"/>
      <c r="AA597" s="182"/>
      <c r="AB597" s="182"/>
      <c r="AC597" s="182"/>
      <c r="AD597" s="182"/>
      <c r="AE597" s="182"/>
      <c r="AF597" s="182"/>
      <c r="AG597" s="182"/>
      <c r="AH597" s="182"/>
      <c r="AI597" s="182"/>
      <c r="AJ597" s="182"/>
      <c r="AK597" s="182"/>
      <c r="AL597" s="182"/>
      <c r="AM597" s="182"/>
      <c r="AN597" s="182"/>
      <c r="AO597" s="182"/>
      <c r="AP597" s="182"/>
      <c r="AQ597" s="182"/>
      <c r="AR597" s="182"/>
      <c r="AS597" s="182"/>
      <c r="AT597" s="182"/>
      <c r="AU597" s="182"/>
      <c r="AV597" s="182"/>
      <c r="AW597" s="182"/>
      <c r="AX597" s="182"/>
      <c r="AY597" s="182"/>
      <c r="AZ597" s="182"/>
      <c r="BA597" s="182"/>
      <c r="BB597" s="182"/>
      <c r="BC597" s="182"/>
      <c r="BD597" s="182"/>
      <c r="BE597" s="182"/>
      <c r="BF597" s="182"/>
      <c r="BG597" s="182"/>
      <c r="BH597" s="182"/>
      <c r="BI597" s="182"/>
      <c r="BJ597" s="182"/>
      <c r="BK597" s="182"/>
      <c r="BL597" s="182"/>
      <c r="BM597" s="182"/>
      <c r="BN597" s="182"/>
      <c r="BO597" s="182"/>
      <c r="BP597" s="182"/>
      <c r="BQ597" s="182"/>
      <c r="BR597" s="182"/>
      <c r="BS597" s="182"/>
      <c r="BT597" s="182"/>
      <c r="BU597" s="182"/>
      <c r="BV597" s="182"/>
      <c r="BW597" s="182"/>
      <c r="BX597" s="182"/>
      <c r="BY597" s="182"/>
      <c r="BZ597" s="182"/>
      <c r="CA597" s="182"/>
      <c r="CB597" s="182"/>
      <c r="CC597" s="182"/>
      <c r="CD597" s="182"/>
      <c r="CE597" s="182"/>
      <c r="CF597" s="182"/>
      <c r="CG597" s="182"/>
      <c r="CH597" s="182"/>
      <c r="CI597" s="182"/>
      <c r="CJ597" s="182"/>
      <c r="CK597" s="182"/>
      <c r="CL597" s="182"/>
      <c r="CM597" s="182"/>
      <c r="CN597" s="182"/>
      <c r="CO597" s="182"/>
      <c r="CP597" s="182"/>
      <c r="CQ597" s="182"/>
      <c r="CR597" s="182"/>
      <c r="CS597" s="182"/>
      <c r="CT597" s="182"/>
      <c r="CU597" s="182"/>
      <c r="CV597" s="182"/>
      <c r="CW597" s="182"/>
      <c r="CX597" s="182"/>
      <c r="CY597" s="182"/>
      <c r="CZ597" s="182"/>
      <c r="DA597" s="182"/>
      <c r="DB597" s="182"/>
      <c r="DC597" s="182"/>
      <c r="DD597" s="182"/>
      <c r="DE597" s="182"/>
      <c r="DF597" s="182"/>
      <c r="DG597" s="182"/>
      <c r="DH597" s="182"/>
      <c r="DI597" s="182"/>
      <c r="DJ597" s="182"/>
      <c r="DK597" s="182"/>
      <c r="DL597" s="182"/>
      <c r="DM597" s="182"/>
      <c r="DN597" s="182"/>
      <c r="DO597" s="182"/>
      <c r="DP597" s="182"/>
      <c r="DQ597" s="182"/>
      <c r="DR597" s="182"/>
      <c r="DS597" s="182"/>
      <c r="DT597" s="182"/>
      <c r="DU597" s="182"/>
      <c r="DV597" s="182"/>
      <c r="DW597" s="182"/>
      <c r="DX597" s="182"/>
      <c r="DY597" s="182"/>
      <c r="DZ597" s="182"/>
      <c r="EA597" s="182"/>
      <c r="EB597" s="182"/>
      <c r="EC597" s="182"/>
      <c r="ED597" s="182"/>
      <c r="EE597" s="182"/>
      <c r="EF597" s="182"/>
      <c r="EG597" s="182"/>
      <c r="EH597" s="182"/>
      <c r="EI597" s="182"/>
      <c r="EJ597" s="182"/>
      <c r="EK597" s="182"/>
      <c r="EL597" s="182"/>
      <c r="EM597" s="182"/>
      <c r="EN597" s="182"/>
      <c r="EO597" s="182"/>
      <c r="EP597" s="182"/>
      <c r="EQ597" s="182"/>
      <c r="ER597" s="182"/>
      <c r="ES597" s="182"/>
      <c r="ET597" s="182"/>
      <c r="EU597" s="182"/>
      <c r="EV597" s="182"/>
      <c r="EW597" s="182"/>
      <c r="EX597" s="182"/>
      <c r="EY597" s="182"/>
      <c r="EZ597" s="182"/>
      <c r="FA597" s="182"/>
      <c r="FB597" s="182"/>
      <c r="FC597" s="182"/>
      <c r="FD597" s="182"/>
      <c r="FE597" s="182"/>
      <c r="FF597" s="182"/>
      <c r="FG597" s="182"/>
      <c r="FH597" s="182"/>
      <c r="FI597" s="182"/>
      <c r="FJ597" s="182"/>
      <c r="FK597" s="182"/>
      <c r="FL597" s="182"/>
      <c r="FM597" s="182"/>
      <c r="FN597" s="182"/>
      <c r="FO597" s="182"/>
      <c r="FP597" s="182"/>
      <c r="FQ597" s="182"/>
      <c r="FR597" s="182"/>
      <c r="FS597" s="182"/>
      <c r="FT597" s="182"/>
      <c r="FU597" s="182"/>
      <c r="FV597" s="182"/>
      <c r="FW597" s="182"/>
      <c r="FX597" s="182"/>
      <c r="FY597" s="182"/>
      <c r="FZ597" s="182"/>
      <c r="GA597" s="182"/>
      <c r="GB597" s="182"/>
      <c r="GC597" s="182"/>
      <c r="GD597" s="182"/>
      <c r="GE597" s="182"/>
      <c r="GF597" s="182"/>
      <c r="GG597" s="182"/>
      <c r="GH597" s="182"/>
      <c r="GI597" s="182"/>
    </row>
    <row r="598" spans="1:191" s="183" customFormat="1" x14ac:dyDescent="0.2">
      <c r="A598" s="210" t="s">
        <v>38265</v>
      </c>
      <c r="B598" s="210" t="s">
        <v>20777</v>
      </c>
      <c r="C598" s="224" t="s">
        <v>22617</v>
      </c>
      <c r="D598" s="211" t="s">
        <v>16</v>
      </c>
      <c r="E598" s="211">
        <v>6</v>
      </c>
      <c r="F598" s="211"/>
      <c r="G598" s="211"/>
      <c r="H598" s="231">
        <v>5</v>
      </c>
      <c r="I598" s="213">
        <f t="shared" si="38"/>
        <v>1.6666666666666666E-2</v>
      </c>
      <c r="J598" s="272">
        <v>41.3</v>
      </c>
      <c r="K598" s="113"/>
      <c r="L598" s="213"/>
      <c r="M598" s="112">
        <f t="shared" si="39"/>
        <v>4.13</v>
      </c>
      <c r="N598" s="112">
        <f t="shared" si="40"/>
        <v>123.9</v>
      </c>
      <c r="O598" s="114"/>
      <c r="P598" s="113"/>
      <c r="R598" s="203"/>
      <c r="S598" s="182"/>
      <c r="T598" s="182"/>
      <c r="U598" s="182"/>
      <c r="V598" s="182"/>
      <c r="W598" s="182"/>
      <c r="X598" s="182"/>
      <c r="Y598" s="182"/>
      <c r="Z598" s="182"/>
      <c r="AA598" s="182"/>
      <c r="AB598" s="182"/>
      <c r="AC598" s="182"/>
      <c r="AD598" s="182"/>
      <c r="AE598" s="182"/>
      <c r="AF598" s="182"/>
      <c r="AG598" s="182"/>
      <c r="AH598" s="182"/>
      <c r="AI598" s="182"/>
      <c r="AJ598" s="182"/>
      <c r="AK598" s="182"/>
      <c r="AL598" s="182"/>
      <c r="AM598" s="182"/>
      <c r="AN598" s="182"/>
      <c r="AO598" s="182"/>
      <c r="AP598" s="182"/>
      <c r="AQ598" s="182"/>
      <c r="AR598" s="182"/>
      <c r="AS598" s="182"/>
      <c r="AT598" s="182"/>
      <c r="AU598" s="182"/>
      <c r="AV598" s="182"/>
      <c r="AW598" s="182"/>
      <c r="AX598" s="182"/>
      <c r="AY598" s="182"/>
      <c r="AZ598" s="182"/>
      <c r="BA598" s="182"/>
      <c r="BB598" s="182"/>
      <c r="BC598" s="182"/>
      <c r="BD598" s="182"/>
      <c r="BE598" s="182"/>
      <c r="BF598" s="182"/>
      <c r="BG598" s="182"/>
      <c r="BH598" s="182"/>
      <c r="BI598" s="182"/>
      <c r="BJ598" s="182"/>
      <c r="BK598" s="182"/>
      <c r="BL598" s="182"/>
      <c r="BM598" s="182"/>
      <c r="BN598" s="182"/>
      <c r="BO598" s="182"/>
      <c r="BP598" s="182"/>
      <c r="BQ598" s="182"/>
      <c r="BR598" s="182"/>
      <c r="BS598" s="182"/>
      <c r="BT598" s="182"/>
      <c r="BU598" s="182"/>
      <c r="BV598" s="182"/>
      <c r="BW598" s="182"/>
      <c r="BX598" s="182"/>
      <c r="BY598" s="182"/>
      <c r="BZ598" s="182"/>
      <c r="CA598" s="182"/>
      <c r="CB598" s="182"/>
      <c r="CC598" s="182"/>
      <c r="CD598" s="182"/>
      <c r="CE598" s="182"/>
      <c r="CF598" s="182"/>
      <c r="CG598" s="182"/>
      <c r="CH598" s="182"/>
      <c r="CI598" s="182"/>
      <c r="CJ598" s="182"/>
      <c r="CK598" s="182"/>
      <c r="CL598" s="182"/>
      <c r="CM598" s="182"/>
      <c r="CN598" s="182"/>
      <c r="CO598" s="182"/>
      <c r="CP598" s="182"/>
      <c r="CQ598" s="182"/>
      <c r="CR598" s="182"/>
      <c r="CS598" s="182"/>
      <c r="CT598" s="182"/>
      <c r="CU598" s="182"/>
      <c r="CV598" s="182"/>
      <c r="CW598" s="182"/>
      <c r="CX598" s="182"/>
      <c r="CY598" s="182"/>
      <c r="CZ598" s="182"/>
      <c r="DA598" s="182"/>
      <c r="DB598" s="182"/>
      <c r="DC598" s="182"/>
      <c r="DD598" s="182"/>
      <c r="DE598" s="182"/>
      <c r="DF598" s="182"/>
      <c r="DG598" s="182"/>
      <c r="DH598" s="182"/>
      <c r="DI598" s="182"/>
      <c r="DJ598" s="182"/>
      <c r="DK598" s="182"/>
      <c r="DL598" s="182"/>
      <c r="DM598" s="182"/>
      <c r="DN598" s="182"/>
      <c r="DO598" s="182"/>
      <c r="DP598" s="182"/>
      <c r="DQ598" s="182"/>
      <c r="DR598" s="182"/>
      <c r="DS598" s="182"/>
      <c r="DT598" s="182"/>
      <c r="DU598" s="182"/>
      <c r="DV598" s="182"/>
      <c r="DW598" s="182"/>
      <c r="DX598" s="182"/>
      <c r="DY598" s="182"/>
      <c r="DZ598" s="182"/>
      <c r="EA598" s="182"/>
      <c r="EB598" s="182"/>
      <c r="EC598" s="182"/>
      <c r="ED598" s="182"/>
      <c r="EE598" s="182"/>
      <c r="EF598" s="182"/>
      <c r="EG598" s="182"/>
      <c r="EH598" s="182"/>
      <c r="EI598" s="182"/>
      <c r="EJ598" s="182"/>
      <c r="EK598" s="182"/>
      <c r="EL598" s="182"/>
      <c r="EM598" s="182"/>
      <c r="EN598" s="182"/>
      <c r="EO598" s="182"/>
      <c r="EP598" s="182"/>
      <c r="EQ598" s="182"/>
      <c r="ER598" s="182"/>
      <c r="ES598" s="182"/>
      <c r="ET598" s="182"/>
      <c r="EU598" s="182"/>
      <c r="EV598" s="182"/>
      <c r="EW598" s="182"/>
      <c r="EX598" s="182"/>
      <c r="EY598" s="182"/>
      <c r="EZ598" s="182"/>
      <c r="FA598" s="182"/>
      <c r="FB598" s="182"/>
      <c r="FC598" s="182"/>
      <c r="FD598" s="182"/>
      <c r="FE598" s="182"/>
      <c r="FF598" s="182"/>
      <c r="FG598" s="182"/>
      <c r="FH598" s="182"/>
      <c r="FI598" s="182"/>
      <c r="FJ598" s="182"/>
      <c r="FK598" s="182"/>
      <c r="FL598" s="182"/>
      <c r="FM598" s="182"/>
      <c r="FN598" s="182"/>
      <c r="FO598" s="182"/>
      <c r="FP598" s="182"/>
      <c r="FQ598" s="182"/>
      <c r="FR598" s="182"/>
      <c r="FS598" s="182"/>
      <c r="FT598" s="182"/>
      <c r="FU598" s="182"/>
      <c r="FV598" s="182"/>
      <c r="FW598" s="182"/>
      <c r="FX598" s="182"/>
      <c r="FY598" s="182"/>
      <c r="FZ598" s="182"/>
      <c r="GA598" s="182"/>
      <c r="GB598" s="182"/>
      <c r="GC598" s="182"/>
      <c r="GD598" s="182"/>
      <c r="GE598" s="182"/>
      <c r="GF598" s="182"/>
      <c r="GG598" s="182"/>
      <c r="GH598" s="182"/>
      <c r="GI598" s="182"/>
    </row>
    <row r="599" spans="1:191" s="183" customFormat="1" x14ac:dyDescent="0.2">
      <c r="A599" s="210" t="s">
        <v>38266</v>
      </c>
      <c r="B599" s="210" t="s">
        <v>20778</v>
      </c>
      <c r="C599" s="224" t="s">
        <v>22618</v>
      </c>
      <c r="D599" s="211" t="s">
        <v>16</v>
      </c>
      <c r="E599" s="211">
        <v>8</v>
      </c>
      <c r="F599" s="211"/>
      <c r="G599" s="211"/>
      <c r="H599" s="231">
        <v>5</v>
      </c>
      <c r="I599" s="213">
        <f t="shared" si="38"/>
        <v>1.6666666666666666E-2</v>
      </c>
      <c r="J599" s="272">
        <v>112.44</v>
      </c>
      <c r="K599" s="113"/>
      <c r="L599" s="213"/>
      <c r="M599" s="112">
        <f t="shared" si="39"/>
        <v>14.99</v>
      </c>
      <c r="N599" s="112">
        <f t="shared" si="40"/>
        <v>449.7</v>
      </c>
      <c r="O599" s="114"/>
      <c r="P599" s="113"/>
      <c r="R599" s="203"/>
      <c r="S599" s="182"/>
      <c r="T599" s="182"/>
      <c r="U599" s="182"/>
      <c r="V599" s="182"/>
      <c r="W599" s="182"/>
      <c r="X599" s="182"/>
      <c r="Y599" s="182"/>
      <c r="Z599" s="182"/>
      <c r="AA599" s="182"/>
      <c r="AB599" s="182"/>
      <c r="AC599" s="182"/>
      <c r="AD599" s="182"/>
      <c r="AE599" s="182"/>
      <c r="AF599" s="182"/>
      <c r="AG599" s="182"/>
      <c r="AH599" s="182"/>
      <c r="AI599" s="182"/>
      <c r="AJ599" s="182"/>
      <c r="AK599" s="182"/>
      <c r="AL599" s="182"/>
      <c r="AM599" s="182"/>
      <c r="AN599" s="182"/>
      <c r="AO599" s="182"/>
      <c r="AP599" s="182"/>
      <c r="AQ599" s="182"/>
      <c r="AR599" s="182"/>
      <c r="AS599" s="182"/>
      <c r="AT599" s="182"/>
      <c r="AU599" s="182"/>
      <c r="AV599" s="182"/>
      <c r="AW599" s="182"/>
      <c r="AX599" s="182"/>
      <c r="AY599" s="182"/>
      <c r="AZ599" s="182"/>
      <c r="BA599" s="182"/>
      <c r="BB599" s="182"/>
      <c r="BC599" s="182"/>
      <c r="BD599" s="182"/>
      <c r="BE599" s="182"/>
      <c r="BF599" s="182"/>
      <c r="BG599" s="182"/>
      <c r="BH599" s="182"/>
      <c r="BI599" s="182"/>
      <c r="BJ599" s="182"/>
      <c r="BK599" s="182"/>
      <c r="BL599" s="182"/>
      <c r="BM599" s="182"/>
      <c r="BN599" s="182"/>
      <c r="BO599" s="182"/>
      <c r="BP599" s="182"/>
      <c r="BQ599" s="182"/>
      <c r="BR599" s="182"/>
      <c r="BS599" s="182"/>
      <c r="BT599" s="182"/>
      <c r="BU599" s="182"/>
      <c r="BV599" s="182"/>
      <c r="BW599" s="182"/>
      <c r="BX599" s="182"/>
      <c r="BY599" s="182"/>
      <c r="BZ599" s="182"/>
      <c r="CA599" s="182"/>
      <c r="CB599" s="182"/>
      <c r="CC599" s="182"/>
      <c r="CD599" s="182"/>
      <c r="CE599" s="182"/>
      <c r="CF599" s="182"/>
      <c r="CG599" s="182"/>
      <c r="CH599" s="182"/>
      <c r="CI599" s="182"/>
      <c r="CJ599" s="182"/>
      <c r="CK599" s="182"/>
      <c r="CL599" s="182"/>
      <c r="CM599" s="182"/>
      <c r="CN599" s="182"/>
      <c r="CO599" s="182"/>
      <c r="CP599" s="182"/>
      <c r="CQ599" s="182"/>
      <c r="CR599" s="182"/>
      <c r="CS599" s="182"/>
      <c r="CT599" s="182"/>
      <c r="CU599" s="182"/>
      <c r="CV599" s="182"/>
      <c r="CW599" s="182"/>
      <c r="CX599" s="182"/>
      <c r="CY599" s="182"/>
      <c r="CZ599" s="182"/>
      <c r="DA599" s="182"/>
      <c r="DB599" s="182"/>
      <c r="DC599" s="182"/>
      <c r="DD599" s="182"/>
      <c r="DE599" s="182"/>
      <c r="DF599" s="182"/>
      <c r="DG599" s="182"/>
      <c r="DH599" s="182"/>
      <c r="DI599" s="182"/>
      <c r="DJ599" s="182"/>
      <c r="DK599" s="182"/>
      <c r="DL599" s="182"/>
      <c r="DM599" s="182"/>
      <c r="DN599" s="182"/>
      <c r="DO599" s="182"/>
      <c r="DP599" s="182"/>
      <c r="DQ599" s="182"/>
      <c r="DR599" s="182"/>
      <c r="DS599" s="182"/>
      <c r="DT599" s="182"/>
      <c r="DU599" s="182"/>
      <c r="DV599" s="182"/>
      <c r="DW599" s="182"/>
      <c r="DX599" s="182"/>
      <c r="DY599" s="182"/>
      <c r="DZ599" s="182"/>
      <c r="EA599" s="182"/>
      <c r="EB599" s="182"/>
      <c r="EC599" s="182"/>
      <c r="ED599" s="182"/>
      <c r="EE599" s="182"/>
      <c r="EF599" s="182"/>
      <c r="EG599" s="182"/>
      <c r="EH599" s="182"/>
      <c r="EI599" s="182"/>
      <c r="EJ599" s="182"/>
      <c r="EK599" s="182"/>
      <c r="EL599" s="182"/>
      <c r="EM599" s="182"/>
      <c r="EN599" s="182"/>
      <c r="EO599" s="182"/>
      <c r="EP599" s="182"/>
      <c r="EQ599" s="182"/>
      <c r="ER599" s="182"/>
      <c r="ES599" s="182"/>
      <c r="ET599" s="182"/>
      <c r="EU599" s="182"/>
      <c r="EV599" s="182"/>
      <c r="EW599" s="182"/>
      <c r="EX599" s="182"/>
      <c r="EY599" s="182"/>
      <c r="EZ599" s="182"/>
      <c r="FA599" s="182"/>
      <c r="FB599" s="182"/>
      <c r="FC599" s="182"/>
      <c r="FD599" s="182"/>
      <c r="FE599" s="182"/>
      <c r="FF599" s="182"/>
      <c r="FG599" s="182"/>
      <c r="FH599" s="182"/>
      <c r="FI599" s="182"/>
      <c r="FJ599" s="182"/>
      <c r="FK599" s="182"/>
      <c r="FL599" s="182"/>
      <c r="FM599" s="182"/>
      <c r="FN599" s="182"/>
      <c r="FO599" s="182"/>
      <c r="FP599" s="182"/>
      <c r="FQ599" s="182"/>
      <c r="FR599" s="182"/>
      <c r="FS599" s="182"/>
      <c r="FT599" s="182"/>
      <c r="FU599" s="182"/>
      <c r="FV599" s="182"/>
      <c r="FW599" s="182"/>
      <c r="FX599" s="182"/>
      <c r="FY599" s="182"/>
      <c r="FZ599" s="182"/>
      <c r="GA599" s="182"/>
      <c r="GB599" s="182"/>
      <c r="GC599" s="182"/>
      <c r="GD599" s="182"/>
      <c r="GE599" s="182"/>
      <c r="GF599" s="182"/>
      <c r="GG599" s="182"/>
      <c r="GH599" s="182"/>
      <c r="GI599" s="182"/>
    </row>
    <row r="600" spans="1:191" s="183" customFormat="1" x14ac:dyDescent="0.2">
      <c r="A600" s="210" t="s">
        <v>38267</v>
      </c>
      <c r="B600" s="210" t="s">
        <v>20779</v>
      </c>
      <c r="C600" s="224" t="s">
        <v>22619</v>
      </c>
      <c r="D600" s="211" t="s">
        <v>16</v>
      </c>
      <c r="E600" s="211">
        <v>3</v>
      </c>
      <c r="F600" s="211"/>
      <c r="G600" s="211"/>
      <c r="H600" s="231">
        <v>10</v>
      </c>
      <c r="I600" s="213">
        <f t="shared" si="38"/>
        <v>8.3333333333333332E-3</v>
      </c>
      <c r="J600" s="272">
        <v>2764.5</v>
      </c>
      <c r="K600" s="113"/>
      <c r="L600" s="213"/>
      <c r="M600" s="112">
        <f t="shared" si="39"/>
        <v>69.11</v>
      </c>
      <c r="N600" s="112">
        <f t="shared" si="40"/>
        <v>2073.3000000000002</v>
      </c>
      <c r="O600" s="114"/>
      <c r="P600" s="113"/>
      <c r="R600" s="203"/>
      <c r="S600" s="182"/>
      <c r="T600" s="182"/>
      <c r="U600" s="182"/>
      <c r="V600" s="182"/>
      <c r="W600" s="182"/>
      <c r="X600" s="182"/>
      <c r="Y600" s="182"/>
      <c r="Z600" s="182"/>
      <c r="AA600" s="182"/>
      <c r="AB600" s="182"/>
      <c r="AC600" s="182"/>
      <c r="AD600" s="182"/>
      <c r="AE600" s="182"/>
      <c r="AF600" s="182"/>
      <c r="AG600" s="182"/>
      <c r="AH600" s="182"/>
      <c r="AI600" s="182"/>
      <c r="AJ600" s="182"/>
      <c r="AK600" s="182"/>
      <c r="AL600" s="182"/>
      <c r="AM600" s="182"/>
      <c r="AN600" s="182"/>
      <c r="AO600" s="182"/>
      <c r="AP600" s="182"/>
      <c r="AQ600" s="182"/>
      <c r="AR600" s="182"/>
      <c r="AS600" s="182"/>
      <c r="AT600" s="182"/>
      <c r="AU600" s="182"/>
      <c r="AV600" s="182"/>
      <c r="AW600" s="182"/>
      <c r="AX600" s="182"/>
      <c r="AY600" s="182"/>
      <c r="AZ600" s="182"/>
      <c r="BA600" s="182"/>
      <c r="BB600" s="182"/>
      <c r="BC600" s="182"/>
      <c r="BD600" s="182"/>
      <c r="BE600" s="182"/>
      <c r="BF600" s="182"/>
      <c r="BG600" s="182"/>
      <c r="BH600" s="182"/>
      <c r="BI600" s="182"/>
      <c r="BJ600" s="182"/>
      <c r="BK600" s="182"/>
      <c r="BL600" s="182"/>
      <c r="BM600" s="182"/>
      <c r="BN600" s="182"/>
      <c r="BO600" s="182"/>
      <c r="BP600" s="182"/>
      <c r="BQ600" s="182"/>
      <c r="BR600" s="182"/>
      <c r="BS600" s="182"/>
      <c r="BT600" s="182"/>
      <c r="BU600" s="182"/>
      <c r="BV600" s="182"/>
      <c r="BW600" s="182"/>
      <c r="BX600" s="182"/>
      <c r="BY600" s="182"/>
      <c r="BZ600" s="182"/>
      <c r="CA600" s="182"/>
      <c r="CB600" s="182"/>
      <c r="CC600" s="182"/>
      <c r="CD600" s="182"/>
      <c r="CE600" s="182"/>
      <c r="CF600" s="182"/>
      <c r="CG600" s="182"/>
      <c r="CH600" s="182"/>
      <c r="CI600" s="182"/>
      <c r="CJ600" s="182"/>
      <c r="CK600" s="182"/>
      <c r="CL600" s="182"/>
      <c r="CM600" s="182"/>
      <c r="CN600" s="182"/>
      <c r="CO600" s="182"/>
      <c r="CP600" s="182"/>
      <c r="CQ600" s="182"/>
      <c r="CR600" s="182"/>
      <c r="CS600" s="182"/>
      <c r="CT600" s="182"/>
      <c r="CU600" s="182"/>
      <c r="CV600" s="182"/>
      <c r="CW600" s="182"/>
      <c r="CX600" s="182"/>
      <c r="CY600" s="182"/>
      <c r="CZ600" s="182"/>
      <c r="DA600" s="182"/>
      <c r="DB600" s="182"/>
      <c r="DC600" s="182"/>
      <c r="DD600" s="182"/>
      <c r="DE600" s="182"/>
      <c r="DF600" s="182"/>
      <c r="DG600" s="182"/>
      <c r="DH600" s="182"/>
      <c r="DI600" s="182"/>
      <c r="DJ600" s="182"/>
      <c r="DK600" s="182"/>
      <c r="DL600" s="182"/>
      <c r="DM600" s="182"/>
      <c r="DN600" s="182"/>
      <c r="DO600" s="182"/>
      <c r="DP600" s="182"/>
      <c r="DQ600" s="182"/>
      <c r="DR600" s="182"/>
      <c r="DS600" s="182"/>
      <c r="DT600" s="182"/>
      <c r="DU600" s="182"/>
      <c r="DV600" s="182"/>
      <c r="DW600" s="182"/>
      <c r="DX600" s="182"/>
      <c r="DY600" s="182"/>
      <c r="DZ600" s="182"/>
      <c r="EA600" s="182"/>
      <c r="EB600" s="182"/>
      <c r="EC600" s="182"/>
      <c r="ED600" s="182"/>
      <c r="EE600" s="182"/>
      <c r="EF600" s="182"/>
      <c r="EG600" s="182"/>
      <c r="EH600" s="182"/>
      <c r="EI600" s="182"/>
      <c r="EJ600" s="182"/>
      <c r="EK600" s="182"/>
      <c r="EL600" s="182"/>
      <c r="EM600" s="182"/>
      <c r="EN600" s="182"/>
      <c r="EO600" s="182"/>
      <c r="EP600" s="182"/>
      <c r="EQ600" s="182"/>
      <c r="ER600" s="182"/>
      <c r="ES600" s="182"/>
      <c r="ET600" s="182"/>
      <c r="EU600" s="182"/>
      <c r="EV600" s="182"/>
      <c r="EW600" s="182"/>
      <c r="EX600" s="182"/>
      <c r="EY600" s="182"/>
      <c r="EZ600" s="182"/>
      <c r="FA600" s="182"/>
      <c r="FB600" s="182"/>
      <c r="FC600" s="182"/>
      <c r="FD600" s="182"/>
      <c r="FE600" s="182"/>
      <c r="FF600" s="182"/>
      <c r="FG600" s="182"/>
      <c r="FH600" s="182"/>
      <c r="FI600" s="182"/>
      <c r="FJ600" s="182"/>
      <c r="FK600" s="182"/>
      <c r="FL600" s="182"/>
      <c r="FM600" s="182"/>
      <c r="FN600" s="182"/>
      <c r="FO600" s="182"/>
      <c r="FP600" s="182"/>
      <c r="FQ600" s="182"/>
      <c r="FR600" s="182"/>
      <c r="FS600" s="182"/>
      <c r="FT600" s="182"/>
      <c r="FU600" s="182"/>
      <c r="FV600" s="182"/>
      <c r="FW600" s="182"/>
      <c r="FX600" s="182"/>
      <c r="FY600" s="182"/>
      <c r="FZ600" s="182"/>
      <c r="GA600" s="182"/>
      <c r="GB600" s="182"/>
      <c r="GC600" s="182"/>
      <c r="GD600" s="182"/>
      <c r="GE600" s="182"/>
      <c r="GF600" s="182"/>
      <c r="GG600" s="182"/>
      <c r="GH600" s="182"/>
      <c r="GI600" s="182"/>
    </row>
    <row r="601" spans="1:191" s="183" customFormat="1" x14ac:dyDescent="0.2">
      <c r="A601" s="210" t="s">
        <v>38268</v>
      </c>
      <c r="B601" s="210" t="s">
        <v>20780</v>
      </c>
      <c r="C601" s="224" t="s">
        <v>22620</v>
      </c>
      <c r="D601" s="211" t="s">
        <v>16</v>
      </c>
      <c r="E601" s="211">
        <v>1</v>
      </c>
      <c r="F601" s="211"/>
      <c r="G601" s="211"/>
      <c r="H601" s="231">
        <v>10</v>
      </c>
      <c r="I601" s="213">
        <f t="shared" si="38"/>
        <v>8.3333333333333332E-3</v>
      </c>
      <c r="J601" s="272">
        <v>8985.5300000000007</v>
      </c>
      <c r="K601" s="113"/>
      <c r="L601" s="213"/>
      <c r="M601" s="112">
        <f t="shared" si="39"/>
        <v>74.88</v>
      </c>
      <c r="N601" s="112">
        <f t="shared" si="40"/>
        <v>2246.4</v>
      </c>
      <c r="O601" s="114"/>
      <c r="P601" s="113"/>
      <c r="R601" s="203"/>
      <c r="S601" s="182"/>
      <c r="T601" s="182"/>
      <c r="U601" s="182"/>
      <c r="V601" s="182"/>
      <c r="W601" s="182"/>
      <c r="X601" s="182"/>
      <c r="Y601" s="182"/>
      <c r="Z601" s="182"/>
      <c r="AA601" s="182"/>
      <c r="AB601" s="182"/>
      <c r="AC601" s="182"/>
      <c r="AD601" s="182"/>
      <c r="AE601" s="182"/>
      <c r="AF601" s="182"/>
      <c r="AG601" s="182"/>
      <c r="AH601" s="182"/>
      <c r="AI601" s="182"/>
      <c r="AJ601" s="182"/>
      <c r="AK601" s="182"/>
      <c r="AL601" s="182"/>
      <c r="AM601" s="182"/>
      <c r="AN601" s="182"/>
      <c r="AO601" s="182"/>
      <c r="AP601" s="182"/>
      <c r="AQ601" s="182"/>
      <c r="AR601" s="182"/>
      <c r="AS601" s="182"/>
      <c r="AT601" s="182"/>
      <c r="AU601" s="182"/>
      <c r="AV601" s="182"/>
      <c r="AW601" s="182"/>
      <c r="AX601" s="182"/>
      <c r="AY601" s="182"/>
      <c r="AZ601" s="182"/>
      <c r="BA601" s="182"/>
      <c r="BB601" s="182"/>
      <c r="BC601" s="182"/>
      <c r="BD601" s="182"/>
      <c r="BE601" s="182"/>
      <c r="BF601" s="182"/>
      <c r="BG601" s="182"/>
      <c r="BH601" s="182"/>
      <c r="BI601" s="182"/>
      <c r="BJ601" s="182"/>
      <c r="BK601" s="182"/>
      <c r="BL601" s="182"/>
      <c r="BM601" s="182"/>
      <c r="BN601" s="182"/>
      <c r="BO601" s="182"/>
      <c r="BP601" s="182"/>
      <c r="BQ601" s="182"/>
      <c r="BR601" s="182"/>
      <c r="BS601" s="182"/>
      <c r="BT601" s="182"/>
      <c r="BU601" s="182"/>
      <c r="BV601" s="182"/>
      <c r="BW601" s="182"/>
      <c r="BX601" s="182"/>
      <c r="BY601" s="182"/>
      <c r="BZ601" s="182"/>
      <c r="CA601" s="182"/>
      <c r="CB601" s="182"/>
      <c r="CC601" s="182"/>
      <c r="CD601" s="182"/>
      <c r="CE601" s="182"/>
      <c r="CF601" s="182"/>
      <c r="CG601" s="182"/>
      <c r="CH601" s="182"/>
      <c r="CI601" s="182"/>
      <c r="CJ601" s="182"/>
      <c r="CK601" s="182"/>
      <c r="CL601" s="182"/>
      <c r="CM601" s="182"/>
      <c r="CN601" s="182"/>
      <c r="CO601" s="182"/>
      <c r="CP601" s="182"/>
      <c r="CQ601" s="182"/>
      <c r="CR601" s="182"/>
      <c r="CS601" s="182"/>
      <c r="CT601" s="182"/>
      <c r="CU601" s="182"/>
      <c r="CV601" s="182"/>
      <c r="CW601" s="182"/>
      <c r="CX601" s="182"/>
      <c r="CY601" s="182"/>
      <c r="CZ601" s="182"/>
      <c r="DA601" s="182"/>
      <c r="DB601" s="182"/>
      <c r="DC601" s="182"/>
      <c r="DD601" s="182"/>
      <c r="DE601" s="182"/>
      <c r="DF601" s="182"/>
      <c r="DG601" s="182"/>
      <c r="DH601" s="182"/>
      <c r="DI601" s="182"/>
      <c r="DJ601" s="182"/>
      <c r="DK601" s="182"/>
      <c r="DL601" s="182"/>
      <c r="DM601" s="182"/>
      <c r="DN601" s="182"/>
      <c r="DO601" s="182"/>
      <c r="DP601" s="182"/>
      <c r="DQ601" s="182"/>
      <c r="DR601" s="182"/>
      <c r="DS601" s="182"/>
      <c r="DT601" s="182"/>
      <c r="DU601" s="182"/>
      <c r="DV601" s="182"/>
      <c r="DW601" s="182"/>
      <c r="DX601" s="182"/>
      <c r="DY601" s="182"/>
      <c r="DZ601" s="182"/>
      <c r="EA601" s="182"/>
      <c r="EB601" s="182"/>
      <c r="EC601" s="182"/>
      <c r="ED601" s="182"/>
      <c r="EE601" s="182"/>
      <c r="EF601" s="182"/>
      <c r="EG601" s="182"/>
      <c r="EH601" s="182"/>
      <c r="EI601" s="182"/>
      <c r="EJ601" s="182"/>
      <c r="EK601" s="182"/>
      <c r="EL601" s="182"/>
      <c r="EM601" s="182"/>
      <c r="EN601" s="182"/>
      <c r="EO601" s="182"/>
      <c r="EP601" s="182"/>
      <c r="EQ601" s="182"/>
      <c r="ER601" s="182"/>
      <c r="ES601" s="182"/>
      <c r="ET601" s="182"/>
      <c r="EU601" s="182"/>
      <c r="EV601" s="182"/>
      <c r="EW601" s="182"/>
      <c r="EX601" s="182"/>
      <c r="EY601" s="182"/>
      <c r="EZ601" s="182"/>
      <c r="FA601" s="182"/>
      <c r="FB601" s="182"/>
      <c r="FC601" s="182"/>
      <c r="FD601" s="182"/>
      <c r="FE601" s="182"/>
      <c r="FF601" s="182"/>
      <c r="FG601" s="182"/>
      <c r="FH601" s="182"/>
      <c r="FI601" s="182"/>
      <c r="FJ601" s="182"/>
      <c r="FK601" s="182"/>
      <c r="FL601" s="182"/>
      <c r="FM601" s="182"/>
      <c r="FN601" s="182"/>
      <c r="FO601" s="182"/>
      <c r="FP601" s="182"/>
      <c r="FQ601" s="182"/>
      <c r="FR601" s="182"/>
      <c r="FS601" s="182"/>
      <c r="FT601" s="182"/>
      <c r="FU601" s="182"/>
      <c r="FV601" s="182"/>
      <c r="FW601" s="182"/>
      <c r="FX601" s="182"/>
      <c r="FY601" s="182"/>
      <c r="FZ601" s="182"/>
      <c r="GA601" s="182"/>
      <c r="GB601" s="182"/>
      <c r="GC601" s="182"/>
      <c r="GD601" s="182"/>
      <c r="GE601" s="182"/>
      <c r="GF601" s="182"/>
      <c r="GG601" s="182"/>
      <c r="GH601" s="182"/>
      <c r="GI601" s="182"/>
    </row>
    <row r="602" spans="1:191" s="183" customFormat="1" x14ac:dyDescent="0.2">
      <c r="A602" s="210" t="s">
        <v>38269</v>
      </c>
      <c r="B602" s="210" t="s">
        <v>20781</v>
      </c>
      <c r="C602" s="224" t="s">
        <v>22621</v>
      </c>
      <c r="D602" s="211" t="s">
        <v>16</v>
      </c>
      <c r="E602" s="211">
        <v>36</v>
      </c>
      <c r="F602" s="211"/>
      <c r="G602" s="211"/>
      <c r="H602" s="231">
        <v>5</v>
      </c>
      <c r="I602" s="213">
        <f t="shared" si="38"/>
        <v>1.6666666666666666E-2</v>
      </c>
      <c r="J602" s="272">
        <v>8.8699999999999992</v>
      </c>
      <c r="K602" s="113"/>
      <c r="L602" s="213"/>
      <c r="M602" s="112">
        <f t="shared" si="39"/>
        <v>5.32</v>
      </c>
      <c r="N602" s="112">
        <f t="shared" si="40"/>
        <v>159.6</v>
      </c>
      <c r="O602" s="114"/>
      <c r="P602" s="113"/>
      <c r="R602" s="203"/>
      <c r="S602" s="182"/>
      <c r="T602" s="182"/>
      <c r="U602" s="182"/>
      <c r="V602" s="182"/>
      <c r="W602" s="182"/>
      <c r="X602" s="182"/>
      <c r="Y602" s="182"/>
      <c r="Z602" s="182"/>
      <c r="AA602" s="182"/>
      <c r="AB602" s="182"/>
      <c r="AC602" s="182"/>
      <c r="AD602" s="182"/>
      <c r="AE602" s="182"/>
      <c r="AF602" s="182"/>
      <c r="AG602" s="182"/>
      <c r="AH602" s="182"/>
      <c r="AI602" s="182"/>
      <c r="AJ602" s="182"/>
      <c r="AK602" s="182"/>
      <c r="AL602" s="182"/>
      <c r="AM602" s="182"/>
      <c r="AN602" s="182"/>
      <c r="AO602" s="182"/>
      <c r="AP602" s="182"/>
      <c r="AQ602" s="182"/>
      <c r="AR602" s="182"/>
      <c r="AS602" s="182"/>
      <c r="AT602" s="182"/>
      <c r="AU602" s="182"/>
      <c r="AV602" s="182"/>
      <c r="AW602" s="182"/>
      <c r="AX602" s="182"/>
      <c r="AY602" s="182"/>
      <c r="AZ602" s="182"/>
      <c r="BA602" s="182"/>
      <c r="BB602" s="182"/>
      <c r="BC602" s="182"/>
      <c r="BD602" s="182"/>
      <c r="BE602" s="182"/>
      <c r="BF602" s="182"/>
      <c r="BG602" s="182"/>
      <c r="BH602" s="182"/>
      <c r="BI602" s="182"/>
      <c r="BJ602" s="182"/>
      <c r="BK602" s="182"/>
      <c r="BL602" s="182"/>
      <c r="BM602" s="182"/>
      <c r="BN602" s="182"/>
      <c r="BO602" s="182"/>
      <c r="BP602" s="182"/>
      <c r="BQ602" s="182"/>
      <c r="BR602" s="182"/>
      <c r="BS602" s="182"/>
      <c r="BT602" s="182"/>
      <c r="BU602" s="182"/>
      <c r="BV602" s="182"/>
      <c r="BW602" s="182"/>
      <c r="BX602" s="182"/>
      <c r="BY602" s="182"/>
      <c r="BZ602" s="182"/>
      <c r="CA602" s="182"/>
      <c r="CB602" s="182"/>
      <c r="CC602" s="182"/>
      <c r="CD602" s="182"/>
      <c r="CE602" s="182"/>
      <c r="CF602" s="182"/>
      <c r="CG602" s="182"/>
      <c r="CH602" s="182"/>
      <c r="CI602" s="182"/>
      <c r="CJ602" s="182"/>
      <c r="CK602" s="182"/>
      <c r="CL602" s="182"/>
      <c r="CM602" s="182"/>
      <c r="CN602" s="182"/>
      <c r="CO602" s="182"/>
      <c r="CP602" s="182"/>
      <c r="CQ602" s="182"/>
      <c r="CR602" s="182"/>
      <c r="CS602" s="182"/>
      <c r="CT602" s="182"/>
      <c r="CU602" s="182"/>
      <c r="CV602" s="182"/>
      <c r="CW602" s="182"/>
      <c r="CX602" s="182"/>
      <c r="CY602" s="182"/>
      <c r="CZ602" s="182"/>
      <c r="DA602" s="182"/>
      <c r="DB602" s="182"/>
      <c r="DC602" s="182"/>
      <c r="DD602" s="182"/>
      <c r="DE602" s="182"/>
      <c r="DF602" s="182"/>
      <c r="DG602" s="182"/>
      <c r="DH602" s="182"/>
      <c r="DI602" s="182"/>
      <c r="DJ602" s="182"/>
      <c r="DK602" s="182"/>
      <c r="DL602" s="182"/>
      <c r="DM602" s="182"/>
      <c r="DN602" s="182"/>
      <c r="DO602" s="182"/>
      <c r="DP602" s="182"/>
      <c r="DQ602" s="182"/>
      <c r="DR602" s="182"/>
      <c r="DS602" s="182"/>
      <c r="DT602" s="182"/>
      <c r="DU602" s="182"/>
      <c r="DV602" s="182"/>
      <c r="DW602" s="182"/>
      <c r="DX602" s="182"/>
      <c r="DY602" s="182"/>
      <c r="DZ602" s="182"/>
      <c r="EA602" s="182"/>
      <c r="EB602" s="182"/>
      <c r="EC602" s="182"/>
      <c r="ED602" s="182"/>
      <c r="EE602" s="182"/>
      <c r="EF602" s="182"/>
      <c r="EG602" s="182"/>
      <c r="EH602" s="182"/>
      <c r="EI602" s="182"/>
      <c r="EJ602" s="182"/>
      <c r="EK602" s="182"/>
      <c r="EL602" s="182"/>
      <c r="EM602" s="182"/>
      <c r="EN602" s="182"/>
      <c r="EO602" s="182"/>
      <c r="EP602" s="182"/>
      <c r="EQ602" s="182"/>
      <c r="ER602" s="182"/>
      <c r="ES602" s="182"/>
      <c r="ET602" s="182"/>
      <c r="EU602" s="182"/>
      <c r="EV602" s="182"/>
      <c r="EW602" s="182"/>
      <c r="EX602" s="182"/>
      <c r="EY602" s="182"/>
      <c r="EZ602" s="182"/>
      <c r="FA602" s="182"/>
      <c r="FB602" s="182"/>
      <c r="FC602" s="182"/>
      <c r="FD602" s="182"/>
      <c r="FE602" s="182"/>
      <c r="FF602" s="182"/>
      <c r="FG602" s="182"/>
      <c r="FH602" s="182"/>
      <c r="FI602" s="182"/>
      <c r="FJ602" s="182"/>
      <c r="FK602" s="182"/>
      <c r="FL602" s="182"/>
      <c r="FM602" s="182"/>
      <c r="FN602" s="182"/>
      <c r="FO602" s="182"/>
      <c r="FP602" s="182"/>
      <c r="FQ602" s="182"/>
      <c r="FR602" s="182"/>
      <c r="FS602" s="182"/>
      <c r="FT602" s="182"/>
      <c r="FU602" s="182"/>
      <c r="FV602" s="182"/>
      <c r="FW602" s="182"/>
      <c r="FX602" s="182"/>
      <c r="FY602" s="182"/>
      <c r="FZ602" s="182"/>
      <c r="GA602" s="182"/>
      <c r="GB602" s="182"/>
      <c r="GC602" s="182"/>
      <c r="GD602" s="182"/>
      <c r="GE602" s="182"/>
      <c r="GF602" s="182"/>
      <c r="GG602" s="182"/>
      <c r="GH602" s="182"/>
      <c r="GI602" s="182"/>
    </row>
    <row r="603" spans="1:191" s="183" customFormat="1" x14ac:dyDescent="0.2">
      <c r="A603" s="210" t="s">
        <v>38270</v>
      </c>
      <c r="B603" s="210" t="s">
        <v>20782</v>
      </c>
      <c r="C603" s="224" t="s">
        <v>22622</v>
      </c>
      <c r="D603" s="211" t="s">
        <v>16</v>
      </c>
      <c r="E603" s="211">
        <v>3</v>
      </c>
      <c r="F603" s="211"/>
      <c r="G603" s="211"/>
      <c r="H603" s="231">
        <v>5</v>
      </c>
      <c r="I603" s="213">
        <f t="shared" si="38"/>
        <v>1.6666666666666666E-2</v>
      </c>
      <c r="J603" s="272">
        <v>163.63999999999999</v>
      </c>
      <c r="K603" s="113"/>
      <c r="L603" s="213"/>
      <c r="M603" s="112">
        <f t="shared" si="39"/>
        <v>8.18</v>
      </c>
      <c r="N603" s="112">
        <f t="shared" si="40"/>
        <v>245.4</v>
      </c>
      <c r="O603" s="114"/>
      <c r="P603" s="113"/>
      <c r="R603" s="203"/>
      <c r="S603" s="182"/>
      <c r="T603" s="182"/>
      <c r="U603" s="182"/>
      <c r="V603" s="182"/>
      <c r="W603" s="182"/>
      <c r="X603" s="182"/>
      <c r="Y603" s="182"/>
      <c r="Z603" s="182"/>
      <c r="AA603" s="182"/>
      <c r="AB603" s="182"/>
      <c r="AC603" s="182"/>
      <c r="AD603" s="182"/>
      <c r="AE603" s="182"/>
      <c r="AF603" s="182"/>
      <c r="AG603" s="182"/>
      <c r="AH603" s="182"/>
      <c r="AI603" s="182"/>
      <c r="AJ603" s="182"/>
      <c r="AK603" s="182"/>
      <c r="AL603" s="182"/>
      <c r="AM603" s="182"/>
      <c r="AN603" s="182"/>
      <c r="AO603" s="182"/>
      <c r="AP603" s="182"/>
      <c r="AQ603" s="182"/>
      <c r="AR603" s="182"/>
      <c r="AS603" s="182"/>
      <c r="AT603" s="182"/>
      <c r="AU603" s="182"/>
      <c r="AV603" s="182"/>
      <c r="AW603" s="182"/>
      <c r="AX603" s="182"/>
      <c r="AY603" s="182"/>
      <c r="AZ603" s="182"/>
      <c r="BA603" s="182"/>
      <c r="BB603" s="182"/>
      <c r="BC603" s="182"/>
      <c r="BD603" s="182"/>
      <c r="BE603" s="182"/>
      <c r="BF603" s="182"/>
      <c r="BG603" s="182"/>
      <c r="BH603" s="182"/>
      <c r="BI603" s="182"/>
      <c r="BJ603" s="182"/>
      <c r="BK603" s="182"/>
      <c r="BL603" s="182"/>
      <c r="BM603" s="182"/>
      <c r="BN603" s="182"/>
      <c r="BO603" s="182"/>
      <c r="BP603" s="182"/>
      <c r="BQ603" s="182"/>
      <c r="BR603" s="182"/>
      <c r="BS603" s="182"/>
      <c r="BT603" s="182"/>
      <c r="BU603" s="182"/>
      <c r="BV603" s="182"/>
      <c r="BW603" s="182"/>
      <c r="BX603" s="182"/>
      <c r="BY603" s="182"/>
      <c r="BZ603" s="182"/>
      <c r="CA603" s="182"/>
      <c r="CB603" s="182"/>
      <c r="CC603" s="182"/>
      <c r="CD603" s="182"/>
      <c r="CE603" s="182"/>
      <c r="CF603" s="182"/>
      <c r="CG603" s="182"/>
      <c r="CH603" s="182"/>
      <c r="CI603" s="182"/>
      <c r="CJ603" s="182"/>
      <c r="CK603" s="182"/>
      <c r="CL603" s="182"/>
      <c r="CM603" s="182"/>
      <c r="CN603" s="182"/>
      <c r="CO603" s="182"/>
      <c r="CP603" s="182"/>
      <c r="CQ603" s="182"/>
      <c r="CR603" s="182"/>
      <c r="CS603" s="182"/>
      <c r="CT603" s="182"/>
      <c r="CU603" s="182"/>
      <c r="CV603" s="182"/>
      <c r="CW603" s="182"/>
      <c r="CX603" s="182"/>
      <c r="CY603" s="182"/>
      <c r="CZ603" s="182"/>
      <c r="DA603" s="182"/>
      <c r="DB603" s="182"/>
      <c r="DC603" s="182"/>
      <c r="DD603" s="182"/>
      <c r="DE603" s="182"/>
      <c r="DF603" s="182"/>
      <c r="DG603" s="182"/>
      <c r="DH603" s="182"/>
      <c r="DI603" s="182"/>
      <c r="DJ603" s="182"/>
      <c r="DK603" s="182"/>
      <c r="DL603" s="182"/>
      <c r="DM603" s="182"/>
      <c r="DN603" s="182"/>
      <c r="DO603" s="182"/>
      <c r="DP603" s="182"/>
      <c r="DQ603" s="182"/>
      <c r="DR603" s="182"/>
      <c r="DS603" s="182"/>
      <c r="DT603" s="182"/>
      <c r="DU603" s="182"/>
      <c r="DV603" s="182"/>
      <c r="DW603" s="182"/>
      <c r="DX603" s="182"/>
      <c r="DY603" s="182"/>
      <c r="DZ603" s="182"/>
      <c r="EA603" s="182"/>
      <c r="EB603" s="182"/>
      <c r="EC603" s="182"/>
      <c r="ED603" s="182"/>
      <c r="EE603" s="182"/>
      <c r="EF603" s="182"/>
      <c r="EG603" s="182"/>
      <c r="EH603" s="182"/>
      <c r="EI603" s="182"/>
      <c r="EJ603" s="182"/>
      <c r="EK603" s="182"/>
      <c r="EL603" s="182"/>
      <c r="EM603" s="182"/>
      <c r="EN603" s="182"/>
      <c r="EO603" s="182"/>
      <c r="EP603" s="182"/>
      <c r="EQ603" s="182"/>
      <c r="ER603" s="182"/>
      <c r="ES603" s="182"/>
      <c r="ET603" s="182"/>
      <c r="EU603" s="182"/>
      <c r="EV603" s="182"/>
      <c r="EW603" s="182"/>
      <c r="EX603" s="182"/>
      <c r="EY603" s="182"/>
      <c r="EZ603" s="182"/>
      <c r="FA603" s="182"/>
      <c r="FB603" s="182"/>
      <c r="FC603" s="182"/>
      <c r="FD603" s="182"/>
      <c r="FE603" s="182"/>
      <c r="FF603" s="182"/>
      <c r="FG603" s="182"/>
      <c r="FH603" s="182"/>
      <c r="FI603" s="182"/>
      <c r="FJ603" s="182"/>
      <c r="FK603" s="182"/>
      <c r="FL603" s="182"/>
      <c r="FM603" s="182"/>
      <c r="FN603" s="182"/>
      <c r="FO603" s="182"/>
      <c r="FP603" s="182"/>
      <c r="FQ603" s="182"/>
      <c r="FR603" s="182"/>
      <c r="FS603" s="182"/>
      <c r="FT603" s="182"/>
      <c r="FU603" s="182"/>
      <c r="FV603" s="182"/>
      <c r="FW603" s="182"/>
      <c r="FX603" s="182"/>
      <c r="FY603" s="182"/>
      <c r="FZ603" s="182"/>
      <c r="GA603" s="182"/>
      <c r="GB603" s="182"/>
      <c r="GC603" s="182"/>
      <c r="GD603" s="182"/>
      <c r="GE603" s="182"/>
      <c r="GF603" s="182"/>
      <c r="GG603" s="182"/>
      <c r="GH603" s="182"/>
      <c r="GI603" s="182"/>
    </row>
    <row r="604" spans="1:191" s="183" customFormat="1" x14ac:dyDescent="0.2">
      <c r="A604" s="210" t="s">
        <v>38271</v>
      </c>
      <c r="B604" s="210" t="s">
        <v>20783</v>
      </c>
      <c r="C604" s="224" t="s">
        <v>22623</v>
      </c>
      <c r="D604" s="211" t="s">
        <v>16</v>
      </c>
      <c r="E604" s="211">
        <v>43</v>
      </c>
      <c r="F604" s="211"/>
      <c r="G604" s="211"/>
      <c r="H604" s="231">
        <v>5</v>
      </c>
      <c r="I604" s="213">
        <f t="shared" si="38"/>
        <v>1.6666666666666666E-2</v>
      </c>
      <c r="J604" s="272">
        <v>40.9</v>
      </c>
      <c r="K604" s="113"/>
      <c r="L604" s="213"/>
      <c r="M604" s="112">
        <f t="shared" si="39"/>
        <v>29.31</v>
      </c>
      <c r="N604" s="112">
        <f t="shared" si="40"/>
        <v>879.3</v>
      </c>
      <c r="O604" s="114"/>
      <c r="P604" s="113"/>
      <c r="R604" s="203"/>
      <c r="S604" s="182"/>
      <c r="T604" s="182"/>
      <c r="U604" s="182"/>
      <c r="V604" s="182"/>
      <c r="W604" s="182"/>
      <c r="X604" s="182"/>
      <c r="Y604" s="182"/>
      <c r="Z604" s="182"/>
      <c r="AA604" s="182"/>
      <c r="AB604" s="182"/>
      <c r="AC604" s="182"/>
      <c r="AD604" s="182"/>
      <c r="AE604" s="182"/>
      <c r="AF604" s="182"/>
      <c r="AG604" s="182"/>
      <c r="AH604" s="182"/>
      <c r="AI604" s="182"/>
      <c r="AJ604" s="182"/>
      <c r="AK604" s="182"/>
      <c r="AL604" s="182"/>
      <c r="AM604" s="182"/>
      <c r="AN604" s="182"/>
      <c r="AO604" s="182"/>
      <c r="AP604" s="182"/>
      <c r="AQ604" s="182"/>
      <c r="AR604" s="182"/>
      <c r="AS604" s="182"/>
      <c r="AT604" s="182"/>
      <c r="AU604" s="182"/>
      <c r="AV604" s="182"/>
      <c r="AW604" s="182"/>
      <c r="AX604" s="182"/>
      <c r="AY604" s="182"/>
      <c r="AZ604" s="182"/>
      <c r="BA604" s="182"/>
      <c r="BB604" s="182"/>
      <c r="BC604" s="182"/>
      <c r="BD604" s="182"/>
      <c r="BE604" s="182"/>
      <c r="BF604" s="182"/>
      <c r="BG604" s="182"/>
      <c r="BH604" s="182"/>
      <c r="BI604" s="182"/>
      <c r="BJ604" s="182"/>
      <c r="BK604" s="182"/>
      <c r="BL604" s="182"/>
      <c r="BM604" s="182"/>
      <c r="BN604" s="182"/>
      <c r="BO604" s="182"/>
      <c r="BP604" s="182"/>
      <c r="BQ604" s="182"/>
      <c r="BR604" s="182"/>
      <c r="BS604" s="182"/>
      <c r="BT604" s="182"/>
      <c r="BU604" s="182"/>
      <c r="BV604" s="182"/>
      <c r="BW604" s="182"/>
      <c r="BX604" s="182"/>
      <c r="BY604" s="182"/>
      <c r="BZ604" s="182"/>
      <c r="CA604" s="182"/>
      <c r="CB604" s="182"/>
      <c r="CC604" s="182"/>
      <c r="CD604" s="182"/>
      <c r="CE604" s="182"/>
      <c r="CF604" s="182"/>
      <c r="CG604" s="182"/>
      <c r="CH604" s="182"/>
      <c r="CI604" s="182"/>
      <c r="CJ604" s="182"/>
      <c r="CK604" s="182"/>
      <c r="CL604" s="182"/>
      <c r="CM604" s="182"/>
      <c r="CN604" s="182"/>
      <c r="CO604" s="182"/>
      <c r="CP604" s="182"/>
      <c r="CQ604" s="182"/>
      <c r="CR604" s="182"/>
      <c r="CS604" s="182"/>
      <c r="CT604" s="182"/>
      <c r="CU604" s="182"/>
      <c r="CV604" s="182"/>
      <c r="CW604" s="182"/>
      <c r="CX604" s="182"/>
      <c r="CY604" s="182"/>
      <c r="CZ604" s="182"/>
      <c r="DA604" s="182"/>
      <c r="DB604" s="182"/>
      <c r="DC604" s="182"/>
      <c r="DD604" s="182"/>
      <c r="DE604" s="182"/>
      <c r="DF604" s="182"/>
      <c r="DG604" s="182"/>
      <c r="DH604" s="182"/>
      <c r="DI604" s="182"/>
      <c r="DJ604" s="182"/>
      <c r="DK604" s="182"/>
      <c r="DL604" s="182"/>
      <c r="DM604" s="182"/>
      <c r="DN604" s="182"/>
      <c r="DO604" s="182"/>
      <c r="DP604" s="182"/>
      <c r="DQ604" s="182"/>
      <c r="DR604" s="182"/>
      <c r="DS604" s="182"/>
      <c r="DT604" s="182"/>
      <c r="DU604" s="182"/>
      <c r="DV604" s="182"/>
      <c r="DW604" s="182"/>
      <c r="DX604" s="182"/>
      <c r="DY604" s="182"/>
      <c r="DZ604" s="182"/>
      <c r="EA604" s="182"/>
      <c r="EB604" s="182"/>
      <c r="EC604" s="182"/>
      <c r="ED604" s="182"/>
      <c r="EE604" s="182"/>
      <c r="EF604" s="182"/>
      <c r="EG604" s="182"/>
      <c r="EH604" s="182"/>
      <c r="EI604" s="182"/>
      <c r="EJ604" s="182"/>
      <c r="EK604" s="182"/>
      <c r="EL604" s="182"/>
      <c r="EM604" s="182"/>
      <c r="EN604" s="182"/>
      <c r="EO604" s="182"/>
      <c r="EP604" s="182"/>
      <c r="EQ604" s="182"/>
      <c r="ER604" s="182"/>
      <c r="ES604" s="182"/>
      <c r="ET604" s="182"/>
      <c r="EU604" s="182"/>
      <c r="EV604" s="182"/>
      <c r="EW604" s="182"/>
      <c r="EX604" s="182"/>
      <c r="EY604" s="182"/>
      <c r="EZ604" s="182"/>
      <c r="FA604" s="182"/>
      <c r="FB604" s="182"/>
      <c r="FC604" s="182"/>
      <c r="FD604" s="182"/>
      <c r="FE604" s="182"/>
      <c r="FF604" s="182"/>
      <c r="FG604" s="182"/>
      <c r="FH604" s="182"/>
      <c r="FI604" s="182"/>
      <c r="FJ604" s="182"/>
      <c r="FK604" s="182"/>
      <c r="FL604" s="182"/>
      <c r="FM604" s="182"/>
      <c r="FN604" s="182"/>
      <c r="FO604" s="182"/>
      <c r="FP604" s="182"/>
      <c r="FQ604" s="182"/>
      <c r="FR604" s="182"/>
      <c r="FS604" s="182"/>
      <c r="FT604" s="182"/>
      <c r="FU604" s="182"/>
      <c r="FV604" s="182"/>
      <c r="FW604" s="182"/>
      <c r="FX604" s="182"/>
      <c r="FY604" s="182"/>
      <c r="FZ604" s="182"/>
      <c r="GA604" s="182"/>
      <c r="GB604" s="182"/>
      <c r="GC604" s="182"/>
      <c r="GD604" s="182"/>
      <c r="GE604" s="182"/>
      <c r="GF604" s="182"/>
      <c r="GG604" s="182"/>
      <c r="GH604" s="182"/>
      <c r="GI604" s="182"/>
    </row>
    <row r="605" spans="1:191" s="183" customFormat="1" x14ac:dyDescent="0.2">
      <c r="A605" s="210" t="s">
        <v>38272</v>
      </c>
      <c r="B605" s="210" t="s">
        <v>20784</v>
      </c>
      <c r="C605" s="224" t="s">
        <v>22624</v>
      </c>
      <c r="D605" s="211" t="s">
        <v>16</v>
      </c>
      <c r="E605" s="211">
        <v>6</v>
      </c>
      <c r="F605" s="211"/>
      <c r="G605" s="211"/>
      <c r="H605" s="231">
        <v>5</v>
      </c>
      <c r="I605" s="213">
        <f t="shared" si="38"/>
        <v>1.6666666666666666E-2</v>
      </c>
      <c r="J605" s="272">
        <v>1584.35</v>
      </c>
      <c r="K605" s="113"/>
      <c r="L605" s="213"/>
      <c r="M605" s="112">
        <f t="shared" si="39"/>
        <v>158.44</v>
      </c>
      <c r="N605" s="112">
        <f t="shared" si="40"/>
        <v>4753.2</v>
      </c>
      <c r="O605" s="114"/>
      <c r="P605" s="113"/>
      <c r="R605" s="203"/>
      <c r="S605" s="182"/>
      <c r="T605" s="182"/>
      <c r="U605" s="182"/>
      <c r="V605" s="182"/>
      <c r="W605" s="182"/>
      <c r="X605" s="182"/>
      <c r="Y605" s="182"/>
      <c r="Z605" s="182"/>
      <c r="AA605" s="182"/>
      <c r="AB605" s="182"/>
      <c r="AC605" s="182"/>
      <c r="AD605" s="182"/>
      <c r="AE605" s="182"/>
      <c r="AF605" s="182"/>
      <c r="AG605" s="182"/>
      <c r="AH605" s="182"/>
      <c r="AI605" s="182"/>
      <c r="AJ605" s="182"/>
      <c r="AK605" s="182"/>
      <c r="AL605" s="182"/>
      <c r="AM605" s="182"/>
      <c r="AN605" s="182"/>
      <c r="AO605" s="182"/>
      <c r="AP605" s="182"/>
      <c r="AQ605" s="182"/>
      <c r="AR605" s="182"/>
      <c r="AS605" s="182"/>
      <c r="AT605" s="182"/>
      <c r="AU605" s="182"/>
      <c r="AV605" s="182"/>
      <c r="AW605" s="182"/>
      <c r="AX605" s="182"/>
      <c r="AY605" s="182"/>
      <c r="AZ605" s="182"/>
      <c r="BA605" s="182"/>
      <c r="BB605" s="182"/>
      <c r="BC605" s="182"/>
      <c r="BD605" s="182"/>
      <c r="BE605" s="182"/>
      <c r="BF605" s="182"/>
      <c r="BG605" s="182"/>
      <c r="BH605" s="182"/>
      <c r="BI605" s="182"/>
      <c r="BJ605" s="182"/>
      <c r="BK605" s="182"/>
      <c r="BL605" s="182"/>
      <c r="BM605" s="182"/>
      <c r="BN605" s="182"/>
      <c r="BO605" s="182"/>
      <c r="BP605" s="182"/>
      <c r="BQ605" s="182"/>
      <c r="BR605" s="182"/>
      <c r="BS605" s="182"/>
      <c r="BT605" s="182"/>
      <c r="BU605" s="182"/>
      <c r="BV605" s="182"/>
      <c r="BW605" s="182"/>
      <c r="BX605" s="182"/>
      <c r="BY605" s="182"/>
      <c r="BZ605" s="182"/>
      <c r="CA605" s="182"/>
      <c r="CB605" s="182"/>
      <c r="CC605" s="182"/>
      <c r="CD605" s="182"/>
      <c r="CE605" s="182"/>
      <c r="CF605" s="182"/>
      <c r="CG605" s="182"/>
      <c r="CH605" s="182"/>
      <c r="CI605" s="182"/>
      <c r="CJ605" s="182"/>
      <c r="CK605" s="182"/>
      <c r="CL605" s="182"/>
      <c r="CM605" s="182"/>
      <c r="CN605" s="182"/>
      <c r="CO605" s="182"/>
      <c r="CP605" s="182"/>
      <c r="CQ605" s="182"/>
      <c r="CR605" s="182"/>
      <c r="CS605" s="182"/>
      <c r="CT605" s="182"/>
      <c r="CU605" s="182"/>
      <c r="CV605" s="182"/>
      <c r="CW605" s="182"/>
      <c r="CX605" s="182"/>
      <c r="CY605" s="182"/>
      <c r="CZ605" s="182"/>
      <c r="DA605" s="182"/>
      <c r="DB605" s="182"/>
      <c r="DC605" s="182"/>
      <c r="DD605" s="182"/>
      <c r="DE605" s="182"/>
      <c r="DF605" s="182"/>
      <c r="DG605" s="182"/>
      <c r="DH605" s="182"/>
      <c r="DI605" s="182"/>
      <c r="DJ605" s="182"/>
      <c r="DK605" s="182"/>
      <c r="DL605" s="182"/>
      <c r="DM605" s="182"/>
      <c r="DN605" s="182"/>
      <c r="DO605" s="182"/>
      <c r="DP605" s="182"/>
      <c r="DQ605" s="182"/>
      <c r="DR605" s="182"/>
      <c r="DS605" s="182"/>
      <c r="DT605" s="182"/>
      <c r="DU605" s="182"/>
      <c r="DV605" s="182"/>
      <c r="DW605" s="182"/>
      <c r="DX605" s="182"/>
      <c r="DY605" s="182"/>
      <c r="DZ605" s="182"/>
      <c r="EA605" s="182"/>
      <c r="EB605" s="182"/>
      <c r="EC605" s="182"/>
      <c r="ED605" s="182"/>
      <c r="EE605" s="182"/>
      <c r="EF605" s="182"/>
      <c r="EG605" s="182"/>
      <c r="EH605" s="182"/>
      <c r="EI605" s="182"/>
      <c r="EJ605" s="182"/>
      <c r="EK605" s="182"/>
      <c r="EL605" s="182"/>
      <c r="EM605" s="182"/>
      <c r="EN605" s="182"/>
      <c r="EO605" s="182"/>
      <c r="EP605" s="182"/>
      <c r="EQ605" s="182"/>
      <c r="ER605" s="182"/>
      <c r="ES605" s="182"/>
      <c r="ET605" s="182"/>
      <c r="EU605" s="182"/>
      <c r="EV605" s="182"/>
      <c r="EW605" s="182"/>
      <c r="EX605" s="182"/>
      <c r="EY605" s="182"/>
      <c r="EZ605" s="182"/>
      <c r="FA605" s="182"/>
      <c r="FB605" s="182"/>
      <c r="FC605" s="182"/>
      <c r="FD605" s="182"/>
      <c r="FE605" s="182"/>
      <c r="FF605" s="182"/>
      <c r="FG605" s="182"/>
      <c r="FH605" s="182"/>
      <c r="FI605" s="182"/>
      <c r="FJ605" s="182"/>
      <c r="FK605" s="182"/>
      <c r="FL605" s="182"/>
      <c r="FM605" s="182"/>
      <c r="FN605" s="182"/>
      <c r="FO605" s="182"/>
      <c r="FP605" s="182"/>
      <c r="FQ605" s="182"/>
      <c r="FR605" s="182"/>
      <c r="FS605" s="182"/>
      <c r="FT605" s="182"/>
      <c r="FU605" s="182"/>
      <c r="FV605" s="182"/>
      <c r="FW605" s="182"/>
      <c r="FX605" s="182"/>
      <c r="FY605" s="182"/>
      <c r="FZ605" s="182"/>
      <c r="GA605" s="182"/>
      <c r="GB605" s="182"/>
      <c r="GC605" s="182"/>
      <c r="GD605" s="182"/>
      <c r="GE605" s="182"/>
      <c r="GF605" s="182"/>
      <c r="GG605" s="182"/>
      <c r="GH605" s="182"/>
      <c r="GI605" s="182"/>
    </row>
    <row r="606" spans="1:191" s="183" customFormat="1" x14ac:dyDescent="0.2">
      <c r="A606" s="210" t="s">
        <v>38273</v>
      </c>
      <c r="B606" s="210" t="s">
        <v>20785</v>
      </c>
      <c r="C606" s="224" t="s">
        <v>22625</v>
      </c>
      <c r="D606" s="211" t="s">
        <v>16</v>
      </c>
      <c r="E606" s="211">
        <v>3</v>
      </c>
      <c r="F606" s="211"/>
      <c r="G606" s="211"/>
      <c r="H606" s="231">
        <v>5</v>
      </c>
      <c r="I606" s="213">
        <f t="shared" si="38"/>
        <v>1.6666666666666666E-2</v>
      </c>
      <c r="J606" s="272">
        <v>432.84</v>
      </c>
      <c r="K606" s="113"/>
      <c r="L606" s="213"/>
      <c r="M606" s="112">
        <f t="shared" si="39"/>
        <v>21.64</v>
      </c>
      <c r="N606" s="112">
        <f t="shared" si="40"/>
        <v>649.20000000000005</v>
      </c>
      <c r="O606" s="114"/>
      <c r="P606" s="113"/>
      <c r="R606" s="203"/>
      <c r="S606" s="182"/>
      <c r="T606" s="182"/>
      <c r="U606" s="182"/>
      <c r="V606" s="182"/>
      <c r="W606" s="182"/>
      <c r="X606" s="182"/>
      <c r="Y606" s="182"/>
      <c r="Z606" s="182"/>
      <c r="AA606" s="182"/>
      <c r="AB606" s="182"/>
      <c r="AC606" s="182"/>
      <c r="AD606" s="182"/>
      <c r="AE606" s="182"/>
      <c r="AF606" s="182"/>
      <c r="AG606" s="182"/>
      <c r="AH606" s="182"/>
      <c r="AI606" s="182"/>
      <c r="AJ606" s="182"/>
      <c r="AK606" s="182"/>
      <c r="AL606" s="182"/>
      <c r="AM606" s="182"/>
      <c r="AN606" s="182"/>
      <c r="AO606" s="182"/>
      <c r="AP606" s="182"/>
      <c r="AQ606" s="182"/>
      <c r="AR606" s="182"/>
      <c r="AS606" s="182"/>
      <c r="AT606" s="182"/>
      <c r="AU606" s="182"/>
      <c r="AV606" s="182"/>
      <c r="AW606" s="182"/>
      <c r="AX606" s="182"/>
      <c r="AY606" s="182"/>
      <c r="AZ606" s="182"/>
      <c r="BA606" s="182"/>
      <c r="BB606" s="182"/>
      <c r="BC606" s="182"/>
      <c r="BD606" s="182"/>
      <c r="BE606" s="182"/>
      <c r="BF606" s="182"/>
      <c r="BG606" s="182"/>
      <c r="BH606" s="182"/>
      <c r="BI606" s="182"/>
      <c r="BJ606" s="182"/>
      <c r="BK606" s="182"/>
      <c r="BL606" s="182"/>
      <c r="BM606" s="182"/>
      <c r="BN606" s="182"/>
      <c r="BO606" s="182"/>
      <c r="BP606" s="182"/>
      <c r="BQ606" s="182"/>
      <c r="BR606" s="182"/>
      <c r="BS606" s="182"/>
      <c r="BT606" s="182"/>
      <c r="BU606" s="182"/>
      <c r="BV606" s="182"/>
      <c r="BW606" s="182"/>
      <c r="BX606" s="182"/>
      <c r="BY606" s="182"/>
      <c r="BZ606" s="182"/>
      <c r="CA606" s="182"/>
      <c r="CB606" s="182"/>
      <c r="CC606" s="182"/>
      <c r="CD606" s="182"/>
      <c r="CE606" s="182"/>
      <c r="CF606" s="182"/>
      <c r="CG606" s="182"/>
      <c r="CH606" s="182"/>
      <c r="CI606" s="182"/>
      <c r="CJ606" s="182"/>
      <c r="CK606" s="182"/>
      <c r="CL606" s="182"/>
      <c r="CM606" s="182"/>
      <c r="CN606" s="182"/>
      <c r="CO606" s="182"/>
      <c r="CP606" s="182"/>
      <c r="CQ606" s="182"/>
      <c r="CR606" s="182"/>
      <c r="CS606" s="182"/>
      <c r="CT606" s="182"/>
      <c r="CU606" s="182"/>
      <c r="CV606" s="182"/>
      <c r="CW606" s="182"/>
      <c r="CX606" s="182"/>
      <c r="CY606" s="182"/>
      <c r="CZ606" s="182"/>
      <c r="DA606" s="182"/>
      <c r="DB606" s="182"/>
      <c r="DC606" s="182"/>
      <c r="DD606" s="182"/>
      <c r="DE606" s="182"/>
      <c r="DF606" s="182"/>
      <c r="DG606" s="182"/>
      <c r="DH606" s="182"/>
      <c r="DI606" s="182"/>
      <c r="DJ606" s="182"/>
      <c r="DK606" s="182"/>
      <c r="DL606" s="182"/>
      <c r="DM606" s="182"/>
      <c r="DN606" s="182"/>
      <c r="DO606" s="182"/>
      <c r="DP606" s="182"/>
      <c r="DQ606" s="182"/>
      <c r="DR606" s="182"/>
      <c r="DS606" s="182"/>
      <c r="DT606" s="182"/>
      <c r="DU606" s="182"/>
      <c r="DV606" s="182"/>
      <c r="DW606" s="182"/>
      <c r="DX606" s="182"/>
      <c r="DY606" s="182"/>
      <c r="DZ606" s="182"/>
      <c r="EA606" s="182"/>
      <c r="EB606" s="182"/>
      <c r="EC606" s="182"/>
      <c r="ED606" s="182"/>
      <c r="EE606" s="182"/>
      <c r="EF606" s="182"/>
      <c r="EG606" s="182"/>
      <c r="EH606" s="182"/>
      <c r="EI606" s="182"/>
      <c r="EJ606" s="182"/>
      <c r="EK606" s="182"/>
      <c r="EL606" s="182"/>
      <c r="EM606" s="182"/>
      <c r="EN606" s="182"/>
      <c r="EO606" s="182"/>
      <c r="EP606" s="182"/>
      <c r="EQ606" s="182"/>
      <c r="ER606" s="182"/>
      <c r="ES606" s="182"/>
      <c r="ET606" s="182"/>
      <c r="EU606" s="182"/>
      <c r="EV606" s="182"/>
      <c r="EW606" s="182"/>
      <c r="EX606" s="182"/>
      <c r="EY606" s="182"/>
      <c r="EZ606" s="182"/>
      <c r="FA606" s="182"/>
      <c r="FB606" s="182"/>
      <c r="FC606" s="182"/>
      <c r="FD606" s="182"/>
      <c r="FE606" s="182"/>
      <c r="FF606" s="182"/>
      <c r="FG606" s="182"/>
      <c r="FH606" s="182"/>
      <c r="FI606" s="182"/>
      <c r="FJ606" s="182"/>
      <c r="FK606" s="182"/>
      <c r="FL606" s="182"/>
      <c r="FM606" s="182"/>
      <c r="FN606" s="182"/>
      <c r="FO606" s="182"/>
      <c r="FP606" s="182"/>
      <c r="FQ606" s="182"/>
      <c r="FR606" s="182"/>
      <c r="FS606" s="182"/>
      <c r="FT606" s="182"/>
      <c r="FU606" s="182"/>
      <c r="FV606" s="182"/>
      <c r="FW606" s="182"/>
      <c r="FX606" s="182"/>
      <c r="FY606" s="182"/>
      <c r="FZ606" s="182"/>
      <c r="GA606" s="182"/>
      <c r="GB606" s="182"/>
      <c r="GC606" s="182"/>
      <c r="GD606" s="182"/>
      <c r="GE606" s="182"/>
      <c r="GF606" s="182"/>
      <c r="GG606" s="182"/>
      <c r="GH606" s="182"/>
      <c r="GI606" s="182"/>
    </row>
    <row r="607" spans="1:191" s="183" customFormat="1" x14ac:dyDescent="0.2">
      <c r="A607" s="210" t="s">
        <v>38274</v>
      </c>
      <c r="B607" s="210" t="s">
        <v>20786</v>
      </c>
      <c r="C607" s="224" t="s">
        <v>22626</v>
      </c>
      <c r="D607" s="211" t="s">
        <v>16</v>
      </c>
      <c r="E607" s="211">
        <v>4</v>
      </c>
      <c r="F607" s="211"/>
      <c r="G607" s="211"/>
      <c r="H607" s="231">
        <v>10</v>
      </c>
      <c r="I607" s="213">
        <f t="shared" si="38"/>
        <v>8.3333333333333332E-3</v>
      </c>
      <c r="J607" s="272">
        <v>7967.71</v>
      </c>
      <c r="K607" s="113"/>
      <c r="L607" s="213"/>
      <c r="M607" s="112">
        <f t="shared" si="39"/>
        <v>265.58999999999997</v>
      </c>
      <c r="N607" s="112">
        <f t="shared" si="40"/>
        <v>7967.7</v>
      </c>
      <c r="O607" s="114"/>
      <c r="P607" s="113"/>
      <c r="R607" s="203"/>
      <c r="S607" s="182"/>
      <c r="T607" s="182"/>
      <c r="U607" s="182"/>
      <c r="V607" s="182"/>
      <c r="W607" s="182"/>
      <c r="X607" s="182"/>
      <c r="Y607" s="182"/>
      <c r="Z607" s="182"/>
      <c r="AA607" s="182"/>
      <c r="AB607" s="182"/>
      <c r="AC607" s="182"/>
      <c r="AD607" s="182"/>
      <c r="AE607" s="182"/>
      <c r="AF607" s="182"/>
      <c r="AG607" s="182"/>
      <c r="AH607" s="182"/>
      <c r="AI607" s="182"/>
      <c r="AJ607" s="182"/>
      <c r="AK607" s="182"/>
      <c r="AL607" s="182"/>
      <c r="AM607" s="182"/>
      <c r="AN607" s="182"/>
      <c r="AO607" s="182"/>
      <c r="AP607" s="182"/>
      <c r="AQ607" s="182"/>
      <c r="AR607" s="182"/>
      <c r="AS607" s="182"/>
      <c r="AT607" s="182"/>
      <c r="AU607" s="182"/>
      <c r="AV607" s="182"/>
      <c r="AW607" s="182"/>
      <c r="AX607" s="182"/>
      <c r="AY607" s="182"/>
      <c r="AZ607" s="182"/>
      <c r="BA607" s="182"/>
      <c r="BB607" s="182"/>
      <c r="BC607" s="182"/>
      <c r="BD607" s="182"/>
      <c r="BE607" s="182"/>
      <c r="BF607" s="182"/>
      <c r="BG607" s="182"/>
      <c r="BH607" s="182"/>
      <c r="BI607" s="182"/>
      <c r="BJ607" s="182"/>
      <c r="BK607" s="182"/>
      <c r="BL607" s="182"/>
      <c r="BM607" s="182"/>
      <c r="BN607" s="182"/>
      <c r="BO607" s="182"/>
      <c r="BP607" s="182"/>
      <c r="BQ607" s="182"/>
      <c r="BR607" s="182"/>
      <c r="BS607" s="182"/>
      <c r="BT607" s="182"/>
      <c r="BU607" s="182"/>
      <c r="BV607" s="182"/>
      <c r="BW607" s="182"/>
      <c r="BX607" s="182"/>
      <c r="BY607" s="182"/>
      <c r="BZ607" s="182"/>
      <c r="CA607" s="182"/>
      <c r="CB607" s="182"/>
      <c r="CC607" s="182"/>
      <c r="CD607" s="182"/>
      <c r="CE607" s="182"/>
      <c r="CF607" s="182"/>
      <c r="CG607" s="182"/>
      <c r="CH607" s="182"/>
      <c r="CI607" s="182"/>
      <c r="CJ607" s="182"/>
      <c r="CK607" s="182"/>
      <c r="CL607" s="182"/>
      <c r="CM607" s="182"/>
      <c r="CN607" s="182"/>
      <c r="CO607" s="182"/>
      <c r="CP607" s="182"/>
      <c r="CQ607" s="182"/>
      <c r="CR607" s="182"/>
      <c r="CS607" s="182"/>
      <c r="CT607" s="182"/>
      <c r="CU607" s="182"/>
      <c r="CV607" s="182"/>
      <c r="CW607" s="182"/>
      <c r="CX607" s="182"/>
      <c r="CY607" s="182"/>
      <c r="CZ607" s="182"/>
      <c r="DA607" s="182"/>
      <c r="DB607" s="182"/>
      <c r="DC607" s="182"/>
      <c r="DD607" s="182"/>
      <c r="DE607" s="182"/>
      <c r="DF607" s="182"/>
      <c r="DG607" s="182"/>
      <c r="DH607" s="182"/>
      <c r="DI607" s="182"/>
      <c r="DJ607" s="182"/>
      <c r="DK607" s="182"/>
      <c r="DL607" s="182"/>
      <c r="DM607" s="182"/>
      <c r="DN607" s="182"/>
      <c r="DO607" s="182"/>
      <c r="DP607" s="182"/>
      <c r="DQ607" s="182"/>
      <c r="DR607" s="182"/>
      <c r="DS607" s="182"/>
      <c r="DT607" s="182"/>
      <c r="DU607" s="182"/>
      <c r="DV607" s="182"/>
      <c r="DW607" s="182"/>
      <c r="DX607" s="182"/>
      <c r="DY607" s="182"/>
      <c r="DZ607" s="182"/>
      <c r="EA607" s="182"/>
      <c r="EB607" s="182"/>
      <c r="EC607" s="182"/>
      <c r="ED607" s="182"/>
      <c r="EE607" s="182"/>
      <c r="EF607" s="182"/>
      <c r="EG607" s="182"/>
      <c r="EH607" s="182"/>
      <c r="EI607" s="182"/>
      <c r="EJ607" s="182"/>
      <c r="EK607" s="182"/>
      <c r="EL607" s="182"/>
      <c r="EM607" s="182"/>
      <c r="EN607" s="182"/>
      <c r="EO607" s="182"/>
      <c r="EP607" s="182"/>
      <c r="EQ607" s="182"/>
      <c r="ER607" s="182"/>
      <c r="ES607" s="182"/>
      <c r="ET607" s="182"/>
      <c r="EU607" s="182"/>
      <c r="EV607" s="182"/>
      <c r="EW607" s="182"/>
      <c r="EX607" s="182"/>
      <c r="EY607" s="182"/>
      <c r="EZ607" s="182"/>
      <c r="FA607" s="182"/>
      <c r="FB607" s="182"/>
      <c r="FC607" s="182"/>
      <c r="FD607" s="182"/>
      <c r="FE607" s="182"/>
      <c r="FF607" s="182"/>
      <c r="FG607" s="182"/>
      <c r="FH607" s="182"/>
      <c r="FI607" s="182"/>
      <c r="FJ607" s="182"/>
      <c r="FK607" s="182"/>
      <c r="FL607" s="182"/>
      <c r="FM607" s="182"/>
      <c r="FN607" s="182"/>
      <c r="FO607" s="182"/>
      <c r="FP607" s="182"/>
      <c r="FQ607" s="182"/>
      <c r="FR607" s="182"/>
      <c r="FS607" s="182"/>
      <c r="FT607" s="182"/>
      <c r="FU607" s="182"/>
      <c r="FV607" s="182"/>
      <c r="FW607" s="182"/>
      <c r="FX607" s="182"/>
      <c r="FY607" s="182"/>
      <c r="FZ607" s="182"/>
      <c r="GA607" s="182"/>
      <c r="GB607" s="182"/>
      <c r="GC607" s="182"/>
      <c r="GD607" s="182"/>
      <c r="GE607" s="182"/>
      <c r="GF607" s="182"/>
      <c r="GG607" s="182"/>
      <c r="GH607" s="182"/>
      <c r="GI607" s="182"/>
    </row>
    <row r="608" spans="1:191" s="183" customFormat="1" x14ac:dyDescent="0.2">
      <c r="A608" s="210" t="s">
        <v>38275</v>
      </c>
      <c r="B608" s="210" t="s">
        <v>20787</v>
      </c>
      <c r="C608" s="224" t="s">
        <v>22627</v>
      </c>
      <c r="D608" s="211" t="s">
        <v>468</v>
      </c>
      <c r="E608" s="211">
        <v>4</v>
      </c>
      <c r="F608" s="211"/>
      <c r="G608" s="211"/>
      <c r="H608" s="231">
        <v>5</v>
      </c>
      <c r="I608" s="213">
        <f t="shared" si="38"/>
        <v>1.6666666666666666E-2</v>
      </c>
      <c r="J608" s="272">
        <v>295.79000000000002</v>
      </c>
      <c r="K608" s="113"/>
      <c r="L608" s="213"/>
      <c r="M608" s="112">
        <f t="shared" si="39"/>
        <v>19.72</v>
      </c>
      <c r="N608" s="112">
        <f t="shared" si="40"/>
        <v>591.6</v>
      </c>
      <c r="O608" s="114"/>
      <c r="P608" s="113"/>
      <c r="R608" s="203"/>
      <c r="S608" s="182"/>
      <c r="T608" s="182"/>
      <c r="U608" s="182"/>
      <c r="V608" s="182"/>
      <c r="W608" s="182"/>
      <c r="X608" s="182"/>
      <c r="Y608" s="182"/>
      <c r="Z608" s="182"/>
      <c r="AA608" s="182"/>
      <c r="AB608" s="182"/>
      <c r="AC608" s="182"/>
      <c r="AD608" s="182"/>
      <c r="AE608" s="182"/>
      <c r="AF608" s="182"/>
      <c r="AG608" s="182"/>
      <c r="AH608" s="182"/>
      <c r="AI608" s="182"/>
      <c r="AJ608" s="182"/>
      <c r="AK608" s="182"/>
      <c r="AL608" s="182"/>
      <c r="AM608" s="182"/>
      <c r="AN608" s="182"/>
      <c r="AO608" s="182"/>
      <c r="AP608" s="182"/>
      <c r="AQ608" s="182"/>
      <c r="AR608" s="182"/>
      <c r="AS608" s="182"/>
      <c r="AT608" s="182"/>
      <c r="AU608" s="182"/>
      <c r="AV608" s="182"/>
      <c r="AW608" s="182"/>
      <c r="AX608" s="182"/>
      <c r="AY608" s="182"/>
      <c r="AZ608" s="182"/>
      <c r="BA608" s="182"/>
      <c r="BB608" s="182"/>
      <c r="BC608" s="182"/>
      <c r="BD608" s="182"/>
      <c r="BE608" s="182"/>
      <c r="BF608" s="182"/>
      <c r="BG608" s="182"/>
      <c r="BH608" s="182"/>
      <c r="BI608" s="182"/>
      <c r="BJ608" s="182"/>
      <c r="BK608" s="182"/>
      <c r="BL608" s="182"/>
      <c r="BM608" s="182"/>
      <c r="BN608" s="182"/>
      <c r="BO608" s="182"/>
      <c r="BP608" s="182"/>
      <c r="BQ608" s="182"/>
      <c r="BR608" s="182"/>
      <c r="BS608" s="182"/>
      <c r="BT608" s="182"/>
      <c r="BU608" s="182"/>
      <c r="BV608" s="182"/>
      <c r="BW608" s="182"/>
      <c r="BX608" s="182"/>
      <c r="BY608" s="182"/>
      <c r="BZ608" s="182"/>
      <c r="CA608" s="182"/>
      <c r="CB608" s="182"/>
      <c r="CC608" s="182"/>
      <c r="CD608" s="182"/>
      <c r="CE608" s="182"/>
      <c r="CF608" s="182"/>
      <c r="CG608" s="182"/>
      <c r="CH608" s="182"/>
      <c r="CI608" s="182"/>
      <c r="CJ608" s="182"/>
      <c r="CK608" s="182"/>
      <c r="CL608" s="182"/>
      <c r="CM608" s="182"/>
      <c r="CN608" s="182"/>
      <c r="CO608" s="182"/>
      <c r="CP608" s="182"/>
      <c r="CQ608" s="182"/>
      <c r="CR608" s="182"/>
      <c r="CS608" s="182"/>
      <c r="CT608" s="182"/>
      <c r="CU608" s="182"/>
      <c r="CV608" s="182"/>
      <c r="CW608" s="182"/>
      <c r="CX608" s="182"/>
      <c r="CY608" s="182"/>
      <c r="CZ608" s="182"/>
      <c r="DA608" s="182"/>
      <c r="DB608" s="182"/>
      <c r="DC608" s="182"/>
      <c r="DD608" s="182"/>
      <c r="DE608" s="182"/>
      <c r="DF608" s="182"/>
      <c r="DG608" s="182"/>
      <c r="DH608" s="182"/>
      <c r="DI608" s="182"/>
      <c r="DJ608" s="182"/>
      <c r="DK608" s="182"/>
      <c r="DL608" s="182"/>
      <c r="DM608" s="182"/>
      <c r="DN608" s="182"/>
      <c r="DO608" s="182"/>
      <c r="DP608" s="182"/>
      <c r="DQ608" s="182"/>
      <c r="DR608" s="182"/>
      <c r="DS608" s="182"/>
      <c r="DT608" s="182"/>
      <c r="DU608" s="182"/>
      <c r="DV608" s="182"/>
      <c r="DW608" s="182"/>
      <c r="DX608" s="182"/>
      <c r="DY608" s="182"/>
      <c r="DZ608" s="182"/>
      <c r="EA608" s="182"/>
      <c r="EB608" s="182"/>
      <c r="EC608" s="182"/>
      <c r="ED608" s="182"/>
      <c r="EE608" s="182"/>
      <c r="EF608" s="182"/>
      <c r="EG608" s="182"/>
      <c r="EH608" s="182"/>
      <c r="EI608" s="182"/>
      <c r="EJ608" s="182"/>
      <c r="EK608" s="182"/>
      <c r="EL608" s="182"/>
      <c r="EM608" s="182"/>
      <c r="EN608" s="182"/>
      <c r="EO608" s="182"/>
      <c r="EP608" s="182"/>
      <c r="EQ608" s="182"/>
      <c r="ER608" s="182"/>
      <c r="ES608" s="182"/>
      <c r="ET608" s="182"/>
      <c r="EU608" s="182"/>
      <c r="EV608" s="182"/>
      <c r="EW608" s="182"/>
      <c r="EX608" s="182"/>
      <c r="EY608" s="182"/>
      <c r="EZ608" s="182"/>
      <c r="FA608" s="182"/>
      <c r="FB608" s="182"/>
      <c r="FC608" s="182"/>
      <c r="FD608" s="182"/>
      <c r="FE608" s="182"/>
      <c r="FF608" s="182"/>
      <c r="FG608" s="182"/>
      <c r="FH608" s="182"/>
      <c r="FI608" s="182"/>
      <c r="FJ608" s="182"/>
      <c r="FK608" s="182"/>
      <c r="FL608" s="182"/>
      <c r="FM608" s="182"/>
      <c r="FN608" s="182"/>
      <c r="FO608" s="182"/>
      <c r="FP608" s="182"/>
      <c r="FQ608" s="182"/>
      <c r="FR608" s="182"/>
      <c r="FS608" s="182"/>
      <c r="FT608" s="182"/>
      <c r="FU608" s="182"/>
      <c r="FV608" s="182"/>
      <c r="FW608" s="182"/>
      <c r="FX608" s="182"/>
      <c r="FY608" s="182"/>
      <c r="FZ608" s="182"/>
      <c r="GA608" s="182"/>
      <c r="GB608" s="182"/>
      <c r="GC608" s="182"/>
      <c r="GD608" s="182"/>
      <c r="GE608" s="182"/>
      <c r="GF608" s="182"/>
      <c r="GG608" s="182"/>
      <c r="GH608" s="182"/>
      <c r="GI608" s="182"/>
    </row>
    <row r="609" spans="1:191" s="183" customFormat="1" x14ac:dyDescent="0.2">
      <c r="A609" s="210" t="s">
        <v>38276</v>
      </c>
      <c r="B609" s="210" t="s">
        <v>20788</v>
      </c>
      <c r="C609" s="224" t="s">
        <v>22628</v>
      </c>
      <c r="D609" s="211" t="s">
        <v>468</v>
      </c>
      <c r="E609" s="211">
        <v>4</v>
      </c>
      <c r="F609" s="211"/>
      <c r="G609" s="211"/>
      <c r="H609" s="231">
        <v>5</v>
      </c>
      <c r="I609" s="213">
        <f t="shared" si="38"/>
        <v>1.6666666666666666E-2</v>
      </c>
      <c r="J609" s="272">
        <v>219.49</v>
      </c>
      <c r="K609" s="113"/>
      <c r="L609" s="213"/>
      <c r="M609" s="112">
        <f t="shared" si="39"/>
        <v>14.63</v>
      </c>
      <c r="N609" s="112">
        <f t="shared" si="40"/>
        <v>438.9</v>
      </c>
      <c r="O609" s="114"/>
      <c r="P609" s="113"/>
      <c r="R609" s="203"/>
      <c r="S609" s="182"/>
      <c r="T609" s="182"/>
      <c r="U609" s="182"/>
      <c r="V609" s="182"/>
      <c r="W609" s="182"/>
      <c r="X609" s="182"/>
      <c r="Y609" s="182"/>
      <c r="Z609" s="182"/>
      <c r="AA609" s="182"/>
      <c r="AB609" s="182"/>
      <c r="AC609" s="182"/>
      <c r="AD609" s="182"/>
      <c r="AE609" s="182"/>
      <c r="AF609" s="182"/>
      <c r="AG609" s="182"/>
      <c r="AH609" s="182"/>
      <c r="AI609" s="182"/>
      <c r="AJ609" s="182"/>
      <c r="AK609" s="182"/>
      <c r="AL609" s="182"/>
      <c r="AM609" s="182"/>
      <c r="AN609" s="182"/>
      <c r="AO609" s="182"/>
      <c r="AP609" s="182"/>
      <c r="AQ609" s="182"/>
      <c r="AR609" s="182"/>
      <c r="AS609" s="182"/>
      <c r="AT609" s="182"/>
      <c r="AU609" s="182"/>
      <c r="AV609" s="182"/>
      <c r="AW609" s="182"/>
      <c r="AX609" s="182"/>
      <c r="AY609" s="182"/>
      <c r="AZ609" s="182"/>
      <c r="BA609" s="182"/>
      <c r="BB609" s="182"/>
      <c r="BC609" s="182"/>
      <c r="BD609" s="182"/>
      <c r="BE609" s="182"/>
      <c r="BF609" s="182"/>
      <c r="BG609" s="182"/>
      <c r="BH609" s="182"/>
      <c r="BI609" s="182"/>
      <c r="BJ609" s="182"/>
      <c r="BK609" s="182"/>
      <c r="BL609" s="182"/>
      <c r="BM609" s="182"/>
      <c r="BN609" s="182"/>
      <c r="BO609" s="182"/>
      <c r="BP609" s="182"/>
      <c r="BQ609" s="182"/>
      <c r="BR609" s="182"/>
      <c r="BS609" s="182"/>
      <c r="BT609" s="182"/>
      <c r="BU609" s="182"/>
      <c r="BV609" s="182"/>
      <c r="BW609" s="182"/>
      <c r="BX609" s="182"/>
      <c r="BY609" s="182"/>
      <c r="BZ609" s="182"/>
      <c r="CA609" s="182"/>
      <c r="CB609" s="182"/>
      <c r="CC609" s="182"/>
      <c r="CD609" s="182"/>
      <c r="CE609" s="182"/>
      <c r="CF609" s="182"/>
      <c r="CG609" s="182"/>
      <c r="CH609" s="182"/>
      <c r="CI609" s="182"/>
      <c r="CJ609" s="182"/>
      <c r="CK609" s="182"/>
      <c r="CL609" s="182"/>
      <c r="CM609" s="182"/>
      <c r="CN609" s="182"/>
      <c r="CO609" s="182"/>
      <c r="CP609" s="182"/>
      <c r="CQ609" s="182"/>
      <c r="CR609" s="182"/>
      <c r="CS609" s="182"/>
      <c r="CT609" s="182"/>
      <c r="CU609" s="182"/>
      <c r="CV609" s="182"/>
      <c r="CW609" s="182"/>
      <c r="CX609" s="182"/>
      <c r="CY609" s="182"/>
      <c r="CZ609" s="182"/>
      <c r="DA609" s="182"/>
      <c r="DB609" s="182"/>
      <c r="DC609" s="182"/>
      <c r="DD609" s="182"/>
      <c r="DE609" s="182"/>
      <c r="DF609" s="182"/>
      <c r="DG609" s="182"/>
      <c r="DH609" s="182"/>
      <c r="DI609" s="182"/>
      <c r="DJ609" s="182"/>
      <c r="DK609" s="182"/>
      <c r="DL609" s="182"/>
      <c r="DM609" s="182"/>
      <c r="DN609" s="182"/>
      <c r="DO609" s="182"/>
      <c r="DP609" s="182"/>
      <c r="DQ609" s="182"/>
      <c r="DR609" s="182"/>
      <c r="DS609" s="182"/>
      <c r="DT609" s="182"/>
      <c r="DU609" s="182"/>
      <c r="DV609" s="182"/>
      <c r="DW609" s="182"/>
      <c r="DX609" s="182"/>
      <c r="DY609" s="182"/>
      <c r="DZ609" s="182"/>
      <c r="EA609" s="182"/>
      <c r="EB609" s="182"/>
      <c r="EC609" s="182"/>
      <c r="ED609" s="182"/>
      <c r="EE609" s="182"/>
      <c r="EF609" s="182"/>
      <c r="EG609" s="182"/>
      <c r="EH609" s="182"/>
      <c r="EI609" s="182"/>
      <c r="EJ609" s="182"/>
      <c r="EK609" s="182"/>
      <c r="EL609" s="182"/>
      <c r="EM609" s="182"/>
      <c r="EN609" s="182"/>
      <c r="EO609" s="182"/>
      <c r="EP609" s="182"/>
      <c r="EQ609" s="182"/>
      <c r="ER609" s="182"/>
      <c r="ES609" s="182"/>
      <c r="ET609" s="182"/>
      <c r="EU609" s="182"/>
      <c r="EV609" s="182"/>
      <c r="EW609" s="182"/>
      <c r="EX609" s="182"/>
      <c r="EY609" s="182"/>
      <c r="EZ609" s="182"/>
      <c r="FA609" s="182"/>
      <c r="FB609" s="182"/>
      <c r="FC609" s="182"/>
      <c r="FD609" s="182"/>
      <c r="FE609" s="182"/>
      <c r="FF609" s="182"/>
      <c r="FG609" s="182"/>
      <c r="FH609" s="182"/>
      <c r="FI609" s="182"/>
      <c r="FJ609" s="182"/>
      <c r="FK609" s="182"/>
      <c r="FL609" s="182"/>
      <c r="FM609" s="182"/>
      <c r="FN609" s="182"/>
      <c r="FO609" s="182"/>
      <c r="FP609" s="182"/>
      <c r="FQ609" s="182"/>
      <c r="FR609" s="182"/>
      <c r="FS609" s="182"/>
      <c r="FT609" s="182"/>
      <c r="FU609" s="182"/>
      <c r="FV609" s="182"/>
      <c r="FW609" s="182"/>
      <c r="FX609" s="182"/>
      <c r="FY609" s="182"/>
      <c r="FZ609" s="182"/>
      <c r="GA609" s="182"/>
      <c r="GB609" s="182"/>
      <c r="GC609" s="182"/>
      <c r="GD609" s="182"/>
      <c r="GE609" s="182"/>
      <c r="GF609" s="182"/>
      <c r="GG609" s="182"/>
      <c r="GH609" s="182"/>
      <c r="GI609" s="182"/>
    </row>
    <row r="610" spans="1:191" s="183" customFormat="1" x14ac:dyDescent="0.2">
      <c r="A610" s="210" t="s">
        <v>38277</v>
      </c>
      <c r="B610" s="210" t="s">
        <v>20789</v>
      </c>
      <c r="C610" s="224" t="s">
        <v>22629</v>
      </c>
      <c r="D610" s="211" t="s">
        <v>468</v>
      </c>
      <c r="E610" s="211">
        <v>4</v>
      </c>
      <c r="F610" s="211"/>
      <c r="G610" s="211"/>
      <c r="H610" s="231">
        <v>5</v>
      </c>
      <c r="I610" s="213">
        <f t="shared" si="38"/>
        <v>1.6666666666666666E-2</v>
      </c>
      <c r="J610" s="272">
        <v>345.49</v>
      </c>
      <c r="K610" s="113"/>
      <c r="L610" s="213"/>
      <c r="M610" s="112">
        <f t="shared" si="39"/>
        <v>23.03</v>
      </c>
      <c r="N610" s="112">
        <f t="shared" si="40"/>
        <v>690.9</v>
      </c>
      <c r="O610" s="114"/>
      <c r="P610" s="113"/>
      <c r="R610" s="203"/>
      <c r="S610" s="182"/>
      <c r="T610" s="182"/>
      <c r="U610" s="182"/>
      <c r="V610" s="182"/>
      <c r="W610" s="182"/>
      <c r="X610" s="182"/>
      <c r="Y610" s="182"/>
      <c r="Z610" s="182"/>
      <c r="AA610" s="182"/>
      <c r="AB610" s="182"/>
      <c r="AC610" s="182"/>
      <c r="AD610" s="182"/>
      <c r="AE610" s="182"/>
      <c r="AF610" s="182"/>
      <c r="AG610" s="182"/>
      <c r="AH610" s="182"/>
      <c r="AI610" s="182"/>
      <c r="AJ610" s="182"/>
      <c r="AK610" s="182"/>
      <c r="AL610" s="182"/>
      <c r="AM610" s="182"/>
      <c r="AN610" s="182"/>
      <c r="AO610" s="182"/>
      <c r="AP610" s="182"/>
      <c r="AQ610" s="182"/>
      <c r="AR610" s="182"/>
      <c r="AS610" s="182"/>
      <c r="AT610" s="182"/>
      <c r="AU610" s="182"/>
      <c r="AV610" s="182"/>
      <c r="AW610" s="182"/>
      <c r="AX610" s="182"/>
      <c r="AY610" s="182"/>
      <c r="AZ610" s="182"/>
      <c r="BA610" s="182"/>
      <c r="BB610" s="182"/>
      <c r="BC610" s="182"/>
      <c r="BD610" s="182"/>
      <c r="BE610" s="182"/>
      <c r="BF610" s="182"/>
      <c r="BG610" s="182"/>
      <c r="BH610" s="182"/>
      <c r="BI610" s="182"/>
      <c r="BJ610" s="182"/>
      <c r="BK610" s="182"/>
      <c r="BL610" s="182"/>
      <c r="BM610" s="182"/>
      <c r="BN610" s="182"/>
      <c r="BO610" s="182"/>
      <c r="BP610" s="182"/>
      <c r="BQ610" s="182"/>
      <c r="BR610" s="182"/>
      <c r="BS610" s="182"/>
      <c r="BT610" s="182"/>
      <c r="BU610" s="182"/>
      <c r="BV610" s="182"/>
      <c r="BW610" s="182"/>
      <c r="BX610" s="182"/>
      <c r="BY610" s="182"/>
      <c r="BZ610" s="182"/>
      <c r="CA610" s="182"/>
      <c r="CB610" s="182"/>
      <c r="CC610" s="182"/>
      <c r="CD610" s="182"/>
      <c r="CE610" s="182"/>
      <c r="CF610" s="182"/>
      <c r="CG610" s="182"/>
      <c r="CH610" s="182"/>
      <c r="CI610" s="182"/>
      <c r="CJ610" s="182"/>
      <c r="CK610" s="182"/>
      <c r="CL610" s="182"/>
      <c r="CM610" s="182"/>
      <c r="CN610" s="182"/>
      <c r="CO610" s="182"/>
      <c r="CP610" s="182"/>
      <c r="CQ610" s="182"/>
      <c r="CR610" s="182"/>
      <c r="CS610" s="182"/>
      <c r="CT610" s="182"/>
      <c r="CU610" s="182"/>
      <c r="CV610" s="182"/>
      <c r="CW610" s="182"/>
      <c r="CX610" s="182"/>
      <c r="CY610" s="182"/>
      <c r="CZ610" s="182"/>
      <c r="DA610" s="182"/>
      <c r="DB610" s="182"/>
      <c r="DC610" s="182"/>
      <c r="DD610" s="182"/>
      <c r="DE610" s="182"/>
      <c r="DF610" s="182"/>
      <c r="DG610" s="182"/>
      <c r="DH610" s="182"/>
      <c r="DI610" s="182"/>
      <c r="DJ610" s="182"/>
      <c r="DK610" s="182"/>
      <c r="DL610" s="182"/>
      <c r="DM610" s="182"/>
      <c r="DN610" s="182"/>
      <c r="DO610" s="182"/>
      <c r="DP610" s="182"/>
      <c r="DQ610" s="182"/>
      <c r="DR610" s="182"/>
      <c r="DS610" s="182"/>
      <c r="DT610" s="182"/>
      <c r="DU610" s="182"/>
      <c r="DV610" s="182"/>
      <c r="DW610" s="182"/>
      <c r="DX610" s="182"/>
      <c r="DY610" s="182"/>
      <c r="DZ610" s="182"/>
      <c r="EA610" s="182"/>
      <c r="EB610" s="182"/>
      <c r="EC610" s="182"/>
      <c r="ED610" s="182"/>
      <c r="EE610" s="182"/>
      <c r="EF610" s="182"/>
      <c r="EG610" s="182"/>
      <c r="EH610" s="182"/>
      <c r="EI610" s="182"/>
      <c r="EJ610" s="182"/>
      <c r="EK610" s="182"/>
      <c r="EL610" s="182"/>
      <c r="EM610" s="182"/>
      <c r="EN610" s="182"/>
      <c r="EO610" s="182"/>
      <c r="EP610" s="182"/>
      <c r="EQ610" s="182"/>
      <c r="ER610" s="182"/>
      <c r="ES610" s="182"/>
      <c r="ET610" s="182"/>
      <c r="EU610" s="182"/>
      <c r="EV610" s="182"/>
      <c r="EW610" s="182"/>
      <c r="EX610" s="182"/>
      <c r="EY610" s="182"/>
      <c r="EZ610" s="182"/>
      <c r="FA610" s="182"/>
      <c r="FB610" s="182"/>
      <c r="FC610" s="182"/>
      <c r="FD610" s="182"/>
      <c r="FE610" s="182"/>
      <c r="FF610" s="182"/>
      <c r="FG610" s="182"/>
      <c r="FH610" s="182"/>
      <c r="FI610" s="182"/>
      <c r="FJ610" s="182"/>
      <c r="FK610" s="182"/>
      <c r="FL610" s="182"/>
      <c r="FM610" s="182"/>
      <c r="FN610" s="182"/>
      <c r="FO610" s="182"/>
      <c r="FP610" s="182"/>
      <c r="FQ610" s="182"/>
      <c r="FR610" s="182"/>
      <c r="FS610" s="182"/>
      <c r="FT610" s="182"/>
      <c r="FU610" s="182"/>
      <c r="FV610" s="182"/>
      <c r="FW610" s="182"/>
      <c r="FX610" s="182"/>
      <c r="FY610" s="182"/>
      <c r="FZ610" s="182"/>
      <c r="GA610" s="182"/>
      <c r="GB610" s="182"/>
      <c r="GC610" s="182"/>
      <c r="GD610" s="182"/>
      <c r="GE610" s="182"/>
      <c r="GF610" s="182"/>
      <c r="GG610" s="182"/>
      <c r="GH610" s="182"/>
      <c r="GI610" s="182"/>
    </row>
    <row r="611" spans="1:191" s="183" customFormat="1" x14ac:dyDescent="0.2">
      <c r="A611" s="210" t="s">
        <v>38278</v>
      </c>
      <c r="B611" s="210" t="s">
        <v>20790</v>
      </c>
      <c r="C611" s="224" t="s">
        <v>22630</v>
      </c>
      <c r="D611" s="211" t="s">
        <v>16</v>
      </c>
      <c r="E611" s="211">
        <v>42</v>
      </c>
      <c r="F611" s="211"/>
      <c r="G611" s="211"/>
      <c r="H611" s="231">
        <v>5</v>
      </c>
      <c r="I611" s="213">
        <f t="shared" si="38"/>
        <v>1.6666666666666666E-2</v>
      </c>
      <c r="J611" s="272">
        <v>60.11</v>
      </c>
      <c r="K611" s="113"/>
      <c r="L611" s="213"/>
      <c r="M611" s="112">
        <f t="shared" si="39"/>
        <v>42.08</v>
      </c>
      <c r="N611" s="112">
        <f t="shared" si="40"/>
        <v>1262.4000000000001</v>
      </c>
      <c r="O611" s="114"/>
      <c r="P611" s="113"/>
      <c r="R611" s="203"/>
      <c r="S611" s="182"/>
      <c r="T611" s="182"/>
      <c r="U611" s="182"/>
      <c r="V611" s="182"/>
      <c r="W611" s="182"/>
      <c r="X611" s="182"/>
      <c r="Y611" s="182"/>
      <c r="Z611" s="182"/>
      <c r="AA611" s="182"/>
      <c r="AB611" s="182"/>
      <c r="AC611" s="182"/>
      <c r="AD611" s="182"/>
      <c r="AE611" s="182"/>
      <c r="AF611" s="182"/>
      <c r="AG611" s="182"/>
      <c r="AH611" s="182"/>
      <c r="AI611" s="182"/>
      <c r="AJ611" s="182"/>
      <c r="AK611" s="182"/>
      <c r="AL611" s="182"/>
      <c r="AM611" s="182"/>
      <c r="AN611" s="182"/>
      <c r="AO611" s="182"/>
      <c r="AP611" s="182"/>
      <c r="AQ611" s="182"/>
      <c r="AR611" s="182"/>
      <c r="AS611" s="182"/>
      <c r="AT611" s="182"/>
      <c r="AU611" s="182"/>
      <c r="AV611" s="182"/>
      <c r="AW611" s="182"/>
      <c r="AX611" s="182"/>
      <c r="AY611" s="182"/>
      <c r="AZ611" s="182"/>
      <c r="BA611" s="182"/>
      <c r="BB611" s="182"/>
      <c r="BC611" s="182"/>
      <c r="BD611" s="182"/>
      <c r="BE611" s="182"/>
      <c r="BF611" s="182"/>
      <c r="BG611" s="182"/>
      <c r="BH611" s="182"/>
      <c r="BI611" s="182"/>
      <c r="BJ611" s="182"/>
      <c r="BK611" s="182"/>
      <c r="BL611" s="182"/>
      <c r="BM611" s="182"/>
      <c r="BN611" s="182"/>
      <c r="BO611" s="182"/>
      <c r="BP611" s="182"/>
      <c r="BQ611" s="182"/>
      <c r="BR611" s="182"/>
      <c r="BS611" s="182"/>
      <c r="BT611" s="182"/>
      <c r="BU611" s="182"/>
      <c r="BV611" s="182"/>
      <c r="BW611" s="182"/>
      <c r="BX611" s="182"/>
      <c r="BY611" s="182"/>
      <c r="BZ611" s="182"/>
      <c r="CA611" s="182"/>
      <c r="CB611" s="182"/>
      <c r="CC611" s="182"/>
      <c r="CD611" s="182"/>
      <c r="CE611" s="182"/>
      <c r="CF611" s="182"/>
      <c r="CG611" s="182"/>
      <c r="CH611" s="182"/>
      <c r="CI611" s="182"/>
      <c r="CJ611" s="182"/>
      <c r="CK611" s="182"/>
      <c r="CL611" s="182"/>
      <c r="CM611" s="182"/>
      <c r="CN611" s="182"/>
      <c r="CO611" s="182"/>
      <c r="CP611" s="182"/>
      <c r="CQ611" s="182"/>
      <c r="CR611" s="182"/>
      <c r="CS611" s="182"/>
      <c r="CT611" s="182"/>
      <c r="CU611" s="182"/>
      <c r="CV611" s="182"/>
      <c r="CW611" s="182"/>
      <c r="CX611" s="182"/>
      <c r="CY611" s="182"/>
      <c r="CZ611" s="182"/>
      <c r="DA611" s="182"/>
      <c r="DB611" s="182"/>
      <c r="DC611" s="182"/>
      <c r="DD611" s="182"/>
      <c r="DE611" s="182"/>
      <c r="DF611" s="182"/>
      <c r="DG611" s="182"/>
      <c r="DH611" s="182"/>
      <c r="DI611" s="182"/>
      <c r="DJ611" s="182"/>
      <c r="DK611" s="182"/>
      <c r="DL611" s="182"/>
      <c r="DM611" s="182"/>
      <c r="DN611" s="182"/>
      <c r="DO611" s="182"/>
      <c r="DP611" s="182"/>
      <c r="DQ611" s="182"/>
      <c r="DR611" s="182"/>
      <c r="DS611" s="182"/>
      <c r="DT611" s="182"/>
      <c r="DU611" s="182"/>
      <c r="DV611" s="182"/>
      <c r="DW611" s="182"/>
      <c r="DX611" s="182"/>
      <c r="DY611" s="182"/>
      <c r="DZ611" s="182"/>
      <c r="EA611" s="182"/>
      <c r="EB611" s="182"/>
      <c r="EC611" s="182"/>
      <c r="ED611" s="182"/>
      <c r="EE611" s="182"/>
      <c r="EF611" s="182"/>
      <c r="EG611" s="182"/>
      <c r="EH611" s="182"/>
      <c r="EI611" s="182"/>
      <c r="EJ611" s="182"/>
      <c r="EK611" s="182"/>
      <c r="EL611" s="182"/>
      <c r="EM611" s="182"/>
      <c r="EN611" s="182"/>
      <c r="EO611" s="182"/>
      <c r="EP611" s="182"/>
      <c r="EQ611" s="182"/>
      <c r="ER611" s="182"/>
      <c r="ES611" s="182"/>
      <c r="ET611" s="182"/>
      <c r="EU611" s="182"/>
      <c r="EV611" s="182"/>
      <c r="EW611" s="182"/>
      <c r="EX611" s="182"/>
      <c r="EY611" s="182"/>
      <c r="EZ611" s="182"/>
      <c r="FA611" s="182"/>
      <c r="FB611" s="182"/>
      <c r="FC611" s="182"/>
      <c r="FD611" s="182"/>
      <c r="FE611" s="182"/>
      <c r="FF611" s="182"/>
      <c r="FG611" s="182"/>
      <c r="FH611" s="182"/>
      <c r="FI611" s="182"/>
      <c r="FJ611" s="182"/>
      <c r="FK611" s="182"/>
      <c r="FL611" s="182"/>
      <c r="FM611" s="182"/>
      <c r="FN611" s="182"/>
      <c r="FO611" s="182"/>
      <c r="FP611" s="182"/>
      <c r="FQ611" s="182"/>
      <c r="FR611" s="182"/>
      <c r="FS611" s="182"/>
      <c r="FT611" s="182"/>
      <c r="FU611" s="182"/>
      <c r="FV611" s="182"/>
      <c r="FW611" s="182"/>
      <c r="FX611" s="182"/>
      <c r="FY611" s="182"/>
      <c r="FZ611" s="182"/>
      <c r="GA611" s="182"/>
      <c r="GB611" s="182"/>
      <c r="GC611" s="182"/>
      <c r="GD611" s="182"/>
      <c r="GE611" s="182"/>
      <c r="GF611" s="182"/>
      <c r="GG611" s="182"/>
      <c r="GH611" s="182"/>
      <c r="GI611" s="182"/>
    </row>
    <row r="612" spans="1:191" s="183" customFormat="1" x14ac:dyDescent="0.2">
      <c r="A612" s="210" t="s">
        <v>38279</v>
      </c>
      <c r="B612" s="210" t="s">
        <v>20791</v>
      </c>
      <c r="C612" s="224" t="s">
        <v>22631</v>
      </c>
      <c r="D612" s="211" t="s">
        <v>16</v>
      </c>
      <c r="E612" s="211">
        <v>6</v>
      </c>
      <c r="F612" s="211"/>
      <c r="G612" s="211"/>
      <c r="H612" s="231">
        <v>5</v>
      </c>
      <c r="I612" s="213">
        <f t="shared" si="38"/>
        <v>1.6666666666666666E-2</v>
      </c>
      <c r="J612" s="272">
        <v>79.42</v>
      </c>
      <c r="K612" s="113"/>
      <c r="L612" s="213"/>
      <c r="M612" s="112">
        <f t="shared" si="39"/>
        <v>7.94</v>
      </c>
      <c r="N612" s="112">
        <f t="shared" si="40"/>
        <v>238.2</v>
      </c>
      <c r="O612" s="114"/>
      <c r="P612" s="113"/>
      <c r="R612" s="203"/>
      <c r="S612" s="182"/>
      <c r="T612" s="182"/>
      <c r="U612" s="182"/>
      <c r="V612" s="182"/>
      <c r="W612" s="182"/>
      <c r="X612" s="182"/>
      <c r="Y612" s="182"/>
      <c r="Z612" s="182"/>
      <c r="AA612" s="182"/>
      <c r="AB612" s="182"/>
      <c r="AC612" s="182"/>
      <c r="AD612" s="182"/>
      <c r="AE612" s="182"/>
      <c r="AF612" s="182"/>
      <c r="AG612" s="182"/>
      <c r="AH612" s="182"/>
      <c r="AI612" s="182"/>
      <c r="AJ612" s="182"/>
      <c r="AK612" s="182"/>
      <c r="AL612" s="182"/>
      <c r="AM612" s="182"/>
      <c r="AN612" s="182"/>
      <c r="AO612" s="182"/>
      <c r="AP612" s="182"/>
      <c r="AQ612" s="182"/>
      <c r="AR612" s="182"/>
      <c r="AS612" s="182"/>
      <c r="AT612" s="182"/>
      <c r="AU612" s="182"/>
      <c r="AV612" s="182"/>
      <c r="AW612" s="182"/>
      <c r="AX612" s="182"/>
      <c r="AY612" s="182"/>
      <c r="AZ612" s="182"/>
      <c r="BA612" s="182"/>
      <c r="BB612" s="182"/>
      <c r="BC612" s="182"/>
      <c r="BD612" s="182"/>
      <c r="BE612" s="182"/>
      <c r="BF612" s="182"/>
      <c r="BG612" s="182"/>
      <c r="BH612" s="182"/>
      <c r="BI612" s="182"/>
      <c r="BJ612" s="182"/>
      <c r="BK612" s="182"/>
      <c r="BL612" s="182"/>
      <c r="BM612" s="182"/>
      <c r="BN612" s="182"/>
      <c r="BO612" s="182"/>
      <c r="BP612" s="182"/>
      <c r="BQ612" s="182"/>
      <c r="BR612" s="182"/>
      <c r="BS612" s="182"/>
      <c r="BT612" s="182"/>
      <c r="BU612" s="182"/>
      <c r="BV612" s="182"/>
      <c r="BW612" s="182"/>
      <c r="BX612" s="182"/>
      <c r="BY612" s="182"/>
      <c r="BZ612" s="182"/>
      <c r="CA612" s="182"/>
      <c r="CB612" s="182"/>
      <c r="CC612" s="182"/>
      <c r="CD612" s="182"/>
      <c r="CE612" s="182"/>
      <c r="CF612" s="182"/>
      <c r="CG612" s="182"/>
      <c r="CH612" s="182"/>
      <c r="CI612" s="182"/>
      <c r="CJ612" s="182"/>
      <c r="CK612" s="182"/>
      <c r="CL612" s="182"/>
      <c r="CM612" s="182"/>
      <c r="CN612" s="182"/>
      <c r="CO612" s="182"/>
      <c r="CP612" s="182"/>
      <c r="CQ612" s="182"/>
      <c r="CR612" s="182"/>
      <c r="CS612" s="182"/>
      <c r="CT612" s="182"/>
      <c r="CU612" s="182"/>
      <c r="CV612" s="182"/>
      <c r="CW612" s="182"/>
      <c r="CX612" s="182"/>
      <c r="CY612" s="182"/>
      <c r="CZ612" s="182"/>
      <c r="DA612" s="182"/>
      <c r="DB612" s="182"/>
      <c r="DC612" s="182"/>
      <c r="DD612" s="182"/>
      <c r="DE612" s="182"/>
      <c r="DF612" s="182"/>
      <c r="DG612" s="182"/>
      <c r="DH612" s="182"/>
      <c r="DI612" s="182"/>
      <c r="DJ612" s="182"/>
      <c r="DK612" s="182"/>
      <c r="DL612" s="182"/>
      <c r="DM612" s="182"/>
      <c r="DN612" s="182"/>
      <c r="DO612" s="182"/>
      <c r="DP612" s="182"/>
      <c r="DQ612" s="182"/>
      <c r="DR612" s="182"/>
      <c r="DS612" s="182"/>
      <c r="DT612" s="182"/>
      <c r="DU612" s="182"/>
      <c r="DV612" s="182"/>
      <c r="DW612" s="182"/>
      <c r="DX612" s="182"/>
      <c r="DY612" s="182"/>
      <c r="DZ612" s="182"/>
      <c r="EA612" s="182"/>
      <c r="EB612" s="182"/>
      <c r="EC612" s="182"/>
      <c r="ED612" s="182"/>
      <c r="EE612" s="182"/>
      <c r="EF612" s="182"/>
      <c r="EG612" s="182"/>
      <c r="EH612" s="182"/>
      <c r="EI612" s="182"/>
      <c r="EJ612" s="182"/>
      <c r="EK612" s="182"/>
      <c r="EL612" s="182"/>
      <c r="EM612" s="182"/>
      <c r="EN612" s="182"/>
      <c r="EO612" s="182"/>
      <c r="EP612" s="182"/>
      <c r="EQ612" s="182"/>
      <c r="ER612" s="182"/>
      <c r="ES612" s="182"/>
      <c r="ET612" s="182"/>
      <c r="EU612" s="182"/>
      <c r="EV612" s="182"/>
      <c r="EW612" s="182"/>
      <c r="EX612" s="182"/>
      <c r="EY612" s="182"/>
      <c r="EZ612" s="182"/>
      <c r="FA612" s="182"/>
      <c r="FB612" s="182"/>
      <c r="FC612" s="182"/>
      <c r="FD612" s="182"/>
      <c r="FE612" s="182"/>
      <c r="FF612" s="182"/>
      <c r="FG612" s="182"/>
      <c r="FH612" s="182"/>
      <c r="FI612" s="182"/>
      <c r="FJ612" s="182"/>
      <c r="FK612" s="182"/>
      <c r="FL612" s="182"/>
      <c r="FM612" s="182"/>
      <c r="FN612" s="182"/>
      <c r="FO612" s="182"/>
      <c r="FP612" s="182"/>
      <c r="FQ612" s="182"/>
      <c r="FR612" s="182"/>
      <c r="FS612" s="182"/>
      <c r="FT612" s="182"/>
      <c r="FU612" s="182"/>
      <c r="FV612" s="182"/>
      <c r="FW612" s="182"/>
      <c r="FX612" s="182"/>
      <c r="FY612" s="182"/>
      <c r="FZ612" s="182"/>
      <c r="GA612" s="182"/>
      <c r="GB612" s="182"/>
      <c r="GC612" s="182"/>
      <c r="GD612" s="182"/>
      <c r="GE612" s="182"/>
      <c r="GF612" s="182"/>
      <c r="GG612" s="182"/>
      <c r="GH612" s="182"/>
      <c r="GI612" s="182"/>
    </row>
    <row r="613" spans="1:191" s="183" customFormat="1" x14ac:dyDescent="0.2">
      <c r="A613" s="210" t="s">
        <v>38280</v>
      </c>
      <c r="B613" s="210" t="s">
        <v>20792</v>
      </c>
      <c r="C613" s="224" t="s">
        <v>22632</v>
      </c>
      <c r="D613" s="211" t="s">
        <v>16</v>
      </c>
      <c r="E613" s="211">
        <v>42</v>
      </c>
      <c r="F613" s="211"/>
      <c r="G613" s="211"/>
      <c r="H613" s="231">
        <v>5</v>
      </c>
      <c r="I613" s="213">
        <f t="shared" si="38"/>
        <v>1.6666666666666666E-2</v>
      </c>
      <c r="J613" s="272">
        <v>104.02</v>
      </c>
      <c r="K613" s="113"/>
      <c r="L613" s="213"/>
      <c r="M613" s="112">
        <f t="shared" si="39"/>
        <v>72.81</v>
      </c>
      <c r="N613" s="112">
        <f t="shared" si="40"/>
        <v>2184.3000000000002</v>
      </c>
      <c r="O613" s="114"/>
      <c r="P613" s="113"/>
      <c r="R613" s="203"/>
      <c r="S613" s="182"/>
      <c r="T613" s="182"/>
      <c r="U613" s="182"/>
      <c r="V613" s="182"/>
      <c r="W613" s="182"/>
      <c r="X613" s="182"/>
      <c r="Y613" s="182"/>
      <c r="Z613" s="182"/>
      <c r="AA613" s="182"/>
      <c r="AB613" s="182"/>
      <c r="AC613" s="182"/>
      <c r="AD613" s="182"/>
      <c r="AE613" s="182"/>
      <c r="AF613" s="182"/>
      <c r="AG613" s="182"/>
      <c r="AH613" s="182"/>
      <c r="AI613" s="182"/>
      <c r="AJ613" s="182"/>
      <c r="AK613" s="182"/>
      <c r="AL613" s="182"/>
      <c r="AM613" s="182"/>
      <c r="AN613" s="182"/>
      <c r="AO613" s="182"/>
      <c r="AP613" s="182"/>
      <c r="AQ613" s="182"/>
      <c r="AR613" s="182"/>
      <c r="AS613" s="182"/>
      <c r="AT613" s="182"/>
      <c r="AU613" s="182"/>
      <c r="AV613" s="182"/>
      <c r="AW613" s="182"/>
      <c r="AX613" s="182"/>
      <c r="AY613" s="182"/>
      <c r="AZ613" s="182"/>
      <c r="BA613" s="182"/>
      <c r="BB613" s="182"/>
      <c r="BC613" s="182"/>
      <c r="BD613" s="182"/>
      <c r="BE613" s="182"/>
      <c r="BF613" s="182"/>
      <c r="BG613" s="182"/>
      <c r="BH613" s="182"/>
      <c r="BI613" s="182"/>
      <c r="BJ613" s="182"/>
      <c r="BK613" s="182"/>
      <c r="BL613" s="182"/>
      <c r="BM613" s="182"/>
      <c r="BN613" s="182"/>
      <c r="BO613" s="182"/>
      <c r="BP613" s="182"/>
      <c r="BQ613" s="182"/>
      <c r="BR613" s="182"/>
      <c r="BS613" s="182"/>
      <c r="BT613" s="182"/>
      <c r="BU613" s="182"/>
      <c r="BV613" s="182"/>
      <c r="BW613" s="182"/>
      <c r="BX613" s="182"/>
      <c r="BY613" s="182"/>
      <c r="BZ613" s="182"/>
      <c r="CA613" s="182"/>
      <c r="CB613" s="182"/>
      <c r="CC613" s="182"/>
      <c r="CD613" s="182"/>
      <c r="CE613" s="182"/>
      <c r="CF613" s="182"/>
      <c r="CG613" s="182"/>
      <c r="CH613" s="182"/>
      <c r="CI613" s="182"/>
      <c r="CJ613" s="182"/>
      <c r="CK613" s="182"/>
      <c r="CL613" s="182"/>
      <c r="CM613" s="182"/>
      <c r="CN613" s="182"/>
      <c r="CO613" s="182"/>
      <c r="CP613" s="182"/>
      <c r="CQ613" s="182"/>
      <c r="CR613" s="182"/>
      <c r="CS613" s="182"/>
      <c r="CT613" s="182"/>
      <c r="CU613" s="182"/>
      <c r="CV613" s="182"/>
      <c r="CW613" s="182"/>
      <c r="CX613" s="182"/>
      <c r="CY613" s="182"/>
      <c r="CZ613" s="182"/>
      <c r="DA613" s="182"/>
      <c r="DB613" s="182"/>
      <c r="DC613" s="182"/>
      <c r="DD613" s="182"/>
      <c r="DE613" s="182"/>
      <c r="DF613" s="182"/>
      <c r="DG613" s="182"/>
      <c r="DH613" s="182"/>
      <c r="DI613" s="182"/>
      <c r="DJ613" s="182"/>
      <c r="DK613" s="182"/>
      <c r="DL613" s="182"/>
      <c r="DM613" s="182"/>
      <c r="DN613" s="182"/>
      <c r="DO613" s="182"/>
      <c r="DP613" s="182"/>
      <c r="DQ613" s="182"/>
      <c r="DR613" s="182"/>
      <c r="DS613" s="182"/>
      <c r="DT613" s="182"/>
      <c r="DU613" s="182"/>
      <c r="DV613" s="182"/>
      <c r="DW613" s="182"/>
      <c r="DX613" s="182"/>
      <c r="DY613" s="182"/>
      <c r="DZ613" s="182"/>
      <c r="EA613" s="182"/>
      <c r="EB613" s="182"/>
      <c r="EC613" s="182"/>
      <c r="ED613" s="182"/>
      <c r="EE613" s="182"/>
      <c r="EF613" s="182"/>
      <c r="EG613" s="182"/>
      <c r="EH613" s="182"/>
      <c r="EI613" s="182"/>
      <c r="EJ613" s="182"/>
      <c r="EK613" s="182"/>
      <c r="EL613" s="182"/>
      <c r="EM613" s="182"/>
      <c r="EN613" s="182"/>
      <c r="EO613" s="182"/>
      <c r="EP613" s="182"/>
      <c r="EQ613" s="182"/>
      <c r="ER613" s="182"/>
      <c r="ES613" s="182"/>
      <c r="ET613" s="182"/>
      <c r="EU613" s="182"/>
      <c r="EV613" s="182"/>
      <c r="EW613" s="182"/>
      <c r="EX613" s="182"/>
      <c r="EY613" s="182"/>
      <c r="EZ613" s="182"/>
      <c r="FA613" s="182"/>
      <c r="FB613" s="182"/>
      <c r="FC613" s="182"/>
      <c r="FD613" s="182"/>
      <c r="FE613" s="182"/>
      <c r="FF613" s="182"/>
      <c r="FG613" s="182"/>
      <c r="FH613" s="182"/>
      <c r="FI613" s="182"/>
      <c r="FJ613" s="182"/>
      <c r="FK613" s="182"/>
      <c r="FL613" s="182"/>
      <c r="FM613" s="182"/>
      <c r="FN613" s="182"/>
      <c r="FO613" s="182"/>
      <c r="FP613" s="182"/>
      <c r="FQ613" s="182"/>
      <c r="FR613" s="182"/>
      <c r="FS613" s="182"/>
      <c r="FT613" s="182"/>
      <c r="FU613" s="182"/>
      <c r="FV613" s="182"/>
      <c r="FW613" s="182"/>
      <c r="FX613" s="182"/>
      <c r="FY613" s="182"/>
      <c r="FZ613" s="182"/>
      <c r="GA613" s="182"/>
      <c r="GB613" s="182"/>
      <c r="GC613" s="182"/>
      <c r="GD613" s="182"/>
      <c r="GE613" s="182"/>
      <c r="GF613" s="182"/>
      <c r="GG613" s="182"/>
      <c r="GH613" s="182"/>
      <c r="GI613" s="182"/>
    </row>
    <row r="614" spans="1:191" s="183" customFormat="1" x14ac:dyDescent="0.2">
      <c r="A614" s="210" t="s">
        <v>38281</v>
      </c>
      <c r="B614" s="210" t="s">
        <v>20793</v>
      </c>
      <c r="C614" s="224" t="s">
        <v>22633</v>
      </c>
      <c r="D614" s="211" t="s">
        <v>16</v>
      </c>
      <c r="E614" s="211">
        <v>6</v>
      </c>
      <c r="F614" s="211"/>
      <c r="G614" s="211"/>
      <c r="H614" s="231">
        <v>5</v>
      </c>
      <c r="I614" s="213">
        <f t="shared" si="38"/>
        <v>1.6666666666666666E-2</v>
      </c>
      <c r="J614" s="272">
        <v>228.47</v>
      </c>
      <c r="K614" s="113"/>
      <c r="L614" s="213"/>
      <c r="M614" s="112">
        <f t="shared" si="39"/>
        <v>22.85</v>
      </c>
      <c r="N614" s="112">
        <f t="shared" si="40"/>
        <v>685.5</v>
      </c>
      <c r="O614" s="114"/>
      <c r="P614" s="113"/>
      <c r="R614" s="203"/>
      <c r="S614" s="182"/>
      <c r="T614" s="182"/>
      <c r="U614" s="182"/>
      <c r="V614" s="182"/>
      <c r="W614" s="182"/>
      <c r="X614" s="182"/>
      <c r="Y614" s="182"/>
      <c r="Z614" s="182"/>
      <c r="AA614" s="182"/>
      <c r="AB614" s="182"/>
      <c r="AC614" s="182"/>
      <c r="AD614" s="182"/>
      <c r="AE614" s="182"/>
      <c r="AF614" s="182"/>
      <c r="AG614" s="182"/>
      <c r="AH614" s="182"/>
      <c r="AI614" s="182"/>
      <c r="AJ614" s="182"/>
      <c r="AK614" s="182"/>
      <c r="AL614" s="182"/>
      <c r="AM614" s="182"/>
      <c r="AN614" s="182"/>
      <c r="AO614" s="182"/>
      <c r="AP614" s="182"/>
      <c r="AQ614" s="182"/>
      <c r="AR614" s="182"/>
      <c r="AS614" s="182"/>
      <c r="AT614" s="182"/>
      <c r="AU614" s="182"/>
      <c r="AV614" s="182"/>
      <c r="AW614" s="182"/>
      <c r="AX614" s="182"/>
      <c r="AY614" s="182"/>
      <c r="AZ614" s="182"/>
      <c r="BA614" s="182"/>
      <c r="BB614" s="182"/>
      <c r="BC614" s="182"/>
      <c r="BD614" s="182"/>
      <c r="BE614" s="182"/>
      <c r="BF614" s="182"/>
      <c r="BG614" s="182"/>
      <c r="BH614" s="182"/>
      <c r="BI614" s="182"/>
      <c r="BJ614" s="182"/>
      <c r="BK614" s="182"/>
      <c r="BL614" s="182"/>
      <c r="BM614" s="182"/>
      <c r="BN614" s="182"/>
      <c r="BO614" s="182"/>
      <c r="BP614" s="182"/>
      <c r="BQ614" s="182"/>
      <c r="BR614" s="182"/>
      <c r="BS614" s="182"/>
      <c r="BT614" s="182"/>
      <c r="BU614" s="182"/>
      <c r="BV614" s="182"/>
      <c r="BW614" s="182"/>
      <c r="BX614" s="182"/>
      <c r="BY614" s="182"/>
      <c r="BZ614" s="182"/>
      <c r="CA614" s="182"/>
      <c r="CB614" s="182"/>
      <c r="CC614" s="182"/>
      <c r="CD614" s="182"/>
      <c r="CE614" s="182"/>
      <c r="CF614" s="182"/>
      <c r="CG614" s="182"/>
      <c r="CH614" s="182"/>
      <c r="CI614" s="182"/>
      <c r="CJ614" s="182"/>
      <c r="CK614" s="182"/>
      <c r="CL614" s="182"/>
      <c r="CM614" s="182"/>
      <c r="CN614" s="182"/>
      <c r="CO614" s="182"/>
      <c r="CP614" s="182"/>
      <c r="CQ614" s="182"/>
      <c r="CR614" s="182"/>
      <c r="CS614" s="182"/>
      <c r="CT614" s="182"/>
      <c r="CU614" s="182"/>
      <c r="CV614" s="182"/>
      <c r="CW614" s="182"/>
      <c r="CX614" s="182"/>
      <c r="CY614" s="182"/>
      <c r="CZ614" s="182"/>
      <c r="DA614" s="182"/>
      <c r="DB614" s="182"/>
      <c r="DC614" s="182"/>
      <c r="DD614" s="182"/>
      <c r="DE614" s="182"/>
      <c r="DF614" s="182"/>
      <c r="DG614" s="182"/>
      <c r="DH614" s="182"/>
      <c r="DI614" s="182"/>
      <c r="DJ614" s="182"/>
      <c r="DK614" s="182"/>
      <c r="DL614" s="182"/>
      <c r="DM614" s="182"/>
      <c r="DN614" s="182"/>
      <c r="DO614" s="182"/>
      <c r="DP614" s="182"/>
      <c r="DQ614" s="182"/>
      <c r="DR614" s="182"/>
      <c r="DS614" s="182"/>
      <c r="DT614" s="182"/>
      <c r="DU614" s="182"/>
      <c r="DV614" s="182"/>
      <c r="DW614" s="182"/>
      <c r="DX614" s="182"/>
      <c r="DY614" s="182"/>
      <c r="DZ614" s="182"/>
      <c r="EA614" s="182"/>
      <c r="EB614" s="182"/>
      <c r="EC614" s="182"/>
      <c r="ED614" s="182"/>
      <c r="EE614" s="182"/>
      <c r="EF614" s="182"/>
      <c r="EG614" s="182"/>
      <c r="EH614" s="182"/>
      <c r="EI614" s="182"/>
      <c r="EJ614" s="182"/>
      <c r="EK614" s="182"/>
      <c r="EL614" s="182"/>
      <c r="EM614" s="182"/>
      <c r="EN614" s="182"/>
      <c r="EO614" s="182"/>
      <c r="EP614" s="182"/>
      <c r="EQ614" s="182"/>
      <c r="ER614" s="182"/>
      <c r="ES614" s="182"/>
      <c r="ET614" s="182"/>
      <c r="EU614" s="182"/>
      <c r="EV614" s="182"/>
      <c r="EW614" s="182"/>
      <c r="EX614" s="182"/>
      <c r="EY614" s="182"/>
      <c r="EZ614" s="182"/>
      <c r="FA614" s="182"/>
      <c r="FB614" s="182"/>
      <c r="FC614" s="182"/>
      <c r="FD614" s="182"/>
      <c r="FE614" s="182"/>
      <c r="FF614" s="182"/>
      <c r="FG614" s="182"/>
      <c r="FH614" s="182"/>
      <c r="FI614" s="182"/>
      <c r="FJ614" s="182"/>
      <c r="FK614" s="182"/>
      <c r="FL614" s="182"/>
      <c r="FM614" s="182"/>
      <c r="FN614" s="182"/>
      <c r="FO614" s="182"/>
      <c r="FP614" s="182"/>
      <c r="FQ614" s="182"/>
      <c r="FR614" s="182"/>
      <c r="FS614" s="182"/>
      <c r="FT614" s="182"/>
      <c r="FU614" s="182"/>
      <c r="FV614" s="182"/>
      <c r="FW614" s="182"/>
      <c r="FX614" s="182"/>
      <c r="FY614" s="182"/>
      <c r="FZ614" s="182"/>
      <c r="GA614" s="182"/>
      <c r="GB614" s="182"/>
      <c r="GC614" s="182"/>
      <c r="GD614" s="182"/>
      <c r="GE614" s="182"/>
      <c r="GF614" s="182"/>
      <c r="GG614" s="182"/>
      <c r="GH614" s="182"/>
      <c r="GI614" s="182"/>
    </row>
    <row r="615" spans="1:191" s="183" customFormat="1" x14ac:dyDescent="0.2">
      <c r="A615" s="210" t="s">
        <v>38282</v>
      </c>
      <c r="B615" s="210" t="s">
        <v>20794</v>
      </c>
      <c r="C615" s="224" t="s">
        <v>22634</v>
      </c>
      <c r="D615" s="211" t="s">
        <v>16</v>
      </c>
      <c r="E615" s="211">
        <v>3</v>
      </c>
      <c r="F615" s="211"/>
      <c r="G615" s="211"/>
      <c r="H615" s="231">
        <v>5</v>
      </c>
      <c r="I615" s="213">
        <f t="shared" si="38"/>
        <v>1.6666666666666666E-2</v>
      </c>
      <c r="J615" s="272">
        <v>410.61</v>
      </c>
      <c r="K615" s="113"/>
      <c r="L615" s="213"/>
      <c r="M615" s="112">
        <f t="shared" si="39"/>
        <v>20.53</v>
      </c>
      <c r="N615" s="112">
        <f t="shared" si="40"/>
        <v>615.9</v>
      </c>
      <c r="O615" s="114"/>
      <c r="P615" s="113"/>
      <c r="R615" s="203"/>
      <c r="S615" s="182"/>
      <c r="T615" s="182"/>
      <c r="U615" s="182"/>
      <c r="V615" s="182"/>
      <c r="W615" s="182"/>
      <c r="X615" s="182"/>
      <c r="Y615" s="182"/>
      <c r="Z615" s="182"/>
      <c r="AA615" s="182"/>
      <c r="AB615" s="182"/>
      <c r="AC615" s="182"/>
      <c r="AD615" s="182"/>
      <c r="AE615" s="182"/>
      <c r="AF615" s="182"/>
      <c r="AG615" s="182"/>
      <c r="AH615" s="182"/>
      <c r="AI615" s="182"/>
      <c r="AJ615" s="182"/>
      <c r="AK615" s="182"/>
      <c r="AL615" s="182"/>
      <c r="AM615" s="182"/>
      <c r="AN615" s="182"/>
      <c r="AO615" s="182"/>
      <c r="AP615" s="182"/>
      <c r="AQ615" s="182"/>
      <c r="AR615" s="182"/>
      <c r="AS615" s="182"/>
      <c r="AT615" s="182"/>
      <c r="AU615" s="182"/>
      <c r="AV615" s="182"/>
      <c r="AW615" s="182"/>
      <c r="AX615" s="182"/>
      <c r="AY615" s="182"/>
      <c r="AZ615" s="182"/>
      <c r="BA615" s="182"/>
      <c r="BB615" s="182"/>
      <c r="BC615" s="182"/>
      <c r="BD615" s="182"/>
      <c r="BE615" s="182"/>
      <c r="BF615" s="182"/>
      <c r="BG615" s="182"/>
      <c r="BH615" s="182"/>
      <c r="BI615" s="182"/>
      <c r="BJ615" s="182"/>
      <c r="BK615" s="182"/>
      <c r="BL615" s="182"/>
      <c r="BM615" s="182"/>
      <c r="BN615" s="182"/>
      <c r="BO615" s="182"/>
      <c r="BP615" s="182"/>
      <c r="BQ615" s="182"/>
      <c r="BR615" s="182"/>
      <c r="BS615" s="182"/>
      <c r="BT615" s="182"/>
      <c r="BU615" s="182"/>
      <c r="BV615" s="182"/>
      <c r="BW615" s="182"/>
      <c r="BX615" s="182"/>
      <c r="BY615" s="182"/>
      <c r="BZ615" s="182"/>
      <c r="CA615" s="182"/>
      <c r="CB615" s="182"/>
      <c r="CC615" s="182"/>
      <c r="CD615" s="182"/>
      <c r="CE615" s="182"/>
      <c r="CF615" s="182"/>
      <c r="CG615" s="182"/>
      <c r="CH615" s="182"/>
      <c r="CI615" s="182"/>
      <c r="CJ615" s="182"/>
      <c r="CK615" s="182"/>
      <c r="CL615" s="182"/>
      <c r="CM615" s="182"/>
      <c r="CN615" s="182"/>
      <c r="CO615" s="182"/>
      <c r="CP615" s="182"/>
      <c r="CQ615" s="182"/>
      <c r="CR615" s="182"/>
      <c r="CS615" s="182"/>
      <c r="CT615" s="182"/>
      <c r="CU615" s="182"/>
      <c r="CV615" s="182"/>
      <c r="CW615" s="182"/>
      <c r="CX615" s="182"/>
      <c r="CY615" s="182"/>
      <c r="CZ615" s="182"/>
      <c r="DA615" s="182"/>
      <c r="DB615" s="182"/>
      <c r="DC615" s="182"/>
      <c r="DD615" s="182"/>
      <c r="DE615" s="182"/>
      <c r="DF615" s="182"/>
      <c r="DG615" s="182"/>
      <c r="DH615" s="182"/>
      <c r="DI615" s="182"/>
      <c r="DJ615" s="182"/>
      <c r="DK615" s="182"/>
      <c r="DL615" s="182"/>
      <c r="DM615" s="182"/>
      <c r="DN615" s="182"/>
      <c r="DO615" s="182"/>
      <c r="DP615" s="182"/>
      <c r="DQ615" s="182"/>
      <c r="DR615" s="182"/>
      <c r="DS615" s="182"/>
      <c r="DT615" s="182"/>
      <c r="DU615" s="182"/>
      <c r="DV615" s="182"/>
      <c r="DW615" s="182"/>
      <c r="DX615" s="182"/>
      <c r="DY615" s="182"/>
      <c r="DZ615" s="182"/>
      <c r="EA615" s="182"/>
      <c r="EB615" s="182"/>
      <c r="EC615" s="182"/>
      <c r="ED615" s="182"/>
      <c r="EE615" s="182"/>
      <c r="EF615" s="182"/>
      <c r="EG615" s="182"/>
      <c r="EH615" s="182"/>
      <c r="EI615" s="182"/>
      <c r="EJ615" s="182"/>
      <c r="EK615" s="182"/>
      <c r="EL615" s="182"/>
      <c r="EM615" s="182"/>
      <c r="EN615" s="182"/>
      <c r="EO615" s="182"/>
      <c r="EP615" s="182"/>
      <c r="EQ615" s="182"/>
      <c r="ER615" s="182"/>
      <c r="ES615" s="182"/>
      <c r="ET615" s="182"/>
      <c r="EU615" s="182"/>
      <c r="EV615" s="182"/>
      <c r="EW615" s="182"/>
      <c r="EX615" s="182"/>
      <c r="EY615" s="182"/>
      <c r="EZ615" s="182"/>
      <c r="FA615" s="182"/>
      <c r="FB615" s="182"/>
      <c r="FC615" s="182"/>
      <c r="FD615" s="182"/>
      <c r="FE615" s="182"/>
      <c r="FF615" s="182"/>
      <c r="FG615" s="182"/>
      <c r="FH615" s="182"/>
      <c r="FI615" s="182"/>
      <c r="FJ615" s="182"/>
      <c r="FK615" s="182"/>
      <c r="FL615" s="182"/>
      <c r="FM615" s="182"/>
      <c r="FN615" s="182"/>
      <c r="FO615" s="182"/>
      <c r="FP615" s="182"/>
      <c r="FQ615" s="182"/>
      <c r="FR615" s="182"/>
      <c r="FS615" s="182"/>
      <c r="FT615" s="182"/>
      <c r="FU615" s="182"/>
      <c r="FV615" s="182"/>
      <c r="FW615" s="182"/>
      <c r="FX615" s="182"/>
      <c r="FY615" s="182"/>
      <c r="FZ615" s="182"/>
      <c r="GA615" s="182"/>
      <c r="GB615" s="182"/>
      <c r="GC615" s="182"/>
      <c r="GD615" s="182"/>
      <c r="GE615" s="182"/>
      <c r="GF615" s="182"/>
      <c r="GG615" s="182"/>
      <c r="GH615" s="182"/>
      <c r="GI615" s="182"/>
    </row>
    <row r="616" spans="1:191" s="183" customFormat="1" x14ac:dyDescent="0.2">
      <c r="A616" s="210" t="s">
        <v>38283</v>
      </c>
      <c r="B616" s="210" t="s">
        <v>20795</v>
      </c>
      <c r="C616" s="224" t="s">
        <v>22635</v>
      </c>
      <c r="D616" s="211" t="s">
        <v>468</v>
      </c>
      <c r="E616" s="211">
        <v>4</v>
      </c>
      <c r="F616" s="211"/>
      <c r="G616" s="211"/>
      <c r="H616" s="231">
        <v>5</v>
      </c>
      <c r="I616" s="213">
        <f t="shared" si="38"/>
        <v>1.6666666666666666E-2</v>
      </c>
      <c r="J616" s="272">
        <v>255.02</v>
      </c>
      <c r="K616" s="113"/>
      <c r="L616" s="213"/>
      <c r="M616" s="112">
        <f t="shared" si="39"/>
        <v>17</v>
      </c>
      <c r="N616" s="112">
        <f t="shared" si="40"/>
        <v>510</v>
      </c>
      <c r="O616" s="114"/>
      <c r="P616" s="113"/>
      <c r="R616" s="203"/>
      <c r="S616" s="182"/>
      <c r="T616" s="182"/>
      <c r="U616" s="182"/>
      <c r="V616" s="182"/>
      <c r="W616" s="182"/>
      <c r="X616" s="182"/>
      <c r="Y616" s="182"/>
      <c r="Z616" s="182"/>
      <c r="AA616" s="182"/>
      <c r="AB616" s="182"/>
      <c r="AC616" s="182"/>
      <c r="AD616" s="182"/>
      <c r="AE616" s="182"/>
      <c r="AF616" s="182"/>
      <c r="AG616" s="182"/>
      <c r="AH616" s="182"/>
      <c r="AI616" s="182"/>
      <c r="AJ616" s="182"/>
      <c r="AK616" s="182"/>
      <c r="AL616" s="182"/>
      <c r="AM616" s="182"/>
      <c r="AN616" s="182"/>
      <c r="AO616" s="182"/>
      <c r="AP616" s="182"/>
      <c r="AQ616" s="182"/>
      <c r="AR616" s="182"/>
      <c r="AS616" s="182"/>
      <c r="AT616" s="182"/>
      <c r="AU616" s="182"/>
      <c r="AV616" s="182"/>
      <c r="AW616" s="182"/>
      <c r="AX616" s="182"/>
      <c r="AY616" s="182"/>
      <c r="AZ616" s="182"/>
      <c r="BA616" s="182"/>
      <c r="BB616" s="182"/>
      <c r="BC616" s="182"/>
      <c r="BD616" s="182"/>
      <c r="BE616" s="182"/>
      <c r="BF616" s="182"/>
      <c r="BG616" s="182"/>
      <c r="BH616" s="182"/>
      <c r="BI616" s="182"/>
      <c r="BJ616" s="182"/>
      <c r="BK616" s="182"/>
      <c r="BL616" s="182"/>
      <c r="BM616" s="182"/>
      <c r="BN616" s="182"/>
      <c r="BO616" s="182"/>
      <c r="BP616" s="182"/>
      <c r="BQ616" s="182"/>
      <c r="BR616" s="182"/>
      <c r="BS616" s="182"/>
      <c r="BT616" s="182"/>
      <c r="BU616" s="182"/>
      <c r="BV616" s="182"/>
      <c r="BW616" s="182"/>
      <c r="BX616" s="182"/>
      <c r="BY616" s="182"/>
      <c r="BZ616" s="182"/>
      <c r="CA616" s="182"/>
      <c r="CB616" s="182"/>
      <c r="CC616" s="182"/>
      <c r="CD616" s="182"/>
      <c r="CE616" s="182"/>
      <c r="CF616" s="182"/>
      <c r="CG616" s="182"/>
      <c r="CH616" s="182"/>
      <c r="CI616" s="182"/>
      <c r="CJ616" s="182"/>
      <c r="CK616" s="182"/>
      <c r="CL616" s="182"/>
      <c r="CM616" s="182"/>
      <c r="CN616" s="182"/>
      <c r="CO616" s="182"/>
      <c r="CP616" s="182"/>
      <c r="CQ616" s="182"/>
      <c r="CR616" s="182"/>
      <c r="CS616" s="182"/>
      <c r="CT616" s="182"/>
      <c r="CU616" s="182"/>
      <c r="CV616" s="182"/>
      <c r="CW616" s="182"/>
      <c r="CX616" s="182"/>
      <c r="CY616" s="182"/>
      <c r="CZ616" s="182"/>
      <c r="DA616" s="182"/>
      <c r="DB616" s="182"/>
      <c r="DC616" s="182"/>
      <c r="DD616" s="182"/>
      <c r="DE616" s="182"/>
      <c r="DF616" s="182"/>
      <c r="DG616" s="182"/>
      <c r="DH616" s="182"/>
      <c r="DI616" s="182"/>
      <c r="DJ616" s="182"/>
      <c r="DK616" s="182"/>
      <c r="DL616" s="182"/>
      <c r="DM616" s="182"/>
      <c r="DN616" s="182"/>
      <c r="DO616" s="182"/>
      <c r="DP616" s="182"/>
      <c r="DQ616" s="182"/>
      <c r="DR616" s="182"/>
      <c r="DS616" s="182"/>
      <c r="DT616" s="182"/>
      <c r="DU616" s="182"/>
      <c r="DV616" s="182"/>
      <c r="DW616" s="182"/>
      <c r="DX616" s="182"/>
      <c r="DY616" s="182"/>
      <c r="DZ616" s="182"/>
      <c r="EA616" s="182"/>
      <c r="EB616" s="182"/>
      <c r="EC616" s="182"/>
      <c r="ED616" s="182"/>
      <c r="EE616" s="182"/>
      <c r="EF616" s="182"/>
      <c r="EG616" s="182"/>
      <c r="EH616" s="182"/>
      <c r="EI616" s="182"/>
      <c r="EJ616" s="182"/>
      <c r="EK616" s="182"/>
      <c r="EL616" s="182"/>
      <c r="EM616" s="182"/>
      <c r="EN616" s="182"/>
      <c r="EO616" s="182"/>
      <c r="EP616" s="182"/>
      <c r="EQ616" s="182"/>
      <c r="ER616" s="182"/>
      <c r="ES616" s="182"/>
      <c r="ET616" s="182"/>
      <c r="EU616" s="182"/>
      <c r="EV616" s="182"/>
      <c r="EW616" s="182"/>
      <c r="EX616" s="182"/>
      <c r="EY616" s="182"/>
      <c r="EZ616" s="182"/>
      <c r="FA616" s="182"/>
      <c r="FB616" s="182"/>
      <c r="FC616" s="182"/>
      <c r="FD616" s="182"/>
      <c r="FE616" s="182"/>
      <c r="FF616" s="182"/>
      <c r="FG616" s="182"/>
      <c r="FH616" s="182"/>
      <c r="FI616" s="182"/>
      <c r="FJ616" s="182"/>
      <c r="FK616" s="182"/>
      <c r="FL616" s="182"/>
      <c r="FM616" s="182"/>
      <c r="FN616" s="182"/>
      <c r="FO616" s="182"/>
      <c r="FP616" s="182"/>
      <c r="FQ616" s="182"/>
      <c r="FR616" s="182"/>
      <c r="FS616" s="182"/>
      <c r="FT616" s="182"/>
      <c r="FU616" s="182"/>
      <c r="FV616" s="182"/>
      <c r="FW616" s="182"/>
      <c r="FX616" s="182"/>
      <c r="FY616" s="182"/>
      <c r="FZ616" s="182"/>
      <c r="GA616" s="182"/>
      <c r="GB616" s="182"/>
      <c r="GC616" s="182"/>
      <c r="GD616" s="182"/>
      <c r="GE616" s="182"/>
      <c r="GF616" s="182"/>
      <c r="GG616" s="182"/>
      <c r="GH616" s="182"/>
      <c r="GI616" s="182"/>
    </row>
    <row r="617" spans="1:191" s="183" customFormat="1" x14ac:dyDescent="0.2">
      <c r="A617" s="210" t="s">
        <v>38284</v>
      </c>
      <c r="B617" s="210" t="s">
        <v>20796</v>
      </c>
      <c r="C617" s="224" t="s">
        <v>22636</v>
      </c>
      <c r="D617" s="211" t="s">
        <v>16</v>
      </c>
      <c r="E617" s="211">
        <v>1</v>
      </c>
      <c r="F617" s="211"/>
      <c r="G617" s="211"/>
      <c r="H617" s="231">
        <v>10</v>
      </c>
      <c r="I617" s="213">
        <f t="shared" si="38"/>
        <v>8.3333333333333332E-3</v>
      </c>
      <c r="J617" s="272">
        <v>701.6</v>
      </c>
      <c r="K617" s="113"/>
      <c r="L617" s="213"/>
      <c r="M617" s="112">
        <f t="shared" si="39"/>
        <v>5.85</v>
      </c>
      <c r="N617" s="112">
        <f t="shared" si="40"/>
        <v>175.5</v>
      </c>
      <c r="O617" s="114"/>
      <c r="P617" s="113"/>
      <c r="R617" s="203"/>
      <c r="S617" s="182"/>
      <c r="T617" s="182"/>
      <c r="U617" s="182"/>
      <c r="V617" s="182"/>
      <c r="W617" s="182"/>
      <c r="X617" s="182"/>
      <c r="Y617" s="182"/>
      <c r="Z617" s="182"/>
      <c r="AA617" s="182"/>
      <c r="AB617" s="182"/>
      <c r="AC617" s="182"/>
      <c r="AD617" s="182"/>
      <c r="AE617" s="182"/>
      <c r="AF617" s="182"/>
      <c r="AG617" s="182"/>
      <c r="AH617" s="182"/>
      <c r="AI617" s="182"/>
      <c r="AJ617" s="182"/>
      <c r="AK617" s="182"/>
      <c r="AL617" s="182"/>
      <c r="AM617" s="182"/>
      <c r="AN617" s="182"/>
      <c r="AO617" s="182"/>
      <c r="AP617" s="182"/>
      <c r="AQ617" s="182"/>
      <c r="AR617" s="182"/>
      <c r="AS617" s="182"/>
      <c r="AT617" s="182"/>
      <c r="AU617" s="182"/>
      <c r="AV617" s="182"/>
      <c r="AW617" s="182"/>
      <c r="AX617" s="182"/>
      <c r="AY617" s="182"/>
      <c r="AZ617" s="182"/>
      <c r="BA617" s="182"/>
      <c r="BB617" s="182"/>
      <c r="BC617" s="182"/>
      <c r="BD617" s="182"/>
      <c r="BE617" s="182"/>
      <c r="BF617" s="182"/>
      <c r="BG617" s="182"/>
      <c r="BH617" s="182"/>
      <c r="BI617" s="182"/>
      <c r="BJ617" s="182"/>
      <c r="BK617" s="182"/>
      <c r="BL617" s="182"/>
      <c r="BM617" s="182"/>
      <c r="BN617" s="182"/>
      <c r="BO617" s="182"/>
      <c r="BP617" s="182"/>
      <c r="BQ617" s="182"/>
      <c r="BR617" s="182"/>
      <c r="BS617" s="182"/>
      <c r="BT617" s="182"/>
      <c r="BU617" s="182"/>
      <c r="BV617" s="182"/>
      <c r="BW617" s="182"/>
      <c r="BX617" s="182"/>
      <c r="BY617" s="182"/>
      <c r="BZ617" s="182"/>
      <c r="CA617" s="182"/>
      <c r="CB617" s="182"/>
      <c r="CC617" s="182"/>
      <c r="CD617" s="182"/>
      <c r="CE617" s="182"/>
      <c r="CF617" s="182"/>
      <c r="CG617" s="182"/>
      <c r="CH617" s="182"/>
      <c r="CI617" s="182"/>
      <c r="CJ617" s="182"/>
      <c r="CK617" s="182"/>
      <c r="CL617" s="182"/>
      <c r="CM617" s="182"/>
      <c r="CN617" s="182"/>
      <c r="CO617" s="182"/>
      <c r="CP617" s="182"/>
      <c r="CQ617" s="182"/>
      <c r="CR617" s="182"/>
      <c r="CS617" s="182"/>
      <c r="CT617" s="182"/>
      <c r="CU617" s="182"/>
      <c r="CV617" s="182"/>
      <c r="CW617" s="182"/>
      <c r="CX617" s="182"/>
      <c r="CY617" s="182"/>
      <c r="CZ617" s="182"/>
      <c r="DA617" s="182"/>
      <c r="DB617" s="182"/>
      <c r="DC617" s="182"/>
      <c r="DD617" s="182"/>
      <c r="DE617" s="182"/>
      <c r="DF617" s="182"/>
      <c r="DG617" s="182"/>
      <c r="DH617" s="182"/>
      <c r="DI617" s="182"/>
      <c r="DJ617" s="182"/>
      <c r="DK617" s="182"/>
      <c r="DL617" s="182"/>
      <c r="DM617" s="182"/>
      <c r="DN617" s="182"/>
      <c r="DO617" s="182"/>
      <c r="DP617" s="182"/>
      <c r="DQ617" s="182"/>
      <c r="DR617" s="182"/>
      <c r="DS617" s="182"/>
      <c r="DT617" s="182"/>
      <c r="DU617" s="182"/>
      <c r="DV617" s="182"/>
      <c r="DW617" s="182"/>
      <c r="DX617" s="182"/>
      <c r="DY617" s="182"/>
      <c r="DZ617" s="182"/>
      <c r="EA617" s="182"/>
      <c r="EB617" s="182"/>
      <c r="EC617" s="182"/>
      <c r="ED617" s="182"/>
      <c r="EE617" s="182"/>
      <c r="EF617" s="182"/>
      <c r="EG617" s="182"/>
      <c r="EH617" s="182"/>
      <c r="EI617" s="182"/>
      <c r="EJ617" s="182"/>
      <c r="EK617" s="182"/>
      <c r="EL617" s="182"/>
      <c r="EM617" s="182"/>
      <c r="EN617" s="182"/>
      <c r="EO617" s="182"/>
      <c r="EP617" s="182"/>
      <c r="EQ617" s="182"/>
      <c r="ER617" s="182"/>
      <c r="ES617" s="182"/>
      <c r="ET617" s="182"/>
      <c r="EU617" s="182"/>
      <c r="EV617" s="182"/>
      <c r="EW617" s="182"/>
      <c r="EX617" s="182"/>
      <c r="EY617" s="182"/>
      <c r="EZ617" s="182"/>
      <c r="FA617" s="182"/>
      <c r="FB617" s="182"/>
      <c r="FC617" s="182"/>
      <c r="FD617" s="182"/>
      <c r="FE617" s="182"/>
      <c r="FF617" s="182"/>
      <c r="FG617" s="182"/>
      <c r="FH617" s="182"/>
      <c r="FI617" s="182"/>
      <c r="FJ617" s="182"/>
      <c r="FK617" s="182"/>
      <c r="FL617" s="182"/>
      <c r="FM617" s="182"/>
      <c r="FN617" s="182"/>
      <c r="FO617" s="182"/>
      <c r="FP617" s="182"/>
      <c r="FQ617" s="182"/>
      <c r="FR617" s="182"/>
      <c r="FS617" s="182"/>
      <c r="FT617" s="182"/>
      <c r="FU617" s="182"/>
      <c r="FV617" s="182"/>
      <c r="FW617" s="182"/>
      <c r="FX617" s="182"/>
      <c r="FY617" s="182"/>
      <c r="FZ617" s="182"/>
      <c r="GA617" s="182"/>
      <c r="GB617" s="182"/>
      <c r="GC617" s="182"/>
      <c r="GD617" s="182"/>
      <c r="GE617" s="182"/>
      <c r="GF617" s="182"/>
      <c r="GG617" s="182"/>
      <c r="GH617" s="182"/>
      <c r="GI617" s="182"/>
    </row>
    <row r="618" spans="1:191" s="183" customFormat="1" x14ac:dyDescent="0.2">
      <c r="A618" s="210" t="s">
        <v>38285</v>
      </c>
      <c r="B618" s="210" t="s">
        <v>20797</v>
      </c>
      <c r="C618" s="224" t="s">
        <v>22637</v>
      </c>
      <c r="D618" s="211" t="s">
        <v>16</v>
      </c>
      <c r="E618" s="211">
        <v>1</v>
      </c>
      <c r="F618" s="211"/>
      <c r="G618" s="211"/>
      <c r="H618" s="231">
        <v>10</v>
      </c>
      <c r="I618" s="213">
        <f t="shared" si="38"/>
        <v>8.3333333333333332E-3</v>
      </c>
      <c r="J618" s="272">
        <v>913.85</v>
      </c>
      <c r="K618" s="113"/>
      <c r="L618" s="213"/>
      <c r="M618" s="112">
        <f t="shared" si="39"/>
        <v>7.62</v>
      </c>
      <c r="N618" s="112">
        <f t="shared" si="40"/>
        <v>228.6</v>
      </c>
      <c r="O618" s="114"/>
      <c r="P618" s="113"/>
      <c r="R618" s="203"/>
      <c r="S618" s="182"/>
      <c r="T618" s="182"/>
      <c r="U618" s="182"/>
      <c r="V618" s="182"/>
      <c r="W618" s="182"/>
      <c r="X618" s="182"/>
      <c r="Y618" s="182"/>
      <c r="Z618" s="182"/>
      <c r="AA618" s="182"/>
      <c r="AB618" s="182"/>
      <c r="AC618" s="182"/>
      <c r="AD618" s="182"/>
      <c r="AE618" s="182"/>
      <c r="AF618" s="182"/>
      <c r="AG618" s="182"/>
      <c r="AH618" s="182"/>
      <c r="AI618" s="182"/>
      <c r="AJ618" s="182"/>
      <c r="AK618" s="182"/>
      <c r="AL618" s="182"/>
      <c r="AM618" s="182"/>
      <c r="AN618" s="182"/>
      <c r="AO618" s="182"/>
      <c r="AP618" s="182"/>
      <c r="AQ618" s="182"/>
      <c r="AR618" s="182"/>
      <c r="AS618" s="182"/>
      <c r="AT618" s="182"/>
      <c r="AU618" s="182"/>
      <c r="AV618" s="182"/>
      <c r="AW618" s="182"/>
      <c r="AX618" s="182"/>
      <c r="AY618" s="182"/>
      <c r="AZ618" s="182"/>
      <c r="BA618" s="182"/>
      <c r="BB618" s="182"/>
      <c r="BC618" s="182"/>
      <c r="BD618" s="182"/>
      <c r="BE618" s="182"/>
      <c r="BF618" s="182"/>
      <c r="BG618" s="182"/>
      <c r="BH618" s="182"/>
      <c r="BI618" s="182"/>
      <c r="BJ618" s="182"/>
      <c r="BK618" s="182"/>
      <c r="BL618" s="182"/>
      <c r="BM618" s="182"/>
      <c r="BN618" s="182"/>
      <c r="BO618" s="182"/>
      <c r="BP618" s="182"/>
      <c r="BQ618" s="182"/>
      <c r="BR618" s="182"/>
      <c r="BS618" s="182"/>
      <c r="BT618" s="182"/>
      <c r="BU618" s="182"/>
      <c r="BV618" s="182"/>
      <c r="BW618" s="182"/>
      <c r="BX618" s="182"/>
      <c r="BY618" s="182"/>
      <c r="BZ618" s="182"/>
      <c r="CA618" s="182"/>
      <c r="CB618" s="182"/>
      <c r="CC618" s="182"/>
      <c r="CD618" s="182"/>
      <c r="CE618" s="182"/>
      <c r="CF618" s="182"/>
      <c r="CG618" s="182"/>
      <c r="CH618" s="182"/>
      <c r="CI618" s="182"/>
      <c r="CJ618" s="182"/>
      <c r="CK618" s="182"/>
      <c r="CL618" s="182"/>
      <c r="CM618" s="182"/>
      <c r="CN618" s="182"/>
      <c r="CO618" s="182"/>
      <c r="CP618" s="182"/>
      <c r="CQ618" s="182"/>
      <c r="CR618" s="182"/>
      <c r="CS618" s="182"/>
      <c r="CT618" s="182"/>
      <c r="CU618" s="182"/>
      <c r="CV618" s="182"/>
      <c r="CW618" s="182"/>
      <c r="CX618" s="182"/>
      <c r="CY618" s="182"/>
      <c r="CZ618" s="182"/>
      <c r="DA618" s="182"/>
      <c r="DB618" s="182"/>
      <c r="DC618" s="182"/>
      <c r="DD618" s="182"/>
      <c r="DE618" s="182"/>
      <c r="DF618" s="182"/>
      <c r="DG618" s="182"/>
      <c r="DH618" s="182"/>
      <c r="DI618" s="182"/>
      <c r="DJ618" s="182"/>
      <c r="DK618" s="182"/>
      <c r="DL618" s="182"/>
      <c r="DM618" s="182"/>
      <c r="DN618" s="182"/>
      <c r="DO618" s="182"/>
      <c r="DP618" s="182"/>
      <c r="DQ618" s="182"/>
      <c r="DR618" s="182"/>
      <c r="DS618" s="182"/>
      <c r="DT618" s="182"/>
      <c r="DU618" s="182"/>
      <c r="DV618" s="182"/>
      <c r="DW618" s="182"/>
      <c r="DX618" s="182"/>
      <c r="DY618" s="182"/>
      <c r="DZ618" s="182"/>
      <c r="EA618" s="182"/>
      <c r="EB618" s="182"/>
      <c r="EC618" s="182"/>
      <c r="ED618" s="182"/>
      <c r="EE618" s="182"/>
      <c r="EF618" s="182"/>
      <c r="EG618" s="182"/>
      <c r="EH618" s="182"/>
      <c r="EI618" s="182"/>
      <c r="EJ618" s="182"/>
      <c r="EK618" s="182"/>
      <c r="EL618" s="182"/>
      <c r="EM618" s="182"/>
      <c r="EN618" s="182"/>
      <c r="EO618" s="182"/>
      <c r="EP618" s="182"/>
      <c r="EQ618" s="182"/>
      <c r="ER618" s="182"/>
      <c r="ES618" s="182"/>
      <c r="ET618" s="182"/>
      <c r="EU618" s="182"/>
      <c r="EV618" s="182"/>
      <c r="EW618" s="182"/>
      <c r="EX618" s="182"/>
      <c r="EY618" s="182"/>
      <c r="EZ618" s="182"/>
      <c r="FA618" s="182"/>
      <c r="FB618" s="182"/>
      <c r="FC618" s="182"/>
      <c r="FD618" s="182"/>
      <c r="FE618" s="182"/>
      <c r="FF618" s="182"/>
      <c r="FG618" s="182"/>
      <c r="FH618" s="182"/>
      <c r="FI618" s="182"/>
      <c r="FJ618" s="182"/>
      <c r="FK618" s="182"/>
      <c r="FL618" s="182"/>
      <c r="FM618" s="182"/>
      <c r="FN618" s="182"/>
      <c r="FO618" s="182"/>
      <c r="FP618" s="182"/>
      <c r="FQ618" s="182"/>
      <c r="FR618" s="182"/>
      <c r="FS618" s="182"/>
      <c r="FT618" s="182"/>
      <c r="FU618" s="182"/>
      <c r="FV618" s="182"/>
      <c r="FW618" s="182"/>
      <c r="FX618" s="182"/>
      <c r="FY618" s="182"/>
      <c r="FZ618" s="182"/>
      <c r="GA618" s="182"/>
      <c r="GB618" s="182"/>
      <c r="GC618" s="182"/>
      <c r="GD618" s="182"/>
      <c r="GE618" s="182"/>
      <c r="GF618" s="182"/>
      <c r="GG618" s="182"/>
      <c r="GH618" s="182"/>
      <c r="GI618" s="182"/>
    </row>
    <row r="619" spans="1:191" s="183" customFormat="1" x14ac:dyDescent="0.2">
      <c r="A619" s="210" t="s">
        <v>38286</v>
      </c>
      <c r="B619" s="210" t="s">
        <v>20798</v>
      </c>
      <c r="C619" s="224" t="s">
        <v>22638</v>
      </c>
      <c r="D619" s="211" t="s">
        <v>16</v>
      </c>
      <c r="E619" s="211">
        <v>1</v>
      </c>
      <c r="F619" s="211"/>
      <c r="G619" s="211"/>
      <c r="H619" s="231">
        <v>10</v>
      </c>
      <c r="I619" s="213">
        <f t="shared" si="38"/>
        <v>8.3333333333333332E-3</v>
      </c>
      <c r="J619" s="272">
        <v>1499.37</v>
      </c>
      <c r="K619" s="113"/>
      <c r="L619" s="213"/>
      <c r="M619" s="112">
        <f t="shared" si="39"/>
        <v>12.49</v>
      </c>
      <c r="N619" s="112">
        <f t="shared" si="40"/>
        <v>374.7</v>
      </c>
      <c r="O619" s="114"/>
      <c r="P619" s="113"/>
      <c r="R619" s="203"/>
      <c r="S619" s="182"/>
      <c r="T619" s="182"/>
      <c r="U619" s="182"/>
      <c r="V619" s="182"/>
      <c r="W619" s="182"/>
      <c r="X619" s="182"/>
      <c r="Y619" s="182"/>
      <c r="Z619" s="182"/>
      <c r="AA619" s="182"/>
      <c r="AB619" s="182"/>
      <c r="AC619" s="182"/>
      <c r="AD619" s="182"/>
      <c r="AE619" s="182"/>
      <c r="AF619" s="182"/>
      <c r="AG619" s="182"/>
      <c r="AH619" s="182"/>
      <c r="AI619" s="182"/>
      <c r="AJ619" s="182"/>
      <c r="AK619" s="182"/>
      <c r="AL619" s="182"/>
      <c r="AM619" s="182"/>
      <c r="AN619" s="182"/>
      <c r="AO619" s="182"/>
      <c r="AP619" s="182"/>
      <c r="AQ619" s="182"/>
      <c r="AR619" s="182"/>
      <c r="AS619" s="182"/>
      <c r="AT619" s="182"/>
      <c r="AU619" s="182"/>
      <c r="AV619" s="182"/>
      <c r="AW619" s="182"/>
      <c r="AX619" s="182"/>
      <c r="AY619" s="182"/>
      <c r="AZ619" s="182"/>
      <c r="BA619" s="182"/>
      <c r="BB619" s="182"/>
      <c r="BC619" s="182"/>
      <c r="BD619" s="182"/>
      <c r="BE619" s="182"/>
      <c r="BF619" s="182"/>
      <c r="BG619" s="182"/>
      <c r="BH619" s="182"/>
      <c r="BI619" s="182"/>
      <c r="BJ619" s="182"/>
      <c r="BK619" s="182"/>
      <c r="BL619" s="182"/>
      <c r="BM619" s="182"/>
      <c r="BN619" s="182"/>
      <c r="BO619" s="182"/>
      <c r="BP619" s="182"/>
      <c r="BQ619" s="182"/>
      <c r="BR619" s="182"/>
      <c r="BS619" s="182"/>
      <c r="BT619" s="182"/>
      <c r="BU619" s="182"/>
      <c r="BV619" s="182"/>
      <c r="BW619" s="182"/>
      <c r="BX619" s="182"/>
      <c r="BY619" s="182"/>
      <c r="BZ619" s="182"/>
      <c r="CA619" s="182"/>
      <c r="CB619" s="182"/>
      <c r="CC619" s="182"/>
      <c r="CD619" s="182"/>
      <c r="CE619" s="182"/>
      <c r="CF619" s="182"/>
      <c r="CG619" s="182"/>
      <c r="CH619" s="182"/>
      <c r="CI619" s="182"/>
      <c r="CJ619" s="182"/>
      <c r="CK619" s="182"/>
      <c r="CL619" s="182"/>
      <c r="CM619" s="182"/>
      <c r="CN619" s="182"/>
      <c r="CO619" s="182"/>
      <c r="CP619" s="182"/>
      <c r="CQ619" s="182"/>
      <c r="CR619" s="182"/>
      <c r="CS619" s="182"/>
      <c r="CT619" s="182"/>
      <c r="CU619" s="182"/>
      <c r="CV619" s="182"/>
      <c r="CW619" s="182"/>
      <c r="CX619" s="182"/>
      <c r="CY619" s="182"/>
      <c r="CZ619" s="182"/>
      <c r="DA619" s="182"/>
      <c r="DB619" s="182"/>
      <c r="DC619" s="182"/>
      <c r="DD619" s="182"/>
      <c r="DE619" s="182"/>
      <c r="DF619" s="182"/>
      <c r="DG619" s="182"/>
      <c r="DH619" s="182"/>
      <c r="DI619" s="182"/>
      <c r="DJ619" s="182"/>
      <c r="DK619" s="182"/>
      <c r="DL619" s="182"/>
      <c r="DM619" s="182"/>
      <c r="DN619" s="182"/>
      <c r="DO619" s="182"/>
      <c r="DP619" s="182"/>
      <c r="DQ619" s="182"/>
      <c r="DR619" s="182"/>
      <c r="DS619" s="182"/>
      <c r="DT619" s="182"/>
      <c r="DU619" s="182"/>
      <c r="DV619" s="182"/>
      <c r="DW619" s="182"/>
      <c r="DX619" s="182"/>
      <c r="DY619" s="182"/>
      <c r="DZ619" s="182"/>
      <c r="EA619" s="182"/>
      <c r="EB619" s="182"/>
      <c r="EC619" s="182"/>
      <c r="ED619" s="182"/>
      <c r="EE619" s="182"/>
      <c r="EF619" s="182"/>
      <c r="EG619" s="182"/>
      <c r="EH619" s="182"/>
      <c r="EI619" s="182"/>
      <c r="EJ619" s="182"/>
      <c r="EK619" s="182"/>
      <c r="EL619" s="182"/>
      <c r="EM619" s="182"/>
      <c r="EN619" s="182"/>
      <c r="EO619" s="182"/>
      <c r="EP619" s="182"/>
      <c r="EQ619" s="182"/>
      <c r="ER619" s="182"/>
      <c r="ES619" s="182"/>
      <c r="ET619" s="182"/>
      <c r="EU619" s="182"/>
      <c r="EV619" s="182"/>
      <c r="EW619" s="182"/>
      <c r="EX619" s="182"/>
      <c r="EY619" s="182"/>
      <c r="EZ619" s="182"/>
      <c r="FA619" s="182"/>
      <c r="FB619" s="182"/>
      <c r="FC619" s="182"/>
      <c r="FD619" s="182"/>
      <c r="FE619" s="182"/>
      <c r="FF619" s="182"/>
      <c r="FG619" s="182"/>
      <c r="FH619" s="182"/>
      <c r="FI619" s="182"/>
      <c r="FJ619" s="182"/>
      <c r="FK619" s="182"/>
      <c r="FL619" s="182"/>
      <c r="FM619" s="182"/>
      <c r="FN619" s="182"/>
      <c r="FO619" s="182"/>
      <c r="FP619" s="182"/>
      <c r="FQ619" s="182"/>
      <c r="FR619" s="182"/>
      <c r="FS619" s="182"/>
      <c r="FT619" s="182"/>
      <c r="FU619" s="182"/>
      <c r="FV619" s="182"/>
      <c r="FW619" s="182"/>
      <c r="FX619" s="182"/>
      <c r="FY619" s="182"/>
      <c r="FZ619" s="182"/>
      <c r="GA619" s="182"/>
      <c r="GB619" s="182"/>
      <c r="GC619" s="182"/>
      <c r="GD619" s="182"/>
      <c r="GE619" s="182"/>
      <c r="GF619" s="182"/>
      <c r="GG619" s="182"/>
      <c r="GH619" s="182"/>
      <c r="GI619" s="182"/>
    </row>
    <row r="620" spans="1:191" s="183" customFormat="1" x14ac:dyDescent="0.2">
      <c r="A620" s="210" t="s">
        <v>38287</v>
      </c>
      <c r="B620" s="210" t="s">
        <v>20799</v>
      </c>
      <c r="C620" s="224" t="s">
        <v>22639</v>
      </c>
      <c r="D620" s="211" t="s">
        <v>16</v>
      </c>
      <c r="E620" s="211">
        <v>4</v>
      </c>
      <c r="F620" s="211"/>
      <c r="G620" s="211"/>
      <c r="H620" s="231">
        <v>5</v>
      </c>
      <c r="I620" s="213">
        <f t="shared" si="38"/>
        <v>1.6666666666666666E-2</v>
      </c>
      <c r="J620" s="272">
        <v>236.24</v>
      </c>
      <c r="K620" s="113"/>
      <c r="L620" s="213"/>
      <c r="M620" s="112">
        <f t="shared" si="39"/>
        <v>15.75</v>
      </c>
      <c r="N620" s="112">
        <f t="shared" si="40"/>
        <v>472.5</v>
      </c>
      <c r="O620" s="114"/>
      <c r="P620" s="113"/>
      <c r="R620" s="203"/>
      <c r="S620" s="182"/>
      <c r="T620" s="182"/>
      <c r="U620" s="182"/>
      <c r="V620" s="182"/>
      <c r="W620" s="182"/>
      <c r="X620" s="182"/>
      <c r="Y620" s="182"/>
      <c r="Z620" s="182"/>
      <c r="AA620" s="182"/>
      <c r="AB620" s="182"/>
      <c r="AC620" s="182"/>
      <c r="AD620" s="182"/>
      <c r="AE620" s="182"/>
      <c r="AF620" s="182"/>
      <c r="AG620" s="182"/>
      <c r="AH620" s="182"/>
      <c r="AI620" s="182"/>
      <c r="AJ620" s="182"/>
      <c r="AK620" s="182"/>
      <c r="AL620" s="182"/>
      <c r="AM620" s="182"/>
      <c r="AN620" s="182"/>
      <c r="AO620" s="182"/>
      <c r="AP620" s="182"/>
      <c r="AQ620" s="182"/>
      <c r="AR620" s="182"/>
      <c r="AS620" s="182"/>
      <c r="AT620" s="182"/>
      <c r="AU620" s="182"/>
      <c r="AV620" s="182"/>
      <c r="AW620" s="182"/>
      <c r="AX620" s="182"/>
      <c r="AY620" s="182"/>
      <c r="AZ620" s="182"/>
      <c r="BA620" s="182"/>
      <c r="BB620" s="182"/>
      <c r="BC620" s="182"/>
      <c r="BD620" s="182"/>
      <c r="BE620" s="182"/>
      <c r="BF620" s="182"/>
      <c r="BG620" s="182"/>
      <c r="BH620" s="182"/>
      <c r="BI620" s="182"/>
      <c r="BJ620" s="182"/>
      <c r="BK620" s="182"/>
      <c r="BL620" s="182"/>
      <c r="BM620" s="182"/>
      <c r="BN620" s="182"/>
      <c r="BO620" s="182"/>
      <c r="BP620" s="182"/>
      <c r="BQ620" s="182"/>
      <c r="BR620" s="182"/>
      <c r="BS620" s="182"/>
      <c r="BT620" s="182"/>
      <c r="BU620" s="182"/>
      <c r="BV620" s="182"/>
      <c r="BW620" s="182"/>
      <c r="BX620" s="182"/>
      <c r="BY620" s="182"/>
      <c r="BZ620" s="182"/>
      <c r="CA620" s="182"/>
      <c r="CB620" s="182"/>
      <c r="CC620" s="182"/>
      <c r="CD620" s="182"/>
      <c r="CE620" s="182"/>
      <c r="CF620" s="182"/>
      <c r="CG620" s="182"/>
      <c r="CH620" s="182"/>
      <c r="CI620" s="182"/>
      <c r="CJ620" s="182"/>
      <c r="CK620" s="182"/>
      <c r="CL620" s="182"/>
      <c r="CM620" s="182"/>
      <c r="CN620" s="182"/>
      <c r="CO620" s="182"/>
      <c r="CP620" s="182"/>
      <c r="CQ620" s="182"/>
      <c r="CR620" s="182"/>
      <c r="CS620" s="182"/>
      <c r="CT620" s="182"/>
      <c r="CU620" s="182"/>
      <c r="CV620" s="182"/>
      <c r="CW620" s="182"/>
      <c r="CX620" s="182"/>
      <c r="CY620" s="182"/>
      <c r="CZ620" s="182"/>
      <c r="DA620" s="182"/>
      <c r="DB620" s="182"/>
      <c r="DC620" s="182"/>
      <c r="DD620" s="182"/>
      <c r="DE620" s="182"/>
      <c r="DF620" s="182"/>
      <c r="DG620" s="182"/>
      <c r="DH620" s="182"/>
      <c r="DI620" s="182"/>
      <c r="DJ620" s="182"/>
      <c r="DK620" s="182"/>
      <c r="DL620" s="182"/>
      <c r="DM620" s="182"/>
      <c r="DN620" s="182"/>
      <c r="DO620" s="182"/>
      <c r="DP620" s="182"/>
      <c r="DQ620" s="182"/>
      <c r="DR620" s="182"/>
      <c r="DS620" s="182"/>
      <c r="DT620" s="182"/>
      <c r="DU620" s="182"/>
      <c r="DV620" s="182"/>
      <c r="DW620" s="182"/>
      <c r="DX620" s="182"/>
      <c r="DY620" s="182"/>
      <c r="DZ620" s="182"/>
      <c r="EA620" s="182"/>
      <c r="EB620" s="182"/>
      <c r="EC620" s="182"/>
      <c r="ED620" s="182"/>
      <c r="EE620" s="182"/>
      <c r="EF620" s="182"/>
      <c r="EG620" s="182"/>
      <c r="EH620" s="182"/>
      <c r="EI620" s="182"/>
      <c r="EJ620" s="182"/>
      <c r="EK620" s="182"/>
      <c r="EL620" s="182"/>
      <c r="EM620" s="182"/>
      <c r="EN620" s="182"/>
      <c r="EO620" s="182"/>
      <c r="EP620" s="182"/>
      <c r="EQ620" s="182"/>
      <c r="ER620" s="182"/>
      <c r="ES620" s="182"/>
      <c r="ET620" s="182"/>
      <c r="EU620" s="182"/>
      <c r="EV620" s="182"/>
      <c r="EW620" s="182"/>
      <c r="EX620" s="182"/>
      <c r="EY620" s="182"/>
      <c r="EZ620" s="182"/>
      <c r="FA620" s="182"/>
      <c r="FB620" s="182"/>
      <c r="FC620" s="182"/>
      <c r="FD620" s="182"/>
      <c r="FE620" s="182"/>
      <c r="FF620" s="182"/>
      <c r="FG620" s="182"/>
      <c r="FH620" s="182"/>
      <c r="FI620" s="182"/>
      <c r="FJ620" s="182"/>
      <c r="FK620" s="182"/>
      <c r="FL620" s="182"/>
      <c r="FM620" s="182"/>
      <c r="FN620" s="182"/>
      <c r="FO620" s="182"/>
      <c r="FP620" s="182"/>
      <c r="FQ620" s="182"/>
      <c r="FR620" s="182"/>
      <c r="FS620" s="182"/>
      <c r="FT620" s="182"/>
      <c r="FU620" s="182"/>
      <c r="FV620" s="182"/>
      <c r="FW620" s="182"/>
      <c r="FX620" s="182"/>
      <c r="FY620" s="182"/>
      <c r="FZ620" s="182"/>
      <c r="GA620" s="182"/>
      <c r="GB620" s="182"/>
      <c r="GC620" s="182"/>
      <c r="GD620" s="182"/>
      <c r="GE620" s="182"/>
      <c r="GF620" s="182"/>
      <c r="GG620" s="182"/>
      <c r="GH620" s="182"/>
      <c r="GI620" s="182"/>
    </row>
    <row r="621" spans="1:191" s="183" customFormat="1" x14ac:dyDescent="0.2">
      <c r="A621" s="210" t="s">
        <v>38288</v>
      </c>
      <c r="B621" s="210" t="s">
        <v>20800</v>
      </c>
      <c r="C621" s="224" t="s">
        <v>22640</v>
      </c>
      <c r="D621" s="211" t="s">
        <v>16</v>
      </c>
      <c r="E621" s="211">
        <v>4</v>
      </c>
      <c r="F621" s="211"/>
      <c r="G621" s="211"/>
      <c r="H621" s="231">
        <v>5</v>
      </c>
      <c r="I621" s="213">
        <f t="shared" si="38"/>
        <v>1.6666666666666666E-2</v>
      </c>
      <c r="J621" s="272">
        <v>289.02</v>
      </c>
      <c r="K621" s="113"/>
      <c r="L621" s="213"/>
      <c r="M621" s="112">
        <f t="shared" si="39"/>
        <v>19.27</v>
      </c>
      <c r="N621" s="112">
        <f t="shared" si="40"/>
        <v>578.1</v>
      </c>
      <c r="O621" s="114"/>
      <c r="P621" s="113"/>
      <c r="R621" s="203"/>
      <c r="S621" s="182"/>
      <c r="T621" s="182"/>
      <c r="U621" s="182"/>
      <c r="V621" s="182"/>
      <c r="W621" s="182"/>
      <c r="X621" s="182"/>
      <c r="Y621" s="182"/>
      <c r="Z621" s="182"/>
      <c r="AA621" s="182"/>
      <c r="AB621" s="182"/>
      <c r="AC621" s="182"/>
      <c r="AD621" s="182"/>
      <c r="AE621" s="182"/>
      <c r="AF621" s="182"/>
      <c r="AG621" s="182"/>
      <c r="AH621" s="182"/>
      <c r="AI621" s="182"/>
      <c r="AJ621" s="182"/>
      <c r="AK621" s="182"/>
      <c r="AL621" s="182"/>
      <c r="AM621" s="182"/>
      <c r="AN621" s="182"/>
      <c r="AO621" s="182"/>
      <c r="AP621" s="182"/>
      <c r="AQ621" s="182"/>
      <c r="AR621" s="182"/>
      <c r="AS621" s="182"/>
      <c r="AT621" s="182"/>
      <c r="AU621" s="182"/>
      <c r="AV621" s="182"/>
      <c r="AW621" s="182"/>
      <c r="AX621" s="182"/>
      <c r="AY621" s="182"/>
      <c r="AZ621" s="182"/>
      <c r="BA621" s="182"/>
      <c r="BB621" s="182"/>
      <c r="BC621" s="182"/>
      <c r="BD621" s="182"/>
      <c r="BE621" s="182"/>
      <c r="BF621" s="182"/>
      <c r="BG621" s="182"/>
      <c r="BH621" s="182"/>
      <c r="BI621" s="182"/>
      <c r="BJ621" s="182"/>
      <c r="BK621" s="182"/>
      <c r="BL621" s="182"/>
      <c r="BM621" s="182"/>
      <c r="BN621" s="182"/>
      <c r="BO621" s="182"/>
      <c r="BP621" s="182"/>
      <c r="BQ621" s="182"/>
      <c r="BR621" s="182"/>
      <c r="BS621" s="182"/>
      <c r="BT621" s="182"/>
      <c r="BU621" s="182"/>
      <c r="BV621" s="182"/>
      <c r="BW621" s="182"/>
      <c r="BX621" s="182"/>
      <c r="BY621" s="182"/>
      <c r="BZ621" s="182"/>
      <c r="CA621" s="182"/>
      <c r="CB621" s="182"/>
      <c r="CC621" s="182"/>
      <c r="CD621" s="182"/>
      <c r="CE621" s="182"/>
      <c r="CF621" s="182"/>
      <c r="CG621" s="182"/>
      <c r="CH621" s="182"/>
      <c r="CI621" s="182"/>
      <c r="CJ621" s="182"/>
      <c r="CK621" s="182"/>
      <c r="CL621" s="182"/>
      <c r="CM621" s="182"/>
      <c r="CN621" s="182"/>
      <c r="CO621" s="182"/>
      <c r="CP621" s="182"/>
      <c r="CQ621" s="182"/>
      <c r="CR621" s="182"/>
      <c r="CS621" s="182"/>
      <c r="CT621" s="182"/>
      <c r="CU621" s="182"/>
      <c r="CV621" s="182"/>
      <c r="CW621" s="182"/>
      <c r="CX621" s="182"/>
      <c r="CY621" s="182"/>
      <c r="CZ621" s="182"/>
      <c r="DA621" s="182"/>
      <c r="DB621" s="182"/>
      <c r="DC621" s="182"/>
      <c r="DD621" s="182"/>
      <c r="DE621" s="182"/>
      <c r="DF621" s="182"/>
      <c r="DG621" s="182"/>
      <c r="DH621" s="182"/>
      <c r="DI621" s="182"/>
      <c r="DJ621" s="182"/>
      <c r="DK621" s="182"/>
      <c r="DL621" s="182"/>
      <c r="DM621" s="182"/>
      <c r="DN621" s="182"/>
      <c r="DO621" s="182"/>
      <c r="DP621" s="182"/>
      <c r="DQ621" s="182"/>
      <c r="DR621" s="182"/>
      <c r="DS621" s="182"/>
      <c r="DT621" s="182"/>
      <c r="DU621" s="182"/>
      <c r="DV621" s="182"/>
      <c r="DW621" s="182"/>
      <c r="DX621" s="182"/>
      <c r="DY621" s="182"/>
      <c r="DZ621" s="182"/>
      <c r="EA621" s="182"/>
      <c r="EB621" s="182"/>
      <c r="EC621" s="182"/>
      <c r="ED621" s="182"/>
      <c r="EE621" s="182"/>
      <c r="EF621" s="182"/>
      <c r="EG621" s="182"/>
      <c r="EH621" s="182"/>
      <c r="EI621" s="182"/>
      <c r="EJ621" s="182"/>
      <c r="EK621" s="182"/>
      <c r="EL621" s="182"/>
      <c r="EM621" s="182"/>
      <c r="EN621" s="182"/>
      <c r="EO621" s="182"/>
      <c r="EP621" s="182"/>
      <c r="EQ621" s="182"/>
      <c r="ER621" s="182"/>
      <c r="ES621" s="182"/>
      <c r="ET621" s="182"/>
      <c r="EU621" s="182"/>
      <c r="EV621" s="182"/>
      <c r="EW621" s="182"/>
      <c r="EX621" s="182"/>
      <c r="EY621" s="182"/>
      <c r="EZ621" s="182"/>
      <c r="FA621" s="182"/>
      <c r="FB621" s="182"/>
      <c r="FC621" s="182"/>
      <c r="FD621" s="182"/>
      <c r="FE621" s="182"/>
      <c r="FF621" s="182"/>
      <c r="FG621" s="182"/>
      <c r="FH621" s="182"/>
      <c r="FI621" s="182"/>
      <c r="FJ621" s="182"/>
      <c r="FK621" s="182"/>
      <c r="FL621" s="182"/>
      <c r="FM621" s="182"/>
      <c r="FN621" s="182"/>
      <c r="FO621" s="182"/>
      <c r="FP621" s="182"/>
      <c r="FQ621" s="182"/>
      <c r="FR621" s="182"/>
      <c r="FS621" s="182"/>
      <c r="FT621" s="182"/>
      <c r="FU621" s="182"/>
      <c r="FV621" s="182"/>
      <c r="FW621" s="182"/>
      <c r="FX621" s="182"/>
      <c r="FY621" s="182"/>
      <c r="FZ621" s="182"/>
      <c r="GA621" s="182"/>
      <c r="GB621" s="182"/>
      <c r="GC621" s="182"/>
      <c r="GD621" s="182"/>
      <c r="GE621" s="182"/>
      <c r="GF621" s="182"/>
      <c r="GG621" s="182"/>
      <c r="GH621" s="182"/>
      <c r="GI621" s="182"/>
    </row>
    <row r="622" spans="1:191" s="183" customFormat="1" x14ac:dyDescent="0.2">
      <c r="A622" s="210" t="s">
        <v>38289</v>
      </c>
      <c r="B622" s="210" t="s">
        <v>20801</v>
      </c>
      <c r="C622" s="224" t="s">
        <v>1675</v>
      </c>
      <c r="D622" s="211" t="s">
        <v>16</v>
      </c>
      <c r="E622" s="211">
        <v>45</v>
      </c>
      <c r="F622" s="211"/>
      <c r="G622" s="211"/>
      <c r="H622" s="231">
        <v>5</v>
      </c>
      <c r="I622" s="213">
        <f t="shared" si="38"/>
        <v>1.6666666666666666E-2</v>
      </c>
      <c r="J622" s="272">
        <v>57.14</v>
      </c>
      <c r="K622" s="113"/>
      <c r="L622" s="213"/>
      <c r="M622" s="112">
        <f t="shared" si="39"/>
        <v>42.86</v>
      </c>
      <c r="N622" s="112">
        <f t="shared" si="40"/>
        <v>1285.8</v>
      </c>
      <c r="O622" s="114"/>
      <c r="P622" s="113"/>
      <c r="R622" s="203"/>
      <c r="S622" s="182"/>
      <c r="T622" s="182"/>
      <c r="U622" s="182"/>
      <c r="V622" s="182"/>
      <c r="W622" s="182"/>
      <c r="X622" s="182"/>
      <c r="Y622" s="182"/>
      <c r="Z622" s="182"/>
      <c r="AA622" s="182"/>
      <c r="AB622" s="182"/>
      <c r="AC622" s="182"/>
      <c r="AD622" s="182"/>
      <c r="AE622" s="182"/>
      <c r="AF622" s="182"/>
      <c r="AG622" s="182"/>
      <c r="AH622" s="182"/>
      <c r="AI622" s="182"/>
      <c r="AJ622" s="182"/>
      <c r="AK622" s="182"/>
      <c r="AL622" s="182"/>
      <c r="AM622" s="182"/>
      <c r="AN622" s="182"/>
      <c r="AO622" s="182"/>
      <c r="AP622" s="182"/>
      <c r="AQ622" s="182"/>
      <c r="AR622" s="182"/>
      <c r="AS622" s="182"/>
      <c r="AT622" s="182"/>
      <c r="AU622" s="182"/>
      <c r="AV622" s="182"/>
      <c r="AW622" s="182"/>
      <c r="AX622" s="182"/>
      <c r="AY622" s="182"/>
      <c r="AZ622" s="182"/>
      <c r="BA622" s="182"/>
      <c r="BB622" s="182"/>
      <c r="BC622" s="182"/>
      <c r="BD622" s="182"/>
      <c r="BE622" s="182"/>
      <c r="BF622" s="182"/>
      <c r="BG622" s="182"/>
      <c r="BH622" s="182"/>
      <c r="BI622" s="182"/>
      <c r="BJ622" s="182"/>
      <c r="BK622" s="182"/>
      <c r="BL622" s="182"/>
      <c r="BM622" s="182"/>
      <c r="BN622" s="182"/>
      <c r="BO622" s="182"/>
      <c r="BP622" s="182"/>
      <c r="BQ622" s="182"/>
      <c r="BR622" s="182"/>
      <c r="BS622" s="182"/>
      <c r="BT622" s="182"/>
      <c r="BU622" s="182"/>
      <c r="BV622" s="182"/>
      <c r="BW622" s="182"/>
      <c r="BX622" s="182"/>
      <c r="BY622" s="182"/>
      <c r="BZ622" s="182"/>
      <c r="CA622" s="182"/>
      <c r="CB622" s="182"/>
      <c r="CC622" s="182"/>
      <c r="CD622" s="182"/>
      <c r="CE622" s="182"/>
      <c r="CF622" s="182"/>
      <c r="CG622" s="182"/>
      <c r="CH622" s="182"/>
      <c r="CI622" s="182"/>
      <c r="CJ622" s="182"/>
      <c r="CK622" s="182"/>
      <c r="CL622" s="182"/>
      <c r="CM622" s="182"/>
      <c r="CN622" s="182"/>
      <c r="CO622" s="182"/>
      <c r="CP622" s="182"/>
      <c r="CQ622" s="182"/>
      <c r="CR622" s="182"/>
      <c r="CS622" s="182"/>
      <c r="CT622" s="182"/>
      <c r="CU622" s="182"/>
      <c r="CV622" s="182"/>
      <c r="CW622" s="182"/>
      <c r="CX622" s="182"/>
      <c r="CY622" s="182"/>
      <c r="CZ622" s="182"/>
      <c r="DA622" s="182"/>
      <c r="DB622" s="182"/>
      <c r="DC622" s="182"/>
      <c r="DD622" s="182"/>
      <c r="DE622" s="182"/>
      <c r="DF622" s="182"/>
      <c r="DG622" s="182"/>
      <c r="DH622" s="182"/>
      <c r="DI622" s="182"/>
      <c r="DJ622" s="182"/>
      <c r="DK622" s="182"/>
      <c r="DL622" s="182"/>
      <c r="DM622" s="182"/>
      <c r="DN622" s="182"/>
      <c r="DO622" s="182"/>
      <c r="DP622" s="182"/>
      <c r="DQ622" s="182"/>
      <c r="DR622" s="182"/>
      <c r="DS622" s="182"/>
      <c r="DT622" s="182"/>
      <c r="DU622" s="182"/>
      <c r="DV622" s="182"/>
      <c r="DW622" s="182"/>
      <c r="DX622" s="182"/>
      <c r="DY622" s="182"/>
      <c r="DZ622" s="182"/>
      <c r="EA622" s="182"/>
      <c r="EB622" s="182"/>
      <c r="EC622" s="182"/>
      <c r="ED622" s="182"/>
      <c r="EE622" s="182"/>
      <c r="EF622" s="182"/>
      <c r="EG622" s="182"/>
      <c r="EH622" s="182"/>
      <c r="EI622" s="182"/>
      <c r="EJ622" s="182"/>
      <c r="EK622" s="182"/>
      <c r="EL622" s="182"/>
      <c r="EM622" s="182"/>
      <c r="EN622" s="182"/>
      <c r="EO622" s="182"/>
      <c r="EP622" s="182"/>
      <c r="EQ622" s="182"/>
      <c r="ER622" s="182"/>
      <c r="ES622" s="182"/>
      <c r="ET622" s="182"/>
      <c r="EU622" s="182"/>
      <c r="EV622" s="182"/>
      <c r="EW622" s="182"/>
      <c r="EX622" s="182"/>
      <c r="EY622" s="182"/>
      <c r="EZ622" s="182"/>
      <c r="FA622" s="182"/>
      <c r="FB622" s="182"/>
      <c r="FC622" s="182"/>
      <c r="FD622" s="182"/>
      <c r="FE622" s="182"/>
      <c r="FF622" s="182"/>
      <c r="FG622" s="182"/>
      <c r="FH622" s="182"/>
      <c r="FI622" s="182"/>
      <c r="FJ622" s="182"/>
      <c r="FK622" s="182"/>
      <c r="FL622" s="182"/>
      <c r="FM622" s="182"/>
      <c r="FN622" s="182"/>
      <c r="FO622" s="182"/>
      <c r="FP622" s="182"/>
      <c r="FQ622" s="182"/>
      <c r="FR622" s="182"/>
      <c r="FS622" s="182"/>
      <c r="FT622" s="182"/>
      <c r="FU622" s="182"/>
      <c r="FV622" s="182"/>
      <c r="FW622" s="182"/>
      <c r="FX622" s="182"/>
      <c r="FY622" s="182"/>
      <c r="FZ622" s="182"/>
      <c r="GA622" s="182"/>
      <c r="GB622" s="182"/>
      <c r="GC622" s="182"/>
      <c r="GD622" s="182"/>
      <c r="GE622" s="182"/>
      <c r="GF622" s="182"/>
      <c r="GG622" s="182"/>
      <c r="GH622" s="182"/>
      <c r="GI622" s="182"/>
    </row>
    <row r="623" spans="1:191" s="183" customFormat="1" x14ac:dyDescent="0.2">
      <c r="A623" s="210" t="s">
        <v>38290</v>
      </c>
      <c r="B623" s="210" t="s">
        <v>20802</v>
      </c>
      <c r="C623" s="224" t="s">
        <v>22641</v>
      </c>
      <c r="D623" s="211" t="s">
        <v>16</v>
      </c>
      <c r="E623" s="211">
        <v>1</v>
      </c>
      <c r="F623" s="211"/>
      <c r="G623" s="211"/>
      <c r="H623" s="231">
        <v>10</v>
      </c>
      <c r="I623" s="213">
        <f t="shared" si="38"/>
        <v>8.3333333333333332E-3</v>
      </c>
      <c r="J623" s="272">
        <v>27900</v>
      </c>
      <c r="K623" s="113"/>
      <c r="L623" s="213"/>
      <c r="M623" s="112">
        <f t="shared" si="39"/>
        <v>232.5</v>
      </c>
      <c r="N623" s="112">
        <f t="shared" si="40"/>
        <v>6975</v>
      </c>
      <c r="O623" s="114"/>
      <c r="P623" s="113"/>
      <c r="R623" s="203"/>
      <c r="S623" s="182"/>
      <c r="T623" s="182"/>
      <c r="U623" s="182"/>
      <c r="V623" s="182"/>
      <c r="W623" s="182"/>
      <c r="X623" s="182"/>
      <c r="Y623" s="182"/>
      <c r="Z623" s="182"/>
      <c r="AA623" s="182"/>
      <c r="AB623" s="182"/>
      <c r="AC623" s="182"/>
      <c r="AD623" s="182"/>
      <c r="AE623" s="182"/>
      <c r="AF623" s="182"/>
      <c r="AG623" s="182"/>
      <c r="AH623" s="182"/>
      <c r="AI623" s="182"/>
      <c r="AJ623" s="182"/>
      <c r="AK623" s="182"/>
      <c r="AL623" s="182"/>
      <c r="AM623" s="182"/>
      <c r="AN623" s="182"/>
      <c r="AO623" s="182"/>
      <c r="AP623" s="182"/>
      <c r="AQ623" s="182"/>
      <c r="AR623" s="182"/>
      <c r="AS623" s="182"/>
      <c r="AT623" s="182"/>
      <c r="AU623" s="182"/>
      <c r="AV623" s="182"/>
      <c r="AW623" s="182"/>
      <c r="AX623" s="182"/>
      <c r="AY623" s="182"/>
      <c r="AZ623" s="182"/>
      <c r="BA623" s="182"/>
      <c r="BB623" s="182"/>
      <c r="BC623" s="182"/>
      <c r="BD623" s="182"/>
      <c r="BE623" s="182"/>
      <c r="BF623" s="182"/>
      <c r="BG623" s="182"/>
      <c r="BH623" s="182"/>
      <c r="BI623" s="182"/>
      <c r="BJ623" s="182"/>
      <c r="BK623" s="182"/>
      <c r="BL623" s="182"/>
      <c r="BM623" s="182"/>
      <c r="BN623" s="182"/>
      <c r="BO623" s="182"/>
      <c r="BP623" s="182"/>
      <c r="BQ623" s="182"/>
      <c r="BR623" s="182"/>
      <c r="BS623" s="182"/>
      <c r="BT623" s="182"/>
      <c r="BU623" s="182"/>
      <c r="BV623" s="182"/>
      <c r="BW623" s="182"/>
      <c r="BX623" s="182"/>
      <c r="BY623" s="182"/>
      <c r="BZ623" s="182"/>
      <c r="CA623" s="182"/>
      <c r="CB623" s="182"/>
      <c r="CC623" s="182"/>
      <c r="CD623" s="182"/>
      <c r="CE623" s="182"/>
      <c r="CF623" s="182"/>
      <c r="CG623" s="182"/>
      <c r="CH623" s="182"/>
      <c r="CI623" s="182"/>
      <c r="CJ623" s="182"/>
      <c r="CK623" s="182"/>
      <c r="CL623" s="182"/>
      <c r="CM623" s="182"/>
      <c r="CN623" s="182"/>
      <c r="CO623" s="182"/>
      <c r="CP623" s="182"/>
      <c r="CQ623" s="182"/>
      <c r="CR623" s="182"/>
      <c r="CS623" s="182"/>
      <c r="CT623" s="182"/>
      <c r="CU623" s="182"/>
      <c r="CV623" s="182"/>
      <c r="CW623" s="182"/>
      <c r="CX623" s="182"/>
      <c r="CY623" s="182"/>
      <c r="CZ623" s="182"/>
      <c r="DA623" s="182"/>
      <c r="DB623" s="182"/>
      <c r="DC623" s="182"/>
      <c r="DD623" s="182"/>
      <c r="DE623" s="182"/>
      <c r="DF623" s="182"/>
      <c r="DG623" s="182"/>
      <c r="DH623" s="182"/>
      <c r="DI623" s="182"/>
      <c r="DJ623" s="182"/>
      <c r="DK623" s="182"/>
      <c r="DL623" s="182"/>
      <c r="DM623" s="182"/>
      <c r="DN623" s="182"/>
      <c r="DO623" s="182"/>
      <c r="DP623" s="182"/>
      <c r="DQ623" s="182"/>
      <c r="DR623" s="182"/>
      <c r="DS623" s="182"/>
      <c r="DT623" s="182"/>
      <c r="DU623" s="182"/>
      <c r="DV623" s="182"/>
      <c r="DW623" s="182"/>
      <c r="DX623" s="182"/>
      <c r="DY623" s="182"/>
      <c r="DZ623" s="182"/>
      <c r="EA623" s="182"/>
      <c r="EB623" s="182"/>
      <c r="EC623" s="182"/>
      <c r="ED623" s="182"/>
      <c r="EE623" s="182"/>
      <c r="EF623" s="182"/>
      <c r="EG623" s="182"/>
      <c r="EH623" s="182"/>
      <c r="EI623" s="182"/>
      <c r="EJ623" s="182"/>
      <c r="EK623" s="182"/>
      <c r="EL623" s="182"/>
      <c r="EM623" s="182"/>
      <c r="EN623" s="182"/>
      <c r="EO623" s="182"/>
      <c r="EP623" s="182"/>
      <c r="EQ623" s="182"/>
      <c r="ER623" s="182"/>
      <c r="ES623" s="182"/>
      <c r="ET623" s="182"/>
      <c r="EU623" s="182"/>
      <c r="EV623" s="182"/>
      <c r="EW623" s="182"/>
      <c r="EX623" s="182"/>
      <c r="EY623" s="182"/>
      <c r="EZ623" s="182"/>
      <c r="FA623" s="182"/>
      <c r="FB623" s="182"/>
      <c r="FC623" s="182"/>
      <c r="FD623" s="182"/>
      <c r="FE623" s="182"/>
      <c r="FF623" s="182"/>
      <c r="FG623" s="182"/>
      <c r="FH623" s="182"/>
      <c r="FI623" s="182"/>
      <c r="FJ623" s="182"/>
      <c r="FK623" s="182"/>
      <c r="FL623" s="182"/>
      <c r="FM623" s="182"/>
      <c r="FN623" s="182"/>
      <c r="FO623" s="182"/>
      <c r="FP623" s="182"/>
      <c r="FQ623" s="182"/>
      <c r="FR623" s="182"/>
      <c r="FS623" s="182"/>
      <c r="FT623" s="182"/>
      <c r="FU623" s="182"/>
      <c r="FV623" s="182"/>
      <c r="FW623" s="182"/>
      <c r="FX623" s="182"/>
      <c r="FY623" s="182"/>
      <c r="FZ623" s="182"/>
      <c r="GA623" s="182"/>
      <c r="GB623" s="182"/>
      <c r="GC623" s="182"/>
      <c r="GD623" s="182"/>
      <c r="GE623" s="182"/>
      <c r="GF623" s="182"/>
      <c r="GG623" s="182"/>
      <c r="GH623" s="182"/>
      <c r="GI623" s="182"/>
    </row>
    <row r="624" spans="1:191" s="183" customFormat="1" x14ac:dyDescent="0.2">
      <c r="A624" s="210" t="s">
        <v>38291</v>
      </c>
      <c r="B624" s="210" t="s">
        <v>20803</v>
      </c>
      <c r="C624" s="224" t="s">
        <v>22642</v>
      </c>
      <c r="D624" s="211" t="s">
        <v>16</v>
      </c>
      <c r="E624" s="211">
        <v>4</v>
      </c>
      <c r="F624" s="211"/>
      <c r="G624" s="211"/>
      <c r="H624" s="231">
        <v>5</v>
      </c>
      <c r="I624" s="213">
        <f t="shared" si="38"/>
        <v>1.6666666666666666E-2</v>
      </c>
      <c r="J624" s="272">
        <v>55.23</v>
      </c>
      <c r="K624" s="113"/>
      <c r="L624" s="213"/>
      <c r="M624" s="112">
        <f t="shared" si="39"/>
        <v>3.68</v>
      </c>
      <c r="N624" s="112">
        <f t="shared" si="40"/>
        <v>110.4</v>
      </c>
      <c r="O624" s="114"/>
      <c r="P624" s="113"/>
      <c r="R624" s="203"/>
      <c r="S624" s="182"/>
      <c r="T624" s="182"/>
      <c r="U624" s="182"/>
      <c r="V624" s="182"/>
      <c r="W624" s="182"/>
      <c r="X624" s="182"/>
      <c r="Y624" s="182"/>
      <c r="Z624" s="182"/>
      <c r="AA624" s="182"/>
      <c r="AB624" s="182"/>
      <c r="AC624" s="182"/>
      <c r="AD624" s="182"/>
      <c r="AE624" s="182"/>
      <c r="AF624" s="182"/>
      <c r="AG624" s="182"/>
      <c r="AH624" s="182"/>
      <c r="AI624" s="182"/>
      <c r="AJ624" s="182"/>
      <c r="AK624" s="182"/>
      <c r="AL624" s="182"/>
      <c r="AM624" s="182"/>
      <c r="AN624" s="182"/>
      <c r="AO624" s="182"/>
      <c r="AP624" s="182"/>
      <c r="AQ624" s="182"/>
      <c r="AR624" s="182"/>
      <c r="AS624" s="182"/>
      <c r="AT624" s="182"/>
      <c r="AU624" s="182"/>
      <c r="AV624" s="182"/>
      <c r="AW624" s="182"/>
      <c r="AX624" s="182"/>
      <c r="AY624" s="182"/>
      <c r="AZ624" s="182"/>
      <c r="BA624" s="182"/>
      <c r="BB624" s="182"/>
      <c r="BC624" s="182"/>
      <c r="BD624" s="182"/>
      <c r="BE624" s="182"/>
      <c r="BF624" s="182"/>
      <c r="BG624" s="182"/>
      <c r="BH624" s="182"/>
      <c r="BI624" s="182"/>
      <c r="BJ624" s="182"/>
      <c r="BK624" s="182"/>
      <c r="BL624" s="182"/>
      <c r="BM624" s="182"/>
      <c r="BN624" s="182"/>
      <c r="BO624" s="182"/>
      <c r="BP624" s="182"/>
      <c r="BQ624" s="182"/>
      <c r="BR624" s="182"/>
      <c r="BS624" s="182"/>
      <c r="BT624" s="182"/>
      <c r="BU624" s="182"/>
      <c r="BV624" s="182"/>
      <c r="BW624" s="182"/>
      <c r="BX624" s="182"/>
      <c r="BY624" s="182"/>
      <c r="BZ624" s="182"/>
      <c r="CA624" s="182"/>
      <c r="CB624" s="182"/>
      <c r="CC624" s="182"/>
      <c r="CD624" s="182"/>
      <c r="CE624" s="182"/>
      <c r="CF624" s="182"/>
      <c r="CG624" s="182"/>
      <c r="CH624" s="182"/>
      <c r="CI624" s="182"/>
      <c r="CJ624" s="182"/>
      <c r="CK624" s="182"/>
      <c r="CL624" s="182"/>
      <c r="CM624" s="182"/>
      <c r="CN624" s="182"/>
      <c r="CO624" s="182"/>
      <c r="CP624" s="182"/>
      <c r="CQ624" s="182"/>
      <c r="CR624" s="182"/>
      <c r="CS624" s="182"/>
      <c r="CT624" s="182"/>
      <c r="CU624" s="182"/>
      <c r="CV624" s="182"/>
      <c r="CW624" s="182"/>
      <c r="CX624" s="182"/>
      <c r="CY624" s="182"/>
      <c r="CZ624" s="182"/>
      <c r="DA624" s="182"/>
      <c r="DB624" s="182"/>
      <c r="DC624" s="182"/>
      <c r="DD624" s="182"/>
      <c r="DE624" s="182"/>
      <c r="DF624" s="182"/>
      <c r="DG624" s="182"/>
      <c r="DH624" s="182"/>
      <c r="DI624" s="182"/>
      <c r="DJ624" s="182"/>
      <c r="DK624" s="182"/>
      <c r="DL624" s="182"/>
      <c r="DM624" s="182"/>
      <c r="DN624" s="182"/>
      <c r="DO624" s="182"/>
      <c r="DP624" s="182"/>
      <c r="DQ624" s="182"/>
      <c r="DR624" s="182"/>
      <c r="DS624" s="182"/>
      <c r="DT624" s="182"/>
      <c r="DU624" s="182"/>
      <c r="DV624" s="182"/>
      <c r="DW624" s="182"/>
      <c r="DX624" s="182"/>
      <c r="DY624" s="182"/>
      <c r="DZ624" s="182"/>
      <c r="EA624" s="182"/>
      <c r="EB624" s="182"/>
      <c r="EC624" s="182"/>
      <c r="ED624" s="182"/>
      <c r="EE624" s="182"/>
      <c r="EF624" s="182"/>
      <c r="EG624" s="182"/>
      <c r="EH624" s="182"/>
      <c r="EI624" s="182"/>
      <c r="EJ624" s="182"/>
      <c r="EK624" s="182"/>
      <c r="EL624" s="182"/>
      <c r="EM624" s="182"/>
      <c r="EN624" s="182"/>
      <c r="EO624" s="182"/>
      <c r="EP624" s="182"/>
      <c r="EQ624" s="182"/>
      <c r="ER624" s="182"/>
      <c r="ES624" s="182"/>
      <c r="ET624" s="182"/>
      <c r="EU624" s="182"/>
      <c r="EV624" s="182"/>
      <c r="EW624" s="182"/>
      <c r="EX624" s="182"/>
      <c r="EY624" s="182"/>
      <c r="EZ624" s="182"/>
      <c r="FA624" s="182"/>
      <c r="FB624" s="182"/>
      <c r="FC624" s="182"/>
      <c r="FD624" s="182"/>
      <c r="FE624" s="182"/>
      <c r="FF624" s="182"/>
      <c r="FG624" s="182"/>
      <c r="FH624" s="182"/>
      <c r="FI624" s="182"/>
      <c r="FJ624" s="182"/>
      <c r="FK624" s="182"/>
      <c r="FL624" s="182"/>
      <c r="FM624" s="182"/>
      <c r="FN624" s="182"/>
      <c r="FO624" s="182"/>
      <c r="FP624" s="182"/>
      <c r="FQ624" s="182"/>
      <c r="FR624" s="182"/>
      <c r="FS624" s="182"/>
      <c r="FT624" s="182"/>
      <c r="FU624" s="182"/>
      <c r="FV624" s="182"/>
      <c r="FW624" s="182"/>
      <c r="FX624" s="182"/>
      <c r="FY624" s="182"/>
      <c r="FZ624" s="182"/>
      <c r="GA624" s="182"/>
      <c r="GB624" s="182"/>
      <c r="GC624" s="182"/>
      <c r="GD624" s="182"/>
      <c r="GE624" s="182"/>
      <c r="GF624" s="182"/>
      <c r="GG624" s="182"/>
      <c r="GH624" s="182"/>
      <c r="GI624" s="182"/>
    </row>
    <row r="625" spans="1:191" s="183" customFormat="1" x14ac:dyDescent="0.2">
      <c r="A625" s="210" t="s">
        <v>38292</v>
      </c>
      <c r="B625" s="210" t="s">
        <v>20804</v>
      </c>
      <c r="C625" s="224" t="s">
        <v>22643</v>
      </c>
      <c r="D625" s="211" t="s">
        <v>16</v>
      </c>
      <c r="E625" s="211">
        <v>4</v>
      </c>
      <c r="F625" s="211"/>
      <c r="G625" s="211"/>
      <c r="H625" s="231">
        <v>5</v>
      </c>
      <c r="I625" s="213">
        <f t="shared" si="38"/>
        <v>1.6666666666666666E-2</v>
      </c>
      <c r="J625" s="272">
        <v>64.33</v>
      </c>
      <c r="K625" s="113"/>
      <c r="L625" s="213"/>
      <c r="M625" s="112">
        <f t="shared" si="39"/>
        <v>4.29</v>
      </c>
      <c r="N625" s="112">
        <f t="shared" si="40"/>
        <v>128.69999999999999</v>
      </c>
      <c r="O625" s="114"/>
      <c r="P625" s="113"/>
      <c r="R625" s="203"/>
      <c r="S625" s="182"/>
      <c r="T625" s="182"/>
      <c r="U625" s="182"/>
      <c r="V625" s="182"/>
      <c r="W625" s="182"/>
      <c r="X625" s="182"/>
      <c r="Y625" s="182"/>
      <c r="Z625" s="182"/>
      <c r="AA625" s="182"/>
      <c r="AB625" s="182"/>
      <c r="AC625" s="182"/>
      <c r="AD625" s="182"/>
      <c r="AE625" s="182"/>
      <c r="AF625" s="182"/>
      <c r="AG625" s="182"/>
      <c r="AH625" s="182"/>
      <c r="AI625" s="182"/>
      <c r="AJ625" s="182"/>
      <c r="AK625" s="182"/>
      <c r="AL625" s="182"/>
      <c r="AM625" s="182"/>
      <c r="AN625" s="182"/>
      <c r="AO625" s="182"/>
      <c r="AP625" s="182"/>
      <c r="AQ625" s="182"/>
      <c r="AR625" s="182"/>
      <c r="AS625" s="182"/>
      <c r="AT625" s="182"/>
      <c r="AU625" s="182"/>
      <c r="AV625" s="182"/>
      <c r="AW625" s="182"/>
      <c r="AX625" s="182"/>
      <c r="AY625" s="182"/>
      <c r="AZ625" s="182"/>
      <c r="BA625" s="182"/>
      <c r="BB625" s="182"/>
      <c r="BC625" s="182"/>
      <c r="BD625" s="182"/>
      <c r="BE625" s="182"/>
      <c r="BF625" s="182"/>
      <c r="BG625" s="182"/>
      <c r="BH625" s="182"/>
      <c r="BI625" s="182"/>
      <c r="BJ625" s="182"/>
      <c r="BK625" s="182"/>
      <c r="BL625" s="182"/>
      <c r="BM625" s="182"/>
      <c r="BN625" s="182"/>
      <c r="BO625" s="182"/>
      <c r="BP625" s="182"/>
      <c r="BQ625" s="182"/>
      <c r="BR625" s="182"/>
      <c r="BS625" s="182"/>
      <c r="BT625" s="182"/>
      <c r="BU625" s="182"/>
      <c r="BV625" s="182"/>
      <c r="BW625" s="182"/>
      <c r="BX625" s="182"/>
      <c r="BY625" s="182"/>
      <c r="BZ625" s="182"/>
      <c r="CA625" s="182"/>
      <c r="CB625" s="182"/>
      <c r="CC625" s="182"/>
      <c r="CD625" s="182"/>
      <c r="CE625" s="182"/>
      <c r="CF625" s="182"/>
      <c r="CG625" s="182"/>
      <c r="CH625" s="182"/>
      <c r="CI625" s="182"/>
      <c r="CJ625" s="182"/>
      <c r="CK625" s="182"/>
      <c r="CL625" s="182"/>
      <c r="CM625" s="182"/>
      <c r="CN625" s="182"/>
      <c r="CO625" s="182"/>
      <c r="CP625" s="182"/>
      <c r="CQ625" s="182"/>
      <c r="CR625" s="182"/>
      <c r="CS625" s="182"/>
      <c r="CT625" s="182"/>
      <c r="CU625" s="182"/>
      <c r="CV625" s="182"/>
      <c r="CW625" s="182"/>
      <c r="CX625" s="182"/>
      <c r="CY625" s="182"/>
      <c r="CZ625" s="182"/>
      <c r="DA625" s="182"/>
      <c r="DB625" s="182"/>
      <c r="DC625" s="182"/>
      <c r="DD625" s="182"/>
      <c r="DE625" s="182"/>
      <c r="DF625" s="182"/>
      <c r="DG625" s="182"/>
      <c r="DH625" s="182"/>
      <c r="DI625" s="182"/>
      <c r="DJ625" s="182"/>
      <c r="DK625" s="182"/>
      <c r="DL625" s="182"/>
      <c r="DM625" s="182"/>
      <c r="DN625" s="182"/>
      <c r="DO625" s="182"/>
      <c r="DP625" s="182"/>
      <c r="DQ625" s="182"/>
      <c r="DR625" s="182"/>
      <c r="DS625" s="182"/>
      <c r="DT625" s="182"/>
      <c r="DU625" s="182"/>
      <c r="DV625" s="182"/>
      <c r="DW625" s="182"/>
      <c r="DX625" s="182"/>
      <c r="DY625" s="182"/>
      <c r="DZ625" s="182"/>
      <c r="EA625" s="182"/>
      <c r="EB625" s="182"/>
      <c r="EC625" s="182"/>
      <c r="ED625" s="182"/>
      <c r="EE625" s="182"/>
      <c r="EF625" s="182"/>
      <c r="EG625" s="182"/>
      <c r="EH625" s="182"/>
      <c r="EI625" s="182"/>
      <c r="EJ625" s="182"/>
      <c r="EK625" s="182"/>
      <c r="EL625" s="182"/>
      <c r="EM625" s="182"/>
      <c r="EN625" s="182"/>
      <c r="EO625" s="182"/>
      <c r="EP625" s="182"/>
      <c r="EQ625" s="182"/>
      <c r="ER625" s="182"/>
      <c r="ES625" s="182"/>
      <c r="ET625" s="182"/>
      <c r="EU625" s="182"/>
      <c r="EV625" s="182"/>
      <c r="EW625" s="182"/>
      <c r="EX625" s="182"/>
      <c r="EY625" s="182"/>
      <c r="EZ625" s="182"/>
      <c r="FA625" s="182"/>
      <c r="FB625" s="182"/>
      <c r="FC625" s="182"/>
      <c r="FD625" s="182"/>
      <c r="FE625" s="182"/>
      <c r="FF625" s="182"/>
      <c r="FG625" s="182"/>
      <c r="FH625" s="182"/>
      <c r="FI625" s="182"/>
      <c r="FJ625" s="182"/>
      <c r="FK625" s="182"/>
      <c r="FL625" s="182"/>
      <c r="FM625" s="182"/>
      <c r="FN625" s="182"/>
      <c r="FO625" s="182"/>
      <c r="FP625" s="182"/>
      <c r="FQ625" s="182"/>
      <c r="FR625" s="182"/>
      <c r="FS625" s="182"/>
      <c r="FT625" s="182"/>
      <c r="FU625" s="182"/>
      <c r="FV625" s="182"/>
      <c r="FW625" s="182"/>
      <c r="FX625" s="182"/>
      <c r="FY625" s="182"/>
      <c r="FZ625" s="182"/>
      <c r="GA625" s="182"/>
      <c r="GB625" s="182"/>
      <c r="GC625" s="182"/>
      <c r="GD625" s="182"/>
      <c r="GE625" s="182"/>
      <c r="GF625" s="182"/>
      <c r="GG625" s="182"/>
      <c r="GH625" s="182"/>
      <c r="GI625" s="182"/>
    </row>
    <row r="626" spans="1:191" s="183" customFormat="1" x14ac:dyDescent="0.2">
      <c r="A626" s="210" t="s">
        <v>38293</v>
      </c>
      <c r="B626" s="210" t="s">
        <v>20805</v>
      </c>
      <c r="C626" s="224" t="s">
        <v>22644</v>
      </c>
      <c r="D626" s="211" t="s">
        <v>16</v>
      </c>
      <c r="E626" s="211">
        <v>4</v>
      </c>
      <c r="F626" s="211"/>
      <c r="G626" s="211"/>
      <c r="H626" s="231">
        <v>5</v>
      </c>
      <c r="I626" s="213">
        <f t="shared" si="38"/>
        <v>1.6666666666666666E-2</v>
      </c>
      <c r="J626" s="272">
        <v>39.659999999999997</v>
      </c>
      <c r="K626" s="113"/>
      <c r="L626" s="213"/>
      <c r="M626" s="112">
        <f t="shared" si="39"/>
        <v>2.64</v>
      </c>
      <c r="N626" s="112">
        <f t="shared" si="40"/>
        <v>79.2</v>
      </c>
      <c r="O626" s="114"/>
      <c r="P626" s="113"/>
      <c r="R626" s="203"/>
      <c r="S626" s="182"/>
      <c r="T626" s="182"/>
      <c r="U626" s="182"/>
      <c r="V626" s="182"/>
      <c r="W626" s="182"/>
      <c r="X626" s="182"/>
      <c r="Y626" s="182"/>
      <c r="Z626" s="182"/>
      <c r="AA626" s="182"/>
      <c r="AB626" s="182"/>
      <c r="AC626" s="182"/>
      <c r="AD626" s="182"/>
      <c r="AE626" s="182"/>
      <c r="AF626" s="182"/>
      <c r="AG626" s="182"/>
      <c r="AH626" s="182"/>
      <c r="AI626" s="182"/>
      <c r="AJ626" s="182"/>
      <c r="AK626" s="182"/>
      <c r="AL626" s="182"/>
      <c r="AM626" s="182"/>
      <c r="AN626" s="182"/>
      <c r="AO626" s="182"/>
      <c r="AP626" s="182"/>
      <c r="AQ626" s="182"/>
      <c r="AR626" s="182"/>
      <c r="AS626" s="182"/>
      <c r="AT626" s="182"/>
      <c r="AU626" s="182"/>
      <c r="AV626" s="182"/>
      <c r="AW626" s="182"/>
      <c r="AX626" s="182"/>
      <c r="AY626" s="182"/>
      <c r="AZ626" s="182"/>
      <c r="BA626" s="182"/>
      <c r="BB626" s="182"/>
      <c r="BC626" s="182"/>
      <c r="BD626" s="182"/>
      <c r="BE626" s="182"/>
      <c r="BF626" s="182"/>
      <c r="BG626" s="182"/>
      <c r="BH626" s="182"/>
      <c r="BI626" s="182"/>
      <c r="BJ626" s="182"/>
      <c r="BK626" s="182"/>
      <c r="BL626" s="182"/>
      <c r="BM626" s="182"/>
      <c r="BN626" s="182"/>
      <c r="BO626" s="182"/>
      <c r="BP626" s="182"/>
      <c r="BQ626" s="182"/>
      <c r="BR626" s="182"/>
      <c r="BS626" s="182"/>
      <c r="BT626" s="182"/>
      <c r="BU626" s="182"/>
      <c r="BV626" s="182"/>
      <c r="BW626" s="182"/>
      <c r="BX626" s="182"/>
      <c r="BY626" s="182"/>
      <c r="BZ626" s="182"/>
      <c r="CA626" s="182"/>
      <c r="CB626" s="182"/>
      <c r="CC626" s="182"/>
      <c r="CD626" s="182"/>
      <c r="CE626" s="182"/>
      <c r="CF626" s="182"/>
      <c r="CG626" s="182"/>
      <c r="CH626" s="182"/>
      <c r="CI626" s="182"/>
      <c r="CJ626" s="182"/>
      <c r="CK626" s="182"/>
      <c r="CL626" s="182"/>
      <c r="CM626" s="182"/>
      <c r="CN626" s="182"/>
      <c r="CO626" s="182"/>
      <c r="CP626" s="182"/>
      <c r="CQ626" s="182"/>
      <c r="CR626" s="182"/>
      <c r="CS626" s="182"/>
      <c r="CT626" s="182"/>
      <c r="CU626" s="182"/>
      <c r="CV626" s="182"/>
      <c r="CW626" s="182"/>
      <c r="CX626" s="182"/>
      <c r="CY626" s="182"/>
      <c r="CZ626" s="182"/>
      <c r="DA626" s="182"/>
      <c r="DB626" s="182"/>
      <c r="DC626" s="182"/>
      <c r="DD626" s="182"/>
      <c r="DE626" s="182"/>
      <c r="DF626" s="182"/>
      <c r="DG626" s="182"/>
      <c r="DH626" s="182"/>
      <c r="DI626" s="182"/>
      <c r="DJ626" s="182"/>
      <c r="DK626" s="182"/>
      <c r="DL626" s="182"/>
      <c r="DM626" s="182"/>
      <c r="DN626" s="182"/>
      <c r="DO626" s="182"/>
      <c r="DP626" s="182"/>
      <c r="DQ626" s="182"/>
      <c r="DR626" s="182"/>
      <c r="DS626" s="182"/>
      <c r="DT626" s="182"/>
      <c r="DU626" s="182"/>
      <c r="DV626" s="182"/>
      <c r="DW626" s="182"/>
      <c r="DX626" s="182"/>
      <c r="DY626" s="182"/>
      <c r="DZ626" s="182"/>
      <c r="EA626" s="182"/>
      <c r="EB626" s="182"/>
      <c r="EC626" s="182"/>
      <c r="ED626" s="182"/>
      <c r="EE626" s="182"/>
      <c r="EF626" s="182"/>
      <c r="EG626" s="182"/>
      <c r="EH626" s="182"/>
      <c r="EI626" s="182"/>
      <c r="EJ626" s="182"/>
      <c r="EK626" s="182"/>
      <c r="EL626" s="182"/>
      <c r="EM626" s="182"/>
      <c r="EN626" s="182"/>
      <c r="EO626" s="182"/>
      <c r="EP626" s="182"/>
      <c r="EQ626" s="182"/>
      <c r="ER626" s="182"/>
      <c r="ES626" s="182"/>
      <c r="ET626" s="182"/>
      <c r="EU626" s="182"/>
      <c r="EV626" s="182"/>
      <c r="EW626" s="182"/>
      <c r="EX626" s="182"/>
      <c r="EY626" s="182"/>
      <c r="EZ626" s="182"/>
      <c r="FA626" s="182"/>
      <c r="FB626" s="182"/>
      <c r="FC626" s="182"/>
      <c r="FD626" s="182"/>
      <c r="FE626" s="182"/>
      <c r="FF626" s="182"/>
      <c r="FG626" s="182"/>
      <c r="FH626" s="182"/>
      <c r="FI626" s="182"/>
      <c r="FJ626" s="182"/>
      <c r="FK626" s="182"/>
      <c r="FL626" s="182"/>
      <c r="FM626" s="182"/>
      <c r="FN626" s="182"/>
      <c r="FO626" s="182"/>
      <c r="FP626" s="182"/>
      <c r="FQ626" s="182"/>
      <c r="FR626" s="182"/>
      <c r="FS626" s="182"/>
      <c r="FT626" s="182"/>
      <c r="FU626" s="182"/>
      <c r="FV626" s="182"/>
      <c r="FW626" s="182"/>
      <c r="FX626" s="182"/>
      <c r="FY626" s="182"/>
      <c r="FZ626" s="182"/>
      <c r="GA626" s="182"/>
      <c r="GB626" s="182"/>
      <c r="GC626" s="182"/>
      <c r="GD626" s="182"/>
      <c r="GE626" s="182"/>
      <c r="GF626" s="182"/>
      <c r="GG626" s="182"/>
      <c r="GH626" s="182"/>
      <c r="GI626" s="182"/>
    </row>
    <row r="627" spans="1:191" s="183" customFormat="1" x14ac:dyDescent="0.2">
      <c r="A627" s="210" t="s">
        <v>38294</v>
      </c>
      <c r="B627" s="210" t="s">
        <v>20806</v>
      </c>
      <c r="C627" s="224" t="s">
        <v>22645</v>
      </c>
      <c r="D627" s="211" t="s">
        <v>16</v>
      </c>
      <c r="E627" s="211">
        <v>4</v>
      </c>
      <c r="F627" s="211"/>
      <c r="G627" s="211"/>
      <c r="H627" s="231">
        <v>5</v>
      </c>
      <c r="I627" s="213">
        <f t="shared" si="38"/>
        <v>1.6666666666666666E-2</v>
      </c>
      <c r="J627" s="272">
        <v>45.92</v>
      </c>
      <c r="K627" s="113"/>
      <c r="L627" s="213"/>
      <c r="M627" s="112">
        <f t="shared" si="39"/>
        <v>3.06</v>
      </c>
      <c r="N627" s="112">
        <f t="shared" si="40"/>
        <v>91.8</v>
      </c>
      <c r="O627" s="114"/>
      <c r="P627" s="113"/>
      <c r="R627" s="203"/>
      <c r="S627" s="182"/>
      <c r="T627" s="182"/>
      <c r="U627" s="182"/>
      <c r="V627" s="182"/>
      <c r="W627" s="182"/>
      <c r="X627" s="182"/>
      <c r="Y627" s="182"/>
      <c r="Z627" s="182"/>
      <c r="AA627" s="182"/>
      <c r="AB627" s="182"/>
      <c r="AC627" s="182"/>
      <c r="AD627" s="182"/>
      <c r="AE627" s="182"/>
      <c r="AF627" s="182"/>
      <c r="AG627" s="182"/>
      <c r="AH627" s="182"/>
      <c r="AI627" s="182"/>
      <c r="AJ627" s="182"/>
      <c r="AK627" s="182"/>
      <c r="AL627" s="182"/>
      <c r="AM627" s="182"/>
      <c r="AN627" s="182"/>
      <c r="AO627" s="182"/>
      <c r="AP627" s="182"/>
      <c r="AQ627" s="182"/>
      <c r="AR627" s="182"/>
      <c r="AS627" s="182"/>
      <c r="AT627" s="182"/>
      <c r="AU627" s="182"/>
      <c r="AV627" s="182"/>
      <c r="AW627" s="182"/>
      <c r="AX627" s="182"/>
      <c r="AY627" s="182"/>
      <c r="AZ627" s="182"/>
      <c r="BA627" s="182"/>
      <c r="BB627" s="182"/>
      <c r="BC627" s="182"/>
      <c r="BD627" s="182"/>
      <c r="BE627" s="182"/>
      <c r="BF627" s="182"/>
      <c r="BG627" s="182"/>
      <c r="BH627" s="182"/>
      <c r="BI627" s="182"/>
      <c r="BJ627" s="182"/>
      <c r="BK627" s="182"/>
      <c r="BL627" s="182"/>
      <c r="BM627" s="182"/>
      <c r="BN627" s="182"/>
      <c r="BO627" s="182"/>
      <c r="BP627" s="182"/>
      <c r="BQ627" s="182"/>
      <c r="BR627" s="182"/>
      <c r="BS627" s="182"/>
      <c r="BT627" s="182"/>
      <c r="BU627" s="182"/>
      <c r="BV627" s="182"/>
      <c r="BW627" s="182"/>
      <c r="BX627" s="182"/>
      <c r="BY627" s="182"/>
      <c r="BZ627" s="182"/>
      <c r="CA627" s="182"/>
      <c r="CB627" s="182"/>
      <c r="CC627" s="182"/>
      <c r="CD627" s="182"/>
      <c r="CE627" s="182"/>
      <c r="CF627" s="182"/>
      <c r="CG627" s="182"/>
      <c r="CH627" s="182"/>
      <c r="CI627" s="182"/>
      <c r="CJ627" s="182"/>
      <c r="CK627" s="182"/>
      <c r="CL627" s="182"/>
      <c r="CM627" s="182"/>
      <c r="CN627" s="182"/>
      <c r="CO627" s="182"/>
      <c r="CP627" s="182"/>
      <c r="CQ627" s="182"/>
      <c r="CR627" s="182"/>
      <c r="CS627" s="182"/>
      <c r="CT627" s="182"/>
      <c r="CU627" s="182"/>
      <c r="CV627" s="182"/>
      <c r="CW627" s="182"/>
      <c r="CX627" s="182"/>
      <c r="CY627" s="182"/>
      <c r="CZ627" s="182"/>
      <c r="DA627" s="182"/>
      <c r="DB627" s="182"/>
      <c r="DC627" s="182"/>
      <c r="DD627" s="182"/>
      <c r="DE627" s="182"/>
      <c r="DF627" s="182"/>
      <c r="DG627" s="182"/>
      <c r="DH627" s="182"/>
      <c r="DI627" s="182"/>
      <c r="DJ627" s="182"/>
      <c r="DK627" s="182"/>
      <c r="DL627" s="182"/>
      <c r="DM627" s="182"/>
      <c r="DN627" s="182"/>
      <c r="DO627" s="182"/>
      <c r="DP627" s="182"/>
      <c r="DQ627" s="182"/>
      <c r="DR627" s="182"/>
      <c r="DS627" s="182"/>
      <c r="DT627" s="182"/>
      <c r="DU627" s="182"/>
      <c r="DV627" s="182"/>
      <c r="DW627" s="182"/>
      <c r="DX627" s="182"/>
      <c r="DY627" s="182"/>
      <c r="DZ627" s="182"/>
      <c r="EA627" s="182"/>
      <c r="EB627" s="182"/>
      <c r="EC627" s="182"/>
      <c r="ED627" s="182"/>
      <c r="EE627" s="182"/>
      <c r="EF627" s="182"/>
      <c r="EG627" s="182"/>
      <c r="EH627" s="182"/>
      <c r="EI627" s="182"/>
      <c r="EJ627" s="182"/>
      <c r="EK627" s="182"/>
      <c r="EL627" s="182"/>
      <c r="EM627" s="182"/>
      <c r="EN627" s="182"/>
      <c r="EO627" s="182"/>
      <c r="EP627" s="182"/>
      <c r="EQ627" s="182"/>
      <c r="ER627" s="182"/>
      <c r="ES627" s="182"/>
      <c r="ET627" s="182"/>
      <c r="EU627" s="182"/>
      <c r="EV627" s="182"/>
      <c r="EW627" s="182"/>
      <c r="EX627" s="182"/>
      <c r="EY627" s="182"/>
      <c r="EZ627" s="182"/>
      <c r="FA627" s="182"/>
      <c r="FB627" s="182"/>
      <c r="FC627" s="182"/>
      <c r="FD627" s="182"/>
      <c r="FE627" s="182"/>
      <c r="FF627" s="182"/>
      <c r="FG627" s="182"/>
      <c r="FH627" s="182"/>
      <c r="FI627" s="182"/>
      <c r="FJ627" s="182"/>
      <c r="FK627" s="182"/>
      <c r="FL627" s="182"/>
      <c r="FM627" s="182"/>
      <c r="FN627" s="182"/>
      <c r="FO627" s="182"/>
      <c r="FP627" s="182"/>
      <c r="FQ627" s="182"/>
      <c r="FR627" s="182"/>
      <c r="FS627" s="182"/>
      <c r="FT627" s="182"/>
      <c r="FU627" s="182"/>
      <c r="FV627" s="182"/>
      <c r="FW627" s="182"/>
      <c r="FX627" s="182"/>
      <c r="FY627" s="182"/>
      <c r="FZ627" s="182"/>
      <c r="GA627" s="182"/>
      <c r="GB627" s="182"/>
      <c r="GC627" s="182"/>
      <c r="GD627" s="182"/>
      <c r="GE627" s="182"/>
      <c r="GF627" s="182"/>
      <c r="GG627" s="182"/>
      <c r="GH627" s="182"/>
      <c r="GI627" s="182"/>
    </row>
    <row r="628" spans="1:191" s="183" customFormat="1" x14ac:dyDescent="0.2">
      <c r="A628" s="210" t="s">
        <v>38295</v>
      </c>
      <c r="B628" s="210" t="s">
        <v>20807</v>
      </c>
      <c r="C628" s="224" t="s">
        <v>22646</v>
      </c>
      <c r="D628" s="211" t="s">
        <v>16</v>
      </c>
      <c r="E628" s="211">
        <v>8</v>
      </c>
      <c r="F628" s="211"/>
      <c r="G628" s="211"/>
      <c r="H628" s="231">
        <v>5</v>
      </c>
      <c r="I628" s="213">
        <f t="shared" ref="I628:I680" si="44">1/(12*H628)</f>
        <v>1.6666666666666666E-2</v>
      </c>
      <c r="J628" s="272">
        <v>77.650000000000006</v>
      </c>
      <c r="K628" s="113"/>
      <c r="L628" s="213"/>
      <c r="M628" s="112">
        <f t="shared" ref="M628:M680" si="45">IF(ISNUMBER(J628),ROUND(I628*E628*J628,2),"")</f>
        <v>10.35</v>
      </c>
      <c r="N628" s="112">
        <f t="shared" si="40"/>
        <v>310.5</v>
      </c>
      <c r="O628" s="114"/>
      <c r="P628" s="113"/>
      <c r="R628" s="203"/>
      <c r="S628" s="182"/>
      <c r="T628" s="182"/>
      <c r="U628" s="182"/>
      <c r="V628" s="182"/>
      <c r="W628" s="182"/>
      <c r="X628" s="182"/>
      <c r="Y628" s="182"/>
      <c r="Z628" s="182"/>
      <c r="AA628" s="182"/>
      <c r="AB628" s="182"/>
      <c r="AC628" s="182"/>
      <c r="AD628" s="182"/>
      <c r="AE628" s="182"/>
      <c r="AF628" s="182"/>
      <c r="AG628" s="182"/>
      <c r="AH628" s="182"/>
      <c r="AI628" s="182"/>
      <c r="AJ628" s="182"/>
      <c r="AK628" s="182"/>
      <c r="AL628" s="182"/>
      <c r="AM628" s="182"/>
      <c r="AN628" s="182"/>
      <c r="AO628" s="182"/>
      <c r="AP628" s="182"/>
      <c r="AQ628" s="182"/>
      <c r="AR628" s="182"/>
      <c r="AS628" s="182"/>
      <c r="AT628" s="182"/>
      <c r="AU628" s="182"/>
      <c r="AV628" s="182"/>
      <c r="AW628" s="182"/>
      <c r="AX628" s="182"/>
      <c r="AY628" s="182"/>
      <c r="AZ628" s="182"/>
      <c r="BA628" s="182"/>
      <c r="BB628" s="182"/>
      <c r="BC628" s="182"/>
      <c r="BD628" s="182"/>
      <c r="BE628" s="182"/>
      <c r="BF628" s="182"/>
      <c r="BG628" s="182"/>
      <c r="BH628" s="182"/>
      <c r="BI628" s="182"/>
      <c r="BJ628" s="182"/>
      <c r="BK628" s="182"/>
      <c r="BL628" s="182"/>
      <c r="BM628" s="182"/>
      <c r="BN628" s="182"/>
      <c r="BO628" s="182"/>
      <c r="BP628" s="182"/>
      <c r="BQ628" s="182"/>
      <c r="BR628" s="182"/>
      <c r="BS628" s="182"/>
      <c r="BT628" s="182"/>
      <c r="BU628" s="182"/>
      <c r="BV628" s="182"/>
      <c r="BW628" s="182"/>
      <c r="BX628" s="182"/>
      <c r="BY628" s="182"/>
      <c r="BZ628" s="182"/>
      <c r="CA628" s="182"/>
      <c r="CB628" s="182"/>
      <c r="CC628" s="182"/>
      <c r="CD628" s="182"/>
      <c r="CE628" s="182"/>
      <c r="CF628" s="182"/>
      <c r="CG628" s="182"/>
      <c r="CH628" s="182"/>
      <c r="CI628" s="182"/>
      <c r="CJ628" s="182"/>
      <c r="CK628" s="182"/>
      <c r="CL628" s="182"/>
      <c r="CM628" s="182"/>
      <c r="CN628" s="182"/>
      <c r="CO628" s="182"/>
      <c r="CP628" s="182"/>
      <c r="CQ628" s="182"/>
      <c r="CR628" s="182"/>
      <c r="CS628" s="182"/>
      <c r="CT628" s="182"/>
      <c r="CU628" s="182"/>
      <c r="CV628" s="182"/>
      <c r="CW628" s="182"/>
      <c r="CX628" s="182"/>
      <c r="CY628" s="182"/>
      <c r="CZ628" s="182"/>
      <c r="DA628" s="182"/>
      <c r="DB628" s="182"/>
      <c r="DC628" s="182"/>
      <c r="DD628" s="182"/>
      <c r="DE628" s="182"/>
      <c r="DF628" s="182"/>
      <c r="DG628" s="182"/>
      <c r="DH628" s="182"/>
      <c r="DI628" s="182"/>
      <c r="DJ628" s="182"/>
      <c r="DK628" s="182"/>
      <c r="DL628" s="182"/>
      <c r="DM628" s="182"/>
      <c r="DN628" s="182"/>
      <c r="DO628" s="182"/>
      <c r="DP628" s="182"/>
      <c r="DQ628" s="182"/>
      <c r="DR628" s="182"/>
      <c r="DS628" s="182"/>
      <c r="DT628" s="182"/>
      <c r="DU628" s="182"/>
      <c r="DV628" s="182"/>
      <c r="DW628" s="182"/>
      <c r="DX628" s="182"/>
      <c r="DY628" s="182"/>
      <c r="DZ628" s="182"/>
      <c r="EA628" s="182"/>
      <c r="EB628" s="182"/>
      <c r="EC628" s="182"/>
      <c r="ED628" s="182"/>
      <c r="EE628" s="182"/>
      <c r="EF628" s="182"/>
      <c r="EG628" s="182"/>
      <c r="EH628" s="182"/>
      <c r="EI628" s="182"/>
      <c r="EJ628" s="182"/>
      <c r="EK628" s="182"/>
      <c r="EL628" s="182"/>
      <c r="EM628" s="182"/>
      <c r="EN628" s="182"/>
      <c r="EO628" s="182"/>
      <c r="EP628" s="182"/>
      <c r="EQ628" s="182"/>
      <c r="ER628" s="182"/>
      <c r="ES628" s="182"/>
      <c r="ET628" s="182"/>
      <c r="EU628" s="182"/>
      <c r="EV628" s="182"/>
      <c r="EW628" s="182"/>
      <c r="EX628" s="182"/>
      <c r="EY628" s="182"/>
      <c r="EZ628" s="182"/>
      <c r="FA628" s="182"/>
      <c r="FB628" s="182"/>
      <c r="FC628" s="182"/>
      <c r="FD628" s="182"/>
      <c r="FE628" s="182"/>
      <c r="FF628" s="182"/>
      <c r="FG628" s="182"/>
      <c r="FH628" s="182"/>
      <c r="FI628" s="182"/>
      <c r="FJ628" s="182"/>
      <c r="FK628" s="182"/>
      <c r="FL628" s="182"/>
      <c r="FM628" s="182"/>
      <c r="FN628" s="182"/>
      <c r="FO628" s="182"/>
      <c r="FP628" s="182"/>
      <c r="FQ628" s="182"/>
      <c r="FR628" s="182"/>
      <c r="FS628" s="182"/>
      <c r="FT628" s="182"/>
      <c r="FU628" s="182"/>
      <c r="FV628" s="182"/>
      <c r="FW628" s="182"/>
      <c r="FX628" s="182"/>
      <c r="FY628" s="182"/>
      <c r="FZ628" s="182"/>
      <c r="GA628" s="182"/>
      <c r="GB628" s="182"/>
      <c r="GC628" s="182"/>
      <c r="GD628" s="182"/>
      <c r="GE628" s="182"/>
      <c r="GF628" s="182"/>
      <c r="GG628" s="182"/>
      <c r="GH628" s="182"/>
      <c r="GI628" s="182"/>
    </row>
    <row r="629" spans="1:191" s="183" customFormat="1" x14ac:dyDescent="0.2">
      <c r="A629" s="210" t="s">
        <v>38296</v>
      </c>
      <c r="B629" s="210" t="s">
        <v>20808</v>
      </c>
      <c r="C629" s="224" t="s">
        <v>22647</v>
      </c>
      <c r="D629" s="211" t="s">
        <v>16</v>
      </c>
      <c r="E629" s="211">
        <v>3</v>
      </c>
      <c r="F629" s="211"/>
      <c r="G629" s="211"/>
      <c r="H629" s="231">
        <v>5</v>
      </c>
      <c r="I629" s="213">
        <f t="shared" si="44"/>
        <v>1.6666666666666666E-2</v>
      </c>
      <c r="J629" s="272">
        <v>482.01</v>
      </c>
      <c r="K629" s="113"/>
      <c r="L629" s="213"/>
      <c r="M629" s="112">
        <f t="shared" si="45"/>
        <v>24.1</v>
      </c>
      <c r="N629" s="112">
        <f t="shared" si="40"/>
        <v>723</v>
      </c>
      <c r="O629" s="114"/>
      <c r="P629" s="113"/>
      <c r="R629" s="203"/>
      <c r="S629" s="182"/>
      <c r="T629" s="182"/>
      <c r="U629" s="182"/>
      <c r="V629" s="182"/>
      <c r="W629" s="182"/>
      <c r="X629" s="182"/>
      <c r="Y629" s="182"/>
      <c r="Z629" s="182"/>
      <c r="AA629" s="182"/>
      <c r="AB629" s="182"/>
      <c r="AC629" s="182"/>
      <c r="AD629" s="182"/>
      <c r="AE629" s="182"/>
      <c r="AF629" s="182"/>
      <c r="AG629" s="182"/>
      <c r="AH629" s="182"/>
      <c r="AI629" s="182"/>
      <c r="AJ629" s="182"/>
      <c r="AK629" s="182"/>
      <c r="AL629" s="182"/>
      <c r="AM629" s="182"/>
      <c r="AN629" s="182"/>
      <c r="AO629" s="182"/>
      <c r="AP629" s="182"/>
      <c r="AQ629" s="182"/>
      <c r="AR629" s="182"/>
      <c r="AS629" s="182"/>
      <c r="AT629" s="182"/>
      <c r="AU629" s="182"/>
      <c r="AV629" s="182"/>
      <c r="AW629" s="182"/>
      <c r="AX629" s="182"/>
      <c r="AY629" s="182"/>
      <c r="AZ629" s="182"/>
      <c r="BA629" s="182"/>
      <c r="BB629" s="182"/>
      <c r="BC629" s="182"/>
      <c r="BD629" s="182"/>
      <c r="BE629" s="182"/>
      <c r="BF629" s="182"/>
      <c r="BG629" s="182"/>
      <c r="BH629" s="182"/>
      <c r="BI629" s="182"/>
      <c r="BJ629" s="182"/>
      <c r="BK629" s="182"/>
      <c r="BL629" s="182"/>
      <c r="BM629" s="182"/>
      <c r="BN629" s="182"/>
      <c r="BO629" s="182"/>
      <c r="BP629" s="182"/>
      <c r="BQ629" s="182"/>
      <c r="BR629" s="182"/>
      <c r="BS629" s="182"/>
      <c r="BT629" s="182"/>
      <c r="BU629" s="182"/>
      <c r="BV629" s="182"/>
      <c r="BW629" s="182"/>
      <c r="BX629" s="182"/>
      <c r="BY629" s="182"/>
      <c r="BZ629" s="182"/>
      <c r="CA629" s="182"/>
      <c r="CB629" s="182"/>
      <c r="CC629" s="182"/>
      <c r="CD629" s="182"/>
      <c r="CE629" s="182"/>
      <c r="CF629" s="182"/>
      <c r="CG629" s="182"/>
      <c r="CH629" s="182"/>
      <c r="CI629" s="182"/>
      <c r="CJ629" s="182"/>
      <c r="CK629" s="182"/>
      <c r="CL629" s="182"/>
      <c r="CM629" s="182"/>
      <c r="CN629" s="182"/>
      <c r="CO629" s="182"/>
      <c r="CP629" s="182"/>
      <c r="CQ629" s="182"/>
      <c r="CR629" s="182"/>
      <c r="CS629" s="182"/>
      <c r="CT629" s="182"/>
      <c r="CU629" s="182"/>
      <c r="CV629" s="182"/>
      <c r="CW629" s="182"/>
      <c r="CX629" s="182"/>
      <c r="CY629" s="182"/>
      <c r="CZ629" s="182"/>
      <c r="DA629" s="182"/>
      <c r="DB629" s="182"/>
      <c r="DC629" s="182"/>
      <c r="DD629" s="182"/>
      <c r="DE629" s="182"/>
      <c r="DF629" s="182"/>
      <c r="DG629" s="182"/>
      <c r="DH629" s="182"/>
      <c r="DI629" s="182"/>
      <c r="DJ629" s="182"/>
      <c r="DK629" s="182"/>
      <c r="DL629" s="182"/>
      <c r="DM629" s="182"/>
      <c r="DN629" s="182"/>
      <c r="DO629" s="182"/>
      <c r="DP629" s="182"/>
      <c r="DQ629" s="182"/>
      <c r="DR629" s="182"/>
      <c r="DS629" s="182"/>
      <c r="DT629" s="182"/>
      <c r="DU629" s="182"/>
      <c r="DV629" s="182"/>
      <c r="DW629" s="182"/>
      <c r="DX629" s="182"/>
      <c r="DY629" s="182"/>
      <c r="DZ629" s="182"/>
      <c r="EA629" s="182"/>
      <c r="EB629" s="182"/>
      <c r="EC629" s="182"/>
      <c r="ED629" s="182"/>
      <c r="EE629" s="182"/>
      <c r="EF629" s="182"/>
      <c r="EG629" s="182"/>
      <c r="EH629" s="182"/>
      <c r="EI629" s="182"/>
      <c r="EJ629" s="182"/>
      <c r="EK629" s="182"/>
      <c r="EL629" s="182"/>
      <c r="EM629" s="182"/>
      <c r="EN629" s="182"/>
      <c r="EO629" s="182"/>
      <c r="EP629" s="182"/>
      <c r="EQ629" s="182"/>
      <c r="ER629" s="182"/>
      <c r="ES629" s="182"/>
      <c r="ET629" s="182"/>
      <c r="EU629" s="182"/>
      <c r="EV629" s="182"/>
      <c r="EW629" s="182"/>
      <c r="EX629" s="182"/>
      <c r="EY629" s="182"/>
      <c r="EZ629" s="182"/>
      <c r="FA629" s="182"/>
      <c r="FB629" s="182"/>
      <c r="FC629" s="182"/>
      <c r="FD629" s="182"/>
      <c r="FE629" s="182"/>
      <c r="FF629" s="182"/>
      <c r="FG629" s="182"/>
      <c r="FH629" s="182"/>
      <c r="FI629" s="182"/>
      <c r="FJ629" s="182"/>
      <c r="FK629" s="182"/>
      <c r="FL629" s="182"/>
      <c r="FM629" s="182"/>
      <c r="FN629" s="182"/>
      <c r="FO629" s="182"/>
      <c r="FP629" s="182"/>
      <c r="FQ629" s="182"/>
      <c r="FR629" s="182"/>
      <c r="FS629" s="182"/>
      <c r="FT629" s="182"/>
      <c r="FU629" s="182"/>
      <c r="FV629" s="182"/>
      <c r="FW629" s="182"/>
      <c r="FX629" s="182"/>
      <c r="FY629" s="182"/>
      <c r="FZ629" s="182"/>
      <c r="GA629" s="182"/>
      <c r="GB629" s="182"/>
      <c r="GC629" s="182"/>
      <c r="GD629" s="182"/>
      <c r="GE629" s="182"/>
      <c r="GF629" s="182"/>
      <c r="GG629" s="182"/>
      <c r="GH629" s="182"/>
      <c r="GI629" s="182"/>
    </row>
    <row r="630" spans="1:191" s="183" customFormat="1" x14ac:dyDescent="0.2">
      <c r="A630" s="210" t="s">
        <v>38297</v>
      </c>
      <c r="B630" s="210" t="s">
        <v>20809</v>
      </c>
      <c r="C630" s="224" t="s">
        <v>22648</v>
      </c>
      <c r="D630" s="211" t="s">
        <v>16</v>
      </c>
      <c r="E630" s="211">
        <v>1</v>
      </c>
      <c r="F630" s="211"/>
      <c r="G630" s="211"/>
      <c r="H630" s="231">
        <v>5</v>
      </c>
      <c r="I630" s="213">
        <f t="shared" si="44"/>
        <v>1.6666666666666666E-2</v>
      </c>
      <c r="J630" s="272">
        <v>36.43</v>
      </c>
      <c r="K630" s="113"/>
      <c r="L630" s="213"/>
      <c r="M630" s="112">
        <f t="shared" si="45"/>
        <v>0.61</v>
      </c>
      <c r="N630" s="112">
        <f t="shared" si="40"/>
        <v>18.3</v>
      </c>
      <c r="O630" s="114"/>
      <c r="P630" s="113"/>
      <c r="R630" s="203"/>
      <c r="S630" s="182"/>
      <c r="T630" s="182"/>
      <c r="U630" s="182"/>
      <c r="V630" s="182"/>
      <c r="W630" s="182"/>
      <c r="X630" s="182"/>
      <c r="Y630" s="182"/>
      <c r="Z630" s="182"/>
      <c r="AA630" s="182"/>
      <c r="AB630" s="182"/>
      <c r="AC630" s="182"/>
      <c r="AD630" s="182"/>
      <c r="AE630" s="182"/>
      <c r="AF630" s="182"/>
      <c r="AG630" s="182"/>
      <c r="AH630" s="182"/>
      <c r="AI630" s="182"/>
      <c r="AJ630" s="182"/>
      <c r="AK630" s="182"/>
      <c r="AL630" s="182"/>
      <c r="AM630" s="182"/>
      <c r="AN630" s="182"/>
      <c r="AO630" s="182"/>
      <c r="AP630" s="182"/>
      <c r="AQ630" s="182"/>
      <c r="AR630" s="182"/>
      <c r="AS630" s="182"/>
      <c r="AT630" s="182"/>
      <c r="AU630" s="182"/>
      <c r="AV630" s="182"/>
      <c r="AW630" s="182"/>
      <c r="AX630" s="182"/>
      <c r="AY630" s="182"/>
      <c r="AZ630" s="182"/>
      <c r="BA630" s="182"/>
      <c r="BB630" s="182"/>
      <c r="BC630" s="182"/>
      <c r="BD630" s="182"/>
      <c r="BE630" s="182"/>
      <c r="BF630" s="182"/>
      <c r="BG630" s="182"/>
      <c r="BH630" s="182"/>
      <c r="BI630" s="182"/>
      <c r="BJ630" s="182"/>
      <c r="BK630" s="182"/>
      <c r="BL630" s="182"/>
      <c r="BM630" s="182"/>
      <c r="BN630" s="182"/>
      <c r="BO630" s="182"/>
      <c r="BP630" s="182"/>
      <c r="BQ630" s="182"/>
      <c r="BR630" s="182"/>
      <c r="BS630" s="182"/>
      <c r="BT630" s="182"/>
      <c r="BU630" s="182"/>
      <c r="BV630" s="182"/>
      <c r="BW630" s="182"/>
      <c r="BX630" s="182"/>
      <c r="BY630" s="182"/>
      <c r="BZ630" s="182"/>
      <c r="CA630" s="182"/>
      <c r="CB630" s="182"/>
      <c r="CC630" s="182"/>
      <c r="CD630" s="182"/>
      <c r="CE630" s="182"/>
      <c r="CF630" s="182"/>
      <c r="CG630" s="182"/>
      <c r="CH630" s="182"/>
      <c r="CI630" s="182"/>
      <c r="CJ630" s="182"/>
      <c r="CK630" s="182"/>
      <c r="CL630" s="182"/>
      <c r="CM630" s="182"/>
      <c r="CN630" s="182"/>
      <c r="CO630" s="182"/>
      <c r="CP630" s="182"/>
      <c r="CQ630" s="182"/>
      <c r="CR630" s="182"/>
      <c r="CS630" s="182"/>
      <c r="CT630" s="182"/>
      <c r="CU630" s="182"/>
      <c r="CV630" s="182"/>
      <c r="CW630" s="182"/>
      <c r="CX630" s="182"/>
      <c r="CY630" s="182"/>
      <c r="CZ630" s="182"/>
      <c r="DA630" s="182"/>
      <c r="DB630" s="182"/>
      <c r="DC630" s="182"/>
      <c r="DD630" s="182"/>
      <c r="DE630" s="182"/>
      <c r="DF630" s="182"/>
      <c r="DG630" s="182"/>
      <c r="DH630" s="182"/>
      <c r="DI630" s="182"/>
      <c r="DJ630" s="182"/>
      <c r="DK630" s="182"/>
      <c r="DL630" s="182"/>
      <c r="DM630" s="182"/>
      <c r="DN630" s="182"/>
      <c r="DO630" s="182"/>
      <c r="DP630" s="182"/>
      <c r="DQ630" s="182"/>
      <c r="DR630" s="182"/>
      <c r="DS630" s="182"/>
      <c r="DT630" s="182"/>
      <c r="DU630" s="182"/>
      <c r="DV630" s="182"/>
      <c r="DW630" s="182"/>
      <c r="DX630" s="182"/>
      <c r="DY630" s="182"/>
      <c r="DZ630" s="182"/>
      <c r="EA630" s="182"/>
      <c r="EB630" s="182"/>
      <c r="EC630" s="182"/>
      <c r="ED630" s="182"/>
      <c r="EE630" s="182"/>
      <c r="EF630" s="182"/>
      <c r="EG630" s="182"/>
      <c r="EH630" s="182"/>
      <c r="EI630" s="182"/>
      <c r="EJ630" s="182"/>
      <c r="EK630" s="182"/>
      <c r="EL630" s="182"/>
      <c r="EM630" s="182"/>
      <c r="EN630" s="182"/>
      <c r="EO630" s="182"/>
      <c r="EP630" s="182"/>
      <c r="EQ630" s="182"/>
      <c r="ER630" s="182"/>
      <c r="ES630" s="182"/>
      <c r="ET630" s="182"/>
      <c r="EU630" s="182"/>
      <c r="EV630" s="182"/>
      <c r="EW630" s="182"/>
      <c r="EX630" s="182"/>
      <c r="EY630" s="182"/>
      <c r="EZ630" s="182"/>
      <c r="FA630" s="182"/>
      <c r="FB630" s="182"/>
      <c r="FC630" s="182"/>
      <c r="FD630" s="182"/>
      <c r="FE630" s="182"/>
      <c r="FF630" s="182"/>
      <c r="FG630" s="182"/>
      <c r="FH630" s="182"/>
      <c r="FI630" s="182"/>
      <c r="FJ630" s="182"/>
      <c r="FK630" s="182"/>
      <c r="FL630" s="182"/>
      <c r="FM630" s="182"/>
      <c r="FN630" s="182"/>
      <c r="FO630" s="182"/>
      <c r="FP630" s="182"/>
      <c r="FQ630" s="182"/>
      <c r="FR630" s="182"/>
      <c r="FS630" s="182"/>
      <c r="FT630" s="182"/>
      <c r="FU630" s="182"/>
      <c r="FV630" s="182"/>
      <c r="FW630" s="182"/>
      <c r="FX630" s="182"/>
      <c r="FY630" s="182"/>
      <c r="FZ630" s="182"/>
      <c r="GA630" s="182"/>
      <c r="GB630" s="182"/>
      <c r="GC630" s="182"/>
      <c r="GD630" s="182"/>
      <c r="GE630" s="182"/>
      <c r="GF630" s="182"/>
      <c r="GG630" s="182"/>
      <c r="GH630" s="182"/>
      <c r="GI630" s="182"/>
    </row>
    <row r="631" spans="1:191" s="183" customFormat="1" x14ac:dyDescent="0.2">
      <c r="A631" s="210" t="s">
        <v>38298</v>
      </c>
      <c r="B631" s="210" t="s">
        <v>20810</v>
      </c>
      <c r="C631" s="224" t="s">
        <v>22649</v>
      </c>
      <c r="D631" s="211" t="s">
        <v>16</v>
      </c>
      <c r="E631" s="211">
        <v>1</v>
      </c>
      <c r="F631" s="211"/>
      <c r="G631" s="211"/>
      <c r="H631" s="231">
        <v>10</v>
      </c>
      <c r="I631" s="213">
        <f t="shared" si="44"/>
        <v>8.3333333333333332E-3</v>
      </c>
      <c r="J631" s="272">
        <v>878.75</v>
      </c>
      <c r="K631" s="113"/>
      <c r="L631" s="213"/>
      <c r="M631" s="112">
        <f t="shared" si="45"/>
        <v>7.32</v>
      </c>
      <c r="N631" s="112">
        <f t="shared" si="40"/>
        <v>219.6</v>
      </c>
      <c r="O631" s="114"/>
      <c r="P631" s="113"/>
      <c r="R631" s="203"/>
      <c r="S631" s="182"/>
      <c r="T631" s="182"/>
      <c r="U631" s="182"/>
      <c r="V631" s="182"/>
      <c r="W631" s="182"/>
      <c r="X631" s="182"/>
      <c r="Y631" s="182"/>
      <c r="Z631" s="182"/>
      <c r="AA631" s="182"/>
      <c r="AB631" s="182"/>
      <c r="AC631" s="182"/>
      <c r="AD631" s="182"/>
      <c r="AE631" s="182"/>
      <c r="AF631" s="182"/>
      <c r="AG631" s="182"/>
      <c r="AH631" s="182"/>
      <c r="AI631" s="182"/>
      <c r="AJ631" s="182"/>
      <c r="AK631" s="182"/>
      <c r="AL631" s="182"/>
      <c r="AM631" s="182"/>
      <c r="AN631" s="182"/>
      <c r="AO631" s="182"/>
      <c r="AP631" s="182"/>
      <c r="AQ631" s="182"/>
      <c r="AR631" s="182"/>
      <c r="AS631" s="182"/>
      <c r="AT631" s="182"/>
      <c r="AU631" s="182"/>
      <c r="AV631" s="182"/>
      <c r="AW631" s="182"/>
      <c r="AX631" s="182"/>
      <c r="AY631" s="182"/>
      <c r="AZ631" s="182"/>
      <c r="BA631" s="182"/>
      <c r="BB631" s="182"/>
      <c r="BC631" s="182"/>
      <c r="BD631" s="182"/>
      <c r="BE631" s="182"/>
      <c r="BF631" s="182"/>
      <c r="BG631" s="182"/>
      <c r="BH631" s="182"/>
      <c r="BI631" s="182"/>
      <c r="BJ631" s="182"/>
      <c r="BK631" s="182"/>
      <c r="BL631" s="182"/>
      <c r="BM631" s="182"/>
      <c r="BN631" s="182"/>
      <c r="BO631" s="182"/>
      <c r="BP631" s="182"/>
      <c r="BQ631" s="182"/>
      <c r="BR631" s="182"/>
      <c r="BS631" s="182"/>
      <c r="BT631" s="182"/>
      <c r="BU631" s="182"/>
      <c r="BV631" s="182"/>
      <c r="BW631" s="182"/>
      <c r="BX631" s="182"/>
      <c r="BY631" s="182"/>
      <c r="BZ631" s="182"/>
      <c r="CA631" s="182"/>
      <c r="CB631" s="182"/>
      <c r="CC631" s="182"/>
      <c r="CD631" s="182"/>
      <c r="CE631" s="182"/>
      <c r="CF631" s="182"/>
      <c r="CG631" s="182"/>
      <c r="CH631" s="182"/>
      <c r="CI631" s="182"/>
      <c r="CJ631" s="182"/>
      <c r="CK631" s="182"/>
      <c r="CL631" s="182"/>
      <c r="CM631" s="182"/>
      <c r="CN631" s="182"/>
      <c r="CO631" s="182"/>
      <c r="CP631" s="182"/>
      <c r="CQ631" s="182"/>
      <c r="CR631" s="182"/>
      <c r="CS631" s="182"/>
      <c r="CT631" s="182"/>
      <c r="CU631" s="182"/>
      <c r="CV631" s="182"/>
      <c r="CW631" s="182"/>
      <c r="CX631" s="182"/>
      <c r="CY631" s="182"/>
      <c r="CZ631" s="182"/>
      <c r="DA631" s="182"/>
      <c r="DB631" s="182"/>
      <c r="DC631" s="182"/>
      <c r="DD631" s="182"/>
      <c r="DE631" s="182"/>
      <c r="DF631" s="182"/>
      <c r="DG631" s="182"/>
      <c r="DH631" s="182"/>
      <c r="DI631" s="182"/>
      <c r="DJ631" s="182"/>
      <c r="DK631" s="182"/>
      <c r="DL631" s="182"/>
      <c r="DM631" s="182"/>
      <c r="DN631" s="182"/>
      <c r="DO631" s="182"/>
      <c r="DP631" s="182"/>
      <c r="DQ631" s="182"/>
      <c r="DR631" s="182"/>
      <c r="DS631" s="182"/>
      <c r="DT631" s="182"/>
      <c r="DU631" s="182"/>
      <c r="DV631" s="182"/>
      <c r="DW631" s="182"/>
      <c r="DX631" s="182"/>
      <c r="DY631" s="182"/>
      <c r="DZ631" s="182"/>
      <c r="EA631" s="182"/>
      <c r="EB631" s="182"/>
      <c r="EC631" s="182"/>
      <c r="ED631" s="182"/>
      <c r="EE631" s="182"/>
      <c r="EF631" s="182"/>
      <c r="EG631" s="182"/>
      <c r="EH631" s="182"/>
      <c r="EI631" s="182"/>
      <c r="EJ631" s="182"/>
      <c r="EK631" s="182"/>
      <c r="EL631" s="182"/>
      <c r="EM631" s="182"/>
      <c r="EN631" s="182"/>
      <c r="EO631" s="182"/>
      <c r="EP631" s="182"/>
      <c r="EQ631" s="182"/>
      <c r="ER631" s="182"/>
      <c r="ES631" s="182"/>
      <c r="ET631" s="182"/>
      <c r="EU631" s="182"/>
      <c r="EV631" s="182"/>
      <c r="EW631" s="182"/>
      <c r="EX631" s="182"/>
      <c r="EY631" s="182"/>
      <c r="EZ631" s="182"/>
      <c r="FA631" s="182"/>
      <c r="FB631" s="182"/>
      <c r="FC631" s="182"/>
      <c r="FD631" s="182"/>
      <c r="FE631" s="182"/>
      <c r="FF631" s="182"/>
      <c r="FG631" s="182"/>
      <c r="FH631" s="182"/>
      <c r="FI631" s="182"/>
      <c r="FJ631" s="182"/>
      <c r="FK631" s="182"/>
      <c r="FL631" s="182"/>
      <c r="FM631" s="182"/>
      <c r="FN631" s="182"/>
      <c r="FO631" s="182"/>
      <c r="FP631" s="182"/>
      <c r="FQ631" s="182"/>
      <c r="FR631" s="182"/>
      <c r="FS631" s="182"/>
      <c r="FT631" s="182"/>
      <c r="FU631" s="182"/>
      <c r="FV631" s="182"/>
      <c r="FW631" s="182"/>
      <c r="FX631" s="182"/>
      <c r="FY631" s="182"/>
      <c r="FZ631" s="182"/>
      <c r="GA631" s="182"/>
      <c r="GB631" s="182"/>
      <c r="GC631" s="182"/>
      <c r="GD631" s="182"/>
      <c r="GE631" s="182"/>
      <c r="GF631" s="182"/>
      <c r="GG631" s="182"/>
      <c r="GH631" s="182"/>
      <c r="GI631" s="182"/>
    </row>
    <row r="632" spans="1:191" s="183" customFormat="1" x14ac:dyDescent="0.2">
      <c r="A632" s="210" t="s">
        <v>38299</v>
      </c>
      <c r="B632" s="210" t="s">
        <v>20811</v>
      </c>
      <c r="C632" s="224" t="s">
        <v>22650</v>
      </c>
      <c r="D632" s="211" t="s">
        <v>16</v>
      </c>
      <c r="E632" s="211">
        <v>1</v>
      </c>
      <c r="F632" s="211"/>
      <c r="G632" s="211"/>
      <c r="H632" s="231">
        <v>10</v>
      </c>
      <c r="I632" s="213">
        <f t="shared" si="44"/>
        <v>8.3333333333333332E-3</v>
      </c>
      <c r="J632" s="272">
        <v>3439.26</v>
      </c>
      <c r="K632" s="113"/>
      <c r="L632" s="213"/>
      <c r="M632" s="112">
        <f t="shared" si="45"/>
        <v>28.66</v>
      </c>
      <c r="N632" s="112">
        <f t="shared" si="40"/>
        <v>859.8</v>
      </c>
      <c r="O632" s="114"/>
      <c r="P632" s="113"/>
      <c r="R632" s="203"/>
      <c r="S632" s="182"/>
      <c r="T632" s="182"/>
      <c r="U632" s="182"/>
      <c r="V632" s="182"/>
      <c r="W632" s="182"/>
      <c r="X632" s="182"/>
      <c r="Y632" s="182"/>
      <c r="Z632" s="182"/>
      <c r="AA632" s="182"/>
      <c r="AB632" s="182"/>
      <c r="AC632" s="182"/>
      <c r="AD632" s="182"/>
      <c r="AE632" s="182"/>
      <c r="AF632" s="182"/>
      <c r="AG632" s="182"/>
      <c r="AH632" s="182"/>
      <c r="AI632" s="182"/>
      <c r="AJ632" s="182"/>
      <c r="AK632" s="182"/>
      <c r="AL632" s="182"/>
      <c r="AM632" s="182"/>
      <c r="AN632" s="182"/>
      <c r="AO632" s="182"/>
      <c r="AP632" s="182"/>
      <c r="AQ632" s="182"/>
      <c r="AR632" s="182"/>
      <c r="AS632" s="182"/>
      <c r="AT632" s="182"/>
      <c r="AU632" s="182"/>
      <c r="AV632" s="182"/>
      <c r="AW632" s="182"/>
      <c r="AX632" s="182"/>
      <c r="AY632" s="182"/>
      <c r="AZ632" s="182"/>
      <c r="BA632" s="182"/>
      <c r="BB632" s="182"/>
      <c r="BC632" s="182"/>
      <c r="BD632" s="182"/>
      <c r="BE632" s="182"/>
      <c r="BF632" s="182"/>
      <c r="BG632" s="182"/>
      <c r="BH632" s="182"/>
      <c r="BI632" s="182"/>
      <c r="BJ632" s="182"/>
      <c r="BK632" s="182"/>
      <c r="BL632" s="182"/>
      <c r="BM632" s="182"/>
      <c r="BN632" s="182"/>
      <c r="BO632" s="182"/>
      <c r="BP632" s="182"/>
      <c r="BQ632" s="182"/>
      <c r="BR632" s="182"/>
      <c r="BS632" s="182"/>
      <c r="BT632" s="182"/>
      <c r="BU632" s="182"/>
      <c r="BV632" s="182"/>
      <c r="BW632" s="182"/>
      <c r="BX632" s="182"/>
      <c r="BY632" s="182"/>
      <c r="BZ632" s="182"/>
      <c r="CA632" s="182"/>
      <c r="CB632" s="182"/>
      <c r="CC632" s="182"/>
      <c r="CD632" s="182"/>
      <c r="CE632" s="182"/>
      <c r="CF632" s="182"/>
      <c r="CG632" s="182"/>
      <c r="CH632" s="182"/>
      <c r="CI632" s="182"/>
      <c r="CJ632" s="182"/>
      <c r="CK632" s="182"/>
      <c r="CL632" s="182"/>
      <c r="CM632" s="182"/>
      <c r="CN632" s="182"/>
      <c r="CO632" s="182"/>
      <c r="CP632" s="182"/>
      <c r="CQ632" s="182"/>
      <c r="CR632" s="182"/>
      <c r="CS632" s="182"/>
      <c r="CT632" s="182"/>
      <c r="CU632" s="182"/>
      <c r="CV632" s="182"/>
      <c r="CW632" s="182"/>
      <c r="CX632" s="182"/>
      <c r="CY632" s="182"/>
      <c r="CZ632" s="182"/>
      <c r="DA632" s="182"/>
      <c r="DB632" s="182"/>
      <c r="DC632" s="182"/>
      <c r="DD632" s="182"/>
      <c r="DE632" s="182"/>
      <c r="DF632" s="182"/>
      <c r="DG632" s="182"/>
      <c r="DH632" s="182"/>
      <c r="DI632" s="182"/>
      <c r="DJ632" s="182"/>
      <c r="DK632" s="182"/>
      <c r="DL632" s="182"/>
      <c r="DM632" s="182"/>
      <c r="DN632" s="182"/>
      <c r="DO632" s="182"/>
      <c r="DP632" s="182"/>
      <c r="DQ632" s="182"/>
      <c r="DR632" s="182"/>
      <c r="DS632" s="182"/>
      <c r="DT632" s="182"/>
      <c r="DU632" s="182"/>
      <c r="DV632" s="182"/>
      <c r="DW632" s="182"/>
      <c r="DX632" s="182"/>
      <c r="DY632" s="182"/>
      <c r="DZ632" s="182"/>
      <c r="EA632" s="182"/>
      <c r="EB632" s="182"/>
      <c r="EC632" s="182"/>
      <c r="ED632" s="182"/>
      <c r="EE632" s="182"/>
      <c r="EF632" s="182"/>
      <c r="EG632" s="182"/>
      <c r="EH632" s="182"/>
      <c r="EI632" s="182"/>
      <c r="EJ632" s="182"/>
      <c r="EK632" s="182"/>
      <c r="EL632" s="182"/>
      <c r="EM632" s="182"/>
      <c r="EN632" s="182"/>
      <c r="EO632" s="182"/>
      <c r="EP632" s="182"/>
      <c r="EQ632" s="182"/>
      <c r="ER632" s="182"/>
      <c r="ES632" s="182"/>
      <c r="ET632" s="182"/>
      <c r="EU632" s="182"/>
      <c r="EV632" s="182"/>
      <c r="EW632" s="182"/>
      <c r="EX632" s="182"/>
      <c r="EY632" s="182"/>
      <c r="EZ632" s="182"/>
      <c r="FA632" s="182"/>
      <c r="FB632" s="182"/>
      <c r="FC632" s="182"/>
      <c r="FD632" s="182"/>
      <c r="FE632" s="182"/>
      <c r="FF632" s="182"/>
      <c r="FG632" s="182"/>
      <c r="FH632" s="182"/>
      <c r="FI632" s="182"/>
      <c r="FJ632" s="182"/>
      <c r="FK632" s="182"/>
      <c r="FL632" s="182"/>
      <c r="FM632" s="182"/>
      <c r="FN632" s="182"/>
      <c r="FO632" s="182"/>
      <c r="FP632" s="182"/>
      <c r="FQ632" s="182"/>
      <c r="FR632" s="182"/>
      <c r="FS632" s="182"/>
      <c r="FT632" s="182"/>
      <c r="FU632" s="182"/>
      <c r="FV632" s="182"/>
      <c r="FW632" s="182"/>
      <c r="FX632" s="182"/>
      <c r="FY632" s="182"/>
      <c r="FZ632" s="182"/>
      <c r="GA632" s="182"/>
      <c r="GB632" s="182"/>
      <c r="GC632" s="182"/>
      <c r="GD632" s="182"/>
      <c r="GE632" s="182"/>
      <c r="GF632" s="182"/>
      <c r="GG632" s="182"/>
      <c r="GH632" s="182"/>
      <c r="GI632" s="182"/>
    </row>
    <row r="633" spans="1:191" s="183" customFormat="1" x14ac:dyDescent="0.2">
      <c r="A633" s="210" t="s">
        <v>38300</v>
      </c>
      <c r="B633" s="210" t="s">
        <v>20812</v>
      </c>
      <c r="C633" s="224" t="s">
        <v>22651</v>
      </c>
      <c r="D633" s="211" t="s">
        <v>16</v>
      </c>
      <c r="E633" s="211">
        <v>1</v>
      </c>
      <c r="F633" s="211"/>
      <c r="G633" s="211"/>
      <c r="H633" s="231">
        <v>10</v>
      </c>
      <c r="I633" s="213">
        <f t="shared" si="44"/>
        <v>8.3333333333333332E-3</v>
      </c>
      <c r="J633" s="272">
        <v>215.9</v>
      </c>
      <c r="K633" s="113"/>
      <c r="L633" s="213"/>
      <c r="M633" s="112">
        <f t="shared" si="45"/>
        <v>1.8</v>
      </c>
      <c r="N633" s="112">
        <f t="shared" si="40"/>
        <v>54</v>
      </c>
      <c r="O633" s="114"/>
      <c r="P633" s="113"/>
      <c r="R633" s="203"/>
      <c r="S633" s="182"/>
      <c r="T633" s="182"/>
      <c r="U633" s="182"/>
      <c r="V633" s="182"/>
      <c r="W633" s="182"/>
      <c r="X633" s="182"/>
      <c r="Y633" s="182"/>
      <c r="Z633" s="182"/>
      <c r="AA633" s="182"/>
      <c r="AB633" s="182"/>
      <c r="AC633" s="182"/>
      <c r="AD633" s="182"/>
      <c r="AE633" s="182"/>
      <c r="AF633" s="182"/>
      <c r="AG633" s="182"/>
      <c r="AH633" s="182"/>
      <c r="AI633" s="182"/>
      <c r="AJ633" s="182"/>
      <c r="AK633" s="182"/>
      <c r="AL633" s="182"/>
      <c r="AM633" s="182"/>
      <c r="AN633" s="182"/>
      <c r="AO633" s="182"/>
      <c r="AP633" s="182"/>
      <c r="AQ633" s="182"/>
      <c r="AR633" s="182"/>
      <c r="AS633" s="182"/>
      <c r="AT633" s="182"/>
      <c r="AU633" s="182"/>
      <c r="AV633" s="182"/>
      <c r="AW633" s="182"/>
      <c r="AX633" s="182"/>
      <c r="AY633" s="182"/>
      <c r="AZ633" s="182"/>
      <c r="BA633" s="182"/>
      <c r="BB633" s="182"/>
      <c r="BC633" s="182"/>
      <c r="BD633" s="182"/>
      <c r="BE633" s="182"/>
      <c r="BF633" s="182"/>
      <c r="BG633" s="182"/>
      <c r="BH633" s="182"/>
      <c r="BI633" s="182"/>
      <c r="BJ633" s="182"/>
      <c r="BK633" s="182"/>
      <c r="BL633" s="182"/>
      <c r="BM633" s="182"/>
      <c r="BN633" s="182"/>
      <c r="BO633" s="182"/>
      <c r="BP633" s="182"/>
      <c r="BQ633" s="182"/>
      <c r="BR633" s="182"/>
      <c r="BS633" s="182"/>
      <c r="BT633" s="182"/>
      <c r="BU633" s="182"/>
      <c r="BV633" s="182"/>
      <c r="BW633" s="182"/>
      <c r="BX633" s="182"/>
      <c r="BY633" s="182"/>
      <c r="BZ633" s="182"/>
      <c r="CA633" s="182"/>
      <c r="CB633" s="182"/>
      <c r="CC633" s="182"/>
      <c r="CD633" s="182"/>
      <c r="CE633" s="182"/>
      <c r="CF633" s="182"/>
      <c r="CG633" s="182"/>
      <c r="CH633" s="182"/>
      <c r="CI633" s="182"/>
      <c r="CJ633" s="182"/>
      <c r="CK633" s="182"/>
      <c r="CL633" s="182"/>
      <c r="CM633" s="182"/>
      <c r="CN633" s="182"/>
      <c r="CO633" s="182"/>
      <c r="CP633" s="182"/>
      <c r="CQ633" s="182"/>
      <c r="CR633" s="182"/>
      <c r="CS633" s="182"/>
      <c r="CT633" s="182"/>
      <c r="CU633" s="182"/>
      <c r="CV633" s="182"/>
      <c r="CW633" s="182"/>
      <c r="CX633" s="182"/>
      <c r="CY633" s="182"/>
      <c r="CZ633" s="182"/>
      <c r="DA633" s="182"/>
      <c r="DB633" s="182"/>
      <c r="DC633" s="182"/>
      <c r="DD633" s="182"/>
      <c r="DE633" s="182"/>
      <c r="DF633" s="182"/>
      <c r="DG633" s="182"/>
      <c r="DH633" s="182"/>
      <c r="DI633" s="182"/>
      <c r="DJ633" s="182"/>
      <c r="DK633" s="182"/>
      <c r="DL633" s="182"/>
      <c r="DM633" s="182"/>
      <c r="DN633" s="182"/>
      <c r="DO633" s="182"/>
      <c r="DP633" s="182"/>
      <c r="DQ633" s="182"/>
      <c r="DR633" s="182"/>
      <c r="DS633" s="182"/>
      <c r="DT633" s="182"/>
      <c r="DU633" s="182"/>
      <c r="DV633" s="182"/>
      <c r="DW633" s="182"/>
      <c r="DX633" s="182"/>
      <c r="DY633" s="182"/>
      <c r="DZ633" s="182"/>
      <c r="EA633" s="182"/>
      <c r="EB633" s="182"/>
      <c r="EC633" s="182"/>
      <c r="ED633" s="182"/>
      <c r="EE633" s="182"/>
      <c r="EF633" s="182"/>
      <c r="EG633" s="182"/>
      <c r="EH633" s="182"/>
      <c r="EI633" s="182"/>
      <c r="EJ633" s="182"/>
      <c r="EK633" s="182"/>
      <c r="EL633" s="182"/>
      <c r="EM633" s="182"/>
      <c r="EN633" s="182"/>
      <c r="EO633" s="182"/>
      <c r="EP633" s="182"/>
      <c r="EQ633" s="182"/>
      <c r="ER633" s="182"/>
      <c r="ES633" s="182"/>
      <c r="ET633" s="182"/>
      <c r="EU633" s="182"/>
      <c r="EV633" s="182"/>
      <c r="EW633" s="182"/>
      <c r="EX633" s="182"/>
      <c r="EY633" s="182"/>
      <c r="EZ633" s="182"/>
      <c r="FA633" s="182"/>
      <c r="FB633" s="182"/>
      <c r="FC633" s="182"/>
      <c r="FD633" s="182"/>
      <c r="FE633" s="182"/>
      <c r="FF633" s="182"/>
      <c r="FG633" s="182"/>
      <c r="FH633" s="182"/>
      <c r="FI633" s="182"/>
      <c r="FJ633" s="182"/>
      <c r="FK633" s="182"/>
      <c r="FL633" s="182"/>
      <c r="FM633" s="182"/>
      <c r="FN633" s="182"/>
      <c r="FO633" s="182"/>
      <c r="FP633" s="182"/>
      <c r="FQ633" s="182"/>
      <c r="FR633" s="182"/>
      <c r="FS633" s="182"/>
      <c r="FT633" s="182"/>
      <c r="FU633" s="182"/>
      <c r="FV633" s="182"/>
      <c r="FW633" s="182"/>
      <c r="FX633" s="182"/>
      <c r="FY633" s="182"/>
      <c r="FZ633" s="182"/>
      <c r="GA633" s="182"/>
      <c r="GB633" s="182"/>
      <c r="GC633" s="182"/>
      <c r="GD633" s="182"/>
      <c r="GE633" s="182"/>
      <c r="GF633" s="182"/>
      <c r="GG633" s="182"/>
      <c r="GH633" s="182"/>
      <c r="GI633" s="182"/>
    </row>
    <row r="634" spans="1:191" s="183" customFormat="1" x14ac:dyDescent="0.2">
      <c r="A634" s="210" t="s">
        <v>38301</v>
      </c>
      <c r="B634" s="210" t="s">
        <v>20813</v>
      </c>
      <c r="C634" s="224" t="s">
        <v>22652</v>
      </c>
      <c r="D634" s="211" t="s">
        <v>468</v>
      </c>
      <c r="E634" s="211">
        <v>1</v>
      </c>
      <c r="F634" s="211"/>
      <c r="G634" s="211"/>
      <c r="H634" s="231">
        <v>5</v>
      </c>
      <c r="I634" s="213">
        <f t="shared" si="44"/>
        <v>1.6666666666666666E-2</v>
      </c>
      <c r="J634" s="272">
        <v>9804.02</v>
      </c>
      <c r="K634" s="113"/>
      <c r="L634" s="213"/>
      <c r="M634" s="112">
        <f t="shared" si="45"/>
        <v>163.4</v>
      </c>
      <c r="N634" s="112">
        <f t="shared" si="40"/>
        <v>4902</v>
      </c>
      <c r="O634" s="114"/>
      <c r="P634" s="113"/>
      <c r="R634" s="203"/>
      <c r="S634" s="182"/>
      <c r="T634" s="182"/>
      <c r="U634" s="182"/>
      <c r="V634" s="182"/>
      <c r="W634" s="182"/>
      <c r="X634" s="182"/>
      <c r="Y634" s="182"/>
      <c r="Z634" s="182"/>
      <c r="AA634" s="182"/>
      <c r="AB634" s="182"/>
      <c r="AC634" s="182"/>
      <c r="AD634" s="182"/>
      <c r="AE634" s="182"/>
      <c r="AF634" s="182"/>
      <c r="AG634" s="182"/>
      <c r="AH634" s="182"/>
      <c r="AI634" s="182"/>
      <c r="AJ634" s="182"/>
      <c r="AK634" s="182"/>
      <c r="AL634" s="182"/>
      <c r="AM634" s="182"/>
      <c r="AN634" s="182"/>
      <c r="AO634" s="182"/>
      <c r="AP634" s="182"/>
      <c r="AQ634" s="182"/>
      <c r="AR634" s="182"/>
      <c r="AS634" s="182"/>
      <c r="AT634" s="182"/>
      <c r="AU634" s="182"/>
      <c r="AV634" s="182"/>
      <c r="AW634" s="182"/>
      <c r="AX634" s="182"/>
      <c r="AY634" s="182"/>
      <c r="AZ634" s="182"/>
      <c r="BA634" s="182"/>
      <c r="BB634" s="182"/>
      <c r="BC634" s="182"/>
      <c r="BD634" s="182"/>
      <c r="BE634" s="182"/>
      <c r="BF634" s="182"/>
      <c r="BG634" s="182"/>
      <c r="BH634" s="182"/>
      <c r="BI634" s="182"/>
      <c r="BJ634" s="182"/>
      <c r="BK634" s="182"/>
      <c r="BL634" s="182"/>
      <c r="BM634" s="182"/>
      <c r="BN634" s="182"/>
      <c r="BO634" s="182"/>
      <c r="BP634" s="182"/>
      <c r="BQ634" s="182"/>
      <c r="BR634" s="182"/>
      <c r="BS634" s="182"/>
      <c r="BT634" s="182"/>
      <c r="BU634" s="182"/>
      <c r="BV634" s="182"/>
      <c r="BW634" s="182"/>
      <c r="BX634" s="182"/>
      <c r="BY634" s="182"/>
      <c r="BZ634" s="182"/>
      <c r="CA634" s="182"/>
      <c r="CB634" s="182"/>
      <c r="CC634" s="182"/>
      <c r="CD634" s="182"/>
      <c r="CE634" s="182"/>
      <c r="CF634" s="182"/>
      <c r="CG634" s="182"/>
      <c r="CH634" s="182"/>
      <c r="CI634" s="182"/>
      <c r="CJ634" s="182"/>
      <c r="CK634" s="182"/>
      <c r="CL634" s="182"/>
      <c r="CM634" s="182"/>
      <c r="CN634" s="182"/>
      <c r="CO634" s="182"/>
      <c r="CP634" s="182"/>
      <c r="CQ634" s="182"/>
      <c r="CR634" s="182"/>
      <c r="CS634" s="182"/>
      <c r="CT634" s="182"/>
      <c r="CU634" s="182"/>
      <c r="CV634" s="182"/>
      <c r="CW634" s="182"/>
      <c r="CX634" s="182"/>
      <c r="CY634" s="182"/>
      <c r="CZ634" s="182"/>
      <c r="DA634" s="182"/>
      <c r="DB634" s="182"/>
      <c r="DC634" s="182"/>
      <c r="DD634" s="182"/>
      <c r="DE634" s="182"/>
      <c r="DF634" s="182"/>
      <c r="DG634" s="182"/>
      <c r="DH634" s="182"/>
      <c r="DI634" s="182"/>
      <c r="DJ634" s="182"/>
      <c r="DK634" s="182"/>
      <c r="DL634" s="182"/>
      <c r="DM634" s="182"/>
      <c r="DN634" s="182"/>
      <c r="DO634" s="182"/>
      <c r="DP634" s="182"/>
      <c r="DQ634" s="182"/>
      <c r="DR634" s="182"/>
      <c r="DS634" s="182"/>
      <c r="DT634" s="182"/>
      <c r="DU634" s="182"/>
      <c r="DV634" s="182"/>
      <c r="DW634" s="182"/>
      <c r="DX634" s="182"/>
      <c r="DY634" s="182"/>
      <c r="DZ634" s="182"/>
      <c r="EA634" s="182"/>
      <c r="EB634" s="182"/>
      <c r="EC634" s="182"/>
      <c r="ED634" s="182"/>
      <c r="EE634" s="182"/>
      <c r="EF634" s="182"/>
      <c r="EG634" s="182"/>
      <c r="EH634" s="182"/>
      <c r="EI634" s="182"/>
      <c r="EJ634" s="182"/>
      <c r="EK634" s="182"/>
      <c r="EL634" s="182"/>
      <c r="EM634" s="182"/>
      <c r="EN634" s="182"/>
      <c r="EO634" s="182"/>
      <c r="EP634" s="182"/>
      <c r="EQ634" s="182"/>
      <c r="ER634" s="182"/>
      <c r="ES634" s="182"/>
      <c r="ET634" s="182"/>
      <c r="EU634" s="182"/>
      <c r="EV634" s="182"/>
      <c r="EW634" s="182"/>
      <c r="EX634" s="182"/>
      <c r="EY634" s="182"/>
      <c r="EZ634" s="182"/>
      <c r="FA634" s="182"/>
      <c r="FB634" s="182"/>
      <c r="FC634" s="182"/>
      <c r="FD634" s="182"/>
      <c r="FE634" s="182"/>
      <c r="FF634" s="182"/>
      <c r="FG634" s="182"/>
      <c r="FH634" s="182"/>
      <c r="FI634" s="182"/>
      <c r="FJ634" s="182"/>
      <c r="FK634" s="182"/>
      <c r="FL634" s="182"/>
      <c r="FM634" s="182"/>
      <c r="FN634" s="182"/>
      <c r="FO634" s="182"/>
      <c r="FP634" s="182"/>
      <c r="FQ634" s="182"/>
      <c r="FR634" s="182"/>
      <c r="FS634" s="182"/>
      <c r="FT634" s="182"/>
      <c r="FU634" s="182"/>
      <c r="FV634" s="182"/>
      <c r="FW634" s="182"/>
      <c r="FX634" s="182"/>
      <c r="FY634" s="182"/>
      <c r="FZ634" s="182"/>
      <c r="GA634" s="182"/>
      <c r="GB634" s="182"/>
      <c r="GC634" s="182"/>
      <c r="GD634" s="182"/>
      <c r="GE634" s="182"/>
      <c r="GF634" s="182"/>
      <c r="GG634" s="182"/>
      <c r="GH634" s="182"/>
      <c r="GI634" s="182"/>
    </row>
    <row r="635" spans="1:191" s="183" customFormat="1" x14ac:dyDescent="0.2">
      <c r="A635" s="210" t="s">
        <v>38302</v>
      </c>
      <c r="B635" s="210" t="s">
        <v>20814</v>
      </c>
      <c r="C635" s="224" t="s">
        <v>22653</v>
      </c>
      <c r="D635" s="211" t="s">
        <v>468</v>
      </c>
      <c r="E635" s="211">
        <v>2</v>
      </c>
      <c r="F635" s="211"/>
      <c r="G635" s="211"/>
      <c r="H635" s="231">
        <v>5</v>
      </c>
      <c r="I635" s="213">
        <f t="shared" si="44"/>
        <v>1.6666666666666666E-2</v>
      </c>
      <c r="J635" s="272">
        <v>2408.41</v>
      </c>
      <c r="K635" s="113"/>
      <c r="L635" s="213"/>
      <c r="M635" s="112">
        <f t="shared" si="45"/>
        <v>80.28</v>
      </c>
      <c r="N635" s="112">
        <f t="shared" si="40"/>
        <v>2408.4</v>
      </c>
      <c r="O635" s="114"/>
      <c r="P635" s="113"/>
      <c r="R635" s="203"/>
      <c r="S635" s="182"/>
      <c r="T635" s="182"/>
      <c r="U635" s="182"/>
      <c r="V635" s="182"/>
      <c r="W635" s="182"/>
      <c r="X635" s="182"/>
      <c r="Y635" s="182"/>
      <c r="Z635" s="182"/>
      <c r="AA635" s="182"/>
      <c r="AB635" s="182"/>
      <c r="AC635" s="182"/>
      <c r="AD635" s="182"/>
      <c r="AE635" s="182"/>
      <c r="AF635" s="182"/>
      <c r="AG635" s="182"/>
      <c r="AH635" s="182"/>
      <c r="AI635" s="182"/>
      <c r="AJ635" s="182"/>
      <c r="AK635" s="182"/>
      <c r="AL635" s="182"/>
      <c r="AM635" s="182"/>
      <c r="AN635" s="182"/>
      <c r="AO635" s="182"/>
      <c r="AP635" s="182"/>
      <c r="AQ635" s="182"/>
      <c r="AR635" s="182"/>
      <c r="AS635" s="182"/>
      <c r="AT635" s="182"/>
      <c r="AU635" s="182"/>
      <c r="AV635" s="182"/>
      <c r="AW635" s="182"/>
      <c r="AX635" s="182"/>
      <c r="AY635" s="182"/>
      <c r="AZ635" s="182"/>
      <c r="BA635" s="182"/>
      <c r="BB635" s="182"/>
      <c r="BC635" s="182"/>
      <c r="BD635" s="182"/>
      <c r="BE635" s="182"/>
      <c r="BF635" s="182"/>
      <c r="BG635" s="182"/>
      <c r="BH635" s="182"/>
      <c r="BI635" s="182"/>
      <c r="BJ635" s="182"/>
      <c r="BK635" s="182"/>
      <c r="BL635" s="182"/>
      <c r="BM635" s="182"/>
      <c r="BN635" s="182"/>
      <c r="BO635" s="182"/>
      <c r="BP635" s="182"/>
      <c r="BQ635" s="182"/>
      <c r="BR635" s="182"/>
      <c r="BS635" s="182"/>
      <c r="BT635" s="182"/>
      <c r="BU635" s="182"/>
      <c r="BV635" s="182"/>
      <c r="BW635" s="182"/>
      <c r="BX635" s="182"/>
      <c r="BY635" s="182"/>
      <c r="BZ635" s="182"/>
      <c r="CA635" s="182"/>
      <c r="CB635" s="182"/>
      <c r="CC635" s="182"/>
      <c r="CD635" s="182"/>
      <c r="CE635" s="182"/>
      <c r="CF635" s="182"/>
      <c r="CG635" s="182"/>
      <c r="CH635" s="182"/>
      <c r="CI635" s="182"/>
      <c r="CJ635" s="182"/>
      <c r="CK635" s="182"/>
      <c r="CL635" s="182"/>
      <c r="CM635" s="182"/>
      <c r="CN635" s="182"/>
      <c r="CO635" s="182"/>
      <c r="CP635" s="182"/>
      <c r="CQ635" s="182"/>
      <c r="CR635" s="182"/>
      <c r="CS635" s="182"/>
      <c r="CT635" s="182"/>
      <c r="CU635" s="182"/>
      <c r="CV635" s="182"/>
      <c r="CW635" s="182"/>
      <c r="CX635" s="182"/>
      <c r="CY635" s="182"/>
      <c r="CZ635" s="182"/>
      <c r="DA635" s="182"/>
      <c r="DB635" s="182"/>
      <c r="DC635" s="182"/>
      <c r="DD635" s="182"/>
      <c r="DE635" s="182"/>
      <c r="DF635" s="182"/>
      <c r="DG635" s="182"/>
      <c r="DH635" s="182"/>
      <c r="DI635" s="182"/>
      <c r="DJ635" s="182"/>
      <c r="DK635" s="182"/>
      <c r="DL635" s="182"/>
      <c r="DM635" s="182"/>
      <c r="DN635" s="182"/>
      <c r="DO635" s="182"/>
      <c r="DP635" s="182"/>
      <c r="DQ635" s="182"/>
      <c r="DR635" s="182"/>
      <c r="DS635" s="182"/>
      <c r="DT635" s="182"/>
      <c r="DU635" s="182"/>
      <c r="DV635" s="182"/>
      <c r="DW635" s="182"/>
      <c r="DX635" s="182"/>
      <c r="DY635" s="182"/>
      <c r="DZ635" s="182"/>
      <c r="EA635" s="182"/>
      <c r="EB635" s="182"/>
      <c r="EC635" s="182"/>
      <c r="ED635" s="182"/>
      <c r="EE635" s="182"/>
      <c r="EF635" s="182"/>
      <c r="EG635" s="182"/>
      <c r="EH635" s="182"/>
      <c r="EI635" s="182"/>
      <c r="EJ635" s="182"/>
      <c r="EK635" s="182"/>
      <c r="EL635" s="182"/>
      <c r="EM635" s="182"/>
      <c r="EN635" s="182"/>
      <c r="EO635" s="182"/>
      <c r="EP635" s="182"/>
      <c r="EQ635" s="182"/>
      <c r="ER635" s="182"/>
      <c r="ES635" s="182"/>
      <c r="ET635" s="182"/>
      <c r="EU635" s="182"/>
      <c r="EV635" s="182"/>
      <c r="EW635" s="182"/>
      <c r="EX635" s="182"/>
      <c r="EY635" s="182"/>
      <c r="EZ635" s="182"/>
      <c r="FA635" s="182"/>
      <c r="FB635" s="182"/>
      <c r="FC635" s="182"/>
      <c r="FD635" s="182"/>
      <c r="FE635" s="182"/>
      <c r="FF635" s="182"/>
      <c r="FG635" s="182"/>
      <c r="FH635" s="182"/>
      <c r="FI635" s="182"/>
      <c r="FJ635" s="182"/>
      <c r="FK635" s="182"/>
      <c r="FL635" s="182"/>
      <c r="FM635" s="182"/>
      <c r="FN635" s="182"/>
      <c r="FO635" s="182"/>
      <c r="FP635" s="182"/>
      <c r="FQ635" s="182"/>
      <c r="FR635" s="182"/>
      <c r="FS635" s="182"/>
      <c r="FT635" s="182"/>
      <c r="FU635" s="182"/>
      <c r="FV635" s="182"/>
      <c r="FW635" s="182"/>
      <c r="FX635" s="182"/>
      <c r="FY635" s="182"/>
      <c r="FZ635" s="182"/>
      <c r="GA635" s="182"/>
      <c r="GB635" s="182"/>
      <c r="GC635" s="182"/>
      <c r="GD635" s="182"/>
      <c r="GE635" s="182"/>
      <c r="GF635" s="182"/>
      <c r="GG635" s="182"/>
      <c r="GH635" s="182"/>
      <c r="GI635" s="182"/>
    </row>
    <row r="636" spans="1:191" s="183" customFormat="1" x14ac:dyDescent="0.2">
      <c r="A636" s="210" t="s">
        <v>38303</v>
      </c>
      <c r="B636" s="210" t="s">
        <v>20815</v>
      </c>
      <c r="C636" s="224" t="s">
        <v>22654</v>
      </c>
      <c r="D636" s="211" t="s">
        <v>468</v>
      </c>
      <c r="E636" s="211">
        <v>3</v>
      </c>
      <c r="F636" s="211"/>
      <c r="G636" s="211"/>
      <c r="H636" s="231">
        <v>5</v>
      </c>
      <c r="I636" s="213">
        <f t="shared" si="44"/>
        <v>1.6666666666666666E-2</v>
      </c>
      <c r="J636" s="272">
        <v>840.48</v>
      </c>
      <c r="K636" s="113"/>
      <c r="L636" s="213"/>
      <c r="M636" s="112">
        <f t="shared" si="45"/>
        <v>42.02</v>
      </c>
      <c r="N636" s="112">
        <f t="shared" si="40"/>
        <v>1260.5999999999999</v>
      </c>
      <c r="O636" s="114"/>
      <c r="P636" s="113"/>
      <c r="R636" s="203"/>
      <c r="S636" s="182"/>
      <c r="T636" s="182"/>
      <c r="U636" s="182"/>
      <c r="V636" s="182"/>
      <c r="W636" s="182"/>
      <c r="X636" s="182"/>
      <c r="Y636" s="182"/>
      <c r="Z636" s="182"/>
      <c r="AA636" s="182"/>
      <c r="AB636" s="182"/>
      <c r="AC636" s="182"/>
      <c r="AD636" s="182"/>
      <c r="AE636" s="182"/>
      <c r="AF636" s="182"/>
      <c r="AG636" s="182"/>
      <c r="AH636" s="182"/>
      <c r="AI636" s="182"/>
      <c r="AJ636" s="182"/>
      <c r="AK636" s="182"/>
      <c r="AL636" s="182"/>
      <c r="AM636" s="182"/>
      <c r="AN636" s="182"/>
      <c r="AO636" s="182"/>
      <c r="AP636" s="182"/>
      <c r="AQ636" s="182"/>
      <c r="AR636" s="182"/>
      <c r="AS636" s="182"/>
      <c r="AT636" s="182"/>
      <c r="AU636" s="182"/>
      <c r="AV636" s="182"/>
      <c r="AW636" s="182"/>
      <c r="AX636" s="182"/>
      <c r="AY636" s="182"/>
      <c r="AZ636" s="182"/>
      <c r="BA636" s="182"/>
      <c r="BB636" s="182"/>
      <c r="BC636" s="182"/>
      <c r="BD636" s="182"/>
      <c r="BE636" s="182"/>
      <c r="BF636" s="182"/>
      <c r="BG636" s="182"/>
      <c r="BH636" s="182"/>
      <c r="BI636" s="182"/>
      <c r="BJ636" s="182"/>
      <c r="BK636" s="182"/>
      <c r="BL636" s="182"/>
      <c r="BM636" s="182"/>
      <c r="BN636" s="182"/>
      <c r="BO636" s="182"/>
      <c r="BP636" s="182"/>
      <c r="BQ636" s="182"/>
      <c r="BR636" s="182"/>
      <c r="BS636" s="182"/>
      <c r="BT636" s="182"/>
      <c r="BU636" s="182"/>
      <c r="BV636" s="182"/>
      <c r="BW636" s="182"/>
      <c r="BX636" s="182"/>
      <c r="BY636" s="182"/>
      <c r="BZ636" s="182"/>
      <c r="CA636" s="182"/>
      <c r="CB636" s="182"/>
      <c r="CC636" s="182"/>
      <c r="CD636" s="182"/>
      <c r="CE636" s="182"/>
      <c r="CF636" s="182"/>
      <c r="CG636" s="182"/>
      <c r="CH636" s="182"/>
      <c r="CI636" s="182"/>
      <c r="CJ636" s="182"/>
      <c r="CK636" s="182"/>
      <c r="CL636" s="182"/>
      <c r="CM636" s="182"/>
      <c r="CN636" s="182"/>
      <c r="CO636" s="182"/>
      <c r="CP636" s="182"/>
      <c r="CQ636" s="182"/>
      <c r="CR636" s="182"/>
      <c r="CS636" s="182"/>
      <c r="CT636" s="182"/>
      <c r="CU636" s="182"/>
      <c r="CV636" s="182"/>
      <c r="CW636" s="182"/>
      <c r="CX636" s="182"/>
      <c r="CY636" s="182"/>
      <c r="CZ636" s="182"/>
      <c r="DA636" s="182"/>
      <c r="DB636" s="182"/>
      <c r="DC636" s="182"/>
      <c r="DD636" s="182"/>
      <c r="DE636" s="182"/>
      <c r="DF636" s="182"/>
      <c r="DG636" s="182"/>
      <c r="DH636" s="182"/>
      <c r="DI636" s="182"/>
      <c r="DJ636" s="182"/>
      <c r="DK636" s="182"/>
      <c r="DL636" s="182"/>
      <c r="DM636" s="182"/>
      <c r="DN636" s="182"/>
      <c r="DO636" s="182"/>
      <c r="DP636" s="182"/>
      <c r="DQ636" s="182"/>
      <c r="DR636" s="182"/>
      <c r="DS636" s="182"/>
      <c r="DT636" s="182"/>
      <c r="DU636" s="182"/>
      <c r="DV636" s="182"/>
      <c r="DW636" s="182"/>
      <c r="DX636" s="182"/>
      <c r="DY636" s="182"/>
      <c r="DZ636" s="182"/>
      <c r="EA636" s="182"/>
      <c r="EB636" s="182"/>
      <c r="EC636" s="182"/>
      <c r="ED636" s="182"/>
      <c r="EE636" s="182"/>
      <c r="EF636" s="182"/>
      <c r="EG636" s="182"/>
      <c r="EH636" s="182"/>
      <c r="EI636" s="182"/>
      <c r="EJ636" s="182"/>
      <c r="EK636" s="182"/>
      <c r="EL636" s="182"/>
      <c r="EM636" s="182"/>
      <c r="EN636" s="182"/>
      <c r="EO636" s="182"/>
      <c r="EP636" s="182"/>
      <c r="EQ636" s="182"/>
      <c r="ER636" s="182"/>
      <c r="ES636" s="182"/>
      <c r="ET636" s="182"/>
      <c r="EU636" s="182"/>
      <c r="EV636" s="182"/>
      <c r="EW636" s="182"/>
      <c r="EX636" s="182"/>
      <c r="EY636" s="182"/>
      <c r="EZ636" s="182"/>
      <c r="FA636" s="182"/>
      <c r="FB636" s="182"/>
      <c r="FC636" s="182"/>
      <c r="FD636" s="182"/>
      <c r="FE636" s="182"/>
      <c r="FF636" s="182"/>
      <c r="FG636" s="182"/>
      <c r="FH636" s="182"/>
      <c r="FI636" s="182"/>
      <c r="FJ636" s="182"/>
      <c r="FK636" s="182"/>
      <c r="FL636" s="182"/>
      <c r="FM636" s="182"/>
      <c r="FN636" s="182"/>
      <c r="FO636" s="182"/>
      <c r="FP636" s="182"/>
      <c r="FQ636" s="182"/>
      <c r="FR636" s="182"/>
      <c r="FS636" s="182"/>
      <c r="FT636" s="182"/>
      <c r="FU636" s="182"/>
      <c r="FV636" s="182"/>
      <c r="FW636" s="182"/>
      <c r="FX636" s="182"/>
      <c r="FY636" s="182"/>
      <c r="FZ636" s="182"/>
      <c r="GA636" s="182"/>
      <c r="GB636" s="182"/>
      <c r="GC636" s="182"/>
      <c r="GD636" s="182"/>
      <c r="GE636" s="182"/>
      <c r="GF636" s="182"/>
      <c r="GG636" s="182"/>
      <c r="GH636" s="182"/>
      <c r="GI636" s="182"/>
    </row>
    <row r="637" spans="1:191" s="183" customFormat="1" x14ac:dyDescent="0.2">
      <c r="A637" s="210" t="s">
        <v>38304</v>
      </c>
      <c r="B637" s="210" t="s">
        <v>20816</v>
      </c>
      <c r="C637" s="224" t="s">
        <v>22655</v>
      </c>
      <c r="D637" s="211" t="s">
        <v>16</v>
      </c>
      <c r="E637" s="211">
        <v>1</v>
      </c>
      <c r="F637" s="211"/>
      <c r="G637" s="211"/>
      <c r="H637" s="231">
        <v>5</v>
      </c>
      <c r="I637" s="213">
        <f t="shared" si="44"/>
        <v>1.6666666666666666E-2</v>
      </c>
      <c r="J637" s="272">
        <v>106.29</v>
      </c>
      <c r="K637" s="113"/>
      <c r="L637" s="213"/>
      <c r="M637" s="112">
        <f t="shared" si="45"/>
        <v>1.77</v>
      </c>
      <c r="N637" s="112">
        <f t="shared" si="40"/>
        <v>53.1</v>
      </c>
      <c r="O637" s="114"/>
      <c r="P637" s="113"/>
      <c r="R637" s="203"/>
      <c r="S637" s="182"/>
      <c r="T637" s="182"/>
      <c r="U637" s="182"/>
      <c r="V637" s="182"/>
      <c r="W637" s="182"/>
      <c r="X637" s="182"/>
      <c r="Y637" s="182"/>
      <c r="Z637" s="182"/>
      <c r="AA637" s="182"/>
      <c r="AB637" s="182"/>
      <c r="AC637" s="182"/>
      <c r="AD637" s="182"/>
      <c r="AE637" s="182"/>
      <c r="AF637" s="182"/>
      <c r="AG637" s="182"/>
      <c r="AH637" s="182"/>
      <c r="AI637" s="182"/>
      <c r="AJ637" s="182"/>
      <c r="AK637" s="182"/>
      <c r="AL637" s="182"/>
      <c r="AM637" s="182"/>
      <c r="AN637" s="182"/>
      <c r="AO637" s="182"/>
      <c r="AP637" s="182"/>
      <c r="AQ637" s="182"/>
      <c r="AR637" s="182"/>
      <c r="AS637" s="182"/>
      <c r="AT637" s="182"/>
      <c r="AU637" s="182"/>
      <c r="AV637" s="182"/>
      <c r="AW637" s="182"/>
      <c r="AX637" s="182"/>
      <c r="AY637" s="182"/>
      <c r="AZ637" s="182"/>
      <c r="BA637" s="182"/>
      <c r="BB637" s="182"/>
      <c r="BC637" s="182"/>
      <c r="BD637" s="182"/>
      <c r="BE637" s="182"/>
      <c r="BF637" s="182"/>
      <c r="BG637" s="182"/>
      <c r="BH637" s="182"/>
      <c r="BI637" s="182"/>
      <c r="BJ637" s="182"/>
      <c r="BK637" s="182"/>
      <c r="BL637" s="182"/>
      <c r="BM637" s="182"/>
      <c r="BN637" s="182"/>
      <c r="BO637" s="182"/>
      <c r="BP637" s="182"/>
      <c r="BQ637" s="182"/>
      <c r="BR637" s="182"/>
      <c r="BS637" s="182"/>
      <c r="BT637" s="182"/>
      <c r="BU637" s="182"/>
      <c r="BV637" s="182"/>
      <c r="BW637" s="182"/>
      <c r="BX637" s="182"/>
      <c r="BY637" s="182"/>
      <c r="BZ637" s="182"/>
      <c r="CA637" s="182"/>
      <c r="CB637" s="182"/>
      <c r="CC637" s="182"/>
      <c r="CD637" s="182"/>
      <c r="CE637" s="182"/>
      <c r="CF637" s="182"/>
      <c r="CG637" s="182"/>
      <c r="CH637" s="182"/>
      <c r="CI637" s="182"/>
      <c r="CJ637" s="182"/>
      <c r="CK637" s="182"/>
      <c r="CL637" s="182"/>
      <c r="CM637" s="182"/>
      <c r="CN637" s="182"/>
      <c r="CO637" s="182"/>
      <c r="CP637" s="182"/>
      <c r="CQ637" s="182"/>
      <c r="CR637" s="182"/>
      <c r="CS637" s="182"/>
      <c r="CT637" s="182"/>
      <c r="CU637" s="182"/>
      <c r="CV637" s="182"/>
      <c r="CW637" s="182"/>
      <c r="CX637" s="182"/>
      <c r="CY637" s="182"/>
      <c r="CZ637" s="182"/>
      <c r="DA637" s="182"/>
      <c r="DB637" s="182"/>
      <c r="DC637" s="182"/>
      <c r="DD637" s="182"/>
      <c r="DE637" s="182"/>
      <c r="DF637" s="182"/>
      <c r="DG637" s="182"/>
      <c r="DH637" s="182"/>
      <c r="DI637" s="182"/>
      <c r="DJ637" s="182"/>
      <c r="DK637" s="182"/>
      <c r="DL637" s="182"/>
      <c r="DM637" s="182"/>
      <c r="DN637" s="182"/>
      <c r="DO637" s="182"/>
      <c r="DP637" s="182"/>
      <c r="DQ637" s="182"/>
      <c r="DR637" s="182"/>
      <c r="DS637" s="182"/>
      <c r="DT637" s="182"/>
      <c r="DU637" s="182"/>
      <c r="DV637" s="182"/>
      <c r="DW637" s="182"/>
      <c r="DX637" s="182"/>
      <c r="DY637" s="182"/>
      <c r="DZ637" s="182"/>
      <c r="EA637" s="182"/>
      <c r="EB637" s="182"/>
      <c r="EC637" s="182"/>
      <c r="ED637" s="182"/>
      <c r="EE637" s="182"/>
      <c r="EF637" s="182"/>
      <c r="EG637" s="182"/>
      <c r="EH637" s="182"/>
      <c r="EI637" s="182"/>
      <c r="EJ637" s="182"/>
      <c r="EK637" s="182"/>
      <c r="EL637" s="182"/>
      <c r="EM637" s="182"/>
      <c r="EN637" s="182"/>
      <c r="EO637" s="182"/>
      <c r="EP637" s="182"/>
      <c r="EQ637" s="182"/>
      <c r="ER637" s="182"/>
      <c r="ES637" s="182"/>
      <c r="ET637" s="182"/>
      <c r="EU637" s="182"/>
      <c r="EV637" s="182"/>
      <c r="EW637" s="182"/>
      <c r="EX637" s="182"/>
      <c r="EY637" s="182"/>
      <c r="EZ637" s="182"/>
      <c r="FA637" s="182"/>
      <c r="FB637" s="182"/>
      <c r="FC637" s="182"/>
      <c r="FD637" s="182"/>
      <c r="FE637" s="182"/>
      <c r="FF637" s="182"/>
      <c r="FG637" s="182"/>
      <c r="FH637" s="182"/>
      <c r="FI637" s="182"/>
      <c r="FJ637" s="182"/>
      <c r="FK637" s="182"/>
      <c r="FL637" s="182"/>
      <c r="FM637" s="182"/>
      <c r="FN637" s="182"/>
      <c r="FO637" s="182"/>
      <c r="FP637" s="182"/>
      <c r="FQ637" s="182"/>
      <c r="FR637" s="182"/>
      <c r="FS637" s="182"/>
      <c r="FT637" s="182"/>
      <c r="FU637" s="182"/>
      <c r="FV637" s="182"/>
      <c r="FW637" s="182"/>
      <c r="FX637" s="182"/>
      <c r="FY637" s="182"/>
      <c r="FZ637" s="182"/>
      <c r="GA637" s="182"/>
      <c r="GB637" s="182"/>
      <c r="GC637" s="182"/>
      <c r="GD637" s="182"/>
      <c r="GE637" s="182"/>
      <c r="GF637" s="182"/>
      <c r="GG637" s="182"/>
      <c r="GH637" s="182"/>
      <c r="GI637" s="182"/>
    </row>
    <row r="638" spans="1:191" s="183" customFormat="1" x14ac:dyDescent="0.2">
      <c r="A638" s="210" t="s">
        <v>38305</v>
      </c>
      <c r="B638" s="210" t="s">
        <v>20817</v>
      </c>
      <c r="C638" s="224" t="s">
        <v>22656</v>
      </c>
      <c r="D638" s="211" t="s">
        <v>16</v>
      </c>
      <c r="E638" s="211">
        <v>1</v>
      </c>
      <c r="F638" s="211"/>
      <c r="G638" s="211"/>
      <c r="H638" s="231">
        <v>5</v>
      </c>
      <c r="I638" s="213">
        <f t="shared" si="44"/>
        <v>1.6666666666666666E-2</v>
      </c>
      <c r="J638" s="272">
        <v>84.61</v>
      </c>
      <c r="K638" s="113"/>
      <c r="L638" s="213"/>
      <c r="M638" s="112">
        <f t="shared" si="45"/>
        <v>1.41</v>
      </c>
      <c r="N638" s="112">
        <f t="shared" si="40"/>
        <v>42.3</v>
      </c>
      <c r="O638" s="114"/>
      <c r="P638" s="113"/>
      <c r="R638" s="203"/>
      <c r="S638" s="182"/>
      <c r="T638" s="182"/>
      <c r="U638" s="182"/>
      <c r="V638" s="182"/>
      <c r="W638" s="182"/>
      <c r="X638" s="182"/>
      <c r="Y638" s="182"/>
      <c r="Z638" s="182"/>
      <c r="AA638" s="182"/>
      <c r="AB638" s="182"/>
      <c r="AC638" s="182"/>
      <c r="AD638" s="182"/>
      <c r="AE638" s="182"/>
      <c r="AF638" s="182"/>
      <c r="AG638" s="182"/>
      <c r="AH638" s="182"/>
      <c r="AI638" s="182"/>
      <c r="AJ638" s="182"/>
      <c r="AK638" s="182"/>
      <c r="AL638" s="182"/>
      <c r="AM638" s="182"/>
      <c r="AN638" s="182"/>
      <c r="AO638" s="182"/>
      <c r="AP638" s="182"/>
      <c r="AQ638" s="182"/>
      <c r="AR638" s="182"/>
      <c r="AS638" s="182"/>
      <c r="AT638" s="182"/>
      <c r="AU638" s="182"/>
      <c r="AV638" s="182"/>
      <c r="AW638" s="182"/>
      <c r="AX638" s="182"/>
      <c r="AY638" s="182"/>
      <c r="AZ638" s="182"/>
      <c r="BA638" s="182"/>
      <c r="BB638" s="182"/>
      <c r="BC638" s="182"/>
      <c r="BD638" s="182"/>
      <c r="BE638" s="182"/>
      <c r="BF638" s="182"/>
      <c r="BG638" s="182"/>
      <c r="BH638" s="182"/>
      <c r="BI638" s="182"/>
      <c r="BJ638" s="182"/>
      <c r="BK638" s="182"/>
      <c r="BL638" s="182"/>
      <c r="BM638" s="182"/>
      <c r="BN638" s="182"/>
      <c r="BO638" s="182"/>
      <c r="BP638" s="182"/>
      <c r="BQ638" s="182"/>
      <c r="BR638" s="182"/>
      <c r="BS638" s="182"/>
      <c r="BT638" s="182"/>
      <c r="BU638" s="182"/>
      <c r="BV638" s="182"/>
      <c r="BW638" s="182"/>
      <c r="BX638" s="182"/>
      <c r="BY638" s="182"/>
      <c r="BZ638" s="182"/>
      <c r="CA638" s="182"/>
      <c r="CB638" s="182"/>
      <c r="CC638" s="182"/>
      <c r="CD638" s="182"/>
      <c r="CE638" s="182"/>
      <c r="CF638" s="182"/>
      <c r="CG638" s="182"/>
      <c r="CH638" s="182"/>
      <c r="CI638" s="182"/>
      <c r="CJ638" s="182"/>
      <c r="CK638" s="182"/>
      <c r="CL638" s="182"/>
      <c r="CM638" s="182"/>
      <c r="CN638" s="182"/>
      <c r="CO638" s="182"/>
      <c r="CP638" s="182"/>
      <c r="CQ638" s="182"/>
      <c r="CR638" s="182"/>
      <c r="CS638" s="182"/>
      <c r="CT638" s="182"/>
      <c r="CU638" s="182"/>
      <c r="CV638" s="182"/>
      <c r="CW638" s="182"/>
      <c r="CX638" s="182"/>
      <c r="CY638" s="182"/>
      <c r="CZ638" s="182"/>
      <c r="DA638" s="182"/>
      <c r="DB638" s="182"/>
      <c r="DC638" s="182"/>
      <c r="DD638" s="182"/>
      <c r="DE638" s="182"/>
      <c r="DF638" s="182"/>
      <c r="DG638" s="182"/>
      <c r="DH638" s="182"/>
      <c r="DI638" s="182"/>
      <c r="DJ638" s="182"/>
      <c r="DK638" s="182"/>
      <c r="DL638" s="182"/>
      <c r="DM638" s="182"/>
      <c r="DN638" s="182"/>
      <c r="DO638" s="182"/>
      <c r="DP638" s="182"/>
      <c r="DQ638" s="182"/>
      <c r="DR638" s="182"/>
      <c r="DS638" s="182"/>
      <c r="DT638" s="182"/>
      <c r="DU638" s="182"/>
      <c r="DV638" s="182"/>
      <c r="DW638" s="182"/>
      <c r="DX638" s="182"/>
      <c r="DY638" s="182"/>
      <c r="DZ638" s="182"/>
      <c r="EA638" s="182"/>
      <c r="EB638" s="182"/>
      <c r="EC638" s="182"/>
      <c r="ED638" s="182"/>
      <c r="EE638" s="182"/>
      <c r="EF638" s="182"/>
      <c r="EG638" s="182"/>
      <c r="EH638" s="182"/>
      <c r="EI638" s="182"/>
      <c r="EJ638" s="182"/>
      <c r="EK638" s="182"/>
      <c r="EL638" s="182"/>
      <c r="EM638" s="182"/>
      <c r="EN638" s="182"/>
      <c r="EO638" s="182"/>
      <c r="EP638" s="182"/>
      <c r="EQ638" s="182"/>
      <c r="ER638" s="182"/>
      <c r="ES638" s="182"/>
      <c r="ET638" s="182"/>
      <c r="EU638" s="182"/>
      <c r="EV638" s="182"/>
      <c r="EW638" s="182"/>
      <c r="EX638" s="182"/>
      <c r="EY638" s="182"/>
      <c r="EZ638" s="182"/>
      <c r="FA638" s="182"/>
      <c r="FB638" s="182"/>
      <c r="FC638" s="182"/>
      <c r="FD638" s="182"/>
      <c r="FE638" s="182"/>
      <c r="FF638" s="182"/>
      <c r="FG638" s="182"/>
      <c r="FH638" s="182"/>
      <c r="FI638" s="182"/>
      <c r="FJ638" s="182"/>
      <c r="FK638" s="182"/>
      <c r="FL638" s="182"/>
      <c r="FM638" s="182"/>
      <c r="FN638" s="182"/>
      <c r="FO638" s="182"/>
      <c r="FP638" s="182"/>
      <c r="FQ638" s="182"/>
      <c r="FR638" s="182"/>
      <c r="FS638" s="182"/>
      <c r="FT638" s="182"/>
      <c r="FU638" s="182"/>
      <c r="FV638" s="182"/>
      <c r="FW638" s="182"/>
      <c r="FX638" s="182"/>
      <c r="FY638" s="182"/>
      <c r="FZ638" s="182"/>
      <c r="GA638" s="182"/>
      <c r="GB638" s="182"/>
      <c r="GC638" s="182"/>
      <c r="GD638" s="182"/>
      <c r="GE638" s="182"/>
      <c r="GF638" s="182"/>
      <c r="GG638" s="182"/>
      <c r="GH638" s="182"/>
      <c r="GI638" s="182"/>
    </row>
    <row r="639" spans="1:191" s="183" customFormat="1" x14ac:dyDescent="0.2">
      <c r="A639" s="210" t="s">
        <v>38306</v>
      </c>
      <c r="B639" s="210" t="s">
        <v>20818</v>
      </c>
      <c r="C639" s="224" t="s">
        <v>22657</v>
      </c>
      <c r="D639" s="211" t="s">
        <v>16</v>
      </c>
      <c r="E639" s="211">
        <v>1</v>
      </c>
      <c r="F639" s="211"/>
      <c r="G639" s="211"/>
      <c r="H639" s="231">
        <v>5</v>
      </c>
      <c r="I639" s="213">
        <f t="shared" si="44"/>
        <v>1.6666666666666666E-2</v>
      </c>
      <c r="J639" s="272">
        <v>91.08</v>
      </c>
      <c r="K639" s="113"/>
      <c r="L639" s="213"/>
      <c r="M639" s="112">
        <f t="shared" si="45"/>
        <v>1.52</v>
      </c>
      <c r="N639" s="112">
        <f t="shared" si="40"/>
        <v>45.6</v>
      </c>
      <c r="O639" s="114"/>
      <c r="P639" s="113"/>
      <c r="R639" s="203"/>
      <c r="S639" s="182"/>
      <c r="T639" s="182"/>
      <c r="U639" s="182"/>
      <c r="V639" s="182"/>
      <c r="W639" s="182"/>
      <c r="X639" s="182"/>
      <c r="Y639" s="182"/>
      <c r="Z639" s="182"/>
      <c r="AA639" s="182"/>
      <c r="AB639" s="182"/>
      <c r="AC639" s="182"/>
      <c r="AD639" s="182"/>
      <c r="AE639" s="182"/>
      <c r="AF639" s="182"/>
      <c r="AG639" s="182"/>
      <c r="AH639" s="182"/>
      <c r="AI639" s="182"/>
      <c r="AJ639" s="182"/>
      <c r="AK639" s="182"/>
      <c r="AL639" s="182"/>
      <c r="AM639" s="182"/>
      <c r="AN639" s="182"/>
      <c r="AO639" s="182"/>
      <c r="AP639" s="182"/>
      <c r="AQ639" s="182"/>
      <c r="AR639" s="182"/>
      <c r="AS639" s="182"/>
      <c r="AT639" s="182"/>
      <c r="AU639" s="182"/>
      <c r="AV639" s="182"/>
      <c r="AW639" s="182"/>
      <c r="AX639" s="182"/>
      <c r="AY639" s="182"/>
      <c r="AZ639" s="182"/>
      <c r="BA639" s="182"/>
      <c r="BB639" s="182"/>
      <c r="BC639" s="182"/>
      <c r="BD639" s="182"/>
      <c r="BE639" s="182"/>
      <c r="BF639" s="182"/>
      <c r="BG639" s="182"/>
      <c r="BH639" s="182"/>
      <c r="BI639" s="182"/>
      <c r="BJ639" s="182"/>
      <c r="BK639" s="182"/>
      <c r="BL639" s="182"/>
      <c r="BM639" s="182"/>
      <c r="BN639" s="182"/>
      <c r="BO639" s="182"/>
      <c r="BP639" s="182"/>
      <c r="BQ639" s="182"/>
      <c r="BR639" s="182"/>
      <c r="BS639" s="182"/>
      <c r="BT639" s="182"/>
      <c r="BU639" s="182"/>
      <c r="BV639" s="182"/>
      <c r="BW639" s="182"/>
      <c r="BX639" s="182"/>
      <c r="BY639" s="182"/>
      <c r="BZ639" s="182"/>
      <c r="CA639" s="182"/>
      <c r="CB639" s="182"/>
      <c r="CC639" s="182"/>
      <c r="CD639" s="182"/>
      <c r="CE639" s="182"/>
      <c r="CF639" s="182"/>
      <c r="CG639" s="182"/>
      <c r="CH639" s="182"/>
      <c r="CI639" s="182"/>
      <c r="CJ639" s="182"/>
      <c r="CK639" s="182"/>
      <c r="CL639" s="182"/>
      <c r="CM639" s="182"/>
      <c r="CN639" s="182"/>
      <c r="CO639" s="182"/>
      <c r="CP639" s="182"/>
      <c r="CQ639" s="182"/>
      <c r="CR639" s="182"/>
      <c r="CS639" s="182"/>
      <c r="CT639" s="182"/>
      <c r="CU639" s="182"/>
      <c r="CV639" s="182"/>
      <c r="CW639" s="182"/>
      <c r="CX639" s="182"/>
      <c r="CY639" s="182"/>
      <c r="CZ639" s="182"/>
      <c r="DA639" s="182"/>
      <c r="DB639" s="182"/>
      <c r="DC639" s="182"/>
      <c r="DD639" s="182"/>
      <c r="DE639" s="182"/>
      <c r="DF639" s="182"/>
      <c r="DG639" s="182"/>
      <c r="DH639" s="182"/>
      <c r="DI639" s="182"/>
      <c r="DJ639" s="182"/>
      <c r="DK639" s="182"/>
      <c r="DL639" s="182"/>
      <c r="DM639" s="182"/>
      <c r="DN639" s="182"/>
      <c r="DO639" s="182"/>
      <c r="DP639" s="182"/>
      <c r="DQ639" s="182"/>
      <c r="DR639" s="182"/>
      <c r="DS639" s="182"/>
      <c r="DT639" s="182"/>
      <c r="DU639" s="182"/>
      <c r="DV639" s="182"/>
      <c r="DW639" s="182"/>
      <c r="DX639" s="182"/>
      <c r="DY639" s="182"/>
      <c r="DZ639" s="182"/>
      <c r="EA639" s="182"/>
      <c r="EB639" s="182"/>
      <c r="EC639" s="182"/>
      <c r="ED639" s="182"/>
      <c r="EE639" s="182"/>
      <c r="EF639" s="182"/>
      <c r="EG639" s="182"/>
      <c r="EH639" s="182"/>
      <c r="EI639" s="182"/>
      <c r="EJ639" s="182"/>
      <c r="EK639" s="182"/>
      <c r="EL639" s="182"/>
      <c r="EM639" s="182"/>
      <c r="EN639" s="182"/>
      <c r="EO639" s="182"/>
      <c r="EP639" s="182"/>
      <c r="EQ639" s="182"/>
      <c r="ER639" s="182"/>
      <c r="ES639" s="182"/>
      <c r="ET639" s="182"/>
      <c r="EU639" s="182"/>
      <c r="EV639" s="182"/>
      <c r="EW639" s="182"/>
      <c r="EX639" s="182"/>
      <c r="EY639" s="182"/>
      <c r="EZ639" s="182"/>
      <c r="FA639" s="182"/>
      <c r="FB639" s="182"/>
      <c r="FC639" s="182"/>
      <c r="FD639" s="182"/>
      <c r="FE639" s="182"/>
      <c r="FF639" s="182"/>
      <c r="FG639" s="182"/>
      <c r="FH639" s="182"/>
      <c r="FI639" s="182"/>
      <c r="FJ639" s="182"/>
      <c r="FK639" s="182"/>
      <c r="FL639" s="182"/>
      <c r="FM639" s="182"/>
      <c r="FN639" s="182"/>
      <c r="FO639" s="182"/>
      <c r="FP639" s="182"/>
      <c r="FQ639" s="182"/>
      <c r="FR639" s="182"/>
      <c r="FS639" s="182"/>
      <c r="FT639" s="182"/>
      <c r="FU639" s="182"/>
      <c r="FV639" s="182"/>
      <c r="FW639" s="182"/>
      <c r="FX639" s="182"/>
      <c r="FY639" s="182"/>
      <c r="FZ639" s="182"/>
      <c r="GA639" s="182"/>
      <c r="GB639" s="182"/>
      <c r="GC639" s="182"/>
      <c r="GD639" s="182"/>
      <c r="GE639" s="182"/>
      <c r="GF639" s="182"/>
      <c r="GG639" s="182"/>
      <c r="GH639" s="182"/>
      <c r="GI639" s="182"/>
    </row>
    <row r="640" spans="1:191" s="183" customFormat="1" x14ac:dyDescent="0.2">
      <c r="A640" s="210" t="s">
        <v>38307</v>
      </c>
      <c r="B640" s="210" t="s">
        <v>20819</v>
      </c>
      <c r="C640" s="224" t="s">
        <v>22658</v>
      </c>
      <c r="D640" s="211" t="s">
        <v>16</v>
      </c>
      <c r="E640" s="211">
        <v>1</v>
      </c>
      <c r="F640" s="211"/>
      <c r="G640" s="211"/>
      <c r="H640" s="231">
        <v>5</v>
      </c>
      <c r="I640" s="213">
        <f t="shared" si="44"/>
        <v>1.6666666666666666E-2</v>
      </c>
      <c r="J640" s="272">
        <v>3078.36</v>
      </c>
      <c r="K640" s="113"/>
      <c r="L640" s="213"/>
      <c r="M640" s="112">
        <f t="shared" si="45"/>
        <v>51.31</v>
      </c>
      <c r="N640" s="112">
        <f t="shared" si="40"/>
        <v>1539.3</v>
      </c>
      <c r="O640" s="114"/>
      <c r="P640" s="113"/>
      <c r="R640" s="203"/>
      <c r="S640" s="182"/>
      <c r="T640" s="182"/>
      <c r="U640" s="182"/>
      <c r="V640" s="182"/>
      <c r="W640" s="182"/>
      <c r="X640" s="182"/>
      <c r="Y640" s="182"/>
      <c r="Z640" s="182"/>
      <c r="AA640" s="182"/>
      <c r="AB640" s="182"/>
      <c r="AC640" s="182"/>
      <c r="AD640" s="182"/>
      <c r="AE640" s="182"/>
      <c r="AF640" s="182"/>
      <c r="AG640" s="182"/>
      <c r="AH640" s="182"/>
      <c r="AI640" s="182"/>
      <c r="AJ640" s="182"/>
      <c r="AK640" s="182"/>
      <c r="AL640" s="182"/>
      <c r="AM640" s="182"/>
      <c r="AN640" s="182"/>
      <c r="AO640" s="182"/>
      <c r="AP640" s="182"/>
      <c r="AQ640" s="182"/>
      <c r="AR640" s="182"/>
      <c r="AS640" s="182"/>
      <c r="AT640" s="182"/>
      <c r="AU640" s="182"/>
      <c r="AV640" s="182"/>
      <c r="AW640" s="182"/>
      <c r="AX640" s="182"/>
      <c r="AY640" s="182"/>
      <c r="AZ640" s="182"/>
      <c r="BA640" s="182"/>
      <c r="BB640" s="182"/>
      <c r="BC640" s="182"/>
      <c r="BD640" s="182"/>
      <c r="BE640" s="182"/>
      <c r="BF640" s="182"/>
      <c r="BG640" s="182"/>
      <c r="BH640" s="182"/>
      <c r="BI640" s="182"/>
      <c r="BJ640" s="182"/>
      <c r="BK640" s="182"/>
      <c r="BL640" s="182"/>
      <c r="BM640" s="182"/>
      <c r="BN640" s="182"/>
      <c r="BO640" s="182"/>
      <c r="BP640" s="182"/>
      <c r="BQ640" s="182"/>
      <c r="BR640" s="182"/>
      <c r="BS640" s="182"/>
      <c r="BT640" s="182"/>
      <c r="BU640" s="182"/>
      <c r="BV640" s="182"/>
      <c r="BW640" s="182"/>
      <c r="BX640" s="182"/>
      <c r="BY640" s="182"/>
      <c r="BZ640" s="182"/>
      <c r="CA640" s="182"/>
      <c r="CB640" s="182"/>
      <c r="CC640" s="182"/>
      <c r="CD640" s="182"/>
      <c r="CE640" s="182"/>
      <c r="CF640" s="182"/>
      <c r="CG640" s="182"/>
      <c r="CH640" s="182"/>
      <c r="CI640" s="182"/>
      <c r="CJ640" s="182"/>
      <c r="CK640" s="182"/>
      <c r="CL640" s="182"/>
      <c r="CM640" s="182"/>
      <c r="CN640" s="182"/>
      <c r="CO640" s="182"/>
      <c r="CP640" s="182"/>
      <c r="CQ640" s="182"/>
      <c r="CR640" s="182"/>
      <c r="CS640" s="182"/>
      <c r="CT640" s="182"/>
      <c r="CU640" s="182"/>
      <c r="CV640" s="182"/>
      <c r="CW640" s="182"/>
      <c r="CX640" s="182"/>
      <c r="CY640" s="182"/>
      <c r="CZ640" s="182"/>
      <c r="DA640" s="182"/>
      <c r="DB640" s="182"/>
      <c r="DC640" s="182"/>
      <c r="DD640" s="182"/>
      <c r="DE640" s="182"/>
      <c r="DF640" s="182"/>
      <c r="DG640" s="182"/>
      <c r="DH640" s="182"/>
      <c r="DI640" s="182"/>
      <c r="DJ640" s="182"/>
      <c r="DK640" s="182"/>
      <c r="DL640" s="182"/>
      <c r="DM640" s="182"/>
      <c r="DN640" s="182"/>
      <c r="DO640" s="182"/>
      <c r="DP640" s="182"/>
      <c r="DQ640" s="182"/>
      <c r="DR640" s="182"/>
      <c r="DS640" s="182"/>
      <c r="DT640" s="182"/>
      <c r="DU640" s="182"/>
      <c r="DV640" s="182"/>
      <c r="DW640" s="182"/>
      <c r="DX640" s="182"/>
      <c r="DY640" s="182"/>
      <c r="DZ640" s="182"/>
      <c r="EA640" s="182"/>
      <c r="EB640" s="182"/>
      <c r="EC640" s="182"/>
      <c r="ED640" s="182"/>
      <c r="EE640" s="182"/>
      <c r="EF640" s="182"/>
      <c r="EG640" s="182"/>
      <c r="EH640" s="182"/>
      <c r="EI640" s="182"/>
      <c r="EJ640" s="182"/>
      <c r="EK640" s="182"/>
      <c r="EL640" s="182"/>
      <c r="EM640" s="182"/>
      <c r="EN640" s="182"/>
      <c r="EO640" s="182"/>
      <c r="EP640" s="182"/>
      <c r="EQ640" s="182"/>
      <c r="ER640" s="182"/>
      <c r="ES640" s="182"/>
      <c r="ET640" s="182"/>
      <c r="EU640" s="182"/>
      <c r="EV640" s="182"/>
      <c r="EW640" s="182"/>
      <c r="EX640" s="182"/>
      <c r="EY640" s="182"/>
      <c r="EZ640" s="182"/>
      <c r="FA640" s="182"/>
      <c r="FB640" s="182"/>
      <c r="FC640" s="182"/>
      <c r="FD640" s="182"/>
      <c r="FE640" s="182"/>
      <c r="FF640" s="182"/>
      <c r="FG640" s="182"/>
      <c r="FH640" s="182"/>
      <c r="FI640" s="182"/>
      <c r="FJ640" s="182"/>
      <c r="FK640" s="182"/>
      <c r="FL640" s="182"/>
      <c r="FM640" s="182"/>
      <c r="FN640" s="182"/>
      <c r="FO640" s="182"/>
      <c r="FP640" s="182"/>
      <c r="FQ640" s="182"/>
      <c r="FR640" s="182"/>
      <c r="FS640" s="182"/>
      <c r="FT640" s="182"/>
      <c r="FU640" s="182"/>
      <c r="FV640" s="182"/>
      <c r="FW640" s="182"/>
      <c r="FX640" s="182"/>
      <c r="FY640" s="182"/>
      <c r="FZ640" s="182"/>
      <c r="GA640" s="182"/>
      <c r="GB640" s="182"/>
      <c r="GC640" s="182"/>
      <c r="GD640" s="182"/>
      <c r="GE640" s="182"/>
      <c r="GF640" s="182"/>
      <c r="GG640" s="182"/>
      <c r="GH640" s="182"/>
      <c r="GI640" s="182"/>
    </row>
    <row r="641" spans="1:191" s="183" customFormat="1" x14ac:dyDescent="0.2">
      <c r="A641" s="210" t="s">
        <v>38308</v>
      </c>
      <c r="B641" s="210" t="s">
        <v>20820</v>
      </c>
      <c r="C641" s="224" t="s">
        <v>22659</v>
      </c>
      <c r="D641" s="211" t="s">
        <v>16</v>
      </c>
      <c r="E641" s="211">
        <v>1</v>
      </c>
      <c r="F641" s="211"/>
      <c r="G641" s="211"/>
      <c r="H641" s="231">
        <v>5</v>
      </c>
      <c r="I641" s="213">
        <f t="shared" si="44"/>
        <v>1.6666666666666666E-2</v>
      </c>
      <c r="J641" s="272">
        <v>130.66</v>
      </c>
      <c r="K641" s="113"/>
      <c r="L641" s="213"/>
      <c r="M641" s="112">
        <f t="shared" si="45"/>
        <v>2.1800000000000002</v>
      </c>
      <c r="N641" s="112">
        <f t="shared" si="40"/>
        <v>65.400000000000006</v>
      </c>
      <c r="O641" s="114"/>
      <c r="P641" s="113"/>
      <c r="R641" s="203"/>
      <c r="S641" s="182"/>
      <c r="T641" s="182"/>
      <c r="U641" s="182"/>
      <c r="V641" s="182"/>
      <c r="W641" s="182"/>
      <c r="X641" s="182"/>
      <c r="Y641" s="182"/>
      <c r="Z641" s="182"/>
      <c r="AA641" s="182"/>
      <c r="AB641" s="182"/>
      <c r="AC641" s="182"/>
      <c r="AD641" s="182"/>
      <c r="AE641" s="182"/>
      <c r="AF641" s="182"/>
      <c r="AG641" s="182"/>
      <c r="AH641" s="182"/>
      <c r="AI641" s="182"/>
      <c r="AJ641" s="182"/>
      <c r="AK641" s="182"/>
      <c r="AL641" s="182"/>
      <c r="AM641" s="182"/>
      <c r="AN641" s="182"/>
      <c r="AO641" s="182"/>
      <c r="AP641" s="182"/>
      <c r="AQ641" s="182"/>
      <c r="AR641" s="182"/>
      <c r="AS641" s="182"/>
      <c r="AT641" s="182"/>
      <c r="AU641" s="182"/>
      <c r="AV641" s="182"/>
      <c r="AW641" s="182"/>
      <c r="AX641" s="182"/>
      <c r="AY641" s="182"/>
      <c r="AZ641" s="182"/>
      <c r="BA641" s="182"/>
      <c r="BB641" s="182"/>
      <c r="BC641" s="182"/>
      <c r="BD641" s="182"/>
      <c r="BE641" s="182"/>
      <c r="BF641" s="182"/>
      <c r="BG641" s="182"/>
      <c r="BH641" s="182"/>
      <c r="BI641" s="182"/>
      <c r="BJ641" s="182"/>
      <c r="BK641" s="182"/>
      <c r="BL641" s="182"/>
      <c r="BM641" s="182"/>
      <c r="BN641" s="182"/>
      <c r="BO641" s="182"/>
      <c r="BP641" s="182"/>
      <c r="BQ641" s="182"/>
      <c r="BR641" s="182"/>
      <c r="BS641" s="182"/>
      <c r="BT641" s="182"/>
      <c r="BU641" s="182"/>
      <c r="BV641" s="182"/>
      <c r="BW641" s="182"/>
      <c r="BX641" s="182"/>
      <c r="BY641" s="182"/>
      <c r="BZ641" s="182"/>
      <c r="CA641" s="182"/>
      <c r="CB641" s="182"/>
      <c r="CC641" s="182"/>
      <c r="CD641" s="182"/>
      <c r="CE641" s="182"/>
      <c r="CF641" s="182"/>
      <c r="CG641" s="182"/>
      <c r="CH641" s="182"/>
      <c r="CI641" s="182"/>
      <c r="CJ641" s="182"/>
      <c r="CK641" s="182"/>
      <c r="CL641" s="182"/>
      <c r="CM641" s="182"/>
      <c r="CN641" s="182"/>
      <c r="CO641" s="182"/>
      <c r="CP641" s="182"/>
      <c r="CQ641" s="182"/>
      <c r="CR641" s="182"/>
      <c r="CS641" s="182"/>
      <c r="CT641" s="182"/>
      <c r="CU641" s="182"/>
      <c r="CV641" s="182"/>
      <c r="CW641" s="182"/>
      <c r="CX641" s="182"/>
      <c r="CY641" s="182"/>
      <c r="CZ641" s="182"/>
      <c r="DA641" s="182"/>
      <c r="DB641" s="182"/>
      <c r="DC641" s="182"/>
      <c r="DD641" s="182"/>
      <c r="DE641" s="182"/>
      <c r="DF641" s="182"/>
      <c r="DG641" s="182"/>
      <c r="DH641" s="182"/>
      <c r="DI641" s="182"/>
      <c r="DJ641" s="182"/>
      <c r="DK641" s="182"/>
      <c r="DL641" s="182"/>
      <c r="DM641" s="182"/>
      <c r="DN641" s="182"/>
      <c r="DO641" s="182"/>
      <c r="DP641" s="182"/>
      <c r="DQ641" s="182"/>
      <c r="DR641" s="182"/>
      <c r="DS641" s="182"/>
      <c r="DT641" s="182"/>
      <c r="DU641" s="182"/>
      <c r="DV641" s="182"/>
      <c r="DW641" s="182"/>
      <c r="DX641" s="182"/>
      <c r="DY641" s="182"/>
      <c r="DZ641" s="182"/>
      <c r="EA641" s="182"/>
      <c r="EB641" s="182"/>
      <c r="EC641" s="182"/>
      <c r="ED641" s="182"/>
      <c r="EE641" s="182"/>
      <c r="EF641" s="182"/>
      <c r="EG641" s="182"/>
      <c r="EH641" s="182"/>
      <c r="EI641" s="182"/>
      <c r="EJ641" s="182"/>
      <c r="EK641" s="182"/>
      <c r="EL641" s="182"/>
      <c r="EM641" s="182"/>
      <c r="EN641" s="182"/>
      <c r="EO641" s="182"/>
      <c r="EP641" s="182"/>
      <c r="EQ641" s="182"/>
      <c r="ER641" s="182"/>
      <c r="ES641" s="182"/>
      <c r="ET641" s="182"/>
      <c r="EU641" s="182"/>
      <c r="EV641" s="182"/>
      <c r="EW641" s="182"/>
      <c r="EX641" s="182"/>
      <c r="EY641" s="182"/>
      <c r="EZ641" s="182"/>
      <c r="FA641" s="182"/>
      <c r="FB641" s="182"/>
      <c r="FC641" s="182"/>
      <c r="FD641" s="182"/>
      <c r="FE641" s="182"/>
      <c r="FF641" s="182"/>
      <c r="FG641" s="182"/>
      <c r="FH641" s="182"/>
      <c r="FI641" s="182"/>
      <c r="FJ641" s="182"/>
      <c r="FK641" s="182"/>
      <c r="FL641" s="182"/>
      <c r="FM641" s="182"/>
      <c r="FN641" s="182"/>
      <c r="FO641" s="182"/>
      <c r="FP641" s="182"/>
      <c r="FQ641" s="182"/>
      <c r="FR641" s="182"/>
      <c r="FS641" s="182"/>
      <c r="FT641" s="182"/>
      <c r="FU641" s="182"/>
      <c r="FV641" s="182"/>
      <c r="FW641" s="182"/>
      <c r="FX641" s="182"/>
      <c r="FY641" s="182"/>
      <c r="FZ641" s="182"/>
      <c r="GA641" s="182"/>
      <c r="GB641" s="182"/>
      <c r="GC641" s="182"/>
      <c r="GD641" s="182"/>
      <c r="GE641" s="182"/>
      <c r="GF641" s="182"/>
      <c r="GG641" s="182"/>
      <c r="GH641" s="182"/>
      <c r="GI641" s="182"/>
    </row>
    <row r="642" spans="1:191" s="183" customFormat="1" x14ac:dyDescent="0.2">
      <c r="A642" s="210" t="s">
        <v>38309</v>
      </c>
      <c r="B642" s="210" t="s">
        <v>20821</v>
      </c>
      <c r="C642" s="224" t="s">
        <v>22660</v>
      </c>
      <c r="D642" s="211" t="s">
        <v>16</v>
      </c>
      <c r="E642" s="211">
        <v>3</v>
      </c>
      <c r="F642" s="211"/>
      <c r="G642" s="211"/>
      <c r="H642" s="231">
        <v>5</v>
      </c>
      <c r="I642" s="213">
        <f t="shared" si="44"/>
        <v>1.6666666666666666E-2</v>
      </c>
      <c r="J642" s="272">
        <v>241.43</v>
      </c>
      <c r="K642" s="113"/>
      <c r="L642" s="213"/>
      <c r="M642" s="112">
        <f t="shared" si="45"/>
        <v>12.07</v>
      </c>
      <c r="N642" s="112">
        <f t="shared" si="40"/>
        <v>362.1</v>
      </c>
      <c r="O642" s="114"/>
      <c r="P642" s="113"/>
      <c r="R642" s="203"/>
      <c r="S642" s="182"/>
      <c r="T642" s="182"/>
      <c r="U642" s="182"/>
      <c r="V642" s="182"/>
      <c r="W642" s="182"/>
      <c r="X642" s="182"/>
      <c r="Y642" s="182"/>
      <c r="Z642" s="182"/>
      <c r="AA642" s="182"/>
      <c r="AB642" s="182"/>
      <c r="AC642" s="182"/>
      <c r="AD642" s="182"/>
      <c r="AE642" s="182"/>
      <c r="AF642" s="182"/>
      <c r="AG642" s="182"/>
      <c r="AH642" s="182"/>
      <c r="AI642" s="182"/>
      <c r="AJ642" s="182"/>
      <c r="AK642" s="182"/>
      <c r="AL642" s="182"/>
      <c r="AM642" s="182"/>
      <c r="AN642" s="182"/>
      <c r="AO642" s="182"/>
      <c r="AP642" s="182"/>
      <c r="AQ642" s="182"/>
      <c r="AR642" s="182"/>
      <c r="AS642" s="182"/>
      <c r="AT642" s="182"/>
      <c r="AU642" s="182"/>
      <c r="AV642" s="182"/>
      <c r="AW642" s="182"/>
      <c r="AX642" s="182"/>
      <c r="AY642" s="182"/>
      <c r="AZ642" s="182"/>
      <c r="BA642" s="182"/>
      <c r="BB642" s="182"/>
      <c r="BC642" s="182"/>
      <c r="BD642" s="182"/>
      <c r="BE642" s="182"/>
      <c r="BF642" s="182"/>
      <c r="BG642" s="182"/>
      <c r="BH642" s="182"/>
      <c r="BI642" s="182"/>
      <c r="BJ642" s="182"/>
      <c r="BK642" s="182"/>
      <c r="BL642" s="182"/>
      <c r="BM642" s="182"/>
      <c r="BN642" s="182"/>
      <c r="BO642" s="182"/>
      <c r="BP642" s="182"/>
      <c r="BQ642" s="182"/>
      <c r="BR642" s="182"/>
      <c r="BS642" s="182"/>
      <c r="BT642" s="182"/>
      <c r="BU642" s="182"/>
      <c r="BV642" s="182"/>
      <c r="BW642" s="182"/>
      <c r="BX642" s="182"/>
      <c r="BY642" s="182"/>
      <c r="BZ642" s="182"/>
      <c r="CA642" s="182"/>
      <c r="CB642" s="182"/>
      <c r="CC642" s="182"/>
      <c r="CD642" s="182"/>
      <c r="CE642" s="182"/>
      <c r="CF642" s="182"/>
      <c r="CG642" s="182"/>
      <c r="CH642" s="182"/>
      <c r="CI642" s="182"/>
      <c r="CJ642" s="182"/>
      <c r="CK642" s="182"/>
      <c r="CL642" s="182"/>
      <c r="CM642" s="182"/>
      <c r="CN642" s="182"/>
      <c r="CO642" s="182"/>
      <c r="CP642" s="182"/>
      <c r="CQ642" s="182"/>
      <c r="CR642" s="182"/>
      <c r="CS642" s="182"/>
      <c r="CT642" s="182"/>
      <c r="CU642" s="182"/>
      <c r="CV642" s="182"/>
      <c r="CW642" s="182"/>
      <c r="CX642" s="182"/>
      <c r="CY642" s="182"/>
      <c r="CZ642" s="182"/>
      <c r="DA642" s="182"/>
      <c r="DB642" s="182"/>
      <c r="DC642" s="182"/>
      <c r="DD642" s="182"/>
      <c r="DE642" s="182"/>
      <c r="DF642" s="182"/>
      <c r="DG642" s="182"/>
      <c r="DH642" s="182"/>
      <c r="DI642" s="182"/>
      <c r="DJ642" s="182"/>
      <c r="DK642" s="182"/>
      <c r="DL642" s="182"/>
      <c r="DM642" s="182"/>
      <c r="DN642" s="182"/>
      <c r="DO642" s="182"/>
      <c r="DP642" s="182"/>
      <c r="DQ642" s="182"/>
      <c r="DR642" s="182"/>
      <c r="DS642" s="182"/>
      <c r="DT642" s="182"/>
      <c r="DU642" s="182"/>
      <c r="DV642" s="182"/>
      <c r="DW642" s="182"/>
      <c r="DX642" s="182"/>
      <c r="DY642" s="182"/>
      <c r="DZ642" s="182"/>
      <c r="EA642" s="182"/>
      <c r="EB642" s="182"/>
      <c r="EC642" s="182"/>
      <c r="ED642" s="182"/>
      <c r="EE642" s="182"/>
      <c r="EF642" s="182"/>
      <c r="EG642" s="182"/>
      <c r="EH642" s="182"/>
      <c r="EI642" s="182"/>
      <c r="EJ642" s="182"/>
      <c r="EK642" s="182"/>
      <c r="EL642" s="182"/>
      <c r="EM642" s="182"/>
      <c r="EN642" s="182"/>
      <c r="EO642" s="182"/>
      <c r="EP642" s="182"/>
      <c r="EQ642" s="182"/>
      <c r="ER642" s="182"/>
      <c r="ES642" s="182"/>
      <c r="ET642" s="182"/>
      <c r="EU642" s="182"/>
      <c r="EV642" s="182"/>
      <c r="EW642" s="182"/>
      <c r="EX642" s="182"/>
      <c r="EY642" s="182"/>
      <c r="EZ642" s="182"/>
      <c r="FA642" s="182"/>
      <c r="FB642" s="182"/>
      <c r="FC642" s="182"/>
      <c r="FD642" s="182"/>
      <c r="FE642" s="182"/>
      <c r="FF642" s="182"/>
      <c r="FG642" s="182"/>
      <c r="FH642" s="182"/>
      <c r="FI642" s="182"/>
      <c r="FJ642" s="182"/>
      <c r="FK642" s="182"/>
      <c r="FL642" s="182"/>
      <c r="FM642" s="182"/>
      <c r="FN642" s="182"/>
      <c r="FO642" s="182"/>
      <c r="FP642" s="182"/>
      <c r="FQ642" s="182"/>
      <c r="FR642" s="182"/>
      <c r="FS642" s="182"/>
      <c r="FT642" s="182"/>
      <c r="FU642" s="182"/>
      <c r="FV642" s="182"/>
      <c r="FW642" s="182"/>
      <c r="FX642" s="182"/>
      <c r="FY642" s="182"/>
      <c r="FZ642" s="182"/>
      <c r="GA642" s="182"/>
      <c r="GB642" s="182"/>
      <c r="GC642" s="182"/>
      <c r="GD642" s="182"/>
      <c r="GE642" s="182"/>
      <c r="GF642" s="182"/>
      <c r="GG642" s="182"/>
      <c r="GH642" s="182"/>
      <c r="GI642" s="182"/>
    </row>
    <row r="643" spans="1:191" s="183" customFormat="1" x14ac:dyDescent="0.2">
      <c r="A643" s="210" t="s">
        <v>38310</v>
      </c>
      <c r="B643" s="210" t="s">
        <v>20822</v>
      </c>
      <c r="C643" s="224" t="s">
        <v>22661</v>
      </c>
      <c r="D643" s="211" t="s">
        <v>16</v>
      </c>
      <c r="E643" s="211">
        <v>3</v>
      </c>
      <c r="F643" s="211"/>
      <c r="G643" s="211"/>
      <c r="H643" s="231">
        <v>5</v>
      </c>
      <c r="I643" s="213">
        <f t="shared" si="44"/>
        <v>1.6666666666666666E-2</v>
      </c>
      <c r="J643" s="272">
        <v>38.4</v>
      </c>
      <c r="K643" s="113"/>
      <c r="L643" s="213"/>
      <c r="M643" s="112">
        <f t="shared" si="45"/>
        <v>1.92</v>
      </c>
      <c r="N643" s="112">
        <f t="shared" si="40"/>
        <v>57.6</v>
      </c>
      <c r="O643" s="114"/>
      <c r="P643" s="113"/>
      <c r="R643" s="203"/>
      <c r="S643" s="182"/>
      <c r="T643" s="182"/>
      <c r="U643" s="182"/>
      <c r="V643" s="182"/>
      <c r="W643" s="182"/>
      <c r="X643" s="182"/>
      <c r="Y643" s="182"/>
      <c r="Z643" s="182"/>
      <c r="AA643" s="182"/>
      <c r="AB643" s="182"/>
      <c r="AC643" s="182"/>
      <c r="AD643" s="182"/>
      <c r="AE643" s="182"/>
      <c r="AF643" s="182"/>
      <c r="AG643" s="182"/>
      <c r="AH643" s="182"/>
      <c r="AI643" s="182"/>
      <c r="AJ643" s="182"/>
      <c r="AK643" s="182"/>
      <c r="AL643" s="182"/>
      <c r="AM643" s="182"/>
      <c r="AN643" s="182"/>
      <c r="AO643" s="182"/>
      <c r="AP643" s="182"/>
      <c r="AQ643" s="182"/>
      <c r="AR643" s="182"/>
      <c r="AS643" s="182"/>
      <c r="AT643" s="182"/>
      <c r="AU643" s="182"/>
      <c r="AV643" s="182"/>
      <c r="AW643" s="182"/>
      <c r="AX643" s="182"/>
      <c r="AY643" s="182"/>
      <c r="AZ643" s="182"/>
      <c r="BA643" s="182"/>
      <c r="BB643" s="182"/>
      <c r="BC643" s="182"/>
      <c r="BD643" s="182"/>
      <c r="BE643" s="182"/>
      <c r="BF643" s="182"/>
      <c r="BG643" s="182"/>
      <c r="BH643" s="182"/>
      <c r="BI643" s="182"/>
      <c r="BJ643" s="182"/>
      <c r="BK643" s="182"/>
      <c r="BL643" s="182"/>
      <c r="BM643" s="182"/>
      <c r="BN643" s="182"/>
      <c r="BO643" s="182"/>
      <c r="BP643" s="182"/>
      <c r="BQ643" s="182"/>
      <c r="BR643" s="182"/>
      <c r="BS643" s="182"/>
      <c r="BT643" s="182"/>
      <c r="BU643" s="182"/>
      <c r="BV643" s="182"/>
      <c r="BW643" s="182"/>
      <c r="BX643" s="182"/>
      <c r="BY643" s="182"/>
      <c r="BZ643" s="182"/>
      <c r="CA643" s="182"/>
      <c r="CB643" s="182"/>
      <c r="CC643" s="182"/>
      <c r="CD643" s="182"/>
      <c r="CE643" s="182"/>
      <c r="CF643" s="182"/>
      <c r="CG643" s="182"/>
      <c r="CH643" s="182"/>
      <c r="CI643" s="182"/>
      <c r="CJ643" s="182"/>
      <c r="CK643" s="182"/>
      <c r="CL643" s="182"/>
      <c r="CM643" s="182"/>
      <c r="CN643" s="182"/>
      <c r="CO643" s="182"/>
      <c r="CP643" s="182"/>
      <c r="CQ643" s="182"/>
      <c r="CR643" s="182"/>
      <c r="CS643" s="182"/>
      <c r="CT643" s="182"/>
      <c r="CU643" s="182"/>
      <c r="CV643" s="182"/>
      <c r="CW643" s="182"/>
      <c r="CX643" s="182"/>
      <c r="CY643" s="182"/>
      <c r="CZ643" s="182"/>
      <c r="DA643" s="182"/>
      <c r="DB643" s="182"/>
      <c r="DC643" s="182"/>
      <c r="DD643" s="182"/>
      <c r="DE643" s="182"/>
      <c r="DF643" s="182"/>
      <c r="DG643" s="182"/>
      <c r="DH643" s="182"/>
      <c r="DI643" s="182"/>
      <c r="DJ643" s="182"/>
      <c r="DK643" s="182"/>
      <c r="DL643" s="182"/>
      <c r="DM643" s="182"/>
      <c r="DN643" s="182"/>
      <c r="DO643" s="182"/>
      <c r="DP643" s="182"/>
      <c r="DQ643" s="182"/>
      <c r="DR643" s="182"/>
      <c r="DS643" s="182"/>
      <c r="DT643" s="182"/>
      <c r="DU643" s="182"/>
      <c r="DV643" s="182"/>
      <c r="DW643" s="182"/>
      <c r="DX643" s="182"/>
      <c r="DY643" s="182"/>
      <c r="DZ643" s="182"/>
      <c r="EA643" s="182"/>
      <c r="EB643" s="182"/>
      <c r="EC643" s="182"/>
      <c r="ED643" s="182"/>
      <c r="EE643" s="182"/>
      <c r="EF643" s="182"/>
      <c r="EG643" s="182"/>
      <c r="EH643" s="182"/>
      <c r="EI643" s="182"/>
      <c r="EJ643" s="182"/>
      <c r="EK643" s="182"/>
      <c r="EL643" s="182"/>
      <c r="EM643" s="182"/>
      <c r="EN643" s="182"/>
      <c r="EO643" s="182"/>
      <c r="EP643" s="182"/>
      <c r="EQ643" s="182"/>
      <c r="ER643" s="182"/>
      <c r="ES643" s="182"/>
      <c r="ET643" s="182"/>
      <c r="EU643" s="182"/>
      <c r="EV643" s="182"/>
      <c r="EW643" s="182"/>
      <c r="EX643" s="182"/>
      <c r="EY643" s="182"/>
      <c r="EZ643" s="182"/>
      <c r="FA643" s="182"/>
      <c r="FB643" s="182"/>
      <c r="FC643" s="182"/>
      <c r="FD643" s="182"/>
      <c r="FE643" s="182"/>
      <c r="FF643" s="182"/>
      <c r="FG643" s="182"/>
      <c r="FH643" s="182"/>
      <c r="FI643" s="182"/>
      <c r="FJ643" s="182"/>
      <c r="FK643" s="182"/>
      <c r="FL643" s="182"/>
      <c r="FM643" s="182"/>
      <c r="FN643" s="182"/>
      <c r="FO643" s="182"/>
      <c r="FP643" s="182"/>
      <c r="FQ643" s="182"/>
      <c r="FR643" s="182"/>
      <c r="FS643" s="182"/>
      <c r="FT643" s="182"/>
      <c r="FU643" s="182"/>
      <c r="FV643" s="182"/>
      <c r="FW643" s="182"/>
      <c r="FX643" s="182"/>
      <c r="FY643" s="182"/>
      <c r="FZ643" s="182"/>
      <c r="GA643" s="182"/>
      <c r="GB643" s="182"/>
      <c r="GC643" s="182"/>
      <c r="GD643" s="182"/>
      <c r="GE643" s="182"/>
      <c r="GF643" s="182"/>
      <c r="GG643" s="182"/>
      <c r="GH643" s="182"/>
      <c r="GI643" s="182"/>
    </row>
    <row r="644" spans="1:191" s="183" customFormat="1" x14ac:dyDescent="0.2">
      <c r="A644" s="210" t="s">
        <v>38311</v>
      </c>
      <c r="B644" s="210" t="s">
        <v>20823</v>
      </c>
      <c r="C644" s="224" t="s">
        <v>22662</v>
      </c>
      <c r="D644" s="211" t="s">
        <v>16</v>
      </c>
      <c r="E644" s="211">
        <v>3</v>
      </c>
      <c r="F644" s="211"/>
      <c r="G644" s="211"/>
      <c r="H644" s="231">
        <v>5</v>
      </c>
      <c r="I644" s="213">
        <f t="shared" si="44"/>
        <v>1.6666666666666666E-2</v>
      </c>
      <c r="J644" s="272">
        <v>41.37</v>
      </c>
      <c r="K644" s="113"/>
      <c r="L644" s="213"/>
      <c r="M644" s="112">
        <f t="shared" si="45"/>
        <v>2.0699999999999998</v>
      </c>
      <c r="N644" s="112">
        <f t="shared" si="40"/>
        <v>62.1</v>
      </c>
      <c r="O644" s="114"/>
      <c r="P644" s="113"/>
      <c r="R644" s="203"/>
      <c r="S644" s="182"/>
      <c r="T644" s="182"/>
      <c r="U644" s="182"/>
      <c r="V644" s="182"/>
      <c r="W644" s="182"/>
      <c r="X644" s="182"/>
      <c r="Y644" s="182"/>
      <c r="Z644" s="182"/>
      <c r="AA644" s="182"/>
      <c r="AB644" s="182"/>
      <c r="AC644" s="182"/>
      <c r="AD644" s="182"/>
      <c r="AE644" s="182"/>
      <c r="AF644" s="182"/>
      <c r="AG644" s="182"/>
      <c r="AH644" s="182"/>
      <c r="AI644" s="182"/>
      <c r="AJ644" s="182"/>
      <c r="AK644" s="182"/>
      <c r="AL644" s="182"/>
      <c r="AM644" s="182"/>
      <c r="AN644" s="182"/>
      <c r="AO644" s="182"/>
      <c r="AP644" s="182"/>
      <c r="AQ644" s="182"/>
      <c r="AR644" s="182"/>
      <c r="AS644" s="182"/>
      <c r="AT644" s="182"/>
      <c r="AU644" s="182"/>
      <c r="AV644" s="182"/>
      <c r="AW644" s="182"/>
      <c r="AX644" s="182"/>
      <c r="AY644" s="182"/>
      <c r="AZ644" s="182"/>
      <c r="BA644" s="182"/>
      <c r="BB644" s="182"/>
      <c r="BC644" s="182"/>
      <c r="BD644" s="182"/>
      <c r="BE644" s="182"/>
      <c r="BF644" s="182"/>
      <c r="BG644" s="182"/>
      <c r="BH644" s="182"/>
      <c r="BI644" s="182"/>
      <c r="BJ644" s="182"/>
      <c r="BK644" s="182"/>
      <c r="BL644" s="182"/>
      <c r="BM644" s="182"/>
      <c r="BN644" s="182"/>
      <c r="BO644" s="182"/>
      <c r="BP644" s="182"/>
      <c r="BQ644" s="182"/>
      <c r="BR644" s="182"/>
      <c r="BS644" s="182"/>
      <c r="BT644" s="182"/>
      <c r="BU644" s="182"/>
      <c r="BV644" s="182"/>
      <c r="BW644" s="182"/>
      <c r="BX644" s="182"/>
      <c r="BY644" s="182"/>
      <c r="BZ644" s="182"/>
      <c r="CA644" s="182"/>
      <c r="CB644" s="182"/>
      <c r="CC644" s="182"/>
      <c r="CD644" s="182"/>
      <c r="CE644" s="182"/>
      <c r="CF644" s="182"/>
      <c r="CG644" s="182"/>
      <c r="CH644" s="182"/>
      <c r="CI644" s="182"/>
      <c r="CJ644" s="182"/>
      <c r="CK644" s="182"/>
      <c r="CL644" s="182"/>
      <c r="CM644" s="182"/>
      <c r="CN644" s="182"/>
      <c r="CO644" s="182"/>
      <c r="CP644" s="182"/>
      <c r="CQ644" s="182"/>
      <c r="CR644" s="182"/>
      <c r="CS644" s="182"/>
      <c r="CT644" s="182"/>
      <c r="CU644" s="182"/>
      <c r="CV644" s="182"/>
      <c r="CW644" s="182"/>
      <c r="CX644" s="182"/>
      <c r="CY644" s="182"/>
      <c r="CZ644" s="182"/>
      <c r="DA644" s="182"/>
      <c r="DB644" s="182"/>
      <c r="DC644" s="182"/>
      <c r="DD644" s="182"/>
      <c r="DE644" s="182"/>
      <c r="DF644" s="182"/>
      <c r="DG644" s="182"/>
      <c r="DH644" s="182"/>
      <c r="DI644" s="182"/>
      <c r="DJ644" s="182"/>
      <c r="DK644" s="182"/>
      <c r="DL644" s="182"/>
      <c r="DM644" s="182"/>
      <c r="DN644" s="182"/>
      <c r="DO644" s="182"/>
      <c r="DP644" s="182"/>
      <c r="DQ644" s="182"/>
      <c r="DR644" s="182"/>
      <c r="DS644" s="182"/>
      <c r="DT644" s="182"/>
      <c r="DU644" s="182"/>
      <c r="DV644" s="182"/>
      <c r="DW644" s="182"/>
      <c r="DX644" s="182"/>
      <c r="DY644" s="182"/>
      <c r="DZ644" s="182"/>
      <c r="EA644" s="182"/>
      <c r="EB644" s="182"/>
      <c r="EC644" s="182"/>
      <c r="ED644" s="182"/>
      <c r="EE644" s="182"/>
      <c r="EF644" s="182"/>
      <c r="EG644" s="182"/>
      <c r="EH644" s="182"/>
      <c r="EI644" s="182"/>
      <c r="EJ644" s="182"/>
      <c r="EK644" s="182"/>
      <c r="EL644" s="182"/>
      <c r="EM644" s="182"/>
      <c r="EN644" s="182"/>
      <c r="EO644" s="182"/>
      <c r="EP644" s="182"/>
      <c r="EQ644" s="182"/>
      <c r="ER644" s="182"/>
      <c r="ES644" s="182"/>
      <c r="ET644" s="182"/>
      <c r="EU644" s="182"/>
      <c r="EV644" s="182"/>
      <c r="EW644" s="182"/>
      <c r="EX644" s="182"/>
      <c r="EY644" s="182"/>
      <c r="EZ644" s="182"/>
      <c r="FA644" s="182"/>
      <c r="FB644" s="182"/>
      <c r="FC644" s="182"/>
      <c r="FD644" s="182"/>
      <c r="FE644" s="182"/>
      <c r="FF644" s="182"/>
      <c r="FG644" s="182"/>
      <c r="FH644" s="182"/>
      <c r="FI644" s="182"/>
      <c r="FJ644" s="182"/>
      <c r="FK644" s="182"/>
      <c r="FL644" s="182"/>
      <c r="FM644" s="182"/>
      <c r="FN644" s="182"/>
      <c r="FO644" s="182"/>
      <c r="FP644" s="182"/>
      <c r="FQ644" s="182"/>
      <c r="FR644" s="182"/>
      <c r="FS644" s="182"/>
      <c r="FT644" s="182"/>
      <c r="FU644" s="182"/>
      <c r="FV644" s="182"/>
      <c r="FW644" s="182"/>
      <c r="FX644" s="182"/>
      <c r="FY644" s="182"/>
      <c r="FZ644" s="182"/>
      <c r="GA644" s="182"/>
      <c r="GB644" s="182"/>
      <c r="GC644" s="182"/>
      <c r="GD644" s="182"/>
      <c r="GE644" s="182"/>
      <c r="GF644" s="182"/>
      <c r="GG644" s="182"/>
      <c r="GH644" s="182"/>
      <c r="GI644" s="182"/>
    </row>
    <row r="645" spans="1:191" s="183" customFormat="1" x14ac:dyDescent="0.2">
      <c r="A645" s="210" t="s">
        <v>38312</v>
      </c>
      <c r="B645" s="210" t="s">
        <v>20824</v>
      </c>
      <c r="C645" s="224" t="s">
        <v>22663</v>
      </c>
      <c r="D645" s="211" t="s">
        <v>16</v>
      </c>
      <c r="E645" s="211">
        <v>1</v>
      </c>
      <c r="F645" s="211"/>
      <c r="G645" s="211"/>
      <c r="H645" s="231">
        <v>10</v>
      </c>
      <c r="I645" s="213">
        <f t="shared" si="44"/>
        <v>8.3333333333333332E-3</v>
      </c>
      <c r="J645" s="272">
        <v>674.66</v>
      </c>
      <c r="K645" s="113"/>
      <c r="L645" s="213"/>
      <c r="M645" s="112">
        <f t="shared" si="45"/>
        <v>5.62</v>
      </c>
      <c r="N645" s="112">
        <f t="shared" ref="N645:N680" si="46">IF(ISNUMBER(J645),ROUND(M645*30,2),"")</f>
        <v>168.6</v>
      </c>
      <c r="O645" s="114"/>
      <c r="P645" s="113"/>
      <c r="R645" s="203"/>
      <c r="S645" s="182"/>
      <c r="T645" s="182"/>
      <c r="U645" s="182"/>
      <c r="V645" s="182"/>
      <c r="W645" s="182"/>
      <c r="X645" s="182"/>
      <c r="Y645" s="182"/>
      <c r="Z645" s="182"/>
      <c r="AA645" s="182"/>
      <c r="AB645" s="182"/>
      <c r="AC645" s="182"/>
      <c r="AD645" s="182"/>
      <c r="AE645" s="182"/>
      <c r="AF645" s="182"/>
      <c r="AG645" s="182"/>
      <c r="AH645" s="182"/>
      <c r="AI645" s="182"/>
      <c r="AJ645" s="182"/>
      <c r="AK645" s="182"/>
      <c r="AL645" s="182"/>
      <c r="AM645" s="182"/>
      <c r="AN645" s="182"/>
      <c r="AO645" s="182"/>
      <c r="AP645" s="182"/>
      <c r="AQ645" s="182"/>
      <c r="AR645" s="182"/>
      <c r="AS645" s="182"/>
      <c r="AT645" s="182"/>
      <c r="AU645" s="182"/>
      <c r="AV645" s="182"/>
      <c r="AW645" s="182"/>
      <c r="AX645" s="182"/>
      <c r="AY645" s="182"/>
      <c r="AZ645" s="182"/>
      <c r="BA645" s="182"/>
      <c r="BB645" s="182"/>
      <c r="BC645" s="182"/>
      <c r="BD645" s="182"/>
      <c r="BE645" s="182"/>
      <c r="BF645" s="182"/>
      <c r="BG645" s="182"/>
      <c r="BH645" s="182"/>
      <c r="BI645" s="182"/>
      <c r="BJ645" s="182"/>
      <c r="BK645" s="182"/>
      <c r="BL645" s="182"/>
      <c r="BM645" s="182"/>
      <c r="BN645" s="182"/>
      <c r="BO645" s="182"/>
      <c r="BP645" s="182"/>
      <c r="BQ645" s="182"/>
      <c r="BR645" s="182"/>
      <c r="BS645" s="182"/>
      <c r="BT645" s="182"/>
      <c r="BU645" s="182"/>
      <c r="BV645" s="182"/>
      <c r="BW645" s="182"/>
      <c r="BX645" s="182"/>
      <c r="BY645" s="182"/>
      <c r="BZ645" s="182"/>
      <c r="CA645" s="182"/>
      <c r="CB645" s="182"/>
      <c r="CC645" s="182"/>
      <c r="CD645" s="182"/>
      <c r="CE645" s="182"/>
      <c r="CF645" s="182"/>
      <c r="CG645" s="182"/>
      <c r="CH645" s="182"/>
      <c r="CI645" s="182"/>
      <c r="CJ645" s="182"/>
      <c r="CK645" s="182"/>
      <c r="CL645" s="182"/>
      <c r="CM645" s="182"/>
      <c r="CN645" s="182"/>
      <c r="CO645" s="182"/>
      <c r="CP645" s="182"/>
      <c r="CQ645" s="182"/>
      <c r="CR645" s="182"/>
      <c r="CS645" s="182"/>
      <c r="CT645" s="182"/>
      <c r="CU645" s="182"/>
      <c r="CV645" s="182"/>
      <c r="CW645" s="182"/>
      <c r="CX645" s="182"/>
      <c r="CY645" s="182"/>
      <c r="CZ645" s="182"/>
      <c r="DA645" s="182"/>
      <c r="DB645" s="182"/>
      <c r="DC645" s="182"/>
      <c r="DD645" s="182"/>
      <c r="DE645" s="182"/>
      <c r="DF645" s="182"/>
      <c r="DG645" s="182"/>
      <c r="DH645" s="182"/>
      <c r="DI645" s="182"/>
      <c r="DJ645" s="182"/>
      <c r="DK645" s="182"/>
      <c r="DL645" s="182"/>
      <c r="DM645" s="182"/>
      <c r="DN645" s="182"/>
      <c r="DO645" s="182"/>
      <c r="DP645" s="182"/>
      <c r="DQ645" s="182"/>
      <c r="DR645" s="182"/>
      <c r="DS645" s="182"/>
      <c r="DT645" s="182"/>
      <c r="DU645" s="182"/>
      <c r="DV645" s="182"/>
      <c r="DW645" s="182"/>
      <c r="DX645" s="182"/>
      <c r="DY645" s="182"/>
      <c r="DZ645" s="182"/>
      <c r="EA645" s="182"/>
      <c r="EB645" s="182"/>
      <c r="EC645" s="182"/>
      <c r="ED645" s="182"/>
      <c r="EE645" s="182"/>
      <c r="EF645" s="182"/>
      <c r="EG645" s="182"/>
      <c r="EH645" s="182"/>
      <c r="EI645" s="182"/>
      <c r="EJ645" s="182"/>
      <c r="EK645" s="182"/>
      <c r="EL645" s="182"/>
      <c r="EM645" s="182"/>
      <c r="EN645" s="182"/>
      <c r="EO645" s="182"/>
      <c r="EP645" s="182"/>
      <c r="EQ645" s="182"/>
      <c r="ER645" s="182"/>
      <c r="ES645" s="182"/>
      <c r="ET645" s="182"/>
      <c r="EU645" s="182"/>
      <c r="EV645" s="182"/>
      <c r="EW645" s="182"/>
      <c r="EX645" s="182"/>
      <c r="EY645" s="182"/>
      <c r="EZ645" s="182"/>
      <c r="FA645" s="182"/>
      <c r="FB645" s="182"/>
      <c r="FC645" s="182"/>
      <c r="FD645" s="182"/>
      <c r="FE645" s="182"/>
      <c r="FF645" s="182"/>
      <c r="FG645" s="182"/>
      <c r="FH645" s="182"/>
      <c r="FI645" s="182"/>
      <c r="FJ645" s="182"/>
      <c r="FK645" s="182"/>
      <c r="FL645" s="182"/>
      <c r="FM645" s="182"/>
      <c r="FN645" s="182"/>
      <c r="FO645" s="182"/>
      <c r="FP645" s="182"/>
      <c r="FQ645" s="182"/>
      <c r="FR645" s="182"/>
      <c r="FS645" s="182"/>
      <c r="FT645" s="182"/>
      <c r="FU645" s="182"/>
      <c r="FV645" s="182"/>
      <c r="FW645" s="182"/>
      <c r="FX645" s="182"/>
      <c r="FY645" s="182"/>
      <c r="FZ645" s="182"/>
      <c r="GA645" s="182"/>
      <c r="GB645" s="182"/>
      <c r="GC645" s="182"/>
      <c r="GD645" s="182"/>
      <c r="GE645" s="182"/>
      <c r="GF645" s="182"/>
      <c r="GG645" s="182"/>
      <c r="GH645" s="182"/>
      <c r="GI645" s="182"/>
    </row>
    <row r="646" spans="1:191" s="183" customFormat="1" x14ac:dyDescent="0.2">
      <c r="A646" s="210" t="s">
        <v>38313</v>
      </c>
      <c r="B646" s="210" t="s">
        <v>20825</v>
      </c>
      <c r="C646" s="224" t="s">
        <v>22664</v>
      </c>
      <c r="D646" s="211" t="s">
        <v>16</v>
      </c>
      <c r="E646" s="211">
        <v>1</v>
      </c>
      <c r="F646" s="211"/>
      <c r="G646" s="211"/>
      <c r="H646" s="231">
        <v>10</v>
      </c>
      <c r="I646" s="213">
        <f t="shared" si="44"/>
        <v>8.3333333333333332E-3</v>
      </c>
      <c r="J646" s="272">
        <v>697.61</v>
      </c>
      <c r="K646" s="113"/>
      <c r="L646" s="213"/>
      <c r="M646" s="112">
        <f t="shared" si="45"/>
        <v>5.81</v>
      </c>
      <c r="N646" s="112">
        <f t="shared" si="46"/>
        <v>174.3</v>
      </c>
      <c r="O646" s="114"/>
      <c r="P646" s="113"/>
      <c r="R646" s="203"/>
      <c r="S646" s="182"/>
      <c r="T646" s="182"/>
      <c r="U646" s="182"/>
      <c r="V646" s="182"/>
      <c r="W646" s="182"/>
      <c r="X646" s="182"/>
      <c r="Y646" s="182"/>
      <c r="Z646" s="182"/>
      <c r="AA646" s="182"/>
      <c r="AB646" s="182"/>
      <c r="AC646" s="182"/>
      <c r="AD646" s="182"/>
      <c r="AE646" s="182"/>
      <c r="AF646" s="182"/>
      <c r="AG646" s="182"/>
      <c r="AH646" s="182"/>
      <c r="AI646" s="182"/>
      <c r="AJ646" s="182"/>
      <c r="AK646" s="182"/>
      <c r="AL646" s="182"/>
      <c r="AM646" s="182"/>
      <c r="AN646" s="182"/>
      <c r="AO646" s="182"/>
      <c r="AP646" s="182"/>
      <c r="AQ646" s="182"/>
      <c r="AR646" s="182"/>
      <c r="AS646" s="182"/>
      <c r="AT646" s="182"/>
      <c r="AU646" s="182"/>
      <c r="AV646" s="182"/>
      <c r="AW646" s="182"/>
      <c r="AX646" s="182"/>
      <c r="AY646" s="182"/>
      <c r="AZ646" s="182"/>
      <c r="BA646" s="182"/>
      <c r="BB646" s="182"/>
      <c r="BC646" s="182"/>
      <c r="BD646" s="182"/>
      <c r="BE646" s="182"/>
      <c r="BF646" s="182"/>
      <c r="BG646" s="182"/>
      <c r="BH646" s="182"/>
      <c r="BI646" s="182"/>
      <c r="BJ646" s="182"/>
      <c r="BK646" s="182"/>
      <c r="BL646" s="182"/>
      <c r="BM646" s="182"/>
      <c r="BN646" s="182"/>
      <c r="BO646" s="182"/>
      <c r="BP646" s="182"/>
      <c r="BQ646" s="182"/>
      <c r="BR646" s="182"/>
      <c r="BS646" s="182"/>
      <c r="BT646" s="182"/>
      <c r="BU646" s="182"/>
      <c r="BV646" s="182"/>
      <c r="BW646" s="182"/>
      <c r="BX646" s="182"/>
      <c r="BY646" s="182"/>
      <c r="BZ646" s="182"/>
      <c r="CA646" s="182"/>
      <c r="CB646" s="182"/>
      <c r="CC646" s="182"/>
      <c r="CD646" s="182"/>
      <c r="CE646" s="182"/>
      <c r="CF646" s="182"/>
      <c r="CG646" s="182"/>
      <c r="CH646" s="182"/>
      <c r="CI646" s="182"/>
      <c r="CJ646" s="182"/>
      <c r="CK646" s="182"/>
      <c r="CL646" s="182"/>
      <c r="CM646" s="182"/>
      <c r="CN646" s="182"/>
      <c r="CO646" s="182"/>
      <c r="CP646" s="182"/>
      <c r="CQ646" s="182"/>
      <c r="CR646" s="182"/>
      <c r="CS646" s="182"/>
      <c r="CT646" s="182"/>
      <c r="CU646" s="182"/>
      <c r="CV646" s="182"/>
      <c r="CW646" s="182"/>
      <c r="CX646" s="182"/>
      <c r="CY646" s="182"/>
      <c r="CZ646" s="182"/>
      <c r="DA646" s="182"/>
      <c r="DB646" s="182"/>
      <c r="DC646" s="182"/>
      <c r="DD646" s="182"/>
      <c r="DE646" s="182"/>
      <c r="DF646" s="182"/>
      <c r="DG646" s="182"/>
      <c r="DH646" s="182"/>
      <c r="DI646" s="182"/>
      <c r="DJ646" s="182"/>
      <c r="DK646" s="182"/>
      <c r="DL646" s="182"/>
      <c r="DM646" s="182"/>
      <c r="DN646" s="182"/>
      <c r="DO646" s="182"/>
      <c r="DP646" s="182"/>
      <c r="DQ646" s="182"/>
      <c r="DR646" s="182"/>
      <c r="DS646" s="182"/>
      <c r="DT646" s="182"/>
      <c r="DU646" s="182"/>
      <c r="DV646" s="182"/>
      <c r="DW646" s="182"/>
      <c r="DX646" s="182"/>
      <c r="DY646" s="182"/>
      <c r="DZ646" s="182"/>
      <c r="EA646" s="182"/>
      <c r="EB646" s="182"/>
      <c r="EC646" s="182"/>
      <c r="ED646" s="182"/>
      <c r="EE646" s="182"/>
      <c r="EF646" s="182"/>
      <c r="EG646" s="182"/>
      <c r="EH646" s="182"/>
      <c r="EI646" s="182"/>
      <c r="EJ646" s="182"/>
      <c r="EK646" s="182"/>
      <c r="EL646" s="182"/>
      <c r="EM646" s="182"/>
      <c r="EN646" s="182"/>
      <c r="EO646" s="182"/>
      <c r="EP646" s="182"/>
      <c r="EQ646" s="182"/>
      <c r="ER646" s="182"/>
      <c r="ES646" s="182"/>
      <c r="ET646" s="182"/>
      <c r="EU646" s="182"/>
      <c r="EV646" s="182"/>
      <c r="EW646" s="182"/>
      <c r="EX646" s="182"/>
      <c r="EY646" s="182"/>
      <c r="EZ646" s="182"/>
      <c r="FA646" s="182"/>
      <c r="FB646" s="182"/>
      <c r="FC646" s="182"/>
      <c r="FD646" s="182"/>
      <c r="FE646" s="182"/>
      <c r="FF646" s="182"/>
      <c r="FG646" s="182"/>
      <c r="FH646" s="182"/>
      <c r="FI646" s="182"/>
      <c r="FJ646" s="182"/>
      <c r="FK646" s="182"/>
      <c r="FL646" s="182"/>
      <c r="FM646" s="182"/>
      <c r="FN646" s="182"/>
      <c r="FO646" s="182"/>
      <c r="FP646" s="182"/>
      <c r="FQ646" s="182"/>
      <c r="FR646" s="182"/>
      <c r="FS646" s="182"/>
      <c r="FT646" s="182"/>
      <c r="FU646" s="182"/>
      <c r="FV646" s="182"/>
      <c r="FW646" s="182"/>
      <c r="FX646" s="182"/>
      <c r="FY646" s="182"/>
      <c r="FZ646" s="182"/>
      <c r="GA646" s="182"/>
      <c r="GB646" s="182"/>
      <c r="GC646" s="182"/>
      <c r="GD646" s="182"/>
      <c r="GE646" s="182"/>
      <c r="GF646" s="182"/>
      <c r="GG646" s="182"/>
      <c r="GH646" s="182"/>
      <c r="GI646" s="182"/>
    </row>
    <row r="647" spans="1:191" s="183" customFormat="1" x14ac:dyDescent="0.2">
      <c r="A647" s="210" t="s">
        <v>38314</v>
      </c>
      <c r="B647" s="210" t="s">
        <v>20826</v>
      </c>
      <c r="C647" s="224" t="s">
        <v>22665</v>
      </c>
      <c r="D647" s="211" t="s">
        <v>16</v>
      </c>
      <c r="E647" s="211">
        <v>4</v>
      </c>
      <c r="F647" s="211"/>
      <c r="G647" s="211"/>
      <c r="H647" s="231">
        <v>10</v>
      </c>
      <c r="I647" s="213">
        <f t="shared" si="44"/>
        <v>8.3333333333333332E-3</v>
      </c>
      <c r="J647" s="272">
        <v>1603.93</v>
      </c>
      <c r="K647" s="113"/>
      <c r="L647" s="213"/>
      <c r="M647" s="112">
        <f t="shared" si="45"/>
        <v>53.46</v>
      </c>
      <c r="N647" s="112">
        <f t="shared" si="46"/>
        <v>1603.8</v>
      </c>
      <c r="O647" s="114"/>
      <c r="P647" s="113"/>
      <c r="R647" s="203"/>
      <c r="S647" s="182"/>
      <c r="T647" s="182"/>
      <c r="U647" s="182"/>
      <c r="V647" s="182"/>
      <c r="W647" s="182"/>
      <c r="X647" s="182"/>
      <c r="Y647" s="182"/>
      <c r="Z647" s="182"/>
      <c r="AA647" s="182"/>
      <c r="AB647" s="182"/>
      <c r="AC647" s="182"/>
      <c r="AD647" s="182"/>
      <c r="AE647" s="182"/>
      <c r="AF647" s="182"/>
      <c r="AG647" s="182"/>
      <c r="AH647" s="182"/>
      <c r="AI647" s="182"/>
      <c r="AJ647" s="182"/>
      <c r="AK647" s="182"/>
      <c r="AL647" s="182"/>
      <c r="AM647" s="182"/>
      <c r="AN647" s="182"/>
      <c r="AO647" s="182"/>
      <c r="AP647" s="182"/>
      <c r="AQ647" s="182"/>
      <c r="AR647" s="182"/>
      <c r="AS647" s="182"/>
      <c r="AT647" s="182"/>
      <c r="AU647" s="182"/>
      <c r="AV647" s="182"/>
      <c r="AW647" s="182"/>
      <c r="AX647" s="182"/>
      <c r="AY647" s="182"/>
      <c r="AZ647" s="182"/>
      <c r="BA647" s="182"/>
      <c r="BB647" s="182"/>
      <c r="BC647" s="182"/>
      <c r="BD647" s="182"/>
      <c r="BE647" s="182"/>
      <c r="BF647" s="182"/>
      <c r="BG647" s="182"/>
      <c r="BH647" s="182"/>
      <c r="BI647" s="182"/>
      <c r="BJ647" s="182"/>
      <c r="BK647" s="182"/>
      <c r="BL647" s="182"/>
      <c r="BM647" s="182"/>
      <c r="BN647" s="182"/>
      <c r="BO647" s="182"/>
      <c r="BP647" s="182"/>
      <c r="BQ647" s="182"/>
      <c r="BR647" s="182"/>
      <c r="BS647" s="182"/>
      <c r="BT647" s="182"/>
      <c r="BU647" s="182"/>
      <c r="BV647" s="182"/>
      <c r="BW647" s="182"/>
      <c r="BX647" s="182"/>
      <c r="BY647" s="182"/>
      <c r="BZ647" s="182"/>
      <c r="CA647" s="182"/>
      <c r="CB647" s="182"/>
      <c r="CC647" s="182"/>
      <c r="CD647" s="182"/>
      <c r="CE647" s="182"/>
      <c r="CF647" s="182"/>
      <c r="CG647" s="182"/>
      <c r="CH647" s="182"/>
      <c r="CI647" s="182"/>
      <c r="CJ647" s="182"/>
      <c r="CK647" s="182"/>
      <c r="CL647" s="182"/>
      <c r="CM647" s="182"/>
      <c r="CN647" s="182"/>
      <c r="CO647" s="182"/>
      <c r="CP647" s="182"/>
      <c r="CQ647" s="182"/>
      <c r="CR647" s="182"/>
      <c r="CS647" s="182"/>
      <c r="CT647" s="182"/>
      <c r="CU647" s="182"/>
      <c r="CV647" s="182"/>
      <c r="CW647" s="182"/>
      <c r="CX647" s="182"/>
      <c r="CY647" s="182"/>
      <c r="CZ647" s="182"/>
      <c r="DA647" s="182"/>
      <c r="DB647" s="182"/>
      <c r="DC647" s="182"/>
      <c r="DD647" s="182"/>
      <c r="DE647" s="182"/>
      <c r="DF647" s="182"/>
      <c r="DG647" s="182"/>
      <c r="DH647" s="182"/>
      <c r="DI647" s="182"/>
      <c r="DJ647" s="182"/>
      <c r="DK647" s="182"/>
      <c r="DL647" s="182"/>
      <c r="DM647" s="182"/>
      <c r="DN647" s="182"/>
      <c r="DO647" s="182"/>
      <c r="DP647" s="182"/>
      <c r="DQ647" s="182"/>
      <c r="DR647" s="182"/>
      <c r="DS647" s="182"/>
      <c r="DT647" s="182"/>
      <c r="DU647" s="182"/>
      <c r="DV647" s="182"/>
      <c r="DW647" s="182"/>
      <c r="DX647" s="182"/>
      <c r="DY647" s="182"/>
      <c r="DZ647" s="182"/>
      <c r="EA647" s="182"/>
      <c r="EB647" s="182"/>
      <c r="EC647" s="182"/>
      <c r="ED647" s="182"/>
      <c r="EE647" s="182"/>
      <c r="EF647" s="182"/>
      <c r="EG647" s="182"/>
      <c r="EH647" s="182"/>
      <c r="EI647" s="182"/>
      <c r="EJ647" s="182"/>
      <c r="EK647" s="182"/>
      <c r="EL647" s="182"/>
      <c r="EM647" s="182"/>
      <c r="EN647" s="182"/>
      <c r="EO647" s="182"/>
      <c r="EP647" s="182"/>
      <c r="EQ647" s="182"/>
      <c r="ER647" s="182"/>
      <c r="ES647" s="182"/>
      <c r="ET647" s="182"/>
      <c r="EU647" s="182"/>
      <c r="EV647" s="182"/>
      <c r="EW647" s="182"/>
      <c r="EX647" s="182"/>
      <c r="EY647" s="182"/>
      <c r="EZ647" s="182"/>
      <c r="FA647" s="182"/>
      <c r="FB647" s="182"/>
      <c r="FC647" s="182"/>
      <c r="FD647" s="182"/>
      <c r="FE647" s="182"/>
      <c r="FF647" s="182"/>
      <c r="FG647" s="182"/>
      <c r="FH647" s="182"/>
      <c r="FI647" s="182"/>
      <c r="FJ647" s="182"/>
      <c r="FK647" s="182"/>
      <c r="FL647" s="182"/>
      <c r="FM647" s="182"/>
      <c r="FN647" s="182"/>
      <c r="FO647" s="182"/>
      <c r="FP647" s="182"/>
      <c r="FQ647" s="182"/>
      <c r="FR647" s="182"/>
      <c r="FS647" s="182"/>
      <c r="FT647" s="182"/>
      <c r="FU647" s="182"/>
      <c r="FV647" s="182"/>
      <c r="FW647" s="182"/>
      <c r="FX647" s="182"/>
      <c r="FY647" s="182"/>
      <c r="FZ647" s="182"/>
      <c r="GA647" s="182"/>
      <c r="GB647" s="182"/>
      <c r="GC647" s="182"/>
      <c r="GD647" s="182"/>
      <c r="GE647" s="182"/>
      <c r="GF647" s="182"/>
      <c r="GG647" s="182"/>
      <c r="GH647" s="182"/>
      <c r="GI647" s="182"/>
    </row>
    <row r="648" spans="1:191" s="183" customFormat="1" x14ac:dyDescent="0.2">
      <c r="A648" s="210" t="s">
        <v>38315</v>
      </c>
      <c r="B648" s="210" t="s">
        <v>20827</v>
      </c>
      <c r="C648" s="224" t="s">
        <v>22666</v>
      </c>
      <c r="D648" s="211" t="s">
        <v>16</v>
      </c>
      <c r="E648" s="211">
        <v>3</v>
      </c>
      <c r="F648" s="211"/>
      <c r="G648" s="211"/>
      <c r="H648" s="231">
        <v>5</v>
      </c>
      <c r="I648" s="213">
        <f t="shared" si="44"/>
        <v>1.6666666666666666E-2</v>
      </c>
      <c r="J648" s="272">
        <v>34.69</v>
      </c>
      <c r="K648" s="113"/>
      <c r="L648" s="213"/>
      <c r="M648" s="112">
        <f t="shared" si="45"/>
        <v>1.73</v>
      </c>
      <c r="N648" s="112">
        <f t="shared" si="46"/>
        <v>51.9</v>
      </c>
      <c r="O648" s="114"/>
      <c r="P648" s="113"/>
      <c r="R648" s="203"/>
      <c r="S648" s="182"/>
      <c r="T648" s="182"/>
      <c r="U648" s="182"/>
      <c r="V648" s="182"/>
      <c r="W648" s="182"/>
      <c r="X648" s="182"/>
      <c r="Y648" s="182"/>
      <c r="Z648" s="182"/>
      <c r="AA648" s="182"/>
      <c r="AB648" s="182"/>
      <c r="AC648" s="182"/>
      <c r="AD648" s="182"/>
      <c r="AE648" s="182"/>
      <c r="AF648" s="182"/>
      <c r="AG648" s="182"/>
      <c r="AH648" s="182"/>
      <c r="AI648" s="182"/>
      <c r="AJ648" s="182"/>
      <c r="AK648" s="182"/>
      <c r="AL648" s="182"/>
      <c r="AM648" s="182"/>
      <c r="AN648" s="182"/>
      <c r="AO648" s="182"/>
      <c r="AP648" s="182"/>
      <c r="AQ648" s="182"/>
      <c r="AR648" s="182"/>
      <c r="AS648" s="182"/>
      <c r="AT648" s="182"/>
      <c r="AU648" s="182"/>
      <c r="AV648" s="182"/>
      <c r="AW648" s="182"/>
      <c r="AX648" s="182"/>
      <c r="AY648" s="182"/>
      <c r="AZ648" s="182"/>
      <c r="BA648" s="182"/>
      <c r="BB648" s="182"/>
      <c r="BC648" s="182"/>
      <c r="BD648" s="182"/>
      <c r="BE648" s="182"/>
      <c r="BF648" s="182"/>
      <c r="BG648" s="182"/>
      <c r="BH648" s="182"/>
      <c r="BI648" s="182"/>
      <c r="BJ648" s="182"/>
      <c r="BK648" s="182"/>
      <c r="BL648" s="182"/>
      <c r="BM648" s="182"/>
      <c r="BN648" s="182"/>
      <c r="BO648" s="182"/>
      <c r="BP648" s="182"/>
      <c r="BQ648" s="182"/>
      <c r="BR648" s="182"/>
      <c r="BS648" s="182"/>
      <c r="BT648" s="182"/>
      <c r="BU648" s="182"/>
      <c r="BV648" s="182"/>
      <c r="BW648" s="182"/>
      <c r="BX648" s="182"/>
      <c r="BY648" s="182"/>
      <c r="BZ648" s="182"/>
      <c r="CA648" s="182"/>
      <c r="CB648" s="182"/>
      <c r="CC648" s="182"/>
      <c r="CD648" s="182"/>
      <c r="CE648" s="182"/>
      <c r="CF648" s="182"/>
      <c r="CG648" s="182"/>
      <c r="CH648" s="182"/>
      <c r="CI648" s="182"/>
      <c r="CJ648" s="182"/>
      <c r="CK648" s="182"/>
      <c r="CL648" s="182"/>
      <c r="CM648" s="182"/>
      <c r="CN648" s="182"/>
      <c r="CO648" s="182"/>
      <c r="CP648" s="182"/>
      <c r="CQ648" s="182"/>
      <c r="CR648" s="182"/>
      <c r="CS648" s="182"/>
      <c r="CT648" s="182"/>
      <c r="CU648" s="182"/>
      <c r="CV648" s="182"/>
      <c r="CW648" s="182"/>
      <c r="CX648" s="182"/>
      <c r="CY648" s="182"/>
      <c r="CZ648" s="182"/>
      <c r="DA648" s="182"/>
      <c r="DB648" s="182"/>
      <c r="DC648" s="182"/>
      <c r="DD648" s="182"/>
      <c r="DE648" s="182"/>
      <c r="DF648" s="182"/>
      <c r="DG648" s="182"/>
      <c r="DH648" s="182"/>
      <c r="DI648" s="182"/>
      <c r="DJ648" s="182"/>
      <c r="DK648" s="182"/>
      <c r="DL648" s="182"/>
      <c r="DM648" s="182"/>
      <c r="DN648" s="182"/>
      <c r="DO648" s="182"/>
      <c r="DP648" s="182"/>
      <c r="DQ648" s="182"/>
      <c r="DR648" s="182"/>
      <c r="DS648" s="182"/>
      <c r="DT648" s="182"/>
      <c r="DU648" s="182"/>
      <c r="DV648" s="182"/>
      <c r="DW648" s="182"/>
      <c r="DX648" s="182"/>
      <c r="DY648" s="182"/>
      <c r="DZ648" s="182"/>
      <c r="EA648" s="182"/>
      <c r="EB648" s="182"/>
      <c r="EC648" s="182"/>
      <c r="ED648" s="182"/>
      <c r="EE648" s="182"/>
      <c r="EF648" s="182"/>
      <c r="EG648" s="182"/>
      <c r="EH648" s="182"/>
      <c r="EI648" s="182"/>
      <c r="EJ648" s="182"/>
      <c r="EK648" s="182"/>
      <c r="EL648" s="182"/>
      <c r="EM648" s="182"/>
      <c r="EN648" s="182"/>
      <c r="EO648" s="182"/>
      <c r="EP648" s="182"/>
      <c r="EQ648" s="182"/>
      <c r="ER648" s="182"/>
      <c r="ES648" s="182"/>
      <c r="ET648" s="182"/>
      <c r="EU648" s="182"/>
      <c r="EV648" s="182"/>
      <c r="EW648" s="182"/>
      <c r="EX648" s="182"/>
      <c r="EY648" s="182"/>
      <c r="EZ648" s="182"/>
      <c r="FA648" s="182"/>
      <c r="FB648" s="182"/>
      <c r="FC648" s="182"/>
      <c r="FD648" s="182"/>
      <c r="FE648" s="182"/>
      <c r="FF648" s="182"/>
      <c r="FG648" s="182"/>
      <c r="FH648" s="182"/>
      <c r="FI648" s="182"/>
      <c r="FJ648" s="182"/>
      <c r="FK648" s="182"/>
      <c r="FL648" s="182"/>
      <c r="FM648" s="182"/>
      <c r="FN648" s="182"/>
      <c r="FO648" s="182"/>
      <c r="FP648" s="182"/>
      <c r="FQ648" s="182"/>
      <c r="FR648" s="182"/>
      <c r="FS648" s="182"/>
      <c r="FT648" s="182"/>
      <c r="FU648" s="182"/>
      <c r="FV648" s="182"/>
      <c r="FW648" s="182"/>
      <c r="FX648" s="182"/>
      <c r="FY648" s="182"/>
      <c r="FZ648" s="182"/>
      <c r="GA648" s="182"/>
      <c r="GB648" s="182"/>
      <c r="GC648" s="182"/>
      <c r="GD648" s="182"/>
      <c r="GE648" s="182"/>
      <c r="GF648" s="182"/>
      <c r="GG648" s="182"/>
      <c r="GH648" s="182"/>
      <c r="GI648" s="182"/>
    </row>
    <row r="649" spans="1:191" s="183" customFormat="1" x14ac:dyDescent="0.2">
      <c r="A649" s="210" t="s">
        <v>38316</v>
      </c>
      <c r="B649" s="210" t="s">
        <v>20828</v>
      </c>
      <c r="C649" s="224" t="s">
        <v>22667</v>
      </c>
      <c r="D649" s="211" t="s">
        <v>16</v>
      </c>
      <c r="E649" s="211">
        <v>24</v>
      </c>
      <c r="F649" s="211"/>
      <c r="G649" s="211"/>
      <c r="H649" s="231">
        <v>5</v>
      </c>
      <c r="I649" s="213">
        <f t="shared" si="44"/>
        <v>1.6666666666666666E-2</v>
      </c>
      <c r="J649" s="272">
        <v>43.55</v>
      </c>
      <c r="K649" s="113"/>
      <c r="L649" s="213"/>
      <c r="M649" s="112">
        <f t="shared" si="45"/>
        <v>17.420000000000002</v>
      </c>
      <c r="N649" s="112">
        <f t="shared" si="46"/>
        <v>522.6</v>
      </c>
      <c r="O649" s="114"/>
      <c r="P649" s="113"/>
      <c r="R649" s="203"/>
      <c r="S649" s="182"/>
      <c r="T649" s="182"/>
      <c r="U649" s="182"/>
      <c r="V649" s="182"/>
      <c r="W649" s="182"/>
      <c r="X649" s="182"/>
      <c r="Y649" s="182"/>
      <c r="Z649" s="182"/>
      <c r="AA649" s="182"/>
      <c r="AB649" s="182"/>
      <c r="AC649" s="182"/>
      <c r="AD649" s="182"/>
      <c r="AE649" s="182"/>
      <c r="AF649" s="182"/>
      <c r="AG649" s="182"/>
      <c r="AH649" s="182"/>
      <c r="AI649" s="182"/>
      <c r="AJ649" s="182"/>
      <c r="AK649" s="182"/>
      <c r="AL649" s="182"/>
      <c r="AM649" s="182"/>
      <c r="AN649" s="182"/>
      <c r="AO649" s="182"/>
      <c r="AP649" s="182"/>
      <c r="AQ649" s="182"/>
      <c r="AR649" s="182"/>
      <c r="AS649" s="182"/>
      <c r="AT649" s="182"/>
      <c r="AU649" s="182"/>
      <c r="AV649" s="182"/>
      <c r="AW649" s="182"/>
      <c r="AX649" s="182"/>
      <c r="AY649" s="182"/>
      <c r="AZ649" s="182"/>
      <c r="BA649" s="182"/>
      <c r="BB649" s="182"/>
      <c r="BC649" s="182"/>
      <c r="BD649" s="182"/>
      <c r="BE649" s="182"/>
      <c r="BF649" s="182"/>
      <c r="BG649" s="182"/>
      <c r="BH649" s="182"/>
      <c r="BI649" s="182"/>
      <c r="BJ649" s="182"/>
      <c r="BK649" s="182"/>
      <c r="BL649" s="182"/>
      <c r="BM649" s="182"/>
      <c r="BN649" s="182"/>
      <c r="BO649" s="182"/>
      <c r="BP649" s="182"/>
      <c r="BQ649" s="182"/>
      <c r="BR649" s="182"/>
      <c r="BS649" s="182"/>
      <c r="BT649" s="182"/>
      <c r="BU649" s="182"/>
      <c r="BV649" s="182"/>
      <c r="BW649" s="182"/>
      <c r="BX649" s="182"/>
      <c r="BY649" s="182"/>
      <c r="BZ649" s="182"/>
      <c r="CA649" s="182"/>
      <c r="CB649" s="182"/>
      <c r="CC649" s="182"/>
      <c r="CD649" s="182"/>
      <c r="CE649" s="182"/>
      <c r="CF649" s="182"/>
      <c r="CG649" s="182"/>
      <c r="CH649" s="182"/>
      <c r="CI649" s="182"/>
      <c r="CJ649" s="182"/>
      <c r="CK649" s="182"/>
      <c r="CL649" s="182"/>
      <c r="CM649" s="182"/>
      <c r="CN649" s="182"/>
      <c r="CO649" s="182"/>
      <c r="CP649" s="182"/>
      <c r="CQ649" s="182"/>
      <c r="CR649" s="182"/>
      <c r="CS649" s="182"/>
      <c r="CT649" s="182"/>
      <c r="CU649" s="182"/>
      <c r="CV649" s="182"/>
      <c r="CW649" s="182"/>
      <c r="CX649" s="182"/>
      <c r="CY649" s="182"/>
      <c r="CZ649" s="182"/>
      <c r="DA649" s="182"/>
      <c r="DB649" s="182"/>
      <c r="DC649" s="182"/>
      <c r="DD649" s="182"/>
      <c r="DE649" s="182"/>
      <c r="DF649" s="182"/>
      <c r="DG649" s="182"/>
      <c r="DH649" s="182"/>
      <c r="DI649" s="182"/>
      <c r="DJ649" s="182"/>
      <c r="DK649" s="182"/>
      <c r="DL649" s="182"/>
      <c r="DM649" s="182"/>
      <c r="DN649" s="182"/>
      <c r="DO649" s="182"/>
      <c r="DP649" s="182"/>
      <c r="DQ649" s="182"/>
      <c r="DR649" s="182"/>
      <c r="DS649" s="182"/>
      <c r="DT649" s="182"/>
      <c r="DU649" s="182"/>
      <c r="DV649" s="182"/>
      <c r="DW649" s="182"/>
      <c r="DX649" s="182"/>
      <c r="DY649" s="182"/>
      <c r="DZ649" s="182"/>
      <c r="EA649" s="182"/>
      <c r="EB649" s="182"/>
      <c r="EC649" s="182"/>
      <c r="ED649" s="182"/>
      <c r="EE649" s="182"/>
      <c r="EF649" s="182"/>
      <c r="EG649" s="182"/>
      <c r="EH649" s="182"/>
      <c r="EI649" s="182"/>
      <c r="EJ649" s="182"/>
      <c r="EK649" s="182"/>
      <c r="EL649" s="182"/>
      <c r="EM649" s="182"/>
      <c r="EN649" s="182"/>
      <c r="EO649" s="182"/>
      <c r="EP649" s="182"/>
      <c r="EQ649" s="182"/>
      <c r="ER649" s="182"/>
      <c r="ES649" s="182"/>
      <c r="ET649" s="182"/>
      <c r="EU649" s="182"/>
      <c r="EV649" s="182"/>
      <c r="EW649" s="182"/>
      <c r="EX649" s="182"/>
      <c r="EY649" s="182"/>
      <c r="EZ649" s="182"/>
      <c r="FA649" s="182"/>
      <c r="FB649" s="182"/>
      <c r="FC649" s="182"/>
      <c r="FD649" s="182"/>
      <c r="FE649" s="182"/>
      <c r="FF649" s="182"/>
      <c r="FG649" s="182"/>
      <c r="FH649" s="182"/>
      <c r="FI649" s="182"/>
      <c r="FJ649" s="182"/>
      <c r="FK649" s="182"/>
      <c r="FL649" s="182"/>
      <c r="FM649" s="182"/>
      <c r="FN649" s="182"/>
      <c r="FO649" s="182"/>
      <c r="FP649" s="182"/>
      <c r="FQ649" s="182"/>
      <c r="FR649" s="182"/>
      <c r="FS649" s="182"/>
      <c r="FT649" s="182"/>
      <c r="FU649" s="182"/>
      <c r="FV649" s="182"/>
      <c r="FW649" s="182"/>
      <c r="FX649" s="182"/>
      <c r="FY649" s="182"/>
      <c r="FZ649" s="182"/>
      <c r="GA649" s="182"/>
      <c r="GB649" s="182"/>
      <c r="GC649" s="182"/>
      <c r="GD649" s="182"/>
      <c r="GE649" s="182"/>
      <c r="GF649" s="182"/>
      <c r="GG649" s="182"/>
      <c r="GH649" s="182"/>
      <c r="GI649" s="182"/>
    </row>
    <row r="650" spans="1:191" s="183" customFormat="1" x14ac:dyDescent="0.2">
      <c r="A650" s="210" t="s">
        <v>38317</v>
      </c>
      <c r="B650" s="210" t="s">
        <v>20829</v>
      </c>
      <c r="C650" s="224" t="s">
        <v>22668</v>
      </c>
      <c r="D650" s="211" t="s">
        <v>16</v>
      </c>
      <c r="E650" s="211">
        <v>3</v>
      </c>
      <c r="F650" s="211"/>
      <c r="G650" s="211"/>
      <c r="H650" s="231">
        <v>5</v>
      </c>
      <c r="I650" s="213">
        <f t="shared" si="44"/>
        <v>1.6666666666666666E-2</v>
      </c>
      <c r="J650" s="272">
        <v>1799</v>
      </c>
      <c r="K650" s="113"/>
      <c r="L650" s="213"/>
      <c r="M650" s="112">
        <f t="shared" si="45"/>
        <v>89.95</v>
      </c>
      <c r="N650" s="112">
        <f t="shared" si="46"/>
        <v>2698.5</v>
      </c>
      <c r="O650" s="114"/>
      <c r="P650" s="113"/>
      <c r="R650" s="203"/>
      <c r="S650" s="182"/>
      <c r="T650" s="182"/>
      <c r="U650" s="182"/>
      <c r="V650" s="182"/>
      <c r="W650" s="182"/>
      <c r="X650" s="182"/>
      <c r="Y650" s="182"/>
      <c r="Z650" s="182"/>
      <c r="AA650" s="182"/>
      <c r="AB650" s="182"/>
      <c r="AC650" s="182"/>
      <c r="AD650" s="182"/>
      <c r="AE650" s="182"/>
      <c r="AF650" s="182"/>
      <c r="AG650" s="182"/>
      <c r="AH650" s="182"/>
      <c r="AI650" s="182"/>
      <c r="AJ650" s="182"/>
      <c r="AK650" s="182"/>
      <c r="AL650" s="182"/>
      <c r="AM650" s="182"/>
      <c r="AN650" s="182"/>
      <c r="AO650" s="182"/>
      <c r="AP650" s="182"/>
      <c r="AQ650" s="182"/>
      <c r="AR650" s="182"/>
      <c r="AS650" s="182"/>
      <c r="AT650" s="182"/>
      <c r="AU650" s="182"/>
      <c r="AV650" s="182"/>
      <c r="AW650" s="182"/>
      <c r="AX650" s="182"/>
      <c r="AY650" s="182"/>
      <c r="AZ650" s="182"/>
      <c r="BA650" s="182"/>
      <c r="BB650" s="182"/>
      <c r="BC650" s="182"/>
      <c r="BD650" s="182"/>
      <c r="BE650" s="182"/>
      <c r="BF650" s="182"/>
      <c r="BG650" s="182"/>
      <c r="BH650" s="182"/>
      <c r="BI650" s="182"/>
      <c r="BJ650" s="182"/>
      <c r="BK650" s="182"/>
      <c r="BL650" s="182"/>
      <c r="BM650" s="182"/>
      <c r="BN650" s="182"/>
      <c r="BO650" s="182"/>
      <c r="BP650" s="182"/>
      <c r="BQ650" s="182"/>
      <c r="BR650" s="182"/>
      <c r="BS650" s="182"/>
      <c r="BT650" s="182"/>
      <c r="BU650" s="182"/>
      <c r="BV650" s="182"/>
      <c r="BW650" s="182"/>
      <c r="BX650" s="182"/>
      <c r="BY650" s="182"/>
      <c r="BZ650" s="182"/>
      <c r="CA650" s="182"/>
      <c r="CB650" s="182"/>
      <c r="CC650" s="182"/>
      <c r="CD650" s="182"/>
      <c r="CE650" s="182"/>
      <c r="CF650" s="182"/>
      <c r="CG650" s="182"/>
      <c r="CH650" s="182"/>
      <c r="CI650" s="182"/>
      <c r="CJ650" s="182"/>
      <c r="CK650" s="182"/>
      <c r="CL650" s="182"/>
      <c r="CM650" s="182"/>
      <c r="CN650" s="182"/>
      <c r="CO650" s="182"/>
      <c r="CP650" s="182"/>
      <c r="CQ650" s="182"/>
      <c r="CR650" s="182"/>
      <c r="CS650" s="182"/>
      <c r="CT650" s="182"/>
      <c r="CU650" s="182"/>
      <c r="CV650" s="182"/>
      <c r="CW650" s="182"/>
      <c r="CX650" s="182"/>
      <c r="CY650" s="182"/>
      <c r="CZ650" s="182"/>
      <c r="DA650" s="182"/>
      <c r="DB650" s="182"/>
      <c r="DC650" s="182"/>
      <c r="DD650" s="182"/>
      <c r="DE650" s="182"/>
      <c r="DF650" s="182"/>
      <c r="DG650" s="182"/>
      <c r="DH650" s="182"/>
      <c r="DI650" s="182"/>
      <c r="DJ650" s="182"/>
      <c r="DK650" s="182"/>
      <c r="DL650" s="182"/>
      <c r="DM650" s="182"/>
      <c r="DN650" s="182"/>
      <c r="DO650" s="182"/>
      <c r="DP650" s="182"/>
      <c r="DQ650" s="182"/>
      <c r="DR650" s="182"/>
      <c r="DS650" s="182"/>
      <c r="DT650" s="182"/>
      <c r="DU650" s="182"/>
      <c r="DV650" s="182"/>
      <c r="DW650" s="182"/>
      <c r="DX650" s="182"/>
      <c r="DY650" s="182"/>
      <c r="DZ650" s="182"/>
      <c r="EA650" s="182"/>
      <c r="EB650" s="182"/>
      <c r="EC650" s="182"/>
      <c r="ED650" s="182"/>
      <c r="EE650" s="182"/>
      <c r="EF650" s="182"/>
      <c r="EG650" s="182"/>
      <c r="EH650" s="182"/>
      <c r="EI650" s="182"/>
      <c r="EJ650" s="182"/>
      <c r="EK650" s="182"/>
      <c r="EL650" s="182"/>
      <c r="EM650" s="182"/>
      <c r="EN650" s="182"/>
      <c r="EO650" s="182"/>
      <c r="EP650" s="182"/>
      <c r="EQ650" s="182"/>
      <c r="ER650" s="182"/>
      <c r="ES650" s="182"/>
      <c r="ET650" s="182"/>
      <c r="EU650" s="182"/>
      <c r="EV650" s="182"/>
      <c r="EW650" s="182"/>
      <c r="EX650" s="182"/>
      <c r="EY650" s="182"/>
      <c r="EZ650" s="182"/>
      <c r="FA650" s="182"/>
      <c r="FB650" s="182"/>
      <c r="FC650" s="182"/>
      <c r="FD650" s="182"/>
      <c r="FE650" s="182"/>
      <c r="FF650" s="182"/>
      <c r="FG650" s="182"/>
      <c r="FH650" s="182"/>
      <c r="FI650" s="182"/>
      <c r="FJ650" s="182"/>
      <c r="FK650" s="182"/>
      <c r="FL650" s="182"/>
      <c r="FM650" s="182"/>
      <c r="FN650" s="182"/>
      <c r="FO650" s="182"/>
      <c r="FP650" s="182"/>
      <c r="FQ650" s="182"/>
      <c r="FR650" s="182"/>
      <c r="FS650" s="182"/>
      <c r="FT650" s="182"/>
      <c r="FU650" s="182"/>
      <c r="FV650" s="182"/>
      <c r="FW650" s="182"/>
      <c r="FX650" s="182"/>
      <c r="FY650" s="182"/>
      <c r="FZ650" s="182"/>
      <c r="GA650" s="182"/>
      <c r="GB650" s="182"/>
      <c r="GC650" s="182"/>
      <c r="GD650" s="182"/>
      <c r="GE650" s="182"/>
      <c r="GF650" s="182"/>
      <c r="GG650" s="182"/>
      <c r="GH650" s="182"/>
      <c r="GI650" s="182"/>
    </row>
    <row r="651" spans="1:191" s="183" customFormat="1" x14ac:dyDescent="0.2">
      <c r="A651" s="210" t="s">
        <v>38318</v>
      </c>
      <c r="B651" s="210" t="s">
        <v>20830</v>
      </c>
      <c r="C651" s="224" t="s">
        <v>22669</v>
      </c>
      <c r="D651" s="211" t="s">
        <v>16</v>
      </c>
      <c r="E651" s="211">
        <v>1</v>
      </c>
      <c r="F651" s="211"/>
      <c r="G651" s="211"/>
      <c r="H651" s="231">
        <v>5</v>
      </c>
      <c r="I651" s="213">
        <f t="shared" si="44"/>
        <v>1.6666666666666666E-2</v>
      </c>
      <c r="J651" s="272">
        <v>2499</v>
      </c>
      <c r="K651" s="113"/>
      <c r="L651" s="213"/>
      <c r="M651" s="112">
        <f t="shared" si="45"/>
        <v>41.65</v>
      </c>
      <c r="N651" s="112">
        <f t="shared" si="46"/>
        <v>1249.5</v>
      </c>
      <c r="O651" s="114"/>
      <c r="P651" s="113"/>
      <c r="R651" s="203"/>
      <c r="S651" s="182"/>
      <c r="T651" s="182"/>
      <c r="U651" s="182"/>
      <c r="V651" s="182"/>
      <c r="W651" s="182"/>
      <c r="X651" s="182"/>
      <c r="Y651" s="182"/>
      <c r="Z651" s="182"/>
      <c r="AA651" s="182"/>
      <c r="AB651" s="182"/>
      <c r="AC651" s="182"/>
      <c r="AD651" s="182"/>
      <c r="AE651" s="182"/>
      <c r="AF651" s="182"/>
      <c r="AG651" s="182"/>
      <c r="AH651" s="182"/>
      <c r="AI651" s="182"/>
      <c r="AJ651" s="182"/>
      <c r="AK651" s="182"/>
      <c r="AL651" s="182"/>
      <c r="AM651" s="182"/>
      <c r="AN651" s="182"/>
      <c r="AO651" s="182"/>
      <c r="AP651" s="182"/>
      <c r="AQ651" s="182"/>
      <c r="AR651" s="182"/>
      <c r="AS651" s="182"/>
      <c r="AT651" s="182"/>
      <c r="AU651" s="182"/>
      <c r="AV651" s="182"/>
      <c r="AW651" s="182"/>
      <c r="AX651" s="182"/>
      <c r="AY651" s="182"/>
      <c r="AZ651" s="182"/>
      <c r="BA651" s="182"/>
      <c r="BB651" s="182"/>
      <c r="BC651" s="182"/>
      <c r="BD651" s="182"/>
      <c r="BE651" s="182"/>
      <c r="BF651" s="182"/>
      <c r="BG651" s="182"/>
      <c r="BH651" s="182"/>
      <c r="BI651" s="182"/>
      <c r="BJ651" s="182"/>
      <c r="BK651" s="182"/>
      <c r="BL651" s="182"/>
      <c r="BM651" s="182"/>
      <c r="BN651" s="182"/>
      <c r="BO651" s="182"/>
      <c r="BP651" s="182"/>
      <c r="BQ651" s="182"/>
      <c r="BR651" s="182"/>
      <c r="BS651" s="182"/>
      <c r="BT651" s="182"/>
      <c r="BU651" s="182"/>
      <c r="BV651" s="182"/>
      <c r="BW651" s="182"/>
      <c r="BX651" s="182"/>
      <c r="BY651" s="182"/>
      <c r="BZ651" s="182"/>
      <c r="CA651" s="182"/>
      <c r="CB651" s="182"/>
      <c r="CC651" s="182"/>
      <c r="CD651" s="182"/>
      <c r="CE651" s="182"/>
      <c r="CF651" s="182"/>
      <c r="CG651" s="182"/>
      <c r="CH651" s="182"/>
      <c r="CI651" s="182"/>
      <c r="CJ651" s="182"/>
      <c r="CK651" s="182"/>
      <c r="CL651" s="182"/>
      <c r="CM651" s="182"/>
      <c r="CN651" s="182"/>
      <c r="CO651" s="182"/>
      <c r="CP651" s="182"/>
      <c r="CQ651" s="182"/>
      <c r="CR651" s="182"/>
      <c r="CS651" s="182"/>
      <c r="CT651" s="182"/>
      <c r="CU651" s="182"/>
      <c r="CV651" s="182"/>
      <c r="CW651" s="182"/>
      <c r="CX651" s="182"/>
      <c r="CY651" s="182"/>
      <c r="CZ651" s="182"/>
      <c r="DA651" s="182"/>
      <c r="DB651" s="182"/>
      <c r="DC651" s="182"/>
      <c r="DD651" s="182"/>
      <c r="DE651" s="182"/>
      <c r="DF651" s="182"/>
      <c r="DG651" s="182"/>
      <c r="DH651" s="182"/>
      <c r="DI651" s="182"/>
      <c r="DJ651" s="182"/>
      <c r="DK651" s="182"/>
      <c r="DL651" s="182"/>
      <c r="DM651" s="182"/>
      <c r="DN651" s="182"/>
      <c r="DO651" s="182"/>
      <c r="DP651" s="182"/>
      <c r="DQ651" s="182"/>
      <c r="DR651" s="182"/>
      <c r="DS651" s="182"/>
      <c r="DT651" s="182"/>
      <c r="DU651" s="182"/>
      <c r="DV651" s="182"/>
      <c r="DW651" s="182"/>
      <c r="DX651" s="182"/>
      <c r="DY651" s="182"/>
      <c r="DZ651" s="182"/>
      <c r="EA651" s="182"/>
      <c r="EB651" s="182"/>
      <c r="EC651" s="182"/>
      <c r="ED651" s="182"/>
      <c r="EE651" s="182"/>
      <c r="EF651" s="182"/>
      <c r="EG651" s="182"/>
      <c r="EH651" s="182"/>
      <c r="EI651" s="182"/>
      <c r="EJ651" s="182"/>
      <c r="EK651" s="182"/>
      <c r="EL651" s="182"/>
      <c r="EM651" s="182"/>
      <c r="EN651" s="182"/>
      <c r="EO651" s="182"/>
      <c r="EP651" s="182"/>
      <c r="EQ651" s="182"/>
      <c r="ER651" s="182"/>
      <c r="ES651" s="182"/>
      <c r="ET651" s="182"/>
      <c r="EU651" s="182"/>
      <c r="EV651" s="182"/>
      <c r="EW651" s="182"/>
      <c r="EX651" s="182"/>
      <c r="EY651" s="182"/>
      <c r="EZ651" s="182"/>
      <c r="FA651" s="182"/>
      <c r="FB651" s="182"/>
      <c r="FC651" s="182"/>
      <c r="FD651" s="182"/>
      <c r="FE651" s="182"/>
      <c r="FF651" s="182"/>
      <c r="FG651" s="182"/>
      <c r="FH651" s="182"/>
      <c r="FI651" s="182"/>
      <c r="FJ651" s="182"/>
      <c r="FK651" s="182"/>
      <c r="FL651" s="182"/>
      <c r="FM651" s="182"/>
      <c r="FN651" s="182"/>
      <c r="FO651" s="182"/>
      <c r="FP651" s="182"/>
      <c r="FQ651" s="182"/>
      <c r="FR651" s="182"/>
      <c r="FS651" s="182"/>
      <c r="FT651" s="182"/>
      <c r="FU651" s="182"/>
      <c r="FV651" s="182"/>
      <c r="FW651" s="182"/>
      <c r="FX651" s="182"/>
      <c r="FY651" s="182"/>
      <c r="FZ651" s="182"/>
      <c r="GA651" s="182"/>
      <c r="GB651" s="182"/>
      <c r="GC651" s="182"/>
      <c r="GD651" s="182"/>
      <c r="GE651" s="182"/>
      <c r="GF651" s="182"/>
      <c r="GG651" s="182"/>
      <c r="GH651" s="182"/>
      <c r="GI651" s="182"/>
    </row>
    <row r="652" spans="1:191" s="183" customFormat="1" x14ac:dyDescent="0.2">
      <c r="A652" s="210" t="s">
        <v>38319</v>
      </c>
      <c r="B652" s="210" t="s">
        <v>20831</v>
      </c>
      <c r="C652" s="224" t="s">
        <v>22670</v>
      </c>
      <c r="D652" s="211" t="s">
        <v>468</v>
      </c>
      <c r="E652" s="211">
        <v>1</v>
      </c>
      <c r="F652" s="211"/>
      <c r="G652" s="211"/>
      <c r="H652" s="231">
        <v>10</v>
      </c>
      <c r="I652" s="213">
        <f t="shared" si="44"/>
        <v>8.3333333333333332E-3</v>
      </c>
      <c r="J652" s="272">
        <v>3652.11</v>
      </c>
      <c r="K652" s="113"/>
      <c r="L652" s="213"/>
      <c r="M652" s="112">
        <f t="shared" si="45"/>
        <v>30.43</v>
      </c>
      <c r="N652" s="112">
        <f t="shared" si="46"/>
        <v>912.9</v>
      </c>
      <c r="O652" s="114"/>
      <c r="P652" s="113"/>
      <c r="R652" s="203"/>
      <c r="S652" s="182"/>
      <c r="T652" s="182"/>
      <c r="U652" s="182"/>
      <c r="V652" s="182"/>
      <c r="W652" s="182"/>
      <c r="X652" s="182"/>
      <c r="Y652" s="182"/>
      <c r="Z652" s="182"/>
      <c r="AA652" s="182"/>
      <c r="AB652" s="182"/>
      <c r="AC652" s="182"/>
      <c r="AD652" s="182"/>
      <c r="AE652" s="182"/>
      <c r="AF652" s="182"/>
      <c r="AG652" s="182"/>
      <c r="AH652" s="182"/>
      <c r="AI652" s="182"/>
      <c r="AJ652" s="182"/>
      <c r="AK652" s="182"/>
      <c r="AL652" s="182"/>
      <c r="AM652" s="182"/>
      <c r="AN652" s="182"/>
      <c r="AO652" s="182"/>
      <c r="AP652" s="182"/>
      <c r="AQ652" s="182"/>
      <c r="AR652" s="182"/>
      <c r="AS652" s="182"/>
      <c r="AT652" s="182"/>
      <c r="AU652" s="182"/>
      <c r="AV652" s="182"/>
      <c r="AW652" s="182"/>
      <c r="AX652" s="182"/>
      <c r="AY652" s="182"/>
      <c r="AZ652" s="182"/>
      <c r="BA652" s="182"/>
      <c r="BB652" s="182"/>
      <c r="BC652" s="182"/>
      <c r="BD652" s="182"/>
      <c r="BE652" s="182"/>
      <c r="BF652" s="182"/>
      <c r="BG652" s="182"/>
      <c r="BH652" s="182"/>
      <c r="BI652" s="182"/>
      <c r="BJ652" s="182"/>
      <c r="BK652" s="182"/>
      <c r="BL652" s="182"/>
      <c r="BM652" s="182"/>
      <c r="BN652" s="182"/>
      <c r="BO652" s="182"/>
      <c r="BP652" s="182"/>
      <c r="BQ652" s="182"/>
      <c r="BR652" s="182"/>
      <c r="BS652" s="182"/>
      <c r="BT652" s="182"/>
      <c r="BU652" s="182"/>
      <c r="BV652" s="182"/>
      <c r="BW652" s="182"/>
      <c r="BX652" s="182"/>
      <c r="BY652" s="182"/>
      <c r="BZ652" s="182"/>
      <c r="CA652" s="182"/>
      <c r="CB652" s="182"/>
      <c r="CC652" s="182"/>
      <c r="CD652" s="182"/>
      <c r="CE652" s="182"/>
      <c r="CF652" s="182"/>
      <c r="CG652" s="182"/>
      <c r="CH652" s="182"/>
      <c r="CI652" s="182"/>
      <c r="CJ652" s="182"/>
      <c r="CK652" s="182"/>
      <c r="CL652" s="182"/>
      <c r="CM652" s="182"/>
      <c r="CN652" s="182"/>
      <c r="CO652" s="182"/>
      <c r="CP652" s="182"/>
      <c r="CQ652" s="182"/>
      <c r="CR652" s="182"/>
      <c r="CS652" s="182"/>
      <c r="CT652" s="182"/>
      <c r="CU652" s="182"/>
      <c r="CV652" s="182"/>
      <c r="CW652" s="182"/>
      <c r="CX652" s="182"/>
      <c r="CY652" s="182"/>
      <c r="CZ652" s="182"/>
      <c r="DA652" s="182"/>
      <c r="DB652" s="182"/>
      <c r="DC652" s="182"/>
      <c r="DD652" s="182"/>
      <c r="DE652" s="182"/>
      <c r="DF652" s="182"/>
      <c r="DG652" s="182"/>
      <c r="DH652" s="182"/>
      <c r="DI652" s="182"/>
      <c r="DJ652" s="182"/>
      <c r="DK652" s="182"/>
      <c r="DL652" s="182"/>
      <c r="DM652" s="182"/>
      <c r="DN652" s="182"/>
      <c r="DO652" s="182"/>
      <c r="DP652" s="182"/>
      <c r="DQ652" s="182"/>
      <c r="DR652" s="182"/>
      <c r="DS652" s="182"/>
      <c r="DT652" s="182"/>
      <c r="DU652" s="182"/>
      <c r="DV652" s="182"/>
      <c r="DW652" s="182"/>
      <c r="DX652" s="182"/>
      <c r="DY652" s="182"/>
      <c r="DZ652" s="182"/>
      <c r="EA652" s="182"/>
      <c r="EB652" s="182"/>
      <c r="EC652" s="182"/>
      <c r="ED652" s="182"/>
      <c r="EE652" s="182"/>
      <c r="EF652" s="182"/>
      <c r="EG652" s="182"/>
      <c r="EH652" s="182"/>
      <c r="EI652" s="182"/>
      <c r="EJ652" s="182"/>
      <c r="EK652" s="182"/>
      <c r="EL652" s="182"/>
      <c r="EM652" s="182"/>
      <c r="EN652" s="182"/>
      <c r="EO652" s="182"/>
      <c r="EP652" s="182"/>
      <c r="EQ652" s="182"/>
      <c r="ER652" s="182"/>
      <c r="ES652" s="182"/>
      <c r="ET652" s="182"/>
      <c r="EU652" s="182"/>
      <c r="EV652" s="182"/>
      <c r="EW652" s="182"/>
      <c r="EX652" s="182"/>
      <c r="EY652" s="182"/>
      <c r="EZ652" s="182"/>
      <c r="FA652" s="182"/>
      <c r="FB652" s="182"/>
      <c r="FC652" s="182"/>
      <c r="FD652" s="182"/>
      <c r="FE652" s="182"/>
      <c r="FF652" s="182"/>
      <c r="FG652" s="182"/>
      <c r="FH652" s="182"/>
      <c r="FI652" s="182"/>
      <c r="FJ652" s="182"/>
      <c r="FK652" s="182"/>
      <c r="FL652" s="182"/>
      <c r="FM652" s="182"/>
      <c r="FN652" s="182"/>
      <c r="FO652" s="182"/>
      <c r="FP652" s="182"/>
      <c r="FQ652" s="182"/>
      <c r="FR652" s="182"/>
      <c r="FS652" s="182"/>
      <c r="FT652" s="182"/>
      <c r="FU652" s="182"/>
      <c r="FV652" s="182"/>
      <c r="FW652" s="182"/>
      <c r="FX652" s="182"/>
      <c r="FY652" s="182"/>
      <c r="FZ652" s="182"/>
      <c r="GA652" s="182"/>
      <c r="GB652" s="182"/>
      <c r="GC652" s="182"/>
      <c r="GD652" s="182"/>
      <c r="GE652" s="182"/>
      <c r="GF652" s="182"/>
      <c r="GG652" s="182"/>
      <c r="GH652" s="182"/>
      <c r="GI652" s="182"/>
    </row>
    <row r="653" spans="1:191" s="183" customFormat="1" x14ac:dyDescent="0.2">
      <c r="A653" s="210" t="s">
        <v>38320</v>
      </c>
      <c r="B653" s="210" t="s">
        <v>20832</v>
      </c>
      <c r="C653" s="224" t="s">
        <v>22671</v>
      </c>
      <c r="D653" s="211" t="s">
        <v>16</v>
      </c>
      <c r="E653" s="211">
        <v>3</v>
      </c>
      <c r="F653" s="211"/>
      <c r="G653" s="211"/>
      <c r="H653" s="231">
        <v>10</v>
      </c>
      <c r="I653" s="213">
        <f t="shared" si="44"/>
        <v>8.3333333333333332E-3</v>
      </c>
      <c r="J653" s="272">
        <v>2457.0100000000002</v>
      </c>
      <c r="K653" s="113"/>
      <c r="L653" s="213"/>
      <c r="M653" s="112">
        <f t="shared" si="45"/>
        <v>61.43</v>
      </c>
      <c r="N653" s="112">
        <f t="shared" si="46"/>
        <v>1842.9</v>
      </c>
      <c r="O653" s="114"/>
      <c r="P653" s="113"/>
      <c r="R653" s="203"/>
      <c r="S653" s="182"/>
      <c r="T653" s="182"/>
      <c r="U653" s="182"/>
      <c r="V653" s="182"/>
      <c r="W653" s="182"/>
      <c r="X653" s="182"/>
      <c r="Y653" s="182"/>
      <c r="Z653" s="182"/>
      <c r="AA653" s="182"/>
      <c r="AB653" s="182"/>
      <c r="AC653" s="182"/>
      <c r="AD653" s="182"/>
      <c r="AE653" s="182"/>
      <c r="AF653" s="182"/>
      <c r="AG653" s="182"/>
      <c r="AH653" s="182"/>
      <c r="AI653" s="182"/>
      <c r="AJ653" s="182"/>
      <c r="AK653" s="182"/>
      <c r="AL653" s="182"/>
      <c r="AM653" s="182"/>
      <c r="AN653" s="182"/>
      <c r="AO653" s="182"/>
      <c r="AP653" s="182"/>
      <c r="AQ653" s="182"/>
      <c r="AR653" s="182"/>
      <c r="AS653" s="182"/>
      <c r="AT653" s="182"/>
      <c r="AU653" s="182"/>
      <c r="AV653" s="182"/>
      <c r="AW653" s="182"/>
      <c r="AX653" s="182"/>
      <c r="AY653" s="182"/>
      <c r="AZ653" s="182"/>
      <c r="BA653" s="182"/>
      <c r="BB653" s="182"/>
      <c r="BC653" s="182"/>
      <c r="BD653" s="182"/>
      <c r="BE653" s="182"/>
      <c r="BF653" s="182"/>
      <c r="BG653" s="182"/>
      <c r="BH653" s="182"/>
      <c r="BI653" s="182"/>
      <c r="BJ653" s="182"/>
      <c r="BK653" s="182"/>
      <c r="BL653" s="182"/>
      <c r="BM653" s="182"/>
      <c r="BN653" s="182"/>
      <c r="BO653" s="182"/>
      <c r="BP653" s="182"/>
      <c r="BQ653" s="182"/>
      <c r="BR653" s="182"/>
      <c r="BS653" s="182"/>
      <c r="BT653" s="182"/>
      <c r="BU653" s="182"/>
      <c r="BV653" s="182"/>
      <c r="BW653" s="182"/>
      <c r="BX653" s="182"/>
      <c r="BY653" s="182"/>
      <c r="BZ653" s="182"/>
      <c r="CA653" s="182"/>
      <c r="CB653" s="182"/>
      <c r="CC653" s="182"/>
      <c r="CD653" s="182"/>
      <c r="CE653" s="182"/>
      <c r="CF653" s="182"/>
      <c r="CG653" s="182"/>
      <c r="CH653" s="182"/>
      <c r="CI653" s="182"/>
      <c r="CJ653" s="182"/>
      <c r="CK653" s="182"/>
      <c r="CL653" s="182"/>
      <c r="CM653" s="182"/>
      <c r="CN653" s="182"/>
      <c r="CO653" s="182"/>
      <c r="CP653" s="182"/>
      <c r="CQ653" s="182"/>
      <c r="CR653" s="182"/>
      <c r="CS653" s="182"/>
      <c r="CT653" s="182"/>
      <c r="CU653" s="182"/>
      <c r="CV653" s="182"/>
      <c r="CW653" s="182"/>
      <c r="CX653" s="182"/>
      <c r="CY653" s="182"/>
      <c r="CZ653" s="182"/>
      <c r="DA653" s="182"/>
      <c r="DB653" s="182"/>
      <c r="DC653" s="182"/>
      <c r="DD653" s="182"/>
      <c r="DE653" s="182"/>
      <c r="DF653" s="182"/>
      <c r="DG653" s="182"/>
      <c r="DH653" s="182"/>
      <c r="DI653" s="182"/>
      <c r="DJ653" s="182"/>
      <c r="DK653" s="182"/>
      <c r="DL653" s="182"/>
      <c r="DM653" s="182"/>
      <c r="DN653" s="182"/>
      <c r="DO653" s="182"/>
      <c r="DP653" s="182"/>
      <c r="DQ653" s="182"/>
      <c r="DR653" s="182"/>
      <c r="DS653" s="182"/>
      <c r="DT653" s="182"/>
      <c r="DU653" s="182"/>
      <c r="DV653" s="182"/>
      <c r="DW653" s="182"/>
      <c r="DX653" s="182"/>
      <c r="DY653" s="182"/>
      <c r="DZ653" s="182"/>
      <c r="EA653" s="182"/>
      <c r="EB653" s="182"/>
      <c r="EC653" s="182"/>
      <c r="ED653" s="182"/>
      <c r="EE653" s="182"/>
      <c r="EF653" s="182"/>
      <c r="EG653" s="182"/>
      <c r="EH653" s="182"/>
      <c r="EI653" s="182"/>
      <c r="EJ653" s="182"/>
      <c r="EK653" s="182"/>
      <c r="EL653" s="182"/>
      <c r="EM653" s="182"/>
      <c r="EN653" s="182"/>
      <c r="EO653" s="182"/>
      <c r="EP653" s="182"/>
      <c r="EQ653" s="182"/>
      <c r="ER653" s="182"/>
      <c r="ES653" s="182"/>
      <c r="ET653" s="182"/>
      <c r="EU653" s="182"/>
      <c r="EV653" s="182"/>
      <c r="EW653" s="182"/>
      <c r="EX653" s="182"/>
      <c r="EY653" s="182"/>
      <c r="EZ653" s="182"/>
      <c r="FA653" s="182"/>
      <c r="FB653" s="182"/>
      <c r="FC653" s="182"/>
      <c r="FD653" s="182"/>
      <c r="FE653" s="182"/>
      <c r="FF653" s="182"/>
      <c r="FG653" s="182"/>
      <c r="FH653" s="182"/>
      <c r="FI653" s="182"/>
      <c r="FJ653" s="182"/>
      <c r="FK653" s="182"/>
      <c r="FL653" s="182"/>
      <c r="FM653" s="182"/>
      <c r="FN653" s="182"/>
      <c r="FO653" s="182"/>
      <c r="FP653" s="182"/>
      <c r="FQ653" s="182"/>
      <c r="FR653" s="182"/>
      <c r="FS653" s="182"/>
      <c r="FT653" s="182"/>
      <c r="FU653" s="182"/>
      <c r="FV653" s="182"/>
      <c r="FW653" s="182"/>
      <c r="FX653" s="182"/>
      <c r="FY653" s="182"/>
      <c r="FZ653" s="182"/>
      <c r="GA653" s="182"/>
      <c r="GB653" s="182"/>
      <c r="GC653" s="182"/>
      <c r="GD653" s="182"/>
      <c r="GE653" s="182"/>
      <c r="GF653" s="182"/>
      <c r="GG653" s="182"/>
      <c r="GH653" s="182"/>
      <c r="GI653" s="182"/>
    </row>
    <row r="654" spans="1:191" s="183" customFormat="1" x14ac:dyDescent="0.2">
      <c r="A654" s="210" t="s">
        <v>38321</v>
      </c>
      <c r="B654" s="210" t="s">
        <v>20833</v>
      </c>
      <c r="C654" s="224" t="s">
        <v>22672</v>
      </c>
      <c r="D654" s="211" t="s">
        <v>16</v>
      </c>
      <c r="E654" s="211">
        <v>6</v>
      </c>
      <c r="F654" s="211"/>
      <c r="G654" s="211"/>
      <c r="H654" s="231">
        <v>5</v>
      </c>
      <c r="I654" s="213">
        <f t="shared" si="44"/>
        <v>1.6666666666666666E-2</v>
      </c>
      <c r="J654" s="272">
        <v>312.22000000000003</v>
      </c>
      <c r="K654" s="113"/>
      <c r="L654" s="213"/>
      <c r="M654" s="112">
        <f t="shared" si="45"/>
        <v>31.22</v>
      </c>
      <c r="N654" s="112">
        <f t="shared" si="46"/>
        <v>936.6</v>
      </c>
      <c r="O654" s="114"/>
      <c r="P654" s="113"/>
      <c r="R654" s="203"/>
      <c r="S654" s="182"/>
      <c r="T654" s="182"/>
      <c r="U654" s="182"/>
      <c r="V654" s="182"/>
      <c r="W654" s="182"/>
      <c r="X654" s="182"/>
      <c r="Y654" s="182"/>
      <c r="Z654" s="182"/>
      <c r="AA654" s="182"/>
      <c r="AB654" s="182"/>
      <c r="AC654" s="182"/>
      <c r="AD654" s="182"/>
      <c r="AE654" s="182"/>
      <c r="AF654" s="182"/>
      <c r="AG654" s="182"/>
      <c r="AH654" s="182"/>
      <c r="AI654" s="182"/>
      <c r="AJ654" s="182"/>
      <c r="AK654" s="182"/>
      <c r="AL654" s="182"/>
      <c r="AM654" s="182"/>
      <c r="AN654" s="182"/>
      <c r="AO654" s="182"/>
      <c r="AP654" s="182"/>
      <c r="AQ654" s="182"/>
      <c r="AR654" s="182"/>
      <c r="AS654" s="182"/>
      <c r="AT654" s="182"/>
      <c r="AU654" s="182"/>
      <c r="AV654" s="182"/>
      <c r="AW654" s="182"/>
      <c r="AX654" s="182"/>
      <c r="AY654" s="182"/>
      <c r="AZ654" s="182"/>
      <c r="BA654" s="182"/>
      <c r="BB654" s="182"/>
      <c r="BC654" s="182"/>
      <c r="BD654" s="182"/>
      <c r="BE654" s="182"/>
      <c r="BF654" s="182"/>
      <c r="BG654" s="182"/>
      <c r="BH654" s="182"/>
      <c r="BI654" s="182"/>
      <c r="BJ654" s="182"/>
      <c r="BK654" s="182"/>
      <c r="BL654" s="182"/>
      <c r="BM654" s="182"/>
      <c r="BN654" s="182"/>
      <c r="BO654" s="182"/>
      <c r="BP654" s="182"/>
      <c r="BQ654" s="182"/>
      <c r="BR654" s="182"/>
      <c r="BS654" s="182"/>
      <c r="BT654" s="182"/>
      <c r="BU654" s="182"/>
      <c r="BV654" s="182"/>
      <c r="BW654" s="182"/>
      <c r="BX654" s="182"/>
      <c r="BY654" s="182"/>
      <c r="BZ654" s="182"/>
      <c r="CA654" s="182"/>
      <c r="CB654" s="182"/>
      <c r="CC654" s="182"/>
      <c r="CD654" s="182"/>
      <c r="CE654" s="182"/>
      <c r="CF654" s="182"/>
      <c r="CG654" s="182"/>
      <c r="CH654" s="182"/>
      <c r="CI654" s="182"/>
      <c r="CJ654" s="182"/>
      <c r="CK654" s="182"/>
      <c r="CL654" s="182"/>
      <c r="CM654" s="182"/>
      <c r="CN654" s="182"/>
      <c r="CO654" s="182"/>
      <c r="CP654" s="182"/>
      <c r="CQ654" s="182"/>
      <c r="CR654" s="182"/>
      <c r="CS654" s="182"/>
      <c r="CT654" s="182"/>
      <c r="CU654" s="182"/>
      <c r="CV654" s="182"/>
      <c r="CW654" s="182"/>
      <c r="CX654" s="182"/>
      <c r="CY654" s="182"/>
      <c r="CZ654" s="182"/>
      <c r="DA654" s="182"/>
      <c r="DB654" s="182"/>
      <c r="DC654" s="182"/>
      <c r="DD654" s="182"/>
      <c r="DE654" s="182"/>
      <c r="DF654" s="182"/>
      <c r="DG654" s="182"/>
      <c r="DH654" s="182"/>
      <c r="DI654" s="182"/>
      <c r="DJ654" s="182"/>
      <c r="DK654" s="182"/>
      <c r="DL654" s="182"/>
      <c r="DM654" s="182"/>
      <c r="DN654" s="182"/>
      <c r="DO654" s="182"/>
      <c r="DP654" s="182"/>
      <c r="DQ654" s="182"/>
      <c r="DR654" s="182"/>
      <c r="DS654" s="182"/>
      <c r="DT654" s="182"/>
      <c r="DU654" s="182"/>
      <c r="DV654" s="182"/>
      <c r="DW654" s="182"/>
      <c r="DX654" s="182"/>
      <c r="DY654" s="182"/>
      <c r="DZ654" s="182"/>
      <c r="EA654" s="182"/>
      <c r="EB654" s="182"/>
      <c r="EC654" s="182"/>
      <c r="ED654" s="182"/>
      <c r="EE654" s="182"/>
      <c r="EF654" s="182"/>
      <c r="EG654" s="182"/>
      <c r="EH654" s="182"/>
      <c r="EI654" s="182"/>
      <c r="EJ654" s="182"/>
      <c r="EK654" s="182"/>
      <c r="EL654" s="182"/>
      <c r="EM654" s="182"/>
      <c r="EN654" s="182"/>
      <c r="EO654" s="182"/>
      <c r="EP654" s="182"/>
      <c r="EQ654" s="182"/>
      <c r="ER654" s="182"/>
      <c r="ES654" s="182"/>
      <c r="ET654" s="182"/>
      <c r="EU654" s="182"/>
      <c r="EV654" s="182"/>
      <c r="EW654" s="182"/>
      <c r="EX654" s="182"/>
      <c r="EY654" s="182"/>
      <c r="EZ654" s="182"/>
      <c r="FA654" s="182"/>
      <c r="FB654" s="182"/>
      <c r="FC654" s="182"/>
      <c r="FD654" s="182"/>
      <c r="FE654" s="182"/>
      <c r="FF654" s="182"/>
      <c r="FG654" s="182"/>
      <c r="FH654" s="182"/>
      <c r="FI654" s="182"/>
      <c r="FJ654" s="182"/>
      <c r="FK654" s="182"/>
      <c r="FL654" s="182"/>
      <c r="FM654" s="182"/>
      <c r="FN654" s="182"/>
      <c r="FO654" s="182"/>
      <c r="FP654" s="182"/>
      <c r="FQ654" s="182"/>
      <c r="FR654" s="182"/>
      <c r="FS654" s="182"/>
      <c r="FT654" s="182"/>
      <c r="FU654" s="182"/>
      <c r="FV654" s="182"/>
      <c r="FW654" s="182"/>
      <c r="FX654" s="182"/>
      <c r="FY654" s="182"/>
      <c r="FZ654" s="182"/>
      <c r="GA654" s="182"/>
      <c r="GB654" s="182"/>
      <c r="GC654" s="182"/>
      <c r="GD654" s="182"/>
      <c r="GE654" s="182"/>
      <c r="GF654" s="182"/>
      <c r="GG654" s="182"/>
      <c r="GH654" s="182"/>
      <c r="GI654" s="182"/>
    </row>
    <row r="655" spans="1:191" s="183" customFormat="1" x14ac:dyDescent="0.2">
      <c r="A655" s="210" t="s">
        <v>38322</v>
      </c>
      <c r="B655" s="210" t="s">
        <v>20834</v>
      </c>
      <c r="C655" s="224" t="s">
        <v>22673</v>
      </c>
      <c r="D655" s="211" t="s">
        <v>16</v>
      </c>
      <c r="E655" s="211">
        <v>3</v>
      </c>
      <c r="F655" s="211"/>
      <c r="G655" s="211"/>
      <c r="H655" s="231">
        <v>5</v>
      </c>
      <c r="I655" s="213">
        <f t="shared" si="44"/>
        <v>1.6666666666666666E-2</v>
      </c>
      <c r="J655" s="272">
        <v>151.34</v>
      </c>
      <c r="K655" s="113"/>
      <c r="L655" s="213"/>
      <c r="M655" s="112">
        <f t="shared" si="45"/>
        <v>7.57</v>
      </c>
      <c r="N655" s="112">
        <f t="shared" si="46"/>
        <v>227.1</v>
      </c>
      <c r="O655" s="114"/>
      <c r="P655" s="113"/>
      <c r="R655" s="203"/>
      <c r="S655" s="182"/>
      <c r="T655" s="182"/>
      <c r="U655" s="182"/>
      <c r="V655" s="182"/>
      <c r="W655" s="182"/>
      <c r="X655" s="182"/>
      <c r="Y655" s="182"/>
      <c r="Z655" s="182"/>
      <c r="AA655" s="182"/>
      <c r="AB655" s="182"/>
      <c r="AC655" s="182"/>
      <c r="AD655" s="182"/>
      <c r="AE655" s="182"/>
      <c r="AF655" s="182"/>
      <c r="AG655" s="182"/>
      <c r="AH655" s="182"/>
      <c r="AI655" s="182"/>
      <c r="AJ655" s="182"/>
      <c r="AK655" s="182"/>
      <c r="AL655" s="182"/>
      <c r="AM655" s="182"/>
      <c r="AN655" s="182"/>
      <c r="AO655" s="182"/>
      <c r="AP655" s="182"/>
      <c r="AQ655" s="182"/>
      <c r="AR655" s="182"/>
      <c r="AS655" s="182"/>
      <c r="AT655" s="182"/>
      <c r="AU655" s="182"/>
      <c r="AV655" s="182"/>
      <c r="AW655" s="182"/>
      <c r="AX655" s="182"/>
      <c r="AY655" s="182"/>
      <c r="AZ655" s="182"/>
      <c r="BA655" s="182"/>
      <c r="BB655" s="182"/>
      <c r="BC655" s="182"/>
      <c r="BD655" s="182"/>
      <c r="BE655" s="182"/>
      <c r="BF655" s="182"/>
      <c r="BG655" s="182"/>
      <c r="BH655" s="182"/>
      <c r="BI655" s="182"/>
      <c r="BJ655" s="182"/>
      <c r="BK655" s="182"/>
      <c r="BL655" s="182"/>
      <c r="BM655" s="182"/>
      <c r="BN655" s="182"/>
      <c r="BO655" s="182"/>
      <c r="BP655" s="182"/>
      <c r="BQ655" s="182"/>
      <c r="BR655" s="182"/>
      <c r="BS655" s="182"/>
      <c r="BT655" s="182"/>
      <c r="BU655" s="182"/>
      <c r="BV655" s="182"/>
      <c r="BW655" s="182"/>
      <c r="BX655" s="182"/>
      <c r="BY655" s="182"/>
      <c r="BZ655" s="182"/>
      <c r="CA655" s="182"/>
      <c r="CB655" s="182"/>
      <c r="CC655" s="182"/>
      <c r="CD655" s="182"/>
      <c r="CE655" s="182"/>
      <c r="CF655" s="182"/>
      <c r="CG655" s="182"/>
      <c r="CH655" s="182"/>
      <c r="CI655" s="182"/>
      <c r="CJ655" s="182"/>
      <c r="CK655" s="182"/>
      <c r="CL655" s="182"/>
      <c r="CM655" s="182"/>
      <c r="CN655" s="182"/>
      <c r="CO655" s="182"/>
      <c r="CP655" s="182"/>
      <c r="CQ655" s="182"/>
      <c r="CR655" s="182"/>
      <c r="CS655" s="182"/>
      <c r="CT655" s="182"/>
      <c r="CU655" s="182"/>
      <c r="CV655" s="182"/>
      <c r="CW655" s="182"/>
      <c r="CX655" s="182"/>
      <c r="CY655" s="182"/>
      <c r="CZ655" s="182"/>
      <c r="DA655" s="182"/>
      <c r="DB655" s="182"/>
      <c r="DC655" s="182"/>
      <c r="DD655" s="182"/>
      <c r="DE655" s="182"/>
      <c r="DF655" s="182"/>
      <c r="DG655" s="182"/>
      <c r="DH655" s="182"/>
      <c r="DI655" s="182"/>
      <c r="DJ655" s="182"/>
      <c r="DK655" s="182"/>
      <c r="DL655" s="182"/>
      <c r="DM655" s="182"/>
      <c r="DN655" s="182"/>
      <c r="DO655" s="182"/>
      <c r="DP655" s="182"/>
      <c r="DQ655" s="182"/>
      <c r="DR655" s="182"/>
      <c r="DS655" s="182"/>
      <c r="DT655" s="182"/>
      <c r="DU655" s="182"/>
      <c r="DV655" s="182"/>
      <c r="DW655" s="182"/>
      <c r="DX655" s="182"/>
      <c r="DY655" s="182"/>
      <c r="DZ655" s="182"/>
      <c r="EA655" s="182"/>
      <c r="EB655" s="182"/>
      <c r="EC655" s="182"/>
      <c r="ED655" s="182"/>
      <c r="EE655" s="182"/>
      <c r="EF655" s="182"/>
      <c r="EG655" s="182"/>
      <c r="EH655" s="182"/>
      <c r="EI655" s="182"/>
      <c r="EJ655" s="182"/>
      <c r="EK655" s="182"/>
      <c r="EL655" s="182"/>
      <c r="EM655" s="182"/>
      <c r="EN655" s="182"/>
      <c r="EO655" s="182"/>
      <c r="EP655" s="182"/>
      <c r="EQ655" s="182"/>
      <c r="ER655" s="182"/>
      <c r="ES655" s="182"/>
      <c r="ET655" s="182"/>
      <c r="EU655" s="182"/>
      <c r="EV655" s="182"/>
      <c r="EW655" s="182"/>
      <c r="EX655" s="182"/>
      <c r="EY655" s="182"/>
      <c r="EZ655" s="182"/>
      <c r="FA655" s="182"/>
      <c r="FB655" s="182"/>
      <c r="FC655" s="182"/>
      <c r="FD655" s="182"/>
      <c r="FE655" s="182"/>
      <c r="FF655" s="182"/>
      <c r="FG655" s="182"/>
      <c r="FH655" s="182"/>
      <c r="FI655" s="182"/>
      <c r="FJ655" s="182"/>
      <c r="FK655" s="182"/>
      <c r="FL655" s="182"/>
      <c r="FM655" s="182"/>
      <c r="FN655" s="182"/>
      <c r="FO655" s="182"/>
      <c r="FP655" s="182"/>
      <c r="FQ655" s="182"/>
      <c r="FR655" s="182"/>
      <c r="FS655" s="182"/>
      <c r="FT655" s="182"/>
      <c r="FU655" s="182"/>
      <c r="FV655" s="182"/>
      <c r="FW655" s="182"/>
      <c r="FX655" s="182"/>
      <c r="FY655" s="182"/>
      <c r="FZ655" s="182"/>
      <c r="GA655" s="182"/>
      <c r="GB655" s="182"/>
      <c r="GC655" s="182"/>
      <c r="GD655" s="182"/>
      <c r="GE655" s="182"/>
      <c r="GF655" s="182"/>
      <c r="GG655" s="182"/>
      <c r="GH655" s="182"/>
      <c r="GI655" s="182"/>
    </row>
    <row r="656" spans="1:191" s="183" customFormat="1" x14ac:dyDescent="0.2">
      <c r="A656" s="210" t="s">
        <v>38323</v>
      </c>
      <c r="B656" s="210" t="s">
        <v>20835</v>
      </c>
      <c r="C656" s="224" t="s">
        <v>22674</v>
      </c>
      <c r="D656" s="211" t="s">
        <v>16</v>
      </c>
      <c r="E656" s="211">
        <v>10</v>
      </c>
      <c r="F656" s="211"/>
      <c r="G656" s="211"/>
      <c r="H656" s="231">
        <v>10</v>
      </c>
      <c r="I656" s="213">
        <f t="shared" si="44"/>
        <v>8.3333333333333332E-3</v>
      </c>
      <c r="J656" s="272">
        <v>168.33</v>
      </c>
      <c r="K656" s="113"/>
      <c r="L656" s="213"/>
      <c r="M656" s="112">
        <f t="shared" si="45"/>
        <v>14.03</v>
      </c>
      <c r="N656" s="112">
        <f t="shared" si="46"/>
        <v>420.9</v>
      </c>
      <c r="O656" s="114"/>
      <c r="P656" s="113"/>
      <c r="R656" s="203"/>
      <c r="S656" s="182"/>
      <c r="T656" s="182"/>
      <c r="U656" s="182"/>
      <c r="V656" s="182"/>
      <c r="W656" s="182"/>
      <c r="X656" s="182"/>
      <c r="Y656" s="182"/>
      <c r="Z656" s="182"/>
      <c r="AA656" s="182"/>
      <c r="AB656" s="182"/>
      <c r="AC656" s="182"/>
      <c r="AD656" s="182"/>
      <c r="AE656" s="182"/>
      <c r="AF656" s="182"/>
      <c r="AG656" s="182"/>
      <c r="AH656" s="182"/>
      <c r="AI656" s="182"/>
      <c r="AJ656" s="182"/>
      <c r="AK656" s="182"/>
      <c r="AL656" s="182"/>
      <c r="AM656" s="182"/>
      <c r="AN656" s="182"/>
      <c r="AO656" s="182"/>
      <c r="AP656" s="182"/>
      <c r="AQ656" s="182"/>
      <c r="AR656" s="182"/>
      <c r="AS656" s="182"/>
      <c r="AT656" s="182"/>
      <c r="AU656" s="182"/>
      <c r="AV656" s="182"/>
      <c r="AW656" s="182"/>
      <c r="AX656" s="182"/>
      <c r="AY656" s="182"/>
      <c r="AZ656" s="182"/>
      <c r="BA656" s="182"/>
      <c r="BB656" s="182"/>
      <c r="BC656" s="182"/>
      <c r="BD656" s="182"/>
      <c r="BE656" s="182"/>
      <c r="BF656" s="182"/>
      <c r="BG656" s="182"/>
      <c r="BH656" s="182"/>
      <c r="BI656" s="182"/>
      <c r="BJ656" s="182"/>
      <c r="BK656" s="182"/>
      <c r="BL656" s="182"/>
      <c r="BM656" s="182"/>
      <c r="BN656" s="182"/>
      <c r="BO656" s="182"/>
      <c r="BP656" s="182"/>
      <c r="BQ656" s="182"/>
      <c r="BR656" s="182"/>
      <c r="BS656" s="182"/>
      <c r="BT656" s="182"/>
      <c r="BU656" s="182"/>
      <c r="BV656" s="182"/>
      <c r="BW656" s="182"/>
      <c r="BX656" s="182"/>
      <c r="BY656" s="182"/>
      <c r="BZ656" s="182"/>
      <c r="CA656" s="182"/>
      <c r="CB656" s="182"/>
      <c r="CC656" s="182"/>
      <c r="CD656" s="182"/>
      <c r="CE656" s="182"/>
      <c r="CF656" s="182"/>
      <c r="CG656" s="182"/>
      <c r="CH656" s="182"/>
      <c r="CI656" s="182"/>
      <c r="CJ656" s="182"/>
      <c r="CK656" s="182"/>
      <c r="CL656" s="182"/>
      <c r="CM656" s="182"/>
      <c r="CN656" s="182"/>
      <c r="CO656" s="182"/>
      <c r="CP656" s="182"/>
      <c r="CQ656" s="182"/>
      <c r="CR656" s="182"/>
      <c r="CS656" s="182"/>
      <c r="CT656" s="182"/>
      <c r="CU656" s="182"/>
      <c r="CV656" s="182"/>
      <c r="CW656" s="182"/>
      <c r="CX656" s="182"/>
      <c r="CY656" s="182"/>
      <c r="CZ656" s="182"/>
      <c r="DA656" s="182"/>
      <c r="DB656" s="182"/>
      <c r="DC656" s="182"/>
      <c r="DD656" s="182"/>
      <c r="DE656" s="182"/>
      <c r="DF656" s="182"/>
      <c r="DG656" s="182"/>
      <c r="DH656" s="182"/>
      <c r="DI656" s="182"/>
      <c r="DJ656" s="182"/>
      <c r="DK656" s="182"/>
      <c r="DL656" s="182"/>
      <c r="DM656" s="182"/>
      <c r="DN656" s="182"/>
      <c r="DO656" s="182"/>
      <c r="DP656" s="182"/>
      <c r="DQ656" s="182"/>
      <c r="DR656" s="182"/>
      <c r="DS656" s="182"/>
      <c r="DT656" s="182"/>
      <c r="DU656" s="182"/>
      <c r="DV656" s="182"/>
      <c r="DW656" s="182"/>
      <c r="DX656" s="182"/>
      <c r="DY656" s="182"/>
      <c r="DZ656" s="182"/>
      <c r="EA656" s="182"/>
      <c r="EB656" s="182"/>
      <c r="EC656" s="182"/>
      <c r="ED656" s="182"/>
      <c r="EE656" s="182"/>
      <c r="EF656" s="182"/>
      <c r="EG656" s="182"/>
      <c r="EH656" s="182"/>
      <c r="EI656" s="182"/>
      <c r="EJ656" s="182"/>
      <c r="EK656" s="182"/>
      <c r="EL656" s="182"/>
      <c r="EM656" s="182"/>
      <c r="EN656" s="182"/>
      <c r="EO656" s="182"/>
      <c r="EP656" s="182"/>
      <c r="EQ656" s="182"/>
      <c r="ER656" s="182"/>
      <c r="ES656" s="182"/>
      <c r="ET656" s="182"/>
      <c r="EU656" s="182"/>
      <c r="EV656" s="182"/>
      <c r="EW656" s="182"/>
      <c r="EX656" s="182"/>
      <c r="EY656" s="182"/>
      <c r="EZ656" s="182"/>
      <c r="FA656" s="182"/>
      <c r="FB656" s="182"/>
      <c r="FC656" s="182"/>
      <c r="FD656" s="182"/>
      <c r="FE656" s="182"/>
      <c r="FF656" s="182"/>
      <c r="FG656" s="182"/>
      <c r="FH656" s="182"/>
      <c r="FI656" s="182"/>
      <c r="FJ656" s="182"/>
      <c r="FK656" s="182"/>
      <c r="FL656" s="182"/>
      <c r="FM656" s="182"/>
      <c r="FN656" s="182"/>
      <c r="FO656" s="182"/>
      <c r="FP656" s="182"/>
      <c r="FQ656" s="182"/>
      <c r="FR656" s="182"/>
      <c r="FS656" s="182"/>
      <c r="FT656" s="182"/>
      <c r="FU656" s="182"/>
      <c r="FV656" s="182"/>
      <c r="FW656" s="182"/>
      <c r="FX656" s="182"/>
      <c r="FY656" s="182"/>
      <c r="FZ656" s="182"/>
      <c r="GA656" s="182"/>
      <c r="GB656" s="182"/>
      <c r="GC656" s="182"/>
      <c r="GD656" s="182"/>
      <c r="GE656" s="182"/>
      <c r="GF656" s="182"/>
      <c r="GG656" s="182"/>
      <c r="GH656" s="182"/>
      <c r="GI656" s="182"/>
    </row>
    <row r="657" spans="1:191" s="183" customFormat="1" x14ac:dyDescent="0.2">
      <c r="A657" s="210" t="s">
        <v>38324</v>
      </c>
      <c r="B657" s="210" t="s">
        <v>20836</v>
      </c>
      <c r="C657" s="224" t="s">
        <v>22675</v>
      </c>
      <c r="D657" s="211" t="s">
        <v>16</v>
      </c>
      <c r="E657" s="211">
        <v>35</v>
      </c>
      <c r="F657" s="211"/>
      <c r="G657" s="211"/>
      <c r="H657" s="231">
        <v>10</v>
      </c>
      <c r="I657" s="213">
        <f t="shared" si="44"/>
        <v>8.3333333333333332E-3</v>
      </c>
      <c r="J657" s="272">
        <v>171.9</v>
      </c>
      <c r="K657" s="113"/>
      <c r="L657" s="213"/>
      <c r="M657" s="112">
        <f t="shared" si="45"/>
        <v>50.14</v>
      </c>
      <c r="N657" s="112">
        <f t="shared" si="46"/>
        <v>1504.2</v>
      </c>
      <c r="O657" s="114"/>
      <c r="P657" s="113"/>
      <c r="R657" s="203"/>
      <c r="S657" s="182"/>
      <c r="T657" s="182"/>
      <c r="U657" s="182"/>
      <c r="V657" s="182"/>
      <c r="W657" s="182"/>
      <c r="X657" s="182"/>
      <c r="Y657" s="182"/>
      <c r="Z657" s="182"/>
      <c r="AA657" s="182"/>
      <c r="AB657" s="182"/>
      <c r="AC657" s="182"/>
      <c r="AD657" s="182"/>
      <c r="AE657" s="182"/>
      <c r="AF657" s="182"/>
      <c r="AG657" s="182"/>
      <c r="AH657" s="182"/>
      <c r="AI657" s="182"/>
      <c r="AJ657" s="182"/>
      <c r="AK657" s="182"/>
      <c r="AL657" s="182"/>
      <c r="AM657" s="182"/>
      <c r="AN657" s="182"/>
      <c r="AO657" s="182"/>
      <c r="AP657" s="182"/>
      <c r="AQ657" s="182"/>
      <c r="AR657" s="182"/>
      <c r="AS657" s="182"/>
      <c r="AT657" s="182"/>
      <c r="AU657" s="182"/>
      <c r="AV657" s="182"/>
      <c r="AW657" s="182"/>
      <c r="AX657" s="182"/>
      <c r="AY657" s="182"/>
      <c r="AZ657" s="182"/>
      <c r="BA657" s="182"/>
      <c r="BB657" s="182"/>
      <c r="BC657" s="182"/>
      <c r="BD657" s="182"/>
      <c r="BE657" s="182"/>
      <c r="BF657" s="182"/>
      <c r="BG657" s="182"/>
      <c r="BH657" s="182"/>
      <c r="BI657" s="182"/>
      <c r="BJ657" s="182"/>
      <c r="BK657" s="182"/>
      <c r="BL657" s="182"/>
      <c r="BM657" s="182"/>
      <c r="BN657" s="182"/>
      <c r="BO657" s="182"/>
      <c r="BP657" s="182"/>
      <c r="BQ657" s="182"/>
      <c r="BR657" s="182"/>
      <c r="BS657" s="182"/>
      <c r="BT657" s="182"/>
      <c r="BU657" s="182"/>
      <c r="BV657" s="182"/>
      <c r="BW657" s="182"/>
      <c r="BX657" s="182"/>
      <c r="BY657" s="182"/>
      <c r="BZ657" s="182"/>
      <c r="CA657" s="182"/>
      <c r="CB657" s="182"/>
      <c r="CC657" s="182"/>
      <c r="CD657" s="182"/>
      <c r="CE657" s="182"/>
      <c r="CF657" s="182"/>
      <c r="CG657" s="182"/>
      <c r="CH657" s="182"/>
      <c r="CI657" s="182"/>
      <c r="CJ657" s="182"/>
      <c r="CK657" s="182"/>
      <c r="CL657" s="182"/>
      <c r="CM657" s="182"/>
      <c r="CN657" s="182"/>
      <c r="CO657" s="182"/>
      <c r="CP657" s="182"/>
      <c r="CQ657" s="182"/>
      <c r="CR657" s="182"/>
      <c r="CS657" s="182"/>
      <c r="CT657" s="182"/>
      <c r="CU657" s="182"/>
      <c r="CV657" s="182"/>
      <c r="CW657" s="182"/>
      <c r="CX657" s="182"/>
      <c r="CY657" s="182"/>
      <c r="CZ657" s="182"/>
      <c r="DA657" s="182"/>
      <c r="DB657" s="182"/>
      <c r="DC657" s="182"/>
      <c r="DD657" s="182"/>
      <c r="DE657" s="182"/>
      <c r="DF657" s="182"/>
      <c r="DG657" s="182"/>
      <c r="DH657" s="182"/>
      <c r="DI657" s="182"/>
      <c r="DJ657" s="182"/>
      <c r="DK657" s="182"/>
      <c r="DL657" s="182"/>
      <c r="DM657" s="182"/>
      <c r="DN657" s="182"/>
      <c r="DO657" s="182"/>
      <c r="DP657" s="182"/>
      <c r="DQ657" s="182"/>
      <c r="DR657" s="182"/>
      <c r="DS657" s="182"/>
      <c r="DT657" s="182"/>
      <c r="DU657" s="182"/>
      <c r="DV657" s="182"/>
      <c r="DW657" s="182"/>
      <c r="DX657" s="182"/>
      <c r="DY657" s="182"/>
      <c r="DZ657" s="182"/>
      <c r="EA657" s="182"/>
      <c r="EB657" s="182"/>
      <c r="EC657" s="182"/>
      <c r="ED657" s="182"/>
      <c r="EE657" s="182"/>
      <c r="EF657" s="182"/>
      <c r="EG657" s="182"/>
      <c r="EH657" s="182"/>
      <c r="EI657" s="182"/>
      <c r="EJ657" s="182"/>
      <c r="EK657" s="182"/>
      <c r="EL657" s="182"/>
      <c r="EM657" s="182"/>
      <c r="EN657" s="182"/>
      <c r="EO657" s="182"/>
      <c r="EP657" s="182"/>
      <c r="EQ657" s="182"/>
      <c r="ER657" s="182"/>
      <c r="ES657" s="182"/>
      <c r="ET657" s="182"/>
      <c r="EU657" s="182"/>
      <c r="EV657" s="182"/>
      <c r="EW657" s="182"/>
      <c r="EX657" s="182"/>
      <c r="EY657" s="182"/>
      <c r="EZ657" s="182"/>
      <c r="FA657" s="182"/>
      <c r="FB657" s="182"/>
      <c r="FC657" s="182"/>
      <c r="FD657" s="182"/>
      <c r="FE657" s="182"/>
      <c r="FF657" s="182"/>
      <c r="FG657" s="182"/>
      <c r="FH657" s="182"/>
      <c r="FI657" s="182"/>
      <c r="FJ657" s="182"/>
      <c r="FK657" s="182"/>
      <c r="FL657" s="182"/>
      <c r="FM657" s="182"/>
      <c r="FN657" s="182"/>
      <c r="FO657" s="182"/>
      <c r="FP657" s="182"/>
      <c r="FQ657" s="182"/>
      <c r="FR657" s="182"/>
      <c r="FS657" s="182"/>
      <c r="FT657" s="182"/>
      <c r="FU657" s="182"/>
      <c r="FV657" s="182"/>
      <c r="FW657" s="182"/>
      <c r="FX657" s="182"/>
      <c r="FY657" s="182"/>
      <c r="FZ657" s="182"/>
      <c r="GA657" s="182"/>
      <c r="GB657" s="182"/>
      <c r="GC657" s="182"/>
      <c r="GD657" s="182"/>
      <c r="GE657" s="182"/>
      <c r="GF657" s="182"/>
      <c r="GG657" s="182"/>
      <c r="GH657" s="182"/>
      <c r="GI657" s="182"/>
    </row>
    <row r="658" spans="1:191" s="183" customFormat="1" x14ac:dyDescent="0.2">
      <c r="A658" s="210" t="s">
        <v>38325</v>
      </c>
      <c r="B658" s="210" t="s">
        <v>20837</v>
      </c>
      <c r="C658" s="224" t="s">
        <v>22676</v>
      </c>
      <c r="D658" s="211" t="s">
        <v>16</v>
      </c>
      <c r="E658" s="211">
        <v>1</v>
      </c>
      <c r="F658" s="211"/>
      <c r="G658" s="211"/>
      <c r="H658" s="231">
        <v>10</v>
      </c>
      <c r="I658" s="213">
        <f t="shared" si="44"/>
        <v>8.3333333333333332E-3</v>
      </c>
      <c r="J658" s="272">
        <v>4084.05</v>
      </c>
      <c r="K658" s="113"/>
      <c r="L658" s="213"/>
      <c r="M658" s="112">
        <f t="shared" si="45"/>
        <v>34.03</v>
      </c>
      <c r="N658" s="112">
        <f t="shared" si="46"/>
        <v>1020.9</v>
      </c>
      <c r="O658" s="114"/>
      <c r="P658" s="113"/>
      <c r="R658" s="203"/>
      <c r="S658" s="182"/>
      <c r="T658" s="182"/>
      <c r="U658" s="182"/>
      <c r="V658" s="182"/>
      <c r="W658" s="182"/>
      <c r="X658" s="182"/>
      <c r="Y658" s="182"/>
      <c r="Z658" s="182"/>
      <c r="AA658" s="182"/>
      <c r="AB658" s="182"/>
      <c r="AC658" s="182"/>
      <c r="AD658" s="182"/>
      <c r="AE658" s="182"/>
      <c r="AF658" s="182"/>
      <c r="AG658" s="182"/>
      <c r="AH658" s="182"/>
      <c r="AI658" s="182"/>
      <c r="AJ658" s="182"/>
      <c r="AK658" s="182"/>
      <c r="AL658" s="182"/>
      <c r="AM658" s="182"/>
      <c r="AN658" s="182"/>
      <c r="AO658" s="182"/>
      <c r="AP658" s="182"/>
      <c r="AQ658" s="182"/>
      <c r="AR658" s="182"/>
      <c r="AS658" s="182"/>
      <c r="AT658" s="182"/>
      <c r="AU658" s="182"/>
      <c r="AV658" s="182"/>
      <c r="AW658" s="182"/>
      <c r="AX658" s="182"/>
      <c r="AY658" s="182"/>
      <c r="AZ658" s="182"/>
      <c r="BA658" s="182"/>
      <c r="BB658" s="182"/>
      <c r="BC658" s="182"/>
      <c r="BD658" s="182"/>
      <c r="BE658" s="182"/>
      <c r="BF658" s="182"/>
      <c r="BG658" s="182"/>
      <c r="BH658" s="182"/>
      <c r="BI658" s="182"/>
      <c r="BJ658" s="182"/>
      <c r="BK658" s="182"/>
      <c r="BL658" s="182"/>
      <c r="BM658" s="182"/>
      <c r="BN658" s="182"/>
      <c r="BO658" s="182"/>
      <c r="BP658" s="182"/>
      <c r="BQ658" s="182"/>
      <c r="BR658" s="182"/>
      <c r="BS658" s="182"/>
      <c r="BT658" s="182"/>
      <c r="BU658" s="182"/>
      <c r="BV658" s="182"/>
      <c r="BW658" s="182"/>
      <c r="BX658" s="182"/>
      <c r="BY658" s="182"/>
      <c r="BZ658" s="182"/>
      <c r="CA658" s="182"/>
      <c r="CB658" s="182"/>
      <c r="CC658" s="182"/>
      <c r="CD658" s="182"/>
      <c r="CE658" s="182"/>
      <c r="CF658" s="182"/>
      <c r="CG658" s="182"/>
      <c r="CH658" s="182"/>
      <c r="CI658" s="182"/>
      <c r="CJ658" s="182"/>
      <c r="CK658" s="182"/>
      <c r="CL658" s="182"/>
      <c r="CM658" s="182"/>
      <c r="CN658" s="182"/>
      <c r="CO658" s="182"/>
      <c r="CP658" s="182"/>
      <c r="CQ658" s="182"/>
      <c r="CR658" s="182"/>
      <c r="CS658" s="182"/>
      <c r="CT658" s="182"/>
      <c r="CU658" s="182"/>
      <c r="CV658" s="182"/>
      <c r="CW658" s="182"/>
      <c r="CX658" s="182"/>
      <c r="CY658" s="182"/>
      <c r="CZ658" s="182"/>
      <c r="DA658" s="182"/>
      <c r="DB658" s="182"/>
      <c r="DC658" s="182"/>
      <c r="DD658" s="182"/>
      <c r="DE658" s="182"/>
      <c r="DF658" s="182"/>
      <c r="DG658" s="182"/>
      <c r="DH658" s="182"/>
      <c r="DI658" s="182"/>
      <c r="DJ658" s="182"/>
      <c r="DK658" s="182"/>
      <c r="DL658" s="182"/>
      <c r="DM658" s="182"/>
      <c r="DN658" s="182"/>
      <c r="DO658" s="182"/>
      <c r="DP658" s="182"/>
      <c r="DQ658" s="182"/>
      <c r="DR658" s="182"/>
      <c r="DS658" s="182"/>
      <c r="DT658" s="182"/>
      <c r="DU658" s="182"/>
      <c r="DV658" s="182"/>
      <c r="DW658" s="182"/>
      <c r="DX658" s="182"/>
      <c r="DY658" s="182"/>
      <c r="DZ658" s="182"/>
      <c r="EA658" s="182"/>
      <c r="EB658" s="182"/>
      <c r="EC658" s="182"/>
      <c r="ED658" s="182"/>
      <c r="EE658" s="182"/>
      <c r="EF658" s="182"/>
      <c r="EG658" s="182"/>
      <c r="EH658" s="182"/>
      <c r="EI658" s="182"/>
      <c r="EJ658" s="182"/>
      <c r="EK658" s="182"/>
      <c r="EL658" s="182"/>
      <c r="EM658" s="182"/>
      <c r="EN658" s="182"/>
      <c r="EO658" s="182"/>
      <c r="EP658" s="182"/>
      <c r="EQ658" s="182"/>
      <c r="ER658" s="182"/>
      <c r="ES658" s="182"/>
      <c r="ET658" s="182"/>
      <c r="EU658" s="182"/>
      <c r="EV658" s="182"/>
      <c r="EW658" s="182"/>
      <c r="EX658" s="182"/>
      <c r="EY658" s="182"/>
      <c r="EZ658" s="182"/>
      <c r="FA658" s="182"/>
      <c r="FB658" s="182"/>
      <c r="FC658" s="182"/>
      <c r="FD658" s="182"/>
      <c r="FE658" s="182"/>
      <c r="FF658" s="182"/>
      <c r="FG658" s="182"/>
      <c r="FH658" s="182"/>
      <c r="FI658" s="182"/>
      <c r="FJ658" s="182"/>
      <c r="FK658" s="182"/>
      <c r="FL658" s="182"/>
      <c r="FM658" s="182"/>
      <c r="FN658" s="182"/>
      <c r="FO658" s="182"/>
      <c r="FP658" s="182"/>
      <c r="FQ658" s="182"/>
      <c r="FR658" s="182"/>
      <c r="FS658" s="182"/>
      <c r="FT658" s="182"/>
      <c r="FU658" s="182"/>
      <c r="FV658" s="182"/>
      <c r="FW658" s="182"/>
      <c r="FX658" s="182"/>
      <c r="FY658" s="182"/>
      <c r="FZ658" s="182"/>
      <c r="GA658" s="182"/>
      <c r="GB658" s="182"/>
      <c r="GC658" s="182"/>
      <c r="GD658" s="182"/>
      <c r="GE658" s="182"/>
      <c r="GF658" s="182"/>
      <c r="GG658" s="182"/>
      <c r="GH658" s="182"/>
      <c r="GI658" s="182"/>
    </row>
    <row r="659" spans="1:191" s="183" customFormat="1" x14ac:dyDescent="0.2">
      <c r="A659" s="210" t="s">
        <v>38326</v>
      </c>
      <c r="B659" s="210" t="s">
        <v>20838</v>
      </c>
      <c r="C659" s="224" t="s">
        <v>22677</v>
      </c>
      <c r="D659" s="211" t="s">
        <v>468</v>
      </c>
      <c r="E659" s="211">
        <v>3</v>
      </c>
      <c r="F659" s="211"/>
      <c r="G659" s="211"/>
      <c r="H659" s="231">
        <v>5</v>
      </c>
      <c r="I659" s="213">
        <f t="shared" si="44"/>
        <v>1.6666666666666666E-2</v>
      </c>
      <c r="J659" s="272">
        <v>56.78</v>
      </c>
      <c r="K659" s="113"/>
      <c r="L659" s="213"/>
      <c r="M659" s="112">
        <f t="shared" si="45"/>
        <v>2.84</v>
      </c>
      <c r="N659" s="112">
        <f t="shared" si="46"/>
        <v>85.2</v>
      </c>
      <c r="O659" s="114"/>
      <c r="P659" s="113"/>
      <c r="R659" s="203"/>
      <c r="S659" s="182"/>
      <c r="T659" s="182"/>
      <c r="U659" s="182"/>
      <c r="V659" s="182"/>
      <c r="W659" s="182"/>
      <c r="X659" s="182"/>
      <c r="Y659" s="182"/>
      <c r="Z659" s="182"/>
      <c r="AA659" s="182"/>
      <c r="AB659" s="182"/>
      <c r="AC659" s="182"/>
      <c r="AD659" s="182"/>
      <c r="AE659" s="182"/>
      <c r="AF659" s="182"/>
      <c r="AG659" s="182"/>
      <c r="AH659" s="182"/>
      <c r="AI659" s="182"/>
      <c r="AJ659" s="182"/>
      <c r="AK659" s="182"/>
      <c r="AL659" s="182"/>
      <c r="AM659" s="182"/>
      <c r="AN659" s="182"/>
      <c r="AO659" s="182"/>
      <c r="AP659" s="182"/>
      <c r="AQ659" s="182"/>
      <c r="AR659" s="182"/>
      <c r="AS659" s="182"/>
      <c r="AT659" s="182"/>
      <c r="AU659" s="182"/>
      <c r="AV659" s="182"/>
      <c r="AW659" s="182"/>
      <c r="AX659" s="182"/>
      <c r="AY659" s="182"/>
      <c r="AZ659" s="182"/>
      <c r="BA659" s="182"/>
      <c r="BB659" s="182"/>
      <c r="BC659" s="182"/>
      <c r="BD659" s="182"/>
      <c r="BE659" s="182"/>
      <c r="BF659" s="182"/>
      <c r="BG659" s="182"/>
      <c r="BH659" s="182"/>
      <c r="BI659" s="182"/>
      <c r="BJ659" s="182"/>
      <c r="BK659" s="182"/>
      <c r="BL659" s="182"/>
      <c r="BM659" s="182"/>
      <c r="BN659" s="182"/>
      <c r="BO659" s="182"/>
      <c r="BP659" s="182"/>
      <c r="BQ659" s="182"/>
      <c r="BR659" s="182"/>
      <c r="BS659" s="182"/>
      <c r="BT659" s="182"/>
      <c r="BU659" s="182"/>
      <c r="BV659" s="182"/>
      <c r="BW659" s="182"/>
      <c r="BX659" s="182"/>
      <c r="BY659" s="182"/>
      <c r="BZ659" s="182"/>
      <c r="CA659" s="182"/>
      <c r="CB659" s="182"/>
      <c r="CC659" s="182"/>
      <c r="CD659" s="182"/>
      <c r="CE659" s="182"/>
      <c r="CF659" s="182"/>
      <c r="CG659" s="182"/>
      <c r="CH659" s="182"/>
      <c r="CI659" s="182"/>
      <c r="CJ659" s="182"/>
      <c r="CK659" s="182"/>
      <c r="CL659" s="182"/>
      <c r="CM659" s="182"/>
      <c r="CN659" s="182"/>
      <c r="CO659" s="182"/>
      <c r="CP659" s="182"/>
      <c r="CQ659" s="182"/>
      <c r="CR659" s="182"/>
      <c r="CS659" s="182"/>
      <c r="CT659" s="182"/>
      <c r="CU659" s="182"/>
      <c r="CV659" s="182"/>
      <c r="CW659" s="182"/>
      <c r="CX659" s="182"/>
      <c r="CY659" s="182"/>
      <c r="CZ659" s="182"/>
      <c r="DA659" s="182"/>
      <c r="DB659" s="182"/>
      <c r="DC659" s="182"/>
      <c r="DD659" s="182"/>
      <c r="DE659" s="182"/>
      <c r="DF659" s="182"/>
      <c r="DG659" s="182"/>
      <c r="DH659" s="182"/>
      <c r="DI659" s="182"/>
      <c r="DJ659" s="182"/>
      <c r="DK659" s="182"/>
      <c r="DL659" s="182"/>
      <c r="DM659" s="182"/>
      <c r="DN659" s="182"/>
      <c r="DO659" s="182"/>
      <c r="DP659" s="182"/>
      <c r="DQ659" s="182"/>
      <c r="DR659" s="182"/>
      <c r="DS659" s="182"/>
      <c r="DT659" s="182"/>
      <c r="DU659" s="182"/>
      <c r="DV659" s="182"/>
      <c r="DW659" s="182"/>
      <c r="DX659" s="182"/>
      <c r="DY659" s="182"/>
      <c r="DZ659" s="182"/>
      <c r="EA659" s="182"/>
      <c r="EB659" s="182"/>
      <c r="EC659" s="182"/>
      <c r="ED659" s="182"/>
      <c r="EE659" s="182"/>
      <c r="EF659" s="182"/>
      <c r="EG659" s="182"/>
      <c r="EH659" s="182"/>
      <c r="EI659" s="182"/>
      <c r="EJ659" s="182"/>
      <c r="EK659" s="182"/>
      <c r="EL659" s="182"/>
      <c r="EM659" s="182"/>
      <c r="EN659" s="182"/>
      <c r="EO659" s="182"/>
      <c r="EP659" s="182"/>
      <c r="EQ659" s="182"/>
      <c r="ER659" s="182"/>
      <c r="ES659" s="182"/>
      <c r="ET659" s="182"/>
      <c r="EU659" s="182"/>
      <c r="EV659" s="182"/>
      <c r="EW659" s="182"/>
      <c r="EX659" s="182"/>
      <c r="EY659" s="182"/>
      <c r="EZ659" s="182"/>
      <c r="FA659" s="182"/>
      <c r="FB659" s="182"/>
      <c r="FC659" s="182"/>
      <c r="FD659" s="182"/>
      <c r="FE659" s="182"/>
      <c r="FF659" s="182"/>
      <c r="FG659" s="182"/>
      <c r="FH659" s="182"/>
      <c r="FI659" s="182"/>
      <c r="FJ659" s="182"/>
      <c r="FK659" s="182"/>
      <c r="FL659" s="182"/>
      <c r="FM659" s="182"/>
      <c r="FN659" s="182"/>
      <c r="FO659" s="182"/>
      <c r="FP659" s="182"/>
      <c r="FQ659" s="182"/>
      <c r="FR659" s="182"/>
      <c r="FS659" s="182"/>
      <c r="FT659" s="182"/>
      <c r="FU659" s="182"/>
      <c r="FV659" s="182"/>
      <c r="FW659" s="182"/>
      <c r="FX659" s="182"/>
      <c r="FY659" s="182"/>
      <c r="FZ659" s="182"/>
      <c r="GA659" s="182"/>
      <c r="GB659" s="182"/>
      <c r="GC659" s="182"/>
      <c r="GD659" s="182"/>
      <c r="GE659" s="182"/>
      <c r="GF659" s="182"/>
      <c r="GG659" s="182"/>
      <c r="GH659" s="182"/>
      <c r="GI659" s="182"/>
    </row>
    <row r="660" spans="1:191" s="183" customFormat="1" x14ac:dyDescent="0.2">
      <c r="A660" s="210" t="s">
        <v>38327</v>
      </c>
      <c r="B660" s="210" t="s">
        <v>20839</v>
      </c>
      <c r="C660" s="224" t="s">
        <v>22678</v>
      </c>
      <c r="D660" s="211" t="s">
        <v>16</v>
      </c>
      <c r="E660" s="211">
        <v>4</v>
      </c>
      <c r="F660" s="211"/>
      <c r="G660" s="211"/>
      <c r="H660" s="231">
        <v>10</v>
      </c>
      <c r="I660" s="213">
        <f t="shared" si="44"/>
        <v>8.3333333333333332E-3</v>
      </c>
      <c r="J660" s="272">
        <v>3121.15</v>
      </c>
      <c r="K660" s="113"/>
      <c r="L660" s="213"/>
      <c r="M660" s="112">
        <f t="shared" si="45"/>
        <v>104.04</v>
      </c>
      <c r="N660" s="112">
        <f t="shared" si="46"/>
        <v>3121.2</v>
      </c>
      <c r="O660" s="114"/>
      <c r="P660" s="113"/>
      <c r="R660" s="203"/>
      <c r="S660" s="182"/>
      <c r="T660" s="182"/>
      <c r="U660" s="182"/>
      <c r="V660" s="182"/>
      <c r="W660" s="182"/>
      <c r="X660" s="182"/>
      <c r="Y660" s="182"/>
      <c r="Z660" s="182"/>
      <c r="AA660" s="182"/>
      <c r="AB660" s="182"/>
      <c r="AC660" s="182"/>
      <c r="AD660" s="182"/>
      <c r="AE660" s="182"/>
      <c r="AF660" s="182"/>
      <c r="AG660" s="182"/>
      <c r="AH660" s="182"/>
      <c r="AI660" s="182"/>
      <c r="AJ660" s="182"/>
      <c r="AK660" s="182"/>
      <c r="AL660" s="182"/>
      <c r="AM660" s="182"/>
      <c r="AN660" s="182"/>
      <c r="AO660" s="182"/>
      <c r="AP660" s="182"/>
      <c r="AQ660" s="182"/>
      <c r="AR660" s="182"/>
      <c r="AS660" s="182"/>
      <c r="AT660" s="182"/>
      <c r="AU660" s="182"/>
      <c r="AV660" s="182"/>
      <c r="AW660" s="182"/>
      <c r="AX660" s="182"/>
      <c r="AY660" s="182"/>
      <c r="AZ660" s="182"/>
      <c r="BA660" s="182"/>
      <c r="BB660" s="182"/>
      <c r="BC660" s="182"/>
      <c r="BD660" s="182"/>
      <c r="BE660" s="182"/>
      <c r="BF660" s="182"/>
      <c r="BG660" s="182"/>
      <c r="BH660" s="182"/>
      <c r="BI660" s="182"/>
      <c r="BJ660" s="182"/>
      <c r="BK660" s="182"/>
      <c r="BL660" s="182"/>
      <c r="BM660" s="182"/>
      <c r="BN660" s="182"/>
      <c r="BO660" s="182"/>
      <c r="BP660" s="182"/>
      <c r="BQ660" s="182"/>
      <c r="BR660" s="182"/>
      <c r="BS660" s="182"/>
      <c r="BT660" s="182"/>
      <c r="BU660" s="182"/>
      <c r="BV660" s="182"/>
      <c r="BW660" s="182"/>
      <c r="BX660" s="182"/>
      <c r="BY660" s="182"/>
      <c r="BZ660" s="182"/>
      <c r="CA660" s="182"/>
      <c r="CB660" s="182"/>
      <c r="CC660" s="182"/>
      <c r="CD660" s="182"/>
      <c r="CE660" s="182"/>
      <c r="CF660" s="182"/>
      <c r="CG660" s="182"/>
      <c r="CH660" s="182"/>
      <c r="CI660" s="182"/>
      <c r="CJ660" s="182"/>
      <c r="CK660" s="182"/>
      <c r="CL660" s="182"/>
      <c r="CM660" s="182"/>
      <c r="CN660" s="182"/>
      <c r="CO660" s="182"/>
      <c r="CP660" s="182"/>
      <c r="CQ660" s="182"/>
      <c r="CR660" s="182"/>
      <c r="CS660" s="182"/>
      <c r="CT660" s="182"/>
      <c r="CU660" s="182"/>
      <c r="CV660" s="182"/>
      <c r="CW660" s="182"/>
      <c r="CX660" s="182"/>
      <c r="CY660" s="182"/>
      <c r="CZ660" s="182"/>
      <c r="DA660" s="182"/>
      <c r="DB660" s="182"/>
      <c r="DC660" s="182"/>
      <c r="DD660" s="182"/>
      <c r="DE660" s="182"/>
      <c r="DF660" s="182"/>
      <c r="DG660" s="182"/>
      <c r="DH660" s="182"/>
      <c r="DI660" s="182"/>
      <c r="DJ660" s="182"/>
      <c r="DK660" s="182"/>
      <c r="DL660" s="182"/>
      <c r="DM660" s="182"/>
      <c r="DN660" s="182"/>
      <c r="DO660" s="182"/>
      <c r="DP660" s="182"/>
      <c r="DQ660" s="182"/>
      <c r="DR660" s="182"/>
      <c r="DS660" s="182"/>
      <c r="DT660" s="182"/>
      <c r="DU660" s="182"/>
      <c r="DV660" s="182"/>
      <c r="DW660" s="182"/>
      <c r="DX660" s="182"/>
      <c r="DY660" s="182"/>
      <c r="DZ660" s="182"/>
      <c r="EA660" s="182"/>
      <c r="EB660" s="182"/>
      <c r="EC660" s="182"/>
      <c r="ED660" s="182"/>
      <c r="EE660" s="182"/>
      <c r="EF660" s="182"/>
      <c r="EG660" s="182"/>
      <c r="EH660" s="182"/>
      <c r="EI660" s="182"/>
      <c r="EJ660" s="182"/>
      <c r="EK660" s="182"/>
      <c r="EL660" s="182"/>
      <c r="EM660" s="182"/>
      <c r="EN660" s="182"/>
      <c r="EO660" s="182"/>
      <c r="EP660" s="182"/>
      <c r="EQ660" s="182"/>
      <c r="ER660" s="182"/>
      <c r="ES660" s="182"/>
      <c r="ET660" s="182"/>
      <c r="EU660" s="182"/>
      <c r="EV660" s="182"/>
      <c r="EW660" s="182"/>
      <c r="EX660" s="182"/>
      <c r="EY660" s="182"/>
      <c r="EZ660" s="182"/>
      <c r="FA660" s="182"/>
      <c r="FB660" s="182"/>
      <c r="FC660" s="182"/>
      <c r="FD660" s="182"/>
      <c r="FE660" s="182"/>
      <c r="FF660" s="182"/>
      <c r="FG660" s="182"/>
      <c r="FH660" s="182"/>
      <c r="FI660" s="182"/>
      <c r="FJ660" s="182"/>
      <c r="FK660" s="182"/>
      <c r="FL660" s="182"/>
      <c r="FM660" s="182"/>
      <c r="FN660" s="182"/>
      <c r="FO660" s="182"/>
      <c r="FP660" s="182"/>
      <c r="FQ660" s="182"/>
      <c r="FR660" s="182"/>
      <c r="FS660" s="182"/>
      <c r="FT660" s="182"/>
      <c r="FU660" s="182"/>
      <c r="FV660" s="182"/>
      <c r="FW660" s="182"/>
      <c r="FX660" s="182"/>
      <c r="FY660" s="182"/>
      <c r="FZ660" s="182"/>
      <c r="GA660" s="182"/>
      <c r="GB660" s="182"/>
      <c r="GC660" s="182"/>
      <c r="GD660" s="182"/>
      <c r="GE660" s="182"/>
      <c r="GF660" s="182"/>
      <c r="GG660" s="182"/>
      <c r="GH660" s="182"/>
      <c r="GI660" s="182"/>
    </row>
    <row r="661" spans="1:191" s="183" customFormat="1" x14ac:dyDescent="0.2">
      <c r="A661" s="210" t="s">
        <v>38328</v>
      </c>
      <c r="B661" s="210" t="s">
        <v>20840</v>
      </c>
      <c r="C661" s="224" t="s">
        <v>22679</v>
      </c>
      <c r="D661" s="211" t="s">
        <v>16</v>
      </c>
      <c r="E661" s="211">
        <v>3</v>
      </c>
      <c r="F661" s="211"/>
      <c r="G661" s="211"/>
      <c r="H661" s="231">
        <v>10</v>
      </c>
      <c r="I661" s="213">
        <f t="shared" si="44"/>
        <v>8.3333333333333332E-3</v>
      </c>
      <c r="J661" s="272">
        <v>1078.52</v>
      </c>
      <c r="K661" s="113"/>
      <c r="L661" s="213"/>
      <c r="M661" s="112">
        <f t="shared" si="45"/>
        <v>26.96</v>
      </c>
      <c r="N661" s="112">
        <f t="shared" si="46"/>
        <v>808.8</v>
      </c>
      <c r="O661" s="114"/>
      <c r="P661" s="113"/>
      <c r="R661" s="203"/>
      <c r="S661" s="182"/>
      <c r="T661" s="182"/>
      <c r="U661" s="182"/>
      <c r="V661" s="182"/>
      <c r="W661" s="182"/>
      <c r="X661" s="182"/>
      <c r="Y661" s="182"/>
      <c r="Z661" s="182"/>
      <c r="AA661" s="182"/>
      <c r="AB661" s="182"/>
      <c r="AC661" s="182"/>
      <c r="AD661" s="182"/>
      <c r="AE661" s="182"/>
      <c r="AF661" s="182"/>
      <c r="AG661" s="182"/>
      <c r="AH661" s="182"/>
      <c r="AI661" s="182"/>
      <c r="AJ661" s="182"/>
      <c r="AK661" s="182"/>
      <c r="AL661" s="182"/>
      <c r="AM661" s="182"/>
      <c r="AN661" s="182"/>
      <c r="AO661" s="182"/>
      <c r="AP661" s="182"/>
      <c r="AQ661" s="182"/>
      <c r="AR661" s="182"/>
      <c r="AS661" s="182"/>
      <c r="AT661" s="182"/>
      <c r="AU661" s="182"/>
      <c r="AV661" s="182"/>
      <c r="AW661" s="182"/>
      <c r="AX661" s="182"/>
      <c r="AY661" s="182"/>
      <c r="AZ661" s="182"/>
      <c r="BA661" s="182"/>
      <c r="BB661" s="182"/>
      <c r="BC661" s="182"/>
      <c r="BD661" s="182"/>
      <c r="BE661" s="182"/>
      <c r="BF661" s="182"/>
      <c r="BG661" s="182"/>
      <c r="BH661" s="182"/>
      <c r="BI661" s="182"/>
      <c r="BJ661" s="182"/>
      <c r="BK661" s="182"/>
      <c r="BL661" s="182"/>
      <c r="BM661" s="182"/>
      <c r="BN661" s="182"/>
      <c r="BO661" s="182"/>
      <c r="BP661" s="182"/>
      <c r="BQ661" s="182"/>
      <c r="BR661" s="182"/>
      <c r="BS661" s="182"/>
      <c r="BT661" s="182"/>
      <c r="BU661" s="182"/>
      <c r="BV661" s="182"/>
      <c r="BW661" s="182"/>
      <c r="BX661" s="182"/>
      <c r="BY661" s="182"/>
      <c r="BZ661" s="182"/>
      <c r="CA661" s="182"/>
      <c r="CB661" s="182"/>
      <c r="CC661" s="182"/>
      <c r="CD661" s="182"/>
      <c r="CE661" s="182"/>
      <c r="CF661" s="182"/>
      <c r="CG661" s="182"/>
      <c r="CH661" s="182"/>
      <c r="CI661" s="182"/>
      <c r="CJ661" s="182"/>
      <c r="CK661" s="182"/>
      <c r="CL661" s="182"/>
      <c r="CM661" s="182"/>
      <c r="CN661" s="182"/>
      <c r="CO661" s="182"/>
      <c r="CP661" s="182"/>
      <c r="CQ661" s="182"/>
      <c r="CR661" s="182"/>
      <c r="CS661" s="182"/>
      <c r="CT661" s="182"/>
      <c r="CU661" s="182"/>
      <c r="CV661" s="182"/>
      <c r="CW661" s="182"/>
      <c r="CX661" s="182"/>
      <c r="CY661" s="182"/>
      <c r="CZ661" s="182"/>
      <c r="DA661" s="182"/>
      <c r="DB661" s="182"/>
      <c r="DC661" s="182"/>
      <c r="DD661" s="182"/>
      <c r="DE661" s="182"/>
      <c r="DF661" s="182"/>
      <c r="DG661" s="182"/>
      <c r="DH661" s="182"/>
      <c r="DI661" s="182"/>
      <c r="DJ661" s="182"/>
      <c r="DK661" s="182"/>
      <c r="DL661" s="182"/>
      <c r="DM661" s="182"/>
      <c r="DN661" s="182"/>
      <c r="DO661" s="182"/>
      <c r="DP661" s="182"/>
      <c r="DQ661" s="182"/>
      <c r="DR661" s="182"/>
      <c r="DS661" s="182"/>
      <c r="DT661" s="182"/>
      <c r="DU661" s="182"/>
      <c r="DV661" s="182"/>
      <c r="DW661" s="182"/>
      <c r="DX661" s="182"/>
      <c r="DY661" s="182"/>
      <c r="DZ661" s="182"/>
      <c r="EA661" s="182"/>
      <c r="EB661" s="182"/>
      <c r="EC661" s="182"/>
      <c r="ED661" s="182"/>
      <c r="EE661" s="182"/>
      <c r="EF661" s="182"/>
      <c r="EG661" s="182"/>
      <c r="EH661" s="182"/>
      <c r="EI661" s="182"/>
      <c r="EJ661" s="182"/>
      <c r="EK661" s="182"/>
      <c r="EL661" s="182"/>
      <c r="EM661" s="182"/>
      <c r="EN661" s="182"/>
      <c r="EO661" s="182"/>
      <c r="EP661" s="182"/>
      <c r="EQ661" s="182"/>
      <c r="ER661" s="182"/>
      <c r="ES661" s="182"/>
      <c r="ET661" s="182"/>
      <c r="EU661" s="182"/>
      <c r="EV661" s="182"/>
      <c r="EW661" s="182"/>
      <c r="EX661" s="182"/>
      <c r="EY661" s="182"/>
      <c r="EZ661" s="182"/>
      <c r="FA661" s="182"/>
      <c r="FB661" s="182"/>
      <c r="FC661" s="182"/>
      <c r="FD661" s="182"/>
      <c r="FE661" s="182"/>
      <c r="FF661" s="182"/>
      <c r="FG661" s="182"/>
      <c r="FH661" s="182"/>
      <c r="FI661" s="182"/>
      <c r="FJ661" s="182"/>
      <c r="FK661" s="182"/>
      <c r="FL661" s="182"/>
      <c r="FM661" s="182"/>
      <c r="FN661" s="182"/>
      <c r="FO661" s="182"/>
      <c r="FP661" s="182"/>
      <c r="FQ661" s="182"/>
      <c r="FR661" s="182"/>
      <c r="FS661" s="182"/>
      <c r="FT661" s="182"/>
      <c r="FU661" s="182"/>
      <c r="FV661" s="182"/>
      <c r="FW661" s="182"/>
      <c r="FX661" s="182"/>
      <c r="FY661" s="182"/>
      <c r="FZ661" s="182"/>
      <c r="GA661" s="182"/>
      <c r="GB661" s="182"/>
      <c r="GC661" s="182"/>
      <c r="GD661" s="182"/>
      <c r="GE661" s="182"/>
      <c r="GF661" s="182"/>
      <c r="GG661" s="182"/>
      <c r="GH661" s="182"/>
      <c r="GI661" s="182"/>
    </row>
    <row r="662" spans="1:191" s="183" customFormat="1" x14ac:dyDescent="0.2">
      <c r="A662" s="210" t="s">
        <v>38329</v>
      </c>
      <c r="B662" s="210" t="s">
        <v>20841</v>
      </c>
      <c r="C662" s="224" t="s">
        <v>22680</v>
      </c>
      <c r="D662" s="211" t="s">
        <v>16</v>
      </c>
      <c r="E662" s="211">
        <v>6</v>
      </c>
      <c r="F662" s="211"/>
      <c r="G662" s="211"/>
      <c r="H662" s="231">
        <v>10</v>
      </c>
      <c r="I662" s="213">
        <f t="shared" si="44"/>
        <v>8.3333333333333332E-3</v>
      </c>
      <c r="J662" s="272">
        <v>1335.7</v>
      </c>
      <c r="K662" s="113"/>
      <c r="L662" s="213"/>
      <c r="M662" s="112">
        <f t="shared" si="45"/>
        <v>66.790000000000006</v>
      </c>
      <c r="N662" s="112">
        <f t="shared" si="46"/>
        <v>2003.7</v>
      </c>
      <c r="O662" s="114"/>
      <c r="P662" s="113"/>
      <c r="R662" s="203"/>
      <c r="S662" s="182"/>
      <c r="T662" s="182"/>
      <c r="U662" s="182"/>
      <c r="V662" s="182"/>
      <c r="W662" s="182"/>
      <c r="X662" s="182"/>
      <c r="Y662" s="182"/>
      <c r="Z662" s="182"/>
      <c r="AA662" s="182"/>
      <c r="AB662" s="182"/>
      <c r="AC662" s="182"/>
      <c r="AD662" s="182"/>
      <c r="AE662" s="182"/>
      <c r="AF662" s="182"/>
      <c r="AG662" s="182"/>
      <c r="AH662" s="182"/>
      <c r="AI662" s="182"/>
      <c r="AJ662" s="182"/>
      <c r="AK662" s="182"/>
      <c r="AL662" s="182"/>
      <c r="AM662" s="182"/>
      <c r="AN662" s="182"/>
      <c r="AO662" s="182"/>
      <c r="AP662" s="182"/>
      <c r="AQ662" s="182"/>
      <c r="AR662" s="182"/>
      <c r="AS662" s="182"/>
      <c r="AT662" s="182"/>
      <c r="AU662" s="182"/>
      <c r="AV662" s="182"/>
      <c r="AW662" s="182"/>
      <c r="AX662" s="182"/>
      <c r="AY662" s="182"/>
      <c r="AZ662" s="182"/>
      <c r="BA662" s="182"/>
      <c r="BB662" s="182"/>
      <c r="BC662" s="182"/>
      <c r="BD662" s="182"/>
      <c r="BE662" s="182"/>
      <c r="BF662" s="182"/>
      <c r="BG662" s="182"/>
      <c r="BH662" s="182"/>
      <c r="BI662" s="182"/>
      <c r="BJ662" s="182"/>
      <c r="BK662" s="182"/>
      <c r="BL662" s="182"/>
      <c r="BM662" s="182"/>
      <c r="BN662" s="182"/>
      <c r="BO662" s="182"/>
      <c r="BP662" s="182"/>
      <c r="BQ662" s="182"/>
      <c r="BR662" s="182"/>
      <c r="BS662" s="182"/>
      <c r="BT662" s="182"/>
      <c r="BU662" s="182"/>
      <c r="BV662" s="182"/>
      <c r="BW662" s="182"/>
      <c r="BX662" s="182"/>
      <c r="BY662" s="182"/>
      <c r="BZ662" s="182"/>
      <c r="CA662" s="182"/>
      <c r="CB662" s="182"/>
      <c r="CC662" s="182"/>
      <c r="CD662" s="182"/>
      <c r="CE662" s="182"/>
      <c r="CF662" s="182"/>
      <c r="CG662" s="182"/>
      <c r="CH662" s="182"/>
      <c r="CI662" s="182"/>
      <c r="CJ662" s="182"/>
      <c r="CK662" s="182"/>
      <c r="CL662" s="182"/>
      <c r="CM662" s="182"/>
      <c r="CN662" s="182"/>
      <c r="CO662" s="182"/>
      <c r="CP662" s="182"/>
      <c r="CQ662" s="182"/>
      <c r="CR662" s="182"/>
      <c r="CS662" s="182"/>
      <c r="CT662" s="182"/>
      <c r="CU662" s="182"/>
      <c r="CV662" s="182"/>
      <c r="CW662" s="182"/>
      <c r="CX662" s="182"/>
      <c r="CY662" s="182"/>
      <c r="CZ662" s="182"/>
      <c r="DA662" s="182"/>
      <c r="DB662" s="182"/>
      <c r="DC662" s="182"/>
      <c r="DD662" s="182"/>
      <c r="DE662" s="182"/>
      <c r="DF662" s="182"/>
      <c r="DG662" s="182"/>
      <c r="DH662" s="182"/>
      <c r="DI662" s="182"/>
      <c r="DJ662" s="182"/>
      <c r="DK662" s="182"/>
      <c r="DL662" s="182"/>
      <c r="DM662" s="182"/>
      <c r="DN662" s="182"/>
      <c r="DO662" s="182"/>
      <c r="DP662" s="182"/>
      <c r="DQ662" s="182"/>
      <c r="DR662" s="182"/>
      <c r="DS662" s="182"/>
      <c r="DT662" s="182"/>
      <c r="DU662" s="182"/>
      <c r="DV662" s="182"/>
      <c r="DW662" s="182"/>
      <c r="DX662" s="182"/>
      <c r="DY662" s="182"/>
      <c r="DZ662" s="182"/>
      <c r="EA662" s="182"/>
      <c r="EB662" s="182"/>
      <c r="EC662" s="182"/>
      <c r="ED662" s="182"/>
      <c r="EE662" s="182"/>
      <c r="EF662" s="182"/>
      <c r="EG662" s="182"/>
      <c r="EH662" s="182"/>
      <c r="EI662" s="182"/>
      <c r="EJ662" s="182"/>
      <c r="EK662" s="182"/>
      <c r="EL662" s="182"/>
      <c r="EM662" s="182"/>
      <c r="EN662" s="182"/>
      <c r="EO662" s="182"/>
      <c r="EP662" s="182"/>
      <c r="EQ662" s="182"/>
      <c r="ER662" s="182"/>
      <c r="ES662" s="182"/>
      <c r="ET662" s="182"/>
      <c r="EU662" s="182"/>
      <c r="EV662" s="182"/>
      <c r="EW662" s="182"/>
      <c r="EX662" s="182"/>
      <c r="EY662" s="182"/>
      <c r="EZ662" s="182"/>
      <c r="FA662" s="182"/>
      <c r="FB662" s="182"/>
      <c r="FC662" s="182"/>
      <c r="FD662" s="182"/>
      <c r="FE662" s="182"/>
      <c r="FF662" s="182"/>
      <c r="FG662" s="182"/>
      <c r="FH662" s="182"/>
      <c r="FI662" s="182"/>
      <c r="FJ662" s="182"/>
      <c r="FK662" s="182"/>
      <c r="FL662" s="182"/>
      <c r="FM662" s="182"/>
      <c r="FN662" s="182"/>
      <c r="FO662" s="182"/>
      <c r="FP662" s="182"/>
      <c r="FQ662" s="182"/>
      <c r="FR662" s="182"/>
      <c r="FS662" s="182"/>
      <c r="FT662" s="182"/>
      <c r="FU662" s="182"/>
      <c r="FV662" s="182"/>
      <c r="FW662" s="182"/>
      <c r="FX662" s="182"/>
      <c r="FY662" s="182"/>
      <c r="FZ662" s="182"/>
      <c r="GA662" s="182"/>
      <c r="GB662" s="182"/>
      <c r="GC662" s="182"/>
      <c r="GD662" s="182"/>
      <c r="GE662" s="182"/>
      <c r="GF662" s="182"/>
      <c r="GG662" s="182"/>
      <c r="GH662" s="182"/>
      <c r="GI662" s="182"/>
    </row>
    <row r="663" spans="1:191" s="183" customFormat="1" x14ac:dyDescent="0.2">
      <c r="A663" s="210" t="s">
        <v>38330</v>
      </c>
      <c r="B663" s="210" t="s">
        <v>20842</v>
      </c>
      <c r="C663" s="224" t="s">
        <v>22681</v>
      </c>
      <c r="D663" s="211" t="s">
        <v>16</v>
      </c>
      <c r="E663" s="211">
        <v>3</v>
      </c>
      <c r="F663" s="211"/>
      <c r="G663" s="211"/>
      <c r="H663" s="231">
        <v>10</v>
      </c>
      <c r="I663" s="213">
        <f t="shared" si="44"/>
        <v>8.3333333333333332E-3</v>
      </c>
      <c r="J663" s="272">
        <v>536.79</v>
      </c>
      <c r="K663" s="113"/>
      <c r="L663" s="213"/>
      <c r="M663" s="112">
        <f t="shared" si="45"/>
        <v>13.42</v>
      </c>
      <c r="N663" s="112">
        <f t="shared" si="46"/>
        <v>402.6</v>
      </c>
      <c r="O663" s="114"/>
      <c r="P663" s="113"/>
      <c r="R663" s="203"/>
      <c r="S663" s="182"/>
      <c r="T663" s="182"/>
      <c r="U663" s="182"/>
      <c r="V663" s="182"/>
      <c r="W663" s="182"/>
      <c r="X663" s="182"/>
      <c r="Y663" s="182"/>
      <c r="Z663" s="182"/>
      <c r="AA663" s="182"/>
      <c r="AB663" s="182"/>
      <c r="AC663" s="182"/>
      <c r="AD663" s="182"/>
      <c r="AE663" s="182"/>
      <c r="AF663" s="182"/>
      <c r="AG663" s="182"/>
      <c r="AH663" s="182"/>
      <c r="AI663" s="182"/>
      <c r="AJ663" s="182"/>
      <c r="AK663" s="182"/>
      <c r="AL663" s="182"/>
      <c r="AM663" s="182"/>
      <c r="AN663" s="182"/>
      <c r="AO663" s="182"/>
      <c r="AP663" s="182"/>
      <c r="AQ663" s="182"/>
      <c r="AR663" s="182"/>
      <c r="AS663" s="182"/>
      <c r="AT663" s="182"/>
      <c r="AU663" s="182"/>
      <c r="AV663" s="182"/>
      <c r="AW663" s="182"/>
      <c r="AX663" s="182"/>
      <c r="AY663" s="182"/>
      <c r="AZ663" s="182"/>
      <c r="BA663" s="182"/>
      <c r="BB663" s="182"/>
      <c r="BC663" s="182"/>
      <c r="BD663" s="182"/>
      <c r="BE663" s="182"/>
      <c r="BF663" s="182"/>
      <c r="BG663" s="182"/>
      <c r="BH663" s="182"/>
      <c r="BI663" s="182"/>
      <c r="BJ663" s="182"/>
      <c r="BK663" s="182"/>
      <c r="BL663" s="182"/>
      <c r="BM663" s="182"/>
      <c r="BN663" s="182"/>
      <c r="BO663" s="182"/>
      <c r="BP663" s="182"/>
      <c r="BQ663" s="182"/>
      <c r="BR663" s="182"/>
      <c r="BS663" s="182"/>
      <c r="BT663" s="182"/>
      <c r="BU663" s="182"/>
      <c r="BV663" s="182"/>
      <c r="BW663" s="182"/>
      <c r="BX663" s="182"/>
      <c r="BY663" s="182"/>
      <c r="BZ663" s="182"/>
      <c r="CA663" s="182"/>
      <c r="CB663" s="182"/>
      <c r="CC663" s="182"/>
      <c r="CD663" s="182"/>
      <c r="CE663" s="182"/>
      <c r="CF663" s="182"/>
      <c r="CG663" s="182"/>
      <c r="CH663" s="182"/>
      <c r="CI663" s="182"/>
      <c r="CJ663" s="182"/>
      <c r="CK663" s="182"/>
      <c r="CL663" s="182"/>
      <c r="CM663" s="182"/>
      <c r="CN663" s="182"/>
      <c r="CO663" s="182"/>
      <c r="CP663" s="182"/>
      <c r="CQ663" s="182"/>
      <c r="CR663" s="182"/>
      <c r="CS663" s="182"/>
      <c r="CT663" s="182"/>
      <c r="CU663" s="182"/>
      <c r="CV663" s="182"/>
      <c r="CW663" s="182"/>
      <c r="CX663" s="182"/>
      <c r="CY663" s="182"/>
      <c r="CZ663" s="182"/>
      <c r="DA663" s="182"/>
      <c r="DB663" s="182"/>
      <c r="DC663" s="182"/>
      <c r="DD663" s="182"/>
      <c r="DE663" s="182"/>
      <c r="DF663" s="182"/>
      <c r="DG663" s="182"/>
      <c r="DH663" s="182"/>
      <c r="DI663" s="182"/>
      <c r="DJ663" s="182"/>
      <c r="DK663" s="182"/>
      <c r="DL663" s="182"/>
      <c r="DM663" s="182"/>
      <c r="DN663" s="182"/>
      <c r="DO663" s="182"/>
      <c r="DP663" s="182"/>
      <c r="DQ663" s="182"/>
      <c r="DR663" s="182"/>
      <c r="DS663" s="182"/>
      <c r="DT663" s="182"/>
      <c r="DU663" s="182"/>
      <c r="DV663" s="182"/>
      <c r="DW663" s="182"/>
      <c r="DX663" s="182"/>
      <c r="DY663" s="182"/>
      <c r="DZ663" s="182"/>
      <c r="EA663" s="182"/>
      <c r="EB663" s="182"/>
      <c r="EC663" s="182"/>
      <c r="ED663" s="182"/>
      <c r="EE663" s="182"/>
      <c r="EF663" s="182"/>
      <c r="EG663" s="182"/>
      <c r="EH663" s="182"/>
      <c r="EI663" s="182"/>
      <c r="EJ663" s="182"/>
      <c r="EK663" s="182"/>
      <c r="EL663" s="182"/>
      <c r="EM663" s="182"/>
      <c r="EN663" s="182"/>
      <c r="EO663" s="182"/>
      <c r="EP663" s="182"/>
      <c r="EQ663" s="182"/>
      <c r="ER663" s="182"/>
      <c r="ES663" s="182"/>
      <c r="ET663" s="182"/>
      <c r="EU663" s="182"/>
      <c r="EV663" s="182"/>
      <c r="EW663" s="182"/>
      <c r="EX663" s="182"/>
      <c r="EY663" s="182"/>
      <c r="EZ663" s="182"/>
      <c r="FA663" s="182"/>
      <c r="FB663" s="182"/>
      <c r="FC663" s="182"/>
      <c r="FD663" s="182"/>
      <c r="FE663" s="182"/>
      <c r="FF663" s="182"/>
      <c r="FG663" s="182"/>
      <c r="FH663" s="182"/>
      <c r="FI663" s="182"/>
      <c r="FJ663" s="182"/>
      <c r="FK663" s="182"/>
      <c r="FL663" s="182"/>
      <c r="FM663" s="182"/>
      <c r="FN663" s="182"/>
      <c r="FO663" s="182"/>
      <c r="FP663" s="182"/>
      <c r="FQ663" s="182"/>
      <c r="FR663" s="182"/>
      <c r="FS663" s="182"/>
      <c r="FT663" s="182"/>
      <c r="FU663" s="182"/>
      <c r="FV663" s="182"/>
      <c r="FW663" s="182"/>
      <c r="FX663" s="182"/>
      <c r="FY663" s="182"/>
      <c r="FZ663" s="182"/>
      <c r="GA663" s="182"/>
      <c r="GB663" s="182"/>
      <c r="GC663" s="182"/>
      <c r="GD663" s="182"/>
      <c r="GE663" s="182"/>
      <c r="GF663" s="182"/>
      <c r="GG663" s="182"/>
      <c r="GH663" s="182"/>
      <c r="GI663" s="182"/>
    </row>
    <row r="664" spans="1:191" s="183" customFormat="1" x14ac:dyDescent="0.2">
      <c r="A664" s="210" t="s">
        <v>38331</v>
      </c>
      <c r="B664" s="210" t="s">
        <v>20843</v>
      </c>
      <c r="C664" s="224" t="s">
        <v>22682</v>
      </c>
      <c r="D664" s="211" t="s">
        <v>16</v>
      </c>
      <c r="E664" s="211">
        <v>1</v>
      </c>
      <c r="F664" s="211"/>
      <c r="G664" s="211"/>
      <c r="H664" s="231">
        <v>5</v>
      </c>
      <c r="I664" s="213">
        <f t="shared" si="44"/>
        <v>1.6666666666666666E-2</v>
      </c>
      <c r="J664" s="272">
        <v>3294.66</v>
      </c>
      <c r="K664" s="113"/>
      <c r="L664" s="213"/>
      <c r="M664" s="112">
        <f t="shared" si="45"/>
        <v>54.91</v>
      </c>
      <c r="N664" s="112">
        <f t="shared" si="46"/>
        <v>1647.3</v>
      </c>
      <c r="O664" s="114"/>
      <c r="P664" s="113"/>
      <c r="R664" s="203"/>
      <c r="S664" s="182"/>
      <c r="T664" s="182"/>
      <c r="U664" s="182"/>
      <c r="V664" s="182"/>
      <c r="W664" s="182"/>
      <c r="X664" s="182"/>
      <c r="Y664" s="182"/>
      <c r="Z664" s="182"/>
      <c r="AA664" s="182"/>
      <c r="AB664" s="182"/>
      <c r="AC664" s="182"/>
      <c r="AD664" s="182"/>
      <c r="AE664" s="182"/>
      <c r="AF664" s="182"/>
      <c r="AG664" s="182"/>
      <c r="AH664" s="182"/>
      <c r="AI664" s="182"/>
      <c r="AJ664" s="182"/>
      <c r="AK664" s="182"/>
      <c r="AL664" s="182"/>
      <c r="AM664" s="182"/>
      <c r="AN664" s="182"/>
      <c r="AO664" s="182"/>
      <c r="AP664" s="182"/>
      <c r="AQ664" s="182"/>
      <c r="AR664" s="182"/>
      <c r="AS664" s="182"/>
      <c r="AT664" s="182"/>
      <c r="AU664" s="182"/>
      <c r="AV664" s="182"/>
      <c r="AW664" s="182"/>
      <c r="AX664" s="182"/>
      <c r="AY664" s="182"/>
      <c r="AZ664" s="182"/>
      <c r="BA664" s="182"/>
      <c r="BB664" s="182"/>
      <c r="BC664" s="182"/>
      <c r="BD664" s="182"/>
      <c r="BE664" s="182"/>
      <c r="BF664" s="182"/>
      <c r="BG664" s="182"/>
      <c r="BH664" s="182"/>
      <c r="BI664" s="182"/>
      <c r="BJ664" s="182"/>
      <c r="BK664" s="182"/>
      <c r="BL664" s="182"/>
      <c r="BM664" s="182"/>
      <c r="BN664" s="182"/>
      <c r="BO664" s="182"/>
      <c r="BP664" s="182"/>
      <c r="BQ664" s="182"/>
      <c r="BR664" s="182"/>
      <c r="BS664" s="182"/>
      <c r="BT664" s="182"/>
      <c r="BU664" s="182"/>
      <c r="BV664" s="182"/>
      <c r="BW664" s="182"/>
      <c r="BX664" s="182"/>
      <c r="BY664" s="182"/>
      <c r="BZ664" s="182"/>
      <c r="CA664" s="182"/>
      <c r="CB664" s="182"/>
      <c r="CC664" s="182"/>
      <c r="CD664" s="182"/>
      <c r="CE664" s="182"/>
      <c r="CF664" s="182"/>
      <c r="CG664" s="182"/>
      <c r="CH664" s="182"/>
      <c r="CI664" s="182"/>
      <c r="CJ664" s="182"/>
      <c r="CK664" s="182"/>
      <c r="CL664" s="182"/>
      <c r="CM664" s="182"/>
      <c r="CN664" s="182"/>
      <c r="CO664" s="182"/>
      <c r="CP664" s="182"/>
      <c r="CQ664" s="182"/>
      <c r="CR664" s="182"/>
      <c r="CS664" s="182"/>
      <c r="CT664" s="182"/>
      <c r="CU664" s="182"/>
      <c r="CV664" s="182"/>
      <c r="CW664" s="182"/>
      <c r="CX664" s="182"/>
      <c r="CY664" s="182"/>
      <c r="CZ664" s="182"/>
      <c r="DA664" s="182"/>
      <c r="DB664" s="182"/>
      <c r="DC664" s="182"/>
      <c r="DD664" s="182"/>
      <c r="DE664" s="182"/>
      <c r="DF664" s="182"/>
      <c r="DG664" s="182"/>
      <c r="DH664" s="182"/>
      <c r="DI664" s="182"/>
      <c r="DJ664" s="182"/>
      <c r="DK664" s="182"/>
      <c r="DL664" s="182"/>
      <c r="DM664" s="182"/>
      <c r="DN664" s="182"/>
      <c r="DO664" s="182"/>
      <c r="DP664" s="182"/>
      <c r="DQ664" s="182"/>
      <c r="DR664" s="182"/>
      <c r="DS664" s="182"/>
      <c r="DT664" s="182"/>
      <c r="DU664" s="182"/>
      <c r="DV664" s="182"/>
      <c r="DW664" s="182"/>
      <c r="DX664" s="182"/>
      <c r="DY664" s="182"/>
      <c r="DZ664" s="182"/>
      <c r="EA664" s="182"/>
      <c r="EB664" s="182"/>
      <c r="EC664" s="182"/>
      <c r="ED664" s="182"/>
      <c r="EE664" s="182"/>
      <c r="EF664" s="182"/>
      <c r="EG664" s="182"/>
      <c r="EH664" s="182"/>
      <c r="EI664" s="182"/>
      <c r="EJ664" s="182"/>
      <c r="EK664" s="182"/>
      <c r="EL664" s="182"/>
      <c r="EM664" s="182"/>
      <c r="EN664" s="182"/>
      <c r="EO664" s="182"/>
      <c r="EP664" s="182"/>
      <c r="EQ664" s="182"/>
      <c r="ER664" s="182"/>
      <c r="ES664" s="182"/>
      <c r="ET664" s="182"/>
      <c r="EU664" s="182"/>
      <c r="EV664" s="182"/>
      <c r="EW664" s="182"/>
      <c r="EX664" s="182"/>
      <c r="EY664" s="182"/>
      <c r="EZ664" s="182"/>
      <c r="FA664" s="182"/>
      <c r="FB664" s="182"/>
      <c r="FC664" s="182"/>
      <c r="FD664" s="182"/>
      <c r="FE664" s="182"/>
      <c r="FF664" s="182"/>
      <c r="FG664" s="182"/>
      <c r="FH664" s="182"/>
      <c r="FI664" s="182"/>
      <c r="FJ664" s="182"/>
      <c r="FK664" s="182"/>
      <c r="FL664" s="182"/>
      <c r="FM664" s="182"/>
      <c r="FN664" s="182"/>
      <c r="FO664" s="182"/>
      <c r="FP664" s="182"/>
      <c r="FQ664" s="182"/>
      <c r="FR664" s="182"/>
      <c r="FS664" s="182"/>
      <c r="FT664" s="182"/>
      <c r="FU664" s="182"/>
      <c r="FV664" s="182"/>
      <c r="FW664" s="182"/>
      <c r="FX664" s="182"/>
      <c r="FY664" s="182"/>
      <c r="FZ664" s="182"/>
      <c r="GA664" s="182"/>
      <c r="GB664" s="182"/>
      <c r="GC664" s="182"/>
      <c r="GD664" s="182"/>
      <c r="GE664" s="182"/>
      <c r="GF664" s="182"/>
      <c r="GG664" s="182"/>
      <c r="GH664" s="182"/>
      <c r="GI664" s="182"/>
    </row>
    <row r="665" spans="1:191" s="183" customFormat="1" x14ac:dyDescent="0.2">
      <c r="A665" s="210" t="s">
        <v>38332</v>
      </c>
      <c r="B665" s="210" t="s">
        <v>20844</v>
      </c>
      <c r="C665" s="224" t="s">
        <v>22683</v>
      </c>
      <c r="D665" s="211" t="s">
        <v>16</v>
      </c>
      <c r="E665" s="211">
        <v>3</v>
      </c>
      <c r="F665" s="211"/>
      <c r="G665" s="211"/>
      <c r="H665" s="231">
        <v>10</v>
      </c>
      <c r="I665" s="213">
        <f t="shared" si="44"/>
        <v>8.3333333333333332E-3</v>
      </c>
      <c r="J665" s="272">
        <v>1030.23</v>
      </c>
      <c r="K665" s="113"/>
      <c r="L665" s="213"/>
      <c r="M665" s="112">
        <f t="shared" si="45"/>
        <v>25.76</v>
      </c>
      <c r="N665" s="112">
        <f t="shared" si="46"/>
        <v>772.8</v>
      </c>
      <c r="O665" s="114"/>
      <c r="P665" s="113"/>
      <c r="R665" s="203"/>
      <c r="S665" s="182"/>
      <c r="T665" s="182"/>
      <c r="U665" s="182"/>
      <c r="V665" s="182"/>
      <c r="W665" s="182"/>
      <c r="X665" s="182"/>
      <c r="Y665" s="182"/>
      <c r="Z665" s="182"/>
      <c r="AA665" s="182"/>
      <c r="AB665" s="182"/>
      <c r="AC665" s="182"/>
      <c r="AD665" s="182"/>
      <c r="AE665" s="182"/>
      <c r="AF665" s="182"/>
      <c r="AG665" s="182"/>
      <c r="AH665" s="182"/>
      <c r="AI665" s="182"/>
      <c r="AJ665" s="182"/>
      <c r="AK665" s="182"/>
      <c r="AL665" s="182"/>
      <c r="AM665" s="182"/>
      <c r="AN665" s="182"/>
      <c r="AO665" s="182"/>
      <c r="AP665" s="182"/>
      <c r="AQ665" s="182"/>
      <c r="AR665" s="182"/>
      <c r="AS665" s="182"/>
      <c r="AT665" s="182"/>
      <c r="AU665" s="182"/>
      <c r="AV665" s="182"/>
      <c r="AW665" s="182"/>
      <c r="AX665" s="182"/>
      <c r="AY665" s="182"/>
      <c r="AZ665" s="182"/>
      <c r="BA665" s="182"/>
      <c r="BB665" s="182"/>
      <c r="BC665" s="182"/>
      <c r="BD665" s="182"/>
      <c r="BE665" s="182"/>
      <c r="BF665" s="182"/>
      <c r="BG665" s="182"/>
      <c r="BH665" s="182"/>
      <c r="BI665" s="182"/>
      <c r="BJ665" s="182"/>
      <c r="BK665" s="182"/>
      <c r="BL665" s="182"/>
      <c r="BM665" s="182"/>
      <c r="BN665" s="182"/>
      <c r="BO665" s="182"/>
      <c r="BP665" s="182"/>
      <c r="BQ665" s="182"/>
      <c r="BR665" s="182"/>
      <c r="BS665" s="182"/>
      <c r="BT665" s="182"/>
      <c r="BU665" s="182"/>
      <c r="BV665" s="182"/>
      <c r="BW665" s="182"/>
      <c r="BX665" s="182"/>
      <c r="BY665" s="182"/>
      <c r="BZ665" s="182"/>
      <c r="CA665" s="182"/>
      <c r="CB665" s="182"/>
      <c r="CC665" s="182"/>
      <c r="CD665" s="182"/>
      <c r="CE665" s="182"/>
      <c r="CF665" s="182"/>
      <c r="CG665" s="182"/>
      <c r="CH665" s="182"/>
      <c r="CI665" s="182"/>
      <c r="CJ665" s="182"/>
      <c r="CK665" s="182"/>
      <c r="CL665" s="182"/>
      <c r="CM665" s="182"/>
      <c r="CN665" s="182"/>
      <c r="CO665" s="182"/>
      <c r="CP665" s="182"/>
      <c r="CQ665" s="182"/>
      <c r="CR665" s="182"/>
      <c r="CS665" s="182"/>
      <c r="CT665" s="182"/>
      <c r="CU665" s="182"/>
      <c r="CV665" s="182"/>
      <c r="CW665" s="182"/>
      <c r="CX665" s="182"/>
      <c r="CY665" s="182"/>
      <c r="CZ665" s="182"/>
      <c r="DA665" s="182"/>
      <c r="DB665" s="182"/>
      <c r="DC665" s="182"/>
      <c r="DD665" s="182"/>
      <c r="DE665" s="182"/>
      <c r="DF665" s="182"/>
      <c r="DG665" s="182"/>
      <c r="DH665" s="182"/>
      <c r="DI665" s="182"/>
      <c r="DJ665" s="182"/>
      <c r="DK665" s="182"/>
      <c r="DL665" s="182"/>
      <c r="DM665" s="182"/>
      <c r="DN665" s="182"/>
      <c r="DO665" s="182"/>
      <c r="DP665" s="182"/>
      <c r="DQ665" s="182"/>
      <c r="DR665" s="182"/>
      <c r="DS665" s="182"/>
      <c r="DT665" s="182"/>
      <c r="DU665" s="182"/>
      <c r="DV665" s="182"/>
      <c r="DW665" s="182"/>
      <c r="DX665" s="182"/>
      <c r="DY665" s="182"/>
      <c r="DZ665" s="182"/>
      <c r="EA665" s="182"/>
      <c r="EB665" s="182"/>
      <c r="EC665" s="182"/>
      <c r="ED665" s="182"/>
      <c r="EE665" s="182"/>
      <c r="EF665" s="182"/>
      <c r="EG665" s="182"/>
      <c r="EH665" s="182"/>
      <c r="EI665" s="182"/>
      <c r="EJ665" s="182"/>
      <c r="EK665" s="182"/>
      <c r="EL665" s="182"/>
      <c r="EM665" s="182"/>
      <c r="EN665" s="182"/>
      <c r="EO665" s="182"/>
      <c r="EP665" s="182"/>
      <c r="EQ665" s="182"/>
      <c r="ER665" s="182"/>
      <c r="ES665" s="182"/>
      <c r="ET665" s="182"/>
      <c r="EU665" s="182"/>
      <c r="EV665" s="182"/>
      <c r="EW665" s="182"/>
      <c r="EX665" s="182"/>
      <c r="EY665" s="182"/>
      <c r="EZ665" s="182"/>
      <c r="FA665" s="182"/>
      <c r="FB665" s="182"/>
      <c r="FC665" s="182"/>
      <c r="FD665" s="182"/>
      <c r="FE665" s="182"/>
      <c r="FF665" s="182"/>
      <c r="FG665" s="182"/>
      <c r="FH665" s="182"/>
      <c r="FI665" s="182"/>
      <c r="FJ665" s="182"/>
      <c r="FK665" s="182"/>
      <c r="FL665" s="182"/>
      <c r="FM665" s="182"/>
      <c r="FN665" s="182"/>
      <c r="FO665" s="182"/>
      <c r="FP665" s="182"/>
      <c r="FQ665" s="182"/>
      <c r="FR665" s="182"/>
      <c r="FS665" s="182"/>
      <c r="FT665" s="182"/>
      <c r="FU665" s="182"/>
      <c r="FV665" s="182"/>
      <c r="FW665" s="182"/>
      <c r="FX665" s="182"/>
      <c r="FY665" s="182"/>
      <c r="FZ665" s="182"/>
      <c r="GA665" s="182"/>
      <c r="GB665" s="182"/>
      <c r="GC665" s="182"/>
      <c r="GD665" s="182"/>
      <c r="GE665" s="182"/>
      <c r="GF665" s="182"/>
      <c r="GG665" s="182"/>
      <c r="GH665" s="182"/>
      <c r="GI665" s="182"/>
    </row>
    <row r="666" spans="1:191" s="183" customFormat="1" x14ac:dyDescent="0.2">
      <c r="A666" s="210" t="s">
        <v>38333</v>
      </c>
      <c r="B666" s="210" t="s">
        <v>20845</v>
      </c>
      <c r="C666" s="224" t="s">
        <v>22684</v>
      </c>
      <c r="D666" s="211" t="s">
        <v>16</v>
      </c>
      <c r="E666" s="211">
        <v>7</v>
      </c>
      <c r="F666" s="211"/>
      <c r="G666" s="211"/>
      <c r="H666" s="231">
        <v>5</v>
      </c>
      <c r="I666" s="213">
        <f t="shared" si="44"/>
        <v>1.6666666666666666E-2</v>
      </c>
      <c r="J666" s="272">
        <v>290</v>
      </c>
      <c r="K666" s="113"/>
      <c r="L666" s="213"/>
      <c r="M666" s="112">
        <f t="shared" si="45"/>
        <v>33.83</v>
      </c>
      <c r="N666" s="112">
        <f t="shared" si="46"/>
        <v>1014.9</v>
      </c>
      <c r="O666" s="114"/>
      <c r="P666" s="113"/>
      <c r="R666" s="203"/>
      <c r="S666" s="182"/>
      <c r="T666" s="182"/>
      <c r="U666" s="182"/>
      <c r="V666" s="182"/>
      <c r="W666" s="182"/>
      <c r="X666" s="182"/>
      <c r="Y666" s="182"/>
      <c r="Z666" s="182"/>
      <c r="AA666" s="182"/>
      <c r="AB666" s="182"/>
      <c r="AC666" s="182"/>
      <c r="AD666" s="182"/>
      <c r="AE666" s="182"/>
      <c r="AF666" s="182"/>
      <c r="AG666" s="182"/>
      <c r="AH666" s="182"/>
      <c r="AI666" s="182"/>
      <c r="AJ666" s="182"/>
      <c r="AK666" s="182"/>
      <c r="AL666" s="182"/>
      <c r="AM666" s="182"/>
      <c r="AN666" s="182"/>
      <c r="AO666" s="182"/>
      <c r="AP666" s="182"/>
      <c r="AQ666" s="182"/>
      <c r="AR666" s="182"/>
      <c r="AS666" s="182"/>
      <c r="AT666" s="182"/>
      <c r="AU666" s="182"/>
      <c r="AV666" s="182"/>
      <c r="AW666" s="182"/>
      <c r="AX666" s="182"/>
      <c r="AY666" s="182"/>
      <c r="AZ666" s="182"/>
      <c r="BA666" s="182"/>
      <c r="BB666" s="182"/>
      <c r="BC666" s="182"/>
      <c r="BD666" s="182"/>
      <c r="BE666" s="182"/>
      <c r="BF666" s="182"/>
      <c r="BG666" s="182"/>
      <c r="BH666" s="182"/>
      <c r="BI666" s="182"/>
      <c r="BJ666" s="182"/>
      <c r="BK666" s="182"/>
      <c r="BL666" s="182"/>
      <c r="BM666" s="182"/>
      <c r="BN666" s="182"/>
      <c r="BO666" s="182"/>
      <c r="BP666" s="182"/>
      <c r="BQ666" s="182"/>
      <c r="BR666" s="182"/>
      <c r="BS666" s="182"/>
      <c r="BT666" s="182"/>
      <c r="BU666" s="182"/>
      <c r="BV666" s="182"/>
      <c r="BW666" s="182"/>
      <c r="BX666" s="182"/>
      <c r="BY666" s="182"/>
      <c r="BZ666" s="182"/>
      <c r="CA666" s="182"/>
      <c r="CB666" s="182"/>
      <c r="CC666" s="182"/>
      <c r="CD666" s="182"/>
      <c r="CE666" s="182"/>
      <c r="CF666" s="182"/>
      <c r="CG666" s="182"/>
      <c r="CH666" s="182"/>
      <c r="CI666" s="182"/>
      <c r="CJ666" s="182"/>
      <c r="CK666" s="182"/>
      <c r="CL666" s="182"/>
      <c r="CM666" s="182"/>
      <c r="CN666" s="182"/>
      <c r="CO666" s="182"/>
      <c r="CP666" s="182"/>
      <c r="CQ666" s="182"/>
      <c r="CR666" s="182"/>
      <c r="CS666" s="182"/>
      <c r="CT666" s="182"/>
      <c r="CU666" s="182"/>
      <c r="CV666" s="182"/>
      <c r="CW666" s="182"/>
      <c r="CX666" s="182"/>
      <c r="CY666" s="182"/>
      <c r="CZ666" s="182"/>
      <c r="DA666" s="182"/>
      <c r="DB666" s="182"/>
      <c r="DC666" s="182"/>
      <c r="DD666" s="182"/>
      <c r="DE666" s="182"/>
      <c r="DF666" s="182"/>
      <c r="DG666" s="182"/>
      <c r="DH666" s="182"/>
      <c r="DI666" s="182"/>
      <c r="DJ666" s="182"/>
      <c r="DK666" s="182"/>
      <c r="DL666" s="182"/>
      <c r="DM666" s="182"/>
      <c r="DN666" s="182"/>
      <c r="DO666" s="182"/>
      <c r="DP666" s="182"/>
      <c r="DQ666" s="182"/>
      <c r="DR666" s="182"/>
      <c r="DS666" s="182"/>
      <c r="DT666" s="182"/>
      <c r="DU666" s="182"/>
      <c r="DV666" s="182"/>
      <c r="DW666" s="182"/>
      <c r="DX666" s="182"/>
      <c r="DY666" s="182"/>
      <c r="DZ666" s="182"/>
      <c r="EA666" s="182"/>
      <c r="EB666" s="182"/>
      <c r="EC666" s="182"/>
      <c r="ED666" s="182"/>
      <c r="EE666" s="182"/>
      <c r="EF666" s="182"/>
      <c r="EG666" s="182"/>
      <c r="EH666" s="182"/>
      <c r="EI666" s="182"/>
      <c r="EJ666" s="182"/>
      <c r="EK666" s="182"/>
      <c r="EL666" s="182"/>
      <c r="EM666" s="182"/>
      <c r="EN666" s="182"/>
      <c r="EO666" s="182"/>
      <c r="EP666" s="182"/>
      <c r="EQ666" s="182"/>
      <c r="ER666" s="182"/>
      <c r="ES666" s="182"/>
      <c r="ET666" s="182"/>
      <c r="EU666" s="182"/>
      <c r="EV666" s="182"/>
      <c r="EW666" s="182"/>
      <c r="EX666" s="182"/>
      <c r="EY666" s="182"/>
      <c r="EZ666" s="182"/>
      <c r="FA666" s="182"/>
      <c r="FB666" s="182"/>
      <c r="FC666" s="182"/>
      <c r="FD666" s="182"/>
      <c r="FE666" s="182"/>
      <c r="FF666" s="182"/>
      <c r="FG666" s="182"/>
      <c r="FH666" s="182"/>
      <c r="FI666" s="182"/>
      <c r="FJ666" s="182"/>
      <c r="FK666" s="182"/>
      <c r="FL666" s="182"/>
      <c r="FM666" s="182"/>
      <c r="FN666" s="182"/>
      <c r="FO666" s="182"/>
      <c r="FP666" s="182"/>
      <c r="FQ666" s="182"/>
      <c r="FR666" s="182"/>
      <c r="FS666" s="182"/>
      <c r="FT666" s="182"/>
      <c r="FU666" s="182"/>
      <c r="FV666" s="182"/>
      <c r="FW666" s="182"/>
      <c r="FX666" s="182"/>
      <c r="FY666" s="182"/>
      <c r="FZ666" s="182"/>
      <c r="GA666" s="182"/>
      <c r="GB666" s="182"/>
      <c r="GC666" s="182"/>
      <c r="GD666" s="182"/>
      <c r="GE666" s="182"/>
      <c r="GF666" s="182"/>
      <c r="GG666" s="182"/>
      <c r="GH666" s="182"/>
      <c r="GI666" s="182"/>
    </row>
    <row r="667" spans="1:191" s="183" customFormat="1" x14ac:dyDescent="0.2">
      <c r="A667" s="210" t="s">
        <v>38334</v>
      </c>
      <c r="B667" s="210" t="s">
        <v>20846</v>
      </c>
      <c r="C667" s="224" t="s">
        <v>22685</v>
      </c>
      <c r="D667" s="211" t="s">
        <v>16</v>
      </c>
      <c r="E667" s="211">
        <v>1</v>
      </c>
      <c r="F667" s="211"/>
      <c r="G667" s="211"/>
      <c r="H667" s="231">
        <v>10</v>
      </c>
      <c r="I667" s="213">
        <f t="shared" si="44"/>
        <v>8.3333333333333332E-3</v>
      </c>
      <c r="J667" s="272">
        <v>1199</v>
      </c>
      <c r="K667" s="113"/>
      <c r="L667" s="213"/>
      <c r="M667" s="112">
        <f t="shared" si="45"/>
        <v>9.99</v>
      </c>
      <c r="N667" s="112">
        <f t="shared" si="46"/>
        <v>299.7</v>
      </c>
      <c r="O667" s="114"/>
      <c r="P667" s="113"/>
      <c r="R667" s="203"/>
      <c r="S667" s="182"/>
      <c r="T667" s="182"/>
      <c r="U667" s="182"/>
      <c r="V667" s="182"/>
      <c r="W667" s="182"/>
      <c r="X667" s="182"/>
      <c r="Y667" s="182"/>
      <c r="Z667" s="182"/>
      <c r="AA667" s="182"/>
      <c r="AB667" s="182"/>
      <c r="AC667" s="182"/>
      <c r="AD667" s="182"/>
      <c r="AE667" s="182"/>
      <c r="AF667" s="182"/>
      <c r="AG667" s="182"/>
      <c r="AH667" s="182"/>
      <c r="AI667" s="182"/>
      <c r="AJ667" s="182"/>
      <c r="AK667" s="182"/>
      <c r="AL667" s="182"/>
      <c r="AM667" s="182"/>
      <c r="AN667" s="182"/>
      <c r="AO667" s="182"/>
      <c r="AP667" s="182"/>
      <c r="AQ667" s="182"/>
      <c r="AR667" s="182"/>
      <c r="AS667" s="182"/>
      <c r="AT667" s="182"/>
      <c r="AU667" s="182"/>
      <c r="AV667" s="182"/>
      <c r="AW667" s="182"/>
      <c r="AX667" s="182"/>
      <c r="AY667" s="182"/>
      <c r="AZ667" s="182"/>
      <c r="BA667" s="182"/>
      <c r="BB667" s="182"/>
      <c r="BC667" s="182"/>
      <c r="BD667" s="182"/>
      <c r="BE667" s="182"/>
      <c r="BF667" s="182"/>
      <c r="BG667" s="182"/>
      <c r="BH667" s="182"/>
      <c r="BI667" s="182"/>
      <c r="BJ667" s="182"/>
      <c r="BK667" s="182"/>
      <c r="BL667" s="182"/>
      <c r="BM667" s="182"/>
      <c r="BN667" s="182"/>
      <c r="BO667" s="182"/>
      <c r="BP667" s="182"/>
      <c r="BQ667" s="182"/>
      <c r="BR667" s="182"/>
      <c r="BS667" s="182"/>
      <c r="BT667" s="182"/>
      <c r="BU667" s="182"/>
      <c r="BV667" s="182"/>
      <c r="BW667" s="182"/>
      <c r="BX667" s="182"/>
      <c r="BY667" s="182"/>
      <c r="BZ667" s="182"/>
      <c r="CA667" s="182"/>
      <c r="CB667" s="182"/>
      <c r="CC667" s="182"/>
      <c r="CD667" s="182"/>
      <c r="CE667" s="182"/>
      <c r="CF667" s="182"/>
      <c r="CG667" s="182"/>
      <c r="CH667" s="182"/>
      <c r="CI667" s="182"/>
      <c r="CJ667" s="182"/>
      <c r="CK667" s="182"/>
      <c r="CL667" s="182"/>
      <c r="CM667" s="182"/>
      <c r="CN667" s="182"/>
      <c r="CO667" s="182"/>
      <c r="CP667" s="182"/>
      <c r="CQ667" s="182"/>
      <c r="CR667" s="182"/>
      <c r="CS667" s="182"/>
      <c r="CT667" s="182"/>
      <c r="CU667" s="182"/>
      <c r="CV667" s="182"/>
      <c r="CW667" s="182"/>
      <c r="CX667" s="182"/>
      <c r="CY667" s="182"/>
      <c r="CZ667" s="182"/>
      <c r="DA667" s="182"/>
      <c r="DB667" s="182"/>
      <c r="DC667" s="182"/>
      <c r="DD667" s="182"/>
      <c r="DE667" s="182"/>
      <c r="DF667" s="182"/>
      <c r="DG667" s="182"/>
      <c r="DH667" s="182"/>
      <c r="DI667" s="182"/>
      <c r="DJ667" s="182"/>
      <c r="DK667" s="182"/>
      <c r="DL667" s="182"/>
      <c r="DM667" s="182"/>
      <c r="DN667" s="182"/>
      <c r="DO667" s="182"/>
      <c r="DP667" s="182"/>
      <c r="DQ667" s="182"/>
      <c r="DR667" s="182"/>
      <c r="DS667" s="182"/>
      <c r="DT667" s="182"/>
      <c r="DU667" s="182"/>
      <c r="DV667" s="182"/>
      <c r="DW667" s="182"/>
      <c r="DX667" s="182"/>
      <c r="DY667" s="182"/>
      <c r="DZ667" s="182"/>
      <c r="EA667" s="182"/>
      <c r="EB667" s="182"/>
      <c r="EC667" s="182"/>
      <c r="ED667" s="182"/>
      <c r="EE667" s="182"/>
      <c r="EF667" s="182"/>
      <c r="EG667" s="182"/>
      <c r="EH667" s="182"/>
      <c r="EI667" s="182"/>
      <c r="EJ667" s="182"/>
      <c r="EK667" s="182"/>
      <c r="EL667" s="182"/>
      <c r="EM667" s="182"/>
      <c r="EN667" s="182"/>
      <c r="EO667" s="182"/>
      <c r="EP667" s="182"/>
      <c r="EQ667" s="182"/>
      <c r="ER667" s="182"/>
      <c r="ES667" s="182"/>
      <c r="ET667" s="182"/>
      <c r="EU667" s="182"/>
      <c r="EV667" s="182"/>
      <c r="EW667" s="182"/>
      <c r="EX667" s="182"/>
      <c r="EY667" s="182"/>
      <c r="EZ667" s="182"/>
      <c r="FA667" s="182"/>
      <c r="FB667" s="182"/>
      <c r="FC667" s="182"/>
      <c r="FD667" s="182"/>
      <c r="FE667" s="182"/>
      <c r="FF667" s="182"/>
      <c r="FG667" s="182"/>
      <c r="FH667" s="182"/>
      <c r="FI667" s="182"/>
      <c r="FJ667" s="182"/>
      <c r="FK667" s="182"/>
      <c r="FL667" s="182"/>
      <c r="FM667" s="182"/>
      <c r="FN667" s="182"/>
      <c r="FO667" s="182"/>
      <c r="FP667" s="182"/>
      <c r="FQ667" s="182"/>
      <c r="FR667" s="182"/>
      <c r="FS667" s="182"/>
      <c r="FT667" s="182"/>
      <c r="FU667" s="182"/>
      <c r="FV667" s="182"/>
      <c r="FW667" s="182"/>
      <c r="FX667" s="182"/>
      <c r="FY667" s="182"/>
      <c r="FZ667" s="182"/>
      <c r="GA667" s="182"/>
      <c r="GB667" s="182"/>
      <c r="GC667" s="182"/>
      <c r="GD667" s="182"/>
      <c r="GE667" s="182"/>
      <c r="GF667" s="182"/>
      <c r="GG667" s="182"/>
      <c r="GH667" s="182"/>
      <c r="GI667" s="182"/>
    </row>
    <row r="668" spans="1:191" s="183" customFormat="1" x14ac:dyDescent="0.2">
      <c r="A668" s="210" t="s">
        <v>38335</v>
      </c>
      <c r="B668" s="210" t="s">
        <v>20847</v>
      </c>
      <c r="C668" s="224" t="s">
        <v>22686</v>
      </c>
      <c r="D668" s="211" t="s">
        <v>16</v>
      </c>
      <c r="E668" s="211">
        <v>10</v>
      </c>
      <c r="F668" s="211"/>
      <c r="G668" s="211"/>
      <c r="H668" s="231">
        <v>5</v>
      </c>
      <c r="I668" s="213">
        <f t="shared" si="44"/>
        <v>1.6666666666666666E-2</v>
      </c>
      <c r="J668" s="272">
        <v>113.84</v>
      </c>
      <c r="K668" s="113"/>
      <c r="L668" s="213"/>
      <c r="M668" s="112">
        <f t="shared" si="45"/>
        <v>18.97</v>
      </c>
      <c r="N668" s="112">
        <f t="shared" si="46"/>
        <v>569.1</v>
      </c>
      <c r="O668" s="114"/>
      <c r="P668" s="113"/>
      <c r="R668" s="203"/>
      <c r="S668" s="182"/>
      <c r="T668" s="182"/>
      <c r="U668" s="182"/>
      <c r="V668" s="182"/>
      <c r="W668" s="182"/>
      <c r="X668" s="182"/>
      <c r="Y668" s="182"/>
      <c r="Z668" s="182"/>
      <c r="AA668" s="182"/>
      <c r="AB668" s="182"/>
      <c r="AC668" s="182"/>
      <c r="AD668" s="182"/>
      <c r="AE668" s="182"/>
      <c r="AF668" s="182"/>
      <c r="AG668" s="182"/>
      <c r="AH668" s="182"/>
      <c r="AI668" s="182"/>
      <c r="AJ668" s="182"/>
      <c r="AK668" s="182"/>
      <c r="AL668" s="182"/>
      <c r="AM668" s="182"/>
      <c r="AN668" s="182"/>
      <c r="AO668" s="182"/>
      <c r="AP668" s="182"/>
      <c r="AQ668" s="182"/>
      <c r="AR668" s="182"/>
      <c r="AS668" s="182"/>
      <c r="AT668" s="182"/>
      <c r="AU668" s="182"/>
      <c r="AV668" s="182"/>
      <c r="AW668" s="182"/>
      <c r="AX668" s="182"/>
      <c r="AY668" s="182"/>
      <c r="AZ668" s="182"/>
      <c r="BA668" s="182"/>
      <c r="BB668" s="182"/>
      <c r="BC668" s="182"/>
      <c r="BD668" s="182"/>
      <c r="BE668" s="182"/>
      <c r="BF668" s="182"/>
      <c r="BG668" s="182"/>
      <c r="BH668" s="182"/>
      <c r="BI668" s="182"/>
      <c r="BJ668" s="182"/>
      <c r="BK668" s="182"/>
      <c r="BL668" s="182"/>
      <c r="BM668" s="182"/>
      <c r="BN668" s="182"/>
      <c r="BO668" s="182"/>
      <c r="BP668" s="182"/>
      <c r="BQ668" s="182"/>
      <c r="BR668" s="182"/>
      <c r="BS668" s="182"/>
      <c r="BT668" s="182"/>
      <c r="BU668" s="182"/>
      <c r="BV668" s="182"/>
      <c r="BW668" s="182"/>
      <c r="BX668" s="182"/>
      <c r="BY668" s="182"/>
      <c r="BZ668" s="182"/>
      <c r="CA668" s="182"/>
      <c r="CB668" s="182"/>
      <c r="CC668" s="182"/>
      <c r="CD668" s="182"/>
      <c r="CE668" s="182"/>
      <c r="CF668" s="182"/>
      <c r="CG668" s="182"/>
      <c r="CH668" s="182"/>
      <c r="CI668" s="182"/>
      <c r="CJ668" s="182"/>
      <c r="CK668" s="182"/>
      <c r="CL668" s="182"/>
      <c r="CM668" s="182"/>
      <c r="CN668" s="182"/>
      <c r="CO668" s="182"/>
      <c r="CP668" s="182"/>
      <c r="CQ668" s="182"/>
      <c r="CR668" s="182"/>
      <c r="CS668" s="182"/>
      <c r="CT668" s="182"/>
      <c r="CU668" s="182"/>
      <c r="CV668" s="182"/>
      <c r="CW668" s="182"/>
      <c r="CX668" s="182"/>
      <c r="CY668" s="182"/>
      <c r="CZ668" s="182"/>
      <c r="DA668" s="182"/>
      <c r="DB668" s="182"/>
      <c r="DC668" s="182"/>
      <c r="DD668" s="182"/>
      <c r="DE668" s="182"/>
      <c r="DF668" s="182"/>
      <c r="DG668" s="182"/>
      <c r="DH668" s="182"/>
      <c r="DI668" s="182"/>
      <c r="DJ668" s="182"/>
      <c r="DK668" s="182"/>
      <c r="DL668" s="182"/>
      <c r="DM668" s="182"/>
      <c r="DN668" s="182"/>
      <c r="DO668" s="182"/>
      <c r="DP668" s="182"/>
      <c r="DQ668" s="182"/>
      <c r="DR668" s="182"/>
      <c r="DS668" s="182"/>
      <c r="DT668" s="182"/>
      <c r="DU668" s="182"/>
      <c r="DV668" s="182"/>
      <c r="DW668" s="182"/>
      <c r="DX668" s="182"/>
      <c r="DY668" s="182"/>
      <c r="DZ668" s="182"/>
      <c r="EA668" s="182"/>
      <c r="EB668" s="182"/>
      <c r="EC668" s="182"/>
      <c r="ED668" s="182"/>
      <c r="EE668" s="182"/>
      <c r="EF668" s="182"/>
      <c r="EG668" s="182"/>
      <c r="EH668" s="182"/>
      <c r="EI668" s="182"/>
      <c r="EJ668" s="182"/>
      <c r="EK668" s="182"/>
      <c r="EL668" s="182"/>
      <c r="EM668" s="182"/>
      <c r="EN668" s="182"/>
      <c r="EO668" s="182"/>
      <c r="EP668" s="182"/>
      <c r="EQ668" s="182"/>
      <c r="ER668" s="182"/>
      <c r="ES668" s="182"/>
      <c r="ET668" s="182"/>
      <c r="EU668" s="182"/>
      <c r="EV668" s="182"/>
      <c r="EW668" s="182"/>
      <c r="EX668" s="182"/>
      <c r="EY668" s="182"/>
      <c r="EZ668" s="182"/>
      <c r="FA668" s="182"/>
      <c r="FB668" s="182"/>
      <c r="FC668" s="182"/>
      <c r="FD668" s="182"/>
      <c r="FE668" s="182"/>
      <c r="FF668" s="182"/>
      <c r="FG668" s="182"/>
      <c r="FH668" s="182"/>
      <c r="FI668" s="182"/>
      <c r="FJ668" s="182"/>
      <c r="FK668" s="182"/>
      <c r="FL668" s="182"/>
      <c r="FM668" s="182"/>
      <c r="FN668" s="182"/>
      <c r="FO668" s="182"/>
      <c r="FP668" s="182"/>
      <c r="FQ668" s="182"/>
      <c r="FR668" s="182"/>
      <c r="FS668" s="182"/>
      <c r="FT668" s="182"/>
      <c r="FU668" s="182"/>
      <c r="FV668" s="182"/>
      <c r="FW668" s="182"/>
      <c r="FX668" s="182"/>
      <c r="FY668" s="182"/>
      <c r="FZ668" s="182"/>
      <c r="GA668" s="182"/>
      <c r="GB668" s="182"/>
      <c r="GC668" s="182"/>
      <c r="GD668" s="182"/>
      <c r="GE668" s="182"/>
      <c r="GF668" s="182"/>
      <c r="GG668" s="182"/>
      <c r="GH668" s="182"/>
      <c r="GI668" s="182"/>
    </row>
    <row r="669" spans="1:191" s="183" customFormat="1" x14ac:dyDescent="0.2">
      <c r="A669" s="210" t="s">
        <v>38336</v>
      </c>
      <c r="B669" s="210" t="s">
        <v>20848</v>
      </c>
      <c r="C669" s="224" t="s">
        <v>22687</v>
      </c>
      <c r="D669" s="211" t="s">
        <v>16</v>
      </c>
      <c r="E669" s="211">
        <v>1</v>
      </c>
      <c r="F669" s="211"/>
      <c r="G669" s="211"/>
      <c r="H669" s="231">
        <v>5</v>
      </c>
      <c r="I669" s="213">
        <f t="shared" si="44"/>
        <v>1.6666666666666666E-2</v>
      </c>
      <c r="J669" s="272">
        <v>283.93</v>
      </c>
      <c r="K669" s="113"/>
      <c r="L669" s="213"/>
      <c r="M669" s="112">
        <f t="shared" si="45"/>
        <v>4.7300000000000004</v>
      </c>
      <c r="N669" s="112">
        <f t="shared" si="46"/>
        <v>141.9</v>
      </c>
      <c r="O669" s="114"/>
      <c r="P669" s="113"/>
      <c r="R669" s="203"/>
      <c r="S669" s="182"/>
      <c r="T669" s="182"/>
      <c r="U669" s="182"/>
      <c r="V669" s="182"/>
      <c r="W669" s="182"/>
      <c r="X669" s="182"/>
      <c r="Y669" s="182"/>
      <c r="Z669" s="182"/>
      <c r="AA669" s="182"/>
      <c r="AB669" s="182"/>
      <c r="AC669" s="182"/>
      <c r="AD669" s="182"/>
      <c r="AE669" s="182"/>
      <c r="AF669" s="182"/>
      <c r="AG669" s="182"/>
      <c r="AH669" s="182"/>
      <c r="AI669" s="182"/>
      <c r="AJ669" s="182"/>
      <c r="AK669" s="182"/>
      <c r="AL669" s="182"/>
      <c r="AM669" s="182"/>
      <c r="AN669" s="182"/>
      <c r="AO669" s="182"/>
      <c r="AP669" s="182"/>
      <c r="AQ669" s="182"/>
      <c r="AR669" s="182"/>
      <c r="AS669" s="182"/>
      <c r="AT669" s="182"/>
      <c r="AU669" s="182"/>
      <c r="AV669" s="182"/>
      <c r="AW669" s="182"/>
      <c r="AX669" s="182"/>
      <c r="AY669" s="182"/>
      <c r="AZ669" s="182"/>
      <c r="BA669" s="182"/>
      <c r="BB669" s="182"/>
      <c r="BC669" s="182"/>
      <c r="BD669" s="182"/>
      <c r="BE669" s="182"/>
      <c r="BF669" s="182"/>
      <c r="BG669" s="182"/>
      <c r="BH669" s="182"/>
      <c r="BI669" s="182"/>
      <c r="BJ669" s="182"/>
      <c r="BK669" s="182"/>
      <c r="BL669" s="182"/>
      <c r="BM669" s="182"/>
      <c r="BN669" s="182"/>
      <c r="BO669" s="182"/>
      <c r="BP669" s="182"/>
      <c r="BQ669" s="182"/>
      <c r="BR669" s="182"/>
      <c r="BS669" s="182"/>
      <c r="BT669" s="182"/>
      <c r="BU669" s="182"/>
      <c r="BV669" s="182"/>
      <c r="BW669" s="182"/>
      <c r="BX669" s="182"/>
      <c r="BY669" s="182"/>
      <c r="BZ669" s="182"/>
      <c r="CA669" s="182"/>
      <c r="CB669" s="182"/>
      <c r="CC669" s="182"/>
      <c r="CD669" s="182"/>
      <c r="CE669" s="182"/>
      <c r="CF669" s="182"/>
      <c r="CG669" s="182"/>
      <c r="CH669" s="182"/>
      <c r="CI669" s="182"/>
      <c r="CJ669" s="182"/>
      <c r="CK669" s="182"/>
      <c r="CL669" s="182"/>
      <c r="CM669" s="182"/>
      <c r="CN669" s="182"/>
      <c r="CO669" s="182"/>
      <c r="CP669" s="182"/>
      <c r="CQ669" s="182"/>
      <c r="CR669" s="182"/>
      <c r="CS669" s="182"/>
      <c r="CT669" s="182"/>
      <c r="CU669" s="182"/>
      <c r="CV669" s="182"/>
      <c r="CW669" s="182"/>
      <c r="CX669" s="182"/>
      <c r="CY669" s="182"/>
      <c r="CZ669" s="182"/>
      <c r="DA669" s="182"/>
      <c r="DB669" s="182"/>
      <c r="DC669" s="182"/>
      <c r="DD669" s="182"/>
      <c r="DE669" s="182"/>
      <c r="DF669" s="182"/>
      <c r="DG669" s="182"/>
      <c r="DH669" s="182"/>
      <c r="DI669" s="182"/>
      <c r="DJ669" s="182"/>
      <c r="DK669" s="182"/>
      <c r="DL669" s="182"/>
      <c r="DM669" s="182"/>
      <c r="DN669" s="182"/>
      <c r="DO669" s="182"/>
      <c r="DP669" s="182"/>
      <c r="DQ669" s="182"/>
      <c r="DR669" s="182"/>
      <c r="DS669" s="182"/>
      <c r="DT669" s="182"/>
      <c r="DU669" s="182"/>
      <c r="DV669" s="182"/>
      <c r="DW669" s="182"/>
      <c r="DX669" s="182"/>
      <c r="DY669" s="182"/>
      <c r="DZ669" s="182"/>
      <c r="EA669" s="182"/>
      <c r="EB669" s="182"/>
      <c r="EC669" s="182"/>
      <c r="ED669" s="182"/>
      <c r="EE669" s="182"/>
      <c r="EF669" s="182"/>
      <c r="EG669" s="182"/>
      <c r="EH669" s="182"/>
      <c r="EI669" s="182"/>
      <c r="EJ669" s="182"/>
      <c r="EK669" s="182"/>
      <c r="EL669" s="182"/>
      <c r="EM669" s="182"/>
      <c r="EN669" s="182"/>
      <c r="EO669" s="182"/>
      <c r="EP669" s="182"/>
      <c r="EQ669" s="182"/>
      <c r="ER669" s="182"/>
      <c r="ES669" s="182"/>
      <c r="ET669" s="182"/>
      <c r="EU669" s="182"/>
      <c r="EV669" s="182"/>
      <c r="EW669" s="182"/>
      <c r="EX669" s="182"/>
      <c r="EY669" s="182"/>
      <c r="EZ669" s="182"/>
      <c r="FA669" s="182"/>
      <c r="FB669" s="182"/>
      <c r="FC669" s="182"/>
      <c r="FD669" s="182"/>
      <c r="FE669" s="182"/>
      <c r="FF669" s="182"/>
      <c r="FG669" s="182"/>
      <c r="FH669" s="182"/>
      <c r="FI669" s="182"/>
      <c r="FJ669" s="182"/>
      <c r="FK669" s="182"/>
      <c r="FL669" s="182"/>
      <c r="FM669" s="182"/>
      <c r="FN669" s="182"/>
      <c r="FO669" s="182"/>
      <c r="FP669" s="182"/>
      <c r="FQ669" s="182"/>
      <c r="FR669" s="182"/>
      <c r="FS669" s="182"/>
      <c r="FT669" s="182"/>
      <c r="FU669" s="182"/>
      <c r="FV669" s="182"/>
      <c r="FW669" s="182"/>
      <c r="FX669" s="182"/>
      <c r="FY669" s="182"/>
      <c r="FZ669" s="182"/>
      <c r="GA669" s="182"/>
      <c r="GB669" s="182"/>
      <c r="GC669" s="182"/>
      <c r="GD669" s="182"/>
      <c r="GE669" s="182"/>
      <c r="GF669" s="182"/>
      <c r="GG669" s="182"/>
      <c r="GH669" s="182"/>
      <c r="GI669" s="182"/>
    </row>
    <row r="670" spans="1:191" s="183" customFormat="1" x14ac:dyDescent="0.2">
      <c r="A670" s="210" t="s">
        <v>38337</v>
      </c>
      <c r="B670" s="210" t="s">
        <v>20849</v>
      </c>
      <c r="C670" s="224" t="s">
        <v>22688</v>
      </c>
      <c r="D670" s="211" t="s">
        <v>16</v>
      </c>
      <c r="E670" s="211">
        <v>1</v>
      </c>
      <c r="F670" s="211"/>
      <c r="G670" s="211"/>
      <c r="H670" s="231">
        <v>5</v>
      </c>
      <c r="I670" s="213">
        <f t="shared" si="44"/>
        <v>1.6666666666666666E-2</v>
      </c>
      <c r="J670" s="272">
        <v>34.56</v>
      </c>
      <c r="K670" s="113"/>
      <c r="L670" s="213"/>
      <c r="M670" s="112">
        <f t="shared" si="45"/>
        <v>0.57999999999999996</v>
      </c>
      <c r="N670" s="112">
        <f t="shared" si="46"/>
        <v>17.399999999999999</v>
      </c>
      <c r="O670" s="114"/>
      <c r="P670" s="113"/>
      <c r="R670" s="203"/>
      <c r="S670" s="182"/>
      <c r="T670" s="182"/>
      <c r="U670" s="182"/>
      <c r="V670" s="182"/>
      <c r="W670" s="182"/>
      <c r="X670" s="182"/>
      <c r="Y670" s="182"/>
      <c r="Z670" s="182"/>
      <c r="AA670" s="182"/>
      <c r="AB670" s="182"/>
      <c r="AC670" s="182"/>
      <c r="AD670" s="182"/>
      <c r="AE670" s="182"/>
      <c r="AF670" s="182"/>
      <c r="AG670" s="182"/>
      <c r="AH670" s="182"/>
      <c r="AI670" s="182"/>
      <c r="AJ670" s="182"/>
      <c r="AK670" s="182"/>
      <c r="AL670" s="182"/>
      <c r="AM670" s="182"/>
      <c r="AN670" s="182"/>
      <c r="AO670" s="182"/>
      <c r="AP670" s="182"/>
      <c r="AQ670" s="182"/>
      <c r="AR670" s="182"/>
      <c r="AS670" s="182"/>
      <c r="AT670" s="182"/>
      <c r="AU670" s="182"/>
      <c r="AV670" s="182"/>
      <c r="AW670" s="182"/>
      <c r="AX670" s="182"/>
      <c r="AY670" s="182"/>
      <c r="AZ670" s="182"/>
      <c r="BA670" s="182"/>
      <c r="BB670" s="182"/>
      <c r="BC670" s="182"/>
      <c r="BD670" s="182"/>
      <c r="BE670" s="182"/>
      <c r="BF670" s="182"/>
      <c r="BG670" s="182"/>
      <c r="BH670" s="182"/>
      <c r="BI670" s="182"/>
      <c r="BJ670" s="182"/>
      <c r="BK670" s="182"/>
      <c r="BL670" s="182"/>
      <c r="BM670" s="182"/>
      <c r="BN670" s="182"/>
      <c r="BO670" s="182"/>
      <c r="BP670" s="182"/>
      <c r="BQ670" s="182"/>
      <c r="BR670" s="182"/>
      <c r="BS670" s="182"/>
      <c r="BT670" s="182"/>
      <c r="BU670" s="182"/>
      <c r="BV670" s="182"/>
      <c r="BW670" s="182"/>
      <c r="BX670" s="182"/>
      <c r="BY670" s="182"/>
      <c r="BZ670" s="182"/>
      <c r="CA670" s="182"/>
      <c r="CB670" s="182"/>
      <c r="CC670" s="182"/>
      <c r="CD670" s="182"/>
      <c r="CE670" s="182"/>
      <c r="CF670" s="182"/>
      <c r="CG670" s="182"/>
      <c r="CH670" s="182"/>
      <c r="CI670" s="182"/>
      <c r="CJ670" s="182"/>
      <c r="CK670" s="182"/>
      <c r="CL670" s="182"/>
      <c r="CM670" s="182"/>
      <c r="CN670" s="182"/>
      <c r="CO670" s="182"/>
      <c r="CP670" s="182"/>
      <c r="CQ670" s="182"/>
      <c r="CR670" s="182"/>
      <c r="CS670" s="182"/>
      <c r="CT670" s="182"/>
      <c r="CU670" s="182"/>
      <c r="CV670" s="182"/>
      <c r="CW670" s="182"/>
      <c r="CX670" s="182"/>
      <c r="CY670" s="182"/>
      <c r="CZ670" s="182"/>
      <c r="DA670" s="182"/>
      <c r="DB670" s="182"/>
      <c r="DC670" s="182"/>
      <c r="DD670" s="182"/>
      <c r="DE670" s="182"/>
      <c r="DF670" s="182"/>
      <c r="DG670" s="182"/>
      <c r="DH670" s="182"/>
      <c r="DI670" s="182"/>
      <c r="DJ670" s="182"/>
      <c r="DK670" s="182"/>
      <c r="DL670" s="182"/>
      <c r="DM670" s="182"/>
      <c r="DN670" s="182"/>
      <c r="DO670" s="182"/>
      <c r="DP670" s="182"/>
      <c r="DQ670" s="182"/>
      <c r="DR670" s="182"/>
      <c r="DS670" s="182"/>
      <c r="DT670" s="182"/>
      <c r="DU670" s="182"/>
      <c r="DV670" s="182"/>
      <c r="DW670" s="182"/>
      <c r="DX670" s="182"/>
      <c r="DY670" s="182"/>
      <c r="DZ670" s="182"/>
      <c r="EA670" s="182"/>
      <c r="EB670" s="182"/>
      <c r="EC670" s="182"/>
      <c r="ED670" s="182"/>
      <c r="EE670" s="182"/>
      <c r="EF670" s="182"/>
      <c r="EG670" s="182"/>
      <c r="EH670" s="182"/>
      <c r="EI670" s="182"/>
      <c r="EJ670" s="182"/>
      <c r="EK670" s="182"/>
      <c r="EL670" s="182"/>
      <c r="EM670" s="182"/>
      <c r="EN670" s="182"/>
      <c r="EO670" s="182"/>
      <c r="EP670" s="182"/>
      <c r="EQ670" s="182"/>
      <c r="ER670" s="182"/>
      <c r="ES670" s="182"/>
      <c r="ET670" s="182"/>
      <c r="EU670" s="182"/>
      <c r="EV670" s="182"/>
      <c r="EW670" s="182"/>
      <c r="EX670" s="182"/>
      <c r="EY670" s="182"/>
      <c r="EZ670" s="182"/>
      <c r="FA670" s="182"/>
      <c r="FB670" s="182"/>
      <c r="FC670" s="182"/>
      <c r="FD670" s="182"/>
      <c r="FE670" s="182"/>
      <c r="FF670" s="182"/>
      <c r="FG670" s="182"/>
      <c r="FH670" s="182"/>
      <c r="FI670" s="182"/>
      <c r="FJ670" s="182"/>
      <c r="FK670" s="182"/>
      <c r="FL670" s="182"/>
      <c r="FM670" s="182"/>
      <c r="FN670" s="182"/>
      <c r="FO670" s="182"/>
      <c r="FP670" s="182"/>
      <c r="FQ670" s="182"/>
      <c r="FR670" s="182"/>
      <c r="FS670" s="182"/>
      <c r="FT670" s="182"/>
      <c r="FU670" s="182"/>
      <c r="FV670" s="182"/>
      <c r="FW670" s="182"/>
      <c r="FX670" s="182"/>
      <c r="FY670" s="182"/>
      <c r="FZ670" s="182"/>
      <c r="GA670" s="182"/>
      <c r="GB670" s="182"/>
      <c r="GC670" s="182"/>
      <c r="GD670" s="182"/>
      <c r="GE670" s="182"/>
      <c r="GF670" s="182"/>
      <c r="GG670" s="182"/>
      <c r="GH670" s="182"/>
      <c r="GI670" s="182"/>
    </row>
    <row r="671" spans="1:191" s="183" customFormat="1" x14ac:dyDescent="0.2">
      <c r="A671" s="210" t="s">
        <v>38338</v>
      </c>
      <c r="B671" s="210" t="s">
        <v>20850</v>
      </c>
      <c r="C671" s="224" t="s">
        <v>22689</v>
      </c>
      <c r="D671" s="211" t="s">
        <v>16</v>
      </c>
      <c r="E671" s="211">
        <v>1</v>
      </c>
      <c r="F671" s="211"/>
      <c r="G671" s="211"/>
      <c r="H671" s="231">
        <v>5</v>
      </c>
      <c r="I671" s="213">
        <f t="shared" si="44"/>
        <v>1.6666666666666666E-2</v>
      </c>
      <c r="J671" s="272">
        <v>1486.43</v>
      </c>
      <c r="K671" s="113"/>
      <c r="L671" s="213"/>
      <c r="M671" s="112">
        <f t="shared" si="45"/>
        <v>24.77</v>
      </c>
      <c r="N671" s="112">
        <f t="shared" si="46"/>
        <v>743.1</v>
      </c>
      <c r="O671" s="114"/>
      <c r="P671" s="113"/>
      <c r="R671" s="203"/>
      <c r="S671" s="182"/>
      <c r="T671" s="182"/>
      <c r="U671" s="182"/>
      <c r="V671" s="182"/>
      <c r="W671" s="182"/>
      <c r="X671" s="182"/>
      <c r="Y671" s="182"/>
      <c r="Z671" s="182"/>
      <c r="AA671" s="182"/>
      <c r="AB671" s="182"/>
      <c r="AC671" s="182"/>
      <c r="AD671" s="182"/>
      <c r="AE671" s="182"/>
      <c r="AF671" s="182"/>
      <c r="AG671" s="182"/>
      <c r="AH671" s="182"/>
      <c r="AI671" s="182"/>
      <c r="AJ671" s="182"/>
      <c r="AK671" s="182"/>
      <c r="AL671" s="182"/>
      <c r="AM671" s="182"/>
      <c r="AN671" s="182"/>
      <c r="AO671" s="182"/>
      <c r="AP671" s="182"/>
      <c r="AQ671" s="182"/>
      <c r="AR671" s="182"/>
      <c r="AS671" s="182"/>
      <c r="AT671" s="182"/>
      <c r="AU671" s="182"/>
      <c r="AV671" s="182"/>
      <c r="AW671" s="182"/>
      <c r="AX671" s="182"/>
      <c r="AY671" s="182"/>
      <c r="AZ671" s="182"/>
      <c r="BA671" s="182"/>
      <c r="BB671" s="182"/>
      <c r="BC671" s="182"/>
      <c r="BD671" s="182"/>
      <c r="BE671" s="182"/>
      <c r="BF671" s="182"/>
      <c r="BG671" s="182"/>
      <c r="BH671" s="182"/>
      <c r="BI671" s="182"/>
      <c r="BJ671" s="182"/>
      <c r="BK671" s="182"/>
      <c r="BL671" s="182"/>
      <c r="BM671" s="182"/>
      <c r="BN671" s="182"/>
      <c r="BO671" s="182"/>
      <c r="BP671" s="182"/>
      <c r="BQ671" s="182"/>
      <c r="BR671" s="182"/>
      <c r="BS671" s="182"/>
      <c r="BT671" s="182"/>
      <c r="BU671" s="182"/>
      <c r="BV671" s="182"/>
      <c r="BW671" s="182"/>
      <c r="BX671" s="182"/>
      <c r="BY671" s="182"/>
      <c r="BZ671" s="182"/>
      <c r="CA671" s="182"/>
      <c r="CB671" s="182"/>
      <c r="CC671" s="182"/>
      <c r="CD671" s="182"/>
      <c r="CE671" s="182"/>
      <c r="CF671" s="182"/>
      <c r="CG671" s="182"/>
      <c r="CH671" s="182"/>
      <c r="CI671" s="182"/>
      <c r="CJ671" s="182"/>
      <c r="CK671" s="182"/>
      <c r="CL671" s="182"/>
      <c r="CM671" s="182"/>
      <c r="CN671" s="182"/>
      <c r="CO671" s="182"/>
      <c r="CP671" s="182"/>
      <c r="CQ671" s="182"/>
      <c r="CR671" s="182"/>
      <c r="CS671" s="182"/>
      <c r="CT671" s="182"/>
      <c r="CU671" s="182"/>
      <c r="CV671" s="182"/>
      <c r="CW671" s="182"/>
      <c r="CX671" s="182"/>
      <c r="CY671" s="182"/>
      <c r="CZ671" s="182"/>
      <c r="DA671" s="182"/>
      <c r="DB671" s="182"/>
      <c r="DC671" s="182"/>
      <c r="DD671" s="182"/>
      <c r="DE671" s="182"/>
      <c r="DF671" s="182"/>
      <c r="DG671" s="182"/>
      <c r="DH671" s="182"/>
      <c r="DI671" s="182"/>
      <c r="DJ671" s="182"/>
      <c r="DK671" s="182"/>
      <c r="DL671" s="182"/>
      <c r="DM671" s="182"/>
      <c r="DN671" s="182"/>
      <c r="DO671" s="182"/>
      <c r="DP671" s="182"/>
      <c r="DQ671" s="182"/>
      <c r="DR671" s="182"/>
      <c r="DS671" s="182"/>
      <c r="DT671" s="182"/>
      <c r="DU671" s="182"/>
      <c r="DV671" s="182"/>
      <c r="DW671" s="182"/>
      <c r="DX671" s="182"/>
      <c r="DY671" s="182"/>
      <c r="DZ671" s="182"/>
      <c r="EA671" s="182"/>
      <c r="EB671" s="182"/>
      <c r="EC671" s="182"/>
      <c r="ED671" s="182"/>
      <c r="EE671" s="182"/>
      <c r="EF671" s="182"/>
      <c r="EG671" s="182"/>
      <c r="EH671" s="182"/>
      <c r="EI671" s="182"/>
      <c r="EJ671" s="182"/>
      <c r="EK671" s="182"/>
      <c r="EL671" s="182"/>
      <c r="EM671" s="182"/>
      <c r="EN671" s="182"/>
      <c r="EO671" s="182"/>
      <c r="EP671" s="182"/>
      <c r="EQ671" s="182"/>
      <c r="ER671" s="182"/>
      <c r="ES671" s="182"/>
      <c r="ET671" s="182"/>
      <c r="EU671" s="182"/>
      <c r="EV671" s="182"/>
      <c r="EW671" s="182"/>
      <c r="EX671" s="182"/>
      <c r="EY671" s="182"/>
      <c r="EZ671" s="182"/>
      <c r="FA671" s="182"/>
      <c r="FB671" s="182"/>
      <c r="FC671" s="182"/>
      <c r="FD671" s="182"/>
      <c r="FE671" s="182"/>
      <c r="FF671" s="182"/>
      <c r="FG671" s="182"/>
      <c r="FH671" s="182"/>
      <c r="FI671" s="182"/>
      <c r="FJ671" s="182"/>
      <c r="FK671" s="182"/>
      <c r="FL671" s="182"/>
      <c r="FM671" s="182"/>
      <c r="FN671" s="182"/>
      <c r="FO671" s="182"/>
      <c r="FP671" s="182"/>
      <c r="FQ671" s="182"/>
      <c r="FR671" s="182"/>
      <c r="FS671" s="182"/>
      <c r="FT671" s="182"/>
      <c r="FU671" s="182"/>
      <c r="FV671" s="182"/>
      <c r="FW671" s="182"/>
      <c r="FX671" s="182"/>
      <c r="FY671" s="182"/>
      <c r="FZ671" s="182"/>
      <c r="GA671" s="182"/>
      <c r="GB671" s="182"/>
      <c r="GC671" s="182"/>
      <c r="GD671" s="182"/>
      <c r="GE671" s="182"/>
      <c r="GF671" s="182"/>
      <c r="GG671" s="182"/>
      <c r="GH671" s="182"/>
      <c r="GI671" s="182"/>
    </row>
    <row r="672" spans="1:191" s="183" customFormat="1" x14ac:dyDescent="0.2">
      <c r="A672" s="210" t="s">
        <v>38339</v>
      </c>
      <c r="B672" s="210" t="s">
        <v>20851</v>
      </c>
      <c r="C672" s="224" t="s">
        <v>22690</v>
      </c>
      <c r="D672" s="211" t="s">
        <v>16</v>
      </c>
      <c r="E672" s="211">
        <v>4</v>
      </c>
      <c r="F672" s="211"/>
      <c r="G672" s="211"/>
      <c r="H672" s="231">
        <v>5</v>
      </c>
      <c r="I672" s="213">
        <f t="shared" si="44"/>
        <v>1.6666666666666666E-2</v>
      </c>
      <c r="J672" s="272">
        <v>1113.47</v>
      </c>
      <c r="K672" s="113"/>
      <c r="L672" s="213"/>
      <c r="M672" s="112">
        <f t="shared" si="45"/>
        <v>74.23</v>
      </c>
      <c r="N672" s="112">
        <f t="shared" si="46"/>
        <v>2226.9</v>
      </c>
      <c r="O672" s="114"/>
      <c r="P672" s="113"/>
      <c r="R672" s="203"/>
      <c r="S672" s="182"/>
      <c r="T672" s="182"/>
      <c r="U672" s="182"/>
      <c r="V672" s="182"/>
      <c r="W672" s="182"/>
      <c r="X672" s="182"/>
      <c r="Y672" s="182"/>
      <c r="Z672" s="182"/>
      <c r="AA672" s="182"/>
      <c r="AB672" s="182"/>
      <c r="AC672" s="182"/>
      <c r="AD672" s="182"/>
      <c r="AE672" s="182"/>
      <c r="AF672" s="182"/>
      <c r="AG672" s="182"/>
      <c r="AH672" s="182"/>
      <c r="AI672" s="182"/>
      <c r="AJ672" s="182"/>
      <c r="AK672" s="182"/>
      <c r="AL672" s="182"/>
      <c r="AM672" s="182"/>
      <c r="AN672" s="182"/>
      <c r="AO672" s="182"/>
      <c r="AP672" s="182"/>
      <c r="AQ672" s="182"/>
      <c r="AR672" s="182"/>
      <c r="AS672" s="182"/>
      <c r="AT672" s="182"/>
      <c r="AU672" s="182"/>
      <c r="AV672" s="182"/>
      <c r="AW672" s="182"/>
      <c r="AX672" s="182"/>
      <c r="AY672" s="182"/>
      <c r="AZ672" s="182"/>
      <c r="BA672" s="182"/>
      <c r="BB672" s="182"/>
      <c r="BC672" s="182"/>
      <c r="BD672" s="182"/>
      <c r="BE672" s="182"/>
      <c r="BF672" s="182"/>
      <c r="BG672" s="182"/>
      <c r="BH672" s="182"/>
      <c r="BI672" s="182"/>
      <c r="BJ672" s="182"/>
      <c r="BK672" s="182"/>
      <c r="BL672" s="182"/>
      <c r="BM672" s="182"/>
      <c r="BN672" s="182"/>
      <c r="BO672" s="182"/>
      <c r="BP672" s="182"/>
      <c r="BQ672" s="182"/>
      <c r="BR672" s="182"/>
      <c r="BS672" s="182"/>
      <c r="BT672" s="182"/>
      <c r="BU672" s="182"/>
      <c r="BV672" s="182"/>
      <c r="BW672" s="182"/>
      <c r="BX672" s="182"/>
      <c r="BY672" s="182"/>
      <c r="BZ672" s="182"/>
      <c r="CA672" s="182"/>
      <c r="CB672" s="182"/>
      <c r="CC672" s="182"/>
      <c r="CD672" s="182"/>
      <c r="CE672" s="182"/>
      <c r="CF672" s="182"/>
      <c r="CG672" s="182"/>
      <c r="CH672" s="182"/>
      <c r="CI672" s="182"/>
      <c r="CJ672" s="182"/>
      <c r="CK672" s="182"/>
      <c r="CL672" s="182"/>
      <c r="CM672" s="182"/>
      <c r="CN672" s="182"/>
      <c r="CO672" s="182"/>
      <c r="CP672" s="182"/>
      <c r="CQ672" s="182"/>
      <c r="CR672" s="182"/>
      <c r="CS672" s="182"/>
      <c r="CT672" s="182"/>
      <c r="CU672" s="182"/>
      <c r="CV672" s="182"/>
      <c r="CW672" s="182"/>
      <c r="CX672" s="182"/>
      <c r="CY672" s="182"/>
      <c r="CZ672" s="182"/>
      <c r="DA672" s="182"/>
      <c r="DB672" s="182"/>
      <c r="DC672" s="182"/>
      <c r="DD672" s="182"/>
      <c r="DE672" s="182"/>
      <c r="DF672" s="182"/>
      <c r="DG672" s="182"/>
      <c r="DH672" s="182"/>
      <c r="DI672" s="182"/>
      <c r="DJ672" s="182"/>
      <c r="DK672" s="182"/>
      <c r="DL672" s="182"/>
      <c r="DM672" s="182"/>
      <c r="DN672" s="182"/>
      <c r="DO672" s="182"/>
      <c r="DP672" s="182"/>
      <c r="DQ672" s="182"/>
      <c r="DR672" s="182"/>
      <c r="DS672" s="182"/>
      <c r="DT672" s="182"/>
      <c r="DU672" s="182"/>
      <c r="DV672" s="182"/>
      <c r="DW672" s="182"/>
      <c r="DX672" s="182"/>
      <c r="DY672" s="182"/>
      <c r="DZ672" s="182"/>
      <c r="EA672" s="182"/>
      <c r="EB672" s="182"/>
      <c r="EC672" s="182"/>
      <c r="ED672" s="182"/>
      <c r="EE672" s="182"/>
      <c r="EF672" s="182"/>
      <c r="EG672" s="182"/>
      <c r="EH672" s="182"/>
      <c r="EI672" s="182"/>
      <c r="EJ672" s="182"/>
      <c r="EK672" s="182"/>
      <c r="EL672" s="182"/>
      <c r="EM672" s="182"/>
      <c r="EN672" s="182"/>
      <c r="EO672" s="182"/>
      <c r="EP672" s="182"/>
      <c r="EQ672" s="182"/>
      <c r="ER672" s="182"/>
      <c r="ES672" s="182"/>
      <c r="ET672" s="182"/>
      <c r="EU672" s="182"/>
      <c r="EV672" s="182"/>
      <c r="EW672" s="182"/>
      <c r="EX672" s="182"/>
      <c r="EY672" s="182"/>
      <c r="EZ672" s="182"/>
      <c r="FA672" s="182"/>
      <c r="FB672" s="182"/>
      <c r="FC672" s="182"/>
      <c r="FD672" s="182"/>
      <c r="FE672" s="182"/>
      <c r="FF672" s="182"/>
      <c r="FG672" s="182"/>
      <c r="FH672" s="182"/>
      <c r="FI672" s="182"/>
      <c r="FJ672" s="182"/>
      <c r="FK672" s="182"/>
      <c r="FL672" s="182"/>
      <c r="FM672" s="182"/>
      <c r="FN672" s="182"/>
      <c r="FO672" s="182"/>
      <c r="FP672" s="182"/>
      <c r="FQ672" s="182"/>
      <c r="FR672" s="182"/>
      <c r="FS672" s="182"/>
      <c r="FT672" s="182"/>
      <c r="FU672" s="182"/>
      <c r="FV672" s="182"/>
      <c r="FW672" s="182"/>
      <c r="FX672" s="182"/>
      <c r="FY672" s="182"/>
      <c r="FZ672" s="182"/>
      <c r="GA672" s="182"/>
      <c r="GB672" s="182"/>
      <c r="GC672" s="182"/>
      <c r="GD672" s="182"/>
      <c r="GE672" s="182"/>
      <c r="GF672" s="182"/>
      <c r="GG672" s="182"/>
      <c r="GH672" s="182"/>
      <c r="GI672" s="182"/>
    </row>
    <row r="673" spans="1:191" s="183" customFormat="1" x14ac:dyDescent="0.2">
      <c r="A673" s="210" t="s">
        <v>38340</v>
      </c>
      <c r="B673" s="210" t="s">
        <v>20852</v>
      </c>
      <c r="C673" s="224" t="s">
        <v>22691</v>
      </c>
      <c r="D673" s="211" t="s">
        <v>16</v>
      </c>
      <c r="E673" s="211">
        <v>1</v>
      </c>
      <c r="F673" s="211"/>
      <c r="G673" s="211"/>
      <c r="H673" s="231">
        <v>5</v>
      </c>
      <c r="I673" s="213">
        <f t="shared" si="44"/>
        <v>1.6666666666666666E-2</v>
      </c>
      <c r="J673" s="272">
        <v>1349.45</v>
      </c>
      <c r="K673" s="113"/>
      <c r="L673" s="213"/>
      <c r="M673" s="112">
        <f t="shared" si="45"/>
        <v>22.49</v>
      </c>
      <c r="N673" s="112">
        <f t="shared" si="46"/>
        <v>674.7</v>
      </c>
      <c r="O673" s="114"/>
      <c r="P673" s="113"/>
      <c r="R673" s="203"/>
      <c r="S673" s="182"/>
      <c r="T673" s="182"/>
      <c r="U673" s="182"/>
      <c r="V673" s="182"/>
      <c r="W673" s="182"/>
      <c r="X673" s="182"/>
      <c r="Y673" s="182"/>
      <c r="Z673" s="182"/>
      <c r="AA673" s="182"/>
      <c r="AB673" s="182"/>
      <c r="AC673" s="182"/>
      <c r="AD673" s="182"/>
      <c r="AE673" s="182"/>
      <c r="AF673" s="182"/>
      <c r="AG673" s="182"/>
      <c r="AH673" s="182"/>
      <c r="AI673" s="182"/>
      <c r="AJ673" s="182"/>
      <c r="AK673" s="182"/>
      <c r="AL673" s="182"/>
      <c r="AM673" s="182"/>
      <c r="AN673" s="182"/>
      <c r="AO673" s="182"/>
      <c r="AP673" s="182"/>
      <c r="AQ673" s="182"/>
      <c r="AR673" s="182"/>
      <c r="AS673" s="182"/>
      <c r="AT673" s="182"/>
      <c r="AU673" s="182"/>
      <c r="AV673" s="182"/>
      <c r="AW673" s="182"/>
      <c r="AX673" s="182"/>
      <c r="AY673" s="182"/>
      <c r="AZ673" s="182"/>
      <c r="BA673" s="182"/>
      <c r="BB673" s="182"/>
      <c r="BC673" s="182"/>
      <c r="BD673" s="182"/>
      <c r="BE673" s="182"/>
      <c r="BF673" s="182"/>
      <c r="BG673" s="182"/>
      <c r="BH673" s="182"/>
      <c r="BI673" s="182"/>
      <c r="BJ673" s="182"/>
      <c r="BK673" s="182"/>
      <c r="BL673" s="182"/>
      <c r="BM673" s="182"/>
      <c r="BN673" s="182"/>
      <c r="BO673" s="182"/>
      <c r="BP673" s="182"/>
      <c r="BQ673" s="182"/>
      <c r="BR673" s="182"/>
      <c r="BS673" s="182"/>
      <c r="BT673" s="182"/>
      <c r="BU673" s="182"/>
      <c r="BV673" s="182"/>
      <c r="BW673" s="182"/>
      <c r="BX673" s="182"/>
      <c r="BY673" s="182"/>
      <c r="BZ673" s="182"/>
      <c r="CA673" s="182"/>
      <c r="CB673" s="182"/>
      <c r="CC673" s="182"/>
      <c r="CD673" s="182"/>
      <c r="CE673" s="182"/>
      <c r="CF673" s="182"/>
      <c r="CG673" s="182"/>
      <c r="CH673" s="182"/>
      <c r="CI673" s="182"/>
      <c r="CJ673" s="182"/>
      <c r="CK673" s="182"/>
      <c r="CL673" s="182"/>
      <c r="CM673" s="182"/>
      <c r="CN673" s="182"/>
      <c r="CO673" s="182"/>
      <c r="CP673" s="182"/>
      <c r="CQ673" s="182"/>
      <c r="CR673" s="182"/>
      <c r="CS673" s="182"/>
      <c r="CT673" s="182"/>
      <c r="CU673" s="182"/>
      <c r="CV673" s="182"/>
      <c r="CW673" s="182"/>
      <c r="CX673" s="182"/>
      <c r="CY673" s="182"/>
      <c r="CZ673" s="182"/>
      <c r="DA673" s="182"/>
      <c r="DB673" s="182"/>
      <c r="DC673" s="182"/>
      <c r="DD673" s="182"/>
      <c r="DE673" s="182"/>
      <c r="DF673" s="182"/>
      <c r="DG673" s="182"/>
      <c r="DH673" s="182"/>
      <c r="DI673" s="182"/>
      <c r="DJ673" s="182"/>
      <c r="DK673" s="182"/>
      <c r="DL673" s="182"/>
      <c r="DM673" s="182"/>
      <c r="DN673" s="182"/>
      <c r="DO673" s="182"/>
      <c r="DP673" s="182"/>
      <c r="DQ673" s="182"/>
      <c r="DR673" s="182"/>
      <c r="DS673" s="182"/>
      <c r="DT673" s="182"/>
      <c r="DU673" s="182"/>
      <c r="DV673" s="182"/>
      <c r="DW673" s="182"/>
      <c r="DX673" s="182"/>
      <c r="DY673" s="182"/>
      <c r="DZ673" s="182"/>
      <c r="EA673" s="182"/>
      <c r="EB673" s="182"/>
      <c r="EC673" s="182"/>
      <c r="ED673" s="182"/>
      <c r="EE673" s="182"/>
      <c r="EF673" s="182"/>
      <c r="EG673" s="182"/>
      <c r="EH673" s="182"/>
      <c r="EI673" s="182"/>
      <c r="EJ673" s="182"/>
      <c r="EK673" s="182"/>
      <c r="EL673" s="182"/>
      <c r="EM673" s="182"/>
      <c r="EN673" s="182"/>
      <c r="EO673" s="182"/>
      <c r="EP673" s="182"/>
      <c r="EQ673" s="182"/>
      <c r="ER673" s="182"/>
      <c r="ES673" s="182"/>
      <c r="ET673" s="182"/>
      <c r="EU673" s="182"/>
      <c r="EV673" s="182"/>
      <c r="EW673" s="182"/>
      <c r="EX673" s="182"/>
      <c r="EY673" s="182"/>
      <c r="EZ673" s="182"/>
      <c r="FA673" s="182"/>
      <c r="FB673" s="182"/>
      <c r="FC673" s="182"/>
      <c r="FD673" s="182"/>
      <c r="FE673" s="182"/>
      <c r="FF673" s="182"/>
      <c r="FG673" s="182"/>
      <c r="FH673" s="182"/>
      <c r="FI673" s="182"/>
      <c r="FJ673" s="182"/>
      <c r="FK673" s="182"/>
      <c r="FL673" s="182"/>
      <c r="FM673" s="182"/>
      <c r="FN673" s="182"/>
      <c r="FO673" s="182"/>
      <c r="FP673" s="182"/>
      <c r="FQ673" s="182"/>
      <c r="FR673" s="182"/>
      <c r="FS673" s="182"/>
      <c r="FT673" s="182"/>
      <c r="FU673" s="182"/>
      <c r="FV673" s="182"/>
      <c r="FW673" s="182"/>
      <c r="FX673" s="182"/>
      <c r="FY673" s="182"/>
      <c r="FZ673" s="182"/>
      <c r="GA673" s="182"/>
      <c r="GB673" s="182"/>
      <c r="GC673" s="182"/>
      <c r="GD673" s="182"/>
      <c r="GE673" s="182"/>
      <c r="GF673" s="182"/>
      <c r="GG673" s="182"/>
      <c r="GH673" s="182"/>
      <c r="GI673" s="182"/>
    </row>
    <row r="674" spans="1:191" s="183" customFormat="1" x14ac:dyDescent="0.2">
      <c r="A674" s="210" t="s">
        <v>38341</v>
      </c>
      <c r="B674" s="210" t="s">
        <v>20853</v>
      </c>
      <c r="C674" s="224" t="s">
        <v>22692</v>
      </c>
      <c r="D674" s="211" t="s">
        <v>16</v>
      </c>
      <c r="E674" s="211">
        <v>2</v>
      </c>
      <c r="F674" s="211"/>
      <c r="G674" s="211"/>
      <c r="H674" s="231">
        <v>5</v>
      </c>
      <c r="I674" s="213">
        <f t="shared" si="44"/>
        <v>1.6666666666666666E-2</v>
      </c>
      <c r="J674" s="272">
        <v>3408.95</v>
      </c>
      <c r="K674" s="113"/>
      <c r="L674" s="213"/>
      <c r="M674" s="112">
        <f t="shared" si="45"/>
        <v>113.63</v>
      </c>
      <c r="N674" s="112">
        <f t="shared" si="46"/>
        <v>3408.9</v>
      </c>
      <c r="O674" s="114"/>
      <c r="P674" s="113"/>
      <c r="R674" s="203"/>
      <c r="S674" s="182"/>
      <c r="T674" s="182"/>
      <c r="U674" s="182"/>
      <c r="V674" s="182"/>
      <c r="W674" s="182"/>
      <c r="X674" s="182"/>
      <c r="Y674" s="182"/>
      <c r="Z674" s="182"/>
      <c r="AA674" s="182"/>
      <c r="AB674" s="182"/>
      <c r="AC674" s="182"/>
      <c r="AD674" s="182"/>
      <c r="AE674" s="182"/>
      <c r="AF674" s="182"/>
      <c r="AG674" s="182"/>
      <c r="AH674" s="182"/>
      <c r="AI674" s="182"/>
      <c r="AJ674" s="182"/>
      <c r="AK674" s="182"/>
      <c r="AL674" s="182"/>
      <c r="AM674" s="182"/>
      <c r="AN674" s="182"/>
      <c r="AO674" s="182"/>
      <c r="AP674" s="182"/>
      <c r="AQ674" s="182"/>
      <c r="AR674" s="182"/>
      <c r="AS674" s="182"/>
      <c r="AT674" s="182"/>
      <c r="AU674" s="182"/>
      <c r="AV674" s="182"/>
      <c r="AW674" s="182"/>
      <c r="AX674" s="182"/>
      <c r="AY674" s="182"/>
      <c r="AZ674" s="182"/>
      <c r="BA674" s="182"/>
      <c r="BB674" s="182"/>
      <c r="BC674" s="182"/>
      <c r="BD674" s="182"/>
      <c r="BE674" s="182"/>
      <c r="BF674" s="182"/>
      <c r="BG674" s="182"/>
      <c r="BH674" s="182"/>
      <c r="BI674" s="182"/>
      <c r="BJ674" s="182"/>
      <c r="BK674" s="182"/>
      <c r="BL674" s="182"/>
      <c r="BM674" s="182"/>
      <c r="BN674" s="182"/>
      <c r="BO674" s="182"/>
      <c r="BP674" s="182"/>
      <c r="BQ674" s="182"/>
      <c r="BR674" s="182"/>
      <c r="BS674" s="182"/>
      <c r="BT674" s="182"/>
      <c r="BU674" s="182"/>
      <c r="BV674" s="182"/>
      <c r="BW674" s="182"/>
      <c r="BX674" s="182"/>
      <c r="BY674" s="182"/>
      <c r="BZ674" s="182"/>
      <c r="CA674" s="182"/>
      <c r="CB674" s="182"/>
      <c r="CC674" s="182"/>
      <c r="CD674" s="182"/>
      <c r="CE674" s="182"/>
      <c r="CF674" s="182"/>
      <c r="CG674" s="182"/>
      <c r="CH674" s="182"/>
      <c r="CI674" s="182"/>
      <c r="CJ674" s="182"/>
      <c r="CK674" s="182"/>
      <c r="CL674" s="182"/>
      <c r="CM674" s="182"/>
      <c r="CN674" s="182"/>
      <c r="CO674" s="182"/>
      <c r="CP674" s="182"/>
      <c r="CQ674" s="182"/>
      <c r="CR674" s="182"/>
      <c r="CS674" s="182"/>
      <c r="CT674" s="182"/>
      <c r="CU674" s="182"/>
      <c r="CV674" s="182"/>
      <c r="CW674" s="182"/>
      <c r="CX674" s="182"/>
      <c r="CY674" s="182"/>
      <c r="CZ674" s="182"/>
      <c r="DA674" s="182"/>
      <c r="DB674" s="182"/>
      <c r="DC674" s="182"/>
      <c r="DD674" s="182"/>
      <c r="DE674" s="182"/>
      <c r="DF674" s="182"/>
      <c r="DG674" s="182"/>
      <c r="DH674" s="182"/>
      <c r="DI674" s="182"/>
      <c r="DJ674" s="182"/>
      <c r="DK674" s="182"/>
      <c r="DL674" s="182"/>
      <c r="DM674" s="182"/>
      <c r="DN674" s="182"/>
      <c r="DO674" s="182"/>
      <c r="DP674" s="182"/>
      <c r="DQ674" s="182"/>
      <c r="DR674" s="182"/>
      <c r="DS674" s="182"/>
      <c r="DT674" s="182"/>
      <c r="DU674" s="182"/>
      <c r="DV674" s="182"/>
      <c r="DW674" s="182"/>
      <c r="DX674" s="182"/>
      <c r="DY674" s="182"/>
      <c r="DZ674" s="182"/>
      <c r="EA674" s="182"/>
      <c r="EB674" s="182"/>
      <c r="EC674" s="182"/>
      <c r="ED674" s="182"/>
      <c r="EE674" s="182"/>
      <c r="EF674" s="182"/>
      <c r="EG674" s="182"/>
      <c r="EH674" s="182"/>
      <c r="EI674" s="182"/>
      <c r="EJ674" s="182"/>
      <c r="EK674" s="182"/>
      <c r="EL674" s="182"/>
      <c r="EM674" s="182"/>
      <c r="EN674" s="182"/>
      <c r="EO674" s="182"/>
      <c r="EP674" s="182"/>
      <c r="EQ674" s="182"/>
      <c r="ER674" s="182"/>
      <c r="ES674" s="182"/>
      <c r="ET674" s="182"/>
      <c r="EU674" s="182"/>
      <c r="EV674" s="182"/>
      <c r="EW674" s="182"/>
      <c r="EX674" s="182"/>
      <c r="EY674" s="182"/>
      <c r="EZ674" s="182"/>
      <c r="FA674" s="182"/>
      <c r="FB674" s="182"/>
      <c r="FC674" s="182"/>
      <c r="FD674" s="182"/>
      <c r="FE674" s="182"/>
      <c r="FF674" s="182"/>
      <c r="FG674" s="182"/>
      <c r="FH674" s="182"/>
      <c r="FI674" s="182"/>
      <c r="FJ674" s="182"/>
      <c r="FK674" s="182"/>
      <c r="FL674" s="182"/>
      <c r="FM674" s="182"/>
      <c r="FN674" s="182"/>
      <c r="FO674" s="182"/>
      <c r="FP674" s="182"/>
      <c r="FQ674" s="182"/>
      <c r="FR674" s="182"/>
      <c r="FS674" s="182"/>
      <c r="FT674" s="182"/>
      <c r="FU674" s="182"/>
      <c r="FV674" s="182"/>
      <c r="FW674" s="182"/>
      <c r="FX674" s="182"/>
      <c r="FY674" s="182"/>
      <c r="FZ674" s="182"/>
      <c r="GA674" s="182"/>
      <c r="GB674" s="182"/>
      <c r="GC674" s="182"/>
      <c r="GD674" s="182"/>
      <c r="GE674" s="182"/>
      <c r="GF674" s="182"/>
      <c r="GG674" s="182"/>
      <c r="GH674" s="182"/>
      <c r="GI674" s="182"/>
    </row>
    <row r="675" spans="1:191" s="183" customFormat="1" x14ac:dyDescent="0.2">
      <c r="A675" s="210" t="s">
        <v>38342</v>
      </c>
      <c r="B675" s="210" t="s">
        <v>20854</v>
      </c>
      <c r="C675" s="224" t="s">
        <v>1863</v>
      </c>
      <c r="D675" s="211" t="s">
        <v>16</v>
      </c>
      <c r="E675" s="211">
        <v>5</v>
      </c>
      <c r="F675" s="211"/>
      <c r="G675" s="211"/>
      <c r="H675" s="231">
        <v>5</v>
      </c>
      <c r="I675" s="213">
        <f t="shared" si="44"/>
        <v>1.6666666666666666E-2</v>
      </c>
      <c r="J675" s="272">
        <v>1540.01</v>
      </c>
      <c r="K675" s="113"/>
      <c r="L675" s="213"/>
      <c r="M675" s="112">
        <f t="shared" si="45"/>
        <v>128.33000000000001</v>
      </c>
      <c r="N675" s="112">
        <f t="shared" si="46"/>
        <v>3849.9</v>
      </c>
      <c r="O675" s="114"/>
      <c r="P675" s="113"/>
      <c r="R675" s="203"/>
      <c r="S675" s="182"/>
      <c r="T675" s="182"/>
      <c r="U675" s="182"/>
      <c r="V675" s="182"/>
      <c r="W675" s="182"/>
      <c r="X675" s="182"/>
      <c r="Y675" s="182"/>
      <c r="Z675" s="182"/>
      <c r="AA675" s="182"/>
      <c r="AB675" s="182"/>
      <c r="AC675" s="182"/>
      <c r="AD675" s="182"/>
      <c r="AE675" s="182"/>
      <c r="AF675" s="182"/>
      <c r="AG675" s="182"/>
      <c r="AH675" s="182"/>
      <c r="AI675" s="182"/>
      <c r="AJ675" s="182"/>
      <c r="AK675" s="182"/>
      <c r="AL675" s="182"/>
      <c r="AM675" s="182"/>
      <c r="AN675" s="182"/>
      <c r="AO675" s="182"/>
      <c r="AP675" s="182"/>
      <c r="AQ675" s="182"/>
      <c r="AR675" s="182"/>
      <c r="AS675" s="182"/>
      <c r="AT675" s="182"/>
      <c r="AU675" s="182"/>
      <c r="AV675" s="182"/>
      <c r="AW675" s="182"/>
      <c r="AX675" s="182"/>
      <c r="AY675" s="182"/>
      <c r="AZ675" s="182"/>
      <c r="BA675" s="182"/>
      <c r="BB675" s="182"/>
      <c r="BC675" s="182"/>
      <c r="BD675" s="182"/>
      <c r="BE675" s="182"/>
      <c r="BF675" s="182"/>
      <c r="BG675" s="182"/>
      <c r="BH675" s="182"/>
      <c r="BI675" s="182"/>
      <c r="BJ675" s="182"/>
      <c r="BK675" s="182"/>
      <c r="BL675" s="182"/>
      <c r="BM675" s="182"/>
      <c r="BN675" s="182"/>
      <c r="BO675" s="182"/>
      <c r="BP675" s="182"/>
      <c r="BQ675" s="182"/>
      <c r="BR675" s="182"/>
      <c r="BS675" s="182"/>
      <c r="BT675" s="182"/>
      <c r="BU675" s="182"/>
      <c r="BV675" s="182"/>
      <c r="BW675" s="182"/>
      <c r="BX675" s="182"/>
      <c r="BY675" s="182"/>
      <c r="BZ675" s="182"/>
      <c r="CA675" s="182"/>
      <c r="CB675" s="182"/>
      <c r="CC675" s="182"/>
      <c r="CD675" s="182"/>
      <c r="CE675" s="182"/>
      <c r="CF675" s="182"/>
      <c r="CG675" s="182"/>
      <c r="CH675" s="182"/>
      <c r="CI675" s="182"/>
      <c r="CJ675" s="182"/>
      <c r="CK675" s="182"/>
      <c r="CL675" s="182"/>
      <c r="CM675" s="182"/>
      <c r="CN675" s="182"/>
      <c r="CO675" s="182"/>
      <c r="CP675" s="182"/>
      <c r="CQ675" s="182"/>
      <c r="CR675" s="182"/>
      <c r="CS675" s="182"/>
      <c r="CT675" s="182"/>
      <c r="CU675" s="182"/>
      <c r="CV675" s="182"/>
      <c r="CW675" s="182"/>
      <c r="CX675" s="182"/>
      <c r="CY675" s="182"/>
      <c r="CZ675" s="182"/>
      <c r="DA675" s="182"/>
      <c r="DB675" s="182"/>
      <c r="DC675" s="182"/>
      <c r="DD675" s="182"/>
      <c r="DE675" s="182"/>
      <c r="DF675" s="182"/>
      <c r="DG675" s="182"/>
      <c r="DH675" s="182"/>
      <c r="DI675" s="182"/>
      <c r="DJ675" s="182"/>
      <c r="DK675" s="182"/>
      <c r="DL675" s="182"/>
      <c r="DM675" s="182"/>
      <c r="DN675" s="182"/>
      <c r="DO675" s="182"/>
      <c r="DP675" s="182"/>
      <c r="DQ675" s="182"/>
      <c r="DR675" s="182"/>
      <c r="DS675" s="182"/>
      <c r="DT675" s="182"/>
      <c r="DU675" s="182"/>
      <c r="DV675" s="182"/>
      <c r="DW675" s="182"/>
      <c r="DX675" s="182"/>
      <c r="DY675" s="182"/>
      <c r="DZ675" s="182"/>
      <c r="EA675" s="182"/>
      <c r="EB675" s="182"/>
      <c r="EC675" s="182"/>
      <c r="ED675" s="182"/>
      <c r="EE675" s="182"/>
      <c r="EF675" s="182"/>
      <c r="EG675" s="182"/>
      <c r="EH675" s="182"/>
      <c r="EI675" s="182"/>
      <c r="EJ675" s="182"/>
      <c r="EK675" s="182"/>
      <c r="EL675" s="182"/>
      <c r="EM675" s="182"/>
      <c r="EN675" s="182"/>
      <c r="EO675" s="182"/>
      <c r="EP675" s="182"/>
      <c r="EQ675" s="182"/>
      <c r="ER675" s="182"/>
      <c r="ES675" s="182"/>
      <c r="ET675" s="182"/>
      <c r="EU675" s="182"/>
      <c r="EV675" s="182"/>
      <c r="EW675" s="182"/>
      <c r="EX675" s="182"/>
      <c r="EY675" s="182"/>
      <c r="EZ675" s="182"/>
      <c r="FA675" s="182"/>
      <c r="FB675" s="182"/>
      <c r="FC675" s="182"/>
      <c r="FD675" s="182"/>
      <c r="FE675" s="182"/>
      <c r="FF675" s="182"/>
      <c r="FG675" s="182"/>
      <c r="FH675" s="182"/>
      <c r="FI675" s="182"/>
      <c r="FJ675" s="182"/>
      <c r="FK675" s="182"/>
      <c r="FL675" s="182"/>
      <c r="FM675" s="182"/>
      <c r="FN675" s="182"/>
      <c r="FO675" s="182"/>
      <c r="FP675" s="182"/>
      <c r="FQ675" s="182"/>
      <c r="FR675" s="182"/>
      <c r="FS675" s="182"/>
      <c r="FT675" s="182"/>
      <c r="FU675" s="182"/>
      <c r="FV675" s="182"/>
      <c r="FW675" s="182"/>
      <c r="FX675" s="182"/>
      <c r="FY675" s="182"/>
      <c r="FZ675" s="182"/>
      <c r="GA675" s="182"/>
      <c r="GB675" s="182"/>
      <c r="GC675" s="182"/>
      <c r="GD675" s="182"/>
      <c r="GE675" s="182"/>
      <c r="GF675" s="182"/>
      <c r="GG675" s="182"/>
      <c r="GH675" s="182"/>
      <c r="GI675" s="182"/>
    </row>
    <row r="676" spans="1:191" s="183" customFormat="1" x14ac:dyDescent="0.2">
      <c r="A676" s="210" t="s">
        <v>38343</v>
      </c>
      <c r="B676" s="210" t="s">
        <v>20855</v>
      </c>
      <c r="C676" s="224" t="s">
        <v>1864</v>
      </c>
      <c r="D676" s="211" t="s">
        <v>16</v>
      </c>
      <c r="E676" s="211">
        <v>5</v>
      </c>
      <c r="F676" s="211"/>
      <c r="G676" s="211"/>
      <c r="H676" s="231">
        <v>5</v>
      </c>
      <c r="I676" s="213">
        <f t="shared" si="44"/>
        <v>1.6666666666666666E-2</v>
      </c>
      <c r="J676" s="272">
        <v>1750</v>
      </c>
      <c r="K676" s="113"/>
      <c r="L676" s="213"/>
      <c r="M676" s="112">
        <f t="shared" si="45"/>
        <v>145.83000000000001</v>
      </c>
      <c r="N676" s="112">
        <f t="shared" si="46"/>
        <v>4374.8999999999996</v>
      </c>
      <c r="O676" s="114"/>
      <c r="P676" s="113"/>
      <c r="R676" s="203"/>
      <c r="S676" s="182"/>
      <c r="T676" s="182"/>
      <c r="U676" s="182"/>
      <c r="V676" s="182"/>
      <c r="W676" s="182"/>
      <c r="X676" s="182"/>
      <c r="Y676" s="182"/>
      <c r="Z676" s="182"/>
      <c r="AA676" s="182"/>
      <c r="AB676" s="182"/>
      <c r="AC676" s="182"/>
      <c r="AD676" s="182"/>
      <c r="AE676" s="182"/>
      <c r="AF676" s="182"/>
      <c r="AG676" s="182"/>
      <c r="AH676" s="182"/>
      <c r="AI676" s="182"/>
      <c r="AJ676" s="182"/>
      <c r="AK676" s="182"/>
      <c r="AL676" s="182"/>
      <c r="AM676" s="182"/>
      <c r="AN676" s="182"/>
      <c r="AO676" s="182"/>
      <c r="AP676" s="182"/>
      <c r="AQ676" s="182"/>
      <c r="AR676" s="182"/>
      <c r="AS676" s="182"/>
      <c r="AT676" s="182"/>
      <c r="AU676" s="182"/>
      <c r="AV676" s="182"/>
      <c r="AW676" s="182"/>
      <c r="AX676" s="182"/>
      <c r="AY676" s="182"/>
      <c r="AZ676" s="182"/>
      <c r="BA676" s="182"/>
      <c r="BB676" s="182"/>
      <c r="BC676" s="182"/>
      <c r="BD676" s="182"/>
      <c r="BE676" s="182"/>
      <c r="BF676" s="182"/>
      <c r="BG676" s="182"/>
      <c r="BH676" s="182"/>
      <c r="BI676" s="182"/>
      <c r="BJ676" s="182"/>
      <c r="BK676" s="182"/>
      <c r="BL676" s="182"/>
      <c r="BM676" s="182"/>
      <c r="BN676" s="182"/>
      <c r="BO676" s="182"/>
      <c r="BP676" s="182"/>
      <c r="BQ676" s="182"/>
      <c r="BR676" s="182"/>
      <c r="BS676" s="182"/>
      <c r="BT676" s="182"/>
      <c r="BU676" s="182"/>
      <c r="BV676" s="182"/>
      <c r="BW676" s="182"/>
      <c r="BX676" s="182"/>
      <c r="BY676" s="182"/>
      <c r="BZ676" s="182"/>
      <c r="CA676" s="182"/>
      <c r="CB676" s="182"/>
      <c r="CC676" s="182"/>
      <c r="CD676" s="182"/>
      <c r="CE676" s="182"/>
      <c r="CF676" s="182"/>
      <c r="CG676" s="182"/>
      <c r="CH676" s="182"/>
      <c r="CI676" s="182"/>
      <c r="CJ676" s="182"/>
      <c r="CK676" s="182"/>
      <c r="CL676" s="182"/>
      <c r="CM676" s="182"/>
      <c r="CN676" s="182"/>
      <c r="CO676" s="182"/>
      <c r="CP676" s="182"/>
      <c r="CQ676" s="182"/>
      <c r="CR676" s="182"/>
      <c r="CS676" s="182"/>
      <c r="CT676" s="182"/>
      <c r="CU676" s="182"/>
      <c r="CV676" s="182"/>
      <c r="CW676" s="182"/>
      <c r="CX676" s="182"/>
      <c r="CY676" s="182"/>
      <c r="CZ676" s="182"/>
      <c r="DA676" s="182"/>
      <c r="DB676" s="182"/>
      <c r="DC676" s="182"/>
      <c r="DD676" s="182"/>
      <c r="DE676" s="182"/>
      <c r="DF676" s="182"/>
      <c r="DG676" s="182"/>
      <c r="DH676" s="182"/>
      <c r="DI676" s="182"/>
      <c r="DJ676" s="182"/>
      <c r="DK676" s="182"/>
      <c r="DL676" s="182"/>
      <c r="DM676" s="182"/>
      <c r="DN676" s="182"/>
      <c r="DO676" s="182"/>
      <c r="DP676" s="182"/>
      <c r="DQ676" s="182"/>
      <c r="DR676" s="182"/>
      <c r="DS676" s="182"/>
      <c r="DT676" s="182"/>
      <c r="DU676" s="182"/>
      <c r="DV676" s="182"/>
      <c r="DW676" s="182"/>
      <c r="DX676" s="182"/>
      <c r="DY676" s="182"/>
      <c r="DZ676" s="182"/>
      <c r="EA676" s="182"/>
      <c r="EB676" s="182"/>
      <c r="EC676" s="182"/>
      <c r="ED676" s="182"/>
      <c r="EE676" s="182"/>
      <c r="EF676" s="182"/>
      <c r="EG676" s="182"/>
      <c r="EH676" s="182"/>
      <c r="EI676" s="182"/>
      <c r="EJ676" s="182"/>
      <c r="EK676" s="182"/>
      <c r="EL676" s="182"/>
      <c r="EM676" s="182"/>
      <c r="EN676" s="182"/>
      <c r="EO676" s="182"/>
      <c r="EP676" s="182"/>
      <c r="EQ676" s="182"/>
      <c r="ER676" s="182"/>
      <c r="ES676" s="182"/>
      <c r="ET676" s="182"/>
      <c r="EU676" s="182"/>
      <c r="EV676" s="182"/>
      <c r="EW676" s="182"/>
      <c r="EX676" s="182"/>
      <c r="EY676" s="182"/>
      <c r="EZ676" s="182"/>
      <c r="FA676" s="182"/>
      <c r="FB676" s="182"/>
      <c r="FC676" s="182"/>
      <c r="FD676" s="182"/>
      <c r="FE676" s="182"/>
      <c r="FF676" s="182"/>
      <c r="FG676" s="182"/>
      <c r="FH676" s="182"/>
      <c r="FI676" s="182"/>
      <c r="FJ676" s="182"/>
      <c r="FK676" s="182"/>
      <c r="FL676" s="182"/>
      <c r="FM676" s="182"/>
      <c r="FN676" s="182"/>
      <c r="FO676" s="182"/>
      <c r="FP676" s="182"/>
      <c r="FQ676" s="182"/>
      <c r="FR676" s="182"/>
      <c r="FS676" s="182"/>
      <c r="FT676" s="182"/>
      <c r="FU676" s="182"/>
      <c r="FV676" s="182"/>
      <c r="FW676" s="182"/>
      <c r="FX676" s="182"/>
      <c r="FY676" s="182"/>
      <c r="FZ676" s="182"/>
      <c r="GA676" s="182"/>
      <c r="GB676" s="182"/>
      <c r="GC676" s="182"/>
      <c r="GD676" s="182"/>
      <c r="GE676" s="182"/>
      <c r="GF676" s="182"/>
      <c r="GG676" s="182"/>
      <c r="GH676" s="182"/>
      <c r="GI676" s="182"/>
    </row>
    <row r="677" spans="1:191" s="183" customFormat="1" x14ac:dyDescent="0.2">
      <c r="A677" s="210" t="s">
        <v>38344</v>
      </c>
      <c r="B677" s="210" t="s">
        <v>20856</v>
      </c>
      <c r="C677" s="224" t="s">
        <v>1354</v>
      </c>
      <c r="D677" s="211" t="s">
        <v>16</v>
      </c>
      <c r="E677" s="211">
        <v>5</v>
      </c>
      <c r="F677" s="211"/>
      <c r="G677" s="211"/>
      <c r="H677" s="231">
        <v>5</v>
      </c>
      <c r="I677" s="213">
        <f t="shared" si="44"/>
        <v>1.6666666666666666E-2</v>
      </c>
      <c r="J677" s="272">
        <v>285.86</v>
      </c>
      <c r="K677" s="113"/>
      <c r="L677" s="213"/>
      <c r="M677" s="112">
        <f t="shared" si="45"/>
        <v>23.82</v>
      </c>
      <c r="N677" s="112">
        <f t="shared" si="46"/>
        <v>714.6</v>
      </c>
      <c r="O677" s="114"/>
      <c r="P677" s="113"/>
      <c r="R677" s="203"/>
      <c r="S677" s="182"/>
      <c r="T677" s="182"/>
      <c r="U677" s="182"/>
      <c r="V677" s="182"/>
      <c r="W677" s="182"/>
      <c r="X677" s="182"/>
      <c r="Y677" s="182"/>
      <c r="Z677" s="182"/>
      <c r="AA677" s="182"/>
      <c r="AB677" s="182"/>
      <c r="AC677" s="182"/>
      <c r="AD677" s="182"/>
      <c r="AE677" s="182"/>
      <c r="AF677" s="182"/>
      <c r="AG677" s="182"/>
      <c r="AH677" s="182"/>
      <c r="AI677" s="182"/>
      <c r="AJ677" s="182"/>
      <c r="AK677" s="182"/>
      <c r="AL677" s="182"/>
      <c r="AM677" s="182"/>
      <c r="AN677" s="182"/>
      <c r="AO677" s="182"/>
      <c r="AP677" s="182"/>
      <c r="AQ677" s="182"/>
      <c r="AR677" s="182"/>
      <c r="AS677" s="182"/>
      <c r="AT677" s="182"/>
      <c r="AU677" s="182"/>
      <c r="AV677" s="182"/>
      <c r="AW677" s="182"/>
      <c r="AX677" s="182"/>
      <c r="AY677" s="182"/>
      <c r="AZ677" s="182"/>
      <c r="BA677" s="182"/>
      <c r="BB677" s="182"/>
      <c r="BC677" s="182"/>
      <c r="BD677" s="182"/>
      <c r="BE677" s="182"/>
      <c r="BF677" s="182"/>
      <c r="BG677" s="182"/>
      <c r="BH677" s="182"/>
      <c r="BI677" s="182"/>
      <c r="BJ677" s="182"/>
      <c r="BK677" s="182"/>
      <c r="BL677" s="182"/>
      <c r="BM677" s="182"/>
      <c r="BN677" s="182"/>
      <c r="BO677" s="182"/>
      <c r="BP677" s="182"/>
      <c r="BQ677" s="182"/>
      <c r="BR677" s="182"/>
      <c r="BS677" s="182"/>
      <c r="BT677" s="182"/>
      <c r="BU677" s="182"/>
      <c r="BV677" s="182"/>
      <c r="BW677" s="182"/>
      <c r="BX677" s="182"/>
      <c r="BY677" s="182"/>
      <c r="BZ677" s="182"/>
      <c r="CA677" s="182"/>
      <c r="CB677" s="182"/>
      <c r="CC677" s="182"/>
      <c r="CD677" s="182"/>
      <c r="CE677" s="182"/>
      <c r="CF677" s="182"/>
      <c r="CG677" s="182"/>
      <c r="CH677" s="182"/>
      <c r="CI677" s="182"/>
      <c r="CJ677" s="182"/>
      <c r="CK677" s="182"/>
      <c r="CL677" s="182"/>
      <c r="CM677" s="182"/>
      <c r="CN677" s="182"/>
      <c r="CO677" s="182"/>
      <c r="CP677" s="182"/>
      <c r="CQ677" s="182"/>
      <c r="CR677" s="182"/>
      <c r="CS677" s="182"/>
      <c r="CT677" s="182"/>
      <c r="CU677" s="182"/>
      <c r="CV677" s="182"/>
      <c r="CW677" s="182"/>
      <c r="CX677" s="182"/>
      <c r="CY677" s="182"/>
      <c r="CZ677" s="182"/>
      <c r="DA677" s="182"/>
      <c r="DB677" s="182"/>
      <c r="DC677" s="182"/>
      <c r="DD677" s="182"/>
      <c r="DE677" s="182"/>
      <c r="DF677" s="182"/>
      <c r="DG677" s="182"/>
      <c r="DH677" s="182"/>
      <c r="DI677" s="182"/>
      <c r="DJ677" s="182"/>
      <c r="DK677" s="182"/>
      <c r="DL677" s="182"/>
      <c r="DM677" s="182"/>
      <c r="DN677" s="182"/>
      <c r="DO677" s="182"/>
      <c r="DP677" s="182"/>
      <c r="DQ677" s="182"/>
      <c r="DR677" s="182"/>
      <c r="DS677" s="182"/>
      <c r="DT677" s="182"/>
      <c r="DU677" s="182"/>
      <c r="DV677" s="182"/>
      <c r="DW677" s="182"/>
      <c r="DX677" s="182"/>
      <c r="DY677" s="182"/>
      <c r="DZ677" s="182"/>
      <c r="EA677" s="182"/>
      <c r="EB677" s="182"/>
      <c r="EC677" s="182"/>
      <c r="ED677" s="182"/>
      <c r="EE677" s="182"/>
      <c r="EF677" s="182"/>
      <c r="EG677" s="182"/>
      <c r="EH677" s="182"/>
      <c r="EI677" s="182"/>
      <c r="EJ677" s="182"/>
      <c r="EK677" s="182"/>
      <c r="EL677" s="182"/>
      <c r="EM677" s="182"/>
      <c r="EN677" s="182"/>
      <c r="EO677" s="182"/>
      <c r="EP677" s="182"/>
      <c r="EQ677" s="182"/>
      <c r="ER677" s="182"/>
      <c r="ES677" s="182"/>
      <c r="ET677" s="182"/>
      <c r="EU677" s="182"/>
      <c r="EV677" s="182"/>
      <c r="EW677" s="182"/>
      <c r="EX677" s="182"/>
      <c r="EY677" s="182"/>
      <c r="EZ677" s="182"/>
      <c r="FA677" s="182"/>
      <c r="FB677" s="182"/>
      <c r="FC677" s="182"/>
      <c r="FD677" s="182"/>
      <c r="FE677" s="182"/>
      <c r="FF677" s="182"/>
      <c r="FG677" s="182"/>
      <c r="FH677" s="182"/>
      <c r="FI677" s="182"/>
      <c r="FJ677" s="182"/>
      <c r="FK677" s="182"/>
      <c r="FL677" s="182"/>
      <c r="FM677" s="182"/>
      <c r="FN677" s="182"/>
      <c r="FO677" s="182"/>
      <c r="FP677" s="182"/>
      <c r="FQ677" s="182"/>
      <c r="FR677" s="182"/>
      <c r="FS677" s="182"/>
      <c r="FT677" s="182"/>
      <c r="FU677" s="182"/>
      <c r="FV677" s="182"/>
      <c r="FW677" s="182"/>
      <c r="FX677" s="182"/>
      <c r="FY677" s="182"/>
      <c r="FZ677" s="182"/>
      <c r="GA677" s="182"/>
      <c r="GB677" s="182"/>
      <c r="GC677" s="182"/>
      <c r="GD677" s="182"/>
      <c r="GE677" s="182"/>
      <c r="GF677" s="182"/>
      <c r="GG677" s="182"/>
      <c r="GH677" s="182"/>
      <c r="GI677" s="182"/>
    </row>
    <row r="678" spans="1:191" s="183" customFormat="1" x14ac:dyDescent="0.2">
      <c r="A678" s="210" t="s">
        <v>38345</v>
      </c>
      <c r="B678" s="210" t="s">
        <v>20857</v>
      </c>
      <c r="C678" s="224" t="s">
        <v>1355</v>
      </c>
      <c r="D678" s="211" t="s">
        <v>16</v>
      </c>
      <c r="E678" s="211">
        <v>2</v>
      </c>
      <c r="F678" s="211"/>
      <c r="G678" s="211"/>
      <c r="H678" s="231">
        <v>5</v>
      </c>
      <c r="I678" s="213">
        <f t="shared" si="44"/>
        <v>1.6666666666666666E-2</v>
      </c>
      <c r="J678" s="272">
        <v>725</v>
      </c>
      <c r="K678" s="113"/>
      <c r="L678" s="213"/>
      <c r="M678" s="112">
        <f t="shared" si="45"/>
        <v>24.17</v>
      </c>
      <c r="N678" s="112">
        <f t="shared" si="46"/>
        <v>725.1</v>
      </c>
      <c r="O678" s="114"/>
      <c r="P678" s="113"/>
      <c r="R678" s="203"/>
      <c r="S678" s="182"/>
      <c r="T678" s="182"/>
      <c r="U678" s="182"/>
      <c r="V678" s="182"/>
      <c r="W678" s="182"/>
      <c r="X678" s="182"/>
      <c r="Y678" s="182"/>
      <c r="Z678" s="182"/>
      <c r="AA678" s="182"/>
      <c r="AB678" s="182"/>
      <c r="AC678" s="182"/>
      <c r="AD678" s="182"/>
      <c r="AE678" s="182"/>
      <c r="AF678" s="182"/>
      <c r="AG678" s="182"/>
      <c r="AH678" s="182"/>
      <c r="AI678" s="182"/>
      <c r="AJ678" s="182"/>
      <c r="AK678" s="182"/>
      <c r="AL678" s="182"/>
      <c r="AM678" s="182"/>
      <c r="AN678" s="182"/>
      <c r="AO678" s="182"/>
      <c r="AP678" s="182"/>
      <c r="AQ678" s="182"/>
      <c r="AR678" s="182"/>
      <c r="AS678" s="182"/>
      <c r="AT678" s="182"/>
      <c r="AU678" s="182"/>
      <c r="AV678" s="182"/>
      <c r="AW678" s="182"/>
      <c r="AX678" s="182"/>
      <c r="AY678" s="182"/>
      <c r="AZ678" s="182"/>
      <c r="BA678" s="182"/>
      <c r="BB678" s="182"/>
      <c r="BC678" s="182"/>
      <c r="BD678" s="182"/>
      <c r="BE678" s="182"/>
      <c r="BF678" s="182"/>
      <c r="BG678" s="182"/>
      <c r="BH678" s="182"/>
      <c r="BI678" s="182"/>
      <c r="BJ678" s="182"/>
      <c r="BK678" s="182"/>
      <c r="BL678" s="182"/>
      <c r="BM678" s="182"/>
      <c r="BN678" s="182"/>
      <c r="BO678" s="182"/>
      <c r="BP678" s="182"/>
      <c r="BQ678" s="182"/>
      <c r="BR678" s="182"/>
      <c r="BS678" s="182"/>
      <c r="BT678" s="182"/>
      <c r="BU678" s="182"/>
      <c r="BV678" s="182"/>
      <c r="BW678" s="182"/>
      <c r="BX678" s="182"/>
      <c r="BY678" s="182"/>
      <c r="BZ678" s="182"/>
      <c r="CA678" s="182"/>
      <c r="CB678" s="182"/>
      <c r="CC678" s="182"/>
      <c r="CD678" s="182"/>
      <c r="CE678" s="182"/>
      <c r="CF678" s="182"/>
      <c r="CG678" s="182"/>
      <c r="CH678" s="182"/>
      <c r="CI678" s="182"/>
      <c r="CJ678" s="182"/>
      <c r="CK678" s="182"/>
      <c r="CL678" s="182"/>
      <c r="CM678" s="182"/>
      <c r="CN678" s="182"/>
      <c r="CO678" s="182"/>
      <c r="CP678" s="182"/>
      <c r="CQ678" s="182"/>
      <c r="CR678" s="182"/>
      <c r="CS678" s="182"/>
      <c r="CT678" s="182"/>
      <c r="CU678" s="182"/>
      <c r="CV678" s="182"/>
      <c r="CW678" s="182"/>
      <c r="CX678" s="182"/>
      <c r="CY678" s="182"/>
      <c r="CZ678" s="182"/>
      <c r="DA678" s="182"/>
      <c r="DB678" s="182"/>
      <c r="DC678" s="182"/>
      <c r="DD678" s="182"/>
      <c r="DE678" s="182"/>
      <c r="DF678" s="182"/>
      <c r="DG678" s="182"/>
      <c r="DH678" s="182"/>
      <c r="DI678" s="182"/>
      <c r="DJ678" s="182"/>
      <c r="DK678" s="182"/>
      <c r="DL678" s="182"/>
      <c r="DM678" s="182"/>
      <c r="DN678" s="182"/>
      <c r="DO678" s="182"/>
      <c r="DP678" s="182"/>
      <c r="DQ678" s="182"/>
      <c r="DR678" s="182"/>
      <c r="DS678" s="182"/>
      <c r="DT678" s="182"/>
      <c r="DU678" s="182"/>
      <c r="DV678" s="182"/>
      <c r="DW678" s="182"/>
      <c r="DX678" s="182"/>
      <c r="DY678" s="182"/>
      <c r="DZ678" s="182"/>
      <c r="EA678" s="182"/>
      <c r="EB678" s="182"/>
      <c r="EC678" s="182"/>
      <c r="ED678" s="182"/>
      <c r="EE678" s="182"/>
      <c r="EF678" s="182"/>
      <c r="EG678" s="182"/>
      <c r="EH678" s="182"/>
      <c r="EI678" s="182"/>
      <c r="EJ678" s="182"/>
      <c r="EK678" s="182"/>
      <c r="EL678" s="182"/>
      <c r="EM678" s="182"/>
      <c r="EN678" s="182"/>
      <c r="EO678" s="182"/>
      <c r="EP678" s="182"/>
      <c r="EQ678" s="182"/>
      <c r="ER678" s="182"/>
      <c r="ES678" s="182"/>
      <c r="ET678" s="182"/>
      <c r="EU678" s="182"/>
      <c r="EV678" s="182"/>
      <c r="EW678" s="182"/>
      <c r="EX678" s="182"/>
      <c r="EY678" s="182"/>
      <c r="EZ678" s="182"/>
      <c r="FA678" s="182"/>
      <c r="FB678" s="182"/>
      <c r="FC678" s="182"/>
      <c r="FD678" s="182"/>
      <c r="FE678" s="182"/>
      <c r="FF678" s="182"/>
      <c r="FG678" s="182"/>
      <c r="FH678" s="182"/>
      <c r="FI678" s="182"/>
      <c r="FJ678" s="182"/>
      <c r="FK678" s="182"/>
      <c r="FL678" s="182"/>
      <c r="FM678" s="182"/>
      <c r="FN678" s="182"/>
      <c r="FO678" s="182"/>
      <c r="FP678" s="182"/>
      <c r="FQ678" s="182"/>
      <c r="FR678" s="182"/>
      <c r="FS678" s="182"/>
      <c r="FT678" s="182"/>
      <c r="FU678" s="182"/>
      <c r="FV678" s="182"/>
      <c r="FW678" s="182"/>
      <c r="FX678" s="182"/>
      <c r="FY678" s="182"/>
      <c r="FZ678" s="182"/>
      <c r="GA678" s="182"/>
      <c r="GB678" s="182"/>
      <c r="GC678" s="182"/>
      <c r="GD678" s="182"/>
      <c r="GE678" s="182"/>
      <c r="GF678" s="182"/>
      <c r="GG678" s="182"/>
      <c r="GH678" s="182"/>
      <c r="GI678" s="182"/>
    </row>
    <row r="679" spans="1:191" s="183" customFormat="1" x14ac:dyDescent="0.2">
      <c r="A679" s="210" t="s">
        <v>38880</v>
      </c>
      <c r="B679" s="210" t="s">
        <v>20858</v>
      </c>
      <c r="C679" s="224" t="s">
        <v>22693</v>
      </c>
      <c r="D679" s="211" t="s">
        <v>16</v>
      </c>
      <c r="E679" s="211">
        <v>50</v>
      </c>
      <c r="F679" s="211"/>
      <c r="G679" s="211"/>
      <c r="H679" s="231">
        <v>10</v>
      </c>
      <c r="I679" s="213">
        <f t="shared" si="44"/>
        <v>8.3333333333333332E-3</v>
      </c>
      <c r="J679" s="272">
        <v>43</v>
      </c>
      <c r="K679" s="113"/>
      <c r="L679" s="213"/>
      <c r="M679" s="112">
        <f t="shared" si="45"/>
        <v>17.920000000000002</v>
      </c>
      <c r="N679" s="112">
        <f t="shared" si="46"/>
        <v>537.6</v>
      </c>
      <c r="O679" s="114"/>
      <c r="P679" s="113"/>
      <c r="R679" s="203"/>
      <c r="S679" s="182"/>
      <c r="T679" s="182"/>
      <c r="U679" s="182"/>
      <c r="V679" s="182"/>
      <c r="W679" s="182"/>
      <c r="X679" s="182"/>
      <c r="Y679" s="182"/>
      <c r="Z679" s="182"/>
      <c r="AA679" s="182"/>
      <c r="AB679" s="182"/>
      <c r="AC679" s="182"/>
      <c r="AD679" s="182"/>
      <c r="AE679" s="182"/>
      <c r="AF679" s="182"/>
      <c r="AG679" s="182"/>
      <c r="AH679" s="182"/>
      <c r="AI679" s="182"/>
      <c r="AJ679" s="182"/>
      <c r="AK679" s="182"/>
      <c r="AL679" s="182"/>
      <c r="AM679" s="182"/>
      <c r="AN679" s="182"/>
      <c r="AO679" s="182"/>
      <c r="AP679" s="182"/>
      <c r="AQ679" s="182"/>
      <c r="AR679" s="182"/>
      <c r="AS679" s="182"/>
      <c r="AT679" s="182"/>
      <c r="AU679" s="182"/>
      <c r="AV679" s="182"/>
      <c r="AW679" s="182"/>
      <c r="AX679" s="182"/>
      <c r="AY679" s="182"/>
      <c r="AZ679" s="182"/>
      <c r="BA679" s="182"/>
      <c r="BB679" s="182"/>
      <c r="BC679" s="182"/>
      <c r="BD679" s="182"/>
      <c r="BE679" s="182"/>
      <c r="BF679" s="182"/>
      <c r="BG679" s="182"/>
      <c r="BH679" s="182"/>
      <c r="BI679" s="182"/>
      <c r="BJ679" s="182"/>
      <c r="BK679" s="182"/>
      <c r="BL679" s="182"/>
      <c r="BM679" s="182"/>
      <c r="BN679" s="182"/>
      <c r="BO679" s="182"/>
      <c r="BP679" s="182"/>
      <c r="BQ679" s="182"/>
      <c r="BR679" s="182"/>
      <c r="BS679" s="182"/>
      <c r="BT679" s="182"/>
      <c r="BU679" s="182"/>
      <c r="BV679" s="182"/>
      <c r="BW679" s="182"/>
      <c r="BX679" s="182"/>
      <c r="BY679" s="182"/>
      <c r="BZ679" s="182"/>
      <c r="CA679" s="182"/>
      <c r="CB679" s="182"/>
      <c r="CC679" s="182"/>
      <c r="CD679" s="182"/>
      <c r="CE679" s="182"/>
      <c r="CF679" s="182"/>
      <c r="CG679" s="182"/>
      <c r="CH679" s="182"/>
      <c r="CI679" s="182"/>
      <c r="CJ679" s="182"/>
      <c r="CK679" s="182"/>
      <c r="CL679" s="182"/>
      <c r="CM679" s="182"/>
      <c r="CN679" s="182"/>
      <c r="CO679" s="182"/>
      <c r="CP679" s="182"/>
      <c r="CQ679" s="182"/>
      <c r="CR679" s="182"/>
      <c r="CS679" s="182"/>
      <c r="CT679" s="182"/>
      <c r="CU679" s="182"/>
      <c r="CV679" s="182"/>
      <c r="CW679" s="182"/>
      <c r="CX679" s="182"/>
      <c r="CY679" s="182"/>
      <c r="CZ679" s="182"/>
      <c r="DA679" s="182"/>
      <c r="DB679" s="182"/>
      <c r="DC679" s="182"/>
      <c r="DD679" s="182"/>
      <c r="DE679" s="182"/>
      <c r="DF679" s="182"/>
      <c r="DG679" s="182"/>
      <c r="DH679" s="182"/>
      <c r="DI679" s="182"/>
      <c r="DJ679" s="182"/>
      <c r="DK679" s="182"/>
      <c r="DL679" s="182"/>
      <c r="DM679" s="182"/>
      <c r="DN679" s="182"/>
      <c r="DO679" s="182"/>
      <c r="DP679" s="182"/>
      <c r="DQ679" s="182"/>
      <c r="DR679" s="182"/>
      <c r="DS679" s="182"/>
      <c r="DT679" s="182"/>
      <c r="DU679" s="182"/>
      <c r="DV679" s="182"/>
      <c r="DW679" s="182"/>
      <c r="DX679" s="182"/>
      <c r="DY679" s="182"/>
      <c r="DZ679" s="182"/>
      <c r="EA679" s="182"/>
      <c r="EB679" s="182"/>
      <c r="EC679" s="182"/>
      <c r="ED679" s="182"/>
      <c r="EE679" s="182"/>
      <c r="EF679" s="182"/>
      <c r="EG679" s="182"/>
      <c r="EH679" s="182"/>
      <c r="EI679" s="182"/>
      <c r="EJ679" s="182"/>
      <c r="EK679" s="182"/>
      <c r="EL679" s="182"/>
      <c r="EM679" s="182"/>
      <c r="EN679" s="182"/>
      <c r="EO679" s="182"/>
      <c r="EP679" s="182"/>
      <c r="EQ679" s="182"/>
      <c r="ER679" s="182"/>
      <c r="ES679" s="182"/>
      <c r="ET679" s="182"/>
      <c r="EU679" s="182"/>
      <c r="EV679" s="182"/>
      <c r="EW679" s="182"/>
      <c r="EX679" s="182"/>
      <c r="EY679" s="182"/>
      <c r="EZ679" s="182"/>
      <c r="FA679" s="182"/>
      <c r="FB679" s="182"/>
      <c r="FC679" s="182"/>
      <c r="FD679" s="182"/>
      <c r="FE679" s="182"/>
      <c r="FF679" s="182"/>
      <c r="FG679" s="182"/>
      <c r="FH679" s="182"/>
      <c r="FI679" s="182"/>
      <c r="FJ679" s="182"/>
      <c r="FK679" s="182"/>
      <c r="FL679" s="182"/>
      <c r="FM679" s="182"/>
      <c r="FN679" s="182"/>
      <c r="FO679" s="182"/>
      <c r="FP679" s="182"/>
      <c r="FQ679" s="182"/>
      <c r="FR679" s="182"/>
      <c r="FS679" s="182"/>
      <c r="FT679" s="182"/>
      <c r="FU679" s="182"/>
      <c r="FV679" s="182"/>
      <c r="FW679" s="182"/>
      <c r="FX679" s="182"/>
      <c r="FY679" s="182"/>
      <c r="FZ679" s="182"/>
      <c r="GA679" s="182"/>
      <c r="GB679" s="182"/>
      <c r="GC679" s="182"/>
      <c r="GD679" s="182"/>
      <c r="GE679" s="182"/>
      <c r="GF679" s="182"/>
      <c r="GG679" s="182"/>
      <c r="GH679" s="182"/>
      <c r="GI679" s="182"/>
    </row>
    <row r="680" spans="1:191" s="183" customFormat="1" ht="13.5" thickBot="1" x14ac:dyDescent="0.25">
      <c r="A680" s="210" t="s">
        <v>38881</v>
      </c>
      <c r="B680" s="210" t="s">
        <v>20859</v>
      </c>
      <c r="C680" s="224" t="s">
        <v>22694</v>
      </c>
      <c r="D680" s="211" t="s">
        <v>16</v>
      </c>
      <c r="E680" s="211">
        <v>50</v>
      </c>
      <c r="F680" s="211"/>
      <c r="G680" s="211"/>
      <c r="H680" s="231">
        <v>10</v>
      </c>
      <c r="I680" s="213">
        <f t="shared" si="44"/>
        <v>8.3333333333333332E-3</v>
      </c>
      <c r="J680" s="272">
        <v>30.31</v>
      </c>
      <c r="K680" s="113"/>
      <c r="L680" s="213"/>
      <c r="M680" s="112">
        <f t="shared" si="45"/>
        <v>12.63</v>
      </c>
      <c r="N680" s="112">
        <f t="shared" si="46"/>
        <v>378.9</v>
      </c>
      <c r="O680" s="114"/>
      <c r="P680" s="113"/>
      <c r="R680" s="203"/>
      <c r="S680" s="182"/>
      <c r="T680" s="182"/>
      <c r="U680" s="182"/>
      <c r="V680" s="182"/>
      <c r="W680" s="182"/>
      <c r="X680" s="182"/>
      <c r="Y680" s="182"/>
      <c r="Z680" s="182"/>
      <c r="AA680" s="182"/>
      <c r="AB680" s="182"/>
      <c r="AC680" s="182"/>
      <c r="AD680" s="182"/>
      <c r="AE680" s="182"/>
      <c r="AF680" s="182"/>
      <c r="AG680" s="182"/>
      <c r="AH680" s="182"/>
      <c r="AI680" s="182"/>
      <c r="AJ680" s="182"/>
      <c r="AK680" s="182"/>
      <c r="AL680" s="182"/>
      <c r="AM680" s="182"/>
      <c r="AN680" s="182"/>
      <c r="AO680" s="182"/>
      <c r="AP680" s="182"/>
      <c r="AQ680" s="182"/>
      <c r="AR680" s="182"/>
      <c r="AS680" s="182"/>
      <c r="AT680" s="182"/>
      <c r="AU680" s="182"/>
      <c r="AV680" s="182"/>
      <c r="AW680" s="182"/>
      <c r="AX680" s="182"/>
      <c r="AY680" s="182"/>
      <c r="AZ680" s="182"/>
      <c r="BA680" s="182"/>
      <c r="BB680" s="182"/>
      <c r="BC680" s="182"/>
      <c r="BD680" s="182"/>
      <c r="BE680" s="182"/>
      <c r="BF680" s="182"/>
      <c r="BG680" s="182"/>
      <c r="BH680" s="182"/>
      <c r="BI680" s="182"/>
      <c r="BJ680" s="182"/>
      <c r="BK680" s="182"/>
      <c r="BL680" s="182"/>
      <c r="BM680" s="182"/>
      <c r="BN680" s="182"/>
      <c r="BO680" s="182"/>
      <c r="BP680" s="182"/>
      <c r="BQ680" s="182"/>
      <c r="BR680" s="182"/>
      <c r="BS680" s="182"/>
      <c r="BT680" s="182"/>
      <c r="BU680" s="182"/>
      <c r="BV680" s="182"/>
      <c r="BW680" s="182"/>
      <c r="BX680" s="182"/>
      <c r="BY680" s="182"/>
      <c r="BZ680" s="182"/>
      <c r="CA680" s="182"/>
      <c r="CB680" s="182"/>
      <c r="CC680" s="182"/>
      <c r="CD680" s="182"/>
      <c r="CE680" s="182"/>
      <c r="CF680" s="182"/>
      <c r="CG680" s="182"/>
      <c r="CH680" s="182"/>
      <c r="CI680" s="182"/>
      <c r="CJ680" s="182"/>
      <c r="CK680" s="182"/>
      <c r="CL680" s="182"/>
      <c r="CM680" s="182"/>
      <c r="CN680" s="182"/>
      <c r="CO680" s="182"/>
      <c r="CP680" s="182"/>
      <c r="CQ680" s="182"/>
      <c r="CR680" s="182"/>
      <c r="CS680" s="182"/>
      <c r="CT680" s="182"/>
      <c r="CU680" s="182"/>
      <c r="CV680" s="182"/>
      <c r="CW680" s="182"/>
      <c r="CX680" s="182"/>
      <c r="CY680" s="182"/>
      <c r="CZ680" s="182"/>
      <c r="DA680" s="182"/>
      <c r="DB680" s="182"/>
      <c r="DC680" s="182"/>
      <c r="DD680" s="182"/>
      <c r="DE680" s="182"/>
      <c r="DF680" s="182"/>
      <c r="DG680" s="182"/>
      <c r="DH680" s="182"/>
      <c r="DI680" s="182"/>
      <c r="DJ680" s="182"/>
      <c r="DK680" s="182"/>
      <c r="DL680" s="182"/>
      <c r="DM680" s="182"/>
      <c r="DN680" s="182"/>
      <c r="DO680" s="182"/>
      <c r="DP680" s="182"/>
      <c r="DQ680" s="182"/>
      <c r="DR680" s="182"/>
      <c r="DS680" s="182"/>
      <c r="DT680" s="182"/>
      <c r="DU680" s="182"/>
      <c r="DV680" s="182"/>
      <c r="DW680" s="182"/>
      <c r="DX680" s="182"/>
      <c r="DY680" s="182"/>
      <c r="DZ680" s="182"/>
      <c r="EA680" s="182"/>
      <c r="EB680" s="182"/>
      <c r="EC680" s="182"/>
      <c r="ED680" s="182"/>
      <c r="EE680" s="182"/>
      <c r="EF680" s="182"/>
      <c r="EG680" s="182"/>
      <c r="EH680" s="182"/>
      <c r="EI680" s="182"/>
      <c r="EJ680" s="182"/>
      <c r="EK680" s="182"/>
      <c r="EL680" s="182"/>
      <c r="EM680" s="182"/>
      <c r="EN680" s="182"/>
      <c r="EO680" s="182"/>
      <c r="EP680" s="182"/>
      <c r="EQ680" s="182"/>
      <c r="ER680" s="182"/>
      <c r="ES680" s="182"/>
      <c r="ET680" s="182"/>
      <c r="EU680" s="182"/>
      <c r="EV680" s="182"/>
      <c r="EW680" s="182"/>
      <c r="EX680" s="182"/>
      <c r="EY680" s="182"/>
      <c r="EZ680" s="182"/>
      <c r="FA680" s="182"/>
      <c r="FB680" s="182"/>
      <c r="FC680" s="182"/>
      <c r="FD680" s="182"/>
      <c r="FE680" s="182"/>
      <c r="FF680" s="182"/>
      <c r="FG680" s="182"/>
      <c r="FH680" s="182"/>
      <c r="FI680" s="182"/>
      <c r="FJ680" s="182"/>
      <c r="FK680" s="182"/>
      <c r="FL680" s="182"/>
      <c r="FM680" s="182"/>
      <c r="FN680" s="182"/>
      <c r="FO680" s="182"/>
      <c r="FP680" s="182"/>
      <c r="FQ680" s="182"/>
      <c r="FR680" s="182"/>
      <c r="FS680" s="182"/>
      <c r="FT680" s="182"/>
      <c r="FU680" s="182"/>
      <c r="FV680" s="182"/>
      <c r="FW680" s="182"/>
      <c r="FX680" s="182"/>
      <c r="FY680" s="182"/>
      <c r="FZ680" s="182"/>
      <c r="GA680" s="182"/>
      <c r="GB680" s="182"/>
      <c r="GC680" s="182"/>
      <c r="GD680" s="182"/>
      <c r="GE680" s="182"/>
      <c r="GF680" s="182"/>
      <c r="GG680" s="182"/>
      <c r="GH680" s="182"/>
      <c r="GI680" s="182"/>
    </row>
    <row r="681" spans="1:191" ht="16.5" thickBot="1" x14ac:dyDescent="0.3">
      <c r="A681" s="259"/>
      <c r="B681" s="115"/>
      <c r="C681" s="260"/>
      <c r="D681" s="261"/>
      <c r="E681" s="115"/>
      <c r="F681" s="262"/>
      <c r="G681" s="262"/>
      <c r="H681" s="263"/>
      <c r="I681" s="264"/>
      <c r="J681" s="214"/>
      <c r="K681" s="265" t="s">
        <v>1301</v>
      </c>
      <c r="L681" s="266"/>
      <c r="M681" s="267"/>
      <c r="N681" s="266"/>
      <c r="O681" s="265"/>
      <c r="P681" s="215">
        <f>SUBTOTAL(109,K6:K680)+SUBTOTAL(109,N6:N680)</f>
        <v>9436760.1300000027</v>
      </c>
    </row>
    <row r="682" spans="1:191" ht="16.5" thickBot="1" x14ac:dyDescent="0.25">
      <c r="A682" s="268"/>
      <c r="B682" s="268"/>
      <c r="C682" s="269"/>
      <c r="D682" s="269"/>
      <c r="E682" s="269"/>
      <c r="F682" s="269"/>
      <c r="G682" s="269"/>
      <c r="H682" s="270"/>
      <c r="I682" s="271"/>
      <c r="J682" s="269"/>
      <c r="K682" s="265" t="s">
        <v>7</v>
      </c>
      <c r="L682" s="266"/>
      <c r="M682" s="267"/>
      <c r="N682" s="266"/>
      <c r="O682" s="265"/>
      <c r="P682" s="215">
        <f>SUBTOTAL(109,P6:P680)+SUBTOTAL(109,N6:N680)</f>
        <v>3638233.4500000011</v>
      </c>
    </row>
    <row r="684" spans="1:191" x14ac:dyDescent="0.2">
      <c r="C684" s="233"/>
      <c r="D684" s="233"/>
      <c r="E684" s="233"/>
      <c r="F684" s="233"/>
      <c r="G684" s="233"/>
      <c r="H684" s="233"/>
      <c r="I684" s="233"/>
      <c r="J684" s="233"/>
      <c r="K684" s="233"/>
      <c r="L684" s="233"/>
      <c r="M684" s="233"/>
      <c r="N684" s="233"/>
      <c r="O684" s="233"/>
      <c r="P684" s="233"/>
    </row>
    <row r="685" spans="1:191" x14ac:dyDescent="0.2">
      <c r="C685" s="233"/>
      <c r="D685" s="233"/>
      <c r="E685" s="233"/>
      <c r="F685" s="233"/>
      <c r="G685" s="233"/>
      <c r="H685" s="233"/>
      <c r="I685" s="233"/>
      <c r="J685" s="233"/>
      <c r="K685" s="233"/>
      <c r="L685" s="233"/>
      <c r="M685" s="233"/>
      <c r="N685" s="233"/>
      <c r="O685" s="233"/>
      <c r="P685" s="233"/>
    </row>
    <row r="686" spans="1:191" x14ac:dyDescent="0.2">
      <c r="C686" s="233"/>
      <c r="D686" s="233"/>
      <c r="E686" s="233"/>
      <c r="F686" s="233"/>
      <c r="G686" s="233"/>
      <c r="H686" s="233"/>
      <c r="I686" s="233"/>
      <c r="J686" s="233"/>
      <c r="K686" s="233"/>
      <c r="L686" s="233"/>
      <c r="M686" s="233"/>
      <c r="N686" s="233"/>
      <c r="O686" s="233"/>
      <c r="P686" s="233"/>
    </row>
    <row r="687" spans="1:191" x14ac:dyDescent="0.2">
      <c r="C687" s="233"/>
      <c r="D687" s="233"/>
      <c r="E687" s="233"/>
      <c r="F687" s="233"/>
      <c r="G687" s="233"/>
      <c r="H687" s="233"/>
      <c r="I687" s="233"/>
      <c r="J687" s="233"/>
      <c r="K687" s="233"/>
      <c r="L687" s="233"/>
      <c r="M687" s="233"/>
      <c r="N687" s="233"/>
      <c r="O687" s="233"/>
      <c r="P687" s="233"/>
    </row>
    <row r="688" spans="1:191" x14ac:dyDescent="0.2">
      <c r="C688" s="233"/>
      <c r="D688" s="233"/>
      <c r="E688" s="233"/>
      <c r="F688" s="233"/>
      <c r="G688" s="233"/>
      <c r="H688" s="233"/>
      <c r="I688" s="233"/>
      <c r="J688" s="233"/>
      <c r="K688" s="233"/>
      <c r="L688" s="233"/>
      <c r="M688" s="233"/>
      <c r="N688" s="233"/>
      <c r="O688" s="233"/>
      <c r="P688" s="233"/>
    </row>
    <row r="691" spans="15:16" x14ac:dyDescent="0.2">
      <c r="O691" s="232"/>
    </row>
    <row r="693" spans="15:16" x14ac:dyDescent="0.2">
      <c r="P693" s="223"/>
    </row>
  </sheetData>
  <sheetProtection algorithmName="SHA-512" hashValue="5VH2T+TOkRccrwx/VivT/lCFKDnIEuK9Turp6INJe5TNSr6yToBrK3JEFVFtiFSf3O+GTPRv/PnJNYAHiylyXw==" saltValue="y77EP4l22tJhtJTqO2NxxQ==" spinCount="100000" sheet="1" objects="1" scenarios="1"/>
  <protectedRanges>
    <protectedRange sqref="E38:I38 E517:I680 E7:I7 E10:I13 E15:I36 E40:I515" name="COTACOES_2_7"/>
    <protectedRange sqref="D10:D13 D14:P14 D15:D36 D517:D680 D40:D515 A6:B680 D7 D38 D37:P37 D516:P516 D39:P39 D6:P6 D8:P9" name="COTACOES_1_5_1"/>
  </protectedRanges>
  <autoFilter ref="B5:P682"/>
  <mergeCells count="5">
    <mergeCell ref="C684:P684"/>
    <mergeCell ref="C685:P685"/>
    <mergeCell ref="C686:P686"/>
    <mergeCell ref="C687:P687"/>
    <mergeCell ref="C688:P688"/>
  </mergeCells>
  <conditionalFormatting sqref="C681 C37 C516 C8:C9">
    <cfRule type="duplicateValues" dxfId="16" priority="49"/>
  </conditionalFormatting>
  <conditionalFormatting sqref="C10">
    <cfRule type="duplicateValues" dxfId="15" priority="45"/>
  </conditionalFormatting>
  <conditionalFormatting sqref="C15">
    <cfRule type="duplicateValues" dxfId="14" priority="44"/>
  </conditionalFormatting>
  <conditionalFormatting sqref="C14">
    <cfRule type="duplicateValues" dxfId="13" priority="42"/>
  </conditionalFormatting>
  <conditionalFormatting sqref="C39">
    <cfRule type="duplicateValues" dxfId="12" priority="35"/>
  </conditionalFormatting>
  <conditionalFormatting sqref="C38">
    <cfRule type="duplicateValues" dxfId="11" priority="34"/>
  </conditionalFormatting>
  <conditionalFormatting sqref="C625:C627">
    <cfRule type="duplicateValues" dxfId="10" priority="52"/>
  </conditionalFormatting>
  <conditionalFormatting sqref="C537">
    <cfRule type="duplicateValues" dxfId="9" priority="7"/>
  </conditionalFormatting>
  <conditionalFormatting sqref="C6">
    <cfRule type="duplicateValues" dxfId="8" priority="5"/>
  </conditionalFormatting>
  <conditionalFormatting sqref="C7">
    <cfRule type="duplicateValues" dxfId="7" priority="4"/>
  </conditionalFormatting>
  <conditionalFormatting sqref="C11:C13">
    <cfRule type="duplicateValues" dxfId="6" priority="9836"/>
  </conditionalFormatting>
  <conditionalFormatting sqref="C16:C36">
    <cfRule type="duplicateValues" dxfId="5" priority="9843"/>
  </conditionalFormatting>
  <conditionalFormatting sqref="C628:C680">
    <cfRule type="duplicateValues" dxfId="4" priority="2"/>
  </conditionalFormatting>
  <conditionalFormatting sqref="C538:C595 C517:C536 C598:C624">
    <cfRule type="duplicateValues" dxfId="3" priority="9861"/>
  </conditionalFormatting>
  <conditionalFormatting sqref="C596:C597">
    <cfRule type="duplicateValues" dxfId="2" priority="1"/>
  </conditionalFormatting>
  <conditionalFormatting sqref="C40:C78">
    <cfRule type="duplicateValues" dxfId="1" priority="9875"/>
  </conditionalFormatting>
  <conditionalFormatting sqref="C79:C515">
    <cfRule type="duplicateValues" dxfId="0" priority="9889"/>
  </conditionalFormatting>
  <printOptions horizontalCentered="1"/>
  <pageMargins left="0.19685039370078741" right="0.19685039370078741" top="0.89" bottom="0.59055118110236227" header="0.19685039370078741" footer="0.19685039370078741"/>
  <pageSetup paperSize="9" scale="37" fitToHeight="0" orientation="landscape" r:id="rId1"/>
  <headerFooter>
    <oddHeader>&amp;C&amp;8&amp;G
&amp;"Calibri,Regular"&amp;10Secretaria de Infraestrutura
Serviço de Orçamentos&amp;R&amp;D</oddHeader>
    <oddFooter>&amp;C&amp;G
&amp;8Senado Federal | Via N2 | Bloco 14 | CEP 70165-900 | Brasília-DF
Telefones: +55 (61) 3303-4760 / 4776 / 3470 | seorc@senado.leg.br&amp;R&amp;8&amp;A 
&amp;P /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pageSetUpPr fitToPage="1"/>
  </sheetPr>
  <dimension ref="A1:E41"/>
  <sheetViews>
    <sheetView zoomScale="80" zoomScaleNormal="80" workbookViewId="0">
      <selection activeCell="H9" sqref="H9"/>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111" t="str">
        <f>'Orçamentária-TR'!A1</f>
        <v>Manutenção do Sistema de Ar-condicionado</v>
      </c>
      <c r="B1" s="72"/>
      <c r="C1" s="72"/>
      <c r="D1" s="72"/>
      <c r="E1" s="72"/>
    </row>
    <row r="2" spans="1:5" ht="24.95" customHeight="1" x14ac:dyDescent="0.25">
      <c r="A2" s="70" t="s">
        <v>1916</v>
      </c>
      <c r="B2" s="70"/>
      <c r="C2" s="70"/>
      <c r="D2" s="70"/>
      <c r="E2" s="70"/>
    </row>
    <row r="3" spans="1:5" ht="18" customHeight="1" thickBot="1" x14ac:dyDescent="0.3">
      <c r="A3" s="73"/>
      <c r="B3" s="73"/>
      <c r="C3" s="74"/>
      <c r="D3" s="73"/>
      <c r="E3" s="73"/>
    </row>
    <row r="4" spans="1:5" ht="24.95" customHeight="1" thickBot="1" x14ac:dyDescent="0.3">
      <c r="A4" s="274" t="s">
        <v>1917</v>
      </c>
      <c r="B4" s="275"/>
      <c r="C4" s="276"/>
      <c r="D4" s="274" t="s">
        <v>1918</v>
      </c>
      <c r="E4" s="275"/>
    </row>
    <row r="5" spans="1:5" ht="20.100000000000001" customHeight="1" x14ac:dyDescent="0.25">
      <c r="A5" s="277" t="s">
        <v>1919</v>
      </c>
      <c r="B5" s="278" t="s">
        <v>1920</v>
      </c>
      <c r="C5" s="279"/>
      <c r="D5" s="277" t="s">
        <v>1919</v>
      </c>
      <c r="E5" s="278" t="s">
        <v>1920</v>
      </c>
    </row>
    <row r="6" spans="1:5" ht="20.100000000000001" customHeight="1" x14ac:dyDescent="0.25">
      <c r="A6" s="280"/>
      <c r="B6" s="281" t="s">
        <v>1921</v>
      </c>
      <c r="C6" s="279"/>
      <c r="D6" s="280"/>
      <c r="E6" s="281" t="s">
        <v>1921</v>
      </c>
    </row>
    <row r="7" spans="1:5" ht="20.100000000000001" customHeight="1" x14ac:dyDescent="0.25">
      <c r="A7" s="282"/>
      <c r="B7" s="283" t="s">
        <v>1922</v>
      </c>
      <c r="C7" s="279"/>
      <c r="D7" s="282"/>
      <c r="E7" s="283" t="s">
        <v>1922</v>
      </c>
    </row>
    <row r="8" spans="1:5" ht="20.100000000000001" customHeight="1" x14ac:dyDescent="0.25">
      <c r="A8" s="284" t="s">
        <v>1923</v>
      </c>
      <c r="B8" s="75">
        <v>3.5000000000000003E-2</v>
      </c>
      <c r="C8" s="285"/>
      <c r="D8" s="284" t="s">
        <v>1923</v>
      </c>
      <c r="E8" s="75">
        <v>1.7500000000000002E-2</v>
      </c>
    </row>
    <row r="9" spans="1:5" ht="20.100000000000001" customHeight="1" x14ac:dyDescent="0.25">
      <c r="A9" s="284" t="s">
        <v>1924</v>
      </c>
      <c r="B9" s="75">
        <v>8.0000000000000002E-3</v>
      </c>
      <c r="C9" s="285"/>
      <c r="D9" s="284" t="s">
        <v>1924</v>
      </c>
      <c r="E9" s="75">
        <v>3.8999999999999998E-3</v>
      </c>
    </row>
    <row r="10" spans="1:5" ht="20.100000000000001" customHeight="1" x14ac:dyDescent="0.25">
      <c r="A10" s="284" t="s">
        <v>1925</v>
      </c>
      <c r="B10" s="75">
        <v>1.2500000000000001E-2</v>
      </c>
      <c r="C10" s="285"/>
      <c r="D10" s="284" t="s">
        <v>1925</v>
      </c>
      <c r="E10" s="75">
        <v>5.5999999999999999E-3</v>
      </c>
    </row>
    <row r="11" spans="1:5" ht="20.100000000000001" customHeight="1" x14ac:dyDescent="0.25">
      <c r="A11" s="284" t="s">
        <v>1926</v>
      </c>
      <c r="B11" s="75">
        <v>7.6E-3</v>
      </c>
      <c r="C11" s="285"/>
      <c r="D11" s="284" t="s">
        <v>1926</v>
      </c>
      <c r="E11" s="75">
        <v>8.5000000000000006E-3</v>
      </c>
    </row>
    <row r="12" spans="1:5" ht="20.100000000000001" customHeight="1" x14ac:dyDescent="0.25">
      <c r="A12" s="284" t="s">
        <v>76</v>
      </c>
      <c r="B12" s="75">
        <v>6.7799999999999999E-2</v>
      </c>
      <c r="C12" s="285"/>
      <c r="D12" s="284" t="s">
        <v>76</v>
      </c>
      <c r="E12" s="75">
        <v>3.5000000000000003E-2</v>
      </c>
    </row>
    <row r="13" spans="1:5" ht="20.100000000000001" customHeight="1" x14ac:dyDescent="0.25">
      <c r="A13" s="284" t="s">
        <v>1927</v>
      </c>
      <c r="B13" s="75">
        <v>6.4999999999999997E-3</v>
      </c>
      <c r="C13" s="285"/>
      <c r="D13" s="284" t="s">
        <v>1927</v>
      </c>
      <c r="E13" s="75">
        <v>6.4999999999999997E-3</v>
      </c>
    </row>
    <row r="14" spans="1:5" ht="20.100000000000001" customHeight="1" x14ac:dyDescent="0.25">
      <c r="A14" s="284" t="s">
        <v>1928</v>
      </c>
      <c r="B14" s="75">
        <v>0.03</v>
      </c>
      <c r="C14" s="285"/>
      <c r="D14" s="284" t="s">
        <v>1928</v>
      </c>
      <c r="E14" s="75">
        <v>0.03</v>
      </c>
    </row>
    <row r="15" spans="1:5" ht="20.100000000000001" customHeight="1" x14ac:dyDescent="0.25">
      <c r="A15" s="284" t="s">
        <v>1929</v>
      </c>
      <c r="B15" s="75">
        <v>0</v>
      </c>
      <c r="C15" s="285"/>
      <c r="D15" s="284" t="s">
        <v>1929</v>
      </c>
      <c r="E15" s="75">
        <v>0</v>
      </c>
    </row>
    <row r="16" spans="1:5" ht="20.100000000000001" customHeight="1" x14ac:dyDescent="0.25">
      <c r="A16" s="284" t="s">
        <v>1930</v>
      </c>
      <c r="B16" s="75">
        <v>0.01</v>
      </c>
      <c r="C16" s="285"/>
      <c r="D16" s="284" t="s">
        <v>1930</v>
      </c>
      <c r="E16" s="75">
        <v>0</v>
      </c>
    </row>
    <row r="17" spans="1:5" ht="24.95" customHeight="1" thickBot="1" x14ac:dyDescent="0.3">
      <c r="A17" s="286" t="s">
        <v>1917</v>
      </c>
      <c r="B17" s="287">
        <f>ROUND(((1+B8+B9+B10)*(1+B11)*(1+B12))/(1-(B13+B14+B15+B16))-1,4)</f>
        <v>0.191</v>
      </c>
      <c r="C17" s="285"/>
      <c r="D17" s="288" t="s">
        <v>1918</v>
      </c>
      <c r="E17" s="287">
        <f>ROUND(((1+E8+E9+E10)*(1+E11)*(1+E12))/(1-(E13+E14+E15+E16))-1,4)</f>
        <v>0.11260000000000001</v>
      </c>
    </row>
    <row r="18" spans="1:5" x14ac:dyDescent="0.25">
      <c r="A18" s="289"/>
      <c r="B18" s="285"/>
      <c r="C18" s="290"/>
      <c r="D18" s="289"/>
      <c r="E18" s="285"/>
    </row>
    <row r="19" spans="1:5" x14ac:dyDescent="0.25">
      <c r="A19" s="291"/>
      <c r="B19" s="292"/>
      <c r="C19" s="285"/>
      <c r="D19" s="291"/>
      <c r="E19" s="292"/>
    </row>
    <row r="20" spans="1:5" x14ac:dyDescent="0.25">
      <c r="A20" s="293"/>
      <c r="B20" s="293"/>
      <c r="C20" s="293"/>
      <c r="D20" s="294"/>
      <c r="E20" s="293"/>
    </row>
    <row r="21" spans="1:5" x14ac:dyDescent="0.25">
      <c r="A21" s="293"/>
      <c r="B21" s="293"/>
      <c r="C21" s="293"/>
      <c r="D21" s="293"/>
      <c r="E21" s="293"/>
    </row>
    <row r="22" spans="1:5" x14ac:dyDescent="0.25">
      <c r="A22" s="293"/>
      <c r="B22" s="293"/>
      <c r="C22" s="293"/>
      <c r="D22" s="293"/>
      <c r="E22" s="293"/>
    </row>
    <row r="23" spans="1:5" x14ac:dyDescent="0.25">
      <c r="A23" s="293"/>
      <c r="B23" s="293"/>
      <c r="C23" s="293"/>
      <c r="D23" s="293"/>
      <c r="E23" s="293"/>
    </row>
    <row r="24" spans="1:5" x14ac:dyDescent="0.25">
      <c r="A24" s="293"/>
      <c r="B24" s="293"/>
      <c r="C24" s="293"/>
      <c r="D24" s="293"/>
      <c r="E24" s="293"/>
    </row>
    <row r="25" spans="1:5" x14ac:dyDescent="0.25">
      <c r="A25" s="293"/>
      <c r="B25" s="293"/>
      <c r="C25" s="293"/>
      <c r="D25" s="293"/>
      <c r="E25" s="293"/>
    </row>
    <row r="26" spans="1:5" x14ac:dyDescent="0.25">
      <c r="A26" s="293"/>
      <c r="B26" s="293"/>
      <c r="C26" s="293"/>
      <c r="D26" s="293"/>
      <c r="E26" s="293"/>
    </row>
    <row r="27" spans="1:5" x14ac:dyDescent="0.25">
      <c r="A27" s="293"/>
      <c r="B27" s="293"/>
      <c r="C27" s="293"/>
      <c r="D27" s="293"/>
      <c r="E27" s="293"/>
    </row>
    <row r="28" spans="1:5" x14ac:dyDescent="0.25">
      <c r="A28" s="293"/>
      <c r="B28" s="293"/>
      <c r="C28" s="293"/>
      <c r="D28" s="293"/>
      <c r="E28" s="293"/>
    </row>
    <row r="29" spans="1:5" x14ac:dyDescent="0.25">
      <c r="A29" s="293"/>
      <c r="B29" s="293"/>
      <c r="C29" s="293"/>
      <c r="D29" s="293"/>
      <c r="E29" s="293"/>
    </row>
    <row r="30" spans="1:5" x14ac:dyDescent="0.25">
      <c r="A30" s="293"/>
      <c r="B30" s="293"/>
      <c r="C30" s="293"/>
      <c r="D30" s="293"/>
      <c r="E30" s="293"/>
    </row>
    <row r="31" spans="1:5" x14ac:dyDescent="0.25">
      <c r="A31" s="293"/>
      <c r="B31" s="293"/>
      <c r="C31" s="293"/>
      <c r="D31" s="293"/>
      <c r="E31" s="293"/>
    </row>
    <row r="32" spans="1:5" x14ac:dyDescent="0.25">
      <c r="A32" s="293"/>
      <c r="B32" s="293"/>
      <c r="C32" s="293"/>
      <c r="D32" s="293"/>
      <c r="E32" s="293"/>
    </row>
    <row r="33" spans="1:5" x14ac:dyDescent="0.25">
      <c r="A33" s="293"/>
      <c r="B33" s="293"/>
      <c r="C33" s="293"/>
      <c r="D33" s="293"/>
      <c r="E33" s="293"/>
    </row>
    <row r="34" spans="1:5" x14ac:dyDescent="0.25">
      <c r="A34" s="293"/>
      <c r="B34" s="293"/>
      <c r="C34" s="293"/>
      <c r="D34" s="293"/>
      <c r="E34" s="293"/>
    </row>
    <row r="35" spans="1:5" x14ac:dyDescent="0.25">
      <c r="A35" s="293"/>
      <c r="B35" s="293"/>
      <c r="C35" s="293"/>
      <c r="D35" s="293"/>
      <c r="E35" s="293"/>
    </row>
    <row r="36" spans="1:5" x14ac:dyDescent="0.25">
      <c r="A36" s="293"/>
      <c r="B36" s="293"/>
      <c r="C36" s="293"/>
      <c r="D36" s="293"/>
      <c r="E36" s="293"/>
    </row>
    <row r="37" spans="1:5" x14ac:dyDescent="0.25">
      <c r="A37" s="293"/>
      <c r="B37" s="293"/>
      <c r="C37" s="293"/>
      <c r="D37" s="293"/>
      <c r="E37" s="293"/>
    </row>
    <row r="38" spans="1:5" x14ac:dyDescent="0.25">
      <c r="A38" s="293"/>
      <c r="B38" s="293"/>
      <c r="C38" s="293"/>
      <c r="D38" s="293"/>
      <c r="E38" s="293"/>
    </row>
    <row r="39" spans="1:5" ht="15.75" x14ac:dyDescent="0.25">
      <c r="A39" s="295" t="s">
        <v>1931</v>
      </c>
      <c r="B39" s="295"/>
      <c r="C39" s="295"/>
      <c r="D39" s="295"/>
      <c r="E39" s="295"/>
    </row>
    <row r="40" spans="1:5" x14ac:dyDescent="0.25">
      <c r="A40" s="71"/>
      <c r="B40" s="71"/>
      <c r="C40" s="71"/>
      <c r="D40" s="71"/>
      <c r="E40" s="71"/>
    </row>
    <row r="41" spans="1:5" x14ac:dyDescent="0.25">
      <c r="A41" s="71"/>
      <c r="B41" s="71"/>
      <c r="C41" s="71"/>
      <c r="D41" s="71"/>
      <c r="E41" s="71"/>
    </row>
  </sheetData>
  <sheetProtection algorithmName="SHA-512" hashValue="qU5EcuePQQ1F0FGZ2VPRCDJSNwKBQ3qcLIjceRYWXG1ykQM5+WkoDG+fNc3yJepmHHrtN8m6LsTrHdjqSRH0UQ==" saltValue="kzWfy4QhVy2KpX9LcgXfkQ==" spinCount="100000" sheet="1" objects="1" scenarios="1"/>
  <mergeCells count="3">
    <mergeCell ref="A5:A7"/>
    <mergeCell ref="D5:D7"/>
    <mergeCell ref="A39:E39"/>
  </mergeCells>
  <printOptions horizontalCentered="1"/>
  <pageMargins left="0.19685039370078741" right="0.19685039370078741" top="0.98425196850393704" bottom="0.59055118110236227" header="0.19685039370078741" footer="0.19685039370078741"/>
  <pageSetup paperSize="9" scale="72" orientation="landscape" horizontalDpi="4294967295" verticalDpi="4294967295" r:id="rId1"/>
  <headerFooter>
    <oddHeader>&amp;C&amp;10&amp;G
&amp;11SENADO FEDERAL&amp;10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tabColor rgb="FF00B0F0"/>
  </sheetPr>
  <dimension ref="A1:N8000"/>
  <sheetViews>
    <sheetView zoomScale="80" zoomScaleNormal="80" workbookViewId="0">
      <selection activeCell="A5" sqref="A5:L8000"/>
    </sheetView>
  </sheetViews>
  <sheetFormatPr defaultRowHeight="15" x14ac:dyDescent="0.25"/>
  <cols>
    <col min="1" max="1" width="24.5703125" style="169" customWidth="1"/>
    <col min="2" max="2" width="48.7109375" style="169" customWidth="1"/>
    <col min="3" max="3" width="8.28515625" style="169" customWidth="1"/>
    <col min="4" max="4" width="38.7109375" style="169" customWidth="1"/>
    <col min="5" max="6" width="21.140625" style="169" customWidth="1"/>
    <col min="8" max="11" width="20.7109375" customWidth="1"/>
    <col min="12" max="12" width="15.7109375" customWidth="1"/>
    <col min="13" max="13" width="15.5703125" customWidth="1"/>
    <col min="14" max="14" width="23.7109375" bestFit="1" customWidth="1"/>
  </cols>
  <sheetData>
    <row r="1" spans="1:14" x14ac:dyDescent="0.25">
      <c r="G1" s="90"/>
      <c r="H1" s="91"/>
      <c r="I1" s="91"/>
      <c r="J1" s="91"/>
      <c r="K1" s="91"/>
      <c r="L1" s="166"/>
      <c r="M1" s="82"/>
      <c r="N1" s="82"/>
    </row>
    <row r="2" spans="1:14" ht="21" x14ac:dyDescent="0.25">
      <c r="G2" s="90"/>
      <c r="H2" s="97" t="s">
        <v>1936</v>
      </c>
      <c r="I2" s="93">
        <f>Composições!G4</f>
        <v>0</v>
      </c>
      <c r="J2" s="91"/>
      <c r="K2" s="91"/>
      <c r="L2" s="166"/>
      <c r="M2" s="82"/>
      <c r="N2" s="82"/>
    </row>
    <row r="3" spans="1:14" ht="21" x14ac:dyDescent="0.25">
      <c r="G3" s="90"/>
      <c r="H3" s="92"/>
      <c r="I3" s="94"/>
      <c r="J3" s="91"/>
      <c r="K3" s="91"/>
      <c r="L3" s="166"/>
      <c r="M3" s="95" t="s">
        <v>1937</v>
      </c>
      <c r="N3" s="95" t="s">
        <v>1287</v>
      </c>
    </row>
    <row r="4" spans="1:14" ht="21" x14ac:dyDescent="0.25">
      <c r="G4" s="90"/>
      <c r="H4" s="92"/>
      <c r="I4" s="94"/>
      <c r="J4" s="91"/>
      <c r="K4" s="91"/>
      <c r="L4" s="166"/>
      <c r="M4" s="82"/>
      <c r="N4" s="82"/>
    </row>
    <row r="5" spans="1:14" ht="18" x14ac:dyDescent="0.25">
      <c r="A5" s="170" t="s">
        <v>1938</v>
      </c>
      <c r="B5" s="170" t="s">
        <v>1939</v>
      </c>
      <c r="C5" s="170" t="s">
        <v>4</v>
      </c>
      <c r="D5" s="170" t="s">
        <v>1940</v>
      </c>
      <c r="E5" s="170" t="s">
        <v>7</v>
      </c>
      <c r="F5" s="170" t="s">
        <v>7</v>
      </c>
      <c r="G5" s="90"/>
      <c r="H5" s="98" t="s">
        <v>1941</v>
      </c>
      <c r="I5" s="98" t="s">
        <v>1942</v>
      </c>
      <c r="J5" s="98" t="s">
        <v>1943</v>
      </c>
      <c r="K5" s="98" t="s">
        <v>4</v>
      </c>
      <c r="L5" s="166" t="s">
        <v>20005</v>
      </c>
      <c r="M5" s="95" t="s">
        <v>1944</v>
      </c>
      <c r="N5" s="95" t="s">
        <v>10304</v>
      </c>
    </row>
    <row r="6" spans="1:14" ht="21" x14ac:dyDescent="0.25">
      <c r="G6" s="90"/>
      <c r="H6" s="92"/>
      <c r="I6" s="94"/>
      <c r="J6" s="91"/>
      <c r="K6" s="91"/>
      <c r="L6" s="166"/>
      <c r="M6" s="82"/>
      <c r="N6" s="82"/>
    </row>
    <row r="7" spans="1:14" x14ac:dyDescent="0.25">
      <c r="A7" s="170" t="s">
        <v>1945</v>
      </c>
      <c r="B7" s="170" t="s">
        <v>1946</v>
      </c>
      <c r="C7" s="170" t="s">
        <v>385</v>
      </c>
      <c r="D7" s="170" t="s">
        <v>1947</v>
      </c>
      <c r="E7" s="171" t="s">
        <v>28936</v>
      </c>
      <c r="F7" s="171" t="s">
        <v>29168</v>
      </c>
      <c r="G7" s="90"/>
      <c r="H7" s="96">
        <f>IF(E7="","",E7+0)</f>
        <v>8.0399999999999991</v>
      </c>
      <c r="I7" s="96">
        <f>IF(F7="","",F7+0)</f>
        <v>8.69</v>
      </c>
      <c r="J7" s="91" t="str">
        <f>IF(OR(H7="",I7=""),"",TRIM(CONCATENATE("Sinapi ",A7)))</f>
        <v>Sinapi 97141</v>
      </c>
      <c r="K7" s="91" t="str">
        <f>TRIM(C7)</f>
        <v>M</v>
      </c>
      <c r="L7" s="166" t="str">
        <f>IF(OR(RIGHT(IF(AND(K7&lt;&gt;"H",K7&lt;&gt;"MES"),RIGHT(B7,7),""),2)="PS",RIGHT(IF(AND(K7&lt;&gt;"H",K7&lt;&gt;"MES"),RIGHT(B7,7),""),2)="PA",RIGHT(IF(AND(K7&lt;&gt;"H",K7&lt;&gt;"MES"),RIGHT(B7,7),""),2)="PE"),LEFT(IF(AND(K7&lt;&gt;"H",K7&lt;&gt;"MES"),RIGHT(B7,10),""),7),IF(AND(K7&lt;&gt;"H",K7&lt;&gt;"MES"),RIGHT(B7,7),""))</f>
        <v>11/2017</v>
      </c>
      <c r="M7" s="82"/>
      <c r="N7" s="82"/>
    </row>
    <row r="8" spans="1:14" x14ac:dyDescent="0.25">
      <c r="A8" s="170" t="s">
        <v>1948</v>
      </c>
      <c r="B8" s="170" t="s">
        <v>1949</v>
      </c>
      <c r="C8" s="170" t="s">
        <v>385</v>
      </c>
      <c r="D8" s="170" t="s">
        <v>1947</v>
      </c>
      <c r="E8" s="171" t="s">
        <v>5291</v>
      </c>
      <c r="F8" s="171" t="s">
        <v>24625</v>
      </c>
      <c r="G8" s="82"/>
      <c r="H8" s="96">
        <f t="shared" ref="H8:I71" si="0">IF(E8="","",E8+0)</f>
        <v>8.9499999999999993</v>
      </c>
      <c r="I8" s="96">
        <f t="shared" si="0"/>
        <v>9.68</v>
      </c>
      <c r="J8" s="91" t="str">
        <f t="shared" ref="J8:J71" si="1">IF(OR(H8="",I8=""),"",TRIM(CONCATENATE("Sinapi ",A8)))</f>
        <v>Sinapi 97142</v>
      </c>
      <c r="K8" s="91" t="str">
        <f t="shared" ref="K8:K71" si="2">TRIM(C8)</f>
        <v>M</v>
      </c>
      <c r="L8" s="166" t="str">
        <f t="shared" ref="L8:L71" si="3">IF(OR(RIGHT(IF(AND(K8&lt;&gt;"H",K8&lt;&gt;"MES"),RIGHT(B8,7),""),2)="PS",RIGHT(IF(AND(K8&lt;&gt;"H",K8&lt;&gt;"MES"),RIGHT(B8,7),""),2)="PA",RIGHT(IF(AND(K8&lt;&gt;"H",K8&lt;&gt;"MES"),RIGHT(B8,7),""),2)="PE"),LEFT(IF(AND(K8&lt;&gt;"H",K8&lt;&gt;"MES"),RIGHT(B8,10),""),7),IF(AND(K8&lt;&gt;"H",K8&lt;&gt;"MES"),RIGHT(B8,7),""))</f>
        <v>11/2017</v>
      </c>
      <c r="M8" s="82"/>
      <c r="N8" s="82"/>
    </row>
    <row r="9" spans="1:14" x14ac:dyDescent="0.25">
      <c r="A9" s="170" t="s">
        <v>1950</v>
      </c>
      <c r="B9" s="170" t="s">
        <v>1951</v>
      </c>
      <c r="C9" s="170" t="s">
        <v>385</v>
      </c>
      <c r="D9" s="170" t="s">
        <v>1947</v>
      </c>
      <c r="E9" s="171" t="s">
        <v>15773</v>
      </c>
      <c r="F9" s="171" t="s">
        <v>16355</v>
      </c>
      <c r="G9" s="82"/>
      <c r="H9" s="96">
        <f t="shared" si="0"/>
        <v>11.21</v>
      </c>
      <c r="I9" s="96">
        <f t="shared" si="0"/>
        <v>12.14</v>
      </c>
      <c r="J9" s="91" t="str">
        <f t="shared" si="1"/>
        <v>Sinapi 97143</v>
      </c>
      <c r="K9" s="91" t="str">
        <f t="shared" si="2"/>
        <v>M</v>
      </c>
      <c r="L9" s="166" t="str">
        <f t="shared" si="3"/>
        <v>11/2017</v>
      </c>
      <c r="M9" s="82"/>
      <c r="N9" s="82"/>
    </row>
    <row r="10" spans="1:14" x14ac:dyDescent="0.25">
      <c r="A10" s="170" t="s">
        <v>1952</v>
      </c>
      <c r="B10" s="170" t="s">
        <v>1953</v>
      </c>
      <c r="C10" s="170" t="s">
        <v>385</v>
      </c>
      <c r="D10" s="170" t="s">
        <v>1947</v>
      </c>
      <c r="E10" s="171" t="s">
        <v>17374</v>
      </c>
      <c r="F10" s="171" t="s">
        <v>29987</v>
      </c>
      <c r="G10" s="82"/>
      <c r="H10" s="96">
        <f t="shared" si="0"/>
        <v>13.47</v>
      </c>
      <c r="I10" s="96">
        <f t="shared" si="0"/>
        <v>14.6</v>
      </c>
      <c r="J10" s="91" t="str">
        <f t="shared" si="1"/>
        <v>Sinapi 97144</v>
      </c>
      <c r="K10" s="91" t="str">
        <f t="shared" si="2"/>
        <v>M</v>
      </c>
      <c r="L10" s="166" t="str">
        <f t="shared" si="3"/>
        <v>11/2017</v>
      </c>
      <c r="M10" s="82"/>
      <c r="N10" s="82"/>
    </row>
    <row r="11" spans="1:14" x14ac:dyDescent="0.25">
      <c r="A11" s="170" t="s">
        <v>1954</v>
      </c>
      <c r="B11" s="170" t="s">
        <v>1955</v>
      </c>
      <c r="C11" s="170" t="s">
        <v>385</v>
      </c>
      <c r="D11" s="170" t="s">
        <v>1947</v>
      </c>
      <c r="E11" s="171" t="s">
        <v>5638</v>
      </c>
      <c r="F11" s="171" t="s">
        <v>23327</v>
      </c>
      <c r="G11" s="82"/>
      <c r="H11" s="96">
        <f t="shared" si="0"/>
        <v>15.75</v>
      </c>
      <c r="I11" s="96">
        <f t="shared" si="0"/>
        <v>17.100000000000001</v>
      </c>
      <c r="J11" s="91" t="str">
        <f t="shared" si="1"/>
        <v>Sinapi 97145</v>
      </c>
      <c r="K11" s="91" t="str">
        <f t="shared" si="2"/>
        <v>M</v>
      </c>
      <c r="L11" s="166" t="str">
        <f t="shared" si="3"/>
        <v>11/2017</v>
      </c>
      <c r="M11" s="82"/>
      <c r="N11" s="82"/>
    </row>
    <row r="12" spans="1:14" x14ac:dyDescent="0.25">
      <c r="A12" s="170" t="s">
        <v>1956</v>
      </c>
      <c r="B12" s="170" t="s">
        <v>1957</v>
      </c>
      <c r="C12" s="170" t="s">
        <v>385</v>
      </c>
      <c r="D12" s="170" t="s">
        <v>1947</v>
      </c>
      <c r="E12" s="171" t="s">
        <v>20635</v>
      </c>
      <c r="F12" s="171" t="s">
        <v>5491</v>
      </c>
      <c r="G12" s="82"/>
      <c r="H12" s="96">
        <f t="shared" si="0"/>
        <v>18.03</v>
      </c>
      <c r="I12" s="96">
        <f t="shared" si="0"/>
        <v>19.59</v>
      </c>
      <c r="J12" s="91" t="str">
        <f t="shared" si="1"/>
        <v>Sinapi 97146</v>
      </c>
      <c r="K12" s="91" t="str">
        <f t="shared" si="2"/>
        <v>M</v>
      </c>
      <c r="L12" s="166" t="str">
        <f t="shared" si="3"/>
        <v>11/2017</v>
      </c>
      <c r="M12" s="82"/>
      <c r="N12" s="82"/>
    </row>
    <row r="13" spans="1:14" x14ac:dyDescent="0.25">
      <c r="A13" s="170" t="s">
        <v>1958</v>
      </c>
      <c r="B13" s="170" t="s">
        <v>1959</v>
      </c>
      <c r="C13" s="170" t="s">
        <v>385</v>
      </c>
      <c r="D13" s="170" t="s">
        <v>1947</v>
      </c>
      <c r="E13" s="171" t="s">
        <v>28991</v>
      </c>
      <c r="F13" s="171" t="s">
        <v>23124</v>
      </c>
      <c r="G13" s="82"/>
      <c r="H13" s="96">
        <f t="shared" si="0"/>
        <v>20.329999999999998</v>
      </c>
      <c r="I13" s="96">
        <f t="shared" si="0"/>
        <v>22.08</v>
      </c>
      <c r="J13" s="91" t="str">
        <f t="shared" si="1"/>
        <v>Sinapi 97147</v>
      </c>
      <c r="K13" s="91" t="str">
        <f t="shared" si="2"/>
        <v>M</v>
      </c>
      <c r="L13" s="166" t="str">
        <f t="shared" si="3"/>
        <v>11/2017</v>
      </c>
      <c r="M13" s="82"/>
      <c r="N13" s="82"/>
    </row>
    <row r="14" spans="1:14" x14ac:dyDescent="0.25">
      <c r="A14" s="170" t="s">
        <v>1960</v>
      </c>
      <c r="B14" s="170" t="s">
        <v>1961</v>
      </c>
      <c r="C14" s="170" t="s">
        <v>385</v>
      </c>
      <c r="D14" s="170" t="s">
        <v>1947</v>
      </c>
      <c r="E14" s="171" t="s">
        <v>17142</v>
      </c>
      <c r="F14" s="171" t="s">
        <v>20449</v>
      </c>
      <c r="G14" s="82"/>
      <c r="H14" s="96">
        <f t="shared" si="0"/>
        <v>22.6</v>
      </c>
      <c r="I14" s="96">
        <f t="shared" si="0"/>
        <v>24.58</v>
      </c>
      <c r="J14" s="91" t="str">
        <f t="shared" si="1"/>
        <v>Sinapi 97148</v>
      </c>
      <c r="K14" s="91" t="str">
        <f t="shared" si="2"/>
        <v>M</v>
      </c>
      <c r="L14" s="166" t="str">
        <f t="shared" si="3"/>
        <v>11/2017</v>
      </c>
      <c r="M14" s="82"/>
      <c r="N14" s="82"/>
    </row>
    <row r="15" spans="1:14" x14ac:dyDescent="0.25">
      <c r="A15" s="170" t="s">
        <v>1962</v>
      </c>
      <c r="B15" s="170" t="s">
        <v>1963</v>
      </c>
      <c r="C15" s="170" t="s">
        <v>385</v>
      </c>
      <c r="D15" s="170" t="s">
        <v>1947</v>
      </c>
      <c r="E15" s="171" t="s">
        <v>30230</v>
      </c>
      <c r="F15" s="171" t="s">
        <v>19268</v>
      </c>
      <c r="G15" s="82"/>
      <c r="H15" s="96">
        <f t="shared" si="0"/>
        <v>24.93</v>
      </c>
      <c r="I15" s="96">
        <f t="shared" si="0"/>
        <v>27.11</v>
      </c>
      <c r="J15" s="91" t="str">
        <f t="shared" si="1"/>
        <v>Sinapi 97149</v>
      </c>
      <c r="K15" s="91" t="str">
        <f t="shared" si="2"/>
        <v>M</v>
      </c>
      <c r="L15" s="166" t="str">
        <f t="shared" si="3"/>
        <v>11/2017</v>
      </c>
      <c r="M15" s="82"/>
      <c r="N15" s="82"/>
    </row>
    <row r="16" spans="1:14" x14ac:dyDescent="0.25">
      <c r="A16" s="170" t="s">
        <v>1964</v>
      </c>
      <c r="B16" s="170" t="s">
        <v>1965</v>
      </c>
      <c r="C16" s="170" t="s">
        <v>385</v>
      </c>
      <c r="D16" s="170" t="s">
        <v>1947</v>
      </c>
      <c r="E16" s="171" t="s">
        <v>20095</v>
      </c>
      <c r="F16" s="171" t="s">
        <v>35073</v>
      </c>
      <c r="G16" s="82"/>
      <c r="H16" s="96">
        <f t="shared" si="0"/>
        <v>32.25</v>
      </c>
      <c r="I16" s="96">
        <f t="shared" si="0"/>
        <v>34.619999999999997</v>
      </c>
      <c r="J16" s="91" t="str">
        <f t="shared" si="1"/>
        <v>Sinapi 97150</v>
      </c>
      <c r="K16" s="91" t="str">
        <f t="shared" si="2"/>
        <v>M</v>
      </c>
      <c r="L16" s="166" t="str">
        <f t="shared" si="3"/>
        <v>11/2017</v>
      </c>
      <c r="M16" s="82"/>
      <c r="N16" s="82"/>
    </row>
    <row r="17" spans="1:14" x14ac:dyDescent="0.25">
      <c r="A17" s="170" t="s">
        <v>1966</v>
      </c>
      <c r="B17" s="170" t="s">
        <v>1967</v>
      </c>
      <c r="C17" s="170" t="s">
        <v>385</v>
      </c>
      <c r="D17" s="170" t="s">
        <v>1947</v>
      </c>
      <c r="E17" s="171" t="s">
        <v>20482</v>
      </c>
      <c r="F17" s="171" t="s">
        <v>21083</v>
      </c>
      <c r="G17" s="82"/>
      <c r="H17" s="96">
        <f t="shared" si="0"/>
        <v>37.590000000000003</v>
      </c>
      <c r="I17" s="96">
        <f t="shared" si="0"/>
        <v>40.369999999999997</v>
      </c>
      <c r="J17" s="91" t="str">
        <f t="shared" si="1"/>
        <v>Sinapi 97151</v>
      </c>
      <c r="K17" s="91" t="str">
        <f t="shared" si="2"/>
        <v>M</v>
      </c>
      <c r="L17" s="166" t="str">
        <f t="shared" si="3"/>
        <v>11/2017</v>
      </c>
      <c r="M17" s="82"/>
      <c r="N17" s="82"/>
    </row>
    <row r="18" spans="1:14" x14ac:dyDescent="0.25">
      <c r="A18" s="170" t="s">
        <v>1968</v>
      </c>
      <c r="B18" s="170" t="s">
        <v>1969</v>
      </c>
      <c r="C18" s="170" t="s">
        <v>385</v>
      </c>
      <c r="D18" s="170" t="s">
        <v>1947</v>
      </c>
      <c r="E18" s="171" t="s">
        <v>29072</v>
      </c>
      <c r="F18" s="171" t="s">
        <v>22847</v>
      </c>
      <c r="G18" s="82"/>
      <c r="H18" s="96">
        <f t="shared" si="0"/>
        <v>42.62</v>
      </c>
      <c r="I18" s="96">
        <f t="shared" si="0"/>
        <v>45.83</v>
      </c>
      <c r="J18" s="91" t="str">
        <f t="shared" si="1"/>
        <v>Sinapi 97152</v>
      </c>
      <c r="K18" s="91" t="str">
        <f t="shared" si="2"/>
        <v>M</v>
      </c>
      <c r="L18" s="166" t="str">
        <f t="shared" si="3"/>
        <v>11/2017</v>
      </c>
      <c r="M18" s="82"/>
      <c r="N18" s="82"/>
    </row>
    <row r="19" spans="1:14" x14ac:dyDescent="0.25">
      <c r="A19" s="170" t="s">
        <v>1970</v>
      </c>
      <c r="B19" s="170" t="s">
        <v>1971</v>
      </c>
      <c r="C19" s="170" t="s">
        <v>385</v>
      </c>
      <c r="D19" s="170" t="s">
        <v>1947</v>
      </c>
      <c r="E19" s="171" t="s">
        <v>29169</v>
      </c>
      <c r="F19" s="171" t="s">
        <v>35074</v>
      </c>
      <c r="G19" s="82"/>
      <c r="H19" s="96">
        <f t="shared" si="0"/>
        <v>47.85</v>
      </c>
      <c r="I19" s="96">
        <f t="shared" si="0"/>
        <v>51.47</v>
      </c>
      <c r="J19" s="91" t="str">
        <f t="shared" si="1"/>
        <v>Sinapi 97153</v>
      </c>
      <c r="K19" s="91" t="str">
        <f t="shared" si="2"/>
        <v>M</v>
      </c>
      <c r="L19" s="166" t="str">
        <f t="shared" si="3"/>
        <v>11/2017</v>
      </c>
      <c r="M19" s="82"/>
      <c r="N19" s="82"/>
    </row>
    <row r="20" spans="1:14" x14ac:dyDescent="0.25">
      <c r="A20" s="170" t="s">
        <v>1972</v>
      </c>
      <c r="B20" s="170" t="s">
        <v>1973</v>
      </c>
      <c r="C20" s="170" t="s">
        <v>385</v>
      </c>
      <c r="D20" s="170" t="s">
        <v>1947</v>
      </c>
      <c r="E20" s="171" t="s">
        <v>31636</v>
      </c>
      <c r="F20" s="171" t="s">
        <v>35075</v>
      </c>
      <c r="G20" s="82"/>
      <c r="H20" s="96">
        <f t="shared" si="0"/>
        <v>53.11</v>
      </c>
      <c r="I20" s="96">
        <f t="shared" si="0"/>
        <v>57.14</v>
      </c>
      <c r="J20" s="91" t="str">
        <f t="shared" si="1"/>
        <v>Sinapi 97154</v>
      </c>
      <c r="K20" s="91" t="str">
        <f t="shared" si="2"/>
        <v>M</v>
      </c>
      <c r="L20" s="166" t="str">
        <f t="shared" si="3"/>
        <v>11/2017</v>
      </c>
      <c r="M20" s="82"/>
      <c r="N20" s="82"/>
    </row>
    <row r="21" spans="1:14" x14ac:dyDescent="0.25">
      <c r="A21" s="170" t="s">
        <v>1974</v>
      </c>
      <c r="B21" s="170" t="s">
        <v>1975</v>
      </c>
      <c r="C21" s="170" t="s">
        <v>385</v>
      </c>
      <c r="D21" s="170" t="s">
        <v>1947</v>
      </c>
      <c r="E21" s="171" t="s">
        <v>20072</v>
      </c>
      <c r="F21" s="171" t="s">
        <v>21855</v>
      </c>
      <c r="G21" s="82"/>
      <c r="H21" s="96">
        <f t="shared" si="0"/>
        <v>58.38</v>
      </c>
      <c r="I21" s="96">
        <f t="shared" si="0"/>
        <v>62.82</v>
      </c>
      <c r="J21" s="91" t="str">
        <f t="shared" si="1"/>
        <v>Sinapi 97155</v>
      </c>
      <c r="K21" s="91" t="str">
        <f t="shared" si="2"/>
        <v>M</v>
      </c>
      <c r="L21" s="166" t="str">
        <f t="shared" si="3"/>
        <v>11/2017</v>
      </c>
      <c r="M21" s="82"/>
      <c r="N21" s="82"/>
    </row>
    <row r="22" spans="1:14" x14ac:dyDescent="0.25">
      <c r="A22" s="170" t="s">
        <v>1976</v>
      </c>
      <c r="B22" s="170" t="s">
        <v>1977</v>
      </c>
      <c r="C22" s="170" t="s">
        <v>385</v>
      </c>
      <c r="D22" s="170" t="s">
        <v>1947</v>
      </c>
      <c r="E22" s="171" t="s">
        <v>31637</v>
      </c>
      <c r="F22" s="171" t="s">
        <v>35076</v>
      </c>
      <c r="G22" s="82"/>
      <c r="H22" s="96">
        <f t="shared" si="0"/>
        <v>69.42</v>
      </c>
      <c r="I22" s="96">
        <f t="shared" si="0"/>
        <v>74.680000000000007</v>
      </c>
      <c r="J22" s="91" t="str">
        <f t="shared" si="1"/>
        <v>Sinapi 97156</v>
      </c>
      <c r="K22" s="91" t="str">
        <f t="shared" si="2"/>
        <v>M</v>
      </c>
      <c r="L22" s="166" t="str">
        <f t="shared" si="3"/>
        <v>11/2017</v>
      </c>
      <c r="M22" s="82"/>
      <c r="N22" s="82"/>
    </row>
    <row r="23" spans="1:14" x14ac:dyDescent="0.25">
      <c r="A23" s="170" t="s">
        <v>1978</v>
      </c>
      <c r="B23" s="170" t="s">
        <v>1979</v>
      </c>
      <c r="C23" s="170" t="s">
        <v>385</v>
      </c>
      <c r="D23" s="170" t="s">
        <v>1947</v>
      </c>
      <c r="E23" s="171" t="s">
        <v>21284</v>
      </c>
      <c r="F23" s="171" t="s">
        <v>13574</v>
      </c>
      <c r="G23" s="82"/>
      <c r="H23" s="96">
        <f t="shared" si="0"/>
        <v>4.92</v>
      </c>
      <c r="I23" s="96">
        <f t="shared" si="0"/>
        <v>5.28</v>
      </c>
      <c r="J23" s="91" t="str">
        <f t="shared" si="1"/>
        <v>Sinapi 97157</v>
      </c>
      <c r="K23" s="91" t="str">
        <f t="shared" si="2"/>
        <v>M</v>
      </c>
      <c r="L23" s="166" t="str">
        <f t="shared" si="3"/>
        <v>11/2017</v>
      </c>
      <c r="M23" s="82"/>
      <c r="N23" s="82"/>
    </row>
    <row r="24" spans="1:14" x14ac:dyDescent="0.25">
      <c r="A24" s="170" t="s">
        <v>1980</v>
      </c>
      <c r="B24" s="170" t="s">
        <v>1981</v>
      </c>
      <c r="C24" s="170" t="s">
        <v>385</v>
      </c>
      <c r="D24" s="170" t="s">
        <v>1947</v>
      </c>
      <c r="E24" s="171" t="s">
        <v>11613</v>
      </c>
      <c r="F24" s="171" t="s">
        <v>6045</v>
      </c>
      <c r="G24" s="82"/>
      <c r="H24" s="96">
        <f t="shared" si="0"/>
        <v>5.48</v>
      </c>
      <c r="I24" s="96">
        <f t="shared" si="0"/>
        <v>5.9</v>
      </c>
      <c r="J24" s="91" t="str">
        <f t="shared" si="1"/>
        <v>Sinapi 97158</v>
      </c>
      <c r="K24" s="91" t="str">
        <f t="shared" si="2"/>
        <v>M</v>
      </c>
      <c r="L24" s="166" t="str">
        <f t="shared" si="3"/>
        <v>11/2017</v>
      </c>
      <c r="M24" s="82"/>
      <c r="N24" s="82"/>
    </row>
    <row r="25" spans="1:14" x14ac:dyDescent="0.25">
      <c r="A25" s="170" t="s">
        <v>1982</v>
      </c>
      <c r="B25" s="170" t="s">
        <v>1983</v>
      </c>
      <c r="C25" s="170" t="s">
        <v>385</v>
      </c>
      <c r="D25" s="170" t="s">
        <v>1947</v>
      </c>
      <c r="E25" s="171" t="s">
        <v>19278</v>
      </c>
      <c r="F25" s="171" t="s">
        <v>35077</v>
      </c>
      <c r="G25" s="82"/>
      <c r="H25" s="96">
        <f t="shared" si="0"/>
        <v>6.87</v>
      </c>
      <c r="I25" s="96">
        <f t="shared" si="0"/>
        <v>7.4</v>
      </c>
      <c r="J25" s="91" t="str">
        <f t="shared" si="1"/>
        <v>Sinapi 97159</v>
      </c>
      <c r="K25" s="91" t="str">
        <f t="shared" si="2"/>
        <v>M</v>
      </c>
      <c r="L25" s="166" t="str">
        <f t="shared" si="3"/>
        <v>11/2017</v>
      </c>
      <c r="M25" s="82"/>
      <c r="N25" s="82"/>
    </row>
    <row r="26" spans="1:14" x14ac:dyDescent="0.25">
      <c r="A26" s="170" t="s">
        <v>1984</v>
      </c>
      <c r="B26" s="170" t="s">
        <v>1985</v>
      </c>
      <c r="C26" s="170" t="s">
        <v>385</v>
      </c>
      <c r="D26" s="170" t="s">
        <v>1947</v>
      </c>
      <c r="E26" s="171" t="s">
        <v>17972</v>
      </c>
      <c r="F26" s="171" t="s">
        <v>15757</v>
      </c>
      <c r="G26" s="82"/>
      <c r="H26" s="96">
        <f t="shared" si="0"/>
        <v>8.25</v>
      </c>
      <c r="I26" s="96">
        <f t="shared" si="0"/>
        <v>8.91</v>
      </c>
      <c r="J26" s="91" t="str">
        <f t="shared" si="1"/>
        <v>Sinapi 97160</v>
      </c>
      <c r="K26" s="91" t="str">
        <f t="shared" si="2"/>
        <v>M</v>
      </c>
      <c r="L26" s="166" t="str">
        <f t="shared" si="3"/>
        <v>11/2017</v>
      </c>
      <c r="M26" s="82"/>
      <c r="N26" s="82"/>
    </row>
    <row r="27" spans="1:14" x14ac:dyDescent="0.25">
      <c r="A27" s="170" t="s">
        <v>1986</v>
      </c>
      <c r="B27" s="170" t="s">
        <v>1987</v>
      </c>
      <c r="C27" s="170" t="s">
        <v>385</v>
      </c>
      <c r="D27" s="170" t="s">
        <v>1947</v>
      </c>
      <c r="E27" s="171" t="s">
        <v>19910</v>
      </c>
      <c r="F27" s="171" t="s">
        <v>14933</v>
      </c>
      <c r="G27" s="82"/>
      <c r="H27" s="96">
        <f t="shared" si="0"/>
        <v>9.67</v>
      </c>
      <c r="I27" s="96">
        <f t="shared" si="0"/>
        <v>10.46</v>
      </c>
      <c r="J27" s="91" t="str">
        <f t="shared" si="1"/>
        <v>Sinapi 97161</v>
      </c>
      <c r="K27" s="91" t="str">
        <f t="shared" si="2"/>
        <v>M</v>
      </c>
      <c r="L27" s="166" t="str">
        <f t="shared" si="3"/>
        <v>11/2017</v>
      </c>
      <c r="M27" s="82"/>
      <c r="N27" s="82"/>
    </row>
    <row r="28" spans="1:14" x14ac:dyDescent="0.25">
      <c r="A28" s="170" t="s">
        <v>1988</v>
      </c>
      <c r="B28" s="170" t="s">
        <v>1989</v>
      </c>
      <c r="C28" s="170" t="s">
        <v>385</v>
      </c>
      <c r="D28" s="170" t="s">
        <v>1947</v>
      </c>
      <c r="E28" s="171" t="s">
        <v>17141</v>
      </c>
      <c r="F28" s="171" t="s">
        <v>8316</v>
      </c>
      <c r="G28" s="82"/>
      <c r="H28" s="96">
        <f t="shared" si="0"/>
        <v>11.09</v>
      </c>
      <c r="I28" s="96">
        <f t="shared" si="0"/>
        <v>11.98</v>
      </c>
      <c r="J28" s="91" t="str">
        <f t="shared" si="1"/>
        <v>Sinapi 97162</v>
      </c>
      <c r="K28" s="91" t="str">
        <f t="shared" si="2"/>
        <v>M</v>
      </c>
      <c r="L28" s="166" t="str">
        <f t="shared" si="3"/>
        <v>11/2017</v>
      </c>
      <c r="M28" s="82"/>
      <c r="N28" s="82"/>
    </row>
    <row r="29" spans="1:14" x14ac:dyDescent="0.25">
      <c r="A29" s="170" t="s">
        <v>1990</v>
      </c>
      <c r="B29" s="170" t="s">
        <v>1991</v>
      </c>
      <c r="C29" s="170" t="s">
        <v>385</v>
      </c>
      <c r="D29" s="170" t="s">
        <v>1947</v>
      </c>
      <c r="E29" s="171" t="s">
        <v>10526</v>
      </c>
      <c r="F29" s="171" t="s">
        <v>8806</v>
      </c>
      <c r="G29" s="82"/>
      <c r="H29" s="96">
        <f t="shared" si="0"/>
        <v>12.51</v>
      </c>
      <c r="I29" s="96">
        <f t="shared" si="0"/>
        <v>13.53</v>
      </c>
      <c r="J29" s="91" t="str">
        <f t="shared" si="1"/>
        <v>Sinapi 97163</v>
      </c>
      <c r="K29" s="91" t="str">
        <f t="shared" si="2"/>
        <v>M</v>
      </c>
      <c r="L29" s="166" t="str">
        <f t="shared" si="3"/>
        <v>11/2017</v>
      </c>
      <c r="M29" s="82"/>
      <c r="N29" s="82"/>
    </row>
    <row r="30" spans="1:14" x14ac:dyDescent="0.25">
      <c r="A30" s="170" t="s">
        <v>1992</v>
      </c>
      <c r="B30" s="170" t="s">
        <v>1993</v>
      </c>
      <c r="C30" s="170" t="s">
        <v>385</v>
      </c>
      <c r="D30" s="170" t="s">
        <v>1947</v>
      </c>
      <c r="E30" s="171" t="s">
        <v>11130</v>
      </c>
      <c r="F30" s="171" t="s">
        <v>16397</v>
      </c>
      <c r="G30" s="82"/>
      <c r="H30" s="96">
        <f t="shared" si="0"/>
        <v>13.9</v>
      </c>
      <c r="I30" s="96">
        <f t="shared" si="0"/>
        <v>15.06</v>
      </c>
      <c r="J30" s="91" t="str">
        <f t="shared" si="1"/>
        <v>Sinapi 97164</v>
      </c>
      <c r="K30" s="91" t="str">
        <f t="shared" si="2"/>
        <v>M</v>
      </c>
      <c r="L30" s="166" t="str">
        <f t="shared" si="3"/>
        <v>11/2017</v>
      </c>
      <c r="M30" s="82"/>
      <c r="N30" s="82"/>
    </row>
    <row r="31" spans="1:14" x14ac:dyDescent="0.25">
      <c r="A31" s="170" t="s">
        <v>1994</v>
      </c>
      <c r="B31" s="170" t="s">
        <v>1995</v>
      </c>
      <c r="C31" s="170" t="s">
        <v>385</v>
      </c>
      <c r="D31" s="170" t="s">
        <v>1947</v>
      </c>
      <c r="E31" s="171" t="s">
        <v>17281</v>
      </c>
      <c r="F31" s="171" t="s">
        <v>17392</v>
      </c>
      <c r="G31" s="82"/>
      <c r="H31" s="96">
        <f t="shared" si="0"/>
        <v>15.36</v>
      </c>
      <c r="I31" s="96">
        <f t="shared" si="0"/>
        <v>16.64</v>
      </c>
      <c r="J31" s="91" t="str">
        <f t="shared" si="1"/>
        <v>Sinapi 97165</v>
      </c>
      <c r="K31" s="91" t="str">
        <f t="shared" si="2"/>
        <v>M</v>
      </c>
      <c r="L31" s="166" t="str">
        <f t="shared" si="3"/>
        <v>11/2017</v>
      </c>
      <c r="M31" s="82"/>
      <c r="N31" s="82"/>
    </row>
    <row r="32" spans="1:14" x14ac:dyDescent="0.25">
      <c r="A32" s="170" t="s">
        <v>1996</v>
      </c>
      <c r="B32" s="170" t="s">
        <v>1997</v>
      </c>
      <c r="C32" s="170" t="s">
        <v>385</v>
      </c>
      <c r="D32" s="170" t="s">
        <v>1947</v>
      </c>
      <c r="E32" s="171" t="s">
        <v>29337</v>
      </c>
      <c r="F32" s="171" t="s">
        <v>16394</v>
      </c>
      <c r="G32" s="82"/>
      <c r="H32" s="96">
        <f t="shared" si="0"/>
        <v>19.829999999999998</v>
      </c>
      <c r="I32" s="96">
        <f t="shared" si="0"/>
        <v>21.2</v>
      </c>
      <c r="J32" s="91" t="str">
        <f t="shared" si="1"/>
        <v>Sinapi 97166</v>
      </c>
      <c r="K32" s="91" t="str">
        <f t="shared" si="2"/>
        <v>M</v>
      </c>
      <c r="L32" s="166" t="str">
        <f t="shared" si="3"/>
        <v>11/2017</v>
      </c>
      <c r="M32" s="82"/>
      <c r="N32" s="82"/>
    </row>
    <row r="33" spans="1:14" x14ac:dyDescent="0.25">
      <c r="A33" s="170" t="s">
        <v>1999</v>
      </c>
      <c r="B33" s="170" t="s">
        <v>2000</v>
      </c>
      <c r="C33" s="170" t="s">
        <v>385</v>
      </c>
      <c r="D33" s="170" t="s">
        <v>1947</v>
      </c>
      <c r="E33" s="171" t="s">
        <v>19316</v>
      </c>
      <c r="F33" s="171" t="s">
        <v>21905</v>
      </c>
      <c r="G33" s="82"/>
      <c r="H33" s="96">
        <f t="shared" si="0"/>
        <v>23.14</v>
      </c>
      <c r="I33" s="96">
        <f t="shared" si="0"/>
        <v>24.77</v>
      </c>
      <c r="J33" s="91" t="str">
        <f t="shared" si="1"/>
        <v>Sinapi 97167</v>
      </c>
      <c r="K33" s="91" t="str">
        <f t="shared" si="2"/>
        <v>M</v>
      </c>
      <c r="L33" s="166" t="str">
        <f t="shared" si="3"/>
        <v>11/2017</v>
      </c>
      <c r="M33" s="82"/>
      <c r="N33" s="82"/>
    </row>
    <row r="34" spans="1:14" x14ac:dyDescent="0.25">
      <c r="A34" s="170" t="s">
        <v>2001</v>
      </c>
      <c r="B34" s="170" t="s">
        <v>2002</v>
      </c>
      <c r="C34" s="170" t="s">
        <v>385</v>
      </c>
      <c r="D34" s="170" t="s">
        <v>1947</v>
      </c>
      <c r="E34" s="171" t="s">
        <v>21091</v>
      </c>
      <c r="F34" s="171" t="s">
        <v>28588</v>
      </c>
      <c r="G34" s="82"/>
      <c r="H34" s="96">
        <f t="shared" si="0"/>
        <v>26.16</v>
      </c>
      <c r="I34" s="96">
        <f t="shared" si="0"/>
        <v>28.02</v>
      </c>
      <c r="J34" s="91" t="str">
        <f t="shared" si="1"/>
        <v>Sinapi 97168</v>
      </c>
      <c r="K34" s="91" t="str">
        <f t="shared" si="2"/>
        <v>M</v>
      </c>
      <c r="L34" s="166" t="str">
        <f t="shared" si="3"/>
        <v>11/2017</v>
      </c>
      <c r="M34" s="82"/>
      <c r="N34" s="82"/>
    </row>
    <row r="35" spans="1:14" x14ac:dyDescent="0.25">
      <c r="A35" s="170" t="s">
        <v>2003</v>
      </c>
      <c r="B35" s="170" t="s">
        <v>2004</v>
      </c>
      <c r="C35" s="170" t="s">
        <v>385</v>
      </c>
      <c r="D35" s="170" t="s">
        <v>1947</v>
      </c>
      <c r="E35" s="171" t="s">
        <v>15722</v>
      </c>
      <c r="F35" s="171" t="s">
        <v>35078</v>
      </c>
      <c r="G35" s="82"/>
      <c r="H35" s="96">
        <f t="shared" si="0"/>
        <v>29.35</v>
      </c>
      <c r="I35" s="96">
        <f t="shared" si="0"/>
        <v>31.48</v>
      </c>
      <c r="J35" s="91" t="str">
        <f t="shared" si="1"/>
        <v>Sinapi 97169</v>
      </c>
      <c r="K35" s="91" t="str">
        <f t="shared" si="2"/>
        <v>M</v>
      </c>
      <c r="L35" s="166" t="str">
        <f t="shared" si="3"/>
        <v>11/2017</v>
      </c>
      <c r="M35" s="82"/>
      <c r="N35" s="82"/>
    </row>
    <row r="36" spans="1:14" x14ac:dyDescent="0.25">
      <c r="A36" s="170" t="s">
        <v>2006</v>
      </c>
      <c r="B36" s="170" t="s">
        <v>2007</v>
      </c>
      <c r="C36" s="170" t="s">
        <v>385</v>
      </c>
      <c r="D36" s="170" t="s">
        <v>1947</v>
      </c>
      <c r="E36" s="171" t="s">
        <v>31638</v>
      </c>
      <c r="F36" s="171" t="s">
        <v>22749</v>
      </c>
      <c r="G36" s="82"/>
      <c r="H36" s="96">
        <f t="shared" si="0"/>
        <v>32.590000000000003</v>
      </c>
      <c r="I36" s="96">
        <f t="shared" si="0"/>
        <v>34.96</v>
      </c>
      <c r="J36" s="91" t="str">
        <f t="shared" si="1"/>
        <v>Sinapi 97170</v>
      </c>
      <c r="K36" s="91" t="str">
        <f t="shared" si="2"/>
        <v>M</v>
      </c>
      <c r="L36" s="166" t="str">
        <f t="shared" si="3"/>
        <v>11/2017</v>
      </c>
      <c r="M36" s="82"/>
      <c r="N36" s="82"/>
    </row>
    <row r="37" spans="1:14" x14ac:dyDescent="0.25">
      <c r="A37" s="170" t="s">
        <v>2008</v>
      </c>
      <c r="B37" s="170" t="s">
        <v>2009</v>
      </c>
      <c r="C37" s="170" t="s">
        <v>385</v>
      </c>
      <c r="D37" s="170" t="s">
        <v>1947</v>
      </c>
      <c r="E37" s="171" t="s">
        <v>22076</v>
      </c>
      <c r="F37" s="171" t="s">
        <v>24325</v>
      </c>
      <c r="G37" s="82"/>
      <c r="H37" s="96">
        <f t="shared" si="0"/>
        <v>35.85</v>
      </c>
      <c r="I37" s="96">
        <f t="shared" si="0"/>
        <v>38.44</v>
      </c>
      <c r="J37" s="91" t="str">
        <f t="shared" si="1"/>
        <v>Sinapi 97171</v>
      </c>
      <c r="K37" s="91" t="str">
        <f t="shared" si="2"/>
        <v>M</v>
      </c>
      <c r="L37" s="166" t="str">
        <f t="shared" si="3"/>
        <v>11/2017</v>
      </c>
      <c r="M37" s="82"/>
      <c r="N37" s="82"/>
    </row>
    <row r="38" spans="1:14" x14ac:dyDescent="0.25">
      <c r="A38" s="170" t="s">
        <v>2010</v>
      </c>
      <c r="B38" s="170" t="s">
        <v>2011</v>
      </c>
      <c r="C38" s="170" t="s">
        <v>385</v>
      </c>
      <c r="D38" s="170" t="s">
        <v>1947</v>
      </c>
      <c r="E38" s="171" t="s">
        <v>31639</v>
      </c>
      <c r="F38" s="171" t="s">
        <v>31649</v>
      </c>
      <c r="G38" s="82"/>
      <c r="H38" s="96">
        <f t="shared" si="0"/>
        <v>42.83</v>
      </c>
      <c r="I38" s="96">
        <f t="shared" si="0"/>
        <v>45.92</v>
      </c>
      <c r="J38" s="91" t="str">
        <f t="shared" si="1"/>
        <v>Sinapi 97172</v>
      </c>
      <c r="K38" s="91" t="str">
        <f t="shared" si="2"/>
        <v>M</v>
      </c>
      <c r="L38" s="166" t="str">
        <f t="shared" si="3"/>
        <v>11/2017</v>
      </c>
      <c r="M38" s="82"/>
      <c r="N38" s="82"/>
    </row>
    <row r="39" spans="1:14" x14ac:dyDescent="0.25">
      <c r="A39" s="170" t="s">
        <v>2012</v>
      </c>
      <c r="B39" s="170" t="s">
        <v>2013</v>
      </c>
      <c r="C39" s="170" t="s">
        <v>385</v>
      </c>
      <c r="D39" s="170" t="s">
        <v>1947</v>
      </c>
      <c r="E39" s="171" t="s">
        <v>21184</v>
      </c>
      <c r="F39" s="171" t="s">
        <v>29536</v>
      </c>
      <c r="G39" s="82"/>
      <c r="H39" s="96">
        <f t="shared" si="0"/>
        <v>35.1</v>
      </c>
      <c r="I39" s="96">
        <f t="shared" si="0"/>
        <v>37.42</v>
      </c>
      <c r="J39" s="91" t="str">
        <f t="shared" si="1"/>
        <v>Sinapi 97173</v>
      </c>
      <c r="K39" s="91" t="str">
        <f t="shared" si="2"/>
        <v>M</v>
      </c>
      <c r="L39" s="166" t="str">
        <f t="shared" si="3"/>
        <v>11/2017</v>
      </c>
      <c r="M39" s="82"/>
      <c r="N39" s="82"/>
    </row>
    <row r="40" spans="1:14" x14ac:dyDescent="0.25">
      <c r="A40" s="170" t="s">
        <v>2014</v>
      </c>
      <c r="B40" s="170" t="s">
        <v>2015</v>
      </c>
      <c r="C40" s="170" t="s">
        <v>385</v>
      </c>
      <c r="D40" s="170" t="s">
        <v>1947</v>
      </c>
      <c r="E40" s="171" t="s">
        <v>16413</v>
      </c>
      <c r="F40" s="171" t="s">
        <v>35079</v>
      </c>
      <c r="G40" s="82"/>
      <c r="H40" s="96">
        <f t="shared" si="0"/>
        <v>40.64</v>
      </c>
      <c r="I40" s="96">
        <f t="shared" si="0"/>
        <v>43.29</v>
      </c>
      <c r="J40" s="91" t="str">
        <f t="shared" si="1"/>
        <v>Sinapi 97174</v>
      </c>
      <c r="K40" s="91" t="str">
        <f t="shared" si="2"/>
        <v>M</v>
      </c>
      <c r="L40" s="166" t="str">
        <f t="shared" si="3"/>
        <v>11/2017</v>
      </c>
      <c r="M40" s="82"/>
      <c r="N40" s="82"/>
    </row>
    <row r="41" spans="1:14" x14ac:dyDescent="0.25">
      <c r="A41" s="170" t="s">
        <v>2016</v>
      </c>
      <c r="B41" s="170" t="s">
        <v>2017</v>
      </c>
      <c r="C41" s="170" t="s">
        <v>385</v>
      </c>
      <c r="D41" s="170" t="s">
        <v>1947</v>
      </c>
      <c r="E41" s="171" t="s">
        <v>31505</v>
      </c>
      <c r="F41" s="171" t="s">
        <v>35080</v>
      </c>
      <c r="G41" s="82"/>
      <c r="H41" s="96">
        <f t="shared" si="0"/>
        <v>46.17</v>
      </c>
      <c r="I41" s="96">
        <f t="shared" si="0"/>
        <v>49.17</v>
      </c>
      <c r="J41" s="91" t="str">
        <f t="shared" si="1"/>
        <v>Sinapi 97175</v>
      </c>
      <c r="K41" s="91" t="str">
        <f t="shared" si="2"/>
        <v>M</v>
      </c>
      <c r="L41" s="166" t="str">
        <f t="shared" si="3"/>
        <v>11/2017</v>
      </c>
      <c r="M41" s="82"/>
      <c r="N41" s="82"/>
    </row>
    <row r="42" spans="1:14" x14ac:dyDescent="0.25">
      <c r="A42" s="170" t="s">
        <v>2018</v>
      </c>
      <c r="B42" s="170" t="s">
        <v>2019</v>
      </c>
      <c r="C42" s="170" t="s">
        <v>385</v>
      </c>
      <c r="D42" s="170" t="s">
        <v>1947</v>
      </c>
      <c r="E42" s="171" t="s">
        <v>31640</v>
      </c>
      <c r="F42" s="171" t="s">
        <v>30632</v>
      </c>
      <c r="G42" s="82"/>
      <c r="H42" s="96">
        <f t="shared" si="0"/>
        <v>51.7</v>
      </c>
      <c r="I42" s="96">
        <f t="shared" si="0"/>
        <v>55.03</v>
      </c>
      <c r="J42" s="91" t="str">
        <f t="shared" si="1"/>
        <v>Sinapi 97176</v>
      </c>
      <c r="K42" s="91" t="str">
        <f t="shared" si="2"/>
        <v>M</v>
      </c>
      <c r="L42" s="166" t="str">
        <f t="shared" si="3"/>
        <v>11/2017</v>
      </c>
      <c r="M42" s="82"/>
      <c r="N42" s="82"/>
    </row>
    <row r="43" spans="1:14" x14ac:dyDescent="0.25">
      <c r="A43" s="170" t="s">
        <v>2020</v>
      </c>
      <c r="B43" s="170" t="s">
        <v>2021</v>
      </c>
      <c r="C43" s="170" t="s">
        <v>385</v>
      </c>
      <c r="D43" s="170" t="s">
        <v>1947</v>
      </c>
      <c r="E43" s="171" t="s">
        <v>28980</v>
      </c>
      <c r="F43" s="171" t="s">
        <v>35081</v>
      </c>
      <c r="G43" s="82"/>
      <c r="H43" s="96">
        <f t="shared" si="0"/>
        <v>62.76</v>
      </c>
      <c r="I43" s="96">
        <f t="shared" si="0"/>
        <v>66.81</v>
      </c>
      <c r="J43" s="91" t="str">
        <f t="shared" si="1"/>
        <v>Sinapi 97177</v>
      </c>
      <c r="K43" s="91" t="str">
        <f t="shared" si="2"/>
        <v>M</v>
      </c>
      <c r="L43" s="166" t="str">
        <f t="shared" si="3"/>
        <v>11/2017</v>
      </c>
      <c r="M43" s="82"/>
      <c r="N43" s="82"/>
    </row>
    <row r="44" spans="1:14" x14ac:dyDescent="0.25">
      <c r="A44" s="170" t="s">
        <v>2022</v>
      </c>
      <c r="B44" s="170" t="s">
        <v>2023</v>
      </c>
      <c r="C44" s="170" t="s">
        <v>385</v>
      </c>
      <c r="D44" s="170" t="s">
        <v>1947</v>
      </c>
      <c r="E44" s="171" t="s">
        <v>29989</v>
      </c>
      <c r="F44" s="171" t="s">
        <v>35082</v>
      </c>
      <c r="G44" s="82"/>
      <c r="H44" s="96">
        <f t="shared" si="0"/>
        <v>73.81</v>
      </c>
      <c r="I44" s="96">
        <f t="shared" si="0"/>
        <v>78.56</v>
      </c>
      <c r="J44" s="91" t="str">
        <f t="shared" si="1"/>
        <v>Sinapi 97178</v>
      </c>
      <c r="K44" s="91" t="str">
        <f t="shared" si="2"/>
        <v>M</v>
      </c>
      <c r="L44" s="166" t="str">
        <f t="shared" si="3"/>
        <v>11/2017</v>
      </c>
      <c r="M44" s="82"/>
      <c r="N44" s="82"/>
    </row>
    <row r="45" spans="1:14" x14ac:dyDescent="0.25">
      <c r="A45" s="170" t="s">
        <v>2024</v>
      </c>
      <c r="B45" s="170" t="s">
        <v>2025</v>
      </c>
      <c r="C45" s="170" t="s">
        <v>385</v>
      </c>
      <c r="D45" s="170" t="s">
        <v>1947</v>
      </c>
      <c r="E45" s="171" t="s">
        <v>31641</v>
      </c>
      <c r="F45" s="171" t="s">
        <v>35083</v>
      </c>
      <c r="G45" s="82"/>
      <c r="H45" s="96">
        <f t="shared" si="0"/>
        <v>84.89</v>
      </c>
      <c r="I45" s="96">
        <f t="shared" si="0"/>
        <v>90.32</v>
      </c>
      <c r="J45" s="91" t="str">
        <f t="shared" si="1"/>
        <v>Sinapi 97179</v>
      </c>
      <c r="K45" s="91" t="str">
        <f t="shared" si="2"/>
        <v>M</v>
      </c>
      <c r="L45" s="166" t="str">
        <f t="shared" si="3"/>
        <v>11/2017</v>
      </c>
      <c r="M45" s="82"/>
      <c r="N45" s="82"/>
    </row>
    <row r="46" spans="1:14" x14ac:dyDescent="0.25">
      <c r="A46" s="170" t="s">
        <v>2026</v>
      </c>
      <c r="B46" s="170" t="s">
        <v>2027</v>
      </c>
      <c r="C46" s="170" t="s">
        <v>385</v>
      </c>
      <c r="D46" s="170" t="s">
        <v>1947</v>
      </c>
      <c r="E46" s="171" t="s">
        <v>31642</v>
      </c>
      <c r="F46" s="171" t="s">
        <v>35084</v>
      </c>
      <c r="G46" s="82"/>
      <c r="H46" s="96">
        <f t="shared" si="0"/>
        <v>95.96</v>
      </c>
      <c r="I46" s="96">
        <f t="shared" si="0"/>
        <v>102.08</v>
      </c>
      <c r="J46" s="91" t="str">
        <f t="shared" si="1"/>
        <v>Sinapi 97180</v>
      </c>
      <c r="K46" s="91" t="str">
        <f t="shared" si="2"/>
        <v>M</v>
      </c>
      <c r="L46" s="166" t="str">
        <f t="shared" si="3"/>
        <v>11/2017</v>
      </c>
      <c r="M46" s="82"/>
      <c r="N46" s="82"/>
    </row>
    <row r="47" spans="1:14" x14ac:dyDescent="0.25">
      <c r="A47" s="170" t="s">
        <v>2028</v>
      </c>
      <c r="B47" s="170" t="s">
        <v>2029</v>
      </c>
      <c r="C47" s="170" t="s">
        <v>385</v>
      </c>
      <c r="D47" s="170" t="s">
        <v>1947</v>
      </c>
      <c r="E47" s="171" t="s">
        <v>31643</v>
      </c>
      <c r="F47" s="171" t="s">
        <v>35085</v>
      </c>
      <c r="G47" s="82"/>
      <c r="H47" s="96">
        <f t="shared" si="0"/>
        <v>111.82</v>
      </c>
      <c r="I47" s="96">
        <f t="shared" si="0"/>
        <v>118.62</v>
      </c>
      <c r="J47" s="91" t="str">
        <f t="shared" si="1"/>
        <v>Sinapi 97181</v>
      </c>
      <c r="K47" s="91" t="str">
        <f t="shared" si="2"/>
        <v>M</v>
      </c>
      <c r="L47" s="166" t="str">
        <f t="shared" si="3"/>
        <v>11/2017</v>
      </c>
      <c r="M47" s="82"/>
      <c r="N47" s="82"/>
    </row>
    <row r="48" spans="1:14" x14ac:dyDescent="0.25">
      <c r="A48" s="170" t="s">
        <v>2030</v>
      </c>
      <c r="B48" s="170" t="s">
        <v>2031</v>
      </c>
      <c r="C48" s="170" t="s">
        <v>385</v>
      </c>
      <c r="D48" s="170" t="s">
        <v>1947</v>
      </c>
      <c r="E48" s="171" t="s">
        <v>31644</v>
      </c>
      <c r="F48" s="171" t="s">
        <v>35086</v>
      </c>
      <c r="G48" s="82"/>
      <c r="H48" s="96">
        <f t="shared" si="0"/>
        <v>123.38</v>
      </c>
      <c r="I48" s="96">
        <f t="shared" si="0"/>
        <v>130.88</v>
      </c>
      <c r="J48" s="91" t="str">
        <f t="shared" si="1"/>
        <v>Sinapi 97182</v>
      </c>
      <c r="K48" s="91" t="str">
        <f t="shared" si="2"/>
        <v>M</v>
      </c>
      <c r="L48" s="166" t="str">
        <f t="shared" si="3"/>
        <v>11/2017</v>
      </c>
      <c r="M48" s="82"/>
      <c r="N48" s="82"/>
    </row>
    <row r="49" spans="1:14" x14ac:dyDescent="0.25">
      <c r="A49" s="170" t="s">
        <v>2032</v>
      </c>
      <c r="B49" s="170" t="s">
        <v>2033</v>
      </c>
      <c r="C49" s="170" t="s">
        <v>385</v>
      </c>
      <c r="D49" s="170" t="s">
        <v>1947</v>
      </c>
      <c r="E49" s="171" t="s">
        <v>23157</v>
      </c>
      <c r="F49" s="171" t="s">
        <v>20660</v>
      </c>
      <c r="G49" s="82"/>
      <c r="H49" s="96">
        <f t="shared" si="0"/>
        <v>28.17</v>
      </c>
      <c r="I49" s="96">
        <f t="shared" si="0"/>
        <v>30.05</v>
      </c>
      <c r="J49" s="91" t="str">
        <f t="shared" si="1"/>
        <v>Sinapi 97183</v>
      </c>
      <c r="K49" s="91" t="str">
        <f t="shared" si="2"/>
        <v>M</v>
      </c>
      <c r="L49" s="166" t="str">
        <f t="shared" si="3"/>
        <v>11/2017</v>
      </c>
      <c r="M49" s="82"/>
      <c r="N49" s="82"/>
    </row>
    <row r="50" spans="1:14" x14ac:dyDescent="0.25">
      <c r="A50" s="170" t="s">
        <v>2034</v>
      </c>
      <c r="B50" s="170" t="s">
        <v>2035</v>
      </c>
      <c r="C50" s="170" t="s">
        <v>385</v>
      </c>
      <c r="D50" s="170" t="s">
        <v>1947</v>
      </c>
      <c r="E50" s="171" t="s">
        <v>21887</v>
      </c>
      <c r="F50" s="171" t="s">
        <v>23261</v>
      </c>
      <c r="G50" s="82"/>
      <c r="H50" s="96">
        <f t="shared" si="0"/>
        <v>32.67</v>
      </c>
      <c r="I50" s="96">
        <f t="shared" si="0"/>
        <v>34.85</v>
      </c>
      <c r="J50" s="91" t="str">
        <f t="shared" si="1"/>
        <v>Sinapi 97184</v>
      </c>
      <c r="K50" s="91" t="str">
        <f t="shared" si="2"/>
        <v>M</v>
      </c>
      <c r="L50" s="166" t="str">
        <f t="shared" si="3"/>
        <v>11/2017</v>
      </c>
      <c r="M50" s="82"/>
      <c r="N50" s="82"/>
    </row>
    <row r="51" spans="1:14" x14ac:dyDescent="0.25">
      <c r="A51" s="170" t="s">
        <v>2036</v>
      </c>
      <c r="B51" s="170" t="s">
        <v>2037</v>
      </c>
      <c r="C51" s="170" t="s">
        <v>385</v>
      </c>
      <c r="D51" s="170" t="s">
        <v>1947</v>
      </c>
      <c r="E51" s="171" t="s">
        <v>30566</v>
      </c>
      <c r="F51" s="171" t="s">
        <v>35087</v>
      </c>
      <c r="G51" s="82"/>
      <c r="H51" s="96">
        <f t="shared" si="0"/>
        <v>37.18</v>
      </c>
      <c r="I51" s="96">
        <f t="shared" si="0"/>
        <v>39.64</v>
      </c>
      <c r="J51" s="91" t="str">
        <f t="shared" si="1"/>
        <v>Sinapi 97185</v>
      </c>
      <c r="K51" s="91" t="str">
        <f t="shared" si="2"/>
        <v>M</v>
      </c>
      <c r="L51" s="166" t="str">
        <f t="shared" si="3"/>
        <v>11/2017</v>
      </c>
      <c r="M51" s="82"/>
      <c r="N51" s="82"/>
    </row>
    <row r="52" spans="1:14" x14ac:dyDescent="0.25">
      <c r="A52" s="170" t="s">
        <v>2038</v>
      </c>
      <c r="B52" s="170" t="s">
        <v>2039</v>
      </c>
      <c r="C52" s="170" t="s">
        <v>385</v>
      </c>
      <c r="D52" s="170" t="s">
        <v>1947</v>
      </c>
      <c r="E52" s="171" t="s">
        <v>21885</v>
      </c>
      <c r="F52" s="171" t="s">
        <v>30028</v>
      </c>
      <c r="G52" s="82"/>
      <c r="H52" s="96">
        <f t="shared" si="0"/>
        <v>41.68</v>
      </c>
      <c r="I52" s="96">
        <f t="shared" si="0"/>
        <v>44.43</v>
      </c>
      <c r="J52" s="91" t="str">
        <f t="shared" si="1"/>
        <v>Sinapi 97186</v>
      </c>
      <c r="K52" s="91" t="str">
        <f t="shared" si="2"/>
        <v>M</v>
      </c>
      <c r="L52" s="166" t="str">
        <f t="shared" si="3"/>
        <v>11/2017</v>
      </c>
      <c r="M52" s="82"/>
      <c r="N52" s="82"/>
    </row>
    <row r="53" spans="1:14" x14ac:dyDescent="0.25">
      <c r="A53" s="170" t="s">
        <v>2040</v>
      </c>
      <c r="B53" s="170" t="s">
        <v>2041</v>
      </c>
      <c r="C53" s="170" t="s">
        <v>385</v>
      </c>
      <c r="D53" s="170" t="s">
        <v>1947</v>
      </c>
      <c r="E53" s="171" t="s">
        <v>31645</v>
      </c>
      <c r="F53" s="171" t="s">
        <v>21832</v>
      </c>
      <c r="G53" s="82"/>
      <c r="H53" s="96">
        <f t="shared" si="0"/>
        <v>50.69</v>
      </c>
      <c r="I53" s="96">
        <f t="shared" si="0"/>
        <v>54.04</v>
      </c>
      <c r="J53" s="91" t="str">
        <f t="shared" si="1"/>
        <v>Sinapi 97187</v>
      </c>
      <c r="K53" s="91" t="str">
        <f t="shared" si="2"/>
        <v>M</v>
      </c>
      <c r="L53" s="166" t="str">
        <f t="shared" si="3"/>
        <v>11/2017</v>
      </c>
      <c r="M53" s="82"/>
      <c r="N53" s="82"/>
    </row>
    <row r="54" spans="1:14" x14ac:dyDescent="0.25">
      <c r="A54" s="170" t="s">
        <v>2042</v>
      </c>
      <c r="B54" s="170" t="s">
        <v>2043</v>
      </c>
      <c r="C54" s="170" t="s">
        <v>385</v>
      </c>
      <c r="D54" s="170" t="s">
        <v>1947</v>
      </c>
      <c r="E54" s="171" t="s">
        <v>31646</v>
      </c>
      <c r="F54" s="171" t="s">
        <v>35088</v>
      </c>
      <c r="G54" s="82"/>
      <c r="H54" s="96">
        <f t="shared" si="0"/>
        <v>59.69</v>
      </c>
      <c r="I54" s="96">
        <f t="shared" si="0"/>
        <v>63.61</v>
      </c>
      <c r="J54" s="91" t="str">
        <f t="shared" si="1"/>
        <v>Sinapi 97188</v>
      </c>
      <c r="K54" s="91" t="str">
        <f t="shared" si="2"/>
        <v>M</v>
      </c>
      <c r="L54" s="166" t="str">
        <f t="shared" si="3"/>
        <v>11/2017</v>
      </c>
      <c r="M54" s="82"/>
      <c r="N54" s="82"/>
    </row>
    <row r="55" spans="1:14" x14ac:dyDescent="0.25">
      <c r="A55" s="170" t="s">
        <v>2044</v>
      </c>
      <c r="B55" s="170" t="s">
        <v>2045</v>
      </c>
      <c r="C55" s="170" t="s">
        <v>385</v>
      </c>
      <c r="D55" s="170" t="s">
        <v>1947</v>
      </c>
      <c r="E55" s="171" t="s">
        <v>28825</v>
      </c>
      <c r="F55" s="171" t="s">
        <v>28524</v>
      </c>
      <c r="G55" s="82"/>
      <c r="H55" s="96">
        <f t="shared" si="0"/>
        <v>68.69</v>
      </c>
      <c r="I55" s="96">
        <f t="shared" si="0"/>
        <v>73.2</v>
      </c>
      <c r="J55" s="91" t="str">
        <f t="shared" si="1"/>
        <v>Sinapi 97189</v>
      </c>
      <c r="K55" s="91" t="str">
        <f t="shared" si="2"/>
        <v>M</v>
      </c>
      <c r="L55" s="166" t="str">
        <f t="shared" si="3"/>
        <v>11/2017</v>
      </c>
      <c r="M55" s="82"/>
      <c r="N55" s="82"/>
    </row>
    <row r="56" spans="1:14" x14ac:dyDescent="0.25">
      <c r="A56" s="170" t="s">
        <v>2046</v>
      </c>
      <c r="B56" s="170" t="s">
        <v>2047</v>
      </c>
      <c r="C56" s="170" t="s">
        <v>385</v>
      </c>
      <c r="D56" s="170" t="s">
        <v>1947</v>
      </c>
      <c r="E56" s="171" t="s">
        <v>30185</v>
      </c>
      <c r="F56" s="171" t="s">
        <v>35089</v>
      </c>
      <c r="G56" s="82"/>
      <c r="H56" s="96">
        <f t="shared" si="0"/>
        <v>77.709999999999994</v>
      </c>
      <c r="I56" s="96">
        <f t="shared" si="0"/>
        <v>82.79</v>
      </c>
      <c r="J56" s="91" t="str">
        <f t="shared" si="1"/>
        <v>Sinapi 97190</v>
      </c>
      <c r="K56" s="91" t="str">
        <f t="shared" si="2"/>
        <v>M</v>
      </c>
      <c r="L56" s="166" t="str">
        <f t="shared" si="3"/>
        <v>11/2017</v>
      </c>
      <c r="M56" s="82"/>
      <c r="N56" s="82"/>
    </row>
    <row r="57" spans="1:14" x14ac:dyDescent="0.25">
      <c r="A57" s="170" t="s">
        <v>2048</v>
      </c>
      <c r="B57" s="170" t="s">
        <v>2049</v>
      </c>
      <c r="C57" s="170" t="s">
        <v>385</v>
      </c>
      <c r="D57" s="170" t="s">
        <v>1947</v>
      </c>
      <c r="E57" s="171" t="s">
        <v>31647</v>
      </c>
      <c r="F57" s="171" t="s">
        <v>35090</v>
      </c>
      <c r="G57" s="82"/>
      <c r="H57" s="96">
        <f t="shared" si="0"/>
        <v>90.27</v>
      </c>
      <c r="I57" s="96">
        <f t="shared" si="0"/>
        <v>95.94</v>
      </c>
      <c r="J57" s="91" t="str">
        <f t="shared" si="1"/>
        <v>Sinapi 97191</v>
      </c>
      <c r="K57" s="91" t="str">
        <f t="shared" si="2"/>
        <v>M</v>
      </c>
      <c r="L57" s="166" t="str">
        <f t="shared" si="3"/>
        <v>11/2017</v>
      </c>
      <c r="M57" s="82"/>
      <c r="N57" s="82"/>
    </row>
    <row r="58" spans="1:14" x14ac:dyDescent="0.25">
      <c r="A58" s="170" t="s">
        <v>2050</v>
      </c>
      <c r="B58" s="170" t="s">
        <v>2051</v>
      </c>
      <c r="C58" s="170" t="s">
        <v>385</v>
      </c>
      <c r="D58" s="170" t="s">
        <v>1947</v>
      </c>
      <c r="E58" s="171" t="s">
        <v>31648</v>
      </c>
      <c r="F58" s="171" t="s">
        <v>34562</v>
      </c>
      <c r="G58" s="82"/>
      <c r="H58" s="96">
        <f t="shared" si="0"/>
        <v>99.64</v>
      </c>
      <c r="I58" s="96">
        <f t="shared" si="0"/>
        <v>105.9</v>
      </c>
      <c r="J58" s="91" t="str">
        <f t="shared" si="1"/>
        <v>Sinapi 97192</v>
      </c>
      <c r="K58" s="91" t="str">
        <f t="shared" si="2"/>
        <v>M</v>
      </c>
      <c r="L58" s="166" t="str">
        <f t="shared" si="3"/>
        <v>11/2017</v>
      </c>
      <c r="M58" s="82"/>
      <c r="N58" s="82"/>
    </row>
    <row r="59" spans="1:14" x14ac:dyDescent="0.25">
      <c r="A59" s="170" t="s">
        <v>2052</v>
      </c>
      <c r="B59" s="170" t="s">
        <v>12335</v>
      </c>
      <c r="C59" s="170" t="s">
        <v>385</v>
      </c>
      <c r="D59" s="170" t="s">
        <v>2067</v>
      </c>
      <c r="E59" s="171" t="s">
        <v>31649</v>
      </c>
      <c r="F59" s="171" t="s">
        <v>35091</v>
      </c>
      <c r="G59" s="82"/>
      <c r="H59" s="96">
        <f t="shared" si="0"/>
        <v>45.92</v>
      </c>
      <c r="I59" s="96">
        <f t="shared" si="0"/>
        <v>46.3</v>
      </c>
      <c r="J59" s="91" t="str">
        <f t="shared" si="1"/>
        <v>Sinapi 90694</v>
      </c>
      <c r="K59" s="91" t="str">
        <f t="shared" si="2"/>
        <v>M</v>
      </c>
      <c r="L59" s="166" t="str">
        <f t="shared" si="3"/>
        <v>01/2021</v>
      </c>
      <c r="M59" s="82"/>
      <c r="N59" s="82"/>
    </row>
    <row r="60" spans="1:14" x14ac:dyDescent="0.25">
      <c r="A60" s="170" t="s">
        <v>2053</v>
      </c>
      <c r="B60" s="170" t="s">
        <v>12336</v>
      </c>
      <c r="C60" s="170" t="s">
        <v>385</v>
      </c>
      <c r="D60" s="170" t="s">
        <v>2067</v>
      </c>
      <c r="E60" s="171" t="s">
        <v>31650</v>
      </c>
      <c r="F60" s="171" t="s">
        <v>35092</v>
      </c>
      <c r="G60" s="82"/>
      <c r="H60" s="96">
        <f t="shared" si="0"/>
        <v>87.41</v>
      </c>
      <c r="I60" s="96">
        <f t="shared" si="0"/>
        <v>87.85</v>
      </c>
      <c r="J60" s="91" t="str">
        <f t="shared" si="1"/>
        <v>Sinapi 90695</v>
      </c>
      <c r="K60" s="91" t="str">
        <f t="shared" si="2"/>
        <v>M</v>
      </c>
      <c r="L60" s="166" t="str">
        <f t="shared" si="3"/>
        <v>01/2021</v>
      </c>
      <c r="M60" s="82"/>
      <c r="N60" s="82"/>
    </row>
    <row r="61" spans="1:14" x14ac:dyDescent="0.25">
      <c r="A61" s="170" t="s">
        <v>2054</v>
      </c>
      <c r="B61" s="170" t="s">
        <v>12337</v>
      </c>
      <c r="C61" s="170" t="s">
        <v>385</v>
      </c>
      <c r="D61" s="170" t="s">
        <v>2067</v>
      </c>
      <c r="E61" s="171" t="s">
        <v>31651</v>
      </c>
      <c r="F61" s="171" t="s">
        <v>31317</v>
      </c>
      <c r="G61" s="82"/>
      <c r="H61" s="96">
        <f t="shared" si="0"/>
        <v>146.15</v>
      </c>
      <c r="I61" s="96">
        <f t="shared" si="0"/>
        <v>146.65</v>
      </c>
      <c r="J61" s="91" t="str">
        <f t="shared" si="1"/>
        <v>Sinapi 90696</v>
      </c>
      <c r="K61" s="91" t="str">
        <f t="shared" si="2"/>
        <v>M</v>
      </c>
      <c r="L61" s="166" t="str">
        <f t="shared" si="3"/>
        <v>01/2021</v>
      </c>
      <c r="M61" s="82"/>
      <c r="N61" s="82"/>
    </row>
    <row r="62" spans="1:14" x14ac:dyDescent="0.25">
      <c r="A62" s="170" t="s">
        <v>2055</v>
      </c>
      <c r="B62" s="170" t="s">
        <v>12338</v>
      </c>
      <c r="C62" s="170" t="s">
        <v>385</v>
      </c>
      <c r="D62" s="170" t="s">
        <v>2067</v>
      </c>
      <c r="E62" s="171" t="s">
        <v>28596</v>
      </c>
      <c r="F62" s="171" t="s">
        <v>29361</v>
      </c>
      <c r="G62" s="82"/>
      <c r="H62" s="96">
        <f t="shared" si="0"/>
        <v>226.86</v>
      </c>
      <c r="I62" s="96">
        <f t="shared" si="0"/>
        <v>227.44</v>
      </c>
      <c r="J62" s="91" t="str">
        <f t="shared" si="1"/>
        <v>Sinapi 90697</v>
      </c>
      <c r="K62" s="91" t="str">
        <f t="shared" si="2"/>
        <v>M</v>
      </c>
      <c r="L62" s="166" t="str">
        <f t="shared" si="3"/>
        <v>01/2021</v>
      </c>
      <c r="M62" s="82"/>
      <c r="N62" s="82"/>
    </row>
    <row r="63" spans="1:14" x14ac:dyDescent="0.25">
      <c r="A63" s="170" t="s">
        <v>2056</v>
      </c>
      <c r="B63" s="170" t="s">
        <v>12339</v>
      </c>
      <c r="C63" s="170" t="s">
        <v>385</v>
      </c>
      <c r="D63" s="170" t="s">
        <v>2067</v>
      </c>
      <c r="E63" s="171" t="s">
        <v>31652</v>
      </c>
      <c r="F63" s="171" t="s">
        <v>35093</v>
      </c>
      <c r="G63" s="82"/>
      <c r="H63" s="96">
        <f t="shared" si="0"/>
        <v>346.89</v>
      </c>
      <c r="I63" s="96">
        <f t="shared" si="0"/>
        <v>347.53</v>
      </c>
      <c r="J63" s="91" t="str">
        <f t="shared" si="1"/>
        <v>Sinapi 90698</v>
      </c>
      <c r="K63" s="91" t="str">
        <f t="shared" si="2"/>
        <v>M</v>
      </c>
      <c r="L63" s="166" t="str">
        <f t="shared" si="3"/>
        <v>01/2021</v>
      </c>
      <c r="M63" s="82"/>
      <c r="N63" s="82"/>
    </row>
    <row r="64" spans="1:14" x14ac:dyDescent="0.25">
      <c r="A64" s="170" t="s">
        <v>2057</v>
      </c>
      <c r="B64" s="170" t="s">
        <v>12340</v>
      </c>
      <c r="C64" s="170" t="s">
        <v>385</v>
      </c>
      <c r="D64" s="170" t="s">
        <v>2067</v>
      </c>
      <c r="E64" s="171" t="s">
        <v>31653</v>
      </c>
      <c r="F64" s="171" t="s">
        <v>30128</v>
      </c>
      <c r="G64" s="82"/>
      <c r="H64" s="96">
        <f t="shared" si="0"/>
        <v>488.37</v>
      </c>
      <c r="I64" s="96">
        <f t="shared" si="0"/>
        <v>489.08</v>
      </c>
      <c r="J64" s="91" t="str">
        <f t="shared" si="1"/>
        <v>Sinapi 90699</v>
      </c>
      <c r="K64" s="91" t="str">
        <f t="shared" si="2"/>
        <v>M</v>
      </c>
      <c r="L64" s="166" t="str">
        <f t="shared" si="3"/>
        <v>01/2021</v>
      </c>
      <c r="M64" s="82"/>
      <c r="N64" s="82"/>
    </row>
    <row r="65" spans="1:14" x14ac:dyDescent="0.25">
      <c r="A65" s="170" t="s">
        <v>2058</v>
      </c>
      <c r="B65" s="170" t="s">
        <v>12341</v>
      </c>
      <c r="C65" s="170" t="s">
        <v>385</v>
      </c>
      <c r="D65" s="170" t="s">
        <v>1947</v>
      </c>
      <c r="E65" s="171" t="s">
        <v>31654</v>
      </c>
      <c r="F65" s="171" t="s">
        <v>35094</v>
      </c>
      <c r="G65" s="82"/>
      <c r="H65" s="96">
        <f t="shared" si="0"/>
        <v>570.30999999999995</v>
      </c>
      <c r="I65" s="96">
        <f t="shared" si="0"/>
        <v>570.9</v>
      </c>
      <c r="J65" s="91" t="str">
        <f t="shared" si="1"/>
        <v>Sinapi 90700</v>
      </c>
      <c r="K65" s="91" t="str">
        <f t="shared" si="2"/>
        <v>M</v>
      </c>
      <c r="L65" s="166" t="str">
        <f t="shared" si="3"/>
        <v>01/2021</v>
      </c>
      <c r="M65" s="82"/>
      <c r="N65" s="82"/>
    </row>
    <row r="66" spans="1:14" x14ac:dyDescent="0.25">
      <c r="A66" s="170" t="s">
        <v>2059</v>
      </c>
      <c r="B66" s="170" t="s">
        <v>12342</v>
      </c>
      <c r="C66" s="170" t="s">
        <v>385</v>
      </c>
      <c r="D66" s="170" t="s">
        <v>2067</v>
      </c>
      <c r="E66" s="171" t="s">
        <v>30564</v>
      </c>
      <c r="F66" s="171" t="s">
        <v>35095</v>
      </c>
      <c r="G66" s="82"/>
      <c r="H66" s="96">
        <f t="shared" si="0"/>
        <v>69.760000000000005</v>
      </c>
      <c r="I66" s="96">
        <f t="shared" si="0"/>
        <v>70.239999999999995</v>
      </c>
      <c r="J66" s="91" t="str">
        <f t="shared" si="1"/>
        <v>Sinapi 90701</v>
      </c>
      <c r="K66" s="91" t="str">
        <f t="shared" si="2"/>
        <v>M</v>
      </c>
      <c r="L66" s="166" t="str">
        <f t="shared" si="3"/>
        <v>01/2021</v>
      </c>
      <c r="M66" s="82"/>
      <c r="N66" s="82"/>
    </row>
    <row r="67" spans="1:14" x14ac:dyDescent="0.25">
      <c r="A67" s="170" t="s">
        <v>2060</v>
      </c>
      <c r="B67" s="170" t="s">
        <v>12343</v>
      </c>
      <c r="C67" s="170" t="s">
        <v>385</v>
      </c>
      <c r="D67" s="170" t="s">
        <v>2067</v>
      </c>
      <c r="E67" s="171" t="s">
        <v>31655</v>
      </c>
      <c r="F67" s="171" t="s">
        <v>34533</v>
      </c>
      <c r="G67" s="82"/>
      <c r="H67" s="96">
        <f t="shared" si="0"/>
        <v>115.45</v>
      </c>
      <c r="I67" s="96">
        <f t="shared" si="0"/>
        <v>116</v>
      </c>
      <c r="J67" s="91" t="str">
        <f t="shared" si="1"/>
        <v>Sinapi 90702</v>
      </c>
      <c r="K67" s="91" t="str">
        <f t="shared" si="2"/>
        <v>M</v>
      </c>
      <c r="L67" s="166" t="str">
        <f t="shared" si="3"/>
        <v>01/2021</v>
      </c>
      <c r="M67" s="82"/>
      <c r="N67" s="82"/>
    </row>
    <row r="68" spans="1:14" x14ac:dyDescent="0.25">
      <c r="A68" s="170" t="s">
        <v>2061</v>
      </c>
      <c r="B68" s="170" t="s">
        <v>12344</v>
      </c>
      <c r="C68" s="170" t="s">
        <v>385</v>
      </c>
      <c r="D68" s="170" t="s">
        <v>2067</v>
      </c>
      <c r="E68" s="171" t="s">
        <v>31656</v>
      </c>
      <c r="F68" s="171" t="s">
        <v>35096</v>
      </c>
      <c r="G68" s="82"/>
      <c r="H68" s="96">
        <f t="shared" si="0"/>
        <v>182.71</v>
      </c>
      <c r="I68" s="96">
        <f t="shared" si="0"/>
        <v>183.33</v>
      </c>
      <c r="J68" s="91" t="str">
        <f t="shared" si="1"/>
        <v>Sinapi 90703</v>
      </c>
      <c r="K68" s="91" t="str">
        <f t="shared" si="2"/>
        <v>M</v>
      </c>
      <c r="L68" s="166" t="str">
        <f t="shared" si="3"/>
        <v>01/2021</v>
      </c>
      <c r="M68" s="82"/>
      <c r="N68" s="82"/>
    </row>
    <row r="69" spans="1:14" x14ac:dyDescent="0.25">
      <c r="A69" s="170" t="s">
        <v>2062</v>
      </c>
      <c r="B69" s="170" t="s">
        <v>12345</v>
      </c>
      <c r="C69" s="170" t="s">
        <v>385</v>
      </c>
      <c r="D69" s="170" t="s">
        <v>2067</v>
      </c>
      <c r="E69" s="171" t="s">
        <v>31657</v>
      </c>
      <c r="F69" s="171" t="s">
        <v>35097</v>
      </c>
      <c r="G69" s="82"/>
      <c r="H69" s="96">
        <f t="shared" si="0"/>
        <v>275.05</v>
      </c>
      <c r="I69" s="96">
        <f t="shared" si="0"/>
        <v>275.73</v>
      </c>
      <c r="J69" s="91" t="str">
        <f t="shared" si="1"/>
        <v>Sinapi 90704</v>
      </c>
      <c r="K69" s="91" t="str">
        <f t="shared" si="2"/>
        <v>M</v>
      </c>
      <c r="L69" s="166" t="str">
        <f t="shared" si="3"/>
        <v>01/2021</v>
      </c>
      <c r="M69" s="82"/>
      <c r="N69" s="82"/>
    </row>
    <row r="70" spans="1:14" x14ac:dyDescent="0.25">
      <c r="A70" s="170" t="s">
        <v>2063</v>
      </c>
      <c r="B70" s="170" t="s">
        <v>12346</v>
      </c>
      <c r="C70" s="170" t="s">
        <v>385</v>
      </c>
      <c r="D70" s="170" t="s">
        <v>2067</v>
      </c>
      <c r="E70" s="171" t="s">
        <v>30858</v>
      </c>
      <c r="F70" s="171" t="s">
        <v>35098</v>
      </c>
      <c r="G70" s="82"/>
      <c r="H70" s="96">
        <f t="shared" si="0"/>
        <v>353.76</v>
      </c>
      <c r="I70" s="96">
        <f t="shared" si="0"/>
        <v>354.51</v>
      </c>
      <c r="J70" s="91" t="str">
        <f t="shared" si="1"/>
        <v>Sinapi 90705</v>
      </c>
      <c r="K70" s="91" t="str">
        <f t="shared" si="2"/>
        <v>M</v>
      </c>
      <c r="L70" s="166" t="str">
        <f t="shared" si="3"/>
        <v>01/2021</v>
      </c>
      <c r="M70" s="82"/>
      <c r="N70" s="82"/>
    </row>
    <row r="71" spans="1:14" x14ac:dyDescent="0.25">
      <c r="A71" s="170" t="s">
        <v>2064</v>
      </c>
      <c r="B71" s="170" t="s">
        <v>12347</v>
      </c>
      <c r="C71" s="170" t="s">
        <v>385</v>
      </c>
      <c r="D71" s="170" t="s">
        <v>1947</v>
      </c>
      <c r="E71" s="171" t="s">
        <v>31658</v>
      </c>
      <c r="F71" s="171" t="s">
        <v>35099</v>
      </c>
      <c r="G71" s="82"/>
      <c r="H71" s="96">
        <f t="shared" si="0"/>
        <v>469.35</v>
      </c>
      <c r="I71" s="96">
        <f t="shared" si="0"/>
        <v>470</v>
      </c>
      <c r="J71" s="91" t="str">
        <f t="shared" si="1"/>
        <v>Sinapi 90706</v>
      </c>
      <c r="K71" s="91" t="str">
        <f t="shared" si="2"/>
        <v>M</v>
      </c>
      <c r="L71" s="166" t="str">
        <f t="shared" si="3"/>
        <v>01/2021</v>
      </c>
      <c r="M71" s="82"/>
      <c r="N71" s="82"/>
    </row>
    <row r="72" spans="1:14" x14ac:dyDescent="0.25">
      <c r="A72" s="170" t="s">
        <v>2065</v>
      </c>
      <c r="B72" s="170" t="s">
        <v>12348</v>
      </c>
      <c r="C72" s="170" t="s">
        <v>385</v>
      </c>
      <c r="D72" s="170" t="s">
        <v>1947</v>
      </c>
      <c r="E72" s="171" t="s">
        <v>31659</v>
      </c>
      <c r="F72" s="171" t="s">
        <v>35100</v>
      </c>
      <c r="G72" s="82"/>
      <c r="H72" s="96">
        <f t="shared" ref="H72:I135" si="4">IF(E72="","",E72+0)</f>
        <v>749.76</v>
      </c>
      <c r="I72" s="96">
        <f t="shared" si="4"/>
        <v>750.63</v>
      </c>
      <c r="J72" s="91" t="str">
        <f t="shared" ref="J72:J135" si="5">IF(OR(H72="",I72=""),"",TRIM(CONCATENATE("Sinapi ",A72)))</f>
        <v>Sinapi 90708</v>
      </c>
      <c r="K72" s="91" t="str">
        <f t="shared" ref="K72:K135" si="6">TRIM(C72)</f>
        <v>M</v>
      </c>
      <c r="L72" s="166" t="str">
        <f t="shared" ref="L72:L135" si="7">IF(OR(RIGHT(IF(AND(K72&lt;&gt;"H",K72&lt;&gt;"MES"),RIGHT(B72,7),""),2)="PS",RIGHT(IF(AND(K72&lt;&gt;"H",K72&lt;&gt;"MES"),RIGHT(B72,7),""),2)="PA",RIGHT(IF(AND(K72&lt;&gt;"H",K72&lt;&gt;"MES"),RIGHT(B72,7),""),2)="PE"),LEFT(IF(AND(K72&lt;&gt;"H",K72&lt;&gt;"MES"),RIGHT(B72,10),""),7),IF(AND(K72&lt;&gt;"H",K72&lt;&gt;"MES"),RIGHT(B72,7),""))</f>
        <v>01/2021</v>
      </c>
      <c r="M72" s="82"/>
      <c r="N72" s="82"/>
    </row>
    <row r="73" spans="1:14" x14ac:dyDescent="0.25">
      <c r="A73" s="170" t="s">
        <v>2066</v>
      </c>
      <c r="B73" s="170" t="s">
        <v>12349</v>
      </c>
      <c r="C73" s="170" t="s">
        <v>205</v>
      </c>
      <c r="D73" s="170" t="s">
        <v>2067</v>
      </c>
      <c r="E73" s="171" t="s">
        <v>21514</v>
      </c>
      <c r="F73" s="171" t="s">
        <v>35101</v>
      </c>
      <c r="G73" s="82"/>
      <c r="H73" s="96">
        <f t="shared" si="4"/>
        <v>23.06</v>
      </c>
      <c r="I73" s="96">
        <f t="shared" si="4"/>
        <v>25.57</v>
      </c>
      <c r="J73" s="91" t="str">
        <f t="shared" si="5"/>
        <v>Sinapi 90724</v>
      </c>
      <c r="K73" s="91" t="str">
        <f t="shared" si="6"/>
        <v>UN</v>
      </c>
      <c r="L73" s="166" t="str">
        <f t="shared" si="7"/>
        <v>01/2021</v>
      </c>
      <c r="M73" s="82"/>
      <c r="N73" s="82"/>
    </row>
    <row r="74" spans="1:14" x14ac:dyDescent="0.25">
      <c r="A74" s="170" t="s">
        <v>2068</v>
      </c>
      <c r="B74" s="170" t="s">
        <v>12350</v>
      </c>
      <c r="C74" s="170" t="s">
        <v>205</v>
      </c>
      <c r="D74" s="170" t="s">
        <v>2067</v>
      </c>
      <c r="E74" s="171" t="s">
        <v>19317</v>
      </c>
      <c r="F74" s="171" t="s">
        <v>24649</v>
      </c>
      <c r="G74" s="82"/>
      <c r="H74" s="96">
        <f t="shared" si="4"/>
        <v>28.45</v>
      </c>
      <c r="I74" s="96">
        <f t="shared" si="4"/>
        <v>31.52</v>
      </c>
      <c r="J74" s="91" t="str">
        <f t="shared" si="5"/>
        <v>Sinapi 90725</v>
      </c>
      <c r="K74" s="91" t="str">
        <f t="shared" si="6"/>
        <v>UN</v>
      </c>
      <c r="L74" s="166" t="str">
        <f t="shared" si="7"/>
        <v>01/2021</v>
      </c>
      <c r="M74" s="82"/>
      <c r="N74" s="82"/>
    </row>
    <row r="75" spans="1:14" x14ac:dyDescent="0.25">
      <c r="A75" s="170" t="s">
        <v>2069</v>
      </c>
      <c r="B75" s="170" t="s">
        <v>12351</v>
      </c>
      <c r="C75" s="170" t="s">
        <v>205</v>
      </c>
      <c r="D75" s="170" t="s">
        <v>2067</v>
      </c>
      <c r="E75" s="171" t="s">
        <v>28688</v>
      </c>
      <c r="F75" s="171" t="s">
        <v>20345</v>
      </c>
      <c r="G75" s="82"/>
      <c r="H75" s="96">
        <f t="shared" si="4"/>
        <v>33.92</v>
      </c>
      <c r="I75" s="96">
        <f t="shared" si="4"/>
        <v>37.57</v>
      </c>
      <c r="J75" s="91" t="str">
        <f t="shared" si="5"/>
        <v>Sinapi 90726</v>
      </c>
      <c r="K75" s="91" t="str">
        <f t="shared" si="6"/>
        <v>UN</v>
      </c>
      <c r="L75" s="166" t="str">
        <f t="shared" si="7"/>
        <v>01/2021</v>
      </c>
      <c r="M75" s="82"/>
      <c r="N75" s="82"/>
    </row>
    <row r="76" spans="1:14" x14ac:dyDescent="0.25">
      <c r="A76" s="170" t="s">
        <v>2070</v>
      </c>
      <c r="B76" s="170" t="s">
        <v>12352</v>
      </c>
      <c r="C76" s="170" t="s">
        <v>205</v>
      </c>
      <c r="D76" s="170" t="s">
        <v>2067</v>
      </c>
      <c r="E76" s="171" t="s">
        <v>23165</v>
      </c>
      <c r="F76" s="171" t="s">
        <v>20081</v>
      </c>
      <c r="G76" s="82"/>
      <c r="H76" s="96">
        <f t="shared" si="4"/>
        <v>39.32</v>
      </c>
      <c r="I76" s="96">
        <f t="shared" si="4"/>
        <v>43.52</v>
      </c>
      <c r="J76" s="91" t="str">
        <f t="shared" si="5"/>
        <v>Sinapi 90727</v>
      </c>
      <c r="K76" s="91" t="str">
        <f t="shared" si="6"/>
        <v>UN</v>
      </c>
      <c r="L76" s="166" t="str">
        <f t="shared" si="7"/>
        <v>01/2021</v>
      </c>
      <c r="M76" s="82"/>
      <c r="N76" s="82"/>
    </row>
    <row r="77" spans="1:14" x14ac:dyDescent="0.25">
      <c r="A77" s="170" t="s">
        <v>2071</v>
      </c>
      <c r="B77" s="170" t="s">
        <v>12353</v>
      </c>
      <c r="C77" s="170" t="s">
        <v>205</v>
      </c>
      <c r="D77" s="170" t="s">
        <v>2067</v>
      </c>
      <c r="E77" s="171" t="s">
        <v>31660</v>
      </c>
      <c r="F77" s="171" t="s">
        <v>22030</v>
      </c>
      <c r="G77" s="82"/>
      <c r="H77" s="96">
        <f t="shared" si="4"/>
        <v>44.71</v>
      </c>
      <c r="I77" s="96">
        <f t="shared" si="4"/>
        <v>49.48</v>
      </c>
      <c r="J77" s="91" t="str">
        <f t="shared" si="5"/>
        <v>Sinapi 90728</v>
      </c>
      <c r="K77" s="91" t="str">
        <f t="shared" si="6"/>
        <v>UN</v>
      </c>
      <c r="L77" s="166" t="str">
        <f t="shared" si="7"/>
        <v>01/2021</v>
      </c>
      <c r="M77" s="82"/>
      <c r="N77" s="82"/>
    </row>
    <row r="78" spans="1:14" x14ac:dyDescent="0.25">
      <c r="A78" s="170" t="s">
        <v>2072</v>
      </c>
      <c r="B78" s="170" t="s">
        <v>12354</v>
      </c>
      <c r="C78" s="170" t="s">
        <v>205</v>
      </c>
      <c r="D78" s="170" t="s">
        <v>2067</v>
      </c>
      <c r="E78" s="171" t="s">
        <v>31661</v>
      </c>
      <c r="F78" s="171" t="s">
        <v>35102</v>
      </c>
      <c r="G78" s="82"/>
      <c r="H78" s="96">
        <f t="shared" si="4"/>
        <v>50.1</v>
      </c>
      <c r="I78" s="96">
        <f t="shared" si="4"/>
        <v>55.43</v>
      </c>
      <c r="J78" s="91" t="str">
        <f t="shared" si="5"/>
        <v>Sinapi 90729</v>
      </c>
      <c r="K78" s="91" t="str">
        <f t="shared" si="6"/>
        <v>UN</v>
      </c>
      <c r="L78" s="166" t="str">
        <f t="shared" si="7"/>
        <v>01/2021</v>
      </c>
      <c r="M78" s="82"/>
      <c r="N78" s="82"/>
    </row>
    <row r="79" spans="1:14" x14ac:dyDescent="0.25">
      <c r="A79" s="170" t="s">
        <v>2073</v>
      </c>
      <c r="B79" s="170" t="s">
        <v>12355</v>
      </c>
      <c r="C79" s="170" t="s">
        <v>205</v>
      </c>
      <c r="D79" s="170" t="s">
        <v>2067</v>
      </c>
      <c r="E79" s="171" t="s">
        <v>31662</v>
      </c>
      <c r="F79" s="171" t="s">
        <v>34982</v>
      </c>
      <c r="G79" s="82"/>
      <c r="H79" s="96">
        <f t="shared" si="4"/>
        <v>55.5</v>
      </c>
      <c r="I79" s="96">
        <f t="shared" si="4"/>
        <v>61.39</v>
      </c>
      <c r="J79" s="91" t="str">
        <f t="shared" si="5"/>
        <v>Sinapi 90730</v>
      </c>
      <c r="K79" s="91" t="str">
        <f t="shared" si="6"/>
        <v>UN</v>
      </c>
      <c r="L79" s="166" t="str">
        <f t="shared" si="7"/>
        <v>01/2021</v>
      </c>
      <c r="M79" s="82"/>
      <c r="N79" s="82"/>
    </row>
    <row r="80" spans="1:14" x14ac:dyDescent="0.25">
      <c r="A80" s="170" t="s">
        <v>2074</v>
      </c>
      <c r="B80" s="170" t="s">
        <v>12356</v>
      </c>
      <c r="C80" s="170" t="s">
        <v>205</v>
      </c>
      <c r="D80" s="170" t="s">
        <v>2067</v>
      </c>
      <c r="E80" s="171" t="s">
        <v>28845</v>
      </c>
      <c r="F80" s="171" t="s">
        <v>30193</v>
      </c>
      <c r="G80" s="82"/>
      <c r="H80" s="96">
        <f t="shared" si="4"/>
        <v>60.89</v>
      </c>
      <c r="I80" s="96">
        <f t="shared" si="4"/>
        <v>67.34</v>
      </c>
      <c r="J80" s="91" t="str">
        <f t="shared" si="5"/>
        <v>Sinapi 90731</v>
      </c>
      <c r="K80" s="91" t="str">
        <f t="shared" si="6"/>
        <v>UN</v>
      </c>
      <c r="L80" s="166" t="str">
        <f t="shared" si="7"/>
        <v>01/2021</v>
      </c>
      <c r="M80" s="82"/>
      <c r="N80" s="82"/>
    </row>
    <row r="81" spans="1:14" x14ac:dyDescent="0.25">
      <c r="A81" s="170" t="s">
        <v>2075</v>
      </c>
      <c r="B81" s="170" t="s">
        <v>12357</v>
      </c>
      <c r="C81" s="170" t="s">
        <v>205</v>
      </c>
      <c r="D81" s="170" t="s">
        <v>2067</v>
      </c>
      <c r="E81" s="171" t="s">
        <v>22825</v>
      </c>
      <c r="F81" s="171" t="s">
        <v>35103</v>
      </c>
      <c r="G81" s="82"/>
      <c r="H81" s="96">
        <f t="shared" si="4"/>
        <v>77.06</v>
      </c>
      <c r="I81" s="96">
        <f t="shared" si="4"/>
        <v>85.21</v>
      </c>
      <c r="J81" s="91" t="str">
        <f t="shared" si="5"/>
        <v>Sinapi 90732</v>
      </c>
      <c r="K81" s="91" t="str">
        <f t="shared" si="6"/>
        <v>UN</v>
      </c>
      <c r="L81" s="166" t="str">
        <f t="shared" si="7"/>
        <v>01/2021</v>
      </c>
      <c r="M81" s="82"/>
      <c r="N81" s="82"/>
    </row>
    <row r="82" spans="1:14" x14ac:dyDescent="0.25">
      <c r="A82" s="170" t="s">
        <v>2076</v>
      </c>
      <c r="B82" s="170" t="s">
        <v>12358</v>
      </c>
      <c r="C82" s="170" t="s">
        <v>385</v>
      </c>
      <c r="D82" s="170" t="s">
        <v>2067</v>
      </c>
      <c r="E82" s="171" t="s">
        <v>13851</v>
      </c>
      <c r="F82" s="171" t="s">
        <v>21122</v>
      </c>
      <c r="G82" s="82"/>
      <c r="H82" s="96">
        <f t="shared" si="4"/>
        <v>3.17</v>
      </c>
      <c r="I82" s="96">
        <f t="shared" si="4"/>
        <v>3.55</v>
      </c>
      <c r="J82" s="91" t="str">
        <f t="shared" si="5"/>
        <v>Sinapi 90733</v>
      </c>
      <c r="K82" s="91" t="str">
        <f t="shared" si="6"/>
        <v>M</v>
      </c>
      <c r="L82" s="166" t="str">
        <f t="shared" si="7"/>
        <v>01/2021</v>
      </c>
      <c r="M82" s="82"/>
      <c r="N82" s="82"/>
    </row>
    <row r="83" spans="1:14" x14ac:dyDescent="0.25">
      <c r="A83" s="170" t="s">
        <v>2078</v>
      </c>
      <c r="B83" s="170" t="s">
        <v>12359</v>
      </c>
      <c r="C83" s="170" t="s">
        <v>385</v>
      </c>
      <c r="D83" s="170" t="s">
        <v>2067</v>
      </c>
      <c r="E83" s="171" t="s">
        <v>18602</v>
      </c>
      <c r="F83" s="171" t="s">
        <v>20032</v>
      </c>
      <c r="G83" s="82"/>
      <c r="H83" s="96">
        <f t="shared" si="4"/>
        <v>3.76</v>
      </c>
      <c r="I83" s="96">
        <f t="shared" si="4"/>
        <v>4.2</v>
      </c>
      <c r="J83" s="91" t="str">
        <f t="shared" si="5"/>
        <v>Sinapi 90734</v>
      </c>
      <c r="K83" s="91" t="str">
        <f t="shared" si="6"/>
        <v>M</v>
      </c>
      <c r="L83" s="166" t="str">
        <f t="shared" si="7"/>
        <v>01/2021</v>
      </c>
      <c r="M83" s="82"/>
      <c r="N83" s="82"/>
    </row>
    <row r="84" spans="1:14" x14ac:dyDescent="0.25">
      <c r="A84" s="170" t="s">
        <v>2080</v>
      </c>
      <c r="B84" s="170" t="s">
        <v>12360</v>
      </c>
      <c r="C84" s="170" t="s">
        <v>385</v>
      </c>
      <c r="D84" s="170" t="s">
        <v>2067</v>
      </c>
      <c r="E84" s="171" t="s">
        <v>22760</v>
      </c>
      <c r="F84" s="171" t="s">
        <v>32027</v>
      </c>
      <c r="G84" s="82"/>
      <c r="H84" s="96">
        <f t="shared" si="4"/>
        <v>4.3499999999999996</v>
      </c>
      <c r="I84" s="96">
        <f t="shared" si="4"/>
        <v>4.8499999999999996</v>
      </c>
      <c r="J84" s="91" t="str">
        <f t="shared" si="5"/>
        <v>Sinapi 90735</v>
      </c>
      <c r="K84" s="91" t="str">
        <f t="shared" si="6"/>
        <v>M</v>
      </c>
      <c r="L84" s="166" t="str">
        <f t="shared" si="7"/>
        <v>01/2021</v>
      </c>
      <c r="M84" s="82"/>
      <c r="N84" s="82"/>
    </row>
    <row r="85" spans="1:14" x14ac:dyDescent="0.25">
      <c r="A85" s="170" t="s">
        <v>2081</v>
      </c>
      <c r="B85" s="170" t="s">
        <v>12361</v>
      </c>
      <c r="C85" s="170" t="s">
        <v>385</v>
      </c>
      <c r="D85" s="170" t="s">
        <v>2067</v>
      </c>
      <c r="E85" s="171" t="s">
        <v>18599</v>
      </c>
      <c r="F85" s="171" t="s">
        <v>13837</v>
      </c>
      <c r="G85" s="82"/>
      <c r="H85" s="96">
        <f t="shared" si="4"/>
        <v>4.93</v>
      </c>
      <c r="I85" s="96">
        <f t="shared" si="4"/>
        <v>5.51</v>
      </c>
      <c r="J85" s="91" t="str">
        <f t="shared" si="5"/>
        <v>Sinapi 90736</v>
      </c>
      <c r="K85" s="91" t="str">
        <f t="shared" si="6"/>
        <v>M</v>
      </c>
      <c r="L85" s="166" t="str">
        <f t="shared" si="7"/>
        <v>01/2021</v>
      </c>
      <c r="M85" s="82"/>
      <c r="N85" s="82"/>
    </row>
    <row r="86" spans="1:14" x14ac:dyDescent="0.25">
      <c r="A86" s="170" t="s">
        <v>2082</v>
      </c>
      <c r="B86" s="170" t="s">
        <v>12362</v>
      </c>
      <c r="C86" s="170" t="s">
        <v>385</v>
      </c>
      <c r="D86" s="170" t="s">
        <v>2067</v>
      </c>
      <c r="E86" s="171" t="s">
        <v>18606</v>
      </c>
      <c r="F86" s="171" t="s">
        <v>15565</v>
      </c>
      <c r="G86" s="82"/>
      <c r="H86" s="96">
        <f t="shared" si="4"/>
        <v>5.52</v>
      </c>
      <c r="I86" s="96">
        <f t="shared" si="4"/>
        <v>6.16</v>
      </c>
      <c r="J86" s="91" t="str">
        <f t="shared" si="5"/>
        <v>Sinapi 90737</v>
      </c>
      <c r="K86" s="91" t="str">
        <f t="shared" si="6"/>
        <v>M</v>
      </c>
      <c r="L86" s="166" t="str">
        <f t="shared" si="7"/>
        <v>01/2021</v>
      </c>
      <c r="M86" s="82"/>
      <c r="N86" s="82"/>
    </row>
    <row r="87" spans="1:14" x14ac:dyDescent="0.25">
      <c r="A87" s="170" t="s">
        <v>2083</v>
      </c>
      <c r="B87" s="170" t="s">
        <v>12363</v>
      </c>
      <c r="C87" s="170" t="s">
        <v>385</v>
      </c>
      <c r="D87" s="170" t="s">
        <v>2067</v>
      </c>
      <c r="E87" s="171" t="s">
        <v>5176</v>
      </c>
      <c r="F87" s="171" t="s">
        <v>25886</v>
      </c>
      <c r="G87" s="82"/>
      <c r="H87" s="96">
        <f t="shared" si="4"/>
        <v>6.11</v>
      </c>
      <c r="I87" s="96">
        <f t="shared" si="4"/>
        <v>6.82</v>
      </c>
      <c r="J87" s="91" t="str">
        <f t="shared" si="5"/>
        <v>Sinapi 90738</v>
      </c>
      <c r="K87" s="91" t="str">
        <f t="shared" si="6"/>
        <v>M</v>
      </c>
      <c r="L87" s="166" t="str">
        <f t="shared" si="7"/>
        <v>01/2021</v>
      </c>
      <c r="M87" s="82"/>
      <c r="N87" s="82"/>
    </row>
    <row r="88" spans="1:14" x14ac:dyDescent="0.25">
      <c r="A88" s="170" t="s">
        <v>2085</v>
      </c>
      <c r="B88" s="170" t="s">
        <v>12364</v>
      </c>
      <c r="C88" s="170" t="s">
        <v>385</v>
      </c>
      <c r="D88" s="170" t="s">
        <v>1947</v>
      </c>
      <c r="E88" s="171" t="s">
        <v>29168</v>
      </c>
      <c r="F88" s="171" t="s">
        <v>18625</v>
      </c>
      <c r="G88" s="82"/>
      <c r="H88" s="96">
        <f t="shared" si="4"/>
        <v>8.69</v>
      </c>
      <c r="I88" s="96">
        <f t="shared" si="4"/>
        <v>9.2799999999999994</v>
      </c>
      <c r="J88" s="91" t="str">
        <f t="shared" si="5"/>
        <v>Sinapi 90739</v>
      </c>
      <c r="K88" s="91" t="str">
        <f t="shared" si="6"/>
        <v>M</v>
      </c>
      <c r="L88" s="166" t="str">
        <f t="shared" si="7"/>
        <v>01/2021</v>
      </c>
      <c r="M88" s="82"/>
      <c r="N88" s="82"/>
    </row>
    <row r="89" spans="1:14" x14ac:dyDescent="0.25">
      <c r="A89" s="170" t="s">
        <v>2086</v>
      </c>
      <c r="B89" s="170" t="s">
        <v>12365</v>
      </c>
      <c r="C89" s="170" t="s">
        <v>385</v>
      </c>
      <c r="D89" s="170" t="s">
        <v>2067</v>
      </c>
      <c r="E89" s="171" t="s">
        <v>14317</v>
      </c>
      <c r="F89" s="171" t="s">
        <v>21384</v>
      </c>
      <c r="G89" s="82"/>
      <c r="H89" s="96">
        <f t="shared" si="4"/>
        <v>4.1900000000000004</v>
      </c>
      <c r="I89" s="96">
        <f t="shared" si="4"/>
        <v>4.67</v>
      </c>
      <c r="J89" s="91" t="str">
        <f t="shared" si="5"/>
        <v>Sinapi 90740</v>
      </c>
      <c r="K89" s="91" t="str">
        <f t="shared" si="6"/>
        <v>M</v>
      </c>
      <c r="L89" s="166" t="str">
        <f t="shared" si="7"/>
        <v>01/2021</v>
      </c>
      <c r="M89" s="82"/>
      <c r="N89" s="82"/>
    </row>
    <row r="90" spans="1:14" x14ac:dyDescent="0.25">
      <c r="A90" s="170" t="s">
        <v>2087</v>
      </c>
      <c r="B90" s="170" t="s">
        <v>12366</v>
      </c>
      <c r="C90" s="170" t="s">
        <v>385</v>
      </c>
      <c r="D90" s="170" t="s">
        <v>2067</v>
      </c>
      <c r="E90" s="171" t="s">
        <v>23205</v>
      </c>
      <c r="F90" s="171" t="s">
        <v>5226</v>
      </c>
      <c r="G90" s="82"/>
      <c r="H90" s="96">
        <f t="shared" si="4"/>
        <v>4.78</v>
      </c>
      <c r="I90" s="96">
        <f t="shared" si="4"/>
        <v>5.33</v>
      </c>
      <c r="J90" s="91" t="str">
        <f t="shared" si="5"/>
        <v>Sinapi 90741</v>
      </c>
      <c r="K90" s="91" t="str">
        <f t="shared" si="6"/>
        <v>M</v>
      </c>
      <c r="L90" s="166" t="str">
        <f t="shared" si="7"/>
        <v>01/2021</v>
      </c>
      <c r="M90" s="82"/>
      <c r="N90" s="82"/>
    </row>
    <row r="91" spans="1:14" x14ac:dyDescent="0.25">
      <c r="A91" s="170" t="s">
        <v>2089</v>
      </c>
      <c r="B91" s="170" t="s">
        <v>12367</v>
      </c>
      <c r="C91" s="170" t="s">
        <v>385</v>
      </c>
      <c r="D91" s="170" t="s">
        <v>2067</v>
      </c>
      <c r="E91" s="171" t="s">
        <v>17386</v>
      </c>
      <c r="F91" s="171" t="s">
        <v>23381</v>
      </c>
      <c r="G91" s="82"/>
      <c r="H91" s="96">
        <f t="shared" si="4"/>
        <v>5.36</v>
      </c>
      <c r="I91" s="96">
        <f t="shared" si="4"/>
        <v>5.98</v>
      </c>
      <c r="J91" s="91" t="str">
        <f t="shared" si="5"/>
        <v>Sinapi 90742</v>
      </c>
      <c r="K91" s="91" t="str">
        <f t="shared" si="6"/>
        <v>M</v>
      </c>
      <c r="L91" s="166" t="str">
        <f t="shared" si="7"/>
        <v>01/2021</v>
      </c>
      <c r="M91" s="82"/>
      <c r="N91" s="82"/>
    </row>
    <row r="92" spans="1:14" x14ac:dyDescent="0.25">
      <c r="A92" s="170" t="s">
        <v>2091</v>
      </c>
      <c r="B92" s="170" t="s">
        <v>12368</v>
      </c>
      <c r="C92" s="170" t="s">
        <v>385</v>
      </c>
      <c r="D92" s="170" t="s">
        <v>2067</v>
      </c>
      <c r="E92" s="171" t="s">
        <v>19265</v>
      </c>
      <c r="F92" s="171" t="s">
        <v>5238</v>
      </c>
      <c r="G92" s="82"/>
      <c r="H92" s="96">
        <f t="shared" si="4"/>
        <v>5.96</v>
      </c>
      <c r="I92" s="96">
        <f t="shared" si="4"/>
        <v>6.64</v>
      </c>
      <c r="J92" s="91" t="str">
        <f t="shared" si="5"/>
        <v>Sinapi 90743</v>
      </c>
      <c r="K92" s="91" t="str">
        <f t="shared" si="6"/>
        <v>M</v>
      </c>
      <c r="L92" s="166" t="str">
        <f t="shared" si="7"/>
        <v>01/2021</v>
      </c>
      <c r="M92" s="82"/>
      <c r="N92" s="82"/>
    </row>
    <row r="93" spans="1:14" x14ac:dyDescent="0.25">
      <c r="A93" s="170" t="s">
        <v>2093</v>
      </c>
      <c r="B93" s="170" t="s">
        <v>12369</v>
      </c>
      <c r="C93" s="170" t="s">
        <v>385</v>
      </c>
      <c r="D93" s="170" t="s">
        <v>2067</v>
      </c>
      <c r="E93" s="171" t="s">
        <v>13855</v>
      </c>
      <c r="F93" s="171" t="s">
        <v>24627</v>
      </c>
      <c r="G93" s="82"/>
      <c r="H93" s="96">
        <f t="shared" si="4"/>
        <v>6.54</v>
      </c>
      <c r="I93" s="96">
        <f t="shared" si="4"/>
        <v>7.29</v>
      </c>
      <c r="J93" s="91" t="str">
        <f t="shared" si="5"/>
        <v>Sinapi 90744</v>
      </c>
      <c r="K93" s="91" t="str">
        <f t="shared" si="6"/>
        <v>M</v>
      </c>
      <c r="L93" s="166" t="str">
        <f t="shared" si="7"/>
        <v>01/2021</v>
      </c>
      <c r="M93" s="82"/>
      <c r="N93" s="82"/>
    </row>
    <row r="94" spans="1:14" x14ac:dyDescent="0.25">
      <c r="A94" s="170" t="s">
        <v>2094</v>
      </c>
      <c r="B94" s="170" t="s">
        <v>12370</v>
      </c>
      <c r="C94" s="170" t="s">
        <v>385</v>
      </c>
      <c r="D94" s="170" t="s">
        <v>1947</v>
      </c>
      <c r="E94" s="171" t="s">
        <v>21837</v>
      </c>
      <c r="F94" s="171" t="s">
        <v>17353</v>
      </c>
      <c r="G94" s="82"/>
      <c r="H94" s="96">
        <f t="shared" si="4"/>
        <v>9.6999999999999993</v>
      </c>
      <c r="I94" s="96">
        <f t="shared" si="4"/>
        <v>10.35</v>
      </c>
      <c r="J94" s="91" t="str">
        <f t="shared" si="5"/>
        <v>Sinapi 90745</v>
      </c>
      <c r="K94" s="91" t="str">
        <f t="shared" si="6"/>
        <v>M</v>
      </c>
      <c r="L94" s="166" t="str">
        <f t="shared" si="7"/>
        <v>01/2021</v>
      </c>
      <c r="M94" s="82"/>
      <c r="N94" s="82"/>
    </row>
    <row r="95" spans="1:14" x14ac:dyDescent="0.25">
      <c r="A95" s="170" t="s">
        <v>2095</v>
      </c>
      <c r="B95" s="170" t="s">
        <v>12371</v>
      </c>
      <c r="C95" s="170" t="s">
        <v>385</v>
      </c>
      <c r="D95" s="170" t="s">
        <v>2067</v>
      </c>
      <c r="E95" s="171" t="s">
        <v>21053</v>
      </c>
      <c r="F95" s="171" t="s">
        <v>17446</v>
      </c>
      <c r="G95" s="82"/>
      <c r="H95" s="96">
        <f t="shared" si="4"/>
        <v>3.43</v>
      </c>
      <c r="I95" s="96">
        <f t="shared" si="4"/>
        <v>3.83</v>
      </c>
      <c r="J95" s="91" t="str">
        <f t="shared" si="5"/>
        <v>Sinapi 90746</v>
      </c>
      <c r="K95" s="91" t="str">
        <f t="shared" si="6"/>
        <v>M</v>
      </c>
      <c r="L95" s="166" t="str">
        <f t="shared" si="7"/>
        <v>01/2021</v>
      </c>
      <c r="M95" s="82"/>
      <c r="N95" s="82"/>
    </row>
    <row r="96" spans="1:14" x14ac:dyDescent="0.25">
      <c r="A96" s="170" t="s">
        <v>2096</v>
      </c>
      <c r="B96" s="170" t="s">
        <v>12372</v>
      </c>
      <c r="C96" s="170" t="s">
        <v>385</v>
      </c>
      <c r="D96" s="170" t="s">
        <v>1947</v>
      </c>
      <c r="E96" s="171" t="s">
        <v>15551</v>
      </c>
      <c r="F96" s="171" t="s">
        <v>21907</v>
      </c>
      <c r="G96" s="82"/>
      <c r="H96" s="96">
        <f t="shared" si="4"/>
        <v>16.670000000000002</v>
      </c>
      <c r="I96" s="96">
        <f t="shared" si="4"/>
        <v>17.54</v>
      </c>
      <c r="J96" s="91" t="str">
        <f t="shared" si="5"/>
        <v>Sinapi 90747</v>
      </c>
      <c r="K96" s="91" t="str">
        <f t="shared" si="6"/>
        <v>M</v>
      </c>
      <c r="L96" s="166" t="str">
        <f t="shared" si="7"/>
        <v>01/2021</v>
      </c>
      <c r="M96" s="82"/>
      <c r="N96" s="82"/>
    </row>
    <row r="97" spans="1:14" x14ac:dyDescent="0.25">
      <c r="A97" s="170" t="s">
        <v>2101</v>
      </c>
      <c r="B97" s="170" t="s">
        <v>12373</v>
      </c>
      <c r="C97" s="170" t="s">
        <v>385</v>
      </c>
      <c r="D97" s="170" t="s">
        <v>1947</v>
      </c>
      <c r="E97" s="171" t="s">
        <v>31663</v>
      </c>
      <c r="F97" s="171" t="s">
        <v>35104</v>
      </c>
      <c r="G97" s="82"/>
      <c r="H97" s="96">
        <f t="shared" si="4"/>
        <v>132.26</v>
      </c>
      <c r="I97" s="96">
        <f t="shared" si="4"/>
        <v>132.36000000000001</v>
      </c>
      <c r="J97" s="91" t="str">
        <f t="shared" si="5"/>
        <v>Sinapi 94869</v>
      </c>
      <c r="K97" s="91" t="str">
        <f t="shared" si="6"/>
        <v>M</v>
      </c>
      <c r="L97" s="166" t="str">
        <f t="shared" si="7"/>
        <v>01/2021</v>
      </c>
      <c r="M97" s="82"/>
      <c r="N97" s="82"/>
    </row>
    <row r="98" spans="1:14" x14ac:dyDescent="0.25">
      <c r="A98" s="170" t="s">
        <v>2102</v>
      </c>
      <c r="B98" s="170" t="s">
        <v>12374</v>
      </c>
      <c r="C98" s="170" t="s">
        <v>385</v>
      </c>
      <c r="D98" s="170" t="s">
        <v>2067</v>
      </c>
      <c r="E98" s="171" t="s">
        <v>19417</v>
      </c>
      <c r="F98" s="171" t="s">
        <v>19860</v>
      </c>
      <c r="G98" s="82"/>
      <c r="H98" s="96">
        <f t="shared" si="4"/>
        <v>2.0299999999999998</v>
      </c>
      <c r="I98" s="96">
        <f t="shared" si="4"/>
        <v>2.13</v>
      </c>
      <c r="J98" s="91" t="str">
        <f t="shared" si="5"/>
        <v>Sinapi 94870</v>
      </c>
      <c r="K98" s="91" t="str">
        <f t="shared" si="6"/>
        <v>M</v>
      </c>
      <c r="L98" s="166" t="str">
        <f t="shared" si="7"/>
        <v>01/2021</v>
      </c>
      <c r="M98" s="82"/>
      <c r="N98" s="82"/>
    </row>
    <row r="99" spans="1:14" x14ac:dyDescent="0.25">
      <c r="A99" s="170" t="s">
        <v>2104</v>
      </c>
      <c r="B99" s="170" t="s">
        <v>12375</v>
      </c>
      <c r="C99" s="170" t="s">
        <v>385</v>
      </c>
      <c r="D99" s="170" t="s">
        <v>1947</v>
      </c>
      <c r="E99" s="171" t="s">
        <v>31664</v>
      </c>
      <c r="F99" s="171" t="s">
        <v>28795</v>
      </c>
      <c r="G99" s="82"/>
      <c r="H99" s="96">
        <f t="shared" si="4"/>
        <v>206.8</v>
      </c>
      <c r="I99" s="96">
        <f t="shared" si="4"/>
        <v>206.98</v>
      </c>
      <c r="J99" s="91" t="str">
        <f t="shared" si="5"/>
        <v>Sinapi 94871</v>
      </c>
      <c r="K99" s="91" t="str">
        <f t="shared" si="6"/>
        <v>M</v>
      </c>
      <c r="L99" s="166" t="str">
        <f t="shared" si="7"/>
        <v>01/2021</v>
      </c>
      <c r="M99" s="82"/>
      <c r="N99" s="82"/>
    </row>
    <row r="100" spans="1:14" x14ac:dyDescent="0.25">
      <c r="A100" s="170" t="s">
        <v>2105</v>
      </c>
      <c r="B100" s="170" t="s">
        <v>12376</v>
      </c>
      <c r="C100" s="170" t="s">
        <v>385</v>
      </c>
      <c r="D100" s="170" t="s">
        <v>2067</v>
      </c>
      <c r="E100" s="171" t="s">
        <v>21000</v>
      </c>
      <c r="F100" s="171" t="s">
        <v>23874</v>
      </c>
      <c r="G100" s="82"/>
      <c r="H100" s="96">
        <f t="shared" si="4"/>
        <v>2.78</v>
      </c>
      <c r="I100" s="96">
        <f t="shared" si="4"/>
        <v>2.96</v>
      </c>
      <c r="J100" s="91" t="str">
        <f t="shared" si="5"/>
        <v>Sinapi 94872</v>
      </c>
      <c r="K100" s="91" t="str">
        <f t="shared" si="6"/>
        <v>M</v>
      </c>
      <c r="L100" s="166" t="str">
        <f t="shared" si="7"/>
        <v>01/2021</v>
      </c>
      <c r="M100" s="82"/>
      <c r="N100" s="82"/>
    </row>
    <row r="101" spans="1:14" x14ac:dyDescent="0.25">
      <c r="A101" s="170" t="s">
        <v>2106</v>
      </c>
      <c r="B101" s="170" t="s">
        <v>12377</v>
      </c>
      <c r="C101" s="170" t="s">
        <v>385</v>
      </c>
      <c r="D101" s="170" t="s">
        <v>1947</v>
      </c>
      <c r="E101" s="171" t="s">
        <v>31665</v>
      </c>
      <c r="F101" s="171" t="s">
        <v>35105</v>
      </c>
      <c r="G101" s="82"/>
      <c r="H101" s="96">
        <f t="shared" si="4"/>
        <v>1217.32</v>
      </c>
      <c r="I101" s="96">
        <f t="shared" si="4"/>
        <v>1218.6400000000001</v>
      </c>
      <c r="J101" s="91" t="str">
        <f t="shared" si="5"/>
        <v>Sinapi 94875</v>
      </c>
      <c r="K101" s="91" t="str">
        <f t="shared" si="6"/>
        <v>M</v>
      </c>
      <c r="L101" s="166" t="str">
        <f t="shared" si="7"/>
        <v>01/2021</v>
      </c>
      <c r="M101" s="82"/>
      <c r="N101" s="82"/>
    </row>
    <row r="102" spans="1:14" x14ac:dyDescent="0.25">
      <c r="A102" s="170" t="s">
        <v>2107</v>
      </c>
      <c r="B102" s="170" t="s">
        <v>12378</v>
      </c>
      <c r="C102" s="170" t="s">
        <v>385</v>
      </c>
      <c r="D102" s="170" t="s">
        <v>1947</v>
      </c>
      <c r="E102" s="171" t="s">
        <v>31666</v>
      </c>
      <c r="F102" s="171" t="s">
        <v>31136</v>
      </c>
      <c r="G102" s="82"/>
      <c r="H102" s="96">
        <f t="shared" si="4"/>
        <v>28.53</v>
      </c>
      <c r="I102" s="96">
        <f t="shared" si="4"/>
        <v>29.85</v>
      </c>
      <c r="J102" s="91" t="str">
        <f t="shared" si="5"/>
        <v>Sinapi 94876</v>
      </c>
      <c r="K102" s="91" t="str">
        <f t="shared" si="6"/>
        <v>M</v>
      </c>
      <c r="L102" s="166" t="str">
        <f t="shared" si="7"/>
        <v>01/2021</v>
      </c>
      <c r="M102" s="82"/>
      <c r="N102" s="82"/>
    </row>
    <row r="103" spans="1:14" x14ac:dyDescent="0.25">
      <c r="A103" s="170" t="s">
        <v>2108</v>
      </c>
      <c r="B103" s="170" t="s">
        <v>13402</v>
      </c>
      <c r="C103" s="170" t="s">
        <v>385</v>
      </c>
      <c r="D103" s="170" t="s">
        <v>1947</v>
      </c>
      <c r="E103" s="171" t="s">
        <v>31667</v>
      </c>
      <c r="F103" s="171" t="s">
        <v>21119</v>
      </c>
      <c r="G103" s="82"/>
      <c r="H103" s="96">
        <f t="shared" si="4"/>
        <v>32.92</v>
      </c>
      <c r="I103" s="96">
        <f t="shared" si="4"/>
        <v>34.47</v>
      </c>
      <c r="J103" s="91" t="str">
        <f t="shared" si="5"/>
        <v>Sinapi 94878</v>
      </c>
      <c r="K103" s="91" t="str">
        <f t="shared" si="6"/>
        <v>M</v>
      </c>
      <c r="L103" s="166" t="str">
        <f t="shared" si="7"/>
        <v>01/2021</v>
      </c>
      <c r="M103" s="82"/>
      <c r="N103" s="82"/>
    </row>
    <row r="104" spans="1:14" x14ac:dyDescent="0.25">
      <c r="A104" s="170" t="s">
        <v>2109</v>
      </c>
      <c r="B104" s="170" t="s">
        <v>13403</v>
      </c>
      <c r="C104" s="170" t="s">
        <v>385</v>
      </c>
      <c r="D104" s="170" t="s">
        <v>1947</v>
      </c>
      <c r="E104" s="171" t="s">
        <v>31668</v>
      </c>
      <c r="F104" s="171" t="s">
        <v>35106</v>
      </c>
      <c r="G104" s="82"/>
      <c r="H104" s="96">
        <f t="shared" si="4"/>
        <v>1874.19</v>
      </c>
      <c r="I104" s="96">
        <f t="shared" si="4"/>
        <v>1876.1</v>
      </c>
      <c r="J104" s="91" t="str">
        <f t="shared" si="5"/>
        <v>Sinapi 94879</v>
      </c>
      <c r="K104" s="91" t="str">
        <f t="shared" si="6"/>
        <v>M</v>
      </c>
      <c r="L104" s="166" t="str">
        <f t="shared" si="7"/>
        <v>01/2021</v>
      </c>
      <c r="M104" s="82"/>
      <c r="N104" s="82"/>
    </row>
    <row r="105" spans="1:14" x14ac:dyDescent="0.25">
      <c r="A105" s="170" t="s">
        <v>2110</v>
      </c>
      <c r="B105" s="170" t="s">
        <v>13404</v>
      </c>
      <c r="C105" s="170" t="s">
        <v>385</v>
      </c>
      <c r="D105" s="170" t="s">
        <v>1947</v>
      </c>
      <c r="E105" s="171" t="s">
        <v>22995</v>
      </c>
      <c r="F105" s="171" t="s">
        <v>22980</v>
      </c>
      <c r="G105" s="82"/>
      <c r="H105" s="96">
        <f t="shared" si="4"/>
        <v>42.87</v>
      </c>
      <c r="I105" s="96">
        <f t="shared" si="4"/>
        <v>44.78</v>
      </c>
      <c r="J105" s="91" t="str">
        <f t="shared" si="5"/>
        <v>Sinapi 94880</v>
      </c>
      <c r="K105" s="91" t="str">
        <f t="shared" si="6"/>
        <v>M</v>
      </c>
      <c r="L105" s="166" t="str">
        <f t="shared" si="7"/>
        <v>01/2021</v>
      </c>
      <c r="M105" s="82"/>
      <c r="N105" s="82"/>
    </row>
    <row r="106" spans="1:14" x14ac:dyDescent="0.25">
      <c r="A106" s="170" t="s">
        <v>2111</v>
      </c>
      <c r="B106" s="170" t="s">
        <v>13405</v>
      </c>
      <c r="C106" s="170" t="s">
        <v>385</v>
      </c>
      <c r="D106" s="170" t="s">
        <v>1947</v>
      </c>
      <c r="E106" s="171" t="s">
        <v>31669</v>
      </c>
      <c r="F106" s="171" t="s">
        <v>35107</v>
      </c>
      <c r="G106" s="82"/>
      <c r="H106" s="96">
        <f t="shared" si="4"/>
        <v>2580.63</v>
      </c>
      <c r="I106" s="96">
        <f t="shared" si="4"/>
        <v>2582.88</v>
      </c>
      <c r="J106" s="91" t="str">
        <f t="shared" si="5"/>
        <v>Sinapi 94881</v>
      </c>
      <c r="K106" s="91" t="str">
        <f t="shared" si="6"/>
        <v>M</v>
      </c>
      <c r="L106" s="166" t="str">
        <f t="shared" si="7"/>
        <v>01/2021</v>
      </c>
      <c r="M106" s="82"/>
      <c r="N106" s="82"/>
    </row>
    <row r="107" spans="1:14" x14ac:dyDescent="0.25">
      <c r="A107" s="170" t="s">
        <v>2112</v>
      </c>
      <c r="B107" s="170" t="s">
        <v>13406</v>
      </c>
      <c r="C107" s="170" t="s">
        <v>385</v>
      </c>
      <c r="D107" s="170" t="s">
        <v>1947</v>
      </c>
      <c r="E107" s="171" t="s">
        <v>31670</v>
      </c>
      <c r="F107" s="171" t="s">
        <v>28701</v>
      </c>
      <c r="G107" s="82"/>
      <c r="H107" s="96">
        <f t="shared" si="4"/>
        <v>49.63</v>
      </c>
      <c r="I107" s="96">
        <f t="shared" si="4"/>
        <v>51.88</v>
      </c>
      <c r="J107" s="91" t="str">
        <f t="shared" si="5"/>
        <v>Sinapi 94882</v>
      </c>
      <c r="K107" s="91" t="str">
        <f t="shared" si="6"/>
        <v>M</v>
      </c>
      <c r="L107" s="166" t="str">
        <f t="shared" si="7"/>
        <v>01/2021</v>
      </c>
      <c r="M107" s="82"/>
      <c r="N107" s="82"/>
    </row>
    <row r="108" spans="1:14" x14ac:dyDescent="0.25">
      <c r="A108" s="170" t="s">
        <v>2113</v>
      </c>
      <c r="B108" s="170" t="s">
        <v>13407</v>
      </c>
      <c r="C108" s="170" t="s">
        <v>385</v>
      </c>
      <c r="D108" s="170" t="s">
        <v>1947</v>
      </c>
      <c r="E108" s="171" t="s">
        <v>29028</v>
      </c>
      <c r="F108" s="171" t="s">
        <v>22990</v>
      </c>
      <c r="G108" s="82"/>
      <c r="H108" s="96">
        <f t="shared" si="4"/>
        <v>63.33</v>
      </c>
      <c r="I108" s="96">
        <f t="shared" si="4"/>
        <v>66.3</v>
      </c>
      <c r="J108" s="91" t="str">
        <f t="shared" si="5"/>
        <v>Sinapi 94884</v>
      </c>
      <c r="K108" s="91" t="str">
        <f t="shared" si="6"/>
        <v>M</v>
      </c>
      <c r="L108" s="166" t="str">
        <f t="shared" si="7"/>
        <v>01/2021</v>
      </c>
      <c r="M108" s="82"/>
      <c r="N108" s="82"/>
    </row>
    <row r="109" spans="1:14" x14ac:dyDescent="0.25">
      <c r="A109" s="170" t="s">
        <v>2117</v>
      </c>
      <c r="B109" s="170" t="s">
        <v>2118</v>
      </c>
      <c r="C109" s="170" t="s">
        <v>385</v>
      </c>
      <c r="D109" s="170" t="s">
        <v>2067</v>
      </c>
      <c r="E109" s="171" t="s">
        <v>2970</v>
      </c>
      <c r="F109" s="171" t="s">
        <v>19860</v>
      </c>
      <c r="G109" s="82"/>
      <c r="H109" s="96">
        <f t="shared" si="4"/>
        <v>1.92</v>
      </c>
      <c r="I109" s="96">
        <f t="shared" si="4"/>
        <v>2.13</v>
      </c>
      <c r="J109" s="91" t="str">
        <f t="shared" si="5"/>
        <v>Sinapi 97121</v>
      </c>
      <c r="K109" s="91" t="str">
        <f t="shared" si="6"/>
        <v>M</v>
      </c>
      <c r="L109" s="166" t="str">
        <f t="shared" si="7"/>
        <v>11/2017</v>
      </c>
      <c r="M109" s="82"/>
      <c r="N109" s="82"/>
    </row>
    <row r="110" spans="1:14" x14ac:dyDescent="0.25">
      <c r="A110" s="170" t="s">
        <v>2119</v>
      </c>
      <c r="B110" s="170" t="s">
        <v>2120</v>
      </c>
      <c r="C110" s="170" t="s">
        <v>385</v>
      </c>
      <c r="D110" s="170" t="s">
        <v>2067</v>
      </c>
      <c r="E110" s="171" t="s">
        <v>13391</v>
      </c>
      <c r="F110" s="171" t="s">
        <v>23874</v>
      </c>
      <c r="G110" s="82"/>
      <c r="H110" s="96">
        <f t="shared" si="4"/>
        <v>2.68</v>
      </c>
      <c r="I110" s="96">
        <f t="shared" si="4"/>
        <v>2.96</v>
      </c>
      <c r="J110" s="91" t="str">
        <f t="shared" si="5"/>
        <v>Sinapi 97122</v>
      </c>
      <c r="K110" s="91" t="str">
        <f t="shared" si="6"/>
        <v>M</v>
      </c>
      <c r="L110" s="166" t="str">
        <f t="shared" si="7"/>
        <v>11/2017</v>
      </c>
      <c r="M110" s="82"/>
      <c r="N110" s="82"/>
    </row>
    <row r="111" spans="1:14" x14ac:dyDescent="0.25">
      <c r="A111" s="170" t="s">
        <v>2122</v>
      </c>
      <c r="B111" s="170" t="s">
        <v>2123</v>
      </c>
      <c r="C111" s="170" t="s">
        <v>385</v>
      </c>
      <c r="D111" s="170" t="s">
        <v>2067</v>
      </c>
      <c r="E111" s="171" t="s">
        <v>14343</v>
      </c>
      <c r="F111" s="171" t="s">
        <v>18602</v>
      </c>
      <c r="G111" s="82"/>
      <c r="H111" s="96">
        <f t="shared" si="4"/>
        <v>3.4</v>
      </c>
      <c r="I111" s="96">
        <f t="shared" si="4"/>
        <v>3.76</v>
      </c>
      <c r="J111" s="91" t="str">
        <f t="shared" si="5"/>
        <v>Sinapi 97123</v>
      </c>
      <c r="K111" s="91" t="str">
        <f t="shared" si="6"/>
        <v>M</v>
      </c>
      <c r="L111" s="166" t="str">
        <f t="shared" si="7"/>
        <v>11/2017</v>
      </c>
      <c r="M111" s="82"/>
      <c r="N111" s="82"/>
    </row>
    <row r="112" spans="1:14" x14ac:dyDescent="0.25">
      <c r="A112" s="170" t="s">
        <v>2124</v>
      </c>
      <c r="B112" s="170" t="s">
        <v>2125</v>
      </c>
      <c r="C112" s="170" t="s">
        <v>385</v>
      </c>
      <c r="D112" s="170" t="s">
        <v>2067</v>
      </c>
      <c r="E112" s="171" t="s">
        <v>2115</v>
      </c>
      <c r="F112" s="171" t="s">
        <v>16285</v>
      </c>
      <c r="G112" s="82"/>
      <c r="H112" s="96">
        <f t="shared" si="4"/>
        <v>0.87</v>
      </c>
      <c r="I112" s="96">
        <f t="shared" si="4"/>
        <v>0.95</v>
      </c>
      <c r="J112" s="91" t="str">
        <f t="shared" si="5"/>
        <v>Sinapi 97124</v>
      </c>
      <c r="K112" s="91" t="str">
        <f t="shared" si="6"/>
        <v>M</v>
      </c>
      <c r="L112" s="166" t="str">
        <f t="shared" si="7"/>
        <v>11/2017</v>
      </c>
      <c r="M112" s="82"/>
      <c r="N112" s="82"/>
    </row>
    <row r="113" spans="1:14" x14ac:dyDescent="0.25">
      <c r="A113" s="170" t="s">
        <v>2126</v>
      </c>
      <c r="B113" s="170" t="s">
        <v>2127</v>
      </c>
      <c r="C113" s="170" t="s">
        <v>385</v>
      </c>
      <c r="D113" s="170" t="s">
        <v>2067</v>
      </c>
      <c r="E113" s="171" t="s">
        <v>14922</v>
      </c>
      <c r="F113" s="171" t="s">
        <v>30454</v>
      </c>
      <c r="G113" s="82"/>
      <c r="H113" s="96">
        <f t="shared" si="4"/>
        <v>1.24</v>
      </c>
      <c r="I113" s="96">
        <f t="shared" si="4"/>
        <v>1.35</v>
      </c>
      <c r="J113" s="91" t="str">
        <f t="shared" si="5"/>
        <v>Sinapi 97125</v>
      </c>
      <c r="K113" s="91" t="str">
        <f t="shared" si="6"/>
        <v>M</v>
      </c>
      <c r="L113" s="166" t="str">
        <f t="shared" si="7"/>
        <v>11/2017</v>
      </c>
      <c r="M113" s="82"/>
      <c r="N113" s="82"/>
    </row>
    <row r="114" spans="1:14" x14ac:dyDescent="0.25">
      <c r="A114" s="170" t="s">
        <v>2128</v>
      </c>
      <c r="B114" s="170" t="s">
        <v>2129</v>
      </c>
      <c r="C114" s="170" t="s">
        <v>385</v>
      </c>
      <c r="D114" s="170" t="s">
        <v>2067</v>
      </c>
      <c r="E114" s="171" t="s">
        <v>10244</v>
      </c>
      <c r="F114" s="171" t="s">
        <v>13401</v>
      </c>
      <c r="G114" s="82"/>
      <c r="H114" s="96">
        <f t="shared" si="4"/>
        <v>1.58</v>
      </c>
      <c r="I114" s="96">
        <f t="shared" si="4"/>
        <v>1.73</v>
      </c>
      <c r="J114" s="91" t="str">
        <f t="shared" si="5"/>
        <v>Sinapi 97126</v>
      </c>
      <c r="K114" s="91" t="str">
        <f t="shared" si="6"/>
        <v>M</v>
      </c>
      <c r="L114" s="166" t="str">
        <f t="shared" si="7"/>
        <v>11/2017</v>
      </c>
      <c r="M114" s="82"/>
      <c r="N114" s="82"/>
    </row>
    <row r="115" spans="1:14" x14ac:dyDescent="0.25">
      <c r="A115" s="170" t="s">
        <v>12379</v>
      </c>
      <c r="B115" s="170" t="s">
        <v>12380</v>
      </c>
      <c r="C115" s="170" t="s">
        <v>385</v>
      </c>
      <c r="D115" s="170" t="s">
        <v>2067</v>
      </c>
      <c r="E115" s="171" t="s">
        <v>31671</v>
      </c>
      <c r="F115" s="171" t="s">
        <v>21034</v>
      </c>
      <c r="G115" s="82"/>
      <c r="H115" s="96">
        <f t="shared" si="4"/>
        <v>20.16</v>
      </c>
      <c r="I115" s="96">
        <f t="shared" si="4"/>
        <v>20.54</v>
      </c>
      <c r="J115" s="91" t="str">
        <f t="shared" si="5"/>
        <v>Sinapi 102264</v>
      </c>
      <c r="K115" s="91" t="str">
        <f t="shared" si="6"/>
        <v>M</v>
      </c>
      <c r="L115" s="166" t="str">
        <f t="shared" si="7"/>
        <v>01/2021</v>
      </c>
      <c r="M115" s="82"/>
      <c r="N115" s="82"/>
    </row>
    <row r="116" spans="1:14" x14ac:dyDescent="0.25">
      <c r="A116" s="170" t="s">
        <v>12381</v>
      </c>
      <c r="B116" s="170" t="s">
        <v>12382</v>
      </c>
      <c r="C116" s="170" t="s">
        <v>205</v>
      </c>
      <c r="D116" s="170" t="s">
        <v>2067</v>
      </c>
      <c r="E116" s="171" t="s">
        <v>31672</v>
      </c>
      <c r="F116" s="171" t="s">
        <v>35108</v>
      </c>
      <c r="G116" s="82"/>
      <c r="H116" s="96">
        <f t="shared" si="4"/>
        <v>98.62</v>
      </c>
      <c r="I116" s="96">
        <f t="shared" si="4"/>
        <v>109.03</v>
      </c>
      <c r="J116" s="91" t="str">
        <f t="shared" si="5"/>
        <v>Sinapi 102265</v>
      </c>
      <c r="K116" s="91" t="str">
        <f t="shared" si="6"/>
        <v>UN</v>
      </c>
      <c r="L116" s="166" t="str">
        <f t="shared" si="7"/>
        <v>01/2021</v>
      </c>
      <c r="M116" s="82"/>
      <c r="N116" s="82"/>
    </row>
    <row r="117" spans="1:14" x14ac:dyDescent="0.25">
      <c r="A117" s="170" t="s">
        <v>12383</v>
      </c>
      <c r="B117" s="170" t="s">
        <v>12384</v>
      </c>
      <c r="C117" s="170" t="s">
        <v>205</v>
      </c>
      <c r="D117" s="170" t="s">
        <v>2067</v>
      </c>
      <c r="E117" s="171" t="s">
        <v>31673</v>
      </c>
      <c r="F117" s="171" t="s">
        <v>17964</v>
      </c>
      <c r="G117" s="82"/>
      <c r="H117" s="96">
        <f t="shared" si="4"/>
        <v>109.41</v>
      </c>
      <c r="I117" s="96">
        <f t="shared" si="4"/>
        <v>120.94</v>
      </c>
      <c r="J117" s="91" t="str">
        <f t="shared" si="5"/>
        <v>Sinapi 102266</v>
      </c>
      <c r="K117" s="91" t="str">
        <f t="shared" si="6"/>
        <v>UN</v>
      </c>
      <c r="L117" s="166" t="str">
        <f t="shared" si="7"/>
        <v>01/2021</v>
      </c>
      <c r="M117" s="82"/>
      <c r="N117" s="82"/>
    </row>
    <row r="118" spans="1:14" x14ac:dyDescent="0.25">
      <c r="A118" s="170" t="s">
        <v>12385</v>
      </c>
      <c r="B118" s="170" t="s">
        <v>12386</v>
      </c>
      <c r="C118" s="170" t="s">
        <v>205</v>
      </c>
      <c r="D118" s="170" t="s">
        <v>2067</v>
      </c>
      <c r="E118" s="171" t="s">
        <v>31674</v>
      </c>
      <c r="F118" s="171" t="s">
        <v>31930</v>
      </c>
      <c r="G118" s="82"/>
      <c r="H118" s="96">
        <f t="shared" si="4"/>
        <v>125.67</v>
      </c>
      <c r="I118" s="96">
        <f t="shared" si="4"/>
        <v>138.88999999999999</v>
      </c>
      <c r="J118" s="91" t="str">
        <f t="shared" si="5"/>
        <v>Sinapi 102267</v>
      </c>
      <c r="K118" s="91" t="str">
        <f t="shared" si="6"/>
        <v>UN</v>
      </c>
      <c r="L118" s="166" t="str">
        <f t="shared" si="7"/>
        <v>01/2021</v>
      </c>
      <c r="M118" s="82"/>
      <c r="N118" s="82"/>
    </row>
    <row r="119" spans="1:14" x14ac:dyDescent="0.25">
      <c r="A119" s="170" t="s">
        <v>12387</v>
      </c>
      <c r="B119" s="170" t="s">
        <v>12388</v>
      </c>
      <c r="C119" s="170" t="s">
        <v>205</v>
      </c>
      <c r="D119" s="170" t="s">
        <v>2067</v>
      </c>
      <c r="E119" s="171" t="s">
        <v>31675</v>
      </c>
      <c r="F119" s="171" t="s">
        <v>35109</v>
      </c>
      <c r="G119" s="82"/>
      <c r="H119" s="96">
        <f t="shared" si="4"/>
        <v>141.85</v>
      </c>
      <c r="I119" s="96">
        <f t="shared" si="4"/>
        <v>156.75</v>
      </c>
      <c r="J119" s="91" t="str">
        <f t="shared" si="5"/>
        <v>Sinapi 102268</v>
      </c>
      <c r="K119" s="91" t="str">
        <f t="shared" si="6"/>
        <v>UN</v>
      </c>
      <c r="L119" s="166" t="str">
        <f t="shared" si="7"/>
        <v>01/2021</v>
      </c>
      <c r="M119" s="82"/>
      <c r="N119" s="82"/>
    </row>
    <row r="120" spans="1:14" x14ac:dyDescent="0.25">
      <c r="A120" s="170" t="s">
        <v>12389</v>
      </c>
      <c r="B120" s="170" t="s">
        <v>12390</v>
      </c>
      <c r="C120" s="170" t="s">
        <v>205</v>
      </c>
      <c r="D120" s="170" t="s">
        <v>2067</v>
      </c>
      <c r="E120" s="171" t="s">
        <v>28942</v>
      </c>
      <c r="F120" s="171" t="s">
        <v>35110</v>
      </c>
      <c r="G120" s="82"/>
      <c r="H120" s="96">
        <f t="shared" si="4"/>
        <v>174.19</v>
      </c>
      <c r="I120" s="96">
        <f t="shared" si="4"/>
        <v>192.48</v>
      </c>
      <c r="J120" s="91" t="str">
        <f t="shared" si="5"/>
        <v>Sinapi 102269</v>
      </c>
      <c r="K120" s="91" t="str">
        <f t="shared" si="6"/>
        <v>UN</v>
      </c>
      <c r="L120" s="166" t="str">
        <f t="shared" si="7"/>
        <v>01/2021</v>
      </c>
      <c r="M120" s="82"/>
      <c r="N120" s="82"/>
    </row>
    <row r="121" spans="1:14" x14ac:dyDescent="0.25">
      <c r="A121" s="170" t="s">
        <v>2130</v>
      </c>
      <c r="B121" s="170" t="s">
        <v>2131</v>
      </c>
      <c r="C121" s="170" t="s">
        <v>385</v>
      </c>
      <c r="D121" s="170" t="s">
        <v>1947</v>
      </c>
      <c r="E121" s="171" t="s">
        <v>31676</v>
      </c>
      <c r="F121" s="171" t="s">
        <v>35111</v>
      </c>
      <c r="G121" s="82"/>
      <c r="H121" s="96">
        <f t="shared" si="4"/>
        <v>230.44</v>
      </c>
      <c r="I121" s="96">
        <f t="shared" si="4"/>
        <v>230.98</v>
      </c>
      <c r="J121" s="91" t="str">
        <f t="shared" si="5"/>
        <v>Sinapi 92833</v>
      </c>
      <c r="K121" s="91" t="str">
        <f t="shared" si="6"/>
        <v>M</v>
      </c>
      <c r="L121" s="166" t="str">
        <f t="shared" si="7"/>
        <v>12/2015</v>
      </c>
      <c r="M121" s="82"/>
      <c r="N121" s="82"/>
    </row>
    <row r="122" spans="1:14" x14ac:dyDescent="0.25">
      <c r="A122" s="170" t="s">
        <v>2132</v>
      </c>
      <c r="B122" s="170" t="s">
        <v>2133</v>
      </c>
      <c r="C122" s="170" t="s">
        <v>385</v>
      </c>
      <c r="D122" s="170" t="s">
        <v>1947</v>
      </c>
      <c r="E122" s="171" t="s">
        <v>14897</v>
      </c>
      <c r="F122" s="171" t="s">
        <v>15763</v>
      </c>
      <c r="G122" s="82"/>
      <c r="H122" s="96">
        <f t="shared" si="4"/>
        <v>8.83</v>
      </c>
      <c r="I122" s="96">
        <f t="shared" si="4"/>
        <v>9.3699999999999992</v>
      </c>
      <c r="J122" s="91" t="str">
        <f t="shared" si="5"/>
        <v>Sinapi 92834</v>
      </c>
      <c r="K122" s="91" t="str">
        <f t="shared" si="6"/>
        <v>M</v>
      </c>
      <c r="L122" s="166" t="str">
        <f t="shared" si="7"/>
        <v>12/2015</v>
      </c>
      <c r="M122" s="82"/>
      <c r="N122" s="82"/>
    </row>
    <row r="123" spans="1:14" x14ac:dyDescent="0.25">
      <c r="A123" s="170" t="s">
        <v>2134</v>
      </c>
      <c r="B123" s="170" t="s">
        <v>2135</v>
      </c>
      <c r="C123" s="170" t="s">
        <v>385</v>
      </c>
      <c r="D123" s="170" t="s">
        <v>1947</v>
      </c>
      <c r="E123" s="171" t="s">
        <v>31677</v>
      </c>
      <c r="F123" s="171" t="s">
        <v>35112</v>
      </c>
      <c r="G123" s="82"/>
      <c r="H123" s="96">
        <f t="shared" si="4"/>
        <v>241.64</v>
      </c>
      <c r="I123" s="96">
        <f t="shared" si="4"/>
        <v>242.35</v>
      </c>
      <c r="J123" s="91" t="str">
        <f t="shared" si="5"/>
        <v>Sinapi 92835</v>
      </c>
      <c r="K123" s="91" t="str">
        <f t="shared" si="6"/>
        <v>M</v>
      </c>
      <c r="L123" s="166" t="str">
        <f t="shared" si="7"/>
        <v>12/2015</v>
      </c>
      <c r="M123" s="82"/>
      <c r="N123" s="82"/>
    </row>
    <row r="124" spans="1:14" x14ac:dyDescent="0.25">
      <c r="A124" s="170" t="s">
        <v>2136</v>
      </c>
      <c r="B124" s="170" t="s">
        <v>2137</v>
      </c>
      <c r="C124" s="170" t="s">
        <v>385</v>
      </c>
      <c r="D124" s="170" t="s">
        <v>1947</v>
      </c>
      <c r="E124" s="171" t="s">
        <v>31547</v>
      </c>
      <c r="F124" s="171" t="s">
        <v>20654</v>
      </c>
      <c r="G124" s="82"/>
      <c r="H124" s="96">
        <f t="shared" si="4"/>
        <v>11.28</v>
      </c>
      <c r="I124" s="96">
        <f t="shared" si="4"/>
        <v>11.99</v>
      </c>
      <c r="J124" s="91" t="str">
        <f t="shared" si="5"/>
        <v>Sinapi 92836</v>
      </c>
      <c r="K124" s="91" t="str">
        <f t="shared" si="6"/>
        <v>M</v>
      </c>
      <c r="L124" s="166" t="str">
        <f t="shared" si="7"/>
        <v>12/2015</v>
      </c>
      <c r="M124" s="82"/>
      <c r="N124" s="82"/>
    </row>
    <row r="125" spans="1:14" x14ac:dyDescent="0.25">
      <c r="A125" s="170" t="s">
        <v>2138</v>
      </c>
      <c r="B125" s="170" t="s">
        <v>2139</v>
      </c>
      <c r="C125" s="170" t="s">
        <v>385</v>
      </c>
      <c r="D125" s="170" t="s">
        <v>1947</v>
      </c>
      <c r="E125" s="171" t="s">
        <v>31678</v>
      </c>
      <c r="F125" s="171" t="s">
        <v>35113</v>
      </c>
      <c r="G125" s="82"/>
      <c r="H125" s="96">
        <f t="shared" si="4"/>
        <v>425.36</v>
      </c>
      <c r="I125" s="96">
        <f t="shared" si="4"/>
        <v>426.22</v>
      </c>
      <c r="J125" s="91" t="str">
        <f t="shared" si="5"/>
        <v>Sinapi 92837</v>
      </c>
      <c r="K125" s="91" t="str">
        <f t="shared" si="6"/>
        <v>M</v>
      </c>
      <c r="L125" s="166" t="str">
        <f t="shared" si="7"/>
        <v>12/2015</v>
      </c>
      <c r="M125" s="82"/>
      <c r="N125" s="82"/>
    </row>
    <row r="126" spans="1:14" x14ac:dyDescent="0.25">
      <c r="A126" s="170" t="s">
        <v>2140</v>
      </c>
      <c r="B126" s="170" t="s">
        <v>2141</v>
      </c>
      <c r="C126" s="170" t="s">
        <v>385</v>
      </c>
      <c r="D126" s="170" t="s">
        <v>1947</v>
      </c>
      <c r="E126" s="171" t="s">
        <v>17310</v>
      </c>
      <c r="F126" s="171" t="s">
        <v>21354</v>
      </c>
      <c r="G126" s="82"/>
      <c r="H126" s="96">
        <f t="shared" si="4"/>
        <v>13.51</v>
      </c>
      <c r="I126" s="96">
        <f t="shared" si="4"/>
        <v>14.37</v>
      </c>
      <c r="J126" s="91" t="str">
        <f t="shared" si="5"/>
        <v>Sinapi 92838</v>
      </c>
      <c r="K126" s="91" t="str">
        <f t="shared" si="6"/>
        <v>M</v>
      </c>
      <c r="L126" s="166" t="str">
        <f t="shared" si="7"/>
        <v>12/2015</v>
      </c>
      <c r="M126" s="82"/>
      <c r="N126" s="82"/>
    </row>
    <row r="127" spans="1:14" x14ac:dyDescent="0.25">
      <c r="A127" s="170" t="s">
        <v>2142</v>
      </c>
      <c r="B127" s="170" t="s">
        <v>2143</v>
      </c>
      <c r="C127" s="170" t="s">
        <v>385</v>
      </c>
      <c r="D127" s="170" t="s">
        <v>1947</v>
      </c>
      <c r="E127" s="171" t="s">
        <v>31679</v>
      </c>
      <c r="F127" s="171" t="s">
        <v>35114</v>
      </c>
      <c r="G127" s="82"/>
      <c r="H127" s="96">
        <f t="shared" si="4"/>
        <v>520.34</v>
      </c>
      <c r="I127" s="96">
        <f t="shared" si="4"/>
        <v>521.35</v>
      </c>
      <c r="J127" s="91" t="str">
        <f t="shared" si="5"/>
        <v>Sinapi 92839</v>
      </c>
      <c r="K127" s="91" t="str">
        <f t="shared" si="6"/>
        <v>M</v>
      </c>
      <c r="L127" s="166" t="str">
        <f t="shared" si="7"/>
        <v>12/2015</v>
      </c>
      <c r="M127" s="82"/>
      <c r="N127" s="82"/>
    </row>
    <row r="128" spans="1:14" x14ac:dyDescent="0.25">
      <c r="A128" s="170" t="s">
        <v>2144</v>
      </c>
      <c r="B128" s="170" t="s">
        <v>2145</v>
      </c>
      <c r="C128" s="170" t="s">
        <v>385</v>
      </c>
      <c r="D128" s="170" t="s">
        <v>1947</v>
      </c>
      <c r="E128" s="171" t="s">
        <v>17966</v>
      </c>
      <c r="F128" s="171" t="s">
        <v>16205</v>
      </c>
      <c r="G128" s="82"/>
      <c r="H128" s="96">
        <f t="shared" si="4"/>
        <v>16.03</v>
      </c>
      <c r="I128" s="96">
        <f t="shared" si="4"/>
        <v>17.04</v>
      </c>
      <c r="J128" s="91" t="str">
        <f t="shared" si="5"/>
        <v>Sinapi 92840</v>
      </c>
      <c r="K128" s="91" t="str">
        <f t="shared" si="6"/>
        <v>M</v>
      </c>
      <c r="L128" s="166" t="str">
        <f t="shared" si="7"/>
        <v>12/2015</v>
      </c>
      <c r="M128" s="82"/>
      <c r="N128" s="82"/>
    </row>
    <row r="129" spans="1:14" x14ac:dyDescent="0.25">
      <c r="A129" s="170" t="s">
        <v>2148</v>
      </c>
      <c r="B129" s="170" t="s">
        <v>2149</v>
      </c>
      <c r="C129" s="170" t="s">
        <v>385</v>
      </c>
      <c r="D129" s="170" t="s">
        <v>1947</v>
      </c>
      <c r="E129" s="171" t="s">
        <v>31680</v>
      </c>
      <c r="F129" s="171" t="s">
        <v>35115</v>
      </c>
      <c r="G129" s="82"/>
      <c r="H129" s="96">
        <f t="shared" si="4"/>
        <v>678.75</v>
      </c>
      <c r="I129" s="96">
        <f t="shared" si="4"/>
        <v>679.91</v>
      </c>
      <c r="J129" s="91" t="str">
        <f t="shared" si="5"/>
        <v>Sinapi 92841</v>
      </c>
      <c r="K129" s="91" t="str">
        <f t="shared" si="6"/>
        <v>M</v>
      </c>
      <c r="L129" s="166" t="str">
        <f t="shared" si="7"/>
        <v>12/2015</v>
      </c>
      <c r="M129" s="82"/>
      <c r="N129" s="82"/>
    </row>
    <row r="130" spans="1:14" x14ac:dyDescent="0.25">
      <c r="A130" s="170" t="s">
        <v>2150</v>
      </c>
      <c r="B130" s="170" t="s">
        <v>2151</v>
      </c>
      <c r="C130" s="170" t="s">
        <v>385</v>
      </c>
      <c r="D130" s="170" t="s">
        <v>1947</v>
      </c>
      <c r="E130" s="171" t="s">
        <v>30411</v>
      </c>
      <c r="F130" s="171" t="s">
        <v>21447</v>
      </c>
      <c r="G130" s="82"/>
      <c r="H130" s="96">
        <f t="shared" si="4"/>
        <v>18.29</v>
      </c>
      <c r="I130" s="96">
        <f t="shared" si="4"/>
        <v>19.45</v>
      </c>
      <c r="J130" s="91" t="str">
        <f t="shared" si="5"/>
        <v>Sinapi 92842</v>
      </c>
      <c r="K130" s="91" t="str">
        <f t="shared" si="6"/>
        <v>M</v>
      </c>
      <c r="L130" s="166" t="str">
        <f t="shared" si="7"/>
        <v>12/2015</v>
      </c>
      <c r="M130" s="82"/>
      <c r="N130" s="82"/>
    </row>
    <row r="131" spans="1:14" x14ac:dyDescent="0.25">
      <c r="A131" s="170" t="s">
        <v>10400</v>
      </c>
      <c r="B131" s="170" t="s">
        <v>10401</v>
      </c>
      <c r="C131" s="170" t="s">
        <v>385</v>
      </c>
      <c r="D131" s="170" t="s">
        <v>1947</v>
      </c>
      <c r="E131" s="171" t="s">
        <v>31681</v>
      </c>
      <c r="F131" s="171" t="s">
        <v>35116</v>
      </c>
      <c r="G131" s="82"/>
      <c r="H131" s="96">
        <f t="shared" si="4"/>
        <v>704.67</v>
      </c>
      <c r="I131" s="96">
        <f t="shared" si="4"/>
        <v>705.98</v>
      </c>
      <c r="J131" s="91" t="str">
        <f t="shared" si="5"/>
        <v>Sinapi 92843</v>
      </c>
      <c r="K131" s="91" t="str">
        <f t="shared" si="6"/>
        <v>M</v>
      </c>
      <c r="L131" s="166" t="str">
        <f t="shared" si="7"/>
        <v>12/2015</v>
      </c>
      <c r="M131" s="82"/>
      <c r="N131" s="82"/>
    </row>
    <row r="132" spans="1:14" x14ac:dyDescent="0.25">
      <c r="A132" s="170" t="s">
        <v>2152</v>
      </c>
      <c r="B132" s="170" t="s">
        <v>2153</v>
      </c>
      <c r="C132" s="170" t="s">
        <v>385</v>
      </c>
      <c r="D132" s="170" t="s">
        <v>1947</v>
      </c>
      <c r="E132" s="171" t="s">
        <v>21493</v>
      </c>
      <c r="F132" s="171" t="s">
        <v>29412</v>
      </c>
      <c r="G132" s="82"/>
      <c r="H132" s="96">
        <f t="shared" si="4"/>
        <v>20.8</v>
      </c>
      <c r="I132" s="96">
        <f t="shared" si="4"/>
        <v>22.11</v>
      </c>
      <c r="J132" s="91" t="str">
        <f t="shared" si="5"/>
        <v>Sinapi 92844</v>
      </c>
      <c r="K132" s="91" t="str">
        <f t="shared" si="6"/>
        <v>M</v>
      </c>
      <c r="L132" s="166" t="str">
        <f t="shared" si="7"/>
        <v>12/2015</v>
      </c>
      <c r="M132" s="82"/>
      <c r="N132" s="82"/>
    </row>
    <row r="133" spans="1:14" x14ac:dyDescent="0.25">
      <c r="A133" s="170" t="s">
        <v>10402</v>
      </c>
      <c r="B133" s="170" t="s">
        <v>10403</v>
      </c>
      <c r="C133" s="170" t="s">
        <v>385</v>
      </c>
      <c r="D133" s="170" t="s">
        <v>1947</v>
      </c>
      <c r="E133" s="171" t="s">
        <v>31682</v>
      </c>
      <c r="F133" s="171" t="s">
        <v>35117</v>
      </c>
      <c r="G133" s="82"/>
      <c r="H133" s="96">
        <f t="shared" si="4"/>
        <v>1041.54</v>
      </c>
      <c r="I133" s="96">
        <f t="shared" si="4"/>
        <v>1043</v>
      </c>
      <c r="J133" s="91" t="str">
        <f t="shared" si="5"/>
        <v>Sinapi 92845</v>
      </c>
      <c r="K133" s="91" t="str">
        <f t="shared" si="6"/>
        <v>M</v>
      </c>
      <c r="L133" s="166" t="str">
        <f t="shared" si="7"/>
        <v>12/2015</v>
      </c>
      <c r="M133" s="82"/>
      <c r="N133" s="82"/>
    </row>
    <row r="134" spans="1:14" x14ac:dyDescent="0.25">
      <c r="A134" s="170" t="s">
        <v>2154</v>
      </c>
      <c r="B134" s="170" t="s">
        <v>2155</v>
      </c>
      <c r="C134" s="170" t="s">
        <v>385</v>
      </c>
      <c r="D134" s="170" t="s">
        <v>1947</v>
      </c>
      <c r="E134" s="171" t="s">
        <v>18667</v>
      </c>
      <c r="F134" s="171" t="s">
        <v>15781</v>
      </c>
      <c r="G134" s="82"/>
      <c r="H134" s="96">
        <f t="shared" si="4"/>
        <v>23.04</v>
      </c>
      <c r="I134" s="96">
        <f t="shared" si="4"/>
        <v>24.5</v>
      </c>
      <c r="J134" s="91" t="str">
        <f t="shared" si="5"/>
        <v>Sinapi 92846</v>
      </c>
      <c r="K134" s="91" t="str">
        <f t="shared" si="6"/>
        <v>M</v>
      </c>
      <c r="L134" s="166" t="str">
        <f t="shared" si="7"/>
        <v>12/2015</v>
      </c>
      <c r="M134" s="82"/>
      <c r="N134" s="82"/>
    </row>
    <row r="135" spans="1:14" x14ac:dyDescent="0.25">
      <c r="A135" s="170" t="s">
        <v>2156</v>
      </c>
      <c r="B135" s="170" t="s">
        <v>2157</v>
      </c>
      <c r="C135" s="170" t="s">
        <v>385</v>
      </c>
      <c r="D135" s="170" t="s">
        <v>1947</v>
      </c>
      <c r="E135" s="171" t="s">
        <v>31683</v>
      </c>
      <c r="F135" s="171" t="s">
        <v>35118</v>
      </c>
      <c r="G135" s="82"/>
      <c r="H135" s="96">
        <f t="shared" si="4"/>
        <v>1073.03</v>
      </c>
      <c r="I135" s="96">
        <f t="shared" si="4"/>
        <v>1074.6500000000001</v>
      </c>
      <c r="J135" s="91" t="str">
        <f t="shared" si="5"/>
        <v>Sinapi 92847</v>
      </c>
      <c r="K135" s="91" t="str">
        <f t="shared" si="6"/>
        <v>M</v>
      </c>
      <c r="L135" s="166" t="str">
        <f t="shared" si="7"/>
        <v>12/2015</v>
      </c>
      <c r="M135" s="82"/>
      <c r="N135" s="82"/>
    </row>
    <row r="136" spans="1:14" x14ac:dyDescent="0.25">
      <c r="A136" s="170" t="s">
        <v>2158</v>
      </c>
      <c r="B136" s="170" t="s">
        <v>2159</v>
      </c>
      <c r="C136" s="170" t="s">
        <v>385</v>
      </c>
      <c r="D136" s="170" t="s">
        <v>1947</v>
      </c>
      <c r="E136" s="171" t="s">
        <v>31684</v>
      </c>
      <c r="F136" s="171" t="s">
        <v>19418</v>
      </c>
      <c r="G136" s="82"/>
      <c r="H136" s="96">
        <f t="shared" ref="H136:I199" si="8">IF(E136="","",E136+0)</f>
        <v>25.58</v>
      </c>
      <c r="I136" s="96">
        <f t="shared" si="8"/>
        <v>27.2</v>
      </c>
      <c r="J136" s="91" t="str">
        <f t="shared" ref="J136:J199" si="9">IF(OR(H136="",I136=""),"",TRIM(CONCATENATE("Sinapi ",A136)))</f>
        <v>Sinapi 92848</v>
      </c>
      <c r="K136" s="91" t="str">
        <f t="shared" ref="K136:K199" si="10">TRIM(C136)</f>
        <v>M</v>
      </c>
      <c r="L136" s="166" t="str">
        <f t="shared" ref="L136:L199" si="11">IF(OR(RIGHT(IF(AND(K136&lt;&gt;"H",K136&lt;&gt;"MES"),RIGHT(B136,7),""),2)="PS",RIGHT(IF(AND(K136&lt;&gt;"H",K136&lt;&gt;"MES"),RIGHT(B136,7),""),2)="PA",RIGHT(IF(AND(K136&lt;&gt;"H",K136&lt;&gt;"MES"),RIGHT(B136,7),""),2)="PE"),LEFT(IF(AND(K136&lt;&gt;"H",K136&lt;&gt;"MES"),RIGHT(B136,10),""),7),IF(AND(K136&lt;&gt;"H",K136&lt;&gt;"MES"),RIGHT(B136,7),""))</f>
        <v>12/2015</v>
      </c>
      <c r="M136" s="82"/>
      <c r="N136" s="82"/>
    </row>
    <row r="137" spans="1:14" x14ac:dyDescent="0.25">
      <c r="A137" s="170" t="s">
        <v>2160</v>
      </c>
      <c r="B137" s="170" t="s">
        <v>2161</v>
      </c>
      <c r="C137" s="170" t="s">
        <v>385</v>
      </c>
      <c r="D137" s="170" t="s">
        <v>1947</v>
      </c>
      <c r="E137" s="171" t="s">
        <v>31685</v>
      </c>
      <c r="F137" s="171" t="s">
        <v>32978</v>
      </c>
      <c r="G137" s="82"/>
      <c r="H137" s="96">
        <f t="shared" si="8"/>
        <v>238.3</v>
      </c>
      <c r="I137" s="96">
        <f t="shared" si="8"/>
        <v>239.35</v>
      </c>
      <c r="J137" s="91" t="str">
        <f t="shared" si="9"/>
        <v>Sinapi 92849</v>
      </c>
      <c r="K137" s="91" t="str">
        <f t="shared" si="10"/>
        <v>M</v>
      </c>
      <c r="L137" s="166" t="str">
        <f t="shared" si="11"/>
        <v>12/2015</v>
      </c>
      <c r="M137" s="82"/>
      <c r="N137" s="82"/>
    </row>
    <row r="138" spans="1:14" x14ac:dyDescent="0.25">
      <c r="A138" s="170" t="s">
        <v>2162</v>
      </c>
      <c r="B138" s="170" t="s">
        <v>2163</v>
      </c>
      <c r="C138" s="170" t="s">
        <v>385</v>
      </c>
      <c r="D138" s="170" t="s">
        <v>1947</v>
      </c>
      <c r="E138" s="171" t="s">
        <v>11138</v>
      </c>
      <c r="F138" s="171" t="s">
        <v>23064</v>
      </c>
      <c r="G138" s="82"/>
      <c r="H138" s="96">
        <f t="shared" si="8"/>
        <v>16.690000000000001</v>
      </c>
      <c r="I138" s="96">
        <f t="shared" si="8"/>
        <v>17.739999999999998</v>
      </c>
      <c r="J138" s="91" t="str">
        <f t="shared" si="9"/>
        <v>Sinapi 92850</v>
      </c>
      <c r="K138" s="91" t="str">
        <f t="shared" si="10"/>
        <v>M</v>
      </c>
      <c r="L138" s="166" t="str">
        <f t="shared" si="11"/>
        <v>12/2015</v>
      </c>
      <c r="M138" s="82"/>
      <c r="N138" s="82"/>
    </row>
    <row r="139" spans="1:14" x14ac:dyDescent="0.25">
      <c r="A139" s="170" t="s">
        <v>2165</v>
      </c>
      <c r="B139" s="170" t="s">
        <v>2166</v>
      </c>
      <c r="C139" s="170" t="s">
        <v>385</v>
      </c>
      <c r="D139" s="170" t="s">
        <v>1947</v>
      </c>
      <c r="E139" s="171" t="s">
        <v>31686</v>
      </c>
      <c r="F139" s="171" t="s">
        <v>35119</v>
      </c>
      <c r="G139" s="82"/>
      <c r="H139" s="96">
        <f t="shared" si="8"/>
        <v>251.42</v>
      </c>
      <c r="I139" s="96">
        <f t="shared" si="8"/>
        <v>252.76</v>
      </c>
      <c r="J139" s="91" t="str">
        <f t="shared" si="9"/>
        <v>Sinapi 92851</v>
      </c>
      <c r="K139" s="91" t="str">
        <f t="shared" si="10"/>
        <v>M</v>
      </c>
      <c r="L139" s="166" t="str">
        <f t="shared" si="11"/>
        <v>12/2015</v>
      </c>
      <c r="M139" s="82"/>
      <c r="N139" s="82"/>
    </row>
    <row r="140" spans="1:14" x14ac:dyDescent="0.25">
      <c r="A140" s="170" t="s">
        <v>2167</v>
      </c>
      <c r="B140" s="170" t="s">
        <v>2168</v>
      </c>
      <c r="C140" s="170" t="s">
        <v>385</v>
      </c>
      <c r="D140" s="170" t="s">
        <v>1947</v>
      </c>
      <c r="E140" s="171" t="s">
        <v>18306</v>
      </c>
      <c r="F140" s="171" t="s">
        <v>29866</v>
      </c>
      <c r="G140" s="82"/>
      <c r="H140" s="96">
        <f t="shared" si="8"/>
        <v>21.06</v>
      </c>
      <c r="I140" s="96">
        <f t="shared" si="8"/>
        <v>22.4</v>
      </c>
      <c r="J140" s="91" t="str">
        <f t="shared" si="9"/>
        <v>Sinapi 92852</v>
      </c>
      <c r="K140" s="91" t="str">
        <f t="shared" si="10"/>
        <v>M</v>
      </c>
      <c r="L140" s="166" t="str">
        <f t="shared" si="11"/>
        <v>12/2015</v>
      </c>
      <c r="M140" s="82"/>
      <c r="N140" s="82"/>
    </row>
    <row r="141" spans="1:14" x14ac:dyDescent="0.25">
      <c r="A141" s="170" t="s">
        <v>2169</v>
      </c>
      <c r="B141" s="170" t="s">
        <v>2170</v>
      </c>
      <c r="C141" s="170" t="s">
        <v>385</v>
      </c>
      <c r="D141" s="170" t="s">
        <v>1947</v>
      </c>
      <c r="E141" s="171" t="s">
        <v>31687</v>
      </c>
      <c r="F141" s="171" t="s">
        <v>35120</v>
      </c>
      <c r="G141" s="82"/>
      <c r="H141" s="96">
        <f t="shared" si="8"/>
        <v>437.51</v>
      </c>
      <c r="I141" s="96">
        <f t="shared" si="8"/>
        <v>439.13</v>
      </c>
      <c r="J141" s="91" t="str">
        <f t="shared" si="9"/>
        <v>Sinapi 92853</v>
      </c>
      <c r="K141" s="91" t="str">
        <f t="shared" si="10"/>
        <v>M</v>
      </c>
      <c r="L141" s="166" t="str">
        <f t="shared" si="11"/>
        <v>12/2015</v>
      </c>
      <c r="M141" s="82"/>
      <c r="N141" s="82"/>
    </row>
    <row r="142" spans="1:14" x14ac:dyDescent="0.25">
      <c r="A142" s="170" t="s">
        <v>2171</v>
      </c>
      <c r="B142" s="170" t="s">
        <v>2172</v>
      </c>
      <c r="C142" s="170" t="s">
        <v>385</v>
      </c>
      <c r="D142" s="170" t="s">
        <v>1947</v>
      </c>
      <c r="E142" s="171" t="s">
        <v>19358</v>
      </c>
      <c r="F142" s="171" t="s">
        <v>31162</v>
      </c>
      <c r="G142" s="82"/>
      <c r="H142" s="96">
        <f t="shared" si="8"/>
        <v>25.66</v>
      </c>
      <c r="I142" s="96">
        <f t="shared" si="8"/>
        <v>27.28</v>
      </c>
      <c r="J142" s="91" t="str">
        <f t="shared" si="9"/>
        <v>Sinapi 92854</v>
      </c>
      <c r="K142" s="91" t="str">
        <f t="shared" si="10"/>
        <v>M</v>
      </c>
      <c r="L142" s="166" t="str">
        <f t="shared" si="11"/>
        <v>12/2015</v>
      </c>
      <c r="M142" s="82"/>
      <c r="N142" s="82"/>
    </row>
    <row r="143" spans="1:14" x14ac:dyDescent="0.25">
      <c r="A143" s="170" t="s">
        <v>2173</v>
      </c>
      <c r="B143" s="170" t="s">
        <v>2174</v>
      </c>
      <c r="C143" s="170" t="s">
        <v>385</v>
      </c>
      <c r="D143" s="170" t="s">
        <v>1947</v>
      </c>
      <c r="E143" s="171" t="s">
        <v>31688</v>
      </c>
      <c r="F143" s="171" t="s">
        <v>35121</v>
      </c>
      <c r="G143" s="82"/>
      <c r="H143" s="96">
        <f t="shared" si="8"/>
        <v>534.54999999999995</v>
      </c>
      <c r="I143" s="96">
        <f t="shared" si="8"/>
        <v>536.47</v>
      </c>
      <c r="J143" s="91" t="str">
        <f t="shared" si="9"/>
        <v>Sinapi 92855</v>
      </c>
      <c r="K143" s="91" t="str">
        <f t="shared" si="10"/>
        <v>M</v>
      </c>
      <c r="L143" s="166" t="str">
        <f t="shared" si="11"/>
        <v>12/2015</v>
      </c>
      <c r="M143" s="82"/>
      <c r="N143" s="82"/>
    </row>
    <row r="144" spans="1:14" x14ac:dyDescent="0.25">
      <c r="A144" s="170" t="s">
        <v>2175</v>
      </c>
      <c r="B144" s="170" t="s">
        <v>2176</v>
      </c>
      <c r="C144" s="170" t="s">
        <v>385</v>
      </c>
      <c r="D144" s="170" t="s">
        <v>1947</v>
      </c>
      <c r="E144" s="171" t="s">
        <v>18712</v>
      </c>
      <c r="F144" s="171" t="s">
        <v>33518</v>
      </c>
      <c r="G144" s="82"/>
      <c r="H144" s="96">
        <f t="shared" si="8"/>
        <v>30.24</v>
      </c>
      <c r="I144" s="96">
        <f t="shared" si="8"/>
        <v>32.159999999999997</v>
      </c>
      <c r="J144" s="91" t="str">
        <f t="shared" si="9"/>
        <v>Sinapi 92856</v>
      </c>
      <c r="K144" s="91" t="str">
        <f t="shared" si="10"/>
        <v>M</v>
      </c>
      <c r="L144" s="166" t="str">
        <f t="shared" si="11"/>
        <v>12/2015</v>
      </c>
      <c r="M144" s="82"/>
      <c r="N144" s="82"/>
    </row>
    <row r="145" spans="1:14" x14ac:dyDescent="0.25">
      <c r="A145" s="170" t="s">
        <v>2177</v>
      </c>
      <c r="B145" s="170" t="s">
        <v>2178</v>
      </c>
      <c r="C145" s="170" t="s">
        <v>385</v>
      </c>
      <c r="D145" s="170" t="s">
        <v>1947</v>
      </c>
      <c r="E145" s="171" t="s">
        <v>31689</v>
      </c>
      <c r="F145" s="171" t="s">
        <v>35122</v>
      </c>
      <c r="G145" s="82"/>
      <c r="H145" s="96">
        <f t="shared" si="8"/>
        <v>695.05</v>
      </c>
      <c r="I145" s="96">
        <f t="shared" si="8"/>
        <v>697.25</v>
      </c>
      <c r="J145" s="91" t="str">
        <f t="shared" si="9"/>
        <v>Sinapi 92857</v>
      </c>
      <c r="K145" s="91" t="str">
        <f t="shared" si="10"/>
        <v>M</v>
      </c>
      <c r="L145" s="166" t="str">
        <f t="shared" si="11"/>
        <v>12/2015</v>
      </c>
      <c r="M145" s="82"/>
      <c r="N145" s="82"/>
    </row>
    <row r="146" spans="1:14" x14ac:dyDescent="0.25">
      <c r="A146" s="170" t="s">
        <v>2179</v>
      </c>
      <c r="B146" s="170" t="s">
        <v>2180</v>
      </c>
      <c r="C146" s="170" t="s">
        <v>385</v>
      </c>
      <c r="D146" s="170" t="s">
        <v>1947</v>
      </c>
      <c r="E146" s="171" t="s">
        <v>22888</v>
      </c>
      <c r="F146" s="171" t="s">
        <v>22111</v>
      </c>
      <c r="G146" s="82"/>
      <c r="H146" s="96">
        <f t="shared" si="8"/>
        <v>34.590000000000003</v>
      </c>
      <c r="I146" s="96">
        <f t="shared" si="8"/>
        <v>36.79</v>
      </c>
      <c r="J146" s="91" t="str">
        <f t="shared" si="9"/>
        <v>Sinapi 92858</v>
      </c>
      <c r="K146" s="91" t="str">
        <f t="shared" si="10"/>
        <v>M</v>
      </c>
      <c r="L146" s="166" t="str">
        <f t="shared" si="11"/>
        <v>12/2015</v>
      </c>
      <c r="M146" s="82"/>
      <c r="N146" s="82"/>
    </row>
    <row r="147" spans="1:14" x14ac:dyDescent="0.25">
      <c r="A147" s="170" t="s">
        <v>10404</v>
      </c>
      <c r="B147" s="170" t="s">
        <v>10405</v>
      </c>
      <c r="C147" s="170" t="s">
        <v>385</v>
      </c>
      <c r="D147" s="170" t="s">
        <v>1947</v>
      </c>
      <c r="E147" s="171" t="s">
        <v>31690</v>
      </c>
      <c r="F147" s="171" t="s">
        <v>35123</v>
      </c>
      <c r="G147" s="82"/>
      <c r="H147" s="96">
        <f t="shared" si="8"/>
        <v>723.16</v>
      </c>
      <c r="I147" s="96">
        <f t="shared" si="8"/>
        <v>725.64</v>
      </c>
      <c r="J147" s="91" t="str">
        <f t="shared" si="9"/>
        <v>Sinapi 92859</v>
      </c>
      <c r="K147" s="91" t="str">
        <f t="shared" si="10"/>
        <v>M</v>
      </c>
      <c r="L147" s="166" t="str">
        <f t="shared" si="11"/>
        <v>12/2015</v>
      </c>
      <c r="M147" s="82"/>
      <c r="N147" s="82"/>
    </row>
    <row r="148" spans="1:14" x14ac:dyDescent="0.25">
      <c r="A148" s="170" t="s">
        <v>2181</v>
      </c>
      <c r="B148" s="170" t="s">
        <v>2182</v>
      </c>
      <c r="C148" s="170" t="s">
        <v>385</v>
      </c>
      <c r="D148" s="170" t="s">
        <v>1947</v>
      </c>
      <c r="E148" s="171" t="s">
        <v>31691</v>
      </c>
      <c r="F148" s="171" t="s">
        <v>30410</v>
      </c>
      <c r="G148" s="82"/>
      <c r="H148" s="96">
        <f t="shared" si="8"/>
        <v>39.29</v>
      </c>
      <c r="I148" s="96">
        <f t="shared" si="8"/>
        <v>41.77</v>
      </c>
      <c r="J148" s="91" t="str">
        <f t="shared" si="9"/>
        <v>Sinapi 92860</v>
      </c>
      <c r="K148" s="91" t="str">
        <f t="shared" si="10"/>
        <v>M</v>
      </c>
      <c r="L148" s="166" t="str">
        <f t="shared" si="11"/>
        <v>12/2015</v>
      </c>
      <c r="M148" s="82"/>
      <c r="N148" s="82"/>
    </row>
    <row r="149" spans="1:14" x14ac:dyDescent="0.25">
      <c r="A149" s="170" t="s">
        <v>10406</v>
      </c>
      <c r="B149" s="170" t="s">
        <v>10407</v>
      </c>
      <c r="C149" s="170" t="s">
        <v>385</v>
      </c>
      <c r="D149" s="170" t="s">
        <v>1947</v>
      </c>
      <c r="E149" s="171" t="s">
        <v>31692</v>
      </c>
      <c r="F149" s="171" t="s">
        <v>35124</v>
      </c>
      <c r="G149" s="82"/>
      <c r="H149" s="96">
        <f t="shared" si="8"/>
        <v>1062.3599999999999</v>
      </c>
      <c r="I149" s="96">
        <f t="shared" si="8"/>
        <v>1065.1300000000001</v>
      </c>
      <c r="J149" s="91" t="str">
        <f t="shared" si="9"/>
        <v>Sinapi 92861</v>
      </c>
      <c r="K149" s="91" t="str">
        <f t="shared" si="10"/>
        <v>M</v>
      </c>
      <c r="L149" s="166" t="str">
        <f t="shared" si="11"/>
        <v>12/2015</v>
      </c>
      <c r="M149" s="82"/>
      <c r="N149" s="82"/>
    </row>
    <row r="150" spans="1:14" x14ac:dyDescent="0.25">
      <c r="A150" s="170" t="s">
        <v>2183</v>
      </c>
      <c r="B150" s="170" t="s">
        <v>2184</v>
      </c>
      <c r="C150" s="170" t="s">
        <v>385</v>
      </c>
      <c r="D150" s="170" t="s">
        <v>1947</v>
      </c>
      <c r="E150" s="171" t="s">
        <v>23104</v>
      </c>
      <c r="F150" s="171" t="s">
        <v>22016</v>
      </c>
      <c r="G150" s="82"/>
      <c r="H150" s="96">
        <f t="shared" si="8"/>
        <v>43.86</v>
      </c>
      <c r="I150" s="96">
        <f t="shared" si="8"/>
        <v>46.63</v>
      </c>
      <c r="J150" s="91" t="str">
        <f t="shared" si="9"/>
        <v>Sinapi 92862</v>
      </c>
      <c r="K150" s="91" t="str">
        <f t="shared" si="10"/>
        <v>M</v>
      </c>
      <c r="L150" s="166" t="str">
        <f t="shared" si="11"/>
        <v>12/2015</v>
      </c>
      <c r="M150" s="82"/>
      <c r="N150" s="82"/>
    </row>
    <row r="151" spans="1:14" x14ac:dyDescent="0.25">
      <c r="A151" s="170" t="s">
        <v>2185</v>
      </c>
      <c r="B151" s="170" t="s">
        <v>2186</v>
      </c>
      <c r="C151" s="170" t="s">
        <v>385</v>
      </c>
      <c r="D151" s="170" t="s">
        <v>1947</v>
      </c>
      <c r="E151" s="171" t="s">
        <v>31693</v>
      </c>
      <c r="F151" s="171" t="s">
        <v>35125</v>
      </c>
      <c r="G151" s="82"/>
      <c r="H151" s="96">
        <f t="shared" si="8"/>
        <v>1095.9000000000001</v>
      </c>
      <c r="I151" s="96">
        <f t="shared" si="8"/>
        <v>1098.96</v>
      </c>
      <c r="J151" s="91" t="str">
        <f t="shared" si="9"/>
        <v>Sinapi 92863</v>
      </c>
      <c r="K151" s="91" t="str">
        <f t="shared" si="10"/>
        <v>M</v>
      </c>
      <c r="L151" s="166" t="str">
        <f t="shared" si="11"/>
        <v>12/2015</v>
      </c>
      <c r="M151" s="82"/>
      <c r="N151" s="82"/>
    </row>
    <row r="152" spans="1:14" x14ac:dyDescent="0.25">
      <c r="A152" s="170" t="s">
        <v>2187</v>
      </c>
      <c r="B152" s="170" t="s">
        <v>2188</v>
      </c>
      <c r="C152" s="170" t="s">
        <v>385</v>
      </c>
      <c r="D152" s="170" t="s">
        <v>1947</v>
      </c>
      <c r="E152" s="171" t="s">
        <v>31694</v>
      </c>
      <c r="F152" s="171" t="s">
        <v>33560</v>
      </c>
      <c r="G152" s="82"/>
      <c r="H152" s="96">
        <f t="shared" si="8"/>
        <v>48.45</v>
      </c>
      <c r="I152" s="96">
        <f t="shared" si="8"/>
        <v>51.51</v>
      </c>
      <c r="J152" s="91" t="str">
        <f t="shared" si="9"/>
        <v>Sinapi 92864</v>
      </c>
      <c r="K152" s="91" t="str">
        <f t="shared" si="10"/>
        <v>M</v>
      </c>
      <c r="L152" s="166" t="str">
        <f t="shared" si="11"/>
        <v>12/2015</v>
      </c>
      <c r="M152" s="82"/>
      <c r="N152" s="82"/>
    </row>
    <row r="153" spans="1:14" x14ac:dyDescent="0.25">
      <c r="A153" s="170" t="s">
        <v>2189</v>
      </c>
      <c r="B153" s="170" t="s">
        <v>2190</v>
      </c>
      <c r="C153" s="170" t="s">
        <v>385</v>
      </c>
      <c r="D153" s="170" t="s">
        <v>1947</v>
      </c>
      <c r="E153" s="171" t="s">
        <v>31695</v>
      </c>
      <c r="F153" s="171" t="s">
        <v>31927</v>
      </c>
      <c r="G153" s="82"/>
      <c r="H153" s="96">
        <f t="shared" si="8"/>
        <v>179.77</v>
      </c>
      <c r="I153" s="96">
        <f t="shared" si="8"/>
        <v>182.95</v>
      </c>
      <c r="J153" s="91" t="str">
        <f t="shared" si="9"/>
        <v>Sinapi 92210</v>
      </c>
      <c r="K153" s="91" t="str">
        <f t="shared" si="10"/>
        <v>M</v>
      </c>
      <c r="L153" s="166" t="str">
        <f t="shared" si="11"/>
        <v>12/2015</v>
      </c>
      <c r="M153" s="82"/>
      <c r="N153" s="82"/>
    </row>
    <row r="154" spans="1:14" x14ac:dyDescent="0.25">
      <c r="A154" s="170" t="s">
        <v>2191</v>
      </c>
      <c r="B154" s="170" t="s">
        <v>2192</v>
      </c>
      <c r="C154" s="170" t="s">
        <v>385</v>
      </c>
      <c r="D154" s="170" t="s">
        <v>1947</v>
      </c>
      <c r="E154" s="171" t="s">
        <v>31696</v>
      </c>
      <c r="F154" s="171" t="s">
        <v>27751</v>
      </c>
      <c r="G154" s="82"/>
      <c r="H154" s="96">
        <f t="shared" si="8"/>
        <v>216.1</v>
      </c>
      <c r="I154" s="96">
        <f t="shared" si="8"/>
        <v>219.96</v>
      </c>
      <c r="J154" s="91" t="str">
        <f t="shared" si="9"/>
        <v>Sinapi 92211</v>
      </c>
      <c r="K154" s="91" t="str">
        <f t="shared" si="10"/>
        <v>M</v>
      </c>
      <c r="L154" s="166" t="str">
        <f t="shared" si="11"/>
        <v>12/2015</v>
      </c>
      <c r="M154" s="82"/>
      <c r="N154" s="82"/>
    </row>
    <row r="155" spans="1:14" x14ac:dyDescent="0.25">
      <c r="A155" s="170" t="s">
        <v>2193</v>
      </c>
      <c r="B155" s="170" t="s">
        <v>2194</v>
      </c>
      <c r="C155" s="170" t="s">
        <v>385</v>
      </c>
      <c r="D155" s="170" t="s">
        <v>1947</v>
      </c>
      <c r="E155" s="171" t="s">
        <v>31697</v>
      </c>
      <c r="F155" s="171" t="s">
        <v>35126</v>
      </c>
      <c r="G155" s="82"/>
      <c r="H155" s="96">
        <f t="shared" si="8"/>
        <v>323.39</v>
      </c>
      <c r="I155" s="96">
        <f t="shared" si="8"/>
        <v>327.95</v>
      </c>
      <c r="J155" s="91" t="str">
        <f t="shared" si="9"/>
        <v>Sinapi 92212</v>
      </c>
      <c r="K155" s="91" t="str">
        <f t="shared" si="10"/>
        <v>M</v>
      </c>
      <c r="L155" s="166" t="str">
        <f t="shared" si="11"/>
        <v>12/2015</v>
      </c>
      <c r="M155" s="82"/>
      <c r="N155" s="82"/>
    </row>
    <row r="156" spans="1:14" x14ac:dyDescent="0.25">
      <c r="A156" s="170" t="s">
        <v>2195</v>
      </c>
      <c r="B156" s="170" t="s">
        <v>2196</v>
      </c>
      <c r="C156" s="170" t="s">
        <v>385</v>
      </c>
      <c r="D156" s="170" t="s">
        <v>1947</v>
      </c>
      <c r="E156" s="171" t="s">
        <v>31698</v>
      </c>
      <c r="F156" s="171" t="s">
        <v>35127</v>
      </c>
      <c r="G156" s="82"/>
      <c r="H156" s="96">
        <f t="shared" si="8"/>
        <v>425.67</v>
      </c>
      <c r="I156" s="96">
        <f t="shared" si="8"/>
        <v>430.93</v>
      </c>
      <c r="J156" s="91" t="str">
        <f t="shared" si="9"/>
        <v>Sinapi 92213</v>
      </c>
      <c r="K156" s="91" t="str">
        <f t="shared" si="10"/>
        <v>M</v>
      </c>
      <c r="L156" s="166" t="str">
        <f t="shared" si="11"/>
        <v>12/2015</v>
      </c>
      <c r="M156" s="82"/>
      <c r="N156" s="82"/>
    </row>
    <row r="157" spans="1:14" x14ac:dyDescent="0.25">
      <c r="A157" s="170" t="s">
        <v>2197</v>
      </c>
      <c r="B157" s="170" t="s">
        <v>2198</v>
      </c>
      <c r="C157" s="170" t="s">
        <v>385</v>
      </c>
      <c r="D157" s="170" t="s">
        <v>1947</v>
      </c>
      <c r="E157" s="171" t="s">
        <v>31699</v>
      </c>
      <c r="F157" s="171" t="s">
        <v>35128</v>
      </c>
      <c r="G157" s="82"/>
      <c r="H157" s="96">
        <f t="shared" si="8"/>
        <v>515.32000000000005</v>
      </c>
      <c r="I157" s="96">
        <f t="shared" si="8"/>
        <v>521.34</v>
      </c>
      <c r="J157" s="91" t="str">
        <f t="shared" si="9"/>
        <v>Sinapi 92214</v>
      </c>
      <c r="K157" s="91" t="str">
        <f t="shared" si="10"/>
        <v>M</v>
      </c>
      <c r="L157" s="166" t="str">
        <f t="shared" si="11"/>
        <v>12/2015</v>
      </c>
      <c r="M157" s="82"/>
      <c r="N157" s="82"/>
    </row>
    <row r="158" spans="1:14" x14ac:dyDescent="0.25">
      <c r="A158" s="170" t="s">
        <v>2199</v>
      </c>
      <c r="B158" s="170" t="s">
        <v>2200</v>
      </c>
      <c r="C158" s="170" t="s">
        <v>385</v>
      </c>
      <c r="D158" s="170" t="s">
        <v>1947</v>
      </c>
      <c r="E158" s="171" t="s">
        <v>31700</v>
      </c>
      <c r="F158" s="171" t="s">
        <v>35129</v>
      </c>
      <c r="G158" s="82"/>
      <c r="H158" s="96">
        <f t="shared" si="8"/>
        <v>592.73</v>
      </c>
      <c r="I158" s="96">
        <f t="shared" si="8"/>
        <v>599.5</v>
      </c>
      <c r="J158" s="91" t="str">
        <f t="shared" si="9"/>
        <v>Sinapi 92215</v>
      </c>
      <c r="K158" s="91" t="str">
        <f t="shared" si="10"/>
        <v>M</v>
      </c>
      <c r="L158" s="166" t="str">
        <f t="shared" si="11"/>
        <v>12/2015</v>
      </c>
      <c r="M158" s="82"/>
      <c r="N158" s="82"/>
    </row>
    <row r="159" spans="1:14" x14ac:dyDescent="0.25">
      <c r="A159" s="170" t="s">
        <v>2201</v>
      </c>
      <c r="B159" s="170" t="s">
        <v>2202</v>
      </c>
      <c r="C159" s="170" t="s">
        <v>385</v>
      </c>
      <c r="D159" s="170" t="s">
        <v>1947</v>
      </c>
      <c r="E159" s="171" t="s">
        <v>31701</v>
      </c>
      <c r="F159" s="171" t="s">
        <v>35130</v>
      </c>
      <c r="G159" s="82"/>
      <c r="H159" s="96">
        <f t="shared" si="8"/>
        <v>621.14</v>
      </c>
      <c r="I159" s="96">
        <f t="shared" si="8"/>
        <v>628.73</v>
      </c>
      <c r="J159" s="91" t="str">
        <f t="shared" si="9"/>
        <v>Sinapi 92216</v>
      </c>
      <c r="K159" s="91" t="str">
        <f t="shared" si="10"/>
        <v>M</v>
      </c>
      <c r="L159" s="166" t="str">
        <f t="shared" si="11"/>
        <v>12/2015</v>
      </c>
      <c r="M159" s="82"/>
      <c r="N159" s="82"/>
    </row>
    <row r="160" spans="1:14" x14ac:dyDescent="0.25">
      <c r="A160" s="170" t="s">
        <v>2203</v>
      </c>
      <c r="B160" s="170" t="s">
        <v>2204</v>
      </c>
      <c r="C160" s="170" t="s">
        <v>385</v>
      </c>
      <c r="D160" s="170" t="s">
        <v>1947</v>
      </c>
      <c r="E160" s="171" t="s">
        <v>31159</v>
      </c>
      <c r="F160" s="171" t="s">
        <v>35131</v>
      </c>
      <c r="G160" s="82"/>
      <c r="H160" s="96">
        <f t="shared" si="8"/>
        <v>189.55</v>
      </c>
      <c r="I160" s="96">
        <f t="shared" si="8"/>
        <v>193.36</v>
      </c>
      <c r="J160" s="91" t="str">
        <f t="shared" si="9"/>
        <v>Sinapi 92219</v>
      </c>
      <c r="K160" s="91" t="str">
        <f t="shared" si="10"/>
        <v>M</v>
      </c>
      <c r="L160" s="166" t="str">
        <f t="shared" si="11"/>
        <v>12/2015</v>
      </c>
      <c r="M160" s="82"/>
      <c r="N160" s="82"/>
    </row>
    <row r="161" spans="1:14" x14ac:dyDescent="0.25">
      <c r="A161" s="170" t="s">
        <v>2205</v>
      </c>
      <c r="B161" s="170" t="s">
        <v>2206</v>
      </c>
      <c r="C161" s="170" t="s">
        <v>385</v>
      </c>
      <c r="D161" s="170" t="s">
        <v>1947</v>
      </c>
      <c r="E161" s="171" t="s">
        <v>31702</v>
      </c>
      <c r="F161" s="171" t="s">
        <v>35132</v>
      </c>
      <c r="G161" s="82"/>
      <c r="H161" s="96">
        <f t="shared" si="8"/>
        <v>228.25</v>
      </c>
      <c r="I161" s="96">
        <f t="shared" si="8"/>
        <v>232.88</v>
      </c>
      <c r="J161" s="91" t="str">
        <f t="shared" si="9"/>
        <v>Sinapi 92220</v>
      </c>
      <c r="K161" s="91" t="str">
        <f t="shared" si="10"/>
        <v>M</v>
      </c>
      <c r="L161" s="166" t="str">
        <f t="shared" si="11"/>
        <v>12/2015</v>
      </c>
      <c r="M161" s="82"/>
      <c r="N161" s="82"/>
    </row>
    <row r="162" spans="1:14" x14ac:dyDescent="0.25">
      <c r="A162" s="170" t="s">
        <v>2207</v>
      </c>
      <c r="B162" s="170" t="s">
        <v>2208</v>
      </c>
      <c r="C162" s="170" t="s">
        <v>385</v>
      </c>
      <c r="D162" s="170" t="s">
        <v>1947</v>
      </c>
      <c r="E162" s="171" t="s">
        <v>31703</v>
      </c>
      <c r="F162" s="171" t="s">
        <v>35133</v>
      </c>
      <c r="G162" s="82"/>
      <c r="H162" s="96">
        <f t="shared" si="8"/>
        <v>337.61</v>
      </c>
      <c r="I162" s="96">
        <f t="shared" si="8"/>
        <v>343.07</v>
      </c>
      <c r="J162" s="91" t="str">
        <f t="shared" si="9"/>
        <v>Sinapi 92221</v>
      </c>
      <c r="K162" s="91" t="str">
        <f t="shared" si="10"/>
        <v>M</v>
      </c>
      <c r="L162" s="166" t="str">
        <f t="shared" si="11"/>
        <v>12/2015</v>
      </c>
      <c r="M162" s="82"/>
      <c r="N162" s="82"/>
    </row>
    <row r="163" spans="1:14" x14ac:dyDescent="0.25">
      <c r="A163" s="170" t="s">
        <v>2209</v>
      </c>
      <c r="B163" s="170" t="s">
        <v>2210</v>
      </c>
      <c r="C163" s="170" t="s">
        <v>385</v>
      </c>
      <c r="D163" s="170" t="s">
        <v>1947</v>
      </c>
      <c r="E163" s="171" t="s">
        <v>31704</v>
      </c>
      <c r="F163" s="171" t="s">
        <v>35134</v>
      </c>
      <c r="G163" s="82"/>
      <c r="H163" s="96">
        <f t="shared" si="8"/>
        <v>442.21</v>
      </c>
      <c r="I163" s="96">
        <f t="shared" si="8"/>
        <v>448.51</v>
      </c>
      <c r="J163" s="91" t="str">
        <f t="shared" si="9"/>
        <v>Sinapi 92222</v>
      </c>
      <c r="K163" s="91" t="str">
        <f t="shared" si="10"/>
        <v>M</v>
      </c>
      <c r="L163" s="166" t="str">
        <f t="shared" si="11"/>
        <v>12/2015</v>
      </c>
      <c r="M163" s="82"/>
      <c r="N163" s="82"/>
    </row>
    <row r="164" spans="1:14" x14ac:dyDescent="0.25">
      <c r="A164" s="170" t="s">
        <v>2211</v>
      </c>
      <c r="B164" s="170" t="s">
        <v>2212</v>
      </c>
      <c r="C164" s="170" t="s">
        <v>385</v>
      </c>
      <c r="D164" s="170" t="s">
        <v>1947</v>
      </c>
      <c r="E164" s="171" t="s">
        <v>31705</v>
      </c>
      <c r="F164" s="171" t="s">
        <v>35135</v>
      </c>
      <c r="G164" s="82"/>
      <c r="H164" s="96">
        <f t="shared" si="8"/>
        <v>533.83000000000004</v>
      </c>
      <c r="I164" s="96">
        <f t="shared" si="8"/>
        <v>540.99</v>
      </c>
      <c r="J164" s="91" t="str">
        <f t="shared" si="9"/>
        <v>Sinapi 92223</v>
      </c>
      <c r="K164" s="91" t="str">
        <f t="shared" si="10"/>
        <v>M</v>
      </c>
      <c r="L164" s="166" t="str">
        <f t="shared" si="11"/>
        <v>12/2015</v>
      </c>
      <c r="M164" s="82"/>
      <c r="N164" s="82"/>
    </row>
    <row r="165" spans="1:14" x14ac:dyDescent="0.25">
      <c r="A165" s="170" t="s">
        <v>2213</v>
      </c>
      <c r="B165" s="170" t="s">
        <v>2214</v>
      </c>
      <c r="C165" s="170" t="s">
        <v>385</v>
      </c>
      <c r="D165" s="170" t="s">
        <v>1947</v>
      </c>
      <c r="E165" s="171" t="s">
        <v>31706</v>
      </c>
      <c r="F165" s="171" t="s">
        <v>35136</v>
      </c>
      <c r="G165" s="82"/>
      <c r="H165" s="96">
        <f t="shared" si="8"/>
        <v>613.26</v>
      </c>
      <c r="I165" s="96">
        <f t="shared" si="8"/>
        <v>621.34</v>
      </c>
      <c r="J165" s="91" t="str">
        <f t="shared" si="9"/>
        <v>Sinapi 92224</v>
      </c>
      <c r="K165" s="91" t="str">
        <f t="shared" si="10"/>
        <v>M</v>
      </c>
      <c r="L165" s="166" t="str">
        <f t="shared" si="11"/>
        <v>12/2015</v>
      </c>
      <c r="M165" s="82"/>
      <c r="N165" s="82"/>
    </row>
    <row r="166" spans="1:14" x14ac:dyDescent="0.25">
      <c r="A166" s="170" t="s">
        <v>2215</v>
      </c>
      <c r="B166" s="170" t="s">
        <v>2216</v>
      </c>
      <c r="C166" s="170" t="s">
        <v>385</v>
      </c>
      <c r="D166" s="170" t="s">
        <v>1947</v>
      </c>
      <c r="E166" s="171" t="s">
        <v>31707</v>
      </c>
      <c r="F166" s="171" t="s">
        <v>35137</v>
      </c>
      <c r="G166" s="82"/>
      <c r="H166" s="96">
        <f t="shared" si="8"/>
        <v>644.11</v>
      </c>
      <c r="I166" s="96">
        <f t="shared" si="8"/>
        <v>653.16999999999996</v>
      </c>
      <c r="J166" s="91" t="str">
        <f t="shared" si="9"/>
        <v>Sinapi 92226</v>
      </c>
      <c r="K166" s="91" t="str">
        <f t="shared" si="10"/>
        <v>M</v>
      </c>
      <c r="L166" s="166" t="str">
        <f t="shared" si="11"/>
        <v>12/2015</v>
      </c>
      <c r="M166" s="82"/>
      <c r="N166" s="82"/>
    </row>
    <row r="167" spans="1:14" x14ac:dyDescent="0.25">
      <c r="A167" s="170" t="s">
        <v>2217</v>
      </c>
      <c r="B167" s="170" t="s">
        <v>2218</v>
      </c>
      <c r="C167" s="170" t="s">
        <v>385</v>
      </c>
      <c r="D167" s="170" t="s">
        <v>1947</v>
      </c>
      <c r="E167" s="171" t="s">
        <v>21981</v>
      </c>
      <c r="F167" s="171" t="s">
        <v>35138</v>
      </c>
      <c r="G167" s="82"/>
      <c r="H167" s="96">
        <f t="shared" si="8"/>
        <v>39.99</v>
      </c>
      <c r="I167" s="96">
        <f t="shared" si="8"/>
        <v>42.48</v>
      </c>
      <c r="J167" s="91" t="str">
        <f t="shared" si="9"/>
        <v>Sinapi 92808</v>
      </c>
      <c r="K167" s="91" t="str">
        <f t="shared" si="10"/>
        <v>M</v>
      </c>
      <c r="L167" s="166" t="str">
        <f t="shared" si="11"/>
        <v>12/2015</v>
      </c>
      <c r="M167" s="82"/>
      <c r="N167" s="82"/>
    </row>
    <row r="168" spans="1:14" x14ac:dyDescent="0.25">
      <c r="A168" s="170" t="s">
        <v>2219</v>
      </c>
      <c r="B168" s="170" t="s">
        <v>2220</v>
      </c>
      <c r="C168" s="170" t="s">
        <v>385</v>
      </c>
      <c r="D168" s="170" t="s">
        <v>1947</v>
      </c>
      <c r="E168" s="171" t="s">
        <v>31708</v>
      </c>
      <c r="F168" s="171" t="s">
        <v>23329</v>
      </c>
      <c r="G168" s="82"/>
      <c r="H168" s="96">
        <f t="shared" si="8"/>
        <v>51.49</v>
      </c>
      <c r="I168" s="96">
        <f t="shared" si="8"/>
        <v>54.67</v>
      </c>
      <c r="J168" s="91" t="str">
        <f t="shared" si="9"/>
        <v>Sinapi 92809</v>
      </c>
      <c r="K168" s="91" t="str">
        <f t="shared" si="10"/>
        <v>M</v>
      </c>
      <c r="L168" s="166" t="str">
        <f t="shared" si="11"/>
        <v>12/2015</v>
      </c>
      <c r="M168" s="82"/>
      <c r="N168" s="82"/>
    </row>
    <row r="169" spans="1:14" x14ac:dyDescent="0.25">
      <c r="A169" s="170" t="s">
        <v>2221</v>
      </c>
      <c r="B169" s="170" t="s">
        <v>2222</v>
      </c>
      <c r="C169" s="170" t="s">
        <v>385</v>
      </c>
      <c r="D169" s="170" t="s">
        <v>1947</v>
      </c>
      <c r="E169" s="171" t="s">
        <v>21172</v>
      </c>
      <c r="F169" s="171" t="s">
        <v>19842</v>
      </c>
      <c r="G169" s="82"/>
      <c r="H169" s="96">
        <f t="shared" si="8"/>
        <v>62.79</v>
      </c>
      <c r="I169" s="96">
        <f t="shared" si="8"/>
        <v>66.650000000000006</v>
      </c>
      <c r="J169" s="91" t="str">
        <f t="shared" si="9"/>
        <v>Sinapi 92810</v>
      </c>
      <c r="K169" s="91" t="str">
        <f t="shared" si="10"/>
        <v>M</v>
      </c>
      <c r="L169" s="166" t="str">
        <f t="shared" si="11"/>
        <v>12/2015</v>
      </c>
      <c r="M169" s="82"/>
      <c r="N169" s="82"/>
    </row>
    <row r="170" spans="1:14" x14ac:dyDescent="0.25">
      <c r="A170" s="170" t="s">
        <v>2223</v>
      </c>
      <c r="B170" s="170" t="s">
        <v>2224</v>
      </c>
      <c r="C170" s="170" t="s">
        <v>385</v>
      </c>
      <c r="D170" s="170" t="s">
        <v>1947</v>
      </c>
      <c r="E170" s="171" t="s">
        <v>28772</v>
      </c>
      <c r="F170" s="171" t="s">
        <v>35139</v>
      </c>
      <c r="G170" s="82"/>
      <c r="H170" s="96">
        <f t="shared" si="8"/>
        <v>75.16</v>
      </c>
      <c r="I170" s="96">
        <f t="shared" si="8"/>
        <v>79.72</v>
      </c>
      <c r="J170" s="91" t="str">
        <f t="shared" si="9"/>
        <v>Sinapi 92811</v>
      </c>
      <c r="K170" s="91" t="str">
        <f t="shared" si="10"/>
        <v>M</v>
      </c>
      <c r="L170" s="166" t="str">
        <f t="shared" si="11"/>
        <v>12/2015</v>
      </c>
      <c r="M170" s="82"/>
      <c r="N170" s="82"/>
    </row>
    <row r="171" spans="1:14" x14ac:dyDescent="0.25">
      <c r="A171" s="170" t="s">
        <v>2225</v>
      </c>
      <c r="B171" s="170" t="s">
        <v>2226</v>
      </c>
      <c r="C171" s="170" t="s">
        <v>385</v>
      </c>
      <c r="D171" s="170" t="s">
        <v>1947</v>
      </c>
      <c r="E171" s="171" t="s">
        <v>28820</v>
      </c>
      <c r="F171" s="171" t="s">
        <v>24237</v>
      </c>
      <c r="G171" s="82"/>
      <c r="H171" s="96">
        <f t="shared" si="8"/>
        <v>87.34</v>
      </c>
      <c r="I171" s="96">
        <f t="shared" si="8"/>
        <v>92.6</v>
      </c>
      <c r="J171" s="91" t="str">
        <f t="shared" si="9"/>
        <v>Sinapi 92812</v>
      </c>
      <c r="K171" s="91" t="str">
        <f t="shared" si="10"/>
        <v>M</v>
      </c>
      <c r="L171" s="166" t="str">
        <f t="shared" si="11"/>
        <v>12/2015</v>
      </c>
      <c r="M171" s="82"/>
      <c r="N171" s="82"/>
    </row>
    <row r="172" spans="1:14" x14ac:dyDescent="0.25">
      <c r="A172" s="170" t="s">
        <v>2227</v>
      </c>
      <c r="B172" s="170" t="s">
        <v>2228</v>
      </c>
      <c r="C172" s="170" t="s">
        <v>385</v>
      </c>
      <c r="D172" s="170" t="s">
        <v>1947</v>
      </c>
      <c r="E172" s="171" t="s">
        <v>31709</v>
      </c>
      <c r="F172" s="171" t="s">
        <v>26099</v>
      </c>
      <c r="G172" s="82"/>
      <c r="H172" s="96">
        <f t="shared" si="8"/>
        <v>102.31</v>
      </c>
      <c r="I172" s="96">
        <f t="shared" si="8"/>
        <v>108.33</v>
      </c>
      <c r="J172" s="91" t="str">
        <f t="shared" si="9"/>
        <v>Sinapi 92813</v>
      </c>
      <c r="K172" s="91" t="str">
        <f t="shared" si="10"/>
        <v>M</v>
      </c>
      <c r="L172" s="166" t="str">
        <f t="shared" si="11"/>
        <v>12/2015</v>
      </c>
      <c r="M172" s="82"/>
      <c r="N172" s="82"/>
    </row>
    <row r="173" spans="1:14" x14ac:dyDescent="0.25">
      <c r="A173" s="170" t="s">
        <v>2229</v>
      </c>
      <c r="B173" s="170" t="s">
        <v>2230</v>
      </c>
      <c r="C173" s="170" t="s">
        <v>385</v>
      </c>
      <c r="D173" s="170" t="s">
        <v>1947</v>
      </c>
      <c r="E173" s="171" t="s">
        <v>23033</v>
      </c>
      <c r="F173" s="171" t="s">
        <v>35140</v>
      </c>
      <c r="G173" s="82"/>
      <c r="H173" s="96">
        <f t="shared" si="8"/>
        <v>118.18</v>
      </c>
      <c r="I173" s="96">
        <f t="shared" si="8"/>
        <v>124.95</v>
      </c>
      <c r="J173" s="91" t="str">
        <f t="shared" si="9"/>
        <v>Sinapi 92814</v>
      </c>
      <c r="K173" s="91" t="str">
        <f t="shared" si="10"/>
        <v>M</v>
      </c>
      <c r="L173" s="166" t="str">
        <f t="shared" si="11"/>
        <v>12/2015</v>
      </c>
      <c r="M173" s="82"/>
      <c r="N173" s="82"/>
    </row>
    <row r="174" spans="1:14" x14ac:dyDescent="0.25">
      <c r="A174" s="170" t="s">
        <v>2231</v>
      </c>
      <c r="B174" s="170" t="s">
        <v>2232</v>
      </c>
      <c r="C174" s="170" t="s">
        <v>385</v>
      </c>
      <c r="D174" s="170" t="s">
        <v>1947</v>
      </c>
      <c r="E174" s="171" t="s">
        <v>31710</v>
      </c>
      <c r="F174" s="171" t="s">
        <v>35141</v>
      </c>
      <c r="G174" s="82"/>
      <c r="H174" s="96">
        <f t="shared" si="8"/>
        <v>137.21</v>
      </c>
      <c r="I174" s="96">
        <f t="shared" si="8"/>
        <v>144.80000000000001</v>
      </c>
      <c r="J174" s="91" t="str">
        <f t="shared" si="9"/>
        <v>Sinapi 92815</v>
      </c>
      <c r="K174" s="91" t="str">
        <f t="shared" si="10"/>
        <v>M</v>
      </c>
      <c r="L174" s="166" t="str">
        <f t="shared" si="11"/>
        <v>12/2015</v>
      </c>
      <c r="M174" s="82"/>
      <c r="N174" s="82"/>
    </row>
    <row r="175" spans="1:14" x14ac:dyDescent="0.25">
      <c r="A175" s="170" t="s">
        <v>2233</v>
      </c>
      <c r="B175" s="170" t="s">
        <v>2234</v>
      </c>
      <c r="C175" s="170" t="s">
        <v>385</v>
      </c>
      <c r="D175" s="170" t="s">
        <v>1947</v>
      </c>
      <c r="E175" s="171" t="s">
        <v>31711</v>
      </c>
      <c r="F175" s="171" t="s">
        <v>35142</v>
      </c>
      <c r="G175" s="82"/>
      <c r="H175" s="96">
        <f t="shared" si="8"/>
        <v>894.45</v>
      </c>
      <c r="I175" s="96">
        <f t="shared" si="8"/>
        <v>903.97</v>
      </c>
      <c r="J175" s="91" t="str">
        <f t="shared" si="9"/>
        <v>Sinapi 92816</v>
      </c>
      <c r="K175" s="91" t="str">
        <f t="shared" si="10"/>
        <v>M</v>
      </c>
      <c r="L175" s="166" t="str">
        <f t="shared" si="11"/>
        <v>12/2015</v>
      </c>
      <c r="M175" s="82"/>
      <c r="N175" s="82"/>
    </row>
    <row r="176" spans="1:14" x14ac:dyDescent="0.25">
      <c r="A176" s="170" t="s">
        <v>2235</v>
      </c>
      <c r="B176" s="170" t="s">
        <v>2236</v>
      </c>
      <c r="C176" s="170" t="s">
        <v>385</v>
      </c>
      <c r="D176" s="170" t="s">
        <v>1947</v>
      </c>
      <c r="E176" s="171" t="s">
        <v>30519</v>
      </c>
      <c r="F176" s="171" t="s">
        <v>35143</v>
      </c>
      <c r="G176" s="82"/>
      <c r="H176" s="96">
        <f t="shared" si="8"/>
        <v>171.67</v>
      </c>
      <c r="I176" s="96">
        <f t="shared" si="8"/>
        <v>181.19</v>
      </c>
      <c r="J176" s="91" t="str">
        <f t="shared" si="9"/>
        <v>Sinapi 92817</v>
      </c>
      <c r="K176" s="91" t="str">
        <f t="shared" si="10"/>
        <v>M</v>
      </c>
      <c r="L176" s="166" t="str">
        <f t="shared" si="11"/>
        <v>12/2015</v>
      </c>
      <c r="M176" s="82"/>
      <c r="N176" s="82"/>
    </row>
    <row r="177" spans="1:14" x14ac:dyDescent="0.25">
      <c r="A177" s="170" t="s">
        <v>2237</v>
      </c>
      <c r="B177" s="170" t="s">
        <v>2238</v>
      </c>
      <c r="C177" s="170" t="s">
        <v>385</v>
      </c>
      <c r="D177" s="170" t="s">
        <v>1947</v>
      </c>
      <c r="E177" s="171" t="s">
        <v>31712</v>
      </c>
      <c r="F177" s="171" t="s">
        <v>35144</v>
      </c>
      <c r="G177" s="82"/>
      <c r="H177" s="96">
        <f t="shared" si="8"/>
        <v>1278.24</v>
      </c>
      <c r="I177" s="96">
        <f t="shared" si="8"/>
        <v>1291.05</v>
      </c>
      <c r="J177" s="91" t="str">
        <f t="shared" si="9"/>
        <v>Sinapi 92818</v>
      </c>
      <c r="K177" s="91" t="str">
        <f t="shared" si="10"/>
        <v>M</v>
      </c>
      <c r="L177" s="166" t="str">
        <f t="shared" si="11"/>
        <v>12/2015</v>
      </c>
      <c r="M177" s="82"/>
      <c r="N177" s="82"/>
    </row>
    <row r="178" spans="1:14" x14ac:dyDescent="0.25">
      <c r="A178" s="170" t="s">
        <v>2239</v>
      </c>
      <c r="B178" s="170" t="s">
        <v>2240</v>
      </c>
      <c r="C178" s="170" t="s">
        <v>385</v>
      </c>
      <c r="D178" s="170" t="s">
        <v>1947</v>
      </c>
      <c r="E178" s="171" t="s">
        <v>31713</v>
      </c>
      <c r="F178" s="171" t="s">
        <v>35145</v>
      </c>
      <c r="G178" s="82"/>
      <c r="H178" s="96">
        <f t="shared" si="8"/>
        <v>231.1</v>
      </c>
      <c r="I178" s="96">
        <f t="shared" si="8"/>
        <v>243.91</v>
      </c>
      <c r="J178" s="91" t="str">
        <f t="shared" si="9"/>
        <v>Sinapi 92819</v>
      </c>
      <c r="K178" s="91" t="str">
        <f t="shared" si="10"/>
        <v>M</v>
      </c>
      <c r="L178" s="166" t="str">
        <f t="shared" si="11"/>
        <v>12/2015</v>
      </c>
      <c r="M178" s="82"/>
      <c r="N178" s="82"/>
    </row>
    <row r="179" spans="1:14" x14ac:dyDescent="0.25">
      <c r="A179" s="170" t="s">
        <v>2241</v>
      </c>
      <c r="B179" s="170" t="s">
        <v>2242</v>
      </c>
      <c r="C179" s="170" t="s">
        <v>385</v>
      </c>
      <c r="D179" s="170" t="s">
        <v>1947</v>
      </c>
      <c r="E179" s="171" t="s">
        <v>21866</v>
      </c>
      <c r="F179" s="171" t="s">
        <v>19371</v>
      </c>
      <c r="G179" s="82"/>
      <c r="H179" s="96">
        <f t="shared" si="8"/>
        <v>47.64</v>
      </c>
      <c r="I179" s="96">
        <f t="shared" si="8"/>
        <v>50.63</v>
      </c>
      <c r="J179" s="91" t="str">
        <f t="shared" si="9"/>
        <v>Sinapi 92820</v>
      </c>
      <c r="K179" s="91" t="str">
        <f t="shared" si="10"/>
        <v>M</v>
      </c>
      <c r="L179" s="166" t="str">
        <f t="shared" si="11"/>
        <v>12/2015</v>
      </c>
      <c r="M179" s="82"/>
      <c r="N179" s="82"/>
    </row>
    <row r="180" spans="1:14" x14ac:dyDescent="0.25">
      <c r="A180" s="170" t="s">
        <v>2243</v>
      </c>
      <c r="B180" s="170" t="s">
        <v>2244</v>
      </c>
      <c r="C180" s="170" t="s">
        <v>385</v>
      </c>
      <c r="D180" s="170" t="s">
        <v>1947</v>
      </c>
      <c r="E180" s="171" t="s">
        <v>31714</v>
      </c>
      <c r="F180" s="171" t="s">
        <v>19978</v>
      </c>
      <c r="G180" s="82"/>
      <c r="H180" s="96">
        <f t="shared" si="8"/>
        <v>61.27</v>
      </c>
      <c r="I180" s="96">
        <f t="shared" si="8"/>
        <v>65.08</v>
      </c>
      <c r="J180" s="91" t="str">
        <f t="shared" si="9"/>
        <v>Sinapi 92821</v>
      </c>
      <c r="K180" s="91" t="str">
        <f t="shared" si="10"/>
        <v>M</v>
      </c>
      <c r="L180" s="166" t="str">
        <f t="shared" si="11"/>
        <v>12/2015</v>
      </c>
      <c r="M180" s="82"/>
      <c r="N180" s="82"/>
    </row>
    <row r="181" spans="1:14" x14ac:dyDescent="0.25">
      <c r="A181" s="170" t="s">
        <v>2245</v>
      </c>
      <c r="B181" s="170" t="s">
        <v>2246</v>
      </c>
      <c r="C181" s="170" t="s">
        <v>385</v>
      </c>
      <c r="D181" s="170" t="s">
        <v>1947</v>
      </c>
      <c r="E181" s="171" t="s">
        <v>31715</v>
      </c>
      <c r="F181" s="171" t="s">
        <v>35146</v>
      </c>
      <c r="G181" s="82"/>
      <c r="H181" s="96">
        <f t="shared" si="8"/>
        <v>74.94</v>
      </c>
      <c r="I181" s="96">
        <f t="shared" si="8"/>
        <v>79.569999999999993</v>
      </c>
      <c r="J181" s="91" t="str">
        <f t="shared" si="9"/>
        <v>Sinapi 92822</v>
      </c>
      <c r="K181" s="91" t="str">
        <f t="shared" si="10"/>
        <v>M</v>
      </c>
      <c r="L181" s="166" t="str">
        <f t="shared" si="11"/>
        <v>12/2015</v>
      </c>
      <c r="M181" s="82"/>
      <c r="N181" s="82"/>
    </row>
    <row r="182" spans="1:14" x14ac:dyDescent="0.25">
      <c r="A182" s="170" t="s">
        <v>2247</v>
      </c>
      <c r="B182" s="170" t="s">
        <v>2248</v>
      </c>
      <c r="C182" s="170" t="s">
        <v>385</v>
      </c>
      <c r="D182" s="170" t="s">
        <v>1947</v>
      </c>
      <c r="E182" s="171" t="s">
        <v>31716</v>
      </c>
      <c r="F182" s="171" t="s">
        <v>28949</v>
      </c>
      <c r="G182" s="82"/>
      <c r="H182" s="96">
        <f t="shared" si="8"/>
        <v>89.38</v>
      </c>
      <c r="I182" s="96">
        <f t="shared" si="8"/>
        <v>94.84</v>
      </c>
      <c r="J182" s="91" t="str">
        <f t="shared" si="9"/>
        <v>Sinapi 92824</v>
      </c>
      <c r="K182" s="91" t="str">
        <f t="shared" si="10"/>
        <v>M</v>
      </c>
      <c r="L182" s="166" t="str">
        <f t="shared" si="11"/>
        <v>12/2015</v>
      </c>
      <c r="M182" s="82"/>
      <c r="N182" s="82"/>
    </row>
    <row r="183" spans="1:14" x14ac:dyDescent="0.25">
      <c r="A183" s="170" t="s">
        <v>2249</v>
      </c>
      <c r="B183" s="170" t="s">
        <v>2250</v>
      </c>
      <c r="C183" s="170" t="s">
        <v>385</v>
      </c>
      <c r="D183" s="170" t="s">
        <v>1947</v>
      </c>
      <c r="E183" s="171" t="s">
        <v>31717</v>
      </c>
      <c r="F183" s="171" t="s">
        <v>35147</v>
      </c>
      <c r="G183" s="82"/>
      <c r="H183" s="96">
        <f t="shared" si="8"/>
        <v>103.88</v>
      </c>
      <c r="I183" s="96">
        <f t="shared" si="8"/>
        <v>110.18</v>
      </c>
      <c r="J183" s="91" t="str">
        <f t="shared" si="9"/>
        <v>Sinapi 92825</v>
      </c>
      <c r="K183" s="91" t="str">
        <f t="shared" si="10"/>
        <v>M</v>
      </c>
      <c r="L183" s="166" t="str">
        <f t="shared" si="11"/>
        <v>12/2015</v>
      </c>
      <c r="M183" s="82"/>
      <c r="N183" s="82"/>
    </row>
    <row r="184" spans="1:14" x14ac:dyDescent="0.25">
      <c r="A184" s="170" t="s">
        <v>2251</v>
      </c>
      <c r="B184" s="170" t="s">
        <v>2252</v>
      </c>
      <c r="C184" s="170" t="s">
        <v>385</v>
      </c>
      <c r="D184" s="170" t="s">
        <v>1947</v>
      </c>
      <c r="E184" s="171" t="s">
        <v>23037</v>
      </c>
      <c r="F184" s="171" t="s">
        <v>35148</v>
      </c>
      <c r="G184" s="82"/>
      <c r="H184" s="96">
        <f t="shared" si="8"/>
        <v>120.82</v>
      </c>
      <c r="I184" s="96">
        <f t="shared" si="8"/>
        <v>127.98</v>
      </c>
      <c r="J184" s="91" t="str">
        <f t="shared" si="9"/>
        <v>Sinapi 92826</v>
      </c>
      <c r="K184" s="91" t="str">
        <f t="shared" si="10"/>
        <v>M</v>
      </c>
      <c r="L184" s="166" t="str">
        <f t="shared" si="11"/>
        <v>12/2015</v>
      </c>
      <c r="M184" s="82"/>
      <c r="N184" s="82"/>
    </row>
    <row r="185" spans="1:14" x14ac:dyDescent="0.25">
      <c r="A185" s="170" t="s">
        <v>2253</v>
      </c>
      <c r="B185" s="170" t="s">
        <v>2254</v>
      </c>
      <c r="C185" s="170" t="s">
        <v>385</v>
      </c>
      <c r="D185" s="170" t="s">
        <v>1947</v>
      </c>
      <c r="E185" s="171" t="s">
        <v>31718</v>
      </c>
      <c r="F185" s="171" t="s">
        <v>35149</v>
      </c>
      <c r="G185" s="82"/>
      <c r="H185" s="96">
        <f t="shared" si="8"/>
        <v>138.71</v>
      </c>
      <c r="I185" s="96">
        <f t="shared" si="8"/>
        <v>146.79</v>
      </c>
      <c r="J185" s="91" t="str">
        <f t="shared" si="9"/>
        <v>Sinapi 92827</v>
      </c>
      <c r="K185" s="91" t="str">
        <f t="shared" si="10"/>
        <v>M</v>
      </c>
      <c r="L185" s="166" t="str">
        <f t="shared" si="11"/>
        <v>12/2015</v>
      </c>
      <c r="M185" s="82"/>
      <c r="N185" s="82"/>
    </row>
    <row r="186" spans="1:14" x14ac:dyDescent="0.25">
      <c r="A186" s="170" t="s">
        <v>2255</v>
      </c>
      <c r="B186" s="170" t="s">
        <v>2256</v>
      </c>
      <c r="C186" s="170" t="s">
        <v>385</v>
      </c>
      <c r="D186" s="170" t="s">
        <v>1947</v>
      </c>
      <c r="E186" s="171" t="s">
        <v>31719</v>
      </c>
      <c r="F186" s="171" t="s">
        <v>35150</v>
      </c>
      <c r="G186" s="82"/>
      <c r="H186" s="96">
        <f t="shared" si="8"/>
        <v>160.18</v>
      </c>
      <c r="I186" s="96">
        <f t="shared" si="8"/>
        <v>169.24</v>
      </c>
      <c r="J186" s="91" t="str">
        <f t="shared" si="9"/>
        <v>Sinapi 92828</v>
      </c>
      <c r="K186" s="91" t="str">
        <f t="shared" si="10"/>
        <v>M</v>
      </c>
      <c r="L186" s="166" t="str">
        <f t="shared" si="11"/>
        <v>12/2015</v>
      </c>
      <c r="M186" s="82"/>
      <c r="N186" s="82"/>
    </row>
    <row r="187" spans="1:14" x14ac:dyDescent="0.25">
      <c r="A187" s="170" t="s">
        <v>2257</v>
      </c>
      <c r="B187" s="170" t="s">
        <v>2258</v>
      </c>
      <c r="C187" s="170" t="s">
        <v>385</v>
      </c>
      <c r="D187" s="170" t="s">
        <v>1947</v>
      </c>
      <c r="E187" s="171" t="s">
        <v>31720</v>
      </c>
      <c r="F187" s="171" t="s">
        <v>35151</v>
      </c>
      <c r="G187" s="82"/>
      <c r="H187" s="96">
        <f t="shared" si="8"/>
        <v>921.48</v>
      </c>
      <c r="I187" s="96">
        <f t="shared" si="8"/>
        <v>932.71</v>
      </c>
      <c r="J187" s="91" t="str">
        <f t="shared" si="9"/>
        <v>Sinapi 92829</v>
      </c>
      <c r="K187" s="91" t="str">
        <f t="shared" si="10"/>
        <v>M</v>
      </c>
      <c r="L187" s="166" t="str">
        <f t="shared" si="11"/>
        <v>12/2015</v>
      </c>
      <c r="M187" s="82"/>
      <c r="N187" s="82"/>
    </row>
    <row r="188" spans="1:14" x14ac:dyDescent="0.25">
      <c r="A188" s="170" t="s">
        <v>2259</v>
      </c>
      <c r="B188" s="170" t="s">
        <v>2260</v>
      </c>
      <c r="C188" s="170" t="s">
        <v>385</v>
      </c>
      <c r="D188" s="170" t="s">
        <v>1947</v>
      </c>
      <c r="E188" s="171" t="s">
        <v>31721</v>
      </c>
      <c r="F188" s="171" t="s">
        <v>35152</v>
      </c>
      <c r="G188" s="82"/>
      <c r="H188" s="96">
        <f t="shared" si="8"/>
        <v>198.7</v>
      </c>
      <c r="I188" s="96">
        <f t="shared" si="8"/>
        <v>209.93</v>
      </c>
      <c r="J188" s="91" t="str">
        <f t="shared" si="9"/>
        <v>Sinapi 92830</v>
      </c>
      <c r="K188" s="91" t="str">
        <f t="shared" si="10"/>
        <v>M</v>
      </c>
      <c r="L188" s="166" t="str">
        <f t="shared" si="11"/>
        <v>12/2015</v>
      </c>
      <c r="M188" s="82"/>
      <c r="N188" s="82"/>
    </row>
    <row r="189" spans="1:14" x14ac:dyDescent="0.25">
      <c r="A189" s="170" t="s">
        <v>2261</v>
      </c>
      <c r="B189" s="170" t="s">
        <v>2262</v>
      </c>
      <c r="C189" s="170" t="s">
        <v>385</v>
      </c>
      <c r="D189" s="170" t="s">
        <v>1947</v>
      </c>
      <c r="E189" s="171" t="s">
        <v>31722</v>
      </c>
      <c r="F189" s="171" t="s">
        <v>35153</v>
      </c>
      <c r="G189" s="82"/>
      <c r="H189" s="96">
        <f t="shared" si="8"/>
        <v>1311.28</v>
      </c>
      <c r="I189" s="96">
        <f t="shared" si="8"/>
        <v>1326.23</v>
      </c>
      <c r="J189" s="91" t="str">
        <f t="shared" si="9"/>
        <v>Sinapi 92831</v>
      </c>
      <c r="K189" s="91" t="str">
        <f t="shared" si="10"/>
        <v>M</v>
      </c>
      <c r="L189" s="166" t="str">
        <f t="shared" si="11"/>
        <v>12/2015</v>
      </c>
      <c r="M189" s="82"/>
      <c r="N189" s="82"/>
    </row>
    <row r="190" spans="1:14" x14ac:dyDescent="0.25">
      <c r="A190" s="170" t="s">
        <v>2263</v>
      </c>
      <c r="B190" s="170" t="s">
        <v>2264</v>
      </c>
      <c r="C190" s="170" t="s">
        <v>385</v>
      </c>
      <c r="D190" s="170" t="s">
        <v>1947</v>
      </c>
      <c r="E190" s="171" t="s">
        <v>31723</v>
      </c>
      <c r="F190" s="171" t="s">
        <v>35154</v>
      </c>
      <c r="G190" s="82"/>
      <c r="H190" s="96">
        <f t="shared" si="8"/>
        <v>264.14</v>
      </c>
      <c r="I190" s="96">
        <f t="shared" si="8"/>
        <v>279.08999999999997</v>
      </c>
      <c r="J190" s="91" t="str">
        <f t="shared" si="9"/>
        <v>Sinapi 92832</v>
      </c>
      <c r="K190" s="91" t="str">
        <f t="shared" si="10"/>
        <v>M</v>
      </c>
      <c r="L190" s="166" t="str">
        <f t="shared" si="11"/>
        <v>12/2015</v>
      </c>
      <c r="M190" s="82"/>
      <c r="N190" s="82"/>
    </row>
    <row r="191" spans="1:14" x14ac:dyDescent="0.25">
      <c r="A191" s="170" t="s">
        <v>2265</v>
      </c>
      <c r="B191" s="170" t="s">
        <v>2266</v>
      </c>
      <c r="C191" s="170" t="s">
        <v>385</v>
      </c>
      <c r="D191" s="170" t="s">
        <v>1947</v>
      </c>
      <c r="E191" s="171" t="s">
        <v>31724</v>
      </c>
      <c r="F191" s="171" t="s">
        <v>35155</v>
      </c>
      <c r="G191" s="82"/>
      <c r="H191" s="96">
        <f t="shared" si="8"/>
        <v>153.66999999999999</v>
      </c>
      <c r="I191" s="96">
        <f t="shared" si="8"/>
        <v>156.16</v>
      </c>
      <c r="J191" s="91" t="str">
        <f t="shared" si="9"/>
        <v>Sinapi 95565</v>
      </c>
      <c r="K191" s="91" t="str">
        <f t="shared" si="10"/>
        <v>M</v>
      </c>
      <c r="L191" s="166" t="str">
        <f t="shared" si="11"/>
        <v>12/2015</v>
      </c>
      <c r="M191" s="82"/>
      <c r="N191" s="82"/>
    </row>
    <row r="192" spans="1:14" x14ac:dyDescent="0.25">
      <c r="A192" s="170" t="s">
        <v>2267</v>
      </c>
      <c r="B192" s="170" t="s">
        <v>2268</v>
      </c>
      <c r="C192" s="170" t="s">
        <v>385</v>
      </c>
      <c r="D192" s="170" t="s">
        <v>1947</v>
      </c>
      <c r="E192" s="171" t="s">
        <v>31725</v>
      </c>
      <c r="F192" s="171" t="s">
        <v>35156</v>
      </c>
      <c r="G192" s="82"/>
      <c r="H192" s="96">
        <f t="shared" si="8"/>
        <v>161.32</v>
      </c>
      <c r="I192" s="96">
        <f t="shared" si="8"/>
        <v>164.31</v>
      </c>
      <c r="J192" s="91" t="str">
        <f t="shared" si="9"/>
        <v>Sinapi 95566</v>
      </c>
      <c r="K192" s="91" t="str">
        <f t="shared" si="10"/>
        <v>M</v>
      </c>
      <c r="L192" s="166" t="str">
        <f t="shared" si="11"/>
        <v>12/2015</v>
      </c>
      <c r="M192" s="82"/>
      <c r="N192" s="82"/>
    </row>
    <row r="193" spans="1:14" x14ac:dyDescent="0.25">
      <c r="A193" s="170" t="s">
        <v>2269</v>
      </c>
      <c r="B193" s="170" t="s">
        <v>2270</v>
      </c>
      <c r="C193" s="170" t="s">
        <v>385</v>
      </c>
      <c r="D193" s="170" t="s">
        <v>1947</v>
      </c>
      <c r="E193" s="171" t="s">
        <v>31726</v>
      </c>
      <c r="F193" s="171" t="s">
        <v>34927</v>
      </c>
      <c r="G193" s="82"/>
      <c r="H193" s="96">
        <f t="shared" si="8"/>
        <v>113.12</v>
      </c>
      <c r="I193" s="96">
        <f t="shared" si="8"/>
        <v>115.61</v>
      </c>
      <c r="J193" s="91" t="str">
        <f t="shared" si="9"/>
        <v>Sinapi 95567</v>
      </c>
      <c r="K193" s="91" t="str">
        <f t="shared" si="10"/>
        <v>M</v>
      </c>
      <c r="L193" s="166" t="str">
        <f t="shared" si="11"/>
        <v>12/2015</v>
      </c>
      <c r="M193" s="82"/>
      <c r="N193" s="82"/>
    </row>
    <row r="194" spans="1:14" x14ac:dyDescent="0.25">
      <c r="A194" s="170" t="s">
        <v>2271</v>
      </c>
      <c r="B194" s="170" t="s">
        <v>2272</v>
      </c>
      <c r="C194" s="170" t="s">
        <v>385</v>
      </c>
      <c r="D194" s="170" t="s">
        <v>1947</v>
      </c>
      <c r="E194" s="171" t="s">
        <v>31727</v>
      </c>
      <c r="F194" s="171" t="s">
        <v>29085</v>
      </c>
      <c r="G194" s="82"/>
      <c r="H194" s="96">
        <f t="shared" si="8"/>
        <v>137.9</v>
      </c>
      <c r="I194" s="96">
        <f t="shared" si="8"/>
        <v>141.08000000000001</v>
      </c>
      <c r="J194" s="91" t="str">
        <f t="shared" si="9"/>
        <v>Sinapi 95568</v>
      </c>
      <c r="K194" s="91" t="str">
        <f t="shared" si="10"/>
        <v>M</v>
      </c>
      <c r="L194" s="166" t="str">
        <f t="shared" si="11"/>
        <v>12/2015</v>
      </c>
      <c r="M194" s="82"/>
      <c r="N194" s="82"/>
    </row>
    <row r="195" spans="1:14" x14ac:dyDescent="0.25">
      <c r="A195" s="170" t="s">
        <v>2273</v>
      </c>
      <c r="B195" s="170" t="s">
        <v>2274</v>
      </c>
      <c r="C195" s="170" t="s">
        <v>385</v>
      </c>
      <c r="D195" s="170" t="s">
        <v>1947</v>
      </c>
      <c r="E195" s="171" t="s">
        <v>31728</v>
      </c>
      <c r="F195" s="171" t="s">
        <v>35157</v>
      </c>
      <c r="G195" s="82"/>
      <c r="H195" s="96">
        <f t="shared" si="8"/>
        <v>191.4</v>
      </c>
      <c r="I195" s="96">
        <f t="shared" si="8"/>
        <v>195.26</v>
      </c>
      <c r="J195" s="91" t="str">
        <f t="shared" si="9"/>
        <v>Sinapi 95569</v>
      </c>
      <c r="K195" s="91" t="str">
        <f t="shared" si="10"/>
        <v>M</v>
      </c>
      <c r="L195" s="166" t="str">
        <f t="shared" si="11"/>
        <v>12/2015</v>
      </c>
      <c r="M195" s="82"/>
      <c r="N195" s="82"/>
    </row>
    <row r="196" spans="1:14" x14ac:dyDescent="0.25">
      <c r="A196" s="170" t="s">
        <v>2275</v>
      </c>
      <c r="B196" s="170" t="s">
        <v>2276</v>
      </c>
      <c r="C196" s="170" t="s">
        <v>385</v>
      </c>
      <c r="D196" s="170" t="s">
        <v>1947</v>
      </c>
      <c r="E196" s="171" t="s">
        <v>29298</v>
      </c>
      <c r="F196" s="171" t="s">
        <v>35158</v>
      </c>
      <c r="G196" s="82"/>
      <c r="H196" s="96">
        <f t="shared" si="8"/>
        <v>120.77</v>
      </c>
      <c r="I196" s="96">
        <f t="shared" si="8"/>
        <v>123.76</v>
      </c>
      <c r="J196" s="91" t="str">
        <f t="shared" si="9"/>
        <v>Sinapi 95570</v>
      </c>
      <c r="K196" s="91" t="str">
        <f t="shared" si="10"/>
        <v>M</v>
      </c>
      <c r="L196" s="166" t="str">
        <f t="shared" si="11"/>
        <v>12/2015</v>
      </c>
      <c r="M196" s="82"/>
      <c r="N196" s="82"/>
    </row>
    <row r="197" spans="1:14" x14ac:dyDescent="0.25">
      <c r="A197" s="170" t="s">
        <v>2277</v>
      </c>
      <c r="B197" s="170" t="s">
        <v>2278</v>
      </c>
      <c r="C197" s="170" t="s">
        <v>385</v>
      </c>
      <c r="D197" s="170" t="s">
        <v>1947</v>
      </c>
      <c r="E197" s="171" t="s">
        <v>31729</v>
      </c>
      <c r="F197" s="171" t="s">
        <v>35159</v>
      </c>
      <c r="G197" s="82"/>
      <c r="H197" s="96">
        <f t="shared" si="8"/>
        <v>147.68</v>
      </c>
      <c r="I197" s="96">
        <f t="shared" si="8"/>
        <v>151.49</v>
      </c>
      <c r="J197" s="91" t="str">
        <f t="shared" si="9"/>
        <v>Sinapi 95571</v>
      </c>
      <c r="K197" s="91" t="str">
        <f t="shared" si="10"/>
        <v>M</v>
      </c>
      <c r="L197" s="166" t="str">
        <f t="shared" si="11"/>
        <v>12/2015</v>
      </c>
      <c r="M197" s="82"/>
      <c r="N197" s="82"/>
    </row>
    <row r="198" spans="1:14" x14ac:dyDescent="0.25">
      <c r="A198" s="170" t="s">
        <v>2279</v>
      </c>
      <c r="B198" s="170" t="s">
        <v>2280</v>
      </c>
      <c r="C198" s="170" t="s">
        <v>385</v>
      </c>
      <c r="D198" s="170" t="s">
        <v>1947</v>
      </c>
      <c r="E198" s="171" t="s">
        <v>31730</v>
      </c>
      <c r="F198" s="171" t="s">
        <v>35160</v>
      </c>
      <c r="G198" s="82"/>
      <c r="H198" s="96">
        <f t="shared" si="8"/>
        <v>203.55</v>
      </c>
      <c r="I198" s="96">
        <f t="shared" si="8"/>
        <v>208.18</v>
      </c>
      <c r="J198" s="91" t="str">
        <f t="shared" si="9"/>
        <v>Sinapi 95572</v>
      </c>
      <c r="K198" s="91" t="str">
        <f t="shared" si="10"/>
        <v>M</v>
      </c>
      <c r="L198" s="166" t="str">
        <f t="shared" si="11"/>
        <v>12/2015</v>
      </c>
      <c r="M198" s="82"/>
      <c r="N198" s="82"/>
    </row>
    <row r="199" spans="1:14" x14ac:dyDescent="0.25">
      <c r="A199" s="170" t="s">
        <v>2281</v>
      </c>
      <c r="B199" s="170" t="s">
        <v>2282</v>
      </c>
      <c r="C199" s="170" t="s">
        <v>385</v>
      </c>
      <c r="D199" s="170" t="s">
        <v>2067</v>
      </c>
      <c r="E199" s="171" t="s">
        <v>21015</v>
      </c>
      <c r="F199" s="171" t="s">
        <v>5225</v>
      </c>
      <c r="G199" s="82"/>
      <c r="H199" s="96">
        <f t="shared" si="8"/>
        <v>4.9000000000000004</v>
      </c>
      <c r="I199" s="96">
        <f t="shared" si="8"/>
        <v>5.41</v>
      </c>
      <c r="J199" s="91" t="str">
        <f t="shared" si="9"/>
        <v>Sinapi 97127</v>
      </c>
      <c r="K199" s="91" t="str">
        <f t="shared" si="10"/>
        <v>M</v>
      </c>
      <c r="L199" s="166" t="str">
        <f t="shared" si="11"/>
        <v>11/2017</v>
      </c>
      <c r="M199" s="82"/>
      <c r="N199" s="82"/>
    </row>
    <row r="200" spans="1:14" x14ac:dyDescent="0.25">
      <c r="A200" s="170" t="s">
        <v>2283</v>
      </c>
      <c r="B200" s="170" t="s">
        <v>2284</v>
      </c>
      <c r="C200" s="170" t="s">
        <v>385</v>
      </c>
      <c r="D200" s="170" t="s">
        <v>1947</v>
      </c>
      <c r="E200" s="171" t="s">
        <v>18134</v>
      </c>
      <c r="F200" s="171" t="s">
        <v>18548</v>
      </c>
      <c r="G200" s="82"/>
      <c r="H200" s="96">
        <f t="shared" ref="H200:I263" si="12">IF(E200="","",E200+0)</f>
        <v>9.91</v>
      </c>
      <c r="I200" s="96">
        <f t="shared" si="12"/>
        <v>10.74</v>
      </c>
      <c r="J200" s="91" t="str">
        <f t="shared" ref="J200:J263" si="13">IF(OR(H200="",I200=""),"",TRIM(CONCATENATE("Sinapi ",A200)))</f>
        <v>Sinapi 97128</v>
      </c>
      <c r="K200" s="91" t="str">
        <f t="shared" ref="K200:K263" si="14">TRIM(C200)</f>
        <v>M</v>
      </c>
      <c r="L200" s="166" t="str">
        <f t="shared" ref="L200:L263" si="15">IF(OR(RIGHT(IF(AND(K200&lt;&gt;"H",K200&lt;&gt;"MES"),RIGHT(B200,7),""),2)="PS",RIGHT(IF(AND(K200&lt;&gt;"H",K200&lt;&gt;"MES"),RIGHT(B200,7),""),2)="PA",RIGHT(IF(AND(K200&lt;&gt;"H",K200&lt;&gt;"MES"),RIGHT(B200,7),""),2)="PE"),LEFT(IF(AND(K200&lt;&gt;"H",K200&lt;&gt;"MES"),RIGHT(B200,10),""),7),IF(AND(K200&lt;&gt;"H",K200&lt;&gt;"MES"),RIGHT(B200,7),""))</f>
        <v>11/2017</v>
      </c>
      <c r="M200" s="82"/>
      <c r="N200" s="82"/>
    </row>
    <row r="201" spans="1:14" x14ac:dyDescent="0.25">
      <c r="A201" s="170" t="s">
        <v>2285</v>
      </c>
      <c r="B201" s="170" t="s">
        <v>2286</v>
      </c>
      <c r="C201" s="170" t="s">
        <v>385</v>
      </c>
      <c r="D201" s="170" t="s">
        <v>1947</v>
      </c>
      <c r="E201" s="171" t="s">
        <v>30953</v>
      </c>
      <c r="F201" s="171" t="s">
        <v>21494</v>
      </c>
      <c r="G201" s="82"/>
      <c r="H201" s="96">
        <f t="shared" si="12"/>
        <v>12.17</v>
      </c>
      <c r="I201" s="96">
        <f t="shared" si="12"/>
        <v>13.21</v>
      </c>
      <c r="J201" s="91" t="str">
        <f t="shared" si="13"/>
        <v>Sinapi 97129</v>
      </c>
      <c r="K201" s="91" t="str">
        <f t="shared" si="14"/>
        <v>M</v>
      </c>
      <c r="L201" s="166" t="str">
        <f t="shared" si="15"/>
        <v>11/2017</v>
      </c>
      <c r="M201" s="82"/>
      <c r="N201" s="82"/>
    </row>
    <row r="202" spans="1:14" x14ac:dyDescent="0.25">
      <c r="A202" s="170" t="s">
        <v>2287</v>
      </c>
      <c r="B202" s="170" t="s">
        <v>2288</v>
      </c>
      <c r="C202" s="170" t="s">
        <v>385</v>
      </c>
      <c r="D202" s="170" t="s">
        <v>1947</v>
      </c>
      <c r="E202" s="171" t="s">
        <v>19895</v>
      </c>
      <c r="F202" s="171" t="s">
        <v>22092</v>
      </c>
      <c r="G202" s="82"/>
      <c r="H202" s="96">
        <f t="shared" si="12"/>
        <v>14.46</v>
      </c>
      <c r="I202" s="96">
        <f t="shared" si="12"/>
        <v>15.68</v>
      </c>
      <c r="J202" s="91" t="str">
        <f t="shared" si="13"/>
        <v>Sinapi 97130</v>
      </c>
      <c r="K202" s="91" t="str">
        <f t="shared" si="14"/>
        <v>M</v>
      </c>
      <c r="L202" s="166" t="str">
        <f t="shared" si="15"/>
        <v>11/2017</v>
      </c>
      <c r="M202" s="82"/>
      <c r="N202" s="82"/>
    </row>
    <row r="203" spans="1:14" x14ac:dyDescent="0.25">
      <c r="A203" s="170" t="s">
        <v>2290</v>
      </c>
      <c r="B203" s="170" t="s">
        <v>2291</v>
      </c>
      <c r="C203" s="170" t="s">
        <v>385</v>
      </c>
      <c r="D203" s="170" t="s">
        <v>1947</v>
      </c>
      <c r="E203" s="171" t="s">
        <v>31731</v>
      </c>
      <c r="F203" s="171" t="s">
        <v>31893</v>
      </c>
      <c r="G203" s="82"/>
      <c r="H203" s="96">
        <f t="shared" si="12"/>
        <v>16.72</v>
      </c>
      <c r="I203" s="96">
        <f t="shared" si="12"/>
        <v>18.12</v>
      </c>
      <c r="J203" s="91" t="str">
        <f t="shared" si="13"/>
        <v>Sinapi 97131</v>
      </c>
      <c r="K203" s="91" t="str">
        <f t="shared" si="14"/>
        <v>M</v>
      </c>
      <c r="L203" s="166" t="str">
        <f t="shared" si="15"/>
        <v>11/2017</v>
      </c>
      <c r="M203" s="82"/>
      <c r="N203" s="82"/>
    </row>
    <row r="204" spans="1:14" x14ac:dyDescent="0.25">
      <c r="A204" s="170" t="s">
        <v>2292</v>
      </c>
      <c r="B204" s="170" t="s">
        <v>2293</v>
      </c>
      <c r="C204" s="170" t="s">
        <v>385</v>
      </c>
      <c r="D204" s="170" t="s">
        <v>1947</v>
      </c>
      <c r="E204" s="171" t="s">
        <v>23170</v>
      </c>
      <c r="F204" s="171" t="s">
        <v>23153</v>
      </c>
      <c r="G204" s="82"/>
      <c r="H204" s="96">
        <f t="shared" si="12"/>
        <v>18.989999999999998</v>
      </c>
      <c r="I204" s="96">
        <f t="shared" si="12"/>
        <v>20.58</v>
      </c>
      <c r="J204" s="91" t="str">
        <f t="shared" si="13"/>
        <v>Sinapi 97132</v>
      </c>
      <c r="K204" s="91" t="str">
        <f t="shared" si="14"/>
        <v>M</v>
      </c>
      <c r="L204" s="166" t="str">
        <f t="shared" si="15"/>
        <v>11/2017</v>
      </c>
      <c r="M204" s="82"/>
      <c r="N204" s="82"/>
    </row>
    <row r="205" spans="1:14" x14ac:dyDescent="0.25">
      <c r="A205" s="170" t="s">
        <v>2294</v>
      </c>
      <c r="B205" s="170" t="s">
        <v>2295</v>
      </c>
      <c r="C205" s="170" t="s">
        <v>385</v>
      </c>
      <c r="D205" s="170" t="s">
        <v>1947</v>
      </c>
      <c r="E205" s="171" t="s">
        <v>16210</v>
      </c>
      <c r="F205" s="171" t="s">
        <v>29679</v>
      </c>
      <c r="G205" s="82"/>
      <c r="H205" s="96">
        <f t="shared" si="12"/>
        <v>23.54</v>
      </c>
      <c r="I205" s="96">
        <f t="shared" si="12"/>
        <v>25.53</v>
      </c>
      <c r="J205" s="91" t="str">
        <f t="shared" si="13"/>
        <v>Sinapi 97133</v>
      </c>
      <c r="K205" s="91" t="str">
        <f t="shared" si="14"/>
        <v>M</v>
      </c>
      <c r="L205" s="166" t="str">
        <f t="shared" si="15"/>
        <v>11/2017</v>
      </c>
      <c r="M205" s="82"/>
      <c r="N205" s="82"/>
    </row>
    <row r="206" spans="1:14" x14ac:dyDescent="0.25">
      <c r="A206" s="170" t="s">
        <v>2296</v>
      </c>
      <c r="B206" s="170" t="s">
        <v>2297</v>
      </c>
      <c r="C206" s="170" t="s">
        <v>385</v>
      </c>
      <c r="D206" s="170" t="s">
        <v>2067</v>
      </c>
      <c r="E206" s="171" t="s">
        <v>15558</v>
      </c>
      <c r="F206" s="171" t="s">
        <v>20013</v>
      </c>
      <c r="G206" s="82"/>
      <c r="H206" s="96">
        <f t="shared" si="12"/>
        <v>2.2999999999999998</v>
      </c>
      <c r="I206" s="96">
        <f t="shared" si="12"/>
        <v>2.5099999999999998</v>
      </c>
      <c r="J206" s="91" t="str">
        <f t="shared" si="13"/>
        <v>Sinapi 97134</v>
      </c>
      <c r="K206" s="91" t="str">
        <f t="shared" si="14"/>
        <v>M</v>
      </c>
      <c r="L206" s="166" t="str">
        <f t="shared" si="15"/>
        <v>11/2017</v>
      </c>
      <c r="M206" s="82"/>
      <c r="N206" s="82"/>
    </row>
    <row r="207" spans="1:14" x14ac:dyDescent="0.25">
      <c r="A207" s="170" t="s">
        <v>2298</v>
      </c>
      <c r="B207" s="170" t="s">
        <v>2299</v>
      </c>
      <c r="C207" s="170" t="s">
        <v>385</v>
      </c>
      <c r="D207" s="170" t="s">
        <v>1947</v>
      </c>
      <c r="E207" s="171" t="s">
        <v>13433</v>
      </c>
      <c r="F207" s="171" t="s">
        <v>15965</v>
      </c>
      <c r="G207" s="82"/>
      <c r="H207" s="96">
        <f t="shared" si="12"/>
        <v>5.13</v>
      </c>
      <c r="I207" s="96">
        <f t="shared" si="12"/>
        <v>5.49</v>
      </c>
      <c r="J207" s="91" t="str">
        <f t="shared" si="13"/>
        <v>Sinapi 97135</v>
      </c>
      <c r="K207" s="91" t="str">
        <f t="shared" si="14"/>
        <v>M</v>
      </c>
      <c r="L207" s="166" t="str">
        <f t="shared" si="15"/>
        <v>11/2017</v>
      </c>
      <c r="M207" s="82"/>
      <c r="N207" s="82"/>
    </row>
    <row r="208" spans="1:14" x14ac:dyDescent="0.25">
      <c r="A208" s="170" t="s">
        <v>2300</v>
      </c>
      <c r="B208" s="170" t="s">
        <v>2301</v>
      </c>
      <c r="C208" s="170" t="s">
        <v>385</v>
      </c>
      <c r="D208" s="170" t="s">
        <v>1947</v>
      </c>
      <c r="E208" s="171" t="s">
        <v>17713</v>
      </c>
      <c r="F208" s="171" t="s">
        <v>20108</v>
      </c>
      <c r="G208" s="82"/>
      <c r="H208" s="96">
        <f t="shared" si="12"/>
        <v>6.31</v>
      </c>
      <c r="I208" s="96">
        <f t="shared" si="12"/>
        <v>6.76</v>
      </c>
      <c r="J208" s="91" t="str">
        <f t="shared" si="13"/>
        <v>Sinapi 97136</v>
      </c>
      <c r="K208" s="91" t="str">
        <f t="shared" si="14"/>
        <v>M</v>
      </c>
      <c r="L208" s="166" t="str">
        <f t="shared" si="15"/>
        <v>11/2017</v>
      </c>
      <c r="M208" s="82"/>
      <c r="N208" s="82"/>
    </row>
    <row r="209" spans="1:14" x14ac:dyDescent="0.25">
      <c r="A209" s="170" t="s">
        <v>2302</v>
      </c>
      <c r="B209" s="170" t="s">
        <v>2303</v>
      </c>
      <c r="C209" s="170" t="s">
        <v>385</v>
      </c>
      <c r="D209" s="170" t="s">
        <v>1947</v>
      </c>
      <c r="E209" s="171" t="s">
        <v>16359</v>
      </c>
      <c r="F209" s="171" t="s">
        <v>19858</v>
      </c>
      <c r="G209" s="82"/>
      <c r="H209" s="96">
        <f t="shared" si="12"/>
        <v>7.49</v>
      </c>
      <c r="I209" s="96">
        <f t="shared" si="12"/>
        <v>8.02</v>
      </c>
      <c r="J209" s="91" t="str">
        <f t="shared" si="13"/>
        <v>Sinapi 97137</v>
      </c>
      <c r="K209" s="91" t="str">
        <f t="shared" si="14"/>
        <v>M</v>
      </c>
      <c r="L209" s="166" t="str">
        <f t="shared" si="15"/>
        <v>11/2017</v>
      </c>
      <c r="M209" s="82"/>
      <c r="N209" s="82"/>
    </row>
    <row r="210" spans="1:14" x14ac:dyDescent="0.25">
      <c r="A210" s="170" t="s">
        <v>2304</v>
      </c>
      <c r="B210" s="170" t="s">
        <v>2305</v>
      </c>
      <c r="C210" s="170" t="s">
        <v>385</v>
      </c>
      <c r="D210" s="170" t="s">
        <v>1947</v>
      </c>
      <c r="E210" s="171" t="s">
        <v>11139</v>
      </c>
      <c r="F210" s="171" t="s">
        <v>18625</v>
      </c>
      <c r="G210" s="82"/>
      <c r="H210" s="96">
        <f t="shared" si="12"/>
        <v>8.67</v>
      </c>
      <c r="I210" s="96">
        <f t="shared" si="12"/>
        <v>9.2799999999999994</v>
      </c>
      <c r="J210" s="91" t="str">
        <f t="shared" si="13"/>
        <v>Sinapi 97138</v>
      </c>
      <c r="K210" s="91" t="str">
        <f t="shared" si="14"/>
        <v>M</v>
      </c>
      <c r="L210" s="166" t="str">
        <f t="shared" si="15"/>
        <v>11/2017</v>
      </c>
      <c r="M210" s="82"/>
      <c r="N210" s="82"/>
    </row>
    <row r="211" spans="1:14" x14ac:dyDescent="0.25">
      <c r="A211" s="170" t="s">
        <v>2306</v>
      </c>
      <c r="B211" s="170" t="s">
        <v>2307</v>
      </c>
      <c r="C211" s="170" t="s">
        <v>385</v>
      </c>
      <c r="D211" s="170" t="s">
        <v>1947</v>
      </c>
      <c r="E211" s="171" t="s">
        <v>16286</v>
      </c>
      <c r="F211" s="171" t="s">
        <v>15133</v>
      </c>
      <c r="G211" s="82"/>
      <c r="H211" s="96">
        <f t="shared" si="12"/>
        <v>9.84</v>
      </c>
      <c r="I211" s="96">
        <f t="shared" si="12"/>
        <v>10.54</v>
      </c>
      <c r="J211" s="91" t="str">
        <f t="shared" si="13"/>
        <v>Sinapi 97139</v>
      </c>
      <c r="K211" s="91" t="str">
        <f t="shared" si="14"/>
        <v>M</v>
      </c>
      <c r="L211" s="166" t="str">
        <f t="shared" si="15"/>
        <v>11/2017</v>
      </c>
      <c r="M211" s="82"/>
      <c r="N211" s="82"/>
    </row>
    <row r="212" spans="1:14" x14ac:dyDescent="0.25">
      <c r="A212" s="170" t="s">
        <v>2308</v>
      </c>
      <c r="B212" s="170" t="s">
        <v>2309</v>
      </c>
      <c r="C212" s="170" t="s">
        <v>385</v>
      </c>
      <c r="D212" s="170" t="s">
        <v>1947</v>
      </c>
      <c r="E212" s="171" t="s">
        <v>6109</v>
      </c>
      <c r="F212" s="171" t="s">
        <v>21151</v>
      </c>
      <c r="G212" s="82"/>
      <c r="H212" s="96">
        <f t="shared" si="12"/>
        <v>12.21</v>
      </c>
      <c r="I212" s="96">
        <f t="shared" si="12"/>
        <v>13.07</v>
      </c>
      <c r="J212" s="91" t="str">
        <f t="shared" si="13"/>
        <v>Sinapi 97140</v>
      </c>
      <c r="K212" s="91" t="str">
        <f t="shared" si="14"/>
        <v>M</v>
      </c>
      <c r="L212" s="166" t="str">
        <f t="shared" si="15"/>
        <v>11/2017</v>
      </c>
      <c r="M212" s="82"/>
      <c r="N212" s="82"/>
    </row>
    <row r="213" spans="1:14" x14ac:dyDescent="0.25">
      <c r="A213" s="170" t="s">
        <v>14363</v>
      </c>
      <c r="B213" s="170" t="s">
        <v>14364</v>
      </c>
      <c r="C213" s="170" t="s">
        <v>385</v>
      </c>
      <c r="D213" s="170" t="s">
        <v>1947</v>
      </c>
      <c r="E213" s="171" t="s">
        <v>11276</v>
      </c>
      <c r="F213" s="171" t="s">
        <v>20027</v>
      </c>
      <c r="G213" s="82"/>
      <c r="H213" s="96">
        <f t="shared" si="12"/>
        <v>10.81</v>
      </c>
      <c r="I213" s="96">
        <f t="shared" si="12"/>
        <v>11.37</v>
      </c>
      <c r="J213" s="91" t="str">
        <f t="shared" si="13"/>
        <v>Sinapi 103089</v>
      </c>
      <c r="K213" s="91" t="str">
        <f t="shared" si="14"/>
        <v>M</v>
      </c>
      <c r="L213" s="166" t="str">
        <f t="shared" si="15"/>
        <v>09/2021</v>
      </c>
      <c r="M213" s="82"/>
      <c r="N213" s="82"/>
    </row>
    <row r="214" spans="1:14" x14ac:dyDescent="0.25">
      <c r="A214" s="170" t="s">
        <v>14365</v>
      </c>
      <c r="B214" s="170" t="s">
        <v>14366</v>
      </c>
      <c r="C214" s="170" t="s">
        <v>385</v>
      </c>
      <c r="D214" s="170" t="s">
        <v>1947</v>
      </c>
      <c r="E214" s="171" t="s">
        <v>16445</v>
      </c>
      <c r="F214" s="171" t="s">
        <v>26288</v>
      </c>
      <c r="G214" s="82"/>
      <c r="H214" s="96">
        <f t="shared" si="12"/>
        <v>12.89</v>
      </c>
      <c r="I214" s="96">
        <f t="shared" si="12"/>
        <v>13.57</v>
      </c>
      <c r="J214" s="91" t="str">
        <f t="shared" si="13"/>
        <v>Sinapi 103090</v>
      </c>
      <c r="K214" s="91" t="str">
        <f t="shared" si="14"/>
        <v>M</v>
      </c>
      <c r="L214" s="166" t="str">
        <f t="shared" si="15"/>
        <v>09/2021</v>
      </c>
      <c r="M214" s="82"/>
      <c r="N214" s="82"/>
    </row>
    <row r="215" spans="1:14" x14ac:dyDescent="0.25">
      <c r="A215" s="170" t="s">
        <v>14367</v>
      </c>
      <c r="B215" s="170" t="s">
        <v>14368</v>
      </c>
      <c r="C215" s="170" t="s">
        <v>385</v>
      </c>
      <c r="D215" s="170" t="s">
        <v>1947</v>
      </c>
      <c r="E215" s="171" t="s">
        <v>29267</v>
      </c>
      <c r="F215" s="171" t="s">
        <v>13703</v>
      </c>
      <c r="G215" s="82"/>
      <c r="H215" s="96">
        <f t="shared" si="12"/>
        <v>18.100000000000001</v>
      </c>
      <c r="I215" s="96">
        <f t="shared" si="12"/>
        <v>19.05</v>
      </c>
      <c r="J215" s="91" t="str">
        <f t="shared" si="13"/>
        <v>Sinapi 103091</v>
      </c>
      <c r="K215" s="91" t="str">
        <f t="shared" si="14"/>
        <v>M</v>
      </c>
      <c r="L215" s="166" t="str">
        <f t="shared" si="15"/>
        <v>09/2021</v>
      </c>
      <c r="M215" s="82"/>
      <c r="N215" s="82"/>
    </row>
    <row r="216" spans="1:14" x14ac:dyDescent="0.25">
      <c r="A216" s="170" t="s">
        <v>14369</v>
      </c>
      <c r="B216" s="170" t="s">
        <v>14370</v>
      </c>
      <c r="C216" s="170" t="s">
        <v>385</v>
      </c>
      <c r="D216" s="170" t="s">
        <v>1947</v>
      </c>
      <c r="E216" s="171" t="s">
        <v>19929</v>
      </c>
      <c r="F216" s="171" t="s">
        <v>19416</v>
      </c>
      <c r="G216" s="82"/>
      <c r="H216" s="96">
        <f t="shared" si="12"/>
        <v>23.29</v>
      </c>
      <c r="I216" s="96">
        <f t="shared" si="12"/>
        <v>24.57</v>
      </c>
      <c r="J216" s="91" t="str">
        <f t="shared" si="13"/>
        <v>Sinapi 103092</v>
      </c>
      <c r="K216" s="91" t="str">
        <f t="shared" si="14"/>
        <v>M</v>
      </c>
      <c r="L216" s="166" t="str">
        <f t="shared" si="15"/>
        <v>09/2021</v>
      </c>
      <c r="M216" s="82"/>
      <c r="N216" s="82"/>
    </row>
    <row r="217" spans="1:14" x14ac:dyDescent="0.25">
      <c r="A217" s="170" t="s">
        <v>14371</v>
      </c>
      <c r="B217" s="170" t="s">
        <v>14372</v>
      </c>
      <c r="C217" s="170" t="s">
        <v>385</v>
      </c>
      <c r="D217" s="170" t="s">
        <v>1947</v>
      </c>
      <c r="E217" s="171" t="s">
        <v>21670</v>
      </c>
      <c r="F217" s="171" t="s">
        <v>22770</v>
      </c>
      <c r="G217" s="82"/>
      <c r="H217" s="96">
        <f t="shared" si="12"/>
        <v>35.619999999999997</v>
      </c>
      <c r="I217" s="96">
        <f t="shared" si="12"/>
        <v>37.549999999999997</v>
      </c>
      <c r="J217" s="91" t="str">
        <f t="shared" si="13"/>
        <v>Sinapi 103093</v>
      </c>
      <c r="K217" s="91" t="str">
        <f t="shared" si="14"/>
        <v>M</v>
      </c>
      <c r="L217" s="166" t="str">
        <f t="shared" si="15"/>
        <v>09/2021</v>
      </c>
      <c r="M217" s="82"/>
      <c r="N217" s="82"/>
    </row>
    <row r="218" spans="1:14" x14ac:dyDescent="0.25">
      <c r="A218" s="170" t="s">
        <v>14373</v>
      </c>
      <c r="B218" s="170" t="s">
        <v>14374</v>
      </c>
      <c r="C218" s="170" t="s">
        <v>385</v>
      </c>
      <c r="D218" s="170" t="s">
        <v>1947</v>
      </c>
      <c r="E218" s="171" t="s">
        <v>31732</v>
      </c>
      <c r="F218" s="171" t="s">
        <v>35161</v>
      </c>
      <c r="G218" s="82"/>
      <c r="H218" s="96">
        <f t="shared" si="12"/>
        <v>40.840000000000003</v>
      </c>
      <c r="I218" s="96">
        <f t="shared" si="12"/>
        <v>43.09</v>
      </c>
      <c r="J218" s="91" t="str">
        <f t="shared" si="13"/>
        <v>Sinapi 103094</v>
      </c>
      <c r="K218" s="91" t="str">
        <f t="shared" si="14"/>
        <v>M</v>
      </c>
      <c r="L218" s="166" t="str">
        <f t="shared" si="15"/>
        <v>09/2021</v>
      </c>
      <c r="M218" s="82"/>
      <c r="N218" s="82"/>
    </row>
    <row r="219" spans="1:14" x14ac:dyDescent="0.25">
      <c r="A219" s="170" t="s">
        <v>14375</v>
      </c>
      <c r="B219" s="170" t="s">
        <v>14376</v>
      </c>
      <c r="C219" s="170" t="s">
        <v>385</v>
      </c>
      <c r="D219" s="170" t="s">
        <v>1947</v>
      </c>
      <c r="E219" s="171" t="s">
        <v>28716</v>
      </c>
      <c r="F219" s="171" t="s">
        <v>34091</v>
      </c>
      <c r="G219" s="82"/>
      <c r="H219" s="96">
        <f t="shared" si="12"/>
        <v>53.14</v>
      </c>
      <c r="I219" s="96">
        <f t="shared" si="12"/>
        <v>56.05</v>
      </c>
      <c r="J219" s="91" t="str">
        <f t="shared" si="13"/>
        <v>Sinapi 103095</v>
      </c>
      <c r="K219" s="91" t="str">
        <f t="shared" si="14"/>
        <v>M</v>
      </c>
      <c r="L219" s="166" t="str">
        <f t="shared" si="15"/>
        <v>09/2021</v>
      </c>
      <c r="M219" s="82"/>
      <c r="N219" s="82"/>
    </row>
    <row r="220" spans="1:14" x14ac:dyDescent="0.25">
      <c r="A220" s="170" t="s">
        <v>14377</v>
      </c>
      <c r="B220" s="170" t="s">
        <v>14378</v>
      </c>
      <c r="C220" s="170" t="s">
        <v>385</v>
      </c>
      <c r="D220" s="170" t="s">
        <v>1947</v>
      </c>
      <c r="E220" s="171" t="s">
        <v>20072</v>
      </c>
      <c r="F220" s="171" t="s">
        <v>35162</v>
      </c>
      <c r="G220" s="82"/>
      <c r="H220" s="96">
        <f t="shared" si="12"/>
        <v>58.38</v>
      </c>
      <c r="I220" s="96">
        <f t="shared" si="12"/>
        <v>61.57</v>
      </c>
      <c r="J220" s="91" t="str">
        <f t="shared" si="13"/>
        <v>Sinapi 103096</v>
      </c>
      <c r="K220" s="91" t="str">
        <f t="shared" si="14"/>
        <v>M</v>
      </c>
      <c r="L220" s="166" t="str">
        <f t="shared" si="15"/>
        <v>09/2021</v>
      </c>
      <c r="M220" s="82"/>
      <c r="N220" s="82"/>
    </row>
    <row r="221" spans="1:14" x14ac:dyDescent="0.25">
      <c r="A221" s="170" t="s">
        <v>14379</v>
      </c>
      <c r="B221" s="170" t="s">
        <v>14380</v>
      </c>
      <c r="C221" s="170" t="s">
        <v>385</v>
      </c>
      <c r="D221" s="170" t="s">
        <v>1947</v>
      </c>
      <c r="E221" s="171" t="s">
        <v>20999</v>
      </c>
      <c r="F221" s="171" t="s">
        <v>21865</v>
      </c>
      <c r="G221" s="82"/>
      <c r="H221" s="96">
        <f t="shared" si="12"/>
        <v>70.66</v>
      </c>
      <c r="I221" s="96">
        <f t="shared" si="12"/>
        <v>74.55</v>
      </c>
      <c r="J221" s="91" t="str">
        <f t="shared" si="13"/>
        <v>Sinapi 103097</v>
      </c>
      <c r="K221" s="91" t="str">
        <f t="shared" si="14"/>
        <v>M</v>
      </c>
      <c r="L221" s="166" t="str">
        <f t="shared" si="15"/>
        <v>09/2021</v>
      </c>
      <c r="M221" s="82"/>
      <c r="N221" s="82"/>
    </row>
    <row r="222" spans="1:14" x14ac:dyDescent="0.25">
      <c r="A222" s="170" t="s">
        <v>14381</v>
      </c>
      <c r="B222" s="170" t="s">
        <v>14382</v>
      </c>
      <c r="C222" s="170" t="s">
        <v>385</v>
      </c>
      <c r="D222" s="170" t="s">
        <v>1947</v>
      </c>
      <c r="E222" s="171" t="s">
        <v>31733</v>
      </c>
      <c r="F222" s="171" t="s">
        <v>28009</v>
      </c>
      <c r="G222" s="82"/>
      <c r="H222" s="96">
        <f t="shared" si="12"/>
        <v>75.900000000000006</v>
      </c>
      <c r="I222" s="96">
        <f t="shared" si="12"/>
        <v>80.069999999999993</v>
      </c>
      <c r="J222" s="91" t="str">
        <f t="shared" si="13"/>
        <v>Sinapi 103098</v>
      </c>
      <c r="K222" s="91" t="str">
        <f t="shared" si="14"/>
        <v>M</v>
      </c>
      <c r="L222" s="166" t="str">
        <f t="shared" si="15"/>
        <v>09/2021</v>
      </c>
      <c r="M222" s="82"/>
      <c r="N222" s="82"/>
    </row>
    <row r="223" spans="1:14" x14ac:dyDescent="0.25">
      <c r="A223" s="170" t="s">
        <v>14383</v>
      </c>
      <c r="B223" s="170" t="s">
        <v>14384</v>
      </c>
      <c r="C223" s="170" t="s">
        <v>385</v>
      </c>
      <c r="D223" s="170" t="s">
        <v>1947</v>
      </c>
      <c r="E223" s="171" t="s">
        <v>31734</v>
      </c>
      <c r="F223" s="171" t="s">
        <v>30108</v>
      </c>
      <c r="G223" s="82"/>
      <c r="H223" s="96">
        <f t="shared" si="12"/>
        <v>86.3</v>
      </c>
      <c r="I223" s="96">
        <f t="shared" si="12"/>
        <v>91.08</v>
      </c>
      <c r="J223" s="91" t="str">
        <f t="shared" si="13"/>
        <v>Sinapi 103099</v>
      </c>
      <c r="K223" s="91" t="str">
        <f t="shared" si="14"/>
        <v>M</v>
      </c>
      <c r="L223" s="166" t="str">
        <f t="shared" si="15"/>
        <v>09/2021</v>
      </c>
      <c r="M223" s="82"/>
      <c r="N223" s="82"/>
    </row>
    <row r="224" spans="1:14" x14ac:dyDescent="0.25">
      <c r="A224" s="170" t="s">
        <v>14385</v>
      </c>
      <c r="B224" s="170" t="s">
        <v>14386</v>
      </c>
      <c r="C224" s="170" t="s">
        <v>385</v>
      </c>
      <c r="D224" s="170" t="s">
        <v>1947</v>
      </c>
      <c r="E224" s="171" t="s">
        <v>31735</v>
      </c>
      <c r="F224" s="171" t="s">
        <v>35163</v>
      </c>
      <c r="G224" s="82"/>
      <c r="H224" s="96">
        <f t="shared" si="12"/>
        <v>92.06</v>
      </c>
      <c r="I224" s="96">
        <f t="shared" si="12"/>
        <v>97.18</v>
      </c>
      <c r="J224" s="91" t="str">
        <f t="shared" si="13"/>
        <v>Sinapi 103100</v>
      </c>
      <c r="K224" s="91" t="str">
        <f t="shared" si="14"/>
        <v>M</v>
      </c>
      <c r="L224" s="166" t="str">
        <f t="shared" si="15"/>
        <v>09/2021</v>
      </c>
      <c r="M224" s="82"/>
      <c r="N224" s="82"/>
    </row>
    <row r="225" spans="1:14" x14ac:dyDescent="0.25">
      <c r="A225" s="170" t="s">
        <v>14387</v>
      </c>
      <c r="B225" s="170" t="s">
        <v>14388</v>
      </c>
      <c r="C225" s="170" t="s">
        <v>385</v>
      </c>
      <c r="D225" s="170" t="s">
        <v>1947</v>
      </c>
      <c r="E225" s="171" t="s">
        <v>31736</v>
      </c>
      <c r="F225" s="171" t="s">
        <v>29057</v>
      </c>
      <c r="G225" s="82"/>
      <c r="H225" s="96">
        <f t="shared" si="12"/>
        <v>101.36</v>
      </c>
      <c r="I225" s="96">
        <f t="shared" si="12"/>
        <v>107.02</v>
      </c>
      <c r="J225" s="91" t="str">
        <f t="shared" si="13"/>
        <v>Sinapi 103101</v>
      </c>
      <c r="K225" s="91" t="str">
        <f t="shared" si="14"/>
        <v>M</v>
      </c>
      <c r="L225" s="166" t="str">
        <f t="shared" si="15"/>
        <v>09/2021</v>
      </c>
      <c r="M225" s="82"/>
      <c r="N225" s="82"/>
    </row>
    <row r="226" spans="1:14" x14ac:dyDescent="0.25">
      <c r="A226" s="170" t="s">
        <v>14389</v>
      </c>
      <c r="B226" s="170" t="s">
        <v>14390</v>
      </c>
      <c r="C226" s="170" t="s">
        <v>385</v>
      </c>
      <c r="D226" s="170" t="s">
        <v>1947</v>
      </c>
      <c r="E226" s="171" t="s">
        <v>31737</v>
      </c>
      <c r="F226" s="171" t="s">
        <v>35164</v>
      </c>
      <c r="G226" s="82"/>
      <c r="H226" s="96">
        <f t="shared" si="12"/>
        <v>116.74</v>
      </c>
      <c r="I226" s="96">
        <f t="shared" si="12"/>
        <v>123.24</v>
      </c>
      <c r="J226" s="91" t="str">
        <f t="shared" si="13"/>
        <v>Sinapi 103102</v>
      </c>
      <c r="K226" s="91" t="str">
        <f t="shared" si="14"/>
        <v>M</v>
      </c>
      <c r="L226" s="166" t="str">
        <f t="shared" si="15"/>
        <v>09/2021</v>
      </c>
      <c r="M226" s="82"/>
      <c r="N226" s="82"/>
    </row>
    <row r="227" spans="1:14" x14ac:dyDescent="0.25">
      <c r="A227" s="170" t="s">
        <v>14391</v>
      </c>
      <c r="B227" s="170" t="s">
        <v>14392</v>
      </c>
      <c r="C227" s="170" t="s">
        <v>385</v>
      </c>
      <c r="D227" s="170" t="s">
        <v>1947</v>
      </c>
      <c r="E227" s="171" t="s">
        <v>31738</v>
      </c>
      <c r="F227" s="171" t="s">
        <v>29757</v>
      </c>
      <c r="G227" s="82"/>
      <c r="H227" s="96">
        <f t="shared" si="12"/>
        <v>126.04</v>
      </c>
      <c r="I227" s="96">
        <f t="shared" si="12"/>
        <v>133.1</v>
      </c>
      <c r="J227" s="91" t="str">
        <f t="shared" si="13"/>
        <v>Sinapi 103103</v>
      </c>
      <c r="K227" s="91" t="str">
        <f t="shared" si="14"/>
        <v>M</v>
      </c>
      <c r="L227" s="166" t="str">
        <f t="shared" si="15"/>
        <v>09/2021</v>
      </c>
      <c r="M227" s="82"/>
      <c r="N227" s="82"/>
    </row>
    <row r="228" spans="1:14" x14ac:dyDescent="0.25">
      <c r="A228" s="170" t="s">
        <v>14393</v>
      </c>
      <c r="B228" s="170" t="s">
        <v>14394</v>
      </c>
      <c r="C228" s="170" t="s">
        <v>385</v>
      </c>
      <c r="D228" s="170" t="s">
        <v>1947</v>
      </c>
      <c r="E228" s="171" t="s">
        <v>31739</v>
      </c>
      <c r="F228" s="171" t="s">
        <v>35165</v>
      </c>
      <c r="G228" s="82"/>
      <c r="H228" s="96">
        <f t="shared" si="12"/>
        <v>150.72999999999999</v>
      </c>
      <c r="I228" s="96">
        <f t="shared" si="12"/>
        <v>159.16999999999999</v>
      </c>
      <c r="J228" s="91" t="str">
        <f t="shared" si="13"/>
        <v>Sinapi 103104</v>
      </c>
      <c r="K228" s="91" t="str">
        <f t="shared" si="14"/>
        <v>M</v>
      </c>
      <c r="L228" s="166" t="str">
        <f t="shared" si="15"/>
        <v>09/2021</v>
      </c>
      <c r="M228" s="82"/>
      <c r="N228" s="82"/>
    </row>
    <row r="229" spans="1:14" x14ac:dyDescent="0.25">
      <c r="A229" s="170" t="s">
        <v>14395</v>
      </c>
      <c r="B229" s="170" t="s">
        <v>14396</v>
      </c>
      <c r="C229" s="170" t="s">
        <v>205</v>
      </c>
      <c r="D229" s="170" t="s">
        <v>1947</v>
      </c>
      <c r="E229" s="171" t="s">
        <v>28477</v>
      </c>
      <c r="F229" s="171" t="s">
        <v>28737</v>
      </c>
      <c r="G229" s="82"/>
      <c r="H229" s="96">
        <f t="shared" si="12"/>
        <v>46.23</v>
      </c>
      <c r="I229" s="96">
        <f t="shared" si="12"/>
        <v>48.06</v>
      </c>
      <c r="J229" s="91" t="str">
        <f t="shared" si="13"/>
        <v>Sinapi 103105</v>
      </c>
      <c r="K229" s="91" t="str">
        <f t="shared" si="14"/>
        <v>UN</v>
      </c>
      <c r="L229" s="166" t="str">
        <f t="shared" si="15"/>
        <v>09/2021</v>
      </c>
      <c r="M229" s="82"/>
      <c r="N229" s="82"/>
    </row>
    <row r="230" spans="1:14" x14ac:dyDescent="0.25">
      <c r="A230" s="170" t="s">
        <v>14397</v>
      </c>
      <c r="B230" s="170" t="s">
        <v>14398</v>
      </c>
      <c r="C230" s="170" t="s">
        <v>205</v>
      </c>
      <c r="D230" s="170" t="s">
        <v>1947</v>
      </c>
      <c r="E230" s="171" t="s">
        <v>29162</v>
      </c>
      <c r="F230" s="171" t="s">
        <v>21290</v>
      </c>
      <c r="G230" s="82"/>
      <c r="H230" s="96">
        <f t="shared" si="12"/>
        <v>54.99</v>
      </c>
      <c r="I230" s="96">
        <f t="shared" si="12"/>
        <v>57.3</v>
      </c>
      <c r="J230" s="91" t="str">
        <f t="shared" si="13"/>
        <v>Sinapi 103106</v>
      </c>
      <c r="K230" s="91" t="str">
        <f t="shared" si="14"/>
        <v>UN</v>
      </c>
      <c r="L230" s="166" t="str">
        <f t="shared" si="15"/>
        <v>09/2021</v>
      </c>
      <c r="M230" s="82"/>
      <c r="N230" s="82"/>
    </row>
    <row r="231" spans="1:14" x14ac:dyDescent="0.25">
      <c r="A231" s="170" t="s">
        <v>14399</v>
      </c>
      <c r="B231" s="170" t="s">
        <v>14400</v>
      </c>
      <c r="C231" s="170" t="s">
        <v>205</v>
      </c>
      <c r="D231" s="170" t="s">
        <v>1947</v>
      </c>
      <c r="E231" s="171" t="s">
        <v>21982</v>
      </c>
      <c r="F231" s="171" t="s">
        <v>28739</v>
      </c>
      <c r="G231" s="82"/>
      <c r="H231" s="96">
        <f t="shared" si="12"/>
        <v>76.92</v>
      </c>
      <c r="I231" s="96">
        <f t="shared" si="12"/>
        <v>80.39</v>
      </c>
      <c r="J231" s="91" t="str">
        <f t="shared" si="13"/>
        <v>Sinapi 103107</v>
      </c>
      <c r="K231" s="91" t="str">
        <f t="shared" si="14"/>
        <v>UN</v>
      </c>
      <c r="L231" s="166" t="str">
        <f t="shared" si="15"/>
        <v>09/2021</v>
      </c>
      <c r="M231" s="82"/>
      <c r="N231" s="82"/>
    </row>
    <row r="232" spans="1:14" x14ac:dyDescent="0.25">
      <c r="A232" s="170" t="s">
        <v>14401</v>
      </c>
      <c r="B232" s="170" t="s">
        <v>14402</v>
      </c>
      <c r="C232" s="170" t="s">
        <v>205</v>
      </c>
      <c r="D232" s="170" t="s">
        <v>1947</v>
      </c>
      <c r="E232" s="171" t="s">
        <v>31740</v>
      </c>
      <c r="F232" s="171" t="s">
        <v>21568</v>
      </c>
      <c r="G232" s="82"/>
      <c r="H232" s="96">
        <f t="shared" si="12"/>
        <v>98.86</v>
      </c>
      <c r="I232" s="96">
        <f t="shared" si="12"/>
        <v>103.47</v>
      </c>
      <c r="J232" s="91" t="str">
        <f t="shared" si="13"/>
        <v>Sinapi 103108</v>
      </c>
      <c r="K232" s="91" t="str">
        <f t="shared" si="14"/>
        <v>UN</v>
      </c>
      <c r="L232" s="166" t="str">
        <f t="shared" si="15"/>
        <v>09/2021</v>
      </c>
      <c r="M232" s="82"/>
      <c r="N232" s="82"/>
    </row>
    <row r="233" spans="1:14" x14ac:dyDescent="0.25">
      <c r="A233" s="170" t="s">
        <v>14403</v>
      </c>
      <c r="B233" s="170" t="s">
        <v>14404</v>
      </c>
      <c r="C233" s="170" t="s">
        <v>205</v>
      </c>
      <c r="D233" s="170" t="s">
        <v>1947</v>
      </c>
      <c r="E233" s="171" t="s">
        <v>31741</v>
      </c>
      <c r="F233" s="171" t="s">
        <v>35166</v>
      </c>
      <c r="G233" s="82"/>
      <c r="H233" s="96">
        <f t="shared" si="12"/>
        <v>161.97999999999999</v>
      </c>
      <c r="I233" s="96">
        <f t="shared" si="12"/>
        <v>169.94</v>
      </c>
      <c r="J233" s="91" t="str">
        <f t="shared" si="13"/>
        <v>Sinapi 103109</v>
      </c>
      <c r="K233" s="91" t="str">
        <f t="shared" si="14"/>
        <v>UN</v>
      </c>
      <c r="L233" s="166" t="str">
        <f t="shared" si="15"/>
        <v>09/2021</v>
      </c>
      <c r="M233" s="82"/>
      <c r="N233" s="82"/>
    </row>
    <row r="234" spans="1:14" x14ac:dyDescent="0.25">
      <c r="A234" s="170" t="s">
        <v>14405</v>
      </c>
      <c r="B234" s="170" t="s">
        <v>14406</v>
      </c>
      <c r="C234" s="170" t="s">
        <v>205</v>
      </c>
      <c r="D234" s="170" t="s">
        <v>1947</v>
      </c>
      <c r="E234" s="171" t="s">
        <v>31742</v>
      </c>
      <c r="F234" s="171" t="s">
        <v>35167</v>
      </c>
      <c r="G234" s="82"/>
      <c r="H234" s="96">
        <f t="shared" si="12"/>
        <v>183.9</v>
      </c>
      <c r="I234" s="96">
        <f t="shared" si="12"/>
        <v>193.03</v>
      </c>
      <c r="J234" s="91" t="str">
        <f t="shared" si="13"/>
        <v>Sinapi 103110</v>
      </c>
      <c r="K234" s="91" t="str">
        <f t="shared" si="14"/>
        <v>UN</v>
      </c>
      <c r="L234" s="166" t="str">
        <f t="shared" si="15"/>
        <v>09/2021</v>
      </c>
      <c r="M234" s="82"/>
      <c r="N234" s="82"/>
    </row>
    <row r="235" spans="1:14" x14ac:dyDescent="0.25">
      <c r="A235" s="170" t="s">
        <v>14407</v>
      </c>
      <c r="B235" s="170" t="s">
        <v>14408</v>
      </c>
      <c r="C235" s="170" t="s">
        <v>205</v>
      </c>
      <c r="D235" s="170" t="s">
        <v>1947</v>
      </c>
      <c r="E235" s="171" t="s">
        <v>31743</v>
      </c>
      <c r="F235" s="171" t="s">
        <v>35168</v>
      </c>
      <c r="G235" s="82"/>
      <c r="H235" s="96">
        <f t="shared" si="12"/>
        <v>247.02</v>
      </c>
      <c r="I235" s="96">
        <f t="shared" si="12"/>
        <v>259.51</v>
      </c>
      <c r="J235" s="91" t="str">
        <f t="shared" si="13"/>
        <v>Sinapi 103111</v>
      </c>
      <c r="K235" s="91" t="str">
        <f t="shared" si="14"/>
        <v>UN</v>
      </c>
      <c r="L235" s="166" t="str">
        <f t="shared" si="15"/>
        <v>09/2021</v>
      </c>
      <c r="M235" s="82"/>
      <c r="N235" s="82"/>
    </row>
    <row r="236" spans="1:14" x14ac:dyDescent="0.25">
      <c r="A236" s="170" t="s">
        <v>14409</v>
      </c>
      <c r="B236" s="170" t="s">
        <v>14410</v>
      </c>
      <c r="C236" s="170" t="s">
        <v>205</v>
      </c>
      <c r="D236" s="170" t="s">
        <v>1947</v>
      </c>
      <c r="E236" s="171" t="s">
        <v>31744</v>
      </c>
      <c r="F236" s="171" t="s">
        <v>35169</v>
      </c>
      <c r="G236" s="82"/>
      <c r="H236" s="96">
        <f t="shared" si="12"/>
        <v>268.95</v>
      </c>
      <c r="I236" s="96">
        <f t="shared" si="12"/>
        <v>282.60000000000002</v>
      </c>
      <c r="J236" s="91" t="str">
        <f t="shared" si="13"/>
        <v>Sinapi 103112</v>
      </c>
      <c r="K236" s="91" t="str">
        <f t="shared" si="14"/>
        <v>UN</v>
      </c>
      <c r="L236" s="166" t="str">
        <f t="shared" si="15"/>
        <v>09/2021</v>
      </c>
      <c r="M236" s="82"/>
      <c r="N236" s="82"/>
    </row>
    <row r="237" spans="1:14" x14ac:dyDescent="0.25">
      <c r="A237" s="170" t="s">
        <v>14411</v>
      </c>
      <c r="B237" s="170" t="s">
        <v>14412</v>
      </c>
      <c r="C237" s="170" t="s">
        <v>205</v>
      </c>
      <c r="D237" s="170" t="s">
        <v>1947</v>
      </c>
      <c r="E237" s="171" t="s">
        <v>31745</v>
      </c>
      <c r="F237" s="171" t="s">
        <v>35170</v>
      </c>
      <c r="G237" s="82"/>
      <c r="H237" s="96">
        <f t="shared" si="12"/>
        <v>332.07</v>
      </c>
      <c r="I237" s="96">
        <f t="shared" si="12"/>
        <v>349.05</v>
      </c>
      <c r="J237" s="91" t="str">
        <f t="shared" si="13"/>
        <v>Sinapi 103113</v>
      </c>
      <c r="K237" s="91" t="str">
        <f t="shared" si="14"/>
        <v>UN</v>
      </c>
      <c r="L237" s="166" t="str">
        <f t="shared" si="15"/>
        <v>09/2021</v>
      </c>
      <c r="M237" s="82"/>
      <c r="N237" s="82"/>
    </row>
    <row r="238" spans="1:14" x14ac:dyDescent="0.25">
      <c r="A238" s="170" t="s">
        <v>14413</v>
      </c>
      <c r="B238" s="170" t="s">
        <v>14414</v>
      </c>
      <c r="C238" s="170" t="s">
        <v>205</v>
      </c>
      <c r="D238" s="170" t="s">
        <v>1947</v>
      </c>
      <c r="E238" s="171" t="s">
        <v>31746</v>
      </c>
      <c r="F238" s="171" t="s">
        <v>35171</v>
      </c>
      <c r="G238" s="82"/>
      <c r="H238" s="96">
        <f t="shared" si="12"/>
        <v>353.99</v>
      </c>
      <c r="I238" s="96">
        <f t="shared" si="12"/>
        <v>372.15</v>
      </c>
      <c r="J238" s="91" t="str">
        <f t="shared" si="13"/>
        <v>Sinapi 103114</v>
      </c>
      <c r="K238" s="91" t="str">
        <f t="shared" si="14"/>
        <v>UN</v>
      </c>
      <c r="L238" s="166" t="str">
        <f t="shared" si="15"/>
        <v>09/2021</v>
      </c>
      <c r="M238" s="82"/>
      <c r="N238" s="82"/>
    </row>
    <row r="239" spans="1:14" x14ac:dyDescent="0.25">
      <c r="A239" s="170" t="s">
        <v>14415</v>
      </c>
      <c r="B239" s="170" t="s">
        <v>14416</v>
      </c>
      <c r="C239" s="170" t="s">
        <v>205</v>
      </c>
      <c r="D239" s="170" t="s">
        <v>1947</v>
      </c>
      <c r="E239" s="171" t="s">
        <v>31747</v>
      </c>
      <c r="F239" s="171" t="s">
        <v>35172</v>
      </c>
      <c r="G239" s="82"/>
      <c r="H239" s="96">
        <f t="shared" si="12"/>
        <v>397.85</v>
      </c>
      <c r="I239" s="96">
        <f t="shared" si="12"/>
        <v>418.33</v>
      </c>
      <c r="J239" s="91" t="str">
        <f t="shared" si="13"/>
        <v>Sinapi 103115</v>
      </c>
      <c r="K239" s="91" t="str">
        <f t="shared" si="14"/>
        <v>UN</v>
      </c>
      <c r="L239" s="166" t="str">
        <f t="shared" si="15"/>
        <v>09/2021</v>
      </c>
      <c r="M239" s="82"/>
      <c r="N239" s="82"/>
    </row>
    <row r="240" spans="1:14" x14ac:dyDescent="0.25">
      <c r="A240" s="170" t="s">
        <v>14417</v>
      </c>
      <c r="B240" s="170" t="s">
        <v>14418</v>
      </c>
      <c r="C240" s="170" t="s">
        <v>205</v>
      </c>
      <c r="D240" s="170" t="s">
        <v>1947</v>
      </c>
      <c r="E240" s="171" t="s">
        <v>31748</v>
      </c>
      <c r="F240" s="171" t="s">
        <v>35173</v>
      </c>
      <c r="G240" s="82"/>
      <c r="H240" s="96">
        <f t="shared" si="12"/>
        <v>482.91</v>
      </c>
      <c r="I240" s="96">
        <f t="shared" si="12"/>
        <v>507.88</v>
      </c>
      <c r="J240" s="91" t="str">
        <f t="shared" si="13"/>
        <v>Sinapi 103116</v>
      </c>
      <c r="K240" s="91" t="str">
        <f t="shared" si="14"/>
        <v>UN</v>
      </c>
      <c r="L240" s="166" t="str">
        <f t="shared" si="15"/>
        <v>09/2021</v>
      </c>
      <c r="M240" s="82"/>
      <c r="N240" s="82"/>
    </row>
    <row r="241" spans="1:14" x14ac:dyDescent="0.25">
      <c r="A241" s="170" t="s">
        <v>14419</v>
      </c>
      <c r="B241" s="170" t="s">
        <v>14420</v>
      </c>
      <c r="C241" s="170" t="s">
        <v>205</v>
      </c>
      <c r="D241" s="170" t="s">
        <v>1947</v>
      </c>
      <c r="E241" s="171" t="s">
        <v>31749</v>
      </c>
      <c r="F241" s="171" t="s">
        <v>35174</v>
      </c>
      <c r="G241" s="82"/>
      <c r="H241" s="96">
        <f t="shared" si="12"/>
        <v>526.76</v>
      </c>
      <c r="I241" s="96">
        <f t="shared" si="12"/>
        <v>554.04999999999995</v>
      </c>
      <c r="J241" s="91" t="str">
        <f t="shared" si="13"/>
        <v>Sinapi 103117</v>
      </c>
      <c r="K241" s="91" t="str">
        <f t="shared" si="14"/>
        <v>UN</v>
      </c>
      <c r="L241" s="166" t="str">
        <f t="shared" si="15"/>
        <v>09/2021</v>
      </c>
      <c r="M241" s="82"/>
      <c r="N241" s="82"/>
    </row>
    <row r="242" spans="1:14" x14ac:dyDescent="0.25">
      <c r="A242" s="170" t="s">
        <v>14421</v>
      </c>
      <c r="B242" s="170" t="s">
        <v>14422</v>
      </c>
      <c r="C242" s="170" t="s">
        <v>205</v>
      </c>
      <c r="D242" s="170" t="s">
        <v>1947</v>
      </c>
      <c r="E242" s="171" t="s">
        <v>31750</v>
      </c>
      <c r="F242" s="171" t="s">
        <v>35175</v>
      </c>
      <c r="G242" s="82"/>
      <c r="H242" s="96">
        <f t="shared" si="12"/>
        <v>611.79999999999995</v>
      </c>
      <c r="I242" s="96">
        <f t="shared" si="12"/>
        <v>643.61</v>
      </c>
      <c r="J242" s="91" t="str">
        <f t="shared" si="13"/>
        <v>Sinapi 103118</v>
      </c>
      <c r="K242" s="91" t="str">
        <f t="shared" si="14"/>
        <v>UN</v>
      </c>
      <c r="L242" s="166" t="str">
        <f t="shared" si="15"/>
        <v>09/2021</v>
      </c>
      <c r="M242" s="82"/>
      <c r="N242" s="82"/>
    </row>
    <row r="243" spans="1:14" x14ac:dyDescent="0.25">
      <c r="A243" s="170" t="s">
        <v>14423</v>
      </c>
      <c r="B243" s="170" t="s">
        <v>14424</v>
      </c>
      <c r="C243" s="170" t="s">
        <v>205</v>
      </c>
      <c r="D243" s="170" t="s">
        <v>1947</v>
      </c>
      <c r="E243" s="171" t="s">
        <v>31363</v>
      </c>
      <c r="F243" s="171" t="s">
        <v>35176</v>
      </c>
      <c r="G243" s="82"/>
      <c r="H243" s="96">
        <f t="shared" si="12"/>
        <v>655.66</v>
      </c>
      <c r="I243" s="96">
        <f t="shared" si="12"/>
        <v>689.79</v>
      </c>
      <c r="J243" s="91" t="str">
        <f t="shared" si="13"/>
        <v>Sinapi 103119</v>
      </c>
      <c r="K243" s="91" t="str">
        <f t="shared" si="14"/>
        <v>UN</v>
      </c>
      <c r="L243" s="166" t="str">
        <f t="shared" si="15"/>
        <v>09/2021</v>
      </c>
      <c r="M243" s="82"/>
      <c r="N243" s="82"/>
    </row>
    <row r="244" spans="1:14" x14ac:dyDescent="0.25">
      <c r="A244" s="170" t="s">
        <v>14425</v>
      </c>
      <c r="B244" s="170" t="s">
        <v>14426</v>
      </c>
      <c r="C244" s="170" t="s">
        <v>205</v>
      </c>
      <c r="D244" s="170" t="s">
        <v>1947</v>
      </c>
      <c r="E244" s="171" t="s">
        <v>31751</v>
      </c>
      <c r="F244" s="171" t="s">
        <v>35177</v>
      </c>
      <c r="G244" s="82"/>
      <c r="H244" s="96">
        <f t="shared" si="12"/>
        <v>784.57</v>
      </c>
      <c r="I244" s="96">
        <f t="shared" si="12"/>
        <v>825.53</v>
      </c>
      <c r="J244" s="91" t="str">
        <f t="shared" si="13"/>
        <v>Sinapi 103120</v>
      </c>
      <c r="K244" s="91" t="str">
        <f t="shared" si="14"/>
        <v>UN</v>
      </c>
      <c r="L244" s="166" t="str">
        <f t="shared" si="15"/>
        <v>09/2021</v>
      </c>
      <c r="M244" s="82"/>
      <c r="N244" s="82"/>
    </row>
    <row r="245" spans="1:14" x14ac:dyDescent="0.25">
      <c r="A245" s="170" t="s">
        <v>14427</v>
      </c>
      <c r="B245" s="170" t="s">
        <v>14428</v>
      </c>
      <c r="C245" s="170" t="s">
        <v>205</v>
      </c>
      <c r="D245" s="170" t="s">
        <v>1947</v>
      </c>
      <c r="E245" s="171" t="s">
        <v>31752</v>
      </c>
      <c r="F245" s="171" t="s">
        <v>35178</v>
      </c>
      <c r="G245" s="82"/>
      <c r="H245" s="96">
        <f t="shared" si="12"/>
        <v>60.43</v>
      </c>
      <c r="I245" s="96">
        <f t="shared" si="12"/>
        <v>63.02</v>
      </c>
      <c r="J245" s="91" t="str">
        <f t="shared" si="13"/>
        <v>Sinapi 103121</v>
      </c>
      <c r="K245" s="91" t="str">
        <f t="shared" si="14"/>
        <v>UN</v>
      </c>
      <c r="L245" s="166" t="str">
        <f t="shared" si="15"/>
        <v>09/2021</v>
      </c>
      <c r="M245" s="82"/>
      <c r="N245" s="82"/>
    </row>
    <row r="246" spans="1:14" x14ac:dyDescent="0.25">
      <c r="A246" s="170" t="s">
        <v>14429</v>
      </c>
      <c r="B246" s="170" t="s">
        <v>14430</v>
      </c>
      <c r="C246" s="170" t="s">
        <v>205</v>
      </c>
      <c r="D246" s="170" t="s">
        <v>1947</v>
      </c>
      <c r="E246" s="171" t="s">
        <v>31753</v>
      </c>
      <c r="F246" s="171" t="s">
        <v>30366</v>
      </c>
      <c r="G246" s="82"/>
      <c r="H246" s="96">
        <f t="shared" si="12"/>
        <v>73.58</v>
      </c>
      <c r="I246" s="96">
        <f t="shared" si="12"/>
        <v>76.86</v>
      </c>
      <c r="J246" s="91" t="str">
        <f t="shared" si="13"/>
        <v>Sinapi 103122</v>
      </c>
      <c r="K246" s="91" t="str">
        <f t="shared" si="14"/>
        <v>UN</v>
      </c>
      <c r="L246" s="166" t="str">
        <f t="shared" si="15"/>
        <v>09/2021</v>
      </c>
      <c r="M246" s="82"/>
      <c r="N246" s="82"/>
    </row>
    <row r="247" spans="1:14" x14ac:dyDescent="0.25">
      <c r="A247" s="170" t="s">
        <v>14431</v>
      </c>
      <c r="B247" s="170" t="s">
        <v>14432</v>
      </c>
      <c r="C247" s="170" t="s">
        <v>205</v>
      </c>
      <c r="D247" s="170" t="s">
        <v>1947</v>
      </c>
      <c r="E247" s="171" t="s">
        <v>31754</v>
      </c>
      <c r="F247" s="171" t="s">
        <v>34098</v>
      </c>
      <c r="G247" s="82"/>
      <c r="H247" s="96">
        <f t="shared" si="12"/>
        <v>106.48</v>
      </c>
      <c r="I247" s="96">
        <f t="shared" si="12"/>
        <v>111.51</v>
      </c>
      <c r="J247" s="91" t="str">
        <f t="shared" si="13"/>
        <v>Sinapi 103123</v>
      </c>
      <c r="K247" s="91" t="str">
        <f t="shared" si="14"/>
        <v>UN</v>
      </c>
      <c r="L247" s="166" t="str">
        <f t="shared" si="15"/>
        <v>09/2021</v>
      </c>
      <c r="M247" s="82"/>
      <c r="N247" s="82"/>
    </row>
    <row r="248" spans="1:14" x14ac:dyDescent="0.25">
      <c r="A248" s="170" t="s">
        <v>14433</v>
      </c>
      <c r="B248" s="170" t="s">
        <v>14434</v>
      </c>
      <c r="C248" s="170" t="s">
        <v>205</v>
      </c>
      <c r="D248" s="170" t="s">
        <v>1947</v>
      </c>
      <c r="E248" s="171" t="s">
        <v>30682</v>
      </c>
      <c r="F248" s="171" t="s">
        <v>33445</v>
      </c>
      <c r="G248" s="82"/>
      <c r="H248" s="96">
        <f t="shared" si="12"/>
        <v>139.36000000000001</v>
      </c>
      <c r="I248" s="96">
        <f t="shared" si="12"/>
        <v>146.13</v>
      </c>
      <c r="J248" s="91" t="str">
        <f t="shared" si="13"/>
        <v>Sinapi 103124</v>
      </c>
      <c r="K248" s="91" t="str">
        <f t="shared" si="14"/>
        <v>UN</v>
      </c>
      <c r="L248" s="166" t="str">
        <f t="shared" si="15"/>
        <v>09/2021</v>
      </c>
      <c r="M248" s="82"/>
      <c r="N248" s="82"/>
    </row>
    <row r="249" spans="1:14" x14ac:dyDescent="0.25">
      <c r="A249" s="170" t="s">
        <v>14435</v>
      </c>
      <c r="B249" s="170" t="s">
        <v>14436</v>
      </c>
      <c r="C249" s="170" t="s">
        <v>205</v>
      </c>
      <c r="D249" s="170" t="s">
        <v>1947</v>
      </c>
      <c r="E249" s="171" t="s">
        <v>31755</v>
      </c>
      <c r="F249" s="171" t="s">
        <v>35179</v>
      </c>
      <c r="G249" s="82"/>
      <c r="H249" s="96">
        <f t="shared" si="12"/>
        <v>234.06</v>
      </c>
      <c r="I249" s="96">
        <f t="shared" si="12"/>
        <v>245.83</v>
      </c>
      <c r="J249" s="91" t="str">
        <f t="shared" si="13"/>
        <v>Sinapi 103125</v>
      </c>
      <c r="K249" s="91" t="str">
        <f t="shared" si="14"/>
        <v>UN</v>
      </c>
      <c r="L249" s="166" t="str">
        <f t="shared" si="15"/>
        <v>09/2021</v>
      </c>
      <c r="M249" s="82"/>
      <c r="N249" s="82"/>
    </row>
    <row r="250" spans="1:14" x14ac:dyDescent="0.25">
      <c r="A250" s="170" t="s">
        <v>14437</v>
      </c>
      <c r="B250" s="170" t="s">
        <v>14438</v>
      </c>
      <c r="C250" s="170" t="s">
        <v>205</v>
      </c>
      <c r="D250" s="170" t="s">
        <v>1947</v>
      </c>
      <c r="E250" s="171" t="s">
        <v>31756</v>
      </c>
      <c r="F250" s="171" t="s">
        <v>35180</v>
      </c>
      <c r="G250" s="82"/>
      <c r="H250" s="96">
        <f t="shared" si="12"/>
        <v>266.93</v>
      </c>
      <c r="I250" s="96">
        <f t="shared" si="12"/>
        <v>280.45999999999998</v>
      </c>
      <c r="J250" s="91" t="str">
        <f t="shared" si="13"/>
        <v>Sinapi 103126</v>
      </c>
      <c r="K250" s="91" t="str">
        <f t="shared" si="14"/>
        <v>UN</v>
      </c>
      <c r="L250" s="166" t="str">
        <f t="shared" si="15"/>
        <v>09/2021</v>
      </c>
      <c r="M250" s="82"/>
      <c r="N250" s="82"/>
    </row>
    <row r="251" spans="1:14" x14ac:dyDescent="0.25">
      <c r="A251" s="170" t="s">
        <v>14439</v>
      </c>
      <c r="B251" s="170" t="s">
        <v>14440</v>
      </c>
      <c r="C251" s="170" t="s">
        <v>205</v>
      </c>
      <c r="D251" s="170" t="s">
        <v>1947</v>
      </c>
      <c r="E251" s="171" t="s">
        <v>31757</v>
      </c>
      <c r="F251" s="171" t="s">
        <v>35181</v>
      </c>
      <c r="G251" s="82"/>
      <c r="H251" s="96">
        <f t="shared" si="12"/>
        <v>361.63</v>
      </c>
      <c r="I251" s="96">
        <f t="shared" si="12"/>
        <v>380.17</v>
      </c>
      <c r="J251" s="91" t="str">
        <f t="shared" si="13"/>
        <v>Sinapi 103127</v>
      </c>
      <c r="K251" s="91" t="str">
        <f t="shared" si="14"/>
        <v>UN</v>
      </c>
      <c r="L251" s="166" t="str">
        <f t="shared" si="15"/>
        <v>09/2021</v>
      </c>
      <c r="M251" s="82"/>
      <c r="N251" s="82"/>
    </row>
    <row r="252" spans="1:14" x14ac:dyDescent="0.25">
      <c r="A252" s="170" t="s">
        <v>14441</v>
      </c>
      <c r="B252" s="170" t="s">
        <v>14442</v>
      </c>
      <c r="C252" s="170" t="s">
        <v>205</v>
      </c>
      <c r="D252" s="170" t="s">
        <v>1947</v>
      </c>
      <c r="E252" s="171" t="s">
        <v>31758</v>
      </c>
      <c r="F252" s="171" t="s">
        <v>35182</v>
      </c>
      <c r="G252" s="82"/>
      <c r="H252" s="96">
        <f t="shared" si="12"/>
        <v>394.51</v>
      </c>
      <c r="I252" s="96">
        <f t="shared" si="12"/>
        <v>414.8</v>
      </c>
      <c r="J252" s="91" t="str">
        <f t="shared" si="13"/>
        <v>Sinapi 103128</v>
      </c>
      <c r="K252" s="91" t="str">
        <f t="shared" si="14"/>
        <v>UN</v>
      </c>
      <c r="L252" s="166" t="str">
        <f t="shared" si="15"/>
        <v>09/2021</v>
      </c>
      <c r="M252" s="82"/>
      <c r="N252" s="82"/>
    </row>
    <row r="253" spans="1:14" x14ac:dyDescent="0.25">
      <c r="A253" s="170" t="s">
        <v>14443</v>
      </c>
      <c r="B253" s="170" t="s">
        <v>14444</v>
      </c>
      <c r="C253" s="170" t="s">
        <v>205</v>
      </c>
      <c r="D253" s="170" t="s">
        <v>1947</v>
      </c>
      <c r="E253" s="171" t="s">
        <v>31759</v>
      </c>
      <c r="F253" s="171" t="s">
        <v>35183</v>
      </c>
      <c r="G253" s="82"/>
      <c r="H253" s="96">
        <f t="shared" si="12"/>
        <v>489.21</v>
      </c>
      <c r="I253" s="96">
        <f t="shared" si="12"/>
        <v>514.52</v>
      </c>
      <c r="J253" s="91" t="str">
        <f t="shared" si="13"/>
        <v>Sinapi 103129</v>
      </c>
      <c r="K253" s="91" t="str">
        <f t="shared" si="14"/>
        <v>UN</v>
      </c>
      <c r="L253" s="166" t="str">
        <f t="shared" si="15"/>
        <v>09/2021</v>
      </c>
      <c r="M253" s="82"/>
      <c r="N253" s="82"/>
    </row>
    <row r="254" spans="1:14" x14ac:dyDescent="0.25">
      <c r="A254" s="170" t="s">
        <v>14445</v>
      </c>
      <c r="B254" s="170" t="s">
        <v>14446</v>
      </c>
      <c r="C254" s="170" t="s">
        <v>205</v>
      </c>
      <c r="D254" s="170" t="s">
        <v>1947</v>
      </c>
      <c r="E254" s="171" t="s">
        <v>31760</v>
      </c>
      <c r="F254" s="171" t="s">
        <v>35184</v>
      </c>
      <c r="G254" s="82"/>
      <c r="H254" s="96">
        <f t="shared" si="12"/>
        <v>522.08000000000004</v>
      </c>
      <c r="I254" s="96">
        <f t="shared" si="12"/>
        <v>549.14</v>
      </c>
      <c r="J254" s="91" t="str">
        <f t="shared" si="13"/>
        <v>Sinapi 103130</v>
      </c>
      <c r="K254" s="91" t="str">
        <f t="shared" si="14"/>
        <v>UN</v>
      </c>
      <c r="L254" s="166" t="str">
        <f t="shared" si="15"/>
        <v>09/2021</v>
      </c>
      <c r="M254" s="82"/>
      <c r="N254" s="82"/>
    </row>
    <row r="255" spans="1:14" x14ac:dyDescent="0.25">
      <c r="A255" s="170" t="s">
        <v>14447</v>
      </c>
      <c r="B255" s="170" t="s">
        <v>14448</v>
      </c>
      <c r="C255" s="170" t="s">
        <v>205</v>
      </c>
      <c r="D255" s="170" t="s">
        <v>1947</v>
      </c>
      <c r="E255" s="171" t="s">
        <v>31761</v>
      </c>
      <c r="F255" s="171" t="s">
        <v>35185</v>
      </c>
      <c r="G255" s="82"/>
      <c r="H255" s="96">
        <f t="shared" si="12"/>
        <v>587.86</v>
      </c>
      <c r="I255" s="96">
        <f t="shared" si="12"/>
        <v>618.4</v>
      </c>
      <c r="J255" s="91" t="str">
        <f t="shared" si="13"/>
        <v>Sinapi 103131</v>
      </c>
      <c r="K255" s="91" t="str">
        <f t="shared" si="14"/>
        <v>UN</v>
      </c>
      <c r="L255" s="166" t="str">
        <f t="shared" si="15"/>
        <v>09/2021</v>
      </c>
      <c r="M255" s="82"/>
      <c r="N255" s="82"/>
    </row>
    <row r="256" spans="1:14" x14ac:dyDescent="0.25">
      <c r="A256" s="170" t="s">
        <v>14449</v>
      </c>
      <c r="B256" s="170" t="s">
        <v>14450</v>
      </c>
      <c r="C256" s="170" t="s">
        <v>205</v>
      </c>
      <c r="D256" s="170" t="s">
        <v>1947</v>
      </c>
      <c r="E256" s="171" t="s">
        <v>31762</v>
      </c>
      <c r="F256" s="171" t="s">
        <v>35186</v>
      </c>
      <c r="G256" s="82"/>
      <c r="H256" s="96">
        <f t="shared" si="12"/>
        <v>715.43</v>
      </c>
      <c r="I256" s="96">
        <f t="shared" si="12"/>
        <v>752.72</v>
      </c>
      <c r="J256" s="91" t="str">
        <f t="shared" si="13"/>
        <v>Sinapi 103132</v>
      </c>
      <c r="K256" s="91" t="str">
        <f t="shared" si="14"/>
        <v>UN</v>
      </c>
      <c r="L256" s="166" t="str">
        <f t="shared" si="15"/>
        <v>09/2021</v>
      </c>
      <c r="M256" s="82"/>
      <c r="N256" s="82"/>
    </row>
    <row r="257" spans="1:14" x14ac:dyDescent="0.25">
      <c r="A257" s="170" t="s">
        <v>14451</v>
      </c>
      <c r="B257" s="170" t="s">
        <v>14452</v>
      </c>
      <c r="C257" s="170" t="s">
        <v>205</v>
      </c>
      <c r="D257" s="170" t="s">
        <v>1947</v>
      </c>
      <c r="E257" s="171" t="s">
        <v>31763</v>
      </c>
      <c r="F257" s="171" t="s">
        <v>35187</v>
      </c>
      <c r="G257" s="82"/>
      <c r="H257" s="96">
        <f t="shared" si="12"/>
        <v>781.22</v>
      </c>
      <c r="I257" s="96">
        <f t="shared" si="12"/>
        <v>822</v>
      </c>
      <c r="J257" s="91" t="str">
        <f t="shared" si="13"/>
        <v>Sinapi 103133</v>
      </c>
      <c r="K257" s="91" t="str">
        <f t="shared" si="14"/>
        <v>UN</v>
      </c>
      <c r="L257" s="166" t="str">
        <f t="shared" si="15"/>
        <v>09/2021</v>
      </c>
      <c r="M257" s="82"/>
      <c r="N257" s="82"/>
    </row>
    <row r="258" spans="1:14" x14ac:dyDescent="0.25">
      <c r="A258" s="170" t="s">
        <v>14453</v>
      </c>
      <c r="B258" s="170" t="s">
        <v>14454</v>
      </c>
      <c r="C258" s="170" t="s">
        <v>205</v>
      </c>
      <c r="D258" s="170" t="s">
        <v>1947</v>
      </c>
      <c r="E258" s="171" t="s">
        <v>31764</v>
      </c>
      <c r="F258" s="171" t="s">
        <v>35188</v>
      </c>
      <c r="G258" s="82"/>
      <c r="H258" s="96">
        <f t="shared" si="12"/>
        <v>908.78</v>
      </c>
      <c r="I258" s="96">
        <f t="shared" si="12"/>
        <v>956.33</v>
      </c>
      <c r="J258" s="91" t="str">
        <f t="shared" si="13"/>
        <v>Sinapi 103134</v>
      </c>
      <c r="K258" s="91" t="str">
        <f t="shared" si="14"/>
        <v>UN</v>
      </c>
      <c r="L258" s="166" t="str">
        <f t="shared" si="15"/>
        <v>09/2021</v>
      </c>
      <c r="M258" s="82"/>
      <c r="N258" s="82"/>
    </row>
    <row r="259" spans="1:14" x14ac:dyDescent="0.25">
      <c r="A259" s="170" t="s">
        <v>14455</v>
      </c>
      <c r="B259" s="170" t="s">
        <v>14456</v>
      </c>
      <c r="C259" s="170" t="s">
        <v>205</v>
      </c>
      <c r="D259" s="170" t="s">
        <v>1947</v>
      </c>
      <c r="E259" s="171" t="s">
        <v>31765</v>
      </c>
      <c r="F259" s="171" t="s">
        <v>35189</v>
      </c>
      <c r="G259" s="82"/>
      <c r="H259" s="96">
        <f t="shared" si="12"/>
        <v>974.57</v>
      </c>
      <c r="I259" s="96">
        <f t="shared" si="12"/>
        <v>1025.5999999999999</v>
      </c>
      <c r="J259" s="91" t="str">
        <f t="shared" si="13"/>
        <v>Sinapi 103135</v>
      </c>
      <c r="K259" s="91" t="str">
        <f t="shared" si="14"/>
        <v>UN</v>
      </c>
      <c r="L259" s="166" t="str">
        <f t="shared" si="15"/>
        <v>09/2021</v>
      </c>
      <c r="M259" s="82"/>
      <c r="N259" s="82"/>
    </row>
    <row r="260" spans="1:14" x14ac:dyDescent="0.25">
      <c r="A260" s="170" t="s">
        <v>14457</v>
      </c>
      <c r="B260" s="170" t="s">
        <v>14458</v>
      </c>
      <c r="C260" s="170" t="s">
        <v>205</v>
      </c>
      <c r="D260" s="170" t="s">
        <v>1947</v>
      </c>
      <c r="E260" s="171" t="s">
        <v>31766</v>
      </c>
      <c r="F260" s="171" t="s">
        <v>35190</v>
      </c>
      <c r="G260" s="82"/>
      <c r="H260" s="96">
        <f t="shared" si="12"/>
        <v>1167.92</v>
      </c>
      <c r="I260" s="96">
        <f t="shared" si="12"/>
        <v>1229.19</v>
      </c>
      <c r="J260" s="91" t="str">
        <f t="shared" si="13"/>
        <v>Sinapi 103136</v>
      </c>
      <c r="K260" s="91" t="str">
        <f t="shared" si="14"/>
        <v>UN</v>
      </c>
      <c r="L260" s="166" t="str">
        <f t="shared" si="15"/>
        <v>09/2021</v>
      </c>
      <c r="M260" s="82"/>
      <c r="N260" s="82"/>
    </row>
    <row r="261" spans="1:14" x14ac:dyDescent="0.25">
      <c r="A261" s="170" t="s">
        <v>14459</v>
      </c>
      <c r="B261" s="170" t="s">
        <v>14460</v>
      </c>
      <c r="C261" s="170" t="s">
        <v>205</v>
      </c>
      <c r="D261" s="170" t="s">
        <v>1947</v>
      </c>
      <c r="E261" s="171" t="s">
        <v>31767</v>
      </c>
      <c r="F261" s="171" t="s">
        <v>28319</v>
      </c>
      <c r="G261" s="82"/>
      <c r="H261" s="96">
        <f t="shared" si="12"/>
        <v>32.049999999999997</v>
      </c>
      <c r="I261" s="96">
        <f t="shared" si="12"/>
        <v>33.130000000000003</v>
      </c>
      <c r="J261" s="91" t="str">
        <f t="shared" si="13"/>
        <v>Sinapi 103137</v>
      </c>
      <c r="K261" s="91" t="str">
        <f t="shared" si="14"/>
        <v>UN</v>
      </c>
      <c r="L261" s="166" t="str">
        <f t="shared" si="15"/>
        <v>09/2021</v>
      </c>
      <c r="M261" s="82"/>
      <c r="N261" s="82"/>
    </row>
    <row r="262" spans="1:14" x14ac:dyDescent="0.25">
      <c r="A262" s="170" t="s">
        <v>14461</v>
      </c>
      <c r="B262" s="170" t="s">
        <v>14462</v>
      </c>
      <c r="C262" s="170" t="s">
        <v>205</v>
      </c>
      <c r="D262" s="170" t="s">
        <v>1947</v>
      </c>
      <c r="E262" s="171" t="s">
        <v>31768</v>
      </c>
      <c r="F262" s="171" t="s">
        <v>19903</v>
      </c>
      <c r="G262" s="82"/>
      <c r="H262" s="96">
        <f t="shared" si="12"/>
        <v>36.42</v>
      </c>
      <c r="I262" s="96">
        <f t="shared" si="12"/>
        <v>37.729999999999997</v>
      </c>
      <c r="J262" s="91" t="str">
        <f t="shared" si="13"/>
        <v>Sinapi 103138</v>
      </c>
      <c r="K262" s="91" t="str">
        <f t="shared" si="14"/>
        <v>UN</v>
      </c>
      <c r="L262" s="166" t="str">
        <f t="shared" si="15"/>
        <v>09/2021</v>
      </c>
      <c r="M262" s="82"/>
      <c r="N262" s="82"/>
    </row>
    <row r="263" spans="1:14" x14ac:dyDescent="0.25">
      <c r="A263" s="170" t="s">
        <v>14463</v>
      </c>
      <c r="B263" s="170" t="s">
        <v>14464</v>
      </c>
      <c r="C263" s="170" t="s">
        <v>205</v>
      </c>
      <c r="D263" s="170" t="s">
        <v>1947</v>
      </c>
      <c r="E263" s="171" t="s">
        <v>31769</v>
      </c>
      <c r="F263" s="171" t="s">
        <v>29124</v>
      </c>
      <c r="G263" s="82"/>
      <c r="H263" s="96">
        <f t="shared" si="12"/>
        <v>47.4</v>
      </c>
      <c r="I263" s="96">
        <f t="shared" si="12"/>
        <v>49.3</v>
      </c>
      <c r="J263" s="91" t="str">
        <f t="shared" si="13"/>
        <v>Sinapi 103139</v>
      </c>
      <c r="K263" s="91" t="str">
        <f t="shared" si="14"/>
        <v>UN</v>
      </c>
      <c r="L263" s="166" t="str">
        <f t="shared" si="15"/>
        <v>09/2021</v>
      </c>
      <c r="M263" s="82"/>
      <c r="N263" s="82"/>
    </row>
    <row r="264" spans="1:14" x14ac:dyDescent="0.25">
      <c r="A264" s="170" t="s">
        <v>14465</v>
      </c>
      <c r="B264" s="170" t="s">
        <v>14466</v>
      </c>
      <c r="C264" s="170" t="s">
        <v>205</v>
      </c>
      <c r="D264" s="170" t="s">
        <v>1947</v>
      </c>
      <c r="E264" s="171" t="s">
        <v>27647</v>
      </c>
      <c r="F264" s="171" t="s">
        <v>22831</v>
      </c>
      <c r="G264" s="82"/>
      <c r="H264" s="96">
        <f t="shared" ref="H264:I327" si="16">IF(E264="","",E264+0)</f>
        <v>58.35</v>
      </c>
      <c r="I264" s="96">
        <f t="shared" si="16"/>
        <v>60.83</v>
      </c>
      <c r="J264" s="91" t="str">
        <f t="shared" ref="J264:J327" si="17">IF(OR(H264="",I264=""),"",TRIM(CONCATENATE("Sinapi ",A264)))</f>
        <v>Sinapi 103140</v>
      </c>
      <c r="K264" s="91" t="str">
        <f t="shared" ref="K264:K327" si="18">TRIM(C264)</f>
        <v>UN</v>
      </c>
      <c r="L264" s="166" t="str">
        <f t="shared" ref="L264:L327" si="19">IF(OR(RIGHT(IF(AND(K264&lt;&gt;"H",K264&lt;&gt;"MES"),RIGHT(B264,7),""),2)="PS",RIGHT(IF(AND(K264&lt;&gt;"H",K264&lt;&gt;"MES"),RIGHT(B264,7),""),2)="PA",RIGHT(IF(AND(K264&lt;&gt;"H",K264&lt;&gt;"MES"),RIGHT(B264,7),""),2)="PE"),LEFT(IF(AND(K264&lt;&gt;"H",K264&lt;&gt;"MES"),RIGHT(B264,10),""),7),IF(AND(K264&lt;&gt;"H",K264&lt;&gt;"MES"),RIGHT(B264,7),""))</f>
        <v>09/2021</v>
      </c>
      <c r="M264" s="82"/>
      <c r="N264" s="82"/>
    </row>
    <row r="265" spans="1:14" x14ac:dyDescent="0.25">
      <c r="A265" s="170" t="s">
        <v>14467</v>
      </c>
      <c r="B265" s="170" t="s">
        <v>14468</v>
      </c>
      <c r="C265" s="170" t="s">
        <v>205</v>
      </c>
      <c r="D265" s="170" t="s">
        <v>1947</v>
      </c>
      <c r="E265" s="171" t="s">
        <v>31770</v>
      </c>
      <c r="F265" s="171" t="s">
        <v>35191</v>
      </c>
      <c r="G265" s="82"/>
      <c r="H265" s="96">
        <f t="shared" si="16"/>
        <v>89.92</v>
      </c>
      <c r="I265" s="96">
        <f t="shared" si="16"/>
        <v>94.07</v>
      </c>
      <c r="J265" s="91" t="str">
        <f t="shared" si="17"/>
        <v>Sinapi 103141</v>
      </c>
      <c r="K265" s="91" t="str">
        <f t="shared" si="18"/>
        <v>UN</v>
      </c>
      <c r="L265" s="166" t="str">
        <f t="shared" si="19"/>
        <v>09/2021</v>
      </c>
      <c r="M265" s="82"/>
      <c r="N265" s="82"/>
    </row>
    <row r="266" spans="1:14" x14ac:dyDescent="0.25">
      <c r="A266" s="170" t="s">
        <v>14469</v>
      </c>
      <c r="B266" s="170" t="s">
        <v>14470</v>
      </c>
      <c r="C266" s="170" t="s">
        <v>205</v>
      </c>
      <c r="D266" s="170" t="s">
        <v>1947</v>
      </c>
      <c r="E266" s="171" t="s">
        <v>31771</v>
      </c>
      <c r="F266" s="171" t="s">
        <v>35192</v>
      </c>
      <c r="G266" s="82"/>
      <c r="H266" s="96">
        <f t="shared" si="16"/>
        <v>100.88</v>
      </c>
      <c r="I266" s="96">
        <f t="shared" si="16"/>
        <v>105.6</v>
      </c>
      <c r="J266" s="91" t="str">
        <f t="shared" si="17"/>
        <v>Sinapi 103142</v>
      </c>
      <c r="K266" s="91" t="str">
        <f t="shared" si="18"/>
        <v>UN</v>
      </c>
      <c r="L266" s="166" t="str">
        <f t="shared" si="19"/>
        <v>09/2021</v>
      </c>
      <c r="M266" s="82"/>
      <c r="N266" s="82"/>
    </row>
    <row r="267" spans="1:14" x14ac:dyDescent="0.25">
      <c r="A267" s="170" t="s">
        <v>14471</v>
      </c>
      <c r="B267" s="170" t="s">
        <v>14472</v>
      </c>
      <c r="C267" s="170" t="s">
        <v>205</v>
      </c>
      <c r="D267" s="170" t="s">
        <v>1947</v>
      </c>
      <c r="E267" s="171" t="s">
        <v>31772</v>
      </c>
      <c r="F267" s="171" t="s">
        <v>35193</v>
      </c>
      <c r="G267" s="82"/>
      <c r="H267" s="96">
        <f t="shared" si="16"/>
        <v>132.46</v>
      </c>
      <c r="I267" s="96">
        <f t="shared" si="16"/>
        <v>138.85</v>
      </c>
      <c r="J267" s="91" t="str">
        <f t="shared" si="17"/>
        <v>Sinapi 103143</v>
      </c>
      <c r="K267" s="91" t="str">
        <f t="shared" si="18"/>
        <v>UN</v>
      </c>
      <c r="L267" s="166" t="str">
        <f t="shared" si="19"/>
        <v>09/2021</v>
      </c>
      <c r="M267" s="82"/>
      <c r="N267" s="82"/>
    </row>
    <row r="268" spans="1:14" x14ac:dyDescent="0.25">
      <c r="A268" s="170" t="s">
        <v>14473</v>
      </c>
      <c r="B268" s="170" t="s">
        <v>14474</v>
      </c>
      <c r="C268" s="170" t="s">
        <v>205</v>
      </c>
      <c r="D268" s="170" t="s">
        <v>1947</v>
      </c>
      <c r="E268" s="171" t="s">
        <v>31773</v>
      </c>
      <c r="F268" s="171" t="s">
        <v>35194</v>
      </c>
      <c r="G268" s="82"/>
      <c r="H268" s="96">
        <f t="shared" si="16"/>
        <v>143.4</v>
      </c>
      <c r="I268" s="96">
        <f t="shared" si="16"/>
        <v>150.38</v>
      </c>
      <c r="J268" s="91" t="str">
        <f t="shared" si="17"/>
        <v>Sinapi 103144</v>
      </c>
      <c r="K268" s="91" t="str">
        <f t="shared" si="18"/>
        <v>UN</v>
      </c>
      <c r="L268" s="166" t="str">
        <f t="shared" si="19"/>
        <v>09/2021</v>
      </c>
      <c r="M268" s="82"/>
      <c r="N268" s="82"/>
    </row>
    <row r="269" spans="1:14" x14ac:dyDescent="0.25">
      <c r="A269" s="170" t="s">
        <v>14475</v>
      </c>
      <c r="B269" s="170" t="s">
        <v>14476</v>
      </c>
      <c r="C269" s="170" t="s">
        <v>205</v>
      </c>
      <c r="D269" s="170" t="s">
        <v>1947</v>
      </c>
      <c r="E269" s="171" t="s">
        <v>31774</v>
      </c>
      <c r="F269" s="171" t="s">
        <v>35195</v>
      </c>
      <c r="G269" s="82"/>
      <c r="H269" s="96">
        <f t="shared" si="16"/>
        <v>174.97</v>
      </c>
      <c r="I269" s="96">
        <f t="shared" si="16"/>
        <v>183.63</v>
      </c>
      <c r="J269" s="91" t="str">
        <f t="shared" si="17"/>
        <v>Sinapi 103145</v>
      </c>
      <c r="K269" s="91" t="str">
        <f t="shared" si="18"/>
        <v>UN</v>
      </c>
      <c r="L269" s="166" t="str">
        <f t="shared" si="19"/>
        <v>09/2021</v>
      </c>
      <c r="M269" s="82"/>
      <c r="N269" s="82"/>
    </row>
    <row r="270" spans="1:14" x14ac:dyDescent="0.25">
      <c r="A270" s="170" t="s">
        <v>14477</v>
      </c>
      <c r="B270" s="170" t="s">
        <v>14478</v>
      </c>
      <c r="C270" s="170" t="s">
        <v>205</v>
      </c>
      <c r="D270" s="170" t="s">
        <v>1947</v>
      </c>
      <c r="E270" s="171" t="s">
        <v>31775</v>
      </c>
      <c r="F270" s="171" t="s">
        <v>35196</v>
      </c>
      <c r="G270" s="82"/>
      <c r="H270" s="96">
        <f t="shared" si="16"/>
        <v>185.93</v>
      </c>
      <c r="I270" s="96">
        <f t="shared" si="16"/>
        <v>195.15</v>
      </c>
      <c r="J270" s="91" t="str">
        <f t="shared" si="17"/>
        <v>Sinapi 103146</v>
      </c>
      <c r="K270" s="91" t="str">
        <f t="shared" si="18"/>
        <v>UN</v>
      </c>
      <c r="L270" s="166" t="str">
        <f t="shared" si="19"/>
        <v>09/2021</v>
      </c>
      <c r="M270" s="82"/>
      <c r="N270" s="82"/>
    </row>
    <row r="271" spans="1:14" x14ac:dyDescent="0.25">
      <c r="A271" s="170" t="s">
        <v>14479</v>
      </c>
      <c r="B271" s="170" t="s">
        <v>14480</v>
      </c>
      <c r="C271" s="170" t="s">
        <v>205</v>
      </c>
      <c r="D271" s="170" t="s">
        <v>1947</v>
      </c>
      <c r="E271" s="171" t="s">
        <v>31776</v>
      </c>
      <c r="F271" s="171" t="s">
        <v>35197</v>
      </c>
      <c r="G271" s="82"/>
      <c r="H271" s="96">
        <f t="shared" si="16"/>
        <v>207.85</v>
      </c>
      <c r="I271" s="96">
        <f t="shared" si="16"/>
        <v>218.24</v>
      </c>
      <c r="J271" s="91" t="str">
        <f t="shared" si="17"/>
        <v>Sinapi 103147</v>
      </c>
      <c r="K271" s="91" t="str">
        <f t="shared" si="18"/>
        <v>UN</v>
      </c>
      <c r="L271" s="166" t="str">
        <f t="shared" si="19"/>
        <v>09/2021</v>
      </c>
      <c r="M271" s="82"/>
      <c r="N271" s="82"/>
    </row>
    <row r="272" spans="1:14" x14ac:dyDescent="0.25">
      <c r="A272" s="170" t="s">
        <v>14481</v>
      </c>
      <c r="B272" s="170" t="s">
        <v>14482</v>
      </c>
      <c r="C272" s="170" t="s">
        <v>205</v>
      </c>
      <c r="D272" s="170" t="s">
        <v>1947</v>
      </c>
      <c r="E272" s="171" t="s">
        <v>31282</v>
      </c>
      <c r="F272" s="171" t="s">
        <v>35198</v>
      </c>
      <c r="G272" s="82"/>
      <c r="H272" s="96">
        <f t="shared" si="16"/>
        <v>250.37</v>
      </c>
      <c r="I272" s="96">
        <f t="shared" si="16"/>
        <v>263.02999999999997</v>
      </c>
      <c r="J272" s="91" t="str">
        <f t="shared" si="17"/>
        <v>Sinapi 103148</v>
      </c>
      <c r="K272" s="91" t="str">
        <f t="shared" si="18"/>
        <v>UN</v>
      </c>
      <c r="L272" s="166" t="str">
        <f t="shared" si="19"/>
        <v>09/2021</v>
      </c>
      <c r="M272" s="82"/>
      <c r="N272" s="82"/>
    </row>
    <row r="273" spans="1:14" x14ac:dyDescent="0.25">
      <c r="A273" s="170" t="s">
        <v>14483</v>
      </c>
      <c r="B273" s="170" t="s">
        <v>14484</v>
      </c>
      <c r="C273" s="170" t="s">
        <v>205</v>
      </c>
      <c r="D273" s="170" t="s">
        <v>1947</v>
      </c>
      <c r="E273" s="171" t="s">
        <v>31777</v>
      </c>
      <c r="F273" s="171" t="s">
        <v>35199</v>
      </c>
      <c r="G273" s="82"/>
      <c r="H273" s="96">
        <f t="shared" si="16"/>
        <v>272.3</v>
      </c>
      <c r="I273" s="96">
        <f t="shared" si="16"/>
        <v>286.12</v>
      </c>
      <c r="J273" s="91" t="str">
        <f t="shared" si="17"/>
        <v>Sinapi 103149</v>
      </c>
      <c r="K273" s="91" t="str">
        <f t="shared" si="18"/>
        <v>UN</v>
      </c>
      <c r="L273" s="166" t="str">
        <f t="shared" si="19"/>
        <v>09/2021</v>
      </c>
      <c r="M273" s="82"/>
      <c r="N273" s="82"/>
    </row>
    <row r="274" spans="1:14" x14ac:dyDescent="0.25">
      <c r="A274" s="170" t="s">
        <v>14485</v>
      </c>
      <c r="B274" s="170" t="s">
        <v>14486</v>
      </c>
      <c r="C274" s="170" t="s">
        <v>205</v>
      </c>
      <c r="D274" s="170" t="s">
        <v>1947</v>
      </c>
      <c r="E274" s="171" t="s">
        <v>31778</v>
      </c>
      <c r="F274" s="171" t="s">
        <v>31909</v>
      </c>
      <c r="G274" s="82"/>
      <c r="H274" s="96">
        <f t="shared" si="16"/>
        <v>314.77</v>
      </c>
      <c r="I274" s="96">
        <f t="shared" si="16"/>
        <v>330.84</v>
      </c>
      <c r="J274" s="91" t="str">
        <f t="shared" si="17"/>
        <v>Sinapi 103150</v>
      </c>
      <c r="K274" s="91" t="str">
        <f t="shared" si="18"/>
        <v>UN</v>
      </c>
      <c r="L274" s="166" t="str">
        <f t="shared" si="19"/>
        <v>09/2021</v>
      </c>
      <c r="M274" s="82"/>
      <c r="N274" s="82"/>
    </row>
    <row r="275" spans="1:14" x14ac:dyDescent="0.25">
      <c r="A275" s="170" t="s">
        <v>14487</v>
      </c>
      <c r="B275" s="170" t="s">
        <v>14488</v>
      </c>
      <c r="C275" s="170" t="s">
        <v>205</v>
      </c>
      <c r="D275" s="170" t="s">
        <v>1947</v>
      </c>
      <c r="E275" s="171" t="s">
        <v>31779</v>
      </c>
      <c r="F275" s="171" t="s">
        <v>31746</v>
      </c>
      <c r="G275" s="82"/>
      <c r="H275" s="96">
        <f t="shared" si="16"/>
        <v>336.75</v>
      </c>
      <c r="I275" s="96">
        <f t="shared" si="16"/>
        <v>353.99</v>
      </c>
      <c r="J275" s="91" t="str">
        <f t="shared" si="17"/>
        <v>Sinapi 103151</v>
      </c>
      <c r="K275" s="91" t="str">
        <f t="shared" si="18"/>
        <v>UN</v>
      </c>
      <c r="L275" s="166" t="str">
        <f t="shared" si="19"/>
        <v>09/2021</v>
      </c>
      <c r="M275" s="82"/>
      <c r="N275" s="82"/>
    </row>
    <row r="276" spans="1:14" x14ac:dyDescent="0.25">
      <c r="A276" s="170" t="s">
        <v>14489</v>
      </c>
      <c r="B276" s="170" t="s">
        <v>14490</v>
      </c>
      <c r="C276" s="170" t="s">
        <v>205</v>
      </c>
      <c r="D276" s="170" t="s">
        <v>1947</v>
      </c>
      <c r="E276" s="171" t="s">
        <v>31780</v>
      </c>
      <c r="F276" s="171" t="s">
        <v>35200</v>
      </c>
      <c r="G276" s="82"/>
      <c r="H276" s="96">
        <f t="shared" si="16"/>
        <v>401.21</v>
      </c>
      <c r="I276" s="96">
        <f t="shared" si="16"/>
        <v>421.86</v>
      </c>
      <c r="J276" s="91" t="str">
        <f t="shared" si="17"/>
        <v>Sinapi 103152</v>
      </c>
      <c r="K276" s="91" t="str">
        <f t="shared" si="18"/>
        <v>UN</v>
      </c>
      <c r="L276" s="166" t="str">
        <f t="shared" si="19"/>
        <v>09/2021</v>
      </c>
      <c r="M276" s="82"/>
      <c r="N276" s="82"/>
    </row>
    <row r="277" spans="1:14" x14ac:dyDescent="0.25">
      <c r="A277" s="170" t="s">
        <v>14951</v>
      </c>
      <c r="B277" s="170" t="s">
        <v>14952</v>
      </c>
      <c r="C277" s="170" t="s">
        <v>385</v>
      </c>
      <c r="D277" s="170" t="s">
        <v>1947</v>
      </c>
      <c r="E277" s="171" t="s">
        <v>21501</v>
      </c>
      <c r="F277" s="171" t="s">
        <v>6077</v>
      </c>
      <c r="G277" s="82"/>
      <c r="H277" s="96">
        <f t="shared" si="16"/>
        <v>5.65</v>
      </c>
      <c r="I277" s="96">
        <f t="shared" si="16"/>
        <v>5.67</v>
      </c>
      <c r="J277" s="91" t="str">
        <f t="shared" si="17"/>
        <v>Sinapi 103372</v>
      </c>
      <c r="K277" s="91" t="str">
        <f t="shared" si="18"/>
        <v>M</v>
      </c>
      <c r="L277" s="166" t="str">
        <f t="shared" si="19"/>
        <v>12/2021</v>
      </c>
      <c r="M277" s="82"/>
      <c r="N277" s="82"/>
    </row>
    <row r="278" spans="1:14" x14ac:dyDescent="0.25">
      <c r="A278" s="170" t="s">
        <v>14953</v>
      </c>
      <c r="B278" s="170" t="s">
        <v>14954</v>
      </c>
      <c r="C278" s="170" t="s">
        <v>385</v>
      </c>
      <c r="D278" s="170" t="s">
        <v>1947</v>
      </c>
      <c r="E278" s="171" t="s">
        <v>18627</v>
      </c>
      <c r="F278" s="171" t="s">
        <v>19862</v>
      </c>
      <c r="G278" s="82"/>
      <c r="H278" s="96">
        <f t="shared" si="16"/>
        <v>11.07</v>
      </c>
      <c r="I278" s="96">
        <f t="shared" si="16"/>
        <v>11.11</v>
      </c>
      <c r="J278" s="91" t="str">
        <f t="shared" si="17"/>
        <v>Sinapi 103373</v>
      </c>
      <c r="K278" s="91" t="str">
        <f t="shared" si="18"/>
        <v>M</v>
      </c>
      <c r="L278" s="166" t="str">
        <f t="shared" si="19"/>
        <v>12/2021</v>
      </c>
      <c r="M278" s="82"/>
      <c r="N278" s="82"/>
    </row>
    <row r="279" spans="1:14" x14ac:dyDescent="0.25">
      <c r="A279" s="170" t="s">
        <v>14955</v>
      </c>
      <c r="B279" s="170" t="s">
        <v>14956</v>
      </c>
      <c r="C279" s="170" t="s">
        <v>385</v>
      </c>
      <c r="D279" s="170" t="s">
        <v>1947</v>
      </c>
      <c r="E279" s="171" t="s">
        <v>31781</v>
      </c>
      <c r="F279" s="171" t="s">
        <v>31832</v>
      </c>
      <c r="G279" s="82"/>
      <c r="H279" s="96">
        <f t="shared" si="16"/>
        <v>132.37</v>
      </c>
      <c r="I279" s="96">
        <f t="shared" si="16"/>
        <v>132.5</v>
      </c>
      <c r="J279" s="91" t="str">
        <f t="shared" si="17"/>
        <v>Sinapi 103376</v>
      </c>
      <c r="K279" s="91" t="str">
        <f t="shared" si="18"/>
        <v>M</v>
      </c>
      <c r="L279" s="166" t="str">
        <f t="shared" si="19"/>
        <v>12/2021</v>
      </c>
      <c r="M279" s="82"/>
      <c r="N279" s="82"/>
    </row>
    <row r="280" spans="1:14" x14ac:dyDescent="0.25">
      <c r="A280" s="170" t="s">
        <v>14957</v>
      </c>
      <c r="B280" s="170" t="s">
        <v>14958</v>
      </c>
      <c r="C280" s="170" t="s">
        <v>385</v>
      </c>
      <c r="D280" s="170" t="s">
        <v>1947</v>
      </c>
      <c r="E280" s="171" t="s">
        <v>31782</v>
      </c>
      <c r="F280" s="171" t="s">
        <v>32846</v>
      </c>
      <c r="G280" s="82"/>
      <c r="H280" s="96">
        <f t="shared" si="16"/>
        <v>283.36</v>
      </c>
      <c r="I280" s="96">
        <f t="shared" si="16"/>
        <v>283.55</v>
      </c>
      <c r="J280" s="91" t="str">
        <f t="shared" si="17"/>
        <v>Sinapi 103377</v>
      </c>
      <c r="K280" s="91" t="str">
        <f t="shared" si="18"/>
        <v>M</v>
      </c>
      <c r="L280" s="166" t="str">
        <f t="shared" si="19"/>
        <v>12/2021</v>
      </c>
      <c r="M280" s="82"/>
      <c r="N280" s="82"/>
    </row>
    <row r="281" spans="1:14" x14ac:dyDescent="0.25">
      <c r="A281" s="170" t="s">
        <v>14959</v>
      </c>
      <c r="B281" s="170" t="s">
        <v>14960</v>
      </c>
      <c r="C281" s="170" t="s">
        <v>385</v>
      </c>
      <c r="D281" s="170" t="s">
        <v>1947</v>
      </c>
      <c r="E281" s="171" t="s">
        <v>31783</v>
      </c>
      <c r="F281" s="171" t="s">
        <v>35201</v>
      </c>
      <c r="G281" s="82"/>
      <c r="H281" s="96">
        <f t="shared" si="16"/>
        <v>441.24</v>
      </c>
      <c r="I281" s="96">
        <f t="shared" si="16"/>
        <v>441.47</v>
      </c>
      <c r="J281" s="91" t="str">
        <f t="shared" si="17"/>
        <v>Sinapi 103379</v>
      </c>
      <c r="K281" s="91" t="str">
        <f t="shared" si="18"/>
        <v>M</v>
      </c>
      <c r="L281" s="166" t="str">
        <f t="shared" si="19"/>
        <v>12/2021</v>
      </c>
      <c r="M281" s="82"/>
      <c r="N281" s="82"/>
    </row>
    <row r="282" spans="1:14" x14ac:dyDescent="0.25">
      <c r="A282" s="170" t="s">
        <v>14961</v>
      </c>
      <c r="B282" s="170" t="s">
        <v>14962</v>
      </c>
      <c r="C282" s="170" t="s">
        <v>385</v>
      </c>
      <c r="D282" s="170" t="s">
        <v>1947</v>
      </c>
      <c r="E282" s="171" t="s">
        <v>31784</v>
      </c>
      <c r="F282" s="171" t="s">
        <v>35202</v>
      </c>
      <c r="G282" s="82"/>
      <c r="H282" s="96">
        <f t="shared" si="16"/>
        <v>1082.02</v>
      </c>
      <c r="I282" s="96">
        <f t="shared" si="16"/>
        <v>1082.22</v>
      </c>
      <c r="J282" s="91" t="str">
        <f t="shared" si="17"/>
        <v>Sinapi 103383</v>
      </c>
      <c r="K282" s="91" t="str">
        <f t="shared" si="18"/>
        <v>M</v>
      </c>
      <c r="L282" s="166" t="str">
        <f t="shared" si="19"/>
        <v>12/2021</v>
      </c>
      <c r="M282" s="82"/>
      <c r="N282" s="82"/>
    </row>
    <row r="283" spans="1:14" x14ac:dyDescent="0.25">
      <c r="A283" s="170" t="s">
        <v>14963</v>
      </c>
      <c r="B283" s="170" t="s">
        <v>14964</v>
      </c>
      <c r="C283" s="170" t="s">
        <v>385</v>
      </c>
      <c r="D283" s="170" t="s">
        <v>1947</v>
      </c>
      <c r="E283" s="171" t="s">
        <v>31785</v>
      </c>
      <c r="F283" s="171" t="s">
        <v>35203</v>
      </c>
      <c r="G283" s="82"/>
      <c r="H283" s="96">
        <f t="shared" si="16"/>
        <v>1744.55</v>
      </c>
      <c r="I283" s="96">
        <f t="shared" si="16"/>
        <v>1744.92</v>
      </c>
      <c r="J283" s="91" t="str">
        <f t="shared" si="17"/>
        <v>Sinapi 103385</v>
      </c>
      <c r="K283" s="91" t="str">
        <f t="shared" si="18"/>
        <v>M</v>
      </c>
      <c r="L283" s="166" t="str">
        <f t="shared" si="19"/>
        <v>12/2021</v>
      </c>
      <c r="M283" s="82"/>
      <c r="N283" s="82"/>
    </row>
    <row r="284" spans="1:14" x14ac:dyDescent="0.25">
      <c r="A284" s="170" t="s">
        <v>14965</v>
      </c>
      <c r="B284" s="170" t="s">
        <v>14966</v>
      </c>
      <c r="C284" s="170" t="s">
        <v>385</v>
      </c>
      <c r="D284" s="170" t="s">
        <v>1947</v>
      </c>
      <c r="E284" s="171" t="s">
        <v>31786</v>
      </c>
      <c r="F284" s="171" t="s">
        <v>35204</v>
      </c>
      <c r="G284" s="82"/>
      <c r="H284" s="96">
        <f t="shared" si="16"/>
        <v>3060.62</v>
      </c>
      <c r="I284" s="96">
        <f t="shared" si="16"/>
        <v>3061.19</v>
      </c>
      <c r="J284" s="91" t="str">
        <f t="shared" si="17"/>
        <v>Sinapi 103387</v>
      </c>
      <c r="K284" s="91" t="str">
        <f t="shared" si="18"/>
        <v>M</v>
      </c>
      <c r="L284" s="166" t="str">
        <f t="shared" si="19"/>
        <v>12/2021</v>
      </c>
      <c r="M284" s="82"/>
      <c r="N284" s="82"/>
    </row>
    <row r="285" spans="1:14" x14ac:dyDescent="0.25">
      <c r="A285" s="170" t="s">
        <v>14967</v>
      </c>
      <c r="B285" s="170" t="s">
        <v>14968</v>
      </c>
      <c r="C285" s="170" t="s">
        <v>385</v>
      </c>
      <c r="D285" s="170" t="s">
        <v>1947</v>
      </c>
      <c r="E285" s="171" t="s">
        <v>31787</v>
      </c>
      <c r="F285" s="171" t="s">
        <v>35205</v>
      </c>
      <c r="G285" s="82"/>
      <c r="H285" s="96">
        <f t="shared" si="16"/>
        <v>4551.66</v>
      </c>
      <c r="I285" s="96">
        <f t="shared" si="16"/>
        <v>4552.51</v>
      </c>
      <c r="J285" s="91" t="str">
        <f t="shared" si="17"/>
        <v>Sinapi 103389</v>
      </c>
      <c r="K285" s="91" t="str">
        <f t="shared" si="18"/>
        <v>M</v>
      </c>
      <c r="L285" s="166" t="str">
        <f t="shared" si="19"/>
        <v>12/2021</v>
      </c>
      <c r="M285" s="82"/>
      <c r="N285" s="82"/>
    </row>
    <row r="286" spans="1:14" x14ac:dyDescent="0.25">
      <c r="A286" s="170" t="s">
        <v>14969</v>
      </c>
      <c r="B286" s="170" t="s">
        <v>14970</v>
      </c>
      <c r="C286" s="170" t="s">
        <v>385</v>
      </c>
      <c r="D286" s="170" t="s">
        <v>1947</v>
      </c>
      <c r="E286" s="171" t="s">
        <v>31788</v>
      </c>
      <c r="F286" s="171" t="s">
        <v>35206</v>
      </c>
      <c r="G286" s="82"/>
      <c r="H286" s="96">
        <f t="shared" si="16"/>
        <v>2997.64</v>
      </c>
      <c r="I286" s="96">
        <f t="shared" si="16"/>
        <v>2998.85</v>
      </c>
      <c r="J286" s="91" t="str">
        <f t="shared" si="17"/>
        <v>Sinapi 103391</v>
      </c>
      <c r="K286" s="91" t="str">
        <f t="shared" si="18"/>
        <v>M</v>
      </c>
      <c r="L286" s="166" t="str">
        <f t="shared" si="19"/>
        <v>12/2021</v>
      </c>
      <c r="M286" s="82"/>
      <c r="N286" s="82"/>
    </row>
    <row r="287" spans="1:14" x14ac:dyDescent="0.25">
      <c r="A287" s="170" t="s">
        <v>14971</v>
      </c>
      <c r="B287" s="170" t="s">
        <v>14972</v>
      </c>
      <c r="C287" s="170" t="s">
        <v>385</v>
      </c>
      <c r="D287" s="170" t="s">
        <v>1947</v>
      </c>
      <c r="E287" s="171" t="s">
        <v>31789</v>
      </c>
      <c r="F287" s="171" t="s">
        <v>35207</v>
      </c>
      <c r="G287" s="82"/>
      <c r="H287" s="96">
        <f t="shared" si="16"/>
        <v>4900.32</v>
      </c>
      <c r="I287" s="96">
        <f t="shared" si="16"/>
        <v>4901.72</v>
      </c>
      <c r="J287" s="91" t="str">
        <f t="shared" si="17"/>
        <v>Sinapi 103392</v>
      </c>
      <c r="K287" s="91" t="str">
        <f t="shared" si="18"/>
        <v>M</v>
      </c>
      <c r="L287" s="166" t="str">
        <f t="shared" si="19"/>
        <v>12/2021</v>
      </c>
      <c r="M287" s="82"/>
      <c r="N287" s="82"/>
    </row>
    <row r="288" spans="1:14" x14ac:dyDescent="0.25">
      <c r="A288" s="170" t="s">
        <v>14973</v>
      </c>
      <c r="B288" s="170" t="s">
        <v>14974</v>
      </c>
      <c r="C288" s="170" t="s">
        <v>385</v>
      </c>
      <c r="D288" s="170" t="s">
        <v>1947</v>
      </c>
      <c r="E288" s="171" t="s">
        <v>31790</v>
      </c>
      <c r="F288" s="171" t="s">
        <v>35208</v>
      </c>
      <c r="G288" s="82"/>
      <c r="H288" s="96">
        <f t="shared" si="16"/>
        <v>5404.77</v>
      </c>
      <c r="I288" s="96">
        <f t="shared" si="16"/>
        <v>5406.36</v>
      </c>
      <c r="J288" s="91" t="str">
        <f t="shared" si="17"/>
        <v>Sinapi 103393</v>
      </c>
      <c r="K288" s="91" t="str">
        <f t="shared" si="18"/>
        <v>M</v>
      </c>
      <c r="L288" s="166" t="str">
        <f t="shared" si="19"/>
        <v>12/2021</v>
      </c>
      <c r="M288" s="82"/>
      <c r="N288" s="82"/>
    </row>
    <row r="289" spans="1:14" x14ac:dyDescent="0.25">
      <c r="A289" s="170" t="s">
        <v>14975</v>
      </c>
      <c r="B289" s="170" t="s">
        <v>14976</v>
      </c>
      <c r="C289" s="170" t="s">
        <v>385</v>
      </c>
      <c r="D289" s="170" t="s">
        <v>1947</v>
      </c>
      <c r="E289" s="171" t="s">
        <v>31791</v>
      </c>
      <c r="F289" s="171" t="s">
        <v>35209</v>
      </c>
      <c r="G289" s="82"/>
      <c r="H289" s="96">
        <f t="shared" si="16"/>
        <v>4004.67</v>
      </c>
      <c r="I289" s="96">
        <f t="shared" si="16"/>
        <v>4006.69</v>
      </c>
      <c r="J289" s="91" t="str">
        <f t="shared" si="17"/>
        <v>Sinapi 103394</v>
      </c>
      <c r="K289" s="91" t="str">
        <f t="shared" si="18"/>
        <v>M</v>
      </c>
      <c r="L289" s="166" t="str">
        <f t="shared" si="19"/>
        <v>12/2021</v>
      </c>
      <c r="M289" s="82"/>
      <c r="N289" s="82"/>
    </row>
    <row r="290" spans="1:14" x14ac:dyDescent="0.25">
      <c r="A290" s="170" t="s">
        <v>14977</v>
      </c>
      <c r="B290" s="170" t="s">
        <v>14978</v>
      </c>
      <c r="C290" s="170" t="s">
        <v>385</v>
      </c>
      <c r="D290" s="170" t="s">
        <v>1947</v>
      </c>
      <c r="E290" s="171" t="s">
        <v>31792</v>
      </c>
      <c r="F290" s="171" t="s">
        <v>35210</v>
      </c>
      <c r="G290" s="82"/>
      <c r="H290" s="96">
        <f t="shared" si="16"/>
        <v>1991.37</v>
      </c>
      <c r="I290" s="96">
        <f t="shared" si="16"/>
        <v>1993.81</v>
      </c>
      <c r="J290" s="91" t="str">
        <f t="shared" si="17"/>
        <v>Sinapi 103395</v>
      </c>
      <c r="K290" s="91" t="str">
        <f t="shared" si="18"/>
        <v>M</v>
      </c>
      <c r="L290" s="166" t="str">
        <f t="shared" si="19"/>
        <v>12/2021</v>
      </c>
      <c r="M290" s="82"/>
      <c r="N290" s="82"/>
    </row>
    <row r="291" spans="1:14" x14ac:dyDescent="0.25">
      <c r="A291" s="170" t="s">
        <v>14979</v>
      </c>
      <c r="B291" s="170" t="s">
        <v>14980</v>
      </c>
      <c r="C291" s="170" t="s">
        <v>385</v>
      </c>
      <c r="D291" s="170" t="s">
        <v>1947</v>
      </c>
      <c r="E291" s="171" t="s">
        <v>31793</v>
      </c>
      <c r="F291" s="171" t="s">
        <v>35211</v>
      </c>
      <c r="G291" s="82"/>
      <c r="H291" s="96">
        <f t="shared" si="16"/>
        <v>1345.5</v>
      </c>
      <c r="I291" s="96">
        <f t="shared" si="16"/>
        <v>1348.35</v>
      </c>
      <c r="J291" s="91" t="str">
        <f t="shared" si="17"/>
        <v>Sinapi 103396</v>
      </c>
      <c r="K291" s="91" t="str">
        <f t="shared" si="18"/>
        <v>M</v>
      </c>
      <c r="L291" s="166" t="str">
        <f t="shared" si="19"/>
        <v>12/2021</v>
      </c>
      <c r="M291" s="82"/>
      <c r="N291" s="82"/>
    </row>
    <row r="292" spans="1:14" x14ac:dyDescent="0.25">
      <c r="A292" s="170" t="s">
        <v>14981</v>
      </c>
      <c r="B292" s="170" t="s">
        <v>14982</v>
      </c>
      <c r="C292" s="170" t="s">
        <v>205</v>
      </c>
      <c r="D292" s="170" t="s">
        <v>2067</v>
      </c>
      <c r="E292" s="171" t="s">
        <v>22728</v>
      </c>
      <c r="F292" s="171" t="s">
        <v>22786</v>
      </c>
      <c r="G292" s="82"/>
      <c r="H292" s="96">
        <f t="shared" si="16"/>
        <v>3.49</v>
      </c>
      <c r="I292" s="96">
        <f t="shared" si="16"/>
        <v>3.88</v>
      </c>
      <c r="J292" s="91" t="str">
        <f t="shared" si="17"/>
        <v>Sinapi 103397</v>
      </c>
      <c r="K292" s="91" t="str">
        <f t="shared" si="18"/>
        <v>UN</v>
      </c>
      <c r="L292" s="166" t="str">
        <f t="shared" si="19"/>
        <v>12/2021</v>
      </c>
      <c r="M292" s="82"/>
      <c r="N292" s="82"/>
    </row>
    <row r="293" spans="1:14" x14ac:dyDescent="0.25">
      <c r="A293" s="170" t="s">
        <v>14983</v>
      </c>
      <c r="B293" s="170" t="s">
        <v>14984</v>
      </c>
      <c r="C293" s="170" t="s">
        <v>205</v>
      </c>
      <c r="D293" s="170" t="s">
        <v>2067</v>
      </c>
      <c r="E293" s="171" t="s">
        <v>29062</v>
      </c>
      <c r="F293" s="171" t="s">
        <v>6080</v>
      </c>
      <c r="G293" s="82"/>
      <c r="H293" s="96">
        <f t="shared" si="16"/>
        <v>5.59</v>
      </c>
      <c r="I293" s="96">
        <f t="shared" si="16"/>
        <v>6.22</v>
      </c>
      <c r="J293" s="91" t="str">
        <f t="shared" si="17"/>
        <v>Sinapi 103398</v>
      </c>
      <c r="K293" s="91" t="str">
        <f t="shared" si="18"/>
        <v>UN</v>
      </c>
      <c r="L293" s="166" t="str">
        <f t="shared" si="19"/>
        <v>12/2021</v>
      </c>
      <c r="M293" s="82"/>
      <c r="N293" s="82"/>
    </row>
    <row r="294" spans="1:14" x14ac:dyDescent="0.25">
      <c r="A294" s="170" t="s">
        <v>14985</v>
      </c>
      <c r="B294" s="170" t="s">
        <v>14986</v>
      </c>
      <c r="C294" s="170" t="s">
        <v>205</v>
      </c>
      <c r="D294" s="170" t="s">
        <v>2067</v>
      </c>
      <c r="E294" s="171" t="s">
        <v>17624</v>
      </c>
      <c r="F294" s="171" t="s">
        <v>14350</v>
      </c>
      <c r="G294" s="82"/>
      <c r="H294" s="96">
        <f t="shared" si="16"/>
        <v>11.01</v>
      </c>
      <c r="I294" s="96">
        <f t="shared" si="16"/>
        <v>12.24</v>
      </c>
      <c r="J294" s="91" t="str">
        <f t="shared" si="17"/>
        <v>Sinapi 103399</v>
      </c>
      <c r="K294" s="91" t="str">
        <f t="shared" si="18"/>
        <v>UN</v>
      </c>
      <c r="L294" s="166" t="str">
        <f t="shared" si="19"/>
        <v>12/2021</v>
      </c>
      <c r="M294" s="82"/>
      <c r="N294" s="82"/>
    </row>
    <row r="295" spans="1:14" x14ac:dyDescent="0.25">
      <c r="A295" s="170" t="s">
        <v>14987</v>
      </c>
      <c r="B295" s="170" t="s">
        <v>14988</v>
      </c>
      <c r="C295" s="170" t="s">
        <v>205</v>
      </c>
      <c r="D295" s="170" t="s">
        <v>2067</v>
      </c>
      <c r="E295" s="171" t="s">
        <v>20649</v>
      </c>
      <c r="F295" s="171" t="s">
        <v>4685</v>
      </c>
      <c r="G295" s="82"/>
      <c r="H295" s="96">
        <f t="shared" si="16"/>
        <v>15.73</v>
      </c>
      <c r="I295" s="96">
        <f t="shared" si="16"/>
        <v>17.489999999999998</v>
      </c>
      <c r="J295" s="91" t="str">
        <f t="shared" si="17"/>
        <v>Sinapi 103400</v>
      </c>
      <c r="K295" s="91" t="str">
        <f t="shared" si="18"/>
        <v>UN</v>
      </c>
      <c r="L295" s="166" t="str">
        <f t="shared" si="19"/>
        <v>12/2021</v>
      </c>
      <c r="M295" s="82"/>
      <c r="N295" s="82"/>
    </row>
    <row r="296" spans="1:14" x14ac:dyDescent="0.25">
      <c r="A296" s="170" t="s">
        <v>14989</v>
      </c>
      <c r="B296" s="170" t="s">
        <v>14990</v>
      </c>
      <c r="C296" s="170" t="s">
        <v>205</v>
      </c>
      <c r="D296" s="170" t="s">
        <v>2067</v>
      </c>
      <c r="E296" s="171" t="s">
        <v>15521</v>
      </c>
      <c r="F296" s="171" t="s">
        <v>21092</v>
      </c>
      <c r="G296" s="82"/>
      <c r="H296" s="96">
        <f t="shared" si="16"/>
        <v>19.23</v>
      </c>
      <c r="I296" s="96">
        <f t="shared" si="16"/>
        <v>21.38</v>
      </c>
      <c r="J296" s="91" t="str">
        <f t="shared" si="17"/>
        <v>Sinapi 103401</v>
      </c>
      <c r="K296" s="91" t="str">
        <f t="shared" si="18"/>
        <v>UN</v>
      </c>
      <c r="L296" s="166" t="str">
        <f t="shared" si="19"/>
        <v>12/2021</v>
      </c>
      <c r="M296" s="82"/>
      <c r="N296" s="82"/>
    </row>
    <row r="297" spans="1:14" x14ac:dyDescent="0.25">
      <c r="A297" s="170" t="s">
        <v>14991</v>
      </c>
      <c r="B297" s="170" t="s">
        <v>14992</v>
      </c>
      <c r="C297" s="170" t="s">
        <v>205</v>
      </c>
      <c r="D297" s="170" t="s">
        <v>2067</v>
      </c>
      <c r="E297" s="171" t="s">
        <v>23801</v>
      </c>
      <c r="F297" s="171" t="s">
        <v>23060</v>
      </c>
      <c r="G297" s="82"/>
      <c r="H297" s="96">
        <f t="shared" si="16"/>
        <v>27.98</v>
      </c>
      <c r="I297" s="96">
        <f t="shared" si="16"/>
        <v>31.11</v>
      </c>
      <c r="J297" s="91" t="str">
        <f t="shared" si="17"/>
        <v>Sinapi 103402</v>
      </c>
      <c r="K297" s="91" t="str">
        <f t="shared" si="18"/>
        <v>UN</v>
      </c>
      <c r="L297" s="166" t="str">
        <f t="shared" si="19"/>
        <v>12/2021</v>
      </c>
      <c r="M297" s="82"/>
      <c r="N297" s="82"/>
    </row>
    <row r="298" spans="1:14" x14ac:dyDescent="0.25">
      <c r="A298" s="170" t="s">
        <v>14993</v>
      </c>
      <c r="B298" s="170" t="s">
        <v>14994</v>
      </c>
      <c r="C298" s="170" t="s">
        <v>205</v>
      </c>
      <c r="D298" s="170" t="s">
        <v>2067</v>
      </c>
      <c r="E298" s="171" t="s">
        <v>26779</v>
      </c>
      <c r="F298" s="171" t="s">
        <v>3036</v>
      </c>
      <c r="G298" s="82"/>
      <c r="H298" s="96">
        <f t="shared" si="16"/>
        <v>31.47</v>
      </c>
      <c r="I298" s="96">
        <f t="shared" si="16"/>
        <v>35</v>
      </c>
      <c r="J298" s="91" t="str">
        <f t="shared" si="17"/>
        <v>Sinapi 103403</v>
      </c>
      <c r="K298" s="91" t="str">
        <f t="shared" si="18"/>
        <v>UN</v>
      </c>
      <c r="L298" s="166" t="str">
        <f t="shared" si="19"/>
        <v>12/2021</v>
      </c>
      <c r="M298" s="82"/>
      <c r="N298" s="82"/>
    </row>
    <row r="299" spans="1:14" x14ac:dyDescent="0.25">
      <c r="A299" s="170" t="s">
        <v>14995</v>
      </c>
      <c r="B299" s="170" t="s">
        <v>14996</v>
      </c>
      <c r="C299" s="170" t="s">
        <v>205</v>
      </c>
      <c r="D299" s="170" t="s">
        <v>2067</v>
      </c>
      <c r="E299" s="171" t="s">
        <v>22011</v>
      </c>
      <c r="F299" s="171" t="s">
        <v>27094</v>
      </c>
      <c r="G299" s="82"/>
      <c r="H299" s="96">
        <f t="shared" si="16"/>
        <v>34.979999999999997</v>
      </c>
      <c r="I299" s="96">
        <f t="shared" si="16"/>
        <v>38.89</v>
      </c>
      <c r="J299" s="91" t="str">
        <f t="shared" si="17"/>
        <v>Sinapi 103404</v>
      </c>
      <c r="K299" s="91" t="str">
        <f t="shared" si="18"/>
        <v>UN</v>
      </c>
      <c r="L299" s="166" t="str">
        <f t="shared" si="19"/>
        <v>12/2021</v>
      </c>
      <c r="M299" s="82"/>
      <c r="N299" s="82"/>
    </row>
    <row r="300" spans="1:14" x14ac:dyDescent="0.25">
      <c r="A300" s="170" t="s">
        <v>14997</v>
      </c>
      <c r="B300" s="170" t="s">
        <v>14998</v>
      </c>
      <c r="C300" s="170" t="s">
        <v>205</v>
      </c>
      <c r="D300" s="170" t="s">
        <v>2067</v>
      </c>
      <c r="E300" s="171" t="s">
        <v>31794</v>
      </c>
      <c r="F300" s="171" t="s">
        <v>35212</v>
      </c>
      <c r="G300" s="82"/>
      <c r="H300" s="96">
        <f t="shared" si="16"/>
        <v>39.35</v>
      </c>
      <c r="I300" s="96">
        <f t="shared" si="16"/>
        <v>43.75</v>
      </c>
      <c r="J300" s="91" t="str">
        <f t="shared" si="17"/>
        <v>Sinapi 103405</v>
      </c>
      <c r="K300" s="91" t="str">
        <f t="shared" si="18"/>
        <v>UN</v>
      </c>
      <c r="L300" s="166" t="str">
        <f t="shared" si="19"/>
        <v>12/2021</v>
      </c>
      <c r="M300" s="82"/>
      <c r="N300" s="82"/>
    </row>
    <row r="301" spans="1:14" x14ac:dyDescent="0.25">
      <c r="A301" s="170" t="s">
        <v>14999</v>
      </c>
      <c r="B301" s="170" t="s">
        <v>15000</v>
      </c>
      <c r="C301" s="170" t="s">
        <v>205</v>
      </c>
      <c r="D301" s="170" t="s">
        <v>2067</v>
      </c>
      <c r="E301" s="171" t="s">
        <v>31795</v>
      </c>
      <c r="F301" s="171" t="s">
        <v>22819</v>
      </c>
      <c r="G301" s="82"/>
      <c r="H301" s="96">
        <f t="shared" si="16"/>
        <v>43.72</v>
      </c>
      <c r="I301" s="96">
        <f t="shared" si="16"/>
        <v>48.61</v>
      </c>
      <c r="J301" s="91" t="str">
        <f t="shared" si="17"/>
        <v>Sinapi 103406</v>
      </c>
      <c r="K301" s="91" t="str">
        <f t="shared" si="18"/>
        <v>UN</v>
      </c>
      <c r="L301" s="166" t="str">
        <f t="shared" si="19"/>
        <v>12/2021</v>
      </c>
      <c r="M301" s="82"/>
      <c r="N301" s="82"/>
    </row>
    <row r="302" spans="1:14" x14ac:dyDescent="0.25">
      <c r="A302" s="170" t="s">
        <v>15001</v>
      </c>
      <c r="B302" s="170" t="s">
        <v>15002</v>
      </c>
      <c r="C302" s="170" t="s">
        <v>205</v>
      </c>
      <c r="D302" s="170" t="s">
        <v>2067</v>
      </c>
      <c r="E302" s="171" t="s">
        <v>31796</v>
      </c>
      <c r="F302" s="171" t="s">
        <v>29046</v>
      </c>
      <c r="G302" s="82"/>
      <c r="H302" s="96">
        <f t="shared" si="16"/>
        <v>48.97</v>
      </c>
      <c r="I302" s="96">
        <f t="shared" si="16"/>
        <v>54.44</v>
      </c>
      <c r="J302" s="91" t="str">
        <f t="shared" si="17"/>
        <v>Sinapi 103407</v>
      </c>
      <c r="K302" s="91" t="str">
        <f t="shared" si="18"/>
        <v>UN</v>
      </c>
      <c r="L302" s="166" t="str">
        <f t="shared" si="19"/>
        <v>12/2021</v>
      </c>
      <c r="M302" s="82"/>
      <c r="N302" s="82"/>
    </row>
    <row r="303" spans="1:14" x14ac:dyDescent="0.25">
      <c r="A303" s="170" t="s">
        <v>15003</v>
      </c>
      <c r="B303" s="170" t="s">
        <v>15004</v>
      </c>
      <c r="C303" s="170" t="s">
        <v>205</v>
      </c>
      <c r="D303" s="170" t="s">
        <v>2067</v>
      </c>
      <c r="E303" s="171" t="s">
        <v>18352</v>
      </c>
      <c r="F303" s="171" t="s">
        <v>35213</v>
      </c>
      <c r="G303" s="82"/>
      <c r="H303" s="96">
        <f t="shared" si="16"/>
        <v>55.09</v>
      </c>
      <c r="I303" s="96">
        <f t="shared" si="16"/>
        <v>61.25</v>
      </c>
      <c r="J303" s="91" t="str">
        <f t="shared" si="17"/>
        <v>Sinapi 103408</v>
      </c>
      <c r="K303" s="91" t="str">
        <f t="shared" si="18"/>
        <v>UN</v>
      </c>
      <c r="L303" s="166" t="str">
        <f t="shared" si="19"/>
        <v>12/2021</v>
      </c>
      <c r="M303" s="82"/>
      <c r="N303" s="82"/>
    </row>
    <row r="304" spans="1:14" x14ac:dyDescent="0.25">
      <c r="A304" s="170" t="s">
        <v>15005</v>
      </c>
      <c r="B304" s="170" t="s">
        <v>15006</v>
      </c>
      <c r="C304" s="170" t="s">
        <v>205</v>
      </c>
      <c r="D304" s="170" t="s">
        <v>2067</v>
      </c>
      <c r="E304" s="171" t="s">
        <v>29427</v>
      </c>
      <c r="F304" s="171" t="s">
        <v>35214</v>
      </c>
      <c r="G304" s="82"/>
      <c r="H304" s="96">
        <f t="shared" si="16"/>
        <v>62.08</v>
      </c>
      <c r="I304" s="96">
        <f t="shared" si="16"/>
        <v>69.03</v>
      </c>
      <c r="J304" s="91" t="str">
        <f t="shared" si="17"/>
        <v>Sinapi 103409</v>
      </c>
      <c r="K304" s="91" t="str">
        <f t="shared" si="18"/>
        <v>UN</v>
      </c>
      <c r="L304" s="166" t="str">
        <f t="shared" si="19"/>
        <v>12/2021</v>
      </c>
      <c r="M304" s="82"/>
      <c r="N304" s="82"/>
    </row>
    <row r="305" spans="1:14" x14ac:dyDescent="0.25">
      <c r="A305" s="170" t="s">
        <v>15007</v>
      </c>
      <c r="B305" s="170" t="s">
        <v>15008</v>
      </c>
      <c r="C305" s="170" t="s">
        <v>205</v>
      </c>
      <c r="D305" s="170" t="s">
        <v>2067</v>
      </c>
      <c r="E305" s="171" t="s">
        <v>29308</v>
      </c>
      <c r="F305" s="171" t="s">
        <v>28780</v>
      </c>
      <c r="G305" s="82"/>
      <c r="H305" s="96">
        <f t="shared" si="16"/>
        <v>69.959999999999994</v>
      </c>
      <c r="I305" s="96">
        <f t="shared" si="16"/>
        <v>77.790000000000006</v>
      </c>
      <c r="J305" s="91" t="str">
        <f t="shared" si="17"/>
        <v>Sinapi 103410</v>
      </c>
      <c r="K305" s="91" t="str">
        <f t="shared" si="18"/>
        <v>UN</v>
      </c>
      <c r="L305" s="166" t="str">
        <f t="shared" si="19"/>
        <v>12/2021</v>
      </c>
      <c r="M305" s="82"/>
      <c r="N305" s="82"/>
    </row>
    <row r="306" spans="1:14" x14ac:dyDescent="0.25">
      <c r="A306" s="170" t="s">
        <v>15009</v>
      </c>
      <c r="B306" s="170" t="s">
        <v>15010</v>
      </c>
      <c r="C306" s="170" t="s">
        <v>205</v>
      </c>
      <c r="D306" s="170" t="s">
        <v>2067</v>
      </c>
      <c r="E306" s="171" t="s">
        <v>22911</v>
      </c>
      <c r="F306" s="171" t="s">
        <v>15514</v>
      </c>
      <c r="G306" s="82"/>
      <c r="H306" s="96">
        <f t="shared" si="16"/>
        <v>6.99</v>
      </c>
      <c r="I306" s="96">
        <f t="shared" si="16"/>
        <v>7.77</v>
      </c>
      <c r="J306" s="91" t="str">
        <f t="shared" si="17"/>
        <v>Sinapi 103411</v>
      </c>
      <c r="K306" s="91" t="str">
        <f t="shared" si="18"/>
        <v>UN</v>
      </c>
      <c r="L306" s="166" t="str">
        <f t="shared" si="19"/>
        <v>12/2021</v>
      </c>
      <c r="M306" s="82"/>
      <c r="N306" s="82"/>
    </row>
    <row r="307" spans="1:14" x14ac:dyDescent="0.25">
      <c r="A307" s="170" t="s">
        <v>15011</v>
      </c>
      <c r="B307" s="170" t="s">
        <v>15012</v>
      </c>
      <c r="C307" s="170" t="s">
        <v>205</v>
      </c>
      <c r="D307" s="170" t="s">
        <v>2067</v>
      </c>
      <c r="E307" s="171" t="s">
        <v>11607</v>
      </c>
      <c r="F307" s="171" t="s">
        <v>19384</v>
      </c>
      <c r="G307" s="82"/>
      <c r="H307" s="96">
        <f t="shared" si="16"/>
        <v>11.19</v>
      </c>
      <c r="I307" s="96">
        <f t="shared" si="16"/>
        <v>12.44</v>
      </c>
      <c r="J307" s="91" t="str">
        <f t="shared" si="17"/>
        <v>Sinapi 103412</v>
      </c>
      <c r="K307" s="91" t="str">
        <f t="shared" si="18"/>
        <v>UN</v>
      </c>
      <c r="L307" s="166" t="str">
        <f t="shared" si="19"/>
        <v>12/2021</v>
      </c>
      <c r="M307" s="82"/>
      <c r="N307" s="82"/>
    </row>
    <row r="308" spans="1:14" x14ac:dyDescent="0.25">
      <c r="A308" s="170" t="s">
        <v>15013</v>
      </c>
      <c r="B308" s="170" t="s">
        <v>15014</v>
      </c>
      <c r="C308" s="170" t="s">
        <v>205</v>
      </c>
      <c r="D308" s="170" t="s">
        <v>2067</v>
      </c>
      <c r="E308" s="171" t="s">
        <v>20091</v>
      </c>
      <c r="F308" s="171" t="s">
        <v>22040</v>
      </c>
      <c r="G308" s="82"/>
      <c r="H308" s="96">
        <f t="shared" si="16"/>
        <v>22.03</v>
      </c>
      <c r="I308" s="96">
        <f t="shared" si="16"/>
        <v>24.49</v>
      </c>
      <c r="J308" s="91" t="str">
        <f t="shared" si="17"/>
        <v>Sinapi 103413</v>
      </c>
      <c r="K308" s="91" t="str">
        <f t="shared" si="18"/>
        <v>UN</v>
      </c>
      <c r="L308" s="166" t="str">
        <f t="shared" si="19"/>
        <v>12/2021</v>
      </c>
      <c r="M308" s="82"/>
      <c r="N308" s="82"/>
    </row>
    <row r="309" spans="1:14" x14ac:dyDescent="0.25">
      <c r="A309" s="170" t="s">
        <v>15016</v>
      </c>
      <c r="B309" s="170" t="s">
        <v>15017</v>
      </c>
      <c r="C309" s="170" t="s">
        <v>205</v>
      </c>
      <c r="D309" s="170" t="s">
        <v>2067</v>
      </c>
      <c r="E309" s="171" t="s">
        <v>26779</v>
      </c>
      <c r="F309" s="171" t="s">
        <v>3036</v>
      </c>
      <c r="G309" s="82"/>
      <c r="H309" s="96">
        <f t="shared" si="16"/>
        <v>31.47</v>
      </c>
      <c r="I309" s="96">
        <f t="shared" si="16"/>
        <v>35</v>
      </c>
      <c r="J309" s="91" t="str">
        <f t="shared" si="17"/>
        <v>Sinapi 103414</v>
      </c>
      <c r="K309" s="91" t="str">
        <f t="shared" si="18"/>
        <v>UN</v>
      </c>
      <c r="L309" s="166" t="str">
        <f t="shared" si="19"/>
        <v>12/2021</v>
      </c>
      <c r="M309" s="82"/>
      <c r="N309" s="82"/>
    </row>
    <row r="310" spans="1:14" x14ac:dyDescent="0.25">
      <c r="A310" s="170" t="s">
        <v>15018</v>
      </c>
      <c r="B310" s="170" t="s">
        <v>15019</v>
      </c>
      <c r="C310" s="170" t="s">
        <v>205</v>
      </c>
      <c r="D310" s="170" t="s">
        <v>2067</v>
      </c>
      <c r="E310" s="171" t="s">
        <v>31797</v>
      </c>
      <c r="F310" s="171" t="s">
        <v>29413</v>
      </c>
      <c r="G310" s="82"/>
      <c r="H310" s="96">
        <f t="shared" si="16"/>
        <v>38.47</v>
      </c>
      <c r="I310" s="96">
        <f t="shared" si="16"/>
        <v>42.77</v>
      </c>
      <c r="J310" s="91" t="str">
        <f t="shared" si="17"/>
        <v>Sinapi 103415</v>
      </c>
      <c r="K310" s="91" t="str">
        <f t="shared" si="18"/>
        <v>UN</v>
      </c>
      <c r="L310" s="166" t="str">
        <f t="shared" si="19"/>
        <v>12/2021</v>
      </c>
      <c r="M310" s="82"/>
      <c r="N310" s="82"/>
    </row>
    <row r="311" spans="1:14" x14ac:dyDescent="0.25">
      <c r="A311" s="170" t="s">
        <v>15020</v>
      </c>
      <c r="B311" s="170" t="s">
        <v>15021</v>
      </c>
      <c r="C311" s="170" t="s">
        <v>205</v>
      </c>
      <c r="D311" s="170" t="s">
        <v>2067</v>
      </c>
      <c r="E311" s="171" t="s">
        <v>31798</v>
      </c>
      <c r="F311" s="171" t="s">
        <v>21103</v>
      </c>
      <c r="G311" s="82"/>
      <c r="H311" s="96">
        <f t="shared" si="16"/>
        <v>55.97</v>
      </c>
      <c r="I311" s="96">
        <f t="shared" si="16"/>
        <v>62.23</v>
      </c>
      <c r="J311" s="91" t="str">
        <f t="shared" si="17"/>
        <v>Sinapi 103416</v>
      </c>
      <c r="K311" s="91" t="str">
        <f t="shared" si="18"/>
        <v>UN</v>
      </c>
      <c r="L311" s="166" t="str">
        <f t="shared" si="19"/>
        <v>12/2021</v>
      </c>
      <c r="M311" s="82"/>
      <c r="N311" s="82"/>
    </row>
    <row r="312" spans="1:14" x14ac:dyDescent="0.25">
      <c r="A312" s="170" t="s">
        <v>15022</v>
      </c>
      <c r="B312" s="170" t="s">
        <v>15023</v>
      </c>
      <c r="C312" s="170" t="s">
        <v>205</v>
      </c>
      <c r="D312" s="170" t="s">
        <v>2067</v>
      </c>
      <c r="E312" s="171" t="s">
        <v>31799</v>
      </c>
      <c r="F312" s="171" t="s">
        <v>29657</v>
      </c>
      <c r="G312" s="82"/>
      <c r="H312" s="96">
        <f t="shared" si="16"/>
        <v>62.96</v>
      </c>
      <c r="I312" s="96">
        <f t="shared" si="16"/>
        <v>70</v>
      </c>
      <c r="J312" s="91" t="str">
        <f t="shared" si="17"/>
        <v>Sinapi 103417</v>
      </c>
      <c r="K312" s="91" t="str">
        <f t="shared" si="18"/>
        <v>UN</v>
      </c>
      <c r="L312" s="166" t="str">
        <f t="shared" si="19"/>
        <v>12/2021</v>
      </c>
      <c r="M312" s="82"/>
      <c r="N312" s="82"/>
    </row>
    <row r="313" spans="1:14" x14ac:dyDescent="0.25">
      <c r="A313" s="170" t="s">
        <v>15024</v>
      </c>
      <c r="B313" s="170" t="s">
        <v>15025</v>
      </c>
      <c r="C313" s="170" t="s">
        <v>205</v>
      </c>
      <c r="D313" s="170" t="s">
        <v>2067</v>
      </c>
      <c r="E313" s="171" t="s">
        <v>29308</v>
      </c>
      <c r="F313" s="171" t="s">
        <v>28780</v>
      </c>
      <c r="G313" s="82"/>
      <c r="H313" s="96">
        <f t="shared" si="16"/>
        <v>69.959999999999994</v>
      </c>
      <c r="I313" s="96">
        <f t="shared" si="16"/>
        <v>77.790000000000006</v>
      </c>
      <c r="J313" s="91" t="str">
        <f t="shared" si="17"/>
        <v>Sinapi 103418</v>
      </c>
      <c r="K313" s="91" t="str">
        <f t="shared" si="18"/>
        <v>UN</v>
      </c>
      <c r="L313" s="166" t="str">
        <f t="shared" si="19"/>
        <v>12/2021</v>
      </c>
      <c r="M313" s="82"/>
      <c r="N313" s="82"/>
    </row>
    <row r="314" spans="1:14" x14ac:dyDescent="0.25">
      <c r="A314" s="170" t="s">
        <v>15026</v>
      </c>
      <c r="B314" s="170" t="s">
        <v>15027</v>
      </c>
      <c r="C314" s="170" t="s">
        <v>205</v>
      </c>
      <c r="D314" s="170" t="s">
        <v>2067</v>
      </c>
      <c r="E314" s="171" t="s">
        <v>31800</v>
      </c>
      <c r="F314" s="171" t="s">
        <v>31149</v>
      </c>
      <c r="G314" s="82"/>
      <c r="H314" s="96">
        <f t="shared" si="16"/>
        <v>78.7</v>
      </c>
      <c r="I314" s="96">
        <f t="shared" si="16"/>
        <v>87.51</v>
      </c>
      <c r="J314" s="91" t="str">
        <f t="shared" si="17"/>
        <v>Sinapi 103419</v>
      </c>
      <c r="K314" s="91" t="str">
        <f t="shared" si="18"/>
        <v>UN</v>
      </c>
      <c r="L314" s="166" t="str">
        <f t="shared" si="19"/>
        <v>12/2021</v>
      </c>
      <c r="M314" s="82"/>
      <c r="N314" s="82"/>
    </row>
    <row r="315" spans="1:14" x14ac:dyDescent="0.25">
      <c r="A315" s="170" t="s">
        <v>15028</v>
      </c>
      <c r="B315" s="170" t="s">
        <v>15029</v>
      </c>
      <c r="C315" s="170" t="s">
        <v>205</v>
      </c>
      <c r="D315" s="170" t="s">
        <v>2067</v>
      </c>
      <c r="E315" s="171" t="s">
        <v>31801</v>
      </c>
      <c r="F315" s="171" t="s">
        <v>35215</v>
      </c>
      <c r="G315" s="82"/>
      <c r="H315" s="96">
        <f t="shared" si="16"/>
        <v>87.44</v>
      </c>
      <c r="I315" s="96">
        <f t="shared" si="16"/>
        <v>97.23</v>
      </c>
      <c r="J315" s="91" t="str">
        <f t="shared" si="17"/>
        <v>Sinapi 103420</v>
      </c>
      <c r="K315" s="91" t="str">
        <f t="shared" si="18"/>
        <v>UN</v>
      </c>
      <c r="L315" s="166" t="str">
        <f t="shared" si="19"/>
        <v>12/2021</v>
      </c>
      <c r="M315" s="82"/>
      <c r="N315" s="82"/>
    </row>
    <row r="316" spans="1:14" x14ac:dyDescent="0.25">
      <c r="A316" s="170" t="s">
        <v>15030</v>
      </c>
      <c r="B316" s="170" t="s">
        <v>15031</v>
      </c>
      <c r="C316" s="170" t="s">
        <v>205</v>
      </c>
      <c r="D316" s="170" t="s">
        <v>2067</v>
      </c>
      <c r="E316" s="171" t="s">
        <v>31802</v>
      </c>
      <c r="F316" s="171" t="s">
        <v>34112</v>
      </c>
      <c r="G316" s="82"/>
      <c r="H316" s="96">
        <f t="shared" si="16"/>
        <v>97.94</v>
      </c>
      <c r="I316" s="96">
        <f t="shared" si="16"/>
        <v>108.9</v>
      </c>
      <c r="J316" s="91" t="str">
        <f t="shared" si="17"/>
        <v>Sinapi 103421</v>
      </c>
      <c r="K316" s="91" t="str">
        <f t="shared" si="18"/>
        <v>UN</v>
      </c>
      <c r="L316" s="166" t="str">
        <f t="shared" si="19"/>
        <v>12/2021</v>
      </c>
      <c r="M316" s="82"/>
      <c r="N316" s="82"/>
    </row>
    <row r="317" spans="1:14" x14ac:dyDescent="0.25">
      <c r="A317" s="170" t="s">
        <v>15032</v>
      </c>
      <c r="B317" s="170" t="s">
        <v>15033</v>
      </c>
      <c r="C317" s="170" t="s">
        <v>205</v>
      </c>
      <c r="D317" s="170" t="s">
        <v>2067</v>
      </c>
      <c r="E317" s="171" t="s">
        <v>31803</v>
      </c>
      <c r="F317" s="171" t="s">
        <v>35216</v>
      </c>
      <c r="G317" s="82"/>
      <c r="H317" s="96">
        <f t="shared" si="16"/>
        <v>110.19</v>
      </c>
      <c r="I317" s="96">
        <f t="shared" si="16"/>
        <v>122.52</v>
      </c>
      <c r="J317" s="91" t="str">
        <f t="shared" si="17"/>
        <v>Sinapi 103422</v>
      </c>
      <c r="K317" s="91" t="str">
        <f t="shared" si="18"/>
        <v>UN</v>
      </c>
      <c r="L317" s="166" t="str">
        <f t="shared" si="19"/>
        <v>12/2021</v>
      </c>
      <c r="M317" s="82"/>
      <c r="N317" s="82"/>
    </row>
    <row r="318" spans="1:14" x14ac:dyDescent="0.25">
      <c r="A318" s="170" t="s">
        <v>15034</v>
      </c>
      <c r="B318" s="170" t="s">
        <v>15035</v>
      </c>
      <c r="C318" s="170" t="s">
        <v>205</v>
      </c>
      <c r="D318" s="170" t="s">
        <v>2067</v>
      </c>
      <c r="E318" s="171" t="s">
        <v>31804</v>
      </c>
      <c r="F318" s="171" t="s">
        <v>22084</v>
      </c>
      <c r="G318" s="82"/>
      <c r="H318" s="96">
        <f t="shared" si="16"/>
        <v>124.18</v>
      </c>
      <c r="I318" s="96">
        <f t="shared" si="16"/>
        <v>138.08000000000001</v>
      </c>
      <c r="J318" s="91" t="str">
        <f t="shared" si="17"/>
        <v>Sinapi 103423</v>
      </c>
      <c r="K318" s="91" t="str">
        <f t="shared" si="18"/>
        <v>UN</v>
      </c>
      <c r="L318" s="166" t="str">
        <f t="shared" si="19"/>
        <v>12/2021</v>
      </c>
      <c r="M318" s="82"/>
      <c r="N318" s="82"/>
    </row>
    <row r="319" spans="1:14" x14ac:dyDescent="0.25">
      <c r="A319" s="170" t="s">
        <v>15036</v>
      </c>
      <c r="B319" s="170" t="s">
        <v>15037</v>
      </c>
      <c r="C319" s="170" t="s">
        <v>205</v>
      </c>
      <c r="D319" s="170" t="s">
        <v>2067</v>
      </c>
      <c r="E319" s="171" t="s">
        <v>31805</v>
      </c>
      <c r="F319" s="171" t="s">
        <v>35217</v>
      </c>
      <c r="G319" s="82"/>
      <c r="H319" s="96">
        <f t="shared" si="16"/>
        <v>139.91999999999999</v>
      </c>
      <c r="I319" s="96">
        <f t="shared" si="16"/>
        <v>155.58000000000001</v>
      </c>
      <c r="J319" s="91" t="str">
        <f t="shared" si="17"/>
        <v>Sinapi 103424</v>
      </c>
      <c r="K319" s="91" t="str">
        <f t="shared" si="18"/>
        <v>UN</v>
      </c>
      <c r="L319" s="166" t="str">
        <f t="shared" si="19"/>
        <v>12/2021</v>
      </c>
      <c r="M319" s="82"/>
      <c r="N319" s="82"/>
    </row>
    <row r="320" spans="1:14" x14ac:dyDescent="0.25">
      <c r="A320" s="170" t="s">
        <v>15038</v>
      </c>
      <c r="B320" s="170" t="s">
        <v>15039</v>
      </c>
      <c r="C320" s="170" t="s">
        <v>205</v>
      </c>
      <c r="D320" s="170" t="s">
        <v>1947</v>
      </c>
      <c r="E320" s="171" t="s">
        <v>19977</v>
      </c>
      <c r="F320" s="171" t="s">
        <v>22767</v>
      </c>
      <c r="G320" s="82"/>
      <c r="H320" s="96">
        <f t="shared" si="16"/>
        <v>15.84</v>
      </c>
      <c r="I320" s="96">
        <f t="shared" si="16"/>
        <v>16.23</v>
      </c>
      <c r="J320" s="91" t="str">
        <f t="shared" si="17"/>
        <v>Sinapi 103425</v>
      </c>
      <c r="K320" s="91" t="str">
        <f t="shared" si="18"/>
        <v>UN</v>
      </c>
      <c r="L320" s="166" t="str">
        <f t="shared" si="19"/>
        <v>12/2021</v>
      </c>
      <c r="M320" s="82"/>
      <c r="N320" s="82"/>
    </row>
    <row r="321" spans="1:14" x14ac:dyDescent="0.25">
      <c r="A321" s="170" t="s">
        <v>15040</v>
      </c>
      <c r="B321" s="170" t="s">
        <v>15041</v>
      </c>
      <c r="C321" s="170" t="s">
        <v>205</v>
      </c>
      <c r="D321" s="170" t="s">
        <v>1947</v>
      </c>
      <c r="E321" s="171" t="s">
        <v>22824</v>
      </c>
      <c r="F321" s="171" t="s">
        <v>19288</v>
      </c>
      <c r="G321" s="82"/>
      <c r="H321" s="96">
        <f t="shared" si="16"/>
        <v>18.899999999999999</v>
      </c>
      <c r="I321" s="96">
        <f t="shared" si="16"/>
        <v>19.53</v>
      </c>
      <c r="J321" s="91" t="str">
        <f t="shared" si="17"/>
        <v>Sinapi 103426</v>
      </c>
      <c r="K321" s="91" t="str">
        <f t="shared" si="18"/>
        <v>UN</v>
      </c>
      <c r="L321" s="166" t="str">
        <f t="shared" si="19"/>
        <v>12/2021</v>
      </c>
      <c r="M321" s="82"/>
      <c r="N321" s="82"/>
    </row>
    <row r="322" spans="1:14" x14ac:dyDescent="0.25">
      <c r="A322" s="170" t="s">
        <v>15042</v>
      </c>
      <c r="B322" s="170" t="s">
        <v>15043</v>
      </c>
      <c r="C322" s="170" t="s">
        <v>205</v>
      </c>
      <c r="D322" s="170" t="s">
        <v>1947</v>
      </c>
      <c r="E322" s="171" t="s">
        <v>29421</v>
      </c>
      <c r="F322" s="171" t="s">
        <v>35218</v>
      </c>
      <c r="G322" s="82"/>
      <c r="H322" s="96">
        <f t="shared" si="16"/>
        <v>37.89</v>
      </c>
      <c r="I322" s="96">
        <f t="shared" si="16"/>
        <v>39.119999999999997</v>
      </c>
      <c r="J322" s="91" t="str">
        <f t="shared" si="17"/>
        <v>Sinapi 103427</v>
      </c>
      <c r="K322" s="91" t="str">
        <f t="shared" si="18"/>
        <v>UN</v>
      </c>
      <c r="L322" s="166" t="str">
        <f t="shared" si="19"/>
        <v>12/2021</v>
      </c>
      <c r="M322" s="82"/>
      <c r="N322" s="82"/>
    </row>
    <row r="323" spans="1:14" x14ac:dyDescent="0.25">
      <c r="A323" s="170" t="s">
        <v>15044</v>
      </c>
      <c r="B323" s="170" t="s">
        <v>15045</v>
      </c>
      <c r="C323" s="170" t="s">
        <v>205</v>
      </c>
      <c r="D323" s="170" t="s">
        <v>1947</v>
      </c>
      <c r="E323" s="171" t="s">
        <v>31806</v>
      </c>
      <c r="F323" s="171" t="s">
        <v>35219</v>
      </c>
      <c r="G323" s="82"/>
      <c r="H323" s="96">
        <f t="shared" si="16"/>
        <v>255.93</v>
      </c>
      <c r="I323" s="96">
        <f t="shared" si="16"/>
        <v>259.83999999999997</v>
      </c>
      <c r="J323" s="91" t="str">
        <f t="shared" si="17"/>
        <v>Sinapi 103428</v>
      </c>
      <c r="K323" s="91" t="str">
        <f t="shared" si="18"/>
        <v>UN</v>
      </c>
      <c r="L323" s="166" t="str">
        <f t="shared" si="19"/>
        <v>12/2021</v>
      </c>
      <c r="M323" s="82"/>
      <c r="N323" s="82"/>
    </row>
    <row r="324" spans="1:14" x14ac:dyDescent="0.25">
      <c r="A324" s="170" t="s">
        <v>15046</v>
      </c>
      <c r="B324" s="170" t="s">
        <v>15047</v>
      </c>
      <c r="C324" s="170" t="s">
        <v>205</v>
      </c>
      <c r="D324" s="170" t="s">
        <v>1947</v>
      </c>
      <c r="E324" s="171" t="s">
        <v>31807</v>
      </c>
      <c r="F324" s="171" t="s">
        <v>35220</v>
      </c>
      <c r="G324" s="82"/>
      <c r="H324" s="96">
        <f t="shared" si="16"/>
        <v>2864.09</v>
      </c>
      <c r="I324" s="96">
        <f t="shared" si="16"/>
        <v>2871.92</v>
      </c>
      <c r="J324" s="91" t="str">
        <f t="shared" si="17"/>
        <v>Sinapi 103429</v>
      </c>
      <c r="K324" s="91" t="str">
        <f t="shared" si="18"/>
        <v>UN</v>
      </c>
      <c r="L324" s="166" t="str">
        <f t="shared" si="19"/>
        <v>12/2021</v>
      </c>
      <c r="M324" s="82"/>
      <c r="N324" s="82"/>
    </row>
    <row r="325" spans="1:14" x14ac:dyDescent="0.25">
      <c r="A325" s="170" t="s">
        <v>15048</v>
      </c>
      <c r="B325" s="170" t="s">
        <v>15049</v>
      </c>
      <c r="C325" s="170" t="s">
        <v>205</v>
      </c>
      <c r="D325" s="170" t="s">
        <v>1947</v>
      </c>
      <c r="E325" s="171" t="s">
        <v>21025</v>
      </c>
      <c r="F325" s="171" t="s">
        <v>35221</v>
      </c>
      <c r="G325" s="82"/>
      <c r="H325" s="96">
        <f t="shared" si="16"/>
        <v>34.19</v>
      </c>
      <c r="I325" s="96">
        <f t="shared" si="16"/>
        <v>34.82</v>
      </c>
      <c r="J325" s="91" t="str">
        <f t="shared" si="17"/>
        <v>Sinapi 103430</v>
      </c>
      <c r="K325" s="91" t="str">
        <f t="shared" si="18"/>
        <v>UN</v>
      </c>
      <c r="L325" s="166" t="str">
        <f t="shared" si="19"/>
        <v>12/2021</v>
      </c>
      <c r="M325" s="82"/>
      <c r="N325" s="82"/>
    </row>
    <row r="326" spans="1:14" x14ac:dyDescent="0.25">
      <c r="A326" s="170" t="s">
        <v>15050</v>
      </c>
      <c r="B326" s="170" t="s">
        <v>15051</v>
      </c>
      <c r="C326" s="170" t="s">
        <v>205</v>
      </c>
      <c r="D326" s="170" t="s">
        <v>1947</v>
      </c>
      <c r="E326" s="171" t="s">
        <v>21884</v>
      </c>
      <c r="F326" s="171" t="s">
        <v>35222</v>
      </c>
      <c r="G326" s="82"/>
      <c r="H326" s="96">
        <f t="shared" si="16"/>
        <v>59.83</v>
      </c>
      <c r="I326" s="96">
        <f t="shared" si="16"/>
        <v>61.06</v>
      </c>
      <c r="J326" s="91" t="str">
        <f t="shared" si="17"/>
        <v>Sinapi 103431</v>
      </c>
      <c r="K326" s="91" t="str">
        <f t="shared" si="18"/>
        <v>UN</v>
      </c>
      <c r="L326" s="166" t="str">
        <f t="shared" si="19"/>
        <v>12/2021</v>
      </c>
      <c r="M326" s="82"/>
      <c r="N326" s="82"/>
    </row>
    <row r="327" spans="1:14" x14ac:dyDescent="0.25">
      <c r="A327" s="170" t="s">
        <v>15052</v>
      </c>
      <c r="B327" s="170" t="s">
        <v>15053</v>
      </c>
      <c r="C327" s="170" t="s">
        <v>205</v>
      </c>
      <c r="D327" s="170" t="s">
        <v>1947</v>
      </c>
      <c r="E327" s="171" t="s">
        <v>31808</v>
      </c>
      <c r="F327" s="171" t="s">
        <v>35223</v>
      </c>
      <c r="G327" s="82"/>
      <c r="H327" s="96">
        <f t="shared" si="16"/>
        <v>1626.3</v>
      </c>
      <c r="I327" s="96">
        <f t="shared" si="16"/>
        <v>1630.21</v>
      </c>
      <c r="J327" s="91" t="str">
        <f t="shared" si="17"/>
        <v>Sinapi 103432</v>
      </c>
      <c r="K327" s="91" t="str">
        <f t="shared" si="18"/>
        <v>UN</v>
      </c>
      <c r="L327" s="166" t="str">
        <f t="shared" si="19"/>
        <v>12/2021</v>
      </c>
      <c r="M327" s="82"/>
      <c r="N327" s="82"/>
    </row>
    <row r="328" spans="1:14" x14ac:dyDescent="0.25">
      <c r="A328" s="170" t="s">
        <v>15054</v>
      </c>
      <c r="B328" s="170" t="s">
        <v>15055</v>
      </c>
      <c r="C328" s="170" t="s">
        <v>205</v>
      </c>
      <c r="D328" s="170" t="s">
        <v>1947</v>
      </c>
      <c r="E328" s="171" t="s">
        <v>31809</v>
      </c>
      <c r="F328" s="171" t="s">
        <v>35224</v>
      </c>
      <c r="G328" s="82"/>
      <c r="H328" s="96">
        <f t="shared" ref="H328:I391" si="20">IF(E328="","",E328+0)</f>
        <v>33.99</v>
      </c>
      <c r="I328" s="96">
        <f t="shared" si="20"/>
        <v>34.380000000000003</v>
      </c>
      <c r="J328" s="91" t="str">
        <f t="shared" ref="J328:J391" si="21">IF(OR(H328="",I328=""),"",TRIM(CONCATENATE("Sinapi ",A328)))</f>
        <v>Sinapi 103433</v>
      </c>
      <c r="K328" s="91" t="str">
        <f t="shared" ref="K328:K391" si="22">TRIM(C328)</f>
        <v>UN</v>
      </c>
      <c r="L328" s="166" t="str">
        <f t="shared" ref="L328:L391" si="23">IF(OR(RIGHT(IF(AND(K328&lt;&gt;"H",K328&lt;&gt;"MES"),RIGHT(B328,7),""),2)="PS",RIGHT(IF(AND(K328&lt;&gt;"H",K328&lt;&gt;"MES"),RIGHT(B328,7),""),2)="PA",RIGHT(IF(AND(K328&lt;&gt;"H",K328&lt;&gt;"MES"),RIGHT(B328,7),""),2)="PE"),LEFT(IF(AND(K328&lt;&gt;"H",K328&lt;&gt;"MES"),RIGHT(B328,10),""),7),IF(AND(K328&lt;&gt;"H",K328&lt;&gt;"MES"),RIGHT(B328,7),""))</f>
        <v>12/2021</v>
      </c>
      <c r="M328" s="82"/>
      <c r="N328" s="82"/>
    </row>
    <row r="329" spans="1:14" x14ac:dyDescent="0.25">
      <c r="A329" s="170" t="s">
        <v>15056</v>
      </c>
      <c r="B329" s="170" t="s">
        <v>15057</v>
      </c>
      <c r="C329" s="170" t="s">
        <v>205</v>
      </c>
      <c r="D329" s="170" t="s">
        <v>1947</v>
      </c>
      <c r="E329" s="171" t="s">
        <v>21645</v>
      </c>
      <c r="F329" s="171" t="s">
        <v>30751</v>
      </c>
      <c r="G329" s="82"/>
      <c r="H329" s="96">
        <f t="shared" si="20"/>
        <v>46.97</v>
      </c>
      <c r="I329" s="96">
        <f t="shared" si="20"/>
        <v>47.6</v>
      </c>
      <c r="J329" s="91" t="str">
        <f t="shared" si="21"/>
        <v>Sinapi 103434</v>
      </c>
      <c r="K329" s="91" t="str">
        <f t="shared" si="22"/>
        <v>UN</v>
      </c>
      <c r="L329" s="166" t="str">
        <f t="shared" si="23"/>
        <v>12/2021</v>
      </c>
      <c r="M329" s="82"/>
      <c r="N329" s="82"/>
    </row>
    <row r="330" spans="1:14" x14ac:dyDescent="0.25">
      <c r="A330" s="170" t="s">
        <v>15058</v>
      </c>
      <c r="B330" s="170" t="s">
        <v>15059</v>
      </c>
      <c r="C330" s="170" t="s">
        <v>205</v>
      </c>
      <c r="D330" s="170" t="s">
        <v>1947</v>
      </c>
      <c r="E330" s="171" t="s">
        <v>31337</v>
      </c>
      <c r="F330" s="171" t="s">
        <v>35225</v>
      </c>
      <c r="G330" s="82"/>
      <c r="H330" s="96">
        <f t="shared" si="20"/>
        <v>87.33</v>
      </c>
      <c r="I330" s="96">
        <f t="shared" si="20"/>
        <v>88.56</v>
      </c>
      <c r="J330" s="91" t="str">
        <f t="shared" si="21"/>
        <v>Sinapi 103435</v>
      </c>
      <c r="K330" s="91" t="str">
        <f t="shared" si="22"/>
        <v>UN</v>
      </c>
      <c r="L330" s="166" t="str">
        <f t="shared" si="23"/>
        <v>12/2021</v>
      </c>
      <c r="M330" s="82"/>
      <c r="N330" s="82"/>
    </row>
    <row r="331" spans="1:14" x14ac:dyDescent="0.25">
      <c r="A331" s="170" t="s">
        <v>15060</v>
      </c>
      <c r="B331" s="170" t="s">
        <v>15061</v>
      </c>
      <c r="C331" s="170" t="s">
        <v>205</v>
      </c>
      <c r="D331" s="170" t="s">
        <v>1947</v>
      </c>
      <c r="E331" s="171" t="s">
        <v>31810</v>
      </c>
      <c r="F331" s="171" t="s">
        <v>35226</v>
      </c>
      <c r="G331" s="82"/>
      <c r="H331" s="96">
        <f t="shared" si="20"/>
        <v>2304.42</v>
      </c>
      <c r="I331" s="96">
        <f t="shared" si="20"/>
        <v>2308.33</v>
      </c>
      <c r="J331" s="91" t="str">
        <f t="shared" si="21"/>
        <v>Sinapi 103436</v>
      </c>
      <c r="K331" s="91" t="str">
        <f t="shared" si="22"/>
        <v>UN</v>
      </c>
      <c r="L331" s="166" t="str">
        <f t="shared" si="23"/>
        <v>12/2021</v>
      </c>
      <c r="M331" s="82"/>
      <c r="N331" s="82"/>
    </row>
    <row r="332" spans="1:14" x14ac:dyDescent="0.25">
      <c r="A332" s="170" t="s">
        <v>15062</v>
      </c>
      <c r="B332" s="170" t="s">
        <v>15063</v>
      </c>
      <c r="C332" s="170" t="s">
        <v>205</v>
      </c>
      <c r="D332" s="170" t="s">
        <v>1947</v>
      </c>
      <c r="E332" s="171" t="s">
        <v>31811</v>
      </c>
      <c r="F332" s="171" t="s">
        <v>35227</v>
      </c>
      <c r="G332" s="82"/>
      <c r="H332" s="96">
        <f t="shared" si="20"/>
        <v>181.26</v>
      </c>
      <c r="I332" s="96">
        <f t="shared" si="20"/>
        <v>183.72</v>
      </c>
      <c r="J332" s="91" t="str">
        <f t="shared" si="21"/>
        <v>Sinapi 103437</v>
      </c>
      <c r="K332" s="91" t="str">
        <f t="shared" si="22"/>
        <v>UN</v>
      </c>
      <c r="L332" s="166" t="str">
        <f t="shared" si="23"/>
        <v>12/2021</v>
      </c>
      <c r="M332" s="82"/>
      <c r="N332" s="82"/>
    </row>
    <row r="333" spans="1:14" x14ac:dyDescent="0.25">
      <c r="A333" s="170" t="s">
        <v>15064</v>
      </c>
      <c r="B333" s="170" t="s">
        <v>15065</v>
      </c>
      <c r="C333" s="170" t="s">
        <v>205</v>
      </c>
      <c r="D333" s="170" t="s">
        <v>1947</v>
      </c>
      <c r="E333" s="171" t="s">
        <v>31811</v>
      </c>
      <c r="F333" s="171" t="s">
        <v>35227</v>
      </c>
      <c r="G333" s="82"/>
      <c r="H333" s="96">
        <f t="shared" si="20"/>
        <v>181.26</v>
      </c>
      <c r="I333" s="96">
        <f t="shared" si="20"/>
        <v>183.72</v>
      </c>
      <c r="J333" s="91" t="str">
        <f t="shared" si="21"/>
        <v>Sinapi 103438</v>
      </c>
      <c r="K333" s="91" t="str">
        <f t="shared" si="22"/>
        <v>UN</v>
      </c>
      <c r="L333" s="166" t="str">
        <f t="shared" si="23"/>
        <v>12/2021</v>
      </c>
      <c r="M333" s="82"/>
      <c r="N333" s="82"/>
    </row>
    <row r="334" spans="1:14" x14ac:dyDescent="0.25">
      <c r="A334" s="170" t="s">
        <v>15066</v>
      </c>
      <c r="B334" s="170" t="s">
        <v>15067</v>
      </c>
      <c r="C334" s="170" t="s">
        <v>205</v>
      </c>
      <c r="D334" s="170" t="s">
        <v>1947</v>
      </c>
      <c r="E334" s="171" t="s">
        <v>31812</v>
      </c>
      <c r="F334" s="171" t="s">
        <v>35228</v>
      </c>
      <c r="G334" s="82"/>
      <c r="H334" s="96">
        <f t="shared" si="20"/>
        <v>213.81</v>
      </c>
      <c r="I334" s="96">
        <f t="shared" si="20"/>
        <v>216.27</v>
      </c>
      <c r="J334" s="91" t="str">
        <f t="shared" si="21"/>
        <v>Sinapi 103439</v>
      </c>
      <c r="K334" s="91" t="str">
        <f t="shared" si="22"/>
        <v>UN</v>
      </c>
      <c r="L334" s="166" t="str">
        <f t="shared" si="23"/>
        <v>12/2021</v>
      </c>
      <c r="M334" s="82"/>
      <c r="N334" s="82"/>
    </row>
    <row r="335" spans="1:14" x14ac:dyDescent="0.25">
      <c r="A335" s="170" t="s">
        <v>15068</v>
      </c>
      <c r="B335" s="170" t="s">
        <v>15069</v>
      </c>
      <c r="C335" s="170" t="s">
        <v>205</v>
      </c>
      <c r="D335" s="170" t="s">
        <v>1947</v>
      </c>
      <c r="E335" s="171" t="s">
        <v>31813</v>
      </c>
      <c r="F335" s="171" t="s">
        <v>35229</v>
      </c>
      <c r="G335" s="82"/>
      <c r="H335" s="96">
        <f t="shared" si="20"/>
        <v>407.07</v>
      </c>
      <c r="I335" s="96">
        <f t="shared" si="20"/>
        <v>414.9</v>
      </c>
      <c r="J335" s="91" t="str">
        <f t="shared" si="21"/>
        <v>Sinapi 103440</v>
      </c>
      <c r="K335" s="91" t="str">
        <f t="shared" si="22"/>
        <v>UN</v>
      </c>
      <c r="L335" s="166" t="str">
        <f t="shared" si="23"/>
        <v>12/2021</v>
      </c>
      <c r="M335" s="82"/>
      <c r="N335" s="82"/>
    </row>
    <row r="336" spans="1:14" x14ac:dyDescent="0.25">
      <c r="A336" s="170" t="s">
        <v>15070</v>
      </c>
      <c r="B336" s="170" t="s">
        <v>15071</v>
      </c>
      <c r="C336" s="170" t="s">
        <v>205</v>
      </c>
      <c r="D336" s="170" t="s">
        <v>1947</v>
      </c>
      <c r="E336" s="171" t="s">
        <v>31814</v>
      </c>
      <c r="F336" s="171" t="s">
        <v>35230</v>
      </c>
      <c r="G336" s="82"/>
      <c r="H336" s="96">
        <f t="shared" si="20"/>
        <v>412.34</v>
      </c>
      <c r="I336" s="96">
        <f t="shared" si="20"/>
        <v>420.17</v>
      </c>
      <c r="J336" s="91" t="str">
        <f t="shared" si="21"/>
        <v>Sinapi 103441</v>
      </c>
      <c r="K336" s="91" t="str">
        <f t="shared" si="22"/>
        <v>UN</v>
      </c>
      <c r="L336" s="166" t="str">
        <f t="shared" si="23"/>
        <v>12/2021</v>
      </c>
      <c r="M336" s="82"/>
      <c r="N336" s="82"/>
    </row>
    <row r="337" spans="1:14" x14ac:dyDescent="0.25">
      <c r="A337" s="170" t="s">
        <v>15072</v>
      </c>
      <c r="B337" s="170" t="s">
        <v>15073</v>
      </c>
      <c r="C337" s="170" t="s">
        <v>205</v>
      </c>
      <c r="D337" s="170" t="s">
        <v>1947</v>
      </c>
      <c r="E337" s="171" t="s">
        <v>31815</v>
      </c>
      <c r="F337" s="171" t="s">
        <v>35231</v>
      </c>
      <c r="G337" s="82"/>
      <c r="H337" s="96">
        <f t="shared" si="20"/>
        <v>539.59</v>
      </c>
      <c r="I337" s="96">
        <f t="shared" si="20"/>
        <v>547.41999999999996</v>
      </c>
      <c r="J337" s="91" t="str">
        <f t="shared" si="21"/>
        <v>Sinapi 103442</v>
      </c>
      <c r="K337" s="91" t="str">
        <f t="shared" si="22"/>
        <v>UN</v>
      </c>
      <c r="L337" s="166" t="str">
        <f t="shared" si="23"/>
        <v>12/2021</v>
      </c>
      <c r="M337" s="82"/>
      <c r="N337" s="82"/>
    </row>
    <row r="338" spans="1:14" x14ac:dyDescent="0.25">
      <c r="A338" s="170" t="s">
        <v>2310</v>
      </c>
      <c r="B338" s="170" t="s">
        <v>2311</v>
      </c>
      <c r="C338" s="170" t="s">
        <v>870</v>
      </c>
      <c r="D338" s="170" t="s">
        <v>1947</v>
      </c>
      <c r="E338" s="171" t="s">
        <v>31816</v>
      </c>
      <c r="F338" s="171" t="s">
        <v>35232</v>
      </c>
      <c r="G338" s="82"/>
      <c r="H338" s="96">
        <f t="shared" si="20"/>
        <v>1150.4100000000001</v>
      </c>
      <c r="I338" s="96">
        <f t="shared" si="20"/>
        <v>1197.02</v>
      </c>
      <c r="J338" s="91" t="str">
        <f t="shared" si="21"/>
        <v>Sinapi 93206</v>
      </c>
      <c r="K338" s="91" t="str">
        <f t="shared" si="22"/>
        <v>M2</v>
      </c>
      <c r="L338" s="166" t="str">
        <f t="shared" si="23"/>
        <v>02/2016</v>
      </c>
      <c r="M338" s="82"/>
      <c r="N338" s="82"/>
    </row>
    <row r="339" spans="1:14" x14ac:dyDescent="0.25">
      <c r="A339" s="170" t="s">
        <v>2312</v>
      </c>
      <c r="B339" s="170" t="s">
        <v>2313</v>
      </c>
      <c r="C339" s="170" t="s">
        <v>870</v>
      </c>
      <c r="D339" s="170" t="s">
        <v>1947</v>
      </c>
      <c r="E339" s="171" t="s">
        <v>31817</v>
      </c>
      <c r="F339" s="171" t="s">
        <v>35233</v>
      </c>
      <c r="G339" s="82"/>
      <c r="H339" s="96">
        <f t="shared" si="20"/>
        <v>1102.31</v>
      </c>
      <c r="I339" s="96">
        <f t="shared" si="20"/>
        <v>1130.27</v>
      </c>
      <c r="J339" s="91" t="str">
        <f t="shared" si="21"/>
        <v>Sinapi 93207</v>
      </c>
      <c r="K339" s="91" t="str">
        <f t="shared" si="22"/>
        <v>M2</v>
      </c>
      <c r="L339" s="166" t="str">
        <f t="shared" si="23"/>
        <v>02/2016</v>
      </c>
      <c r="M339" s="82"/>
      <c r="N339" s="82"/>
    </row>
    <row r="340" spans="1:14" x14ac:dyDescent="0.25">
      <c r="A340" s="170" t="s">
        <v>2314</v>
      </c>
      <c r="B340" s="170" t="s">
        <v>2315</v>
      </c>
      <c r="C340" s="170" t="s">
        <v>870</v>
      </c>
      <c r="D340" s="170" t="s">
        <v>1947</v>
      </c>
      <c r="E340" s="171" t="s">
        <v>31818</v>
      </c>
      <c r="F340" s="171" t="s">
        <v>35234</v>
      </c>
      <c r="G340" s="82"/>
      <c r="H340" s="96">
        <f t="shared" si="20"/>
        <v>911.81</v>
      </c>
      <c r="I340" s="96">
        <f t="shared" si="20"/>
        <v>932.35</v>
      </c>
      <c r="J340" s="91" t="str">
        <f t="shared" si="21"/>
        <v>Sinapi 93208</v>
      </c>
      <c r="K340" s="91" t="str">
        <f t="shared" si="22"/>
        <v>M2</v>
      </c>
      <c r="L340" s="166" t="str">
        <f t="shared" si="23"/>
        <v>02/2016</v>
      </c>
      <c r="M340" s="82"/>
      <c r="N340" s="82"/>
    </row>
    <row r="341" spans="1:14" x14ac:dyDescent="0.25">
      <c r="A341" s="170" t="s">
        <v>2316</v>
      </c>
      <c r="B341" s="170" t="s">
        <v>2317</v>
      </c>
      <c r="C341" s="170" t="s">
        <v>870</v>
      </c>
      <c r="D341" s="170" t="s">
        <v>1947</v>
      </c>
      <c r="E341" s="171" t="s">
        <v>31819</v>
      </c>
      <c r="F341" s="171" t="s">
        <v>35235</v>
      </c>
      <c r="G341" s="82"/>
      <c r="H341" s="96">
        <f t="shared" si="20"/>
        <v>974.63</v>
      </c>
      <c r="I341" s="96">
        <f t="shared" si="20"/>
        <v>1009.78</v>
      </c>
      <c r="J341" s="91" t="str">
        <f t="shared" si="21"/>
        <v>Sinapi 93209</v>
      </c>
      <c r="K341" s="91" t="str">
        <f t="shared" si="22"/>
        <v>M2</v>
      </c>
      <c r="L341" s="166" t="str">
        <f t="shared" si="23"/>
        <v>02/2016</v>
      </c>
      <c r="M341" s="82"/>
      <c r="N341" s="82"/>
    </row>
    <row r="342" spans="1:14" x14ac:dyDescent="0.25">
      <c r="A342" s="170" t="s">
        <v>2318</v>
      </c>
      <c r="B342" s="170" t="s">
        <v>2319</v>
      </c>
      <c r="C342" s="170" t="s">
        <v>870</v>
      </c>
      <c r="D342" s="170" t="s">
        <v>1947</v>
      </c>
      <c r="E342" s="171" t="s">
        <v>31820</v>
      </c>
      <c r="F342" s="171" t="s">
        <v>35236</v>
      </c>
      <c r="G342" s="82"/>
      <c r="H342" s="96">
        <f t="shared" si="20"/>
        <v>632</v>
      </c>
      <c r="I342" s="96">
        <f t="shared" si="20"/>
        <v>649.38</v>
      </c>
      <c r="J342" s="91" t="str">
        <f t="shared" si="21"/>
        <v>Sinapi 93210</v>
      </c>
      <c r="K342" s="91" t="str">
        <f t="shared" si="22"/>
        <v>M2</v>
      </c>
      <c r="L342" s="166" t="str">
        <f t="shared" si="23"/>
        <v>02/2016</v>
      </c>
      <c r="M342" s="82"/>
      <c r="N342" s="82"/>
    </row>
    <row r="343" spans="1:14" x14ac:dyDescent="0.25">
      <c r="A343" s="170" t="s">
        <v>2320</v>
      </c>
      <c r="B343" s="170" t="s">
        <v>2321</v>
      </c>
      <c r="C343" s="170" t="s">
        <v>870</v>
      </c>
      <c r="D343" s="170" t="s">
        <v>1947</v>
      </c>
      <c r="E343" s="171" t="s">
        <v>31821</v>
      </c>
      <c r="F343" s="171" t="s">
        <v>35237</v>
      </c>
      <c r="G343" s="82"/>
      <c r="H343" s="96">
        <f t="shared" si="20"/>
        <v>624.55999999999995</v>
      </c>
      <c r="I343" s="96">
        <f t="shared" si="20"/>
        <v>645.87</v>
      </c>
      <c r="J343" s="91" t="str">
        <f t="shared" si="21"/>
        <v>Sinapi 93211</v>
      </c>
      <c r="K343" s="91" t="str">
        <f t="shared" si="22"/>
        <v>M2</v>
      </c>
      <c r="L343" s="166" t="str">
        <f t="shared" si="23"/>
        <v>02/2016</v>
      </c>
      <c r="M343" s="82"/>
      <c r="N343" s="82"/>
    </row>
    <row r="344" spans="1:14" x14ac:dyDescent="0.25">
      <c r="A344" s="170" t="s">
        <v>2322</v>
      </c>
      <c r="B344" s="170" t="s">
        <v>2323</v>
      </c>
      <c r="C344" s="170" t="s">
        <v>870</v>
      </c>
      <c r="D344" s="170" t="s">
        <v>1947</v>
      </c>
      <c r="E344" s="171" t="s">
        <v>31822</v>
      </c>
      <c r="F344" s="171" t="s">
        <v>35238</v>
      </c>
      <c r="G344" s="82"/>
      <c r="H344" s="96">
        <f t="shared" si="20"/>
        <v>1048.45</v>
      </c>
      <c r="I344" s="96">
        <f t="shared" si="20"/>
        <v>1077.29</v>
      </c>
      <c r="J344" s="91" t="str">
        <f t="shared" si="21"/>
        <v>Sinapi 93212</v>
      </c>
      <c r="K344" s="91" t="str">
        <f t="shared" si="22"/>
        <v>M2</v>
      </c>
      <c r="L344" s="166" t="str">
        <f t="shared" si="23"/>
        <v>02/2016</v>
      </c>
      <c r="M344" s="82"/>
      <c r="N344" s="82"/>
    </row>
    <row r="345" spans="1:14" x14ac:dyDescent="0.25">
      <c r="A345" s="170" t="s">
        <v>2324</v>
      </c>
      <c r="B345" s="170" t="s">
        <v>2325</v>
      </c>
      <c r="C345" s="170" t="s">
        <v>870</v>
      </c>
      <c r="D345" s="170" t="s">
        <v>1947</v>
      </c>
      <c r="E345" s="171" t="s">
        <v>31823</v>
      </c>
      <c r="F345" s="171" t="s">
        <v>35239</v>
      </c>
      <c r="G345" s="82"/>
      <c r="H345" s="96">
        <f t="shared" si="20"/>
        <v>1094.24</v>
      </c>
      <c r="I345" s="96">
        <f t="shared" si="20"/>
        <v>1132.06</v>
      </c>
      <c r="J345" s="91" t="str">
        <f t="shared" si="21"/>
        <v>Sinapi 93213</v>
      </c>
      <c r="K345" s="91" t="str">
        <f t="shared" si="22"/>
        <v>M2</v>
      </c>
      <c r="L345" s="166" t="str">
        <f t="shared" si="23"/>
        <v>02/2016</v>
      </c>
      <c r="M345" s="82"/>
      <c r="N345" s="82"/>
    </row>
    <row r="346" spans="1:14" x14ac:dyDescent="0.25">
      <c r="A346" s="170" t="s">
        <v>2326</v>
      </c>
      <c r="B346" s="170" t="s">
        <v>18618</v>
      </c>
      <c r="C346" s="170" t="s">
        <v>205</v>
      </c>
      <c r="D346" s="170" t="s">
        <v>1947</v>
      </c>
      <c r="E346" s="171" t="s">
        <v>31824</v>
      </c>
      <c r="F346" s="171" t="s">
        <v>35240</v>
      </c>
      <c r="G346" s="82"/>
      <c r="H346" s="96">
        <f t="shared" si="20"/>
        <v>6162.2</v>
      </c>
      <c r="I346" s="96">
        <f t="shared" si="20"/>
        <v>6208.86</v>
      </c>
      <c r="J346" s="91" t="str">
        <f t="shared" si="21"/>
        <v>Sinapi 93214</v>
      </c>
      <c r="K346" s="91" t="str">
        <f t="shared" si="22"/>
        <v>UN</v>
      </c>
      <c r="L346" s="166" t="str">
        <f t="shared" si="23"/>
        <v>02/2016</v>
      </c>
      <c r="M346" s="82"/>
      <c r="N346" s="82"/>
    </row>
    <row r="347" spans="1:14" x14ac:dyDescent="0.25">
      <c r="A347" s="170" t="s">
        <v>2327</v>
      </c>
      <c r="B347" s="170" t="s">
        <v>18619</v>
      </c>
      <c r="C347" s="170" t="s">
        <v>205</v>
      </c>
      <c r="D347" s="170" t="s">
        <v>1947</v>
      </c>
      <c r="E347" s="171" t="s">
        <v>31825</v>
      </c>
      <c r="F347" s="171" t="s">
        <v>35241</v>
      </c>
      <c r="G347" s="82"/>
      <c r="H347" s="96">
        <f t="shared" si="20"/>
        <v>9682.2000000000007</v>
      </c>
      <c r="I347" s="96">
        <f t="shared" si="20"/>
        <v>9744.2800000000007</v>
      </c>
      <c r="J347" s="91" t="str">
        <f t="shared" si="21"/>
        <v>Sinapi 93243</v>
      </c>
      <c r="K347" s="91" t="str">
        <f t="shared" si="22"/>
        <v>UN</v>
      </c>
      <c r="L347" s="166" t="str">
        <f t="shared" si="23"/>
        <v>02/2016</v>
      </c>
      <c r="M347" s="82"/>
      <c r="N347" s="82"/>
    </row>
    <row r="348" spans="1:14" x14ac:dyDescent="0.25">
      <c r="A348" s="170" t="s">
        <v>2328</v>
      </c>
      <c r="B348" s="170" t="s">
        <v>2329</v>
      </c>
      <c r="C348" s="170" t="s">
        <v>870</v>
      </c>
      <c r="D348" s="170" t="s">
        <v>1947</v>
      </c>
      <c r="E348" s="171" t="s">
        <v>31826</v>
      </c>
      <c r="F348" s="171" t="s">
        <v>35242</v>
      </c>
      <c r="G348" s="82"/>
      <c r="H348" s="96">
        <f t="shared" si="20"/>
        <v>306.7</v>
      </c>
      <c r="I348" s="96">
        <f t="shared" si="20"/>
        <v>313.81</v>
      </c>
      <c r="J348" s="91" t="str">
        <f t="shared" si="21"/>
        <v>Sinapi 93582</v>
      </c>
      <c r="K348" s="91" t="str">
        <f t="shared" si="22"/>
        <v>M2</v>
      </c>
      <c r="L348" s="166" t="str">
        <f t="shared" si="23"/>
        <v>04/2016</v>
      </c>
      <c r="M348" s="82"/>
      <c r="N348" s="82"/>
    </row>
    <row r="349" spans="1:14" x14ac:dyDescent="0.25">
      <c r="A349" s="170" t="s">
        <v>2330</v>
      </c>
      <c r="B349" s="170" t="s">
        <v>2331</v>
      </c>
      <c r="C349" s="170" t="s">
        <v>870</v>
      </c>
      <c r="D349" s="170" t="s">
        <v>1947</v>
      </c>
      <c r="E349" s="171" t="s">
        <v>31827</v>
      </c>
      <c r="F349" s="171" t="s">
        <v>35243</v>
      </c>
      <c r="G349" s="82"/>
      <c r="H349" s="96">
        <f t="shared" si="20"/>
        <v>502.66</v>
      </c>
      <c r="I349" s="96">
        <f t="shared" si="20"/>
        <v>514.38</v>
      </c>
      <c r="J349" s="91" t="str">
        <f t="shared" si="21"/>
        <v>Sinapi 93583</v>
      </c>
      <c r="K349" s="91" t="str">
        <f t="shared" si="22"/>
        <v>M2</v>
      </c>
      <c r="L349" s="166" t="str">
        <f t="shared" si="23"/>
        <v>04/2016</v>
      </c>
      <c r="M349" s="82"/>
      <c r="N349" s="82"/>
    </row>
    <row r="350" spans="1:14" x14ac:dyDescent="0.25">
      <c r="A350" s="170" t="s">
        <v>2332</v>
      </c>
      <c r="B350" s="170" t="s">
        <v>2333</v>
      </c>
      <c r="C350" s="170" t="s">
        <v>870</v>
      </c>
      <c r="D350" s="170" t="s">
        <v>1947</v>
      </c>
      <c r="E350" s="171" t="s">
        <v>31828</v>
      </c>
      <c r="F350" s="171" t="s">
        <v>35244</v>
      </c>
      <c r="G350" s="82"/>
      <c r="H350" s="96">
        <f t="shared" si="20"/>
        <v>940.99</v>
      </c>
      <c r="I350" s="96">
        <f t="shared" si="20"/>
        <v>963.27</v>
      </c>
      <c r="J350" s="91" t="str">
        <f t="shared" si="21"/>
        <v>Sinapi 93584</v>
      </c>
      <c r="K350" s="91" t="str">
        <f t="shared" si="22"/>
        <v>M2</v>
      </c>
      <c r="L350" s="166" t="str">
        <f t="shared" si="23"/>
        <v>04/2016</v>
      </c>
      <c r="M350" s="82"/>
      <c r="N350" s="82"/>
    </row>
    <row r="351" spans="1:14" x14ac:dyDescent="0.25">
      <c r="A351" s="170" t="s">
        <v>2334</v>
      </c>
      <c r="B351" s="170" t="s">
        <v>2335</v>
      </c>
      <c r="C351" s="170" t="s">
        <v>870</v>
      </c>
      <c r="D351" s="170" t="s">
        <v>1947</v>
      </c>
      <c r="E351" s="171" t="s">
        <v>31829</v>
      </c>
      <c r="F351" s="171" t="s">
        <v>35245</v>
      </c>
      <c r="G351" s="82"/>
      <c r="H351" s="96">
        <f t="shared" si="20"/>
        <v>1125.56</v>
      </c>
      <c r="I351" s="96">
        <f t="shared" si="20"/>
        <v>1152.31</v>
      </c>
      <c r="J351" s="91" t="str">
        <f t="shared" si="21"/>
        <v>Sinapi 93585</v>
      </c>
      <c r="K351" s="91" t="str">
        <f t="shared" si="22"/>
        <v>M2</v>
      </c>
      <c r="L351" s="166" t="str">
        <f t="shared" si="23"/>
        <v>04/2016</v>
      </c>
      <c r="M351" s="82"/>
      <c r="N351" s="82"/>
    </row>
    <row r="352" spans="1:14" x14ac:dyDescent="0.25">
      <c r="A352" s="170" t="s">
        <v>2336</v>
      </c>
      <c r="B352" s="170" t="s">
        <v>2337</v>
      </c>
      <c r="C352" s="170" t="s">
        <v>870</v>
      </c>
      <c r="D352" s="170" t="s">
        <v>2067</v>
      </c>
      <c r="E352" s="171" t="s">
        <v>31830</v>
      </c>
      <c r="F352" s="171" t="s">
        <v>35246</v>
      </c>
      <c r="G352" s="82"/>
      <c r="H352" s="96">
        <f t="shared" si="20"/>
        <v>149.84</v>
      </c>
      <c r="I352" s="96">
        <f t="shared" si="20"/>
        <v>152.72999999999999</v>
      </c>
      <c r="J352" s="91" t="str">
        <f t="shared" si="21"/>
        <v>Sinapi 98441</v>
      </c>
      <c r="K352" s="91" t="str">
        <f t="shared" si="22"/>
        <v>M2</v>
      </c>
      <c r="L352" s="166" t="str">
        <f t="shared" si="23"/>
        <v>05/2018</v>
      </c>
      <c r="M352" s="82"/>
      <c r="N352" s="82"/>
    </row>
    <row r="353" spans="1:14" x14ac:dyDescent="0.25">
      <c r="A353" s="170" t="s">
        <v>2338</v>
      </c>
      <c r="B353" s="170" t="s">
        <v>2339</v>
      </c>
      <c r="C353" s="170" t="s">
        <v>870</v>
      </c>
      <c r="D353" s="170" t="s">
        <v>2067</v>
      </c>
      <c r="E353" s="171" t="s">
        <v>31831</v>
      </c>
      <c r="F353" s="171" t="s">
        <v>34165</v>
      </c>
      <c r="G353" s="82"/>
      <c r="H353" s="96">
        <f t="shared" si="20"/>
        <v>152.9</v>
      </c>
      <c r="I353" s="96">
        <f t="shared" si="20"/>
        <v>156.16999999999999</v>
      </c>
      <c r="J353" s="91" t="str">
        <f t="shared" si="21"/>
        <v>Sinapi 98442</v>
      </c>
      <c r="K353" s="91" t="str">
        <f t="shared" si="22"/>
        <v>M2</v>
      </c>
      <c r="L353" s="166" t="str">
        <f t="shared" si="23"/>
        <v>05/2018</v>
      </c>
      <c r="M353" s="82"/>
      <c r="N353" s="82"/>
    </row>
    <row r="354" spans="1:14" x14ac:dyDescent="0.25">
      <c r="A354" s="170" t="s">
        <v>2340</v>
      </c>
      <c r="B354" s="170" t="s">
        <v>2341</v>
      </c>
      <c r="C354" s="170" t="s">
        <v>870</v>
      </c>
      <c r="D354" s="170" t="s">
        <v>2067</v>
      </c>
      <c r="E354" s="171" t="s">
        <v>31832</v>
      </c>
      <c r="F354" s="171" t="s">
        <v>29001</v>
      </c>
      <c r="G354" s="82"/>
      <c r="H354" s="96">
        <f t="shared" si="20"/>
        <v>132.5</v>
      </c>
      <c r="I354" s="96">
        <f t="shared" si="20"/>
        <v>134.05000000000001</v>
      </c>
      <c r="J354" s="91" t="str">
        <f t="shared" si="21"/>
        <v>Sinapi 98443</v>
      </c>
      <c r="K354" s="91" t="str">
        <f t="shared" si="22"/>
        <v>M2</v>
      </c>
      <c r="L354" s="166" t="str">
        <f t="shared" si="23"/>
        <v>05/2018</v>
      </c>
      <c r="M354" s="82"/>
      <c r="N354" s="82"/>
    </row>
    <row r="355" spans="1:14" x14ac:dyDescent="0.25">
      <c r="A355" s="170" t="s">
        <v>2342</v>
      </c>
      <c r="B355" s="170" t="s">
        <v>2343</v>
      </c>
      <c r="C355" s="170" t="s">
        <v>870</v>
      </c>
      <c r="D355" s="170" t="s">
        <v>2067</v>
      </c>
      <c r="E355" s="171" t="s">
        <v>31833</v>
      </c>
      <c r="F355" s="171" t="s">
        <v>35247</v>
      </c>
      <c r="G355" s="82"/>
      <c r="H355" s="96">
        <f t="shared" si="20"/>
        <v>134.69</v>
      </c>
      <c r="I355" s="96">
        <f t="shared" si="20"/>
        <v>136.51</v>
      </c>
      <c r="J355" s="91" t="str">
        <f t="shared" si="21"/>
        <v>Sinapi 98444</v>
      </c>
      <c r="K355" s="91" t="str">
        <f t="shared" si="22"/>
        <v>M2</v>
      </c>
      <c r="L355" s="166" t="str">
        <f t="shared" si="23"/>
        <v>05/2018</v>
      </c>
      <c r="M355" s="82"/>
      <c r="N355" s="82"/>
    </row>
    <row r="356" spans="1:14" x14ac:dyDescent="0.25">
      <c r="A356" s="170" t="s">
        <v>2344</v>
      </c>
      <c r="B356" s="170" t="s">
        <v>2345</v>
      </c>
      <c r="C356" s="170" t="s">
        <v>870</v>
      </c>
      <c r="D356" s="170" t="s">
        <v>2067</v>
      </c>
      <c r="E356" s="171" t="s">
        <v>31834</v>
      </c>
      <c r="F356" s="171" t="s">
        <v>34225</v>
      </c>
      <c r="G356" s="82"/>
      <c r="H356" s="96">
        <f t="shared" si="20"/>
        <v>177.04</v>
      </c>
      <c r="I356" s="96">
        <f t="shared" si="20"/>
        <v>181.25</v>
      </c>
      <c r="J356" s="91" t="str">
        <f t="shared" si="21"/>
        <v>Sinapi 98445</v>
      </c>
      <c r="K356" s="91" t="str">
        <f t="shared" si="22"/>
        <v>M2</v>
      </c>
      <c r="L356" s="166" t="str">
        <f t="shared" si="23"/>
        <v>05/2018</v>
      </c>
      <c r="M356" s="82"/>
      <c r="N356" s="82"/>
    </row>
    <row r="357" spans="1:14" x14ac:dyDescent="0.25">
      <c r="A357" s="170" t="s">
        <v>2346</v>
      </c>
      <c r="B357" s="170" t="s">
        <v>2347</v>
      </c>
      <c r="C357" s="170" t="s">
        <v>870</v>
      </c>
      <c r="D357" s="170" t="s">
        <v>2067</v>
      </c>
      <c r="E357" s="171" t="s">
        <v>31835</v>
      </c>
      <c r="F357" s="171" t="s">
        <v>35248</v>
      </c>
      <c r="G357" s="82"/>
      <c r="H357" s="96">
        <f t="shared" si="20"/>
        <v>222.83</v>
      </c>
      <c r="I357" s="96">
        <f t="shared" si="20"/>
        <v>229.75</v>
      </c>
      <c r="J357" s="91" t="str">
        <f t="shared" si="21"/>
        <v>Sinapi 98446</v>
      </c>
      <c r="K357" s="91" t="str">
        <f t="shared" si="22"/>
        <v>M2</v>
      </c>
      <c r="L357" s="166" t="str">
        <f t="shared" si="23"/>
        <v>05/2018</v>
      </c>
      <c r="M357" s="82"/>
      <c r="N357" s="82"/>
    </row>
    <row r="358" spans="1:14" x14ac:dyDescent="0.25">
      <c r="A358" s="170" t="s">
        <v>2348</v>
      </c>
      <c r="B358" s="170" t="s">
        <v>2349</v>
      </c>
      <c r="C358" s="170" t="s">
        <v>870</v>
      </c>
      <c r="D358" s="170" t="s">
        <v>2067</v>
      </c>
      <c r="E358" s="171" t="s">
        <v>31836</v>
      </c>
      <c r="F358" s="171" t="s">
        <v>35249</v>
      </c>
      <c r="G358" s="82"/>
      <c r="H358" s="96">
        <f t="shared" si="20"/>
        <v>152.91</v>
      </c>
      <c r="I358" s="96">
        <f t="shared" si="20"/>
        <v>155.29</v>
      </c>
      <c r="J358" s="91" t="str">
        <f t="shared" si="21"/>
        <v>Sinapi 98447</v>
      </c>
      <c r="K358" s="91" t="str">
        <f t="shared" si="22"/>
        <v>M2</v>
      </c>
      <c r="L358" s="166" t="str">
        <f t="shared" si="23"/>
        <v>05/2018</v>
      </c>
      <c r="M358" s="82"/>
      <c r="N358" s="82"/>
    </row>
    <row r="359" spans="1:14" x14ac:dyDescent="0.25">
      <c r="A359" s="170" t="s">
        <v>2350</v>
      </c>
      <c r="B359" s="170" t="s">
        <v>2351</v>
      </c>
      <c r="C359" s="170" t="s">
        <v>870</v>
      </c>
      <c r="D359" s="170" t="s">
        <v>2067</v>
      </c>
      <c r="E359" s="171" t="s">
        <v>23219</v>
      </c>
      <c r="F359" s="171" t="s">
        <v>35250</v>
      </c>
      <c r="G359" s="82"/>
      <c r="H359" s="96">
        <f t="shared" si="20"/>
        <v>188.14</v>
      </c>
      <c r="I359" s="96">
        <f t="shared" si="20"/>
        <v>192.43</v>
      </c>
      <c r="J359" s="91" t="str">
        <f t="shared" si="21"/>
        <v>Sinapi 98448</v>
      </c>
      <c r="K359" s="91" t="str">
        <f t="shared" si="22"/>
        <v>M2</v>
      </c>
      <c r="L359" s="166" t="str">
        <f t="shared" si="23"/>
        <v>05/2018</v>
      </c>
      <c r="M359" s="82"/>
      <c r="N359" s="82"/>
    </row>
    <row r="360" spans="1:14" x14ac:dyDescent="0.25">
      <c r="A360" s="170" t="s">
        <v>2352</v>
      </c>
      <c r="B360" s="170" t="s">
        <v>2353</v>
      </c>
      <c r="C360" s="170" t="s">
        <v>870</v>
      </c>
      <c r="D360" s="170" t="s">
        <v>2067</v>
      </c>
      <c r="E360" s="171" t="s">
        <v>31837</v>
      </c>
      <c r="F360" s="171" t="s">
        <v>35251</v>
      </c>
      <c r="G360" s="82"/>
      <c r="H360" s="96">
        <f t="shared" si="20"/>
        <v>207.4</v>
      </c>
      <c r="I360" s="96">
        <f t="shared" si="20"/>
        <v>210.82</v>
      </c>
      <c r="J360" s="91" t="str">
        <f t="shared" si="21"/>
        <v>Sinapi 98449</v>
      </c>
      <c r="K360" s="91" t="str">
        <f t="shared" si="22"/>
        <v>M2</v>
      </c>
      <c r="L360" s="166" t="str">
        <f t="shared" si="23"/>
        <v>05/2018</v>
      </c>
      <c r="M360" s="82"/>
      <c r="N360" s="82"/>
    </row>
    <row r="361" spans="1:14" x14ac:dyDescent="0.25">
      <c r="A361" s="170" t="s">
        <v>2354</v>
      </c>
      <c r="B361" s="170" t="s">
        <v>2355</v>
      </c>
      <c r="C361" s="170" t="s">
        <v>870</v>
      </c>
      <c r="D361" s="170" t="s">
        <v>2067</v>
      </c>
      <c r="E361" s="171" t="s">
        <v>31838</v>
      </c>
      <c r="F361" s="171" t="s">
        <v>29117</v>
      </c>
      <c r="G361" s="82"/>
      <c r="H361" s="96">
        <f t="shared" si="20"/>
        <v>211.88</v>
      </c>
      <c r="I361" s="96">
        <f t="shared" si="20"/>
        <v>215.82</v>
      </c>
      <c r="J361" s="91" t="str">
        <f t="shared" si="21"/>
        <v>Sinapi 98450</v>
      </c>
      <c r="K361" s="91" t="str">
        <f t="shared" si="22"/>
        <v>M2</v>
      </c>
      <c r="L361" s="166" t="str">
        <f t="shared" si="23"/>
        <v>05/2018</v>
      </c>
      <c r="M361" s="82"/>
      <c r="N361" s="82"/>
    </row>
    <row r="362" spans="1:14" x14ac:dyDescent="0.25">
      <c r="A362" s="170" t="s">
        <v>2356</v>
      </c>
      <c r="B362" s="170" t="s">
        <v>2357</v>
      </c>
      <c r="C362" s="170" t="s">
        <v>870</v>
      </c>
      <c r="D362" s="170" t="s">
        <v>2067</v>
      </c>
      <c r="E362" s="171" t="s">
        <v>31839</v>
      </c>
      <c r="F362" s="171" t="s">
        <v>35252</v>
      </c>
      <c r="G362" s="82"/>
      <c r="H362" s="96">
        <f t="shared" si="20"/>
        <v>187.45</v>
      </c>
      <c r="I362" s="96">
        <f t="shared" si="20"/>
        <v>189.2</v>
      </c>
      <c r="J362" s="91" t="str">
        <f t="shared" si="21"/>
        <v>Sinapi 98451</v>
      </c>
      <c r="K362" s="91" t="str">
        <f t="shared" si="22"/>
        <v>M2</v>
      </c>
      <c r="L362" s="166" t="str">
        <f t="shared" si="23"/>
        <v>05/2018</v>
      </c>
      <c r="M362" s="82"/>
      <c r="N362" s="82"/>
    </row>
    <row r="363" spans="1:14" x14ac:dyDescent="0.25">
      <c r="A363" s="170" t="s">
        <v>2358</v>
      </c>
      <c r="B363" s="170" t="s">
        <v>2359</v>
      </c>
      <c r="C363" s="170" t="s">
        <v>870</v>
      </c>
      <c r="D363" s="170" t="s">
        <v>2067</v>
      </c>
      <c r="E363" s="171" t="s">
        <v>31840</v>
      </c>
      <c r="F363" s="171" t="s">
        <v>35253</v>
      </c>
      <c r="G363" s="82"/>
      <c r="H363" s="96">
        <f t="shared" si="20"/>
        <v>190.15</v>
      </c>
      <c r="I363" s="96">
        <f t="shared" si="20"/>
        <v>192.23</v>
      </c>
      <c r="J363" s="91" t="str">
        <f t="shared" si="21"/>
        <v>Sinapi 98452</v>
      </c>
      <c r="K363" s="91" t="str">
        <f t="shared" si="22"/>
        <v>M2</v>
      </c>
      <c r="L363" s="166" t="str">
        <f t="shared" si="23"/>
        <v>05/2018</v>
      </c>
      <c r="M363" s="82"/>
      <c r="N363" s="82"/>
    </row>
    <row r="364" spans="1:14" x14ac:dyDescent="0.25">
      <c r="A364" s="170" t="s">
        <v>2360</v>
      </c>
      <c r="B364" s="170" t="s">
        <v>2361</v>
      </c>
      <c r="C364" s="170" t="s">
        <v>870</v>
      </c>
      <c r="D364" s="170" t="s">
        <v>2067</v>
      </c>
      <c r="E364" s="171" t="s">
        <v>31841</v>
      </c>
      <c r="F364" s="171" t="s">
        <v>35254</v>
      </c>
      <c r="G364" s="82"/>
      <c r="H364" s="96">
        <f t="shared" si="20"/>
        <v>239.86</v>
      </c>
      <c r="I364" s="96">
        <f t="shared" si="20"/>
        <v>245.17</v>
      </c>
      <c r="J364" s="91" t="str">
        <f t="shared" si="21"/>
        <v>Sinapi 98453</v>
      </c>
      <c r="K364" s="91" t="str">
        <f t="shared" si="22"/>
        <v>M2</v>
      </c>
      <c r="L364" s="166" t="str">
        <f t="shared" si="23"/>
        <v>05/2018</v>
      </c>
      <c r="M364" s="82"/>
      <c r="N364" s="82"/>
    </row>
    <row r="365" spans="1:14" x14ac:dyDescent="0.25">
      <c r="A365" s="170" t="s">
        <v>2362</v>
      </c>
      <c r="B365" s="170" t="s">
        <v>2363</v>
      </c>
      <c r="C365" s="170" t="s">
        <v>870</v>
      </c>
      <c r="D365" s="170" t="s">
        <v>2067</v>
      </c>
      <c r="E365" s="171" t="s">
        <v>31842</v>
      </c>
      <c r="F365" s="171" t="s">
        <v>35255</v>
      </c>
      <c r="G365" s="82"/>
      <c r="H365" s="96">
        <f t="shared" si="20"/>
        <v>298.41000000000003</v>
      </c>
      <c r="I365" s="96">
        <f t="shared" si="20"/>
        <v>307.89</v>
      </c>
      <c r="J365" s="91" t="str">
        <f t="shared" si="21"/>
        <v>Sinapi 98454</v>
      </c>
      <c r="K365" s="91" t="str">
        <f t="shared" si="22"/>
        <v>M2</v>
      </c>
      <c r="L365" s="166" t="str">
        <f t="shared" si="23"/>
        <v>05/2018</v>
      </c>
      <c r="M365" s="82"/>
      <c r="N365" s="82"/>
    </row>
    <row r="366" spans="1:14" x14ac:dyDescent="0.25">
      <c r="A366" s="170" t="s">
        <v>2364</v>
      </c>
      <c r="B366" s="170" t="s">
        <v>2365</v>
      </c>
      <c r="C366" s="170" t="s">
        <v>870</v>
      </c>
      <c r="D366" s="170" t="s">
        <v>2067</v>
      </c>
      <c r="E366" s="171" t="s">
        <v>31843</v>
      </c>
      <c r="F366" s="171" t="s">
        <v>35228</v>
      </c>
      <c r="G366" s="82"/>
      <c r="H366" s="96">
        <f t="shared" si="20"/>
        <v>213.1</v>
      </c>
      <c r="I366" s="96">
        <f t="shared" si="20"/>
        <v>216.27</v>
      </c>
      <c r="J366" s="91" t="str">
        <f t="shared" si="21"/>
        <v>Sinapi 98455</v>
      </c>
      <c r="K366" s="91" t="str">
        <f t="shared" si="22"/>
        <v>M2</v>
      </c>
      <c r="L366" s="166" t="str">
        <f t="shared" si="23"/>
        <v>05/2018</v>
      </c>
      <c r="M366" s="82"/>
      <c r="N366" s="82"/>
    </row>
    <row r="367" spans="1:14" x14ac:dyDescent="0.25">
      <c r="A367" s="170" t="s">
        <v>2366</v>
      </c>
      <c r="B367" s="170" t="s">
        <v>2367</v>
      </c>
      <c r="C367" s="170" t="s">
        <v>870</v>
      </c>
      <c r="D367" s="170" t="s">
        <v>2067</v>
      </c>
      <c r="E367" s="171" t="s">
        <v>31844</v>
      </c>
      <c r="F367" s="171" t="s">
        <v>35256</v>
      </c>
      <c r="G367" s="82"/>
      <c r="H367" s="96">
        <f t="shared" si="20"/>
        <v>260.20999999999998</v>
      </c>
      <c r="I367" s="96">
        <f t="shared" si="20"/>
        <v>266.64999999999998</v>
      </c>
      <c r="J367" s="91" t="str">
        <f t="shared" si="21"/>
        <v>Sinapi 98456</v>
      </c>
      <c r="K367" s="91" t="str">
        <f t="shared" si="22"/>
        <v>M2</v>
      </c>
      <c r="L367" s="166" t="str">
        <f t="shared" si="23"/>
        <v>05/2018</v>
      </c>
      <c r="M367" s="82"/>
      <c r="N367" s="82"/>
    </row>
    <row r="368" spans="1:14" x14ac:dyDescent="0.25">
      <c r="A368" s="170" t="s">
        <v>2368</v>
      </c>
      <c r="B368" s="170" t="s">
        <v>2369</v>
      </c>
      <c r="C368" s="170" t="s">
        <v>870</v>
      </c>
      <c r="D368" s="170" t="s">
        <v>2067</v>
      </c>
      <c r="E368" s="171" t="s">
        <v>31845</v>
      </c>
      <c r="F368" s="171" t="s">
        <v>35257</v>
      </c>
      <c r="G368" s="82"/>
      <c r="H368" s="96">
        <f t="shared" si="20"/>
        <v>144.74</v>
      </c>
      <c r="I368" s="96">
        <f t="shared" si="20"/>
        <v>147.08000000000001</v>
      </c>
      <c r="J368" s="91" t="str">
        <f t="shared" si="21"/>
        <v>Sinapi 98458</v>
      </c>
      <c r="K368" s="91" t="str">
        <f t="shared" si="22"/>
        <v>M2</v>
      </c>
      <c r="L368" s="166" t="str">
        <f t="shared" si="23"/>
        <v>05/2018</v>
      </c>
      <c r="M368" s="82"/>
      <c r="N368" s="82"/>
    </row>
    <row r="369" spans="1:14" x14ac:dyDescent="0.25">
      <c r="A369" s="170" t="s">
        <v>2370</v>
      </c>
      <c r="B369" s="170" t="s">
        <v>2371</v>
      </c>
      <c r="C369" s="170" t="s">
        <v>870</v>
      </c>
      <c r="D369" s="170" t="s">
        <v>2067</v>
      </c>
      <c r="E369" s="171" t="s">
        <v>28796</v>
      </c>
      <c r="F369" s="171" t="s">
        <v>35258</v>
      </c>
      <c r="G369" s="82"/>
      <c r="H369" s="96">
        <f t="shared" si="20"/>
        <v>101.15</v>
      </c>
      <c r="I369" s="96">
        <f t="shared" si="20"/>
        <v>103.31</v>
      </c>
      <c r="J369" s="91" t="str">
        <f t="shared" si="21"/>
        <v>Sinapi 98459</v>
      </c>
      <c r="K369" s="91" t="str">
        <f t="shared" si="22"/>
        <v>M2</v>
      </c>
      <c r="L369" s="166" t="str">
        <f t="shared" si="23"/>
        <v>05/2018</v>
      </c>
      <c r="M369" s="82"/>
      <c r="N369" s="82"/>
    </row>
    <row r="370" spans="1:14" x14ac:dyDescent="0.25">
      <c r="A370" s="170" t="s">
        <v>2372</v>
      </c>
      <c r="B370" s="170" t="s">
        <v>2373</v>
      </c>
      <c r="C370" s="170" t="s">
        <v>870</v>
      </c>
      <c r="D370" s="170" t="s">
        <v>2067</v>
      </c>
      <c r="E370" s="171" t="s">
        <v>31846</v>
      </c>
      <c r="F370" s="171" t="s">
        <v>35259</v>
      </c>
      <c r="G370" s="82"/>
      <c r="H370" s="96">
        <f t="shared" si="20"/>
        <v>191.24</v>
      </c>
      <c r="I370" s="96">
        <f t="shared" si="20"/>
        <v>192.22</v>
      </c>
      <c r="J370" s="91" t="str">
        <f t="shared" si="21"/>
        <v>Sinapi 98460</v>
      </c>
      <c r="K370" s="91" t="str">
        <f t="shared" si="22"/>
        <v>M2</v>
      </c>
      <c r="L370" s="166" t="str">
        <f t="shared" si="23"/>
        <v>05/2018</v>
      </c>
      <c r="M370" s="82"/>
      <c r="N370" s="82"/>
    </row>
    <row r="371" spans="1:14" x14ac:dyDescent="0.25">
      <c r="A371" s="170" t="s">
        <v>2374</v>
      </c>
      <c r="B371" s="170" t="s">
        <v>18620</v>
      </c>
      <c r="C371" s="170" t="s">
        <v>205</v>
      </c>
      <c r="D371" s="170" t="s">
        <v>1947</v>
      </c>
      <c r="E371" s="171" t="s">
        <v>31847</v>
      </c>
      <c r="F371" s="171" t="s">
        <v>35260</v>
      </c>
      <c r="G371" s="82"/>
      <c r="H371" s="96">
        <f t="shared" si="20"/>
        <v>5371.31</v>
      </c>
      <c r="I371" s="96">
        <f t="shared" si="20"/>
        <v>5399.64</v>
      </c>
      <c r="J371" s="91" t="str">
        <f t="shared" si="21"/>
        <v>Sinapi 98461</v>
      </c>
      <c r="K371" s="91" t="str">
        <f t="shared" si="22"/>
        <v>UN</v>
      </c>
      <c r="L371" s="166" t="str">
        <f t="shared" si="23"/>
        <v>05/2018</v>
      </c>
      <c r="M371" s="82"/>
      <c r="N371" s="82"/>
    </row>
    <row r="372" spans="1:14" x14ac:dyDescent="0.25">
      <c r="A372" s="170" t="s">
        <v>2375</v>
      </c>
      <c r="B372" s="170" t="s">
        <v>18621</v>
      </c>
      <c r="C372" s="170" t="s">
        <v>205</v>
      </c>
      <c r="D372" s="170" t="s">
        <v>1947</v>
      </c>
      <c r="E372" s="171" t="s">
        <v>31848</v>
      </c>
      <c r="F372" s="171" t="s">
        <v>35261</v>
      </c>
      <c r="G372" s="82"/>
      <c r="H372" s="96">
        <f t="shared" si="20"/>
        <v>8158.62</v>
      </c>
      <c r="I372" s="96">
        <f t="shared" si="20"/>
        <v>8201.74</v>
      </c>
      <c r="J372" s="91" t="str">
        <f t="shared" si="21"/>
        <v>Sinapi 98462</v>
      </c>
      <c r="K372" s="91" t="str">
        <f t="shared" si="22"/>
        <v>UN</v>
      </c>
      <c r="L372" s="166" t="str">
        <f t="shared" si="23"/>
        <v>05/2018</v>
      </c>
      <c r="M372" s="82"/>
      <c r="N372" s="82"/>
    </row>
    <row r="373" spans="1:14" x14ac:dyDescent="0.25">
      <c r="A373" s="170" t="s">
        <v>2376</v>
      </c>
      <c r="B373" s="170" t="s">
        <v>2377</v>
      </c>
      <c r="C373" s="170" t="s">
        <v>814</v>
      </c>
      <c r="D373" s="170" t="s">
        <v>1947</v>
      </c>
      <c r="E373" s="171" t="s">
        <v>30804</v>
      </c>
      <c r="F373" s="171" t="s">
        <v>35262</v>
      </c>
      <c r="G373" s="82"/>
      <c r="H373" s="96">
        <f t="shared" si="20"/>
        <v>212.64</v>
      </c>
      <c r="I373" s="96">
        <f t="shared" si="20"/>
        <v>216.13</v>
      </c>
      <c r="J373" s="91" t="str">
        <f t="shared" si="21"/>
        <v>Sinapi 5631</v>
      </c>
      <c r="K373" s="91" t="str">
        <f t="shared" si="22"/>
        <v>CHP</v>
      </c>
      <c r="L373" s="166" t="str">
        <f t="shared" si="23"/>
        <v>06/2014</v>
      </c>
      <c r="M373" s="82"/>
      <c r="N373" s="82"/>
    </row>
    <row r="374" spans="1:14" x14ac:dyDescent="0.25">
      <c r="A374" s="170" t="s">
        <v>2378</v>
      </c>
      <c r="B374" s="170" t="s">
        <v>2379</v>
      </c>
      <c r="C374" s="170" t="s">
        <v>814</v>
      </c>
      <c r="D374" s="170" t="s">
        <v>1947</v>
      </c>
      <c r="E374" s="171" t="s">
        <v>31849</v>
      </c>
      <c r="F374" s="171" t="s">
        <v>35263</v>
      </c>
      <c r="G374" s="82"/>
      <c r="H374" s="96">
        <f t="shared" si="20"/>
        <v>142.12</v>
      </c>
      <c r="I374" s="96">
        <f t="shared" si="20"/>
        <v>145.61000000000001</v>
      </c>
      <c r="J374" s="91" t="str">
        <f t="shared" si="21"/>
        <v>Sinapi 5678</v>
      </c>
      <c r="K374" s="91" t="str">
        <f t="shared" si="22"/>
        <v>CHP</v>
      </c>
      <c r="L374" s="166" t="str">
        <f t="shared" si="23"/>
        <v>06/2014</v>
      </c>
      <c r="M374" s="82"/>
      <c r="N374" s="82"/>
    </row>
    <row r="375" spans="1:14" x14ac:dyDescent="0.25">
      <c r="A375" s="170" t="s">
        <v>2380</v>
      </c>
      <c r="B375" s="170" t="s">
        <v>2381</v>
      </c>
      <c r="C375" s="170" t="s">
        <v>814</v>
      </c>
      <c r="D375" s="170" t="s">
        <v>1947</v>
      </c>
      <c r="E375" s="171" t="s">
        <v>31850</v>
      </c>
      <c r="F375" s="171" t="s">
        <v>25193</v>
      </c>
      <c r="G375" s="82"/>
      <c r="H375" s="96">
        <f t="shared" si="20"/>
        <v>129.88</v>
      </c>
      <c r="I375" s="96">
        <f t="shared" si="20"/>
        <v>133.37</v>
      </c>
      <c r="J375" s="91" t="str">
        <f t="shared" si="21"/>
        <v>Sinapi 5680</v>
      </c>
      <c r="K375" s="91" t="str">
        <f t="shared" si="22"/>
        <v>CHP</v>
      </c>
      <c r="L375" s="166" t="str">
        <f t="shared" si="23"/>
        <v>06/2014</v>
      </c>
      <c r="M375" s="82"/>
      <c r="N375" s="82"/>
    </row>
    <row r="376" spans="1:14" x14ac:dyDescent="0.25">
      <c r="A376" s="170" t="s">
        <v>2382</v>
      </c>
      <c r="B376" s="170" t="s">
        <v>2383</v>
      </c>
      <c r="C376" s="170" t="s">
        <v>814</v>
      </c>
      <c r="D376" s="170" t="s">
        <v>1947</v>
      </c>
      <c r="E376" s="171" t="s">
        <v>31851</v>
      </c>
      <c r="F376" s="171" t="s">
        <v>35264</v>
      </c>
      <c r="G376" s="82"/>
      <c r="H376" s="96">
        <f t="shared" si="20"/>
        <v>163.44</v>
      </c>
      <c r="I376" s="96">
        <f t="shared" si="20"/>
        <v>165.89</v>
      </c>
      <c r="J376" s="91" t="str">
        <f t="shared" si="21"/>
        <v>Sinapi 5684</v>
      </c>
      <c r="K376" s="91" t="str">
        <f t="shared" si="22"/>
        <v>CHP</v>
      </c>
      <c r="L376" s="166" t="str">
        <f t="shared" si="23"/>
        <v>06/2014</v>
      </c>
      <c r="M376" s="82"/>
      <c r="N376" s="82"/>
    </row>
    <row r="377" spans="1:14" x14ac:dyDescent="0.25">
      <c r="A377" s="170" t="s">
        <v>2384</v>
      </c>
      <c r="B377" s="170" t="s">
        <v>2385</v>
      </c>
      <c r="C377" s="170" t="s">
        <v>814</v>
      </c>
      <c r="D377" s="170" t="s">
        <v>1947</v>
      </c>
      <c r="E377" s="171" t="s">
        <v>18564</v>
      </c>
      <c r="F377" s="171" t="s">
        <v>18564</v>
      </c>
      <c r="G377" s="82"/>
      <c r="H377" s="96">
        <f t="shared" si="20"/>
        <v>6.98</v>
      </c>
      <c r="I377" s="96">
        <f t="shared" si="20"/>
        <v>6.98</v>
      </c>
      <c r="J377" s="91" t="str">
        <f t="shared" si="21"/>
        <v>Sinapi 5689</v>
      </c>
      <c r="K377" s="91" t="str">
        <f t="shared" si="22"/>
        <v>CHP</v>
      </c>
      <c r="L377" s="166" t="str">
        <f t="shared" si="23"/>
        <v>06/2014</v>
      </c>
      <c r="M377" s="82"/>
      <c r="N377" s="82"/>
    </row>
    <row r="378" spans="1:14" x14ac:dyDescent="0.25">
      <c r="A378" s="170" t="s">
        <v>2386</v>
      </c>
      <c r="B378" s="170" t="s">
        <v>975</v>
      </c>
      <c r="C378" s="170" t="s">
        <v>814</v>
      </c>
      <c r="D378" s="170" t="s">
        <v>1947</v>
      </c>
      <c r="E378" s="171" t="s">
        <v>20127</v>
      </c>
      <c r="F378" s="171" t="s">
        <v>17970</v>
      </c>
      <c r="G378" s="82"/>
      <c r="H378" s="96">
        <f t="shared" si="20"/>
        <v>23.65</v>
      </c>
      <c r="I378" s="96">
        <f t="shared" si="20"/>
        <v>26.04</v>
      </c>
      <c r="J378" s="91" t="str">
        <f t="shared" si="21"/>
        <v>Sinapi 5795</v>
      </c>
      <c r="K378" s="91" t="str">
        <f t="shared" si="22"/>
        <v>CHP</v>
      </c>
      <c r="L378" s="166" t="str">
        <f t="shared" si="23"/>
        <v>07/2016</v>
      </c>
      <c r="M378" s="82"/>
      <c r="N378" s="82"/>
    </row>
    <row r="379" spans="1:14" x14ac:dyDescent="0.25">
      <c r="A379" s="170" t="s">
        <v>2387</v>
      </c>
      <c r="B379" s="170" t="s">
        <v>967</v>
      </c>
      <c r="C379" s="170" t="s">
        <v>814</v>
      </c>
      <c r="D379" s="170" t="s">
        <v>1947</v>
      </c>
      <c r="E379" s="171" t="s">
        <v>31852</v>
      </c>
      <c r="F379" s="171" t="s">
        <v>35265</v>
      </c>
      <c r="G379" s="82"/>
      <c r="H379" s="96">
        <f t="shared" si="20"/>
        <v>212.03</v>
      </c>
      <c r="I379" s="96">
        <f t="shared" si="20"/>
        <v>214.93</v>
      </c>
      <c r="J379" s="91" t="str">
        <f t="shared" si="21"/>
        <v>Sinapi 5811</v>
      </c>
      <c r="K379" s="91" t="str">
        <f t="shared" si="22"/>
        <v>CHP</v>
      </c>
      <c r="L379" s="166" t="str">
        <f t="shared" si="23"/>
        <v>06/2014</v>
      </c>
      <c r="M379" s="82"/>
      <c r="N379" s="82"/>
    </row>
    <row r="380" spans="1:14" x14ac:dyDescent="0.25">
      <c r="A380" s="170" t="s">
        <v>2388</v>
      </c>
      <c r="B380" s="170" t="s">
        <v>2389</v>
      </c>
      <c r="C380" s="170" t="s">
        <v>814</v>
      </c>
      <c r="D380" s="170" t="s">
        <v>1947</v>
      </c>
      <c r="E380" s="171" t="s">
        <v>28629</v>
      </c>
      <c r="F380" s="171" t="s">
        <v>35266</v>
      </c>
      <c r="G380" s="82"/>
      <c r="H380" s="96">
        <f t="shared" si="20"/>
        <v>199.33</v>
      </c>
      <c r="I380" s="96">
        <f t="shared" si="20"/>
        <v>209.78</v>
      </c>
      <c r="J380" s="91" t="str">
        <f t="shared" si="21"/>
        <v>Sinapi 5823</v>
      </c>
      <c r="K380" s="91" t="str">
        <f t="shared" si="22"/>
        <v>CHP</v>
      </c>
      <c r="L380" s="166" t="str">
        <f t="shared" si="23"/>
        <v>07/2016</v>
      </c>
      <c r="M380" s="82"/>
      <c r="N380" s="82"/>
    </row>
    <row r="381" spans="1:14" x14ac:dyDescent="0.25">
      <c r="A381" s="170" t="s">
        <v>2390</v>
      </c>
      <c r="B381" s="170" t="s">
        <v>1165</v>
      </c>
      <c r="C381" s="170" t="s">
        <v>814</v>
      </c>
      <c r="D381" s="170" t="s">
        <v>1947</v>
      </c>
      <c r="E381" s="171" t="s">
        <v>31853</v>
      </c>
      <c r="F381" s="171" t="s">
        <v>35267</v>
      </c>
      <c r="G381" s="82"/>
      <c r="H381" s="96">
        <f t="shared" si="20"/>
        <v>226.07</v>
      </c>
      <c r="I381" s="96">
        <f t="shared" si="20"/>
        <v>228.85</v>
      </c>
      <c r="J381" s="91" t="str">
        <f t="shared" si="21"/>
        <v>Sinapi 5824</v>
      </c>
      <c r="K381" s="91" t="str">
        <f t="shared" si="22"/>
        <v>CHP</v>
      </c>
      <c r="L381" s="166" t="str">
        <f t="shared" si="23"/>
        <v>06/2014</v>
      </c>
      <c r="M381" s="82"/>
      <c r="N381" s="82"/>
    </row>
    <row r="382" spans="1:14" x14ac:dyDescent="0.25">
      <c r="A382" s="170" t="s">
        <v>2391</v>
      </c>
      <c r="B382" s="170" t="s">
        <v>1152</v>
      </c>
      <c r="C382" s="170" t="s">
        <v>814</v>
      </c>
      <c r="D382" s="170" t="s">
        <v>1947</v>
      </c>
      <c r="E382" s="171" t="s">
        <v>31854</v>
      </c>
      <c r="F382" s="171" t="s">
        <v>35268</v>
      </c>
      <c r="G382" s="82"/>
      <c r="H382" s="96">
        <f t="shared" si="20"/>
        <v>404.95</v>
      </c>
      <c r="I382" s="96">
        <f t="shared" si="20"/>
        <v>408.28</v>
      </c>
      <c r="J382" s="91" t="str">
        <f t="shared" si="21"/>
        <v>Sinapi 5835</v>
      </c>
      <c r="K382" s="91" t="str">
        <f t="shared" si="22"/>
        <v>CHP</v>
      </c>
      <c r="L382" s="166" t="str">
        <f t="shared" si="23"/>
        <v>11/2014</v>
      </c>
      <c r="M382" s="82"/>
      <c r="N382" s="82"/>
    </row>
    <row r="383" spans="1:14" x14ac:dyDescent="0.25">
      <c r="A383" s="170" t="s">
        <v>2392</v>
      </c>
      <c r="B383" s="170" t="s">
        <v>1151</v>
      </c>
      <c r="C383" s="170" t="s">
        <v>814</v>
      </c>
      <c r="D383" s="170" t="s">
        <v>1947</v>
      </c>
      <c r="E383" s="171" t="s">
        <v>15560</v>
      </c>
      <c r="F383" s="171" t="s">
        <v>15560</v>
      </c>
      <c r="G383" s="82"/>
      <c r="H383" s="96">
        <f t="shared" si="20"/>
        <v>10.3</v>
      </c>
      <c r="I383" s="96">
        <f t="shared" si="20"/>
        <v>10.3</v>
      </c>
      <c r="J383" s="91" t="str">
        <f t="shared" si="21"/>
        <v>Sinapi 5839</v>
      </c>
      <c r="K383" s="91" t="str">
        <f t="shared" si="22"/>
        <v>CHP</v>
      </c>
      <c r="L383" s="166" t="str">
        <f t="shared" si="23"/>
        <v>06/2014</v>
      </c>
      <c r="M383" s="82"/>
      <c r="N383" s="82"/>
    </row>
    <row r="384" spans="1:14" x14ac:dyDescent="0.25">
      <c r="A384" s="170" t="s">
        <v>2393</v>
      </c>
      <c r="B384" s="170" t="s">
        <v>2394</v>
      </c>
      <c r="C384" s="170" t="s">
        <v>814</v>
      </c>
      <c r="D384" s="170" t="s">
        <v>1947</v>
      </c>
      <c r="E384" s="171" t="s">
        <v>29405</v>
      </c>
      <c r="F384" s="171" t="s">
        <v>34894</v>
      </c>
      <c r="G384" s="82"/>
      <c r="H384" s="96">
        <f t="shared" si="20"/>
        <v>174.3</v>
      </c>
      <c r="I384" s="96">
        <f t="shared" si="20"/>
        <v>176.95</v>
      </c>
      <c r="J384" s="91" t="str">
        <f t="shared" si="21"/>
        <v>Sinapi 5843</v>
      </c>
      <c r="K384" s="91" t="str">
        <f t="shared" si="22"/>
        <v>CHP</v>
      </c>
      <c r="L384" s="166" t="str">
        <f t="shared" si="23"/>
        <v>06/2014</v>
      </c>
      <c r="M384" s="82"/>
      <c r="N384" s="82"/>
    </row>
    <row r="385" spans="1:14" x14ac:dyDescent="0.25">
      <c r="A385" s="170" t="s">
        <v>2395</v>
      </c>
      <c r="B385" s="170" t="s">
        <v>2396</v>
      </c>
      <c r="C385" s="170" t="s">
        <v>814</v>
      </c>
      <c r="D385" s="170" t="s">
        <v>1947</v>
      </c>
      <c r="E385" s="171" t="s">
        <v>31855</v>
      </c>
      <c r="F385" s="171" t="s">
        <v>35269</v>
      </c>
      <c r="G385" s="82"/>
      <c r="H385" s="96">
        <f t="shared" si="20"/>
        <v>263.75</v>
      </c>
      <c r="I385" s="96">
        <f t="shared" si="20"/>
        <v>266.39999999999998</v>
      </c>
      <c r="J385" s="91" t="str">
        <f t="shared" si="21"/>
        <v>Sinapi 5847</v>
      </c>
      <c r="K385" s="91" t="str">
        <f t="shared" si="22"/>
        <v>CHP</v>
      </c>
      <c r="L385" s="166" t="str">
        <f t="shared" si="23"/>
        <v>06/2014</v>
      </c>
      <c r="M385" s="82"/>
      <c r="N385" s="82"/>
    </row>
    <row r="386" spans="1:14" x14ac:dyDescent="0.25">
      <c r="A386" s="170" t="s">
        <v>2397</v>
      </c>
      <c r="B386" s="170" t="s">
        <v>2398</v>
      </c>
      <c r="C386" s="170" t="s">
        <v>814</v>
      </c>
      <c r="D386" s="170" t="s">
        <v>1947</v>
      </c>
      <c r="E386" s="171" t="s">
        <v>31856</v>
      </c>
      <c r="F386" s="171" t="s">
        <v>35270</v>
      </c>
      <c r="G386" s="82"/>
      <c r="H386" s="96">
        <f t="shared" si="20"/>
        <v>250.61</v>
      </c>
      <c r="I386" s="96">
        <f t="shared" si="20"/>
        <v>253.26</v>
      </c>
      <c r="J386" s="91" t="str">
        <f t="shared" si="21"/>
        <v>Sinapi 5851</v>
      </c>
      <c r="K386" s="91" t="str">
        <f t="shared" si="22"/>
        <v>CHP</v>
      </c>
      <c r="L386" s="166" t="str">
        <f t="shared" si="23"/>
        <v>06/2014</v>
      </c>
      <c r="M386" s="82"/>
      <c r="N386" s="82"/>
    </row>
    <row r="387" spans="1:14" x14ac:dyDescent="0.25">
      <c r="A387" s="170" t="s">
        <v>2399</v>
      </c>
      <c r="B387" s="170" t="s">
        <v>2400</v>
      </c>
      <c r="C387" s="170" t="s">
        <v>814</v>
      </c>
      <c r="D387" s="170" t="s">
        <v>1947</v>
      </c>
      <c r="E387" s="171" t="s">
        <v>31857</v>
      </c>
      <c r="F387" s="171" t="s">
        <v>35271</v>
      </c>
      <c r="G387" s="82"/>
      <c r="H387" s="96">
        <f t="shared" si="20"/>
        <v>670.7</v>
      </c>
      <c r="I387" s="96">
        <f t="shared" si="20"/>
        <v>673.35</v>
      </c>
      <c r="J387" s="91" t="str">
        <f t="shared" si="21"/>
        <v>Sinapi 5855</v>
      </c>
      <c r="K387" s="91" t="str">
        <f t="shared" si="22"/>
        <v>CHP</v>
      </c>
      <c r="L387" s="166" t="str">
        <f t="shared" si="23"/>
        <v>06/2014</v>
      </c>
      <c r="M387" s="82"/>
      <c r="N387" s="82"/>
    </row>
    <row r="388" spans="1:14" x14ac:dyDescent="0.25">
      <c r="A388" s="170" t="s">
        <v>2401</v>
      </c>
      <c r="B388" s="170" t="s">
        <v>2402</v>
      </c>
      <c r="C388" s="170" t="s">
        <v>814</v>
      </c>
      <c r="D388" s="170" t="s">
        <v>1947</v>
      </c>
      <c r="E388" s="171" t="s">
        <v>15650</v>
      </c>
      <c r="F388" s="171" t="s">
        <v>15650</v>
      </c>
      <c r="G388" s="82"/>
      <c r="H388" s="96">
        <f t="shared" si="20"/>
        <v>23.91</v>
      </c>
      <c r="I388" s="96">
        <f t="shared" si="20"/>
        <v>23.91</v>
      </c>
      <c r="J388" s="91" t="str">
        <f t="shared" si="21"/>
        <v>Sinapi 5863</v>
      </c>
      <c r="K388" s="91" t="str">
        <f t="shared" si="22"/>
        <v>CHP</v>
      </c>
      <c r="L388" s="166" t="str">
        <f t="shared" si="23"/>
        <v>02/2016</v>
      </c>
      <c r="M388" s="82"/>
      <c r="N388" s="82"/>
    </row>
    <row r="389" spans="1:14" x14ac:dyDescent="0.25">
      <c r="A389" s="170" t="s">
        <v>2403</v>
      </c>
      <c r="B389" s="170" t="s">
        <v>2404</v>
      </c>
      <c r="C389" s="170" t="s">
        <v>814</v>
      </c>
      <c r="D389" s="170" t="s">
        <v>1947</v>
      </c>
      <c r="E389" s="171" t="s">
        <v>31858</v>
      </c>
      <c r="F389" s="171" t="s">
        <v>29094</v>
      </c>
      <c r="G389" s="82"/>
      <c r="H389" s="96">
        <f t="shared" si="20"/>
        <v>163.41999999999999</v>
      </c>
      <c r="I389" s="96">
        <f t="shared" si="20"/>
        <v>165.87</v>
      </c>
      <c r="J389" s="91" t="str">
        <f t="shared" si="21"/>
        <v>Sinapi 5867</v>
      </c>
      <c r="K389" s="91" t="str">
        <f t="shared" si="22"/>
        <v>CHP</v>
      </c>
      <c r="L389" s="166" t="str">
        <f t="shared" si="23"/>
        <v>06/2014</v>
      </c>
      <c r="M389" s="82"/>
      <c r="N389" s="82"/>
    </row>
    <row r="390" spans="1:14" x14ac:dyDescent="0.25">
      <c r="A390" s="170" t="s">
        <v>2405</v>
      </c>
      <c r="B390" s="170" t="s">
        <v>2406</v>
      </c>
      <c r="C390" s="170" t="s">
        <v>814</v>
      </c>
      <c r="D390" s="170" t="s">
        <v>1947</v>
      </c>
      <c r="E390" s="171" t="s">
        <v>31859</v>
      </c>
      <c r="F390" s="171" t="s">
        <v>35272</v>
      </c>
      <c r="G390" s="82"/>
      <c r="H390" s="96">
        <f t="shared" si="20"/>
        <v>129.77000000000001</v>
      </c>
      <c r="I390" s="96">
        <f t="shared" si="20"/>
        <v>133.26</v>
      </c>
      <c r="J390" s="91" t="str">
        <f t="shared" si="21"/>
        <v>Sinapi 5875</v>
      </c>
      <c r="K390" s="91" t="str">
        <f t="shared" si="22"/>
        <v>CHP</v>
      </c>
      <c r="L390" s="166" t="str">
        <f t="shared" si="23"/>
        <v>06/2014</v>
      </c>
      <c r="M390" s="82"/>
      <c r="N390" s="82"/>
    </row>
    <row r="391" spans="1:14" x14ac:dyDescent="0.25">
      <c r="A391" s="170" t="s">
        <v>2407</v>
      </c>
      <c r="B391" s="170" t="s">
        <v>2408</v>
      </c>
      <c r="C391" s="170" t="s">
        <v>814</v>
      </c>
      <c r="D391" s="170" t="s">
        <v>1947</v>
      </c>
      <c r="E391" s="171" t="s">
        <v>31860</v>
      </c>
      <c r="F391" s="171" t="s">
        <v>28634</v>
      </c>
      <c r="G391" s="82"/>
      <c r="H391" s="96">
        <f t="shared" si="20"/>
        <v>142.28</v>
      </c>
      <c r="I391" s="96">
        <f t="shared" si="20"/>
        <v>144.72999999999999</v>
      </c>
      <c r="J391" s="91" t="str">
        <f t="shared" si="21"/>
        <v>Sinapi 5879</v>
      </c>
      <c r="K391" s="91" t="str">
        <f t="shared" si="22"/>
        <v>CHP</v>
      </c>
      <c r="L391" s="166" t="str">
        <f t="shared" si="23"/>
        <v>02/2016</v>
      </c>
      <c r="M391" s="82"/>
      <c r="N391" s="82"/>
    </row>
    <row r="392" spans="1:14" x14ac:dyDescent="0.25">
      <c r="A392" s="170" t="s">
        <v>2409</v>
      </c>
      <c r="B392" s="170" t="s">
        <v>2410</v>
      </c>
      <c r="C392" s="170" t="s">
        <v>814</v>
      </c>
      <c r="D392" s="170" t="s">
        <v>1947</v>
      </c>
      <c r="E392" s="171" t="s">
        <v>31861</v>
      </c>
      <c r="F392" s="171" t="s">
        <v>35273</v>
      </c>
      <c r="G392" s="82"/>
      <c r="H392" s="96">
        <f t="shared" ref="H392:I455" si="24">IF(E392="","",E392+0)</f>
        <v>123.93</v>
      </c>
      <c r="I392" s="96">
        <f t="shared" si="24"/>
        <v>125.83</v>
      </c>
      <c r="J392" s="91" t="str">
        <f t="shared" ref="J392:J455" si="25">IF(OR(H392="",I392=""),"",TRIM(CONCATENATE("Sinapi ",A392)))</f>
        <v>Sinapi 5882</v>
      </c>
      <c r="K392" s="91" t="str">
        <f t="shared" ref="K392:K455" si="26">TRIM(C392)</f>
        <v>CHP</v>
      </c>
      <c r="L392" s="166" t="str">
        <f t="shared" ref="L392:L455" si="27">IF(OR(RIGHT(IF(AND(K392&lt;&gt;"H",K392&lt;&gt;"MES"),RIGHT(B392,7),""),2)="PS",RIGHT(IF(AND(K392&lt;&gt;"H",K392&lt;&gt;"MES"),RIGHT(B392,7),""),2)="PA",RIGHT(IF(AND(K392&lt;&gt;"H",K392&lt;&gt;"MES"),RIGHT(B392,7),""),2)="PE"),LEFT(IF(AND(K392&lt;&gt;"H",K392&lt;&gt;"MES"),RIGHT(B392,10),""),7),IF(AND(K392&lt;&gt;"H",K392&lt;&gt;"MES"),RIGHT(B392,7),""))</f>
        <v>10/2014</v>
      </c>
      <c r="M392" s="82"/>
      <c r="N392" s="82"/>
    </row>
    <row r="393" spans="1:14" x14ac:dyDescent="0.25">
      <c r="A393" s="170" t="s">
        <v>2411</v>
      </c>
      <c r="B393" s="170" t="s">
        <v>2412</v>
      </c>
      <c r="C393" s="170" t="s">
        <v>814</v>
      </c>
      <c r="D393" s="170" t="s">
        <v>1947</v>
      </c>
      <c r="E393" s="171" t="s">
        <v>31862</v>
      </c>
      <c r="F393" s="171" t="s">
        <v>28761</v>
      </c>
      <c r="G393" s="82"/>
      <c r="H393" s="96">
        <f t="shared" si="24"/>
        <v>212.89</v>
      </c>
      <c r="I393" s="96">
        <f t="shared" si="24"/>
        <v>215.67</v>
      </c>
      <c r="J393" s="91" t="str">
        <f t="shared" si="25"/>
        <v>Sinapi 5890</v>
      </c>
      <c r="K393" s="91" t="str">
        <f t="shared" si="26"/>
        <v>CHP</v>
      </c>
      <c r="L393" s="166" t="str">
        <f t="shared" si="27"/>
        <v>06/2014</v>
      </c>
      <c r="M393" s="82"/>
      <c r="N393" s="82"/>
    </row>
    <row r="394" spans="1:14" x14ac:dyDescent="0.25">
      <c r="A394" s="170" t="s">
        <v>2413</v>
      </c>
      <c r="B394" s="170" t="s">
        <v>2414</v>
      </c>
      <c r="C394" s="170" t="s">
        <v>814</v>
      </c>
      <c r="D394" s="170" t="s">
        <v>1947</v>
      </c>
      <c r="E394" s="171" t="s">
        <v>31863</v>
      </c>
      <c r="F394" s="171" t="s">
        <v>35274</v>
      </c>
      <c r="G394" s="82"/>
      <c r="H394" s="96">
        <f t="shared" si="24"/>
        <v>221.85</v>
      </c>
      <c r="I394" s="96">
        <f t="shared" si="24"/>
        <v>224.63</v>
      </c>
      <c r="J394" s="91" t="str">
        <f t="shared" si="25"/>
        <v>Sinapi 5894</v>
      </c>
      <c r="K394" s="91" t="str">
        <f t="shared" si="26"/>
        <v>CHP</v>
      </c>
      <c r="L394" s="166" t="str">
        <f t="shared" si="27"/>
        <v>06/2014</v>
      </c>
      <c r="M394" s="82"/>
      <c r="N394" s="82"/>
    </row>
    <row r="395" spans="1:14" x14ac:dyDescent="0.25">
      <c r="A395" s="170" t="s">
        <v>2415</v>
      </c>
      <c r="B395" s="170" t="s">
        <v>818</v>
      </c>
      <c r="C395" s="170" t="s">
        <v>814</v>
      </c>
      <c r="D395" s="170" t="s">
        <v>1947</v>
      </c>
      <c r="E395" s="171" t="s">
        <v>31864</v>
      </c>
      <c r="F395" s="171" t="s">
        <v>35275</v>
      </c>
      <c r="G395" s="82"/>
      <c r="H395" s="96">
        <f t="shared" si="24"/>
        <v>336.39</v>
      </c>
      <c r="I395" s="96">
        <f t="shared" si="24"/>
        <v>339.17</v>
      </c>
      <c r="J395" s="91" t="str">
        <f t="shared" si="25"/>
        <v>Sinapi 5901</v>
      </c>
      <c r="K395" s="91" t="str">
        <f t="shared" si="26"/>
        <v>CHP</v>
      </c>
      <c r="L395" s="166" t="str">
        <f t="shared" si="27"/>
        <v>06/2014</v>
      </c>
      <c r="M395" s="82"/>
      <c r="N395" s="82"/>
    </row>
    <row r="396" spans="1:14" x14ac:dyDescent="0.25">
      <c r="A396" s="170" t="s">
        <v>2416</v>
      </c>
      <c r="B396" s="170" t="s">
        <v>2417</v>
      </c>
      <c r="C396" s="170" t="s">
        <v>814</v>
      </c>
      <c r="D396" s="170" t="s">
        <v>1947</v>
      </c>
      <c r="E396" s="171" t="s">
        <v>26786</v>
      </c>
      <c r="F396" s="171" t="s">
        <v>21375</v>
      </c>
      <c r="G396" s="82"/>
      <c r="H396" s="96">
        <f t="shared" si="24"/>
        <v>31.36</v>
      </c>
      <c r="I396" s="96">
        <f t="shared" si="24"/>
        <v>33.26</v>
      </c>
      <c r="J396" s="91" t="str">
        <f t="shared" si="25"/>
        <v>Sinapi 5909</v>
      </c>
      <c r="K396" s="91" t="str">
        <f t="shared" si="26"/>
        <v>CHP</v>
      </c>
      <c r="L396" s="166" t="str">
        <f t="shared" si="27"/>
        <v>07/2014</v>
      </c>
      <c r="M396" s="82"/>
      <c r="N396" s="82"/>
    </row>
    <row r="397" spans="1:14" x14ac:dyDescent="0.25">
      <c r="A397" s="170" t="s">
        <v>2418</v>
      </c>
      <c r="B397" s="170" t="s">
        <v>2419</v>
      </c>
      <c r="C397" s="170" t="s">
        <v>814</v>
      </c>
      <c r="D397" s="170" t="s">
        <v>1947</v>
      </c>
      <c r="E397" s="171" t="s">
        <v>29801</v>
      </c>
      <c r="F397" s="171" t="s">
        <v>29801</v>
      </c>
      <c r="G397" s="82"/>
      <c r="H397" s="96">
        <f t="shared" si="24"/>
        <v>5.47</v>
      </c>
      <c r="I397" s="96">
        <f t="shared" si="24"/>
        <v>5.47</v>
      </c>
      <c r="J397" s="91" t="str">
        <f t="shared" si="25"/>
        <v>Sinapi 5921</v>
      </c>
      <c r="K397" s="91" t="str">
        <f t="shared" si="26"/>
        <v>CHP</v>
      </c>
      <c r="L397" s="166" t="str">
        <f t="shared" si="27"/>
        <v>06/2014</v>
      </c>
      <c r="M397" s="82"/>
      <c r="N397" s="82"/>
    </row>
    <row r="398" spans="1:14" x14ac:dyDescent="0.25">
      <c r="A398" s="170" t="s">
        <v>2420</v>
      </c>
      <c r="B398" s="170" t="s">
        <v>2421</v>
      </c>
      <c r="C398" s="170" t="s">
        <v>814</v>
      </c>
      <c r="D398" s="170" t="s">
        <v>1947</v>
      </c>
      <c r="E398" s="171" t="s">
        <v>31865</v>
      </c>
      <c r="F398" s="171" t="s">
        <v>28889</v>
      </c>
      <c r="G398" s="82"/>
      <c r="H398" s="96">
        <f t="shared" si="24"/>
        <v>286.18</v>
      </c>
      <c r="I398" s="96">
        <f t="shared" si="24"/>
        <v>288.70999999999998</v>
      </c>
      <c r="J398" s="91" t="str">
        <f t="shared" si="25"/>
        <v>Sinapi 5928</v>
      </c>
      <c r="K398" s="91" t="str">
        <f t="shared" si="26"/>
        <v>CHP</v>
      </c>
      <c r="L398" s="166" t="str">
        <f t="shared" si="27"/>
        <v>06/2014</v>
      </c>
      <c r="M398" s="82"/>
      <c r="N398" s="82"/>
    </row>
    <row r="399" spans="1:14" x14ac:dyDescent="0.25">
      <c r="A399" s="170" t="s">
        <v>2422</v>
      </c>
      <c r="B399" s="170" t="s">
        <v>2423</v>
      </c>
      <c r="C399" s="170" t="s">
        <v>814</v>
      </c>
      <c r="D399" s="170" t="s">
        <v>1947</v>
      </c>
      <c r="E399" s="171" t="s">
        <v>31866</v>
      </c>
      <c r="F399" s="171" t="s">
        <v>31223</v>
      </c>
      <c r="G399" s="82"/>
      <c r="H399" s="96">
        <f t="shared" si="24"/>
        <v>254.41</v>
      </c>
      <c r="I399" s="96">
        <f t="shared" si="24"/>
        <v>258.36</v>
      </c>
      <c r="J399" s="91" t="str">
        <f t="shared" si="25"/>
        <v>Sinapi 5932</v>
      </c>
      <c r="K399" s="91" t="str">
        <f t="shared" si="26"/>
        <v>CHP</v>
      </c>
      <c r="L399" s="166" t="str">
        <f t="shared" si="27"/>
        <v>06/2014</v>
      </c>
      <c r="M399" s="82"/>
      <c r="N399" s="82"/>
    </row>
    <row r="400" spans="1:14" x14ac:dyDescent="0.25">
      <c r="A400" s="170" t="s">
        <v>2424</v>
      </c>
      <c r="B400" s="170" t="s">
        <v>2425</v>
      </c>
      <c r="C400" s="170" t="s">
        <v>814</v>
      </c>
      <c r="D400" s="170" t="s">
        <v>1947</v>
      </c>
      <c r="E400" s="171" t="s">
        <v>31867</v>
      </c>
      <c r="F400" s="171" t="s">
        <v>35276</v>
      </c>
      <c r="G400" s="82"/>
      <c r="H400" s="96">
        <f t="shared" si="24"/>
        <v>182.45</v>
      </c>
      <c r="I400" s="96">
        <f t="shared" si="24"/>
        <v>185.45</v>
      </c>
      <c r="J400" s="91" t="str">
        <f t="shared" si="25"/>
        <v>Sinapi 5940</v>
      </c>
      <c r="K400" s="91" t="str">
        <f t="shared" si="26"/>
        <v>CHP</v>
      </c>
      <c r="L400" s="166" t="str">
        <f t="shared" si="27"/>
        <v>06/2014</v>
      </c>
      <c r="M400" s="82"/>
      <c r="N400" s="82"/>
    </row>
    <row r="401" spans="1:14" x14ac:dyDescent="0.25">
      <c r="A401" s="170" t="s">
        <v>2426</v>
      </c>
      <c r="B401" s="170" t="s">
        <v>1157</v>
      </c>
      <c r="C401" s="170" t="s">
        <v>814</v>
      </c>
      <c r="D401" s="170" t="s">
        <v>1947</v>
      </c>
      <c r="E401" s="171" t="s">
        <v>31868</v>
      </c>
      <c r="F401" s="171" t="s">
        <v>35277</v>
      </c>
      <c r="G401" s="82"/>
      <c r="H401" s="96">
        <f t="shared" si="24"/>
        <v>225.24</v>
      </c>
      <c r="I401" s="96">
        <f t="shared" si="24"/>
        <v>228.24</v>
      </c>
      <c r="J401" s="91" t="str">
        <f t="shared" si="25"/>
        <v>Sinapi 5944</v>
      </c>
      <c r="K401" s="91" t="str">
        <f t="shared" si="26"/>
        <v>CHP</v>
      </c>
      <c r="L401" s="166" t="str">
        <f t="shared" si="27"/>
        <v>06/2014</v>
      </c>
      <c r="M401" s="82"/>
      <c r="N401" s="82"/>
    </row>
    <row r="402" spans="1:14" x14ac:dyDescent="0.25">
      <c r="A402" s="170" t="s">
        <v>2427</v>
      </c>
      <c r="B402" s="170" t="s">
        <v>2428</v>
      </c>
      <c r="C402" s="170" t="s">
        <v>814</v>
      </c>
      <c r="D402" s="170" t="s">
        <v>1947</v>
      </c>
      <c r="E402" s="171" t="s">
        <v>31869</v>
      </c>
      <c r="F402" s="171" t="s">
        <v>31869</v>
      </c>
      <c r="G402" s="82"/>
      <c r="H402" s="96">
        <f t="shared" si="24"/>
        <v>64.92</v>
      </c>
      <c r="I402" s="96">
        <f t="shared" si="24"/>
        <v>64.92</v>
      </c>
      <c r="J402" s="91" t="str">
        <f t="shared" si="25"/>
        <v>Sinapi 5953</v>
      </c>
      <c r="K402" s="91" t="str">
        <f t="shared" si="26"/>
        <v>CHP</v>
      </c>
      <c r="L402" s="166" t="str">
        <f t="shared" si="27"/>
        <v>06/2015</v>
      </c>
      <c r="M402" s="82"/>
      <c r="N402" s="82"/>
    </row>
    <row r="403" spans="1:14" x14ac:dyDescent="0.25">
      <c r="A403" s="170" t="s">
        <v>2429</v>
      </c>
      <c r="B403" s="170" t="s">
        <v>2430</v>
      </c>
      <c r="C403" s="170" t="s">
        <v>814</v>
      </c>
      <c r="D403" s="170" t="s">
        <v>1947</v>
      </c>
      <c r="E403" s="171" t="s">
        <v>31870</v>
      </c>
      <c r="F403" s="171" t="s">
        <v>35278</v>
      </c>
      <c r="G403" s="82"/>
      <c r="H403" s="96">
        <f t="shared" si="24"/>
        <v>269.85000000000002</v>
      </c>
      <c r="I403" s="96">
        <f t="shared" si="24"/>
        <v>272.63</v>
      </c>
      <c r="J403" s="91" t="str">
        <f t="shared" si="25"/>
        <v>Sinapi 6259</v>
      </c>
      <c r="K403" s="91" t="str">
        <f t="shared" si="26"/>
        <v>CHP</v>
      </c>
      <c r="L403" s="166" t="str">
        <f t="shared" si="27"/>
        <v>06/2014</v>
      </c>
      <c r="M403" s="82"/>
      <c r="N403" s="82"/>
    </row>
    <row r="404" spans="1:14" x14ac:dyDescent="0.25">
      <c r="A404" s="170" t="s">
        <v>2431</v>
      </c>
      <c r="B404" s="170" t="s">
        <v>2432</v>
      </c>
      <c r="C404" s="170" t="s">
        <v>814</v>
      </c>
      <c r="D404" s="170" t="s">
        <v>1947</v>
      </c>
      <c r="E404" s="171" t="s">
        <v>31871</v>
      </c>
      <c r="F404" s="171" t="s">
        <v>34014</v>
      </c>
      <c r="G404" s="82"/>
      <c r="H404" s="96">
        <f t="shared" si="24"/>
        <v>216.16</v>
      </c>
      <c r="I404" s="96">
        <f t="shared" si="24"/>
        <v>218.61</v>
      </c>
      <c r="J404" s="91" t="str">
        <f t="shared" si="25"/>
        <v>Sinapi 6879</v>
      </c>
      <c r="K404" s="91" t="str">
        <f t="shared" si="26"/>
        <v>CHP</v>
      </c>
      <c r="L404" s="166" t="str">
        <f t="shared" si="27"/>
        <v>07/2014</v>
      </c>
      <c r="M404" s="82"/>
      <c r="N404" s="82"/>
    </row>
    <row r="405" spans="1:14" x14ac:dyDescent="0.25">
      <c r="A405" s="170" t="s">
        <v>2433</v>
      </c>
      <c r="B405" s="170" t="s">
        <v>21606</v>
      </c>
      <c r="C405" s="170" t="s">
        <v>814</v>
      </c>
      <c r="D405" s="170" t="s">
        <v>1947</v>
      </c>
      <c r="E405" s="171" t="s">
        <v>31872</v>
      </c>
      <c r="F405" s="171" t="s">
        <v>31872</v>
      </c>
      <c r="G405" s="82"/>
      <c r="H405" s="96">
        <f t="shared" si="24"/>
        <v>296.60000000000002</v>
      </c>
      <c r="I405" s="96">
        <f t="shared" si="24"/>
        <v>296.60000000000002</v>
      </c>
      <c r="J405" s="91" t="str">
        <f t="shared" si="25"/>
        <v>Sinapi 7030</v>
      </c>
      <c r="K405" s="91" t="str">
        <f t="shared" si="26"/>
        <v>CHP</v>
      </c>
      <c r="L405" s="166" t="str">
        <f t="shared" si="27"/>
        <v>05/2023</v>
      </c>
      <c r="M405" s="82"/>
      <c r="N405" s="82"/>
    </row>
    <row r="406" spans="1:14" x14ac:dyDescent="0.25">
      <c r="A406" s="170" t="s">
        <v>2434</v>
      </c>
      <c r="B406" s="170" t="s">
        <v>2435</v>
      </c>
      <c r="C406" s="170" t="s">
        <v>814</v>
      </c>
      <c r="D406" s="170" t="s">
        <v>2067</v>
      </c>
      <c r="E406" s="171" t="s">
        <v>17134</v>
      </c>
      <c r="F406" s="171" t="s">
        <v>17134</v>
      </c>
      <c r="G406" s="82"/>
      <c r="H406" s="96">
        <f t="shared" si="24"/>
        <v>27.77</v>
      </c>
      <c r="I406" s="96">
        <f t="shared" si="24"/>
        <v>27.77</v>
      </c>
      <c r="J406" s="91" t="str">
        <f t="shared" si="25"/>
        <v>Sinapi 7042</v>
      </c>
      <c r="K406" s="91" t="str">
        <f t="shared" si="26"/>
        <v>CHP</v>
      </c>
      <c r="L406" s="166" t="str">
        <f t="shared" si="27"/>
        <v>10/2014</v>
      </c>
      <c r="M406" s="82"/>
      <c r="N406" s="82"/>
    </row>
    <row r="407" spans="1:14" x14ac:dyDescent="0.25">
      <c r="A407" s="170" t="s">
        <v>2436</v>
      </c>
      <c r="B407" s="170" t="s">
        <v>2437</v>
      </c>
      <c r="C407" s="170" t="s">
        <v>814</v>
      </c>
      <c r="D407" s="170" t="s">
        <v>1947</v>
      </c>
      <c r="E407" s="171" t="s">
        <v>31873</v>
      </c>
      <c r="F407" s="171" t="s">
        <v>35279</v>
      </c>
      <c r="G407" s="82"/>
      <c r="H407" s="96">
        <f t="shared" si="24"/>
        <v>229.85</v>
      </c>
      <c r="I407" s="96">
        <f t="shared" si="24"/>
        <v>232.3</v>
      </c>
      <c r="J407" s="91" t="str">
        <f t="shared" si="25"/>
        <v>Sinapi 7049</v>
      </c>
      <c r="K407" s="91" t="str">
        <f t="shared" si="26"/>
        <v>CHP</v>
      </c>
      <c r="L407" s="166" t="str">
        <f t="shared" si="27"/>
        <v>06/2014</v>
      </c>
      <c r="M407" s="82"/>
      <c r="N407" s="82"/>
    </row>
    <row r="408" spans="1:14" x14ac:dyDescent="0.25">
      <c r="A408" s="170" t="s">
        <v>2438</v>
      </c>
      <c r="B408" s="170" t="s">
        <v>946</v>
      </c>
      <c r="C408" s="170" t="s">
        <v>814</v>
      </c>
      <c r="D408" s="170" t="s">
        <v>1947</v>
      </c>
      <c r="E408" s="171" t="s">
        <v>31874</v>
      </c>
      <c r="F408" s="171" t="s">
        <v>35280</v>
      </c>
      <c r="G408" s="82"/>
      <c r="H408" s="96">
        <f t="shared" si="24"/>
        <v>192.72</v>
      </c>
      <c r="I408" s="96">
        <f t="shared" si="24"/>
        <v>195.62</v>
      </c>
      <c r="J408" s="91" t="str">
        <f t="shared" si="25"/>
        <v>Sinapi 67826</v>
      </c>
      <c r="K408" s="91" t="str">
        <f t="shared" si="26"/>
        <v>CHP</v>
      </c>
      <c r="L408" s="166" t="str">
        <f t="shared" si="27"/>
        <v>06/2014</v>
      </c>
      <c r="M408" s="82"/>
      <c r="N408" s="82"/>
    </row>
    <row r="409" spans="1:14" x14ac:dyDescent="0.25">
      <c r="A409" s="170" t="s">
        <v>2439</v>
      </c>
      <c r="B409" s="170" t="s">
        <v>2440</v>
      </c>
      <c r="C409" s="170" t="s">
        <v>814</v>
      </c>
      <c r="D409" s="170" t="s">
        <v>1947</v>
      </c>
      <c r="E409" s="171" t="s">
        <v>31875</v>
      </c>
      <c r="F409" s="171" t="s">
        <v>31875</v>
      </c>
      <c r="G409" s="82"/>
      <c r="H409" s="96">
        <f t="shared" si="24"/>
        <v>209.12</v>
      </c>
      <c r="I409" s="96">
        <f t="shared" si="24"/>
        <v>209.12</v>
      </c>
      <c r="J409" s="91" t="str">
        <f t="shared" si="25"/>
        <v>Sinapi 73417</v>
      </c>
      <c r="K409" s="91" t="str">
        <f t="shared" si="26"/>
        <v>CHP</v>
      </c>
      <c r="L409" s="166" t="str">
        <f t="shared" si="27"/>
        <v>02/2016</v>
      </c>
      <c r="M409" s="82"/>
      <c r="N409" s="82"/>
    </row>
    <row r="410" spans="1:14" x14ac:dyDescent="0.25">
      <c r="A410" s="170" t="s">
        <v>2441</v>
      </c>
      <c r="B410" s="170" t="s">
        <v>2442</v>
      </c>
      <c r="C410" s="170" t="s">
        <v>814</v>
      </c>
      <c r="D410" s="170" t="s">
        <v>1947</v>
      </c>
      <c r="E410" s="171" t="s">
        <v>31876</v>
      </c>
      <c r="F410" s="171" t="s">
        <v>35281</v>
      </c>
      <c r="G410" s="82"/>
      <c r="H410" s="96">
        <f t="shared" si="24"/>
        <v>166.65</v>
      </c>
      <c r="I410" s="96">
        <f t="shared" si="24"/>
        <v>169.1</v>
      </c>
      <c r="J410" s="91" t="str">
        <f t="shared" si="25"/>
        <v>Sinapi 73436</v>
      </c>
      <c r="K410" s="91" t="str">
        <f t="shared" si="26"/>
        <v>CHP</v>
      </c>
      <c r="L410" s="166" t="str">
        <f t="shared" si="27"/>
        <v>02/2016</v>
      </c>
      <c r="M410" s="82"/>
      <c r="N410" s="82"/>
    </row>
    <row r="411" spans="1:14" x14ac:dyDescent="0.25">
      <c r="A411" s="170" t="s">
        <v>2443</v>
      </c>
      <c r="B411" s="170" t="s">
        <v>2444</v>
      </c>
      <c r="C411" s="170" t="s">
        <v>814</v>
      </c>
      <c r="D411" s="170" t="s">
        <v>1947</v>
      </c>
      <c r="E411" s="171" t="s">
        <v>31877</v>
      </c>
      <c r="F411" s="171" t="s">
        <v>35282</v>
      </c>
      <c r="G411" s="82"/>
      <c r="H411" s="96">
        <f t="shared" si="24"/>
        <v>262.10000000000002</v>
      </c>
      <c r="I411" s="96">
        <f t="shared" si="24"/>
        <v>264.88</v>
      </c>
      <c r="J411" s="91" t="str">
        <f t="shared" si="25"/>
        <v>Sinapi 73467</v>
      </c>
      <c r="K411" s="91" t="str">
        <f t="shared" si="26"/>
        <v>CHP</v>
      </c>
      <c r="L411" s="166" t="str">
        <f t="shared" si="27"/>
        <v>06/2014</v>
      </c>
      <c r="M411" s="82"/>
      <c r="N411" s="82"/>
    </row>
    <row r="412" spans="1:14" x14ac:dyDescent="0.25">
      <c r="A412" s="170" t="s">
        <v>2445</v>
      </c>
      <c r="B412" s="170" t="s">
        <v>2446</v>
      </c>
      <c r="C412" s="170" t="s">
        <v>814</v>
      </c>
      <c r="D412" s="170" t="s">
        <v>2067</v>
      </c>
      <c r="E412" s="171" t="s">
        <v>31878</v>
      </c>
      <c r="F412" s="171" t="s">
        <v>31878</v>
      </c>
      <c r="G412" s="82"/>
      <c r="H412" s="96">
        <f t="shared" si="24"/>
        <v>23.5</v>
      </c>
      <c r="I412" s="96">
        <f t="shared" si="24"/>
        <v>23.5</v>
      </c>
      <c r="J412" s="91" t="str">
        <f t="shared" si="25"/>
        <v>Sinapi 73536</v>
      </c>
      <c r="K412" s="91" t="str">
        <f t="shared" si="26"/>
        <v>CHP</v>
      </c>
      <c r="L412" s="166" t="str">
        <f t="shared" si="27"/>
        <v>06/2014</v>
      </c>
      <c r="M412" s="82"/>
      <c r="N412" s="82"/>
    </row>
    <row r="413" spans="1:14" x14ac:dyDescent="0.25">
      <c r="A413" s="170" t="s">
        <v>2447</v>
      </c>
      <c r="B413" s="170" t="s">
        <v>21607</v>
      </c>
      <c r="C413" s="170" t="s">
        <v>814</v>
      </c>
      <c r="D413" s="170" t="s">
        <v>1947</v>
      </c>
      <c r="E413" s="171" t="s">
        <v>31879</v>
      </c>
      <c r="F413" s="171" t="s">
        <v>35283</v>
      </c>
      <c r="G413" s="82"/>
      <c r="H413" s="96">
        <f t="shared" si="24"/>
        <v>289.86</v>
      </c>
      <c r="I413" s="96">
        <f t="shared" si="24"/>
        <v>292.64</v>
      </c>
      <c r="J413" s="91" t="str">
        <f t="shared" si="25"/>
        <v>Sinapi 83362</v>
      </c>
      <c r="K413" s="91" t="str">
        <f t="shared" si="26"/>
        <v>CHP</v>
      </c>
      <c r="L413" s="166" t="str">
        <f t="shared" si="27"/>
        <v>05/2023</v>
      </c>
      <c r="M413" s="82"/>
      <c r="N413" s="82"/>
    </row>
    <row r="414" spans="1:14" x14ac:dyDescent="0.25">
      <c r="A414" s="170" t="s">
        <v>2448</v>
      </c>
      <c r="B414" s="170" t="s">
        <v>2449</v>
      </c>
      <c r="C414" s="170" t="s">
        <v>814</v>
      </c>
      <c r="D414" s="170" t="s">
        <v>1947</v>
      </c>
      <c r="E414" s="171" t="s">
        <v>31880</v>
      </c>
      <c r="F414" s="171" t="s">
        <v>35284</v>
      </c>
      <c r="G414" s="82"/>
      <c r="H414" s="96">
        <f t="shared" si="24"/>
        <v>98.24</v>
      </c>
      <c r="I414" s="96">
        <f t="shared" si="24"/>
        <v>101.05</v>
      </c>
      <c r="J414" s="91" t="str">
        <f t="shared" si="25"/>
        <v>Sinapi 83765</v>
      </c>
      <c r="K414" s="91" t="str">
        <f t="shared" si="26"/>
        <v>CHP</v>
      </c>
      <c r="L414" s="166" t="str">
        <f t="shared" si="27"/>
        <v>02/2016</v>
      </c>
      <c r="M414" s="82"/>
      <c r="N414" s="82"/>
    </row>
    <row r="415" spans="1:14" x14ac:dyDescent="0.25">
      <c r="A415" s="170" t="s">
        <v>2450</v>
      </c>
      <c r="B415" s="170" t="s">
        <v>21608</v>
      </c>
      <c r="C415" s="170" t="s">
        <v>814</v>
      </c>
      <c r="D415" s="170" t="s">
        <v>2067</v>
      </c>
      <c r="E415" s="171" t="s">
        <v>18544</v>
      </c>
      <c r="F415" s="171" t="s">
        <v>18544</v>
      </c>
      <c r="G415" s="82"/>
      <c r="H415" s="96">
        <f t="shared" si="24"/>
        <v>6</v>
      </c>
      <c r="I415" s="96">
        <f t="shared" si="24"/>
        <v>6</v>
      </c>
      <c r="J415" s="91" t="str">
        <f t="shared" si="25"/>
        <v>Sinapi 87445</v>
      </c>
      <c r="K415" s="91" t="str">
        <f t="shared" si="26"/>
        <v>CHP</v>
      </c>
      <c r="L415" s="166" t="str">
        <f t="shared" si="27"/>
        <v>05/2023</v>
      </c>
      <c r="M415" s="82"/>
      <c r="N415" s="82"/>
    </row>
    <row r="416" spans="1:14" x14ac:dyDescent="0.25">
      <c r="A416" s="170" t="s">
        <v>2451</v>
      </c>
      <c r="B416" s="170" t="s">
        <v>21609</v>
      </c>
      <c r="C416" s="170" t="s">
        <v>814</v>
      </c>
      <c r="D416" s="170" t="s">
        <v>2067</v>
      </c>
      <c r="E416" s="171" t="s">
        <v>29245</v>
      </c>
      <c r="F416" s="171" t="s">
        <v>29245</v>
      </c>
      <c r="G416" s="82"/>
      <c r="H416" s="96">
        <f t="shared" si="24"/>
        <v>5.63</v>
      </c>
      <c r="I416" s="96">
        <f t="shared" si="24"/>
        <v>5.63</v>
      </c>
      <c r="J416" s="91" t="str">
        <f t="shared" si="25"/>
        <v>Sinapi 88386</v>
      </c>
      <c r="K416" s="91" t="str">
        <f t="shared" si="26"/>
        <v>CHP</v>
      </c>
      <c r="L416" s="166" t="str">
        <f t="shared" si="27"/>
        <v>05/2023</v>
      </c>
      <c r="M416" s="82"/>
      <c r="N416" s="82"/>
    </row>
    <row r="417" spans="1:14" x14ac:dyDescent="0.25">
      <c r="A417" s="170" t="s">
        <v>2452</v>
      </c>
      <c r="B417" s="170" t="s">
        <v>21610</v>
      </c>
      <c r="C417" s="170" t="s">
        <v>814</v>
      </c>
      <c r="D417" s="170" t="s">
        <v>2067</v>
      </c>
      <c r="E417" s="171" t="s">
        <v>16420</v>
      </c>
      <c r="F417" s="171" t="s">
        <v>16420</v>
      </c>
      <c r="G417" s="82"/>
      <c r="H417" s="96">
        <f t="shared" si="24"/>
        <v>7.7</v>
      </c>
      <c r="I417" s="96">
        <f t="shared" si="24"/>
        <v>7.7</v>
      </c>
      <c r="J417" s="91" t="str">
        <f t="shared" si="25"/>
        <v>Sinapi 88393</v>
      </c>
      <c r="K417" s="91" t="str">
        <f t="shared" si="26"/>
        <v>CHP</v>
      </c>
      <c r="L417" s="166" t="str">
        <f t="shared" si="27"/>
        <v>05/2023</v>
      </c>
      <c r="M417" s="82"/>
      <c r="N417" s="82"/>
    </row>
    <row r="418" spans="1:14" x14ac:dyDescent="0.25">
      <c r="A418" s="170" t="s">
        <v>2453</v>
      </c>
      <c r="B418" s="170" t="s">
        <v>21611</v>
      </c>
      <c r="C418" s="170" t="s">
        <v>814</v>
      </c>
      <c r="D418" s="170" t="s">
        <v>2067</v>
      </c>
      <c r="E418" s="171" t="s">
        <v>20032</v>
      </c>
      <c r="F418" s="171" t="s">
        <v>20032</v>
      </c>
      <c r="G418" s="82"/>
      <c r="H418" s="96">
        <f t="shared" si="24"/>
        <v>4.2</v>
      </c>
      <c r="I418" s="96">
        <f t="shared" si="24"/>
        <v>4.2</v>
      </c>
      <c r="J418" s="91" t="str">
        <f t="shared" si="25"/>
        <v>Sinapi 88399</v>
      </c>
      <c r="K418" s="91" t="str">
        <f t="shared" si="26"/>
        <v>CHP</v>
      </c>
      <c r="L418" s="166" t="str">
        <f t="shared" si="27"/>
        <v>05/2023</v>
      </c>
      <c r="M418" s="82"/>
      <c r="N418" s="82"/>
    </row>
    <row r="419" spans="1:14" x14ac:dyDescent="0.25">
      <c r="A419" s="170" t="s">
        <v>2454</v>
      </c>
      <c r="B419" s="170" t="s">
        <v>2455</v>
      </c>
      <c r="C419" s="170" t="s">
        <v>814</v>
      </c>
      <c r="D419" s="170" t="s">
        <v>2067</v>
      </c>
      <c r="E419" s="171" t="s">
        <v>15118</v>
      </c>
      <c r="F419" s="171" t="s">
        <v>15118</v>
      </c>
      <c r="G419" s="82"/>
      <c r="H419" s="96">
        <f t="shared" si="24"/>
        <v>17.21</v>
      </c>
      <c r="I419" s="96">
        <f t="shared" si="24"/>
        <v>17.21</v>
      </c>
      <c r="J419" s="91" t="str">
        <f t="shared" si="25"/>
        <v>Sinapi 88418</v>
      </c>
      <c r="K419" s="91" t="str">
        <f t="shared" si="26"/>
        <v>CHP</v>
      </c>
      <c r="L419" s="166" t="str">
        <f t="shared" si="27"/>
        <v>06/2014</v>
      </c>
      <c r="M419" s="82"/>
      <c r="N419" s="82"/>
    </row>
    <row r="420" spans="1:14" x14ac:dyDescent="0.25">
      <c r="A420" s="170" t="s">
        <v>2456</v>
      </c>
      <c r="B420" s="170" t="s">
        <v>2457</v>
      </c>
      <c r="C420" s="170" t="s">
        <v>814</v>
      </c>
      <c r="D420" s="170" t="s">
        <v>2067</v>
      </c>
      <c r="E420" s="171" t="s">
        <v>18719</v>
      </c>
      <c r="F420" s="171" t="s">
        <v>18719</v>
      </c>
      <c r="G420" s="82"/>
      <c r="H420" s="96">
        <f t="shared" si="24"/>
        <v>22.46</v>
      </c>
      <c r="I420" s="96">
        <f t="shared" si="24"/>
        <v>22.46</v>
      </c>
      <c r="J420" s="91" t="str">
        <f t="shared" si="25"/>
        <v>Sinapi 88433</v>
      </c>
      <c r="K420" s="91" t="str">
        <f t="shared" si="26"/>
        <v>CHP</v>
      </c>
      <c r="L420" s="166" t="str">
        <f t="shared" si="27"/>
        <v>06/2014</v>
      </c>
      <c r="M420" s="82"/>
      <c r="N420" s="82"/>
    </row>
    <row r="421" spans="1:14" x14ac:dyDescent="0.25">
      <c r="A421" s="170" t="s">
        <v>2458</v>
      </c>
      <c r="B421" s="170" t="s">
        <v>21612</v>
      </c>
      <c r="C421" s="170" t="s">
        <v>814</v>
      </c>
      <c r="D421" s="170" t="s">
        <v>2067</v>
      </c>
      <c r="E421" s="171" t="s">
        <v>21001</v>
      </c>
      <c r="F421" s="171" t="s">
        <v>21001</v>
      </c>
      <c r="G421" s="82"/>
      <c r="H421" s="96">
        <f t="shared" si="24"/>
        <v>2.19</v>
      </c>
      <c r="I421" s="96">
        <f t="shared" si="24"/>
        <v>2.19</v>
      </c>
      <c r="J421" s="91" t="str">
        <f t="shared" si="25"/>
        <v>Sinapi 88830</v>
      </c>
      <c r="K421" s="91" t="str">
        <f t="shared" si="26"/>
        <v>CHP</v>
      </c>
      <c r="L421" s="166" t="str">
        <f t="shared" si="27"/>
        <v>05/2023</v>
      </c>
      <c r="M421" s="82"/>
      <c r="N421" s="82"/>
    </row>
    <row r="422" spans="1:14" x14ac:dyDescent="0.25">
      <c r="A422" s="170" t="s">
        <v>2459</v>
      </c>
      <c r="B422" s="170" t="s">
        <v>2460</v>
      </c>
      <c r="C422" s="170" t="s">
        <v>814</v>
      </c>
      <c r="D422" s="170" t="s">
        <v>1947</v>
      </c>
      <c r="E422" s="171" t="s">
        <v>31881</v>
      </c>
      <c r="F422" s="171" t="s">
        <v>32873</v>
      </c>
      <c r="G422" s="82"/>
      <c r="H422" s="96">
        <f t="shared" si="24"/>
        <v>209.27</v>
      </c>
      <c r="I422" s="96">
        <f t="shared" si="24"/>
        <v>211.92</v>
      </c>
      <c r="J422" s="91" t="str">
        <f t="shared" si="25"/>
        <v>Sinapi 88843</v>
      </c>
      <c r="K422" s="91" t="str">
        <f t="shared" si="26"/>
        <v>CHP</v>
      </c>
      <c r="L422" s="166" t="str">
        <f t="shared" si="27"/>
        <v>10/2014</v>
      </c>
      <c r="M422" s="82"/>
      <c r="N422" s="82"/>
    </row>
    <row r="423" spans="1:14" x14ac:dyDescent="0.25">
      <c r="A423" s="170" t="s">
        <v>2461</v>
      </c>
      <c r="B423" s="170" t="s">
        <v>2462</v>
      </c>
      <c r="C423" s="170" t="s">
        <v>814</v>
      </c>
      <c r="D423" s="170" t="s">
        <v>1947</v>
      </c>
      <c r="E423" s="171" t="s">
        <v>31882</v>
      </c>
      <c r="F423" s="171" t="s">
        <v>35285</v>
      </c>
      <c r="G423" s="82"/>
      <c r="H423" s="96">
        <f t="shared" si="24"/>
        <v>253.78</v>
      </c>
      <c r="I423" s="96">
        <f t="shared" si="24"/>
        <v>257.27</v>
      </c>
      <c r="J423" s="91" t="str">
        <f t="shared" si="25"/>
        <v>Sinapi 88907</v>
      </c>
      <c r="K423" s="91" t="str">
        <f t="shared" si="26"/>
        <v>CHP</v>
      </c>
      <c r="L423" s="166" t="str">
        <f t="shared" si="27"/>
        <v>06/2014</v>
      </c>
      <c r="M423" s="82"/>
      <c r="N423" s="82"/>
    </row>
    <row r="424" spans="1:14" x14ac:dyDescent="0.25">
      <c r="A424" s="170" t="s">
        <v>2463</v>
      </c>
      <c r="B424" s="170" t="s">
        <v>2464</v>
      </c>
      <c r="C424" s="170" t="s">
        <v>814</v>
      </c>
      <c r="D424" s="170" t="s">
        <v>1947</v>
      </c>
      <c r="E424" s="171" t="s">
        <v>22741</v>
      </c>
      <c r="F424" s="171" t="s">
        <v>22741</v>
      </c>
      <c r="G424" s="82"/>
      <c r="H424" s="96">
        <f t="shared" si="24"/>
        <v>2.71</v>
      </c>
      <c r="I424" s="96">
        <f t="shared" si="24"/>
        <v>2.71</v>
      </c>
      <c r="J424" s="91" t="str">
        <f t="shared" si="25"/>
        <v>Sinapi 89021</v>
      </c>
      <c r="K424" s="91" t="str">
        <f t="shared" si="26"/>
        <v>CHP</v>
      </c>
      <c r="L424" s="166" t="str">
        <f t="shared" si="27"/>
        <v>06/2014</v>
      </c>
      <c r="M424" s="82"/>
      <c r="N424" s="82"/>
    </row>
    <row r="425" spans="1:14" x14ac:dyDescent="0.25">
      <c r="A425" s="170" t="s">
        <v>2465</v>
      </c>
      <c r="B425" s="170" t="s">
        <v>21613</v>
      </c>
      <c r="C425" s="170" t="s">
        <v>814</v>
      </c>
      <c r="D425" s="170" t="s">
        <v>1947</v>
      </c>
      <c r="E425" s="171" t="s">
        <v>31883</v>
      </c>
      <c r="F425" s="171" t="s">
        <v>31883</v>
      </c>
      <c r="G425" s="82"/>
      <c r="H425" s="96">
        <f t="shared" si="24"/>
        <v>199.42</v>
      </c>
      <c r="I425" s="96">
        <f t="shared" si="24"/>
        <v>199.42</v>
      </c>
      <c r="J425" s="91" t="str">
        <f t="shared" si="25"/>
        <v>Sinapi 89028</v>
      </c>
      <c r="K425" s="91" t="str">
        <f t="shared" si="26"/>
        <v>CHP</v>
      </c>
      <c r="L425" s="166" t="str">
        <f t="shared" si="27"/>
        <v>05/2023</v>
      </c>
      <c r="M425" s="82"/>
      <c r="N425" s="82"/>
    </row>
    <row r="426" spans="1:14" x14ac:dyDescent="0.25">
      <c r="A426" s="170" t="s">
        <v>2466</v>
      </c>
      <c r="B426" s="170" t="s">
        <v>951</v>
      </c>
      <c r="C426" s="170" t="s">
        <v>814</v>
      </c>
      <c r="D426" s="170" t="s">
        <v>1947</v>
      </c>
      <c r="E426" s="171" t="s">
        <v>31884</v>
      </c>
      <c r="F426" s="171" t="s">
        <v>28518</v>
      </c>
      <c r="G426" s="82"/>
      <c r="H426" s="96">
        <f t="shared" si="24"/>
        <v>187.37</v>
      </c>
      <c r="I426" s="96">
        <f t="shared" si="24"/>
        <v>190.02</v>
      </c>
      <c r="J426" s="91" t="str">
        <f t="shared" si="25"/>
        <v>Sinapi 89032</v>
      </c>
      <c r="K426" s="91" t="str">
        <f t="shared" si="26"/>
        <v>CHP</v>
      </c>
      <c r="L426" s="166" t="str">
        <f t="shared" si="27"/>
        <v>06/2014</v>
      </c>
      <c r="M426" s="82"/>
      <c r="N426" s="82"/>
    </row>
    <row r="427" spans="1:14" x14ac:dyDescent="0.25">
      <c r="A427" s="170" t="s">
        <v>2467</v>
      </c>
      <c r="B427" s="170" t="s">
        <v>1149</v>
      </c>
      <c r="C427" s="170" t="s">
        <v>814</v>
      </c>
      <c r="D427" s="170" t="s">
        <v>1947</v>
      </c>
      <c r="E427" s="171" t="s">
        <v>31885</v>
      </c>
      <c r="F427" s="171" t="s">
        <v>31540</v>
      </c>
      <c r="G427" s="82"/>
      <c r="H427" s="96">
        <f t="shared" si="24"/>
        <v>129.68</v>
      </c>
      <c r="I427" s="96">
        <f t="shared" si="24"/>
        <v>132.33000000000001</v>
      </c>
      <c r="J427" s="91" t="str">
        <f t="shared" si="25"/>
        <v>Sinapi 89035</v>
      </c>
      <c r="K427" s="91" t="str">
        <f t="shared" si="26"/>
        <v>CHP</v>
      </c>
      <c r="L427" s="166" t="str">
        <f t="shared" si="27"/>
        <v>06/2014</v>
      </c>
      <c r="M427" s="82"/>
      <c r="N427" s="82"/>
    </row>
    <row r="428" spans="1:14" x14ac:dyDescent="0.25">
      <c r="A428" s="170" t="s">
        <v>2468</v>
      </c>
      <c r="B428" s="170" t="s">
        <v>21614</v>
      </c>
      <c r="C428" s="170" t="s">
        <v>814</v>
      </c>
      <c r="D428" s="170" t="s">
        <v>2067</v>
      </c>
      <c r="E428" s="171" t="s">
        <v>17297</v>
      </c>
      <c r="F428" s="171" t="s">
        <v>17297</v>
      </c>
      <c r="G428" s="82"/>
      <c r="H428" s="96">
        <f t="shared" si="24"/>
        <v>6.26</v>
      </c>
      <c r="I428" s="96">
        <f t="shared" si="24"/>
        <v>6.26</v>
      </c>
      <c r="J428" s="91" t="str">
        <f t="shared" si="25"/>
        <v>Sinapi 89225</v>
      </c>
      <c r="K428" s="91" t="str">
        <f t="shared" si="26"/>
        <v>CHP</v>
      </c>
      <c r="L428" s="166" t="str">
        <f t="shared" si="27"/>
        <v>05/2023</v>
      </c>
      <c r="M428" s="82"/>
      <c r="N428" s="82"/>
    </row>
    <row r="429" spans="1:14" x14ac:dyDescent="0.25">
      <c r="A429" s="170" t="s">
        <v>2469</v>
      </c>
      <c r="B429" s="170" t="s">
        <v>2470</v>
      </c>
      <c r="C429" s="170" t="s">
        <v>814</v>
      </c>
      <c r="D429" s="170" t="s">
        <v>1947</v>
      </c>
      <c r="E429" s="171" t="s">
        <v>31886</v>
      </c>
      <c r="F429" s="171" t="s">
        <v>35286</v>
      </c>
      <c r="G429" s="82"/>
      <c r="H429" s="96">
        <f t="shared" si="24"/>
        <v>619.42999999999995</v>
      </c>
      <c r="I429" s="96">
        <f t="shared" si="24"/>
        <v>622.76</v>
      </c>
      <c r="J429" s="91" t="str">
        <f t="shared" si="25"/>
        <v>Sinapi 89234</v>
      </c>
      <c r="K429" s="91" t="str">
        <f t="shared" si="26"/>
        <v>CHP</v>
      </c>
      <c r="L429" s="166" t="str">
        <f t="shared" si="27"/>
        <v>11/2014</v>
      </c>
      <c r="M429" s="82"/>
      <c r="N429" s="82"/>
    </row>
    <row r="430" spans="1:14" x14ac:dyDescent="0.25">
      <c r="A430" s="170" t="s">
        <v>2471</v>
      </c>
      <c r="B430" s="170" t="s">
        <v>2472</v>
      </c>
      <c r="C430" s="170" t="s">
        <v>814</v>
      </c>
      <c r="D430" s="170" t="s">
        <v>1947</v>
      </c>
      <c r="E430" s="171" t="s">
        <v>31887</v>
      </c>
      <c r="F430" s="171" t="s">
        <v>35287</v>
      </c>
      <c r="G430" s="82"/>
      <c r="H430" s="96">
        <f t="shared" si="24"/>
        <v>1469.46</v>
      </c>
      <c r="I430" s="96">
        <f t="shared" si="24"/>
        <v>1472.79</v>
      </c>
      <c r="J430" s="91" t="str">
        <f t="shared" si="25"/>
        <v>Sinapi 89242</v>
      </c>
      <c r="K430" s="91" t="str">
        <f t="shared" si="26"/>
        <v>CHP</v>
      </c>
      <c r="L430" s="166" t="str">
        <f t="shared" si="27"/>
        <v>11/2014</v>
      </c>
      <c r="M430" s="82"/>
      <c r="N430" s="82"/>
    </row>
    <row r="431" spans="1:14" x14ac:dyDescent="0.25">
      <c r="A431" s="170" t="s">
        <v>2473</v>
      </c>
      <c r="B431" s="170" t="s">
        <v>2474</v>
      </c>
      <c r="C431" s="170" t="s">
        <v>814</v>
      </c>
      <c r="D431" s="170" t="s">
        <v>1947</v>
      </c>
      <c r="E431" s="171" t="s">
        <v>31888</v>
      </c>
      <c r="F431" s="171" t="s">
        <v>35288</v>
      </c>
      <c r="G431" s="82"/>
      <c r="H431" s="96">
        <f t="shared" si="24"/>
        <v>1272.17</v>
      </c>
      <c r="I431" s="96">
        <f t="shared" si="24"/>
        <v>1275.5</v>
      </c>
      <c r="J431" s="91" t="str">
        <f t="shared" si="25"/>
        <v>Sinapi 89250</v>
      </c>
      <c r="K431" s="91" t="str">
        <f t="shared" si="26"/>
        <v>CHP</v>
      </c>
      <c r="L431" s="166" t="str">
        <f t="shared" si="27"/>
        <v>11/2014</v>
      </c>
      <c r="M431" s="82"/>
      <c r="N431" s="82"/>
    </row>
    <row r="432" spans="1:14" x14ac:dyDescent="0.25">
      <c r="A432" s="170" t="s">
        <v>2475</v>
      </c>
      <c r="B432" s="170" t="s">
        <v>2476</v>
      </c>
      <c r="C432" s="170" t="s">
        <v>814</v>
      </c>
      <c r="D432" s="170" t="s">
        <v>1947</v>
      </c>
      <c r="E432" s="171" t="s">
        <v>31889</v>
      </c>
      <c r="F432" s="171" t="s">
        <v>35289</v>
      </c>
      <c r="G432" s="82"/>
      <c r="H432" s="96">
        <f t="shared" si="24"/>
        <v>349.7</v>
      </c>
      <c r="I432" s="96">
        <f t="shared" si="24"/>
        <v>353.03</v>
      </c>
      <c r="J432" s="91" t="str">
        <f t="shared" si="25"/>
        <v>Sinapi 89257</v>
      </c>
      <c r="K432" s="91" t="str">
        <f t="shared" si="26"/>
        <v>CHP</v>
      </c>
      <c r="L432" s="166" t="str">
        <f t="shared" si="27"/>
        <v>11/2014</v>
      </c>
      <c r="M432" s="82"/>
      <c r="N432" s="82"/>
    </row>
    <row r="433" spans="1:14" x14ac:dyDescent="0.25">
      <c r="A433" s="170" t="s">
        <v>2477</v>
      </c>
      <c r="B433" s="170" t="s">
        <v>2478</v>
      </c>
      <c r="C433" s="170" t="s">
        <v>814</v>
      </c>
      <c r="D433" s="170" t="s">
        <v>1947</v>
      </c>
      <c r="E433" s="171" t="s">
        <v>28646</v>
      </c>
      <c r="F433" s="171" t="s">
        <v>35290</v>
      </c>
      <c r="G433" s="82"/>
      <c r="H433" s="96">
        <f t="shared" si="24"/>
        <v>209.19</v>
      </c>
      <c r="I433" s="96">
        <f t="shared" si="24"/>
        <v>212.33</v>
      </c>
      <c r="J433" s="91" t="str">
        <f t="shared" si="25"/>
        <v>Sinapi 89272</v>
      </c>
      <c r="K433" s="91" t="str">
        <f t="shared" si="26"/>
        <v>CHP</v>
      </c>
      <c r="L433" s="166" t="str">
        <f t="shared" si="27"/>
        <v>11/2014</v>
      </c>
      <c r="M433" s="82"/>
      <c r="N433" s="82"/>
    </row>
    <row r="434" spans="1:14" x14ac:dyDescent="0.25">
      <c r="A434" s="170" t="s">
        <v>2479</v>
      </c>
      <c r="B434" s="170" t="s">
        <v>21615</v>
      </c>
      <c r="C434" s="170" t="s">
        <v>814</v>
      </c>
      <c r="D434" s="170" t="s">
        <v>2067</v>
      </c>
      <c r="E434" s="171" t="s">
        <v>19915</v>
      </c>
      <c r="F434" s="171" t="s">
        <v>19915</v>
      </c>
      <c r="G434" s="82"/>
      <c r="H434" s="96">
        <f t="shared" si="24"/>
        <v>14.17</v>
      </c>
      <c r="I434" s="96">
        <f t="shared" si="24"/>
        <v>14.17</v>
      </c>
      <c r="J434" s="91" t="str">
        <f t="shared" si="25"/>
        <v>Sinapi 89278</v>
      </c>
      <c r="K434" s="91" t="str">
        <f t="shared" si="26"/>
        <v>CHP</v>
      </c>
      <c r="L434" s="166" t="str">
        <f t="shared" si="27"/>
        <v>05/2023</v>
      </c>
      <c r="M434" s="82"/>
      <c r="N434" s="82"/>
    </row>
    <row r="435" spans="1:14" x14ac:dyDescent="0.25">
      <c r="A435" s="170" t="s">
        <v>2481</v>
      </c>
      <c r="B435" s="170" t="s">
        <v>2482</v>
      </c>
      <c r="C435" s="170" t="s">
        <v>814</v>
      </c>
      <c r="D435" s="170" t="s">
        <v>1947</v>
      </c>
      <c r="E435" s="171" t="s">
        <v>29278</v>
      </c>
      <c r="F435" s="171" t="s">
        <v>35291</v>
      </c>
      <c r="G435" s="82"/>
      <c r="H435" s="96">
        <f t="shared" si="24"/>
        <v>213.99</v>
      </c>
      <c r="I435" s="96">
        <f t="shared" si="24"/>
        <v>219.91</v>
      </c>
      <c r="J435" s="91" t="str">
        <f t="shared" si="25"/>
        <v>Sinapi 89843</v>
      </c>
      <c r="K435" s="91" t="str">
        <f t="shared" si="26"/>
        <v>CHP</v>
      </c>
      <c r="L435" s="166" t="str">
        <f t="shared" si="27"/>
        <v>11/2014</v>
      </c>
      <c r="M435" s="82"/>
      <c r="N435" s="82"/>
    </row>
    <row r="436" spans="1:14" x14ac:dyDescent="0.25">
      <c r="A436" s="170" t="s">
        <v>2483</v>
      </c>
      <c r="B436" s="170" t="s">
        <v>2484</v>
      </c>
      <c r="C436" s="170" t="s">
        <v>814</v>
      </c>
      <c r="D436" s="170" t="s">
        <v>1947</v>
      </c>
      <c r="E436" s="171" t="s">
        <v>31890</v>
      </c>
      <c r="F436" s="171" t="s">
        <v>35292</v>
      </c>
      <c r="G436" s="82"/>
      <c r="H436" s="96">
        <f t="shared" si="24"/>
        <v>343.18</v>
      </c>
      <c r="I436" s="96">
        <f t="shared" si="24"/>
        <v>346.08</v>
      </c>
      <c r="J436" s="91" t="str">
        <f t="shared" si="25"/>
        <v>Sinapi 89876</v>
      </c>
      <c r="K436" s="91" t="str">
        <f t="shared" si="26"/>
        <v>CHP</v>
      </c>
      <c r="L436" s="166" t="str">
        <f t="shared" si="27"/>
        <v>12/2014</v>
      </c>
      <c r="M436" s="82"/>
      <c r="N436" s="82"/>
    </row>
    <row r="437" spans="1:14" x14ac:dyDescent="0.25">
      <c r="A437" s="170" t="s">
        <v>2485</v>
      </c>
      <c r="B437" s="170" t="s">
        <v>2486</v>
      </c>
      <c r="C437" s="170" t="s">
        <v>814</v>
      </c>
      <c r="D437" s="170" t="s">
        <v>1947</v>
      </c>
      <c r="E437" s="171" t="s">
        <v>31891</v>
      </c>
      <c r="F437" s="171" t="s">
        <v>35293</v>
      </c>
      <c r="G437" s="82"/>
      <c r="H437" s="96">
        <f t="shared" si="24"/>
        <v>380.7</v>
      </c>
      <c r="I437" s="96">
        <f t="shared" si="24"/>
        <v>383.6</v>
      </c>
      <c r="J437" s="91" t="str">
        <f t="shared" si="25"/>
        <v>Sinapi 89883</v>
      </c>
      <c r="K437" s="91" t="str">
        <f t="shared" si="26"/>
        <v>CHP</v>
      </c>
      <c r="L437" s="166" t="str">
        <f t="shared" si="27"/>
        <v>12/2014</v>
      </c>
      <c r="M437" s="82"/>
      <c r="N437" s="82"/>
    </row>
    <row r="438" spans="1:14" x14ac:dyDescent="0.25">
      <c r="A438" s="170" t="s">
        <v>2487</v>
      </c>
      <c r="B438" s="170" t="s">
        <v>1016</v>
      </c>
      <c r="C438" s="170" t="s">
        <v>814</v>
      </c>
      <c r="D438" s="170" t="s">
        <v>1947</v>
      </c>
      <c r="E438" s="171" t="s">
        <v>30454</v>
      </c>
      <c r="F438" s="171" t="s">
        <v>30454</v>
      </c>
      <c r="G438" s="82"/>
      <c r="H438" s="96">
        <f t="shared" si="24"/>
        <v>1.35</v>
      </c>
      <c r="I438" s="96">
        <f t="shared" si="24"/>
        <v>1.35</v>
      </c>
      <c r="J438" s="91" t="str">
        <f t="shared" si="25"/>
        <v>Sinapi 90586</v>
      </c>
      <c r="K438" s="91" t="str">
        <f t="shared" si="26"/>
        <v>CHP</v>
      </c>
      <c r="L438" s="166" t="str">
        <f t="shared" si="27"/>
        <v>06/2015</v>
      </c>
      <c r="M438" s="82"/>
      <c r="N438" s="82"/>
    </row>
    <row r="439" spans="1:14" x14ac:dyDescent="0.25">
      <c r="A439" s="170" t="s">
        <v>2488</v>
      </c>
      <c r="B439" s="170" t="s">
        <v>2489</v>
      </c>
      <c r="C439" s="170" t="s">
        <v>814</v>
      </c>
      <c r="D439" s="170" t="s">
        <v>1947</v>
      </c>
      <c r="E439" s="171" t="s">
        <v>13752</v>
      </c>
      <c r="F439" s="171" t="s">
        <v>13752</v>
      </c>
      <c r="G439" s="82"/>
      <c r="H439" s="96">
        <f t="shared" si="24"/>
        <v>7.73</v>
      </c>
      <c r="I439" s="96">
        <f t="shared" si="24"/>
        <v>7.73</v>
      </c>
      <c r="J439" s="91" t="str">
        <f t="shared" si="25"/>
        <v>Sinapi 90625</v>
      </c>
      <c r="K439" s="91" t="str">
        <f t="shared" si="26"/>
        <v>CHP</v>
      </c>
      <c r="L439" s="166" t="str">
        <f t="shared" si="27"/>
        <v>06/2015</v>
      </c>
      <c r="M439" s="82"/>
      <c r="N439" s="82"/>
    </row>
    <row r="440" spans="1:14" x14ac:dyDescent="0.25">
      <c r="A440" s="170" t="s">
        <v>2490</v>
      </c>
      <c r="B440" s="170" t="s">
        <v>2491</v>
      </c>
      <c r="C440" s="170" t="s">
        <v>814</v>
      </c>
      <c r="D440" s="170" t="s">
        <v>1947</v>
      </c>
      <c r="E440" s="171" t="s">
        <v>31892</v>
      </c>
      <c r="F440" s="171" t="s">
        <v>35294</v>
      </c>
      <c r="G440" s="82"/>
      <c r="H440" s="96">
        <f t="shared" si="24"/>
        <v>137.11000000000001</v>
      </c>
      <c r="I440" s="96">
        <f t="shared" si="24"/>
        <v>139.34</v>
      </c>
      <c r="J440" s="91" t="str">
        <f t="shared" si="25"/>
        <v>Sinapi 90631</v>
      </c>
      <c r="K440" s="91" t="str">
        <f t="shared" si="26"/>
        <v>CHP</v>
      </c>
      <c r="L440" s="166" t="str">
        <f t="shared" si="27"/>
        <v>06/2015</v>
      </c>
      <c r="M440" s="82"/>
      <c r="N440" s="82"/>
    </row>
    <row r="441" spans="1:14" x14ac:dyDescent="0.25">
      <c r="A441" s="170" t="s">
        <v>2492</v>
      </c>
      <c r="B441" s="170" t="s">
        <v>2493</v>
      </c>
      <c r="C441" s="170" t="s">
        <v>814</v>
      </c>
      <c r="D441" s="170" t="s">
        <v>2067</v>
      </c>
      <c r="E441" s="171" t="s">
        <v>31893</v>
      </c>
      <c r="F441" s="171" t="s">
        <v>31893</v>
      </c>
      <c r="G441" s="82"/>
      <c r="H441" s="96">
        <f t="shared" si="24"/>
        <v>18.12</v>
      </c>
      <c r="I441" s="96">
        <f t="shared" si="24"/>
        <v>18.12</v>
      </c>
      <c r="J441" s="91" t="str">
        <f t="shared" si="25"/>
        <v>Sinapi 90637</v>
      </c>
      <c r="K441" s="91" t="str">
        <f t="shared" si="26"/>
        <v>CHP</v>
      </c>
      <c r="L441" s="166" t="str">
        <f t="shared" si="27"/>
        <v>06/2015</v>
      </c>
      <c r="M441" s="82"/>
      <c r="N441" s="82"/>
    </row>
    <row r="442" spans="1:14" x14ac:dyDescent="0.25">
      <c r="A442" s="170" t="s">
        <v>2494</v>
      </c>
      <c r="B442" s="170" t="s">
        <v>2495</v>
      </c>
      <c r="C442" s="170" t="s">
        <v>814</v>
      </c>
      <c r="D442" s="170" t="s">
        <v>2067</v>
      </c>
      <c r="E442" s="171" t="s">
        <v>22826</v>
      </c>
      <c r="F442" s="171" t="s">
        <v>22826</v>
      </c>
      <c r="G442" s="82"/>
      <c r="H442" s="96">
        <f t="shared" si="24"/>
        <v>31.3</v>
      </c>
      <c r="I442" s="96">
        <f t="shared" si="24"/>
        <v>31.3</v>
      </c>
      <c r="J442" s="91" t="str">
        <f t="shared" si="25"/>
        <v>Sinapi 90643</v>
      </c>
      <c r="K442" s="91" t="str">
        <f t="shared" si="26"/>
        <v>CHP</v>
      </c>
      <c r="L442" s="166" t="str">
        <f t="shared" si="27"/>
        <v>06/2015</v>
      </c>
      <c r="M442" s="82"/>
      <c r="N442" s="82"/>
    </row>
    <row r="443" spans="1:14" x14ac:dyDescent="0.25">
      <c r="A443" s="170" t="s">
        <v>2496</v>
      </c>
      <c r="B443" s="170" t="s">
        <v>2497</v>
      </c>
      <c r="C443" s="170" t="s">
        <v>814</v>
      </c>
      <c r="D443" s="170" t="s">
        <v>2067</v>
      </c>
      <c r="E443" s="171" t="s">
        <v>21200</v>
      </c>
      <c r="F443" s="171" t="s">
        <v>21200</v>
      </c>
      <c r="G443" s="82"/>
      <c r="H443" s="96">
        <f t="shared" si="24"/>
        <v>12.56</v>
      </c>
      <c r="I443" s="96">
        <f t="shared" si="24"/>
        <v>12.56</v>
      </c>
      <c r="J443" s="91" t="str">
        <f t="shared" si="25"/>
        <v>Sinapi 90650</v>
      </c>
      <c r="K443" s="91" t="str">
        <f t="shared" si="26"/>
        <v>CHP</v>
      </c>
      <c r="L443" s="166" t="str">
        <f t="shared" si="27"/>
        <v>06/2015</v>
      </c>
      <c r="M443" s="82"/>
      <c r="N443" s="82"/>
    </row>
    <row r="444" spans="1:14" x14ac:dyDescent="0.25">
      <c r="A444" s="170" t="s">
        <v>2498</v>
      </c>
      <c r="B444" s="170" t="s">
        <v>2499</v>
      </c>
      <c r="C444" s="170" t="s">
        <v>814</v>
      </c>
      <c r="D444" s="170" t="s">
        <v>2067</v>
      </c>
      <c r="E444" s="171" t="s">
        <v>16372</v>
      </c>
      <c r="F444" s="171" t="s">
        <v>16372</v>
      </c>
      <c r="G444" s="82"/>
      <c r="H444" s="96">
        <f t="shared" si="24"/>
        <v>17.91</v>
      </c>
      <c r="I444" s="96">
        <f t="shared" si="24"/>
        <v>17.91</v>
      </c>
      <c r="J444" s="91" t="str">
        <f t="shared" si="25"/>
        <v>Sinapi 90656</v>
      </c>
      <c r="K444" s="91" t="str">
        <f t="shared" si="26"/>
        <v>CHP</v>
      </c>
      <c r="L444" s="166" t="str">
        <f t="shared" si="27"/>
        <v>06/2015</v>
      </c>
      <c r="M444" s="82"/>
      <c r="N444" s="82"/>
    </row>
    <row r="445" spans="1:14" x14ac:dyDescent="0.25">
      <c r="A445" s="170" t="s">
        <v>2500</v>
      </c>
      <c r="B445" s="170" t="s">
        <v>2501</v>
      </c>
      <c r="C445" s="170" t="s">
        <v>814</v>
      </c>
      <c r="D445" s="170" t="s">
        <v>2067</v>
      </c>
      <c r="E445" s="171" t="s">
        <v>21104</v>
      </c>
      <c r="F445" s="171" t="s">
        <v>21104</v>
      </c>
      <c r="G445" s="82"/>
      <c r="H445" s="96">
        <f t="shared" si="24"/>
        <v>18.72</v>
      </c>
      <c r="I445" s="96">
        <f t="shared" si="24"/>
        <v>18.72</v>
      </c>
      <c r="J445" s="91" t="str">
        <f t="shared" si="25"/>
        <v>Sinapi 90662</v>
      </c>
      <c r="K445" s="91" t="str">
        <f t="shared" si="26"/>
        <v>CHP</v>
      </c>
      <c r="L445" s="166" t="str">
        <f t="shared" si="27"/>
        <v>06/2015</v>
      </c>
      <c r="M445" s="82"/>
      <c r="N445" s="82"/>
    </row>
    <row r="446" spans="1:14" x14ac:dyDescent="0.25">
      <c r="A446" s="170" t="s">
        <v>2502</v>
      </c>
      <c r="B446" s="170" t="s">
        <v>21616</v>
      </c>
      <c r="C446" s="170" t="s">
        <v>814</v>
      </c>
      <c r="D446" s="170" t="s">
        <v>1947</v>
      </c>
      <c r="E446" s="171" t="s">
        <v>30320</v>
      </c>
      <c r="F446" s="171" t="s">
        <v>30320</v>
      </c>
      <c r="G446" s="82"/>
      <c r="H446" s="96">
        <f t="shared" si="24"/>
        <v>33.869999999999997</v>
      </c>
      <c r="I446" s="96">
        <f t="shared" si="24"/>
        <v>33.869999999999997</v>
      </c>
      <c r="J446" s="91" t="str">
        <f t="shared" si="25"/>
        <v>Sinapi 90668</v>
      </c>
      <c r="K446" s="91" t="str">
        <f t="shared" si="26"/>
        <v>CHP</v>
      </c>
      <c r="L446" s="166" t="str">
        <f t="shared" si="27"/>
        <v>05/2023</v>
      </c>
      <c r="M446" s="82"/>
      <c r="N446" s="82"/>
    </row>
    <row r="447" spans="1:14" x14ac:dyDescent="0.25">
      <c r="A447" s="170" t="s">
        <v>2503</v>
      </c>
      <c r="B447" s="170" t="s">
        <v>2504</v>
      </c>
      <c r="C447" s="170" t="s">
        <v>814</v>
      </c>
      <c r="D447" s="170" t="s">
        <v>1947</v>
      </c>
      <c r="E447" s="171" t="s">
        <v>31894</v>
      </c>
      <c r="F447" s="171" t="s">
        <v>35295</v>
      </c>
      <c r="G447" s="82"/>
      <c r="H447" s="96">
        <f t="shared" si="24"/>
        <v>685.86</v>
      </c>
      <c r="I447" s="96">
        <f t="shared" si="24"/>
        <v>688.09</v>
      </c>
      <c r="J447" s="91" t="str">
        <f t="shared" si="25"/>
        <v>Sinapi 90674</v>
      </c>
      <c r="K447" s="91" t="str">
        <f t="shared" si="26"/>
        <v>CHP</v>
      </c>
      <c r="L447" s="166" t="str">
        <f t="shared" si="27"/>
        <v>06/2015</v>
      </c>
      <c r="M447" s="82"/>
      <c r="N447" s="82"/>
    </row>
    <row r="448" spans="1:14" x14ac:dyDescent="0.25">
      <c r="A448" s="170" t="s">
        <v>2505</v>
      </c>
      <c r="B448" s="170" t="s">
        <v>2506</v>
      </c>
      <c r="C448" s="170" t="s">
        <v>814</v>
      </c>
      <c r="D448" s="170" t="s">
        <v>1947</v>
      </c>
      <c r="E448" s="171" t="s">
        <v>31895</v>
      </c>
      <c r="F448" s="171" t="s">
        <v>35296</v>
      </c>
      <c r="G448" s="82"/>
      <c r="H448" s="96">
        <f t="shared" si="24"/>
        <v>416.3</v>
      </c>
      <c r="I448" s="96">
        <f t="shared" si="24"/>
        <v>418.53</v>
      </c>
      <c r="J448" s="91" t="str">
        <f t="shared" si="25"/>
        <v>Sinapi 90680</v>
      </c>
      <c r="K448" s="91" t="str">
        <f t="shared" si="26"/>
        <v>CHP</v>
      </c>
      <c r="L448" s="166" t="str">
        <f t="shared" si="27"/>
        <v>06/2015</v>
      </c>
      <c r="M448" s="82"/>
      <c r="N448" s="82"/>
    </row>
    <row r="449" spans="1:14" x14ac:dyDescent="0.25">
      <c r="A449" s="170" t="s">
        <v>2507</v>
      </c>
      <c r="B449" s="170" t="s">
        <v>21617</v>
      </c>
      <c r="C449" s="170" t="s">
        <v>814</v>
      </c>
      <c r="D449" s="170" t="s">
        <v>1947</v>
      </c>
      <c r="E449" s="171" t="s">
        <v>31896</v>
      </c>
      <c r="F449" s="171" t="s">
        <v>35297</v>
      </c>
      <c r="G449" s="82"/>
      <c r="H449" s="96">
        <f t="shared" si="24"/>
        <v>161.87</v>
      </c>
      <c r="I449" s="96">
        <f t="shared" si="24"/>
        <v>164.87</v>
      </c>
      <c r="J449" s="91" t="str">
        <f t="shared" si="25"/>
        <v>Sinapi 90686</v>
      </c>
      <c r="K449" s="91" t="str">
        <f t="shared" si="26"/>
        <v>CHP</v>
      </c>
      <c r="L449" s="166" t="str">
        <f t="shared" si="27"/>
        <v>05/2023</v>
      </c>
      <c r="M449" s="82"/>
      <c r="N449" s="82"/>
    </row>
    <row r="450" spans="1:14" x14ac:dyDescent="0.25">
      <c r="A450" s="170" t="s">
        <v>2508</v>
      </c>
      <c r="B450" s="170" t="s">
        <v>2509</v>
      </c>
      <c r="C450" s="170" t="s">
        <v>814</v>
      </c>
      <c r="D450" s="170" t="s">
        <v>1947</v>
      </c>
      <c r="E450" s="171" t="s">
        <v>29297</v>
      </c>
      <c r="F450" s="171" t="s">
        <v>35298</v>
      </c>
      <c r="G450" s="82"/>
      <c r="H450" s="96">
        <f t="shared" si="24"/>
        <v>130.97999999999999</v>
      </c>
      <c r="I450" s="96">
        <f t="shared" si="24"/>
        <v>133.97999999999999</v>
      </c>
      <c r="J450" s="91" t="str">
        <f t="shared" si="25"/>
        <v>Sinapi 90692</v>
      </c>
      <c r="K450" s="91" t="str">
        <f t="shared" si="26"/>
        <v>CHP</v>
      </c>
      <c r="L450" s="166" t="str">
        <f t="shared" si="27"/>
        <v>06/2015</v>
      </c>
      <c r="M450" s="82"/>
      <c r="N450" s="82"/>
    </row>
    <row r="451" spans="1:14" x14ac:dyDescent="0.25">
      <c r="A451" s="170" t="s">
        <v>2510</v>
      </c>
      <c r="B451" s="170" t="s">
        <v>2511</v>
      </c>
      <c r="C451" s="170" t="s">
        <v>814</v>
      </c>
      <c r="D451" s="170" t="s">
        <v>1947</v>
      </c>
      <c r="E451" s="171" t="s">
        <v>31897</v>
      </c>
      <c r="F451" s="171" t="s">
        <v>31897</v>
      </c>
      <c r="G451" s="82"/>
      <c r="H451" s="96">
        <f t="shared" si="24"/>
        <v>33.33</v>
      </c>
      <c r="I451" s="96">
        <f t="shared" si="24"/>
        <v>33.33</v>
      </c>
      <c r="J451" s="91" t="str">
        <f t="shared" si="25"/>
        <v>Sinapi 90964</v>
      </c>
      <c r="K451" s="91" t="str">
        <f t="shared" si="26"/>
        <v>CHP</v>
      </c>
      <c r="L451" s="166" t="str">
        <f t="shared" si="27"/>
        <v>06/2015</v>
      </c>
      <c r="M451" s="82"/>
      <c r="N451" s="82"/>
    </row>
    <row r="452" spans="1:14" x14ac:dyDescent="0.25">
      <c r="A452" s="170" t="s">
        <v>2512</v>
      </c>
      <c r="B452" s="170" t="s">
        <v>2513</v>
      </c>
      <c r="C452" s="170" t="s">
        <v>814</v>
      </c>
      <c r="D452" s="170" t="s">
        <v>1947</v>
      </c>
      <c r="E452" s="171" t="s">
        <v>27257</v>
      </c>
      <c r="F452" s="171" t="s">
        <v>27257</v>
      </c>
      <c r="G452" s="82"/>
      <c r="H452" s="96">
        <f t="shared" si="24"/>
        <v>84.12</v>
      </c>
      <c r="I452" s="96">
        <f t="shared" si="24"/>
        <v>84.12</v>
      </c>
      <c r="J452" s="91" t="str">
        <f t="shared" si="25"/>
        <v>Sinapi 90972</v>
      </c>
      <c r="K452" s="91" t="str">
        <f t="shared" si="26"/>
        <v>CHP</v>
      </c>
      <c r="L452" s="166" t="str">
        <f t="shared" si="27"/>
        <v>06/2015</v>
      </c>
      <c r="M452" s="82"/>
      <c r="N452" s="82"/>
    </row>
    <row r="453" spans="1:14" x14ac:dyDescent="0.25">
      <c r="A453" s="170" t="s">
        <v>2514</v>
      </c>
      <c r="B453" s="170" t="s">
        <v>2515</v>
      </c>
      <c r="C453" s="170" t="s">
        <v>814</v>
      </c>
      <c r="D453" s="170" t="s">
        <v>1947</v>
      </c>
      <c r="E453" s="171" t="s">
        <v>27763</v>
      </c>
      <c r="F453" s="171" t="s">
        <v>27763</v>
      </c>
      <c r="G453" s="82"/>
      <c r="H453" s="96">
        <f t="shared" si="24"/>
        <v>217.34</v>
      </c>
      <c r="I453" s="96">
        <f t="shared" si="24"/>
        <v>217.34</v>
      </c>
      <c r="J453" s="91" t="str">
        <f t="shared" si="25"/>
        <v>Sinapi 90979</v>
      </c>
      <c r="K453" s="91" t="str">
        <f t="shared" si="26"/>
        <v>CHP</v>
      </c>
      <c r="L453" s="166" t="str">
        <f t="shared" si="27"/>
        <v>06/2015</v>
      </c>
      <c r="M453" s="82"/>
      <c r="N453" s="82"/>
    </row>
    <row r="454" spans="1:14" x14ac:dyDescent="0.25">
      <c r="A454" s="170" t="s">
        <v>2516</v>
      </c>
      <c r="B454" s="170" t="s">
        <v>2517</v>
      </c>
      <c r="C454" s="170" t="s">
        <v>814</v>
      </c>
      <c r="D454" s="170" t="s">
        <v>1947</v>
      </c>
      <c r="E454" s="171" t="s">
        <v>31898</v>
      </c>
      <c r="F454" s="171" t="s">
        <v>35299</v>
      </c>
      <c r="G454" s="82"/>
      <c r="H454" s="96">
        <f t="shared" si="24"/>
        <v>206.74</v>
      </c>
      <c r="I454" s="96">
        <f t="shared" si="24"/>
        <v>210.23</v>
      </c>
      <c r="J454" s="91" t="str">
        <f t="shared" si="25"/>
        <v>Sinapi 90991</v>
      </c>
      <c r="K454" s="91" t="str">
        <f t="shared" si="26"/>
        <v>CHP</v>
      </c>
      <c r="L454" s="166" t="str">
        <f t="shared" si="27"/>
        <v>10/2014</v>
      </c>
      <c r="M454" s="82"/>
      <c r="N454" s="82"/>
    </row>
    <row r="455" spans="1:14" x14ac:dyDescent="0.25">
      <c r="A455" s="170" t="s">
        <v>2518</v>
      </c>
      <c r="B455" s="170" t="s">
        <v>2519</v>
      </c>
      <c r="C455" s="170" t="s">
        <v>814</v>
      </c>
      <c r="D455" s="170" t="s">
        <v>1947</v>
      </c>
      <c r="E455" s="171" t="s">
        <v>31899</v>
      </c>
      <c r="F455" s="171" t="s">
        <v>31899</v>
      </c>
      <c r="G455" s="82"/>
      <c r="H455" s="96">
        <f t="shared" si="24"/>
        <v>111.37</v>
      </c>
      <c r="I455" s="96">
        <f t="shared" si="24"/>
        <v>111.37</v>
      </c>
      <c r="J455" s="91" t="str">
        <f t="shared" si="25"/>
        <v>Sinapi 90999</v>
      </c>
      <c r="K455" s="91" t="str">
        <f t="shared" si="26"/>
        <v>CHP</v>
      </c>
      <c r="L455" s="166" t="str">
        <f t="shared" si="27"/>
        <v>06/2015</v>
      </c>
      <c r="M455" s="82"/>
      <c r="N455" s="82"/>
    </row>
    <row r="456" spans="1:14" x14ac:dyDescent="0.25">
      <c r="A456" s="170" t="s">
        <v>2520</v>
      </c>
      <c r="B456" s="170" t="s">
        <v>2521</v>
      </c>
      <c r="C456" s="170" t="s">
        <v>814</v>
      </c>
      <c r="D456" s="170" t="s">
        <v>1947</v>
      </c>
      <c r="E456" s="171" t="s">
        <v>31900</v>
      </c>
      <c r="F456" s="171" t="s">
        <v>35300</v>
      </c>
      <c r="G456" s="82"/>
      <c r="H456" s="96">
        <f t="shared" ref="H456:I519" si="28">IF(E456="","",E456+0)</f>
        <v>272.97000000000003</v>
      </c>
      <c r="I456" s="96">
        <f t="shared" si="28"/>
        <v>275.75</v>
      </c>
      <c r="J456" s="91" t="str">
        <f t="shared" ref="J456:J519" si="29">IF(OR(H456="",I456=""),"",TRIM(CONCATENATE("Sinapi ",A456)))</f>
        <v>Sinapi 91031</v>
      </c>
      <c r="K456" s="91" t="str">
        <f t="shared" ref="K456:K519" si="30">TRIM(C456)</f>
        <v>CHP</v>
      </c>
      <c r="L456" s="166" t="str">
        <f t="shared" ref="L456:L519" si="31">IF(OR(RIGHT(IF(AND(K456&lt;&gt;"H",K456&lt;&gt;"MES"),RIGHT(B456,7),""),2)="PS",RIGHT(IF(AND(K456&lt;&gt;"H",K456&lt;&gt;"MES"),RIGHT(B456,7),""),2)="PA",RIGHT(IF(AND(K456&lt;&gt;"H",K456&lt;&gt;"MES"),RIGHT(B456,7),""),2)="PE"),LEFT(IF(AND(K456&lt;&gt;"H",K456&lt;&gt;"MES"),RIGHT(B456,10),""),7),IF(AND(K456&lt;&gt;"H",K456&lt;&gt;"MES"),RIGHT(B456,7),""))</f>
        <v>06/2015</v>
      </c>
      <c r="M456" s="82"/>
      <c r="N456" s="82"/>
    </row>
    <row r="457" spans="1:14" x14ac:dyDescent="0.25">
      <c r="A457" s="170" t="s">
        <v>2522</v>
      </c>
      <c r="B457" s="170" t="s">
        <v>969</v>
      </c>
      <c r="C457" s="170" t="s">
        <v>814</v>
      </c>
      <c r="D457" s="170" t="s">
        <v>1947</v>
      </c>
      <c r="E457" s="171" t="s">
        <v>2147</v>
      </c>
      <c r="F457" s="171" t="s">
        <v>2147</v>
      </c>
      <c r="G457" s="82"/>
      <c r="H457" s="96">
        <f t="shared" si="28"/>
        <v>10.72</v>
      </c>
      <c r="I457" s="96">
        <f t="shared" si="28"/>
        <v>10.72</v>
      </c>
      <c r="J457" s="91" t="str">
        <f t="shared" si="29"/>
        <v>Sinapi 91277</v>
      </c>
      <c r="K457" s="91" t="str">
        <f t="shared" si="30"/>
        <v>CHP</v>
      </c>
      <c r="L457" s="166" t="str">
        <f t="shared" si="31"/>
        <v>08/2015</v>
      </c>
      <c r="M457" s="82"/>
      <c r="N457" s="82"/>
    </row>
    <row r="458" spans="1:14" x14ac:dyDescent="0.25">
      <c r="A458" s="170" t="s">
        <v>2523</v>
      </c>
      <c r="B458" s="170" t="s">
        <v>1140</v>
      </c>
      <c r="C458" s="170" t="s">
        <v>814</v>
      </c>
      <c r="D458" s="170" t="s">
        <v>2067</v>
      </c>
      <c r="E458" s="171" t="s">
        <v>12097</v>
      </c>
      <c r="F458" s="171" t="s">
        <v>12097</v>
      </c>
      <c r="G458" s="82"/>
      <c r="H458" s="96">
        <f t="shared" si="28"/>
        <v>12.08</v>
      </c>
      <c r="I458" s="96">
        <f t="shared" si="28"/>
        <v>12.08</v>
      </c>
      <c r="J458" s="91" t="str">
        <f t="shared" si="29"/>
        <v>Sinapi 91283</v>
      </c>
      <c r="K458" s="91" t="str">
        <f t="shared" si="30"/>
        <v>CHP</v>
      </c>
      <c r="L458" s="166" t="str">
        <f t="shared" si="31"/>
        <v>08/2015</v>
      </c>
      <c r="M458" s="82"/>
      <c r="N458" s="82"/>
    </row>
    <row r="459" spans="1:14" x14ac:dyDescent="0.25">
      <c r="A459" s="170" t="s">
        <v>2524</v>
      </c>
      <c r="B459" s="170" t="s">
        <v>2525</v>
      </c>
      <c r="C459" s="170" t="s">
        <v>814</v>
      </c>
      <c r="D459" s="170" t="s">
        <v>1947</v>
      </c>
      <c r="E459" s="171" t="s">
        <v>31901</v>
      </c>
      <c r="F459" s="171" t="s">
        <v>35301</v>
      </c>
      <c r="G459" s="82"/>
      <c r="H459" s="96">
        <f t="shared" si="28"/>
        <v>280.94</v>
      </c>
      <c r="I459" s="96">
        <f t="shared" si="28"/>
        <v>283.83999999999997</v>
      </c>
      <c r="J459" s="91" t="str">
        <f t="shared" si="29"/>
        <v>Sinapi 91386</v>
      </c>
      <c r="K459" s="91" t="str">
        <f t="shared" si="30"/>
        <v>CHP</v>
      </c>
      <c r="L459" s="166" t="str">
        <f t="shared" si="31"/>
        <v>06/2014</v>
      </c>
      <c r="M459" s="82"/>
      <c r="N459" s="82"/>
    </row>
    <row r="460" spans="1:14" x14ac:dyDescent="0.25">
      <c r="A460" s="170" t="s">
        <v>2526</v>
      </c>
      <c r="B460" s="170" t="s">
        <v>813</v>
      </c>
      <c r="C460" s="170" t="s">
        <v>814</v>
      </c>
      <c r="D460" s="170" t="s">
        <v>1947</v>
      </c>
      <c r="E460" s="171" t="s">
        <v>31902</v>
      </c>
      <c r="F460" s="171" t="s">
        <v>33537</v>
      </c>
      <c r="G460" s="82"/>
      <c r="H460" s="96">
        <f t="shared" si="28"/>
        <v>27.88</v>
      </c>
      <c r="I460" s="96">
        <f t="shared" si="28"/>
        <v>30.11</v>
      </c>
      <c r="J460" s="91" t="str">
        <f t="shared" si="29"/>
        <v>Sinapi 91533</v>
      </c>
      <c r="K460" s="91" t="str">
        <f t="shared" si="30"/>
        <v>CHP</v>
      </c>
      <c r="L460" s="166" t="str">
        <f t="shared" si="31"/>
        <v>08/2015</v>
      </c>
      <c r="M460" s="82"/>
      <c r="N460" s="82"/>
    </row>
    <row r="461" spans="1:14" x14ac:dyDescent="0.25">
      <c r="A461" s="170" t="s">
        <v>2527</v>
      </c>
      <c r="B461" s="170" t="s">
        <v>2528</v>
      </c>
      <c r="C461" s="170" t="s">
        <v>814</v>
      </c>
      <c r="D461" s="170" t="s">
        <v>1947</v>
      </c>
      <c r="E461" s="171" t="s">
        <v>31903</v>
      </c>
      <c r="F461" s="171" t="s">
        <v>35302</v>
      </c>
      <c r="G461" s="82"/>
      <c r="H461" s="96">
        <f t="shared" si="28"/>
        <v>241.36</v>
      </c>
      <c r="I461" s="96">
        <f t="shared" si="28"/>
        <v>243.89</v>
      </c>
      <c r="J461" s="91" t="str">
        <f t="shared" si="29"/>
        <v>Sinapi 91634</v>
      </c>
      <c r="K461" s="91" t="str">
        <f t="shared" si="30"/>
        <v>CHP</v>
      </c>
      <c r="L461" s="166" t="str">
        <f t="shared" si="31"/>
        <v>08/2015</v>
      </c>
      <c r="M461" s="82"/>
      <c r="N461" s="82"/>
    </row>
    <row r="462" spans="1:14" x14ac:dyDescent="0.25">
      <c r="A462" s="170" t="s">
        <v>2529</v>
      </c>
      <c r="B462" s="170" t="s">
        <v>2530</v>
      </c>
      <c r="C462" s="170" t="s">
        <v>814</v>
      </c>
      <c r="D462" s="170" t="s">
        <v>1947</v>
      </c>
      <c r="E462" s="171" t="s">
        <v>31904</v>
      </c>
      <c r="F462" s="171" t="s">
        <v>35303</v>
      </c>
      <c r="G462" s="82"/>
      <c r="H462" s="96">
        <f t="shared" si="28"/>
        <v>498.49</v>
      </c>
      <c r="I462" s="96">
        <f t="shared" si="28"/>
        <v>501.95</v>
      </c>
      <c r="J462" s="91" t="str">
        <f t="shared" si="29"/>
        <v>Sinapi 91645</v>
      </c>
      <c r="K462" s="91" t="str">
        <f t="shared" si="30"/>
        <v>CHP</v>
      </c>
      <c r="L462" s="166" t="str">
        <f t="shared" si="31"/>
        <v>08/2015</v>
      </c>
      <c r="M462" s="82"/>
      <c r="N462" s="82"/>
    </row>
    <row r="463" spans="1:14" x14ac:dyDescent="0.25">
      <c r="A463" s="170" t="s">
        <v>2531</v>
      </c>
      <c r="B463" s="170" t="s">
        <v>1018</v>
      </c>
      <c r="C463" s="170" t="s">
        <v>814</v>
      </c>
      <c r="D463" s="170" t="s">
        <v>2067</v>
      </c>
      <c r="E463" s="171" t="s">
        <v>21647</v>
      </c>
      <c r="F463" s="171" t="s">
        <v>33017</v>
      </c>
      <c r="G463" s="82"/>
      <c r="H463" s="96">
        <f t="shared" si="28"/>
        <v>20.92</v>
      </c>
      <c r="I463" s="96">
        <f t="shared" si="28"/>
        <v>23.15</v>
      </c>
      <c r="J463" s="91" t="str">
        <f t="shared" si="29"/>
        <v>Sinapi 91692</v>
      </c>
      <c r="K463" s="91" t="str">
        <f t="shared" si="30"/>
        <v>CHP</v>
      </c>
      <c r="L463" s="166" t="str">
        <f t="shared" si="31"/>
        <v>08/2015</v>
      </c>
      <c r="M463" s="82"/>
      <c r="N463" s="82"/>
    </row>
    <row r="464" spans="1:14" x14ac:dyDescent="0.25">
      <c r="A464" s="170" t="s">
        <v>2532</v>
      </c>
      <c r="B464" s="170" t="s">
        <v>2533</v>
      </c>
      <c r="C464" s="170" t="s">
        <v>814</v>
      </c>
      <c r="D464" s="170" t="s">
        <v>1947</v>
      </c>
      <c r="E464" s="171" t="s">
        <v>22889</v>
      </c>
      <c r="F464" s="171" t="s">
        <v>22889</v>
      </c>
      <c r="G464" s="82"/>
      <c r="H464" s="96">
        <f t="shared" si="28"/>
        <v>13.19</v>
      </c>
      <c r="I464" s="96">
        <f t="shared" si="28"/>
        <v>13.19</v>
      </c>
      <c r="J464" s="91" t="str">
        <f t="shared" si="29"/>
        <v>Sinapi 92043</v>
      </c>
      <c r="K464" s="91" t="str">
        <f t="shared" si="30"/>
        <v>CHP</v>
      </c>
      <c r="L464" s="166" t="str">
        <f t="shared" si="31"/>
        <v>11/2015</v>
      </c>
      <c r="M464" s="82"/>
      <c r="N464" s="82"/>
    </row>
    <row r="465" spans="1:14" x14ac:dyDescent="0.25">
      <c r="A465" s="170" t="s">
        <v>2534</v>
      </c>
      <c r="B465" s="170" t="s">
        <v>21618</v>
      </c>
      <c r="C465" s="170" t="s">
        <v>814</v>
      </c>
      <c r="D465" s="170" t="s">
        <v>1947</v>
      </c>
      <c r="E465" s="171" t="s">
        <v>31905</v>
      </c>
      <c r="F465" s="171" t="s">
        <v>35304</v>
      </c>
      <c r="G465" s="82"/>
      <c r="H465" s="96">
        <f t="shared" si="28"/>
        <v>343.94</v>
      </c>
      <c r="I465" s="96">
        <f t="shared" si="28"/>
        <v>346.72</v>
      </c>
      <c r="J465" s="91" t="str">
        <f t="shared" si="29"/>
        <v>Sinapi 92106</v>
      </c>
      <c r="K465" s="91" t="str">
        <f t="shared" si="30"/>
        <v>CHP</v>
      </c>
      <c r="L465" s="166" t="str">
        <f t="shared" si="31"/>
        <v>05/2023</v>
      </c>
      <c r="M465" s="82"/>
      <c r="N465" s="82"/>
    </row>
    <row r="466" spans="1:14" x14ac:dyDescent="0.25">
      <c r="A466" s="170" t="s">
        <v>2535</v>
      </c>
      <c r="B466" s="170" t="s">
        <v>21619</v>
      </c>
      <c r="C466" s="170" t="s">
        <v>814</v>
      </c>
      <c r="D466" s="170" t="s">
        <v>2067</v>
      </c>
      <c r="E466" s="171" t="s">
        <v>18255</v>
      </c>
      <c r="F466" s="171" t="s">
        <v>18255</v>
      </c>
      <c r="G466" s="82"/>
      <c r="H466" s="96">
        <f t="shared" si="28"/>
        <v>4.12</v>
      </c>
      <c r="I466" s="96">
        <f t="shared" si="28"/>
        <v>4.12</v>
      </c>
      <c r="J466" s="91" t="str">
        <f t="shared" si="29"/>
        <v>Sinapi 92112</v>
      </c>
      <c r="K466" s="91" t="str">
        <f t="shared" si="30"/>
        <v>CHP</v>
      </c>
      <c r="L466" s="166" t="str">
        <f t="shared" si="31"/>
        <v>05/2023</v>
      </c>
      <c r="M466" s="82"/>
      <c r="N466" s="82"/>
    </row>
    <row r="467" spans="1:14" x14ac:dyDescent="0.25">
      <c r="A467" s="170" t="s">
        <v>2536</v>
      </c>
      <c r="B467" s="170" t="s">
        <v>21620</v>
      </c>
      <c r="C467" s="170" t="s">
        <v>814</v>
      </c>
      <c r="D467" s="170" t="s">
        <v>2067</v>
      </c>
      <c r="E467" s="171" t="s">
        <v>2755</v>
      </c>
      <c r="F467" s="171" t="s">
        <v>2755</v>
      </c>
      <c r="G467" s="82"/>
      <c r="H467" s="96">
        <f t="shared" si="28"/>
        <v>0.54</v>
      </c>
      <c r="I467" s="96">
        <f t="shared" si="28"/>
        <v>0.54</v>
      </c>
      <c r="J467" s="91" t="str">
        <f t="shared" si="29"/>
        <v>Sinapi 92118</v>
      </c>
      <c r="K467" s="91" t="str">
        <f t="shared" si="30"/>
        <v>CHP</v>
      </c>
      <c r="L467" s="166" t="str">
        <f t="shared" si="31"/>
        <v>05/2023</v>
      </c>
      <c r="M467" s="82"/>
      <c r="N467" s="82"/>
    </row>
    <row r="468" spans="1:14" x14ac:dyDescent="0.25">
      <c r="A468" s="170" t="s">
        <v>2538</v>
      </c>
      <c r="B468" s="170" t="s">
        <v>2539</v>
      </c>
      <c r="C468" s="170" t="s">
        <v>814</v>
      </c>
      <c r="D468" s="170" t="s">
        <v>2067</v>
      </c>
      <c r="E468" s="171" t="s">
        <v>31389</v>
      </c>
      <c r="F468" s="171" t="s">
        <v>29110</v>
      </c>
      <c r="G468" s="82"/>
      <c r="H468" s="96">
        <f t="shared" si="28"/>
        <v>90.42</v>
      </c>
      <c r="I468" s="96">
        <f t="shared" si="28"/>
        <v>92.09</v>
      </c>
      <c r="J468" s="91" t="str">
        <f t="shared" si="29"/>
        <v>Sinapi 92138</v>
      </c>
      <c r="K468" s="91" t="str">
        <f t="shared" si="30"/>
        <v>CHP</v>
      </c>
      <c r="L468" s="166" t="str">
        <f t="shared" si="31"/>
        <v>11/2015</v>
      </c>
      <c r="M468" s="82"/>
      <c r="N468" s="82"/>
    </row>
    <row r="469" spans="1:14" x14ac:dyDescent="0.25">
      <c r="A469" s="170" t="s">
        <v>2540</v>
      </c>
      <c r="B469" s="170" t="s">
        <v>2541</v>
      </c>
      <c r="C469" s="170" t="s">
        <v>814</v>
      </c>
      <c r="D469" s="170" t="s">
        <v>2067</v>
      </c>
      <c r="E469" s="171" t="s">
        <v>29424</v>
      </c>
      <c r="F469" s="171" t="s">
        <v>35305</v>
      </c>
      <c r="G469" s="82"/>
      <c r="H469" s="96">
        <f t="shared" si="28"/>
        <v>73.150000000000006</v>
      </c>
      <c r="I469" s="96">
        <f t="shared" si="28"/>
        <v>74.819999999999993</v>
      </c>
      <c r="J469" s="91" t="str">
        <f t="shared" si="29"/>
        <v>Sinapi 92145</v>
      </c>
      <c r="K469" s="91" t="str">
        <f t="shared" si="30"/>
        <v>CHP</v>
      </c>
      <c r="L469" s="166" t="str">
        <f t="shared" si="31"/>
        <v>11/2015</v>
      </c>
      <c r="M469" s="82"/>
      <c r="N469" s="82"/>
    </row>
    <row r="470" spans="1:14" x14ac:dyDescent="0.25">
      <c r="A470" s="170" t="s">
        <v>2542</v>
      </c>
      <c r="B470" s="170" t="s">
        <v>2543</v>
      </c>
      <c r="C470" s="170" t="s">
        <v>814</v>
      </c>
      <c r="D470" s="170" t="s">
        <v>1947</v>
      </c>
      <c r="E470" s="171" t="s">
        <v>31906</v>
      </c>
      <c r="F470" s="171" t="s">
        <v>35306</v>
      </c>
      <c r="G470" s="82"/>
      <c r="H470" s="96">
        <f t="shared" si="28"/>
        <v>433.12</v>
      </c>
      <c r="I470" s="96">
        <f t="shared" si="28"/>
        <v>436.58</v>
      </c>
      <c r="J470" s="91" t="str">
        <f t="shared" si="29"/>
        <v>Sinapi 92242</v>
      </c>
      <c r="K470" s="91" t="str">
        <f t="shared" si="30"/>
        <v>CHP</v>
      </c>
      <c r="L470" s="166" t="str">
        <f t="shared" si="31"/>
        <v>12/2015</v>
      </c>
      <c r="M470" s="82"/>
      <c r="N470" s="82"/>
    </row>
    <row r="471" spans="1:14" x14ac:dyDescent="0.25">
      <c r="A471" s="170" t="s">
        <v>2544</v>
      </c>
      <c r="B471" s="170" t="s">
        <v>21621</v>
      </c>
      <c r="C471" s="170" t="s">
        <v>814</v>
      </c>
      <c r="D471" s="170" t="s">
        <v>1947</v>
      </c>
      <c r="E471" s="171" t="s">
        <v>29284</v>
      </c>
      <c r="F471" s="171" t="s">
        <v>29284</v>
      </c>
      <c r="G471" s="82"/>
      <c r="H471" s="96">
        <f t="shared" si="28"/>
        <v>82.23</v>
      </c>
      <c r="I471" s="96">
        <f t="shared" si="28"/>
        <v>82.23</v>
      </c>
      <c r="J471" s="91" t="str">
        <f t="shared" si="29"/>
        <v>Sinapi 92716</v>
      </c>
      <c r="K471" s="91" t="str">
        <f t="shared" si="30"/>
        <v>CHP</v>
      </c>
      <c r="L471" s="166" t="str">
        <f t="shared" si="31"/>
        <v>05/2023</v>
      </c>
      <c r="M471" s="82"/>
      <c r="N471" s="82"/>
    </row>
    <row r="472" spans="1:14" x14ac:dyDescent="0.25">
      <c r="A472" s="170" t="s">
        <v>2546</v>
      </c>
      <c r="B472" s="170" t="s">
        <v>2547</v>
      </c>
      <c r="C472" s="170" t="s">
        <v>814</v>
      </c>
      <c r="D472" s="170" t="s">
        <v>1947</v>
      </c>
      <c r="E472" s="171" t="s">
        <v>21126</v>
      </c>
      <c r="F472" s="171" t="s">
        <v>21126</v>
      </c>
      <c r="G472" s="82"/>
      <c r="H472" s="96">
        <f t="shared" si="28"/>
        <v>20.47</v>
      </c>
      <c r="I472" s="96">
        <f t="shared" si="28"/>
        <v>20.47</v>
      </c>
      <c r="J472" s="91" t="str">
        <f t="shared" si="29"/>
        <v>Sinapi 92960</v>
      </c>
      <c r="K472" s="91" t="str">
        <f t="shared" si="30"/>
        <v>CHP</v>
      </c>
      <c r="L472" s="166" t="str">
        <f t="shared" si="31"/>
        <v>12/2015</v>
      </c>
      <c r="M472" s="82"/>
      <c r="N472" s="82"/>
    </row>
    <row r="473" spans="1:14" x14ac:dyDescent="0.25">
      <c r="A473" s="170" t="s">
        <v>2548</v>
      </c>
      <c r="B473" s="170" t="s">
        <v>2549</v>
      </c>
      <c r="C473" s="170" t="s">
        <v>814</v>
      </c>
      <c r="D473" s="170" t="s">
        <v>1947</v>
      </c>
      <c r="E473" s="171" t="s">
        <v>23154</v>
      </c>
      <c r="F473" s="171" t="s">
        <v>23224</v>
      </c>
      <c r="G473" s="82"/>
      <c r="H473" s="96">
        <f t="shared" si="28"/>
        <v>23.75</v>
      </c>
      <c r="I473" s="96">
        <f t="shared" si="28"/>
        <v>26.14</v>
      </c>
      <c r="J473" s="91" t="str">
        <f t="shared" si="29"/>
        <v>Sinapi 92966</v>
      </c>
      <c r="K473" s="91" t="str">
        <f t="shared" si="30"/>
        <v>CHP</v>
      </c>
      <c r="L473" s="166" t="str">
        <f t="shared" si="31"/>
        <v>12/2015</v>
      </c>
      <c r="M473" s="82"/>
      <c r="N473" s="82"/>
    </row>
    <row r="474" spans="1:14" x14ac:dyDescent="0.25">
      <c r="A474" s="170" t="s">
        <v>2550</v>
      </c>
      <c r="B474" s="170" t="s">
        <v>2551</v>
      </c>
      <c r="C474" s="170" t="s">
        <v>814</v>
      </c>
      <c r="D474" s="170" t="s">
        <v>1947</v>
      </c>
      <c r="E474" s="171" t="s">
        <v>31907</v>
      </c>
      <c r="F474" s="171" t="s">
        <v>35307</v>
      </c>
      <c r="G474" s="82"/>
      <c r="H474" s="96">
        <f t="shared" si="28"/>
        <v>1022.71</v>
      </c>
      <c r="I474" s="96">
        <f t="shared" si="28"/>
        <v>1024.94</v>
      </c>
      <c r="J474" s="91" t="str">
        <f t="shared" si="29"/>
        <v>Sinapi 93224</v>
      </c>
      <c r="K474" s="91" t="str">
        <f t="shared" si="30"/>
        <v>CHP</v>
      </c>
      <c r="L474" s="166" t="str">
        <f t="shared" si="31"/>
        <v>01/2016</v>
      </c>
      <c r="M474" s="82"/>
      <c r="N474" s="82"/>
    </row>
    <row r="475" spans="1:14" x14ac:dyDescent="0.25">
      <c r="A475" s="170" t="s">
        <v>2552</v>
      </c>
      <c r="B475" s="170" t="s">
        <v>2553</v>
      </c>
      <c r="C475" s="170" t="s">
        <v>814</v>
      </c>
      <c r="D475" s="170" t="s">
        <v>2067</v>
      </c>
      <c r="E475" s="171" t="s">
        <v>17975</v>
      </c>
      <c r="F475" s="171" t="s">
        <v>17975</v>
      </c>
      <c r="G475" s="82"/>
      <c r="H475" s="96">
        <f t="shared" si="28"/>
        <v>6.32</v>
      </c>
      <c r="I475" s="96">
        <f t="shared" si="28"/>
        <v>6.32</v>
      </c>
      <c r="J475" s="91" t="str">
        <f t="shared" si="29"/>
        <v>Sinapi 93233</v>
      </c>
      <c r="K475" s="91" t="str">
        <f t="shared" si="30"/>
        <v>CHP</v>
      </c>
      <c r="L475" s="166" t="str">
        <f t="shared" si="31"/>
        <v>02/2016</v>
      </c>
      <c r="M475" s="82"/>
      <c r="N475" s="82"/>
    </row>
    <row r="476" spans="1:14" x14ac:dyDescent="0.25">
      <c r="A476" s="170" t="s">
        <v>2554</v>
      </c>
      <c r="B476" s="170" t="s">
        <v>21622</v>
      </c>
      <c r="C476" s="170" t="s">
        <v>814</v>
      </c>
      <c r="D476" s="170" t="s">
        <v>1947</v>
      </c>
      <c r="E476" s="171" t="s">
        <v>31908</v>
      </c>
      <c r="F476" s="171" t="s">
        <v>26005</v>
      </c>
      <c r="G476" s="82"/>
      <c r="H476" s="96">
        <f t="shared" si="28"/>
        <v>100.12</v>
      </c>
      <c r="I476" s="96">
        <f t="shared" si="28"/>
        <v>103.26</v>
      </c>
      <c r="J476" s="91" t="str">
        <f t="shared" si="29"/>
        <v>Sinapi 93272</v>
      </c>
      <c r="K476" s="91" t="str">
        <f t="shared" si="30"/>
        <v>CHP</v>
      </c>
      <c r="L476" s="166" t="str">
        <f t="shared" si="31"/>
        <v>05/2023</v>
      </c>
      <c r="M476" s="82"/>
      <c r="N476" s="82"/>
    </row>
    <row r="477" spans="1:14" x14ac:dyDescent="0.25">
      <c r="A477" s="170" t="s">
        <v>2555</v>
      </c>
      <c r="B477" s="170" t="s">
        <v>1171</v>
      </c>
      <c r="C477" s="170" t="s">
        <v>814</v>
      </c>
      <c r="D477" s="170" t="s">
        <v>1947</v>
      </c>
      <c r="E477" s="171" t="s">
        <v>11609</v>
      </c>
      <c r="F477" s="171" t="s">
        <v>25805</v>
      </c>
      <c r="G477" s="82"/>
      <c r="H477" s="96">
        <f t="shared" si="28"/>
        <v>21.91</v>
      </c>
      <c r="I477" s="96">
        <f t="shared" si="28"/>
        <v>24.32</v>
      </c>
      <c r="J477" s="91" t="str">
        <f t="shared" si="29"/>
        <v>Sinapi 93281</v>
      </c>
      <c r="K477" s="91" t="str">
        <f t="shared" si="30"/>
        <v>CHP</v>
      </c>
      <c r="L477" s="166" t="str">
        <f t="shared" si="31"/>
        <v>03/2016</v>
      </c>
      <c r="M477" s="82"/>
      <c r="N477" s="82"/>
    </row>
    <row r="478" spans="1:14" x14ac:dyDescent="0.25">
      <c r="A478" s="170" t="s">
        <v>2556</v>
      </c>
      <c r="B478" s="170" t="s">
        <v>2557</v>
      </c>
      <c r="C478" s="170" t="s">
        <v>814</v>
      </c>
      <c r="D478" s="170" t="s">
        <v>1947</v>
      </c>
      <c r="E478" s="171" t="s">
        <v>31909</v>
      </c>
      <c r="F478" s="171" t="s">
        <v>35308</v>
      </c>
      <c r="G478" s="82"/>
      <c r="H478" s="96">
        <f t="shared" si="28"/>
        <v>330.84</v>
      </c>
      <c r="I478" s="96">
        <f t="shared" si="28"/>
        <v>333.98</v>
      </c>
      <c r="J478" s="91" t="str">
        <f t="shared" si="29"/>
        <v>Sinapi 93287</v>
      </c>
      <c r="K478" s="91" t="str">
        <f t="shared" si="30"/>
        <v>CHP</v>
      </c>
      <c r="L478" s="166" t="str">
        <f t="shared" si="31"/>
        <v>03/2016</v>
      </c>
      <c r="M478" s="82"/>
      <c r="N478" s="82"/>
    </row>
    <row r="479" spans="1:14" x14ac:dyDescent="0.25">
      <c r="A479" s="170" t="s">
        <v>2558</v>
      </c>
      <c r="B479" s="170" t="s">
        <v>2559</v>
      </c>
      <c r="C479" s="170" t="s">
        <v>814</v>
      </c>
      <c r="D479" s="170" t="s">
        <v>1947</v>
      </c>
      <c r="E479" s="171" t="s">
        <v>31910</v>
      </c>
      <c r="F479" s="171" t="s">
        <v>35309</v>
      </c>
      <c r="G479" s="82"/>
      <c r="H479" s="96">
        <f t="shared" si="28"/>
        <v>280.52</v>
      </c>
      <c r="I479" s="96">
        <f t="shared" si="28"/>
        <v>283.05</v>
      </c>
      <c r="J479" s="91" t="str">
        <f t="shared" si="29"/>
        <v>Sinapi 93402</v>
      </c>
      <c r="K479" s="91" t="str">
        <f t="shared" si="30"/>
        <v>CHP</v>
      </c>
      <c r="L479" s="166" t="str">
        <f t="shared" si="31"/>
        <v>03/2016</v>
      </c>
      <c r="M479" s="82"/>
      <c r="N479" s="82"/>
    </row>
    <row r="480" spans="1:14" x14ac:dyDescent="0.25">
      <c r="A480" s="170" t="s">
        <v>2560</v>
      </c>
      <c r="B480" s="170" t="s">
        <v>21623</v>
      </c>
      <c r="C480" s="170" t="s">
        <v>814</v>
      </c>
      <c r="D480" s="170" t="s">
        <v>1947</v>
      </c>
      <c r="E480" s="171" t="s">
        <v>31911</v>
      </c>
      <c r="F480" s="171" t="s">
        <v>22802</v>
      </c>
      <c r="G480" s="82"/>
      <c r="H480" s="96">
        <f t="shared" si="28"/>
        <v>95.03</v>
      </c>
      <c r="I480" s="96">
        <f t="shared" si="28"/>
        <v>98.14</v>
      </c>
      <c r="J480" s="91" t="str">
        <f t="shared" si="29"/>
        <v>Sinapi 93408</v>
      </c>
      <c r="K480" s="91" t="str">
        <f t="shared" si="30"/>
        <v>CHP</v>
      </c>
      <c r="L480" s="166" t="str">
        <f t="shared" si="31"/>
        <v>05/2023</v>
      </c>
      <c r="M480" s="82"/>
      <c r="N480" s="82"/>
    </row>
    <row r="481" spans="1:14" x14ac:dyDescent="0.25">
      <c r="A481" s="170" t="s">
        <v>2561</v>
      </c>
      <c r="B481" s="170" t="s">
        <v>2562</v>
      </c>
      <c r="C481" s="170" t="s">
        <v>814</v>
      </c>
      <c r="D481" s="170" t="s">
        <v>1947</v>
      </c>
      <c r="E481" s="171" t="s">
        <v>31912</v>
      </c>
      <c r="F481" s="171" t="s">
        <v>31912</v>
      </c>
      <c r="G481" s="82"/>
      <c r="H481" s="96">
        <f t="shared" si="28"/>
        <v>17.13</v>
      </c>
      <c r="I481" s="96">
        <f t="shared" si="28"/>
        <v>17.13</v>
      </c>
      <c r="J481" s="91" t="str">
        <f t="shared" si="29"/>
        <v>Sinapi 93415</v>
      </c>
      <c r="K481" s="91" t="str">
        <f t="shared" si="30"/>
        <v>CHP</v>
      </c>
      <c r="L481" s="166" t="str">
        <f t="shared" si="31"/>
        <v>03/2016</v>
      </c>
      <c r="M481" s="82"/>
      <c r="N481" s="82"/>
    </row>
    <row r="482" spans="1:14" x14ac:dyDescent="0.25">
      <c r="A482" s="170" t="s">
        <v>2563</v>
      </c>
      <c r="B482" s="170" t="s">
        <v>2564</v>
      </c>
      <c r="C482" s="170" t="s">
        <v>814</v>
      </c>
      <c r="D482" s="170" t="s">
        <v>1947</v>
      </c>
      <c r="E482" s="171" t="s">
        <v>31913</v>
      </c>
      <c r="F482" s="171" t="s">
        <v>31913</v>
      </c>
      <c r="G482" s="82"/>
      <c r="H482" s="96">
        <f t="shared" si="28"/>
        <v>82.86</v>
      </c>
      <c r="I482" s="96">
        <f t="shared" si="28"/>
        <v>82.86</v>
      </c>
      <c r="J482" s="91" t="str">
        <f t="shared" si="29"/>
        <v>Sinapi 93421</v>
      </c>
      <c r="K482" s="91" t="str">
        <f t="shared" si="30"/>
        <v>CHP</v>
      </c>
      <c r="L482" s="166" t="str">
        <f t="shared" si="31"/>
        <v>03/2016</v>
      </c>
      <c r="M482" s="82"/>
      <c r="N482" s="82"/>
    </row>
    <row r="483" spans="1:14" x14ac:dyDescent="0.25">
      <c r="A483" s="170" t="s">
        <v>2565</v>
      </c>
      <c r="B483" s="170" t="s">
        <v>1156</v>
      </c>
      <c r="C483" s="170" t="s">
        <v>814</v>
      </c>
      <c r="D483" s="170" t="s">
        <v>1947</v>
      </c>
      <c r="E483" s="171" t="s">
        <v>31914</v>
      </c>
      <c r="F483" s="171" t="s">
        <v>31914</v>
      </c>
      <c r="G483" s="82"/>
      <c r="H483" s="96">
        <f t="shared" si="28"/>
        <v>189.93</v>
      </c>
      <c r="I483" s="96">
        <f t="shared" si="28"/>
        <v>189.93</v>
      </c>
      <c r="J483" s="91" t="str">
        <f t="shared" si="29"/>
        <v>Sinapi 93427</v>
      </c>
      <c r="K483" s="91" t="str">
        <f t="shared" si="30"/>
        <v>CHP</v>
      </c>
      <c r="L483" s="166" t="str">
        <f t="shared" si="31"/>
        <v>03/2016</v>
      </c>
      <c r="M483" s="82"/>
      <c r="N483" s="82"/>
    </row>
    <row r="484" spans="1:14" x14ac:dyDescent="0.25">
      <c r="A484" s="170" t="s">
        <v>2566</v>
      </c>
      <c r="B484" s="170" t="s">
        <v>21625</v>
      </c>
      <c r="C484" s="170" t="s">
        <v>814</v>
      </c>
      <c r="D484" s="170" t="s">
        <v>1947</v>
      </c>
      <c r="E484" s="171" t="s">
        <v>31915</v>
      </c>
      <c r="F484" s="171" t="s">
        <v>35310</v>
      </c>
      <c r="G484" s="82"/>
      <c r="H484" s="96">
        <f t="shared" si="28"/>
        <v>2779.71</v>
      </c>
      <c r="I484" s="96">
        <f t="shared" si="28"/>
        <v>2790.16</v>
      </c>
      <c r="J484" s="91" t="str">
        <f t="shared" si="29"/>
        <v>Sinapi 93433</v>
      </c>
      <c r="K484" s="91" t="str">
        <f t="shared" si="30"/>
        <v>CHP</v>
      </c>
      <c r="L484" s="166" t="str">
        <f t="shared" si="31"/>
        <v>05/2023</v>
      </c>
      <c r="M484" s="82"/>
      <c r="N484" s="82"/>
    </row>
    <row r="485" spans="1:14" x14ac:dyDescent="0.25">
      <c r="A485" s="170" t="s">
        <v>2567</v>
      </c>
      <c r="B485" s="170" t="s">
        <v>21626</v>
      </c>
      <c r="C485" s="170" t="s">
        <v>814</v>
      </c>
      <c r="D485" s="170" t="s">
        <v>1947</v>
      </c>
      <c r="E485" s="171" t="s">
        <v>31916</v>
      </c>
      <c r="F485" s="171" t="s">
        <v>31072</v>
      </c>
      <c r="G485" s="82"/>
      <c r="H485" s="96">
        <f t="shared" si="28"/>
        <v>237.75</v>
      </c>
      <c r="I485" s="96">
        <f t="shared" si="28"/>
        <v>248.2</v>
      </c>
      <c r="J485" s="91" t="str">
        <f t="shared" si="29"/>
        <v>Sinapi 93439</v>
      </c>
      <c r="K485" s="91" t="str">
        <f t="shared" si="30"/>
        <v>CHP</v>
      </c>
      <c r="L485" s="166" t="str">
        <f t="shared" si="31"/>
        <v>05/2023</v>
      </c>
      <c r="M485" s="82"/>
      <c r="N485" s="82"/>
    </row>
    <row r="486" spans="1:14" x14ac:dyDescent="0.25">
      <c r="A486" s="170" t="s">
        <v>2568</v>
      </c>
      <c r="B486" s="170" t="s">
        <v>2569</v>
      </c>
      <c r="C486" s="170" t="s">
        <v>814</v>
      </c>
      <c r="D486" s="170" t="s">
        <v>1947</v>
      </c>
      <c r="E486" s="171" t="s">
        <v>31917</v>
      </c>
      <c r="F486" s="171" t="s">
        <v>35311</v>
      </c>
      <c r="G486" s="82"/>
      <c r="H486" s="96">
        <f t="shared" si="28"/>
        <v>292.93</v>
      </c>
      <c r="I486" s="96">
        <f t="shared" si="28"/>
        <v>303.38</v>
      </c>
      <c r="J486" s="91" t="str">
        <f t="shared" si="29"/>
        <v>Sinapi 95121</v>
      </c>
      <c r="K486" s="91" t="str">
        <f t="shared" si="30"/>
        <v>CHP</v>
      </c>
      <c r="L486" s="166" t="str">
        <f t="shared" si="31"/>
        <v>07/2016</v>
      </c>
      <c r="M486" s="82"/>
      <c r="N486" s="82"/>
    </row>
    <row r="487" spans="1:14" x14ac:dyDescent="0.25">
      <c r="A487" s="170" t="s">
        <v>2570</v>
      </c>
      <c r="B487" s="170" t="s">
        <v>2571</v>
      </c>
      <c r="C487" s="170" t="s">
        <v>814</v>
      </c>
      <c r="D487" s="170" t="s">
        <v>1947</v>
      </c>
      <c r="E487" s="171" t="s">
        <v>31918</v>
      </c>
      <c r="F487" s="171" t="s">
        <v>29220</v>
      </c>
      <c r="G487" s="82"/>
      <c r="H487" s="96">
        <f t="shared" si="28"/>
        <v>225.89</v>
      </c>
      <c r="I487" s="96">
        <f t="shared" si="28"/>
        <v>228.12</v>
      </c>
      <c r="J487" s="91" t="str">
        <f t="shared" si="29"/>
        <v>Sinapi 95127</v>
      </c>
      <c r="K487" s="91" t="str">
        <f t="shared" si="30"/>
        <v>CHP</v>
      </c>
      <c r="L487" s="166" t="str">
        <f t="shared" si="31"/>
        <v>07/2016</v>
      </c>
      <c r="M487" s="82"/>
      <c r="N487" s="82"/>
    </row>
    <row r="488" spans="1:14" x14ac:dyDescent="0.25">
      <c r="A488" s="170" t="s">
        <v>2572</v>
      </c>
      <c r="B488" s="170" t="s">
        <v>1167</v>
      </c>
      <c r="C488" s="170" t="s">
        <v>814</v>
      </c>
      <c r="D488" s="170" t="s">
        <v>1947</v>
      </c>
      <c r="E488" s="171" t="s">
        <v>31919</v>
      </c>
      <c r="F488" s="171" t="s">
        <v>23188</v>
      </c>
      <c r="G488" s="82"/>
      <c r="H488" s="96">
        <f t="shared" si="28"/>
        <v>182.57</v>
      </c>
      <c r="I488" s="96">
        <f t="shared" si="28"/>
        <v>185.75</v>
      </c>
      <c r="J488" s="91" t="str">
        <f t="shared" si="29"/>
        <v>Sinapi 95133</v>
      </c>
      <c r="K488" s="91" t="str">
        <f t="shared" si="30"/>
        <v>CHP</v>
      </c>
      <c r="L488" s="166" t="str">
        <f t="shared" si="31"/>
        <v>07/2016</v>
      </c>
      <c r="M488" s="82"/>
      <c r="N488" s="82"/>
    </row>
    <row r="489" spans="1:14" x14ac:dyDescent="0.25">
      <c r="A489" s="170" t="s">
        <v>2573</v>
      </c>
      <c r="B489" s="170" t="s">
        <v>2574</v>
      </c>
      <c r="C489" s="170" t="s">
        <v>814</v>
      </c>
      <c r="D489" s="170" t="s">
        <v>1947</v>
      </c>
      <c r="E489" s="171" t="s">
        <v>2575</v>
      </c>
      <c r="F489" s="171" t="s">
        <v>2575</v>
      </c>
      <c r="G489" s="82"/>
      <c r="H489" s="96">
        <f t="shared" si="28"/>
        <v>0.06</v>
      </c>
      <c r="I489" s="96">
        <f t="shared" si="28"/>
        <v>0.06</v>
      </c>
      <c r="J489" s="91" t="str">
        <f t="shared" si="29"/>
        <v>Sinapi 95139</v>
      </c>
      <c r="K489" s="91" t="str">
        <f t="shared" si="30"/>
        <v>CHP</v>
      </c>
      <c r="L489" s="166" t="str">
        <f t="shared" si="31"/>
        <v>07/2016</v>
      </c>
      <c r="M489" s="82"/>
      <c r="N489" s="82"/>
    </row>
    <row r="490" spans="1:14" x14ac:dyDescent="0.25">
      <c r="A490" s="170" t="s">
        <v>2576</v>
      </c>
      <c r="B490" s="170" t="s">
        <v>21627</v>
      </c>
      <c r="C490" s="170" t="s">
        <v>814</v>
      </c>
      <c r="D490" s="170" t="s">
        <v>1947</v>
      </c>
      <c r="E490" s="171" t="s">
        <v>31920</v>
      </c>
      <c r="F490" s="171" t="s">
        <v>35312</v>
      </c>
      <c r="G490" s="82"/>
      <c r="H490" s="96">
        <f t="shared" si="28"/>
        <v>109.87</v>
      </c>
      <c r="I490" s="96">
        <f t="shared" si="28"/>
        <v>113.01</v>
      </c>
      <c r="J490" s="91" t="str">
        <f t="shared" si="29"/>
        <v>Sinapi 95212</v>
      </c>
      <c r="K490" s="91" t="str">
        <f t="shared" si="30"/>
        <v>CHP</v>
      </c>
      <c r="L490" s="166" t="str">
        <f t="shared" si="31"/>
        <v>05/2023</v>
      </c>
      <c r="M490" s="82"/>
      <c r="N490" s="82"/>
    </row>
    <row r="491" spans="1:14" x14ac:dyDescent="0.25">
      <c r="A491" s="170" t="s">
        <v>2577</v>
      </c>
      <c r="B491" s="170" t="s">
        <v>2578</v>
      </c>
      <c r="C491" s="170" t="s">
        <v>814</v>
      </c>
      <c r="D491" s="170" t="s">
        <v>1947</v>
      </c>
      <c r="E491" s="171" t="s">
        <v>14787</v>
      </c>
      <c r="F491" s="171" t="s">
        <v>19358</v>
      </c>
      <c r="G491" s="82"/>
      <c r="H491" s="96">
        <f t="shared" si="28"/>
        <v>23.27</v>
      </c>
      <c r="I491" s="96">
        <f t="shared" si="28"/>
        <v>25.66</v>
      </c>
      <c r="J491" s="91" t="str">
        <f t="shared" si="29"/>
        <v>Sinapi 95258</v>
      </c>
      <c r="K491" s="91" t="str">
        <f t="shared" si="30"/>
        <v>CHP</v>
      </c>
      <c r="L491" s="166" t="str">
        <f t="shared" si="31"/>
        <v>09/2016</v>
      </c>
      <c r="M491" s="82"/>
      <c r="N491" s="82"/>
    </row>
    <row r="492" spans="1:14" x14ac:dyDescent="0.25">
      <c r="A492" s="170" t="s">
        <v>2579</v>
      </c>
      <c r="B492" s="170" t="s">
        <v>2580</v>
      </c>
      <c r="C492" s="170" t="s">
        <v>814</v>
      </c>
      <c r="D492" s="170" t="s">
        <v>1947</v>
      </c>
      <c r="E492" s="171" t="s">
        <v>15576</v>
      </c>
      <c r="F492" s="171" t="s">
        <v>15576</v>
      </c>
      <c r="G492" s="82"/>
      <c r="H492" s="96">
        <f t="shared" si="28"/>
        <v>7.27</v>
      </c>
      <c r="I492" s="96">
        <f t="shared" si="28"/>
        <v>7.27</v>
      </c>
      <c r="J492" s="91" t="str">
        <f t="shared" si="29"/>
        <v>Sinapi 95264</v>
      </c>
      <c r="K492" s="91" t="str">
        <f t="shared" si="30"/>
        <v>CHP</v>
      </c>
      <c r="L492" s="166" t="str">
        <f t="shared" si="31"/>
        <v>09/2016</v>
      </c>
      <c r="M492" s="82"/>
      <c r="N492" s="82"/>
    </row>
    <row r="493" spans="1:14" x14ac:dyDescent="0.25">
      <c r="A493" s="170" t="s">
        <v>2581</v>
      </c>
      <c r="B493" s="170" t="s">
        <v>2582</v>
      </c>
      <c r="C493" s="170" t="s">
        <v>814</v>
      </c>
      <c r="D493" s="170" t="s">
        <v>1947</v>
      </c>
      <c r="E493" s="171" t="s">
        <v>19949</v>
      </c>
      <c r="F493" s="171" t="s">
        <v>19949</v>
      </c>
      <c r="G493" s="82"/>
      <c r="H493" s="96">
        <f t="shared" si="28"/>
        <v>10.47</v>
      </c>
      <c r="I493" s="96">
        <f t="shared" si="28"/>
        <v>10.47</v>
      </c>
      <c r="J493" s="91" t="str">
        <f t="shared" si="29"/>
        <v>Sinapi 95270</v>
      </c>
      <c r="K493" s="91" t="str">
        <f t="shared" si="30"/>
        <v>CHP</v>
      </c>
      <c r="L493" s="166" t="str">
        <f t="shared" si="31"/>
        <v>09/2016</v>
      </c>
      <c r="M493" s="82"/>
      <c r="N493" s="82"/>
    </row>
    <row r="494" spans="1:14" x14ac:dyDescent="0.25">
      <c r="A494" s="170" t="s">
        <v>2583</v>
      </c>
      <c r="B494" s="170" t="s">
        <v>21628</v>
      </c>
      <c r="C494" s="170" t="s">
        <v>814</v>
      </c>
      <c r="D494" s="170" t="s">
        <v>1947</v>
      </c>
      <c r="E494" s="171" t="s">
        <v>13747</v>
      </c>
      <c r="F494" s="171" t="s">
        <v>13747</v>
      </c>
      <c r="G494" s="82"/>
      <c r="H494" s="96">
        <f t="shared" si="28"/>
        <v>3.44</v>
      </c>
      <c r="I494" s="96">
        <f t="shared" si="28"/>
        <v>3.44</v>
      </c>
      <c r="J494" s="91" t="str">
        <f t="shared" si="29"/>
        <v>Sinapi 95276</v>
      </c>
      <c r="K494" s="91" t="str">
        <f t="shared" si="30"/>
        <v>CHP</v>
      </c>
      <c r="L494" s="166" t="str">
        <f t="shared" si="31"/>
        <v>05/2023</v>
      </c>
      <c r="M494" s="82"/>
      <c r="N494" s="82"/>
    </row>
    <row r="495" spans="1:14" x14ac:dyDescent="0.25">
      <c r="A495" s="170" t="s">
        <v>2584</v>
      </c>
      <c r="B495" s="170" t="s">
        <v>21629</v>
      </c>
      <c r="C495" s="170" t="s">
        <v>814</v>
      </c>
      <c r="D495" s="170" t="s">
        <v>1947</v>
      </c>
      <c r="E495" s="171" t="s">
        <v>14556</v>
      </c>
      <c r="F495" s="171" t="s">
        <v>14556</v>
      </c>
      <c r="G495" s="82"/>
      <c r="H495" s="96">
        <f t="shared" si="28"/>
        <v>10.62</v>
      </c>
      <c r="I495" s="96">
        <f t="shared" si="28"/>
        <v>10.62</v>
      </c>
      <c r="J495" s="91" t="str">
        <f t="shared" si="29"/>
        <v>Sinapi 95282</v>
      </c>
      <c r="K495" s="91" t="str">
        <f t="shared" si="30"/>
        <v>CHP</v>
      </c>
      <c r="L495" s="166" t="str">
        <f t="shared" si="31"/>
        <v>05/2023</v>
      </c>
      <c r="M495" s="82"/>
      <c r="N495" s="82"/>
    </row>
    <row r="496" spans="1:14" x14ac:dyDescent="0.25">
      <c r="A496" s="170" t="s">
        <v>2585</v>
      </c>
      <c r="B496" s="170" t="s">
        <v>2586</v>
      </c>
      <c r="C496" s="170" t="s">
        <v>814</v>
      </c>
      <c r="D496" s="170" t="s">
        <v>1947</v>
      </c>
      <c r="E496" s="171" t="s">
        <v>20626</v>
      </c>
      <c r="F496" s="171" t="s">
        <v>19841</v>
      </c>
      <c r="G496" s="82"/>
      <c r="H496" s="96">
        <f t="shared" si="28"/>
        <v>22.73</v>
      </c>
      <c r="I496" s="96">
        <f t="shared" si="28"/>
        <v>25.12</v>
      </c>
      <c r="J496" s="91" t="str">
        <f t="shared" si="29"/>
        <v>Sinapi 95620</v>
      </c>
      <c r="K496" s="91" t="str">
        <f t="shared" si="30"/>
        <v>CHP</v>
      </c>
      <c r="L496" s="166" t="str">
        <f t="shared" si="31"/>
        <v>11/2016</v>
      </c>
      <c r="M496" s="82"/>
      <c r="N496" s="82"/>
    </row>
    <row r="497" spans="1:14" x14ac:dyDescent="0.25">
      <c r="A497" s="170" t="s">
        <v>2587</v>
      </c>
      <c r="B497" s="170" t="s">
        <v>1146</v>
      </c>
      <c r="C497" s="170" t="s">
        <v>814</v>
      </c>
      <c r="D497" s="170" t="s">
        <v>1947</v>
      </c>
      <c r="E497" s="171" t="s">
        <v>31921</v>
      </c>
      <c r="F497" s="171" t="s">
        <v>35313</v>
      </c>
      <c r="G497" s="82"/>
      <c r="H497" s="96">
        <f t="shared" si="28"/>
        <v>238.46</v>
      </c>
      <c r="I497" s="96">
        <f t="shared" si="28"/>
        <v>240.91</v>
      </c>
      <c r="J497" s="91" t="str">
        <f t="shared" si="29"/>
        <v>Sinapi 95631</v>
      </c>
      <c r="K497" s="91" t="str">
        <f t="shared" si="30"/>
        <v>CHP</v>
      </c>
      <c r="L497" s="166" t="str">
        <f t="shared" si="31"/>
        <v>11/2016</v>
      </c>
      <c r="M497" s="82"/>
      <c r="N497" s="82"/>
    </row>
    <row r="498" spans="1:14" x14ac:dyDescent="0.25">
      <c r="A498" s="170" t="s">
        <v>2588</v>
      </c>
      <c r="B498" s="170" t="s">
        <v>2589</v>
      </c>
      <c r="C498" s="170" t="s">
        <v>814</v>
      </c>
      <c r="D498" s="170" t="s">
        <v>1947</v>
      </c>
      <c r="E498" s="171" t="s">
        <v>31922</v>
      </c>
      <c r="F498" s="171" t="s">
        <v>19413</v>
      </c>
      <c r="G498" s="82"/>
      <c r="H498" s="96">
        <f t="shared" si="28"/>
        <v>32.520000000000003</v>
      </c>
      <c r="I498" s="96">
        <f t="shared" si="28"/>
        <v>34.75</v>
      </c>
      <c r="J498" s="91" t="str">
        <f t="shared" si="29"/>
        <v>Sinapi 95702</v>
      </c>
      <c r="K498" s="91" t="str">
        <f t="shared" si="30"/>
        <v>CHP</v>
      </c>
      <c r="L498" s="166" t="str">
        <f t="shared" si="31"/>
        <v>11/2016</v>
      </c>
      <c r="M498" s="82"/>
      <c r="N498" s="82"/>
    </row>
    <row r="499" spans="1:14" x14ac:dyDescent="0.25">
      <c r="A499" s="170" t="s">
        <v>2590</v>
      </c>
      <c r="B499" s="170" t="s">
        <v>2591</v>
      </c>
      <c r="C499" s="170" t="s">
        <v>814</v>
      </c>
      <c r="D499" s="170" t="s">
        <v>1947</v>
      </c>
      <c r="E499" s="171" t="s">
        <v>31417</v>
      </c>
      <c r="F499" s="171" t="s">
        <v>29048</v>
      </c>
      <c r="G499" s="82"/>
      <c r="H499" s="96">
        <f t="shared" si="28"/>
        <v>135</v>
      </c>
      <c r="I499" s="96">
        <f t="shared" si="28"/>
        <v>137.22999999999999</v>
      </c>
      <c r="J499" s="91" t="str">
        <f t="shared" si="29"/>
        <v>Sinapi 95708</v>
      </c>
      <c r="K499" s="91" t="str">
        <f t="shared" si="30"/>
        <v>CHP</v>
      </c>
      <c r="L499" s="166" t="str">
        <f t="shared" si="31"/>
        <v>11/2016</v>
      </c>
      <c r="M499" s="82"/>
      <c r="N499" s="82"/>
    </row>
    <row r="500" spans="1:14" x14ac:dyDescent="0.25">
      <c r="A500" s="170" t="s">
        <v>2592</v>
      </c>
      <c r="B500" s="170" t="s">
        <v>2593</v>
      </c>
      <c r="C500" s="170" t="s">
        <v>814</v>
      </c>
      <c r="D500" s="170" t="s">
        <v>1947</v>
      </c>
      <c r="E500" s="171" t="s">
        <v>31923</v>
      </c>
      <c r="F500" s="171" t="s">
        <v>35314</v>
      </c>
      <c r="G500" s="82"/>
      <c r="H500" s="96">
        <f t="shared" si="28"/>
        <v>260.63</v>
      </c>
      <c r="I500" s="96">
        <f t="shared" si="28"/>
        <v>264.12</v>
      </c>
      <c r="J500" s="91" t="str">
        <f t="shared" si="29"/>
        <v>Sinapi 95714</v>
      </c>
      <c r="K500" s="91" t="str">
        <f t="shared" si="30"/>
        <v>CHP</v>
      </c>
      <c r="L500" s="166" t="str">
        <f t="shared" si="31"/>
        <v>11/2016</v>
      </c>
      <c r="M500" s="82"/>
      <c r="N500" s="82"/>
    </row>
    <row r="501" spans="1:14" x14ac:dyDescent="0.25">
      <c r="A501" s="170" t="s">
        <v>2594</v>
      </c>
      <c r="B501" s="170" t="s">
        <v>2595</v>
      </c>
      <c r="C501" s="170" t="s">
        <v>814</v>
      </c>
      <c r="D501" s="170" t="s">
        <v>1947</v>
      </c>
      <c r="E501" s="171" t="s">
        <v>31924</v>
      </c>
      <c r="F501" s="171" t="s">
        <v>35315</v>
      </c>
      <c r="G501" s="82"/>
      <c r="H501" s="96">
        <f t="shared" si="28"/>
        <v>255.64</v>
      </c>
      <c r="I501" s="96">
        <f t="shared" si="28"/>
        <v>259.13</v>
      </c>
      <c r="J501" s="91" t="str">
        <f t="shared" si="29"/>
        <v>Sinapi 95720</v>
      </c>
      <c r="K501" s="91" t="str">
        <f t="shared" si="30"/>
        <v>CHP</v>
      </c>
      <c r="L501" s="166" t="str">
        <f t="shared" si="31"/>
        <v>11/2016</v>
      </c>
      <c r="M501" s="82"/>
      <c r="N501" s="82"/>
    </row>
    <row r="502" spans="1:14" x14ac:dyDescent="0.25">
      <c r="A502" s="170" t="s">
        <v>2596</v>
      </c>
      <c r="B502" s="170" t="s">
        <v>2597</v>
      </c>
      <c r="C502" s="170" t="s">
        <v>814</v>
      </c>
      <c r="D502" s="170" t="s">
        <v>1947</v>
      </c>
      <c r="E502" s="171" t="s">
        <v>31925</v>
      </c>
      <c r="F502" s="171" t="s">
        <v>31925</v>
      </c>
      <c r="G502" s="82"/>
      <c r="H502" s="96">
        <f t="shared" si="28"/>
        <v>322.33</v>
      </c>
      <c r="I502" s="96">
        <f t="shared" si="28"/>
        <v>322.33</v>
      </c>
      <c r="J502" s="91" t="str">
        <f t="shared" si="29"/>
        <v>Sinapi 95872</v>
      </c>
      <c r="K502" s="91" t="str">
        <f t="shared" si="30"/>
        <v>CHP</v>
      </c>
      <c r="L502" s="166" t="str">
        <f t="shared" si="31"/>
        <v>12/2016</v>
      </c>
      <c r="M502" s="82"/>
      <c r="N502" s="82"/>
    </row>
    <row r="503" spans="1:14" x14ac:dyDescent="0.25">
      <c r="A503" s="170" t="s">
        <v>2598</v>
      </c>
      <c r="B503" s="170" t="s">
        <v>2599</v>
      </c>
      <c r="C503" s="170" t="s">
        <v>814</v>
      </c>
      <c r="D503" s="170" t="s">
        <v>1947</v>
      </c>
      <c r="E503" s="171" t="s">
        <v>31926</v>
      </c>
      <c r="F503" s="171" t="s">
        <v>35316</v>
      </c>
      <c r="G503" s="82"/>
      <c r="H503" s="96">
        <f t="shared" si="28"/>
        <v>183.47</v>
      </c>
      <c r="I503" s="96">
        <f t="shared" si="28"/>
        <v>186.12</v>
      </c>
      <c r="J503" s="91" t="str">
        <f t="shared" si="29"/>
        <v>Sinapi 96013</v>
      </c>
      <c r="K503" s="91" t="str">
        <f t="shared" si="30"/>
        <v>CHP</v>
      </c>
      <c r="L503" s="166" t="str">
        <f t="shared" si="31"/>
        <v>02/2017</v>
      </c>
      <c r="M503" s="82"/>
      <c r="N503" s="82"/>
    </row>
    <row r="504" spans="1:14" x14ac:dyDescent="0.25">
      <c r="A504" s="170" t="s">
        <v>2600</v>
      </c>
      <c r="B504" s="170" t="s">
        <v>2601</v>
      </c>
      <c r="C504" s="170" t="s">
        <v>814</v>
      </c>
      <c r="D504" s="170" t="s">
        <v>1947</v>
      </c>
      <c r="E504" s="171" t="s">
        <v>31927</v>
      </c>
      <c r="F504" s="171" t="s">
        <v>35317</v>
      </c>
      <c r="G504" s="82"/>
      <c r="H504" s="96">
        <f t="shared" si="28"/>
        <v>182.95</v>
      </c>
      <c r="I504" s="96">
        <f t="shared" si="28"/>
        <v>185.6</v>
      </c>
      <c r="J504" s="91" t="str">
        <f t="shared" si="29"/>
        <v>Sinapi 96020</v>
      </c>
      <c r="K504" s="91" t="str">
        <f t="shared" si="30"/>
        <v>CHP</v>
      </c>
      <c r="L504" s="166" t="str">
        <f t="shared" si="31"/>
        <v>02/2017</v>
      </c>
      <c r="M504" s="82"/>
      <c r="N504" s="82"/>
    </row>
    <row r="505" spans="1:14" x14ac:dyDescent="0.25">
      <c r="A505" s="170" t="s">
        <v>2602</v>
      </c>
      <c r="B505" s="170" t="s">
        <v>2603</v>
      </c>
      <c r="C505" s="170" t="s">
        <v>814</v>
      </c>
      <c r="D505" s="170" t="s">
        <v>1947</v>
      </c>
      <c r="E505" s="171" t="s">
        <v>31928</v>
      </c>
      <c r="F505" s="171" t="s">
        <v>35318</v>
      </c>
      <c r="G505" s="82"/>
      <c r="H505" s="96">
        <f t="shared" si="28"/>
        <v>138.37</v>
      </c>
      <c r="I505" s="96">
        <f t="shared" si="28"/>
        <v>141.02000000000001</v>
      </c>
      <c r="J505" s="91" t="str">
        <f t="shared" si="29"/>
        <v>Sinapi 96028</v>
      </c>
      <c r="K505" s="91" t="str">
        <f t="shared" si="30"/>
        <v>CHP</v>
      </c>
      <c r="L505" s="166" t="str">
        <f t="shared" si="31"/>
        <v>02/2017</v>
      </c>
      <c r="M505" s="82"/>
      <c r="N505" s="82"/>
    </row>
    <row r="506" spans="1:14" x14ac:dyDescent="0.25">
      <c r="A506" s="170" t="s">
        <v>2604</v>
      </c>
      <c r="B506" s="170" t="s">
        <v>1153</v>
      </c>
      <c r="C506" s="170" t="s">
        <v>814</v>
      </c>
      <c r="D506" s="170" t="s">
        <v>1947</v>
      </c>
      <c r="E506" s="171" t="s">
        <v>31929</v>
      </c>
      <c r="F506" s="171" t="s">
        <v>35319</v>
      </c>
      <c r="G506" s="82"/>
      <c r="H506" s="96">
        <f t="shared" si="28"/>
        <v>291.38</v>
      </c>
      <c r="I506" s="96">
        <f t="shared" si="28"/>
        <v>294.27999999999997</v>
      </c>
      <c r="J506" s="91" t="str">
        <f t="shared" si="29"/>
        <v>Sinapi 96035</v>
      </c>
      <c r="K506" s="91" t="str">
        <f t="shared" si="30"/>
        <v>CHP</v>
      </c>
      <c r="L506" s="166" t="str">
        <f t="shared" si="31"/>
        <v>02/2017</v>
      </c>
      <c r="M506" s="82"/>
      <c r="N506" s="82"/>
    </row>
    <row r="507" spans="1:14" x14ac:dyDescent="0.25">
      <c r="A507" s="170" t="s">
        <v>2605</v>
      </c>
      <c r="B507" s="170" t="s">
        <v>2606</v>
      </c>
      <c r="C507" s="170" t="s">
        <v>814</v>
      </c>
      <c r="D507" s="170" t="s">
        <v>1947</v>
      </c>
      <c r="E507" s="171" t="s">
        <v>31930</v>
      </c>
      <c r="F507" s="171" t="s">
        <v>35320</v>
      </c>
      <c r="G507" s="82"/>
      <c r="H507" s="96">
        <f t="shared" si="28"/>
        <v>138.88999999999999</v>
      </c>
      <c r="I507" s="96">
        <f t="shared" si="28"/>
        <v>141.54</v>
      </c>
      <c r="J507" s="91" t="str">
        <f t="shared" si="29"/>
        <v>Sinapi 96157</v>
      </c>
      <c r="K507" s="91" t="str">
        <f t="shared" si="30"/>
        <v>CHP</v>
      </c>
      <c r="L507" s="166" t="str">
        <f t="shared" si="31"/>
        <v>03/2017</v>
      </c>
      <c r="M507" s="82"/>
      <c r="N507" s="82"/>
    </row>
    <row r="508" spans="1:14" x14ac:dyDescent="0.25">
      <c r="A508" s="170" t="s">
        <v>2607</v>
      </c>
      <c r="B508" s="170" t="s">
        <v>2608</v>
      </c>
      <c r="C508" s="170" t="s">
        <v>814</v>
      </c>
      <c r="D508" s="170" t="s">
        <v>1947</v>
      </c>
      <c r="E508" s="171" t="s">
        <v>31931</v>
      </c>
      <c r="F508" s="171" t="s">
        <v>33326</v>
      </c>
      <c r="G508" s="82"/>
      <c r="H508" s="96">
        <f t="shared" si="28"/>
        <v>145.24</v>
      </c>
      <c r="I508" s="96">
        <f t="shared" si="28"/>
        <v>148.24</v>
      </c>
      <c r="J508" s="91" t="str">
        <f t="shared" si="29"/>
        <v>Sinapi 96158</v>
      </c>
      <c r="K508" s="91" t="str">
        <f t="shared" si="30"/>
        <v>CHP</v>
      </c>
      <c r="L508" s="166" t="str">
        <f t="shared" si="31"/>
        <v>03/2017</v>
      </c>
      <c r="M508" s="82"/>
      <c r="N508" s="82"/>
    </row>
    <row r="509" spans="1:14" x14ac:dyDescent="0.25">
      <c r="A509" s="170" t="s">
        <v>2609</v>
      </c>
      <c r="B509" s="170" t="s">
        <v>2610</v>
      </c>
      <c r="C509" s="170" t="s">
        <v>814</v>
      </c>
      <c r="D509" s="170" t="s">
        <v>1947</v>
      </c>
      <c r="E509" s="171" t="s">
        <v>22080</v>
      </c>
      <c r="F509" s="171" t="s">
        <v>35321</v>
      </c>
      <c r="G509" s="82"/>
      <c r="H509" s="96">
        <f t="shared" si="28"/>
        <v>114.77</v>
      </c>
      <c r="I509" s="96">
        <f t="shared" si="28"/>
        <v>118.26</v>
      </c>
      <c r="J509" s="91" t="str">
        <f t="shared" si="29"/>
        <v>Sinapi 96245</v>
      </c>
      <c r="K509" s="91" t="str">
        <f t="shared" si="30"/>
        <v>CHP</v>
      </c>
      <c r="L509" s="166" t="str">
        <f t="shared" si="31"/>
        <v>04/2017</v>
      </c>
      <c r="M509" s="82"/>
      <c r="N509" s="82"/>
    </row>
    <row r="510" spans="1:14" x14ac:dyDescent="0.25">
      <c r="A510" s="170" t="s">
        <v>2612</v>
      </c>
      <c r="B510" s="170" t="s">
        <v>1145</v>
      </c>
      <c r="C510" s="170" t="s">
        <v>814</v>
      </c>
      <c r="D510" s="170" t="s">
        <v>1947</v>
      </c>
      <c r="E510" s="171" t="s">
        <v>31932</v>
      </c>
      <c r="F510" s="171" t="s">
        <v>35322</v>
      </c>
      <c r="G510" s="82"/>
      <c r="H510" s="96">
        <f t="shared" si="28"/>
        <v>223.13</v>
      </c>
      <c r="I510" s="96">
        <f t="shared" si="28"/>
        <v>225.58</v>
      </c>
      <c r="J510" s="91" t="str">
        <f t="shared" si="29"/>
        <v>Sinapi 96463</v>
      </c>
      <c r="K510" s="91" t="str">
        <f t="shared" si="30"/>
        <v>CHP</v>
      </c>
      <c r="L510" s="166" t="str">
        <f t="shared" si="31"/>
        <v>06/2017</v>
      </c>
      <c r="M510" s="82"/>
      <c r="N510" s="82"/>
    </row>
    <row r="511" spans="1:14" x14ac:dyDescent="0.25">
      <c r="A511" s="170" t="s">
        <v>2613</v>
      </c>
      <c r="B511" s="170" t="s">
        <v>2614</v>
      </c>
      <c r="C511" s="170" t="s">
        <v>814</v>
      </c>
      <c r="D511" s="170" t="s">
        <v>1947</v>
      </c>
      <c r="E511" s="171" t="s">
        <v>21015</v>
      </c>
      <c r="F511" s="171" t="s">
        <v>21015</v>
      </c>
      <c r="G511" s="82"/>
      <c r="H511" s="96">
        <f t="shared" si="28"/>
        <v>4.9000000000000004</v>
      </c>
      <c r="I511" s="96">
        <f t="shared" si="28"/>
        <v>4.9000000000000004</v>
      </c>
      <c r="J511" s="91" t="str">
        <f t="shared" si="29"/>
        <v>Sinapi 98764</v>
      </c>
      <c r="K511" s="91" t="str">
        <f t="shared" si="30"/>
        <v>CHP</v>
      </c>
      <c r="L511" s="166" t="str">
        <f t="shared" si="31"/>
        <v>06/2018</v>
      </c>
      <c r="M511" s="82"/>
      <c r="N511" s="82"/>
    </row>
    <row r="512" spans="1:14" x14ac:dyDescent="0.25">
      <c r="A512" s="170" t="s">
        <v>2615</v>
      </c>
      <c r="B512" s="170" t="s">
        <v>21630</v>
      </c>
      <c r="C512" s="170" t="s">
        <v>814</v>
      </c>
      <c r="D512" s="170" t="s">
        <v>2067</v>
      </c>
      <c r="E512" s="171" t="s">
        <v>13846</v>
      </c>
      <c r="F512" s="171" t="s">
        <v>13846</v>
      </c>
      <c r="G512" s="82"/>
      <c r="H512" s="96">
        <f t="shared" si="28"/>
        <v>2.33</v>
      </c>
      <c r="I512" s="96">
        <f t="shared" si="28"/>
        <v>2.33</v>
      </c>
      <c r="J512" s="91" t="str">
        <f t="shared" si="29"/>
        <v>Sinapi 99833</v>
      </c>
      <c r="K512" s="91" t="str">
        <f t="shared" si="30"/>
        <v>CHP</v>
      </c>
      <c r="L512" s="166" t="str">
        <f t="shared" si="31"/>
        <v>05/2023</v>
      </c>
      <c r="M512" s="82"/>
      <c r="N512" s="82"/>
    </row>
    <row r="513" spans="1:14" x14ac:dyDescent="0.25">
      <c r="A513" s="170" t="s">
        <v>2616</v>
      </c>
      <c r="B513" s="170" t="s">
        <v>2617</v>
      </c>
      <c r="C513" s="170" t="s">
        <v>814</v>
      </c>
      <c r="D513" s="170" t="s">
        <v>1947</v>
      </c>
      <c r="E513" s="171" t="s">
        <v>31933</v>
      </c>
      <c r="F513" s="171" t="s">
        <v>35323</v>
      </c>
      <c r="G513" s="82"/>
      <c r="H513" s="96">
        <f t="shared" si="28"/>
        <v>5182.66</v>
      </c>
      <c r="I513" s="96">
        <f t="shared" si="28"/>
        <v>5185.51</v>
      </c>
      <c r="J513" s="91" t="str">
        <f t="shared" si="29"/>
        <v>Sinapi 100641</v>
      </c>
      <c r="K513" s="91" t="str">
        <f t="shared" si="30"/>
        <v>CHP</v>
      </c>
      <c r="L513" s="166" t="str">
        <f t="shared" si="31"/>
        <v>12/2019</v>
      </c>
      <c r="M513" s="82"/>
      <c r="N513" s="82"/>
    </row>
    <row r="514" spans="1:14" x14ac:dyDescent="0.25">
      <c r="A514" s="170" t="s">
        <v>2618</v>
      </c>
      <c r="B514" s="170" t="s">
        <v>2619</v>
      </c>
      <c r="C514" s="170" t="s">
        <v>814</v>
      </c>
      <c r="D514" s="170" t="s">
        <v>1947</v>
      </c>
      <c r="E514" s="171" t="s">
        <v>31934</v>
      </c>
      <c r="F514" s="171" t="s">
        <v>35324</v>
      </c>
      <c r="G514" s="82"/>
      <c r="H514" s="96">
        <f t="shared" si="28"/>
        <v>6888.88</v>
      </c>
      <c r="I514" s="96">
        <f t="shared" si="28"/>
        <v>6891.73</v>
      </c>
      <c r="J514" s="91" t="str">
        <f t="shared" si="29"/>
        <v>Sinapi 100647</v>
      </c>
      <c r="K514" s="91" t="str">
        <f t="shared" si="30"/>
        <v>CHP</v>
      </c>
      <c r="L514" s="166" t="str">
        <f t="shared" si="31"/>
        <v>12/2019</v>
      </c>
      <c r="M514" s="82"/>
      <c r="N514" s="82"/>
    </row>
    <row r="515" spans="1:14" x14ac:dyDescent="0.25">
      <c r="A515" s="170" t="s">
        <v>12391</v>
      </c>
      <c r="B515" s="170" t="s">
        <v>12392</v>
      </c>
      <c r="C515" s="170" t="s">
        <v>814</v>
      </c>
      <c r="D515" s="170" t="s">
        <v>1947</v>
      </c>
      <c r="E515" s="171" t="s">
        <v>31878</v>
      </c>
      <c r="F515" s="171" t="s">
        <v>21466</v>
      </c>
      <c r="G515" s="82"/>
      <c r="H515" s="96">
        <f t="shared" si="28"/>
        <v>23.5</v>
      </c>
      <c r="I515" s="96">
        <f t="shared" si="28"/>
        <v>25.89</v>
      </c>
      <c r="J515" s="91" t="str">
        <f t="shared" si="29"/>
        <v>Sinapi 102275</v>
      </c>
      <c r="K515" s="91" t="str">
        <f t="shared" si="30"/>
        <v>CHP</v>
      </c>
      <c r="L515" s="166" t="str">
        <f t="shared" si="31"/>
        <v>01/2021</v>
      </c>
      <c r="M515" s="82"/>
      <c r="N515" s="82"/>
    </row>
    <row r="516" spans="1:14" x14ac:dyDescent="0.25">
      <c r="A516" s="170" t="s">
        <v>16308</v>
      </c>
      <c r="B516" s="170" t="s">
        <v>16309</v>
      </c>
      <c r="C516" s="170" t="s">
        <v>814</v>
      </c>
      <c r="D516" s="170" t="s">
        <v>2067</v>
      </c>
      <c r="E516" s="171" t="s">
        <v>2115</v>
      </c>
      <c r="F516" s="171" t="s">
        <v>2115</v>
      </c>
      <c r="G516" s="82"/>
      <c r="H516" s="96">
        <f t="shared" si="28"/>
        <v>0.87</v>
      </c>
      <c r="I516" s="96">
        <f t="shared" si="28"/>
        <v>0.87</v>
      </c>
      <c r="J516" s="91" t="str">
        <f t="shared" si="29"/>
        <v>Sinapi 104091</v>
      </c>
      <c r="K516" s="91" t="str">
        <f t="shared" si="30"/>
        <v>CHP</v>
      </c>
      <c r="L516" s="166" t="str">
        <f t="shared" si="31"/>
        <v>05/2022</v>
      </c>
      <c r="M516" s="82"/>
      <c r="N516" s="82"/>
    </row>
    <row r="517" spans="1:14" x14ac:dyDescent="0.25">
      <c r="A517" s="170" t="s">
        <v>16310</v>
      </c>
      <c r="B517" s="170" t="s">
        <v>16311</v>
      </c>
      <c r="C517" s="170" t="s">
        <v>814</v>
      </c>
      <c r="D517" s="170" t="s">
        <v>2067</v>
      </c>
      <c r="E517" s="171" t="s">
        <v>31935</v>
      </c>
      <c r="F517" s="171" t="s">
        <v>31935</v>
      </c>
      <c r="G517" s="82"/>
      <c r="H517" s="96">
        <f t="shared" si="28"/>
        <v>1.23</v>
      </c>
      <c r="I517" s="96">
        <f t="shared" si="28"/>
        <v>1.23</v>
      </c>
      <c r="J517" s="91" t="str">
        <f t="shared" si="29"/>
        <v>Sinapi 104097</v>
      </c>
      <c r="K517" s="91" t="str">
        <f t="shared" si="30"/>
        <v>CHP</v>
      </c>
      <c r="L517" s="166" t="str">
        <f t="shared" si="31"/>
        <v>05/2022</v>
      </c>
      <c r="M517" s="82"/>
      <c r="N517" s="82"/>
    </row>
    <row r="518" spans="1:14" x14ac:dyDescent="0.25">
      <c r="A518" s="170" t="s">
        <v>2620</v>
      </c>
      <c r="B518" s="170" t="s">
        <v>2621</v>
      </c>
      <c r="C518" s="170" t="s">
        <v>816</v>
      </c>
      <c r="D518" s="170" t="s">
        <v>1947</v>
      </c>
      <c r="E518" s="171" t="s">
        <v>31936</v>
      </c>
      <c r="F518" s="171" t="s">
        <v>35325</v>
      </c>
      <c r="G518" s="82"/>
      <c r="H518" s="96">
        <f t="shared" si="28"/>
        <v>84.35</v>
      </c>
      <c r="I518" s="96">
        <f t="shared" si="28"/>
        <v>87.84</v>
      </c>
      <c r="J518" s="91" t="str">
        <f t="shared" si="29"/>
        <v>Sinapi 5632</v>
      </c>
      <c r="K518" s="91" t="str">
        <f t="shared" si="30"/>
        <v>CHI</v>
      </c>
      <c r="L518" s="166" t="str">
        <f t="shared" si="31"/>
        <v>06/2014</v>
      </c>
      <c r="M518" s="82"/>
      <c r="N518" s="82"/>
    </row>
    <row r="519" spans="1:14" x14ac:dyDescent="0.25">
      <c r="A519" s="170" t="s">
        <v>2622</v>
      </c>
      <c r="B519" s="170" t="s">
        <v>2623</v>
      </c>
      <c r="C519" s="170" t="s">
        <v>816</v>
      </c>
      <c r="D519" s="170" t="s">
        <v>1947</v>
      </c>
      <c r="E519" s="171" t="s">
        <v>21760</v>
      </c>
      <c r="F519" s="171" t="s">
        <v>35326</v>
      </c>
      <c r="G519" s="82"/>
      <c r="H519" s="96">
        <f t="shared" si="28"/>
        <v>56.38</v>
      </c>
      <c r="I519" s="96">
        <f t="shared" si="28"/>
        <v>59.87</v>
      </c>
      <c r="J519" s="91" t="str">
        <f t="shared" si="29"/>
        <v>Sinapi 5679</v>
      </c>
      <c r="K519" s="91" t="str">
        <f t="shared" si="30"/>
        <v>CHI</v>
      </c>
      <c r="L519" s="166" t="str">
        <f t="shared" si="31"/>
        <v>06/2014</v>
      </c>
      <c r="M519" s="82"/>
      <c r="N519" s="82"/>
    </row>
    <row r="520" spans="1:14" x14ac:dyDescent="0.25">
      <c r="A520" s="170" t="s">
        <v>2624</v>
      </c>
      <c r="B520" s="170" t="s">
        <v>2625</v>
      </c>
      <c r="C520" s="170" t="s">
        <v>816</v>
      </c>
      <c r="D520" s="170" t="s">
        <v>1947</v>
      </c>
      <c r="E520" s="171" t="s">
        <v>28716</v>
      </c>
      <c r="F520" s="171" t="s">
        <v>35327</v>
      </c>
      <c r="G520" s="82"/>
      <c r="H520" s="96">
        <f t="shared" ref="H520:I583" si="32">IF(E520="","",E520+0)</f>
        <v>53.14</v>
      </c>
      <c r="I520" s="96">
        <f t="shared" si="32"/>
        <v>56.63</v>
      </c>
      <c r="J520" s="91" t="str">
        <f t="shared" ref="J520:J583" si="33">IF(OR(H520="",I520=""),"",TRIM(CONCATENATE("Sinapi ",A520)))</f>
        <v>Sinapi 5681</v>
      </c>
      <c r="K520" s="91" t="str">
        <f t="shared" ref="K520:K583" si="34">TRIM(C520)</f>
        <v>CHI</v>
      </c>
      <c r="L520" s="166" t="str">
        <f t="shared" ref="L520:L583" si="35">IF(OR(RIGHT(IF(AND(K520&lt;&gt;"H",K520&lt;&gt;"MES"),RIGHT(B520,7),""),2)="PS",RIGHT(IF(AND(K520&lt;&gt;"H",K520&lt;&gt;"MES"),RIGHT(B520,7),""),2)="PA",RIGHT(IF(AND(K520&lt;&gt;"H",K520&lt;&gt;"MES"),RIGHT(B520,7),""),2)="PE"),LEFT(IF(AND(K520&lt;&gt;"H",K520&lt;&gt;"MES"),RIGHT(B520,10),""),7),IF(AND(K520&lt;&gt;"H",K520&lt;&gt;"MES"),RIGHT(B520,7),""))</f>
        <v>06/2014</v>
      </c>
      <c r="M520" s="82"/>
      <c r="N520" s="82"/>
    </row>
    <row r="521" spans="1:14" x14ac:dyDescent="0.25">
      <c r="A521" s="170" t="s">
        <v>2626</v>
      </c>
      <c r="B521" s="170" t="s">
        <v>2627</v>
      </c>
      <c r="C521" s="170" t="s">
        <v>816</v>
      </c>
      <c r="D521" s="170" t="s">
        <v>1947</v>
      </c>
      <c r="E521" s="171" t="s">
        <v>31937</v>
      </c>
      <c r="F521" s="171" t="s">
        <v>35328</v>
      </c>
      <c r="G521" s="82"/>
      <c r="H521" s="96">
        <f t="shared" si="32"/>
        <v>60.58</v>
      </c>
      <c r="I521" s="96">
        <f t="shared" si="32"/>
        <v>63.03</v>
      </c>
      <c r="J521" s="91" t="str">
        <f t="shared" si="33"/>
        <v>Sinapi 5685</v>
      </c>
      <c r="K521" s="91" t="str">
        <f t="shared" si="34"/>
        <v>CHI</v>
      </c>
      <c r="L521" s="166" t="str">
        <f t="shared" si="35"/>
        <v>06/2014</v>
      </c>
      <c r="M521" s="82"/>
      <c r="N521" s="82"/>
    </row>
    <row r="522" spans="1:14" x14ac:dyDescent="0.25">
      <c r="A522" s="170" t="s">
        <v>2628</v>
      </c>
      <c r="B522" s="170" t="s">
        <v>2629</v>
      </c>
      <c r="C522" s="170" t="s">
        <v>816</v>
      </c>
      <c r="D522" s="170" t="s">
        <v>1947</v>
      </c>
      <c r="E522" s="171" t="s">
        <v>22756</v>
      </c>
      <c r="F522" s="171" t="s">
        <v>22756</v>
      </c>
      <c r="G522" s="82"/>
      <c r="H522" s="96">
        <f t="shared" si="32"/>
        <v>4.5199999999999996</v>
      </c>
      <c r="I522" s="96">
        <f t="shared" si="32"/>
        <v>4.5199999999999996</v>
      </c>
      <c r="J522" s="91" t="str">
        <f t="shared" si="33"/>
        <v>Sinapi 5690</v>
      </c>
      <c r="K522" s="91" t="str">
        <f t="shared" si="34"/>
        <v>CHI</v>
      </c>
      <c r="L522" s="166" t="str">
        <f t="shared" si="35"/>
        <v>06/2014</v>
      </c>
      <c r="M522" s="82"/>
      <c r="N522" s="82"/>
    </row>
    <row r="523" spans="1:14" x14ac:dyDescent="0.25">
      <c r="A523" s="170" t="s">
        <v>2630</v>
      </c>
      <c r="B523" s="170" t="s">
        <v>2631</v>
      </c>
      <c r="C523" s="170" t="s">
        <v>816</v>
      </c>
      <c r="D523" s="170" t="s">
        <v>2067</v>
      </c>
      <c r="E523" s="171" t="s">
        <v>3430</v>
      </c>
      <c r="F523" s="171" t="s">
        <v>3430</v>
      </c>
      <c r="G523" s="82"/>
      <c r="H523" s="96">
        <f t="shared" si="32"/>
        <v>0.37</v>
      </c>
      <c r="I523" s="96">
        <f t="shared" si="32"/>
        <v>0.37</v>
      </c>
      <c r="J523" s="91" t="str">
        <f t="shared" si="33"/>
        <v>Sinapi 5806</v>
      </c>
      <c r="K523" s="91" t="str">
        <f t="shared" si="34"/>
        <v>CHI</v>
      </c>
      <c r="L523" s="166" t="str">
        <f t="shared" si="35"/>
        <v>06/2014</v>
      </c>
      <c r="M523" s="82"/>
      <c r="N523" s="82"/>
    </row>
    <row r="524" spans="1:14" x14ac:dyDescent="0.25">
      <c r="A524" s="170" t="s">
        <v>2633</v>
      </c>
      <c r="B524" s="170" t="s">
        <v>2634</v>
      </c>
      <c r="C524" s="170" t="s">
        <v>816</v>
      </c>
      <c r="D524" s="170" t="s">
        <v>1947</v>
      </c>
      <c r="E524" s="171" t="s">
        <v>22939</v>
      </c>
      <c r="F524" s="171" t="s">
        <v>29216</v>
      </c>
      <c r="G524" s="82"/>
      <c r="H524" s="96">
        <f t="shared" si="32"/>
        <v>56.73</v>
      </c>
      <c r="I524" s="96">
        <f t="shared" si="32"/>
        <v>59.51</v>
      </c>
      <c r="J524" s="91" t="str">
        <f t="shared" si="33"/>
        <v>Sinapi 5826</v>
      </c>
      <c r="K524" s="91" t="str">
        <f t="shared" si="34"/>
        <v>CHI</v>
      </c>
      <c r="L524" s="166" t="str">
        <f t="shared" si="35"/>
        <v>06/2014</v>
      </c>
      <c r="M524" s="82"/>
      <c r="N524" s="82"/>
    </row>
    <row r="525" spans="1:14" x14ac:dyDescent="0.25">
      <c r="A525" s="170" t="s">
        <v>2635</v>
      </c>
      <c r="B525" s="170" t="s">
        <v>2636</v>
      </c>
      <c r="C525" s="170" t="s">
        <v>816</v>
      </c>
      <c r="D525" s="170" t="s">
        <v>1947</v>
      </c>
      <c r="E525" s="171" t="s">
        <v>23230</v>
      </c>
      <c r="F525" s="171" t="s">
        <v>35329</v>
      </c>
      <c r="G525" s="82"/>
      <c r="H525" s="96">
        <f t="shared" si="32"/>
        <v>138.96</v>
      </c>
      <c r="I525" s="96">
        <f t="shared" si="32"/>
        <v>149.41</v>
      </c>
      <c r="J525" s="91" t="str">
        <f t="shared" si="33"/>
        <v>Sinapi 5829</v>
      </c>
      <c r="K525" s="91" t="str">
        <f t="shared" si="34"/>
        <v>CHI</v>
      </c>
      <c r="L525" s="166" t="str">
        <f t="shared" si="35"/>
        <v>07/2016</v>
      </c>
      <c r="M525" s="82"/>
      <c r="N525" s="82"/>
    </row>
    <row r="526" spans="1:14" x14ac:dyDescent="0.25">
      <c r="A526" s="170" t="s">
        <v>2637</v>
      </c>
      <c r="B526" s="170" t="s">
        <v>2638</v>
      </c>
      <c r="C526" s="170" t="s">
        <v>816</v>
      </c>
      <c r="D526" s="170" t="s">
        <v>1947</v>
      </c>
      <c r="E526" s="171" t="s">
        <v>31938</v>
      </c>
      <c r="F526" s="171" t="s">
        <v>35330</v>
      </c>
      <c r="G526" s="82"/>
      <c r="H526" s="96">
        <f t="shared" si="32"/>
        <v>153.97</v>
      </c>
      <c r="I526" s="96">
        <f t="shared" si="32"/>
        <v>157.30000000000001</v>
      </c>
      <c r="J526" s="91" t="str">
        <f t="shared" si="33"/>
        <v>Sinapi 5837</v>
      </c>
      <c r="K526" s="91" t="str">
        <f t="shared" si="34"/>
        <v>CHI</v>
      </c>
      <c r="L526" s="166" t="str">
        <f t="shared" si="35"/>
        <v>11/2014</v>
      </c>
      <c r="M526" s="82"/>
      <c r="N526" s="82"/>
    </row>
    <row r="527" spans="1:14" x14ac:dyDescent="0.25">
      <c r="A527" s="170" t="s">
        <v>2639</v>
      </c>
      <c r="B527" s="170" t="s">
        <v>1150</v>
      </c>
      <c r="C527" s="170" t="s">
        <v>816</v>
      </c>
      <c r="D527" s="170" t="s">
        <v>1947</v>
      </c>
      <c r="E527" s="171" t="s">
        <v>17371</v>
      </c>
      <c r="F527" s="171" t="s">
        <v>17371</v>
      </c>
      <c r="G527" s="82"/>
      <c r="H527" s="96">
        <f t="shared" si="32"/>
        <v>5.18</v>
      </c>
      <c r="I527" s="96">
        <f t="shared" si="32"/>
        <v>5.18</v>
      </c>
      <c r="J527" s="91" t="str">
        <f t="shared" si="33"/>
        <v>Sinapi 5841</v>
      </c>
      <c r="K527" s="91" t="str">
        <f t="shared" si="34"/>
        <v>CHI</v>
      </c>
      <c r="L527" s="166" t="str">
        <f t="shared" si="35"/>
        <v>06/2014</v>
      </c>
      <c r="M527" s="82"/>
      <c r="N527" s="82"/>
    </row>
    <row r="528" spans="1:14" x14ac:dyDescent="0.25">
      <c r="A528" s="170" t="s">
        <v>2640</v>
      </c>
      <c r="B528" s="170" t="s">
        <v>2641</v>
      </c>
      <c r="C528" s="170" t="s">
        <v>816</v>
      </c>
      <c r="D528" s="170" t="s">
        <v>1947</v>
      </c>
      <c r="E528" s="171" t="s">
        <v>31939</v>
      </c>
      <c r="F528" s="171" t="s">
        <v>35331</v>
      </c>
      <c r="G528" s="82"/>
      <c r="H528" s="96">
        <f t="shared" si="32"/>
        <v>46.06</v>
      </c>
      <c r="I528" s="96">
        <f t="shared" si="32"/>
        <v>48.71</v>
      </c>
      <c r="J528" s="91" t="str">
        <f t="shared" si="33"/>
        <v>Sinapi 5845</v>
      </c>
      <c r="K528" s="91" t="str">
        <f t="shared" si="34"/>
        <v>CHI</v>
      </c>
      <c r="L528" s="166" t="str">
        <f t="shared" si="35"/>
        <v>06/2014</v>
      </c>
      <c r="M528" s="82"/>
      <c r="N528" s="82"/>
    </row>
    <row r="529" spans="1:14" x14ac:dyDescent="0.25">
      <c r="A529" s="170" t="s">
        <v>2642</v>
      </c>
      <c r="B529" s="170" t="s">
        <v>2643</v>
      </c>
      <c r="C529" s="170" t="s">
        <v>816</v>
      </c>
      <c r="D529" s="170" t="s">
        <v>1947</v>
      </c>
      <c r="E529" s="171" t="s">
        <v>31940</v>
      </c>
      <c r="F529" s="171" t="s">
        <v>35332</v>
      </c>
      <c r="G529" s="82"/>
      <c r="H529" s="96">
        <f t="shared" si="32"/>
        <v>77.13</v>
      </c>
      <c r="I529" s="96">
        <f t="shared" si="32"/>
        <v>79.78</v>
      </c>
      <c r="J529" s="91" t="str">
        <f t="shared" si="33"/>
        <v>Sinapi 5849</v>
      </c>
      <c r="K529" s="91" t="str">
        <f t="shared" si="34"/>
        <v>CHI</v>
      </c>
      <c r="L529" s="166" t="str">
        <f t="shared" si="35"/>
        <v>06/2014</v>
      </c>
      <c r="M529" s="82"/>
      <c r="N529" s="82"/>
    </row>
    <row r="530" spans="1:14" x14ac:dyDescent="0.25">
      <c r="A530" s="170" t="s">
        <v>2644</v>
      </c>
      <c r="B530" s="170" t="s">
        <v>2645</v>
      </c>
      <c r="C530" s="170" t="s">
        <v>816</v>
      </c>
      <c r="D530" s="170" t="s">
        <v>1947</v>
      </c>
      <c r="E530" s="171" t="s">
        <v>31941</v>
      </c>
      <c r="F530" s="171" t="s">
        <v>35333</v>
      </c>
      <c r="G530" s="82"/>
      <c r="H530" s="96">
        <f t="shared" si="32"/>
        <v>77.47</v>
      </c>
      <c r="I530" s="96">
        <f t="shared" si="32"/>
        <v>80.12</v>
      </c>
      <c r="J530" s="91" t="str">
        <f t="shared" si="33"/>
        <v>Sinapi 5853</v>
      </c>
      <c r="K530" s="91" t="str">
        <f t="shared" si="34"/>
        <v>CHI</v>
      </c>
      <c r="L530" s="166" t="str">
        <f t="shared" si="35"/>
        <v>06/2014</v>
      </c>
      <c r="M530" s="82"/>
      <c r="N530" s="82"/>
    </row>
    <row r="531" spans="1:14" x14ac:dyDescent="0.25">
      <c r="A531" s="170" t="s">
        <v>2646</v>
      </c>
      <c r="B531" s="170" t="s">
        <v>2647</v>
      </c>
      <c r="C531" s="170" t="s">
        <v>816</v>
      </c>
      <c r="D531" s="170" t="s">
        <v>1947</v>
      </c>
      <c r="E531" s="171" t="s">
        <v>31942</v>
      </c>
      <c r="F531" s="171" t="s">
        <v>35334</v>
      </c>
      <c r="G531" s="82"/>
      <c r="H531" s="96">
        <f t="shared" si="32"/>
        <v>203.88</v>
      </c>
      <c r="I531" s="96">
        <f t="shared" si="32"/>
        <v>206.53</v>
      </c>
      <c r="J531" s="91" t="str">
        <f t="shared" si="33"/>
        <v>Sinapi 5857</v>
      </c>
      <c r="K531" s="91" t="str">
        <f t="shared" si="34"/>
        <v>CHI</v>
      </c>
      <c r="L531" s="166" t="str">
        <f t="shared" si="35"/>
        <v>06/2014</v>
      </c>
      <c r="M531" s="82"/>
      <c r="N531" s="82"/>
    </row>
    <row r="532" spans="1:14" x14ac:dyDescent="0.25">
      <c r="A532" s="170" t="s">
        <v>2648</v>
      </c>
      <c r="B532" s="170" t="s">
        <v>2649</v>
      </c>
      <c r="C532" s="170" t="s">
        <v>816</v>
      </c>
      <c r="D532" s="170" t="s">
        <v>1947</v>
      </c>
      <c r="E532" s="171" t="s">
        <v>7420</v>
      </c>
      <c r="F532" s="171" t="s">
        <v>7420</v>
      </c>
      <c r="G532" s="82"/>
      <c r="H532" s="96">
        <f t="shared" si="32"/>
        <v>12.03</v>
      </c>
      <c r="I532" s="96">
        <f t="shared" si="32"/>
        <v>12.03</v>
      </c>
      <c r="J532" s="91" t="str">
        <f t="shared" si="33"/>
        <v>Sinapi 5865</v>
      </c>
      <c r="K532" s="91" t="str">
        <f t="shared" si="34"/>
        <v>CHI</v>
      </c>
      <c r="L532" s="166" t="str">
        <f t="shared" si="35"/>
        <v>02/2016</v>
      </c>
      <c r="M532" s="82"/>
      <c r="N532" s="82"/>
    </row>
    <row r="533" spans="1:14" x14ac:dyDescent="0.25">
      <c r="A533" s="170" t="s">
        <v>2651</v>
      </c>
      <c r="B533" s="170" t="s">
        <v>2652</v>
      </c>
      <c r="C533" s="170" t="s">
        <v>816</v>
      </c>
      <c r="D533" s="170" t="s">
        <v>1947</v>
      </c>
      <c r="E533" s="171" t="s">
        <v>31943</v>
      </c>
      <c r="F533" s="171" t="s">
        <v>35335</v>
      </c>
      <c r="G533" s="82"/>
      <c r="H533" s="96">
        <f t="shared" si="32"/>
        <v>69.680000000000007</v>
      </c>
      <c r="I533" s="96">
        <f t="shared" si="32"/>
        <v>72.13</v>
      </c>
      <c r="J533" s="91" t="str">
        <f t="shared" si="33"/>
        <v>Sinapi 5869</v>
      </c>
      <c r="K533" s="91" t="str">
        <f t="shared" si="34"/>
        <v>CHI</v>
      </c>
      <c r="L533" s="166" t="str">
        <f t="shared" si="35"/>
        <v>06/2014</v>
      </c>
      <c r="M533" s="82"/>
      <c r="N533" s="82"/>
    </row>
    <row r="534" spans="1:14" x14ac:dyDescent="0.25">
      <c r="A534" s="170" t="s">
        <v>2653</v>
      </c>
      <c r="B534" s="170" t="s">
        <v>2654</v>
      </c>
      <c r="C534" s="170" t="s">
        <v>816</v>
      </c>
      <c r="D534" s="170" t="s">
        <v>1947</v>
      </c>
      <c r="E534" s="171" t="s">
        <v>31944</v>
      </c>
      <c r="F534" s="171" t="s">
        <v>30196</v>
      </c>
      <c r="G534" s="82"/>
      <c r="H534" s="96">
        <f t="shared" si="32"/>
        <v>55.36</v>
      </c>
      <c r="I534" s="96">
        <f t="shared" si="32"/>
        <v>58.85</v>
      </c>
      <c r="J534" s="91" t="str">
        <f t="shared" si="33"/>
        <v>Sinapi 5877</v>
      </c>
      <c r="K534" s="91" t="str">
        <f t="shared" si="34"/>
        <v>CHI</v>
      </c>
      <c r="L534" s="166" t="str">
        <f t="shared" si="35"/>
        <v>06/2014</v>
      </c>
      <c r="M534" s="82"/>
      <c r="N534" s="82"/>
    </row>
    <row r="535" spans="1:14" x14ac:dyDescent="0.25">
      <c r="A535" s="170" t="s">
        <v>2655</v>
      </c>
      <c r="B535" s="170" t="s">
        <v>2656</v>
      </c>
      <c r="C535" s="170" t="s">
        <v>816</v>
      </c>
      <c r="D535" s="170" t="s">
        <v>1947</v>
      </c>
      <c r="E535" s="171" t="s">
        <v>25883</v>
      </c>
      <c r="F535" s="171" t="s">
        <v>29031</v>
      </c>
      <c r="G535" s="82"/>
      <c r="H535" s="96">
        <f t="shared" si="32"/>
        <v>75.2</v>
      </c>
      <c r="I535" s="96">
        <f t="shared" si="32"/>
        <v>77.650000000000006</v>
      </c>
      <c r="J535" s="91" t="str">
        <f t="shared" si="33"/>
        <v>Sinapi 5881</v>
      </c>
      <c r="K535" s="91" t="str">
        <f t="shared" si="34"/>
        <v>CHI</v>
      </c>
      <c r="L535" s="166" t="str">
        <f t="shared" si="35"/>
        <v>02/2016</v>
      </c>
      <c r="M535" s="82"/>
      <c r="N535" s="82"/>
    </row>
    <row r="536" spans="1:14" x14ac:dyDescent="0.25">
      <c r="A536" s="170" t="s">
        <v>2657</v>
      </c>
      <c r="B536" s="170" t="s">
        <v>2658</v>
      </c>
      <c r="C536" s="170" t="s">
        <v>816</v>
      </c>
      <c r="D536" s="170" t="s">
        <v>1947</v>
      </c>
      <c r="E536" s="171" t="s">
        <v>19823</v>
      </c>
      <c r="F536" s="171" t="s">
        <v>32003</v>
      </c>
      <c r="G536" s="82"/>
      <c r="H536" s="96">
        <f t="shared" si="32"/>
        <v>50.5</v>
      </c>
      <c r="I536" s="96">
        <f t="shared" si="32"/>
        <v>52.4</v>
      </c>
      <c r="J536" s="91" t="str">
        <f t="shared" si="33"/>
        <v>Sinapi 5884</v>
      </c>
      <c r="K536" s="91" t="str">
        <f t="shared" si="34"/>
        <v>CHI</v>
      </c>
      <c r="L536" s="166" t="str">
        <f t="shared" si="35"/>
        <v>10/2014</v>
      </c>
      <c r="M536" s="82"/>
      <c r="N536" s="82"/>
    </row>
    <row r="537" spans="1:14" x14ac:dyDescent="0.25">
      <c r="A537" s="170" t="s">
        <v>2659</v>
      </c>
      <c r="B537" s="170" t="s">
        <v>2660</v>
      </c>
      <c r="C537" s="170" t="s">
        <v>816</v>
      </c>
      <c r="D537" s="170" t="s">
        <v>1947</v>
      </c>
      <c r="E537" s="171" t="s">
        <v>31945</v>
      </c>
      <c r="F537" s="171" t="s">
        <v>21814</v>
      </c>
      <c r="G537" s="82"/>
      <c r="H537" s="96">
        <f t="shared" si="32"/>
        <v>51.68</v>
      </c>
      <c r="I537" s="96">
        <f t="shared" si="32"/>
        <v>54.46</v>
      </c>
      <c r="J537" s="91" t="str">
        <f t="shared" si="33"/>
        <v>Sinapi 5892</v>
      </c>
      <c r="K537" s="91" t="str">
        <f t="shared" si="34"/>
        <v>CHI</v>
      </c>
      <c r="L537" s="166" t="str">
        <f t="shared" si="35"/>
        <v>06/2014</v>
      </c>
      <c r="M537" s="82"/>
      <c r="N537" s="82"/>
    </row>
    <row r="538" spans="1:14" x14ac:dyDescent="0.25">
      <c r="A538" s="170" t="s">
        <v>2661</v>
      </c>
      <c r="B538" s="170" t="s">
        <v>2662</v>
      </c>
      <c r="C538" s="170" t="s">
        <v>816</v>
      </c>
      <c r="D538" s="170" t="s">
        <v>1947</v>
      </c>
      <c r="E538" s="171" t="s">
        <v>21511</v>
      </c>
      <c r="F538" s="171" t="s">
        <v>35336</v>
      </c>
      <c r="G538" s="82"/>
      <c r="H538" s="96">
        <f t="shared" si="32"/>
        <v>54.53</v>
      </c>
      <c r="I538" s="96">
        <f t="shared" si="32"/>
        <v>57.31</v>
      </c>
      <c r="J538" s="91" t="str">
        <f t="shared" si="33"/>
        <v>Sinapi 5896</v>
      </c>
      <c r="K538" s="91" t="str">
        <f t="shared" si="34"/>
        <v>CHI</v>
      </c>
      <c r="L538" s="166" t="str">
        <f t="shared" si="35"/>
        <v>06/2014</v>
      </c>
      <c r="M538" s="82"/>
      <c r="N538" s="82"/>
    </row>
    <row r="539" spans="1:14" x14ac:dyDescent="0.25">
      <c r="A539" s="170" t="s">
        <v>2663</v>
      </c>
      <c r="B539" s="170" t="s">
        <v>819</v>
      </c>
      <c r="C539" s="170" t="s">
        <v>816</v>
      </c>
      <c r="D539" s="170" t="s">
        <v>1947</v>
      </c>
      <c r="E539" s="171" t="s">
        <v>31946</v>
      </c>
      <c r="F539" s="171" t="s">
        <v>29456</v>
      </c>
      <c r="G539" s="82"/>
      <c r="H539" s="96">
        <f t="shared" si="32"/>
        <v>69.09</v>
      </c>
      <c r="I539" s="96">
        <f t="shared" si="32"/>
        <v>71.87</v>
      </c>
      <c r="J539" s="91" t="str">
        <f t="shared" si="33"/>
        <v>Sinapi 5903</v>
      </c>
      <c r="K539" s="91" t="str">
        <f t="shared" si="34"/>
        <v>CHI</v>
      </c>
      <c r="L539" s="166" t="str">
        <f t="shared" si="35"/>
        <v>06/2014</v>
      </c>
      <c r="M539" s="82"/>
      <c r="N539" s="82"/>
    </row>
    <row r="540" spans="1:14" x14ac:dyDescent="0.25">
      <c r="A540" s="170" t="s">
        <v>2664</v>
      </c>
      <c r="B540" s="170" t="s">
        <v>2665</v>
      </c>
      <c r="C540" s="170" t="s">
        <v>816</v>
      </c>
      <c r="D540" s="170" t="s">
        <v>1947</v>
      </c>
      <c r="E540" s="171" t="s">
        <v>16210</v>
      </c>
      <c r="F540" s="171" t="s">
        <v>18668</v>
      </c>
      <c r="G540" s="82"/>
      <c r="H540" s="96">
        <f t="shared" si="32"/>
        <v>23.54</v>
      </c>
      <c r="I540" s="96">
        <f t="shared" si="32"/>
        <v>25.44</v>
      </c>
      <c r="J540" s="91" t="str">
        <f t="shared" si="33"/>
        <v>Sinapi 5911</v>
      </c>
      <c r="K540" s="91" t="str">
        <f t="shared" si="34"/>
        <v>CHI</v>
      </c>
      <c r="L540" s="166" t="str">
        <f t="shared" si="35"/>
        <v>07/2014</v>
      </c>
      <c r="M540" s="82"/>
      <c r="N540" s="82"/>
    </row>
    <row r="541" spans="1:14" x14ac:dyDescent="0.25">
      <c r="A541" s="170" t="s">
        <v>2666</v>
      </c>
      <c r="B541" s="170" t="s">
        <v>2667</v>
      </c>
      <c r="C541" s="170" t="s">
        <v>816</v>
      </c>
      <c r="D541" s="170" t="s">
        <v>1947</v>
      </c>
      <c r="E541" s="171" t="s">
        <v>14784</v>
      </c>
      <c r="F541" s="171" t="s">
        <v>14784</v>
      </c>
      <c r="G541" s="82"/>
      <c r="H541" s="96">
        <f t="shared" si="32"/>
        <v>3.54</v>
      </c>
      <c r="I541" s="96">
        <f t="shared" si="32"/>
        <v>3.54</v>
      </c>
      <c r="J541" s="91" t="str">
        <f t="shared" si="33"/>
        <v>Sinapi 5923</v>
      </c>
      <c r="K541" s="91" t="str">
        <f t="shared" si="34"/>
        <v>CHI</v>
      </c>
      <c r="L541" s="166" t="str">
        <f t="shared" si="35"/>
        <v>06/2014</v>
      </c>
      <c r="M541" s="82"/>
      <c r="N541" s="82"/>
    </row>
    <row r="542" spans="1:14" x14ac:dyDescent="0.25">
      <c r="A542" s="170" t="s">
        <v>2669</v>
      </c>
      <c r="B542" s="170" t="s">
        <v>2670</v>
      </c>
      <c r="C542" s="170" t="s">
        <v>816</v>
      </c>
      <c r="D542" s="170" t="s">
        <v>1947</v>
      </c>
      <c r="E542" s="171" t="s">
        <v>30539</v>
      </c>
      <c r="F542" s="171" t="s">
        <v>35337</v>
      </c>
      <c r="G542" s="82"/>
      <c r="H542" s="96">
        <f t="shared" si="32"/>
        <v>63.21</v>
      </c>
      <c r="I542" s="96">
        <f t="shared" si="32"/>
        <v>65.739999999999995</v>
      </c>
      <c r="J542" s="91" t="str">
        <f t="shared" si="33"/>
        <v>Sinapi 5930</v>
      </c>
      <c r="K542" s="91" t="str">
        <f t="shared" si="34"/>
        <v>CHI</v>
      </c>
      <c r="L542" s="166" t="str">
        <f t="shared" si="35"/>
        <v>06/2014</v>
      </c>
      <c r="M542" s="82"/>
      <c r="N542" s="82"/>
    </row>
    <row r="543" spans="1:14" x14ac:dyDescent="0.25">
      <c r="A543" s="170" t="s">
        <v>2671</v>
      </c>
      <c r="B543" s="170" t="s">
        <v>2672</v>
      </c>
      <c r="C543" s="170" t="s">
        <v>816</v>
      </c>
      <c r="D543" s="170" t="s">
        <v>1947</v>
      </c>
      <c r="E543" s="171" t="s">
        <v>28941</v>
      </c>
      <c r="F543" s="171" t="s">
        <v>33744</v>
      </c>
      <c r="G543" s="82"/>
      <c r="H543" s="96">
        <f t="shared" si="32"/>
        <v>90.01</v>
      </c>
      <c r="I543" s="96">
        <f t="shared" si="32"/>
        <v>93.96</v>
      </c>
      <c r="J543" s="91" t="str">
        <f t="shared" si="33"/>
        <v>Sinapi 5934</v>
      </c>
      <c r="K543" s="91" t="str">
        <f t="shared" si="34"/>
        <v>CHI</v>
      </c>
      <c r="L543" s="166" t="str">
        <f t="shared" si="35"/>
        <v>06/2014</v>
      </c>
      <c r="M543" s="82"/>
      <c r="N543" s="82"/>
    </row>
    <row r="544" spans="1:14" x14ac:dyDescent="0.25">
      <c r="A544" s="170" t="s">
        <v>2673</v>
      </c>
      <c r="B544" s="170" t="s">
        <v>2674</v>
      </c>
      <c r="C544" s="170" t="s">
        <v>816</v>
      </c>
      <c r="D544" s="170" t="s">
        <v>1947</v>
      </c>
      <c r="E544" s="171" t="s">
        <v>22968</v>
      </c>
      <c r="F544" s="171" t="s">
        <v>35338</v>
      </c>
      <c r="G544" s="82"/>
      <c r="H544" s="96">
        <f t="shared" si="32"/>
        <v>68.650000000000006</v>
      </c>
      <c r="I544" s="96">
        <f t="shared" si="32"/>
        <v>71.650000000000006</v>
      </c>
      <c r="J544" s="91" t="str">
        <f t="shared" si="33"/>
        <v>Sinapi 5942</v>
      </c>
      <c r="K544" s="91" t="str">
        <f t="shared" si="34"/>
        <v>CHI</v>
      </c>
      <c r="L544" s="166" t="str">
        <f t="shared" si="35"/>
        <v>06/2014</v>
      </c>
      <c r="M544" s="82"/>
      <c r="N544" s="82"/>
    </row>
    <row r="545" spans="1:14" x14ac:dyDescent="0.25">
      <c r="A545" s="170" t="s">
        <v>2675</v>
      </c>
      <c r="B545" s="170" t="s">
        <v>1158</v>
      </c>
      <c r="C545" s="170" t="s">
        <v>816</v>
      </c>
      <c r="D545" s="170" t="s">
        <v>1947</v>
      </c>
      <c r="E545" s="171" t="s">
        <v>31947</v>
      </c>
      <c r="F545" s="171" t="s">
        <v>35339</v>
      </c>
      <c r="G545" s="82"/>
      <c r="H545" s="96">
        <f t="shared" si="32"/>
        <v>85.89</v>
      </c>
      <c r="I545" s="96">
        <f t="shared" si="32"/>
        <v>88.89</v>
      </c>
      <c r="J545" s="91" t="str">
        <f t="shared" si="33"/>
        <v>Sinapi 5946</v>
      </c>
      <c r="K545" s="91" t="str">
        <f t="shared" si="34"/>
        <v>CHI</v>
      </c>
      <c r="L545" s="166" t="str">
        <f t="shared" si="35"/>
        <v>06/2014</v>
      </c>
      <c r="M545" s="82"/>
      <c r="N545" s="82"/>
    </row>
    <row r="546" spans="1:14" x14ac:dyDescent="0.25">
      <c r="A546" s="170" t="s">
        <v>2676</v>
      </c>
      <c r="B546" s="170" t="s">
        <v>976</v>
      </c>
      <c r="C546" s="170" t="s">
        <v>816</v>
      </c>
      <c r="D546" s="170" t="s">
        <v>1947</v>
      </c>
      <c r="E546" s="171" t="s">
        <v>15766</v>
      </c>
      <c r="F546" s="171" t="s">
        <v>17939</v>
      </c>
      <c r="G546" s="82"/>
      <c r="H546" s="96">
        <f t="shared" si="32"/>
        <v>21.95</v>
      </c>
      <c r="I546" s="96">
        <f t="shared" si="32"/>
        <v>24.34</v>
      </c>
      <c r="J546" s="91" t="str">
        <f t="shared" si="33"/>
        <v>Sinapi 5952</v>
      </c>
      <c r="K546" s="91" t="str">
        <f t="shared" si="34"/>
        <v>CHI</v>
      </c>
      <c r="L546" s="166" t="str">
        <f t="shared" si="35"/>
        <v>07/2016</v>
      </c>
      <c r="M546" s="82"/>
      <c r="N546" s="82"/>
    </row>
    <row r="547" spans="1:14" x14ac:dyDescent="0.25">
      <c r="A547" s="170" t="s">
        <v>2677</v>
      </c>
      <c r="B547" s="170" t="s">
        <v>2678</v>
      </c>
      <c r="C547" s="170" t="s">
        <v>816</v>
      </c>
      <c r="D547" s="170" t="s">
        <v>1947</v>
      </c>
      <c r="E547" s="171" t="s">
        <v>15695</v>
      </c>
      <c r="F547" s="171" t="s">
        <v>15695</v>
      </c>
      <c r="G547" s="82"/>
      <c r="H547" s="96">
        <f t="shared" si="32"/>
        <v>6.3</v>
      </c>
      <c r="I547" s="96">
        <f t="shared" si="32"/>
        <v>6.3</v>
      </c>
      <c r="J547" s="91" t="str">
        <f t="shared" si="33"/>
        <v>Sinapi 5954</v>
      </c>
      <c r="K547" s="91" t="str">
        <f t="shared" si="34"/>
        <v>CHI</v>
      </c>
      <c r="L547" s="166" t="str">
        <f t="shared" si="35"/>
        <v>06/2015</v>
      </c>
      <c r="M547" s="82"/>
      <c r="N547" s="82"/>
    </row>
    <row r="548" spans="1:14" x14ac:dyDescent="0.25">
      <c r="A548" s="170" t="s">
        <v>2679</v>
      </c>
      <c r="B548" s="170" t="s">
        <v>2680</v>
      </c>
      <c r="C548" s="170" t="s">
        <v>816</v>
      </c>
      <c r="D548" s="170" t="s">
        <v>1947</v>
      </c>
      <c r="E548" s="171" t="s">
        <v>20072</v>
      </c>
      <c r="F548" s="171" t="s">
        <v>35340</v>
      </c>
      <c r="G548" s="82"/>
      <c r="H548" s="96">
        <f t="shared" si="32"/>
        <v>58.38</v>
      </c>
      <c r="I548" s="96">
        <f t="shared" si="32"/>
        <v>61.28</v>
      </c>
      <c r="J548" s="91" t="str">
        <f t="shared" si="33"/>
        <v>Sinapi 5961</v>
      </c>
      <c r="K548" s="91" t="str">
        <f t="shared" si="34"/>
        <v>CHI</v>
      </c>
      <c r="L548" s="166" t="str">
        <f t="shared" si="35"/>
        <v>06/2014</v>
      </c>
      <c r="M548" s="82"/>
      <c r="N548" s="82"/>
    </row>
    <row r="549" spans="1:14" x14ac:dyDescent="0.25">
      <c r="A549" s="170" t="s">
        <v>2681</v>
      </c>
      <c r="B549" s="170" t="s">
        <v>2682</v>
      </c>
      <c r="C549" s="170" t="s">
        <v>816</v>
      </c>
      <c r="D549" s="170" t="s">
        <v>1947</v>
      </c>
      <c r="E549" s="171" t="s">
        <v>31798</v>
      </c>
      <c r="F549" s="171" t="s">
        <v>29141</v>
      </c>
      <c r="G549" s="82"/>
      <c r="H549" s="96">
        <f t="shared" si="32"/>
        <v>55.97</v>
      </c>
      <c r="I549" s="96">
        <f t="shared" si="32"/>
        <v>58.75</v>
      </c>
      <c r="J549" s="91" t="str">
        <f t="shared" si="33"/>
        <v>Sinapi 6260</v>
      </c>
      <c r="K549" s="91" t="str">
        <f t="shared" si="34"/>
        <v>CHI</v>
      </c>
      <c r="L549" s="166" t="str">
        <f t="shared" si="35"/>
        <v>06/2014</v>
      </c>
      <c r="M549" s="82"/>
      <c r="N549" s="82"/>
    </row>
    <row r="550" spans="1:14" x14ac:dyDescent="0.25">
      <c r="A550" s="170" t="s">
        <v>2683</v>
      </c>
      <c r="B550" s="170" t="s">
        <v>2684</v>
      </c>
      <c r="C550" s="170" t="s">
        <v>816</v>
      </c>
      <c r="D550" s="170" t="s">
        <v>1947</v>
      </c>
      <c r="E550" s="171" t="s">
        <v>28818</v>
      </c>
      <c r="F550" s="171" t="s">
        <v>28916</v>
      </c>
      <c r="G550" s="82"/>
      <c r="H550" s="96">
        <f t="shared" si="32"/>
        <v>83.03</v>
      </c>
      <c r="I550" s="96">
        <f t="shared" si="32"/>
        <v>85.48</v>
      </c>
      <c r="J550" s="91" t="str">
        <f t="shared" si="33"/>
        <v>Sinapi 6880</v>
      </c>
      <c r="K550" s="91" t="str">
        <f t="shared" si="34"/>
        <v>CHI</v>
      </c>
      <c r="L550" s="166" t="str">
        <f t="shared" si="35"/>
        <v>07/2014</v>
      </c>
      <c r="M550" s="82"/>
      <c r="N550" s="82"/>
    </row>
    <row r="551" spans="1:14" x14ac:dyDescent="0.25">
      <c r="A551" s="170" t="s">
        <v>2685</v>
      </c>
      <c r="B551" s="170" t="s">
        <v>21633</v>
      </c>
      <c r="C551" s="170" t="s">
        <v>816</v>
      </c>
      <c r="D551" s="170" t="s">
        <v>1947</v>
      </c>
      <c r="E551" s="171" t="s">
        <v>20019</v>
      </c>
      <c r="F551" s="171" t="s">
        <v>20019</v>
      </c>
      <c r="G551" s="82"/>
      <c r="H551" s="96">
        <f t="shared" si="32"/>
        <v>5.86</v>
      </c>
      <c r="I551" s="96">
        <f t="shared" si="32"/>
        <v>5.86</v>
      </c>
      <c r="J551" s="91" t="str">
        <f t="shared" si="33"/>
        <v>Sinapi 7031</v>
      </c>
      <c r="K551" s="91" t="str">
        <f t="shared" si="34"/>
        <v>CHI</v>
      </c>
      <c r="L551" s="166" t="str">
        <f t="shared" si="35"/>
        <v>05/2023</v>
      </c>
      <c r="M551" s="82"/>
      <c r="N551" s="82"/>
    </row>
    <row r="552" spans="1:14" x14ac:dyDescent="0.25">
      <c r="A552" s="170" t="s">
        <v>2687</v>
      </c>
      <c r="B552" s="170" t="s">
        <v>2688</v>
      </c>
      <c r="C552" s="170" t="s">
        <v>816</v>
      </c>
      <c r="D552" s="170" t="s">
        <v>2067</v>
      </c>
      <c r="E552" s="171" t="s">
        <v>2851</v>
      </c>
      <c r="F552" s="171" t="s">
        <v>2851</v>
      </c>
      <c r="G552" s="82"/>
      <c r="H552" s="96">
        <f t="shared" si="32"/>
        <v>0.45</v>
      </c>
      <c r="I552" s="96">
        <f t="shared" si="32"/>
        <v>0.45</v>
      </c>
      <c r="J552" s="91" t="str">
        <f t="shared" si="33"/>
        <v>Sinapi 7043</v>
      </c>
      <c r="K552" s="91" t="str">
        <f t="shared" si="34"/>
        <v>CHI</v>
      </c>
      <c r="L552" s="166" t="str">
        <f t="shared" si="35"/>
        <v>10/2014</v>
      </c>
      <c r="M552" s="82"/>
      <c r="N552" s="82"/>
    </row>
    <row r="553" spans="1:14" x14ac:dyDescent="0.25">
      <c r="A553" s="170" t="s">
        <v>2690</v>
      </c>
      <c r="B553" s="170" t="s">
        <v>2691</v>
      </c>
      <c r="C553" s="170" t="s">
        <v>816</v>
      </c>
      <c r="D553" s="170" t="s">
        <v>1947</v>
      </c>
      <c r="E553" s="171" t="s">
        <v>31948</v>
      </c>
      <c r="F553" s="171" t="s">
        <v>30598</v>
      </c>
      <c r="G553" s="82"/>
      <c r="H553" s="96">
        <f t="shared" si="32"/>
        <v>76.08</v>
      </c>
      <c r="I553" s="96">
        <f t="shared" si="32"/>
        <v>78.53</v>
      </c>
      <c r="J553" s="91" t="str">
        <f t="shared" si="33"/>
        <v>Sinapi 7050</v>
      </c>
      <c r="K553" s="91" t="str">
        <f t="shared" si="34"/>
        <v>CHI</v>
      </c>
      <c r="L553" s="166" t="str">
        <f t="shared" si="35"/>
        <v>06/2014</v>
      </c>
      <c r="M553" s="82"/>
      <c r="N553" s="82"/>
    </row>
    <row r="554" spans="1:14" x14ac:dyDescent="0.25">
      <c r="A554" s="170" t="s">
        <v>2692</v>
      </c>
      <c r="B554" s="170" t="s">
        <v>947</v>
      </c>
      <c r="C554" s="170" t="s">
        <v>816</v>
      </c>
      <c r="D554" s="170" t="s">
        <v>1947</v>
      </c>
      <c r="E554" s="171" t="s">
        <v>29067</v>
      </c>
      <c r="F554" s="171" t="s">
        <v>21168</v>
      </c>
      <c r="G554" s="82"/>
      <c r="H554" s="96">
        <f t="shared" si="32"/>
        <v>59.63</v>
      </c>
      <c r="I554" s="96">
        <f t="shared" si="32"/>
        <v>62.53</v>
      </c>
      <c r="J554" s="91" t="str">
        <f t="shared" si="33"/>
        <v>Sinapi 67827</v>
      </c>
      <c r="K554" s="91" t="str">
        <f t="shared" si="34"/>
        <v>CHI</v>
      </c>
      <c r="L554" s="166" t="str">
        <f t="shared" si="35"/>
        <v>06/2014</v>
      </c>
      <c r="M554" s="82"/>
      <c r="N554" s="82"/>
    </row>
    <row r="555" spans="1:14" x14ac:dyDescent="0.25">
      <c r="A555" s="170" t="s">
        <v>2693</v>
      </c>
      <c r="B555" s="170" t="s">
        <v>2694</v>
      </c>
      <c r="C555" s="170" t="s">
        <v>816</v>
      </c>
      <c r="D555" s="170" t="s">
        <v>1947</v>
      </c>
      <c r="E555" s="171" t="s">
        <v>18715</v>
      </c>
      <c r="F555" s="171" t="s">
        <v>18715</v>
      </c>
      <c r="G555" s="82"/>
      <c r="H555" s="96">
        <f t="shared" si="32"/>
        <v>7.96</v>
      </c>
      <c r="I555" s="96">
        <f t="shared" si="32"/>
        <v>7.96</v>
      </c>
      <c r="J555" s="91" t="str">
        <f t="shared" si="33"/>
        <v>Sinapi 73395</v>
      </c>
      <c r="K555" s="91" t="str">
        <f t="shared" si="34"/>
        <v>CHI</v>
      </c>
      <c r="L555" s="166" t="str">
        <f t="shared" si="35"/>
        <v>02/2016</v>
      </c>
      <c r="M555" s="82"/>
      <c r="N555" s="82"/>
    </row>
    <row r="556" spans="1:14" x14ac:dyDescent="0.25">
      <c r="A556" s="170" t="s">
        <v>2695</v>
      </c>
      <c r="B556" s="170" t="s">
        <v>2696</v>
      </c>
      <c r="C556" s="170" t="s">
        <v>816</v>
      </c>
      <c r="D556" s="170" t="s">
        <v>1947</v>
      </c>
      <c r="E556" s="171" t="s">
        <v>22079</v>
      </c>
      <c r="F556" s="171" t="s">
        <v>35341</v>
      </c>
      <c r="G556" s="82"/>
      <c r="H556" s="96">
        <f t="shared" si="32"/>
        <v>35.44</v>
      </c>
      <c r="I556" s="96">
        <f t="shared" si="32"/>
        <v>38.25</v>
      </c>
      <c r="J556" s="91" t="str">
        <f t="shared" si="33"/>
        <v>Sinapi 83766</v>
      </c>
      <c r="K556" s="91" t="str">
        <f t="shared" si="34"/>
        <v>CHI</v>
      </c>
      <c r="L556" s="166" t="str">
        <f t="shared" si="35"/>
        <v>02/2016</v>
      </c>
      <c r="M556" s="82"/>
      <c r="N556" s="82"/>
    </row>
    <row r="557" spans="1:14" x14ac:dyDescent="0.25">
      <c r="A557" s="170" t="s">
        <v>2697</v>
      </c>
      <c r="B557" s="170" t="s">
        <v>2698</v>
      </c>
      <c r="C557" s="170" t="s">
        <v>816</v>
      </c>
      <c r="D557" s="170" t="s">
        <v>1947</v>
      </c>
      <c r="E557" s="171" t="s">
        <v>31949</v>
      </c>
      <c r="F557" s="171" t="s">
        <v>35103</v>
      </c>
      <c r="G557" s="82"/>
      <c r="H557" s="96">
        <f t="shared" si="32"/>
        <v>81.72</v>
      </c>
      <c r="I557" s="96">
        <f t="shared" si="32"/>
        <v>85.21</v>
      </c>
      <c r="J557" s="91" t="str">
        <f t="shared" si="33"/>
        <v>Sinapi 84013</v>
      </c>
      <c r="K557" s="91" t="str">
        <f t="shared" si="34"/>
        <v>CHI</v>
      </c>
      <c r="L557" s="166" t="str">
        <f t="shared" si="35"/>
        <v>10/2014</v>
      </c>
      <c r="M557" s="82"/>
      <c r="N557" s="82"/>
    </row>
    <row r="558" spans="1:14" x14ac:dyDescent="0.25">
      <c r="A558" s="170" t="s">
        <v>2699</v>
      </c>
      <c r="B558" s="170" t="s">
        <v>21635</v>
      </c>
      <c r="C558" s="170" t="s">
        <v>816</v>
      </c>
      <c r="D558" s="170" t="s">
        <v>2067</v>
      </c>
      <c r="E558" s="171" t="s">
        <v>3148</v>
      </c>
      <c r="F558" s="171" t="s">
        <v>3148</v>
      </c>
      <c r="G558" s="82"/>
      <c r="H558" s="96">
        <f t="shared" si="32"/>
        <v>0.62</v>
      </c>
      <c r="I558" s="96">
        <f t="shared" si="32"/>
        <v>0.62</v>
      </c>
      <c r="J558" s="91" t="str">
        <f t="shared" si="33"/>
        <v>Sinapi 87446</v>
      </c>
      <c r="K558" s="91" t="str">
        <f t="shared" si="34"/>
        <v>CHI</v>
      </c>
      <c r="L558" s="166" t="str">
        <f t="shared" si="35"/>
        <v>05/2023</v>
      </c>
      <c r="M558" s="82"/>
      <c r="N558" s="82"/>
    </row>
    <row r="559" spans="1:14" x14ac:dyDescent="0.25">
      <c r="A559" s="170" t="s">
        <v>2701</v>
      </c>
      <c r="B559" s="170" t="s">
        <v>21636</v>
      </c>
      <c r="C559" s="170" t="s">
        <v>816</v>
      </c>
      <c r="D559" s="170" t="s">
        <v>2067</v>
      </c>
      <c r="E559" s="171" t="s">
        <v>31935</v>
      </c>
      <c r="F559" s="171" t="s">
        <v>31935</v>
      </c>
      <c r="G559" s="82"/>
      <c r="H559" s="96">
        <f t="shared" si="32"/>
        <v>1.23</v>
      </c>
      <c r="I559" s="96">
        <f t="shared" si="32"/>
        <v>1.23</v>
      </c>
      <c r="J559" s="91" t="str">
        <f t="shared" si="33"/>
        <v>Sinapi 88392</v>
      </c>
      <c r="K559" s="91" t="str">
        <f t="shared" si="34"/>
        <v>CHI</v>
      </c>
      <c r="L559" s="166" t="str">
        <f t="shared" si="35"/>
        <v>05/2023</v>
      </c>
      <c r="M559" s="82"/>
      <c r="N559" s="82"/>
    </row>
    <row r="560" spans="1:14" x14ac:dyDescent="0.25">
      <c r="A560" s="170" t="s">
        <v>2702</v>
      </c>
      <c r="B560" s="170" t="s">
        <v>21637</v>
      </c>
      <c r="C560" s="170" t="s">
        <v>816</v>
      </c>
      <c r="D560" s="170" t="s">
        <v>2067</v>
      </c>
      <c r="E560" s="171" t="s">
        <v>17927</v>
      </c>
      <c r="F560" s="171" t="s">
        <v>17927</v>
      </c>
      <c r="G560" s="82"/>
      <c r="H560" s="96">
        <f t="shared" si="32"/>
        <v>1.46</v>
      </c>
      <c r="I560" s="96">
        <f t="shared" si="32"/>
        <v>1.46</v>
      </c>
      <c r="J560" s="91" t="str">
        <f t="shared" si="33"/>
        <v>Sinapi 88398</v>
      </c>
      <c r="K560" s="91" t="str">
        <f t="shared" si="34"/>
        <v>CHI</v>
      </c>
      <c r="L560" s="166" t="str">
        <f t="shared" si="35"/>
        <v>05/2023</v>
      </c>
      <c r="M560" s="82"/>
      <c r="N560" s="82"/>
    </row>
    <row r="561" spans="1:14" x14ac:dyDescent="0.25">
      <c r="A561" s="170" t="s">
        <v>2704</v>
      </c>
      <c r="B561" s="170" t="s">
        <v>21638</v>
      </c>
      <c r="C561" s="170" t="s">
        <v>816</v>
      </c>
      <c r="D561" s="170" t="s">
        <v>2067</v>
      </c>
      <c r="E561" s="171" t="s">
        <v>6093</v>
      </c>
      <c r="F561" s="171" t="s">
        <v>6093</v>
      </c>
      <c r="G561" s="82"/>
      <c r="H561" s="96">
        <f t="shared" si="32"/>
        <v>1.1599999999999999</v>
      </c>
      <c r="I561" s="96">
        <f t="shared" si="32"/>
        <v>1.1599999999999999</v>
      </c>
      <c r="J561" s="91" t="str">
        <f t="shared" si="33"/>
        <v>Sinapi 88404</v>
      </c>
      <c r="K561" s="91" t="str">
        <f t="shared" si="34"/>
        <v>CHI</v>
      </c>
      <c r="L561" s="166" t="str">
        <f t="shared" si="35"/>
        <v>05/2023</v>
      </c>
      <c r="M561" s="82"/>
      <c r="N561" s="82"/>
    </row>
    <row r="562" spans="1:14" x14ac:dyDescent="0.25">
      <c r="A562" s="170" t="s">
        <v>2705</v>
      </c>
      <c r="B562" s="170" t="s">
        <v>2706</v>
      </c>
      <c r="C562" s="170" t="s">
        <v>816</v>
      </c>
      <c r="D562" s="170" t="s">
        <v>2067</v>
      </c>
      <c r="E562" s="171" t="s">
        <v>17282</v>
      </c>
      <c r="F562" s="171" t="s">
        <v>17282</v>
      </c>
      <c r="G562" s="82"/>
      <c r="H562" s="96">
        <f t="shared" si="32"/>
        <v>7.99</v>
      </c>
      <c r="I562" s="96">
        <f t="shared" si="32"/>
        <v>7.99</v>
      </c>
      <c r="J562" s="91" t="str">
        <f t="shared" si="33"/>
        <v>Sinapi 88430</v>
      </c>
      <c r="K562" s="91" t="str">
        <f t="shared" si="34"/>
        <v>CHI</v>
      </c>
      <c r="L562" s="166" t="str">
        <f t="shared" si="35"/>
        <v>06/2014</v>
      </c>
      <c r="M562" s="82"/>
      <c r="N562" s="82"/>
    </row>
    <row r="563" spans="1:14" x14ac:dyDescent="0.25">
      <c r="A563" s="170" t="s">
        <v>2707</v>
      </c>
      <c r="B563" s="170" t="s">
        <v>2708</v>
      </c>
      <c r="C563" s="170" t="s">
        <v>816</v>
      </c>
      <c r="D563" s="170" t="s">
        <v>2067</v>
      </c>
      <c r="E563" s="171" t="s">
        <v>15660</v>
      </c>
      <c r="F563" s="171" t="s">
        <v>15660</v>
      </c>
      <c r="G563" s="82"/>
      <c r="H563" s="96">
        <f t="shared" si="32"/>
        <v>10.6</v>
      </c>
      <c r="I563" s="96">
        <f t="shared" si="32"/>
        <v>10.6</v>
      </c>
      <c r="J563" s="91" t="str">
        <f t="shared" si="33"/>
        <v>Sinapi 88438</v>
      </c>
      <c r="K563" s="91" t="str">
        <f t="shared" si="34"/>
        <v>CHI</v>
      </c>
      <c r="L563" s="166" t="str">
        <f t="shared" si="35"/>
        <v>06/2014</v>
      </c>
      <c r="M563" s="82"/>
      <c r="N563" s="82"/>
    </row>
    <row r="564" spans="1:14" x14ac:dyDescent="0.25">
      <c r="A564" s="170" t="s">
        <v>2709</v>
      </c>
      <c r="B564" s="170" t="s">
        <v>21639</v>
      </c>
      <c r="C564" s="170" t="s">
        <v>816</v>
      </c>
      <c r="D564" s="170" t="s">
        <v>2710</v>
      </c>
      <c r="E564" s="171" t="s">
        <v>2849</v>
      </c>
      <c r="F564" s="171" t="s">
        <v>2849</v>
      </c>
      <c r="G564" s="82"/>
      <c r="H564" s="96">
        <f t="shared" si="32"/>
        <v>0.46</v>
      </c>
      <c r="I564" s="96">
        <f t="shared" si="32"/>
        <v>0.46</v>
      </c>
      <c r="J564" s="91" t="str">
        <f t="shared" si="33"/>
        <v>Sinapi 88831</v>
      </c>
      <c r="K564" s="91" t="str">
        <f t="shared" si="34"/>
        <v>CHI</v>
      </c>
      <c r="L564" s="166" t="str">
        <f t="shared" si="35"/>
        <v>05/2023</v>
      </c>
      <c r="M564" s="82"/>
      <c r="N564" s="82"/>
    </row>
    <row r="565" spans="1:14" x14ac:dyDescent="0.25">
      <c r="A565" s="170" t="s">
        <v>2712</v>
      </c>
      <c r="B565" s="170" t="s">
        <v>2713</v>
      </c>
      <c r="C565" s="170" t="s">
        <v>816</v>
      </c>
      <c r="D565" s="170" t="s">
        <v>1947</v>
      </c>
      <c r="E565" s="171" t="s">
        <v>31950</v>
      </c>
      <c r="F565" s="171" t="s">
        <v>31637</v>
      </c>
      <c r="G565" s="82"/>
      <c r="H565" s="96">
        <f t="shared" si="32"/>
        <v>66.77</v>
      </c>
      <c r="I565" s="96">
        <f t="shared" si="32"/>
        <v>69.42</v>
      </c>
      <c r="J565" s="91" t="str">
        <f t="shared" si="33"/>
        <v>Sinapi 88844</v>
      </c>
      <c r="K565" s="91" t="str">
        <f t="shared" si="34"/>
        <v>CHI</v>
      </c>
      <c r="L565" s="166" t="str">
        <f t="shared" si="35"/>
        <v>10/2014</v>
      </c>
      <c r="M565" s="82"/>
      <c r="N565" s="82"/>
    </row>
    <row r="566" spans="1:14" x14ac:dyDescent="0.25">
      <c r="A566" s="170" t="s">
        <v>2714</v>
      </c>
      <c r="B566" s="170" t="s">
        <v>2715</v>
      </c>
      <c r="C566" s="170" t="s">
        <v>816</v>
      </c>
      <c r="D566" s="170" t="s">
        <v>1947</v>
      </c>
      <c r="E566" s="171" t="s">
        <v>29314</v>
      </c>
      <c r="F566" s="171" t="s">
        <v>30799</v>
      </c>
      <c r="G566" s="82"/>
      <c r="H566" s="96">
        <f t="shared" si="32"/>
        <v>90.8</v>
      </c>
      <c r="I566" s="96">
        <f t="shared" si="32"/>
        <v>94.29</v>
      </c>
      <c r="J566" s="91" t="str">
        <f t="shared" si="33"/>
        <v>Sinapi 88908</v>
      </c>
      <c r="K566" s="91" t="str">
        <f t="shared" si="34"/>
        <v>CHI</v>
      </c>
      <c r="L566" s="166" t="str">
        <f t="shared" si="35"/>
        <v>06/2014</v>
      </c>
      <c r="M566" s="82"/>
      <c r="N566" s="82"/>
    </row>
    <row r="567" spans="1:14" x14ac:dyDescent="0.25">
      <c r="A567" s="170" t="s">
        <v>2716</v>
      </c>
      <c r="B567" s="170" t="s">
        <v>2717</v>
      </c>
      <c r="C567" s="170" t="s">
        <v>816</v>
      </c>
      <c r="D567" s="170" t="s">
        <v>1947</v>
      </c>
      <c r="E567" s="171" t="s">
        <v>3886</v>
      </c>
      <c r="F567" s="171" t="s">
        <v>3886</v>
      </c>
      <c r="G567" s="82"/>
      <c r="H567" s="96">
        <f t="shared" si="32"/>
        <v>0.38</v>
      </c>
      <c r="I567" s="96">
        <f t="shared" si="32"/>
        <v>0.38</v>
      </c>
      <c r="J567" s="91" t="str">
        <f t="shared" si="33"/>
        <v>Sinapi 89022</v>
      </c>
      <c r="K567" s="91" t="str">
        <f t="shared" si="34"/>
        <v>CHI</v>
      </c>
      <c r="L567" s="166" t="str">
        <f t="shared" si="35"/>
        <v>06/2014</v>
      </c>
      <c r="M567" s="82"/>
      <c r="N567" s="82"/>
    </row>
    <row r="568" spans="1:14" x14ac:dyDescent="0.25">
      <c r="A568" s="170" t="s">
        <v>2719</v>
      </c>
      <c r="B568" s="170" t="s">
        <v>21640</v>
      </c>
      <c r="C568" s="170" t="s">
        <v>816</v>
      </c>
      <c r="D568" s="170" t="s">
        <v>1947</v>
      </c>
      <c r="E568" s="171" t="s">
        <v>13655</v>
      </c>
      <c r="F568" s="171" t="s">
        <v>13655</v>
      </c>
      <c r="G568" s="82"/>
      <c r="H568" s="96">
        <f t="shared" si="32"/>
        <v>4.76</v>
      </c>
      <c r="I568" s="96">
        <f t="shared" si="32"/>
        <v>4.76</v>
      </c>
      <c r="J568" s="91" t="str">
        <f t="shared" si="33"/>
        <v>Sinapi 89027</v>
      </c>
      <c r="K568" s="91" t="str">
        <f t="shared" si="34"/>
        <v>CHI</v>
      </c>
      <c r="L568" s="166" t="str">
        <f t="shared" si="35"/>
        <v>05/2023</v>
      </c>
      <c r="M568" s="82"/>
      <c r="N568" s="82"/>
    </row>
    <row r="569" spans="1:14" x14ac:dyDescent="0.25">
      <c r="A569" s="170" t="s">
        <v>2720</v>
      </c>
      <c r="B569" s="170" t="s">
        <v>2721</v>
      </c>
      <c r="C569" s="170" t="s">
        <v>816</v>
      </c>
      <c r="D569" s="170" t="s">
        <v>1947</v>
      </c>
      <c r="E569" s="171" t="s">
        <v>31951</v>
      </c>
      <c r="F569" s="171" t="s">
        <v>28708</v>
      </c>
      <c r="G569" s="82"/>
      <c r="H569" s="96">
        <f t="shared" si="32"/>
        <v>64.77</v>
      </c>
      <c r="I569" s="96">
        <f t="shared" si="32"/>
        <v>67.42</v>
      </c>
      <c r="J569" s="91" t="str">
        <f t="shared" si="33"/>
        <v>Sinapi 89031</v>
      </c>
      <c r="K569" s="91" t="str">
        <f t="shared" si="34"/>
        <v>CHI</v>
      </c>
      <c r="L569" s="166" t="str">
        <f t="shared" si="35"/>
        <v>06/2014</v>
      </c>
      <c r="M569" s="82"/>
      <c r="N569" s="82"/>
    </row>
    <row r="570" spans="1:14" x14ac:dyDescent="0.25">
      <c r="A570" s="170" t="s">
        <v>2722</v>
      </c>
      <c r="B570" s="170" t="s">
        <v>1148</v>
      </c>
      <c r="C570" s="170" t="s">
        <v>816</v>
      </c>
      <c r="D570" s="170" t="s">
        <v>1947</v>
      </c>
      <c r="E570" s="171" t="s">
        <v>21040</v>
      </c>
      <c r="F570" s="171" t="s">
        <v>28859</v>
      </c>
      <c r="G570" s="82"/>
      <c r="H570" s="96">
        <f t="shared" si="32"/>
        <v>39.58</v>
      </c>
      <c r="I570" s="96">
        <f t="shared" si="32"/>
        <v>42.23</v>
      </c>
      <c r="J570" s="91" t="str">
        <f t="shared" si="33"/>
        <v>Sinapi 89036</v>
      </c>
      <c r="K570" s="91" t="str">
        <f t="shared" si="34"/>
        <v>CHI</v>
      </c>
      <c r="L570" s="166" t="str">
        <f t="shared" si="35"/>
        <v>06/2014</v>
      </c>
      <c r="M570" s="82"/>
      <c r="N570" s="82"/>
    </row>
    <row r="571" spans="1:14" x14ac:dyDescent="0.25">
      <c r="A571" s="170" t="s">
        <v>2723</v>
      </c>
      <c r="B571" s="170" t="s">
        <v>2724</v>
      </c>
      <c r="C571" s="170" t="s">
        <v>816</v>
      </c>
      <c r="D571" s="170" t="s">
        <v>1947</v>
      </c>
      <c r="E571" s="171" t="s">
        <v>29260</v>
      </c>
      <c r="F571" s="171" t="s">
        <v>22842</v>
      </c>
      <c r="G571" s="82"/>
      <c r="H571" s="96">
        <f t="shared" si="32"/>
        <v>84.36</v>
      </c>
      <c r="I571" s="96">
        <f t="shared" si="32"/>
        <v>90.28</v>
      </c>
      <c r="J571" s="91" t="str">
        <f t="shared" si="33"/>
        <v>Sinapi 89218</v>
      </c>
      <c r="K571" s="91" t="str">
        <f t="shared" si="34"/>
        <v>CHI</v>
      </c>
      <c r="L571" s="166" t="str">
        <f t="shared" si="35"/>
        <v>11/2014</v>
      </c>
      <c r="M571" s="82"/>
      <c r="N571" s="82"/>
    </row>
    <row r="572" spans="1:14" x14ac:dyDescent="0.25">
      <c r="A572" s="170" t="s">
        <v>2725</v>
      </c>
      <c r="B572" s="170" t="s">
        <v>21641</v>
      </c>
      <c r="C572" s="170" t="s">
        <v>816</v>
      </c>
      <c r="D572" s="170" t="s">
        <v>2067</v>
      </c>
      <c r="E572" s="171" t="s">
        <v>21443</v>
      </c>
      <c r="F572" s="171" t="s">
        <v>21443</v>
      </c>
      <c r="G572" s="82"/>
      <c r="H572" s="96">
        <f t="shared" si="32"/>
        <v>1.89</v>
      </c>
      <c r="I572" s="96">
        <f t="shared" si="32"/>
        <v>1.89</v>
      </c>
      <c r="J572" s="91" t="str">
        <f t="shared" si="33"/>
        <v>Sinapi 89226</v>
      </c>
      <c r="K572" s="91" t="str">
        <f t="shared" si="34"/>
        <v>CHI</v>
      </c>
      <c r="L572" s="166" t="str">
        <f t="shared" si="35"/>
        <v>05/2023</v>
      </c>
      <c r="M572" s="82"/>
      <c r="N572" s="82"/>
    </row>
    <row r="573" spans="1:14" x14ac:dyDescent="0.25">
      <c r="A573" s="170" t="s">
        <v>2727</v>
      </c>
      <c r="B573" s="170" t="s">
        <v>2728</v>
      </c>
      <c r="C573" s="170" t="s">
        <v>816</v>
      </c>
      <c r="D573" s="170" t="s">
        <v>1947</v>
      </c>
      <c r="E573" s="171" t="s">
        <v>31952</v>
      </c>
      <c r="F573" s="171" t="s">
        <v>35342</v>
      </c>
      <c r="G573" s="82"/>
      <c r="H573" s="96">
        <f t="shared" si="32"/>
        <v>198.38</v>
      </c>
      <c r="I573" s="96">
        <f t="shared" si="32"/>
        <v>201.71</v>
      </c>
      <c r="J573" s="91" t="str">
        <f t="shared" si="33"/>
        <v>Sinapi 89235</v>
      </c>
      <c r="K573" s="91" t="str">
        <f t="shared" si="34"/>
        <v>CHI</v>
      </c>
      <c r="L573" s="166" t="str">
        <f t="shared" si="35"/>
        <v>11/2014</v>
      </c>
      <c r="M573" s="82"/>
      <c r="N573" s="82"/>
    </row>
    <row r="574" spans="1:14" x14ac:dyDescent="0.25">
      <c r="A574" s="170" t="s">
        <v>2729</v>
      </c>
      <c r="B574" s="170" t="s">
        <v>2730</v>
      </c>
      <c r="C574" s="170" t="s">
        <v>816</v>
      </c>
      <c r="D574" s="170" t="s">
        <v>1947</v>
      </c>
      <c r="E574" s="171" t="s">
        <v>31953</v>
      </c>
      <c r="F574" s="171" t="s">
        <v>35343</v>
      </c>
      <c r="G574" s="82"/>
      <c r="H574" s="96">
        <f t="shared" si="32"/>
        <v>428.6</v>
      </c>
      <c r="I574" s="96">
        <f t="shared" si="32"/>
        <v>431.93</v>
      </c>
      <c r="J574" s="91" t="str">
        <f t="shared" si="33"/>
        <v>Sinapi 89243</v>
      </c>
      <c r="K574" s="91" t="str">
        <f t="shared" si="34"/>
        <v>CHI</v>
      </c>
      <c r="L574" s="166" t="str">
        <f t="shared" si="35"/>
        <v>11/2014</v>
      </c>
      <c r="M574" s="82"/>
      <c r="N574" s="82"/>
    </row>
    <row r="575" spans="1:14" x14ac:dyDescent="0.25">
      <c r="A575" s="170" t="s">
        <v>2731</v>
      </c>
      <c r="B575" s="170" t="s">
        <v>2732</v>
      </c>
      <c r="C575" s="170" t="s">
        <v>816</v>
      </c>
      <c r="D575" s="170" t="s">
        <v>1947</v>
      </c>
      <c r="E575" s="171" t="s">
        <v>21914</v>
      </c>
      <c r="F575" s="171" t="s">
        <v>35344</v>
      </c>
      <c r="G575" s="82"/>
      <c r="H575" s="96">
        <f t="shared" si="32"/>
        <v>375.84</v>
      </c>
      <c r="I575" s="96">
        <f t="shared" si="32"/>
        <v>379.17</v>
      </c>
      <c r="J575" s="91" t="str">
        <f t="shared" si="33"/>
        <v>Sinapi 89251</v>
      </c>
      <c r="K575" s="91" t="str">
        <f t="shared" si="34"/>
        <v>CHI</v>
      </c>
      <c r="L575" s="166" t="str">
        <f t="shared" si="35"/>
        <v>11/2014</v>
      </c>
      <c r="M575" s="82"/>
      <c r="N575" s="82"/>
    </row>
    <row r="576" spans="1:14" x14ac:dyDescent="0.25">
      <c r="A576" s="170" t="s">
        <v>2733</v>
      </c>
      <c r="B576" s="170" t="s">
        <v>2734</v>
      </c>
      <c r="C576" s="170" t="s">
        <v>816</v>
      </c>
      <c r="D576" s="170" t="s">
        <v>1947</v>
      </c>
      <c r="E576" s="171" t="s">
        <v>31954</v>
      </c>
      <c r="F576" s="171" t="s">
        <v>35345</v>
      </c>
      <c r="G576" s="82"/>
      <c r="H576" s="96">
        <f t="shared" si="32"/>
        <v>130.88999999999999</v>
      </c>
      <c r="I576" s="96">
        <f t="shared" si="32"/>
        <v>134.22</v>
      </c>
      <c r="J576" s="91" t="str">
        <f t="shared" si="33"/>
        <v>Sinapi 89258</v>
      </c>
      <c r="K576" s="91" t="str">
        <f t="shared" si="34"/>
        <v>CHI</v>
      </c>
      <c r="L576" s="166" t="str">
        <f t="shared" si="35"/>
        <v>11/2014</v>
      </c>
      <c r="M576" s="82"/>
      <c r="N576" s="82"/>
    </row>
    <row r="577" spans="1:14" x14ac:dyDescent="0.25">
      <c r="A577" s="170" t="s">
        <v>2735</v>
      </c>
      <c r="B577" s="170" t="s">
        <v>2736</v>
      </c>
      <c r="C577" s="170" t="s">
        <v>816</v>
      </c>
      <c r="D577" s="170" t="s">
        <v>1947</v>
      </c>
      <c r="E577" s="171" t="s">
        <v>31955</v>
      </c>
      <c r="F577" s="171" t="s">
        <v>35346</v>
      </c>
      <c r="G577" s="82"/>
      <c r="H577" s="96">
        <f t="shared" si="32"/>
        <v>98.15</v>
      </c>
      <c r="I577" s="96">
        <f t="shared" si="32"/>
        <v>101.29</v>
      </c>
      <c r="J577" s="91" t="str">
        <f t="shared" si="33"/>
        <v>Sinapi 89273</v>
      </c>
      <c r="K577" s="91" t="str">
        <f t="shared" si="34"/>
        <v>CHI</v>
      </c>
      <c r="L577" s="166" t="str">
        <f t="shared" si="35"/>
        <v>11/2014</v>
      </c>
      <c r="M577" s="82"/>
      <c r="N577" s="82"/>
    </row>
    <row r="578" spans="1:14" x14ac:dyDescent="0.25">
      <c r="A578" s="170" t="s">
        <v>2737</v>
      </c>
      <c r="B578" s="170" t="s">
        <v>21642</v>
      </c>
      <c r="C578" s="170" t="s">
        <v>816</v>
      </c>
      <c r="D578" s="170" t="s">
        <v>2067</v>
      </c>
      <c r="E578" s="171" t="s">
        <v>29383</v>
      </c>
      <c r="F578" s="171" t="s">
        <v>29383</v>
      </c>
      <c r="G578" s="82"/>
      <c r="H578" s="96">
        <f t="shared" si="32"/>
        <v>2.29</v>
      </c>
      <c r="I578" s="96">
        <f t="shared" si="32"/>
        <v>2.29</v>
      </c>
      <c r="J578" s="91" t="str">
        <f t="shared" si="33"/>
        <v>Sinapi 89279</v>
      </c>
      <c r="K578" s="91" t="str">
        <f t="shared" si="34"/>
        <v>CHI</v>
      </c>
      <c r="L578" s="166" t="str">
        <f t="shared" si="35"/>
        <v>05/2023</v>
      </c>
      <c r="M578" s="82"/>
      <c r="N578" s="82"/>
    </row>
    <row r="579" spans="1:14" x14ac:dyDescent="0.25">
      <c r="A579" s="170" t="s">
        <v>2739</v>
      </c>
      <c r="B579" s="170" t="s">
        <v>2740</v>
      </c>
      <c r="C579" s="170" t="s">
        <v>816</v>
      </c>
      <c r="D579" s="170" t="s">
        <v>1947</v>
      </c>
      <c r="E579" s="171" t="s">
        <v>31956</v>
      </c>
      <c r="F579" s="171" t="s">
        <v>29145</v>
      </c>
      <c r="G579" s="82"/>
      <c r="H579" s="96">
        <f t="shared" si="32"/>
        <v>81.040000000000006</v>
      </c>
      <c r="I579" s="96">
        <f t="shared" si="32"/>
        <v>83.94</v>
      </c>
      <c r="J579" s="91" t="str">
        <f t="shared" si="33"/>
        <v>Sinapi 89877</v>
      </c>
      <c r="K579" s="91" t="str">
        <f t="shared" si="34"/>
        <v>CHI</v>
      </c>
      <c r="L579" s="166" t="str">
        <f t="shared" si="35"/>
        <v>12/2014</v>
      </c>
      <c r="M579" s="82"/>
      <c r="N579" s="82"/>
    </row>
    <row r="580" spans="1:14" x14ac:dyDescent="0.25">
      <c r="A580" s="170" t="s">
        <v>2741</v>
      </c>
      <c r="B580" s="170" t="s">
        <v>2742</v>
      </c>
      <c r="C580" s="170" t="s">
        <v>816</v>
      </c>
      <c r="D580" s="170" t="s">
        <v>1947</v>
      </c>
      <c r="E580" s="171" t="s">
        <v>31957</v>
      </c>
      <c r="F580" s="171" t="s">
        <v>31149</v>
      </c>
      <c r="G580" s="82"/>
      <c r="H580" s="96">
        <f t="shared" si="32"/>
        <v>84.61</v>
      </c>
      <c r="I580" s="96">
        <f t="shared" si="32"/>
        <v>87.51</v>
      </c>
      <c r="J580" s="91" t="str">
        <f t="shared" si="33"/>
        <v>Sinapi 89884</v>
      </c>
      <c r="K580" s="91" t="str">
        <f t="shared" si="34"/>
        <v>CHI</v>
      </c>
      <c r="L580" s="166" t="str">
        <f t="shared" si="35"/>
        <v>12/2014</v>
      </c>
      <c r="M580" s="82"/>
      <c r="N580" s="82"/>
    </row>
    <row r="581" spans="1:14" x14ac:dyDescent="0.25">
      <c r="A581" s="170" t="s">
        <v>2743</v>
      </c>
      <c r="B581" s="170" t="s">
        <v>1017</v>
      </c>
      <c r="C581" s="170" t="s">
        <v>816</v>
      </c>
      <c r="D581" s="170" t="s">
        <v>1947</v>
      </c>
      <c r="E581" s="171" t="s">
        <v>3408</v>
      </c>
      <c r="F581" s="171" t="s">
        <v>3408</v>
      </c>
      <c r="G581" s="82"/>
      <c r="H581" s="96">
        <f t="shared" si="32"/>
        <v>0.49</v>
      </c>
      <c r="I581" s="96">
        <f t="shared" si="32"/>
        <v>0.49</v>
      </c>
      <c r="J581" s="91" t="str">
        <f t="shared" si="33"/>
        <v>Sinapi 90587</v>
      </c>
      <c r="K581" s="91" t="str">
        <f t="shared" si="34"/>
        <v>CHI</v>
      </c>
      <c r="L581" s="166" t="str">
        <f t="shared" si="35"/>
        <v>06/2015</v>
      </c>
      <c r="M581" s="82"/>
      <c r="N581" s="82"/>
    </row>
    <row r="582" spans="1:14" x14ac:dyDescent="0.25">
      <c r="A582" s="170" t="s">
        <v>2745</v>
      </c>
      <c r="B582" s="170" t="s">
        <v>2746</v>
      </c>
      <c r="C582" s="170" t="s">
        <v>816</v>
      </c>
      <c r="D582" s="170" t="s">
        <v>1947</v>
      </c>
      <c r="E582" s="171" t="s">
        <v>18541</v>
      </c>
      <c r="F582" s="171" t="s">
        <v>18541</v>
      </c>
      <c r="G582" s="82"/>
      <c r="H582" s="96">
        <f t="shared" si="32"/>
        <v>2.2200000000000002</v>
      </c>
      <c r="I582" s="96">
        <f t="shared" si="32"/>
        <v>2.2200000000000002</v>
      </c>
      <c r="J582" s="91" t="str">
        <f t="shared" si="33"/>
        <v>Sinapi 90626</v>
      </c>
      <c r="K582" s="91" t="str">
        <f t="shared" si="34"/>
        <v>CHI</v>
      </c>
      <c r="L582" s="166" t="str">
        <f t="shared" si="35"/>
        <v>06/2015</v>
      </c>
      <c r="M582" s="82"/>
      <c r="N582" s="82"/>
    </row>
    <row r="583" spans="1:14" x14ac:dyDescent="0.25">
      <c r="A583" s="170" t="s">
        <v>2747</v>
      </c>
      <c r="B583" s="170" t="s">
        <v>2748</v>
      </c>
      <c r="C583" s="170" t="s">
        <v>816</v>
      </c>
      <c r="D583" s="170" t="s">
        <v>1947</v>
      </c>
      <c r="E583" s="171" t="s">
        <v>22846</v>
      </c>
      <c r="F583" s="171" t="s">
        <v>35347</v>
      </c>
      <c r="G583" s="82"/>
      <c r="H583" s="96">
        <f t="shared" si="32"/>
        <v>77.819999999999993</v>
      </c>
      <c r="I583" s="96">
        <f t="shared" si="32"/>
        <v>80.05</v>
      </c>
      <c r="J583" s="91" t="str">
        <f t="shared" si="33"/>
        <v>Sinapi 90632</v>
      </c>
      <c r="K583" s="91" t="str">
        <f t="shared" si="34"/>
        <v>CHI</v>
      </c>
      <c r="L583" s="166" t="str">
        <f t="shared" si="35"/>
        <v>06/2015</v>
      </c>
      <c r="M583" s="82"/>
      <c r="N583" s="82"/>
    </row>
    <row r="584" spans="1:14" x14ac:dyDescent="0.25">
      <c r="A584" s="170" t="s">
        <v>2749</v>
      </c>
      <c r="B584" s="170" t="s">
        <v>2750</v>
      </c>
      <c r="C584" s="170" t="s">
        <v>816</v>
      </c>
      <c r="D584" s="170" t="s">
        <v>2067</v>
      </c>
      <c r="E584" s="171" t="s">
        <v>6447</v>
      </c>
      <c r="F584" s="171" t="s">
        <v>6447</v>
      </c>
      <c r="G584" s="82"/>
      <c r="H584" s="96">
        <f t="shared" ref="H584:I647" si="36">IF(E584="","",E584+0)</f>
        <v>6.15</v>
      </c>
      <c r="I584" s="96">
        <f t="shared" si="36"/>
        <v>6.15</v>
      </c>
      <c r="J584" s="91" t="str">
        <f t="shared" ref="J584:J647" si="37">IF(OR(H584="",I584=""),"",TRIM(CONCATENATE("Sinapi ",A584)))</f>
        <v>Sinapi 90638</v>
      </c>
      <c r="K584" s="91" t="str">
        <f t="shared" ref="K584:K647" si="38">TRIM(C584)</f>
        <v>CHI</v>
      </c>
      <c r="L584" s="166" t="str">
        <f t="shared" ref="L584:L647" si="39">IF(OR(RIGHT(IF(AND(K584&lt;&gt;"H",K584&lt;&gt;"MES"),RIGHT(B584,7),""),2)="PS",RIGHT(IF(AND(K584&lt;&gt;"H",K584&lt;&gt;"MES"),RIGHT(B584,7),""),2)="PA",RIGHT(IF(AND(K584&lt;&gt;"H",K584&lt;&gt;"MES"),RIGHT(B584,7),""),2)="PE"),LEFT(IF(AND(K584&lt;&gt;"H",K584&lt;&gt;"MES"),RIGHT(B584,10),""),7),IF(AND(K584&lt;&gt;"H",K584&lt;&gt;"MES"),RIGHT(B584,7),""))</f>
        <v>06/2015</v>
      </c>
      <c r="M584" s="82"/>
      <c r="N584" s="82"/>
    </row>
    <row r="585" spans="1:14" x14ac:dyDescent="0.25">
      <c r="A585" s="170" t="s">
        <v>2751</v>
      </c>
      <c r="B585" s="170" t="s">
        <v>2752</v>
      </c>
      <c r="C585" s="170" t="s">
        <v>816</v>
      </c>
      <c r="D585" s="170" t="s">
        <v>2067</v>
      </c>
      <c r="E585" s="171" t="s">
        <v>20121</v>
      </c>
      <c r="F585" s="171" t="s">
        <v>20121</v>
      </c>
      <c r="G585" s="82"/>
      <c r="H585" s="96">
        <f t="shared" si="36"/>
        <v>9.18</v>
      </c>
      <c r="I585" s="96">
        <f t="shared" si="36"/>
        <v>9.18</v>
      </c>
      <c r="J585" s="91" t="str">
        <f t="shared" si="37"/>
        <v>Sinapi 90644</v>
      </c>
      <c r="K585" s="91" t="str">
        <f t="shared" si="38"/>
        <v>CHI</v>
      </c>
      <c r="L585" s="166" t="str">
        <f t="shared" si="39"/>
        <v>06/2015</v>
      </c>
      <c r="M585" s="82"/>
      <c r="N585" s="82"/>
    </row>
    <row r="586" spans="1:14" x14ac:dyDescent="0.25">
      <c r="A586" s="170" t="s">
        <v>2753</v>
      </c>
      <c r="B586" s="170" t="s">
        <v>2754</v>
      </c>
      <c r="C586" s="170" t="s">
        <v>816</v>
      </c>
      <c r="D586" s="170" t="s">
        <v>2067</v>
      </c>
      <c r="E586" s="171" t="s">
        <v>14356</v>
      </c>
      <c r="F586" s="171" t="s">
        <v>14356</v>
      </c>
      <c r="G586" s="82"/>
      <c r="H586" s="96">
        <f t="shared" si="36"/>
        <v>1.31</v>
      </c>
      <c r="I586" s="96">
        <f t="shared" si="36"/>
        <v>1.31</v>
      </c>
      <c r="J586" s="91" t="str">
        <f t="shared" si="37"/>
        <v>Sinapi 90651</v>
      </c>
      <c r="K586" s="91" t="str">
        <f t="shared" si="38"/>
        <v>CHI</v>
      </c>
      <c r="L586" s="166" t="str">
        <f t="shared" si="39"/>
        <v>06/2015</v>
      </c>
      <c r="M586" s="82"/>
      <c r="N586" s="82"/>
    </row>
    <row r="587" spans="1:14" x14ac:dyDescent="0.25">
      <c r="A587" s="170" t="s">
        <v>2756</v>
      </c>
      <c r="B587" s="170" t="s">
        <v>2757</v>
      </c>
      <c r="C587" s="170" t="s">
        <v>816</v>
      </c>
      <c r="D587" s="170" t="s">
        <v>2067</v>
      </c>
      <c r="E587" s="171" t="s">
        <v>14590</v>
      </c>
      <c r="F587" s="171" t="s">
        <v>14590</v>
      </c>
      <c r="G587" s="82"/>
      <c r="H587" s="96">
        <f t="shared" si="36"/>
        <v>5.97</v>
      </c>
      <c r="I587" s="96">
        <f t="shared" si="36"/>
        <v>5.97</v>
      </c>
      <c r="J587" s="91" t="str">
        <f t="shared" si="37"/>
        <v>Sinapi 90657</v>
      </c>
      <c r="K587" s="91" t="str">
        <f t="shared" si="38"/>
        <v>CHI</v>
      </c>
      <c r="L587" s="166" t="str">
        <f t="shared" si="39"/>
        <v>06/2015</v>
      </c>
      <c r="M587" s="82"/>
      <c r="N587" s="82"/>
    </row>
    <row r="588" spans="1:14" x14ac:dyDescent="0.25">
      <c r="A588" s="170" t="s">
        <v>2758</v>
      </c>
      <c r="B588" s="170" t="s">
        <v>2759</v>
      </c>
      <c r="C588" s="170" t="s">
        <v>816</v>
      </c>
      <c r="D588" s="170" t="s">
        <v>2067</v>
      </c>
      <c r="E588" s="171" t="s">
        <v>14938</v>
      </c>
      <c r="F588" s="171" t="s">
        <v>14938</v>
      </c>
      <c r="G588" s="82"/>
      <c r="H588" s="96">
        <f t="shared" si="36"/>
        <v>6.4</v>
      </c>
      <c r="I588" s="96">
        <f t="shared" si="36"/>
        <v>6.4</v>
      </c>
      <c r="J588" s="91" t="str">
        <f t="shared" si="37"/>
        <v>Sinapi 90663</v>
      </c>
      <c r="K588" s="91" t="str">
        <f t="shared" si="38"/>
        <v>CHI</v>
      </c>
      <c r="L588" s="166" t="str">
        <f t="shared" si="39"/>
        <v>06/2015</v>
      </c>
      <c r="M588" s="82"/>
      <c r="N588" s="82"/>
    </row>
    <row r="589" spans="1:14" x14ac:dyDescent="0.25">
      <c r="A589" s="170" t="s">
        <v>2760</v>
      </c>
      <c r="B589" s="170" t="s">
        <v>21643</v>
      </c>
      <c r="C589" s="170" t="s">
        <v>816</v>
      </c>
      <c r="D589" s="170" t="s">
        <v>1947</v>
      </c>
      <c r="E589" s="171" t="s">
        <v>19871</v>
      </c>
      <c r="F589" s="171" t="s">
        <v>19871</v>
      </c>
      <c r="G589" s="82"/>
      <c r="H589" s="96">
        <f t="shared" si="36"/>
        <v>8.4600000000000009</v>
      </c>
      <c r="I589" s="96">
        <f t="shared" si="36"/>
        <v>8.4600000000000009</v>
      </c>
      <c r="J589" s="91" t="str">
        <f t="shared" si="37"/>
        <v>Sinapi 90669</v>
      </c>
      <c r="K589" s="91" t="str">
        <f t="shared" si="38"/>
        <v>CHI</v>
      </c>
      <c r="L589" s="166" t="str">
        <f t="shared" si="39"/>
        <v>05/2023</v>
      </c>
      <c r="M589" s="82"/>
      <c r="N589" s="82"/>
    </row>
    <row r="590" spans="1:14" x14ac:dyDescent="0.25">
      <c r="A590" s="170" t="s">
        <v>2761</v>
      </c>
      <c r="B590" s="170" t="s">
        <v>2762</v>
      </c>
      <c r="C590" s="170" t="s">
        <v>816</v>
      </c>
      <c r="D590" s="170" t="s">
        <v>1947</v>
      </c>
      <c r="E590" s="171" t="s">
        <v>31958</v>
      </c>
      <c r="F590" s="171" t="s">
        <v>35348</v>
      </c>
      <c r="G590" s="82"/>
      <c r="H590" s="96">
        <f t="shared" si="36"/>
        <v>287.89999999999998</v>
      </c>
      <c r="I590" s="96">
        <f t="shared" si="36"/>
        <v>290.13</v>
      </c>
      <c r="J590" s="91" t="str">
        <f t="shared" si="37"/>
        <v>Sinapi 90675</v>
      </c>
      <c r="K590" s="91" t="str">
        <f t="shared" si="38"/>
        <v>CHI</v>
      </c>
      <c r="L590" s="166" t="str">
        <f t="shared" si="39"/>
        <v>06/2015</v>
      </c>
      <c r="M590" s="82"/>
      <c r="N590" s="82"/>
    </row>
    <row r="591" spans="1:14" x14ac:dyDescent="0.25">
      <c r="A591" s="170" t="s">
        <v>2763</v>
      </c>
      <c r="B591" s="170" t="s">
        <v>2764</v>
      </c>
      <c r="C591" s="170" t="s">
        <v>816</v>
      </c>
      <c r="D591" s="170" t="s">
        <v>1947</v>
      </c>
      <c r="E591" s="171" t="s">
        <v>31959</v>
      </c>
      <c r="F591" s="171" t="s">
        <v>33118</v>
      </c>
      <c r="G591" s="82"/>
      <c r="H591" s="96">
        <f t="shared" si="36"/>
        <v>168.31</v>
      </c>
      <c r="I591" s="96">
        <f t="shared" si="36"/>
        <v>170.54</v>
      </c>
      <c r="J591" s="91" t="str">
        <f t="shared" si="37"/>
        <v>Sinapi 90681</v>
      </c>
      <c r="K591" s="91" t="str">
        <f t="shared" si="38"/>
        <v>CHI</v>
      </c>
      <c r="L591" s="166" t="str">
        <f t="shared" si="39"/>
        <v>06/2015</v>
      </c>
      <c r="M591" s="82"/>
      <c r="N591" s="82"/>
    </row>
    <row r="592" spans="1:14" x14ac:dyDescent="0.25">
      <c r="A592" s="170" t="s">
        <v>2765</v>
      </c>
      <c r="B592" s="170" t="s">
        <v>21644</v>
      </c>
      <c r="C592" s="170" t="s">
        <v>816</v>
      </c>
      <c r="D592" s="170" t="s">
        <v>1947</v>
      </c>
      <c r="E592" s="171" t="s">
        <v>30549</v>
      </c>
      <c r="F592" s="171" t="s">
        <v>22898</v>
      </c>
      <c r="G592" s="82"/>
      <c r="H592" s="96">
        <f t="shared" si="36"/>
        <v>62.57</v>
      </c>
      <c r="I592" s="96">
        <f t="shared" si="36"/>
        <v>65.569999999999993</v>
      </c>
      <c r="J592" s="91" t="str">
        <f t="shared" si="37"/>
        <v>Sinapi 90687</v>
      </c>
      <c r="K592" s="91" t="str">
        <f t="shared" si="38"/>
        <v>CHI</v>
      </c>
      <c r="L592" s="166" t="str">
        <f t="shared" si="39"/>
        <v>05/2023</v>
      </c>
      <c r="M592" s="82"/>
      <c r="N592" s="82"/>
    </row>
    <row r="593" spans="1:14" x14ac:dyDescent="0.25">
      <c r="A593" s="170" t="s">
        <v>2766</v>
      </c>
      <c r="B593" s="170" t="s">
        <v>2767</v>
      </c>
      <c r="C593" s="170" t="s">
        <v>816</v>
      </c>
      <c r="D593" s="170" t="s">
        <v>1947</v>
      </c>
      <c r="E593" s="171" t="s">
        <v>22797</v>
      </c>
      <c r="F593" s="171" t="s">
        <v>22988</v>
      </c>
      <c r="G593" s="82"/>
      <c r="H593" s="96">
        <f t="shared" si="36"/>
        <v>54.7</v>
      </c>
      <c r="I593" s="96">
        <f t="shared" si="36"/>
        <v>57.7</v>
      </c>
      <c r="J593" s="91" t="str">
        <f t="shared" si="37"/>
        <v>Sinapi 90693</v>
      </c>
      <c r="K593" s="91" t="str">
        <f t="shared" si="38"/>
        <v>CHI</v>
      </c>
      <c r="L593" s="166" t="str">
        <f t="shared" si="39"/>
        <v>06/2015</v>
      </c>
      <c r="M593" s="82"/>
      <c r="N593" s="82"/>
    </row>
    <row r="594" spans="1:14" x14ac:dyDescent="0.25">
      <c r="A594" s="170" t="s">
        <v>2768</v>
      </c>
      <c r="B594" s="170" t="s">
        <v>2769</v>
      </c>
      <c r="C594" s="170" t="s">
        <v>816</v>
      </c>
      <c r="D594" s="170" t="s">
        <v>1947</v>
      </c>
      <c r="E594" s="171" t="s">
        <v>17401</v>
      </c>
      <c r="F594" s="171" t="s">
        <v>17401</v>
      </c>
      <c r="G594" s="82"/>
      <c r="H594" s="96">
        <f t="shared" si="36"/>
        <v>8.41</v>
      </c>
      <c r="I594" s="96">
        <f t="shared" si="36"/>
        <v>8.41</v>
      </c>
      <c r="J594" s="91" t="str">
        <f t="shared" si="37"/>
        <v>Sinapi 90965</v>
      </c>
      <c r="K594" s="91" t="str">
        <f t="shared" si="38"/>
        <v>CHI</v>
      </c>
      <c r="L594" s="166" t="str">
        <f t="shared" si="39"/>
        <v>06/2015</v>
      </c>
      <c r="M594" s="82"/>
      <c r="N594" s="82"/>
    </row>
    <row r="595" spans="1:14" x14ac:dyDescent="0.25">
      <c r="A595" s="170" t="s">
        <v>2770</v>
      </c>
      <c r="B595" s="170" t="s">
        <v>2771</v>
      </c>
      <c r="C595" s="170" t="s">
        <v>816</v>
      </c>
      <c r="D595" s="170" t="s">
        <v>1947</v>
      </c>
      <c r="E595" s="171" t="s">
        <v>17880</v>
      </c>
      <c r="F595" s="171" t="s">
        <v>17880</v>
      </c>
      <c r="G595" s="82"/>
      <c r="H595" s="96">
        <f t="shared" si="36"/>
        <v>8.43</v>
      </c>
      <c r="I595" s="96">
        <f t="shared" si="36"/>
        <v>8.43</v>
      </c>
      <c r="J595" s="91" t="str">
        <f t="shared" si="37"/>
        <v>Sinapi 90973</v>
      </c>
      <c r="K595" s="91" t="str">
        <f t="shared" si="38"/>
        <v>CHI</v>
      </c>
      <c r="L595" s="166" t="str">
        <f t="shared" si="39"/>
        <v>06/2015</v>
      </c>
      <c r="M595" s="82"/>
      <c r="N595" s="82"/>
    </row>
    <row r="596" spans="1:14" x14ac:dyDescent="0.25">
      <c r="A596" s="170" t="s">
        <v>2772</v>
      </c>
      <c r="B596" s="170" t="s">
        <v>2773</v>
      </c>
      <c r="C596" s="170" t="s">
        <v>816</v>
      </c>
      <c r="D596" s="170" t="s">
        <v>1947</v>
      </c>
      <c r="E596" s="171" t="s">
        <v>20214</v>
      </c>
      <c r="F596" s="171" t="s">
        <v>20214</v>
      </c>
      <c r="G596" s="82"/>
      <c r="H596" s="96">
        <f t="shared" si="36"/>
        <v>21.43</v>
      </c>
      <c r="I596" s="96">
        <f t="shared" si="36"/>
        <v>21.43</v>
      </c>
      <c r="J596" s="91" t="str">
        <f t="shared" si="37"/>
        <v>Sinapi 90982</v>
      </c>
      <c r="K596" s="91" t="str">
        <f t="shared" si="38"/>
        <v>CHI</v>
      </c>
      <c r="L596" s="166" t="str">
        <f t="shared" si="39"/>
        <v>06/2015</v>
      </c>
      <c r="M596" s="82"/>
      <c r="N596" s="82"/>
    </row>
    <row r="597" spans="1:14" x14ac:dyDescent="0.25">
      <c r="A597" s="170" t="s">
        <v>2775</v>
      </c>
      <c r="B597" s="170" t="s">
        <v>2776</v>
      </c>
      <c r="C597" s="170" t="s">
        <v>816</v>
      </c>
      <c r="D597" s="170" t="s">
        <v>1947</v>
      </c>
      <c r="E597" s="171" t="s">
        <v>7372</v>
      </c>
      <c r="F597" s="171" t="s">
        <v>7372</v>
      </c>
      <c r="G597" s="82"/>
      <c r="H597" s="96">
        <f t="shared" si="36"/>
        <v>10</v>
      </c>
      <c r="I597" s="96">
        <f t="shared" si="36"/>
        <v>10</v>
      </c>
      <c r="J597" s="91" t="str">
        <f t="shared" si="37"/>
        <v>Sinapi 91001</v>
      </c>
      <c r="K597" s="91" t="str">
        <f t="shared" si="38"/>
        <v>CHI</v>
      </c>
      <c r="L597" s="166" t="str">
        <f t="shared" si="39"/>
        <v>06/2015</v>
      </c>
      <c r="M597" s="82"/>
      <c r="N597" s="82"/>
    </row>
    <row r="598" spans="1:14" x14ac:dyDescent="0.25">
      <c r="A598" s="170" t="s">
        <v>2777</v>
      </c>
      <c r="B598" s="170" t="s">
        <v>2778</v>
      </c>
      <c r="C598" s="170" t="s">
        <v>816</v>
      </c>
      <c r="D598" s="170" t="s">
        <v>1947</v>
      </c>
      <c r="E598" s="171" t="s">
        <v>28507</v>
      </c>
      <c r="F598" s="171" t="s">
        <v>33795</v>
      </c>
      <c r="G598" s="82"/>
      <c r="H598" s="96">
        <f t="shared" si="36"/>
        <v>62.8</v>
      </c>
      <c r="I598" s="96">
        <f t="shared" si="36"/>
        <v>65.58</v>
      </c>
      <c r="J598" s="91" t="str">
        <f t="shared" si="37"/>
        <v>Sinapi 91032</v>
      </c>
      <c r="K598" s="91" t="str">
        <f t="shared" si="38"/>
        <v>CHI</v>
      </c>
      <c r="L598" s="166" t="str">
        <f t="shared" si="39"/>
        <v>06/2015</v>
      </c>
      <c r="M598" s="82"/>
      <c r="N598" s="82"/>
    </row>
    <row r="599" spans="1:14" x14ac:dyDescent="0.25">
      <c r="A599" s="170" t="s">
        <v>2779</v>
      </c>
      <c r="B599" s="170" t="s">
        <v>1139</v>
      </c>
      <c r="C599" s="170" t="s">
        <v>816</v>
      </c>
      <c r="D599" s="170" t="s">
        <v>1947</v>
      </c>
      <c r="E599" s="171" t="s">
        <v>8387</v>
      </c>
      <c r="F599" s="171" t="s">
        <v>8387</v>
      </c>
      <c r="G599" s="82"/>
      <c r="H599" s="96">
        <f t="shared" si="36"/>
        <v>0.59</v>
      </c>
      <c r="I599" s="96">
        <f t="shared" si="36"/>
        <v>0.59</v>
      </c>
      <c r="J599" s="91" t="str">
        <f t="shared" si="37"/>
        <v>Sinapi 91278</v>
      </c>
      <c r="K599" s="91" t="str">
        <f t="shared" si="38"/>
        <v>CHI</v>
      </c>
      <c r="L599" s="166" t="str">
        <f t="shared" si="39"/>
        <v>08/2015</v>
      </c>
      <c r="M599" s="82"/>
      <c r="N599" s="82"/>
    </row>
    <row r="600" spans="1:14" x14ac:dyDescent="0.25">
      <c r="A600" s="170" t="s">
        <v>2781</v>
      </c>
      <c r="B600" s="170" t="s">
        <v>1141</v>
      </c>
      <c r="C600" s="170" t="s">
        <v>816</v>
      </c>
      <c r="D600" s="170" t="s">
        <v>2067</v>
      </c>
      <c r="E600" s="171" t="s">
        <v>3955</v>
      </c>
      <c r="F600" s="171" t="s">
        <v>3955</v>
      </c>
      <c r="G600" s="82"/>
      <c r="H600" s="96">
        <f t="shared" si="36"/>
        <v>1.22</v>
      </c>
      <c r="I600" s="96">
        <f t="shared" si="36"/>
        <v>1.22</v>
      </c>
      <c r="J600" s="91" t="str">
        <f t="shared" si="37"/>
        <v>Sinapi 91285</v>
      </c>
      <c r="K600" s="91" t="str">
        <f t="shared" si="38"/>
        <v>CHI</v>
      </c>
      <c r="L600" s="166" t="str">
        <f t="shared" si="39"/>
        <v>08/2015</v>
      </c>
      <c r="M600" s="82"/>
      <c r="N600" s="82"/>
    </row>
    <row r="601" spans="1:14" x14ac:dyDescent="0.25">
      <c r="A601" s="170" t="s">
        <v>2782</v>
      </c>
      <c r="B601" s="170" t="s">
        <v>2783</v>
      </c>
      <c r="C601" s="170" t="s">
        <v>816</v>
      </c>
      <c r="D601" s="170" t="s">
        <v>1947</v>
      </c>
      <c r="E601" s="171" t="s">
        <v>31960</v>
      </c>
      <c r="F601" s="171" t="s">
        <v>35349</v>
      </c>
      <c r="G601" s="82"/>
      <c r="H601" s="96">
        <f t="shared" si="36"/>
        <v>69.41</v>
      </c>
      <c r="I601" s="96">
        <f t="shared" si="36"/>
        <v>72.31</v>
      </c>
      <c r="J601" s="91" t="str">
        <f t="shared" si="37"/>
        <v>Sinapi 91387</v>
      </c>
      <c r="K601" s="91" t="str">
        <f t="shared" si="38"/>
        <v>CHI</v>
      </c>
      <c r="L601" s="166" t="str">
        <f t="shared" si="39"/>
        <v>06/2014</v>
      </c>
      <c r="M601" s="82"/>
      <c r="N601" s="82"/>
    </row>
    <row r="602" spans="1:14" x14ac:dyDescent="0.25">
      <c r="A602" s="170" t="s">
        <v>2784</v>
      </c>
      <c r="B602" s="170" t="s">
        <v>2785</v>
      </c>
      <c r="C602" s="170" t="s">
        <v>816</v>
      </c>
      <c r="D602" s="170" t="s">
        <v>1947</v>
      </c>
      <c r="E602" s="171" t="s">
        <v>31961</v>
      </c>
      <c r="F602" s="171" t="s">
        <v>19819</v>
      </c>
      <c r="G602" s="82"/>
      <c r="H602" s="96">
        <f t="shared" si="36"/>
        <v>53.72</v>
      </c>
      <c r="I602" s="96">
        <f t="shared" si="36"/>
        <v>56.5</v>
      </c>
      <c r="J602" s="91" t="str">
        <f t="shared" si="37"/>
        <v>Sinapi 91395</v>
      </c>
      <c r="K602" s="91" t="str">
        <f t="shared" si="38"/>
        <v>CHI</v>
      </c>
      <c r="L602" s="166" t="str">
        <f t="shared" si="39"/>
        <v>06/2014</v>
      </c>
      <c r="M602" s="82"/>
      <c r="N602" s="82"/>
    </row>
    <row r="603" spans="1:14" x14ac:dyDescent="0.25">
      <c r="A603" s="170" t="s">
        <v>2786</v>
      </c>
      <c r="B603" s="170" t="s">
        <v>21646</v>
      </c>
      <c r="C603" s="170" t="s">
        <v>816</v>
      </c>
      <c r="D603" s="170" t="s">
        <v>1947</v>
      </c>
      <c r="E603" s="171" t="s">
        <v>31962</v>
      </c>
      <c r="F603" s="171" t="s">
        <v>28801</v>
      </c>
      <c r="G603" s="82"/>
      <c r="H603" s="96">
        <f t="shared" si="36"/>
        <v>64.260000000000005</v>
      </c>
      <c r="I603" s="96">
        <f t="shared" si="36"/>
        <v>67.040000000000006</v>
      </c>
      <c r="J603" s="91" t="str">
        <f t="shared" si="37"/>
        <v>Sinapi 91486</v>
      </c>
      <c r="K603" s="91" t="str">
        <f t="shared" si="38"/>
        <v>CHI</v>
      </c>
      <c r="L603" s="166" t="str">
        <f t="shared" si="39"/>
        <v>05/2023</v>
      </c>
      <c r="M603" s="82"/>
      <c r="N603" s="82"/>
    </row>
    <row r="604" spans="1:14" x14ac:dyDescent="0.25">
      <c r="A604" s="170" t="s">
        <v>2787</v>
      </c>
      <c r="B604" s="170" t="s">
        <v>815</v>
      </c>
      <c r="C604" s="170" t="s">
        <v>816</v>
      </c>
      <c r="D604" s="170" t="s">
        <v>1947</v>
      </c>
      <c r="E604" s="171" t="s">
        <v>15783</v>
      </c>
      <c r="F604" s="171" t="s">
        <v>15639</v>
      </c>
      <c r="G604" s="82"/>
      <c r="H604" s="96">
        <f t="shared" si="36"/>
        <v>20.18</v>
      </c>
      <c r="I604" s="96">
        <f t="shared" si="36"/>
        <v>22.41</v>
      </c>
      <c r="J604" s="91" t="str">
        <f t="shared" si="37"/>
        <v>Sinapi 91534</v>
      </c>
      <c r="K604" s="91" t="str">
        <f t="shared" si="38"/>
        <v>CHI</v>
      </c>
      <c r="L604" s="166" t="str">
        <f t="shared" si="39"/>
        <v>08/2015</v>
      </c>
      <c r="M604" s="82"/>
      <c r="N604" s="82"/>
    </row>
    <row r="605" spans="1:14" x14ac:dyDescent="0.25">
      <c r="A605" s="170" t="s">
        <v>2788</v>
      </c>
      <c r="B605" s="170" t="s">
        <v>2789</v>
      </c>
      <c r="C605" s="170" t="s">
        <v>816</v>
      </c>
      <c r="D605" s="170" t="s">
        <v>1947</v>
      </c>
      <c r="E605" s="171" t="s">
        <v>22797</v>
      </c>
      <c r="F605" s="171" t="s">
        <v>21533</v>
      </c>
      <c r="G605" s="82"/>
      <c r="H605" s="96">
        <f t="shared" si="36"/>
        <v>54.7</v>
      </c>
      <c r="I605" s="96">
        <f t="shared" si="36"/>
        <v>57.23</v>
      </c>
      <c r="J605" s="91" t="str">
        <f t="shared" si="37"/>
        <v>Sinapi 91635</v>
      </c>
      <c r="K605" s="91" t="str">
        <f t="shared" si="38"/>
        <v>CHI</v>
      </c>
      <c r="L605" s="166" t="str">
        <f t="shared" si="39"/>
        <v>08/2015</v>
      </c>
      <c r="M605" s="82"/>
      <c r="N605" s="82"/>
    </row>
    <row r="606" spans="1:14" x14ac:dyDescent="0.25">
      <c r="A606" s="170" t="s">
        <v>2790</v>
      </c>
      <c r="B606" s="170" t="s">
        <v>2791</v>
      </c>
      <c r="C606" s="170" t="s">
        <v>816</v>
      </c>
      <c r="D606" s="170" t="s">
        <v>1947</v>
      </c>
      <c r="E606" s="171" t="s">
        <v>27740</v>
      </c>
      <c r="F606" s="171" t="s">
        <v>35350</v>
      </c>
      <c r="G606" s="82"/>
      <c r="H606" s="96">
        <f t="shared" si="36"/>
        <v>90.48</v>
      </c>
      <c r="I606" s="96">
        <f t="shared" si="36"/>
        <v>93.94</v>
      </c>
      <c r="J606" s="91" t="str">
        <f t="shared" si="37"/>
        <v>Sinapi 91646</v>
      </c>
      <c r="K606" s="91" t="str">
        <f t="shared" si="38"/>
        <v>CHI</v>
      </c>
      <c r="L606" s="166" t="str">
        <f t="shared" si="39"/>
        <v>08/2015</v>
      </c>
      <c r="M606" s="82"/>
      <c r="N606" s="82"/>
    </row>
    <row r="607" spans="1:14" x14ac:dyDescent="0.25">
      <c r="A607" s="170" t="s">
        <v>2792</v>
      </c>
      <c r="B607" s="170" t="s">
        <v>1019</v>
      </c>
      <c r="C607" s="170" t="s">
        <v>816</v>
      </c>
      <c r="D607" s="170" t="s">
        <v>2067</v>
      </c>
      <c r="E607" s="171" t="s">
        <v>17917</v>
      </c>
      <c r="F607" s="171" t="s">
        <v>35351</v>
      </c>
      <c r="G607" s="82"/>
      <c r="H607" s="96">
        <f t="shared" si="36"/>
        <v>19.43</v>
      </c>
      <c r="I607" s="96">
        <f t="shared" si="36"/>
        <v>21.66</v>
      </c>
      <c r="J607" s="91" t="str">
        <f t="shared" si="37"/>
        <v>Sinapi 91693</v>
      </c>
      <c r="K607" s="91" t="str">
        <f t="shared" si="38"/>
        <v>CHI</v>
      </c>
      <c r="L607" s="166" t="str">
        <f t="shared" si="39"/>
        <v>08/2015</v>
      </c>
      <c r="M607" s="82"/>
      <c r="N607" s="82"/>
    </row>
    <row r="608" spans="1:14" x14ac:dyDescent="0.25">
      <c r="A608" s="170" t="s">
        <v>2793</v>
      </c>
      <c r="B608" s="170" t="s">
        <v>2794</v>
      </c>
      <c r="C608" s="170" t="s">
        <v>816</v>
      </c>
      <c r="D608" s="170" t="s">
        <v>1947</v>
      </c>
      <c r="E608" s="171" t="s">
        <v>15794</v>
      </c>
      <c r="F608" s="171" t="s">
        <v>15794</v>
      </c>
      <c r="G608" s="82"/>
      <c r="H608" s="96">
        <f t="shared" si="36"/>
        <v>7.8</v>
      </c>
      <c r="I608" s="96">
        <f t="shared" si="36"/>
        <v>7.8</v>
      </c>
      <c r="J608" s="91" t="str">
        <f t="shared" si="37"/>
        <v>Sinapi 92044</v>
      </c>
      <c r="K608" s="91" t="str">
        <f t="shared" si="38"/>
        <v>CHI</v>
      </c>
      <c r="L608" s="166" t="str">
        <f t="shared" si="39"/>
        <v>11/2015</v>
      </c>
      <c r="M608" s="82"/>
      <c r="N608" s="82"/>
    </row>
    <row r="609" spans="1:14" x14ac:dyDescent="0.25">
      <c r="A609" s="170" t="s">
        <v>2796</v>
      </c>
      <c r="B609" s="170" t="s">
        <v>21649</v>
      </c>
      <c r="C609" s="170" t="s">
        <v>816</v>
      </c>
      <c r="D609" s="170" t="s">
        <v>1947</v>
      </c>
      <c r="E609" s="171" t="s">
        <v>29228</v>
      </c>
      <c r="F609" s="171" t="s">
        <v>35352</v>
      </c>
      <c r="G609" s="82"/>
      <c r="H609" s="96">
        <f t="shared" si="36"/>
        <v>83.77</v>
      </c>
      <c r="I609" s="96">
        <f t="shared" si="36"/>
        <v>86.55</v>
      </c>
      <c r="J609" s="91" t="str">
        <f t="shared" si="37"/>
        <v>Sinapi 92107</v>
      </c>
      <c r="K609" s="91" t="str">
        <f t="shared" si="38"/>
        <v>CHI</v>
      </c>
      <c r="L609" s="166" t="str">
        <f t="shared" si="39"/>
        <v>05/2023</v>
      </c>
      <c r="M609" s="82"/>
      <c r="N609" s="82"/>
    </row>
    <row r="610" spans="1:14" x14ac:dyDescent="0.25">
      <c r="A610" s="170" t="s">
        <v>2797</v>
      </c>
      <c r="B610" s="170" t="s">
        <v>21650</v>
      </c>
      <c r="C610" s="170" t="s">
        <v>816</v>
      </c>
      <c r="D610" s="170" t="s">
        <v>2067</v>
      </c>
      <c r="E610" s="171" t="s">
        <v>23388</v>
      </c>
      <c r="F610" s="171" t="s">
        <v>23388</v>
      </c>
      <c r="G610" s="82"/>
      <c r="H610" s="96">
        <f t="shared" si="36"/>
        <v>1.36</v>
      </c>
      <c r="I610" s="96">
        <f t="shared" si="36"/>
        <v>1.36</v>
      </c>
      <c r="J610" s="91" t="str">
        <f t="shared" si="37"/>
        <v>Sinapi 92113</v>
      </c>
      <c r="K610" s="91" t="str">
        <f t="shared" si="38"/>
        <v>CHI</v>
      </c>
      <c r="L610" s="166" t="str">
        <f t="shared" si="39"/>
        <v>05/2023</v>
      </c>
      <c r="M610" s="82"/>
      <c r="N610" s="82"/>
    </row>
    <row r="611" spans="1:14" x14ac:dyDescent="0.25">
      <c r="A611" s="170" t="s">
        <v>2798</v>
      </c>
      <c r="B611" s="170" t="s">
        <v>21651</v>
      </c>
      <c r="C611" s="170" t="s">
        <v>816</v>
      </c>
      <c r="D611" s="170" t="s">
        <v>2067</v>
      </c>
      <c r="E611" s="171" t="s">
        <v>8449</v>
      </c>
      <c r="F611" s="171" t="s">
        <v>8449</v>
      </c>
      <c r="G611" s="82"/>
      <c r="H611" s="96">
        <f t="shared" si="36"/>
        <v>0.34</v>
      </c>
      <c r="I611" s="96">
        <f t="shared" si="36"/>
        <v>0.34</v>
      </c>
      <c r="J611" s="91" t="str">
        <f t="shared" si="37"/>
        <v>Sinapi 92119</v>
      </c>
      <c r="K611" s="91" t="str">
        <f t="shared" si="38"/>
        <v>CHI</v>
      </c>
      <c r="L611" s="166" t="str">
        <f t="shared" si="39"/>
        <v>05/2023</v>
      </c>
      <c r="M611" s="82"/>
      <c r="N611" s="82"/>
    </row>
    <row r="612" spans="1:14" x14ac:dyDescent="0.25">
      <c r="A612" s="170" t="s">
        <v>2800</v>
      </c>
      <c r="B612" s="170" t="s">
        <v>2801</v>
      </c>
      <c r="C612" s="170" t="s">
        <v>816</v>
      </c>
      <c r="D612" s="170" t="s">
        <v>2067</v>
      </c>
      <c r="E612" s="171" t="s">
        <v>19413</v>
      </c>
      <c r="F612" s="171" t="s">
        <v>31768</v>
      </c>
      <c r="G612" s="82"/>
      <c r="H612" s="96">
        <f t="shared" si="36"/>
        <v>34.75</v>
      </c>
      <c r="I612" s="96">
        <f t="shared" si="36"/>
        <v>36.42</v>
      </c>
      <c r="J612" s="91" t="str">
        <f t="shared" si="37"/>
        <v>Sinapi 92139</v>
      </c>
      <c r="K612" s="91" t="str">
        <f t="shared" si="38"/>
        <v>CHI</v>
      </c>
      <c r="L612" s="166" t="str">
        <f t="shared" si="39"/>
        <v>11/2015</v>
      </c>
      <c r="M612" s="82"/>
      <c r="N612" s="82"/>
    </row>
    <row r="613" spans="1:14" x14ac:dyDescent="0.25">
      <c r="A613" s="170" t="s">
        <v>2802</v>
      </c>
      <c r="B613" s="170" t="s">
        <v>2803</v>
      </c>
      <c r="C613" s="170" t="s">
        <v>816</v>
      </c>
      <c r="D613" s="170" t="s">
        <v>2067</v>
      </c>
      <c r="E613" s="171" t="s">
        <v>15555</v>
      </c>
      <c r="F613" s="171" t="s">
        <v>20070</v>
      </c>
      <c r="G613" s="82"/>
      <c r="H613" s="96">
        <f t="shared" si="36"/>
        <v>22.75</v>
      </c>
      <c r="I613" s="96">
        <f t="shared" si="36"/>
        <v>24.42</v>
      </c>
      <c r="J613" s="91" t="str">
        <f t="shared" si="37"/>
        <v>Sinapi 92146</v>
      </c>
      <c r="K613" s="91" t="str">
        <f t="shared" si="38"/>
        <v>CHI</v>
      </c>
      <c r="L613" s="166" t="str">
        <f t="shared" si="39"/>
        <v>11/2015</v>
      </c>
      <c r="M613" s="82"/>
      <c r="N613" s="82"/>
    </row>
    <row r="614" spans="1:14" x14ac:dyDescent="0.25">
      <c r="A614" s="170" t="s">
        <v>2804</v>
      </c>
      <c r="B614" s="170" t="s">
        <v>2805</v>
      </c>
      <c r="C614" s="170" t="s">
        <v>816</v>
      </c>
      <c r="D614" s="170" t="s">
        <v>1947</v>
      </c>
      <c r="E614" s="171" t="s">
        <v>31963</v>
      </c>
      <c r="F614" s="171" t="s">
        <v>29454</v>
      </c>
      <c r="G614" s="82"/>
      <c r="H614" s="96">
        <f t="shared" si="36"/>
        <v>73.14</v>
      </c>
      <c r="I614" s="96">
        <f t="shared" si="36"/>
        <v>76.599999999999994</v>
      </c>
      <c r="J614" s="91" t="str">
        <f t="shared" si="37"/>
        <v>Sinapi 92243</v>
      </c>
      <c r="K614" s="91" t="str">
        <f t="shared" si="38"/>
        <v>CHI</v>
      </c>
      <c r="L614" s="166" t="str">
        <f t="shared" si="39"/>
        <v>12/2015</v>
      </c>
      <c r="M614" s="82"/>
      <c r="N614" s="82"/>
    </row>
    <row r="615" spans="1:14" x14ac:dyDescent="0.25">
      <c r="A615" s="170" t="s">
        <v>2806</v>
      </c>
      <c r="B615" s="170" t="s">
        <v>21652</v>
      </c>
      <c r="C615" s="170" t="s">
        <v>816</v>
      </c>
      <c r="D615" s="170" t="s">
        <v>1947</v>
      </c>
      <c r="E615" s="171" t="s">
        <v>2994</v>
      </c>
      <c r="F615" s="171" t="s">
        <v>2994</v>
      </c>
      <c r="G615" s="82"/>
      <c r="H615" s="96">
        <f t="shared" si="36"/>
        <v>0.17</v>
      </c>
      <c r="I615" s="96">
        <f t="shared" si="36"/>
        <v>0.17</v>
      </c>
      <c r="J615" s="91" t="str">
        <f t="shared" si="37"/>
        <v>Sinapi 92717</v>
      </c>
      <c r="K615" s="91" t="str">
        <f t="shared" si="38"/>
        <v>CHI</v>
      </c>
      <c r="L615" s="166" t="str">
        <f t="shared" si="39"/>
        <v>05/2023</v>
      </c>
      <c r="M615" s="82"/>
      <c r="N615" s="82"/>
    </row>
    <row r="616" spans="1:14" x14ac:dyDescent="0.25">
      <c r="A616" s="170" t="s">
        <v>2808</v>
      </c>
      <c r="B616" s="170" t="s">
        <v>2809</v>
      </c>
      <c r="C616" s="170" t="s">
        <v>816</v>
      </c>
      <c r="D616" s="170" t="s">
        <v>1947</v>
      </c>
      <c r="E616" s="171" t="s">
        <v>13746</v>
      </c>
      <c r="F616" s="171" t="s">
        <v>13746</v>
      </c>
      <c r="G616" s="82"/>
      <c r="H616" s="96">
        <f t="shared" si="36"/>
        <v>5.38</v>
      </c>
      <c r="I616" s="96">
        <f t="shared" si="36"/>
        <v>5.38</v>
      </c>
      <c r="J616" s="91" t="str">
        <f t="shared" si="37"/>
        <v>Sinapi 92961</v>
      </c>
      <c r="K616" s="91" t="str">
        <f t="shared" si="38"/>
        <v>CHI</v>
      </c>
      <c r="L616" s="166" t="str">
        <f t="shared" si="39"/>
        <v>12/2015</v>
      </c>
      <c r="M616" s="82"/>
      <c r="N616" s="82"/>
    </row>
    <row r="617" spans="1:14" x14ac:dyDescent="0.25">
      <c r="A617" s="170" t="s">
        <v>2810</v>
      </c>
      <c r="B617" s="170" t="s">
        <v>2811</v>
      </c>
      <c r="C617" s="170" t="s">
        <v>816</v>
      </c>
      <c r="D617" s="170" t="s">
        <v>1947</v>
      </c>
      <c r="E617" s="171" t="s">
        <v>15570</v>
      </c>
      <c r="F617" s="171" t="s">
        <v>33071</v>
      </c>
      <c r="G617" s="82"/>
      <c r="H617" s="96">
        <f t="shared" si="36"/>
        <v>22</v>
      </c>
      <c r="I617" s="96">
        <f t="shared" si="36"/>
        <v>24.39</v>
      </c>
      <c r="J617" s="91" t="str">
        <f t="shared" si="37"/>
        <v>Sinapi 92967</v>
      </c>
      <c r="K617" s="91" t="str">
        <f t="shared" si="38"/>
        <v>CHI</v>
      </c>
      <c r="L617" s="166" t="str">
        <f t="shared" si="39"/>
        <v>12/2015</v>
      </c>
      <c r="M617" s="82"/>
      <c r="N617" s="82"/>
    </row>
    <row r="618" spans="1:14" x14ac:dyDescent="0.25">
      <c r="A618" s="170" t="s">
        <v>2812</v>
      </c>
      <c r="B618" s="170" t="s">
        <v>2813</v>
      </c>
      <c r="C618" s="170" t="s">
        <v>816</v>
      </c>
      <c r="D618" s="170" t="s">
        <v>1947</v>
      </c>
      <c r="E618" s="171" t="s">
        <v>31964</v>
      </c>
      <c r="F618" s="171" t="s">
        <v>21843</v>
      </c>
      <c r="G618" s="82"/>
      <c r="H618" s="96">
        <f t="shared" si="36"/>
        <v>436.97</v>
      </c>
      <c r="I618" s="96">
        <f t="shared" si="36"/>
        <v>439.2</v>
      </c>
      <c r="J618" s="91" t="str">
        <f t="shared" si="37"/>
        <v>Sinapi 93225</v>
      </c>
      <c r="K618" s="91" t="str">
        <f t="shared" si="38"/>
        <v>CHI</v>
      </c>
      <c r="L618" s="166" t="str">
        <f t="shared" si="39"/>
        <v>01/2016</v>
      </c>
      <c r="M618" s="82"/>
      <c r="N618" s="82"/>
    </row>
    <row r="619" spans="1:14" x14ac:dyDescent="0.25">
      <c r="A619" s="170" t="s">
        <v>2814</v>
      </c>
      <c r="B619" s="170" t="s">
        <v>2815</v>
      </c>
      <c r="C619" s="170" t="s">
        <v>816</v>
      </c>
      <c r="D619" s="170" t="s">
        <v>2067</v>
      </c>
      <c r="E619" s="171" t="s">
        <v>15760</v>
      </c>
      <c r="F619" s="171" t="s">
        <v>15760</v>
      </c>
      <c r="G619" s="82"/>
      <c r="H619" s="96">
        <f t="shared" si="36"/>
        <v>0.6</v>
      </c>
      <c r="I619" s="96">
        <f t="shared" si="36"/>
        <v>0.6</v>
      </c>
      <c r="J619" s="91" t="str">
        <f t="shared" si="37"/>
        <v>Sinapi 93234</v>
      </c>
      <c r="K619" s="91" t="str">
        <f t="shared" si="38"/>
        <v>CHI</v>
      </c>
      <c r="L619" s="166" t="str">
        <f t="shared" si="39"/>
        <v>02/2016</v>
      </c>
      <c r="M619" s="82"/>
      <c r="N619" s="82"/>
    </row>
    <row r="620" spans="1:14" x14ac:dyDescent="0.25">
      <c r="A620" s="170" t="s">
        <v>2817</v>
      </c>
      <c r="B620" s="170" t="s">
        <v>2818</v>
      </c>
      <c r="C620" s="170" t="s">
        <v>816</v>
      </c>
      <c r="D620" s="170" t="s">
        <v>1947</v>
      </c>
      <c r="E620" s="171" t="s">
        <v>21103</v>
      </c>
      <c r="F620" s="171" t="s">
        <v>35353</v>
      </c>
      <c r="G620" s="82"/>
      <c r="H620" s="96">
        <f t="shared" si="36"/>
        <v>62.23</v>
      </c>
      <c r="I620" s="96">
        <f t="shared" si="36"/>
        <v>64.680000000000007</v>
      </c>
      <c r="J620" s="91" t="str">
        <f t="shared" si="37"/>
        <v>Sinapi 93244</v>
      </c>
      <c r="K620" s="91" t="str">
        <f t="shared" si="38"/>
        <v>CHI</v>
      </c>
      <c r="L620" s="166" t="str">
        <f t="shared" si="39"/>
        <v>02/2016</v>
      </c>
      <c r="M620" s="82"/>
      <c r="N620" s="82"/>
    </row>
    <row r="621" spans="1:14" x14ac:dyDescent="0.25">
      <c r="A621" s="170" t="s">
        <v>2819</v>
      </c>
      <c r="B621" s="170" t="s">
        <v>21653</v>
      </c>
      <c r="C621" s="170" t="s">
        <v>816</v>
      </c>
      <c r="D621" s="170" t="s">
        <v>1947</v>
      </c>
      <c r="E621" s="171" t="s">
        <v>23308</v>
      </c>
      <c r="F621" s="171" t="s">
        <v>33439</v>
      </c>
      <c r="G621" s="82"/>
      <c r="H621" s="96">
        <f t="shared" si="36"/>
        <v>62.37</v>
      </c>
      <c r="I621" s="96">
        <f t="shared" si="36"/>
        <v>65.510000000000005</v>
      </c>
      <c r="J621" s="91" t="str">
        <f t="shared" si="37"/>
        <v>Sinapi 93274</v>
      </c>
      <c r="K621" s="91" t="str">
        <f t="shared" si="38"/>
        <v>CHI</v>
      </c>
      <c r="L621" s="166" t="str">
        <f t="shared" si="39"/>
        <v>05/2023</v>
      </c>
      <c r="M621" s="82"/>
      <c r="N621" s="82"/>
    </row>
    <row r="622" spans="1:14" x14ac:dyDescent="0.25">
      <c r="A622" s="170" t="s">
        <v>2820</v>
      </c>
      <c r="B622" s="170" t="s">
        <v>1172</v>
      </c>
      <c r="C622" s="170" t="s">
        <v>816</v>
      </c>
      <c r="D622" s="170" t="s">
        <v>1947</v>
      </c>
      <c r="E622" s="171" t="s">
        <v>21493</v>
      </c>
      <c r="F622" s="171" t="s">
        <v>20486</v>
      </c>
      <c r="G622" s="82"/>
      <c r="H622" s="96">
        <f t="shared" si="36"/>
        <v>20.8</v>
      </c>
      <c r="I622" s="96">
        <f t="shared" si="36"/>
        <v>23.21</v>
      </c>
      <c r="J622" s="91" t="str">
        <f t="shared" si="37"/>
        <v>Sinapi 93282</v>
      </c>
      <c r="K622" s="91" t="str">
        <f t="shared" si="38"/>
        <v>CHI</v>
      </c>
      <c r="L622" s="166" t="str">
        <f t="shared" si="39"/>
        <v>03/2016</v>
      </c>
      <c r="M622" s="82"/>
      <c r="N622" s="82"/>
    </row>
    <row r="623" spans="1:14" x14ac:dyDescent="0.25">
      <c r="A623" s="170" t="s">
        <v>2821</v>
      </c>
      <c r="B623" s="170" t="s">
        <v>2822</v>
      </c>
      <c r="C623" s="170" t="s">
        <v>816</v>
      </c>
      <c r="D623" s="170" t="s">
        <v>1947</v>
      </c>
      <c r="E623" s="171" t="s">
        <v>31965</v>
      </c>
      <c r="F623" s="171" t="s">
        <v>35354</v>
      </c>
      <c r="G623" s="82"/>
      <c r="H623" s="96">
        <f t="shared" si="36"/>
        <v>165.79</v>
      </c>
      <c r="I623" s="96">
        <f t="shared" si="36"/>
        <v>168.93</v>
      </c>
      <c r="J623" s="91" t="str">
        <f t="shared" si="37"/>
        <v>Sinapi 93288</v>
      </c>
      <c r="K623" s="91" t="str">
        <f t="shared" si="38"/>
        <v>CHI</v>
      </c>
      <c r="L623" s="166" t="str">
        <f t="shared" si="39"/>
        <v>03/2016</v>
      </c>
      <c r="M623" s="82"/>
      <c r="N623" s="82"/>
    </row>
    <row r="624" spans="1:14" x14ac:dyDescent="0.25">
      <c r="A624" s="170" t="s">
        <v>2823</v>
      </c>
      <c r="B624" s="170" t="s">
        <v>2824</v>
      </c>
      <c r="C624" s="170" t="s">
        <v>816</v>
      </c>
      <c r="D624" s="170" t="s">
        <v>1947</v>
      </c>
      <c r="E624" s="171" t="s">
        <v>28721</v>
      </c>
      <c r="F624" s="171" t="s">
        <v>21172</v>
      </c>
      <c r="G624" s="82"/>
      <c r="H624" s="96">
        <f t="shared" si="36"/>
        <v>60.26</v>
      </c>
      <c r="I624" s="96">
        <f t="shared" si="36"/>
        <v>62.79</v>
      </c>
      <c r="J624" s="91" t="str">
        <f t="shared" si="37"/>
        <v>Sinapi 93403</v>
      </c>
      <c r="K624" s="91" t="str">
        <f t="shared" si="38"/>
        <v>CHI</v>
      </c>
      <c r="L624" s="166" t="str">
        <f t="shared" si="39"/>
        <v>03/2016</v>
      </c>
      <c r="M624" s="82"/>
      <c r="N624" s="82"/>
    </row>
    <row r="625" spans="1:14" x14ac:dyDescent="0.25">
      <c r="A625" s="170" t="s">
        <v>2825</v>
      </c>
      <c r="B625" s="170" t="s">
        <v>21654</v>
      </c>
      <c r="C625" s="170" t="s">
        <v>816</v>
      </c>
      <c r="D625" s="170" t="s">
        <v>1947</v>
      </c>
      <c r="E625" s="171" t="s">
        <v>23255</v>
      </c>
      <c r="F625" s="171" t="s">
        <v>23285</v>
      </c>
      <c r="G625" s="82"/>
      <c r="H625" s="96">
        <f t="shared" si="36"/>
        <v>33.53</v>
      </c>
      <c r="I625" s="96">
        <f t="shared" si="36"/>
        <v>36.64</v>
      </c>
      <c r="J625" s="91" t="str">
        <f t="shared" si="37"/>
        <v>Sinapi 93409</v>
      </c>
      <c r="K625" s="91" t="str">
        <f t="shared" si="38"/>
        <v>CHI</v>
      </c>
      <c r="L625" s="166" t="str">
        <f t="shared" si="39"/>
        <v>05/2023</v>
      </c>
      <c r="M625" s="82"/>
      <c r="N625" s="82"/>
    </row>
    <row r="626" spans="1:14" x14ac:dyDescent="0.25">
      <c r="A626" s="170" t="s">
        <v>2826</v>
      </c>
      <c r="B626" s="170" t="s">
        <v>2827</v>
      </c>
      <c r="C626" s="170" t="s">
        <v>816</v>
      </c>
      <c r="D626" s="170" t="s">
        <v>1947</v>
      </c>
      <c r="E626" s="171" t="s">
        <v>3886</v>
      </c>
      <c r="F626" s="171" t="s">
        <v>3886</v>
      </c>
      <c r="G626" s="82"/>
      <c r="H626" s="96">
        <f t="shared" si="36"/>
        <v>0.38</v>
      </c>
      <c r="I626" s="96">
        <f t="shared" si="36"/>
        <v>0.38</v>
      </c>
      <c r="J626" s="91" t="str">
        <f t="shared" si="37"/>
        <v>Sinapi 93416</v>
      </c>
      <c r="K626" s="91" t="str">
        <f t="shared" si="38"/>
        <v>CHI</v>
      </c>
      <c r="L626" s="166" t="str">
        <f t="shared" si="39"/>
        <v>03/2016</v>
      </c>
      <c r="M626" s="82"/>
      <c r="N626" s="82"/>
    </row>
    <row r="627" spans="1:14" x14ac:dyDescent="0.25">
      <c r="A627" s="170" t="s">
        <v>2829</v>
      </c>
      <c r="B627" s="170" t="s">
        <v>2830</v>
      </c>
      <c r="C627" s="170" t="s">
        <v>816</v>
      </c>
      <c r="D627" s="170" t="s">
        <v>1947</v>
      </c>
      <c r="E627" s="171" t="s">
        <v>2088</v>
      </c>
      <c r="F627" s="171" t="s">
        <v>2088</v>
      </c>
      <c r="G627" s="82"/>
      <c r="H627" s="96">
        <f t="shared" si="36"/>
        <v>5.01</v>
      </c>
      <c r="I627" s="96">
        <f t="shared" si="36"/>
        <v>5.01</v>
      </c>
      <c r="J627" s="91" t="str">
        <f t="shared" si="37"/>
        <v>Sinapi 93422</v>
      </c>
      <c r="K627" s="91" t="str">
        <f t="shared" si="38"/>
        <v>CHI</v>
      </c>
      <c r="L627" s="166" t="str">
        <f t="shared" si="39"/>
        <v>03/2016</v>
      </c>
      <c r="M627" s="82"/>
      <c r="N627" s="82"/>
    </row>
    <row r="628" spans="1:14" x14ac:dyDescent="0.25">
      <c r="A628" s="170" t="s">
        <v>2831</v>
      </c>
      <c r="B628" s="170" t="s">
        <v>2832</v>
      </c>
      <c r="C628" s="170" t="s">
        <v>816</v>
      </c>
      <c r="D628" s="170" t="s">
        <v>1947</v>
      </c>
      <c r="E628" s="171" t="s">
        <v>17396</v>
      </c>
      <c r="F628" s="171" t="s">
        <v>17396</v>
      </c>
      <c r="G628" s="82"/>
      <c r="H628" s="96">
        <f t="shared" si="36"/>
        <v>7.1</v>
      </c>
      <c r="I628" s="96">
        <f t="shared" si="36"/>
        <v>7.1</v>
      </c>
      <c r="J628" s="91" t="str">
        <f t="shared" si="37"/>
        <v>Sinapi 93428</v>
      </c>
      <c r="K628" s="91" t="str">
        <f t="shared" si="38"/>
        <v>CHI</v>
      </c>
      <c r="L628" s="166" t="str">
        <f t="shared" si="39"/>
        <v>03/2016</v>
      </c>
      <c r="M628" s="82"/>
      <c r="N628" s="82"/>
    </row>
    <row r="629" spans="1:14" x14ac:dyDescent="0.25">
      <c r="A629" s="170" t="s">
        <v>2833</v>
      </c>
      <c r="B629" s="170" t="s">
        <v>21655</v>
      </c>
      <c r="C629" s="170" t="s">
        <v>816</v>
      </c>
      <c r="D629" s="170" t="s">
        <v>1947</v>
      </c>
      <c r="E629" s="171" t="s">
        <v>31966</v>
      </c>
      <c r="F629" s="171" t="s">
        <v>35355</v>
      </c>
      <c r="G629" s="82"/>
      <c r="H629" s="96">
        <f t="shared" si="36"/>
        <v>247.71</v>
      </c>
      <c r="I629" s="96">
        <f t="shared" si="36"/>
        <v>258.16000000000003</v>
      </c>
      <c r="J629" s="91" t="str">
        <f t="shared" si="37"/>
        <v>Sinapi 93434</v>
      </c>
      <c r="K629" s="91" t="str">
        <f t="shared" si="38"/>
        <v>CHI</v>
      </c>
      <c r="L629" s="166" t="str">
        <f t="shared" si="39"/>
        <v>05/2023</v>
      </c>
      <c r="M629" s="82"/>
      <c r="N629" s="82"/>
    </row>
    <row r="630" spans="1:14" x14ac:dyDescent="0.25">
      <c r="A630" s="170" t="s">
        <v>2834</v>
      </c>
      <c r="B630" s="170" t="s">
        <v>21656</v>
      </c>
      <c r="C630" s="170" t="s">
        <v>816</v>
      </c>
      <c r="D630" s="170" t="s">
        <v>1947</v>
      </c>
      <c r="E630" s="171" t="s">
        <v>31967</v>
      </c>
      <c r="F630" s="171" t="s">
        <v>35356</v>
      </c>
      <c r="G630" s="82"/>
      <c r="H630" s="96">
        <f t="shared" si="36"/>
        <v>105.67</v>
      </c>
      <c r="I630" s="96">
        <f t="shared" si="36"/>
        <v>116.12</v>
      </c>
      <c r="J630" s="91" t="str">
        <f t="shared" si="37"/>
        <v>Sinapi 93440</v>
      </c>
      <c r="K630" s="91" t="str">
        <f t="shared" si="38"/>
        <v>CHI</v>
      </c>
      <c r="L630" s="166" t="str">
        <f t="shared" si="39"/>
        <v>05/2023</v>
      </c>
      <c r="M630" s="82"/>
      <c r="N630" s="82"/>
    </row>
    <row r="631" spans="1:14" x14ac:dyDescent="0.25">
      <c r="A631" s="170" t="s">
        <v>2835</v>
      </c>
      <c r="B631" s="170" t="s">
        <v>2836</v>
      </c>
      <c r="C631" s="170" t="s">
        <v>816</v>
      </c>
      <c r="D631" s="170" t="s">
        <v>1947</v>
      </c>
      <c r="E631" s="171" t="s">
        <v>31241</v>
      </c>
      <c r="F631" s="171" t="s">
        <v>35357</v>
      </c>
      <c r="G631" s="82"/>
      <c r="H631" s="96">
        <f t="shared" si="36"/>
        <v>167.31</v>
      </c>
      <c r="I631" s="96">
        <f t="shared" si="36"/>
        <v>177.76</v>
      </c>
      <c r="J631" s="91" t="str">
        <f t="shared" si="37"/>
        <v>Sinapi 95122</v>
      </c>
      <c r="K631" s="91" t="str">
        <f t="shared" si="38"/>
        <v>CHI</v>
      </c>
      <c r="L631" s="166" t="str">
        <f t="shared" si="39"/>
        <v>07/2016</v>
      </c>
      <c r="M631" s="82"/>
      <c r="N631" s="82"/>
    </row>
    <row r="632" spans="1:14" x14ac:dyDescent="0.25">
      <c r="A632" s="170" t="s">
        <v>2837</v>
      </c>
      <c r="B632" s="170" t="s">
        <v>2838</v>
      </c>
      <c r="C632" s="170" t="s">
        <v>816</v>
      </c>
      <c r="D632" s="170" t="s">
        <v>1947</v>
      </c>
      <c r="E632" s="171" t="s">
        <v>31968</v>
      </c>
      <c r="F632" s="171" t="s">
        <v>22789</v>
      </c>
      <c r="G632" s="82"/>
      <c r="H632" s="96">
        <f t="shared" si="36"/>
        <v>42.68</v>
      </c>
      <c r="I632" s="96">
        <f t="shared" si="36"/>
        <v>44.91</v>
      </c>
      <c r="J632" s="91" t="str">
        <f t="shared" si="37"/>
        <v>Sinapi 95128</v>
      </c>
      <c r="K632" s="91" t="str">
        <f t="shared" si="38"/>
        <v>CHI</v>
      </c>
      <c r="L632" s="166" t="str">
        <f t="shared" si="39"/>
        <v>07/2016</v>
      </c>
      <c r="M632" s="82"/>
      <c r="N632" s="82"/>
    </row>
    <row r="633" spans="1:14" x14ac:dyDescent="0.25">
      <c r="A633" s="170" t="s">
        <v>2839</v>
      </c>
      <c r="B633" s="170" t="s">
        <v>2840</v>
      </c>
      <c r="C633" s="170" t="s">
        <v>816</v>
      </c>
      <c r="D633" s="170" t="s">
        <v>1947</v>
      </c>
      <c r="E633" s="171" t="s">
        <v>2841</v>
      </c>
      <c r="F633" s="171" t="s">
        <v>2841</v>
      </c>
      <c r="G633" s="82"/>
      <c r="H633" s="96">
        <f t="shared" si="36"/>
        <v>0.04</v>
      </c>
      <c r="I633" s="96">
        <f t="shared" si="36"/>
        <v>0.04</v>
      </c>
      <c r="J633" s="91" t="str">
        <f t="shared" si="37"/>
        <v>Sinapi 95140</v>
      </c>
      <c r="K633" s="91" t="str">
        <f t="shared" si="38"/>
        <v>CHI</v>
      </c>
      <c r="L633" s="166" t="str">
        <f t="shared" si="39"/>
        <v>07/2016</v>
      </c>
      <c r="M633" s="82"/>
      <c r="N633" s="82"/>
    </row>
    <row r="634" spans="1:14" x14ac:dyDescent="0.25">
      <c r="A634" s="170" t="s">
        <v>2842</v>
      </c>
      <c r="B634" s="170" t="s">
        <v>21658</v>
      </c>
      <c r="C634" s="170" t="s">
        <v>816</v>
      </c>
      <c r="D634" s="170" t="s">
        <v>1947</v>
      </c>
      <c r="E634" s="171" t="s">
        <v>31969</v>
      </c>
      <c r="F634" s="171" t="s">
        <v>26190</v>
      </c>
      <c r="G634" s="82"/>
      <c r="H634" s="96">
        <f t="shared" si="36"/>
        <v>68.39</v>
      </c>
      <c r="I634" s="96">
        <f t="shared" si="36"/>
        <v>71.53</v>
      </c>
      <c r="J634" s="91" t="str">
        <f t="shared" si="37"/>
        <v>Sinapi 95213</v>
      </c>
      <c r="K634" s="91" t="str">
        <f t="shared" si="38"/>
        <v>CHI</v>
      </c>
      <c r="L634" s="166" t="str">
        <f t="shared" si="39"/>
        <v>05/2023</v>
      </c>
      <c r="M634" s="82"/>
      <c r="N634" s="82"/>
    </row>
    <row r="635" spans="1:14" x14ac:dyDescent="0.25">
      <c r="A635" s="170" t="s">
        <v>2843</v>
      </c>
      <c r="B635" s="170" t="s">
        <v>2844</v>
      </c>
      <c r="C635" s="170" t="s">
        <v>816</v>
      </c>
      <c r="D635" s="170" t="s">
        <v>1947</v>
      </c>
      <c r="E635" s="171" t="s">
        <v>21014</v>
      </c>
      <c r="F635" s="171" t="s">
        <v>16297</v>
      </c>
      <c r="G635" s="82"/>
      <c r="H635" s="96">
        <f t="shared" si="36"/>
        <v>21.76</v>
      </c>
      <c r="I635" s="96">
        <f t="shared" si="36"/>
        <v>24.15</v>
      </c>
      <c r="J635" s="91" t="str">
        <f t="shared" si="37"/>
        <v>Sinapi 95259</v>
      </c>
      <c r="K635" s="91" t="str">
        <f t="shared" si="38"/>
        <v>CHI</v>
      </c>
      <c r="L635" s="166" t="str">
        <f t="shared" si="39"/>
        <v>09/2016</v>
      </c>
      <c r="M635" s="82"/>
      <c r="N635" s="82"/>
    </row>
    <row r="636" spans="1:14" x14ac:dyDescent="0.25">
      <c r="A636" s="170" t="s">
        <v>2845</v>
      </c>
      <c r="B636" s="170" t="s">
        <v>2846</v>
      </c>
      <c r="C636" s="170" t="s">
        <v>816</v>
      </c>
      <c r="D636" s="170" t="s">
        <v>1947</v>
      </c>
      <c r="E636" s="171" t="s">
        <v>9633</v>
      </c>
      <c r="F636" s="171" t="s">
        <v>9633</v>
      </c>
      <c r="G636" s="82"/>
      <c r="H636" s="96">
        <f t="shared" si="36"/>
        <v>0.84</v>
      </c>
      <c r="I636" s="96">
        <f t="shared" si="36"/>
        <v>0.84</v>
      </c>
      <c r="J636" s="91" t="str">
        <f t="shared" si="37"/>
        <v>Sinapi 95265</v>
      </c>
      <c r="K636" s="91" t="str">
        <f t="shared" si="38"/>
        <v>CHI</v>
      </c>
      <c r="L636" s="166" t="str">
        <f t="shared" si="39"/>
        <v>09/2016</v>
      </c>
      <c r="M636" s="82"/>
      <c r="N636" s="82"/>
    </row>
    <row r="637" spans="1:14" x14ac:dyDescent="0.25">
      <c r="A637" s="170" t="s">
        <v>2847</v>
      </c>
      <c r="B637" s="170" t="s">
        <v>2848</v>
      </c>
      <c r="C637" s="170" t="s">
        <v>816</v>
      </c>
      <c r="D637" s="170" t="s">
        <v>1947</v>
      </c>
      <c r="E637" s="171" t="s">
        <v>16317</v>
      </c>
      <c r="F637" s="171" t="s">
        <v>16317</v>
      </c>
      <c r="G637" s="82"/>
      <c r="H637" s="96">
        <f t="shared" si="36"/>
        <v>0.51</v>
      </c>
      <c r="I637" s="96">
        <f t="shared" si="36"/>
        <v>0.51</v>
      </c>
      <c r="J637" s="91" t="str">
        <f t="shared" si="37"/>
        <v>Sinapi 95271</v>
      </c>
      <c r="K637" s="91" t="str">
        <f t="shared" si="38"/>
        <v>CHI</v>
      </c>
      <c r="L637" s="166" t="str">
        <f t="shared" si="39"/>
        <v>09/2016</v>
      </c>
      <c r="M637" s="82"/>
      <c r="N637" s="82"/>
    </row>
    <row r="638" spans="1:14" x14ac:dyDescent="0.25">
      <c r="A638" s="170" t="s">
        <v>2850</v>
      </c>
      <c r="B638" s="170" t="s">
        <v>21659</v>
      </c>
      <c r="C638" s="170" t="s">
        <v>816</v>
      </c>
      <c r="D638" s="170" t="s">
        <v>1947</v>
      </c>
      <c r="E638" s="171" t="s">
        <v>3655</v>
      </c>
      <c r="F638" s="171" t="s">
        <v>3655</v>
      </c>
      <c r="G638" s="82"/>
      <c r="H638" s="96">
        <f t="shared" si="36"/>
        <v>0.48</v>
      </c>
      <c r="I638" s="96">
        <f t="shared" si="36"/>
        <v>0.48</v>
      </c>
      <c r="J638" s="91" t="str">
        <f t="shared" si="37"/>
        <v>Sinapi 95277</v>
      </c>
      <c r="K638" s="91" t="str">
        <f t="shared" si="38"/>
        <v>CHI</v>
      </c>
      <c r="L638" s="166" t="str">
        <f t="shared" si="39"/>
        <v>05/2023</v>
      </c>
      <c r="M638" s="82"/>
      <c r="N638" s="82"/>
    </row>
    <row r="639" spans="1:14" x14ac:dyDescent="0.25">
      <c r="A639" s="170" t="s">
        <v>2852</v>
      </c>
      <c r="B639" s="170" t="s">
        <v>21660</v>
      </c>
      <c r="C639" s="170" t="s">
        <v>816</v>
      </c>
      <c r="D639" s="170" t="s">
        <v>1947</v>
      </c>
      <c r="E639" s="171" t="s">
        <v>15760</v>
      </c>
      <c r="F639" s="171" t="s">
        <v>15760</v>
      </c>
      <c r="G639" s="82"/>
      <c r="H639" s="96">
        <f t="shared" si="36"/>
        <v>0.6</v>
      </c>
      <c r="I639" s="96">
        <f t="shared" si="36"/>
        <v>0.6</v>
      </c>
      <c r="J639" s="91" t="str">
        <f t="shared" si="37"/>
        <v>Sinapi 95283</v>
      </c>
      <c r="K639" s="91" t="str">
        <f t="shared" si="38"/>
        <v>CHI</v>
      </c>
      <c r="L639" s="166" t="str">
        <f t="shared" si="39"/>
        <v>05/2023</v>
      </c>
      <c r="M639" s="82"/>
      <c r="N639" s="82"/>
    </row>
    <row r="640" spans="1:14" x14ac:dyDescent="0.25">
      <c r="A640" s="170" t="s">
        <v>2853</v>
      </c>
      <c r="B640" s="170" t="s">
        <v>2854</v>
      </c>
      <c r="C640" s="170" t="s">
        <v>816</v>
      </c>
      <c r="D640" s="170" t="s">
        <v>1947</v>
      </c>
      <c r="E640" s="171" t="s">
        <v>18588</v>
      </c>
      <c r="F640" s="171" t="s">
        <v>19812</v>
      </c>
      <c r="G640" s="82"/>
      <c r="H640" s="96">
        <f t="shared" si="36"/>
        <v>21.49</v>
      </c>
      <c r="I640" s="96">
        <f t="shared" si="36"/>
        <v>23.88</v>
      </c>
      <c r="J640" s="91" t="str">
        <f t="shared" si="37"/>
        <v>Sinapi 95621</v>
      </c>
      <c r="K640" s="91" t="str">
        <f t="shared" si="38"/>
        <v>CHI</v>
      </c>
      <c r="L640" s="166" t="str">
        <f t="shared" si="39"/>
        <v>11/2016</v>
      </c>
      <c r="M640" s="82"/>
      <c r="N640" s="82"/>
    </row>
    <row r="641" spans="1:14" x14ac:dyDescent="0.25">
      <c r="A641" s="170" t="s">
        <v>2855</v>
      </c>
      <c r="B641" s="170" t="s">
        <v>1147</v>
      </c>
      <c r="C641" s="170" t="s">
        <v>816</v>
      </c>
      <c r="D641" s="170" t="s">
        <v>1947</v>
      </c>
      <c r="E641" s="171" t="s">
        <v>31970</v>
      </c>
      <c r="F641" s="171" t="s">
        <v>35358</v>
      </c>
      <c r="G641" s="82"/>
      <c r="H641" s="96">
        <f t="shared" si="36"/>
        <v>80.37</v>
      </c>
      <c r="I641" s="96">
        <f t="shared" si="36"/>
        <v>82.82</v>
      </c>
      <c r="J641" s="91" t="str">
        <f t="shared" si="37"/>
        <v>Sinapi 95632</v>
      </c>
      <c r="K641" s="91" t="str">
        <f t="shared" si="38"/>
        <v>CHI</v>
      </c>
      <c r="L641" s="166" t="str">
        <f t="shared" si="39"/>
        <v>11/2016</v>
      </c>
      <c r="M641" s="82"/>
      <c r="N641" s="82"/>
    </row>
    <row r="642" spans="1:14" x14ac:dyDescent="0.25">
      <c r="A642" s="170" t="s">
        <v>2856</v>
      </c>
      <c r="B642" s="170" t="s">
        <v>2857</v>
      </c>
      <c r="C642" s="170" t="s">
        <v>816</v>
      </c>
      <c r="D642" s="170" t="s">
        <v>1947</v>
      </c>
      <c r="E642" s="171" t="s">
        <v>31971</v>
      </c>
      <c r="F642" s="171" t="s">
        <v>35359</v>
      </c>
      <c r="G642" s="82"/>
      <c r="H642" s="96">
        <f t="shared" si="36"/>
        <v>24.25</v>
      </c>
      <c r="I642" s="96">
        <f t="shared" si="36"/>
        <v>26.48</v>
      </c>
      <c r="J642" s="91" t="str">
        <f t="shared" si="37"/>
        <v>Sinapi 95703</v>
      </c>
      <c r="K642" s="91" t="str">
        <f t="shared" si="38"/>
        <v>CHI</v>
      </c>
      <c r="L642" s="166" t="str">
        <f t="shared" si="39"/>
        <v>11/2016</v>
      </c>
      <c r="M642" s="82"/>
      <c r="N642" s="82"/>
    </row>
    <row r="643" spans="1:14" x14ac:dyDescent="0.25">
      <c r="A643" s="170" t="s">
        <v>2859</v>
      </c>
      <c r="B643" s="170" t="s">
        <v>2860</v>
      </c>
      <c r="C643" s="170" t="s">
        <v>816</v>
      </c>
      <c r="D643" s="170" t="s">
        <v>1947</v>
      </c>
      <c r="E643" s="171" t="s">
        <v>23532</v>
      </c>
      <c r="F643" s="171" t="s">
        <v>31340</v>
      </c>
      <c r="G643" s="82"/>
      <c r="H643" s="96">
        <f t="shared" si="36"/>
        <v>75.39</v>
      </c>
      <c r="I643" s="96">
        <f t="shared" si="36"/>
        <v>77.62</v>
      </c>
      <c r="J643" s="91" t="str">
        <f t="shared" si="37"/>
        <v>Sinapi 95709</v>
      </c>
      <c r="K643" s="91" t="str">
        <f t="shared" si="38"/>
        <v>CHI</v>
      </c>
      <c r="L643" s="166" t="str">
        <f t="shared" si="39"/>
        <v>11/2016</v>
      </c>
      <c r="M643" s="82"/>
      <c r="N643" s="82"/>
    </row>
    <row r="644" spans="1:14" x14ac:dyDescent="0.25">
      <c r="A644" s="170" t="s">
        <v>2861</v>
      </c>
      <c r="B644" s="170" t="s">
        <v>2862</v>
      </c>
      <c r="C644" s="170" t="s">
        <v>816</v>
      </c>
      <c r="D644" s="170" t="s">
        <v>1947</v>
      </c>
      <c r="E644" s="171" t="s">
        <v>31972</v>
      </c>
      <c r="F644" s="171" t="s">
        <v>28894</v>
      </c>
      <c r="G644" s="82"/>
      <c r="H644" s="96">
        <f t="shared" si="36"/>
        <v>94.24</v>
      </c>
      <c r="I644" s="96">
        <f t="shared" si="36"/>
        <v>97.73</v>
      </c>
      <c r="J644" s="91" t="str">
        <f t="shared" si="37"/>
        <v>Sinapi 95715</v>
      </c>
      <c r="K644" s="91" t="str">
        <f t="shared" si="38"/>
        <v>CHI</v>
      </c>
      <c r="L644" s="166" t="str">
        <f t="shared" si="39"/>
        <v>11/2016</v>
      </c>
      <c r="M644" s="82"/>
      <c r="N644" s="82"/>
    </row>
    <row r="645" spans="1:14" x14ac:dyDescent="0.25">
      <c r="A645" s="170" t="s">
        <v>2863</v>
      </c>
      <c r="B645" s="170" t="s">
        <v>2864</v>
      </c>
      <c r="C645" s="170" t="s">
        <v>816</v>
      </c>
      <c r="D645" s="170" t="s">
        <v>1947</v>
      </c>
      <c r="E645" s="171" t="s">
        <v>31973</v>
      </c>
      <c r="F645" s="171" t="s">
        <v>35360</v>
      </c>
      <c r="G645" s="82"/>
      <c r="H645" s="96">
        <f t="shared" si="36"/>
        <v>91.73</v>
      </c>
      <c r="I645" s="96">
        <f t="shared" si="36"/>
        <v>95.22</v>
      </c>
      <c r="J645" s="91" t="str">
        <f t="shared" si="37"/>
        <v>Sinapi 95721</v>
      </c>
      <c r="K645" s="91" t="str">
        <f t="shared" si="38"/>
        <v>CHI</v>
      </c>
      <c r="L645" s="166" t="str">
        <f t="shared" si="39"/>
        <v>11/2016</v>
      </c>
      <c r="M645" s="82"/>
      <c r="N645" s="82"/>
    </row>
    <row r="646" spans="1:14" x14ac:dyDescent="0.25">
      <c r="A646" s="170" t="s">
        <v>2865</v>
      </c>
      <c r="B646" s="170" t="s">
        <v>2866</v>
      </c>
      <c r="C646" s="170" t="s">
        <v>816</v>
      </c>
      <c r="D646" s="170" t="s">
        <v>1947</v>
      </c>
      <c r="E646" s="171" t="s">
        <v>17562</v>
      </c>
      <c r="F646" s="171" t="s">
        <v>17562</v>
      </c>
      <c r="G646" s="82"/>
      <c r="H646" s="96">
        <f t="shared" si="36"/>
        <v>11.34</v>
      </c>
      <c r="I646" s="96">
        <f t="shared" si="36"/>
        <v>11.34</v>
      </c>
      <c r="J646" s="91" t="str">
        <f t="shared" si="37"/>
        <v>Sinapi 95873</v>
      </c>
      <c r="K646" s="91" t="str">
        <f t="shared" si="38"/>
        <v>CHI</v>
      </c>
      <c r="L646" s="166" t="str">
        <f t="shared" si="39"/>
        <v>12/2016</v>
      </c>
      <c r="M646" s="82"/>
      <c r="N646" s="82"/>
    </row>
    <row r="647" spans="1:14" x14ac:dyDescent="0.25">
      <c r="A647" s="170" t="s">
        <v>2867</v>
      </c>
      <c r="B647" s="170" t="s">
        <v>2868</v>
      </c>
      <c r="C647" s="170" t="s">
        <v>816</v>
      </c>
      <c r="D647" s="170" t="s">
        <v>1947</v>
      </c>
      <c r="E647" s="171" t="s">
        <v>21899</v>
      </c>
      <c r="F647" s="171" t="s">
        <v>28608</v>
      </c>
      <c r="G647" s="82"/>
      <c r="H647" s="96">
        <f t="shared" si="36"/>
        <v>50.96</v>
      </c>
      <c r="I647" s="96">
        <f t="shared" si="36"/>
        <v>53.61</v>
      </c>
      <c r="J647" s="91" t="str">
        <f t="shared" si="37"/>
        <v>Sinapi 96014</v>
      </c>
      <c r="K647" s="91" t="str">
        <f t="shared" si="38"/>
        <v>CHI</v>
      </c>
      <c r="L647" s="166" t="str">
        <f t="shared" si="39"/>
        <v>02/2017</v>
      </c>
      <c r="M647" s="82"/>
      <c r="N647" s="82"/>
    </row>
    <row r="648" spans="1:14" x14ac:dyDescent="0.25">
      <c r="A648" s="170" t="s">
        <v>2869</v>
      </c>
      <c r="B648" s="170" t="s">
        <v>2870</v>
      </c>
      <c r="C648" s="170" t="s">
        <v>816</v>
      </c>
      <c r="D648" s="170" t="s">
        <v>1947</v>
      </c>
      <c r="E648" s="171" t="s">
        <v>28678</v>
      </c>
      <c r="F648" s="171" t="s">
        <v>21985</v>
      </c>
      <c r="G648" s="82"/>
      <c r="H648" s="96">
        <f t="shared" ref="H648:I711" si="40">IF(E648="","",E648+0)</f>
        <v>50.68</v>
      </c>
      <c r="I648" s="96">
        <f t="shared" si="40"/>
        <v>53.33</v>
      </c>
      <c r="J648" s="91" t="str">
        <f t="shared" ref="J648:J711" si="41">IF(OR(H648="",I648=""),"",TRIM(CONCATENATE("Sinapi ",A648)))</f>
        <v>Sinapi 96021</v>
      </c>
      <c r="K648" s="91" t="str">
        <f t="shared" ref="K648:K711" si="42">TRIM(C648)</f>
        <v>CHI</v>
      </c>
      <c r="L648" s="166" t="str">
        <f t="shared" ref="L648:L711" si="43">IF(OR(RIGHT(IF(AND(K648&lt;&gt;"H",K648&lt;&gt;"MES"),RIGHT(B648,7),""),2)="PS",RIGHT(IF(AND(K648&lt;&gt;"H",K648&lt;&gt;"MES"),RIGHT(B648,7),""),2)="PA",RIGHT(IF(AND(K648&lt;&gt;"H",K648&lt;&gt;"MES"),RIGHT(B648,7),""),2)="PE"),LEFT(IF(AND(K648&lt;&gt;"H",K648&lt;&gt;"MES"),RIGHT(B648,10),""),7),IF(AND(K648&lt;&gt;"H",K648&lt;&gt;"MES"),RIGHT(B648,7),""))</f>
        <v>02/2017</v>
      </c>
      <c r="M648" s="82"/>
      <c r="N648" s="82"/>
    </row>
    <row r="649" spans="1:14" x14ac:dyDescent="0.25">
      <c r="A649" s="170" t="s">
        <v>2871</v>
      </c>
      <c r="B649" s="170" t="s">
        <v>2872</v>
      </c>
      <c r="C649" s="170" t="s">
        <v>816</v>
      </c>
      <c r="D649" s="170" t="s">
        <v>1947</v>
      </c>
      <c r="E649" s="171" t="s">
        <v>21701</v>
      </c>
      <c r="F649" s="171" t="s">
        <v>35361</v>
      </c>
      <c r="G649" s="82"/>
      <c r="H649" s="96">
        <f t="shared" si="40"/>
        <v>44.24</v>
      </c>
      <c r="I649" s="96">
        <f t="shared" si="40"/>
        <v>46.89</v>
      </c>
      <c r="J649" s="91" t="str">
        <f t="shared" si="41"/>
        <v>Sinapi 96029</v>
      </c>
      <c r="K649" s="91" t="str">
        <f t="shared" si="42"/>
        <v>CHI</v>
      </c>
      <c r="L649" s="166" t="str">
        <f t="shared" si="43"/>
        <v>02/2017</v>
      </c>
      <c r="M649" s="82"/>
      <c r="N649" s="82"/>
    </row>
    <row r="650" spans="1:14" x14ac:dyDescent="0.25">
      <c r="A650" s="170" t="s">
        <v>2873</v>
      </c>
      <c r="B650" s="170" t="s">
        <v>2874</v>
      </c>
      <c r="C650" s="170" t="s">
        <v>816</v>
      </c>
      <c r="D650" s="170" t="s">
        <v>1947</v>
      </c>
      <c r="E650" s="171" t="s">
        <v>31974</v>
      </c>
      <c r="F650" s="171" t="s">
        <v>35362</v>
      </c>
      <c r="G650" s="82"/>
      <c r="H650" s="96">
        <f t="shared" si="40"/>
        <v>75.36</v>
      </c>
      <c r="I650" s="96">
        <f t="shared" si="40"/>
        <v>78.260000000000005</v>
      </c>
      <c r="J650" s="91" t="str">
        <f t="shared" si="41"/>
        <v>Sinapi 96036</v>
      </c>
      <c r="K650" s="91" t="str">
        <f t="shared" si="42"/>
        <v>CHI</v>
      </c>
      <c r="L650" s="166" t="str">
        <f t="shared" si="43"/>
        <v>02/2017</v>
      </c>
      <c r="M650" s="82"/>
      <c r="N650" s="82"/>
    </row>
    <row r="651" spans="1:14" x14ac:dyDescent="0.25">
      <c r="A651" s="170" t="s">
        <v>2875</v>
      </c>
      <c r="B651" s="170" t="s">
        <v>2876</v>
      </c>
      <c r="C651" s="170" t="s">
        <v>816</v>
      </c>
      <c r="D651" s="170" t="s">
        <v>1947</v>
      </c>
      <c r="E651" s="171" t="s">
        <v>27677</v>
      </c>
      <c r="F651" s="171" t="s">
        <v>23265</v>
      </c>
      <c r="G651" s="82"/>
      <c r="H651" s="96">
        <f t="shared" si="40"/>
        <v>44.52</v>
      </c>
      <c r="I651" s="96">
        <f t="shared" si="40"/>
        <v>47.17</v>
      </c>
      <c r="J651" s="91" t="str">
        <f t="shared" si="41"/>
        <v>Sinapi 96155</v>
      </c>
      <c r="K651" s="91" t="str">
        <f t="shared" si="42"/>
        <v>CHI</v>
      </c>
      <c r="L651" s="166" t="str">
        <f t="shared" si="43"/>
        <v>02/2017</v>
      </c>
      <c r="M651" s="82"/>
      <c r="N651" s="82"/>
    </row>
    <row r="652" spans="1:14" x14ac:dyDescent="0.25">
      <c r="A652" s="170" t="s">
        <v>2877</v>
      </c>
      <c r="B652" s="170" t="s">
        <v>2878</v>
      </c>
      <c r="C652" s="170" t="s">
        <v>816</v>
      </c>
      <c r="D652" s="170" t="s">
        <v>1947</v>
      </c>
      <c r="E652" s="171" t="s">
        <v>29384</v>
      </c>
      <c r="F652" s="171" t="s">
        <v>35363</v>
      </c>
      <c r="G652" s="82"/>
      <c r="H652" s="96">
        <f t="shared" si="40"/>
        <v>61.64</v>
      </c>
      <c r="I652" s="96">
        <f t="shared" si="40"/>
        <v>64.64</v>
      </c>
      <c r="J652" s="91" t="str">
        <f t="shared" si="41"/>
        <v>Sinapi 96156</v>
      </c>
      <c r="K652" s="91" t="str">
        <f t="shared" si="42"/>
        <v>CHI</v>
      </c>
      <c r="L652" s="166" t="str">
        <f t="shared" si="43"/>
        <v>03/2017</v>
      </c>
      <c r="M652" s="82"/>
      <c r="N652" s="82"/>
    </row>
    <row r="653" spans="1:14" x14ac:dyDescent="0.25">
      <c r="A653" s="170" t="s">
        <v>2879</v>
      </c>
      <c r="B653" s="170" t="s">
        <v>2880</v>
      </c>
      <c r="C653" s="170" t="s">
        <v>816</v>
      </c>
      <c r="D653" s="170" t="s">
        <v>1947</v>
      </c>
      <c r="E653" s="171" t="s">
        <v>31975</v>
      </c>
      <c r="F653" s="171" t="s">
        <v>35364</v>
      </c>
      <c r="G653" s="82"/>
      <c r="H653" s="96">
        <f t="shared" si="40"/>
        <v>90.35</v>
      </c>
      <c r="I653" s="96">
        <f t="shared" si="40"/>
        <v>93.53</v>
      </c>
      <c r="J653" s="91" t="str">
        <f t="shared" si="41"/>
        <v>Sinapi 96159</v>
      </c>
      <c r="K653" s="91" t="str">
        <f t="shared" si="42"/>
        <v>CHI</v>
      </c>
      <c r="L653" s="166" t="str">
        <f t="shared" si="43"/>
        <v>07/2016</v>
      </c>
      <c r="M653" s="82"/>
      <c r="N653" s="82"/>
    </row>
    <row r="654" spans="1:14" x14ac:dyDescent="0.25">
      <c r="A654" s="170" t="s">
        <v>2881</v>
      </c>
      <c r="B654" s="170" t="s">
        <v>2882</v>
      </c>
      <c r="C654" s="170" t="s">
        <v>816</v>
      </c>
      <c r="D654" s="170" t="s">
        <v>1947</v>
      </c>
      <c r="E654" s="171" t="s">
        <v>31976</v>
      </c>
      <c r="F654" s="171" t="s">
        <v>22965</v>
      </c>
      <c r="G654" s="82"/>
      <c r="H654" s="96">
        <f t="shared" si="40"/>
        <v>61.42</v>
      </c>
      <c r="I654" s="96">
        <f t="shared" si="40"/>
        <v>64.91</v>
      </c>
      <c r="J654" s="91" t="str">
        <f t="shared" si="41"/>
        <v>Sinapi 96246</v>
      </c>
      <c r="K654" s="91" t="str">
        <f t="shared" si="42"/>
        <v>CHI</v>
      </c>
      <c r="L654" s="166" t="str">
        <f t="shared" si="43"/>
        <v>04/2017</v>
      </c>
      <c r="M654" s="82"/>
      <c r="N654" s="82"/>
    </row>
    <row r="655" spans="1:14" x14ac:dyDescent="0.25">
      <c r="A655" s="170" t="s">
        <v>2884</v>
      </c>
      <c r="B655" s="170" t="s">
        <v>1144</v>
      </c>
      <c r="C655" s="170" t="s">
        <v>816</v>
      </c>
      <c r="D655" s="170" t="s">
        <v>1947</v>
      </c>
      <c r="E655" s="171" t="s">
        <v>31977</v>
      </c>
      <c r="F655" s="171" t="s">
        <v>35365</v>
      </c>
      <c r="G655" s="82"/>
      <c r="H655" s="96">
        <f t="shared" si="40"/>
        <v>86.88</v>
      </c>
      <c r="I655" s="96">
        <f t="shared" si="40"/>
        <v>89.33</v>
      </c>
      <c r="J655" s="91" t="str">
        <f t="shared" si="41"/>
        <v>Sinapi 96464</v>
      </c>
      <c r="K655" s="91" t="str">
        <f t="shared" si="42"/>
        <v>CHI</v>
      </c>
      <c r="L655" s="166" t="str">
        <f t="shared" si="43"/>
        <v>06/2017</v>
      </c>
      <c r="M655" s="82"/>
      <c r="N655" s="82"/>
    </row>
    <row r="656" spans="1:14" x14ac:dyDescent="0.25">
      <c r="A656" s="170" t="s">
        <v>2885</v>
      </c>
      <c r="B656" s="170" t="s">
        <v>2886</v>
      </c>
      <c r="C656" s="170" t="s">
        <v>816</v>
      </c>
      <c r="D656" s="170" t="s">
        <v>1947</v>
      </c>
      <c r="E656" s="171" t="s">
        <v>2575</v>
      </c>
      <c r="F656" s="171" t="s">
        <v>2575</v>
      </c>
      <c r="G656" s="82"/>
      <c r="H656" s="96">
        <f t="shared" si="40"/>
        <v>0.06</v>
      </c>
      <c r="I656" s="96">
        <f t="shared" si="40"/>
        <v>0.06</v>
      </c>
      <c r="J656" s="91" t="str">
        <f t="shared" si="41"/>
        <v>Sinapi 98765</v>
      </c>
      <c r="K656" s="91" t="str">
        <f t="shared" si="42"/>
        <v>CHI</v>
      </c>
      <c r="L656" s="166" t="str">
        <f t="shared" si="43"/>
        <v>06/2018</v>
      </c>
      <c r="M656" s="82"/>
      <c r="N656" s="82"/>
    </row>
    <row r="657" spans="1:14" x14ac:dyDescent="0.25">
      <c r="A657" s="170" t="s">
        <v>2887</v>
      </c>
      <c r="B657" s="170" t="s">
        <v>21663</v>
      </c>
      <c r="C657" s="170" t="s">
        <v>816</v>
      </c>
      <c r="D657" s="170" t="s">
        <v>2710</v>
      </c>
      <c r="E657" s="171" t="s">
        <v>2828</v>
      </c>
      <c r="F657" s="171" t="s">
        <v>2828</v>
      </c>
      <c r="G657" s="82"/>
      <c r="H657" s="96">
        <f t="shared" si="40"/>
        <v>0.24</v>
      </c>
      <c r="I657" s="96">
        <f t="shared" si="40"/>
        <v>0.24</v>
      </c>
      <c r="J657" s="91" t="str">
        <f t="shared" si="41"/>
        <v>Sinapi 99834</v>
      </c>
      <c r="K657" s="91" t="str">
        <f t="shared" si="42"/>
        <v>CHI</v>
      </c>
      <c r="L657" s="166" t="str">
        <f t="shared" si="43"/>
        <v>05/2023</v>
      </c>
      <c r="M657" s="82"/>
      <c r="N657" s="82"/>
    </row>
    <row r="658" spans="1:14" x14ac:dyDescent="0.25">
      <c r="A658" s="170" t="s">
        <v>2889</v>
      </c>
      <c r="B658" s="170" t="s">
        <v>2890</v>
      </c>
      <c r="C658" s="170" t="s">
        <v>816</v>
      </c>
      <c r="D658" s="170" t="s">
        <v>1947</v>
      </c>
      <c r="E658" s="171" t="s">
        <v>31978</v>
      </c>
      <c r="F658" s="171" t="s">
        <v>35366</v>
      </c>
      <c r="G658" s="82"/>
      <c r="H658" s="96">
        <f t="shared" si="40"/>
        <v>213.01</v>
      </c>
      <c r="I658" s="96">
        <f t="shared" si="40"/>
        <v>215.86</v>
      </c>
      <c r="J658" s="91" t="str">
        <f t="shared" si="41"/>
        <v>Sinapi 100642</v>
      </c>
      <c r="K658" s="91" t="str">
        <f t="shared" si="42"/>
        <v>CHI</v>
      </c>
      <c r="L658" s="166" t="str">
        <f t="shared" si="43"/>
        <v>12/2019</v>
      </c>
      <c r="M658" s="82"/>
      <c r="N658" s="82"/>
    </row>
    <row r="659" spans="1:14" x14ac:dyDescent="0.25">
      <c r="A659" s="170" t="s">
        <v>2891</v>
      </c>
      <c r="B659" s="170" t="s">
        <v>2892</v>
      </c>
      <c r="C659" s="170" t="s">
        <v>816</v>
      </c>
      <c r="D659" s="170" t="s">
        <v>1947</v>
      </c>
      <c r="E659" s="171" t="s">
        <v>31979</v>
      </c>
      <c r="F659" s="171" t="s">
        <v>35367</v>
      </c>
      <c r="G659" s="82"/>
      <c r="H659" s="96">
        <f t="shared" si="40"/>
        <v>425.59</v>
      </c>
      <c r="I659" s="96">
        <f t="shared" si="40"/>
        <v>428.44</v>
      </c>
      <c r="J659" s="91" t="str">
        <f t="shared" si="41"/>
        <v>Sinapi 100648</v>
      </c>
      <c r="K659" s="91" t="str">
        <f t="shared" si="42"/>
        <v>CHI</v>
      </c>
      <c r="L659" s="166" t="str">
        <f t="shared" si="43"/>
        <v>12/2019</v>
      </c>
      <c r="M659" s="82"/>
      <c r="N659" s="82"/>
    </row>
    <row r="660" spans="1:14" x14ac:dyDescent="0.25">
      <c r="A660" s="170" t="s">
        <v>12394</v>
      </c>
      <c r="B660" s="170" t="s">
        <v>12395</v>
      </c>
      <c r="C660" s="170" t="s">
        <v>816</v>
      </c>
      <c r="D660" s="170" t="s">
        <v>1947</v>
      </c>
      <c r="E660" s="171" t="s">
        <v>23213</v>
      </c>
      <c r="F660" s="171" t="s">
        <v>27559</v>
      </c>
      <c r="G660" s="82"/>
      <c r="H660" s="96">
        <f t="shared" si="40"/>
        <v>21</v>
      </c>
      <c r="I660" s="96">
        <f t="shared" si="40"/>
        <v>23.39</v>
      </c>
      <c r="J660" s="91" t="str">
        <f t="shared" si="41"/>
        <v>Sinapi 102274</v>
      </c>
      <c r="K660" s="91" t="str">
        <f t="shared" si="42"/>
        <v>CHI</v>
      </c>
      <c r="L660" s="166" t="str">
        <f t="shared" si="43"/>
        <v>01/2021</v>
      </c>
      <c r="M660" s="82"/>
      <c r="N660" s="82"/>
    </row>
    <row r="661" spans="1:14" x14ac:dyDescent="0.25">
      <c r="A661" s="170" t="s">
        <v>16313</v>
      </c>
      <c r="B661" s="170" t="s">
        <v>16314</v>
      </c>
      <c r="C661" s="170" t="s">
        <v>816</v>
      </c>
      <c r="D661" s="170" t="s">
        <v>2067</v>
      </c>
      <c r="E661" s="171" t="s">
        <v>2799</v>
      </c>
      <c r="F661" s="171" t="s">
        <v>2799</v>
      </c>
      <c r="G661" s="82"/>
      <c r="H661" s="96">
        <f t="shared" si="40"/>
        <v>0.08</v>
      </c>
      <c r="I661" s="96">
        <f t="shared" si="40"/>
        <v>0.08</v>
      </c>
      <c r="J661" s="91" t="str">
        <f t="shared" si="41"/>
        <v>Sinapi 104092</v>
      </c>
      <c r="K661" s="91" t="str">
        <f t="shared" si="42"/>
        <v>CHI</v>
      </c>
      <c r="L661" s="166" t="str">
        <f t="shared" si="43"/>
        <v>05/2022</v>
      </c>
      <c r="M661" s="82"/>
      <c r="N661" s="82"/>
    </row>
    <row r="662" spans="1:14" x14ac:dyDescent="0.25">
      <c r="A662" s="170" t="s">
        <v>16315</v>
      </c>
      <c r="B662" s="170" t="s">
        <v>16316</v>
      </c>
      <c r="C662" s="170" t="s">
        <v>816</v>
      </c>
      <c r="D662" s="170" t="s">
        <v>2067</v>
      </c>
      <c r="E662" s="171" t="s">
        <v>2888</v>
      </c>
      <c r="F662" s="171" t="s">
        <v>2888</v>
      </c>
      <c r="G662" s="82"/>
      <c r="H662" s="96">
        <f t="shared" si="40"/>
        <v>0.13</v>
      </c>
      <c r="I662" s="96">
        <f t="shared" si="40"/>
        <v>0.13</v>
      </c>
      <c r="J662" s="91" t="str">
        <f t="shared" si="41"/>
        <v>Sinapi 104098</v>
      </c>
      <c r="K662" s="91" t="str">
        <f t="shared" si="42"/>
        <v>CHI</v>
      </c>
      <c r="L662" s="166" t="str">
        <f t="shared" si="43"/>
        <v>05/2022</v>
      </c>
      <c r="M662" s="82"/>
      <c r="N662" s="82"/>
    </row>
    <row r="663" spans="1:14" x14ac:dyDescent="0.25">
      <c r="A663" s="170" t="s">
        <v>2893</v>
      </c>
      <c r="B663" s="170" t="s">
        <v>2894</v>
      </c>
      <c r="C663" s="170" t="s">
        <v>587</v>
      </c>
      <c r="D663" s="170" t="s">
        <v>1947</v>
      </c>
      <c r="E663" s="171" t="s">
        <v>25807</v>
      </c>
      <c r="F663" s="171" t="s">
        <v>25807</v>
      </c>
      <c r="G663" s="82"/>
      <c r="H663" s="96">
        <f t="shared" si="40"/>
        <v>40.92</v>
      </c>
      <c r="I663" s="96">
        <f t="shared" si="40"/>
        <v>40.92</v>
      </c>
      <c r="J663" s="91" t="str">
        <f t="shared" si="41"/>
        <v>Sinapi 5089</v>
      </c>
      <c r="K663" s="91" t="str">
        <f t="shared" si="42"/>
        <v>H</v>
      </c>
      <c r="L663" s="166" t="str">
        <f t="shared" si="43"/>
        <v/>
      </c>
      <c r="M663" s="82"/>
      <c r="N663" s="82"/>
    </row>
    <row r="664" spans="1:14" x14ac:dyDescent="0.25">
      <c r="A664" s="170" t="s">
        <v>2895</v>
      </c>
      <c r="B664" s="170" t="s">
        <v>2896</v>
      </c>
      <c r="C664" s="170" t="s">
        <v>587</v>
      </c>
      <c r="D664" s="170" t="s">
        <v>1947</v>
      </c>
      <c r="E664" s="171" t="s">
        <v>31980</v>
      </c>
      <c r="F664" s="171" t="s">
        <v>31980</v>
      </c>
      <c r="G664" s="82"/>
      <c r="H664" s="96">
        <f t="shared" si="40"/>
        <v>45.33</v>
      </c>
      <c r="I664" s="96">
        <f t="shared" si="40"/>
        <v>45.33</v>
      </c>
      <c r="J664" s="91" t="str">
        <f t="shared" si="41"/>
        <v>Sinapi 5627</v>
      </c>
      <c r="K664" s="91" t="str">
        <f t="shared" si="42"/>
        <v>H</v>
      </c>
      <c r="L664" s="166" t="str">
        <f t="shared" si="43"/>
        <v/>
      </c>
      <c r="M664" s="82"/>
      <c r="N664" s="82"/>
    </row>
    <row r="665" spans="1:14" x14ac:dyDescent="0.25">
      <c r="A665" s="170" t="s">
        <v>2897</v>
      </c>
      <c r="B665" s="170" t="s">
        <v>2898</v>
      </c>
      <c r="C665" s="170" t="s">
        <v>587</v>
      </c>
      <c r="D665" s="170" t="s">
        <v>1947</v>
      </c>
      <c r="E665" s="171" t="s">
        <v>8316</v>
      </c>
      <c r="F665" s="171" t="s">
        <v>8316</v>
      </c>
      <c r="G665" s="82"/>
      <c r="H665" s="96">
        <f t="shared" si="40"/>
        <v>11.98</v>
      </c>
      <c r="I665" s="96">
        <f t="shared" si="40"/>
        <v>11.98</v>
      </c>
      <c r="J665" s="91" t="str">
        <f t="shared" si="41"/>
        <v>Sinapi 5628</v>
      </c>
      <c r="K665" s="91" t="str">
        <f t="shared" si="42"/>
        <v>H</v>
      </c>
      <c r="L665" s="166" t="str">
        <f t="shared" si="43"/>
        <v/>
      </c>
      <c r="M665" s="82"/>
      <c r="N665" s="82"/>
    </row>
    <row r="666" spans="1:14" x14ac:dyDescent="0.25">
      <c r="A666" s="170" t="s">
        <v>2900</v>
      </c>
      <c r="B666" s="170" t="s">
        <v>2901</v>
      </c>
      <c r="C666" s="170" t="s">
        <v>587</v>
      </c>
      <c r="D666" s="170" t="s">
        <v>1947</v>
      </c>
      <c r="E666" s="171" t="s">
        <v>23137</v>
      </c>
      <c r="F666" s="171" t="s">
        <v>23137</v>
      </c>
      <c r="G666" s="82"/>
      <c r="H666" s="96">
        <f t="shared" si="40"/>
        <v>56.67</v>
      </c>
      <c r="I666" s="96">
        <f t="shared" si="40"/>
        <v>56.67</v>
      </c>
      <c r="J666" s="91" t="str">
        <f t="shared" si="41"/>
        <v>Sinapi 5629</v>
      </c>
      <c r="K666" s="91" t="str">
        <f t="shared" si="42"/>
        <v>H</v>
      </c>
      <c r="L666" s="166" t="str">
        <f t="shared" si="43"/>
        <v/>
      </c>
      <c r="M666" s="82"/>
      <c r="N666" s="82"/>
    </row>
    <row r="667" spans="1:14" x14ac:dyDescent="0.25">
      <c r="A667" s="170" t="s">
        <v>2902</v>
      </c>
      <c r="B667" s="170" t="s">
        <v>2903</v>
      </c>
      <c r="C667" s="170" t="s">
        <v>587</v>
      </c>
      <c r="D667" s="170" t="s">
        <v>2710</v>
      </c>
      <c r="E667" s="171" t="s">
        <v>30756</v>
      </c>
      <c r="F667" s="171" t="s">
        <v>30756</v>
      </c>
      <c r="G667" s="82"/>
      <c r="H667" s="96">
        <f t="shared" si="40"/>
        <v>71.62</v>
      </c>
      <c r="I667" s="96">
        <f t="shared" si="40"/>
        <v>71.62</v>
      </c>
      <c r="J667" s="91" t="str">
        <f t="shared" si="41"/>
        <v>Sinapi 5630</v>
      </c>
      <c r="K667" s="91" t="str">
        <f t="shared" si="42"/>
        <v>H</v>
      </c>
      <c r="L667" s="166" t="str">
        <f t="shared" si="43"/>
        <v/>
      </c>
      <c r="M667" s="82"/>
      <c r="N667" s="82"/>
    </row>
    <row r="668" spans="1:14" x14ac:dyDescent="0.25">
      <c r="A668" s="170" t="s">
        <v>2904</v>
      </c>
      <c r="B668" s="170" t="s">
        <v>2905</v>
      </c>
      <c r="C668" s="170" t="s">
        <v>587</v>
      </c>
      <c r="D668" s="170" t="s">
        <v>1947</v>
      </c>
      <c r="E668" s="171" t="s">
        <v>20040</v>
      </c>
      <c r="F668" s="171" t="s">
        <v>20040</v>
      </c>
      <c r="G668" s="82"/>
      <c r="H668" s="96">
        <f t="shared" si="40"/>
        <v>2.46</v>
      </c>
      <c r="I668" s="96">
        <f t="shared" si="40"/>
        <v>2.46</v>
      </c>
      <c r="J668" s="91" t="str">
        <f t="shared" si="41"/>
        <v>Sinapi 5658</v>
      </c>
      <c r="K668" s="91" t="str">
        <f t="shared" si="42"/>
        <v>H</v>
      </c>
      <c r="L668" s="166" t="str">
        <f t="shared" si="43"/>
        <v/>
      </c>
      <c r="M668" s="82"/>
      <c r="N668" s="82"/>
    </row>
    <row r="669" spans="1:14" x14ac:dyDescent="0.25">
      <c r="A669" s="170" t="s">
        <v>2906</v>
      </c>
      <c r="B669" s="170" t="s">
        <v>2907</v>
      </c>
      <c r="C669" s="170" t="s">
        <v>587</v>
      </c>
      <c r="D669" s="170" t="s">
        <v>1947</v>
      </c>
      <c r="E669" s="171" t="s">
        <v>26166</v>
      </c>
      <c r="F669" s="171" t="s">
        <v>26166</v>
      </c>
      <c r="G669" s="82"/>
      <c r="H669" s="96">
        <f t="shared" si="40"/>
        <v>29.02</v>
      </c>
      <c r="I669" s="96">
        <f t="shared" si="40"/>
        <v>29.02</v>
      </c>
      <c r="J669" s="91" t="str">
        <f t="shared" si="41"/>
        <v>Sinapi 5664</v>
      </c>
      <c r="K669" s="91" t="str">
        <f t="shared" si="42"/>
        <v>H</v>
      </c>
      <c r="L669" s="166" t="str">
        <f t="shared" si="43"/>
        <v/>
      </c>
      <c r="M669" s="82"/>
      <c r="N669" s="82"/>
    </row>
    <row r="670" spans="1:14" x14ac:dyDescent="0.25">
      <c r="A670" s="170" t="s">
        <v>2908</v>
      </c>
      <c r="B670" s="170" t="s">
        <v>2909</v>
      </c>
      <c r="C670" s="170" t="s">
        <v>587</v>
      </c>
      <c r="D670" s="170" t="s">
        <v>1947</v>
      </c>
      <c r="E670" s="171" t="s">
        <v>22958</v>
      </c>
      <c r="F670" s="171" t="s">
        <v>22958</v>
      </c>
      <c r="G670" s="82"/>
      <c r="H670" s="96">
        <f t="shared" si="40"/>
        <v>25.81</v>
      </c>
      <c r="I670" s="96">
        <f t="shared" si="40"/>
        <v>25.81</v>
      </c>
      <c r="J670" s="91" t="str">
        <f t="shared" si="41"/>
        <v>Sinapi 5667</v>
      </c>
      <c r="K670" s="91" t="str">
        <f t="shared" si="42"/>
        <v>H</v>
      </c>
      <c r="L670" s="166" t="str">
        <f t="shared" si="43"/>
        <v/>
      </c>
      <c r="M670" s="82"/>
      <c r="N670" s="82"/>
    </row>
    <row r="671" spans="1:14" x14ac:dyDescent="0.25">
      <c r="A671" s="170" t="s">
        <v>2910</v>
      </c>
      <c r="B671" s="170" t="s">
        <v>2911</v>
      </c>
      <c r="C671" s="170" t="s">
        <v>587</v>
      </c>
      <c r="D671" s="170" t="s">
        <v>2710</v>
      </c>
      <c r="E671" s="171" t="s">
        <v>31981</v>
      </c>
      <c r="F671" s="171" t="s">
        <v>31981</v>
      </c>
      <c r="G671" s="82"/>
      <c r="H671" s="96">
        <f t="shared" si="40"/>
        <v>50.93</v>
      </c>
      <c r="I671" s="96">
        <f t="shared" si="40"/>
        <v>50.93</v>
      </c>
      <c r="J671" s="91" t="str">
        <f t="shared" si="41"/>
        <v>Sinapi 5668</v>
      </c>
      <c r="K671" s="91" t="str">
        <f t="shared" si="42"/>
        <v>H</v>
      </c>
      <c r="L671" s="166" t="str">
        <f t="shared" si="43"/>
        <v/>
      </c>
      <c r="M671" s="82"/>
      <c r="N671" s="82"/>
    </row>
    <row r="672" spans="1:14" x14ac:dyDescent="0.25">
      <c r="A672" s="170" t="s">
        <v>2912</v>
      </c>
      <c r="B672" s="170" t="s">
        <v>2913</v>
      </c>
      <c r="C672" s="170" t="s">
        <v>587</v>
      </c>
      <c r="D672" s="170" t="s">
        <v>1947</v>
      </c>
      <c r="E672" s="171" t="s">
        <v>28522</v>
      </c>
      <c r="F672" s="171" t="s">
        <v>28522</v>
      </c>
      <c r="G672" s="82"/>
      <c r="H672" s="96">
        <f t="shared" si="40"/>
        <v>39.36</v>
      </c>
      <c r="I672" s="96">
        <f t="shared" si="40"/>
        <v>39.36</v>
      </c>
      <c r="J672" s="91" t="str">
        <f t="shared" si="41"/>
        <v>Sinapi 5674</v>
      </c>
      <c r="K672" s="91" t="str">
        <f t="shared" si="42"/>
        <v>H</v>
      </c>
      <c r="L672" s="166" t="str">
        <f t="shared" si="43"/>
        <v/>
      </c>
      <c r="M672" s="82"/>
      <c r="N672" s="82"/>
    </row>
    <row r="673" spans="1:14" x14ac:dyDescent="0.25">
      <c r="A673" s="170" t="s">
        <v>2914</v>
      </c>
      <c r="B673" s="170" t="s">
        <v>2915</v>
      </c>
      <c r="C673" s="170" t="s">
        <v>587</v>
      </c>
      <c r="D673" s="170" t="s">
        <v>2067</v>
      </c>
      <c r="E673" s="171" t="s">
        <v>2816</v>
      </c>
      <c r="F673" s="171" t="s">
        <v>2816</v>
      </c>
      <c r="G673" s="82"/>
      <c r="H673" s="96">
        <f t="shared" si="40"/>
        <v>0.33</v>
      </c>
      <c r="I673" s="96">
        <f t="shared" si="40"/>
        <v>0.33</v>
      </c>
      <c r="J673" s="91" t="str">
        <f t="shared" si="41"/>
        <v>Sinapi 5692</v>
      </c>
      <c r="K673" s="91" t="str">
        <f t="shared" si="42"/>
        <v>H</v>
      </c>
      <c r="L673" s="166" t="str">
        <f t="shared" si="43"/>
        <v/>
      </c>
      <c r="M673" s="82"/>
      <c r="N673" s="82"/>
    </row>
    <row r="674" spans="1:14" x14ac:dyDescent="0.25">
      <c r="A674" s="170" t="s">
        <v>2916</v>
      </c>
      <c r="B674" s="170" t="s">
        <v>2917</v>
      </c>
      <c r="C674" s="170" t="s">
        <v>587</v>
      </c>
      <c r="D674" s="170" t="s">
        <v>2710</v>
      </c>
      <c r="E674" s="171" t="s">
        <v>28749</v>
      </c>
      <c r="F674" s="171" t="s">
        <v>28749</v>
      </c>
      <c r="G674" s="82"/>
      <c r="H674" s="96">
        <f t="shared" si="40"/>
        <v>22.8</v>
      </c>
      <c r="I674" s="96">
        <f t="shared" si="40"/>
        <v>22.8</v>
      </c>
      <c r="J674" s="91" t="str">
        <f t="shared" si="41"/>
        <v>Sinapi 5693</v>
      </c>
      <c r="K674" s="91" t="str">
        <f t="shared" si="42"/>
        <v>H</v>
      </c>
      <c r="L674" s="166" t="str">
        <f t="shared" si="43"/>
        <v/>
      </c>
      <c r="M674" s="82"/>
      <c r="N674" s="82"/>
    </row>
    <row r="675" spans="1:14" x14ac:dyDescent="0.25">
      <c r="A675" s="170" t="s">
        <v>2918</v>
      </c>
      <c r="B675" s="170" t="s">
        <v>2919</v>
      </c>
      <c r="C675" s="170" t="s">
        <v>587</v>
      </c>
      <c r="D675" s="170" t="s">
        <v>1947</v>
      </c>
      <c r="E675" s="171" t="s">
        <v>25103</v>
      </c>
      <c r="F675" s="171" t="s">
        <v>25103</v>
      </c>
      <c r="G675" s="82"/>
      <c r="H675" s="96">
        <f t="shared" si="40"/>
        <v>41.07</v>
      </c>
      <c r="I675" s="96">
        <f t="shared" si="40"/>
        <v>41.07</v>
      </c>
      <c r="J675" s="91" t="str">
        <f t="shared" si="41"/>
        <v>Sinapi 5695</v>
      </c>
      <c r="K675" s="91" t="str">
        <f t="shared" si="42"/>
        <v>H</v>
      </c>
      <c r="L675" s="166" t="str">
        <f t="shared" si="43"/>
        <v/>
      </c>
      <c r="M675" s="82"/>
      <c r="N675" s="82"/>
    </row>
    <row r="676" spans="1:14" x14ac:dyDescent="0.25">
      <c r="A676" s="170" t="s">
        <v>2920</v>
      </c>
      <c r="B676" s="170" t="s">
        <v>2921</v>
      </c>
      <c r="C676" s="170" t="s">
        <v>587</v>
      </c>
      <c r="D676" s="170" t="s">
        <v>2067</v>
      </c>
      <c r="E676" s="171" t="s">
        <v>31982</v>
      </c>
      <c r="F676" s="171" t="s">
        <v>31982</v>
      </c>
      <c r="G676" s="82"/>
      <c r="H676" s="96">
        <f t="shared" si="40"/>
        <v>24.75</v>
      </c>
      <c r="I676" s="96">
        <f t="shared" si="40"/>
        <v>24.75</v>
      </c>
      <c r="J676" s="91" t="str">
        <f t="shared" si="41"/>
        <v>Sinapi 5703</v>
      </c>
      <c r="K676" s="91" t="str">
        <f t="shared" si="42"/>
        <v>H</v>
      </c>
      <c r="L676" s="166" t="str">
        <f t="shared" si="43"/>
        <v/>
      </c>
      <c r="M676" s="82"/>
      <c r="N676" s="82"/>
    </row>
    <row r="677" spans="1:14" x14ac:dyDescent="0.25">
      <c r="A677" s="170" t="s">
        <v>2922</v>
      </c>
      <c r="B677" s="170" t="s">
        <v>2923</v>
      </c>
      <c r="C677" s="170" t="s">
        <v>587</v>
      </c>
      <c r="D677" s="170" t="s">
        <v>1947</v>
      </c>
      <c r="E677" s="171" t="s">
        <v>31983</v>
      </c>
      <c r="F677" s="171" t="s">
        <v>31983</v>
      </c>
      <c r="G677" s="82"/>
      <c r="H677" s="96">
        <f t="shared" si="40"/>
        <v>39.869999999999997</v>
      </c>
      <c r="I677" s="96">
        <f t="shared" si="40"/>
        <v>39.869999999999997</v>
      </c>
      <c r="J677" s="91" t="str">
        <f t="shared" si="41"/>
        <v>Sinapi 5705</v>
      </c>
      <c r="K677" s="91" t="str">
        <f t="shared" si="42"/>
        <v>H</v>
      </c>
      <c r="L677" s="166" t="str">
        <f t="shared" si="43"/>
        <v/>
      </c>
      <c r="M677" s="82"/>
      <c r="N677" s="82"/>
    </row>
    <row r="678" spans="1:14" x14ac:dyDescent="0.25">
      <c r="A678" s="170" t="s">
        <v>2924</v>
      </c>
      <c r="B678" s="170" t="s">
        <v>2925</v>
      </c>
      <c r="C678" s="170" t="s">
        <v>587</v>
      </c>
      <c r="D678" s="170" t="s">
        <v>1947</v>
      </c>
      <c r="E678" s="171" t="s">
        <v>28523</v>
      </c>
      <c r="F678" s="171" t="s">
        <v>28523</v>
      </c>
      <c r="G678" s="82"/>
      <c r="H678" s="96">
        <f t="shared" si="40"/>
        <v>59.32</v>
      </c>
      <c r="I678" s="96">
        <f t="shared" si="40"/>
        <v>59.32</v>
      </c>
      <c r="J678" s="91" t="str">
        <f t="shared" si="41"/>
        <v>Sinapi 5707</v>
      </c>
      <c r="K678" s="91" t="str">
        <f t="shared" si="42"/>
        <v>H</v>
      </c>
      <c r="L678" s="166" t="str">
        <f t="shared" si="43"/>
        <v/>
      </c>
      <c r="M678" s="82"/>
      <c r="N678" s="82"/>
    </row>
    <row r="679" spans="1:14" x14ac:dyDescent="0.25">
      <c r="A679" s="170" t="s">
        <v>2926</v>
      </c>
      <c r="B679" s="170" t="s">
        <v>2927</v>
      </c>
      <c r="C679" s="170" t="s">
        <v>587</v>
      </c>
      <c r="D679" s="170" t="s">
        <v>1947</v>
      </c>
      <c r="E679" s="171" t="s">
        <v>31984</v>
      </c>
      <c r="F679" s="171" t="s">
        <v>31984</v>
      </c>
      <c r="G679" s="82"/>
      <c r="H679" s="96">
        <f t="shared" si="40"/>
        <v>152.03</v>
      </c>
      <c r="I679" s="96">
        <f t="shared" si="40"/>
        <v>152.03</v>
      </c>
      <c r="J679" s="91" t="str">
        <f t="shared" si="41"/>
        <v>Sinapi 5710</v>
      </c>
      <c r="K679" s="91" t="str">
        <f t="shared" si="42"/>
        <v>H</v>
      </c>
      <c r="L679" s="166" t="str">
        <f t="shared" si="43"/>
        <v/>
      </c>
      <c r="M679" s="82"/>
      <c r="N679" s="82"/>
    </row>
    <row r="680" spans="1:14" x14ac:dyDescent="0.25">
      <c r="A680" s="170" t="s">
        <v>2928</v>
      </c>
      <c r="B680" s="170" t="s">
        <v>2929</v>
      </c>
      <c r="C680" s="170" t="s">
        <v>587</v>
      </c>
      <c r="D680" s="170" t="s">
        <v>2710</v>
      </c>
      <c r="E680" s="171" t="s">
        <v>31985</v>
      </c>
      <c r="F680" s="171" t="s">
        <v>31985</v>
      </c>
      <c r="G680" s="82"/>
      <c r="H680" s="96">
        <f t="shared" si="40"/>
        <v>98.95</v>
      </c>
      <c r="I680" s="96">
        <f t="shared" si="40"/>
        <v>98.95</v>
      </c>
      <c r="J680" s="91" t="str">
        <f t="shared" si="41"/>
        <v>Sinapi 5711</v>
      </c>
      <c r="K680" s="91" t="str">
        <f t="shared" si="42"/>
        <v>H</v>
      </c>
      <c r="L680" s="166" t="str">
        <f t="shared" si="43"/>
        <v/>
      </c>
      <c r="M680" s="82"/>
      <c r="N680" s="82"/>
    </row>
    <row r="681" spans="1:14" x14ac:dyDescent="0.25">
      <c r="A681" s="170" t="s">
        <v>2930</v>
      </c>
      <c r="B681" s="170" t="s">
        <v>2931</v>
      </c>
      <c r="C681" s="170" t="s">
        <v>587</v>
      </c>
      <c r="D681" s="170" t="s">
        <v>1947</v>
      </c>
      <c r="E681" s="171" t="s">
        <v>21197</v>
      </c>
      <c r="F681" s="171" t="s">
        <v>21197</v>
      </c>
      <c r="G681" s="82"/>
      <c r="H681" s="96">
        <f t="shared" si="40"/>
        <v>15.23</v>
      </c>
      <c r="I681" s="96">
        <f t="shared" si="40"/>
        <v>15.23</v>
      </c>
      <c r="J681" s="91" t="str">
        <f t="shared" si="41"/>
        <v>Sinapi 5714</v>
      </c>
      <c r="K681" s="91" t="str">
        <f t="shared" si="42"/>
        <v>H</v>
      </c>
      <c r="L681" s="166" t="str">
        <f t="shared" si="43"/>
        <v/>
      </c>
      <c r="M681" s="82"/>
      <c r="N681" s="82"/>
    </row>
    <row r="682" spans="1:14" x14ac:dyDescent="0.25">
      <c r="A682" s="170" t="s">
        <v>2932</v>
      </c>
      <c r="B682" s="170" t="s">
        <v>2933</v>
      </c>
      <c r="C682" s="170" t="s">
        <v>587</v>
      </c>
      <c r="D682" s="170" t="s">
        <v>2710</v>
      </c>
      <c r="E682" s="171" t="s">
        <v>31986</v>
      </c>
      <c r="F682" s="171" t="s">
        <v>31986</v>
      </c>
      <c r="G682" s="82"/>
      <c r="H682" s="96">
        <f t="shared" si="40"/>
        <v>74.87</v>
      </c>
      <c r="I682" s="96">
        <f t="shared" si="40"/>
        <v>74.87</v>
      </c>
      <c r="J682" s="91" t="str">
        <f t="shared" si="41"/>
        <v>Sinapi 5715</v>
      </c>
      <c r="K682" s="91" t="str">
        <f t="shared" si="42"/>
        <v>H</v>
      </c>
      <c r="L682" s="166" t="str">
        <f t="shared" si="43"/>
        <v/>
      </c>
      <c r="M682" s="82"/>
      <c r="N682" s="82"/>
    </row>
    <row r="683" spans="1:14" x14ac:dyDescent="0.25">
      <c r="A683" s="170" t="s">
        <v>2934</v>
      </c>
      <c r="B683" s="170" t="s">
        <v>2935</v>
      </c>
      <c r="C683" s="170" t="s">
        <v>587</v>
      </c>
      <c r="D683" s="170" t="s">
        <v>2710</v>
      </c>
      <c r="E683" s="171" t="s">
        <v>31987</v>
      </c>
      <c r="F683" s="171" t="s">
        <v>31987</v>
      </c>
      <c r="G683" s="82"/>
      <c r="H683" s="96">
        <f t="shared" si="40"/>
        <v>118.1</v>
      </c>
      <c r="I683" s="96">
        <f t="shared" si="40"/>
        <v>118.1</v>
      </c>
      <c r="J683" s="91" t="str">
        <f t="shared" si="41"/>
        <v>Sinapi 5718</v>
      </c>
      <c r="K683" s="91" t="str">
        <f t="shared" si="42"/>
        <v>H</v>
      </c>
      <c r="L683" s="166" t="str">
        <f t="shared" si="43"/>
        <v/>
      </c>
      <c r="M683" s="82"/>
      <c r="N683" s="82"/>
    </row>
    <row r="684" spans="1:14" x14ac:dyDescent="0.25">
      <c r="A684" s="170" t="s">
        <v>2936</v>
      </c>
      <c r="B684" s="170" t="s">
        <v>2937</v>
      </c>
      <c r="C684" s="170" t="s">
        <v>587</v>
      </c>
      <c r="D684" s="170" t="s">
        <v>2710</v>
      </c>
      <c r="E684" s="171" t="s">
        <v>31988</v>
      </c>
      <c r="F684" s="171" t="s">
        <v>31988</v>
      </c>
      <c r="G684" s="82"/>
      <c r="H684" s="96">
        <f t="shared" si="40"/>
        <v>104.2</v>
      </c>
      <c r="I684" s="96">
        <f t="shared" si="40"/>
        <v>104.2</v>
      </c>
      <c r="J684" s="91" t="str">
        <f t="shared" si="41"/>
        <v>Sinapi 5721</v>
      </c>
      <c r="K684" s="91" t="str">
        <f t="shared" si="42"/>
        <v>H</v>
      </c>
      <c r="L684" s="166" t="str">
        <f t="shared" si="43"/>
        <v/>
      </c>
      <c r="M684" s="82"/>
      <c r="N684" s="82"/>
    </row>
    <row r="685" spans="1:14" x14ac:dyDescent="0.25">
      <c r="A685" s="170" t="s">
        <v>2938</v>
      </c>
      <c r="B685" s="170" t="s">
        <v>2939</v>
      </c>
      <c r="C685" s="170" t="s">
        <v>587</v>
      </c>
      <c r="D685" s="170" t="s">
        <v>2710</v>
      </c>
      <c r="E685" s="171" t="s">
        <v>31989</v>
      </c>
      <c r="F685" s="171" t="s">
        <v>31989</v>
      </c>
      <c r="G685" s="82"/>
      <c r="H685" s="96">
        <f t="shared" si="40"/>
        <v>240.99</v>
      </c>
      <c r="I685" s="96">
        <f t="shared" si="40"/>
        <v>240.99</v>
      </c>
      <c r="J685" s="91" t="str">
        <f t="shared" si="41"/>
        <v>Sinapi 5722</v>
      </c>
      <c r="K685" s="91" t="str">
        <f t="shared" si="42"/>
        <v>H</v>
      </c>
      <c r="L685" s="166" t="str">
        <f t="shared" si="43"/>
        <v/>
      </c>
      <c r="M685" s="82"/>
      <c r="N685" s="82"/>
    </row>
    <row r="686" spans="1:14" x14ac:dyDescent="0.25">
      <c r="A686" s="170" t="s">
        <v>2940</v>
      </c>
      <c r="B686" s="170" t="s">
        <v>2941</v>
      </c>
      <c r="C686" s="170" t="s">
        <v>587</v>
      </c>
      <c r="D686" s="170" t="s">
        <v>1947</v>
      </c>
      <c r="E686" s="171" t="s">
        <v>28528</v>
      </c>
      <c r="F686" s="171" t="s">
        <v>28528</v>
      </c>
      <c r="G686" s="82"/>
      <c r="H686" s="96">
        <f t="shared" si="40"/>
        <v>53.18</v>
      </c>
      <c r="I686" s="96">
        <f t="shared" si="40"/>
        <v>53.18</v>
      </c>
      <c r="J686" s="91" t="str">
        <f t="shared" si="41"/>
        <v>Sinapi 5724</v>
      </c>
      <c r="K686" s="91" t="str">
        <f t="shared" si="42"/>
        <v>H</v>
      </c>
      <c r="L686" s="166" t="str">
        <f t="shared" si="43"/>
        <v/>
      </c>
      <c r="M686" s="82"/>
      <c r="N686" s="82"/>
    </row>
    <row r="687" spans="1:14" x14ac:dyDescent="0.25">
      <c r="A687" s="170" t="s">
        <v>2942</v>
      </c>
      <c r="B687" s="170" t="s">
        <v>2943</v>
      </c>
      <c r="C687" s="170" t="s">
        <v>587</v>
      </c>
      <c r="D687" s="170" t="s">
        <v>1947</v>
      </c>
      <c r="E687" s="171" t="s">
        <v>13601</v>
      </c>
      <c r="F687" s="171" t="s">
        <v>13601</v>
      </c>
      <c r="G687" s="82"/>
      <c r="H687" s="96">
        <f t="shared" si="40"/>
        <v>11.88</v>
      </c>
      <c r="I687" s="96">
        <f t="shared" si="40"/>
        <v>11.88</v>
      </c>
      <c r="J687" s="91" t="str">
        <f t="shared" si="41"/>
        <v>Sinapi 5727</v>
      </c>
      <c r="K687" s="91" t="str">
        <f t="shared" si="42"/>
        <v>H</v>
      </c>
      <c r="L687" s="166" t="str">
        <f t="shared" si="43"/>
        <v/>
      </c>
      <c r="M687" s="82"/>
      <c r="N687" s="82"/>
    </row>
    <row r="688" spans="1:14" x14ac:dyDescent="0.25">
      <c r="A688" s="170" t="s">
        <v>2944</v>
      </c>
      <c r="B688" s="170" t="s">
        <v>2945</v>
      </c>
      <c r="C688" s="170" t="s">
        <v>587</v>
      </c>
      <c r="D688" s="170" t="s">
        <v>1947</v>
      </c>
      <c r="E688" s="171" t="s">
        <v>23304</v>
      </c>
      <c r="F688" s="171" t="s">
        <v>23304</v>
      </c>
      <c r="G688" s="82"/>
      <c r="H688" s="96">
        <f t="shared" si="40"/>
        <v>48.33</v>
      </c>
      <c r="I688" s="96">
        <f t="shared" si="40"/>
        <v>48.33</v>
      </c>
      <c r="J688" s="91" t="str">
        <f t="shared" si="41"/>
        <v>Sinapi 5729</v>
      </c>
      <c r="K688" s="91" t="str">
        <f t="shared" si="42"/>
        <v>H</v>
      </c>
      <c r="L688" s="166" t="str">
        <f t="shared" si="43"/>
        <v/>
      </c>
      <c r="M688" s="82"/>
      <c r="N688" s="82"/>
    </row>
    <row r="689" spans="1:14" x14ac:dyDescent="0.25">
      <c r="A689" s="170" t="s">
        <v>2946</v>
      </c>
      <c r="B689" s="170" t="s">
        <v>2947</v>
      </c>
      <c r="C689" s="170" t="s">
        <v>587</v>
      </c>
      <c r="D689" s="170" t="s">
        <v>2710</v>
      </c>
      <c r="E689" s="171" t="s">
        <v>29083</v>
      </c>
      <c r="F689" s="171" t="s">
        <v>29083</v>
      </c>
      <c r="G689" s="82"/>
      <c r="H689" s="96">
        <f t="shared" si="40"/>
        <v>45.41</v>
      </c>
      <c r="I689" s="96">
        <f t="shared" si="40"/>
        <v>45.41</v>
      </c>
      <c r="J689" s="91" t="str">
        <f t="shared" si="41"/>
        <v>Sinapi 5730</v>
      </c>
      <c r="K689" s="91" t="str">
        <f t="shared" si="42"/>
        <v>H</v>
      </c>
      <c r="L689" s="166" t="str">
        <f t="shared" si="43"/>
        <v/>
      </c>
      <c r="M689" s="82"/>
      <c r="N689" s="82"/>
    </row>
    <row r="690" spans="1:14" x14ac:dyDescent="0.25">
      <c r="A690" s="170" t="s">
        <v>2948</v>
      </c>
      <c r="B690" s="170" t="s">
        <v>2949</v>
      </c>
      <c r="C690" s="170" t="s">
        <v>587</v>
      </c>
      <c r="D690" s="170" t="s">
        <v>1947</v>
      </c>
      <c r="E690" s="171" t="s">
        <v>17951</v>
      </c>
      <c r="F690" s="171" t="s">
        <v>17951</v>
      </c>
      <c r="G690" s="82"/>
      <c r="H690" s="96">
        <f t="shared" si="40"/>
        <v>28</v>
      </c>
      <c r="I690" s="96">
        <f t="shared" si="40"/>
        <v>28</v>
      </c>
      <c r="J690" s="91" t="str">
        <f t="shared" si="41"/>
        <v>Sinapi 5735</v>
      </c>
      <c r="K690" s="91" t="str">
        <f t="shared" si="42"/>
        <v>H</v>
      </c>
      <c r="L690" s="166" t="str">
        <f t="shared" si="43"/>
        <v/>
      </c>
      <c r="M690" s="82"/>
      <c r="N690" s="82"/>
    </row>
    <row r="691" spans="1:14" x14ac:dyDescent="0.25">
      <c r="A691" s="170" t="s">
        <v>2950</v>
      </c>
      <c r="B691" s="170" t="s">
        <v>2951</v>
      </c>
      <c r="C691" s="170" t="s">
        <v>587</v>
      </c>
      <c r="D691" s="170" t="s">
        <v>2710</v>
      </c>
      <c r="E691" s="171" t="s">
        <v>31990</v>
      </c>
      <c r="F691" s="171" t="s">
        <v>31990</v>
      </c>
      <c r="G691" s="82"/>
      <c r="H691" s="96">
        <f t="shared" si="40"/>
        <v>46.41</v>
      </c>
      <c r="I691" s="96">
        <f t="shared" si="40"/>
        <v>46.41</v>
      </c>
      <c r="J691" s="91" t="str">
        <f t="shared" si="41"/>
        <v>Sinapi 5736</v>
      </c>
      <c r="K691" s="91" t="str">
        <f t="shared" si="42"/>
        <v>H</v>
      </c>
      <c r="L691" s="166" t="str">
        <f t="shared" si="43"/>
        <v/>
      </c>
      <c r="M691" s="82"/>
      <c r="N691" s="82"/>
    </row>
    <row r="692" spans="1:14" x14ac:dyDescent="0.25">
      <c r="A692" s="170" t="s">
        <v>2952</v>
      </c>
      <c r="B692" s="170" t="s">
        <v>2953</v>
      </c>
      <c r="C692" s="170" t="s">
        <v>587</v>
      </c>
      <c r="D692" s="170" t="s">
        <v>1947</v>
      </c>
      <c r="E692" s="171" t="s">
        <v>28529</v>
      </c>
      <c r="F692" s="171" t="s">
        <v>28529</v>
      </c>
      <c r="G692" s="82"/>
      <c r="H692" s="96">
        <f t="shared" si="40"/>
        <v>42.97</v>
      </c>
      <c r="I692" s="96">
        <f t="shared" si="40"/>
        <v>42.97</v>
      </c>
      <c r="J692" s="91" t="str">
        <f t="shared" si="41"/>
        <v>Sinapi 5738</v>
      </c>
      <c r="K692" s="91" t="str">
        <f t="shared" si="42"/>
        <v>H</v>
      </c>
      <c r="L692" s="166" t="str">
        <f t="shared" si="43"/>
        <v/>
      </c>
      <c r="M692" s="82"/>
      <c r="N692" s="82"/>
    </row>
    <row r="693" spans="1:14" x14ac:dyDescent="0.25">
      <c r="A693" s="170" t="s">
        <v>2954</v>
      </c>
      <c r="B693" s="170" t="s">
        <v>2955</v>
      </c>
      <c r="C693" s="170" t="s">
        <v>587</v>
      </c>
      <c r="D693" s="170" t="s">
        <v>1947</v>
      </c>
      <c r="E693" s="171" t="s">
        <v>28530</v>
      </c>
      <c r="F693" s="171" t="s">
        <v>28530</v>
      </c>
      <c r="G693" s="82"/>
      <c r="H693" s="96">
        <f t="shared" si="40"/>
        <v>53.78</v>
      </c>
      <c r="I693" s="96">
        <f t="shared" si="40"/>
        <v>53.78</v>
      </c>
      <c r="J693" s="91" t="str">
        <f t="shared" si="41"/>
        <v>Sinapi 5739</v>
      </c>
      <c r="K693" s="91" t="str">
        <f t="shared" si="42"/>
        <v>H</v>
      </c>
      <c r="L693" s="166" t="str">
        <f t="shared" si="43"/>
        <v/>
      </c>
      <c r="M693" s="82"/>
      <c r="N693" s="82"/>
    </row>
    <row r="694" spans="1:14" x14ac:dyDescent="0.25">
      <c r="A694" s="170" t="s">
        <v>2956</v>
      </c>
      <c r="B694" s="170" t="s">
        <v>2957</v>
      </c>
      <c r="C694" s="170" t="s">
        <v>587</v>
      </c>
      <c r="D694" s="170" t="s">
        <v>1947</v>
      </c>
      <c r="E694" s="171" t="s">
        <v>21665</v>
      </c>
      <c r="F694" s="171" t="s">
        <v>21665</v>
      </c>
      <c r="G694" s="82"/>
      <c r="H694" s="96">
        <f t="shared" si="40"/>
        <v>42.78</v>
      </c>
      <c r="I694" s="96">
        <f t="shared" si="40"/>
        <v>42.78</v>
      </c>
      <c r="J694" s="91" t="str">
        <f t="shared" si="41"/>
        <v>Sinapi 5741</v>
      </c>
      <c r="K694" s="91" t="str">
        <f t="shared" si="42"/>
        <v>H</v>
      </c>
      <c r="L694" s="166" t="str">
        <f t="shared" si="43"/>
        <v/>
      </c>
      <c r="M694" s="82"/>
      <c r="N694" s="82"/>
    </row>
    <row r="695" spans="1:14" x14ac:dyDescent="0.25">
      <c r="A695" s="170" t="s">
        <v>2958</v>
      </c>
      <c r="B695" s="170" t="s">
        <v>2959</v>
      </c>
      <c r="C695" s="170" t="s">
        <v>587</v>
      </c>
      <c r="D695" s="170" t="s">
        <v>2710</v>
      </c>
      <c r="E695" s="171" t="s">
        <v>21383</v>
      </c>
      <c r="F695" s="171" t="s">
        <v>21383</v>
      </c>
      <c r="G695" s="82"/>
      <c r="H695" s="96">
        <f t="shared" si="40"/>
        <v>30.65</v>
      </c>
      <c r="I695" s="96">
        <f t="shared" si="40"/>
        <v>30.65</v>
      </c>
      <c r="J695" s="91" t="str">
        <f t="shared" si="41"/>
        <v>Sinapi 5742</v>
      </c>
      <c r="K695" s="91" t="str">
        <f t="shared" si="42"/>
        <v>H</v>
      </c>
      <c r="L695" s="166" t="str">
        <f t="shared" si="43"/>
        <v/>
      </c>
      <c r="M695" s="82"/>
      <c r="N695" s="82"/>
    </row>
    <row r="696" spans="1:14" x14ac:dyDescent="0.25">
      <c r="A696" s="170" t="s">
        <v>2960</v>
      </c>
      <c r="B696" s="170" t="s">
        <v>2961</v>
      </c>
      <c r="C696" s="170" t="s">
        <v>587</v>
      </c>
      <c r="D696" s="170" t="s">
        <v>2710</v>
      </c>
      <c r="E696" s="171" t="s">
        <v>31991</v>
      </c>
      <c r="F696" s="171" t="s">
        <v>31991</v>
      </c>
      <c r="G696" s="82"/>
      <c r="H696" s="96">
        <f t="shared" si="40"/>
        <v>175.75</v>
      </c>
      <c r="I696" s="96">
        <f t="shared" si="40"/>
        <v>175.75</v>
      </c>
      <c r="J696" s="91" t="str">
        <f t="shared" si="41"/>
        <v>Sinapi 5747</v>
      </c>
      <c r="K696" s="91" t="str">
        <f t="shared" si="42"/>
        <v>H</v>
      </c>
      <c r="L696" s="166" t="str">
        <f t="shared" si="43"/>
        <v/>
      </c>
      <c r="M696" s="82"/>
      <c r="N696" s="82"/>
    </row>
    <row r="697" spans="1:14" x14ac:dyDescent="0.25">
      <c r="A697" s="170" t="s">
        <v>2962</v>
      </c>
      <c r="B697" s="170" t="s">
        <v>2963</v>
      </c>
      <c r="C697" s="170" t="s">
        <v>587</v>
      </c>
      <c r="D697" s="170" t="s">
        <v>1947</v>
      </c>
      <c r="E697" s="171" t="s">
        <v>21119</v>
      </c>
      <c r="F697" s="171" t="s">
        <v>21119</v>
      </c>
      <c r="G697" s="82"/>
      <c r="H697" s="96">
        <f t="shared" si="40"/>
        <v>34.47</v>
      </c>
      <c r="I697" s="96">
        <f t="shared" si="40"/>
        <v>34.47</v>
      </c>
      <c r="J697" s="91" t="str">
        <f t="shared" si="41"/>
        <v>Sinapi 5751</v>
      </c>
      <c r="K697" s="91" t="str">
        <f t="shared" si="42"/>
        <v>H</v>
      </c>
      <c r="L697" s="166" t="str">
        <f t="shared" si="43"/>
        <v/>
      </c>
      <c r="M697" s="82"/>
      <c r="N697" s="82"/>
    </row>
    <row r="698" spans="1:14" x14ac:dyDescent="0.25">
      <c r="A698" s="170" t="s">
        <v>2964</v>
      </c>
      <c r="B698" s="170" t="s">
        <v>2965</v>
      </c>
      <c r="C698" s="170" t="s">
        <v>587</v>
      </c>
      <c r="D698" s="170" t="s">
        <v>1947</v>
      </c>
      <c r="E698" s="171" t="s">
        <v>21120</v>
      </c>
      <c r="F698" s="171" t="s">
        <v>21120</v>
      </c>
      <c r="G698" s="82"/>
      <c r="H698" s="96">
        <f t="shared" si="40"/>
        <v>37.85</v>
      </c>
      <c r="I698" s="96">
        <f t="shared" si="40"/>
        <v>37.85</v>
      </c>
      <c r="J698" s="91" t="str">
        <f t="shared" si="41"/>
        <v>Sinapi 5754</v>
      </c>
      <c r="K698" s="91" t="str">
        <f t="shared" si="42"/>
        <v>H</v>
      </c>
      <c r="L698" s="166" t="str">
        <f t="shared" si="43"/>
        <v/>
      </c>
      <c r="M698" s="82"/>
      <c r="N698" s="82"/>
    </row>
    <row r="699" spans="1:14" x14ac:dyDescent="0.25">
      <c r="A699" s="170" t="s">
        <v>2966</v>
      </c>
      <c r="B699" s="170" t="s">
        <v>2967</v>
      </c>
      <c r="C699" s="170" t="s">
        <v>587</v>
      </c>
      <c r="D699" s="170" t="s">
        <v>1947</v>
      </c>
      <c r="E699" s="171" t="s">
        <v>21854</v>
      </c>
      <c r="F699" s="171" t="s">
        <v>21854</v>
      </c>
      <c r="G699" s="82"/>
      <c r="H699" s="96">
        <f t="shared" si="40"/>
        <v>53.44</v>
      </c>
      <c r="I699" s="96">
        <f t="shared" si="40"/>
        <v>53.44</v>
      </c>
      <c r="J699" s="91" t="str">
        <f t="shared" si="41"/>
        <v>Sinapi 5763</v>
      </c>
      <c r="K699" s="91" t="str">
        <f t="shared" si="42"/>
        <v>H</v>
      </c>
      <c r="L699" s="166" t="str">
        <f t="shared" si="43"/>
        <v/>
      </c>
      <c r="M699" s="82"/>
      <c r="N699" s="82"/>
    </row>
    <row r="700" spans="1:14" x14ac:dyDescent="0.25">
      <c r="A700" s="170" t="s">
        <v>2968</v>
      </c>
      <c r="B700" s="170" t="s">
        <v>2969</v>
      </c>
      <c r="C700" s="170" t="s">
        <v>587</v>
      </c>
      <c r="D700" s="170" t="s">
        <v>1947</v>
      </c>
      <c r="E700" s="171" t="s">
        <v>15656</v>
      </c>
      <c r="F700" s="171" t="s">
        <v>15656</v>
      </c>
      <c r="G700" s="82"/>
      <c r="H700" s="96">
        <f t="shared" si="40"/>
        <v>4.6399999999999997</v>
      </c>
      <c r="I700" s="96">
        <f t="shared" si="40"/>
        <v>4.6399999999999997</v>
      </c>
      <c r="J700" s="91" t="str">
        <f t="shared" si="41"/>
        <v>Sinapi 5765</v>
      </c>
      <c r="K700" s="91" t="str">
        <f t="shared" si="42"/>
        <v>H</v>
      </c>
      <c r="L700" s="166" t="str">
        <f t="shared" si="43"/>
        <v/>
      </c>
      <c r="M700" s="82"/>
      <c r="N700" s="82"/>
    </row>
    <row r="701" spans="1:14" x14ac:dyDescent="0.25">
      <c r="A701" s="170" t="s">
        <v>2971</v>
      </c>
      <c r="B701" s="170" t="s">
        <v>2972</v>
      </c>
      <c r="C701" s="170" t="s">
        <v>587</v>
      </c>
      <c r="D701" s="170" t="s">
        <v>2710</v>
      </c>
      <c r="E701" s="171" t="s">
        <v>19821</v>
      </c>
      <c r="F701" s="171" t="s">
        <v>19821</v>
      </c>
      <c r="G701" s="82"/>
      <c r="H701" s="96">
        <f t="shared" si="40"/>
        <v>3.18</v>
      </c>
      <c r="I701" s="96">
        <f t="shared" si="40"/>
        <v>3.18</v>
      </c>
      <c r="J701" s="91" t="str">
        <f t="shared" si="41"/>
        <v>Sinapi 5766</v>
      </c>
      <c r="K701" s="91" t="str">
        <f t="shared" si="42"/>
        <v>H</v>
      </c>
      <c r="L701" s="166" t="str">
        <f t="shared" si="43"/>
        <v/>
      </c>
      <c r="M701" s="82"/>
      <c r="N701" s="82"/>
    </row>
    <row r="702" spans="1:14" x14ac:dyDescent="0.25">
      <c r="A702" s="170" t="s">
        <v>2973</v>
      </c>
      <c r="B702" s="170" t="s">
        <v>2974</v>
      </c>
      <c r="C702" s="170" t="s">
        <v>587</v>
      </c>
      <c r="D702" s="170" t="s">
        <v>1947</v>
      </c>
      <c r="E702" s="171" t="s">
        <v>22863</v>
      </c>
      <c r="F702" s="171" t="s">
        <v>22863</v>
      </c>
      <c r="G702" s="82"/>
      <c r="H702" s="96">
        <f t="shared" si="40"/>
        <v>71.37</v>
      </c>
      <c r="I702" s="96">
        <f t="shared" si="40"/>
        <v>71.37</v>
      </c>
      <c r="J702" s="91" t="str">
        <f t="shared" si="41"/>
        <v>Sinapi 5779</v>
      </c>
      <c r="K702" s="91" t="str">
        <f t="shared" si="42"/>
        <v>H</v>
      </c>
      <c r="L702" s="166" t="str">
        <f t="shared" si="43"/>
        <v/>
      </c>
      <c r="M702" s="82"/>
      <c r="N702" s="82"/>
    </row>
    <row r="703" spans="1:14" x14ac:dyDescent="0.25">
      <c r="A703" s="170" t="s">
        <v>2975</v>
      </c>
      <c r="B703" s="170" t="s">
        <v>2976</v>
      </c>
      <c r="C703" s="170" t="s">
        <v>587</v>
      </c>
      <c r="D703" s="170" t="s">
        <v>2710</v>
      </c>
      <c r="E703" s="171" t="s">
        <v>31992</v>
      </c>
      <c r="F703" s="171" t="s">
        <v>31992</v>
      </c>
      <c r="G703" s="82"/>
      <c r="H703" s="96">
        <f t="shared" si="40"/>
        <v>78.2</v>
      </c>
      <c r="I703" s="96">
        <f t="shared" si="40"/>
        <v>78.2</v>
      </c>
      <c r="J703" s="91" t="str">
        <f t="shared" si="41"/>
        <v>Sinapi 5787</v>
      </c>
      <c r="K703" s="91" t="str">
        <f t="shared" si="42"/>
        <v>H</v>
      </c>
      <c r="L703" s="166" t="str">
        <f t="shared" si="43"/>
        <v/>
      </c>
      <c r="M703" s="82"/>
      <c r="N703" s="82"/>
    </row>
    <row r="704" spans="1:14" x14ac:dyDescent="0.25">
      <c r="A704" s="170" t="s">
        <v>2977</v>
      </c>
      <c r="B704" s="170" t="s">
        <v>2978</v>
      </c>
      <c r="C704" s="170" t="s">
        <v>587</v>
      </c>
      <c r="D704" s="170" t="s">
        <v>1947</v>
      </c>
      <c r="E704" s="171" t="s">
        <v>6080</v>
      </c>
      <c r="F704" s="171" t="s">
        <v>6080</v>
      </c>
      <c r="G704" s="82"/>
      <c r="H704" s="96">
        <f t="shared" si="40"/>
        <v>6.22</v>
      </c>
      <c r="I704" s="96">
        <f t="shared" si="40"/>
        <v>6.22</v>
      </c>
      <c r="J704" s="91" t="str">
        <f t="shared" si="41"/>
        <v>Sinapi 5797</v>
      </c>
      <c r="K704" s="91" t="str">
        <f t="shared" si="42"/>
        <v>H</v>
      </c>
      <c r="L704" s="166" t="str">
        <f t="shared" si="43"/>
        <v/>
      </c>
      <c r="M704" s="82"/>
      <c r="N704" s="82"/>
    </row>
    <row r="705" spans="1:14" x14ac:dyDescent="0.25">
      <c r="A705" s="170" t="s">
        <v>2979</v>
      </c>
      <c r="B705" s="170" t="s">
        <v>2980</v>
      </c>
      <c r="C705" s="170" t="s">
        <v>587</v>
      </c>
      <c r="D705" s="170" t="s">
        <v>1947</v>
      </c>
      <c r="E705" s="171" t="s">
        <v>8449</v>
      </c>
      <c r="F705" s="171" t="s">
        <v>8449</v>
      </c>
      <c r="G705" s="82"/>
      <c r="H705" s="96">
        <f t="shared" si="40"/>
        <v>0.34</v>
      </c>
      <c r="I705" s="96">
        <f t="shared" si="40"/>
        <v>0.34</v>
      </c>
      <c r="J705" s="91" t="str">
        <f t="shared" si="41"/>
        <v>Sinapi 5800</v>
      </c>
      <c r="K705" s="91" t="str">
        <f t="shared" si="42"/>
        <v>H</v>
      </c>
      <c r="L705" s="166" t="str">
        <f t="shared" si="43"/>
        <v/>
      </c>
      <c r="M705" s="82"/>
      <c r="N705" s="82"/>
    </row>
    <row r="706" spans="1:14" x14ac:dyDescent="0.25">
      <c r="A706" s="170" t="s">
        <v>2982</v>
      </c>
      <c r="B706" s="170" t="s">
        <v>21666</v>
      </c>
      <c r="C706" s="170" t="s">
        <v>587</v>
      </c>
      <c r="D706" s="170" t="s">
        <v>1947</v>
      </c>
      <c r="E706" s="171" t="s">
        <v>11278</v>
      </c>
      <c r="F706" s="171" t="s">
        <v>11278</v>
      </c>
      <c r="G706" s="82"/>
      <c r="H706" s="96">
        <f t="shared" si="40"/>
        <v>4.28</v>
      </c>
      <c r="I706" s="96">
        <f t="shared" si="40"/>
        <v>4.28</v>
      </c>
      <c r="J706" s="91" t="str">
        <f t="shared" si="41"/>
        <v>Sinapi 7032</v>
      </c>
      <c r="K706" s="91" t="str">
        <f t="shared" si="42"/>
        <v>H</v>
      </c>
      <c r="L706" s="166" t="str">
        <f t="shared" si="43"/>
        <v/>
      </c>
      <c r="M706" s="82"/>
      <c r="N706" s="82"/>
    </row>
    <row r="707" spans="1:14" x14ac:dyDescent="0.25">
      <c r="A707" s="170" t="s">
        <v>2983</v>
      </c>
      <c r="B707" s="170" t="s">
        <v>21667</v>
      </c>
      <c r="C707" s="170" t="s">
        <v>587</v>
      </c>
      <c r="D707" s="170" t="s">
        <v>1947</v>
      </c>
      <c r="E707" s="171" t="s">
        <v>10244</v>
      </c>
      <c r="F707" s="171" t="s">
        <v>10244</v>
      </c>
      <c r="G707" s="82"/>
      <c r="H707" s="96">
        <f t="shared" si="40"/>
        <v>1.58</v>
      </c>
      <c r="I707" s="96">
        <f t="shared" si="40"/>
        <v>1.58</v>
      </c>
      <c r="J707" s="91" t="str">
        <f t="shared" si="41"/>
        <v>Sinapi 7033</v>
      </c>
      <c r="K707" s="91" t="str">
        <f t="shared" si="42"/>
        <v>H</v>
      </c>
      <c r="L707" s="166" t="str">
        <f t="shared" si="43"/>
        <v/>
      </c>
      <c r="M707" s="82"/>
      <c r="N707" s="82"/>
    </row>
    <row r="708" spans="1:14" x14ac:dyDescent="0.25">
      <c r="A708" s="170" t="s">
        <v>2984</v>
      </c>
      <c r="B708" s="170" t="s">
        <v>21668</v>
      </c>
      <c r="C708" s="170" t="s">
        <v>587</v>
      </c>
      <c r="D708" s="170" t="s">
        <v>1947</v>
      </c>
      <c r="E708" s="171" t="s">
        <v>21868</v>
      </c>
      <c r="F708" s="171" t="s">
        <v>21868</v>
      </c>
      <c r="G708" s="82"/>
      <c r="H708" s="96">
        <f t="shared" si="40"/>
        <v>5.71</v>
      </c>
      <c r="I708" s="96">
        <f t="shared" si="40"/>
        <v>5.71</v>
      </c>
      <c r="J708" s="91" t="str">
        <f t="shared" si="41"/>
        <v>Sinapi 7034</v>
      </c>
      <c r="K708" s="91" t="str">
        <f t="shared" si="42"/>
        <v>H</v>
      </c>
      <c r="L708" s="166" t="str">
        <f t="shared" si="43"/>
        <v/>
      </c>
      <c r="M708" s="82"/>
      <c r="N708" s="82"/>
    </row>
    <row r="709" spans="1:14" x14ac:dyDescent="0.25">
      <c r="A709" s="170" t="s">
        <v>2985</v>
      </c>
      <c r="B709" s="170" t="s">
        <v>21669</v>
      </c>
      <c r="C709" s="170" t="s">
        <v>587</v>
      </c>
      <c r="D709" s="170" t="s">
        <v>2710</v>
      </c>
      <c r="E709" s="171" t="s">
        <v>31993</v>
      </c>
      <c r="F709" s="171" t="s">
        <v>31993</v>
      </c>
      <c r="G709" s="82"/>
      <c r="H709" s="96">
        <f t="shared" si="40"/>
        <v>285.02999999999997</v>
      </c>
      <c r="I709" s="96">
        <f t="shared" si="40"/>
        <v>285.02999999999997</v>
      </c>
      <c r="J709" s="91" t="str">
        <f t="shared" si="41"/>
        <v>Sinapi 7035</v>
      </c>
      <c r="K709" s="91" t="str">
        <f t="shared" si="42"/>
        <v>H</v>
      </c>
      <c r="L709" s="166" t="str">
        <f t="shared" si="43"/>
        <v/>
      </c>
      <c r="M709" s="82"/>
      <c r="N709" s="82"/>
    </row>
    <row r="710" spans="1:14" x14ac:dyDescent="0.25">
      <c r="A710" s="170" t="s">
        <v>2986</v>
      </c>
      <c r="B710" s="170" t="s">
        <v>2987</v>
      </c>
      <c r="C710" s="170" t="s">
        <v>587</v>
      </c>
      <c r="D710" s="170" t="s">
        <v>1947</v>
      </c>
      <c r="E710" s="171" t="s">
        <v>28532</v>
      </c>
      <c r="F710" s="171" t="s">
        <v>28532</v>
      </c>
      <c r="G710" s="82"/>
      <c r="H710" s="96">
        <f t="shared" si="40"/>
        <v>49.15</v>
      </c>
      <c r="I710" s="96">
        <f t="shared" si="40"/>
        <v>49.15</v>
      </c>
      <c r="J710" s="91" t="str">
        <f t="shared" si="41"/>
        <v>Sinapi 7038</v>
      </c>
      <c r="K710" s="91" t="str">
        <f t="shared" si="42"/>
        <v>H</v>
      </c>
      <c r="L710" s="166" t="str">
        <f t="shared" si="43"/>
        <v/>
      </c>
      <c r="M710" s="82"/>
      <c r="N710" s="82"/>
    </row>
    <row r="711" spans="1:14" x14ac:dyDescent="0.25">
      <c r="A711" s="170" t="s">
        <v>2988</v>
      </c>
      <c r="B711" s="170" t="s">
        <v>2989</v>
      </c>
      <c r="C711" s="170" t="s">
        <v>587</v>
      </c>
      <c r="D711" s="170" t="s">
        <v>1947</v>
      </c>
      <c r="E711" s="171" t="s">
        <v>21558</v>
      </c>
      <c r="F711" s="171" t="s">
        <v>21558</v>
      </c>
      <c r="G711" s="82"/>
      <c r="H711" s="96">
        <f t="shared" si="40"/>
        <v>13.18</v>
      </c>
      <c r="I711" s="96">
        <f t="shared" si="40"/>
        <v>13.18</v>
      </c>
      <c r="J711" s="91" t="str">
        <f t="shared" si="41"/>
        <v>Sinapi 7039</v>
      </c>
      <c r="K711" s="91" t="str">
        <f t="shared" si="42"/>
        <v>H</v>
      </c>
      <c r="L711" s="166" t="str">
        <f t="shared" si="43"/>
        <v/>
      </c>
      <c r="M711" s="82"/>
      <c r="N711" s="82"/>
    </row>
    <row r="712" spans="1:14" x14ac:dyDescent="0.25">
      <c r="A712" s="170" t="s">
        <v>2990</v>
      </c>
      <c r="B712" s="170" t="s">
        <v>2991</v>
      </c>
      <c r="C712" s="170" t="s">
        <v>587</v>
      </c>
      <c r="D712" s="170" t="s">
        <v>1947</v>
      </c>
      <c r="E712" s="171" t="s">
        <v>23003</v>
      </c>
      <c r="F712" s="171" t="s">
        <v>23003</v>
      </c>
      <c r="G712" s="82"/>
      <c r="H712" s="96">
        <f t="shared" ref="H712:I775" si="44">IF(E712="","",E712+0)</f>
        <v>61.51</v>
      </c>
      <c r="I712" s="96">
        <f t="shared" si="44"/>
        <v>61.51</v>
      </c>
      <c r="J712" s="91" t="str">
        <f t="shared" ref="J712:J775" si="45">IF(OR(H712="",I712=""),"",TRIM(CONCATENATE("Sinapi ",A712)))</f>
        <v>Sinapi 7040</v>
      </c>
      <c r="K712" s="91" t="str">
        <f t="shared" ref="K712:K775" si="46">TRIM(C712)</f>
        <v>H</v>
      </c>
      <c r="L712" s="166" t="str">
        <f t="shared" ref="L712:L775" si="47">IF(OR(RIGHT(IF(AND(K712&lt;&gt;"H",K712&lt;&gt;"MES"),RIGHT(B712,7),""),2)="PS",RIGHT(IF(AND(K712&lt;&gt;"H",K712&lt;&gt;"MES"),RIGHT(B712,7),""),2)="PA",RIGHT(IF(AND(K712&lt;&gt;"H",K712&lt;&gt;"MES"),RIGHT(B712,7),""),2)="PE"),LEFT(IF(AND(K712&lt;&gt;"H",K712&lt;&gt;"MES"),RIGHT(B712,10),""),7),IF(AND(K712&lt;&gt;"H",K712&lt;&gt;"MES"),RIGHT(B712,7),""))</f>
        <v/>
      </c>
      <c r="M712" s="82"/>
      <c r="N712" s="82"/>
    </row>
    <row r="713" spans="1:14" x14ac:dyDescent="0.25">
      <c r="A713" s="170" t="s">
        <v>2992</v>
      </c>
      <c r="B713" s="170" t="s">
        <v>2993</v>
      </c>
      <c r="C713" s="170" t="s">
        <v>587</v>
      </c>
      <c r="D713" s="170" t="s">
        <v>2067</v>
      </c>
      <c r="E713" s="171" t="s">
        <v>3430</v>
      </c>
      <c r="F713" s="171" t="s">
        <v>3430</v>
      </c>
      <c r="G713" s="82"/>
      <c r="H713" s="96">
        <f t="shared" si="44"/>
        <v>0.37</v>
      </c>
      <c r="I713" s="96">
        <f t="shared" si="44"/>
        <v>0.37</v>
      </c>
      <c r="J713" s="91" t="str">
        <f t="shared" si="45"/>
        <v>Sinapi 7044</v>
      </c>
      <c r="K713" s="91" t="str">
        <f t="shared" si="46"/>
        <v>H</v>
      </c>
      <c r="L713" s="166" t="str">
        <f t="shared" si="47"/>
        <v/>
      </c>
      <c r="M713" s="82"/>
      <c r="N713" s="82"/>
    </row>
    <row r="714" spans="1:14" x14ac:dyDescent="0.25">
      <c r="A714" s="170" t="s">
        <v>2995</v>
      </c>
      <c r="B714" s="170" t="s">
        <v>2996</v>
      </c>
      <c r="C714" s="170" t="s">
        <v>587</v>
      </c>
      <c r="D714" s="170" t="s">
        <v>2067</v>
      </c>
      <c r="E714" s="171" t="s">
        <v>2799</v>
      </c>
      <c r="F714" s="171" t="s">
        <v>2799</v>
      </c>
      <c r="G714" s="82"/>
      <c r="H714" s="96">
        <f t="shared" si="44"/>
        <v>0.08</v>
      </c>
      <c r="I714" s="96">
        <f t="shared" si="44"/>
        <v>0.08</v>
      </c>
      <c r="J714" s="91" t="str">
        <f t="shared" si="45"/>
        <v>Sinapi 7045</v>
      </c>
      <c r="K714" s="91" t="str">
        <f t="shared" si="46"/>
        <v>H</v>
      </c>
      <c r="L714" s="166" t="str">
        <f t="shared" si="47"/>
        <v/>
      </c>
      <c r="M714" s="82"/>
      <c r="N714" s="82"/>
    </row>
    <row r="715" spans="1:14" x14ac:dyDescent="0.25">
      <c r="A715" s="170" t="s">
        <v>2998</v>
      </c>
      <c r="B715" s="170" t="s">
        <v>2999</v>
      </c>
      <c r="C715" s="170" t="s">
        <v>587</v>
      </c>
      <c r="D715" s="170" t="s">
        <v>2067</v>
      </c>
      <c r="E715" s="171" t="s">
        <v>15563</v>
      </c>
      <c r="F715" s="171" t="s">
        <v>15563</v>
      </c>
      <c r="G715" s="82"/>
      <c r="H715" s="96">
        <f t="shared" si="44"/>
        <v>0.41</v>
      </c>
      <c r="I715" s="96">
        <f t="shared" si="44"/>
        <v>0.41</v>
      </c>
      <c r="J715" s="91" t="str">
        <f t="shared" si="45"/>
        <v>Sinapi 7046</v>
      </c>
      <c r="K715" s="91" t="str">
        <f t="shared" si="46"/>
        <v>H</v>
      </c>
      <c r="L715" s="166" t="str">
        <f t="shared" si="47"/>
        <v/>
      </c>
      <c r="M715" s="82"/>
      <c r="N715" s="82"/>
    </row>
    <row r="716" spans="1:14" x14ac:dyDescent="0.25">
      <c r="A716" s="170" t="s">
        <v>3000</v>
      </c>
      <c r="B716" s="170" t="s">
        <v>3001</v>
      </c>
      <c r="C716" s="170" t="s">
        <v>587</v>
      </c>
      <c r="D716" s="170" t="s">
        <v>2710</v>
      </c>
      <c r="E716" s="171" t="s">
        <v>16352</v>
      </c>
      <c r="F716" s="171" t="s">
        <v>16352</v>
      </c>
      <c r="G716" s="82"/>
      <c r="H716" s="96">
        <f t="shared" si="44"/>
        <v>26.91</v>
      </c>
      <c r="I716" s="96">
        <f t="shared" si="44"/>
        <v>26.91</v>
      </c>
      <c r="J716" s="91" t="str">
        <f t="shared" si="45"/>
        <v>Sinapi 7047</v>
      </c>
      <c r="K716" s="91" t="str">
        <f t="shared" si="46"/>
        <v>H</v>
      </c>
      <c r="L716" s="166" t="str">
        <f t="shared" si="47"/>
        <v/>
      </c>
      <c r="M716" s="82"/>
      <c r="N716" s="82"/>
    </row>
    <row r="717" spans="1:14" x14ac:dyDescent="0.25">
      <c r="A717" s="170" t="s">
        <v>3002</v>
      </c>
      <c r="B717" s="170" t="s">
        <v>3003</v>
      </c>
      <c r="C717" s="170" t="s">
        <v>587</v>
      </c>
      <c r="D717" s="170" t="s">
        <v>1947</v>
      </c>
      <c r="E717" s="171" t="s">
        <v>28533</v>
      </c>
      <c r="F717" s="171" t="s">
        <v>28533</v>
      </c>
      <c r="G717" s="82"/>
      <c r="H717" s="96">
        <f t="shared" si="44"/>
        <v>43.6</v>
      </c>
      <c r="I717" s="96">
        <f t="shared" si="44"/>
        <v>43.6</v>
      </c>
      <c r="J717" s="91" t="str">
        <f t="shared" si="45"/>
        <v>Sinapi 7051</v>
      </c>
      <c r="K717" s="91" t="str">
        <f t="shared" si="46"/>
        <v>H</v>
      </c>
      <c r="L717" s="166" t="str">
        <f t="shared" si="47"/>
        <v/>
      </c>
      <c r="M717" s="82"/>
      <c r="N717" s="82"/>
    </row>
    <row r="718" spans="1:14" x14ac:dyDescent="0.25">
      <c r="A718" s="170" t="s">
        <v>3004</v>
      </c>
      <c r="B718" s="170" t="s">
        <v>3005</v>
      </c>
      <c r="C718" s="170" t="s">
        <v>587</v>
      </c>
      <c r="D718" s="170" t="s">
        <v>1947</v>
      </c>
      <c r="E718" s="171" t="s">
        <v>19911</v>
      </c>
      <c r="F718" s="171" t="s">
        <v>19911</v>
      </c>
      <c r="G718" s="82"/>
      <c r="H718" s="96">
        <f t="shared" si="44"/>
        <v>11.78</v>
      </c>
      <c r="I718" s="96">
        <f t="shared" si="44"/>
        <v>11.78</v>
      </c>
      <c r="J718" s="91" t="str">
        <f t="shared" si="45"/>
        <v>Sinapi 7052</v>
      </c>
      <c r="K718" s="91" t="str">
        <f t="shared" si="46"/>
        <v>H</v>
      </c>
      <c r="L718" s="166" t="str">
        <f t="shared" si="47"/>
        <v/>
      </c>
      <c r="M718" s="82"/>
      <c r="N718" s="82"/>
    </row>
    <row r="719" spans="1:14" x14ac:dyDescent="0.25">
      <c r="A719" s="170" t="s">
        <v>3007</v>
      </c>
      <c r="B719" s="170" t="s">
        <v>3008</v>
      </c>
      <c r="C719" s="170" t="s">
        <v>587</v>
      </c>
      <c r="D719" s="170" t="s">
        <v>1947</v>
      </c>
      <c r="E719" s="171" t="s">
        <v>20124</v>
      </c>
      <c r="F719" s="171" t="s">
        <v>20124</v>
      </c>
      <c r="G719" s="82"/>
      <c r="H719" s="96">
        <f t="shared" si="44"/>
        <v>54.56</v>
      </c>
      <c r="I719" s="96">
        <f t="shared" si="44"/>
        <v>54.56</v>
      </c>
      <c r="J719" s="91" t="str">
        <f t="shared" si="45"/>
        <v>Sinapi 7053</v>
      </c>
      <c r="K719" s="91" t="str">
        <f t="shared" si="46"/>
        <v>H</v>
      </c>
      <c r="L719" s="166" t="str">
        <f t="shared" si="47"/>
        <v/>
      </c>
      <c r="M719" s="82"/>
      <c r="N719" s="82"/>
    </row>
    <row r="720" spans="1:14" x14ac:dyDescent="0.25">
      <c r="A720" s="170" t="s">
        <v>3009</v>
      </c>
      <c r="B720" s="170" t="s">
        <v>3010</v>
      </c>
      <c r="C720" s="170" t="s">
        <v>587</v>
      </c>
      <c r="D720" s="170" t="s">
        <v>2710</v>
      </c>
      <c r="E720" s="171" t="s">
        <v>31994</v>
      </c>
      <c r="F720" s="171" t="s">
        <v>31994</v>
      </c>
      <c r="G720" s="82"/>
      <c r="H720" s="96">
        <f t="shared" si="44"/>
        <v>99.21</v>
      </c>
      <c r="I720" s="96">
        <f t="shared" si="44"/>
        <v>99.21</v>
      </c>
      <c r="J720" s="91" t="str">
        <f t="shared" si="45"/>
        <v>Sinapi 7054</v>
      </c>
      <c r="K720" s="91" t="str">
        <f t="shared" si="46"/>
        <v>H</v>
      </c>
      <c r="L720" s="166" t="str">
        <f t="shared" si="47"/>
        <v/>
      </c>
      <c r="M720" s="82"/>
      <c r="N720" s="82"/>
    </row>
    <row r="721" spans="1:14" x14ac:dyDescent="0.25">
      <c r="A721" s="170" t="s">
        <v>3011</v>
      </c>
      <c r="B721" s="170" t="s">
        <v>3012</v>
      </c>
      <c r="C721" s="170" t="s">
        <v>587</v>
      </c>
      <c r="D721" s="170" t="s">
        <v>1947</v>
      </c>
      <c r="E721" s="171" t="s">
        <v>16201</v>
      </c>
      <c r="F721" s="171" t="s">
        <v>16201</v>
      </c>
      <c r="G721" s="82"/>
      <c r="H721" s="96">
        <f t="shared" si="44"/>
        <v>23.49</v>
      </c>
      <c r="I721" s="96">
        <f t="shared" si="44"/>
        <v>23.49</v>
      </c>
      <c r="J721" s="91" t="str">
        <f t="shared" si="45"/>
        <v>Sinapi 7058</v>
      </c>
      <c r="K721" s="91" t="str">
        <f t="shared" si="46"/>
        <v>H</v>
      </c>
      <c r="L721" s="166" t="str">
        <f t="shared" si="47"/>
        <v/>
      </c>
      <c r="M721" s="82"/>
      <c r="N721" s="82"/>
    </row>
    <row r="722" spans="1:14" x14ac:dyDescent="0.25">
      <c r="A722" s="170" t="s">
        <v>3013</v>
      </c>
      <c r="B722" s="170" t="s">
        <v>3014</v>
      </c>
      <c r="C722" s="170" t="s">
        <v>587</v>
      </c>
      <c r="D722" s="170" t="s">
        <v>1947</v>
      </c>
      <c r="E722" s="171" t="s">
        <v>31995</v>
      </c>
      <c r="F722" s="171" t="s">
        <v>31995</v>
      </c>
      <c r="G722" s="82"/>
      <c r="H722" s="96">
        <f t="shared" si="44"/>
        <v>9.1</v>
      </c>
      <c r="I722" s="96">
        <f t="shared" si="44"/>
        <v>9.1</v>
      </c>
      <c r="J722" s="91" t="str">
        <f t="shared" si="45"/>
        <v>Sinapi 7059</v>
      </c>
      <c r="K722" s="91" t="str">
        <f t="shared" si="46"/>
        <v>H</v>
      </c>
      <c r="L722" s="166" t="str">
        <f t="shared" si="47"/>
        <v/>
      </c>
      <c r="M722" s="82"/>
      <c r="N722" s="82"/>
    </row>
    <row r="723" spans="1:14" x14ac:dyDescent="0.25">
      <c r="A723" s="170" t="s">
        <v>3015</v>
      </c>
      <c r="B723" s="170" t="s">
        <v>3016</v>
      </c>
      <c r="C723" s="170" t="s">
        <v>587</v>
      </c>
      <c r="D723" s="170" t="s">
        <v>1947</v>
      </c>
      <c r="E723" s="171" t="s">
        <v>29248</v>
      </c>
      <c r="F723" s="171" t="s">
        <v>29248</v>
      </c>
      <c r="G723" s="82"/>
      <c r="H723" s="96">
        <f t="shared" si="44"/>
        <v>42.52</v>
      </c>
      <c r="I723" s="96">
        <f t="shared" si="44"/>
        <v>42.52</v>
      </c>
      <c r="J723" s="91" t="str">
        <f t="shared" si="45"/>
        <v>Sinapi 7060</v>
      </c>
      <c r="K723" s="91" t="str">
        <f t="shared" si="46"/>
        <v>H</v>
      </c>
      <c r="L723" s="166" t="str">
        <f t="shared" si="47"/>
        <v/>
      </c>
      <c r="M723" s="82"/>
      <c r="N723" s="82"/>
    </row>
    <row r="724" spans="1:14" x14ac:dyDescent="0.25">
      <c r="A724" s="170" t="s">
        <v>3017</v>
      </c>
      <c r="B724" s="170" t="s">
        <v>3018</v>
      </c>
      <c r="C724" s="170" t="s">
        <v>587</v>
      </c>
      <c r="D724" s="170" t="s">
        <v>2710</v>
      </c>
      <c r="E724" s="171" t="s">
        <v>31996</v>
      </c>
      <c r="F724" s="171" t="s">
        <v>31996</v>
      </c>
      <c r="G724" s="82"/>
      <c r="H724" s="96">
        <f t="shared" si="44"/>
        <v>90.57</v>
      </c>
      <c r="I724" s="96">
        <f t="shared" si="44"/>
        <v>90.57</v>
      </c>
      <c r="J724" s="91" t="str">
        <f t="shared" si="45"/>
        <v>Sinapi 7061</v>
      </c>
      <c r="K724" s="91" t="str">
        <f t="shared" si="46"/>
        <v>H</v>
      </c>
      <c r="L724" s="166" t="str">
        <f t="shared" si="47"/>
        <v/>
      </c>
      <c r="M724" s="82"/>
      <c r="N724" s="82"/>
    </row>
    <row r="725" spans="1:14" x14ac:dyDescent="0.25">
      <c r="A725" s="170" t="s">
        <v>3019</v>
      </c>
      <c r="B725" s="170" t="s">
        <v>3020</v>
      </c>
      <c r="C725" s="170" t="s">
        <v>587</v>
      </c>
      <c r="D725" s="170" t="s">
        <v>1947</v>
      </c>
      <c r="E725" s="171" t="s">
        <v>15775</v>
      </c>
      <c r="F725" s="171" t="s">
        <v>15775</v>
      </c>
      <c r="G725" s="82"/>
      <c r="H725" s="96">
        <f t="shared" si="44"/>
        <v>19</v>
      </c>
      <c r="I725" s="96">
        <f t="shared" si="44"/>
        <v>19</v>
      </c>
      <c r="J725" s="91" t="str">
        <f t="shared" si="45"/>
        <v>Sinapi 7063</v>
      </c>
      <c r="K725" s="91" t="str">
        <f t="shared" si="46"/>
        <v>H</v>
      </c>
      <c r="L725" s="166" t="str">
        <f t="shared" si="47"/>
        <v/>
      </c>
      <c r="M725" s="82"/>
      <c r="N725" s="82"/>
    </row>
    <row r="726" spans="1:14" x14ac:dyDescent="0.25">
      <c r="A726" s="170" t="s">
        <v>3021</v>
      </c>
      <c r="B726" s="170" t="s">
        <v>3022</v>
      </c>
      <c r="C726" s="170" t="s">
        <v>587</v>
      </c>
      <c r="D726" s="170" t="s">
        <v>1947</v>
      </c>
      <c r="E726" s="171" t="s">
        <v>13433</v>
      </c>
      <c r="F726" s="171" t="s">
        <v>13433</v>
      </c>
      <c r="G726" s="82"/>
      <c r="H726" s="96">
        <f t="shared" si="44"/>
        <v>5.13</v>
      </c>
      <c r="I726" s="96">
        <f t="shared" si="44"/>
        <v>5.13</v>
      </c>
      <c r="J726" s="91" t="str">
        <f t="shared" si="45"/>
        <v>Sinapi 7064</v>
      </c>
      <c r="K726" s="91" t="str">
        <f t="shared" si="46"/>
        <v>H</v>
      </c>
      <c r="L726" s="166" t="str">
        <f t="shared" si="47"/>
        <v/>
      </c>
      <c r="M726" s="82"/>
      <c r="N726" s="82"/>
    </row>
    <row r="727" spans="1:14" x14ac:dyDescent="0.25">
      <c r="A727" s="170" t="s">
        <v>3024</v>
      </c>
      <c r="B727" s="170" t="s">
        <v>3025</v>
      </c>
      <c r="C727" s="170" t="s">
        <v>587</v>
      </c>
      <c r="D727" s="170" t="s">
        <v>1947</v>
      </c>
      <c r="E727" s="171" t="s">
        <v>19415</v>
      </c>
      <c r="F727" s="171" t="s">
        <v>19415</v>
      </c>
      <c r="G727" s="82"/>
      <c r="H727" s="96">
        <f t="shared" si="44"/>
        <v>20.78</v>
      </c>
      <c r="I727" s="96">
        <f t="shared" si="44"/>
        <v>20.78</v>
      </c>
      <c r="J727" s="91" t="str">
        <f t="shared" si="45"/>
        <v>Sinapi 7065</v>
      </c>
      <c r="K727" s="91" t="str">
        <f t="shared" si="46"/>
        <v>H</v>
      </c>
      <c r="L727" s="166" t="str">
        <f t="shared" si="47"/>
        <v/>
      </c>
      <c r="M727" s="82"/>
      <c r="N727" s="82"/>
    </row>
    <row r="728" spans="1:14" x14ac:dyDescent="0.25">
      <c r="A728" s="170" t="s">
        <v>3026</v>
      </c>
      <c r="B728" s="170" t="s">
        <v>3027</v>
      </c>
      <c r="C728" s="170" t="s">
        <v>587</v>
      </c>
      <c r="D728" s="170" t="s">
        <v>2710</v>
      </c>
      <c r="E728" s="171" t="s">
        <v>31997</v>
      </c>
      <c r="F728" s="171" t="s">
        <v>31997</v>
      </c>
      <c r="G728" s="82"/>
      <c r="H728" s="96">
        <f t="shared" si="44"/>
        <v>107.46</v>
      </c>
      <c r="I728" s="96">
        <f t="shared" si="44"/>
        <v>107.46</v>
      </c>
      <c r="J728" s="91" t="str">
        <f t="shared" si="45"/>
        <v>Sinapi 7066</v>
      </c>
      <c r="K728" s="91" t="str">
        <f t="shared" si="46"/>
        <v>H</v>
      </c>
      <c r="L728" s="166" t="str">
        <f t="shared" si="47"/>
        <v/>
      </c>
      <c r="M728" s="82"/>
      <c r="N728" s="82"/>
    </row>
    <row r="729" spans="1:14" x14ac:dyDescent="0.25">
      <c r="A729" s="170" t="s">
        <v>3028</v>
      </c>
      <c r="B729" s="170" t="s">
        <v>3029</v>
      </c>
      <c r="C729" s="170" t="s">
        <v>587</v>
      </c>
      <c r="D729" s="170" t="s">
        <v>2710</v>
      </c>
      <c r="E729" s="171" t="s">
        <v>21976</v>
      </c>
      <c r="F729" s="171" t="s">
        <v>21976</v>
      </c>
      <c r="G729" s="82"/>
      <c r="H729" s="96">
        <f t="shared" si="44"/>
        <v>56.72</v>
      </c>
      <c r="I729" s="96">
        <f t="shared" si="44"/>
        <v>56.72</v>
      </c>
      <c r="J729" s="91" t="str">
        <f t="shared" si="45"/>
        <v>Sinapi 53786</v>
      </c>
      <c r="K729" s="91" t="str">
        <f t="shared" si="46"/>
        <v>H</v>
      </c>
      <c r="L729" s="166" t="str">
        <f t="shared" si="47"/>
        <v/>
      </c>
      <c r="M729" s="82"/>
      <c r="N729" s="82"/>
    </row>
    <row r="730" spans="1:14" x14ac:dyDescent="0.25">
      <c r="A730" s="170" t="s">
        <v>3030</v>
      </c>
      <c r="B730" s="170" t="s">
        <v>3031</v>
      </c>
      <c r="C730" s="170" t="s">
        <v>587</v>
      </c>
      <c r="D730" s="170" t="s">
        <v>2710</v>
      </c>
      <c r="E730" s="171" t="s">
        <v>29050</v>
      </c>
      <c r="F730" s="171" t="s">
        <v>29050</v>
      </c>
      <c r="G730" s="82"/>
      <c r="H730" s="96">
        <f t="shared" si="44"/>
        <v>63.5</v>
      </c>
      <c r="I730" s="96">
        <f t="shared" si="44"/>
        <v>63.5</v>
      </c>
      <c r="J730" s="91" t="str">
        <f t="shared" si="45"/>
        <v>Sinapi 53788</v>
      </c>
      <c r="K730" s="91" t="str">
        <f t="shared" si="46"/>
        <v>H</v>
      </c>
      <c r="L730" s="166" t="str">
        <f t="shared" si="47"/>
        <v/>
      </c>
      <c r="M730" s="82"/>
      <c r="N730" s="82"/>
    </row>
    <row r="731" spans="1:14" x14ac:dyDescent="0.25">
      <c r="A731" s="170" t="s">
        <v>3032</v>
      </c>
      <c r="B731" s="170" t="s">
        <v>3033</v>
      </c>
      <c r="C731" s="170" t="s">
        <v>587</v>
      </c>
      <c r="D731" s="170" t="s">
        <v>2710</v>
      </c>
      <c r="E731" s="171" t="s">
        <v>31998</v>
      </c>
      <c r="F731" s="171" t="s">
        <v>31998</v>
      </c>
      <c r="G731" s="82"/>
      <c r="H731" s="96">
        <f t="shared" si="44"/>
        <v>112.58</v>
      </c>
      <c r="I731" s="96">
        <f t="shared" si="44"/>
        <v>112.58</v>
      </c>
      <c r="J731" s="91" t="str">
        <f t="shared" si="45"/>
        <v>Sinapi 53792</v>
      </c>
      <c r="K731" s="91" t="str">
        <f t="shared" si="46"/>
        <v>H</v>
      </c>
      <c r="L731" s="166" t="str">
        <f t="shared" si="47"/>
        <v/>
      </c>
      <c r="M731" s="82"/>
      <c r="N731" s="82"/>
    </row>
    <row r="732" spans="1:14" x14ac:dyDescent="0.25">
      <c r="A732" s="170" t="s">
        <v>3034</v>
      </c>
      <c r="B732" s="170" t="s">
        <v>3035</v>
      </c>
      <c r="C732" s="170" t="s">
        <v>587</v>
      </c>
      <c r="D732" s="170" t="s">
        <v>1947</v>
      </c>
      <c r="E732" s="171" t="s">
        <v>21670</v>
      </c>
      <c r="F732" s="171" t="s">
        <v>21670</v>
      </c>
      <c r="G732" s="82"/>
      <c r="H732" s="96">
        <f t="shared" si="44"/>
        <v>35.619999999999997</v>
      </c>
      <c r="I732" s="96">
        <f t="shared" si="44"/>
        <v>35.619999999999997</v>
      </c>
      <c r="J732" s="91" t="str">
        <f t="shared" si="45"/>
        <v>Sinapi 53794</v>
      </c>
      <c r="K732" s="91" t="str">
        <f t="shared" si="46"/>
        <v>H</v>
      </c>
      <c r="L732" s="166" t="str">
        <f t="shared" si="47"/>
        <v/>
      </c>
      <c r="M732" s="82"/>
      <c r="N732" s="82"/>
    </row>
    <row r="733" spans="1:14" x14ac:dyDescent="0.25">
      <c r="A733" s="170" t="s">
        <v>3037</v>
      </c>
      <c r="B733" s="170" t="s">
        <v>3038</v>
      </c>
      <c r="C733" s="170" t="s">
        <v>587</v>
      </c>
      <c r="D733" s="170" t="s">
        <v>2710</v>
      </c>
      <c r="E733" s="171" t="s">
        <v>28510</v>
      </c>
      <c r="F733" s="171" t="s">
        <v>28510</v>
      </c>
      <c r="G733" s="82"/>
      <c r="H733" s="96">
        <f t="shared" si="44"/>
        <v>129.47</v>
      </c>
      <c r="I733" s="96">
        <f t="shared" si="44"/>
        <v>129.47</v>
      </c>
      <c r="J733" s="91" t="str">
        <f t="shared" si="45"/>
        <v>Sinapi 53797</v>
      </c>
      <c r="K733" s="91" t="str">
        <f t="shared" si="46"/>
        <v>H</v>
      </c>
      <c r="L733" s="166" t="str">
        <f t="shared" si="47"/>
        <v/>
      </c>
      <c r="M733" s="82"/>
      <c r="N733" s="82"/>
    </row>
    <row r="734" spans="1:14" x14ac:dyDescent="0.25">
      <c r="A734" s="170" t="s">
        <v>3039</v>
      </c>
      <c r="B734" s="170" t="s">
        <v>3040</v>
      </c>
      <c r="C734" s="170" t="s">
        <v>587</v>
      </c>
      <c r="D734" s="170" t="s">
        <v>1947</v>
      </c>
      <c r="E734" s="171" t="s">
        <v>15776</v>
      </c>
      <c r="F734" s="171" t="s">
        <v>15776</v>
      </c>
      <c r="G734" s="82"/>
      <c r="H734" s="96">
        <f t="shared" si="44"/>
        <v>5.12</v>
      </c>
      <c r="I734" s="96">
        <f t="shared" si="44"/>
        <v>5.12</v>
      </c>
      <c r="J734" s="91" t="str">
        <f t="shared" si="45"/>
        <v>Sinapi 53804</v>
      </c>
      <c r="K734" s="91" t="str">
        <f t="shared" si="46"/>
        <v>H</v>
      </c>
      <c r="L734" s="166" t="str">
        <f t="shared" si="47"/>
        <v/>
      </c>
      <c r="M734" s="82"/>
      <c r="N734" s="82"/>
    </row>
    <row r="735" spans="1:14" x14ac:dyDescent="0.25">
      <c r="A735" s="170" t="s">
        <v>3041</v>
      </c>
      <c r="B735" s="170" t="s">
        <v>3042</v>
      </c>
      <c r="C735" s="170" t="s">
        <v>587</v>
      </c>
      <c r="D735" s="170" t="s">
        <v>1947</v>
      </c>
      <c r="E735" s="171" t="s">
        <v>28537</v>
      </c>
      <c r="F735" s="171" t="s">
        <v>28537</v>
      </c>
      <c r="G735" s="82"/>
      <c r="H735" s="96">
        <f t="shared" si="44"/>
        <v>68.52</v>
      </c>
      <c r="I735" s="96">
        <f t="shared" si="44"/>
        <v>68.52</v>
      </c>
      <c r="J735" s="91" t="str">
        <f t="shared" si="45"/>
        <v>Sinapi 53806</v>
      </c>
      <c r="K735" s="91" t="str">
        <f t="shared" si="46"/>
        <v>H</v>
      </c>
      <c r="L735" s="166" t="str">
        <f t="shared" si="47"/>
        <v/>
      </c>
      <c r="M735" s="82"/>
      <c r="N735" s="82"/>
    </row>
    <row r="736" spans="1:14" x14ac:dyDescent="0.25">
      <c r="A736" s="170" t="s">
        <v>3043</v>
      </c>
      <c r="B736" s="170" t="s">
        <v>3044</v>
      </c>
      <c r="C736" s="170" t="s">
        <v>587</v>
      </c>
      <c r="D736" s="170" t="s">
        <v>1947</v>
      </c>
      <c r="E736" s="171" t="s">
        <v>28538</v>
      </c>
      <c r="F736" s="171" t="s">
        <v>28538</v>
      </c>
      <c r="G736" s="82"/>
      <c r="H736" s="96">
        <f t="shared" si="44"/>
        <v>68.94</v>
      </c>
      <c r="I736" s="96">
        <f t="shared" si="44"/>
        <v>68.94</v>
      </c>
      <c r="J736" s="91" t="str">
        <f t="shared" si="45"/>
        <v>Sinapi 53810</v>
      </c>
      <c r="K736" s="91" t="str">
        <f t="shared" si="46"/>
        <v>H</v>
      </c>
      <c r="L736" s="166" t="str">
        <f t="shared" si="47"/>
        <v/>
      </c>
      <c r="M736" s="82"/>
      <c r="N736" s="82"/>
    </row>
    <row r="737" spans="1:14" x14ac:dyDescent="0.25">
      <c r="A737" s="170" t="s">
        <v>3045</v>
      </c>
      <c r="B737" s="170" t="s">
        <v>3046</v>
      </c>
      <c r="C737" s="170" t="s">
        <v>587</v>
      </c>
      <c r="D737" s="170" t="s">
        <v>1947</v>
      </c>
      <c r="E737" s="171" t="s">
        <v>28539</v>
      </c>
      <c r="F737" s="171" t="s">
        <v>28539</v>
      </c>
      <c r="G737" s="82"/>
      <c r="H737" s="96">
        <f t="shared" si="44"/>
        <v>225.83</v>
      </c>
      <c r="I737" s="96">
        <f t="shared" si="44"/>
        <v>225.83</v>
      </c>
      <c r="J737" s="91" t="str">
        <f t="shared" si="45"/>
        <v>Sinapi 53814</v>
      </c>
      <c r="K737" s="91" t="str">
        <f t="shared" si="46"/>
        <v>H</v>
      </c>
      <c r="L737" s="166" t="str">
        <f t="shared" si="47"/>
        <v/>
      </c>
      <c r="M737" s="82"/>
      <c r="N737" s="82"/>
    </row>
    <row r="738" spans="1:14" x14ac:dyDescent="0.25">
      <c r="A738" s="170" t="s">
        <v>3047</v>
      </c>
      <c r="B738" s="170" t="s">
        <v>3048</v>
      </c>
      <c r="C738" s="170" t="s">
        <v>587</v>
      </c>
      <c r="D738" s="170" t="s">
        <v>2710</v>
      </c>
      <c r="E738" s="171" t="s">
        <v>31637</v>
      </c>
      <c r="F738" s="171" t="s">
        <v>31637</v>
      </c>
      <c r="G738" s="82"/>
      <c r="H738" s="96">
        <f t="shared" si="44"/>
        <v>69.42</v>
      </c>
      <c r="I738" s="96">
        <f t="shared" si="44"/>
        <v>69.42</v>
      </c>
      <c r="J738" s="91" t="str">
        <f t="shared" si="45"/>
        <v>Sinapi 53817</v>
      </c>
      <c r="K738" s="91" t="str">
        <f t="shared" si="46"/>
        <v>H</v>
      </c>
      <c r="L738" s="166" t="str">
        <f t="shared" si="47"/>
        <v/>
      </c>
      <c r="M738" s="82"/>
      <c r="N738" s="82"/>
    </row>
    <row r="739" spans="1:14" x14ac:dyDescent="0.25">
      <c r="A739" s="170" t="s">
        <v>3049</v>
      </c>
      <c r="B739" s="170" t="s">
        <v>3050</v>
      </c>
      <c r="C739" s="170" t="s">
        <v>587</v>
      </c>
      <c r="D739" s="170" t="s">
        <v>1947</v>
      </c>
      <c r="E739" s="171" t="s">
        <v>23143</v>
      </c>
      <c r="F739" s="171" t="s">
        <v>23143</v>
      </c>
      <c r="G739" s="82"/>
      <c r="H739" s="96">
        <f t="shared" si="44"/>
        <v>9.49</v>
      </c>
      <c r="I739" s="96">
        <f t="shared" si="44"/>
        <v>9.49</v>
      </c>
      <c r="J739" s="91" t="str">
        <f t="shared" si="45"/>
        <v>Sinapi 53818</v>
      </c>
      <c r="K739" s="91" t="str">
        <f t="shared" si="46"/>
        <v>H</v>
      </c>
      <c r="L739" s="166" t="str">
        <f t="shared" si="47"/>
        <v/>
      </c>
      <c r="M739" s="82"/>
      <c r="N739" s="82"/>
    </row>
    <row r="740" spans="1:14" x14ac:dyDescent="0.25">
      <c r="A740" s="170" t="s">
        <v>3051</v>
      </c>
      <c r="B740" s="170" t="s">
        <v>3052</v>
      </c>
      <c r="C740" s="170" t="s">
        <v>587</v>
      </c>
      <c r="D740" s="170" t="s">
        <v>2710</v>
      </c>
      <c r="E740" s="171" t="s">
        <v>31999</v>
      </c>
      <c r="F740" s="171" t="s">
        <v>31999</v>
      </c>
      <c r="G740" s="82"/>
      <c r="H740" s="96">
        <f t="shared" si="44"/>
        <v>126.74</v>
      </c>
      <c r="I740" s="96">
        <f t="shared" si="44"/>
        <v>126.74</v>
      </c>
      <c r="J740" s="91" t="str">
        <f t="shared" si="45"/>
        <v>Sinapi 53827</v>
      </c>
      <c r="K740" s="91" t="str">
        <f t="shared" si="46"/>
        <v>H</v>
      </c>
      <c r="L740" s="166" t="str">
        <f t="shared" si="47"/>
        <v/>
      </c>
      <c r="M740" s="82"/>
      <c r="N740" s="82"/>
    </row>
    <row r="741" spans="1:14" x14ac:dyDescent="0.25">
      <c r="A741" s="170" t="s">
        <v>3053</v>
      </c>
      <c r="B741" s="170" t="s">
        <v>3054</v>
      </c>
      <c r="C741" s="170" t="s">
        <v>587</v>
      </c>
      <c r="D741" s="170" t="s">
        <v>2710</v>
      </c>
      <c r="E741" s="171" t="s">
        <v>28510</v>
      </c>
      <c r="F741" s="171" t="s">
        <v>28510</v>
      </c>
      <c r="G741" s="82"/>
      <c r="H741" s="96">
        <f t="shared" si="44"/>
        <v>129.47</v>
      </c>
      <c r="I741" s="96">
        <f t="shared" si="44"/>
        <v>129.47</v>
      </c>
      <c r="J741" s="91" t="str">
        <f t="shared" si="45"/>
        <v>Sinapi 53829</v>
      </c>
      <c r="K741" s="91" t="str">
        <f t="shared" si="46"/>
        <v>H</v>
      </c>
      <c r="L741" s="166" t="str">
        <f t="shared" si="47"/>
        <v/>
      </c>
      <c r="M741" s="82"/>
      <c r="N741" s="82"/>
    </row>
    <row r="742" spans="1:14" x14ac:dyDescent="0.25">
      <c r="A742" s="170" t="s">
        <v>3055</v>
      </c>
      <c r="B742" s="170" t="s">
        <v>3056</v>
      </c>
      <c r="C742" s="170" t="s">
        <v>587</v>
      </c>
      <c r="D742" s="170" t="s">
        <v>2710</v>
      </c>
      <c r="E742" s="171" t="s">
        <v>32000</v>
      </c>
      <c r="F742" s="171" t="s">
        <v>32000</v>
      </c>
      <c r="G742" s="82"/>
      <c r="H742" s="96">
        <f t="shared" si="44"/>
        <v>213.86</v>
      </c>
      <c r="I742" s="96">
        <f t="shared" si="44"/>
        <v>213.86</v>
      </c>
      <c r="J742" s="91" t="str">
        <f t="shared" si="45"/>
        <v>Sinapi 53831</v>
      </c>
      <c r="K742" s="91" t="str">
        <f t="shared" si="46"/>
        <v>H</v>
      </c>
      <c r="L742" s="166" t="str">
        <f t="shared" si="47"/>
        <v/>
      </c>
      <c r="M742" s="82"/>
      <c r="N742" s="82"/>
    </row>
    <row r="743" spans="1:14" x14ac:dyDescent="0.25">
      <c r="A743" s="170" t="s">
        <v>3057</v>
      </c>
      <c r="B743" s="170" t="s">
        <v>3058</v>
      </c>
      <c r="C743" s="170" t="s">
        <v>587</v>
      </c>
      <c r="D743" s="170" t="s">
        <v>1947</v>
      </c>
      <c r="E743" s="171" t="s">
        <v>21000</v>
      </c>
      <c r="F743" s="171" t="s">
        <v>21000</v>
      </c>
      <c r="G743" s="82"/>
      <c r="H743" s="96">
        <f t="shared" si="44"/>
        <v>2.78</v>
      </c>
      <c r="I743" s="96">
        <f t="shared" si="44"/>
        <v>2.78</v>
      </c>
      <c r="J743" s="91" t="str">
        <f t="shared" si="45"/>
        <v>Sinapi 53840</v>
      </c>
      <c r="K743" s="91" t="str">
        <f t="shared" si="46"/>
        <v>H</v>
      </c>
      <c r="L743" s="166" t="str">
        <f t="shared" si="47"/>
        <v/>
      </c>
      <c r="M743" s="82"/>
      <c r="N743" s="82"/>
    </row>
    <row r="744" spans="1:14" x14ac:dyDescent="0.25">
      <c r="A744" s="170" t="s">
        <v>3059</v>
      </c>
      <c r="B744" s="170" t="s">
        <v>3060</v>
      </c>
      <c r="C744" s="170" t="s">
        <v>587</v>
      </c>
      <c r="D744" s="170" t="s">
        <v>1947</v>
      </c>
      <c r="E744" s="171" t="s">
        <v>16399</v>
      </c>
      <c r="F744" s="171" t="s">
        <v>16399</v>
      </c>
      <c r="G744" s="82"/>
      <c r="H744" s="96">
        <f t="shared" si="44"/>
        <v>1.93</v>
      </c>
      <c r="I744" s="96">
        <f t="shared" si="44"/>
        <v>1.93</v>
      </c>
      <c r="J744" s="91" t="str">
        <f t="shared" si="45"/>
        <v>Sinapi 53841</v>
      </c>
      <c r="K744" s="91" t="str">
        <f t="shared" si="46"/>
        <v>H</v>
      </c>
      <c r="L744" s="166" t="str">
        <f t="shared" si="47"/>
        <v/>
      </c>
      <c r="M744" s="82"/>
      <c r="N744" s="82"/>
    </row>
    <row r="745" spans="1:14" x14ac:dyDescent="0.25">
      <c r="A745" s="170" t="s">
        <v>3062</v>
      </c>
      <c r="B745" s="170" t="s">
        <v>3063</v>
      </c>
      <c r="C745" s="170" t="s">
        <v>587</v>
      </c>
      <c r="D745" s="170" t="s">
        <v>2710</v>
      </c>
      <c r="E745" s="171" t="s">
        <v>32001</v>
      </c>
      <c r="F745" s="171" t="s">
        <v>32001</v>
      </c>
      <c r="G745" s="82"/>
      <c r="H745" s="96">
        <f t="shared" si="44"/>
        <v>93.03</v>
      </c>
      <c r="I745" s="96">
        <f t="shared" si="44"/>
        <v>93.03</v>
      </c>
      <c r="J745" s="91" t="str">
        <f t="shared" si="45"/>
        <v>Sinapi 53849</v>
      </c>
      <c r="K745" s="91" t="str">
        <f t="shared" si="46"/>
        <v>H</v>
      </c>
      <c r="L745" s="166" t="str">
        <f t="shared" si="47"/>
        <v/>
      </c>
      <c r="M745" s="82"/>
      <c r="N745" s="82"/>
    </row>
    <row r="746" spans="1:14" x14ac:dyDescent="0.25">
      <c r="A746" s="170" t="s">
        <v>3064</v>
      </c>
      <c r="B746" s="170" t="s">
        <v>3065</v>
      </c>
      <c r="C746" s="170" t="s">
        <v>587</v>
      </c>
      <c r="D746" s="170" t="s">
        <v>1947</v>
      </c>
      <c r="E746" s="171" t="s">
        <v>21972</v>
      </c>
      <c r="F746" s="171" t="s">
        <v>21972</v>
      </c>
      <c r="G746" s="82"/>
      <c r="H746" s="96">
        <f t="shared" si="44"/>
        <v>63</v>
      </c>
      <c r="I746" s="96">
        <f t="shared" si="44"/>
        <v>63</v>
      </c>
      <c r="J746" s="91" t="str">
        <f t="shared" si="45"/>
        <v>Sinapi 53857</v>
      </c>
      <c r="K746" s="91" t="str">
        <f t="shared" si="46"/>
        <v>H</v>
      </c>
      <c r="L746" s="166" t="str">
        <f t="shared" si="47"/>
        <v/>
      </c>
      <c r="M746" s="82"/>
      <c r="N746" s="82"/>
    </row>
    <row r="747" spans="1:14" x14ac:dyDescent="0.25">
      <c r="A747" s="170" t="s">
        <v>3066</v>
      </c>
      <c r="B747" s="170" t="s">
        <v>3067</v>
      </c>
      <c r="C747" s="170" t="s">
        <v>587</v>
      </c>
      <c r="D747" s="170" t="s">
        <v>2710</v>
      </c>
      <c r="E747" s="171" t="s">
        <v>32002</v>
      </c>
      <c r="F747" s="171" t="s">
        <v>32002</v>
      </c>
      <c r="G747" s="82"/>
      <c r="H747" s="96">
        <f t="shared" si="44"/>
        <v>50.8</v>
      </c>
      <c r="I747" s="96">
        <f t="shared" si="44"/>
        <v>50.8</v>
      </c>
      <c r="J747" s="91" t="str">
        <f t="shared" si="45"/>
        <v>Sinapi 53858</v>
      </c>
      <c r="K747" s="91" t="str">
        <f t="shared" si="46"/>
        <v>H</v>
      </c>
      <c r="L747" s="166" t="str">
        <f t="shared" si="47"/>
        <v/>
      </c>
      <c r="M747" s="82"/>
      <c r="N747" s="82"/>
    </row>
    <row r="748" spans="1:14" x14ac:dyDescent="0.25">
      <c r="A748" s="170" t="s">
        <v>3068</v>
      </c>
      <c r="B748" s="170" t="s">
        <v>3069</v>
      </c>
      <c r="C748" s="170" t="s">
        <v>587</v>
      </c>
      <c r="D748" s="170" t="s">
        <v>1947</v>
      </c>
      <c r="E748" s="171" t="s">
        <v>29205</v>
      </c>
      <c r="F748" s="171" t="s">
        <v>29205</v>
      </c>
      <c r="G748" s="82"/>
      <c r="H748" s="96">
        <f t="shared" si="44"/>
        <v>61.15</v>
      </c>
      <c r="I748" s="96">
        <f t="shared" si="44"/>
        <v>61.15</v>
      </c>
      <c r="J748" s="91" t="str">
        <f t="shared" si="45"/>
        <v>Sinapi 53861</v>
      </c>
      <c r="K748" s="91" t="str">
        <f t="shared" si="46"/>
        <v>H</v>
      </c>
      <c r="L748" s="166" t="str">
        <f t="shared" si="47"/>
        <v/>
      </c>
      <c r="M748" s="82"/>
      <c r="N748" s="82"/>
    </row>
    <row r="749" spans="1:14" x14ac:dyDescent="0.25">
      <c r="A749" s="170" t="s">
        <v>3070</v>
      </c>
      <c r="B749" s="170" t="s">
        <v>3071</v>
      </c>
      <c r="C749" s="170" t="s">
        <v>587</v>
      </c>
      <c r="D749" s="170" t="s">
        <v>1947</v>
      </c>
      <c r="E749" s="171" t="s">
        <v>29654</v>
      </c>
      <c r="F749" s="171" t="s">
        <v>29654</v>
      </c>
      <c r="G749" s="82"/>
      <c r="H749" s="96">
        <f t="shared" si="44"/>
        <v>1.7</v>
      </c>
      <c r="I749" s="96">
        <f t="shared" si="44"/>
        <v>1.7</v>
      </c>
      <c r="J749" s="91" t="str">
        <f t="shared" si="45"/>
        <v>Sinapi 53863</v>
      </c>
      <c r="K749" s="91" t="str">
        <f t="shared" si="46"/>
        <v>H</v>
      </c>
      <c r="L749" s="166" t="str">
        <f t="shared" si="47"/>
        <v/>
      </c>
      <c r="M749" s="82"/>
      <c r="N749" s="82"/>
    </row>
    <row r="750" spans="1:14" x14ac:dyDescent="0.25">
      <c r="A750" s="170" t="s">
        <v>3072</v>
      </c>
      <c r="B750" s="170" t="s">
        <v>3073</v>
      </c>
      <c r="C750" s="170" t="s">
        <v>587</v>
      </c>
      <c r="D750" s="170" t="s">
        <v>2710</v>
      </c>
      <c r="E750" s="171" t="s">
        <v>32003</v>
      </c>
      <c r="F750" s="171" t="s">
        <v>32003</v>
      </c>
      <c r="G750" s="82"/>
      <c r="H750" s="96">
        <f t="shared" si="44"/>
        <v>52.4</v>
      </c>
      <c r="I750" s="96">
        <f t="shared" si="44"/>
        <v>52.4</v>
      </c>
      <c r="J750" s="91" t="str">
        <f t="shared" si="45"/>
        <v>Sinapi 53865</v>
      </c>
      <c r="K750" s="91" t="str">
        <f t="shared" si="46"/>
        <v>H</v>
      </c>
      <c r="L750" s="166" t="str">
        <f t="shared" si="47"/>
        <v/>
      </c>
      <c r="M750" s="82"/>
      <c r="N750" s="82"/>
    </row>
    <row r="751" spans="1:14" x14ac:dyDescent="0.25">
      <c r="A751" s="170" t="s">
        <v>3074</v>
      </c>
      <c r="B751" s="170" t="s">
        <v>3075</v>
      </c>
      <c r="C751" s="170" t="s">
        <v>587</v>
      </c>
      <c r="D751" s="170" t="s">
        <v>2710</v>
      </c>
      <c r="E751" s="171" t="s">
        <v>17146</v>
      </c>
      <c r="F751" s="171" t="s">
        <v>17146</v>
      </c>
      <c r="G751" s="82"/>
      <c r="H751" s="96">
        <f t="shared" si="44"/>
        <v>1.99</v>
      </c>
      <c r="I751" s="96">
        <f t="shared" si="44"/>
        <v>1.99</v>
      </c>
      <c r="J751" s="91" t="str">
        <f t="shared" si="45"/>
        <v>Sinapi 53866</v>
      </c>
      <c r="K751" s="91" t="str">
        <f t="shared" si="46"/>
        <v>H</v>
      </c>
      <c r="L751" s="166" t="str">
        <f t="shared" si="47"/>
        <v/>
      </c>
      <c r="M751" s="82"/>
      <c r="N751" s="82"/>
    </row>
    <row r="752" spans="1:14" x14ac:dyDescent="0.25">
      <c r="A752" s="170" t="s">
        <v>3077</v>
      </c>
      <c r="B752" s="170" t="s">
        <v>3078</v>
      </c>
      <c r="C752" s="170" t="s">
        <v>587</v>
      </c>
      <c r="D752" s="170" t="s">
        <v>1947</v>
      </c>
      <c r="E752" s="171" t="s">
        <v>20484</v>
      </c>
      <c r="F752" s="171" t="s">
        <v>20484</v>
      </c>
      <c r="G752" s="82"/>
      <c r="H752" s="96">
        <f t="shared" si="44"/>
        <v>38.130000000000003</v>
      </c>
      <c r="I752" s="96">
        <f t="shared" si="44"/>
        <v>38.130000000000003</v>
      </c>
      <c r="J752" s="91" t="str">
        <f t="shared" si="45"/>
        <v>Sinapi 53882</v>
      </c>
      <c r="K752" s="91" t="str">
        <f t="shared" si="46"/>
        <v>H</v>
      </c>
      <c r="L752" s="166" t="str">
        <f t="shared" si="47"/>
        <v/>
      </c>
      <c r="M752" s="82"/>
      <c r="N752" s="82"/>
    </row>
    <row r="753" spans="1:14" x14ac:dyDescent="0.25">
      <c r="A753" s="170" t="s">
        <v>3079</v>
      </c>
      <c r="B753" s="170" t="s">
        <v>3080</v>
      </c>
      <c r="C753" s="170" t="s">
        <v>587</v>
      </c>
      <c r="D753" s="170" t="s">
        <v>2710</v>
      </c>
      <c r="E753" s="171" t="s">
        <v>30756</v>
      </c>
      <c r="F753" s="171" t="s">
        <v>30756</v>
      </c>
      <c r="G753" s="82"/>
      <c r="H753" s="96">
        <f t="shared" si="44"/>
        <v>71.62</v>
      </c>
      <c r="I753" s="96">
        <f t="shared" si="44"/>
        <v>71.62</v>
      </c>
      <c r="J753" s="91" t="str">
        <f t="shared" si="45"/>
        <v>Sinapi 55263</v>
      </c>
      <c r="K753" s="91" t="str">
        <f t="shared" si="46"/>
        <v>H</v>
      </c>
      <c r="L753" s="166" t="str">
        <f t="shared" si="47"/>
        <v/>
      </c>
      <c r="M753" s="82"/>
      <c r="N753" s="82"/>
    </row>
    <row r="754" spans="1:14" x14ac:dyDescent="0.25">
      <c r="A754" s="170" t="s">
        <v>3081</v>
      </c>
      <c r="B754" s="170" t="s">
        <v>3082</v>
      </c>
      <c r="C754" s="170" t="s">
        <v>587</v>
      </c>
      <c r="D754" s="170" t="s">
        <v>1947</v>
      </c>
      <c r="E754" s="171" t="s">
        <v>20657</v>
      </c>
      <c r="F754" s="171" t="s">
        <v>20657</v>
      </c>
      <c r="G754" s="82"/>
      <c r="H754" s="96">
        <f t="shared" si="44"/>
        <v>5.89</v>
      </c>
      <c r="I754" s="96">
        <f t="shared" si="44"/>
        <v>5.89</v>
      </c>
      <c r="J754" s="91" t="str">
        <f t="shared" si="45"/>
        <v>Sinapi 73303</v>
      </c>
      <c r="K754" s="91" t="str">
        <f t="shared" si="46"/>
        <v>H</v>
      </c>
      <c r="L754" s="166" t="str">
        <f t="shared" si="47"/>
        <v/>
      </c>
      <c r="M754" s="82"/>
      <c r="N754" s="82"/>
    </row>
    <row r="755" spans="1:14" x14ac:dyDescent="0.25">
      <c r="A755" s="170" t="s">
        <v>3083</v>
      </c>
      <c r="B755" s="170" t="s">
        <v>3084</v>
      </c>
      <c r="C755" s="170" t="s">
        <v>587</v>
      </c>
      <c r="D755" s="170" t="s">
        <v>1947</v>
      </c>
      <c r="E755" s="171" t="s">
        <v>15758</v>
      </c>
      <c r="F755" s="171" t="s">
        <v>15758</v>
      </c>
      <c r="G755" s="82"/>
      <c r="H755" s="96">
        <f t="shared" si="44"/>
        <v>5.26</v>
      </c>
      <c r="I755" s="96">
        <f t="shared" si="44"/>
        <v>5.26</v>
      </c>
      <c r="J755" s="91" t="str">
        <f t="shared" si="45"/>
        <v>Sinapi 73307</v>
      </c>
      <c r="K755" s="91" t="str">
        <f t="shared" si="46"/>
        <v>H</v>
      </c>
      <c r="L755" s="166" t="str">
        <f t="shared" si="47"/>
        <v/>
      </c>
      <c r="M755" s="82"/>
      <c r="N755" s="82"/>
    </row>
    <row r="756" spans="1:14" x14ac:dyDescent="0.25">
      <c r="A756" s="170" t="s">
        <v>3085</v>
      </c>
      <c r="B756" s="170" t="s">
        <v>3086</v>
      </c>
      <c r="C756" s="170" t="s">
        <v>587</v>
      </c>
      <c r="D756" s="170" t="s">
        <v>1947</v>
      </c>
      <c r="E756" s="171" t="s">
        <v>19958</v>
      </c>
      <c r="F756" s="171" t="s">
        <v>19958</v>
      </c>
      <c r="G756" s="82"/>
      <c r="H756" s="96">
        <f t="shared" si="44"/>
        <v>32.700000000000003</v>
      </c>
      <c r="I756" s="96">
        <f t="shared" si="44"/>
        <v>32.700000000000003</v>
      </c>
      <c r="J756" s="91" t="str">
        <f t="shared" si="45"/>
        <v>Sinapi 73309</v>
      </c>
      <c r="K756" s="91" t="str">
        <f t="shared" si="46"/>
        <v>H</v>
      </c>
      <c r="L756" s="166" t="str">
        <f t="shared" si="47"/>
        <v/>
      </c>
      <c r="M756" s="82"/>
      <c r="N756" s="82"/>
    </row>
    <row r="757" spans="1:14" x14ac:dyDescent="0.25">
      <c r="A757" s="170" t="s">
        <v>3087</v>
      </c>
      <c r="B757" s="170" t="s">
        <v>3088</v>
      </c>
      <c r="C757" s="170" t="s">
        <v>587</v>
      </c>
      <c r="D757" s="170" t="s">
        <v>2710</v>
      </c>
      <c r="E757" s="171" t="s">
        <v>32004</v>
      </c>
      <c r="F757" s="171" t="s">
        <v>32004</v>
      </c>
      <c r="G757" s="82"/>
      <c r="H757" s="96">
        <f t="shared" si="44"/>
        <v>197.97</v>
      </c>
      <c r="I757" s="96">
        <f t="shared" si="44"/>
        <v>197.97</v>
      </c>
      <c r="J757" s="91" t="str">
        <f t="shared" si="45"/>
        <v>Sinapi 73311</v>
      </c>
      <c r="K757" s="91" t="str">
        <f t="shared" si="46"/>
        <v>H</v>
      </c>
      <c r="L757" s="166" t="str">
        <f t="shared" si="47"/>
        <v/>
      </c>
      <c r="M757" s="82"/>
      <c r="N757" s="82"/>
    </row>
    <row r="758" spans="1:14" x14ac:dyDescent="0.25">
      <c r="A758" s="170" t="s">
        <v>3089</v>
      </c>
      <c r="B758" s="170" t="s">
        <v>3090</v>
      </c>
      <c r="C758" s="170" t="s">
        <v>587</v>
      </c>
      <c r="D758" s="170" t="s">
        <v>1947</v>
      </c>
      <c r="E758" s="171" t="s">
        <v>14897</v>
      </c>
      <c r="F758" s="171" t="s">
        <v>14897</v>
      </c>
      <c r="G758" s="82"/>
      <c r="H758" s="96">
        <f t="shared" si="44"/>
        <v>8.83</v>
      </c>
      <c r="I758" s="96">
        <f t="shared" si="44"/>
        <v>8.83</v>
      </c>
      <c r="J758" s="91" t="str">
        <f t="shared" si="45"/>
        <v>Sinapi 73313</v>
      </c>
      <c r="K758" s="91" t="str">
        <f t="shared" si="46"/>
        <v>H</v>
      </c>
      <c r="L758" s="166" t="str">
        <f t="shared" si="47"/>
        <v/>
      </c>
      <c r="M758" s="82"/>
      <c r="N758" s="82"/>
    </row>
    <row r="759" spans="1:14" x14ac:dyDescent="0.25">
      <c r="A759" s="170" t="s">
        <v>3091</v>
      </c>
      <c r="B759" s="170" t="s">
        <v>3092</v>
      </c>
      <c r="C759" s="170" t="s">
        <v>587</v>
      </c>
      <c r="D759" s="170" t="s">
        <v>2710</v>
      </c>
      <c r="E759" s="171" t="s">
        <v>29050</v>
      </c>
      <c r="F759" s="171" t="s">
        <v>29050</v>
      </c>
      <c r="G759" s="82"/>
      <c r="H759" s="96">
        <f t="shared" si="44"/>
        <v>63.5</v>
      </c>
      <c r="I759" s="96">
        <f t="shared" si="44"/>
        <v>63.5</v>
      </c>
      <c r="J759" s="91" t="str">
        <f t="shared" si="45"/>
        <v>Sinapi 73315</v>
      </c>
      <c r="K759" s="91" t="str">
        <f t="shared" si="46"/>
        <v>H</v>
      </c>
      <c r="L759" s="166" t="str">
        <f t="shared" si="47"/>
        <v/>
      </c>
      <c r="M759" s="82"/>
      <c r="N759" s="82"/>
    </row>
    <row r="760" spans="1:14" x14ac:dyDescent="0.25">
      <c r="A760" s="170" t="s">
        <v>3093</v>
      </c>
      <c r="B760" s="170" t="s">
        <v>3094</v>
      </c>
      <c r="C760" s="170" t="s">
        <v>587</v>
      </c>
      <c r="D760" s="170" t="s">
        <v>1947</v>
      </c>
      <c r="E760" s="171" t="s">
        <v>31593</v>
      </c>
      <c r="F760" s="171" t="s">
        <v>31593</v>
      </c>
      <c r="G760" s="82"/>
      <c r="H760" s="96">
        <f t="shared" si="44"/>
        <v>36.35</v>
      </c>
      <c r="I760" s="96">
        <f t="shared" si="44"/>
        <v>36.35</v>
      </c>
      <c r="J760" s="91" t="str">
        <f t="shared" si="45"/>
        <v>Sinapi 73335</v>
      </c>
      <c r="K760" s="91" t="str">
        <f t="shared" si="46"/>
        <v>H</v>
      </c>
      <c r="L760" s="166" t="str">
        <f t="shared" si="47"/>
        <v/>
      </c>
      <c r="M760" s="82"/>
      <c r="N760" s="82"/>
    </row>
    <row r="761" spans="1:14" x14ac:dyDescent="0.25">
      <c r="A761" s="170" t="s">
        <v>3095</v>
      </c>
      <c r="B761" s="170" t="s">
        <v>3096</v>
      </c>
      <c r="C761" s="170" t="s">
        <v>587</v>
      </c>
      <c r="D761" s="170" t="s">
        <v>2710</v>
      </c>
      <c r="E761" s="171" t="s">
        <v>23326</v>
      </c>
      <c r="F761" s="171" t="s">
        <v>23326</v>
      </c>
      <c r="G761" s="82"/>
      <c r="H761" s="96">
        <f t="shared" si="44"/>
        <v>172.03</v>
      </c>
      <c r="I761" s="96">
        <f t="shared" si="44"/>
        <v>172.03</v>
      </c>
      <c r="J761" s="91" t="str">
        <f t="shared" si="45"/>
        <v>Sinapi 73340</v>
      </c>
      <c r="K761" s="91" t="str">
        <f t="shared" si="46"/>
        <v>H</v>
      </c>
      <c r="L761" s="166" t="str">
        <f t="shared" si="47"/>
        <v/>
      </c>
      <c r="M761" s="82"/>
      <c r="N761" s="82"/>
    </row>
    <row r="762" spans="1:14" x14ac:dyDescent="0.25">
      <c r="A762" s="170" t="s">
        <v>3097</v>
      </c>
      <c r="B762" s="170" t="s">
        <v>3098</v>
      </c>
      <c r="C762" s="170" t="s">
        <v>587</v>
      </c>
      <c r="D762" s="170" t="s">
        <v>1947</v>
      </c>
      <c r="E762" s="171" t="s">
        <v>21116</v>
      </c>
      <c r="F762" s="171" t="s">
        <v>21116</v>
      </c>
      <c r="G762" s="82"/>
      <c r="H762" s="96">
        <f t="shared" si="44"/>
        <v>44.26</v>
      </c>
      <c r="I762" s="96">
        <f t="shared" si="44"/>
        <v>44.26</v>
      </c>
      <c r="J762" s="91" t="str">
        <f t="shared" si="45"/>
        <v>Sinapi 83361</v>
      </c>
      <c r="K762" s="91" t="str">
        <f t="shared" si="46"/>
        <v>H</v>
      </c>
      <c r="L762" s="166" t="str">
        <f t="shared" si="47"/>
        <v/>
      </c>
      <c r="M762" s="82"/>
      <c r="N762" s="82"/>
    </row>
    <row r="763" spans="1:14" x14ac:dyDescent="0.25">
      <c r="A763" s="170" t="s">
        <v>3099</v>
      </c>
      <c r="B763" s="170" t="s">
        <v>3100</v>
      </c>
      <c r="C763" s="170" t="s">
        <v>587</v>
      </c>
      <c r="D763" s="170" t="s">
        <v>1947</v>
      </c>
      <c r="E763" s="171" t="s">
        <v>30194</v>
      </c>
      <c r="F763" s="171" t="s">
        <v>30194</v>
      </c>
      <c r="G763" s="82"/>
      <c r="H763" s="96">
        <f t="shared" si="44"/>
        <v>7.85</v>
      </c>
      <c r="I763" s="96">
        <f t="shared" si="44"/>
        <v>7.85</v>
      </c>
      <c r="J763" s="91" t="str">
        <f t="shared" si="45"/>
        <v>Sinapi 83761</v>
      </c>
      <c r="K763" s="91" t="str">
        <f t="shared" si="46"/>
        <v>H</v>
      </c>
      <c r="L763" s="166" t="str">
        <f t="shared" si="47"/>
        <v/>
      </c>
      <c r="M763" s="82"/>
      <c r="N763" s="82"/>
    </row>
    <row r="764" spans="1:14" x14ac:dyDescent="0.25">
      <c r="A764" s="170" t="s">
        <v>3101</v>
      </c>
      <c r="B764" s="170" t="s">
        <v>3102</v>
      </c>
      <c r="C764" s="170" t="s">
        <v>587</v>
      </c>
      <c r="D764" s="170" t="s">
        <v>1947</v>
      </c>
      <c r="E764" s="171" t="s">
        <v>5213</v>
      </c>
      <c r="F764" s="171" t="s">
        <v>5213</v>
      </c>
      <c r="G764" s="82"/>
      <c r="H764" s="96">
        <f t="shared" si="44"/>
        <v>7.01</v>
      </c>
      <c r="I764" s="96">
        <f t="shared" si="44"/>
        <v>7.01</v>
      </c>
      <c r="J764" s="91" t="str">
        <f t="shared" si="45"/>
        <v>Sinapi 83762</v>
      </c>
      <c r="K764" s="91" t="str">
        <f t="shared" si="46"/>
        <v>H</v>
      </c>
      <c r="L764" s="166" t="str">
        <f t="shared" si="47"/>
        <v/>
      </c>
      <c r="M764" s="82"/>
      <c r="N764" s="82"/>
    </row>
    <row r="765" spans="1:14" x14ac:dyDescent="0.25">
      <c r="A765" s="170" t="s">
        <v>3103</v>
      </c>
      <c r="B765" s="170" t="s">
        <v>3104</v>
      </c>
      <c r="C765" s="170" t="s">
        <v>587</v>
      </c>
      <c r="D765" s="170" t="s">
        <v>2710</v>
      </c>
      <c r="E765" s="171" t="s">
        <v>32005</v>
      </c>
      <c r="F765" s="171" t="s">
        <v>32005</v>
      </c>
      <c r="G765" s="82"/>
      <c r="H765" s="96">
        <f t="shared" si="44"/>
        <v>55.79</v>
      </c>
      <c r="I765" s="96">
        <f t="shared" si="44"/>
        <v>55.79</v>
      </c>
      <c r="J765" s="91" t="str">
        <f t="shared" si="45"/>
        <v>Sinapi 83763</v>
      </c>
      <c r="K765" s="91" t="str">
        <f t="shared" si="46"/>
        <v>H</v>
      </c>
      <c r="L765" s="166" t="str">
        <f t="shared" si="47"/>
        <v/>
      </c>
      <c r="M765" s="82"/>
      <c r="N765" s="82"/>
    </row>
    <row r="766" spans="1:14" x14ac:dyDescent="0.25">
      <c r="A766" s="170" t="s">
        <v>3105</v>
      </c>
      <c r="B766" s="170" t="s">
        <v>3106</v>
      </c>
      <c r="C766" s="170" t="s">
        <v>587</v>
      </c>
      <c r="D766" s="170" t="s">
        <v>1947</v>
      </c>
      <c r="E766" s="171" t="s">
        <v>3769</v>
      </c>
      <c r="F766" s="171" t="s">
        <v>3769</v>
      </c>
      <c r="G766" s="82"/>
      <c r="H766" s="96">
        <f t="shared" si="44"/>
        <v>2.76</v>
      </c>
      <c r="I766" s="96">
        <f t="shared" si="44"/>
        <v>2.76</v>
      </c>
      <c r="J766" s="91" t="str">
        <f t="shared" si="45"/>
        <v>Sinapi 83764</v>
      </c>
      <c r="K766" s="91" t="str">
        <f t="shared" si="46"/>
        <v>H</v>
      </c>
      <c r="L766" s="166" t="str">
        <f t="shared" si="47"/>
        <v/>
      </c>
      <c r="M766" s="82"/>
      <c r="N766" s="82"/>
    </row>
    <row r="767" spans="1:14" x14ac:dyDescent="0.25">
      <c r="A767" s="170" t="s">
        <v>3108</v>
      </c>
      <c r="B767" s="170" t="s">
        <v>3109</v>
      </c>
      <c r="C767" s="170" t="s">
        <v>587</v>
      </c>
      <c r="D767" s="170" t="s">
        <v>1947</v>
      </c>
      <c r="E767" s="171" t="s">
        <v>3124</v>
      </c>
      <c r="F767" s="171" t="s">
        <v>3124</v>
      </c>
      <c r="G767" s="82"/>
      <c r="H767" s="96">
        <f t="shared" si="44"/>
        <v>0.76</v>
      </c>
      <c r="I767" s="96">
        <f t="shared" si="44"/>
        <v>0.76</v>
      </c>
      <c r="J767" s="91" t="str">
        <f t="shared" si="45"/>
        <v>Sinapi 87026</v>
      </c>
      <c r="K767" s="91" t="str">
        <f t="shared" si="46"/>
        <v>H</v>
      </c>
      <c r="L767" s="166" t="str">
        <f t="shared" si="47"/>
        <v/>
      </c>
      <c r="M767" s="82"/>
      <c r="N767" s="82"/>
    </row>
    <row r="768" spans="1:14" x14ac:dyDescent="0.25">
      <c r="A768" s="170" t="s">
        <v>3110</v>
      </c>
      <c r="B768" s="170" t="s">
        <v>21672</v>
      </c>
      <c r="C768" s="170" t="s">
        <v>587</v>
      </c>
      <c r="D768" s="170" t="s">
        <v>2067</v>
      </c>
      <c r="E768" s="171" t="s">
        <v>15582</v>
      </c>
      <c r="F768" s="171" t="s">
        <v>15582</v>
      </c>
      <c r="G768" s="82"/>
      <c r="H768" s="96">
        <f t="shared" si="44"/>
        <v>0.5</v>
      </c>
      <c r="I768" s="96">
        <f t="shared" si="44"/>
        <v>0.5</v>
      </c>
      <c r="J768" s="91" t="str">
        <f t="shared" si="45"/>
        <v>Sinapi 87441</v>
      </c>
      <c r="K768" s="91" t="str">
        <f t="shared" si="46"/>
        <v>H</v>
      </c>
      <c r="L768" s="166" t="str">
        <f t="shared" si="47"/>
        <v/>
      </c>
      <c r="M768" s="82"/>
      <c r="N768" s="82"/>
    </row>
    <row r="769" spans="1:14" x14ac:dyDescent="0.25">
      <c r="A769" s="170" t="s">
        <v>3111</v>
      </c>
      <c r="B769" s="170" t="s">
        <v>21673</v>
      </c>
      <c r="C769" s="170" t="s">
        <v>587</v>
      </c>
      <c r="D769" s="170" t="s">
        <v>2067</v>
      </c>
      <c r="E769" s="171" t="s">
        <v>2883</v>
      </c>
      <c r="F769" s="171" t="s">
        <v>2883</v>
      </c>
      <c r="G769" s="82"/>
      <c r="H769" s="96">
        <f t="shared" si="44"/>
        <v>0.12</v>
      </c>
      <c r="I769" s="96">
        <f t="shared" si="44"/>
        <v>0.12</v>
      </c>
      <c r="J769" s="91" t="str">
        <f t="shared" si="45"/>
        <v>Sinapi 87442</v>
      </c>
      <c r="K769" s="91" t="str">
        <f t="shared" si="46"/>
        <v>H</v>
      </c>
      <c r="L769" s="166" t="str">
        <f t="shared" si="47"/>
        <v/>
      </c>
      <c r="M769" s="82"/>
      <c r="N769" s="82"/>
    </row>
    <row r="770" spans="1:14" x14ac:dyDescent="0.25">
      <c r="A770" s="170" t="s">
        <v>3113</v>
      </c>
      <c r="B770" s="170" t="s">
        <v>21674</v>
      </c>
      <c r="C770" s="170" t="s">
        <v>587</v>
      </c>
      <c r="D770" s="170" t="s">
        <v>2067</v>
      </c>
      <c r="E770" s="171" t="s">
        <v>18575</v>
      </c>
      <c r="F770" s="171" t="s">
        <v>18575</v>
      </c>
      <c r="G770" s="82"/>
      <c r="H770" s="96">
        <f t="shared" si="44"/>
        <v>0.67</v>
      </c>
      <c r="I770" s="96">
        <f t="shared" si="44"/>
        <v>0.67</v>
      </c>
      <c r="J770" s="91" t="str">
        <f t="shared" si="45"/>
        <v>Sinapi 87443</v>
      </c>
      <c r="K770" s="91" t="str">
        <f t="shared" si="46"/>
        <v>H</v>
      </c>
      <c r="L770" s="166" t="str">
        <f t="shared" si="47"/>
        <v/>
      </c>
      <c r="M770" s="82"/>
      <c r="N770" s="82"/>
    </row>
    <row r="771" spans="1:14" x14ac:dyDescent="0.25">
      <c r="A771" s="170" t="s">
        <v>3115</v>
      </c>
      <c r="B771" s="170" t="s">
        <v>21675</v>
      </c>
      <c r="C771" s="170" t="s">
        <v>587</v>
      </c>
      <c r="D771" s="170" t="s">
        <v>2710</v>
      </c>
      <c r="E771" s="171" t="s">
        <v>22850</v>
      </c>
      <c r="F771" s="171" t="s">
        <v>22850</v>
      </c>
      <c r="G771" s="82"/>
      <c r="H771" s="96">
        <f t="shared" si="44"/>
        <v>4.71</v>
      </c>
      <c r="I771" s="96">
        <f t="shared" si="44"/>
        <v>4.71</v>
      </c>
      <c r="J771" s="91" t="str">
        <f t="shared" si="45"/>
        <v>Sinapi 87444</v>
      </c>
      <c r="K771" s="91" t="str">
        <f t="shared" si="46"/>
        <v>H</v>
      </c>
      <c r="L771" s="166" t="str">
        <f t="shared" si="47"/>
        <v/>
      </c>
      <c r="M771" s="82"/>
      <c r="N771" s="82"/>
    </row>
    <row r="772" spans="1:14" x14ac:dyDescent="0.25">
      <c r="A772" s="170" t="s">
        <v>3116</v>
      </c>
      <c r="B772" s="170" t="s">
        <v>21676</v>
      </c>
      <c r="C772" s="170" t="s">
        <v>587</v>
      </c>
      <c r="D772" s="170" t="s">
        <v>2067</v>
      </c>
      <c r="E772" s="171" t="s">
        <v>10110</v>
      </c>
      <c r="F772" s="171" t="s">
        <v>10110</v>
      </c>
      <c r="G772" s="82"/>
      <c r="H772" s="96">
        <f t="shared" si="44"/>
        <v>0.99</v>
      </c>
      <c r="I772" s="96">
        <f t="shared" si="44"/>
        <v>0.99</v>
      </c>
      <c r="J772" s="91" t="str">
        <f t="shared" si="45"/>
        <v>Sinapi 88387</v>
      </c>
      <c r="K772" s="91" t="str">
        <f t="shared" si="46"/>
        <v>H</v>
      </c>
      <c r="L772" s="166" t="str">
        <f t="shared" si="47"/>
        <v/>
      </c>
      <c r="M772" s="82"/>
      <c r="N772" s="82"/>
    </row>
    <row r="773" spans="1:14" x14ac:dyDescent="0.25">
      <c r="A773" s="170" t="s">
        <v>3118</v>
      </c>
      <c r="B773" s="170" t="s">
        <v>21677</v>
      </c>
      <c r="C773" s="170" t="s">
        <v>587</v>
      </c>
      <c r="D773" s="170" t="s">
        <v>2067</v>
      </c>
      <c r="E773" s="171" t="s">
        <v>2828</v>
      </c>
      <c r="F773" s="171" t="s">
        <v>2828</v>
      </c>
      <c r="G773" s="82"/>
      <c r="H773" s="96">
        <f t="shared" si="44"/>
        <v>0.24</v>
      </c>
      <c r="I773" s="96">
        <f t="shared" si="44"/>
        <v>0.24</v>
      </c>
      <c r="J773" s="91" t="str">
        <f t="shared" si="45"/>
        <v>Sinapi 88389</v>
      </c>
      <c r="K773" s="91" t="str">
        <f t="shared" si="46"/>
        <v>H</v>
      </c>
      <c r="L773" s="166" t="str">
        <f t="shared" si="47"/>
        <v/>
      </c>
      <c r="M773" s="82"/>
      <c r="N773" s="82"/>
    </row>
    <row r="774" spans="1:14" x14ac:dyDescent="0.25">
      <c r="A774" s="170" t="s">
        <v>3120</v>
      </c>
      <c r="B774" s="170" t="s">
        <v>21678</v>
      </c>
      <c r="C774" s="170" t="s">
        <v>587</v>
      </c>
      <c r="D774" s="170" t="s">
        <v>2067</v>
      </c>
      <c r="E774" s="171" t="s">
        <v>19811</v>
      </c>
      <c r="F774" s="171" t="s">
        <v>19811</v>
      </c>
      <c r="G774" s="82"/>
      <c r="H774" s="96">
        <f t="shared" si="44"/>
        <v>1.1499999999999999</v>
      </c>
      <c r="I774" s="96">
        <f t="shared" si="44"/>
        <v>1.1499999999999999</v>
      </c>
      <c r="J774" s="91" t="str">
        <f t="shared" si="45"/>
        <v>Sinapi 88390</v>
      </c>
      <c r="K774" s="91" t="str">
        <f t="shared" si="46"/>
        <v>H</v>
      </c>
      <c r="L774" s="166" t="str">
        <f t="shared" si="47"/>
        <v/>
      </c>
      <c r="M774" s="82"/>
      <c r="N774" s="82"/>
    </row>
    <row r="775" spans="1:14" x14ac:dyDescent="0.25">
      <c r="A775" s="170" t="s">
        <v>3122</v>
      </c>
      <c r="B775" s="170" t="s">
        <v>21679</v>
      </c>
      <c r="C775" s="170" t="s">
        <v>587</v>
      </c>
      <c r="D775" s="170" t="s">
        <v>2067</v>
      </c>
      <c r="E775" s="171" t="s">
        <v>15508</v>
      </c>
      <c r="F775" s="171" t="s">
        <v>15508</v>
      </c>
      <c r="G775" s="82"/>
      <c r="H775" s="96">
        <f t="shared" si="44"/>
        <v>3.25</v>
      </c>
      <c r="I775" s="96">
        <f t="shared" si="44"/>
        <v>3.25</v>
      </c>
      <c r="J775" s="91" t="str">
        <f t="shared" si="45"/>
        <v>Sinapi 88391</v>
      </c>
      <c r="K775" s="91" t="str">
        <f t="shared" si="46"/>
        <v>H</v>
      </c>
      <c r="L775" s="166" t="str">
        <f t="shared" si="47"/>
        <v/>
      </c>
      <c r="M775" s="82"/>
      <c r="N775" s="82"/>
    </row>
    <row r="776" spans="1:14" x14ac:dyDescent="0.25">
      <c r="A776" s="170" t="s">
        <v>3123</v>
      </c>
      <c r="B776" s="170" t="s">
        <v>21680</v>
      </c>
      <c r="C776" s="170" t="s">
        <v>587</v>
      </c>
      <c r="D776" s="170" t="s">
        <v>2067</v>
      </c>
      <c r="E776" s="171" t="s">
        <v>16300</v>
      </c>
      <c r="F776" s="171" t="s">
        <v>16300</v>
      </c>
      <c r="G776" s="82"/>
      <c r="H776" s="96">
        <f t="shared" ref="H776:I839" si="48">IF(E776="","",E776+0)</f>
        <v>1.17</v>
      </c>
      <c r="I776" s="96">
        <f t="shared" si="48"/>
        <v>1.17</v>
      </c>
      <c r="J776" s="91" t="str">
        <f t="shared" ref="J776:J839" si="49">IF(OR(H776="",I776=""),"",TRIM(CONCATENATE("Sinapi ",A776)))</f>
        <v>Sinapi 88394</v>
      </c>
      <c r="K776" s="91" t="str">
        <f t="shared" ref="K776:K839" si="50">TRIM(C776)</f>
        <v>H</v>
      </c>
      <c r="L776" s="166" t="str">
        <f t="shared" ref="L776:L839" si="51">IF(OR(RIGHT(IF(AND(K776&lt;&gt;"H",K776&lt;&gt;"MES"),RIGHT(B776,7),""),2)="PS",RIGHT(IF(AND(K776&lt;&gt;"H",K776&lt;&gt;"MES"),RIGHT(B776,7),""),2)="PA",RIGHT(IF(AND(K776&lt;&gt;"H",K776&lt;&gt;"MES"),RIGHT(B776,7),""),2)="PE"),LEFT(IF(AND(K776&lt;&gt;"H",K776&lt;&gt;"MES"),RIGHT(B776,10),""),7),IF(AND(K776&lt;&gt;"H",K776&lt;&gt;"MES"),RIGHT(B776,7),""))</f>
        <v/>
      </c>
      <c r="M776" s="82"/>
      <c r="N776" s="82"/>
    </row>
    <row r="777" spans="1:14" x14ac:dyDescent="0.25">
      <c r="A777" s="170" t="s">
        <v>3125</v>
      </c>
      <c r="B777" s="170" t="s">
        <v>21681</v>
      </c>
      <c r="C777" s="170" t="s">
        <v>587</v>
      </c>
      <c r="D777" s="170" t="s">
        <v>2067</v>
      </c>
      <c r="E777" s="171" t="s">
        <v>2981</v>
      </c>
      <c r="F777" s="171" t="s">
        <v>2981</v>
      </c>
      <c r="G777" s="82"/>
      <c r="H777" s="96">
        <f t="shared" si="48"/>
        <v>0.28999999999999998</v>
      </c>
      <c r="I777" s="96">
        <f t="shared" si="48"/>
        <v>0.28999999999999998</v>
      </c>
      <c r="J777" s="91" t="str">
        <f t="shared" si="49"/>
        <v>Sinapi 88395</v>
      </c>
      <c r="K777" s="91" t="str">
        <f t="shared" si="50"/>
        <v>H</v>
      </c>
      <c r="L777" s="166" t="str">
        <f t="shared" si="51"/>
        <v/>
      </c>
      <c r="M777" s="82"/>
      <c r="N777" s="82"/>
    </row>
    <row r="778" spans="1:14" x14ac:dyDescent="0.25">
      <c r="A778" s="170" t="s">
        <v>3127</v>
      </c>
      <c r="B778" s="170" t="s">
        <v>21682</v>
      </c>
      <c r="C778" s="170" t="s">
        <v>587</v>
      </c>
      <c r="D778" s="170" t="s">
        <v>2067</v>
      </c>
      <c r="E778" s="171" t="s">
        <v>8384</v>
      </c>
      <c r="F778" s="171" t="s">
        <v>8384</v>
      </c>
      <c r="G778" s="82"/>
      <c r="H778" s="96">
        <f t="shared" si="48"/>
        <v>1.37</v>
      </c>
      <c r="I778" s="96">
        <f t="shared" si="48"/>
        <v>1.37</v>
      </c>
      <c r="J778" s="91" t="str">
        <f t="shared" si="49"/>
        <v>Sinapi 88396</v>
      </c>
      <c r="K778" s="91" t="str">
        <f t="shared" si="50"/>
        <v>H</v>
      </c>
      <c r="L778" s="166" t="str">
        <f t="shared" si="51"/>
        <v/>
      </c>
      <c r="M778" s="82"/>
      <c r="N778" s="82"/>
    </row>
    <row r="779" spans="1:14" x14ac:dyDescent="0.25">
      <c r="A779" s="170" t="s">
        <v>3128</v>
      </c>
      <c r="B779" s="170" t="s">
        <v>21683</v>
      </c>
      <c r="C779" s="170" t="s">
        <v>587</v>
      </c>
      <c r="D779" s="170" t="s">
        <v>2067</v>
      </c>
      <c r="E779" s="171" t="s">
        <v>10384</v>
      </c>
      <c r="F779" s="171" t="s">
        <v>10384</v>
      </c>
      <c r="G779" s="82"/>
      <c r="H779" s="96">
        <f t="shared" si="48"/>
        <v>4.87</v>
      </c>
      <c r="I779" s="96">
        <f t="shared" si="48"/>
        <v>4.87</v>
      </c>
      <c r="J779" s="91" t="str">
        <f t="shared" si="49"/>
        <v>Sinapi 88397</v>
      </c>
      <c r="K779" s="91" t="str">
        <f t="shared" si="50"/>
        <v>H</v>
      </c>
      <c r="L779" s="166" t="str">
        <f t="shared" si="51"/>
        <v/>
      </c>
      <c r="M779" s="82"/>
      <c r="N779" s="82"/>
    </row>
    <row r="780" spans="1:14" x14ac:dyDescent="0.25">
      <c r="A780" s="170" t="s">
        <v>3129</v>
      </c>
      <c r="B780" s="170" t="s">
        <v>21684</v>
      </c>
      <c r="C780" s="170" t="s">
        <v>587</v>
      </c>
      <c r="D780" s="170" t="s">
        <v>2067</v>
      </c>
      <c r="E780" s="171" t="s">
        <v>19294</v>
      </c>
      <c r="F780" s="171" t="s">
        <v>19294</v>
      </c>
      <c r="G780" s="82"/>
      <c r="H780" s="96">
        <f t="shared" si="48"/>
        <v>0.93</v>
      </c>
      <c r="I780" s="96">
        <f t="shared" si="48"/>
        <v>0.93</v>
      </c>
      <c r="J780" s="91" t="str">
        <f t="shared" si="49"/>
        <v>Sinapi 88400</v>
      </c>
      <c r="K780" s="91" t="str">
        <f t="shared" si="50"/>
        <v>H</v>
      </c>
      <c r="L780" s="166" t="str">
        <f t="shared" si="51"/>
        <v/>
      </c>
      <c r="M780" s="82"/>
      <c r="N780" s="82"/>
    </row>
    <row r="781" spans="1:14" x14ac:dyDescent="0.25">
      <c r="A781" s="170" t="s">
        <v>3130</v>
      </c>
      <c r="B781" s="170" t="s">
        <v>21685</v>
      </c>
      <c r="C781" s="170" t="s">
        <v>587</v>
      </c>
      <c r="D781" s="170" t="s">
        <v>2067</v>
      </c>
      <c r="E781" s="171" t="s">
        <v>9258</v>
      </c>
      <c r="F781" s="171" t="s">
        <v>9258</v>
      </c>
      <c r="G781" s="82"/>
      <c r="H781" s="96">
        <f t="shared" si="48"/>
        <v>0.23</v>
      </c>
      <c r="I781" s="96">
        <f t="shared" si="48"/>
        <v>0.23</v>
      </c>
      <c r="J781" s="91" t="str">
        <f t="shared" si="49"/>
        <v>Sinapi 88401</v>
      </c>
      <c r="K781" s="91" t="str">
        <f t="shared" si="50"/>
        <v>H</v>
      </c>
      <c r="L781" s="166" t="str">
        <f t="shared" si="51"/>
        <v/>
      </c>
      <c r="M781" s="82"/>
      <c r="N781" s="82"/>
    </row>
    <row r="782" spans="1:14" x14ac:dyDescent="0.25">
      <c r="A782" s="170" t="s">
        <v>3131</v>
      </c>
      <c r="B782" s="170" t="s">
        <v>21686</v>
      </c>
      <c r="C782" s="170" t="s">
        <v>587</v>
      </c>
      <c r="D782" s="170" t="s">
        <v>2067</v>
      </c>
      <c r="E782" s="171" t="s">
        <v>2726</v>
      </c>
      <c r="F782" s="171" t="s">
        <v>2726</v>
      </c>
      <c r="G782" s="82"/>
      <c r="H782" s="96">
        <f t="shared" si="48"/>
        <v>1.0900000000000001</v>
      </c>
      <c r="I782" s="96">
        <f t="shared" si="48"/>
        <v>1.0900000000000001</v>
      </c>
      <c r="J782" s="91" t="str">
        <f t="shared" si="49"/>
        <v>Sinapi 88402</v>
      </c>
      <c r="K782" s="91" t="str">
        <f t="shared" si="50"/>
        <v>H</v>
      </c>
      <c r="L782" s="166" t="str">
        <f t="shared" si="51"/>
        <v/>
      </c>
      <c r="M782" s="82"/>
      <c r="N782" s="82"/>
    </row>
    <row r="783" spans="1:14" x14ac:dyDescent="0.25">
      <c r="A783" s="170" t="s">
        <v>3132</v>
      </c>
      <c r="B783" s="170" t="s">
        <v>21687</v>
      </c>
      <c r="C783" s="170" t="s">
        <v>587</v>
      </c>
      <c r="D783" s="170" t="s">
        <v>2067</v>
      </c>
      <c r="E783" s="171" t="s">
        <v>32006</v>
      </c>
      <c r="F783" s="171" t="s">
        <v>32006</v>
      </c>
      <c r="G783" s="82"/>
      <c r="H783" s="96">
        <f t="shared" si="48"/>
        <v>1.95</v>
      </c>
      <c r="I783" s="96">
        <f t="shared" si="48"/>
        <v>1.95</v>
      </c>
      <c r="J783" s="91" t="str">
        <f t="shared" si="49"/>
        <v>Sinapi 88403</v>
      </c>
      <c r="K783" s="91" t="str">
        <f t="shared" si="50"/>
        <v>H</v>
      </c>
      <c r="L783" s="166" t="str">
        <f t="shared" si="51"/>
        <v/>
      </c>
      <c r="M783" s="82"/>
      <c r="N783" s="82"/>
    </row>
    <row r="784" spans="1:14" x14ac:dyDescent="0.25">
      <c r="A784" s="170" t="s">
        <v>3134</v>
      </c>
      <c r="B784" s="170" t="s">
        <v>3135</v>
      </c>
      <c r="C784" s="170" t="s">
        <v>587</v>
      </c>
      <c r="D784" s="170" t="s">
        <v>2067</v>
      </c>
      <c r="E784" s="171" t="s">
        <v>19404</v>
      </c>
      <c r="F784" s="171" t="s">
        <v>19404</v>
      </c>
      <c r="G784" s="82"/>
      <c r="H784" s="96">
        <f t="shared" si="48"/>
        <v>6.49</v>
      </c>
      <c r="I784" s="96">
        <f t="shared" si="48"/>
        <v>6.49</v>
      </c>
      <c r="J784" s="91" t="str">
        <f t="shared" si="49"/>
        <v>Sinapi 88419</v>
      </c>
      <c r="K784" s="91" t="str">
        <f t="shared" si="50"/>
        <v>H</v>
      </c>
      <c r="L784" s="166" t="str">
        <f t="shared" si="51"/>
        <v/>
      </c>
      <c r="M784" s="82"/>
      <c r="N784" s="82"/>
    </row>
    <row r="785" spans="1:14" x14ac:dyDescent="0.25">
      <c r="A785" s="170" t="s">
        <v>3136</v>
      </c>
      <c r="B785" s="170" t="s">
        <v>3137</v>
      </c>
      <c r="C785" s="170" t="s">
        <v>587</v>
      </c>
      <c r="D785" s="170" t="s">
        <v>2067</v>
      </c>
      <c r="E785" s="171" t="s">
        <v>2116</v>
      </c>
      <c r="F785" s="171" t="s">
        <v>2116</v>
      </c>
      <c r="G785" s="82"/>
      <c r="H785" s="96">
        <f t="shared" si="48"/>
        <v>1.5</v>
      </c>
      <c r="I785" s="96">
        <f t="shared" si="48"/>
        <v>1.5</v>
      </c>
      <c r="J785" s="91" t="str">
        <f t="shared" si="49"/>
        <v>Sinapi 88422</v>
      </c>
      <c r="K785" s="91" t="str">
        <f t="shared" si="50"/>
        <v>H</v>
      </c>
      <c r="L785" s="166" t="str">
        <f t="shared" si="51"/>
        <v/>
      </c>
      <c r="M785" s="82"/>
      <c r="N785" s="82"/>
    </row>
    <row r="786" spans="1:14" x14ac:dyDescent="0.25">
      <c r="A786" s="170" t="s">
        <v>3139</v>
      </c>
      <c r="B786" s="170" t="s">
        <v>3140</v>
      </c>
      <c r="C786" s="170" t="s">
        <v>587</v>
      </c>
      <c r="D786" s="170" t="s">
        <v>2067</v>
      </c>
      <c r="E786" s="171" t="s">
        <v>5267</v>
      </c>
      <c r="F786" s="171" t="s">
        <v>5267</v>
      </c>
      <c r="G786" s="82"/>
      <c r="H786" s="96">
        <f t="shared" si="48"/>
        <v>8.1199999999999992</v>
      </c>
      <c r="I786" s="96">
        <f t="shared" si="48"/>
        <v>8.1199999999999992</v>
      </c>
      <c r="J786" s="91" t="str">
        <f t="shared" si="49"/>
        <v>Sinapi 88425</v>
      </c>
      <c r="K786" s="91" t="str">
        <f t="shared" si="50"/>
        <v>H</v>
      </c>
      <c r="L786" s="166" t="str">
        <f t="shared" si="51"/>
        <v/>
      </c>
      <c r="M786" s="82"/>
      <c r="N786" s="82"/>
    </row>
    <row r="787" spans="1:14" x14ac:dyDescent="0.25">
      <c r="A787" s="170" t="s">
        <v>3141</v>
      </c>
      <c r="B787" s="170" t="s">
        <v>3142</v>
      </c>
      <c r="C787" s="170" t="s">
        <v>587</v>
      </c>
      <c r="D787" s="170" t="s">
        <v>2067</v>
      </c>
      <c r="E787" s="171" t="s">
        <v>3492</v>
      </c>
      <c r="F787" s="171" t="s">
        <v>3492</v>
      </c>
      <c r="G787" s="82"/>
      <c r="H787" s="96">
        <f t="shared" si="48"/>
        <v>1.1000000000000001</v>
      </c>
      <c r="I787" s="96">
        <f t="shared" si="48"/>
        <v>1.1000000000000001</v>
      </c>
      <c r="J787" s="91" t="str">
        <f t="shared" si="49"/>
        <v>Sinapi 88427</v>
      </c>
      <c r="K787" s="91" t="str">
        <f t="shared" si="50"/>
        <v>H</v>
      </c>
      <c r="L787" s="166" t="str">
        <f t="shared" si="51"/>
        <v/>
      </c>
      <c r="M787" s="82"/>
      <c r="N787" s="82"/>
    </row>
    <row r="788" spans="1:14" x14ac:dyDescent="0.25">
      <c r="A788" s="170" t="s">
        <v>3144</v>
      </c>
      <c r="B788" s="170" t="s">
        <v>3145</v>
      </c>
      <c r="C788" s="170" t="s">
        <v>587</v>
      </c>
      <c r="D788" s="170" t="s">
        <v>2067</v>
      </c>
      <c r="E788" s="171" t="s">
        <v>15689</v>
      </c>
      <c r="F788" s="171" t="s">
        <v>15689</v>
      </c>
      <c r="G788" s="82"/>
      <c r="H788" s="96">
        <f t="shared" si="48"/>
        <v>8.61</v>
      </c>
      <c r="I788" s="96">
        <f t="shared" si="48"/>
        <v>8.61</v>
      </c>
      <c r="J788" s="91" t="str">
        <f t="shared" si="49"/>
        <v>Sinapi 88434</v>
      </c>
      <c r="K788" s="91" t="str">
        <f t="shared" si="50"/>
        <v>H</v>
      </c>
      <c r="L788" s="166" t="str">
        <f t="shared" si="51"/>
        <v/>
      </c>
      <c r="M788" s="82"/>
      <c r="N788" s="82"/>
    </row>
    <row r="789" spans="1:14" x14ac:dyDescent="0.25">
      <c r="A789" s="170" t="s">
        <v>3146</v>
      </c>
      <c r="B789" s="170" t="s">
        <v>3147</v>
      </c>
      <c r="C789" s="170" t="s">
        <v>587</v>
      </c>
      <c r="D789" s="170" t="s">
        <v>2067</v>
      </c>
      <c r="E789" s="171" t="s">
        <v>17146</v>
      </c>
      <c r="F789" s="171" t="s">
        <v>17146</v>
      </c>
      <c r="G789" s="82"/>
      <c r="H789" s="96">
        <f t="shared" si="48"/>
        <v>1.99</v>
      </c>
      <c r="I789" s="96">
        <f t="shared" si="48"/>
        <v>1.99</v>
      </c>
      <c r="J789" s="91" t="str">
        <f t="shared" si="49"/>
        <v>Sinapi 88435</v>
      </c>
      <c r="K789" s="91" t="str">
        <f t="shared" si="50"/>
        <v>H</v>
      </c>
      <c r="L789" s="166" t="str">
        <f t="shared" si="51"/>
        <v/>
      </c>
      <c r="M789" s="82"/>
      <c r="N789" s="82"/>
    </row>
    <row r="790" spans="1:14" x14ac:dyDescent="0.25">
      <c r="A790" s="170" t="s">
        <v>3149</v>
      </c>
      <c r="B790" s="170" t="s">
        <v>3150</v>
      </c>
      <c r="C790" s="170" t="s">
        <v>587</v>
      </c>
      <c r="D790" s="170" t="s">
        <v>2067</v>
      </c>
      <c r="E790" s="171" t="s">
        <v>15635</v>
      </c>
      <c r="F790" s="171" t="s">
        <v>15635</v>
      </c>
      <c r="G790" s="82"/>
      <c r="H790" s="96">
        <f t="shared" si="48"/>
        <v>10.76</v>
      </c>
      <c r="I790" s="96">
        <f t="shared" si="48"/>
        <v>10.76</v>
      </c>
      <c r="J790" s="91" t="str">
        <f t="shared" si="49"/>
        <v>Sinapi 88436</v>
      </c>
      <c r="K790" s="91" t="str">
        <f t="shared" si="50"/>
        <v>H</v>
      </c>
      <c r="L790" s="166" t="str">
        <f t="shared" si="51"/>
        <v/>
      </c>
      <c r="M790" s="82"/>
      <c r="N790" s="82"/>
    </row>
    <row r="791" spans="1:14" x14ac:dyDescent="0.25">
      <c r="A791" s="170" t="s">
        <v>3151</v>
      </c>
      <c r="B791" s="170" t="s">
        <v>3152</v>
      </c>
      <c r="C791" s="170" t="s">
        <v>587</v>
      </c>
      <c r="D791" s="170" t="s">
        <v>2067</v>
      </c>
      <c r="E791" s="171" t="s">
        <v>3492</v>
      </c>
      <c r="F791" s="171" t="s">
        <v>3492</v>
      </c>
      <c r="G791" s="82"/>
      <c r="H791" s="96">
        <f t="shared" si="48"/>
        <v>1.1000000000000001</v>
      </c>
      <c r="I791" s="96">
        <f t="shared" si="48"/>
        <v>1.1000000000000001</v>
      </c>
      <c r="J791" s="91" t="str">
        <f t="shared" si="49"/>
        <v>Sinapi 88437</v>
      </c>
      <c r="K791" s="91" t="str">
        <f t="shared" si="50"/>
        <v>H</v>
      </c>
      <c r="L791" s="166" t="str">
        <f t="shared" si="51"/>
        <v/>
      </c>
      <c r="M791" s="82"/>
      <c r="N791" s="82"/>
    </row>
    <row r="792" spans="1:14" x14ac:dyDescent="0.25">
      <c r="A792" s="170" t="s">
        <v>3153</v>
      </c>
      <c r="B792" s="170" t="s">
        <v>3154</v>
      </c>
      <c r="C792" s="170" t="s">
        <v>587</v>
      </c>
      <c r="D792" s="170" t="s">
        <v>1947</v>
      </c>
      <c r="E792" s="171" t="s">
        <v>13579</v>
      </c>
      <c r="F792" s="171" t="s">
        <v>13579</v>
      </c>
      <c r="G792" s="82"/>
      <c r="H792" s="96">
        <f t="shared" si="48"/>
        <v>3.96</v>
      </c>
      <c r="I792" s="96">
        <f t="shared" si="48"/>
        <v>3.96</v>
      </c>
      <c r="J792" s="91" t="str">
        <f t="shared" si="49"/>
        <v>Sinapi 88569</v>
      </c>
      <c r="K792" s="91" t="str">
        <f t="shared" si="50"/>
        <v>H</v>
      </c>
      <c r="L792" s="166" t="str">
        <f t="shared" si="51"/>
        <v/>
      </c>
      <c r="M792" s="82"/>
      <c r="N792" s="82"/>
    </row>
    <row r="793" spans="1:14" x14ac:dyDescent="0.25">
      <c r="A793" s="170" t="s">
        <v>3155</v>
      </c>
      <c r="B793" s="170" t="s">
        <v>3156</v>
      </c>
      <c r="C793" s="170" t="s">
        <v>587</v>
      </c>
      <c r="D793" s="170" t="s">
        <v>1947</v>
      </c>
      <c r="E793" s="171" t="s">
        <v>9557</v>
      </c>
      <c r="F793" s="171" t="s">
        <v>9557</v>
      </c>
      <c r="G793" s="82"/>
      <c r="H793" s="96">
        <f t="shared" si="48"/>
        <v>1.28</v>
      </c>
      <c r="I793" s="96">
        <f t="shared" si="48"/>
        <v>1.28</v>
      </c>
      <c r="J793" s="91" t="str">
        <f t="shared" si="49"/>
        <v>Sinapi 88570</v>
      </c>
      <c r="K793" s="91" t="str">
        <f t="shared" si="50"/>
        <v>H</v>
      </c>
      <c r="L793" s="166" t="str">
        <f t="shared" si="51"/>
        <v/>
      </c>
      <c r="M793" s="82"/>
      <c r="N793" s="82"/>
    </row>
    <row r="794" spans="1:14" x14ac:dyDescent="0.25">
      <c r="A794" s="170" t="s">
        <v>3157</v>
      </c>
      <c r="B794" s="170" t="s">
        <v>21688</v>
      </c>
      <c r="C794" s="170" t="s">
        <v>587</v>
      </c>
      <c r="D794" s="170" t="s">
        <v>2710</v>
      </c>
      <c r="E794" s="171" t="s">
        <v>3430</v>
      </c>
      <c r="F794" s="171" t="s">
        <v>3430</v>
      </c>
      <c r="G794" s="82"/>
      <c r="H794" s="96">
        <f t="shared" si="48"/>
        <v>0.37</v>
      </c>
      <c r="I794" s="96">
        <f t="shared" si="48"/>
        <v>0.37</v>
      </c>
      <c r="J794" s="91" t="str">
        <f t="shared" si="49"/>
        <v>Sinapi 88826</v>
      </c>
      <c r="K794" s="91" t="str">
        <f t="shared" si="50"/>
        <v>H</v>
      </c>
      <c r="L794" s="166" t="str">
        <f t="shared" si="51"/>
        <v/>
      </c>
      <c r="M794" s="82"/>
      <c r="N794" s="82"/>
    </row>
    <row r="795" spans="1:14" x14ac:dyDescent="0.25">
      <c r="A795" s="170" t="s">
        <v>3158</v>
      </c>
      <c r="B795" s="170" t="s">
        <v>21689</v>
      </c>
      <c r="C795" s="170" t="s">
        <v>587</v>
      </c>
      <c r="D795" s="170" t="s">
        <v>2710</v>
      </c>
      <c r="E795" s="171" t="s">
        <v>3126</v>
      </c>
      <c r="F795" s="171" t="s">
        <v>3126</v>
      </c>
      <c r="G795" s="82"/>
      <c r="H795" s="96">
        <f t="shared" si="48"/>
        <v>0.09</v>
      </c>
      <c r="I795" s="96">
        <f t="shared" si="48"/>
        <v>0.09</v>
      </c>
      <c r="J795" s="91" t="str">
        <f t="shared" si="49"/>
        <v>Sinapi 88827</v>
      </c>
      <c r="K795" s="91" t="str">
        <f t="shared" si="50"/>
        <v>H</v>
      </c>
      <c r="L795" s="166" t="str">
        <f t="shared" si="51"/>
        <v/>
      </c>
      <c r="M795" s="82"/>
      <c r="N795" s="82"/>
    </row>
    <row r="796" spans="1:14" x14ac:dyDescent="0.25">
      <c r="A796" s="170" t="s">
        <v>3159</v>
      </c>
      <c r="B796" s="170" t="s">
        <v>21690</v>
      </c>
      <c r="C796" s="170" t="s">
        <v>587</v>
      </c>
      <c r="D796" s="170" t="s">
        <v>2710</v>
      </c>
      <c r="E796" s="171" t="s">
        <v>20018</v>
      </c>
      <c r="F796" s="171" t="s">
        <v>20018</v>
      </c>
      <c r="G796" s="82"/>
      <c r="H796" s="96">
        <f t="shared" si="48"/>
        <v>0.43</v>
      </c>
      <c r="I796" s="96">
        <f t="shared" si="48"/>
        <v>0.43</v>
      </c>
      <c r="J796" s="91" t="str">
        <f t="shared" si="49"/>
        <v>Sinapi 88828</v>
      </c>
      <c r="K796" s="91" t="str">
        <f t="shared" si="50"/>
        <v>H</v>
      </c>
      <c r="L796" s="166" t="str">
        <f t="shared" si="51"/>
        <v/>
      </c>
      <c r="M796" s="82"/>
      <c r="N796" s="82"/>
    </row>
    <row r="797" spans="1:14" x14ac:dyDescent="0.25">
      <c r="A797" s="170" t="s">
        <v>3161</v>
      </c>
      <c r="B797" s="170" t="s">
        <v>21691</v>
      </c>
      <c r="C797" s="170" t="s">
        <v>587</v>
      </c>
      <c r="D797" s="170" t="s">
        <v>2067</v>
      </c>
      <c r="E797" s="171" t="s">
        <v>3966</v>
      </c>
      <c r="F797" s="171" t="s">
        <v>3966</v>
      </c>
      <c r="G797" s="82"/>
      <c r="H797" s="96">
        <f t="shared" si="48"/>
        <v>1.3</v>
      </c>
      <c r="I797" s="96">
        <f t="shared" si="48"/>
        <v>1.3</v>
      </c>
      <c r="J797" s="91" t="str">
        <f t="shared" si="49"/>
        <v>Sinapi 88829</v>
      </c>
      <c r="K797" s="91" t="str">
        <f t="shared" si="50"/>
        <v>H</v>
      </c>
      <c r="L797" s="166" t="str">
        <f t="shared" si="51"/>
        <v/>
      </c>
      <c r="M797" s="82"/>
      <c r="N797" s="82"/>
    </row>
    <row r="798" spans="1:14" x14ac:dyDescent="0.25">
      <c r="A798" s="170" t="s">
        <v>3162</v>
      </c>
      <c r="B798" s="170" t="s">
        <v>3163</v>
      </c>
      <c r="C798" s="170" t="s">
        <v>587</v>
      </c>
      <c r="D798" s="170" t="s">
        <v>1947</v>
      </c>
      <c r="E798" s="171" t="s">
        <v>32007</v>
      </c>
      <c r="F798" s="171" t="s">
        <v>32007</v>
      </c>
      <c r="G798" s="82"/>
      <c r="H798" s="96">
        <f t="shared" si="48"/>
        <v>43.25</v>
      </c>
      <c r="I798" s="96">
        <f t="shared" si="48"/>
        <v>43.25</v>
      </c>
      <c r="J798" s="91" t="str">
        <f t="shared" si="49"/>
        <v>Sinapi 88832</v>
      </c>
      <c r="K798" s="91" t="str">
        <f t="shared" si="50"/>
        <v>H</v>
      </c>
      <c r="L798" s="166" t="str">
        <f t="shared" si="51"/>
        <v/>
      </c>
      <c r="M798" s="82"/>
      <c r="N798" s="82"/>
    </row>
    <row r="799" spans="1:14" x14ac:dyDescent="0.25">
      <c r="A799" s="170" t="s">
        <v>3164</v>
      </c>
      <c r="B799" s="170" t="s">
        <v>3165</v>
      </c>
      <c r="C799" s="170" t="s">
        <v>587</v>
      </c>
      <c r="D799" s="170" t="s">
        <v>1947</v>
      </c>
      <c r="E799" s="171" t="s">
        <v>21506</v>
      </c>
      <c r="F799" s="171" t="s">
        <v>21506</v>
      </c>
      <c r="G799" s="82"/>
      <c r="H799" s="96">
        <f t="shared" si="48"/>
        <v>11.43</v>
      </c>
      <c r="I799" s="96">
        <f t="shared" si="48"/>
        <v>11.43</v>
      </c>
      <c r="J799" s="91" t="str">
        <f t="shared" si="49"/>
        <v>Sinapi 88834</v>
      </c>
      <c r="K799" s="91" t="str">
        <f t="shared" si="50"/>
        <v>H</v>
      </c>
      <c r="L799" s="166" t="str">
        <f t="shared" si="51"/>
        <v/>
      </c>
      <c r="M799" s="82"/>
      <c r="N799" s="82"/>
    </row>
    <row r="800" spans="1:14" x14ac:dyDescent="0.25">
      <c r="A800" s="170" t="s">
        <v>3166</v>
      </c>
      <c r="B800" s="170" t="s">
        <v>3167</v>
      </c>
      <c r="C800" s="170" t="s">
        <v>587</v>
      </c>
      <c r="D800" s="170" t="s">
        <v>1947</v>
      </c>
      <c r="E800" s="171" t="s">
        <v>32008</v>
      </c>
      <c r="F800" s="171" t="s">
        <v>32008</v>
      </c>
      <c r="G800" s="82"/>
      <c r="H800" s="96">
        <f t="shared" si="48"/>
        <v>54.07</v>
      </c>
      <c r="I800" s="96">
        <f t="shared" si="48"/>
        <v>54.07</v>
      </c>
      <c r="J800" s="91" t="str">
        <f t="shared" si="49"/>
        <v>Sinapi 88835</v>
      </c>
      <c r="K800" s="91" t="str">
        <f t="shared" si="50"/>
        <v>H</v>
      </c>
      <c r="L800" s="166" t="str">
        <f t="shared" si="51"/>
        <v/>
      </c>
      <c r="M800" s="82"/>
      <c r="N800" s="82"/>
    </row>
    <row r="801" spans="1:14" x14ac:dyDescent="0.25">
      <c r="A801" s="170" t="s">
        <v>3168</v>
      </c>
      <c r="B801" s="170" t="s">
        <v>3169</v>
      </c>
      <c r="C801" s="170" t="s">
        <v>587</v>
      </c>
      <c r="D801" s="170" t="s">
        <v>2710</v>
      </c>
      <c r="E801" s="171" t="s">
        <v>32009</v>
      </c>
      <c r="F801" s="171" t="s">
        <v>32009</v>
      </c>
      <c r="G801" s="82"/>
      <c r="H801" s="96">
        <f t="shared" si="48"/>
        <v>70.95</v>
      </c>
      <c r="I801" s="96">
        <f t="shared" si="48"/>
        <v>70.95</v>
      </c>
      <c r="J801" s="91" t="str">
        <f t="shared" si="49"/>
        <v>Sinapi 88836</v>
      </c>
      <c r="K801" s="91" t="str">
        <f t="shared" si="50"/>
        <v>H</v>
      </c>
      <c r="L801" s="166" t="str">
        <f t="shared" si="51"/>
        <v/>
      </c>
      <c r="M801" s="82"/>
      <c r="N801" s="82"/>
    </row>
    <row r="802" spans="1:14" x14ac:dyDescent="0.25">
      <c r="A802" s="170" t="s">
        <v>3170</v>
      </c>
      <c r="B802" s="170" t="s">
        <v>3171</v>
      </c>
      <c r="C802" s="170" t="s">
        <v>587</v>
      </c>
      <c r="D802" s="170" t="s">
        <v>1947</v>
      </c>
      <c r="E802" s="171" t="s">
        <v>28544</v>
      </c>
      <c r="F802" s="171" t="s">
        <v>28544</v>
      </c>
      <c r="G802" s="82"/>
      <c r="H802" s="96">
        <f t="shared" si="48"/>
        <v>31.13</v>
      </c>
      <c r="I802" s="96">
        <f t="shared" si="48"/>
        <v>31.13</v>
      </c>
      <c r="J802" s="91" t="str">
        <f t="shared" si="49"/>
        <v>Sinapi 88839</v>
      </c>
      <c r="K802" s="91" t="str">
        <f t="shared" si="50"/>
        <v>H</v>
      </c>
      <c r="L802" s="166" t="str">
        <f t="shared" si="51"/>
        <v/>
      </c>
      <c r="M802" s="82"/>
      <c r="N802" s="82"/>
    </row>
    <row r="803" spans="1:14" x14ac:dyDescent="0.25">
      <c r="A803" s="170" t="s">
        <v>3172</v>
      </c>
      <c r="B803" s="170" t="s">
        <v>3173</v>
      </c>
      <c r="C803" s="170" t="s">
        <v>587</v>
      </c>
      <c r="D803" s="170" t="s">
        <v>1947</v>
      </c>
      <c r="E803" s="171" t="s">
        <v>15789</v>
      </c>
      <c r="F803" s="171" t="s">
        <v>15789</v>
      </c>
      <c r="G803" s="82"/>
      <c r="H803" s="96">
        <f t="shared" si="48"/>
        <v>13.71</v>
      </c>
      <c r="I803" s="96">
        <f t="shared" si="48"/>
        <v>13.71</v>
      </c>
      <c r="J803" s="91" t="str">
        <f t="shared" si="49"/>
        <v>Sinapi 88840</v>
      </c>
      <c r="K803" s="91" t="str">
        <f t="shared" si="50"/>
        <v>H</v>
      </c>
      <c r="L803" s="166" t="str">
        <f t="shared" si="51"/>
        <v/>
      </c>
      <c r="M803" s="82"/>
      <c r="N803" s="82"/>
    </row>
    <row r="804" spans="1:14" x14ac:dyDescent="0.25">
      <c r="A804" s="170" t="s">
        <v>3174</v>
      </c>
      <c r="B804" s="170" t="s">
        <v>3175</v>
      </c>
      <c r="C804" s="170" t="s">
        <v>587</v>
      </c>
      <c r="D804" s="170" t="s">
        <v>1947</v>
      </c>
      <c r="E804" s="171" t="s">
        <v>23239</v>
      </c>
      <c r="F804" s="171" t="s">
        <v>23239</v>
      </c>
      <c r="G804" s="82"/>
      <c r="H804" s="96">
        <f t="shared" si="48"/>
        <v>55.66</v>
      </c>
      <c r="I804" s="96">
        <f t="shared" si="48"/>
        <v>55.66</v>
      </c>
      <c r="J804" s="91" t="str">
        <f t="shared" si="49"/>
        <v>Sinapi 88841</v>
      </c>
      <c r="K804" s="91" t="str">
        <f t="shared" si="50"/>
        <v>H</v>
      </c>
      <c r="L804" s="166" t="str">
        <f t="shared" si="51"/>
        <v/>
      </c>
      <c r="M804" s="82"/>
      <c r="N804" s="82"/>
    </row>
    <row r="805" spans="1:14" x14ac:dyDescent="0.25">
      <c r="A805" s="170" t="s">
        <v>3176</v>
      </c>
      <c r="B805" s="170" t="s">
        <v>3177</v>
      </c>
      <c r="C805" s="170" t="s">
        <v>587</v>
      </c>
      <c r="D805" s="170" t="s">
        <v>2710</v>
      </c>
      <c r="E805" s="171" t="s">
        <v>32010</v>
      </c>
      <c r="F805" s="171" t="s">
        <v>32010</v>
      </c>
      <c r="G805" s="82"/>
      <c r="H805" s="96">
        <f t="shared" si="48"/>
        <v>86.84</v>
      </c>
      <c r="I805" s="96">
        <f t="shared" si="48"/>
        <v>86.84</v>
      </c>
      <c r="J805" s="91" t="str">
        <f t="shared" si="49"/>
        <v>Sinapi 88842</v>
      </c>
      <c r="K805" s="91" t="str">
        <f t="shared" si="50"/>
        <v>H</v>
      </c>
      <c r="L805" s="166" t="str">
        <f t="shared" si="51"/>
        <v/>
      </c>
      <c r="M805" s="82"/>
      <c r="N805" s="82"/>
    </row>
    <row r="806" spans="1:14" x14ac:dyDescent="0.25">
      <c r="A806" s="170" t="s">
        <v>3178</v>
      </c>
      <c r="B806" s="170" t="s">
        <v>3179</v>
      </c>
      <c r="C806" s="170" t="s">
        <v>587</v>
      </c>
      <c r="D806" s="170" t="s">
        <v>1947</v>
      </c>
      <c r="E806" s="171" t="s">
        <v>16423</v>
      </c>
      <c r="F806" s="171" t="s">
        <v>16423</v>
      </c>
      <c r="G806" s="82"/>
      <c r="H806" s="96">
        <f t="shared" si="48"/>
        <v>22.82</v>
      </c>
      <c r="I806" s="96">
        <f t="shared" si="48"/>
        <v>22.82</v>
      </c>
      <c r="J806" s="91" t="str">
        <f t="shared" si="49"/>
        <v>Sinapi 88847</v>
      </c>
      <c r="K806" s="91" t="str">
        <f t="shared" si="50"/>
        <v>H</v>
      </c>
      <c r="L806" s="166" t="str">
        <f t="shared" si="51"/>
        <v/>
      </c>
      <c r="M806" s="82"/>
      <c r="N806" s="82"/>
    </row>
    <row r="807" spans="1:14" x14ac:dyDescent="0.25">
      <c r="A807" s="170" t="s">
        <v>3180</v>
      </c>
      <c r="B807" s="170" t="s">
        <v>3181</v>
      </c>
      <c r="C807" s="170" t="s">
        <v>587</v>
      </c>
      <c r="D807" s="170" t="s">
        <v>1947</v>
      </c>
      <c r="E807" s="171" t="s">
        <v>19389</v>
      </c>
      <c r="F807" s="171" t="s">
        <v>19389</v>
      </c>
      <c r="G807" s="82"/>
      <c r="H807" s="96">
        <f t="shared" si="48"/>
        <v>9.3800000000000008</v>
      </c>
      <c r="I807" s="96">
        <f t="shared" si="48"/>
        <v>9.3800000000000008</v>
      </c>
      <c r="J807" s="91" t="str">
        <f t="shared" si="49"/>
        <v>Sinapi 88848</v>
      </c>
      <c r="K807" s="91" t="str">
        <f t="shared" si="50"/>
        <v>H</v>
      </c>
      <c r="L807" s="166" t="str">
        <f t="shared" si="51"/>
        <v/>
      </c>
      <c r="M807" s="82"/>
      <c r="N807" s="82"/>
    </row>
    <row r="808" spans="1:14" x14ac:dyDescent="0.25">
      <c r="A808" s="170" t="s">
        <v>3182</v>
      </c>
      <c r="B808" s="170" t="s">
        <v>3183</v>
      </c>
      <c r="C808" s="170" t="s">
        <v>587</v>
      </c>
      <c r="D808" s="170" t="s">
        <v>2067</v>
      </c>
      <c r="E808" s="171" t="s">
        <v>2718</v>
      </c>
      <c r="F808" s="171" t="s">
        <v>2718</v>
      </c>
      <c r="G808" s="82"/>
      <c r="H808" s="96">
        <f t="shared" si="48"/>
        <v>0.3</v>
      </c>
      <c r="I808" s="96">
        <f t="shared" si="48"/>
        <v>0.3</v>
      </c>
      <c r="J808" s="91" t="str">
        <f t="shared" si="49"/>
        <v>Sinapi 88853</v>
      </c>
      <c r="K808" s="91" t="str">
        <f t="shared" si="50"/>
        <v>H</v>
      </c>
      <c r="L808" s="166" t="str">
        <f t="shared" si="51"/>
        <v/>
      </c>
      <c r="M808" s="82"/>
      <c r="N808" s="82"/>
    </row>
    <row r="809" spans="1:14" x14ac:dyDescent="0.25">
      <c r="A809" s="170" t="s">
        <v>3185</v>
      </c>
      <c r="B809" s="170" t="s">
        <v>3186</v>
      </c>
      <c r="C809" s="170" t="s">
        <v>587</v>
      </c>
      <c r="D809" s="170" t="s">
        <v>2067</v>
      </c>
      <c r="E809" s="171" t="s">
        <v>3119</v>
      </c>
      <c r="F809" s="171" t="s">
        <v>3119</v>
      </c>
      <c r="G809" s="82"/>
      <c r="H809" s="96">
        <f t="shared" si="48"/>
        <v>7.0000000000000007E-2</v>
      </c>
      <c r="I809" s="96">
        <f t="shared" si="48"/>
        <v>7.0000000000000007E-2</v>
      </c>
      <c r="J809" s="91" t="str">
        <f t="shared" si="49"/>
        <v>Sinapi 88854</v>
      </c>
      <c r="K809" s="91" t="str">
        <f t="shared" si="50"/>
        <v>H</v>
      </c>
      <c r="L809" s="166" t="str">
        <f t="shared" si="51"/>
        <v/>
      </c>
      <c r="M809" s="82"/>
      <c r="N809" s="82"/>
    </row>
    <row r="810" spans="1:14" x14ac:dyDescent="0.25">
      <c r="A810" s="170" t="s">
        <v>3188</v>
      </c>
      <c r="B810" s="170" t="s">
        <v>3189</v>
      </c>
      <c r="C810" s="170" t="s">
        <v>587</v>
      </c>
      <c r="D810" s="170" t="s">
        <v>1947</v>
      </c>
      <c r="E810" s="171" t="s">
        <v>21122</v>
      </c>
      <c r="F810" s="171" t="s">
        <v>21122</v>
      </c>
      <c r="G810" s="82"/>
      <c r="H810" s="96">
        <f t="shared" si="48"/>
        <v>3.55</v>
      </c>
      <c r="I810" s="96">
        <f t="shared" si="48"/>
        <v>3.55</v>
      </c>
      <c r="J810" s="91" t="str">
        <f t="shared" si="49"/>
        <v>Sinapi 88855</v>
      </c>
      <c r="K810" s="91" t="str">
        <f t="shared" si="50"/>
        <v>H</v>
      </c>
      <c r="L810" s="166" t="str">
        <f t="shared" si="51"/>
        <v/>
      </c>
      <c r="M810" s="82"/>
      <c r="N810" s="82"/>
    </row>
    <row r="811" spans="1:14" x14ac:dyDescent="0.25">
      <c r="A811" s="170" t="s">
        <v>3191</v>
      </c>
      <c r="B811" s="170" t="s">
        <v>3192</v>
      </c>
      <c r="C811" s="170" t="s">
        <v>587</v>
      </c>
      <c r="D811" s="170" t="s">
        <v>1947</v>
      </c>
      <c r="E811" s="171" t="s">
        <v>15761</v>
      </c>
      <c r="F811" s="171" t="s">
        <v>15761</v>
      </c>
      <c r="G811" s="82"/>
      <c r="H811" s="96">
        <f t="shared" si="48"/>
        <v>0.97</v>
      </c>
      <c r="I811" s="96">
        <f t="shared" si="48"/>
        <v>0.97</v>
      </c>
      <c r="J811" s="91" t="str">
        <f t="shared" si="49"/>
        <v>Sinapi 88856</v>
      </c>
      <c r="K811" s="91" t="str">
        <f t="shared" si="50"/>
        <v>H</v>
      </c>
      <c r="L811" s="166" t="str">
        <f t="shared" si="51"/>
        <v/>
      </c>
      <c r="M811" s="82"/>
      <c r="N811" s="82"/>
    </row>
    <row r="812" spans="1:14" x14ac:dyDescent="0.25">
      <c r="A812" s="170" t="s">
        <v>3193</v>
      </c>
      <c r="B812" s="170" t="s">
        <v>3194</v>
      </c>
      <c r="C812" s="170" t="s">
        <v>587</v>
      </c>
      <c r="D812" s="170" t="s">
        <v>1947</v>
      </c>
      <c r="E812" s="171" t="s">
        <v>20486</v>
      </c>
      <c r="F812" s="171" t="s">
        <v>20486</v>
      </c>
      <c r="G812" s="82"/>
      <c r="H812" s="96">
        <f t="shared" si="48"/>
        <v>23.21</v>
      </c>
      <c r="I812" s="96">
        <f t="shared" si="48"/>
        <v>23.21</v>
      </c>
      <c r="J812" s="91" t="str">
        <f t="shared" si="49"/>
        <v>Sinapi 88857</v>
      </c>
      <c r="K812" s="91" t="str">
        <f t="shared" si="50"/>
        <v>H</v>
      </c>
      <c r="L812" s="166" t="str">
        <f t="shared" si="51"/>
        <v/>
      </c>
      <c r="M812" s="82"/>
      <c r="N812" s="82"/>
    </row>
    <row r="813" spans="1:14" x14ac:dyDescent="0.25">
      <c r="A813" s="170" t="s">
        <v>3195</v>
      </c>
      <c r="B813" s="170" t="s">
        <v>3196</v>
      </c>
      <c r="C813" s="170" t="s">
        <v>587</v>
      </c>
      <c r="D813" s="170" t="s">
        <v>1947</v>
      </c>
      <c r="E813" s="171" t="s">
        <v>29699</v>
      </c>
      <c r="F813" s="171" t="s">
        <v>29699</v>
      </c>
      <c r="G813" s="82"/>
      <c r="H813" s="96">
        <f t="shared" si="48"/>
        <v>6.13</v>
      </c>
      <c r="I813" s="96">
        <f t="shared" si="48"/>
        <v>6.13</v>
      </c>
      <c r="J813" s="91" t="str">
        <f t="shared" si="49"/>
        <v>Sinapi 88858</v>
      </c>
      <c r="K813" s="91" t="str">
        <f t="shared" si="50"/>
        <v>H</v>
      </c>
      <c r="L813" s="166" t="str">
        <f t="shared" si="51"/>
        <v/>
      </c>
      <c r="M813" s="82"/>
      <c r="N813" s="82"/>
    </row>
    <row r="814" spans="1:14" x14ac:dyDescent="0.25">
      <c r="A814" s="170" t="s">
        <v>3197</v>
      </c>
      <c r="B814" s="170" t="s">
        <v>3198</v>
      </c>
      <c r="C814" s="170" t="s">
        <v>587</v>
      </c>
      <c r="D814" s="170" t="s">
        <v>1947</v>
      </c>
      <c r="E814" s="171" t="s">
        <v>22072</v>
      </c>
      <c r="F814" s="171" t="s">
        <v>22072</v>
      </c>
      <c r="G814" s="82"/>
      <c r="H814" s="96">
        <f t="shared" si="48"/>
        <v>20.65</v>
      </c>
      <c r="I814" s="96">
        <f t="shared" si="48"/>
        <v>20.65</v>
      </c>
      <c r="J814" s="91" t="str">
        <f t="shared" si="49"/>
        <v>Sinapi 88859</v>
      </c>
      <c r="K814" s="91" t="str">
        <f t="shared" si="50"/>
        <v>H</v>
      </c>
      <c r="L814" s="166" t="str">
        <f t="shared" si="51"/>
        <v/>
      </c>
      <c r="M814" s="82"/>
      <c r="N814" s="82"/>
    </row>
    <row r="815" spans="1:14" x14ac:dyDescent="0.25">
      <c r="A815" s="170" t="s">
        <v>3199</v>
      </c>
      <c r="B815" s="170" t="s">
        <v>3200</v>
      </c>
      <c r="C815" s="170" t="s">
        <v>587</v>
      </c>
      <c r="D815" s="170" t="s">
        <v>1947</v>
      </c>
      <c r="E815" s="171" t="s">
        <v>17391</v>
      </c>
      <c r="F815" s="171" t="s">
        <v>17391</v>
      </c>
      <c r="G815" s="82"/>
      <c r="H815" s="96">
        <f t="shared" si="48"/>
        <v>5.45</v>
      </c>
      <c r="I815" s="96">
        <f t="shared" si="48"/>
        <v>5.45</v>
      </c>
      <c r="J815" s="91" t="str">
        <f t="shared" si="49"/>
        <v>Sinapi 88860</v>
      </c>
      <c r="K815" s="91" t="str">
        <f t="shared" si="50"/>
        <v>H</v>
      </c>
      <c r="L815" s="166" t="str">
        <f t="shared" si="51"/>
        <v/>
      </c>
      <c r="M815" s="82"/>
      <c r="N815" s="82"/>
    </row>
    <row r="816" spans="1:14" x14ac:dyDescent="0.25">
      <c r="A816" s="170" t="s">
        <v>3202</v>
      </c>
      <c r="B816" s="170" t="s">
        <v>3203</v>
      </c>
      <c r="C816" s="170" t="s">
        <v>587</v>
      </c>
      <c r="D816" s="170" t="s">
        <v>1947</v>
      </c>
      <c r="E816" s="171" t="s">
        <v>29353</v>
      </c>
      <c r="F816" s="171" t="s">
        <v>29353</v>
      </c>
      <c r="G816" s="82"/>
      <c r="H816" s="96">
        <f t="shared" si="48"/>
        <v>50.43</v>
      </c>
      <c r="I816" s="96">
        <f t="shared" si="48"/>
        <v>50.43</v>
      </c>
      <c r="J816" s="91" t="str">
        <f t="shared" si="49"/>
        <v>Sinapi 88900</v>
      </c>
      <c r="K816" s="91" t="str">
        <f t="shared" si="50"/>
        <v>H</v>
      </c>
      <c r="L816" s="166" t="str">
        <f t="shared" si="51"/>
        <v/>
      </c>
      <c r="M816" s="82"/>
      <c r="N816" s="82"/>
    </row>
    <row r="817" spans="1:14" x14ac:dyDescent="0.25">
      <c r="A817" s="170" t="s">
        <v>3204</v>
      </c>
      <c r="B817" s="170" t="s">
        <v>3205</v>
      </c>
      <c r="C817" s="170" t="s">
        <v>587</v>
      </c>
      <c r="D817" s="170" t="s">
        <v>1947</v>
      </c>
      <c r="E817" s="171" t="s">
        <v>19962</v>
      </c>
      <c r="F817" s="171" t="s">
        <v>19962</v>
      </c>
      <c r="G817" s="82"/>
      <c r="H817" s="96">
        <f t="shared" si="48"/>
        <v>13.33</v>
      </c>
      <c r="I817" s="96">
        <f t="shared" si="48"/>
        <v>13.33</v>
      </c>
      <c r="J817" s="91" t="str">
        <f t="shared" si="49"/>
        <v>Sinapi 88902</v>
      </c>
      <c r="K817" s="91" t="str">
        <f t="shared" si="50"/>
        <v>H</v>
      </c>
      <c r="L817" s="166" t="str">
        <f t="shared" si="51"/>
        <v/>
      </c>
      <c r="M817" s="82"/>
      <c r="N817" s="82"/>
    </row>
    <row r="818" spans="1:14" x14ac:dyDescent="0.25">
      <c r="A818" s="170" t="s">
        <v>3206</v>
      </c>
      <c r="B818" s="170" t="s">
        <v>3207</v>
      </c>
      <c r="C818" s="170" t="s">
        <v>587</v>
      </c>
      <c r="D818" s="170" t="s">
        <v>1947</v>
      </c>
      <c r="E818" s="171" t="s">
        <v>29311</v>
      </c>
      <c r="F818" s="171" t="s">
        <v>29311</v>
      </c>
      <c r="G818" s="82"/>
      <c r="H818" s="96">
        <f t="shared" si="48"/>
        <v>63.04</v>
      </c>
      <c r="I818" s="96">
        <f t="shared" si="48"/>
        <v>63.04</v>
      </c>
      <c r="J818" s="91" t="str">
        <f t="shared" si="49"/>
        <v>Sinapi 88903</v>
      </c>
      <c r="K818" s="91" t="str">
        <f t="shared" si="50"/>
        <v>H</v>
      </c>
      <c r="L818" s="166" t="str">
        <f t="shared" si="51"/>
        <v/>
      </c>
      <c r="M818" s="82"/>
      <c r="N818" s="82"/>
    </row>
    <row r="819" spans="1:14" x14ac:dyDescent="0.25">
      <c r="A819" s="170" t="s">
        <v>3208</v>
      </c>
      <c r="B819" s="170" t="s">
        <v>3209</v>
      </c>
      <c r="C819" s="170" t="s">
        <v>587</v>
      </c>
      <c r="D819" s="170" t="s">
        <v>2710</v>
      </c>
      <c r="E819" s="171" t="s">
        <v>22003</v>
      </c>
      <c r="F819" s="171" t="s">
        <v>22003</v>
      </c>
      <c r="G819" s="82"/>
      <c r="H819" s="96">
        <f t="shared" si="48"/>
        <v>99.94</v>
      </c>
      <c r="I819" s="96">
        <f t="shared" si="48"/>
        <v>99.94</v>
      </c>
      <c r="J819" s="91" t="str">
        <f t="shared" si="49"/>
        <v>Sinapi 88904</v>
      </c>
      <c r="K819" s="91" t="str">
        <f t="shared" si="50"/>
        <v>H</v>
      </c>
      <c r="L819" s="166" t="str">
        <f t="shared" si="51"/>
        <v/>
      </c>
      <c r="M819" s="82"/>
      <c r="N819" s="82"/>
    </row>
    <row r="820" spans="1:14" x14ac:dyDescent="0.25">
      <c r="A820" s="170" t="s">
        <v>3210</v>
      </c>
      <c r="B820" s="170" t="s">
        <v>3211</v>
      </c>
      <c r="C820" s="170" t="s">
        <v>587</v>
      </c>
      <c r="D820" s="170" t="s">
        <v>1947</v>
      </c>
      <c r="E820" s="171" t="s">
        <v>28545</v>
      </c>
      <c r="F820" s="171" t="s">
        <v>28545</v>
      </c>
      <c r="G820" s="82"/>
      <c r="H820" s="96">
        <f t="shared" si="48"/>
        <v>38.56</v>
      </c>
      <c r="I820" s="96">
        <f t="shared" si="48"/>
        <v>38.56</v>
      </c>
      <c r="J820" s="91" t="str">
        <f t="shared" si="49"/>
        <v>Sinapi 89009</v>
      </c>
      <c r="K820" s="91" t="str">
        <f t="shared" si="50"/>
        <v>H</v>
      </c>
      <c r="L820" s="166" t="str">
        <f t="shared" si="51"/>
        <v/>
      </c>
      <c r="M820" s="82"/>
      <c r="N820" s="82"/>
    </row>
    <row r="821" spans="1:14" x14ac:dyDescent="0.25">
      <c r="A821" s="170" t="s">
        <v>3212</v>
      </c>
      <c r="B821" s="170" t="s">
        <v>3213</v>
      </c>
      <c r="C821" s="170" t="s">
        <v>587</v>
      </c>
      <c r="D821" s="170" t="s">
        <v>1947</v>
      </c>
      <c r="E821" s="171" t="s">
        <v>19957</v>
      </c>
      <c r="F821" s="171" t="s">
        <v>19957</v>
      </c>
      <c r="G821" s="82"/>
      <c r="H821" s="96">
        <f t="shared" si="48"/>
        <v>16.98</v>
      </c>
      <c r="I821" s="96">
        <f t="shared" si="48"/>
        <v>16.98</v>
      </c>
      <c r="J821" s="91" t="str">
        <f t="shared" si="49"/>
        <v>Sinapi 89010</v>
      </c>
      <c r="K821" s="91" t="str">
        <f t="shared" si="50"/>
        <v>H</v>
      </c>
      <c r="L821" s="166" t="str">
        <f t="shared" si="51"/>
        <v/>
      </c>
      <c r="M821" s="82"/>
      <c r="N821" s="82"/>
    </row>
    <row r="822" spans="1:14" x14ac:dyDescent="0.25">
      <c r="A822" s="170" t="s">
        <v>3214</v>
      </c>
      <c r="B822" s="170" t="s">
        <v>3215</v>
      </c>
      <c r="C822" s="170" t="s">
        <v>587</v>
      </c>
      <c r="D822" s="170" t="s">
        <v>1947</v>
      </c>
      <c r="E822" s="171" t="s">
        <v>29866</v>
      </c>
      <c r="F822" s="171" t="s">
        <v>29866</v>
      </c>
      <c r="G822" s="82"/>
      <c r="H822" s="96">
        <f t="shared" si="48"/>
        <v>22.4</v>
      </c>
      <c r="I822" s="96">
        <f t="shared" si="48"/>
        <v>22.4</v>
      </c>
      <c r="J822" s="91" t="str">
        <f t="shared" si="49"/>
        <v>Sinapi 89011</v>
      </c>
      <c r="K822" s="91" t="str">
        <f t="shared" si="50"/>
        <v>H</v>
      </c>
      <c r="L822" s="166" t="str">
        <f t="shared" si="51"/>
        <v/>
      </c>
      <c r="M822" s="82"/>
      <c r="N822" s="82"/>
    </row>
    <row r="823" spans="1:14" x14ac:dyDescent="0.25">
      <c r="A823" s="170" t="s">
        <v>3216</v>
      </c>
      <c r="B823" s="170" t="s">
        <v>3217</v>
      </c>
      <c r="C823" s="170" t="s">
        <v>587</v>
      </c>
      <c r="D823" s="170" t="s">
        <v>1947</v>
      </c>
      <c r="E823" s="171" t="s">
        <v>2092</v>
      </c>
      <c r="F823" s="171" t="s">
        <v>2092</v>
      </c>
      <c r="G823" s="82"/>
      <c r="H823" s="96">
        <f t="shared" si="48"/>
        <v>5.92</v>
      </c>
      <c r="I823" s="96">
        <f t="shared" si="48"/>
        <v>5.92</v>
      </c>
      <c r="J823" s="91" t="str">
        <f t="shared" si="49"/>
        <v>Sinapi 89012</v>
      </c>
      <c r="K823" s="91" t="str">
        <f t="shared" si="50"/>
        <v>H</v>
      </c>
      <c r="L823" s="166" t="str">
        <f t="shared" si="51"/>
        <v/>
      </c>
      <c r="M823" s="82"/>
      <c r="N823" s="82"/>
    </row>
    <row r="824" spans="1:14" x14ac:dyDescent="0.25">
      <c r="A824" s="170" t="s">
        <v>3219</v>
      </c>
      <c r="B824" s="170" t="s">
        <v>3220</v>
      </c>
      <c r="C824" s="170" t="s">
        <v>587</v>
      </c>
      <c r="D824" s="170" t="s">
        <v>1947</v>
      </c>
      <c r="E824" s="171" t="s">
        <v>28547</v>
      </c>
      <c r="F824" s="171" t="s">
        <v>28547</v>
      </c>
      <c r="G824" s="82"/>
      <c r="H824" s="96">
        <f t="shared" si="48"/>
        <v>126.31</v>
      </c>
      <c r="I824" s="96">
        <f t="shared" si="48"/>
        <v>126.31</v>
      </c>
      <c r="J824" s="91" t="str">
        <f t="shared" si="49"/>
        <v>Sinapi 89013</v>
      </c>
      <c r="K824" s="91" t="str">
        <f t="shared" si="50"/>
        <v>H</v>
      </c>
      <c r="L824" s="166" t="str">
        <f t="shared" si="51"/>
        <v/>
      </c>
      <c r="M824" s="82"/>
      <c r="N824" s="82"/>
    </row>
    <row r="825" spans="1:14" x14ac:dyDescent="0.25">
      <c r="A825" s="170" t="s">
        <v>3221</v>
      </c>
      <c r="B825" s="170" t="s">
        <v>3222</v>
      </c>
      <c r="C825" s="170" t="s">
        <v>587</v>
      </c>
      <c r="D825" s="170" t="s">
        <v>1947</v>
      </c>
      <c r="E825" s="171" t="s">
        <v>28677</v>
      </c>
      <c r="F825" s="171" t="s">
        <v>28677</v>
      </c>
      <c r="G825" s="82"/>
      <c r="H825" s="96">
        <f t="shared" si="48"/>
        <v>55.64</v>
      </c>
      <c r="I825" s="96">
        <f t="shared" si="48"/>
        <v>55.64</v>
      </c>
      <c r="J825" s="91" t="str">
        <f t="shared" si="49"/>
        <v>Sinapi 89014</v>
      </c>
      <c r="K825" s="91" t="str">
        <f t="shared" si="50"/>
        <v>H</v>
      </c>
      <c r="L825" s="166" t="str">
        <f t="shared" si="51"/>
        <v/>
      </c>
      <c r="M825" s="82"/>
      <c r="N825" s="82"/>
    </row>
    <row r="826" spans="1:14" x14ac:dyDescent="0.25">
      <c r="A826" s="170" t="s">
        <v>3223</v>
      </c>
      <c r="B826" s="170" t="s">
        <v>3224</v>
      </c>
      <c r="C826" s="170" t="s">
        <v>587</v>
      </c>
      <c r="D826" s="170" t="s">
        <v>1947</v>
      </c>
      <c r="E826" s="171" t="s">
        <v>16302</v>
      </c>
      <c r="F826" s="171" t="s">
        <v>16302</v>
      </c>
      <c r="G826" s="82"/>
      <c r="H826" s="96">
        <f t="shared" si="48"/>
        <v>4.0999999999999996</v>
      </c>
      <c r="I826" s="96">
        <f t="shared" si="48"/>
        <v>4.0999999999999996</v>
      </c>
      <c r="J826" s="91" t="str">
        <f t="shared" si="49"/>
        <v>Sinapi 89015</v>
      </c>
      <c r="K826" s="91" t="str">
        <f t="shared" si="50"/>
        <v>H</v>
      </c>
      <c r="L826" s="166" t="str">
        <f t="shared" si="51"/>
        <v/>
      </c>
      <c r="M826" s="82"/>
      <c r="N826" s="82"/>
    </row>
    <row r="827" spans="1:14" x14ac:dyDescent="0.25">
      <c r="A827" s="170" t="s">
        <v>3225</v>
      </c>
      <c r="B827" s="170" t="s">
        <v>3226</v>
      </c>
      <c r="C827" s="170" t="s">
        <v>587</v>
      </c>
      <c r="D827" s="170" t="s">
        <v>1947</v>
      </c>
      <c r="E827" s="171" t="s">
        <v>9466</v>
      </c>
      <c r="F827" s="171" t="s">
        <v>9466</v>
      </c>
      <c r="G827" s="82"/>
      <c r="H827" s="96">
        <f t="shared" si="48"/>
        <v>1.08</v>
      </c>
      <c r="I827" s="96">
        <f t="shared" si="48"/>
        <v>1.08</v>
      </c>
      <c r="J827" s="91" t="str">
        <f t="shared" si="49"/>
        <v>Sinapi 89016</v>
      </c>
      <c r="K827" s="91" t="str">
        <f t="shared" si="50"/>
        <v>H</v>
      </c>
      <c r="L827" s="166" t="str">
        <f t="shared" si="51"/>
        <v/>
      </c>
      <c r="M827" s="82"/>
      <c r="N827" s="82"/>
    </row>
    <row r="828" spans="1:14" x14ac:dyDescent="0.25">
      <c r="A828" s="170" t="s">
        <v>3228</v>
      </c>
      <c r="B828" s="170" t="s">
        <v>3229</v>
      </c>
      <c r="C828" s="170" t="s">
        <v>587</v>
      </c>
      <c r="D828" s="170" t="s">
        <v>1947</v>
      </c>
      <c r="E828" s="171" t="s">
        <v>28548</v>
      </c>
      <c r="F828" s="171" t="s">
        <v>28548</v>
      </c>
      <c r="G828" s="82"/>
      <c r="H828" s="96">
        <f t="shared" si="48"/>
        <v>38.32</v>
      </c>
      <c r="I828" s="96">
        <f t="shared" si="48"/>
        <v>38.32</v>
      </c>
      <c r="J828" s="91" t="str">
        <f t="shared" si="49"/>
        <v>Sinapi 89017</v>
      </c>
      <c r="K828" s="91" t="str">
        <f t="shared" si="50"/>
        <v>H</v>
      </c>
      <c r="L828" s="166" t="str">
        <f t="shared" si="51"/>
        <v/>
      </c>
      <c r="M828" s="82"/>
      <c r="N828" s="82"/>
    </row>
    <row r="829" spans="1:14" x14ac:dyDescent="0.25">
      <c r="A829" s="170" t="s">
        <v>3230</v>
      </c>
      <c r="B829" s="170" t="s">
        <v>3231</v>
      </c>
      <c r="C829" s="170" t="s">
        <v>587</v>
      </c>
      <c r="D829" s="170" t="s">
        <v>1947</v>
      </c>
      <c r="E829" s="171" t="s">
        <v>23262</v>
      </c>
      <c r="F829" s="171" t="s">
        <v>23262</v>
      </c>
      <c r="G829" s="82"/>
      <c r="H829" s="96">
        <f t="shared" si="48"/>
        <v>16.88</v>
      </c>
      <c r="I829" s="96">
        <f t="shared" si="48"/>
        <v>16.88</v>
      </c>
      <c r="J829" s="91" t="str">
        <f t="shared" si="49"/>
        <v>Sinapi 89018</v>
      </c>
      <c r="K829" s="91" t="str">
        <f t="shared" si="50"/>
        <v>H</v>
      </c>
      <c r="L829" s="166" t="str">
        <f t="shared" si="51"/>
        <v/>
      </c>
      <c r="M829" s="82"/>
      <c r="N829" s="82"/>
    </row>
    <row r="830" spans="1:14" x14ac:dyDescent="0.25">
      <c r="A830" s="170" t="s">
        <v>3232</v>
      </c>
      <c r="B830" s="170" t="s">
        <v>3233</v>
      </c>
      <c r="C830" s="170" t="s">
        <v>587</v>
      </c>
      <c r="D830" s="170" t="s">
        <v>1947</v>
      </c>
      <c r="E830" s="171" t="s">
        <v>3114</v>
      </c>
      <c r="F830" s="171" t="s">
        <v>3114</v>
      </c>
      <c r="G830" s="82"/>
      <c r="H830" s="96">
        <f t="shared" si="48"/>
        <v>0.31</v>
      </c>
      <c r="I830" s="96">
        <f t="shared" si="48"/>
        <v>0.31</v>
      </c>
      <c r="J830" s="91" t="str">
        <f t="shared" si="49"/>
        <v>Sinapi 89019</v>
      </c>
      <c r="K830" s="91" t="str">
        <f t="shared" si="50"/>
        <v>H</v>
      </c>
      <c r="L830" s="166" t="str">
        <f t="shared" si="51"/>
        <v/>
      </c>
      <c r="M830" s="82"/>
      <c r="N830" s="82"/>
    </row>
    <row r="831" spans="1:14" x14ac:dyDescent="0.25">
      <c r="A831" s="170" t="s">
        <v>3234</v>
      </c>
      <c r="B831" s="170" t="s">
        <v>3235</v>
      </c>
      <c r="C831" s="170" t="s">
        <v>587</v>
      </c>
      <c r="D831" s="170" t="s">
        <v>1947</v>
      </c>
      <c r="E831" s="171" t="s">
        <v>3119</v>
      </c>
      <c r="F831" s="171" t="s">
        <v>3119</v>
      </c>
      <c r="G831" s="82"/>
      <c r="H831" s="96">
        <f t="shared" si="48"/>
        <v>7.0000000000000007E-2</v>
      </c>
      <c r="I831" s="96">
        <f t="shared" si="48"/>
        <v>7.0000000000000007E-2</v>
      </c>
      <c r="J831" s="91" t="str">
        <f t="shared" si="49"/>
        <v>Sinapi 89020</v>
      </c>
      <c r="K831" s="91" t="str">
        <f t="shared" si="50"/>
        <v>H</v>
      </c>
      <c r="L831" s="166" t="str">
        <f t="shared" si="51"/>
        <v/>
      </c>
      <c r="M831" s="82"/>
      <c r="N831" s="82"/>
    </row>
    <row r="832" spans="1:14" x14ac:dyDescent="0.25">
      <c r="A832" s="170" t="s">
        <v>3236</v>
      </c>
      <c r="B832" s="170" t="s">
        <v>21693</v>
      </c>
      <c r="C832" s="170" t="s">
        <v>587</v>
      </c>
      <c r="D832" s="170" t="s">
        <v>1947</v>
      </c>
      <c r="E832" s="171" t="s">
        <v>15516</v>
      </c>
      <c r="F832" s="171" t="s">
        <v>15516</v>
      </c>
      <c r="G832" s="82"/>
      <c r="H832" s="96">
        <f t="shared" si="48"/>
        <v>3.48</v>
      </c>
      <c r="I832" s="96">
        <f t="shared" si="48"/>
        <v>3.48</v>
      </c>
      <c r="J832" s="91" t="str">
        <f t="shared" si="49"/>
        <v>Sinapi 89023</v>
      </c>
      <c r="K832" s="91" t="str">
        <f t="shared" si="50"/>
        <v>H</v>
      </c>
      <c r="L832" s="166" t="str">
        <f t="shared" si="51"/>
        <v/>
      </c>
      <c r="M832" s="82"/>
      <c r="N832" s="82"/>
    </row>
    <row r="833" spans="1:14" x14ac:dyDescent="0.25">
      <c r="A833" s="170" t="s">
        <v>3237</v>
      </c>
      <c r="B833" s="170" t="s">
        <v>21694</v>
      </c>
      <c r="C833" s="170" t="s">
        <v>587</v>
      </c>
      <c r="D833" s="170" t="s">
        <v>1947</v>
      </c>
      <c r="E833" s="171" t="s">
        <v>9557</v>
      </c>
      <c r="F833" s="171" t="s">
        <v>9557</v>
      </c>
      <c r="G833" s="82"/>
      <c r="H833" s="96">
        <f t="shared" si="48"/>
        <v>1.28</v>
      </c>
      <c r="I833" s="96">
        <f t="shared" si="48"/>
        <v>1.28</v>
      </c>
      <c r="J833" s="91" t="str">
        <f t="shared" si="49"/>
        <v>Sinapi 89024</v>
      </c>
      <c r="K833" s="91" t="str">
        <f t="shared" si="50"/>
        <v>H</v>
      </c>
      <c r="L833" s="166" t="str">
        <f t="shared" si="51"/>
        <v/>
      </c>
      <c r="M833" s="82"/>
      <c r="N833" s="82"/>
    </row>
    <row r="834" spans="1:14" x14ac:dyDescent="0.25">
      <c r="A834" s="170" t="s">
        <v>3238</v>
      </c>
      <c r="B834" s="170" t="s">
        <v>21695</v>
      </c>
      <c r="C834" s="170" t="s">
        <v>587</v>
      </c>
      <c r="D834" s="170" t="s">
        <v>1947</v>
      </c>
      <c r="E834" s="171" t="s">
        <v>15656</v>
      </c>
      <c r="F834" s="171" t="s">
        <v>15656</v>
      </c>
      <c r="G834" s="82"/>
      <c r="H834" s="96">
        <f t="shared" si="48"/>
        <v>4.6399999999999997</v>
      </c>
      <c r="I834" s="96">
        <f t="shared" si="48"/>
        <v>4.6399999999999997</v>
      </c>
      <c r="J834" s="91" t="str">
        <f t="shared" si="49"/>
        <v>Sinapi 89025</v>
      </c>
      <c r="K834" s="91" t="str">
        <f t="shared" si="50"/>
        <v>H</v>
      </c>
      <c r="L834" s="166" t="str">
        <f t="shared" si="51"/>
        <v/>
      </c>
      <c r="M834" s="82"/>
      <c r="N834" s="82"/>
    </row>
    <row r="835" spans="1:14" x14ac:dyDescent="0.25">
      <c r="A835" s="170" t="s">
        <v>3239</v>
      </c>
      <c r="B835" s="170" t="s">
        <v>21696</v>
      </c>
      <c r="C835" s="170" t="s">
        <v>587</v>
      </c>
      <c r="D835" s="170" t="s">
        <v>2710</v>
      </c>
      <c r="E835" s="171" t="s">
        <v>28518</v>
      </c>
      <c r="F835" s="171" t="s">
        <v>28518</v>
      </c>
      <c r="G835" s="82"/>
      <c r="H835" s="96">
        <f t="shared" si="48"/>
        <v>190.02</v>
      </c>
      <c r="I835" s="96">
        <f t="shared" si="48"/>
        <v>190.02</v>
      </c>
      <c r="J835" s="91" t="str">
        <f t="shared" si="49"/>
        <v>Sinapi 89026</v>
      </c>
      <c r="K835" s="91" t="str">
        <f t="shared" si="50"/>
        <v>H</v>
      </c>
      <c r="L835" s="166" t="str">
        <f t="shared" si="51"/>
        <v/>
      </c>
      <c r="M835" s="82"/>
      <c r="N835" s="82"/>
    </row>
    <row r="836" spans="1:14" x14ac:dyDescent="0.25">
      <c r="A836" s="170" t="s">
        <v>3240</v>
      </c>
      <c r="B836" s="170" t="s">
        <v>3241</v>
      </c>
      <c r="C836" s="170" t="s">
        <v>587</v>
      </c>
      <c r="D836" s="170" t="s">
        <v>1947</v>
      </c>
      <c r="E836" s="171" t="s">
        <v>21664</v>
      </c>
      <c r="F836" s="171" t="s">
        <v>21664</v>
      </c>
      <c r="G836" s="82"/>
      <c r="H836" s="96">
        <f t="shared" si="48"/>
        <v>29.74</v>
      </c>
      <c r="I836" s="96">
        <f t="shared" si="48"/>
        <v>29.74</v>
      </c>
      <c r="J836" s="91" t="str">
        <f t="shared" si="49"/>
        <v>Sinapi 89029</v>
      </c>
      <c r="K836" s="91" t="str">
        <f t="shared" si="50"/>
        <v>H</v>
      </c>
      <c r="L836" s="166" t="str">
        <f t="shared" si="51"/>
        <v/>
      </c>
      <c r="M836" s="82"/>
      <c r="N836" s="82"/>
    </row>
    <row r="837" spans="1:14" x14ac:dyDescent="0.25">
      <c r="A837" s="170" t="s">
        <v>3242</v>
      </c>
      <c r="B837" s="170" t="s">
        <v>3243</v>
      </c>
      <c r="C837" s="170" t="s">
        <v>587</v>
      </c>
      <c r="D837" s="170" t="s">
        <v>1947</v>
      </c>
      <c r="E837" s="171" t="s">
        <v>13394</v>
      </c>
      <c r="F837" s="171" t="s">
        <v>13394</v>
      </c>
      <c r="G837" s="82"/>
      <c r="H837" s="96">
        <f t="shared" si="48"/>
        <v>13.1</v>
      </c>
      <c r="I837" s="96">
        <f t="shared" si="48"/>
        <v>13.1</v>
      </c>
      <c r="J837" s="91" t="str">
        <f t="shared" si="49"/>
        <v>Sinapi 89030</v>
      </c>
      <c r="K837" s="91" t="str">
        <f t="shared" si="50"/>
        <v>H</v>
      </c>
      <c r="L837" s="166" t="str">
        <f t="shared" si="51"/>
        <v/>
      </c>
      <c r="M837" s="82"/>
      <c r="N837" s="82"/>
    </row>
    <row r="838" spans="1:14" x14ac:dyDescent="0.25">
      <c r="A838" s="170" t="s">
        <v>3244</v>
      </c>
      <c r="B838" s="170" t="s">
        <v>3245</v>
      </c>
      <c r="C838" s="170" t="s">
        <v>587</v>
      </c>
      <c r="D838" s="170" t="s">
        <v>1947</v>
      </c>
      <c r="E838" s="171" t="s">
        <v>14781</v>
      </c>
      <c r="F838" s="171" t="s">
        <v>14781</v>
      </c>
      <c r="G838" s="82"/>
      <c r="H838" s="96">
        <f t="shared" si="48"/>
        <v>13.92</v>
      </c>
      <c r="I838" s="96">
        <f t="shared" si="48"/>
        <v>13.92</v>
      </c>
      <c r="J838" s="91" t="str">
        <f t="shared" si="49"/>
        <v>Sinapi 89033</v>
      </c>
      <c r="K838" s="91" t="str">
        <f t="shared" si="50"/>
        <v>H</v>
      </c>
      <c r="L838" s="166" t="str">
        <f t="shared" si="51"/>
        <v/>
      </c>
      <c r="M838" s="82"/>
      <c r="N838" s="82"/>
    </row>
    <row r="839" spans="1:14" x14ac:dyDescent="0.25">
      <c r="A839" s="170" t="s">
        <v>3246</v>
      </c>
      <c r="B839" s="170" t="s">
        <v>3247</v>
      </c>
      <c r="C839" s="170" t="s">
        <v>587</v>
      </c>
      <c r="D839" s="170" t="s">
        <v>1947</v>
      </c>
      <c r="E839" s="171" t="s">
        <v>19286</v>
      </c>
      <c r="F839" s="171" t="s">
        <v>19286</v>
      </c>
      <c r="G839" s="82"/>
      <c r="H839" s="96">
        <f t="shared" si="48"/>
        <v>3.73</v>
      </c>
      <c r="I839" s="96">
        <f t="shared" si="48"/>
        <v>3.73</v>
      </c>
      <c r="J839" s="91" t="str">
        <f t="shared" si="49"/>
        <v>Sinapi 89034</v>
      </c>
      <c r="K839" s="91" t="str">
        <f t="shared" si="50"/>
        <v>H</v>
      </c>
      <c r="L839" s="166" t="str">
        <f t="shared" si="51"/>
        <v/>
      </c>
      <c r="M839" s="82"/>
      <c r="N839" s="82"/>
    </row>
    <row r="840" spans="1:14" x14ac:dyDescent="0.25">
      <c r="A840" s="170" t="s">
        <v>3248</v>
      </c>
      <c r="B840" s="170" t="s">
        <v>3249</v>
      </c>
      <c r="C840" s="170" t="s">
        <v>587</v>
      </c>
      <c r="D840" s="170" t="s">
        <v>1947</v>
      </c>
      <c r="E840" s="171" t="s">
        <v>19900</v>
      </c>
      <c r="F840" s="171" t="s">
        <v>19900</v>
      </c>
      <c r="G840" s="82"/>
      <c r="H840" s="96">
        <f t="shared" ref="H840:I903" si="52">IF(E840="","",E840+0)</f>
        <v>35.28</v>
      </c>
      <c r="I840" s="96">
        <f t="shared" si="52"/>
        <v>35.28</v>
      </c>
      <c r="J840" s="91" t="str">
        <f t="shared" ref="J840:J903" si="53">IF(OR(H840="",I840=""),"",TRIM(CONCATENATE("Sinapi ",A840)))</f>
        <v>Sinapi 89128</v>
      </c>
      <c r="K840" s="91" t="str">
        <f t="shared" ref="K840:K903" si="54">TRIM(C840)</f>
        <v>H</v>
      </c>
      <c r="L840" s="166" t="str">
        <f t="shared" ref="L840:L903" si="55">IF(OR(RIGHT(IF(AND(K840&lt;&gt;"H",K840&lt;&gt;"MES"),RIGHT(B840,7),""),2)="PS",RIGHT(IF(AND(K840&lt;&gt;"H",K840&lt;&gt;"MES"),RIGHT(B840,7),""),2)="PA",RIGHT(IF(AND(K840&lt;&gt;"H",K840&lt;&gt;"MES"),RIGHT(B840,7),""),2)="PE"),LEFT(IF(AND(K840&lt;&gt;"H",K840&lt;&gt;"MES"),RIGHT(B840,10),""),7),IF(AND(K840&lt;&gt;"H",K840&lt;&gt;"MES"),RIGHT(B840,7),""))</f>
        <v/>
      </c>
      <c r="M840" s="82"/>
      <c r="N840" s="82"/>
    </row>
    <row r="841" spans="1:14" x14ac:dyDescent="0.25">
      <c r="A841" s="170" t="s">
        <v>3250</v>
      </c>
      <c r="B841" s="170" t="s">
        <v>3251</v>
      </c>
      <c r="C841" s="170" t="s">
        <v>587</v>
      </c>
      <c r="D841" s="170" t="s">
        <v>1947</v>
      </c>
      <c r="E841" s="171" t="s">
        <v>19942</v>
      </c>
      <c r="F841" s="171" t="s">
        <v>19942</v>
      </c>
      <c r="G841" s="82"/>
      <c r="H841" s="96">
        <f t="shared" si="52"/>
        <v>9.32</v>
      </c>
      <c r="I841" s="96">
        <f t="shared" si="52"/>
        <v>9.32</v>
      </c>
      <c r="J841" s="91" t="str">
        <f t="shared" si="53"/>
        <v>Sinapi 89129</v>
      </c>
      <c r="K841" s="91" t="str">
        <f t="shared" si="54"/>
        <v>H</v>
      </c>
      <c r="L841" s="166" t="str">
        <f t="shared" si="55"/>
        <v/>
      </c>
      <c r="M841" s="82"/>
      <c r="N841" s="82"/>
    </row>
    <row r="842" spans="1:14" x14ac:dyDescent="0.25">
      <c r="A842" s="170" t="s">
        <v>3252</v>
      </c>
      <c r="B842" s="170" t="s">
        <v>3253</v>
      </c>
      <c r="C842" s="170" t="s">
        <v>587</v>
      </c>
      <c r="D842" s="170" t="s">
        <v>1947</v>
      </c>
      <c r="E842" s="171" t="s">
        <v>21567</v>
      </c>
      <c r="F842" s="171" t="s">
        <v>21567</v>
      </c>
      <c r="G842" s="82"/>
      <c r="H842" s="96">
        <f t="shared" si="52"/>
        <v>48.92</v>
      </c>
      <c r="I842" s="96">
        <f t="shared" si="52"/>
        <v>48.92</v>
      </c>
      <c r="J842" s="91" t="str">
        <f t="shared" si="53"/>
        <v>Sinapi 89130</v>
      </c>
      <c r="K842" s="91" t="str">
        <f t="shared" si="54"/>
        <v>H</v>
      </c>
      <c r="L842" s="166" t="str">
        <f t="shared" si="55"/>
        <v/>
      </c>
      <c r="M842" s="82"/>
      <c r="N842" s="82"/>
    </row>
    <row r="843" spans="1:14" x14ac:dyDescent="0.25">
      <c r="A843" s="170" t="s">
        <v>3254</v>
      </c>
      <c r="B843" s="170" t="s">
        <v>3255</v>
      </c>
      <c r="C843" s="170" t="s">
        <v>587</v>
      </c>
      <c r="D843" s="170" t="s">
        <v>1947</v>
      </c>
      <c r="E843" s="171" t="s">
        <v>16395</v>
      </c>
      <c r="F843" s="171" t="s">
        <v>16395</v>
      </c>
      <c r="G843" s="82"/>
      <c r="H843" s="96">
        <f t="shared" si="52"/>
        <v>12.92</v>
      </c>
      <c r="I843" s="96">
        <f t="shared" si="52"/>
        <v>12.92</v>
      </c>
      <c r="J843" s="91" t="str">
        <f t="shared" si="53"/>
        <v>Sinapi 89131</v>
      </c>
      <c r="K843" s="91" t="str">
        <f t="shared" si="54"/>
        <v>H</v>
      </c>
      <c r="L843" s="166" t="str">
        <f t="shared" si="55"/>
        <v/>
      </c>
      <c r="M843" s="82"/>
      <c r="N843" s="82"/>
    </row>
    <row r="844" spans="1:14" x14ac:dyDescent="0.25">
      <c r="A844" s="170" t="s">
        <v>3257</v>
      </c>
      <c r="B844" s="170" t="s">
        <v>3258</v>
      </c>
      <c r="C844" s="170" t="s">
        <v>587</v>
      </c>
      <c r="D844" s="170" t="s">
        <v>1947</v>
      </c>
      <c r="E844" s="171" t="s">
        <v>24912</v>
      </c>
      <c r="F844" s="171" t="s">
        <v>24912</v>
      </c>
      <c r="G844" s="82"/>
      <c r="H844" s="96">
        <f t="shared" si="52"/>
        <v>31.45</v>
      </c>
      <c r="I844" s="96">
        <f t="shared" si="52"/>
        <v>31.45</v>
      </c>
      <c r="J844" s="91" t="str">
        <f t="shared" si="53"/>
        <v>Sinapi 89210</v>
      </c>
      <c r="K844" s="91" t="str">
        <f t="shared" si="54"/>
        <v>H</v>
      </c>
      <c r="L844" s="166" t="str">
        <f t="shared" si="55"/>
        <v/>
      </c>
      <c r="M844" s="82"/>
      <c r="N844" s="82"/>
    </row>
    <row r="845" spans="1:14" x14ac:dyDescent="0.25">
      <c r="A845" s="170" t="s">
        <v>3259</v>
      </c>
      <c r="B845" s="170" t="s">
        <v>3260</v>
      </c>
      <c r="C845" s="170" t="s">
        <v>587</v>
      </c>
      <c r="D845" s="170" t="s">
        <v>1947</v>
      </c>
      <c r="E845" s="171" t="s">
        <v>17880</v>
      </c>
      <c r="F845" s="171" t="s">
        <v>17880</v>
      </c>
      <c r="G845" s="82"/>
      <c r="H845" s="96">
        <f t="shared" si="52"/>
        <v>8.43</v>
      </c>
      <c r="I845" s="96">
        <f t="shared" si="52"/>
        <v>8.43</v>
      </c>
      <c r="J845" s="91" t="str">
        <f t="shared" si="53"/>
        <v>Sinapi 89211</v>
      </c>
      <c r="K845" s="91" t="str">
        <f t="shared" si="54"/>
        <v>H</v>
      </c>
      <c r="L845" s="166" t="str">
        <f t="shared" si="55"/>
        <v/>
      </c>
      <c r="M845" s="82"/>
      <c r="N845" s="82"/>
    </row>
    <row r="846" spans="1:14" x14ac:dyDescent="0.25">
      <c r="A846" s="170" t="s">
        <v>3261</v>
      </c>
      <c r="B846" s="170" t="s">
        <v>3262</v>
      </c>
      <c r="C846" s="170" t="s">
        <v>587</v>
      </c>
      <c r="D846" s="170" t="s">
        <v>1947</v>
      </c>
      <c r="E846" s="171" t="s">
        <v>32011</v>
      </c>
      <c r="F846" s="171" t="s">
        <v>32011</v>
      </c>
      <c r="G846" s="82"/>
      <c r="H846" s="96">
        <f t="shared" si="52"/>
        <v>28.16</v>
      </c>
      <c r="I846" s="96">
        <f t="shared" si="52"/>
        <v>28.16</v>
      </c>
      <c r="J846" s="91" t="str">
        <f t="shared" si="53"/>
        <v>Sinapi 89212</v>
      </c>
      <c r="K846" s="91" t="str">
        <f t="shared" si="54"/>
        <v>H</v>
      </c>
      <c r="L846" s="166" t="str">
        <f t="shared" si="55"/>
        <v/>
      </c>
      <c r="M846" s="82"/>
      <c r="N846" s="82"/>
    </row>
    <row r="847" spans="1:14" x14ac:dyDescent="0.25">
      <c r="A847" s="170" t="s">
        <v>3263</v>
      </c>
      <c r="B847" s="170" t="s">
        <v>3264</v>
      </c>
      <c r="C847" s="170" t="s">
        <v>587</v>
      </c>
      <c r="D847" s="170" t="s">
        <v>1947</v>
      </c>
      <c r="E847" s="171" t="s">
        <v>13649</v>
      </c>
      <c r="F847" s="171" t="s">
        <v>13649</v>
      </c>
      <c r="G847" s="82"/>
      <c r="H847" s="96">
        <f t="shared" si="52"/>
        <v>8.68</v>
      </c>
      <c r="I847" s="96">
        <f t="shared" si="52"/>
        <v>8.68</v>
      </c>
      <c r="J847" s="91" t="str">
        <f t="shared" si="53"/>
        <v>Sinapi 89213</v>
      </c>
      <c r="K847" s="91" t="str">
        <f t="shared" si="54"/>
        <v>H</v>
      </c>
      <c r="L847" s="166" t="str">
        <f t="shared" si="55"/>
        <v/>
      </c>
      <c r="M847" s="82"/>
      <c r="N847" s="82"/>
    </row>
    <row r="848" spans="1:14" x14ac:dyDescent="0.25">
      <c r="A848" s="170" t="s">
        <v>3265</v>
      </c>
      <c r="B848" s="170" t="s">
        <v>3266</v>
      </c>
      <c r="C848" s="170" t="s">
        <v>587</v>
      </c>
      <c r="D848" s="170" t="s">
        <v>1947</v>
      </c>
      <c r="E848" s="171" t="s">
        <v>17704</v>
      </c>
      <c r="F848" s="171" t="s">
        <v>17704</v>
      </c>
      <c r="G848" s="82"/>
      <c r="H848" s="96">
        <f t="shared" si="52"/>
        <v>26.43</v>
      </c>
      <c r="I848" s="96">
        <f t="shared" si="52"/>
        <v>26.43</v>
      </c>
      <c r="J848" s="91" t="str">
        <f t="shared" si="53"/>
        <v>Sinapi 89214</v>
      </c>
      <c r="K848" s="91" t="str">
        <f t="shared" si="54"/>
        <v>H</v>
      </c>
      <c r="L848" s="166" t="str">
        <f t="shared" si="55"/>
        <v/>
      </c>
      <c r="M848" s="82"/>
      <c r="N848" s="82"/>
    </row>
    <row r="849" spans="1:14" x14ac:dyDescent="0.25">
      <c r="A849" s="170" t="s">
        <v>3267</v>
      </c>
      <c r="B849" s="170" t="s">
        <v>3268</v>
      </c>
      <c r="C849" s="170" t="s">
        <v>587</v>
      </c>
      <c r="D849" s="170" t="s">
        <v>2710</v>
      </c>
      <c r="E849" s="171" t="s">
        <v>28821</v>
      </c>
      <c r="F849" s="171" t="s">
        <v>28821</v>
      </c>
      <c r="G849" s="82"/>
      <c r="H849" s="96">
        <f t="shared" si="52"/>
        <v>103.2</v>
      </c>
      <c r="I849" s="96">
        <f t="shared" si="52"/>
        <v>103.2</v>
      </c>
      <c r="J849" s="91" t="str">
        <f t="shared" si="53"/>
        <v>Sinapi 89215</v>
      </c>
      <c r="K849" s="91" t="str">
        <f t="shared" si="54"/>
        <v>H</v>
      </c>
      <c r="L849" s="166" t="str">
        <f t="shared" si="55"/>
        <v/>
      </c>
      <c r="M849" s="82"/>
      <c r="N849" s="82"/>
    </row>
    <row r="850" spans="1:14" x14ac:dyDescent="0.25">
      <c r="A850" s="170" t="s">
        <v>3269</v>
      </c>
      <c r="B850" s="170" t="s">
        <v>21697</v>
      </c>
      <c r="C850" s="170" t="s">
        <v>587</v>
      </c>
      <c r="D850" s="170" t="s">
        <v>2067</v>
      </c>
      <c r="E850" s="171" t="s">
        <v>16421</v>
      </c>
      <c r="F850" s="171" t="s">
        <v>16421</v>
      </c>
      <c r="G850" s="82"/>
      <c r="H850" s="96">
        <f t="shared" si="52"/>
        <v>1.52</v>
      </c>
      <c r="I850" s="96">
        <f t="shared" si="52"/>
        <v>1.52</v>
      </c>
      <c r="J850" s="91" t="str">
        <f t="shared" si="53"/>
        <v>Sinapi 89221</v>
      </c>
      <c r="K850" s="91" t="str">
        <f t="shared" si="54"/>
        <v>H</v>
      </c>
      <c r="L850" s="166" t="str">
        <f t="shared" si="55"/>
        <v/>
      </c>
      <c r="M850" s="82"/>
      <c r="N850" s="82"/>
    </row>
    <row r="851" spans="1:14" x14ac:dyDescent="0.25">
      <c r="A851" s="170" t="s">
        <v>3270</v>
      </c>
      <c r="B851" s="170" t="s">
        <v>21698</v>
      </c>
      <c r="C851" s="170" t="s">
        <v>587</v>
      </c>
      <c r="D851" s="170" t="s">
        <v>2067</v>
      </c>
      <c r="E851" s="171" t="s">
        <v>3430</v>
      </c>
      <c r="F851" s="171" t="s">
        <v>3430</v>
      </c>
      <c r="G851" s="82"/>
      <c r="H851" s="96">
        <f t="shared" si="52"/>
        <v>0.37</v>
      </c>
      <c r="I851" s="96">
        <f t="shared" si="52"/>
        <v>0.37</v>
      </c>
      <c r="J851" s="91" t="str">
        <f t="shared" si="53"/>
        <v>Sinapi 89222</v>
      </c>
      <c r="K851" s="91" t="str">
        <f t="shared" si="54"/>
        <v>H</v>
      </c>
      <c r="L851" s="166" t="str">
        <f t="shared" si="55"/>
        <v/>
      </c>
      <c r="M851" s="82"/>
      <c r="N851" s="82"/>
    </row>
    <row r="852" spans="1:14" x14ac:dyDescent="0.25">
      <c r="A852" s="170" t="s">
        <v>3272</v>
      </c>
      <c r="B852" s="170" t="s">
        <v>21699</v>
      </c>
      <c r="C852" s="170" t="s">
        <v>587</v>
      </c>
      <c r="D852" s="170" t="s">
        <v>2067</v>
      </c>
      <c r="E852" s="171" t="s">
        <v>18552</v>
      </c>
      <c r="F852" s="171" t="s">
        <v>18552</v>
      </c>
      <c r="G852" s="82"/>
      <c r="H852" s="96">
        <f t="shared" si="52"/>
        <v>1.77</v>
      </c>
      <c r="I852" s="96">
        <f t="shared" si="52"/>
        <v>1.77</v>
      </c>
      <c r="J852" s="91" t="str">
        <f t="shared" si="53"/>
        <v>Sinapi 89223</v>
      </c>
      <c r="K852" s="91" t="str">
        <f t="shared" si="54"/>
        <v>H</v>
      </c>
      <c r="L852" s="166" t="str">
        <f t="shared" si="55"/>
        <v/>
      </c>
      <c r="M852" s="82"/>
      <c r="N852" s="82"/>
    </row>
    <row r="853" spans="1:14" x14ac:dyDescent="0.25">
      <c r="A853" s="170" t="s">
        <v>3273</v>
      </c>
      <c r="B853" s="170" t="s">
        <v>21700</v>
      </c>
      <c r="C853" s="170" t="s">
        <v>587</v>
      </c>
      <c r="D853" s="170" t="s">
        <v>2067</v>
      </c>
      <c r="E853" s="171" t="s">
        <v>14939</v>
      </c>
      <c r="F853" s="171" t="s">
        <v>14939</v>
      </c>
      <c r="G853" s="82"/>
      <c r="H853" s="96">
        <f t="shared" si="52"/>
        <v>2.6</v>
      </c>
      <c r="I853" s="96">
        <f t="shared" si="52"/>
        <v>2.6</v>
      </c>
      <c r="J853" s="91" t="str">
        <f t="shared" si="53"/>
        <v>Sinapi 89224</v>
      </c>
      <c r="K853" s="91" t="str">
        <f t="shared" si="54"/>
        <v>H</v>
      </c>
      <c r="L853" s="166" t="str">
        <f t="shared" si="55"/>
        <v/>
      </c>
      <c r="M853" s="82"/>
      <c r="N853" s="82"/>
    </row>
    <row r="854" spans="1:14" x14ac:dyDescent="0.25">
      <c r="A854" s="170" t="s">
        <v>3274</v>
      </c>
      <c r="B854" s="170" t="s">
        <v>3275</v>
      </c>
      <c r="C854" s="170" t="s">
        <v>587</v>
      </c>
      <c r="D854" s="170" t="s">
        <v>1947</v>
      </c>
      <c r="E854" s="171" t="s">
        <v>22998</v>
      </c>
      <c r="F854" s="171" t="s">
        <v>22998</v>
      </c>
      <c r="G854" s="82"/>
      <c r="H854" s="96">
        <f t="shared" si="52"/>
        <v>44.4</v>
      </c>
      <c r="I854" s="96">
        <f t="shared" si="52"/>
        <v>44.4</v>
      </c>
      <c r="J854" s="91" t="str">
        <f t="shared" si="53"/>
        <v>Sinapi 89228</v>
      </c>
      <c r="K854" s="91" t="str">
        <f t="shared" si="54"/>
        <v>H</v>
      </c>
      <c r="L854" s="166" t="str">
        <f t="shared" si="55"/>
        <v/>
      </c>
      <c r="M854" s="82"/>
      <c r="N854" s="82"/>
    </row>
    <row r="855" spans="1:14" x14ac:dyDescent="0.25">
      <c r="A855" s="170" t="s">
        <v>3276</v>
      </c>
      <c r="B855" s="170" t="s">
        <v>3277</v>
      </c>
      <c r="C855" s="170" t="s">
        <v>587</v>
      </c>
      <c r="D855" s="170" t="s">
        <v>1947</v>
      </c>
      <c r="E855" s="171" t="s">
        <v>18697</v>
      </c>
      <c r="F855" s="171" t="s">
        <v>18697</v>
      </c>
      <c r="G855" s="82"/>
      <c r="H855" s="96">
        <f t="shared" si="52"/>
        <v>15.65</v>
      </c>
      <c r="I855" s="96">
        <f t="shared" si="52"/>
        <v>15.65</v>
      </c>
      <c r="J855" s="91" t="str">
        <f t="shared" si="53"/>
        <v>Sinapi 89229</v>
      </c>
      <c r="K855" s="91" t="str">
        <f t="shared" si="54"/>
        <v>H</v>
      </c>
      <c r="L855" s="166" t="str">
        <f t="shared" si="55"/>
        <v/>
      </c>
      <c r="M855" s="82"/>
      <c r="N855" s="82"/>
    </row>
    <row r="856" spans="1:14" x14ac:dyDescent="0.25">
      <c r="A856" s="170" t="s">
        <v>3278</v>
      </c>
      <c r="B856" s="170" t="s">
        <v>3279</v>
      </c>
      <c r="C856" s="170" t="s">
        <v>587</v>
      </c>
      <c r="D856" s="170" t="s">
        <v>1947</v>
      </c>
      <c r="E856" s="171" t="s">
        <v>22043</v>
      </c>
      <c r="F856" s="171" t="s">
        <v>22043</v>
      </c>
      <c r="G856" s="82"/>
      <c r="H856" s="96">
        <f t="shared" si="52"/>
        <v>131.91999999999999</v>
      </c>
      <c r="I856" s="96">
        <f t="shared" si="52"/>
        <v>131.91999999999999</v>
      </c>
      <c r="J856" s="91" t="str">
        <f t="shared" si="53"/>
        <v>Sinapi 89230</v>
      </c>
      <c r="K856" s="91" t="str">
        <f t="shared" si="54"/>
        <v>H</v>
      </c>
      <c r="L856" s="166" t="str">
        <f t="shared" si="55"/>
        <v/>
      </c>
      <c r="M856" s="82"/>
      <c r="N856" s="82"/>
    </row>
    <row r="857" spans="1:14" x14ac:dyDescent="0.25">
      <c r="A857" s="170" t="s">
        <v>3280</v>
      </c>
      <c r="B857" s="170" t="s">
        <v>3281</v>
      </c>
      <c r="C857" s="170" t="s">
        <v>587</v>
      </c>
      <c r="D857" s="170" t="s">
        <v>1947</v>
      </c>
      <c r="E857" s="171" t="s">
        <v>21173</v>
      </c>
      <c r="F857" s="171" t="s">
        <v>21173</v>
      </c>
      <c r="G857" s="82"/>
      <c r="H857" s="96">
        <f t="shared" si="52"/>
        <v>40.39</v>
      </c>
      <c r="I857" s="96">
        <f t="shared" si="52"/>
        <v>40.39</v>
      </c>
      <c r="J857" s="91" t="str">
        <f t="shared" si="53"/>
        <v>Sinapi 89231</v>
      </c>
      <c r="K857" s="91" t="str">
        <f t="shared" si="54"/>
        <v>H</v>
      </c>
      <c r="L857" s="166" t="str">
        <f t="shared" si="55"/>
        <v/>
      </c>
      <c r="M857" s="82"/>
      <c r="N857" s="82"/>
    </row>
    <row r="858" spans="1:14" x14ac:dyDescent="0.25">
      <c r="A858" s="170" t="s">
        <v>3282</v>
      </c>
      <c r="B858" s="170" t="s">
        <v>3283</v>
      </c>
      <c r="C858" s="170" t="s">
        <v>587</v>
      </c>
      <c r="D858" s="170" t="s">
        <v>1947</v>
      </c>
      <c r="E858" s="171" t="s">
        <v>32012</v>
      </c>
      <c r="F858" s="171" t="s">
        <v>32012</v>
      </c>
      <c r="G858" s="82"/>
      <c r="H858" s="96">
        <f t="shared" si="52"/>
        <v>235.32</v>
      </c>
      <c r="I858" s="96">
        <f t="shared" si="52"/>
        <v>235.32</v>
      </c>
      <c r="J858" s="91" t="str">
        <f t="shared" si="53"/>
        <v>Sinapi 89232</v>
      </c>
      <c r="K858" s="91" t="str">
        <f t="shared" si="54"/>
        <v>H</v>
      </c>
      <c r="L858" s="166" t="str">
        <f t="shared" si="55"/>
        <v/>
      </c>
      <c r="M858" s="82"/>
      <c r="N858" s="82"/>
    </row>
    <row r="859" spans="1:14" x14ac:dyDescent="0.25">
      <c r="A859" s="170" t="s">
        <v>3284</v>
      </c>
      <c r="B859" s="170" t="s">
        <v>3285</v>
      </c>
      <c r="C859" s="170" t="s">
        <v>587</v>
      </c>
      <c r="D859" s="170" t="s">
        <v>2710</v>
      </c>
      <c r="E859" s="171" t="s">
        <v>32013</v>
      </c>
      <c r="F859" s="171" t="s">
        <v>32013</v>
      </c>
      <c r="G859" s="82"/>
      <c r="H859" s="96">
        <f t="shared" si="52"/>
        <v>185.73</v>
      </c>
      <c r="I859" s="96">
        <f t="shared" si="52"/>
        <v>185.73</v>
      </c>
      <c r="J859" s="91" t="str">
        <f t="shared" si="53"/>
        <v>Sinapi 89233</v>
      </c>
      <c r="K859" s="91" t="str">
        <f t="shared" si="54"/>
        <v>H</v>
      </c>
      <c r="L859" s="166" t="str">
        <f t="shared" si="55"/>
        <v/>
      </c>
      <c r="M859" s="82"/>
      <c r="N859" s="82"/>
    </row>
    <row r="860" spans="1:14" x14ac:dyDescent="0.25">
      <c r="A860" s="170" t="s">
        <v>3286</v>
      </c>
      <c r="B860" s="170" t="s">
        <v>3287</v>
      </c>
      <c r="C860" s="170" t="s">
        <v>587</v>
      </c>
      <c r="D860" s="170" t="s">
        <v>1947</v>
      </c>
      <c r="E860" s="171" t="s">
        <v>32014</v>
      </c>
      <c r="F860" s="171" t="s">
        <v>32014</v>
      </c>
      <c r="G860" s="82"/>
      <c r="H860" s="96">
        <f t="shared" si="52"/>
        <v>308.17</v>
      </c>
      <c r="I860" s="96">
        <f t="shared" si="52"/>
        <v>308.17</v>
      </c>
      <c r="J860" s="91" t="str">
        <f t="shared" si="53"/>
        <v>Sinapi 89236</v>
      </c>
      <c r="K860" s="91" t="str">
        <f t="shared" si="54"/>
        <v>H</v>
      </c>
      <c r="L860" s="166" t="str">
        <f t="shared" si="55"/>
        <v/>
      </c>
      <c r="M860" s="82"/>
      <c r="N860" s="82"/>
    </row>
    <row r="861" spans="1:14" x14ac:dyDescent="0.25">
      <c r="A861" s="170" t="s">
        <v>3288</v>
      </c>
      <c r="B861" s="170" t="s">
        <v>3289</v>
      </c>
      <c r="C861" s="170" t="s">
        <v>587</v>
      </c>
      <c r="D861" s="170" t="s">
        <v>1947</v>
      </c>
      <c r="E861" s="171" t="s">
        <v>26689</v>
      </c>
      <c r="F861" s="171" t="s">
        <v>26689</v>
      </c>
      <c r="G861" s="82"/>
      <c r="H861" s="96">
        <f t="shared" si="52"/>
        <v>94.36</v>
      </c>
      <c r="I861" s="96">
        <f t="shared" si="52"/>
        <v>94.36</v>
      </c>
      <c r="J861" s="91" t="str">
        <f t="shared" si="53"/>
        <v>Sinapi 89237</v>
      </c>
      <c r="K861" s="91" t="str">
        <f t="shared" si="54"/>
        <v>H</v>
      </c>
      <c r="L861" s="166" t="str">
        <f t="shared" si="55"/>
        <v/>
      </c>
      <c r="M861" s="82"/>
      <c r="N861" s="82"/>
    </row>
    <row r="862" spans="1:14" x14ac:dyDescent="0.25">
      <c r="A862" s="170" t="s">
        <v>3290</v>
      </c>
      <c r="B862" s="170" t="s">
        <v>3291</v>
      </c>
      <c r="C862" s="170" t="s">
        <v>587</v>
      </c>
      <c r="D862" s="170" t="s">
        <v>1947</v>
      </c>
      <c r="E862" s="171" t="s">
        <v>32015</v>
      </c>
      <c r="F862" s="171" t="s">
        <v>32015</v>
      </c>
      <c r="G862" s="82"/>
      <c r="H862" s="96">
        <f t="shared" si="52"/>
        <v>549.70000000000005</v>
      </c>
      <c r="I862" s="96">
        <f t="shared" si="52"/>
        <v>549.70000000000005</v>
      </c>
      <c r="J862" s="91" t="str">
        <f t="shared" si="53"/>
        <v>Sinapi 89238</v>
      </c>
      <c r="K862" s="91" t="str">
        <f t="shared" si="54"/>
        <v>H</v>
      </c>
      <c r="L862" s="166" t="str">
        <f t="shared" si="55"/>
        <v/>
      </c>
      <c r="M862" s="82"/>
      <c r="N862" s="82"/>
    </row>
    <row r="863" spans="1:14" x14ac:dyDescent="0.25">
      <c r="A863" s="170" t="s">
        <v>3292</v>
      </c>
      <c r="B863" s="170" t="s">
        <v>3293</v>
      </c>
      <c r="C863" s="170" t="s">
        <v>587</v>
      </c>
      <c r="D863" s="170" t="s">
        <v>2710</v>
      </c>
      <c r="E863" s="171" t="s">
        <v>32016</v>
      </c>
      <c r="F863" s="171" t="s">
        <v>32016</v>
      </c>
      <c r="G863" s="82"/>
      <c r="H863" s="96">
        <f t="shared" si="52"/>
        <v>491.16</v>
      </c>
      <c r="I863" s="96">
        <f t="shared" si="52"/>
        <v>491.16</v>
      </c>
      <c r="J863" s="91" t="str">
        <f t="shared" si="53"/>
        <v>Sinapi 89239</v>
      </c>
      <c r="K863" s="91" t="str">
        <f t="shared" si="54"/>
        <v>H</v>
      </c>
      <c r="L863" s="166" t="str">
        <f t="shared" si="55"/>
        <v/>
      </c>
      <c r="M863" s="82"/>
      <c r="N863" s="82"/>
    </row>
    <row r="864" spans="1:14" x14ac:dyDescent="0.25">
      <c r="A864" s="170" t="s">
        <v>3294</v>
      </c>
      <c r="B864" s="170" t="s">
        <v>3295</v>
      </c>
      <c r="C864" s="170" t="s">
        <v>587</v>
      </c>
      <c r="D864" s="170" t="s">
        <v>1947</v>
      </c>
      <c r="E864" s="171" t="s">
        <v>32017</v>
      </c>
      <c r="F864" s="171" t="s">
        <v>32017</v>
      </c>
      <c r="G864" s="82"/>
      <c r="H864" s="96">
        <f t="shared" si="52"/>
        <v>94.57</v>
      </c>
      <c r="I864" s="96">
        <f t="shared" si="52"/>
        <v>94.57</v>
      </c>
      <c r="J864" s="91" t="str">
        <f t="shared" si="53"/>
        <v>Sinapi 89240</v>
      </c>
      <c r="K864" s="91" t="str">
        <f t="shared" si="54"/>
        <v>H</v>
      </c>
      <c r="L864" s="166" t="str">
        <f t="shared" si="55"/>
        <v/>
      </c>
      <c r="M864" s="82"/>
      <c r="N864" s="82"/>
    </row>
    <row r="865" spans="1:14" x14ac:dyDescent="0.25">
      <c r="A865" s="170" t="s">
        <v>3296</v>
      </c>
      <c r="B865" s="170" t="s">
        <v>3297</v>
      </c>
      <c r="C865" s="170" t="s">
        <v>587</v>
      </c>
      <c r="D865" s="170" t="s">
        <v>1947</v>
      </c>
      <c r="E865" s="171" t="s">
        <v>31897</v>
      </c>
      <c r="F865" s="171" t="s">
        <v>31897</v>
      </c>
      <c r="G865" s="82"/>
      <c r="H865" s="96">
        <f t="shared" si="52"/>
        <v>33.33</v>
      </c>
      <c r="I865" s="96">
        <f t="shared" si="52"/>
        <v>33.33</v>
      </c>
      <c r="J865" s="91" t="str">
        <f t="shared" si="53"/>
        <v>Sinapi 89241</v>
      </c>
      <c r="K865" s="91" t="str">
        <f t="shared" si="54"/>
        <v>H</v>
      </c>
      <c r="L865" s="166" t="str">
        <f t="shared" si="55"/>
        <v/>
      </c>
      <c r="M865" s="82"/>
      <c r="N865" s="82"/>
    </row>
    <row r="866" spans="1:14" x14ac:dyDescent="0.25">
      <c r="A866" s="170" t="s">
        <v>3298</v>
      </c>
      <c r="B866" s="170" t="s">
        <v>3299</v>
      </c>
      <c r="C866" s="170" t="s">
        <v>587</v>
      </c>
      <c r="D866" s="170" t="s">
        <v>1947</v>
      </c>
      <c r="E866" s="171" t="s">
        <v>32018</v>
      </c>
      <c r="F866" s="171" t="s">
        <v>32018</v>
      </c>
      <c r="G866" s="82"/>
      <c r="H866" s="96">
        <f t="shared" si="52"/>
        <v>267.77999999999997</v>
      </c>
      <c r="I866" s="96">
        <f t="shared" si="52"/>
        <v>267.77999999999997</v>
      </c>
      <c r="J866" s="91" t="str">
        <f t="shared" si="53"/>
        <v>Sinapi 89246</v>
      </c>
      <c r="K866" s="91" t="str">
        <f t="shared" si="54"/>
        <v>H</v>
      </c>
      <c r="L866" s="166" t="str">
        <f t="shared" si="55"/>
        <v/>
      </c>
      <c r="M866" s="82"/>
      <c r="N866" s="82"/>
    </row>
    <row r="867" spans="1:14" x14ac:dyDescent="0.25">
      <c r="A867" s="170" t="s">
        <v>3300</v>
      </c>
      <c r="B867" s="170" t="s">
        <v>3301</v>
      </c>
      <c r="C867" s="170" t="s">
        <v>587</v>
      </c>
      <c r="D867" s="170" t="s">
        <v>1947</v>
      </c>
      <c r="E867" s="171" t="s">
        <v>28753</v>
      </c>
      <c r="F867" s="171" t="s">
        <v>28753</v>
      </c>
      <c r="G867" s="82"/>
      <c r="H867" s="96">
        <f t="shared" si="52"/>
        <v>81.99</v>
      </c>
      <c r="I867" s="96">
        <f t="shared" si="52"/>
        <v>81.99</v>
      </c>
      <c r="J867" s="91" t="str">
        <f t="shared" si="53"/>
        <v>Sinapi 89247</v>
      </c>
      <c r="K867" s="91" t="str">
        <f t="shared" si="54"/>
        <v>H</v>
      </c>
      <c r="L867" s="166" t="str">
        <f t="shared" si="55"/>
        <v/>
      </c>
      <c r="M867" s="82"/>
      <c r="N867" s="82"/>
    </row>
    <row r="868" spans="1:14" x14ac:dyDescent="0.25">
      <c r="A868" s="170" t="s">
        <v>3302</v>
      </c>
      <c r="B868" s="170" t="s">
        <v>3303</v>
      </c>
      <c r="C868" s="170" t="s">
        <v>587</v>
      </c>
      <c r="D868" s="170" t="s">
        <v>1947</v>
      </c>
      <c r="E868" s="171" t="s">
        <v>32019</v>
      </c>
      <c r="F868" s="171" t="s">
        <v>32019</v>
      </c>
      <c r="G868" s="82"/>
      <c r="H868" s="96">
        <f t="shared" si="52"/>
        <v>477.65</v>
      </c>
      <c r="I868" s="96">
        <f t="shared" si="52"/>
        <v>477.65</v>
      </c>
      <c r="J868" s="91" t="str">
        <f t="shared" si="53"/>
        <v>Sinapi 89248</v>
      </c>
      <c r="K868" s="91" t="str">
        <f t="shared" si="54"/>
        <v>H</v>
      </c>
      <c r="L868" s="166" t="str">
        <f t="shared" si="55"/>
        <v/>
      </c>
      <c r="M868" s="82"/>
      <c r="N868" s="82"/>
    </row>
    <row r="869" spans="1:14" x14ac:dyDescent="0.25">
      <c r="A869" s="170" t="s">
        <v>3304</v>
      </c>
      <c r="B869" s="170" t="s">
        <v>3305</v>
      </c>
      <c r="C869" s="170" t="s">
        <v>587</v>
      </c>
      <c r="D869" s="170" t="s">
        <v>2710</v>
      </c>
      <c r="E869" s="171" t="s">
        <v>32020</v>
      </c>
      <c r="F869" s="171" t="s">
        <v>32020</v>
      </c>
      <c r="G869" s="82"/>
      <c r="H869" s="96">
        <f t="shared" si="52"/>
        <v>418.68</v>
      </c>
      <c r="I869" s="96">
        <f t="shared" si="52"/>
        <v>418.68</v>
      </c>
      <c r="J869" s="91" t="str">
        <f t="shared" si="53"/>
        <v>Sinapi 89249</v>
      </c>
      <c r="K869" s="91" t="str">
        <f t="shared" si="54"/>
        <v>H</v>
      </c>
      <c r="L869" s="166" t="str">
        <f t="shared" si="55"/>
        <v/>
      </c>
      <c r="M869" s="82"/>
      <c r="N869" s="82"/>
    </row>
    <row r="870" spans="1:14" x14ac:dyDescent="0.25">
      <c r="A870" s="170" t="s">
        <v>3306</v>
      </c>
      <c r="B870" s="170" t="s">
        <v>3307</v>
      </c>
      <c r="C870" s="170" t="s">
        <v>587</v>
      </c>
      <c r="D870" s="170" t="s">
        <v>1947</v>
      </c>
      <c r="E870" s="171" t="s">
        <v>29059</v>
      </c>
      <c r="F870" s="171" t="s">
        <v>29059</v>
      </c>
      <c r="G870" s="82"/>
      <c r="H870" s="96">
        <f t="shared" si="52"/>
        <v>77.5</v>
      </c>
      <c r="I870" s="96">
        <f t="shared" si="52"/>
        <v>77.5</v>
      </c>
      <c r="J870" s="91" t="str">
        <f t="shared" si="53"/>
        <v>Sinapi 89253</v>
      </c>
      <c r="K870" s="91" t="str">
        <f t="shared" si="54"/>
        <v>H</v>
      </c>
      <c r="L870" s="166" t="str">
        <f t="shared" si="55"/>
        <v/>
      </c>
      <c r="M870" s="82"/>
      <c r="N870" s="82"/>
    </row>
    <row r="871" spans="1:14" x14ac:dyDescent="0.25">
      <c r="A871" s="170" t="s">
        <v>3308</v>
      </c>
      <c r="B871" s="170" t="s">
        <v>3309</v>
      </c>
      <c r="C871" s="170" t="s">
        <v>587</v>
      </c>
      <c r="D871" s="170" t="s">
        <v>1947</v>
      </c>
      <c r="E871" s="171" t="s">
        <v>30252</v>
      </c>
      <c r="F871" s="171" t="s">
        <v>30252</v>
      </c>
      <c r="G871" s="82"/>
      <c r="H871" s="96">
        <f t="shared" si="52"/>
        <v>27.32</v>
      </c>
      <c r="I871" s="96">
        <f t="shared" si="52"/>
        <v>27.32</v>
      </c>
      <c r="J871" s="91" t="str">
        <f t="shared" si="53"/>
        <v>Sinapi 89254</v>
      </c>
      <c r="K871" s="91" t="str">
        <f t="shared" si="54"/>
        <v>H</v>
      </c>
      <c r="L871" s="166" t="str">
        <f t="shared" si="55"/>
        <v/>
      </c>
      <c r="M871" s="82"/>
      <c r="N871" s="82"/>
    </row>
    <row r="872" spans="1:14" x14ac:dyDescent="0.25">
      <c r="A872" s="170" t="s">
        <v>3310</v>
      </c>
      <c r="B872" s="170" t="s">
        <v>3311</v>
      </c>
      <c r="C872" s="170" t="s">
        <v>587</v>
      </c>
      <c r="D872" s="170" t="s">
        <v>1947</v>
      </c>
      <c r="E872" s="171" t="s">
        <v>32021</v>
      </c>
      <c r="F872" s="171" t="s">
        <v>32021</v>
      </c>
      <c r="G872" s="82"/>
      <c r="H872" s="96">
        <f t="shared" si="52"/>
        <v>124.58</v>
      </c>
      <c r="I872" s="96">
        <f t="shared" si="52"/>
        <v>124.58</v>
      </c>
      <c r="J872" s="91" t="str">
        <f t="shared" si="53"/>
        <v>Sinapi 89255</v>
      </c>
      <c r="K872" s="91" t="str">
        <f t="shared" si="54"/>
        <v>H</v>
      </c>
      <c r="L872" s="166" t="str">
        <f t="shared" si="55"/>
        <v/>
      </c>
      <c r="M872" s="82"/>
      <c r="N872" s="82"/>
    </row>
    <row r="873" spans="1:14" x14ac:dyDescent="0.25">
      <c r="A873" s="170" t="s">
        <v>3312</v>
      </c>
      <c r="B873" s="170" t="s">
        <v>3313</v>
      </c>
      <c r="C873" s="170" t="s">
        <v>587</v>
      </c>
      <c r="D873" s="170" t="s">
        <v>2710</v>
      </c>
      <c r="E873" s="171" t="s">
        <v>23147</v>
      </c>
      <c r="F873" s="171" t="s">
        <v>23147</v>
      </c>
      <c r="G873" s="82"/>
      <c r="H873" s="96">
        <f t="shared" si="52"/>
        <v>94.23</v>
      </c>
      <c r="I873" s="96">
        <f t="shared" si="52"/>
        <v>94.23</v>
      </c>
      <c r="J873" s="91" t="str">
        <f t="shared" si="53"/>
        <v>Sinapi 89256</v>
      </c>
      <c r="K873" s="91" t="str">
        <f t="shared" si="54"/>
        <v>H</v>
      </c>
      <c r="L873" s="166" t="str">
        <f t="shared" si="55"/>
        <v/>
      </c>
      <c r="M873" s="82"/>
      <c r="N873" s="82"/>
    </row>
    <row r="874" spans="1:14" x14ac:dyDescent="0.25">
      <c r="A874" s="170" t="s">
        <v>3314</v>
      </c>
      <c r="B874" s="170" t="s">
        <v>3315</v>
      </c>
      <c r="C874" s="170" t="s">
        <v>587</v>
      </c>
      <c r="D874" s="170" t="s">
        <v>1947</v>
      </c>
      <c r="E874" s="171" t="s">
        <v>32022</v>
      </c>
      <c r="F874" s="171" t="s">
        <v>32022</v>
      </c>
      <c r="G874" s="82"/>
      <c r="H874" s="96">
        <f t="shared" si="52"/>
        <v>27.68</v>
      </c>
      <c r="I874" s="96">
        <f t="shared" si="52"/>
        <v>27.68</v>
      </c>
      <c r="J874" s="91" t="str">
        <f t="shared" si="53"/>
        <v>Sinapi 89259</v>
      </c>
      <c r="K874" s="91" t="str">
        <f t="shared" si="54"/>
        <v>H</v>
      </c>
      <c r="L874" s="166" t="str">
        <f t="shared" si="55"/>
        <v/>
      </c>
      <c r="M874" s="82"/>
      <c r="N874" s="82"/>
    </row>
    <row r="875" spans="1:14" x14ac:dyDescent="0.25">
      <c r="A875" s="170" t="s">
        <v>3316</v>
      </c>
      <c r="B875" s="170" t="s">
        <v>3317</v>
      </c>
      <c r="C875" s="170" t="s">
        <v>587</v>
      </c>
      <c r="D875" s="170" t="s">
        <v>1947</v>
      </c>
      <c r="E875" s="171" t="s">
        <v>13744</v>
      </c>
      <c r="F875" s="171" t="s">
        <v>13744</v>
      </c>
      <c r="G875" s="82"/>
      <c r="H875" s="96">
        <f t="shared" si="52"/>
        <v>10.24</v>
      </c>
      <c r="I875" s="96">
        <f t="shared" si="52"/>
        <v>10.24</v>
      </c>
      <c r="J875" s="91" t="str">
        <f t="shared" si="53"/>
        <v>Sinapi 89260</v>
      </c>
      <c r="K875" s="91" t="str">
        <f t="shared" si="54"/>
        <v>H</v>
      </c>
      <c r="L875" s="166" t="str">
        <f t="shared" si="55"/>
        <v/>
      </c>
      <c r="M875" s="82"/>
      <c r="N875" s="82"/>
    </row>
    <row r="876" spans="1:14" x14ac:dyDescent="0.25">
      <c r="A876" s="170" t="s">
        <v>3318</v>
      </c>
      <c r="B876" s="170" t="s">
        <v>3319</v>
      </c>
      <c r="C876" s="170" t="s">
        <v>587</v>
      </c>
      <c r="D876" s="170" t="s">
        <v>1947</v>
      </c>
      <c r="E876" s="171" t="s">
        <v>23275</v>
      </c>
      <c r="F876" s="171" t="s">
        <v>23275</v>
      </c>
      <c r="G876" s="82"/>
      <c r="H876" s="96">
        <f t="shared" si="52"/>
        <v>47.22</v>
      </c>
      <c r="I876" s="96">
        <f t="shared" si="52"/>
        <v>47.22</v>
      </c>
      <c r="J876" s="91" t="str">
        <f t="shared" si="53"/>
        <v>Sinapi 89262</v>
      </c>
      <c r="K876" s="91" t="str">
        <f t="shared" si="54"/>
        <v>H</v>
      </c>
      <c r="L876" s="166" t="str">
        <f t="shared" si="55"/>
        <v/>
      </c>
      <c r="M876" s="82"/>
      <c r="N876" s="82"/>
    </row>
    <row r="877" spans="1:14" x14ac:dyDescent="0.25">
      <c r="A877" s="170" t="s">
        <v>3320</v>
      </c>
      <c r="B877" s="170" t="s">
        <v>3321</v>
      </c>
      <c r="C877" s="170" t="s">
        <v>587</v>
      </c>
      <c r="D877" s="170" t="s">
        <v>1947</v>
      </c>
      <c r="E877" s="171" t="s">
        <v>16387</v>
      </c>
      <c r="F877" s="171" t="s">
        <v>16387</v>
      </c>
      <c r="G877" s="82"/>
      <c r="H877" s="96">
        <f t="shared" si="52"/>
        <v>21.8</v>
      </c>
      <c r="I877" s="96">
        <f t="shared" si="52"/>
        <v>21.8</v>
      </c>
      <c r="J877" s="91" t="str">
        <f t="shared" si="53"/>
        <v>Sinapi 89264</v>
      </c>
      <c r="K877" s="91" t="str">
        <f t="shared" si="54"/>
        <v>H</v>
      </c>
      <c r="L877" s="166" t="str">
        <f t="shared" si="55"/>
        <v/>
      </c>
      <c r="M877" s="82"/>
      <c r="N877" s="82"/>
    </row>
    <row r="878" spans="1:14" x14ac:dyDescent="0.25">
      <c r="A878" s="170" t="s">
        <v>3322</v>
      </c>
      <c r="B878" s="170" t="s">
        <v>3323</v>
      </c>
      <c r="C878" s="170" t="s">
        <v>587</v>
      </c>
      <c r="D878" s="170" t="s">
        <v>1947</v>
      </c>
      <c r="E878" s="171" t="s">
        <v>6687</v>
      </c>
      <c r="F878" s="171" t="s">
        <v>6687</v>
      </c>
      <c r="G878" s="82"/>
      <c r="H878" s="96">
        <f t="shared" si="52"/>
        <v>8.7100000000000009</v>
      </c>
      <c r="I878" s="96">
        <f t="shared" si="52"/>
        <v>8.7100000000000009</v>
      </c>
      <c r="J878" s="91" t="str">
        <f t="shared" si="53"/>
        <v>Sinapi 89265</v>
      </c>
      <c r="K878" s="91" t="str">
        <f t="shared" si="54"/>
        <v>H</v>
      </c>
      <c r="L878" s="166" t="str">
        <f t="shared" si="55"/>
        <v/>
      </c>
      <c r="M878" s="82"/>
      <c r="N878" s="82"/>
    </row>
    <row r="879" spans="1:14" x14ac:dyDescent="0.25">
      <c r="A879" s="170" t="s">
        <v>3324</v>
      </c>
      <c r="B879" s="170" t="s">
        <v>3325</v>
      </c>
      <c r="C879" s="170" t="s">
        <v>587</v>
      </c>
      <c r="D879" s="170" t="s">
        <v>1947</v>
      </c>
      <c r="E879" s="171" t="s">
        <v>19810</v>
      </c>
      <c r="F879" s="171" t="s">
        <v>19810</v>
      </c>
      <c r="G879" s="82"/>
      <c r="H879" s="96">
        <f t="shared" si="52"/>
        <v>3.52</v>
      </c>
      <c r="I879" s="96">
        <f t="shared" si="52"/>
        <v>3.52</v>
      </c>
      <c r="J879" s="91" t="str">
        <f t="shared" si="53"/>
        <v>Sinapi 89266</v>
      </c>
      <c r="K879" s="91" t="str">
        <f t="shared" si="54"/>
        <v>H</v>
      </c>
      <c r="L879" s="166" t="str">
        <f t="shared" si="55"/>
        <v/>
      </c>
      <c r="M879" s="82"/>
      <c r="N879" s="82"/>
    </row>
    <row r="880" spans="1:14" x14ac:dyDescent="0.25">
      <c r="A880" s="170" t="s">
        <v>3327</v>
      </c>
      <c r="B880" s="170" t="s">
        <v>3328</v>
      </c>
      <c r="C880" s="170" t="s">
        <v>587</v>
      </c>
      <c r="D880" s="170" t="s">
        <v>1947</v>
      </c>
      <c r="E880" s="171" t="s">
        <v>29431</v>
      </c>
      <c r="F880" s="171" t="s">
        <v>29431</v>
      </c>
      <c r="G880" s="82"/>
      <c r="H880" s="96">
        <f t="shared" si="52"/>
        <v>49.02</v>
      </c>
      <c r="I880" s="96">
        <f t="shared" si="52"/>
        <v>49.02</v>
      </c>
      <c r="J880" s="91" t="str">
        <f t="shared" si="53"/>
        <v>Sinapi 89267</v>
      </c>
      <c r="K880" s="91" t="str">
        <f t="shared" si="54"/>
        <v>H</v>
      </c>
      <c r="L880" s="166" t="str">
        <f t="shared" si="55"/>
        <v/>
      </c>
      <c r="M880" s="82"/>
      <c r="N880" s="82"/>
    </row>
    <row r="881" spans="1:14" x14ac:dyDescent="0.25">
      <c r="A881" s="170" t="s">
        <v>3329</v>
      </c>
      <c r="B881" s="170" t="s">
        <v>3330</v>
      </c>
      <c r="C881" s="170" t="s">
        <v>587</v>
      </c>
      <c r="D881" s="170" t="s">
        <v>1947</v>
      </c>
      <c r="E881" s="171" t="s">
        <v>22036</v>
      </c>
      <c r="F881" s="171" t="s">
        <v>22036</v>
      </c>
      <c r="G881" s="82"/>
      <c r="H881" s="96">
        <f t="shared" si="52"/>
        <v>17.27</v>
      </c>
      <c r="I881" s="96">
        <f t="shared" si="52"/>
        <v>17.27</v>
      </c>
      <c r="J881" s="91" t="str">
        <f t="shared" si="53"/>
        <v>Sinapi 89268</v>
      </c>
      <c r="K881" s="91" t="str">
        <f t="shared" si="54"/>
        <v>H</v>
      </c>
      <c r="L881" s="166" t="str">
        <f t="shared" si="55"/>
        <v/>
      </c>
      <c r="M881" s="82"/>
      <c r="N881" s="82"/>
    </row>
    <row r="882" spans="1:14" x14ac:dyDescent="0.25">
      <c r="A882" s="170" t="s">
        <v>3331</v>
      </c>
      <c r="B882" s="170" t="s">
        <v>3332</v>
      </c>
      <c r="C882" s="170" t="s">
        <v>587</v>
      </c>
      <c r="D882" s="170" t="s">
        <v>1947</v>
      </c>
      <c r="E882" s="171" t="s">
        <v>18564</v>
      </c>
      <c r="F882" s="171" t="s">
        <v>18564</v>
      </c>
      <c r="G882" s="82"/>
      <c r="H882" s="96">
        <f t="shared" si="52"/>
        <v>6.98</v>
      </c>
      <c r="I882" s="96">
        <f t="shared" si="52"/>
        <v>6.98</v>
      </c>
      <c r="J882" s="91" t="str">
        <f t="shared" si="53"/>
        <v>Sinapi 89269</v>
      </c>
      <c r="K882" s="91" t="str">
        <f t="shared" si="54"/>
        <v>H</v>
      </c>
      <c r="L882" s="166" t="str">
        <f t="shared" si="55"/>
        <v/>
      </c>
      <c r="M882" s="82"/>
      <c r="N882" s="82"/>
    </row>
    <row r="883" spans="1:14" x14ac:dyDescent="0.25">
      <c r="A883" s="170" t="s">
        <v>3334</v>
      </c>
      <c r="B883" s="170" t="s">
        <v>3335</v>
      </c>
      <c r="C883" s="170" t="s">
        <v>587</v>
      </c>
      <c r="D883" s="170" t="s">
        <v>1947</v>
      </c>
      <c r="E883" s="171" t="s">
        <v>28709</v>
      </c>
      <c r="F883" s="171" t="s">
        <v>28709</v>
      </c>
      <c r="G883" s="82"/>
      <c r="H883" s="96">
        <f t="shared" si="52"/>
        <v>78.790000000000006</v>
      </c>
      <c r="I883" s="96">
        <f t="shared" si="52"/>
        <v>78.790000000000006</v>
      </c>
      <c r="J883" s="91" t="str">
        <f t="shared" si="53"/>
        <v>Sinapi 89270</v>
      </c>
      <c r="K883" s="91" t="str">
        <f t="shared" si="54"/>
        <v>H</v>
      </c>
      <c r="L883" s="166" t="str">
        <f t="shared" si="55"/>
        <v/>
      </c>
      <c r="M883" s="82"/>
      <c r="N883" s="82"/>
    </row>
    <row r="884" spans="1:14" x14ac:dyDescent="0.25">
      <c r="A884" s="170" t="s">
        <v>3336</v>
      </c>
      <c r="B884" s="170" t="s">
        <v>3337</v>
      </c>
      <c r="C884" s="170" t="s">
        <v>587</v>
      </c>
      <c r="D884" s="170" t="s">
        <v>2710</v>
      </c>
      <c r="E884" s="171" t="s">
        <v>20095</v>
      </c>
      <c r="F884" s="171" t="s">
        <v>20095</v>
      </c>
      <c r="G884" s="82"/>
      <c r="H884" s="96">
        <f t="shared" si="52"/>
        <v>32.25</v>
      </c>
      <c r="I884" s="96">
        <f t="shared" si="52"/>
        <v>32.25</v>
      </c>
      <c r="J884" s="91" t="str">
        <f t="shared" si="53"/>
        <v>Sinapi 89271</v>
      </c>
      <c r="K884" s="91" t="str">
        <f t="shared" si="54"/>
        <v>H</v>
      </c>
      <c r="L884" s="166" t="str">
        <f t="shared" si="55"/>
        <v/>
      </c>
      <c r="M884" s="82"/>
      <c r="N884" s="82"/>
    </row>
    <row r="885" spans="1:14" x14ac:dyDescent="0.25">
      <c r="A885" s="170" t="s">
        <v>3338</v>
      </c>
      <c r="B885" s="170" t="s">
        <v>21702</v>
      </c>
      <c r="C885" s="170" t="s">
        <v>587</v>
      </c>
      <c r="D885" s="170" t="s">
        <v>2067</v>
      </c>
      <c r="E885" s="171" t="s">
        <v>3333</v>
      </c>
      <c r="F885" s="171" t="s">
        <v>3333</v>
      </c>
      <c r="G885" s="82"/>
      <c r="H885" s="96">
        <f t="shared" si="52"/>
        <v>1.84</v>
      </c>
      <c r="I885" s="96">
        <f t="shared" si="52"/>
        <v>1.84</v>
      </c>
      <c r="J885" s="91" t="str">
        <f t="shared" si="53"/>
        <v>Sinapi 89274</v>
      </c>
      <c r="K885" s="91" t="str">
        <f t="shared" si="54"/>
        <v>H</v>
      </c>
      <c r="L885" s="166" t="str">
        <f t="shared" si="55"/>
        <v/>
      </c>
      <c r="M885" s="82"/>
      <c r="N885" s="82"/>
    </row>
    <row r="886" spans="1:14" x14ac:dyDescent="0.25">
      <c r="A886" s="170" t="s">
        <v>3339</v>
      </c>
      <c r="B886" s="170" t="s">
        <v>21703</v>
      </c>
      <c r="C886" s="170" t="s">
        <v>587</v>
      </c>
      <c r="D886" s="170" t="s">
        <v>2067</v>
      </c>
      <c r="E886" s="171" t="s">
        <v>2851</v>
      </c>
      <c r="F886" s="171" t="s">
        <v>2851</v>
      </c>
      <c r="G886" s="82"/>
      <c r="H886" s="96">
        <f t="shared" si="52"/>
        <v>0.45</v>
      </c>
      <c r="I886" s="96">
        <f t="shared" si="52"/>
        <v>0.45</v>
      </c>
      <c r="J886" s="91" t="str">
        <f t="shared" si="53"/>
        <v>Sinapi 89275</v>
      </c>
      <c r="K886" s="91" t="str">
        <f t="shared" si="54"/>
        <v>H</v>
      </c>
      <c r="L886" s="166" t="str">
        <f t="shared" si="55"/>
        <v/>
      </c>
      <c r="M886" s="82"/>
      <c r="N886" s="82"/>
    </row>
    <row r="887" spans="1:14" x14ac:dyDescent="0.25">
      <c r="A887" s="170" t="s">
        <v>3340</v>
      </c>
      <c r="B887" s="170" t="s">
        <v>21704</v>
      </c>
      <c r="C887" s="170" t="s">
        <v>587</v>
      </c>
      <c r="D887" s="170" t="s">
        <v>2067</v>
      </c>
      <c r="E887" s="171" t="s">
        <v>20040</v>
      </c>
      <c r="F887" s="171" t="s">
        <v>20040</v>
      </c>
      <c r="G887" s="82"/>
      <c r="H887" s="96">
        <f t="shared" si="52"/>
        <v>2.46</v>
      </c>
      <c r="I887" s="96">
        <f t="shared" si="52"/>
        <v>2.46</v>
      </c>
      <c r="J887" s="91" t="str">
        <f t="shared" si="53"/>
        <v>Sinapi 89276</v>
      </c>
      <c r="K887" s="91" t="str">
        <f t="shared" si="54"/>
        <v>H</v>
      </c>
      <c r="L887" s="166" t="str">
        <f t="shared" si="55"/>
        <v/>
      </c>
      <c r="M887" s="82"/>
      <c r="N887" s="82"/>
    </row>
    <row r="888" spans="1:14" x14ac:dyDescent="0.25">
      <c r="A888" s="170" t="s">
        <v>3341</v>
      </c>
      <c r="B888" s="170" t="s">
        <v>21705</v>
      </c>
      <c r="C888" s="170" t="s">
        <v>587</v>
      </c>
      <c r="D888" s="170" t="s">
        <v>2710</v>
      </c>
      <c r="E888" s="171" t="s">
        <v>21286</v>
      </c>
      <c r="F888" s="171" t="s">
        <v>21286</v>
      </c>
      <c r="G888" s="82"/>
      <c r="H888" s="96">
        <f t="shared" si="52"/>
        <v>9.42</v>
      </c>
      <c r="I888" s="96">
        <f t="shared" si="52"/>
        <v>9.42</v>
      </c>
      <c r="J888" s="91" t="str">
        <f t="shared" si="53"/>
        <v>Sinapi 89277</v>
      </c>
      <c r="K888" s="91" t="str">
        <f t="shared" si="54"/>
        <v>H</v>
      </c>
      <c r="L888" s="166" t="str">
        <f t="shared" si="55"/>
        <v/>
      </c>
      <c r="M888" s="82"/>
      <c r="N888" s="82"/>
    </row>
    <row r="889" spans="1:14" x14ac:dyDescent="0.25">
      <c r="A889" s="170" t="s">
        <v>3342</v>
      </c>
      <c r="B889" s="170" t="s">
        <v>3343</v>
      </c>
      <c r="C889" s="170" t="s">
        <v>587</v>
      </c>
      <c r="D889" s="170" t="s">
        <v>1947</v>
      </c>
      <c r="E889" s="171" t="s">
        <v>21995</v>
      </c>
      <c r="F889" s="171" t="s">
        <v>21995</v>
      </c>
      <c r="G889" s="82"/>
      <c r="H889" s="96">
        <f t="shared" si="52"/>
        <v>38.619999999999997</v>
      </c>
      <c r="I889" s="96">
        <f t="shared" si="52"/>
        <v>38.619999999999997</v>
      </c>
      <c r="J889" s="91" t="str">
        <f t="shared" si="53"/>
        <v>Sinapi 89280</v>
      </c>
      <c r="K889" s="91" t="str">
        <f t="shared" si="54"/>
        <v>H</v>
      </c>
      <c r="L889" s="166" t="str">
        <f t="shared" si="55"/>
        <v/>
      </c>
      <c r="M889" s="82"/>
      <c r="N889" s="82"/>
    </row>
    <row r="890" spans="1:14" x14ac:dyDescent="0.25">
      <c r="A890" s="170" t="s">
        <v>3344</v>
      </c>
      <c r="B890" s="170" t="s">
        <v>3345</v>
      </c>
      <c r="C890" s="170" t="s">
        <v>587</v>
      </c>
      <c r="D890" s="170" t="s">
        <v>1947</v>
      </c>
      <c r="E890" s="171" t="s">
        <v>15670</v>
      </c>
      <c r="F890" s="171" t="s">
        <v>15670</v>
      </c>
      <c r="G890" s="82"/>
      <c r="H890" s="96">
        <f t="shared" si="52"/>
        <v>10.36</v>
      </c>
      <c r="I890" s="96">
        <f t="shared" si="52"/>
        <v>10.36</v>
      </c>
      <c r="J890" s="91" t="str">
        <f t="shared" si="53"/>
        <v>Sinapi 89281</v>
      </c>
      <c r="K890" s="91" t="str">
        <f t="shared" si="54"/>
        <v>H</v>
      </c>
      <c r="L890" s="166" t="str">
        <f t="shared" si="55"/>
        <v/>
      </c>
      <c r="M890" s="82"/>
      <c r="N890" s="82"/>
    </row>
    <row r="891" spans="1:14" x14ac:dyDescent="0.25">
      <c r="A891" s="170" t="s">
        <v>3346</v>
      </c>
      <c r="B891" s="170" t="s">
        <v>3347</v>
      </c>
      <c r="C891" s="170" t="s">
        <v>587</v>
      </c>
      <c r="D891" s="170" t="s">
        <v>1947</v>
      </c>
      <c r="E891" s="171" t="s">
        <v>32023</v>
      </c>
      <c r="F891" s="171" t="s">
        <v>32023</v>
      </c>
      <c r="G891" s="82"/>
      <c r="H891" s="96">
        <f t="shared" si="52"/>
        <v>38.51</v>
      </c>
      <c r="I891" s="96">
        <f t="shared" si="52"/>
        <v>38.51</v>
      </c>
      <c r="J891" s="91" t="str">
        <f t="shared" si="53"/>
        <v>Sinapi 89870</v>
      </c>
      <c r="K891" s="91" t="str">
        <f t="shared" si="54"/>
        <v>H</v>
      </c>
      <c r="L891" s="166" t="str">
        <f t="shared" si="55"/>
        <v/>
      </c>
      <c r="M891" s="82"/>
      <c r="N891" s="82"/>
    </row>
    <row r="892" spans="1:14" x14ac:dyDescent="0.25">
      <c r="A892" s="170" t="s">
        <v>3348</v>
      </c>
      <c r="B892" s="170" t="s">
        <v>3349</v>
      </c>
      <c r="C892" s="170" t="s">
        <v>587</v>
      </c>
      <c r="D892" s="170" t="s">
        <v>1947</v>
      </c>
      <c r="E892" s="171" t="s">
        <v>23407</v>
      </c>
      <c r="F892" s="171" t="s">
        <v>23407</v>
      </c>
      <c r="G892" s="82"/>
      <c r="H892" s="96">
        <f t="shared" si="52"/>
        <v>13.65</v>
      </c>
      <c r="I892" s="96">
        <f t="shared" si="52"/>
        <v>13.65</v>
      </c>
      <c r="J892" s="91" t="str">
        <f t="shared" si="53"/>
        <v>Sinapi 89871</v>
      </c>
      <c r="K892" s="91" t="str">
        <f t="shared" si="54"/>
        <v>H</v>
      </c>
      <c r="L892" s="166" t="str">
        <f t="shared" si="55"/>
        <v/>
      </c>
      <c r="M892" s="82"/>
      <c r="N892" s="82"/>
    </row>
    <row r="893" spans="1:14" x14ac:dyDescent="0.25">
      <c r="A893" s="170" t="s">
        <v>3350</v>
      </c>
      <c r="B893" s="170" t="s">
        <v>3351</v>
      </c>
      <c r="C893" s="170" t="s">
        <v>587</v>
      </c>
      <c r="D893" s="170" t="s">
        <v>1947</v>
      </c>
      <c r="E893" s="171" t="s">
        <v>13837</v>
      </c>
      <c r="F893" s="171" t="s">
        <v>13837</v>
      </c>
      <c r="G893" s="82"/>
      <c r="H893" s="96">
        <f t="shared" si="52"/>
        <v>5.51</v>
      </c>
      <c r="I893" s="96">
        <f t="shared" si="52"/>
        <v>5.51</v>
      </c>
      <c r="J893" s="91" t="str">
        <f t="shared" si="53"/>
        <v>Sinapi 89872</v>
      </c>
      <c r="K893" s="91" t="str">
        <f t="shared" si="54"/>
        <v>H</v>
      </c>
      <c r="L893" s="166" t="str">
        <f t="shared" si="55"/>
        <v/>
      </c>
      <c r="M893" s="82"/>
      <c r="N893" s="82"/>
    </row>
    <row r="894" spans="1:14" x14ac:dyDescent="0.25">
      <c r="A894" s="170" t="s">
        <v>3352</v>
      </c>
      <c r="B894" s="170" t="s">
        <v>3353</v>
      </c>
      <c r="C894" s="170" t="s">
        <v>587</v>
      </c>
      <c r="D894" s="170" t="s">
        <v>1947</v>
      </c>
      <c r="E894" s="171" t="s">
        <v>32024</v>
      </c>
      <c r="F894" s="171" t="s">
        <v>32024</v>
      </c>
      <c r="G894" s="82"/>
      <c r="H894" s="96">
        <f t="shared" si="52"/>
        <v>66.17</v>
      </c>
      <c r="I894" s="96">
        <f t="shared" si="52"/>
        <v>66.17</v>
      </c>
      <c r="J894" s="91" t="str">
        <f t="shared" si="53"/>
        <v>Sinapi 89873</v>
      </c>
      <c r="K894" s="91" t="str">
        <f t="shared" si="54"/>
        <v>H</v>
      </c>
      <c r="L894" s="166" t="str">
        <f t="shared" si="55"/>
        <v/>
      </c>
      <c r="M894" s="82"/>
      <c r="N894" s="82"/>
    </row>
    <row r="895" spans="1:14" x14ac:dyDescent="0.25">
      <c r="A895" s="170" t="s">
        <v>3354</v>
      </c>
      <c r="B895" s="170" t="s">
        <v>3355</v>
      </c>
      <c r="C895" s="170" t="s">
        <v>587</v>
      </c>
      <c r="D895" s="170" t="s">
        <v>2710</v>
      </c>
      <c r="E895" s="171" t="s">
        <v>29261</v>
      </c>
      <c r="F895" s="171" t="s">
        <v>29261</v>
      </c>
      <c r="G895" s="82"/>
      <c r="H895" s="96">
        <f t="shared" si="52"/>
        <v>195.97</v>
      </c>
      <c r="I895" s="96">
        <f t="shared" si="52"/>
        <v>195.97</v>
      </c>
      <c r="J895" s="91" t="str">
        <f t="shared" si="53"/>
        <v>Sinapi 89874</v>
      </c>
      <c r="K895" s="91" t="str">
        <f t="shared" si="54"/>
        <v>H</v>
      </c>
      <c r="L895" s="166" t="str">
        <f t="shared" si="55"/>
        <v/>
      </c>
      <c r="M895" s="82"/>
      <c r="N895" s="82"/>
    </row>
    <row r="896" spans="1:14" x14ac:dyDescent="0.25">
      <c r="A896" s="170" t="s">
        <v>3356</v>
      </c>
      <c r="B896" s="170" t="s">
        <v>3357</v>
      </c>
      <c r="C896" s="170" t="s">
        <v>587</v>
      </c>
      <c r="D896" s="170" t="s">
        <v>1947</v>
      </c>
      <c r="E896" s="171" t="s">
        <v>30048</v>
      </c>
      <c r="F896" s="171" t="s">
        <v>30048</v>
      </c>
      <c r="G896" s="82"/>
      <c r="H896" s="96">
        <f t="shared" si="52"/>
        <v>41.12</v>
      </c>
      <c r="I896" s="96">
        <f t="shared" si="52"/>
        <v>41.12</v>
      </c>
      <c r="J896" s="91" t="str">
        <f t="shared" si="53"/>
        <v>Sinapi 89878</v>
      </c>
      <c r="K896" s="91" t="str">
        <f t="shared" si="54"/>
        <v>H</v>
      </c>
      <c r="L896" s="166" t="str">
        <f t="shared" si="55"/>
        <v/>
      </c>
      <c r="M896" s="82"/>
      <c r="N896" s="82"/>
    </row>
    <row r="897" spans="1:14" x14ac:dyDescent="0.25">
      <c r="A897" s="170" t="s">
        <v>3358</v>
      </c>
      <c r="B897" s="170" t="s">
        <v>3359</v>
      </c>
      <c r="C897" s="170" t="s">
        <v>587</v>
      </c>
      <c r="D897" s="170" t="s">
        <v>1947</v>
      </c>
      <c r="E897" s="171" t="s">
        <v>16348</v>
      </c>
      <c r="F897" s="171" t="s">
        <v>16348</v>
      </c>
      <c r="G897" s="82"/>
      <c r="H897" s="96">
        <f t="shared" si="52"/>
        <v>14.33</v>
      </c>
      <c r="I897" s="96">
        <f t="shared" si="52"/>
        <v>14.33</v>
      </c>
      <c r="J897" s="91" t="str">
        <f t="shared" si="53"/>
        <v>Sinapi 89879</v>
      </c>
      <c r="K897" s="91" t="str">
        <f t="shared" si="54"/>
        <v>H</v>
      </c>
      <c r="L897" s="166" t="str">
        <f t="shared" si="55"/>
        <v/>
      </c>
      <c r="M897" s="82"/>
      <c r="N897" s="82"/>
    </row>
    <row r="898" spans="1:14" x14ac:dyDescent="0.25">
      <c r="A898" s="170" t="s">
        <v>3360</v>
      </c>
      <c r="B898" s="170" t="s">
        <v>3361</v>
      </c>
      <c r="C898" s="170" t="s">
        <v>587</v>
      </c>
      <c r="D898" s="170" t="s">
        <v>1947</v>
      </c>
      <c r="E898" s="171" t="s">
        <v>13400</v>
      </c>
      <c r="F898" s="171" t="s">
        <v>13400</v>
      </c>
      <c r="G898" s="82"/>
      <c r="H898" s="96">
        <f t="shared" si="52"/>
        <v>5.79</v>
      </c>
      <c r="I898" s="96">
        <f t="shared" si="52"/>
        <v>5.79</v>
      </c>
      <c r="J898" s="91" t="str">
        <f t="shared" si="53"/>
        <v>Sinapi 89880</v>
      </c>
      <c r="K898" s="91" t="str">
        <f t="shared" si="54"/>
        <v>H</v>
      </c>
      <c r="L898" s="166" t="str">
        <f t="shared" si="55"/>
        <v/>
      </c>
      <c r="M898" s="82"/>
      <c r="N898" s="82"/>
    </row>
    <row r="899" spans="1:14" x14ac:dyDescent="0.25">
      <c r="A899" s="170" t="s">
        <v>3362</v>
      </c>
      <c r="B899" s="170" t="s">
        <v>3363</v>
      </c>
      <c r="C899" s="170" t="s">
        <v>587</v>
      </c>
      <c r="D899" s="170" t="s">
        <v>1947</v>
      </c>
      <c r="E899" s="171" t="s">
        <v>32025</v>
      </c>
      <c r="F899" s="171" t="s">
        <v>32025</v>
      </c>
      <c r="G899" s="82"/>
      <c r="H899" s="96">
        <f t="shared" si="52"/>
        <v>69.989999999999995</v>
      </c>
      <c r="I899" s="96">
        <f t="shared" si="52"/>
        <v>69.989999999999995</v>
      </c>
      <c r="J899" s="91" t="str">
        <f t="shared" si="53"/>
        <v>Sinapi 89881</v>
      </c>
      <c r="K899" s="91" t="str">
        <f t="shared" si="54"/>
        <v>H</v>
      </c>
      <c r="L899" s="166" t="str">
        <f t="shared" si="55"/>
        <v/>
      </c>
      <c r="M899" s="82"/>
      <c r="N899" s="82"/>
    </row>
    <row r="900" spans="1:14" x14ac:dyDescent="0.25">
      <c r="A900" s="170" t="s">
        <v>3364</v>
      </c>
      <c r="B900" s="170" t="s">
        <v>3365</v>
      </c>
      <c r="C900" s="170" t="s">
        <v>587</v>
      </c>
      <c r="D900" s="170" t="s">
        <v>2710</v>
      </c>
      <c r="E900" s="171" t="s">
        <v>32026</v>
      </c>
      <c r="F900" s="171" t="s">
        <v>32026</v>
      </c>
      <c r="G900" s="82"/>
      <c r="H900" s="96">
        <f t="shared" si="52"/>
        <v>226.1</v>
      </c>
      <c r="I900" s="96">
        <f t="shared" si="52"/>
        <v>226.1</v>
      </c>
      <c r="J900" s="91" t="str">
        <f t="shared" si="53"/>
        <v>Sinapi 89882</v>
      </c>
      <c r="K900" s="91" t="str">
        <f t="shared" si="54"/>
        <v>H</v>
      </c>
      <c r="L900" s="166" t="str">
        <f t="shared" si="55"/>
        <v/>
      </c>
      <c r="M900" s="82"/>
      <c r="N900" s="82"/>
    </row>
    <row r="901" spans="1:14" x14ac:dyDescent="0.25">
      <c r="A901" s="170" t="s">
        <v>3366</v>
      </c>
      <c r="B901" s="170" t="s">
        <v>3367</v>
      </c>
      <c r="C901" s="170" t="s">
        <v>587</v>
      </c>
      <c r="D901" s="170" t="s">
        <v>1947</v>
      </c>
      <c r="E901" s="171" t="s">
        <v>10237</v>
      </c>
      <c r="F901" s="171" t="s">
        <v>10237</v>
      </c>
      <c r="G901" s="82"/>
      <c r="H901" s="96">
        <f t="shared" si="52"/>
        <v>0.4</v>
      </c>
      <c r="I901" s="96">
        <f t="shared" si="52"/>
        <v>0.4</v>
      </c>
      <c r="J901" s="91" t="str">
        <f t="shared" si="53"/>
        <v>Sinapi 90582</v>
      </c>
      <c r="K901" s="91" t="str">
        <f t="shared" si="54"/>
        <v>H</v>
      </c>
      <c r="L901" s="166" t="str">
        <f t="shared" si="55"/>
        <v/>
      </c>
      <c r="M901" s="82"/>
      <c r="N901" s="82"/>
    </row>
    <row r="902" spans="1:14" x14ac:dyDescent="0.25">
      <c r="A902" s="170" t="s">
        <v>3368</v>
      </c>
      <c r="B902" s="170" t="s">
        <v>3369</v>
      </c>
      <c r="C902" s="170" t="s">
        <v>587</v>
      </c>
      <c r="D902" s="170" t="s">
        <v>1947</v>
      </c>
      <c r="E902" s="171" t="s">
        <v>3126</v>
      </c>
      <c r="F902" s="171" t="s">
        <v>3126</v>
      </c>
      <c r="G902" s="82"/>
      <c r="H902" s="96">
        <f t="shared" si="52"/>
        <v>0.09</v>
      </c>
      <c r="I902" s="96">
        <f t="shared" si="52"/>
        <v>0.09</v>
      </c>
      <c r="J902" s="91" t="str">
        <f t="shared" si="53"/>
        <v>Sinapi 90583</v>
      </c>
      <c r="K902" s="91" t="str">
        <f t="shared" si="54"/>
        <v>H</v>
      </c>
      <c r="L902" s="166" t="str">
        <f t="shared" si="55"/>
        <v/>
      </c>
      <c r="M902" s="82"/>
      <c r="N902" s="82"/>
    </row>
    <row r="903" spans="1:14" x14ac:dyDescent="0.25">
      <c r="A903" s="170" t="s">
        <v>3370</v>
      </c>
      <c r="B903" s="170" t="s">
        <v>3371</v>
      </c>
      <c r="C903" s="170" t="s">
        <v>587</v>
      </c>
      <c r="D903" s="170" t="s">
        <v>1947</v>
      </c>
      <c r="E903" s="171" t="s">
        <v>2744</v>
      </c>
      <c r="F903" s="171" t="s">
        <v>2744</v>
      </c>
      <c r="G903" s="82"/>
      <c r="H903" s="96">
        <f t="shared" si="52"/>
        <v>0.32</v>
      </c>
      <c r="I903" s="96">
        <f t="shared" si="52"/>
        <v>0.32</v>
      </c>
      <c r="J903" s="91" t="str">
        <f t="shared" si="53"/>
        <v>Sinapi 90584</v>
      </c>
      <c r="K903" s="91" t="str">
        <f t="shared" si="54"/>
        <v>H</v>
      </c>
      <c r="L903" s="166" t="str">
        <f t="shared" si="55"/>
        <v/>
      </c>
      <c r="M903" s="82"/>
      <c r="N903" s="82"/>
    </row>
    <row r="904" spans="1:14" x14ac:dyDescent="0.25">
      <c r="A904" s="170" t="s">
        <v>3372</v>
      </c>
      <c r="B904" s="170" t="s">
        <v>3373</v>
      </c>
      <c r="C904" s="170" t="s">
        <v>587</v>
      </c>
      <c r="D904" s="170" t="s">
        <v>2067</v>
      </c>
      <c r="E904" s="171" t="s">
        <v>2755</v>
      </c>
      <c r="F904" s="171" t="s">
        <v>2755</v>
      </c>
      <c r="G904" s="82"/>
      <c r="H904" s="96">
        <f t="shared" ref="H904:I967" si="56">IF(E904="","",E904+0)</f>
        <v>0.54</v>
      </c>
      <c r="I904" s="96">
        <f t="shared" si="56"/>
        <v>0.54</v>
      </c>
      <c r="J904" s="91" t="str">
        <f t="shared" ref="J904:J967" si="57">IF(OR(H904="",I904=""),"",TRIM(CONCATENATE("Sinapi ",A904)))</f>
        <v>Sinapi 90585</v>
      </c>
      <c r="K904" s="91" t="str">
        <f t="shared" ref="K904:K967" si="58">TRIM(C904)</f>
        <v>H</v>
      </c>
      <c r="L904" s="166" t="str">
        <f t="shared" ref="L904:L967" si="59">IF(OR(RIGHT(IF(AND(K904&lt;&gt;"H",K904&lt;&gt;"MES"),RIGHT(B904,7),""),2)="PS",RIGHT(IF(AND(K904&lt;&gt;"H",K904&lt;&gt;"MES"),RIGHT(B904,7),""),2)="PA",RIGHT(IF(AND(K904&lt;&gt;"H",K904&lt;&gt;"MES"),RIGHT(B904,7),""),2)="PE"),LEFT(IF(AND(K904&lt;&gt;"H",K904&lt;&gt;"MES"),RIGHT(B904,10),""),7),IF(AND(K904&lt;&gt;"H",K904&lt;&gt;"MES"),RIGHT(B904,7),""))</f>
        <v/>
      </c>
      <c r="M904" s="82"/>
      <c r="N904" s="82"/>
    </row>
    <row r="905" spans="1:14" x14ac:dyDescent="0.25">
      <c r="A905" s="170" t="s">
        <v>3374</v>
      </c>
      <c r="B905" s="170" t="s">
        <v>3375</v>
      </c>
      <c r="C905" s="170" t="s">
        <v>587</v>
      </c>
      <c r="D905" s="170" t="s">
        <v>1947</v>
      </c>
      <c r="E905" s="171" t="s">
        <v>20063</v>
      </c>
      <c r="F905" s="171" t="s">
        <v>20063</v>
      </c>
      <c r="G905" s="82"/>
      <c r="H905" s="96">
        <f t="shared" si="56"/>
        <v>1.81</v>
      </c>
      <c r="I905" s="96">
        <f t="shared" si="56"/>
        <v>1.81</v>
      </c>
      <c r="J905" s="91" t="str">
        <f t="shared" si="57"/>
        <v>Sinapi 90621</v>
      </c>
      <c r="K905" s="91" t="str">
        <f t="shared" si="58"/>
        <v>H</v>
      </c>
      <c r="L905" s="166" t="str">
        <f t="shared" si="59"/>
        <v/>
      </c>
      <c r="M905" s="82"/>
      <c r="N905" s="82"/>
    </row>
    <row r="906" spans="1:14" x14ac:dyDescent="0.25">
      <c r="A906" s="170" t="s">
        <v>3376</v>
      </c>
      <c r="B906" s="170" t="s">
        <v>3377</v>
      </c>
      <c r="C906" s="170" t="s">
        <v>587</v>
      </c>
      <c r="D906" s="170" t="s">
        <v>1947</v>
      </c>
      <c r="E906" s="171" t="s">
        <v>15563</v>
      </c>
      <c r="F906" s="171" t="s">
        <v>15563</v>
      </c>
      <c r="G906" s="82"/>
      <c r="H906" s="96">
        <f t="shared" si="56"/>
        <v>0.41</v>
      </c>
      <c r="I906" s="96">
        <f t="shared" si="56"/>
        <v>0.41</v>
      </c>
      <c r="J906" s="91" t="str">
        <f t="shared" si="57"/>
        <v>Sinapi 90622</v>
      </c>
      <c r="K906" s="91" t="str">
        <f t="shared" si="58"/>
        <v>H</v>
      </c>
      <c r="L906" s="166" t="str">
        <f t="shared" si="59"/>
        <v/>
      </c>
      <c r="M906" s="82"/>
      <c r="N906" s="82"/>
    </row>
    <row r="907" spans="1:14" x14ac:dyDescent="0.25">
      <c r="A907" s="170" t="s">
        <v>3378</v>
      </c>
      <c r="B907" s="170" t="s">
        <v>3379</v>
      </c>
      <c r="C907" s="170" t="s">
        <v>587</v>
      </c>
      <c r="D907" s="170" t="s">
        <v>1947</v>
      </c>
      <c r="E907" s="171" t="s">
        <v>13757</v>
      </c>
      <c r="F907" s="171" t="s">
        <v>13757</v>
      </c>
      <c r="G907" s="82"/>
      <c r="H907" s="96">
        <f t="shared" si="56"/>
        <v>2.2599999999999998</v>
      </c>
      <c r="I907" s="96">
        <f t="shared" si="56"/>
        <v>2.2599999999999998</v>
      </c>
      <c r="J907" s="91" t="str">
        <f t="shared" si="57"/>
        <v>Sinapi 90623</v>
      </c>
      <c r="K907" s="91" t="str">
        <f t="shared" si="58"/>
        <v>H</v>
      </c>
      <c r="L907" s="166" t="str">
        <f t="shared" si="59"/>
        <v/>
      </c>
      <c r="M907" s="82"/>
      <c r="N907" s="82"/>
    </row>
    <row r="908" spans="1:14" x14ac:dyDescent="0.25">
      <c r="A908" s="170" t="s">
        <v>3380</v>
      </c>
      <c r="B908" s="170" t="s">
        <v>3381</v>
      </c>
      <c r="C908" s="170" t="s">
        <v>587</v>
      </c>
      <c r="D908" s="170" t="s">
        <v>2067</v>
      </c>
      <c r="E908" s="171" t="s">
        <v>15508</v>
      </c>
      <c r="F908" s="171" t="s">
        <v>15508</v>
      </c>
      <c r="G908" s="82"/>
      <c r="H908" s="96">
        <f t="shared" si="56"/>
        <v>3.25</v>
      </c>
      <c r="I908" s="96">
        <f t="shared" si="56"/>
        <v>3.25</v>
      </c>
      <c r="J908" s="91" t="str">
        <f t="shared" si="57"/>
        <v>Sinapi 90624</v>
      </c>
      <c r="K908" s="91" t="str">
        <f t="shared" si="58"/>
        <v>H</v>
      </c>
      <c r="L908" s="166" t="str">
        <f t="shared" si="59"/>
        <v/>
      </c>
      <c r="M908" s="82"/>
      <c r="N908" s="82"/>
    </row>
    <row r="909" spans="1:14" x14ac:dyDescent="0.25">
      <c r="A909" s="170" t="s">
        <v>3382</v>
      </c>
      <c r="B909" s="170" t="s">
        <v>3383</v>
      </c>
      <c r="C909" s="170" t="s">
        <v>587</v>
      </c>
      <c r="D909" s="170" t="s">
        <v>1947</v>
      </c>
      <c r="E909" s="171" t="s">
        <v>31163</v>
      </c>
      <c r="F909" s="171" t="s">
        <v>31163</v>
      </c>
      <c r="G909" s="82"/>
      <c r="H909" s="96">
        <f t="shared" si="56"/>
        <v>46.14</v>
      </c>
      <c r="I909" s="96">
        <f t="shared" si="56"/>
        <v>46.14</v>
      </c>
      <c r="J909" s="91" t="str">
        <f t="shared" si="57"/>
        <v>Sinapi 90627</v>
      </c>
      <c r="K909" s="91" t="str">
        <f t="shared" si="58"/>
        <v>H</v>
      </c>
      <c r="L909" s="166" t="str">
        <f t="shared" si="59"/>
        <v/>
      </c>
      <c r="M909" s="82"/>
      <c r="N909" s="82"/>
    </row>
    <row r="910" spans="1:14" x14ac:dyDescent="0.25">
      <c r="A910" s="170" t="s">
        <v>3384</v>
      </c>
      <c r="B910" s="170" t="s">
        <v>3385</v>
      </c>
      <c r="C910" s="170" t="s">
        <v>587</v>
      </c>
      <c r="D910" s="170" t="s">
        <v>1947</v>
      </c>
      <c r="E910" s="171" t="s">
        <v>21808</v>
      </c>
      <c r="F910" s="171" t="s">
        <v>21808</v>
      </c>
      <c r="G910" s="82"/>
      <c r="H910" s="96">
        <f t="shared" si="56"/>
        <v>12.38</v>
      </c>
      <c r="I910" s="96">
        <f t="shared" si="56"/>
        <v>12.38</v>
      </c>
      <c r="J910" s="91" t="str">
        <f t="shared" si="57"/>
        <v>Sinapi 90628</v>
      </c>
      <c r="K910" s="91" t="str">
        <f t="shared" si="58"/>
        <v>H</v>
      </c>
      <c r="L910" s="166" t="str">
        <f t="shared" si="59"/>
        <v/>
      </c>
      <c r="M910" s="82"/>
      <c r="N910" s="82"/>
    </row>
    <row r="911" spans="1:14" x14ac:dyDescent="0.25">
      <c r="A911" s="170" t="s">
        <v>3386</v>
      </c>
      <c r="B911" s="170" t="s">
        <v>3387</v>
      </c>
      <c r="C911" s="170" t="s">
        <v>587</v>
      </c>
      <c r="D911" s="170" t="s">
        <v>1947</v>
      </c>
      <c r="E911" s="171" t="s">
        <v>28738</v>
      </c>
      <c r="F911" s="171" t="s">
        <v>28738</v>
      </c>
      <c r="G911" s="82"/>
      <c r="H911" s="96">
        <f t="shared" si="56"/>
        <v>57.75</v>
      </c>
      <c r="I911" s="96">
        <f t="shared" si="56"/>
        <v>57.75</v>
      </c>
      <c r="J911" s="91" t="str">
        <f t="shared" si="57"/>
        <v>Sinapi 90629</v>
      </c>
      <c r="K911" s="91" t="str">
        <f t="shared" si="58"/>
        <v>H</v>
      </c>
      <c r="L911" s="166" t="str">
        <f t="shared" si="59"/>
        <v/>
      </c>
      <c r="M911" s="82"/>
      <c r="N911" s="82"/>
    </row>
    <row r="912" spans="1:14" x14ac:dyDescent="0.25">
      <c r="A912" s="170" t="s">
        <v>3388</v>
      </c>
      <c r="B912" s="170" t="s">
        <v>3389</v>
      </c>
      <c r="C912" s="170" t="s">
        <v>587</v>
      </c>
      <c r="D912" s="170" t="s">
        <v>2067</v>
      </c>
      <c r="E912" s="171" t="s">
        <v>17912</v>
      </c>
      <c r="F912" s="171" t="s">
        <v>17912</v>
      </c>
      <c r="G912" s="82"/>
      <c r="H912" s="96">
        <f t="shared" si="56"/>
        <v>1.54</v>
      </c>
      <c r="I912" s="96">
        <f t="shared" si="56"/>
        <v>1.54</v>
      </c>
      <c r="J912" s="91" t="str">
        <f t="shared" si="57"/>
        <v>Sinapi 90630</v>
      </c>
      <c r="K912" s="91" t="str">
        <f t="shared" si="58"/>
        <v>H</v>
      </c>
      <c r="L912" s="166" t="str">
        <f t="shared" si="59"/>
        <v/>
      </c>
      <c r="M912" s="82"/>
      <c r="N912" s="82"/>
    </row>
    <row r="913" spans="1:14" x14ac:dyDescent="0.25">
      <c r="A913" s="170" t="s">
        <v>3390</v>
      </c>
      <c r="B913" s="170" t="s">
        <v>3391</v>
      </c>
      <c r="C913" s="170" t="s">
        <v>587</v>
      </c>
      <c r="D913" s="170" t="s">
        <v>2067</v>
      </c>
      <c r="E913" s="171" t="s">
        <v>14355</v>
      </c>
      <c r="F913" s="171" t="s">
        <v>14355</v>
      </c>
      <c r="G913" s="82"/>
      <c r="H913" s="96">
        <f t="shared" si="56"/>
        <v>5</v>
      </c>
      <c r="I913" s="96">
        <f t="shared" si="56"/>
        <v>5</v>
      </c>
      <c r="J913" s="91" t="str">
        <f t="shared" si="57"/>
        <v>Sinapi 90633</v>
      </c>
      <c r="K913" s="91" t="str">
        <f t="shared" si="58"/>
        <v>H</v>
      </c>
      <c r="L913" s="166" t="str">
        <f t="shared" si="59"/>
        <v/>
      </c>
      <c r="M913" s="82"/>
      <c r="N913" s="82"/>
    </row>
    <row r="914" spans="1:14" x14ac:dyDescent="0.25">
      <c r="A914" s="170" t="s">
        <v>3392</v>
      </c>
      <c r="B914" s="170" t="s">
        <v>3393</v>
      </c>
      <c r="C914" s="170" t="s">
        <v>587</v>
      </c>
      <c r="D914" s="170" t="s">
        <v>2067</v>
      </c>
      <c r="E914" s="171" t="s">
        <v>19811</v>
      </c>
      <c r="F914" s="171" t="s">
        <v>19811</v>
      </c>
      <c r="G914" s="82"/>
      <c r="H914" s="96">
        <f t="shared" si="56"/>
        <v>1.1499999999999999</v>
      </c>
      <c r="I914" s="96">
        <f t="shared" si="56"/>
        <v>1.1499999999999999</v>
      </c>
      <c r="J914" s="91" t="str">
        <f t="shared" si="57"/>
        <v>Sinapi 90634</v>
      </c>
      <c r="K914" s="91" t="str">
        <f t="shared" si="58"/>
        <v>H</v>
      </c>
      <c r="L914" s="166" t="str">
        <f t="shared" si="59"/>
        <v/>
      </c>
      <c r="M914" s="82"/>
      <c r="N914" s="82"/>
    </row>
    <row r="915" spans="1:14" x14ac:dyDescent="0.25">
      <c r="A915" s="170" t="s">
        <v>3394</v>
      </c>
      <c r="B915" s="170" t="s">
        <v>3395</v>
      </c>
      <c r="C915" s="170" t="s">
        <v>587</v>
      </c>
      <c r="D915" s="170" t="s">
        <v>2067</v>
      </c>
      <c r="E915" s="171" t="s">
        <v>2090</v>
      </c>
      <c r="F915" s="171" t="s">
        <v>2090</v>
      </c>
      <c r="G915" s="82"/>
      <c r="H915" s="96">
        <f t="shared" si="56"/>
        <v>5.46</v>
      </c>
      <c r="I915" s="96">
        <f t="shared" si="56"/>
        <v>5.46</v>
      </c>
      <c r="J915" s="91" t="str">
        <f t="shared" si="57"/>
        <v>Sinapi 90635</v>
      </c>
      <c r="K915" s="91" t="str">
        <f t="shared" si="58"/>
        <v>H</v>
      </c>
      <c r="L915" s="166" t="str">
        <f t="shared" si="59"/>
        <v/>
      </c>
      <c r="M915" s="82"/>
      <c r="N915" s="82"/>
    </row>
    <row r="916" spans="1:14" x14ac:dyDescent="0.25">
      <c r="A916" s="170" t="s">
        <v>3396</v>
      </c>
      <c r="B916" s="170" t="s">
        <v>3397</v>
      </c>
      <c r="C916" s="170" t="s">
        <v>587</v>
      </c>
      <c r="D916" s="170" t="s">
        <v>2067</v>
      </c>
      <c r="E916" s="171" t="s">
        <v>15526</v>
      </c>
      <c r="F916" s="171" t="s">
        <v>15526</v>
      </c>
      <c r="G916" s="82"/>
      <c r="H916" s="96">
        <f t="shared" si="56"/>
        <v>6.51</v>
      </c>
      <c r="I916" s="96">
        <f t="shared" si="56"/>
        <v>6.51</v>
      </c>
      <c r="J916" s="91" t="str">
        <f t="shared" si="57"/>
        <v>Sinapi 90636</v>
      </c>
      <c r="K916" s="91" t="str">
        <f t="shared" si="58"/>
        <v>H</v>
      </c>
      <c r="L916" s="166" t="str">
        <f t="shared" si="59"/>
        <v/>
      </c>
      <c r="M916" s="82"/>
      <c r="N916" s="82"/>
    </row>
    <row r="917" spans="1:14" x14ac:dyDescent="0.25">
      <c r="A917" s="170" t="s">
        <v>3398</v>
      </c>
      <c r="B917" s="170" t="s">
        <v>3399</v>
      </c>
      <c r="C917" s="170" t="s">
        <v>587</v>
      </c>
      <c r="D917" s="170" t="s">
        <v>2067</v>
      </c>
      <c r="E917" s="171" t="s">
        <v>28570</v>
      </c>
      <c r="F917" s="171" t="s">
        <v>28570</v>
      </c>
      <c r="G917" s="82"/>
      <c r="H917" s="96">
        <f t="shared" si="56"/>
        <v>7.46</v>
      </c>
      <c r="I917" s="96">
        <f t="shared" si="56"/>
        <v>7.46</v>
      </c>
      <c r="J917" s="91" t="str">
        <f t="shared" si="57"/>
        <v>Sinapi 90639</v>
      </c>
      <c r="K917" s="91" t="str">
        <f t="shared" si="58"/>
        <v>H</v>
      </c>
      <c r="L917" s="166" t="str">
        <f t="shared" si="59"/>
        <v/>
      </c>
      <c r="M917" s="82"/>
      <c r="N917" s="82"/>
    </row>
    <row r="918" spans="1:14" x14ac:dyDescent="0.25">
      <c r="A918" s="170" t="s">
        <v>3400</v>
      </c>
      <c r="B918" s="170" t="s">
        <v>3401</v>
      </c>
      <c r="C918" s="170" t="s">
        <v>587</v>
      </c>
      <c r="D918" s="170" t="s">
        <v>2067</v>
      </c>
      <c r="E918" s="171" t="s">
        <v>29416</v>
      </c>
      <c r="F918" s="171" t="s">
        <v>29416</v>
      </c>
      <c r="G918" s="82"/>
      <c r="H918" s="96">
        <f t="shared" si="56"/>
        <v>1.72</v>
      </c>
      <c r="I918" s="96">
        <f t="shared" si="56"/>
        <v>1.72</v>
      </c>
      <c r="J918" s="91" t="str">
        <f t="shared" si="57"/>
        <v>Sinapi 90640</v>
      </c>
      <c r="K918" s="91" t="str">
        <f t="shared" si="58"/>
        <v>H</v>
      </c>
      <c r="L918" s="166" t="str">
        <f t="shared" si="59"/>
        <v/>
      </c>
      <c r="M918" s="82"/>
      <c r="N918" s="82"/>
    </row>
    <row r="919" spans="1:14" x14ac:dyDescent="0.25">
      <c r="A919" s="170" t="s">
        <v>3402</v>
      </c>
      <c r="B919" s="170" t="s">
        <v>3403</v>
      </c>
      <c r="C919" s="170" t="s">
        <v>587</v>
      </c>
      <c r="D919" s="170" t="s">
        <v>2067</v>
      </c>
      <c r="E919" s="171" t="s">
        <v>19302</v>
      </c>
      <c r="F919" s="171" t="s">
        <v>19302</v>
      </c>
      <c r="G919" s="82"/>
      <c r="H919" s="96">
        <f t="shared" si="56"/>
        <v>8.16</v>
      </c>
      <c r="I919" s="96">
        <f t="shared" si="56"/>
        <v>8.16</v>
      </c>
      <c r="J919" s="91" t="str">
        <f t="shared" si="57"/>
        <v>Sinapi 90641</v>
      </c>
      <c r="K919" s="91" t="str">
        <f t="shared" si="58"/>
        <v>H</v>
      </c>
      <c r="L919" s="166" t="str">
        <f t="shared" si="59"/>
        <v/>
      </c>
      <c r="M919" s="82"/>
      <c r="N919" s="82"/>
    </row>
    <row r="920" spans="1:14" x14ac:dyDescent="0.25">
      <c r="A920" s="170" t="s">
        <v>3404</v>
      </c>
      <c r="B920" s="170" t="s">
        <v>3405</v>
      </c>
      <c r="C920" s="170" t="s">
        <v>587</v>
      </c>
      <c r="D920" s="170" t="s">
        <v>2710</v>
      </c>
      <c r="E920" s="171" t="s">
        <v>21382</v>
      </c>
      <c r="F920" s="171" t="s">
        <v>21382</v>
      </c>
      <c r="G920" s="82"/>
      <c r="H920" s="96">
        <f t="shared" si="56"/>
        <v>13.96</v>
      </c>
      <c r="I920" s="96">
        <f t="shared" si="56"/>
        <v>13.96</v>
      </c>
      <c r="J920" s="91" t="str">
        <f t="shared" si="57"/>
        <v>Sinapi 90642</v>
      </c>
      <c r="K920" s="91" t="str">
        <f t="shared" si="58"/>
        <v>H</v>
      </c>
      <c r="L920" s="166" t="str">
        <f t="shared" si="59"/>
        <v/>
      </c>
      <c r="M920" s="82"/>
      <c r="N920" s="82"/>
    </row>
    <row r="921" spans="1:14" x14ac:dyDescent="0.25">
      <c r="A921" s="170" t="s">
        <v>3406</v>
      </c>
      <c r="B921" s="170" t="s">
        <v>3407</v>
      </c>
      <c r="C921" s="170" t="s">
        <v>587</v>
      </c>
      <c r="D921" s="170" t="s">
        <v>2067</v>
      </c>
      <c r="E921" s="171" t="s">
        <v>21993</v>
      </c>
      <c r="F921" s="171" t="s">
        <v>21993</v>
      </c>
      <c r="G921" s="82"/>
      <c r="H921" s="96">
        <f t="shared" si="56"/>
        <v>1.07</v>
      </c>
      <c r="I921" s="96">
        <f t="shared" si="56"/>
        <v>1.07</v>
      </c>
      <c r="J921" s="91" t="str">
        <f t="shared" si="57"/>
        <v>Sinapi 90646</v>
      </c>
      <c r="K921" s="91" t="str">
        <f t="shared" si="58"/>
        <v>H</v>
      </c>
      <c r="L921" s="166" t="str">
        <f t="shared" si="59"/>
        <v/>
      </c>
      <c r="M921" s="82"/>
      <c r="N921" s="82"/>
    </row>
    <row r="922" spans="1:14" x14ac:dyDescent="0.25">
      <c r="A922" s="170" t="s">
        <v>3409</v>
      </c>
      <c r="B922" s="170" t="s">
        <v>3410</v>
      </c>
      <c r="C922" s="170" t="s">
        <v>587</v>
      </c>
      <c r="D922" s="170" t="s">
        <v>2067</v>
      </c>
      <c r="E922" s="171" t="s">
        <v>2828</v>
      </c>
      <c r="F922" s="171" t="s">
        <v>2828</v>
      </c>
      <c r="G922" s="82"/>
      <c r="H922" s="96">
        <f t="shared" si="56"/>
        <v>0.24</v>
      </c>
      <c r="I922" s="96">
        <f t="shared" si="56"/>
        <v>0.24</v>
      </c>
      <c r="J922" s="91" t="str">
        <f t="shared" si="57"/>
        <v>Sinapi 90647</v>
      </c>
      <c r="K922" s="91" t="str">
        <f t="shared" si="58"/>
        <v>H</v>
      </c>
      <c r="L922" s="166" t="str">
        <f t="shared" si="59"/>
        <v/>
      </c>
      <c r="M922" s="82"/>
      <c r="N922" s="82"/>
    </row>
    <row r="923" spans="1:14" x14ac:dyDescent="0.25">
      <c r="A923" s="170" t="s">
        <v>3412</v>
      </c>
      <c r="B923" s="170" t="s">
        <v>3413</v>
      </c>
      <c r="C923" s="170" t="s">
        <v>587</v>
      </c>
      <c r="D923" s="170" t="s">
        <v>2067</v>
      </c>
      <c r="E923" s="171" t="s">
        <v>16300</v>
      </c>
      <c r="F923" s="171" t="s">
        <v>16300</v>
      </c>
      <c r="G923" s="82"/>
      <c r="H923" s="96">
        <f t="shared" si="56"/>
        <v>1.17</v>
      </c>
      <c r="I923" s="96">
        <f t="shared" si="56"/>
        <v>1.17</v>
      </c>
      <c r="J923" s="91" t="str">
        <f t="shared" si="57"/>
        <v>Sinapi 90648</v>
      </c>
      <c r="K923" s="91" t="str">
        <f t="shared" si="58"/>
        <v>H</v>
      </c>
      <c r="L923" s="166" t="str">
        <f t="shared" si="59"/>
        <v/>
      </c>
      <c r="M923" s="82"/>
      <c r="N923" s="82"/>
    </row>
    <row r="924" spans="1:14" x14ac:dyDescent="0.25">
      <c r="A924" s="170" t="s">
        <v>3414</v>
      </c>
      <c r="B924" s="170" t="s">
        <v>3415</v>
      </c>
      <c r="C924" s="170" t="s">
        <v>587</v>
      </c>
      <c r="D924" s="170" t="s">
        <v>2710</v>
      </c>
      <c r="E924" s="171" t="s">
        <v>17144</v>
      </c>
      <c r="F924" s="171" t="s">
        <v>17144</v>
      </c>
      <c r="G924" s="82"/>
      <c r="H924" s="96">
        <f t="shared" si="56"/>
        <v>10.08</v>
      </c>
      <c r="I924" s="96">
        <f t="shared" si="56"/>
        <v>10.08</v>
      </c>
      <c r="J924" s="91" t="str">
        <f t="shared" si="57"/>
        <v>Sinapi 90649</v>
      </c>
      <c r="K924" s="91" t="str">
        <f t="shared" si="58"/>
        <v>H</v>
      </c>
      <c r="L924" s="166" t="str">
        <f t="shared" si="59"/>
        <v/>
      </c>
      <c r="M924" s="82"/>
      <c r="N924" s="82"/>
    </row>
    <row r="925" spans="1:14" x14ac:dyDescent="0.25">
      <c r="A925" s="170" t="s">
        <v>3416</v>
      </c>
      <c r="B925" s="170" t="s">
        <v>3417</v>
      </c>
      <c r="C925" s="170" t="s">
        <v>587</v>
      </c>
      <c r="D925" s="170" t="s">
        <v>2067</v>
      </c>
      <c r="E925" s="171" t="s">
        <v>32027</v>
      </c>
      <c r="F925" s="171" t="s">
        <v>32027</v>
      </c>
      <c r="G925" s="82"/>
      <c r="H925" s="96">
        <f t="shared" si="56"/>
        <v>4.8499999999999996</v>
      </c>
      <c r="I925" s="96">
        <f t="shared" si="56"/>
        <v>4.8499999999999996</v>
      </c>
      <c r="J925" s="91" t="str">
        <f t="shared" si="57"/>
        <v>Sinapi 90652</v>
      </c>
      <c r="K925" s="91" t="str">
        <f t="shared" si="58"/>
        <v>H</v>
      </c>
      <c r="L925" s="166" t="str">
        <f t="shared" si="59"/>
        <v/>
      </c>
      <c r="M925" s="82"/>
      <c r="N925" s="82"/>
    </row>
    <row r="926" spans="1:14" x14ac:dyDescent="0.25">
      <c r="A926" s="170" t="s">
        <v>3418</v>
      </c>
      <c r="B926" s="170" t="s">
        <v>3419</v>
      </c>
      <c r="C926" s="170" t="s">
        <v>587</v>
      </c>
      <c r="D926" s="170" t="s">
        <v>2067</v>
      </c>
      <c r="E926" s="171" t="s">
        <v>3133</v>
      </c>
      <c r="F926" s="171" t="s">
        <v>3133</v>
      </c>
      <c r="G926" s="82"/>
      <c r="H926" s="96">
        <f t="shared" si="56"/>
        <v>1.1200000000000001</v>
      </c>
      <c r="I926" s="96">
        <f t="shared" si="56"/>
        <v>1.1200000000000001</v>
      </c>
      <c r="J926" s="91" t="str">
        <f t="shared" si="57"/>
        <v>Sinapi 90653</v>
      </c>
      <c r="K926" s="91" t="str">
        <f t="shared" si="58"/>
        <v>H</v>
      </c>
      <c r="L926" s="166" t="str">
        <f t="shared" si="59"/>
        <v/>
      </c>
      <c r="M926" s="82"/>
      <c r="N926" s="82"/>
    </row>
    <row r="927" spans="1:14" x14ac:dyDescent="0.25">
      <c r="A927" s="170" t="s">
        <v>3421</v>
      </c>
      <c r="B927" s="170" t="s">
        <v>3422</v>
      </c>
      <c r="C927" s="170" t="s">
        <v>587</v>
      </c>
      <c r="D927" s="170" t="s">
        <v>2067</v>
      </c>
      <c r="E927" s="171" t="s">
        <v>15532</v>
      </c>
      <c r="F927" s="171" t="s">
        <v>15532</v>
      </c>
      <c r="G927" s="82"/>
      <c r="H927" s="96">
        <f t="shared" si="56"/>
        <v>5.31</v>
      </c>
      <c r="I927" s="96">
        <f t="shared" si="56"/>
        <v>5.31</v>
      </c>
      <c r="J927" s="91" t="str">
        <f t="shared" si="57"/>
        <v>Sinapi 90654</v>
      </c>
      <c r="K927" s="91" t="str">
        <f t="shared" si="58"/>
        <v>H</v>
      </c>
      <c r="L927" s="166" t="str">
        <f t="shared" si="59"/>
        <v/>
      </c>
      <c r="M927" s="82"/>
      <c r="N927" s="82"/>
    </row>
    <row r="928" spans="1:14" x14ac:dyDescent="0.25">
      <c r="A928" s="170" t="s">
        <v>3424</v>
      </c>
      <c r="B928" s="170" t="s">
        <v>3425</v>
      </c>
      <c r="C928" s="170" t="s">
        <v>587</v>
      </c>
      <c r="D928" s="170" t="s">
        <v>2710</v>
      </c>
      <c r="E928" s="171" t="s">
        <v>16362</v>
      </c>
      <c r="F928" s="171" t="s">
        <v>16362</v>
      </c>
      <c r="G928" s="82"/>
      <c r="H928" s="96">
        <f t="shared" si="56"/>
        <v>6.63</v>
      </c>
      <c r="I928" s="96">
        <f t="shared" si="56"/>
        <v>6.63</v>
      </c>
      <c r="J928" s="91" t="str">
        <f t="shared" si="57"/>
        <v>Sinapi 90655</v>
      </c>
      <c r="K928" s="91" t="str">
        <f t="shared" si="58"/>
        <v>H</v>
      </c>
      <c r="L928" s="166" t="str">
        <f t="shared" si="59"/>
        <v/>
      </c>
      <c r="M928" s="82"/>
      <c r="N928" s="82"/>
    </row>
    <row r="929" spans="1:14" x14ac:dyDescent="0.25">
      <c r="A929" s="170" t="s">
        <v>3426</v>
      </c>
      <c r="B929" s="170" t="s">
        <v>3427</v>
      </c>
      <c r="C929" s="170" t="s">
        <v>587</v>
      </c>
      <c r="D929" s="170" t="s">
        <v>2067</v>
      </c>
      <c r="E929" s="171" t="s">
        <v>20355</v>
      </c>
      <c r="F929" s="171" t="s">
        <v>20355</v>
      </c>
      <c r="G929" s="82"/>
      <c r="H929" s="96">
        <f t="shared" si="56"/>
        <v>5.2</v>
      </c>
      <c r="I929" s="96">
        <f t="shared" si="56"/>
        <v>5.2</v>
      </c>
      <c r="J929" s="91" t="str">
        <f t="shared" si="57"/>
        <v>Sinapi 90658</v>
      </c>
      <c r="K929" s="91" t="str">
        <f t="shared" si="58"/>
        <v>H</v>
      </c>
      <c r="L929" s="166" t="str">
        <f t="shared" si="59"/>
        <v/>
      </c>
      <c r="M929" s="82"/>
      <c r="N929" s="82"/>
    </row>
    <row r="930" spans="1:14" x14ac:dyDescent="0.25">
      <c r="A930" s="170" t="s">
        <v>3428</v>
      </c>
      <c r="B930" s="170" t="s">
        <v>3429</v>
      </c>
      <c r="C930" s="170" t="s">
        <v>587</v>
      </c>
      <c r="D930" s="170" t="s">
        <v>2067</v>
      </c>
      <c r="E930" s="171" t="s">
        <v>19878</v>
      </c>
      <c r="F930" s="171" t="s">
        <v>19878</v>
      </c>
      <c r="G930" s="82"/>
      <c r="H930" s="96">
        <f t="shared" si="56"/>
        <v>1.2</v>
      </c>
      <c r="I930" s="96">
        <f t="shared" si="56"/>
        <v>1.2</v>
      </c>
      <c r="J930" s="91" t="str">
        <f t="shared" si="57"/>
        <v>Sinapi 90659</v>
      </c>
      <c r="K930" s="91" t="str">
        <f t="shared" si="58"/>
        <v>H</v>
      </c>
      <c r="L930" s="166" t="str">
        <f t="shared" si="59"/>
        <v/>
      </c>
      <c r="M930" s="82"/>
      <c r="N930" s="82"/>
    </row>
    <row r="931" spans="1:14" x14ac:dyDescent="0.25">
      <c r="A931" s="170" t="s">
        <v>3431</v>
      </c>
      <c r="B931" s="170" t="s">
        <v>3432</v>
      </c>
      <c r="C931" s="170" t="s">
        <v>587</v>
      </c>
      <c r="D931" s="170" t="s">
        <v>2067</v>
      </c>
      <c r="E931" s="171" t="s">
        <v>17293</v>
      </c>
      <c r="F931" s="171" t="s">
        <v>17293</v>
      </c>
      <c r="G931" s="82"/>
      <c r="H931" s="96">
        <f t="shared" si="56"/>
        <v>5.69</v>
      </c>
      <c r="I931" s="96">
        <f t="shared" si="56"/>
        <v>5.69</v>
      </c>
      <c r="J931" s="91" t="str">
        <f t="shared" si="57"/>
        <v>Sinapi 90660</v>
      </c>
      <c r="K931" s="91" t="str">
        <f t="shared" si="58"/>
        <v>H</v>
      </c>
      <c r="L931" s="166" t="str">
        <f t="shared" si="59"/>
        <v/>
      </c>
      <c r="M931" s="82"/>
      <c r="N931" s="82"/>
    </row>
    <row r="932" spans="1:14" x14ac:dyDescent="0.25">
      <c r="A932" s="170" t="s">
        <v>3433</v>
      </c>
      <c r="B932" s="170" t="s">
        <v>3434</v>
      </c>
      <c r="C932" s="170" t="s">
        <v>587</v>
      </c>
      <c r="D932" s="170" t="s">
        <v>2710</v>
      </c>
      <c r="E932" s="171" t="s">
        <v>16362</v>
      </c>
      <c r="F932" s="171" t="s">
        <v>16362</v>
      </c>
      <c r="G932" s="82"/>
      <c r="H932" s="96">
        <f t="shared" si="56"/>
        <v>6.63</v>
      </c>
      <c r="I932" s="96">
        <f t="shared" si="56"/>
        <v>6.63</v>
      </c>
      <c r="J932" s="91" t="str">
        <f t="shared" si="57"/>
        <v>Sinapi 90661</v>
      </c>
      <c r="K932" s="91" t="str">
        <f t="shared" si="58"/>
        <v>H</v>
      </c>
      <c r="L932" s="166" t="str">
        <f t="shared" si="59"/>
        <v/>
      </c>
      <c r="M932" s="82"/>
      <c r="N932" s="82"/>
    </row>
    <row r="933" spans="1:14" x14ac:dyDescent="0.25">
      <c r="A933" s="170" t="s">
        <v>3435</v>
      </c>
      <c r="B933" s="170" t="s">
        <v>21707</v>
      </c>
      <c r="C933" s="170" t="s">
        <v>587</v>
      </c>
      <c r="D933" s="170" t="s">
        <v>1947</v>
      </c>
      <c r="E933" s="171" t="s">
        <v>22793</v>
      </c>
      <c r="F933" s="171" t="s">
        <v>22793</v>
      </c>
      <c r="G933" s="82"/>
      <c r="H933" s="96">
        <f t="shared" si="56"/>
        <v>6.68</v>
      </c>
      <c r="I933" s="96">
        <f t="shared" si="56"/>
        <v>6.68</v>
      </c>
      <c r="J933" s="91" t="str">
        <f t="shared" si="57"/>
        <v>Sinapi 90664</v>
      </c>
      <c r="K933" s="91" t="str">
        <f t="shared" si="58"/>
        <v>H</v>
      </c>
      <c r="L933" s="166" t="str">
        <f t="shared" si="59"/>
        <v/>
      </c>
      <c r="M933" s="82"/>
      <c r="N933" s="82"/>
    </row>
    <row r="934" spans="1:14" x14ac:dyDescent="0.25">
      <c r="A934" s="170" t="s">
        <v>3436</v>
      </c>
      <c r="B934" s="170" t="s">
        <v>21708</v>
      </c>
      <c r="C934" s="170" t="s">
        <v>587</v>
      </c>
      <c r="D934" s="170" t="s">
        <v>1947</v>
      </c>
      <c r="E934" s="171" t="s">
        <v>23367</v>
      </c>
      <c r="F934" s="171" t="s">
        <v>23367</v>
      </c>
      <c r="G934" s="82"/>
      <c r="H934" s="96">
        <f t="shared" si="56"/>
        <v>1.78</v>
      </c>
      <c r="I934" s="96">
        <f t="shared" si="56"/>
        <v>1.78</v>
      </c>
      <c r="J934" s="91" t="str">
        <f t="shared" si="57"/>
        <v>Sinapi 90665</v>
      </c>
      <c r="K934" s="91" t="str">
        <f t="shared" si="58"/>
        <v>H</v>
      </c>
      <c r="L934" s="166" t="str">
        <f t="shared" si="59"/>
        <v/>
      </c>
      <c r="M934" s="82"/>
      <c r="N934" s="82"/>
    </row>
    <row r="935" spans="1:14" x14ac:dyDescent="0.25">
      <c r="A935" s="170" t="s">
        <v>3437</v>
      </c>
      <c r="B935" s="170" t="s">
        <v>21709</v>
      </c>
      <c r="C935" s="170" t="s">
        <v>587</v>
      </c>
      <c r="D935" s="170" t="s">
        <v>1947</v>
      </c>
      <c r="E935" s="171" t="s">
        <v>28556</v>
      </c>
      <c r="F935" s="171" t="s">
        <v>28556</v>
      </c>
      <c r="G935" s="82"/>
      <c r="H935" s="96">
        <f t="shared" si="56"/>
        <v>8.77</v>
      </c>
      <c r="I935" s="96">
        <f t="shared" si="56"/>
        <v>8.77</v>
      </c>
      <c r="J935" s="91" t="str">
        <f t="shared" si="57"/>
        <v>Sinapi 90666</v>
      </c>
      <c r="K935" s="91" t="str">
        <f t="shared" si="58"/>
        <v>H</v>
      </c>
      <c r="L935" s="166" t="str">
        <f t="shared" si="59"/>
        <v/>
      </c>
      <c r="M935" s="82"/>
      <c r="N935" s="82"/>
    </row>
    <row r="936" spans="1:14" x14ac:dyDescent="0.25">
      <c r="A936" s="170" t="s">
        <v>3438</v>
      </c>
      <c r="B936" s="170" t="s">
        <v>21710</v>
      </c>
      <c r="C936" s="170" t="s">
        <v>587</v>
      </c>
      <c r="D936" s="170" t="s">
        <v>2710</v>
      </c>
      <c r="E936" s="171" t="s">
        <v>17392</v>
      </c>
      <c r="F936" s="171" t="s">
        <v>17392</v>
      </c>
      <c r="G936" s="82"/>
      <c r="H936" s="96">
        <f t="shared" si="56"/>
        <v>16.64</v>
      </c>
      <c r="I936" s="96">
        <f t="shared" si="56"/>
        <v>16.64</v>
      </c>
      <c r="J936" s="91" t="str">
        <f t="shared" si="57"/>
        <v>Sinapi 90667</v>
      </c>
      <c r="K936" s="91" t="str">
        <f t="shared" si="58"/>
        <v>H</v>
      </c>
      <c r="L936" s="166" t="str">
        <f t="shared" si="59"/>
        <v/>
      </c>
      <c r="M936" s="82"/>
      <c r="N936" s="82"/>
    </row>
    <row r="937" spans="1:14" x14ac:dyDescent="0.25">
      <c r="A937" s="170" t="s">
        <v>3439</v>
      </c>
      <c r="B937" s="170" t="s">
        <v>3440</v>
      </c>
      <c r="C937" s="170" t="s">
        <v>587</v>
      </c>
      <c r="D937" s="170" t="s">
        <v>1947</v>
      </c>
      <c r="E937" s="171" t="s">
        <v>32028</v>
      </c>
      <c r="F937" s="171" t="s">
        <v>32028</v>
      </c>
      <c r="G937" s="82"/>
      <c r="H937" s="96">
        <f t="shared" si="56"/>
        <v>211.78</v>
      </c>
      <c r="I937" s="96">
        <f t="shared" si="56"/>
        <v>211.78</v>
      </c>
      <c r="J937" s="91" t="str">
        <f t="shared" si="57"/>
        <v>Sinapi 90670</v>
      </c>
      <c r="K937" s="91" t="str">
        <f t="shared" si="58"/>
        <v>H</v>
      </c>
      <c r="L937" s="166" t="str">
        <f t="shared" si="59"/>
        <v/>
      </c>
      <c r="M937" s="82"/>
      <c r="N937" s="82"/>
    </row>
    <row r="938" spans="1:14" x14ac:dyDescent="0.25">
      <c r="A938" s="170" t="s">
        <v>3441</v>
      </c>
      <c r="B938" s="170" t="s">
        <v>3442</v>
      </c>
      <c r="C938" s="170" t="s">
        <v>587</v>
      </c>
      <c r="D938" s="170" t="s">
        <v>1947</v>
      </c>
      <c r="E938" s="171" t="s">
        <v>23247</v>
      </c>
      <c r="F938" s="171" t="s">
        <v>23247</v>
      </c>
      <c r="G938" s="82"/>
      <c r="H938" s="96">
        <f t="shared" si="56"/>
        <v>56.82</v>
      </c>
      <c r="I938" s="96">
        <f t="shared" si="56"/>
        <v>56.82</v>
      </c>
      <c r="J938" s="91" t="str">
        <f t="shared" si="57"/>
        <v>Sinapi 90671</v>
      </c>
      <c r="K938" s="91" t="str">
        <f t="shared" si="58"/>
        <v>H</v>
      </c>
      <c r="L938" s="166" t="str">
        <f t="shared" si="59"/>
        <v/>
      </c>
      <c r="M938" s="82"/>
      <c r="N938" s="82"/>
    </row>
    <row r="939" spans="1:14" x14ac:dyDescent="0.25">
      <c r="A939" s="170" t="s">
        <v>3443</v>
      </c>
      <c r="B939" s="170" t="s">
        <v>3444</v>
      </c>
      <c r="C939" s="170" t="s">
        <v>587</v>
      </c>
      <c r="D939" s="170" t="s">
        <v>1947</v>
      </c>
      <c r="E939" s="171" t="s">
        <v>32029</v>
      </c>
      <c r="F939" s="171" t="s">
        <v>32029</v>
      </c>
      <c r="G939" s="82"/>
      <c r="H939" s="96">
        <f t="shared" si="56"/>
        <v>265.02999999999997</v>
      </c>
      <c r="I939" s="96">
        <f t="shared" si="56"/>
        <v>265.02999999999997</v>
      </c>
      <c r="J939" s="91" t="str">
        <f t="shared" si="57"/>
        <v>Sinapi 90672</v>
      </c>
      <c r="K939" s="91" t="str">
        <f t="shared" si="58"/>
        <v>H</v>
      </c>
      <c r="L939" s="166" t="str">
        <f t="shared" si="59"/>
        <v/>
      </c>
      <c r="M939" s="82"/>
      <c r="N939" s="82"/>
    </row>
    <row r="940" spans="1:14" x14ac:dyDescent="0.25">
      <c r="A940" s="170" t="s">
        <v>3445</v>
      </c>
      <c r="B940" s="170" t="s">
        <v>3446</v>
      </c>
      <c r="C940" s="170" t="s">
        <v>587</v>
      </c>
      <c r="D940" s="170" t="s">
        <v>2710</v>
      </c>
      <c r="E940" s="171" t="s">
        <v>32030</v>
      </c>
      <c r="F940" s="171" t="s">
        <v>32030</v>
      </c>
      <c r="G940" s="82"/>
      <c r="H940" s="96">
        <f t="shared" si="56"/>
        <v>132.93</v>
      </c>
      <c r="I940" s="96">
        <f t="shared" si="56"/>
        <v>132.93</v>
      </c>
      <c r="J940" s="91" t="str">
        <f t="shared" si="57"/>
        <v>Sinapi 90673</v>
      </c>
      <c r="K940" s="91" t="str">
        <f t="shared" si="58"/>
        <v>H</v>
      </c>
      <c r="L940" s="166" t="str">
        <f t="shared" si="59"/>
        <v/>
      </c>
      <c r="M940" s="82"/>
      <c r="N940" s="82"/>
    </row>
    <row r="941" spans="1:14" x14ac:dyDescent="0.25">
      <c r="A941" s="170" t="s">
        <v>3447</v>
      </c>
      <c r="B941" s="170" t="s">
        <v>3448</v>
      </c>
      <c r="C941" s="170" t="s">
        <v>587</v>
      </c>
      <c r="D941" s="170" t="s">
        <v>1947</v>
      </c>
      <c r="E941" s="171" t="s">
        <v>32031</v>
      </c>
      <c r="F941" s="171" t="s">
        <v>32031</v>
      </c>
      <c r="G941" s="82"/>
      <c r="H941" s="96">
        <f t="shared" si="56"/>
        <v>104.68</v>
      </c>
      <c r="I941" s="96">
        <f t="shared" si="56"/>
        <v>104.68</v>
      </c>
      <c r="J941" s="91" t="str">
        <f t="shared" si="57"/>
        <v>Sinapi 90676</v>
      </c>
      <c r="K941" s="91" t="str">
        <f t="shared" si="58"/>
        <v>H</v>
      </c>
      <c r="L941" s="166" t="str">
        <f t="shared" si="59"/>
        <v/>
      </c>
      <c r="M941" s="82"/>
      <c r="N941" s="82"/>
    </row>
    <row r="942" spans="1:14" x14ac:dyDescent="0.25">
      <c r="A942" s="170" t="s">
        <v>3449</v>
      </c>
      <c r="B942" s="170" t="s">
        <v>3450</v>
      </c>
      <c r="C942" s="170" t="s">
        <v>587</v>
      </c>
      <c r="D942" s="170" t="s">
        <v>1947</v>
      </c>
      <c r="E942" s="171" t="s">
        <v>30324</v>
      </c>
      <c r="F942" s="171" t="s">
        <v>30324</v>
      </c>
      <c r="G942" s="82"/>
      <c r="H942" s="96">
        <f t="shared" si="56"/>
        <v>31.55</v>
      </c>
      <c r="I942" s="96">
        <f t="shared" si="56"/>
        <v>31.55</v>
      </c>
      <c r="J942" s="91" t="str">
        <f t="shared" si="57"/>
        <v>Sinapi 90677</v>
      </c>
      <c r="K942" s="91" t="str">
        <f t="shared" si="58"/>
        <v>H</v>
      </c>
      <c r="L942" s="166" t="str">
        <f t="shared" si="59"/>
        <v/>
      </c>
      <c r="M942" s="82"/>
      <c r="N942" s="82"/>
    </row>
    <row r="943" spans="1:14" x14ac:dyDescent="0.25">
      <c r="A943" s="170" t="s">
        <v>3451</v>
      </c>
      <c r="B943" s="170" t="s">
        <v>3452</v>
      </c>
      <c r="C943" s="170" t="s">
        <v>587</v>
      </c>
      <c r="D943" s="170" t="s">
        <v>1947</v>
      </c>
      <c r="E943" s="171" t="s">
        <v>32032</v>
      </c>
      <c r="F943" s="171" t="s">
        <v>32032</v>
      </c>
      <c r="G943" s="82"/>
      <c r="H943" s="96">
        <f t="shared" si="56"/>
        <v>146.05000000000001</v>
      </c>
      <c r="I943" s="96">
        <f t="shared" si="56"/>
        <v>146.05000000000001</v>
      </c>
      <c r="J943" s="91" t="str">
        <f t="shared" si="57"/>
        <v>Sinapi 90678</v>
      </c>
      <c r="K943" s="91" t="str">
        <f t="shared" si="58"/>
        <v>H</v>
      </c>
      <c r="L943" s="166" t="str">
        <f t="shared" si="59"/>
        <v/>
      </c>
      <c r="M943" s="82"/>
      <c r="N943" s="82"/>
    </row>
    <row r="944" spans="1:14" x14ac:dyDescent="0.25">
      <c r="A944" s="170" t="s">
        <v>3453</v>
      </c>
      <c r="B944" s="170" t="s">
        <v>3454</v>
      </c>
      <c r="C944" s="170" t="s">
        <v>587</v>
      </c>
      <c r="D944" s="170" t="s">
        <v>2710</v>
      </c>
      <c r="E944" s="171" t="s">
        <v>23276</v>
      </c>
      <c r="F944" s="171" t="s">
        <v>23276</v>
      </c>
      <c r="G944" s="82"/>
      <c r="H944" s="96">
        <f t="shared" si="56"/>
        <v>101.94</v>
      </c>
      <c r="I944" s="96">
        <f t="shared" si="56"/>
        <v>101.94</v>
      </c>
      <c r="J944" s="91" t="str">
        <f t="shared" si="57"/>
        <v>Sinapi 90679</v>
      </c>
      <c r="K944" s="91" t="str">
        <f t="shared" si="58"/>
        <v>H</v>
      </c>
      <c r="L944" s="166" t="str">
        <f t="shared" si="59"/>
        <v/>
      </c>
      <c r="M944" s="82"/>
      <c r="N944" s="82"/>
    </row>
    <row r="945" spans="1:14" x14ac:dyDescent="0.25">
      <c r="A945" s="170" t="s">
        <v>3455</v>
      </c>
      <c r="B945" s="170" t="s">
        <v>21712</v>
      </c>
      <c r="C945" s="170" t="s">
        <v>587</v>
      </c>
      <c r="D945" s="170" t="s">
        <v>1947</v>
      </c>
      <c r="E945" s="171" t="s">
        <v>22101</v>
      </c>
      <c r="F945" s="171" t="s">
        <v>22101</v>
      </c>
      <c r="G945" s="82"/>
      <c r="H945" s="96">
        <f t="shared" si="56"/>
        <v>30.9</v>
      </c>
      <c r="I945" s="96">
        <f t="shared" si="56"/>
        <v>30.9</v>
      </c>
      <c r="J945" s="91" t="str">
        <f t="shared" si="57"/>
        <v>Sinapi 90682</v>
      </c>
      <c r="K945" s="91" t="str">
        <f t="shared" si="58"/>
        <v>H</v>
      </c>
      <c r="L945" s="166" t="str">
        <f t="shared" si="59"/>
        <v/>
      </c>
      <c r="M945" s="82"/>
      <c r="N945" s="82"/>
    </row>
    <row r="946" spans="1:14" x14ac:dyDescent="0.25">
      <c r="A946" s="170" t="s">
        <v>3456</v>
      </c>
      <c r="B946" s="170" t="s">
        <v>21713</v>
      </c>
      <c r="C946" s="170" t="s">
        <v>587</v>
      </c>
      <c r="D946" s="170" t="s">
        <v>1947</v>
      </c>
      <c r="E946" s="171" t="s">
        <v>5273</v>
      </c>
      <c r="F946" s="171" t="s">
        <v>5273</v>
      </c>
      <c r="G946" s="82"/>
      <c r="H946" s="96">
        <f t="shared" si="56"/>
        <v>7.62</v>
      </c>
      <c r="I946" s="96">
        <f t="shared" si="56"/>
        <v>7.62</v>
      </c>
      <c r="J946" s="91" t="str">
        <f t="shared" si="57"/>
        <v>Sinapi 90683</v>
      </c>
      <c r="K946" s="91" t="str">
        <f t="shared" si="58"/>
        <v>H</v>
      </c>
      <c r="L946" s="166" t="str">
        <f t="shared" si="59"/>
        <v/>
      </c>
      <c r="M946" s="82"/>
      <c r="N946" s="82"/>
    </row>
    <row r="947" spans="1:14" x14ac:dyDescent="0.25">
      <c r="A947" s="170" t="s">
        <v>3457</v>
      </c>
      <c r="B947" s="170" t="s">
        <v>21714</v>
      </c>
      <c r="C947" s="170" t="s">
        <v>587</v>
      </c>
      <c r="D947" s="170" t="s">
        <v>1947</v>
      </c>
      <c r="E947" s="171" t="s">
        <v>32033</v>
      </c>
      <c r="F947" s="171" t="s">
        <v>32033</v>
      </c>
      <c r="G947" s="82"/>
      <c r="H947" s="96">
        <f t="shared" si="56"/>
        <v>36.049999999999997</v>
      </c>
      <c r="I947" s="96">
        <f t="shared" si="56"/>
        <v>36.049999999999997</v>
      </c>
      <c r="J947" s="91" t="str">
        <f t="shared" si="57"/>
        <v>Sinapi 90684</v>
      </c>
      <c r="K947" s="91" t="str">
        <f t="shared" si="58"/>
        <v>H</v>
      </c>
      <c r="L947" s="166" t="str">
        <f t="shared" si="59"/>
        <v/>
      </c>
      <c r="M947" s="82"/>
      <c r="N947" s="82"/>
    </row>
    <row r="948" spans="1:14" x14ac:dyDescent="0.25">
      <c r="A948" s="170" t="s">
        <v>3458</v>
      </c>
      <c r="B948" s="170" t="s">
        <v>21715</v>
      </c>
      <c r="C948" s="170" t="s">
        <v>587</v>
      </c>
      <c r="D948" s="170" t="s">
        <v>2710</v>
      </c>
      <c r="E948" s="171" t="s">
        <v>28702</v>
      </c>
      <c r="F948" s="171" t="s">
        <v>28702</v>
      </c>
      <c r="G948" s="82"/>
      <c r="H948" s="96">
        <f t="shared" si="56"/>
        <v>63.25</v>
      </c>
      <c r="I948" s="96">
        <f t="shared" si="56"/>
        <v>63.25</v>
      </c>
      <c r="J948" s="91" t="str">
        <f t="shared" si="57"/>
        <v>Sinapi 90685</v>
      </c>
      <c r="K948" s="91" t="str">
        <f t="shared" si="58"/>
        <v>H</v>
      </c>
      <c r="L948" s="166" t="str">
        <f t="shared" si="59"/>
        <v/>
      </c>
      <c r="M948" s="82"/>
      <c r="N948" s="82"/>
    </row>
    <row r="949" spans="1:14" x14ac:dyDescent="0.25">
      <c r="A949" s="170" t="s">
        <v>3459</v>
      </c>
      <c r="B949" s="170" t="s">
        <v>3460</v>
      </c>
      <c r="C949" s="170" t="s">
        <v>587</v>
      </c>
      <c r="D949" s="170" t="s">
        <v>1947</v>
      </c>
      <c r="E949" s="171" t="s">
        <v>22843</v>
      </c>
      <c r="F949" s="171" t="s">
        <v>22843</v>
      </c>
      <c r="G949" s="82"/>
      <c r="H949" s="96">
        <f t="shared" si="56"/>
        <v>25.6</v>
      </c>
      <c r="I949" s="96">
        <f t="shared" si="56"/>
        <v>25.6</v>
      </c>
      <c r="J949" s="91" t="str">
        <f t="shared" si="57"/>
        <v>Sinapi 90688</v>
      </c>
      <c r="K949" s="91" t="str">
        <f t="shared" si="58"/>
        <v>H</v>
      </c>
      <c r="L949" s="166" t="str">
        <f t="shared" si="59"/>
        <v/>
      </c>
      <c r="M949" s="82"/>
      <c r="N949" s="82"/>
    </row>
    <row r="950" spans="1:14" x14ac:dyDescent="0.25">
      <c r="A950" s="170" t="s">
        <v>3461</v>
      </c>
      <c r="B950" s="170" t="s">
        <v>3462</v>
      </c>
      <c r="C950" s="170" t="s">
        <v>587</v>
      </c>
      <c r="D950" s="170" t="s">
        <v>1947</v>
      </c>
      <c r="E950" s="171" t="s">
        <v>13399</v>
      </c>
      <c r="F950" s="171" t="s">
        <v>13399</v>
      </c>
      <c r="G950" s="82"/>
      <c r="H950" s="96">
        <f t="shared" si="56"/>
        <v>5.05</v>
      </c>
      <c r="I950" s="96">
        <f t="shared" si="56"/>
        <v>5.05</v>
      </c>
      <c r="J950" s="91" t="str">
        <f t="shared" si="57"/>
        <v>Sinapi 90689</v>
      </c>
      <c r="K950" s="91" t="str">
        <f t="shared" si="58"/>
        <v>H</v>
      </c>
      <c r="L950" s="166" t="str">
        <f t="shared" si="59"/>
        <v/>
      </c>
      <c r="M950" s="82"/>
      <c r="N950" s="82"/>
    </row>
    <row r="951" spans="1:14" x14ac:dyDescent="0.25">
      <c r="A951" s="170" t="s">
        <v>3463</v>
      </c>
      <c r="B951" s="170" t="s">
        <v>3464</v>
      </c>
      <c r="C951" s="170" t="s">
        <v>587</v>
      </c>
      <c r="D951" s="170" t="s">
        <v>1947</v>
      </c>
      <c r="E951" s="171" t="s">
        <v>23298</v>
      </c>
      <c r="F951" s="171" t="s">
        <v>23298</v>
      </c>
      <c r="G951" s="82"/>
      <c r="H951" s="96">
        <f t="shared" si="56"/>
        <v>32</v>
      </c>
      <c r="I951" s="96">
        <f t="shared" si="56"/>
        <v>32</v>
      </c>
      <c r="J951" s="91" t="str">
        <f t="shared" si="57"/>
        <v>Sinapi 90690</v>
      </c>
      <c r="K951" s="91" t="str">
        <f t="shared" si="58"/>
        <v>H</v>
      </c>
      <c r="L951" s="166" t="str">
        <f t="shared" si="59"/>
        <v/>
      </c>
      <c r="M951" s="82"/>
      <c r="N951" s="82"/>
    </row>
    <row r="952" spans="1:14" x14ac:dyDescent="0.25">
      <c r="A952" s="170" t="s">
        <v>3465</v>
      </c>
      <c r="B952" s="170" t="s">
        <v>3466</v>
      </c>
      <c r="C952" s="170" t="s">
        <v>587</v>
      </c>
      <c r="D952" s="170" t="s">
        <v>2710</v>
      </c>
      <c r="E952" s="171" t="s">
        <v>32034</v>
      </c>
      <c r="F952" s="171" t="s">
        <v>32034</v>
      </c>
      <c r="G952" s="82"/>
      <c r="H952" s="96">
        <f t="shared" si="56"/>
        <v>44.28</v>
      </c>
      <c r="I952" s="96">
        <f t="shared" si="56"/>
        <v>44.28</v>
      </c>
      <c r="J952" s="91" t="str">
        <f t="shared" si="57"/>
        <v>Sinapi 90691</v>
      </c>
      <c r="K952" s="91" t="str">
        <f t="shared" si="58"/>
        <v>H</v>
      </c>
      <c r="L952" s="166" t="str">
        <f t="shared" si="59"/>
        <v/>
      </c>
      <c r="M952" s="82"/>
      <c r="N952" s="82"/>
    </row>
    <row r="953" spans="1:14" x14ac:dyDescent="0.25">
      <c r="A953" s="170" t="s">
        <v>3467</v>
      </c>
      <c r="B953" s="170" t="s">
        <v>3468</v>
      </c>
      <c r="C953" s="170" t="s">
        <v>587</v>
      </c>
      <c r="D953" s="170" t="s">
        <v>1947</v>
      </c>
      <c r="E953" s="171" t="s">
        <v>15665</v>
      </c>
      <c r="F953" s="171" t="s">
        <v>15665</v>
      </c>
      <c r="G953" s="82"/>
      <c r="H953" s="96">
        <f t="shared" si="56"/>
        <v>4.97</v>
      </c>
      <c r="I953" s="96">
        <f t="shared" si="56"/>
        <v>4.97</v>
      </c>
      <c r="J953" s="91" t="str">
        <f t="shared" si="57"/>
        <v>Sinapi 90957</v>
      </c>
      <c r="K953" s="91" t="str">
        <f t="shared" si="58"/>
        <v>H</v>
      </c>
      <c r="L953" s="166" t="str">
        <f t="shared" si="59"/>
        <v/>
      </c>
      <c r="M953" s="82"/>
      <c r="N953" s="82"/>
    </row>
    <row r="954" spans="1:14" x14ac:dyDescent="0.25">
      <c r="A954" s="170" t="s">
        <v>3469</v>
      </c>
      <c r="B954" s="170" t="s">
        <v>3470</v>
      </c>
      <c r="C954" s="170" t="s">
        <v>587</v>
      </c>
      <c r="D954" s="170" t="s">
        <v>1947</v>
      </c>
      <c r="E954" s="171" t="s">
        <v>29677</v>
      </c>
      <c r="F954" s="171" t="s">
        <v>29677</v>
      </c>
      <c r="G954" s="82"/>
      <c r="H954" s="96">
        <f t="shared" si="56"/>
        <v>1.33</v>
      </c>
      <c r="I954" s="96">
        <f t="shared" si="56"/>
        <v>1.33</v>
      </c>
      <c r="J954" s="91" t="str">
        <f t="shared" si="57"/>
        <v>Sinapi 90958</v>
      </c>
      <c r="K954" s="91" t="str">
        <f t="shared" si="58"/>
        <v>H</v>
      </c>
      <c r="L954" s="166" t="str">
        <f t="shared" si="59"/>
        <v/>
      </c>
      <c r="M954" s="82"/>
      <c r="N954" s="82"/>
    </row>
    <row r="955" spans="1:14" x14ac:dyDescent="0.25">
      <c r="A955" s="170" t="s">
        <v>3471</v>
      </c>
      <c r="B955" s="170" t="s">
        <v>3472</v>
      </c>
      <c r="C955" s="170" t="s">
        <v>587</v>
      </c>
      <c r="D955" s="170" t="s">
        <v>1947</v>
      </c>
      <c r="E955" s="171" t="s">
        <v>16362</v>
      </c>
      <c r="F955" s="171" t="s">
        <v>16362</v>
      </c>
      <c r="G955" s="82"/>
      <c r="H955" s="96">
        <f t="shared" si="56"/>
        <v>6.63</v>
      </c>
      <c r="I955" s="96">
        <f t="shared" si="56"/>
        <v>6.63</v>
      </c>
      <c r="J955" s="91" t="str">
        <f t="shared" si="57"/>
        <v>Sinapi 90960</v>
      </c>
      <c r="K955" s="91" t="str">
        <f t="shared" si="58"/>
        <v>H</v>
      </c>
      <c r="L955" s="166" t="str">
        <f t="shared" si="59"/>
        <v/>
      </c>
      <c r="M955" s="82"/>
      <c r="N955" s="82"/>
    </row>
    <row r="956" spans="1:14" x14ac:dyDescent="0.25">
      <c r="A956" s="170" t="s">
        <v>3473</v>
      </c>
      <c r="B956" s="170" t="s">
        <v>3474</v>
      </c>
      <c r="C956" s="170" t="s">
        <v>587</v>
      </c>
      <c r="D956" s="170" t="s">
        <v>1947</v>
      </c>
      <c r="E956" s="171" t="s">
        <v>23367</v>
      </c>
      <c r="F956" s="171" t="s">
        <v>23367</v>
      </c>
      <c r="G956" s="82"/>
      <c r="H956" s="96">
        <f t="shared" si="56"/>
        <v>1.78</v>
      </c>
      <c r="I956" s="96">
        <f t="shared" si="56"/>
        <v>1.78</v>
      </c>
      <c r="J956" s="91" t="str">
        <f t="shared" si="57"/>
        <v>Sinapi 90961</v>
      </c>
      <c r="K956" s="91" t="str">
        <f t="shared" si="58"/>
        <v>H</v>
      </c>
      <c r="L956" s="166" t="str">
        <f t="shared" si="59"/>
        <v/>
      </c>
      <c r="M956" s="82"/>
      <c r="N956" s="82"/>
    </row>
    <row r="957" spans="1:14" x14ac:dyDescent="0.25">
      <c r="A957" s="170" t="s">
        <v>3475</v>
      </c>
      <c r="B957" s="170" t="s">
        <v>3476</v>
      </c>
      <c r="C957" s="170" t="s">
        <v>587</v>
      </c>
      <c r="D957" s="170" t="s">
        <v>1947</v>
      </c>
      <c r="E957" s="171" t="s">
        <v>24634</v>
      </c>
      <c r="F957" s="171" t="s">
        <v>24634</v>
      </c>
      <c r="G957" s="82"/>
      <c r="H957" s="96">
        <f t="shared" si="56"/>
        <v>8.3000000000000007</v>
      </c>
      <c r="I957" s="96">
        <f t="shared" si="56"/>
        <v>8.3000000000000007</v>
      </c>
      <c r="J957" s="91" t="str">
        <f t="shared" si="57"/>
        <v>Sinapi 90962</v>
      </c>
      <c r="K957" s="91" t="str">
        <f t="shared" si="58"/>
        <v>H</v>
      </c>
      <c r="L957" s="166" t="str">
        <f t="shared" si="59"/>
        <v/>
      </c>
      <c r="M957" s="82"/>
      <c r="N957" s="82"/>
    </row>
    <row r="958" spans="1:14" x14ac:dyDescent="0.25">
      <c r="A958" s="170" t="s">
        <v>3477</v>
      </c>
      <c r="B958" s="170" t="s">
        <v>3478</v>
      </c>
      <c r="C958" s="170" t="s">
        <v>587</v>
      </c>
      <c r="D958" s="170" t="s">
        <v>2710</v>
      </c>
      <c r="E958" s="171" t="s">
        <v>20990</v>
      </c>
      <c r="F958" s="171" t="s">
        <v>20990</v>
      </c>
      <c r="G958" s="82"/>
      <c r="H958" s="96">
        <f t="shared" si="56"/>
        <v>16.62</v>
      </c>
      <c r="I958" s="96">
        <f t="shared" si="56"/>
        <v>16.62</v>
      </c>
      <c r="J958" s="91" t="str">
        <f t="shared" si="57"/>
        <v>Sinapi 90963</v>
      </c>
      <c r="K958" s="91" t="str">
        <f t="shared" si="58"/>
        <v>H</v>
      </c>
      <c r="L958" s="166" t="str">
        <f t="shared" si="59"/>
        <v/>
      </c>
      <c r="M958" s="82"/>
      <c r="N958" s="82"/>
    </row>
    <row r="959" spans="1:14" x14ac:dyDescent="0.25">
      <c r="A959" s="170" t="s">
        <v>3479</v>
      </c>
      <c r="B959" s="170" t="s">
        <v>3480</v>
      </c>
      <c r="C959" s="170" t="s">
        <v>587</v>
      </c>
      <c r="D959" s="170" t="s">
        <v>1947</v>
      </c>
      <c r="E959" s="171" t="s">
        <v>19946</v>
      </c>
      <c r="F959" s="171" t="s">
        <v>19946</v>
      </c>
      <c r="G959" s="82"/>
      <c r="H959" s="96">
        <f t="shared" si="56"/>
        <v>6.65</v>
      </c>
      <c r="I959" s="96">
        <f t="shared" si="56"/>
        <v>6.65</v>
      </c>
      <c r="J959" s="91" t="str">
        <f t="shared" si="57"/>
        <v>Sinapi 90968</v>
      </c>
      <c r="K959" s="91" t="str">
        <f t="shared" si="58"/>
        <v>H</v>
      </c>
      <c r="L959" s="166" t="str">
        <f t="shared" si="59"/>
        <v/>
      </c>
      <c r="M959" s="82"/>
      <c r="N959" s="82"/>
    </row>
    <row r="960" spans="1:14" x14ac:dyDescent="0.25">
      <c r="A960" s="170" t="s">
        <v>3482</v>
      </c>
      <c r="B960" s="170" t="s">
        <v>3483</v>
      </c>
      <c r="C960" s="170" t="s">
        <v>587</v>
      </c>
      <c r="D960" s="170" t="s">
        <v>1947</v>
      </c>
      <c r="E960" s="171" t="s">
        <v>23367</v>
      </c>
      <c r="F960" s="171" t="s">
        <v>23367</v>
      </c>
      <c r="G960" s="82"/>
      <c r="H960" s="96">
        <f t="shared" si="56"/>
        <v>1.78</v>
      </c>
      <c r="I960" s="96">
        <f t="shared" si="56"/>
        <v>1.78</v>
      </c>
      <c r="J960" s="91" t="str">
        <f t="shared" si="57"/>
        <v>Sinapi 90969</v>
      </c>
      <c r="K960" s="91" t="str">
        <f t="shared" si="58"/>
        <v>H</v>
      </c>
      <c r="L960" s="166" t="str">
        <f t="shared" si="59"/>
        <v/>
      </c>
      <c r="M960" s="82"/>
      <c r="N960" s="82"/>
    </row>
    <row r="961" spans="1:14" x14ac:dyDescent="0.25">
      <c r="A961" s="170" t="s">
        <v>3484</v>
      </c>
      <c r="B961" s="170" t="s">
        <v>3485</v>
      </c>
      <c r="C961" s="170" t="s">
        <v>587</v>
      </c>
      <c r="D961" s="170" t="s">
        <v>1947</v>
      </c>
      <c r="E961" s="171" t="s">
        <v>20118</v>
      </c>
      <c r="F961" s="171" t="s">
        <v>20118</v>
      </c>
      <c r="G961" s="82"/>
      <c r="H961" s="96">
        <f t="shared" si="56"/>
        <v>8.33</v>
      </c>
      <c r="I961" s="96">
        <f t="shared" si="56"/>
        <v>8.33</v>
      </c>
      <c r="J961" s="91" t="str">
        <f t="shared" si="57"/>
        <v>Sinapi 90970</v>
      </c>
      <c r="K961" s="91" t="str">
        <f t="shared" si="58"/>
        <v>H</v>
      </c>
      <c r="L961" s="166" t="str">
        <f t="shared" si="59"/>
        <v/>
      </c>
      <c r="M961" s="82"/>
      <c r="N961" s="82"/>
    </row>
    <row r="962" spans="1:14" x14ac:dyDescent="0.25">
      <c r="A962" s="170" t="s">
        <v>3486</v>
      </c>
      <c r="B962" s="170" t="s">
        <v>3487</v>
      </c>
      <c r="C962" s="170" t="s">
        <v>587</v>
      </c>
      <c r="D962" s="170" t="s">
        <v>2710</v>
      </c>
      <c r="E962" s="171" t="s">
        <v>30034</v>
      </c>
      <c r="F962" s="171" t="s">
        <v>30034</v>
      </c>
      <c r="G962" s="82"/>
      <c r="H962" s="96">
        <f t="shared" si="56"/>
        <v>67.36</v>
      </c>
      <c r="I962" s="96">
        <f t="shared" si="56"/>
        <v>67.36</v>
      </c>
      <c r="J962" s="91" t="str">
        <f t="shared" si="57"/>
        <v>Sinapi 90971</v>
      </c>
      <c r="K962" s="91" t="str">
        <f t="shared" si="58"/>
        <v>H</v>
      </c>
      <c r="L962" s="166" t="str">
        <f t="shared" si="59"/>
        <v/>
      </c>
      <c r="M962" s="82"/>
      <c r="N962" s="82"/>
    </row>
    <row r="963" spans="1:14" x14ac:dyDescent="0.25">
      <c r="A963" s="170" t="s">
        <v>3488</v>
      </c>
      <c r="B963" s="170" t="s">
        <v>3489</v>
      </c>
      <c r="C963" s="170" t="s">
        <v>587</v>
      </c>
      <c r="D963" s="170" t="s">
        <v>1947</v>
      </c>
      <c r="E963" s="171" t="s">
        <v>26002</v>
      </c>
      <c r="F963" s="171" t="s">
        <v>26002</v>
      </c>
      <c r="G963" s="82"/>
      <c r="H963" s="96">
        <f t="shared" si="56"/>
        <v>16.899999999999999</v>
      </c>
      <c r="I963" s="96">
        <f t="shared" si="56"/>
        <v>16.899999999999999</v>
      </c>
      <c r="J963" s="91" t="str">
        <f t="shared" si="57"/>
        <v>Sinapi 90975</v>
      </c>
      <c r="K963" s="91" t="str">
        <f t="shared" si="58"/>
        <v>H</v>
      </c>
      <c r="L963" s="166" t="str">
        <f t="shared" si="59"/>
        <v/>
      </c>
      <c r="M963" s="82"/>
      <c r="N963" s="82"/>
    </row>
    <row r="964" spans="1:14" x14ac:dyDescent="0.25">
      <c r="A964" s="170" t="s">
        <v>3490</v>
      </c>
      <c r="B964" s="170" t="s">
        <v>3491</v>
      </c>
      <c r="C964" s="170" t="s">
        <v>587</v>
      </c>
      <c r="D964" s="170" t="s">
        <v>1947</v>
      </c>
      <c r="E964" s="171" t="s">
        <v>20053</v>
      </c>
      <c r="F964" s="171" t="s">
        <v>20053</v>
      </c>
      <c r="G964" s="82"/>
      <c r="H964" s="96">
        <f t="shared" si="56"/>
        <v>4.53</v>
      </c>
      <c r="I964" s="96">
        <f t="shared" si="56"/>
        <v>4.53</v>
      </c>
      <c r="J964" s="91" t="str">
        <f t="shared" si="57"/>
        <v>Sinapi 90976</v>
      </c>
      <c r="K964" s="91" t="str">
        <f t="shared" si="58"/>
        <v>H</v>
      </c>
      <c r="L964" s="166" t="str">
        <f t="shared" si="59"/>
        <v/>
      </c>
      <c r="M964" s="82"/>
      <c r="N964" s="82"/>
    </row>
    <row r="965" spans="1:14" x14ac:dyDescent="0.25">
      <c r="A965" s="170" t="s">
        <v>3493</v>
      </c>
      <c r="B965" s="170" t="s">
        <v>3494</v>
      </c>
      <c r="C965" s="170" t="s">
        <v>587</v>
      </c>
      <c r="D965" s="170" t="s">
        <v>1947</v>
      </c>
      <c r="E965" s="171" t="s">
        <v>15538</v>
      </c>
      <c r="F965" s="171" t="s">
        <v>15538</v>
      </c>
      <c r="G965" s="82"/>
      <c r="H965" s="96">
        <f t="shared" si="56"/>
        <v>21.15</v>
      </c>
      <c r="I965" s="96">
        <f t="shared" si="56"/>
        <v>21.15</v>
      </c>
      <c r="J965" s="91" t="str">
        <f t="shared" si="57"/>
        <v>Sinapi 90977</v>
      </c>
      <c r="K965" s="91" t="str">
        <f t="shared" si="58"/>
        <v>H</v>
      </c>
      <c r="L965" s="166" t="str">
        <f t="shared" si="59"/>
        <v/>
      </c>
      <c r="M965" s="82"/>
      <c r="N965" s="82"/>
    </row>
    <row r="966" spans="1:14" x14ac:dyDescent="0.25">
      <c r="A966" s="170" t="s">
        <v>3495</v>
      </c>
      <c r="B966" s="170" t="s">
        <v>3496</v>
      </c>
      <c r="C966" s="170" t="s">
        <v>587</v>
      </c>
      <c r="D966" s="170" t="s">
        <v>2710</v>
      </c>
      <c r="E966" s="171" t="s">
        <v>32035</v>
      </c>
      <c r="F966" s="171" t="s">
        <v>32035</v>
      </c>
      <c r="G966" s="82"/>
      <c r="H966" s="96">
        <f t="shared" si="56"/>
        <v>174.76</v>
      </c>
      <c r="I966" s="96">
        <f t="shared" si="56"/>
        <v>174.76</v>
      </c>
      <c r="J966" s="91" t="str">
        <f t="shared" si="57"/>
        <v>Sinapi 90978</v>
      </c>
      <c r="K966" s="91" t="str">
        <f t="shared" si="58"/>
        <v>H</v>
      </c>
      <c r="L966" s="166" t="str">
        <f t="shared" si="59"/>
        <v/>
      </c>
      <c r="M966" s="82"/>
      <c r="N966" s="82"/>
    </row>
    <row r="967" spans="1:14" x14ac:dyDescent="0.25">
      <c r="A967" s="170" t="s">
        <v>3497</v>
      </c>
      <c r="B967" s="170" t="s">
        <v>3498</v>
      </c>
      <c r="C967" s="170" t="s">
        <v>587</v>
      </c>
      <c r="D967" s="170" t="s">
        <v>1947</v>
      </c>
      <c r="E967" s="171" t="s">
        <v>17389</v>
      </c>
      <c r="F967" s="171" t="s">
        <v>17389</v>
      </c>
      <c r="G967" s="82"/>
      <c r="H967" s="96">
        <f t="shared" si="56"/>
        <v>7.89</v>
      </c>
      <c r="I967" s="96">
        <f t="shared" si="56"/>
        <v>7.89</v>
      </c>
      <c r="J967" s="91" t="str">
        <f t="shared" si="57"/>
        <v>Sinapi 90992</v>
      </c>
      <c r="K967" s="91" t="str">
        <f t="shared" si="58"/>
        <v>H</v>
      </c>
      <c r="L967" s="166" t="str">
        <f t="shared" si="59"/>
        <v/>
      </c>
      <c r="M967" s="82"/>
      <c r="N967" s="82"/>
    </row>
    <row r="968" spans="1:14" x14ac:dyDescent="0.25">
      <c r="A968" s="170" t="s">
        <v>3499</v>
      </c>
      <c r="B968" s="170" t="s">
        <v>3500</v>
      </c>
      <c r="C968" s="170" t="s">
        <v>587</v>
      </c>
      <c r="D968" s="170" t="s">
        <v>1947</v>
      </c>
      <c r="E968" s="171" t="s">
        <v>21512</v>
      </c>
      <c r="F968" s="171" t="s">
        <v>21512</v>
      </c>
      <c r="G968" s="82"/>
      <c r="H968" s="96">
        <f t="shared" ref="H968:I1031" si="60">IF(E968="","",E968+0)</f>
        <v>2.11</v>
      </c>
      <c r="I968" s="96">
        <f t="shared" si="60"/>
        <v>2.11</v>
      </c>
      <c r="J968" s="91" t="str">
        <f t="shared" ref="J968:J1031" si="61">IF(OR(H968="",I968=""),"",TRIM(CONCATENATE("Sinapi ",A968)))</f>
        <v>Sinapi 90993</v>
      </c>
      <c r="K968" s="91" t="str">
        <f t="shared" ref="K968:K1031" si="62">TRIM(C968)</f>
        <v>H</v>
      </c>
      <c r="L968" s="166" t="str">
        <f t="shared" ref="L968:L1031" si="63">IF(OR(RIGHT(IF(AND(K968&lt;&gt;"H",K968&lt;&gt;"MES"),RIGHT(B968,7),""),2)="PS",RIGHT(IF(AND(K968&lt;&gt;"H",K968&lt;&gt;"MES"),RIGHT(B968,7),""),2)="PA",RIGHT(IF(AND(K968&lt;&gt;"H",K968&lt;&gt;"MES"),RIGHT(B968,7),""),2)="PE"),LEFT(IF(AND(K968&lt;&gt;"H",K968&lt;&gt;"MES"),RIGHT(B968,10),""),7),IF(AND(K968&lt;&gt;"H",K968&lt;&gt;"MES"),RIGHT(B968,7),""))</f>
        <v/>
      </c>
      <c r="M968" s="82"/>
      <c r="N968" s="82"/>
    </row>
    <row r="969" spans="1:14" x14ac:dyDescent="0.25">
      <c r="A969" s="170" t="s">
        <v>3501</v>
      </c>
      <c r="B969" s="170" t="s">
        <v>3502</v>
      </c>
      <c r="C969" s="170" t="s">
        <v>587</v>
      </c>
      <c r="D969" s="170" t="s">
        <v>1947</v>
      </c>
      <c r="E969" s="171" t="s">
        <v>28560</v>
      </c>
      <c r="F969" s="171" t="s">
        <v>28560</v>
      </c>
      <c r="G969" s="82"/>
      <c r="H969" s="96">
        <f t="shared" si="60"/>
        <v>9.8699999999999992</v>
      </c>
      <c r="I969" s="96">
        <f t="shared" si="60"/>
        <v>9.8699999999999992</v>
      </c>
      <c r="J969" s="91" t="str">
        <f t="shared" si="61"/>
        <v>Sinapi 90994</v>
      </c>
      <c r="K969" s="91" t="str">
        <f t="shared" si="62"/>
        <v>H</v>
      </c>
      <c r="L969" s="166" t="str">
        <f t="shared" si="63"/>
        <v/>
      </c>
      <c r="M969" s="82"/>
      <c r="N969" s="82"/>
    </row>
    <row r="970" spans="1:14" x14ac:dyDescent="0.25">
      <c r="A970" s="170" t="s">
        <v>3503</v>
      </c>
      <c r="B970" s="170" t="s">
        <v>3504</v>
      </c>
      <c r="C970" s="170" t="s">
        <v>587</v>
      </c>
      <c r="D970" s="170" t="s">
        <v>2710</v>
      </c>
      <c r="E970" s="171" t="s">
        <v>32036</v>
      </c>
      <c r="F970" s="171" t="s">
        <v>32036</v>
      </c>
      <c r="G970" s="82"/>
      <c r="H970" s="96">
        <f t="shared" si="60"/>
        <v>91.5</v>
      </c>
      <c r="I970" s="96">
        <f t="shared" si="60"/>
        <v>91.5</v>
      </c>
      <c r="J970" s="91" t="str">
        <f t="shared" si="61"/>
        <v>Sinapi 90995</v>
      </c>
      <c r="K970" s="91" t="str">
        <f t="shared" si="62"/>
        <v>H</v>
      </c>
      <c r="L970" s="166" t="str">
        <f t="shared" si="63"/>
        <v/>
      </c>
      <c r="M970" s="82"/>
      <c r="N970" s="82"/>
    </row>
    <row r="971" spans="1:14" x14ac:dyDescent="0.25">
      <c r="A971" s="170" t="s">
        <v>3505</v>
      </c>
      <c r="B971" s="170" t="s">
        <v>3506</v>
      </c>
      <c r="C971" s="170" t="s">
        <v>587</v>
      </c>
      <c r="D971" s="170" t="s">
        <v>1947</v>
      </c>
      <c r="E971" s="171" t="s">
        <v>17918</v>
      </c>
      <c r="F971" s="171" t="s">
        <v>17918</v>
      </c>
      <c r="G971" s="82"/>
      <c r="H971" s="96">
        <f t="shared" si="60"/>
        <v>12.78</v>
      </c>
      <c r="I971" s="96">
        <f t="shared" si="60"/>
        <v>12.78</v>
      </c>
      <c r="J971" s="91" t="str">
        <f t="shared" si="61"/>
        <v>Sinapi 91021</v>
      </c>
      <c r="K971" s="91" t="str">
        <f t="shared" si="62"/>
        <v>H</v>
      </c>
      <c r="L971" s="166" t="str">
        <f t="shared" si="63"/>
        <v/>
      </c>
      <c r="M971" s="82"/>
      <c r="N971" s="82"/>
    </row>
    <row r="972" spans="1:14" x14ac:dyDescent="0.25">
      <c r="A972" s="170" t="s">
        <v>3507</v>
      </c>
      <c r="B972" s="170" t="s">
        <v>3508</v>
      </c>
      <c r="C972" s="170" t="s">
        <v>587</v>
      </c>
      <c r="D972" s="170" t="s">
        <v>1947</v>
      </c>
      <c r="E972" s="171" t="s">
        <v>21182</v>
      </c>
      <c r="F972" s="171" t="s">
        <v>21182</v>
      </c>
      <c r="G972" s="82"/>
      <c r="H972" s="96">
        <f t="shared" si="60"/>
        <v>25.63</v>
      </c>
      <c r="I972" s="96">
        <f t="shared" si="60"/>
        <v>25.63</v>
      </c>
      <c r="J972" s="91" t="str">
        <f t="shared" si="61"/>
        <v>Sinapi 91026</v>
      </c>
      <c r="K972" s="91" t="str">
        <f t="shared" si="62"/>
        <v>H</v>
      </c>
      <c r="L972" s="166" t="str">
        <f t="shared" si="63"/>
        <v/>
      </c>
      <c r="M972" s="82"/>
      <c r="N972" s="82"/>
    </row>
    <row r="973" spans="1:14" x14ac:dyDescent="0.25">
      <c r="A973" s="170" t="s">
        <v>3509</v>
      </c>
      <c r="B973" s="170" t="s">
        <v>3510</v>
      </c>
      <c r="C973" s="170" t="s">
        <v>587</v>
      </c>
      <c r="D973" s="170" t="s">
        <v>1947</v>
      </c>
      <c r="E973" s="171" t="s">
        <v>6899</v>
      </c>
      <c r="F973" s="171" t="s">
        <v>6899</v>
      </c>
      <c r="G973" s="82"/>
      <c r="H973" s="96">
        <f t="shared" si="60"/>
        <v>10.31</v>
      </c>
      <c r="I973" s="96">
        <f t="shared" si="60"/>
        <v>10.31</v>
      </c>
      <c r="J973" s="91" t="str">
        <f t="shared" si="61"/>
        <v>Sinapi 91027</v>
      </c>
      <c r="K973" s="91" t="str">
        <f t="shared" si="62"/>
        <v>H</v>
      </c>
      <c r="L973" s="166" t="str">
        <f t="shared" si="63"/>
        <v/>
      </c>
      <c r="M973" s="82"/>
      <c r="N973" s="82"/>
    </row>
    <row r="974" spans="1:14" x14ac:dyDescent="0.25">
      <c r="A974" s="170" t="s">
        <v>3511</v>
      </c>
      <c r="B974" s="170" t="s">
        <v>3512</v>
      </c>
      <c r="C974" s="170" t="s">
        <v>587</v>
      </c>
      <c r="D974" s="170" t="s">
        <v>1947</v>
      </c>
      <c r="E974" s="171" t="s">
        <v>29661</v>
      </c>
      <c r="F974" s="171" t="s">
        <v>29661</v>
      </c>
      <c r="G974" s="82"/>
      <c r="H974" s="96">
        <f t="shared" si="60"/>
        <v>4.16</v>
      </c>
      <c r="I974" s="96">
        <f t="shared" si="60"/>
        <v>4.16</v>
      </c>
      <c r="J974" s="91" t="str">
        <f t="shared" si="61"/>
        <v>Sinapi 91028</v>
      </c>
      <c r="K974" s="91" t="str">
        <f t="shared" si="62"/>
        <v>H</v>
      </c>
      <c r="L974" s="166" t="str">
        <f t="shared" si="63"/>
        <v/>
      </c>
      <c r="M974" s="82"/>
      <c r="N974" s="82"/>
    </row>
    <row r="975" spans="1:14" x14ac:dyDescent="0.25">
      <c r="A975" s="170" t="s">
        <v>3513</v>
      </c>
      <c r="B975" s="170" t="s">
        <v>3514</v>
      </c>
      <c r="C975" s="170" t="s">
        <v>587</v>
      </c>
      <c r="D975" s="170" t="s">
        <v>1947</v>
      </c>
      <c r="E975" s="171" t="s">
        <v>27833</v>
      </c>
      <c r="F975" s="171" t="s">
        <v>27833</v>
      </c>
      <c r="G975" s="82"/>
      <c r="H975" s="96">
        <f t="shared" si="60"/>
        <v>47.12</v>
      </c>
      <c r="I975" s="96">
        <f t="shared" si="60"/>
        <v>47.12</v>
      </c>
      <c r="J975" s="91" t="str">
        <f t="shared" si="61"/>
        <v>Sinapi 91029</v>
      </c>
      <c r="K975" s="91" t="str">
        <f t="shared" si="62"/>
        <v>H</v>
      </c>
      <c r="L975" s="166" t="str">
        <f t="shared" si="63"/>
        <v/>
      </c>
      <c r="M975" s="82"/>
      <c r="N975" s="82"/>
    </row>
    <row r="976" spans="1:14" x14ac:dyDescent="0.25">
      <c r="A976" s="170" t="s">
        <v>3515</v>
      </c>
      <c r="B976" s="170" t="s">
        <v>3516</v>
      </c>
      <c r="C976" s="170" t="s">
        <v>587</v>
      </c>
      <c r="D976" s="170" t="s">
        <v>2710</v>
      </c>
      <c r="E976" s="171" t="s">
        <v>32037</v>
      </c>
      <c r="F976" s="171" t="s">
        <v>32037</v>
      </c>
      <c r="G976" s="82"/>
      <c r="H976" s="96">
        <f t="shared" si="60"/>
        <v>163.05000000000001</v>
      </c>
      <c r="I976" s="96">
        <f t="shared" si="60"/>
        <v>163.05000000000001</v>
      </c>
      <c r="J976" s="91" t="str">
        <f t="shared" si="61"/>
        <v>Sinapi 91030</v>
      </c>
      <c r="K976" s="91" t="str">
        <f t="shared" si="62"/>
        <v>H</v>
      </c>
      <c r="L976" s="166" t="str">
        <f t="shared" si="63"/>
        <v/>
      </c>
      <c r="M976" s="82"/>
      <c r="N976" s="82"/>
    </row>
    <row r="977" spans="1:14" x14ac:dyDescent="0.25">
      <c r="A977" s="170" t="s">
        <v>3517</v>
      </c>
      <c r="B977" s="170" t="s">
        <v>3518</v>
      </c>
      <c r="C977" s="170" t="s">
        <v>587</v>
      </c>
      <c r="D977" s="170" t="s">
        <v>1947</v>
      </c>
      <c r="E977" s="171" t="s">
        <v>3138</v>
      </c>
      <c r="F977" s="171" t="s">
        <v>3138</v>
      </c>
      <c r="G977" s="82"/>
      <c r="H977" s="96">
        <f t="shared" si="60"/>
        <v>0.47</v>
      </c>
      <c r="I977" s="96">
        <f t="shared" si="60"/>
        <v>0.47</v>
      </c>
      <c r="J977" s="91" t="str">
        <f t="shared" si="61"/>
        <v>Sinapi 91273</v>
      </c>
      <c r="K977" s="91" t="str">
        <f t="shared" si="62"/>
        <v>H</v>
      </c>
      <c r="L977" s="166" t="str">
        <f t="shared" si="63"/>
        <v/>
      </c>
      <c r="M977" s="82"/>
      <c r="N977" s="82"/>
    </row>
    <row r="978" spans="1:14" x14ac:dyDescent="0.25">
      <c r="A978" s="170" t="s">
        <v>3519</v>
      </c>
      <c r="B978" s="170" t="s">
        <v>3520</v>
      </c>
      <c r="C978" s="170" t="s">
        <v>587</v>
      </c>
      <c r="D978" s="170" t="s">
        <v>1947</v>
      </c>
      <c r="E978" s="171" t="s">
        <v>2883</v>
      </c>
      <c r="F978" s="171" t="s">
        <v>2883</v>
      </c>
      <c r="G978" s="82"/>
      <c r="H978" s="96">
        <f t="shared" si="60"/>
        <v>0.12</v>
      </c>
      <c r="I978" s="96">
        <f t="shared" si="60"/>
        <v>0.12</v>
      </c>
      <c r="J978" s="91" t="str">
        <f t="shared" si="61"/>
        <v>Sinapi 91274</v>
      </c>
      <c r="K978" s="91" t="str">
        <f t="shared" si="62"/>
        <v>H</v>
      </c>
      <c r="L978" s="166" t="str">
        <f t="shared" si="63"/>
        <v/>
      </c>
      <c r="M978" s="82"/>
      <c r="N978" s="82"/>
    </row>
    <row r="979" spans="1:14" x14ac:dyDescent="0.25">
      <c r="A979" s="170" t="s">
        <v>3521</v>
      </c>
      <c r="B979" s="170" t="s">
        <v>3522</v>
      </c>
      <c r="C979" s="170" t="s">
        <v>587</v>
      </c>
      <c r="D979" s="170" t="s">
        <v>1947</v>
      </c>
      <c r="E979" s="171" t="s">
        <v>8387</v>
      </c>
      <c r="F979" s="171" t="s">
        <v>8387</v>
      </c>
      <c r="G979" s="82"/>
      <c r="H979" s="96">
        <f t="shared" si="60"/>
        <v>0.59</v>
      </c>
      <c r="I979" s="96">
        <f t="shared" si="60"/>
        <v>0.59</v>
      </c>
      <c r="J979" s="91" t="str">
        <f t="shared" si="61"/>
        <v>Sinapi 91275</v>
      </c>
      <c r="K979" s="91" t="str">
        <f t="shared" si="62"/>
        <v>H</v>
      </c>
      <c r="L979" s="166" t="str">
        <f t="shared" si="63"/>
        <v/>
      </c>
      <c r="M979" s="82"/>
      <c r="N979" s="82"/>
    </row>
    <row r="980" spans="1:14" x14ac:dyDescent="0.25">
      <c r="A980" s="170" t="s">
        <v>3524</v>
      </c>
      <c r="B980" s="170" t="s">
        <v>3525</v>
      </c>
      <c r="C980" s="170" t="s">
        <v>587</v>
      </c>
      <c r="D980" s="170" t="s">
        <v>2710</v>
      </c>
      <c r="E980" s="171" t="s">
        <v>14625</v>
      </c>
      <c r="F980" s="171" t="s">
        <v>14625</v>
      </c>
      <c r="G980" s="82"/>
      <c r="H980" s="96">
        <f t="shared" si="60"/>
        <v>9.5399999999999991</v>
      </c>
      <c r="I980" s="96">
        <f t="shared" si="60"/>
        <v>9.5399999999999991</v>
      </c>
      <c r="J980" s="91" t="str">
        <f t="shared" si="61"/>
        <v>Sinapi 91276</v>
      </c>
      <c r="K980" s="91" t="str">
        <f t="shared" si="62"/>
        <v>H</v>
      </c>
      <c r="L980" s="166" t="str">
        <f t="shared" si="63"/>
        <v/>
      </c>
      <c r="M980" s="82"/>
      <c r="N980" s="82"/>
    </row>
    <row r="981" spans="1:14" x14ac:dyDescent="0.25">
      <c r="A981" s="170" t="s">
        <v>3526</v>
      </c>
      <c r="B981" s="170" t="s">
        <v>3527</v>
      </c>
      <c r="C981" s="170" t="s">
        <v>587</v>
      </c>
      <c r="D981" s="170" t="s">
        <v>2067</v>
      </c>
      <c r="E981" s="171" t="s">
        <v>8326</v>
      </c>
      <c r="F981" s="171" t="s">
        <v>8326</v>
      </c>
      <c r="G981" s="82"/>
      <c r="H981" s="96">
        <f t="shared" si="60"/>
        <v>1</v>
      </c>
      <c r="I981" s="96">
        <f t="shared" si="60"/>
        <v>1</v>
      </c>
      <c r="J981" s="91" t="str">
        <f t="shared" si="61"/>
        <v>Sinapi 91279</v>
      </c>
      <c r="K981" s="91" t="str">
        <f t="shared" si="62"/>
        <v>H</v>
      </c>
      <c r="L981" s="166" t="str">
        <f t="shared" si="63"/>
        <v/>
      </c>
      <c r="M981" s="82"/>
      <c r="N981" s="82"/>
    </row>
    <row r="982" spans="1:14" x14ac:dyDescent="0.25">
      <c r="A982" s="170" t="s">
        <v>3528</v>
      </c>
      <c r="B982" s="170" t="s">
        <v>3529</v>
      </c>
      <c r="C982" s="170" t="s">
        <v>587</v>
      </c>
      <c r="D982" s="170" t="s">
        <v>2067</v>
      </c>
      <c r="E982" s="171" t="s">
        <v>3160</v>
      </c>
      <c r="F982" s="171" t="s">
        <v>3160</v>
      </c>
      <c r="G982" s="82"/>
      <c r="H982" s="96">
        <f t="shared" si="60"/>
        <v>0.22</v>
      </c>
      <c r="I982" s="96">
        <f t="shared" si="60"/>
        <v>0.22</v>
      </c>
      <c r="J982" s="91" t="str">
        <f t="shared" si="61"/>
        <v>Sinapi 91280</v>
      </c>
      <c r="K982" s="91" t="str">
        <f t="shared" si="62"/>
        <v>H</v>
      </c>
      <c r="L982" s="166" t="str">
        <f t="shared" si="63"/>
        <v/>
      </c>
      <c r="M982" s="82"/>
      <c r="N982" s="82"/>
    </row>
    <row r="983" spans="1:14" x14ac:dyDescent="0.25">
      <c r="A983" s="170" t="s">
        <v>3530</v>
      </c>
      <c r="B983" s="170" t="s">
        <v>3531</v>
      </c>
      <c r="C983" s="170" t="s">
        <v>587</v>
      </c>
      <c r="D983" s="170" t="s">
        <v>2067</v>
      </c>
      <c r="E983" s="171" t="s">
        <v>16199</v>
      </c>
      <c r="F983" s="171" t="s">
        <v>16199</v>
      </c>
      <c r="G983" s="82"/>
      <c r="H983" s="96">
        <f t="shared" si="60"/>
        <v>1.25</v>
      </c>
      <c r="I983" s="96">
        <f t="shared" si="60"/>
        <v>1.25</v>
      </c>
      <c r="J983" s="91" t="str">
        <f t="shared" si="61"/>
        <v>Sinapi 91281</v>
      </c>
      <c r="K983" s="91" t="str">
        <f t="shared" si="62"/>
        <v>H</v>
      </c>
      <c r="L983" s="166" t="str">
        <f t="shared" si="63"/>
        <v/>
      </c>
      <c r="M983" s="82"/>
      <c r="N983" s="82"/>
    </row>
    <row r="984" spans="1:14" x14ac:dyDescent="0.25">
      <c r="A984" s="170" t="s">
        <v>3532</v>
      </c>
      <c r="B984" s="170" t="s">
        <v>3533</v>
      </c>
      <c r="C984" s="170" t="s">
        <v>587</v>
      </c>
      <c r="D984" s="170" t="s">
        <v>2710</v>
      </c>
      <c r="E984" s="171" t="s">
        <v>20012</v>
      </c>
      <c r="F984" s="171" t="s">
        <v>20012</v>
      </c>
      <c r="G984" s="82"/>
      <c r="H984" s="96">
        <f t="shared" si="60"/>
        <v>9.61</v>
      </c>
      <c r="I984" s="96">
        <f t="shared" si="60"/>
        <v>9.61</v>
      </c>
      <c r="J984" s="91" t="str">
        <f t="shared" si="61"/>
        <v>Sinapi 91282</v>
      </c>
      <c r="K984" s="91" t="str">
        <f t="shared" si="62"/>
        <v>H</v>
      </c>
      <c r="L984" s="166" t="str">
        <f t="shared" si="63"/>
        <v/>
      </c>
      <c r="M984" s="82"/>
      <c r="N984" s="82"/>
    </row>
    <row r="985" spans="1:14" x14ac:dyDescent="0.25">
      <c r="A985" s="170" t="s">
        <v>3534</v>
      </c>
      <c r="B985" s="170" t="s">
        <v>3535</v>
      </c>
      <c r="C985" s="170" t="s">
        <v>587</v>
      </c>
      <c r="D985" s="170" t="s">
        <v>1947</v>
      </c>
      <c r="E985" s="171" t="s">
        <v>17921</v>
      </c>
      <c r="F985" s="171" t="s">
        <v>17921</v>
      </c>
      <c r="G985" s="82"/>
      <c r="H985" s="96">
        <f t="shared" si="60"/>
        <v>18.38</v>
      </c>
      <c r="I985" s="96">
        <f t="shared" si="60"/>
        <v>18.38</v>
      </c>
      <c r="J985" s="91" t="str">
        <f t="shared" si="61"/>
        <v>Sinapi 91354</v>
      </c>
      <c r="K985" s="91" t="str">
        <f t="shared" si="62"/>
        <v>H</v>
      </c>
      <c r="L985" s="166" t="str">
        <f t="shared" si="63"/>
        <v/>
      </c>
      <c r="M985" s="82"/>
      <c r="N985" s="82"/>
    </row>
    <row r="986" spans="1:14" x14ac:dyDescent="0.25">
      <c r="A986" s="170" t="s">
        <v>3536</v>
      </c>
      <c r="B986" s="170" t="s">
        <v>3537</v>
      </c>
      <c r="C986" s="170" t="s">
        <v>587</v>
      </c>
      <c r="D986" s="170" t="s">
        <v>1947</v>
      </c>
      <c r="E986" s="171" t="s">
        <v>19322</v>
      </c>
      <c r="F986" s="171" t="s">
        <v>19322</v>
      </c>
      <c r="G986" s="82"/>
      <c r="H986" s="96">
        <f t="shared" si="60"/>
        <v>7.55</v>
      </c>
      <c r="I986" s="96">
        <f t="shared" si="60"/>
        <v>7.55</v>
      </c>
      <c r="J986" s="91" t="str">
        <f t="shared" si="61"/>
        <v>Sinapi 91355</v>
      </c>
      <c r="K986" s="91" t="str">
        <f t="shared" si="62"/>
        <v>H</v>
      </c>
      <c r="L986" s="166" t="str">
        <f t="shared" si="63"/>
        <v/>
      </c>
      <c r="M986" s="82"/>
      <c r="N986" s="82"/>
    </row>
    <row r="987" spans="1:14" x14ac:dyDescent="0.25">
      <c r="A987" s="170" t="s">
        <v>3538</v>
      </c>
      <c r="B987" s="170" t="s">
        <v>3539</v>
      </c>
      <c r="C987" s="170" t="s">
        <v>587</v>
      </c>
      <c r="D987" s="170" t="s">
        <v>1947</v>
      </c>
      <c r="E987" s="171" t="s">
        <v>18562</v>
      </c>
      <c r="F987" s="171" t="s">
        <v>18562</v>
      </c>
      <c r="G987" s="82"/>
      <c r="H987" s="96">
        <f t="shared" si="60"/>
        <v>3.05</v>
      </c>
      <c r="I987" s="96">
        <f t="shared" si="60"/>
        <v>3.05</v>
      </c>
      <c r="J987" s="91" t="str">
        <f t="shared" si="61"/>
        <v>Sinapi 91356</v>
      </c>
      <c r="K987" s="91" t="str">
        <f t="shared" si="62"/>
        <v>H</v>
      </c>
      <c r="L987" s="166" t="str">
        <f t="shared" si="63"/>
        <v/>
      </c>
      <c r="M987" s="82"/>
      <c r="N987" s="82"/>
    </row>
    <row r="988" spans="1:14" x14ac:dyDescent="0.25">
      <c r="A988" s="170" t="s">
        <v>3541</v>
      </c>
      <c r="B988" s="170" t="s">
        <v>3542</v>
      </c>
      <c r="C988" s="170" t="s">
        <v>587</v>
      </c>
      <c r="D988" s="170" t="s">
        <v>1947</v>
      </c>
      <c r="E988" s="171" t="s">
        <v>19402</v>
      </c>
      <c r="F988" s="171" t="s">
        <v>19402</v>
      </c>
      <c r="G988" s="82"/>
      <c r="H988" s="96">
        <f t="shared" si="60"/>
        <v>21.61</v>
      </c>
      <c r="I988" s="96">
        <f t="shared" si="60"/>
        <v>21.61</v>
      </c>
      <c r="J988" s="91" t="str">
        <f t="shared" si="61"/>
        <v>Sinapi 91359</v>
      </c>
      <c r="K988" s="91" t="str">
        <f t="shared" si="62"/>
        <v>H</v>
      </c>
      <c r="L988" s="166" t="str">
        <f t="shared" si="63"/>
        <v/>
      </c>
      <c r="M988" s="82"/>
      <c r="N988" s="82"/>
    </row>
    <row r="989" spans="1:14" x14ac:dyDescent="0.25">
      <c r="A989" s="170" t="s">
        <v>3543</v>
      </c>
      <c r="B989" s="170" t="s">
        <v>3544</v>
      </c>
      <c r="C989" s="170" t="s">
        <v>587</v>
      </c>
      <c r="D989" s="170" t="s">
        <v>1947</v>
      </c>
      <c r="E989" s="171" t="s">
        <v>22970</v>
      </c>
      <c r="F989" s="171" t="s">
        <v>22970</v>
      </c>
      <c r="G989" s="82"/>
      <c r="H989" s="96">
        <f t="shared" si="60"/>
        <v>8.31</v>
      </c>
      <c r="I989" s="96">
        <f t="shared" si="60"/>
        <v>8.31</v>
      </c>
      <c r="J989" s="91" t="str">
        <f t="shared" si="61"/>
        <v>Sinapi 91360</v>
      </c>
      <c r="K989" s="91" t="str">
        <f t="shared" si="62"/>
        <v>H</v>
      </c>
      <c r="L989" s="166" t="str">
        <f t="shared" si="63"/>
        <v/>
      </c>
      <c r="M989" s="82"/>
      <c r="N989" s="82"/>
    </row>
    <row r="990" spans="1:14" x14ac:dyDescent="0.25">
      <c r="A990" s="170" t="s">
        <v>3545</v>
      </c>
      <c r="B990" s="170" t="s">
        <v>3546</v>
      </c>
      <c r="C990" s="170" t="s">
        <v>587</v>
      </c>
      <c r="D990" s="170" t="s">
        <v>1947</v>
      </c>
      <c r="E990" s="171" t="s">
        <v>17382</v>
      </c>
      <c r="F990" s="171" t="s">
        <v>17382</v>
      </c>
      <c r="G990" s="82"/>
      <c r="H990" s="96">
        <f t="shared" si="60"/>
        <v>3.35</v>
      </c>
      <c r="I990" s="96">
        <f t="shared" si="60"/>
        <v>3.35</v>
      </c>
      <c r="J990" s="91" t="str">
        <f t="shared" si="61"/>
        <v>Sinapi 91361</v>
      </c>
      <c r="K990" s="91" t="str">
        <f t="shared" si="62"/>
        <v>H</v>
      </c>
      <c r="L990" s="166" t="str">
        <f t="shared" si="63"/>
        <v/>
      </c>
      <c r="M990" s="82"/>
      <c r="N990" s="82"/>
    </row>
    <row r="991" spans="1:14" x14ac:dyDescent="0.25">
      <c r="A991" s="170" t="s">
        <v>3547</v>
      </c>
      <c r="B991" s="170" t="s">
        <v>3548</v>
      </c>
      <c r="C991" s="170" t="s">
        <v>587</v>
      </c>
      <c r="D991" s="170" t="s">
        <v>1947</v>
      </c>
      <c r="E991" s="171" t="s">
        <v>15721</v>
      </c>
      <c r="F991" s="171" t="s">
        <v>15721</v>
      </c>
      <c r="G991" s="82"/>
      <c r="H991" s="96">
        <f t="shared" si="60"/>
        <v>22.69</v>
      </c>
      <c r="I991" s="96">
        <f t="shared" si="60"/>
        <v>22.69</v>
      </c>
      <c r="J991" s="91" t="str">
        <f t="shared" si="61"/>
        <v>Sinapi 91367</v>
      </c>
      <c r="K991" s="91" t="str">
        <f t="shared" si="62"/>
        <v>H</v>
      </c>
      <c r="L991" s="166" t="str">
        <f t="shared" si="63"/>
        <v/>
      </c>
      <c r="M991" s="82"/>
      <c r="N991" s="82"/>
    </row>
    <row r="992" spans="1:14" x14ac:dyDescent="0.25">
      <c r="A992" s="170" t="s">
        <v>3549</v>
      </c>
      <c r="B992" s="170" t="s">
        <v>3550</v>
      </c>
      <c r="C992" s="170" t="s">
        <v>587</v>
      </c>
      <c r="D992" s="170" t="s">
        <v>1947</v>
      </c>
      <c r="E992" s="171" t="s">
        <v>20366</v>
      </c>
      <c r="F992" s="171" t="s">
        <v>20366</v>
      </c>
      <c r="G992" s="82"/>
      <c r="H992" s="96">
        <f t="shared" si="60"/>
        <v>8.7799999999999994</v>
      </c>
      <c r="I992" s="96">
        <f t="shared" si="60"/>
        <v>8.7799999999999994</v>
      </c>
      <c r="J992" s="91" t="str">
        <f t="shared" si="61"/>
        <v>Sinapi 91368</v>
      </c>
      <c r="K992" s="91" t="str">
        <f t="shared" si="62"/>
        <v>H</v>
      </c>
      <c r="L992" s="166" t="str">
        <f t="shared" si="63"/>
        <v/>
      </c>
      <c r="M992" s="82"/>
      <c r="N992" s="82"/>
    </row>
    <row r="993" spans="1:14" x14ac:dyDescent="0.25">
      <c r="A993" s="170" t="s">
        <v>3551</v>
      </c>
      <c r="B993" s="170" t="s">
        <v>3552</v>
      </c>
      <c r="C993" s="170" t="s">
        <v>587</v>
      </c>
      <c r="D993" s="170" t="s">
        <v>1947</v>
      </c>
      <c r="E993" s="171" t="s">
        <v>14784</v>
      </c>
      <c r="F993" s="171" t="s">
        <v>14784</v>
      </c>
      <c r="G993" s="82"/>
      <c r="H993" s="96">
        <f t="shared" si="60"/>
        <v>3.54</v>
      </c>
      <c r="I993" s="96">
        <f t="shared" si="60"/>
        <v>3.54</v>
      </c>
      <c r="J993" s="91" t="str">
        <f t="shared" si="61"/>
        <v>Sinapi 91369</v>
      </c>
      <c r="K993" s="91" t="str">
        <f t="shared" si="62"/>
        <v>H</v>
      </c>
      <c r="L993" s="166" t="str">
        <f t="shared" si="63"/>
        <v/>
      </c>
      <c r="M993" s="82"/>
      <c r="N993" s="82"/>
    </row>
    <row r="994" spans="1:14" x14ac:dyDescent="0.25">
      <c r="A994" s="170" t="s">
        <v>3553</v>
      </c>
      <c r="B994" s="170" t="s">
        <v>3554</v>
      </c>
      <c r="C994" s="170" t="s">
        <v>587</v>
      </c>
      <c r="D994" s="170" t="s">
        <v>1947</v>
      </c>
      <c r="E994" s="171" t="s">
        <v>15779</v>
      </c>
      <c r="F994" s="171" t="s">
        <v>15779</v>
      </c>
      <c r="G994" s="82"/>
      <c r="H994" s="96">
        <f t="shared" si="60"/>
        <v>20.190000000000001</v>
      </c>
      <c r="I994" s="96">
        <f t="shared" si="60"/>
        <v>20.190000000000001</v>
      </c>
      <c r="J994" s="91" t="str">
        <f t="shared" si="61"/>
        <v>Sinapi 91375</v>
      </c>
      <c r="K994" s="91" t="str">
        <f t="shared" si="62"/>
        <v>H</v>
      </c>
      <c r="L994" s="166" t="str">
        <f t="shared" si="63"/>
        <v/>
      </c>
      <c r="M994" s="82"/>
      <c r="N994" s="82"/>
    </row>
    <row r="995" spans="1:14" x14ac:dyDescent="0.25">
      <c r="A995" s="170" t="s">
        <v>3555</v>
      </c>
      <c r="B995" s="170" t="s">
        <v>3556</v>
      </c>
      <c r="C995" s="170" t="s">
        <v>587</v>
      </c>
      <c r="D995" s="170" t="s">
        <v>1947</v>
      </c>
      <c r="E995" s="171" t="s">
        <v>19909</v>
      </c>
      <c r="F995" s="171" t="s">
        <v>19909</v>
      </c>
      <c r="G995" s="82"/>
      <c r="H995" s="96">
        <f t="shared" si="60"/>
        <v>8.2899999999999991</v>
      </c>
      <c r="I995" s="96">
        <f t="shared" si="60"/>
        <v>8.2899999999999991</v>
      </c>
      <c r="J995" s="91" t="str">
        <f t="shared" si="61"/>
        <v>Sinapi 91376</v>
      </c>
      <c r="K995" s="91" t="str">
        <f t="shared" si="62"/>
        <v>H</v>
      </c>
      <c r="L995" s="166" t="str">
        <f t="shared" si="63"/>
        <v/>
      </c>
      <c r="M995" s="82"/>
      <c r="N995" s="82"/>
    </row>
    <row r="996" spans="1:14" x14ac:dyDescent="0.25">
      <c r="A996" s="170" t="s">
        <v>3557</v>
      </c>
      <c r="B996" s="170" t="s">
        <v>3558</v>
      </c>
      <c r="C996" s="170" t="s">
        <v>587</v>
      </c>
      <c r="D996" s="170" t="s">
        <v>1947</v>
      </c>
      <c r="E996" s="171" t="s">
        <v>17382</v>
      </c>
      <c r="F996" s="171" t="s">
        <v>17382</v>
      </c>
      <c r="G996" s="82"/>
      <c r="H996" s="96">
        <f t="shared" si="60"/>
        <v>3.35</v>
      </c>
      <c r="I996" s="96">
        <f t="shared" si="60"/>
        <v>3.35</v>
      </c>
      <c r="J996" s="91" t="str">
        <f t="shared" si="61"/>
        <v>Sinapi 91377</v>
      </c>
      <c r="K996" s="91" t="str">
        <f t="shared" si="62"/>
        <v>H</v>
      </c>
      <c r="L996" s="166" t="str">
        <f t="shared" si="63"/>
        <v/>
      </c>
      <c r="M996" s="82"/>
      <c r="N996" s="82"/>
    </row>
    <row r="997" spans="1:14" x14ac:dyDescent="0.25">
      <c r="A997" s="170" t="s">
        <v>3559</v>
      </c>
      <c r="B997" s="170" t="s">
        <v>3560</v>
      </c>
      <c r="C997" s="170" t="s">
        <v>587</v>
      </c>
      <c r="D997" s="170" t="s">
        <v>1947</v>
      </c>
      <c r="E997" s="171" t="s">
        <v>31136</v>
      </c>
      <c r="F997" s="171" t="s">
        <v>31136</v>
      </c>
      <c r="G997" s="82"/>
      <c r="H997" s="96">
        <f t="shared" si="60"/>
        <v>29.85</v>
      </c>
      <c r="I997" s="96">
        <f t="shared" si="60"/>
        <v>29.85</v>
      </c>
      <c r="J997" s="91" t="str">
        <f t="shared" si="61"/>
        <v>Sinapi 91380</v>
      </c>
      <c r="K997" s="91" t="str">
        <f t="shared" si="62"/>
        <v>H</v>
      </c>
      <c r="L997" s="166" t="str">
        <f t="shared" si="63"/>
        <v/>
      </c>
      <c r="M997" s="82"/>
      <c r="N997" s="82"/>
    </row>
    <row r="998" spans="1:14" x14ac:dyDescent="0.25">
      <c r="A998" s="170" t="s">
        <v>3561</v>
      </c>
      <c r="B998" s="170" t="s">
        <v>3562</v>
      </c>
      <c r="C998" s="170" t="s">
        <v>587</v>
      </c>
      <c r="D998" s="170" t="s">
        <v>1947</v>
      </c>
      <c r="E998" s="171" t="s">
        <v>19290</v>
      </c>
      <c r="F998" s="171" t="s">
        <v>19290</v>
      </c>
      <c r="G998" s="82"/>
      <c r="H998" s="96">
        <f t="shared" si="60"/>
        <v>11.54</v>
      </c>
      <c r="I998" s="96">
        <f t="shared" si="60"/>
        <v>11.54</v>
      </c>
      <c r="J998" s="91" t="str">
        <f t="shared" si="61"/>
        <v>Sinapi 91381</v>
      </c>
      <c r="K998" s="91" t="str">
        <f t="shared" si="62"/>
        <v>H</v>
      </c>
      <c r="L998" s="166" t="str">
        <f t="shared" si="63"/>
        <v/>
      </c>
      <c r="M998" s="82"/>
      <c r="N998" s="82"/>
    </row>
    <row r="999" spans="1:14" x14ac:dyDescent="0.25">
      <c r="A999" s="170" t="s">
        <v>3563</v>
      </c>
      <c r="B999" s="170" t="s">
        <v>3564</v>
      </c>
      <c r="C999" s="170" t="s">
        <v>587</v>
      </c>
      <c r="D999" s="170" t="s">
        <v>1947</v>
      </c>
      <c r="E999" s="171" t="s">
        <v>19303</v>
      </c>
      <c r="F999" s="171" t="s">
        <v>19303</v>
      </c>
      <c r="G999" s="82"/>
      <c r="H999" s="96">
        <f t="shared" si="60"/>
        <v>4.6500000000000004</v>
      </c>
      <c r="I999" s="96">
        <f t="shared" si="60"/>
        <v>4.6500000000000004</v>
      </c>
      <c r="J999" s="91" t="str">
        <f t="shared" si="61"/>
        <v>Sinapi 91382</v>
      </c>
      <c r="K999" s="91" t="str">
        <f t="shared" si="62"/>
        <v>H</v>
      </c>
      <c r="L999" s="166" t="str">
        <f t="shared" si="63"/>
        <v/>
      </c>
      <c r="M999" s="82"/>
      <c r="N999" s="82"/>
    </row>
    <row r="1000" spans="1:14" x14ac:dyDescent="0.25">
      <c r="A1000" s="170" t="s">
        <v>3565</v>
      </c>
      <c r="B1000" s="170" t="s">
        <v>3566</v>
      </c>
      <c r="C1000" s="170" t="s">
        <v>587</v>
      </c>
      <c r="D1000" s="170" t="s">
        <v>1947</v>
      </c>
      <c r="E1000" s="171" t="s">
        <v>29430</v>
      </c>
      <c r="F1000" s="171" t="s">
        <v>29430</v>
      </c>
      <c r="G1000" s="82"/>
      <c r="H1000" s="96">
        <f t="shared" si="60"/>
        <v>53.93</v>
      </c>
      <c r="I1000" s="96">
        <f t="shared" si="60"/>
        <v>53.93</v>
      </c>
      <c r="J1000" s="91" t="str">
        <f t="shared" si="61"/>
        <v>Sinapi 91383</v>
      </c>
      <c r="K1000" s="91" t="str">
        <f t="shared" si="62"/>
        <v>H</v>
      </c>
      <c r="L1000" s="166" t="str">
        <f t="shared" si="63"/>
        <v/>
      </c>
      <c r="M1000" s="82"/>
      <c r="N1000" s="82"/>
    </row>
    <row r="1001" spans="1:14" x14ac:dyDescent="0.25">
      <c r="A1001" s="170" t="s">
        <v>3567</v>
      </c>
      <c r="B1001" s="170" t="s">
        <v>3568</v>
      </c>
      <c r="C1001" s="170" t="s">
        <v>587</v>
      </c>
      <c r="D1001" s="170" t="s">
        <v>2710</v>
      </c>
      <c r="E1001" s="171" t="s">
        <v>32038</v>
      </c>
      <c r="F1001" s="171" t="s">
        <v>32038</v>
      </c>
      <c r="G1001" s="82"/>
      <c r="H1001" s="96">
        <f t="shared" si="60"/>
        <v>157.6</v>
      </c>
      <c r="I1001" s="96">
        <f t="shared" si="60"/>
        <v>157.6</v>
      </c>
      <c r="J1001" s="91" t="str">
        <f t="shared" si="61"/>
        <v>Sinapi 91384</v>
      </c>
      <c r="K1001" s="91" t="str">
        <f t="shared" si="62"/>
        <v>H</v>
      </c>
      <c r="L1001" s="166" t="str">
        <f t="shared" si="63"/>
        <v/>
      </c>
      <c r="M1001" s="82"/>
      <c r="N1001" s="82"/>
    </row>
    <row r="1002" spans="1:14" x14ac:dyDescent="0.25">
      <c r="A1002" s="170" t="s">
        <v>3569</v>
      </c>
      <c r="B1002" s="170" t="s">
        <v>3570</v>
      </c>
      <c r="C1002" s="170" t="s">
        <v>587</v>
      </c>
      <c r="D1002" s="170" t="s">
        <v>1947</v>
      </c>
      <c r="E1002" s="171" t="s">
        <v>17944</v>
      </c>
      <c r="F1002" s="171" t="s">
        <v>17944</v>
      </c>
      <c r="G1002" s="82"/>
      <c r="H1002" s="96">
        <f t="shared" si="60"/>
        <v>19.88</v>
      </c>
      <c r="I1002" s="96">
        <f t="shared" si="60"/>
        <v>19.88</v>
      </c>
      <c r="J1002" s="91" t="str">
        <f t="shared" si="61"/>
        <v>Sinapi 91390</v>
      </c>
      <c r="K1002" s="91" t="str">
        <f t="shared" si="62"/>
        <v>H</v>
      </c>
      <c r="L1002" s="166" t="str">
        <f t="shared" si="63"/>
        <v/>
      </c>
      <c r="M1002" s="82"/>
      <c r="N1002" s="82"/>
    </row>
    <row r="1003" spans="1:14" x14ac:dyDescent="0.25">
      <c r="A1003" s="170" t="s">
        <v>3572</v>
      </c>
      <c r="B1003" s="170" t="s">
        <v>3573</v>
      </c>
      <c r="C1003" s="170" t="s">
        <v>587</v>
      </c>
      <c r="D1003" s="170" t="s">
        <v>1947</v>
      </c>
      <c r="E1003" s="171" t="s">
        <v>21536</v>
      </c>
      <c r="F1003" s="171" t="s">
        <v>21536</v>
      </c>
      <c r="G1003" s="82"/>
      <c r="H1003" s="96">
        <f t="shared" si="60"/>
        <v>7.94</v>
      </c>
      <c r="I1003" s="96">
        <f t="shared" si="60"/>
        <v>7.94</v>
      </c>
      <c r="J1003" s="91" t="str">
        <f t="shared" si="61"/>
        <v>Sinapi 91391</v>
      </c>
      <c r="K1003" s="91" t="str">
        <f t="shared" si="62"/>
        <v>H</v>
      </c>
      <c r="L1003" s="166" t="str">
        <f t="shared" si="63"/>
        <v/>
      </c>
      <c r="M1003" s="82"/>
      <c r="N1003" s="82"/>
    </row>
    <row r="1004" spans="1:14" x14ac:dyDescent="0.25">
      <c r="A1004" s="170" t="s">
        <v>3574</v>
      </c>
      <c r="B1004" s="170" t="s">
        <v>3575</v>
      </c>
      <c r="C1004" s="170" t="s">
        <v>587</v>
      </c>
      <c r="D1004" s="170" t="s">
        <v>1947</v>
      </c>
      <c r="E1004" s="171" t="s">
        <v>15759</v>
      </c>
      <c r="F1004" s="171" t="s">
        <v>15759</v>
      </c>
      <c r="G1004" s="82"/>
      <c r="H1004" s="96">
        <f t="shared" si="60"/>
        <v>3.2</v>
      </c>
      <c r="I1004" s="96">
        <f t="shared" si="60"/>
        <v>3.2</v>
      </c>
      <c r="J1004" s="91" t="str">
        <f t="shared" si="61"/>
        <v>Sinapi 91392</v>
      </c>
      <c r="K1004" s="91" t="str">
        <f t="shared" si="62"/>
        <v>H</v>
      </c>
      <c r="L1004" s="166" t="str">
        <f t="shared" si="63"/>
        <v/>
      </c>
      <c r="M1004" s="82"/>
      <c r="N1004" s="82"/>
    </row>
    <row r="1005" spans="1:14" x14ac:dyDescent="0.25">
      <c r="A1005" s="170" t="s">
        <v>3576</v>
      </c>
      <c r="B1005" s="170" t="s">
        <v>3577</v>
      </c>
      <c r="C1005" s="170" t="s">
        <v>587</v>
      </c>
      <c r="D1005" s="170" t="s">
        <v>1947</v>
      </c>
      <c r="E1005" s="171" t="s">
        <v>21970</v>
      </c>
      <c r="F1005" s="171" t="s">
        <v>21970</v>
      </c>
      <c r="G1005" s="82"/>
      <c r="H1005" s="96">
        <f t="shared" si="60"/>
        <v>30.03</v>
      </c>
      <c r="I1005" s="96">
        <f t="shared" si="60"/>
        <v>30.03</v>
      </c>
      <c r="J1005" s="91" t="str">
        <f t="shared" si="61"/>
        <v>Sinapi 91396</v>
      </c>
      <c r="K1005" s="91" t="str">
        <f t="shared" si="62"/>
        <v>H</v>
      </c>
      <c r="L1005" s="166" t="str">
        <f t="shared" si="63"/>
        <v/>
      </c>
      <c r="M1005" s="82"/>
      <c r="N1005" s="82"/>
    </row>
    <row r="1006" spans="1:14" x14ac:dyDescent="0.25">
      <c r="A1006" s="170" t="s">
        <v>3579</v>
      </c>
      <c r="B1006" s="170" t="s">
        <v>3580</v>
      </c>
      <c r="C1006" s="170" t="s">
        <v>587</v>
      </c>
      <c r="D1006" s="170" t="s">
        <v>1947</v>
      </c>
      <c r="E1006" s="171" t="s">
        <v>18708</v>
      </c>
      <c r="F1006" s="171" t="s">
        <v>18708</v>
      </c>
      <c r="G1006" s="82"/>
      <c r="H1006" s="96">
        <f t="shared" si="60"/>
        <v>11.66</v>
      </c>
      <c r="I1006" s="96">
        <f t="shared" si="60"/>
        <v>11.66</v>
      </c>
      <c r="J1006" s="91" t="str">
        <f t="shared" si="61"/>
        <v>Sinapi 91397</v>
      </c>
      <c r="K1006" s="91" t="str">
        <f t="shared" si="62"/>
        <v>H</v>
      </c>
      <c r="L1006" s="166" t="str">
        <f t="shared" si="63"/>
        <v/>
      </c>
      <c r="M1006" s="82"/>
      <c r="N1006" s="82"/>
    </row>
    <row r="1007" spans="1:14" x14ac:dyDescent="0.25">
      <c r="A1007" s="170" t="s">
        <v>3581</v>
      </c>
      <c r="B1007" s="170" t="s">
        <v>3582</v>
      </c>
      <c r="C1007" s="170" t="s">
        <v>587</v>
      </c>
      <c r="D1007" s="170" t="s">
        <v>1947</v>
      </c>
      <c r="E1007" s="171" t="s">
        <v>21483</v>
      </c>
      <c r="F1007" s="171" t="s">
        <v>21483</v>
      </c>
      <c r="G1007" s="82"/>
      <c r="H1007" s="96">
        <f t="shared" si="60"/>
        <v>4.7</v>
      </c>
      <c r="I1007" s="96">
        <f t="shared" si="60"/>
        <v>4.7</v>
      </c>
      <c r="J1007" s="91" t="str">
        <f t="shared" si="61"/>
        <v>Sinapi 91398</v>
      </c>
      <c r="K1007" s="91" t="str">
        <f t="shared" si="62"/>
        <v>H</v>
      </c>
      <c r="L1007" s="166" t="str">
        <f t="shared" si="63"/>
        <v/>
      </c>
      <c r="M1007" s="82"/>
      <c r="N1007" s="82"/>
    </row>
    <row r="1008" spans="1:14" x14ac:dyDescent="0.25">
      <c r="A1008" s="170" t="s">
        <v>3583</v>
      </c>
      <c r="B1008" s="170" t="s">
        <v>3584</v>
      </c>
      <c r="C1008" s="170" t="s">
        <v>587</v>
      </c>
      <c r="D1008" s="170" t="s">
        <v>1947</v>
      </c>
      <c r="E1008" s="171" t="s">
        <v>17930</v>
      </c>
      <c r="F1008" s="171" t="s">
        <v>17930</v>
      </c>
      <c r="G1008" s="82"/>
      <c r="H1008" s="96">
        <f t="shared" si="60"/>
        <v>3.67</v>
      </c>
      <c r="I1008" s="96">
        <f t="shared" si="60"/>
        <v>3.67</v>
      </c>
      <c r="J1008" s="91" t="str">
        <f t="shared" si="61"/>
        <v>Sinapi 91402</v>
      </c>
      <c r="K1008" s="91" t="str">
        <f t="shared" si="62"/>
        <v>H</v>
      </c>
      <c r="L1008" s="166" t="str">
        <f t="shared" si="63"/>
        <v/>
      </c>
      <c r="M1008" s="82"/>
      <c r="N1008" s="82"/>
    </row>
    <row r="1009" spans="1:14" x14ac:dyDescent="0.25">
      <c r="A1009" s="170" t="s">
        <v>3585</v>
      </c>
      <c r="B1009" s="170" t="s">
        <v>3586</v>
      </c>
      <c r="C1009" s="170" t="s">
        <v>587</v>
      </c>
      <c r="D1009" s="170" t="s">
        <v>1947</v>
      </c>
      <c r="E1009" s="171" t="s">
        <v>28561</v>
      </c>
      <c r="F1009" s="171" t="s">
        <v>28561</v>
      </c>
      <c r="G1009" s="82"/>
      <c r="H1009" s="96">
        <f t="shared" si="60"/>
        <v>4.13</v>
      </c>
      <c r="I1009" s="96">
        <f t="shared" si="60"/>
        <v>4.13</v>
      </c>
      <c r="J1009" s="91" t="str">
        <f t="shared" si="61"/>
        <v>Sinapi 91466</v>
      </c>
      <c r="K1009" s="91" t="str">
        <f t="shared" si="62"/>
        <v>H</v>
      </c>
      <c r="L1009" s="166" t="str">
        <f t="shared" si="63"/>
        <v/>
      </c>
      <c r="M1009" s="82"/>
      <c r="N1009" s="82"/>
    </row>
    <row r="1010" spans="1:14" x14ac:dyDescent="0.25">
      <c r="A1010" s="170" t="s">
        <v>3587</v>
      </c>
      <c r="B1010" s="170" t="s">
        <v>3588</v>
      </c>
      <c r="C1010" s="170" t="s">
        <v>587</v>
      </c>
      <c r="D1010" s="170" t="s">
        <v>2710</v>
      </c>
      <c r="E1010" s="171" t="s">
        <v>31991</v>
      </c>
      <c r="F1010" s="171" t="s">
        <v>31991</v>
      </c>
      <c r="G1010" s="82"/>
      <c r="H1010" s="96">
        <f t="shared" si="60"/>
        <v>175.75</v>
      </c>
      <c r="I1010" s="96">
        <f t="shared" si="60"/>
        <v>175.75</v>
      </c>
      <c r="J1010" s="91" t="str">
        <f t="shared" si="61"/>
        <v>Sinapi 91467</v>
      </c>
      <c r="K1010" s="91" t="str">
        <f t="shared" si="62"/>
        <v>H</v>
      </c>
      <c r="L1010" s="166" t="str">
        <f t="shared" si="63"/>
        <v/>
      </c>
      <c r="M1010" s="82"/>
      <c r="N1010" s="82"/>
    </row>
    <row r="1011" spans="1:14" x14ac:dyDescent="0.25">
      <c r="A1011" s="170" t="s">
        <v>3589</v>
      </c>
      <c r="B1011" s="170" t="s">
        <v>21719</v>
      </c>
      <c r="C1011" s="170" t="s">
        <v>587</v>
      </c>
      <c r="D1011" s="170" t="s">
        <v>1947</v>
      </c>
      <c r="E1011" s="171" t="s">
        <v>20485</v>
      </c>
      <c r="F1011" s="171" t="s">
        <v>20485</v>
      </c>
      <c r="G1011" s="82"/>
      <c r="H1011" s="96">
        <f t="shared" si="60"/>
        <v>23.46</v>
      </c>
      <c r="I1011" s="96">
        <f t="shared" si="60"/>
        <v>23.46</v>
      </c>
      <c r="J1011" s="91" t="str">
        <f t="shared" si="61"/>
        <v>Sinapi 91468</v>
      </c>
      <c r="K1011" s="91" t="str">
        <f t="shared" si="62"/>
        <v>H</v>
      </c>
      <c r="L1011" s="166" t="str">
        <f t="shared" si="63"/>
        <v/>
      </c>
      <c r="M1011" s="82"/>
      <c r="N1011" s="82"/>
    </row>
    <row r="1012" spans="1:14" x14ac:dyDescent="0.25">
      <c r="A1012" s="170" t="s">
        <v>3590</v>
      </c>
      <c r="B1012" s="170" t="s">
        <v>21720</v>
      </c>
      <c r="C1012" s="170" t="s">
        <v>587</v>
      </c>
      <c r="D1012" s="170" t="s">
        <v>1947</v>
      </c>
      <c r="E1012" s="171" t="s">
        <v>5688</v>
      </c>
      <c r="F1012" s="171" t="s">
        <v>5688</v>
      </c>
      <c r="G1012" s="82"/>
      <c r="H1012" s="96">
        <f t="shared" si="60"/>
        <v>10.28</v>
      </c>
      <c r="I1012" s="96">
        <f t="shared" si="60"/>
        <v>10.28</v>
      </c>
      <c r="J1012" s="91" t="str">
        <f t="shared" si="61"/>
        <v>Sinapi 91469</v>
      </c>
      <c r="K1012" s="91" t="str">
        <f t="shared" si="62"/>
        <v>H</v>
      </c>
      <c r="L1012" s="166" t="str">
        <f t="shared" si="63"/>
        <v/>
      </c>
      <c r="M1012" s="82"/>
      <c r="N1012" s="82"/>
    </row>
    <row r="1013" spans="1:14" x14ac:dyDescent="0.25">
      <c r="A1013" s="170" t="s">
        <v>3591</v>
      </c>
      <c r="B1013" s="170" t="s">
        <v>21721</v>
      </c>
      <c r="C1013" s="170" t="s">
        <v>587</v>
      </c>
      <c r="D1013" s="170" t="s">
        <v>1947</v>
      </c>
      <c r="E1013" s="171" t="s">
        <v>13578</v>
      </c>
      <c r="F1013" s="171" t="s">
        <v>13578</v>
      </c>
      <c r="G1013" s="82"/>
      <c r="H1013" s="96">
        <f t="shared" si="60"/>
        <v>7.82</v>
      </c>
      <c r="I1013" s="96">
        <f t="shared" si="60"/>
        <v>7.82</v>
      </c>
      <c r="J1013" s="91" t="str">
        <f t="shared" si="61"/>
        <v>Sinapi 91484</v>
      </c>
      <c r="K1013" s="91" t="str">
        <f t="shared" si="62"/>
        <v>H</v>
      </c>
      <c r="L1013" s="166" t="str">
        <f t="shared" si="63"/>
        <v/>
      </c>
      <c r="M1013" s="82"/>
      <c r="N1013" s="82"/>
    </row>
    <row r="1014" spans="1:14" x14ac:dyDescent="0.25">
      <c r="A1014" s="170" t="s">
        <v>3592</v>
      </c>
      <c r="B1014" s="170" t="s">
        <v>21722</v>
      </c>
      <c r="C1014" s="170" t="s">
        <v>587</v>
      </c>
      <c r="D1014" s="170" t="s">
        <v>2710</v>
      </c>
      <c r="E1014" s="171" t="s">
        <v>32039</v>
      </c>
      <c r="F1014" s="171" t="s">
        <v>32039</v>
      </c>
      <c r="G1014" s="82"/>
      <c r="H1014" s="96">
        <f t="shared" si="60"/>
        <v>181.34</v>
      </c>
      <c r="I1014" s="96">
        <f t="shared" si="60"/>
        <v>181.34</v>
      </c>
      <c r="J1014" s="91" t="str">
        <f t="shared" si="61"/>
        <v>Sinapi 91485</v>
      </c>
      <c r="K1014" s="91" t="str">
        <f t="shared" si="62"/>
        <v>H</v>
      </c>
      <c r="L1014" s="166" t="str">
        <f t="shared" si="63"/>
        <v/>
      </c>
      <c r="M1014" s="82"/>
      <c r="N1014" s="82"/>
    </row>
    <row r="1015" spans="1:14" x14ac:dyDescent="0.25">
      <c r="A1015" s="170" t="s">
        <v>3593</v>
      </c>
      <c r="B1015" s="170" t="s">
        <v>3594</v>
      </c>
      <c r="C1015" s="170" t="s">
        <v>587</v>
      </c>
      <c r="D1015" s="170" t="s">
        <v>1947</v>
      </c>
      <c r="E1015" s="171" t="s">
        <v>3780</v>
      </c>
      <c r="F1015" s="171" t="s">
        <v>3780</v>
      </c>
      <c r="G1015" s="82"/>
      <c r="H1015" s="96">
        <f t="shared" si="60"/>
        <v>0.7</v>
      </c>
      <c r="I1015" s="96">
        <f t="shared" si="60"/>
        <v>0.7</v>
      </c>
      <c r="J1015" s="91" t="str">
        <f t="shared" si="61"/>
        <v>Sinapi 91529</v>
      </c>
      <c r="K1015" s="91" t="str">
        <f t="shared" si="62"/>
        <v>H</v>
      </c>
      <c r="L1015" s="166" t="str">
        <f t="shared" si="63"/>
        <v/>
      </c>
      <c r="M1015" s="82"/>
      <c r="N1015" s="82"/>
    </row>
    <row r="1016" spans="1:14" x14ac:dyDescent="0.25">
      <c r="A1016" s="170" t="s">
        <v>3595</v>
      </c>
      <c r="B1016" s="170" t="s">
        <v>3596</v>
      </c>
      <c r="C1016" s="170" t="s">
        <v>587</v>
      </c>
      <c r="D1016" s="170" t="s">
        <v>1947</v>
      </c>
      <c r="E1016" s="171" t="s">
        <v>2537</v>
      </c>
      <c r="F1016" s="171" t="s">
        <v>2537</v>
      </c>
      <c r="G1016" s="82"/>
      <c r="H1016" s="96">
        <f t="shared" si="60"/>
        <v>0.18</v>
      </c>
      <c r="I1016" s="96">
        <f t="shared" si="60"/>
        <v>0.18</v>
      </c>
      <c r="J1016" s="91" t="str">
        <f t="shared" si="61"/>
        <v>Sinapi 91530</v>
      </c>
      <c r="K1016" s="91" t="str">
        <f t="shared" si="62"/>
        <v>H</v>
      </c>
      <c r="L1016" s="166" t="str">
        <f t="shared" si="63"/>
        <v/>
      </c>
      <c r="M1016" s="82"/>
      <c r="N1016" s="82"/>
    </row>
    <row r="1017" spans="1:14" x14ac:dyDescent="0.25">
      <c r="A1017" s="170" t="s">
        <v>3597</v>
      </c>
      <c r="B1017" s="170" t="s">
        <v>3598</v>
      </c>
      <c r="C1017" s="170" t="s">
        <v>587</v>
      </c>
      <c r="D1017" s="170" t="s">
        <v>1947</v>
      </c>
      <c r="E1017" s="171" t="s">
        <v>11182</v>
      </c>
      <c r="F1017" s="171" t="s">
        <v>11182</v>
      </c>
      <c r="G1017" s="82"/>
      <c r="H1017" s="96">
        <f t="shared" si="60"/>
        <v>0.88</v>
      </c>
      <c r="I1017" s="96">
        <f t="shared" si="60"/>
        <v>0.88</v>
      </c>
      <c r="J1017" s="91" t="str">
        <f t="shared" si="61"/>
        <v>Sinapi 91531</v>
      </c>
      <c r="K1017" s="91" t="str">
        <f t="shared" si="62"/>
        <v>H</v>
      </c>
      <c r="L1017" s="166" t="str">
        <f t="shared" si="63"/>
        <v/>
      </c>
      <c r="M1017" s="82"/>
      <c r="N1017" s="82"/>
    </row>
    <row r="1018" spans="1:14" x14ac:dyDescent="0.25">
      <c r="A1018" s="170" t="s">
        <v>3599</v>
      </c>
      <c r="B1018" s="170" t="s">
        <v>3600</v>
      </c>
      <c r="C1018" s="170" t="s">
        <v>587</v>
      </c>
      <c r="D1018" s="170" t="s">
        <v>2710</v>
      </c>
      <c r="E1018" s="171" t="s">
        <v>25886</v>
      </c>
      <c r="F1018" s="171" t="s">
        <v>25886</v>
      </c>
      <c r="G1018" s="82"/>
      <c r="H1018" s="96">
        <f t="shared" si="60"/>
        <v>6.82</v>
      </c>
      <c r="I1018" s="96">
        <f t="shared" si="60"/>
        <v>6.82</v>
      </c>
      <c r="J1018" s="91" t="str">
        <f t="shared" si="61"/>
        <v>Sinapi 91532</v>
      </c>
      <c r="K1018" s="91" t="str">
        <f t="shared" si="62"/>
        <v>H</v>
      </c>
      <c r="L1018" s="166" t="str">
        <f t="shared" si="63"/>
        <v/>
      </c>
      <c r="M1018" s="82"/>
      <c r="N1018" s="82"/>
    </row>
    <row r="1019" spans="1:14" x14ac:dyDescent="0.25">
      <c r="A1019" s="170" t="s">
        <v>3601</v>
      </c>
      <c r="B1019" s="170" t="s">
        <v>3602</v>
      </c>
      <c r="C1019" s="170" t="s">
        <v>587</v>
      </c>
      <c r="D1019" s="170" t="s">
        <v>1947</v>
      </c>
      <c r="E1019" s="171" t="s">
        <v>31440</v>
      </c>
      <c r="F1019" s="171" t="s">
        <v>31440</v>
      </c>
      <c r="G1019" s="82"/>
      <c r="H1019" s="96">
        <f t="shared" si="60"/>
        <v>21.98</v>
      </c>
      <c r="I1019" s="96">
        <f t="shared" si="60"/>
        <v>21.98</v>
      </c>
      <c r="J1019" s="91" t="str">
        <f t="shared" si="61"/>
        <v>Sinapi 91629</v>
      </c>
      <c r="K1019" s="91" t="str">
        <f t="shared" si="62"/>
        <v>H</v>
      </c>
      <c r="L1019" s="166" t="str">
        <f t="shared" si="63"/>
        <v/>
      </c>
      <c r="M1019" s="82"/>
      <c r="N1019" s="82"/>
    </row>
    <row r="1020" spans="1:14" x14ac:dyDescent="0.25">
      <c r="A1020" s="170" t="s">
        <v>3603</v>
      </c>
      <c r="B1020" s="170" t="s">
        <v>3604</v>
      </c>
      <c r="C1020" s="170" t="s">
        <v>587</v>
      </c>
      <c r="D1020" s="170" t="s">
        <v>1947</v>
      </c>
      <c r="E1020" s="171" t="s">
        <v>14948</v>
      </c>
      <c r="F1020" s="171" t="s">
        <v>14948</v>
      </c>
      <c r="G1020" s="82"/>
      <c r="H1020" s="96">
        <f t="shared" si="60"/>
        <v>8.24</v>
      </c>
      <c r="I1020" s="96">
        <f t="shared" si="60"/>
        <v>8.24</v>
      </c>
      <c r="J1020" s="91" t="str">
        <f t="shared" si="61"/>
        <v>Sinapi 91630</v>
      </c>
      <c r="K1020" s="91" t="str">
        <f t="shared" si="62"/>
        <v>H</v>
      </c>
      <c r="L1020" s="166" t="str">
        <f t="shared" si="63"/>
        <v/>
      </c>
      <c r="M1020" s="82"/>
      <c r="N1020" s="82"/>
    </row>
    <row r="1021" spans="1:14" x14ac:dyDescent="0.25">
      <c r="A1021" s="170" t="s">
        <v>3605</v>
      </c>
      <c r="B1021" s="170" t="s">
        <v>3606</v>
      </c>
      <c r="C1021" s="170" t="s">
        <v>587</v>
      </c>
      <c r="D1021" s="170" t="s">
        <v>1947</v>
      </c>
      <c r="E1021" s="171" t="s">
        <v>25072</v>
      </c>
      <c r="F1021" s="171" t="s">
        <v>25072</v>
      </c>
      <c r="G1021" s="82"/>
      <c r="H1021" s="96">
        <f t="shared" si="60"/>
        <v>3.32</v>
      </c>
      <c r="I1021" s="96">
        <f t="shared" si="60"/>
        <v>3.32</v>
      </c>
      <c r="J1021" s="91" t="str">
        <f t="shared" si="61"/>
        <v>Sinapi 91631</v>
      </c>
      <c r="K1021" s="91" t="str">
        <f t="shared" si="62"/>
        <v>H</v>
      </c>
      <c r="L1021" s="166" t="str">
        <f t="shared" si="63"/>
        <v/>
      </c>
      <c r="M1021" s="82"/>
      <c r="N1021" s="82"/>
    </row>
    <row r="1022" spans="1:14" x14ac:dyDescent="0.25">
      <c r="A1022" s="170" t="s">
        <v>3607</v>
      </c>
      <c r="B1022" s="170" t="s">
        <v>3608</v>
      </c>
      <c r="C1022" s="170" t="s">
        <v>587</v>
      </c>
      <c r="D1022" s="170" t="s">
        <v>1947</v>
      </c>
      <c r="E1022" s="171" t="s">
        <v>21035</v>
      </c>
      <c r="F1022" s="171" t="s">
        <v>21035</v>
      </c>
      <c r="G1022" s="82"/>
      <c r="H1022" s="96">
        <f t="shared" si="60"/>
        <v>37.9</v>
      </c>
      <c r="I1022" s="96">
        <f t="shared" si="60"/>
        <v>37.9</v>
      </c>
      <c r="J1022" s="91" t="str">
        <f t="shared" si="61"/>
        <v>Sinapi 91632</v>
      </c>
      <c r="K1022" s="91" t="str">
        <f t="shared" si="62"/>
        <v>H</v>
      </c>
      <c r="L1022" s="166" t="str">
        <f t="shared" si="63"/>
        <v/>
      </c>
      <c r="M1022" s="82"/>
      <c r="N1022" s="82"/>
    </row>
    <row r="1023" spans="1:14" x14ac:dyDescent="0.25">
      <c r="A1023" s="170" t="s">
        <v>3609</v>
      </c>
      <c r="B1023" s="170" t="s">
        <v>3610</v>
      </c>
      <c r="C1023" s="170" t="s">
        <v>587</v>
      </c>
      <c r="D1023" s="170" t="s">
        <v>2710</v>
      </c>
      <c r="E1023" s="171" t="s">
        <v>32040</v>
      </c>
      <c r="F1023" s="171" t="s">
        <v>32040</v>
      </c>
      <c r="G1023" s="82"/>
      <c r="H1023" s="96">
        <f t="shared" si="60"/>
        <v>148.76</v>
      </c>
      <c r="I1023" s="96">
        <f t="shared" si="60"/>
        <v>148.76</v>
      </c>
      <c r="J1023" s="91" t="str">
        <f t="shared" si="61"/>
        <v>Sinapi 91633</v>
      </c>
      <c r="K1023" s="91" t="str">
        <f t="shared" si="62"/>
        <v>H</v>
      </c>
      <c r="L1023" s="166" t="str">
        <f t="shared" si="63"/>
        <v/>
      </c>
      <c r="M1023" s="82"/>
      <c r="N1023" s="82"/>
    </row>
    <row r="1024" spans="1:14" x14ac:dyDescent="0.25">
      <c r="A1024" s="170" t="s">
        <v>3611</v>
      </c>
      <c r="B1024" s="170" t="s">
        <v>3612</v>
      </c>
      <c r="C1024" s="170" t="s">
        <v>587</v>
      </c>
      <c r="D1024" s="170" t="s">
        <v>1947</v>
      </c>
      <c r="E1024" s="171" t="s">
        <v>32041</v>
      </c>
      <c r="F1024" s="171" t="s">
        <v>32041</v>
      </c>
      <c r="G1024" s="82"/>
      <c r="H1024" s="96">
        <f t="shared" si="60"/>
        <v>40.590000000000003</v>
      </c>
      <c r="I1024" s="96">
        <f t="shared" si="60"/>
        <v>40.590000000000003</v>
      </c>
      <c r="J1024" s="91" t="str">
        <f t="shared" si="61"/>
        <v>Sinapi 91640</v>
      </c>
      <c r="K1024" s="91" t="str">
        <f t="shared" si="62"/>
        <v>H</v>
      </c>
      <c r="L1024" s="166" t="str">
        <f t="shared" si="63"/>
        <v/>
      </c>
      <c r="M1024" s="82"/>
      <c r="N1024" s="82"/>
    </row>
    <row r="1025" spans="1:14" x14ac:dyDescent="0.25">
      <c r="A1025" s="170" t="s">
        <v>3613</v>
      </c>
      <c r="B1025" s="170" t="s">
        <v>3614</v>
      </c>
      <c r="C1025" s="170" t="s">
        <v>587</v>
      </c>
      <c r="D1025" s="170" t="s">
        <v>1947</v>
      </c>
      <c r="E1025" s="171" t="s">
        <v>17138</v>
      </c>
      <c r="F1025" s="171" t="s">
        <v>17138</v>
      </c>
      <c r="G1025" s="82"/>
      <c r="H1025" s="96">
        <f t="shared" si="60"/>
        <v>16.39</v>
      </c>
      <c r="I1025" s="96">
        <f t="shared" si="60"/>
        <v>16.39</v>
      </c>
      <c r="J1025" s="91" t="str">
        <f t="shared" si="61"/>
        <v>Sinapi 91641</v>
      </c>
      <c r="K1025" s="91" t="str">
        <f t="shared" si="62"/>
        <v>H</v>
      </c>
      <c r="L1025" s="166" t="str">
        <f t="shared" si="63"/>
        <v/>
      </c>
      <c r="M1025" s="82"/>
      <c r="N1025" s="82"/>
    </row>
    <row r="1026" spans="1:14" x14ac:dyDescent="0.25">
      <c r="A1026" s="170" t="s">
        <v>3615</v>
      </c>
      <c r="B1026" s="170" t="s">
        <v>3616</v>
      </c>
      <c r="C1026" s="170" t="s">
        <v>587</v>
      </c>
      <c r="D1026" s="170" t="s">
        <v>1947</v>
      </c>
      <c r="E1026" s="171" t="s">
        <v>18704</v>
      </c>
      <c r="F1026" s="171" t="s">
        <v>18704</v>
      </c>
      <c r="G1026" s="82"/>
      <c r="H1026" s="96">
        <f t="shared" si="60"/>
        <v>6.62</v>
      </c>
      <c r="I1026" s="96">
        <f t="shared" si="60"/>
        <v>6.62</v>
      </c>
      <c r="J1026" s="91" t="str">
        <f t="shared" si="61"/>
        <v>Sinapi 91642</v>
      </c>
      <c r="K1026" s="91" t="str">
        <f t="shared" si="62"/>
        <v>H</v>
      </c>
      <c r="L1026" s="166" t="str">
        <f t="shared" si="63"/>
        <v/>
      </c>
      <c r="M1026" s="82"/>
      <c r="N1026" s="82"/>
    </row>
    <row r="1027" spans="1:14" x14ac:dyDescent="0.25">
      <c r="A1027" s="170" t="s">
        <v>3618</v>
      </c>
      <c r="B1027" s="170" t="s">
        <v>3619</v>
      </c>
      <c r="C1027" s="170" t="s">
        <v>587</v>
      </c>
      <c r="D1027" s="170" t="s">
        <v>1947</v>
      </c>
      <c r="E1027" s="171" t="s">
        <v>29021</v>
      </c>
      <c r="F1027" s="171" t="s">
        <v>29021</v>
      </c>
      <c r="G1027" s="82"/>
      <c r="H1027" s="96">
        <f t="shared" si="60"/>
        <v>73.25</v>
      </c>
      <c r="I1027" s="96">
        <f t="shared" si="60"/>
        <v>73.25</v>
      </c>
      <c r="J1027" s="91" t="str">
        <f t="shared" si="61"/>
        <v>Sinapi 91643</v>
      </c>
      <c r="K1027" s="91" t="str">
        <f t="shared" si="62"/>
        <v>H</v>
      </c>
      <c r="L1027" s="166" t="str">
        <f t="shared" si="63"/>
        <v/>
      </c>
      <c r="M1027" s="82"/>
      <c r="N1027" s="82"/>
    </row>
    <row r="1028" spans="1:14" x14ac:dyDescent="0.25">
      <c r="A1028" s="170" t="s">
        <v>3620</v>
      </c>
      <c r="B1028" s="170" t="s">
        <v>3621</v>
      </c>
      <c r="C1028" s="170" t="s">
        <v>587</v>
      </c>
      <c r="D1028" s="170" t="s">
        <v>2710</v>
      </c>
      <c r="E1028" s="171" t="s">
        <v>32042</v>
      </c>
      <c r="F1028" s="171" t="s">
        <v>32042</v>
      </c>
      <c r="G1028" s="82"/>
      <c r="H1028" s="96">
        <f t="shared" si="60"/>
        <v>334.76</v>
      </c>
      <c r="I1028" s="96">
        <f t="shared" si="60"/>
        <v>334.76</v>
      </c>
      <c r="J1028" s="91" t="str">
        <f t="shared" si="61"/>
        <v>Sinapi 91644</v>
      </c>
      <c r="K1028" s="91" t="str">
        <f t="shared" si="62"/>
        <v>H</v>
      </c>
      <c r="L1028" s="166" t="str">
        <f t="shared" si="63"/>
        <v/>
      </c>
      <c r="M1028" s="82"/>
      <c r="N1028" s="82"/>
    </row>
    <row r="1029" spans="1:14" x14ac:dyDescent="0.25">
      <c r="A1029" s="170" t="s">
        <v>3622</v>
      </c>
      <c r="B1029" s="170" t="s">
        <v>3623</v>
      </c>
      <c r="C1029" s="170" t="s">
        <v>587</v>
      </c>
      <c r="D1029" s="170" t="s">
        <v>2067</v>
      </c>
      <c r="E1029" s="171" t="s">
        <v>3271</v>
      </c>
      <c r="F1029" s="171" t="s">
        <v>3271</v>
      </c>
      <c r="G1029" s="82"/>
      <c r="H1029" s="96">
        <f t="shared" si="60"/>
        <v>0.11</v>
      </c>
      <c r="I1029" s="96">
        <f t="shared" si="60"/>
        <v>0.11</v>
      </c>
      <c r="J1029" s="91" t="str">
        <f t="shared" si="61"/>
        <v>Sinapi 91688</v>
      </c>
      <c r="K1029" s="91" t="str">
        <f t="shared" si="62"/>
        <v>H</v>
      </c>
      <c r="L1029" s="166" t="str">
        <f t="shared" si="63"/>
        <v/>
      </c>
      <c r="M1029" s="82"/>
      <c r="N1029" s="82"/>
    </row>
    <row r="1030" spans="1:14" x14ac:dyDescent="0.25">
      <c r="A1030" s="170" t="s">
        <v>3624</v>
      </c>
      <c r="B1030" s="170" t="s">
        <v>3625</v>
      </c>
      <c r="C1030" s="170" t="s">
        <v>587</v>
      </c>
      <c r="D1030" s="170" t="s">
        <v>2067</v>
      </c>
      <c r="E1030" s="171" t="s">
        <v>2997</v>
      </c>
      <c r="F1030" s="171" t="s">
        <v>2997</v>
      </c>
      <c r="G1030" s="82"/>
      <c r="H1030" s="96">
        <f t="shared" si="60"/>
        <v>0.02</v>
      </c>
      <c r="I1030" s="96">
        <f t="shared" si="60"/>
        <v>0.02</v>
      </c>
      <c r="J1030" s="91" t="str">
        <f t="shared" si="61"/>
        <v>Sinapi 91689</v>
      </c>
      <c r="K1030" s="91" t="str">
        <f t="shared" si="62"/>
        <v>H</v>
      </c>
      <c r="L1030" s="166" t="str">
        <f t="shared" si="63"/>
        <v/>
      </c>
      <c r="M1030" s="82"/>
      <c r="N1030" s="82"/>
    </row>
    <row r="1031" spans="1:14" x14ac:dyDescent="0.25">
      <c r="A1031" s="170" t="s">
        <v>3626</v>
      </c>
      <c r="B1031" s="170" t="s">
        <v>3627</v>
      </c>
      <c r="C1031" s="170" t="s">
        <v>587</v>
      </c>
      <c r="D1031" s="170" t="s">
        <v>2067</v>
      </c>
      <c r="E1031" s="171" t="s">
        <v>2799</v>
      </c>
      <c r="F1031" s="171" t="s">
        <v>2799</v>
      </c>
      <c r="G1031" s="82"/>
      <c r="H1031" s="96">
        <f t="shared" si="60"/>
        <v>0.08</v>
      </c>
      <c r="I1031" s="96">
        <f t="shared" si="60"/>
        <v>0.08</v>
      </c>
      <c r="J1031" s="91" t="str">
        <f t="shared" si="61"/>
        <v>Sinapi 91690</v>
      </c>
      <c r="K1031" s="91" t="str">
        <f t="shared" si="62"/>
        <v>H</v>
      </c>
      <c r="L1031" s="166" t="str">
        <f t="shared" si="63"/>
        <v/>
      </c>
      <c r="M1031" s="82"/>
      <c r="N1031" s="82"/>
    </row>
    <row r="1032" spans="1:14" x14ac:dyDescent="0.25">
      <c r="A1032" s="170" t="s">
        <v>3628</v>
      </c>
      <c r="B1032" s="170" t="s">
        <v>3629</v>
      </c>
      <c r="C1032" s="170" t="s">
        <v>587</v>
      </c>
      <c r="D1032" s="170" t="s">
        <v>2067</v>
      </c>
      <c r="E1032" s="171" t="s">
        <v>10275</v>
      </c>
      <c r="F1032" s="171" t="s">
        <v>10275</v>
      </c>
      <c r="G1032" s="82"/>
      <c r="H1032" s="96">
        <f t="shared" ref="H1032:I1095" si="64">IF(E1032="","",E1032+0)</f>
        <v>1.41</v>
      </c>
      <c r="I1032" s="96">
        <f t="shared" si="64"/>
        <v>1.41</v>
      </c>
      <c r="J1032" s="91" t="str">
        <f t="shared" ref="J1032:J1095" si="65">IF(OR(H1032="",I1032=""),"",TRIM(CONCATENATE("Sinapi ",A1032)))</f>
        <v>Sinapi 91691</v>
      </c>
      <c r="K1032" s="91" t="str">
        <f t="shared" ref="K1032:K1095" si="66">TRIM(C1032)</f>
        <v>H</v>
      </c>
      <c r="L1032" s="166" t="str">
        <f t="shared" ref="L1032:L1095" si="67">IF(OR(RIGHT(IF(AND(K1032&lt;&gt;"H",K1032&lt;&gt;"MES"),RIGHT(B1032,7),""),2)="PS",RIGHT(IF(AND(K1032&lt;&gt;"H",K1032&lt;&gt;"MES"),RIGHT(B1032,7),""),2)="PA",RIGHT(IF(AND(K1032&lt;&gt;"H",K1032&lt;&gt;"MES"),RIGHT(B1032,7),""),2)="PE"),LEFT(IF(AND(K1032&lt;&gt;"H",K1032&lt;&gt;"MES"),RIGHT(B1032,10),""),7),IF(AND(K1032&lt;&gt;"H",K1032&lt;&gt;"MES"),RIGHT(B1032,7),""))</f>
        <v/>
      </c>
      <c r="M1032" s="82"/>
      <c r="N1032" s="82"/>
    </row>
    <row r="1033" spans="1:14" x14ac:dyDescent="0.25">
      <c r="A1033" s="170" t="s">
        <v>3630</v>
      </c>
      <c r="B1033" s="170" t="s">
        <v>3631</v>
      </c>
      <c r="C1033" s="170" t="s">
        <v>587</v>
      </c>
      <c r="D1033" s="170" t="s">
        <v>1947</v>
      </c>
      <c r="E1033" s="171" t="s">
        <v>15655</v>
      </c>
      <c r="F1033" s="171" t="s">
        <v>15655</v>
      </c>
      <c r="G1033" s="82"/>
      <c r="H1033" s="96">
        <f t="shared" si="64"/>
        <v>6.47</v>
      </c>
      <c r="I1033" s="96">
        <f t="shared" si="64"/>
        <v>6.47</v>
      </c>
      <c r="J1033" s="91" t="str">
        <f t="shared" si="65"/>
        <v>Sinapi 92040</v>
      </c>
      <c r="K1033" s="91" t="str">
        <f t="shared" si="66"/>
        <v>H</v>
      </c>
      <c r="L1033" s="166" t="str">
        <f t="shared" si="67"/>
        <v/>
      </c>
      <c r="M1033" s="82"/>
      <c r="N1033" s="82"/>
    </row>
    <row r="1034" spans="1:14" x14ac:dyDescent="0.25">
      <c r="A1034" s="170" t="s">
        <v>3632</v>
      </c>
      <c r="B1034" s="170" t="s">
        <v>3633</v>
      </c>
      <c r="C1034" s="170" t="s">
        <v>587</v>
      </c>
      <c r="D1034" s="170" t="s">
        <v>1947</v>
      </c>
      <c r="E1034" s="171" t="s">
        <v>29677</v>
      </c>
      <c r="F1034" s="171" t="s">
        <v>29677</v>
      </c>
      <c r="G1034" s="82"/>
      <c r="H1034" s="96">
        <f t="shared" si="64"/>
        <v>1.33</v>
      </c>
      <c r="I1034" s="96">
        <f t="shared" si="64"/>
        <v>1.33</v>
      </c>
      <c r="J1034" s="91" t="str">
        <f t="shared" si="65"/>
        <v>Sinapi 92041</v>
      </c>
      <c r="K1034" s="91" t="str">
        <f t="shared" si="66"/>
        <v>H</v>
      </c>
      <c r="L1034" s="166" t="str">
        <f t="shared" si="67"/>
        <v/>
      </c>
      <c r="M1034" s="82"/>
      <c r="N1034" s="82"/>
    </row>
    <row r="1035" spans="1:14" x14ac:dyDescent="0.25">
      <c r="A1035" s="170" t="s">
        <v>3634</v>
      </c>
      <c r="B1035" s="170" t="s">
        <v>3635</v>
      </c>
      <c r="C1035" s="170" t="s">
        <v>587</v>
      </c>
      <c r="D1035" s="170" t="s">
        <v>1947</v>
      </c>
      <c r="E1035" s="171" t="s">
        <v>16419</v>
      </c>
      <c r="F1035" s="171" t="s">
        <v>16419</v>
      </c>
      <c r="G1035" s="82"/>
      <c r="H1035" s="96">
        <f t="shared" si="64"/>
        <v>5.39</v>
      </c>
      <c r="I1035" s="96">
        <f t="shared" si="64"/>
        <v>5.39</v>
      </c>
      <c r="J1035" s="91" t="str">
        <f t="shared" si="65"/>
        <v>Sinapi 92042</v>
      </c>
      <c r="K1035" s="91" t="str">
        <f t="shared" si="66"/>
        <v>H</v>
      </c>
      <c r="L1035" s="166" t="str">
        <f t="shared" si="67"/>
        <v/>
      </c>
      <c r="M1035" s="82"/>
      <c r="N1035" s="82"/>
    </row>
    <row r="1036" spans="1:14" x14ac:dyDescent="0.25">
      <c r="A1036" s="170" t="s">
        <v>3636</v>
      </c>
      <c r="B1036" s="170" t="s">
        <v>21723</v>
      </c>
      <c r="C1036" s="170" t="s">
        <v>587</v>
      </c>
      <c r="D1036" s="170" t="s">
        <v>1947</v>
      </c>
      <c r="E1036" s="171" t="s">
        <v>21724</v>
      </c>
      <c r="F1036" s="171" t="s">
        <v>21724</v>
      </c>
      <c r="G1036" s="82"/>
      <c r="H1036" s="96">
        <f t="shared" si="64"/>
        <v>37.97</v>
      </c>
      <c r="I1036" s="96">
        <f t="shared" si="64"/>
        <v>37.97</v>
      </c>
      <c r="J1036" s="91" t="str">
        <f t="shared" si="65"/>
        <v>Sinapi 92101</v>
      </c>
      <c r="K1036" s="91" t="str">
        <f t="shared" si="66"/>
        <v>H</v>
      </c>
      <c r="L1036" s="166" t="str">
        <f t="shared" si="67"/>
        <v/>
      </c>
      <c r="M1036" s="82"/>
      <c r="N1036" s="82"/>
    </row>
    <row r="1037" spans="1:14" x14ac:dyDescent="0.25">
      <c r="A1037" s="170" t="s">
        <v>3637</v>
      </c>
      <c r="B1037" s="170" t="s">
        <v>21725</v>
      </c>
      <c r="C1037" s="170" t="s">
        <v>587</v>
      </c>
      <c r="D1037" s="170" t="s">
        <v>1947</v>
      </c>
      <c r="E1037" s="171" t="s">
        <v>23411</v>
      </c>
      <c r="F1037" s="171" t="s">
        <v>23411</v>
      </c>
      <c r="G1037" s="82"/>
      <c r="H1037" s="96">
        <f t="shared" si="64"/>
        <v>13.58</v>
      </c>
      <c r="I1037" s="96">
        <f t="shared" si="64"/>
        <v>13.58</v>
      </c>
      <c r="J1037" s="91" t="str">
        <f t="shared" si="65"/>
        <v>Sinapi 92102</v>
      </c>
      <c r="K1037" s="91" t="str">
        <f t="shared" si="66"/>
        <v>H</v>
      </c>
      <c r="L1037" s="166" t="str">
        <f t="shared" si="67"/>
        <v/>
      </c>
      <c r="M1037" s="82"/>
      <c r="N1037" s="82"/>
    </row>
    <row r="1038" spans="1:14" x14ac:dyDescent="0.25">
      <c r="A1038" s="170" t="s">
        <v>3638</v>
      </c>
      <c r="B1038" s="170" t="s">
        <v>21726</v>
      </c>
      <c r="C1038" s="170" t="s">
        <v>587</v>
      </c>
      <c r="D1038" s="170" t="s">
        <v>1947</v>
      </c>
      <c r="E1038" s="171" t="s">
        <v>20994</v>
      </c>
      <c r="F1038" s="171" t="s">
        <v>20994</v>
      </c>
      <c r="G1038" s="82"/>
      <c r="H1038" s="96">
        <f t="shared" si="64"/>
        <v>9.52</v>
      </c>
      <c r="I1038" s="96">
        <f t="shared" si="64"/>
        <v>9.52</v>
      </c>
      <c r="J1038" s="91" t="str">
        <f t="shared" si="65"/>
        <v>Sinapi 92103</v>
      </c>
      <c r="K1038" s="91" t="str">
        <f t="shared" si="66"/>
        <v>H</v>
      </c>
      <c r="L1038" s="166" t="str">
        <f t="shared" si="67"/>
        <v/>
      </c>
      <c r="M1038" s="82"/>
      <c r="N1038" s="82"/>
    </row>
    <row r="1039" spans="1:14" x14ac:dyDescent="0.25">
      <c r="A1039" s="170" t="s">
        <v>3639</v>
      </c>
      <c r="B1039" s="170" t="s">
        <v>21727</v>
      </c>
      <c r="C1039" s="170" t="s">
        <v>587</v>
      </c>
      <c r="D1039" s="170" t="s">
        <v>1947</v>
      </c>
      <c r="E1039" s="171" t="s">
        <v>21728</v>
      </c>
      <c r="F1039" s="171" t="s">
        <v>21728</v>
      </c>
      <c r="G1039" s="82"/>
      <c r="H1039" s="96">
        <f t="shared" si="64"/>
        <v>64.2</v>
      </c>
      <c r="I1039" s="96">
        <f t="shared" si="64"/>
        <v>64.2</v>
      </c>
      <c r="J1039" s="91" t="str">
        <f t="shared" si="65"/>
        <v>Sinapi 92104</v>
      </c>
      <c r="K1039" s="91" t="str">
        <f t="shared" si="66"/>
        <v>H</v>
      </c>
      <c r="L1039" s="166" t="str">
        <f t="shared" si="67"/>
        <v/>
      </c>
      <c r="M1039" s="82"/>
      <c r="N1039" s="82"/>
    </row>
    <row r="1040" spans="1:14" x14ac:dyDescent="0.25">
      <c r="A1040" s="170" t="s">
        <v>3640</v>
      </c>
      <c r="B1040" s="170" t="s">
        <v>21729</v>
      </c>
      <c r="C1040" s="170" t="s">
        <v>587</v>
      </c>
      <c r="D1040" s="170" t="s">
        <v>2710</v>
      </c>
      <c r="E1040" s="171" t="s">
        <v>29261</v>
      </c>
      <c r="F1040" s="171" t="s">
        <v>29261</v>
      </c>
      <c r="G1040" s="82"/>
      <c r="H1040" s="96">
        <f t="shared" si="64"/>
        <v>195.97</v>
      </c>
      <c r="I1040" s="96">
        <f t="shared" si="64"/>
        <v>195.97</v>
      </c>
      <c r="J1040" s="91" t="str">
        <f t="shared" si="65"/>
        <v>Sinapi 92105</v>
      </c>
      <c r="K1040" s="91" t="str">
        <f t="shared" si="66"/>
        <v>H</v>
      </c>
      <c r="L1040" s="166" t="str">
        <f t="shared" si="67"/>
        <v/>
      </c>
      <c r="M1040" s="82"/>
      <c r="N1040" s="82"/>
    </row>
    <row r="1041" spans="1:14" x14ac:dyDescent="0.25">
      <c r="A1041" s="170" t="s">
        <v>3641</v>
      </c>
      <c r="B1041" s="170" t="s">
        <v>21730</v>
      </c>
      <c r="C1041" s="170" t="s">
        <v>587</v>
      </c>
      <c r="D1041" s="170" t="s">
        <v>2067</v>
      </c>
      <c r="E1041" s="171" t="s">
        <v>2726</v>
      </c>
      <c r="F1041" s="171" t="s">
        <v>2726</v>
      </c>
      <c r="G1041" s="82"/>
      <c r="H1041" s="96">
        <f t="shared" si="64"/>
        <v>1.0900000000000001</v>
      </c>
      <c r="I1041" s="96">
        <f t="shared" si="64"/>
        <v>1.0900000000000001</v>
      </c>
      <c r="J1041" s="91" t="str">
        <f t="shared" si="65"/>
        <v>Sinapi 92108</v>
      </c>
      <c r="K1041" s="91" t="str">
        <f t="shared" si="66"/>
        <v>H</v>
      </c>
      <c r="L1041" s="166" t="str">
        <f t="shared" si="67"/>
        <v/>
      </c>
      <c r="M1041" s="82"/>
      <c r="N1041" s="82"/>
    </row>
    <row r="1042" spans="1:14" x14ac:dyDescent="0.25">
      <c r="A1042" s="170" t="s">
        <v>3642</v>
      </c>
      <c r="B1042" s="170" t="s">
        <v>21731</v>
      </c>
      <c r="C1042" s="170" t="s">
        <v>587</v>
      </c>
      <c r="D1042" s="170" t="s">
        <v>2067</v>
      </c>
      <c r="E1042" s="171" t="s">
        <v>3227</v>
      </c>
      <c r="F1042" s="171" t="s">
        <v>3227</v>
      </c>
      <c r="G1042" s="82"/>
      <c r="H1042" s="96">
        <f t="shared" si="64"/>
        <v>0.27</v>
      </c>
      <c r="I1042" s="96">
        <f t="shared" si="64"/>
        <v>0.27</v>
      </c>
      <c r="J1042" s="91" t="str">
        <f t="shared" si="65"/>
        <v>Sinapi 92109</v>
      </c>
      <c r="K1042" s="91" t="str">
        <f t="shared" si="66"/>
        <v>H</v>
      </c>
      <c r="L1042" s="166" t="str">
        <f t="shared" si="67"/>
        <v/>
      </c>
      <c r="M1042" s="82"/>
      <c r="N1042" s="82"/>
    </row>
    <row r="1043" spans="1:14" x14ac:dyDescent="0.25">
      <c r="A1043" s="170" t="s">
        <v>3643</v>
      </c>
      <c r="B1043" s="170" t="s">
        <v>21732</v>
      </c>
      <c r="C1043" s="170" t="s">
        <v>587</v>
      </c>
      <c r="D1043" s="170" t="s">
        <v>2067</v>
      </c>
      <c r="E1043" s="171" t="s">
        <v>17927</v>
      </c>
      <c r="F1043" s="171" t="s">
        <v>17927</v>
      </c>
      <c r="G1043" s="82"/>
      <c r="H1043" s="96">
        <f t="shared" si="64"/>
        <v>1.46</v>
      </c>
      <c r="I1043" s="96">
        <f t="shared" si="64"/>
        <v>1.46</v>
      </c>
      <c r="J1043" s="91" t="str">
        <f t="shared" si="65"/>
        <v>Sinapi 92110</v>
      </c>
      <c r="K1043" s="91" t="str">
        <f t="shared" si="66"/>
        <v>H</v>
      </c>
      <c r="L1043" s="166" t="str">
        <f t="shared" si="67"/>
        <v/>
      </c>
      <c r="M1043" s="82"/>
      <c r="N1043" s="82"/>
    </row>
    <row r="1044" spans="1:14" x14ac:dyDescent="0.25">
      <c r="A1044" s="170" t="s">
        <v>3644</v>
      </c>
      <c r="B1044" s="170" t="s">
        <v>21733</v>
      </c>
      <c r="C1044" s="170" t="s">
        <v>587</v>
      </c>
      <c r="D1044" s="170" t="s">
        <v>2067</v>
      </c>
      <c r="E1044" s="171" t="s">
        <v>3966</v>
      </c>
      <c r="F1044" s="171" t="s">
        <v>3966</v>
      </c>
      <c r="G1044" s="82"/>
      <c r="H1044" s="96">
        <f t="shared" si="64"/>
        <v>1.3</v>
      </c>
      <c r="I1044" s="96">
        <f t="shared" si="64"/>
        <v>1.3</v>
      </c>
      <c r="J1044" s="91" t="str">
        <f t="shared" si="65"/>
        <v>Sinapi 92111</v>
      </c>
      <c r="K1044" s="91" t="str">
        <f t="shared" si="66"/>
        <v>H</v>
      </c>
      <c r="L1044" s="166" t="str">
        <f t="shared" si="67"/>
        <v/>
      </c>
      <c r="M1044" s="82"/>
      <c r="N1044" s="82"/>
    </row>
    <row r="1045" spans="1:14" x14ac:dyDescent="0.25">
      <c r="A1045" s="170" t="s">
        <v>3645</v>
      </c>
      <c r="B1045" s="170" t="s">
        <v>21734</v>
      </c>
      <c r="C1045" s="170" t="s">
        <v>587</v>
      </c>
      <c r="D1045" s="170" t="s">
        <v>2067</v>
      </c>
      <c r="E1045" s="171" t="s">
        <v>3711</v>
      </c>
      <c r="F1045" s="171" t="s">
        <v>3711</v>
      </c>
      <c r="G1045" s="82"/>
      <c r="H1045" s="96">
        <f t="shared" si="64"/>
        <v>0.28000000000000003</v>
      </c>
      <c r="I1045" s="96">
        <f t="shared" si="64"/>
        <v>0.28000000000000003</v>
      </c>
      <c r="J1045" s="91" t="str">
        <f t="shared" si="65"/>
        <v>Sinapi 92114</v>
      </c>
      <c r="K1045" s="91" t="str">
        <f t="shared" si="66"/>
        <v>H</v>
      </c>
      <c r="L1045" s="166" t="str">
        <f t="shared" si="67"/>
        <v/>
      </c>
      <c r="M1045" s="82"/>
      <c r="N1045" s="82"/>
    </row>
    <row r="1046" spans="1:14" x14ac:dyDescent="0.25">
      <c r="A1046" s="170" t="s">
        <v>3646</v>
      </c>
      <c r="B1046" s="170" t="s">
        <v>21735</v>
      </c>
      <c r="C1046" s="170" t="s">
        <v>587</v>
      </c>
      <c r="D1046" s="170" t="s">
        <v>2067</v>
      </c>
      <c r="E1046" s="171" t="s">
        <v>2575</v>
      </c>
      <c r="F1046" s="171" t="s">
        <v>2575</v>
      </c>
      <c r="G1046" s="82"/>
      <c r="H1046" s="96">
        <f t="shared" si="64"/>
        <v>0.06</v>
      </c>
      <c r="I1046" s="96">
        <f t="shared" si="64"/>
        <v>0.06</v>
      </c>
      <c r="J1046" s="91" t="str">
        <f t="shared" si="65"/>
        <v>Sinapi 92115</v>
      </c>
      <c r="K1046" s="91" t="str">
        <f t="shared" si="66"/>
        <v>H</v>
      </c>
      <c r="L1046" s="166" t="str">
        <f t="shared" si="67"/>
        <v/>
      </c>
      <c r="M1046" s="82"/>
      <c r="N1046" s="82"/>
    </row>
    <row r="1047" spans="1:14" x14ac:dyDescent="0.25">
      <c r="A1047" s="170" t="s">
        <v>3647</v>
      </c>
      <c r="B1047" s="170" t="s">
        <v>21736</v>
      </c>
      <c r="C1047" s="170" t="s">
        <v>587</v>
      </c>
      <c r="D1047" s="170" t="s">
        <v>2067</v>
      </c>
      <c r="E1047" s="171" t="s">
        <v>9963</v>
      </c>
      <c r="F1047" s="171" t="s">
        <v>9963</v>
      </c>
      <c r="G1047" s="82"/>
      <c r="H1047" s="96">
        <f t="shared" si="64"/>
        <v>0.2</v>
      </c>
      <c r="I1047" s="96">
        <f t="shared" si="64"/>
        <v>0.2</v>
      </c>
      <c r="J1047" s="91" t="str">
        <f t="shared" si="65"/>
        <v>Sinapi 92116</v>
      </c>
      <c r="K1047" s="91" t="str">
        <f t="shared" si="66"/>
        <v>H</v>
      </c>
      <c r="L1047" s="166" t="str">
        <f t="shared" si="67"/>
        <v/>
      </c>
      <c r="M1047" s="82"/>
      <c r="N1047" s="82"/>
    </row>
    <row r="1048" spans="1:14" x14ac:dyDescent="0.25">
      <c r="A1048" s="170" t="s">
        <v>3649</v>
      </c>
      <c r="B1048" s="170" t="s">
        <v>3650</v>
      </c>
      <c r="C1048" s="170" t="s">
        <v>587</v>
      </c>
      <c r="D1048" s="170" t="s">
        <v>2710</v>
      </c>
      <c r="E1048" s="171" t="s">
        <v>21494</v>
      </c>
      <c r="F1048" s="171" t="s">
        <v>21494</v>
      </c>
      <c r="G1048" s="82"/>
      <c r="H1048" s="96">
        <f t="shared" si="64"/>
        <v>13.21</v>
      </c>
      <c r="I1048" s="96">
        <f t="shared" si="64"/>
        <v>13.21</v>
      </c>
      <c r="J1048" s="91" t="str">
        <f t="shared" si="65"/>
        <v>Sinapi 92133</v>
      </c>
      <c r="K1048" s="91" t="str">
        <f t="shared" si="66"/>
        <v>H</v>
      </c>
      <c r="L1048" s="166" t="str">
        <f t="shared" si="67"/>
        <v/>
      </c>
      <c r="M1048" s="82"/>
      <c r="N1048" s="82"/>
    </row>
    <row r="1049" spans="1:14" x14ac:dyDescent="0.25">
      <c r="A1049" s="170" t="s">
        <v>3651</v>
      </c>
      <c r="B1049" s="170" t="s">
        <v>3652</v>
      </c>
      <c r="C1049" s="170" t="s">
        <v>587</v>
      </c>
      <c r="D1049" s="170" t="s">
        <v>2710</v>
      </c>
      <c r="E1049" s="171" t="s">
        <v>29824</v>
      </c>
      <c r="F1049" s="171" t="s">
        <v>29824</v>
      </c>
      <c r="G1049" s="82"/>
      <c r="H1049" s="96">
        <f t="shared" si="64"/>
        <v>4.07</v>
      </c>
      <c r="I1049" s="96">
        <f t="shared" si="64"/>
        <v>4.07</v>
      </c>
      <c r="J1049" s="91" t="str">
        <f t="shared" si="65"/>
        <v>Sinapi 92134</v>
      </c>
      <c r="K1049" s="91" t="str">
        <f t="shared" si="66"/>
        <v>H</v>
      </c>
      <c r="L1049" s="166" t="str">
        <f t="shared" si="67"/>
        <v/>
      </c>
      <c r="M1049" s="82"/>
      <c r="N1049" s="82"/>
    </row>
    <row r="1050" spans="1:14" x14ac:dyDescent="0.25">
      <c r="A1050" s="170" t="s">
        <v>3653</v>
      </c>
      <c r="B1050" s="170" t="s">
        <v>3654</v>
      </c>
      <c r="C1050" s="170" t="s">
        <v>587</v>
      </c>
      <c r="D1050" s="170" t="s">
        <v>2710</v>
      </c>
      <c r="E1050" s="171" t="s">
        <v>11134</v>
      </c>
      <c r="F1050" s="171" t="s">
        <v>11134</v>
      </c>
      <c r="G1050" s="82"/>
      <c r="H1050" s="96">
        <f t="shared" si="64"/>
        <v>1.65</v>
      </c>
      <c r="I1050" s="96">
        <f t="shared" si="64"/>
        <v>1.65</v>
      </c>
      <c r="J1050" s="91" t="str">
        <f t="shared" si="65"/>
        <v>Sinapi 92135</v>
      </c>
      <c r="K1050" s="91" t="str">
        <f t="shared" si="66"/>
        <v>H</v>
      </c>
      <c r="L1050" s="166" t="str">
        <f t="shared" si="67"/>
        <v/>
      </c>
      <c r="M1050" s="82"/>
      <c r="N1050" s="82"/>
    </row>
    <row r="1051" spans="1:14" x14ac:dyDescent="0.25">
      <c r="A1051" s="170" t="s">
        <v>3656</v>
      </c>
      <c r="B1051" s="170" t="s">
        <v>3657</v>
      </c>
      <c r="C1051" s="170" t="s">
        <v>587</v>
      </c>
      <c r="D1051" s="170" t="s">
        <v>2710</v>
      </c>
      <c r="E1051" s="171" t="s">
        <v>24689</v>
      </c>
      <c r="F1051" s="171" t="s">
        <v>24689</v>
      </c>
      <c r="G1051" s="82"/>
      <c r="H1051" s="96">
        <f t="shared" si="64"/>
        <v>16.510000000000002</v>
      </c>
      <c r="I1051" s="96">
        <f t="shared" si="64"/>
        <v>16.510000000000002</v>
      </c>
      <c r="J1051" s="91" t="str">
        <f t="shared" si="65"/>
        <v>Sinapi 92136</v>
      </c>
      <c r="K1051" s="91" t="str">
        <f t="shared" si="66"/>
        <v>H</v>
      </c>
      <c r="L1051" s="166" t="str">
        <f t="shared" si="67"/>
        <v/>
      </c>
      <c r="M1051" s="82"/>
      <c r="N1051" s="82"/>
    </row>
    <row r="1052" spans="1:14" x14ac:dyDescent="0.25">
      <c r="A1052" s="170" t="s">
        <v>3658</v>
      </c>
      <c r="B1052" s="170" t="s">
        <v>3659</v>
      </c>
      <c r="C1052" s="170" t="s">
        <v>587</v>
      </c>
      <c r="D1052" s="170" t="s">
        <v>2710</v>
      </c>
      <c r="E1052" s="171" t="s">
        <v>32043</v>
      </c>
      <c r="F1052" s="171" t="s">
        <v>32043</v>
      </c>
      <c r="G1052" s="82"/>
      <c r="H1052" s="96">
        <f t="shared" si="64"/>
        <v>39.159999999999997</v>
      </c>
      <c r="I1052" s="96">
        <f t="shared" si="64"/>
        <v>39.159999999999997</v>
      </c>
      <c r="J1052" s="91" t="str">
        <f t="shared" si="65"/>
        <v>Sinapi 92137</v>
      </c>
      <c r="K1052" s="91" t="str">
        <f t="shared" si="66"/>
        <v>H</v>
      </c>
      <c r="L1052" s="166" t="str">
        <f t="shared" si="67"/>
        <v/>
      </c>
      <c r="M1052" s="82"/>
      <c r="N1052" s="82"/>
    </row>
    <row r="1053" spans="1:14" x14ac:dyDescent="0.25">
      <c r="A1053" s="170" t="s">
        <v>3660</v>
      </c>
      <c r="B1053" s="170" t="s">
        <v>3661</v>
      </c>
      <c r="C1053" s="170" t="s">
        <v>587</v>
      </c>
      <c r="D1053" s="170" t="s">
        <v>2067</v>
      </c>
      <c r="E1053" s="171" t="s">
        <v>18703</v>
      </c>
      <c r="F1053" s="171" t="s">
        <v>18703</v>
      </c>
      <c r="G1053" s="82"/>
      <c r="H1053" s="96">
        <f t="shared" si="64"/>
        <v>4.84</v>
      </c>
      <c r="I1053" s="96">
        <f t="shared" si="64"/>
        <v>4.84</v>
      </c>
      <c r="J1053" s="91" t="str">
        <f t="shared" si="65"/>
        <v>Sinapi 92140</v>
      </c>
      <c r="K1053" s="91" t="str">
        <f t="shared" si="66"/>
        <v>H</v>
      </c>
      <c r="L1053" s="166" t="str">
        <f t="shared" si="67"/>
        <v/>
      </c>
      <c r="M1053" s="82"/>
      <c r="N1053" s="82"/>
    </row>
    <row r="1054" spans="1:14" x14ac:dyDescent="0.25">
      <c r="A1054" s="170" t="s">
        <v>3662</v>
      </c>
      <c r="B1054" s="170" t="s">
        <v>3663</v>
      </c>
      <c r="C1054" s="170" t="s">
        <v>587</v>
      </c>
      <c r="D1054" s="170" t="s">
        <v>2067</v>
      </c>
      <c r="E1054" s="171" t="s">
        <v>29678</v>
      </c>
      <c r="F1054" s="171" t="s">
        <v>29678</v>
      </c>
      <c r="G1054" s="82"/>
      <c r="H1054" s="96">
        <f t="shared" si="64"/>
        <v>1.49</v>
      </c>
      <c r="I1054" s="96">
        <f t="shared" si="64"/>
        <v>1.49</v>
      </c>
      <c r="J1054" s="91" t="str">
        <f t="shared" si="65"/>
        <v>Sinapi 92141</v>
      </c>
      <c r="K1054" s="91" t="str">
        <f t="shared" si="66"/>
        <v>H</v>
      </c>
      <c r="L1054" s="166" t="str">
        <f t="shared" si="67"/>
        <v/>
      </c>
      <c r="M1054" s="82"/>
      <c r="N1054" s="82"/>
    </row>
    <row r="1055" spans="1:14" x14ac:dyDescent="0.25">
      <c r="A1055" s="170" t="s">
        <v>3664</v>
      </c>
      <c r="B1055" s="170" t="s">
        <v>3665</v>
      </c>
      <c r="C1055" s="170" t="s">
        <v>587</v>
      </c>
      <c r="D1055" s="170" t="s">
        <v>2067</v>
      </c>
      <c r="E1055" s="171" t="s">
        <v>15760</v>
      </c>
      <c r="F1055" s="171" t="s">
        <v>15760</v>
      </c>
      <c r="G1055" s="82"/>
      <c r="H1055" s="96">
        <f t="shared" si="64"/>
        <v>0.6</v>
      </c>
      <c r="I1055" s="96">
        <f t="shared" si="64"/>
        <v>0.6</v>
      </c>
      <c r="J1055" s="91" t="str">
        <f t="shared" si="65"/>
        <v>Sinapi 92142</v>
      </c>
      <c r="K1055" s="91" t="str">
        <f t="shared" si="66"/>
        <v>H</v>
      </c>
      <c r="L1055" s="166" t="str">
        <f t="shared" si="67"/>
        <v/>
      </c>
      <c r="M1055" s="82"/>
      <c r="N1055" s="82"/>
    </row>
    <row r="1056" spans="1:14" x14ac:dyDescent="0.25">
      <c r="A1056" s="170" t="s">
        <v>3666</v>
      </c>
      <c r="B1056" s="170" t="s">
        <v>3667</v>
      </c>
      <c r="C1056" s="170" t="s">
        <v>587</v>
      </c>
      <c r="D1056" s="170" t="s">
        <v>2067</v>
      </c>
      <c r="E1056" s="171" t="s">
        <v>17705</v>
      </c>
      <c r="F1056" s="171" t="s">
        <v>17705</v>
      </c>
      <c r="G1056" s="82"/>
      <c r="H1056" s="96">
        <f t="shared" si="64"/>
        <v>6.05</v>
      </c>
      <c r="I1056" s="96">
        <f t="shared" si="64"/>
        <v>6.05</v>
      </c>
      <c r="J1056" s="91" t="str">
        <f t="shared" si="65"/>
        <v>Sinapi 92143</v>
      </c>
      <c r="K1056" s="91" t="str">
        <f t="shared" si="66"/>
        <v>H</v>
      </c>
      <c r="L1056" s="166" t="str">
        <f t="shared" si="67"/>
        <v/>
      </c>
      <c r="M1056" s="82"/>
      <c r="N1056" s="82"/>
    </row>
    <row r="1057" spans="1:14" x14ac:dyDescent="0.25">
      <c r="A1057" s="170" t="s">
        <v>3668</v>
      </c>
      <c r="B1057" s="170" t="s">
        <v>3669</v>
      </c>
      <c r="C1057" s="170" t="s">
        <v>587</v>
      </c>
      <c r="D1057" s="170" t="s">
        <v>2710</v>
      </c>
      <c r="E1057" s="171" t="s">
        <v>32044</v>
      </c>
      <c r="F1057" s="171" t="s">
        <v>32044</v>
      </c>
      <c r="G1057" s="82"/>
      <c r="H1057" s="96">
        <f t="shared" si="64"/>
        <v>44.35</v>
      </c>
      <c r="I1057" s="96">
        <f t="shared" si="64"/>
        <v>44.35</v>
      </c>
      <c r="J1057" s="91" t="str">
        <f t="shared" si="65"/>
        <v>Sinapi 92144</v>
      </c>
      <c r="K1057" s="91" t="str">
        <f t="shared" si="66"/>
        <v>H</v>
      </c>
      <c r="L1057" s="166" t="str">
        <f t="shared" si="67"/>
        <v/>
      </c>
      <c r="M1057" s="82"/>
      <c r="N1057" s="82"/>
    </row>
    <row r="1058" spans="1:14" x14ac:dyDescent="0.25">
      <c r="A1058" s="170" t="s">
        <v>3670</v>
      </c>
      <c r="B1058" s="170" t="s">
        <v>3671</v>
      </c>
      <c r="C1058" s="170" t="s">
        <v>587</v>
      </c>
      <c r="D1058" s="170" t="s">
        <v>1947</v>
      </c>
      <c r="E1058" s="171" t="s">
        <v>22737</v>
      </c>
      <c r="F1058" s="171" t="s">
        <v>22737</v>
      </c>
      <c r="G1058" s="82"/>
      <c r="H1058" s="96">
        <f t="shared" si="64"/>
        <v>29.55</v>
      </c>
      <c r="I1058" s="96">
        <f t="shared" si="64"/>
        <v>29.55</v>
      </c>
      <c r="J1058" s="91" t="str">
        <f t="shared" si="65"/>
        <v>Sinapi 92237</v>
      </c>
      <c r="K1058" s="91" t="str">
        <f t="shared" si="66"/>
        <v>H</v>
      </c>
      <c r="L1058" s="166" t="str">
        <f t="shared" si="67"/>
        <v/>
      </c>
      <c r="M1058" s="82"/>
      <c r="N1058" s="82"/>
    </row>
    <row r="1059" spans="1:14" x14ac:dyDescent="0.25">
      <c r="A1059" s="170" t="s">
        <v>3673</v>
      </c>
      <c r="B1059" s="170" t="s">
        <v>3674</v>
      </c>
      <c r="C1059" s="170" t="s">
        <v>587</v>
      </c>
      <c r="D1059" s="170" t="s">
        <v>1947</v>
      </c>
      <c r="E1059" s="171" t="s">
        <v>18617</v>
      </c>
      <c r="F1059" s="171" t="s">
        <v>18617</v>
      </c>
      <c r="G1059" s="82"/>
      <c r="H1059" s="96">
        <f t="shared" si="64"/>
        <v>11.9</v>
      </c>
      <c r="I1059" s="96">
        <f t="shared" si="64"/>
        <v>11.9</v>
      </c>
      <c r="J1059" s="91" t="str">
        <f t="shared" si="65"/>
        <v>Sinapi 92238</v>
      </c>
      <c r="K1059" s="91" t="str">
        <f t="shared" si="66"/>
        <v>H</v>
      </c>
      <c r="L1059" s="166" t="str">
        <f t="shared" si="67"/>
        <v/>
      </c>
      <c r="M1059" s="82"/>
      <c r="N1059" s="82"/>
    </row>
    <row r="1060" spans="1:14" x14ac:dyDescent="0.25">
      <c r="A1060" s="170" t="s">
        <v>3675</v>
      </c>
      <c r="B1060" s="170" t="s">
        <v>3676</v>
      </c>
      <c r="C1060" s="170" t="s">
        <v>587</v>
      </c>
      <c r="D1060" s="170" t="s">
        <v>1947</v>
      </c>
      <c r="E1060" s="171" t="s">
        <v>13396</v>
      </c>
      <c r="F1060" s="171" t="s">
        <v>13396</v>
      </c>
      <c r="G1060" s="82"/>
      <c r="H1060" s="96">
        <f t="shared" si="64"/>
        <v>4.8099999999999996</v>
      </c>
      <c r="I1060" s="96">
        <f t="shared" si="64"/>
        <v>4.8099999999999996</v>
      </c>
      <c r="J1060" s="91" t="str">
        <f t="shared" si="65"/>
        <v>Sinapi 92239</v>
      </c>
      <c r="K1060" s="91" t="str">
        <f t="shared" si="66"/>
        <v>H</v>
      </c>
      <c r="L1060" s="166" t="str">
        <f t="shared" si="67"/>
        <v/>
      </c>
      <c r="M1060" s="82"/>
      <c r="N1060" s="82"/>
    </row>
    <row r="1061" spans="1:14" x14ac:dyDescent="0.25">
      <c r="A1061" s="170" t="s">
        <v>3677</v>
      </c>
      <c r="B1061" s="170" t="s">
        <v>3678</v>
      </c>
      <c r="C1061" s="170" t="s">
        <v>587</v>
      </c>
      <c r="D1061" s="170" t="s">
        <v>1947</v>
      </c>
      <c r="E1061" s="171" t="s">
        <v>23194</v>
      </c>
      <c r="F1061" s="171" t="s">
        <v>23194</v>
      </c>
      <c r="G1061" s="82"/>
      <c r="H1061" s="96">
        <f t="shared" si="64"/>
        <v>53.09</v>
      </c>
      <c r="I1061" s="96">
        <f t="shared" si="64"/>
        <v>53.09</v>
      </c>
      <c r="J1061" s="91" t="str">
        <f t="shared" si="65"/>
        <v>Sinapi 92240</v>
      </c>
      <c r="K1061" s="91" t="str">
        <f t="shared" si="66"/>
        <v>H</v>
      </c>
      <c r="L1061" s="166" t="str">
        <f t="shared" si="67"/>
        <v/>
      </c>
      <c r="M1061" s="82"/>
      <c r="N1061" s="82"/>
    </row>
    <row r="1062" spans="1:14" x14ac:dyDescent="0.25">
      <c r="A1062" s="170" t="s">
        <v>3679</v>
      </c>
      <c r="B1062" s="170" t="s">
        <v>3680</v>
      </c>
      <c r="C1062" s="170" t="s">
        <v>587</v>
      </c>
      <c r="D1062" s="170" t="s">
        <v>2710</v>
      </c>
      <c r="E1062" s="171" t="s">
        <v>32045</v>
      </c>
      <c r="F1062" s="171" t="s">
        <v>32045</v>
      </c>
      <c r="G1062" s="82"/>
      <c r="H1062" s="96">
        <f t="shared" si="64"/>
        <v>306.89</v>
      </c>
      <c r="I1062" s="96">
        <f t="shared" si="64"/>
        <v>306.89</v>
      </c>
      <c r="J1062" s="91" t="str">
        <f t="shared" si="65"/>
        <v>Sinapi 92241</v>
      </c>
      <c r="K1062" s="91" t="str">
        <f t="shared" si="66"/>
        <v>H</v>
      </c>
      <c r="L1062" s="166" t="str">
        <f t="shared" si="67"/>
        <v/>
      </c>
      <c r="M1062" s="82"/>
      <c r="N1062" s="82"/>
    </row>
    <row r="1063" spans="1:14" x14ac:dyDescent="0.25">
      <c r="A1063" s="170" t="s">
        <v>3681</v>
      </c>
      <c r="B1063" s="170" t="s">
        <v>21738</v>
      </c>
      <c r="C1063" s="170" t="s">
        <v>587</v>
      </c>
      <c r="D1063" s="170" t="s">
        <v>1947</v>
      </c>
      <c r="E1063" s="171" t="s">
        <v>3184</v>
      </c>
      <c r="F1063" s="171" t="s">
        <v>3184</v>
      </c>
      <c r="G1063" s="82"/>
      <c r="H1063" s="96">
        <f t="shared" si="64"/>
        <v>0.14000000000000001</v>
      </c>
      <c r="I1063" s="96">
        <f t="shared" si="64"/>
        <v>0.14000000000000001</v>
      </c>
      <c r="J1063" s="91" t="str">
        <f t="shared" si="65"/>
        <v>Sinapi 92712</v>
      </c>
      <c r="K1063" s="91" t="str">
        <f t="shared" si="66"/>
        <v>H</v>
      </c>
      <c r="L1063" s="166" t="str">
        <f t="shared" si="67"/>
        <v/>
      </c>
      <c r="M1063" s="82"/>
      <c r="N1063" s="82"/>
    </row>
    <row r="1064" spans="1:14" x14ac:dyDescent="0.25">
      <c r="A1064" s="170" t="s">
        <v>3682</v>
      </c>
      <c r="B1064" s="170" t="s">
        <v>21739</v>
      </c>
      <c r="C1064" s="170" t="s">
        <v>587</v>
      </c>
      <c r="D1064" s="170" t="s">
        <v>1947</v>
      </c>
      <c r="E1064" s="171" t="s">
        <v>3112</v>
      </c>
      <c r="F1064" s="171" t="s">
        <v>3112</v>
      </c>
      <c r="G1064" s="82"/>
      <c r="H1064" s="96">
        <f t="shared" si="64"/>
        <v>0.03</v>
      </c>
      <c r="I1064" s="96">
        <f t="shared" si="64"/>
        <v>0.03</v>
      </c>
      <c r="J1064" s="91" t="str">
        <f t="shared" si="65"/>
        <v>Sinapi 92713</v>
      </c>
      <c r="K1064" s="91" t="str">
        <f t="shared" si="66"/>
        <v>H</v>
      </c>
      <c r="L1064" s="166" t="str">
        <f t="shared" si="67"/>
        <v/>
      </c>
      <c r="M1064" s="82"/>
      <c r="N1064" s="82"/>
    </row>
    <row r="1065" spans="1:14" x14ac:dyDescent="0.25">
      <c r="A1065" s="170" t="s">
        <v>3683</v>
      </c>
      <c r="B1065" s="170" t="s">
        <v>21740</v>
      </c>
      <c r="C1065" s="170" t="s">
        <v>587</v>
      </c>
      <c r="D1065" s="170" t="s">
        <v>1947</v>
      </c>
      <c r="E1065" s="171" t="s">
        <v>2537</v>
      </c>
      <c r="F1065" s="171" t="s">
        <v>2537</v>
      </c>
      <c r="G1065" s="82"/>
      <c r="H1065" s="96">
        <f t="shared" si="64"/>
        <v>0.18</v>
      </c>
      <c r="I1065" s="96">
        <f t="shared" si="64"/>
        <v>0.18</v>
      </c>
      <c r="J1065" s="91" t="str">
        <f t="shared" si="65"/>
        <v>Sinapi 92714</v>
      </c>
      <c r="K1065" s="91" t="str">
        <f t="shared" si="66"/>
        <v>H</v>
      </c>
      <c r="L1065" s="166" t="str">
        <f t="shared" si="67"/>
        <v/>
      </c>
      <c r="M1065" s="82"/>
      <c r="N1065" s="82"/>
    </row>
    <row r="1066" spans="1:14" x14ac:dyDescent="0.25">
      <c r="A1066" s="170" t="s">
        <v>3684</v>
      </c>
      <c r="B1066" s="170" t="s">
        <v>21741</v>
      </c>
      <c r="C1066" s="170" t="s">
        <v>587</v>
      </c>
      <c r="D1066" s="170" t="s">
        <v>1947</v>
      </c>
      <c r="E1066" s="171" t="s">
        <v>21742</v>
      </c>
      <c r="F1066" s="171" t="s">
        <v>21742</v>
      </c>
      <c r="G1066" s="82"/>
      <c r="H1066" s="96">
        <f t="shared" si="64"/>
        <v>81.88</v>
      </c>
      <c r="I1066" s="96">
        <f t="shared" si="64"/>
        <v>81.88</v>
      </c>
      <c r="J1066" s="91" t="str">
        <f t="shared" si="65"/>
        <v>Sinapi 92715</v>
      </c>
      <c r="K1066" s="91" t="str">
        <f t="shared" si="66"/>
        <v>H</v>
      </c>
      <c r="L1066" s="166" t="str">
        <f t="shared" si="67"/>
        <v/>
      </c>
      <c r="M1066" s="82"/>
      <c r="N1066" s="82"/>
    </row>
    <row r="1067" spans="1:14" x14ac:dyDescent="0.25">
      <c r="A1067" s="170" t="s">
        <v>3685</v>
      </c>
      <c r="B1067" s="170" t="s">
        <v>3686</v>
      </c>
      <c r="C1067" s="170" t="s">
        <v>587</v>
      </c>
      <c r="D1067" s="170" t="s">
        <v>1947</v>
      </c>
      <c r="E1067" s="171" t="s">
        <v>12103</v>
      </c>
      <c r="F1067" s="171" t="s">
        <v>12103</v>
      </c>
      <c r="G1067" s="82"/>
      <c r="H1067" s="96">
        <f t="shared" si="64"/>
        <v>4.37</v>
      </c>
      <c r="I1067" s="96">
        <f t="shared" si="64"/>
        <v>4.37</v>
      </c>
      <c r="J1067" s="91" t="str">
        <f t="shared" si="65"/>
        <v>Sinapi 92956</v>
      </c>
      <c r="K1067" s="91" t="str">
        <f t="shared" si="66"/>
        <v>H</v>
      </c>
      <c r="L1067" s="166" t="str">
        <f t="shared" si="67"/>
        <v/>
      </c>
      <c r="M1067" s="82"/>
      <c r="N1067" s="82"/>
    </row>
    <row r="1068" spans="1:14" x14ac:dyDescent="0.25">
      <c r="A1068" s="170" t="s">
        <v>3687</v>
      </c>
      <c r="B1068" s="170" t="s">
        <v>3688</v>
      </c>
      <c r="C1068" s="170" t="s">
        <v>587</v>
      </c>
      <c r="D1068" s="170" t="s">
        <v>1947</v>
      </c>
      <c r="E1068" s="171" t="s">
        <v>17294</v>
      </c>
      <c r="F1068" s="171" t="s">
        <v>17294</v>
      </c>
      <c r="G1068" s="82"/>
      <c r="H1068" s="96">
        <f t="shared" si="64"/>
        <v>1.01</v>
      </c>
      <c r="I1068" s="96">
        <f t="shared" si="64"/>
        <v>1.01</v>
      </c>
      <c r="J1068" s="91" t="str">
        <f t="shared" si="65"/>
        <v>Sinapi 92957</v>
      </c>
      <c r="K1068" s="91" t="str">
        <f t="shared" si="66"/>
        <v>H</v>
      </c>
      <c r="L1068" s="166" t="str">
        <f t="shared" si="67"/>
        <v/>
      </c>
      <c r="M1068" s="82"/>
      <c r="N1068" s="82"/>
    </row>
    <row r="1069" spans="1:14" x14ac:dyDescent="0.25">
      <c r="A1069" s="170" t="s">
        <v>3690</v>
      </c>
      <c r="B1069" s="170" t="s">
        <v>3691</v>
      </c>
      <c r="C1069" s="170" t="s">
        <v>587</v>
      </c>
      <c r="D1069" s="170" t="s">
        <v>1947</v>
      </c>
      <c r="E1069" s="171" t="s">
        <v>15767</v>
      </c>
      <c r="F1069" s="171" t="s">
        <v>15767</v>
      </c>
      <c r="G1069" s="82"/>
      <c r="H1069" s="96">
        <f t="shared" si="64"/>
        <v>4.79</v>
      </c>
      <c r="I1069" s="96">
        <f t="shared" si="64"/>
        <v>4.79</v>
      </c>
      <c r="J1069" s="91" t="str">
        <f t="shared" si="65"/>
        <v>Sinapi 92958</v>
      </c>
      <c r="K1069" s="91" t="str">
        <f t="shared" si="66"/>
        <v>H</v>
      </c>
      <c r="L1069" s="166" t="str">
        <f t="shared" si="67"/>
        <v/>
      </c>
      <c r="M1069" s="82"/>
      <c r="N1069" s="82"/>
    </row>
    <row r="1070" spans="1:14" x14ac:dyDescent="0.25">
      <c r="A1070" s="170" t="s">
        <v>3692</v>
      </c>
      <c r="B1070" s="170" t="s">
        <v>3693</v>
      </c>
      <c r="C1070" s="170" t="s">
        <v>587</v>
      </c>
      <c r="D1070" s="170" t="s">
        <v>2710</v>
      </c>
      <c r="E1070" s="171" t="s">
        <v>15560</v>
      </c>
      <c r="F1070" s="171" t="s">
        <v>15560</v>
      </c>
      <c r="G1070" s="82"/>
      <c r="H1070" s="96">
        <f t="shared" si="64"/>
        <v>10.3</v>
      </c>
      <c r="I1070" s="96">
        <f t="shared" si="64"/>
        <v>10.3</v>
      </c>
      <c r="J1070" s="91" t="str">
        <f t="shared" si="65"/>
        <v>Sinapi 92959</v>
      </c>
      <c r="K1070" s="91" t="str">
        <f t="shared" si="66"/>
        <v>H</v>
      </c>
      <c r="L1070" s="166" t="str">
        <f t="shared" si="67"/>
        <v/>
      </c>
      <c r="M1070" s="82"/>
      <c r="N1070" s="82"/>
    </row>
    <row r="1071" spans="1:14" x14ac:dyDescent="0.25">
      <c r="A1071" s="170" t="s">
        <v>3694</v>
      </c>
      <c r="B1071" s="170" t="s">
        <v>3695</v>
      </c>
      <c r="C1071" s="170" t="s">
        <v>587</v>
      </c>
      <c r="D1071" s="170" t="s">
        <v>1947</v>
      </c>
      <c r="E1071" s="171" t="s">
        <v>15649</v>
      </c>
      <c r="F1071" s="171" t="s">
        <v>15649</v>
      </c>
      <c r="G1071" s="82"/>
      <c r="H1071" s="96">
        <f t="shared" si="64"/>
        <v>1.4</v>
      </c>
      <c r="I1071" s="96">
        <f t="shared" si="64"/>
        <v>1.4</v>
      </c>
      <c r="J1071" s="91" t="str">
        <f t="shared" si="65"/>
        <v>Sinapi 92963</v>
      </c>
      <c r="K1071" s="91" t="str">
        <f t="shared" si="66"/>
        <v>H</v>
      </c>
      <c r="L1071" s="166" t="str">
        <f t="shared" si="67"/>
        <v/>
      </c>
      <c r="M1071" s="82"/>
      <c r="N1071" s="82"/>
    </row>
    <row r="1072" spans="1:14" x14ac:dyDescent="0.25">
      <c r="A1072" s="170" t="s">
        <v>3696</v>
      </c>
      <c r="B1072" s="170" t="s">
        <v>3697</v>
      </c>
      <c r="C1072" s="170" t="s">
        <v>587</v>
      </c>
      <c r="D1072" s="170" t="s">
        <v>1947</v>
      </c>
      <c r="E1072" s="171" t="s">
        <v>2744</v>
      </c>
      <c r="F1072" s="171" t="s">
        <v>2744</v>
      </c>
      <c r="G1072" s="82"/>
      <c r="H1072" s="96">
        <f t="shared" si="64"/>
        <v>0.32</v>
      </c>
      <c r="I1072" s="96">
        <f t="shared" si="64"/>
        <v>0.32</v>
      </c>
      <c r="J1072" s="91" t="str">
        <f t="shared" si="65"/>
        <v>Sinapi 92964</v>
      </c>
      <c r="K1072" s="91" t="str">
        <f t="shared" si="66"/>
        <v>H</v>
      </c>
      <c r="L1072" s="166" t="str">
        <f t="shared" si="67"/>
        <v/>
      </c>
      <c r="M1072" s="82"/>
      <c r="N1072" s="82"/>
    </row>
    <row r="1073" spans="1:14" x14ac:dyDescent="0.25">
      <c r="A1073" s="170" t="s">
        <v>3698</v>
      </c>
      <c r="B1073" s="170" t="s">
        <v>3699</v>
      </c>
      <c r="C1073" s="170" t="s">
        <v>587</v>
      </c>
      <c r="D1073" s="170" t="s">
        <v>1947</v>
      </c>
      <c r="E1073" s="171" t="s">
        <v>28552</v>
      </c>
      <c r="F1073" s="171" t="s">
        <v>28552</v>
      </c>
      <c r="G1073" s="82"/>
      <c r="H1073" s="96">
        <f t="shared" si="64"/>
        <v>1.75</v>
      </c>
      <c r="I1073" s="96">
        <f t="shared" si="64"/>
        <v>1.75</v>
      </c>
      <c r="J1073" s="91" t="str">
        <f t="shared" si="65"/>
        <v>Sinapi 92965</v>
      </c>
      <c r="K1073" s="91" t="str">
        <f t="shared" si="66"/>
        <v>H</v>
      </c>
      <c r="L1073" s="166" t="str">
        <f t="shared" si="67"/>
        <v/>
      </c>
      <c r="M1073" s="82"/>
      <c r="N1073" s="82"/>
    </row>
    <row r="1074" spans="1:14" x14ac:dyDescent="0.25">
      <c r="A1074" s="170" t="s">
        <v>3700</v>
      </c>
      <c r="B1074" s="170" t="s">
        <v>3701</v>
      </c>
      <c r="C1074" s="170" t="s">
        <v>587</v>
      </c>
      <c r="D1074" s="170" t="s">
        <v>1947</v>
      </c>
      <c r="E1074" s="171" t="s">
        <v>32046</v>
      </c>
      <c r="F1074" s="171" t="s">
        <v>32046</v>
      </c>
      <c r="G1074" s="82"/>
      <c r="H1074" s="96">
        <f t="shared" si="64"/>
        <v>329.32</v>
      </c>
      <c r="I1074" s="96">
        <f t="shared" si="64"/>
        <v>329.32</v>
      </c>
      <c r="J1074" s="91" t="str">
        <f t="shared" si="65"/>
        <v>Sinapi 93220</v>
      </c>
      <c r="K1074" s="91" t="str">
        <f t="shared" si="66"/>
        <v>H</v>
      </c>
      <c r="L1074" s="166" t="str">
        <f t="shared" si="67"/>
        <v/>
      </c>
      <c r="M1074" s="82"/>
      <c r="N1074" s="82"/>
    </row>
    <row r="1075" spans="1:14" x14ac:dyDescent="0.25">
      <c r="A1075" s="170" t="s">
        <v>3702</v>
      </c>
      <c r="B1075" s="170" t="s">
        <v>3703</v>
      </c>
      <c r="C1075" s="170" t="s">
        <v>587</v>
      </c>
      <c r="D1075" s="170" t="s">
        <v>1947</v>
      </c>
      <c r="E1075" s="171" t="s">
        <v>32047</v>
      </c>
      <c r="F1075" s="171" t="s">
        <v>32047</v>
      </c>
      <c r="G1075" s="82"/>
      <c r="H1075" s="96">
        <f t="shared" si="64"/>
        <v>88.35</v>
      </c>
      <c r="I1075" s="96">
        <f t="shared" si="64"/>
        <v>88.35</v>
      </c>
      <c r="J1075" s="91" t="str">
        <f t="shared" si="65"/>
        <v>Sinapi 93221</v>
      </c>
      <c r="K1075" s="91" t="str">
        <f t="shared" si="66"/>
        <v>H</v>
      </c>
      <c r="L1075" s="166" t="str">
        <f t="shared" si="67"/>
        <v/>
      </c>
      <c r="M1075" s="82"/>
      <c r="N1075" s="82"/>
    </row>
    <row r="1076" spans="1:14" x14ac:dyDescent="0.25">
      <c r="A1076" s="170" t="s">
        <v>3704</v>
      </c>
      <c r="B1076" s="170" t="s">
        <v>3705</v>
      </c>
      <c r="C1076" s="170" t="s">
        <v>587</v>
      </c>
      <c r="D1076" s="170" t="s">
        <v>1947</v>
      </c>
      <c r="E1076" s="171" t="s">
        <v>32048</v>
      </c>
      <c r="F1076" s="171" t="s">
        <v>32048</v>
      </c>
      <c r="G1076" s="82"/>
      <c r="H1076" s="96">
        <f t="shared" si="64"/>
        <v>412.11</v>
      </c>
      <c r="I1076" s="96">
        <f t="shared" si="64"/>
        <v>412.11</v>
      </c>
      <c r="J1076" s="91" t="str">
        <f t="shared" si="65"/>
        <v>Sinapi 93222</v>
      </c>
      <c r="K1076" s="91" t="str">
        <f t="shared" si="66"/>
        <v>H</v>
      </c>
      <c r="L1076" s="166" t="str">
        <f t="shared" si="67"/>
        <v/>
      </c>
      <c r="M1076" s="82"/>
      <c r="N1076" s="82"/>
    </row>
    <row r="1077" spans="1:14" x14ac:dyDescent="0.25">
      <c r="A1077" s="170" t="s">
        <v>3706</v>
      </c>
      <c r="B1077" s="170" t="s">
        <v>3707</v>
      </c>
      <c r="C1077" s="170" t="s">
        <v>587</v>
      </c>
      <c r="D1077" s="170" t="s">
        <v>2710</v>
      </c>
      <c r="E1077" s="171" t="s">
        <v>28819</v>
      </c>
      <c r="F1077" s="171" t="s">
        <v>28819</v>
      </c>
      <c r="G1077" s="82"/>
      <c r="H1077" s="96">
        <f t="shared" si="64"/>
        <v>173.63</v>
      </c>
      <c r="I1077" s="96">
        <f t="shared" si="64"/>
        <v>173.63</v>
      </c>
      <c r="J1077" s="91" t="str">
        <f t="shared" si="65"/>
        <v>Sinapi 93223</v>
      </c>
      <c r="K1077" s="91" t="str">
        <f t="shared" si="66"/>
        <v>H</v>
      </c>
      <c r="L1077" s="166" t="str">
        <f t="shared" si="67"/>
        <v/>
      </c>
      <c r="M1077" s="82"/>
      <c r="N1077" s="82"/>
    </row>
    <row r="1078" spans="1:14" x14ac:dyDescent="0.25">
      <c r="A1078" s="170" t="s">
        <v>3708</v>
      </c>
      <c r="B1078" s="170" t="s">
        <v>15076</v>
      </c>
      <c r="C1078" s="170" t="s">
        <v>587</v>
      </c>
      <c r="D1078" s="170" t="s">
        <v>2067</v>
      </c>
      <c r="E1078" s="171" t="s">
        <v>3408</v>
      </c>
      <c r="F1078" s="171" t="s">
        <v>3408</v>
      </c>
      <c r="G1078" s="82"/>
      <c r="H1078" s="96">
        <f t="shared" si="64"/>
        <v>0.49</v>
      </c>
      <c r="I1078" s="96">
        <f t="shared" si="64"/>
        <v>0.49</v>
      </c>
      <c r="J1078" s="91" t="str">
        <f t="shared" si="65"/>
        <v>Sinapi 93229</v>
      </c>
      <c r="K1078" s="91" t="str">
        <f t="shared" si="66"/>
        <v>H</v>
      </c>
      <c r="L1078" s="166" t="str">
        <f t="shared" si="67"/>
        <v/>
      </c>
      <c r="M1078" s="82"/>
      <c r="N1078" s="82"/>
    </row>
    <row r="1079" spans="1:14" x14ac:dyDescent="0.25">
      <c r="A1079" s="170" t="s">
        <v>3709</v>
      </c>
      <c r="B1079" s="170" t="s">
        <v>15077</v>
      </c>
      <c r="C1079" s="170" t="s">
        <v>587</v>
      </c>
      <c r="D1079" s="170" t="s">
        <v>2067</v>
      </c>
      <c r="E1079" s="171" t="s">
        <v>3271</v>
      </c>
      <c r="F1079" s="171" t="s">
        <v>3271</v>
      </c>
      <c r="G1079" s="82"/>
      <c r="H1079" s="96">
        <f t="shared" si="64"/>
        <v>0.11</v>
      </c>
      <c r="I1079" s="96">
        <f t="shared" si="64"/>
        <v>0.11</v>
      </c>
      <c r="J1079" s="91" t="str">
        <f t="shared" si="65"/>
        <v>Sinapi 93230</v>
      </c>
      <c r="K1079" s="91" t="str">
        <f t="shared" si="66"/>
        <v>H</v>
      </c>
      <c r="L1079" s="166" t="str">
        <f t="shared" si="67"/>
        <v/>
      </c>
      <c r="M1079" s="82"/>
      <c r="N1079" s="82"/>
    </row>
    <row r="1080" spans="1:14" x14ac:dyDescent="0.25">
      <c r="A1080" s="170" t="s">
        <v>3710</v>
      </c>
      <c r="B1080" s="170" t="s">
        <v>15078</v>
      </c>
      <c r="C1080" s="170" t="s">
        <v>587</v>
      </c>
      <c r="D1080" s="170" t="s">
        <v>2067</v>
      </c>
      <c r="E1080" s="171" t="s">
        <v>3148</v>
      </c>
      <c r="F1080" s="171" t="s">
        <v>3148</v>
      </c>
      <c r="G1080" s="82"/>
      <c r="H1080" s="96">
        <f t="shared" si="64"/>
        <v>0.62</v>
      </c>
      <c r="I1080" s="96">
        <f t="shared" si="64"/>
        <v>0.62</v>
      </c>
      <c r="J1080" s="91" t="str">
        <f t="shared" si="65"/>
        <v>Sinapi 93231</v>
      </c>
      <c r="K1080" s="91" t="str">
        <f t="shared" si="66"/>
        <v>H</v>
      </c>
      <c r="L1080" s="166" t="str">
        <f t="shared" si="67"/>
        <v/>
      </c>
      <c r="M1080" s="82"/>
      <c r="N1080" s="82"/>
    </row>
    <row r="1081" spans="1:14" x14ac:dyDescent="0.25">
      <c r="A1081" s="170" t="s">
        <v>3712</v>
      </c>
      <c r="B1081" s="170" t="s">
        <v>15079</v>
      </c>
      <c r="C1081" s="170" t="s">
        <v>587</v>
      </c>
      <c r="D1081" s="170" t="s">
        <v>2710</v>
      </c>
      <c r="E1081" s="171" t="s">
        <v>6500</v>
      </c>
      <c r="F1081" s="171" t="s">
        <v>6500</v>
      </c>
      <c r="G1081" s="82"/>
      <c r="H1081" s="96">
        <f t="shared" si="64"/>
        <v>5.0999999999999996</v>
      </c>
      <c r="I1081" s="96">
        <f t="shared" si="64"/>
        <v>5.0999999999999996</v>
      </c>
      <c r="J1081" s="91" t="str">
        <f t="shared" si="65"/>
        <v>Sinapi 93232</v>
      </c>
      <c r="K1081" s="91" t="str">
        <f t="shared" si="66"/>
        <v>H</v>
      </c>
      <c r="L1081" s="166" t="str">
        <f t="shared" si="67"/>
        <v/>
      </c>
      <c r="M1081" s="82"/>
      <c r="N1081" s="82"/>
    </row>
    <row r="1082" spans="1:14" x14ac:dyDescent="0.25">
      <c r="A1082" s="170" t="s">
        <v>3713</v>
      </c>
      <c r="B1082" s="170" t="s">
        <v>3714</v>
      </c>
      <c r="C1082" s="170" t="s">
        <v>587</v>
      </c>
      <c r="D1082" s="170" t="s">
        <v>1947</v>
      </c>
      <c r="E1082" s="171" t="s">
        <v>22893</v>
      </c>
      <c r="F1082" s="171" t="s">
        <v>22893</v>
      </c>
      <c r="G1082" s="82"/>
      <c r="H1082" s="96">
        <f t="shared" si="64"/>
        <v>2.0699999999999998</v>
      </c>
      <c r="I1082" s="96">
        <f t="shared" si="64"/>
        <v>2.0699999999999998</v>
      </c>
      <c r="J1082" s="91" t="str">
        <f t="shared" si="65"/>
        <v>Sinapi 93235</v>
      </c>
      <c r="K1082" s="91" t="str">
        <f t="shared" si="66"/>
        <v>H</v>
      </c>
      <c r="L1082" s="166" t="str">
        <f t="shared" si="67"/>
        <v/>
      </c>
      <c r="M1082" s="82"/>
      <c r="N1082" s="82"/>
    </row>
    <row r="1083" spans="1:14" x14ac:dyDescent="0.25">
      <c r="A1083" s="170" t="s">
        <v>3715</v>
      </c>
      <c r="B1083" s="170" t="s">
        <v>3716</v>
      </c>
      <c r="C1083" s="170" t="s">
        <v>587</v>
      </c>
      <c r="D1083" s="170" t="s">
        <v>1947</v>
      </c>
      <c r="E1083" s="171" t="s">
        <v>14802</v>
      </c>
      <c r="F1083" s="171" t="s">
        <v>14802</v>
      </c>
      <c r="G1083" s="82"/>
      <c r="H1083" s="96">
        <f t="shared" si="64"/>
        <v>2.54</v>
      </c>
      <c r="I1083" s="96">
        <f t="shared" si="64"/>
        <v>2.54</v>
      </c>
      <c r="J1083" s="91" t="str">
        <f t="shared" si="65"/>
        <v>Sinapi 93238</v>
      </c>
      <c r="K1083" s="91" t="str">
        <f t="shared" si="66"/>
        <v>H</v>
      </c>
      <c r="L1083" s="166" t="str">
        <f t="shared" si="67"/>
        <v/>
      </c>
      <c r="M1083" s="82"/>
      <c r="N1083" s="82"/>
    </row>
    <row r="1084" spans="1:14" x14ac:dyDescent="0.25">
      <c r="A1084" s="170" t="s">
        <v>3717</v>
      </c>
      <c r="B1084" s="170" t="s">
        <v>3718</v>
      </c>
      <c r="C1084" s="170" t="s">
        <v>587</v>
      </c>
      <c r="D1084" s="170" t="s">
        <v>1947</v>
      </c>
      <c r="E1084" s="171" t="s">
        <v>11129</v>
      </c>
      <c r="F1084" s="171" t="s">
        <v>11129</v>
      </c>
      <c r="G1084" s="82"/>
      <c r="H1084" s="96">
        <f t="shared" si="64"/>
        <v>11.53</v>
      </c>
      <c r="I1084" s="96">
        <f t="shared" si="64"/>
        <v>11.53</v>
      </c>
      <c r="J1084" s="91" t="str">
        <f t="shared" si="65"/>
        <v>Sinapi 93239</v>
      </c>
      <c r="K1084" s="91" t="str">
        <f t="shared" si="66"/>
        <v>H</v>
      </c>
      <c r="L1084" s="166" t="str">
        <f t="shared" si="67"/>
        <v/>
      </c>
      <c r="M1084" s="82"/>
      <c r="N1084" s="82"/>
    </row>
    <row r="1085" spans="1:14" x14ac:dyDescent="0.25">
      <c r="A1085" s="170" t="s">
        <v>3719</v>
      </c>
      <c r="B1085" s="170" t="s">
        <v>3720</v>
      </c>
      <c r="C1085" s="170" t="s">
        <v>587</v>
      </c>
      <c r="D1085" s="170" t="s">
        <v>2710</v>
      </c>
      <c r="E1085" s="171" t="s">
        <v>17280</v>
      </c>
      <c r="F1085" s="171" t="s">
        <v>17280</v>
      </c>
      <c r="G1085" s="82"/>
      <c r="H1085" s="96">
        <f t="shared" si="64"/>
        <v>13.3</v>
      </c>
      <c r="I1085" s="96">
        <f t="shared" si="64"/>
        <v>13.3</v>
      </c>
      <c r="J1085" s="91" t="str">
        <f t="shared" si="65"/>
        <v>Sinapi 93240</v>
      </c>
      <c r="K1085" s="91" t="str">
        <f t="shared" si="66"/>
        <v>H</v>
      </c>
      <c r="L1085" s="166" t="str">
        <f t="shared" si="67"/>
        <v/>
      </c>
      <c r="M1085" s="82"/>
      <c r="N1085" s="82"/>
    </row>
    <row r="1086" spans="1:14" x14ac:dyDescent="0.25">
      <c r="A1086" s="170" t="s">
        <v>3721</v>
      </c>
      <c r="B1086" s="170" t="s">
        <v>21743</v>
      </c>
      <c r="C1086" s="170" t="s">
        <v>587</v>
      </c>
      <c r="D1086" s="170" t="s">
        <v>1947</v>
      </c>
      <c r="E1086" s="171" t="s">
        <v>20069</v>
      </c>
      <c r="F1086" s="171" t="s">
        <v>20069</v>
      </c>
      <c r="G1086" s="82"/>
      <c r="H1086" s="96">
        <f t="shared" si="64"/>
        <v>28.03</v>
      </c>
      <c r="I1086" s="96">
        <f t="shared" si="64"/>
        <v>28.03</v>
      </c>
      <c r="J1086" s="91" t="str">
        <f t="shared" si="65"/>
        <v>Sinapi 93267</v>
      </c>
      <c r="K1086" s="91" t="str">
        <f t="shared" si="66"/>
        <v>H</v>
      </c>
      <c r="L1086" s="166" t="str">
        <f t="shared" si="67"/>
        <v/>
      </c>
      <c r="M1086" s="82"/>
      <c r="N1086" s="82"/>
    </row>
    <row r="1087" spans="1:14" x14ac:dyDescent="0.25">
      <c r="A1087" s="170" t="s">
        <v>3722</v>
      </c>
      <c r="B1087" s="170" t="s">
        <v>21744</v>
      </c>
      <c r="C1087" s="170" t="s">
        <v>587</v>
      </c>
      <c r="D1087" s="170" t="s">
        <v>1947</v>
      </c>
      <c r="E1087" s="171" t="s">
        <v>18542</v>
      </c>
      <c r="F1087" s="171" t="s">
        <v>18542</v>
      </c>
      <c r="G1087" s="82"/>
      <c r="H1087" s="96">
        <f t="shared" si="64"/>
        <v>9.4600000000000009</v>
      </c>
      <c r="I1087" s="96">
        <f t="shared" si="64"/>
        <v>9.4600000000000009</v>
      </c>
      <c r="J1087" s="91" t="str">
        <f t="shared" si="65"/>
        <v>Sinapi 93269</v>
      </c>
      <c r="K1087" s="91" t="str">
        <f t="shared" si="66"/>
        <v>H</v>
      </c>
      <c r="L1087" s="166" t="str">
        <f t="shared" si="67"/>
        <v/>
      </c>
      <c r="M1087" s="82"/>
      <c r="N1087" s="82"/>
    </row>
    <row r="1088" spans="1:14" x14ac:dyDescent="0.25">
      <c r="A1088" s="170" t="s">
        <v>3723</v>
      </c>
      <c r="B1088" s="170" t="s">
        <v>21745</v>
      </c>
      <c r="C1088" s="170" t="s">
        <v>587</v>
      </c>
      <c r="D1088" s="170" t="s">
        <v>1947</v>
      </c>
      <c r="E1088" s="171" t="s">
        <v>20069</v>
      </c>
      <c r="F1088" s="171" t="s">
        <v>20069</v>
      </c>
      <c r="G1088" s="82"/>
      <c r="H1088" s="96">
        <f t="shared" si="64"/>
        <v>28.03</v>
      </c>
      <c r="I1088" s="96">
        <f t="shared" si="64"/>
        <v>28.03</v>
      </c>
      <c r="J1088" s="91" t="str">
        <f t="shared" si="65"/>
        <v>Sinapi 93270</v>
      </c>
      <c r="K1088" s="91" t="str">
        <f t="shared" si="66"/>
        <v>H</v>
      </c>
      <c r="L1088" s="166" t="str">
        <f t="shared" si="67"/>
        <v/>
      </c>
      <c r="M1088" s="82"/>
      <c r="N1088" s="82"/>
    </row>
    <row r="1089" spans="1:14" x14ac:dyDescent="0.25">
      <c r="A1089" s="170" t="s">
        <v>3724</v>
      </c>
      <c r="B1089" s="170" t="s">
        <v>21746</v>
      </c>
      <c r="C1089" s="170" t="s">
        <v>587</v>
      </c>
      <c r="D1089" s="170" t="s">
        <v>2067</v>
      </c>
      <c r="E1089" s="171" t="s">
        <v>19897</v>
      </c>
      <c r="F1089" s="171" t="s">
        <v>19897</v>
      </c>
      <c r="G1089" s="82"/>
      <c r="H1089" s="96">
        <f t="shared" si="64"/>
        <v>9.7200000000000006</v>
      </c>
      <c r="I1089" s="96">
        <f t="shared" si="64"/>
        <v>9.7200000000000006</v>
      </c>
      <c r="J1089" s="91" t="str">
        <f t="shared" si="65"/>
        <v>Sinapi 93271</v>
      </c>
      <c r="K1089" s="91" t="str">
        <f t="shared" si="66"/>
        <v>H</v>
      </c>
      <c r="L1089" s="166" t="str">
        <f t="shared" si="67"/>
        <v/>
      </c>
      <c r="M1089" s="82"/>
      <c r="N1089" s="82"/>
    </row>
    <row r="1090" spans="1:14" x14ac:dyDescent="0.25">
      <c r="A1090" s="170" t="s">
        <v>3725</v>
      </c>
      <c r="B1090" s="170" t="s">
        <v>3726</v>
      </c>
      <c r="C1090" s="170" t="s">
        <v>587</v>
      </c>
      <c r="D1090" s="170" t="s">
        <v>1947</v>
      </c>
      <c r="E1090" s="171" t="s">
        <v>2744</v>
      </c>
      <c r="F1090" s="171" t="s">
        <v>2744</v>
      </c>
      <c r="G1090" s="82"/>
      <c r="H1090" s="96">
        <f t="shared" si="64"/>
        <v>0.32</v>
      </c>
      <c r="I1090" s="96">
        <f t="shared" si="64"/>
        <v>0.32</v>
      </c>
      <c r="J1090" s="91" t="str">
        <f t="shared" si="65"/>
        <v>Sinapi 93277</v>
      </c>
      <c r="K1090" s="91" t="str">
        <f t="shared" si="66"/>
        <v>H</v>
      </c>
      <c r="L1090" s="166" t="str">
        <f t="shared" si="67"/>
        <v/>
      </c>
      <c r="M1090" s="82"/>
      <c r="N1090" s="82"/>
    </row>
    <row r="1091" spans="1:14" x14ac:dyDescent="0.25">
      <c r="A1091" s="170" t="s">
        <v>3727</v>
      </c>
      <c r="B1091" s="170" t="s">
        <v>3728</v>
      </c>
      <c r="C1091" s="170" t="s">
        <v>587</v>
      </c>
      <c r="D1091" s="170" t="s">
        <v>1947</v>
      </c>
      <c r="E1091" s="171" t="s">
        <v>3119</v>
      </c>
      <c r="F1091" s="171" t="s">
        <v>3119</v>
      </c>
      <c r="G1091" s="82"/>
      <c r="H1091" s="96">
        <f t="shared" si="64"/>
        <v>7.0000000000000007E-2</v>
      </c>
      <c r="I1091" s="96">
        <f t="shared" si="64"/>
        <v>7.0000000000000007E-2</v>
      </c>
      <c r="J1091" s="91" t="str">
        <f t="shared" si="65"/>
        <v>Sinapi 93278</v>
      </c>
      <c r="K1091" s="91" t="str">
        <f t="shared" si="66"/>
        <v>H</v>
      </c>
      <c r="L1091" s="166" t="str">
        <f t="shared" si="67"/>
        <v/>
      </c>
      <c r="M1091" s="82"/>
      <c r="N1091" s="82"/>
    </row>
    <row r="1092" spans="1:14" x14ac:dyDescent="0.25">
      <c r="A1092" s="170" t="s">
        <v>3729</v>
      </c>
      <c r="B1092" s="170" t="s">
        <v>3730</v>
      </c>
      <c r="C1092" s="170" t="s">
        <v>587</v>
      </c>
      <c r="D1092" s="170" t="s">
        <v>1947</v>
      </c>
      <c r="E1092" s="171" t="s">
        <v>2718</v>
      </c>
      <c r="F1092" s="171" t="s">
        <v>2718</v>
      </c>
      <c r="G1092" s="82"/>
      <c r="H1092" s="96">
        <f t="shared" si="64"/>
        <v>0.3</v>
      </c>
      <c r="I1092" s="96">
        <f t="shared" si="64"/>
        <v>0.3</v>
      </c>
      <c r="J1092" s="91" t="str">
        <f t="shared" si="65"/>
        <v>Sinapi 93279</v>
      </c>
      <c r="K1092" s="91" t="str">
        <f t="shared" si="66"/>
        <v>H</v>
      </c>
      <c r="L1092" s="166" t="str">
        <f t="shared" si="67"/>
        <v/>
      </c>
      <c r="M1092" s="82"/>
      <c r="N1092" s="82"/>
    </row>
    <row r="1093" spans="1:14" x14ac:dyDescent="0.25">
      <c r="A1093" s="170" t="s">
        <v>3731</v>
      </c>
      <c r="B1093" s="170" t="s">
        <v>3732</v>
      </c>
      <c r="C1093" s="170" t="s">
        <v>587</v>
      </c>
      <c r="D1093" s="170" t="s">
        <v>2067</v>
      </c>
      <c r="E1093" s="171" t="s">
        <v>3523</v>
      </c>
      <c r="F1093" s="171" t="s">
        <v>3523</v>
      </c>
      <c r="G1093" s="82"/>
      <c r="H1093" s="96">
        <f t="shared" si="64"/>
        <v>0.81</v>
      </c>
      <c r="I1093" s="96">
        <f t="shared" si="64"/>
        <v>0.81</v>
      </c>
      <c r="J1093" s="91" t="str">
        <f t="shared" si="65"/>
        <v>Sinapi 93280</v>
      </c>
      <c r="K1093" s="91" t="str">
        <f t="shared" si="66"/>
        <v>H</v>
      </c>
      <c r="L1093" s="166" t="str">
        <f t="shared" si="67"/>
        <v/>
      </c>
      <c r="M1093" s="82"/>
      <c r="N1093" s="82"/>
    </row>
    <row r="1094" spans="1:14" x14ac:dyDescent="0.25">
      <c r="A1094" s="170" t="s">
        <v>3733</v>
      </c>
      <c r="B1094" s="170" t="s">
        <v>3734</v>
      </c>
      <c r="C1094" s="170" t="s">
        <v>587</v>
      </c>
      <c r="D1094" s="170" t="s">
        <v>1947</v>
      </c>
      <c r="E1094" s="171" t="s">
        <v>23021</v>
      </c>
      <c r="F1094" s="171" t="s">
        <v>23021</v>
      </c>
      <c r="G1094" s="82"/>
      <c r="H1094" s="96">
        <f t="shared" si="64"/>
        <v>94.26</v>
      </c>
      <c r="I1094" s="96">
        <f t="shared" si="64"/>
        <v>94.26</v>
      </c>
      <c r="J1094" s="91" t="str">
        <f t="shared" si="65"/>
        <v>Sinapi 93283</v>
      </c>
      <c r="K1094" s="91" t="str">
        <f t="shared" si="66"/>
        <v>H</v>
      </c>
      <c r="L1094" s="166" t="str">
        <f t="shared" si="67"/>
        <v/>
      </c>
      <c r="M1094" s="82"/>
      <c r="N1094" s="82"/>
    </row>
    <row r="1095" spans="1:14" x14ac:dyDescent="0.25">
      <c r="A1095" s="170" t="s">
        <v>3735</v>
      </c>
      <c r="B1095" s="170" t="s">
        <v>3736</v>
      </c>
      <c r="C1095" s="170" t="s">
        <v>587</v>
      </c>
      <c r="D1095" s="170" t="s">
        <v>1947</v>
      </c>
      <c r="E1095" s="171" t="s">
        <v>22037</v>
      </c>
      <c r="F1095" s="171" t="s">
        <v>22037</v>
      </c>
      <c r="G1095" s="82"/>
      <c r="H1095" s="96">
        <f t="shared" si="64"/>
        <v>33.22</v>
      </c>
      <c r="I1095" s="96">
        <f t="shared" si="64"/>
        <v>33.22</v>
      </c>
      <c r="J1095" s="91" t="str">
        <f t="shared" si="65"/>
        <v>Sinapi 93284</v>
      </c>
      <c r="K1095" s="91" t="str">
        <f t="shared" si="66"/>
        <v>H</v>
      </c>
      <c r="L1095" s="166" t="str">
        <f t="shared" si="67"/>
        <v/>
      </c>
      <c r="M1095" s="82"/>
      <c r="N1095" s="82"/>
    </row>
    <row r="1096" spans="1:14" x14ac:dyDescent="0.25">
      <c r="A1096" s="170" t="s">
        <v>3737</v>
      </c>
      <c r="B1096" s="170" t="s">
        <v>3738</v>
      </c>
      <c r="C1096" s="170" t="s">
        <v>587</v>
      </c>
      <c r="D1096" s="170" t="s">
        <v>1947</v>
      </c>
      <c r="E1096" s="171" t="s">
        <v>32049</v>
      </c>
      <c r="F1096" s="171" t="s">
        <v>32049</v>
      </c>
      <c r="G1096" s="82"/>
      <c r="H1096" s="96">
        <f t="shared" ref="H1096:I1159" si="68">IF(E1096="","",E1096+0)</f>
        <v>151.53</v>
      </c>
      <c r="I1096" s="96">
        <f t="shared" si="68"/>
        <v>151.53</v>
      </c>
      <c r="J1096" s="91" t="str">
        <f t="shared" ref="J1096:J1159" si="69">IF(OR(H1096="",I1096=""),"",TRIM(CONCATENATE("Sinapi ",A1096)))</f>
        <v>Sinapi 93285</v>
      </c>
      <c r="K1096" s="91" t="str">
        <f t="shared" ref="K1096:K1159" si="70">TRIM(C1096)</f>
        <v>H</v>
      </c>
      <c r="L1096" s="166" t="str">
        <f t="shared" ref="L1096:L1159" si="71">IF(OR(RIGHT(IF(AND(K1096&lt;&gt;"H",K1096&lt;&gt;"MES"),RIGHT(B1096,7),""),2)="PS",RIGHT(IF(AND(K1096&lt;&gt;"H",K1096&lt;&gt;"MES"),RIGHT(B1096,7),""),2)="PA",RIGHT(IF(AND(K1096&lt;&gt;"H",K1096&lt;&gt;"MES"),RIGHT(B1096,7),""),2)="PE"),LEFT(IF(AND(K1096&lt;&gt;"H",K1096&lt;&gt;"MES"),RIGHT(B1096,10),""),7),IF(AND(K1096&lt;&gt;"H",K1096&lt;&gt;"MES"),RIGHT(B1096,7),""))</f>
        <v/>
      </c>
      <c r="M1096" s="82"/>
      <c r="N1096" s="82"/>
    </row>
    <row r="1097" spans="1:14" x14ac:dyDescent="0.25">
      <c r="A1097" s="170" t="s">
        <v>3739</v>
      </c>
      <c r="B1097" s="170" t="s">
        <v>3740</v>
      </c>
      <c r="C1097" s="170" t="s">
        <v>587</v>
      </c>
      <c r="D1097" s="170" t="s">
        <v>2067</v>
      </c>
      <c r="E1097" s="171" t="s">
        <v>16288</v>
      </c>
      <c r="F1097" s="171" t="s">
        <v>16288</v>
      </c>
      <c r="G1097" s="82"/>
      <c r="H1097" s="96">
        <f t="shared" si="68"/>
        <v>13.52</v>
      </c>
      <c r="I1097" s="96">
        <f t="shared" si="68"/>
        <v>13.52</v>
      </c>
      <c r="J1097" s="91" t="str">
        <f t="shared" si="69"/>
        <v>Sinapi 93286</v>
      </c>
      <c r="K1097" s="91" t="str">
        <f t="shared" si="70"/>
        <v>H</v>
      </c>
      <c r="L1097" s="166" t="str">
        <f t="shared" si="71"/>
        <v/>
      </c>
      <c r="M1097" s="82"/>
      <c r="N1097" s="82"/>
    </row>
    <row r="1098" spans="1:14" x14ac:dyDescent="0.25">
      <c r="A1098" s="170" t="s">
        <v>3741</v>
      </c>
      <c r="B1098" s="170" t="s">
        <v>3742</v>
      </c>
      <c r="C1098" s="170" t="s">
        <v>587</v>
      </c>
      <c r="D1098" s="170" t="s">
        <v>1947</v>
      </c>
      <c r="E1098" s="171" t="s">
        <v>19963</v>
      </c>
      <c r="F1098" s="171" t="s">
        <v>19963</v>
      </c>
      <c r="G1098" s="82"/>
      <c r="H1098" s="96">
        <f t="shared" si="68"/>
        <v>13.43</v>
      </c>
      <c r="I1098" s="96">
        <f t="shared" si="68"/>
        <v>13.43</v>
      </c>
      <c r="J1098" s="91" t="str">
        <f t="shared" si="69"/>
        <v>Sinapi 93296</v>
      </c>
      <c r="K1098" s="91" t="str">
        <f t="shared" si="70"/>
        <v>H</v>
      </c>
      <c r="L1098" s="166" t="str">
        <f t="shared" si="71"/>
        <v/>
      </c>
      <c r="M1098" s="82"/>
      <c r="N1098" s="82"/>
    </row>
    <row r="1099" spans="1:14" x14ac:dyDescent="0.25">
      <c r="A1099" s="170" t="s">
        <v>3743</v>
      </c>
      <c r="B1099" s="170" t="s">
        <v>3744</v>
      </c>
      <c r="C1099" s="170" t="s">
        <v>587</v>
      </c>
      <c r="D1099" s="170" t="s">
        <v>1947</v>
      </c>
      <c r="E1099" s="171" t="s">
        <v>21326</v>
      </c>
      <c r="F1099" s="171" t="s">
        <v>21326</v>
      </c>
      <c r="G1099" s="82"/>
      <c r="H1099" s="96">
        <f t="shared" si="68"/>
        <v>25.51</v>
      </c>
      <c r="I1099" s="96">
        <f t="shared" si="68"/>
        <v>25.51</v>
      </c>
      <c r="J1099" s="91" t="str">
        <f t="shared" si="69"/>
        <v>Sinapi 93397</v>
      </c>
      <c r="K1099" s="91" t="str">
        <f t="shared" si="70"/>
        <v>H</v>
      </c>
      <c r="L1099" s="166" t="str">
        <f t="shared" si="71"/>
        <v/>
      </c>
      <c r="M1099" s="82"/>
      <c r="N1099" s="82"/>
    </row>
    <row r="1100" spans="1:14" x14ac:dyDescent="0.25">
      <c r="A1100" s="170" t="s">
        <v>3745</v>
      </c>
      <c r="B1100" s="170" t="s">
        <v>3746</v>
      </c>
      <c r="C1100" s="170" t="s">
        <v>587</v>
      </c>
      <c r="D1100" s="170" t="s">
        <v>1947</v>
      </c>
      <c r="E1100" s="171" t="s">
        <v>24625</v>
      </c>
      <c r="F1100" s="171" t="s">
        <v>24625</v>
      </c>
      <c r="G1100" s="82"/>
      <c r="H1100" s="96">
        <f t="shared" si="68"/>
        <v>9.68</v>
      </c>
      <c r="I1100" s="96">
        <f t="shared" si="68"/>
        <v>9.68</v>
      </c>
      <c r="J1100" s="91" t="str">
        <f t="shared" si="69"/>
        <v>Sinapi 93398</v>
      </c>
      <c r="K1100" s="91" t="str">
        <f t="shared" si="70"/>
        <v>H</v>
      </c>
      <c r="L1100" s="166" t="str">
        <f t="shared" si="71"/>
        <v/>
      </c>
      <c r="M1100" s="82"/>
      <c r="N1100" s="82"/>
    </row>
    <row r="1101" spans="1:14" x14ac:dyDescent="0.25">
      <c r="A1101" s="170" t="s">
        <v>3747</v>
      </c>
      <c r="B1101" s="170" t="s">
        <v>3748</v>
      </c>
      <c r="C1101" s="170" t="s">
        <v>587</v>
      </c>
      <c r="D1101" s="170" t="s">
        <v>1947</v>
      </c>
      <c r="E1101" s="171" t="s">
        <v>19291</v>
      </c>
      <c r="F1101" s="171" t="s">
        <v>19291</v>
      </c>
      <c r="G1101" s="82"/>
      <c r="H1101" s="96">
        <f t="shared" si="68"/>
        <v>3.91</v>
      </c>
      <c r="I1101" s="96">
        <f t="shared" si="68"/>
        <v>3.91</v>
      </c>
      <c r="J1101" s="91" t="str">
        <f t="shared" si="69"/>
        <v>Sinapi 93399</v>
      </c>
      <c r="K1101" s="91" t="str">
        <f t="shared" si="70"/>
        <v>H</v>
      </c>
      <c r="L1101" s="166" t="str">
        <f t="shared" si="71"/>
        <v/>
      </c>
      <c r="M1101" s="82"/>
      <c r="N1101" s="82"/>
    </row>
    <row r="1102" spans="1:14" x14ac:dyDescent="0.25">
      <c r="A1102" s="170" t="s">
        <v>3749</v>
      </c>
      <c r="B1102" s="170" t="s">
        <v>3750</v>
      </c>
      <c r="C1102" s="170" t="s">
        <v>587</v>
      </c>
      <c r="D1102" s="170" t="s">
        <v>1947</v>
      </c>
      <c r="E1102" s="171" t="s">
        <v>21110</v>
      </c>
      <c r="F1102" s="171" t="s">
        <v>21110</v>
      </c>
      <c r="G1102" s="82"/>
      <c r="H1102" s="96">
        <f t="shared" si="68"/>
        <v>44.51</v>
      </c>
      <c r="I1102" s="96">
        <f t="shared" si="68"/>
        <v>44.51</v>
      </c>
      <c r="J1102" s="91" t="str">
        <f t="shared" si="69"/>
        <v>Sinapi 93400</v>
      </c>
      <c r="K1102" s="91" t="str">
        <f t="shared" si="70"/>
        <v>H</v>
      </c>
      <c r="L1102" s="166" t="str">
        <f t="shared" si="71"/>
        <v/>
      </c>
      <c r="M1102" s="82"/>
      <c r="N1102" s="82"/>
    </row>
    <row r="1103" spans="1:14" x14ac:dyDescent="0.25">
      <c r="A1103" s="170" t="s">
        <v>3751</v>
      </c>
      <c r="B1103" s="170" t="s">
        <v>3752</v>
      </c>
      <c r="C1103" s="170" t="s">
        <v>587</v>
      </c>
      <c r="D1103" s="170" t="s">
        <v>2710</v>
      </c>
      <c r="E1103" s="171" t="s">
        <v>31991</v>
      </c>
      <c r="F1103" s="171" t="s">
        <v>31991</v>
      </c>
      <c r="G1103" s="82"/>
      <c r="H1103" s="96">
        <f t="shared" si="68"/>
        <v>175.75</v>
      </c>
      <c r="I1103" s="96">
        <f t="shared" si="68"/>
        <v>175.75</v>
      </c>
      <c r="J1103" s="91" t="str">
        <f t="shared" si="69"/>
        <v>Sinapi 93401</v>
      </c>
      <c r="K1103" s="91" t="str">
        <f t="shared" si="70"/>
        <v>H</v>
      </c>
      <c r="L1103" s="166" t="str">
        <f t="shared" si="71"/>
        <v/>
      </c>
      <c r="M1103" s="82"/>
      <c r="N1103" s="82"/>
    </row>
    <row r="1104" spans="1:14" x14ac:dyDescent="0.25">
      <c r="A1104" s="170" t="s">
        <v>3753</v>
      </c>
      <c r="B1104" s="170" t="s">
        <v>21747</v>
      </c>
      <c r="C1104" s="170" t="s">
        <v>587</v>
      </c>
      <c r="D1104" s="170" t="s">
        <v>1947</v>
      </c>
      <c r="E1104" s="171" t="s">
        <v>19278</v>
      </c>
      <c r="F1104" s="171" t="s">
        <v>19278</v>
      </c>
      <c r="G1104" s="82"/>
      <c r="H1104" s="96">
        <f t="shared" si="68"/>
        <v>6.87</v>
      </c>
      <c r="I1104" s="96">
        <f t="shared" si="68"/>
        <v>6.87</v>
      </c>
      <c r="J1104" s="91" t="str">
        <f t="shared" si="69"/>
        <v>Sinapi 93404</v>
      </c>
      <c r="K1104" s="91" t="str">
        <f t="shared" si="70"/>
        <v>H</v>
      </c>
      <c r="L1104" s="166" t="str">
        <f t="shared" si="71"/>
        <v/>
      </c>
      <c r="M1104" s="82"/>
      <c r="N1104" s="82"/>
    </row>
    <row r="1105" spans="1:14" x14ac:dyDescent="0.25">
      <c r="A1105" s="170" t="s">
        <v>3754</v>
      </c>
      <c r="B1105" s="170" t="s">
        <v>21748</v>
      </c>
      <c r="C1105" s="170" t="s">
        <v>587</v>
      </c>
      <c r="D1105" s="170" t="s">
        <v>1947</v>
      </c>
      <c r="E1105" s="171" t="s">
        <v>17372</v>
      </c>
      <c r="F1105" s="171" t="s">
        <v>17372</v>
      </c>
      <c r="G1105" s="82"/>
      <c r="H1105" s="96">
        <f t="shared" si="68"/>
        <v>1.87</v>
      </c>
      <c r="I1105" s="96">
        <f t="shared" si="68"/>
        <v>1.87</v>
      </c>
      <c r="J1105" s="91" t="str">
        <f t="shared" si="69"/>
        <v>Sinapi 93405</v>
      </c>
      <c r="K1105" s="91" t="str">
        <f t="shared" si="70"/>
        <v>H</v>
      </c>
      <c r="L1105" s="166" t="str">
        <f t="shared" si="71"/>
        <v/>
      </c>
      <c r="M1105" s="82"/>
      <c r="N1105" s="82"/>
    </row>
    <row r="1106" spans="1:14" x14ac:dyDescent="0.25">
      <c r="A1106" s="170" t="s">
        <v>3755</v>
      </c>
      <c r="B1106" s="170" t="s">
        <v>21749</v>
      </c>
      <c r="C1106" s="170" t="s">
        <v>587</v>
      </c>
      <c r="D1106" s="170" t="s">
        <v>1947</v>
      </c>
      <c r="E1106" s="171" t="s">
        <v>18594</v>
      </c>
      <c r="F1106" s="171" t="s">
        <v>18594</v>
      </c>
      <c r="G1106" s="82"/>
      <c r="H1106" s="96">
        <f t="shared" si="68"/>
        <v>9.09</v>
      </c>
      <c r="I1106" s="96">
        <f t="shared" si="68"/>
        <v>9.09</v>
      </c>
      <c r="J1106" s="91" t="str">
        <f t="shared" si="69"/>
        <v>Sinapi 93406</v>
      </c>
      <c r="K1106" s="91" t="str">
        <f t="shared" si="70"/>
        <v>H</v>
      </c>
      <c r="L1106" s="166" t="str">
        <f t="shared" si="71"/>
        <v/>
      </c>
      <c r="M1106" s="82"/>
      <c r="N1106" s="82"/>
    </row>
    <row r="1107" spans="1:14" x14ac:dyDescent="0.25">
      <c r="A1107" s="170" t="s">
        <v>3756</v>
      </c>
      <c r="B1107" s="170" t="s">
        <v>21750</v>
      </c>
      <c r="C1107" s="170" t="s">
        <v>587</v>
      </c>
      <c r="D1107" s="170" t="s">
        <v>2710</v>
      </c>
      <c r="E1107" s="171" t="s">
        <v>18665</v>
      </c>
      <c r="F1107" s="171" t="s">
        <v>18665</v>
      </c>
      <c r="G1107" s="82"/>
      <c r="H1107" s="96">
        <f t="shared" si="68"/>
        <v>52.41</v>
      </c>
      <c r="I1107" s="96">
        <f t="shared" si="68"/>
        <v>52.41</v>
      </c>
      <c r="J1107" s="91" t="str">
        <f t="shared" si="69"/>
        <v>Sinapi 93407</v>
      </c>
      <c r="K1107" s="91" t="str">
        <f t="shared" si="70"/>
        <v>H</v>
      </c>
      <c r="L1107" s="166" t="str">
        <f t="shared" si="71"/>
        <v/>
      </c>
      <c r="M1107" s="82"/>
      <c r="N1107" s="82"/>
    </row>
    <row r="1108" spans="1:14" x14ac:dyDescent="0.25">
      <c r="A1108" s="170" t="s">
        <v>3757</v>
      </c>
      <c r="B1108" s="170" t="s">
        <v>3758</v>
      </c>
      <c r="C1108" s="170" t="s">
        <v>587</v>
      </c>
      <c r="D1108" s="170" t="s">
        <v>1947</v>
      </c>
      <c r="E1108" s="171" t="s">
        <v>3711</v>
      </c>
      <c r="F1108" s="171" t="s">
        <v>3711</v>
      </c>
      <c r="G1108" s="82"/>
      <c r="H1108" s="96">
        <f t="shared" si="68"/>
        <v>0.28000000000000003</v>
      </c>
      <c r="I1108" s="96">
        <f t="shared" si="68"/>
        <v>0.28000000000000003</v>
      </c>
      <c r="J1108" s="91" t="str">
        <f t="shared" si="69"/>
        <v>Sinapi 93411</v>
      </c>
      <c r="K1108" s="91" t="str">
        <f t="shared" si="70"/>
        <v>H</v>
      </c>
      <c r="L1108" s="166" t="str">
        <f t="shared" si="71"/>
        <v/>
      </c>
      <c r="M1108" s="82"/>
      <c r="N1108" s="82"/>
    </row>
    <row r="1109" spans="1:14" x14ac:dyDescent="0.25">
      <c r="A1109" s="170" t="s">
        <v>3760</v>
      </c>
      <c r="B1109" s="170" t="s">
        <v>3761</v>
      </c>
      <c r="C1109" s="170" t="s">
        <v>587</v>
      </c>
      <c r="D1109" s="170" t="s">
        <v>1947</v>
      </c>
      <c r="E1109" s="171" t="s">
        <v>3648</v>
      </c>
      <c r="F1109" s="171" t="s">
        <v>3648</v>
      </c>
      <c r="G1109" s="82"/>
      <c r="H1109" s="96">
        <f t="shared" si="68"/>
        <v>0.1</v>
      </c>
      <c r="I1109" s="96">
        <f t="shared" si="68"/>
        <v>0.1</v>
      </c>
      <c r="J1109" s="91" t="str">
        <f t="shared" si="69"/>
        <v>Sinapi 93412</v>
      </c>
      <c r="K1109" s="91" t="str">
        <f t="shared" si="70"/>
        <v>H</v>
      </c>
      <c r="L1109" s="166" t="str">
        <f t="shared" si="71"/>
        <v/>
      </c>
      <c r="M1109" s="82"/>
      <c r="N1109" s="82"/>
    </row>
    <row r="1110" spans="1:14" x14ac:dyDescent="0.25">
      <c r="A1110" s="170" t="s">
        <v>3762</v>
      </c>
      <c r="B1110" s="170" t="s">
        <v>3763</v>
      </c>
      <c r="C1110" s="170" t="s">
        <v>587</v>
      </c>
      <c r="D1110" s="170" t="s">
        <v>1947</v>
      </c>
      <c r="E1110" s="171" t="s">
        <v>9259</v>
      </c>
      <c r="F1110" s="171" t="s">
        <v>9259</v>
      </c>
      <c r="G1110" s="82"/>
      <c r="H1110" s="96">
        <f t="shared" si="68"/>
        <v>0.25</v>
      </c>
      <c r="I1110" s="96">
        <f t="shared" si="68"/>
        <v>0.25</v>
      </c>
      <c r="J1110" s="91" t="str">
        <f t="shared" si="69"/>
        <v>Sinapi 93413</v>
      </c>
      <c r="K1110" s="91" t="str">
        <f t="shared" si="70"/>
        <v>H</v>
      </c>
      <c r="L1110" s="166" t="str">
        <f t="shared" si="71"/>
        <v/>
      </c>
      <c r="M1110" s="82"/>
      <c r="N1110" s="82"/>
    </row>
    <row r="1111" spans="1:14" x14ac:dyDescent="0.25">
      <c r="A1111" s="170" t="s">
        <v>3764</v>
      </c>
      <c r="B1111" s="170" t="s">
        <v>3765</v>
      </c>
      <c r="C1111" s="170" t="s">
        <v>587</v>
      </c>
      <c r="D1111" s="170" t="s">
        <v>2710</v>
      </c>
      <c r="E1111" s="171" t="s">
        <v>20020</v>
      </c>
      <c r="F1111" s="171" t="s">
        <v>20020</v>
      </c>
      <c r="G1111" s="82"/>
      <c r="H1111" s="96">
        <f t="shared" si="68"/>
        <v>16.5</v>
      </c>
      <c r="I1111" s="96">
        <f t="shared" si="68"/>
        <v>16.5</v>
      </c>
      <c r="J1111" s="91" t="str">
        <f t="shared" si="69"/>
        <v>Sinapi 93414</v>
      </c>
      <c r="K1111" s="91" t="str">
        <f t="shared" si="70"/>
        <v>H</v>
      </c>
      <c r="L1111" s="166" t="str">
        <f t="shared" si="71"/>
        <v/>
      </c>
      <c r="M1111" s="82"/>
      <c r="N1111" s="82"/>
    </row>
    <row r="1112" spans="1:14" x14ac:dyDescent="0.25">
      <c r="A1112" s="170" t="s">
        <v>3767</v>
      </c>
      <c r="B1112" s="170" t="s">
        <v>3768</v>
      </c>
      <c r="C1112" s="170" t="s">
        <v>587</v>
      </c>
      <c r="D1112" s="170" t="s">
        <v>1947</v>
      </c>
      <c r="E1112" s="171" t="s">
        <v>6065</v>
      </c>
      <c r="F1112" s="171" t="s">
        <v>6065</v>
      </c>
      <c r="G1112" s="82"/>
      <c r="H1112" s="96">
        <f t="shared" si="68"/>
        <v>3.71</v>
      </c>
      <c r="I1112" s="96">
        <f t="shared" si="68"/>
        <v>3.71</v>
      </c>
      <c r="J1112" s="91" t="str">
        <f t="shared" si="69"/>
        <v>Sinapi 93417</v>
      </c>
      <c r="K1112" s="91" t="str">
        <f t="shared" si="70"/>
        <v>H</v>
      </c>
      <c r="L1112" s="166" t="str">
        <f t="shared" si="71"/>
        <v/>
      </c>
      <c r="M1112" s="82"/>
      <c r="N1112" s="82"/>
    </row>
    <row r="1113" spans="1:14" x14ac:dyDescent="0.25">
      <c r="A1113" s="170" t="s">
        <v>3770</v>
      </c>
      <c r="B1113" s="170" t="s">
        <v>3771</v>
      </c>
      <c r="C1113" s="170" t="s">
        <v>587</v>
      </c>
      <c r="D1113" s="170" t="s">
        <v>1947</v>
      </c>
      <c r="E1113" s="171" t="s">
        <v>3966</v>
      </c>
      <c r="F1113" s="171" t="s">
        <v>3966</v>
      </c>
      <c r="G1113" s="82"/>
      <c r="H1113" s="96">
        <f t="shared" si="68"/>
        <v>1.3</v>
      </c>
      <c r="I1113" s="96">
        <f t="shared" si="68"/>
        <v>1.3</v>
      </c>
      <c r="J1113" s="91" t="str">
        <f t="shared" si="69"/>
        <v>Sinapi 93418</v>
      </c>
      <c r="K1113" s="91" t="str">
        <f t="shared" si="70"/>
        <v>H</v>
      </c>
      <c r="L1113" s="166" t="str">
        <f t="shared" si="71"/>
        <v/>
      </c>
      <c r="M1113" s="82"/>
      <c r="N1113" s="82"/>
    </row>
    <row r="1114" spans="1:14" x14ac:dyDescent="0.25">
      <c r="A1114" s="170" t="s">
        <v>3772</v>
      </c>
      <c r="B1114" s="170" t="s">
        <v>3773</v>
      </c>
      <c r="C1114" s="170" t="s">
        <v>587</v>
      </c>
      <c r="D1114" s="170" t="s">
        <v>1947</v>
      </c>
      <c r="E1114" s="171" t="s">
        <v>13845</v>
      </c>
      <c r="F1114" s="171" t="s">
        <v>13845</v>
      </c>
      <c r="G1114" s="82"/>
      <c r="H1114" s="96">
        <f t="shared" si="68"/>
        <v>3.31</v>
      </c>
      <c r="I1114" s="96">
        <f t="shared" si="68"/>
        <v>3.31</v>
      </c>
      <c r="J1114" s="91" t="str">
        <f t="shared" si="69"/>
        <v>Sinapi 93419</v>
      </c>
      <c r="K1114" s="91" t="str">
        <f t="shared" si="70"/>
        <v>H</v>
      </c>
      <c r="L1114" s="166" t="str">
        <f t="shared" si="71"/>
        <v/>
      </c>
      <c r="M1114" s="82"/>
      <c r="N1114" s="82"/>
    </row>
    <row r="1115" spans="1:14" x14ac:dyDescent="0.25">
      <c r="A1115" s="170" t="s">
        <v>3774</v>
      </c>
      <c r="B1115" s="170" t="s">
        <v>3775</v>
      </c>
      <c r="C1115" s="170" t="s">
        <v>587</v>
      </c>
      <c r="D1115" s="170" t="s">
        <v>2710</v>
      </c>
      <c r="E1115" s="171" t="s">
        <v>32050</v>
      </c>
      <c r="F1115" s="171" t="s">
        <v>32050</v>
      </c>
      <c r="G1115" s="82"/>
      <c r="H1115" s="96">
        <f t="shared" si="68"/>
        <v>74.540000000000006</v>
      </c>
      <c r="I1115" s="96">
        <f t="shared" si="68"/>
        <v>74.540000000000006</v>
      </c>
      <c r="J1115" s="91" t="str">
        <f t="shared" si="69"/>
        <v>Sinapi 93420</v>
      </c>
      <c r="K1115" s="91" t="str">
        <f t="shared" si="70"/>
        <v>H</v>
      </c>
      <c r="L1115" s="166" t="str">
        <f t="shared" si="71"/>
        <v/>
      </c>
      <c r="M1115" s="82"/>
      <c r="N1115" s="82"/>
    </row>
    <row r="1116" spans="1:14" x14ac:dyDescent="0.25">
      <c r="A1116" s="170" t="s">
        <v>3776</v>
      </c>
      <c r="B1116" s="170" t="s">
        <v>3777</v>
      </c>
      <c r="C1116" s="170" t="s">
        <v>587</v>
      </c>
      <c r="D1116" s="170" t="s">
        <v>1947</v>
      </c>
      <c r="E1116" s="171" t="s">
        <v>12327</v>
      </c>
      <c r="F1116" s="171" t="s">
        <v>12327</v>
      </c>
      <c r="G1116" s="82"/>
      <c r="H1116" s="96">
        <f t="shared" si="68"/>
        <v>5.25</v>
      </c>
      <c r="I1116" s="96">
        <f t="shared" si="68"/>
        <v>5.25</v>
      </c>
      <c r="J1116" s="91" t="str">
        <f t="shared" si="69"/>
        <v>Sinapi 93423</v>
      </c>
      <c r="K1116" s="91" t="str">
        <f t="shared" si="70"/>
        <v>H</v>
      </c>
      <c r="L1116" s="166" t="str">
        <f t="shared" si="71"/>
        <v/>
      </c>
      <c r="M1116" s="82"/>
      <c r="N1116" s="82"/>
    </row>
    <row r="1117" spans="1:14" x14ac:dyDescent="0.25">
      <c r="A1117" s="170" t="s">
        <v>3778</v>
      </c>
      <c r="B1117" s="170" t="s">
        <v>3779</v>
      </c>
      <c r="C1117" s="170" t="s">
        <v>587</v>
      </c>
      <c r="D1117" s="170" t="s">
        <v>1947</v>
      </c>
      <c r="E1117" s="171" t="s">
        <v>2077</v>
      </c>
      <c r="F1117" s="171" t="s">
        <v>2077</v>
      </c>
      <c r="G1117" s="82"/>
      <c r="H1117" s="96">
        <f t="shared" si="68"/>
        <v>1.85</v>
      </c>
      <c r="I1117" s="96">
        <f t="shared" si="68"/>
        <v>1.85</v>
      </c>
      <c r="J1117" s="91" t="str">
        <f t="shared" si="69"/>
        <v>Sinapi 93424</v>
      </c>
      <c r="K1117" s="91" t="str">
        <f t="shared" si="70"/>
        <v>H</v>
      </c>
      <c r="L1117" s="166" t="str">
        <f t="shared" si="71"/>
        <v/>
      </c>
      <c r="M1117" s="82"/>
      <c r="N1117" s="82"/>
    </row>
    <row r="1118" spans="1:14" x14ac:dyDescent="0.25">
      <c r="A1118" s="170" t="s">
        <v>3781</v>
      </c>
      <c r="B1118" s="170" t="s">
        <v>3782</v>
      </c>
      <c r="C1118" s="170" t="s">
        <v>587</v>
      </c>
      <c r="D1118" s="170" t="s">
        <v>1947</v>
      </c>
      <c r="E1118" s="171" t="s">
        <v>19822</v>
      </c>
      <c r="F1118" s="171" t="s">
        <v>19822</v>
      </c>
      <c r="G1118" s="82"/>
      <c r="H1118" s="96">
        <f t="shared" si="68"/>
        <v>4.68</v>
      </c>
      <c r="I1118" s="96">
        <f t="shared" si="68"/>
        <v>4.68</v>
      </c>
      <c r="J1118" s="91" t="str">
        <f t="shared" si="69"/>
        <v>Sinapi 93425</v>
      </c>
      <c r="K1118" s="91" t="str">
        <f t="shared" si="70"/>
        <v>H</v>
      </c>
      <c r="L1118" s="166" t="str">
        <f t="shared" si="71"/>
        <v/>
      </c>
      <c r="M1118" s="82"/>
      <c r="N1118" s="82"/>
    </row>
    <row r="1119" spans="1:14" x14ac:dyDescent="0.25">
      <c r="A1119" s="170" t="s">
        <v>3783</v>
      </c>
      <c r="B1119" s="170" t="s">
        <v>3784</v>
      </c>
      <c r="C1119" s="170" t="s">
        <v>587</v>
      </c>
      <c r="D1119" s="170" t="s">
        <v>2710</v>
      </c>
      <c r="E1119" s="171" t="s">
        <v>32051</v>
      </c>
      <c r="F1119" s="171" t="s">
        <v>32051</v>
      </c>
      <c r="G1119" s="82"/>
      <c r="H1119" s="96">
        <f t="shared" si="68"/>
        <v>178.15</v>
      </c>
      <c r="I1119" s="96">
        <f t="shared" si="68"/>
        <v>178.15</v>
      </c>
      <c r="J1119" s="91" t="str">
        <f t="shared" si="69"/>
        <v>Sinapi 93426</v>
      </c>
      <c r="K1119" s="91" t="str">
        <f t="shared" si="70"/>
        <v>H</v>
      </c>
      <c r="L1119" s="166" t="str">
        <f t="shared" si="71"/>
        <v/>
      </c>
      <c r="M1119" s="82"/>
      <c r="N1119" s="82"/>
    </row>
    <row r="1120" spans="1:14" x14ac:dyDescent="0.25">
      <c r="A1120" s="170" t="s">
        <v>3785</v>
      </c>
      <c r="B1120" s="170" t="s">
        <v>21751</v>
      </c>
      <c r="C1120" s="170" t="s">
        <v>587</v>
      </c>
      <c r="D1120" s="170" t="s">
        <v>1947</v>
      </c>
      <c r="E1120" s="171" t="s">
        <v>21605</v>
      </c>
      <c r="F1120" s="171" t="s">
        <v>21605</v>
      </c>
      <c r="G1120" s="82"/>
      <c r="H1120" s="96">
        <f t="shared" si="68"/>
        <v>115</v>
      </c>
      <c r="I1120" s="96">
        <f t="shared" si="68"/>
        <v>115</v>
      </c>
      <c r="J1120" s="91" t="str">
        <f t="shared" si="69"/>
        <v>Sinapi 93429</v>
      </c>
      <c r="K1120" s="91" t="str">
        <f t="shared" si="70"/>
        <v>H</v>
      </c>
      <c r="L1120" s="166" t="str">
        <f t="shared" si="71"/>
        <v/>
      </c>
      <c r="M1120" s="82"/>
      <c r="N1120" s="82"/>
    </row>
    <row r="1121" spans="1:14" x14ac:dyDescent="0.25">
      <c r="A1121" s="170" t="s">
        <v>3786</v>
      </c>
      <c r="B1121" s="170" t="s">
        <v>21752</v>
      </c>
      <c r="C1121" s="170" t="s">
        <v>587</v>
      </c>
      <c r="D1121" s="170" t="s">
        <v>1947</v>
      </c>
      <c r="E1121" s="171" t="s">
        <v>32052</v>
      </c>
      <c r="F1121" s="171" t="s">
        <v>32052</v>
      </c>
      <c r="G1121" s="82"/>
      <c r="H1121" s="96">
        <f t="shared" si="68"/>
        <v>36.340000000000003</v>
      </c>
      <c r="I1121" s="96">
        <f t="shared" si="68"/>
        <v>36.340000000000003</v>
      </c>
      <c r="J1121" s="91" t="str">
        <f t="shared" si="69"/>
        <v>Sinapi 93430</v>
      </c>
      <c r="K1121" s="91" t="str">
        <f t="shared" si="70"/>
        <v>H</v>
      </c>
      <c r="L1121" s="166" t="str">
        <f t="shared" si="71"/>
        <v/>
      </c>
      <c r="M1121" s="82"/>
      <c r="N1121" s="82"/>
    </row>
    <row r="1122" spans="1:14" x14ac:dyDescent="0.25">
      <c r="A1122" s="170" t="s">
        <v>3787</v>
      </c>
      <c r="B1122" s="170" t="s">
        <v>21753</v>
      </c>
      <c r="C1122" s="170" t="s">
        <v>587</v>
      </c>
      <c r="D1122" s="170" t="s">
        <v>1947</v>
      </c>
      <c r="E1122" s="171" t="s">
        <v>28564</v>
      </c>
      <c r="F1122" s="171" t="s">
        <v>28564</v>
      </c>
      <c r="G1122" s="82"/>
      <c r="H1122" s="96">
        <f t="shared" si="68"/>
        <v>138</v>
      </c>
      <c r="I1122" s="96">
        <f t="shared" si="68"/>
        <v>138</v>
      </c>
      <c r="J1122" s="91" t="str">
        <f t="shared" si="69"/>
        <v>Sinapi 93431</v>
      </c>
      <c r="K1122" s="91" t="str">
        <f t="shared" si="70"/>
        <v>H</v>
      </c>
      <c r="L1122" s="166" t="str">
        <f t="shared" si="71"/>
        <v/>
      </c>
      <c r="M1122" s="82"/>
      <c r="N1122" s="82"/>
    </row>
    <row r="1123" spans="1:14" x14ac:dyDescent="0.25">
      <c r="A1123" s="170" t="s">
        <v>3788</v>
      </c>
      <c r="B1123" s="170" t="s">
        <v>21754</v>
      </c>
      <c r="C1123" s="170" t="s">
        <v>587</v>
      </c>
      <c r="D1123" s="170" t="s">
        <v>2710</v>
      </c>
      <c r="E1123" s="171" t="s">
        <v>32053</v>
      </c>
      <c r="F1123" s="171" t="s">
        <v>32053</v>
      </c>
      <c r="G1123" s="82"/>
      <c r="H1123" s="96">
        <f t="shared" si="68"/>
        <v>2394</v>
      </c>
      <c r="I1123" s="96">
        <f t="shared" si="68"/>
        <v>2394</v>
      </c>
      <c r="J1123" s="91" t="str">
        <f t="shared" si="69"/>
        <v>Sinapi 93432</v>
      </c>
      <c r="K1123" s="91" t="str">
        <f t="shared" si="70"/>
        <v>H</v>
      </c>
      <c r="L1123" s="166" t="str">
        <f t="shared" si="71"/>
        <v/>
      </c>
      <c r="M1123" s="82"/>
      <c r="N1123" s="82"/>
    </row>
    <row r="1124" spans="1:14" x14ac:dyDescent="0.25">
      <c r="A1124" s="170" t="s">
        <v>3789</v>
      </c>
      <c r="B1124" s="170" t="s">
        <v>21755</v>
      </c>
      <c r="C1124" s="170" t="s">
        <v>587</v>
      </c>
      <c r="D1124" s="170" t="s">
        <v>1947</v>
      </c>
      <c r="E1124" s="171" t="s">
        <v>17346</v>
      </c>
      <c r="F1124" s="171" t="s">
        <v>17346</v>
      </c>
      <c r="G1124" s="82"/>
      <c r="H1124" s="96">
        <f t="shared" si="68"/>
        <v>7.26</v>
      </c>
      <c r="I1124" s="96">
        <f t="shared" si="68"/>
        <v>7.26</v>
      </c>
      <c r="J1124" s="91" t="str">
        <f t="shared" si="69"/>
        <v>Sinapi 93435</v>
      </c>
      <c r="K1124" s="91" t="str">
        <f t="shared" si="70"/>
        <v>H</v>
      </c>
      <c r="L1124" s="166" t="str">
        <f t="shared" si="71"/>
        <v/>
      </c>
      <c r="M1124" s="82"/>
      <c r="N1124" s="82"/>
    </row>
    <row r="1125" spans="1:14" x14ac:dyDescent="0.25">
      <c r="A1125" s="170" t="s">
        <v>3790</v>
      </c>
      <c r="B1125" s="170" t="s">
        <v>21756</v>
      </c>
      <c r="C1125" s="170" t="s">
        <v>587</v>
      </c>
      <c r="D1125" s="170" t="s">
        <v>1947</v>
      </c>
      <c r="E1125" s="171" t="s">
        <v>18557</v>
      </c>
      <c r="F1125" s="171" t="s">
        <v>18557</v>
      </c>
      <c r="G1125" s="82"/>
      <c r="H1125" s="96">
        <f t="shared" si="68"/>
        <v>2.04</v>
      </c>
      <c r="I1125" s="96">
        <f t="shared" si="68"/>
        <v>2.04</v>
      </c>
      <c r="J1125" s="91" t="str">
        <f t="shared" si="69"/>
        <v>Sinapi 93436</v>
      </c>
      <c r="K1125" s="91" t="str">
        <f t="shared" si="70"/>
        <v>H</v>
      </c>
      <c r="L1125" s="166" t="str">
        <f t="shared" si="71"/>
        <v/>
      </c>
      <c r="M1125" s="82"/>
      <c r="N1125" s="82"/>
    </row>
    <row r="1126" spans="1:14" x14ac:dyDescent="0.25">
      <c r="A1126" s="170" t="s">
        <v>3791</v>
      </c>
      <c r="B1126" s="170" t="s">
        <v>21757</v>
      </c>
      <c r="C1126" s="170" t="s">
        <v>587</v>
      </c>
      <c r="D1126" s="170" t="s">
        <v>1947</v>
      </c>
      <c r="E1126" s="171" t="s">
        <v>17346</v>
      </c>
      <c r="F1126" s="171" t="s">
        <v>17346</v>
      </c>
      <c r="G1126" s="82"/>
      <c r="H1126" s="96">
        <f t="shared" si="68"/>
        <v>7.26</v>
      </c>
      <c r="I1126" s="96">
        <f t="shared" si="68"/>
        <v>7.26</v>
      </c>
      <c r="J1126" s="91" t="str">
        <f t="shared" si="69"/>
        <v>Sinapi 93437</v>
      </c>
      <c r="K1126" s="91" t="str">
        <f t="shared" si="70"/>
        <v>H</v>
      </c>
      <c r="L1126" s="166" t="str">
        <f t="shared" si="71"/>
        <v/>
      </c>
      <c r="M1126" s="82"/>
      <c r="N1126" s="82"/>
    </row>
    <row r="1127" spans="1:14" x14ac:dyDescent="0.25">
      <c r="A1127" s="170" t="s">
        <v>3793</v>
      </c>
      <c r="B1127" s="170" t="s">
        <v>21758</v>
      </c>
      <c r="C1127" s="170" t="s">
        <v>587</v>
      </c>
      <c r="D1127" s="170" t="s">
        <v>2710</v>
      </c>
      <c r="E1127" s="171" t="s">
        <v>32054</v>
      </c>
      <c r="F1127" s="171" t="s">
        <v>32054</v>
      </c>
      <c r="G1127" s="82"/>
      <c r="H1127" s="96">
        <f t="shared" si="68"/>
        <v>124.82</v>
      </c>
      <c r="I1127" s="96">
        <f t="shared" si="68"/>
        <v>124.82</v>
      </c>
      <c r="J1127" s="91" t="str">
        <f t="shared" si="69"/>
        <v>Sinapi 93438</v>
      </c>
      <c r="K1127" s="91" t="str">
        <f t="shared" si="70"/>
        <v>H</v>
      </c>
      <c r="L1127" s="166" t="str">
        <f t="shared" si="71"/>
        <v/>
      </c>
      <c r="M1127" s="82"/>
      <c r="N1127" s="82"/>
    </row>
    <row r="1128" spans="1:14" x14ac:dyDescent="0.25">
      <c r="A1128" s="170" t="s">
        <v>3794</v>
      </c>
      <c r="B1128" s="170" t="s">
        <v>3795</v>
      </c>
      <c r="C1128" s="170" t="s">
        <v>587</v>
      </c>
      <c r="D1128" s="170" t="s">
        <v>1947</v>
      </c>
      <c r="E1128" s="171" t="s">
        <v>23388</v>
      </c>
      <c r="F1128" s="171" t="s">
        <v>23388</v>
      </c>
      <c r="G1128" s="82"/>
      <c r="H1128" s="96">
        <f t="shared" si="68"/>
        <v>1.36</v>
      </c>
      <c r="I1128" s="96">
        <f t="shared" si="68"/>
        <v>1.36</v>
      </c>
      <c r="J1128" s="91" t="str">
        <f t="shared" si="69"/>
        <v>Sinapi 95114</v>
      </c>
      <c r="K1128" s="91" t="str">
        <f t="shared" si="70"/>
        <v>H</v>
      </c>
      <c r="L1128" s="166" t="str">
        <f t="shared" si="71"/>
        <v/>
      </c>
      <c r="M1128" s="82"/>
      <c r="N1128" s="82"/>
    </row>
    <row r="1129" spans="1:14" x14ac:dyDescent="0.25">
      <c r="A1129" s="170" t="s">
        <v>3796</v>
      </c>
      <c r="B1129" s="170" t="s">
        <v>3797</v>
      </c>
      <c r="C1129" s="170" t="s">
        <v>587</v>
      </c>
      <c r="D1129" s="170" t="s">
        <v>1947</v>
      </c>
      <c r="E1129" s="171" t="s">
        <v>3114</v>
      </c>
      <c r="F1129" s="171" t="s">
        <v>3114</v>
      </c>
      <c r="G1129" s="82"/>
      <c r="H1129" s="96">
        <f t="shared" si="68"/>
        <v>0.31</v>
      </c>
      <c r="I1129" s="96">
        <f t="shared" si="68"/>
        <v>0.31</v>
      </c>
      <c r="J1129" s="91" t="str">
        <f t="shared" si="69"/>
        <v>Sinapi 95115</v>
      </c>
      <c r="K1129" s="91" t="str">
        <f t="shared" si="70"/>
        <v>H</v>
      </c>
      <c r="L1129" s="166" t="str">
        <f t="shared" si="71"/>
        <v/>
      </c>
      <c r="M1129" s="82"/>
      <c r="N1129" s="82"/>
    </row>
    <row r="1130" spans="1:14" x14ac:dyDescent="0.25">
      <c r="A1130" s="170" t="s">
        <v>3798</v>
      </c>
      <c r="B1130" s="170" t="s">
        <v>3799</v>
      </c>
      <c r="C1130" s="170" t="s">
        <v>587</v>
      </c>
      <c r="D1130" s="170" t="s">
        <v>1947</v>
      </c>
      <c r="E1130" s="171" t="s">
        <v>17357</v>
      </c>
      <c r="F1130" s="171" t="s">
        <v>17357</v>
      </c>
      <c r="G1130" s="82"/>
      <c r="H1130" s="96">
        <f t="shared" si="68"/>
        <v>32.549999999999997</v>
      </c>
      <c r="I1130" s="96">
        <f t="shared" si="68"/>
        <v>32.549999999999997</v>
      </c>
      <c r="J1130" s="91" t="str">
        <f t="shared" si="69"/>
        <v>Sinapi 95116</v>
      </c>
      <c r="K1130" s="91" t="str">
        <f t="shared" si="70"/>
        <v>H</v>
      </c>
      <c r="L1130" s="166" t="str">
        <f t="shared" si="71"/>
        <v/>
      </c>
      <c r="M1130" s="82"/>
      <c r="N1130" s="82"/>
    </row>
    <row r="1131" spans="1:14" x14ac:dyDescent="0.25">
      <c r="A1131" s="170" t="s">
        <v>3800</v>
      </c>
      <c r="B1131" s="170" t="s">
        <v>3801</v>
      </c>
      <c r="C1131" s="170" t="s">
        <v>587</v>
      </c>
      <c r="D1131" s="170" t="s">
        <v>1947</v>
      </c>
      <c r="E1131" s="171" t="s">
        <v>14675</v>
      </c>
      <c r="F1131" s="171" t="s">
        <v>14675</v>
      </c>
      <c r="G1131" s="82"/>
      <c r="H1131" s="96">
        <f t="shared" si="68"/>
        <v>10.039999999999999</v>
      </c>
      <c r="I1131" s="96">
        <f t="shared" si="68"/>
        <v>10.039999999999999</v>
      </c>
      <c r="J1131" s="91" t="str">
        <f t="shared" si="69"/>
        <v>Sinapi 95117</v>
      </c>
      <c r="K1131" s="91" t="str">
        <f t="shared" si="70"/>
        <v>H</v>
      </c>
      <c r="L1131" s="166" t="str">
        <f t="shared" si="71"/>
        <v/>
      </c>
      <c r="M1131" s="82"/>
      <c r="N1131" s="82"/>
    </row>
    <row r="1132" spans="1:14" x14ac:dyDescent="0.25">
      <c r="A1132" s="170" t="s">
        <v>3802</v>
      </c>
      <c r="B1132" s="170" t="s">
        <v>3803</v>
      </c>
      <c r="C1132" s="170" t="s">
        <v>587</v>
      </c>
      <c r="D1132" s="170" t="s">
        <v>1947</v>
      </c>
      <c r="E1132" s="171" t="s">
        <v>20033</v>
      </c>
      <c r="F1132" s="171" t="s">
        <v>20033</v>
      </c>
      <c r="G1132" s="82"/>
      <c r="H1132" s="96">
        <f t="shared" si="68"/>
        <v>54.22</v>
      </c>
      <c r="I1132" s="96">
        <f t="shared" si="68"/>
        <v>54.22</v>
      </c>
      <c r="J1132" s="91" t="str">
        <f t="shared" si="69"/>
        <v>Sinapi 95118</v>
      </c>
      <c r="K1132" s="91" t="str">
        <f t="shared" si="70"/>
        <v>H</v>
      </c>
      <c r="L1132" s="166" t="str">
        <f t="shared" si="71"/>
        <v/>
      </c>
      <c r="M1132" s="82"/>
      <c r="N1132" s="82"/>
    </row>
    <row r="1133" spans="1:14" x14ac:dyDescent="0.25">
      <c r="A1133" s="170" t="s">
        <v>3804</v>
      </c>
      <c r="B1133" s="170" t="s">
        <v>3805</v>
      </c>
      <c r="C1133" s="170" t="s">
        <v>587</v>
      </c>
      <c r="D1133" s="170" t="s">
        <v>1947</v>
      </c>
      <c r="E1133" s="171" t="s">
        <v>31731</v>
      </c>
      <c r="F1133" s="171" t="s">
        <v>31731</v>
      </c>
      <c r="G1133" s="82"/>
      <c r="H1133" s="96">
        <f t="shared" si="68"/>
        <v>16.72</v>
      </c>
      <c r="I1133" s="96">
        <f t="shared" si="68"/>
        <v>16.72</v>
      </c>
      <c r="J1133" s="91" t="str">
        <f t="shared" si="69"/>
        <v>Sinapi 95119</v>
      </c>
      <c r="K1133" s="91" t="str">
        <f t="shared" si="70"/>
        <v>H</v>
      </c>
      <c r="L1133" s="166" t="str">
        <f t="shared" si="71"/>
        <v/>
      </c>
      <c r="M1133" s="82"/>
      <c r="N1133" s="82"/>
    </row>
    <row r="1134" spans="1:14" x14ac:dyDescent="0.25">
      <c r="A1134" s="170" t="s">
        <v>3806</v>
      </c>
      <c r="B1134" s="170" t="s">
        <v>3807</v>
      </c>
      <c r="C1134" s="170" t="s">
        <v>587</v>
      </c>
      <c r="D1134" s="170" t="s">
        <v>2067</v>
      </c>
      <c r="E1134" s="171" t="s">
        <v>22990</v>
      </c>
      <c r="F1134" s="171" t="s">
        <v>22990</v>
      </c>
      <c r="G1134" s="82"/>
      <c r="H1134" s="96">
        <f t="shared" si="68"/>
        <v>66.3</v>
      </c>
      <c r="I1134" s="96">
        <f t="shared" si="68"/>
        <v>66.3</v>
      </c>
      <c r="J1134" s="91" t="str">
        <f t="shared" si="69"/>
        <v>Sinapi 95120</v>
      </c>
      <c r="K1134" s="91" t="str">
        <f t="shared" si="70"/>
        <v>H</v>
      </c>
      <c r="L1134" s="166" t="str">
        <f t="shared" si="71"/>
        <v/>
      </c>
      <c r="M1134" s="82"/>
      <c r="N1134" s="82"/>
    </row>
    <row r="1135" spans="1:14" x14ac:dyDescent="0.25">
      <c r="A1135" s="170" t="s">
        <v>3808</v>
      </c>
      <c r="B1135" s="170" t="s">
        <v>3809</v>
      </c>
      <c r="C1135" s="170" t="s">
        <v>587</v>
      </c>
      <c r="D1135" s="170" t="s">
        <v>1947</v>
      </c>
      <c r="E1135" s="171" t="s">
        <v>16149</v>
      </c>
      <c r="F1135" s="171" t="s">
        <v>16149</v>
      </c>
      <c r="G1135" s="82"/>
      <c r="H1135" s="96">
        <f t="shared" si="68"/>
        <v>17.87</v>
      </c>
      <c r="I1135" s="96">
        <f t="shared" si="68"/>
        <v>17.87</v>
      </c>
      <c r="J1135" s="91" t="str">
        <f t="shared" si="69"/>
        <v>Sinapi 95123</v>
      </c>
      <c r="K1135" s="91" t="str">
        <f t="shared" si="70"/>
        <v>H</v>
      </c>
      <c r="L1135" s="166" t="str">
        <f t="shared" si="71"/>
        <v/>
      </c>
      <c r="M1135" s="82"/>
      <c r="N1135" s="82"/>
    </row>
    <row r="1136" spans="1:14" x14ac:dyDescent="0.25">
      <c r="A1136" s="170" t="s">
        <v>3810</v>
      </c>
      <c r="B1136" s="170" t="s">
        <v>3811</v>
      </c>
      <c r="C1136" s="170" t="s">
        <v>587</v>
      </c>
      <c r="D1136" s="170" t="s">
        <v>1947</v>
      </c>
      <c r="E1136" s="171" t="s">
        <v>13837</v>
      </c>
      <c r="F1136" s="171" t="s">
        <v>13837</v>
      </c>
      <c r="G1136" s="82"/>
      <c r="H1136" s="96">
        <f t="shared" si="68"/>
        <v>5.51</v>
      </c>
      <c r="I1136" s="96">
        <f t="shared" si="68"/>
        <v>5.51</v>
      </c>
      <c r="J1136" s="91" t="str">
        <f t="shared" si="69"/>
        <v>Sinapi 95124</v>
      </c>
      <c r="K1136" s="91" t="str">
        <f t="shared" si="70"/>
        <v>H</v>
      </c>
      <c r="L1136" s="166" t="str">
        <f t="shared" si="71"/>
        <v/>
      </c>
      <c r="M1136" s="82"/>
      <c r="N1136" s="82"/>
    </row>
    <row r="1137" spans="1:14" x14ac:dyDescent="0.25">
      <c r="A1137" s="170" t="s">
        <v>3813</v>
      </c>
      <c r="B1137" s="170" t="s">
        <v>3814</v>
      </c>
      <c r="C1137" s="170" t="s">
        <v>587</v>
      </c>
      <c r="D1137" s="170" t="s">
        <v>1947</v>
      </c>
      <c r="E1137" s="171" t="s">
        <v>17932</v>
      </c>
      <c r="F1137" s="171" t="s">
        <v>17932</v>
      </c>
      <c r="G1137" s="82"/>
      <c r="H1137" s="96">
        <f t="shared" si="68"/>
        <v>19.559999999999999</v>
      </c>
      <c r="I1137" s="96">
        <f t="shared" si="68"/>
        <v>19.559999999999999</v>
      </c>
      <c r="J1137" s="91" t="str">
        <f t="shared" si="69"/>
        <v>Sinapi 95125</v>
      </c>
      <c r="K1137" s="91" t="str">
        <f t="shared" si="70"/>
        <v>H</v>
      </c>
      <c r="L1137" s="166" t="str">
        <f t="shared" si="71"/>
        <v/>
      </c>
      <c r="M1137" s="82"/>
      <c r="N1137" s="82"/>
    </row>
    <row r="1138" spans="1:14" x14ac:dyDescent="0.25">
      <c r="A1138" s="170" t="s">
        <v>3815</v>
      </c>
      <c r="B1138" s="170" t="s">
        <v>3816</v>
      </c>
      <c r="C1138" s="170" t="s">
        <v>587</v>
      </c>
      <c r="D1138" s="170" t="s">
        <v>2710</v>
      </c>
      <c r="E1138" s="171" t="s">
        <v>29429</v>
      </c>
      <c r="F1138" s="171" t="s">
        <v>29429</v>
      </c>
      <c r="G1138" s="82"/>
      <c r="H1138" s="96">
        <f t="shared" si="68"/>
        <v>163.65</v>
      </c>
      <c r="I1138" s="96">
        <f t="shared" si="68"/>
        <v>163.65</v>
      </c>
      <c r="J1138" s="91" t="str">
        <f t="shared" si="69"/>
        <v>Sinapi 95126</v>
      </c>
      <c r="K1138" s="91" t="str">
        <f t="shared" si="70"/>
        <v>H</v>
      </c>
      <c r="L1138" s="166" t="str">
        <f t="shared" si="71"/>
        <v/>
      </c>
      <c r="M1138" s="82"/>
      <c r="N1138" s="82"/>
    </row>
    <row r="1139" spans="1:14" x14ac:dyDescent="0.25">
      <c r="A1139" s="170" t="s">
        <v>3817</v>
      </c>
      <c r="B1139" s="170" t="s">
        <v>3818</v>
      </c>
      <c r="C1139" s="170" t="s">
        <v>587</v>
      </c>
      <c r="D1139" s="170" t="s">
        <v>1947</v>
      </c>
      <c r="E1139" s="171" t="s">
        <v>21759</v>
      </c>
      <c r="F1139" s="171" t="s">
        <v>21759</v>
      </c>
      <c r="G1139" s="82"/>
      <c r="H1139" s="96">
        <f t="shared" si="68"/>
        <v>47.9</v>
      </c>
      <c r="I1139" s="96">
        <f t="shared" si="68"/>
        <v>47.9</v>
      </c>
      <c r="J1139" s="91" t="str">
        <f t="shared" si="69"/>
        <v>Sinapi 95129</v>
      </c>
      <c r="K1139" s="91" t="str">
        <f t="shared" si="70"/>
        <v>H</v>
      </c>
      <c r="L1139" s="166" t="str">
        <f t="shared" si="71"/>
        <v/>
      </c>
      <c r="M1139" s="82"/>
      <c r="N1139" s="82"/>
    </row>
    <row r="1140" spans="1:14" x14ac:dyDescent="0.25">
      <c r="A1140" s="170" t="s">
        <v>3819</v>
      </c>
      <c r="B1140" s="170" t="s">
        <v>3820</v>
      </c>
      <c r="C1140" s="170" t="s">
        <v>587</v>
      </c>
      <c r="D1140" s="170" t="s">
        <v>1947</v>
      </c>
      <c r="E1140" s="171" t="s">
        <v>27289</v>
      </c>
      <c r="F1140" s="171" t="s">
        <v>27289</v>
      </c>
      <c r="G1140" s="82"/>
      <c r="H1140" s="96">
        <f t="shared" si="68"/>
        <v>17.36</v>
      </c>
      <c r="I1140" s="96">
        <f t="shared" si="68"/>
        <v>17.36</v>
      </c>
      <c r="J1140" s="91" t="str">
        <f t="shared" si="69"/>
        <v>Sinapi 95130</v>
      </c>
      <c r="K1140" s="91" t="str">
        <f t="shared" si="70"/>
        <v>H</v>
      </c>
      <c r="L1140" s="166" t="str">
        <f t="shared" si="71"/>
        <v/>
      </c>
      <c r="M1140" s="82"/>
      <c r="N1140" s="82"/>
    </row>
    <row r="1141" spans="1:14" x14ac:dyDescent="0.25">
      <c r="A1141" s="170" t="s">
        <v>3821</v>
      </c>
      <c r="B1141" s="170" t="s">
        <v>3822</v>
      </c>
      <c r="C1141" s="170" t="s">
        <v>587</v>
      </c>
      <c r="D1141" s="170" t="s">
        <v>1947</v>
      </c>
      <c r="E1141" s="171" t="s">
        <v>21760</v>
      </c>
      <c r="F1141" s="171" t="s">
        <v>21760</v>
      </c>
      <c r="G1141" s="82"/>
      <c r="H1141" s="96">
        <f t="shared" si="68"/>
        <v>56.38</v>
      </c>
      <c r="I1141" s="96">
        <f t="shared" si="68"/>
        <v>56.38</v>
      </c>
      <c r="J1141" s="91" t="str">
        <f t="shared" si="69"/>
        <v>Sinapi 95131</v>
      </c>
      <c r="K1141" s="91" t="str">
        <f t="shared" si="70"/>
        <v>H</v>
      </c>
      <c r="L1141" s="166" t="str">
        <f t="shared" si="71"/>
        <v/>
      </c>
      <c r="M1141" s="82"/>
      <c r="N1141" s="82"/>
    </row>
    <row r="1142" spans="1:14" x14ac:dyDescent="0.25">
      <c r="A1142" s="170" t="s">
        <v>3823</v>
      </c>
      <c r="B1142" s="170" t="s">
        <v>3824</v>
      </c>
      <c r="C1142" s="170" t="s">
        <v>587</v>
      </c>
      <c r="D1142" s="170" t="s">
        <v>2710</v>
      </c>
      <c r="E1142" s="171" t="s">
        <v>19831</v>
      </c>
      <c r="F1142" s="171" t="s">
        <v>19831</v>
      </c>
      <c r="G1142" s="82"/>
      <c r="H1142" s="96">
        <f t="shared" si="68"/>
        <v>35.840000000000003</v>
      </c>
      <c r="I1142" s="96">
        <f t="shared" si="68"/>
        <v>35.840000000000003</v>
      </c>
      <c r="J1142" s="91" t="str">
        <f t="shared" si="69"/>
        <v>Sinapi 95132</v>
      </c>
      <c r="K1142" s="91" t="str">
        <f t="shared" si="70"/>
        <v>H</v>
      </c>
      <c r="L1142" s="166" t="str">
        <f t="shared" si="71"/>
        <v/>
      </c>
      <c r="M1142" s="82"/>
      <c r="N1142" s="82"/>
    </row>
    <row r="1143" spans="1:14" x14ac:dyDescent="0.25">
      <c r="A1143" s="170" t="s">
        <v>3825</v>
      </c>
      <c r="B1143" s="170" t="s">
        <v>3826</v>
      </c>
      <c r="C1143" s="170" t="s">
        <v>587</v>
      </c>
      <c r="D1143" s="170" t="s">
        <v>1947</v>
      </c>
      <c r="E1143" s="171" t="s">
        <v>3112</v>
      </c>
      <c r="F1143" s="171" t="s">
        <v>3112</v>
      </c>
      <c r="G1143" s="82"/>
      <c r="H1143" s="96">
        <f t="shared" si="68"/>
        <v>0.03</v>
      </c>
      <c r="I1143" s="96">
        <f t="shared" si="68"/>
        <v>0.03</v>
      </c>
      <c r="J1143" s="91" t="str">
        <f t="shared" si="69"/>
        <v>Sinapi 95136</v>
      </c>
      <c r="K1143" s="91" t="str">
        <f t="shared" si="70"/>
        <v>H</v>
      </c>
      <c r="L1143" s="166" t="str">
        <f t="shared" si="71"/>
        <v/>
      </c>
      <c r="M1143" s="82"/>
      <c r="N1143" s="82"/>
    </row>
    <row r="1144" spans="1:14" x14ac:dyDescent="0.25">
      <c r="A1144" s="170" t="s">
        <v>3827</v>
      </c>
      <c r="B1144" s="170" t="s">
        <v>3828</v>
      </c>
      <c r="C1144" s="170" t="s">
        <v>587</v>
      </c>
      <c r="D1144" s="170" t="s">
        <v>1947</v>
      </c>
      <c r="E1144" s="171" t="s">
        <v>3187</v>
      </c>
      <c r="F1144" s="171" t="s">
        <v>3187</v>
      </c>
      <c r="G1144" s="82"/>
      <c r="H1144" s="96">
        <f t="shared" si="68"/>
        <v>0.01</v>
      </c>
      <c r="I1144" s="96">
        <f t="shared" si="68"/>
        <v>0.01</v>
      </c>
      <c r="J1144" s="91" t="str">
        <f t="shared" si="69"/>
        <v>Sinapi 95137</v>
      </c>
      <c r="K1144" s="91" t="str">
        <f t="shared" si="70"/>
        <v>H</v>
      </c>
      <c r="L1144" s="166" t="str">
        <f t="shared" si="71"/>
        <v/>
      </c>
      <c r="M1144" s="82"/>
      <c r="N1144" s="82"/>
    </row>
    <row r="1145" spans="1:14" x14ac:dyDescent="0.25">
      <c r="A1145" s="170" t="s">
        <v>3829</v>
      </c>
      <c r="B1145" s="170" t="s">
        <v>3830</v>
      </c>
      <c r="C1145" s="170" t="s">
        <v>587</v>
      </c>
      <c r="D1145" s="170" t="s">
        <v>1947</v>
      </c>
      <c r="E1145" s="171" t="s">
        <v>2997</v>
      </c>
      <c r="F1145" s="171" t="s">
        <v>2997</v>
      </c>
      <c r="G1145" s="82"/>
      <c r="H1145" s="96">
        <f t="shared" si="68"/>
        <v>0.02</v>
      </c>
      <c r="I1145" s="96">
        <f t="shared" si="68"/>
        <v>0.02</v>
      </c>
      <c r="J1145" s="91" t="str">
        <f t="shared" si="69"/>
        <v>Sinapi 95138</v>
      </c>
      <c r="K1145" s="91" t="str">
        <f t="shared" si="70"/>
        <v>H</v>
      </c>
      <c r="L1145" s="166" t="str">
        <f t="shared" si="71"/>
        <v/>
      </c>
      <c r="M1145" s="82"/>
      <c r="N1145" s="82"/>
    </row>
    <row r="1146" spans="1:14" x14ac:dyDescent="0.25">
      <c r="A1146" s="170" t="s">
        <v>3831</v>
      </c>
      <c r="B1146" s="170" t="s">
        <v>21761</v>
      </c>
      <c r="C1146" s="170" t="s">
        <v>587</v>
      </c>
      <c r="D1146" s="170" t="s">
        <v>1947</v>
      </c>
      <c r="E1146" s="171" t="s">
        <v>20105</v>
      </c>
      <c r="F1146" s="171" t="s">
        <v>20105</v>
      </c>
      <c r="G1146" s="82"/>
      <c r="H1146" s="96">
        <f t="shared" si="68"/>
        <v>31.76</v>
      </c>
      <c r="I1146" s="96">
        <f t="shared" si="68"/>
        <v>31.76</v>
      </c>
      <c r="J1146" s="91" t="str">
        <f t="shared" si="69"/>
        <v>Sinapi 95208</v>
      </c>
      <c r="K1146" s="91" t="str">
        <f t="shared" si="70"/>
        <v>H</v>
      </c>
      <c r="L1146" s="166" t="str">
        <f t="shared" si="71"/>
        <v/>
      </c>
      <c r="M1146" s="82"/>
      <c r="N1146" s="82"/>
    </row>
    <row r="1147" spans="1:14" x14ac:dyDescent="0.25">
      <c r="A1147" s="170" t="s">
        <v>3832</v>
      </c>
      <c r="B1147" s="170" t="s">
        <v>21762</v>
      </c>
      <c r="C1147" s="170" t="s">
        <v>587</v>
      </c>
      <c r="D1147" s="170" t="s">
        <v>1947</v>
      </c>
      <c r="E1147" s="171" t="s">
        <v>5568</v>
      </c>
      <c r="F1147" s="171" t="s">
        <v>5568</v>
      </c>
      <c r="G1147" s="82"/>
      <c r="H1147" s="96">
        <f t="shared" si="68"/>
        <v>11.75</v>
      </c>
      <c r="I1147" s="96">
        <f t="shared" si="68"/>
        <v>11.75</v>
      </c>
      <c r="J1147" s="91" t="str">
        <f t="shared" si="69"/>
        <v>Sinapi 95209</v>
      </c>
      <c r="K1147" s="91" t="str">
        <f t="shared" si="70"/>
        <v>H</v>
      </c>
      <c r="L1147" s="166" t="str">
        <f t="shared" si="71"/>
        <v/>
      </c>
      <c r="M1147" s="82"/>
      <c r="N1147" s="82"/>
    </row>
    <row r="1148" spans="1:14" x14ac:dyDescent="0.25">
      <c r="A1148" s="170" t="s">
        <v>3833</v>
      </c>
      <c r="B1148" s="170" t="s">
        <v>21763</v>
      </c>
      <c r="C1148" s="170" t="s">
        <v>587</v>
      </c>
      <c r="D1148" s="170" t="s">
        <v>1947</v>
      </c>
      <c r="E1148" s="171" t="s">
        <v>20105</v>
      </c>
      <c r="F1148" s="171" t="s">
        <v>20105</v>
      </c>
      <c r="G1148" s="82"/>
      <c r="H1148" s="96">
        <f t="shared" si="68"/>
        <v>31.76</v>
      </c>
      <c r="I1148" s="96">
        <f t="shared" si="68"/>
        <v>31.76</v>
      </c>
      <c r="J1148" s="91" t="str">
        <f t="shared" si="69"/>
        <v>Sinapi 95210</v>
      </c>
      <c r="K1148" s="91" t="str">
        <f t="shared" si="70"/>
        <v>H</v>
      </c>
      <c r="L1148" s="166" t="str">
        <f t="shared" si="71"/>
        <v/>
      </c>
      <c r="M1148" s="82"/>
      <c r="N1148" s="82"/>
    </row>
    <row r="1149" spans="1:14" x14ac:dyDescent="0.25">
      <c r="A1149" s="170" t="s">
        <v>3834</v>
      </c>
      <c r="B1149" s="170" t="s">
        <v>21764</v>
      </c>
      <c r="C1149" s="170" t="s">
        <v>587</v>
      </c>
      <c r="D1149" s="170" t="s">
        <v>2067</v>
      </c>
      <c r="E1149" s="171" t="s">
        <v>19897</v>
      </c>
      <c r="F1149" s="171" t="s">
        <v>19897</v>
      </c>
      <c r="G1149" s="82"/>
      <c r="H1149" s="96">
        <f t="shared" si="68"/>
        <v>9.7200000000000006</v>
      </c>
      <c r="I1149" s="96">
        <f t="shared" si="68"/>
        <v>9.7200000000000006</v>
      </c>
      <c r="J1149" s="91" t="str">
        <f t="shared" si="69"/>
        <v>Sinapi 95211</v>
      </c>
      <c r="K1149" s="91" t="str">
        <f t="shared" si="70"/>
        <v>H</v>
      </c>
      <c r="L1149" s="166" t="str">
        <f t="shared" si="71"/>
        <v/>
      </c>
      <c r="M1149" s="82"/>
      <c r="N1149" s="82"/>
    </row>
    <row r="1150" spans="1:14" x14ac:dyDescent="0.25">
      <c r="A1150" s="170" t="s">
        <v>3835</v>
      </c>
      <c r="B1150" s="170" t="s">
        <v>21765</v>
      </c>
      <c r="C1150" s="170" t="s">
        <v>587</v>
      </c>
      <c r="D1150" s="170" t="s">
        <v>2067</v>
      </c>
      <c r="E1150" s="171" t="s">
        <v>19267</v>
      </c>
      <c r="F1150" s="171" t="s">
        <v>19267</v>
      </c>
      <c r="G1150" s="82"/>
      <c r="H1150" s="96">
        <f t="shared" si="68"/>
        <v>0.79</v>
      </c>
      <c r="I1150" s="96">
        <f t="shared" si="68"/>
        <v>0.79</v>
      </c>
      <c r="J1150" s="91" t="str">
        <f t="shared" si="69"/>
        <v>Sinapi 95217</v>
      </c>
      <c r="K1150" s="91" t="str">
        <f t="shared" si="70"/>
        <v>H</v>
      </c>
      <c r="L1150" s="166" t="str">
        <f t="shared" si="71"/>
        <v/>
      </c>
      <c r="M1150" s="82"/>
      <c r="N1150" s="82"/>
    </row>
    <row r="1151" spans="1:14" x14ac:dyDescent="0.25">
      <c r="A1151" s="170" t="s">
        <v>3836</v>
      </c>
      <c r="B1151" s="170" t="s">
        <v>3837</v>
      </c>
      <c r="C1151" s="170" t="s">
        <v>587</v>
      </c>
      <c r="D1151" s="170" t="s">
        <v>1947</v>
      </c>
      <c r="E1151" s="171" t="s">
        <v>20045</v>
      </c>
      <c r="F1151" s="171" t="s">
        <v>20045</v>
      </c>
      <c r="G1151" s="82"/>
      <c r="H1151" s="96">
        <f t="shared" si="68"/>
        <v>1.21</v>
      </c>
      <c r="I1151" s="96">
        <f t="shared" si="68"/>
        <v>1.21</v>
      </c>
      <c r="J1151" s="91" t="str">
        <f t="shared" si="69"/>
        <v>Sinapi 95255</v>
      </c>
      <c r="K1151" s="91" t="str">
        <f t="shared" si="70"/>
        <v>H</v>
      </c>
      <c r="L1151" s="166" t="str">
        <f t="shared" si="71"/>
        <v/>
      </c>
      <c r="M1151" s="82"/>
      <c r="N1151" s="82"/>
    </row>
    <row r="1152" spans="1:14" x14ac:dyDescent="0.25">
      <c r="A1152" s="170" t="s">
        <v>3838</v>
      </c>
      <c r="B1152" s="170" t="s">
        <v>3839</v>
      </c>
      <c r="C1152" s="170" t="s">
        <v>587</v>
      </c>
      <c r="D1152" s="170" t="s">
        <v>1947</v>
      </c>
      <c r="E1152" s="171" t="s">
        <v>3227</v>
      </c>
      <c r="F1152" s="171" t="s">
        <v>3227</v>
      </c>
      <c r="G1152" s="82"/>
      <c r="H1152" s="96">
        <f t="shared" si="68"/>
        <v>0.27</v>
      </c>
      <c r="I1152" s="96">
        <f t="shared" si="68"/>
        <v>0.27</v>
      </c>
      <c r="J1152" s="91" t="str">
        <f t="shared" si="69"/>
        <v>Sinapi 95256</v>
      </c>
      <c r="K1152" s="91" t="str">
        <f t="shared" si="70"/>
        <v>H</v>
      </c>
      <c r="L1152" s="166" t="str">
        <f t="shared" si="71"/>
        <v/>
      </c>
      <c r="M1152" s="82"/>
      <c r="N1152" s="82"/>
    </row>
    <row r="1153" spans="1:14" x14ac:dyDescent="0.25">
      <c r="A1153" s="170" t="s">
        <v>3840</v>
      </c>
      <c r="B1153" s="170" t="s">
        <v>3841</v>
      </c>
      <c r="C1153" s="170" t="s">
        <v>587</v>
      </c>
      <c r="D1153" s="170" t="s">
        <v>1947</v>
      </c>
      <c r="E1153" s="171" t="s">
        <v>21598</v>
      </c>
      <c r="F1153" s="171" t="s">
        <v>21598</v>
      </c>
      <c r="G1153" s="82"/>
      <c r="H1153" s="96">
        <f t="shared" si="68"/>
        <v>1.51</v>
      </c>
      <c r="I1153" s="96">
        <f t="shared" si="68"/>
        <v>1.51</v>
      </c>
      <c r="J1153" s="91" t="str">
        <f t="shared" si="69"/>
        <v>Sinapi 95257</v>
      </c>
      <c r="K1153" s="91" t="str">
        <f t="shared" si="70"/>
        <v>H</v>
      </c>
      <c r="L1153" s="166" t="str">
        <f t="shared" si="71"/>
        <v/>
      </c>
      <c r="M1153" s="82"/>
      <c r="N1153" s="82"/>
    </row>
    <row r="1154" spans="1:14" x14ac:dyDescent="0.25">
      <c r="A1154" s="170" t="s">
        <v>3842</v>
      </c>
      <c r="B1154" s="170" t="s">
        <v>3843</v>
      </c>
      <c r="C1154" s="170" t="s">
        <v>587</v>
      </c>
      <c r="D1154" s="170" t="s">
        <v>1947</v>
      </c>
      <c r="E1154" s="171" t="s">
        <v>10263</v>
      </c>
      <c r="F1154" s="171" t="s">
        <v>10263</v>
      </c>
      <c r="G1154" s="82"/>
      <c r="H1154" s="96">
        <f t="shared" si="68"/>
        <v>0.56999999999999995</v>
      </c>
      <c r="I1154" s="96">
        <f t="shared" si="68"/>
        <v>0.56999999999999995</v>
      </c>
      <c r="J1154" s="91" t="str">
        <f t="shared" si="69"/>
        <v>Sinapi 95260</v>
      </c>
      <c r="K1154" s="91" t="str">
        <f t="shared" si="70"/>
        <v>H</v>
      </c>
      <c r="L1154" s="166" t="str">
        <f t="shared" si="71"/>
        <v/>
      </c>
      <c r="M1154" s="82"/>
      <c r="N1154" s="82"/>
    </row>
    <row r="1155" spans="1:14" x14ac:dyDescent="0.25">
      <c r="A1155" s="170" t="s">
        <v>3844</v>
      </c>
      <c r="B1155" s="170" t="s">
        <v>3845</v>
      </c>
      <c r="C1155" s="170" t="s">
        <v>587</v>
      </c>
      <c r="D1155" s="170" t="s">
        <v>1947</v>
      </c>
      <c r="E1155" s="171" t="s">
        <v>3227</v>
      </c>
      <c r="F1155" s="171" t="s">
        <v>3227</v>
      </c>
      <c r="G1155" s="82"/>
      <c r="H1155" s="96">
        <f t="shared" si="68"/>
        <v>0.27</v>
      </c>
      <c r="I1155" s="96">
        <f t="shared" si="68"/>
        <v>0.27</v>
      </c>
      <c r="J1155" s="91" t="str">
        <f t="shared" si="69"/>
        <v>Sinapi 95261</v>
      </c>
      <c r="K1155" s="91" t="str">
        <f t="shared" si="70"/>
        <v>H</v>
      </c>
      <c r="L1155" s="166" t="str">
        <f t="shared" si="71"/>
        <v/>
      </c>
      <c r="M1155" s="82"/>
      <c r="N1155" s="82"/>
    </row>
    <row r="1156" spans="1:14" x14ac:dyDescent="0.25">
      <c r="A1156" s="170" t="s">
        <v>3846</v>
      </c>
      <c r="B1156" s="170" t="s">
        <v>3847</v>
      </c>
      <c r="C1156" s="170" t="s">
        <v>587</v>
      </c>
      <c r="D1156" s="170" t="s">
        <v>1947</v>
      </c>
      <c r="E1156" s="171" t="s">
        <v>9628</v>
      </c>
      <c r="F1156" s="171" t="s">
        <v>9628</v>
      </c>
      <c r="G1156" s="82"/>
      <c r="H1156" s="96">
        <f t="shared" si="68"/>
        <v>1.26</v>
      </c>
      <c r="I1156" s="96">
        <f t="shared" si="68"/>
        <v>1.26</v>
      </c>
      <c r="J1156" s="91" t="str">
        <f t="shared" si="69"/>
        <v>Sinapi 95262</v>
      </c>
      <c r="K1156" s="91" t="str">
        <f t="shared" si="70"/>
        <v>H</v>
      </c>
      <c r="L1156" s="166" t="str">
        <f t="shared" si="71"/>
        <v/>
      </c>
      <c r="M1156" s="82"/>
      <c r="N1156" s="82"/>
    </row>
    <row r="1157" spans="1:14" x14ac:dyDescent="0.25">
      <c r="A1157" s="170" t="s">
        <v>3848</v>
      </c>
      <c r="B1157" s="170" t="s">
        <v>3849</v>
      </c>
      <c r="C1157" s="170" t="s">
        <v>587</v>
      </c>
      <c r="D1157" s="170" t="s">
        <v>2710</v>
      </c>
      <c r="E1157" s="171" t="s">
        <v>14944</v>
      </c>
      <c r="F1157" s="171" t="s">
        <v>14944</v>
      </c>
      <c r="G1157" s="82"/>
      <c r="H1157" s="96">
        <f t="shared" si="68"/>
        <v>5.17</v>
      </c>
      <c r="I1157" s="96">
        <f t="shared" si="68"/>
        <v>5.17</v>
      </c>
      <c r="J1157" s="91" t="str">
        <f t="shared" si="69"/>
        <v>Sinapi 95263</v>
      </c>
      <c r="K1157" s="91" t="str">
        <f t="shared" si="70"/>
        <v>H</v>
      </c>
      <c r="L1157" s="166" t="str">
        <f t="shared" si="71"/>
        <v/>
      </c>
      <c r="M1157" s="82"/>
      <c r="N1157" s="82"/>
    </row>
    <row r="1158" spans="1:14" x14ac:dyDescent="0.25">
      <c r="A1158" s="170" t="s">
        <v>3850</v>
      </c>
      <c r="B1158" s="170" t="s">
        <v>3851</v>
      </c>
      <c r="C1158" s="170" t="s">
        <v>587</v>
      </c>
      <c r="D1158" s="170" t="s">
        <v>1947</v>
      </c>
      <c r="E1158" s="171" t="s">
        <v>20018</v>
      </c>
      <c r="F1158" s="171" t="s">
        <v>20018</v>
      </c>
      <c r="G1158" s="82"/>
      <c r="H1158" s="96">
        <f t="shared" si="68"/>
        <v>0.43</v>
      </c>
      <c r="I1158" s="96">
        <f t="shared" si="68"/>
        <v>0.43</v>
      </c>
      <c r="J1158" s="91" t="str">
        <f t="shared" si="69"/>
        <v>Sinapi 95266</v>
      </c>
      <c r="K1158" s="91" t="str">
        <f t="shared" si="70"/>
        <v>H</v>
      </c>
      <c r="L1158" s="166" t="str">
        <f t="shared" si="71"/>
        <v/>
      </c>
      <c r="M1158" s="82"/>
      <c r="N1158" s="82"/>
    </row>
    <row r="1159" spans="1:14" x14ac:dyDescent="0.25">
      <c r="A1159" s="170" t="s">
        <v>3853</v>
      </c>
      <c r="B1159" s="170" t="s">
        <v>3854</v>
      </c>
      <c r="C1159" s="170" t="s">
        <v>587</v>
      </c>
      <c r="D1159" s="170" t="s">
        <v>1947</v>
      </c>
      <c r="E1159" s="171" t="s">
        <v>2799</v>
      </c>
      <c r="F1159" s="171" t="s">
        <v>2799</v>
      </c>
      <c r="G1159" s="82"/>
      <c r="H1159" s="96">
        <f t="shared" si="68"/>
        <v>0.08</v>
      </c>
      <c r="I1159" s="96">
        <f t="shared" si="68"/>
        <v>0.08</v>
      </c>
      <c r="J1159" s="91" t="str">
        <f t="shared" si="69"/>
        <v>Sinapi 95267</v>
      </c>
      <c r="K1159" s="91" t="str">
        <f t="shared" si="70"/>
        <v>H</v>
      </c>
      <c r="L1159" s="166" t="str">
        <f t="shared" si="71"/>
        <v/>
      </c>
      <c r="M1159" s="82"/>
      <c r="N1159" s="82"/>
    </row>
    <row r="1160" spans="1:14" x14ac:dyDescent="0.25">
      <c r="A1160" s="170" t="s">
        <v>3855</v>
      </c>
      <c r="B1160" s="170" t="s">
        <v>3856</v>
      </c>
      <c r="C1160" s="170" t="s">
        <v>587</v>
      </c>
      <c r="D1160" s="170" t="s">
        <v>1947</v>
      </c>
      <c r="E1160" s="171" t="s">
        <v>3852</v>
      </c>
      <c r="F1160" s="171" t="s">
        <v>3852</v>
      </c>
      <c r="G1160" s="82"/>
      <c r="H1160" s="96">
        <f t="shared" ref="H1160:I1223" si="72">IF(E1160="","",E1160+0)</f>
        <v>0.42</v>
      </c>
      <c r="I1160" s="96">
        <f t="shared" si="72"/>
        <v>0.42</v>
      </c>
      <c r="J1160" s="91" t="str">
        <f t="shared" ref="J1160:J1223" si="73">IF(OR(H1160="",I1160=""),"",TRIM(CONCATENATE("Sinapi ",A1160)))</f>
        <v>Sinapi 95268</v>
      </c>
      <c r="K1160" s="91" t="str">
        <f t="shared" ref="K1160:K1223" si="74">TRIM(C1160)</f>
        <v>H</v>
      </c>
      <c r="L1160" s="166" t="str">
        <f t="shared" ref="L1160:L1223" si="75">IF(OR(RIGHT(IF(AND(K1160&lt;&gt;"H",K1160&lt;&gt;"MES"),RIGHT(B1160,7),""),2)="PS",RIGHT(IF(AND(K1160&lt;&gt;"H",K1160&lt;&gt;"MES"),RIGHT(B1160,7),""),2)="PA",RIGHT(IF(AND(K1160&lt;&gt;"H",K1160&lt;&gt;"MES"),RIGHT(B1160,7),""),2)="PE"),LEFT(IF(AND(K1160&lt;&gt;"H",K1160&lt;&gt;"MES"),RIGHT(B1160,10),""),7),IF(AND(K1160&lt;&gt;"H",K1160&lt;&gt;"MES"),RIGHT(B1160,7),""))</f>
        <v/>
      </c>
      <c r="M1160" s="82"/>
      <c r="N1160" s="82"/>
    </row>
    <row r="1161" spans="1:14" x14ac:dyDescent="0.25">
      <c r="A1161" s="170" t="s">
        <v>3857</v>
      </c>
      <c r="B1161" s="170" t="s">
        <v>3858</v>
      </c>
      <c r="C1161" s="170" t="s">
        <v>587</v>
      </c>
      <c r="D1161" s="170" t="s">
        <v>2710</v>
      </c>
      <c r="E1161" s="171" t="s">
        <v>14625</v>
      </c>
      <c r="F1161" s="171" t="s">
        <v>14625</v>
      </c>
      <c r="G1161" s="82"/>
      <c r="H1161" s="96">
        <f t="shared" si="72"/>
        <v>9.5399999999999991</v>
      </c>
      <c r="I1161" s="96">
        <f t="shared" si="72"/>
        <v>9.5399999999999991</v>
      </c>
      <c r="J1161" s="91" t="str">
        <f t="shared" si="73"/>
        <v>Sinapi 95269</v>
      </c>
      <c r="K1161" s="91" t="str">
        <f t="shared" si="74"/>
        <v>H</v>
      </c>
      <c r="L1161" s="166" t="str">
        <f t="shared" si="75"/>
        <v/>
      </c>
      <c r="M1161" s="82"/>
      <c r="N1161" s="82"/>
    </row>
    <row r="1162" spans="1:14" x14ac:dyDescent="0.25">
      <c r="A1162" s="170" t="s">
        <v>3859</v>
      </c>
      <c r="B1162" s="170" t="s">
        <v>21766</v>
      </c>
      <c r="C1162" s="170" t="s">
        <v>587</v>
      </c>
      <c r="D1162" s="170" t="s">
        <v>1947</v>
      </c>
      <c r="E1162" s="171" t="s">
        <v>10177</v>
      </c>
      <c r="F1162" s="171" t="s">
        <v>10177</v>
      </c>
      <c r="G1162" s="82"/>
      <c r="H1162" s="96">
        <f t="shared" si="72"/>
        <v>0.39</v>
      </c>
      <c r="I1162" s="96">
        <f t="shared" si="72"/>
        <v>0.39</v>
      </c>
      <c r="J1162" s="91" t="str">
        <f t="shared" si="73"/>
        <v>Sinapi 95272</v>
      </c>
      <c r="K1162" s="91" t="str">
        <f t="shared" si="74"/>
        <v>H</v>
      </c>
      <c r="L1162" s="166" t="str">
        <f t="shared" si="75"/>
        <v/>
      </c>
      <c r="M1162" s="82"/>
      <c r="N1162" s="82"/>
    </row>
    <row r="1163" spans="1:14" x14ac:dyDescent="0.25">
      <c r="A1163" s="170" t="s">
        <v>3860</v>
      </c>
      <c r="B1163" s="170" t="s">
        <v>21767</v>
      </c>
      <c r="C1163" s="170" t="s">
        <v>587</v>
      </c>
      <c r="D1163" s="170" t="s">
        <v>1947</v>
      </c>
      <c r="E1163" s="171" t="s">
        <v>3126</v>
      </c>
      <c r="F1163" s="171" t="s">
        <v>3126</v>
      </c>
      <c r="G1163" s="82"/>
      <c r="H1163" s="96">
        <f t="shared" si="72"/>
        <v>0.09</v>
      </c>
      <c r="I1163" s="96">
        <f t="shared" si="72"/>
        <v>0.09</v>
      </c>
      <c r="J1163" s="91" t="str">
        <f t="shared" si="73"/>
        <v>Sinapi 95273</v>
      </c>
      <c r="K1163" s="91" t="str">
        <f t="shared" si="74"/>
        <v>H</v>
      </c>
      <c r="L1163" s="166" t="str">
        <f t="shared" si="75"/>
        <v/>
      </c>
      <c r="M1163" s="82"/>
      <c r="N1163" s="82"/>
    </row>
    <row r="1164" spans="1:14" x14ac:dyDescent="0.25">
      <c r="A1164" s="170" t="s">
        <v>3861</v>
      </c>
      <c r="B1164" s="170" t="s">
        <v>21768</v>
      </c>
      <c r="C1164" s="170" t="s">
        <v>587</v>
      </c>
      <c r="D1164" s="170" t="s">
        <v>1947</v>
      </c>
      <c r="E1164" s="171" t="s">
        <v>2816</v>
      </c>
      <c r="F1164" s="171" t="s">
        <v>2816</v>
      </c>
      <c r="G1164" s="82"/>
      <c r="H1164" s="96">
        <f t="shared" si="72"/>
        <v>0.33</v>
      </c>
      <c r="I1164" s="96">
        <f t="shared" si="72"/>
        <v>0.33</v>
      </c>
      <c r="J1164" s="91" t="str">
        <f t="shared" si="73"/>
        <v>Sinapi 95274</v>
      </c>
      <c r="K1164" s="91" t="str">
        <f t="shared" si="74"/>
        <v>H</v>
      </c>
      <c r="L1164" s="166" t="str">
        <f t="shared" si="75"/>
        <v/>
      </c>
      <c r="M1164" s="82"/>
      <c r="N1164" s="82"/>
    </row>
    <row r="1165" spans="1:14" x14ac:dyDescent="0.25">
      <c r="A1165" s="170" t="s">
        <v>3862</v>
      </c>
      <c r="B1165" s="170" t="s">
        <v>21769</v>
      </c>
      <c r="C1165" s="170" t="s">
        <v>587</v>
      </c>
      <c r="D1165" s="170" t="s">
        <v>2067</v>
      </c>
      <c r="E1165" s="171" t="s">
        <v>21508</v>
      </c>
      <c r="F1165" s="171" t="s">
        <v>21508</v>
      </c>
      <c r="G1165" s="82"/>
      <c r="H1165" s="96">
        <f t="shared" si="72"/>
        <v>2.63</v>
      </c>
      <c r="I1165" s="96">
        <f t="shared" si="72"/>
        <v>2.63</v>
      </c>
      <c r="J1165" s="91" t="str">
        <f t="shared" si="73"/>
        <v>Sinapi 95275</v>
      </c>
      <c r="K1165" s="91" t="str">
        <f t="shared" si="74"/>
        <v>H</v>
      </c>
      <c r="L1165" s="166" t="str">
        <f t="shared" si="75"/>
        <v/>
      </c>
      <c r="M1165" s="82"/>
      <c r="N1165" s="82"/>
    </row>
    <row r="1166" spans="1:14" x14ac:dyDescent="0.25">
      <c r="A1166" s="170" t="s">
        <v>3863</v>
      </c>
      <c r="B1166" s="170" t="s">
        <v>21770</v>
      </c>
      <c r="C1166" s="170" t="s">
        <v>587</v>
      </c>
      <c r="D1166" s="170" t="s">
        <v>1947</v>
      </c>
      <c r="E1166" s="171" t="s">
        <v>15582</v>
      </c>
      <c r="F1166" s="171" t="s">
        <v>15582</v>
      </c>
      <c r="G1166" s="82"/>
      <c r="H1166" s="96">
        <f t="shared" si="72"/>
        <v>0.5</v>
      </c>
      <c r="I1166" s="96">
        <f t="shared" si="72"/>
        <v>0.5</v>
      </c>
      <c r="J1166" s="91" t="str">
        <f t="shared" si="73"/>
        <v>Sinapi 95278</v>
      </c>
      <c r="K1166" s="91" t="str">
        <f t="shared" si="74"/>
        <v>H</v>
      </c>
      <c r="L1166" s="166" t="str">
        <f t="shared" si="75"/>
        <v/>
      </c>
      <c r="M1166" s="82"/>
      <c r="N1166" s="82"/>
    </row>
    <row r="1167" spans="1:14" x14ac:dyDescent="0.25">
      <c r="A1167" s="170" t="s">
        <v>3864</v>
      </c>
      <c r="B1167" s="170" t="s">
        <v>21771</v>
      </c>
      <c r="C1167" s="170" t="s">
        <v>587</v>
      </c>
      <c r="D1167" s="170" t="s">
        <v>1947</v>
      </c>
      <c r="E1167" s="171" t="s">
        <v>3648</v>
      </c>
      <c r="F1167" s="171" t="s">
        <v>3648</v>
      </c>
      <c r="G1167" s="82"/>
      <c r="H1167" s="96">
        <f t="shared" si="72"/>
        <v>0.1</v>
      </c>
      <c r="I1167" s="96">
        <f t="shared" si="72"/>
        <v>0.1</v>
      </c>
      <c r="J1167" s="91" t="str">
        <f t="shared" si="73"/>
        <v>Sinapi 95279</v>
      </c>
      <c r="K1167" s="91" t="str">
        <f t="shared" si="74"/>
        <v>H</v>
      </c>
      <c r="L1167" s="166" t="str">
        <f t="shared" si="75"/>
        <v/>
      </c>
      <c r="M1167" s="82"/>
      <c r="N1167" s="82"/>
    </row>
    <row r="1168" spans="1:14" x14ac:dyDescent="0.25">
      <c r="A1168" s="170" t="s">
        <v>3865</v>
      </c>
      <c r="B1168" s="170" t="s">
        <v>21772</v>
      </c>
      <c r="C1168" s="170" t="s">
        <v>587</v>
      </c>
      <c r="D1168" s="170" t="s">
        <v>1947</v>
      </c>
      <c r="E1168" s="171" t="s">
        <v>15582</v>
      </c>
      <c r="F1168" s="171" t="s">
        <v>15582</v>
      </c>
      <c r="G1168" s="82"/>
      <c r="H1168" s="96">
        <f t="shared" si="72"/>
        <v>0.5</v>
      </c>
      <c r="I1168" s="96">
        <f t="shared" si="72"/>
        <v>0.5</v>
      </c>
      <c r="J1168" s="91" t="str">
        <f t="shared" si="73"/>
        <v>Sinapi 95280</v>
      </c>
      <c r="K1168" s="91" t="str">
        <f t="shared" si="74"/>
        <v>H</v>
      </c>
      <c r="L1168" s="166" t="str">
        <f t="shared" si="75"/>
        <v/>
      </c>
      <c r="M1168" s="82"/>
      <c r="N1168" s="82"/>
    </row>
    <row r="1169" spans="1:14" x14ac:dyDescent="0.25">
      <c r="A1169" s="170" t="s">
        <v>3866</v>
      </c>
      <c r="B1169" s="170" t="s">
        <v>21773</v>
      </c>
      <c r="C1169" s="170" t="s">
        <v>587</v>
      </c>
      <c r="D1169" s="170" t="s">
        <v>2710</v>
      </c>
      <c r="E1169" s="171" t="s">
        <v>20994</v>
      </c>
      <c r="F1169" s="171" t="s">
        <v>20994</v>
      </c>
      <c r="G1169" s="82"/>
      <c r="H1169" s="96">
        <f t="shared" si="72"/>
        <v>9.52</v>
      </c>
      <c r="I1169" s="96">
        <f t="shared" si="72"/>
        <v>9.52</v>
      </c>
      <c r="J1169" s="91" t="str">
        <f t="shared" si="73"/>
        <v>Sinapi 95281</v>
      </c>
      <c r="K1169" s="91" t="str">
        <f t="shared" si="74"/>
        <v>H</v>
      </c>
      <c r="L1169" s="166" t="str">
        <f t="shared" si="75"/>
        <v/>
      </c>
      <c r="M1169" s="82"/>
      <c r="N1169" s="82"/>
    </row>
    <row r="1170" spans="1:14" x14ac:dyDescent="0.25">
      <c r="A1170" s="170" t="s">
        <v>3867</v>
      </c>
      <c r="B1170" s="170" t="s">
        <v>3868</v>
      </c>
      <c r="C1170" s="170" t="s">
        <v>587</v>
      </c>
      <c r="D1170" s="170" t="s">
        <v>1947</v>
      </c>
      <c r="E1170" s="171" t="s">
        <v>10110</v>
      </c>
      <c r="F1170" s="171" t="s">
        <v>10110</v>
      </c>
      <c r="G1170" s="82"/>
      <c r="H1170" s="96">
        <f t="shared" si="72"/>
        <v>0.99</v>
      </c>
      <c r="I1170" s="96">
        <f t="shared" si="72"/>
        <v>0.99</v>
      </c>
      <c r="J1170" s="91" t="str">
        <f t="shared" si="73"/>
        <v>Sinapi 95617</v>
      </c>
      <c r="K1170" s="91" t="str">
        <f t="shared" si="74"/>
        <v>H</v>
      </c>
      <c r="L1170" s="166" t="str">
        <f t="shared" si="75"/>
        <v/>
      </c>
      <c r="M1170" s="82"/>
      <c r="N1170" s="82"/>
    </row>
    <row r="1171" spans="1:14" x14ac:dyDescent="0.25">
      <c r="A1171" s="170" t="s">
        <v>3869</v>
      </c>
      <c r="B1171" s="170" t="s">
        <v>3870</v>
      </c>
      <c r="C1171" s="170" t="s">
        <v>587</v>
      </c>
      <c r="D1171" s="170" t="s">
        <v>1947</v>
      </c>
      <c r="E1171" s="171" t="s">
        <v>3160</v>
      </c>
      <c r="F1171" s="171" t="s">
        <v>3160</v>
      </c>
      <c r="G1171" s="82"/>
      <c r="H1171" s="96">
        <f t="shared" si="72"/>
        <v>0.22</v>
      </c>
      <c r="I1171" s="96">
        <f t="shared" si="72"/>
        <v>0.22</v>
      </c>
      <c r="J1171" s="91" t="str">
        <f t="shared" si="73"/>
        <v>Sinapi 95618</v>
      </c>
      <c r="K1171" s="91" t="str">
        <f t="shared" si="74"/>
        <v>H</v>
      </c>
      <c r="L1171" s="166" t="str">
        <f t="shared" si="75"/>
        <v/>
      </c>
      <c r="M1171" s="82"/>
      <c r="N1171" s="82"/>
    </row>
    <row r="1172" spans="1:14" x14ac:dyDescent="0.25">
      <c r="A1172" s="170" t="s">
        <v>3871</v>
      </c>
      <c r="B1172" s="170" t="s">
        <v>3872</v>
      </c>
      <c r="C1172" s="170" t="s">
        <v>587</v>
      </c>
      <c r="D1172" s="170" t="s">
        <v>1947</v>
      </c>
      <c r="E1172" s="171" t="s">
        <v>14922</v>
      </c>
      <c r="F1172" s="171" t="s">
        <v>14922</v>
      </c>
      <c r="G1172" s="82"/>
      <c r="H1172" s="96">
        <f t="shared" si="72"/>
        <v>1.24</v>
      </c>
      <c r="I1172" s="96">
        <f t="shared" si="72"/>
        <v>1.24</v>
      </c>
      <c r="J1172" s="91" t="str">
        <f t="shared" si="73"/>
        <v>Sinapi 95619</v>
      </c>
      <c r="K1172" s="91" t="str">
        <f t="shared" si="74"/>
        <v>H</v>
      </c>
      <c r="L1172" s="166" t="str">
        <f t="shared" si="75"/>
        <v/>
      </c>
      <c r="M1172" s="82"/>
      <c r="N1172" s="82"/>
    </row>
    <row r="1173" spans="1:14" x14ac:dyDescent="0.25">
      <c r="A1173" s="170" t="s">
        <v>3873</v>
      </c>
      <c r="B1173" s="170" t="s">
        <v>3874</v>
      </c>
      <c r="C1173" s="170" t="s">
        <v>587</v>
      </c>
      <c r="D1173" s="170" t="s">
        <v>1947</v>
      </c>
      <c r="E1173" s="171" t="s">
        <v>28567</v>
      </c>
      <c r="F1173" s="171" t="s">
        <v>28567</v>
      </c>
      <c r="G1173" s="82"/>
      <c r="H1173" s="96">
        <f t="shared" si="72"/>
        <v>47.05</v>
      </c>
      <c r="I1173" s="96">
        <f t="shared" si="72"/>
        <v>47.05</v>
      </c>
      <c r="J1173" s="91" t="str">
        <f t="shared" si="73"/>
        <v>Sinapi 95627</v>
      </c>
      <c r="K1173" s="91" t="str">
        <f t="shared" si="74"/>
        <v>H</v>
      </c>
      <c r="L1173" s="166" t="str">
        <f t="shared" si="75"/>
        <v/>
      </c>
      <c r="M1173" s="82"/>
      <c r="N1173" s="82"/>
    </row>
    <row r="1174" spans="1:14" x14ac:dyDescent="0.25">
      <c r="A1174" s="170" t="s">
        <v>3875</v>
      </c>
      <c r="B1174" s="170" t="s">
        <v>3876</v>
      </c>
      <c r="C1174" s="170" t="s">
        <v>587</v>
      </c>
      <c r="D1174" s="170" t="s">
        <v>1947</v>
      </c>
      <c r="E1174" s="171" t="s">
        <v>19824</v>
      </c>
      <c r="F1174" s="171" t="s">
        <v>19824</v>
      </c>
      <c r="G1174" s="82"/>
      <c r="H1174" s="96">
        <f t="shared" si="72"/>
        <v>12.62</v>
      </c>
      <c r="I1174" s="96">
        <f t="shared" si="72"/>
        <v>12.62</v>
      </c>
      <c r="J1174" s="91" t="str">
        <f t="shared" si="73"/>
        <v>Sinapi 95628</v>
      </c>
      <c r="K1174" s="91" t="str">
        <f t="shared" si="74"/>
        <v>H</v>
      </c>
      <c r="L1174" s="166" t="str">
        <f t="shared" si="75"/>
        <v/>
      </c>
      <c r="M1174" s="82"/>
      <c r="N1174" s="82"/>
    </row>
    <row r="1175" spans="1:14" x14ac:dyDescent="0.25">
      <c r="A1175" s="170" t="s">
        <v>3877</v>
      </c>
      <c r="B1175" s="170" t="s">
        <v>3878</v>
      </c>
      <c r="C1175" s="170" t="s">
        <v>587</v>
      </c>
      <c r="D1175" s="170" t="s">
        <v>1947</v>
      </c>
      <c r="E1175" s="171" t="s">
        <v>23240</v>
      </c>
      <c r="F1175" s="171" t="s">
        <v>23240</v>
      </c>
      <c r="G1175" s="82"/>
      <c r="H1175" s="96">
        <f t="shared" si="72"/>
        <v>58.88</v>
      </c>
      <c r="I1175" s="96">
        <f t="shared" si="72"/>
        <v>58.88</v>
      </c>
      <c r="J1175" s="91" t="str">
        <f t="shared" si="73"/>
        <v>Sinapi 95629</v>
      </c>
      <c r="K1175" s="91" t="str">
        <f t="shared" si="74"/>
        <v>H</v>
      </c>
      <c r="L1175" s="166" t="str">
        <f t="shared" si="75"/>
        <v/>
      </c>
      <c r="M1175" s="82"/>
      <c r="N1175" s="82"/>
    </row>
    <row r="1176" spans="1:14" x14ac:dyDescent="0.25">
      <c r="A1176" s="170" t="s">
        <v>3879</v>
      </c>
      <c r="B1176" s="170" t="s">
        <v>3880</v>
      </c>
      <c r="C1176" s="170" t="s">
        <v>587</v>
      </c>
      <c r="D1176" s="170" t="s">
        <v>2710</v>
      </c>
      <c r="E1176" s="171" t="s">
        <v>31994</v>
      </c>
      <c r="F1176" s="171" t="s">
        <v>31994</v>
      </c>
      <c r="G1176" s="82"/>
      <c r="H1176" s="96">
        <f t="shared" si="72"/>
        <v>99.21</v>
      </c>
      <c r="I1176" s="96">
        <f t="shared" si="72"/>
        <v>99.21</v>
      </c>
      <c r="J1176" s="91" t="str">
        <f t="shared" si="73"/>
        <v>Sinapi 95630</v>
      </c>
      <c r="K1176" s="91" t="str">
        <f t="shared" si="74"/>
        <v>H</v>
      </c>
      <c r="L1176" s="166" t="str">
        <f t="shared" si="75"/>
        <v/>
      </c>
      <c r="M1176" s="82"/>
      <c r="N1176" s="82"/>
    </row>
    <row r="1177" spans="1:14" x14ac:dyDescent="0.25">
      <c r="A1177" s="170" t="s">
        <v>3881</v>
      </c>
      <c r="B1177" s="170" t="s">
        <v>3882</v>
      </c>
      <c r="C1177" s="170" t="s">
        <v>587</v>
      </c>
      <c r="D1177" s="170" t="s">
        <v>1947</v>
      </c>
      <c r="E1177" s="171" t="s">
        <v>8460</v>
      </c>
      <c r="F1177" s="171" t="s">
        <v>8460</v>
      </c>
      <c r="G1177" s="82"/>
      <c r="H1177" s="96">
        <f t="shared" si="72"/>
        <v>4.0199999999999996</v>
      </c>
      <c r="I1177" s="96">
        <f t="shared" si="72"/>
        <v>4.0199999999999996</v>
      </c>
      <c r="J1177" s="91" t="str">
        <f t="shared" si="73"/>
        <v>Sinapi 95698</v>
      </c>
      <c r="K1177" s="91" t="str">
        <f t="shared" si="74"/>
        <v>H</v>
      </c>
      <c r="L1177" s="166" t="str">
        <f t="shared" si="75"/>
        <v/>
      </c>
      <c r="M1177" s="82"/>
      <c r="N1177" s="82"/>
    </row>
    <row r="1178" spans="1:14" x14ac:dyDescent="0.25">
      <c r="A1178" s="170" t="s">
        <v>3884</v>
      </c>
      <c r="B1178" s="170" t="s">
        <v>3885</v>
      </c>
      <c r="C1178" s="170" t="s">
        <v>587</v>
      </c>
      <c r="D1178" s="170" t="s">
        <v>1947</v>
      </c>
      <c r="E1178" s="171" t="s">
        <v>19294</v>
      </c>
      <c r="F1178" s="171" t="s">
        <v>19294</v>
      </c>
      <c r="G1178" s="82"/>
      <c r="H1178" s="96">
        <f t="shared" si="72"/>
        <v>0.93</v>
      </c>
      <c r="I1178" s="96">
        <f t="shared" si="72"/>
        <v>0.93</v>
      </c>
      <c r="J1178" s="91" t="str">
        <f t="shared" si="73"/>
        <v>Sinapi 95699</v>
      </c>
      <c r="K1178" s="91" t="str">
        <f t="shared" si="74"/>
        <v>H</v>
      </c>
      <c r="L1178" s="166" t="str">
        <f t="shared" si="75"/>
        <v/>
      </c>
      <c r="M1178" s="82"/>
      <c r="N1178" s="82"/>
    </row>
    <row r="1179" spans="1:14" x14ac:dyDescent="0.25">
      <c r="A1179" s="170" t="s">
        <v>3887</v>
      </c>
      <c r="B1179" s="170" t="s">
        <v>3888</v>
      </c>
      <c r="C1179" s="170" t="s">
        <v>587</v>
      </c>
      <c r="D1179" s="170" t="s">
        <v>1947</v>
      </c>
      <c r="E1179" s="171" t="s">
        <v>21065</v>
      </c>
      <c r="F1179" s="171" t="s">
        <v>21065</v>
      </c>
      <c r="G1179" s="82"/>
      <c r="H1179" s="96">
        <f t="shared" si="72"/>
        <v>5.0199999999999996</v>
      </c>
      <c r="I1179" s="96">
        <f t="shared" si="72"/>
        <v>5.0199999999999996</v>
      </c>
      <c r="J1179" s="91" t="str">
        <f t="shared" si="73"/>
        <v>Sinapi 95700</v>
      </c>
      <c r="K1179" s="91" t="str">
        <f t="shared" si="74"/>
        <v>H</v>
      </c>
      <c r="L1179" s="166" t="str">
        <f t="shared" si="75"/>
        <v/>
      </c>
      <c r="M1179" s="82"/>
      <c r="N1179" s="82"/>
    </row>
    <row r="1180" spans="1:14" x14ac:dyDescent="0.25">
      <c r="A1180" s="170" t="s">
        <v>3889</v>
      </c>
      <c r="B1180" s="170" t="s">
        <v>3890</v>
      </c>
      <c r="C1180" s="170" t="s">
        <v>587</v>
      </c>
      <c r="D1180" s="170" t="s">
        <v>2067</v>
      </c>
      <c r="E1180" s="171" t="s">
        <v>15508</v>
      </c>
      <c r="F1180" s="171" t="s">
        <v>15508</v>
      </c>
      <c r="G1180" s="82"/>
      <c r="H1180" s="96">
        <f t="shared" si="72"/>
        <v>3.25</v>
      </c>
      <c r="I1180" s="96">
        <f t="shared" si="72"/>
        <v>3.25</v>
      </c>
      <c r="J1180" s="91" t="str">
        <f t="shared" si="73"/>
        <v>Sinapi 95701</v>
      </c>
      <c r="K1180" s="91" t="str">
        <f t="shared" si="74"/>
        <v>H</v>
      </c>
      <c r="L1180" s="166" t="str">
        <f t="shared" si="75"/>
        <v/>
      </c>
      <c r="M1180" s="82"/>
      <c r="N1180" s="82"/>
    </row>
    <row r="1181" spans="1:14" x14ac:dyDescent="0.25">
      <c r="A1181" s="170" t="s">
        <v>3891</v>
      </c>
      <c r="B1181" s="170" t="s">
        <v>3892</v>
      </c>
      <c r="C1181" s="170" t="s">
        <v>587</v>
      </c>
      <c r="D1181" s="170" t="s">
        <v>1947</v>
      </c>
      <c r="E1181" s="171" t="s">
        <v>21864</v>
      </c>
      <c r="F1181" s="171" t="s">
        <v>21864</v>
      </c>
      <c r="G1181" s="82"/>
      <c r="H1181" s="96">
        <f t="shared" si="72"/>
        <v>44.23</v>
      </c>
      <c r="I1181" s="96">
        <f t="shared" si="72"/>
        <v>44.23</v>
      </c>
      <c r="J1181" s="91" t="str">
        <f t="shared" si="73"/>
        <v>Sinapi 95704</v>
      </c>
      <c r="K1181" s="91" t="str">
        <f t="shared" si="74"/>
        <v>H</v>
      </c>
      <c r="L1181" s="166" t="str">
        <f t="shared" si="75"/>
        <v/>
      </c>
      <c r="M1181" s="82"/>
      <c r="N1181" s="82"/>
    </row>
    <row r="1182" spans="1:14" x14ac:dyDescent="0.25">
      <c r="A1182" s="170" t="s">
        <v>3893</v>
      </c>
      <c r="B1182" s="170" t="s">
        <v>3894</v>
      </c>
      <c r="C1182" s="170" t="s">
        <v>587</v>
      </c>
      <c r="D1182" s="170" t="s">
        <v>1947</v>
      </c>
      <c r="E1182" s="171" t="s">
        <v>13648</v>
      </c>
      <c r="F1182" s="171" t="s">
        <v>13648</v>
      </c>
      <c r="G1182" s="82"/>
      <c r="H1182" s="96">
        <f t="shared" si="72"/>
        <v>11.86</v>
      </c>
      <c r="I1182" s="96">
        <f t="shared" si="72"/>
        <v>11.86</v>
      </c>
      <c r="J1182" s="91" t="str">
        <f t="shared" si="73"/>
        <v>Sinapi 95705</v>
      </c>
      <c r="K1182" s="91" t="str">
        <f t="shared" si="74"/>
        <v>H</v>
      </c>
      <c r="L1182" s="166" t="str">
        <f t="shared" si="75"/>
        <v/>
      </c>
      <c r="M1182" s="82"/>
      <c r="N1182" s="82"/>
    </row>
    <row r="1183" spans="1:14" x14ac:dyDescent="0.25">
      <c r="A1183" s="170" t="s">
        <v>3895</v>
      </c>
      <c r="B1183" s="170" t="s">
        <v>3896</v>
      </c>
      <c r="C1183" s="170" t="s">
        <v>587</v>
      </c>
      <c r="D1183" s="170" t="s">
        <v>1947</v>
      </c>
      <c r="E1183" s="171" t="s">
        <v>23252</v>
      </c>
      <c r="F1183" s="171" t="s">
        <v>23252</v>
      </c>
      <c r="G1183" s="82"/>
      <c r="H1183" s="96">
        <f t="shared" si="72"/>
        <v>55.35</v>
      </c>
      <c r="I1183" s="96">
        <f t="shared" si="72"/>
        <v>55.35</v>
      </c>
      <c r="J1183" s="91" t="str">
        <f t="shared" si="73"/>
        <v>Sinapi 95706</v>
      </c>
      <c r="K1183" s="91" t="str">
        <f t="shared" si="74"/>
        <v>H</v>
      </c>
      <c r="L1183" s="166" t="str">
        <f t="shared" si="75"/>
        <v/>
      </c>
      <c r="M1183" s="82"/>
      <c r="N1183" s="82"/>
    </row>
    <row r="1184" spans="1:14" x14ac:dyDescent="0.25">
      <c r="A1184" s="170" t="s">
        <v>3897</v>
      </c>
      <c r="B1184" s="170" t="s">
        <v>3898</v>
      </c>
      <c r="C1184" s="170" t="s">
        <v>587</v>
      </c>
      <c r="D1184" s="170" t="s">
        <v>2067</v>
      </c>
      <c r="E1184" s="171" t="s">
        <v>28500</v>
      </c>
      <c r="F1184" s="171" t="s">
        <v>28500</v>
      </c>
      <c r="G1184" s="82"/>
      <c r="H1184" s="96">
        <f t="shared" si="72"/>
        <v>4.26</v>
      </c>
      <c r="I1184" s="96">
        <f t="shared" si="72"/>
        <v>4.26</v>
      </c>
      <c r="J1184" s="91" t="str">
        <f t="shared" si="73"/>
        <v>Sinapi 95707</v>
      </c>
      <c r="K1184" s="91" t="str">
        <f t="shared" si="74"/>
        <v>H</v>
      </c>
      <c r="L1184" s="166" t="str">
        <f t="shared" si="75"/>
        <v/>
      </c>
      <c r="M1184" s="82"/>
      <c r="N1184" s="82"/>
    </row>
    <row r="1185" spans="1:14" x14ac:dyDescent="0.25">
      <c r="A1185" s="170" t="s">
        <v>3899</v>
      </c>
      <c r="B1185" s="170" t="s">
        <v>3900</v>
      </c>
      <c r="C1185" s="170" t="s">
        <v>587</v>
      </c>
      <c r="D1185" s="170" t="s">
        <v>1947</v>
      </c>
      <c r="E1185" s="171" t="s">
        <v>23582</v>
      </c>
      <c r="F1185" s="171" t="s">
        <v>23582</v>
      </c>
      <c r="G1185" s="82"/>
      <c r="H1185" s="96">
        <f t="shared" si="72"/>
        <v>53.16</v>
      </c>
      <c r="I1185" s="96">
        <f t="shared" si="72"/>
        <v>53.16</v>
      </c>
      <c r="J1185" s="91" t="str">
        <f t="shared" si="73"/>
        <v>Sinapi 95710</v>
      </c>
      <c r="K1185" s="91" t="str">
        <f t="shared" si="74"/>
        <v>H</v>
      </c>
      <c r="L1185" s="166" t="str">
        <f t="shared" si="75"/>
        <v/>
      </c>
      <c r="M1185" s="82"/>
      <c r="N1185" s="82"/>
    </row>
    <row r="1186" spans="1:14" x14ac:dyDescent="0.25">
      <c r="A1186" s="170" t="s">
        <v>3901</v>
      </c>
      <c r="B1186" s="170" t="s">
        <v>3902</v>
      </c>
      <c r="C1186" s="170" t="s">
        <v>587</v>
      </c>
      <c r="D1186" s="170" t="s">
        <v>1947</v>
      </c>
      <c r="E1186" s="171" t="s">
        <v>18634</v>
      </c>
      <c r="F1186" s="171" t="s">
        <v>18634</v>
      </c>
      <c r="G1186" s="82"/>
      <c r="H1186" s="96">
        <f t="shared" si="72"/>
        <v>14.04</v>
      </c>
      <c r="I1186" s="96">
        <f t="shared" si="72"/>
        <v>14.04</v>
      </c>
      <c r="J1186" s="91" t="str">
        <f t="shared" si="73"/>
        <v>Sinapi 95711</v>
      </c>
      <c r="K1186" s="91" t="str">
        <f t="shared" si="74"/>
        <v>H</v>
      </c>
      <c r="L1186" s="166" t="str">
        <f t="shared" si="75"/>
        <v/>
      </c>
      <c r="M1186" s="82"/>
      <c r="N1186" s="82"/>
    </row>
    <row r="1187" spans="1:14" x14ac:dyDescent="0.25">
      <c r="A1187" s="170" t="s">
        <v>3903</v>
      </c>
      <c r="B1187" s="170" t="s">
        <v>3904</v>
      </c>
      <c r="C1187" s="170" t="s">
        <v>587</v>
      </c>
      <c r="D1187" s="170" t="s">
        <v>1947</v>
      </c>
      <c r="E1187" s="171" t="s">
        <v>32055</v>
      </c>
      <c r="F1187" s="171" t="s">
        <v>32055</v>
      </c>
      <c r="G1187" s="82"/>
      <c r="H1187" s="96">
        <f t="shared" si="72"/>
        <v>66.45</v>
      </c>
      <c r="I1187" s="96">
        <f t="shared" si="72"/>
        <v>66.45</v>
      </c>
      <c r="J1187" s="91" t="str">
        <f t="shared" si="73"/>
        <v>Sinapi 95712</v>
      </c>
      <c r="K1187" s="91" t="str">
        <f t="shared" si="74"/>
        <v>H</v>
      </c>
      <c r="L1187" s="166" t="str">
        <f t="shared" si="75"/>
        <v/>
      </c>
      <c r="M1187" s="82"/>
      <c r="N1187" s="82"/>
    </row>
    <row r="1188" spans="1:14" x14ac:dyDescent="0.25">
      <c r="A1188" s="170" t="s">
        <v>3905</v>
      </c>
      <c r="B1188" s="170" t="s">
        <v>3906</v>
      </c>
      <c r="C1188" s="170" t="s">
        <v>587</v>
      </c>
      <c r="D1188" s="170" t="s">
        <v>2710</v>
      </c>
      <c r="E1188" s="171" t="s">
        <v>22003</v>
      </c>
      <c r="F1188" s="171" t="s">
        <v>22003</v>
      </c>
      <c r="G1188" s="82"/>
      <c r="H1188" s="96">
        <f t="shared" si="72"/>
        <v>99.94</v>
      </c>
      <c r="I1188" s="96">
        <f t="shared" si="72"/>
        <v>99.94</v>
      </c>
      <c r="J1188" s="91" t="str">
        <f t="shared" si="73"/>
        <v>Sinapi 95713</v>
      </c>
      <c r="K1188" s="91" t="str">
        <f t="shared" si="74"/>
        <v>H</v>
      </c>
      <c r="L1188" s="166" t="str">
        <f t="shared" si="75"/>
        <v/>
      </c>
      <c r="M1188" s="82"/>
      <c r="N1188" s="82"/>
    </row>
    <row r="1189" spans="1:14" x14ac:dyDescent="0.25">
      <c r="A1189" s="170" t="s">
        <v>3907</v>
      </c>
      <c r="B1189" s="170" t="s">
        <v>3908</v>
      </c>
      <c r="C1189" s="170" t="s">
        <v>587</v>
      </c>
      <c r="D1189" s="170" t="s">
        <v>1947</v>
      </c>
      <c r="E1189" s="171" t="s">
        <v>23146</v>
      </c>
      <c r="F1189" s="171" t="s">
        <v>23146</v>
      </c>
      <c r="G1189" s="82"/>
      <c r="H1189" s="96">
        <f t="shared" si="72"/>
        <v>51.17</v>
      </c>
      <c r="I1189" s="96">
        <f t="shared" si="72"/>
        <v>51.17</v>
      </c>
      <c r="J1189" s="91" t="str">
        <f t="shared" si="73"/>
        <v>Sinapi 95716</v>
      </c>
      <c r="K1189" s="91" t="str">
        <f t="shared" si="74"/>
        <v>H</v>
      </c>
      <c r="L1189" s="166" t="str">
        <f t="shared" si="75"/>
        <v/>
      </c>
      <c r="M1189" s="82"/>
      <c r="N1189" s="82"/>
    </row>
    <row r="1190" spans="1:14" x14ac:dyDescent="0.25">
      <c r="A1190" s="170" t="s">
        <v>3909</v>
      </c>
      <c r="B1190" s="170" t="s">
        <v>3910</v>
      </c>
      <c r="C1190" s="170" t="s">
        <v>587</v>
      </c>
      <c r="D1190" s="170" t="s">
        <v>1947</v>
      </c>
      <c r="E1190" s="171" t="s">
        <v>16288</v>
      </c>
      <c r="F1190" s="171" t="s">
        <v>16288</v>
      </c>
      <c r="G1190" s="82"/>
      <c r="H1190" s="96">
        <f t="shared" si="72"/>
        <v>13.52</v>
      </c>
      <c r="I1190" s="96">
        <f t="shared" si="72"/>
        <v>13.52</v>
      </c>
      <c r="J1190" s="91" t="str">
        <f t="shared" si="73"/>
        <v>Sinapi 95717</v>
      </c>
      <c r="K1190" s="91" t="str">
        <f t="shared" si="74"/>
        <v>H</v>
      </c>
      <c r="L1190" s="166" t="str">
        <f t="shared" si="75"/>
        <v/>
      </c>
      <c r="M1190" s="82"/>
      <c r="N1190" s="82"/>
    </row>
    <row r="1191" spans="1:14" x14ac:dyDescent="0.25">
      <c r="A1191" s="170" t="s">
        <v>3911</v>
      </c>
      <c r="B1191" s="170" t="s">
        <v>3912</v>
      </c>
      <c r="C1191" s="170" t="s">
        <v>587</v>
      </c>
      <c r="D1191" s="170" t="s">
        <v>1947</v>
      </c>
      <c r="E1191" s="171" t="s">
        <v>32056</v>
      </c>
      <c r="F1191" s="171" t="s">
        <v>32056</v>
      </c>
      <c r="G1191" s="82"/>
      <c r="H1191" s="96">
        <f t="shared" si="72"/>
        <v>63.97</v>
      </c>
      <c r="I1191" s="96">
        <f t="shared" si="72"/>
        <v>63.97</v>
      </c>
      <c r="J1191" s="91" t="str">
        <f t="shared" si="73"/>
        <v>Sinapi 95718</v>
      </c>
      <c r="K1191" s="91" t="str">
        <f t="shared" si="74"/>
        <v>H</v>
      </c>
      <c r="L1191" s="166" t="str">
        <f t="shared" si="75"/>
        <v/>
      </c>
      <c r="M1191" s="82"/>
      <c r="N1191" s="82"/>
    </row>
    <row r="1192" spans="1:14" x14ac:dyDescent="0.25">
      <c r="A1192" s="170" t="s">
        <v>3913</v>
      </c>
      <c r="B1192" s="170" t="s">
        <v>3914</v>
      </c>
      <c r="C1192" s="170" t="s">
        <v>587</v>
      </c>
      <c r="D1192" s="170" t="s">
        <v>2710</v>
      </c>
      <c r="E1192" s="171" t="s">
        <v>22003</v>
      </c>
      <c r="F1192" s="171" t="s">
        <v>22003</v>
      </c>
      <c r="G1192" s="82"/>
      <c r="H1192" s="96">
        <f t="shared" si="72"/>
        <v>99.94</v>
      </c>
      <c r="I1192" s="96">
        <f t="shared" si="72"/>
        <v>99.94</v>
      </c>
      <c r="J1192" s="91" t="str">
        <f t="shared" si="73"/>
        <v>Sinapi 95719</v>
      </c>
      <c r="K1192" s="91" t="str">
        <f t="shared" si="74"/>
        <v>H</v>
      </c>
      <c r="L1192" s="166" t="str">
        <f t="shared" si="75"/>
        <v/>
      </c>
      <c r="M1192" s="82"/>
      <c r="N1192" s="82"/>
    </row>
    <row r="1193" spans="1:14" x14ac:dyDescent="0.25">
      <c r="A1193" s="170" t="s">
        <v>3915</v>
      </c>
      <c r="B1193" s="170" t="s">
        <v>3916</v>
      </c>
      <c r="C1193" s="170" t="s">
        <v>587</v>
      </c>
      <c r="D1193" s="170" t="s">
        <v>1947</v>
      </c>
      <c r="E1193" s="171" t="s">
        <v>30954</v>
      </c>
      <c r="F1193" s="171" t="s">
        <v>30954</v>
      </c>
      <c r="G1193" s="82"/>
      <c r="H1193" s="96">
        <f t="shared" si="72"/>
        <v>2.95</v>
      </c>
      <c r="I1193" s="96">
        <f t="shared" si="72"/>
        <v>2.95</v>
      </c>
      <c r="J1193" s="91" t="str">
        <f t="shared" si="73"/>
        <v>Sinapi 95869</v>
      </c>
      <c r="K1193" s="91" t="str">
        <f t="shared" si="74"/>
        <v>H</v>
      </c>
      <c r="L1193" s="166" t="str">
        <f t="shared" si="75"/>
        <v/>
      </c>
      <c r="M1193" s="82"/>
      <c r="N1193" s="82"/>
    </row>
    <row r="1194" spans="1:14" x14ac:dyDescent="0.25">
      <c r="A1194" s="170" t="s">
        <v>3917</v>
      </c>
      <c r="B1194" s="170" t="s">
        <v>3918</v>
      </c>
      <c r="C1194" s="170" t="s">
        <v>587</v>
      </c>
      <c r="D1194" s="170" t="s">
        <v>1947</v>
      </c>
      <c r="E1194" s="171" t="s">
        <v>16359</v>
      </c>
      <c r="F1194" s="171" t="s">
        <v>16359</v>
      </c>
      <c r="G1194" s="82"/>
      <c r="H1194" s="96">
        <f t="shared" si="72"/>
        <v>7.49</v>
      </c>
      <c r="I1194" s="96">
        <f t="shared" si="72"/>
        <v>7.49</v>
      </c>
      <c r="J1194" s="91" t="str">
        <f t="shared" si="73"/>
        <v>Sinapi 95870</v>
      </c>
      <c r="K1194" s="91" t="str">
        <f t="shared" si="74"/>
        <v>H</v>
      </c>
      <c r="L1194" s="166" t="str">
        <f t="shared" si="75"/>
        <v/>
      </c>
      <c r="M1194" s="82"/>
      <c r="N1194" s="82"/>
    </row>
    <row r="1195" spans="1:14" x14ac:dyDescent="0.25">
      <c r="A1195" s="170" t="s">
        <v>3920</v>
      </c>
      <c r="B1195" s="170" t="s">
        <v>3921</v>
      </c>
      <c r="C1195" s="170" t="s">
        <v>587</v>
      </c>
      <c r="D1195" s="170" t="s">
        <v>2710</v>
      </c>
      <c r="E1195" s="171" t="s">
        <v>32057</v>
      </c>
      <c r="F1195" s="171" t="s">
        <v>32057</v>
      </c>
      <c r="G1195" s="82"/>
      <c r="H1195" s="96">
        <f t="shared" si="72"/>
        <v>303.5</v>
      </c>
      <c r="I1195" s="96">
        <f t="shared" si="72"/>
        <v>303.5</v>
      </c>
      <c r="J1195" s="91" t="str">
        <f t="shared" si="73"/>
        <v>Sinapi 95871</v>
      </c>
      <c r="K1195" s="91" t="str">
        <f t="shared" si="74"/>
        <v>H</v>
      </c>
      <c r="L1195" s="166" t="str">
        <f t="shared" si="75"/>
        <v/>
      </c>
      <c r="M1195" s="82"/>
      <c r="N1195" s="82"/>
    </row>
    <row r="1196" spans="1:14" x14ac:dyDescent="0.25">
      <c r="A1196" s="170" t="s">
        <v>3922</v>
      </c>
      <c r="B1196" s="170" t="s">
        <v>3923</v>
      </c>
      <c r="C1196" s="170" t="s">
        <v>587</v>
      </c>
      <c r="D1196" s="170" t="s">
        <v>1947</v>
      </c>
      <c r="E1196" s="171" t="s">
        <v>21856</v>
      </c>
      <c r="F1196" s="171" t="s">
        <v>21856</v>
      </c>
      <c r="G1196" s="82"/>
      <c r="H1196" s="96">
        <f t="shared" si="72"/>
        <v>8.39</v>
      </c>
      <c r="I1196" s="96">
        <f t="shared" si="72"/>
        <v>8.39</v>
      </c>
      <c r="J1196" s="91" t="str">
        <f t="shared" si="73"/>
        <v>Sinapi 95874</v>
      </c>
      <c r="K1196" s="91" t="str">
        <f t="shared" si="74"/>
        <v>H</v>
      </c>
      <c r="L1196" s="166" t="str">
        <f t="shared" si="75"/>
        <v/>
      </c>
      <c r="M1196" s="82"/>
      <c r="N1196" s="82"/>
    </row>
    <row r="1197" spans="1:14" x14ac:dyDescent="0.25">
      <c r="A1197" s="170" t="s">
        <v>3924</v>
      </c>
      <c r="B1197" s="170" t="s">
        <v>3925</v>
      </c>
      <c r="C1197" s="170" t="s">
        <v>587</v>
      </c>
      <c r="D1197" s="170" t="s">
        <v>1947</v>
      </c>
      <c r="E1197" s="171" t="s">
        <v>22840</v>
      </c>
      <c r="F1197" s="171" t="s">
        <v>22840</v>
      </c>
      <c r="G1197" s="82"/>
      <c r="H1197" s="96">
        <f t="shared" si="72"/>
        <v>22.9</v>
      </c>
      <c r="I1197" s="96">
        <f t="shared" si="72"/>
        <v>22.9</v>
      </c>
      <c r="J1197" s="91" t="str">
        <f t="shared" si="73"/>
        <v>Sinapi 96008</v>
      </c>
      <c r="K1197" s="91" t="str">
        <f t="shared" si="74"/>
        <v>H</v>
      </c>
      <c r="L1197" s="166" t="str">
        <f t="shared" si="75"/>
        <v/>
      </c>
      <c r="M1197" s="82"/>
      <c r="N1197" s="82"/>
    </row>
    <row r="1198" spans="1:14" x14ac:dyDescent="0.25">
      <c r="A1198" s="170" t="s">
        <v>3926</v>
      </c>
      <c r="B1198" s="170" t="s">
        <v>3927</v>
      </c>
      <c r="C1198" s="170" t="s">
        <v>587</v>
      </c>
      <c r="D1198" s="170" t="s">
        <v>1947</v>
      </c>
      <c r="E1198" s="171" t="s">
        <v>29699</v>
      </c>
      <c r="F1198" s="171" t="s">
        <v>29699</v>
      </c>
      <c r="G1198" s="82"/>
      <c r="H1198" s="96">
        <f t="shared" si="72"/>
        <v>6.13</v>
      </c>
      <c r="I1198" s="96">
        <f t="shared" si="72"/>
        <v>6.13</v>
      </c>
      <c r="J1198" s="91" t="str">
        <f t="shared" si="73"/>
        <v>Sinapi 96009</v>
      </c>
      <c r="K1198" s="91" t="str">
        <f t="shared" si="74"/>
        <v>H</v>
      </c>
      <c r="L1198" s="166" t="str">
        <f t="shared" si="75"/>
        <v/>
      </c>
      <c r="M1198" s="82"/>
      <c r="N1198" s="82"/>
    </row>
    <row r="1199" spans="1:14" x14ac:dyDescent="0.25">
      <c r="A1199" s="170" t="s">
        <v>3928</v>
      </c>
      <c r="B1199" s="170" t="s">
        <v>3929</v>
      </c>
      <c r="C1199" s="170" t="s">
        <v>587</v>
      </c>
      <c r="D1199" s="170" t="s">
        <v>1947</v>
      </c>
      <c r="E1199" s="171" t="s">
        <v>23277</v>
      </c>
      <c r="F1199" s="171" t="s">
        <v>23277</v>
      </c>
      <c r="G1199" s="82"/>
      <c r="H1199" s="96">
        <f t="shared" si="72"/>
        <v>25.05</v>
      </c>
      <c r="I1199" s="96">
        <f t="shared" si="72"/>
        <v>25.05</v>
      </c>
      <c r="J1199" s="91" t="str">
        <f t="shared" si="73"/>
        <v>Sinapi 96011</v>
      </c>
      <c r="K1199" s="91" t="str">
        <f t="shared" si="74"/>
        <v>H</v>
      </c>
      <c r="L1199" s="166" t="str">
        <f t="shared" si="75"/>
        <v/>
      </c>
      <c r="M1199" s="82"/>
      <c r="N1199" s="82"/>
    </row>
    <row r="1200" spans="1:14" x14ac:dyDescent="0.25">
      <c r="A1200" s="170" t="s">
        <v>3930</v>
      </c>
      <c r="B1200" s="170" t="s">
        <v>3931</v>
      </c>
      <c r="C1200" s="170" t="s">
        <v>587</v>
      </c>
      <c r="D1200" s="170" t="s">
        <v>2710</v>
      </c>
      <c r="E1200" s="171" t="s">
        <v>31997</v>
      </c>
      <c r="F1200" s="171" t="s">
        <v>31997</v>
      </c>
      <c r="G1200" s="82"/>
      <c r="H1200" s="96">
        <f t="shared" si="72"/>
        <v>107.46</v>
      </c>
      <c r="I1200" s="96">
        <f t="shared" si="72"/>
        <v>107.46</v>
      </c>
      <c r="J1200" s="91" t="str">
        <f t="shared" si="73"/>
        <v>Sinapi 96012</v>
      </c>
      <c r="K1200" s="91" t="str">
        <f t="shared" si="74"/>
        <v>H</v>
      </c>
      <c r="L1200" s="166" t="str">
        <f t="shared" si="75"/>
        <v/>
      </c>
      <c r="M1200" s="82"/>
      <c r="N1200" s="82"/>
    </row>
    <row r="1201" spans="1:14" x14ac:dyDescent="0.25">
      <c r="A1201" s="170" t="s">
        <v>3932</v>
      </c>
      <c r="B1201" s="170" t="s">
        <v>3933</v>
      </c>
      <c r="C1201" s="170" t="s">
        <v>587</v>
      </c>
      <c r="D1201" s="170" t="s">
        <v>1947</v>
      </c>
      <c r="E1201" s="171" t="s">
        <v>17379</v>
      </c>
      <c r="F1201" s="171" t="s">
        <v>17379</v>
      </c>
      <c r="G1201" s="82"/>
      <c r="H1201" s="96">
        <f t="shared" si="72"/>
        <v>22.68</v>
      </c>
      <c r="I1201" s="96">
        <f t="shared" si="72"/>
        <v>22.68</v>
      </c>
      <c r="J1201" s="91" t="str">
        <f t="shared" si="73"/>
        <v>Sinapi 96015</v>
      </c>
      <c r="K1201" s="91" t="str">
        <f t="shared" si="74"/>
        <v>H</v>
      </c>
      <c r="L1201" s="166" t="str">
        <f t="shared" si="75"/>
        <v/>
      </c>
      <c r="M1201" s="82"/>
      <c r="N1201" s="82"/>
    </row>
    <row r="1202" spans="1:14" x14ac:dyDescent="0.25">
      <c r="A1202" s="170" t="s">
        <v>3934</v>
      </c>
      <c r="B1202" s="170" t="s">
        <v>3935</v>
      </c>
      <c r="C1202" s="170" t="s">
        <v>587</v>
      </c>
      <c r="D1202" s="170" t="s">
        <v>1947</v>
      </c>
      <c r="E1202" s="171" t="s">
        <v>30695</v>
      </c>
      <c r="F1202" s="171" t="s">
        <v>30695</v>
      </c>
      <c r="G1202" s="82"/>
      <c r="H1202" s="96">
        <f t="shared" si="72"/>
        <v>6.07</v>
      </c>
      <c r="I1202" s="96">
        <f t="shared" si="72"/>
        <v>6.07</v>
      </c>
      <c r="J1202" s="91" t="str">
        <f t="shared" si="73"/>
        <v>Sinapi 96016</v>
      </c>
      <c r="K1202" s="91" t="str">
        <f t="shared" si="74"/>
        <v>H</v>
      </c>
      <c r="L1202" s="166" t="str">
        <f t="shared" si="75"/>
        <v/>
      </c>
      <c r="M1202" s="82"/>
      <c r="N1202" s="82"/>
    </row>
    <row r="1203" spans="1:14" x14ac:dyDescent="0.25">
      <c r="A1203" s="170" t="s">
        <v>3936</v>
      </c>
      <c r="B1203" s="170" t="s">
        <v>3937</v>
      </c>
      <c r="C1203" s="170" t="s">
        <v>587</v>
      </c>
      <c r="D1203" s="170" t="s">
        <v>1947</v>
      </c>
      <c r="E1203" s="171" t="s">
        <v>17919</v>
      </c>
      <c r="F1203" s="171" t="s">
        <v>17919</v>
      </c>
      <c r="G1203" s="82"/>
      <c r="H1203" s="96">
        <f t="shared" si="72"/>
        <v>24.81</v>
      </c>
      <c r="I1203" s="96">
        <f t="shared" si="72"/>
        <v>24.81</v>
      </c>
      <c r="J1203" s="91" t="str">
        <f t="shared" si="73"/>
        <v>Sinapi 96018</v>
      </c>
      <c r="K1203" s="91" t="str">
        <f t="shared" si="74"/>
        <v>H</v>
      </c>
      <c r="L1203" s="166" t="str">
        <f t="shared" si="75"/>
        <v/>
      </c>
      <c r="M1203" s="82"/>
      <c r="N1203" s="82"/>
    </row>
    <row r="1204" spans="1:14" x14ac:dyDescent="0.25">
      <c r="A1204" s="170" t="s">
        <v>3938</v>
      </c>
      <c r="B1204" s="170" t="s">
        <v>3939</v>
      </c>
      <c r="C1204" s="170" t="s">
        <v>587</v>
      </c>
      <c r="D1204" s="170" t="s">
        <v>2710</v>
      </c>
      <c r="E1204" s="171" t="s">
        <v>31997</v>
      </c>
      <c r="F1204" s="171" t="s">
        <v>31997</v>
      </c>
      <c r="G1204" s="82"/>
      <c r="H1204" s="96">
        <f t="shared" si="72"/>
        <v>107.46</v>
      </c>
      <c r="I1204" s="96">
        <f t="shared" si="72"/>
        <v>107.46</v>
      </c>
      <c r="J1204" s="91" t="str">
        <f t="shared" si="73"/>
        <v>Sinapi 96019</v>
      </c>
      <c r="K1204" s="91" t="str">
        <f t="shared" si="74"/>
        <v>H</v>
      </c>
      <c r="L1204" s="166" t="str">
        <f t="shared" si="75"/>
        <v/>
      </c>
      <c r="M1204" s="82"/>
      <c r="N1204" s="82"/>
    </row>
    <row r="1205" spans="1:14" x14ac:dyDescent="0.25">
      <c r="A1205" s="170" t="s">
        <v>3940</v>
      </c>
      <c r="B1205" s="170" t="s">
        <v>3941</v>
      </c>
      <c r="C1205" s="170" t="s">
        <v>587</v>
      </c>
      <c r="D1205" s="170" t="s">
        <v>1947</v>
      </c>
      <c r="E1205" s="171" t="s">
        <v>6619</v>
      </c>
      <c r="F1205" s="171" t="s">
        <v>6619</v>
      </c>
      <c r="G1205" s="82"/>
      <c r="H1205" s="96">
        <f t="shared" si="72"/>
        <v>17.600000000000001</v>
      </c>
      <c r="I1205" s="96">
        <f t="shared" si="72"/>
        <v>17.600000000000001</v>
      </c>
      <c r="J1205" s="91" t="str">
        <f t="shared" si="73"/>
        <v>Sinapi 96023</v>
      </c>
      <c r="K1205" s="91" t="str">
        <f t="shared" si="74"/>
        <v>H</v>
      </c>
      <c r="L1205" s="166" t="str">
        <f t="shared" si="75"/>
        <v/>
      </c>
      <c r="M1205" s="82"/>
      <c r="N1205" s="82"/>
    </row>
    <row r="1206" spans="1:14" x14ac:dyDescent="0.25">
      <c r="A1206" s="170" t="s">
        <v>3943</v>
      </c>
      <c r="B1206" s="170" t="s">
        <v>3944</v>
      </c>
      <c r="C1206" s="170" t="s">
        <v>587</v>
      </c>
      <c r="D1206" s="170" t="s">
        <v>1947</v>
      </c>
      <c r="E1206" s="171" t="s">
        <v>22850</v>
      </c>
      <c r="F1206" s="171" t="s">
        <v>22850</v>
      </c>
      <c r="G1206" s="82"/>
      <c r="H1206" s="96">
        <f t="shared" si="72"/>
        <v>4.71</v>
      </c>
      <c r="I1206" s="96">
        <f t="shared" si="72"/>
        <v>4.71</v>
      </c>
      <c r="J1206" s="91" t="str">
        <f t="shared" si="73"/>
        <v>Sinapi 96024</v>
      </c>
      <c r="K1206" s="91" t="str">
        <f t="shared" si="74"/>
        <v>H</v>
      </c>
      <c r="L1206" s="166" t="str">
        <f t="shared" si="75"/>
        <v/>
      </c>
      <c r="M1206" s="82"/>
      <c r="N1206" s="82"/>
    </row>
    <row r="1207" spans="1:14" x14ac:dyDescent="0.25">
      <c r="A1207" s="170" t="s">
        <v>3945</v>
      </c>
      <c r="B1207" s="170" t="s">
        <v>3946</v>
      </c>
      <c r="C1207" s="170" t="s">
        <v>587</v>
      </c>
      <c r="D1207" s="170" t="s">
        <v>1947</v>
      </c>
      <c r="E1207" s="171" t="s">
        <v>19375</v>
      </c>
      <c r="F1207" s="171" t="s">
        <v>19375</v>
      </c>
      <c r="G1207" s="82"/>
      <c r="H1207" s="96">
        <f t="shared" si="72"/>
        <v>19.260000000000002</v>
      </c>
      <c r="I1207" s="96">
        <f t="shared" si="72"/>
        <v>19.260000000000002</v>
      </c>
      <c r="J1207" s="91" t="str">
        <f t="shared" si="73"/>
        <v>Sinapi 96026</v>
      </c>
      <c r="K1207" s="91" t="str">
        <f t="shared" si="74"/>
        <v>H</v>
      </c>
      <c r="L1207" s="166" t="str">
        <f t="shared" si="75"/>
        <v/>
      </c>
      <c r="M1207" s="82"/>
      <c r="N1207" s="82"/>
    </row>
    <row r="1208" spans="1:14" x14ac:dyDescent="0.25">
      <c r="A1208" s="170" t="s">
        <v>3947</v>
      </c>
      <c r="B1208" s="170" t="s">
        <v>3948</v>
      </c>
      <c r="C1208" s="170" t="s">
        <v>587</v>
      </c>
      <c r="D1208" s="170" t="s">
        <v>2710</v>
      </c>
      <c r="E1208" s="171" t="s">
        <v>31986</v>
      </c>
      <c r="F1208" s="171" t="s">
        <v>31986</v>
      </c>
      <c r="G1208" s="82"/>
      <c r="H1208" s="96">
        <f t="shared" si="72"/>
        <v>74.87</v>
      </c>
      <c r="I1208" s="96">
        <f t="shared" si="72"/>
        <v>74.87</v>
      </c>
      <c r="J1208" s="91" t="str">
        <f t="shared" si="73"/>
        <v>Sinapi 96027</v>
      </c>
      <c r="K1208" s="91" t="str">
        <f t="shared" si="74"/>
        <v>H</v>
      </c>
      <c r="L1208" s="166" t="str">
        <f t="shared" si="75"/>
        <v/>
      </c>
      <c r="M1208" s="82"/>
      <c r="N1208" s="82"/>
    </row>
    <row r="1209" spans="1:14" x14ac:dyDescent="0.25">
      <c r="A1209" s="170" t="s">
        <v>3949</v>
      </c>
      <c r="B1209" s="170" t="s">
        <v>3950</v>
      </c>
      <c r="C1209" s="170" t="s">
        <v>587</v>
      </c>
      <c r="D1209" s="170" t="s">
        <v>1947</v>
      </c>
      <c r="E1209" s="171" t="s">
        <v>28582</v>
      </c>
      <c r="F1209" s="171" t="s">
        <v>28582</v>
      </c>
      <c r="G1209" s="82"/>
      <c r="H1209" s="96">
        <f t="shared" si="72"/>
        <v>33.96</v>
      </c>
      <c r="I1209" s="96">
        <f t="shared" si="72"/>
        <v>33.96</v>
      </c>
      <c r="J1209" s="91" t="str">
        <f t="shared" si="73"/>
        <v>Sinapi 96030</v>
      </c>
      <c r="K1209" s="91" t="str">
        <f t="shared" si="74"/>
        <v>H</v>
      </c>
      <c r="L1209" s="166" t="str">
        <f t="shared" si="75"/>
        <v/>
      </c>
      <c r="M1209" s="82"/>
      <c r="N1209" s="82"/>
    </row>
    <row r="1210" spans="1:14" x14ac:dyDescent="0.25">
      <c r="A1210" s="170" t="s">
        <v>3951</v>
      </c>
      <c r="B1210" s="170" t="s">
        <v>3952</v>
      </c>
      <c r="C1210" s="170" t="s">
        <v>587</v>
      </c>
      <c r="D1210" s="170" t="s">
        <v>1947</v>
      </c>
      <c r="E1210" s="171" t="s">
        <v>21163</v>
      </c>
      <c r="F1210" s="171" t="s">
        <v>21163</v>
      </c>
      <c r="G1210" s="82"/>
      <c r="H1210" s="96">
        <f t="shared" si="72"/>
        <v>12.87</v>
      </c>
      <c r="I1210" s="96">
        <f t="shared" si="72"/>
        <v>12.87</v>
      </c>
      <c r="J1210" s="91" t="str">
        <f t="shared" si="73"/>
        <v>Sinapi 96031</v>
      </c>
      <c r="K1210" s="91" t="str">
        <f t="shared" si="74"/>
        <v>H</v>
      </c>
      <c r="L1210" s="166" t="str">
        <f t="shared" si="75"/>
        <v/>
      </c>
      <c r="M1210" s="82"/>
      <c r="N1210" s="82"/>
    </row>
    <row r="1211" spans="1:14" x14ac:dyDescent="0.25">
      <c r="A1211" s="170" t="s">
        <v>3953</v>
      </c>
      <c r="B1211" s="170" t="s">
        <v>3954</v>
      </c>
      <c r="C1211" s="170" t="s">
        <v>587</v>
      </c>
      <c r="D1211" s="170" t="s">
        <v>1947</v>
      </c>
      <c r="E1211" s="171" t="s">
        <v>32058</v>
      </c>
      <c r="F1211" s="171" t="s">
        <v>32058</v>
      </c>
      <c r="G1211" s="82"/>
      <c r="H1211" s="96">
        <f t="shared" si="72"/>
        <v>5.16</v>
      </c>
      <c r="I1211" s="96">
        <f t="shared" si="72"/>
        <v>5.16</v>
      </c>
      <c r="J1211" s="91" t="str">
        <f t="shared" si="73"/>
        <v>Sinapi 96032</v>
      </c>
      <c r="K1211" s="91" t="str">
        <f t="shared" si="74"/>
        <v>H</v>
      </c>
      <c r="L1211" s="166" t="str">
        <f t="shared" si="75"/>
        <v/>
      </c>
      <c r="M1211" s="82"/>
      <c r="N1211" s="82"/>
    </row>
    <row r="1212" spans="1:14" x14ac:dyDescent="0.25">
      <c r="A1212" s="170" t="s">
        <v>3956</v>
      </c>
      <c r="B1212" s="170" t="s">
        <v>3957</v>
      </c>
      <c r="C1212" s="170" t="s">
        <v>587</v>
      </c>
      <c r="D1212" s="170" t="s">
        <v>1947</v>
      </c>
      <c r="E1212" s="171" t="s">
        <v>21986</v>
      </c>
      <c r="F1212" s="171" t="s">
        <v>21986</v>
      </c>
      <c r="G1212" s="82"/>
      <c r="H1212" s="96">
        <f t="shared" si="72"/>
        <v>58.42</v>
      </c>
      <c r="I1212" s="96">
        <f t="shared" si="72"/>
        <v>58.42</v>
      </c>
      <c r="J1212" s="91" t="str">
        <f t="shared" si="73"/>
        <v>Sinapi 96033</v>
      </c>
      <c r="K1212" s="91" t="str">
        <f t="shared" si="74"/>
        <v>H</v>
      </c>
      <c r="L1212" s="166" t="str">
        <f t="shared" si="75"/>
        <v/>
      </c>
      <c r="M1212" s="82"/>
      <c r="N1212" s="82"/>
    </row>
    <row r="1213" spans="1:14" x14ac:dyDescent="0.25">
      <c r="A1213" s="170" t="s">
        <v>3958</v>
      </c>
      <c r="B1213" s="170" t="s">
        <v>3959</v>
      </c>
      <c r="C1213" s="170" t="s">
        <v>587</v>
      </c>
      <c r="D1213" s="170" t="s">
        <v>2710</v>
      </c>
      <c r="E1213" s="171" t="s">
        <v>32038</v>
      </c>
      <c r="F1213" s="171" t="s">
        <v>32038</v>
      </c>
      <c r="G1213" s="82"/>
      <c r="H1213" s="96">
        <f t="shared" si="72"/>
        <v>157.6</v>
      </c>
      <c r="I1213" s="96">
        <f t="shared" si="72"/>
        <v>157.6</v>
      </c>
      <c r="J1213" s="91" t="str">
        <f t="shared" si="73"/>
        <v>Sinapi 96034</v>
      </c>
      <c r="K1213" s="91" t="str">
        <f t="shared" si="74"/>
        <v>H</v>
      </c>
      <c r="L1213" s="166" t="str">
        <f t="shared" si="75"/>
        <v/>
      </c>
      <c r="M1213" s="82"/>
      <c r="N1213" s="82"/>
    </row>
    <row r="1214" spans="1:14" x14ac:dyDescent="0.25">
      <c r="A1214" s="170" t="s">
        <v>3960</v>
      </c>
      <c r="B1214" s="170" t="s">
        <v>3961</v>
      </c>
      <c r="C1214" s="170" t="s">
        <v>587</v>
      </c>
      <c r="D1214" s="170" t="s">
        <v>1947</v>
      </c>
      <c r="E1214" s="171" t="s">
        <v>19830</v>
      </c>
      <c r="F1214" s="171" t="s">
        <v>19830</v>
      </c>
      <c r="G1214" s="82"/>
      <c r="H1214" s="96">
        <f t="shared" si="72"/>
        <v>17.82</v>
      </c>
      <c r="I1214" s="96">
        <f t="shared" si="72"/>
        <v>17.82</v>
      </c>
      <c r="J1214" s="91" t="str">
        <f t="shared" si="73"/>
        <v>Sinapi 96053</v>
      </c>
      <c r="K1214" s="91" t="str">
        <f t="shared" si="74"/>
        <v>H</v>
      </c>
      <c r="L1214" s="166" t="str">
        <f t="shared" si="75"/>
        <v/>
      </c>
      <c r="M1214" s="82"/>
      <c r="N1214" s="82"/>
    </row>
    <row r="1215" spans="1:14" x14ac:dyDescent="0.25">
      <c r="A1215" s="170" t="s">
        <v>3962</v>
      </c>
      <c r="B1215" s="170" t="s">
        <v>3963</v>
      </c>
      <c r="C1215" s="170" t="s">
        <v>587</v>
      </c>
      <c r="D1215" s="170" t="s">
        <v>1947</v>
      </c>
      <c r="E1215" s="171" t="s">
        <v>22063</v>
      </c>
      <c r="F1215" s="171" t="s">
        <v>22063</v>
      </c>
      <c r="G1215" s="82"/>
      <c r="H1215" s="96">
        <f t="shared" si="72"/>
        <v>31.46</v>
      </c>
      <c r="I1215" s="96">
        <f t="shared" si="72"/>
        <v>31.46</v>
      </c>
      <c r="J1215" s="91" t="str">
        <f t="shared" si="73"/>
        <v>Sinapi 96054</v>
      </c>
      <c r="K1215" s="91" t="str">
        <f t="shared" si="74"/>
        <v>H</v>
      </c>
      <c r="L1215" s="166" t="str">
        <f t="shared" si="75"/>
        <v/>
      </c>
      <c r="M1215" s="82"/>
      <c r="N1215" s="82"/>
    </row>
    <row r="1216" spans="1:14" x14ac:dyDescent="0.25">
      <c r="A1216" s="170" t="s">
        <v>3964</v>
      </c>
      <c r="B1216" s="170" t="s">
        <v>3965</v>
      </c>
      <c r="C1216" s="170" t="s">
        <v>587</v>
      </c>
      <c r="D1216" s="170" t="s">
        <v>1947</v>
      </c>
      <c r="E1216" s="171" t="s">
        <v>19967</v>
      </c>
      <c r="F1216" s="171" t="s">
        <v>19967</v>
      </c>
      <c r="G1216" s="82"/>
      <c r="H1216" s="96">
        <f t="shared" si="72"/>
        <v>4.7699999999999996</v>
      </c>
      <c r="I1216" s="96">
        <f t="shared" si="72"/>
        <v>4.7699999999999996</v>
      </c>
      <c r="J1216" s="91" t="str">
        <f t="shared" si="73"/>
        <v>Sinapi 96055</v>
      </c>
      <c r="K1216" s="91" t="str">
        <f t="shared" si="74"/>
        <v>H</v>
      </c>
      <c r="L1216" s="166" t="str">
        <f t="shared" si="75"/>
        <v/>
      </c>
      <c r="M1216" s="82"/>
      <c r="N1216" s="82"/>
    </row>
    <row r="1217" spans="1:14" x14ac:dyDescent="0.25">
      <c r="A1217" s="170" t="s">
        <v>3967</v>
      </c>
      <c r="B1217" s="170" t="s">
        <v>3968</v>
      </c>
      <c r="C1217" s="170" t="s">
        <v>587</v>
      </c>
      <c r="D1217" s="170" t="s">
        <v>1947</v>
      </c>
      <c r="E1217" s="171" t="s">
        <v>15637</v>
      </c>
      <c r="F1217" s="171" t="s">
        <v>15637</v>
      </c>
      <c r="G1217" s="82"/>
      <c r="H1217" s="96">
        <f t="shared" si="72"/>
        <v>19.5</v>
      </c>
      <c r="I1217" s="96">
        <f t="shared" si="72"/>
        <v>19.5</v>
      </c>
      <c r="J1217" s="91" t="str">
        <f t="shared" si="73"/>
        <v>Sinapi 96056</v>
      </c>
      <c r="K1217" s="91" t="str">
        <f t="shared" si="74"/>
        <v>H</v>
      </c>
      <c r="L1217" s="166" t="str">
        <f t="shared" si="75"/>
        <v/>
      </c>
      <c r="M1217" s="82"/>
      <c r="N1217" s="82"/>
    </row>
    <row r="1218" spans="1:14" x14ac:dyDescent="0.25">
      <c r="A1218" s="170" t="s">
        <v>3970</v>
      </c>
      <c r="B1218" s="170" t="s">
        <v>3971</v>
      </c>
      <c r="C1218" s="170" t="s">
        <v>587</v>
      </c>
      <c r="D1218" s="170" t="s">
        <v>2710</v>
      </c>
      <c r="E1218" s="171" t="s">
        <v>31986</v>
      </c>
      <c r="F1218" s="171" t="s">
        <v>31986</v>
      </c>
      <c r="G1218" s="82"/>
      <c r="H1218" s="96">
        <f t="shared" si="72"/>
        <v>74.87</v>
      </c>
      <c r="I1218" s="96">
        <f t="shared" si="72"/>
        <v>74.87</v>
      </c>
      <c r="J1218" s="91" t="str">
        <f t="shared" si="73"/>
        <v>Sinapi 96057</v>
      </c>
      <c r="K1218" s="91" t="str">
        <f t="shared" si="74"/>
        <v>H</v>
      </c>
      <c r="L1218" s="166" t="str">
        <f t="shared" si="75"/>
        <v/>
      </c>
      <c r="M1218" s="82"/>
      <c r="N1218" s="82"/>
    </row>
    <row r="1219" spans="1:14" x14ac:dyDescent="0.25">
      <c r="A1219" s="170" t="s">
        <v>3972</v>
      </c>
      <c r="B1219" s="170" t="s">
        <v>3973</v>
      </c>
      <c r="C1219" s="170" t="s">
        <v>587</v>
      </c>
      <c r="D1219" s="170" t="s">
        <v>1947</v>
      </c>
      <c r="E1219" s="171" t="s">
        <v>29699</v>
      </c>
      <c r="F1219" s="171" t="s">
        <v>29699</v>
      </c>
      <c r="G1219" s="82"/>
      <c r="H1219" s="96">
        <f t="shared" si="72"/>
        <v>6.13</v>
      </c>
      <c r="I1219" s="96">
        <f t="shared" si="72"/>
        <v>6.13</v>
      </c>
      <c r="J1219" s="91" t="str">
        <f t="shared" si="73"/>
        <v>Sinapi 96060</v>
      </c>
      <c r="K1219" s="91" t="str">
        <f t="shared" si="74"/>
        <v>H</v>
      </c>
      <c r="L1219" s="166" t="str">
        <f t="shared" si="75"/>
        <v/>
      </c>
      <c r="M1219" s="82"/>
      <c r="N1219" s="82"/>
    </row>
    <row r="1220" spans="1:14" x14ac:dyDescent="0.25">
      <c r="A1220" s="170" t="s">
        <v>3974</v>
      </c>
      <c r="B1220" s="170" t="s">
        <v>3975</v>
      </c>
      <c r="C1220" s="170" t="s">
        <v>587</v>
      </c>
      <c r="D1220" s="170" t="s">
        <v>1947</v>
      </c>
      <c r="E1220" s="171" t="s">
        <v>23165</v>
      </c>
      <c r="F1220" s="171" t="s">
        <v>23165</v>
      </c>
      <c r="G1220" s="82"/>
      <c r="H1220" s="96">
        <f t="shared" si="72"/>
        <v>39.32</v>
      </c>
      <c r="I1220" s="96">
        <f t="shared" si="72"/>
        <v>39.32</v>
      </c>
      <c r="J1220" s="91" t="str">
        <f t="shared" si="73"/>
        <v>Sinapi 96061</v>
      </c>
      <c r="K1220" s="91" t="str">
        <f t="shared" si="74"/>
        <v>H</v>
      </c>
      <c r="L1220" s="166" t="str">
        <f t="shared" si="75"/>
        <v/>
      </c>
      <c r="M1220" s="82"/>
      <c r="N1220" s="82"/>
    </row>
    <row r="1221" spans="1:14" x14ac:dyDescent="0.25">
      <c r="A1221" s="170" t="s">
        <v>3976</v>
      </c>
      <c r="B1221" s="170" t="s">
        <v>3977</v>
      </c>
      <c r="C1221" s="170" t="s">
        <v>587</v>
      </c>
      <c r="D1221" s="170" t="s">
        <v>2710</v>
      </c>
      <c r="E1221" s="171" t="s">
        <v>32034</v>
      </c>
      <c r="F1221" s="171" t="s">
        <v>32034</v>
      </c>
      <c r="G1221" s="82"/>
      <c r="H1221" s="96">
        <f t="shared" si="72"/>
        <v>44.28</v>
      </c>
      <c r="I1221" s="96">
        <f t="shared" si="72"/>
        <v>44.28</v>
      </c>
      <c r="J1221" s="91" t="str">
        <f t="shared" si="73"/>
        <v>Sinapi 96062</v>
      </c>
      <c r="K1221" s="91" t="str">
        <f t="shared" si="74"/>
        <v>H</v>
      </c>
      <c r="L1221" s="166" t="str">
        <f t="shared" si="75"/>
        <v/>
      </c>
      <c r="M1221" s="82"/>
      <c r="N1221" s="82"/>
    </row>
    <row r="1222" spans="1:14" x14ac:dyDescent="0.25">
      <c r="A1222" s="170" t="s">
        <v>3978</v>
      </c>
      <c r="B1222" s="170" t="s">
        <v>3979</v>
      </c>
      <c r="C1222" s="170" t="s">
        <v>587</v>
      </c>
      <c r="D1222" s="170" t="s">
        <v>1947</v>
      </c>
      <c r="E1222" s="171" t="s">
        <v>19418</v>
      </c>
      <c r="F1222" s="171" t="s">
        <v>19418</v>
      </c>
      <c r="G1222" s="82"/>
      <c r="H1222" s="96">
        <f t="shared" si="72"/>
        <v>27.2</v>
      </c>
      <c r="I1222" s="96">
        <f t="shared" si="72"/>
        <v>27.2</v>
      </c>
      <c r="J1222" s="91" t="str">
        <f t="shared" si="73"/>
        <v>Sinapi 96241</v>
      </c>
      <c r="K1222" s="91" t="str">
        <f t="shared" si="74"/>
        <v>H</v>
      </c>
      <c r="L1222" s="166" t="str">
        <f t="shared" si="75"/>
        <v/>
      </c>
      <c r="M1222" s="82"/>
      <c r="N1222" s="82"/>
    </row>
    <row r="1223" spans="1:14" x14ac:dyDescent="0.25">
      <c r="A1223" s="170" t="s">
        <v>3980</v>
      </c>
      <c r="B1223" s="170" t="s">
        <v>3981</v>
      </c>
      <c r="C1223" s="170" t="s">
        <v>587</v>
      </c>
      <c r="D1223" s="170" t="s">
        <v>1947</v>
      </c>
      <c r="E1223" s="171" t="s">
        <v>32059</v>
      </c>
      <c r="F1223" s="171" t="s">
        <v>32059</v>
      </c>
      <c r="G1223" s="82"/>
      <c r="H1223" s="96">
        <f t="shared" si="72"/>
        <v>7.18</v>
      </c>
      <c r="I1223" s="96">
        <f t="shared" si="72"/>
        <v>7.18</v>
      </c>
      <c r="J1223" s="91" t="str">
        <f t="shared" si="73"/>
        <v>Sinapi 96242</v>
      </c>
      <c r="K1223" s="91" t="str">
        <f t="shared" si="74"/>
        <v>H</v>
      </c>
      <c r="L1223" s="166" t="str">
        <f t="shared" si="75"/>
        <v/>
      </c>
      <c r="M1223" s="82"/>
      <c r="N1223" s="82"/>
    </row>
    <row r="1224" spans="1:14" x14ac:dyDescent="0.25">
      <c r="A1224" s="170" t="s">
        <v>3982</v>
      </c>
      <c r="B1224" s="170" t="s">
        <v>3983</v>
      </c>
      <c r="C1224" s="170" t="s">
        <v>587</v>
      </c>
      <c r="D1224" s="170" t="s">
        <v>1947</v>
      </c>
      <c r="E1224" s="171" t="s">
        <v>21192</v>
      </c>
      <c r="F1224" s="171" t="s">
        <v>21192</v>
      </c>
      <c r="G1224" s="82"/>
      <c r="H1224" s="96">
        <f t="shared" ref="H1224:I1287" si="76">IF(E1224="","",E1224+0)</f>
        <v>34</v>
      </c>
      <c r="I1224" s="96">
        <f t="shared" si="76"/>
        <v>34</v>
      </c>
      <c r="J1224" s="91" t="str">
        <f t="shared" ref="J1224:J1287" si="77">IF(OR(H1224="",I1224=""),"",TRIM(CONCATENATE("Sinapi ",A1224)))</f>
        <v>Sinapi 96243</v>
      </c>
      <c r="K1224" s="91" t="str">
        <f t="shared" ref="K1224:K1287" si="78">TRIM(C1224)</f>
        <v>H</v>
      </c>
      <c r="L1224" s="166" t="str">
        <f t="shared" ref="L1224:L1287" si="79">IF(OR(RIGHT(IF(AND(K1224&lt;&gt;"H",K1224&lt;&gt;"MES"),RIGHT(B1224,7),""),2)="PS",RIGHT(IF(AND(K1224&lt;&gt;"H",K1224&lt;&gt;"MES"),RIGHT(B1224,7),""),2)="PA",RIGHT(IF(AND(K1224&lt;&gt;"H",K1224&lt;&gt;"MES"),RIGHT(B1224,7),""),2)="PE"),LEFT(IF(AND(K1224&lt;&gt;"H",K1224&lt;&gt;"MES"),RIGHT(B1224,10),""),7),IF(AND(K1224&lt;&gt;"H",K1224&lt;&gt;"MES"),RIGHT(B1224,7),""))</f>
        <v/>
      </c>
      <c r="M1224" s="82"/>
      <c r="N1224" s="82"/>
    </row>
    <row r="1225" spans="1:14" x14ac:dyDescent="0.25">
      <c r="A1225" s="170" t="s">
        <v>3984</v>
      </c>
      <c r="B1225" s="170" t="s">
        <v>3985</v>
      </c>
      <c r="C1225" s="170" t="s">
        <v>587</v>
      </c>
      <c r="D1225" s="170" t="s">
        <v>2710</v>
      </c>
      <c r="E1225" s="171" t="s">
        <v>29344</v>
      </c>
      <c r="F1225" s="171" t="s">
        <v>29344</v>
      </c>
      <c r="G1225" s="82"/>
      <c r="H1225" s="96">
        <f t="shared" si="76"/>
        <v>19.350000000000001</v>
      </c>
      <c r="I1225" s="96">
        <f t="shared" si="76"/>
        <v>19.350000000000001</v>
      </c>
      <c r="J1225" s="91" t="str">
        <f t="shared" si="77"/>
        <v>Sinapi 96244</v>
      </c>
      <c r="K1225" s="91" t="str">
        <f t="shared" si="78"/>
        <v>H</v>
      </c>
      <c r="L1225" s="166" t="str">
        <f t="shared" si="79"/>
        <v/>
      </c>
      <c r="M1225" s="82"/>
      <c r="N1225" s="82"/>
    </row>
    <row r="1226" spans="1:14" x14ac:dyDescent="0.25">
      <c r="A1226" s="170" t="s">
        <v>3986</v>
      </c>
      <c r="B1226" s="170" t="s">
        <v>3987</v>
      </c>
      <c r="C1226" s="170" t="s">
        <v>587</v>
      </c>
      <c r="D1226" s="170" t="s">
        <v>2710</v>
      </c>
      <c r="E1226" s="171" t="s">
        <v>32060</v>
      </c>
      <c r="F1226" s="171" t="s">
        <v>32060</v>
      </c>
      <c r="G1226" s="82"/>
      <c r="H1226" s="96">
        <f t="shared" si="76"/>
        <v>54.59</v>
      </c>
      <c r="I1226" s="96">
        <f t="shared" si="76"/>
        <v>54.59</v>
      </c>
      <c r="J1226" s="91" t="str">
        <f t="shared" si="77"/>
        <v>Sinapi 96301</v>
      </c>
      <c r="K1226" s="91" t="str">
        <f t="shared" si="78"/>
        <v>H</v>
      </c>
      <c r="L1226" s="166" t="str">
        <f t="shared" si="79"/>
        <v/>
      </c>
      <c r="M1226" s="82"/>
      <c r="N1226" s="82"/>
    </row>
    <row r="1227" spans="1:14" x14ac:dyDescent="0.25">
      <c r="A1227" s="170" t="s">
        <v>3988</v>
      </c>
      <c r="B1227" s="170" t="s">
        <v>3989</v>
      </c>
      <c r="C1227" s="170" t="s">
        <v>587</v>
      </c>
      <c r="D1227" s="170" t="s">
        <v>2710</v>
      </c>
      <c r="E1227" s="171" t="s">
        <v>32009</v>
      </c>
      <c r="F1227" s="171" t="s">
        <v>32009</v>
      </c>
      <c r="G1227" s="82"/>
      <c r="H1227" s="96">
        <f t="shared" si="76"/>
        <v>70.95</v>
      </c>
      <c r="I1227" s="96">
        <f t="shared" si="76"/>
        <v>70.95</v>
      </c>
      <c r="J1227" s="91" t="str">
        <f t="shared" si="77"/>
        <v>Sinapi 96457</v>
      </c>
      <c r="K1227" s="91" t="str">
        <f t="shared" si="78"/>
        <v>H</v>
      </c>
      <c r="L1227" s="166" t="str">
        <f t="shared" si="79"/>
        <v/>
      </c>
      <c r="M1227" s="82"/>
      <c r="N1227" s="82"/>
    </row>
    <row r="1228" spans="1:14" x14ac:dyDescent="0.25">
      <c r="A1228" s="170" t="s">
        <v>3990</v>
      </c>
      <c r="B1228" s="170" t="s">
        <v>3991</v>
      </c>
      <c r="C1228" s="170" t="s">
        <v>587</v>
      </c>
      <c r="D1228" s="170" t="s">
        <v>1947</v>
      </c>
      <c r="E1228" s="171" t="s">
        <v>19826</v>
      </c>
      <c r="F1228" s="171" t="s">
        <v>19826</v>
      </c>
      <c r="G1228" s="82"/>
      <c r="H1228" s="96">
        <f t="shared" si="76"/>
        <v>65.3</v>
      </c>
      <c r="I1228" s="96">
        <f t="shared" si="76"/>
        <v>65.3</v>
      </c>
      <c r="J1228" s="91" t="str">
        <f t="shared" si="77"/>
        <v>Sinapi 96458</v>
      </c>
      <c r="K1228" s="91" t="str">
        <f t="shared" si="78"/>
        <v>H</v>
      </c>
      <c r="L1228" s="166" t="str">
        <f t="shared" si="79"/>
        <v/>
      </c>
      <c r="M1228" s="82"/>
      <c r="N1228" s="82"/>
    </row>
    <row r="1229" spans="1:14" x14ac:dyDescent="0.25">
      <c r="A1229" s="170" t="s">
        <v>3992</v>
      </c>
      <c r="B1229" s="170" t="s">
        <v>3993</v>
      </c>
      <c r="C1229" s="170" t="s">
        <v>587</v>
      </c>
      <c r="D1229" s="170" t="s">
        <v>1947</v>
      </c>
      <c r="E1229" s="171" t="s">
        <v>6748</v>
      </c>
      <c r="F1229" s="171" t="s">
        <v>6748</v>
      </c>
      <c r="G1229" s="82"/>
      <c r="H1229" s="96">
        <f t="shared" si="76"/>
        <v>14</v>
      </c>
      <c r="I1229" s="96">
        <f t="shared" si="76"/>
        <v>14</v>
      </c>
      <c r="J1229" s="91" t="str">
        <f t="shared" si="77"/>
        <v>Sinapi 96459</v>
      </c>
      <c r="K1229" s="91" t="str">
        <f t="shared" si="78"/>
        <v>H</v>
      </c>
      <c r="L1229" s="166" t="str">
        <f t="shared" si="79"/>
        <v/>
      </c>
      <c r="M1229" s="82"/>
      <c r="N1229" s="82"/>
    </row>
    <row r="1230" spans="1:14" x14ac:dyDescent="0.25">
      <c r="A1230" s="170" t="s">
        <v>3994</v>
      </c>
      <c r="B1230" s="170" t="s">
        <v>3995</v>
      </c>
      <c r="C1230" s="170" t="s">
        <v>587</v>
      </c>
      <c r="D1230" s="170" t="s">
        <v>1947</v>
      </c>
      <c r="E1230" s="171" t="s">
        <v>28571</v>
      </c>
      <c r="F1230" s="171" t="s">
        <v>28571</v>
      </c>
      <c r="G1230" s="82"/>
      <c r="H1230" s="96">
        <f t="shared" si="76"/>
        <v>52.18</v>
      </c>
      <c r="I1230" s="96">
        <f t="shared" si="76"/>
        <v>52.18</v>
      </c>
      <c r="J1230" s="91" t="str">
        <f t="shared" si="77"/>
        <v>Sinapi 96460</v>
      </c>
      <c r="K1230" s="91" t="str">
        <f t="shared" si="78"/>
        <v>H</v>
      </c>
      <c r="L1230" s="166" t="str">
        <f t="shared" si="79"/>
        <v/>
      </c>
      <c r="M1230" s="82"/>
      <c r="N1230" s="82"/>
    </row>
    <row r="1231" spans="1:14" x14ac:dyDescent="0.25">
      <c r="A1231" s="170" t="s">
        <v>3996</v>
      </c>
      <c r="B1231" s="170" t="s">
        <v>3997</v>
      </c>
      <c r="C1231" s="170" t="s">
        <v>587</v>
      </c>
      <c r="D1231" s="170" t="s">
        <v>1947</v>
      </c>
      <c r="E1231" s="171" t="s">
        <v>3411</v>
      </c>
      <c r="F1231" s="171" t="s">
        <v>3411</v>
      </c>
      <c r="G1231" s="82"/>
      <c r="H1231" s="96">
        <f t="shared" si="76"/>
        <v>0.05</v>
      </c>
      <c r="I1231" s="96">
        <f t="shared" si="76"/>
        <v>0.05</v>
      </c>
      <c r="J1231" s="91" t="str">
        <f t="shared" si="77"/>
        <v>Sinapi 98760</v>
      </c>
      <c r="K1231" s="91" t="str">
        <f t="shared" si="78"/>
        <v>H</v>
      </c>
      <c r="L1231" s="166" t="str">
        <f t="shared" si="79"/>
        <v/>
      </c>
      <c r="M1231" s="82"/>
      <c r="N1231" s="82"/>
    </row>
    <row r="1232" spans="1:14" x14ac:dyDescent="0.25">
      <c r="A1232" s="170" t="s">
        <v>3998</v>
      </c>
      <c r="B1232" s="170" t="s">
        <v>3999</v>
      </c>
      <c r="C1232" s="170" t="s">
        <v>587</v>
      </c>
      <c r="D1232" s="170" t="s">
        <v>1947</v>
      </c>
      <c r="E1232" s="171" t="s">
        <v>3187</v>
      </c>
      <c r="F1232" s="171" t="s">
        <v>3187</v>
      </c>
      <c r="G1232" s="82"/>
      <c r="H1232" s="96">
        <f t="shared" si="76"/>
        <v>0.01</v>
      </c>
      <c r="I1232" s="96">
        <f t="shared" si="76"/>
        <v>0.01</v>
      </c>
      <c r="J1232" s="91" t="str">
        <f t="shared" si="77"/>
        <v>Sinapi 98761</v>
      </c>
      <c r="K1232" s="91" t="str">
        <f t="shared" si="78"/>
        <v>H</v>
      </c>
      <c r="L1232" s="166" t="str">
        <f t="shared" si="79"/>
        <v/>
      </c>
      <c r="M1232" s="82"/>
      <c r="N1232" s="82"/>
    </row>
    <row r="1233" spans="1:14" x14ac:dyDescent="0.25">
      <c r="A1233" s="170" t="s">
        <v>4000</v>
      </c>
      <c r="B1233" s="170" t="s">
        <v>4001</v>
      </c>
      <c r="C1233" s="170" t="s">
        <v>587</v>
      </c>
      <c r="D1233" s="170" t="s">
        <v>1947</v>
      </c>
      <c r="E1233" s="171" t="s">
        <v>3119</v>
      </c>
      <c r="F1233" s="171" t="s">
        <v>3119</v>
      </c>
      <c r="G1233" s="82"/>
      <c r="H1233" s="96">
        <f t="shared" si="76"/>
        <v>7.0000000000000007E-2</v>
      </c>
      <c r="I1233" s="96">
        <f t="shared" si="76"/>
        <v>7.0000000000000007E-2</v>
      </c>
      <c r="J1233" s="91" t="str">
        <f t="shared" si="77"/>
        <v>Sinapi 98762</v>
      </c>
      <c r="K1233" s="91" t="str">
        <f t="shared" si="78"/>
        <v>H</v>
      </c>
      <c r="L1233" s="166" t="str">
        <f t="shared" si="79"/>
        <v/>
      </c>
      <c r="M1233" s="82"/>
      <c r="N1233" s="82"/>
    </row>
    <row r="1234" spans="1:14" x14ac:dyDescent="0.25">
      <c r="A1234" s="170" t="s">
        <v>4002</v>
      </c>
      <c r="B1234" s="170" t="s">
        <v>4003</v>
      </c>
      <c r="C1234" s="170" t="s">
        <v>587</v>
      </c>
      <c r="D1234" s="170" t="s">
        <v>2067</v>
      </c>
      <c r="E1234" s="171" t="s">
        <v>19967</v>
      </c>
      <c r="F1234" s="171" t="s">
        <v>19967</v>
      </c>
      <c r="G1234" s="82"/>
      <c r="H1234" s="96">
        <f t="shared" si="76"/>
        <v>4.7699999999999996</v>
      </c>
      <c r="I1234" s="96">
        <f t="shared" si="76"/>
        <v>4.7699999999999996</v>
      </c>
      <c r="J1234" s="91" t="str">
        <f t="shared" si="77"/>
        <v>Sinapi 98763</v>
      </c>
      <c r="K1234" s="91" t="str">
        <f t="shared" si="78"/>
        <v>H</v>
      </c>
      <c r="L1234" s="166" t="str">
        <f t="shared" si="79"/>
        <v/>
      </c>
      <c r="M1234" s="82"/>
      <c r="N1234" s="82"/>
    </row>
    <row r="1235" spans="1:14" x14ac:dyDescent="0.25">
      <c r="A1235" s="170" t="s">
        <v>4004</v>
      </c>
      <c r="B1235" s="170" t="s">
        <v>21774</v>
      </c>
      <c r="C1235" s="170" t="s">
        <v>587</v>
      </c>
      <c r="D1235" s="170" t="s">
        <v>2710</v>
      </c>
      <c r="E1235" s="171" t="s">
        <v>9963</v>
      </c>
      <c r="F1235" s="171" t="s">
        <v>9963</v>
      </c>
      <c r="G1235" s="82"/>
      <c r="H1235" s="96">
        <f t="shared" si="76"/>
        <v>0.2</v>
      </c>
      <c r="I1235" s="96">
        <f t="shared" si="76"/>
        <v>0.2</v>
      </c>
      <c r="J1235" s="91" t="str">
        <f t="shared" si="77"/>
        <v>Sinapi 99829</v>
      </c>
      <c r="K1235" s="91" t="str">
        <f t="shared" si="78"/>
        <v>H</v>
      </c>
      <c r="L1235" s="166" t="str">
        <f t="shared" si="79"/>
        <v/>
      </c>
      <c r="M1235" s="82"/>
      <c r="N1235" s="82"/>
    </row>
    <row r="1236" spans="1:14" x14ac:dyDescent="0.25">
      <c r="A1236" s="170" t="s">
        <v>4005</v>
      </c>
      <c r="B1236" s="170" t="s">
        <v>21775</v>
      </c>
      <c r="C1236" s="170" t="s">
        <v>587</v>
      </c>
      <c r="D1236" s="170" t="s">
        <v>2710</v>
      </c>
      <c r="E1236" s="171" t="s">
        <v>2841</v>
      </c>
      <c r="F1236" s="171" t="s">
        <v>2841</v>
      </c>
      <c r="G1236" s="82"/>
      <c r="H1236" s="96">
        <f t="shared" si="76"/>
        <v>0.04</v>
      </c>
      <c r="I1236" s="96">
        <f t="shared" si="76"/>
        <v>0.04</v>
      </c>
      <c r="J1236" s="91" t="str">
        <f t="shared" si="77"/>
        <v>Sinapi 99830</v>
      </c>
      <c r="K1236" s="91" t="str">
        <f t="shared" si="78"/>
        <v>H</v>
      </c>
      <c r="L1236" s="166" t="str">
        <f t="shared" si="79"/>
        <v/>
      </c>
      <c r="M1236" s="82"/>
      <c r="N1236" s="82"/>
    </row>
    <row r="1237" spans="1:14" x14ac:dyDescent="0.25">
      <c r="A1237" s="170" t="s">
        <v>4006</v>
      </c>
      <c r="B1237" s="170" t="s">
        <v>21776</v>
      </c>
      <c r="C1237" s="170" t="s">
        <v>587</v>
      </c>
      <c r="D1237" s="170" t="s">
        <v>2710</v>
      </c>
      <c r="E1237" s="171" t="s">
        <v>3184</v>
      </c>
      <c r="F1237" s="171" t="s">
        <v>3184</v>
      </c>
      <c r="G1237" s="82"/>
      <c r="H1237" s="96">
        <f t="shared" si="76"/>
        <v>0.14000000000000001</v>
      </c>
      <c r="I1237" s="96">
        <f t="shared" si="76"/>
        <v>0.14000000000000001</v>
      </c>
      <c r="J1237" s="91" t="str">
        <f t="shared" si="77"/>
        <v>Sinapi 99831</v>
      </c>
      <c r="K1237" s="91" t="str">
        <f t="shared" si="78"/>
        <v>H</v>
      </c>
      <c r="L1237" s="166" t="str">
        <f t="shared" si="79"/>
        <v/>
      </c>
      <c r="M1237" s="82"/>
      <c r="N1237" s="82"/>
    </row>
    <row r="1238" spans="1:14" x14ac:dyDescent="0.25">
      <c r="A1238" s="170" t="s">
        <v>4007</v>
      </c>
      <c r="B1238" s="170" t="s">
        <v>21777</v>
      </c>
      <c r="C1238" s="170" t="s">
        <v>587</v>
      </c>
      <c r="D1238" s="170" t="s">
        <v>2067</v>
      </c>
      <c r="E1238" s="171" t="s">
        <v>32006</v>
      </c>
      <c r="F1238" s="171" t="s">
        <v>32006</v>
      </c>
      <c r="G1238" s="82"/>
      <c r="H1238" s="96">
        <f t="shared" si="76"/>
        <v>1.95</v>
      </c>
      <c r="I1238" s="96">
        <f t="shared" si="76"/>
        <v>1.95</v>
      </c>
      <c r="J1238" s="91" t="str">
        <f t="shared" si="77"/>
        <v>Sinapi 99832</v>
      </c>
      <c r="K1238" s="91" t="str">
        <f t="shared" si="78"/>
        <v>H</v>
      </c>
      <c r="L1238" s="166" t="str">
        <f t="shared" si="79"/>
        <v/>
      </c>
      <c r="M1238" s="82"/>
      <c r="N1238" s="82"/>
    </row>
    <row r="1239" spans="1:14" x14ac:dyDescent="0.25">
      <c r="A1239" s="170" t="s">
        <v>4008</v>
      </c>
      <c r="B1239" s="170" t="s">
        <v>4009</v>
      </c>
      <c r="C1239" s="170" t="s">
        <v>587</v>
      </c>
      <c r="D1239" s="170" t="s">
        <v>1947</v>
      </c>
      <c r="E1239" s="171" t="s">
        <v>28572</v>
      </c>
      <c r="F1239" s="171" t="s">
        <v>28572</v>
      </c>
      <c r="G1239" s="82"/>
      <c r="H1239" s="96">
        <f t="shared" si="76"/>
        <v>145.21</v>
      </c>
      <c r="I1239" s="96">
        <f t="shared" si="76"/>
        <v>145.21</v>
      </c>
      <c r="J1239" s="91" t="str">
        <f t="shared" si="77"/>
        <v>Sinapi 100637</v>
      </c>
      <c r="K1239" s="91" t="str">
        <f t="shared" si="78"/>
        <v>H</v>
      </c>
      <c r="L1239" s="166" t="str">
        <f t="shared" si="79"/>
        <v/>
      </c>
      <c r="M1239" s="82"/>
      <c r="N1239" s="82"/>
    </row>
    <row r="1240" spans="1:14" x14ac:dyDescent="0.25">
      <c r="A1240" s="170" t="s">
        <v>4010</v>
      </c>
      <c r="B1240" s="170" t="s">
        <v>4011</v>
      </c>
      <c r="C1240" s="170" t="s">
        <v>587</v>
      </c>
      <c r="D1240" s="170" t="s">
        <v>1947</v>
      </c>
      <c r="E1240" s="171" t="s">
        <v>29241</v>
      </c>
      <c r="F1240" s="171" t="s">
        <v>29241</v>
      </c>
      <c r="G1240" s="82"/>
      <c r="H1240" s="96">
        <f t="shared" si="76"/>
        <v>44.63</v>
      </c>
      <c r="I1240" s="96">
        <f t="shared" si="76"/>
        <v>44.63</v>
      </c>
      <c r="J1240" s="91" t="str">
        <f t="shared" si="77"/>
        <v>Sinapi 100638</v>
      </c>
      <c r="K1240" s="91" t="str">
        <f t="shared" si="78"/>
        <v>H</v>
      </c>
      <c r="L1240" s="166" t="str">
        <f t="shared" si="79"/>
        <v/>
      </c>
      <c r="M1240" s="82"/>
      <c r="N1240" s="82"/>
    </row>
    <row r="1241" spans="1:14" x14ac:dyDescent="0.25">
      <c r="A1241" s="170" t="s">
        <v>4012</v>
      </c>
      <c r="B1241" s="170" t="s">
        <v>4013</v>
      </c>
      <c r="C1241" s="170" t="s">
        <v>587</v>
      </c>
      <c r="D1241" s="170" t="s">
        <v>1947</v>
      </c>
      <c r="E1241" s="171" t="s">
        <v>28573</v>
      </c>
      <c r="F1241" s="171" t="s">
        <v>28573</v>
      </c>
      <c r="G1241" s="82"/>
      <c r="H1241" s="96">
        <f t="shared" si="76"/>
        <v>181.65</v>
      </c>
      <c r="I1241" s="96">
        <f t="shared" si="76"/>
        <v>181.65</v>
      </c>
      <c r="J1241" s="91" t="str">
        <f t="shared" si="77"/>
        <v>Sinapi 100639</v>
      </c>
      <c r="K1241" s="91" t="str">
        <f t="shared" si="78"/>
        <v>H</v>
      </c>
      <c r="L1241" s="166" t="str">
        <f t="shared" si="79"/>
        <v/>
      </c>
      <c r="M1241" s="82"/>
      <c r="N1241" s="82"/>
    </row>
    <row r="1242" spans="1:14" x14ac:dyDescent="0.25">
      <c r="A1242" s="170" t="s">
        <v>4014</v>
      </c>
      <c r="B1242" s="170" t="s">
        <v>4015</v>
      </c>
      <c r="C1242" s="170" t="s">
        <v>587</v>
      </c>
      <c r="D1242" s="170" t="s">
        <v>2710</v>
      </c>
      <c r="E1242" s="171" t="s">
        <v>32061</v>
      </c>
      <c r="F1242" s="171" t="s">
        <v>32061</v>
      </c>
      <c r="G1242" s="82"/>
      <c r="H1242" s="96">
        <f t="shared" si="76"/>
        <v>4788</v>
      </c>
      <c r="I1242" s="96">
        <f t="shared" si="76"/>
        <v>4788</v>
      </c>
      <c r="J1242" s="91" t="str">
        <f t="shared" si="77"/>
        <v>Sinapi 100640</v>
      </c>
      <c r="K1242" s="91" t="str">
        <f t="shared" si="78"/>
        <v>H</v>
      </c>
      <c r="L1242" s="166" t="str">
        <f t="shared" si="79"/>
        <v/>
      </c>
      <c r="M1242" s="82"/>
      <c r="N1242" s="82"/>
    </row>
    <row r="1243" spans="1:14" x14ac:dyDescent="0.25">
      <c r="A1243" s="170" t="s">
        <v>4016</v>
      </c>
      <c r="B1243" s="170" t="s">
        <v>4017</v>
      </c>
      <c r="C1243" s="170" t="s">
        <v>587</v>
      </c>
      <c r="D1243" s="170" t="s">
        <v>1947</v>
      </c>
      <c r="E1243" s="171" t="s">
        <v>28574</v>
      </c>
      <c r="F1243" s="171" t="s">
        <v>28574</v>
      </c>
      <c r="G1243" s="82"/>
      <c r="H1243" s="96">
        <f t="shared" si="76"/>
        <v>297.54000000000002</v>
      </c>
      <c r="I1243" s="96">
        <f t="shared" si="76"/>
        <v>297.54000000000002</v>
      </c>
      <c r="J1243" s="91" t="str">
        <f t="shared" si="77"/>
        <v>Sinapi 100643</v>
      </c>
      <c r="K1243" s="91" t="str">
        <f t="shared" si="78"/>
        <v>H</v>
      </c>
      <c r="L1243" s="166" t="str">
        <f t="shared" si="79"/>
        <v/>
      </c>
      <c r="M1243" s="82"/>
      <c r="N1243" s="82"/>
    </row>
    <row r="1244" spans="1:14" x14ac:dyDescent="0.25">
      <c r="A1244" s="170" t="s">
        <v>4018</v>
      </c>
      <c r="B1244" s="170" t="s">
        <v>4019</v>
      </c>
      <c r="C1244" s="170" t="s">
        <v>587</v>
      </c>
      <c r="D1244" s="170" t="s">
        <v>1947</v>
      </c>
      <c r="E1244" s="171" t="s">
        <v>32062</v>
      </c>
      <c r="F1244" s="171" t="s">
        <v>32062</v>
      </c>
      <c r="G1244" s="82"/>
      <c r="H1244" s="96">
        <f t="shared" si="76"/>
        <v>104.88</v>
      </c>
      <c r="I1244" s="96">
        <f t="shared" si="76"/>
        <v>104.88</v>
      </c>
      <c r="J1244" s="91" t="str">
        <f t="shared" si="77"/>
        <v>Sinapi 100644</v>
      </c>
      <c r="K1244" s="91" t="str">
        <f t="shared" si="78"/>
        <v>H</v>
      </c>
      <c r="L1244" s="166" t="str">
        <f t="shared" si="79"/>
        <v/>
      </c>
      <c r="M1244" s="82"/>
      <c r="N1244" s="82"/>
    </row>
    <row r="1245" spans="1:14" x14ac:dyDescent="0.25">
      <c r="A1245" s="170" t="s">
        <v>4020</v>
      </c>
      <c r="B1245" s="170" t="s">
        <v>4021</v>
      </c>
      <c r="C1245" s="170" t="s">
        <v>587</v>
      </c>
      <c r="D1245" s="170" t="s">
        <v>1947</v>
      </c>
      <c r="E1245" s="171" t="s">
        <v>28575</v>
      </c>
      <c r="F1245" s="171" t="s">
        <v>28575</v>
      </c>
      <c r="G1245" s="82"/>
      <c r="H1245" s="96">
        <f t="shared" si="76"/>
        <v>478.29</v>
      </c>
      <c r="I1245" s="96">
        <f t="shared" si="76"/>
        <v>478.29</v>
      </c>
      <c r="J1245" s="91" t="str">
        <f t="shared" si="77"/>
        <v>Sinapi 100645</v>
      </c>
      <c r="K1245" s="91" t="str">
        <f t="shared" si="78"/>
        <v>H</v>
      </c>
      <c r="L1245" s="166" t="str">
        <f t="shared" si="79"/>
        <v/>
      </c>
      <c r="M1245" s="82"/>
      <c r="N1245" s="82"/>
    </row>
    <row r="1246" spans="1:14" x14ac:dyDescent="0.25">
      <c r="A1246" s="170" t="s">
        <v>4022</v>
      </c>
      <c r="B1246" s="170" t="s">
        <v>4023</v>
      </c>
      <c r="C1246" s="170" t="s">
        <v>587</v>
      </c>
      <c r="D1246" s="170" t="s">
        <v>2710</v>
      </c>
      <c r="E1246" s="171" t="s">
        <v>32063</v>
      </c>
      <c r="F1246" s="171" t="s">
        <v>32063</v>
      </c>
      <c r="G1246" s="82"/>
      <c r="H1246" s="96">
        <f t="shared" si="76"/>
        <v>5985</v>
      </c>
      <c r="I1246" s="96">
        <f t="shared" si="76"/>
        <v>5985</v>
      </c>
      <c r="J1246" s="91" t="str">
        <f t="shared" si="77"/>
        <v>Sinapi 100646</v>
      </c>
      <c r="K1246" s="91" t="str">
        <f t="shared" si="78"/>
        <v>H</v>
      </c>
      <c r="L1246" s="166" t="str">
        <f t="shared" si="79"/>
        <v/>
      </c>
      <c r="M1246" s="82"/>
      <c r="N1246" s="82"/>
    </row>
    <row r="1247" spans="1:14" x14ac:dyDescent="0.25">
      <c r="A1247" s="170" t="s">
        <v>12396</v>
      </c>
      <c r="B1247" s="170" t="s">
        <v>12397</v>
      </c>
      <c r="C1247" s="170" t="s">
        <v>587</v>
      </c>
      <c r="D1247" s="170" t="s">
        <v>1947</v>
      </c>
      <c r="E1247" s="171" t="s">
        <v>8387</v>
      </c>
      <c r="F1247" s="171" t="s">
        <v>8387</v>
      </c>
      <c r="G1247" s="82"/>
      <c r="H1247" s="96">
        <f t="shared" si="76"/>
        <v>0.59</v>
      </c>
      <c r="I1247" s="96">
        <f t="shared" si="76"/>
        <v>0.59</v>
      </c>
      <c r="J1247" s="91" t="str">
        <f t="shared" si="77"/>
        <v>Sinapi 102270</v>
      </c>
      <c r="K1247" s="91" t="str">
        <f t="shared" si="78"/>
        <v>H</v>
      </c>
      <c r="L1247" s="166" t="str">
        <f t="shared" si="79"/>
        <v/>
      </c>
      <c r="M1247" s="82"/>
      <c r="N1247" s="82"/>
    </row>
    <row r="1248" spans="1:14" x14ac:dyDescent="0.25">
      <c r="A1248" s="170" t="s">
        <v>12398</v>
      </c>
      <c r="B1248" s="170" t="s">
        <v>12399</v>
      </c>
      <c r="C1248" s="170" t="s">
        <v>587</v>
      </c>
      <c r="D1248" s="170" t="s">
        <v>1947</v>
      </c>
      <c r="E1248" s="171" t="s">
        <v>2888</v>
      </c>
      <c r="F1248" s="171" t="s">
        <v>2888</v>
      </c>
      <c r="G1248" s="82"/>
      <c r="H1248" s="96">
        <f t="shared" si="76"/>
        <v>0.13</v>
      </c>
      <c r="I1248" s="96">
        <f t="shared" si="76"/>
        <v>0.13</v>
      </c>
      <c r="J1248" s="91" t="str">
        <f t="shared" si="77"/>
        <v>Sinapi 102271</v>
      </c>
      <c r="K1248" s="91" t="str">
        <f t="shared" si="78"/>
        <v>H</v>
      </c>
      <c r="L1248" s="166" t="str">
        <f t="shared" si="79"/>
        <v/>
      </c>
      <c r="M1248" s="82"/>
      <c r="N1248" s="82"/>
    </row>
    <row r="1249" spans="1:14" x14ac:dyDescent="0.25">
      <c r="A1249" s="170" t="s">
        <v>12400</v>
      </c>
      <c r="B1249" s="170" t="s">
        <v>12401</v>
      </c>
      <c r="C1249" s="170" t="s">
        <v>587</v>
      </c>
      <c r="D1249" s="170" t="s">
        <v>1947</v>
      </c>
      <c r="E1249" s="171" t="s">
        <v>9295</v>
      </c>
      <c r="F1249" s="171" t="s">
        <v>9295</v>
      </c>
      <c r="G1249" s="82"/>
      <c r="H1249" s="96">
        <f t="shared" si="76"/>
        <v>0.74</v>
      </c>
      <c r="I1249" s="96">
        <f t="shared" si="76"/>
        <v>0.74</v>
      </c>
      <c r="J1249" s="91" t="str">
        <f t="shared" si="77"/>
        <v>Sinapi 102272</v>
      </c>
      <c r="K1249" s="91" t="str">
        <f t="shared" si="78"/>
        <v>H</v>
      </c>
      <c r="L1249" s="166" t="str">
        <f t="shared" si="79"/>
        <v/>
      </c>
      <c r="M1249" s="82"/>
      <c r="N1249" s="82"/>
    </row>
    <row r="1250" spans="1:14" x14ac:dyDescent="0.25">
      <c r="A1250" s="170" t="s">
        <v>12402</v>
      </c>
      <c r="B1250" s="170" t="s">
        <v>12403</v>
      </c>
      <c r="C1250" s="170" t="s">
        <v>587</v>
      </c>
      <c r="D1250" s="170" t="s">
        <v>2067</v>
      </c>
      <c r="E1250" s="171" t="s">
        <v>8187</v>
      </c>
      <c r="F1250" s="171" t="s">
        <v>8187</v>
      </c>
      <c r="G1250" s="82"/>
      <c r="H1250" s="96">
        <f t="shared" si="76"/>
        <v>1.76</v>
      </c>
      <c r="I1250" s="96">
        <f t="shared" si="76"/>
        <v>1.76</v>
      </c>
      <c r="J1250" s="91" t="str">
        <f t="shared" si="77"/>
        <v>Sinapi 102273</v>
      </c>
      <c r="K1250" s="91" t="str">
        <f t="shared" si="78"/>
        <v>H</v>
      </c>
      <c r="L1250" s="166" t="str">
        <f t="shared" si="79"/>
        <v/>
      </c>
      <c r="M1250" s="82"/>
      <c r="N1250" s="82"/>
    </row>
    <row r="1251" spans="1:14" x14ac:dyDescent="0.25">
      <c r="A1251" s="170" t="s">
        <v>14804</v>
      </c>
      <c r="B1251" s="170" t="s">
        <v>21778</v>
      </c>
      <c r="C1251" s="170" t="s">
        <v>587</v>
      </c>
      <c r="D1251" s="170" t="s">
        <v>2710</v>
      </c>
      <c r="E1251" s="171" t="s">
        <v>23070</v>
      </c>
      <c r="F1251" s="171" t="s">
        <v>23070</v>
      </c>
      <c r="G1251" s="82"/>
      <c r="H1251" s="96">
        <f t="shared" si="76"/>
        <v>18.66</v>
      </c>
      <c r="I1251" s="96">
        <f t="shared" si="76"/>
        <v>18.66</v>
      </c>
      <c r="J1251" s="91" t="str">
        <f t="shared" si="77"/>
        <v>Sinapi 102809</v>
      </c>
      <c r="K1251" s="91" t="str">
        <f t="shared" si="78"/>
        <v>H</v>
      </c>
      <c r="L1251" s="166" t="str">
        <f t="shared" si="79"/>
        <v/>
      </c>
      <c r="M1251" s="82"/>
      <c r="N1251" s="82"/>
    </row>
    <row r="1252" spans="1:14" x14ac:dyDescent="0.25">
      <c r="A1252" s="170" t="s">
        <v>14805</v>
      </c>
      <c r="B1252" s="170" t="s">
        <v>14806</v>
      </c>
      <c r="C1252" s="170" t="s">
        <v>587</v>
      </c>
      <c r="D1252" s="170" t="s">
        <v>2067</v>
      </c>
      <c r="E1252" s="171" t="s">
        <v>17383</v>
      </c>
      <c r="F1252" s="171" t="s">
        <v>17383</v>
      </c>
      <c r="G1252" s="82"/>
      <c r="H1252" s="96">
        <f t="shared" si="76"/>
        <v>3.53</v>
      </c>
      <c r="I1252" s="96">
        <f t="shared" si="76"/>
        <v>3.53</v>
      </c>
      <c r="J1252" s="91" t="str">
        <f t="shared" si="77"/>
        <v>Sinapi 102815</v>
      </c>
      <c r="K1252" s="91" t="str">
        <f t="shared" si="78"/>
        <v>H</v>
      </c>
      <c r="L1252" s="166" t="str">
        <f t="shared" si="79"/>
        <v/>
      </c>
      <c r="M1252" s="82"/>
      <c r="N1252" s="82"/>
    </row>
    <row r="1253" spans="1:14" x14ac:dyDescent="0.25">
      <c r="A1253" s="170" t="s">
        <v>14807</v>
      </c>
      <c r="B1253" s="170" t="s">
        <v>21779</v>
      </c>
      <c r="C1253" s="170" t="s">
        <v>587</v>
      </c>
      <c r="D1253" s="170" t="s">
        <v>2067</v>
      </c>
      <c r="E1253" s="171" t="s">
        <v>16362</v>
      </c>
      <c r="F1253" s="171" t="s">
        <v>16362</v>
      </c>
      <c r="G1253" s="82"/>
      <c r="H1253" s="96">
        <f t="shared" si="76"/>
        <v>6.63</v>
      </c>
      <c r="I1253" s="96">
        <f t="shared" si="76"/>
        <v>6.63</v>
      </c>
      <c r="J1253" s="91" t="str">
        <f t="shared" si="77"/>
        <v>Sinapi 102826</v>
      </c>
      <c r="K1253" s="91" t="str">
        <f t="shared" si="78"/>
        <v>H</v>
      </c>
      <c r="L1253" s="166" t="str">
        <f t="shared" si="79"/>
        <v/>
      </c>
      <c r="M1253" s="82"/>
      <c r="N1253" s="82"/>
    </row>
    <row r="1254" spans="1:14" x14ac:dyDescent="0.25">
      <c r="A1254" s="170" t="s">
        <v>14808</v>
      </c>
      <c r="B1254" s="170" t="s">
        <v>21780</v>
      </c>
      <c r="C1254" s="170" t="s">
        <v>587</v>
      </c>
      <c r="D1254" s="170" t="s">
        <v>2067</v>
      </c>
      <c r="E1254" s="171" t="s">
        <v>18721</v>
      </c>
      <c r="F1254" s="171" t="s">
        <v>18721</v>
      </c>
      <c r="G1254" s="82"/>
      <c r="H1254" s="96">
        <f t="shared" si="76"/>
        <v>8.84</v>
      </c>
      <c r="I1254" s="96">
        <f t="shared" si="76"/>
        <v>8.84</v>
      </c>
      <c r="J1254" s="91" t="str">
        <f t="shared" si="77"/>
        <v>Sinapi 102832</v>
      </c>
      <c r="K1254" s="91" t="str">
        <f t="shared" si="78"/>
        <v>H</v>
      </c>
      <c r="L1254" s="166" t="str">
        <f t="shared" si="79"/>
        <v/>
      </c>
      <c r="M1254" s="82"/>
      <c r="N1254" s="82"/>
    </row>
    <row r="1255" spans="1:14" x14ac:dyDescent="0.25">
      <c r="A1255" s="170" t="s">
        <v>14809</v>
      </c>
      <c r="B1255" s="170" t="s">
        <v>14810</v>
      </c>
      <c r="C1255" s="170" t="s">
        <v>587</v>
      </c>
      <c r="D1255" s="170" t="s">
        <v>2710</v>
      </c>
      <c r="E1255" s="171" t="s">
        <v>22028</v>
      </c>
      <c r="F1255" s="171" t="s">
        <v>22028</v>
      </c>
      <c r="G1255" s="82"/>
      <c r="H1255" s="96">
        <f t="shared" si="76"/>
        <v>149.62</v>
      </c>
      <c r="I1255" s="96">
        <f t="shared" si="76"/>
        <v>149.62</v>
      </c>
      <c r="J1255" s="91" t="str">
        <f t="shared" si="77"/>
        <v>Sinapi 102843</v>
      </c>
      <c r="K1255" s="91" t="str">
        <f t="shared" si="78"/>
        <v>H</v>
      </c>
      <c r="L1255" s="166" t="str">
        <f t="shared" si="79"/>
        <v/>
      </c>
      <c r="M1255" s="82"/>
      <c r="N1255" s="82"/>
    </row>
    <row r="1256" spans="1:14" x14ac:dyDescent="0.25">
      <c r="A1256" s="170" t="s">
        <v>14811</v>
      </c>
      <c r="B1256" s="170" t="s">
        <v>14812</v>
      </c>
      <c r="C1256" s="170" t="s">
        <v>587</v>
      </c>
      <c r="D1256" s="170" t="s">
        <v>2710</v>
      </c>
      <c r="E1256" s="171" t="s">
        <v>29424</v>
      </c>
      <c r="F1256" s="171" t="s">
        <v>29424</v>
      </c>
      <c r="G1256" s="82"/>
      <c r="H1256" s="96">
        <f t="shared" si="76"/>
        <v>73.150000000000006</v>
      </c>
      <c r="I1256" s="96">
        <f t="shared" si="76"/>
        <v>73.150000000000006</v>
      </c>
      <c r="J1256" s="91" t="str">
        <f t="shared" si="77"/>
        <v>Sinapi 102849</v>
      </c>
      <c r="K1256" s="91" t="str">
        <f t="shared" si="78"/>
        <v>H</v>
      </c>
      <c r="L1256" s="166" t="str">
        <f t="shared" si="79"/>
        <v/>
      </c>
      <c r="M1256" s="82"/>
      <c r="N1256" s="82"/>
    </row>
    <row r="1257" spans="1:14" x14ac:dyDescent="0.25">
      <c r="A1257" s="170" t="s">
        <v>14813</v>
      </c>
      <c r="B1257" s="170" t="s">
        <v>14814</v>
      </c>
      <c r="C1257" s="170" t="s">
        <v>587</v>
      </c>
      <c r="D1257" s="170" t="s">
        <v>2710</v>
      </c>
      <c r="E1257" s="171" t="s">
        <v>29424</v>
      </c>
      <c r="F1257" s="171" t="s">
        <v>29424</v>
      </c>
      <c r="G1257" s="82"/>
      <c r="H1257" s="96">
        <f t="shared" si="76"/>
        <v>73.150000000000006</v>
      </c>
      <c r="I1257" s="96">
        <f t="shared" si="76"/>
        <v>73.150000000000006</v>
      </c>
      <c r="J1257" s="91" t="str">
        <f t="shared" si="77"/>
        <v>Sinapi 102855</v>
      </c>
      <c r="K1257" s="91" t="str">
        <f t="shared" si="78"/>
        <v>H</v>
      </c>
      <c r="L1257" s="166" t="str">
        <f t="shared" si="79"/>
        <v/>
      </c>
      <c r="M1257" s="82"/>
      <c r="N1257" s="82"/>
    </row>
    <row r="1258" spans="1:14" x14ac:dyDescent="0.25">
      <c r="A1258" s="170" t="s">
        <v>14815</v>
      </c>
      <c r="B1258" s="170" t="s">
        <v>21781</v>
      </c>
      <c r="C1258" s="170" t="s">
        <v>587</v>
      </c>
      <c r="D1258" s="170" t="s">
        <v>2067</v>
      </c>
      <c r="E1258" s="171" t="s">
        <v>3966</v>
      </c>
      <c r="F1258" s="171" t="s">
        <v>3966</v>
      </c>
      <c r="G1258" s="82"/>
      <c r="H1258" s="96">
        <f t="shared" si="76"/>
        <v>1.3</v>
      </c>
      <c r="I1258" s="96">
        <f t="shared" si="76"/>
        <v>1.3</v>
      </c>
      <c r="J1258" s="91" t="str">
        <f t="shared" si="77"/>
        <v>Sinapi 102861</v>
      </c>
      <c r="K1258" s="91" t="str">
        <f t="shared" si="78"/>
        <v>H</v>
      </c>
      <c r="L1258" s="166" t="str">
        <f t="shared" si="79"/>
        <v/>
      </c>
      <c r="M1258" s="82"/>
      <c r="N1258" s="82"/>
    </row>
    <row r="1259" spans="1:14" x14ac:dyDescent="0.25">
      <c r="A1259" s="170" t="s">
        <v>14816</v>
      </c>
      <c r="B1259" s="170" t="s">
        <v>21782</v>
      </c>
      <c r="C1259" s="170" t="s">
        <v>587</v>
      </c>
      <c r="D1259" s="170" t="s">
        <v>2067</v>
      </c>
      <c r="E1259" s="171" t="s">
        <v>3780</v>
      </c>
      <c r="F1259" s="171" t="s">
        <v>3780</v>
      </c>
      <c r="G1259" s="82"/>
      <c r="H1259" s="96">
        <f t="shared" si="76"/>
        <v>0.7</v>
      </c>
      <c r="I1259" s="96">
        <f t="shared" si="76"/>
        <v>0.7</v>
      </c>
      <c r="J1259" s="91" t="str">
        <f t="shared" si="77"/>
        <v>Sinapi 102867</v>
      </c>
      <c r="K1259" s="91" t="str">
        <f t="shared" si="78"/>
        <v>H</v>
      </c>
      <c r="L1259" s="166" t="str">
        <f t="shared" si="79"/>
        <v/>
      </c>
      <c r="M1259" s="82"/>
      <c r="N1259" s="82"/>
    </row>
    <row r="1260" spans="1:14" x14ac:dyDescent="0.25">
      <c r="A1260" s="170" t="s">
        <v>14817</v>
      </c>
      <c r="B1260" s="170" t="s">
        <v>14818</v>
      </c>
      <c r="C1260" s="170" t="s">
        <v>587</v>
      </c>
      <c r="D1260" s="170" t="s">
        <v>2710</v>
      </c>
      <c r="E1260" s="171" t="s">
        <v>32030</v>
      </c>
      <c r="F1260" s="171" t="s">
        <v>32030</v>
      </c>
      <c r="G1260" s="82"/>
      <c r="H1260" s="96">
        <f t="shared" si="76"/>
        <v>132.93</v>
      </c>
      <c r="I1260" s="96">
        <f t="shared" si="76"/>
        <v>132.93</v>
      </c>
      <c r="J1260" s="91" t="str">
        <f t="shared" si="77"/>
        <v>Sinapi 102873</v>
      </c>
      <c r="K1260" s="91" t="str">
        <f t="shared" si="78"/>
        <v>H</v>
      </c>
      <c r="L1260" s="166" t="str">
        <f t="shared" si="79"/>
        <v/>
      </c>
      <c r="M1260" s="82"/>
      <c r="N1260" s="82"/>
    </row>
    <row r="1261" spans="1:14" x14ac:dyDescent="0.25">
      <c r="A1261" s="170" t="s">
        <v>14819</v>
      </c>
      <c r="B1261" s="170" t="s">
        <v>14820</v>
      </c>
      <c r="C1261" s="170" t="s">
        <v>587</v>
      </c>
      <c r="D1261" s="170" t="s">
        <v>2710</v>
      </c>
      <c r="E1261" s="171" t="s">
        <v>32064</v>
      </c>
      <c r="F1261" s="171" t="s">
        <v>32064</v>
      </c>
      <c r="G1261" s="82"/>
      <c r="H1261" s="96">
        <f t="shared" si="76"/>
        <v>199.5</v>
      </c>
      <c r="I1261" s="96">
        <f t="shared" si="76"/>
        <v>199.5</v>
      </c>
      <c r="J1261" s="91" t="str">
        <f t="shared" si="77"/>
        <v>Sinapi 102879</v>
      </c>
      <c r="K1261" s="91" t="str">
        <f t="shared" si="78"/>
        <v>H</v>
      </c>
      <c r="L1261" s="166" t="str">
        <f t="shared" si="79"/>
        <v/>
      </c>
      <c r="M1261" s="82"/>
      <c r="N1261" s="82"/>
    </row>
    <row r="1262" spans="1:14" x14ac:dyDescent="0.25">
      <c r="A1262" s="170" t="s">
        <v>14821</v>
      </c>
      <c r="B1262" s="170" t="s">
        <v>14822</v>
      </c>
      <c r="C1262" s="170" t="s">
        <v>587</v>
      </c>
      <c r="D1262" s="170" t="s">
        <v>2067</v>
      </c>
      <c r="E1262" s="171" t="s">
        <v>29677</v>
      </c>
      <c r="F1262" s="171" t="s">
        <v>29677</v>
      </c>
      <c r="G1262" s="82"/>
      <c r="H1262" s="96">
        <f t="shared" si="76"/>
        <v>1.33</v>
      </c>
      <c r="I1262" s="96">
        <f t="shared" si="76"/>
        <v>1.33</v>
      </c>
      <c r="J1262" s="91" t="str">
        <f t="shared" si="77"/>
        <v>Sinapi 102885</v>
      </c>
      <c r="K1262" s="91" t="str">
        <f t="shared" si="78"/>
        <v>H</v>
      </c>
      <c r="L1262" s="166" t="str">
        <f t="shared" si="79"/>
        <v/>
      </c>
      <c r="M1262" s="82"/>
      <c r="N1262" s="82"/>
    </row>
    <row r="1263" spans="1:14" x14ac:dyDescent="0.25">
      <c r="A1263" s="170" t="s">
        <v>14823</v>
      </c>
      <c r="B1263" s="170" t="s">
        <v>14824</v>
      </c>
      <c r="C1263" s="170" t="s">
        <v>587</v>
      </c>
      <c r="D1263" s="170" t="s">
        <v>2067</v>
      </c>
      <c r="E1263" s="171" t="s">
        <v>29677</v>
      </c>
      <c r="F1263" s="171" t="s">
        <v>29677</v>
      </c>
      <c r="G1263" s="82"/>
      <c r="H1263" s="96">
        <f t="shared" si="76"/>
        <v>1.33</v>
      </c>
      <c r="I1263" s="96">
        <f t="shared" si="76"/>
        <v>1.33</v>
      </c>
      <c r="J1263" s="91" t="str">
        <f t="shared" si="77"/>
        <v>Sinapi 102891</v>
      </c>
      <c r="K1263" s="91" t="str">
        <f t="shared" si="78"/>
        <v>H</v>
      </c>
      <c r="L1263" s="166" t="str">
        <f t="shared" si="79"/>
        <v/>
      </c>
      <c r="M1263" s="82"/>
      <c r="N1263" s="82"/>
    </row>
    <row r="1264" spans="1:14" x14ac:dyDescent="0.25">
      <c r="A1264" s="170" t="s">
        <v>14825</v>
      </c>
      <c r="B1264" s="170" t="s">
        <v>14826</v>
      </c>
      <c r="C1264" s="170" t="s">
        <v>587</v>
      </c>
      <c r="D1264" s="170" t="s">
        <v>2710</v>
      </c>
      <c r="E1264" s="171" t="s">
        <v>22003</v>
      </c>
      <c r="F1264" s="171" t="s">
        <v>22003</v>
      </c>
      <c r="G1264" s="82"/>
      <c r="H1264" s="96">
        <f t="shared" si="76"/>
        <v>99.94</v>
      </c>
      <c r="I1264" s="96">
        <f t="shared" si="76"/>
        <v>99.94</v>
      </c>
      <c r="J1264" s="91" t="str">
        <f t="shared" si="77"/>
        <v>Sinapi 102897</v>
      </c>
      <c r="K1264" s="91" t="str">
        <f t="shared" si="78"/>
        <v>H</v>
      </c>
      <c r="L1264" s="166" t="str">
        <f t="shared" si="79"/>
        <v/>
      </c>
      <c r="M1264" s="82"/>
      <c r="N1264" s="82"/>
    </row>
    <row r="1265" spans="1:14" x14ac:dyDescent="0.25">
      <c r="A1265" s="170" t="s">
        <v>14827</v>
      </c>
      <c r="B1265" s="170" t="s">
        <v>21783</v>
      </c>
      <c r="C1265" s="170" t="s">
        <v>587</v>
      </c>
      <c r="D1265" s="170" t="s">
        <v>2710</v>
      </c>
      <c r="E1265" s="171" t="s">
        <v>15636</v>
      </c>
      <c r="F1265" s="171" t="s">
        <v>15636</v>
      </c>
      <c r="G1265" s="82"/>
      <c r="H1265" s="96">
        <f t="shared" si="76"/>
        <v>12.96</v>
      </c>
      <c r="I1265" s="96">
        <f t="shared" si="76"/>
        <v>12.96</v>
      </c>
      <c r="J1265" s="91" t="str">
        <f t="shared" si="77"/>
        <v>Sinapi 102903</v>
      </c>
      <c r="K1265" s="91" t="str">
        <f t="shared" si="78"/>
        <v>H</v>
      </c>
      <c r="L1265" s="166" t="str">
        <f t="shared" si="79"/>
        <v/>
      </c>
      <c r="M1265" s="82"/>
      <c r="N1265" s="82"/>
    </row>
    <row r="1266" spans="1:14" x14ac:dyDescent="0.25">
      <c r="A1266" s="170" t="s">
        <v>14828</v>
      </c>
      <c r="B1266" s="170" t="s">
        <v>21784</v>
      </c>
      <c r="C1266" s="170" t="s">
        <v>587</v>
      </c>
      <c r="D1266" s="170" t="s">
        <v>2067</v>
      </c>
      <c r="E1266" s="171" t="s">
        <v>22905</v>
      </c>
      <c r="F1266" s="171" t="s">
        <v>22905</v>
      </c>
      <c r="G1266" s="82"/>
      <c r="H1266" s="96">
        <f t="shared" si="76"/>
        <v>4.24</v>
      </c>
      <c r="I1266" s="96">
        <f t="shared" si="76"/>
        <v>4.24</v>
      </c>
      <c r="J1266" s="91" t="str">
        <f t="shared" si="77"/>
        <v>Sinapi 102909</v>
      </c>
      <c r="K1266" s="91" t="str">
        <f t="shared" si="78"/>
        <v>H</v>
      </c>
      <c r="L1266" s="166" t="str">
        <f t="shared" si="79"/>
        <v/>
      </c>
      <c r="M1266" s="82"/>
      <c r="N1266" s="82"/>
    </row>
    <row r="1267" spans="1:14" x14ac:dyDescent="0.25">
      <c r="A1267" s="170" t="s">
        <v>14829</v>
      </c>
      <c r="B1267" s="170" t="s">
        <v>21785</v>
      </c>
      <c r="C1267" s="170" t="s">
        <v>587</v>
      </c>
      <c r="D1267" s="170" t="s">
        <v>2067</v>
      </c>
      <c r="E1267" s="171" t="s">
        <v>3326</v>
      </c>
      <c r="F1267" s="171" t="s">
        <v>3326</v>
      </c>
      <c r="G1267" s="82"/>
      <c r="H1267" s="96">
        <f t="shared" si="76"/>
        <v>0.65</v>
      </c>
      <c r="I1267" s="96">
        <f t="shared" si="76"/>
        <v>0.65</v>
      </c>
      <c r="J1267" s="91" t="str">
        <f t="shared" si="77"/>
        <v>Sinapi 102915</v>
      </c>
      <c r="K1267" s="91" t="str">
        <f t="shared" si="78"/>
        <v>H</v>
      </c>
      <c r="L1267" s="166" t="str">
        <f t="shared" si="79"/>
        <v/>
      </c>
      <c r="M1267" s="82"/>
      <c r="N1267" s="82"/>
    </row>
    <row r="1268" spans="1:14" x14ac:dyDescent="0.25">
      <c r="A1268" s="170" t="s">
        <v>14830</v>
      </c>
      <c r="B1268" s="170" t="s">
        <v>21786</v>
      </c>
      <c r="C1268" s="170" t="s">
        <v>587</v>
      </c>
      <c r="D1268" s="170" t="s">
        <v>2067</v>
      </c>
      <c r="E1268" s="171" t="s">
        <v>15761</v>
      </c>
      <c r="F1268" s="171" t="s">
        <v>15761</v>
      </c>
      <c r="G1268" s="82"/>
      <c r="H1268" s="96">
        <f t="shared" si="76"/>
        <v>0.97</v>
      </c>
      <c r="I1268" s="96">
        <f t="shared" si="76"/>
        <v>0.97</v>
      </c>
      <c r="J1268" s="91" t="str">
        <f t="shared" si="77"/>
        <v>Sinapi 102927</v>
      </c>
      <c r="K1268" s="91" t="str">
        <f t="shared" si="78"/>
        <v>H</v>
      </c>
      <c r="L1268" s="166" t="str">
        <f t="shared" si="79"/>
        <v/>
      </c>
      <c r="M1268" s="82"/>
      <c r="N1268" s="82"/>
    </row>
    <row r="1269" spans="1:14" x14ac:dyDescent="0.25">
      <c r="A1269" s="170" t="s">
        <v>14831</v>
      </c>
      <c r="B1269" s="170" t="s">
        <v>14832</v>
      </c>
      <c r="C1269" s="170" t="s">
        <v>587</v>
      </c>
      <c r="D1269" s="170" t="s">
        <v>2067</v>
      </c>
      <c r="E1269" s="171" t="s">
        <v>15761</v>
      </c>
      <c r="F1269" s="171" t="s">
        <v>15761</v>
      </c>
      <c r="G1269" s="82"/>
      <c r="H1269" s="96">
        <f t="shared" si="76"/>
        <v>0.97</v>
      </c>
      <c r="I1269" s="96">
        <f t="shared" si="76"/>
        <v>0.97</v>
      </c>
      <c r="J1269" s="91" t="str">
        <f t="shared" si="77"/>
        <v>Sinapi 102933</v>
      </c>
      <c r="K1269" s="91" t="str">
        <f t="shared" si="78"/>
        <v>H</v>
      </c>
      <c r="L1269" s="166" t="str">
        <f t="shared" si="79"/>
        <v/>
      </c>
      <c r="M1269" s="82"/>
      <c r="N1269" s="82"/>
    </row>
    <row r="1270" spans="1:14" x14ac:dyDescent="0.25">
      <c r="A1270" s="170" t="s">
        <v>14833</v>
      </c>
      <c r="B1270" s="170" t="s">
        <v>21787</v>
      </c>
      <c r="C1270" s="170" t="s">
        <v>587</v>
      </c>
      <c r="D1270" s="170" t="s">
        <v>2067</v>
      </c>
      <c r="E1270" s="171" t="s">
        <v>19897</v>
      </c>
      <c r="F1270" s="171" t="s">
        <v>19897</v>
      </c>
      <c r="G1270" s="82"/>
      <c r="H1270" s="96">
        <f t="shared" si="76"/>
        <v>9.7200000000000006</v>
      </c>
      <c r="I1270" s="96">
        <f t="shared" si="76"/>
        <v>9.7200000000000006</v>
      </c>
      <c r="J1270" s="91" t="str">
        <f t="shared" si="77"/>
        <v>Sinapi 102939</v>
      </c>
      <c r="K1270" s="91" t="str">
        <f t="shared" si="78"/>
        <v>H</v>
      </c>
      <c r="L1270" s="166" t="str">
        <f t="shared" si="79"/>
        <v/>
      </c>
      <c r="M1270" s="82"/>
      <c r="N1270" s="82"/>
    </row>
    <row r="1271" spans="1:14" x14ac:dyDescent="0.25">
      <c r="A1271" s="170" t="s">
        <v>14834</v>
      </c>
      <c r="B1271" s="170" t="s">
        <v>21788</v>
      </c>
      <c r="C1271" s="170" t="s">
        <v>587</v>
      </c>
      <c r="D1271" s="170" t="s">
        <v>2067</v>
      </c>
      <c r="E1271" s="171" t="s">
        <v>3112</v>
      </c>
      <c r="F1271" s="171" t="s">
        <v>3112</v>
      </c>
      <c r="G1271" s="82"/>
      <c r="H1271" s="96">
        <f t="shared" si="76"/>
        <v>0.03</v>
      </c>
      <c r="I1271" s="96">
        <f t="shared" si="76"/>
        <v>0.03</v>
      </c>
      <c r="J1271" s="91" t="str">
        <f t="shared" si="77"/>
        <v>Sinapi 102945</v>
      </c>
      <c r="K1271" s="91" t="str">
        <f t="shared" si="78"/>
        <v>H</v>
      </c>
      <c r="L1271" s="166" t="str">
        <f t="shared" si="79"/>
        <v/>
      </c>
      <c r="M1271" s="82"/>
      <c r="N1271" s="82"/>
    </row>
    <row r="1272" spans="1:14" x14ac:dyDescent="0.25">
      <c r="A1272" s="170" t="s">
        <v>14835</v>
      </c>
      <c r="B1272" s="170" t="s">
        <v>21789</v>
      </c>
      <c r="C1272" s="170" t="s">
        <v>587</v>
      </c>
      <c r="D1272" s="170" t="s">
        <v>2067</v>
      </c>
      <c r="E1272" s="171" t="s">
        <v>3326</v>
      </c>
      <c r="F1272" s="171" t="s">
        <v>3326</v>
      </c>
      <c r="G1272" s="82"/>
      <c r="H1272" s="96">
        <f t="shared" si="76"/>
        <v>0.65</v>
      </c>
      <c r="I1272" s="96">
        <f t="shared" si="76"/>
        <v>0.65</v>
      </c>
      <c r="J1272" s="91" t="str">
        <f t="shared" si="77"/>
        <v>Sinapi 102951</v>
      </c>
      <c r="K1272" s="91" t="str">
        <f t="shared" si="78"/>
        <v>H</v>
      </c>
      <c r="L1272" s="166" t="str">
        <f t="shared" si="79"/>
        <v/>
      </c>
      <c r="M1272" s="82"/>
      <c r="N1272" s="82"/>
    </row>
    <row r="1273" spans="1:14" x14ac:dyDescent="0.25">
      <c r="A1273" s="170" t="s">
        <v>14836</v>
      </c>
      <c r="B1273" s="170" t="s">
        <v>14837</v>
      </c>
      <c r="C1273" s="170" t="s">
        <v>587</v>
      </c>
      <c r="D1273" s="170" t="s">
        <v>2710</v>
      </c>
      <c r="E1273" s="171" t="s">
        <v>21976</v>
      </c>
      <c r="F1273" s="171" t="s">
        <v>21976</v>
      </c>
      <c r="G1273" s="82"/>
      <c r="H1273" s="96">
        <f t="shared" si="76"/>
        <v>56.72</v>
      </c>
      <c r="I1273" s="96">
        <f t="shared" si="76"/>
        <v>56.72</v>
      </c>
      <c r="J1273" s="91" t="str">
        <f t="shared" si="77"/>
        <v>Sinapi 102957</v>
      </c>
      <c r="K1273" s="91" t="str">
        <f t="shared" si="78"/>
        <v>H</v>
      </c>
      <c r="L1273" s="166" t="str">
        <f t="shared" si="79"/>
        <v/>
      </c>
      <c r="M1273" s="82"/>
      <c r="N1273" s="82"/>
    </row>
    <row r="1274" spans="1:14" x14ac:dyDescent="0.25">
      <c r="A1274" s="170" t="s">
        <v>14838</v>
      </c>
      <c r="B1274" s="170" t="s">
        <v>14839</v>
      </c>
      <c r="C1274" s="170" t="s">
        <v>587</v>
      </c>
      <c r="D1274" s="170" t="s">
        <v>2710</v>
      </c>
      <c r="E1274" s="171" t="s">
        <v>23147</v>
      </c>
      <c r="F1274" s="171" t="s">
        <v>23147</v>
      </c>
      <c r="G1274" s="82"/>
      <c r="H1274" s="96">
        <f t="shared" si="76"/>
        <v>94.23</v>
      </c>
      <c r="I1274" s="96">
        <f t="shared" si="76"/>
        <v>94.23</v>
      </c>
      <c r="J1274" s="91" t="str">
        <f t="shared" si="77"/>
        <v>Sinapi 102963</v>
      </c>
      <c r="K1274" s="91" t="str">
        <f t="shared" si="78"/>
        <v>H</v>
      </c>
      <c r="L1274" s="166" t="str">
        <f t="shared" si="79"/>
        <v/>
      </c>
      <c r="M1274" s="82"/>
      <c r="N1274" s="82"/>
    </row>
    <row r="1275" spans="1:14" x14ac:dyDescent="0.25">
      <c r="A1275" s="170" t="s">
        <v>14840</v>
      </c>
      <c r="B1275" s="170" t="s">
        <v>21790</v>
      </c>
      <c r="C1275" s="170" t="s">
        <v>587</v>
      </c>
      <c r="D1275" s="170" t="s">
        <v>2067</v>
      </c>
      <c r="E1275" s="171" t="s">
        <v>14356</v>
      </c>
      <c r="F1275" s="171" t="s">
        <v>14356</v>
      </c>
      <c r="G1275" s="82"/>
      <c r="H1275" s="96">
        <f t="shared" si="76"/>
        <v>1.31</v>
      </c>
      <c r="I1275" s="96">
        <f t="shared" si="76"/>
        <v>1.31</v>
      </c>
      <c r="J1275" s="91" t="str">
        <f t="shared" si="77"/>
        <v>Sinapi 102969</v>
      </c>
      <c r="K1275" s="91" t="str">
        <f t="shared" si="78"/>
        <v>H</v>
      </c>
      <c r="L1275" s="166" t="str">
        <f t="shared" si="79"/>
        <v/>
      </c>
      <c r="M1275" s="82"/>
      <c r="N1275" s="82"/>
    </row>
    <row r="1276" spans="1:14" x14ac:dyDescent="0.25">
      <c r="A1276" s="170" t="s">
        <v>14841</v>
      </c>
      <c r="B1276" s="170" t="s">
        <v>14842</v>
      </c>
      <c r="C1276" s="170" t="s">
        <v>587</v>
      </c>
      <c r="D1276" s="170" t="s">
        <v>2710</v>
      </c>
      <c r="E1276" s="171" t="s">
        <v>25072</v>
      </c>
      <c r="F1276" s="171" t="s">
        <v>25072</v>
      </c>
      <c r="G1276" s="82"/>
      <c r="H1276" s="96">
        <f t="shared" si="76"/>
        <v>3.32</v>
      </c>
      <c r="I1276" s="96">
        <f t="shared" si="76"/>
        <v>3.32</v>
      </c>
      <c r="J1276" s="91" t="str">
        <f t="shared" si="77"/>
        <v>Sinapi 102985</v>
      </c>
      <c r="K1276" s="91" t="str">
        <f t="shared" si="78"/>
        <v>H</v>
      </c>
      <c r="L1276" s="166" t="str">
        <f t="shared" si="79"/>
        <v/>
      </c>
      <c r="M1276" s="82"/>
      <c r="N1276" s="82"/>
    </row>
    <row r="1277" spans="1:14" x14ac:dyDescent="0.25">
      <c r="A1277" s="170" t="s">
        <v>14843</v>
      </c>
      <c r="B1277" s="170" t="s">
        <v>21791</v>
      </c>
      <c r="C1277" s="170" t="s">
        <v>587</v>
      </c>
      <c r="D1277" s="170" t="s">
        <v>2067</v>
      </c>
      <c r="E1277" s="171" t="s">
        <v>14802</v>
      </c>
      <c r="F1277" s="171" t="s">
        <v>14802</v>
      </c>
      <c r="G1277" s="82"/>
      <c r="H1277" s="96">
        <f t="shared" si="76"/>
        <v>2.54</v>
      </c>
      <c r="I1277" s="96">
        <f t="shared" si="76"/>
        <v>2.54</v>
      </c>
      <c r="J1277" s="91" t="str">
        <f t="shared" si="77"/>
        <v>Sinapi 103156</v>
      </c>
      <c r="K1277" s="91" t="str">
        <f t="shared" si="78"/>
        <v>H</v>
      </c>
      <c r="L1277" s="166" t="str">
        <f t="shared" si="79"/>
        <v/>
      </c>
      <c r="M1277" s="82"/>
      <c r="N1277" s="82"/>
    </row>
    <row r="1278" spans="1:14" x14ac:dyDescent="0.25">
      <c r="A1278" s="170" t="s">
        <v>14844</v>
      </c>
      <c r="B1278" s="170" t="s">
        <v>21792</v>
      </c>
      <c r="C1278" s="170" t="s">
        <v>587</v>
      </c>
      <c r="D1278" s="170" t="s">
        <v>2067</v>
      </c>
      <c r="E1278" s="171" t="s">
        <v>13395</v>
      </c>
      <c r="F1278" s="171" t="s">
        <v>13395</v>
      </c>
      <c r="G1278" s="82"/>
      <c r="H1278" s="96">
        <f t="shared" si="76"/>
        <v>3.09</v>
      </c>
      <c r="I1278" s="96">
        <f t="shared" si="76"/>
        <v>3.09</v>
      </c>
      <c r="J1278" s="91" t="str">
        <f t="shared" si="77"/>
        <v>Sinapi 103162</v>
      </c>
      <c r="K1278" s="91" t="str">
        <f t="shared" si="78"/>
        <v>H</v>
      </c>
      <c r="L1278" s="166" t="str">
        <f t="shared" si="79"/>
        <v/>
      </c>
      <c r="M1278" s="82"/>
      <c r="N1278" s="82"/>
    </row>
    <row r="1279" spans="1:14" x14ac:dyDescent="0.25">
      <c r="A1279" s="170" t="s">
        <v>14845</v>
      </c>
      <c r="B1279" s="170" t="s">
        <v>21793</v>
      </c>
      <c r="C1279" s="170" t="s">
        <v>587</v>
      </c>
      <c r="D1279" s="170" t="s">
        <v>2067</v>
      </c>
      <c r="E1279" s="171" t="s">
        <v>15561</v>
      </c>
      <c r="F1279" s="171" t="s">
        <v>15561</v>
      </c>
      <c r="G1279" s="82"/>
      <c r="H1279" s="96">
        <f t="shared" si="76"/>
        <v>3.46</v>
      </c>
      <c r="I1279" s="96">
        <f t="shared" si="76"/>
        <v>3.46</v>
      </c>
      <c r="J1279" s="91" t="str">
        <f t="shared" si="77"/>
        <v>Sinapi 103168</v>
      </c>
      <c r="K1279" s="91" t="str">
        <f t="shared" si="78"/>
        <v>H</v>
      </c>
      <c r="L1279" s="166" t="str">
        <f t="shared" si="79"/>
        <v/>
      </c>
      <c r="M1279" s="82"/>
      <c r="N1279" s="82"/>
    </row>
    <row r="1280" spans="1:14" x14ac:dyDescent="0.25">
      <c r="A1280" s="170" t="s">
        <v>14846</v>
      </c>
      <c r="B1280" s="170" t="s">
        <v>21794</v>
      </c>
      <c r="C1280" s="170" t="s">
        <v>587</v>
      </c>
      <c r="D1280" s="170" t="s">
        <v>2067</v>
      </c>
      <c r="E1280" s="171" t="s">
        <v>12328</v>
      </c>
      <c r="F1280" s="171" t="s">
        <v>12328</v>
      </c>
      <c r="G1280" s="82"/>
      <c r="H1280" s="96">
        <f t="shared" si="76"/>
        <v>8.99</v>
      </c>
      <c r="I1280" s="96">
        <f t="shared" si="76"/>
        <v>8.99</v>
      </c>
      <c r="J1280" s="91" t="str">
        <f t="shared" si="77"/>
        <v>Sinapi 103174</v>
      </c>
      <c r="K1280" s="91" t="str">
        <f t="shared" si="78"/>
        <v>H</v>
      </c>
      <c r="L1280" s="166" t="str">
        <f t="shared" si="79"/>
        <v/>
      </c>
      <c r="M1280" s="82"/>
      <c r="N1280" s="82"/>
    </row>
    <row r="1281" spans="1:14" x14ac:dyDescent="0.25">
      <c r="A1281" s="170" t="s">
        <v>14847</v>
      </c>
      <c r="B1281" s="170" t="s">
        <v>21795</v>
      </c>
      <c r="C1281" s="170" t="s">
        <v>587</v>
      </c>
      <c r="D1281" s="170" t="s">
        <v>2067</v>
      </c>
      <c r="E1281" s="171" t="s">
        <v>16391</v>
      </c>
      <c r="F1281" s="171" t="s">
        <v>16391</v>
      </c>
      <c r="G1281" s="82"/>
      <c r="H1281" s="96">
        <f t="shared" si="76"/>
        <v>20.11</v>
      </c>
      <c r="I1281" s="96">
        <f t="shared" si="76"/>
        <v>20.11</v>
      </c>
      <c r="J1281" s="91" t="str">
        <f t="shared" si="77"/>
        <v>Sinapi 103180</v>
      </c>
      <c r="K1281" s="91" t="str">
        <f t="shared" si="78"/>
        <v>H</v>
      </c>
      <c r="L1281" s="166" t="str">
        <f t="shared" si="79"/>
        <v/>
      </c>
      <c r="M1281" s="82"/>
      <c r="N1281" s="82"/>
    </row>
    <row r="1282" spans="1:14" x14ac:dyDescent="0.25">
      <c r="A1282" s="170" t="s">
        <v>14848</v>
      </c>
      <c r="B1282" s="170" t="s">
        <v>21796</v>
      </c>
      <c r="C1282" s="170" t="s">
        <v>587</v>
      </c>
      <c r="D1282" s="170" t="s">
        <v>2710</v>
      </c>
      <c r="E1282" s="171" t="s">
        <v>20065</v>
      </c>
      <c r="F1282" s="171" t="s">
        <v>20065</v>
      </c>
      <c r="G1282" s="82"/>
      <c r="H1282" s="96">
        <f t="shared" si="76"/>
        <v>38.99</v>
      </c>
      <c r="I1282" s="96">
        <f t="shared" si="76"/>
        <v>38.99</v>
      </c>
      <c r="J1282" s="91" t="str">
        <f t="shared" si="77"/>
        <v>Sinapi 103223</v>
      </c>
      <c r="K1282" s="91" t="str">
        <f t="shared" si="78"/>
        <v>H</v>
      </c>
      <c r="L1282" s="166" t="str">
        <f t="shared" si="79"/>
        <v/>
      </c>
      <c r="M1282" s="82"/>
      <c r="N1282" s="82"/>
    </row>
    <row r="1283" spans="1:14" x14ac:dyDescent="0.25">
      <c r="A1283" s="170" t="s">
        <v>14849</v>
      </c>
      <c r="B1283" s="170" t="s">
        <v>21797</v>
      </c>
      <c r="C1283" s="170" t="s">
        <v>587</v>
      </c>
      <c r="D1283" s="170" t="s">
        <v>2710</v>
      </c>
      <c r="E1283" s="171" t="s">
        <v>32065</v>
      </c>
      <c r="F1283" s="171" t="s">
        <v>32065</v>
      </c>
      <c r="G1283" s="82"/>
      <c r="H1283" s="96">
        <f t="shared" si="76"/>
        <v>107.9</v>
      </c>
      <c r="I1283" s="96">
        <f t="shared" si="76"/>
        <v>107.9</v>
      </c>
      <c r="J1283" s="91" t="str">
        <f t="shared" si="77"/>
        <v>Sinapi 103229</v>
      </c>
      <c r="K1283" s="91" t="str">
        <f t="shared" si="78"/>
        <v>H</v>
      </c>
      <c r="L1283" s="166" t="str">
        <f t="shared" si="79"/>
        <v/>
      </c>
      <c r="M1283" s="82"/>
      <c r="N1283" s="82"/>
    </row>
    <row r="1284" spans="1:14" x14ac:dyDescent="0.25">
      <c r="A1284" s="170" t="s">
        <v>14850</v>
      </c>
      <c r="B1284" s="170" t="s">
        <v>21798</v>
      </c>
      <c r="C1284" s="170" t="s">
        <v>587</v>
      </c>
      <c r="D1284" s="170" t="s">
        <v>2710</v>
      </c>
      <c r="E1284" s="171" t="s">
        <v>32066</v>
      </c>
      <c r="F1284" s="171" t="s">
        <v>32066</v>
      </c>
      <c r="G1284" s="82"/>
      <c r="H1284" s="96">
        <f t="shared" si="76"/>
        <v>114.1</v>
      </c>
      <c r="I1284" s="96">
        <f t="shared" si="76"/>
        <v>114.1</v>
      </c>
      <c r="J1284" s="91" t="str">
        <f t="shared" si="77"/>
        <v>Sinapi 103235</v>
      </c>
      <c r="K1284" s="91" t="str">
        <f t="shared" si="78"/>
        <v>H</v>
      </c>
      <c r="L1284" s="166" t="str">
        <f t="shared" si="79"/>
        <v/>
      </c>
      <c r="M1284" s="82"/>
      <c r="N1284" s="82"/>
    </row>
    <row r="1285" spans="1:14" x14ac:dyDescent="0.25">
      <c r="A1285" s="170" t="s">
        <v>14851</v>
      </c>
      <c r="B1285" s="170" t="s">
        <v>21799</v>
      </c>
      <c r="C1285" s="170" t="s">
        <v>587</v>
      </c>
      <c r="D1285" s="170" t="s">
        <v>2067</v>
      </c>
      <c r="E1285" s="171" t="s">
        <v>21286</v>
      </c>
      <c r="F1285" s="171" t="s">
        <v>21286</v>
      </c>
      <c r="G1285" s="82"/>
      <c r="H1285" s="96">
        <f t="shared" si="76"/>
        <v>9.42</v>
      </c>
      <c r="I1285" s="96">
        <f t="shared" si="76"/>
        <v>9.42</v>
      </c>
      <c r="J1285" s="91" t="str">
        <f t="shared" si="77"/>
        <v>Sinapi 103241</v>
      </c>
      <c r="K1285" s="91" t="str">
        <f t="shared" si="78"/>
        <v>H</v>
      </c>
      <c r="L1285" s="166" t="str">
        <f t="shared" si="79"/>
        <v/>
      </c>
      <c r="M1285" s="82"/>
      <c r="N1285" s="82"/>
    </row>
    <row r="1286" spans="1:14" x14ac:dyDescent="0.25">
      <c r="A1286" s="170" t="s">
        <v>15584</v>
      </c>
      <c r="B1286" s="170" t="s">
        <v>21800</v>
      </c>
      <c r="C1286" s="170" t="s">
        <v>587</v>
      </c>
      <c r="D1286" s="170" t="s">
        <v>2710</v>
      </c>
      <c r="E1286" s="171" t="s">
        <v>24988</v>
      </c>
      <c r="F1286" s="171" t="s">
        <v>24988</v>
      </c>
      <c r="G1286" s="82"/>
      <c r="H1286" s="96">
        <f t="shared" si="76"/>
        <v>12.88</v>
      </c>
      <c r="I1286" s="96">
        <f t="shared" si="76"/>
        <v>12.88</v>
      </c>
      <c r="J1286" s="91" t="str">
        <f t="shared" si="77"/>
        <v>Sinapi 103660</v>
      </c>
      <c r="K1286" s="91" t="str">
        <f t="shared" si="78"/>
        <v>H</v>
      </c>
      <c r="L1286" s="166" t="str">
        <f t="shared" si="79"/>
        <v/>
      </c>
      <c r="M1286" s="82"/>
      <c r="N1286" s="82"/>
    </row>
    <row r="1287" spans="1:14" x14ac:dyDescent="0.25">
      <c r="A1287" s="170" t="s">
        <v>15585</v>
      </c>
      <c r="B1287" s="170" t="s">
        <v>21801</v>
      </c>
      <c r="C1287" s="170" t="s">
        <v>587</v>
      </c>
      <c r="D1287" s="170" t="s">
        <v>2710</v>
      </c>
      <c r="E1287" s="171" t="s">
        <v>28725</v>
      </c>
      <c r="F1287" s="171" t="s">
        <v>28725</v>
      </c>
      <c r="G1287" s="82"/>
      <c r="H1287" s="96">
        <f t="shared" si="76"/>
        <v>179.01</v>
      </c>
      <c r="I1287" s="96">
        <f t="shared" si="76"/>
        <v>179.01</v>
      </c>
      <c r="J1287" s="91" t="str">
        <f t="shared" si="77"/>
        <v>Sinapi 103666</v>
      </c>
      <c r="K1287" s="91" t="str">
        <f t="shared" si="78"/>
        <v>H</v>
      </c>
      <c r="L1287" s="166" t="str">
        <f t="shared" si="79"/>
        <v/>
      </c>
      <c r="M1287" s="82"/>
      <c r="N1287" s="82"/>
    </row>
    <row r="1288" spans="1:14" x14ac:dyDescent="0.25">
      <c r="A1288" s="170" t="s">
        <v>15676</v>
      </c>
      <c r="B1288" s="170" t="s">
        <v>15677</v>
      </c>
      <c r="C1288" s="170" t="s">
        <v>587</v>
      </c>
      <c r="D1288" s="170" t="s">
        <v>2067</v>
      </c>
      <c r="E1288" s="171" t="s">
        <v>2981</v>
      </c>
      <c r="F1288" s="171" t="s">
        <v>2981</v>
      </c>
      <c r="G1288" s="82"/>
      <c r="H1288" s="96">
        <f t="shared" ref="H1288:I1351" si="80">IF(E1288="","",E1288+0)</f>
        <v>0.28999999999999998</v>
      </c>
      <c r="I1288" s="96">
        <f t="shared" si="80"/>
        <v>0.28999999999999998</v>
      </c>
      <c r="J1288" s="91" t="str">
        <f t="shared" ref="J1288:J1351" si="81">IF(OR(H1288="",I1288=""),"",TRIM(CONCATENATE("Sinapi ",A1288)))</f>
        <v>Sinapi 103792</v>
      </c>
      <c r="K1288" s="91" t="str">
        <f t="shared" ref="K1288:K1351" si="82">TRIM(C1288)</f>
        <v>H</v>
      </c>
      <c r="L1288" s="166" t="str">
        <f t="shared" ref="L1288:L1351" si="83">IF(OR(RIGHT(IF(AND(K1288&lt;&gt;"H",K1288&lt;&gt;"MES"),RIGHT(B1288,7),""),2)="PS",RIGHT(IF(AND(K1288&lt;&gt;"H",K1288&lt;&gt;"MES"),RIGHT(B1288,7),""),2)="PA",RIGHT(IF(AND(K1288&lt;&gt;"H",K1288&lt;&gt;"MES"),RIGHT(B1288,7),""),2)="PE"),LEFT(IF(AND(K1288&lt;&gt;"H",K1288&lt;&gt;"MES"),RIGHT(B1288,10),""),7),IF(AND(K1288&lt;&gt;"H",K1288&lt;&gt;"MES"),RIGHT(B1288,7),""))</f>
        <v/>
      </c>
      <c r="M1288" s="82"/>
      <c r="N1288" s="82"/>
    </row>
    <row r="1289" spans="1:14" x14ac:dyDescent="0.25">
      <c r="A1289" s="170" t="s">
        <v>16320</v>
      </c>
      <c r="B1289" s="170" t="s">
        <v>16321</v>
      </c>
      <c r="C1289" s="170" t="s">
        <v>587</v>
      </c>
      <c r="D1289" s="170" t="s">
        <v>2067</v>
      </c>
      <c r="E1289" s="171" t="s">
        <v>9573</v>
      </c>
      <c r="F1289" s="171" t="s">
        <v>9573</v>
      </c>
      <c r="G1289" s="82"/>
      <c r="H1289" s="96">
        <f t="shared" si="80"/>
        <v>1.59</v>
      </c>
      <c r="I1289" s="96">
        <f t="shared" si="80"/>
        <v>1.59</v>
      </c>
      <c r="J1289" s="91" t="str">
        <f t="shared" si="81"/>
        <v>Sinapi 103937</v>
      </c>
      <c r="K1289" s="91" t="str">
        <f t="shared" si="82"/>
        <v>H</v>
      </c>
      <c r="L1289" s="166" t="str">
        <f t="shared" si="83"/>
        <v/>
      </c>
      <c r="M1289" s="82"/>
      <c r="N1289" s="82"/>
    </row>
    <row r="1290" spans="1:14" x14ac:dyDescent="0.25">
      <c r="A1290" s="170" t="s">
        <v>16322</v>
      </c>
      <c r="B1290" s="170" t="s">
        <v>16323</v>
      </c>
      <c r="C1290" s="170" t="s">
        <v>587</v>
      </c>
      <c r="D1290" s="170" t="s">
        <v>2067</v>
      </c>
      <c r="E1290" s="171" t="s">
        <v>9573</v>
      </c>
      <c r="F1290" s="171" t="s">
        <v>9573</v>
      </c>
      <c r="G1290" s="82"/>
      <c r="H1290" s="96">
        <f t="shared" si="80"/>
        <v>1.59</v>
      </c>
      <c r="I1290" s="96">
        <f t="shared" si="80"/>
        <v>1.59</v>
      </c>
      <c r="J1290" s="91" t="str">
        <f t="shared" si="81"/>
        <v>Sinapi 103943</v>
      </c>
      <c r="K1290" s="91" t="str">
        <f t="shared" si="82"/>
        <v>H</v>
      </c>
      <c r="L1290" s="166" t="str">
        <f t="shared" si="83"/>
        <v/>
      </c>
      <c r="M1290" s="82"/>
      <c r="N1290" s="82"/>
    </row>
    <row r="1291" spans="1:14" x14ac:dyDescent="0.25">
      <c r="A1291" s="170" t="s">
        <v>16324</v>
      </c>
      <c r="B1291" s="170" t="s">
        <v>16325</v>
      </c>
      <c r="C1291" s="170" t="s">
        <v>587</v>
      </c>
      <c r="D1291" s="170" t="s">
        <v>2067</v>
      </c>
      <c r="E1291" s="171" t="s">
        <v>3119</v>
      </c>
      <c r="F1291" s="171" t="s">
        <v>3119</v>
      </c>
      <c r="G1291" s="82"/>
      <c r="H1291" s="96">
        <f t="shared" si="80"/>
        <v>7.0000000000000007E-2</v>
      </c>
      <c r="I1291" s="96">
        <f t="shared" si="80"/>
        <v>7.0000000000000007E-2</v>
      </c>
      <c r="J1291" s="91" t="str">
        <f t="shared" si="81"/>
        <v>Sinapi 104087</v>
      </c>
      <c r="K1291" s="91" t="str">
        <f t="shared" si="82"/>
        <v>H</v>
      </c>
      <c r="L1291" s="166" t="str">
        <f t="shared" si="83"/>
        <v/>
      </c>
      <c r="M1291" s="82"/>
      <c r="N1291" s="82"/>
    </row>
    <row r="1292" spans="1:14" x14ac:dyDescent="0.25">
      <c r="A1292" s="170" t="s">
        <v>16326</v>
      </c>
      <c r="B1292" s="170" t="s">
        <v>16327</v>
      </c>
      <c r="C1292" s="170" t="s">
        <v>587</v>
      </c>
      <c r="D1292" s="170" t="s">
        <v>2067</v>
      </c>
      <c r="E1292" s="171" t="s">
        <v>3187</v>
      </c>
      <c r="F1292" s="171" t="s">
        <v>3187</v>
      </c>
      <c r="G1292" s="82"/>
      <c r="H1292" s="96">
        <f t="shared" si="80"/>
        <v>0.01</v>
      </c>
      <c r="I1292" s="96">
        <f t="shared" si="80"/>
        <v>0.01</v>
      </c>
      <c r="J1292" s="91" t="str">
        <f t="shared" si="81"/>
        <v>Sinapi 104088</v>
      </c>
      <c r="K1292" s="91" t="str">
        <f t="shared" si="82"/>
        <v>H</v>
      </c>
      <c r="L1292" s="166" t="str">
        <f t="shared" si="83"/>
        <v/>
      </c>
      <c r="M1292" s="82"/>
      <c r="N1292" s="82"/>
    </row>
    <row r="1293" spans="1:14" x14ac:dyDescent="0.25">
      <c r="A1293" s="170" t="s">
        <v>16328</v>
      </c>
      <c r="B1293" s="170" t="s">
        <v>16329</v>
      </c>
      <c r="C1293" s="170" t="s">
        <v>587</v>
      </c>
      <c r="D1293" s="170" t="s">
        <v>2067</v>
      </c>
      <c r="E1293" s="171" t="s">
        <v>3126</v>
      </c>
      <c r="F1293" s="171" t="s">
        <v>3126</v>
      </c>
      <c r="G1293" s="82"/>
      <c r="H1293" s="96">
        <f t="shared" si="80"/>
        <v>0.09</v>
      </c>
      <c r="I1293" s="96">
        <f t="shared" si="80"/>
        <v>0.09</v>
      </c>
      <c r="J1293" s="91" t="str">
        <f t="shared" si="81"/>
        <v>Sinapi 104089</v>
      </c>
      <c r="K1293" s="91" t="str">
        <f t="shared" si="82"/>
        <v>H</v>
      </c>
      <c r="L1293" s="166" t="str">
        <f t="shared" si="83"/>
        <v/>
      </c>
      <c r="M1293" s="82"/>
      <c r="N1293" s="82"/>
    </row>
    <row r="1294" spans="1:14" x14ac:dyDescent="0.25">
      <c r="A1294" s="170" t="s">
        <v>16330</v>
      </c>
      <c r="B1294" s="170" t="s">
        <v>16331</v>
      </c>
      <c r="C1294" s="170" t="s">
        <v>587</v>
      </c>
      <c r="D1294" s="170" t="s">
        <v>2067</v>
      </c>
      <c r="E1294" s="171" t="s">
        <v>3780</v>
      </c>
      <c r="F1294" s="171" t="s">
        <v>3780</v>
      </c>
      <c r="G1294" s="82"/>
      <c r="H1294" s="96">
        <f t="shared" si="80"/>
        <v>0.7</v>
      </c>
      <c r="I1294" s="96">
        <f t="shared" si="80"/>
        <v>0.7</v>
      </c>
      <c r="J1294" s="91" t="str">
        <f t="shared" si="81"/>
        <v>Sinapi 104090</v>
      </c>
      <c r="K1294" s="91" t="str">
        <f t="shared" si="82"/>
        <v>H</v>
      </c>
      <c r="L1294" s="166" t="str">
        <f t="shared" si="83"/>
        <v/>
      </c>
      <c r="M1294" s="82"/>
      <c r="N1294" s="82"/>
    </row>
    <row r="1295" spans="1:14" x14ac:dyDescent="0.25">
      <c r="A1295" s="170" t="s">
        <v>16332</v>
      </c>
      <c r="B1295" s="170" t="s">
        <v>16333</v>
      </c>
      <c r="C1295" s="170" t="s">
        <v>587</v>
      </c>
      <c r="D1295" s="170" t="s">
        <v>2067</v>
      </c>
      <c r="E1295" s="171" t="s">
        <v>3271</v>
      </c>
      <c r="F1295" s="171" t="s">
        <v>3271</v>
      </c>
      <c r="G1295" s="82"/>
      <c r="H1295" s="96">
        <f t="shared" si="80"/>
        <v>0.11</v>
      </c>
      <c r="I1295" s="96">
        <f t="shared" si="80"/>
        <v>0.11</v>
      </c>
      <c r="J1295" s="91" t="str">
        <f t="shared" si="81"/>
        <v>Sinapi 104093</v>
      </c>
      <c r="K1295" s="91" t="str">
        <f t="shared" si="82"/>
        <v>H</v>
      </c>
      <c r="L1295" s="166" t="str">
        <f t="shared" si="83"/>
        <v/>
      </c>
      <c r="M1295" s="82"/>
      <c r="N1295" s="82"/>
    </row>
    <row r="1296" spans="1:14" x14ac:dyDescent="0.25">
      <c r="A1296" s="170" t="s">
        <v>16334</v>
      </c>
      <c r="B1296" s="170" t="s">
        <v>16335</v>
      </c>
      <c r="C1296" s="170" t="s">
        <v>587</v>
      </c>
      <c r="D1296" s="170" t="s">
        <v>2067</v>
      </c>
      <c r="E1296" s="171" t="s">
        <v>2997</v>
      </c>
      <c r="F1296" s="171" t="s">
        <v>2997</v>
      </c>
      <c r="G1296" s="82"/>
      <c r="H1296" s="96">
        <f t="shared" si="80"/>
        <v>0.02</v>
      </c>
      <c r="I1296" s="96">
        <f t="shared" si="80"/>
        <v>0.02</v>
      </c>
      <c r="J1296" s="91" t="str">
        <f t="shared" si="81"/>
        <v>Sinapi 104094</v>
      </c>
      <c r="K1296" s="91" t="str">
        <f t="shared" si="82"/>
        <v>H</v>
      </c>
      <c r="L1296" s="166" t="str">
        <f t="shared" si="83"/>
        <v/>
      </c>
      <c r="M1296" s="82"/>
      <c r="N1296" s="82"/>
    </row>
    <row r="1297" spans="1:14" x14ac:dyDescent="0.25">
      <c r="A1297" s="170" t="s">
        <v>16336</v>
      </c>
      <c r="B1297" s="170" t="s">
        <v>16337</v>
      </c>
      <c r="C1297" s="170" t="s">
        <v>587</v>
      </c>
      <c r="D1297" s="170" t="s">
        <v>2067</v>
      </c>
      <c r="E1297" s="171" t="s">
        <v>2888</v>
      </c>
      <c r="F1297" s="171" t="s">
        <v>2888</v>
      </c>
      <c r="G1297" s="82"/>
      <c r="H1297" s="96">
        <f t="shared" si="80"/>
        <v>0.13</v>
      </c>
      <c r="I1297" s="96">
        <f t="shared" si="80"/>
        <v>0.13</v>
      </c>
      <c r="J1297" s="91" t="str">
        <f t="shared" si="81"/>
        <v>Sinapi 104095</v>
      </c>
      <c r="K1297" s="91" t="str">
        <f t="shared" si="82"/>
        <v>H</v>
      </c>
      <c r="L1297" s="166" t="str">
        <f t="shared" si="83"/>
        <v/>
      </c>
      <c r="M1297" s="82"/>
      <c r="N1297" s="82"/>
    </row>
    <row r="1298" spans="1:14" x14ac:dyDescent="0.25">
      <c r="A1298" s="170" t="s">
        <v>16338</v>
      </c>
      <c r="B1298" s="170" t="s">
        <v>16339</v>
      </c>
      <c r="C1298" s="170" t="s">
        <v>587</v>
      </c>
      <c r="D1298" s="170" t="s">
        <v>2067</v>
      </c>
      <c r="E1298" s="171" t="s">
        <v>15761</v>
      </c>
      <c r="F1298" s="171" t="s">
        <v>15761</v>
      </c>
      <c r="G1298" s="82"/>
      <c r="H1298" s="96">
        <f t="shared" si="80"/>
        <v>0.97</v>
      </c>
      <c r="I1298" s="96">
        <f t="shared" si="80"/>
        <v>0.97</v>
      </c>
      <c r="J1298" s="91" t="str">
        <f t="shared" si="81"/>
        <v>Sinapi 104096</v>
      </c>
      <c r="K1298" s="91" t="str">
        <f t="shared" si="82"/>
        <v>H</v>
      </c>
      <c r="L1298" s="166" t="str">
        <f t="shared" si="83"/>
        <v/>
      </c>
      <c r="M1298" s="82"/>
      <c r="N1298" s="82"/>
    </row>
    <row r="1299" spans="1:14" x14ac:dyDescent="0.25">
      <c r="A1299" s="170" t="s">
        <v>19330</v>
      </c>
      <c r="B1299" s="170" t="s">
        <v>19331</v>
      </c>
      <c r="C1299" s="170" t="s">
        <v>587</v>
      </c>
      <c r="D1299" s="170" t="s">
        <v>2067</v>
      </c>
      <c r="E1299" s="171" t="s">
        <v>14632</v>
      </c>
      <c r="F1299" s="171" t="s">
        <v>14632</v>
      </c>
      <c r="G1299" s="82"/>
      <c r="H1299" s="96">
        <f t="shared" si="80"/>
        <v>0.66</v>
      </c>
      <c r="I1299" s="96">
        <f t="shared" si="80"/>
        <v>0.66</v>
      </c>
      <c r="J1299" s="91" t="str">
        <f t="shared" si="81"/>
        <v>Sinapi 104519</v>
      </c>
      <c r="K1299" s="91" t="str">
        <f t="shared" si="82"/>
        <v>H</v>
      </c>
      <c r="L1299" s="166" t="str">
        <f t="shared" si="83"/>
        <v/>
      </c>
      <c r="M1299" s="82"/>
      <c r="N1299" s="82"/>
    </row>
    <row r="1300" spans="1:14" x14ac:dyDescent="0.25">
      <c r="A1300" s="170" t="s">
        <v>21802</v>
      </c>
      <c r="B1300" s="170" t="s">
        <v>21803</v>
      </c>
      <c r="C1300" s="170" t="s">
        <v>587</v>
      </c>
      <c r="D1300" s="170" t="s">
        <v>2067</v>
      </c>
      <c r="E1300" s="171" t="s">
        <v>3780</v>
      </c>
      <c r="F1300" s="171" t="s">
        <v>3780</v>
      </c>
      <c r="G1300" s="82"/>
      <c r="H1300" s="96">
        <f t="shared" si="80"/>
        <v>0.7</v>
      </c>
      <c r="I1300" s="96">
        <f t="shared" si="80"/>
        <v>0.7</v>
      </c>
      <c r="J1300" s="91" t="str">
        <f t="shared" si="81"/>
        <v>Sinapi 104655</v>
      </c>
      <c r="K1300" s="91" t="str">
        <f t="shared" si="82"/>
        <v>H</v>
      </c>
      <c r="L1300" s="166" t="str">
        <f t="shared" si="83"/>
        <v/>
      </c>
      <c r="M1300" s="82"/>
      <c r="N1300" s="82"/>
    </row>
    <row r="1301" spans="1:14" x14ac:dyDescent="0.25">
      <c r="A1301" s="170" t="s">
        <v>21804</v>
      </c>
      <c r="B1301" s="170" t="s">
        <v>21805</v>
      </c>
      <c r="C1301" s="170" t="s">
        <v>587</v>
      </c>
      <c r="D1301" s="170" t="s">
        <v>2710</v>
      </c>
      <c r="E1301" s="171" t="s">
        <v>32067</v>
      </c>
      <c r="F1301" s="171" t="s">
        <v>32067</v>
      </c>
      <c r="G1301" s="82"/>
      <c r="H1301" s="96">
        <f t="shared" si="80"/>
        <v>499.54</v>
      </c>
      <c r="I1301" s="96">
        <f t="shared" si="80"/>
        <v>499.54</v>
      </c>
      <c r="J1301" s="91" t="str">
        <f t="shared" si="81"/>
        <v>Sinapi 104687</v>
      </c>
      <c r="K1301" s="91" t="str">
        <f t="shared" si="82"/>
        <v>H</v>
      </c>
      <c r="L1301" s="166" t="str">
        <f t="shared" si="83"/>
        <v/>
      </c>
      <c r="M1301" s="82"/>
      <c r="N1301" s="82"/>
    </row>
    <row r="1302" spans="1:14" x14ac:dyDescent="0.25">
      <c r="A1302" s="170" t="s">
        <v>21806</v>
      </c>
      <c r="B1302" s="170" t="s">
        <v>21807</v>
      </c>
      <c r="C1302" s="170" t="s">
        <v>587</v>
      </c>
      <c r="D1302" s="170" t="s">
        <v>2067</v>
      </c>
      <c r="E1302" s="171" t="s">
        <v>21450</v>
      </c>
      <c r="F1302" s="171" t="s">
        <v>21450</v>
      </c>
      <c r="G1302" s="82"/>
      <c r="H1302" s="96">
        <f t="shared" si="80"/>
        <v>2.21</v>
      </c>
      <c r="I1302" s="96">
        <f t="shared" si="80"/>
        <v>2.21</v>
      </c>
      <c r="J1302" s="91" t="str">
        <f t="shared" si="81"/>
        <v>Sinapi 104694</v>
      </c>
      <c r="K1302" s="91" t="str">
        <f t="shared" si="82"/>
        <v>H</v>
      </c>
      <c r="L1302" s="166" t="str">
        <f t="shared" si="83"/>
        <v/>
      </c>
      <c r="M1302" s="82"/>
      <c r="N1302" s="82"/>
    </row>
    <row r="1303" spans="1:14" x14ac:dyDescent="0.25">
      <c r="A1303" s="170" t="s">
        <v>23012</v>
      </c>
      <c r="B1303" s="170" t="s">
        <v>23013</v>
      </c>
      <c r="C1303" s="170" t="s">
        <v>587</v>
      </c>
      <c r="D1303" s="170" t="s">
        <v>2710</v>
      </c>
      <c r="E1303" s="171" t="s">
        <v>32068</v>
      </c>
      <c r="F1303" s="171" t="s">
        <v>32068</v>
      </c>
      <c r="G1303" s="82"/>
      <c r="H1303" s="96">
        <f t="shared" si="80"/>
        <v>102.8</v>
      </c>
      <c r="I1303" s="96">
        <f t="shared" si="80"/>
        <v>102.8</v>
      </c>
      <c r="J1303" s="91" t="str">
        <f t="shared" si="81"/>
        <v>Sinapi 104703</v>
      </c>
      <c r="K1303" s="91" t="str">
        <f t="shared" si="82"/>
        <v>H</v>
      </c>
      <c r="L1303" s="166" t="str">
        <f t="shared" si="83"/>
        <v/>
      </c>
      <c r="M1303" s="82"/>
      <c r="N1303" s="82"/>
    </row>
    <row r="1304" spans="1:14" x14ac:dyDescent="0.25">
      <c r="A1304" s="170" t="s">
        <v>23014</v>
      </c>
      <c r="B1304" s="170" t="s">
        <v>23015</v>
      </c>
      <c r="C1304" s="170" t="s">
        <v>587</v>
      </c>
      <c r="D1304" s="170" t="s">
        <v>2710</v>
      </c>
      <c r="E1304" s="171" t="s">
        <v>32069</v>
      </c>
      <c r="F1304" s="171" t="s">
        <v>32069</v>
      </c>
      <c r="G1304" s="82"/>
      <c r="H1304" s="96">
        <f t="shared" si="80"/>
        <v>1300.07</v>
      </c>
      <c r="I1304" s="96">
        <f t="shared" si="80"/>
        <v>1300.07</v>
      </c>
      <c r="J1304" s="91" t="str">
        <f t="shared" si="81"/>
        <v>Sinapi 104709</v>
      </c>
      <c r="K1304" s="91" t="str">
        <f t="shared" si="82"/>
        <v>H</v>
      </c>
      <c r="L1304" s="166" t="str">
        <f t="shared" si="83"/>
        <v/>
      </c>
      <c r="M1304" s="82"/>
      <c r="N1304" s="82"/>
    </row>
    <row r="1305" spans="1:14" x14ac:dyDescent="0.25">
      <c r="A1305" s="170" t="s">
        <v>23016</v>
      </c>
      <c r="B1305" s="170" t="s">
        <v>23017</v>
      </c>
      <c r="C1305" s="170" t="s">
        <v>587</v>
      </c>
      <c r="D1305" s="170" t="s">
        <v>2710</v>
      </c>
      <c r="E1305" s="171" t="s">
        <v>22003</v>
      </c>
      <c r="F1305" s="171" t="s">
        <v>22003</v>
      </c>
      <c r="G1305" s="82"/>
      <c r="H1305" s="96">
        <f t="shared" si="80"/>
        <v>99.94</v>
      </c>
      <c r="I1305" s="96">
        <f t="shared" si="80"/>
        <v>99.94</v>
      </c>
      <c r="J1305" s="91" t="str">
        <f t="shared" si="81"/>
        <v>Sinapi 104715</v>
      </c>
      <c r="K1305" s="91" t="str">
        <f t="shared" si="82"/>
        <v>H</v>
      </c>
      <c r="L1305" s="166" t="str">
        <f t="shared" si="83"/>
        <v/>
      </c>
      <c r="M1305" s="82"/>
      <c r="N1305" s="82"/>
    </row>
    <row r="1306" spans="1:14" x14ac:dyDescent="0.25">
      <c r="A1306" s="170" t="s">
        <v>4024</v>
      </c>
      <c r="B1306" s="170" t="s">
        <v>4025</v>
      </c>
      <c r="C1306" s="170" t="s">
        <v>205</v>
      </c>
      <c r="D1306" s="170" t="s">
        <v>1947</v>
      </c>
      <c r="E1306" s="171" t="s">
        <v>32070</v>
      </c>
      <c r="F1306" s="171" t="s">
        <v>35368</v>
      </c>
      <c r="G1306" s="82"/>
      <c r="H1306" s="96">
        <f t="shared" si="80"/>
        <v>419.81</v>
      </c>
      <c r="I1306" s="96">
        <f t="shared" si="80"/>
        <v>434.26</v>
      </c>
      <c r="J1306" s="91" t="str">
        <f t="shared" si="81"/>
        <v>Sinapi 92259</v>
      </c>
      <c r="K1306" s="91" t="str">
        <f t="shared" si="82"/>
        <v>UN</v>
      </c>
      <c r="L1306" s="166" t="str">
        <f t="shared" si="83"/>
        <v>07/2019</v>
      </c>
      <c r="M1306" s="82"/>
      <c r="N1306" s="82"/>
    </row>
    <row r="1307" spans="1:14" x14ac:dyDescent="0.25">
      <c r="A1307" s="170" t="s">
        <v>4026</v>
      </c>
      <c r="B1307" s="170" t="s">
        <v>4027</v>
      </c>
      <c r="C1307" s="170" t="s">
        <v>205</v>
      </c>
      <c r="D1307" s="170" t="s">
        <v>1947</v>
      </c>
      <c r="E1307" s="171" t="s">
        <v>32071</v>
      </c>
      <c r="F1307" s="171" t="s">
        <v>35369</v>
      </c>
      <c r="G1307" s="82"/>
      <c r="H1307" s="96">
        <f t="shared" si="80"/>
        <v>478</v>
      </c>
      <c r="I1307" s="96">
        <f t="shared" si="80"/>
        <v>499.3</v>
      </c>
      <c r="J1307" s="91" t="str">
        <f t="shared" si="81"/>
        <v>Sinapi 92260</v>
      </c>
      <c r="K1307" s="91" t="str">
        <f t="shared" si="82"/>
        <v>UN</v>
      </c>
      <c r="L1307" s="166" t="str">
        <f t="shared" si="83"/>
        <v>07/2019</v>
      </c>
      <c r="M1307" s="82"/>
      <c r="N1307" s="82"/>
    </row>
    <row r="1308" spans="1:14" x14ac:dyDescent="0.25">
      <c r="A1308" s="170" t="s">
        <v>4028</v>
      </c>
      <c r="B1308" s="170" t="s">
        <v>4029</v>
      </c>
      <c r="C1308" s="170" t="s">
        <v>205</v>
      </c>
      <c r="D1308" s="170" t="s">
        <v>1947</v>
      </c>
      <c r="E1308" s="171" t="s">
        <v>32072</v>
      </c>
      <c r="F1308" s="171" t="s">
        <v>35370</v>
      </c>
      <c r="G1308" s="82"/>
      <c r="H1308" s="96">
        <f t="shared" si="80"/>
        <v>534.41999999999996</v>
      </c>
      <c r="I1308" s="96">
        <f t="shared" si="80"/>
        <v>562.36</v>
      </c>
      <c r="J1308" s="91" t="str">
        <f t="shared" si="81"/>
        <v>Sinapi 92261</v>
      </c>
      <c r="K1308" s="91" t="str">
        <f t="shared" si="82"/>
        <v>UN</v>
      </c>
      <c r="L1308" s="166" t="str">
        <f t="shared" si="83"/>
        <v>07/2019</v>
      </c>
      <c r="M1308" s="82"/>
      <c r="N1308" s="82"/>
    </row>
    <row r="1309" spans="1:14" x14ac:dyDescent="0.25">
      <c r="A1309" s="170" t="s">
        <v>4030</v>
      </c>
      <c r="B1309" s="170" t="s">
        <v>4031</v>
      </c>
      <c r="C1309" s="170" t="s">
        <v>205</v>
      </c>
      <c r="D1309" s="170" t="s">
        <v>1947</v>
      </c>
      <c r="E1309" s="171" t="s">
        <v>32073</v>
      </c>
      <c r="F1309" s="171" t="s">
        <v>35371</v>
      </c>
      <c r="G1309" s="82"/>
      <c r="H1309" s="96">
        <f t="shared" si="80"/>
        <v>625.26</v>
      </c>
      <c r="I1309" s="96">
        <f t="shared" si="80"/>
        <v>663.88</v>
      </c>
      <c r="J1309" s="91" t="str">
        <f t="shared" si="81"/>
        <v>Sinapi 92262</v>
      </c>
      <c r="K1309" s="91" t="str">
        <f t="shared" si="82"/>
        <v>UN</v>
      </c>
      <c r="L1309" s="166" t="str">
        <f t="shared" si="83"/>
        <v>07/2019</v>
      </c>
      <c r="M1309" s="82"/>
      <c r="N1309" s="82"/>
    </row>
    <row r="1310" spans="1:14" x14ac:dyDescent="0.25">
      <c r="A1310" s="170" t="s">
        <v>4032</v>
      </c>
      <c r="B1310" s="170" t="s">
        <v>4033</v>
      </c>
      <c r="C1310" s="170" t="s">
        <v>870</v>
      </c>
      <c r="D1310" s="170" t="s">
        <v>1947</v>
      </c>
      <c r="E1310" s="171" t="s">
        <v>32074</v>
      </c>
      <c r="F1310" s="171" t="s">
        <v>20115</v>
      </c>
      <c r="G1310" s="82"/>
      <c r="H1310" s="96">
        <f t="shared" si="80"/>
        <v>68.3</v>
      </c>
      <c r="I1310" s="96">
        <f t="shared" si="80"/>
        <v>70.650000000000006</v>
      </c>
      <c r="J1310" s="91" t="str">
        <f t="shared" si="81"/>
        <v>Sinapi 92539</v>
      </c>
      <c r="K1310" s="91" t="str">
        <f t="shared" si="82"/>
        <v>M2</v>
      </c>
      <c r="L1310" s="166" t="str">
        <f t="shared" si="83"/>
        <v>07/2019</v>
      </c>
      <c r="M1310" s="82"/>
      <c r="N1310" s="82"/>
    </row>
    <row r="1311" spans="1:14" x14ac:dyDescent="0.25">
      <c r="A1311" s="170" t="s">
        <v>4034</v>
      </c>
      <c r="B1311" s="170" t="s">
        <v>4035</v>
      </c>
      <c r="C1311" s="170" t="s">
        <v>870</v>
      </c>
      <c r="D1311" s="170" t="s">
        <v>1947</v>
      </c>
      <c r="E1311" s="171" t="s">
        <v>32075</v>
      </c>
      <c r="F1311" s="171" t="s">
        <v>21662</v>
      </c>
      <c r="G1311" s="82"/>
      <c r="H1311" s="96">
        <f t="shared" si="80"/>
        <v>77.010000000000005</v>
      </c>
      <c r="I1311" s="96">
        <f t="shared" si="80"/>
        <v>80.34</v>
      </c>
      <c r="J1311" s="91" t="str">
        <f t="shared" si="81"/>
        <v>Sinapi 92540</v>
      </c>
      <c r="K1311" s="91" t="str">
        <f t="shared" si="82"/>
        <v>M2</v>
      </c>
      <c r="L1311" s="166" t="str">
        <f t="shared" si="83"/>
        <v>07/2019</v>
      </c>
      <c r="M1311" s="82"/>
      <c r="N1311" s="82"/>
    </row>
    <row r="1312" spans="1:14" x14ac:dyDescent="0.25">
      <c r="A1312" s="170" t="s">
        <v>4036</v>
      </c>
      <c r="B1312" s="170" t="s">
        <v>4037</v>
      </c>
      <c r="C1312" s="170" t="s">
        <v>870</v>
      </c>
      <c r="D1312" s="170" t="s">
        <v>1947</v>
      </c>
      <c r="E1312" s="171" t="s">
        <v>21499</v>
      </c>
      <c r="F1312" s="171" t="s">
        <v>22094</v>
      </c>
      <c r="G1312" s="82"/>
      <c r="H1312" s="96">
        <f t="shared" si="80"/>
        <v>73.45</v>
      </c>
      <c r="I1312" s="96">
        <f t="shared" si="80"/>
        <v>75.88</v>
      </c>
      <c r="J1312" s="91" t="str">
        <f t="shared" si="81"/>
        <v>Sinapi 92541</v>
      </c>
      <c r="K1312" s="91" t="str">
        <f t="shared" si="82"/>
        <v>M2</v>
      </c>
      <c r="L1312" s="166" t="str">
        <f t="shared" si="83"/>
        <v>07/2019</v>
      </c>
      <c r="M1312" s="82"/>
      <c r="N1312" s="82"/>
    </row>
    <row r="1313" spans="1:14" x14ac:dyDescent="0.25">
      <c r="A1313" s="170" t="s">
        <v>4038</v>
      </c>
      <c r="B1313" s="170" t="s">
        <v>4039</v>
      </c>
      <c r="C1313" s="170" t="s">
        <v>870</v>
      </c>
      <c r="D1313" s="170" t="s">
        <v>1947</v>
      </c>
      <c r="E1313" s="171" t="s">
        <v>29401</v>
      </c>
      <c r="F1313" s="171" t="s">
        <v>35372</v>
      </c>
      <c r="G1313" s="82"/>
      <c r="H1313" s="96">
        <f t="shared" si="80"/>
        <v>89.27</v>
      </c>
      <c r="I1313" s="96">
        <f t="shared" si="80"/>
        <v>92.74</v>
      </c>
      <c r="J1313" s="91" t="str">
        <f t="shared" si="81"/>
        <v>Sinapi 92542</v>
      </c>
      <c r="K1313" s="91" t="str">
        <f t="shared" si="82"/>
        <v>M2</v>
      </c>
      <c r="L1313" s="166" t="str">
        <f t="shared" si="83"/>
        <v>07/2019</v>
      </c>
      <c r="M1313" s="82"/>
      <c r="N1313" s="82"/>
    </row>
    <row r="1314" spans="1:14" x14ac:dyDescent="0.25">
      <c r="A1314" s="170" t="s">
        <v>4040</v>
      </c>
      <c r="B1314" s="170" t="s">
        <v>4041</v>
      </c>
      <c r="C1314" s="170" t="s">
        <v>870</v>
      </c>
      <c r="D1314" s="170" t="s">
        <v>1947</v>
      </c>
      <c r="E1314" s="171" t="s">
        <v>32076</v>
      </c>
      <c r="F1314" s="171" t="s">
        <v>30650</v>
      </c>
      <c r="G1314" s="82"/>
      <c r="H1314" s="96">
        <f t="shared" si="80"/>
        <v>20.239999999999998</v>
      </c>
      <c r="I1314" s="96">
        <f t="shared" si="80"/>
        <v>20.77</v>
      </c>
      <c r="J1314" s="91" t="str">
        <f t="shared" si="81"/>
        <v>Sinapi 92543</v>
      </c>
      <c r="K1314" s="91" t="str">
        <f t="shared" si="82"/>
        <v>M2</v>
      </c>
      <c r="L1314" s="166" t="str">
        <f t="shared" si="83"/>
        <v>07/2019</v>
      </c>
      <c r="M1314" s="82"/>
      <c r="N1314" s="82"/>
    </row>
    <row r="1315" spans="1:14" x14ac:dyDescent="0.25">
      <c r="A1315" s="170" t="s">
        <v>4042</v>
      </c>
      <c r="B1315" s="170" t="s">
        <v>4043</v>
      </c>
      <c r="C1315" s="170" t="s">
        <v>870</v>
      </c>
      <c r="D1315" s="170" t="s">
        <v>1947</v>
      </c>
      <c r="E1315" s="171" t="s">
        <v>21031</v>
      </c>
      <c r="F1315" s="171" t="s">
        <v>24689</v>
      </c>
      <c r="G1315" s="82"/>
      <c r="H1315" s="96">
        <f t="shared" si="80"/>
        <v>16.079999999999998</v>
      </c>
      <c r="I1315" s="96">
        <f t="shared" si="80"/>
        <v>16.510000000000002</v>
      </c>
      <c r="J1315" s="91" t="str">
        <f t="shared" si="81"/>
        <v>Sinapi 92544</v>
      </c>
      <c r="K1315" s="91" t="str">
        <f t="shared" si="82"/>
        <v>M2</v>
      </c>
      <c r="L1315" s="166" t="str">
        <f t="shared" si="83"/>
        <v>07/2019</v>
      </c>
      <c r="M1315" s="82"/>
      <c r="N1315" s="82"/>
    </row>
    <row r="1316" spans="1:14" x14ac:dyDescent="0.25">
      <c r="A1316" s="170" t="s">
        <v>4044</v>
      </c>
      <c r="B1316" s="170" t="s">
        <v>4045</v>
      </c>
      <c r="C1316" s="170" t="s">
        <v>205</v>
      </c>
      <c r="D1316" s="170" t="s">
        <v>1947</v>
      </c>
      <c r="E1316" s="171" t="s">
        <v>32077</v>
      </c>
      <c r="F1316" s="171" t="s">
        <v>28621</v>
      </c>
      <c r="G1316" s="82"/>
      <c r="H1316" s="96">
        <f t="shared" si="80"/>
        <v>908.77</v>
      </c>
      <c r="I1316" s="96">
        <f t="shared" si="80"/>
        <v>948.88</v>
      </c>
      <c r="J1316" s="91" t="str">
        <f t="shared" si="81"/>
        <v>Sinapi 92545</v>
      </c>
      <c r="K1316" s="91" t="str">
        <f t="shared" si="82"/>
        <v>UN</v>
      </c>
      <c r="L1316" s="166" t="str">
        <f t="shared" si="83"/>
        <v>07/2019</v>
      </c>
      <c r="M1316" s="82"/>
      <c r="N1316" s="82"/>
    </row>
    <row r="1317" spans="1:14" x14ac:dyDescent="0.25">
      <c r="A1317" s="170" t="s">
        <v>4046</v>
      </c>
      <c r="B1317" s="170" t="s">
        <v>4047</v>
      </c>
      <c r="C1317" s="170" t="s">
        <v>205</v>
      </c>
      <c r="D1317" s="170" t="s">
        <v>1947</v>
      </c>
      <c r="E1317" s="171" t="s">
        <v>32078</v>
      </c>
      <c r="F1317" s="171" t="s">
        <v>35373</v>
      </c>
      <c r="G1317" s="82"/>
      <c r="H1317" s="96">
        <f t="shared" si="80"/>
        <v>1116.07</v>
      </c>
      <c r="I1317" s="96">
        <f t="shared" si="80"/>
        <v>1169.01</v>
      </c>
      <c r="J1317" s="91" t="str">
        <f t="shared" si="81"/>
        <v>Sinapi 92546</v>
      </c>
      <c r="K1317" s="91" t="str">
        <f t="shared" si="82"/>
        <v>UN</v>
      </c>
      <c r="L1317" s="166" t="str">
        <f t="shared" si="83"/>
        <v>07/2019</v>
      </c>
      <c r="M1317" s="82"/>
      <c r="N1317" s="82"/>
    </row>
    <row r="1318" spans="1:14" x14ac:dyDescent="0.25">
      <c r="A1318" s="170" t="s">
        <v>4048</v>
      </c>
      <c r="B1318" s="170" t="s">
        <v>4049</v>
      </c>
      <c r="C1318" s="170" t="s">
        <v>205</v>
      </c>
      <c r="D1318" s="170" t="s">
        <v>1947</v>
      </c>
      <c r="E1318" s="171" t="s">
        <v>32079</v>
      </c>
      <c r="F1318" s="171" t="s">
        <v>35374</v>
      </c>
      <c r="G1318" s="82"/>
      <c r="H1318" s="96">
        <f t="shared" si="80"/>
        <v>1178.47</v>
      </c>
      <c r="I1318" s="96">
        <f t="shared" si="80"/>
        <v>1231.4100000000001</v>
      </c>
      <c r="J1318" s="91" t="str">
        <f t="shared" si="81"/>
        <v>Sinapi 92547</v>
      </c>
      <c r="K1318" s="91" t="str">
        <f t="shared" si="82"/>
        <v>UN</v>
      </c>
      <c r="L1318" s="166" t="str">
        <f t="shared" si="83"/>
        <v>07/2019</v>
      </c>
      <c r="M1318" s="82"/>
      <c r="N1318" s="82"/>
    </row>
    <row r="1319" spans="1:14" x14ac:dyDescent="0.25">
      <c r="A1319" s="170" t="s">
        <v>4050</v>
      </c>
      <c r="B1319" s="170" t="s">
        <v>4051</v>
      </c>
      <c r="C1319" s="170" t="s">
        <v>205</v>
      </c>
      <c r="D1319" s="170" t="s">
        <v>1947</v>
      </c>
      <c r="E1319" s="171" t="s">
        <v>32080</v>
      </c>
      <c r="F1319" s="171" t="s">
        <v>35375</v>
      </c>
      <c r="G1319" s="82"/>
      <c r="H1319" s="96">
        <f t="shared" si="80"/>
        <v>1310.96</v>
      </c>
      <c r="I1319" s="96">
        <f t="shared" si="80"/>
        <v>1370.75</v>
      </c>
      <c r="J1319" s="91" t="str">
        <f t="shared" si="81"/>
        <v>Sinapi 92548</v>
      </c>
      <c r="K1319" s="91" t="str">
        <f t="shared" si="82"/>
        <v>UN</v>
      </c>
      <c r="L1319" s="166" t="str">
        <f t="shared" si="83"/>
        <v>07/2019</v>
      </c>
      <c r="M1319" s="82"/>
      <c r="N1319" s="82"/>
    </row>
    <row r="1320" spans="1:14" x14ac:dyDescent="0.25">
      <c r="A1320" s="170" t="s">
        <v>4052</v>
      </c>
      <c r="B1320" s="170" t="s">
        <v>4053</v>
      </c>
      <c r="C1320" s="170" t="s">
        <v>205</v>
      </c>
      <c r="D1320" s="170" t="s">
        <v>1947</v>
      </c>
      <c r="E1320" s="171" t="s">
        <v>32081</v>
      </c>
      <c r="F1320" s="171" t="s">
        <v>35376</v>
      </c>
      <c r="G1320" s="82"/>
      <c r="H1320" s="96">
        <f t="shared" si="80"/>
        <v>1642.21</v>
      </c>
      <c r="I1320" s="96">
        <f t="shared" si="80"/>
        <v>1727.65</v>
      </c>
      <c r="J1320" s="91" t="str">
        <f t="shared" si="81"/>
        <v>Sinapi 92549</v>
      </c>
      <c r="K1320" s="91" t="str">
        <f t="shared" si="82"/>
        <v>UN</v>
      </c>
      <c r="L1320" s="166" t="str">
        <f t="shared" si="83"/>
        <v>07/2019</v>
      </c>
      <c r="M1320" s="82"/>
      <c r="N1320" s="82"/>
    </row>
    <row r="1321" spans="1:14" x14ac:dyDescent="0.25">
      <c r="A1321" s="170" t="s">
        <v>4054</v>
      </c>
      <c r="B1321" s="170" t="s">
        <v>4055</v>
      </c>
      <c r="C1321" s="170" t="s">
        <v>205</v>
      </c>
      <c r="D1321" s="170" t="s">
        <v>1947</v>
      </c>
      <c r="E1321" s="171" t="s">
        <v>32082</v>
      </c>
      <c r="F1321" s="171" t="s">
        <v>35377</v>
      </c>
      <c r="G1321" s="82"/>
      <c r="H1321" s="96">
        <f t="shared" si="80"/>
        <v>2049.5700000000002</v>
      </c>
      <c r="I1321" s="96">
        <f t="shared" si="80"/>
        <v>2141.65</v>
      </c>
      <c r="J1321" s="91" t="str">
        <f t="shared" si="81"/>
        <v>Sinapi 92550</v>
      </c>
      <c r="K1321" s="91" t="str">
        <f t="shared" si="82"/>
        <v>UN</v>
      </c>
      <c r="L1321" s="166" t="str">
        <f t="shared" si="83"/>
        <v>07/2019</v>
      </c>
      <c r="M1321" s="82"/>
      <c r="N1321" s="82"/>
    </row>
    <row r="1322" spans="1:14" x14ac:dyDescent="0.25">
      <c r="A1322" s="170" t="s">
        <v>4056</v>
      </c>
      <c r="B1322" s="170" t="s">
        <v>4057</v>
      </c>
      <c r="C1322" s="170" t="s">
        <v>205</v>
      </c>
      <c r="D1322" s="170" t="s">
        <v>1947</v>
      </c>
      <c r="E1322" s="171" t="s">
        <v>32083</v>
      </c>
      <c r="F1322" s="171" t="s">
        <v>35378</v>
      </c>
      <c r="G1322" s="82"/>
      <c r="H1322" s="96">
        <f t="shared" si="80"/>
        <v>2129.5</v>
      </c>
      <c r="I1322" s="96">
        <f t="shared" si="80"/>
        <v>2221.58</v>
      </c>
      <c r="J1322" s="91" t="str">
        <f t="shared" si="81"/>
        <v>Sinapi 92551</v>
      </c>
      <c r="K1322" s="91" t="str">
        <f t="shared" si="82"/>
        <v>UN</v>
      </c>
      <c r="L1322" s="166" t="str">
        <f t="shared" si="83"/>
        <v>07/2019</v>
      </c>
      <c r="M1322" s="82"/>
      <c r="N1322" s="82"/>
    </row>
    <row r="1323" spans="1:14" x14ac:dyDescent="0.25">
      <c r="A1323" s="170" t="s">
        <v>4058</v>
      </c>
      <c r="B1323" s="170" t="s">
        <v>4059</v>
      </c>
      <c r="C1323" s="170" t="s">
        <v>205</v>
      </c>
      <c r="D1323" s="170" t="s">
        <v>1947</v>
      </c>
      <c r="E1323" s="171" t="s">
        <v>32084</v>
      </c>
      <c r="F1323" s="171" t="s">
        <v>35379</v>
      </c>
      <c r="G1323" s="82"/>
      <c r="H1323" s="96">
        <f t="shared" si="80"/>
        <v>2312.1799999999998</v>
      </c>
      <c r="I1323" s="96">
        <f t="shared" si="80"/>
        <v>2414.94</v>
      </c>
      <c r="J1323" s="91" t="str">
        <f t="shared" si="81"/>
        <v>Sinapi 92552</v>
      </c>
      <c r="K1323" s="91" t="str">
        <f t="shared" si="82"/>
        <v>UN</v>
      </c>
      <c r="L1323" s="166" t="str">
        <f t="shared" si="83"/>
        <v>07/2019</v>
      </c>
      <c r="M1323" s="82"/>
      <c r="N1323" s="82"/>
    </row>
    <row r="1324" spans="1:14" x14ac:dyDescent="0.25">
      <c r="A1324" s="170" t="s">
        <v>4060</v>
      </c>
      <c r="B1324" s="170" t="s">
        <v>4061</v>
      </c>
      <c r="C1324" s="170" t="s">
        <v>205</v>
      </c>
      <c r="D1324" s="170" t="s">
        <v>1947</v>
      </c>
      <c r="E1324" s="171" t="s">
        <v>32085</v>
      </c>
      <c r="F1324" s="171" t="s">
        <v>35380</v>
      </c>
      <c r="G1324" s="82"/>
      <c r="H1324" s="96">
        <f t="shared" si="80"/>
        <v>2653.21</v>
      </c>
      <c r="I1324" s="96">
        <f t="shared" si="80"/>
        <v>2781.63</v>
      </c>
      <c r="J1324" s="91" t="str">
        <f t="shared" si="81"/>
        <v>Sinapi 92553</v>
      </c>
      <c r="K1324" s="91" t="str">
        <f t="shared" si="82"/>
        <v>UN</v>
      </c>
      <c r="L1324" s="166" t="str">
        <f t="shared" si="83"/>
        <v>07/2019</v>
      </c>
      <c r="M1324" s="82"/>
      <c r="N1324" s="82"/>
    </row>
    <row r="1325" spans="1:14" x14ac:dyDescent="0.25">
      <c r="A1325" s="170" t="s">
        <v>4062</v>
      </c>
      <c r="B1325" s="170" t="s">
        <v>4063</v>
      </c>
      <c r="C1325" s="170" t="s">
        <v>205</v>
      </c>
      <c r="D1325" s="170" t="s">
        <v>1947</v>
      </c>
      <c r="E1325" s="171" t="s">
        <v>32086</v>
      </c>
      <c r="F1325" s="171" t="s">
        <v>35381</v>
      </c>
      <c r="G1325" s="82"/>
      <c r="H1325" s="96">
        <f t="shared" si="80"/>
        <v>2744.75</v>
      </c>
      <c r="I1325" s="96">
        <f t="shared" si="80"/>
        <v>2873.17</v>
      </c>
      <c r="J1325" s="91" t="str">
        <f t="shared" si="81"/>
        <v>Sinapi 92554</v>
      </c>
      <c r="K1325" s="91" t="str">
        <f t="shared" si="82"/>
        <v>UN</v>
      </c>
      <c r="L1325" s="166" t="str">
        <f t="shared" si="83"/>
        <v>07/2019</v>
      </c>
      <c r="M1325" s="82"/>
      <c r="N1325" s="82"/>
    </row>
    <row r="1326" spans="1:14" x14ac:dyDescent="0.25">
      <c r="A1326" s="170" t="s">
        <v>4064</v>
      </c>
      <c r="B1326" s="170" t="s">
        <v>4065</v>
      </c>
      <c r="C1326" s="170" t="s">
        <v>205</v>
      </c>
      <c r="D1326" s="170" t="s">
        <v>1947</v>
      </c>
      <c r="E1326" s="171" t="s">
        <v>32087</v>
      </c>
      <c r="F1326" s="171" t="s">
        <v>35382</v>
      </c>
      <c r="G1326" s="82"/>
      <c r="H1326" s="96">
        <f t="shared" si="80"/>
        <v>896.88</v>
      </c>
      <c r="I1326" s="96">
        <f t="shared" si="80"/>
        <v>936.99</v>
      </c>
      <c r="J1326" s="91" t="str">
        <f t="shared" si="81"/>
        <v>Sinapi 92555</v>
      </c>
      <c r="K1326" s="91" t="str">
        <f t="shared" si="82"/>
        <v>UN</v>
      </c>
      <c r="L1326" s="166" t="str">
        <f t="shared" si="83"/>
        <v>07/2019</v>
      </c>
      <c r="M1326" s="82"/>
      <c r="N1326" s="82"/>
    </row>
    <row r="1327" spans="1:14" x14ac:dyDescent="0.25">
      <c r="A1327" s="170" t="s">
        <v>4066</v>
      </c>
      <c r="B1327" s="170" t="s">
        <v>4067</v>
      </c>
      <c r="C1327" s="170" t="s">
        <v>205</v>
      </c>
      <c r="D1327" s="170" t="s">
        <v>1947</v>
      </c>
      <c r="E1327" s="171" t="s">
        <v>32088</v>
      </c>
      <c r="F1327" s="171" t="s">
        <v>35383</v>
      </c>
      <c r="G1327" s="82"/>
      <c r="H1327" s="96">
        <f t="shared" si="80"/>
        <v>1095.23</v>
      </c>
      <c r="I1327" s="96">
        <f t="shared" si="80"/>
        <v>1148.17</v>
      </c>
      <c r="J1327" s="91" t="str">
        <f t="shared" si="81"/>
        <v>Sinapi 92556</v>
      </c>
      <c r="K1327" s="91" t="str">
        <f t="shared" si="82"/>
        <v>UN</v>
      </c>
      <c r="L1327" s="166" t="str">
        <f t="shared" si="83"/>
        <v>07/2019</v>
      </c>
      <c r="M1327" s="82"/>
      <c r="N1327" s="82"/>
    </row>
    <row r="1328" spans="1:14" x14ac:dyDescent="0.25">
      <c r="A1328" s="170" t="s">
        <v>4068</v>
      </c>
      <c r="B1328" s="170" t="s">
        <v>4069</v>
      </c>
      <c r="C1328" s="170" t="s">
        <v>205</v>
      </c>
      <c r="D1328" s="170" t="s">
        <v>1947</v>
      </c>
      <c r="E1328" s="171" t="s">
        <v>32089</v>
      </c>
      <c r="F1328" s="171" t="s">
        <v>35384</v>
      </c>
      <c r="G1328" s="82"/>
      <c r="H1328" s="96">
        <f t="shared" si="80"/>
        <v>1157.6300000000001</v>
      </c>
      <c r="I1328" s="96">
        <f t="shared" si="80"/>
        <v>1210.57</v>
      </c>
      <c r="J1328" s="91" t="str">
        <f t="shared" si="81"/>
        <v>Sinapi 92557</v>
      </c>
      <c r="K1328" s="91" t="str">
        <f t="shared" si="82"/>
        <v>UN</v>
      </c>
      <c r="L1328" s="166" t="str">
        <f t="shared" si="83"/>
        <v>07/2019</v>
      </c>
      <c r="M1328" s="82"/>
      <c r="N1328" s="82"/>
    </row>
    <row r="1329" spans="1:14" x14ac:dyDescent="0.25">
      <c r="A1329" s="170" t="s">
        <v>4070</v>
      </c>
      <c r="B1329" s="170" t="s">
        <v>4071</v>
      </c>
      <c r="C1329" s="170" t="s">
        <v>205</v>
      </c>
      <c r="D1329" s="170" t="s">
        <v>1947</v>
      </c>
      <c r="E1329" s="171" t="s">
        <v>32090</v>
      </c>
      <c r="F1329" s="171" t="s">
        <v>35385</v>
      </c>
      <c r="G1329" s="82"/>
      <c r="H1329" s="96">
        <f t="shared" si="80"/>
        <v>1299.06</v>
      </c>
      <c r="I1329" s="96">
        <f t="shared" si="80"/>
        <v>1358.85</v>
      </c>
      <c r="J1329" s="91" t="str">
        <f t="shared" si="81"/>
        <v>Sinapi 92558</v>
      </c>
      <c r="K1329" s="91" t="str">
        <f t="shared" si="82"/>
        <v>UN</v>
      </c>
      <c r="L1329" s="166" t="str">
        <f t="shared" si="83"/>
        <v>07/2019</v>
      </c>
      <c r="M1329" s="82"/>
      <c r="N1329" s="82"/>
    </row>
    <row r="1330" spans="1:14" x14ac:dyDescent="0.25">
      <c r="A1330" s="170" t="s">
        <v>4072</v>
      </c>
      <c r="B1330" s="170" t="s">
        <v>4073</v>
      </c>
      <c r="C1330" s="170" t="s">
        <v>205</v>
      </c>
      <c r="D1330" s="170" t="s">
        <v>1947</v>
      </c>
      <c r="E1330" s="171" t="s">
        <v>32091</v>
      </c>
      <c r="F1330" s="171" t="s">
        <v>35386</v>
      </c>
      <c r="G1330" s="82"/>
      <c r="H1330" s="96">
        <f t="shared" si="80"/>
        <v>1620.06</v>
      </c>
      <c r="I1330" s="96">
        <f t="shared" si="80"/>
        <v>1705.5</v>
      </c>
      <c r="J1330" s="91" t="str">
        <f t="shared" si="81"/>
        <v>Sinapi 92559</v>
      </c>
      <c r="K1330" s="91" t="str">
        <f t="shared" si="82"/>
        <v>UN</v>
      </c>
      <c r="L1330" s="166" t="str">
        <f t="shared" si="83"/>
        <v>07/2019</v>
      </c>
      <c r="M1330" s="82"/>
      <c r="N1330" s="82"/>
    </row>
    <row r="1331" spans="1:14" x14ac:dyDescent="0.25">
      <c r="A1331" s="170" t="s">
        <v>4074</v>
      </c>
      <c r="B1331" s="170" t="s">
        <v>4075</v>
      </c>
      <c r="C1331" s="170" t="s">
        <v>205</v>
      </c>
      <c r="D1331" s="170" t="s">
        <v>1947</v>
      </c>
      <c r="E1331" s="171" t="s">
        <v>32092</v>
      </c>
      <c r="F1331" s="171" t="s">
        <v>35387</v>
      </c>
      <c r="G1331" s="82"/>
      <c r="H1331" s="96">
        <f t="shared" si="80"/>
        <v>2019.4</v>
      </c>
      <c r="I1331" s="96">
        <f t="shared" si="80"/>
        <v>2111.48</v>
      </c>
      <c r="J1331" s="91" t="str">
        <f t="shared" si="81"/>
        <v>Sinapi 92560</v>
      </c>
      <c r="K1331" s="91" t="str">
        <f t="shared" si="82"/>
        <v>UN</v>
      </c>
      <c r="L1331" s="166" t="str">
        <f t="shared" si="83"/>
        <v>07/2019</v>
      </c>
      <c r="M1331" s="82"/>
      <c r="N1331" s="82"/>
    </row>
    <row r="1332" spans="1:14" x14ac:dyDescent="0.25">
      <c r="A1332" s="170" t="s">
        <v>4076</v>
      </c>
      <c r="B1332" s="170" t="s">
        <v>4077</v>
      </c>
      <c r="C1332" s="170" t="s">
        <v>205</v>
      </c>
      <c r="D1332" s="170" t="s">
        <v>1947</v>
      </c>
      <c r="E1332" s="171" t="s">
        <v>32093</v>
      </c>
      <c r="F1332" s="171" t="s">
        <v>35388</v>
      </c>
      <c r="G1332" s="82"/>
      <c r="H1332" s="96">
        <f t="shared" si="80"/>
        <v>2100.15</v>
      </c>
      <c r="I1332" s="96">
        <f t="shared" si="80"/>
        <v>2192.23</v>
      </c>
      <c r="J1332" s="91" t="str">
        <f t="shared" si="81"/>
        <v>Sinapi 92561</v>
      </c>
      <c r="K1332" s="91" t="str">
        <f t="shared" si="82"/>
        <v>UN</v>
      </c>
      <c r="L1332" s="166" t="str">
        <f t="shared" si="83"/>
        <v>07/2019</v>
      </c>
      <c r="M1332" s="82"/>
      <c r="N1332" s="82"/>
    </row>
    <row r="1333" spans="1:14" x14ac:dyDescent="0.25">
      <c r="A1333" s="170" t="s">
        <v>4078</v>
      </c>
      <c r="B1333" s="170" t="s">
        <v>4079</v>
      </c>
      <c r="C1333" s="170" t="s">
        <v>205</v>
      </c>
      <c r="D1333" s="170" t="s">
        <v>1947</v>
      </c>
      <c r="E1333" s="171" t="s">
        <v>32094</v>
      </c>
      <c r="F1333" s="171" t="s">
        <v>35389</v>
      </c>
      <c r="G1333" s="82"/>
      <c r="H1333" s="96">
        <f t="shared" si="80"/>
        <v>2261.9899999999998</v>
      </c>
      <c r="I1333" s="96">
        <f t="shared" si="80"/>
        <v>2364.75</v>
      </c>
      <c r="J1333" s="91" t="str">
        <f t="shared" si="81"/>
        <v>Sinapi 92562</v>
      </c>
      <c r="K1333" s="91" t="str">
        <f t="shared" si="82"/>
        <v>UN</v>
      </c>
      <c r="L1333" s="166" t="str">
        <f t="shared" si="83"/>
        <v>07/2019</v>
      </c>
      <c r="M1333" s="82"/>
      <c r="N1333" s="82"/>
    </row>
    <row r="1334" spans="1:14" x14ac:dyDescent="0.25">
      <c r="A1334" s="170" t="s">
        <v>4080</v>
      </c>
      <c r="B1334" s="170" t="s">
        <v>4081</v>
      </c>
      <c r="C1334" s="170" t="s">
        <v>205</v>
      </c>
      <c r="D1334" s="170" t="s">
        <v>1947</v>
      </c>
      <c r="E1334" s="171" t="s">
        <v>32095</v>
      </c>
      <c r="F1334" s="171" t="s">
        <v>35390</v>
      </c>
      <c r="G1334" s="82"/>
      <c r="H1334" s="96">
        <f t="shared" si="80"/>
        <v>2594.52</v>
      </c>
      <c r="I1334" s="96">
        <f t="shared" si="80"/>
        <v>2722.94</v>
      </c>
      <c r="J1334" s="91" t="str">
        <f t="shared" si="81"/>
        <v>Sinapi 92563</v>
      </c>
      <c r="K1334" s="91" t="str">
        <f t="shared" si="82"/>
        <v>UN</v>
      </c>
      <c r="L1334" s="166" t="str">
        <f t="shared" si="83"/>
        <v>07/2019</v>
      </c>
      <c r="M1334" s="82"/>
      <c r="N1334" s="82"/>
    </row>
    <row r="1335" spans="1:14" x14ac:dyDescent="0.25">
      <c r="A1335" s="170" t="s">
        <v>4082</v>
      </c>
      <c r="B1335" s="170" t="s">
        <v>4083</v>
      </c>
      <c r="C1335" s="170" t="s">
        <v>205</v>
      </c>
      <c r="D1335" s="170" t="s">
        <v>1947</v>
      </c>
      <c r="E1335" s="171" t="s">
        <v>32096</v>
      </c>
      <c r="F1335" s="171" t="s">
        <v>35391</v>
      </c>
      <c r="G1335" s="82"/>
      <c r="H1335" s="96">
        <f t="shared" si="80"/>
        <v>2672.86</v>
      </c>
      <c r="I1335" s="96">
        <f t="shared" si="80"/>
        <v>2801.28</v>
      </c>
      <c r="J1335" s="91" t="str">
        <f t="shared" si="81"/>
        <v>Sinapi 92564</v>
      </c>
      <c r="K1335" s="91" t="str">
        <f t="shared" si="82"/>
        <v>UN</v>
      </c>
      <c r="L1335" s="166" t="str">
        <f t="shared" si="83"/>
        <v>07/2019</v>
      </c>
      <c r="M1335" s="82"/>
      <c r="N1335" s="82"/>
    </row>
    <row r="1336" spans="1:14" x14ac:dyDescent="0.25">
      <c r="A1336" s="170" t="s">
        <v>4084</v>
      </c>
      <c r="B1336" s="170" t="s">
        <v>4085</v>
      </c>
      <c r="C1336" s="170" t="s">
        <v>870</v>
      </c>
      <c r="D1336" s="170" t="s">
        <v>1947</v>
      </c>
      <c r="E1336" s="171" t="s">
        <v>21317</v>
      </c>
      <c r="F1336" s="171" t="s">
        <v>35392</v>
      </c>
      <c r="G1336" s="82"/>
      <c r="H1336" s="96">
        <f t="shared" si="80"/>
        <v>34.549999999999997</v>
      </c>
      <c r="I1336" s="96">
        <f t="shared" si="80"/>
        <v>35.99</v>
      </c>
      <c r="J1336" s="91" t="str">
        <f t="shared" si="81"/>
        <v>Sinapi 100379</v>
      </c>
      <c r="K1336" s="91" t="str">
        <f t="shared" si="82"/>
        <v>M2</v>
      </c>
      <c r="L1336" s="166" t="str">
        <f t="shared" si="83"/>
        <v>07/2019</v>
      </c>
      <c r="M1336" s="82"/>
      <c r="N1336" s="82"/>
    </row>
    <row r="1337" spans="1:14" x14ac:dyDescent="0.25">
      <c r="A1337" s="170" t="s">
        <v>4086</v>
      </c>
      <c r="B1337" s="170" t="s">
        <v>4087</v>
      </c>
      <c r="C1337" s="170" t="s">
        <v>870</v>
      </c>
      <c r="D1337" s="170" t="s">
        <v>1947</v>
      </c>
      <c r="E1337" s="171" t="s">
        <v>29229</v>
      </c>
      <c r="F1337" s="171" t="s">
        <v>23116</v>
      </c>
      <c r="G1337" s="82"/>
      <c r="H1337" s="96">
        <f t="shared" si="80"/>
        <v>45.43</v>
      </c>
      <c r="I1337" s="96">
        <f t="shared" si="80"/>
        <v>47.72</v>
      </c>
      <c r="J1337" s="91" t="str">
        <f t="shared" si="81"/>
        <v>Sinapi 100380</v>
      </c>
      <c r="K1337" s="91" t="str">
        <f t="shared" si="82"/>
        <v>M2</v>
      </c>
      <c r="L1337" s="166" t="str">
        <f t="shared" si="83"/>
        <v>07/2019</v>
      </c>
      <c r="M1337" s="82"/>
      <c r="N1337" s="82"/>
    </row>
    <row r="1338" spans="1:14" x14ac:dyDescent="0.25">
      <c r="A1338" s="170" t="s">
        <v>4088</v>
      </c>
      <c r="B1338" s="170" t="s">
        <v>4089</v>
      </c>
      <c r="C1338" s="170" t="s">
        <v>870</v>
      </c>
      <c r="D1338" s="170" t="s">
        <v>1947</v>
      </c>
      <c r="E1338" s="171" t="s">
        <v>32097</v>
      </c>
      <c r="F1338" s="171" t="s">
        <v>35393</v>
      </c>
      <c r="G1338" s="82"/>
      <c r="H1338" s="96">
        <f t="shared" si="80"/>
        <v>50.98</v>
      </c>
      <c r="I1338" s="96">
        <f t="shared" si="80"/>
        <v>53.86</v>
      </c>
      <c r="J1338" s="91" t="str">
        <f t="shared" si="81"/>
        <v>Sinapi 100381</v>
      </c>
      <c r="K1338" s="91" t="str">
        <f t="shared" si="82"/>
        <v>M2</v>
      </c>
      <c r="L1338" s="166" t="str">
        <f t="shared" si="83"/>
        <v>07/2019</v>
      </c>
      <c r="M1338" s="82"/>
      <c r="N1338" s="82"/>
    </row>
    <row r="1339" spans="1:14" x14ac:dyDescent="0.25">
      <c r="A1339" s="170" t="s">
        <v>4090</v>
      </c>
      <c r="B1339" s="170" t="s">
        <v>4091</v>
      </c>
      <c r="C1339" s="170" t="s">
        <v>870</v>
      </c>
      <c r="D1339" s="170" t="s">
        <v>1947</v>
      </c>
      <c r="E1339" s="171" t="s">
        <v>16412</v>
      </c>
      <c r="F1339" s="171" t="s">
        <v>32721</v>
      </c>
      <c r="G1339" s="82"/>
      <c r="H1339" s="96">
        <f t="shared" si="80"/>
        <v>22.74</v>
      </c>
      <c r="I1339" s="96">
        <f t="shared" si="80"/>
        <v>23.37</v>
      </c>
      <c r="J1339" s="91" t="str">
        <f t="shared" si="81"/>
        <v>Sinapi 100383</v>
      </c>
      <c r="K1339" s="91" t="str">
        <f t="shared" si="82"/>
        <v>M2</v>
      </c>
      <c r="L1339" s="166" t="str">
        <f t="shared" si="83"/>
        <v>07/2019</v>
      </c>
      <c r="M1339" s="82"/>
      <c r="N1339" s="82"/>
    </row>
    <row r="1340" spans="1:14" x14ac:dyDescent="0.25">
      <c r="A1340" s="170" t="s">
        <v>4092</v>
      </c>
      <c r="B1340" s="170" t="s">
        <v>4093</v>
      </c>
      <c r="C1340" s="170" t="s">
        <v>870</v>
      </c>
      <c r="D1340" s="170" t="s">
        <v>1947</v>
      </c>
      <c r="E1340" s="171" t="s">
        <v>21526</v>
      </c>
      <c r="F1340" s="171" t="s">
        <v>27123</v>
      </c>
      <c r="G1340" s="82"/>
      <c r="H1340" s="96">
        <f t="shared" si="80"/>
        <v>23.97</v>
      </c>
      <c r="I1340" s="96">
        <f t="shared" si="80"/>
        <v>24.78</v>
      </c>
      <c r="J1340" s="91" t="str">
        <f t="shared" si="81"/>
        <v>Sinapi 100384</v>
      </c>
      <c r="K1340" s="91" t="str">
        <f t="shared" si="82"/>
        <v>M2</v>
      </c>
      <c r="L1340" s="166" t="str">
        <f t="shared" si="83"/>
        <v>07/2019</v>
      </c>
      <c r="M1340" s="82"/>
      <c r="N1340" s="82"/>
    </row>
    <row r="1341" spans="1:14" x14ac:dyDescent="0.25">
      <c r="A1341" s="170" t="s">
        <v>4094</v>
      </c>
      <c r="B1341" s="170" t="s">
        <v>4095</v>
      </c>
      <c r="C1341" s="170" t="s">
        <v>870</v>
      </c>
      <c r="D1341" s="170" t="s">
        <v>1947</v>
      </c>
      <c r="E1341" s="171" t="s">
        <v>23986</v>
      </c>
      <c r="F1341" s="171" t="s">
        <v>21469</v>
      </c>
      <c r="G1341" s="82"/>
      <c r="H1341" s="96">
        <f t="shared" si="80"/>
        <v>31.01</v>
      </c>
      <c r="I1341" s="96">
        <f t="shared" si="80"/>
        <v>32.1</v>
      </c>
      <c r="J1341" s="91" t="str">
        <f t="shared" si="81"/>
        <v>Sinapi 100385</v>
      </c>
      <c r="K1341" s="91" t="str">
        <f t="shared" si="82"/>
        <v>M2</v>
      </c>
      <c r="L1341" s="166" t="str">
        <f t="shared" si="83"/>
        <v>07/2019</v>
      </c>
      <c r="M1341" s="82"/>
      <c r="N1341" s="82"/>
    </row>
    <row r="1342" spans="1:14" x14ac:dyDescent="0.25">
      <c r="A1342" s="170" t="s">
        <v>4096</v>
      </c>
      <c r="B1342" s="170" t="s">
        <v>4097</v>
      </c>
      <c r="C1342" s="170" t="s">
        <v>870</v>
      </c>
      <c r="D1342" s="170" t="s">
        <v>1947</v>
      </c>
      <c r="E1342" s="171" t="s">
        <v>20350</v>
      </c>
      <c r="F1342" s="171" t="s">
        <v>34090</v>
      </c>
      <c r="G1342" s="82"/>
      <c r="H1342" s="96">
        <f t="shared" si="80"/>
        <v>39.520000000000003</v>
      </c>
      <c r="I1342" s="96">
        <f t="shared" si="80"/>
        <v>41.13</v>
      </c>
      <c r="J1342" s="91" t="str">
        <f t="shared" si="81"/>
        <v>Sinapi 100386</v>
      </c>
      <c r="K1342" s="91" t="str">
        <f t="shared" si="82"/>
        <v>M2</v>
      </c>
      <c r="L1342" s="166" t="str">
        <f t="shared" si="83"/>
        <v>07/2019</v>
      </c>
      <c r="M1342" s="82"/>
      <c r="N1342" s="82"/>
    </row>
    <row r="1343" spans="1:14" x14ac:dyDescent="0.25">
      <c r="A1343" s="170" t="s">
        <v>4098</v>
      </c>
      <c r="B1343" s="170" t="s">
        <v>4099</v>
      </c>
      <c r="C1343" s="170" t="s">
        <v>870</v>
      </c>
      <c r="D1343" s="170" t="s">
        <v>1947</v>
      </c>
      <c r="E1343" s="171" t="s">
        <v>32098</v>
      </c>
      <c r="F1343" s="171" t="s">
        <v>29459</v>
      </c>
      <c r="G1343" s="82"/>
      <c r="H1343" s="96">
        <f t="shared" si="80"/>
        <v>48.14</v>
      </c>
      <c r="I1343" s="96">
        <f t="shared" si="80"/>
        <v>50.24</v>
      </c>
      <c r="J1343" s="91" t="str">
        <f t="shared" si="81"/>
        <v>Sinapi 100387</v>
      </c>
      <c r="K1343" s="91" t="str">
        <f t="shared" si="82"/>
        <v>M2</v>
      </c>
      <c r="L1343" s="166" t="str">
        <f t="shared" si="83"/>
        <v>07/2019</v>
      </c>
      <c r="M1343" s="82"/>
      <c r="N1343" s="82"/>
    </row>
    <row r="1344" spans="1:14" x14ac:dyDescent="0.25">
      <c r="A1344" s="170" t="s">
        <v>4100</v>
      </c>
      <c r="B1344" s="170" t="s">
        <v>4101</v>
      </c>
      <c r="C1344" s="170" t="s">
        <v>870</v>
      </c>
      <c r="D1344" s="170" t="s">
        <v>1947</v>
      </c>
      <c r="E1344" s="171" t="s">
        <v>15536</v>
      </c>
      <c r="F1344" s="171" t="s">
        <v>28931</v>
      </c>
      <c r="G1344" s="82"/>
      <c r="H1344" s="96">
        <f t="shared" si="80"/>
        <v>17.84</v>
      </c>
      <c r="I1344" s="96">
        <f t="shared" si="80"/>
        <v>19.02</v>
      </c>
      <c r="J1344" s="91" t="str">
        <f t="shared" si="81"/>
        <v>Sinapi 100388</v>
      </c>
      <c r="K1344" s="91" t="str">
        <f t="shared" si="82"/>
        <v>M2</v>
      </c>
      <c r="L1344" s="166" t="str">
        <f t="shared" si="83"/>
        <v>07/2019</v>
      </c>
      <c r="M1344" s="82"/>
      <c r="N1344" s="82"/>
    </row>
    <row r="1345" spans="1:14" x14ac:dyDescent="0.25">
      <c r="A1345" s="170" t="s">
        <v>4102</v>
      </c>
      <c r="B1345" s="170" t="s">
        <v>4103</v>
      </c>
      <c r="C1345" s="170" t="s">
        <v>870</v>
      </c>
      <c r="D1345" s="170" t="s">
        <v>1947</v>
      </c>
      <c r="E1345" s="171" t="s">
        <v>21444</v>
      </c>
      <c r="F1345" s="171" t="s">
        <v>19380</v>
      </c>
      <c r="G1345" s="82"/>
      <c r="H1345" s="96">
        <f t="shared" si="80"/>
        <v>15.99</v>
      </c>
      <c r="I1345" s="96">
        <f t="shared" si="80"/>
        <v>17.22</v>
      </c>
      <c r="J1345" s="91" t="str">
        <f t="shared" si="81"/>
        <v>Sinapi 100389</v>
      </c>
      <c r="K1345" s="91" t="str">
        <f t="shared" si="82"/>
        <v>M2</v>
      </c>
      <c r="L1345" s="166" t="str">
        <f t="shared" si="83"/>
        <v>07/2019</v>
      </c>
      <c r="M1345" s="82"/>
      <c r="N1345" s="82"/>
    </row>
    <row r="1346" spans="1:14" x14ac:dyDescent="0.25">
      <c r="A1346" s="170" t="s">
        <v>4104</v>
      </c>
      <c r="B1346" s="170" t="s">
        <v>4105</v>
      </c>
      <c r="C1346" s="170" t="s">
        <v>870</v>
      </c>
      <c r="D1346" s="170" t="s">
        <v>1947</v>
      </c>
      <c r="E1346" s="171" t="s">
        <v>32099</v>
      </c>
      <c r="F1346" s="171" t="s">
        <v>17295</v>
      </c>
      <c r="G1346" s="82"/>
      <c r="H1346" s="96">
        <f t="shared" si="80"/>
        <v>21.29</v>
      </c>
      <c r="I1346" s="96">
        <f t="shared" si="80"/>
        <v>22.86</v>
      </c>
      <c r="J1346" s="91" t="str">
        <f t="shared" si="81"/>
        <v>Sinapi 100390</v>
      </c>
      <c r="K1346" s="91" t="str">
        <f t="shared" si="82"/>
        <v>M2</v>
      </c>
      <c r="L1346" s="166" t="str">
        <f t="shared" si="83"/>
        <v>07/2019</v>
      </c>
      <c r="M1346" s="82"/>
      <c r="N1346" s="82"/>
    </row>
    <row r="1347" spans="1:14" x14ac:dyDescent="0.25">
      <c r="A1347" s="170" t="s">
        <v>4106</v>
      </c>
      <c r="B1347" s="170" t="s">
        <v>4107</v>
      </c>
      <c r="C1347" s="170" t="s">
        <v>870</v>
      </c>
      <c r="D1347" s="170" t="s">
        <v>1947</v>
      </c>
      <c r="E1347" s="171" t="s">
        <v>19348</v>
      </c>
      <c r="F1347" s="171" t="s">
        <v>16318</v>
      </c>
      <c r="G1347" s="82"/>
      <c r="H1347" s="96">
        <f t="shared" si="80"/>
        <v>18.329999999999998</v>
      </c>
      <c r="I1347" s="96">
        <f t="shared" si="80"/>
        <v>19.84</v>
      </c>
      <c r="J1347" s="91" t="str">
        <f t="shared" si="81"/>
        <v>Sinapi 100391</v>
      </c>
      <c r="K1347" s="91" t="str">
        <f t="shared" si="82"/>
        <v>M2</v>
      </c>
      <c r="L1347" s="166" t="str">
        <f t="shared" si="83"/>
        <v>07/2019</v>
      </c>
      <c r="M1347" s="82"/>
      <c r="N1347" s="82"/>
    </row>
    <row r="1348" spans="1:14" x14ac:dyDescent="0.25">
      <c r="A1348" s="170" t="s">
        <v>4108</v>
      </c>
      <c r="B1348" s="170" t="s">
        <v>4109</v>
      </c>
      <c r="C1348" s="170" t="s">
        <v>870</v>
      </c>
      <c r="D1348" s="170" t="s">
        <v>1947</v>
      </c>
      <c r="E1348" s="171" t="s">
        <v>15780</v>
      </c>
      <c r="F1348" s="171" t="s">
        <v>18595</v>
      </c>
      <c r="G1348" s="82"/>
      <c r="H1348" s="96">
        <f t="shared" si="80"/>
        <v>14.09</v>
      </c>
      <c r="I1348" s="96">
        <f t="shared" si="80"/>
        <v>14.99</v>
      </c>
      <c r="J1348" s="91" t="str">
        <f t="shared" si="81"/>
        <v>Sinapi 100392</v>
      </c>
      <c r="K1348" s="91" t="str">
        <f t="shared" si="82"/>
        <v>M2</v>
      </c>
      <c r="L1348" s="166" t="str">
        <f t="shared" si="83"/>
        <v>07/2019</v>
      </c>
      <c r="M1348" s="82"/>
      <c r="N1348" s="82"/>
    </row>
    <row r="1349" spans="1:14" x14ac:dyDescent="0.25">
      <c r="A1349" s="170" t="s">
        <v>4110</v>
      </c>
      <c r="B1349" s="170" t="s">
        <v>4111</v>
      </c>
      <c r="C1349" s="170" t="s">
        <v>870</v>
      </c>
      <c r="D1349" s="170" t="s">
        <v>1947</v>
      </c>
      <c r="E1349" s="171" t="s">
        <v>32100</v>
      </c>
      <c r="F1349" s="171" t="s">
        <v>23280</v>
      </c>
      <c r="G1349" s="82"/>
      <c r="H1349" s="96">
        <f t="shared" si="80"/>
        <v>18.34</v>
      </c>
      <c r="I1349" s="96">
        <f t="shared" si="80"/>
        <v>19.75</v>
      </c>
      <c r="J1349" s="91" t="str">
        <f t="shared" si="81"/>
        <v>Sinapi 100393</v>
      </c>
      <c r="K1349" s="91" t="str">
        <f t="shared" si="82"/>
        <v>M2</v>
      </c>
      <c r="L1349" s="166" t="str">
        <f t="shared" si="83"/>
        <v>07/2019</v>
      </c>
      <c r="M1349" s="82"/>
      <c r="N1349" s="82"/>
    </row>
    <row r="1350" spans="1:14" x14ac:dyDescent="0.25">
      <c r="A1350" s="170" t="s">
        <v>4112</v>
      </c>
      <c r="B1350" s="170" t="s">
        <v>4113</v>
      </c>
      <c r="C1350" s="170" t="s">
        <v>870</v>
      </c>
      <c r="D1350" s="170" t="s">
        <v>1947</v>
      </c>
      <c r="E1350" s="171" t="s">
        <v>21867</v>
      </c>
      <c r="F1350" s="171" t="s">
        <v>19324</v>
      </c>
      <c r="G1350" s="82"/>
      <c r="H1350" s="96">
        <f t="shared" si="80"/>
        <v>16.79</v>
      </c>
      <c r="I1350" s="96">
        <f t="shared" si="80"/>
        <v>18.02</v>
      </c>
      <c r="J1350" s="91" t="str">
        <f t="shared" si="81"/>
        <v>Sinapi 100394</v>
      </c>
      <c r="K1350" s="91" t="str">
        <f t="shared" si="82"/>
        <v>M2</v>
      </c>
      <c r="L1350" s="166" t="str">
        <f t="shared" si="83"/>
        <v>07/2019</v>
      </c>
      <c r="M1350" s="82"/>
      <c r="N1350" s="82"/>
    </row>
    <row r="1351" spans="1:14" x14ac:dyDescent="0.25">
      <c r="A1351" s="170" t="s">
        <v>4114</v>
      </c>
      <c r="B1351" s="170" t="s">
        <v>4115</v>
      </c>
      <c r="C1351" s="170" t="s">
        <v>870</v>
      </c>
      <c r="D1351" s="170" t="s">
        <v>1947</v>
      </c>
      <c r="E1351" s="171" t="s">
        <v>30512</v>
      </c>
      <c r="F1351" s="171" t="s">
        <v>19386</v>
      </c>
      <c r="G1351" s="82"/>
      <c r="H1351" s="96">
        <f t="shared" si="80"/>
        <v>21.81</v>
      </c>
      <c r="I1351" s="96">
        <f t="shared" si="80"/>
        <v>23.63</v>
      </c>
      <c r="J1351" s="91" t="str">
        <f t="shared" si="81"/>
        <v>Sinapi 100395</v>
      </c>
      <c r="K1351" s="91" t="str">
        <f t="shared" si="82"/>
        <v>M2</v>
      </c>
      <c r="L1351" s="166" t="str">
        <f t="shared" si="83"/>
        <v>07/2019</v>
      </c>
      <c r="M1351" s="82"/>
      <c r="N1351" s="82"/>
    </row>
    <row r="1352" spans="1:14" x14ac:dyDescent="0.25">
      <c r="A1352" s="170" t="s">
        <v>4116</v>
      </c>
      <c r="B1352" s="170" t="s">
        <v>4117</v>
      </c>
      <c r="C1352" s="170" t="s">
        <v>870</v>
      </c>
      <c r="D1352" s="170" t="s">
        <v>1947</v>
      </c>
      <c r="E1352" s="171" t="s">
        <v>32101</v>
      </c>
      <c r="F1352" s="171" t="s">
        <v>23134</v>
      </c>
      <c r="G1352" s="82"/>
      <c r="H1352" s="96">
        <f t="shared" ref="H1352:I1415" si="84">IF(E1352="","",E1352+0)</f>
        <v>64.03</v>
      </c>
      <c r="I1352" s="96">
        <f t="shared" si="84"/>
        <v>64.53</v>
      </c>
      <c r="J1352" s="91" t="str">
        <f t="shared" ref="J1352:J1415" si="85">IF(OR(H1352="",I1352=""),"",TRIM(CONCATENATE("Sinapi ",A1352)))</f>
        <v>Sinapi 94189</v>
      </c>
      <c r="K1352" s="91" t="str">
        <f t="shared" ref="K1352:K1415" si="86">TRIM(C1352)</f>
        <v>M2</v>
      </c>
      <c r="L1352" s="166" t="str">
        <f t="shared" ref="L1352:L1415" si="87">IF(OR(RIGHT(IF(AND(K1352&lt;&gt;"H",K1352&lt;&gt;"MES"),RIGHT(B1352,7),""),2)="PS",RIGHT(IF(AND(K1352&lt;&gt;"H",K1352&lt;&gt;"MES"),RIGHT(B1352,7),""),2)="PA",RIGHT(IF(AND(K1352&lt;&gt;"H",K1352&lt;&gt;"MES"),RIGHT(B1352,7),""),2)="PE"),LEFT(IF(AND(K1352&lt;&gt;"H",K1352&lt;&gt;"MES"),RIGHT(B1352,10),""),7),IF(AND(K1352&lt;&gt;"H",K1352&lt;&gt;"MES"),RIGHT(B1352,7),""))</f>
        <v>07/2019</v>
      </c>
      <c r="M1352" s="82"/>
      <c r="N1352" s="82"/>
    </row>
    <row r="1353" spans="1:14" x14ac:dyDescent="0.25">
      <c r="A1353" s="170" t="s">
        <v>4118</v>
      </c>
      <c r="B1353" s="170" t="s">
        <v>4119</v>
      </c>
      <c r="C1353" s="170" t="s">
        <v>870</v>
      </c>
      <c r="D1353" s="170" t="s">
        <v>1947</v>
      </c>
      <c r="E1353" s="171" t="s">
        <v>32102</v>
      </c>
      <c r="F1353" s="171" t="s">
        <v>34643</v>
      </c>
      <c r="G1353" s="82"/>
      <c r="H1353" s="96">
        <f t="shared" si="84"/>
        <v>66.290000000000006</v>
      </c>
      <c r="I1353" s="96">
        <f t="shared" si="84"/>
        <v>67.05</v>
      </c>
      <c r="J1353" s="91" t="str">
        <f t="shared" si="85"/>
        <v>Sinapi 94192</v>
      </c>
      <c r="K1353" s="91" t="str">
        <f t="shared" si="86"/>
        <v>M2</v>
      </c>
      <c r="L1353" s="166" t="str">
        <f t="shared" si="87"/>
        <v>07/2019</v>
      </c>
      <c r="M1353" s="82"/>
      <c r="N1353" s="82"/>
    </row>
    <row r="1354" spans="1:14" x14ac:dyDescent="0.25">
      <c r="A1354" s="170" t="s">
        <v>4120</v>
      </c>
      <c r="B1354" s="170" t="s">
        <v>4121</v>
      </c>
      <c r="C1354" s="170" t="s">
        <v>870</v>
      </c>
      <c r="D1354" s="170" t="s">
        <v>1947</v>
      </c>
      <c r="E1354" s="171" t="s">
        <v>22079</v>
      </c>
      <c r="F1354" s="171" t="s">
        <v>24859</v>
      </c>
      <c r="G1354" s="82"/>
      <c r="H1354" s="96">
        <f t="shared" si="84"/>
        <v>35.44</v>
      </c>
      <c r="I1354" s="96">
        <f t="shared" si="84"/>
        <v>36.299999999999997</v>
      </c>
      <c r="J1354" s="91" t="str">
        <f t="shared" si="85"/>
        <v>Sinapi 94195</v>
      </c>
      <c r="K1354" s="91" t="str">
        <f t="shared" si="86"/>
        <v>M2</v>
      </c>
      <c r="L1354" s="166" t="str">
        <f t="shared" si="87"/>
        <v>07/2019</v>
      </c>
      <c r="M1354" s="82"/>
      <c r="N1354" s="82"/>
    </row>
    <row r="1355" spans="1:14" x14ac:dyDescent="0.25">
      <c r="A1355" s="170" t="s">
        <v>4122</v>
      </c>
      <c r="B1355" s="170" t="s">
        <v>4123</v>
      </c>
      <c r="C1355" s="170" t="s">
        <v>870</v>
      </c>
      <c r="D1355" s="170" t="s">
        <v>1947</v>
      </c>
      <c r="E1355" s="171" t="s">
        <v>24325</v>
      </c>
      <c r="F1355" s="171" t="s">
        <v>29131</v>
      </c>
      <c r="G1355" s="82"/>
      <c r="H1355" s="96">
        <f t="shared" si="84"/>
        <v>38.44</v>
      </c>
      <c r="I1355" s="96">
        <f t="shared" si="84"/>
        <v>39.619999999999997</v>
      </c>
      <c r="J1355" s="91" t="str">
        <f t="shared" si="85"/>
        <v>Sinapi 94198</v>
      </c>
      <c r="K1355" s="91" t="str">
        <f t="shared" si="86"/>
        <v>M2</v>
      </c>
      <c r="L1355" s="166" t="str">
        <f t="shared" si="87"/>
        <v>07/2019</v>
      </c>
      <c r="M1355" s="82"/>
      <c r="N1355" s="82"/>
    </row>
    <row r="1356" spans="1:14" x14ac:dyDescent="0.25">
      <c r="A1356" s="170" t="s">
        <v>4124</v>
      </c>
      <c r="B1356" s="170" t="s">
        <v>4125</v>
      </c>
      <c r="C1356" s="170" t="s">
        <v>870</v>
      </c>
      <c r="D1356" s="170" t="s">
        <v>1947</v>
      </c>
      <c r="E1356" s="171" t="s">
        <v>29353</v>
      </c>
      <c r="F1356" s="171" t="s">
        <v>35394</v>
      </c>
      <c r="G1356" s="82"/>
      <c r="H1356" s="96">
        <f t="shared" si="84"/>
        <v>50.43</v>
      </c>
      <c r="I1356" s="96">
        <f t="shared" si="84"/>
        <v>51.75</v>
      </c>
      <c r="J1356" s="91" t="str">
        <f t="shared" si="85"/>
        <v>Sinapi 94201</v>
      </c>
      <c r="K1356" s="91" t="str">
        <f t="shared" si="86"/>
        <v>M2</v>
      </c>
      <c r="L1356" s="166" t="str">
        <f t="shared" si="87"/>
        <v>07/2019</v>
      </c>
      <c r="M1356" s="82"/>
      <c r="N1356" s="82"/>
    </row>
    <row r="1357" spans="1:14" x14ac:dyDescent="0.25">
      <c r="A1357" s="170" t="s">
        <v>4126</v>
      </c>
      <c r="B1357" s="170" t="s">
        <v>4127</v>
      </c>
      <c r="C1357" s="170" t="s">
        <v>870</v>
      </c>
      <c r="D1357" s="170" t="s">
        <v>1947</v>
      </c>
      <c r="E1357" s="171" t="s">
        <v>23065</v>
      </c>
      <c r="F1357" s="171" t="s">
        <v>35395</v>
      </c>
      <c r="G1357" s="82"/>
      <c r="H1357" s="96">
        <f t="shared" si="84"/>
        <v>55.51</v>
      </c>
      <c r="I1357" s="96">
        <f t="shared" si="84"/>
        <v>57.41</v>
      </c>
      <c r="J1357" s="91" t="str">
        <f t="shared" si="85"/>
        <v>Sinapi 94204</v>
      </c>
      <c r="K1357" s="91" t="str">
        <f t="shared" si="86"/>
        <v>M2</v>
      </c>
      <c r="L1357" s="166" t="str">
        <f t="shared" si="87"/>
        <v>07/2019</v>
      </c>
      <c r="M1357" s="82"/>
      <c r="N1357" s="82"/>
    </row>
    <row r="1358" spans="1:14" x14ac:dyDescent="0.25">
      <c r="A1358" s="170" t="s">
        <v>4128</v>
      </c>
      <c r="B1358" s="170" t="s">
        <v>4129</v>
      </c>
      <c r="C1358" s="170" t="s">
        <v>385</v>
      </c>
      <c r="D1358" s="170" t="s">
        <v>2067</v>
      </c>
      <c r="E1358" s="171" t="s">
        <v>31982</v>
      </c>
      <c r="F1358" s="171" t="s">
        <v>19917</v>
      </c>
      <c r="G1358" s="82"/>
      <c r="H1358" s="96">
        <f t="shared" si="84"/>
        <v>24.75</v>
      </c>
      <c r="I1358" s="96">
        <f t="shared" si="84"/>
        <v>26.88</v>
      </c>
      <c r="J1358" s="91" t="str">
        <f t="shared" si="85"/>
        <v>Sinapi 94224</v>
      </c>
      <c r="K1358" s="91" t="str">
        <f t="shared" si="86"/>
        <v>M</v>
      </c>
      <c r="L1358" s="166" t="str">
        <f t="shared" si="87"/>
        <v>07/2019</v>
      </c>
      <c r="M1358" s="82"/>
      <c r="N1358" s="82"/>
    </row>
    <row r="1359" spans="1:14" x14ac:dyDescent="0.25">
      <c r="A1359" s="170" t="s">
        <v>4130</v>
      </c>
      <c r="B1359" s="170" t="s">
        <v>4131</v>
      </c>
      <c r="C1359" s="170" t="s">
        <v>870</v>
      </c>
      <c r="D1359" s="170" t="s">
        <v>1947</v>
      </c>
      <c r="E1359" s="171" t="s">
        <v>20362</v>
      </c>
      <c r="F1359" s="171" t="s">
        <v>22110</v>
      </c>
      <c r="G1359" s="82"/>
      <c r="H1359" s="96">
        <f t="shared" si="84"/>
        <v>17.41</v>
      </c>
      <c r="I1359" s="96">
        <f t="shared" si="84"/>
        <v>18.260000000000002</v>
      </c>
      <c r="J1359" s="91" t="str">
        <f t="shared" si="85"/>
        <v>Sinapi 94226</v>
      </c>
      <c r="K1359" s="91" t="str">
        <f t="shared" si="86"/>
        <v>M2</v>
      </c>
      <c r="L1359" s="166" t="str">
        <f t="shared" si="87"/>
        <v>07/2019</v>
      </c>
      <c r="M1359" s="82"/>
      <c r="N1359" s="82"/>
    </row>
    <row r="1360" spans="1:14" x14ac:dyDescent="0.25">
      <c r="A1360" s="170" t="s">
        <v>4132</v>
      </c>
      <c r="B1360" s="170" t="s">
        <v>4133</v>
      </c>
      <c r="C1360" s="170" t="s">
        <v>205</v>
      </c>
      <c r="D1360" s="170" t="s">
        <v>2067</v>
      </c>
      <c r="E1360" s="171" t="s">
        <v>10392</v>
      </c>
      <c r="F1360" s="171" t="s">
        <v>19270</v>
      </c>
      <c r="G1360" s="82"/>
      <c r="H1360" s="96">
        <f t="shared" si="84"/>
        <v>2.58</v>
      </c>
      <c r="I1360" s="96">
        <f t="shared" si="84"/>
        <v>2.86</v>
      </c>
      <c r="J1360" s="91" t="str">
        <f t="shared" si="85"/>
        <v>Sinapi 94232</v>
      </c>
      <c r="K1360" s="91" t="str">
        <f t="shared" si="86"/>
        <v>UN</v>
      </c>
      <c r="L1360" s="166" t="str">
        <f t="shared" si="87"/>
        <v>07/2019</v>
      </c>
      <c r="M1360" s="82"/>
      <c r="N1360" s="82"/>
    </row>
    <row r="1361" spans="1:14" x14ac:dyDescent="0.25">
      <c r="A1361" s="170" t="s">
        <v>4134</v>
      </c>
      <c r="B1361" s="170" t="s">
        <v>4135</v>
      </c>
      <c r="C1361" s="170" t="s">
        <v>870</v>
      </c>
      <c r="D1361" s="170" t="s">
        <v>1947</v>
      </c>
      <c r="E1361" s="171" t="s">
        <v>22079</v>
      </c>
      <c r="F1361" s="171" t="s">
        <v>24859</v>
      </c>
      <c r="G1361" s="82"/>
      <c r="H1361" s="96">
        <f t="shared" si="84"/>
        <v>35.44</v>
      </c>
      <c r="I1361" s="96">
        <f t="shared" si="84"/>
        <v>36.299999999999997</v>
      </c>
      <c r="J1361" s="91" t="str">
        <f t="shared" si="85"/>
        <v>Sinapi 94440</v>
      </c>
      <c r="K1361" s="91" t="str">
        <f t="shared" si="86"/>
        <v>M2</v>
      </c>
      <c r="L1361" s="166" t="str">
        <f t="shared" si="87"/>
        <v>07/2019</v>
      </c>
      <c r="M1361" s="82"/>
      <c r="N1361" s="82"/>
    </row>
    <row r="1362" spans="1:14" x14ac:dyDescent="0.25">
      <c r="A1362" s="170" t="s">
        <v>4136</v>
      </c>
      <c r="B1362" s="170" t="s">
        <v>4137</v>
      </c>
      <c r="C1362" s="170" t="s">
        <v>870</v>
      </c>
      <c r="D1362" s="170" t="s">
        <v>1947</v>
      </c>
      <c r="E1362" s="171" t="s">
        <v>24325</v>
      </c>
      <c r="F1362" s="171" t="s">
        <v>29131</v>
      </c>
      <c r="G1362" s="82"/>
      <c r="H1362" s="96">
        <f t="shared" si="84"/>
        <v>38.44</v>
      </c>
      <c r="I1362" s="96">
        <f t="shared" si="84"/>
        <v>39.619999999999997</v>
      </c>
      <c r="J1362" s="91" t="str">
        <f t="shared" si="85"/>
        <v>Sinapi 94441</v>
      </c>
      <c r="K1362" s="91" t="str">
        <f t="shared" si="86"/>
        <v>M2</v>
      </c>
      <c r="L1362" s="166" t="str">
        <f t="shared" si="87"/>
        <v>07/2019</v>
      </c>
      <c r="M1362" s="82"/>
      <c r="N1362" s="82"/>
    </row>
    <row r="1363" spans="1:14" x14ac:dyDescent="0.25">
      <c r="A1363" s="170" t="s">
        <v>4138</v>
      </c>
      <c r="B1363" s="170" t="s">
        <v>4139</v>
      </c>
      <c r="C1363" s="170" t="s">
        <v>870</v>
      </c>
      <c r="D1363" s="170" t="s">
        <v>1947</v>
      </c>
      <c r="E1363" s="171" t="s">
        <v>22079</v>
      </c>
      <c r="F1363" s="171" t="s">
        <v>24859</v>
      </c>
      <c r="G1363" s="82"/>
      <c r="H1363" s="96">
        <f t="shared" si="84"/>
        <v>35.44</v>
      </c>
      <c r="I1363" s="96">
        <f t="shared" si="84"/>
        <v>36.299999999999997</v>
      </c>
      <c r="J1363" s="91" t="str">
        <f t="shared" si="85"/>
        <v>Sinapi 94442</v>
      </c>
      <c r="K1363" s="91" t="str">
        <f t="shared" si="86"/>
        <v>M2</v>
      </c>
      <c r="L1363" s="166" t="str">
        <f t="shared" si="87"/>
        <v>07/2019</v>
      </c>
      <c r="M1363" s="82"/>
      <c r="N1363" s="82"/>
    </row>
    <row r="1364" spans="1:14" x14ac:dyDescent="0.25">
      <c r="A1364" s="170" t="s">
        <v>4140</v>
      </c>
      <c r="B1364" s="170" t="s">
        <v>4141</v>
      </c>
      <c r="C1364" s="170" t="s">
        <v>870</v>
      </c>
      <c r="D1364" s="170" t="s">
        <v>1947</v>
      </c>
      <c r="E1364" s="171" t="s">
        <v>24325</v>
      </c>
      <c r="F1364" s="171" t="s">
        <v>29131</v>
      </c>
      <c r="G1364" s="82"/>
      <c r="H1364" s="96">
        <f t="shared" si="84"/>
        <v>38.44</v>
      </c>
      <c r="I1364" s="96">
        <f t="shared" si="84"/>
        <v>39.619999999999997</v>
      </c>
      <c r="J1364" s="91" t="str">
        <f t="shared" si="85"/>
        <v>Sinapi 94443</v>
      </c>
      <c r="K1364" s="91" t="str">
        <f t="shared" si="86"/>
        <v>M2</v>
      </c>
      <c r="L1364" s="166" t="str">
        <f t="shared" si="87"/>
        <v>07/2019</v>
      </c>
      <c r="M1364" s="82"/>
      <c r="N1364" s="82"/>
    </row>
    <row r="1365" spans="1:14" x14ac:dyDescent="0.25">
      <c r="A1365" s="170" t="s">
        <v>4142</v>
      </c>
      <c r="B1365" s="170" t="s">
        <v>4143</v>
      </c>
      <c r="C1365" s="170" t="s">
        <v>870</v>
      </c>
      <c r="D1365" s="170" t="s">
        <v>1947</v>
      </c>
      <c r="E1365" s="171" t="s">
        <v>29353</v>
      </c>
      <c r="F1365" s="171" t="s">
        <v>35394</v>
      </c>
      <c r="G1365" s="82"/>
      <c r="H1365" s="96">
        <f t="shared" si="84"/>
        <v>50.43</v>
      </c>
      <c r="I1365" s="96">
        <f t="shared" si="84"/>
        <v>51.75</v>
      </c>
      <c r="J1365" s="91" t="str">
        <f t="shared" si="85"/>
        <v>Sinapi 94445</v>
      </c>
      <c r="K1365" s="91" t="str">
        <f t="shared" si="86"/>
        <v>M2</v>
      </c>
      <c r="L1365" s="166" t="str">
        <f t="shared" si="87"/>
        <v>07/2019</v>
      </c>
      <c r="M1365" s="82"/>
      <c r="N1365" s="82"/>
    </row>
    <row r="1366" spans="1:14" x14ac:dyDescent="0.25">
      <c r="A1366" s="170" t="s">
        <v>4144</v>
      </c>
      <c r="B1366" s="170" t="s">
        <v>4145</v>
      </c>
      <c r="C1366" s="170" t="s">
        <v>870</v>
      </c>
      <c r="D1366" s="170" t="s">
        <v>1947</v>
      </c>
      <c r="E1366" s="171" t="s">
        <v>23065</v>
      </c>
      <c r="F1366" s="171" t="s">
        <v>35395</v>
      </c>
      <c r="G1366" s="82"/>
      <c r="H1366" s="96">
        <f t="shared" si="84"/>
        <v>55.51</v>
      </c>
      <c r="I1366" s="96">
        <f t="shared" si="84"/>
        <v>57.41</v>
      </c>
      <c r="J1366" s="91" t="str">
        <f t="shared" si="85"/>
        <v>Sinapi 94446</v>
      </c>
      <c r="K1366" s="91" t="str">
        <f t="shared" si="86"/>
        <v>M2</v>
      </c>
      <c r="L1366" s="166" t="str">
        <f t="shared" si="87"/>
        <v>07/2019</v>
      </c>
      <c r="M1366" s="82"/>
      <c r="N1366" s="82"/>
    </row>
    <row r="1367" spans="1:14" x14ac:dyDescent="0.25">
      <c r="A1367" s="170" t="s">
        <v>4146</v>
      </c>
      <c r="B1367" s="170" t="s">
        <v>4147</v>
      </c>
      <c r="C1367" s="170" t="s">
        <v>870</v>
      </c>
      <c r="D1367" s="170" t="s">
        <v>1947</v>
      </c>
      <c r="E1367" s="171" t="s">
        <v>29353</v>
      </c>
      <c r="F1367" s="171" t="s">
        <v>35394</v>
      </c>
      <c r="G1367" s="82"/>
      <c r="H1367" s="96">
        <f t="shared" si="84"/>
        <v>50.43</v>
      </c>
      <c r="I1367" s="96">
        <f t="shared" si="84"/>
        <v>51.75</v>
      </c>
      <c r="J1367" s="91" t="str">
        <f t="shared" si="85"/>
        <v>Sinapi 94447</v>
      </c>
      <c r="K1367" s="91" t="str">
        <f t="shared" si="86"/>
        <v>M2</v>
      </c>
      <c r="L1367" s="166" t="str">
        <f t="shared" si="87"/>
        <v>07/2019</v>
      </c>
      <c r="M1367" s="82"/>
      <c r="N1367" s="82"/>
    </row>
    <row r="1368" spans="1:14" x14ac:dyDescent="0.25">
      <c r="A1368" s="170" t="s">
        <v>4148</v>
      </c>
      <c r="B1368" s="170" t="s">
        <v>4149</v>
      </c>
      <c r="C1368" s="170" t="s">
        <v>870</v>
      </c>
      <c r="D1368" s="170" t="s">
        <v>1947</v>
      </c>
      <c r="E1368" s="171" t="s">
        <v>23065</v>
      </c>
      <c r="F1368" s="171" t="s">
        <v>35395</v>
      </c>
      <c r="G1368" s="82"/>
      <c r="H1368" s="96">
        <f t="shared" si="84"/>
        <v>55.51</v>
      </c>
      <c r="I1368" s="96">
        <f t="shared" si="84"/>
        <v>57.41</v>
      </c>
      <c r="J1368" s="91" t="str">
        <f t="shared" si="85"/>
        <v>Sinapi 94448</v>
      </c>
      <c r="K1368" s="91" t="str">
        <f t="shared" si="86"/>
        <v>M2</v>
      </c>
      <c r="L1368" s="166" t="str">
        <f t="shared" si="87"/>
        <v>07/2019</v>
      </c>
      <c r="M1368" s="82"/>
      <c r="N1368" s="82"/>
    </row>
    <row r="1369" spans="1:14" x14ac:dyDescent="0.25">
      <c r="A1369" s="170" t="s">
        <v>4150</v>
      </c>
      <c r="B1369" s="170" t="s">
        <v>4151</v>
      </c>
      <c r="C1369" s="170" t="s">
        <v>870</v>
      </c>
      <c r="D1369" s="170" t="s">
        <v>1947</v>
      </c>
      <c r="E1369" s="171" t="s">
        <v>32103</v>
      </c>
      <c r="F1369" s="171" t="s">
        <v>34188</v>
      </c>
      <c r="G1369" s="82"/>
      <c r="H1369" s="96">
        <f t="shared" si="84"/>
        <v>60.57</v>
      </c>
      <c r="I1369" s="96">
        <f t="shared" si="84"/>
        <v>61.22</v>
      </c>
      <c r="J1369" s="91" t="str">
        <f t="shared" si="85"/>
        <v>Sinapi 94207</v>
      </c>
      <c r="K1369" s="91" t="str">
        <f t="shared" si="86"/>
        <v>M2</v>
      </c>
      <c r="L1369" s="166" t="str">
        <f t="shared" si="87"/>
        <v>07/2019</v>
      </c>
      <c r="M1369" s="82"/>
      <c r="N1369" s="82"/>
    </row>
    <row r="1370" spans="1:14" x14ac:dyDescent="0.25">
      <c r="A1370" s="170" t="s">
        <v>4152</v>
      </c>
      <c r="B1370" s="170" t="s">
        <v>4153</v>
      </c>
      <c r="C1370" s="170" t="s">
        <v>870</v>
      </c>
      <c r="D1370" s="170" t="s">
        <v>1947</v>
      </c>
      <c r="E1370" s="171" t="s">
        <v>23172</v>
      </c>
      <c r="F1370" s="171" t="s">
        <v>21022</v>
      </c>
      <c r="G1370" s="82"/>
      <c r="H1370" s="96">
        <f t="shared" si="84"/>
        <v>64.41</v>
      </c>
      <c r="I1370" s="96">
        <f t="shared" si="84"/>
        <v>65.099999999999994</v>
      </c>
      <c r="J1370" s="91" t="str">
        <f t="shared" si="85"/>
        <v>Sinapi 94210</v>
      </c>
      <c r="K1370" s="91" t="str">
        <f t="shared" si="86"/>
        <v>M2</v>
      </c>
      <c r="L1370" s="166" t="str">
        <f t="shared" si="87"/>
        <v>07/2019</v>
      </c>
      <c r="M1370" s="82"/>
      <c r="N1370" s="82"/>
    </row>
    <row r="1371" spans="1:14" x14ac:dyDescent="0.25">
      <c r="A1371" s="170" t="s">
        <v>4154</v>
      </c>
      <c r="B1371" s="170" t="s">
        <v>17978</v>
      </c>
      <c r="C1371" s="170" t="s">
        <v>870</v>
      </c>
      <c r="D1371" s="170" t="s">
        <v>1947</v>
      </c>
      <c r="E1371" s="171" t="s">
        <v>32104</v>
      </c>
      <c r="F1371" s="171" t="s">
        <v>35396</v>
      </c>
      <c r="G1371" s="82"/>
      <c r="H1371" s="96">
        <f t="shared" si="84"/>
        <v>168.02</v>
      </c>
      <c r="I1371" s="96">
        <f t="shared" si="84"/>
        <v>168.71</v>
      </c>
      <c r="J1371" s="91" t="str">
        <f t="shared" si="85"/>
        <v>Sinapi 94218</v>
      </c>
      <c r="K1371" s="91" t="str">
        <f t="shared" si="86"/>
        <v>M2</v>
      </c>
      <c r="L1371" s="166" t="str">
        <f t="shared" si="87"/>
        <v>07/2019</v>
      </c>
      <c r="M1371" s="82"/>
      <c r="N1371" s="82"/>
    </row>
    <row r="1372" spans="1:14" x14ac:dyDescent="0.25">
      <c r="A1372" s="170" t="s">
        <v>4155</v>
      </c>
      <c r="B1372" s="170" t="s">
        <v>4156</v>
      </c>
      <c r="C1372" s="170" t="s">
        <v>870</v>
      </c>
      <c r="D1372" s="170" t="s">
        <v>1947</v>
      </c>
      <c r="E1372" s="171" t="s">
        <v>32105</v>
      </c>
      <c r="F1372" s="171" t="s">
        <v>35397</v>
      </c>
      <c r="G1372" s="82"/>
      <c r="H1372" s="96">
        <f t="shared" si="84"/>
        <v>66.58</v>
      </c>
      <c r="I1372" s="96">
        <f t="shared" si="84"/>
        <v>67.03</v>
      </c>
      <c r="J1372" s="91" t="str">
        <f t="shared" si="85"/>
        <v>Sinapi 94213</v>
      </c>
      <c r="K1372" s="91" t="str">
        <f t="shared" si="86"/>
        <v>M2</v>
      </c>
      <c r="L1372" s="166" t="str">
        <f t="shared" si="87"/>
        <v>07/2019</v>
      </c>
      <c r="M1372" s="82"/>
      <c r="N1372" s="82"/>
    </row>
    <row r="1373" spans="1:14" x14ac:dyDescent="0.25">
      <c r="A1373" s="170" t="s">
        <v>4157</v>
      </c>
      <c r="B1373" s="170" t="s">
        <v>4158</v>
      </c>
      <c r="C1373" s="170" t="s">
        <v>870</v>
      </c>
      <c r="D1373" s="170" t="s">
        <v>1947</v>
      </c>
      <c r="E1373" s="171" t="s">
        <v>32106</v>
      </c>
      <c r="F1373" s="171" t="s">
        <v>35398</v>
      </c>
      <c r="G1373" s="82"/>
      <c r="H1373" s="96">
        <f t="shared" si="84"/>
        <v>193.02</v>
      </c>
      <c r="I1373" s="96">
        <f t="shared" si="84"/>
        <v>193.3</v>
      </c>
      <c r="J1373" s="91" t="str">
        <f t="shared" si="85"/>
        <v>Sinapi 94216</v>
      </c>
      <c r="K1373" s="91" t="str">
        <f t="shared" si="86"/>
        <v>M2</v>
      </c>
      <c r="L1373" s="166" t="str">
        <f t="shared" si="87"/>
        <v>07/2019</v>
      </c>
      <c r="M1373" s="82"/>
      <c r="N1373" s="82"/>
    </row>
    <row r="1374" spans="1:14" x14ac:dyDescent="0.25">
      <c r="A1374" s="170" t="s">
        <v>4159</v>
      </c>
      <c r="B1374" s="170" t="s">
        <v>4160</v>
      </c>
      <c r="C1374" s="170" t="s">
        <v>385</v>
      </c>
      <c r="D1374" s="170" t="s">
        <v>1947</v>
      </c>
      <c r="E1374" s="171" t="s">
        <v>27842</v>
      </c>
      <c r="F1374" s="171" t="s">
        <v>20060</v>
      </c>
      <c r="G1374" s="82"/>
      <c r="H1374" s="96">
        <f t="shared" si="84"/>
        <v>32.83</v>
      </c>
      <c r="I1374" s="96">
        <f t="shared" si="84"/>
        <v>34.520000000000003</v>
      </c>
      <c r="J1374" s="91" t="str">
        <f t="shared" si="85"/>
        <v>Sinapi 94219</v>
      </c>
      <c r="K1374" s="91" t="str">
        <f t="shared" si="86"/>
        <v>M</v>
      </c>
      <c r="L1374" s="166" t="str">
        <f t="shared" si="87"/>
        <v>07/2019</v>
      </c>
      <c r="M1374" s="82"/>
      <c r="N1374" s="82"/>
    </row>
    <row r="1375" spans="1:14" x14ac:dyDescent="0.25">
      <c r="A1375" s="170" t="s">
        <v>4161</v>
      </c>
      <c r="B1375" s="170" t="s">
        <v>4162</v>
      </c>
      <c r="C1375" s="170" t="s">
        <v>385</v>
      </c>
      <c r="D1375" s="170" t="s">
        <v>1947</v>
      </c>
      <c r="E1375" s="171" t="s">
        <v>32107</v>
      </c>
      <c r="F1375" s="171" t="s">
        <v>35399</v>
      </c>
      <c r="G1375" s="82"/>
      <c r="H1375" s="96">
        <f t="shared" si="84"/>
        <v>78.16</v>
      </c>
      <c r="I1375" s="96">
        <f t="shared" si="84"/>
        <v>79.849999999999994</v>
      </c>
      <c r="J1375" s="91" t="str">
        <f t="shared" si="85"/>
        <v>Sinapi 94220</v>
      </c>
      <c r="K1375" s="91" t="str">
        <f t="shared" si="86"/>
        <v>M</v>
      </c>
      <c r="L1375" s="166" t="str">
        <f t="shared" si="87"/>
        <v>07/2019</v>
      </c>
      <c r="M1375" s="82"/>
      <c r="N1375" s="82"/>
    </row>
    <row r="1376" spans="1:14" x14ac:dyDescent="0.25">
      <c r="A1376" s="170" t="s">
        <v>4163</v>
      </c>
      <c r="B1376" s="170" t="s">
        <v>4164</v>
      </c>
      <c r="C1376" s="170" t="s">
        <v>385</v>
      </c>
      <c r="D1376" s="170" t="s">
        <v>1947</v>
      </c>
      <c r="E1376" s="171" t="s">
        <v>21473</v>
      </c>
      <c r="F1376" s="171" t="s">
        <v>15856</v>
      </c>
      <c r="G1376" s="82"/>
      <c r="H1376" s="96">
        <f t="shared" si="84"/>
        <v>26.92</v>
      </c>
      <c r="I1376" s="96">
        <f t="shared" si="84"/>
        <v>27.95</v>
      </c>
      <c r="J1376" s="91" t="str">
        <f t="shared" si="85"/>
        <v>Sinapi 94221</v>
      </c>
      <c r="K1376" s="91" t="str">
        <f t="shared" si="86"/>
        <v>M</v>
      </c>
      <c r="L1376" s="166" t="str">
        <f t="shared" si="87"/>
        <v>07/2019</v>
      </c>
      <c r="M1376" s="82"/>
      <c r="N1376" s="82"/>
    </row>
    <row r="1377" spans="1:14" x14ac:dyDescent="0.25">
      <c r="A1377" s="170" t="s">
        <v>4165</v>
      </c>
      <c r="B1377" s="170" t="s">
        <v>4166</v>
      </c>
      <c r="C1377" s="170" t="s">
        <v>385</v>
      </c>
      <c r="D1377" s="170" t="s">
        <v>1947</v>
      </c>
      <c r="E1377" s="171" t="s">
        <v>30393</v>
      </c>
      <c r="F1377" s="171" t="s">
        <v>21585</v>
      </c>
      <c r="G1377" s="82"/>
      <c r="H1377" s="96">
        <f t="shared" si="84"/>
        <v>72.25</v>
      </c>
      <c r="I1377" s="96">
        <f t="shared" si="84"/>
        <v>73.28</v>
      </c>
      <c r="J1377" s="91" t="str">
        <f t="shared" si="85"/>
        <v>Sinapi 94222</v>
      </c>
      <c r="K1377" s="91" t="str">
        <f t="shared" si="86"/>
        <v>M</v>
      </c>
      <c r="L1377" s="166" t="str">
        <f t="shared" si="87"/>
        <v>07/2019</v>
      </c>
      <c r="M1377" s="82"/>
      <c r="N1377" s="82"/>
    </row>
    <row r="1378" spans="1:14" x14ac:dyDescent="0.25">
      <c r="A1378" s="170" t="s">
        <v>4167</v>
      </c>
      <c r="B1378" s="170" t="s">
        <v>4168</v>
      </c>
      <c r="C1378" s="170" t="s">
        <v>385</v>
      </c>
      <c r="D1378" s="170" t="s">
        <v>1947</v>
      </c>
      <c r="E1378" s="171" t="s">
        <v>22049</v>
      </c>
      <c r="F1378" s="171" t="s">
        <v>35400</v>
      </c>
      <c r="G1378" s="82"/>
      <c r="H1378" s="96">
        <f t="shared" si="84"/>
        <v>103.61</v>
      </c>
      <c r="I1378" s="96">
        <f t="shared" si="84"/>
        <v>103.94</v>
      </c>
      <c r="J1378" s="91" t="str">
        <f t="shared" si="85"/>
        <v>Sinapi 94223</v>
      </c>
      <c r="K1378" s="91" t="str">
        <f t="shared" si="86"/>
        <v>M</v>
      </c>
      <c r="L1378" s="166" t="str">
        <f t="shared" si="87"/>
        <v>07/2019</v>
      </c>
      <c r="M1378" s="82"/>
      <c r="N1378" s="82"/>
    </row>
    <row r="1379" spans="1:14" x14ac:dyDescent="0.25">
      <c r="A1379" s="170" t="s">
        <v>4169</v>
      </c>
      <c r="B1379" s="170" t="s">
        <v>4170</v>
      </c>
      <c r="C1379" s="170" t="s">
        <v>385</v>
      </c>
      <c r="D1379" s="170" t="s">
        <v>1947</v>
      </c>
      <c r="E1379" s="171" t="s">
        <v>32108</v>
      </c>
      <c r="F1379" s="171" t="s">
        <v>35401</v>
      </c>
      <c r="G1379" s="82"/>
      <c r="H1379" s="96">
        <f t="shared" si="84"/>
        <v>117</v>
      </c>
      <c r="I1379" s="96">
        <f t="shared" si="84"/>
        <v>117.32</v>
      </c>
      <c r="J1379" s="91" t="str">
        <f t="shared" si="85"/>
        <v>Sinapi 94451</v>
      </c>
      <c r="K1379" s="91" t="str">
        <f t="shared" si="86"/>
        <v>M</v>
      </c>
      <c r="L1379" s="166" t="str">
        <f t="shared" si="87"/>
        <v>07/2019</v>
      </c>
      <c r="M1379" s="82"/>
      <c r="N1379" s="82"/>
    </row>
    <row r="1380" spans="1:14" x14ac:dyDescent="0.25">
      <c r="A1380" s="170" t="s">
        <v>4171</v>
      </c>
      <c r="B1380" s="170" t="s">
        <v>4172</v>
      </c>
      <c r="C1380" s="170" t="s">
        <v>385</v>
      </c>
      <c r="D1380" s="170" t="s">
        <v>1947</v>
      </c>
      <c r="E1380" s="171" t="s">
        <v>28833</v>
      </c>
      <c r="F1380" s="171" t="s">
        <v>35402</v>
      </c>
      <c r="G1380" s="82"/>
      <c r="H1380" s="96">
        <f t="shared" si="84"/>
        <v>113.81</v>
      </c>
      <c r="I1380" s="96">
        <f t="shared" si="84"/>
        <v>114.06</v>
      </c>
      <c r="J1380" s="91" t="str">
        <f t="shared" si="85"/>
        <v>Sinapi 100325</v>
      </c>
      <c r="K1380" s="91" t="str">
        <f t="shared" si="86"/>
        <v>M</v>
      </c>
      <c r="L1380" s="166" t="str">
        <f t="shared" si="87"/>
        <v>07/2019</v>
      </c>
      <c r="M1380" s="82"/>
      <c r="N1380" s="82"/>
    </row>
    <row r="1381" spans="1:14" x14ac:dyDescent="0.25">
      <c r="A1381" s="170" t="s">
        <v>4173</v>
      </c>
      <c r="B1381" s="170" t="s">
        <v>4174</v>
      </c>
      <c r="C1381" s="170" t="s">
        <v>385</v>
      </c>
      <c r="D1381" s="170" t="s">
        <v>1947</v>
      </c>
      <c r="E1381" s="171" t="s">
        <v>22931</v>
      </c>
      <c r="F1381" s="171" t="s">
        <v>28714</v>
      </c>
      <c r="G1381" s="82"/>
      <c r="H1381" s="96">
        <f t="shared" si="84"/>
        <v>60.55</v>
      </c>
      <c r="I1381" s="96">
        <f t="shared" si="84"/>
        <v>61.48</v>
      </c>
      <c r="J1381" s="91" t="str">
        <f t="shared" si="85"/>
        <v>Sinapi 100327</v>
      </c>
      <c r="K1381" s="91" t="str">
        <f t="shared" si="86"/>
        <v>M</v>
      </c>
      <c r="L1381" s="166" t="str">
        <f t="shared" si="87"/>
        <v>07/2019</v>
      </c>
      <c r="M1381" s="82"/>
      <c r="N1381" s="82"/>
    </row>
    <row r="1382" spans="1:14" x14ac:dyDescent="0.25">
      <c r="A1382" s="170" t="s">
        <v>4175</v>
      </c>
      <c r="B1382" s="170" t="s">
        <v>4176</v>
      </c>
      <c r="C1382" s="170" t="s">
        <v>870</v>
      </c>
      <c r="D1382" s="170" t="s">
        <v>1947</v>
      </c>
      <c r="E1382" s="171" t="s">
        <v>24988</v>
      </c>
      <c r="F1382" s="171" t="s">
        <v>15628</v>
      </c>
      <c r="G1382" s="82"/>
      <c r="H1382" s="96">
        <f t="shared" si="84"/>
        <v>12.88</v>
      </c>
      <c r="I1382" s="96">
        <f t="shared" si="84"/>
        <v>13.69</v>
      </c>
      <c r="J1382" s="91" t="str">
        <f t="shared" si="85"/>
        <v>Sinapi 100328</v>
      </c>
      <c r="K1382" s="91" t="str">
        <f t="shared" si="86"/>
        <v>M2</v>
      </c>
      <c r="L1382" s="166" t="str">
        <f t="shared" si="87"/>
        <v>07/2019</v>
      </c>
      <c r="M1382" s="82"/>
      <c r="N1382" s="82"/>
    </row>
    <row r="1383" spans="1:14" x14ac:dyDescent="0.25">
      <c r="A1383" s="170" t="s">
        <v>4177</v>
      </c>
      <c r="B1383" s="170" t="s">
        <v>4178</v>
      </c>
      <c r="C1383" s="170" t="s">
        <v>870</v>
      </c>
      <c r="D1383" s="170" t="s">
        <v>1947</v>
      </c>
      <c r="E1383" s="171" t="s">
        <v>15509</v>
      </c>
      <c r="F1383" s="171" t="s">
        <v>29665</v>
      </c>
      <c r="G1383" s="82"/>
      <c r="H1383" s="96">
        <f t="shared" si="84"/>
        <v>15.88</v>
      </c>
      <c r="I1383" s="96">
        <f t="shared" si="84"/>
        <v>17.02</v>
      </c>
      <c r="J1383" s="91" t="str">
        <f t="shared" si="85"/>
        <v>Sinapi 100329</v>
      </c>
      <c r="K1383" s="91" t="str">
        <f t="shared" si="86"/>
        <v>M2</v>
      </c>
      <c r="L1383" s="166" t="str">
        <f t="shared" si="87"/>
        <v>07/2019</v>
      </c>
      <c r="M1383" s="82"/>
      <c r="N1383" s="82"/>
    </row>
    <row r="1384" spans="1:14" x14ac:dyDescent="0.25">
      <c r="A1384" s="170" t="s">
        <v>4179</v>
      </c>
      <c r="B1384" s="170" t="s">
        <v>4180</v>
      </c>
      <c r="C1384" s="170" t="s">
        <v>870</v>
      </c>
      <c r="D1384" s="170" t="s">
        <v>1947</v>
      </c>
      <c r="E1384" s="171" t="s">
        <v>7482</v>
      </c>
      <c r="F1384" s="171" t="s">
        <v>33763</v>
      </c>
      <c r="G1384" s="82"/>
      <c r="H1384" s="96">
        <f t="shared" si="84"/>
        <v>17.52</v>
      </c>
      <c r="I1384" s="96">
        <f t="shared" si="84"/>
        <v>18.59</v>
      </c>
      <c r="J1384" s="91" t="str">
        <f t="shared" si="85"/>
        <v>Sinapi 100330</v>
      </c>
      <c r="K1384" s="91" t="str">
        <f t="shared" si="86"/>
        <v>M2</v>
      </c>
      <c r="L1384" s="166" t="str">
        <f t="shared" si="87"/>
        <v>07/2019</v>
      </c>
      <c r="M1384" s="82"/>
      <c r="N1384" s="82"/>
    </row>
    <row r="1385" spans="1:14" x14ac:dyDescent="0.25">
      <c r="A1385" s="170" t="s">
        <v>4181</v>
      </c>
      <c r="B1385" s="170" t="s">
        <v>4182</v>
      </c>
      <c r="C1385" s="170" t="s">
        <v>870</v>
      </c>
      <c r="D1385" s="170" t="s">
        <v>1947</v>
      </c>
      <c r="E1385" s="171" t="s">
        <v>21287</v>
      </c>
      <c r="F1385" s="171" t="s">
        <v>28791</v>
      </c>
      <c r="G1385" s="82"/>
      <c r="H1385" s="96">
        <f t="shared" si="84"/>
        <v>22.63</v>
      </c>
      <c r="I1385" s="96">
        <f t="shared" si="84"/>
        <v>24.28</v>
      </c>
      <c r="J1385" s="91" t="str">
        <f t="shared" si="85"/>
        <v>Sinapi 100331</v>
      </c>
      <c r="K1385" s="91" t="str">
        <f t="shared" si="86"/>
        <v>M2</v>
      </c>
      <c r="L1385" s="166" t="str">
        <f t="shared" si="87"/>
        <v>07/2019</v>
      </c>
      <c r="M1385" s="82"/>
      <c r="N1385" s="82"/>
    </row>
    <row r="1386" spans="1:14" x14ac:dyDescent="0.25">
      <c r="A1386" s="170" t="s">
        <v>4183</v>
      </c>
      <c r="B1386" s="170" t="s">
        <v>4184</v>
      </c>
      <c r="C1386" s="170" t="s">
        <v>385</v>
      </c>
      <c r="D1386" s="170" t="s">
        <v>1947</v>
      </c>
      <c r="E1386" s="171" t="s">
        <v>24350</v>
      </c>
      <c r="F1386" s="171" t="s">
        <v>35403</v>
      </c>
      <c r="G1386" s="82"/>
      <c r="H1386" s="96">
        <f t="shared" si="84"/>
        <v>160.72999999999999</v>
      </c>
      <c r="I1386" s="96">
        <f t="shared" si="84"/>
        <v>161.72</v>
      </c>
      <c r="J1386" s="91" t="str">
        <f t="shared" si="85"/>
        <v>Sinapi 100434</v>
      </c>
      <c r="K1386" s="91" t="str">
        <f t="shared" si="86"/>
        <v>M</v>
      </c>
      <c r="L1386" s="166" t="str">
        <f t="shared" si="87"/>
        <v>07/2019</v>
      </c>
      <c r="M1386" s="82"/>
      <c r="N1386" s="82"/>
    </row>
    <row r="1387" spans="1:14" x14ac:dyDescent="0.25">
      <c r="A1387" s="170" t="s">
        <v>4185</v>
      </c>
      <c r="B1387" s="170" t="s">
        <v>4186</v>
      </c>
      <c r="C1387" s="170" t="s">
        <v>385</v>
      </c>
      <c r="D1387" s="170" t="s">
        <v>1947</v>
      </c>
      <c r="E1387" s="171" t="s">
        <v>32109</v>
      </c>
      <c r="F1387" s="171" t="s">
        <v>35404</v>
      </c>
      <c r="G1387" s="82"/>
      <c r="H1387" s="96">
        <f t="shared" si="84"/>
        <v>84.79</v>
      </c>
      <c r="I1387" s="96">
        <f t="shared" si="84"/>
        <v>85.45</v>
      </c>
      <c r="J1387" s="91" t="str">
        <f t="shared" si="85"/>
        <v>Sinapi 100435</v>
      </c>
      <c r="K1387" s="91" t="str">
        <f t="shared" si="86"/>
        <v>M</v>
      </c>
      <c r="L1387" s="166" t="str">
        <f t="shared" si="87"/>
        <v>07/2019</v>
      </c>
      <c r="M1387" s="82"/>
      <c r="N1387" s="82"/>
    </row>
    <row r="1388" spans="1:14" x14ac:dyDescent="0.25">
      <c r="A1388" s="170" t="s">
        <v>4188</v>
      </c>
      <c r="B1388" s="170" t="s">
        <v>4189</v>
      </c>
      <c r="C1388" s="170" t="s">
        <v>385</v>
      </c>
      <c r="D1388" s="170" t="s">
        <v>1947</v>
      </c>
      <c r="E1388" s="171" t="s">
        <v>28040</v>
      </c>
      <c r="F1388" s="171" t="s">
        <v>35405</v>
      </c>
      <c r="G1388" s="82"/>
      <c r="H1388" s="96">
        <f t="shared" si="84"/>
        <v>65.8</v>
      </c>
      <c r="I1388" s="96">
        <f t="shared" si="84"/>
        <v>66.930000000000007</v>
      </c>
      <c r="J1388" s="91" t="str">
        <f t="shared" si="85"/>
        <v>Sinapi 94227</v>
      </c>
      <c r="K1388" s="91" t="str">
        <f t="shared" si="86"/>
        <v>M</v>
      </c>
      <c r="L1388" s="166" t="str">
        <f t="shared" si="87"/>
        <v>07/2019</v>
      </c>
      <c r="M1388" s="82"/>
      <c r="N1388" s="82"/>
    </row>
    <row r="1389" spans="1:14" x14ac:dyDescent="0.25">
      <c r="A1389" s="170" t="s">
        <v>4190</v>
      </c>
      <c r="B1389" s="170" t="s">
        <v>4191</v>
      </c>
      <c r="C1389" s="170" t="s">
        <v>385</v>
      </c>
      <c r="D1389" s="170" t="s">
        <v>1947</v>
      </c>
      <c r="E1389" s="171" t="s">
        <v>29134</v>
      </c>
      <c r="F1389" s="171" t="s">
        <v>35406</v>
      </c>
      <c r="G1389" s="82"/>
      <c r="H1389" s="96">
        <f t="shared" si="84"/>
        <v>88.84</v>
      </c>
      <c r="I1389" s="96">
        <f t="shared" si="84"/>
        <v>90.4</v>
      </c>
      <c r="J1389" s="91" t="str">
        <f t="shared" si="85"/>
        <v>Sinapi 94228</v>
      </c>
      <c r="K1389" s="91" t="str">
        <f t="shared" si="86"/>
        <v>M</v>
      </c>
      <c r="L1389" s="166" t="str">
        <f t="shared" si="87"/>
        <v>07/2019</v>
      </c>
      <c r="M1389" s="82"/>
      <c r="N1389" s="82"/>
    </row>
    <row r="1390" spans="1:14" x14ac:dyDescent="0.25">
      <c r="A1390" s="170" t="s">
        <v>4192</v>
      </c>
      <c r="B1390" s="170" t="s">
        <v>4193</v>
      </c>
      <c r="C1390" s="170" t="s">
        <v>385</v>
      </c>
      <c r="D1390" s="170" t="s">
        <v>1947</v>
      </c>
      <c r="E1390" s="171" t="s">
        <v>32110</v>
      </c>
      <c r="F1390" s="171" t="s">
        <v>35407</v>
      </c>
      <c r="G1390" s="82"/>
      <c r="H1390" s="96">
        <f t="shared" si="84"/>
        <v>172.12</v>
      </c>
      <c r="I1390" s="96">
        <f t="shared" si="84"/>
        <v>174.89</v>
      </c>
      <c r="J1390" s="91" t="str">
        <f t="shared" si="85"/>
        <v>Sinapi 94229</v>
      </c>
      <c r="K1390" s="91" t="str">
        <f t="shared" si="86"/>
        <v>M</v>
      </c>
      <c r="L1390" s="166" t="str">
        <f t="shared" si="87"/>
        <v>07/2019</v>
      </c>
      <c r="M1390" s="82"/>
      <c r="N1390" s="82"/>
    </row>
    <row r="1391" spans="1:14" x14ac:dyDescent="0.25">
      <c r="A1391" s="170" t="s">
        <v>4194</v>
      </c>
      <c r="B1391" s="170" t="s">
        <v>4195</v>
      </c>
      <c r="C1391" s="170" t="s">
        <v>385</v>
      </c>
      <c r="D1391" s="170" t="s">
        <v>1947</v>
      </c>
      <c r="E1391" s="171" t="s">
        <v>32111</v>
      </c>
      <c r="F1391" s="171" t="s">
        <v>21518</v>
      </c>
      <c r="G1391" s="82"/>
      <c r="H1391" s="96">
        <f t="shared" si="84"/>
        <v>54.18</v>
      </c>
      <c r="I1391" s="96">
        <f t="shared" si="84"/>
        <v>54.97</v>
      </c>
      <c r="J1391" s="91" t="str">
        <f t="shared" si="85"/>
        <v>Sinapi 94231</v>
      </c>
      <c r="K1391" s="91" t="str">
        <f t="shared" si="86"/>
        <v>M</v>
      </c>
      <c r="L1391" s="166" t="str">
        <f t="shared" si="87"/>
        <v>07/2019</v>
      </c>
      <c r="M1391" s="82"/>
      <c r="N1391" s="82"/>
    </row>
    <row r="1392" spans="1:14" x14ac:dyDescent="0.25">
      <c r="A1392" s="170" t="s">
        <v>4196</v>
      </c>
      <c r="B1392" s="170" t="s">
        <v>4197</v>
      </c>
      <c r="C1392" s="170" t="s">
        <v>870</v>
      </c>
      <c r="D1392" s="170" t="s">
        <v>1947</v>
      </c>
      <c r="E1392" s="171" t="s">
        <v>28526</v>
      </c>
      <c r="F1392" s="171" t="s">
        <v>21984</v>
      </c>
      <c r="G1392" s="82"/>
      <c r="H1392" s="96">
        <f t="shared" si="84"/>
        <v>77.09</v>
      </c>
      <c r="I1392" s="96">
        <f t="shared" si="84"/>
        <v>77.739999999999995</v>
      </c>
      <c r="J1392" s="91" t="str">
        <f t="shared" si="85"/>
        <v>Sinapi 94449</v>
      </c>
      <c r="K1392" s="91" t="str">
        <f t="shared" si="86"/>
        <v>M2</v>
      </c>
      <c r="L1392" s="166" t="str">
        <f t="shared" si="87"/>
        <v>07/2019</v>
      </c>
      <c r="M1392" s="82"/>
      <c r="N1392" s="82"/>
    </row>
    <row r="1393" spans="1:14" x14ac:dyDescent="0.25">
      <c r="A1393" s="170" t="s">
        <v>4198</v>
      </c>
      <c r="B1393" s="170" t="s">
        <v>4199</v>
      </c>
      <c r="C1393" s="170" t="s">
        <v>205</v>
      </c>
      <c r="D1393" s="170" t="s">
        <v>1947</v>
      </c>
      <c r="E1393" s="171" t="s">
        <v>32112</v>
      </c>
      <c r="F1393" s="171" t="s">
        <v>35408</v>
      </c>
      <c r="G1393" s="82"/>
      <c r="H1393" s="96">
        <f t="shared" si="84"/>
        <v>174.87</v>
      </c>
      <c r="I1393" s="96">
        <f t="shared" si="84"/>
        <v>184.57</v>
      </c>
      <c r="J1393" s="91" t="str">
        <f t="shared" si="85"/>
        <v>Sinapi 92255</v>
      </c>
      <c r="K1393" s="91" t="str">
        <f t="shared" si="86"/>
        <v>UN</v>
      </c>
      <c r="L1393" s="166" t="str">
        <f t="shared" si="87"/>
        <v>07/2019</v>
      </c>
      <c r="M1393" s="82"/>
      <c r="N1393" s="82"/>
    </row>
    <row r="1394" spans="1:14" x14ac:dyDescent="0.25">
      <c r="A1394" s="170" t="s">
        <v>4200</v>
      </c>
      <c r="B1394" s="170" t="s">
        <v>4201</v>
      </c>
      <c r="C1394" s="170" t="s">
        <v>205</v>
      </c>
      <c r="D1394" s="170" t="s">
        <v>1947</v>
      </c>
      <c r="E1394" s="171" t="s">
        <v>32113</v>
      </c>
      <c r="F1394" s="171" t="s">
        <v>35409</v>
      </c>
      <c r="G1394" s="82"/>
      <c r="H1394" s="96">
        <f t="shared" si="84"/>
        <v>211.6</v>
      </c>
      <c r="I1394" s="96">
        <f t="shared" si="84"/>
        <v>225.57</v>
      </c>
      <c r="J1394" s="91" t="str">
        <f t="shared" si="85"/>
        <v>Sinapi 92256</v>
      </c>
      <c r="K1394" s="91" t="str">
        <f t="shared" si="86"/>
        <v>UN</v>
      </c>
      <c r="L1394" s="166" t="str">
        <f t="shared" si="87"/>
        <v>07/2019</v>
      </c>
      <c r="M1394" s="82"/>
      <c r="N1394" s="82"/>
    </row>
    <row r="1395" spans="1:14" x14ac:dyDescent="0.25">
      <c r="A1395" s="170" t="s">
        <v>4202</v>
      </c>
      <c r="B1395" s="170" t="s">
        <v>4203</v>
      </c>
      <c r="C1395" s="170" t="s">
        <v>205</v>
      </c>
      <c r="D1395" s="170" t="s">
        <v>1947</v>
      </c>
      <c r="E1395" s="171" t="s">
        <v>32114</v>
      </c>
      <c r="F1395" s="171" t="s">
        <v>28755</v>
      </c>
      <c r="G1395" s="82"/>
      <c r="H1395" s="96">
        <f t="shared" si="84"/>
        <v>247.95</v>
      </c>
      <c r="I1395" s="96">
        <f t="shared" si="84"/>
        <v>266.11</v>
      </c>
      <c r="J1395" s="91" t="str">
        <f t="shared" si="85"/>
        <v>Sinapi 92257</v>
      </c>
      <c r="K1395" s="91" t="str">
        <f t="shared" si="86"/>
        <v>UN</v>
      </c>
      <c r="L1395" s="166" t="str">
        <f t="shared" si="87"/>
        <v>07/2019</v>
      </c>
      <c r="M1395" s="82"/>
      <c r="N1395" s="82"/>
    </row>
    <row r="1396" spans="1:14" x14ac:dyDescent="0.25">
      <c r="A1396" s="170" t="s">
        <v>4204</v>
      </c>
      <c r="B1396" s="170" t="s">
        <v>4205</v>
      </c>
      <c r="C1396" s="170" t="s">
        <v>205</v>
      </c>
      <c r="D1396" s="170" t="s">
        <v>1947</v>
      </c>
      <c r="E1396" s="171" t="s">
        <v>32115</v>
      </c>
      <c r="F1396" s="171" t="s">
        <v>29808</v>
      </c>
      <c r="G1396" s="82"/>
      <c r="H1396" s="96">
        <f t="shared" si="84"/>
        <v>306.39999999999998</v>
      </c>
      <c r="I1396" s="96">
        <f t="shared" si="84"/>
        <v>331.32</v>
      </c>
      <c r="J1396" s="91" t="str">
        <f t="shared" si="85"/>
        <v>Sinapi 92258</v>
      </c>
      <c r="K1396" s="91" t="str">
        <f t="shared" si="86"/>
        <v>UN</v>
      </c>
      <c r="L1396" s="166" t="str">
        <f t="shared" si="87"/>
        <v>07/2019</v>
      </c>
      <c r="M1396" s="82"/>
      <c r="N1396" s="82"/>
    </row>
    <row r="1397" spans="1:14" x14ac:dyDescent="0.25">
      <c r="A1397" s="170" t="s">
        <v>4206</v>
      </c>
      <c r="B1397" s="170" t="s">
        <v>4207</v>
      </c>
      <c r="C1397" s="170" t="s">
        <v>870</v>
      </c>
      <c r="D1397" s="170" t="s">
        <v>1947</v>
      </c>
      <c r="E1397" s="171" t="s">
        <v>32116</v>
      </c>
      <c r="F1397" s="171" t="s">
        <v>35410</v>
      </c>
      <c r="G1397" s="82"/>
      <c r="H1397" s="96">
        <f t="shared" si="84"/>
        <v>153.09</v>
      </c>
      <c r="I1397" s="96">
        <f t="shared" si="84"/>
        <v>154.36000000000001</v>
      </c>
      <c r="J1397" s="91" t="str">
        <f t="shared" si="85"/>
        <v>Sinapi 92568</v>
      </c>
      <c r="K1397" s="91" t="str">
        <f t="shared" si="86"/>
        <v>M2</v>
      </c>
      <c r="L1397" s="166" t="str">
        <f t="shared" si="87"/>
        <v>07/2019</v>
      </c>
      <c r="M1397" s="82"/>
      <c r="N1397" s="82"/>
    </row>
    <row r="1398" spans="1:14" x14ac:dyDescent="0.25">
      <c r="A1398" s="170" t="s">
        <v>4208</v>
      </c>
      <c r="B1398" s="170" t="s">
        <v>4209</v>
      </c>
      <c r="C1398" s="170" t="s">
        <v>870</v>
      </c>
      <c r="D1398" s="170" t="s">
        <v>1947</v>
      </c>
      <c r="E1398" s="171" t="s">
        <v>23214</v>
      </c>
      <c r="F1398" s="171" t="s">
        <v>35411</v>
      </c>
      <c r="G1398" s="82"/>
      <c r="H1398" s="96">
        <f t="shared" si="84"/>
        <v>86.09</v>
      </c>
      <c r="I1398" s="96">
        <f t="shared" si="84"/>
        <v>86.65</v>
      </c>
      <c r="J1398" s="91" t="str">
        <f t="shared" si="85"/>
        <v>Sinapi 92569</v>
      </c>
      <c r="K1398" s="91" t="str">
        <f t="shared" si="86"/>
        <v>M2</v>
      </c>
      <c r="L1398" s="166" t="str">
        <f t="shared" si="87"/>
        <v>07/2019</v>
      </c>
      <c r="M1398" s="82"/>
      <c r="N1398" s="82"/>
    </row>
    <row r="1399" spans="1:14" x14ac:dyDescent="0.25">
      <c r="A1399" s="170" t="s">
        <v>4210</v>
      </c>
      <c r="B1399" s="170" t="s">
        <v>4211</v>
      </c>
      <c r="C1399" s="170" t="s">
        <v>870</v>
      </c>
      <c r="D1399" s="170" t="s">
        <v>1947</v>
      </c>
      <c r="E1399" s="171" t="s">
        <v>25628</v>
      </c>
      <c r="F1399" s="171" t="s">
        <v>35412</v>
      </c>
      <c r="G1399" s="82"/>
      <c r="H1399" s="96">
        <f t="shared" si="84"/>
        <v>55.05</v>
      </c>
      <c r="I1399" s="96">
        <f t="shared" si="84"/>
        <v>55.32</v>
      </c>
      <c r="J1399" s="91" t="str">
        <f t="shared" si="85"/>
        <v>Sinapi 92570</v>
      </c>
      <c r="K1399" s="91" t="str">
        <f t="shared" si="86"/>
        <v>M2</v>
      </c>
      <c r="L1399" s="166" t="str">
        <f t="shared" si="87"/>
        <v>07/2019</v>
      </c>
      <c r="M1399" s="82"/>
      <c r="N1399" s="82"/>
    </row>
    <row r="1400" spans="1:14" x14ac:dyDescent="0.25">
      <c r="A1400" s="170" t="s">
        <v>4212</v>
      </c>
      <c r="B1400" s="170" t="s">
        <v>4213</v>
      </c>
      <c r="C1400" s="170" t="s">
        <v>870</v>
      </c>
      <c r="D1400" s="170" t="s">
        <v>1947</v>
      </c>
      <c r="E1400" s="171" t="s">
        <v>32117</v>
      </c>
      <c r="F1400" s="171" t="s">
        <v>32225</v>
      </c>
      <c r="G1400" s="82"/>
      <c r="H1400" s="96">
        <f t="shared" si="84"/>
        <v>160.61000000000001</v>
      </c>
      <c r="I1400" s="96">
        <f t="shared" si="84"/>
        <v>162.6</v>
      </c>
      <c r="J1400" s="91" t="str">
        <f t="shared" si="85"/>
        <v>Sinapi 92571</v>
      </c>
      <c r="K1400" s="91" t="str">
        <f t="shared" si="86"/>
        <v>M2</v>
      </c>
      <c r="L1400" s="166" t="str">
        <f t="shared" si="87"/>
        <v>07/2019</v>
      </c>
      <c r="M1400" s="82"/>
      <c r="N1400" s="82"/>
    </row>
    <row r="1401" spans="1:14" x14ac:dyDescent="0.25">
      <c r="A1401" s="170" t="s">
        <v>4214</v>
      </c>
      <c r="B1401" s="170" t="s">
        <v>4215</v>
      </c>
      <c r="C1401" s="170" t="s">
        <v>870</v>
      </c>
      <c r="D1401" s="170" t="s">
        <v>1947</v>
      </c>
      <c r="E1401" s="171" t="s">
        <v>29862</v>
      </c>
      <c r="F1401" s="171" t="s">
        <v>35413</v>
      </c>
      <c r="G1401" s="82"/>
      <c r="H1401" s="96">
        <f t="shared" si="84"/>
        <v>97.3</v>
      </c>
      <c r="I1401" s="96">
        <f t="shared" si="84"/>
        <v>98.32</v>
      </c>
      <c r="J1401" s="91" t="str">
        <f t="shared" si="85"/>
        <v>Sinapi 92572</v>
      </c>
      <c r="K1401" s="91" t="str">
        <f t="shared" si="86"/>
        <v>M2</v>
      </c>
      <c r="L1401" s="166" t="str">
        <f t="shared" si="87"/>
        <v>07/2019</v>
      </c>
      <c r="M1401" s="82"/>
      <c r="N1401" s="82"/>
    </row>
    <row r="1402" spans="1:14" x14ac:dyDescent="0.25">
      <c r="A1402" s="170" t="s">
        <v>4216</v>
      </c>
      <c r="B1402" s="170" t="s">
        <v>4217</v>
      </c>
      <c r="C1402" s="170" t="s">
        <v>870</v>
      </c>
      <c r="D1402" s="170" t="s">
        <v>1947</v>
      </c>
      <c r="E1402" s="171" t="s">
        <v>29102</v>
      </c>
      <c r="F1402" s="171" t="s">
        <v>28733</v>
      </c>
      <c r="G1402" s="82"/>
      <c r="H1402" s="96">
        <f t="shared" si="84"/>
        <v>58.17</v>
      </c>
      <c r="I1402" s="96">
        <f t="shared" si="84"/>
        <v>58.77</v>
      </c>
      <c r="J1402" s="91" t="str">
        <f t="shared" si="85"/>
        <v>Sinapi 92573</v>
      </c>
      <c r="K1402" s="91" t="str">
        <f t="shared" si="86"/>
        <v>M2</v>
      </c>
      <c r="L1402" s="166" t="str">
        <f t="shared" si="87"/>
        <v>07/2019</v>
      </c>
      <c r="M1402" s="82"/>
      <c r="N1402" s="82"/>
    </row>
    <row r="1403" spans="1:14" x14ac:dyDescent="0.25">
      <c r="A1403" s="170" t="s">
        <v>4218</v>
      </c>
      <c r="B1403" s="170" t="s">
        <v>4219</v>
      </c>
      <c r="C1403" s="170" t="s">
        <v>870</v>
      </c>
      <c r="D1403" s="170" t="s">
        <v>1947</v>
      </c>
      <c r="E1403" s="171" t="s">
        <v>32118</v>
      </c>
      <c r="F1403" s="171" t="s">
        <v>35414</v>
      </c>
      <c r="G1403" s="82"/>
      <c r="H1403" s="96">
        <f t="shared" si="84"/>
        <v>155.31</v>
      </c>
      <c r="I1403" s="96">
        <f t="shared" si="84"/>
        <v>156.69</v>
      </c>
      <c r="J1403" s="91" t="str">
        <f t="shared" si="85"/>
        <v>Sinapi 92574</v>
      </c>
      <c r="K1403" s="91" t="str">
        <f t="shared" si="86"/>
        <v>M2</v>
      </c>
      <c r="L1403" s="166" t="str">
        <f t="shared" si="87"/>
        <v>07/2019</v>
      </c>
      <c r="M1403" s="82"/>
      <c r="N1403" s="82"/>
    </row>
    <row r="1404" spans="1:14" x14ac:dyDescent="0.25">
      <c r="A1404" s="170" t="s">
        <v>4220</v>
      </c>
      <c r="B1404" s="170" t="s">
        <v>4221</v>
      </c>
      <c r="C1404" s="170" t="s">
        <v>870</v>
      </c>
      <c r="D1404" s="170" t="s">
        <v>1947</v>
      </c>
      <c r="E1404" s="171" t="s">
        <v>32119</v>
      </c>
      <c r="F1404" s="171" t="s">
        <v>23259</v>
      </c>
      <c r="G1404" s="82"/>
      <c r="H1404" s="96">
        <f t="shared" si="84"/>
        <v>78.599999999999994</v>
      </c>
      <c r="I1404" s="96">
        <f t="shared" si="84"/>
        <v>79.14</v>
      </c>
      <c r="J1404" s="91" t="str">
        <f t="shared" si="85"/>
        <v>Sinapi 92575</v>
      </c>
      <c r="K1404" s="91" t="str">
        <f t="shared" si="86"/>
        <v>M2</v>
      </c>
      <c r="L1404" s="166" t="str">
        <f t="shared" si="87"/>
        <v>07/2019</v>
      </c>
      <c r="M1404" s="82"/>
      <c r="N1404" s="82"/>
    </row>
    <row r="1405" spans="1:14" x14ac:dyDescent="0.25">
      <c r="A1405" s="170" t="s">
        <v>4222</v>
      </c>
      <c r="B1405" s="170" t="s">
        <v>4223</v>
      </c>
      <c r="C1405" s="170" t="s">
        <v>870</v>
      </c>
      <c r="D1405" s="170" t="s">
        <v>1947</v>
      </c>
      <c r="E1405" s="171" t="s">
        <v>32120</v>
      </c>
      <c r="F1405" s="171" t="s">
        <v>29107</v>
      </c>
      <c r="G1405" s="82"/>
      <c r="H1405" s="96">
        <f t="shared" si="84"/>
        <v>43.45</v>
      </c>
      <c r="I1405" s="96">
        <f t="shared" si="84"/>
        <v>43.66</v>
      </c>
      <c r="J1405" s="91" t="str">
        <f t="shared" si="85"/>
        <v>Sinapi 92576</v>
      </c>
      <c r="K1405" s="91" t="str">
        <f t="shared" si="86"/>
        <v>M2</v>
      </c>
      <c r="L1405" s="166" t="str">
        <f t="shared" si="87"/>
        <v>07/2019</v>
      </c>
      <c r="M1405" s="82"/>
      <c r="N1405" s="82"/>
    </row>
    <row r="1406" spans="1:14" x14ac:dyDescent="0.25">
      <c r="A1406" s="170" t="s">
        <v>4224</v>
      </c>
      <c r="B1406" s="170" t="s">
        <v>4225</v>
      </c>
      <c r="C1406" s="170" t="s">
        <v>870</v>
      </c>
      <c r="D1406" s="170" t="s">
        <v>1947</v>
      </c>
      <c r="E1406" s="171" t="s">
        <v>32121</v>
      </c>
      <c r="F1406" s="171" t="s">
        <v>35415</v>
      </c>
      <c r="G1406" s="82"/>
      <c r="H1406" s="96">
        <f t="shared" si="84"/>
        <v>163.41</v>
      </c>
      <c r="I1406" s="96">
        <f t="shared" si="84"/>
        <v>165.5</v>
      </c>
      <c r="J1406" s="91" t="str">
        <f t="shared" si="85"/>
        <v>Sinapi 92577</v>
      </c>
      <c r="K1406" s="91" t="str">
        <f t="shared" si="86"/>
        <v>M2</v>
      </c>
      <c r="L1406" s="166" t="str">
        <f t="shared" si="87"/>
        <v>07/2019</v>
      </c>
      <c r="M1406" s="82"/>
      <c r="N1406" s="82"/>
    </row>
    <row r="1407" spans="1:14" x14ac:dyDescent="0.25">
      <c r="A1407" s="170" t="s">
        <v>4226</v>
      </c>
      <c r="B1407" s="170" t="s">
        <v>4227</v>
      </c>
      <c r="C1407" s="170" t="s">
        <v>870</v>
      </c>
      <c r="D1407" s="170" t="s">
        <v>1947</v>
      </c>
      <c r="E1407" s="171" t="s">
        <v>29014</v>
      </c>
      <c r="F1407" s="171" t="s">
        <v>35416</v>
      </c>
      <c r="G1407" s="82"/>
      <c r="H1407" s="96">
        <f t="shared" si="84"/>
        <v>83.07</v>
      </c>
      <c r="I1407" s="96">
        <f t="shared" si="84"/>
        <v>84.03</v>
      </c>
      <c r="J1407" s="91" t="str">
        <f t="shared" si="85"/>
        <v>Sinapi 92578</v>
      </c>
      <c r="K1407" s="91" t="str">
        <f t="shared" si="86"/>
        <v>M2</v>
      </c>
      <c r="L1407" s="166" t="str">
        <f t="shared" si="87"/>
        <v>07/2019</v>
      </c>
      <c r="M1407" s="82"/>
      <c r="N1407" s="82"/>
    </row>
    <row r="1408" spans="1:14" x14ac:dyDescent="0.25">
      <c r="A1408" s="170" t="s">
        <v>4228</v>
      </c>
      <c r="B1408" s="170" t="s">
        <v>4229</v>
      </c>
      <c r="C1408" s="170" t="s">
        <v>870</v>
      </c>
      <c r="D1408" s="170" t="s">
        <v>1947</v>
      </c>
      <c r="E1408" s="171" t="s">
        <v>21977</v>
      </c>
      <c r="F1408" s="171" t="s">
        <v>25407</v>
      </c>
      <c r="G1408" s="82"/>
      <c r="H1408" s="96">
        <f t="shared" si="84"/>
        <v>45.95</v>
      </c>
      <c r="I1408" s="96">
        <f t="shared" si="84"/>
        <v>46.43</v>
      </c>
      <c r="J1408" s="91" t="str">
        <f t="shared" si="85"/>
        <v>Sinapi 92579</v>
      </c>
      <c r="K1408" s="91" t="str">
        <f t="shared" si="86"/>
        <v>M2</v>
      </c>
      <c r="L1408" s="166" t="str">
        <f t="shared" si="87"/>
        <v>07/2019</v>
      </c>
      <c r="M1408" s="82"/>
      <c r="N1408" s="82"/>
    </row>
    <row r="1409" spans="1:14" x14ac:dyDescent="0.25">
      <c r="A1409" s="170" t="s">
        <v>4230</v>
      </c>
      <c r="B1409" s="170" t="s">
        <v>4231</v>
      </c>
      <c r="C1409" s="170" t="s">
        <v>870</v>
      </c>
      <c r="D1409" s="170" t="s">
        <v>1947</v>
      </c>
      <c r="E1409" s="171" t="s">
        <v>32122</v>
      </c>
      <c r="F1409" s="171" t="s">
        <v>29418</v>
      </c>
      <c r="G1409" s="82"/>
      <c r="H1409" s="96">
        <f t="shared" si="84"/>
        <v>56.86</v>
      </c>
      <c r="I1409" s="96">
        <f t="shared" si="84"/>
        <v>57.62</v>
      </c>
      <c r="J1409" s="91" t="str">
        <f t="shared" si="85"/>
        <v>Sinapi 92580</v>
      </c>
      <c r="K1409" s="91" t="str">
        <f t="shared" si="86"/>
        <v>M2</v>
      </c>
      <c r="L1409" s="166" t="str">
        <f t="shared" si="87"/>
        <v>07/2019</v>
      </c>
      <c r="M1409" s="82"/>
      <c r="N1409" s="82"/>
    </row>
    <row r="1410" spans="1:14" x14ac:dyDescent="0.25">
      <c r="A1410" s="170" t="s">
        <v>4232</v>
      </c>
      <c r="B1410" s="170" t="s">
        <v>4233</v>
      </c>
      <c r="C1410" s="170" t="s">
        <v>870</v>
      </c>
      <c r="D1410" s="170" t="s">
        <v>1947</v>
      </c>
      <c r="E1410" s="171" t="s">
        <v>31071</v>
      </c>
      <c r="F1410" s="171" t="s">
        <v>24503</v>
      </c>
      <c r="G1410" s="82"/>
      <c r="H1410" s="96">
        <f t="shared" si="84"/>
        <v>59.66</v>
      </c>
      <c r="I1410" s="96">
        <f t="shared" si="84"/>
        <v>60.36</v>
      </c>
      <c r="J1410" s="91" t="str">
        <f t="shared" si="85"/>
        <v>Sinapi 92581</v>
      </c>
      <c r="K1410" s="91" t="str">
        <f t="shared" si="86"/>
        <v>M2</v>
      </c>
      <c r="L1410" s="166" t="str">
        <f t="shared" si="87"/>
        <v>07/2019</v>
      </c>
      <c r="M1410" s="82"/>
      <c r="N1410" s="82"/>
    </row>
    <row r="1411" spans="1:14" x14ac:dyDescent="0.25">
      <c r="A1411" s="170" t="s">
        <v>4234</v>
      </c>
      <c r="B1411" s="170" t="s">
        <v>4235</v>
      </c>
      <c r="C1411" s="170" t="s">
        <v>205</v>
      </c>
      <c r="D1411" s="170" t="s">
        <v>1947</v>
      </c>
      <c r="E1411" s="171" t="s">
        <v>32123</v>
      </c>
      <c r="F1411" s="171" t="s">
        <v>35417</v>
      </c>
      <c r="G1411" s="82"/>
      <c r="H1411" s="96">
        <f t="shared" si="84"/>
        <v>802.8</v>
      </c>
      <c r="I1411" s="96">
        <f t="shared" si="84"/>
        <v>816.54</v>
      </c>
      <c r="J1411" s="91" t="str">
        <f t="shared" si="85"/>
        <v>Sinapi 92582</v>
      </c>
      <c r="K1411" s="91" t="str">
        <f t="shared" si="86"/>
        <v>UN</v>
      </c>
      <c r="L1411" s="166" t="str">
        <f t="shared" si="87"/>
        <v>12/2015</v>
      </c>
      <c r="M1411" s="82"/>
      <c r="N1411" s="82"/>
    </row>
    <row r="1412" spans="1:14" x14ac:dyDescent="0.25">
      <c r="A1412" s="170" t="s">
        <v>4236</v>
      </c>
      <c r="B1412" s="170" t="s">
        <v>4237</v>
      </c>
      <c r="C1412" s="170" t="s">
        <v>205</v>
      </c>
      <c r="D1412" s="170" t="s">
        <v>1947</v>
      </c>
      <c r="E1412" s="171" t="s">
        <v>32124</v>
      </c>
      <c r="F1412" s="171" t="s">
        <v>35418</v>
      </c>
      <c r="G1412" s="82"/>
      <c r="H1412" s="96">
        <f t="shared" si="84"/>
        <v>953.63</v>
      </c>
      <c r="I1412" s="96">
        <f t="shared" si="84"/>
        <v>967.37</v>
      </c>
      <c r="J1412" s="91" t="str">
        <f t="shared" si="85"/>
        <v>Sinapi 92584</v>
      </c>
      <c r="K1412" s="91" t="str">
        <f t="shared" si="86"/>
        <v>UN</v>
      </c>
      <c r="L1412" s="166" t="str">
        <f t="shared" si="87"/>
        <v>12/2015</v>
      </c>
      <c r="M1412" s="82"/>
      <c r="N1412" s="82"/>
    </row>
    <row r="1413" spans="1:14" x14ac:dyDescent="0.25">
      <c r="A1413" s="170" t="s">
        <v>4238</v>
      </c>
      <c r="B1413" s="170" t="s">
        <v>4239</v>
      </c>
      <c r="C1413" s="170" t="s">
        <v>205</v>
      </c>
      <c r="D1413" s="170" t="s">
        <v>1947</v>
      </c>
      <c r="E1413" s="171" t="s">
        <v>32125</v>
      </c>
      <c r="F1413" s="171" t="s">
        <v>35419</v>
      </c>
      <c r="G1413" s="82"/>
      <c r="H1413" s="96">
        <f t="shared" si="84"/>
        <v>1104.45</v>
      </c>
      <c r="I1413" s="96">
        <f t="shared" si="84"/>
        <v>1118.19</v>
      </c>
      <c r="J1413" s="91" t="str">
        <f t="shared" si="85"/>
        <v>Sinapi 92586</v>
      </c>
      <c r="K1413" s="91" t="str">
        <f t="shared" si="86"/>
        <v>UN</v>
      </c>
      <c r="L1413" s="166" t="str">
        <f t="shared" si="87"/>
        <v>12/2015</v>
      </c>
      <c r="M1413" s="82"/>
      <c r="N1413" s="82"/>
    </row>
    <row r="1414" spans="1:14" x14ac:dyDescent="0.25">
      <c r="A1414" s="170" t="s">
        <v>4240</v>
      </c>
      <c r="B1414" s="170" t="s">
        <v>4241</v>
      </c>
      <c r="C1414" s="170" t="s">
        <v>205</v>
      </c>
      <c r="D1414" s="170" t="s">
        <v>1947</v>
      </c>
      <c r="E1414" s="171" t="s">
        <v>32126</v>
      </c>
      <c r="F1414" s="171" t="s">
        <v>35420</v>
      </c>
      <c r="G1414" s="82"/>
      <c r="H1414" s="96">
        <f t="shared" si="84"/>
        <v>1390.16</v>
      </c>
      <c r="I1414" s="96">
        <f t="shared" si="84"/>
        <v>1410.18</v>
      </c>
      <c r="J1414" s="91" t="str">
        <f t="shared" si="85"/>
        <v>Sinapi 92588</v>
      </c>
      <c r="K1414" s="91" t="str">
        <f t="shared" si="86"/>
        <v>UN</v>
      </c>
      <c r="L1414" s="166" t="str">
        <f t="shared" si="87"/>
        <v>12/2015</v>
      </c>
      <c r="M1414" s="82"/>
      <c r="N1414" s="82"/>
    </row>
    <row r="1415" spans="1:14" x14ac:dyDescent="0.25">
      <c r="A1415" s="170" t="s">
        <v>4242</v>
      </c>
      <c r="B1415" s="170" t="s">
        <v>4243</v>
      </c>
      <c r="C1415" s="170" t="s">
        <v>205</v>
      </c>
      <c r="D1415" s="170" t="s">
        <v>1947</v>
      </c>
      <c r="E1415" s="171" t="s">
        <v>32127</v>
      </c>
      <c r="F1415" s="171" t="s">
        <v>35421</v>
      </c>
      <c r="G1415" s="82"/>
      <c r="H1415" s="96">
        <f t="shared" si="84"/>
        <v>1540.98</v>
      </c>
      <c r="I1415" s="96">
        <f t="shared" si="84"/>
        <v>1561</v>
      </c>
      <c r="J1415" s="91" t="str">
        <f t="shared" si="85"/>
        <v>Sinapi 92590</v>
      </c>
      <c r="K1415" s="91" t="str">
        <f t="shared" si="86"/>
        <v>UN</v>
      </c>
      <c r="L1415" s="166" t="str">
        <f t="shared" si="87"/>
        <v>12/2015</v>
      </c>
      <c r="M1415" s="82"/>
      <c r="N1415" s="82"/>
    </row>
    <row r="1416" spans="1:14" x14ac:dyDescent="0.25">
      <c r="A1416" s="170" t="s">
        <v>4244</v>
      </c>
      <c r="B1416" s="170" t="s">
        <v>4245</v>
      </c>
      <c r="C1416" s="170" t="s">
        <v>205</v>
      </c>
      <c r="D1416" s="170" t="s">
        <v>1947</v>
      </c>
      <c r="E1416" s="171" t="s">
        <v>32128</v>
      </c>
      <c r="F1416" s="171" t="s">
        <v>35422</v>
      </c>
      <c r="G1416" s="82"/>
      <c r="H1416" s="96">
        <f t="shared" ref="H1416:I1479" si="88">IF(E1416="","",E1416+0)</f>
        <v>1728.16</v>
      </c>
      <c r="I1416" s="96">
        <f t="shared" si="88"/>
        <v>1752.37</v>
      </c>
      <c r="J1416" s="91" t="str">
        <f t="shared" ref="J1416:J1479" si="89">IF(OR(H1416="",I1416=""),"",TRIM(CONCATENATE("Sinapi ",A1416)))</f>
        <v>Sinapi 92592</v>
      </c>
      <c r="K1416" s="91" t="str">
        <f t="shared" ref="K1416:K1479" si="90">TRIM(C1416)</f>
        <v>UN</v>
      </c>
      <c r="L1416" s="166" t="str">
        <f t="shared" ref="L1416:L1479" si="91">IF(OR(RIGHT(IF(AND(K1416&lt;&gt;"H",K1416&lt;&gt;"MES"),RIGHT(B1416,7),""),2)="PS",RIGHT(IF(AND(K1416&lt;&gt;"H",K1416&lt;&gt;"MES"),RIGHT(B1416,7),""),2)="PA",RIGHT(IF(AND(K1416&lt;&gt;"H",K1416&lt;&gt;"MES"),RIGHT(B1416,7),""),2)="PE"),LEFT(IF(AND(K1416&lt;&gt;"H",K1416&lt;&gt;"MES"),RIGHT(B1416,10),""),7),IF(AND(K1416&lt;&gt;"H",K1416&lt;&gt;"MES"),RIGHT(B1416,7),""))</f>
        <v>12/2015</v>
      </c>
      <c r="M1416" s="82"/>
      <c r="N1416" s="82"/>
    </row>
    <row r="1417" spans="1:14" x14ac:dyDescent="0.25">
      <c r="A1417" s="170" t="s">
        <v>4247</v>
      </c>
      <c r="B1417" s="170" t="s">
        <v>4248</v>
      </c>
      <c r="C1417" s="170" t="s">
        <v>205</v>
      </c>
      <c r="D1417" s="170" t="s">
        <v>1947</v>
      </c>
      <c r="E1417" s="171" t="s">
        <v>32129</v>
      </c>
      <c r="F1417" s="171" t="s">
        <v>35423</v>
      </c>
      <c r="G1417" s="82"/>
      <c r="H1417" s="96">
        <f t="shared" si="88"/>
        <v>2015.3</v>
      </c>
      <c r="I1417" s="96">
        <f t="shared" si="88"/>
        <v>2041.54</v>
      </c>
      <c r="J1417" s="91" t="str">
        <f t="shared" si="89"/>
        <v>Sinapi 92594</v>
      </c>
      <c r="K1417" s="91" t="str">
        <f t="shared" si="90"/>
        <v>UN</v>
      </c>
      <c r="L1417" s="166" t="str">
        <f t="shared" si="91"/>
        <v>12/2015</v>
      </c>
      <c r="M1417" s="82"/>
      <c r="N1417" s="82"/>
    </row>
    <row r="1418" spans="1:14" x14ac:dyDescent="0.25">
      <c r="A1418" s="170" t="s">
        <v>4249</v>
      </c>
      <c r="B1418" s="170" t="s">
        <v>4250</v>
      </c>
      <c r="C1418" s="170" t="s">
        <v>205</v>
      </c>
      <c r="D1418" s="170" t="s">
        <v>1947</v>
      </c>
      <c r="E1418" s="171" t="s">
        <v>32130</v>
      </c>
      <c r="F1418" s="171" t="s">
        <v>35424</v>
      </c>
      <c r="G1418" s="82"/>
      <c r="H1418" s="96">
        <f t="shared" si="88"/>
        <v>2231.0500000000002</v>
      </c>
      <c r="I1418" s="96">
        <f t="shared" si="88"/>
        <v>2264.0500000000002</v>
      </c>
      <c r="J1418" s="91" t="str">
        <f t="shared" si="89"/>
        <v>Sinapi 92596</v>
      </c>
      <c r="K1418" s="91" t="str">
        <f t="shared" si="90"/>
        <v>UN</v>
      </c>
      <c r="L1418" s="166" t="str">
        <f t="shared" si="91"/>
        <v>12/2015</v>
      </c>
      <c r="M1418" s="82"/>
      <c r="N1418" s="82"/>
    </row>
    <row r="1419" spans="1:14" x14ac:dyDescent="0.25">
      <c r="A1419" s="170" t="s">
        <v>4251</v>
      </c>
      <c r="B1419" s="170" t="s">
        <v>4252</v>
      </c>
      <c r="C1419" s="170" t="s">
        <v>205</v>
      </c>
      <c r="D1419" s="170" t="s">
        <v>1947</v>
      </c>
      <c r="E1419" s="171" t="s">
        <v>32131</v>
      </c>
      <c r="F1419" s="171" t="s">
        <v>35425</v>
      </c>
      <c r="G1419" s="82"/>
      <c r="H1419" s="96">
        <f t="shared" si="88"/>
        <v>2381.87</v>
      </c>
      <c r="I1419" s="96">
        <f t="shared" si="88"/>
        <v>2414.87</v>
      </c>
      <c r="J1419" s="91" t="str">
        <f t="shared" si="89"/>
        <v>Sinapi 92598</v>
      </c>
      <c r="K1419" s="91" t="str">
        <f t="shared" si="90"/>
        <v>UN</v>
      </c>
      <c r="L1419" s="166" t="str">
        <f t="shared" si="91"/>
        <v>12/2015</v>
      </c>
      <c r="M1419" s="82"/>
      <c r="N1419" s="82"/>
    </row>
    <row r="1420" spans="1:14" x14ac:dyDescent="0.25">
      <c r="A1420" s="170" t="s">
        <v>4253</v>
      </c>
      <c r="B1420" s="170" t="s">
        <v>4254</v>
      </c>
      <c r="C1420" s="170" t="s">
        <v>205</v>
      </c>
      <c r="D1420" s="170" t="s">
        <v>1947</v>
      </c>
      <c r="E1420" s="171" t="s">
        <v>32132</v>
      </c>
      <c r="F1420" s="171" t="s">
        <v>35426</v>
      </c>
      <c r="G1420" s="82"/>
      <c r="H1420" s="96">
        <f t="shared" si="88"/>
        <v>2570.88</v>
      </c>
      <c r="I1420" s="96">
        <f t="shared" si="88"/>
        <v>2603.88</v>
      </c>
      <c r="J1420" s="91" t="str">
        <f t="shared" si="89"/>
        <v>Sinapi 92600</v>
      </c>
      <c r="K1420" s="91" t="str">
        <f t="shared" si="90"/>
        <v>UN</v>
      </c>
      <c r="L1420" s="166" t="str">
        <f t="shared" si="91"/>
        <v>12/2015</v>
      </c>
      <c r="M1420" s="82"/>
      <c r="N1420" s="82"/>
    </row>
    <row r="1421" spans="1:14" x14ac:dyDescent="0.25">
      <c r="A1421" s="170" t="s">
        <v>4255</v>
      </c>
      <c r="B1421" s="170" t="s">
        <v>21128</v>
      </c>
      <c r="C1421" s="170" t="s">
        <v>205</v>
      </c>
      <c r="D1421" s="170" t="s">
        <v>1947</v>
      </c>
      <c r="E1421" s="171" t="s">
        <v>32123</v>
      </c>
      <c r="F1421" s="171" t="s">
        <v>35417</v>
      </c>
      <c r="G1421" s="82"/>
      <c r="H1421" s="96">
        <f t="shared" si="88"/>
        <v>802.8</v>
      </c>
      <c r="I1421" s="96">
        <f t="shared" si="88"/>
        <v>816.54</v>
      </c>
      <c r="J1421" s="91" t="str">
        <f t="shared" si="89"/>
        <v>Sinapi 92602</v>
      </c>
      <c r="K1421" s="91" t="str">
        <f t="shared" si="90"/>
        <v>UN</v>
      </c>
      <c r="L1421" s="166" t="str">
        <f t="shared" si="91"/>
        <v>12/2015</v>
      </c>
      <c r="M1421" s="82"/>
      <c r="N1421" s="82"/>
    </row>
    <row r="1422" spans="1:14" x14ac:dyDescent="0.25">
      <c r="A1422" s="170" t="s">
        <v>4256</v>
      </c>
      <c r="B1422" s="170" t="s">
        <v>4257</v>
      </c>
      <c r="C1422" s="170" t="s">
        <v>205</v>
      </c>
      <c r="D1422" s="170" t="s">
        <v>1947</v>
      </c>
      <c r="E1422" s="171" t="s">
        <v>32133</v>
      </c>
      <c r="F1422" s="171" t="s">
        <v>35427</v>
      </c>
      <c r="G1422" s="82"/>
      <c r="H1422" s="96">
        <f t="shared" si="88"/>
        <v>915.46</v>
      </c>
      <c r="I1422" s="96">
        <f t="shared" si="88"/>
        <v>929.2</v>
      </c>
      <c r="J1422" s="91" t="str">
        <f t="shared" si="89"/>
        <v>Sinapi 92604</v>
      </c>
      <c r="K1422" s="91" t="str">
        <f t="shared" si="90"/>
        <v>UN</v>
      </c>
      <c r="L1422" s="166" t="str">
        <f t="shared" si="91"/>
        <v>12/2015</v>
      </c>
      <c r="M1422" s="82"/>
      <c r="N1422" s="82"/>
    </row>
    <row r="1423" spans="1:14" x14ac:dyDescent="0.25">
      <c r="A1423" s="170" t="s">
        <v>4258</v>
      </c>
      <c r="B1423" s="170" t="s">
        <v>4259</v>
      </c>
      <c r="C1423" s="170" t="s">
        <v>205</v>
      </c>
      <c r="D1423" s="170" t="s">
        <v>1947</v>
      </c>
      <c r="E1423" s="171" t="s">
        <v>32134</v>
      </c>
      <c r="F1423" s="171" t="s">
        <v>35428</v>
      </c>
      <c r="G1423" s="82"/>
      <c r="H1423" s="96">
        <f t="shared" si="88"/>
        <v>1066.28</v>
      </c>
      <c r="I1423" s="96">
        <f t="shared" si="88"/>
        <v>1080.02</v>
      </c>
      <c r="J1423" s="91" t="str">
        <f t="shared" si="89"/>
        <v>Sinapi 92606</v>
      </c>
      <c r="K1423" s="91" t="str">
        <f t="shared" si="90"/>
        <v>UN</v>
      </c>
      <c r="L1423" s="166" t="str">
        <f t="shared" si="91"/>
        <v>12/2015</v>
      </c>
      <c r="M1423" s="82"/>
      <c r="N1423" s="82"/>
    </row>
    <row r="1424" spans="1:14" x14ac:dyDescent="0.25">
      <c r="A1424" s="170" t="s">
        <v>4260</v>
      </c>
      <c r="B1424" s="170" t="s">
        <v>4261</v>
      </c>
      <c r="C1424" s="170" t="s">
        <v>205</v>
      </c>
      <c r="D1424" s="170" t="s">
        <v>1947</v>
      </c>
      <c r="E1424" s="171" t="s">
        <v>32135</v>
      </c>
      <c r="F1424" s="171" t="s">
        <v>35429</v>
      </c>
      <c r="G1424" s="82"/>
      <c r="H1424" s="96">
        <f t="shared" si="88"/>
        <v>1313.81</v>
      </c>
      <c r="I1424" s="96">
        <f t="shared" si="88"/>
        <v>1333.83</v>
      </c>
      <c r="J1424" s="91" t="str">
        <f t="shared" si="89"/>
        <v>Sinapi 92608</v>
      </c>
      <c r="K1424" s="91" t="str">
        <f t="shared" si="90"/>
        <v>UN</v>
      </c>
      <c r="L1424" s="166" t="str">
        <f t="shared" si="91"/>
        <v>12/2015</v>
      </c>
      <c r="M1424" s="82"/>
      <c r="N1424" s="82"/>
    </row>
    <row r="1425" spans="1:14" x14ac:dyDescent="0.25">
      <c r="A1425" s="170" t="s">
        <v>4262</v>
      </c>
      <c r="B1425" s="170" t="s">
        <v>4263</v>
      </c>
      <c r="C1425" s="170" t="s">
        <v>205</v>
      </c>
      <c r="D1425" s="170" t="s">
        <v>1947</v>
      </c>
      <c r="E1425" s="171" t="s">
        <v>32136</v>
      </c>
      <c r="F1425" s="171" t="s">
        <v>35430</v>
      </c>
      <c r="G1425" s="82"/>
      <c r="H1425" s="96">
        <f t="shared" si="88"/>
        <v>1464.63</v>
      </c>
      <c r="I1425" s="96">
        <f t="shared" si="88"/>
        <v>1484.65</v>
      </c>
      <c r="J1425" s="91" t="str">
        <f t="shared" si="89"/>
        <v>Sinapi 92610</v>
      </c>
      <c r="K1425" s="91" t="str">
        <f t="shared" si="90"/>
        <v>UN</v>
      </c>
      <c r="L1425" s="166" t="str">
        <f t="shared" si="91"/>
        <v>12/2015</v>
      </c>
      <c r="M1425" s="82"/>
      <c r="N1425" s="82"/>
    </row>
    <row r="1426" spans="1:14" x14ac:dyDescent="0.25">
      <c r="A1426" s="170" t="s">
        <v>4264</v>
      </c>
      <c r="B1426" s="170" t="s">
        <v>4265</v>
      </c>
      <c r="C1426" s="170" t="s">
        <v>205</v>
      </c>
      <c r="D1426" s="170" t="s">
        <v>1947</v>
      </c>
      <c r="E1426" s="171" t="s">
        <v>32137</v>
      </c>
      <c r="F1426" s="171" t="s">
        <v>35431</v>
      </c>
      <c r="G1426" s="82"/>
      <c r="H1426" s="96">
        <f t="shared" si="88"/>
        <v>1651.82</v>
      </c>
      <c r="I1426" s="96">
        <f t="shared" si="88"/>
        <v>1676.03</v>
      </c>
      <c r="J1426" s="91" t="str">
        <f t="shared" si="89"/>
        <v>Sinapi 92612</v>
      </c>
      <c r="K1426" s="91" t="str">
        <f t="shared" si="90"/>
        <v>UN</v>
      </c>
      <c r="L1426" s="166" t="str">
        <f t="shared" si="91"/>
        <v>12/2015</v>
      </c>
      <c r="M1426" s="82"/>
      <c r="N1426" s="82"/>
    </row>
    <row r="1427" spans="1:14" x14ac:dyDescent="0.25">
      <c r="A1427" s="170" t="s">
        <v>4266</v>
      </c>
      <c r="B1427" s="170" t="s">
        <v>4267</v>
      </c>
      <c r="C1427" s="170" t="s">
        <v>205</v>
      </c>
      <c r="D1427" s="170" t="s">
        <v>1947</v>
      </c>
      <c r="E1427" s="171" t="s">
        <v>32138</v>
      </c>
      <c r="F1427" s="171" t="s">
        <v>35432</v>
      </c>
      <c r="G1427" s="82"/>
      <c r="H1427" s="96">
        <f t="shared" si="88"/>
        <v>1862.6</v>
      </c>
      <c r="I1427" s="96">
        <f t="shared" si="88"/>
        <v>1888.84</v>
      </c>
      <c r="J1427" s="91" t="str">
        <f t="shared" si="89"/>
        <v>Sinapi 92614</v>
      </c>
      <c r="K1427" s="91" t="str">
        <f t="shared" si="90"/>
        <v>UN</v>
      </c>
      <c r="L1427" s="166" t="str">
        <f t="shared" si="91"/>
        <v>12/2015</v>
      </c>
      <c r="M1427" s="82"/>
      <c r="N1427" s="82"/>
    </row>
    <row r="1428" spans="1:14" x14ac:dyDescent="0.25">
      <c r="A1428" s="170" t="s">
        <v>4268</v>
      </c>
      <c r="B1428" s="170" t="s">
        <v>4269</v>
      </c>
      <c r="C1428" s="170" t="s">
        <v>205</v>
      </c>
      <c r="D1428" s="170" t="s">
        <v>1947</v>
      </c>
      <c r="E1428" s="171" t="s">
        <v>32139</v>
      </c>
      <c r="F1428" s="171" t="s">
        <v>35433</v>
      </c>
      <c r="G1428" s="82"/>
      <c r="H1428" s="96">
        <f t="shared" si="88"/>
        <v>2116.5300000000002</v>
      </c>
      <c r="I1428" s="96">
        <f t="shared" si="88"/>
        <v>2149.5300000000002</v>
      </c>
      <c r="J1428" s="91" t="str">
        <f t="shared" si="89"/>
        <v>Sinapi 92616</v>
      </c>
      <c r="K1428" s="91" t="str">
        <f t="shared" si="90"/>
        <v>UN</v>
      </c>
      <c r="L1428" s="166" t="str">
        <f t="shared" si="91"/>
        <v>12/2015</v>
      </c>
      <c r="M1428" s="82"/>
      <c r="N1428" s="82"/>
    </row>
    <row r="1429" spans="1:14" x14ac:dyDescent="0.25">
      <c r="A1429" s="170" t="s">
        <v>4270</v>
      </c>
      <c r="B1429" s="170" t="s">
        <v>4271</v>
      </c>
      <c r="C1429" s="170" t="s">
        <v>205</v>
      </c>
      <c r="D1429" s="170" t="s">
        <v>1947</v>
      </c>
      <c r="E1429" s="171" t="s">
        <v>32140</v>
      </c>
      <c r="F1429" s="171" t="s">
        <v>35434</v>
      </c>
      <c r="G1429" s="82"/>
      <c r="H1429" s="96">
        <f t="shared" si="88"/>
        <v>2267.35</v>
      </c>
      <c r="I1429" s="96">
        <f t="shared" si="88"/>
        <v>2300.35</v>
      </c>
      <c r="J1429" s="91" t="str">
        <f t="shared" si="89"/>
        <v>Sinapi 92618</v>
      </c>
      <c r="K1429" s="91" t="str">
        <f t="shared" si="90"/>
        <v>UN</v>
      </c>
      <c r="L1429" s="166" t="str">
        <f t="shared" si="91"/>
        <v>12/2015</v>
      </c>
      <c r="M1429" s="82"/>
      <c r="N1429" s="82"/>
    </row>
    <row r="1430" spans="1:14" x14ac:dyDescent="0.25">
      <c r="A1430" s="170" t="s">
        <v>4272</v>
      </c>
      <c r="B1430" s="170" t="s">
        <v>4273</v>
      </c>
      <c r="C1430" s="170" t="s">
        <v>205</v>
      </c>
      <c r="D1430" s="170" t="s">
        <v>1947</v>
      </c>
      <c r="E1430" s="171" t="s">
        <v>32141</v>
      </c>
      <c r="F1430" s="171" t="s">
        <v>35435</v>
      </c>
      <c r="G1430" s="82"/>
      <c r="H1430" s="96">
        <f t="shared" si="88"/>
        <v>2418.1799999999998</v>
      </c>
      <c r="I1430" s="96">
        <f t="shared" si="88"/>
        <v>2451.1799999999998</v>
      </c>
      <c r="J1430" s="91" t="str">
        <f t="shared" si="89"/>
        <v>Sinapi 92620</v>
      </c>
      <c r="K1430" s="91" t="str">
        <f t="shared" si="90"/>
        <v>UN</v>
      </c>
      <c r="L1430" s="166" t="str">
        <f t="shared" si="91"/>
        <v>12/2015</v>
      </c>
      <c r="M1430" s="82"/>
      <c r="N1430" s="82"/>
    </row>
    <row r="1431" spans="1:14" x14ac:dyDescent="0.25">
      <c r="A1431" s="170" t="s">
        <v>4274</v>
      </c>
      <c r="B1431" s="170" t="s">
        <v>4275</v>
      </c>
      <c r="C1431" s="170" t="s">
        <v>205</v>
      </c>
      <c r="D1431" s="170" t="s">
        <v>1947</v>
      </c>
      <c r="E1431" s="171" t="s">
        <v>32142</v>
      </c>
      <c r="F1431" s="171" t="s">
        <v>35436</v>
      </c>
      <c r="G1431" s="82"/>
      <c r="H1431" s="96">
        <f t="shared" si="88"/>
        <v>941.37</v>
      </c>
      <c r="I1431" s="96">
        <f t="shared" si="88"/>
        <v>981.48</v>
      </c>
      <c r="J1431" s="91" t="str">
        <f t="shared" si="89"/>
        <v>Sinapi 100357</v>
      </c>
      <c r="K1431" s="91" t="str">
        <f t="shared" si="90"/>
        <v>UN</v>
      </c>
      <c r="L1431" s="166" t="str">
        <f t="shared" si="91"/>
        <v>07/2019</v>
      </c>
      <c r="M1431" s="82"/>
      <c r="N1431" s="82"/>
    </row>
    <row r="1432" spans="1:14" x14ac:dyDescent="0.25">
      <c r="A1432" s="170" t="s">
        <v>4276</v>
      </c>
      <c r="B1432" s="170" t="s">
        <v>4277</v>
      </c>
      <c r="C1432" s="170" t="s">
        <v>205</v>
      </c>
      <c r="D1432" s="170" t="s">
        <v>1947</v>
      </c>
      <c r="E1432" s="171" t="s">
        <v>32143</v>
      </c>
      <c r="F1432" s="171" t="s">
        <v>35437</v>
      </c>
      <c r="G1432" s="82"/>
      <c r="H1432" s="96">
        <f t="shared" si="88"/>
        <v>1276.6600000000001</v>
      </c>
      <c r="I1432" s="96">
        <f t="shared" si="88"/>
        <v>1342.43</v>
      </c>
      <c r="J1432" s="91" t="str">
        <f t="shared" si="89"/>
        <v>Sinapi 100358</v>
      </c>
      <c r="K1432" s="91" t="str">
        <f t="shared" si="90"/>
        <v>UN</v>
      </c>
      <c r="L1432" s="166" t="str">
        <f t="shared" si="91"/>
        <v>07/2019</v>
      </c>
      <c r="M1432" s="82"/>
      <c r="N1432" s="82"/>
    </row>
    <row r="1433" spans="1:14" x14ac:dyDescent="0.25">
      <c r="A1433" s="170" t="s">
        <v>4278</v>
      </c>
      <c r="B1433" s="170" t="s">
        <v>4279</v>
      </c>
      <c r="C1433" s="170" t="s">
        <v>205</v>
      </c>
      <c r="D1433" s="170" t="s">
        <v>1947</v>
      </c>
      <c r="E1433" s="171" t="s">
        <v>32144</v>
      </c>
      <c r="F1433" s="171" t="s">
        <v>35438</v>
      </c>
      <c r="G1433" s="82"/>
      <c r="H1433" s="96">
        <f t="shared" si="88"/>
        <v>1340.11</v>
      </c>
      <c r="I1433" s="96">
        <f t="shared" si="88"/>
        <v>1405.88</v>
      </c>
      <c r="J1433" s="91" t="str">
        <f t="shared" si="89"/>
        <v>Sinapi 100359</v>
      </c>
      <c r="K1433" s="91" t="str">
        <f t="shared" si="90"/>
        <v>UN</v>
      </c>
      <c r="L1433" s="166" t="str">
        <f t="shared" si="91"/>
        <v>07/2019</v>
      </c>
      <c r="M1433" s="82"/>
      <c r="N1433" s="82"/>
    </row>
    <row r="1434" spans="1:14" x14ac:dyDescent="0.25">
      <c r="A1434" s="170" t="s">
        <v>4280</v>
      </c>
      <c r="B1434" s="170" t="s">
        <v>4281</v>
      </c>
      <c r="C1434" s="170" t="s">
        <v>205</v>
      </c>
      <c r="D1434" s="170" t="s">
        <v>1947</v>
      </c>
      <c r="E1434" s="171" t="s">
        <v>32145</v>
      </c>
      <c r="F1434" s="171" t="s">
        <v>35439</v>
      </c>
      <c r="G1434" s="82"/>
      <c r="H1434" s="96">
        <f t="shared" si="88"/>
        <v>1484.72</v>
      </c>
      <c r="I1434" s="96">
        <f t="shared" si="88"/>
        <v>1557.34</v>
      </c>
      <c r="J1434" s="91" t="str">
        <f t="shared" si="89"/>
        <v>Sinapi 100360</v>
      </c>
      <c r="K1434" s="91" t="str">
        <f t="shared" si="90"/>
        <v>UN</v>
      </c>
      <c r="L1434" s="166" t="str">
        <f t="shared" si="91"/>
        <v>07/2019</v>
      </c>
      <c r="M1434" s="82"/>
      <c r="N1434" s="82"/>
    </row>
    <row r="1435" spans="1:14" x14ac:dyDescent="0.25">
      <c r="A1435" s="170" t="s">
        <v>4282</v>
      </c>
      <c r="B1435" s="170" t="s">
        <v>4283</v>
      </c>
      <c r="C1435" s="170" t="s">
        <v>205</v>
      </c>
      <c r="D1435" s="170" t="s">
        <v>1947</v>
      </c>
      <c r="E1435" s="171" t="s">
        <v>32146</v>
      </c>
      <c r="F1435" s="171" t="s">
        <v>35440</v>
      </c>
      <c r="G1435" s="82"/>
      <c r="H1435" s="96">
        <f t="shared" si="88"/>
        <v>1846.39</v>
      </c>
      <c r="I1435" s="96">
        <f t="shared" si="88"/>
        <v>1944.67</v>
      </c>
      <c r="J1435" s="91" t="str">
        <f t="shared" si="89"/>
        <v>Sinapi 100361</v>
      </c>
      <c r="K1435" s="91" t="str">
        <f t="shared" si="90"/>
        <v>UN</v>
      </c>
      <c r="L1435" s="166" t="str">
        <f t="shared" si="91"/>
        <v>07/2019</v>
      </c>
      <c r="M1435" s="82"/>
      <c r="N1435" s="82"/>
    </row>
    <row r="1436" spans="1:14" x14ac:dyDescent="0.25">
      <c r="A1436" s="170" t="s">
        <v>4284</v>
      </c>
      <c r="B1436" s="170" t="s">
        <v>4285</v>
      </c>
      <c r="C1436" s="170" t="s">
        <v>205</v>
      </c>
      <c r="D1436" s="170" t="s">
        <v>1947</v>
      </c>
      <c r="E1436" s="171" t="s">
        <v>32147</v>
      </c>
      <c r="F1436" s="171" t="s">
        <v>35441</v>
      </c>
      <c r="G1436" s="82"/>
      <c r="H1436" s="96">
        <f t="shared" si="88"/>
        <v>2518.65</v>
      </c>
      <c r="I1436" s="96">
        <f t="shared" si="88"/>
        <v>2623.57</v>
      </c>
      <c r="J1436" s="91" t="str">
        <f t="shared" si="89"/>
        <v>Sinapi 100362</v>
      </c>
      <c r="K1436" s="91" t="str">
        <f t="shared" si="90"/>
        <v>UN</v>
      </c>
      <c r="L1436" s="166" t="str">
        <f t="shared" si="91"/>
        <v>07/2019</v>
      </c>
      <c r="M1436" s="82"/>
      <c r="N1436" s="82"/>
    </row>
    <row r="1437" spans="1:14" x14ac:dyDescent="0.25">
      <c r="A1437" s="170" t="s">
        <v>4286</v>
      </c>
      <c r="B1437" s="170" t="s">
        <v>4287</v>
      </c>
      <c r="C1437" s="170" t="s">
        <v>205</v>
      </c>
      <c r="D1437" s="170" t="s">
        <v>1947</v>
      </c>
      <c r="E1437" s="171" t="s">
        <v>32148</v>
      </c>
      <c r="F1437" s="171" t="s">
        <v>35442</v>
      </c>
      <c r="G1437" s="82"/>
      <c r="H1437" s="96">
        <f t="shared" si="88"/>
        <v>2597.61</v>
      </c>
      <c r="I1437" s="96">
        <f t="shared" si="88"/>
        <v>2702.53</v>
      </c>
      <c r="J1437" s="91" t="str">
        <f t="shared" si="89"/>
        <v>Sinapi 100363</v>
      </c>
      <c r="K1437" s="91" t="str">
        <f t="shared" si="90"/>
        <v>UN</v>
      </c>
      <c r="L1437" s="166" t="str">
        <f t="shared" si="91"/>
        <v>07/2019</v>
      </c>
      <c r="M1437" s="82"/>
      <c r="N1437" s="82"/>
    </row>
    <row r="1438" spans="1:14" x14ac:dyDescent="0.25">
      <c r="A1438" s="170" t="s">
        <v>4288</v>
      </c>
      <c r="B1438" s="170" t="s">
        <v>4289</v>
      </c>
      <c r="C1438" s="170" t="s">
        <v>205</v>
      </c>
      <c r="D1438" s="170" t="s">
        <v>1947</v>
      </c>
      <c r="E1438" s="171" t="s">
        <v>32149</v>
      </c>
      <c r="F1438" s="171" t="s">
        <v>35443</v>
      </c>
      <c r="G1438" s="82"/>
      <c r="H1438" s="96">
        <f t="shared" si="88"/>
        <v>2813.9</v>
      </c>
      <c r="I1438" s="96">
        <f t="shared" si="88"/>
        <v>2929.5</v>
      </c>
      <c r="J1438" s="91" t="str">
        <f t="shared" si="89"/>
        <v>Sinapi 100364</v>
      </c>
      <c r="K1438" s="91" t="str">
        <f t="shared" si="90"/>
        <v>UN</v>
      </c>
      <c r="L1438" s="166" t="str">
        <f t="shared" si="91"/>
        <v>07/2019</v>
      </c>
      <c r="M1438" s="82"/>
      <c r="N1438" s="82"/>
    </row>
    <row r="1439" spans="1:14" x14ac:dyDescent="0.25">
      <c r="A1439" s="170" t="s">
        <v>4290</v>
      </c>
      <c r="B1439" s="170" t="s">
        <v>4291</v>
      </c>
      <c r="C1439" s="170" t="s">
        <v>205</v>
      </c>
      <c r="D1439" s="170" t="s">
        <v>1947</v>
      </c>
      <c r="E1439" s="171" t="s">
        <v>32150</v>
      </c>
      <c r="F1439" s="171" t="s">
        <v>35444</v>
      </c>
      <c r="G1439" s="82"/>
      <c r="H1439" s="96">
        <f t="shared" si="88"/>
        <v>3223.59</v>
      </c>
      <c r="I1439" s="96">
        <f t="shared" si="88"/>
        <v>3364.85</v>
      </c>
      <c r="J1439" s="91" t="str">
        <f t="shared" si="89"/>
        <v>Sinapi 100365</v>
      </c>
      <c r="K1439" s="91" t="str">
        <f t="shared" si="90"/>
        <v>UN</v>
      </c>
      <c r="L1439" s="166" t="str">
        <f t="shared" si="91"/>
        <v>07/2019</v>
      </c>
      <c r="M1439" s="82"/>
      <c r="N1439" s="82"/>
    </row>
    <row r="1440" spans="1:14" x14ac:dyDescent="0.25">
      <c r="A1440" s="170" t="s">
        <v>4292</v>
      </c>
      <c r="B1440" s="170" t="s">
        <v>4293</v>
      </c>
      <c r="C1440" s="170" t="s">
        <v>205</v>
      </c>
      <c r="D1440" s="170" t="s">
        <v>1947</v>
      </c>
      <c r="E1440" s="171" t="s">
        <v>32151</v>
      </c>
      <c r="F1440" s="171" t="s">
        <v>35445</v>
      </c>
      <c r="G1440" s="82"/>
      <c r="H1440" s="96">
        <f t="shared" si="88"/>
        <v>3430.85</v>
      </c>
      <c r="I1440" s="96">
        <f t="shared" si="88"/>
        <v>3572.11</v>
      </c>
      <c r="J1440" s="91" t="str">
        <f t="shared" si="89"/>
        <v>Sinapi 100366</v>
      </c>
      <c r="K1440" s="91" t="str">
        <f t="shared" si="90"/>
        <v>UN</v>
      </c>
      <c r="L1440" s="166" t="str">
        <f t="shared" si="91"/>
        <v>07/2019</v>
      </c>
      <c r="M1440" s="82"/>
      <c r="N1440" s="82"/>
    </row>
    <row r="1441" spans="1:14" x14ac:dyDescent="0.25">
      <c r="A1441" s="170" t="s">
        <v>4294</v>
      </c>
      <c r="B1441" s="170" t="s">
        <v>4295</v>
      </c>
      <c r="C1441" s="170" t="s">
        <v>205</v>
      </c>
      <c r="D1441" s="170" t="s">
        <v>1947</v>
      </c>
      <c r="E1441" s="171" t="s">
        <v>32152</v>
      </c>
      <c r="F1441" s="171" t="s">
        <v>35446</v>
      </c>
      <c r="G1441" s="82"/>
      <c r="H1441" s="96">
        <f t="shared" si="88"/>
        <v>917.58</v>
      </c>
      <c r="I1441" s="96">
        <f t="shared" si="88"/>
        <v>957.69</v>
      </c>
      <c r="J1441" s="91" t="str">
        <f t="shared" si="89"/>
        <v>Sinapi 100367</v>
      </c>
      <c r="K1441" s="91" t="str">
        <f t="shared" si="90"/>
        <v>UN</v>
      </c>
      <c r="L1441" s="166" t="str">
        <f t="shared" si="91"/>
        <v>07/2019</v>
      </c>
      <c r="M1441" s="82"/>
      <c r="N1441" s="82"/>
    </row>
    <row r="1442" spans="1:14" x14ac:dyDescent="0.25">
      <c r="A1442" s="170" t="s">
        <v>4296</v>
      </c>
      <c r="B1442" s="170" t="s">
        <v>4297</v>
      </c>
      <c r="C1442" s="170" t="s">
        <v>205</v>
      </c>
      <c r="D1442" s="170" t="s">
        <v>1947</v>
      </c>
      <c r="E1442" s="171" t="s">
        <v>32153</v>
      </c>
      <c r="F1442" s="171" t="s">
        <v>35447</v>
      </c>
      <c r="G1442" s="82"/>
      <c r="H1442" s="96">
        <f t="shared" si="88"/>
        <v>1247.31</v>
      </c>
      <c r="I1442" s="96">
        <f t="shared" si="88"/>
        <v>1313.08</v>
      </c>
      <c r="J1442" s="91" t="str">
        <f t="shared" si="89"/>
        <v>Sinapi 100368</v>
      </c>
      <c r="K1442" s="91" t="str">
        <f t="shared" si="90"/>
        <v>UN</v>
      </c>
      <c r="L1442" s="166" t="str">
        <f t="shared" si="91"/>
        <v>07/2019</v>
      </c>
      <c r="M1442" s="82"/>
      <c r="N1442" s="82"/>
    </row>
    <row r="1443" spans="1:14" x14ac:dyDescent="0.25">
      <c r="A1443" s="170" t="s">
        <v>4298</v>
      </c>
      <c r="B1443" s="170" t="s">
        <v>4299</v>
      </c>
      <c r="C1443" s="170" t="s">
        <v>205</v>
      </c>
      <c r="D1443" s="170" t="s">
        <v>1947</v>
      </c>
      <c r="E1443" s="171" t="s">
        <v>29207</v>
      </c>
      <c r="F1443" s="171" t="s">
        <v>35448</v>
      </c>
      <c r="G1443" s="82"/>
      <c r="H1443" s="96">
        <f t="shared" si="88"/>
        <v>1310.76</v>
      </c>
      <c r="I1443" s="96">
        <f t="shared" si="88"/>
        <v>1376.53</v>
      </c>
      <c r="J1443" s="91" t="str">
        <f t="shared" si="89"/>
        <v>Sinapi 100369</v>
      </c>
      <c r="K1443" s="91" t="str">
        <f t="shared" si="90"/>
        <v>UN</v>
      </c>
      <c r="L1443" s="166" t="str">
        <f t="shared" si="91"/>
        <v>07/2019</v>
      </c>
      <c r="M1443" s="82"/>
      <c r="N1443" s="82"/>
    </row>
    <row r="1444" spans="1:14" x14ac:dyDescent="0.25">
      <c r="A1444" s="170" t="s">
        <v>4300</v>
      </c>
      <c r="B1444" s="170" t="s">
        <v>4301</v>
      </c>
      <c r="C1444" s="170" t="s">
        <v>205</v>
      </c>
      <c r="D1444" s="170" t="s">
        <v>1947</v>
      </c>
      <c r="E1444" s="171" t="s">
        <v>32154</v>
      </c>
      <c r="F1444" s="171" t="s">
        <v>35449</v>
      </c>
      <c r="G1444" s="82"/>
      <c r="H1444" s="96">
        <f t="shared" si="88"/>
        <v>1546.29</v>
      </c>
      <c r="I1444" s="96">
        <f t="shared" si="88"/>
        <v>1618.91</v>
      </c>
      <c r="J1444" s="91" t="str">
        <f t="shared" si="89"/>
        <v>Sinapi 100370</v>
      </c>
      <c r="K1444" s="91" t="str">
        <f t="shared" si="90"/>
        <v>UN</v>
      </c>
      <c r="L1444" s="166" t="str">
        <f t="shared" si="91"/>
        <v>07/2019</v>
      </c>
      <c r="M1444" s="82"/>
      <c r="N1444" s="82"/>
    </row>
    <row r="1445" spans="1:14" x14ac:dyDescent="0.25">
      <c r="A1445" s="170" t="s">
        <v>4302</v>
      </c>
      <c r="B1445" s="170" t="s">
        <v>4303</v>
      </c>
      <c r="C1445" s="170" t="s">
        <v>205</v>
      </c>
      <c r="D1445" s="170" t="s">
        <v>1947</v>
      </c>
      <c r="E1445" s="171" t="s">
        <v>32155</v>
      </c>
      <c r="F1445" s="171" t="s">
        <v>35450</v>
      </c>
      <c r="G1445" s="82"/>
      <c r="H1445" s="96">
        <f t="shared" si="88"/>
        <v>1768.13</v>
      </c>
      <c r="I1445" s="96">
        <f t="shared" si="88"/>
        <v>1866.41</v>
      </c>
      <c r="J1445" s="91" t="str">
        <f t="shared" si="89"/>
        <v>Sinapi 100371</v>
      </c>
      <c r="K1445" s="91" t="str">
        <f t="shared" si="90"/>
        <v>UN</v>
      </c>
      <c r="L1445" s="166" t="str">
        <f t="shared" si="91"/>
        <v>07/2019</v>
      </c>
      <c r="M1445" s="82"/>
      <c r="N1445" s="82"/>
    </row>
    <row r="1446" spans="1:14" x14ac:dyDescent="0.25">
      <c r="A1446" s="170" t="s">
        <v>4304</v>
      </c>
      <c r="B1446" s="170" t="s">
        <v>4305</v>
      </c>
      <c r="C1446" s="170" t="s">
        <v>205</v>
      </c>
      <c r="D1446" s="170" t="s">
        <v>1947</v>
      </c>
      <c r="E1446" s="171" t="s">
        <v>32156</v>
      </c>
      <c r="F1446" s="171" t="s">
        <v>35451</v>
      </c>
      <c r="G1446" s="82"/>
      <c r="H1446" s="96">
        <f t="shared" si="88"/>
        <v>2384.56</v>
      </c>
      <c r="I1446" s="96">
        <f t="shared" si="88"/>
        <v>2489.48</v>
      </c>
      <c r="J1446" s="91" t="str">
        <f t="shared" si="89"/>
        <v>Sinapi 100372</v>
      </c>
      <c r="K1446" s="91" t="str">
        <f t="shared" si="90"/>
        <v>UN</v>
      </c>
      <c r="L1446" s="166" t="str">
        <f t="shared" si="91"/>
        <v>07/2019</v>
      </c>
      <c r="M1446" s="82"/>
      <c r="N1446" s="82"/>
    </row>
    <row r="1447" spans="1:14" x14ac:dyDescent="0.25">
      <c r="A1447" s="170" t="s">
        <v>4306</v>
      </c>
      <c r="B1447" s="170" t="s">
        <v>4307</v>
      </c>
      <c r="C1447" s="170" t="s">
        <v>205</v>
      </c>
      <c r="D1447" s="170" t="s">
        <v>1947</v>
      </c>
      <c r="E1447" s="171" t="s">
        <v>32157</v>
      </c>
      <c r="F1447" s="171" t="s">
        <v>35452</v>
      </c>
      <c r="G1447" s="82"/>
      <c r="H1447" s="96">
        <f t="shared" si="88"/>
        <v>2461.3000000000002</v>
      </c>
      <c r="I1447" s="96">
        <f t="shared" si="88"/>
        <v>2566.2199999999998</v>
      </c>
      <c r="J1447" s="91" t="str">
        <f t="shared" si="89"/>
        <v>Sinapi 100373</v>
      </c>
      <c r="K1447" s="91" t="str">
        <f t="shared" si="90"/>
        <v>UN</v>
      </c>
      <c r="L1447" s="166" t="str">
        <f t="shared" si="91"/>
        <v>07/2019</v>
      </c>
      <c r="M1447" s="82"/>
      <c r="N1447" s="82"/>
    </row>
    <row r="1448" spans="1:14" x14ac:dyDescent="0.25">
      <c r="A1448" s="170" t="s">
        <v>4308</v>
      </c>
      <c r="B1448" s="170" t="s">
        <v>4309</v>
      </c>
      <c r="C1448" s="170" t="s">
        <v>205</v>
      </c>
      <c r="D1448" s="170" t="s">
        <v>1947</v>
      </c>
      <c r="E1448" s="171" t="s">
        <v>32158</v>
      </c>
      <c r="F1448" s="171" t="s">
        <v>35453</v>
      </c>
      <c r="G1448" s="82"/>
      <c r="H1448" s="96">
        <f t="shared" si="88"/>
        <v>2633.14</v>
      </c>
      <c r="I1448" s="96">
        <f t="shared" si="88"/>
        <v>2748.74</v>
      </c>
      <c r="J1448" s="91" t="str">
        <f t="shared" si="89"/>
        <v>Sinapi 100374</v>
      </c>
      <c r="K1448" s="91" t="str">
        <f t="shared" si="90"/>
        <v>UN</v>
      </c>
      <c r="L1448" s="166" t="str">
        <f t="shared" si="91"/>
        <v>07/2019</v>
      </c>
      <c r="M1448" s="82"/>
      <c r="N1448" s="82"/>
    </row>
    <row r="1449" spans="1:14" x14ac:dyDescent="0.25">
      <c r="A1449" s="170" t="s">
        <v>4310</v>
      </c>
      <c r="B1449" s="170" t="s">
        <v>4311</v>
      </c>
      <c r="C1449" s="170" t="s">
        <v>205</v>
      </c>
      <c r="D1449" s="170" t="s">
        <v>1947</v>
      </c>
      <c r="E1449" s="171" t="s">
        <v>32159</v>
      </c>
      <c r="F1449" s="171" t="s">
        <v>35454</v>
      </c>
      <c r="G1449" s="82"/>
      <c r="H1449" s="96">
        <f t="shared" si="88"/>
        <v>2955.65</v>
      </c>
      <c r="I1449" s="96">
        <f t="shared" si="88"/>
        <v>3096.91</v>
      </c>
      <c r="J1449" s="91" t="str">
        <f t="shared" si="89"/>
        <v>Sinapi 100375</v>
      </c>
      <c r="K1449" s="91" t="str">
        <f t="shared" si="90"/>
        <v>UN</v>
      </c>
      <c r="L1449" s="166" t="str">
        <f t="shared" si="91"/>
        <v>07/2019</v>
      </c>
      <c r="M1449" s="82"/>
      <c r="N1449" s="82"/>
    </row>
    <row r="1450" spans="1:14" x14ac:dyDescent="0.25">
      <c r="A1450" s="170" t="s">
        <v>4312</v>
      </c>
      <c r="B1450" s="170" t="s">
        <v>4313</v>
      </c>
      <c r="C1450" s="170" t="s">
        <v>205</v>
      </c>
      <c r="D1450" s="170" t="s">
        <v>1947</v>
      </c>
      <c r="E1450" s="171" t="s">
        <v>32160</v>
      </c>
      <c r="F1450" s="171" t="s">
        <v>35455</v>
      </c>
      <c r="G1450" s="82"/>
      <c r="H1450" s="96">
        <f t="shared" si="88"/>
        <v>2899.65</v>
      </c>
      <c r="I1450" s="96">
        <f t="shared" si="88"/>
        <v>3040.91</v>
      </c>
      <c r="J1450" s="91" t="str">
        <f t="shared" si="89"/>
        <v>Sinapi 100376</v>
      </c>
      <c r="K1450" s="91" t="str">
        <f t="shared" si="90"/>
        <v>UN</v>
      </c>
      <c r="L1450" s="166" t="str">
        <f t="shared" si="91"/>
        <v>07/2019</v>
      </c>
      <c r="M1450" s="82"/>
      <c r="N1450" s="82"/>
    </row>
    <row r="1451" spans="1:14" x14ac:dyDescent="0.25">
      <c r="A1451" s="170" t="s">
        <v>4314</v>
      </c>
      <c r="B1451" s="170" t="s">
        <v>4315</v>
      </c>
      <c r="C1451" s="170" t="s">
        <v>774</v>
      </c>
      <c r="D1451" s="170" t="s">
        <v>1947</v>
      </c>
      <c r="E1451" s="171" t="s">
        <v>23407</v>
      </c>
      <c r="F1451" s="171" t="s">
        <v>15798</v>
      </c>
      <c r="G1451" s="82"/>
      <c r="H1451" s="96">
        <f t="shared" si="88"/>
        <v>13.65</v>
      </c>
      <c r="I1451" s="96">
        <f t="shared" si="88"/>
        <v>13.82</v>
      </c>
      <c r="J1451" s="91" t="str">
        <f t="shared" si="89"/>
        <v>Sinapi 100377</v>
      </c>
      <c r="K1451" s="91" t="str">
        <f t="shared" si="90"/>
        <v>KG</v>
      </c>
      <c r="L1451" s="166" t="str">
        <f t="shared" si="91"/>
        <v>07/2019</v>
      </c>
      <c r="M1451" s="82"/>
      <c r="N1451" s="82"/>
    </row>
    <row r="1452" spans="1:14" x14ac:dyDescent="0.25">
      <c r="A1452" s="170" t="s">
        <v>4316</v>
      </c>
      <c r="B1452" s="170" t="s">
        <v>4317</v>
      </c>
      <c r="C1452" s="170" t="s">
        <v>774</v>
      </c>
      <c r="D1452" s="170" t="s">
        <v>1947</v>
      </c>
      <c r="E1452" s="171" t="s">
        <v>14798</v>
      </c>
      <c r="F1452" s="171" t="s">
        <v>20978</v>
      </c>
      <c r="G1452" s="82"/>
      <c r="H1452" s="96">
        <f t="shared" si="88"/>
        <v>12.8</v>
      </c>
      <c r="I1452" s="96">
        <f t="shared" si="88"/>
        <v>12.97</v>
      </c>
      <c r="J1452" s="91" t="str">
        <f t="shared" si="89"/>
        <v>Sinapi 100378</v>
      </c>
      <c r="K1452" s="91" t="str">
        <f t="shared" si="90"/>
        <v>KG</v>
      </c>
      <c r="L1452" s="166" t="str">
        <f t="shared" si="91"/>
        <v>07/2019</v>
      </c>
      <c r="M1452" s="82"/>
      <c r="N1452" s="82"/>
    </row>
    <row r="1453" spans="1:14" x14ac:dyDescent="0.25">
      <c r="A1453" s="170" t="s">
        <v>4318</v>
      </c>
      <c r="B1453" s="170" t="s">
        <v>4319</v>
      </c>
      <c r="C1453" s="170" t="s">
        <v>870</v>
      </c>
      <c r="D1453" s="170" t="s">
        <v>1947</v>
      </c>
      <c r="E1453" s="171" t="s">
        <v>22074</v>
      </c>
      <c r="F1453" s="171" t="s">
        <v>21462</v>
      </c>
      <c r="G1453" s="82"/>
      <c r="H1453" s="96">
        <f t="shared" si="88"/>
        <v>21.02</v>
      </c>
      <c r="I1453" s="96">
        <f t="shared" si="88"/>
        <v>21.59</v>
      </c>
      <c r="J1453" s="91" t="str">
        <f t="shared" si="89"/>
        <v>Sinapi 100382</v>
      </c>
      <c r="K1453" s="91" t="str">
        <f t="shared" si="90"/>
        <v>M2</v>
      </c>
      <c r="L1453" s="166" t="str">
        <f t="shared" si="91"/>
        <v>07/2019</v>
      </c>
      <c r="M1453" s="82"/>
      <c r="N1453" s="82"/>
    </row>
    <row r="1454" spans="1:14" x14ac:dyDescent="0.25">
      <c r="A1454" s="170" t="s">
        <v>17410</v>
      </c>
      <c r="B1454" s="170" t="s">
        <v>17411</v>
      </c>
      <c r="C1454" s="170" t="s">
        <v>774</v>
      </c>
      <c r="D1454" s="170" t="s">
        <v>1947</v>
      </c>
      <c r="E1454" s="171" t="s">
        <v>28657</v>
      </c>
      <c r="F1454" s="171" t="s">
        <v>23023</v>
      </c>
      <c r="G1454" s="82"/>
      <c r="H1454" s="96">
        <f t="shared" si="88"/>
        <v>13.11</v>
      </c>
      <c r="I1454" s="96">
        <f t="shared" si="88"/>
        <v>13.28</v>
      </c>
      <c r="J1454" s="91" t="str">
        <f t="shared" si="89"/>
        <v>Sinapi 104314</v>
      </c>
      <c r="K1454" s="91" t="str">
        <f t="shared" si="90"/>
        <v>KG</v>
      </c>
      <c r="L1454" s="166" t="str">
        <f t="shared" si="91"/>
        <v>07/2019</v>
      </c>
      <c r="M1454" s="82"/>
      <c r="N1454" s="82"/>
    </row>
    <row r="1455" spans="1:14" x14ac:dyDescent="0.25">
      <c r="A1455" s="170" t="s">
        <v>4320</v>
      </c>
      <c r="B1455" s="170" t="s">
        <v>4321</v>
      </c>
      <c r="C1455" s="170" t="s">
        <v>870</v>
      </c>
      <c r="D1455" s="170" t="s">
        <v>1947</v>
      </c>
      <c r="E1455" s="171" t="s">
        <v>32161</v>
      </c>
      <c r="F1455" s="171" t="s">
        <v>35456</v>
      </c>
      <c r="G1455" s="82"/>
      <c r="H1455" s="96">
        <f t="shared" si="88"/>
        <v>940.46</v>
      </c>
      <c r="I1455" s="96">
        <f t="shared" si="88"/>
        <v>941.32</v>
      </c>
      <c r="J1455" s="91" t="str">
        <f t="shared" si="89"/>
        <v>Sinapi 94444</v>
      </c>
      <c r="K1455" s="91" t="str">
        <f t="shared" si="90"/>
        <v>M2</v>
      </c>
      <c r="L1455" s="166" t="str">
        <f t="shared" si="91"/>
        <v>07/2019</v>
      </c>
      <c r="M1455" s="82"/>
      <c r="N1455" s="82"/>
    </row>
    <row r="1456" spans="1:14" x14ac:dyDescent="0.25">
      <c r="A1456" s="170" t="s">
        <v>19333</v>
      </c>
      <c r="B1456" s="170" t="s">
        <v>19334</v>
      </c>
      <c r="C1456" s="170" t="s">
        <v>587</v>
      </c>
      <c r="D1456" s="170" t="s">
        <v>1947</v>
      </c>
      <c r="E1456" s="171" t="s">
        <v>30047</v>
      </c>
      <c r="F1456" s="171" t="s">
        <v>28902</v>
      </c>
      <c r="G1456" s="82"/>
      <c r="H1456" s="96">
        <f t="shared" si="88"/>
        <v>25.39</v>
      </c>
      <c r="I1456" s="96">
        <f t="shared" si="88"/>
        <v>28.27</v>
      </c>
      <c r="J1456" s="91" t="str">
        <f t="shared" si="89"/>
        <v>Sinapi 104482</v>
      </c>
      <c r="K1456" s="91" t="str">
        <f t="shared" si="90"/>
        <v>H</v>
      </c>
      <c r="L1456" s="166" t="str">
        <f t="shared" si="91"/>
        <v/>
      </c>
      <c r="M1456" s="82"/>
      <c r="N1456" s="82"/>
    </row>
    <row r="1457" spans="1:14" x14ac:dyDescent="0.25">
      <c r="A1457" s="170" t="s">
        <v>19335</v>
      </c>
      <c r="B1457" s="170" t="s">
        <v>19336</v>
      </c>
      <c r="C1457" s="170" t="s">
        <v>205</v>
      </c>
      <c r="D1457" s="170" t="s">
        <v>2067</v>
      </c>
      <c r="E1457" s="171" t="s">
        <v>32162</v>
      </c>
      <c r="F1457" s="171" t="s">
        <v>19369</v>
      </c>
      <c r="G1457" s="82"/>
      <c r="H1457" s="96">
        <f t="shared" si="88"/>
        <v>26.68</v>
      </c>
      <c r="I1457" s="96">
        <f t="shared" si="88"/>
        <v>28.78</v>
      </c>
      <c r="J1457" s="91" t="str">
        <f t="shared" si="89"/>
        <v>Sinapi 104184</v>
      </c>
      <c r="K1457" s="91" t="str">
        <f t="shared" si="90"/>
        <v>UN</v>
      </c>
      <c r="L1457" s="166" t="str">
        <f t="shared" si="91"/>
        <v>12/2022</v>
      </c>
      <c r="M1457" s="82"/>
      <c r="N1457" s="82"/>
    </row>
    <row r="1458" spans="1:14" x14ac:dyDescent="0.25">
      <c r="A1458" s="170" t="s">
        <v>19337</v>
      </c>
      <c r="B1458" s="170" t="s">
        <v>19338</v>
      </c>
      <c r="C1458" s="170" t="s">
        <v>205</v>
      </c>
      <c r="D1458" s="170" t="s">
        <v>2067</v>
      </c>
      <c r="E1458" s="171" t="s">
        <v>20058</v>
      </c>
      <c r="F1458" s="171" t="s">
        <v>35457</v>
      </c>
      <c r="G1458" s="82"/>
      <c r="H1458" s="96">
        <f t="shared" si="88"/>
        <v>21.13</v>
      </c>
      <c r="I1458" s="96">
        <f t="shared" si="88"/>
        <v>23.58</v>
      </c>
      <c r="J1458" s="91" t="str">
        <f t="shared" si="89"/>
        <v>Sinapi 104185</v>
      </c>
      <c r="K1458" s="91" t="str">
        <f t="shared" si="90"/>
        <v>UN</v>
      </c>
      <c r="L1458" s="166" t="str">
        <f t="shared" si="91"/>
        <v>12/2022</v>
      </c>
      <c r="M1458" s="82"/>
      <c r="N1458" s="82"/>
    </row>
    <row r="1459" spans="1:14" x14ac:dyDescent="0.25">
      <c r="A1459" s="170" t="s">
        <v>19339</v>
      </c>
      <c r="B1459" s="170" t="s">
        <v>19340</v>
      </c>
      <c r="C1459" s="170" t="s">
        <v>85</v>
      </c>
      <c r="D1459" s="170" t="s">
        <v>2067</v>
      </c>
      <c r="E1459" s="171" t="s">
        <v>29340</v>
      </c>
      <c r="F1459" s="171" t="s">
        <v>35458</v>
      </c>
      <c r="G1459" s="82"/>
      <c r="H1459" s="96">
        <f t="shared" si="88"/>
        <v>111.64</v>
      </c>
      <c r="I1459" s="96">
        <f t="shared" si="88"/>
        <v>115.46</v>
      </c>
      <c r="J1459" s="91" t="str">
        <f t="shared" si="89"/>
        <v>Sinapi 104189</v>
      </c>
      <c r="K1459" s="91" t="str">
        <f t="shared" si="90"/>
        <v>M3</v>
      </c>
      <c r="L1459" s="166" t="str">
        <f t="shared" si="91"/>
        <v>12/2022</v>
      </c>
      <c r="M1459" s="82"/>
      <c r="N1459" s="82"/>
    </row>
    <row r="1460" spans="1:14" x14ac:dyDescent="0.25">
      <c r="A1460" s="170" t="s">
        <v>19341</v>
      </c>
      <c r="B1460" s="170" t="s">
        <v>19342</v>
      </c>
      <c r="C1460" s="170" t="s">
        <v>205</v>
      </c>
      <c r="D1460" s="170" t="s">
        <v>2067</v>
      </c>
      <c r="E1460" s="171" t="s">
        <v>32163</v>
      </c>
      <c r="F1460" s="171" t="s">
        <v>35459</v>
      </c>
      <c r="G1460" s="82"/>
      <c r="H1460" s="96">
        <f t="shared" si="88"/>
        <v>550.46</v>
      </c>
      <c r="I1460" s="96">
        <f t="shared" si="88"/>
        <v>611.58000000000004</v>
      </c>
      <c r="J1460" s="91" t="str">
        <f t="shared" si="89"/>
        <v>Sinapi 104190</v>
      </c>
      <c r="K1460" s="91" t="str">
        <f t="shared" si="90"/>
        <v>UN</v>
      </c>
      <c r="L1460" s="166" t="str">
        <f t="shared" si="91"/>
        <v>12/2022</v>
      </c>
      <c r="M1460" s="82"/>
      <c r="N1460" s="82"/>
    </row>
    <row r="1461" spans="1:14" x14ac:dyDescent="0.25">
      <c r="A1461" s="170" t="s">
        <v>13856</v>
      </c>
      <c r="B1461" s="170" t="s">
        <v>13857</v>
      </c>
      <c r="C1461" s="170" t="s">
        <v>385</v>
      </c>
      <c r="D1461" s="170" t="s">
        <v>1947</v>
      </c>
      <c r="E1461" s="171" t="s">
        <v>13431</v>
      </c>
      <c r="F1461" s="171" t="s">
        <v>34992</v>
      </c>
      <c r="G1461" s="82"/>
      <c r="H1461" s="96">
        <f t="shared" si="88"/>
        <v>30</v>
      </c>
      <c r="I1461" s="96">
        <f t="shared" si="88"/>
        <v>30.61</v>
      </c>
      <c r="J1461" s="91" t="str">
        <f t="shared" si="89"/>
        <v>Sinapi 102661</v>
      </c>
      <c r="K1461" s="91" t="str">
        <f t="shared" si="90"/>
        <v>M</v>
      </c>
      <c r="L1461" s="166" t="str">
        <f t="shared" si="91"/>
        <v>07/2021</v>
      </c>
      <c r="M1461" s="82"/>
      <c r="N1461" s="82"/>
    </row>
    <row r="1462" spans="1:14" x14ac:dyDescent="0.25">
      <c r="A1462" s="170" t="s">
        <v>17979</v>
      </c>
      <c r="B1462" s="170" t="s">
        <v>17980</v>
      </c>
      <c r="C1462" s="170" t="s">
        <v>385</v>
      </c>
      <c r="D1462" s="170" t="s">
        <v>1947</v>
      </c>
      <c r="E1462" s="171" t="s">
        <v>32164</v>
      </c>
      <c r="F1462" s="171" t="s">
        <v>29145</v>
      </c>
      <c r="G1462" s="82"/>
      <c r="H1462" s="96">
        <f t="shared" si="88"/>
        <v>83.1</v>
      </c>
      <c r="I1462" s="96">
        <f t="shared" si="88"/>
        <v>83.94</v>
      </c>
      <c r="J1462" s="91" t="str">
        <f t="shared" si="89"/>
        <v>Sinapi 102662</v>
      </c>
      <c r="K1462" s="91" t="str">
        <f t="shared" si="90"/>
        <v>M</v>
      </c>
      <c r="L1462" s="166" t="str">
        <f t="shared" si="91"/>
        <v>07/2021</v>
      </c>
      <c r="M1462" s="82"/>
      <c r="N1462" s="82"/>
    </row>
    <row r="1463" spans="1:14" x14ac:dyDescent="0.25">
      <c r="A1463" s="170" t="s">
        <v>13858</v>
      </c>
      <c r="B1463" s="170" t="s">
        <v>13859</v>
      </c>
      <c r="C1463" s="170" t="s">
        <v>385</v>
      </c>
      <c r="D1463" s="170" t="s">
        <v>1947</v>
      </c>
      <c r="E1463" s="171" t="s">
        <v>32165</v>
      </c>
      <c r="F1463" s="171" t="s">
        <v>35460</v>
      </c>
      <c r="G1463" s="82"/>
      <c r="H1463" s="96">
        <f t="shared" si="88"/>
        <v>65.31</v>
      </c>
      <c r="I1463" s="96">
        <f t="shared" si="88"/>
        <v>66.239999999999995</v>
      </c>
      <c r="J1463" s="91" t="str">
        <f t="shared" si="89"/>
        <v>Sinapi 102663</v>
      </c>
      <c r="K1463" s="91" t="str">
        <f t="shared" si="90"/>
        <v>M</v>
      </c>
      <c r="L1463" s="166" t="str">
        <f t="shared" si="91"/>
        <v>07/2021</v>
      </c>
      <c r="M1463" s="82"/>
      <c r="N1463" s="82"/>
    </row>
    <row r="1464" spans="1:14" x14ac:dyDescent="0.25">
      <c r="A1464" s="170" t="s">
        <v>13860</v>
      </c>
      <c r="B1464" s="170" t="s">
        <v>13861</v>
      </c>
      <c r="C1464" s="170" t="s">
        <v>385</v>
      </c>
      <c r="D1464" s="170" t="s">
        <v>1947</v>
      </c>
      <c r="E1464" s="171" t="s">
        <v>32166</v>
      </c>
      <c r="F1464" s="171" t="s">
        <v>20341</v>
      </c>
      <c r="G1464" s="82"/>
      <c r="H1464" s="96">
        <f t="shared" si="88"/>
        <v>63.41</v>
      </c>
      <c r="I1464" s="96">
        <f t="shared" si="88"/>
        <v>64</v>
      </c>
      <c r="J1464" s="91" t="str">
        <f t="shared" si="89"/>
        <v>Sinapi 102664</v>
      </c>
      <c r="K1464" s="91" t="str">
        <f t="shared" si="90"/>
        <v>M</v>
      </c>
      <c r="L1464" s="166" t="str">
        <f t="shared" si="91"/>
        <v>07/2021</v>
      </c>
      <c r="M1464" s="82"/>
      <c r="N1464" s="82"/>
    </row>
    <row r="1465" spans="1:14" x14ac:dyDescent="0.25">
      <c r="A1465" s="170" t="s">
        <v>13862</v>
      </c>
      <c r="B1465" s="170" t="s">
        <v>13863</v>
      </c>
      <c r="C1465" s="170" t="s">
        <v>385</v>
      </c>
      <c r="D1465" s="170" t="s">
        <v>1947</v>
      </c>
      <c r="E1465" s="171" t="s">
        <v>21527</v>
      </c>
      <c r="F1465" s="171" t="s">
        <v>32098</v>
      </c>
      <c r="G1465" s="82"/>
      <c r="H1465" s="96">
        <f t="shared" si="88"/>
        <v>47.58</v>
      </c>
      <c r="I1465" s="96">
        <f t="shared" si="88"/>
        <v>48.14</v>
      </c>
      <c r="J1465" s="91" t="str">
        <f t="shared" si="89"/>
        <v>Sinapi 102665</v>
      </c>
      <c r="K1465" s="91" t="str">
        <f t="shared" si="90"/>
        <v>M</v>
      </c>
      <c r="L1465" s="166" t="str">
        <f t="shared" si="91"/>
        <v>07/2021</v>
      </c>
      <c r="M1465" s="82"/>
      <c r="N1465" s="82"/>
    </row>
    <row r="1466" spans="1:14" x14ac:dyDescent="0.25">
      <c r="A1466" s="170" t="s">
        <v>13864</v>
      </c>
      <c r="B1466" s="170" t="s">
        <v>13865</v>
      </c>
      <c r="C1466" s="170" t="s">
        <v>385</v>
      </c>
      <c r="D1466" s="170" t="s">
        <v>1947</v>
      </c>
      <c r="E1466" s="171" t="s">
        <v>29300</v>
      </c>
      <c r="F1466" s="171" t="s">
        <v>35461</v>
      </c>
      <c r="G1466" s="82"/>
      <c r="H1466" s="96">
        <f t="shared" si="88"/>
        <v>73.7</v>
      </c>
      <c r="I1466" s="96">
        <f t="shared" si="88"/>
        <v>74.349999999999994</v>
      </c>
      <c r="J1466" s="91" t="str">
        <f t="shared" si="89"/>
        <v>Sinapi 102666</v>
      </c>
      <c r="K1466" s="91" t="str">
        <f t="shared" si="90"/>
        <v>M</v>
      </c>
      <c r="L1466" s="166" t="str">
        <f t="shared" si="91"/>
        <v>07/2021</v>
      </c>
      <c r="M1466" s="82"/>
      <c r="N1466" s="82"/>
    </row>
    <row r="1467" spans="1:14" x14ac:dyDescent="0.25">
      <c r="A1467" s="170" t="s">
        <v>17981</v>
      </c>
      <c r="B1467" s="170" t="s">
        <v>17982</v>
      </c>
      <c r="C1467" s="170" t="s">
        <v>385</v>
      </c>
      <c r="D1467" s="170" t="s">
        <v>1947</v>
      </c>
      <c r="E1467" s="171" t="s">
        <v>32167</v>
      </c>
      <c r="F1467" s="171" t="s">
        <v>34337</v>
      </c>
      <c r="G1467" s="82"/>
      <c r="H1467" s="96">
        <f t="shared" si="88"/>
        <v>126.8</v>
      </c>
      <c r="I1467" s="96">
        <f t="shared" si="88"/>
        <v>127.69</v>
      </c>
      <c r="J1467" s="91" t="str">
        <f t="shared" si="89"/>
        <v>Sinapi 102668</v>
      </c>
      <c r="K1467" s="91" t="str">
        <f t="shared" si="90"/>
        <v>M</v>
      </c>
      <c r="L1467" s="166" t="str">
        <f t="shared" si="91"/>
        <v>07/2021</v>
      </c>
      <c r="M1467" s="82"/>
      <c r="N1467" s="82"/>
    </row>
    <row r="1468" spans="1:14" x14ac:dyDescent="0.25">
      <c r="A1468" s="170" t="s">
        <v>13866</v>
      </c>
      <c r="B1468" s="170" t="s">
        <v>13867</v>
      </c>
      <c r="C1468" s="170" t="s">
        <v>385</v>
      </c>
      <c r="D1468" s="170" t="s">
        <v>1947</v>
      </c>
      <c r="E1468" s="171" t="s">
        <v>32168</v>
      </c>
      <c r="F1468" s="171" t="s">
        <v>23075</v>
      </c>
      <c r="G1468" s="82"/>
      <c r="H1468" s="96">
        <f t="shared" si="88"/>
        <v>104.69</v>
      </c>
      <c r="I1468" s="96">
        <f t="shared" si="88"/>
        <v>105.66</v>
      </c>
      <c r="J1468" s="91" t="str">
        <f t="shared" si="89"/>
        <v>Sinapi 102669</v>
      </c>
      <c r="K1468" s="91" t="str">
        <f t="shared" si="90"/>
        <v>M</v>
      </c>
      <c r="L1468" s="166" t="str">
        <f t="shared" si="91"/>
        <v>07/2021</v>
      </c>
      <c r="M1468" s="82"/>
      <c r="N1468" s="82"/>
    </row>
    <row r="1469" spans="1:14" x14ac:dyDescent="0.25">
      <c r="A1469" s="170" t="s">
        <v>13868</v>
      </c>
      <c r="B1469" s="170" t="s">
        <v>13869</v>
      </c>
      <c r="C1469" s="170" t="s">
        <v>385</v>
      </c>
      <c r="D1469" s="170" t="s">
        <v>1947</v>
      </c>
      <c r="E1469" s="171" t="s">
        <v>32169</v>
      </c>
      <c r="F1469" s="171" t="s">
        <v>32164</v>
      </c>
      <c r="G1469" s="82"/>
      <c r="H1469" s="96">
        <f t="shared" si="88"/>
        <v>81.84</v>
      </c>
      <c r="I1469" s="96">
        <f t="shared" si="88"/>
        <v>83.1</v>
      </c>
      <c r="J1469" s="91" t="str">
        <f t="shared" si="89"/>
        <v>Sinapi 102670</v>
      </c>
      <c r="K1469" s="91" t="str">
        <f t="shared" si="90"/>
        <v>M</v>
      </c>
      <c r="L1469" s="166" t="str">
        <f t="shared" si="91"/>
        <v>07/2021</v>
      </c>
      <c r="M1469" s="82"/>
      <c r="N1469" s="82"/>
    </row>
    <row r="1470" spans="1:14" x14ac:dyDescent="0.25">
      <c r="A1470" s="170" t="s">
        <v>17983</v>
      </c>
      <c r="B1470" s="170" t="s">
        <v>17984</v>
      </c>
      <c r="C1470" s="170" t="s">
        <v>385</v>
      </c>
      <c r="D1470" s="170" t="s">
        <v>1947</v>
      </c>
      <c r="E1470" s="171" t="s">
        <v>32170</v>
      </c>
      <c r="F1470" s="171" t="s">
        <v>29419</v>
      </c>
      <c r="G1470" s="82"/>
      <c r="H1470" s="96">
        <f t="shared" si="88"/>
        <v>147.30000000000001</v>
      </c>
      <c r="I1470" s="96">
        <f t="shared" si="88"/>
        <v>149.58000000000001</v>
      </c>
      <c r="J1470" s="91" t="str">
        <f t="shared" si="89"/>
        <v>Sinapi 102672</v>
      </c>
      <c r="K1470" s="91" t="str">
        <f t="shared" si="90"/>
        <v>M</v>
      </c>
      <c r="L1470" s="166" t="str">
        <f t="shared" si="91"/>
        <v>07/2021</v>
      </c>
      <c r="M1470" s="82"/>
      <c r="N1470" s="82"/>
    </row>
    <row r="1471" spans="1:14" x14ac:dyDescent="0.25">
      <c r="A1471" s="170" t="s">
        <v>13870</v>
      </c>
      <c r="B1471" s="170" t="s">
        <v>13871</v>
      </c>
      <c r="C1471" s="170" t="s">
        <v>385</v>
      </c>
      <c r="D1471" s="170" t="s">
        <v>1947</v>
      </c>
      <c r="E1471" s="171" t="s">
        <v>32171</v>
      </c>
      <c r="F1471" s="171" t="s">
        <v>35462</v>
      </c>
      <c r="G1471" s="82"/>
      <c r="H1471" s="96">
        <f t="shared" si="88"/>
        <v>141.41999999999999</v>
      </c>
      <c r="I1471" s="96">
        <f t="shared" si="88"/>
        <v>144.55000000000001</v>
      </c>
      <c r="J1471" s="91" t="str">
        <f t="shared" si="89"/>
        <v>Sinapi 102673</v>
      </c>
      <c r="K1471" s="91" t="str">
        <f t="shared" si="90"/>
        <v>M</v>
      </c>
      <c r="L1471" s="166" t="str">
        <f t="shared" si="91"/>
        <v>07/2021</v>
      </c>
      <c r="M1471" s="82"/>
      <c r="N1471" s="82"/>
    </row>
    <row r="1472" spans="1:14" x14ac:dyDescent="0.25">
      <c r="A1472" s="170" t="s">
        <v>13872</v>
      </c>
      <c r="B1472" s="170" t="s">
        <v>13873</v>
      </c>
      <c r="C1472" s="170" t="s">
        <v>385</v>
      </c>
      <c r="D1472" s="170" t="s">
        <v>1947</v>
      </c>
      <c r="E1472" s="171" t="s">
        <v>32172</v>
      </c>
      <c r="F1472" s="171" t="s">
        <v>35463</v>
      </c>
      <c r="G1472" s="82"/>
      <c r="H1472" s="96">
        <f t="shared" si="88"/>
        <v>89.15</v>
      </c>
      <c r="I1472" s="96">
        <f t="shared" si="88"/>
        <v>90.34</v>
      </c>
      <c r="J1472" s="91" t="str">
        <f t="shared" si="89"/>
        <v>Sinapi 102674</v>
      </c>
      <c r="K1472" s="91" t="str">
        <f t="shared" si="90"/>
        <v>M</v>
      </c>
      <c r="L1472" s="166" t="str">
        <f t="shared" si="91"/>
        <v>07/2021</v>
      </c>
      <c r="M1472" s="82"/>
      <c r="N1472" s="82"/>
    </row>
    <row r="1473" spans="1:14" x14ac:dyDescent="0.25">
      <c r="A1473" s="170" t="s">
        <v>17985</v>
      </c>
      <c r="B1473" s="170" t="s">
        <v>17986</v>
      </c>
      <c r="C1473" s="170" t="s">
        <v>385</v>
      </c>
      <c r="D1473" s="170" t="s">
        <v>1947</v>
      </c>
      <c r="E1473" s="171" t="s">
        <v>22078</v>
      </c>
      <c r="F1473" s="171" t="s">
        <v>35464</v>
      </c>
      <c r="G1473" s="82"/>
      <c r="H1473" s="96">
        <f t="shared" si="88"/>
        <v>145.41</v>
      </c>
      <c r="I1473" s="96">
        <f t="shared" si="88"/>
        <v>147.03</v>
      </c>
      <c r="J1473" s="91" t="str">
        <f t="shared" si="89"/>
        <v>Sinapi 102676</v>
      </c>
      <c r="K1473" s="91" t="str">
        <f t="shared" si="90"/>
        <v>M</v>
      </c>
      <c r="L1473" s="166" t="str">
        <f t="shared" si="91"/>
        <v>07/2021</v>
      </c>
      <c r="M1473" s="82"/>
      <c r="N1473" s="82"/>
    </row>
    <row r="1474" spans="1:14" x14ac:dyDescent="0.25">
      <c r="A1474" s="170" t="s">
        <v>13874</v>
      </c>
      <c r="B1474" s="170" t="s">
        <v>13875</v>
      </c>
      <c r="C1474" s="170" t="s">
        <v>385</v>
      </c>
      <c r="D1474" s="170" t="s">
        <v>1947</v>
      </c>
      <c r="E1474" s="171" t="s">
        <v>31850</v>
      </c>
      <c r="F1474" s="171" t="s">
        <v>29445</v>
      </c>
      <c r="G1474" s="82"/>
      <c r="H1474" s="96">
        <f t="shared" si="88"/>
        <v>129.88</v>
      </c>
      <c r="I1474" s="96">
        <f t="shared" si="88"/>
        <v>131.74</v>
      </c>
      <c r="J1474" s="91" t="str">
        <f t="shared" si="89"/>
        <v>Sinapi 102677</v>
      </c>
      <c r="K1474" s="91" t="str">
        <f t="shared" si="90"/>
        <v>M</v>
      </c>
      <c r="L1474" s="166" t="str">
        <f t="shared" si="91"/>
        <v>07/2021</v>
      </c>
      <c r="M1474" s="82"/>
      <c r="N1474" s="82"/>
    </row>
    <row r="1475" spans="1:14" x14ac:dyDescent="0.25">
      <c r="A1475" s="170" t="s">
        <v>13876</v>
      </c>
      <c r="B1475" s="170" t="s">
        <v>13877</v>
      </c>
      <c r="C1475" s="170" t="s">
        <v>385</v>
      </c>
      <c r="D1475" s="170" t="s">
        <v>1947</v>
      </c>
      <c r="E1475" s="171" t="s">
        <v>32173</v>
      </c>
      <c r="F1475" s="171" t="s">
        <v>35465</v>
      </c>
      <c r="G1475" s="82"/>
      <c r="H1475" s="96">
        <f t="shared" si="88"/>
        <v>213.51</v>
      </c>
      <c r="I1475" s="96">
        <f t="shared" si="88"/>
        <v>214.74</v>
      </c>
      <c r="J1475" s="91" t="str">
        <f t="shared" si="89"/>
        <v>Sinapi 102678</v>
      </c>
      <c r="K1475" s="91" t="str">
        <f t="shared" si="90"/>
        <v>M</v>
      </c>
      <c r="L1475" s="166" t="str">
        <f t="shared" si="91"/>
        <v>07/2021</v>
      </c>
      <c r="M1475" s="82"/>
      <c r="N1475" s="82"/>
    </row>
    <row r="1476" spans="1:14" x14ac:dyDescent="0.25">
      <c r="A1476" s="170" t="s">
        <v>13878</v>
      </c>
      <c r="B1476" s="170" t="s">
        <v>13879</v>
      </c>
      <c r="C1476" s="170" t="s">
        <v>385</v>
      </c>
      <c r="D1476" s="170" t="s">
        <v>1947</v>
      </c>
      <c r="E1476" s="171" t="s">
        <v>32174</v>
      </c>
      <c r="F1476" s="171" t="s">
        <v>35466</v>
      </c>
      <c r="G1476" s="82"/>
      <c r="H1476" s="96">
        <f t="shared" si="88"/>
        <v>245.58</v>
      </c>
      <c r="I1476" s="96">
        <f t="shared" si="88"/>
        <v>246.69</v>
      </c>
      <c r="J1476" s="91" t="str">
        <f t="shared" si="89"/>
        <v>Sinapi 102679</v>
      </c>
      <c r="K1476" s="91" t="str">
        <f t="shared" si="90"/>
        <v>M</v>
      </c>
      <c r="L1476" s="166" t="str">
        <f t="shared" si="91"/>
        <v>07/2021</v>
      </c>
      <c r="M1476" s="82"/>
      <c r="N1476" s="82"/>
    </row>
    <row r="1477" spans="1:14" x14ac:dyDescent="0.25">
      <c r="A1477" s="170" t="s">
        <v>13880</v>
      </c>
      <c r="B1477" s="170" t="s">
        <v>13881</v>
      </c>
      <c r="C1477" s="170" t="s">
        <v>385</v>
      </c>
      <c r="D1477" s="170" t="s">
        <v>1947</v>
      </c>
      <c r="E1477" s="171" t="s">
        <v>32175</v>
      </c>
      <c r="F1477" s="171" t="s">
        <v>35467</v>
      </c>
      <c r="G1477" s="82"/>
      <c r="H1477" s="96">
        <f t="shared" si="88"/>
        <v>224.89</v>
      </c>
      <c r="I1477" s="96">
        <f t="shared" si="88"/>
        <v>226.26</v>
      </c>
      <c r="J1477" s="91" t="str">
        <f t="shared" si="89"/>
        <v>Sinapi 102680</v>
      </c>
      <c r="K1477" s="91" t="str">
        <f t="shared" si="90"/>
        <v>M</v>
      </c>
      <c r="L1477" s="166" t="str">
        <f t="shared" si="91"/>
        <v>07/2021</v>
      </c>
      <c r="M1477" s="82"/>
      <c r="N1477" s="82"/>
    </row>
    <row r="1478" spans="1:14" x14ac:dyDescent="0.25">
      <c r="A1478" s="170" t="s">
        <v>17987</v>
      </c>
      <c r="B1478" s="170" t="s">
        <v>17988</v>
      </c>
      <c r="C1478" s="170" t="s">
        <v>385</v>
      </c>
      <c r="D1478" s="170" t="s">
        <v>1947</v>
      </c>
      <c r="E1478" s="171" t="s">
        <v>32176</v>
      </c>
      <c r="F1478" s="171" t="s">
        <v>35468</v>
      </c>
      <c r="G1478" s="82"/>
      <c r="H1478" s="96">
        <f t="shared" si="88"/>
        <v>281.16000000000003</v>
      </c>
      <c r="I1478" s="96">
        <f t="shared" si="88"/>
        <v>282.95999999999998</v>
      </c>
      <c r="J1478" s="91" t="str">
        <f t="shared" si="89"/>
        <v>Sinapi 102681</v>
      </c>
      <c r="K1478" s="91" t="str">
        <f t="shared" si="90"/>
        <v>M</v>
      </c>
      <c r="L1478" s="166" t="str">
        <f t="shared" si="91"/>
        <v>07/2021</v>
      </c>
      <c r="M1478" s="82"/>
      <c r="N1478" s="82"/>
    </row>
    <row r="1479" spans="1:14" x14ac:dyDescent="0.25">
      <c r="A1479" s="170" t="s">
        <v>13882</v>
      </c>
      <c r="B1479" s="170" t="s">
        <v>13883</v>
      </c>
      <c r="C1479" s="170" t="s">
        <v>385</v>
      </c>
      <c r="D1479" s="170" t="s">
        <v>1947</v>
      </c>
      <c r="E1479" s="171" t="s">
        <v>32177</v>
      </c>
      <c r="F1479" s="171" t="s">
        <v>35469</v>
      </c>
      <c r="G1479" s="82"/>
      <c r="H1479" s="96">
        <f t="shared" si="88"/>
        <v>267.57</v>
      </c>
      <c r="I1479" s="96">
        <f t="shared" si="88"/>
        <v>269.72000000000003</v>
      </c>
      <c r="J1479" s="91" t="str">
        <f t="shared" si="89"/>
        <v>Sinapi 102683</v>
      </c>
      <c r="K1479" s="91" t="str">
        <f t="shared" si="90"/>
        <v>M</v>
      </c>
      <c r="L1479" s="166" t="str">
        <f t="shared" si="91"/>
        <v>07/2021</v>
      </c>
      <c r="M1479" s="82"/>
      <c r="N1479" s="82"/>
    </row>
    <row r="1480" spans="1:14" x14ac:dyDescent="0.25">
      <c r="A1480" s="170" t="s">
        <v>13884</v>
      </c>
      <c r="B1480" s="170" t="s">
        <v>13885</v>
      </c>
      <c r="C1480" s="170" t="s">
        <v>385</v>
      </c>
      <c r="D1480" s="170" t="s">
        <v>1947</v>
      </c>
      <c r="E1480" s="171" t="s">
        <v>32178</v>
      </c>
      <c r="F1480" s="171" t="s">
        <v>35470</v>
      </c>
      <c r="G1480" s="82"/>
      <c r="H1480" s="96">
        <f t="shared" ref="H1480:I1543" si="92">IF(E1480="","",E1480+0)</f>
        <v>256.95999999999998</v>
      </c>
      <c r="I1480" s="96">
        <f t="shared" si="92"/>
        <v>258.22000000000003</v>
      </c>
      <c r="J1480" s="91" t="str">
        <f t="shared" ref="J1480:J1543" si="93">IF(OR(H1480="",I1480=""),"",TRIM(CONCATENATE("Sinapi ",A1480)))</f>
        <v>Sinapi 102684</v>
      </c>
      <c r="K1480" s="91" t="str">
        <f t="shared" ref="K1480:K1543" si="94">TRIM(C1480)</f>
        <v>M</v>
      </c>
      <c r="L1480" s="166" t="str">
        <f t="shared" ref="L1480:L1543" si="95">IF(OR(RIGHT(IF(AND(K1480&lt;&gt;"H",K1480&lt;&gt;"MES"),RIGHT(B1480,7),""),2)="PS",RIGHT(IF(AND(K1480&lt;&gt;"H",K1480&lt;&gt;"MES"),RIGHT(B1480,7),""),2)="PA",RIGHT(IF(AND(K1480&lt;&gt;"H",K1480&lt;&gt;"MES"),RIGHT(B1480,7),""),2)="PE"),LEFT(IF(AND(K1480&lt;&gt;"H",K1480&lt;&gt;"MES"),RIGHT(B1480,10),""),7),IF(AND(K1480&lt;&gt;"H",K1480&lt;&gt;"MES"),RIGHT(B1480,7),""))</f>
        <v>07/2021</v>
      </c>
      <c r="M1480" s="82"/>
      <c r="N1480" s="82"/>
    </row>
    <row r="1481" spans="1:14" x14ac:dyDescent="0.25">
      <c r="A1481" s="170" t="s">
        <v>17989</v>
      </c>
      <c r="B1481" s="170" t="s">
        <v>17990</v>
      </c>
      <c r="C1481" s="170" t="s">
        <v>385</v>
      </c>
      <c r="D1481" s="170" t="s">
        <v>1947</v>
      </c>
      <c r="E1481" s="171" t="s">
        <v>32179</v>
      </c>
      <c r="F1481" s="171" t="s">
        <v>35471</v>
      </c>
      <c r="G1481" s="82"/>
      <c r="H1481" s="96">
        <f t="shared" si="92"/>
        <v>313.23</v>
      </c>
      <c r="I1481" s="96">
        <f t="shared" si="92"/>
        <v>314.92</v>
      </c>
      <c r="J1481" s="91" t="str">
        <f t="shared" si="93"/>
        <v>Sinapi 102685</v>
      </c>
      <c r="K1481" s="91" t="str">
        <f t="shared" si="94"/>
        <v>M</v>
      </c>
      <c r="L1481" s="166" t="str">
        <f t="shared" si="95"/>
        <v>07/2021</v>
      </c>
      <c r="M1481" s="82"/>
      <c r="N1481" s="82"/>
    </row>
    <row r="1482" spans="1:14" x14ac:dyDescent="0.25">
      <c r="A1482" s="170" t="s">
        <v>13886</v>
      </c>
      <c r="B1482" s="170" t="s">
        <v>13887</v>
      </c>
      <c r="C1482" s="170" t="s">
        <v>385</v>
      </c>
      <c r="D1482" s="170" t="s">
        <v>1947</v>
      </c>
      <c r="E1482" s="171" t="s">
        <v>32180</v>
      </c>
      <c r="F1482" s="171" t="s">
        <v>26995</v>
      </c>
      <c r="G1482" s="82"/>
      <c r="H1482" s="96">
        <f t="shared" si="92"/>
        <v>293.37</v>
      </c>
      <c r="I1482" s="96">
        <f t="shared" si="92"/>
        <v>295.3</v>
      </c>
      <c r="J1482" s="91" t="str">
        <f t="shared" si="93"/>
        <v>Sinapi 102687</v>
      </c>
      <c r="K1482" s="91" t="str">
        <f t="shared" si="94"/>
        <v>M</v>
      </c>
      <c r="L1482" s="166" t="str">
        <f t="shared" si="95"/>
        <v>07/2021</v>
      </c>
      <c r="M1482" s="82"/>
      <c r="N1482" s="82"/>
    </row>
    <row r="1483" spans="1:14" x14ac:dyDescent="0.25">
      <c r="A1483" s="170" t="s">
        <v>13888</v>
      </c>
      <c r="B1483" s="170" t="s">
        <v>13889</v>
      </c>
      <c r="C1483" s="170" t="s">
        <v>385</v>
      </c>
      <c r="D1483" s="170" t="s">
        <v>1947</v>
      </c>
      <c r="E1483" s="171" t="s">
        <v>21370</v>
      </c>
      <c r="F1483" s="171" t="s">
        <v>35472</v>
      </c>
      <c r="G1483" s="82"/>
      <c r="H1483" s="96">
        <f t="shared" si="92"/>
        <v>35.51</v>
      </c>
      <c r="I1483" s="96">
        <f t="shared" si="92"/>
        <v>36.44</v>
      </c>
      <c r="J1483" s="91" t="str">
        <f t="shared" si="93"/>
        <v>Sinapi 102688</v>
      </c>
      <c r="K1483" s="91" t="str">
        <f t="shared" si="94"/>
        <v>M</v>
      </c>
      <c r="L1483" s="166" t="str">
        <f t="shared" si="95"/>
        <v>07/2021</v>
      </c>
      <c r="M1483" s="82"/>
      <c r="N1483" s="82"/>
    </row>
    <row r="1484" spans="1:14" x14ac:dyDescent="0.25">
      <c r="A1484" s="170" t="s">
        <v>17991</v>
      </c>
      <c r="B1484" s="170" t="s">
        <v>17992</v>
      </c>
      <c r="C1484" s="170" t="s">
        <v>385</v>
      </c>
      <c r="D1484" s="170" t="s">
        <v>1947</v>
      </c>
      <c r="E1484" s="171" t="s">
        <v>28026</v>
      </c>
      <c r="F1484" s="171" t="s">
        <v>34473</v>
      </c>
      <c r="G1484" s="82"/>
      <c r="H1484" s="96">
        <f t="shared" si="92"/>
        <v>114.2</v>
      </c>
      <c r="I1484" s="96">
        <f t="shared" si="92"/>
        <v>115.21</v>
      </c>
      <c r="J1484" s="91" t="str">
        <f t="shared" si="93"/>
        <v>Sinapi 102689</v>
      </c>
      <c r="K1484" s="91" t="str">
        <f t="shared" si="94"/>
        <v>M</v>
      </c>
      <c r="L1484" s="166" t="str">
        <f t="shared" si="95"/>
        <v>07/2021</v>
      </c>
      <c r="M1484" s="82"/>
      <c r="N1484" s="82"/>
    </row>
    <row r="1485" spans="1:14" x14ac:dyDescent="0.25">
      <c r="A1485" s="170" t="s">
        <v>13890</v>
      </c>
      <c r="B1485" s="170" t="s">
        <v>13891</v>
      </c>
      <c r="C1485" s="170" t="s">
        <v>385</v>
      </c>
      <c r="D1485" s="170" t="s">
        <v>1947</v>
      </c>
      <c r="E1485" s="171" t="s">
        <v>32181</v>
      </c>
      <c r="F1485" s="171" t="s">
        <v>33555</v>
      </c>
      <c r="G1485" s="82"/>
      <c r="H1485" s="96">
        <f t="shared" si="92"/>
        <v>79.22</v>
      </c>
      <c r="I1485" s="96">
        <f t="shared" si="92"/>
        <v>80.180000000000007</v>
      </c>
      <c r="J1485" s="91" t="str">
        <f t="shared" si="93"/>
        <v>Sinapi 102690</v>
      </c>
      <c r="K1485" s="91" t="str">
        <f t="shared" si="94"/>
        <v>M</v>
      </c>
      <c r="L1485" s="166" t="str">
        <f t="shared" si="95"/>
        <v>07/2021</v>
      </c>
      <c r="M1485" s="82"/>
      <c r="N1485" s="82"/>
    </row>
    <row r="1486" spans="1:14" x14ac:dyDescent="0.25">
      <c r="A1486" s="170" t="s">
        <v>17993</v>
      </c>
      <c r="B1486" s="170" t="s">
        <v>17994</v>
      </c>
      <c r="C1486" s="170" t="s">
        <v>385</v>
      </c>
      <c r="D1486" s="170" t="s">
        <v>1947</v>
      </c>
      <c r="E1486" s="171" t="s">
        <v>28531</v>
      </c>
      <c r="F1486" s="171" t="s">
        <v>35473</v>
      </c>
      <c r="G1486" s="82"/>
      <c r="H1486" s="96">
        <f t="shared" si="92"/>
        <v>130.03</v>
      </c>
      <c r="I1486" s="96">
        <f t="shared" si="92"/>
        <v>131.07</v>
      </c>
      <c r="J1486" s="91" t="str">
        <f t="shared" si="93"/>
        <v>Sinapi 102693</v>
      </c>
      <c r="K1486" s="91" t="str">
        <f t="shared" si="94"/>
        <v>M</v>
      </c>
      <c r="L1486" s="166" t="str">
        <f t="shared" si="95"/>
        <v>07/2021</v>
      </c>
      <c r="M1486" s="82"/>
      <c r="N1486" s="82"/>
    </row>
    <row r="1487" spans="1:14" x14ac:dyDescent="0.25">
      <c r="A1487" s="170" t="s">
        <v>13892</v>
      </c>
      <c r="B1487" s="170" t="s">
        <v>13893</v>
      </c>
      <c r="C1487" s="170" t="s">
        <v>385</v>
      </c>
      <c r="D1487" s="170" t="s">
        <v>1947</v>
      </c>
      <c r="E1487" s="171" t="s">
        <v>20111</v>
      </c>
      <c r="F1487" s="171" t="s">
        <v>35474</v>
      </c>
      <c r="G1487" s="82"/>
      <c r="H1487" s="96">
        <f t="shared" si="92"/>
        <v>63.23</v>
      </c>
      <c r="I1487" s="96">
        <f t="shared" si="92"/>
        <v>64.5</v>
      </c>
      <c r="J1487" s="91" t="str">
        <f t="shared" si="93"/>
        <v>Sinapi 102694</v>
      </c>
      <c r="K1487" s="91" t="str">
        <f t="shared" si="94"/>
        <v>M</v>
      </c>
      <c r="L1487" s="166" t="str">
        <f t="shared" si="95"/>
        <v>07/2021</v>
      </c>
      <c r="M1487" s="82"/>
      <c r="N1487" s="82"/>
    </row>
    <row r="1488" spans="1:14" x14ac:dyDescent="0.25">
      <c r="A1488" s="170" t="s">
        <v>17995</v>
      </c>
      <c r="B1488" s="170" t="s">
        <v>17996</v>
      </c>
      <c r="C1488" s="170" t="s">
        <v>385</v>
      </c>
      <c r="D1488" s="170" t="s">
        <v>1947</v>
      </c>
      <c r="E1488" s="171" t="s">
        <v>21969</v>
      </c>
      <c r="F1488" s="171" t="s">
        <v>35475</v>
      </c>
      <c r="G1488" s="82"/>
      <c r="H1488" s="96">
        <f t="shared" si="92"/>
        <v>113.9</v>
      </c>
      <c r="I1488" s="96">
        <f t="shared" si="92"/>
        <v>115.31</v>
      </c>
      <c r="J1488" s="91" t="str">
        <f t="shared" si="93"/>
        <v>Sinapi 102696</v>
      </c>
      <c r="K1488" s="91" t="str">
        <f t="shared" si="94"/>
        <v>M</v>
      </c>
      <c r="L1488" s="166" t="str">
        <f t="shared" si="95"/>
        <v>07/2021</v>
      </c>
      <c r="M1488" s="82"/>
      <c r="N1488" s="82"/>
    </row>
    <row r="1489" spans="1:14" x14ac:dyDescent="0.25">
      <c r="A1489" s="170" t="s">
        <v>13894</v>
      </c>
      <c r="B1489" s="170" t="s">
        <v>13895</v>
      </c>
      <c r="C1489" s="170" t="s">
        <v>385</v>
      </c>
      <c r="D1489" s="170" t="s">
        <v>1947</v>
      </c>
      <c r="E1489" s="171" t="s">
        <v>32182</v>
      </c>
      <c r="F1489" s="171" t="s">
        <v>35476</v>
      </c>
      <c r="G1489" s="82"/>
      <c r="H1489" s="96">
        <f t="shared" si="92"/>
        <v>156.9</v>
      </c>
      <c r="I1489" s="96">
        <f t="shared" si="92"/>
        <v>158.25</v>
      </c>
      <c r="J1489" s="91" t="str">
        <f t="shared" si="93"/>
        <v>Sinapi 102697</v>
      </c>
      <c r="K1489" s="91" t="str">
        <f t="shared" si="94"/>
        <v>M</v>
      </c>
      <c r="L1489" s="166" t="str">
        <f t="shared" si="95"/>
        <v>07/2021</v>
      </c>
      <c r="M1489" s="82"/>
      <c r="N1489" s="82"/>
    </row>
    <row r="1490" spans="1:14" x14ac:dyDescent="0.25">
      <c r="A1490" s="170" t="s">
        <v>17997</v>
      </c>
      <c r="B1490" s="170" t="s">
        <v>17998</v>
      </c>
      <c r="C1490" s="170" t="s">
        <v>385</v>
      </c>
      <c r="D1490" s="170" t="s">
        <v>1947</v>
      </c>
      <c r="E1490" s="171" t="s">
        <v>32183</v>
      </c>
      <c r="F1490" s="171" t="s">
        <v>35477</v>
      </c>
      <c r="G1490" s="82"/>
      <c r="H1490" s="96">
        <f t="shared" si="92"/>
        <v>207.57</v>
      </c>
      <c r="I1490" s="96">
        <f t="shared" si="92"/>
        <v>209.05</v>
      </c>
      <c r="J1490" s="91" t="str">
        <f t="shared" si="93"/>
        <v>Sinapi 102703</v>
      </c>
      <c r="K1490" s="91" t="str">
        <f t="shared" si="94"/>
        <v>M</v>
      </c>
      <c r="L1490" s="166" t="str">
        <f t="shared" si="95"/>
        <v>07/2021</v>
      </c>
      <c r="M1490" s="82"/>
      <c r="N1490" s="82"/>
    </row>
    <row r="1491" spans="1:14" x14ac:dyDescent="0.25">
      <c r="A1491" s="170" t="s">
        <v>13896</v>
      </c>
      <c r="B1491" s="170" t="s">
        <v>13897</v>
      </c>
      <c r="C1491" s="170" t="s">
        <v>385</v>
      </c>
      <c r="D1491" s="170" t="s">
        <v>1947</v>
      </c>
      <c r="E1491" s="171" t="s">
        <v>16722</v>
      </c>
      <c r="F1491" s="171" t="s">
        <v>28559</v>
      </c>
      <c r="G1491" s="82"/>
      <c r="H1491" s="96">
        <f t="shared" si="92"/>
        <v>12.26</v>
      </c>
      <c r="I1491" s="96">
        <f t="shared" si="92"/>
        <v>12.3</v>
      </c>
      <c r="J1491" s="91" t="str">
        <f t="shared" si="93"/>
        <v>Sinapi 102704</v>
      </c>
      <c r="K1491" s="91" t="str">
        <f t="shared" si="94"/>
        <v>M</v>
      </c>
      <c r="L1491" s="166" t="str">
        <f t="shared" si="95"/>
        <v>07/2021</v>
      </c>
      <c r="M1491" s="82"/>
      <c r="N1491" s="82"/>
    </row>
    <row r="1492" spans="1:14" x14ac:dyDescent="0.25">
      <c r="A1492" s="170" t="s">
        <v>17999</v>
      </c>
      <c r="B1492" s="170" t="s">
        <v>18000</v>
      </c>
      <c r="C1492" s="170" t="s">
        <v>385</v>
      </c>
      <c r="D1492" s="170" t="s">
        <v>2067</v>
      </c>
      <c r="E1492" s="171" t="s">
        <v>22854</v>
      </c>
      <c r="F1492" s="171" t="s">
        <v>29427</v>
      </c>
      <c r="G1492" s="82"/>
      <c r="H1492" s="96">
        <f t="shared" si="92"/>
        <v>62.04</v>
      </c>
      <c r="I1492" s="96">
        <f t="shared" si="92"/>
        <v>62.08</v>
      </c>
      <c r="J1492" s="91" t="str">
        <f t="shared" si="93"/>
        <v>Sinapi 102705</v>
      </c>
      <c r="K1492" s="91" t="str">
        <f t="shared" si="94"/>
        <v>M</v>
      </c>
      <c r="L1492" s="166" t="str">
        <f t="shared" si="95"/>
        <v>07/2021</v>
      </c>
      <c r="M1492" s="82"/>
      <c r="N1492" s="82"/>
    </row>
    <row r="1493" spans="1:14" x14ac:dyDescent="0.25">
      <c r="A1493" s="170" t="s">
        <v>13898</v>
      </c>
      <c r="B1493" s="170" t="s">
        <v>13899</v>
      </c>
      <c r="C1493" s="170" t="s">
        <v>385</v>
      </c>
      <c r="D1493" s="170" t="s">
        <v>2067</v>
      </c>
      <c r="E1493" s="171" t="s">
        <v>32184</v>
      </c>
      <c r="F1493" s="171" t="s">
        <v>28670</v>
      </c>
      <c r="G1493" s="82"/>
      <c r="H1493" s="96">
        <f t="shared" si="92"/>
        <v>50.42</v>
      </c>
      <c r="I1493" s="96">
        <f t="shared" si="92"/>
        <v>50.89</v>
      </c>
      <c r="J1493" s="91" t="str">
        <f t="shared" si="93"/>
        <v>Sinapi 102707</v>
      </c>
      <c r="K1493" s="91" t="str">
        <f t="shared" si="94"/>
        <v>M</v>
      </c>
      <c r="L1493" s="166" t="str">
        <f t="shared" si="95"/>
        <v>07/2021</v>
      </c>
      <c r="M1493" s="82"/>
      <c r="N1493" s="82"/>
    </row>
    <row r="1494" spans="1:14" x14ac:dyDescent="0.25">
      <c r="A1494" s="170" t="s">
        <v>13900</v>
      </c>
      <c r="B1494" s="170" t="s">
        <v>13901</v>
      </c>
      <c r="C1494" s="170" t="s">
        <v>205</v>
      </c>
      <c r="D1494" s="170" t="s">
        <v>2067</v>
      </c>
      <c r="E1494" s="171" t="s">
        <v>15771</v>
      </c>
      <c r="F1494" s="171" t="s">
        <v>23268</v>
      </c>
      <c r="G1494" s="82"/>
      <c r="H1494" s="96">
        <f t="shared" si="92"/>
        <v>21.7</v>
      </c>
      <c r="I1494" s="96">
        <f t="shared" si="92"/>
        <v>23.33</v>
      </c>
      <c r="J1494" s="91" t="str">
        <f t="shared" si="93"/>
        <v>Sinapi 102708</v>
      </c>
      <c r="K1494" s="91" t="str">
        <f t="shared" si="94"/>
        <v>UN</v>
      </c>
      <c r="L1494" s="166" t="str">
        <f t="shared" si="95"/>
        <v>07/2021</v>
      </c>
      <c r="M1494" s="82"/>
      <c r="N1494" s="82"/>
    </row>
    <row r="1495" spans="1:14" x14ac:dyDescent="0.25">
      <c r="A1495" s="170" t="s">
        <v>13902</v>
      </c>
      <c r="B1495" s="170" t="s">
        <v>13903</v>
      </c>
      <c r="C1495" s="170" t="s">
        <v>205</v>
      </c>
      <c r="D1495" s="170" t="s">
        <v>2067</v>
      </c>
      <c r="E1495" s="171" t="s">
        <v>32185</v>
      </c>
      <c r="F1495" s="171" t="s">
        <v>35478</v>
      </c>
      <c r="G1495" s="82"/>
      <c r="H1495" s="96">
        <f t="shared" si="92"/>
        <v>54.39</v>
      </c>
      <c r="I1495" s="96">
        <f t="shared" si="92"/>
        <v>57.65</v>
      </c>
      <c r="J1495" s="91" t="str">
        <f t="shared" si="93"/>
        <v>Sinapi 102710</v>
      </c>
      <c r="K1495" s="91" t="str">
        <f t="shared" si="94"/>
        <v>UN</v>
      </c>
      <c r="L1495" s="166" t="str">
        <f t="shared" si="95"/>
        <v>07/2021</v>
      </c>
      <c r="M1495" s="82"/>
      <c r="N1495" s="82"/>
    </row>
    <row r="1496" spans="1:14" x14ac:dyDescent="0.25">
      <c r="A1496" s="170" t="s">
        <v>13904</v>
      </c>
      <c r="B1496" s="170" t="s">
        <v>13905</v>
      </c>
      <c r="C1496" s="170" t="s">
        <v>205</v>
      </c>
      <c r="D1496" s="170" t="s">
        <v>2067</v>
      </c>
      <c r="E1496" s="171" t="s">
        <v>20664</v>
      </c>
      <c r="F1496" s="171" t="s">
        <v>23105</v>
      </c>
      <c r="G1496" s="82"/>
      <c r="H1496" s="96">
        <f t="shared" si="92"/>
        <v>72.36</v>
      </c>
      <c r="I1496" s="96">
        <f t="shared" si="92"/>
        <v>75.62</v>
      </c>
      <c r="J1496" s="91" t="str">
        <f t="shared" si="93"/>
        <v>Sinapi 102711</v>
      </c>
      <c r="K1496" s="91" t="str">
        <f t="shared" si="94"/>
        <v>UN</v>
      </c>
      <c r="L1496" s="166" t="str">
        <f t="shared" si="95"/>
        <v>07/2021</v>
      </c>
      <c r="M1496" s="82"/>
      <c r="N1496" s="82"/>
    </row>
    <row r="1497" spans="1:14" x14ac:dyDescent="0.25">
      <c r="A1497" s="170" t="s">
        <v>13906</v>
      </c>
      <c r="B1497" s="170" t="s">
        <v>13907</v>
      </c>
      <c r="C1497" s="170" t="s">
        <v>870</v>
      </c>
      <c r="D1497" s="170" t="s">
        <v>2067</v>
      </c>
      <c r="E1497" s="171" t="s">
        <v>21056</v>
      </c>
      <c r="F1497" s="171" t="s">
        <v>5211</v>
      </c>
      <c r="G1497" s="82"/>
      <c r="H1497" s="96">
        <f t="shared" si="92"/>
        <v>6.21</v>
      </c>
      <c r="I1497" s="96">
        <f t="shared" si="92"/>
        <v>6.25</v>
      </c>
      <c r="J1497" s="91" t="str">
        <f t="shared" si="93"/>
        <v>Sinapi 102712</v>
      </c>
      <c r="K1497" s="91" t="str">
        <f t="shared" si="94"/>
        <v>M2</v>
      </c>
      <c r="L1497" s="166" t="str">
        <f t="shared" si="95"/>
        <v>07/2021</v>
      </c>
      <c r="M1497" s="82"/>
      <c r="N1497" s="82"/>
    </row>
    <row r="1498" spans="1:14" x14ac:dyDescent="0.25">
      <c r="A1498" s="170" t="s">
        <v>13908</v>
      </c>
      <c r="B1498" s="170" t="s">
        <v>13909</v>
      </c>
      <c r="C1498" s="170" t="s">
        <v>870</v>
      </c>
      <c r="D1498" s="170" t="s">
        <v>2067</v>
      </c>
      <c r="E1498" s="171" t="s">
        <v>23422</v>
      </c>
      <c r="F1498" s="171" t="s">
        <v>15575</v>
      </c>
      <c r="G1498" s="82"/>
      <c r="H1498" s="96">
        <f t="shared" si="92"/>
        <v>8.5</v>
      </c>
      <c r="I1498" s="96">
        <f t="shared" si="92"/>
        <v>8.5399999999999991</v>
      </c>
      <c r="J1498" s="91" t="str">
        <f t="shared" si="93"/>
        <v>Sinapi 102713</v>
      </c>
      <c r="K1498" s="91" t="str">
        <f t="shared" si="94"/>
        <v>M2</v>
      </c>
      <c r="L1498" s="166" t="str">
        <f t="shared" si="95"/>
        <v>07/2021</v>
      </c>
      <c r="M1498" s="82"/>
      <c r="N1498" s="82"/>
    </row>
    <row r="1499" spans="1:14" x14ac:dyDescent="0.25">
      <c r="A1499" s="170" t="s">
        <v>13910</v>
      </c>
      <c r="B1499" s="170" t="s">
        <v>13911</v>
      </c>
      <c r="C1499" s="170" t="s">
        <v>870</v>
      </c>
      <c r="D1499" s="170" t="s">
        <v>2067</v>
      </c>
      <c r="E1499" s="171" t="s">
        <v>21841</v>
      </c>
      <c r="F1499" s="171" t="s">
        <v>4684</v>
      </c>
      <c r="G1499" s="82"/>
      <c r="H1499" s="96">
        <f t="shared" si="92"/>
        <v>16.739999999999998</v>
      </c>
      <c r="I1499" s="96">
        <f t="shared" si="92"/>
        <v>16.78</v>
      </c>
      <c r="J1499" s="91" t="str">
        <f t="shared" si="93"/>
        <v>Sinapi 102715</v>
      </c>
      <c r="K1499" s="91" t="str">
        <f t="shared" si="94"/>
        <v>M2</v>
      </c>
      <c r="L1499" s="166" t="str">
        <f t="shared" si="95"/>
        <v>07/2021</v>
      </c>
      <c r="M1499" s="82"/>
      <c r="N1499" s="82"/>
    </row>
    <row r="1500" spans="1:14" x14ac:dyDescent="0.25">
      <c r="A1500" s="170" t="s">
        <v>13912</v>
      </c>
      <c r="B1500" s="170" t="s">
        <v>13913</v>
      </c>
      <c r="C1500" s="170" t="s">
        <v>85</v>
      </c>
      <c r="D1500" s="170" t="s">
        <v>1947</v>
      </c>
      <c r="E1500" s="171" t="s">
        <v>32186</v>
      </c>
      <c r="F1500" s="171" t="s">
        <v>22891</v>
      </c>
      <c r="G1500" s="82"/>
      <c r="H1500" s="96">
        <f t="shared" si="92"/>
        <v>100.34</v>
      </c>
      <c r="I1500" s="96">
        <f t="shared" si="92"/>
        <v>101.75</v>
      </c>
      <c r="J1500" s="91" t="str">
        <f t="shared" si="93"/>
        <v>Sinapi 102716</v>
      </c>
      <c r="K1500" s="91" t="str">
        <f t="shared" si="94"/>
        <v>M3</v>
      </c>
      <c r="L1500" s="166" t="str">
        <f t="shared" si="95"/>
        <v>07/2021</v>
      </c>
      <c r="M1500" s="82"/>
      <c r="N1500" s="82"/>
    </row>
    <row r="1501" spans="1:14" x14ac:dyDescent="0.25">
      <c r="A1501" s="170" t="s">
        <v>13914</v>
      </c>
      <c r="B1501" s="170" t="s">
        <v>13915</v>
      </c>
      <c r="C1501" s="170" t="s">
        <v>85</v>
      </c>
      <c r="D1501" s="170" t="s">
        <v>1947</v>
      </c>
      <c r="E1501" s="171" t="s">
        <v>32187</v>
      </c>
      <c r="F1501" s="171" t="s">
        <v>35479</v>
      </c>
      <c r="G1501" s="82"/>
      <c r="H1501" s="96">
        <f t="shared" si="92"/>
        <v>283.58999999999997</v>
      </c>
      <c r="I1501" s="96">
        <f t="shared" si="92"/>
        <v>285</v>
      </c>
      <c r="J1501" s="91" t="str">
        <f t="shared" si="93"/>
        <v>Sinapi 102717</v>
      </c>
      <c r="K1501" s="91" t="str">
        <f t="shared" si="94"/>
        <v>M3</v>
      </c>
      <c r="L1501" s="166" t="str">
        <f t="shared" si="95"/>
        <v>07/2021</v>
      </c>
      <c r="M1501" s="82"/>
      <c r="N1501" s="82"/>
    </row>
    <row r="1502" spans="1:14" x14ac:dyDescent="0.25">
      <c r="A1502" s="170" t="s">
        <v>13916</v>
      </c>
      <c r="B1502" s="170" t="s">
        <v>13917</v>
      </c>
      <c r="C1502" s="170" t="s">
        <v>85</v>
      </c>
      <c r="D1502" s="170" t="s">
        <v>2067</v>
      </c>
      <c r="E1502" s="171" t="s">
        <v>32188</v>
      </c>
      <c r="F1502" s="171" t="s">
        <v>35480</v>
      </c>
      <c r="G1502" s="82"/>
      <c r="H1502" s="96">
        <f t="shared" si="92"/>
        <v>107.33</v>
      </c>
      <c r="I1502" s="96">
        <f t="shared" si="92"/>
        <v>110.5</v>
      </c>
      <c r="J1502" s="91" t="str">
        <f t="shared" si="93"/>
        <v>Sinapi 102718</v>
      </c>
      <c r="K1502" s="91" t="str">
        <f t="shared" si="94"/>
        <v>M3</v>
      </c>
      <c r="L1502" s="166" t="str">
        <f t="shared" si="95"/>
        <v>07/2021</v>
      </c>
      <c r="M1502" s="82"/>
      <c r="N1502" s="82"/>
    </row>
    <row r="1503" spans="1:14" x14ac:dyDescent="0.25">
      <c r="A1503" s="170" t="s">
        <v>13918</v>
      </c>
      <c r="B1503" s="170" t="s">
        <v>13919</v>
      </c>
      <c r="C1503" s="170" t="s">
        <v>85</v>
      </c>
      <c r="D1503" s="170" t="s">
        <v>2710</v>
      </c>
      <c r="E1503" s="171" t="s">
        <v>32189</v>
      </c>
      <c r="F1503" s="171" t="s">
        <v>35481</v>
      </c>
      <c r="G1503" s="82"/>
      <c r="H1503" s="96">
        <f t="shared" si="92"/>
        <v>290.58</v>
      </c>
      <c r="I1503" s="96">
        <f t="shared" si="92"/>
        <v>293.75</v>
      </c>
      <c r="J1503" s="91" t="str">
        <f t="shared" si="93"/>
        <v>Sinapi 102719</v>
      </c>
      <c r="K1503" s="91" t="str">
        <f t="shared" si="94"/>
        <v>M3</v>
      </c>
      <c r="L1503" s="166" t="str">
        <f t="shared" si="95"/>
        <v>07/2021</v>
      </c>
      <c r="M1503" s="82"/>
      <c r="N1503" s="82"/>
    </row>
    <row r="1504" spans="1:14" x14ac:dyDescent="0.25">
      <c r="A1504" s="170" t="s">
        <v>13920</v>
      </c>
      <c r="B1504" s="170" t="s">
        <v>13921</v>
      </c>
      <c r="C1504" s="170" t="s">
        <v>385</v>
      </c>
      <c r="D1504" s="170" t="s">
        <v>1947</v>
      </c>
      <c r="E1504" s="171" t="s">
        <v>32190</v>
      </c>
      <c r="F1504" s="171" t="s">
        <v>35482</v>
      </c>
      <c r="G1504" s="82"/>
      <c r="H1504" s="96">
        <f t="shared" si="92"/>
        <v>56.49</v>
      </c>
      <c r="I1504" s="96">
        <f t="shared" si="92"/>
        <v>57.52</v>
      </c>
      <c r="J1504" s="91" t="str">
        <f t="shared" si="93"/>
        <v>Sinapi 102722</v>
      </c>
      <c r="K1504" s="91" t="str">
        <f t="shared" si="94"/>
        <v>M</v>
      </c>
      <c r="L1504" s="166" t="str">
        <f t="shared" si="95"/>
        <v>07/2021</v>
      </c>
      <c r="M1504" s="82"/>
      <c r="N1504" s="82"/>
    </row>
    <row r="1505" spans="1:14" x14ac:dyDescent="0.25">
      <c r="A1505" s="170" t="s">
        <v>13922</v>
      </c>
      <c r="B1505" s="170" t="s">
        <v>13923</v>
      </c>
      <c r="C1505" s="170" t="s">
        <v>385</v>
      </c>
      <c r="D1505" s="170" t="s">
        <v>1947</v>
      </c>
      <c r="E1505" s="171" t="s">
        <v>29156</v>
      </c>
      <c r="F1505" s="171" t="s">
        <v>21333</v>
      </c>
      <c r="G1505" s="82"/>
      <c r="H1505" s="96">
        <f t="shared" si="92"/>
        <v>57.05</v>
      </c>
      <c r="I1505" s="96">
        <f t="shared" si="92"/>
        <v>58.08</v>
      </c>
      <c r="J1505" s="91" t="str">
        <f t="shared" si="93"/>
        <v>Sinapi 102723</v>
      </c>
      <c r="K1505" s="91" t="str">
        <f t="shared" si="94"/>
        <v>M</v>
      </c>
      <c r="L1505" s="166" t="str">
        <f t="shared" si="95"/>
        <v>07/2021</v>
      </c>
      <c r="M1505" s="82"/>
      <c r="N1505" s="82"/>
    </row>
    <row r="1506" spans="1:14" x14ac:dyDescent="0.25">
      <c r="A1506" s="170" t="s">
        <v>13924</v>
      </c>
      <c r="B1506" s="170" t="s">
        <v>13925</v>
      </c>
      <c r="C1506" s="170" t="s">
        <v>205</v>
      </c>
      <c r="D1506" s="170" t="s">
        <v>2067</v>
      </c>
      <c r="E1506" s="171" t="s">
        <v>22737</v>
      </c>
      <c r="F1506" s="171" t="s">
        <v>35483</v>
      </c>
      <c r="G1506" s="82"/>
      <c r="H1506" s="96">
        <f t="shared" si="92"/>
        <v>29.55</v>
      </c>
      <c r="I1506" s="96">
        <f t="shared" si="92"/>
        <v>30.52</v>
      </c>
      <c r="J1506" s="91" t="str">
        <f t="shared" si="93"/>
        <v>Sinapi 102724</v>
      </c>
      <c r="K1506" s="91" t="str">
        <f t="shared" si="94"/>
        <v>UN</v>
      </c>
      <c r="L1506" s="166" t="str">
        <f t="shared" si="95"/>
        <v>07/2021</v>
      </c>
      <c r="M1506" s="82"/>
      <c r="N1506" s="82"/>
    </row>
    <row r="1507" spans="1:14" x14ac:dyDescent="0.25">
      <c r="A1507" s="170" t="s">
        <v>13926</v>
      </c>
      <c r="B1507" s="170" t="s">
        <v>13927</v>
      </c>
      <c r="C1507" s="170" t="s">
        <v>205</v>
      </c>
      <c r="D1507" s="170" t="s">
        <v>2067</v>
      </c>
      <c r="E1507" s="171" t="s">
        <v>32191</v>
      </c>
      <c r="F1507" s="171" t="s">
        <v>21970</v>
      </c>
      <c r="G1507" s="82"/>
      <c r="H1507" s="96">
        <f t="shared" si="92"/>
        <v>29.06</v>
      </c>
      <c r="I1507" s="96">
        <f t="shared" si="92"/>
        <v>30.03</v>
      </c>
      <c r="J1507" s="91" t="str">
        <f t="shared" si="93"/>
        <v>Sinapi 102725</v>
      </c>
      <c r="K1507" s="91" t="str">
        <f t="shared" si="94"/>
        <v>UN</v>
      </c>
      <c r="L1507" s="166" t="str">
        <f t="shared" si="95"/>
        <v>07/2021</v>
      </c>
      <c r="M1507" s="82"/>
      <c r="N1507" s="82"/>
    </row>
    <row r="1508" spans="1:14" x14ac:dyDescent="0.25">
      <c r="A1508" s="170" t="s">
        <v>13928</v>
      </c>
      <c r="B1508" s="170" t="s">
        <v>13929</v>
      </c>
      <c r="C1508" s="170" t="s">
        <v>205</v>
      </c>
      <c r="D1508" s="170" t="s">
        <v>2067</v>
      </c>
      <c r="E1508" s="171" t="s">
        <v>17625</v>
      </c>
      <c r="F1508" s="171" t="s">
        <v>21438</v>
      </c>
      <c r="G1508" s="82"/>
      <c r="H1508" s="96">
        <f t="shared" si="92"/>
        <v>27.23</v>
      </c>
      <c r="I1508" s="96">
        <f t="shared" si="92"/>
        <v>28.2</v>
      </c>
      <c r="J1508" s="91" t="str">
        <f t="shared" si="93"/>
        <v>Sinapi 102726</v>
      </c>
      <c r="K1508" s="91" t="str">
        <f t="shared" si="94"/>
        <v>UN</v>
      </c>
      <c r="L1508" s="166" t="str">
        <f t="shared" si="95"/>
        <v>07/2021</v>
      </c>
      <c r="M1508" s="82"/>
      <c r="N1508" s="82"/>
    </row>
    <row r="1509" spans="1:14" x14ac:dyDescent="0.25">
      <c r="A1509" s="170" t="s">
        <v>15533</v>
      </c>
      <c r="B1509" s="170" t="s">
        <v>15534</v>
      </c>
      <c r="C1509" s="170" t="s">
        <v>870</v>
      </c>
      <c r="D1509" s="170" t="s">
        <v>2067</v>
      </c>
      <c r="E1509" s="171" t="s">
        <v>15716</v>
      </c>
      <c r="F1509" s="171" t="s">
        <v>15662</v>
      </c>
      <c r="G1509" s="82"/>
      <c r="H1509" s="96">
        <f t="shared" si="92"/>
        <v>19.989999999999998</v>
      </c>
      <c r="I1509" s="96">
        <f t="shared" si="92"/>
        <v>20.03</v>
      </c>
      <c r="J1509" s="91" t="str">
        <f t="shared" si="93"/>
        <v>Sinapi 103653</v>
      </c>
      <c r="K1509" s="91" t="str">
        <f t="shared" si="94"/>
        <v>M2</v>
      </c>
      <c r="L1509" s="166" t="str">
        <f t="shared" si="95"/>
        <v>07/2021</v>
      </c>
      <c r="M1509" s="82"/>
      <c r="N1509" s="82"/>
    </row>
    <row r="1510" spans="1:14" x14ac:dyDescent="0.25">
      <c r="A1510" s="170" t="s">
        <v>4322</v>
      </c>
      <c r="B1510" s="170" t="s">
        <v>4323</v>
      </c>
      <c r="C1510" s="170" t="s">
        <v>85</v>
      </c>
      <c r="D1510" s="170" t="s">
        <v>1947</v>
      </c>
      <c r="E1510" s="171" t="s">
        <v>32192</v>
      </c>
      <c r="F1510" s="171" t="s">
        <v>35484</v>
      </c>
      <c r="G1510" s="82"/>
      <c r="H1510" s="96">
        <f t="shared" si="92"/>
        <v>843.48</v>
      </c>
      <c r="I1510" s="96">
        <f t="shared" si="92"/>
        <v>858.67</v>
      </c>
      <c r="J1510" s="91" t="str">
        <f t="shared" si="93"/>
        <v>Sinapi 92743</v>
      </c>
      <c r="K1510" s="91" t="str">
        <f t="shared" si="94"/>
        <v>M3</v>
      </c>
      <c r="L1510" s="166" t="str">
        <f t="shared" si="95"/>
        <v>12/2015</v>
      </c>
      <c r="M1510" s="82"/>
      <c r="N1510" s="82"/>
    </row>
    <row r="1511" spans="1:14" x14ac:dyDescent="0.25">
      <c r="A1511" s="170" t="s">
        <v>4324</v>
      </c>
      <c r="B1511" s="170" t="s">
        <v>4325</v>
      </c>
      <c r="C1511" s="170" t="s">
        <v>85</v>
      </c>
      <c r="D1511" s="170" t="s">
        <v>1947</v>
      </c>
      <c r="E1511" s="171" t="s">
        <v>32193</v>
      </c>
      <c r="F1511" s="171" t="s">
        <v>35485</v>
      </c>
      <c r="G1511" s="82"/>
      <c r="H1511" s="96">
        <f t="shared" si="92"/>
        <v>824.36</v>
      </c>
      <c r="I1511" s="96">
        <f t="shared" si="92"/>
        <v>831.7</v>
      </c>
      <c r="J1511" s="91" t="str">
        <f t="shared" si="93"/>
        <v>Sinapi 92744</v>
      </c>
      <c r="K1511" s="91" t="str">
        <f t="shared" si="94"/>
        <v>M3</v>
      </c>
      <c r="L1511" s="166" t="str">
        <f t="shared" si="95"/>
        <v>12/2015</v>
      </c>
      <c r="M1511" s="82"/>
      <c r="N1511" s="82"/>
    </row>
    <row r="1512" spans="1:14" x14ac:dyDescent="0.25">
      <c r="A1512" s="170" t="s">
        <v>4326</v>
      </c>
      <c r="B1512" s="170" t="s">
        <v>4327</v>
      </c>
      <c r="C1512" s="170" t="s">
        <v>85</v>
      </c>
      <c r="D1512" s="170" t="s">
        <v>1947</v>
      </c>
      <c r="E1512" s="171" t="s">
        <v>32194</v>
      </c>
      <c r="F1512" s="171" t="s">
        <v>35486</v>
      </c>
      <c r="G1512" s="82"/>
      <c r="H1512" s="96">
        <f t="shared" si="92"/>
        <v>1010.83</v>
      </c>
      <c r="I1512" s="96">
        <f t="shared" si="92"/>
        <v>1029.1300000000001</v>
      </c>
      <c r="J1512" s="91" t="str">
        <f t="shared" si="93"/>
        <v>Sinapi 92745</v>
      </c>
      <c r="K1512" s="91" t="str">
        <f t="shared" si="94"/>
        <v>M3</v>
      </c>
      <c r="L1512" s="166" t="str">
        <f t="shared" si="95"/>
        <v>12/2015</v>
      </c>
      <c r="M1512" s="82"/>
      <c r="N1512" s="82"/>
    </row>
    <row r="1513" spans="1:14" x14ac:dyDescent="0.25">
      <c r="A1513" s="170" t="s">
        <v>4328</v>
      </c>
      <c r="B1513" s="170" t="s">
        <v>4329</v>
      </c>
      <c r="C1513" s="170" t="s">
        <v>85</v>
      </c>
      <c r="D1513" s="170" t="s">
        <v>1947</v>
      </c>
      <c r="E1513" s="171" t="s">
        <v>32195</v>
      </c>
      <c r="F1513" s="171" t="s">
        <v>35487</v>
      </c>
      <c r="G1513" s="82"/>
      <c r="H1513" s="96">
        <f t="shared" si="92"/>
        <v>947.59</v>
      </c>
      <c r="I1513" s="96">
        <f t="shared" si="92"/>
        <v>957.93</v>
      </c>
      <c r="J1513" s="91" t="str">
        <f t="shared" si="93"/>
        <v>Sinapi 92746</v>
      </c>
      <c r="K1513" s="91" t="str">
        <f t="shared" si="94"/>
        <v>M3</v>
      </c>
      <c r="L1513" s="166" t="str">
        <f t="shared" si="95"/>
        <v>12/2015</v>
      </c>
      <c r="M1513" s="82"/>
      <c r="N1513" s="82"/>
    </row>
    <row r="1514" spans="1:14" x14ac:dyDescent="0.25">
      <c r="A1514" s="170" t="s">
        <v>4330</v>
      </c>
      <c r="B1514" s="170" t="s">
        <v>4331</v>
      </c>
      <c r="C1514" s="170" t="s">
        <v>85</v>
      </c>
      <c r="D1514" s="170" t="s">
        <v>1947</v>
      </c>
      <c r="E1514" s="171" t="s">
        <v>32196</v>
      </c>
      <c r="F1514" s="171" t="s">
        <v>35488</v>
      </c>
      <c r="G1514" s="82"/>
      <c r="H1514" s="96">
        <f t="shared" si="92"/>
        <v>1106.77</v>
      </c>
      <c r="I1514" s="96">
        <f t="shared" si="92"/>
        <v>1126.8599999999999</v>
      </c>
      <c r="J1514" s="91" t="str">
        <f t="shared" si="93"/>
        <v>Sinapi 92747</v>
      </c>
      <c r="K1514" s="91" t="str">
        <f t="shared" si="94"/>
        <v>M3</v>
      </c>
      <c r="L1514" s="166" t="str">
        <f t="shared" si="95"/>
        <v>12/2015</v>
      </c>
      <c r="M1514" s="82"/>
      <c r="N1514" s="82"/>
    </row>
    <row r="1515" spans="1:14" x14ac:dyDescent="0.25">
      <c r="A1515" s="170" t="s">
        <v>4332</v>
      </c>
      <c r="B1515" s="170" t="s">
        <v>4333</v>
      </c>
      <c r="C1515" s="170" t="s">
        <v>85</v>
      </c>
      <c r="D1515" s="170" t="s">
        <v>1947</v>
      </c>
      <c r="E1515" s="171" t="s">
        <v>32197</v>
      </c>
      <c r="F1515" s="171" t="s">
        <v>35489</v>
      </c>
      <c r="G1515" s="82"/>
      <c r="H1515" s="96">
        <f t="shared" si="92"/>
        <v>1018.79</v>
      </c>
      <c r="I1515" s="96">
        <f t="shared" si="92"/>
        <v>1030.8900000000001</v>
      </c>
      <c r="J1515" s="91" t="str">
        <f t="shared" si="93"/>
        <v>Sinapi 92748</v>
      </c>
      <c r="K1515" s="91" t="str">
        <f t="shared" si="94"/>
        <v>M3</v>
      </c>
      <c r="L1515" s="166" t="str">
        <f t="shared" si="95"/>
        <v>12/2015</v>
      </c>
      <c r="M1515" s="82"/>
      <c r="N1515" s="82"/>
    </row>
    <row r="1516" spans="1:14" x14ac:dyDescent="0.25">
      <c r="A1516" s="170" t="s">
        <v>4334</v>
      </c>
      <c r="B1516" s="170" t="s">
        <v>4335</v>
      </c>
      <c r="C1516" s="170" t="s">
        <v>85</v>
      </c>
      <c r="D1516" s="170" t="s">
        <v>1947</v>
      </c>
      <c r="E1516" s="171" t="s">
        <v>32198</v>
      </c>
      <c r="F1516" s="171" t="s">
        <v>35490</v>
      </c>
      <c r="G1516" s="82"/>
      <c r="H1516" s="96">
        <f t="shared" si="92"/>
        <v>1143.77</v>
      </c>
      <c r="I1516" s="96">
        <f t="shared" si="92"/>
        <v>1158.79</v>
      </c>
      <c r="J1516" s="91" t="str">
        <f t="shared" si="93"/>
        <v>Sinapi 92749</v>
      </c>
      <c r="K1516" s="91" t="str">
        <f t="shared" si="94"/>
        <v>M3</v>
      </c>
      <c r="L1516" s="166" t="str">
        <f t="shared" si="95"/>
        <v>12/2015</v>
      </c>
      <c r="M1516" s="82"/>
      <c r="N1516" s="82"/>
    </row>
    <row r="1517" spans="1:14" x14ac:dyDescent="0.25">
      <c r="A1517" s="170" t="s">
        <v>4336</v>
      </c>
      <c r="B1517" s="170" t="s">
        <v>4337</v>
      </c>
      <c r="C1517" s="170" t="s">
        <v>85</v>
      </c>
      <c r="D1517" s="170" t="s">
        <v>1947</v>
      </c>
      <c r="E1517" s="171" t="s">
        <v>32199</v>
      </c>
      <c r="F1517" s="171" t="s">
        <v>35491</v>
      </c>
      <c r="G1517" s="82"/>
      <c r="H1517" s="96">
        <f t="shared" si="92"/>
        <v>1864.26</v>
      </c>
      <c r="I1517" s="96">
        <f t="shared" si="92"/>
        <v>1884.93</v>
      </c>
      <c r="J1517" s="91" t="str">
        <f t="shared" si="93"/>
        <v>Sinapi 92750</v>
      </c>
      <c r="K1517" s="91" t="str">
        <f t="shared" si="94"/>
        <v>M3</v>
      </c>
      <c r="L1517" s="166" t="str">
        <f t="shared" si="95"/>
        <v>12/2015</v>
      </c>
      <c r="M1517" s="82"/>
      <c r="N1517" s="82"/>
    </row>
    <row r="1518" spans="1:14" x14ac:dyDescent="0.25">
      <c r="A1518" s="170" t="s">
        <v>4338</v>
      </c>
      <c r="B1518" s="170" t="s">
        <v>4339</v>
      </c>
      <c r="C1518" s="170" t="s">
        <v>85</v>
      </c>
      <c r="D1518" s="170" t="s">
        <v>1947</v>
      </c>
      <c r="E1518" s="171" t="s">
        <v>32200</v>
      </c>
      <c r="F1518" s="171" t="s">
        <v>35492</v>
      </c>
      <c r="G1518" s="82"/>
      <c r="H1518" s="96">
        <f t="shared" si="92"/>
        <v>2283.92</v>
      </c>
      <c r="I1518" s="96">
        <f t="shared" si="92"/>
        <v>2307.7600000000002</v>
      </c>
      <c r="J1518" s="91" t="str">
        <f t="shared" si="93"/>
        <v>Sinapi 92751</v>
      </c>
      <c r="K1518" s="91" t="str">
        <f t="shared" si="94"/>
        <v>M3</v>
      </c>
      <c r="L1518" s="166" t="str">
        <f t="shared" si="95"/>
        <v>12/2015</v>
      </c>
      <c r="M1518" s="82"/>
      <c r="N1518" s="82"/>
    </row>
    <row r="1519" spans="1:14" x14ac:dyDescent="0.25">
      <c r="A1519" s="170" t="s">
        <v>4340</v>
      </c>
      <c r="B1519" s="170" t="s">
        <v>4341</v>
      </c>
      <c r="C1519" s="170" t="s">
        <v>85</v>
      </c>
      <c r="D1519" s="170" t="s">
        <v>1947</v>
      </c>
      <c r="E1519" s="171" t="s">
        <v>32201</v>
      </c>
      <c r="F1519" s="171" t="s">
        <v>35493</v>
      </c>
      <c r="G1519" s="82"/>
      <c r="H1519" s="96">
        <f t="shared" si="92"/>
        <v>2702.06</v>
      </c>
      <c r="I1519" s="96">
        <f t="shared" si="92"/>
        <v>2728.96</v>
      </c>
      <c r="J1519" s="91" t="str">
        <f t="shared" si="93"/>
        <v>Sinapi 92752</v>
      </c>
      <c r="K1519" s="91" t="str">
        <f t="shared" si="94"/>
        <v>M3</v>
      </c>
      <c r="L1519" s="166" t="str">
        <f t="shared" si="95"/>
        <v>12/2015</v>
      </c>
      <c r="M1519" s="82"/>
      <c r="N1519" s="82"/>
    </row>
    <row r="1520" spans="1:14" x14ac:dyDescent="0.25">
      <c r="A1520" s="170" t="s">
        <v>4342</v>
      </c>
      <c r="B1520" s="170" t="s">
        <v>4343</v>
      </c>
      <c r="C1520" s="170" t="s">
        <v>85</v>
      </c>
      <c r="D1520" s="170" t="s">
        <v>1947</v>
      </c>
      <c r="E1520" s="171" t="s">
        <v>32202</v>
      </c>
      <c r="F1520" s="171" t="s">
        <v>35494</v>
      </c>
      <c r="G1520" s="82"/>
      <c r="H1520" s="96">
        <f t="shared" si="92"/>
        <v>658.65</v>
      </c>
      <c r="I1520" s="96">
        <f t="shared" si="92"/>
        <v>669.24</v>
      </c>
      <c r="J1520" s="91" t="str">
        <f t="shared" si="93"/>
        <v>Sinapi 92753</v>
      </c>
      <c r="K1520" s="91" t="str">
        <f t="shared" si="94"/>
        <v>M3</v>
      </c>
      <c r="L1520" s="166" t="str">
        <f t="shared" si="95"/>
        <v>12/2015</v>
      </c>
      <c r="M1520" s="82"/>
      <c r="N1520" s="82"/>
    </row>
    <row r="1521" spans="1:14" x14ac:dyDescent="0.25">
      <c r="A1521" s="170" t="s">
        <v>4344</v>
      </c>
      <c r="B1521" s="170" t="s">
        <v>4345</v>
      </c>
      <c r="C1521" s="170" t="s">
        <v>85</v>
      </c>
      <c r="D1521" s="170" t="s">
        <v>1947</v>
      </c>
      <c r="E1521" s="171" t="s">
        <v>32203</v>
      </c>
      <c r="F1521" s="171" t="s">
        <v>35495</v>
      </c>
      <c r="G1521" s="82"/>
      <c r="H1521" s="96">
        <f t="shared" si="92"/>
        <v>604.66999999999996</v>
      </c>
      <c r="I1521" s="96">
        <f t="shared" si="92"/>
        <v>614.41999999999996</v>
      </c>
      <c r="J1521" s="91" t="str">
        <f t="shared" si="93"/>
        <v>Sinapi 92754</v>
      </c>
      <c r="K1521" s="91" t="str">
        <f t="shared" si="94"/>
        <v>M3</v>
      </c>
      <c r="L1521" s="166" t="str">
        <f t="shared" si="95"/>
        <v>12/2015</v>
      </c>
      <c r="M1521" s="82"/>
      <c r="N1521" s="82"/>
    </row>
    <row r="1522" spans="1:14" x14ac:dyDescent="0.25">
      <c r="A1522" s="170" t="s">
        <v>4346</v>
      </c>
      <c r="B1522" s="170" t="s">
        <v>4347</v>
      </c>
      <c r="C1522" s="170" t="s">
        <v>870</v>
      </c>
      <c r="D1522" s="170" t="s">
        <v>1947</v>
      </c>
      <c r="E1522" s="171" t="s">
        <v>32204</v>
      </c>
      <c r="F1522" s="171" t="s">
        <v>35496</v>
      </c>
      <c r="G1522" s="82"/>
      <c r="H1522" s="96">
        <f t="shared" si="92"/>
        <v>276.56</v>
      </c>
      <c r="I1522" s="96">
        <f t="shared" si="92"/>
        <v>281.56</v>
      </c>
      <c r="J1522" s="91" t="str">
        <f t="shared" si="93"/>
        <v>Sinapi 92755</v>
      </c>
      <c r="K1522" s="91" t="str">
        <f t="shared" si="94"/>
        <v>M2</v>
      </c>
      <c r="L1522" s="166" t="str">
        <f t="shared" si="95"/>
        <v>12/2015</v>
      </c>
      <c r="M1522" s="82"/>
      <c r="N1522" s="82"/>
    </row>
    <row r="1523" spans="1:14" x14ac:dyDescent="0.25">
      <c r="A1523" s="170" t="s">
        <v>4348</v>
      </c>
      <c r="B1523" s="170" t="s">
        <v>4349</v>
      </c>
      <c r="C1523" s="170" t="s">
        <v>870</v>
      </c>
      <c r="D1523" s="170" t="s">
        <v>1947</v>
      </c>
      <c r="E1523" s="171" t="s">
        <v>32205</v>
      </c>
      <c r="F1523" s="171" t="s">
        <v>35497</v>
      </c>
      <c r="G1523" s="82"/>
      <c r="H1523" s="96">
        <f t="shared" si="92"/>
        <v>319.93</v>
      </c>
      <c r="I1523" s="96">
        <f t="shared" si="92"/>
        <v>325.87</v>
      </c>
      <c r="J1523" s="91" t="str">
        <f t="shared" si="93"/>
        <v>Sinapi 92756</v>
      </c>
      <c r="K1523" s="91" t="str">
        <f t="shared" si="94"/>
        <v>M2</v>
      </c>
      <c r="L1523" s="166" t="str">
        <f t="shared" si="95"/>
        <v>12/2015</v>
      </c>
      <c r="M1523" s="82"/>
      <c r="N1523" s="82"/>
    </row>
    <row r="1524" spans="1:14" x14ac:dyDescent="0.25">
      <c r="A1524" s="170" t="s">
        <v>4350</v>
      </c>
      <c r="B1524" s="170" t="s">
        <v>4351</v>
      </c>
      <c r="C1524" s="170" t="s">
        <v>870</v>
      </c>
      <c r="D1524" s="170" t="s">
        <v>1947</v>
      </c>
      <c r="E1524" s="171" t="s">
        <v>32206</v>
      </c>
      <c r="F1524" s="171" t="s">
        <v>35498</v>
      </c>
      <c r="G1524" s="82"/>
      <c r="H1524" s="96">
        <f t="shared" si="92"/>
        <v>372.2</v>
      </c>
      <c r="I1524" s="96">
        <f t="shared" si="92"/>
        <v>379.25</v>
      </c>
      <c r="J1524" s="91" t="str">
        <f t="shared" si="93"/>
        <v>Sinapi 92757</v>
      </c>
      <c r="K1524" s="91" t="str">
        <f t="shared" si="94"/>
        <v>M2</v>
      </c>
      <c r="L1524" s="166" t="str">
        <f t="shared" si="95"/>
        <v>12/2015</v>
      </c>
      <c r="M1524" s="82"/>
      <c r="N1524" s="82"/>
    </row>
    <row r="1525" spans="1:14" x14ac:dyDescent="0.25">
      <c r="A1525" s="170" t="s">
        <v>4352</v>
      </c>
      <c r="B1525" s="170" t="s">
        <v>4353</v>
      </c>
      <c r="C1525" s="170" t="s">
        <v>85</v>
      </c>
      <c r="D1525" s="170" t="s">
        <v>2067</v>
      </c>
      <c r="E1525" s="171" t="s">
        <v>32207</v>
      </c>
      <c r="F1525" s="171" t="s">
        <v>35499</v>
      </c>
      <c r="G1525" s="82"/>
      <c r="H1525" s="96">
        <f t="shared" si="92"/>
        <v>942.78</v>
      </c>
      <c r="I1525" s="96">
        <f t="shared" si="92"/>
        <v>953.76</v>
      </c>
      <c r="J1525" s="91" t="str">
        <f t="shared" si="93"/>
        <v>Sinapi 92758</v>
      </c>
      <c r="K1525" s="91" t="str">
        <f t="shared" si="94"/>
        <v>M3</v>
      </c>
      <c r="L1525" s="166" t="str">
        <f t="shared" si="95"/>
        <v>12/2015</v>
      </c>
      <c r="M1525" s="82"/>
      <c r="N1525" s="82"/>
    </row>
    <row r="1526" spans="1:14" x14ac:dyDescent="0.25">
      <c r="A1526" s="170" t="s">
        <v>4354</v>
      </c>
      <c r="B1526" s="170" t="s">
        <v>4355</v>
      </c>
      <c r="C1526" s="170" t="s">
        <v>870</v>
      </c>
      <c r="D1526" s="170" t="s">
        <v>1947</v>
      </c>
      <c r="E1526" s="171" t="s">
        <v>32208</v>
      </c>
      <c r="F1526" s="171" t="s">
        <v>35500</v>
      </c>
      <c r="G1526" s="82"/>
      <c r="H1526" s="96">
        <f t="shared" si="92"/>
        <v>141.87</v>
      </c>
      <c r="I1526" s="96">
        <f t="shared" si="92"/>
        <v>144.52000000000001</v>
      </c>
      <c r="J1526" s="91" t="str">
        <f t="shared" si="93"/>
        <v>Sinapi 91069</v>
      </c>
      <c r="K1526" s="91" t="str">
        <f t="shared" si="94"/>
        <v>M2</v>
      </c>
      <c r="L1526" s="166" t="str">
        <f t="shared" si="95"/>
        <v>01/2016</v>
      </c>
      <c r="M1526" s="82"/>
      <c r="N1526" s="82"/>
    </row>
    <row r="1527" spans="1:14" x14ac:dyDescent="0.25">
      <c r="A1527" s="170" t="s">
        <v>4356</v>
      </c>
      <c r="B1527" s="170" t="s">
        <v>4357</v>
      </c>
      <c r="C1527" s="170" t="s">
        <v>870</v>
      </c>
      <c r="D1527" s="170" t="s">
        <v>1947</v>
      </c>
      <c r="E1527" s="171" t="s">
        <v>32209</v>
      </c>
      <c r="F1527" s="171" t="s">
        <v>28601</v>
      </c>
      <c r="G1527" s="82"/>
      <c r="H1527" s="96">
        <f t="shared" si="92"/>
        <v>161.56</v>
      </c>
      <c r="I1527" s="96">
        <f t="shared" si="92"/>
        <v>164.37</v>
      </c>
      <c r="J1527" s="91" t="str">
        <f t="shared" si="93"/>
        <v>Sinapi 91070</v>
      </c>
      <c r="K1527" s="91" t="str">
        <f t="shared" si="94"/>
        <v>M2</v>
      </c>
      <c r="L1527" s="166" t="str">
        <f t="shared" si="95"/>
        <v>01/2016</v>
      </c>
      <c r="M1527" s="82"/>
      <c r="N1527" s="82"/>
    </row>
    <row r="1528" spans="1:14" x14ac:dyDescent="0.25">
      <c r="A1528" s="170" t="s">
        <v>4358</v>
      </c>
      <c r="B1528" s="170" t="s">
        <v>4359</v>
      </c>
      <c r="C1528" s="170" t="s">
        <v>870</v>
      </c>
      <c r="D1528" s="170" t="s">
        <v>1947</v>
      </c>
      <c r="E1528" s="171" t="s">
        <v>32210</v>
      </c>
      <c r="F1528" s="171" t="s">
        <v>29118</v>
      </c>
      <c r="G1528" s="82"/>
      <c r="H1528" s="96">
        <f t="shared" si="92"/>
        <v>182.08</v>
      </c>
      <c r="I1528" s="96">
        <f t="shared" si="92"/>
        <v>188.49</v>
      </c>
      <c r="J1528" s="91" t="str">
        <f t="shared" si="93"/>
        <v>Sinapi 91071</v>
      </c>
      <c r="K1528" s="91" t="str">
        <f t="shared" si="94"/>
        <v>M2</v>
      </c>
      <c r="L1528" s="166" t="str">
        <f t="shared" si="95"/>
        <v>01/2016</v>
      </c>
      <c r="M1528" s="82"/>
      <c r="N1528" s="82"/>
    </row>
    <row r="1529" spans="1:14" x14ac:dyDescent="0.25">
      <c r="A1529" s="170" t="s">
        <v>4360</v>
      </c>
      <c r="B1529" s="170" t="s">
        <v>4361</v>
      </c>
      <c r="C1529" s="170" t="s">
        <v>870</v>
      </c>
      <c r="D1529" s="170" t="s">
        <v>1947</v>
      </c>
      <c r="E1529" s="171" t="s">
        <v>32211</v>
      </c>
      <c r="F1529" s="171" t="s">
        <v>35501</v>
      </c>
      <c r="G1529" s="82"/>
      <c r="H1529" s="96">
        <f t="shared" si="92"/>
        <v>201.68</v>
      </c>
      <c r="I1529" s="96">
        <f t="shared" si="92"/>
        <v>208.27</v>
      </c>
      <c r="J1529" s="91" t="str">
        <f t="shared" si="93"/>
        <v>Sinapi 91072</v>
      </c>
      <c r="K1529" s="91" t="str">
        <f t="shared" si="94"/>
        <v>M2</v>
      </c>
      <c r="L1529" s="166" t="str">
        <f t="shared" si="95"/>
        <v>01/2016</v>
      </c>
      <c r="M1529" s="82"/>
      <c r="N1529" s="82"/>
    </row>
    <row r="1530" spans="1:14" x14ac:dyDescent="0.25">
      <c r="A1530" s="170" t="s">
        <v>4362</v>
      </c>
      <c r="B1530" s="170" t="s">
        <v>4363</v>
      </c>
      <c r="C1530" s="170" t="s">
        <v>870</v>
      </c>
      <c r="D1530" s="170" t="s">
        <v>1947</v>
      </c>
      <c r="E1530" s="171" t="s">
        <v>32212</v>
      </c>
      <c r="F1530" s="171" t="s">
        <v>35502</v>
      </c>
      <c r="G1530" s="82"/>
      <c r="H1530" s="96">
        <f t="shared" si="92"/>
        <v>154.72999999999999</v>
      </c>
      <c r="I1530" s="96">
        <f t="shared" si="92"/>
        <v>158.78</v>
      </c>
      <c r="J1530" s="91" t="str">
        <f t="shared" si="93"/>
        <v>Sinapi 91073</v>
      </c>
      <c r="K1530" s="91" t="str">
        <f t="shared" si="94"/>
        <v>M2</v>
      </c>
      <c r="L1530" s="166" t="str">
        <f t="shared" si="95"/>
        <v>01/2016</v>
      </c>
      <c r="M1530" s="82"/>
      <c r="N1530" s="82"/>
    </row>
    <row r="1531" spans="1:14" x14ac:dyDescent="0.25">
      <c r="A1531" s="170" t="s">
        <v>4364</v>
      </c>
      <c r="B1531" s="170" t="s">
        <v>4365</v>
      </c>
      <c r="C1531" s="170" t="s">
        <v>870</v>
      </c>
      <c r="D1531" s="170" t="s">
        <v>1947</v>
      </c>
      <c r="E1531" s="171" t="s">
        <v>32213</v>
      </c>
      <c r="F1531" s="171" t="s">
        <v>35503</v>
      </c>
      <c r="G1531" s="82"/>
      <c r="H1531" s="96">
        <f t="shared" si="92"/>
        <v>175.73</v>
      </c>
      <c r="I1531" s="96">
        <f t="shared" si="92"/>
        <v>180.08</v>
      </c>
      <c r="J1531" s="91" t="str">
        <f t="shared" si="93"/>
        <v>Sinapi 91074</v>
      </c>
      <c r="K1531" s="91" t="str">
        <f t="shared" si="94"/>
        <v>M2</v>
      </c>
      <c r="L1531" s="166" t="str">
        <f t="shared" si="95"/>
        <v>01/2016</v>
      </c>
      <c r="M1531" s="82"/>
      <c r="N1531" s="82"/>
    </row>
    <row r="1532" spans="1:14" x14ac:dyDescent="0.25">
      <c r="A1532" s="170" t="s">
        <v>4366</v>
      </c>
      <c r="B1532" s="170" t="s">
        <v>4367</v>
      </c>
      <c r="C1532" s="170" t="s">
        <v>870</v>
      </c>
      <c r="D1532" s="170" t="s">
        <v>1947</v>
      </c>
      <c r="E1532" s="171" t="s">
        <v>32214</v>
      </c>
      <c r="F1532" s="171" t="s">
        <v>35504</v>
      </c>
      <c r="G1532" s="82"/>
      <c r="H1532" s="96">
        <f t="shared" si="92"/>
        <v>196.44</v>
      </c>
      <c r="I1532" s="96">
        <f t="shared" si="92"/>
        <v>204.68</v>
      </c>
      <c r="J1532" s="91" t="str">
        <f t="shared" si="93"/>
        <v>Sinapi 91075</v>
      </c>
      <c r="K1532" s="91" t="str">
        <f t="shared" si="94"/>
        <v>M2</v>
      </c>
      <c r="L1532" s="166" t="str">
        <f t="shared" si="95"/>
        <v>01/2016</v>
      </c>
      <c r="M1532" s="82"/>
      <c r="N1532" s="82"/>
    </row>
    <row r="1533" spans="1:14" x14ac:dyDescent="0.25">
      <c r="A1533" s="170" t="s">
        <v>4368</v>
      </c>
      <c r="B1533" s="170" t="s">
        <v>4369</v>
      </c>
      <c r="C1533" s="170" t="s">
        <v>870</v>
      </c>
      <c r="D1533" s="170" t="s">
        <v>1947</v>
      </c>
      <c r="E1533" s="171" t="s">
        <v>32215</v>
      </c>
      <c r="F1533" s="171" t="s">
        <v>35505</v>
      </c>
      <c r="G1533" s="82"/>
      <c r="H1533" s="96">
        <f t="shared" si="92"/>
        <v>217.46</v>
      </c>
      <c r="I1533" s="96">
        <f t="shared" si="92"/>
        <v>226.03</v>
      </c>
      <c r="J1533" s="91" t="str">
        <f t="shared" si="93"/>
        <v>Sinapi 91076</v>
      </c>
      <c r="K1533" s="91" t="str">
        <f t="shared" si="94"/>
        <v>M2</v>
      </c>
      <c r="L1533" s="166" t="str">
        <f t="shared" si="95"/>
        <v>01/2016</v>
      </c>
      <c r="M1533" s="82"/>
      <c r="N1533" s="82"/>
    </row>
    <row r="1534" spans="1:14" x14ac:dyDescent="0.25">
      <c r="A1534" s="170" t="s">
        <v>4370</v>
      </c>
      <c r="B1534" s="170" t="s">
        <v>4371</v>
      </c>
      <c r="C1534" s="170" t="s">
        <v>870</v>
      </c>
      <c r="D1534" s="170" t="s">
        <v>1947</v>
      </c>
      <c r="E1534" s="171" t="s">
        <v>32216</v>
      </c>
      <c r="F1534" s="171" t="s">
        <v>30342</v>
      </c>
      <c r="G1534" s="82"/>
      <c r="H1534" s="96">
        <f t="shared" si="92"/>
        <v>169.48</v>
      </c>
      <c r="I1534" s="96">
        <f t="shared" si="92"/>
        <v>171.31</v>
      </c>
      <c r="J1534" s="91" t="str">
        <f t="shared" si="93"/>
        <v>Sinapi 91077</v>
      </c>
      <c r="K1534" s="91" t="str">
        <f t="shared" si="94"/>
        <v>M2</v>
      </c>
      <c r="L1534" s="166" t="str">
        <f t="shared" si="95"/>
        <v>01/2016</v>
      </c>
      <c r="M1534" s="82"/>
      <c r="N1534" s="82"/>
    </row>
    <row r="1535" spans="1:14" x14ac:dyDescent="0.25">
      <c r="A1535" s="170" t="s">
        <v>4372</v>
      </c>
      <c r="B1535" s="170" t="s">
        <v>4373</v>
      </c>
      <c r="C1535" s="170" t="s">
        <v>870</v>
      </c>
      <c r="D1535" s="170" t="s">
        <v>1947</v>
      </c>
      <c r="E1535" s="171" t="s">
        <v>25389</v>
      </c>
      <c r="F1535" s="171" t="s">
        <v>35506</v>
      </c>
      <c r="G1535" s="82"/>
      <c r="H1535" s="96">
        <f t="shared" si="92"/>
        <v>200.43</v>
      </c>
      <c r="I1535" s="96">
        <f t="shared" si="92"/>
        <v>202.41</v>
      </c>
      <c r="J1535" s="91" t="str">
        <f t="shared" si="93"/>
        <v>Sinapi 91078</v>
      </c>
      <c r="K1535" s="91" t="str">
        <f t="shared" si="94"/>
        <v>M2</v>
      </c>
      <c r="L1535" s="166" t="str">
        <f t="shared" si="95"/>
        <v>01/2016</v>
      </c>
      <c r="M1535" s="82"/>
      <c r="N1535" s="82"/>
    </row>
    <row r="1536" spans="1:14" x14ac:dyDescent="0.25">
      <c r="A1536" s="170" t="s">
        <v>4374</v>
      </c>
      <c r="B1536" s="170" t="s">
        <v>4375</v>
      </c>
      <c r="C1536" s="170" t="s">
        <v>870</v>
      </c>
      <c r="D1536" s="170" t="s">
        <v>1947</v>
      </c>
      <c r="E1536" s="171" t="s">
        <v>29322</v>
      </c>
      <c r="F1536" s="171" t="s">
        <v>35357</v>
      </c>
      <c r="G1536" s="82"/>
      <c r="H1536" s="96">
        <f t="shared" si="92"/>
        <v>175.38</v>
      </c>
      <c r="I1536" s="96">
        <f t="shared" si="92"/>
        <v>177.76</v>
      </c>
      <c r="J1536" s="91" t="str">
        <f t="shared" si="93"/>
        <v>Sinapi 91079</v>
      </c>
      <c r="K1536" s="91" t="str">
        <f t="shared" si="94"/>
        <v>M2</v>
      </c>
      <c r="L1536" s="166" t="str">
        <f t="shared" si="95"/>
        <v>01/2016</v>
      </c>
      <c r="M1536" s="82"/>
      <c r="N1536" s="82"/>
    </row>
    <row r="1537" spans="1:14" x14ac:dyDescent="0.25">
      <c r="A1537" s="170" t="s">
        <v>4376</v>
      </c>
      <c r="B1537" s="170" t="s">
        <v>4377</v>
      </c>
      <c r="C1537" s="170" t="s">
        <v>870</v>
      </c>
      <c r="D1537" s="170" t="s">
        <v>1947</v>
      </c>
      <c r="E1537" s="171" t="s">
        <v>32217</v>
      </c>
      <c r="F1537" s="171" t="s">
        <v>35507</v>
      </c>
      <c r="G1537" s="82"/>
      <c r="H1537" s="96">
        <f t="shared" si="92"/>
        <v>206.09</v>
      </c>
      <c r="I1537" s="96">
        <f t="shared" si="92"/>
        <v>208.61</v>
      </c>
      <c r="J1537" s="91" t="str">
        <f t="shared" si="93"/>
        <v>Sinapi 91080</v>
      </c>
      <c r="K1537" s="91" t="str">
        <f t="shared" si="94"/>
        <v>M2</v>
      </c>
      <c r="L1537" s="166" t="str">
        <f t="shared" si="95"/>
        <v>01/2016</v>
      </c>
      <c r="M1537" s="82"/>
      <c r="N1537" s="82"/>
    </row>
    <row r="1538" spans="1:14" x14ac:dyDescent="0.25">
      <c r="A1538" s="170" t="s">
        <v>4378</v>
      </c>
      <c r="B1538" s="170" t="s">
        <v>4379</v>
      </c>
      <c r="C1538" s="170" t="s">
        <v>870</v>
      </c>
      <c r="D1538" s="170" t="s">
        <v>1947</v>
      </c>
      <c r="E1538" s="171" t="s">
        <v>32218</v>
      </c>
      <c r="F1538" s="171" t="s">
        <v>35508</v>
      </c>
      <c r="G1538" s="82"/>
      <c r="H1538" s="96">
        <f t="shared" si="92"/>
        <v>184.2</v>
      </c>
      <c r="I1538" s="96">
        <f t="shared" si="92"/>
        <v>187.53</v>
      </c>
      <c r="J1538" s="91" t="str">
        <f t="shared" si="93"/>
        <v>Sinapi 91081</v>
      </c>
      <c r="K1538" s="91" t="str">
        <f t="shared" si="94"/>
        <v>M2</v>
      </c>
      <c r="L1538" s="166" t="str">
        <f t="shared" si="95"/>
        <v>01/2016</v>
      </c>
      <c r="M1538" s="82"/>
      <c r="N1538" s="82"/>
    </row>
    <row r="1539" spans="1:14" x14ac:dyDescent="0.25">
      <c r="A1539" s="170" t="s">
        <v>4380</v>
      </c>
      <c r="B1539" s="170" t="s">
        <v>4381</v>
      </c>
      <c r="C1539" s="170" t="s">
        <v>870</v>
      </c>
      <c r="D1539" s="170" t="s">
        <v>1947</v>
      </c>
      <c r="E1539" s="171" t="s">
        <v>32219</v>
      </c>
      <c r="F1539" s="171" t="s">
        <v>35509</v>
      </c>
      <c r="G1539" s="82"/>
      <c r="H1539" s="96">
        <f t="shared" si="92"/>
        <v>216.36</v>
      </c>
      <c r="I1539" s="96">
        <f t="shared" si="92"/>
        <v>219.95</v>
      </c>
      <c r="J1539" s="91" t="str">
        <f t="shared" si="93"/>
        <v>Sinapi 91082</v>
      </c>
      <c r="K1539" s="91" t="str">
        <f t="shared" si="94"/>
        <v>M2</v>
      </c>
      <c r="L1539" s="166" t="str">
        <f t="shared" si="95"/>
        <v>01/2016</v>
      </c>
      <c r="M1539" s="82"/>
      <c r="N1539" s="82"/>
    </row>
    <row r="1540" spans="1:14" x14ac:dyDescent="0.25">
      <c r="A1540" s="170" t="s">
        <v>4382</v>
      </c>
      <c r="B1540" s="170" t="s">
        <v>4383</v>
      </c>
      <c r="C1540" s="170" t="s">
        <v>870</v>
      </c>
      <c r="D1540" s="170" t="s">
        <v>1947</v>
      </c>
      <c r="E1540" s="171" t="s">
        <v>31406</v>
      </c>
      <c r="F1540" s="171" t="s">
        <v>35510</v>
      </c>
      <c r="G1540" s="82"/>
      <c r="H1540" s="96">
        <f t="shared" si="92"/>
        <v>194.31</v>
      </c>
      <c r="I1540" s="96">
        <f t="shared" si="92"/>
        <v>198.68</v>
      </c>
      <c r="J1540" s="91" t="str">
        <f t="shared" si="93"/>
        <v>Sinapi 91083</v>
      </c>
      <c r="K1540" s="91" t="str">
        <f t="shared" si="94"/>
        <v>M2</v>
      </c>
      <c r="L1540" s="166" t="str">
        <f t="shared" si="95"/>
        <v>01/2016</v>
      </c>
      <c r="M1540" s="82"/>
      <c r="N1540" s="82"/>
    </row>
    <row r="1541" spans="1:14" x14ac:dyDescent="0.25">
      <c r="A1541" s="170" t="s">
        <v>4384</v>
      </c>
      <c r="B1541" s="170" t="s">
        <v>4385</v>
      </c>
      <c r="C1541" s="170" t="s">
        <v>870</v>
      </c>
      <c r="D1541" s="170" t="s">
        <v>1947</v>
      </c>
      <c r="E1541" s="171" t="s">
        <v>32220</v>
      </c>
      <c r="F1541" s="171" t="s">
        <v>35511</v>
      </c>
      <c r="G1541" s="82"/>
      <c r="H1541" s="96">
        <f t="shared" si="92"/>
        <v>226.18</v>
      </c>
      <c r="I1541" s="96">
        <f t="shared" si="92"/>
        <v>230.79</v>
      </c>
      <c r="J1541" s="91" t="str">
        <f t="shared" si="93"/>
        <v>Sinapi 91084</v>
      </c>
      <c r="K1541" s="91" t="str">
        <f t="shared" si="94"/>
        <v>M2</v>
      </c>
      <c r="L1541" s="166" t="str">
        <f t="shared" si="95"/>
        <v>01/2016</v>
      </c>
      <c r="M1541" s="82"/>
      <c r="N1541" s="82"/>
    </row>
    <row r="1542" spans="1:14" x14ac:dyDescent="0.25">
      <c r="A1542" s="170" t="s">
        <v>4386</v>
      </c>
      <c r="B1542" s="170" t="s">
        <v>4387</v>
      </c>
      <c r="C1542" s="170" t="s">
        <v>870</v>
      </c>
      <c r="D1542" s="170" t="s">
        <v>1947</v>
      </c>
      <c r="E1542" s="171" t="s">
        <v>32221</v>
      </c>
      <c r="F1542" s="171" t="s">
        <v>35512</v>
      </c>
      <c r="G1542" s="82"/>
      <c r="H1542" s="96">
        <f t="shared" si="92"/>
        <v>152.01</v>
      </c>
      <c r="I1542" s="96">
        <f t="shared" si="92"/>
        <v>155.59</v>
      </c>
      <c r="J1542" s="91" t="str">
        <f t="shared" si="93"/>
        <v>Sinapi 91086</v>
      </c>
      <c r="K1542" s="91" t="str">
        <f t="shared" si="94"/>
        <v>M2</v>
      </c>
      <c r="L1542" s="166" t="str">
        <f t="shared" si="95"/>
        <v>01/2016</v>
      </c>
      <c r="M1542" s="82"/>
      <c r="N1542" s="82"/>
    </row>
    <row r="1543" spans="1:14" x14ac:dyDescent="0.25">
      <c r="A1543" s="170" t="s">
        <v>4388</v>
      </c>
      <c r="B1543" s="170" t="s">
        <v>4389</v>
      </c>
      <c r="C1543" s="170" t="s">
        <v>870</v>
      </c>
      <c r="D1543" s="170" t="s">
        <v>1947</v>
      </c>
      <c r="E1543" s="171" t="s">
        <v>32222</v>
      </c>
      <c r="F1543" s="171" t="s">
        <v>22774</v>
      </c>
      <c r="G1543" s="82"/>
      <c r="H1543" s="96">
        <f t="shared" si="92"/>
        <v>172.01</v>
      </c>
      <c r="I1543" s="96">
        <f t="shared" si="92"/>
        <v>175.78</v>
      </c>
      <c r="J1543" s="91" t="str">
        <f t="shared" si="93"/>
        <v>Sinapi 91087</v>
      </c>
      <c r="K1543" s="91" t="str">
        <f t="shared" si="94"/>
        <v>M2</v>
      </c>
      <c r="L1543" s="166" t="str">
        <f t="shared" si="95"/>
        <v>01/2016</v>
      </c>
      <c r="M1543" s="82"/>
      <c r="N1543" s="82"/>
    </row>
    <row r="1544" spans="1:14" x14ac:dyDescent="0.25">
      <c r="A1544" s="170" t="s">
        <v>4390</v>
      </c>
      <c r="B1544" s="170" t="s">
        <v>4391</v>
      </c>
      <c r="C1544" s="170" t="s">
        <v>870</v>
      </c>
      <c r="D1544" s="170" t="s">
        <v>1947</v>
      </c>
      <c r="E1544" s="171" t="s">
        <v>32223</v>
      </c>
      <c r="F1544" s="171" t="s">
        <v>35513</v>
      </c>
      <c r="G1544" s="82"/>
      <c r="H1544" s="96">
        <f t="shared" ref="H1544:I1607" si="96">IF(E1544="","",E1544+0)</f>
        <v>193.59</v>
      </c>
      <c r="I1544" s="96">
        <f t="shared" si="96"/>
        <v>201.1</v>
      </c>
      <c r="J1544" s="91" t="str">
        <f t="shared" ref="J1544:J1607" si="97">IF(OR(H1544="",I1544=""),"",TRIM(CONCATENATE("Sinapi ",A1544)))</f>
        <v>Sinapi 91088</v>
      </c>
      <c r="K1544" s="91" t="str">
        <f t="shared" ref="K1544:K1607" si="98">TRIM(C1544)</f>
        <v>M2</v>
      </c>
      <c r="L1544" s="166" t="str">
        <f t="shared" ref="L1544:L1607" si="99">IF(OR(RIGHT(IF(AND(K1544&lt;&gt;"H",K1544&lt;&gt;"MES"),RIGHT(B1544,7),""),2)="PS",RIGHT(IF(AND(K1544&lt;&gt;"H",K1544&lt;&gt;"MES"),RIGHT(B1544,7),""),2)="PA",RIGHT(IF(AND(K1544&lt;&gt;"H",K1544&lt;&gt;"MES"),RIGHT(B1544,7),""),2)="PE"),LEFT(IF(AND(K1544&lt;&gt;"H",K1544&lt;&gt;"MES"),RIGHT(B1544,10),""),7),IF(AND(K1544&lt;&gt;"H",K1544&lt;&gt;"MES"),RIGHT(B1544,7),""))</f>
        <v>01/2016</v>
      </c>
      <c r="M1544" s="82"/>
      <c r="N1544" s="82"/>
    </row>
    <row r="1545" spans="1:14" x14ac:dyDescent="0.25">
      <c r="A1545" s="170" t="s">
        <v>4392</v>
      </c>
      <c r="B1545" s="170" t="s">
        <v>4393</v>
      </c>
      <c r="C1545" s="170" t="s">
        <v>870</v>
      </c>
      <c r="D1545" s="170" t="s">
        <v>1947</v>
      </c>
      <c r="E1545" s="171" t="s">
        <v>32224</v>
      </c>
      <c r="F1545" s="171" t="s">
        <v>30683</v>
      </c>
      <c r="G1545" s="82"/>
      <c r="H1545" s="96">
        <f t="shared" si="96"/>
        <v>213.73</v>
      </c>
      <c r="I1545" s="96">
        <f t="shared" si="96"/>
        <v>221.44</v>
      </c>
      <c r="J1545" s="91" t="str">
        <f t="shared" si="97"/>
        <v>Sinapi 91089</v>
      </c>
      <c r="K1545" s="91" t="str">
        <f t="shared" si="98"/>
        <v>M2</v>
      </c>
      <c r="L1545" s="166" t="str">
        <f t="shared" si="99"/>
        <v>01/2016</v>
      </c>
      <c r="M1545" s="82"/>
      <c r="N1545" s="82"/>
    </row>
    <row r="1546" spans="1:14" x14ac:dyDescent="0.25">
      <c r="A1546" s="170" t="s">
        <v>4394</v>
      </c>
      <c r="B1546" s="170" t="s">
        <v>4395</v>
      </c>
      <c r="C1546" s="170" t="s">
        <v>870</v>
      </c>
      <c r="D1546" s="170" t="s">
        <v>1947</v>
      </c>
      <c r="E1546" s="171" t="s">
        <v>32225</v>
      </c>
      <c r="F1546" s="171" t="s">
        <v>35514</v>
      </c>
      <c r="G1546" s="82"/>
      <c r="H1546" s="96">
        <f t="shared" si="96"/>
        <v>162.6</v>
      </c>
      <c r="I1546" s="96">
        <f t="shared" si="96"/>
        <v>167.45</v>
      </c>
      <c r="J1546" s="91" t="str">
        <f t="shared" si="97"/>
        <v>Sinapi 91090</v>
      </c>
      <c r="K1546" s="91" t="str">
        <f t="shared" si="98"/>
        <v>M2</v>
      </c>
      <c r="L1546" s="166" t="str">
        <f t="shared" si="99"/>
        <v>01/2016</v>
      </c>
      <c r="M1546" s="82"/>
      <c r="N1546" s="82"/>
    </row>
    <row r="1547" spans="1:14" x14ac:dyDescent="0.25">
      <c r="A1547" s="170" t="s">
        <v>4396</v>
      </c>
      <c r="B1547" s="170" t="s">
        <v>4397</v>
      </c>
      <c r="C1547" s="170" t="s">
        <v>870</v>
      </c>
      <c r="D1547" s="170" t="s">
        <v>1947</v>
      </c>
      <c r="E1547" s="171" t="s">
        <v>32226</v>
      </c>
      <c r="F1547" s="171" t="s">
        <v>35515</v>
      </c>
      <c r="G1547" s="82"/>
      <c r="H1547" s="96">
        <f t="shared" si="96"/>
        <v>184.14</v>
      </c>
      <c r="I1547" s="96">
        <f t="shared" si="96"/>
        <v>189.32</v>
      </c>
      <c r="J1547" s="91" t="str">
        <f t="shared" si="97"/>
        <v>Sinapi 91091</v>
      </c>
      <c r="K1547" s="91" t="str">
        <f t="shared" si="98"/>
        <v>M2</v>
      </c>
      <c r="L1547" s="166" t="str">
        <f t="shared" si="99"/>
        <v>01/2016</v>
      </c>
      <c r="M1547" s="82"/>
      <c r="N1547" s="82"/>
    </row>
    <row r="1548" spans="1:14" x14ac:dyDescent="0.25">
      <c r="A1548" s="170" t="s">
        <v>4398</v>
      </c>
      <c r="B1548" s="170" t="s">
        <v>4399</v>
      </c>
      <c r="C1548" s="170" t="s">
        <v>870</v>
      </c>
      <c r="D1548" s="170" t="s">
        <v>1947</v>
      </c>
      <c r="E1548" s="171" t="s">
        <v>32227</v>
      </c>
      <c r="F1548" s="171" t="s">
        <v>35516</v>
      </c>
      <c r="G1548" s="82"/>
      <c r="H1548" s="96">
        <f t="shared" si="96"/>
        <v>205.23</v>
      </c>
      <c r="I1548" s="96">
        <f t="shared" si="96"/>
        <v>214.39</v>
      </c>
      <c r="J1548" s="91" t="str">
        <f t="shared" si="97"/>
        <v>Sinapi 91092</v>
      </c>
      <c r="K1548" s="91" t="str">
        <f t="shared" si="98"/>
        <v>M2</v>
      </c>
      <c r="L1548" s="166" t="str">
        <f t="shared" si="99"/>
        <v>01/2016</v>
      </c>
      <c r="M1548" s="82"/>
      <c r="N1548" s="82"/>
    </row>
    <row r="1549" spans="1:14" x14ac:dyDescent="0.25">
      <c r="A1549" s="170" t="s">
        <v>4400</v>
      </c>
      <c r="B1549" s="170" t="s">
        <v>4401</v>
      </c>
      <c r="C1549" s="170" t="s">
        <v>870</v>
      </c>
      <c r="D1549" s="170" t="s">
        <v>1947</v>
      </c>
      <c r="E1549" s="171" t="s">
        <v>32228</v>
      </c>
      <c r="F1549" s="171" t="s">
        <v>35517</v>
      </c>
      <c r="G1549" s="82"/>
      <c r="H1549" s="96">
        <f t="shared" si="96"/>
        <v>227.09</v>
      </c>
      <c r="I1549" s="96">
        <f t="shared" si="96"/>
        <v>236.63</v>
      </c>
      <c r="J1549" s="91" t="str">
        <f t="shared" si="97"/>
        <v>Sinapi 91093</v>
      </c>
      <c r="K1549" s="91" t="str">
        <f t="shared" si="98"/>
        <v>M2</v>
      </c>
      <c r="L1549" s="166" t="str">
        <f t="shared" si="99"/>
        <v>01/2016</v>
      </c>
      <c r="M1549" s="82"/>
      <c r="N1549" s="82"/>
    </row>
    <row r="1550" spans="1:14" x14ac:dyDescent="0.25">
      <c r="A1550" s="170" t="s">
        <v>4402</v>
      </c>
      <c r="B1550" s="170" t="s">
        <v>4403</v>
      </c>
      <c r="C1550" s="170" t="s">
        <v>870</v>
      </c>
      <c r="D1550" s="170" t="s">
        <v>1947</v>
      </c>
      <c r="E1550" s="171" t="s">
        <v>32229</v>
      </c>
      <c r="F1550" s="171" t="s">
        <v>35518</v>
      </c>
      <c r="G1550" s="82"/>
      <c r="H1550" s="96">
        <f t="shared" si="96"/>
        <v>175.53</v>
      </c>
      <c r="I1550" s="96">
        <f t="shared" si="96"/>
        <v>177.99</v>
      </c>
      <c r="J1550" s="91" t="str">
        <f t="shared" si="97"/>
        <v>Sinapi 91094</v>
      </c>
      <c r="K1550" s="91" t="str">
        <f t="shared" si="98"/>
        <v>M2</v>
      </c>
      <c r="L1550" s="166" t="str">
        <f t="shared" si="99"/>
        <v>01/2016</v>
      </c>
      <c r="M1550" s="82"/>
      <c r="N1550" s="82"/>
    </row>
    <row r="1551" spans="1:14" x14ac:dyDescent="0.25">
      <c r="A1551" s="170" t="s">
        <v>4404</v>
      </c>
      <c r="B1551" s="170" t="s">
        <v>4405</v>
      </c>
      <c r="C1551" s="170" t="s">
        <v>870</v>
      </c>
      <c r="D1551" s="170" t="s">
        <v>1947</v>
      </c>
      <c r="E1551" s="171" t="s">
        <v>23282</v>
      </c>
      <c r="F1551" s="171" t="s">
        <v>35519</v>
      </c>
      <c r="G1551" s="82"/>
      <c r="H1551" s="96">
        <f t="shared" si="96"/>
        <v>206.92</v>
      </c>
      <c r="I1551" s="96">
        <f t="shared" si="96"/>
        <v>209.53</v>
      </c>
      <c r="J1551" s="91" t="str">
        <f t="shared" si="97"/>
        <v>Sinapi 91095</v>
      </c>
      <c r="K1551" s="91" t="str">
        <f t="shared" si="98"/>
        <v>M2</v>
      </c>
      <c r="L1551" s="166" t="str">
        <f t="shared" si="99"/>
        <v>01/2016</v>
      </c>
      <c r="M1551" s="82"/>
      <c r="N1551" s="82"/>
    </row>
    <row r="1552" spans="1:14" x14ac:dyDescent="0.25">
      <c r="A1552" s="170" t="s">
        <v>4406</v>
      </c>
      <c r="B1552" s="170" t="s">
        <v>4407</v>
      </c>
      <c r="C1552" s="170" t="s">
        <v>870</v>
      </c>
      <c r="D1552" s="170" t="s">
        <v>1947</v>
      </c>
      <c r="E1552" s="171" t="s">
        <v>32230</v>
      </c>
      <c r="F1552" s="171" t="s">
        <v>35520</v>
      </c>
      <c r="G1552" s="82"/>
      <c r="H1552" s="96">
        <f t="shared" si="96"/>
        <v>178.5</v>
      </c>
      <c r="I1552" s="96">
        <f t="shared" si="96"/>
        <v>181.27</v>
      </c>
      <c r="J1552" s="91" t="str">
        <f t="shared" si="97"/>
        <v>Sinapi 91096</v>
      </c>
      <c r="K1552" s="91" t="str">
        <f t="shared" si="98"/>
        <v>M2</v>
      </c>
      <c r="L1552" s="166" t="str">
        <f t="shared" si="99"/>
        <v>01/2016</v>
      </c>
      <c r="M1552" s="82"/>
      <c r="N1552" s="82"/>
    </row>
    <row r="1553" spans="1:14" x14ac:dyDescent="0.25">
      <c r="A1553" s="170" t="s">
        <v>4408</v>
      </c>
      <c r="B1553" s="170" t="s">
        <v>4409</v>
      </c>
      <c r="C1553" s="170" t="s">
        <v>870</v>
      </c>
      <c r="D1553" s="170" t="s">
        <v>1947</v>
      </c>
      <c r="E1553" s="171" t="s">
        <v>32231</v>
      </c>
      <c r="F1553" s="171" t="s">
        <v>30804</v>
      </c>
      <c r="G1553" s="82"/>
      <c r="H1553" s="96">
        <f t="shared" si="96"/>
        <v>209.7</v>
      </c>
      <c r="I1553" s="96">
        <f t="shared" si="96"/>
        <v>212.64</v>
      </c>
      <c r="J1553" s="91" t="str">
        <f t="shared" si="97"/>
        <v>Sinapi 91097</v>
      </c>
      <c r="K1553" s="91" t="str">
        <f t="shared" si="98"/>
        <v>M2</v>
      </c>
      <c r="L1553" s="166" t="str">
        <f t="shared" si="99"/>
        <v>01/2016</v>
      </c>
      <c r="M1553" s="82"/>
      <c r="N1553" s="82"/>
    </row>
    <row r="1554" spans="1:14" x14ac:dyDescent="0.25">
      <c r="A1554" s="170" t="s">
        <v>4410</v>
      </c>
      <c r="B1554" s="170" t="s">
        <v>4411</v>
      </c>
      <c r="C1554" s="170" t="s">
        <v>870</v>
      </c>
      <c r="D1554" s="170" t="s">
        <v>1947</v>
      </c>
      <c r="E1554" s="171" t="s">
        <v>32232</v>
      </c>
      <c r="F1554" s="171" t="s">
        <v>35521</v>
      </c>
      <c r="G1554" s="82"/>
      <c r="H1554" s="96">
        <f t="shared" si="96"/>
        <v>189.85</v>
      </c>
      <c r="I1554" s="96">
        <f t="shared" si="96"/>
        <v>193.84</v>
      </c>
      <c r="J1554" s="91" t="str">
        <f t="shared" si="97"/>
        <v>Sinapi 91098</v>
      </c>
      <c r="K1554" s="91" t="str">
        <f t="shared" si="98"/>
        <v>M2</v>
      </c>
      <c r="L1554" s="166" t="str">
        <f t="shared" si="99"/>
        <v>01/2016</v>
      </c>
      <c r="M1554" s="82"/>
      <c r="N1554" s="82"/>
    </row>
    <row r="1555" spans="1:14" x14ac:dyDescent="0.25">
      <c r="A1555" s="170" t="s">
        <v>4412</v>
      </c>
      <c r="B1555" s="170" t="s">
        <v>4413</v>
      </c>
      <c r="C1555" s="170" t="s">
        <v>870</v>
      </c>
      <c r="D1555" s="170" t="s">
        <v>1947</v>
      </c>
      <c r="E1555" s="171" t="s">
        <v>32233</v>
      </c>
      <c r="F1555" s="171" t="s">
        <v>35522</v>
      </c>
      <c r="G1555" s="82"/>
      <c r="H1555" s="96">
        <f t="shared" si="96"/>
        <v>222.54</v>
      </c>
      <c r="I1555" s="96">
        <f t="shared" si="96"/>
        <v>226.82</v>
      </c>
      <c r="J1555" s="91" t="str">
        <f t="shared" si="97"/>
        <v>Sinapi 91099</v>
      </c>
      <c r="K1555" s="91" t="str">
        <f t="shared" si="98"/>
        <v>M2</v>
      </c>
      <c r="L1555" s="166" t="str">
        <f t="shared" si="99"/>
        <v>01/2016</v>
      </c>
      <c r="M1555" s="82"/>
      <c r="N1555" s="82"/>
    </row>
    <row r="1556" spans="1:14" x14ac:dyDescent="0.25">
      <c r="A1556" s="170" t="s">
        <v>4414</v>
      </c>
      <c r="B1556" s="170" t="s">
        <v>4415</v>
      </c>
      <c r="C1556" s="170" t="s">
        <v>870</v>
      </c>
      <c r="D1556" s="170" t="s">
        <v>1947</v>
      </c>
      <c r="E1556" s="171" t="s">
        <v>27728</v>
      </c>
      <c r="F1556" s="171" t="s">
        <v>35523</v>
      </c>
      <c r="G1556" s="82"/>
      <c r="H1556" s="96">
        <f t="shared" si="96"/>
        <v>197.91</v>
      </c>
      <c r="I1556" s="96">
        <f t="shared" si="96"/>
        <v>202.74</v>
      </c>
      <c r="J1556" s="91" t="str">
        <f t="shared" si="97"/>
        <v>Sinapi 91100</v>
      </c>
      <c r="K1556" s="91" t="str">
        <f t="shared" si="98"/>
        <v>M2</v>
      </c>
      <c r="L1556" s="166" t="str">
        <f t="shared" si="99"/>
        <v>01/2016</v>
      </c>
      <c r="M1556" s="82"/>
      <c r="N1556" s="82"/>
    </row>
    <row r="1557" spans="1:14" x14ac:dyDescent="0.25">
      <c r="A1557" s="170" t="s">
        <v>4416</v>
      </c>
      <c r="B1557" s="170" t="s">
        <v>4417</v>
      </c>
      <c r="C1557" s="170" t="s">
        <v>870</v>
      </c>
      <c r="D1557" s="170" t="s">
        <v>1947</v>
      </c>
      <c r="E1557" s="171" t="s">
        <v>28628</v>
      </c>
      <c r="F1557" s="171" t="s">
        <v>35524</v>
      </c>
      <c r="G1557" s="82"/>
      <c r="H1557" s="96">
        <f t="shared" si="96"/>
        <v>230.46</v>
      </c>
      <c r="I1557" s="96">
        <f t="shared" si="96"/>
        <v>235.6</v>
      </c>
      <c r="J1557" s="91" t="str">
        <f t="shared" si="97"/>
        <v>Sinapi 91101</v>
      </c>
      <c r="K1557" s="91" t="str">
        <f t="shared" si="98"/>
        <v>M2</v>
      </c>
      <c r="L1557" s="166" t="str">
        <f t="shared" si="99"/>
        <v>01/2016</v>
      </c>
      <c r="M1557" s="82"/>
      <c r="N1557" s="82"/>
    </row>
    <row r="1558" spans="1:14" x14ac:dyDescent="0.25">
      <c r="A1558" s="170" t="s">
        <v>4418</v>
      </c>
      <c r="B1558" s="170" t="s">
        <v>4419</v>
      </c>
      <c r="C1558" s="170" t="s">
        <v>385</v>
      </c>
      <c r="D1558" s="170" t="s">
        <v>1947</v>
      </c>
      <c r="E1558" s="171" t="s">
        <v>32234</v>
      </c>
      <c r="F1558" s="171" t="s">
        <v>35525</v>
      </c>
      <c r="G1558" s="82"/>
      <c r="H1558" s="96">
        <f t="shared" si="96"/>
        <v>248.87</v>
      </c>
      <c r="I1558" s="96">
        <f t="shared" si="96"/>
        <v>261.39</v>
      </c>
      <c r="J1558" s="91" t="str">
        <f t="shared" si="97"/>
        <v>Sinapi 93952</v>
      </c>
      <c r="K1558" s="91" t="str">
        <f t="shared" si="98"/>
        <v>M</v>
      </c>
      <c r="L1558" s="166" t="str">
        <f t="shared" si="99"/>
        <v>05/2016</v>
      </c>
      <c r="M1558" s="82"/>
      <c r="N1558" s="82"/>
    </row>
    <row r="1559" spans="1:14" x14ac:dyDescent="0.25">
      <c r="A1559" s="170" t="s">
        <v>4420</v>
      </c>
      <c r="B1559" s="170" t="s">
        <v>4421</v>
      </c>
      <c r="C1559" s="170" t="s">
        <v>385</v>
      </c>
      <c r="D1559" s="170" t="s">
        <v>1947</v>
      </c>
      <c r="E1559" s="171" t="s">
        <v>32235</v>
      </c>
      <c r="F1559" s="171" t="s">
        <v>35526</v>
      </c>
      <c r="G1559" s="82"/>
      <c r="H1559" s="96">
        <f t="shared" si="96"/>
        <v>233.66</v>
      </c>
      <c r="I1559" s="96">
        <f t="shared" si="96"/>
        <v>244.81</v>
      </c>
      <c r="J1559" s="91" t="str">
        <f t="shared" si="97"/>
        <v>Sinapi 93953</v>
      </c>
      <c r="K1559" s="91" t="str">
        <f t="shared" si="98"/>
        <v>M</v>
      </c>
      <c r="L1559" s="166" t="str">
        <f t="shared" si="99"/>
        <v>05/2016</v>
      </c>
      <c r="M1559" s="82"/>
      <c r="N1559" s="82"/>
    </row>
    <row r="1560" spans="1:14" x14ac:dyDescent="0.25">
      <c r="A1560" s="170" t="s">
        <v>4422</v>
      </c>
      <c r="B1560" s="170" t="s">
        <v>4423</v>
      </c>
      <c r="C1560" s="170" t="s">
        <v>385</v>
      </c>
      <c r="D1560" s="170" t="s">
        <v>1947</v>
      </c>
      <c r="E1560" s="171" t="s">
        <v>32236</v>
      </c>
      <c r="F1560" s="171" t="s">
        <v>35527</v>
      </c>
      <c r="G1560" s="82"/>
      <c r="H1560" s="96">
        <f t="shared" si="96"/>
        <v>224.45</v>
      </c>
      <c r="I1560" s="96">
        <f t="shared" si="96"/>
        <v>234.8</v>
      </c>
      <c r="J1560" s="91" t="str">
        <f t="shared" si="97"/>
        <v>Sinapi 93954</v>
      </c>
      <c r="K1560" s="91" t="str">
        <f t="shared" si="98"/>
        <v>M</v>
      </c>
      <c r="L1560" s="166" t="str">
        <f t="shared" si="99"/>
        <v>05/2016</v>
      </c>
      <c r="M1560" s="82"/>
      <c r="N1560" s="82"/>
    </row>
    <row r="1561" spans="1:14" x14ac:dyDescent="0.25">
      <c r="A1561" s="170" t="s">
        <v>4424</v>
      </c>
      <c r="B1561" s="170" t="s">
        <v>4425</v>
      </c>
      <c r="C1561" s="170" t="s">
        <v>385</v>
      </c>
      <c r="D1561" s="170" t="s">
        <v>1947</v>
      </c>
      <c r="E1561" s="171" t="s">
        <v>32237</v>
      </c>
      <c r="F1561" s="171" t="s">
        <v>35528</v>
      </c>
      <c r="G1561" s="82"/>
      <c r="H1561" s="96">
        <f t="shared" si="96"/>
        <v>217.91</v>
      </c>
      <c r="I1561" s="96">
        <f t="shared" si="96"/>
        <v>227.72</v>
      </c>
      <c r="J1561" s="91" t="str">
        <f t="shared" si="97"/>
        <v>Sinapi 93955</v>
      </c>
      <c r="K1561" s="91" t="str">
        <f t="shared" si="98"/>
        <v>M</v>
      </c>
      <c r="L1561" s="166" t="str">
        <f t="shared" si="99"/>
        <v>05/2016</v>
      </c>
      <c r="M1561" s="82"/>
      <c r="N1561" s="82"/>
    </row>
    <row r="1562" spans="1:14" x14ac:dyDescent="0.25">
      <c r="A1562" s="170" t="s">
        <v>4426</v>
      </c>
      <c r="B1562" s="170" t="s">
        <v>4427</v>
      </c>
      <c r="C1562" s="170" t="s">
        <v>385</v>
      </c>
      <c r="D1562" s="170" t="s">
        <v>1947</v>
      </c>
      <c r="E1562" s="171" t="s">
        <v>32238</v>
      </c>
      <c r="F1562" s="171" t="s">
        <v>35529</v>
      </c>
      <c r="G1562" s="82"/>
      <c r="H1562" s="96">
        <f t="shared" si="96"/>
        <v>212.75</v>
      </c>
      <c r="I1562" s="96">
        <f t="shared" si="96"/>
        <v>222.13</v>
      </c>
      <c r="J1562" s="91" t="str">
        <f t="shared" si="97"/>
        <v>Sinapi 93956</v>
      </c>
      <c r="K1562" s="91" t="str">
        <f t="shared" si="98"/>
        <v>M</v>
      </c>
      <c r="L1562" s="166" t="str">
        <f t="shared" si="99"/>
        <v>05/2016</v>
      </c>
      <c r="M1562" s="82"/>
      <c r="N1562" s="82"/>
    </row>
    <row r="1563" spans="1:14" x14ac:dyDescent="0.25">
      <c r="A1563" s="170" t="s">
        <v>4428</v>
      </c>
      <c r="B1563" s="170" t="s">
        <v>4429</v>
      </c>
      <c r="C1563" s="170" t="s">
        <v>385</v>
      </c>
      <c r="D1563" s="170" t="s">
        <v>1947</v>
      </c>
      <c r="E1563" s="171" t="s">
        <v>32239</v>
      </c>
      <c r="F1563" s="171" t="s">
        <v>29365</v>
      </c>
      <c r="G1563" s="82"/>
      <c r="H1563" s="96">
        <f t="shared" si="96"/>
        <v>264.57</v>
      </c>
      <c r="I1563" s="96">
        <f t="shared" si="96"/>
        <v>277.32</v>
      </c>
      <c r="J1563" s="91" t="str">
        <f t="shared" si="97"/>
        <v>Sinapi 93957</v>
      </c>
      <c r="K1563" s="91" t="str">
        <f t="shared" si="98"/>
        <v>M</v>
      </c>
      <c r="L1563" s="166" t="str">
        <f t="shared" si="99"/>
        <v>05/2016</v>
      </c>
      <c r="M1563" s="82"/>
      <c r="N1563" s="82"/>
    </row>
    <row r="1564" spans="1:14" x14ac:dyDescent="0.25">
      <c r="A1564" s="170" t="s">
        <v>4430</v>
      </c>
      <c r="B1564" s="170" t="s">
        <v>4431</v>
      </c>
      <c r="C1564" s="170" t="s">
        <v>385</v>
      </c>
      <c r="D1564" s="170" t="s">
        <v>1947</v>
      </c>
      <c r="E1564" s="171" t="s">
        <v>32240</v>
      </c>
      <c r="F1564" s="171" t="s">
        <v>35530</v>
      </c>
      <c r="G1564" s="82"/>
      <c r="H1564" s="96">
        <f t="shared" si="96"/>
        <v>248.44</v>
      </c>
      <c r="I1564" s="96">
        <f t="shared" si="96"/>
        <v>259.77</v>
      </c>
      <c r="J1564" s="91" t="str">
        <f t="shared" si="97"/>
        <v>Sinapi 93958</v>
      </c>
      <c r="K1564" s="91" t="str">
        <f t="shared" si="98"/>
        <v>M</v>
      </c>
      <c r="L1564" s="166" t="str">
        <f t="shared" si="99"/>
        <v>05/2016</v>
      </c>
      <c r="M1564" s="82"/>
      <c r="N1564" s="82"/>
    </row>
    <row r="1565" spans="1:14" x14ac:dyDescent="0.25">
      <c r="A1565" s="170" t="s">
        <v>4432</v>
      </c>
      <c r="B1565" s="170" t="s">
        <v>4433</v>
      </c>
      <c r="C1565" s="170" t="s">
        <v>385</v>
      </c>
      <c r="D1565" s="170" t="s">
        <v>1947</v>
      </c>
      <c r="E1565" s="171" t="s">
        <v>32241</v>
      </c>
      <c r="F1565" s="171" t="s">
        <v>35531</v>
      </c>
      <c r="G1565" s="82"/>
      <c r="H1565" s="96">
        <f t="shared" si="96"/>
        <v>238.8</v>
      </c>
      <c r="I1565" s="96">
        <f t="shared" si="96"/>
        <v>249.28</v>
      </c>
      <c r="J1565" s="91" t="str">
        <f t="shared" si="97"/>
        <v>Sinapi 93959</v>
      </c>
      <c r="K1565" s="91" t="str">
        <f t="shared" si="98"/>
        <v>M</v>
      </c>
      <c r="L1565" s="166" t="str">
        <f t="shared" si="99"/>
        <v>05/2016</v>
      </c>
      <c r="M1565" s="82"/>
      <c r="N1565" s="82"/>
    </row>
    <row r="1566" spans="1:14" x14ac:dyDescent="0.25">
      <c r="A1566" s="170" t="s">
        <v>4434</v>
      </c>
      <c r="B1566" s="170" t="s">
        <v>4435</v>
      </c>
      <c r="C1566" s="170" t="s">
        <v>385</v>
      </c>
      <c r="D1566" s="170" t="s">
        <v>1947</v>
      </c>
      <c r="E1566" s="171" t="s">
        <v>32242</v>
      </c>
      <c r="F1566" s="171" t="s">
        <v>29362</v>
      </c>
      <c r="G1566" s="82"/>
      <c r="H1566" s="96">
        <f t="shared" si="96"/>
        <v>231.96</v>
      </c>
      <c r="I1566" s="96">
        <f t="shared" si="96"/>
        <v>241.87</v>
      </c>
      <c r="J1566" s="91" t="str">
        <f t="shared" si="97"/>
        <v>Sinapi 93960</v>
      </c>
      <c r="K1566" s="91" t="str">
        <f t="shared" si="98"/>
        <v>M</v>
      </c>
      <c r="L1566" s="166" t="str">
        <f t="shared" si="99"/>
        <v>05/2016</v>
      </c>
      <c r="M1566" s="82"/>
      <c r="N1566" s="82"/>
    </row>
    <row r="1567" spans="1:14" x14ac:dyDescent="0.25">
      <c r="A1567" s="170" t="s">
        <v>4436</v>
      </c>
      <c r="B1567" s="170" t="s">
        <v>4437</v>
      </c>
      <c r="C1567" s="170" t="s">
        <v>385</v>
      </c>
      <c r="D1567" s="170" t="s">
        <v>1947</v>
      </c>
      <c r="E1567" s="171" t="s">
        <v>29007</v>
      </c>
      <c r="F1567" s="171" t="s">
        <v>35532</v>
      </c>
      <c r="G1567" s="82"/>
      <c r="H1567" s="96">
        <f t="shared" si="96"/>
        <v>226.6</v>
      </c>
      <c r="I1567" s="96">
        <f t="shared" si="96"/>
        <v>236.09</v>
      </c>
      <c r="J1567" s="91" t="str">
        <f t="shared" si="97"/>
        <v>Sinapi 93961</v>
      </c>
      <c r="K1567" s="91" t="str">
        <f t="shared" si="98"/>
        <v>M</v>
      </c>
      <c r="L1567" s="166" t="str">
        <f t="shared" si="99"/>
        <v>05/2016</v>
      </c>
      <c r="M1567" s="82"/>
      <c r="N1567" s="82"/>
    </row>
    <row r="1568" spans="1:14" x14ac:dyDescent="0.25">
      <c r="A1568" s="170" t="s">
        <v>4438</v>
      </c>
      <c r="B1568" s="170" t="s">
        <v>4439</v>
      </c>
      <c r="C1568" s="170" t="s">
        <v>385</v>
      </c>
      <c r="D1568" s="170" t="s">
        <v>1947</v>
      </c>
      <c r="E1568" s="171" t="s">
        <v>32243</v>
      </c>
      <c r="F1568" s="171" t="s">
        <v>35533</v>
      </c>
      <c r="G1568" s="82"/>
      <c r="H1568" s="96">
        <f t="shared" si="96"/>
        <v>228.69</v>
      </c>
      <c r="I1568" s="96">
        <f t="shared" si="96"/>
        <v>240.8</v>
      </c>
      <c r="J1568" s="91" t="str">
        <f t="shared" si="97"/>
        <v>Sinapi 93962</v>
      </c>
      <c r="K1568" s="91" t="str">
        <f t="shared" si="98"/>
        <v>M</v>
      </c>
      <c r="L1568" s="166" t="str">
        <f t="shared" si="99"/>
        <v>05/2016</v>
      </c>
      <c r="M1568" s="82"/>
      <c r="N1568" s="82"/>
    </row>
    <row r="1569" spans="1:14" x14ac:dyDescent="0.25">
      <c r="A1569" s="170" t="s">
        <v>4440</v>
      </c>
      <c r="B1569" s="170" t="s">
        <v>4441</v>
      </c>
      <c r="C1569" s="170" t="s">
        <v>385</v>
      </c>
      <c r="D1569" s="170" t="s">
        <v>1947</v>
      </c>
      <c r="E1569" s="171" t="s">
        <v>32244</v>
      </c>
      <c r="F1569" s="171" t="s">
        <v>35534</v>
      </c>
      <c r="G1569" s="82"/>
      <c r="H1569" s="96">
        <f t="shared" si="96"/>
        <v>213.52</v>
      </c>
      <c r="I1569" s="96">
        <f t="shared" si="96"/>
        <v>224.24</v>
      </c>
      <c r="J1569" s="91" t="str">
        <f t="shared" si="97"/>
        <v>Sinapi 93963</v>
      </c>
      <c r="K1569" s="91" t="str">
        <f t="shared" si="98"/>
        <v>M</v>
      </c>
      <c r="L1569" s="166" t="str">
        <f t="shared" si="99"/>
        <v>05/2016</v>
      </c>
      <c r="M1569" s="82"/>
      <c r="N1569" s="82"/>
    </row>
    <row r="1570" spans="1:14" x14ac:dyDescent="0.25">
      <c r="A1570" s="170" t="s">
        <v>4442</v>
      </c>
      <c r="B1570" s="170" t="s">
        <v>4443</v>
      </c>
      <c r="C1570" s="170" t="s">
        <v>385</v>
      </c>
      <c r="D1570" s="170" t="s">
        <v>1947</v>
      </c>
      <c r="E1570" s="171" t="s">
        <v>32245</v>
      </c>
      <c r="F1570" s="171" t="s">
        <v>35535</v>
      </c>
      <c r="G1570" s="82"/>
      <c r="H1570" s="96">
        <f t="shared" si="96"/>
        <v>204.38</v>
      </c>
      <c r="I1570" s="96">
        <f t="shared" si="96"/>
        <v>214.29</v>
      </c>
      <c r="J1570" s="91" t="str">
        <f t="shared" si="97"/>
        <v>Sinapi 93964</v>
      </c>
      <c r="K1570" s="91" t="str">
        <f t="shared" si="98"/>
        <v>M</v>
      </c>
      <c r="L1570" s="166" t="str">
        <f t="shared" si="99"/>
        <v>05/2016</v>
      </c>
      <c r="M1570" s="82"/>
      <c r="N1570" s="82"/>
    </row>
    <row r="1571" spans="1:14" x14ac:dyDescent="0.25">
      <c r="A1571" s="170" t="s">
        <v>4444</v>
      </c>
      <c r="B1571" s="170" t="s">
        <v>4445</v>
      </c>
      <c r="C1571" s="170" t="s">
        <v>385</v>
      </c>
      <c r="D1571" s="170" t="s">
        <v>1947</v>
      </c>
      <c r="E1571" s="171" t="s">
        <v>32246</v>
      </c>
      <c r="F1571" s="171" t="s">
        <v>35536</v>
      </c>
      <c r="G1571" s="82"/>
      <c r="H1571" s="96">
        <f t="shared" si="96"/>
        <v>195.94</v>
      </c>
      <c r="I1571" s="96">
        <f t="shared" si="96"/>
        <v>205.09</v>
      </c>
      <c r="J1571" s="91" t="str">
        <f t="shared" si="97"/>
        <v>Sinapi 93965</v>
      </c>
      <c r="K1571" s="91" t="str">
        <f t="shared" si="98"/>
        <v>M</v>
      </c>
      <c r="L1571" s="166" t="str">
        <f t="shared" si="99"/>
        <v>05/2016</v>
      </c>
      <c r="M1571" s="82"/>
      <c r="N1571" s="82"/>
    </row>
    <row r="1572" spans="1:14" x14ac:dyDescent="0.25">
      <c r="A1572" s="170" t="s">
        <v>4446</v>
      </c>
      <c r="B1572" s="170" t="s">
        <v>4447</v>
      </c>
      <c r="C1572" s="170" t="s">
        <v>385</v>
      </c>
      <c r="D1572" s="170" t="s">
        <v>1947</v>
      </c>
      <c r="E1572" s="171" t="s">
        <v>32247</v>
      </c>
      <c r="F1572" s="171" t="s">
        <v>35537</v>
      </c>
      <c r="G1572" s="82"/>
      <c r="H1572" s="96">
        <f t="shared" si="96"/>
        <v>192.75</v>
      </c>
      <c r="I1572" s="96">
        <f t="shared" si="96"/>
        <v>201.69</v>
      </c>
      <c r="J1572" s="91" t="str">
        <f t="shared" si="97"/>
        <v>Sinapi 93966</v>
      </c>
      <c r="K1572" s="91" t="str">
        <f t="shared" si="98"/>
        <v>M</v>
      </c>
      <c r="L1572" s="166" t="str">
        <f t="shared" si="99"/>
        <v>05/2016</v>
      </c>
      <c r="M1572" s="82"/>
      <c r="N1572" s="82"/>
    </row>
    <row r="1573" spans="1:14" x14ac:dyDescent="0.25">
      <c r="A1573" s="170" t="s">
        <v>4448</v>
      </c>
      <c r="B1573" s="170" t="s">
        <v>4449</v>
      </c>
      <c r="C1573" s="170" t="s">
        <v>385</v>
      </c>
      <c r="D1573" s="170" t="s">
        <v>1947</v>
      </c>
      <c r="E1573" s="171" t="s">
        <v>32248</v>
      </c>
      <c r="F1573" s="171" t="s">
        <v>35538</v>
      </c>
      <c r="G1573" s="82"/>
      <c r="H1573" s="96">
        <f t="shared" si="96"/>
        <v>244.39</v>
      </c>
      <c r="I1573" s="96">
        <f t="shared" si="96"/>
        <v>256.72000000000003</v>
      </c>
      <c r="J1573" s="91" t="str">
        <f t="shared" si="97"/>
        <v>Sinapi 93967</v>
      </c>
      <c r="K1573" s="91" t="str">
        <f t="shared" si="98"/>
        <v>M</v>
      </c>
      <c r="L1573" s="166" t="str">
        <f t="shared" si="99"/>
        <v>05/2016</v>
      </c>
      <c r="M1573" s="82"/>
      <c r="N1573" s="82"/>
    </row>
    <row r="1574" spans="1:14" x14ac:dyDescent="0.25">
      <c r="A1574" s="170" t="s">
        <v>4450</v>
      </c>
      <c r="B1574" s="170" t="s">
        <v>4451</v>
      </c>
      <c r="C1574" s="170" t="s">
        <v>385</v>
      </c>
      <c r="D1574" s="170" t="s">
        <v>1947</v>
      </c>
      <c r="E1574" s="171" t="s">
        <v>32249</v>
      </c>
      <c r="F1574" s="171" t="s">
        <v>35539</v>
      </c>
      <c r="G1574" s="82"/>
      <c r="H1574" s="96">
        <f t="shared" si="96"/>
        <v>228.31</v>
      </c>
      <c r="I1574" s="96">
        <f t="shared" si="96"/>
        <v>239.18</v>
      </c>
      <c r="J1574" s="91" t="str">
        <f t="shared" si="97"/>
        <v>Sinapi 93968</v>
      </c>
      <c r="K1574" s="91" t="str">
        <f t="shared" si="98"/>
        <v>M</v>
      </c>
      <c r="L1574" s="166" t="str">
        <f t="shared" si="99"/>
        <v>05/2016</v>
      </c>
      <c r="M1574" s="82"/>
      <c r="N1574" s="82"/>
    </row>
    <row r="1575" spans="1:14" x14ac:dyDescent="0.25">
      <c r="A1575" s="170" t="s">
        <v>4452</v>
      </c>
      <c r="B1575" s="170" t="s">
        <v>4453</v>
      </c>
      <c r="C1575" s="170" t="s">
        <v>385</v>
      </c>
      <c r="D1575" s="170" t="s">
        <v>1947</v>
      </c>
      <c r="E1575" s="171" t="s">
        <v>32250</v>
      </c>
      <c r="F1575" s="171" t="s">
        <v>28984</v>
      </c>
      <c r="G1575" s="82"/>
      <c r="H1575" s="96">
        <f t="shared" si="96"/>
        <v>218.71</v>
      </c>
      <c r="I1575" s="96">
        <f t="shared" si="96"/>
        <v>228.75</v>
      </c>
      <c r="J1575" s="91" t="str">
        <f t="shared" si="97"/>
        <v>Sinapi 93969</v>
      </c>
      <c r="K1575" s="91" t="str">
        <f t="shared" si="98"/>
        <v>M</v>
      </c>
      <c r="L1575" s="166" t="str">
        <f t="shared" si="99"/>
        <v>05/2016</v>
      </c>
      <c r="M1575" s="82"/>
      <c r="N1575" s="82"/>
    </row>
    <row r="1576" spans="1:14" x14ac:dyDescent="0.25">
      <c r="A1576" s="170" t="s">
        <v>4454</v>
      </c>
      <c r="B1576" s="170" t="s">
        <v>4455</v>
      </c>
      <c r="C1576" s="170" t="s">
        <v>385</v>
      </c>
      <c r="D1576" s="170" t="s">
        <v>1947</v>
      </c>
      <c r="E1576" s="171" t="s">
        <v>32251</v>
      </c>
      <c r="F1576" s="171" t="s">
        <v>35540</v>
      </c>
      <c r="G1576" s="82"/>
      <c r="H1576" s="96">
        <f t="shared" si="96"/>
        <v>211.93</v>
      </c>
      <c r="I1576" s="96">
        <f t="shared" si="96"/>
        <v>221.42</v>
      </c>
      <c r="J1576" s="91" t="str">
        <f t="shared" si="97"/>
        <v>Sinapi 93970</v>
      </c>
      <c r="K1576" s="91" t="str">
        <f t="shared" si="98"/>
        <v>M</v>
      </c>
      <c r="L1576" s="166" t="str">
        <f t="shared" si="99"/>
        <v>05/2016</v>
      </c>
      <c r="M1576" s="82"/>
      <c r="N1576" s="82"/>
    </row>
    <row r="1577" spans="1:14" x14ac:dyDescent="0.25">
      <c r="A1577" s="170" t="s">
        <v>4456</v>
      </c>
      <c r="B1577" s="170" t="s">
        <v>4457</v>
      </c>
      <c r="C1577" s="170" t="s">
        <v>385</v>
      </c>
      <c r="D1577" s="170" t="s">
        <v>1947</v>
      </c>
      <c r="E1577" s="171" t="s">
        <v>32252</v>
      </c>
      <c r="F1577" s="171" t="s">
        <v>35541</v>
      </c>
      <c r="G1577" s="82"/>
      <c r="H1577" s="96">
        <f t="shared" si="96"/>
        <v>200.37</v>
      </c>
      <c r="I1577" s="96">
        <f t="shared" si="96"/>
        <v>209.18</v>
      </c>
      <c r="J1577" s="91" t="str">
        <f t="shared" si="97"/>
        <v>Sinapi 93971</v>
      </c>
      <c r="K1577" s="91" t="str">
        <f t="shared" si="98"/>
        <v>M</v>
      </c>
      <c r="L1577" s="166" t="str">
        <f t="shared" si="99"/>
        <v>05/2016</v>
      </c>
      <c r="M1577" s="82"/>
      <c r="N1577" s="82"/>
    </row>
    <row r="1578" spans="1:14" x14ac:dyDescent="0.25">
      <c r="A1578" s="170" t="s">
        <v>4458</v>
      </c>
      <c r="B1578" s="170" t="s">
        <v>4459</v>
      </c>
      <c r="C1578" s="170" t="s">
        <v>205</v>
      </c>
      <c r="D1578" s="170" t="s">
        <v>2067</v>
      </c>
      <c r="E1578" s="171" t="s">
        <v>21566</v>
      </c>
      <c r="F1578" s="171" t="s">
        <v>35542</v>
      </c>
      <c r="G1578" s="82"/>
      <c r="H1578" s="96">
        <f t="shared" si="96"/>
        <v>32.24</v>
      </c>
      <c r="I1578" s="96">
        <f t="shared" si="96"/>
        <v>34.729999999999997</v>
      </c>
      <c r="J1578" s="91" t="str">
        <f t="shared" si="97"/>
        <v>Sinapi 95108</v>
      </c>
      <c r="K1578" s="91" t="str">
        <f t="shared" si="98"/>
        <v>UN</v>
      </c>
      <c r="L1578" s="166" t="str">
        <f t="shared" si="99"/>
        <v>07/2016</v>
      </c>
      <c r="M1578" s="82"/>
      <c r="N1578" s="82"/>
    </row>
    <row r="1579" spans="1:14" x14ac:dyDescent="0.25">
      <c r="A1579" s="170" t="s">
        <v>4460</v>
      </c>
      <c r="B1579" s="170" t="s">
        <v>4461</v>
      </c>
      <c r="C1579" s="170" t="s">
        <v>870</v>
      </c>
      <c r="D1579" s="170" t="s">
        <v>1947</v>
      </c>
      <c r="E1579" s="171" t="s">
        <v>32253</v>
      </c>
      <c r="F1579" s="171" t="s">
        <v>35543</v>
      </c>
      <c r="G1579" s="82"/>
      <c r="H1579" s="96">
        <f t="shared" si="96"/>
        <v>975.19</v>
      </c>
      <c r="I1579" s="96">
        <f t="shared" si="96"/>
        <v>983.27</v>
      </c>
      <c r="J1579" s="91" t="str">
        <f t="shared" si="97"/>
        <v>Sinapi 100332</v>
      </c>
      <c r="K1579" s="91" t="str">
        <f t="shared" si="98"/>
        <v>M2</v>
      </c>
      <c r="L1579" s="166" t="str">
        <f t="shared" si="99"/>
        <v>07/2019</v>
      </c>
      <c r="M1579" s="82"/>
      <c r="N1579" s="82"/>
    </row>
    <row r="1580" spans="1:14" x14ac:dyDescent="0.25">
      <c r="A1580" s="170" t="s">
        <v>4462</v>
      </c>
      <c r="B1580" s="170" t="s">
        <v>4463</v>
      </c>
      <c r="C1580" s="170" t="s">
        <v>870</v>
      </c>
      <c r="D1580" s="170" t="s">
        <v>1947</v>
      </c>
      <c r="E1580" s="171" t="s">
        <v>32254</v>
      </c>
      <c r="F1580" s="171" t="s">
        <v>35544</v>
      </c>
      <c r="G1580" s="82"/>
      <c r="H1580" s="96">
        <f t="shared" si="96"/>
        <v>577.16</v>
      </c>
      <c r="I1580" s="96">
        <f t="shared" si="96"/>
        <v>583.45000000000005</v>
      </c>
      <c r="J1580" s="91" t="str">
        <f t="shared" si="97"/>
        <v>Sinapi 100333</v>
      </c>
      <c r="K1580" s="91" t="str">
        <f t="shared" si="98"/>
        <v>M2</v>
      </c>
      <c r="L1580" s="166" t="str">
        <f t="shared" si="99"/>
        <v>07/2019</v>
      </c>
      <c r="M1580" s="82"/>
      <c r="N1580" s="82"/>
    </row>
    <row r="1581" spans="1:14" x14ac:dyDescent="0.25">
      <c r="A1581" s="170" t="s">
        <v>4464</v>
      </c>
      <c r="B1581" s="170" t="s">
        <v>4465</v>
      </c>
      <c r="C1581" s="170" t="s">
        <v>870</v>
      </c>
      <c r="D1581" s="170" t="s">
        <v>1947</v>
      </c>
      <c r="E1581" s="171" t="s">
        <v>32255</v>
      </c>
      <c r="F1581" s="171" t="s">
        <v>35545</v>
      </c>
      <c r="G1581" s="82"/>
      <c r="H1581" s="96">
        <f t="shared" si="96"/>
        <v>760.03</v>
      </c>
      <c r="I1581" s="96">
        <f t="shared" si="96"/>
        <v>766.94</v>
      </c>
      <c r="J1581" s="91" t="str">
        <f t="shared" si="97"/>
        <v>Sinapi 100334</v>
      </c>
      <c r="K1581" s="91" t="str">
        <f t="shared" si="98"/>
        <v>M2</v>
      </c>
      <c r="L1581" s="166" t="str">
        <f t="shared" si="99"/>
        <v>07/2019</v>
      </c>
      <c r="M1581" s="82"/>
      <c r="N1581" s="82"/>
    </row>
    <row r="1582" spans="1:14" x14ac:dyDescent="0.25">
      <c r="A1582" s="170" t="s">
        <v>4466</v>
      </c>
      <c r="B1582" s="170" t="s">
        <v>4467</v>
      </c>
      <c r="C1582" s="170" t="s">
        <v>870</v>
      </c>
      <c r="D1582" s="170" t="s">
        <v>1947</v>
      </c>
      <c r="E1582" s="171" t="s">
        <v>32256</v>
      </c>
      <c r="F1582" s="171" t="s">
        <v>35546</v>
      </c>
      <c r="G1582" s="82"/>
      <c r="H1582" s="96">
        <f t="shared" si="96"/>
        <v>461.51</v>
      </c>
      <c r="I1582" s="96">
        <f t="shared" si="96"/>
        <v>467.08</v>
      </c>
      <c r="J1582" s="91" t="str">
        <f t="shared" si="97"/>
        <v>Sinapi 100335</v>
      </c>
      <c r="K1582" s="91" t="str">
        <f t="shared" si="98"/>
        <v>M2</v>
      </c>
      <c r="L1582" s="166" t="str">
        <f t="shared" si="99"/>
        <v>07/2019</v>
      </c>
      <c r="M1582" s="82"/>
      <c r="N1582" s="82"/>
    </row>
    <row r="1583" spans="1:14" x14ac:dyDescent="0.25">
      <c r="A1583" s="170" t="s">
        <v>4468</v>
      </c>
      <c r="B1583" s="170" t="s">
        <v>4469</v>
      </c>
      <c r="C1583" s="170" t="s">
        <v>870</v>
      </c>
      <c r="D1583" s="170" t="s">
        <v>2067</v>
      </c>
      <c r="E1583" s="171" t="s">
        <v>21896</v>
      </c>
      <c r="F1583" s="171" t="s">
        <v>22845</v>
      </c>
      <c r="G1583" s="82"/>
      <c r="H1583" s="96">
        <f t="shared" si="96"/>
        <v>40.74</v>
      </c>
      <c r="I1583" s="96">
        <f t="shared" si="96"/>
        <v>42.66</v>
      </c>
      <c r="J1583" s="91" t="str">
        <f t="shared" si="97"/>
        <v>Sinapi 100341</v>
      </c>
      <c r="K1583" s="91" t="str">
        <f t="shared" si="98"/>
        <v>M2</v>
      </c>
      <c r="L1583" s="166" t="str">
        <f t="shared" si="99"/>
        <v>07/2019</v>
      </c>
      <c r="M1583" s="82"/>
      <c r="N1583" s="82"/>
    </row>
    <row r="1584" spans="1:14" x14ac:dyDescent="0.25">
      <c r="A1584" s="170" t="s">
        <v>4470</v>
      </c>
      <c r="B1584" s="170" t="s">
        <v>4471</v>
      </c>
      <c r="C1584" s="170" t="s">
        <v>774</v>
      </c>
      <c r="D1584" s="170" t="s">
        <v>1947</v>
      </c>
      <c r="E1584" s="171" t="s">
        <v>28686</v>
      </c>
      <c r="F1584" s="171" t="s">
        <v>21867</v>
      </c>
      <c r="G1584" s="82"/>
      <c r="H1584" s="96">
        <f t="shared" si="96"/>
        <v>16.350000000000001</v>
      </c>
      <c r="I1584" s="96">
        <f t="shared" si="96"/>
        <v>16.79</v>
      </c>
      <c r="J1584" s="91" t="str">
        <f t="shared" si="97"/>
        <v>Sinapi 100342</v>
      </c>
      <c r="K1584" s="91" t="str">
        <f t="shared" si="98"/>
        <v>KG</v>
      </c>
      <c r="L1584" s="166" t="str">
        <f t="shared" si="99"/>
        <v>07/2019</v>
      </c>
      <c r="M1584" s="82"/>
      <c r="N1584" s="82"/>
    </row>
    <row r="1585" spans="1:14" x14ac:dyDescent="0.25">
      <c r="A1585" s="170" t="s">
        <v>4472</v>
      </c>
      <c r="B1585" s="170" t="s">
        <v>4473</v>
      </c>
      <c r="C1585" s="170" t="s">
        <v>774</v>
      </c>
      <c r="D1585" s="170" t="s">
        <v>1947</v>
      </c>
      <c r="E1585" s="171" t="s">
        <v>28742</v>
      </c>
      <c r="F1585" s="171" t="s">
        <v>19907</v>
      </c>
      <c r="G1585" s="82"/>
      <c r="H1585" s="96">
        <f t="shared" si="96"/>
        <v>15.67</v>
      </c>
      <c r="I1585" s="96">
        <f t="shared" si="96"/>
        <v>15.97</v>
      </c>
      <c r="J1585" s="91" t="str">
        <f t="shared" si="97"/>
        <v>Sinapi 100343</v>
      </c>
      <c r="K1585" s="91" t="str">
        <f t="shared" si="98"/>
        <v>KG</v>
      </c>
      <c r="L1585" s="166" t="str">
        <f t="shared" si="99"/>
        <v>07/2019</v>
      </c>
      <c r="M1585" s="82"/>
      <c r="N1585" s="82"/>
    </row>
    <row r="1586" spans="1:14" x14ac:dyDescent="0.25">
      <c r="A1586" s="170" t="s">
        <v>4474</v>
      </c>
      <c r="B1586" s="170" t="s">
        <v>4475</v>
      </c>
      <c r="C1586" s="170" t="s">
        <v>774</v>
      </c>
      <c r="D1586" s="170" t="s">
        <v>1947</v>
      </c>
      <c r="E1586" s="171" t="s">
        <v>23246</v>
      </c>
      <c r="F1586" s="171" t="s">
        <v>17909</v>
      </c>
      <c r="G1586" s="82"/>
      <c r="H1586" s="96">
        <f t="shared" si="96"/>
        <v>14.18</v>
      </c>
      <c r="I1586" s="96">
        <f t="shared" si="96"/>
        <v>14.39</v>
      </c>
      <c r="J1586" s="91" t="str">
        <f t="shared" si="97"/>
        <v>Sinapi 100344</v>
      </c>
      <c r="K1586" s="91" t="str">
        <f t="shared" si="98"/>
        <v>KG</v>
      </c>
      <c r="L1586" s="166" t="str">
        <f t="shared" si="99"/>
        <v>07/2019</v>
      </c>
      <c r="M1586" s="82"/>
      <c r="N1586" s="82"/>
    </row>
    <row r="1587" spans="1:14" x14ac:dyDescent="0.25">
      <c r="A1587" s="170" t="s">
        <v>4476</v>
      </c>
      <c r="B1587" s="170" t="s">
        <v>4477</v>
      </c>
      <c r="C1587" s="170" t="s">
        <v>774</v>
      </c>
      <c r="D1587" s="170" t="s">
        <v>1947</v>
      </c>
      <c r="E1587" s="171" t="s">
        <v>17305</v>
      </c>
      <c r="F1587" s="171" t="s">
        <v>19295</v>
      </c>
      <c r="G1587" s="82"/>
      <c r="H1587" s="96">
        <f t="shared" si="96"/>
        <v>12.07</v>
      </c>
      <c r="I1587" s="96">
        <f t="shared" si="96"/>
        <v>12.23</v>
      </c>
      <c r="J1587" s="91" t="str">
        <f t="shared" si="97"/>
        <v>Sinapi 100345</v>
      </c>
      <c r="K1587" s="91" t="str">
        <f t="shared" si="98"/>
        <v>KG</v>
      </c>
      <c r="L1587" s="166" t="str">
        <f t="shared" si="99"/>
        <v>07/2019</v>
      </c>
      <c r="M1587" s="82"/>
      <c r="N1587" s="82"/>
    </row>
    <row r="1588" spans="1:14" x14ac:dyDescent="0.25">
      <c r="A1588" s="170" t="s">
        <v>4478</v>
      </c>
      <c r="B1588" s="170" t="s">
        <v>4479</v>
      </c>
      <c r="C1588" s="170" t="s">
        <v>774</v>
      </c>
      <c r="D1588" s="170" t="s">
        <v>1947</v>
      </c>
      <c r="E1588" s="171" t="s">
        <v>13749</v>
      </c>
      <c r="F1588" s="171" t="s">
        <v>12332</v>
      </c>
      <c r="G1588" s="82"/>
      <c r="H1588" s="96">
        <f t="shared" si="96"/>
        <v>11.57</v>
      </c>
      <c r="I1588" s="96">
        <f t="shared" si="96"/>
        <v>11.67</v>
      </c>
      <c r="J1588" s="91" t="str">
        <f t="shared" si="97"/>
        <v>Sinapi 100346</v>
      </c>
      <c r="K1588" s="91" t="str">
        <f t="shared" si="98"/>
        <v>KG</v>
      </c>
      <c r="L1588" s="166" t="str">
        <f t="shared" si="99"/>
        <v>07/2019</v>
      </c>
      <c r="M1588" s="82"/>
      <c r="N1588" s="82"/>
    </row>
    <row r="1589" spans="1:14" x14ac:dyDescent="0.25">
      <c r="A1589" s="170" t="s">
        <v>4480</v>
      </c>
      <c r="B1589" s="170" t="s">
        <v>4481</v>
      </c>
      <c r="C1589" s="170" t="s">
        <v>774</v>
      </c>
      <c r="D1589" s="170" t="s">
        <v>1947</v>
      </c>
      <c r="E1589" s="171" t="s">
        <v>13394</v>
      </c>
      <c r="F1589" s="171" t="s">
        <v>28630</v>
      </c>
      <c r="G1589" s="82"/>
      <c r="H1589" s="96">
        <f t="shared" si="96"/>
        <v>13.1</v>
      </c>
      <c r="I1589" s="96">
        <f t="shared" si="96"/>
        <v>13.16</v>
      </c>
      <c r="J1589" s="91" t="str">
        <f t="shared" si="97"/>
        <v>Sinapi 100347</v>
      </c>
      <c r="K1589" s="91" t="str">
        <f t="shared" si="98"/>
        <v>KG</v>
      </c>
      <c r="L1589" s="166" t="str">
        <f t="shared" si="99"/>
        <v>07/2019</v>
      </c>
      <c r="M1589" s="82"/>
      <c r="N1589" s="82"/>
    </row>
    <row r="1590" spans="1:14" x14ac:dyDescent="0.25">
      <c r="A1590" s="170" t="s">
        <v>4483</v>
      </c>
      <c r="B1590" s="170" t="s">
        <v>4484</v>
      </c>
      <c r="C1590" s="170" t="s">
        <v>774</v>
      </c>
      <c r="D1590" s="170" t="s">
        <v>1947</v>
      </c>
      <c r="E1590" s="171" t="s">
        <v>16301</v>
      </c>
      <c r="F1590" s="171" t="s">
        <v>16445</v>
      </c>
      <c r="G1590" s="82"/>
      <c r="H1590" s="96">
        <f t="shared" si="96"/>
        <v>12.86</v>
      </c>
      <c r="I1590" s="96">
        <f t="shared" si="96"/>
        <v>12.89</v>
      </c>
      <c r="J1590" s="91" t="str">
        <f t="shared" si="97"/>
        <v>Sinapi 100348</v>
      </c>
      <c r="K1590" s="91" t="str">
        <f t="shared" si="98"/>
        <v>KG</v>
      </c>
      <c r="L1590" s="166" t="str">
        <f t="shared" si="99"/>
        <v>07/2019</v>
      </c>
      <c r="M1590" s="82"/>
      <c r="N1590" s="82"/>
    </row>
    <row r="1591" spans="1:14" x14ac:dyDescent="0.25">
      <c r="A1591" s="170" t="s">
        <v>4485</v>
      </c>
      <c r="B1591" s="170" t="s">
        <v>4486</v>
      </c>
      <c r="C1591" s="170" t="s">
        <v>85</v>
      </c>
      <c r="D1591" s="170" t="s">
        <v>1947</v>
      </c>
      <c r="E1591" s="171" t="s">
        <v>32257</v>
      </c>
      <c r="F1591" s="171" t="s">
        <v>35547</v>
      </c>
      <c r="G1591" s="82"/>
      <c r="H1591" s="96">
        <f t="shared" si="96"/>
        <v>1425.79</v>
      </c>
      <c r="I1591" s="96">
        <f t="shared" si="96"/>
        <v>1428.86</v>
      </c>
      <c r="J1591" s="91" t="str">
        <f t="shared" si="97"/>
        <v>Sinapi 100349</v>
      </c>
      <c r="K1591" s="91" t="str">
        <f t="shared" si="98"/>
        <v>M3</v>
      </c>
      <c r="L1591" s="166" t="str">
        <f t="shared" si="99"/>
        <v>07/2019</v>
      </c>
      <c r="M1591" s="82"/>
      <c r="N1591" s="82"/>
    </row>
    <row r="1592" spans="1:14" x14ac:dyDescent="0.25">
      <c r="A1592" s="170" t="s">
        <v>13930</v>
      </c>
      <c r="B1592" s="170" t="s">
        <v>13931</v>
      </c>
      <c r="C1592" s="170" t="s">
        <v>385</v>
      </c>
      <c r="D1592" s="170" t="s">
        <v>2067</v>
      </c>
      <c r="E1592" s="171" t="s">
        <v>21045</v>
      </c>
      <c r="F1592" s="171" t="s">
        <v>22992</v>
      </c>
      <c r="G1592" s="82"/>
      <c r="H1592" s="96">
        <f t="shared" si="96"/>
        <v>40.909999999999997</v>
      </c>
      <c r="I1592" s="96">
        <f t="shared" si="96"/>
        <v>42.08</v>
      </c>
      <c r="J1592" s="91" t="str">
        <f t="shared" si="97"/>
        <v>Sinapi 102989</v>
      </c>
      <c r="K1592" s="91" t="str">
        <f t="shared" si="98"/>
        <v>M</v>
      </c>
      <c r="L1592" s="166" t="str">
        <f t="shared" si="99"/>
        <v>08/2021</v>
      </c>
      <c r="M1592" s="82"/>
      <c r="N1592" s="82"/>
    </row>
    <row r="1593" spans="1:14" x14ac:dyDescent="0.25">
      <c r="A1593" s="170" t="s">
        <v>13932</v>
      </c>
      <c r="B1593" s="170" t="s">
        <v>13933</v>
      </c>
      <c r="C1593" s="170" t="s">
        <v>385</v>
      </c>
      <c r="D1593" s="170" t="s">
        <v>2067</v>
      </c>
      <c r="E1593" s="171" t="s">
        <v>21459</v>
      </c>
      <c r="F1593" s="171" t="s">
        <v>35548</v>
      </c>
      <c r="G1593" s="82"/>
      <c r="H1593" s="96">
        <f t="shared" si="96"/>
        <v>49.88</v>
      </c>
      <c r="I1593" s="96">
        <f t="shared" si="96"/>
        <v>51.26</v>
      </c>
      <c r="J1593" s="91" t="str">
        <f t="shared" si="97"/>
        <v>Sinapi 102990</v>
      </c>
      <c r="K1593" s="91" t="str">
        <f t="shared" si="98"/>
        <v>M</v>
      </c>
      <c r="L1593" s="166" t="str">
        <f t="shared" si="99"/>
        <v>08/2021</v>
      </c>
      <c r="M1593" s="82"/>
      <c r="N1593" s="82"/>
    </row>
    <row r="1594" spans="1:14" x14ac:dyDescent="0.25">
      <c r="A1594" s="170" t="s">
        <v>13934</v>
      </c>
      <c r="B1594" s="170" t="s">
        <v>13935</v>
      </c>
      <c r="C1594" s="170" t="s">
        <v>385</v>
      </c>
      <c r="D1594" s="170" t="s">
        <v>2067</v>
      </c>
      <c r="E1594" s="171" t="s">
        <v>21881</v>
      </c>
      <c r="F1594" s="171" t="s">
        <v>30275</v>
      </c>
      <c r="G1594" s="82"/>
      <c r="H1594" s="96">
        <f t="shared" si="96"/>
        <v>64.739999999999995</v>
      </c>
      <c r="I1594" s="96">
        <f t="shared" si="96"/>
        <v>66.48</v>
      </c>
      <c r="J1594" s="91" t="str">
        <f t="shared" si="97"/>
        <v>Sinapi 102991</v>
      </c>
      <c r="K1594" s="91" t="str">
        <f t="shared" si="98"/>
        <v>M</v>
      </c>
      <c r="L1594" s="166" t="str">
        <f t="shared" si="99"/>
        <v>08/2021</v>
      </c>
      <c r="M1594" s="82"/>
      <c r="N1594" s="82"/>
    </row>
    <row r="1595" spans="1:14" x14ac:dyDescent="0.25">
      <c r="A1595" s="170" t="s">
        <v>13936</v>
      </c>
      <c r="B1595" s="170" t="s">
        <v>13937</v>
      </c>
      <c r="C1595" s="170" t="s">
        <v>385</v>
      </c>
      <c r="D1595" s="170" t="s">
        <v>2067</v>
      </c>
      <c r="E1595" s="171" t="s">
        <v>29136</v>
      </c>
      <c r="F1595" s="171" t="s">
        <v>35549</v>
      </c>
      <c r="G1595" s="82"/>
      <c r="H1595" s="96">
        <f t="shared" si="96"/>
        <v>96.84</v>
      </c>
      <c r="I1595" s="96">
        <f t="shared" si="96"/>
        <v>98.77</v>
      </c>
      <c r="J1595" s="91" t="str">
        <f t="shared" si="97"/>
        <v>Sinapi 102992</v>
      </c>
      <c r="K1595" s="91" t="str">
        <f t="shared" si="98"/>
        <v>M</v>
      </c>
      <c r="L1595" s="166" t="str">
        <f t="shared" si="99"/>
        <v>08/2021</v>
      </c>
      <c r="M1595" s="82"/>
      <c r="N1595" s="82"/>
    </row>
    <row r="1596" spans="1:14" x14ac:dyDescent="0.25">
      <c r="A1596" s="170" t="s">
        <v>13938</v>
      </c>
      <c r="B1596" s="170" t="s">
        <v>13939</v>
      </c>
      <c r="C1596" s="170" t="s">
        <v>385</v>
      </c>
      <c r="D1596" s="170" t="s">
        <v>2067</v>
      </c>
      <c r="E1596" s="171" t="s">
        <v>32258</v>
      </c>
      <c r="F1596" s="171" t="s">
        <v>35550</v>
      </c>
      <c r="G1596" s="82"/>
      <c r="H1596" s="96">
        <f t="shared" si="96"/>
        <v>125.9</v>
      </c>
      <c r="I1596" s="96">
        <f t="shared" si="96"/>
        <v>128.49</v>
      </c>
      <c r="J1596" s="91" t="str">
        <f t="shared" si="97"/>
        <v>Sinapi 102993</v>
      </c>
      <c r="K1596" s="91" t="str">
        <f t="shared" si="98"/>
        <v>M</v>
      </c>
      <c r="L1596" s="166" t="str">
        <f t="shared" si="99"/>
        <v>08/2021</v>
      </c>
      <c r="M1596" s="82"/>
      <c r="N1596" s="82"/>
    </row>
    <row r="1597" spans="1:14" x14ac:dyDescent="0.25">
      <c r="A1597" s="170" t="s">
        <v>13940</v>
      </c>
      <c r="B1597" s="170" t="s">
        <v>13941</v>
      </c>
      <c r="C1597" s="170" t="s">
        <v>385</v>
      </c>
      <c r="D1597" s="170" t="s">
        <v>2067</v>
      </c>
      <c r="E1597" s="171" t="s">
        <v>32259</v>
      </c>
      <c r="F1597" s="171" t="s">
        <v>35551</v>
      </c>
      <c r="G1597" s="82"/>
      <c r="H1597" s="96">
        <f t="shared" si="96"/>
        <v>218.42</v>
      </c>
      <c r="I1597" s="96">
        <f t="shared" si="96"/>
        <v>221.46</v>
      </c>
      <c r="J1597" s="91" t="str">
        <f t="shared" si="97"/>
        <v>Sinapi 102994</v>
      </c>
      <c r="K1597" s="91" t="str">
        <f t="shared" si="98"/>
        <v>M</v>
      </c>
      <c r="L1597" s="166" t="str">
        <f t="shared" si="99"/>
        <v>08/2021</v>
      </c>
      <c r="M1597" s="82"/>
      <c r="N1597" s="82"/>
    </row>
    <row r="1598" spans="1:14" x14ac:dyDescent="0.25">
      <c r="A1598" s="170" t="s">
        <v>13942</v>
      </c>
      <c r="B1598" s="170" t="s">
        <v>13943</v>
      </c>
      <c r="C1598" s="170" t="s">
        <v>385</v>
      </c>
      <c r="D1598" s="170" t="s">
        <v>2067</v>
      </c>
      <c r="E1598" s="171" t="s">
        <v>30034</v>
      </c>
      <c r="F1598" s="171" t="s">
        <v>35552</v>
      </c>
      <c r="G1598" s="82"/>
      <c r="H1598" s="96">
        <f t="shared" si="96"/>
        <v>67.36</v>
      </c>
      <c r="I1598" s="96">
        <f t="shared" si="96"/>
        <v>69.430000000000007</v>
      </c>
      <c r="J1598" s="91" t="str">
        <f t="shared" si="97"/>
        <v>Sinapi 102995</v>
      </c>
      <c r="K1598" s="91" t="str">
        <f t="shared" si="98"/>
        <v>M</v>
      </c>
      <c r="L1598" s="166" t="str">
        <f t="shared" si="99"/>
        <v>08/2021</v>
      </c>
      <c r="M1598" s="82"/>
      <c r="N1598" s="82"/>
    </row>
    <row r="1599" spans="1:14" x14ac:dyDescent="0.25">
      <c r="A1599" s="170" t="s">
        <v>13944</v>
      </c>
      <c r="B1599" s="170" t="s">
        <v>13945</v>
      </c>
      <c r="C1599" s="170" t="s">
        <v>385</v>
      </c>
      <c r="D1599" s="170" t="s">
        <v>2067</v>
      </c>
      <c r="E1599" s="171" t="s">
        <v>26024</v>
      </c>
      <c r="F1599" s="171" t="s">
        <v>32438</v>
      </c>
      <c r="G1599" s="82"/>
      <c r="H1599" s="96">
        <f t="shared" si="96"/>
        <v>95.66</v>
      </c>
      <c r="I1599" s="96">
        <f t="shared" si="96"/>
        <v>98.53</v>
      </c>
      <c r="J1599" s="91" t="str">
        <f t="shared" si="97"/>
        <v>Sinapi 102996</v>
      </c>
      <c r="K1599" s="91" t="str">
        <f t="shared" si="98"/>
        <v>M</v>
      </c>
      <c r="L1599" s="166" t="str">
        <f t="shared" si="99"/>
        <v>08/2021</v>
      </c>
      <c r="M1599" s="82"/>
      <c r="N1599" s="82"/>
    </row>
    <row r="1600" spans="1:14" x14ac:dyDescent="0.25">
      <c r="A1600" s="170" t="s">
        <v>13946</v>
      </c>
      <c r="B1600" s="170" t="s">
        <v>13947</v>
      </c>
      <c r="C1600" s="170" t="s">
        <v>385</v>
      </c>
      <c r="D1600" s="170" t="s">
        <v>2067</v>
      </c>
      <c r="E1600" s="171" t="s">
        <v>31276</v>
      </c>
      <c r="F1600" s="171" t="s">
        <v>35553</v>
      </c>
      <c r="G1600" s="82"/>
      <c r="H1600" s="96">
        <f t="shared" si="96"/>
        <v>129.56</v>
      </c>
      <c r="I1600" s="96">
        <f t="shared" si="96"/>
        <v>133.07</v>
      </c>
      <c r="J1600" s="91" t="str">
        <f t="shared" si="97"/>
        <v>Sinapi 102997</v>
      </c>
      <c r="K1600" s="91" t="str">
        <f t="shared" si="98"/>
        <v>M</v>
      </c>
      <c r="L1600" s="166" t="str">
        <f t="shared" si="99"/>
        <v>08/2021</v>
      </c>
      <c r="M1600" s="82"/>
      <c r="N1600" s="82"/>
    </row>
    <row r="1601" spans="1:14" x14ac:dyDescent="0.25">
      <c r="A1601" s="170" t="s">
        <v>13948</v>
      </c>
      <c r="B1601" s="170" t="s">
        <v>13949</v>
      </c>
      <c r="C1601" s="170" t="s">
        <v>385</v>
      </c>
      <c r="D1601" s="170" t="s">
        <v>2067</v>
      </c>
      <c r="E1601" s="171" t="s">
        <v>32260</v>
      </c>
      <c r="F1601" s="171" t="s">
        <v>35554</v>
      </c>
      <c r="G1601" s="82"/>
      <c r="H1601" s="96">
        <f t="shared" si="96"/>
        <v>122.79</v>
      </c>
      <c r="I1601" s="96">
        <f t="shared" si="96"/>
        <v>126.25</v>
      </c>
      <c r="J1601" s="91" t="str">
        <f t="shared" si="97"/>
        <v>Sinapi 102998</v>
      </c>
      <c r="K1601" s="91" t="str">
        <f t="shared" si="98"/>
        <v>M</v>
      </c>
      <c r="L1601" s="166" t="str">
        <f t="shared" si="99"/>
        <v>08/2021</v>
      </c>
      <c r="M1601" s="82"/>
      <c r="N1601" s="82"/>
    </row>
    <row r="1602" spans="1:14" x14ac:dyDescent="0.25">
      <c r="A1602" s="170" t="s">
        <v>13950</v>
      </c>
      <c r="B1602" s="170" t="s">
        <v>13951</v>
      </c>
      <c r="C1602" s="170" t="s">
        <v>385</v>
      </c>
      <c r="D1602" s="170" t="s">
        <v>2067</v>
      </c>
      <c r="E1602" s="171" t="s">
        <v>32261</v>
      </c>
      <c r="F1602" s="171" t="s">
        <v>35555</v>
      </c>
      <c r="G1602" s="82"/>
      <c r="H1602" s="96">
        <f t="shared" si="96"/>
        <v>155.63</v>
      </c>
      <c r="I1602" s="96">
        <f t="shared" si="96"/>
        <v>159.97999999999999</v>
      </c>
      <c r="J1602" s="91" t="str">
        <f t="shared" si="97"/>
        <v>Sinapi 102999</v>
      </c>
      <c r="K1602" s="91" t="str">
        <f t="shared" si="98"/>
        <v>M</v>
      </c>
      <c r="L1602" s="166" t="str">
        <f t="shared" si="99"/>
        <v>08/2021</v>
      </c>
      <c r="M1602" s="82"/>
      <c r="N1602" s="82"/>
    </row>
    <row r="1603" spans="1:14" x14ac:dyDescent="0.25">
      <c r="A1603" s="170" t="s">
        <v>13952</v>
      </c>
      <c r="B1603" s="170" t="s">
        <v>13953</v>
      </c>
      <c r="C1603" s="170" t="s">
        <v>385</v>
      </c>
      <c r="D1603" s="170" t="s">
        <v>2067</v>
      </c>
      <c r="E1603" s="171" t="s">
        <v>32262</v>
      </c>
      <c r="F1603" s="171" t="s">
        <v>35556</v>
      </c>
      <c r="G1603" s="82"/>
      <c r="H1603" s="96">
        <f t="shared" si="96"/>
        <v>156.29</v>
      </c>
      <c r="I1603" s="96">
        <f t="shared" si="96"/>
        <v>160.65</v>
      </c>
      <c r="J1603" s="91" t="str">
        <f t="shared" si="97"/>
        <v>Sinapi 103000</v>
      </c>
      <c r="K1603" s="91" t="str">
        <f t="shared" si="98"/>
        <v>M</v>
      </c>
      <c r="L1603" s="166" t="str">
        <f t="shared" si="99"/>
        <v>08/2021</v>
      </c>
      <c r="M1603" s="82"/>
      <c r="N1603" s="82"/>
    </row>
    <row r="1604" spans="1:14" x14ac:dyDescent="0.25">
      <c r="A1604" s="170" t="s">
        <v>13954</v>
      </c>
      <c r="B1604" s="170" t="s">
        <v>13955</v>
      </c>
      <c r="C1604" s="170" t="s">
        <v>205</v>
      </c>
      <c r="D1604" s="170" t="s">
        <v>1947</v>
      </c>
      <c r="E1604" s="171" t="s">
        <v>32263</v>
      </c>
      <c r="F1604" s="171" t="s">
        <v>35557</v>
      </c>
      <c r="G1604" s="82"/>
      <c r="H1604" s="96">
        <f t="shared" si="96"/>
        <v>236.56</v>
      </c>
      <c r="I1604" s="96">
        <f t="shared" si="96"/>
        <v>238.81</v>
      </c>
      <c r="J1604" s="91" t="str">
        <f t="shared" si="97"/>
        <v>Sinapi 103001</v>
      </c>
      <c r="K1604" s="91" t="str">
        <f t="shared" si="98"/>
        <v>UN</v>
      </c>
      <c r="L1604" s="166" t="str">
        <f t="shared" si="99"/>
        <v>08/2021</v>
      </c>
      <c r="M1604" s="82"/>
      <c r="N1604" s="82"/>
    </row>
    <row r="1605" spans="1:14" x14ac:dyDescent="0.25">
      <c r="A1605" s="170" t="s">
        <v>13956</v>
      </c>
      <c r="B1605" s="170" t="s">
        <v>13957</v>
      </c>
      <c r="C1605" s="170" t="s">
        <v>205</v>
      </c>
      <c r="D1605" s="170" t="s">
        <v>1947</v>
      </c>
      <c r="E1605" s="171" t="s">
        <v>32264</v>
      </c>
      <c r="F1605" s="171" t="s">
        <v>35558</v>
      </c>
      <c r="G1605" s="82"/>
      <c r="H1605" s="96">
        <f t="shared" si="96"/>
        <v>295.14999999999998</v>
      </c>
      <c r="I1605" s="96">
        <f t="shared" si="96"/>
        <v>297.48</v>
      </c>
      <c r="J1605" s="91" t="str">
        <f t="shared" si="97"/>
        <v>Sinapi 103002</v>
      </c>
      <c r="K1605" s="91" t="str">
        <f t="shared" si="98"/>
        <v>UN</v>
      </c>
      <c r="L1605" s="166" t="str">
        <f t="shared" si="99"/>
        <v>08/2021</v>
      </c>
      <c r="M1605" s="82"/>
      <c r="N1605" s="82"/>
    </row>
    <row r="1606" spans="1:14" x14ac:dyDescent="0.25">
      <c r="A1606" s="170" t="s">
        <v>13958</v>
      </c>
      <c r="B1606" s="170" t="s">
        <v>13959</v>
      </c>
      <c r="C1606" s="170" t="s">
        <v>205</v>
      </c>
      <c r="D1606" s="170" t="s">
        <v>1947</v>
      </c>
      <c r="E1606" s="171" t="s">
        <v>32265</v>
      </c>
      <c r="F1606" s="171" t="s">
        <v>35559</v>
      </c>
      <c r="G1606" s="82"/>
      <c r="H1606" s="96">
        <f t="shared" si="96"/>
        <v>412.41</v>
      </c>
      <c r="I1606" s="96">
        <f t="shared" si="96"/>
        <v>414.94</v>
      </c>
      <c r="J1606" s="91" t="str">
        <f t="shared" si="97"/>
        <v>Sinapi 103003</v>
      </c>
      <c r="K1606" s="91" t="str">
        <f t="shared" si="98"/>
        <v>UN</v>
      </c>
      <c r="L1606" s="166" t="str">
        <f t="shared" si="99"/>
        <v>08/2021</v>
      </c>
      <c r="M1606" s="82"/>
      <c r="N1606" s="82"/>
    </row>
    <row r="1607" spans="1:14" x14ac:dyDescent="0.25">
      <c r="A1607" s="170" t="s">
        <v>13960</v>
      </c>
      <c r="B1607" s="170" t="s">
        <v>13961</v>
      </c>
      <c r="C1607" s="170" t="s">
        <v>205</v>
      </c>
      <c r="D1607" s="170" t="s">
        <v>1947</v>
      </c>
      <c r="E1607" s="171" t="s">
        <v>32266</v>
      </c>
      <c r="F1607" s="171" t="s">
        <v>35560</v>
      </c>
      <c r="G1607" s="82"/>
      <c r="H1607" s="96">
        <f t="shared" si="96"/>
        <v>626.55999999999995</v>
      </c>
      <c r="I1607" s="96">
        <f t="shared" si="96"/>
        <v>645.25</v>
      </c>
      <c r="J1607" s="91" t="str">
        <f t="shared" si="97"/>
        <v>Sinapi 103005</v>
      </c>
      <c r="K1607" s="91" t="str">
        <f t="shared" si="98"/>
        <v>UN</v>
      </c>
      <c r="L1607" s="166" t="str">
        <f t="shared" si="99"/>
        <v>08/2021</v>
      </c>
      <c r="M1607" s="82"/>
      <c r="N1607" s="82"/>
    </row>
    <row r="1608" spans="1:14" x14ac:dyDescent="0.25">
      <c r="A1608" s="170" t="s">
        <v>13962</v>
      </c>
      <c r="B1608" s="170" t="s">
        <v>13963</v>
      </c>
      <c r="C1608" s="170" t="s">
        <v>205</v>
      </c>
      <c r="D1608" s="170" t="s">
        <v>1947</v>
      </c>
      <c r="E1608" s="171" t="s">
        <v>32267</v>
      </c>
      <c r="F1608" s="171" t="s">
        <v>35561</v>
      </c>
      <c r="G1608" s="82"/>
      <c r="H1608" s="96">
        <f t="shared" ref="H1608:I1671" si="100">IF(E1608="","",E1608+0)</f>
        <v>865.88</v>
      </c>
      <c r="I1608" s="96">
        <f t="shared" si="100"/>
        <v>891.48</v>
      </c>
      <c r="J1608" s="91" t="str">
        <f t="shared" ref="J1608:J1671" si="101">IF(OR(H1608="",I1608=""),"",TRIM(CONCATENATE("Sinapi ",A1608)))</f>
        <v>Sinapi 103006</v>
      </c>
      <c r="K1608" s="91" t="str">
        <f t="shared" ref="K1608:K1671" si="102">TRIM(C1608)</f>
        <v>UN</v>
      </c>
      <c r="L1608" s="166" t="str">
        <f t="shared" ref="L1608:L1671" si="103">IF(OR(RIGHT(IF(AND(K1608&lt;&gt;"H",K1608&lt;&gt;"MES"),RIGHT(B1608,7),""),2)="PS",RIGHT(IF(AND(K1608&lt;&gt;"H",K1608&lt;&gt;"MES"),RIGHT(B1608,7),""),2)="PA",RIGHT(IF(AND(K1608&lt;&gt;"H",K1608&lt;&gt;"MES"),RIGHT(B1608,7),""),2)="PE"),LEFT(IF(AND(K1608&lt;&gt;"H",K1608&lt;&gt;"MES"),RIGHT(B1608,10),""),7),IF(AND(K1608&lt;&gt;"H",K1608&lt;&gt;"MES"),RIGHT(B1608,7),""))</f>
        <v>08/2021</v>
      </c>
      <c r="M1608" s="82"/>
      <c r="N1608" s="82"/>
    </row>
    <row r="1609" spans="1:14" x14ac:dyDescent="0.25">
      <c r="A1609" s="170" t="s">
        <v>13964</v>
      </c>
      <c r="B1609" s="170" t="s">
        <v>13965</v>
      </c>
      <c r="C1609" s="170" t="s">
        <v>205</v>
      </c>
      <c r="D1609" s="170" t="s">
        <v>1947</v>
      </c>
      <c r="E1609" s="171" t="s">
        <v>32268</v>
      </c>
      <c r="F1609" s="171" t="s">
        <v>35562</v>
      </c>
      <c r="G1609" s="82"/>
      <c r="H1609" s="96">
        <f t="shared" si="100"/>
        <v>1140.78</v>
      </c>
      <c r="I1609" s="96">
        <f t="shared" si="100"/>
        <v>1173.32</v>
      </c>
      <c r="J1609" s="91" t="str">
        <f t="shared" si="101"/>
        <v>Sinapi 103007</v>
      </c>
      <c r="K1609" s="91" t="str">
        <f t="shared" si="102"/>
        <v>UN</v>
      </c>
      <c r="L1609" s="166" t="str">
        <f t="shared" si="103"/>
        <v>08/2021</v>
      </c>
      <c r="M1609" s="82"/>
      <c r="N1609" s="82"/>
    </row>
    <row r="1610" spans="1:14" x14ac:dyDescent="0.25">
      <c r="A1610" s="170" t="s">
        <v>11627</v>
      </c>
      <c r="B1610" s="170" t="s">
        <v>12404</v>
      </c>
      <c r="C1610" s="170" t="s">
        <v>205</v>
      </c>
      <c r="D1610" s="170" t="s">
        <v>1947</v>
      </c>
      <c r="E1610" s="171" t="s">
        <v>32269</v>
      </c>
      <c r="F1610" s="171" t="s">
        <v>35563</v>
      </c>
      <c r="G1610" s="82"/>
      <c r="H1610" s="96">
        <f t="shared" si="100"/>
        <v>1125.8599999999999</v>
      </c>
      <c r="I1610" s="96">
        <f t="shared" si="100"/>
        <v>1129.73</v>
      </c>
      <c r="J1610" s="91" t="str">
        <f t="shared" si="101"/>
        <v>Sinapi 97933</v>
      </c>
      <c r="K1610" s="91" t="str">
        <f t="shared" si="102"/>
        <v>UN</v>
      </c>
      <c r="L1610" s="166" t="str">
        <f t="shared" si="103"/>
        <v>12/2020</v>
      </c>
      <c r="M1610" s="82"/>
      <c r="N1610" s="82"/>
    </row>
    <row r="1611" spans="1:14" x14ac:dyDescent="0.25">
      <c r="A1611" s="170" t="s">
        <v>12405</v>
      </c>
      <c r="B1611" s="170" t="s">
        <v>16341</v>
      </c>
      <c r="C1611" s="170" t="s">
        <v>205</v>
      </c>
      <c r="D1611" s="170" t="s">
        <v>1947</v>
      </c>
      <c r="E1611" s="171" t="s">
        <v>32270</v>
      </c>
      <c r="F1611" s="171" t="s">
        <v>35564</v>
      </c>
      <c r="G1611" s="82"/>
      <c r="H1611" s="96">
        <f t="shared" si="100"/>
        <v>2669.12</v>
      </c>
      <c r="I1611" s="96">
        <f t="shared" si="100"/>
        <v>2725.98</v>
      </c>
      <c r="J1611" s="91" t="str">
        <f t="shared" si="101"/>
        <v>Sinapi 97934</v>
      </c>
      <c r="K1611" s="91" t="str">
        <f t="shared" si="102"/>
        <v>UN</v>
      </c>
      <c r="L1611" s="166" t="str">
        <f t="shared" si="103"/>
        <v>12/2020</v>
      </c>
      <c r="M1611" s="82"/>
      <c r="N1611" s="82"/>
    </row>
    <row r="1612" spans="1:14" x14ac:dyDescent="0.25">
      <c r="A1612" s="170" t="s">
        <v>12406</v>
      </c>
      <c r="B1612" s="170" t="s">
        <v>12407</v>
      </c>
      <c r="C1612" s="170" t="s">
        <v>205</v>
      </c>
      <c r="D1612" s="170" t="s">
        <v>1947</v>
      </c>
      <c r="E1612" s="171" t="s">
        <v>32271</v>
      </c>
      <c r="F1612" s="171" t="s">
        <v>35565</v>
      </c>
      <c r="G1612" s="82"/>
      <c r="H1612" s="96">
        <f t="shared" si="100"/>
        <v>925.42</v>
      </c>
      <c r="I1612" s="96">
        <f t="shared" si="100"/>
        <v>942.22</v>
      </c>
      <c r="J1612" s="91" t="str">
        <f t="shared" si="101"/>
        <v>Sinapi 97935</v>
      </c>
      <c r="K1612" s="91" t="str">
        <f t="shared" si="102"/>
        <v>UN</v>
      </c>
      <c r="L1612" s="166" t="str">
        <f t="shared" si="103"/>
        <v>12/2020</v>
      </c>
      <c r="M1612" s="82"/>
      <c r="N1612" s="82"/>
    </row>
    <row r="1613" spans="1:14" x14ac:dyDescent="0.25">
      <c r="A1613" s="170" t="s">
        <v>12408</v>
      </c>
      <c r="B1613" s="170" t="s">
        <v>12409</v>
      </c>
      <c r="C1613" s="170" t="s">
        <v>205</v>
      </c>
      <c r="D1613" s="170" t="s">
        <v>1947</v>
      </c>
      <c r="E1613" s="171" t="s">
        <v>32272</v>
      </c>
      <c r="F1613" s="171" t="s">
        <v>35566</v>
      </c>
      <c r="G1613" s="82"/>
      <c r="H1613" s="96">
        <f t="shared" si="100"/>
        <v>2304.88</v>
      </c>
      <c r="I1613" s="96">
        <f t="shared" si="100"/>
        <v>2389.1999999999998</v>
      </c>
      <c r="J1613" s="91" t="str">
        <f t="shared" si="101"/>
        <v>Sinapi 97936</v>
      </c>
      <c r="K1613" s="91" t="str">
        <f t="shared" si="102"/>
        <v>UN</v>
      </c>
      <c r="L1613" s="166" t="str">
        <f t="shared" si="103"/>
        <v>12/2020</v>
      </c>
      <c r="M1613" s="82"/>
      <c r="N1613" s="82"/>
    </row>
    <row r="1614" spans="1:14" x14ac:dyDescent="0.25">
      <c r="A1614" s="170" t="s">
        <v>11628</v>
      </c>
      <c r="B1614" s="170" t="s">
        <v>12410</v>
      </c>
      <c r="C1614" s="170" t="s">
        <v>205</v>
      </c>
      <c r="D1614" s="170" t="s">
        <v>1947</v>
      </c>
      <c r="E1614" s="171" t="s">
        <v>32273</v>
      </c>
      <c r="F1614" s="171" t="s">
        <v>35567</v>
      </c>
      <c r="G1614" s="82"/>
      <c r="H1614" s="96">
        <f t="shared" si="100"/>
        <v>1908.09</v>
      </c>
      <c r="I1614" s="96">
        <f t="shared" si="100"/>
        <v>1967.93</v>
      </c>
      <c r="J1614" s="91" t="str">
        <f t="shared" si="101"/>
        <v>Sinapi 97947</v>
      </c>
      <c r="K1614" s="91" t="str">
        <f t="shared" si="102"/>
        <v>UN</v>
      </c>
      <c r="L1614" s="166" t="str">
        <f t="shared" si="103"/>
        <v>12/2020</v>
      </c>
      <c r="M1614" s="82"/>
      <c r="N1614" s="82"/>
    </row>
    <row r="1615" spans="1:14" x14ac:dyDescent="0.25">
      <c r="A1615" s="170" t="s">
        <v>11629</v>
      </c>
      <c r="B1615" s="170" t="s">
        <v>12411</v>
      </c>
      <c r="C1615" s="170" t="s">
        <v>205</v>
      </c>
      <c r="D1615" s="170" t="s">
        <v>1947</v>
      </c>
      <c r="E1615" s="171" t="s">
        <v>32274</v>
      </c>
      <c r="F1615" s="171" t="s">
        <v>35568</v>
      </c>
      <c r="G1615" s="82"/>
      <c r="H1615" s="96">
        <f t="shared" si="100"/>
        <v>3523.41</v>
      </c>
      <c r="I1615" s="96">
        <f t="shared" si="100"/>
        <v>3632.12</v>
      </c>
      <c r="J1615" s="91" t="str">
        <f t="shared" si="101"/>
        <v>Sinapi 97948</v>
      </c>
      <c r="K1615" s="91" t="str">
        <f t="shared" si="102"/>
        <v>UN</v>
      </c>
      <c r="L1615" s="166" t="str">
        <f t="shared" si="103"/>
        <v>12/2020</v>
      </c>
      <c r="M1615" s="82"/>
      <c r="N1615" s="82"/>
    </row>
    <row r="1616" spans="1:14" x14ac:dyDescent="0.25">
      <c r="A1616" s="170" t="s">
        <v>12412</v>
      </c>
      <c r="B1616" s="170" t="s">
        <v>12413</v>
      </c>
      <c r="C1616" s="170" t="s">
        <v>205</v>
      </c>
      <c r="D1616" s="170" t="s">
        <v>1947</v>
      </c>
      <c r="E1616" s="171" t="s">
        <v>32275</v>
      </c>
      <c r="F1616" s="171" t="s">
        <v>35569</v>
      </c>
      <c r="G1616" s="82"/>
      <c r="H1616" s="96">
        <f t="shared" si="100"/>
        <v>1929.6</v>
      </c>
      <c r="I1616" s="96">
        <f t="shared" si="100"/>
        <v>2010.86</v>
      </c>
      <c r="J1616" s="91" t="str">
        <f t="shared" si="101"/>
        <v>Sinapi 97949</v>
      </c>
      <c r="K1616" s="91" t="str">
        <f t="shared" si="102"/>
        <v>UN</v>
      </c>
      <c r="L1616" s="166" t="str">
        <f t="shared" si="103"/>
        <v>12/2020</v>
      </c>
      <c r="M1616" s="82"/>
      <c r="N1616" s="82"/>
    </row>
    <row r="1617" spans="1:14" x14ac:dyDescent="0.25">
      <c r="A1617" s="170" t="s">
        <v>12414</v>
      </c>
      <c r="B1617" s="170" t="s">
        <v>12415</v>
      </c>
      <c r="C1617" s="170" t="s">
        <v>205</v>
      </c>
      <c r="D1617" s="170" t="s">
        <v>1947</v>
      </c>
      <c r="E1617" s="171" t="s">
        <v>32276</v>
      </c>
      <c r="F1617" s="171" t="s">
        <v>35570</v>
      </c>
      <c r="G1617" s="82"/>
      <c r="H1617" s="96">
        <f t="shared" si="100"/>
        <v>3408.37</v>
      </c>
      <c r="I1617" s="96">
        <f t="shared" si="100"/>
        <v>3552.99</v>
      </c>
      <c r="J1617" s="91" t="str">
        <f t="shared" si="101"/>
        <v>Sinapi 97950</v>
      </c>
      <c r="K1617" s="91" t="str">
        <f t="shared" si="102"/>
        <v>UN</v>
      </c>
      <c r="L1617" s="166" t="str">
        <f t="shared" si="103"/>
        <v>12/2020</v>
      </c>
      <c r="M1617" s="82"/>
      <c r="N1617" s="82"/>
    </row>
    <row r="1618" spans="1:14" x14ac:dyDescent="0.25">
      <c r="A1618" s="170" t="s">
        <v>12416</v>
      </c>
      <c r="B1618" s="170" t="s">
        <v>12417</v>
      </c>
      <c r="C1618" s="170" t="s">
        <v>205</v>
      </c>
      <c r="D1618" s="170" t="s">
        <v>1947</v>
      </c>
      <c r="E1618" s="171" t="s">
        <v>32277</v>
      </c>
      <c r="F1618" s="171" t="s">
        <v>35571</v>
      </c>
      <c r="G1618" s="82"/>
      <c r="H1618" s="96">
        <f t="shared" si="100"/>
        <v>3094.25</v>
      </c>
      <c r="I1618" s="96">
        <f t="shared" si="100"/>
        <v>3204.64</v>
      </c>
      <c r="J1618" s="91" t="str">
        <f t="shared" si="101"/>
        <v>Sinapi 97951</v>
      </c>
      <c r="K1618" s="91" t="str">
        <f t="shared" si="102"/>
        <v>UN</v>
      </c>
      <c r="L1618" s="166" t="str">
        <f t="shared" si="103"/>
        <v>12/2020</v>
      </c>
      <c r="M1618" s="82"/>
      <c r="N1618" s="82"/>
    </row>
    <row r="1619" spans="1:14" x14ac:dyDescent="0.25">
      <c r="A1619" s="170" t="s">
        <v>12418</v>
      </c>
      <c r="B1619" s="170" t="s">
        <v>12419</v>
      </c>
      <c r="C1619" s="170" t="s">
        <v>205</v>
      </c>
      <c r="D1619" s="170" t="s">
        <v>1947</v>
      </c>
      <c r="E1619" s="171" t="s">
        <v>32278</v>
      </c>
      <c r="F1619" s="171" t="s">
        <v>35572</v>
      </c>
      <c r="G1619" s="82"/>
      <c r="H1619" s="96">
        <f t="shared" si="100"/>
        <v>5374.45</v>
      </c>
      <c r="I1619" s="96">
        <f t="shared" si="100"/>
        <v>5562.74</v>
      </c>
      <c r="J1619" s="91" t="str">
        <f t="shared" si="101"/>
        <v>Sinapi 97952</v>
      </c>
      <c r="K1619" s="91" t="str">
        <f t="shared" si="102"/>
        <v>UN</v>
      </c>
      <c r="L1619" s="166" t="str">
        <f t="shared" si="103"/>
        <v>12/2020</v>
      </c>
      <c r="M1619" s="82"/>
      <c r="N1619" s="82"/>
    </row>
    <row r="1620" spans="1:14" x14ac:dyDescent="0.25">
      <c r="A1620" s="170" t="s">
        <v>11630</v>
      </c>
      <c r="B1620" s="170" t="s">
        <v>12420</v>
      </c>
      <c r="C1620" s="170" t="s">
        <v>205</v>
      </c>
      <c r="D1620" s="170" t="s">
        <v>1947</v>
      </c>
      <c r="E1620" s="171" t="s">
        <v>32279</v>
      </c>
      <c r="F1620" s="171" t="s">
        <v>35573</v>
      </c>
      <c r="G1620" s="82"/>
      <c r="H1620" s="96">
        <f t="shared" si="100"/>
        <v>1633.7</v>
      </c>
      <c r="I1620" s="96">
        <f t="shared" si="100"/>
        <v>1674.1</v>
      </c>
      <c r="J1620" s="91" t="str">
        <f t="shared" si="101"/>
        <v>Sinapi 97953</v>
      </c>
      <c r="K1620" s="91" t="str">
        <f t="shared" si="102"/>
        <v>UN</v>
      </c>
      <c r="L1620" s="166" t="str">
        <f t="shared" si="103"/>
        <v>12/2020</v>
      </c>
      <c r="M1620" s="82"/>
      <c r="N1620" s="82"/>
    </row>
    <row r="1621" spans="1:14" x14ac:dyDescent="0.25">
      <c r="A1621" s="170" t="s">
        <v>11631</v>
      </c>
      <c r="B1621" s="170" t="s">
        <v>12421</v>
      </c>
      <c r="C1621" s="170" t="s">
        <v>205</v>
      </c>
      <c r="D1621" s="170" t="s">
        <v>1947</v>
      </c>
      <c r="E1621" s="171" t="s">
        <v>32280</v>
      </c>
      <c r="F1621" s="171" t="s">
        <v>35574</v>
      </c>
      <c r="G1621" s="82"/>
      <c r="H1621" s="96">
        <f t="shared" si="100"/>
        <v>3565.25</v>
      </c>
      <c r="I1621" s="96">
        <f t="shared" si="100"/>
        <v>3649.26</v>
      </c>
      <c r="J1621" s="91" t="str">
        <f t="shared" si="101"/>
        <v>Sinapi 97955</v>
      </c>
      <c r="K1621" s="91" t="str">
        <f t="shared" si="102"/>
        <v>UN</v>
      </c>
      <c r="L1621" s="166" t="str">
        <f t="shared" si="103"/>
        <v>12/2020</v>
      </c>
      <c r="M1621" s="82"/>
      <c r="N1621" s="82"/>
    </row>
    <row r="1622" spans="1:14" x14ac:dyDescent="0.25">
      <c r="A1622" s="170" t="s">
        <v>12422</v>
      </c>
      <c r="B1622" s="170" t="s">
        <v>12423</v>
      </c>
      <c r="C1622" s="170" t="s">
        <v>205</v>
      </c>
      <c r="D1622" s="170" t="s">
        <v>1947</v>
      </c>
      <c r="E1622" s="171" t="s">
        <v>32281</v>
      </c>
      <c r="F1622" s="171" t="s">
        <v>35575</v>
      </c>
      <c r="G1622" s="82"/>
      <c r="H1622" s="96">
        <f t="shared" si="100"/>
        <v>1838.73</v>
      </c>
      <c r="I1622" s="96">
        <f t="shared" si="100"/>
        <v>1900.43</v>
      </c>
      <c r="J1622" s="91" t="str">
        <f t="shared" si="101"/>
        <v>Sinapi 97956</v>
      </c>
      <c r="K1622" s="91" t="str">
        <f t="shared" si="102"/>
        <v>UN</v>
      </c>
      <c r="L1622" s="166" t="str">
        <f t="shared" si="103"/>
        <v>12/2020</v>
      </c>
      <c r="M1622" s="82"/>
      <c r="N1622" s="82"/>
    </row>
    <row r="1623" spans="1:14" x14ac:dyDescent="0.25">
      <c r="A1623" s="170" t="s">
        <v>12424</v>
      </c>
      <c r="B1623" s="170" t="s">
        <v>12425</v>
      </c>
      <c r="C1623" s="170" t="s">
        <v>205</v>
      </c>
      <c r="D1623" s="170" t="s">
        <v>1947</v>
      </c>
      <c r="E1623" s="171" t="s">
        <v>32282</v>
      </c>
      <c r="F1623" s="171" t="s">
        <v>35576</v>
      </c>
      <c r="G1623" s="82"/>
      <c r="H1623" s="96">
        <f t="shared" si="100"/>
        <v>3246.08</v>
      </c>
      <c r="I1623" s="96">
        <f t="shared" si="100"/>
        <v>3359.78</v>
      </c>
      <c r="J1623" s="91" t="str">
        <f t="shared" si="101"/>
        <v>Sinapi 97957</v>
      </c>
      <c r="K1623" s="91" t="str">
        <f t="shared" si="102"/>
        <v>UN</v>
      </c>
      <c r="L1623" s="166" t="str">
        <f t="shared" si="103"/>
        <v>12/2020</v>
      </c>
      <c r="M1623" s="82"/>
      <c r="N1623" s="82"/>
    </row>
    <row r="1624" spans="1:14" x14ac:dyDescent="0.25">
      <c r="A1624" s="170" t="s">
        <v>12426</v>
      </c>
      <c r="B1624" s="170" t="s">
        <v>12427</v>
      </c>
      <c r="C1624" s="170" t="s">
        <v>205</v>
      </c>
      <c r="D1624" s="170" t="s">
        <v>1947</v>
      </c>
      <c r="E1624" s="171" t="s">
        <v>32283</v>
      </c>
      <c r="F1624" s="171" t="s">
        <v>35577</v>
      </c>
      <c r="G1624" s="82"/>
      <c r="H1624" s="96">
        <f t="shared" si="100"/>
        <v>2898.35</v>
      </c>
      <c r="I1624" s="96">
        <f t="shared" si="100"/>
        <v>2981.77</v>
      </c>
      <c r="J1624" s="91" t="str">
        <f t="shared" si="101"/>
        <v>Sinapi 97961</v>
      </c>
      <c r="K1624" s="91" t="str">
        <f t="shared" si="102"/>
        <v>UN</v>
      </c>
      <c r="L1624" s="166" t="str">
        <f t="shared" si="103"/>
        <v>12/2020</v>
      </c>
      <c r="M1624" s="82"/>
      <c r="N1624" s="82"/>
    </row>
    <row r="1625" spans="1:14" x14ac:dyDescent="0.25">
      <c r="A1625" s="170" t="s">
        <v>12428</v>
      </c>
      <c r="B1625" s="170" t="s">
        <v>12429</v>
      </c>
      <c r="C1625" s="170" t="s">
        <v>205</v>
      </c>
      <c r="D1625" s="170" t="s">
        <v>1947</v>
      </c>
      <c r="E1625" s="171" t="s">
        <v>32284</v>
      </c>
      <c r="F1625" s="171" t="s">
        <v>35578</v>
      </c>
      <c r="G1625" s="82"/>
      <c r="H1625" s="96">
        <f t="shared" si="100"/>
        <v>5376.29</v>
      </c>
      <c r="I1625" s="96">
        <f t="shared" si="100"/>
        <v>5528.87</v>
      </c>
      <c r="J1625" s="91" t="str">
        <f t="shared" si="101"/>
        <v>Sinapi 97973</v>
      </c>
      <c r="K1625" s="91" t="str">
        <f t="shared" si="102"/>
        <v>UN</v>
      </c>
      <c r="L1625" s="166" t="str">
        <f t="shared" si="103"/>
        <v>12/2020</v>
      </c>
      <c r="M1625" s="82"/>
      <c r="N1625" s="82"/>
    </row>
    <row r="1626" spans="1:14" x14ac:dyDescent="0.25">
      <c r="A1626" s="170" t="s">
        <v>11632</v>
      </c>
      <c r="B1626" s="170" t="s">
        <v>18001</v>
      </c>
      <c r="C1626" s="170" t="s">
        <v>205</v>
      </c>
      <c r="D1626" s="170" t="s">
        <v>1947</v>
      </c>
      <c r="E1626" s="171" t="s">
        <v>32285</v>
      </c>
      <c r="F1626" s="171" t="s">
        <v>35579</v>
      </c>
      <c r="G1626" s="82"/>
      <c r="H1626" s="96">
        <f t="shared" si="100"/>
        <v>581.53</v>
      </c>
      <c r="I1626" s="96">
        <f t="shared" si="100"/>
        <v>592.19000000000005</v>
      </c>
      <c r="J1626" s="91" t="str">
        <f t="shared" si="101"/>
        <v>Sinapi 97974</v>
      </c>
      <c r="K1626" s="91" t="str">
        <f t="shared" si="102"/>
        <v>UN</v>
      </c>
      <c r="L1626" s="166" t="str">
        <f t="shared" si="103"/>
        <v>12/2020</v>
      </c>
      <c r="M1626" s="82"/>
      <c r="N1626" s="82"/>
    </row>
    <row r="1627" spans="1:14" x14ac:dyDescent="0.25">
      <c r="A1627" s="170" t="s">
        <v>11633</v>
      </c>
      <c r="B1627" s="170" t="s">
        <v>18002</v>
      </c>
      <c r="C1627" s="170" t="s">
        <v>205</v>
      </c>
      <c r="D1627" s="170" t="s">
        <v>1947</v>
      </c>
      <c r="E1627" s="171" t="s">
        <v>32286</v>
      </c>
      <c r="F1627" s="171" t="s">
        <v>35580</v>
      </c>
      <c r="G1627" s="82"/>
      <c r="H1627" s="96">
        <f t="shared" si="100"/>
        <v>734.97</v>
      </c>
      <c r="I1627" s="96">
        <f t="shared" si="100"/>
        <v>746.85</v>
      </c>
      <c r="J1627" s="91" t="str">
        <f t="shared" si="101"/>
        <v>Sinapi 97975</v>
      </c>
      <c r="K1627" s="91" t="str">
        <f t="shared" si="102"/>
        <v>UN</v>
      </c>
      <c r="L1627" s="166" t="str">
        <f t="shared" si="103"/>
        <v>12/2020</v>
      </c>
      <c r="M1627" s="82"/>
      <c r="N1627" s="82"/>
    </row>
    <row r="1628" spans="1:14" x14ac:dyDescent="0.25">
      <c r="A1628" s="170" t="s">
        <v>4487</v>
      </c>
      <c r="B1628" s="170" t="s">
        <v>18003</v>
      </c>
      <c r="C1628" s="170" t="s">
        <v>205</v>
      </c>
      <c r="D1628" s="170" t="s">
        <v>1947</v>
      </c>
      <c r="E1628" s="171" t="s">
        <v>32287</v>
      </c>
      <c r="F1628" s="171" t="s">
        <v>35581</v>
      </c>
      <c r="G1628" s="82"/>
      <c r="H1628" s="96">
        <f t="shared" si="100"/>
        <v>1318.24</v>
      </c>
      <c r="I1628" s="96">
        <f t="shared" si="100"/>
        <v>1368.82</v>
      </c>
      <c r="J1628" s="91" t="str">
        <f t="shared" si="101"/>
        <v>Sinapi 97976</v>
      </c>
      <c r="K1628" s="91" t="str">
        <f t="shared" si="102"/>
        <v>UN</v>
      </c>
      <c r="L1628" s="166" t="str">
        <f t="shared" si="103"/>
        <v>12/2020</v>
      </c>
      <c r="M1628" s="82"/>
      <c r="N1628" s="82"/>
    </row>
    <row r="1629" spans="1:14" x14ac:dyDescent="0.25">
      <c r="A1629" s="170" t="s">
        <v>4488</v>
      </c>
      <c r="B1629" s="170" t="s">
        <v>18004</v>
      </c>
      <c r="C1629" s="170" t="s">
        <v>205</v>
      </c>
      <c r="D1629" s="170" t="s">
        <v>1947</v>
      </c>
      <c r="E1629" s="171" t="s">
        <v>32288</v>
      </c>
      <c r="F1629" s="171" t="s">
        <v>35582</v>
      </c>
      <c r="G1629" s="82"/>
      <c r="H1629" s="96">
        <f t="shared" si="100"/>
        <v>1833.4</v>
      </c>
      <c r="I1629" s="96">
        <f t="shared" si="100"/>
        <v>1907.68</v>
      </c>
      <c r="J1629" s="91" t="str">
        <f t="shared" si="101"/>
        <v>Sinapi 97977</v>
      </c>
      <c r="K1629" s="91" t="str">
        <f t="shared" si="102"/>
        <v>UN</v>
      </c>
      <c r="L1629" s="166" t="str">
        <f t="shared" si="103"/>
        <v>12/2020</v>
      </c>
      <c r="M1629" s="82"/>
      <c r="N1629" s="82"/>
    </row>
    <row r="1630" spans="1:14" x14ac:dyDescent="0.25">
      <c r="A1630" s="170" t="s">
        <v>11634</v>
      </c>
      <c r="B1630" s="170" t="s">
        <v>18005</v>
      </c>
      <c r="C1630" s="170" t="s">
        <v>205</v>
      </c>
      <c r="D1630" s="170" t="s">
        <v>1947</v>
      </c>
      <c r="E1630" s="171" t="s">
        <v>32289</v>
      </c>
      <c r="F1630" s="171" t="s">
        <v>35583</v>
      </c>
      <c r="G1630" s="82"/>
      <c r="H1630" s="96">
        <f t="shared" si="100"/>
        <v>1117.44</v>
      </c>
      <c r="I1630" s="96">
        <f t="shared" si="100"/>
        <v>1144.45</v>
      </c>
      <c r="J1630" s="91" t="str">
        <f t="shared" si="101"/>
        <v>Sinapi 97978</v>
      </c>
      <c r="K1630" s="91" t="str">
        <f t="shared" si="102"/>
        <v>UN</v>
      </c>
      <c r="L1630" s="166" t="str">
        <f t="shared" si="103"/>
        <v>12/2020</v>
      </c>
      <c r="M1630" s="82"/>
      <c r="N1630" s="82"/>
    </row>
    <row r="1631" spans="1:14" x14ac:dyDescent="0.25">
      <c r="A1631" s="170" t="s">
        <v>4489</v>
      </c>
      <c r="B1631" s="170" t="s">
        <v>18006</v>
      </c>
      <c r="C1631" s="170" t="s">
        <v>205</v>
      </c>
      <c r="D1631" s="170" t="s">
        <v>1947</v>
      </c>
      <c r="E1631" s="171" t="s">
        <v>32290</v>
      </c>
      <c r="F1631" s="171" t="s">
        <v>35584</v>
      </c>
      <c r="G1631" s="82"/>
      <c r="H1631" s="96">
        <f t="shared" si="100"/>
        <v>2383.54</v>
      </c>
      <c r="I1631" s="96">
        <f t="shared" si="100"/>
        <v>2476.37</v>
      </c>
      <c r="J1631" s="91" t="str">
        <f t="shared" si="101"/>
        <v>Sinapi 97980</v>
      </c>
      <c r="K1631" s="91" t="str">
        <f t="shared" si="102"/>
        <v>UN</v>
      </c>
      <c r="L1631" s="166" t="str">
        <f t="shared" si="103"/>
        <v>12/2020</v>
      </c>
      <c r="M1631" s="82"/>
      <c r="N1631" s="82"/>
    </row>
    <row r="1632" spans="1:14" x14ac:dyDescent="0.25">
      <c r="A1632" s="170" t="s">
        <v>4490</v>
      </c>
      <c r="B1632" s="170" t="s">
        <v>12430</v>
      </c>
      <c r="C1632" s="170" t="s">
        <v>385</v>
      </c>
      <c r="D1632" s="170" t="s">
        <v>2067</v>
      </c>
      <c r="E1632" s="171" t="s">
        <v>32291</v>
      </c>
      <c r="F1632" s="171" t="s">
        <v>35585</v>
      </c>
      <c r="G1632" s="82"/>
      <c r="H1632" s="96">
        <f t="shared" si="100"/>
        <v>1261.17</v>
      </c>
      <c r="I1632" s="96">
        <f t="shared" si="100"/>
        <v>1321.29</v>
      </c>
      <c r="J1632" s="91" t="str">
        <f t="shared" si="101"/>
        <v>Sinapi 97981</v>
      </c>
      <c r="K1632" s="91" t="str">
        <f t="shared" si="102"/>
        <v>M</v>
      </c>
      <c r="L1632" s="166" t="str">
        <f t="shared" si="103"/>
        <v>12/2020</v>
      </c>
      <c r="M1632" s="82"/>
      <c r="N1632" s="82"/>
    </row>
    <row r="1633" spans="1:14" x14ac:dyDescent="0.25">
      <c r="A1633" s="170" t="s">
        <v>4491</v>
      </c>
      <c r="B1633" s="170" t="s">
        <v>12431</v>
      </c>
      <c r="C1633" s="170" t="s">
        <v>385</v>
      </c>
      <c r="D1633" s="170" t="s">
        <v>1947</v>
      </c>
      <c r="E1633" s="171" t="s">
        <v>32292</v>
      </c>
      <c r="F1633" s="171" t="s">
        <v>35586</v>
      </c>
      <c r="G1633" s="82"/>
      <c r="H1633" s="96">
        <f t="shared" si="100"/>
        <v>541.08000000000004</v>
      </c>
      <c r="I1633" s="96">
        <f t="shared" si="100"/>
        <v>545.26</v>
      </c>
      <c r="J1633" s="91" t="str">
        <f t="shared" si="101"/>
        <v>Sinapi 97983</v>
      </c>
      <c r="K1633" s="91" t="str">
        <f t="shared" si="102"/>
        <v>M</v>
      </c>
      <c r="L1633" s="166" t="str">
        <f t="shared" si="103"/>
        <v>12/2020</v>
      </c>
      <c r="M1633" s="82"/>
      <c r="N1633" s="82"/>
    </row>
    <row r="1634" spans="1:14" x14ac:dyDescent="0.25">
      <c r="A1634" s="170" t="s">
        <v>4492</v>
      </c>
      <c r="B1634" s="170" t="s">
        <v>12432</v>
      </c>
      <c r="C1634" s="170" t="s">
        <v>385</v>
      </c>
      <c r="D1634" s="170" t="s">
        <v>2067</v>
      </c>
      <c r="E1634" s="171" t="s">
        <v>32293</v>
      </c>
      <c r="F1634" s="171" t="s">
        <v>35587</v>
      </c>
      <c r="G1634" s="82"/>
      <c r="H1634" s="96">
        <f t="shared" si="100"/>
        <v>1509.23</v>
      </c>
      <c r="I1634" s="96">
        <f t="shared" si="100"/>
        <v>1582.66</v>
      </c>
      <c r="J1634" s="91" t="str">
        <f t="shared" si="101"/>
        <v>Sinapi 97985</v>
      </c>
      <c r="K1634" s="91" t="str">
        <f t="shared" si="102"/>
        <v>M</v>
      </c>
      <c r="L1634" s="166" t="str">
        <f t="shared" si="103"/>
        <v>12/2020</v>
      </c>
      <c r="M1634" s="82"/>
      <c r="N1634" s="82"/>
    </row>
    <row r="1635" spans="1:14" x14ac:dyDescent="0.25">
      <c r="A1635" s="170" t="s">
        <v>4493</v>
      </c>
      <c r="B1635" s="170" t="s">
        <v>12433</v>
      </c>
      <c r="C1635" s="170" t="s">
        <v>385</v>
      </c>
      <c r="D1635" s="170" t="s">
        <v>1947</v>
      </c>
      <c r="E1635" s="171" t="s">
        <v>29054</v>
      </c>
      <c r="F1635" s="171" t="s">
        <v>35588</v>
      </c>
      <c r="G1635" s="82"/>
      <c r="H1635" s="96">
        <f t="shared" si="100"/>
        <v>721.19</v>
      </c>
      <c r="I1635" s="96">
        <f t="shared" si="100"/>
        <v>726.1</v>
      </c>
      <c r="J1635" s="91" t="str">
        <f t="shared" si="101"/>
        <v>Sinapi 97987</v>
      </c>
      <c r="K1635" s="91" t="str">
        <f t="shared" si="102"/>
        <v>M</v>
      </c>
      <c r="L1635" s="166" t="str">
        <f t="shared" si="103"/>
        <v>12/2020</v>
      </c>
      <c r="M1635" s="82"/>
      <c r="N1635" s="82"/>
    </row>
    <row r="1636" spans="1:14" x14ac:dyDescent="0.25">
      <c r="A1636" s="170" t="s">
        <v>4494</v>
      </c>
      <c r="B1636" s="170" t="s">
        <v>18007</v>
      </c>
      <c r="C1636" s="170" t="s">
        <v>205</v>
      </c>
      <c r="D1636" s="170" t="s">
        <v>1947</v>
      </c>
      <c r="E1636" s="171" t="s">
        <v>32294</v>
      </c>
      <c r="F1636" s="171" t="s">
        <v>35589</v>
      </c>
      <c r="G1636" s="82"/>
      <c r="H1636" s="96">
        <f t="shared" si="100"/>
        <v>3504.26</v>
      </c>
      <c r="I1636" s="96">
        <f t="shared" si="100"/>
        <v>3635.04</v>
      </c>
      <c r="J1636" s="91" t="str">
        <f t="shared" si="101"/>
        <v>Sinapi 97988</v>
      </c>
      <c r="K1636" s="91" t="str">
        <f t="shared" si="102"/>
        <v>UN</v>
      </c>
      <c r="L1636" s="166" t="str">
        <f t="shared" si="103"/>
        <v>12/2020</v>
      </c>
      <c r="M1636" s="82"/>
      <c r="N1636" s="82"/>
    </row>
    <row r="1637" spans="1:14" x14ac:dyDescent="0.25">
      <c r="A1637" s="170" t="s">
        <v>4495</v>
      </c>
      <c r="B1637" s="170" t="s">
        <v>12434</v>
      </c>
      <c r="C1637" s="170" t="s">
        <v>385</v>
      </c>
      <c r="D1637" s="170" t="s">
        <v>2067</v>
      </c>
      <c r="E1637" s="171" t="s">
        <v>32295</v>
      </c>
      <c r="F1637" s="171" t="s">
        <v>35590</v>
      </c>
      <c r="G1637" s="82"/>
      <c r="H1637" s="96">
        <f t="shared" si="100"/>
        <v>1757.22</v>
      </c>
      <c r="I1637" s="96">
        <f t="shared" si="100"/>
        <v>1843.93</v>
      </c>
      <c r="J1637" s="91" t="str">
        <f t="shared" si="101"/>
        <v>Sinapi 97989</v>
      </c>
      <c r="K1637" s="91" t="str">
        <f t="shared" si="102"/>
        <v>M</v>
      </c>
      <c r="L1637" s="166" t="str">
        <f t="shared" si="103"/>
        <v>12/2020</v>
      </c>
      <c r="M1637" s="82"/>
      <c r="N1637" s="82"/>
    </row>
    <row r="1638" spans="1:14" x14ac:dyDescent="0.25">
      <c r="A1638" s="170" t="s">
        <v>4496</v>
      </c>
      <c r="B1638" s="170" t="s">
        <v>12435</v>
      </c>
      <c r="C1638" s="170" t="s">
        <v>385</v>
      </c>
      <c r="D1638" s="170" t="s">
        <v>1947</v>
      </c>
      <c r="E1638" s="171" t="s">
        <v>32296</v>
      </c>
      <c r="F1638" s="171" t="s">
        <v>35591</v>
      </c>
      <c r="G1638" s="82"/>
      <c r="H1638" s="96">
        <f t="shared" si="100"/>
        <v>989.55</v>
      </c>
      <c r="I1638" s="96">
        <f t="shared" si="100"/>
        <v>995.83</v>
      </c>
      <c r="J1638" s="91" t="str">
        <f t="shared" si="101"/>
        <v>Sinapi 97991</v>
      </c>
      <c r="K1638" s="91" t="str">
        <f t="shared" si="102"/>
        <v>M</v>
      </c>
      <c r="L1638" s="166" t="str">
        <f t="shared" si="103"/>
        <v>12/2020</v>
      </c>
      <c r="M1638" s="82"/>
      <c r="N1638" s="82"/>
    </row>
    <row r="1639" spans="1:14" x14ac:dyDescent="0.25">
      <c r="A1639" s="170" t="s">
        <v>4497</v>
      </c>
      <c r="B1639" s="170" t="s">
        <v>18008</v>
      </c>
      <c r="C1639" s="170" t="s">
        <v>205</v>
      </c>
      <c r="D1639" s="170" t="s">
        <v>1947</v>
      </c>
      <c r="E1639" s="171" t="s">
        <v>32297</v>
      </c>
      <c r="F1639" s="171" t="s">
        <v>35592</v>
      </c>
      <c r="G1639" s="82"/>
      <c r="H1639" s="96">
        <f t="shared" si="100"/>
        <v>4506.3900000000003</v>
      </c>
      <c r="I1639" s="96">
        <f t="shared" si="100"/>
        <v>4668.42</v>
      </c>
      <c r="J1639" s="91" t="str">
        <f t="shared" si="101"/>
        <v>Sinapi 97992</v>
      </c>
      <c r="K1639" s="91" t="str">
        <f t="shared" si="102"/>
        <v>UN</v>
      </c>
      <c r="L1639" s="166" t="str">
        <f t="shared" si="103"/>
        <v>12/2020</v>
      </c>
      <c r="M1639" s="82"/>
      <c r="N1639" s="82"/>
    </row>
    <row r="1640" spans="1:14" x14ac:dyDescent="0.25">
      <c r="A1640" s="170" t="s">
        <v>4498</v>
      </c>
      <c r="B1640" s="170" t="s">
        <v>12436</v>
      </c>
      <c r="C1640" s="170" t="s">
        <v>385</v>
      </c>
      <c r="D1640" s="170" t="s">
        <v>2067</v>
      </c>
      <c r="E1640" s="171" t="s">
        <v>32298</v>
      </c>
      <c r="F1640" s="171" t="s">
        <v>35593</v>
      </c>
      <c r="G1640" s="82"/>
      <c r="H1640" s="96">
        <f t="shared" si="100"/>
        <v>2129.36</v>
      </c>
      <c r="I1640" s="96">
        <f t="shared" si="100"/>
        <v>2236.0300000000002</v>
      </c>
      <c r="J1640" s="91" t="str">
        <f t="shared" si="101"/>
        <v>Sinapi 97993</v>
      </c>
      <c r="K1640" s="91" t="str">
        <f t="shared" si="102"/>
        <v>M</v>
      </c>
      <c r="L1640" s="166" t="str">
        <f t="shared" si="103"/>
        <v>12/2020</v>
      </c>
      <c r="M1640" s="82"/>
      <c r="N1640" s="82"/>
    </row>
    <row r="1641" spans="1:14" x14ac:dyDescent="0.25">
      <c r="A1641" s="170" t="s">
        <v>4499</v>
      </c>
      <c r="B1641" s="170" t="s">
        <v>18009</v>
      </c>
      <c r="C1641" s="170" t="s">
        <v>205</v>
      </c>
      <c r="D1641" s="170" t="s">
        <v>1947</v>
      </c>
      <c r="E1641" s="171" t="s">
        <v>32299</v>
      </c>
      <c r="F1641" s="171" t="s">
        <v>35594</v>
      </c>
      <c r="G1641" s="82"/>
      <c r="H1641" s="96">
        <f t="shared" si="100"/>
        <v>3274.66</v>
      </c>
      <c r="I1641" s="96">
        <f t="shared" si="100"/>
        <v>3385.26</v>
      </c>
      <c r="J1641" s="91" t="str">
        <f t="shared" si="101"/>
        <v>Sinapi 97994</v>
      </c>
      <c r="K1641" s="91" t="str">
        <f t="shared" si="102"/>
        <v>UN</v>
      </c>
      <c r="L1641" s="166" t="str">
        <f t="shared" si="103"/>
        <v>12/2020</v>
      </c>
      <c r="M1641" s="82"/>
      <c r="N1641" s="82"/>
    </row>
    <row r="1642" spans="1:14" x14ac:dyDescent="0.25">
      <c r="A1642" s="170" t="s">
        <v>4500</v>
      </c>
      <c r="B1642" s="170" t="s">
        <v>12437</v>
      </c>
      <c r="C1642" s="170" t="s">
        <v>385</v>
      </c>
      <c r="D1642" s="170" t="s">
        <v>2067</v>
      </c>
      <c r="E1642" s="171" t="s">
        <v>32300</v>
      </c>
      <c r="F1642" s="171" t="s">
        <v>35595</v>
      </c>
      <c r="G1642" s="82"/>
      <c r="H1642" s="96">
        <f t="shared" si="100"/>
        <v>1605.81</v>
      </c>
      <c r="I1642" s="96">
        <f t="shared" si="100"/>
        <v>1671.37</v>
      </c>
      <c r="J1642" s="91" t="str">
        <f t="shared" si="101"/>
        <v>Sinapi 97995</v>
      </c>
      <c r="K1642" s="91" t="str">
        <f t="shared" si="102"/>
        <v>M</v>
      </c>
      <c r="L1642" s="166" t="str">
        <f t="shared" si="103"/>
        <v>12/2020</v>
      </c>
      <c r="M1642" s="82"/>
      <c r="N1642" s="82"/>
    </row>
    <row r="1643" spans="1:14" x14ac:dyDescent="0.25">
      <c r="A1643" s="170" t="s">
        <v>4501</v>
      </c>
      <c r="B1643" s="170" t="s">
        <v>18010</v>
      </c>
      <c r="C1643" s="170" t="s">
        <v>205</v>
      </c>
      <c r="D1643" s="170" t="s">
        <v>1947</v>
      </c>
      <c r="E1643" s="171" t="s">
        <v>32301</v>
      </c>
      <c r="F1643" s="171" t="s">
        <v>35596</v>
      </c>
      <c r="G1643" s="82"/>
      <c r="H1643" s="96">
        <f t="shared" si="100"/>
        <v>4143.83</v>
      </c>
      <c r="I1643" s="96">
        <f t="shared" si="100"/>
        <v>4282.54</v>
      </c>
      <c r="J1643" s="91" t="str">
        <f t="shared" si="101"/>
        <v>Sinapi 97996</v>
      </c>
      <c r="K1643" s="91" t="str">
        <f t="shared" si="102"/>
        <v>UN</v>
      </c>
      <c r="L1643" s="166" t="str">
        <f t="shared" si="103"/>
        <v>12/2020</v>
      </c>
      <c r="M1643" s="82"/>
      <c r="N1643" s="82"/>
    </row>
    <row r="1644" spans="1:14" x14ac:dyDescent="0.25">
      <c r="A1644" s="170" t="s">
        <v>4502</v>
      </c>
      <c r="B1644" s="170" t="s">
        <v>12438</v>
      </c>
      <c r="C1644" s="170" t="s">
        <v>385</v>
      </c>
      <c r="D1644" s="170" t="s">
        <v>2067</v>
      </c>
      <c r="E1644" s="171" t="s">
        <v>32302</v>
      </c>
      <c r="F1644" s="171" t="s">
        <v>35597</v>
      </c>
      <c r="G1644" s="82"/>
      <c r="H1644" s="96">
        <f t="shared" si="100"/>
        <v>1918.37</v>
      </c>
      <c r="I1644" s="96">
        <f t="shared" si="100"/>
        <v>1996.92</v>
      </c>
      <c r="J1644" s="91" t="str">
        <f t="shared" si="101"/>
        <v>Sinapi 97997</v>
      </c>
      <c r="K1644" s="91" t="str">
        <f t="shared" si="102"/>
        <v>M</v>
      </c>
      <c r="L1644" s="166" t="str">
        <f t="shared" si="103"/>
        <v>12/2020</v>
      </c>
      <c r="M1644" s="82"/>
      <c r="N1644" s="82"/>
    </row>
    <row r="1645" spans="1:14" x14ac:dyDescent="0.25">
      <c r="A1645" s="170" t="s">
        <v>4503</v>
      </c>
      <c r="B1645" s="170" t="s">
        <v>12439</v>
      </c>
      <c r="C1645" s="170" t="s">
        <v>385</v>
      </c>
      <c r="D1645" s="170" t="s">
        <v>2067</v>
      </c>
      <c r="E1645" s="171" t="s">
        <v>32303</v>
      </c>
      <c r="F1645" s="171" t="s">
        <v>35598</v>
      </c>
      <c r="G1645" s="82"/>
      <c r="H1645" s="96">
        <f t="shared" si="100"/>
        <v>2231.0100000000002</v>
      </c>
      <c r="I1645" s="96">
        <f t="shared" si="100"/>
        <v>2322.58</v>
      </c>
      <c r="J1645" s="91" t="str">
        <f t="shared" si="101"/>
        <v>Sinapi 97999</v>
      </c>
      <c r="K1645" s="91" t="str">
        <f t="shared" si="102"/>
        <v>M</v>
      </c>
      <c r="L1645" s="166" t="str">
        <f t="shared" si="103"/>
        <v>12/2020</v>
      </c>
      <c r="M1645" s="82"/>
      <c r="N1645" s="82"/>
    </row>
    <row r="1646" spans="1:14" x14ac:dyDescent="0.25">
      <c r="A1646" s="170" t="s">
        <v>4504</v>
      </c>
      <c r="B1646" s="170" t="s">
        <v>12440</v>
      </c>
      <c r="C1646" s="170" t="s">
        <v>385</v>
      </c>
      <c r="D1646" s="170" t="s">
        <v>2067</v>
      </c>
      <c r="E1646" s="171" t="s">
        <v>32304</v>
      </c>
      <c r="F1646" s="171" t="s">
        <v>35599</v>
      </c>
      <c r="G1646" s="82"/>
      <c r="H1646" s="96">
        <f t="shared" si="100"/>
        <v>2543.58</v>
      </c>
      <c r="I1646" s="96">
        <f t="shared" si="100"/>
        <v>2648.14</v>
      </c>
      <c r="J1646" s="91" t="str">
        <f t="shared" si="101"/>
        <v>Sinapi 98001</v>
      </c>
      <c r="K1646" s="91" t="str">
        <f t="shared" si="102"/>
        <v>M</v>
      </c>
      <c r="L1646" s="166" t="str">
        <f t="shared" si="103"/>
        <v>12/2020</v>
      </c>
      <c r="M1646" s="82"/>
      <c r="N1646" s="82"/>
    </row>
    <row r="1647" spans="1:14" x14ac:dyDescent="0.25">
      <c r="A1647" s="170" t="s">
        <v>4505</v>
      </c>
      <c r="B1647" s="170" t="s">
        <v>18011</v>
      </c>
      <c r="C1647" s="170" t="s">
        <v>205</v>
      </c>
      <c r="D1647" s="170" t="s">
        <v>1947</v>
      </c>
      <c r="E1647" s="171" t="s">
        <v>32305</v>
      </c>
      <c r="F1647" s="171" t="s">
        <v>35600</v>
      </c>
      <c r="G1647" s="82"/>
      <c r="H1647" s="96">
        <f t="shared" si="100"/>
        <v>6787.88</v>
      </c>
      <c r="I1647" s="96">
        <f t="shared" si="100"/>
        <v>7010.96</v>
      </c>
      <c r="J1647" s="91" t="str">
        <f t="shared" si="101"/>
        <v>Sinapi 98002</v>
      </c>
      <c r="K1647" s="91" t="str">
        <f t="shared" si="102"/>
        <v>UN</v>
      </c>
      <c r="L1647" s="166" t="str">
        <f t="shared" si="103"/>
        <v>12/2020</v>
      </c>
      <c r="M1647" s="82"/>
      <c r="N1647" s="82"/>
    </row>
    <row r="1648" spans="1:14" x14ac:dyDescent="0.25">
      <c r="A1648" s="170" t="s">
        <v>4506</v>
      </c>
      <c r="B1648" s="170" t="s">
        <v>12441</v>
      </c>
      <c r="C1648" s="170" t="s">
        <v>385</v>
      </c>
      <c r="D1648" s="170" t="s">
        <v>2067</v>
      </c>
      <c r="E1648" s="171" t="s">
        <v>32306</v>
      </c>
      <c r="F1648" s="171" t="s">
        <v>35601</v>
      </c>
      <c r="G1648" s="82"/>
      <c r="H1648" s="96">
        <f t="shared" si="100"/>
        <v>2856.24</v>
      </c>
      <c r="I1648" s="96">
        <f t="shared" si="100"/>
        <v>2973.8</v>
      </c>
      <c r="J1648" s="91" t="str">
        <f t="shared" si="101"/>
        <v>Sinapi 98003</v>
      </c>
      <c r="K1648" s="91" t="str">
        <f t="shared" si="102"/>
        <v>M</v>
      </c>
      <c r="L1648" s="166" t="str">
        <f t="shared" si="103"/>
        <v>12/2020</v>
      </c>
      <c r="M1648" s="82"/>
      <c r="N1648" s="82"/>
    </row>
    <row r="1649" spans="1:14" x14ac:dyDescent="0.25">
      <c r="A1649" s="170" t="s">
        <v>4507</v>
      </c>
      <c r="B1649" s="170" t="s">
        <v>12442</v>
      </c>
      <c r="C1649" s="170" t="s">
        <v>385</v>
      </c>
      <c r="D1649" s="170" t="s">
        <v>2067</v>
      </c>
      <c r="E1649" s="171" t="s">
        <v>32307</v>
      </c>
      <c r="F1649" s="171" t="s">
        <v>35602</v>
      </c>
      <c r="G1649" s="82"/>
      <c r="H1649" s="96">
        <f t="shared" si="100"/>
        <v>3168.89</v>
      </c>
      <c r="I1649" s="96">
        <f t="shared" si="100"/>
        <v>3299.45</v>
      </c>
      <c r="J1649" s="91" t="str">
        <f t="shared" si="101"/>
        <v>Sinapi 98005</v>
      </c>
      <c r="K1649" s="91" t="str">
        <f t="shared" si="102"/>
        <v>M</v>
      </c>
      <c r="L1649" s="166" t="str">
        <f t="shared" si="103"/>
        <v>12/2020</v>
      </c>
      <c r="M1649" s="82"/>
      <c r="N1649" s="82"/>
    </row>
    <row r="1650" spans="1:14" x14ac:dyDescent="0.25">
      <c r="A1650" s="170" t="s">
        <v>4508</v>
      </c>
      <c r="B1650" s="170" t="s">
        <v>18012</v>
      </c>
      <c r="C1650" s="170" t="s">
        <v>205</v>
      </c>
      <c r="D1650" s="170" t="s">
        <v>1947</v>
      </c>
      <c r="E1650" s="171" t="s">
        <v>32308</v>
      </c>
      <c r="F1650" s="171" t="s">
        <v>35603</v>
      </c>
      <c r="G1650" s="82"/>
      <c r="H1650" s="96">
        <f t="shared" si="100"/>
        <v>8535.39</v>
      </c>
      <c r="I1650" s="96">
        <f t="shared" si="100"/>
        <v>8814.68</v>
      </c>
      <c r="J1650" s="91" t="str">
        <f t="shared" si="101"/>
        <v>Sinapi 98006</v>
      </c>
      <c r="K1650" s="91" t="str">
        <f t="shared" si="102"/>
        <v>UN</v>
      </c>
      <c r="L1650" s="166" t="str">
        <f t="shared" si="103"/>
        <v>12/2020</v>
      </c>
      <c r="M1650" s="82"/>
      <c r="N1650" s="82"/>
    </row>
    <row r="1651" spans="1:14" x14ac:dyDescent="0.25">
      <c r="A1651" s="170" t="s">
        <v>4509</v>
      </c>
      <c r="B1651" s="170" t="s">
        <v>12443</v>
      </c>
      <c r="C1651" s="170" t="s">
        <v>385</v>
      </c>
      <c r="D1651" s="170" t="s">
        <v>2067</v>
      </c>
      <c r="E1651" s="171" t="s">
        <v>32309</v>
      </c>
      <c r="F1651" s="171" t="s">
        <v>35604</v>
      </c>
      <c r="G1651" s="82"/>
      <c r="H1651" s="96">
        <f t="shared" si="100"/>
        <v>3481.44</v>
      </c>
      <c r="I1651" s="96">
        <f t="shared" si="100"/>
        <v>3624.99</v>
      </c>
      <c r="J1651" s="91" t="str">
        <f t="shared" si="101"/>
        <v>Sinapi 98007</v>
      </c>
      <c r="K1651" s="91" t="str">
        <f t="shared" si="102"/>
        <v>M</v>
      </c>
      <c r="L1651" s="166" t="str">
        <f t="shared" si="103"/>
        <v>12/2020</v>
      </c>
      <c r="M1651" s="82"/>
      <c r="N1651" s="82"/>
    </row>
    <row r="1652" spans="1:14" x14ac:dyDescent="0.25">
      <c r="A1652" s="170" t="s">
        <v>4510</v>
      </c>
      <c r="B1652" s="170" t="s">
        <v>18013</v>
      </c>
      <c r="C1652" s="170" t="s">
        <v>205</v>
      </c>
      <c r="D1652" s="170" t="s">
        <v>1947</v>
      </c>
      <c r="E1652" s="171" t="s">
        <v>32310</v>
      </c>
      <c r="F1652" s="171" t="s">
        <v>35605</v>
      </c>
      <c r="G1652" s="82"/>
      <c r="H1652" s="96">
        <f t="shared" si="100"/>
        <v>5165.82</v>
      </c>
      <c r="I1652" s="96">
        <f t="shared" si="100"/>
        <v>5331.96</v>
      </c>
      <c r="J1652" s="91" t="str">
        <f t="shared" si="101"/>
        <v>Sinapi 98008</v>
      </c>
      <c r="K1652" s="91" t="str">
        <f t="shared" si="102"/>
        <v>UN</v>
      </c>
      <c r="L1652" s="166" t="str">
        <f t="shared" si="103"/>
        <v>12/2020</v>
      </c>
      <c r="M1652" s="82"/>
      <c r="N1652" s="82"/>
    </row>
    <row r="1653" spans="1:14" x14ac:dyDescent="0.25">
      <c r="A1653" s="170" t="s">
        <v>4511</v>
      </c>
      <c r="B1653" s="170" t="s">
        <v>12444</v>
      </c>
      <c r="C1653" s="170" t="s">
        <v>385</v>
      </c>
      <c r="D1653" s="170" t="s">
        <v>2067</v>
      </c>
      <c r="E1653" s="171" t="s">
        <v>32303</v>
      </c>
      <c r="F1653" s="171" t="s">
        <v>35598</v>
      </c>
      <c r="G1653" s="82"/>
      <c r="H1653" s="96">
        <f t="shared" si="100"/>
        <v>2231.0100000000002</v>
      </c>
      <c r="I1653" s="96">
        <f t="shared" si="100"/>
        <v>2322.58</v>
      </c>
      <c r="J1653" s="91" t="str">
        <f t="shared" si="101"/>
        <v>Sinapi 98009</v>
      </c>
      <c r="K1653" s="91" t="str">
        <f t="shared" si="102"/>
        <v>M</v>
      </c>
      <c r="L1653" s="166" t="str">
        <f t="shared" si="103"/>
        <v>12/2020</v>
      </c>
      <c r="M1653" s="82"/>
      <c r="N1653" s="82"/>
    </row>
    <row r="1654" spans="1:14" x14ac:dyDescent="0.25">
      <c r="A1654" s="170" t="s">
        <v>4512</v>
      </c>
      <c r="B1654" s="170" t="s">
        <v>18014</v>
      </c>
      <c r="C1654" s="170" t="s">
        <v>205</v>
      </c>
      <c r="D1654" s="170" t="s">
        <v>1947</v>
      </c>
      <c r="E1654" s="171" t="s">
        <v>32311</v>
      </c>
      <c r="F1654" s="171" t="s">
        <v>35606</v>
      </c>
      <c r="G1654" s="82"/>
      <c r="H1654" s="96">
        <f t="shared" si="100"/>
        <v>6308.51</v>
      </c>
      <c r="I1654" s="96">
        <f t="shared" si="100"/>
        <v>6507.92</v>
      </c>
      <c r="J1654" s="91" t="str">
        <f t="shared" si="101"/>
        <v>Sinapi 98010</v>
      </c>
      <c r="K1654" s="91" t="str">
        <f t="shared" si="102"/>
        <v>UN</v>
      </c>
      <c r="L1654" s="166" t="str">
        <f t="shared" si="103"/>
        <v>12/2020</v>
      </c>
      <c r="M1654" s="82"/>
      <c r="N1654" s="82"/>
    </row>
    <row r="1655" spans="1:14" x14ac:dyDescent="0.25">
      <c r="A1655" s="170" t="s">
        <v>4513</v>
      </c>
      <c r="B1655" s="170" t="s">
        <v>12445</v>
      </c>
      <c r="C1655" s="170" t="s">
        <v>385</v>
      </c>
      <c r="D1655" s="170" t="s">
        <v>2067</v>
      </c>
      <c r="E1655" s="171" t="s">
        <v>32304</v>
      </c>
      <c r="F1655" s="171" t="s">
        <v>35599</v>
      </c>
      <c r="G1655" s="82"/>
      <c r="H1655" s="96">
        <f t="shared" si="100"/>
        <v>2543.58</v>
      </c>
      <c r="I1655" s="96">
        <f t="shared" si="100"/>
        <v>2648.14</v>
      </c>
      <c r="J1655" s="91" t="str">
        <f t="shared" si="101"/>
        <v>Sinapi 98011</v>
      </c>
      <c r="K1655" s="91" t="str">
        <f t="shared" si="102"/>
        <v>M</v>
      </c>
      <c r="L1655" s="166" t="str">
        <f t="shared" si="103"/>
        <v>12/2020</v>
      </c>
      <c r="M1655" s="82"/>
      <c r="N1655" s="82"/>
    </row>
    <row r="1656" spans="1:14" x14ac:dyDescent="0.25">
      <c r="A1656" s="170" t="s">
        <v>4514</v>
      </c>
      <c r="B1656" s="170" t="s">
        <v>18015</v>
      </c>
      <c r="C1656" s="170" t="s">
        <v>205</v>
      </c>
      <c r="D1656" s="170" t="s">
        <v>1947</v>
      </c>
      <c r="E1656" s="171" t="s">
        <v>32312</v>
      </c>
      <c r="F1656" s="171" t="s">
        <v>35607</v>
      </c>
      <c r="G1656" s="82"/>
      <c r="H1656" s="96">
        <f t="shared" si="100"/>
        <v>7422.05</v>
      </c>
      <c r="I1656" s="96">
        <f t="shared" si="100"/>
        <v>7654.73</v>
      </c>
      <c r="J1656" s="91" t="str">
        <f t="shared" si="101"/>
        <v>Sinapi 98012</v>
      </c>
      <c r="K1656" s="91" t="str">
        <f t="shared" si="102"/>
        <v>UN</v>
      </c>
      <c r="L1656" s="166" t="str">
        <f t="shared" si="103"/>
        <v>12/2020</v>
      </c>
      <c r="M1656" s="82"/>
      <c r="N1656" s="82"/>
    </row>
    <row r="1657" spans="1:14" x14ac:dyDescent="0.25">
      <c r="A1657" s="170" t="s">
        <v>4515</v>
      </c>
      <c r="B1657" s="170" t="s">
        <v>12446</v>
      </c>
      <c r="C1657" s="170" t="s">
        <v>385</v>
      </c>
      <c r="D1657" s="170" t="s">
        <v>2067</v>
      </c>
      <c r="E1657" s="171" t="s">
        <v>32306</v>
      </c>
      <c r="F1657" s="171" t="s">
        <v>35601</v>
      </c>
      <c r="G1657" s="82"/>
      <c r="H1657" s="96">
        <f t="shared" si="100"/>
        <v>2856.24</v>
      </c>
      <c r="I1657" s="96">
        <f t="shared" si="100"/>
        <v>2973.8</v>
      </c>
      <c r="J1657" s="91" t="str">
        <f t="shared" si="101"/>
        <v>Sinapi 98013</v>
      </c>
      <c r="K1657" s="91" t="str">
        <f t="shared" si="102"/>
        <v>M</v>
      </c>
      <c r="L1657" s="166" t="str">
        <f t="shared" si="103"/>
        <v>12/2020</v>
      </c>
      <c r="M1657" s="82"/>
      <c r="N1657" s="82"/>
    </row>
    <row r="1658" spans="1:14" x14ac:dyDescent="0.25">
      <c r="A1658" s="170" t="s">
        <v>4516</v>
      </c>
      <c r="B1658" s="170" t="s">
        <v>18016</v>
      </c>
      <c r="C1658" s="170" t="s">
        <v>205</v>
      </c>
      <c r="D1658" s="170" t="s">
        <v>1947</v>
      </c>
      <c r="E1658" s="171" t="s">
        <v>32313</v>
      </c>
      <c r="F1658" s="171" t="s">
        <v>35608</v>
      </c>
      <c r="G1658" s="82"/>
      <c r="H1658" s="96">
        <f t="shared" si="100"/>
        <v>8535.52</v>
      </c>
      <c r="I1658" s="96">
        <f t="shared" si="100"/>
        <v>8801.4599999999991</v>
      </c>
      <c r="J1658" s="91" t="str">
        <f t="shared" si="101"/>
        <v>Sinapi 98014</v>
      </c>
      <c r="K1658" s="91" t="str">
        <f t="shared" si="102"/>
        <v>UN</v>
      </c>
      <c r="L1658" s="166" t="str">
        <f t="shared" si="103"/>
        <v>12/2020</v>
      </c>
      <c r="M1658" s="82"/>
      <c r="N1658" s="82"/>
    </row>
    <row r="1659" spans="1:14" x14ac:dyDescent="0.25">
      <c r="A1659" s="170" t="s">
        <v>4517</v>
      </c>
      <c r="B1659" s="170" t="s">
        <v>12447</v>
      </c>
      <c r="C1659" s="170" t="s">
        <v>385</v>
      </c>
      <c r="D1659" s="170" t="s">
        <v>2067</v>
      </c>
      <c r="E1659" s="171" t="s">
        <v>32307</v>
      </c>
      <c r="F1659" s="171" t="s">
        <v>35602</v>
      </c>
      <c r="G1659" s="82"/>
      <c r="H1659" s="96">
        <f t="shared" si="100"/>
        <v>3168.89</v>
      </c>
      <c r="I1659" s="96">
        <f t="shared" si="100"/>
        <v>3299.45</v>
      </c>
      <c r="J1659" s="91" t="str">
        <f t="shared" si="101"/>
        <v>Sinapi 98015</v>
      </c>
      <c r="K1659" s="91" t="str">
        <f t="shared" si="102"/>
        <v>M</v>
      </c>
      <c r="L1659" s="166" t="str">
        <f t="shared" si="103"/>
        <v>12/2020</v>
      </c>
      <c r="M1659" s="82"/>
      <c r="N1659" s="82"/>
    </row>
    <row r="1660" spans="1:14" x14ac:dyDescent="0.25">
      <c r="A1660" s="170" t="s">
        <v>4518</v>
      </c>
      <c r="B1660" s="170" t="s">
        <v>18017</v>
      </c>
      <c r="C1660" s="170" t="s">
        <v>205</v>
      </c>
      <c r="D1660" s="170" t="s">
        <v>1947</v>
      </c>
      <c r="E1660" s="171" t="s">
        <v>32314</v>
      </c>
      <c r="F1660" s="171" t="s">
        <v>35609</v>
      </c>
      <c r="G1660" s="82"/>
      <c r="H1660" s="96">
        <f t="shared" si="100"/>
        <v>9649.16</v>
      </c>
      <c r="I1660" s="96">
        <f t="shared" si="100"/>
        <v>9948.36</v>
      </c>
      <c r="J1660" s="91" t="str">
        <f t="shared" si="101"/>
        <v>Sinapi 98016</v>
      </c>
      <c r="K1660" s="91" t="str">
        <f t="shared" si="102"/>
        <v>UN</v>
      </c>
      <c r="L1660" s="166" t="str">
        <f t="shared" si="103"/>
        <v>12/2020</v>
      </c>
      <c r="M1660" s="82"/>
      <c r="N1660" s="82"/>
    </row>
    <row r="1661" spans="1:14" x14ac:dyDescent="0.25">
      <c r="A1661" s="170" t="s">
        <v>4519</v>
      </c>
      <c r="B1661" s="170" t="s">
        <v>12448</v>
      </c>
      <c r="C1661" s="170" t="s">
        <v>385</v>
      </c>
      <c r="D1661" s="170" t="s">
        <v>2067</v>
      </c>
      <c r="E1661" s="171" t="s">
        <v>32309</v>
      </c>
      <c r="F1661" s="171" t="s">
        <v>35604</v>
      </c>
      <c r="G1661" s="82"/>
      <c r="H1661" s="96">
        <f t="shared" si="100"/>
        <v>3481.44</v>
      </c>
      <c r="I1661" s="96">
        <f t="shared" si="100"/>
        <v>3624.99</v>
      </c>
      <c r="J1661" s="91" t="str">
        <f t="shared" si="101"/>
        <v>Sinapi 98017</v>
      </c>
      <c r="K1661" s="91" t="str">
        <f t="shared" si="102"/>
        <v>M</v>
      </c>
      <c r="L1661" s="166" t="str">
        <f t="shared" si="103"/>
        <v>12/2020</v>
      </c>
      <c r="M1661" s="82"/>
      <c r="N1661" s="82"/>
    </row>
    <row r="1662" spans="1:14" x14ac:dyDescent="0.25">
      <c r="A1662" s="170" t="s">
        <v>4520</v>
      </c>
      <c r="B1662" s="170" t="s">
        <v>18018</v>
      </c>
      <c r="C1662" s="170" t="s">
        <v>205</v>
      </c>
      <c r="D1662" s="170" t="s">
        <v>1947</v>
      </c>
      <c r="E1662" s="171" t="s">
        <v>32315</v>
      </c>
      <c r="F1662" s="171" t="s">
        <v>35610</v>
      </c>
      <c r="G1662" s="82"/>
      <c r="H1662" s="96">
        <f t="shared" si="100"/>
        <v>10762.65</v>
      </c>
      <c r="I1662" s="96">
        <f t="shared" si="100"/>
        <v>11095.12</v>
      </c>
      <c r="J1662" s="91" t="str">
        <f t="shared" si="101"/>
        <v>Sinapi 98018</v>
      </c>
      <c r="K1662" s="91" t="str">
        <f t="shared" si="102"/>
        <v>UN</v>
      </c>
      <c r="L1662" s="166" t="str">
        <f t="shared" si="103"/>
        <v>12/2020</v>
      </c>
      <c r="M1662" s="82"/>
      <c r="N1662" s="82"/>
    </row>
    <row r="1663" spans="1:14" x14ac:dyDescent="0.25">
      <c r="A1663" s="170" t="s">
        <v>4521</v>
      </c>
      <c r="B1663" s="170" t="s">
        <v>12449</v>
      </c>
      <c r="C1663" s="170" t="s">
        <v>385</v>
      </c>
      <c r="D1663" s="170" t="s">
        <v>2067</v>
      </c>
      <c r="E1663" s="171" t="s">
        <v>32316</v>
      </c>
      <c r="F1663" s="171" t="s">
        <v>34981</v>
      </c>
      <c r="G1663" s="82"/>
      <c r="H1663" s="96">
        <f t="shared" si="100"/>
        <v>3821.94</v>
      </c>
      <c r="I1663" s="96">
        <f t="shared" si="100"/>
        <v>3979.53</v>
      </c>
      <c r="J1663" s="91" t="str">
        <f t="shared" si="101"/>
        <v>Sinapi 98019</v>
      </c>
      <c r="K1663" s="91" t="str">
        <f t="shared" si="102"/>
        <v>M</v>
      </c>
      <c r="L1663" s="166" t="str">
        <f t="shared" si="103"/>
        <v>12/2020</v>
      </c>
      <c r="M1663" s="82"/>
      <c r="N1663" s="82"/>
    </row>
    <row r="1664" spans="1:14" x14ac:dyDescent="0.25">
      <c r="A1664" s="170" t="s">
        <v>4522</v>
      </c>
      <c r="B1664" s="170" t="s">
        <v>18019</v>
      </c>
      <c r="C1664" s="170" t="s">
        <v>205</v>
      </c>
      <c r="D1664" s="170" t="s">
        <v>1947</v>
      </c>
      <c r="E1664" s="171" t="s">
        <v>32317</v>
      </c>
      <c r="F1664" s="171" t="s">
        <v>35611</v>
      </c>
      <c r="G1664" s="82"/>
      <c r="H1664" s="96">
        <f t="shared" si="100"/>
        <v>7658.68</v>
      </c>
      <c r="I1664" s="96">
        <f t="shared" si="100"/>
        <v>7897.01</v>
      </c>
      <c r="J1664" s="91" t="str">
        <f t="shared" si="101"/>
        <v>Sinapi 98020</v>
      </c>
      <c r="K1664" s="91" t="str">
        <f t="shared" si="102"/>
        <v>UN</v>
      </c>
      <c r="L1664" s="166" t="str">
        <f t="shared" si="103"/>
        <v>12/2020</v>
      </c>
      <c r="M1664" s="82"/>
      <c r="N1664" s="82"/>
    </row>
    <row r="1665" spans="1:14" x14ac:dyDescent="0.25">
      <c r="A1665" s="170" t="s">
        <v>4523</v>
      </c>
      <c r="B1665" s="170" t="s">
        <v>12450</v>
      </c>
      <c r="C1665" s="170" t="s">
        <v>385</v>
      </c>
      <c r="D1665" s="170" t="s">
        <v>2067</v>
      </c>
      <c r="E1665" s="171" t="s">
        <v>32318</v>
      </c>
      <c r="F1665" s="171" t="s">
        <v>35612</v>
      </c>
      <c r="G1665" s="82"/>
      <c r="H1665" s="96">
        <f t="shared" si="100"/>
        <v>2884.16</v>
      </c>
      <c r="I1665" s="96">
        <f t="shared" si="100"/>
        <v>3002.77</v>
      </c>
      <c r="J1665" s="91" t="str">
        <f t="shared" si="101"/>
        <v>Sinapi 98021</v>
      </c>
      <c r="K1665" s="91" t="str">
        <f t="shared" si="102"/>
        <v>M</v>
      </c>
      <c r="L1665" s="166" t="str">
        <f t="shared" si="103"/>
        <v>12/2020</v>
      </c>
      <c r="M1665" s="82"/>
      <c r="N1665" s="82"/>
    </row>
    <row r="1666" spans="1:14" x14ac:dyDescent="0.25">
      <c r="A1666" s="170" t="s">
        <v>4524</v>
      </c>
      <c r="B1666" s="170" t="s">
        <v>18020</v>
      </c>
      <c r="C1666" s="170" t="s">
        <v>205</v>
      </c>
      <c r="D1666" s="170" t="s">
        <v>1947</v>
      </c>
      <c r="E1666" s="171" t="s">
        <v>32319</v>
      </c>
      <c r="F1666" s="171" t="s">
        <v>35613</v>
      </c>
      <c r="G1666" s="82"/>
      <c r="H1666" s="96">
        <f t="shared" si="100"/>
        <v>8995.48</v>
      </c>
      <c r="I1666" s="96">
        <f t="shared" si="100"/>
        <v>9272.18</v>
      </c>
      <c r="J1666" s="91" t="str">
        <f t="shared" si="101"/>
        <v>Sinapi 98022</v>
      </c>
      <c r="K1666" s="91" t="str">
        <f t="shared" si="102"/>
        <v>UN</v>
      </c>
      <c r="L1666" s="166" t="str">
        <f t="shared" si="103"/>
        <v>12/2020</v>
      </c>
      <c r="M1666" s="82"/>
      <c r="N1666" s="82"/>
    </row>
    <row r="1667" spans="1:14" x14ac:dyDescent="0.25">
      <c r="A1667" s="170" t="s">
        <v>4525</v>
      </c>
      <c r="B1667" s="170" t="s">
        <v>12451</v>
      </c>
      <c r="C1667" s="170" t="s">
        <v>385</v>
      </c>
      <c r="D1667" s="170" t="s">
        <v>2067</v>
      </c>
      <c r="E1667" s="171" t="s">
        <v>32320</v>
      </c>
      <c r="F1667" s="171" t="s">
        <v>35614</v>
      </c>
      <c r="G1667" s="82"/>
      <c r="H1667" s="96">
        <f t="shared" si="100"/>
        <v>3196.72</v>
      </c>
      <c r="I1667" s="96">
        <f t="shared" si="100"/>
        <v>3328.32</v>
      </c>
      <c r="J1667" s="91" t="str">
        <f t="shared" si="101"/>
        <v>Sinapi 98023</v>
      </c>
      <c r="K1667" s="91" t="str">
        <f t="shared" si="102"/>
        <v>M</v>
      </c>
      <c r="L1667" s="166" t="str">
        <f t="shared" si="103"/>
        <v>12/2020</v>
      </c>
      <c r="M1667" s="82"/>
      <c r="N1667" s="82"/>
    </row>
    <row r="1668" spans="1:14" x14ac:dyDescent="0.25">
      <c r="A1668" s="170" t="s">
        <v>4526</v>
      </c>
      <c r="B1668" s="170" t="s">
        <v>18021</v>
      </c>
      <c r="C1668" s="170" t="s">
        <v>205</v>
      </c>
      <c r="D1668" s="170" t="s">
        <v>1947</v>
      </c>
      <c r="E1668" s="171" t="s">
        <v>32321</v>
      </c>
      <c r="F1668" s="171" t="s">
        <v>35615</v>
      </c>
      <c r="G1668" s="82"/>
      <c r="H1668" s="96">
        <f t="shared" si="100"/>
        <v>10396.82</v>
      </c>
      <c r="I1668" s="96">
        <f t="shared" si="100"/>
        <v>10711.9</v>
      </c>
      <c r="J1668" s="91" t="str">
        <f t="shared" si="101"/>
        <v>Sinapi 98024</v>
      </c>
      <c r="K1668" s="91" t="str">
        <f t="shared" si="102"/>
        <v>UN</v>
      </c>
      <c r="L1668" s="166" t="str">
        <f t="shared" si="103"/>
        <v>12/2020</v>
      </c>
      <c r="M1668" s="82"/>
      <c r="N1668" s="82"/>
    </row>
    <row r="1669" spans="1:14" x14ac:dyDescent="0.25">
      <c r="A1669" s="170" t="s">
        <v>4527</v>
      </c>
      <c r="B1669" s="170" t="s">
        <v>12452</v>
      </c>
      <c r="C1669" s="170" t="s">
        <v>385</v>
      </c>
      <c r="D1669" s="170" t="s">
        <v>2067</v>
      </c>
      <c r="E1669" s="171" t="s">
        <v>32322</v>
      </c>
      <c r="F1669" s="171" t="s">
        <v>35616</v>
      </c>
      <c r="G1669" s="82"/>
      <c r="H1669" s="96">
        <f t="shared" si="100"/>
        <v>3509.37</v>
      </c>
      <c r="I1669" s="96">
        <f t="shared" si="100"/>
        <v>3653.97</v>
      </c>
      <c r="J1669" s="91" t="str">
        <f t="shared" si="101"/>
        <v>Sinapi 98025</v>
      </c>
      <c r="K1669" s="91" t="str">
        <f t="shared" si="102"/>
        <v>M</v>
      </c>
      <c r="L1669" s="166" t="str">
        <f t="shared" si="103"/>
        <v>12/2020</v>
      </c>
      <c r="M1669" s="82"/>
      <c r="N1669" s="82"/>
    </row>
    <row r="1670" spans="1:14" x14ac:dyDescent="0.25">
      <c r="A1670" s="170" t="s">
        <v>4528</v>
      </c>
      <c r="B1670" s="170" t="s">
        <v>18022</v>
      </c>
      <c r="C1670" s="170" t="s">
        <v>205</v>
      </c>
      <c r="D1670" s="170" t="s">
        <v>1947</v>
      </c>
      <c r="E1670" s="171" t="s">
        <v>32323</v>
      </c>
      <c r="F1670" s="171" t="s">
        <v>35617</v>
      </c>
      <c r="G1670" s="82"/>
      <c r="H1670" s="96">
        <f t="shared" si="100"/>
        <v>11741.82</v>
      </c>
      <c r="I1670" s="96">
        <f t="shared" si="100"/>
        <v>12095.25</v>
      </c>
      <c r="J1670" s="91" t="str">
        <f t="shared" si="101"/>
        <v>Sinapi 98026</v>
      </c>
      <c r="K1670" s="91" t="str">
        <f t="shared" si="102"/>
        <v>UN</v>
      </c>
      <c r="L1670" s="166" t="str">
        <f t="shared" si="103"/>
        <v>12/2020</v>
      </c>
      <c r="M1670" s="82"/>
      <c r="N1670" s="82"/>
    </row>
    <row r="1671" spans="1:14" x14ac:dyDescent="0.25">
      <c r="A1671" s="170" t="s">
        <v>4529</v>
      </c>
      <c r="B1671" s="170" t="s">
        <v>12453</v>
      </c>
      <c r="C1671" s="170" t="s">
        <v>385</v>
      </c>
      <c r="D1671" s="170" t="s">
        <v>2067</v>
      </c>
      <c r="E1671" s="171" t="s">
        <v>32316</v>
      </c>
      <c r="F1671" s="171" t="s">
        <v>34981</v>
      </c>
      <c r="G1671" s="82"/>
      <c r="H1671" s="96">
        <f t="shared" si="100"/>
        <v>3821.94</v>
      </c>
      <c r="I1671" s="96">
        <f t="shared" si="100"/>
        <v>3979.53</v>
      </c>
      <c r="J1671" s="91" t="str">
        <f t="shared" si="101"/>
        <v>Sinapi 98027</v>
      </c>
      <c r="K1671" s="91" t="str">
        <f t="shared" si="102"/>
        <v>M</v>
      </c>
      <c r="L1671" s="166" t="str">
        <f t="shared" si="103"/>
        <v>12/2020</v>
      </c>
      <c r="M1671" s="82"/>
      <c r="N1671" s="82"/>
    </row>
    <row r="1672" spans="1:14" x14ac:dyDescent="0.25">
      <c r="A1672" s="170" t="s">
        <v>4530</v>
      </c>
      <c r="B1672" s="170" t="s">
        <v>18023</v>
      </c>
      <c r="C1672" s="170" t="s">
        <v>205</v>
      </c>
      <c r="D1672" s="170" t="s">
        <v>1947</v>
      </c>
      <c r="E1672" s="171" t="s">
        <v>32324</v>
      </c>
      <c r="F1672" s="171" t="s">
        <v>35618</v>
      </c>
      <c r="G1672" s="82"/>
      <c r="H1672" s="96">
        <f t="shared" ref="H1672:I1735" si="104">IF(E1672="","",E1672+0)</f>
        <v>13086.85</v>
      </c>
      <c r="I1672" s="96">
        <f t="shared" si="104"/>
        <v>13478.67</v>
      </c>
      <c r="J1672" s="91" t="str">
        <f t="shared" ref="J1672:J1735" si="105">IF(OR(H1672="",I1672=""),"",TRIM(CONCATENATE("Sinapi ",A1672)))</f>
        <v>Sinapi 98028</v>
      </c>
      <c r="K1672" s="91" t="str">
        <f t="shared" ref="K1672:K1735" si="106">TRIM(C1672)</f>
        <v>UN</v>
      </c>
      <c r="L1672" s="166" t="str">
        <f t="shared" ref="L1672:L1735" si="107">IF(OR(RIGHT(IF(AND(K1672&lt;&gt;"H",K1672&lt;&gt;"MES"),RIGHT(B1672,7),""),2)="PS",RIGHT(IF(AND(K1672&lt;&gt;"H",K1672&lt;&gt;"MES"),RIGHT(B1672,7),""),2)="PA",RIGHT(IF(AND(K1672&lt;&gt;"H",K1672&lt;&gt;"MES"),RIGHT(B1672,7),""),2)="PE"),LEFT(IF(AND(K1672&lt;&gt;"H",K1672&lt;&gt;"MES"),RIGHT(B1672,10),""),7),IF(AND(K1672&lt;&gt;"H",K1672&lt;&gt;"MES"),RIGHT(B1672,7),""))</f>
        <v>12/2020</v>
      </c>
      <c r="M1672" s="82"/>
      <c r="N1672" s="82"/>
    </row>
    <row r="1673" spans="1:14" x14ac:dyDescent="0.25">
      <c r="A1673" s="170" t="s">
        <v>4531</v>
      </c>
      <c r="B1673" s="170" t="s">
        <v>12454</v>
      </c>
      <c r="C1673" s="170" t="s">
        <v>385</v>
      </c>
      <c r="D1673" s="170" t="s">
        <v>2067</v>
      </c>
      <c r="E1673" s="171" t="s">
        <v>32325</v>
      </c>
      <c r="F1673" s="171" t="s">
        <v>35619</v>
      </c>
      <c r="G1673" s="82"/>
      <c r="H1673" s="96">
        <f t="shared" si="104"/>
        <v>4140.26</v>
      </c>
      <c r="I1673" s="96">
        <f t="shared" si="104"/>
        <v>4311.09</v>
      </c>
      <c r="J1673" s="91" t="str">
        <f t="shared" si="105"/>
        <v>Sinapi 98029</v>
      </c>
      <c r="K1673" s="91" t="str">
        <f t="shared" si="106"/>
        <v>M</v>
      </c>
      <c r="L1673" s="166" t="str">
        <f t="shared" si="107"/>
        <v>12/2020</v>
      </c>
      <c r="M1673" s="82"/>
      <c r="N1673" s="82"/>
    </row>
    <row r="1674" spans="1:14" x14ac:dyDescent="0.25">
      <c r="A1674" s="170" t="s">
        <v>4532</v>
      </c>
      <c r="B1674" s="170" t="s">
        <v>18024</v>
      </c>
      <c r="C1674" s="170" t="s">
        <v>205</v>
      </c>
      <c r="D1674" s="170" t="s">
        <v>1947</v>
      </c>
      <c r="E1674" s="171" t="s">
        <v>32326</v>
      </c>
      <c r="F1674" s="171" t="s">
        <v>35620</v>
      </c>
      <c r="G1674" s="82"/>
      <c r="H1674" s="96">
        <f t="shared" si="104"/>
        <v>10732.24</v>
      </c>
      <c r="I1674" s="96">
        <f t="shared" si="104"/>
        <v>11044.68</v>
      </c>
      <c r="J1674" s="91" t="str">
        <f t="shared" si="105"/>
        <v>Sinapi 98030</v>
      </c>
      <c r="K1674" s="91" t="str">
        <f t="shared" si="106"/>
        <v>UN</v>
      </c>
      <c r="L1674" s="166" t="str">
        <f t="shared" si="107"/>
        <v>12/2020</v>
      </c>
      <c r="M1674" s="82"/>
      <c r="N1674" s="82"/>
    </row>
    <row r="1675" spans="1:14" x14ac:dyDescent="0.25">
      <c r="A1675" s="170" t="s">
        <v>4533</v>
      </c>
      <c r="B1675" s="170" t="s">
        <v>12455</v>
      </c>
      <c r="C1675" s="170" t="s">
        <v>385</v>
      </c>
      <c r="D1675" s="170" t="s">
        <v>2067</v>
      </c>
      <c r="E1675" s="171" t="s">
        <v>32327</v>
      </c>
      <c r="F1675" s="171" t="s">
        <v>35621</v>
      </c>
      <c r="G1675" s="82"/>
      <c r="H1675" s="96">
        <f t="shared" si="104"/>
        <v>3515.18</v>
      </c>
      <c r="I1675" s="96">
        <f t="shared" si="104"/>
        <v>3660.01</v>
      </c>
      <c r="J1675" s="91" t="str">
        <f t="shared" si="105"/>
        <v>Sinapi 98031</v>
      </c>
      <c r="K1675" s="91" t="str">
        <f t="shared" si="106"/>
        <v>M</v>
      </c>
      <c r="L1675" s="166" t="str">
        <f t="shared" si="107"/>
        <v>12/2020</v>
      </c>
      <c r="M1675" s="82"/>
      <c r="N1675" s="82"/>
    </row>
    <row r="1676" spans="1:14" x14ac:dyDescent="0.25">
      <c r="A1676" s="170" t="s">
        <v>4534</v>
      </c>
      <c r="B1676" s="170" t="s">
        <v>18025</v>
      </c>
      <c r="C1676" s="170" t="s">
        <v>205</v>
      </c>
      <c r="D1676" s="170" t="s">
        <v>1947</v>
      </c>
      <c r="E1676" s="171" t="s">
        <v>32328</v>
      </c>
      <c r="F1676" s="171" t="s">
        <v>35622</v>
      </c>
      <c r="G1676" s="82"/>
      <c r="H1676" s="96">
        <f t="shared" si="104"/>
        <v>12378.84</v>
      </c>
      <c r="I1676" s="96">
        <f t="shared" si="104"/>
        <v>12734.91</v>
      </c>
      <c r="J1676" s="91" t="str">
        <f t="shared" si="105"/>
        <v>Sinapi 98032</v>
      </c>
      <c r="K1676" s="91" t="str">
        <f t="shared" si="106"/>
        <v>UN</v>
      </c>
      <c r="L1676" s="166" t="str">
        <f t="shared" si="107"/>
        <v>12/2020</v>
      </c>
      <c r="M1676" s="82"/>
      <c r="N1676" s="82"/>
    </row>
    <row r="1677" spans="1:14" x14ac:dyDescent="0.25">
      <c r="A1677" s="170" t="s">
        <v>4535</v>
      </c>
      <c r="B1677" s="170" t="s">
        <v>12456</v>
      </c>
      <c r="C1677" s="170" t="s">
        <v>385</v>
      </c>
      <c r="D1677" s="170" t="s">
        <v>2067</v>
      </c>
      <c r="E1677" s="171" t="s">
        <v>32329</v>
      </c>
      <c r="F1677" s="171" t="s">
        <v>35623</v>
      </c>
      <c r="G1677" s="82"/>
      <c r="H1677" s="96">
        <f t="shared" si="104"/>
        <v>3827.75</v>
      </c>
      <c r="I1677" s="96">
        <f t="shared" si="104"/>
        <v>3985.57</v>
      </c>
      <c r="J1677" s="91" t="str">
        <f t="shared" si="105"/>
        <v>Sinapi 98033</v>
      </c>
      <c r="K1677" s="91" t="str">
        <f t="shared" si="106"/>
        <v>M</v>
      </c>
      <c r="L1677" s="166" t="str">
        <f t="shared" si="107"/>
        <v>12/2020</v>
      </c>
      <c r="M1677" s="82"/>
      <c r="N1677" s="82"/>
    </row>
    <row r="1678" spans="1:14" x14ac:dyDescent="0.25">
      <c r="A1678" s="170" t="s">
        <v>4536</v>
      </c>
      <c r="B1678" s="170" t="s">
        <v>18026</v>
      </c>
      <c r="C1678" s="170" t="s">
        <v>205</v>
      </c>
      <c r="D1678" s="170" t="s">
        <v>1947</v>
      </c>
      <c r="E1678" s="171" t="s">
        <v>32330</v>
      </c>
      <c r="F1678" s="171" t="s">
        <v>35624</v>
      </c>
      <c r="G1678" s="82"/>
      <c r="H1678" s="96">
        <f t="shared" si="104"/>
        <v>14025.41</v>
      </c>
      <c r="I1678" s="96">
        <f t="shared" si="104"/>
        <v>14425.11</v>
      </c>
      <c r="J1678" s="91" t="str">
        <f t="shared" si="105"/>
        <v>Sinapi 98034</v>
      </c>
      <c r="K1678" s="91" t="str">
        <f t="shared" si="106"/>
        <v>UN</v>
      </c>
      <c r="L1678" s="166" t="str">
        <f t="shared" si="107"/>
        <v>12/2020</v>
      </c>
      <c r="M1678" s="82"/>
      <c r="N1678" s="82"/>
    </row>
    <row r="1679" spans="1:14" x14ac:dyDescent="0.25">
      <c r="A1679" s="170" t="s">
        <v>4537</v>
      </c>
      <c r="B1679" s="170" t="s">
        <v>12457</v>
      </c>
      <c r="C1679" s="170" t="s">
        <v>385</v>
      </c>
      <c r="D1679" s="170" t="s">
        <v>2067</v>
      </c>
      <c r="E1679" s="171" t="s">
        <v>32325</v>
      </c>
      <c r="F1679" s="171" t="s">
        <v>35619</v>
      </c>
      <c r="G1679" s="82"/>
      <c r="H1679" s="96">
        <f t="shared" si="104"/>
        <v>4140.26</v>
      </c>
      <c r="I1679" s="96">
        <f t="shared" si="104"/>
        <v>4311.09</v>
      </c>
      <c r="J1679" s="91" t="str">
        <f t="shared" si="105"/>
        <v>Sinapi 98035</v>
      </c>
      <c r="K1679" s="91" t="str">
        <f t="shared" si="106"/>
        <v>M</v>
      </c>
      <c r="L1679" s="166" t="str">
        <f t="shared" si="107"/>
        <v>12/2020</v>
      </c>
      <c r="M1679" s="82"/>
      <c r="N1679" s="82"/>
    </row>
    <row r="1680" spans="1:14" x14ac:dyDescent="0.25">
      <c r="A1680" s="170" t="s">
        <v>4538</v>
      </c>
      <c r="B1680" s="170" t="s">
        <v>18027</v>
      </c>
      <c r="C1680" s="170" t="s">
        <v>205</v>
      </c>
      <c r="D1680" s="170" t="s">
        <v>1947</v>
      </c>
      <c r="E1680" s="171" t="s">
        <v>32331</v>
      </c>
      <c r="F1680" s="171" t="s">
        <v>35625</v>
      </c>
      <c r="G1680" s="82"/>
      <c r="H1680" s="96">
        <f t="shared" si="104"/>
        <v>15672.02</v>
      </c>
      <c r="I1680" s="96">
        <f t="shared" si="104"/>
        <v>16115.34</v>
      </c>
      <c r="J1680" s="91" t="str">
        <f t="shared" si="105"/>
        <v>Sinapi 98036</v>
      </c>
      <c r="K1680" s="91" t="str">
        <f t="shared" si="106"/>
        <v>UN</v>
      </c>
      <c r="L1680" s="166" t="str">
        <f t="shared" si="107"/>
        <v>12/2020</v>
      </c>
      <c r="M1680" s="82"/>
      <c r="N1680" s="82"/>
    </row>
    <row r="1681" spans="1:14" x14ac:dyDescent="0.25">
      <c r="A1681" s="170" t="s">
        <v>4539</v>
      </c>
      <c r="B1681" s="170" t="s">
        <v>12458</v>
      </c>
      <c r="C1681" s="170" t="s">
        <v>385</v>
      </c>
      <c r="D1681" s="170" t="s">
        <v>2067</v>
      </c>
      <c r="E1681" s="171" t="s">
        <v>32332</v>
      </c>
      <c r="F1681" s="171" t="s">
        <v>35626</v>
      </c>
      <c r="G1681" s="82"/>
      <c r="H1681" s="96">
        <f t="shared" si="104"/>
        <v>4458.6400000000003</v>
      </c>
      <c r="I1681" s="96">
        <f t="shared" si="104"/>
        <v>4642.68</v>
      </c>
      <c r="J1681" s="91" t="str">
        <f t="shared" si="105"/>
        <v>Sinapi 98037</v>
      </c>
      <c r="K1681" s="91" t="str">
        <f t="shared" si="106"/>
        <v>M</v>
      </c>
      <c r="L1681" s="166" t="str">
        <f t="shared" si="107"/>
        <v>12/2020</v>
      </c>
      <c r="M1681" s="82"/>
      <c r="N1681" s="82"/>
    </row>
    <row r="1682" spans="1:14" x14ac:dyDescent="0.25">
      <c r="A1682" s="170" t="s">
        <v>4540</v>
      </c>
      <c r="B1682" s="170" t="s">
        <v>18028</v>
      </c>
      <c r="C1682" s="170" t="s">
        <v>205</v>
      </c>
      <c r="D1682" s="170" t="s">
        <v>1947</v>
      </c>
      <c r="E1682" s="171" t="s">
        <v>32333</v>
      </c>
      <c r="F1682" s="171" t="s">
        <v>35627</v>
      </c>
      <c r="G1682" s="82"/>
      <c r="H1682" s="96">
        <f t="shared" si="104"/>
        <v>14355.27</v>
      </c>
      <c r="I1682" s="96">
        <f t="shared" si="104"/>
        <v>14760.24</v>
      </c>
      <c r="J1682" s="91" t="str">
        <f t="shared" si="105"/>
        <v>Sinapi 98038</v>
      </c>
      <c r="K1682" s="91" t="str">
        <f t="shared" si="106"/>
        <v>UN</v>
      </c>
      <c r="L1682" s="166" t="str">
        <f t="shared" si="107"/>
        <v>12/2020</v>
      </c>
      <c r="M1682" s="82"/>
      <c r="N1682" s="82"/>
    </row>
    <row r="1683" spans="1:14" x14ac:dyDescent="0.25">
      <c r="A1683" s="170" t="s">
        <v>4541</v>
      </c>
      <c r="B1683" s="170" t="s">
        <v>12459</v>
      </c>
      <c r="C1683" s="170" t="s">
        <v>385</v>
      </c>
      <c r="D1683" s="170" t="s">
        <v>2067</v>
      </c>
      <c r="E1683" s="171" t="s">
        <v>32334</v>
      </c>
      <c r="F1683" s="171" t="s">
        <v>35628</v>
      </c>
      <c r="G1683" s="82"/>
      <c r="H1683" s="96">
        <f t="shared" si="104"/>
        <v>4146.09</v>
      </c>
      <c r="I1683" s="96">
        <f t="shared" si="104"/>
        <v>4317.13</v>
      </c>
      <c r="J1683" s="91" t="str">
        <f t="shared" si="105"/>
        <v>Sinapi 98039</v>
      </c>
      <c r="K1683" s="91" t="str">
        <f t="shared" si="106"/>
        <v>M</v>
      </c>
      <c r="L1683" s="166" t="str">
        <f t="shared" si="107"/>
        <v>12/2020</v>
      </c>
      <c r="M1683" s="82"/>
      <c r="N1683" s="82"/>
    </row>
    <row r="1684" spans="1:14" x14ac:dyDescent="0.25">
      <c r="A1684" s="170" t="s">
        <v>4542</v>
      </c>
      <c r="B1684" s="170" t="s">
        <v>18029</v>
      </c>
      <c r="C1684" s="170" t="s">
        <v>205</v>
      </c>
      <c r="D1684" s="170" t="s">
        <v>1947</v>
      </c>
      <c r="E1684" s="171" t="s">
        <v>32335</v>
      </c>
      <c r="F1684" s="171" t="s">
        <v>35629</v>
      </c>
      <c r="G1684" s="82"/>
      <c r="H1684" s="96">
        <f t="shared" si="104"/>
        <v>16260</v>
      </c>
      <c r="I1684" s="96">
        <f t="shared" si="104"/>
        <v>16713.73</v>
      </c>
      <c r="J1684" s="91" t="str">
        <f t="shared" si="105"/>
        <v>Sinapi 98040</v>
      </c>
      <c r="K1684" s="91" t="str">
        <f t="shared" si="106"/>
        <v>UN</v>
      </c>
      <c r="L1684" s="166" t="str">
        <f t="shared" si="107"/>
        <v>12/2020</v>
      </c>
      <c r="M1684" s="82"/>
      <c r="N1684" s="82"/>
    </row>
    <row r="1685" spans="1:14" x14ac:dyDescent="0.25">
      <c r="A1685" s="170" t="s">
        <v>4543</v>
      </c>
      <c r="B1685" s="170" t="s">
        <v>12460</v>
      </c>
      <c r="C1685" s="170" t="s">
        <v>385</v>
      </c>
      <c r="D1685" s="170" t="s">
        <v>2067</v>
      </c>
      <c r="E1685" s="171" t="s">
        <v>32332</v>
      </c>
      <c r="F1685" s="171" t="s">
        <v>35626</v>
      </c>
      <c r="G1685" s="82"/>
      <c r="H1685" s="96">
        <f t="shared" si="104"/>
        <v>4458.6400000000003</v>
      </c>
      <c r="I1685" s="96">
        <f t="shared" si="104"/>
        <v>4642.68</v>
      </c>
      <c r="J1685" s="91" t="str">
        <f t="shared" si="105"/>
        <v>Sinapi 98041</v>
      </c>
      <c r="K1685" s="91" t="str">
        <f t="shared" si="106"/>
        <v>M</v>
      </c>
      <c r="L1685" s="166" t="str">
        <f t="shared" si="107"/>
        <v>12/2020</v>
      </c>
      <c r="M1685" s="82"/>
      <c r="N1685" s="82"/>
    </row>
    <row r="1686" spans="1:14" x14ac:dyDescent="0.25">
      <c r="A1686" s="170" t="s">
        <v>4544</v>
      </c>
      <c r="B1686" s="170" t="s">
        <v>18030</v>
      </c>
      <c r="C1686" s="170" t="s">
        <v>205</v>
      </c>
      <c r="D1686" s="170" t="s">
        <v>1947</v>
      </c>
      <c r="E1686" s="171" t="s">
        <v>32336</v>
      </c>
      <c r="F1686" s="171" t="s">
        <v>35630</v>
      </c>
      <c r="G1686" s="82"/>
      <c r="H1686" s="96">
        <f t="shared" si="104"/>
        <v>18164.75</v>
      </c>
      <c r="I1686" s="96">
        <f t="shared" si="104"/>
        <v>18667.259999999998</v>
      </c>
      <c r="J1686" s="91" t="str">
        <f t="shared" si="105"/>
        <v>Sinapi 98042</v>
      </c>
      <c r="K1686" s="91" t="str">
        <f t="shared" si="106"/>
        <v>UN</v>
      </c>
      <c r="L1686" s="166" t="str">
        <f t="shared" si="107"/>
        <v>12/2020</v>
      </c>
      <c r="M1686" s="82"/>
      <c r="N1686" s="82"/>
    </row>
    <row r="1687" spans="1:14" x14ac:dyDescent="0.25">
      <c r="A1687" s="170" t="s">
        <v>4545</v>
      </c>
      <c r="B1687" s="170" t="s">
        <v>12461</v>
      </c>
      <c r="C1687" s="170" t="s">
        <v>385</v>
      </c>
      <c r="D1687" s="170" t="s">
        <v>2067</v>
      </c>
      <c r="E1687" s="171" t="s">
        <v>32337</v>
      </c>
      <c r="F1687" s="171" t="s">
        <v>35631</v>
      </c>
      <c r="G1687" s="82"/>
      <c r="H1687" s="96">
        <f t="shared" si="104"/>
        <v>4777.1000000000004</v>
      </c>
      <c r="I1687" s="96">
        <f t="shared" si="104"/>
        <v>4974.38</v>
      </c>
      <c r="J1687" s="91" t="str">
        <f t="shared" si="105"/>
        <v>Sinapi 98043</v>
      </c>
      <c r="K1687" s="91" t="str">
        <f t="shared" si="106"/>
        <v>M</v>
      </c>
      <c r="L1687" s="166" t="str">
        <f t="shared" si="107"/>
        <v>12/2020</v>
      </c>
      <c r="M1687" s="82"/>
      <c r="N1687" s="82"/>
    </row>
    <row r="1688" spans="1:14" x14ac:dyDescent="0.25">
      <c r="A1688" s="170" t="s">
        <v>4546</v>
      </c>
      <c r="B1688" s="170" t="s">
        <v>18031</v>
      </c>
      <c r="C1688" s="170" t="s">
        <v>205</v>
      </c>
      <c r="D1688" s="170" t="s">
        <v>1947</v>
      </c>
      <c r="E1688" s="171" t="s">
        <v>32338</v>
      </c>
      <c r="F1688" s="171" t="s">
        <v>35632</v>
      </c>
      <c r="G1688" s="82"/>
      <c r="H1688" s="96">
        <f t="shared" si="104"/>
        <v>18494.71</v>
      </c>
      <c r="I1688" s="96">
        <f t="shared" si="104"/>
        <v>19002.48</v>
      </c>
      <c r="J1688" s="91" t="str">
        <f t="shared" si="105"/>
        <v>Sinapi 98044</v>
      </c>
      <c r="K1688" s="91" t="str">
        <f t="shared" si="106"/>
        <v>UN</v>
      </c>
      <c r="L1688" s="166" t="str">
        <f t="shared" si="107"/>
        <v>12/2020</v>
      </c>
      <c r="M1688" s="82"/>
      <c r="N1688" s="82"/>
    </row>
    <row r="1689" spans="1:14" x14ac:dyDescent="0.25">
      <c r="A1689" s="170" t="s">
        <v>4547</v>
      </c>
      <c r="B1689" s="170" t="s">
        <v>12462</v>
      </c>
      <c r="C1689" s="170" t="s">
        <v>385</v>
      </c>
      <c r="D1689" s="170" t="s">
        <v>2067</v>
      </c>
      <c r="E1689" s="171" t="s">
        <v>32337</v>
      </c>
      <c r="F1689" s="171" t="s">
        <v>35631</v>
      </c>
      <c r="G1689" s="82"/>
      <c r="H1689" s="96">
        <f t="shared" si="104"/>
        <v>4777.1000000000004</v>
      </c>
      <c r="I1689" s="96">
        <f t="shared" si="104"/>
        <v>4974.38</v>
      </c>
      <c r="J1689" s="91" t="str">
        <f t="shared" si="105"/>
        <v>Sinapi 98045</v>
      </c>
      <c r="K1689" s="91" t="str">
        <f t="shared" si="106"/>
        <v>M</v>
      </c>
      <c r="L1689" s="166" t="str">
        <f t="shared" si="107"/>
        <v>12/2020</v>
      </c>
      <c r="M1689" s="82"/>
      <c r="N1689" s="82"/>
    </row>
    <row r="1690" spans="1:14" x14ac:dyDescent="0.25">
      <c r="A1690" s="170" t="s">
        <v>4548</v>
      </c>
      <c r="B1690" s="170" t="s">
        <v>18032</v>
      </c>
      <c r="C1690" s="170" t="s">
        <v>205</v>
      </c>
      <c r="D1690" s="170" t="s">
        <v>1947</v>
      </c>
      <c r="E1690" s="171" t="s">
        <v>32339</v>
      </c>
      <c r="F1690" s="171" t="s">
        <v>35633</v>
      </c>
      <c r="G1690" s="82"/>
      <c r="H1690" s="96">
        <f t="shared" si="104"/>
        <v>20657.36</v>
      </c>
      <c r="I1690" s="96">
        <f t="shared" si="104"/>
        <v>21219.08</v>
      </c>
      <c r="J1690" s="91" t="str">
        <f t="shared" si="105"/>
        <v>Sinapi 98046</v>
      </c>
      <c r="K1690" s="91" t="str">
        <f t="shared" si="106"/>
        <v>UN</v>
      </c>
      <c r="L1690" s="166" t="str">
        <f t="shared" si="107"/>
        <v>12/2020</v>
      </c>
      <c r="M1690" s="82"/>
      <c r="N1690" s="82"/>
    </row>
    <row r="1691" spans="1:14" x14ac:dyDescent="0.25">
      <c r="A1691" s="170" t="s">
        <v>4549</v>
      </c>
      <c r="B1691" s="170" t="s">
        <v>12463</v>
      </c>
      <c r="C1691" s="170" t="s">
        <v>385</v>
      </c>
      <c r="D1691" s="170" t="s">
        <v>2067</v>
      </c>
      <c r="E1691" s="171" t="s">
        <v>32340</v>
      </c>
      <c r="F1691" s="171" t="s">
        <v>35634</v>
      </c>
      <c r="G1691" s="82"/>
      <c r="H1691" s="96">
        <f t="shared" si="104"/>
        <v>5095.5</v>
      </c>
      <c r="I1691" s="96">
        <f t="shared" si="104"/>
        <v>5305.98</v>
      </c>
      <c r="J1691" s="91" t="str">
        <f t="shared" si="105"/>
        <v>Sinapi 98047</v>
      </c>
      <c r="K1691" s="91" t="str">
        <f t="shared" si="106"/>
        <v>M</v>
      </c>
      <c r="L1691" s="166" t="str">
        <f t="shared" si="107"/>
        <v>12/2020</v>
      </c>
      <c r="M1691" s="82"/>
      <c r="N1691" s="82"/>
    </row>
    <row r="1692" spans="1:14" x14ac:dyDescent="0.25">
      <c r="A1692" s="170" t="s">
        <v>4550</v>
      </c>
      <c r="B1692" s="170" t="s">
        <v>18033</v>
      </c>
      <c r="C1692" s="170" t="s">
        <v>205</v>
      </c>
      <c r="D1692" s="170" t="s">
        <v>1947</v>
      </c>
      <c r="E1692" s="171" t="s">
        <v>32341</v>
      </c>
      <c r="F1692" s="171" t="s">
        <v>35635</v>
      </c>
      <c r="G1692" s="82"/>
      <c r="H1692" s="96">
        <f t="shared" si="104"/>
        <v>23150.12</v>
      </c>
      <c r="I1692" s="96">
        <f t="shared" si="104"/>
        <v>23771</v>
      </c>
      <c r="J1692" s="91" t="str">
        <f t="shared" si="105"/>
        <v>Sinapi 98048</v>
      </c>
      <c r="K1692" s="91" t="str">
        <f t="shared" si="106"/>
        <v>UN</v>
      </c>
      <c r="L1692" s="166" t="str">
        <f t="shared" si="107"/>
        <v>12/2020</v>
      </c>
      <c r="M1692" s="82"/>
      <c r="N1692" s="82"/>
    </row>
    <row r="1693" spans="1:14" x14ac:dyDescent="0.25">
      <c r="A1693" s="170" t="s">
        <v>4551</v>
      </c>
      <c r="B1693" s="170" t="s">
        <v>12464</v>
      </c>
      <c r="C1693" s="170" t="s">
        <v>385</v>
      </c>
      <c r="D1693" s="170" t="s">
        <v>2067</v>
      </c>
      <c r="E1693" s="171" t="s">
        <v>32342</v>
      </c>
      <c r="F1693" s="171" t="s">
        <v>35636</v>
      </c>
      <c r="G1693" s="82"/>
      <c r="H1693" s="96">
        <f t="shared" si="104"/>
        <v>5357.02</v>
      </c>
      <c r="I1693" s="96">
        <f t="shared" si="104"/>
        <v>5578.61</v>
      </c>
      <c r="J1693" s="91" t="str">
        <f t="shared" si="105"/>
        <v>Sinapi 98049</v>
      </c>
      <c r="K1693" s="91" t="str">
        <f t="shared" si="106"/>
        <v>M</v>
      </c>
      <c r="L1693" s="166" t="str">
        <f t="shared" si="107"/>
        <v>12/2020</v>
      </c>
      <c r="M1693" s="82"/>
      <c r="N1693" s="82"/>
    </row>
    <row r="1694" spans="1:14" x14ac:dyDescent="0.25">
      <c r="A1694" s="170" t="s">
        <v>4552</v>
      </c>
      <c r="B1694" s="170" t="s">
        <v>12465</v>
      </c>
      <c r="C1694" s="170" t="s">
        <v>385</v>
      </c>
      <c r="D1694" s="170" t="s">
        <v>1947</v>
      </c>
      <c r="E1694" s="171" t="s">
        <v>32343</v>
      </c>
      <c r="F1694" s="171" t="s">
        <v>35637</v>
      </c>
      <c r="G1694" s="82"/>
      <c r="H1694" s="96">
        <f t="shared" si="104"/>
        <v>298.95</v>
      </c>
      <c r="I1694" s="96">
        <f t="shared" si="104"/>
        <v>301.08999999999997</v>
      </c>
      <c r="J1694" s="91" t="str">
        <f t="shared" si="105"/>
        <v>Sinapi 98050</v>
      </c>
      <c r="K1694" s="91" t="str">
        <f t="shared" si="106"/>
        <v>M</v>
      </c>
      <c r="L1694" s="166" t="str">
        <f t="shared" si="107"/>
        <v>12/2020</v>
      </c>
      <c r="M1694" s="82"/>
      <c r="N1694" s="82"/>
    </row>
    <row r="1695" spans="1:14" x14ac:dyDescent="0.25">
      <c r="A1695" s="170" t="s">
        <v>4553</v>
      </c>
      <c r="B1695" s="170" t="s">
        <v>12466</v>
      </c>
      <c r="C1695" s="170" t="s">
        <v>385</v>
      </c>
      <c r="D1695" s="170" t="s">
        <v>2067</v>
      </c>
      <c r="E1695" s="171" t="s">
        <v>32344</v>
      </c>
      <c r="F1695" s="171" t="s">
        <v>35638</v>
      </c>
      <c r="G1695" s="82"/>
      <c r="H1695" s="96">
        <f t="shared" si="104"/>
        <v>1022.59</v>
      </c>
      <c r="I1695" s="96">
        <f t="shared" si="104"/>
        <v>1069.83</v>
      </c>
      <c r="J1695" s="91" t="str">
        <f t="shared" si="105"/>
        <v>Sinapi 98051</v>
      </c>
      <c r="K1695" s="91" t="str">
        <f t="shared" si="106"/>
        <v>M</v>
      </c>
      <c r="L1695" s="166" t="str">
        <f t="shared" si="107"/>
        <v>12/2020</v>
      </c>
      <c r="M1695" s="82"/>
      <c r="N1695" s="82"/>
    </row>
    <row r="1696" spans="1:14" x14ac:dyDescent="0.25">
      <c r="A1696" s="170" t="s">
        <v>4554</v>
      </c>
      <c r="B1696" s="170" t="s">
        <v>18034</v>
      </c>
      <c r="C1696" s="170" t="s">
        <v>205</v>
      </c>
      <c r="D1696" s="170" t="s">
        <v>1947</v>
      </c>
      <c r="E1696" s="171" t="s">
        <v>32345</v>
      </c>
      <c r="F1696" s="171" t="s">
        <v>35639</v>
      </c>
      <c r="G1696" s="82"/>
      <c r="H1696" s="96">
        <f t="shared" si="104"/>
        <v>2938.98</v>
      </c>
      <c r="I1696" s="96">
        <f t="shared" si="104"/>
        <v>3051.38</v>
      </c>
      <c r="J1696" s="91" t="str">
        <f t="shared" si="105"/>
        <v>Sinapi 98405</v>
      </c>
      <c r="K1696" s="91" t="str">
        <f t="shared" si="106"/>
        <v>UN</v>
      </c>
      <c r="L1696" s="166" t="str">
        <f t="shared" si="107"/>
        <v>12/2020</v>
      </c>
      <c r="M1696" s="82"/>
      <c r="N1696" s="82"/>
    </row>
    <row r="1697" spans="1:14" x14ac:dyDescent="0.25">
      <c r="A1697" s="170" t="s">
        <v>4555</v>
      </c>
      <c r="B1697" s="170" t="s">
        <v>18035</v>
      </c>
      <c r="C1697" s="170" t="s">
        <v>205</v>
      </c>
      <c r="D1697" s="170" t="s">
        <v>1947</v>
      </c>
      <c r="E1697" s="171" t="s">
        <v>32346</v>
      </c>
      <c r="F1697" s="171" t="s">
        <v>35640</v>
      </c>
      <c r="G1697" s="82"/>
      <c r="H1697" s="96">
        <f t="shared" si="104"/>
        <v>7661.58</v>
      </c>
      <c r="I1697" s="96">
        <f t="shared" si="104"/>
        <v>7912.79</v>
      </c>
      <c r="J1697" s="91" t="str">
        <f t="shared" si="105"/>
        <v>Sinapi 98406</v>
      </c>
      <c r="K1697" s="91" t="str">
        <f t="shared" si="106"/>
        <v>UN</v>
      </c>
      <c r="L1697" s="166" t="str">
        <f t="shared" si="107"/>
        <v>12/2020</v>
      </c>
      <c r="M1697" s="82"/>
      <c r="N1697" s="82"/>
    </row>
    <row r="1698" spans="1:14" x14ac:dyDescent="0.25">
      <c r="A1698" s="170" t="s">
        <v>4556</v>
      </c>
      <c r="B1698" s="170" t="s">
        <v>18036</v>
      </c>
      <c r="C1698" s="170" t="s">
        <v>205</v>
      </c>
      <c r="D1698" s="170" t="s">
        <v>1947</v>
      </c>
      <c r="E1698" s="171" t="s">
        <v>32347</v>
      </c>
      <c r="F1698" s="171" t="s">
        <v>35641</v>
      </c>
      <c r="G1698" s="82"/>
      <c r="H1698" s="96">
        <f t="shared" si="104"/>
        <v>5012.88</v>
      </c>
      <c r="I1698" s="96">
        <f t="shared" si="104"/>
        <v>5179.71</v>
      </c>
      <c r="J1698" s="91" t="str">
        <f t="shared" si="105"/>
        <v>Sinapi 98407</v>
      </c>
      <c r="K1698" s="91" t="str">
        <f t="shared" si="106"/>
        <v>UN</v>
      </c>
      <c r="L1698" s="166" t="str">
        <f t="shared" si="107"/>
        <v>12/2020</v>
      </c>
      <c r="M1698" s="82"/>
      <c r="N1698" s="82"/>
    </row>
    <row r="1699" spans="1:14" x14ac:dyDescent="0.25">
      <c r="A1699" s="170" t="s">
        <v>4557</v>
      </c>
      <c r="B1699" s="170" t="s">
        <v>18037</v>
      </c>
      <c r="C1699" s="170" t="s">
        <v>205</v>
      </c>
      <c r="D1699" s="170" t="s">
        <v>1947</v>
      </c>
      <c r="E1699" s="171" t="s">
        <v>32348</v>
      </c>
      <c r="F1699" s="171" t="s">
        <v>35642</v>
      </c>
      <c r="G1699" s="82"/>
      <c r="H1699" s="96">
        <f t="shared" si="104"/>
        <v>5882.02</v>
      </c>
      <c r="I1699" s="96">
        <f t="shared" si="104"/>
        <v>6076.99</v>
      </c>
      <c r="J1699" s="91" t="str">
        <f t="shared" si="105"/>
        <v>Sinapi 98408</v>
      </c>
      <c r="K1699" s="91" t="str">
        <f t="shared" si="106"/>
        <v>UN</v>
      </c>
      <c r="L1699" s="166" t="str">
        <f t="shared" si="107"/>
        <v>12/2020</v>
      </c>
      <c r="M1699" s="82"/>
      <c r="N1699" s="82"/>
    </row>
    <row r="1700" spans="1:14" x14ac:dyDescent="0.25">
      <c r="A1700" s="170" t="s">
        <v>4558</v>
      </c>
      <c r="B1700" s="170" t="s">
        <v>12467</v>
      </c>
      <c r="C1700" s="170" t="s">
        <v>385</v>
      </c>
      <c r="D1700" s="170" t="s">
        <v>1947</v>
      </c>
      <c r="E1700" s="171" t="s">
        <v>32349</v>
      </c>
      <c r="F1700" s="171" t="s">
        <v>35643</v>
      </c>
      <c r="G1700" s="82"/>
      <c r="H1700" s="96">
        <f t="shared" si="104"/>
        <v>409.07</v>
      </c>
      <c r="I1700" s="96">
        <f t="shared" si="104"/>
        <v>412.59</v>
      </c>
      <c r="J1700" s="91" t="str">
        <f t="shared" si="105"/>
        <v>Sinapi 98409</v>
      </c>
      <c r="K1700" s="91" t="str">
        <f t="shared" si="106"/>
        <v>M</v>
      </c>
      <c r="L1700" s="166" t="str">
        <f t="shared" si="107"/>
        <v>12/2020</v>
      </c>
      <c r="M1700" s="82"/>
      <c r="N1700" s="82"/>
    </row>
    <row r="1701" spans="1:14" x14ac:dyDescent="0.25">
      <c r="A1701" s="170" t="s">
        <v>11635</v>
      </c>
      <c r="B1701" s="170" t="s">
        <v>18038</v>
      </c>
      <c r="C1701" s="170" t="s">
        <v>205</v>
      </c>
      <c r="D1701" s="170" t="s">
        <v>1947</v>
      </c>
      <c r="E1701" s="171" t="s">
        <v>32350</v>
      </c>
      <c r="F1701" s="171" t="s">
        <v>35644</v>
      </c>
      <c r="G1701" s="82"/>
      <c r="H1701" s="96">
        <f t="shared" si="104"/>
        <v>1442.84</v>
      </c>
      <c r="I1701" s="96">
        <f t="shared" si="104"/>
        <v>1471</v>
      </c>
      <c r="J1701" s="91" t="str">
        <f t="shared" si="105"/>
        <v>Sinapi 98410</v>
      </c>
      <c r="K1701" s="91" t="str">
        <f t="shared" si="106"/>
        <v>UN</v>
      </c>
      <c r="L1701" s="166" t="str">
        <f t="shared" si="107"/>
        <v>12/2020</v>
      </c>
      <c r="M1701" s="82"/>
      <c r="N1701" s="82"/>
    </row>
    <row r="1702" spans="1:14" x14ac:dyDescent="0.25">
      <c r="A1702" s="170" t="s">
        <v>4559</v>
      </c>
      <c r="B1702" s="170" t="s">
        <v>12468</v>
      </c>
      <c r="C1702" s="170" t="s">
        <v>385</v>
      </c>
      <c r="D1702" s="170" t="s">
        <v>1947</v>
      </c>
      <c r="E1702" s="171" t="s">
        <v>32351</v>
      </c>
      <c r="F1702" s="171" t="s">
        <v>35645</v>
      </c>
      <c r="G1702" s="82"/>
      <c r="H1702" s="96">
        <f t="shared" si="104"/>
        <v>717.15</v>
      </c>
      <c r="I1702" s="96">
        <f t="shared" si="104"/>
        <v>722.04</v>
      </c>
      <c r="J1702" s="91" t="str">
        <f t="shared" si="105"/>
        <v>Sinapi 99240</v>
      </c>
      <c r="K1702" s="91" t="str">
        <f t="shared" si="106"/>
        <v>M</v>
      </c>
      <c r="L1702" s="166" t="str">
        <f t="shared" si="107"/>
        <v>12/2020</v>
      </c>
      <c r="M1702" s="82"/>
      <c r="N1702" s="82"/>
    </row>
    <row r="1703" spans="1:14" x14ac:dyDescent="0.25">
      <c r="A1703" s="170" t="s">
        <v>4560</v>
      </c>
      <c r="B1703" s="170" t="s">
        <v>12469</v>
      </c>
      <c r="C1703" s="170" t="s">
        <v>385</v>
      </c>
      <c r="D1703" s="170" t="s">
        <v>2067</v>
      </c>
      <c r="E1703" s="171" t="s">
        <v>32352</v>
      </c>
      <c r="F1703" s="171" t="s">
        <v>35646</v>
      </c>
      <c r="G1703" s="82"/>
      <c r="H1703" s="96">
        <f t="shared" si="104"/>
        <v>2146.09</v>
      </c>
      <c r="I1703" s="96">
        <f t="shared" si="104"/>
        <v>2237.27</v>
      </c>
      <c r="J1703" s="91" t="str">
        <f t="shared" si="105"/>
        <v>Sinapi 99241</v>
      </c>
      <c r="K1703" s="91" t="str">
        <f t="shared" si="106"/>
        <v>M</v>
      </c>
      <c r="L1703" s="166" t="str">
        <f t="shared" si="107"/>
        <v>12/2020</v>
      </c>
      <c r="M1703" s="82"/>
      <c r="N1703" s="82"/>
    </row>
    <row r="1704" spans="1:14" x14ac:dyDescent="0.25">
      <c r="A1704" s="170" t="s">
        <v>4561</v>
      </c>
      <c r="B1704" s="170" t="s">
        <v>18039</v>
      </c>
      <c r="C1704" s="170" t="s">
        <v>205</v>
      </c>
      <c r="D1704" s="170" t="s">
        <v>1947</v>
      </c>
      <c r="E1704" s="171" t="s">
        <v>32353</v>
      </c>
      <c r="F1704" s="171" t="s">
        <v>35647</v>
      </c>
      <c r="G1704" s="82"/>
      <c r="H1704" s="96">
        <f t="shared" si="104"/>
        <v>3388.79</v>
      </c>
      <c r="I1704" s="96">
        <f t="shared" si="104"/>
        <v>3519.03</v>
      </c>
      <c r="J1704" s="91" t="str">
        <f t="shared" si="105"/>
        <v>Sinapi 99242</v>
      </c>
      <c r="K1704" s="91" t="str">
        <f t="shared" si="106"/>
        <v>UN</v>
      </c>
      <c r="L1704" s="166" t="str">
        <f t="shared" si="107"/>
        <v>12/2020</v>
      </c>
      <c r="M1704" s="82"/>
      <c r="N1704" s="82"/>
    </row>
    <row r="1705" spans="1:14" x14ac:dyDescent="0.25">
      <c r="A1705" s="170" t="s">
        <v>4562</v>
      </c>
      <c r="B1705" s="170" t="s">
        <v>12470</v>
      </c>
      <c r="C1705" s="170" t="s">
        <v>385</v>
      </c>
      <c r="D1705" s="170" t="s">
        <v>2067</v>
      </c>
      <c r="E1705" s="171" t="s">
        <v>32354</v>
      </c>
      <c r="F1705" s="171" t="s">
        <v>35648</v>
      </c>
      <c r="G1705" s="82"/>
      <c r="H1705" s="96">
        <f t="shared" si="104"/>
        <v>1647.86</v>
      </c>
      <c r="I1705" s="96">
        <f t="shared" si="104"/>
        <v>1734.06</v>
      </c>
      <c r="J1705" s="91" t="str">
        <f t="shared" si="105"/>
        <v>Sinapi 99243</v>
      </c>
      <c r="K1705" s="91" t="str">
        <f t="shared" si="106"/>
        <v>M</v>
      </c>
      <c r="L1705" s="166" t="str">
        <f t="shared" si="107"/>
        <v>12/2020</v>
      </c>
      <c r="M1705" s="82"/>
      <c r="N1705" s="82"/>
    </row>
    <row r="1706" spans="1:14" x14ac:dyDescent="0.25">
      <c r="A1706" s="170" t="s">
        <v>4563</v>
      </c>
      <c r="B1706" s="170" t="s">
        <v>18040</v>
      </c>
      <c r="C1706" s="170" t="s">
        <v>205</v>
      </c>
      <c r="D1706" s="170" t="s">
        <v>1947</v>
      </c>
      <c r="E1706" s="171" t="s">
        <v>32355</v>
      </c>
      <c r="F1706" s="171" t="s">
        <v>35649</v>
      </c>
      <c r="G1706" s="82"/>
      <c r="H1706" s="96">
        <f t="shared" si="104"/>
        <v>6169.77</v>
      </c>
      <c r="I1706" s="96">
        <f t="shared" si="104"/>
        <v>6368.53</v>
      </c>
      <c r="J1706" s="91" t="str">
        <f t="shared" si="105"/>
        <v>Sinapi 99244</v>
      </c>
      <c r="K1706" s="91" t="str">
        <f t="shared" si="106"/>
        <v>UN</v>
      </c>
      <c r="L1706" s="166" t="str">
        <f t="shared" si="107"/>
        <v>12/2020</v>
      </c>
      <c r="M1706" s="82"/>
      <c r="N1706" s="82"/>
    </row>
    <row r="1707" spans="1:14" x14ac:dyDescent="0.25">
      <c r="A1707" s="170" t="s">
        <v>4564</v>
      </c>
      <c r="B1707" s="170" t="s">
        <v>12471</v>
      </c>
      <c r="C1707" s="170" t="s">
        <v>385</v>
      </c>
      <c r="D1707" s="170" t="s">
        <v>1947</v>
      </c>
      <c r="E1707" s="171" t="s">
        <v>32356</v>
      </c>
      <c r="F1707" s="171" t="s">
        <v>35650</v>
      </c>
      <c r="G1707" s="82"/>
      <c r="H1707" s="96">
        <f t="shared" si="104"/>
        <v>984.02</v>
      </c>
      <c r="I1707" s="96">
        <f t="shared" si="104"/>
        <v>990.28</v>
      </c>
      <c r="J1707" s="91" t="str">
        <f t="shared" si="105"/>
        <v>Sinapi 99246</v>
      </c>
      <c r="K1707" s="91" t="str">
        <f t="shared" si="106"/>
        <v>M</v>
      </c>
      <c r="L1707" s="166" t="str">
        <f t="shared" si="107"/>
        <v>12/2020</v>
      </c>
      <c r="M1707" s="82"/>
      <c r="N1707" s="82"/>
    </row>
    <row r="1708" spans="1:14" x14ac:dyDescent="0.25">
      <c r="A1708" s="170" t="s">
        <v>4565</v>
      </c>
      <c r="B1708" s="170" t="s">
        <v>12472</v>
      </c>
      <c r="C1708" s="170" t="s">
        <v>385</v>
      </c>
      <c r="D1708" s="170" t="s">
        <v>2067</v>
      </c>
      <c r="E1708" s="171" t="s">
        <v>32357</v>
      </c>
      <c r="F1708" s="171" t="s">
        <v>35651</v>
      </c>
      <c r="G1708" s="82"/>
      <c r="H1708" s="96">
        <f t="shared" si="104"/>
        <v>2446.1799999999998</v>
      </c>
      <c r="I1708" s="96">
        <f t="shared" si="104"/>
        <v>2550.29</v>
      </c>
      <c r="J1708" s="91" t="str">
        <f t="shared" si="105"/>
        <v>Sinapi 99247</v>
      </c>
      <c r="K1708" s="91" t="str">
        <f t="shared" si="106"/>
        <v>M</v>
      </c>
      <c r="L1708" s="166" t="str">
        <f t="shared" si="107"/>
        <v>12/2020</v>
      </c>
      <c r="M1708" s="82"/>
      <c r="N1708" s="82"/>
    </row>
    <row r="1709" spans="1:14" x14ac:dyDescent="0.25">
      <c r="A1709" s="170" t="s">
        <v>4566</v>
      </c>
      <c r="B1709" s="170" t="s">
        <v>18041</v>
      </c>
      <c r="C1709" s="170" t="s">
        <v>205</v>
      </c>
      <c r="D1709" s="170" t="s">
        <v>1947</v>
      </c>
      <c r="E1709" s="171" t="s">
        <v>32358</v>
      </c>
      <c r="F1709" s="171" t="s">
        <v>35652</v>
      </c>
      <c r="G1709" s="82"/>
      <c r="H1709" s="96">
        <f t="shared" si="104"/>
        <v>4367.03</v>
      </c>
      <c r="I1709" s="96">
        <f t="shared" si="104"/>
        <v>4528.41</v>
      </c>
      <c r="J1709" s="91" t="str">
        <f t="shared" si="105"/>
        <v>Sinapi 99248</v>
      </c>
      <c r="K1709" s="91" t="str">
        <f t="shared" si="106"/>
        <v>UN</v>
      </c>
      <c r="L1709" s="166" t="str">
        <f t="shared" si="107"/>
        <v>12/2020</v>
      </c>
      <c r="M1709" s="82"/>
      <c r="N1709" s="82"/>
    </row>
    <row r="1710" spans="1:14" x14ac:dyDescent="0.25">
      <c r="A1710" s="170" t="s">
        <v>4567</v>
      </c>
      <c r="B1710" s="170" t="s">
        <v>12473</v>
      </c>
      <c r="C1710" s="170" t="s">
        <v>385</v>
      </c>
      <c r="D1710" s="170" t="s">
        <v>2067</v>
      </c>
      <c r="E1710" s="171" t="s">
        <v>32359</v>
      </c>
      <c r="F1710" s="171" t="s">
        <v>35653</v>
      </c>
      <c r="G1710" s="82"/>
      <c r="H1710" s="96">
        <f t="shared" si="104"/>
        <v>2002.97</v>
      </c>
      <c r="I1710" s="96">
        <f t="shared" si="104"/>
        <v>2109.06</v>
      </c>
      <c r="J1710" s="91" t="str">
        <f t="shared" si="105"/>
        <v>Sinapi 99249</v>
      </c>
      <c r="K1710" s="91" t="str">
        <f t="shared" si="106"/>
        <v>M</v>
      </c>
      <c r="L1710" s="166" t="str">
        <f t="shared" si="107"/>
        <v>12/2020</v>
      </c>
      <c r="M1710" s="82"/>
      <c r="N1710" s="82"/>
    </row>
    <row r="1711" spans="1:14" x14ac:dyDescent="0.25">
      <c r="A1711" s="170" t="s">
        <v>4568</v>
      </c>
      <c r="B1711" s="170" t="s">
        <v>18042</v>
      </c>
      <c r="C1711" s="170" t="s">
        <v>205</v>
      </c>
      <c r="D1711" s="170" t="s">
        <v>1947</v>
      </c>
      <c r="E1711" s="171" t="s">
        <v>32360</v>
      </c>
      <c r="F1711" s="171" t="s">
        <v>35654</v>
      </c>
      <c r="G1711" s="82"/>
      <c r="H1711" s="96">
        <f t="shared" si="104"/>
        <v>3202.34</v>
      </c>
      <c r="I1711" s="96">
        <f t="shared" si="104"/>
        <v>3312.61</v>
      </c>
      <c r="J1711" s="91" t="str">
        <f t="shared" si="105"/>
        <v>Sinapi 99252</v>
      </c>
      <c r="K1711" s="91" t="str">
        <f t="shared" si="106"/>
        <v>UN</v>
      </c>
      <c r="L1711" s="166" t="str">
        <f t="shared" si="107"/>
        <v>12/2020</v>
      </c>
      <c r="M1711" s="82"/>
      <c r="N1711" s="82"/>
    </row>
    <row r="1712" spans="1:14" x14ac:dyDescent="0.25">
      <c r="A1712" s="170" t="s">
        <v>4569</v>
      </c>
      <c r="B1712" s="170" t="s">
        <v>12474</v>
      </c>
      <c r="C1712" s="170" t="s">
        <v>385</v>
      </c>
      <c r="D1712" s="170" t="s">
        <v>2067</v>
      </c>
      <c r="E1712" s="171" t="s">
        <v>32361</v>
      </c>
      <c r="F1712" s="171" t="s">
        <v>35655</v>
      </c>
      <c r="G1712" s="82"/>
      <c r="H1712" s="96">
        <f t="shared" si="104"/>
        <v>1545.86</v>
      </c>
      <c r="I1712" s="96">
        <f t="shared" si="104"/>
        <v>1611.14</v>
      </c>
      <c r="J1712" s="91" t="str">
        <f t="shared" si="105"/>
        <v>Sinapi 99254</v>
      </c>
      <c r="K1712" s="91" t="str">
        <f t="shared" si="106"/>
        <v>M</v>
      </c>
      <c r="L1712" s="166" t="str">
        <f t="shared" si="107"/>
        <v>12/2020</v>
      </c>
      <c r="M1712" s="82"/>
      <c r="N1712" s="82"/>
    </row>
    <row r="1713" spans="1:14" x14ac:dyDescent="0.25">
      <c r="A1713" s="170" t="s">
        <v>4570</v>
      </c>
      <c r="B1713" s="170" t="s">
        <v>18043</v>
      </c>
      <c r="C1713" s="170" t="s">
        <v>205</v>
      </c>
      <c r="D1713" s="170" t="s">
        <v>1947</v>
      </c>
      <c r="E1713" s="171" t="s">
        <v>32362</v>
      </c>
      <c r="F1713" s="171" t="s">
        <v>35656</v>
      </c>
      <c r="G1713" s="82"/>
      <c r="H1713" s="96">
        <f t="shared" si="104"/>
        <v>7258.3</v>
      </c>
      <c r="I1713" s="96">
        <f t="shared" si="104"/>
        <v>7490.22</v>
      </c>
      <c r="J1713" s="91" t="str">
        <f t="shared" si="105"/>
        <v>Sinapi 99256</v>
      </c>
      <c r="K1713" s="91" t="str">
        <f t="shared" si="106"/>
        <v>UN</v>
      </c>
      <c r="L1713" s="166" t="str">
        <f t="shared" si="107"/>
        <v>12/2020</v>
      </c>
      <c r="M1713" s="82"/>
      <c r="N1713" s="82"/>
    </row>
    <row r="1714" spans="1:14" x14ac:dyDescent="0.25">
      <c r="A1714" s="170" t="s">
        <v>4571</v>
      </c>
      <c r="B1714" s="170" t="s">
        <v>18044</v>
      </c>
      <c r="C1714" s="170" t="s">
        <v>205</v>
      </c>
      <c r="D1714" s="170" t="s">
        <v>1947</v>
      </c>
      <c r="E1714" s="171" t="s">
        <v>32363</v>
      </c>
      <c r="F1714" s="171" t="s">
        <v>35657</v>
      </c>
      <c r="G1714" s="82"/>
      <c r="H1714" s="96">
        <f t="shared" si="104"/>
        <v>4051.54</v>
      </c>
      <c r="I1714" s="96">
        <f t="shared" si="104"/>
        <v>4189.83</v>
      </c>
      <c r="J1714" s="91" t="str">
        <f t="shared" si="105"/>
        <v>Sinapi 99259</v>
      </c>
      <c r="K1714" s="91" t="str">
        <f t="shared" si="106"/>
        <v>UN</v>
      </c>
      <c r="L1714" s="166" t="str">
        <f t="shared" si="107"/>
        <v>12/2020</v>
      </c>
      <c r="M1714" s="82"/>
      <c r="N1714" s="82"/>
    </row>
    <row r="1715" spans="1:14" x14ac:dyDescent="0.25">
      <c r="A1715" s="170" t="s">
        <v>4572</v>
      </c>
      <c r="B1715" s="170" t="s">
        <v>12475</v>
      </c>
      <c r="C1715" s="170" t="s">
        <v>385</v>
      </c>
      <c r="D1715" s="170" t="s">
        <v>2067</v>
      </c>
      <c r="E1715" s="171" t="s">
        <v>32364</v>
      </c>
      <c r="F1715" s="171" t="s">
        <v>35658</v>
      </c>
      <c r="G1715" s="82"/>
      <c r="H1715" s="96">
        <f t="shared" si="104"/>
        <v>1845.95</v>
      </c>
      <c r="I1715" s="96">
        <f t="shared" si="104"/>
        <v>1924.15</v>
      </c>
      <c r="J1715" s="91" t="str">
        <f t="shared" si="105"/>
        <v>Sinapi 99261</v>
      </c>
      <c r="K1715" s="91" t="str">
        <f t="shared" si="106"/>
        <v>M</v>
      </c>
      <c r="L1715" s="166" t="str">
        <f t="shared" si="107"/>
        <v>12/2020</v>
      </c>
      <c r="M1715" s="82"/>
      <c r="N1715" s="82"/>
    </row>
    <row r="1716" spans="1:14" x14ac:dyDescent="0.25">
      <c r="A1716" s="170" t="s">
        <v>4573</v>
      </c>
      <c r="B1716" s="170" t="s">
        <v>12476</v>
      </c>
      <c r="C1716" s="170" t="s">
        <v>385</v>
      </c>
      <c r="D1716" s="170" t="s">
        <v>2067</v>
      </c>
      <c r="E1716" s="171" t="s">
        <v>32365</v>
      </c>
      <c r="F1716" s="171" t="s">
        <v>35659</v>
      </c>
      <c r="G1716" s="82"/>
      <c r="H1716" s="96">
        <f t="shared" si="104"/>
        <v>2746.34</v>
      </c>
      <c r="I1716" s="96">
        <f t="shared" si="104"/>
        <v>2863.39</v>
      </c>
      <c r="J1716" s="91" t="str">
        <f t="shared" si="105"/>
        <v>Sinapi 99263</v>
      </c>
      <c r="K1716" s="91" t="str">
        <f t="shared" si="106"/>
        <v>M</v>
      </c>
      <c r="L1716" s="166" t="str">
        <f t="shared" si="107"/>
        <v>12/2020</v>
      </c>
      <c r="M1716" s="82"/>
      <c r="N1716" s="82"/>
    </row>
    <row r="1717" spans="1:14" x14ac:dyDescent="0.25">
      <c r="A1717" s="170" t="s">
        <v>4574</v>
      </c>
      <c r="B1717" s="170" t="s">
        <v>18045</v>
      </c>
      <c r="C1717" s="170" t="s">
        <v>205</v>
      </c>
      <c r="D1717" s="170" t="s">
        <v>1947</v>
      </c>
      <c r="E1717" s="171" t="s">
        <v>32366</v>
      </c>
      <c r="F1717" s="171" t="s">
        <v>35660</v>
      </c>
      <c r="G1717" s="82"/>
      <c r="H1717" s="96">
        <f t="shared" si="104"/>
        <v>4900.6499999999996</v>
      </c>
      <c r="I1717" s="96">
        <f t="shared" si="104"/>
        <v>5066.96</v>
      </c>
      <c r="J1717" s="91" t="str">
        <f t="shared" si="105"/>
        <v>Sinapi 99265</v>
      </c>
      <c r="K1717" s="91" t="str">
        <f t="shared" si="106"/>
        <v>UN</v>
      </c>
      <c r="L1717" s="166" t="str">
        <f t="shared" si="107"/>
        <v>12/2020</v>
      </c>
      <c r="M1717" s="82"/>
      <c r="N1717" s="82"/>
    </row>
    <row r="1718" spans="1:14" x14ac:dyDescent="0.25">
      <c r="A1718" s="170" t="s">
        <v>4575</v>
      </c>
      <c r="B1718" s="170" t="s">
        <v>12477</v>
      </c>
      <c r="C1718" s="170" t="s">
        <v>385</v>
      </c>
      <c r="D1718" s="170" t="s">
        <v>2067</v>
      </c>
      <c r="E1718" s="171" t="s">
        <v>32352</v>
      </c>
      <c r="F1718" s="171" t="s">
        <v>35646</v>
      </c>
      <c r="G1718" s="82"/>
      <c r="H1718" s="96">
        <f t="shared" si="104"/>
        <v>2146.09</v>
      </c>
      <c r="I1718" s="96">
        <f t="shared" si="104"/>
        <v>2237.27</v>
      </c>
      <c r="J1718" s="91" t="str">
        <f t="shared" si="105"/>
        <v>Sinapi 99266</v>
      </c>
      <c r="K1718" s="91" t="str">
        <f t="shared" si="106"/>
        <v>M</v>
      </c>
      <c r="L1718" s="166" t="str">
        <f t="shared" si="107"/>
        <v>12/2020</v>
      </c>
      <c r="M1718" s="82"/>
      <c r="N1718" s="82"/>
    </row>
    <row r="1719" spans="1:14" x14ac:dyDescent="0.25">
      <c r="A1719" s="170" t="s">
        <v>4576</v>
      </c>
      <c r="B1719" s="170" t="s">
        <v>18046</v>
      </c>
      <c r="C1719" s="170" t="s">
        <v>205</v>
      </c>
      <c r="D1719" s="170" t="s">
        <v>1947</v>
      </c>
      <c r="E1719" s="171" t="s">
        <v>32367</v>
      </c>
      <c r="F1719" s="171" t="s">
        <v>35661</v>
      </c>
      <c r="G1719" s="82"/>
      <c r="H1719" s="96">
        <f t="shared" si="104"/>
        <v>5749.82</v>
      </c>
      <c r="I1719" s="96">
        <f t="shared" si="104"/>
        <v>5944.17</v>
      </c>
      <c r="J1719" s="91" t="str">
        <f t="shared" si="105"/>
        <v>Sinapi 99267</v>
      </c>
      <c r="K1719" s="91" t="str">
        <f t="shared" si="106"/>
        <v>UN</v>
      </c>
      <c r="L1719" s="166" t="str">
        <f t="shared" si="107"/>
        <v>12/2020</v>
      </c>
      <c r="M1719" s="82"/>
      <c r="N1719" s="82"/>
    </row>
    <row r="1720" spans="1:14" x14ac:dyDescent="0.25">
      <c r="A1720" s="170" t="s">
        <v>11636</v>
      </c>
      <c r="B1720" s="170" t="s">
        <v>18047</v>
      </c>
      <c r="C1720" s="170" t="s">
        <v>205</v>
      </c>
      <c r="D1720" s="170" t="s">
        <v>1947</v>
      </c>
      <c r="E1720" s="171" t="s">
        <v>32368</v>
      </c>
      <c r="F1720" s="171" t="s">
        <v>35662</v>
      </c>
      <c r="G1720" s="82"/>
      <c r="H1720" s="96">
        <f t="shared" si="104"/>
        <v>576.36</v>
      </c>
      <c r="I1720" s="96">
        <f t="shared" si="104"/>
        <v>586.99</v>
      </c>
      <c r="J1720" s="91" t="str">
        <f t="shared" si="105"/>
        <v>Sinapi 99268</v>
      </c>
      <c r="K1720" s="91" t="str">
        <f t="shared" si="106"/>
        <v>UN</v>
      </c>
      <c r="L1720" s="166" t="str">
        <f t="shared" si="107"/>
        <v>12/2020</v>
      </c>
      <c r="M1720" s="82"/>
      <c r="N1720" s="82"/>
    </row>
    <row r="1721" spans="1:14" x14ac:dyDescent="0.25">
      <c r="A1721" s="170" t="s">
        <v>4577</v>
      </c>
      <c r="B1721" s="170" t="s">
        <v>12478</v>
      </c>
      <c r="C1721" s="170" t="s">
        <v>385</v>
      </c>
      <c r="D1721" s="170" t="s">
        <v>2067</v>
      </c>
      <c r="E1721" s="171" t="s">
        <v>32357</v>
      </c>
      <c r="F1721" s="171" t="s">
        <v>35651</v>
      </c>
      <c r="G1721" s="82"/>
      <c r="H1721" s="96">
        <f t="shared" si="104"/>
        <v>2446.1799999999998</v>
      </c>
      <c r="I1721" s="96">
        <f t="shared" si="104"/>
        <v>2550.29</v>
      </c>
      <c r="J1721" s="91" t="str">
        <f t="shared" si="105"/>
        <v>Sinapi 99269</v>
      </c>
      <c r="K1721" s="91" t="str">
        <f t="shared" si="106"/>
        <v>M</v>
      </c>
      <c r="L1721" s="166" t="str">
        <f t="shared" si="107"/>
        <v>12/2020</v>
      </c>
      <c r="M1721" s="82"/>
      <c r="N1721" s="82"/>
    </row>
    <row r="1722" spans="1:14" x14ac:dyDescent="0.25">
      <c r="A1722" s="170" t="s">
        <v>11637</v>
      </c>
      <c r="B1722" s="170" t="s">
        <v>18048</v>
      </c>
      <c r="C1722" s="170" t="s">
        <v>205</v>
      </c>
      <c r="D1722" s="170" t="s">
        <v>1947</v>
      </c>
      <c r="E1722" s="171" t="s">
        <v>32369</v>
      </c>
      <c r="F1722" s="171" t="s">
        <v>35663</v>
      </c>
      <c r="G1722" s="82"/>
      <c r="H1722" s="96">
        <f t="shared" si="104"/>
        <v>728.93</v>
      </c>
      <c r="I1722" s="96">
        <f t="shared" si="104"/>
        <v>740.78</v>
      </c>
      <c r="J1722" s="91" t="str">
        <f t="shared" si="105"/>
        <v>Sinapi 99270</v>
      </c>
      <c r="K1722" s="91" t="str">
        <f t="shared" si="106"/>
        <v>UN</v>
      </c>
      <c r="L1722" s="166" t="str">
        <f t="shared" si="107"/>
        <v>12/2020</v>
      </c>
      <c r="M1722" s="82"/>
      <c r="N1722" s="82"/>
    </row>
    <row r="1723" spans="1:14" x14ac:dyDescent="0.25">
      <c r="A1723" s="170" t="s">
        <v>4578</v>
      </c>
      <c r="B1723" s="170" t="s">
        <v>18049</v>
      </c>
      <c r="C1723" s="170" t="s">
        <v>205</v>
      </c>
      <c r="D1723" s="170" t="s">
        <v>1947</v>
      </c>
      <c r="E1723" s="171" t="s">
        <v>32370</v>
      </c>
      <c r="F1723" s="171" t="s">
        <v>35664</v>
      </c>
      <c r="G1723" s="82"/>
      <c r="H1723" s="96">
        <f t="shared" si="104"/>
        <v>8346.75</v>
      </c>
      <c r="I1723" s="96">
        <f t="shared" si="104"/>
        <v>8611.7999999999993</v>
      </c>
      <c r="J1723" s="91" t="str">
        <f t="shared" si="105"/>
        <v>Sinapi 99271</v>
      </c>
      <c r="K1723" s="91" t="str">
        <f t="shared" si="106"/>
        <v>UN</v>
      </c>
      <c r="L1723" s="166" t="str">
        <f t="shared" si="107"/>
        <v>12/2020</v>
      </c>
      <c r="M1723" s="82"/>
      <c r="N1723" s="82"/>
    </row>
    <row r="1724" spans="1:14" x14ac:dyDescent="0.25">
      <c r="A1724" s="170" t="s">
        <v>4579</v>
      </c>
      <c r="B1724" s="170" t="s">
        <v>18050</v>
      </c>
      <c r="C1724" s="170" t="s">
        <v>205</v>
      </c>
      <c r="D1724" s="170" t="s">
        <v>1947</v>
      </c>
      <c r="E1724" s="171" t="s">
        <v>32371</v>
      </c>
      <c r="F1724" s="171" t="s">
        <v>35665</v>
      </c>
      <c r="G1724" s="82"/>
      <c r="H1724" s="96">
        <f t="shared" si="104"/>
        <v>1266.26</v>
      </c>
      <c r="I1724" s="96">
        <f t="shared" si="104"/>
        <v>1316.6</v>
      </c>
      <c r="J1724" s="91" t="str">
        <f t="shared" si="105"/>
        <v>Sinapi 99272</v>
      </c>
      <c r="K1724" s="91" t="str">
        <f t="shared" si="106"/>
        <v>UN</v>
      </c>
      <c r="L1724" s="166" t="str">
        <f t="shared" si="107"/>
        <v>12/2020</v>
      </c>
      <c r="M1724" s="82"/>
      <c r="N1724" s="82"/>
    </row>
    <row r="1725" spans="1:14" x14ac:dyDescent="0.25">
      <c r="A1725" s="170" t="s">
        <v>4580</v>
      </c>
      <c r="B1725" s="170" t="s">
        <v>18051</v>
      </c>
      <c r="C1725" s="170" t="s">
        <v>205</v>
      </c>
      <c r="D1725" s="170" t="s">
        <v>1947</v>
      </c>
      <c r="E1725" s="171" t="s">
        <v>32372</v>
      </c>
      <c r="F1725" s="171" t="s">
        <v>35666</v>
      </c>
      <c r="G1725" s="82"/>
      <c r="H1725" s="96">
        <f t="shared" si="104"/>
        <v>1741.26</v>
      </c>
      <c r="I1725" s="96">
        <f t="shared" si="104"/>
        <v>1815.11</v>
      </c>
      <c r="J1725" s="91" t="str">
        <f t="shared" si="105"/>
        <v>Sinapi 99273</v>
      </c>
      <c r="K1725" s="91" t="str">
        <f t="shared" si="106"/>
        <v>UN</v>
      </c>
      <c r="L1725" s="166" t="str">
        <f t="shared" si="107"/>
        <v>12/2020</v>
      </c>
      <c r="M1725" s="82"/>
      <c r="N1725" s="82"/>
    </row>
    <row r="1726" spans="1:14" x14ac:dyDescent="0.25">
      <c r="A1726" s="170" t="s">
        <v>4581</v>
      </c>
      <c r="B1726" s="170" t="s">
        <v>18052</v>
      </c>
      <c r="C1726" s="170" t="s">
        <v>205</v>
      </c>
      <c r="D1726" s="170" t="s">
        <v>1947</v>
      </c>
      <c r="E1726" s="171" t="s">
        <v>32373</v>
      </c>
      <c r="F1726" s="171" t="s">
        <v>35667</v>
      </c>
      <c r="G1726" s="82"/>
      <c r="H1726" s="96">
        <f t="shared" si="104"/>
        <v>6635.73</v>
      </c>
      <c r="I1726" s="96">
        <f t="shared" si="104"/>
        <v>6858.1</v>
      </c>
      <c r="J1726" s="91" t="str">
        <f t="shared" si="105"/>
        <v>Sinapi 99274</v>
      </c>
      <c r="K1726" s="91" t="str">
        <f t="shared" si="106"/>
        <v>UN</v>
      </c>
      <c r="L1726" s="166" t="str">
        <f t="shared" si="107"/>
        <v>12/2020</v>
      </c>
      <c r="M1726" s="82"/>
      <c r="N1726" s="82"/>
    </row>
    <row r="1727" spans="1:14" x14ac:dyDescent="0.25">
      <c r="A1727" s="170" t="s">
        <v>11638</v>
      </c>
      <c r="B1727" s="170" t="s">
        <v>18053</v>
      </c>
      <c r="C1727" s="170" t="s">
        <v>205</v>
      </c>
      <c r="D1727" s="170" t="s">
        <v>1947</v>
      </c>
      <c r="E1727" s="171" t="s">
        <v>32374</v>
      </c>
      <c r="F1727" s="171" t="s">
        <v>35668</v>
      </c>
      <c r="G1727" s="82"/>
      <c r="H1727" s="96">
        <f t="shared" si="104"/>
        <v>1107.29</v>
      </c>
      <c r="I1727" s="96">
        <f t="shared" si="104"/>
        <v>1134.26</v>
      </c>
      <c r="J1727" s="91" t="str">
        <f t="shared" si="105"/>
        <v>Sinapi 99275</v>
      </c>
      <c r="K1727" s="91" t="str">
        <f t="shared" si="106"/>
        <v>UN</v>
      </c>
      <c r="L1727" s="166" t="str">
        <f t="shared" si="107"/>
        <v>12/2020</v>
      </c>
      <c r="M1727" s="82"/>
      <c r="N1727" s="82"/>
    </row>
    <row r="1728" spans="1:14" x14ac:dyDescent="0.25">
      <c r="A1728" s="170" t="s">
        <v>4582</v>
      </c>
      <c r="B1728" s="170" t="s">
        <v>12479</v>
      </c>
      <c r="C1728" s="170" t="s">
        <v>385</v>
      </c>
      <c r="D1728" s="170" t="s">
        <v>2067</v>
      </c>
      <c r="E1728" s="171" t="s">
        <v>32375</v>
      </c>
      <c r="F1728" s="171" t="s">
        <v>35669</v>
      </c>
      <c r="G1728" s="82"/>
      <c r="H1728" s="96">
        <f t="shared" si="104"/>
        <v>3046.5</v>
      </c>
      <c r="I1728" s="96">
        <f t="shared" si="104"/>
        <v>3176.48</v>
      </c>
      <c r="J1728" s="91" t="str">
        <f t="shared" si="105"/>
        <v>Sinapi 99276</v>
      </c>
      <c r="K1728" s="91" t="str">
        <f t="shared" si="106"/>
        <v>M</v>
      </c>
      <c r="L1728" s="166" t="str">
        <f t="shared" si="107"/>
        <v>12/2020</v>
      </c>
      <c r="M1728" s="82"/>
      <c r="N1728" s="82"/>
    </row>
    <row r="1729" spans="1:14" x14ac:dyDescent="0.25">
      <c r="A1729" s="170" t="s">
        <v>4583</v>
      </c>
      <c r="B1729" s="170" t="s">
        <v>12480</v>
      </c>
      <c r="C1729" s="170" t="s">
        <v>385</v>
      </c>
      <c r="D1729" s="170" t="s">
        <v>2067</v>
      </c>
      <c r="E1729" s="171" t="s">
        <v>32365</v>
      </c>
      <c r="F1729" s="171" t="s">
        <v>35659</v>
      </c>
      <c r="G1729" s="82"/>
      <c r="H1729" s="96">
        <f t="shared" si="104"/>
        <v>2746.34</v>
      </c>
      <c r="I1729" s="96">
        <f t="shared" si="104"/>
        <v>2863.39</v>
      </c>
      <c r="J1729" s="91" t="str">
        <f t="shared" si="105"/>
        <v>Sinapi 99277</v>
      </c>
      <c r="K1729" s="91" t="str">
        <f t="shared" si="106"/>
        <v>M</v>
      </c>
      <c r="L1729" s="166" t="str">
        <f t="shared" si="107"/>
        <v>12/2020</v>
      </c>
      <c r="M1729" s="82"/>
      <c r="N1729" s="82"/>
    </row>
    <row r="1730" spans="1:14" x14ac:dyDescent="0.25">
      <c r="A1730" s="170" t="s">
        <v>4584</v>
      </c>
      <c r="B1730" s="170" t="s">
        <v>12481</v>
      </c>
      <c r="C1730" s="170" t="s">
        <v>385</v>
      </c>
      <c r="D1730" s="170" t="s">
        <v>1947</v>
      </c>
      <c r="E1730" s="171" t="s">
        <v>32376</v>
      </c>
      <c r="F1730" s="171" t="s">
        <v>35670</v>
      </c>
      <c r="G1730" s="82"/>
      <c r="H1730" s="96">
        <f t="shared" si="104"/>
        <v>406.61</v>
      </c>
      <c r="I1730" s="96">
        <f t="shared" si="104"/>
        <v>410.12</v>
      </c>
      <c r="J1730" s="91" t="str">
        <f t="shared" si="105"/>
        <v>Sinapi 99278</v>
      </c>
      <c r="K1730" s="91" t="str">
        <f t="shared" si="106"/>
        <v>M</v>
      </c>
      <c r="L1730" s="166" t="str">
        <f t="shared" si="107"/>
        <v>12/2020</v>
      </c>
      <c r="M1730" s="82"/>
      <c r="N1730" s="82"/>
    </row>
    <row r="1731" spans="1:14" x14ac:dyDescent="0.25">
      <c r="A1731" s="170" t="s">
        <v>4585</v>
      </c>
      <c r="B1731" s="170" t="s">
        <v>18054</v>
      </c>
      <c r="C1731" s="170" t="s">
        <v>205</v>
      </c>
      <c r="D1731" s="170" t="s">
        <v>1947</v>
      </c>
      <c r="E1731" s="171" t="s">
        <v>32377</v>
      </c>
      <c r="F1731" s="171" t="s">
        <v>35671</v>
      </c>
      <c r="G1731" s="82"/>
      <c r="H1731" s="96">
        <f t="shared" si="104"/>
        <v>7489.47</v>
      </c>
      <c r="I1731" s="96">
        <f t="shared" si="104"/>
        <v>7739.88</v>
      </c>
      <c r="J1731" s="91" t="str">
        <f t="shared" si="105"/>
        <v>Sinapi 99279</v>
      </c>
      <c r="K1731" s="91" t="str">
        <f t="shared" si="106"/>
        <v>UN</v>
      </c>
      <c r="L1731" s="166" t="str">
        <f t="shared" si="107"/>
        <v>12/2020</v>
      </c>
      <c r="M1731" s="82"/>
      <c r="N1731" s="82"/>
    </row>
    <row r="1732" spans="1:14" x14ac:dyDescent="0.25">
      <c r="A1732" s="170" t="s">
        <v>4586</v>
      </c>
      <c r="B1732" s="170" t="s">
        <v>18055</v>
      </c>
      <c r="C1732" s="170" t="s">
        <v>205</v>
      </c>
      <c r="D1732" s="170" t="s">
        <v>1947</v>
      </c>
      <c r="E1732" s="171" t="s">
        <v>32378</v>
      </c>
      <c r="F1732" s="171" t="s">
        <v>35672</v>
      </c>
      <c r="G1732" s="82"/>
      <c r="H1732" s="96">
        <f t="shared" si="104"/>
        <v>2292.4699999999998</v>
      </c>
      <c r="I1732" s="96">
        <f t="shared" si="104"/>
        <v>2384.87</v>
      </c>
      <c r="J1732" s="91" t="str">
        <f t="shared" si="105"/>
        <v>Sinapi 99280</v>
      </c>
      <c r="K1732" s="91" t="str">
        <f t="shared" si="106"/>
        <v>UN</v>
      </c>
      <c r="L1732" s="166" t="str">
        <f t="shared" si="107"/>
        <v>12/2020</v>
      </c>
      <c r="M1732" s="82"/>
      <c r="N1732" s="82"/>
    </row>
    <row r="1733" spans="1:14" x14ac:dyDescent="0.25">
      <c r="A1733" s="170" t="s">
        <v>4587</v>
      </c>
      <c r="B1733" s="170" t="s">
        <v>12482</v>
      </c>
      <c r="C1733" s="170" t="s">
        <v>385</v>
      </c>
      <c r="D1733" s="170" t="s">
        <v>2067</v>
      </c>
      <c r="E1733" s="171" t="s">
        <v>32375</v>
      </c>
      <c r="F1733" s="171" t="s">
        <v>35669</v>
      </c>
      <c r="G1733" s="82"/>
      <c r="H1733" s="96">
        <f t="shared" si="104"/>
        <v>3046.5</v>
      </c>
      <c r="I1733" s="96">
        <f t="shared" si="104"/>
        <v>3176.48</v>
      </c>
      <c r="J1733" s="91" t="str">
        <f t="shared" si="105"/>
        <v>Sinapi 99281</v>
      </c>
      <c r="K1733" s="91" t="str">
        <f t="shared" si="106"/>
        <v>M</v>
      </c>
      <c r="L1733" s="166" t="str">
        <f t="shared" si="107"/>
        <v>12/2020</v>
      </c>
      <c r="M1733" s="82"/>
      <c r="N1733" s="82"/>
    </row>
    <row r="1734" spans="1:14" x14ac:dyDescent="0.25">
      <c r="A1734" s="170" t="s">
        <v>4588</v>
      </c>
      <c r="B1734" s="170" t="s">
        <v>12483</v>
      </c>
      <c r="C1734" s="170" t="s">
        <v>385</v>
      </c>
      <c r="D1734" s="170" t="s">
        <v>2067</v>
      </c>
      <c r="E1734" s="171" t="s">
        <v>32379</v>
      </c>
      <c r="F1734" s="171" t="s">
        <v>35673</v>
      </c>
      <c r="G1734" s="82"/>
      <c r="H1734" s="96">
        <f t="shared" si="104"/>
        <v>3375.76</v>
      </c>
      <c r="I1734" s="96">
        <f t="shared" si="104"/>
        <v>3519.95</v>
      </c>
      <c r="J1734" s="91" t="str">
        <f t="shared" si="105"/>
        <v>Sinapi 99282</v>
      </c>
      <c r="K1734" s="91" t="str">
        <f t="shared" si="106"/>
        <v>M</v>
      </c>
      <c r="L1734" s="166" t="str">
        <f t="shared" si="107"/>
        <v>12/2020</v>
      </c>
      <c r="M1734" s="82"/>
      <c r="N1734" s="82"/>
    </row>
    <row r="1735" spans="1:14" x14ac:dyDescent="0.25">
      <c r="A1735" s="170" t="s">
        <v>4589</v>
      </c>
      <c r="B1735" s="170" t="s">
        <v>12484</v>
      </c>
      <c r="C1735" s="170" t="s">
        <v>385</v>
      </c>
      <c r="D1735" s="170" t="s">
        <v>2067</v>
      </c>
      <c r="E1735" s="171" t="s">
        <v>32380</v>
      </c>
      <c r="F1735" s="171" t="s">
        <v>35674</v>
      </c>
      <c r="G1735" s="82"/>
      <c r="H1735" s="96">
        <f t="shared" si="104"/>
        <v>1174.48</v>
      </c>
      <c r="I1735" s="96">
        <f t="shared" si="104"/>
        <v>1234.2</v>
      </c>
      <c r="J1735" s="91" t="str">
        <f t="shared" si="105"/>
        <v>Sinapi 99283</v>
      </c>
      <c r="K1735" s="91" t="str">
        <f t="shared" si="106"/>
        <v>M</v>
      </c>
      <c r="L1735" s="166" t="str">
        <f t="shared" si="107"/>
        <v>12/2020</v>
      </c>
      <c r="M1735" s="82"/>
      <c r="N1735" s="82"/>
    </row>
    <row r="1736" spans="1:14" x14ac:dyDescent="0.25">
      <c r="A1736" s="170" t="s">
        <v>4590</v>
      </c>
      <c r="B1736" s="170" t="s">
        <v>18056</v>
      </c>
      <c r="C1736" s="170" t="s">
        <v>205</v>
      </c>
      <c r="D1736" s="170" t="s">
        <v>1947</v>
      </c>
      <c r="E1736" s="171" t="s">
        <v>32381</v>
      </c>
      <c r="F1736" s="171" t="s">
        <v>35675</v>
      </c>
      <c r="G1736" s="82"/>
      <c r="H1736" s="96">
        <f t="shared" ref="H1736:I1799" si="108">IF(E1736="","",E1736+0)</f>
        <v>9435.36</v>
      </c>
      <c r="I1736" s="96">
        <f t="shared" si="108"/>
        <v>9733.56</v>
      </c>
      <c r="J1736" s="91" t="str">
        <f t="shared" ref="J1736:J1799" si="109">IF(OR(H1736="",I1736=""),"",TRIM(CONCATENATE("Sinapi ",A1736)))</f>
        <v>Sinapi 99284</v>
      </c>
      <c r="K1736" s="91" t="str">
        <f t="shared" ref="K1736:K1799" si="110">TRIM(C1736)</f>
        <v>UN</v>
      </c>
      <c r="L1736" s="166" t="str">
        <f t="shared" ref="L1736:L1799" si="111">IF(OR(RIGHT(IF(AND(K1736&lt;&gt;"H",K1736&lt;&gt;"MES"),RIGHT(B1736,7),""),2)="PS",RIGHT(IF(AND(K1736&lt;&gt;"H",K1736&lt;&gt;"MES"),RIGHT(B1736,7),""),2)="PA",RIGHT(IF(AND(K1736&lt;&gt;"H",K1736&lt;&gt;"MES"),RIGHT(B1736,7),""),2)="PE"),LEFT(IF(AND(K1736&lt;&gt;"H",K1736&lt;&gt;"MES"),RIGHT(B1736,10),""),7),IF(AND(K1736&lt;&gt;"H",K1736&lt;&gt;"MES"),RIGHT(B1736,7),""))</f>
        <v>12/2020</v>
      </c>
      <c r="M1736" s="82"/>
      <c r="N1736" s="82"/>
    </row>
    <row r="1737" spans="1:14" x14ac:dyDescent="0.25">
      <c r="A1737" s="170" t="s">
        <v>11639</v>
      </c>
      <c r="B1737" s="170" t="s">
        <v>18057</v>
      </c>
      <c r="C1737" s="170" t="s">
        <v>205</v>
      </c>
      <c r="D1737" s="170" t="s">
        <v>1947</v>
      </c>
      <c r="E1737" s="171" t="s">
        <v>32382</v>
      </c>
      <c r="F1737" s="171" t="s">
        <v>35676</v>
      </c>
      <c r="G1737" s="82"/>
      <c r="H1737" s="96">
        <f t="shared" si="108"/>
        <v>1433.07</v>
      </c>
      <c r="I1737" s="96">
        <f t="shared" si="108"/>
        <v>1465.64</v>
      </c>
      <c r="J1737" s="91" t="str">
        <f t="shared" si="109"/>
        <v>Sinapi 99285</v>
      </c>
      <c r="K1737" s="91" t="str">
        <f t="shared" si="110"/>
        <v>UN</v>
      </c>
      <c r="L1737" s="166" t="str">
        <f t="shared" si="111"/>
        <v>05/2018</v>
      </c>
      <c r="M1737" s="82"/>
      <c r="N1737" s="82"/>
    </row>
    <row r="1738" spans="1:14" x14ac:dyDescent="0.25">
      <c r="A1738" s="170" t="s">
        <v>4591</v>
      </c>
      <c r="B1738" s="170" t="s">
        <v>18058</v>
      </c>
      <c r="C1738" s="170" t="s">
        <v>205</v>
      </c>
      <c r="D1738" s="170" t="s">
        <v>1947</v>
      </c>
      <c r="E1738" s="171" t="s">
        <v>32383</v>
      </c>
      <c r="F1738" s="171" t="s">
        <v>35677</v>
      </c>
      <c r="G1738" s="82"/>
      <c r="H1738" s="96">
        <f t="shared" si="108"/>
        <v>8343.33</v>
      </c>
      <c r="I1738" s="96">
        <f t="shared" si="108"/>
        <v>8621.73</v>
      </c>
      <c r="J1738" s="91" t="str">
        <f t="shared" si="109"/>
        <v>Sinapi 99286</v>
      </c>
      <c r="K1738" s="91" t="str">
        <f t="shared" si="110"/>
        <v>UN</v>
      </c>
      <c r="L1738" s="166" t="str">
        <f t="shared" si="111"/>
        <v>12/2020</v>
      </c>
      <c r="M1738" s="82"/>
      <c r="N1738" s="82"/>
    </row>
    <row r="1739" spans="1:14" x14ac:dyDescent="0.25">
      <c r="A1739" s="170" t="s">
        <v>4592</v>
      </c>
      <c r="B1739" s="170" t="s">
        <v>18059</v>
      </c>
      <c r="C1739" s="170" t="s">
        <v>205</v>
      </c>
      <c r="D1739" s="170" t="s">
        <v>1947</v>
      </c>
      <c r="E1739" s="171" t="s">
        <v>32384</v>
      </c>
      <c r="F1739" s="171" t="s">
        <v>35678</v>
      </c>
      <c r="G1739" s="82"/>
      <c r="H1739" s="96">
        <f t="shared" si="108"/>
        <v>12106.72</v>
      </c>
      <c r="I1739" s="96">
        <f t="shared" si="108"/>
        <v>12461.53</v>
      </c>
      <c r="J1739" s="91" t="str">
        <f t="shared" si="109"/>
        <v>Sinapi 99287</v>
      </c>
      <c r="K1739" s="91" t="str">
        <f t="shared" si="110"/>
        <v>UN</v>
      </c>
      <c r="L1739" s="166" t="str">
        <f t="shared" si="111"/>
        <v>12/2020</v>
      </c>
      <c r="M1739" s="82"/>
      <c r="N1739" s="82"/>
    </row>
    <row r="1740" spans="1:14" x14ac:dyDescent="0.25">
      <c r="A1740" s="170" t="s">
        <v>4593</v>
      </c>
      <c r="B1740" s="170" t="s">
        <v>12485</v>
      </c>
      <c r="C1740" s="170" t="s">
        <v>385</v>
      </c>
      <c r="D1740" s="170" t="s">
        <v>1947</v>
      </c>
      <c r="E1740" s="171" t="s">
        <v>32385</v>
      </c>
      <c r="F1740" s="171" t="s">
        <v>35679</v>
      </c>
      <c r="G1740" s="82"/>
      <c r="H1740" s="96">
        <f t="shared" si="108"/>
        <v>537.85</v>
      </c>
      <c r="I1740" s="96">
        <f t="shared" si="108"/>
        <v>542.02</v>
      </c>
      <c r="J1740" s="91" t="str">
        <f t="shared" si="109"/>
        <v>Sinapi 99288</v>
      </c>
      <c r="K1740" s="91" t="str">
        <f t="shared" si="110"/>
        <v>M</v>
      </c>
      <c r="L1740" s="166" t="str">
        <f t="shared" si="111"/>
        <v>12/2020</v>
      </c>
      <c r="M1740" s="82"/>
      <c r="N1740" s="82"/>
    </row>
    <row r="1741" spans="1:14" x14ac:dyDescent="0.25">
      <c r="A1741" s="170" t="s">
        <v>4594</v>
      </c>
      <c r="B1741" s="170" t="s">
        <v>12486</v>
      </c>
      <c r="C1741" s="170" t="s">
        <v>385</v>
      </c>
      <c r="D1741" s="170" t="s">
        <v>2067</v>
      </c>
      <c r="E1741" s="171" t="s">
        <v>32386</v>
      </c>
      <c r="F1741" s="171" t="s">
        <v>35680</v>
      </c>
      <c r="G1741" s="82"/>
      <c r="H1741" s="96">
        <f t="shared" si="108"/>
        <v>3346.57</v>
      </c>
      <c r="I1741" s="96">
        <f t="shared" si="108"/>
        <v>3489.49</v>
      </c>
      <c r="J1741" s="91" t="str">
        <f t="shared" si="109"/>
        <v>Sinapi 99289</v>
      </c>
      <c r="K1741" s="91" t="str">
        <f t="shared" si="110"/>
        <v>M</v>
      </c>
      <c r="L1741" s="166" t="str">
        <f t="shared" si="111"/>
        <v>12/2020</v>
      </c>
      <c r="M1741" s="82"/>
      <c r="N1741" s="82"/>
    </row>
    <row r="1742" spans="1:14" x14ac:dyDescent="0.25">
      <c r="A1742" s="170" t="s">
        <v>4595</v>
      </c>
      <c r="B1742" s="170" t="s">
        <v>18060</v>
      </c>
      <c r="C1742" s="170" t="s">
        <v>205</v>
      </c>
      <c r="D1742" s="170" t="s">
        <v>1947</v>
      </c>
      <c r="E1742" s="171" t="s">
        <v>32387</v>
      </c>
      <c r="F1742" s="171" t="s">
        <v>35681</v>
      </c>
      <c r="G1742" s="82"/>
      <c r="H1742" s="96">
        <f t="shared" si="108"/>
        <v>5052.1099999999997</v>
      </c>
      <c r="I1742" s="96">
        <f t="shared" si="108"/>
        <v>5217.72</v>
      </c>
      <c r="J1742" s="91" t="str">
        <f t="shared" si="109"/>
        <v>Sinapi 99290</v>
      </c>
      <c r="K1742" s="91" t="str">
        <f t="shared" si="110"/>
        <v>UN</v>
      </c>
      <c r="L1742" s="166" t="str">
        <f t="shared" si="111"/>
        <v>12/2020</v>
      </c>
      <c r="M1742" s="82"/>
      <c r="N1742" s="82"/>
    </row>
    <row r="1743" spans="1:14" x14ac:dyDescent="0.25">
      <c r="A1743" s="170" t="s">
        <v>4596</v>
      </c>
      <c r="B1743" s="170" t="s">
        <v>12487</v>
      </c>
      <c r="C1743" s="170" t="s">
        <v>385</v>
      </c>
      <c r="D1743" s="170" t="s">
        <v>2067</v>
      </c>
      <c r="E1743" s="171" t="s">
        <v>32386</v>
      </c>
      <c r="F1743" s="171" t="s">
        <v>35680</v>
      </c>
      <c r="G1743" s="82"/>
      <c r="H1743" s="96">
        <f t="shared" si="108"/>
        <v>3346.57</v>
      </c>
      <c r="I1743" s="96">
        <f t="shared" si="108"/>
        <v>3489.49</v>
      </c>
      <c r="J1743" s="91" t="str">
        <f t="shared" si="109"/>
        <v>Sinapi 99291</v>
      </c>
      <c r="K1743" s="91" t="str">
        <f t="shared" si="110"/>
        <v>M</v>
      </c>
      <c r="L1743" s="166" t="str">
        <f t="shared" si="111"/>
        <v>12/2020</v>
      </c>
      <c r="M1743" s="82"/>
      <c r="N1743" s="82"/>
    </row>
    <row r="1744" spans="1:14" x14ac:dyDescent="0.25">
      <c r="A1744" s="170" t="s">
        <v>4597</v>
      </c>
      <c r="B1744" s="170" t="s">
        <v>18061</v>
      </c>
      <c r="C1744" s="170" t="s">
        <v>205</v>
      </c>
      <c r="D1744" s="170" t="s">
        <v>1947</v>
      </c>
      <c r="E1744" s="171" t="s">
        <v>32388</v>
      </c>
      <c r="F1744" s="171" t="s">
        <v>35682</v>
      </c>
      <c r="G1744" s="82"/>
      <c r="H1744" s="96">
        <f t="shared" si="108"/>
        <v>2835.14</v>
      </c>
      <c r="I1744" s="96">
        <f t="shared" si="108"/>
        <v>2947.06</v>
      </c>
      <c r="J1744" s="91" t="str">
        <f t="shared" si="109"/>
        <v>Sinapi 99292</v>
      </c>
      <c r="K1744" s="91" t="str">
        <f t="shared" si="110"/>
        <v>UN</v>
      </c>
      <c r="L1744" s="166" t="str">
        <f t="shared" si="111"/>
        <v>12/2020</v>
      </c>
      <c r="M1744" s="82"/>
      <c r="N1744" s="82"/>
    </row>
    <row r="1745" spans="1:14" x14ac:dyDescent="0.25">
      <c r="A1745" s="170" t="s">
        <v>4598</v>
      </c>
      <c r="B1745" s="170" t="s">
        <v>12488</v>
      </c>
      <c r="C1745" s="170" t="s">
        <v>385</v>
      </c>
      <c r="D1745" s="170" t="s">
        <v>2067</v>
      </c>
      <c r="E1745" s="171" t="s">
        <v>32389</v>
      </c>
      <c r="F1745" s="171" t="s">
        <v>35683</v>
      </c>
      <c r="G1745" s="82"/>
      <c r="H1745" s="96">
        <f t="shared" si="108"/>
        <v>1411.2</v>
      </c>
      <c r="I1745" s="96">
        <f t="shared" si="108"/>
        <v>1484.17</v>
      </c>
      <c r="J1745" s="91" t="str">
        <f t="shared" si="109"/>
        <v>Sinapi 99293</v>
      </c>
      <c r="K1745" s="91" t="str">
        <f t="shared" si="110"/>
        <v>M</v>
      </c>
      <c r="L1745" s="166" t="str">
        <f t="shared" si="111"/>
        <v>12/2020</v>
      </c>
      <c r="M1745" s="82"/>
      <c r="N1745" s="82"/>
    </row>
    <row r="1746" spans="1:14" x14ac:dyDescent="0.25">
      <c r="A1746" s="170" t="s">
        <v>4599</v>
      </c>
      <c r="B1746" s="170" t="s">
        <v>18062</v>
      </c>
      <c r="C1746" s="170" t="s">
        <v>205</v>
      </c>
      <c r="D1746" s="170" t="s">
        <v>1947</v>
      </c>
      <c r="E1746" s="171" t="s">
        <v>32390</v>
      </c>
      <c r="F1746" s="171" t="s">
        <v>35684</v>
      </c>
      <c r="G1746" s="82"/>
      <c r="H1746" s="96">
        <f t="shared" si="108"/>
        <v>10523.84</v>
      </c>
      <c r="I1746" s="96">
        <f t="shared" si="108"/>
        <v>10855.2</v>
      </c>
      <c r="J1746" s="91" t="str">
        <f t="shared" si="109"/>
        <v>Sinapi 99294</v>
      </c>
      <c r="K1746" s="91" t="str">
        <f t="shared" si="110"/>
        <v>UN</v>
      </c>
      <c r="L1746" s="166" t="str">
        <f t="shared" si="111"/>
        <v>12/2020</v>
      </c>
      <c r="M1746" s="82"/>
      <c r="N1746" s="82"/>
    </row>
    <row r="1747" spans="1:14" x14ac:dyDescent="0.25">
      <c r="A1747" s="170" t="s">
        <v>4600</v>
      </c>
      <c r="B1747" s="170" t="s">
        <v>12489</v>
      </c>
      <c r="C1747" s="170" t="s">
        <v>385</v>
      </c>
      <c r="D1747" s="170" t="s">
        <v>2067</v>
      </c>
      <c r="E1747" s="171" t="s">
        <v>32391</v>
      </c>
      <c r="F1747" s="171" t="s">
        <v>35685</v>
      </c>
      <c r="G1747" s="82"/>
      <c r="H1747" s="96">
        <f t="shared" si="108"/>
        <v>3675.86</v>
      </c>
      <c r="I1747" s="96">
        <f t="shared" si="108"/>
        <v>3832.97</v>
      </c>
      <c r="J1747" s="91" t="str">
        <f t="shared" si="109"/>
        <v>Sinapi 99296</v>
      </c>
      <c r="K1747" s="91" t="str">
        <f t="shared" si="110"/>
        <v>M</v>
      </c>
      <c r="L1747" s="166" t="str">
        <f t="shared" si="111"/>
        <v>12/2020</v>
      </c>
      <c r="M1747" s="82"/>
      <c r="N1747" s="82"/>
    </row>
    <row r="1748" spans="1:14" x14ac:dyDescent="0.25">
      <c r="A1748" s="170" t="s">
        <v>4601</v>
      </c>
      <c r="B1748" s="170" t="s">
        <v>12490</v>
      </c>
      <c r="C1748" s="170" t="s">
        <v>385</v>
      </c>
      <c r="D1748" s="170" t="s">
        <v>2067</v>
      </c>
      <c r="E1748" s="171" t="s">
        <v>32392</v>
      </c>
      <c r="F1748" s="171" t="s">
        <v>35686</v>
      </c>
      <c r="G1748" s="82"/>
      <c r="H1748" s="96">
        <f t="shared" si="108"/>
        <v>3670.83</v>
      </c>
      <c r="I1748" s="96">
        <f t="shared" si="108"/>
        <v>3827.72</v>
      </c>
      <c r="J1748" s="91" t="str">
        <f t="shared" si="109"/>
        <v>Sinapi 99297</v>
      </c>
      <c r="K1748" s="91" t="str">
        <f t="shared" si="110"/>
        <v>M</v>
      </c>
      <c r="L1748" s="166" t="str">
        <f t="shared" si="111"/>
        <v>12/2020</v>
      </c>
      <c r="M1748" s="82"/>
      <c r="N1748" s="82"/>
    </row>
    <row r="1749" spans="1:14" x14ac:dyDescent="0.25">
      <c r="A1749" s="170" t="s">
        <v>4602</v>
      </c>
      <c r="B1749" s="170" t="s">
        <v>18063</v>
      </c>
      <c r="C1749" s="170" t="s">
        <v>205</v>
      </c>
      <c r="D1749" s="170" t="s">
        <v>1947</v>
      </c>
      <c r="E1749" s="171" t="s">
        <v>32393</v>
      </c>
      <c r="F1749" s="171" t="s">
        <v>35687</v>
      </c>
      <c r="G1749" s="82"/>
      <c r="H1749" s="96">
        <f t="shared" si="108"/>
        <v>13716.73</v>
      </c>
      <c r="I1749" s="96">
        <f t="shared" si="108"/>
        <v>14115</v>
      </c>
      <c r="J1749" s="91" t="str">
        <f t="shared" si="109"/>
        <v>Sinapi 99298</v>
      </c>
      <c r="K1749" s="91" t="str">
        <f t="shared" si="110"/>
        <v>UN</v>
      </c>
      <c r="L1749" s="166" t="str">
        <f t="shared" si="111"/>
        <v>12/2020</v>
      </c>
      <c r="M1749" s="82"/>
      <c r="N1749" s="82"/>
    </row>
    <row r="1750" spans="1:14" x14ac:dyDescent="0.25">
      <c r="A1750" s="170" t="s">
        <v>4603</v>
      </c>
      <c r="B1750" s="170" t="s">
        <v>12491</v>
      </c>
      <c r="C1750" s="170" t="s">
        <v>385</v>
      </c>
      <c r="D1750" s="170" t="s">
        <v>2067</v>
      </c>
      <c r="E1750" s="171" t="s">
        <v>32394</v>
      </c>
      <c r="F1750" s="171" t="s">
        <v>35688</v>
      </c>
      <c r="G1750" s="82"/>
      <c r="H1750" s="96">
        <f t="shared" si="108"/>
        <v>3975.86</v>
      </c>
      <c r="I1750" s="96">
        <f t="shared" si="108"/>
        <v>4145.93</v>
      </c>
      <c r="J1750" s="91" t="str">
        <f t="shared" si="109"/>
        <v>Sinapi 99299</v>
      </c>
      <c r="K1750" s="91" t="str">
        <f t="shared" si="110"/>
        <v>M</v>
      </c>
      <c r="L1750" s="166" t="str">
        <f t="shared" si="111"/>
        <v>12/2020</v>
      </c>
      <c r="M1750" s="82"/>
      <c r="N1750" s="82"/>
    </row>
    <row r="1751" spans="1:14" x14ac:dyDescent="0.25">
      <c r="A1751" s="170" t="s">
        <v>4604</v>
      </c>
      <c r="B1751" s="170" t="s">
        <v>18064</v>
      </c>
      <c r="C1751" s="170" t="s">
        <v>205</v>
      </c>
      <c r="D1751" s="170" t="s">
        <v>1947</v>
      </c>
      <c r="E1751" s="171" t="s">
        <v>32395</v>
      </c>
      <c r="F1751" s="171" t="s">
        <v>35689</v>
      </c>
      <c r="G1751" s="82"/>
      <c r="H1751" s="96">
        <f t="shared" si="108"/>
        <v>15326.79</v>
      </c>
      <c r="I1751" s="96">
        <f t="shared" si="108"/>
        <v>15768.5</v>
      </c>
      <c r="J1751" s="91" t="str">
        <f t="shared" si="109"/>
        <v>Sinapi 99300</v>
      </c>
      <c r="K1751" s="91" t="str">
        <f t="shared" si="110"/>
        <v>UN</v>
      </c>
      <c r="L1751" s="166" t="str">
        <f t="shared" si="111"/>
        <v>12/2020</v>
      </c>
      <c r="M1751" s="82"/>
      <c r="N1751" s="82"/>
    </row>
    <row r="1752" spans="1:14" x14ac:dyDescent="0.25">
      <c r="A1752" s="170" t="s">
        <v>4605</v>
      </c>
      <c r="B1752" s="170" t="s">
        <v>18065</v>
      </c>
      <c r="C1752" s="170" t="s">
        <v>205</v>
      </c>
      <c r="D1752" s="170" t="s">
        <v>1947</v>
      </c>
      <c r="E1752" s="171" t="s">
        <v>32396</v>
      </c>
      <c r="F1752" s="171" t="s">
        <v>35690</v>
      </c>
      <c r="G1752" s="82"/>
      <c r="H1752" s="96">
        <f t="shared" si="108"/>
        <v>7489.67</v>
      </c>
      <c r="I1752" s="96">
        <f t="shared" si="108"/>
        <v>7727.21</v>
      </c>
      <c r="J1752" s="91" t="str">
        <f t="shared" si="109"/>
        <v>Sinapi 99301</v>
      </c>
      <c r="K1752" s="91" t="str">
        <f t="shared" si="110"/>
        <v>UN</v>
      </c>
      <c r="L1752" s="166" t="str">
        <f t="shared" si="111"/>
        <v>12/2020</v>
      </c>
      <c r="M1752" s="82"/>
      <c r="N1752" s="82"/>
    </row>
    <row r="1753" spans="1:14" x14ac:dyDescent="0.25">
      <c r="A1753" s="170" t="s">
        <v>4606</v>
      </c>
      <c r="B1753" s="170" t="s">
        <v>12492</v>
      </c>
      <c r="C1753" s="170" t="s">
        <v>385</v>
      </c>
      <c r="D1753" s="170" t="s">
        <v>2067</v>
      </c>
      <c r="E1753" s="171" t="s">
        <v>32397</v>
      </c>
      <c r="F1753" s="171" t="s">
        <v>35691</v>
      </c>
      <c r="G1753" s="82"/>
      <c r="H1753" s="96">
        <f t="shared" si="108"/>
        <v>4280.99</v>
      </c>
      <c r="I1753" s="96">
        <f t="shared" si="108"/>
        <v>4464.2</v>
      </c>
      <c r="J1753" s="91" t="str">
        <f t="shared" si="109"/>
        <v>Sinapi 99302</v>
      </c>
      <c r="K1753" s="91" t="str">
        <f t="shared" si="110"/>
        <v>M</v>
      </c>
      <c r="L1753" s="166" t="str">
        <f t="shared" si="111"/>
        <v>12/2020</v>
      </c>
      <c r="M1753" s="82"/>
      <c r="N1753" s="82"/>
    </row>
    <row r="1754" spans="1:14" x14ac:dyDescent="0.25">
      <c r="A1754" s="170" t="s">
        <v>4607</v>
      </c>
      <c r="B1754" s="170" t="s">
        <v>18066</v>
      </c>
      <c r="C1754" s="170" t="s">
        <v>205</v>
      </c>
      <c r="D1754" s="170" t="s">
        <v>1947</v>
      </c>
      <c r="E1754" s="171" t="s">
        <v>32398</v>
      </c>
      <c r="F1754" s="171" t="s">
        <v>35692</v>
      </c>
      <c r="G1754" s="82"/>
      <c r="H1754" s="96">
        <f t="shared" si="108"/>
        <v>14039.61</v>
      </c>
      <c r="I1754" s="96">
        <f t="shared" si="108"/>
        <v>14443.11</v>
      </c>
      <c r="J1754" s="91" t="str">
        <f t="shared" si="109"/>
        <v>Sinapi 99303</v>
      </c>
      <c r="K1754" s="91" t="str">
        <f t="shared" si="110"/>
        <v>UN</v>
      </c>
      <c r="L1754" s="166" t="str">
        <f t="shared" si="111"/>
        <v>12/2020</v>
      </c>
      <c r="M1754" s="82"/>
      <c r="N1754" s="82"/>
    </row>
    <row r="1755" spans="1:14" x14ac:dyDescent="0.25">
      <c r="A1755" s="170" t="s">
        <v>4608</v>
      </c>
      <c r="B1755" s="170" t="s">
        <v>12493</v>
      </c>
      <c r="C1755" s="170" t="s">
        <v>385</v>
      </c>
      <c r="D1755" s="170" t="s">
        <v>2067</v>
      </c>
      <c r="E1755" s="171" t="s">
        <v>32399</v>
      </c>
      <c r="F1755" s="171" t="s">
        <v>35693</v>
      </c>
      <c r="G1755" s="82"/>
      <c r="H1755" s="96">
        <f t="shared" si="108"/>
        <v>3980.91</v>
      </c>
      <c r="I1755" s="96">
        <f t="shared" si="108"/>
        <v>4151.1899999999996</v>
      </c>
      <c r="J1755" s="91" t="str">
        <f t="shared" si="109"/>
        <v>Sinapi 99304</v>
      </c>
      <c r="K1755" s="91" t="str">
        <f t="shared" si="110"/>
        <v>M</v>
      </c>
      <c r="L1755" s="166" t="str">
        <f t="shared" si="111"/>
        <v>12/2020</v>
      </c>
      <c r="M1755" s="82"/>
      <c r="N1755" s="82"/>
    </row>
    <row r="1756" spans="1:14" x14ac:dyDescent="0.25">
      <c r="A1756" s="170" t="s">
        <v>4609</v>
      </c>
      <c r="B1756" s="170" t="s">
        <v>18067</v>
      </c>
      <c r="C1756" s="170" t="s">
        <v>205</v>
      </c>
      <c r="D1756" s="170" t="s">
        <v>1947</v>
      </c>
      <c r="E1756" s="171" t="s">
        <v>32400</v>
      </c>
      <c r="F1756" s="171" t="s">
        <v>35694</v>
      </c>
      <c r="G1756" s="82"/>
      <c r="H1756" s="96">
        <f t="shared" si="108"/>
        <v>15902.44</v>
      </c>
      <c r="I1756" s="96">
        <f t="shared" si="108"/>
        <v>16354.51</v>
      </c>
      <c r="J1756" s="91" t="str">
        <f t="shared" si="109"/>
        <v>Sinapi 99305</v>
      </c>
      <c r="K1756" s="91" t="str">
        <f t="shared" si="110"/>
        <v>UN</v>
      </c>
      <c r="L1756" s="166" t="str">
        <f t="shared" si="111"/>
        <v>12/2020</v>
      </c>
      <c r="M1756" s="82"/>
      <c r="N1756" s="82"/>
    </row>
    <row r="1757" spans="1:14" x14ac:dyDescent="0.25">
      <c r="A1757" s="170" t="s">
        <v>4610</v>
      </c>
      <c r="B1757" s="170" t="s">
        <v>12494</v>
      </c>
      <c r="C1757" s="170" t="s">
        <v>385</v>
      </c>
      <c r="D1757" s="170" t="s">
        <v>2067</v>
      </c>
      <c r="E1757" s="171" t="s">
        <v>32397</v>
      </c>
      <c r="F1757" s="171" t="s">
        <v>35691</v>
      </c>
      <c r="G1757" s="82"/>
      <c r="H1757" s="96">
        <f t="shared" si="108"/>
        <v>4280.99</v>
      </c>
      <c r="I1757" s="96">
        <f t="shared" si="108"/>
        <v>4464.2</v>
      </c>
      <c r="J1757" s="91" t="str">
        <f t="shared" si="109"/>
        <v>Sinapi 99306</v>
      </c>
      <c r="K1757" s="91" t="str">
        <f t="shared" si="110"/>
        <v>M</v>
      </c>
      <c r="L1757" s="166" t="str">
        <f t="shared" si="111"/>
        <v>12/2020</v>
      </c>
      <c r="M1757" s="82"/>
      <c r="N1757" s="82"/>
    </row>
    <row r="1758" spans="1:14" x14ac:dyDescent="0.25">
      <c r="A1758" s="170" t="s">
        <v>4611</v>
      </c>
      <c r="B1758" s="170" t="s">
        <v>12495</v>
      </c>
      <c r="C1758" s="170" t="s">
        <v>385</v>
      </c>
      <c r="D1758" s="170" t="s">
        <v>2067</v>
      </c>
      <c r="E1758" s="171" t="s">
        <v>32401</v>
      </c>
      <c r="F1758" s="171" t="s">
        <v>35695</v>
      </c>
      <c r="G1758" s="82"/>
      <c r="H1758" s="96">
        <f t="shared" si="108"/>
        <v>2770.5</v>
      </c>
      <c r="I1758" s="96">
        <f t="shared" si="108"/>
        <v>2888.58</v>
      </c>
      <c r="J1758" s="91" t="str">
        <f t="shared" si="109"/>
        <v>Sinapi 99307</v>
      </c>
      <c r="K1758" s="91" t="str">
        <f t="shared" si="110"/>
        <v>M</v>
      </c>
      <c r="L1758" s="166" t="str">
        <f t="shared" si="111"/>
        <v>12/2020</v>
      </c>
      <c r="M1758" s="82"/>
      <c r="N1758" s="82"/>
    </row>
    <row r="1759" spans="1:14" x14ac:dyDescent="0.25">
      <c r="A1759" s="170" t="s">
        <v>4612</v>
      </c>
      <c r="B1759" s="170" t="s">
        <v>18068</v>
      </c>
      <c r="C1759" s="170" t="s">
        <v>205</v>
      </c>
      <c r="D1759" s="170" t="s">
        <v>1947</v>
      </c>
      <c r="E1759" s="171" t="s">
        <v>32402</v>
      </c>
      <c r="F1759" s="171" t="s">
        <v>35696</v>
      </c>
      <c r="G1759" s="82"/>
      <c r="H1759" s="96">
        <f t="shared" si="108"/>
        <v>17765.310000000001</v>
      </c>
      <c r="I1759" s="96">
        <f t="shared" si="108"/>
        <v>18265.96</v>
      </c>
      <c r="J1759" s="91" t="str">
        <f t="shared" si="109"/>
        <v>Sinapi 99308</v>
      </c>
      <c r="K1759" s="91" t="str">
        <f t="shared" si="110"/>
        <v>UN</v>
      </c>
      <c r="L1759" s="166" t="str">
        <f t="shared" si="111"/>
        <v>12/2020</v>
      </c>
      <c r="M1759" s="82"/>
      <c r="N1759" s="82"/>
    </row>
    <row r="1760" spans="1:14" x14ac:dyDescent="0.25">
      <c r="A1760" s="170" t="s">
        <v>4613</v>
      </c>
      <c r="B1760" s="170" t="s">
        <v>12496</v>
      </c>
      <c r="C1760" s="170" t="s">
        <v>385</v>
      </c>
      <c r="D1760" s="170" t="s">
        <v>2067</v>
      </c>
      <c r="E1760" s="171" t="s">
        <v>32403</v>
      </c>
      <c r="F1760" s="171" t="s">
        <v>35697</v>
      </c>
      <c r="G1760" s="82"/>
      <c r="H1760" s="96">
        <f t="shared" si="108"/>
        <v>4586.17</v>
      </c>
      <c r="I1760" s="96">
        <f t="shared" si="108"/>
        <v>4782.55</v>
      </c>
      <c r="J1760" s="91" t="str">
        <f t="shared" si="109"/>
        <v>Sinapi 99309</v>
      </c>
      <c r="K1760" s="91" t="str">
        <f t="shared" si="110"/>
        <v>M</v>
      </c>
      <c r="L1760" s="166" t="str">
        <f t="shared" si="111"/>
        <v>12/2020</v>
      </c>
      <c r="M1760" s="82"/>
      <c r="N1760" s="82"/>
    </row>
    <row r="1761" spans="1:14" x14ac:dyDescent="0.25">
      <c r="A1761" s="170" t="s">
        <v>4614</v>
      </c>
      <c r="B1761" s="170" t="s">
        <v>18069</v>
      </c>
      <c r="C1761" s="170" t="s">
        <v>205</v>
      </c>
      <c r="D1761" s="170" t="s">
        <v>1947</v>
      </c>
      <c r="E1761" s="171" t="s">
        <v>32404</v>
      </c>
      <c r="F1761" s="171" t="s">
        <v>35698</v>
      </c>
      <c r="G1761" s="82"/>
      <c r="H1761" s="96">
        <f t="shared" si="108"/>
        <v>18088.259999999998</v>
      </c>
      <c r="I1761" s="96">
        <f t="shared" si="108"/>
        <v>18594.14</v>
      </c>
      <c r="J1761" s="91" t="str">
        <f t="shared" si="109"/>
        <v>Sinapi 99310</v>
      </c>
      <c r="K1761" s="91" t="str">
        <f t="shared" si="110"/>
        <v>UN</v>
      </c>
      <c r="L1761" s="166" t="str">
        <f t="shared" si="111"/>
        <v>12/2020</v>
      </c>
      <c r="M1761" s="82"/>
      <c r="N1761" s="82"/>
    </row>
    <row r="1762" spans="1:14" x14ac:dyDescent="0.25">
      <c r="A1762" s="170" t="s">
        <v>4615</v>
      </c>
      <c r="B1762" s="170" t="s">
        <v>12497</v>
      </c>
      <c r="C1762" s="170" t="s">
        <v>385</v>
      </c>
      <c r="D1762" s="170" t="s">
        <v>2067</v>
      </c>
      <c r="E1762" s="171" t="s">
        <v>32403</v>
      </c>
      <c r="F1762" s="171" t="s">
        <v>35697</v>
      </c>
      <c r="G1762" s="82"/>
      <c r="H1762" s="96">
        <f t="shared" si="108"/>
        <v>4586.17</v>
      </c>
      <c r="I1762" s="96">
        <f t="shared" si="108"/>
        <v>4782.55</v>
      </c>
      <c r="J1762" s="91" t="str">
        <f t="shared" si="109"/>
        <v>Sinapi 99311</v>
      </c>
      <c r="K1762" s="91" t="str">
        <f t="shared" si="110"/>
        <v>M</v>
      </c>
      <c r="L1762" s="166" t="str">
        <f t="shared" si="111"/>
        <v>12/2020</v>
      </c>
      <c r="M1762" s="82"/>
      <c r="N1762" s="82"/>
    </row>
    <row r="1763" spans="1:14" x14ac:dyDescent="0.25">
      <c r="A1763" s="170" t="s">
        <v>4616</v>
      </c>
      <c r="B1763" s="170" t="s">
        <v>18070</v>
      </c>
      <c r="C1763" s="170" t="s">
        <v>205</v>
      </c>
      <c r="D1763" s="170" t="s">
        <v>1947</v>
      </c>
      <c r="E1763" s="171" t="s">
        <v>32405</v>
      </c>
      <c r="F1763" s="171" t="s">
        <v>35699</v>
      </c>
      <c r="G1763" s="82"/>
      <c r="H1763" s="96">
        <f t="shared" si="108"/>
        <v>8797.01</v>
      </c>
      <c r="I1763" s="96">
        <f t="shared" si="108"/>
        <v>9072.7800000000007</v>
      </c>
      <c r="J1763" s="91" t="str">
        <f t="shared" si="109"/>
        <v>Sinapi 99312</v>
      </c>
      <c r="K1763" s="91" t="str">
        <f t="shared" si="110"/>
        <v>UN</v>
      </c>
      <c r="L1763" s="166" t="str">
        <f t="shared" si="111"/>
        <v>12/2020</v>
      </c>
      <c r="M1763" s="82"/>
      <c r="N1763" s="82"/>
    </row>
    <row r="1764" spans="1:14" x14ac:dyDescent="0.25">
      <c r="A1764" s="170" t="s">
        <v>4617</v>
      </c>
      <c r="B1764" s="170" t="s">
        <v>18071</v>
      </c>
      <c r="C1764" s="170" t="s">
        <v>205</v>
      </c>
      <c r="D1764" s="170" t="s">
        <v>1947</v>
      </c>
      <c r="E1764" s="171" t="s">
        <v>32406</v>
      </c>
      <c r="F1764" s="171" t="s">
        <v>35700</v>
      </c>
      <c r="G1764" s="82"/>
      <c r="H1764" s="96">
        <f t="shared" si="108"/>
        <v>20203.71</v>
      </c>
      <c r="I1764" s="96">
        <f t="shared" si="108"/>
        <v>20763.310000000001</v>
      </c>
      <c r="J1764" s="91" t="str">
        <f t="shared" si="109"/>
        <v>Sinapi 99313</v>
      </c>
      <c r="K1764" s="91" t="str">
        <f t="shared" si="110"/>
        <v>UN</v>
      </c>
      <c r="L1764" s="166" t="str">
        <f t="shared" si="111"/>
        <v>12/2020</v>
      </c>
      <c r="M1764" s="82"/>
      <c r="N1764" s="82"/>
    </row>
    <row r="1765" spans="1:14" x14ac:dyDescent="0.25">
      <c r="A1765" s="170" t="s">
        <v>4618</v>
      </c>
      <c r="B1765" s="170" t="s">
        <v>12498</v>
      </c>
      <c r="C1765" s="170" t="s">
        <v>385</v>
      </c>
      <c r="D1765" s="170" t="s">
        <v>2067</v>
      </c>
      <c r="E1765" s="171" t="s">
        <v>32407</v>
      </c>
      <c r="F1765" s="171" t="s">
        <v>35701</v>
      </c>
      <c r="G1765" s="82"/>
      <c r="H1765" s="96">
        <f t="shared" si="108"/>
        <v>4891.3</v>
      </c>
      <c r="I1765" s="96">
        <f t="shared" si="108"/>
        <v>5100.83</v>
      </c>
      <c r="J1765" s="91" t="str">
        <f t="shared" si="109"/>
        <v>Sinapi 99314</v>
      </c>
      <c r="K1765" s="91" t="str">
        <f t="shared" si="110"/>
        <v>M</v>
      </c>
      <c r="L1765" s="166" t="str">
        <f t="shared" si="111"/>
        <v>12/2020</v>
      </c>
      <c r="M1765" s="82"/>
      <c r="N1765" s="82"/>
    </row>
    <row r="1766" spans="1:14" x14ac:dyDescent="0.25">
      <c r="A1766" s="170" t="s">
        <v>4619</v>
      </c>
      <c r="B1766" s="170" t="s">
        <v>18072</v>
      </c>
      <c r="C1766" s="170" t="s">
        <v>205</v>
      </c>
      <c r="D1766" s="170" t="s">
        <v>1947</v>
      </c>
      <c r="E1766" s="171" t="s">
        <v>32408</v>
      </c>
      <c r="F1766" s="171" t="s">
        <v>35702</v>
      </c>
      <c r="G1766" s="82"/>
      <c r="H1766" s="96">
        <f t="shared" si="108"/>
        <v>22642.26</v>
      </c>
      <c r="I1766" s="96">
        <f t="shared" si="108"/>
        <v>23260.77</v>
      </c>
      <c r="J1766" s="91" t="str">
        <f t="shared" si="109"/>
        <v>Sinapi 99315</v>
      </c>
      <c r="K1766" s="91" t="str">
        <f t="shared" si="110"/>
        <v>UN</v>
      </c>
      <c r="L1766" s="166" t="str">
        <f t="shared" si="111"/>
        <v>12/2020</v>
      </c>
      <c r="M1766" s="82"/>
      <c r="N1766" s="82"/>
    </row>
    <row r="1767" spans="1:14" x14ac:dyDescent="0.25">
      <c r="A1767" s="170" t="s">
        <v>4620</v>
      </c>
      <c r="B1767" s="170" t="s">
        <v>12499</v>
      </c>
      <c r="C1767" s="170" t="s">
        <v>385</v>
      </c>
      <c r="D1767" s="170" t="s">
        <v>2067</v>
      </c>
      <c r="E1767" s="171" t="s">
        <v>32409</v>
      </c>
      <c r="F1767" s="171" t="s">
        <v>35703</v>
      </c>
      <c r="G1767" s="82"/>
      <c r="H1767" s="96">
        <f t="shared" si="108"/>
        <v>3070.58</v>
      </c>
      <c r="I1767" s="96">
        <f t="shared" si="108"/>
        <v>3201.59</v>
      </c>
      <c r="J1767" s="91" t="str">
        <f t="shared" si="109"/>
        <v>Sinapi 99317</v>
      </c>
      <c r="K1767" s="91" t="str">
        <f t="shared" si="110"/>
        <v>M</v>
      </c>
      <c r="L1767" s="166" t="str">
        <f t="shared" si="111"/>
        <v>12/2020</v>
      </c>
      <c r="M1767" s="82"/>
      <c r="N1767" s="82"/>
    </row>
    <row r="1768" spans="1:14" x14ac:dyDescent="0.25">
      <c r="A1768" s="170" t="s">
        <v>4621</v>
      </c>
      <c r="B1768" s="170" t="s">
        <v>12500</v>
      </c>
      <c r="C1768" s="170" t="s">
        <v>385</v>
      </c>
      <c r="D1768" s="170" t="s">
        <v>1947</v>
      </c>
      <c r="E1768" s="171" t="s">
        <v>32410</v>
      </c>
      <c r="F1768" s="171" t="s">
        <v>35704</v>
      </c>
      <c r="G1768" s="82"/>
      <c r="H1768" s="96">
        <f t="shared" si="108"/>
        <v>297.85000000000002</v>
      </c>
      <c r="I1768" s="96">
        <f t="shared" si="108"/>
        <v>299.98</v>
      </c>
      <c r="J1768" s="91" t="str">
        <f t="shared" si="109"/>
        <v>Sinapi 99318</v>
      </c>
      <c r="K1768" s="91" t="str">
        <f t="shared" si="110"/>
        <v>M</v>
      </c>
      <c r="L1768" s="166" t="str">
        <f t="shared" si="111"/>
        <v>12/2020</v>
      </c>
      <c r="M1768" s="82"/>
      <c r="N1768" s="82"/>
    </row>
    <row r="1769" spans="1:14" x14ac:dyDescent="0.25">
      <c r="A1769" s="170" t="s">
        <v>4622</v>
      </c>
      <c r="B1769" s="170" t="s">
        <v>12501</v>
      </c>
      <c r="C1769" s="170" t="s">
        <v>385</v>
      </c>
      <c r="D1769" s="170" t="s">
        <v>2067</v>
      </c>
      <c r="E1769" s="171" t="s">
        <v>32411</v>
      </c>
      <c r="F1769" s="171" t="s">
        <v>35705</v>
      </c>
      <c r="G1769" s="82"/>
      <c r="H1769" s="96">
        <f t="shared" si="108"/>
        <v>950.07</v>
      </c>
      <c r="I1769" s="96">
        <f t="shared" si="108"/>
        <v>996.98</v>
      </c>
      <c r="J1769" s="91" t="str">
        <f t="shared" si="109"/>
        <v>Sinapi 99319</v>
      </c>
      <c r="K1769" s="91" t="str">
        <f t="shared" si="110"/>
        <v>M</v>
      </c>
      <c r="L1769" s="166" t="str">
        <f t="shared" si="111"/>
        <v>12/2020</v>
      </c>
      <c r="M1769" s="82"/>
      <c r="N1769" s="82"/>
    </row>
    <row r="1770" spans="1:14" x14ac:dyDescent="0.25">
      <c r="A1770" s="170" t="s">
        <v>4623</v>
      </c>
      <c r="B1770" s="170" t="s">
        <v>18073</v>
      </c>
      <c r="C1770" s="170" t="s">
        <v>205</v>
      </c>
      <c r="D1770" s="170" t="s">
        <v>1947</v>
      </c>
      <c r="E1770" s="171" t="s">
        <v>32412</v>
      </c>
      <c r="F1770" s="171" t="s">
        <v>35706</v>
      </c>
      <c r="G1770" s="82"/>
      <c r="H1770" s="96">
        <f t="shared" si="108"/>
        <v>10168.86</v>
      </c>
      <c r="I1770" s="96">
        <f t="shared" si="108"/>
        <v>10482.879999999999</v>
      </c>
      <c r="J1770" s="91" t="str">
        <f t="shared" si="109"/>
        <v>Sinapi 99320</v>
      </c>
      <c r="K1770" s="91" t="str">
        <f t="shared" si="110"/>
        <v>UN</v>
      </c>
      <c r="L1770" s="166" t="str">
        <f t="shared" si="111"/>
        <v>12/2020</v>
      </c>
      <c r="M1770" s="82"/>
      <c r="N1770" s="82"/>
    </row>
    <row r="1771" spans="1:14" x14ac:dyDescent="0.25">
      <c r="A1771" s="170" t="s">
        <v>4624</v>
      </c>
      <c r="B1771" s="170" t="s">
        <v>12502</v>
      </c>
      <c r="C1771" s="170" t="s">
        <v>385</v>
      </c>
      <c r="D1771" s="170" t="s">
        <v>2067</v>
      </c>
      <c r="E1771" s="171" t="s">
        <v>32413</v>
      </c>
      <c r="F1771" s="171" t="s">
        <v>35707</v>
      </c>
      <c r="G1771" s="82"/>
      <c r="H1771" s="96">
        <f t="shared" si="108"/>
        <v>3370.74</v>
      </c>
      <c r="I1771" s="96">
        <f t="shared" si="108"/>
        <v>3514.69</v>
      </c>
      <c r="J1771" s="91" t="str">
        <f t="shared" si="109"/>
        <v>Sinapi 99321</v>
      </c>
      <c r="K1771" s="91" t="str">
        <f t="shared" si="110"/>
        <v>M</v>
      </c>
      <c r="L1771" s="166" t="str">
        <f t="shared" si="111"/>
        <v>12/2020</v>
      </c>
      <c r="M1771" s="82"/>
      <c r="N1771" s="82"/>
    </row>
    <row r="1772" spans="1:14" x14ac:dyDescent="0.25">
      <c r="A1772" s="170" t="s">
        <v>4625</v>
      </c>
      <c r="B1772" s="170" t="s">
        <v>18074</v>
      </c>
      <c r="C1772" s="170" t="s">
        <v>205</v>
      </c>
      <c r="D1772" s="170" t="s">
        <v>1947</v>
      </c>
      <c r="E1772" s="171" t="s">
        <v>32414</v>
      </c>
      <c r="F1772" s="171" t="s">
        <v>35708</v>
      </c>
      <c r="G1772" s="82"/>
      <c r="H1772" s="96">
        <f t="shared" si="108"/>
        <v>11484.4</v>
      </c>
      <c r="I1772" s="96">
        <f t="shared" si="108"/>
        <v>11836.63</v>
      </c>
      <c r="J1772" s="91" t="str">
        <f t="shared" si="109"/>
        <v>Sinapi 99322</v>
      </c>
      <c r="K1772" s="91" t="str">
        <f t="shared" si="110"/>
        <v>UN</v>
      </c>
      <c r="L1772" s="166" t="str">
        <f t="shared" si="111"/>
        <v>12/2020</v>
      </c>
      <c r="M1772" s="82"/>
      <c r="N1772" s="82"/>
    </row>
    <row r="1773" spans="1:14" x14ac:dyDescent="0.25">
      <c r="A1773" s="170" t="s">
        <v>4626</v>
      </c>
      <c r="B1773" s="170" t="s">
        <v>12503</v>
      </c>
      <c r="C1773" s="170" t="s">
        <v>385</v>
      </c>
      <c r="D1773" s="170" t="s">
        <v>2067</v>
      </c>
      <c r="E1773" s="171" t="s">
        <v>32392</v>
      </c>
      <c r="F1773" s="171" t="s">
        <v>35686</v>
      </c>
      <c r="G1773" s="82"/>
      <c r="H1773" s="96">
        <f t="shared" si="108"/>
        <v>3670.83</v>
      </c>
      <c r="I1773" s="96">
        <f t="shared" si="108"/>
        <v>3827.72</v>
      </c>
      <c r="J1773" s="91" t="str">
        <f t="shared" si="109"/>
        <v>Sinapi 99323</v>
      </c>
      <c r="K1773" s="91" t="str">
        <f t="shared" si="110"/>
        <v>M</v>
      </c>
      <c r="L1773" s="166" t="str">
        <f t="shared" si="111"/>
        <v>12/2020</v>
      </c>
      <c r="M1773" s="82"/>
      <c r="N1773" s="82"/>
    </row>
    <row r="1774" spans="1:14" x14ac:dyDescent="0.25">
      <c r="A1774" s="170" t="s">
        <v>4627</v>
      </c>
      <c r="B1774" s="170" t="s">
        <v>18075</v>
      </c>
      <c r="C1774" s="170" t="s">
        <v>205</v>
      </c>
      <c r="D1774" s="170" t="s">
        <v>1947</v>
      </c>
      <c r="E1774" s="171" t="s">
        <v>32415</v>
      </c>
      <c r="F1774" s="171" t="s">
        <v>35709</v>
      </c>
      <c r="G1774" s="82"/>
      <c r="H1774" s="96">
        <f t="shared" si="108"/>
        <v>12799.94</v>
      </c>
      <c r="I1774" s="96">
        <f t="shared" si="108"/>
        <v>13190.43</v>
      </c>
      <c r="J1774" s="91" t="str">
        <f t="shared" si="109"/>
        <v>Sinapi 99324</v>
      </c>
      <c r="K1774" s="91" t="str">
        <f t="shared" si="110"/>
        <v>UN</v>
      </c>
      <c r="L1774" s="166" t="str">
        <f t="shared" si="111"/>
        <v>12/2020</v>
      </c>
      <c r="M1774" s="82"/>
      <c r="N1774" s="82"/>
    </row>
    <row r="1775" spans="1:14" x14ac:dyDescent="0.25">
      <c r="A1775" s="170" t="s">
        <v>4628</v>
      </c>
      <c r="B1775" s="170" t="s">
        <v>12504</v>
      </c>
      <c r="C1775" s="170" t="s">
        <v>385</v>
      </c>
      <c r="D1775" s="170" t="s">
        <v>2067</v>
      </c>
      <c r="E1775" s="171" t="s">
        <v>32394</v>
      </c>
      <c r="F1775" s="171" t="s">
        <v>35688</v>
      </c>
      <c r="G1775" s="82"/>
      <c r="H1775" s="96">
        <f t="shared" si="108"/>
        <v>3975.86</v>
      </c>
      <c r="I1775" s="96">
        <f t="shared" si="108"/>
        <v>4145.93</v>
      </c>
      <c r="J1775" s="91" t="str">
        <f t="shared" si="109"/>
        <v>Sinapi 99325</v>
      </c>
      <c r="K1775" s="91" t="str">
        <f t="shared" si="110"/>
        <v>M</v>
      </c>
      <c r="L1775" s="166" t="str">
        <f t="shared" si="111"/>
        <v>12/2020</v>
      </c>
      <c r="M1775" s="82"/>
      <c r="N1775" s="82"/>
    </row>
    <row r="1776" spans="1:14" x14ac:dyDescent="0.25">
      <c r="A1776" s="170" t="s">
        <v>4629</v>
      </c>
      <c r="B1776" s="170" t="s">
        <v>18076</v>
      </c>
      <c r="C1776" s="170" t="s">
        <v>205</v>
      </c>
      <c r="D1776" s="170" t="s">
        <v>1947</v>
      </c>
      <c r="E1776" s="171" t="s">
        <v>32416</v>
      </c>
      <c r="F1776" s="171" t="s">
        <v>35710</v>
      </c>
      <c r="G1776" s="82"/>
      <c r="H1776" s="96">
        <f t="shared" si="108"/>
        <v>10496.69</v>
      </c>
      <c r="I1776" s="96">
        <f t="shared" si="108"/>
        <v>10808.03</v>
      </c>
      <c r="J1776" s="91" t="str">
        <f t="shared" si="109"/>
        <v>Sinapi 99326</v>
      </c>
      <c r="K1776" s="91" t="str">
        <f t="shared" si="110"/>
        <v>UN</v>
      </c>
      <c r="L1776" s="166" t="str">
        <f t="shared" si="111"/>
        <v>12/2020</v>
      </c>
      <c r="M1776" s="82"/>
      <c r="N1776" s="82"/>
    </row>
    <row r="1777" spans="1:14" x14ac:dyDescent="0.25">
      <c r="A1777" s="170" t="s">
        <v>4630</v>
      </c>
      <c r="B1777" s="170" t="s">
        <v>12505</v>
      </c>
      <c r="C1777" s="170" t="s">
        <v>385</v>
      </c>
      <c r="D1777" s="170" t="s">
        <v>2067</v>
      </c>
      <c r="E1777" s="171" t="s">
        <v>32417</v>
      </c>
      <c r="F1777" s="171" t="s">
        <v>35711</v>
      </c>
      <c r="G1777" s="82"/>
      <c r="H1777" s="96">
        <f t="shared" si="108"/>
        <v>5147.21</v>
      </c>
      <c r="I1777" s="96">
        <f t="shared" si="108"/>
        <v>5367.82</v>
      </c>
      <c r="J1777" s="91" t="str">
        <f t="shared" si="109"/>
        <v>Sinapi 99327</v>
      </c>
      <c r="K1777" s="91" t="str">
        <f t="shared" si="110"/>
        <v>M</v>
      </c>
      <c r="L1777" s="166" t="str">
        <f t="shared" si="111"/>
        <v>12/2020</v>
      </c>
      <c r="M1777" s="82"/>
      <c r="N1777" s="82"/>
    </row>
    <row r="1778" spans="1:14" x14ac:dyDescent="0.25">
      <c r="A1778" s="170" t="s">
        <v>12506</v>
      </c>
      <c r="B1778" s="170" t="s">
        <v>12507</v>
      </c>
      <c r="C1778" s="170" t="s">
        <v>205</v>
      </c>
      <c r="D1778" s="170" t="s">
        <v>1947</v>
      </c>
      <c r="E1778" s="171" t="s">
        <v>32418</v>
      </c>
      <c r="F1778" s="171" t="s">
        <v>35712</v>
      </c>
      <c r="G1778" s="82"/>
      <c r="H1778" s="96">
        <f t="shared" si="108"/>
        <v>1573.89</v>
      </c>
      <c r="I1778" s="96">
        <f t="shared" si="108"/>
        <v>1624.22</v>
      </c>
      <c r="J1778" s="91" t="str">
        <f t="shared" si="109"/>
        <v>Sinapi 101800</v>
      </c>
      <c r="K1778" s="91" t="str">
        <f t="shared" si="110"/>
        <v>UN</v>
      </c>
      <c r="L1778" s="166" t="str">
        <f t="shared" si="111"/>
        <v>12/2020</v>
      </c>
      <c r="M1778" s="82"/>
      <c r="N1778" s="82"/>
    </row>
    <row r="1779" spans="1:14" x14ac:dyDescent="0.25">
      <c r="A1779" s="170" t="s">
        <v>12508</v>
      </c>
      <c r="B1779" s="170" t="s">
        <v>12509</v>
      </c>
      <c r="C1779" s="170" t="s">
        <v>205</v>
      </c>
      <c r="D1779" s="170" t="s">
        <v>1947</v>
      </c>
      <c r="E1779" s="171" t="s">
        <v>32419</v>
      </c>
      <c r="F1779" s="171" t="s">
        <v>35713</v>
      </c>
      <c r="G1779" s="82"/>
      <c r="H1779" s="96">
        <f t="shared" si="108"/>
        <v>1251.74</v>
      </c>
      <c r="I1779" s="96">
        <f t="shared" si="108"/>
        <v>1282.82</v>
      </c>
      <c r="J1779" s="91" t="str">
        <f t="shared" si="109"/>
        <v>Sinapi 101801</v>
      </c>
      <c r="K1779" s="91" t="str">
        <f t="shared" si="110"/>
        <v>UN</v>
      </c>
      <c r="L1779" s="166" t="str">
        <f t="shared" si="111"/>
        <v>12/2020</v>
      </c>
      <c r="M1779" s="82"/>
      <c r="N1779" s="82"/>
    </row>
    <row r="1780" spans="1:14" x14ac:dyDescent="0.25">
      <c r="A1780" s="170" t="s">
        <v>12510</v>
      </c>
      <c r="B1780" s="170" t="s">
        <v>17301</v>
      </c>
      <c r="C1780" s="170" t="s">
        <v>205</v>
      </c>
      <c r="D1780" s="170" t="s">
        <v>1947</v>
      </c>
      <c r="E1780" s="171" t="s">
        <v>32420</v>
      </c>
      <c r="F1780" s="171" t="s">
        <v>23155</v>
      </c>
      <c r="G1780" s="82"/>
      <c r="H1780" s="96">
        <f t="shared" si="108"/>
        <v>564.16</v>
      </c>
      <c r="I1780" s="96">
        <f t="shared" si="108"/>
        <v>595.63</v>
      </c>
      <c r="J1780" s="91" t="str">
        <f t="shared" si="109"/>
        <v>Sinapi 101806</v>
      </c>
      <c r="K1780" s="91" t="str">
        <f t="shared" si="110"/>
        <v>UN</v>
      </c>
      <c r="L1780" s="166" t="str">
        <f t="shared" si="111"/>
        <v>12/2020</v>
      </c>
      <c r="M1780" s="82"/>
      <c r="N1780" s="82"/>
    </row>
    <row r="1781" spans="1:14" x14ac:dyDescent="0.25">
      <c r="A1781" s="170" t="s">
        <v>12511</v>
      </c>
      <c r="B1781" s="170" t="s">
        <v>17302</v>
      </c>
      <c r="C1781" s="170" t="s">
        <v>205</v>
      </c>
      <c r="D1781" s="170" t="s">
        <v>1947</v>
      </c>
      <c r="E1781" s="171" t="s">
        <v>32421</v>
      </c>
      <c r="F1781" s="171" t="s">
        <v>35714</v>
      </c>
      <c r="G1781" s="82"/>
      <c r="H1781" s="96">
        <f t="shared" si="108"/>
        <v>559.86</v>
      </c>
      <c r="I1781" s="96">
        <f t="shared" si="108"/>
        <v>588.45000000000005</v>
      </c>
      <c r="J1781" s="91" t="str">
        <f t="shared" si="109"/>
        <v>Sinapi 101807</v>
      </c>
      <c r="K1781" s="91" t="str">
        <f t="shared" si="110"/>
        <v>UN</v>
      </c>
      <c r="L1781" s="166" t="str">
        <f t="shared" si="111"/>
        <v>12/2020</v>
      </c>
      <c r="M1781" s="82"/>
      <c r="N1781" s="82"/>
    </row>
    <row r="1782" spans="1:14" x14ac:dyDescent="0.25">
      <c r="A1782" s="170" t="s">
        <v>12512</v>
      </c>
      <c r="B1782" s="170" t="s">
        <v>17303</v>
      </c>
      <c r="C1782" s="170" t="s">
        <v>205</v>
      </c>
      <c r="D1782" s="170" t="s">
        <v>1947</v>
      </c>
      <c r="E1782" s="171" t="s">
        <v>32422</v>
      </c>
      <c r="F1782" s="171" t="s">
        <v>35715</v>
      </c>
      <c r="G1782" s="82"/>
      <c r="H1782" s="96">
        <f t="shared" si="108"/>
        <v>572.15</v>
      </c>
      <c r="I1782" s="96">
        <f t="shared" si="108"/>
        <v>579.20000000000005</v>
      </c>
      <c r="J1782" s="91" t="str">
        <f t="shared" si="109"/>
        <v>Sinapi 101808</v>
      </c>
      <c r="K1782" s="91" t="str">
        <f t="shared" si="110"/>
        <v>UN</v>
      </c>
      <c r="L1782" s="166" t="str">
        <f t="shared" si="111"/>
        <v>12/2020</v>
      </c>
      <c r="M1782" s="82"/>
      <c r="N1782" s="82"/>
    </row>
    <row r="1783" spans="1:14" x14ac:dyDescent="0.25">
      <c r="A1783" s="170" t="s">
        <v>12513</v>
      </c>
      <c r="B1783" s="170" t="s">
        <v>18077</v>
      </c>
      <c r="C1783" s="170" t="s">
        <v>205</v>
      </c>
      <c r="D1783" s="170" t="s">
        <v>1947</v>
      </c>
      <c r="E1783" s="171" t="s">
        <v>32423</v>
      </c>
      <c r="F1783" s="171" t="s">
        <v>35716</v>
      </c>
      <c r="G1783" s="82"/>
      <c r="H1783" s="96">
        <f t="shared" si="108"/>
        <v>3563.7</v>
      </c>
      <c r="I1783" s="96">
        <f t="shared" si="108"/>
        <v>3680.12</v>
      </c>
      <c r="J1783" s="91" t="str">
        <f t="shared" si="109"/>
        <v>Sinapi 101809</v>
      </c>
      <c r="K1783" s="91" t="str">
        <f t="shared" si="110"/>
        <v>UN</v>
      </c>
      <c r="L1783" s="166" t="str">
        <f t="shared" si="111"/>
        <v>12/2020</v>
      </c>
      <c r="M1783" s="82"/>
      <c r="N1783" s="82"/>
    </row>
    <row r="1784" spans="1:14" x14ac:dyDescent="0.25">
      <c r="A1784" s="170" t="s">
        <v>12514</v>
      </c>
      <c r="B1784" s="170" t="s">
        <v>18078</v>
      </c>
      <c r="C1784" s="170" t="s">
        <v>205</v>
      </c>
      <c r="D1784" s="170" t="s">
        <v>1947</v>
      </c>
      <c r="E1784" s="171" t="s">
        <v>32424</v>
      </c>
      <c r="F1784" s="171" t="s">
        <v>35717</v>
      </c>
      <c r="G1784" s="82"/>
      <c r="H1784" s="96">
        <f t="shared" si="108"/>
        <v>1976.98</v>
      </c>
      <c r="I1784" s="96">
        <f t="shared" si="108"/>
        <v>2013.8</v>
      </c>
      <c r="J1784" s="91" t="str">
        <f t="shared" si="109"/>
        <v>Sinapi 102139</v>
      </c>
      <c r="K1784" s="91" t="str">
        <f t="shared" si="110"/>
        <v>UN</v>
      </c>
      <c r="L1784" s="166" t="str">
        <f t="shared" si="111"/>
        <v>12/2020</v>
      </c>
      <c r="M1784" s="82"/>
      <c r="N1784" s="82"/>
    </row>
    <row r="1785" spans="1:14" x14ac:dyDescent="0.25">
      <c r="A1785" s="170" t="s">
        <v>12515</v>
      </c>
      <c r="B1785" s="170" t="s">
        <v>18079</v>
      </c>
      <c r="C1785" s="170" t="s">
        <v>205</v>
      </c>
      <c r="D1785" s="170" t="s">
        <v>1947</v>
      </c>
      <c r="E1785" s="171" t="s">
        <v>32425</v>
      </c>
      <c r="F1785" s="171" t="s">
        <v>35718</v>
      </c>
      <c r="G1785" s="82"/>
      <c r="H1785" s="96">
        <f t="shared" si="108"/>
        <v>3035.47</v>
      </c>
      <c r="I1785" s="96">
        <f t="shared" si="108"/>
        <v>3088.42</v>
      </c>
      <c r="J1785" s="91" t="str">
        <f t="shared" si="109"/>
        <v>Sinapi 102141</v>
      </c>
      <c r="K1785" s="91" t="str">
        <f t="shared" si="110"/>
        <v>UN</v>
      </c>
      <c r="L1785" s="166" t="str">
        <f t="shared" si="111"/>
        <v>12/2020</v>
      </c>
      <c r="M1785" s="82"/>
      <c r="N1785" s="82"/>
    </row>
    <row r="1786" spans="1:14" x14ac:dyDescent="0.25">
      <c r="A1786" s="170" t="s">
        <v>12516</v>
      </c>
      <c r="B1786" s="170" t="s">
        <v>18080</v>
      </c>
      <c r="C1786" s="170" t="s">
        <v>205</v>
      </c>
      <c r="D1786" s="170" t="s">
        <v>1947</v>
      </c>
      <c r="E1786" s="171" t="s">
        <v>32426</v>
      </c>
      <c r="F1786" s="171" t="s">
        <v>35719</v>
      </c>
      <c r="G1786" s="82"/>
      <c r="H1786" s="96">
        <f t="shared" si="108"/>
        <v>2989.66</v>
      </c>
      <c r="I1786" s="96">
        <f t="shared" si="108"/>
        <v>3042.39</v>
      </c>
      <c r="J1786" s="91" t="str">
        <f t="shared" si="109"/>
        <v>Sinapi 102142</v>
      </c>
      <c r="K1786" s="91" t="str">
        <f t="shared" si="110"/>
        <v>UN</v>
      </c>
      <c r="L1786" s="166" t="str">
        <f t="shared" si="111"/>
        <v>12/2020</v>
      </c>
      <c r="M1786" s="82"/>
      <c r="N1786" s="82"/>
    </row>
    <row r="1787" spans="1:14" x14ac:dyDescent="0.25">
      <c r="A1787" s="170" t="s">
        <v>13585</v>
      </c>
      <c r="B1787" s="170" t="s">
        <v>18081</v>
      </c>
      <c r="C1787" s="170" t="s">
        <v>205</v>
      </c>
      <c r="D1787" s="170" t="s">
        <v>1947</v>
      </c>
      <c r="E1787" s="171" t="s">
        <v>32427</v>
      </c>
      <c r="F1787" s="171" t="s">
        <v>32364</v>
      </c>
      <c r="G1787" s="82"/>
      <c r="H1787" s="96">
        <f t="shared" si="108"/>
        <v>1811.4</v>
      </c>
      <c r="I1787" s="96">
        <f t="shared" si="108"/>
        <v>1845.95</v>
      </c>
      <c r="J1787" s="91" t="str">
        <f t="shared" si="109"/>
        <v>Sinapi 102457</v>
      </c>
      <c r="K1787" s="91" t="str">
        <f t="shared" si="110"/>
        <v>UN</v>
      </c>
      <c r="L1787" s="166" t="str">
        <f t="shared" si="111"/>
        <v>05/2021</v>
      </c>
      <c r="M1787" s="82"/>
      <c r="N1787" s="82"/>
    </row>
    <row r="1788" spans="1:14" x14ac:dyDescent="0.25">
      <c r="A1788" s="170" t="s">
        <v>4631</v>
      </c>
      <c r="B1788" s="170" t="s">
        <v>4632</v>
      </c>
      <c r="C1788" s="170" t="s">
        <v>385</v>
      </c>
      <c r="D1788" s="170" t="s">
        <v>1947</v>
      </c>
      <c r="E1788" s="171" t="s">
        <v>32428</v>
      </c>
      <c r="F1788" s="171" t="s">
        <v>31242</v>
      </c>
      <c r="G1788" s="82"/>
      <c r="H1788" s="96">
        <f t="shared" si="108"/>
        <v>50.84</v>
      </c>
      <c r="I1788" s="96">
        <f t="shared" si="108"/>
        <v>52.5</v>
      </c>
      <c r="J1788" s="91" t="str">
        <f t="shared" si="109"/>
        <v>Sinapi 94263</v>
      </c>
      <c r="K1788" s="91" t="str">
        <f t="shared" si="110"/>
        <v>M</v>
      </c>
      <c r="L1788" s="166" t="str">
        <f t="shared" si="111"/>
        <v>06/2016</v>
      </c>
      <c r="M1788" s="82"/>
      <c r="N1788" s="82"/>
    </row>
    <row r="1789" spans="1:14" x14ac:dyDescent="0.25">
      <c r="A1789" s="170" t="s">
        <v>4633</v>
      </c>
      <c r="B1789" s="170" t="s">
        <v>4634</v>
      </c>
      <c r="C1789" s="170" t="s">
        <v>385</v>
      </c>
      <c r="D1789" s="170" t="s">
        <v>1947</v>
      </c>
      <c r="E1789" s="171" t="s">
        <v>30116</v>
      </c>
      <c r="F1789" s="171" t="s">
        <v>35720</v>
      </c>
      <c r="G1789" s="82"/>
      <c r="H1789" s="96">
        <f t="shared" si="108"/>
        <v>54.09</v>
      </c>
      <c r="I1789" s="96">
        <f t="shared" si="108"/>
        <v>56.08</v>
      </c>
      <c r="J1789" s="91" t="str">
        <f t="shared" si="109"/>
        <v>Sinapi 94264</v>
      </c>
      <c r="K1789" s="91" t="str">
        <f t="shared" si="110"/>
        <v>M</v>
      </c>
      <c r="L1789" s="166" t="str">
        <f t="shared" si="111"/>
        <v>06/2016</v>
      </c>
      <c r="M1789" s="82"/>
      <c r="N1789" s="82"/>
    </row>
    <row r="1790" spans="1:14" x14ac:dyDescent="0.25">
      <c r="A1790" s="170" t="s">
        <v>4635</v>
      </c>
      <c r="B1790" s="170" t="s">
        <v>4636</v>
      </c>
      <c r="C1790" s="170" t="s">
        <v>385</v>
      </c>
      <c r="D1790" s="170" t="s">
        <v>1947</v>
      </c>
      <c r="E1790" s="171" t="s">
        <v>32429</v>
      </c>
      <c r="F1790" s="171" t="s">
        <v>28776</v>
      </c>
      <c r="G1790" s="82"/>
      <c r="H1790" s="96">
        <f t="shared" si="108"/>
        <v>74.05</v>
      </c>
      <c r="I1790" s="96">
        <f t="shared" si="108"/>
        <v>75.83</v>
      </c>
      <c r="J1790" s="91" t="str">
        <f t="shared" si="109"/>
        <v>Sinapi 94265</v>
      </c>
      <c r="K1790" s="91" t="str">
        <f t="shared" si="110"/>
        <v>M</v>
      </c>
      <c r="L1790" s="166" t="str">
        <f t="shared" si="111"/>
        <v>06/2016</v>
      </c>
      <c r="M1790" s="82"/>
      <c r="N1790" s="82"/>
    </row>
    <row r="1791" spans="1:14" x14ac:dyDescent="0.25">
      <c r="A1791" s="170" t="s">
        <v>4637</v>
      </c>
      <c r="B1791" s="170" t="s">
        <v>4638</v>
      </c>
      <c r="C1791" s="170" t="s">
        <v>385</v>
      </c>
      <c r="D1791" s="170" t="s">
        <v>1947</v>
      </c>
      <c r="E1791" s="171" t="s">
        <v>32430</v>
      </c>
      <c r="F1791" s="171" t="s">
        <v>35721</v>
      </c>
      <c r="G1791" s="82"/>
      <c r="H1791" s="96">
        <f t="shared" si="108"/>
        <v>77.78</v>
      </c>
      <c r="I1791" s="96">
        <f t="shared" si="108"/>
        <v>79.92</v>
      </c>
      <c r="J1791" s="91" t="str">
        <f t="shared" si="109"/>
        <v>Sinapi 94266</v>
      </c>
      <c r="K1791" s="91" t="str">
        <f t="shared" si="110"/>
        <v>M</v>
      </c>
      <c r="L1791" s="166" t="str">
        <f t="shared" si="111"/>
        <v>06/2016</v>
      </c>
      <c r="M1791" s="82"/>
      <c r="N1791" s="82"/>
    </row>
    <row r="1792" spans="1:14" x14ac:dyDescent="0.25">
      <c r="A1792" s="170" t="s">
        <v>4639</v>
      </c>
      <c r="B1792" s="170" t="s">
        <v>4640</v>
      </c>
      <c r="C1792" s="170" t="s">
        <v>385</v>
      </c>
      <c r="D1792" s="170" t="s">
        <v>1947</v>
      </c>
      <c r="E1792" s="171" t="s">
        <v>31996</v>
      </c>
      <c r="F1792" s="171" t="s">
        <v>26233</v>
      </c>
      <c r="G1792" s="82"/>
      <c r="H1792" s="96">
        <f t="shared" si="108"/>
        <v>90.57</v>
      </c>
      <c r="I1792" s="96">
        <f t="shared" si="108"/>
        <v>92.45</v>
      </c>
      <c r="J1792" s="91" t="str">
        <f t="shared" si="109"/>
        <v>Sinapi 94267</v>
      </c>
      <c r="K1792" s="91" t="str">
        <f t="shared" si="110"/>
        <v>M</v>
      </c>
      <c r="L1792" s="166" t="str">
        <f t="shared" si="111"/>
        <v>06/2016</v>
      </c>
      <c r="M1792" s="82"/>
      <c r="N1792" s="82"/>
    </row>
    <row r="1793" spans="1:14" x14ac:dyDescent="0.25">
      <c r="A1793" s="170" t="s">
        <v>4641</v>
      </c>
      <c r="B1793" s="170" t="s">
        <v>4642</v>
      </c>
      <c r="C1793" s="170" t="s">
        <v>385</v>
      </c>
      <c r="D1793" s="170" t="s">
        <v>1947</v>
      </c>
      <c r="E1793" s="171" t="s">
        <v>32431</v>
      </c>
      <c r="F1793" s="171" t="s">
        <v>28720</v>
      </c>
      <c r="G1793" s="82"/>
      <c r="H1793" s="96">
        <f t="shared" si="108"/>
        <v>94.66</v>
      </c>
      <c r="I1793" s="96">
        <f t="shared" si="108"/>
        <v>96.96</v>
      </c>
      <c r="J1793" s="91" t="str">
        <f t="shared" si="109"/>
        <v>Sinapi 94268</v>
      </c>
      <c r="K1793" s="91" t="str">
        <f t="shared" si="110"/>
        <v>M</v>
      </c>
      <c r="L1793" s="166" t="str">
        <f t="shared" si="111"/>
        <v>06/2016</v>
      </c>
      <c r="M1793" s="82"/>
      <c r="N1793" s="82"/>
    </row>
    <row r="1794" spans="1:14" x14ac:dyDescent="0.25">
      <c r="A1794" s="170" t="s">
        <v>4643</v>
      </c>
      <c r="B1794" s="170" t="s">
        <v>4644</v>
      </c>
      <c r="C1794" s="170" t="s">
        <v>385</v>
      </c>
      <c r="D1794" s="170" t="s">
        <v>1947</v>
      </c>
      <c r="E1794" s="171" t="s">
        <v>32432</v>
      </c>
      <c r="F1794" s="171" t="s">
        <v>35722</v>
      </c>
      <c r="G1794" s="82"/>
      <c r="H1794" s="96">
        <f t="shared" si="108"/>
        <v>136.31</v>
      </c>
      <c r="I1794" s="96">
        <f t="shared" si="108"/>
        <v>138.57</v>
      </c>
      <c r="J1794" s="91" t="str">
        <f t="shared" si="109"/>
        <v>Sinapi 94269</v>
      </c>
      <c r="K1794" s="91" t="str">
        <f t="shared" si="110"/>
        <v>M</v>
      </c>
      <c r="L1794" s="166" t="str">
        <f t="shared" si="111"/>
        <v>06/2016</v>
      </c>
      <c r="M1794" s="82"/>
      <c r="N1794" s="82"/>
    </row>
    <row r="1795" spans="1:14" x14ac:dyDescent="0.25">
      <c r="A1795" s="170" t="s">
        <v>4645</v>
      </c>
      <c r="B1795" s="170" t="s">
        <v>4646</v>
      </c>
      <c r="C1795" s="170" t="s">
        <v>385</v>
      </c>
      <c r="D1795" s="170" t="s">
        <v>1947</v>
      </c>
      <c r="E1795" s="171" t="s">
        <v>32433</v>
      </c>
      <c r="F1795" s="171" t="s">
        <v>35723</v>
      </c>
      <c r="G1795" s="82"/>
      <c r="H1795" s="96">
        <f t="shared" si="108"/>
        <v>142.01</v>
      </c>
      <c r="I1795" s="96">
        <f t="shared" si="108"/>
        <v>144.84</v>
      </c>
      <c r="J1795" s="91" t="str">
        <f t="shared" si="109"/>
        <v>Sinapi 94270</v>
      </c>
      <c r="K1795" s="91" t="str">
        <f t="shared" si="110"/>
        <v>M</v>
      </c>
      <c r="L1795" s="166" t="str">
        <f t="shared" si="111"/>
        <v>06/2016</v>
      </c>
      <c r="M1795" s="82"/>
      <c r="N1795" s="82"/>
    </row>
    <row r="1796" spans="1:14" x14ac:dyDescent="0.25">
      <c r="A1796" s="170" t="s">
        <v>4647</v>
      </c>
      <c r="B1796" s="170" t="s">
        <v>18082</v>
      </c>
      <c r="C1796" s="170" t="s">
        <v>385</v>
      </c>
      <c r="D1796" s="170" t="s">
        <v>1947</v>
      </c>
      <c r="E1796" s="171" t="s">
        <v>32434</v>
      </c>
      <c r="F1796" s="171" t="s">
        <v>35724</v>
      </c>
      <c r="G1796" s="82"/>
      <c r="H1796" s="96">
        <f t="shared" si="108"/>
        <v>167</v>
      </c>
      <c r="I1796" s="96">
        <f t="shared" si="108"/>
        <v>169.71</v>
      </c>
      <c r="J1796" s="91" t="str">
        <f t="shared" si="109"/>
        <v>Sinapi 94271</v>
      </c>
      <c r="K1796" s="91" t="str">
        <f t="shared" si="110"/>
        <v>M</v>
      </c>
      <c r="L1796" s="166" t="str">
        <f t="shared" si="111"/>
        <v>06/2016</v>
      </c>
      <c r="M1796" s="82"/>
      <c r="N1796" s="82"/>
    </row>
    <row r="1797" spans="1:14" x14ac:dyDescent="0.25">
      <c r="A1797" s="170" t="s">
        <v>4648</v>
      </c>
      <c r="B1797" s="170" t="s">
        <v>4649</v>
      </c>
      <c r="C1797" s="170" t="s">
        <v>385</v>
      </c>
      <c r="D1797" s="170" t="s">
        <v>1947</v>
      </c>
      <c r="E1797" s="171" t="s">
        <v>28988</v>
      </c>
      <c r="F1797" s="171" t="s">
        <v>33760</v>
      </c>
      <c r="G1797" s="82"/>
      <c r="H1797" s="96">
        <f t="shared" si="108"/>
        <v>174.6</v>
      </c>
      <c r="I1797" s="96">
        <f t="shared" si="108"/>
        <v>178.07</v>
      </c>
      <c r="J1797" s="91" t="str">
        <f t="shared" si="109"/>
        <v>Sinapi 94272</v>
      </c>
      <c r="K1797" s="91" t="str">
        <f t="shared" si="110"/>
        <v>M</v>
      </c>
      <c r="L1797" s="166" t="str">
        <f t="shared" si="111"/>
        <v>06/2016</v>
      </c>
      <c r="M1797" s="82"/>
      <c r="N1797" s="82"/>
    </row>
    <row r="1798" spans="1:14" x14ac:dyDescent="0.25">
      <c r="A1798" s="170" t="s">
        <v>4650</v>
      </c>
      <c r="B1798" s="170" t="s">
        <v>4651</v>
      </c>
      <c r="C1798" s="170" t="s">
        <v>385</v>
      </c>
      <c r="D1798" s="170" t="s">
        <v>2067</v>
      </c>
      <c r="E1798" s="171" t="s">
        <v>28713</v>
      </c>
      <c r="F1798" s="171" t="s">
        <v>29098</v>
      </c>
      <c r="G1798" s="82"/>
      <c r="H1798" s="96">
        <f t="shared" si="108"/>
        <v>66.78</v>
      </c>
      <c r="I1798" s="96">
        <f t="shared" si="108"/>
        <v>68.67</v>
      </c>
      <c r="J1798" s="91" t="str">
        <f t="shared" si="109"/>
        <v>Sinapi 94273</v>
      </c>
      <c r="K1798" s="91" t="str">
        <f t="shared" si="110"/>
        <v>M</v>
      </c>
      <c r="L1798" s="166" t="str">
        <f t="shared" si="111"/>
        <v>06/2016</v>
      </c>
      <c r="M1798" s="82"/>
      <c r="N1798" s="82"/>
    </row>
    <row r="1799" spans="1:14" x14ac:dyDescent="0.25">
      <c r="A1799" s="170" t="s">
        <v>4652</v>
      </c>
      <c r="B1799" s="170" t="s">
        <v>4653</v>
      </c>
      <c r="C1799" s="170" t="s">
        <v>385</v>
      </c>
      <c r="D1799" s="170" t="s">
        <v>2067</v>
      </c>
      <c r="E1799" s="171" t="s">
        <v>23185</v>
      </c>
      <c r="F1799" s="171" t="s">
        <v>28506</v>
      </c>
      <c r="G1799" s="82"/>
      <c r="H1799" s="96">
        <f t="shared" si="108"/>
        <v>70.55</v>
      </c>
      <c r="I1799" s="96">
        <f t="shared" si="108"/>
        <v>72.88</v>
      </c>
      <c r="J1799" s="91" t="str">
        <f t="shared" si="109"/>
        <v>Sinapi 94274</v>
      </c>
      <c r="K1799" s="91" t="str">
        <f t="shared" si="110"/>
        <v>M</v>
      </c>
      <c r="L1799" s="166" t="str">
        <f t="shared" si="111"/>
        <v>06/2016</v>
      </c>
      <c r="M1799" s="82"/>
      <c r="N1799" s="82"/>
    </row>
    <row r="1800" spans="1:14" x14ac:dyDescent="0.25">
      <c r="A1800" s="170" t="s">
        <v>4654</v>
      </c>
      <c r="B1800" s="170" t="s">
        <v>18083</v>
      </c>
      <c r="C1800" s="170" t="s">
        <v>385</v>
      </c>
      <c r="D1800" s="170" t="s">
        <v>2067</v>
      </c>
      <c r="E1800" s="171" t="s">
        <v>32435</v>
      </c>
      <c r="F1800" s="171" t="s">
        <v>35725</v>
      </c>
      <c r="G1800" s="82"/>
      <c r="H1800" s="96">
        <f t="shared" ref="H1800:I1863" si="112">IF(E1800="","",E1800+0)</f>
        <v>59.94</v>
      </c>
      <c r="I1800" s="96">
        <f t="shared" si="112"/>
        <v>61.67</v>
      </c>
      <c r="J1800" s="91" t="str">
        <f t="shared" ref="J1800:J1863" si="113">IF(OR(H1800="",I1800=""),"",TRIM(CONCATENATE("Sinapi ",A1800)))</f>
        <v>Sinapi 94275</v>
      </c>
      <c r="K1800" s="91" t="str">
        <f t="shared" ref="K1800:K1863" si="114">TRIM(C1800)</f>
        <v>M</v>
      </c>
      <c r="L1800" s="166" t="str">
        <f t="shared" ref="L1800:L1863" si="115">IF(OR(RIGHT(IF(AND(K1800&lt;&gt;"H",K1800&lt;&gt;"MES"),RIGHT(B1800,7),""),2)="PS",RIGHT(IF(AND(K1800&lt;&gt;"H",K1800&lt;&gt;"MES"),RIGHT(B1800,7),""),2)="PA",RIGHT(IF(AND(K1800&lt;&gt;"H",K1800&lt;&gt;"MES"),RIGHT(B1800,7),""),2)="PE"),LEFT(IF(AND(K1800&lt;&gt;"H",K1800&lt;&gt;"MES"),RIGHT(B1800,10),""),7),IF(AND(K1800&lt;&gt;"H",K1800&lt;&gt;"MES"),RIGHT(B1800,7),""))</f>
        <v>06/2016</v>
      </c>
      <c r="M1800" s="82"/>
      <c r="N1800" s="82"/>
    </row>
    <row r="1801" spans="1:14" x14ac:dyDescent="0.25">
      <c r="A1801" s="170" t="s">
        <v>4655</v>
      </c>
      <c r="B1801" s="170" t="s">
        <v>18084</v>
      </c>
      <c r="C1801" s="170" t="s">
        <v>385</v>
      </c>
      <c r="D1801" s="170" t="s">
        <v>2067</v>
      </c>
      <c r="E1801" s="171" t="s">
        <v>22936</v>
      </c>
      <c r="F1801" s="171" t="s">
        <v>35726</v>
      </c>
      <c r="G1801" s="82"/>
      <c r="H1801" s="96">
        <f t="shared" si="112"/>
        <v>63.72</v>
      </c>
      <c r="I1801" s="96">
        <f t="shared" si="112"/>
        <v>65.86</v>
      </c>
      <c r="J1801" s="91" t="str">
        <f t="shared" si="113"/>
        <v>Sinapi 94276</v>
      </c>
      <c r="K1801" s="91" t="str">
        <f t="shared" si="114"/>
        <v>M</v>
      </c>
      <c r="L1801" s="166" t="str">
        <f t="shared" si="115"/>
        <v>06/2016</v>
      </c>
      <c r="M1801" s="82"/>
      <c r="N1801" s="82"/>
    </row>
    <row r="1802" spans="1:14" x14ac:dyDescent="0.25">
      <c r="A1802" s="170" t="s">
        <v>13759</v>
      </c>
      <c r="B1802" s="170" t="s">
        <v>13760</v>
      </c>
      <c r="C1802" s="170" t="s">
        <v>385</v>
      </c>
      <c r="D1802" s="170" t="s">
        <v>2067</v>
      </c>
      <c r="E1802" s="171" t="s">
        <v>28543</v>
      </c>
      <c r="F1802" s="171" t="s">
        <v>23190</v>
      </c>
      <c r="G1802" s="82"/>
      <c r="H1802" s="96">
        <f t="shared" si="112"/>
        <v>52.49</v>
      </c>
      <c r="I1802" s="96">
        <f t="shared" si="112"/>
        <v>54.08</v>
      </c>
      <c r="J1802" s="91" t="str">
        <f t="shared" si="113"/>
        <v>Sinapi 94277</v>
      </c>
      <c r="K1802" s="91" t="str">
        <f t="shared" si="114"/>
        <v>M</v>
      </c>
      <c r="L1802" s="166" t="str">
        <f t="shared" si="115"/>
        <v>06/2016</v>
      </c>
      <c r="M1802" s="82"/>
      <c r="N1802" s="82"/>
    </row>
    <row r="1803" spans="1:14" x14ac:dyDescent="0.25">
      <c r="A1803" s="170" t="s">
        <v>13761</v>
      </c>
      <c r="B1803" s="170" t="s">
        <v>13762</v>
      </c>
      <c r="C1803" s="170" t="s">
        <v>385</v>
      </c>
      <c r="D1803" s="170" t="s">
        <v>2067</v>
      </c>
      <c r="E1803" s="171" t="s">
        <v>32436</v>
      </c>
      <c r="F1803" s="171" t="s">
        <v>35727</v>
      </c>
      <c r="G1803" s="82"/>
      <c r="H1803" s="96">
        <f t="shared" si="112"/>
        <v>56.27</v>
      </c>
      <c r="I1803" s="96">
        <f t="shared" si="112"/>
        <v>58.28</v>
      </c>
      <c r="J1803" s="91" t="str">
        <f t="shared" si="113"/>
        <v>Sinapi 94278</v>
      </c>
      <c r="K1803" s="91" t="str">
        <f t="shared" si="114"/>
        <v>M</v>
      </c>
      <c r="L1803" s="166" t="str">
        <f t="shared" si="115"/>
        <v>06/2016</v>
      </c>
      <c r="M1803" s="82"/>
      <c r="N1803" s="82"/>
    </row>
    <row r="1804" spans="1:14" x14ac:dyDescent="0.25">
      <c r="A1804" s="170" t="s">
        <v>13763</v>
      </c>
      <c r="B1804" s="170" t="s">
        <v>13764</v>
      </c>
      <c r="C1804" s="170" t="s">
        <v>385</v>
      </c>
      <c r="D1804" s="170" t="s">
        <v>2067</v>
      </c>
      <c r="E1804" s="171" t="s">
        <v>29171</v>
      </c>
      <c r="F1804" s="171" t="s">
        <v>29305</v>
      </c>
      <c r="G1804" s="82"/>
      <c r="H1804" s="96">
        <f t="shared" si="112"/>
        <v>62.87</v>
      </c>
      <c r="I1804" s="96">
        <f t="shared" si="112"/>
        <v>64.33</v>
      </c>
      <c r="J1804" s="91" t="str">
        <f t="shared" si="113"/>
        <v>Sinapi 94279</v>
      </c>
      <c r="K1804" s="91" t="str">
        <f t="shared" si="114"/>
        <v>M</v>
      </c>
      <c r="L1804" s="166" t="str">
        <f t="shared" si="115"/>
        <v>05/2016</v>
      </c>
      <c r="M1804" s="82"/>
      <c r="N1804" s="82"/>
    </row>
    <row r="1805" spans="1:14" x14ac:dyDescent="0.25">
      <c r="A1805" s="170" t="s">
        <v>13765</v>
      </c>
      <c r="B1805" s="170" t="s">
        <v>13766</v>
      </c>
      <c r="C1805" s="170" t="s">
        <v>385</v>
      </c>
      <c r="D1805" s="170" t="s">
        <v>2067</v>
      </c>
      <c r="E1805" s="171" t="s">
        <v>19842</v>
      </c>
      <c r="F1805" s="171" t="s">
        <v>28537</v>
      </c>
      <c r="G1805" s="82"/>
      <c r="H1805" s="96">
        <f t="shared" si="112"/>
        <v>66.650000000000006</v>
      </c>
      <c r="I1805" s="96">
        <f t="shared" si="112"/>
        <v>68.52</v>
      </c>
      <c r="J1805" s="91" t="str">
        <f t="shared" si="113"/>
        <v>Sinapi 94280</v>
      </c>
      <c r="K1805" s="91" t="str">
        <f t="shared" si="114"/>
        <v>M</v>
      </c>
      <c r="L1805" s="166" t="str">
        <f t="shared" si="115"/>
        <v>05/2016</v>
      </c>
      <c r="M1805" s="82"/>
      <c r="N1805" s="82"/>
    </row>
    <row r="1806" spans="1:14" x14ac:dyDescent="0.25">
      <c r="A1806" s="170" t="s">
        <v>4656</v>
      </c>
      <c r="B1806" s="170" t="s">
        <v>4657</v>
      </c>
      <c r="C1806" s="170" t="s">
        <v>385</v>
      </c>
      <c r="D1806" s="170" t="s">
        <v>2067</v>
      </c>
      <c r="E1806" s="171" t="s">
        <v>32437</v>
      </c>
      <c r="F1806" s="171" t="s">
        <v>35728</v>
      </c>
      <c r="G1806" s="82"/>
      <c r="H1806" s="96">
        <f t="shared" si="112"/>
        <v>87.02</v>
      </c>
      <c r="I1806" s="96">
        <f t="shared" si="112"/>
        <v>89.37</v>
      </c>
      <c r="J1806" s="91" t="str">
        <f t="shared" si="113"/>
        <v>Sinapi 94281</v>
      </c>
      <c r="K1806" s="91" t="str">
        <f t="shared" si="114"/>
        <v>M</v>
      </c>
      <c r="L1806" s="166" t="str">
        <f t="shared" si="115"/>
        <v>06/2016</v>
      </c>
      <c r="M1806" s="82"/>
      <c r="N1806" s="82"/>
    </row>
    <row r="1807" spans="1:14" x14ac:dyDescent="0.25">
      <c r="A1807" s="170" t="s">
        <v>4658</v>
      </c>
      <c r="B1807" s="170" t="s">
        <v>4659</v>
      </c>
      <c r="C1807" s="170" t="s">
        <v>385</v>
      </c>
      <c r="D1807" s="170" t="s">
        <v>2067</v>
      </c>
      <c r="E1807" s="171" t="s">
        <v>32438</v>
      </c>
      <c r="F1807" s="171" t="s">
        <v>35729</v>
      </c>
      <c r="G1807" s="82"/>
      <c r="H1807" s="96">
        <f t="shared" si="112"/>
        <v>98.53</v>
      </c>
      <c r="I1807" s="96">
        <f t="shared" si="112"/>
        <v>102.17</v>
      </c>
      <c r="J1807" s="91" t="str">
        <f t="shared" si="113"/>
        <v>Sinapi 94282</v>
      </c>
      <c r="K1807" s="91" t="str">
        <f t="shared" si="114"/>
        <v>M</v>
      </c>
      <c r="L1807" s="166" t="str">
        <f t="shared" si="115"/>
        <v>06/2016</v>
      </c>
      <c r="M1807" s="82"/>
      <c r="N1807" s="82"/>
    </row>
    <row r="1808" spans="1:14" x14ac:dyDescent="0.25">
      <c r="A1808" s="170" t="s">
        <v>4660</v>
      </c>
      <c r="B1808" s="170" t="s">
        <v>4661</v>
      </c>
      <c r="C1808" s="170" t="s">
        <v>385</v>
      </c>
      <c r="D1808" s="170" t="s">
        <v>2067</v>
      </c>
      <c r="E1808" s="171" t="s">
        <v>32439</v>
      </c>
      <c r="F1808" s="171" t="s">
        <v>32260</v>
      </c>
      <c r="G1808" s="82"/>
      <c r="H1808" s="96">
        <f t="shared" si="112"/>
        <v>120.22</v>
      </c>
      <c r="I1808" s="96">
        <f t="shared" si="112"/>
        <v>122.79</v>
      </c>
      <c r="J1808" s="91" t="str">
        <f t="shared" si="113"/>
        <v>Sinapi 94283</v>
      </c>
      <c r="K1808" s="91" t="str">
        <f t="shared" si="114"/>
        <v>M</v>
      </c>
      <c r="L1808" s="166" t="str">
        <f t="shared" si="115"/>
        <v>06/2016</v>
      </c>
      <c r="M1808" s="82"/>
      <c r="N1808" s="82"/>
    </row>
    <row r="1809" spans="1:14" x14ac:dyDescent="0.25">
      <c r="A1809" s="170" t="s">
        <v>4662</v>
      </c>
      <c r="B1809" s="170" t="s">
        <v>4663</v>
      </c>
      <c r="C1809" s="170" t="s">
        <v>385</v>
      </c>
      <c r="D1809" s="170" t="s">
        <v>2067</v>
      </c>
      <c r="E1809" s="171" t="s">
        <v>32440</v>
      </c>
      <c r="F1809" s="171" t="s">
        <v>30922</v>
      </c>
      <c r="G1809" s="82"/>
      <c r="H1809" s="96">
        <f t="shared" si="112"/>
        <v>131.72999999999999</v>
      </c>
      <c r="I1809" s="96">
        <f t="shared" si="112"/>
        <v>135.58000000000001</v>
      </c>
      <c r="J1809" s="91" t="str">
        <f t="shared" si="113"/>
        <v>Sinapi 94284</v>
      </c>
      <c r="K1809" s="91" t="str">
        <f t="shared" si="114"/>
        <v>M</v>
      </c>
      <c r="L1809" s="166" t="str">
        <f t="shared" si="115"/>
        <v>06/2016</v>
      </c>
      <c r="M1809" s="82"/>
      <c r="N1809" s="82"/>
    </row>
    <row r="1810" spans="1:14" x14ac:dyDescent="0.25">
      <c r="A1810" s="170" t="s">
        <v>4664</v>
      </c>
      <c r="B1810" s="170" t="s">
        <v>4665</v>
      </c>
      <c r="C1810" s="170" t="s">
        <v>385</v>
      </c>
      <c r="D1810" s="170" t="s">
        <v>2067</v>
      </c>
      <c r="E1810" s="171" t="s">
        <v>32441</v>
      </c>
      <c r="F1810" s="171" t="s">
        <v>35512</v>
      </c>
      <c r="G1810" s="82"/>
      <c r="H1810" s="96">
        <f t="shared" si="112"/>
        <v>152.87</v>
      </c>
      <c r="I1810" s="96">
        <f t="shared" si="112"/>
        <v>155.59</v>
      </c>
      <c r="J1810" s="91" t="str">
        <f t="shared" si="113"/>
        <v>Sinapi 94285</v>
      </c>
      <c r="K1810" s="91" t="str">
        <f t="shared" si="114"/>
        <v>M</v>
      </c>
      <c r="L1810" s="166" t="str">
        <f t="shared" si="115"/>
        <v>06/2016</v>
      </c>
      <c r="M1810" s="82"/>
      <c r="N1810" s="82"/>
    </row>
    <row r="1811" spans="1:14" x14ac:dyDescent="0.25">
      <c r="A1811" s="170" t="s">
        <v>4666</v>
      </c>
      <c r="B1811" s="170" t="s">
        <v>4667</v>
      </c>
      <c r="C1811" s="170" t="s">
        <v>385</v>
      </c>
      <c r="D1811" s="170" t="s">
        <v>2067</v>
      </c>
      <c r="E1811" s="171" t="s">
        <v>32442</v>
      </c>
      <c r="F1811" s="171" t="s">
        <v>35730</v>
      </c>
      <c r="G1811" s="82"/>
      <c r="H1811" s="96">
        <f t="shared" si="112"/>
        <v>164.38</v>
      </c>
      <c r="I1811" s="96">
        <f t="shared" si="112"/>
        <v>168.38</v>
      </c>
      <c r="J1811" s="91" t="str">
        <f t="shared" si="113"/>
        <v>Sinapi 94286</v>
      </c>
      <c r="K1811" s="91" t="str">
        <f t="shared" si="114"/>
        <v>M</v>
      </c>
      <c r="L1811" s="166" t="str">
        <f t="shared" si="115"/>
        <v>06/2016</v>
      </c>
      <c r="M1811" s="82"/>
      <c r="N1811" s="82"/>
    </row>
    <row r="1812" spans="1:14" x14ac:dyDescent="0.25">
      <c r="A1812" s="170" t="s">
        <v>4668</v>
      </c>
      <c r="B1812" s="170" t="s">
        <v>4669</v>
      </c>
      <c r="C1812" s="170" t="s">
        <v>385</v>
      </c>
      <c r="D1812" s="170" t="s">
        <v>2067</v>
      </c>
      <c r="E1812" s="171" t="s">
        <v>20342</v>
      </c>
      <c r="F1812" s="171" t="s">
        <v>29066</v>
      </c>
      <c r="G1812" s="82"/>
      <c r="H1812" s="96">
        <f t="shared" si="112"/>
        <v>63.17</v>
      </c>
      <c r="I1812" s="96">
        <f t="shared" si="112"/>
        <v>65.319999999999993</v>
      </c>
      <c r="J1812" s="91" t="str">
        <f t="shared" si="113"/>
        <v>Sinapi 94287</v>
      </c>
      <c r="K1812" s="91" t="str">
        <f t="shared" si="114"/>
        <v>M</v>
      </c>
      <c r="L1812" s="166" t="str">
        <f t="shared" si="115"/>
        <v>06/2016</v>
      </c>
      <c r="M1812" s="82"/>
      <c r="N1812" s="82"/>
    </row>
    <row r="1813" spans="1:14" x14ac:dyDescent="0.25">
      <c r="A1813" s="170" t="s">
        <v>4670</v>
      </c>
      <c r="B1813" s="170" t="s">
        <v>4671</v>
      </c>
      <c r="C1813" s="170" t="s">
        <v>385</v>
      </c>
      <c r="D1813" s="170" t="s">
        <v>2067</v>
      </c>
      <c r="E1813" s="171" t="s">
        <v>29040</v>
      </c>
      <c r="F1813" s="171" t="s">
        <v>35731</v>
      </c>
      <c r="G1813" s="82"/>
      <c r="H1813" s="96">
        <f t="shared" si="112"/>
        <v>73.239999999999995</v>
      </c>
      <c r="I1813" s="96">
        <f t="shared" si="112"/>
        <v>76.5</v>
      </c>
      <c r="J1813" s="91" t="str">
        <f t="shared" si="113"/>
        <v>Sinapi 94288</v>
      </c>
      <c r="K1813" s="91" t="str">
        <f t="shared" si="114"/>
        <v>M</v>
      </c>
      <c r="L1813" s="166" t="str">
        <f t="shared" si="115"/>
        <v>06/2016</v>
      </c>
      <c r="M1813" s="82"/>
      <c r="N1813" s="82"/>
    </row>
    <row r="1814" spans="1:14" x14ac:dyDescent="0.25">
      <c r="A1814" s="170" t="s">
        <v>4672</v>
      </c>
      <c r="B1814" s="170" t="s">
        <v>4673</v>
      </c>
      <c r="C1814" s="170" t="s">
        <v>385</v>
      </c>
      <c r="D1814" s="170" t="s">
        <v>2067</v>
      </c>
      <c r="E1814" s="171" t="s">
        <v>29185</v>
      </c>
      <c r="F1814" s="171" t="s">
        <v>35732</v>
      </c>
      <c r="G1814" s="82"/>
      <c r="H1814" s="96">
        <f t="shared" si="112"/>
        <v>86.22</v>
      </c>
      <c r="I1814" s="96">
        <f t="shared" si="112"/>
        <v>88.55</v>
      </c>
      <c r="J1814" s="91" t="str">
        <f t="shared" si="113"/>
        <v>Sinapi 94289</v>
      </c>
      <c r="K1814" s="91" t="str">
        <f t="shared" si="114"/>
        <v>M</v>
      </c>
      <c r="L1814" s="166" t="str">
        <f t="shared" si="115"/>
        <v>06/2016</v>
      </c>
      <c r="M1814" s="82"/>
      <c r="N1814" s="82"/>
    </row>
    <row r="1815" spans="1:14" x14ac:dyDescent="0.25">
      <c r="A1815" s="170" t="s">
        <v>4674</v>
      </c>
      <c r="B1815" s="170" t="s">
        <v>4675</v>
      </c>
      <c r="C1815" s="170" t="s">
        <v>385</v>
      </c>
      <c r="D1815" s="170" t="s">
        <v>2067</v>
      </c>
      <c r="E1815" s="171" t="s">
        <v>23089</v>
      </c>
      <c r="F1815" s="171" t="s">
        <v>29218</v>
      </c>
      <c r="G1815" s="82"/>
      <c r="H1815" s="96">
        <f t="shared" si="112"/>
        <v>96.28</v>
      </c>
      <c r="I1815" s="96">
        <f t="shared" si="112"/>
        <v>99.74</v>
      </c>
      <c r="J1815" s="91" t="str">
        <f t="shared" si="113"/>
        <v>Sinapi 94290</v>
      </c>
      <c r="K1815" s="91" t="str">
        <f t="shared" si="114"/>
        <v>M</v>
      </c>
      <c r="L1815" s="166" t="str">
        <f t="shared" si="115"/>
        <v>06/2016</v>
      </c>
      <c r="M1815" s="82"/>
      <c r="N1815" s="82"/>
    </row>
    <row r="1816" spans="1:14" x14ac:dyDescent="0.25">
      <c r="A1816" s="170" t="s">
        <v>4676</v>
      </c>
      <c r="B1816" s="170" t="s">
        <v>4677</v>
      </c>
      <c r="C1816" s="170" t="s">
        <v>385</v>
      </c>
      <c r="D1816" s="170" t="s">
        <v>2067</v>
      </c>
      <c r="E1816" s="171" t="s">
        <v>22869</v>
      </c>
      <c r="F1816" s="171" t="s">
        <v>28699</v>
      </c>
      <c r="G1816" s="82"/>
      <c r="H1816" s="96">
        <f t="shared" si="112"/>
        <v>108.75</v>
      </c>
      <c r="I1816" s="96">
        <f t="shared" si="112"/>
        <v>111.22</v>
      </c>
      <c r="J1816" s="91" t="str">
        <f t="shared" si="113"/>
        <v>Sinapi 94291</v>
      </c>
      <c r="K1816" s="91" t="str">
        <f t="shared" si="114"/>
        <v>M</v>
      </c>
      <c r="L1816" s="166" t="str">
        <f t="shared" si="115"/>
        <v>06/2016</v>
      </c>
      <c r="M1816" s="82"/>
      <c r="N1816" s="82"/>
    </row>
    <row r="1817" spans="1:14" x14ac:dyDescent="0.25">
      <c r="A1817" s="170" t="s">
        <v>4678</v>
      </c>
      <c r="B1817" s="170" t="s">
        <v>4679</v>
      </c>
      <c r="C1817" s="170" t="s">
        <v>385</v>
      </c>
      <c r="D1817" s="170" t="s">
        <v>2067</v>
      </c>
      <c r="E1817" s="171" t="s">
        <v>32443</v>
      </c>
      <c r="F1817" s="171" t="s">
        <v>29154</v>
      </c>
      <c r="G1817" s="82"/>
      <c r="H1817" s="96">
        <f t="shared" si="112"/>
        <v>118.81</v>
      </c>
      <c r="I1817" s="96">
        <f t="shared" si="112"/>
        <v>122.41</v>
      </c>
      <c r="J1817" s="91" t="str">
        <f t="shared" si="113"/>
        <v>Sinapi 94292</v>
      </c>
      <c r="K1817" s="91" t="str">
        <f t="shared" si="114"/>
        <v>M</v>
      </c>
      <c r="L1817" s="166" t="str">
        <f t="shared" si="115"/>
        <v>06/2016</v>
      </c>
      <c r="M1817" s="82"/>
      <c r="N1817" s="82"/>
    </row>
    <row r="1818" spans="1:14" x14ac:dyDescent="0.25">
      <c r="A1818" s="170" t="s">
        <v>4680</v>
      </c>
      <c r="B1818" s="170" t="s">
        <v>4681</v>
      </c>
      <c r="C1818" s="170" t="s">
        <v>385</v>
      </c>
      <c r="D1818" s="170" t="s">
        <v>2067</v>
      </c>
      <c r="E1818" s="171" t="s">
        <v>32444</v>
      </c>
      <c r="F1818" s="171" t="s">
        <v>35733</v>
      </c>
      <c r="G1818" s="82"/>
      <c r="H1818" s="96">
        <f t="shared" si="112"/>
        <v>321.18</v>
      </c>
      <c r="I1818" s="96">
        <f t="shared" si="112"/>
        <v>325.12</v>
      </c>
      <c r="J1818" s="91" t="str">
        <f t="shared" si="113"/>
        <v>Sinapi 94293</v>
      </c>
      <c r="K1818" s="91" t="str">
        <f t="shared" si="114"/>
        <v>M</v>
      </c>
      <c r="L1818" s="166" t="str">
        <f t="shared" si="115"/>
        <v>06/2016</v>
      </c>
      <c r="M1818" s="82"/>
      <c r="N1818" s="82"/>
    </row>
    <row r="1819" spans="1:14" x14ac:dyDescent="0.25">
      <c r="A1819" s="170" t="s">
        <v>4682</v>
      </c>
      <c r="B1819" s="170" t="s">
        <v>4683</v>
      </c>
      <c r="C1819" s="170" t="s">
        <v>385</v>
      </c>
      <c r="D1819" s="170" t="s">
        <v>2067</v>
      </c>
      <c r="E1819" s="171" t="s">
        <v>19846</v>
      </c>
      <c r="F1819" s="171" t="s">
        <v>22023</v>
      </c>
      <c r="G1819" s="82"/>
      <c r="H1819" s="96">
        <f t="shared" si="112"/>
        <v>12.02</v>
      </c>
      <c r="I1819" s="96">
        <f t="shared" si="112"/>
        <v>12.35</v>
      </c>
      <c r="J1819" s="91" t="str">
        <f t="shared" si="113"/>
        <v>Sinapi 94294</v>
      </c>
      <c r="K1819" s="91" t="str">
        <f t="shared" si="114"/>
        <v>M</v>
      </c>
      <c r="L1819" s="166" t="str">
        <f t="shared" si="115"/>
        <v>06/2016</v>
      </c>
      <c r="M1819" s="82"/>
      <c r="N1819" s="82"/>
    </row>
    <row r="1820" spans="1:14" x14ac:dyDescent="0.25">
      <c r="A1820" s="170" t="s">
        <v>19884</v>
      </c>
      <c r="B1820" s="170" t="s">
        <v>19885</v>
      </c>
      <c r="C1820" s="170" t="s">
        <v>385</v>
      </c>
      <c r="D1820" s="170" t="s">
        <v>1947</v>
      </c>
      <c r="E1820" s="171" t="s">
        <v>32445</v>
      </c>
      <c r="F1820" s="171" t="s">
        <v>35734</v>
      </c>
      <c r="G1820" s="82"/>
      <c r="H1820" s="96">
        <f t="shared" si="112"/>
        <v>4128.51</v>
      </c>
      <c r="I1820" s="96">
        <f t="shared" si="112"/>
        <v>4135.3999999999996</v>
      </c>
      <c r="J1820" s="91" t="str">
        <f t="shared" si="113"/>
        <v>Sinapi 104491</v>
      </c>
      <c r="K1820" s="91" t="str">
        <f t="shared" si="114"/>
        <v>M</v>
      </c>
      <c r="L1820" s="166" t="str">
        <f t="shared" si="115"/>
        <v>01/2023</v>
      </c>
      <c r="M1820" s="82"/>
      <c r="N1820" s="82"/>
    </row>
    <row r="1821" spans="1:14" x14ac:dyDescent="0.25">
      <c r="A1821" s="170" t="s">
        <v>19886</v>
      </c>
      <c r="B1821" s="170" t="s">
        <v>19887</v>
      </c>
      <c r="C1821" s="170" t="s">
        <v>385</v>
      </c>
      <c r="D1821" s="170" t="s">
        <v>1947</v>
      </c>
      <c r="E1821" s="171" t="s">
        <v>32446</v>
      </c>
      <c r="F1821" s="171" t="s">
        <v>35735</v>
      </c>
      <c r="G1821" s="82"/>
      <c r="H1821" s="96">
        <f t="shared" si="112"/>
        <v>5162.8900000000003</v>
      </c>
      <c r="I1821" s="96">
        <f t="shared" si="112"/>
        <v>5171.34</v>
      </c>
      <c r="J1821" s="91" t="str">
        <f t="shared" si="113"/>
        <v>Sinapi 104492</v>
      </c>
      <c r="K1821" s="91" t="str">
        <f t="shared" si="114"/>
        <v>M</v>
      </c>
      <c r="L1821" s="166" t="str">
        <f t="shared" si="115"/>
        <v>01/2023</v>
      </c>
      <c r="M1821" s="82"/>
      <c r="N1821" s="82"/>
    </row>
    <row r="1822" spans="1:14" x14ac:dyDescent="0.25">
      <c r="A1822" s="170" t="s">
        <v>19888</v>
      </c>
      <c r="B1822" s="170" t="s">
        <v>19889</v>
      </c>
      <c r="C1822" s="170" t="s">
        <v>385</v>
      </c>
      <c r="D1822" s="170" t="s">
        <v>1947</v>
      </c>
      <c r="E1822" s="171" t="s">
        <v>32447</v>
      </c>
      <c r="F1822" s="171" t="s">
        <v>35736</v>
      </c>
      <c r="G1822" s="82"/>
      <c r="H1822" s="96">
        <f t="shared" si="112"/>
        <v>6975.09</v>
      </c>
      <c r="I1822" s="96">
        <f t="shared" si="112"/>
        <v>6985</v>
      </c>
      <c r="J1822" s="91" t="str">
        <f t="shared" si="113"/>
        <v>Sinapi 104494</v>
      </c>
      <c r="K1822" s="91" t="str">
        <f t="shared" si="114"/>
        <v>M</v>
      </c>
      <c r="L1822" s="166" t="str">
        <f t="shared" si="115"/>
        <v>01/2023</v>
      </c>
      <c r="M1822" s="82"/>
      <c r="N1822" s="82"/>
    </row>
    <row r="1823" spans="1:14" x14ac:dyDescent="0.25">
      <c r="A1823" s="170" t="s">
        <v>19890</v>
      </c>
      <c r="B1823" s="170" t="s">
        <v>19891</v>
      </c>
      <c r="C1823" s="170" t="s">
        <v>385</v>
      </c>
      <c r="D1823" s="170" t="s">
        <v>1947</v>
      </c>
      <c r="E1823" s="171" t="s">
        <v>32448</v>
      </c>
      <c r="F1823" s="171" t="s">
        <v>35737</v>
      </c>
      <c r="G1823" s="82"/>
      <c r="H1823" s="96">
        <f t="shared" si="112"/>
        <v>8351.19</v>
      </c>
      <c r="I1823" s="96">
        <f t="shared" si="112"/>
        <v>8363.91</v>
      </c>
      <c r="J1823" s="91" t="str">
        <f t="shared" si="113"/>
        <v>Sinapi 104497</v>
      </c>
      <c r="K1823" s="91" t="str">
        <f t="shared" si="114"/>
        <v>M</v>
      </c>
      <c r="L1823" s="166" t="str">
        <f t="shared" si="115"/>
        <v>01/2023</v>
      </c>
      <c r="M1823" s="82"/>
      <c r="N1823" s="82"/>
    </row>
    <row r="1824" spans="1:14" x14ac:dyDescent="0.25">
      <c r="A1824" s="170" t="s">
        <v>19892</v>
      </c>
      <c r="B1824" s="170" t="s">
        <v>19893</v>
      </c>
      <c r="C1824" s="170" t="s">
        <v>870</v>
      </c>
      <c r="D1824" s="170" t="s">
        <v>2067</v>
      </c>
      <c r="E1824" s="171" t="s">
        <v>20029</v>
      </c>
      <c r="F1824" s="171" t="s">
        <v>22722</v>
      </c>
      <c r="G1824" s="82"/>
      <c r="H1824" s="96">
        <f t="shared" si="112"/>
        <v>17.28</v>
      </c>
      <c r="I1824" s="96">
        <f t="shared" si="112"/>
        <v>17.32</v>
      </c>
      <c r="J1824" s="91" t="str">
        <f t="shared" si="113"/>
        <v>Sinapi 104515</v>
      </c>
      <c r="K1824" s="91" t="str">
        <f t="shared" si="114"/>
        <v>M2</v>
      </c>
      <c r="L1824" s="166" t="str">
        <f t="shared" si="115"/>
        <v>01/2023</v>
      </c>
      <c r="M1824" s="82"/>
      <c r="N1824" s="82"/>
    </row>
    <row r="1825" spans="1:14" x14ac:dyDescent="0.25">
      <c r="A1825" s="170" t="s">
        <v>13966</v>
      </c>
      <c r="B1825" s="170" t="s">
        <v>13967</v>
      </c>
      <c r="C1825" s="170" t="s">
        <v>870</v>
      </c>
      <c r="D1825" s="170" t="s">
        <v>2067</v>
      </c>
      <c r="E1825" s="171" t="s">
        <v>32449</v>
      </c>
      <c r="F1825" s="171" t="s">
        <v>35738</v>
      </c>
      <c r="G1825" s="82"/>
      <c r="H1825" s="96">
        <f t="shared" si="112"/>
        <v>102.16</v>
      </c>
      <c r="I1825" s="96">
        <f t="shared" si="112"/>
        <v>106.77</v>
      </c>
      <c r="J1825" s="91" t="str">
        <f t="shared" si="113"/>
        <v>Sinapi 102727</v>
      </c>
      <c r="K1825" s="91" t="str">
        <f t="shared" si="114"/>
        <v>M2</v>
      </c>
      <c r="L1825" s="166" t="str">
        <f t="shared" si="115"/>
        <v>07/2021</v>
      </c>
      <c r="M1825" s="82"/>
      <c r="N1825" s="82"/>
    </row>
    <row r="1826" spans="1:14" x14ac:dyDescent="0.25">
      <c r="A1826" s="170" t="s">
        <v>13968</v>
      </c>
      <c r="B1826" s="170" t="s">
        <v>13969</v>
      </c>
      <c r="C1826" s="170" t="s">
        <v>774</v>
      </c>
      <c r="D1826" s="170" t="s">
        <v>1947</v>
      </c>
      <c r="E1826" s="171" t="s">
        <v>15551</v>
      </c>
      <c r="F1826" s="171" t="s">
        <v>17707</v>
      </c>
      <c r="G1826" s="82"/>
      <c r="H1826" s="96">
        <f t="shared" si="112"/>
        <v>16.670000000000002</v>
      </c>
      <c r="I1826" s="96">
        <f t="shared" si="112"/>
        <v>17.14</v>
      </c>
      <c r="J1826" s="91" t="str">
        <f t="shared" si="113"/>
        <v>Sinapi 102728</v>
      </c>
      <c r="K1826" s="91" t="str">
        <f t="shared" si="114"/>
        <v>KG</v>
      </c>
      <c r="L1826" s="166" t="str">
        <f t="shared" si="115"/>
        <v>07/2021</v>
      </c>
      <c r="M1826" s="82"/>
      <c r="N1826" s="82"/>
    </row>
    <row r="1827" spans="1:14" x14ac:dyDescent="0.25">
      <c r="A1827" s="170" t="s">
        <v>13970</v>
      </c>
      <c r="B1827" s="170" t="s">
        <v>13971</v>
      </c>
      <c r="C1827" s="170" t="s">
        <v>774</v>
      </c>
      <c r="D1827" s="170" t="s">
        <v>1947</v>
      </c>
      <c r="E1827" s="171" t="s">
        <v>9830</v>
      </c>
      <c r="F1827" s="171" t="s">
        <v>27382</v>
      </c>
      <c r="G1827" s="82"/>
      <c r="H1827" s="96">
        <f t="shared" si="112"/>
        <v>15.9</v>
      </c>
      <c r="I1827" s="96">
        <f t="shared" si="112"/>
        <v>16.239999999999998</v>
      </c>
      <c r="J1827" s="91" t="str">
        <f t="shared" si="113"/>
        <v>Sinapi 102729</v>
      </c>
      <c r="K1827" s="91" t="str">
        <f t="shared" si="114"/>
        <v>KG</v>
      </c>
      <c r="L1827" s="166" t="str">
        <f t="shared" si="115"/>
        <v>07/2021</v>
      </c>
      <c r="M1827" s="82"/>
      <c r="N1827" s="82"/>
    </row>
    <row r="1828" spans="1:14" x14ac:dyDescent="0.25">
      <c r="A1828" s="170" t="s">
        <v>13972</v>
      </c>
      <c r="B1828" s="170" t="s">
        <v>13973</v>
      </c>
      <c r="C1828" s="170" t="s">
        <v>774</v>
      </c>
      <c r="D1828" s="170" t="s">
        <v>1947</v>
      </c>
      <c r="E1828" s="171" t="s">
        <v>19367</v>
      </c>
      <c r="F1828" s="171" t="s">
        <v>20116</v>
      </c>
      <c r="G1828" s="82"/>
      <c r="H1828" s="96">
        <f t="shared" si="112"/>
        <v>14.36</v>
      </c>
      <c r="I1828" s="96">
        <f t="shared" si="112"/>
        <v>14.59</v>
      </c>
      <c r="J1828" s="91" t="str">
        <f t="shared" si="113"/>
        <v>Sinapi 102730</v>
      </c>
      <c r="K1828" s="91" t="str">
        <f t="shared" si="114"/>
        <v>KG</v>
      </c>
      <c r="L1828" s="166" t="str">
        <f t="shared" si="115"/>
        <v>07/2021</v>
      </c>
      <c r="M1828" s="82"/>
      <c r="N1828" s="82"/>
    </row>
    <row r="1829" spans="1:14" x14ac:dyDescent="0.25">
      <c r="A1829" s="170" t="s">
        <v>13974</v>
      </c>
      <c r="B1829" s="170" t="s">
        <v>13975</v>
      </c>
      <c r="C1829" s="170" t="s">
        <v>774</v>
      </c>
      <c r="D1829" s="170" t="s">
        <v>1947</v>
      </c>
      <c r="E1829" s="171" t="s">
        <v>21809</v>
      </c>
      <c r="F1829" s="171" t="s">
        <v>22023</v>
      </c>
      <c r="G1829" s="82"/>
      <c r="H1829" s="96">
        <f t="shared" si="112"/>
        <v>12.19</v>
      </c>
      <c r="I1829" s="96">
        <f t="shared" si="112"/>
        <v>12.35</v>
      </c>
      <c r="J1829" s="91" t="str">
        <f t="shared" si="113"/>
        <v>Sinapi 102731</v>
      </c>
      <c r="K1829" s="91" t="str">
        <f t="shared" si="114"/>
        <v>KG</v>
      </c>
      <c r="L1829" s="166" t="str">
        <f t="shared" si="115"/>
        <v>07/2021</v>
      </c>
      <c r="M1829" s="82"/>
      <c r="N1829" s="82"/>
    </row>
    <row r="1830" spans="1:14" x14ac:dyDescent="0.25">
      <c r="A1830" s="170" t="s">
        <v>13976</v>
      </c>
      <c r="B1830" s="170" t="s">
        <v>13977</v>
      </c>
      <c r="C1830" s="170" t="s">
        <v>774</v>
      </c>
      <c r="D1830" s="170" t="s">
        <v>1947</v>
      </c>
      <c r="E1830" s="171" t="s">
        <v>15527</v>
      </c>
      <c r="F1830" s="171" t="s">
        <v>19835</v>
      </c>
      <c r="G1830" s="82"/>
      <c r="H1830" s="96">
        <f t="shared" si="112"/>
        <v>11.65</v>
      </c>
      <c r="I1830" s="96">
        <f t="shared" si="112"/>
        <v>11.77</v>
      </c>
      <c r="J1830" s="91" t="str">
        <f t="shared" si="113"/>
        <v>Sinapi 102732</v>
      </c>
      <c r="K1830" s="91" t="str">
        <f t="shared" si="114"/>
        <v>KG</v>
      </c>
      <c r="L1830" s="166" t="str">
        <f t="shared" si="115"/>
        <v>07/2021</v>
      </c>
      <c r="M1830" s="82"/>
      <c r="N1830" s="82"/>
    </row>
    <row r="1831" spans="1:14" x14ac:dyDescent="0.25">
      <c r="A1831" s="170" t="s">
        <v>13978</v>
      </c>
      <c r="B1831" s="170" t="s">
        <v>13979</v>
      </c>
      <c r="C1831" s="170" t="s">
        <v>774</v>
      </c>
      <c r="D1831" s="170" t="s">
        <v>1947</v>
      </c>
      <c r="E1831" s="171" t="s">
        <v>29582</v>
      </c>
      <c r="F1831" s="171" t="s">
        <v>21494</v>
      </c>
      <c r="G1831" s="82"/>
      <c r="H1831" s="96">
        <f t="shared" si="112"/>
        <v>13.15</v>
      </c>
      <c r="I1831" s="96">
        <f t="shared" si="112"/>
        <v>13.21</v>
      </c>
      <c r="J1831" s="91" t="str">
        <f t="shared" si="113"/>
        <v>Sinapi 102733</v>
      </c>
      <c r="K1831" s="91" t="str">
        <f t="shared" si="114"/>
        <v>KG</v>
      </c>
      <c r="L1831" s="166" t="str">
        <f t="shared" si="115"/>
        <v>07/2021</v>
      </c>
      <c r="M1831" s="82"/>
      <c r="N1831" s="82"/>
    </row>
    <row r="1832" spans="1:14" x14ac:dyDescent="0.25">
      <c r="A1832" s="170" t="s">
        <v>13980</v>
      </c>
      <c r="B1832" s="170" t="s">
        <v>13981</v>
      </c>
      <c r="C1832" s="170" t="s">
        <v>774</v>
      </c>
      <c r="D1832" s="170" t="s">
        <v>1947</v>
      </c>
      <c r="E1832" s="171" t="s">
        <v>9830</v>
      </c>
      <c r="F1832" s="171" t="s">
        <v>21477</v>
      </c>
      <c r="G1832" s="82"/>
      <c r="H1832" s="96">
        <f t="shared" si="112"/>
        <v>15.9</v>
      </c>
      <c r="I1832" s="96">
        <f t="shared" si="112"/>
        <v>16.25</v>
      </c>
      <c r="J1832" s="91" t="str">
        <f t="shared" si="113"/>
        <v>Sinapi 102734</v>
      </c>
      <c r="K1832" s="91" t="str">
        <f t="shared" si="114"/>
        <v>KG</v>
      </c>
      <c r="L1832" s="166" t="str">
        <f t="shared" si="115"/>
        <v>07/2021</v>
      </c>
      <c r="M1832" s="82"/>
      <c r="N1832" s="82"/>
    </row>
    <row r="1833" spans="1:14" x14ac:dyDescent="0.25">
      <c r="A1833" s="170" t="s">
        <v>13982</v>
      </c>
      <c r="B1833" s="170" t="s">
        <v>13983</v>
      </c>
      <c r="C1833" s="170" t="s">
        <v>774</v>
      </c>
      <c r="D1833" s="170" t="s">
        <v>1947</v>
      </c>
      <c r="E1833" s="171" t="s">
        <v>14899</v>
      </c>
      <c r="F1833" s="171" t="s">
        <v>28576</v>
      </c>
      <c r="G1833" s="82"/>
      <c r="H1833" s="96">
        <f t="shared" si="112"/>
        <v>15.22</v>
      </c>
      <c r="I1833" s="96">
        <f t="shared" si="112"/>
        <v>15.45</v>
      </c>
      <c r="J1833" s="91" t="str">
        <f t="shared" si="113"/>
        <v>Sinapi 102735</v>
      </c>
      <c r="K1833" s="91" t="str">
        <f t="shared" si="114"/>
        <v>KG</v>
      </c>
      <c r="L1833" s="166" t="str">
        <f t="shared" si="115"/>
        <v>07/2021</v>
      </c>
      <c r="M1833" s="82"/>
      <c r="N1833" s="82"/>
    </row>
    <row r="1834" spans="1:14" x14ac:dyDescent="0.25">
      <c r="A1834" s="170" t="s">
        <v>13984</v>
      </c>
      <c r="B1834" s="170" t="s">
        <v>13985</v>
      </c>
      <c r="C1834" s="170" t="s">
        <v>85</v>
      </c>
      <c r="D1834" s="170" t="s">
        <v>1947</v>
      </c>
      <c r="E1834" s="171" t="s">
        <v>32450</v>
      </c>
      <c r="F1834" s="171" t="s">
        <v>35739</v>
      </c>
      <c r="G1834" s="82"/>
      <c r="H1834" s="96">
        <f t="shared" si="112"/>
        <v>1355.62</v>
      </c>
      <c r="I1834" s="96">
        <f t="shared" si="112"/>
        <v>1360.02</v>
      </c>
      <c r="J1834" s="91" t="str">
        <f t="shared" si="113"/>
        <v>Sinapi 102736</v>
      </c>
      <c r="K1834" s="91" t="str">
        <f t="shared" si="114"/>
        <v>M3</v>
      </c>
      <c r="L1834" s="166" t="str">
        <f t="shared" si="115"/>
        <v>07/2021</v>
      </c>
      <c r="M1834" s="82"/>
      <c r="N1834" s="82"/>
    </row>
    <row r="1835" spans="1:14" x14ac:dyDescent="0.25">
      <c r="A1835" s="170" t="s">
        <v>13986</v>
      </c>
      <c r="B1835" s="170" t="s">
        <v>13987</v>
      </c>
      <c r="C1835" s="170" t="s">
        <v>205</v>
      </c>
      <c r="D1835" s="170" t="s">
        <v>1947</v>
      </c>
      <c r="E1835" s="171" t="s">
        <v>32451</v>
      </c>
      <c r="F1835" s="171" t="s">
        <v>35740</v>
      </c>
      <c r="G1835" s="82"/>
      <c r="H1835" s="96">
        <f t="shared" si="112"/>
        <v>1470.06</v>
      </c>
      <c r="I1835" s="96">
        <f t="shared" si="112"/>
        <v>1501.35</v>
      </c>
      <c r="J1835" s="91" t="str">
        <f t="shared" si="113"/>
        <v>Sinapi 102737</v>
      </c>
      <c r="K1835" s="91" t="str">
        <f t="shared" si="114"/>
        <v>UN</v>
      </c>
      <c r="L1835" s="166" t="str">
        <f t="shared" si="115"/>
        <v>07/2021</v>
      </c>
      <c r="M1835" s="82"/>
      <c r="N1835" s="82"/>
    </row>
    <row r="1836" spans="1:14" x14ac:dyDescent="0.25">
      <c r="A1836" s="170" t="s">
        <v>13988</v>
      </c>
      <c r="B1836" s="170" t="s">
        <v>13989</v>
      </c>
      <c r="C1836" s="170" t="s">
        <v>205</v>
      </c>
      <c r="D1836" s="170" t="s">
        <v>1947</v>
      </c>
      <c r="E1836" s="171" t="s">
        <v>32452</v>
      </c>
      <c r="F1836" s="171" t="s">
        <v>35741</v>
      </c>
      <c r="G1836" s="82"/>
      <c r="H1836" s="96">
        <f t="shared" si="112"/>
        <v>3061.02</v>
      </c>
      <c r="I1836" s="96">
        <f t="shared" si="112"/>
        <v>3122.21</v>
      </c>
      <c r="J1836" s="91" t="str">
        <f t="shared" si="113"/>
        <v>Sinapi 102738</v>
      </c>
      <c r="K1836" s="91" t="str">
        <f t="shared" si="114"/>
        <v>UN</v>
      </c>
      <c r="L1836" s="166" t="str">
        <f t="shared" si="115"/>
        <v>07/2021</v>
      </c>
      <c r="M1836" s="82"/>
      <c r="N1836" s="82"/>
    </row>
    <row r="1837" spans="1:14" x14ac:dyDescent="0.25">
      <c r="A1837" s="170" t="s">
        <v>13990</v>
      </c>
      <c r="B1837" s="170" t="s">
        <v>13991</v>
      </c>
      <c r="C1837" s="170" t="s">
        <v>205</v>
      </c>
      <c r="D1837" s="170" t="s">
        <v>1947</v>
      </c>
      <c r="E1837" s="171" t="s">
        <v>32453</v>
      </c>
      <c r="F1837" s="171" t="s">
        <v>35742</v>
      </c>
      <c r="G1837" s="82"/>
      <c r="H1837" s="96">
        <f t="shared" si="112"/>
        <v>5168.8</v>
      </c>
      <c r="I1837" s="96">
        <f t="shared" si="112"/>
        <v>5268.81</v>
      </c>
      <c r="J1837" s="91" t="str">
        <f t="shared" si="113"/>
        <v>Sinapi 102739</v>
      </c>
      <c r="K1837" s="91" t="str">
        <f t="shared" si="114"/>
        <v>UN</v>
      </c>
      <c r="L1837" s="166" t="str">
        <f t="shared" si="115"/>
        <v>07/2021</v>
      </c>
      <c r="M1837" s="82"/>
      <c r="N1837" s="82"/>
    </row>
    <row r="1838" spans="1:14" x14ac:dyDescent="0.25">
      <c r="A1838" s="170" t="s">
        <v>13992</v>
      </c>
      <c r="B1838" s="170" t="s">
        <v>13993</v>
      </c>
      <c r="C1838" s="170" t="s">
        <v>205</v>
      </c>
      <c r="D1838" s="170" t="s">
        <v>1947</v>
      </c>
      <c r="E1838" s="171" t="s">
        <v>32454</v>
      </c>
      <c r="F1838" s="171" t="s">
        <v>35743</v>
      </c>
      <c r="G1838" s="82"/>
      <c r="H1838" s="96">
        <f t="shared" si="112"/>
        <v>7809.77</v>
      </c>
      <c r="I1838" s="96">
        <f t="shared" si="112"/>
        <v>7956.09</v>
      </c>
      <c r="J1838" s="91" t="str">
        <f t="shared" si="113"/>
        <v>Sinapi 102740</v>
      </c>
      <c r="K1838" s="91" t="str">
        <f t="shared" si="114"/>
        <v>UN</v>
      </c>
      <c r="L1838" s="166" t="str">
        <f t="shared" si="115"/>
        <v>07/2021</v>
      </c>
      <c r="M1838" s="82"/>
      <c r="N1838" s="82"/>
    </row>
    <row r="1839" spans="1:14" x14ac:dyDescent="0.25">
      <c r="A1839" s="170" t="s">
        <v>13994</v>
      </c>
      <c r="B1839" s="170" t="s">
        <v>13995</v>
      </c>
      <c r="C1839" s="170" t="s">
        <v>205</v>
      </c>
      <c r="D1839" s="170" t="s">
        <v>1947</v>
      </c>
      <c r="E1839" s="171" t="s">
        <v>32455</v>
      </c>
      <c r="F1839" s="171" t="s">
        <v>35744</v>
      </c>
      <c r="G1839" s="82"/>
      <c r="H1839" s="96">
        <f t="shared" si="112"/>
        <v>11044.11</v>
      </c>
      <c r="I1839" s="96">
        <f t="shared" si="112"/>
        <v>11244.7</v>
      </c>
      <c r="J1839" s="91" t="str">
        <f t="shared" si="113"/>
        <v>Sinapi 102741</v>
      </c>
      <c r="K1839" s="91" t="str">
        <f t="shared" si="114"/>
        <v>UN</v>
      </c>
      <c r="L1839" s="166" t="str">
        <f t="shared" si="115"/>
        <v>07/2021</v>
      </c>
      <c r="M1839" s="82"/>
      <c r="N1839" s="82"/>
    </row>
    <row r="1840" spans="1:14" x14ac:dyDescent="0.25">
      <c r="A1840" s="170" t="s">
        <v>13996</v>
      </c>
      <c r="B1840" s="170" t="s">
        <v>13997</v>
      </c>
      <c r="C1840" s="170" t="s">
        <v>205</v>
      </c>
      <c r="D1840" s="170" t="s">
        <v>1947</v>
      </c>
      <c r="E1840" s="171" t="s">
        <v>32456</v>
      </c>
      <c r="F1840" s="171" t="s">
        <v>35745</v>
      </c>
      <c r="G1840" s="82"/>
      <c r="H1840" s="96">
        <f t="shared" si="112"/>
        <v>19272.189999999999</v>
      </c>
      <c r="I1840" s="96">
        <f t="shared" si="112"/>
        <v>19610.91</v>
      </c>
      <c r="J1840" s="91" t="str">
        <f t="shared" si="113"/>
        <v>Sinapi 102742</v>
      </c>
      <c r="K1840" s="91" t="str">
        <f t="shared" si="114"/>
        <v>UN</v>
      </c>
      <c r="L1840" s="166" t="str">
        <f t="shared" si="115"/>
        <v>07/2021</v>
      </c>
      <c r="M1840" s="82"/>
      <c r="N1840" s="82"/>
    </row>
    <row r="1841" spans="1:14" x14ac:dyDescent="0.25">
      <c r="A1841" s="170" t="s">
        <v>13998</v>
      </c>
      <c r="B1841" s="170" t="s">
        <v>13999</v>
      </c>
      <c r="C1841" s="170" t="s">
        <v>205</v>
      </c>
      <c r="D1841" s="170" t="s">
        <v>1947</v>
      </c>
      <c r="E1841" s="171" t="s">
        <v>32457</v>
      </c>
      <c r="F1841" s="171" t="s">
        <v>35746</v>
      </c>
      <c r="G1841" s="82"/>
      <c r="H1841" s="96">
        <f t="shared" si="112"/>
        <v>6270.9</v>
      </c>
      <c r="I1841" s="96">
        <f t="shared" si="112"/>
        <v>6391.39</v>
      </c>
      <c r="J1841" s="91" t="str">
        <f t="shared" si="113"/>
        <v>Sinapi 102743</v>
      </c>
      <c r="K1841" s="91" t="str">
        <f t="shared" si="114"/>
        <v>UN</v>
      </c>
      <c r="L1841" s="166" t="str">
        <f t="shared" si="115"/>
        <v>07/2021</v>
      </c>
      <c r="M1841" s="82"/>
      <c r="N1841" s="82"/>
    </row>
    <row r="1842" spans="1:14" x14ac:dyDescent="0.25">
      <c r="A1842" s="170" t="s">
        <v>14000</v>
      </c>
      <c r="B1842" s="170" t="s">
        <v>14001</v>
      </c>
      <c r="C1842" s="170" t="s">
        <v>205</v>
      </c>
      <c r="D1842" s="170" t="s">
        <v>1947</v>
      </c>
      <c r="E1842" s="171" t="s">
        <v>32458</v>
      </c>
      <c r="F1842" s="171" t="s">
        <v>35747</v>
      </c>
      <c r="G1842" s="82"/>
      <c r="H1842" s="96">
        <f t="shared" si="112"/>
        <v>9472.02</v>
      </c>
      <c r="I1842" s="96">
        <f t="shared" si="112"/>
        <v>9647.9699999999993</v>
      </c>
      <c r="J1842" s="91" t="str">
        <f t="shared" si="113"/>
        <v>Sinapi 102744</v>
      </c>
      <c r="K1842" s="91" t="str">
        <f t="shared" si="114"/>
        <v>UN</v>
      </c>
      <c r="L1842" s="166" t="str">
        <f t="shared" si="115"/>
        <v>07/2021</v>
      </c>
      <c r="M1842" s="82"/>
      <c r="N1842" s="82"/>
    </row>
    <row r="1843" spans="1:14" x14ac:dyDescent="0.25">
      <c r="A1843" s="170" t="s">
        <v>14002</v>
      </c>
      <c r="B1843" s="170" t="s">
        <v>14003</v>
      </c>
      <c r="C1843" s="170" t="s">
        <v>205</v>
      </c>
      <c r="D1843" s="170" t="s">
        <v>1947</v>
      </c>
      <c r="E1843" s="171" t="s">
        <v>32459</v>
      </c>
      <c r="F1843" s="171" t="s">
        <v>35748</v>
      </c>
      <c r="G1843" s="82"/>
      <c r="H1843" s="96">
        <f t="shared" si="112"/>
        <v>13416.11</v>
      </c>
      <c r="I1843" s="96">
        <f t="shared" si="112"/>
        <v>13657.38</v>
      </c>
      <c r="J1843" s="91" t="str">
        <f t="shared" si="113"/>
        <v>Sinapi 102745</v>
      </c>
      <c r="K1843" s="91" t="str">
        <f t="shared" si="114"/>
        <v>UN</v>
      </c>
      <c r="L1843" s="166" t="str">
        <f t="shared" si="115"/>
        <v>07/2021</v>
      </c>
      <c r="M1843" s="82"/>
      <c r="N1843" s="82"/>
    </row>
    <row r="1844" spans="1:14" x14ac:dyDescent="0.25">
      <c r="A1844" s="170" t="s">
        <v>14004</v>
      </c>
      <c r="B1844" s="170" t="s">
        <v>14005</v>
      </c>
      <c r="C1844" s="170" t="s">
        <v>205</v>
      </c>
      <c r="D1844" s="170" t="s">
        <v>1947</v>
      </c>
      <c r="E1844" s="171" t="s">
        <v>32460</v>
      </c>
      <c r="F1844" s="171" t="s">
        <v>35749</v>
      </c>
      <c r="G1844" s="82"/>
      <c r="H1844" s="96">
        <f t="shared" si="112"/>
        <v>23448.78</v>
      </c>
      <c r="I1844" s="96">
        <f t="shared" si="112"/>
        <v>23856.01</v>
      </c>
      <c r="J1844" s="91" t="str">
        <f t="shared" si="113"/>
        <v>Sinapi 102746</v>
      </c>
      <c r="K1844" s="91" t="str">
        <f t="shared" si="114"/>
        <v>UN</v>
      </c>
      <c r="L1844" s="166" t="str">
        <f t="shared" si="115"/>
        <v>07/2021</v>
      </c>
      <c r="M1844" s="82"/>
      <c r="N1844" s="82"/>
    </row>
    <row r="1845" spans="1:14" x14ac:dyDescent="0.25">
      <c r="A1845" s="170" t="s">
        <v>14006</v>
      </c>
      <c r="B1845" s="170" t="s">
        <v>14007</v>
      </c>
      <c r="C1845" s="170" t="s">
        <v>205</v>
      </c>
      <c r="D1845" s="170" t="s">
        <v>1947</v>
      </c>
      <c r="E1845" s="171" t="s">
        <v>32461</v>
      </c>
      <c r="F1845" s="171" t="s">
        <v>35750</v>
      </c>
      <c r="G1845" s="82"/>
      <c r="H1845" s="96">
        <f t="shared" si="112"/>
        <v>11803.69</v>
      </c>
      <c r="I1845" s="96">
        <f t="shared" si="112"/>
        <v>12019.18</v>
      </c>
      <c r="J1845" s="91" t="str">
        <f t="shared" si="113"/>
        <v>Sinapi 102747</v>
      </c>
      <c r="K1845" s="91" t="str">
        <f t="shared" si="114"/>
        <v>UN</v>
      </c>
      <c r="L1845" s="166" t="str">
        <f t="shared" si="115"/>
        <v>07/2021</v>
      </c>
      <c r="M1845" s="82"/>
      <c r="N1845" s="82"/>
    </row>
    <row r="1846" spans="1:14" x14ac:dyDescent="0.25">
      <c r="A1846" s="170" t="s">
        <v>14008</v>
      </c>
      <c r="B1846" s="170" t="s">
        <v>14009</v>
      </c>
      <c r="C1846" s="170" t="s">
        <v>205</v>
      </c>
      <c r="D1846" s="170" t="s">
        <v>1947</v>
      </c>
      <c r="E1846" s="171" t="s">
        <v>32462</v>
      </c>
      <c r="F1846" s="171" t="s">
        <v>35751</v>
      </c>
      <c r="G1846" s="82"/>
      <c r="H1846" s="96">
        <f t="shared" si="112"/>
        <v>16639.05</v>
      </c>
      <c r="I1846" s="96">
        <f t="shared" si="112"/>
        <v>16933.57</v>
      </c>
      <c r="J1846" s="91" t="str">
        <f t="shared" si="113"/>
        <v>Sinapi 102748</v>
      </c>
      <c r="K1846" s="91" t="str">
        <f t="shared" si="114"/>
        <v>UN</v>
      </c>
      <c r="L1846" s="166" t="str">
        <f t="shared" si="115"/>
        <v>07/2021</v>
      </c>
      <c r="M1846" s="82"/>
      <c r="N1846" s="82"/>
    </row>
    <row r="1847" spans="1:14" x14ac:dyDescent="0.25">
      <c r="A1847" s="170" t="s">
        <v>14010</v>
      </c>
      <c r="B1847" s="170" t="s">
        <v>14011</v>
      </c>
      <c r="C1847" s="170" t="s">
        <v>205</v>
      </c>
      <c r="D1847" s="170" t="s">
        <v>1947</v>
      </c>
      <c r="E1847" s="171" t="s">
        <v>32463</v>
      </c>
      <c r="F1847" s="171" t="s">
        <v>35752</v>
      </c>
      <c r="G1847" s="82"/>
      <c r="H1847" s="96">
        <f t="shared" si="112"/>
        <v>28799.27</v>
      </c>
      <c r="I1847" s="96">
        <f t="shared" si="112"/>
        <v>29291.49</v>
      </c>
      <c r="J1847" s="91" t="str">
        <f t="shared" si="113"/>
        <v>Sinapi 102749</v>
      </c>
      <c r="K1847" s="91" t="str">
        <f t="shared" si="114"/>
        <v>UN</v>
      </c>
      <c r="L1847" s="166" t="str">
        <f t="shared" si="115"/>
        <v>07/2021</v>
      </c>
      <c r="M1847" s="82"/>
      <c r="N1847" s="82"/>
    </row>
    <row r="1848" spans="1:14" x14ac:dyDescent="0.25">
      <c r="A1848" s="170" t="s">
        <v>14012</v>
      </c>
      <c r="B1848" s="170" t="s">
        <v>14013</v>
      </c>
      <c r="C1848" s="170" t="s">
        <v>205</v>
      </c>
      <c r="D1848" s="170" t="s">
        <v>1947</v>
      </c>
      <c r="E1848" s="171" t="s">
        <v>32464</v>
      </c>
      <c r="F1848" s="171" t="s">
        <v>35753</v>
      </c>
      <c r="G1848" s="82"/>
      <c r="H1848" s="96">
        <f t="shared" si="112"/>
        <v>3754.59</v>
      </c>
      <c r="I1848" s="96">
        <f t="shared" si="112"/>
        <v>3827.94</v>
      </c>
      <c r="J1848" s="91" t="str">
        <f t="shared" si="113"/>
        <v>Sinapi 102750</v>
      </c>
      <c r="K1848" s="91" t="str">
        <f t="shared" si="114"/>
        <v>UN</v>
      </c>
      <c r="L1848" s="166" t="str">
        <f t="shared" si="115"/>
        <v>07/2021</v>
      </c>
      <c r="M1848" s="82"/>
      <c r="N1848" s="82"/>
    </row>
    <row r="1849" spans="1:14" x14ac:dyDescent="0.25">
      <c r="A1849" s="170" t="s">
        <v>14014</v>
      </c>
      <c r="B1849" s="170" t="s">
        <v>14015</v>
      </c>
      <c r="C1849" s="170" t="s">
        <v>205</v>
      </c>
      <c r="D1849" s="170" t="s">
        <v>1947</v>
      </c>
      <c r="E1849" s="171" t="s">
        <v>32465</v>
      </c>
      <c r="F1849" s="171" t="s">
        <v>35754</v>
      </c>
      <c r="G1849" s="82"/>
      <c r="H1849" s="96">
        <f t="shared" si="112"/>
        <v>6622.69</v>
      </c>
      <c r="I1849" s="96">
        <f t="shared" si="112"/>
        <v>6744.51</v>
      </c>
      <c r="J1849" s="91" t="str">
        <f t="shared" si="113"/>
        <v>Sinapi 102751</v>
      </c>
      <c r="K1849" s="91" t="str">
        <f t="shared" si="114"/>
        <v>UN</v>
      </c>
      <c r="L1849" s="166" t="str">
        <f t="shared" si="115"/>
        <v>07/2021</v>
      </c>
      <c r="M1849" s="82"/>
      <c r="N1849" s="82"/>
    </row>
    <row r="1850" spans="1:14" x14ac:dyDescent="0.25">
      <c r="A1850" s="170" t="s">
        <v>14016</v>
      </c>
      <c r="B1850" s="170" t="s">
        <v>14017</v>
      </c>
      <c r="C1850" s="170" t="s">
        <v>205</v>
      </c>
      <c r="D1850" s="170" t="s">
        <v>1947</v>
      </c>
      <c r="E1850" s="171" t="s">
        <v>32466</v>
      </c>
      <c r="F1850" s="171" t="s">
        <v>35755</v>
      </c>
      <c r="G1850" s="82"/>
      <c r="H1850" s="96">
        <f t="shared" si="112"/>
        <v>10667.38</v>
      </c>
      <c r="I1850" s="96">
        <f t="shared" si="112"/>
        <v>10854.9</v>
      </c>
      <c r="J1850" s="91" t="str">
        <f t="shared" si="113"/>
        <v>Sinapi 102752</v>
      </c>
      <c r="K1850" s="91" t="str">
        <f t="shared" si="114"/>
        <v>UN</v>
      </c>
      <c r="L1850" s="166" t="str">
        <f t="shared" si="115"/>
        <v>07/2021</v>
      </c>
      <c r="M1850" s="82"/>
      <c r="N1850" s="82"/>
    </row>
    <row r="1851" spans="1:14" x14ac:dyDescent="0.25">
      <c r="A1851" s="170" t="s">
        <v>14018</v>
      </c>
      <c r="B1851" s="170" t="s">
        <v>14019</v>
      </c>
      <c r="C1851" s="170" t="s">
        <v>205</v>
      </c>
      <c r="D1851" s="170" t="s">
        <v>1947</v>
      </c>
      <c r="E1851" s="171" t="s">
        <v>32467</v>
      </c>
      <c r="F1851" s="171" t="s">
        <v>35756</v>
      </c>
      <c r="G1851" s="82"/>
      <c r="H1851" s="96">
        <f t="shared" si="112"/>
        <v>15939.69</v>
      </c>
      <c r="I1851" s="96">
        <f t="shared" si="112"/>
        <v>16208.93</v>
      </c>
      <c r="J1851" s="91" t="str">
        <f t="shared" si="113"/>
        <v>Sinapi 102753</v>
      </c>
      <c r="K1851" s="91" t="str">
        <f t="shared" si="114"/>
        <v>UN</v>
      </c>
      <c r="L1851" s="166" t="str">
        <f t="shared" si="115"/>
        <v>07/2021</v>
      </c>
      <c r="M1851" s="82"/>
      <c r="N1851" s="82"/>
    </row>
    <row r="1852" spans="1:14" x14ac:dyDescent="0.25">
      <c r="A1852" s="170" t="s">
        <v>14020</v>
      </c>
      <c r="B1852" s="170" t="s">
        <v>14021</v>
      </c>
      <c r="C1852" s="170" t="s">
        <v>205</v>
      </c>
      <c r="D1852" s="170" t="s">
        <v>1947</v>
      </c>
      <c r="E1852" s="171" t="s">
        <v>32468</v>
      </c>
      <c r="F1852" s="171" t="s">
        <v>35757</v>
      </c>
      <c r="G1852" s="82"/>
      <c r="H1852" s="96">
        <f t="shared" si="112"/>
        <v>30580.34</v>
      </c>
      <c r="I1852" s="96">
        <f t="shared" si="112"/>
        <v>31076.13</v>
      </c>
      <c r="J1852" s="91" t="str">
        <f t="shared" si="113"/>
        <v>Sinapi 102754</v>
      </c>
      <c r="K1852" s="91" t="str">
        <f t="shared" si="114"/>
        <v>UN</v>
      </c>
      <c r="L1852" s="166" t="str">
        <f t="shared" si="115"/>
        <v>07/2021</v>
      </c>
      <c r="M1852" s="82"/>
      <c r="N1852" s="82"/>
    </row>
    <row r="1853" spans="1:14" x14ac:dyDescent="0.25">
      <c r="A1853" s="170" t="s">
        <v>14022</v>
      </c>
      <c r="B1853" s="170" t="s">
        <v>14023</v>
      </c>
      <c r="C1853" s="170" t="s">
        <v>205</v>
      </c>
      <c r="D1853" s="170" t="s">
        <v>1947</v>
      </c>
      <c r="E1853" s="171" t="s">
        <v>32469</v>
      </c>
      <c r="F1853" s="171" t="s">
        <v>35758</v>
      </c>
      <c r="G1853" s="82"/>
      <c r="H1853" s="96">
        <f t="shared" si="112"/>
        <v>15002.64</v>
      </c>
      <c r="I1853" s="96">
        <f t="shared" si="112"/>
        <v>15257.92</v>
      </c>
      <c r="J1853" s="91" t="str">
        <f t="shared" si="113"/>
        <v>Sinapi 102755</v>
      </c>
      <c r="K1853" s="91" t="str">
        <f t="shared" si="114"/>
        <v>UN</v>
      </c>
      <c r="L1853" s="166" t="str">
        <f t="shared" si="115"/>
        <v>07/2021</v>
      </c>
      <c r="M1853" s="82"/>
      <c r="N1853" s="82"/>
    </row>
    <row r="1854" spans="1:14" x14ac:dyDescent="0.25">
      <c r="A1854" s="170" t="s">
        <v>14024</v>
      </c>
      <c r="B1854" s="170" t="s">
        <v>14025</v>
      </c>
      <c r="C1854" s="170" t="s">
        <v>205</v>
      </c>
      <c r="D1854" s="170" t="s">
        <v>1947</v>
      </c>
      <c r="E1854" s="171" t="s">
        <v>32470</v>
      </c>
      <c r="F1854" s="171" t="s">
        <v>35759</v>
      </c>
      <c r="G1854" s="82"/>
      <c r="H1854" s="96">
        <f t="shared" si="112"/>
        <v>22487.59</v>
      </c>
      <c r="I1854" s="96">
        <f t="shared" si="112"/>
        <v>22854.97</v>
      </c>
      <c r="J1854" s="91" t="str">
        <f t="shared" si="113"/>
        <v>Sinapi 102756</v>
      </c>
      <c r="K1854" s="91" t="str">
        <f t="shared" si="114"/>
        <v>UN</v>
      </c>
      <c r="L1854" s="166" t="str">
        <f t="shared" si="115"/>
        <v>07/2021</v>
      </c>
      <c r="M1854" s="82"/>
      <c r="N1854" s="82"/>
    </row>
    <row r="1855" spans="1:14" x14ac:dyDescent="0.25">
      <c r="A1855" s="170" t="s">
        <v>14026</v>
      </c>
      <c r="B1855" s="170" t="s">
        <v>14027</v>
      </c>
      <c r="C1855" s="170" t="s">
        <v>205</v>
      </c>
      <c r="D1855" s="170" t="s">
        <v>1947</v>
      </c>
      <c r="E1855" s="171" t="s">
        <v>32471</v>
      </c>
      <c r="F1855" s="171" t="s">
        <v>35760</v>
      </c>
      <c r="G1855" s="82"/>
      <c r="H1855" s="96">
        <f t="shared" si="112"/>
        <v>42208.639999999999</v>
      </c>
      <c r="I1855" s="96">
        <f t="shared" si="112"/>
        <v>42870.32</v>
      </c>
      <c r="J1855" s="91" t="str">
        <f t="shared" si="113"/>
        <v>Sinapi 102757</v>
      </c>
      <c r="K1855" s="91" t="str">
        <f t="shared" si="114"/>
        <v>UN</v>
      </c>
      <c r="L1855" s="166" t="str">
        <f t="shared" si="115"/>
        <v>07/2021</v>
      </c>
      <c r="M1855" s="82"/>
      <c r="N1855" s="82"/>
    </row>
    <row r="1856" spans="1:14" x14ac:dyDescent="0.25">
      <c r="A1856" s="170" t="s">
        <v>14028</v>
      </c>
      <c r="B1856" s="170" t="s">
        <v>14029</v>
      </c>
      <c r="C1856" s="170" t="s">
        <v>205</v>
      </c>
      <c r="D1856" s="170" t="s">
        <v>1947</v>
      </c>
      <c r="E1856" s="171" t="s">
        <v>32472</v>
      </c>
      <c r="F1856" s="171" t="s">
        <v>35761</v>
      </c>
      <c r="G1856" s="82"/>
      <c r="H1856" s="96">
        <f t="shared" si="112"/>
        <v>19353.060000000001</v>
      </c>
      <c r="I1856" s="96">
        <f t="shared" si="112"/>
        <v>19676.650000000001</v>
      </c>
      <c r="J1856" s="91" t="str">
        <f t="shared" si="113"/>
        <v>Sinapi 102758</v>
      </c>
      <c r="K1856" s="91" t="str">
        <f t="shared" si="114"/>
        <v>UN</v>
      </c>
      <c r="L1856" s="166" t="str">
        <f t="shared" si="115"/>
        <v>07/2021</v>
      </c>
      <c r="M1856" s="82"/>
      <c r="N1856" s="82"/>
    </row>
    <row r="1857" spans="1:14" x14ac:dyDescent="0.25">
      <c r="A1857" s="170" t="s">
        <v>14030</v>
      </c>
      <c r="B1857" s="170" t="s">
        <v>14031</v>
      </c>
      <c r="C1857" s="170" t="s">
        <v>205</v>
      </c>
      <c r="D1857" s="170" t="s">
        <v>1947</v>
      </c>
      <c r="E1857" s="171" t="s">
        <v>32473</v>
      </c>
      <c r="F1857" s="171" t="s">
        <v>35762</v>
      </c>
      <c r="G1857" s="82"/>
      <c r="H1857" s="96">
        <f t="shared" si="112"/>
        <v>29058.42</v>
      </c>
      <c r="I1857" s="96">
        <f t="shared" si="112"/>
        <v>29524.71</v>
      </c>
      <c r="J1857" s="91" t="str">
        <f t="shared" si="113"/>
        <v>Sinapi 102759</v>
      </c>
      <c r="K1857" s="91" t="str">
        <f t="shared" si="114"/>
        <v>UN</v>
      </c>
      <c r="L1857" s="166" t="str">
        <f t="shared" si="115"/>
        <v>07/2021</v>
      </c>
      <c r="M1857" s="82"/>
      <c r="N1857" s="82"/>
    </row>
    <row r="1858" spans="1:14" x14ac:dyDescent="0.25">
      <c r="A1858" s="170" t="s">
        <v>14032</v>
      </c>
      <c r="B1858" s="170" t="s">
        <v>14033</v>
      </c>
      <c r="C1858" s="170" t="s">
        <v>205</v>
      </c>
      <c r="D1858" s="170" t="s">
        <v>1947</v>
      </c>
      <c r="E1858" s="171" t="s">
        <v>32474</v>
      </c>
      <c r="F1858" s="171" t="s">
        <v>35763</v>
      </c>
      <c r="G1858" s="82"/>
      <c r="H1858" s="96">
        <f t="shared" si="112"/>
        <v>54029.71</v>
      </c>
      <c r="I1858" s="96">
        <f t="shared" si="112"/>
        <v>54861.75</v>
      </c>
      <c r="J1858" s="91" t="str">
        <f t="shared" si="113"/>
        <v>Sinapi 102760</v>
      </c>
      <c r="K1858" s="91" t="str">
        <f t="shared" si="114"/>
        <v>UN</v>
      </c>
      <c r="L1858" s="166" t="str">
        <f t="shared" si="115"/>
        <v>07/2021</v>
      </c>
      <c r="M1858" s="82"/>
      <c r="N1858" s="82"/>
    </row>
    <row r="1859" spans="1:14" x14ac:dyDescent="0.25">
      <c r="A1859" s="170" t="s">
        <v>14034</v>
      </c>
      <c r="B1859" s="170" t="s">
        <v>14035</v>
      </c>
      <c r="C1859" s="170" t="s">
        <v>205</v>
      </c>
      <c r="D1859" s="170" t="s">
        <v>1947</v>
      </c>
      <c r="E1859" s="171" t="s">
        <v>32475</v>
      </c>
      <c r="F1859" s="171" t="s">
        <v>35764</v>
      </c>
      <c r="G1859" s="82"/>
      <c r="H1859" s="96">
        <f t="shared" si="112"/>
        <v>17549.91</v>
      </c>
      <c r="I1859" s="96">
        <f t="shared" si="112"/>
        <v>17918.68</v>
      </c>
      <c r="J1859" s="91" t="str">
        <f t="shared" si="113"/>
        <v>Sinapi 102761</v>
      </c>
      <c r="K1859" s="91" t="str">
        <f t="shared" si="114"/>
        <v>UN</v>
      </c>
      <c r="L1859" s="166" t="str">
        <f t="shared" si="115"/>
        <v>07/2021</v>
      </c>
      <c r="M1859" s="82"/>
      <c r="N1859" s="82"/>
    </row>
    <row r="1860" spans="1:14" x14ac:dyDescent="0.25">
      <c r="A1860" s="170" t="s">
        <v>14036</v>
      </c>
      <c r="B1860" s="170" t="s">
        <v>14037</v>
      </c>
      <c r="C1860" s="170" t="s">
        <v>205</v>
      </c>
      <c r="D1860" s="170" t="s">
        <v>1947</v>
      </c>
      <c r="E1860" s="171" t="s">
        <v>32476</v>
      </c>
      <c r="F1860" s="171" t="s">
        <v>35765</v>
      </c>
      <c r="G1860" s="82"/>
      <c r="H1860" s="96">
        <f t="shared" si="112"/>
        <v>27678.85</v>
      </c>
      <c r="I1860" s="96">
        <f t="shared" si="112"/>
        <v>28208.52</v>
      </c>
      <c r="J1860" s="91" t="str">
        <f t="shared" si="113"/>
        <v>Sinapi 102762</v>
      </c>
      <c r="K1860" s="91" t="str">
        <f t="shared" si="114"/>
        <v>UN</v>
      </c>
      <c r="L1860" s="166" t="str">
        <f t="shared" si="115"/>
        <v>07/2021</v>
      </c>
      <c r="M1860" s="82"/>
      <c r="N1860" s="82"/>
    </row>
    <row r="1861" spans="1:14" x14ac:dyDescent="0.25">
      <c r="A1861" s="170" t="s">
        <v>14038</v>
      </c>
      <c r="B1861" s="170" t="s">
        <v>14039</v>
      </c>
      <c r="C1861" s="170" t="s">
        <v>205</v>
      </c>
      <c r="D1861" s="170" t="s">
        <v>1947</v>
      </c>
      <c r="E1861" s="171" t="s">
        <v>32477</v>
      </c>
      <c r="F1861" s="171" t="s">
        <v>35766</v>
      </c>
      <c r="G1861" s="82"/>
      <c r="H1861" s="96">
        <f t="shared" si="112"/>
        <v>38582.050000000003</v>
      </c>
      <c r="I1861" s="96">
        <f t="shared" si="112"/>
        <v>39295.22</v>
      </c>
      <c r="J1861" s="91" t="str">
        <f t="shared" si="113"/>
        <v>Sinapi 102763</v>
      </c>
      <c r="K1861" s="91" t="str">
        <f t="shared" si="114"/>
        <v>UN</v>
      </c>
      <c r="L1861" s="166" t="str">
        <f t="shared" si="115"/>
        <v>07/2021</v>
      </c>
      <c r="M1861" s="82"/>
      <c r="N1861" s="82"/>
    </row>
    <row r="1862" spans="1:14" x14ac:dyDescent="0.25">
      <c r="A1862" s="170" t="s">
        <v>14040</v>
      </c>
      <c r="B1862" s="170" t="s">
        <v>14041</v>
      </c>
      <c r="C1862" s="170" t="s">
        <v>205</v>
      </c>
      <c r="D1862" s="170" t="s">
        <v>1947</v>
      </c>
      <c r="E1862" s="171" t="s">
        <v>32478</v>
      </c>
      <c r="F1862" s="171" t="s">
        <v>35767</v>
      </c>
      <c r="G1862" s="82"/>
      <c r="H1862" s="96">
        <f t="shared" si="112"/>
        <v>55307.59</v>
      </c>
      <c r="I1862" s="96">
        <f t="shared" si="112"/>
        <v>56238.38</v>
      </c>
      <c r="J1862" s="91" t="str">
        <f t="shared" si="113"/>
        <v>Sinapi 102764</v>
      </c>
      <c r="K1862" s="91" t="str">
        <f t="shared" si="114"/>
        <v>UN</v>
      </c>
      <c r="L1862" s="166" t="str">
        <f t="shared" si="115"/>
        <v>07/2021</v>
      </c>
      <c r="M1862" s="82"/>
      <c r="N1862" s="82"/>
    </row>
    <row r="1863" spans="1:14" x14ac:dyDescent="0.25">
      <c r="A1863" s="170" t="s">
        <v>14042</v>
      </c>
      <c r="B1863" s="170" t="s">
        <v>14043</v>
      </c>
      <c r="C1863" s="170" t="s">
        <v>205</v>
      </c>
      <c r="D1863" s="170" t="s">
        <v>1947</v>
      </c>
      <c r="E1863" s="171" t="s">
        <v>32479</v>
      </c>
      <c r="F1863" s="171" t="s">
        <v>35768</v>
      </c>
      <c r="G1863" s="82"/>
      <c r="H1863" s="96">
        <f t="shared" si="112"/>
        <v>21991.59</v>
      </c>
      <c r="I1863" s="96">
        <f t="shared" si="112"/>
        <v>22448.16</v>
      </c>
      <c r="J1863" s="91" t="str">
        <f t="shared" si="113"/>
        <v>Sinapi 102765</v>
      </c>
      <c r="K1863" s="91" t="str">
        <f t="shared" si="114"/>
        <v>UN</v>
      </c>
      <c r="L1863" s="166" t="str">
        <f t="shared" si="115"/>
        <v>07/2021</v>
      </c>
      <c r="M1863" s="82"/>
      <c r="N1863" s="82"/>
    </row>
    <row r="1864" spans="1:14" x14ac:dyDescent="0.25">
      <c r="A1864" s="170" t="s">
        <v>14044</v>
      </c>
      <c r="B1864" s="170" t="s">
        <v>14045</v>
      </c>
      <c r="C1864" s="170" t="s">
        <v>205</v>
      </c>
      <c r="D1864" s="170" t="s">
        <v>1947</v>
      </c>
      <c r="E1864" s="171" t="s">
        <v>32480</v>
      </c>
      <c r="F1864" s="171" t="s">
        <v>35769</v>
      </c>
      <c r="G1864" s="82"/>
      <c r="H1864" s="96">
        <f t="shared" ref="H1864:I1927" si="116">IF(E1864="","",E1864+0)</f>
        <v>33827.89</v>
      </c>
      <c r="I1864" s="96">
        <f t="shared" si="116"/>
        <v>34466.82</v>
      </c>
      <c r="J1864" s="91" t="str">
        <f t="shared" ref="J1864:J1927" si="117">IF(OR(H1864="",I1864=""),"",TRIM(CONCATENATE("Sinapi ",A1864)))</f>
        <v>Sinapi 102766</v>
      </c>
      <c r="K1864" s="91" t="str">
        <f t="shared" ref="K1864:K1927" si="118">TRIM(C1864)</f>
        <v>UN</v>
      </c>
      <c r="L1864" s="166" t="str">
        <f t="shared" ref="L1864:L1927" si="119">IF(OR(RIGHT(IF(AND(K1864&lt;&gt;"H",K1864&lt;&gt;"MES"),RIGHT(B1864,7),""),2)="PS",RIGHT(IF(AND(K1864&lt;&gt;"H",K1864&lt;&gt;"MES"),RIGHT(B1864,7),""),2)="PA",RIGHT(IF(AND(K1864&lt;&gt;"H",K1864&lt;&gt;"MES"),RIGHT(B1864,7),""),2)="PE"),LEFT(IF(AND(K1864&lt;&gt;"H",K1864&lt;&gt;"MES"),RIGHT(B1864,10),""),7),IF(AND(K1864&lt;&gt;"H",K1864&lt;&gt;"MES"),RIGHT(B1864,7),""))</f>
        <v>07/2021</v>
      </c>
      <c r="M1864" s="82"/>
      <c r="N1864" s="82"/>
    </row>
    <row r="1865" spans="1:14" x14ac:dyDescent="0.25">
      <c r="A1865" s="170" t="s">
        <v>14046</v>
      </c>
      <c r="B1865" s="170" t="s">
        <v>14047</v>
      </c>
      <c r="C1865" s="170" t="s">
        <v>205</v>
      </c>
      <c r="D1865" s="170" t="s">
        <v>1947</v>
      </c>
      <c r="E1865" s="171" t="s">
        <v>32481</v>
      </c>
      <c r="F1865" s="171" t="s">
        <v>35770</v>
      </c>
      <c r="G1865" s="82"/>
      <c r="H1865" s="96">
        <f t="shared" si="116"/>
        <v>47266.46</v>
      </c>
      <c r="I1865" s="96">
        <f t="shared" si="116"/>
        <v>48131.07</v>
      </c>
      <c r="J1865" s="91" t="str">
        <f t="shared" si="117"/>
        <v>Sinapi 102767</v>
      </c>
      <c r="K1865" s="91" t="str">
        <f t="shared" si="118"/>
        <v>UN</v>
      </c>
      <c r="L1865" s="166" t="str">
        <f t="shared" si="119"/>
        <v>07/2021</v>
      </c>
      <c r="M1865" s="82"/>
      <c r="N1865" s="82"/>
    </row>
    <row r="1866" spans="1:14" x14ac:dyDescent="0.25">
      <c r="A1866" s="170" t="s">
        <v>14048</v>
      </c>
      <c r="B1866" s="170" t="s">
        <v>14049</v>
      </c>
      <c r="C1866" s="170" t="s">
        <v>205</v>
      </c>
      <c r="D1866" s="170" t="s">
        <v>1947</v>
      </c>
      <c r="E1866" s="171" t="s">
        <v>32482</v>
      </c>
      <c r="F1866" s="171" t="s">
        <v>35771</v>
      </c>
      <c r="G1866" s="82"/>
      <c r="H1866" s="96">
        <f t="shared" si="116"/>
        <v>67028.63</v>
      </c>
      <c r="I1866" s="96">
        <f t="shared" si="116"/>
        <v>68142.83</v>
      </c>
      <c r="J1866" s="91" t="str">
        <f t="shared" si="117"/>
        <v>Sinapi 102768</v>
      </c>
      <c r="K1866" s="91" t="str">
        <f t="shared" si="118"/>
        <v>UN</v>
      </c>
      <c r="L1866" s="166" t="str">
        <f t="shared" si="119"/>
        <v>07/2021</v>
      </c>
      <c r="M1866" s="82"/>
      <c r="N1866" s="82"/>
    </row>
    <row r="1867" spans="1:14" x14ac:dyDescent="0.25">
      <c r="A1867" s="170" t="s">
        <v>14050</v>
      </c>
      <c r="B1867" s="170" t="s">
        <v>14051</v>
      </c>
      <c r="C1867" s="170" t="s">
        <v>205</v>
      </c>
      <c r="D1867" s="170" t="s">
        <v>1947</v>
      </c>
      <c r="E1867" s="171" t="s">
        <v>32483</v>
      </c>
      <c r="F1867" s="171" t="s">
        <v>35772</v>
      </c>
      <c r="G1867" s="82"/>
      <c r="H1867" s="96">
        <f t="shared" si="116"/>
        <v>25759.37</v>
      </c>
      <c r="I1867" s="96">
        <f t="shared" si="116"/>
        <v>26275.45</v>
      </c>
      <c r="J1867" s="91" t="str">
        <f t="shared" si="117"/>
        <v>Sinapi 102769</v>
      </c>
      <c r="K1867" s="91" t="str">
        <f t="shared" si="118"/>
        <v>UN</v>
      </c>
      <c r="L1867" s="166" t="str">
        <f t="shared" si="119"/>
        <v>07/2021</v>
      </c>
      <c r="M1867" s="82"/>
      <c r="N1867" s="82"/>
    </row>
    <row r="1868" spans="1:14" x14ac:dyDescent="0.25">
      <c r="A1868" s="170" t="s">
        <v>14052</v>
      </c>
      <c r="B1868" s="170" t="s">
        <v>14053</v>
      </c>
      <c r="C1868" s="170" t="s">
        <v>205</v>
      </c>
      <c r="D1868" s="170" t="s">
        <v>1947</v>
      </c>
      <c r="E1868" s="171" t="s">
        <v>32484</v>
      </c>
      <c r="F1868" s="171" t="s">
        <v>35773</v>
      </c>
      <c r="G1868" s="82"/>
      <c r="H1868" s="96">
        <f t="shared" si="116"/>
        <v>40041.26</v>
      </c>
      <c r="I1868" s="96">
        <f t="shared" si="116"/>
        <v>40789.99</v>
      </c>
      <c r="J1868" s="91" t="str">
        <f t="shared" si="117"/>
        <v>Sinapi 102770</v>
      </c>
      <c r="K1868" s="91" t="str">
        <f t="shared" si="118"/>
        <v>UN</v>
      </c>
      <c r="L1868" s="166" t="str">
        <f t="shared" si="119"/>
        <v>07/2021</v>
      </c>
      <c r="M1868" s="82"/>
      <c r="N1868" s="82"/>
    </row>
    <row r="1869" spans="1:14" x14ac:dyDescent="0.25">
      <c r="A1869" s="170" t="s">
        <v>14054</v>
      </c>
      <c r="B1869" s="170" t="s">
        <v>14055</v>
      </c>
      <c r="C1869" s="170" t="s">
        <v>205</v>
      </c>
      <c r="D1869" s="170" t="s">
        <v>1947</v>
      </c>
      <c r="E1869" s="171" t="s">
        <v>32485</v>
      </c>
      <c r="F1869" s="171" t="s">
        <v>35774</v>
      </c>
      <c r="G1869" s="82"/>
      <c r="H1869" s="96">
        <f t="shared" si="116"/>
        <v>55929.16</v>
      </c>
      <c r="I1869" s="96">
        <f t="shared" si="116"/>
        <v>56942.46</v>
      </c>
      <c r="J1869" s="91" t="str">
        <f t="shared" si="117"/>
        <v>Sinapi 102771</v>
      </c>
      <c r="K1869" s="91" t="str">
        <f t="shared" si="118"/>
        <v>UN</v>
      </c>
      <c r="L1869" s="166" t="str">
        <f t="shared" si="119"/>
        <v>07/2021</v>
      </c>
      <c r="M1869" s="82"/>
      <c r="N1869" s="82"/>
    </row>
    <row r="1870" spans="1:14" x14ac:dyDescent="0.25">
      <c r="A1870" s="170" t="s">
        <v>14056</v>
      </c>
      <c r="B1870" s="170" t="s">
        <v>14057</v>
      </c>
      <c r="C1870" s="170" t="s">
        <v>205</v>
      </c>
      <c r="D1870" s="170" t="s">
        <v>1947</v>
      </c>
      <c r="E1870" s="171" t="s">
        <v>32486</v>
      </c>
      <c r="F1870" s="171" t="s">
        <v>35775</v>
      </c>
      <c r="G1870" s="82"/>
      <c r="H1870" s="96">
        <f t="shared" si="116"/>
        <v>79559.429999999993</v>
      </c>
      <c r="I1870" s="96">
        <f t="shared" si="116"/>
        <v>80864.98</v>
      </c>
      <c r="J1870" s="91" t="str">
        <f t="shared" si="117"/>
        <v>Sinapi 102772</v>
      </c>
      <c r="K1870" s="91" t="str">
        <f t="shared" si="118"/>
        <v>UN</v>
      </c>
      <c r="L1870" s="166" t="str">
        <f t="shared" si="119"/>
        <v>07/2021</v>
      </c>
      <c r="M1870" s="82"/>
      <c r="N1870" s="82"/>
    </row>
    <row r="1871" spans="1:14" x14ac:dyDescent="0.25">
      <c r="A1871" s="170" t="s">
        <v>14058</v>
      </c>
      <c r="B1871" s="170" t="s">
        <v>14059</v>
      </c>
      <c r="C1871" s="170" t="s">
        <v>205</v>
      </c>
      <c r="D1871" s="170" t="s">
        <v>1947</v>
      </c>
      <c r="E1871" s="171" t="s">
        <v>32487</v>
      </c>
      <c r="F1871" s="171" t="s">
        <v>35776</v>
      </c>
      <c r="G1871" s="82"/>
      <c r="H1871" s="96">
        <f t="shared" si="116"/>
        <v>9947.14</v>
      </c>
      <c r="I1871" s="96">
        <f t="shared" si="116"/>
        <v>10128.06</v>
      </c>
      <c r="J1871" s="91" t="str">
        <f t="shared" si="117"/>
        <v>Sinapi 102773</v>
      </c>
      <c r="K1871" s="91" t="str">
        <f t="shared" si="118"/>
        <v>UN</v>
      </c>
      <c r="L1871" s="166" t="str">
        <f t="shared" si="119"/>
        <v>07/2021</v>
      </c>
      <c r="M1871" s="82"/>
      <c r="N1871" s="82"/>
    </row>
    <row r="1872" spans="1:14" x14ac:dyDescent="0.25">
      <c r="A1872" s="170" t="s">
        <v>14060</v>
      </c>
      <c r="B1872" s="170" t="s">
        <v>14061</v>
      </c>
      <c r="C1872" s="170" t="s">
        <v>205</v>
      </c>
      <c r="D1872" s="170" t="s">
        <v>1947</v>
      </c>
      <c r="E1872" s="171" t="s">
        <v>32487</v>
      </c>
      <c r="F1872" s="171" t="s">
        <v>35776</v>
      </c>
      <c r="G1872" s="82"/>
      <c r="H1872" s="96">
        <f t="shared" si="116"/>
        <v>9947.14</v>
      </c>
      <c r="I1872" s="96">
        <f t="shared" si="116"/>
        <v>10128.06</v>
      </c>
      <c r="J1872" s="91" t="str">
        <f t="shared" si="117"/>
        <v>Sinapi 102774</v>
      </c>
      <c r="K1872" s="91" t="str">
        <f t="shared" si="118"/>
        <v>UN</v>
      </c>
      <c r="L1872" s="166" t="str">
        <f t="shared" si="119"/>
        <v>07/2021</v>
      </c>
      <c r="M1872" s="82"/>
      <c r="N1872" s="82"/>
    </row>
    <row r="1873" spans="1:14" x14ac:dyDescent="0.25">
      <c r="A1873" s="170" t="s">
        <v>14062</v>
      </c>
      <c r="B1873" s="170" t="s">
        <v>14063</v>
      </c>
      <c r="C1873" s="170" t="s">
        <v>205</v>
      </c>
      <c r="D1873" s="170" t="s">
        <v>1947</v>
      </c>
      <c r="E1873" s="171" t="s">
        <v>32488</v>
      </c>
      <c r="F1873" s="171" t="s">
        <v>35777</v>
      </c>
      <c r="G1873" s="82"/>
      <c r="H1873" s="96">
        <f t="shared" si="116"/>
        <v>15008.02</v>
      </c>
      <c r="I1873" s="96">
        <f t="shared" si="116"/>
        <v>15280.08</v>
      </c>
      <c r="J1873" s="91" t="str">
        <f t="shared" si="117"/>
        <v>Sinapi 102775</v>
      </c>
      <c r="K1873" s="91" t="str">
        <f t="shared" si="118"/>
        <v>UN</v>
      </c>
      <c r="L1873" s="166" t="str">
        <f t="shared" si="119"/>
        <v>07/2021</v>
      </c>
      <c r="M1873" s="82"/>
      <c r="N1873" s="82"/>
    </row>
    <row r="1874" spans="1:14" x14ac:dyDescent="0.25">
      <c r="A1874" s="170" t="s">
        <v>14064</v>
      </c>
      <c r="B1874" s="170" t="s">
        <v>14065</v>
      </c>
      <c r="C1874" s="170" t="s">
        <v>205</v>
      </c>
      <c r="D1874" s="170" t="s">
        <v>1947</v>
      </c>
      <c r="E1874" s="171" t="s">
        <v>32488</v>
      </c>
      <c r="F1874" s="171" t="s">
        <v>35777</v>
      </c>
      <c r="G1874" s="82"/>
      <c r="H1874" s="96">
        <f t="shared" si="116"/>
        <v>15008.02</v>
      </c>
      <c r="I1874" s="96">
        <f t="shared" si="116"/>
        <v>15280.08</v>
      </c>
      <c r="J1874" s="91" t="str">
        <f t="shared" si="117"/>
        <v>Sinapi 102776</v>
      </c>
      <c r="K1874" s="91" t="str">
        <f t="shared" si="118"/>
        <v>UN</v>
      </c>
      <c r="L1874" s="166" t="str">
        <f t="shared" si="119"/>
        <v>07/2021</v>
      </c>
      <c r="M1874" s="82"/>
      <c r="N1874" s="82"/>
    </row>
    <row r="1875" spans="1:14" x14ac:dyDescent="0.25">
      <c r="A1875" s="170" t="s">
        <v>14066</v>
      </c>
      <c r="B1875" s="170" t="s">
        <v>14067</v>
      </c>
      <c r="C1875" s="170" t="s">
        <v>205</v>
      </c>
      <c r="D1875" s="170" t="s">
        <v>1947</v>
      </c>
      <c r="E1875" s="171" t="s">
        <v>32489</v>
      </c>
      <c r="F1875" s="171" t="s">
        <v>35778</v>
      </c>
      <c r="G1875" s="82"/>
      <c r="H1875" s="96">
        <f t="shared" si="116"/>
        <v>22817.46</v>
      </c>
      <c r="I1875" s="96">
        <f t="shared" si="116"/>
        <v>23230.51</v>
      </c>
      <c r="J1875" s="91" t="str">
        <f t="shared" si="117"/>
        <v>Sinapi 102777</v>
      </c>
      <c r="K1875" s="91" t="str">
        <f t="shared" si="118"/>
        <v>UN</v>
      </c>
      <c r="L1875" s="166" t="str">
        <f t="shared" si="119"/>
        <v>07/2021</v>
      </c>
      <c r="M1875" s="82"/>
      <c r="N1875" s="82"/>
    </row>
    <row r="1876" spans="1:14" x14ac:dyDescent="0.25">
      <c r="A1876" s="170" t="s">
        <v>14068</v>
      </c>
      <c r="B1876" s="170" t="s">
        <v>14069</v>
      </c>
      <c r="C1876" s="170" t="s">
        <v>205</v>
      </c>
      <c r="D1876" s="170" t="s">
        <v>1947</v>
      </c>
      <c r="E1876" s="171" t="s">
        <v>32490</v>
      </c>
      <c r="F1876" s="171" t="s">
        <v>35779</v>
      </c>
      <c r="G1876" s="82"/>
      <c r="H1876" s="96">
        <f t="shared" si="116"/>
        <v>34613.42</v>
      </c>
      <c r="I1876" s="96">
        <f t="shared" si="116"/>
        <v>35053.4</v>
      </c>
      <c r="J1876" s="91" t="str">
        <f t="shared" si="117"/>
        <v>Sinapi 102778</v>
      </c>
      <c r="K1876" s="91" t="str">
        <f t="shared" si="118"/>
        <v>UN</v>
      </c>
      <c r="L1876" s="166" t="str">
        <f t="shared" si="119"/>
        <v>07/2021</v>
      </c>
      <c r="M1876" s="82"/>
      <c r="N1876" s="82"/>
    </row>
    <row r="1877" spans="1:14" x14ac:dyDescent="0.25">
      <c r="A1877" s="170" t="s">
        <v>14070</v>
      </c>
      <c r="B1877" s="170" t="s">
        <v>14071</v>
      </c>
      <c r="C1877" s="170" t="s">
        <v>205</v>
      </c>
      <c r="D1877" s="170" t="s">
        <v>1947</v>
      </c>
      <c r="E1877" s="171" t="s">
        <v>32487</v>
      </c>
      <c r="F1877" s="171" t="s">
        <v>35776</v>
      </c>
      <c r="G1877" s="82"/>
      <c r="H1877" s="96">
        <f t="shared" si="116"/>
        <v>9947.14</v>
      </c>
      <c r="I1877" s="96">
        <f t="shared" si="116"/>
        <v>10128.06</v>
      </c>
      <c r="J1877" s="91" t="str">
        <f t="shared" si="117"/>
        <v>Sinapi 102779</v>
      </c>
      <c r="K1877" s="91" t="str">
        <f t="shared" si="118"/>
        <v>UN</v>
      </c>
      <c r="L1877" s="166" t="str">
        <f t="shared" si="119"/>
        <v>07/2021</v>
      </c>
      <c r="M1877" s="82"/>
      <c r="N1877" s="82"/>
    </row>
    <row r="1878" spans="1:14" x14ac:dyDescent="0.25">
      <c r="A1878" s="170" t="s">
        <v>14072</v>
      </c>
      <c r="B1878" s="170" t="s">
        <v>14073</v>
      </c>
      <c r="C1878" s="170" t="s">
        <v>205</v>
      </c>
      <c r="D1878" s="170" t="s">
        <v>1947</v>
      </c>
      <c r="E1878" s="171" t="s">
        <v>32491</v>
      </c>
      <c r="F1878" s="171" t="s">
        <v>35780</v>
      </c>
      <c r="G1878" s="82"/>
      <c r="H1878" s="96">
        <f t="shared" si="116"/>
        <v>11430.48</v>
      </c>
      <c r="I1878" s="96">
        <f t="shared" si="116"/>
        <v>11638.47</v>
      </c>
      <c r="J1878" s="91" t="str">
        <f t="shared" si="117"/>
        <v>Sinapi 102780</v>
      </c>
      <c r="K1878" s="91" t="str">
        <f t="shared" si="118"/>
        <v>UN</v>
      </c>
      <c r="L1878" s="166" t="str">
        <f t="shared" si="119"/>
        <v>07/2021</v>
      </c>
      <c r="M1878" s="82"/>
      <c r="N1878" s="82"/>
    </row>
    <row r="1879" spans="1:14" x14ac:dyDescent="0.25">
      <c r="A1879" s="170" t="s">
        <v>14074</v>
      </c>
      <c r="B1879" s="170" t="s">
        <v>14075</v>
      </c>
      <c r="C1879" s="170" t="s">
        <v>205</v>
      </c>
      <c r="D1879" s="170" t="s">
        <v>1947</v>
      </c>
      <c r="E1879" s="171" t="s">
        <v>32492</v>
      </c>
      <c r="F1879" s="171" t="s">
        <v>35781</v>
      </c>
      <c r="G1879" s="82"/>
      <c r="H1879" s="96">
        <f t="shared" si="116"/>
        <v>17123.97</v>
      </c>
      <c r="I1879" s="96">
        <f t="shared" si="116"/>
        <v>17434.490000000002</v>
      </c>
      <c r="J1879" s="91" t="str">
        <f t="shared" si="117"/>
        <v>Sinapi 102781</v>
      </c>
      <c r="K1879" s="91" t="str">
        <f t="shared" si="118"/>
        <v>UN</v>
      </c>
      <c r="L1879" s="166" t="str">
        <f t="shared" si="119"/>
        <v>07/2021</v>
      </c>
      <c r="M1879" s="82"/>
      <c r="N1879" s="82"/>
    </row>
    <row r="1880" spans="1:14" x14ac:dyDescent="0.25">
      <c r="A1880" s="170" t="s">
        <v>14076</v>
      </c>
      <c r="B1880" s="170" t="s">
        <v>14077</v>
      </c>
      <c r="C1880" s="170" t="s">
        <v>205</v>
      </c>
      <c r="D1880" s="170" t="s">
        <v>1947</v>
      </c>
      <c r="E1880" s="171" t="s">
        <v>32493</v>
      </c>
      <c r="F1880" s="171" t="s">
        <v>35782</v>
      </c>
      <c r="G1880" s="82"/>
      <c r="H1880" s="96">
        <f t="shared" si="116"/>
        <v>19163.439999999999</v>
      </c>
      <c r="I1880" s="96">
        <f t="shared" si="116"/>
        <v>19481.02</v>
      </c>
      <c r="J1880" s="91" t="str">
        <f t="shared" si="117"/>
        <v>Sinapi 102782</v>
      </c>
      <c r="K1880" s="91" t="str">
        <f t="shared" si="118"/>
        <v>UN</v>
      </c>
      <c r="L1880" s="166" t="str">
        <f t="shared" si="119"/>
        <v>07/2021</v>
      </c>
      <c r="M1880" s="82"/>
      <c r="N1880" s="82"/>
    </row>
    <row r="1881" spans="1:14" x14ac:dyDescent="0.25">
      <c r="A1881" s="170" t="s">
        <v>14078</v>
      </c>
      <c r="B1881" s="170" t="s">
        <v>14079</v>
      </c>
      <c r="C1881" s="170" t="s">
        <v>205</v>
      </c>
      <c r="D1881" s="170" t="s">
        <v>1947</v>
      </c>
      <c r="E1881" s="171" t="s">
        <v>32494</v>
      </c>
      <c r="F1881" s="171" t="s">
        <v>35783</v>
      </c>
      <c r="G1881" s="82"/>
      <c r="H1881" s="96">
        <f t="shared" si="116"/>
        <v>25489.54</v>
      </c>
      <c r="I1881" s="96">
        <f t="shared" si="116"/>
        <v>25921.05</v>
      </c>
      <c r="J1881" s="91" t="str">
        <f t="shared" si="117"/>
        <v>Sinapi 102783</v>
      </c>
      <c r="K1881" s="91" t="str">
        <f t="shared" si="118"/>
        <v>UN</v>
      </c>
      <c r="L1881" s="166" t="str">
        <f t="shared" si="119"/>
        <v>07/2021</v>
      </c>
      <c r="M1881" s="82"/>
      <c r="N1881" s="82"/>
    </row>
    <row r="1882" spans="1:14" x14ac:dyDescent="0.25">
      <c r="A1882" s="170" t="s">
        <v>14080</v>
      </c>
      <c r="B1882" s="170" t="s">
        <v>14081</v>
      </c>
      <c r="C1882" s="170" t="s">
        <v>205</v>
      </c>
      <c r="D1882" s="170" t="s">
        <v>1947</v>
      </c>
      <c r="E1882" s="171" t="s">
        <v>32495</v>
      </c>
      <c r="F1882" s="171" t="s">
        <v>35784</v>
      </c>
      <c r="G1882" s="82"/>
      <c r="H1882" s="96">
        <f t="shared" si="116"/>
        <v>40511.4</v>
      </c>
      <c r="I1882" s="96">
        <f t="shared" si="116"/>
        <v>40964.85</v>
      </c>
      <c r="J1882" s="91" t="str">
        <f t="shared" si="117"/>
        <v>Sinapi 102784</v>
      </c>
      <c r="K1882" s="91" t="str">
        <f t="shared" si="118"/>
        <v>UN</v>
      </c>
      <c r="L1882" s="166" t="str">
        <f t="shared" si="119"/>
        <v>07/2021</v>
      </c>
      <c r="M1882" s="82"/>
      <c r="N1882" s="82"/>
    </row>
    <row r="1883" spans="1:14" x14ac:dyDescent="0.25">
      <c r="A1883" s="170" t="s">
        <v>14082</v>
      </c>
      <c r="B1883" s="170" t="s">
        <v>14083</v>
      </c>
      <c r="C1883" s="170" t="s">
        <v>205</v>
      </c>
      <c r="D1883" s="170" t="s">
        <v>1947</v>
      </c>
      <c r="E1883" s="171" t="s">
        <v>32491</v>
      </c>
      <c r="F1883" s="171" t="s">
        <v>35780</v>
      </c>
      <c r="G1883" s="82"/>
      <c r="H1883" s="96">
        <f t="shared" si="116"/>
        <v>11430.48</v>
      </c>
      <c r="I1883" s="96">
        <f t="shared" si="116"/>
        <v>11638.47</v>
      </c>
      <c r="J1883" s="91" t="str">
        <f t="shared" si="117"/>
        <v>Sinapi 102785</v>
      </c>
      <c r="K1883" s="91" t="str">
        <f t="shared" si="118"/>
        <v>UN</v>
      </c>
      <c r="L1883" s="166" t="str">
        <f t="shared" si="119"/>
        <v>07/2021</v>
      </c>
      <c r="M1883" s="82"/>
      <c r="N1883" s="82"/>
    </row>
    <row r="1884" spans="1:14" x14ac:dyDescent="0.25">
      <c r="A1884" s="170" t="s">
        <v>14084</v>
      </c>
      <c r="B1884" s="170" t="s">
        <v>14085</v>
      </c>
      <c r="C1884" s="170" t="s">
        <v>205</v>
      </c>
      <c r="D1884" s="170" t="s">
        <v>1947</v>
      </c>
      <c r="E1884" s="171" t="s">
        <v>32496</v>
      </c>
      <c r="F1884" s="171" t="s">
        <v>35785</v>
      </c>
      <c r="G1884" s="82"/>
      <c r="H1884" s="96">
        <f t="shared" si="116"/>
        <v>12837.34</v>
      </c>
      <c r="I1884" s="96">
        <f t="shared" si="116"/>
        <v>13041</v>
      </c>
      <c r="J1884" s="91" t="str">
        <f t="shared" si="117"/>
        <v>Sinapi 102786</v>
      </c>
      <c r="K1884" s="91" t="str">
        <f t="shared" si="118"/>
        <v>UN</v>
      </c>
      <c r="L1884" s="166" t="str">
        <f t="shared" si="119"/>
        <v>07/2021</v>
      </c>
      <c r="M1884" s="82"/>
      <c r="N1884" s="82"/>
    </row>
    <row r="1885" spans="1:14" x14ac:dyDescent="0.25">
      <c r="A1885" s="170" t="s">
        <v>14086</v>
      </c>
      <c r="B1885" s="170" t="s">
        <v>14087</v>
      </c>
      <c r="C1885" s="170" t="s">
        <v>205</v>
      </c>
      <c r="D1885" s="170" t="s">
        <v>1947</v>
      </c>
      <c r="E1885" s="171" t="s">
        <v>32493</v>
      </c>
      <c r="F1885" s="171" t="s">
        <v>35782</v>
      </c>
      <c r="G1885" s="82"/>
      <c r="H1885" s="96">
        <f t="shared" si="116"/>
        <v>19163.439999999999</v>
      </c>
      <c r="I1885" s="96">
        <f t="shared" si="116"/>
        <v>19481.02</v>
      </c>
      <c r="J1885" s="91" t="str">
        <f t="shared" si="117"/>
        <v>Sinapi 102787</v>
      </c>
      <c r="K1885" s="91" t="str">
        <f t="shared" si="118"/>
        <v>UN</v>
      </c>
      <c r="L1885" s="166" t="str">
        <f t="shared" si="119"/>
        <v>07/2021</v>
      </c>
      <c r="M1885" s="82"/>
      <c r="N1885" s="82"/>
    </row>
    <row r="1886" spans="1:14" x14ac:dyDescent="0.25">
      <c r="A1886" s="170" t="s">
        <v>14088</v>
      </c>
      <c r="B1886" s="170" t="s">
        <v>14089</v>
      </c>
      <c r="C1886" s="170" t="s">
        <v>205</v>
      </c>
      <c r="D1886" s="170" t="s">
        <v>1947</v>
      </c>
      <c r="E1886" s="171" t="s">
        <v>32497</v>
      </c>
      <c r="F1886" s="171" t="s">
        <v>35786</v>
      </c>
      <c r="G1886" s="82"/>
      <c r="H1886" s="96">
        <f t="shared" si="116"/>
        <v>21188.57</v>
      </c>
      <c r="I1886" s="96">
        <f t="shared" si="116"/>
        <v>21507.32</v>
      </c>
      <c r="J1886" s="91" t="str">
        <f t="shared" si="117"/>
        <v>Sinapi 102788</v>
      </c>
      <c r="K1886" s="91" t="str">
        <f t="shared" si="118"/>
        <v>UN</v>
      </c>
      <c r="L1886" s="166" t="str">
        <f t="shared" si="119"/>
        <v>07/2021</v>
      </c>
      <c r="M1886" s="82"/>
      <c r="N1886" s="82"/>
    </row>
    <row r="1887" spans="1:14" x14ac:dyDescent="0.25">
      <c r="A1887" s="170" t="s">
        <v>14090</v>
      </c>
      <c r="B1887" s="170" t="s">
        <v>14091</v>
      </c>
      <c r="C1887" s="170" t="s">
        <v>205</v>
      </c>
      <c r="D1887" s="170" t="s">
        <v>1947</v>
      </c>
      <c r="E1887" s="171" t="s">
        <v>32498</v>
      </c>
      <c r="F1887" s="171" t="s">
        <v>35787</v>
      </c>
      <c r="G1887" s="82"/>
      <c r="H1887" s="96">
        <f t="shared" si="116"/>
        <v>28075.58</v>
      </c>
      <c r="I1887" s="96">
        <f t="shared" si="116"/>
        <v>28490.22</v>
      </c>
      <c r="J1887" s="91" t="str">
        <f t="shared" si="117"/>
        <v>Sinapi 102789</v>
      </c>
      <c r="K1887" s="91" t="str">
        <f t="shared" si="118"/>
        <v>UN</v>
      </c>
      <c r="L1887" s="166" t="str">
        <f t="shared" si="119"/>
        <v>07/2021</v>
      </c>
      <c r="M1887" s="82"/>
      <c r="N1887" s="82"/>
    </row>
    <row r="1888" spans="1:14" x14ac:dyDescent="0.25">
      <c r="A1888" s="170" t="s">
        <v>14092</v>
      </c>
      <c r="B1888" s="170" t="s">
        <v>14093</v>
      </c>
      <c r="C1888" s="170" t="s">
        <v>205</v>
      </c>
      <c r="D1888" s="170" t="s">
        <v>1947</v>
      </c>
      <c r="E1888" s="171" t="s">
        <v>32499</v>
      </c>
      <c r="F1888" s="171" t="s">
        <v>35788</v>
      </c>
      <c r="G1888" s="82"/>
      <c r="H1888" s="96">
        <f t="shared" si="116"/>
        <v>46648.38</v>
      </c>
      <c r="I1888" s="96">
        <f t="shared" si="116"/>
        <v>47213.42</v>
      </c>
      <c r="J1888" s="91" t="str">
        <f t="shared" si="117"/>
        <v>Sinapi 102790</v>
      </c>
      <c r="K1888" s="91" t="str">
        <f t="shared" si="118"/>
        <v>UN</v>
      </c>
      <c r="L1888" s="166" t="str">
        <f t="shared" si="119"/>
        <v>07/2021</v>
      </c>
      <c r="M1888" s="82"/>
      <c r="N1888" s="82"/>
    </row>
    <row r="1889" spans="1:14" x14ac:dyDescent="0.25">
      <c r="A1889" s="170" t="s">
        <v>14094</v>
      </c>
      <c r="B1889" s="170" t="s">
        <v>14095</v>
      </c>
      <c r="C1889" s="170" t="s">
        <v>205</v>
      </c>
      <c r="D1889" s="170" t="s">
        <v>1947</v>
      </c>
      <c r="E1889" s="171" t="s">
        <v>32500</v>
      </c>
      <c r="F1889" s="171" t="s">
        <v>35789</v>
      </c>
      <c r="G1889" s="82"/>
      <c r="H1889" s="96">
        <f t="shared" si="116"/>
        <v>37008.92</v>
      </c>
      <c r="I1889" s="96">
        <f t="shared" si="116"/>
        <v>37604.629999999997</v>
      </c>
      <c r="J1889" s="91" t="str">
        <f t="shared" si="117"/>
        <v>Sinapi 102791</v>
      </c>
      <c r="K1889" s="91" t="str">
        <f t="shared" si="118"/>
        <v>UN</v>
      </c>
      <c r="L1889" s="166" t="str">
        <f t="shared" si="119"/>
        <v>07/2021</v>
      </c>
      <c r="M1889" s="82"/>
      <c r="N1889" s="82"/>
    </row>
    <row r="1890" spans="1:14" x14ac:dyDescent="0.25">
      <c r="A1890" s="170" t="s">
        <v>14096</v>
      </c>
      <c r="B1890" s="170" t="s">
        <v>14097</v>
      </c>
      <c r="C1890" s="170" t="s">
        <v>205</v>
      </c>
      <c r="D1890" s="170" t="s">
        <v>1947</v>
      </c>
      <c r="E1890" s="171" t="s">
        <v>32501</v>
      </c>
      <c r="F1890" s="171" t="s">
        <v>35790</v>
      </c>
      <c r="G1890" s="82"/>
      <c r="H1890" s="96">
        <f t="shared" si="116"/>
        <v>60593.93</v>
      </c>
      <c r="I1890" s="96">
        <f t="shared" si="116"/>
        <v>61503.93</v>
      </c>
      <c r="J1890" s="91" t="str">
        <f t="shared" si="117"/>
        <v>Sinapi 102792</v>
      </c>
      <c r="K1890" s="91" t="str">
        <f t="shared" si="118"/>
        <v>UN</v>
      </c>
      <c r="L1890" s="166" t="str">
        <f t="shared" si="119"/>
        <v>07/2021</v>
      </c>
      <c r="M1890" s="82"/>
      <c r="N1890" s="82"/>
    </row>
    <row r="1891" spans="1:14" x14ac:dyDescent="0.25">
      <c r="A1891" s="170" t="s">
        <v>14098</v>
      </c>
      <c r="B1891" s="170" t="s">
        <v>14099</v>
      </c>
      <c r="C1891" s="170" t="s">
        <v>205</v>
      </c>
      <c r="D1891" s="170" t="s">
        <v>1947</v>
      </c>
      <c r="E1891" s="171" t="s">
        <v>32502</v>
      </c>
      <c r="F1891" s="171" t="s">
        <v>35791</v>
      </c>
      <c r="G1891" s="82"/>
      <c r="H1891" s="96">
        <f t="shared" si="116"/>
        <v>81941.34</v>
      </c>
      <c r="I1891" s="96">
        <f t="shared" si="116"/>
        <v>83069.759999999995</v>
      </c>
      <c r="J1891" s="91" t="str">
        <f t="shared" si="117"/>
        <v>Sinapi 102793</v>
      </c>
      <c r="K1891" s="91" t="str">
        <f t="shared" si="118"/>
        <v>UN</v>
      </c>
      <c r="L1891" s="166" t="str">
        <f t="shared" si="119"/>
        <v>07/2021</v>
      </c>
      <c r="M1891" s="82"/>
      <c r="N1891" s="82"/>
    </row>
    <row r="1892" spans="1:14" x14ac:dyDescent="0.25">
      <c r="A1892" s="170" t="s">
        <v>14100</v>
      </c>
      <c r="B1892" s="170" t="s">
        <v>14101</v>
      </c>
      <c r="C1892" s="170" t="s">
        <v>205</v>
      </c>
      <c r="D1892" s="170" t="s">
        <v>1947</v>
      </c>
      <c r="E1892" s="171" t="s">
        <v>32503</v>
      </c>
      <c r="F1892" s="171" t="s">
        <v>35792</v>
      </c>
      <c r="G1892" s="82"/>
      <c r="H1892" s="96">
        <f t="shared" si="116"/>
        <v>118138.23</v>
      </c>
      <c r="I1892" s="96">
        <f t="shared" si="116"/>
        <v>119716.92</v>
      </c>
      <c r="J1892" s="91" t="str">
        <f t="shared" si="117"/>
        <v>Sinapi 102794</v>
      </c>
      <c r="K1892" s="91" t="str">
        <f t="shared" si="118"/>
        <v>UN</v>
      </c>
      <c r="L1892" s="166" t="str">
        <f t="shared" si="119"/>
        <v>07/2021</v>
      </c>
      <c r="M1892" s="82"/>
      <c r="N1892" s="82"/>
    </row>
    <row r="1893" spans="1:14" x14ac:dyDescent="0.25">
      <c r="A1893" s="170" t="s">
        <v>14102</v>
      </c>
      <c r="B1893" s="170" t="s">
        <v>14103</v>
      </c>
      <c r="C1893" s="170" t="s">
        <v>205</v>
      </c>
      <c r="D1893" s="170" t="s">
        <v>1947</v>
      </c>
      <c r="E1893" s="171" t="s">
        <v>32504</v>
      </c>
      <c r="F1893" s="171" t="s">
        <v>35793</v>
      </c>
      <c r="G1893" s="82"/>
      <c r="H1893" s="96">
        <f t="shared" si="116"/>
        <v>39340.68</v>
      </c>
      <c r="I1893" s="96">
        <f t="shared" si="116"/>
        <v>39975.699999999997</v>
      </c>
      <c r="J1893" s="91" t="str">
        <f t="shared" si="117"/>
        <v>Sinapi 102795</v>
      </c>
      <c r="K1893" s="91" t="str">
        <f t="shared" si="118"/>
        <v>UN</v>
      </c>
      <c r="L1893" s="166" t="str">
        <f t="shared" si="119"/>
        <v>07/2021</v>
      </c>
      <c r="M1893" s="82"/>
      <c r="N1893" s="82"/>
    </row>
    <row r="1894" spans="1:14" x14ac:dyDescent="0.25">
      <c r="A1894" s="170" t="s">
        <v>14104</v>
      </c>
      <c r="B1894" s="170" t="s">
        <v>14105</v>
      </c>
      <c r="C1894" s="170" t="s">
        <v>205</v>
      </c>
      <c r="D1894" s="170" t="s">
        <v>1947</v>
      </c>
      <c r="E1894" s="171" t="s">
        <v>32505</v>
      </c>
      <c r="F1894" s="171" t="s">
        <v>35794</v>
      </c>
      <c r="G1894" s="82"/>
      <c r="H1894" s="96">
        <f t="shared" si="116"/>
        <v>63949.05</v>
      </c>
      <c r="I1894" s="96">
        <f t="shared" si="116"/>
        <v>64902.13</v>
      </c>
      <c r="J1894" s="91" t="str">
        <f t="shared" si="117"/>
        <v>Sinapi 102796</v>
      </c>
      <c r="K1894" s="91" t="str">
        <f t="shared" si="118"/>
        <v>UN</v>
      </c>
      <c r="L1894" s="166" t="str">
        <f t="shared" si="119"/>
        <v>07/2021</v>
      </c>
      <c r="M1894" s="82"/>
      <c r="N1894" s="82"/>
    </row>
    <row r="1895" spans="1:14" x14ac:dyDescent="0.25">
      <c r="A1895" s="170" t="s">
        <v>14106</v>
      </c>
      <c r="B1895" s="170" t="s">
        <v>14107</v>
      </c>
      <c r="C1895" s="170" t="s">
        <v>205</v>
      </c>
      <c r="D1895" s="170" t="s">
        <v>1947</v>
      </c>
      <c r="E1895" s="171" t="s">
        <v>32506</v>
      </c>
      <c r="F1895" s="171" t="s">
        <v>35795</v>
      </c>
      <c r="G1895" s="82"/>
      <c r="H1895" s="96">
        <f t="shared" si="116"/>
        <v>90692.81</v>
      </c>
      <c r="I1895" s="96">
        <f t="shared" si="116"/>
        <v>92000.45</v>
      </c>
      <c r="J1895" s="91" t="str">
        <f t="shared" si="117"/>
        <v>Sinapi 102797</v>
      </c>
      <c r="K1895" s="91" t="str">
        <f t="shared" si="118"/>
        <v>UN</v>
      </c>
      <c r="L1895" s="166" t="str">
        <f t="shared" si="119"/>
        <v>07/2021</v>
      </c>
      <c r="M1895" s="82"/>
      <c r="N1895" s="82"/>
    </row>
    <row r="1896" spans="1:14" x14ac:dyDescent="0.25">
      <c r="A1896" s="170" t="s">
        <v>14108</v>
      </c>
      <c r="B1896" s="170" t="s">
        <v>14109</v>
      </c>
      <c r="C1896" s="170" t="s">
        <v>205</v>
      </c>
      <c r="D1896" s="170" t="s">
        <v>1947</v>
      </c>
      <c r="E1896" s="171" t="s">
        <v>32507</v>
      </c>
      <c r="F1896" s="171" t="s">
        <v>35796</v>
      </c>
      <c r="G1896" s="82"/>
      <c r="H1896" s="96">
        <f t="shared" si="116"/>
        <v>111517.07</v>
      </c>
      <c r="I1896" s="96">
        <f t="shared" si="116"/>
        <v>113091.61</v>
      </c>
      <c r="J1896" s="91" t="str">
        <f t="shared" si="117"/>
        <v>Sinapi 102798</v>
      </c>
      <c r="K1896" s="91" t="str">
        <f t="shared" si="118"/>
        <v>UN</v>
      </c>
      <c r="L1896" s="166" t="str">
        <f t="shared" si="119"/>
        <v>07/2021</v>
      </c>
      <c r="M1896" s="82"/>
      <c r="N1896" s="82"/>
    </row>
    <row r="1897" spans="1:14" x14ac:dyDescent="0.25">
      <c r="A1897" s="170" t="s">
        <v>14110</v>
      </c>
      <c r="B1897" s="170" t="s">
        <v>14111</v>
      </c>
      <c r="C1897" s="170" t="s">
        <v>205</v>
      </c>
      <c r="D1897" s="170" t="s">
        <v>1947</v>
      </c>
      <c r="E1897" s="171" t="s">
        <v>32508</v>
      </c>
      <c r="F1897" s="171" t="s">
        <v>35797</v>
      </c>
      <c r="G1897" s="82"/>
      <c r="H1897" s="96">
        <f t="shared" si="116"/>
        <v>40184.160000000003</v>
      </c>
      <c r="I1897" s="96">
        <f t="shared" si="116"/>
        <v>40834.370000000003</v>
      </c>
      <c r="J1897" s="91" t="str">
        <f t="shared" si="117"/>
        <v>Sinapi 102799</v>
      </c>
      <c r="K1897" s="91" t="str">
        <f t="shared" si="118"/>
        <v>UN</v>
      </c>
      <c r="L1897" s="166" t="str">
        <f t="shared" si="119"/>
        <v>07/2021</v>
      </c>
      <c r="M1897" s="82"/>
      <c r="N1897" s="82"/>
    </row>
    <row r="1898" spans="1:14" x14ac:dyDescent="0.25">
      <c r="A1898" s="170" t="s">
        <v>14112</v>
      </c>
      <c r="B1898" s="170" t="s">
        <v>14113</v>
      </c>
      <c r="C1898" s="170" t="s">
        <v>205</v>
      </c>
      <c r="D1898" s="170" t="s">
        <v>1947</v>
      </c>
      <c r="E1898" s="171" t="s">
        <v>32509</v>
      </c>
      <c r="F1898" s="171" t="s">
        <v>35798</v>
      </c>
      <c r="G1898" s="82"/>
      <c r="H1898" s="96">
        <f t="shared" si="116"/>
        <v>70055.039999999994</v>
      </c>
      <c r="I1898" s="96">
        <f t="shared" si="116"/>
        <v>71104.5</v>
      </c>
      <c r="J1898" s="91" t="str">
        <f t="shared" si="117"/>
        <v>Sinapi 102800</v>
      </c>
      <c r="K1898" s="91" t="str">
        <f t="shared" si="118"/>
        <v>UN</v>
      </c>
      <c r="L1898" s="166" t="str">
        <f t="shared" si="119"/>
        <v>07/2021</v>
      </c>
      <c r="M1898" s="82"/>
      <c r="N1898" s="82"/>
    </row>
    <row r="1899" spans="1:14" x14ac:dyDescent="0.25">
      <c r="A1899" s="170" t="s">
        <v>14114</v>
      </c>
      <c r="B1899" s="170" t="s">
        <v>14115</v>
      </c>
      <c r="C1899" s="170" t="s">
        <v>205</v>
      </c>
      <c r="D1899" s="170" t="s">
        <v>1947</v>
      </c>
      <c r="E1899" s="171" t="s">
        <v>32510</v>
      </c>
      <c r="F1899" s="171" t="s">
        <v>35799</v>
      </c>
      <c r="G1899" s="82"/>
      <c r="H1899" s="96">
        <f t="shared" si="116"/>
        <v>98224.78</v>
      </c>
      <c r="I1899" s="96">
        <f t="shared" si="116"/>
        <v>99632.320000000007</v>
      </c>
      <c r="J1899" s="91" t="str">
        <f t="shared" si="117"/>
        <v>Sinapi 102801</v>
      </c>
      <c r="K1899" s="91" t="str">
        <f t="shared" si="118"/>
        <v>UN</v>
      </c>
      <c r="L1899" s="166" t="str">
        <f t="shared" si="119"/>
        <v>07/2021</v>
      </c>
      <c r="M1899" s="82"/>
      <c r="N1899" s="82"/>
    </row>
    <row r="1900" spans="1:14" x14ac:dyDescent="0.25">
      <c r="A1900" s="170" t="s">
        <v>14116</v>
      </c>
      <c r="B1900" s="170" t="s">
        <v>14117</v>
      </c>
      <c r="C1900" s="170" t="s">
        <v>205</v>
      </c>
      <c r="D1900" s="170" t="s">
        <v>1947</v>
      </c>
      <c r="E1900" s="171" t="s">
        <v>32511</v>
      </c>
      <c r="F1900" s="171" t="s">
        <v>35800</v>
      </c>
      <c r="G1900" s="82"/>
      <c r="H1900" s="96">
        <f t="shared" si="116"/>
        <v>118054.68</v>
      </c>
      <c r="I1900" s="96">
        <f t="shared" si="116"/>
        <v>119727.29</v>
      </c>
      <c r="J1900" s="91" t="str">
        <f t="shared" si="117"/>
        <v>Sinapi 102802</v>
      </c>
      <c r="K1900" s="91" t="str">
        <f t="shared" si="118"/>
        <v>UN</v>
      </c>
      <c r="L1900" s="166" t="str">
        <f t="shared" si="119"/>
        <v>07/2021</v>
      </c>
      <c r="M1900" s="82"/>
      <c r="N1900" s="82"/>
    </row>
    <row r="1901" spans="1:14" x14ac:dyDescent="0.25">
      <c r="A1901" s="170" t="s">
        <v>11280</v>
      </c>
      <c r="B1901" s="170" t="s">
        <v>11281</v>
      </c>
      <c r="C1901" s="170" t="s">
        <v>870</v>
      </c>
      <c r="D1901" s="170" t="s">
        <v>1947</v>
      </c>
      <c r="E1901" s="171" t="s">
        <v>21893</v>
      </c>
      <c r="F1901" s="171" t="s">
        <v>21962</v>
      </c>
      <c r="G1901" s="82"/>
      <c r="H1901" s="96">
        <f t="shared" si="116"/>
        <v>20.23</v>
      </c>
      <c r="I1901" s="96">
        <f t="shared" si="116"/>
        <v>21.9</v>
      </c>
      <c r="J1901" s="91" t="str">
        <f t="shared" si="117"/>
        <v>Sinapi 101570</v>
      </c>
      <c r="K1901" s="91" t="str">
        <f t="shared" si="118"/>
        <v>M2</v>
      </c>
      <c r="L1901" s="166" t="str">
        <f t="shared" si="119"/>
        <v>08/2020</v>
      </c>
      <c r="M1901" s="82"/>
      <c r="N1901" s="82"/>
    </row>
    <row r="1902" spans="1:14" x14ac:dyDescent="0.25">
      <c r="A1902" s="170" t="s">
        <v>11282</v>
      </c>
      <c r="B1902" s="170" t="s">
        <v>11283</v>
      </c>
      <c r="C1902" s="170" t="s">
        <v>870</v>
      </c>
      <c r="D1902" s="170" t="s">
        <v>1947</v>
      </c>
      <c r="E1902" s="171" t="s">
        <v>22844</v>
      </c>
      <c r="F1902" s="171" t="s">
        <v>33802</v>
      </c>
      <c r="G1902" s="82"/>
      <c r="H1902" s="96">
        <f t="shared" si="116"/>
        <v>27.67</v>
      </c>
      <c r="I1902" s="96">
        <f t="shared" si="116"/>
        <v>30.14</v>
      </c>
      <c r="J1902" s="91" t="str">
        <f t="shared" si="117"/>
        <v>Sinapi 101571</v>
      </c>
      <c r="K1902" s="91" t="str">
        <f t="shared" si="118"/>
        <v>M2</v>
      </c>
      <c r="L1902" s="166" t="str">
        <f t="shared" si="119"/>
        <v>08/2020</v>
      </c>
      <c r="M1902" s="82"/>
      <c r="N1902" s="82"/>
    </row>
    <row r="1903" spans="1:14" x14ac:dyDescent="0.25">
      <c r="A1903" s="170" t="s">
        <v>11284</v>
      </c>
      <c r="B1903" s="170" t="s">
        <v>11285</v>
      </c>
      <c r="C1903" s="170" t="s">
        <v>870</v>
      </c>
      <c r="D1903" s="170" t="s">
        <v>1947</v>
      </c>
      <c r="E1903" s="171" t="s">
        <v>21362</v>
      </c>
      <c r="F1903" s="171" t="s">
        <v>23327</v>
      </c>
      <c r="G1903" s="82"/>
      <c r="H1903" s="96">
        <f t="shared" si="116"/>
        <v>15.86</v>
      </c>
      <c r="I1903" s="96">
        <f t="shared" si="116"/>
        <v>17.100000000000001</v>
      </c>
      <c r="J1903" s="91" t="str">
        <f t="shared" si="117"/>
        <v>Sinapi 101572</v>
      </c>
      <c r="K1903" s="91" t="str">
        <f t="shared" si="118"/>
        <v>M2</v>
      </c>
      <c r="L1903" s="166" t="str">
        <f t="shared" si="119"/>
        <v>08/2020</v>
      </c>
      <c r="M1903" s="82"/>
      <c r="N1903" s="82"/>
    </row>
    <row r="1904" spans="1:14" x14ac:dyDescent="0.25">
      <c r="A1904" s="170" t="s">
        <v>11286</v>
      </c>
      <c r="B1904" s="170" t="s">
        <v>11287</v>
      </c>
      <c r="C1904" s="170" t="s">
        <v>870</v>
      </c>
      <c r="D1904" s="170" t="s">
        <v>1947</v>
      </c>
      <c r="E1904" s="171" t="s">
        <v>16207</v>
      </c>
      <c r="F1904" s="171" t="s">
        <v>35801</v>
      </c>
      <c r="G1904" s="82"/>
      <c r="H1904" s="96">
        <f t="shared" si="116"/>
        <v>23.31</v>
      </c>
      <c r="I1904" s="96">
        <f t="shared" si="116"/>
        <v>25.35</v>
      </c>
      <c r="J1904" s="91" t="str">
        <f t="shared" si="117"/>
        <v>Sinapi 101573</v>
      </c>
      <c r="K1904" s="91" t="str">
        <f t="shared" si="118"/>
        <v>M2</v>
      </c>
      <c r="L1904" s="166" t="str">
        <f t="shared" si="119"/>
        <v>08/2020</v>
      </c>
      <c r="M1904" s="82"/>
      <c r="N1904" s="82"/>
    </row>
    <row r="1905" spans="1:14" x14ac:dyDescent="0.25">
      <c r="A1905" s="170" t="s">
        <v>11288</v>
      </c>
      <c r="B1905" s="170" t="s">
        <v>11289</v>
      </c>
      <c r="C1905" s="170" t="s">
        <v>870</v>
      </c>
      <c r="D1905" s="170" t="s">
        <v>1947</v>
      </c>
      <c r="E1905" s="171" t="s">
        <v>11275</v>
      </c>
      <c r="F1905" s="171" t="s">
        <v>14121</v>
      </c>
      <c r="G1905" s="82"/>
      <c r="H1905" s="96">
        <f t="shared" si="116"/>
        <v>12.12</v>
      </c>
      <c r="I1905" s="96">
        <f t="shared" si="116"/>
        <v>12.93</v>
      </c>
      <c r="J1905" s="91" t="str">
        <f t="shared" si="117"/>
        <v>Sinapi 101574</v>
      </c>
      <c r="K1905" s="91" t="str">
        <f t="shared" si="118"/>
        <v>M2</v>
      </c>
      <c r="L1905" s="166" t="str">
        <f t="shared" si="119"/>
        <v>08/2020</v>
      </c>
      <c r="M1905" s="82"/>
      <c r="N1905" s="82"/>
    </row>
    <row r="1906" spans="1:14" x14ac:dyDescent="0.25">
      <c r="A1906" s="170" t="s">
        <v>11290</v>
      </c>
      <c r="B1906" s="170" t="s">
        <v>11291</v>
      </c>
      <c r="C1906" s="170" t="s">
        <v>870</v>
      </c>
      <c r="D1906" s="170" t="s">
        <v>1947</v>
      </c>
      <c r="E1906" s="171" t="s">
        <v>20119</v>
      </c>
      <c r="F1906" s="171" t="s">
        <v>16204</v>
      </c>
      <c r="G1906" s="82"/>
      <c r="H1906" s="96">
        <f t="shared" si="116"/>
        <v>19.739999999999998</v>
      </c>
      <c r="I1906" s="96">
        <f t="shared" si="116"/>
        <v>21.34</v>
      </c>
      <c r="J1906" s="91" t="str">
        <f t="shared" si="117"/>
        <v>Sinapi 101575</v>
      </c>
      <c r="K1906" s="91" t="str">
        <f t="shared" si="118"/>
        <v>M2</v>
      </c>
      <c r="L1906" s="166" t="str">
        <f t="shared" si="119"/>
        <v>08/2020</v>
      </c>
      <c r="M1906" s="82"/>
      <c r="N1906" s="82"/>
    </row>
    <row r="1907" spans="1:14" x14ac:dyDescent="0.25">
      <c r="A1907" s="170" t="s">
        <v>11292</v>
      </c>
      <c r="B1907" s="170" t="s">
        <v>11293</v>
      </c>
      <c r="C1907" s="170" t="s">
        <v>870</v>
      </c>
      <c r="D1907" s="170" t="s">
        <v>1947</v>
      </c>
      <c r="E1907" s="171" t="s">
        <v>18718</v>
      </c>
      <c r="F1907" s="171" t="s">
        <v>22725</v>
      </c>
      <c r="G1907" s="82"/>
      <c r="H1907" s="96">
        <f t="shared" si="116"/>
        <v>35.54</v>
      </c>
      <c r="I1907" s="96">
        <f t="shared" si="116"/>
        <v>37.700000000000003</v>
      </c>
      <c r="J1907" s="91" t="str">
        <f t="shared" si="117"/>
        <v>Sinapi 101576</v>
      </c>
      <c r="K1907" s="91" t="str">
        <f t="shared" si="118"/>
        <v>M2</v>
      </c>
      <c r="L1907" s="166" t="str">
        <f t="shared" si="119"/>
        <v>08/2020</v>
      </c>
      <c r="M1907" s="82"/>
      <c r="N1907" s="82"/>
    </row>
    <row r="1908" spans="1:14" x14ac:dyDescent="0.25">
      <c r="A1908" s="170" t="s">
        <v>11294</v>
      </c>
      <c r="B1908" s="170" t="s">
        <v>11295</v>
      </c>
      <c r="C1908" s="170" t="s">
        <v>870</v>
      </c>
      <c r="D1908" s="170" t="s">
        <v>1947</v>
      </c>
      <c r="E1908" s="171" t="s">
        <v>29073</v>
      </c>
      <c r="F1908" s="171" t="s">
        <v>22973</v>
      </c>
      <c r="G1908" s="82"/>
      <c r="H1908" s="96">
        <f t="shared" si="116"/>
        <v>45.06</v>
      </c>
      <c r="I1908" s="96">
        <f t="shared" si="116"/>
        <v>48.25</v>
      </c>
      <c r="J1908" s="91" t="str">
        <f t="shared" si="117"/>
        <v>Sinapi 101577</v>
      </c>
      <c r="K1908" s="91" t="str">
        <f t="shared" si="118"/>
        <v>M2</v>
      </c>
      <c r="L1908" s="166" t="str">
        <f t="shared" si="119"/>
        <v>08/2020</v>
      </c>
      <c r="M1908" s="82"/>
      <c r="N1908" s="82"/>
    </row>
    <row r="1909" spans="1:14" x14ac:dyDescent="0.25">
      <c r="A1909" s="170" t="s">
        <v>11296</v>
      </c>
      <c r="B1909" s="170" t="s">
        <v>11297</v>
      </c>
      <c r="C1909" s="170" t="s">
        <v>870</v>
      </c>
      <c r="D1909" s="170" t="s">
        <v>1947</v>
      </c>
      <c r="E1909" s="171" t="s">
        <v>31285</v>
      </c>
      <c r="F1909" s="171" t="s">
        <v>23114</v>
      </c>
      <c r="G1909" s="82"/>
      <c r="H1909" s="96">
        <f t="shared" si="116"/>
        <v>29.27</v>
      </c>
      <c r="I1909" s="96">
        <f t="shared" si="116"/>
        <v>30.87</v>
      </c>
      <c r="J1909" s="91" t="str">
        <f t="shared" si="117"/>
        <v>Sinapi 101578</v>
      </c>
      <c r="K1909" s="91" t="str">
        <f t="shared" si="118"/>
        <v>M2</v>
      </c>
      <c r="L1909" s="166" t="str">
        <f t="shared" si="119"/>
        <v>08/2020</v>
      </c>
      <c r="M1909" s="82"/>
      <c r="N1909" s="82"/>
    </row>
    <row r="1910" spans="1:14" x14ac:dyDescent="0.25">
      <c r="A1910" s="170" t="s">
        <v>11298</v>
      </c>
      <c r="B1910" s="170" t="s">
        <v>11299</v>
      </c>
      <c r="C1910" s="170" t="s">
        <v>870</v>
      </c>
      <c r="D1910" s="170" t="s">
        <v>1947</v>
      </c>
      <c r="E1910" s="171" t="s">
        <v>30677</v>
      </c>
      <c r="F1910" s="171" t="s">
        <v>35802</v>
      </c>
      <c r="G1910" s="82"/>
      <c r="H1910" s="96">
        <f t="shared" si="116"/>
        <v>38.79</v>
      </c>
      <c r="I1910" s="96">
        <f t="shared" si="116"/>
        <v>41.43</v>
      </c>
      <c r="J1910" s="91" t="str">
        <f t="shared" si="117"/>
        <v>Sinapi 101579</v>
      </c>
      <c r="K1910" s="91" t="str">
        <f t="shared" si="118"/>
        <v>M2</v>
      </c>
      <c r="L1910" s="166" t="str">
        <f t="shared" si="119"/>
        <v>08/2020</v>
      </c>
      <c r="M1910" s="82"/>
      <c r="N1910" s="82"/>
    </row>
    <row r="1911" spans="1:14" x14ac:dyDescent="0.25">
      <c r="A1911" s="170" t="s">
        <v>11300</v>
      </c>
      <c r="B1911" s="170" t="s">
        <v>11301</v>
      </c>
      <c r="C1911" s="170" t="s">
        <v>870</v>
      </c>
      <c r="D1911" s="170" t="s">
        <v>1947</v>
      </c>
      <c r="E1911" s="171" t="s">
        <v>21847</v>
      </c>
      <c r="F1911" s="171" t="s">
        <v>14946</v>
      </c>
      <c r="G1911" s="82"/>
      <c r="H1911" s="96">
        <f t="shared" si="116"/>
        <v>25.74</v>
      </c>
      <c r="I1911" s="96">
        <f t="shared" si="116"/>
        <v>26.79</v>
      </c>
      <c r="J1911" s="91" t="str">
        <f t="shared" si="117"/>
        <v>Sinapi 101580</v>
      </c>
      <c r="K1911" s="91" t="str">
        <f t="shared" si="118"/>
        <v>M2</v>
      </c>
      <c r="L1911" s="166" t="str">
        <f t="shared" si="119"/>
        <v>08/2020</v>
      </c>
      <c r="M1911" s="82"/>
      <c r="N1911" s="82"/>
    </row>
    <row r="1912" spans="1:14" x14ac:dyDescent="0.25">
      <c r="A1912" s="170" t="s">
        <v>11302</v>
      </c>
      <c r="B1912" s="170" t="s">
        <v>11303</v>
      </c>
      <c r="C1912" s="170" t="s">
        <v>870</v>
      </c>
      <c r="D1912" s="170" t="s">
        <v>1947</v>
      </c>
      <c r="E1912" s="171" t="s">
        <v>21538</v>
      </c>
      <c r="F1912" s="171" t="s">
        <v>35803</v>
      </c>
      <c r="G1912" s="82"/>
      <c r="H1912" s="96">
        <f t="shared" si="116"/>
        <v>35.42</v>
      </c>
      <c r="I1912" s="96">
        <f t="shared" si="116"/>
        <v>37.51</v>
      </c>
      <c r="J1912" s="91" t="str">
        <f t="shared" si="117"/>
        <v>Sinapi 101581</v>
      </c>
      <c r="K1912" s="91" t="str">
        <f t="shared" si="118"/>
        <v>M2</v>
      </c>
      <c r="L1912" s="166" t="str">
        <f t="shared" si="119"/>
        <v>08/2020</v>
      </c>
      <c r="M1912" s="82"/>
      <c r="N1912" s="82"/>
    </row>
    <row r="1913" spans="1:14" x14ac:dyDescent="0.25">
      <c r="A1913" s="170" t="s">
        <v>11304</v>
      </c>
      <c r="B1913" s="170" t="s">
        <v>11305</v>
      </c>
      <c r="C1913" s="170" t="s">
        <v>870</v>
      </c>
      <c r="D1913" s="170" t="s">
        <v>1947</v>
      </c>
      <c r="E1913" s="171" t="s">
        <v>28622</v>
      </c>
      <c r="F1913" s="171" t="s">
        <v>34261</v>
      </c>
      <c r="G1913" s="82"/>
      <c r="H1913" s="96">
        <f t="shared" si="116"/>
        <v>58.21</v>
      </c>
      <c r="I1913" s="96">
        <f t="shared" si="116"/>
        <v>61.63</v>
      </c>
      <c r="J1913" s="91" t="str">
        <f t="shared" si="117"/>
        <v>Sinapi 101582</v>
      </c>
      <c r="K1913" s="91" t="str">
        <f t="shared" si="118"/>
        <v>M2</v>
      </c>
      <c r="L1913" s="166" t="str">
        <f t="shared" si="119"/>
        <v>08/2020</v>
      </c>
      <c r="M1913" s="82"/>
      <c r="N1913" s="82"/>
    </row>
    <row r="1914" spans="1:14" x14ac:dyDescent="0.25">
      <c r="A1914" s="170" t="s">
        <v>11306</v>
      </c>
      <c r="B1914" s="170" t="s">
        <v>11307</v>
      </c>
      <c r="C1914" s="170" t="s">
        <v>870</v>
      </c>
      <c r="D1914" s="170" t="s">
        <v>1947</v>
      </c>
      <c r="E1914" s="171" t="s">
        <v>21381</v>
      </c>
      <c r="F1914" s="171" t="s">
        <v>35804</v>
      </c>
      <c r="G1914" s="82"/>
      <c r="H1914" s="96">
        <f t="shared" si="116"/>
        <v>73.010000000000005</v>
      </c>
      <c r="I1914" s="96">
        <f t="shared" si="116"/>
        <v>78.06</v>
      </c>
      <c r="J1914" s="91" t="str">
        <f t="shared" si="117"/>
        <v>Sinapi 101583</v>
      </c>
      <c r="K1914" s="91" t="str">
        <f t="shared" si="118"/>
        <v>M2</v>
      </c>
      <c r="L1914" s="166" t="str">
        <f t="shared" si="119"/>
        <v>08/2020</v>
      </c>
      <c r="M1914" s="82"/>
      <c r="N1914" s="82"/>
    </row>
    <row r="1915" spans="1:14" x14ac:dyDescent="0.25">
      <c r="A1915" s="170" t="s">
        <v>11308</v>
      </c>
      <c r="B1915" s="170" t="s">
        <v>11309</v>
      </c>
      <c r="C1915" s="170" t="s">
        <v>870</v>
      </c>
      <c r="D1915" s="170" t="s">
        <v>1947</v>
      </c>
      <c r="E1915" s="171" t="s">
        <v>28517</v>
      </c>
      <c r="F1915" s="171" t="s">
        <v>35805</v>
      </c>
      <c r="G1915" s="82"/>
      <c r="H1915" s="96">
        <f t="shared" si="116"/>
        <v>47.7</v>
      </c>
      <c r="I1915" s="96">
        <f t="shared" si="116"/>
        <v>50.23</v>
      </c>
      <c r="J1915" s="91" t="str">
        <f t="shared" si="117"/>
        <v>Sinapi 101584</v>
      </c>
      <c r="K1915" s="91" t="str">
        <f t="shared" si="118"/>
        <v>M2</v>
      </c>
      <c r="L1915" s="166" t="str">
        <f t="shared" si="119"/>
        <v>08/2020</v>
      </c>
      <c r="M1915" s="82"/>
      <c r="N1915" s="82"/>
    </row>
    <row r="1916" spans="1:14" x14ac:dyDescent="0.25">
      <c r="A1916" s="170" t="s">
        <v>11310</v>
      </c>
      <c r="B1916" s="170" t="s">
        <v>11311</v>
      </c>
      <c r="C1916" s="170" t="s">
        <v>870</v>
      </c>
      <c r="D1916" s="170" t="s">
        <v>1947</v>
      </c>
      <c r="E1916" s="171" t="s">
        <v>32512</v>
      </c>
      <c r="F1916" s="171" t="s">
        <v>35806</v>
      </c>
      <c r="G1916" s="82"/>
      <c r="H1916" s="96">
        <f t="shared" si="116"/>
        <v>62.49</v>
      </c>
      <c r="I1916" s="96">
        <f t="shared" si="116"/>
        <v>66.66</v>
      </c>
      <c r="J1916" s="91" t="str">
        <f t="shared" si="117"/>
        <v>Sinapi 101585</v>
      </c>
      <c r="K1916" s="91" t="str">
        <f t="shared" si="118"/>
        <v>M2</v>
      </c>
      <c r="L1916" s="166" t="str">
        <f t="shared" si="119"/>
        <v>08/2020</v>
      </c>
      <c r="M1916" s="82"/>
      <c r="N1916" s="82"/>
    </row>
    <row r="1917" spans="1:14" x14ac:dyDescent="0.25">
      <c r="A1917" s="170" t="s">
        <v>11312</v>
      </c>
      <c r="B1917" s="170" t="s">
        <v>11313</v>
      </c>
      <c r="C1917" s="170" t="s">
        <v>870</v>
      </c>
      <c r="D1917" s="170" t="s">
        <v>1947</v>
      </c>
      <c r="E1917" s="171" t="s">
        <v>32513</v>
      </c>
      <c r="F1917" s="171" t="s">
        <v>33034</v>
      </c>
      <c r="G1917" s="82"/>
      <c r="H1917" s="96">
        <f t="shared" si="116"/>
        <v>40.97</v>
      </c>
      <c r="I1917" s="96">
        <f t="shared" si="116"/>
        <v>42.64</v>
      </c>
      <c r="J1917" s="91" t="str">
        <f t="shared" si="117"/>
        <v>Sinapi 101586</v>
      </c>
      <c r="K1917" s="91" t="str">
        <f t="shared" si="118"/>
        <v>M2</v>
      </c>
      <c r="L1917" s="166" t="str">
        <f t="shared" si="119"/>
        <v>08/2020</v>
      </c>
      <c r="M1917" s="82"/>
      <c r="N1917" s="82"/>
    </row>
    <row r="1918" spans="1:14" x14ac:dyDescent="0.25">
      <c r="A1918" s="170" t="s">
        <v>11314</v>
      </c>
      <c r="B1918" s="170" t="s">
        <v>11315</v>
      </c>
      <c r="C1918" s="170" t="s">
        <v>870</v>
      </c>
      <c r="D1918" s="170" t="s">
        <v>1947</v>
      </c>
      <c r="E1918" s="171" t="s">
        <v>28788</v>
      </c>
      <c r="F1918" s="171" t="s">
        <v>35807</v>
      </c>
      <c r="G1918" s="82"/>
      <c r="H1918" s="96">
        <f t="shared" si="116"/>
        <v>55.94</v>
      </c>
      <c r="I1918" s="96">
        <f t="shared" si="116"/>
        <v>59.24</v>
      </c>
      <c r="J1918" s="91" t="str">
        <f t="shared" si="117"/>
        <v>Sinapi 101587</v>
      </c>
      <c r="K1918" s="91" t="str">
        <f t="shared" si="118"/>
        <v>M2</v>
      </c>
      <c r="L1918" s="166" t="str">
        <f t="shared" si="119"/>
        <v>08/2020</v>
      </c>
      <c r="M1918" s="82"/>
      <c r="N1918" s="82"/>
    </row>
    <row r="1919" spans="1:14" x14ac:dyDescent="0.25">
      <c r="A1919" s="170" t="s">
        <v>11316</v>
      </c>
      <c r="B1919" s="170" t="s">
        <v>11317</v>
      </c>
      <c r="C1919" s="170" t="s">
        <v>870</v>
      </c>
      <c r="D1919" s="170" t="s">
        <v>1947</v>
      </c>
      <c r="E1919" s="171" t="s">
        <v>32514</v>
      </c>
      <c r="F1919" s="171" t="s">
        <v>21586</v>
      </c>
      <c r="G1919" s="82"/>
      <c r="H1919" s="96">
        <f t="shared" si="116"/>
        <v>86.97</v>
      </c>
      <c r="I1919" s="96">
        <f t="shared" si="116"/>
        <v>91.06</v>
      </c>
      <c r="J1919" s="91" t="str">
        <f t="shared" si="117"/>
        <v>Sinapi 101588</v>
      </c>
      <c r="K1919" s="91" t="str">
        <f t="shared" si="118"/>
        <v>M2</v>
      </c>
      <c r="L1919" s="166" t="str">
        <f t="shared" si="119"/>
        <v>08/2020</v>
      </c>
      <c r="M1919" s="82"/>
      <c r="N1919" s="82"/>
    </row>
    <row r="1920" spans="1:14" x14ac:dyDescent="0.25">
      <c r="A1920" s="170" t="s">
        <v>11318</v>
      </c>
      <c r="B1920" s="170" t="s">
        <v>11319</v>
      </c>
      <c r="C1920" s="170" t="s">
        <v>870</v>
      </c>
      <c r="D1920" s="170" t="s">
        <v>1947</v>
      </c>
      <c r="E1920" s="171" t="s">
        <v>32515</v>
      </c>
      <c r="F1920" s="171" t="s">
        <v>35808</v>
      </c>
      <c r="G1920" s="82"/>
      <c r="H1920" s="96">
        <f t="shared" si="116"/>
        <v>126.88</v>
      </c>
      <c r="I1920" s="96">
        <f t="shared" si="116"/>
        <v>132.91999999999999</v>
      </c>
      <c r="J1920" s="91" t="str">
        <f t="shared" si="117"/>
        <v>Sinapi 101589</v>
      </c>
      <c r="K1920" s="91" t="str">
        <f t="shared" si="118"/>
        <v>M2</v>
      </c>
      <c r="L1920" s="166" t="str">
        <f t="shared" si="119"/>
        <v>08/2020</v>
      </c>
      <c r="M1920" s="82"/>
      <c r="N1920" s="82"/>
    </row>
    <row r="1921" spans="1:14" x14ac:dyDescent="0.25">
      <c r="A1921" s="170" t="s">
        <v>11320</v>
      </c>
      <c r="B1921" s="170" t="s">
        <v>11321</v>
      </c>
      <c r="C1921" s="170" t="s">
        <v>870</v>
      </c>
      <c r="D1921" s="170" t="s">
        <v>1947</v>
      </c>
      <c r="E1921" s="171" t="s">
        <v>32516</v>
      </c>
      <c r="F1921" s="171" t="s">
        <v>35809</v>
      </c>
      <c r="G1921" s="82"/>
      <c r="H1921" s="96">
        <f t="shared" si="116"/>
        <v>65.75</v>
      </c>
      <c r="I1921" s="96">
        <f t="shared" si="116"/>
        <v>68.78</v>
      </c>
      <c r="J1921" s="91" t="str">
        <f t="shared" si="117"/>
        <v>Sinapi 101590</v>
      </c>
      <c r="K1921" s="91" t="str">
        <f t="shared" si="118"/>
        <v>M2</v>
      </c>
      <c r="L1921" s="166" t="str">
        <f t="shared" si="119"/>
        <v>08/2020</v>
      </c>
      <c r="M1921" s="82"/>
      <c r="N1921" s="82"/>
    </row>
    <row r="1922" spans="1:14" x14ac:dyDescent="0.25">
      <c r="A1922" s="170" t="s">
        <v>11322</v>
      </c>
      <c r="B1922" s="170" t="s">
        <v>11323</v>
      </c>
      <c r="C1922" s="170" t="s">
        <v>870</v>
      </c>
      <c r="D1922" s="170" t="s">
        <v>1947</v>
      </c>
      <c r="E1922" s="171" t="s">
        <v>23075</v>
      </c>
      <c r="F1922" s="171" t="s">
        <v>29089</v>
      </c>
      <c r="G1922" s="82"/>
      <c r="H1922" s="96">
        <f t="shared" si="116"/>
        <v>105.66</v>
      </c>
      <c r="I1922" s="96">
        <f t="shared" si="116"/>
        <v>110.67</v>
      </c>
      <c r="J1922" s="91" t="str">
        <f t="shared" si="117"/>
        <v>Sinapi 101591</v>
      </c>
      <c r="K1922" s="91" t="str">
        <f t="shared" si="118"/>
        <v>M2</v>
      </c>
      <c r="L1922" s="166" t="str">
        <f t="shared" si="119"/>
        <v>08/2020</v>
      </c>
      <c r="M1922" s="82"/>
      <c r="N1922" s="82"/>
    </row>
    <row r="1923" spans="1:14" x14ac:dyDescent="0.25">
      <c r="A1923" s="170" t="s">
        <v>11324</v>
      </c>
      <c r="B1923" s="170" t="s">
        <v>11325</v>
      </c>
      <c r="C1923" s="170" t="s">
        <v>870</v>
      </c>
      <c r="D1923" s="170" t="s">
        <v>1947</v>
      </c>
      <c r="E1923" s="171" t="s">
        <v>21977</v>
      </c>
      <c r="F1923" s="171" t="s">
        <v>35810</v>
      </c>
      <c r="G1923" s="82"/>
      <c r="H1923" s="96">
        <f t="shared" si="116"/>
        <v>45.95</v>
      </c>
      <c r="I1923" s="96">
        <f t="shared" si="116"/>
        <v>47.93</v>
      </c>
      <c r="J1923" s="91" t="str">
        <f t="shared" si="117"/>
        <v>Sinapi 101592</v>
      </c>
      <c r="K1923" s="91" t="str">
        <f t="shared" si="118"/>
        <v>M2</v>
      </c>
      <c r="L1923" s="166" t="str">
        <f t="shared" si="119"/>
        <v>08/2020</v>
      </c>
      <c r="M1923" s="82"/>
      <c r="N1923" s="82"/>
    </row>
    <row r="1924" spans="1:14" x14ac:dyDescent="0.25">
      <c r="A1924" s="170" t="s">
        <v>11326</v>
      </c>
      <c r="B1924" s="170" t="s">
        <v>11327</v>
      </c>
      <c r="C1924" s="170" t="s">
        <v>870</v>
      </c>
      <c r="D1924" s="170" t="s">
        <v>1947</v>
      </c>
      <c r="E1924" s="171" t="s">
        <v>28979</v>
      </c>
      <c r="F1924" s="171" t="s">
        <v>35811</v>
      </c>
      <c r="G1924" s="82"/>
      <c r="H1924" s="96">
        <f t="shared" si="116"/>
        <v>85.99</v>
      </c>
      <c r="I1924" s="96">
        <f t="shared" si="116"/>
        <v>89.93</v>
      </c>
      <c r="J1924" s="91" t="str">
        <f t="shared" si="117"/>
        <v>Sinapi 101593</v>
      </c>
      <c r="K1924" s="91" t="str">
        <f t="shared" si="118"/>
        <v>M2</v>
      </c>
      <c r="L1924" s="166" t="str">
        <f t="shared" si="119"/>
        <v>08/2020</v>
      </c>
      <c r="M1924" s="82"/>
      <c r="N1924" s="82"/>
    </row>
    <row r="1925" spans="1:14" x14ac:dyDescent="0.25">
      <c r="A1925" s="170" t="s">
        <v>11328</v>
      </c>
      <c r="B1925" s="170" t="s">
        <v>11329</v>
      </c>
      <c r="C1925" s="170" t="s">
        <v>870</v>
      </c>
      <c r="D1925" s="170" t="s">
        <v>1947</v>
      </c>
      <c r="E1925" s="171" t="s">
        <v>14935</v>
      </c>
      <c r="F1925" s="171" t="s">
        <v>21258</v>
      </c>
      <c r="G1925" s="82"/>
      <c r="H1925" s="96">
        <f t="shared" si="116"/>
        <v>16.34</v>
      </c>
      <c r="I1925" s="96">
        <f t="shared" si="116"/>
        <v>17.16</v>
      </c>
      <c r="J1925" s="91" t="str">
        <f t="shared" si="117"/>
        <v>Sinapi 101600</v>
      </c>
      <c r="K1925" s="91" t="str">
        <f t="shared" si="118"/>
        <v>M2</v>
      </c>
      <c r="L1925" s="166" t="str">
        <f t="shared" si="119"/>
        <v>08/2020</v>
      </c>
      <c r="M1925" s="82"/>
      <c r="N1925" s="82"/>
    </row>
    <row r="1926" spans="1:14" x14ac:dyDescent="0.25">
      <c r="A1926" s="170" t="s">
        <v>11330</v>
      </c>
      <c r="B1926" s="170" t="s">
        <v>11331</v>
      </c>
      <c r="C1926" s="170" t="s">
        <v>870</v>
      </c>
      <c r="D1926" s="170" t="s">
        <v>1947</v>
      </c>
      <c r="E1926" s="171" t="s">
        <v>30698</v>
      </c>
      <c r="F1926" s="171" t="s">
        <v>35812</v>
      </c>
      <c r="G1926" s="82"/>
      <c r="H1926" s="96">
        <f t="shared" si="116"/>
        <v>24.21</v>
      </c>
      <c r="I1926" s="96">
        <f t="shared" si="116"/>
        <v>25.41</v>
      </c>
      <c r="J1926" s="91" t="str">
        <f t="shared" si="117"/>
        <v>Sinapi 101601</v>
      </c>
      <c r="K1926" s="91" t="str">
        <f t="shared" si="118"/>
        <v>M2</v>
      </c>
      <c r="L1926" s="166" t="str">
        <f t="shared" si="119"/>
        <v>08/2020</v>
      </c>
      <c r="M1926" s="82"/>
      <c r="N1926" s="82"/>
    </row>
    <row r="1927" spans="1:14" x14ac:dyDescent="0.25">
      <c r="A1927" s="170" t="s">
        <v>11332</v>
      </c>
      <c r="B1927" s="170" t="s">
        <v>11333</v>
      </c>
      <c r="C1927" s="170" t="s">
        <v>870</v>
      </c>
      <c r="D1927" s="170" t="s">
        <v>1947</v>
      </c>
      <c r="E1927" s="171" t="s">
        <v>32517</v>
      </c>
      <c r="F1927" s="171" t="s">
        <v>20054</v>
      </c>
      <c r="G1927" s="82"/>
      <c r="H1927" s="96">
        <f t="shared" si="116"/>
        <v>12.11</v>
      </c>
      <c r="I1927" s="96">
        <f t="shared" si="116"/>
        <v>12.73</v>
      </c>
      <c r="J1927" s="91" t="str">
        <f t="shared" si="117"/>
        <v>Sinapi 101602</v>
      </c>
      <c r="K1927" s="91" t="str">
        <f t="shared" si="118"/>
        <v>M2</v>
      </c>
      <c r="L1927" s="166" t="str">
        <f t="shared" si="119"/>
        <v>08/2020</v>
      </c>
      <c r="M1927" s="82"/>
      <c r="N1927" s="82"/>
    </row>
    <row r="1928" spans="1:14" x14ac:dyDescent="0.25">
      <c r="A1928" s="170" t="s">
        <v>11334</v>
      </c>
      <c r="B1928" s="170" t="s">
        <v>11335</v>
      </c>
      <c r="C1928" s="170" t="s">
        <v>870</v>
      </c>
      <c r="D1928" s="170" t="s">
        <v>1947</v>
      </c>
      <c r="E1928" s="171" t="s">
        <v>30676</v>
      </c>
      <c r="F1928" s="171" t="s">
        <v>35813</v>
      </c>
      <c r="G1928" s="82"/>
      <c r="H1928" s="96">
        <f t="shared" ref="H1928:I1991" si="120">IF(E1928="","",E1928+0)</f>
        <v>19.98</v>
      </c>
      <c r="I1928" s="96">
        <f t="shared" si="120"/>
        <v>20.97</v>
      </c>
      <c r="J1928" s="91" t="str">
        <f t="shared" ref="J1928:J1991" si="121">IF(OR(H1928="",I1928=""),"",TRIM(CONCATENATE("Sinapi ",A1928)))</f>
        <v>Sinapi 101603</v>
      </c>
      <c r="K1928" s="91" t="str">
        <f t="shared" ref="K1928:K1991" si="122">TRIM(C1928)</f>
        <v>M2</v>
      </c>
      <c r="L1928" s="166" t="str">
        <f t="shared" ref="L1928:L1991" si="123">IF(OR(RIGHT(IF(AND(K1928&lt;&gt;"H",K1928&lt;&gt;"MES"),RIGHT(B1928,7),""),2)="PS",RIGHT(IF(AND(K1928&lt;&gt;"H",K1928&lt;&gt;"MES"),RIGHT(B1928,7),""),2)="PA",RIGHT(IF(AND(K1928&lt;&gt;"H",K1928&lt;&gt;"MES"),RIGHT(B1928,7),""),2)="PE"),LEFT(IF(AND(K1928&lt;&gt;"H",K1928&lt;&gt;"MES"),RIGHT(B1928,10),""),7),IF(AND(K1928&lt;&gt;"H",K1928&lt;&gt;"MES"),RIGHT(B1928,7),""))</f>
        <v>08/2020</v>
      </c>
      <c r="M1928" s="82"/>
      <c r="N1928" s="82"/>
    </row>
    <row r="1929" spans="1:14" x14ac:dyDescent="0.25">
      <c r="A1929" s="170" t="s">
        <v>11336</v>
      </c>
      <c r="B1929" s="170" t="s">
        <v>11337</v>
      </c>
      <c r="C1929" s="170" t="s">
        <v>870</v>
      </c>
      <c r="D1929" s="170" t="s">
        <v>1947</v>
      </c>
      <c r="E1929" s="171" t="s">
        <v>14357</v>
      </c>
      <c r="F1929" s="171" t="s">
        <v>20118</v>
      </c>
      <c r="G1929" s="82"/>
      <c r="H1929" s="96">
        <f t="shared" si="120"/>
        <v>7.92</v>
      </c>
      <c r="I1929" s="96">
        <f t="shared" si="120"/>
        <v>8.33</v>
      </c>
      <c r="J1929" s="91" t="str">
        <f t="shared" si="121"/>
        <v>Sinapi 101604</v>
      </c>
      <c r="K1929" s="91" t="str">
        <f t="shared" si="122"/>
        <v>M2</v>
      </c>
      <c r="L1929" s="166" t="str">
        <f t="shared" si="123"/>
        <v>08/2020</v>
      </c>
      <c r="M1929" s="82"/>
      <c r="N1929" s="82"/>
    </row>
    <row r="1930" spans="1:14" x14ac:dyDescent="0.25">
      <c r="A1930" s="170" t="s">
        <v>11338</v>
      </c>
      <c r="B1930" s="170" t="s">
        <v>11339</v>
      </c>
      <c r="C1930" s="170" t="s">
        <v>870</v>
      </c>
      <c r="D1930" s="170" t="s">
        <v>1947</v>
      </c>
      <c r="E1930" s="171" t="s">
        <v>20996</v>
      </c>
      <c r="F1930" s="171" t="s">
        <v>20129</v>
      </c>
      <c r="G1930" s="82"/>
      <c r="H1930" s="96">
        <f t="shared" si="120"/>
        <v>15.78</v>
      </c>
      <c r="I1930" s="96">
        <f t="shared" si="120"/>
        <v>16.57</v>
      </c>
      <c r="J1930" s="91" t="str">
        <f t="shared" si="121"/>
        <v>Sinapi 101605</v>
      </c>
      <c r="K1930" s="91" t="str">
        <f t="shared" si="122"/>
        <v>M2</v>
      </c>
      <c r="L1930" s="166" t="str">
        <f t="shared" si="123"/>
        <v>08/2020</v>
      </c>
      <c r="M1930" s="82"/>
      <c r="N1930" s="82"/>
    </row>
    <row r="1931" spans="1:14" x14ac:dyDescent="0.25">
      <c r="A1931" s="170" t="s">
        <v>4686</v>
      </c>
      <c r="B1931" s="170" t="s">
        <v>4687</v>
      </c>
      <c r="C1931" s="170" t="s">
        <v>205</v>
      </c>
      <c r="D1931" s="170" t="s">
        <v>2067</v>
      </c>
      <c r="E1931" s="171" t="s">
        <v>32518</v>
      </c>
      <c r="F1931" s="171" t="s">
        <v>35814</v>
      </c>
      <c r="G1931" s="82"/>
      <c r="H1931" s="96">
        <f t="shared" si="120"/>
        <v>966.33</v>
      </c>
      <c r="I1931" s="96">
        <f t="shared" si="120"/>
        <v>967.98</v>
      </c>
      <c r="J1931" s="91" t="str">
        <f t="shared" si="121"/>
        <v>Sinapi 90788</v>
      </c>
      <c r="K1931" s="91" t="str">
        <f t="shared" si="122"/>
        <v>UN</v>
      </c>
      <c r="L1931" s="166" t="str">
        <f t="shared" si="123"/>
        <v>12/2019</v>
      </c>
      <c r="M1931" s="82"/>
      <c r="N1931" s="82"/>
    </row>
    <row r="1932" spans="1:14" x14ac:dyDescent="0.25">
      <c r="A1932" s="170" t="s">
        <v>4688</v>
      </c>
      <c r="B1932" s="170" t="s">
        <v>4689</v>
      </c>
      <c r="C1932" s="170" t="s">
        <v>205</v>
      </c>
      <c r="D1932" s="170" t="s">
        <v>2067</v>
      </c>
      <c r="E1932" s="171" t="s">
        <v>32519</v>
      </c>
      <c r="F1932" s="171" t="s">
        <v>35815</v>
      </c>
      <c r="G1932" s="82"/>
      <c r="H1932" s="96">
        <f t="shared" si="120"/>
        <v>967.86</v>
      </c>
      <c r="I1932" s="96">
        <f t="shared" si="120"/>
        <v>969.69</v>
      </c>
      <c r="J1932" s="91" t="str">
        <f t="shared" si="121"/>
        <v>Sinapi 90789</v>
      </c>
      <c r="K1932" s="91" t="str">
        <f t="shared" si="122"/>
        <v>UN</v>
      </c>
      <c r="L1932" s="166" t="str">
        <f t="shared" si="123"/>
        <v>12/2019</v>
      </c>
      <c r="M1932" s="82"/>
      <c r="N1932" s="82"/>
    </row>
    <row r="1933" spans="1:14" x14ac:dyDescent="0.25">
      <c r="A1933" s="170" t="s">
        <v>4690</v>
      </c>
      <c r="B1933" s="170" t="s">
        <v>4691</v>
      </c>
      <c r="C1933" s="170" t="s">
        <v>205</v>
      </c>
      <c r="D1933" s="170" t="s">
        <v>2067</v>
      </c>
      <c r="E1933" s="171" t="s">
        <v>32520</v>
      </c>
      <c r="F1933" s="171" t="s">
        <v>35816</v>
      </c>
      <c r="G1933" s="82"/>
      <c r="H1933" s="96">
        <f t="shared" si="120"/>
        <v>998.01</v>
      </c>
      <c r="I1933" s="96">
        <f t="shared" si="120"/>
        <v>1000</v>
      </c>
      <c r="J1933" s="91" t="str">
        <f t="shared" si="121"/>
        <v>Sinapi 90790</v>
      </c>
      <c r="K1933" s="91" t="str">
        <f t="shared" si="122"/>
        <v>UN</v>
      </c>
      <c r="L1933" s="166" t="str">
        <f t="shared" si="123"/>
        <v>12/2019</v>
      </c>
      <c r="M1933" s="82"/>
      <c r="N1933" s="82"/>
    </row>
    <row r="1934" spans="1:14" x14ac:dyDescent="0.25">
      <c r="A1934" s="170" t="s">
        <v>4692</v>
      </c>
      <c r="B1934" s="170" t="s">
        <v>11340</v>
      </c>
      <c r="C1934" s="170" t="s">
        <v>205</v>
      </c>
      <c r="D1934" s="170" t="s">
        <v>2067</v>
      </c>
      <c r="E1934" s="171" t="s">
        <v>32521</v>
      </c>
      <c r="F1934" s="171" t="s">
        <v>35817</v>
      </c>
      <c r="G1934" s="82"/>
      <c r="H1934" s="96">
        <f t="shared" si="120"/>
        <v>1169.06</v>
      </c>
      <c r="I1934" s="96">
        <f t="shared" si="120"/>
        <v>1171.75</v>
      </c>
      <c r="J1934" s="91" t="str">
        <f t="shared" si="121"/>
        <v>Sinapi 90791</v>
      </c>
      <c r="K1934" s="91" t="str">
        <f t="shared" si="122"/>
        <v>UN</v>
      </c>
      <c r="L1934" s="166" t="str">
        <f t="shared" si="123"/>
        <v>12/2019</v>
      </c>
      <c r="M1934" s="82"/>
      <c r="N1934" s="82"/>
    </row>
    <row r="1935" spans="1:14" x14ac:dyDescent="0.25">
      <c r="A1935" s="170" t="s">
        <v>4693</v>
      </c>
      <c r="B1935" s="170" t="s">
        <v>11341</v>
      </c>
      <c r="C1935" s="170" t="s">
        <v>205</v>
      </c>
      <c r="D1935" s="170" t="s">
        <v>2067</v>
      </c>
      <c r="E1935" s="171" t="s">
        <v>32522</v>
      </c>
      <c r="F1935" s="171" t="s">
        <v>35818</v>
      </c>
      <c r="G1935" s="82"/>
      <c r="H1935" s="96">
        <f t="shared" si="120"/>
        <v>1230.6600000000001</v>
      </c>
      <c r="I1935" s="96">
        <f t="shared" si="120"/>
        <v>1234.01</v>
      </c>
      <c r="J1935" s="91" t="str">
        <f t="shared" si="121"/>
        <v>Sinapi 90793</v>
      </c>
      <c r="K1935" s="91" t="str">
        <f t="shared" si="122"/>
        <v>UN</v>
      </c>
      <c r="L1935" s="166" t="str">
        <f t="shared" si="123"/>
        <v>12/2019</v>
      </c>
      <c r="M1935" s="82"/>
      <c r="N1935" s="82"/>
    </row>
    <row r="1936" spans="1:14" x14ac:dyDescent="0.25">
      <c r="A1936" s="170" t="s">
        <v>4694</v>
      </c>
      <c r="B1936" s="170" t="s">
        <v>11342</v>
      </c>
      <c r="C1936" s="170" t="s">
        <v>205</v>
      </c>
      <c r="D1936" s="170" t="s">
        <v>2067</v>
      </c>
      <c r="E1936" s="171" t="s">
        <v>32523</v>
      </c>
      <c r="F1936" s="171" t="s">
        <v>35819</v>
      </c>
      <c r="G1936" s="82"/>
      <c r="H1936" s="96">
        <f t="shared" si="120"/>
        <v>824.95</v>
      </c>
      <c r="I1936" s="96">
        <f t="shared" si="120"/>
        <v>831.97</v>
      </c>
      <c r="J1936" s="91" t="str">
        <f t="shared" si="121"/>
        <v>Sinapi 90794</v>
      </c>
      <c r="K1936" s="91" t="str">
        <f t="shared" si="122"/>
        <v>UN</v>
      </c>
      <c r="L1936" s="166" t="str">
        <f t="shared" si="123"/>
        <v>12/2019</v>
      </c>
      <c r="M1936" s="82"/>
      <c r="N1936" s="82"/>
    </row>
    <row r="1937" spans="1:14" x14ac:dyDescent="0.25">
      <c r="A1937" s="170" t="s">
        <v>4695</v>
      </c>
      <c r="B1937" s="170" t="s">
        <v>11343</v>
      </c>
      <c r="C1937" s="170" t="s">
        <v>205</v>
      </c>
      <c r="D1937" s="170" t="s">
        <v>2067</v>
      </c>
      <c r="E1937" s="171" t="s">
        <v>32524</v>
      </c>
      <c r="F1937" s="171" t="s">
        <v>35820</v>
      </c>
      <c r="G1937" s="82"/>
      <c r="H1937" s="96">
        <f t="shared" si="120"/>
        <v>831.59</v>
      </c>
      <c r="I1937" s="96">
        <f t="shared" si="120"/>
        <v>839.33</v>
      </c>
      <c r="J1937" s="91" t="str">
        <f t="shared" si="121"/>
        <v>Sinapi 90795</v>
      </c>
      <c r="K1937" s="91" t="str">
        <f t="shared" si="122"/>
        <v>UN</v>
      </c>
      <c r="L1937" s="166" t="str">
        <f t="shared" si="123"/>
        <v>12/2019</v>
      </c>
      <c r="M1937" s="82"/>
      <c r="N1937" s="82"/>
    </row>
    <row r="1938" spans="1:14" x14ac:dyDescent="0.25">
      <c r="A1938" s="170" t="s">
        <v>4696</v>
      </c>
      <c r="B1938" s="170" t="s">
        <v>11344</v>
      </c>
      <c r="C1938" s="170" t="s">
        <v>205</v>
      </c>
      <c r="D1938" s="170" t="s">
        <v>2067</v>
      </c>
      <c r="E1938" s="171" t="s">
        <v>32525</v>
      </c>
      <c r="F1938" s="171" t="s">
        <v>28722</v>
      </c>
      <c r="G1938" s="82"/>
      <c r="H1938" s="96">
        <f t="shared" si="120"/>
        <v>838.22</v>
      </c>
      <c r="I1938" s="96">
        <f t="shared" si="120"/>
        <v>846.7</v>
      </c>
      <c r="J1938" s="91" t="str">
        <f t="shared" si="121"/>
        <v>Sinapi 90796</v>
      </c>
      <c r="K1938" s="91" t="str">
        <f t="shared" si="122"/>
        <v>UN</v>
      </c>
      <c r="L1938" s="166" t="str">
        <f t="shared" si="123"/>
        <v>12/2019</v>
      </c>
      <c r="M1938" s="82"/>
      <c r="N1938" s="82"/>
    </row>
    <row r="1939" spans="1:14" x14ac:dyDescent="0.25">
      <c r="A1939" s="170" t="s">
        <v>4697</v>
      </c>
      <c r="B1939" s="170" t="s">
        <v>11345</v>
      </c>
      <c r="C1939" s="170" t="s">
        <v>205</v>
      </c>
      <c r="D1939" s="170" t="s">
        <v>2067</v>
      </c>
      <c r="E1939" s="171" t="s">
        <v>32526</v>
      </c>
      <c r="F1939" s="171" t="s">
        <v>35821</v>
      </c>
      <c r="G1939" s="82"/>
      <c r="H1939" s="96">
        <f t="shared" si="120"/>
        <v>844.87</v>
      </c>
      <c r="I1939" s="96">
        <f t="shared" si="120"/>
        <v>854.05</v>
      </c>
      <c r="J1939" s="91" t="str">
        <f t="shared" si="121"/>
        <v>Sinapi 90797</v>
      </c>
      <c r="K1939" s="91" t="str">
        <f t="shared" si="122"/>
        <v>UN</v>
      </c>
      <c r="L1939" s="166" t="str">
        <f t="shared" si="123"/>
        <v>12/2019</v>
      </c>
      <c r="M1939" s="82"/>
      <c r="N1939" s="82"/>
    </row>
    <row r="1940" spans="1:14" x14ac:dyDescent="0.25">
      <c r="A1940" s="170" t="s">
        <v>4698</v>
      </c>
      <c r="B1940" s="170" t="s">
        <v>11346</v>
      </c>
      <c r="C1940" s="170" t="s">
        <v>205</v>
      </c>
      <c r="D1940" s="170" t="s">
        <v>2067</v>
      </c>
      <c r="E1940" s="171" t="s">
        <v>32527</v>
      </c>
      <c r="F1940" s="171" t="s">
        <v>35822</v>
      </c>
      <c r="G1940" s="82"/>
      <c r="H1940" s="96">
        <f t="shared" si="120"/>
        <v>1233.08</v>
      </c>
      <c r="I1940" s="96">
        <f t="shared" si="120"/>
        <v>1242.6199999999999</v>
      </c>
      <c r="J1940" s="91" t="str">
        <f t="shared" si="121"/>
        <v>Sinapi 90798</v>
      </c>
      <c r="K1940" s="91" t="str">
        <f t="shared" si="122"/>
        <v>UN</v>
      </c>
      <c r="L1940" s="166" t="str">
        <f t="shared" si="123"/>
        <v>12/2019</v>
      </c>
      <c r="M1940" s="82"/>
      <c r="N1940" s="82"/>
    </row>
    <row r="1941" spans="1:14" x14ac:dyDescent="0.25">
      <c r="A1941" s="170" t="s">
        <v>4699</v>
      </c>
      <c r="B1941" s="170" t="s">
        <v>11347</v>
      </c>
      <c r="C1941" s="170" t="s">
        <v>205</v>
      </c>
      <c r="D1941" s="170" t="s">
        <v>2067</v>
      </c>
      <c r="E1941" s="171" t="s">
        <v>32528</v>
      </c>
      <c r="F1941" s="171" t="s">
        <v>35823</v>
      </c>
      <c r="G1941" s="82"/>
      <c r="H1941" s="96">
        <f t="shared" si="120"/>
        <v>1271.19</v>
      </c>
      <c r="I1941" s="96">
        <f t="shared" si="120"/>
        <v>1281.54</v>
      </c>
      <c r="J1941" s="91" t="str">
        <f t="shared" si="121"/>
        <v>Sinapi 90799</v>
      </c>
      <c r="K1941" s="91" t="str">
        <f t="shared" si="122"/>
        <v>UN</v>
      </c>
      <c r="L1941" s="166" t="str">
        <f t="shared" si="123"/>
        <v>12/2019</v>
      </c>
      <c r="M1941" s="82"/>
      <c r="N1941" s="82"/>
    </row>
    <row r="1942" spans="1:14" x14ac:dyDescent="0.25">
      <c r="A1942" s="170" t="s">
        <v>4700</v>
      </c>
      <c r="B1942" s="170" t="s">
        <v>580</v>
      </c>
      <c r="C1942" s="170" t="s">
        <v>205</v>
      </c>
      <c r="D1942" s="170" t="s">
        <v>2067</v>
      </c>
      <c r="E1942" s="171" t="s">
        <v>28650</v>
      </c>
      <c r="F1942" s="171" t="s">
        <v>35824</v>
      </c>
      <c r="G1942" s="82"/>
      <c r="H1942" s="96">
        <f t="shared" si="120"/>
        <v>228.27</v>
      </c>
      <c r="I1942" s="96">
        <f t="shared" si="120"/>
        <v>238.08</v>
      </c>
      <c r="J1942" s="91" t="str">
        <f t="shared" si="121"/>
        <v>Sinapi 90801</v>
      </c>
      <c r="K1942" s="91" t="str">
        <f t="shared" si="122"/>
        <v>UN</v>
      </c>
      <c r="L1942" s="166" t="str">
        <f t="shared" si="123"/>
        <v>12/2019</v>
      </c>
      <c r="M1942" s="82"/>
      <c r="N1942" s="82"/>
    </row>
    <row r="1943" spans="1:14" x14ac:dyDescent="0.25">
      <c r="A1943" s="170" t="s">
        <v>4701</v>
      </c>
      <c r="B1943" s="170" t="s">
        <v>16342</v>
      </c>
      <c r="C1943" s="170" t="s">
        <v>205</v>
      </c>
      <c r="D1943" s="170" t="s">
        <v>2067</v>
      </c>
      <c r="E1943" s="171" t="s">
        <v>32529</v>
      </c>
      <c r="F1943" s="171" t="s">
        <v>29306</v>
      </c>
      <c r="G1943" s="82"/>
      <c r="H1943" s="96">
        <f t="shared" si="120"/>
        <v>317.27999999999997</v>
      </c>
      <c r="I1943" s="96">
        <f t="shared" si="120"/>
        <v>334.59</v>
      </c>
      <c r="J1943" s="91" t="str">
        <f t="shared" si="121"/>
        <v>Sinapi 90806</v>
      </c>
      <c r="K1943" s="91" t="str">
        <f t="shared" si="122"/>
        <v>UN</v>
      </c>
      <c r="L1943" s="166" t="str">
        <f t="shared" si="123"/>
        <v>12/2019</v>
      </c>
      <c r="M1943" s="82"/>
      <c r="N1943" s="82"/>
    </row>
    <row r="1944" spans="1:14" x14ac:dyDescent="0.25">
      <c r="A1944" s="170" t="s">
        <v>4702</v>
      </c>
      <c r="B1944" s="170" t="s">
        <v>4703</v>
      </c>
      <c r="C1944" s="170" t="s">
        <v>205</v>
      </c>
      <c r="D1944" s="170" t="s">
        <v>2067</v>
      </c>
      <c r="E1944" s="171" t="s">
        <v>28915</v>
      </c>
      <c r="F1944" s="171" t="s">
        <v>35825</v>
      </c>
      <c r="G1944" s="82"/>
      <c r="H1944" s="96">
        <f t="shared" si="120"/>
        <v>355.16</v>
      </c>
      <c r="I1944" s="96">
        <f t="shared" si="120"/>
        <v>359.75</v>
      </c>
      <c r="J1944" s="91" t="str">
        <f t="shared" si="121"/>
        <v>Sinapi 90820</v>
      </c>
      <c r="K1944" s="91" t="str">
        <f t="shared" si="122"/>
        <v>UN</v>
      </c>
      <c r="L1944" s="166" t="str">
        <f t="shared" si="123"/>
        <v>12/2019</v>
      </c>
      <c r="M1944" s="82"/>
      <c r="N1944" s="82"/>
    </row>
    <row r="1945" spans="1:14" x14ac:dyDescent="0.25">
      <c r="A1945" s="170" t="s">
        <v>4704</v>
      </c>
      <c r="B1945" s="170" t="s">
        <v>4705</v>
      </c>
      <c r="C1945" s="170" t="s">
        <v>205</v>
      </c>
      <c r="D1945" s="170" t="s">
        <v>2067</v>
      </c>
      <c r="E1945" s="171" t="s">
        <v>32530</v>
      </c>
      <c r="F1945" s="171" t="s">
        <v>35826</v>
      </c>
      <c r="G1945" s="82"/>
      <c r="H1945" s="96">
        <f t="shared" si="120"/>
        <v>361.53</v>
      </c>
      <c r="I1945" s="96">
        <f t="shared" si="120"/>
        <v>366.62</v>
      </c>
      <c r="J1945" s="91" t="str">
        <f t="shared" si="121"/>
        <v>Sinapi 90821</v>
      </c>
      <c r="K1945" s="91" t="str">
        <f t="shared" si="122"/>
        <v>UN</v>
      </c>
      <c r="L1945" s="166" t="str">
        <f t="shared" si="123"/>
        <v>12/2019</v>
      </c>
      <c r="M1945" s="82"/>
      <c r="N1945" s="82"/>
    </row>
    <row r="1946" spans="1:14" x14ac:dyDescent="0.25">
      <c r="A1946" s="170" t="s">
        <v>4706</v>
      </c>
      <c r="B1946" s="170" t="s">
        <v>4707</v>
      </c>
      <c r="C1946" s="170" t="s">
        <v>205</v>
      </c>
      <c r="D1946" s="170" t="s">
        <v>2067</v>
      </c>
      <c r="E1946" s="171" t="s">
        <v>32531</v>
      </c>
      <c r="F1946" s="171" t="s">
        <v>35827</v>
      </c>
      <c r="G1946" s="82"/>
      <c r="H1946" s="96">
        <f t="shared" si="120"/>
        <v>388.04</v>
      </c>
      <c r="I1946" s="96">
        <f t="shared" si="120"/>
        <v>393.59</v>
      </c>
      <c r="J1946" s="91" t="str">
        <f t="shared" si="121"/>
        <v>Sinapi 90822</v>
      </c>
      <c r="K1946" s="91" t="str">
        <f t="shared" si="122"/>
        <v>UN</v>
      </c>
      <c r="L1946" s="166" t="str">
        <f t="shared" si="123"/>
        <v>12/2019</v>
      </c>
      <c r="M1946" s="82"/>
      <c r="N1946" s="82"/>
    </row>
    <row r="1947" spans="1:14" x14ac:dyDescent="0.25">
      <c r="A1947" s="170" t="s">
        <v>4708</v>
      </c>
      <c r="B1947" s="170" t="s">
        <v>4709</v>
      </c>
      <c r="C1947" s="170" t="s">
        <v>205</v>
      </c>
      <c r="D1947" s="170" t="s">
        <v>2067</v>
      </c>
      <c r="E1947" s="171" t="s">
        <v>32532</v>
      </c>
      <c r="F1947" s="171" t="s">
        <v>35828</v>
      </c>
      <c r="G1947" s="82"/>
      <c r="H1947" s="96">
        <f t="shared" si="120"/>
        <v>480.74</v>
      </c>
      <c r="I1947" s="96">
        <f t="shared" si="120"/>
        <v>486.76</v>
      </c>
      <c r="J1947" s="91" t="str">
        <f t="shared" si="121"/>
        <v>Sinapi 90823</v>
      </c>
      <c r="K1947" s="91" t="str">
        <f t="shared" si="122"/>
        <v>UN</v>
      </c>
      <c r="L1947" s="166" t="str">
        <f t="shared" si="123"/>
        <v>12/2019</v>
      </c>
      <c r="M1947" s="82"/>
      <c r="N1947" s="82"/>
    </row>
    <row r="1948" spans="1:14" x14ac:dyDescent="0.25">
      <c r="A1948" s="170" t="s">
        <v>4710</v>
      </c>
      <c r="B1948" s="170" t="s">
        <v>4711</v>
      </c>
      <c r="C1948" s="170" t="s">
        <v>205</v>
      </c>
      <c r="D1948" s="170" t="s">
        <v>2067</v>
      </c>
      <c r="E1948" s="171" t="s">
        <v>28018</v>
      </c>
      <c r="F1948" s="171" t="s">
        <v>35829</v>
      </c>
      <c r="G1948" s="82"/>
      <c r="H1948" s="96">
        <f t="shared" si="120"/>
        <v>692.98</v>
      </c>
      <c r="I1948" s="96">
        <f t="shared" si="120"/>
        <v>700.68</v>
      </c>
      <c r="J1948" s="91" t="str">
        <f t="shared" si="121"/>
        <v>Sinapi 90824</v>
      </c>
      <c r="K1948" s="91" t="str">
        <f t="shared" si="122"/>
        <v>UN</v>
      </c>
      <c r="L1948" s="166" t="str">
        <f t="shared" si="123"/>
        <v>12/2019</v>
      </c>
      <c r="M1948" s="82"/>
      <c r="N1948" s="82"/>
    </row>
    <row r="1949" spans="1:14" x14ac:dyDescent="0.25">
      <c r="A1949" s="170" t="s">
        <v>4712</v>
      </c>
      <c r="B1949" s="170" t="s">
        <v>4713</v>
      </c>
      <c r="C1949" s="170" t="s">
        <v>205</v>
      </c>
      <c r="D1949" s="170" t="s">
        <v>2067</v>
      </c>
      <c r="E1949" s="171" t="s">
        <v>32533</v>
      </c>
      <c r="F1949" s="171" t="s">
        <v>35830</v>
      </c>
      <c r="G1949" s="82"/>
      <c r="H1949" s="96">
        <f t="shared" si="120"/>
        <v>773.19</v>
      </c>
      <c r="I1949" s="96">
        <f t="shared" si="120"/>
        <v>781.55</v>
      </c>
      <c r="J1949" s="91" t="str">
        <f t="shared" si="121"/>
        <v>Sinapi 90825</v>
      </c>
      <c r="K1949" s="91" t="str">
        <f t="shared" si="122"/>
        <v>UN</v>
      </c>
      <c r="L1949" s="166" t="str">
        <f t="shared" si="123"/>
        <v>12/2019</v>
      </c>
      <c r="M1949" s="82"/>
      <c r="N1949" s="82"/>
    </row>
    <row r="1950" spans="1:14" x14ac:dyDescent="0.25">
      <c r="A1950" s="170" t="s">
        <v>4714</v>
      </c>
      <c r="B1950" s="170" t="s">
        <v>4715</v>
      </c>
      <c r="C1950" s="170" t="s">
        <v>205</v>
      </c>
      <c r="D1950" s="170" t="s">
        <v>2067</v>
      </c>
      <c r="E1950" s="171" t="s">
        <v>32534</v>
      </c>
      <c r="F1950" s="171" t="s">
        <v>29144</v>
      </c>
      <c r="G1950" s="82"/>
      <c r="H1950" s="96">
        <f t="shared" si="120"/>
        <v>150.66</v>
      </c>
      <c r="I1950" s="96">
        <f t="shared" si="120"/>
        <v>154.27000000000001</v>
      </c>
      <c r="J1950" s="91" t="str">
        <f t="shared" si="121"/>
        <v>Sinapi 90830</v>
      </c>
      <c r="K1950" s="91" t="str">
        <f t="shared" si="122"/>
        <v>UN</v>
      </c>
      <c r="L1950" s="166" t="str">
        <f t="shared" si="123"/>
        <v>12/2019</v>
      </c>
      <c r="M1950" s="82"/>
      <c r="N1950" s="82"/>
    </row>
    <row r="1951" spans="1:14" x14ac:dyDescent="0.25">
      <c r="A1951" s="170" t="s">
        <v>4716</v>
      </c>
      <c r="B1951" s="170" t="s">
        <v>4717</v>
      </c>
      <c r="C1951" s="170" t="s">
        <v>205</v>
      </c>
      <c r="D1951" s="170" t="s">
        <v>2067</v>
      </c>
      <c r="E1951" s="171" t="s">
        <v>32535</v>
      </c>
      <c r="F1951" s="171" t="s">
        <v>35831</v>
      </c>
      <c r="G1951" s="82"/>
      <c r="H1951" s="96">
        <f t="shared" si="120"/>
        <v>132.02000000000001</v>
      </c>
      <c r="I1951" s="96">
        <f t="shared" si="120"/>
        <v>134.78</v>
      </c>
      <c r="J1951" s="91" t="str">
        <f t="shared" si="121"/>
        <v>Sinapi 90831</v>
      </c>
      <c r="K1951" s="91" t="str">
        <f t="shared" si="122"/>
        <v>UN</v>
      </c>
      <c r="L1951" s="166" t="str">
        <f t="shared" si="123"/>
        <v>12/2019</v>
      </c>
      <c r="M1951" s="82"/>
      <c r="N1951" s="82"/>
    </row>
    <row r="1952" spans="1:14" x14ac:dyDescent="0.25">
      <c r="A1952" s="170" t="s">
        <v>4718</v>
      </c>
      <c r="B1952" s="170" t="s">
        <v>4719</v>
      </c>
      <c r="C1952" s="170" t="s">
        <v>205</v>
      </c>
      <c r="D1952" s="170" t="s">
        <v>2067</v>
      </c>
      <c r="E1952" s="171" t="s">
        <v>32536</v>
      </c>
      <c r="F1952" s="171" t="s">
        <v>35832</v>
      </c>
      <c r="G1952" s="82"/>
      <c r="H1952" s="96">
        <f t="shared" si="120"/>
        <v>883.37</v>
      </c>
      <c r="I1952" s="96">
        <f t="shared" si="120"/>
        <v>910.33</v>
      </c>
      <c r="J1952" s="91" t="str">
        <f t="shared" si="121"/>
        <v>Sinapi 90841</v>
      </c>
      <c r="K1952" s="91" t="str">
        <f t="shared" si="122"/>
        <v>UN</v>
      </c>
      <c r="L1952" s="166" t="str">
        <f t="shared" si="123"/>
        <v>12/2019</v>
      </c>
      <c r="M1952" s="82"/>
      <c r="N1952" s="82"/>
    </row>
    <row r="1953" spans="1:14" x14ac:dyDescent="0.25">
      <c r="A1953" s="170" t="s">
        <v>4720</v>
      </c>
      <c r="B1953" s="170" t="s">
        <v>4721</v>
      </c>
      <c r="C1953" s="170" t="s">
        <v>205</v>
      </c>
      <c r="D1953" s="170" t="s">
        <v>2067</v>
      </c>
      <c r="E1953" s="171" t="s">
        <v>32537</v>
      </c>
      <c r="F1953" s="171" t="s">
        <v>35833</v>
      </c>
      <c r="G1953" s="82"/>
      <c r="H1953" s="96">
        <f t="shared" si="120"/>
        <v>891.38</v>
      </c>
      <c r="I1953" s="96">
        <f t="shared" si="120"/>
        <v>918.89</v>
      </c>
      <c r="J1953" s="91" t="str">
        <f t="shared" si="121"/>
        <v>Sinapi 90842</v>
      </c>
      <c r="K1953" s="91" t="str">
        <f t="shared" si="122"/>
        <v>UN</v>
      </c>
      <c r="L1953" s="166" t="str">
        <f t="shared" si="123"/>
        <v>12/2019</v>
      </c>
      <c r="M1953" s="82"/>
      <c r="N1953" s="82"/>
    </row>
    <row r="1954" spans="1:14" x14ac:dyDescent="0.25">
      <c r="A1954" s="170" t="s">
        <v>4722</v>
      </c>
      <c r="B1954" s="170" t="s">
        <v>4723</v>
      </c>
      <c r="C1954" s="170" t="s">
        <v>205</v>
      </c>
      <c r="D1954" s="170" t="s">
        <v>2067</v>
      </c>
      <c r="E1954" s="171" t="s">
        <v>32538</v>
      </c>
      <c r="F1954" s="171" t="s">
        <v>35834</v>
      </c>
      <c r="G1954" s="82"/>
      <c r="H1954" s="96">
        <f t="shared" si="120"/>
        <v>938.18</v>
      </c>
      <c r="I1954" s="96">
        <f t="shared" si="120"/>
        <v>967.05</v>
      </c>
      <c r="J1954" s="91" t="str">
        <f t="shared" si="121"/>
        <v>Sinapi 90843</v>
      </c>
      <c r="K1954" s="91" t="str">
        <f t="shared" si="122"/>
        <v>UN</v>
      </c>
      <c r="L1954" s="166" t="str">
        <f t="shared" si="123"/>
        <v>12/2019</v>
      </c>
      <c r="M1954" s="82"/>
      <c r="N1954" s="82"/>
    </row>
    <row r="1955" spans="1:14" x14ac:dyDescent="0.25">
      <c r="A1955" s="170" t="s">
        <v>4724</v>
      </c>
      <c r="B1955" s="170" t="s">
        <v>4725</v>
      </c>
      <c r="C1955" s="170" t="s">
        <v>205</v>
      </c>
      <c r="D1955" s="170" t="s">
        <v>2067</v>
      </c>
      <c r="E1955" s="171" t="s">
        <v>32539</v>
      </c>
      <c r="F1955" s="171" t="s">
        <v>35835</v>
      </c>
      <c r="G1955" s="82"/>
      <c r="H1955" s="96">
        <f t="shared" si="120"/>
        <v>1032.52</v>
      </c>
      <c r="I1955" s="96">
        <f t="shared" si="120"/>
        <v>1061.9100000000001</v>
      </c>
      <c r="J1955" s="91" t="str">
        <f t="shared" si="121"/>
        <v>Sinapi 90844</v>
      </c>
      <c r="K1955" s="91" t="str">
        <f t="shared" si="122"/>
        <v>UN</v>
      </c>
      <c r="L1955" s="166" t="str">
        <f t="shared" si="123"/>
        <v>12/2019</v>
      </c>
      <c r="M1955" s="82"/>
      <c r="N1955" s="82"/>
    </row>
    <row r="1956" spans="1:14" x14ac:dyDescent="0.25">
      <c r="A1956" s="170" t="s">
        <v>10411</v>
      </c>
      <c r="B1956" s="170" t="s">
        <v>10412</v>
      </c>
      <c r="C1956" s="170" t="s">
        <v>205</v>
      </c>
      <c r="D1956" s="170" t="s">
        <v>2067</v>
      </c>
      <c r="E1956" s="171" t="s">
        <v>32540</v>
      </c>
      <c r="F1956" s="171" t="s">
        <v>35836</v>
      </c>
      <c r="G1956" s="82"/>
      <c r="H1956" s="96">
        <f t="shared" si="120"/>
        <v>1243.1199999999999</v>
      </c>
      <c r="I1956" s="96">
        <f t="shared" si="120"/>
        <v>1274.1400000000001</v>
      </c>
      <c r="J1956" s="91" t="str">
        <f t="shared" si="121"/>
        <v>Sinapi 90845</v>
      </c>
      <c r="K1956" s="91" t="str">
        <f t="shared" si="122"/>
        <v>UN</v>
      </c>
      <c r="L1956" s="166" t="str">
        <f t="shared" si="123"/>
        <v>12/2019</v>
      </c>
      <c r="M1956" s="82"/>
      <c r="N1956" s="82"/>
    </row>
    <row r="1957" spans="1:14" x14ac:dyDescent="0.25">
      <c r="A1957" s="170" t="s">
        <v>10413</v>
      </c>
      <c r="B1957" s="170" t="s">
        <v>10414</v>
      </c>
      <c r="C1957" s="170" t="s">
        <v>205</v>
      </c>
      <c r="D1957" s="170" t="s">
        <v>2067</v>
      </c>
      <c r="E1957" s="171" t="s">
        <v>32541</v>
      </c>
      <c r="F1957" s="171" t="s">
        <v>35837</v>
      </c>
      <c r="G1957" s="82"/>
      <c r="H1957" s="96">
        <f t="shared" si="120"/>
        <v>1324.97</v>
      </c>
      <c r="I1957" s="96">
        <f t="shared" si="120"/>
        <v>1356.7</v>
      </c>
      <c r="J1957" s="91" t="str">
        <f t="shared" si="121"/>
        <v>Sinapi 90846</v>
      </c>
      <c r="K1957" s="91" t="str">
        <f t="shared" si="122"/>
        <v>UN</v>
      </c>
      <c r="L1957" s="166" t="str">
        <f t="shared" si="123"/>
        <v>12/2019</v>
      </c>
      <c r="M1957" s="82"/>
      <c r="N1957" s="82"/>
    </row>
    <row r="1958" spans="1:14" x14ac:dyDescent="0.25">
      <c r="A1958" s="170" t="s">
        <v>4726</v>
      </c>
      <c r="B1958" s="170" t="s">
        <v>4727</v>
      </c>
      <c r="C1958" s="170" t="s">
        <v>205</v>
      </c>
      <c r="D1958" s="170" t="s">
        <v>2067</v>
      </c>
      <c r="E1958" s="171" t="s">
        <v>32542</v>
      </c>
      <c r="F1958" s="171" t="s">
        <v>35838</v>
      </c>
      <c r="G1958" s="82"/>
      <c r="H1958" s="96">
        <f t="shared" si="120"/>
        <v>751.35</v>
      </c>
      <c r="I1958" s="96">
        <f t="shared" si="120"/>
        <v>775.55</v>
      </c>
      <c r="J1958" s="91" t="str">
        <f t="shared" si="121"/>
        <v>Sinapi 90847</v>
      </c>
      <c r="K1958" s="91" t="str">
        <f t="shared" si="122"/>
        <v>UN</v>
      </c>
      <c r="L1958" s="166" t="str">
        <f t="shared" si="123"/>
        <v>12/2019</v>
      </c>
      <c r="M1958" s="82"/>
      <c r="N1958" s="82"/>
    </row>
    <row r="1959" spans="1:14" x14ac:dyDescent="0.25">
      <c r="A1959" s="170" t="s">
        <v>4728</v>
      </c>
      <c r="B1959" s="170" t="s">
        <v>4729</v>
      </c>
      <c r="C1959" s="170" t="s">
        <v>205</v>
      </c>
      <c r="D1959" s="170" t="s">
        <v>2067</v>
      </c>
      <c r="E1959" s="171" t="s">
        <v>32543</v>
      </c>
      <c r="F1959" s="171" t="s">
        <v>35839</v>
      </c>
      <c r="G1959" s="82"/>
      <c r="H1959" s="96">
        <f t="shared" si="120"/>
        <v>759.36</v>
      </c>
      <c r="I1959" s="96">
        <f t="shared" si="120"/>
        <v>784.11</v>
      </c>
      <c r="J1959" s="91" t="str">
        <f t="shared" si="121"/>
        <v>Sinapi 90848</v>
      </c>
      <c r="K1959" s="91" t="str">
        <f t="shared" si="122"/>
        <v>UN</v>
      </c>
      <c r="L1959" s="166" t="str">
        <f t="shared" si="123"/>
        <v>12/2019</v>
      </c>
      <c r="M1959" s="82"/>
      <c r="N1959" s="82"/>
    </row>
    <row r="1960" spans="1:14" x14ac:dyDescent="0.25">
      <c r="A1960" s="170" t="s">
        <v>4730</v>
      </c>
      <c r="B1960" s="170" t="s">
        <v>4731</v>
      </c>
      <c r="C1960" s="170" t="s">
        <v>205</v>
      </c>
      <c r="D1960" s="170" t="s">
        <v>2067</v>
      </c>
      <c r="E1960" s="171" t="s">
        <v>32544</v>
      </c>
      <c r="F1960" s="171" t="s">
        <v>35840</v>
      </c>
      <c r="G1960" s="82"/>
      <c r="H1960" s="96">
        <f t="shared" si="120"/>
        <v>787.52</v>
      </c>
      <c r="I1960" s="96">
        <f t="shared" si="120"/>
        <v>812.78</v>
      </c>
      <c r="J1960" s="91" t="str">
        <f t="shared" si="121"/>
        <v>Sinapi 90849</v>
      </c>
      <c r="K1960" s="91" t="str">
        <f t="shared" si="122"/>
        <v>UN</v>
      </c>
      <c r="L1960" s="166" t="str">
        <f t="shared" si="123"/>
        <v>12/2019</v>
      </c>
      <c r="M1960" s="82"/>
      <c r="N1960" s="82"/>
    </row>
    <row r="1961" spans="1:14" x14ac:dyDescent="0.25">
      <c r="A1961" s="170" t="s">
        <v>4732</v>
      </c>
      <c r="B1961" s="170" t="s">
        <v>4733</v>
      </c>
      <c r="C1961" s="170" t="s">
        <v>205</v>
      </c>
      <c r="D1961" s="170" t="s">
        <v>2067</v>
      </c>
      <c r="E1961" s="171" t="s">
        <v>32545</v>
      </c>
      <c r="F1961" s="171" t="s">
        <v>35841</v>
      </c>
      <c r="G1961" s="82"/>
      <c r="H1961" s="96">
        <f t="shared" si="120"/>
        <v>881.86</v>
      </c>
      <c r="I1961" s="96">
        <f t="shared" si="120"/>
        <v>907.64</v>
      </c>
      <c r="J1961" s="91" t="str">
        <f t="shared" si="121"/>
        <v>Sinapi 90850</v>
      </c>
      <c r="K1961" s="91" t="str">
        <f t="shared" si="122"/>
        <v>UN</v>
      </c>
      <c r="L1961" s="166" t="str">
        <f t="shared" si="123"/>
        <v>12/2019</v>
      </c>
      <c r="M1961" s="82"/>
      <c r="N1961" s="82"/>
    </row>
    <row r="1962" spans="1:14" x14ac:dyDescent="0.25">
      <c r="A1962" s="170" t="s">
        <v>10415</v>
      </c>
      <c r="B1962" s="170" t="s">
        <v>10416</v>
      </c>
      <c r="C1962" s="170" t="s">
        <v>205</v>
      </c>
      <c r="D1962" s="170" t="s">
        <v>2067</v>
      </c>
      <c r="E1962" s="171" t="s">
        <v>32546</v>
      </c>
      <c r="F1962" s="171" t="s">
        <v>35842</v>
      </c>
      <c r="G1962" s="82"/>
      <c r="H1962" s="96">
        <f t="shared" si="120"/>
        <v>1092.46</v>
      </c>
      <c r="I1962" s="96">
        <f t="shared" si="120"/>
        <v>1119.8699999999999</v>
      </c>
      <c r="J1962" s="91" t="str">
        <f t="shared" si="121"/>
        <v>Sinapi 90851</v>
      </c>
      <c r="K1962" s="91" t="str">
        <f t="shared" si="122"/>
        <v>UN</v>
      </c>
      <c r="L1962" s="166" t="str">
        <f t="shared" si="123"/>
        <v>12/2019</v>
      </c>
      <c r="M1962" s="82"/>
      <c r="N1962" s="82"/>
    </row>
    <row r="1963" spans="1:14" x14ac:dyDescent="0.25">
      <c r="A1963" s="170" t="s">
        <v>10417</v>
      </c>
      <c r="B1963" s="170" t="s">
        <v>10418</v>
      </c>
      <c r="C1963" s="170" t="s">
        <v>205</v>
      </c>
      <c r="D1963" s="170" t="s">
        <v>2067</v>
      </c>
      <c r="E1963" s="171" t="s">
        <v>32547</v>
      </c>
      <c r="F1963" s="171" t="s">
        <v>35843</v>
      </c>
      <c r="G1963" s="82"/>
      <c r="H1963" s="96">
        <f t="shared" si="120"/>
        <v>1174.31</v>
      </c>
      <c r="I1963" s="96">
        <f t="shared" si="120"/>
        <v>1202.43</v>
      </c>
      <c r="J1963" s="91" t="str">
        <f t="shared" si="121"/>
        <v>Sinapi 90852</v>
      </c>
      <c r="K1963" s="91" t="str">
        <f t="shared" si="122"/>
        <v>UN</v>
      </c>
      <c r="L1963" s="166" t="str">
        <f t="shared" si="123"/>
        <v>12/2019</v>
      </c>
      <c r="M1963" s="82"/>
      <c r="N1963" s="82"/>
    </row>
    <row r="1964" spans="1:14" x14ac:dyDescent="0.25">
      <c r="A1964" s="170" t="s">
        <v>4734</v>
      </c>
      <c r="B1964" s="170" t="s">
        <v>4735</v>
      </c>
      <c r="C1964" s="170" t="s">
        <v>205</v>
      </c>
      <c r="D1964" s="170" t="s">
        <v>2067</v>
      </c>
      <c r="E1964" s="171" t="s">
        <v>31584</v>
      </c>
      <c r="F1964" s="171" t="s">
        <v>35844</v>
      </c>
      <c r="G1964" s="82"/>
      <c r="H1964" s="96">
        <f t="shared" si="120"/>
        <v>368.41</v>
      </c>
      <c r="I1964" s="96">
        <f t="shared" si="120"/>
        <v>373</v>
      </c>
      <c r="J1964" s="91" t="str">
        <f t="shared" si="121"/>
        <v>Sinapi 91009</v>
      </c>
      <c r="K1964" s="91" t="str">
        <f t="shared" si="122"/>
        <v>UN</v>
      </c>
      <c r="L1964" s="166" t="str">
        <f t="shared" si="123"/>
        <v>12/2019</v>
      </c>
      <c r="M1964" s="82"/>
      <c r="N1964" s="82"/>
    </row>
    <row r="1965" spans="1:14" x14ac:dyDescent="0.25">
      <c r="A1965" s="170" t="s">
        <v>4736</v>
      </c>
      <c r="B1965" s="170" t="s">
        <v>4737</v>
      </c>
      <c r="C1965" s="170" t="s">
        <v>205</v>
      </c>
      <c r="D1965" s="170" t="s">
        <v>2067</v>
      </c>
      <c r="E1965" s="171" t="s">
        <v>32548</v>
      </c>
      <c r="F1965" s="171" t="s">
        <v>28938</v>
      </c>
      <c r="G1965" s="82"/>
      <c r="H1965" s="96">
        <f t="shared" si="120"/>
        <v>375.41</v>
      </c>
      <c r="I1965" s="96">
        <f t="shared" si="120"/>
        <v>380.5</v>
      </c>
      <c r="J1965" s="91" t="str">
        <f t="shared" si="121"/>
        <v>Sinapi 91010</v>
      </c>
      <c r="K1965" s="91" t="str">
        <f t="shared" si="122"/>
        <v>UN</v>
      </c>
      <c r="L1965" s="166" t="str">
        <f t="shared" si="123"/>
        <v>12/2019</v>
      </c>
      <c r="M1965" s="82"/>
      <c r="N1965" s="82"/>
    </row>
    <row r="1966" spans="1:14" x14ac:dyDescent="0.25">
      <c r="A1966" s="170" t="s">
        <v>4738</v>
      </c>
      <c r="B1966" s="170" t="s">
        <v>4739</v>
      </c>
      <c r="C1966" s="170" t="s">
        <v>205</v>
      </c>
      <c r="D1966" s="170" t="s">
        <v>2067</v>
      </c>
      <c r="E1966" s="171" t="s">
        <v>32549</v>
      </c>
      <c r="F1966" s="171" t="s">
        <v>35845</v>
      </c>
      <c r="G1966" s="82"/>
      <c r="H1966" s="96">
        <f t="shared" si="120"/>
        <v>441.84</v>
      </c>
      <c r="I1966" s="96">
        <f t="shared" si="120"/>
        <v>447.39</v>
      </c>
      <c r="J1966" s="91" t="str">
        <f t="shared" si="121"/>
        <v>Sinapi 91011</v>
      </c>
      <c r="K1966" s="91" t="str">
        <f t="shared" si="122"/>
        <v>UN</v>
      </c>
      <c r="L1966" s="166" t="str">
        <f t="shared" si="123"/>
        <v>12/2019</v>
      </c>
      <c r="M1966" s="82"/>
      <c r="N1966" s="82"/>
    </row>
    <row r="1967" spans="1:14" x14ac:dyDescent="0.25">
      <c r="A1967" s="170" t="s">
        <v>4740</v>
      </c>
      <c r="B1967" s="170" t="s">
        <v>4741</v>
      </c>
      <c r="C1967" s="170" t="s">
        <v>205</v>
      </c>
      <c r="D1967" s="170" t="s">
        <v>2067</v>
      </c>
      <c r="E1967" s="171" t="s">
        <v>32550</v>
      </c>
      <c r="F1967" s="171" t="s">
        <v>35846</v>
      </c>
      <c r="G1967" s="82"/>
      <c r="H1967" s="96">
        <f t="shared" si="120"/>
        <v>492.49</v>
      </c>
      <c r="I1967" s="96">
        <f t="shared" si="120"/>
        <v>498.51</v>
      </c>
      <c r="J1967" s="91" t="str">
        <f t="shared" si="121"/>
        <v>Sinapi 91012</v>
      </c>
      <c r="K1967" s="91" t="str">
        <f t="shared" si="122"/>
        <v>UN</v>
      </c>
      <c r="L1967" s="166" t="str">
        <f t="shared" si="123"/>
        <v>12/2019</v>
      </c>
      <c r="M1967" s="82"/>
      <c r="N1967" s="82"/>
    </row>
    <row r="1968" spans="1:14" x14ac:dyDescent="0.25">
      <c r="A1968" s="170" t="s">
        <v>4742</v>
      </c>
      <c r="B1968" s="170" t="s">
        <v>4743</v>
      </c>
      <c r="C1968" s="170" t="s">
        <v>205</v>
      </c>
      <c r="D1968" s="170" t="s">
        <v>2067</v>
      </c>
      <c r="E1968" s="171" t="s">
        <v>32551</v>
      </c>
      <c r="F1968" s="171" t="s">
        <v>35847</v>
      </c>
      <c r="G1968" s="82"/>
      <c r="H1968" s="96">
        <f t="shared" si="120"/>
        <v>764.6</v>
      </c>
      <c r="I1968" s="96">
        <f t="shared" si="120"/>
        <v>788.8</v>
      </c>
      <c r="J1968" s="91" t="str">
        <f t="shared" si="121"/>
        <v>Sinapi 91013</v>
      </c>
      <c r="K1968" s="91" t="str">
        <f t="shared" si="122"/>
        <v>UN</v>
      </c>
      <c r="L1968" s="166" t="str">
        <f t="shared" si="123"/>
        <v>12/2019</v>
      </c>
      <c r="M1968" s="82"/>
      <c r="N1968" s="82"/>
    </row>
    <row r="1969" spans="1:14" x14ac:dyDescent="0.25">
      <c r="A1969" s="170" t="s">
        <v>4744</v>
      </c>
      <c r="B1969" s="170" t="s">
        <v>4745</v>
      </c>
      <c r="C1969" s="170" t="s">
        <v>205</v>
      </c>
      <c r="D1969" s="170" t="s">
        <v>2067</v>
      </c>
      <c r="E1969" s="171" t="s">
        <v>32552</v>
      </c>
      <c r="F1969" s="171" t="s">
        <v>35848</v>
      </c>
      <c r="G1969" s="82"/>
      <c r="H1969" s="96">
        <f t="shared" si="120"/>
        <v>773.24</v>
      </c>
      <c r="I1969" s="96">
        <f t="shared" si="120"/>
        <v>797.99</v>
      </c>
      <c r="J1969" s="91" t="str">
        <f t="shared" si="121"/>
        <v>Sinapi 91014</v>
      </c>
      <c r="K1969" s="91" t="str">
        <f t="shared" si="122"/>
        <v>UN</v>
      </c>
      <c r="L1969" s="166" t="str">
        <f t="shared" si="123"/>
        <v>12/2019</v>
      </c>
      <c r="M1969" s="82"/>
      <c r="N1969" s="82"/>
    </row>
    <row r="1970" spans="1:14" x14ac:dyDescent="0.25">
      <c r="A1970" s="170" t="s">
        <v>4746</v>
      </c>
      <c r="B1970" s="170" t="s">
        <v>4747</v>
      </c>
      <c r="C1970" s="170" t="s">
        <v>205</v>
      </c>
      <c r="D1970" s="170" t="s">
        <v>2067</v>
      </c>
      <c r="E1970" s="171" t="s">
        <v>32553</v>
      </c>
      <c r="F1970" s="171" t="s">
        <v>35849</v>
      </c>
      <c r="G1970" s="82"/>
      <c r="H1970" s="96">
        <f t="shared" si="120"/>
        <v>841.32</v>
      </c>
      <c r="I1970" s="96">
        <f t="shared" si="120"/>
        <v>866.58</v>
      </c>
      <c r="J1970" s="91" t="str">
        <f t="shared" si="121"/>
        <v>Sinapi 91015</v>
      </c>
      <c r="K1970" s="91" t="str">
        <f t="shared" si="122"/>
        <v>UN</v>
      </c>
      <c r="L1970" s="166" t="str">
        <f t="shared" si="123"/>
        <v>12/2019</v>
      </c>
      <c r="M1970" s="82"/>
      <c r="N1970" s="82"/>
    </row>
    <row r="1971" spans="1:14" x14ac:dyDescent="0.25">
      <c r="A1971" s="170" t="s">
        <v>4748</v>
      </c>
      <c r="B1971" s="170" t="s">
        <v>4749</v>
      </c>
      <c r="C1971" s="170" t="s">
        <v>205</v>
      </c>
      <c r="D1971" s="170" t="s">
        <v>2067</v>
      </c>
      <c r="E1971" s="171" t="s">
        <v>32554</v>
      </c>
      <c r="F1971" s="171" t="s">
        <v>35850</v>
      </c>
      <c r="G1971" s="82"/>
      <c r="H1971" s="96">
        <f t="shared" si="120"/>
        <v>893.61</v>
      </c>
      <c r="I1971" s="96">
        <f t="shared" si="120"/>
        <v>919.39</v>
      </c>
      <c r="J1971" s="91" t="str">
        <f t="shared" si="121"/>
        <v>Sinapi 91016</v>
      </c>
      <c r="K1971" s="91" t="str">
        <f t="shared" si="122"/>
        <v>UN</v>
      </c>
      <c r="L1971" s="166" t="str">
        <f t="shared" si="123"/>
        <v>12/2019</v>
      </c>
      <c r="M1971" s="82"/>
      <c r="N1971" s="82"/>
    </row>
    <row r="1972" spans="1:14" x14ac:dyDescent="0.25">
      <c r="A1972" s="170" t="s">
        <v>4750</v>
      </c>
      <c r="B1972" s="170" t="s">
        <v>4751</v>
      </c>
      <c r="C1972" s="170" t="s">
        <v>205</v>
      </c>
      <c r="D1972" s="170" t="s">
        <v>2067</v>
      </c>
      <c r="E1972" s="171" t="s">
        <v>32555</v>
      </c>
      <c r="F1972" s="171" t="s">
        <v>35851</v>
      </c>
      <c r="G1972" s="82"/>
      <c r="H1972" s="96">
        <f t="shared" si="120"/>
        <v>175.3</v>
      </c>
      <c r="I1972" s="96">
        <f t="shared" si="120"/>
        <v>185.14</v>
      </c>
      <c r="J1972" s="91" t="str">
        <f t="shared" si="121"/>
        <v>Sinapi 91287</v>
      </c>
      <c r="K1972" s="91" t="str">
        <f t="shared" si="122"/>
        <v>UN</v>
      </c>
      <c r="L1972" s="166" t="str">
        <f t="shared" si="123"/>
        <v>12/2019</v>
      </c>
      <c r="M1972" s="82"/>
      <c r="N1972" s="82"/>
    </row>
    <row r="1973" spans="1:14" x14ac:dyDescent="0.25">
      <c r="A1973" s="170" t="s">
        <v>4752</v>
      </c>
      <c r="B1973" s="170" t="s">
        <v>16343</v>
      </c>
      <c r="C1973" s="170" t="s">
        <v>205</v>
      </c>
      <c r="D1973" s="170" t="s">
        <v>2067</v>
      </c>
      <c r="E1973" s="171" t="s">
        <v>32556</v>
      </c>
      <c r="F1973" s="171" t="s">
        <v>35852</v>
      </c>
      <c r="G1973" s="82"/>
      <c r="H1973" s="96">
        <f t="shared" si="120"/>
        <v>264.31</v>
      </c>
      <c r="I1973" s="96">
        <f t="shared" si="120"/>
        <v>281.64999999999998</v>
      </c>
      <c r="J1973" s="91" t="str">
        <f t="shared" si="121"/>
        <v>Sinapi 91292</v>
      </c>
      <c r="K1973" s="91" t="str">
        <f t="shared" si="122"/>
        <v>UN</v>
      </c>
      <c r="L1973" s="166" t="str">
        <f t="shared" si="123"/>
        <v>12/2019</v>
      </c>
      <c r="M1973" s="82"/>
      <c r="N1973" s="82"/>
    </row>
    <row r="1974" spans="1:14" x14ac:dyDescent="0.25">
      <c r="A1974" s="170" t="s">
        <v>4753</v>
      </c>
      <c r="B1974" s="170" t="s">
        <v>4754</v>
      </c>
      <c r="C1974" s="170" t="s">
        <v>205</v>
      </c>
      <c r="D1974" s="170" t="s">
        <v>2067</v>
      </c>
      <c r="E1974" s="171" t="s">
        <v>32557</v>
      </c>
      <c r="F1974" s="171" t="s">
        <v>35853</v>
      </c>
      <c r="G1974" s="82"/>
      <c r="H1974" s="96">
        <f t="shared" si="120"/>
        <v>379.88</v>
      </c>
      <c r="I1974" s="96">
        <f t="shared" si="120"/>
        <v>384.47</v>
      </c>
      <c r="J1974" s="91" t="str">
        <f t="shared" si="121"/>
        <v>Sinapi 91295</v>
      </c>
      <c r="K1974" s="91" t="str">
        <f t="shared" si="122"/>
        <v>UN</v>
      </c>
      <c r="L1974" s="166" t="str">
        <f t="shared" si="123"/>
        <v>12/2019</v>
      </c>
      <c r="M1974" s="82"/>
      <c r="N1974" s="82"/>
    </row>
    <row r="1975" spans="1:14" x14ac:dyDescent="0.25">
      <c r="A1975" s="170" t="s">
        <v>4755</v>
      </c>
      <c r="B1975" s="170" t="s">
        <v>4756</v>
      </c>
      <c r="C1975" s="170" t="s">
        <v>205</v>
      </c>
      <c r="D1975" s="170" t="s">
        <v>2067</v>
      </c>
      <c r="E1975" s="171" t="s">
        <v>32558</v>
      </c>
      <c r="F1975" s="171" t="s">
        <v>35854</v>
      </c>
      <c r="G1975" s="82"/>
      <c r="H1975" s="96">
        <f t="shared" si="120"/>
        <v>407.46</v>
      </c>
      <c r="I1975" s="96">
        <f t="shared" si="120"/>
        <v>412.55</v>
      </c>
      <c r="J1975" s="91" t="str">
        <f t="shared" si="121"/>
        <v>Sinapi 91296</v>
      </c>
      <c r="K1975" s="91" t="str">
        <f t="shared" si="122"/>
        <v>UN</v>
      </c>
      <c r="L1975" s="166" t="str">
        <f t="shared" si="123"/>
        <v>12/2019</v>
      </c>
      <c r="M1975" s="82"/>
      <c r="N1975" s="82"/>
    </row>
    <row r="1976" spans="1:14" x14ac:dyDescent="0.25">
      <c r="A1976" s="170" t="s">
        <v>4757</v>
      </c>
      <c r="B1976" s="170" t="s">
        <v>4758</v>
      </c>
      <c r="C1976" s="170" t="s">
        <v>205</v>
      </c>
      <c r="D1976" s="170" t="s">
        <v>2067</v>
      </c>
      <c r="E1976" s="171" t="s">
        <v>32559</v>
      </c>
      <c r="F1976" s="171" t="s">
        <v>35855</v>
      </c>
      <c r="G1976" s="82"/>
      <c r="H1976" s="96">
        <f t="shared" si="120"/>
        <v>449.48</v>
      </c>
      <c r="I1976" s="96">
        <f t="shared" si="120"/>
        <v>455.03</v>
      </c>
      <c r="J1976" s="91" t="str">
        <f t="shared" si="121"/>
        <v>Sinapi 91297</v>
      </c>
      <c r="K1976" s="91" t="str">
        <f t="shared" si="122"/>
        <v>UN</v>
      </c>
      <c r="L1976" s="166" t="str">
        <f t="shared" si="123"/>
        <v>12/2019</v>
      </c>
      <c r="M1976" s="82"/>
      <c r="N1976" s="82"/>
    </row>
    <row r="1977" spans="1:14" x14ac:dyDescent="0.25">
      <c r="A1977" s="170" t="s">
        <v>4759</v>
      </c>
      <c r="B1977" s="170" t="s">
        <v>4760</v>
      </c>
      <c r="C1977" s="170" t="s">
        <v>205</v>
      </c>
      <c r="D1977" s="170" t="s">
        <v>2067</v>
      </c>
      <c r="E1977" s="171" t="s">
        <v>32560</v>
      </c>
      <c r="F1977" s="171" t="s">
        <v>35856</v>
      </c>
      <c r="G1977" s="82"/>
      <c r="H1977" s="96">
        <f t="shared" si="120"/>
        <v>599.66</v>
      </c>
      <c r="I1977" s="96">
        <f t="shared" si="120"/>
        <v>605.21</v>
      </c>
      <c r="J1977" s="91" t="str">
        <f t="shared" si="121"/>
        <v>Sinapi 91298</v>
      </c>
      <c r="K1977" s="91" t="str">
        <f t="shared" si="122"/>
        <v>UN</v>
      </c>
      <c r="L1977" s="166" t="str">
        <f t="shared" si="123"/>
        <v>12/2019</v>
      </c>
      <c r="M1977" s="82"/>
      <c r="N1977" s="82"/>
    </row>
    <row r="1978" spans="1:14" x14ac:dyDescent="0.25">
      <c r="A1978" s="170" t="s">
        <v>4761</v>
      </c>
      <c r="B1978" s="170" t="s">
        <v>4762</v>
      </c>
      <c r="C1978" s="170" t="s">
        <v>205</v>
      </c>
      <c r="D1978" s="170" t="s">
        <v>2067</v>
      </c>
      <c r="E1978" s="171" t="s">
        <v>32561</v>
      </c>
      <c r="F1978" s="171" t="s">
        <v>35857</v>
      </c>
      <c r="G1978" s="82"/>
      <c r="H1978" s="96">
        <f t="shared" si="120"/>
        <v>828.54</v>
      </c>
      <c r="I1978" s="96">
        <f t="shared" si="120"/>
        <v>836.24</v>
      </c>
      <c r="J1978" s="91" t="str">
        <f t="shared" si="121"/>
        <v>Sinapi 91299</v>
      </c>
      <c r="K1978" s="91" t="str">
        <f t="shared" si="122"/>
        <v>UN</v>
      </c>
      <c r="L1978" s="166" t="str">
        <f t="shared" si="123"/>
        <v>12/2019</v>
      </c>
      <c r="M1978" s="82"/>
      <c r="N1978" s="82"/>
    </row>
    <row r="1979" spans="1:14" x14ac:dyDescent="0.25">
      <c r="A1979" s="170" t="s">
        <v>4763</v>
      </c>
      <c r="B1979" s="170" t="s">
        <v>4764</v>
      </c>
      <c r="C1979" s="170" t="s">
        <v>205</v>
      </c>
      <c r="D1979" s="170" t="s">
        <v>2067</v>
      </c>
      <c r="E1979" s="171" t="s">
        <v>32562</v>
      </c>
      <c r="F1979" s="171" t="s">
        <v>35858</v>
      </c>
      <c r="G1979" s="82"/>
      <c r="H1979" s="96">
        <f t="shared" si="120"/>
        <v>92</v>
      </c>
      <c r="I1979" s="96">
        <f t="shared" si="120"/>
        <v>95.61</v>
      </c>
      <c r="J1979" s="91" t="str">
        <f t="shared" si="121"/>
        <v>Sinapi 91304</v>
      </c>
      <c r="K1979" s="91" t="str">
        <f t="shared" si="122"/>
        <v>UN</v>
      </c>
      <c r="L1979" s="166" t="str">
        <f t="shared" si="123"/>
        <v>12/2019</v>
      </c>
      <c r="M1979" s="82"/>
      <c r="N1979" s="82"/>
    </row>
    <row r="1980" spans="1:14" x14ac:dyDescent="0.25">
      <c r="A1980" s="170" t="s">
        <v>4765</v>
      </c>
      <c r="B1980" s="170" t="s">
        <v>4766</v>
      </c>
      <c r="C1980" s="170" t="s">
        <v>205</v>
      </c>
      <c r="D1980" s="170" t="s">
        <v>2067</v>
      </c>
      <c r="E1980" s="171" t="s">
        <v>32563</v>
      </c>
      <c r="F1980" s="171" t="s">
        <v>34556</v>
      </c>
      <c r="G1980" s="82"/>
      <c r="H1980" s="96">
        <f t="shared" si="120"/>
        <v>91.66</v>
      </c>
      <c r="I1980" s="96">
        <f t="shared" si="120"/>
        <v>94.42</v>
      </c>
      <c r="J1980" s="91" t="str">
        <f t="shared" si="121"/>
        <v>Sinapi 91305</v>
      </c>
      <c r="K1980" s="91" t="str">
        <f t="shared" si="122"/>
        <v>UN</v>
      </c>
      <c r="L1980" s="166" t="str">
        <f t="shared" si="123"/>
        <v>12/2019</v>
      </c>
      <c r="M1980" s="82"/>
      <c r="N1980" s="82"/>
    </row>
    <row r="1981" spans="1:14" x14ac:dyDescent="0.25">
      <c r="A1981" s="170" t="s">
        <v>4767</v>
      </c>
      <c r="B1981" s="170" t="s">
        <v>4768</v>
      </c>
      <c r="C1981" s="170" t="s">
        <v>205</v>
      </c>
      <c r="D1981" s="170" t="s">
        <v>2067</v>
      </c>
      <c r="E1981" s="171" t="s">
        <v>32535</v>
      </c>
      <c r="F1981" s="171" t="s">
        <v>35831</v>
      </c>
      <c r="G1981" s="82"/>
      <c r="H1981" s="96">
        <f t="shared" si="120"/>
        <v>132.02000000000001</v>
      </c>
      <c r="I1981" s="96">
        <f t="shared" si="120"/>
        <v>134.78</v>
      </c>
      <c r="J1981" s="91" t="str">
        <f t="shared" si="121"/>
        <v>Sinapi 91306</v>
      </c>
      <c r="K1981" s="91" t="str">
        <f t="shared" si="122"/>
        <v>UN</v>
      </c>
      <c r="L1981" s="166" t="str">
        <f t="shared" si="123"/>
        <v>12/2019</v>
      </c>
      <c r="M1981" s="82"/>
      <c r="N1981" s="82"/>
    </row>
    <row r="1982" spans="1:14" x14ac:dyDescent="0.25">
      <c r="A1982" s="170" t="s">
        <v>4769</v>
      </c>
      <c r="B1982" s="170" t="s">
        <v>4770</v>
      </c>
      <c r="C1982" s="170" t="s">
        <v>205</v>
      </c>
      <c r="D1982" s="170" t="s">
        <v>2067</v>
      </c>
      <c r="E1982" s="171" t="s">
        <v>29180</v>
      </c>
      <c r="F1982" s="171" t="s">
        <v>21348</v>
      </c>
      <c r="G1982" s="82"/>
      <c r="H1982" s="96">
        <f t="shared" si="120"/>
        <v>78.05</v>
      </c>
      <c r="I1982" s="96">
        <f t="shared" si="120"/>
        <v>80.81</v>
      </c>
      <c r="J1982" s="91" t="str">
        <f t="shared" si="121"/>
        <v>Sinapi 91307</v>
      </c>
      <c r="K1982" s="91" t="str">
        <f t="shared" si="122"/>
        <v>UN</v>
      </c>
      <c r="L1982" s="166" t="str">
        <f t="shared" si="123"/>
        <v>12/2019</v>
      </c>
      <c r="M1982" s="82"/>
      <c r="N1982" s="82"/>
    </row>
    <row r="1983" spans="1:14" x14ac:dyDescent="0.25">
      <c r="A1983" s="170" t="s">
        <v>4771</v>
      </c>
      <c r="B1983" s="170" t="s">
        <v>4772</v>
      </c>
      <c r="C1983" s="170" t="s">
        <v>205</v>
      </c>
      <c r="D1983" s="170" t="s">
        <v>2067</v>
      </c>
      <c r="E1983" s="171" t="s">
        <v>32564</v>
      </c>
      <c r="F1983" s="171" t="s">
        <v>35859</v>
      </c>
      <c r="G1983" s="82"/>
      <c r="H1983" s="96">
        <f t="shared" si="120"/>
        <v>767.09</v>
      </c>
      <c r="I1983" s="96">
        <f t="shared" si="120"/>
        <v>794.09</v>
      </c>
      <c r="J1983" s="91" t="str">
        <f t="shared" si="121"/>
        <v>Sinapi 91312</v>
      </c>
      <c r="K1983" s="91" t="str">
        <f t="shared" si="122"/>
        <v>UN</v>
      </c>
      <c r="L1983" s="166" t="str">
        <f t="shared" si="123"/>
        <v>12/2019</v>
      </c>
      <c r="M1983" s="82"/>
      <c r="N1983" s="82"/>
    </row>
    <row r="1984" spans="1:14" x14ac:dyDescent="0.25">
      <c r="A1984" s="170" t="s">
        <v>4773</v>
      </c>
      <c r="B1984" s="170" t="s">
        <v>4774</v>
      </c>
      <c r="C1984" s="170" t="s">
        <v>205</v>
      </c>
      <c r="D1984" s="170" t="s">
        <v>2067</v>
      </c>
      <c r="E1984" s="171" t="s">
        <v>32565</v>
      </c>
      <c r="F1984" s="171" t="s">
        <v>20080</v>
      </c>
      <c r="G1984" s="82"/>
      <c r="H1984" s="96">
        <f t="shared" si="120"/>
        <v>761.02</v>
      </c>
      <c r="I1984" s="96">
        <f t="shared" si="120"/>
        <v>788.56</v>
      </c>
      <c r="J1984" s="91" t="str">
        <f t="shared" si="121"/>
        <v>Sinapi 91313</v>
      </c>
      <c r="K1984" s="91" t="str">
        <f t="shared" si="122"/>
        <v>UN</v>
      </c>
      <c r="L1984" s="166" t="str">
        <f t="shared" si="123"/>
        <v>12/2019</v>
      </c>
      <c r="M1984" s="82"/>
      <c r="N1984" s="82"/>
    </row>
    <row r="1985" spans="1:14" x14ac:dyDescent="0.25">
      <c r="A1985" s="170" t="s">
        <v>4775</v>
      </c>
      <c r="B1985" s="170" t="s">
        <v>4776</v>
      </c>
      <c r="C1985" s="170" t="s">
        <v>205</v>
      </c>
      <c r="D1985" s="170" t="s">
        <v>2067</v>
      </c>
      <c r="E1985" s="171" t="s">
        <v>32566</v>
      </c>
      <c r="F1985" s="171" t="s">
        <v>35860</v>
      </c>
      <c r="G1985" s="82"/>
      <c r="H1985" s="96">
        <f t="shared" si="120"/>
        <v>802.65</v>
      </c>
      <c r="I1985" s="96">
        <f t="shared" si="120"/>
        <v>831.55</v>
      </c>
      <c r="J1985" s="91" t="str">
        <f t="shared" si="121"/>
        <v>Sinapi 91314</v>
      </c>
      <c r="K1985" s="91" t="str">
        <f t="shared" si="122"/>
        <v>UN</v>
      </c>
      <c r="L1985" s="166" t="str">
        <f t="shared" si="123"/>
        <v>12/2019</v>
      </c>
      <c r="M1985" s="82"/>
      <c r="N1985" s="82"/>
    </row>
    <row r="1986" spans="1:14" x14ac:dyDescent="0.25">
      <c r="A1986" s="170" t="s">
        <v>4777</v>
      </c>
      <c r="B1986" s="170" t="s">
        <v>4778</v>
      </c>
      <c r="C1986" s="170" t="s">
        <v>205</v>
      </c>
      <c r="D1986" s="170" t="s">
        <v>2067</v>
      </c>
      <c r="E1986" s="171" t="s">
        <v>32567</v>
      </c>
      <c r="F1986" s="171" t="s">
        <v>35861</v>
      </c>
      <c r="G1986" s="82"/>
      <c r="H1986" s="96">
        <f t="shared" si="120"/>
        <v>896.51</v>
      </c>
      <c r="I1986" s="96">
        <f t="shared" si="120"/>
        <v>925.93</v>
      </c>
      <c r="J1986" s="91" t="str">
        <f t="shared" si="121"/>
        <v>Sinapi 91315</v>
      </c>
      <c r="K1986" s="91" t="str">
        <f t="shared" si="122"/>
        <v>UN</v>
      </c>
      <c r="L1986" s="166" t="str">
        <f t="shared" si="123"/>
        <v>12/2019</v>
      </c>
      <c r="M1986" s="82"/>
      <c r="N1986" s="82"/>
    </row>
    <row r="1987" spans="1:14" x14ac:dyDescent="0.25">
      <c r="A1987" s="170" t="s">
        <v>10419</v>
      </c>
      <c r="B1987" s="170" t="s">
        <v>10420</v>
      </c>
      <c r="C1987" s="170" t="s">
        <v>205</v>
      </c>
      <c r="D1987" s="170" t="s">
        <v>2067</v>
      </c>
      <c r="E1987" s="171" t="s">
        <v>32568</v>
      </c>
      <c r="F1987" s="171" t="s">
        <v>35862</v>
      </c>
      <c r="G1987" s="82"/>
      <c r="H1987" s="96">
        <f t="shared" si="120"/>
        <v>1107.5899999999999</v>
      </c>
      <c r="I1987" s="96">
        <f t="shared" si="120"/>
        <v>1138.6400000000001</v>
      </c>
      <c r="J1987" s="91" t="str">
        <f t="shared" si="121"/>
        <v>Sinapi 91316</v>
      </c>
      <c r="K1987" s="91" t="str">
        <f t="shared" si="122"/>
        <v>UN</v>
      </c>
      <c r="L1987" s="166" t="str">
        <f t="shared" si="123"/>
        <v>12/2019</v>
      </c>
      <c r="M1987" s="82"/>
      <c r="N1987" s="82"/>
    </row>
    <row r="1988" spans="1:14" x14ac:dyDescent="0.25">
      <c r="A1988" s="170" t="s">
        <v>10421</v>
      </c>
      <c r="B1988" s="170" t="s">
        <v>10422</v>
      </c>
      <c r="C1988" s="170" t="s">
        <v>205</v>
      </c>
      <c r="D1988" s="170" t="s">
        <v>2067</v>
      </c>
      <c r="E1988" s="171" t="s">
        <v>32569</v>
      </c>
      <c r="F1988" s="171" t="s">
        <v>35863</v>
      </c>
      <c r="G1988" s="82"/>
      <c r="H1988" s="96">
        <f t="shared" si="120"/>
        <v>1188.96</v>
      </c>
      <c r="I1988" s="96">
        <f t="shared" si="120"/>
        <v>1220.72</v>
      </c>
      <c r="J1988" s="91" t="str">
        <f t="shared" si="121"/>
        <v>Sinapi 91317</v>
      </c>
      <c r="K1988" s="91" t="str">
        <f t="shared" si="122"/>
        <v>UN</v>
      </c>
      <c r="L1988" s="166" t="str">
        <f t="shared" si="123"/>
        <v>12/2019</v>
      </c>
      <c r="M1988" s="82"/>
      <c r="N1988" s="82"/>
    </row>
    <row r="1989" spans="1:14" x14ac:dyDescent="0.25">
      <c r="A1989" s="170" t="s">
        <v>4779</v>
      </c>
      <c r="B1989" s="170" t="s">
        <v>4780</v>
      </c>
      <c r="C1989" s="170" t="s">
        <v>205</v>
      </c>
      <c r="D1989" s="170" t="s">
        <v>2067</v>
      </c>
      <c r="E1989" s="171" t="s">
        <v>32570</v>
      </c>
      <c r="F1989" s="171" t="s">
        <v>35864</v>
      </c>
      <c r="G1989" s="82"/>
      <c r="H1989" s="96">
        <f t="shared" si="120"/>
        <v>675.43</v>
      </c>
      <c r="I1989" s="96">
        <f t="shared" si="120"/>
        <v>699.67</v>
      </c>
      <c r="J1989" s="91" t="str">
        <f t="shared" si="121"/>
        <v>Sinapi 91318</v>
      </c>
      <c r="K1989" s="91" t="str">
        <f t="shared" si="122"/>
        <v>UN</v>
      </c>
      <c r="L1989" s="166" t="str">
        <f t="shared" si="123"/>
        <v>12/2019</v>
      </c>
      <c r="M1989" s="82"/>
      <c r="N1989" s="82"/>
    </row>
    <row r="1990" spans="1:14" x14ac:dyDescent="0.25">
      <c r="A1990" s="170" t="s">
        <v>4781</v>
      </c>
      <c r="B1990" s="170" t="s">
        <v>4782</v>
      </c>
      <c r="C1990" s="170" t="s">
        <v>205</v>
      </c>
      <c r="D1990" s="170" t="s">
        <v>2067</v>
      </c>
      <c r="E1990" s="171" t="s">
        <v>32571</v>
      </c>
      <c r="F1990" s="171" t="s">
        <v>35865</v>
      </c>
      <c r="G1990" s="82"/>
      <c r="H1990" s="96">
        <f t="shared" si="120"/>
        <v>682.97</v>
      </c>
      <c r="I1990" s="96">
        <f t="shared" si="120"/>
        <v>707.75</v>
      </c>
      <c r="J1990" s="91" t="str">
        <f t="shared" si="121"/>
        <v>Sinapi 91319</v>
      </c>
      <c r="K1990" s="91" t="str">
        <f t="shared" si="122"/>
        <v>UN</v>
      </c>
      <c r="L1990" s="166" t="str">
        <f t="shared" si="123"/>
        <v>12/2019</v>
      </c>
      <c r="M1990" s="82"/>
      <c r="N1990" s="82"/>
    </row>
    <row r="1991" spans="1:14" x14ac:dyDescent="0.25">
      <c r="A1991" s="170" t="s">
        <v>4783</v>
      </c>
      <c r="B1991" s="170" t="s">
        <v>4784</v>
      </c>
      <c r="C1991" s="170" t="s">
        <v>205</v>
      </c>
      <c r="D1991" s="170" t="s">
        <v>2067</v>
      </c>
      <c r="E1991" s="171" t="s">
        <v>32572</v>
      </c>
      <c r="F1991" s="171" t="s">
        <v>35866</v>
      </c>
      <c r="G1991" s="82"/>
      <c r="H1991" s="96">
        <f t="shared" si="120"/>
        <v>710.65</v>
      </c>
      <c r="I1991" s="96">
        <f t="shared" si="120"/>
        <v>735.94</v>
      </c>
      <c r="J1991" s="91" t="str">
        <f t="shared" si="121"/>
        <v>Sinapi 91320</v>
      </c>
      <c r="K1991" s="91" t="str">
        <f t="shared" si="122"/>
        <v>UN</v>
      </c>
      <c r="L1991" s="166" t="str">
        <f t="shared" si="123"/>
        <v>12/2019</v>
      </c>
      <c r="M1991" s="82"/>
      <c r="N1991" s="82"/>
    </row>
    <row r="1992" spans="1:14" x14ac:dyDescent="0.25">
      <c r="A1992" s="170" t="s">
        <v>4785</v>
      </c>
      <c r="B1992" s="170" t="s">
        <v>4786</v>
      </c>
      <c r="C1992" s="170" t="s">
        <v>205</v>
      </c>
      <c r="D1992" s="170" t="s">
        <v>2067</v>
      </c>
      <c r="E1992" s="171" t="s">
        <v>32573</v>
      </c>
      <c r="F1992" s="171" t="s">
        <v>35867</v>
      </c>
      <c r="G1992" s="82"/>
      <c r="H1992" s="96">
        <f t="shared" ref="H1992:I2055" si="124">IF(E1992="","",E1992+0)</f>
        <v>804.51</v>
      </c>
      <c r="I1992" s="96">
        <f t="shared" si="124"/>
        <v>830.32</v>
      </c>
      <c r="J1992" s="91" t="str">
        <f t="shared" ref="J1992:J2055" si="125">IF(OR(H1992="",I1992=""),"",TRIM(CONCATENATE("Sinapi ",A1992)))</f>
        <v>Sinapi 91321</v>
      </c>
      <c r="K1992" s="91" t="str">
        <f t="shared" ref="K1992:K2055" si="126">TRIM(C1992)</f>
        <v>UN</v>
      </c>
      <c r="L1992" s="166" t="str">
        <f t="shared" ref="L1992:L2055" si="127">IF(OR(RIGHT(IF(AND(K1992&lt;&gt;"H",K1992&lt;&gt;"MES"),RIGHT(B1992,7),""),2)="PS",RIGHT(IF(AND(K1992&lt;&gt;"H",K1992&lt;&gt;"MES"),RIGHT(B1992,7),""),2)="PA",RIGHT(IF(AND(K1992&lt;&gt;"H",K1992&lt;&gt;"MES"),RIGHT(B1992,7),""),2)="PE"),LEFT(IF(AND(K1992&lt;&gt;"H",K1992&lt;&gt;"MES"),RIGHT(B1992,10),""),7),IF(AND(K1992&lt;&gt;"H",K1992&lt;&gt;"MES"),RIGHT(B1992,7),""))</f>
        <v>12/2019</v>
      </c>
      <c r="M1992" s="82"/>
      <c r="N1992" s="82"/>
    </row>
    <row r="1993" spans="1:14" x14ac:dyDescent="0.25">
      <c r="A1993" s="170" t="s">
        <v>10423</v>
      </c>
      <c r="B1993" s="170" t="s">
        <v>10424</v>
      </c>
      <c r="C1993" s="170" t="s">
        <v>205</v>
      </c>
      <c r="D1993" s="170" t="s">
        <v>2067</v>
      </c>
      <c r="E1993" s="171" t="s">
        <v>32574</v>
      </c>
      <c r="F1993" s="171" t="s">
        <v>35868</v>
      </c>
      <c r="G1993" s="82"/>
      <c r="H1993" s="96">
        <f t="shared" si="124"/>
        <v>1015.59</v>
      </c>
      <c r="I1993" s="96">
        <f t="shared" si="124"/>
        <v>1043.03</v>
      </c>
      <c r="J1993" s="91" t="str">
        <f t="shared" si="125"/>
        <v>Sinapi 91322</v>
      </c>
      <c r="K1993" s="91" t="str">
        <f t="shared" si="126"/>
        <v>UN</v>
      </c>
      <c r="L1993" s="166" t="str">
        <f t="shared" si="127"/>
        <v>12/2019</v>
      </c>
      <c r="M1993" s="82"/>
      <c r="N1993" s="82"/>
    </row>
    <row r="1994" spans="1:14" x14ac:dyDescent="0.25">
      <c r="A1994" s="170" t="s">
        <v>10425</v>
      </c>
      <c r="B1994" s="170" t="s">
        <v>10426</v>
      </c>
      <c r="C1994" s="170" t="s">
        <v>205</v>
      </c>
      <c r="D1994" s="170" t="s">
        <v>2067</v>
      </c>
      <c r="E1994" s="171" t="s">
        <v>32575</v>
      </c>
      <c r="F1994" s="171" t="s">
        <v>35869</v>
      </c>
      <c r="G1994" s="82"/>
      <c r="H1994" s="96">
        <f t="shared" si="124"/>
        <v>1096.96</v>
      </c>
      <c r="I1994" s="96">
        <f t="shared" si="124"/>
        <v>1125.1099999999999</v>
      </c>
      <c r="J1994" s="91" t="str">
        <f t="shared" si="125"/>
        <v>Sinapi 91323</v>
      </c>
      <c r="K1994" s="91" t="str">
        <f t="shared" si="126"/>
        <v>UN</v>
      </c>
      <c r="L1994" s="166" t="str">
        <f t="shared" si="127"/>
        <v>12/2019</v>
      </c>
      <c r="M1994" s="82"/>
      <c r="N1994" s="82"/>
    </row>
    <row r="1995" spans="1:14" x14ac:dyDescent="0.25">
      <c r="A1995" s="170" t="s">
        <v>4787</v>
      </c>
      <c r="B1995" s="170" t="s">
        <v>4788</v>
      </c>
      <c r="C1995" s="170" t="s">
        <v>205</v>
      </c>
      <c r="D1995" s="170" t="s">
        <v>2067</v>
      </c>
      <c r="E1995" s="171" t="s">
        <v>32576</v>
      </c>
      <c r="F1995" s="171" t="s">
        <v>29325</v>
      </c>
      <c r="G1995" s="82"/>
      <c r="H1995" s="96">
        <f t="shared" si="124"/>
        <v>688.68</v>
      </c>
      <c r="I1995" s="96">
        <f t="shared" si="124"/>
        <v>712.92</v>
      </c>
      <c r="J1995" s="91" t="str">
        <f t="shared" si="125"/>
        <v>Sinapi 91324</v>
      </c>
      <c r="K1995" s="91" t="str">
        <f t="shared" si="126"/>
        <v>UN</v>
      </c>
      <c r="L1995" s="166" t="str">
        <f t="shared" si="127"/>
        <v>12/2019</v>
      </c>
      <c r="M1995" s="82"/>
      <c r="N1995" s="82"/>
    </row>
    <row r="1996" spans="1:14" x14ac:dyDescent="0.25">
      <c r="A1996" s="170" t="s">
        <v>4789</v>
      </c>
      <c r="B1996" s="170" t="s">
        <v>4790</v>
      </c>
      <c r="C1996" s="170" t="s">
        <v>205</v>
      </c>
      <c r="D1996" s="170" t="s">
        <v>2067</v>
      </c>
      <c r="E1996" s="171" t="s">
        <v>32577</v>
      </c>
      <c r="F1996" s="171" t="s">
        <v>35870</v>
      </c>
      <c r="G1996" s="82"/>
      <c r="H1996" s="96">
        <f t="shared" si="124"/>
        <v>696.85</v>
      </c>
      <c r="I1996" s="96">
        <f t="shared" si="124"/>
        <v>721.63</v>
      </c>
      <c r="J1996" s="91" t="str">
        <f t="shared" si="125"/>
        <v>Sinapi 91325</v>
      </c>
      <c r="K1996" s="91" t="str">
        <f t="shared" si="126"/>
        <v>UN</v>
      </c>
      <c r="L1996" s="166" t="str">
        <f t="shared" si="127"/>
        <v>12/2019</v>
      </c>
      <c r="M1996" s="82"/>
      <c r="N1996" s="82"/>
    </row>
    <row r="1997" spans="1:14" x14ac:dyDescent="0.25">
      <c r="A1997" s="170" t="s">
        <v>4791</v>
      </c>
      <c r="B1997" s="170" t="s">
        <v>4792</v>
      </c>
      <c r="C1997" s="170" t="s">
        <v>205</v>
      </c>
      <c r="D1997" s="170" t="s">
        <v>2067</v>
      </c>
      <c r="E1997" s="171" t="s">
        <v>32578</v>
      </c>
      <c r="F1997" s="171" t="s">
        <v>35871</v>
      </c>
      <c r="G1997" s="82"/>
      <c r="H1997" s="96">
        <f t="shared" si="124"/>
        <v>764.45</v>
      </c>
      <c r="I1997" s="96">
        <f t="shared" si="124"/>
        <v>789.74</v>
      </c>
      <c r="J1997" s="91" t="str">
        <f t="shared" si="125"/>
        <v>Sinapi 91326</v>
      </c>
      <c r="K1997" s="91" t="str">
        <f t="shared" si="126"/>
        <v>UN</v>
      </c>
      <c r="L1997" s="166" t="str">
        <f t="shared" si="127"/>
        <v>12/2019</v>
      </c>
      <c r="M1997" s="82"/>
      <c r="N1997" s="82"/>
    </row>
    <row r="1998" spans="1:14" x14ac:dyDescent="0.25">
      <c r="A1998" s="170" t="s">
        <v>4793</v>
      </c>
      <c r="B1998" s="170" t="s">
        <v>4794</v>
      </c>
      <c r="C1998" s="170" t="s">
        <v>205</v>
      </c>
      <c r="D1998" s="170" t="s">
        <v>2067</v>
      </c>
      <c r="E1998" s="171" t="s">
        <v>32579</v>
      </c>
      <c r="F1998" s="171" t="s">
        <v>35872</v>
      </c>
      <c r="G1998" s="82"/>
      <c r="H1998" s="96">
        <f t="shared" si="124"/>
        <v>816.26</v>
      </c>
      <c r="I1998" s="96">
        <f t="shared" si="124"/>
        <v>842.07</v>
      </c>
      <c r="J1998" s="91" t="str">
        <f t="shared" si="125"/>
        <v>Sinapi 91327</v>
      </c>
      <c r="K1998" s="91" t="str">
        <f t="shared" si="126"/>
        <v>UN</v>
      </c>
      <c r="L1998" s="166" t="str">
        <f t="shared" si="127"/>
        <v>12/2019</v>
      </c>
      <c r="M1998" s="82"/>
      <c r="N1998" s="82"/>
    </row>
    <row r="1999" spans="1:14" x14ac:dyDescent="0.25">
      <c r="A1999" s="170" t="s">
        <v>4795</v>
      </c>
      <c r="B1999" s="170" t="s">
        <v>4796</v>
      </c>
      <c r="C1999" s="170" t="s">
        <v>205</v>
      </c>
      <c r="D1999" s="170" t="s">
        <v>2067</v>
      </c>
      <c r="E1999" s="171" t="s">
        <v>32580</v>
      </c>
      <c r="F1999" s="171" t="s">
        <v>35873</v>
      </c>
      <c r="G1999" s="82"/>
      <c r="H1999" s="96">
        <f t="shared" si="124"/>
        <v>776.07</v>
      </c>
      <c r="I1999" s="96">
        <f t="shared" si="124"/>
        <v>800.27</v>
      </c>
      <c r="J1999" s="91" t="str">
        <f t="shared" si="125"/>
        <v>Sinapi 91328</v>
      </c>
      <c r="K1999" s="91" t="str">
        <f t="shared" si="126"/>
        <v>UN</v>
      </c>
      <c r="L1999" s="166" t="str">
        <f t="shared" si="127"/>
        <v>12/2019</v>
      </c>
      <c r="M1999" s="82"/>
      <c r="N1999" s="82"/>
    </row>
    <row r="2000" spans="1:14" x14ac:dyDescent="0.25">
      <c r="A2000" s="170" t="s">
        <v>4797</v>
      </c>
      <c r="B2000" s="170" t="s">
        <v>4798</v>
      </c>
      <c r="C2000" s="170" t="s">
        <v>205</v>
      </c>
      <c r="D2000" s="170" t="s">
        <v>2067</v>
      </c>
      <c r="E2000" s="171" t="s">
        <v>32581</v>
      </c>
      <c r="F2000" s="171" t="s">
        <v>35874</v>
      </c>
      <c r="G2000" s="82"/>
      <c r="H2000" s="96">
        <f t="shared" si="124"/>
        <v>700.15</v>
      </c>
      <c r="I2000" s="96">
        <f t="shared" si="124"/>
        <v>724.39</v>
      </c>
      <c r="J2000" s="91" t="str">
        <f t="shared" si="125"/>
        <v>Sinapi 91329</v>
      </c>
      <c r="K2000" s="91" t="str">
        <f t="shared" si="126"/>
        <v>UN</v>
      </c>
      <c r="L2000" s="166" t="str">
        <f t="shared" si="127"/>
        <v>12/2019</v>
      </c>
      <c r="M2000" s="82"/>
      <c r="N2000" s="82"/>
    </row>
    <row r="2001" spans="1:14" x14ac:dyDescent="0.25">
      <c r="A2001" s="170" t="s">
        <v>4799</v>
      </c>
      <c r="B2001" s="170" t="s">
        <v>4800</v>
      </c>
      <c r="C2001" s="170" t="s">
        <v>205</v>
      </c>
      <c r="D2001" s="170" t="s">
        <v>2067</v>
      </c>
      <c r="E2001" s="171" t="s">
        <v>32582</v>
      </c>
      <c r="F2001" s="171" t="s">
        <v>35875</v>
      </c>
      <c r="G2001" s="82"/>
      <c r="H2001" s="96">
        <f t="shared" si="124"/>
        <v>805.29</v>
      </c>
      <c r="I2001" s="96">
        <f t="shared" si="124"/>
        <v>830.04</v>
      </c>
      <c r="J2001" s="91" t="str">
        <f t="shared" si="125"/>
        <v>Sinapi 91330</v>
      </c>
      <c r="K2001" s="91" t="str">
        <f t="shared" si="126"/>
        <v>UN</v>
      </c>
      <c r="L2001" s="166" t="str">
        <f t="shared" si="127"/>
        <v>12/2019</v>
      </c>
      <c r="M2001" s="82"/>
      <c r="N2001" s="82"/>
    </row>
    <row r="2002" spans="1:14" x14ac:dyDescent="0.25">
      <c r="A2002" s="170" t="s">
        <v>4801</v>
      </c>
      <c r="B2002" s="170" t="s">
        <v>4802</v>
      </c>
      <c r="C2002" s="170" t="s">
        <v>205</v>
      </c>
      <c r="D2002" s="170" t="s">
        <v>2067</v>
      </c>
      <c r="E2002" s="171" t="s">
        <v>32583</v>
      </c>
      <c r="F2002" s="171" t="s">
        <v>35876</v>
      </c>
      <c r="G2002" s="82"/>
      <c r="H2002" s="96">
        <f t="shared" si="124"/>
        <v>728.9</v>
      </c>
      <c r="I2002" s="96">
        <f t="shared" si="124"/>
        <v>753.68</v>
      </c>
      <c r="J2002" s="91" t="str">
        <f t="shared" si="125"/>
        <v>Sinapi 91331</v>
      </c>
      <c r="K2002" s="91" t="str">
        <f t="shared" si="126"/>
        <v>UN</v>
      </c>
      <c r="L2002" s="166" t="str">
        <f t="shared" si="127"/>
        <v>12/2019</v>
      </c>
      <c r="M2002" s="82"/>
      <c r="N2002" s="82"/>
    </row>
    <row r="2003" spans="1:14" x14ac:dyDescent="0.25">
      <c r="A2003" s="170" t="s">
        <v>4803</v>
      </c>
      <c r="B2003" s="170" t="s">
        <v>4804</v>
      </c>
      <c r="C2003" s="170" t="s">
        <v>205</v>
      </c>
      <c r="D2003" s="170" t="s">
        <v>2067</v>
      </c>
      <c r="E2003" s="171" t="s">
        <v>32584</v>
      </c>
      <c r="F2003" s="171" t="s">
        <v>35877</v>
      </c>
      <c r="G2003" s="82"/>
      <c r="H2003" s="96">
        <f t="shared" si="124"/>
        <v>848.96</v>
      </c>
      <c r="I2003" s="96">
        <f t="shared" si="124"/>
        <v>874.22</v>
      </c>
      <c r="J2003" s="91" t="str">
        <f t="shared" si="125"/>
        <v>Sinapi 91332</v>
      </c>
      <c r="K2003" s="91" t="str">
        <f t="shared" si="126"/>
        <v>UN</v>
      </c>
      <c r="L2003" s="166" t="str">
        <f t="shared" si="127"/>
        <v>12/2019</v>
      </c>
      <c r="M2003" s="82"/>
      <c r="N2003" s="82"/>
    </row>
    <row r="2004" spans="1:14" x14ac:dyDescent="0.25">
      <c r="A2004" s="170" t="s">
        <v>4805</v>
      </c>
      <c r="B2004" s="170" t="s">
        <v>4806</v>
      </c>
      <c r="C2004" s="170" t="s">
        <v>205</v>
      </c>
      <c r="D2004" s="170" t="s">
        <v>2067</v>
      </c>
      <c r="E2004" s="171" t="s">
        <v>32585</v>
      </c>
      <c r="F2004" s="171" t="s">
        <v>35878</v>
      </c>
      <c r="G2004" s="82"/>
      <c r="H2004" s="96">
        <f t="shared" si="124"/>
        <v>772.09</v>
      </c>
      <c r="I2004" s="96">
        <f t="shared" si="124"/>
        <v>797.38</v>
      </c>
      <c r="J2004" s="91" t="str">
        <f t="shared" si="125"/>
        <v>Sinapi 91333</v>
      </c>
      <c r="K2004" s="91" t="str">
        <f t="shared" si="126"/>
        <v>UN</v>
      </c>
      <c r="L2004" s="166" t="str">
        <f t="shared" si="127"/>
        <v>12/2019</v>
      </c>
      <c r="M2004" s="82"/>
      <c r="N2004" s="82"/>
    </row>
    <row r="2005" spans="1:14" x14ac:dyDescent="0.25">
      <c r="A2005" s="170" t="s">
        <v>4807</v>
      </c>
      <c r="B2005" s="170" t="s">
        <v>4808</v>
      </c>
      <c r="C2005" s="170" t="s">
        <v>205</v>
      </c>
      <c r="D2005" s="170" t="s">
        <v>2067</v>
      </c>
      <c r="E2005" s="171" t="s">
        <v>32586</v>
      </c>
      <c r="F2005" s="171" t="s">
        <v>35879</v>
      </c>
      <c r="G2005" s="82"/>
      <c r="H2005" s="96">
        <f t="shared" si="124"/>
        <v>999.14</v>
      </c>
      <c r="I2005" s="96">
        <f t="shared" si="124"/>
        <v>1024.4000000000001</v>
      </c>
      <c r="J2005" s="91" t="str">
        <f t="shared" si="125"/>
        <v>Sinapi 91334</v>
      </c>
      <c r="K2005" s="91" t="str">
        <f t="shared" si="126"/>
        <v>UN</v>
      </c>
      <c r="L2005" s="166" t="str">
        <f t="shared" si="127"/>
        <v>12/2019</v>
      </c>
      <c r="M2005" s="82"/>
      <c r="N2005" s="82"/>
    </row>
    <row r="2006" spans="1:14" x14ac:dyDescent="0.25">
      <c r="A2006" s="170" t="s">
        <v>4809</v>
      </c>
      <c r="B2006" s="170" t="s">
        <v>4810</v>
      </c>
      <c r="C2006" s="170" t="s">
        <v>205</v>
      </c>
      <c r="D2006" s="170" t="s">
        <v>2067</v>
      </c>
      <c r="E2006" s="171" t="s">
        <v>32587</v>
      </c>
      <c r="F2006" s="171" t="s">
        <v>35880</v>
      </c>
      <c r="G2006" s="82"/>
      <c r="H2006" s="96">
        <f t="shared" si="124"/>
        <v>922.27</v>
      </c>
      <c r="I2006" s="96">
        <f t="shared" si="124"/>
        <v>947.56</v>
      </c>
      <c r="J2006" s="91" t="str">
        <f t="shared" si="125"/>
        <v>Sinapi 91335</v>
      </c>
      <c r="K2006" s="91" t="str">
        <f t="shared" si="126"/>
        <v>UN</v>
      </c>
      <c r="L2006" s="166" t="str">
        <f t="shared" si="127"/>
        <v>12/2019</v>
      </c>
      <c r="M2006" s="82"/>
      <c r="N2006" s="82"/>
    </row>
    <row r="2007" spans="1:14" x14ac:dyDescent="0.25">
      <c r="A2007" s="170" t="s">
        <v>4811</v>
      </c>
      <c r="B2007" s="170" t="s">
        <v>4812</v>
      </c>
      <c r="C2007" s="170" t="s">
        <v>205</v>
      </c>
      <c r="D2007" s="170" t="s">
        <v>2067</v>
      </c>
      <c r="E2007" s="171" t="s">
        <v>32588</v>
      </c>
      <c r="F2007" s="171" t="s">
        <v>35881</v>
      </c>
      <c r="G2007" s="82"/>
      <c r="H2007" s="96">
        <f t="shared" si="124"/>
        <v>1228.02</v>
      </c>
      <c r="I2007" s="96">
        <f t="shared" si="124"/>
        <v>1255.43</v>
      </c>
      <c r="J2007" s="91" t="str">
        <f t="shared" si="125"/>
        <v>Sinapi 91336</v>
      </c>
      <c r="K2007" s="91" t="str">
        <f t="shared" si="126"/>
        <v>UN</v>
      </c>
      <c r="L2007" s="166" t="str">
        <f t="shared" si="127"/>
        <v>12/2019</v>
      </c>
      <c r="M2007" s="82"/>
      <c r="N2007" s="82"/>
    </row>
    <row r="2008" spans="1:14" x14ac:dyDescent="0.25">
      <c r="A2008" s="170" t="s">
        <v>4813</v>
      </c>
      <c r="B2008" s="170" t="s">
        <v>4814</v>
      </c>
      <c r="C2008" s="170" t="s">
        <v>205</v>
      </c>
      <c r="D2008" s="170" t="s">
        <v>2067</v>
      </c>
      <c r="E2008" s="171" t="s">
        <v>32589</v>
      </c>
      <c r="F2008" s="171" t="s">
        <v>35882</v>
      </c>
      <c r="G2008" s="82"/>
      <c r="H2008" s="96">
        <f t="shared" si="124"/>
        <v>1151.1500000000001</v>
      </c>
      <c r="I2008" s="96">
        <f t="shared" si="124"/>
        <v>1178.5899999999999</v>
      </c>
      <c r="J2008" s="91" t="str">
        <f t="shared" si="125"/>
        <v>Sinapi 91337</v>
      </c>
      <c r="K2008" s="91" t="str">
        <f t="shared" si="126"/>
        <v>UN</v>
      </c>
      <c r="L2008" s="166" t="str">
        <f t="shared" si="127"/>
        <v>12/2019</v>
      </c>
      <c r="M2008" s="82"/>
      <c r="N2008" s="82"/>
    </row>
    <row r="2009" spans="1:14" x14ac:dyDescent="0.25">
      <c r="A2009" s="170" t="s">
        <v>4815</v>
      </c>
      <c r="B2009" s="170" t="s">
        <v>4816</v>
      </c>
      <c r="C2009" s="170" t="s">
        <v>385</v>
      </c>
      <c r="D2009" s="170" t="s">
        <v>2067</v>
      </c>
      <c r="E2009" s="171" t="s">
        <v>19309</v>
      </c>
      <c r="F2009" s="171" t="s">
        <v>19871</v>
      </c>
      <c r="G2009" s="82"/>
      <c r="H2009" s="96">
        <f t="shared" si="124"/>
        <v>8.2200000000000006</v>
      </c>
      <c r="I2009" s="96">
        <f t="shared" si="124"/>
        <v>8.4600000000000009</v>
      </c>
      <c r="J2009" s="91" t="str">
        <f t="shared" si="125"/>
        <v>Sinapi 100659</v>
      </c>
      <c r="K2009" s="91" t="str">
        <f t="shared" si="126"/>
        <v>M</v>
      </c>
      <c r="L2009" s="166" t="str">
        <f t="shared" si="127"/>
        <v>12/2019</v>
      </c>
      <c r="M2009" s="82"/>
      <c r="N2009" s="82"/>
    </row>
    <row r="2010" spans="1:14" x14ac:dyDescent="0.25">
      <c r="A2010" s="170" t="s">
        <v>4817</v>
      </c>
      <c r="B2010" s="170" t="s">
        <v>4818</v>
      </c>
      <c r="C2010" s="170" t="s">
        <v>385</v>
      </c>
      <c r="D2010" s="170" t="s">
        <v>2067</v>
      </c>
      <c r="E2010" s="171" t="s">
        <v>14923</v>
      </c>
      <c r="F2010" s="171" t="s">
        <v>30695</v>
      </c>
      <c r="G2010" s="82"/>
      <c r="H2010" s="96">
        <f t="shared" si="124"/>
        <v>5.83</v>
      </c>
      <c r="I2010" s="96">
        <f t="shared" si="124"/>
        <v>6.07</v>
      </c>
      <c r="J2010" s="91" t="str">
        <f t="shared" si="125"/>
        <v>Sinapi 100660</v>
      </c>
      <c r="K2010" s="91" t="str">
        <f t="shared" si="126"/>
        <v>M</v>
      </c>
      <c r="L2010" s="166" t="str">
        <f t="shared" si="127"/>
        <v>12/2019</v>
      </c>
      <c r="M2010" s="82"/>
      <c r="N2010" s="82"/>
    </row>
    <row r="2011" spans="1:14" x14ac:dyDescent="0.25">
      <c r="A2011" s="170" t="s">
        <v>4820</v>
      </c>
      <c r="B2011" s="170" t="s">
        <v>4821</v>
      </c>
      <c r="C2011" s="170" t="s">
        <v>205</v>
      </c>
      <c r="D2011" s="170" t="s">
        <v>2067</v>
      </c>
      <c r="E2011" s="171" t="s">
        <v>32590</v>
      </c>
      <c r="F2011" s="171" t="s">
        <v>35883</v>
      </c>
      <c r="G2011" s="82"/>
      <c r="H2011" s="96">
        <f t="shared" si="124"/>
        <v>1097.53</v>
      </c>
      <c r="I2011" s="96">
        <f t="shared" si="124"/>
        <v>1099.98</v>
      </c>
      <c r="J2011" s="91" t="str">
        <f t="shared" si="125"/>
        <v>Sinapi 100675</v>
      </c>
      <c r="K2011" s="91" t="str">
        <f t="shared" si="126"/>
        <v>UN</v>
      </c>
      <c r="L2011" s="166" t="str">
        <f t="shared" si="127"/>
        <v>12/2019</v>
      </c>
      <c r="M2011" s="82"/>
      <c r="N2011" s="82"/>
    </row>
    <row r="2012" spans="1:14" x14ac:dyDescent="0.25">
      <c r="A2012" s="170" t="s">
        <v>4822</v>
      </c>
      <c r="B2012" s="170" t="s">
        <v>4823</v>
      </c>
      <c r="C2012" s="170" t="s">
        <v>205</v>
      </c>
      <c r="D2012" s="170" t="s">
        <v>2067</v>
      </c>
      <c r="E2012" s="171" t="s">
        <v>23305</v>
      </c>
      <c r="F2012" s="171" t="s">
        <v>31490</v>
      </c>
      <c r="G2012" s="82"/>
      <c r="H2012" s="96">
        <f t="shared" si="124"/>
        <v>146.46</v>
      </c>
      <c r="I2012" s="96">
        <f t="shared" si="124"/>
        <v>154.28</v>
      </c>
      <c r="J2012" s="91" t="str">
        <f t="shared" si="125"/>
        <v>Sinapi 100676</v>
      </c>
      <c r="K2012" s="91" t="str">
        <f t="shared" si="126"/>
        <v>UN</v>
      </c>
      <c r="L2012" s="166" t="str">
        <f t="shared" si="127"/>
        <v>12/2019</v>
      </c>
      <c r="M2012" s="82"/>
      <c r="N2012" s="82"/>
    </row>
    <row r="2013" spans="1:14" x14ac:dyDescent="0.25">
      <c r="A2013" s="170" t="s">
        <v>4824</v>
      </c>
      <c r="B2013" s="170" t="s">
        <v>4825</v>
      </c>
      <c r="C2013" s="170" t="s">
        <v>205</v>
      </c>
      <c r="D2013" s="170" t="s">
        <v>2067</v>
      </c>
      <c r="E2013" s="171" t="s">
        <v>32591</v>
      </c>
      <c r="F2013" s="171" t="s">
        <v>35884</v>
      </c>
      <c r="G2013" s="82"/>
      <c r="H2013" s="96">
        <f t="shared" si="124"/>
        <v>896.62</v>
      </c>
      <c r="I2013" s="96">
        <f t="shared" si="124"/>
        <v>923.58</v>
      </c>
      <c r="J2013" s="91" t="str">
        <f t="shared" si="125"/>
        <v>Sinapi 100678</v>
      </c>
      <c r="K2013" s="91" t="str">
        <f t="shared" si="126"/>
        <v>UN</v>
      </c>
      <c r="L2013" s="166" t="str">
        <f t="shared" si="127"/>
        <v>12/2019</v>
      </c>
      <c r="M2013" s="82"/>
      <c r="N2013" s="82"/>
    </row>
    <row r="2014" spans="1:14" x14ac:dyDescent="0.25">
      <c r="A2014" s="170" t="s">
        <v>4826</v>
      </c>
      <c r="B2014" s="170" t="s">
        <v>4827</v>
      </c>
      <c r="C2014" s="170" t="s">
        <v>205</v>
      </c>
      <c r="D2014" s="170" t="s">
        <v>2067</v>
      </c>
      <c r="E2014" s="171" t="s">
        <v>32592</v>
      </c>
      <c r="F2014" s="171" t="s">
        <v>35885</v>
      </c>
      <c r="G2014" s="82"/>
      <c r="H2014" s="96">
        <f t="shared" si="124"/>
        <v>780.34</v>
      </c>
      <c r="I2014" s="96">
        <f t="shared" si="124"/>
        <v>807.34</v>
      </c>
      <c r="J2014" s="91" t="str">
        <f t="shared" si="125"/>
        <v>Sinapi 100679</v>
      </c>
      <c r="K2014" s="91" t="str">
        <f t="shared" si="126"/>
        <v>UN</v>
      </c>
      <c r="L2014" s="166" t="str">
        <f t="shared" si="127"/>
        <v>12/2019</v>
      </c>
      <c r="M2014" s="82"/>
      <c r="N2014" s="82"/>
    </row>
    <row r="2015" spans="1:14" x14ac:dyDescent="0.25">
      <c r="A2015" s="170" t="s">
        <v>4828</v>
      </c>
      <c r="B2015" s="170" t="s">
        <v>4829</v>
      </c>
      <c r="C2015" s="170" t="s">
        <v>205</v>
      </c>
      <c r="D2015" s="170" t="s">
        <v>2067</v>
      </c>
      <c r="E2015" s="171" t="s">
        <v>32593</v>
      </c>
      <c r="F2015" s="171" t="s">
        <v>35886</v>
      </c>
      <c r="G2015" s="82"/>
      <c r="H2015" s="96">
        <f t="shared" si="124"/>
        <v>905.26</v>
      </c>
      <c r="I2015" s="96">
        <f t="shared" si="124"/>
        <v>932.77</v>
      </c>
      <c r="J2015" s="91" t="str">
        <f t="shared" si="125"/>
        <v>Sinapi 100680</v>
      </c>
      <c r="K2015" s="91" t="str">
        <f t="shared" si="126"/>
        <v>UN</v>
      </c>
      <c r="L2015" s="166" t="str">
        <f t="shared" si="127"/>
        <v>12/2019</v>
      </c>
      <c r="M2015" s="82"/>
      <c r="N2015" s="82"/>
    </row>
    <row r="2016" spans="1:14" x14ac:dyDescent="0.25">
      <c r="A2016" s="170" t="s">
        <v>4830</v>
      </c>
      <c r="B2016" s="170" t="s">
        <v>4831</v>
      </c>
      <c r="C2016" s="170" t="s">
        <v>205</v>
      </c>
      <c r="D2016" s="170" t="s">
        <v>2067</v>
      </c>
      <c r="E2016" s="171" t="s">
        <v>32594</v>
      </c>
      <c r="F2016" s="171" t="s">
        <v>35887</v>
      </c>
      <c r="G2016" s="82"/>
      <c r="H2016" s="96">
        <f t="shared" si="124"/>
        <v>937.31</v>
      </c>
      <c r="I2016" s="96">
        <f t="shared" si="124"/>
        <v>964.82</v>
      </c>
      <c r="J2016" s="91" t="str">
        <f t="shared" si="125"/>
        <v>Sinapi 100681</v>
      </c>
      <c r="K2016" s="91" t="str">
        <f t="shared" si="126"/>
        <v>UN</v>
      </c>
      <c r="L2016" s="166" t="str">
        <f t="shared" si="127"/>
        <v>12/2019</v>
      </c>
      <c r="M2016" s="82"/>
      <c r="N2016" s="82"/>
    </row>
    <row r="2017" spans="1:14" x14ac:dyDescent="0.25">
      <c r="A2017" s="170" t="s">
        <v>4832</v>
      </c>
      <c r="B2017" s="170" t="s">
        <v>4833</v>
      </c>
      <c r="C2017" s="170" t="s">
        <v>205</v>
      </c>
      <c r="D2017" s="170" t="s">
        <v>2067</v>
      </c>
      <c r="E2017" s="171" t="s">
        <v>32595</v>
      </c>
      <c r="F2017" s="171" t="s">
        <v>35888</v>
      </c>
      <c r="G2017" s="82"/>
      <c r="H2017" s="96">
        <f t="shared" si="124"/>
        <v>806.95</v>
      </c>
      <c r="I2017" s="96">
        <f t="shared" si="124"/>
        <v>834.49</v>
      </c>
      <c r="J2017" s="91" t="str">
        <f t="shared" si="125"/>
        <v>Sinapi 100682</v>
      </c>
      <c r="K2017" s="91" t="str">
        <f t="shared" si="126"/>
        <v>UN</v>
      </c>
      <c r="L2017" s="166" t="str">
        <f t="shared" si="127"/>
        <v>12/2019</v>
      </c>
      <c r="M2017" s="82"/>
      <c r="N2017" s="82"/>
    </row>
    <row r="2018" spans="1:14" x14ac:dyDescent="0.25">
      <c r="A2018" s="170" t="s">
        <v>4834</v>
      </c>
      <c r="B2018" s="170" t="s">
        <v>4835</v>
      </c>
      <c r="C2018" s="170" t="s">
        <v>205</v>
      </c>
      <c r="D2018" s="170" t="s">
        <v>2067</v>
      </c>
      <c r="E2018" s="171" t="s">
        <v>32596</v>
      </c>
      <c r="F2018" s="171" t="s">
        <v>35889</v>
      </c>
      <c r="G2018" s="82"/>
      <c r="H2018" s="96">
        <f t="shared" si="124"/>
        <v>991.98</v>
      </c>
      <c r="I2018" s="96">
        <f t="shared" si="124"/>
        <v>1020.85</v>
      </c>
      <c r="J2018" s="91" t="str">
        <f t="shared" si="125"/>
        <v>Sinapi 100683</v>
      </c>
      <c r="K2018" s="91" t="str">
        <f t="shared" si="126"/>
        <v>UN</v>
      </c>
      <c r="L2018" s="166" t="str">
        <f t="shared" si="127"/>
        <v>12/2019</v>
      </c>
      <c r="M2018" s="82"/>
      <c r="N2018" s="82"/>
    </row>
    <row r="2019" spans="1:14" x14ac:dyDescent="0.25">
      <c r="A2019" s="170" t="s">
        <v>4836</v>
      </c>
      <c r="B2019" s="170" t="s">
        <v>4837</v>
      </c>
      <c r="C2019" s="170" t="s">
        <v>205</v>
      </c>
      <c r="D2019" s="170" t="s">
        <v>2067</v>
      </c>
      <c r="E2019" s="171" t="s">
        <v>32597</v>
      </c>
      <c r="F2019" s="171" t="s">
        <v>35890</v>
      </c>
      <c r="G2019" s="82"/>
      <c r="H2019" s="96">
        <f t="shared" si="124"/>
        <v>856.45</v>
      </c>
      <c r="I2019" s="96">
        <f t="shared" si="124"/>
        <v>885.35</v>
      </c>
      <c r="J2019" s="91" t="str">
        <f t="shared" si="125"/>
        <v>Sinapi 100684</v>
      </c>
      <c r="K2019" s="91" t="str">
        <f t="shared" si="126"/>
        <v>UN</v>
      </c>
      <c r="L2019" s="166" t="str">
        <f t="shared" si="127"/>
        <v>12/2019</v>
      </c>
      <c r="M2019" s="82"/>
      <c r="N2019" s="82"/>
    </row>
    <row r="2020" spans="1:14" x14ac:dyDescent="0.25">
      <c r="A2020" s="170" t="s">
        <v>4838</v>
      </c>
      <c r="B2020" s="170" t="s">
        <v>4839</v>
      </c>
      <c r="C2020" s="170" t="s">
        <v>205</v>
      </c>
      <c r="D2020" s="170" t="s">
        <v>2067</v>
      </c>
      <c r="E2020" s="171" t="s">
        <v>32598</v>
      </c>
      <c r="F2020" s="171" t="s">
        <v>25970</v>
      </c>
      <c r="G2020" s="82"/>
      <c r="H2020" s="96">
        <f t="shared" si="124"/>
        <v>1044.27</v>
      </c>
      <c r="I2020" s="96">
        <f t="shared" si="124"/>
        <v>1073.6600000000001</v>
      </c>
      <c r="J2020" s="91" t="str">
        <f t="shared" si="125"/>
        <v>Sinapi 100685</v>
      </c>
      <c r="K2020" s="91" t="str">
        <f t="shared" si="126"/>
        <v>UN</v>
      </c>
      <c r="L2020" s="166" t="str">
        <f t="shared" si="127"/>
        <v>12/2019</v>
      </c>
      <c r="M2020" s="82"/>
      <c r="N2020" s="82"/>
    </row>
    <row r="2021" spans="1:14" x14ac:dyDescent="0.25">
      <c r="A2021" s="170" t="s">
        <v>4840</v>
      </c>
      <c r="B2021" s="170" t="s">
        <v>4841</v>
      </c>
      <c r="C2021" s="170" t="s">
        <v>205</v>
      </c>
      <c r="D2021" s="170" t="s">
        <v>2067</v>
      </c>
      <c r="E2021" s="171" t="s">
        <v>32599</v>
      </c>
      <c r="F2021" s="171" t="s">
        <v>35891</v>
      </c>
      <c r="G2021" s="82"/>
      <c r="H2021" s="96">
        <f t="shared" si="124"/>
        <v>908.26</v>
      </c>
      <c r="I2021" s="96">
        <f t="shared" si="124"/>
        <v>937.68</v>
      </c>
      <c r="J2021" s="91" t="str">
        <f t="shared" si="125"/>
        <v>Sinapi 100686</v>
      </c>
      <c r="K2021" s="91" t="str">
        <f t="shared" si="126"/>
        <v>UN</v>
      </c>
      <c r="L2021" s="166" t="str">
        <f t="shared" si="127"/>
        <v>12/2019</v>
      </c>
      <c r="M2021" s="82"/>
      <c r="N2021" s="82"/>
    </row>
    <row r="2022" spans="1:14" x14ac:dyDescent="0.25">
      <c r="A2022" s="170" t="s">
        <v>4842</v>
      </c>
      <c r="B2022" s="170" t="s">
        <v>4843</v>
      </c>
      <c r="C2022" s="170" t="s">
        <v>205</v>
      </c>
      <c r="D2022" s="170" t="s">
        <v>2067</v>
      </c>
      <c r="E2022" s="171" t="s">
        <v>32600</v>
      </c>
      <c r="F2022" s="171" t="s">
        <v>35892</v>
      </c>
      <c r="G2022" s="82"/>
      <c r="H2022" s="96">
        <f t="shared" si="124"/>
        <v>908.09</v>
      </c>
      <c r="I2022" s="96">
        <f t="shared" si="124"/>
        <v>935.05</v>
      </c>
      <c r="J2022" s="91" t="str">
        <f t="shared" si="125"/>
        <v>Sinapi 100687</v>
      </c>
      <c r="K2022" s="91" t="str">
        <f t="shared" si="126"/>
        <v>UN</v>
      </c>
      <c r="L2022" s="166" t="str">
        <f t="shared" si="127"/>
        <v>12/2019</v>
      </c>
      <c r="M2022" s="82"/>
      <c r="N2022" s="82"/>
    </row>
    <row r="2023" spans="1:14" x14ac:dyDescent="0.25">
      <c r="A2023" s="170" t="s">
        <v>4844</v>
      </c>
      <c r="B2023" s="170" t="s">
        <v>4845</v>
      </c>
      <c r="C2023" s="170" t="s">
        <v>205</v>
      </c>
      <c r="D2023" s="170" t="s">
        <v>2067</v>
      </c>
      <c r="E2023" s="171" t="s">
        <v>32601</v>
      </c>
      <c r="F2023" s="171" t="s">
        <v>35893</v>
      </c>
      <c r="G2023" s="82"/>
      <c r="H2023" s="96">
        <f t="shared" si="124"/>
        <v>791.81</v>
      </c>
      <c r="I2023" s="96">
        <f t="shared" si="124"/>
        <v>818.81</v>
      </c>
      <c r="J2023" s="91" t="str">
        <f t="shared" si="125"/>
        <v>Sinapi 100688</v>
      </c>
      <c r="K2023" s="91" t="str">
        <f t="shared" si="126"/>
        <v>UN</v>
      </c>
      <c r="L2023" s="166" t="str">
        <f t="shared" si="127"/>
        <v>12/2019</v>
      </c>
      <c r="M2023" s="82"/>
      <c r="N2023" s="82"/>
    </row>
    <row r="2024" spans="1:14" x14ac:dyDescent="0.25">
      <c r="A2024" s="170" t="s">
        <v>4846</v>
      </c>
      <c r="B2024" s="170" t="s">
        <v>4847</v>
      </c>
      <c r="C2024" s="170" t="s">
        <v>205</v>
      </c>
      <c r="D2024" s="170" t="s">
        <v>2067</v>
      </c>
      <c r="E2024" s="171" t="s">
        <v>32602</v>
      </c>
      <c r="F2024" s="171" t="s">
        <v>35894</v>
      </c>
      <c r="G2024" s="82"/>
      <c r="H2024" s="96">
        <f t="shared" si="124"/>
        <v>999.62</v>
      </c>
      <c r="I2024" s="96">
        <f t="shared" si="124"/>
        <v>1028.49</v>
      </c>
      <c r="J2024" s="91" t="str">
        <f t="shared" si="125"/>
        <v>Sinapi 100689</v>
      </c>
      <c r="K2024" s="91" t="str">
        <f t="shared" si="126"/>
        <v>UN</v>
      </c>
      <c r="L2024" s="166" t="str">
        <f t="shared" si="127"/>
        <v>12/2019</v>
      </c>
      <c r="M2024" s="82"/>
      <c r="N2024" s="82"/>
    </row>
    <row r="2025" spans="1:14" x14ac:dyDescent="0.25">
      <c r="A2025" s="170" t="s">
        <v>4848</v>
      </c>
      <c r="B2025" s="170" t="s">
        <v>4849</v>
      </c>
      <c r="C2025" s="170" t="s">
        <v>205</v>
      </c>
      <c r="D2025" s="170" t="s">
        <v>2067</v>
      </c>
      <c r="E2025" s="171" t="s">
        <v>32603</v>
      </c>
      <c r="F2025" s="171" t="s">
        <v>35895</v>
      </c>
      <c r="G2025" s="82"/>
      <c r="H2025" s="96">
        <f t="shared" si="124"/>
        <v>864.09</v>
      </c>
      <c r="I2025" s="96">
        <f t="shared" si="124"/>
        <v>892.99</v>
      </c>
      <c r="J2025" s="91" t="str">
        <f t="shared" si="125"/>
        <v>Sinapi 100690</v>
      </c>
      <c r="K2025" s="91" t="str">
        <f t="shared" si="126"/>
        <v>UN</v>
      </c>
      <c r="L2025" s="166" t="str">
        <f t="shared" si="127"/>
        <v>12/2019</v>
      </c>
      <c r="M2025" s="82"/>
      <c r="N2025" s="82"/>
    </row>
    <row r="2026" spans="1:14" x14ac:dyDescent="0.25">
      <c r="A2026" s="170" t="s">
        <v>4850</v>
      </c>
      <c r="B2026" s="170" t="s">
        <v>4851</v>
      </c>
      <c r="C2026" s="170" t="s">
        <v>205</v>
      </c>
      <c r="D2026" s="170" t="s">
        <v>2067</v>
      </c>
      <c r="E2026" s="171" t="s">
        <v>32604</v>
      </c>
      <c r="F2026" s="171" t="s">
        <v>35896</v>
      </c>
      <c r="G2026" s="82"/>
      <c r="H2026" s="96">
        <f t="shared" si="124"/>
        <v>1149.8</v>
      </c>
      <c r="I2026" s="96">
        <f t="shared" si="124"/>
        <v>1178.67</v>
      </c>
      <c r="J2026" s="91" t="str">
        <f t="shared" si="125"/>
        <v>Sinapi 100691</v>
      </c>
      <c r="K2026" s="91" t="str">
        <f t="shared" si="126"/>
        <v>UN</v>
      </c>
      <c r="L2026" s="166" t="str">
        <f t="shared" si="127"/>
        <v>12/2019</v>
      </c>
      <c r="M2026" s="82"/>
      <c r="N2026" s="82"/>
    </row>
    <row r="2027" spans="1:14" x14ac:dyDescent="0.25">
      <c r="A2027" s="170" t="s">
        <v>4852</v>
      </c>
      <c r="B2027" s="170" t="s">
        <v>4853</v>
      </c>
      <c r="C2027" s="170" t="s">
        <v>205</v>
      </c>
      <c r="D2027" s="170" t="s">
        <v>2067</v>
      </c>
      <c r="E2027" s="171" t="s">
        <v>32605</v>
      </c>
      <c r="F2027" s="171" t="s">
        <v>35897</v>
      </c>
      <c r="G2027" s="82"/>
      <c r="H2027" s="96">
        <f t="shared" si="124"/>
        <v>1014.27</v>
      </c>
      <c r="I2027" s="96">
        <f t="shared" si="124"/>
        <v>1043.17</v>
      </c>
      <c r="J2027" s="91" t="str">
        <f t="shared" si="125"/>
        <v>Sinapi 100692</v>
      </c>
      <c r="K2027" s="91" t="str">
        <f t="shared" si="126"/>
        <v>UN</v>
      </c>
      <c r="L2027" s="166" t="str">
        <f t="shared" si="127"/>
        <v>12/2019</v>
      </c>
      <c r="M2027" s="82"/>
      <c r="N2027" s="82"/>
    </row>
    <row r="2028" spans="1:14" x14ac:dyDescent="0.25">
      <c r="A2028" s="170" t="s">
        <v>4854</v>
      </c>
      <c r="B2028" s="170" t="s">
        <v>4855</v>
      </c>
      <c r="C2028" s="170" t="s">
        <v>205</v>
      </c>
      <c r="D2028" s="170" t="s">
        <v>2067</v>
      </c>
      <c r="E2028" s="171" t="s">
        <v>32606</v>
      </c>
      <c r="F2028" s="171" t="s">
        <v>35898</v>
      </c>
      <c r="G2028" s="82"/>
      <c r="H2028" s="96">
        <f t="shared" si="124"/>
        <v>1378.68</v>
      </c>
      <c r="I2028" s="96">
        <f t="shared" si="124"/>
        <v>1409.7</v>
      </c>
      <c r="J2028" s="91" t="str">
        <f t="shared" si="125"/>
        <v>Sinapi 100693</v>
      </c>
      <c r="K2028" s="91" t="str">
        <f t="shared" si="126"/>
        <v>UN</v>
      </c>
      <c r="L2028" s="166" t="str">
        <f t="shared" si="127"/>
        <v>12/2019</v>
      </c>
      <c r="M2028" s="82"/>
      <c r="N2028" s="82"/>
    </row>
    <row r="2029" spans="1:14" x14ac:dyDescent="0.25">
      <c r="A2029" s="170" t="s">
        <v>4856</v>
      </c>
      <c r="B2029" s="170" t="s">
        <v>4857</v>
      </c>
      <c r="C2029" s="170" t="s">
        <v>205</v>
      </c>
      <c r="D2029" s="170" t="s">
        <v>2067</v>
      </c>
      <c r="E2029" s="171" t="s">
        <v>32607</v>
      </c>
      <c r="F2029" s="171" t="s">
        <v>35899</v>
      </c>
      <c r="G2029" s="82"/>
      <c r="H2029" s="96">
        <f t="shared" si="124"/>
        <v>1243.1500000000001</v>
      </c>
      <c r="I2029" s="96">
        <f t="shared" si="124"/>
        <v>1274.2</v>
      </c>
      <c r="J2029" s="91" t="str">
        <f t="shared" si="125"/>
        <v>Sinapi 100694</v>
      </c>
      <c r="K2029" s="91" t="str">
        <f t="shared" si="126"/>
        <v>UN</v>
      </c>
      <c r="L2029" s="166" t="str">
        <f t="shared" si="127"/>
        <v>12/2019</v>
      </c>
      <c r="M2029" s="82"/>
      <c r="N2029" s="82"/>
    </row>
    <row r="2030" spans="1:14" x14ac:dyDescent="0.25">
      <c r="A2030" s="170" t="s">
        <v>4858</v>
      </c>
      <c r="B2030" s="170" t="s">
        <v>4859</v>
      </c>
      <c r="C2030" s="170" t="s">
        <v>205</v>
      </c>
      <c r="D2030" s="170" t="s">
        <v>2067</v>
      </c>
      <c r="E2030" s="171" t="s">
        <v>32608</v>
      </c>
      <c r="F2030" s="171" t="s">
        <v>21578</v>
      </c>
      <c r="G2030" s="82"/>
      <c r="H2030" s="96">
        <f t="shared" si="124"/>
        <v>52.15</v>
      </c>
      <c r="I2030" s="96">
        <f t="shared" si="124"/>
        <v>57.84</v>
      </c>
      <c r="J2030" s="91" t="str">
        <f t="shared" si="125"/>
        <v>Sinapi 100695</v>
      </c>
      <c r="K2030" s="91" t="str">
        <f t="shared" si="126"/>
        <v>UN</v>
      </c>
      <c r="L2030" s="166" t="str">
        <f t="shared" si="127"/>
        <v>12/2019</v>
      </c>
      <c r="M2030" s="82"/>
      <c r="N2030" s="82"/>
    </row>
    <row r="2031" spans="1:14" x14ac:dyDescent="0.25">
      <c r="A2031" s="170" t="s">
        <v>4860</v>
      </c>
      <c r="B2031" s="170" t="s">
        <v>4861</v>
      </c>
      <c r="C2031" s="170" t="s">
        <v>205</v>
      </c>
      <c r="D2031" s="170" t="s">
        <v>2067</v>
      </c>
      <c r="E2031" s="171" t="s">
        <v>21834</v>
      </c>
      <c r="F2031" s="171" t="s">
        <v>34567</v>
      </c>
      <c r="G2031" s="82"/>
      <c r="H2031" s="96">
        <f t="shared" si="124"/>
        <v>58.01</v>
      </c>
      <c r="I2031" s="96">
        <f t="shared" si="124"/>
        <v>64.36</v>
      </c>
      <c r="J2031" s="91" t="str">
        <f t="shared" si="125"/>
        <v>Sinapi 100696</v>
      </c>
      <c r="K2031" s="91" t="str">
        <f t="shared" si="126"/>
        <v>UN</v>
      </c>
      <c r="L2031" s="166" t="str">
        <f t="shared" si="127"/>
        <v>12/2019</v>
      </c>
      <c r="M2031" s="82"/>
      <c r="N2031" s="82"/>
    </row>
    <row r="2032" spans="1:14" x14ac:dyDescent="0.25">
      <c r="A2032" s="170" t="s">
        <v>4862</v>
      </c>
      <c r="B2032" s="170" t="s">
        <v>4863</v>
      </c>
      <c r="C2032" s="170" t="s">
        <v>205</v>
      </c>
      <c r="D2032" s="170" t="s">
        <v>2067</v>
      </c>
      <c r="E2032" s="171" t="s">
        <v>32609</v>
      </c>
      <c r="F2032" s="171" t="s">
        <v>23031</v>
      </c>
      <c r="G2032" s="82"/>
      <c r="H2032" s="96">
        <f t="shared" si="124"/>
        <v>63.92</v>
      </c>
      <c r="I2032" s="96">
        <f t="shared" si="124"/>
        <v>70.92</v>
      </c>
      <c r="J2032" s="91" t="str">
        <f t="shared" si="125"/>
        <v>Sinapi 100697</v>
      </c>
      <c r="K2032" s="91" t="str">
        <f t="shared" si="126"/>
        <v>UN</v>
      </c>
      <c r="L2032" s="166" t="str">
        <f t="shared" si="127"/>
        <v>12/2019</v>
      </c>
      <c r="M2032" s="82"/>
      <c r="N2032" s="82"/>
    </row>
    <row r="2033" spans="1:14" x14ac:dyDescent="0.25">
      <c r="A2033" s="170" t="s">
        <v>4864</v>
      </c>
      <c r="B2033" s="170" t="s">
        <v>4865</v>
      </c>
      <c r="C2033" s="170" t="s">
        <v>205</v>
      </c>
      <c r="D2033" s="170" t="s">
        <v>2067</v>
      </c>
      <c r="E2033" s="171" t="s">
        <v>32610</v>
      </c>
      <c r="F2033" s="171" t="s">
        <v>31941</v>
      </c>
      <c r="G2033" s="82"/>
      <c r="H2033" s="96">
        <f t="shared" si="124"/>
        <v>69.81</v>
      </c>
      <c r="I2033" s="96">
        <f t="shared" si="124"/>
        <v>77.47</v>
      </c>
      <c r="J2033" s="91" t="str">
        <f t="shared" si="125"/>
        <v>Sinapi 100698</v>
      </c>
      <c r="K2033" s="91" t="str">
        <f t="shared" si="126"/>
        <v>UN</v>
      </c>
      <c r="L2033" s="166" t="str">
        <f t="shared" si="127"/>
        <v>12/2019</v>
      </c>
      <c r="M2033" s="82"/>
      <c r="N2033" s="82"/>
    </row>
    <row r="2034" spans="1:14" x14ac:dyDescent="0.25">
      <c r="A2034" s="170" t="s">
        <v>4866</v>
      </c>
      <c r="B2034" s="170" t="s">
        <v>4867</v>
      </c>
      <c r="C2034" s="170" t="s">
        <v>205</v>
      </c>
      <c r="D2034" s="170" t="s">
        <v>2067</v>
      </c>
      <c r="E2034" s="171" t="s">
        <v>32611</v>
      </c>
      <c r="F2034" s="171" t="s">
        <v>23347</v>
      </c>
      <c r="G2034" s="82"/>
      <c r="H2034" s="96">
        <f t="shared" si="124"/>
        <v>83.08</v>
      </c>
      <c r="I2034" s="96">
        <f t="shared" si="124"/>
        <v>92.23</v>
      </c>
      <c r="J2034" s="91" t="str">
        <f t="shared" si="125"/>
        <v>Sinapi 100699</v>
      </c>
      <c r="K2034" s="91" t="str">
        <f t="shared" si="126"/>
        <v>UN</v>
      </c>
      <c r="L2034" s="166" t="str">
        <f t="shared" si="127"/>
        <v>12/2019</v>
      </c>
      <c r="M2034" s="82"/>
      <c r="N2034" s="82"/>
    </row>
    <row r="2035" spans="1:14" x14ac:dyDescent="0.25">
      <c r="A2035" s="170" t="s">
        <v>4868</v>
      </c>
      <c r="B2035" s="170" t="s">
        <v>4869</v>
      </c>
      <c r="C2035" s="170" t="s">
        <v>205</v>
      </c>
      <c r="D2035" s="170" t="s">
        <v>2067</v>
      </c>
      <c r="E2035" s="171" t="s">
        <v>32612</v>
      </c>
      <c r="F2035" s="171" t="s">
        <v>35900</v>
      </c>
      <c r="G2035" s="82"/>
      <c r="H2035" s="96">
        <f t="shared" si="124"/>
        <v>838.8</v>
      </c>
      <c r="I2035" s="96">
        <f t="shared" si="124"/>
        <v>856.88</v>
      </c>
      <c r="J2035" s="91" t="str">
        <f t="shared" si="125"/>
        <v>Sinapi 100700</v>
      </c>
      <c r="K2035" s="91" t="str">
        <f t="shared" si="126"/>
        <v>UN</v>
      </c>
      <c r="L2035" s="166" t="str">
        <f t="shared" si="127"/>
        <v>12/2019</v>
      </c>
      <c r="M2035" s="82"/>
      <c r="N2035" s="82"/>
    </row>
    <row r="2036" spans="1:14" x14ac:dyDescent="0.25">
      <c r="A2036" s="170" t="s">
        <v>4870</v>
      </c>
      <c r="B2036" s="170" t="s">
        <v>4871</v>
      </c>
      <c r="C2036" s="170" t="s">
        <v>205</v>
      </c>
      <c r="D2036" s="170" t="s">
        <v>2067</v>
      </c>
      <c r="E2036" s="171" t="s">
        <v>32613</v>
      </c>
      <c r="F2036" s="171" t="s">
        <v>35901</v>
      </c>
      <c r="G2036" s="82"/>
      <c r="H2036" s="96">
        <f t="shared" si="124"/>
        <v>774.9</v>
      </c>
      <c r="I2036" s="96">
        <f t="shared" si="124"/>
        <v>802.44</v>
      </c>
      <c r="J2036" s="91" t="str">
        <f t="shared" si="125"/>
        <v>Sinapi 100712</v>
      </c>
      <c r="K2036" s="91" t="str">
        <f t="shared" si="126"/>
        <v>UN</v>
      </c>
      <c r="L2036" s="166" t="str">
        <f t="shared" si="127"/>
        <v>12/2019</v>
      </c>
      <c r="M2036" s="82"/>
      <c r="N2036" s="82"/>
    </row>
    <row r="2037" spans="1:14" x14ac:dyDescent="0.25">
      <c r="A2037" s="170" t="s">
        <v>4872</v>
      </c>
      <c r="B2037" s="170" t="s">
        <v>4873</v>
      </c>
      <c r="C2037" s="170" t="s">
        <v>870</v>
      </c>
      <c r="D2037" s="170" t="s">
        <v>2067</v>
      </c>
      <c r="E2037" s="171" t="s">
        <v>32614</v>
      </c>
      <c r="F2037" s="171" t="s">
        <v>35902</v>
      </c>
      <c r="G2037" s="82"/>
      <c r="H2037" s="96">
        <f t="shared" si="124"/>
        <v>353.7</v>
      </c>
      <c r="I2037" s="96">
        <f t="shared" si="124"/>
        <v>359.93</v>
      </c>
      <c r="J2037" s="91" t="str">
        <f t="shared" si="125"/>
        <v>Sinapi 100665</v>
      </c>
      <c r="K2037" s="91" t="str">
        <f t="shared" si="126"/>
        <v>M2</v>
      </c>
      <c r="L2037" s="166" t="str">
        <f t="shared" si="127"/>
        <v>12/2019</v>
      </c>
      <c r="M2037" s="82"/>
      <c r="N2037" s="82"/>
    </row>
    <row r="2038" spans="1:14" x14ac:dyDescent="0.25">
      <c r="A2038" s="170" t="s">
        <v>4874</v>
      </c>
      <c r="B2038" s="170" t="s">
        <v>4875</v>
      </c>
      <c r="C2038" s="170" t="s">
        <v>870</v>
      </c>
      <c r="D2038" s="170" t="s">
        <v>2067</v>
      </c>
      <c r="E2038" s="171" t="s">
        <v>32615</v>
      </c>
      <c r="F2038" s="171" t="s">
        <v>35903</v>
      </c>
      <c r="G2038" s="82"/>
      <c r="H2038" s="96">
        <f t="shared" si="124"/>
        <v>295.98</v>
      </c>
      <c r="I2038" s="96">
        <f t="shared" si="124"/>
        <v>302.20999999999998</v>
      </c>
      <c r="J2038" s="91" t="str">
        <f t="shared" si="125"/>
        <v>Sinapi 100666</v>
      </c>
      <c r="K2038" s="91" t="str">
        <f t="shared" si="126"/>
        <v>M2</v>
      </c>
      <c r="L2038" s="166" t="str">
        <f t="shared" si="127"/>
        <v>12/2019</v>
      </c>
      <c r="M2038" s="82"/>
      <c r="N2038" s="82"/>
    </row>
    <row r="2039" spans="1:14" x14ac:dyDescent="0.25">
      <c r="A2039" s="170" t="s">
        <v>4876</v>
      </c>
      <c r="B2039" s="170" t="s">
        <v>4877</v>
      </c>
      <c r="C2039" s="170" t="s">
        <v>870</v>
      </c>
      <c r="D2039" s="170" t="s">
        <v>2067</v>
      </c>
      <c r="E2039" s="171" t="s">
        <v>32616</v>
      </c>
      <c r="F2039" s="171" t="s">
        <v>35904</v>
      </c>
      <c r="G2039" s="82"/>
      <c r="H2039" s="96">
        <f t="shared" si="124"/>
        <v>435.3</v>
      </c>
      <c r="I2039" s="96">
        <f t="shared" si="124"/>
        <v>441.53</v>
      </c>
      <c r="J2039" s="91" t="str">
        <f t="shared" si="125"/>
        <v>Sinapi 100667</v>
      </c>
      <c r="K2039" s="91" t="str">
        <f t="shared" si="126"/>
        <v>M2</v>
      </c>
      <c r="L2039" s="166" t="str">
        <f t="shared" si="127"/>
        <v>12/2019</v>
      </c>
      <c r="M2039" s="82"/>
      <c r="N2039" s="82"/>
    </row>
    <row r="2040" spans="1:14" x14ac:dyDescent="0.25">
      <c r="A2040" s="170" t="s">
        <v>4878</v>
      </c>
      <c r="B2040" s="170" t="s">
        <v>4879</v>
      </c>
      <c r="C2040" s="170" t="s">
        <v>870</v>
      </c>
      <c r="D2040" s="170" t="s">
        <v>2067</v>
      </c>
      <c r="E2040" s="171" t="s">
        <v>32617</v>
      </c>
      <c r="F2040" s="171" t="s">
        <v>35905</v>
      </c>
      <c r="G2040" s="82"/>
      <c r="H2040" s="96">
        <f t="shared" si="124"/>
        <v>653.71</v>
      </c>
      <c r="I2040" s="96">
        <f t="shared" si="124"/>
        <v>667.71</v>
      </c>
      <c r="J2040" s="91" t="str">
        <f t="shared" si="125"/>
        <v>Sinapi 100668</v>
      </c>
      <c r="K2040" s="91" t="str">
        <f t="shared" si="126"/>
        <v>M2</v>
      </c>
      <c r="L2040" s="166" t="str">
        <f t="shared" si="127"/>
        <v>12/2019</v>
      </c>
      <c r="M2040" s="82"/>
      <c r="N2040" s="82"/>
    </row>
    <row r="2041" spans="1:14" x14ac:dyDescent="0.25">
      <c r="A2041" s="170" t="s">
        <v>4880</v>
      </c>
      <c r="B2041" s="170" t="s">
        <v>4881</v>
      </c>
      <c r="C2041" s="170" t="s">
        <v>870</v>
      </c>
      <c r="D2041" s="170" t="s">
        <v>2067</v>
      </c>
      <c r="E2041" s="171" t="s">
        <v>32618</v>
      </c>
      <c r="F2041" s="171" t="s">
        <v>35906</v>
      </c>
      <c r="G2041" s="82"/>
      <c r="H2041" s="96">
        <f t="shared" si="124"/>
        <v>339.59</v>
      </c>
      <c r="I2041" s="96">
        <f t="shared" si="124"/>
        <v>348.55</v>
      </c>
      <c r="J2041" s="91" t="str">
        <f t="shared" si="125"/>
        <v>Sinapi 100669</v>
      </c>
      <c r="K2041" s="91" t="str">
        <f t="shared" si="126"/>
        <v>M2</v>
      </c>
      <c r="L2041" s="166" t="str">
        <f t="shared" si="127"/>
        <v>12/2019</v>
      </c>
      <c r="M2041" s="82"/>
      <c r="N2041" s="82"/>
    </row>
    <row r="2042" spans="1:14" x14ac:dyDescent="0.25">
      <c r="A2042" s="170" t="s">
        <v>4882</v>
      </c>
      <c r="B2042" s="170" t="s">
        <v>4883</v>
      </c>
      <c r="C2042" s="170" t="s">
        <v>870</v>
      </c>
      <c r="D2042" s="170" t="s">
        <v>2067</v>
      </c>
      <c r="E2042" s="171" t="s">
        <v>32619</v>
      </c>
      <c r="F2042" s="171" t="s">
        <v>35907</v>
      </c>
      <c r="G2042" s="82"/>
      <c r="H2042" s="96">
        <f t="shared" si="124"/>
        <v>420.64</v>
      </c>
      <c r="I2042" s="96">
        <f t="shared" si="124"/>
        <v>427.56</v>
      </c>
      <c r="J2042" s="91" t="str">
        <f t="shared" si="125"/>
        <v>Sinapi 100670</v>
      </c>
      <c r="K2042" s="91" t="str">
        <f t="shared" si="126"/>
        <v>M2</v>
      </c>
      <c r="L2042" s="166" t="str">
        <f t="shared" si="127"/>
        <v>12/2019</v>
      </c>
      <c r="M2042" s="82"/>
      <c r="N2042" s="82"/>
    </row>
    <row r="2043" spans="1:14" x14ac:dyDescent="0.25">
      <c r="A2043" s="170" t="s">
        <v>4884</v>
      </c>
      <c r="B2043" s="170" t="s">
        <v>4885</v>
      </c>
      <c r="C2043" s="170" t="s">
        <v>870</v>
      </c>
      <c r="D2043" s="170" t="s">
        <v>2067</v>
      </c>
      <c r="E2043" s="171" t="s">
        <v>32620</v>
      </c>
      <c r="F2043" s="171" t="s">
        <v>35908</v>
      </c>
      <c r="G2043" s="82"/>
      <c r="H2043" s="96">
        <f t="shared" si="124"/>
        <v>503.72</v>
      </c>
      <c r="I2043" s="96">
        <f t="shared" si="124"/>
        <v>510.64</v>
      </c>
      <c r="J2043" s="91" t="str">
        <f t="shared" si="125"/>
        <v>Sinapi 100671</v>
      </c>
      <c r="K2043" s="91" t="str">
        <f t="shared" si="126"/>
        <v>M2</v>
      </c>
      <c r="L2043" s="166" t="str">
        <f t="shared" si="127"/>
        <v>12/2019</v>
      </c>
      <c r="M2043" s="82"/>
      <c r="N2043" s="82"/>
    </row>
    <row r="2044" spans="1:14" x14ac:dyDescent="0.25">
      <c r="A2044" s="170" t="s">
        <v>4886</v>
      </c>
      <c r="B2044" s="170" t="s">
        <v>4887</v>
      </c>
      <c r="C2044" s="170" t="s">
        <v>870</v>
      </c>
      <c r="D2044" s="170" t="s">
        <v>2067</v>
      </c>
      <c r="E2044" s="171" t="s">
        <v>32621</v>
      </c>
      <c r="F2044" s="171" t="s">
        <v>35909</v>
      </c>
      <c r="G2044" s="82"/>
      <c r="H2044" s="96">
        <f t="shared" si="124"/>
        <v>352.39</v>
      </c>
      <c r="I2044" s="96">
        <f t="shared" si="124"/>
        <v>359.31</v>
      </c>
      <c r="J2044" s="91" t="str">
        <f t="shared" si="125"/>
        <v>Sinapi 100672</v>
      </c>
      <c r="K2044" s="91" t="str">
        <f t="shared" si="126"/>
        <v>M2</v>
      </c>
      <c r="L2044" s="166" t="str">
        <f t="shared" si="127"/>
        <v>12/2019</v>
      </c>
      <c r="M2044" s="82"/>
      <c r="N2044" s="82"/>
    </row>
    <row r="2045" spans="1:14" x14ac:dyDescent="0.25">
      <c r="A2045" s="170" t="s">
        <v>4888</v>
      </c>
      <c r="B2045" s="170" t="s">
        <v>4889</v>
      </c>
      <c r="C2045" s="170" t="s">
        <v>870</v>
      </c>
      <c r="D2045" s="170" t="s">
        <v>1947</v>
      </c>
      <c r="E2045" s="171" t="s">
        <v>32622</v>
      </c>
      <c r="F2045" s="171" t="s">
        <v>35910</v>
      </c>
      <c r="G2045" s="82"/>
      <c r="H2045" s="96">
        <f t="shared" si="124"/>
        <v>664.42</v>
      </c>
      <c r="I2045" s="96">
        <f t="shared" si="124"/>
        <v>666.34</v>
      </c>
      <c r="J2045" s="91" t="str">
        <f t="shared" si="125"/>
        <v>Sinapi 100701</v>
      </c>
      <c r="K2045" s="91" t="str">
        <f t="shared" si="126"/>
        <v>M2</v>
      </c>
      <c r="L2045" s="166" t="str">
        <f t="shared" si="127"/>
        <v>12/2019</v>
      </c>
      <c r="M2045" s="82"/>
      <c r="N2045" s="82"/>
    </row>
    <row r="2046" spans="1:14" x14ac:dyDescent="0.25">
      <c r="A2046" s="170" t="s">
        <v>4890</v>
      </c>
      <c r="B2046" s="170" t="s">
        <v>4891</v>
      </c>
      <c r="C2046" s="170" t="s">
        <v>870</v>
      </c>
      <c r="D2046" s="170" t="s">
        <v>2067</v>
      </c>
      <c r="E2046" s="171" t="s">
        <v>32623</v>
      </c>
      <c r="F2046" s="171" t="s">
        <v>29466</v>
      </c>
      <c r="G2046" s="82"/>
      <c r="H2046" s="96">
        <f t="shared" si="124"/>
        <v>670.65</v>
      </c>
      <c r="I2046" s="96">
        <f t="shared" si="124"/>
        <v>688.3</v>
      </c>
      <c r="J2046" s="91" t="str">
        <f t="shared" si="125"/>
        <v>Sinapi 94559</v>
      </c>
      <c r="K2046" s="91" t="str">
        <f t="shared" si="126"/>
        <v>M2</v>
      </c>
      <c r="L2046" s="166" t="str">
        <f t="shared" si="127"/>
        <v>12/2019</v>
      </c>
      <c r="M2046" s="82"/>
      <c r="N2046" s="82"/>
    </row>
    <row r="2047" spans="1:14" x14ac:dyDescent="0.25">
      <c r="A2047" s="170" t="s">
        <v>4892</v>
      </c>
      <c r="B2047" s="170" t="s">
        <v>4893</v>
      </c>
      <c r="C2047" s="170" t="s">
        <v>870</v>
      </c>
      <c r="D2047" s="170" t="s">
        <v>2067</v>
      </c>
      <c r="E2047" s="171" t="s">
        <v>32624</v>
      </c>
      <c r="F2047" s="171" t="s">
        <v>35911</v>
      </c>
      <c r="G2047" s="82"/>
      <c r="H2047" s="96">
        <f t="shared" si="124"/>
        <v>629.08000000000004</v>
      </c>
      <c r="I2047" s="96">
        <f t="shared" si="124"/>
        <v>637.14</v>
      </c>
      <c r="J2047" s="91" t="str">
        <f t="shared" si="125"/>
        <v>Sinapi 94562</v>
      </c>
      <c r="K2047" s="91" t="str">
        <f t="shared" si="126"/>
        <v>M2</v>
      </c>
      <c r="L2047" s="166" t="str">
        <f t="shared" si="127"/>
        <v>12/2019</v>
      </c>
      <c r="M2047" s="82"/>
      <c r="N2047" s="82"/>
    </row>
    <row r="2048" spans="1:14" x14ac:dyDescent="0.25">
      <c r="A2048" s="170" t="s">
        <v>4894</v>
      </c>
      <c r="B2048" s="170" t="s">
        <v>4895</v>
      </c>
      <c r="C2048" s="170" t="s">
        <v>385</v>
      </c>
      <c r="D2048" s="170" t="s">
        <v>1947</v>
      </c>
      <c r="E2048" s="171" t="s">
        <v>32625</v>
      </c>
      <c r="F2048" s="171" t="s">
        <v>35912</v>
      </c>
      <c r="G2048" s="82"/>
      <c r="H2048" s="96">
        <f t="shared" si="124"/>
        <v>71.34</v>
      </c>
      <c r="I2048" s="96">
        <f t="shared" si="124"/>
        <v>73.88</v>
      </c>
      <c r="J2048" s="91" t="str">
        <f t="shared" si="125"/>
        <v>Sinapi 94587</v>
      </c>
      <c r="K2048" s="91" t="str">
        <f t="shared" si="126"/>
        <v>M</v>
      </c>
      <c r="L2048" s="166" t="str">
        <f t="shared" si="127"/>
        <v>12/2019</v>
      </c>
      <c r="M2048" s="82"/>
      <c r="N2048" s="82"/>
    </row>
    <row r="2049" spans="1:14" x14ac:dyDescent="0.25">
      <c r="A2049" s="170" t="s">
        <v>4896</v>
      </c>
      <c r="B2049" s="170" t="s">
        <v>4897</v>
      </c>
      <c r="C2049" s="170" t="s">
        <v>385</v>
      </c>
      <c r="D2049" s="170" t="s">
        <v>1947</v>
      </c>
      <c r="E2049" s="171" t="s">
        <v>32626</v>
      </c>
      <c r="F2049" s="171" t="s">
        <v>29099</v>
      </c>
      <c r="G2049" s="82"/>
      <c r="H2049" s="96">
        <f t="shared" si="124"/>
        <v>65.2</v>
      </c>
      <c r="I2049" s="96">
        <f t="shared" si="124"/>
        <v>66.510000000000005</v>
      </c>
      <c r="J2049" s="91" t="str">
        <f t="shared" si="125"/>
        <v>Sinapi 94588</v>
      </c>
      <c r="K2049" s="91" t="str">
        <f t="shared" si="126"/>
        <v>M</v>
      </c>
      <c r="L2049" s="166" t="str">
        <f t="shared" si="127"/>
        <v>12/2019</v>
      </c>
      <c r="M2049" s="82"/>
      <c r="N2049" s="82"/>
    </row>
    <row r="2050" spans="1:14" x14ac:dyDescent="0.25">
      <c r="A2050" s="170" t="s">
        <v>4898</v>
      </c>
      <c r="B2050" s="170" t="s">
        <v>18086</v>
      </c>
      <c r="C2050" s="170" t="s">
        <v>385</v>
      </c>
      <c r="D2050" s="170" t="s">
        <v>1947</v>
      </c>
      <c r="E2050" s="171" t="s">
        <v>32627</v>
      </c>
      <c r="F2050" s="171" t="s">
        <v>35913</v>
      </c>
      <c r="G2050" s="82"/>
      <c r="H2050" s="96">
        <f t="shared" si="124"/>
        <v>539.34</v>
      </c>
      <c r="I2050" s="96">
        <f t="shared" si="124"/>
        <v>563.37</v>
      </c>
      <c r="J2050" s="91" t="str">
        <f t="shared" si="125"/>
        <v>Sinapi 99837</v>
      </c>
      <c r="K2050" s="91" t="str">
        <f t="shared" si="126"/>
        <v>M</v>
      </c>
      <c r="L2050" s="166" t="str">
        <f t="shared" si="127"/>
        <v>04/2019</v>
      </c>
      <c r="M2050" s="82"/>
      <c r="N2050" s="82"/>
    </row>
    <row r="2051" spans="1:14" x14ac:dyDescent="0.25">
      <c r="A2051" s="170" t="s">
        <v>4899</v>
      </c>
      <c r="B2051" s="170" t="s">
        <v>18087</v>
      </c>
      <c r="C2051" s="170" t="s">
        <v>385</v>
      </c>
      <c r="D2051" s="170" t="s">
        <v>1947</v>
      </c>
      <c r="E2051" s="171" t="s">
        <v>32628</v>
      </c>
      <c r="F2051" s="171" t="s">
        <v>35914</v>
      </c>
      <c r="G2051" s="82"/>
      <c r="H2051" s="96">
        <f t="shared" si="124"/>
        <v>468.79</v>
      </c>
      <c r="I2051" s="96">
        <f t="shared" si="124"/>
        <v>494</v>
      </c>
      <c r="J2051" s="91" t="str">
        <f t="shared" si="125"/>
        <v>Sinapi 99839</v>
      </c>
      <c r="K2051" s="91" t="str">
        <f t="shared" si="126"/>
        <v>M</v>
      </c>
      <c r="L2051" s="166" t="str">
        <f t="shared" si="127"/>
        <v>04/2019</v>
      </c>
      <c r="M2051" s="82"/>
      <c r="N2051" s="82"/>
    </row>
    <row r="2052" spans="1:14" x14ac:dyDescent="0.25">
      <c r="A2052" s="170" t="s">
        <v>4900</v>
      </c>
      <c r="B2052" s="170" t="s">
        <v>18088</v>
      </c>
      <c r="C2052" s="170" t="s">
        <v>385</v>
      </c>
      <c r="D2052" s="170" t="s">
        <v>1947</v>
      </c>
      <c r="E2052" s="171" t="s">
        <v>32629</v>
      </c>
      <c r="F2052" s="171" t="s">
        <v>35915</v>
      </c>
      <c r="G2052" s="82"/>
      <c r="H2052" s="96">
        <f t="shared" si="124"/>
        <v>1572.15</v>
      </c>
      <c r="I2052" s="96">
        <f t="shared" si="124"/>
        <v>1586.79</v>
      </c>
      <c r="J2052" s="91" t="str">
        <f t="shared" si="125"/>
        <v>Sinapi 99841</v>
      </c>
      <c r="K2052" s="91" t="str">
        <f t="shared" si="126"/>
        <v>M</v>
      </c>
      <c r="L2052" s="166" t="str">
        <f t="shared" si="127"/>
        <v>04/2019</v>
      </c>
      <c r="M2052" s="82"/>
      <c r="N2052" s="82"/>
    </row>
    <row r="2053" spans="1:14" x14ac:dyDescent="0.25">
      <c r="A2053" s="170" t="s">
        <v>4901</v>
      </c>
      <c r="B2053" s="170" t="s">
        <v>18089</v>
      </c>
      <c r="C2053" s="170" t="s">
        <v>385</v>
      </c>
      <c r="D2053" s="170" t="s">
        <v>1947</v>
      </c>
      <c r="E2053" s="171" t="s">
        <v>32630</v>
      </c>
      <c r="F2053" s="171" t="s">
        <v>35916</v>
      </c>
      <c r="G2053" s="82"/>
      <c r="H2053" s="96">
        <f t="shared" si="124"/>
        <v>97.57</v>
      </c>
      <c r="I2053" s="96">
        <f t="shared" si="124"/>
        <v>101.7</v>
      </c>
      <c r="J2053" s="91" t="str">
        <f t="shared" si="125"/>
        <v>Sinapi 99855</v>
      </c>
      <c r="K2053" s="91" t="str">
        <f t="shared" si="126"/>
        <v>M</v>
      </c>
      <c r="L2053" s="166" t="str">
        <f t="shared" si="127"/>
        <v>04/2019</v>
      </c>
      <c r="M2053" s="82"/>
      <c r="N2053" s="82"/>
    </row>
    <row r="2054" spans="1:14" x14ac:dyDescent="0.25">
      <c r="A2054" s="170" t="s">
        <v>4902</v>
      </c>
      <c r="B2054" s="170" t="s">
        <v>18090</v>
      </c>
      <c r="C2054" s="170" t="s">
        <v>385</v>
      </c>
      <c r="D2054" s="170" t="s">
        <v>1947</v>
      </c>
      <c r="E2054" s="171" t="s">
        <v>27401</v>
      </c>
      <c r="F2054" s="171" t="s">
        <v>35917</v>
      </c>
      <c r="G2054" s="82"/>
      <c r="H2054" s="96">
        <f t="shared" si="124"/>
        <v>78.37</v>
      </c>
      <c r="I2054" s="96">
        <f t="shared" si="124"/>
        <v>84.17</v>
      </c>
      <c r="J2054" s="91" t="str">
        <f t="shared" si="125"/>
        <v>Sinapi 99857</v>
      </c>
      <c r="K2054" s="91" t="str">
        <f t="shared" si="126"/>
        <v>M</v>
      </c>
      <c r="L2054" s="166" t="str">
        <f t="shared" si="127"/>
        <v>04/2019</v>
      </c>
      <c r="M2054" s="82"/>
      <c r="N2054" s="82"/>
    </row>
    <row r="2055" spans="1:14" x14ac:dyDescent="0.25">
      <c r="A2055" s="170" t="s">
        <v>4903</v>
      </c>
      <c r="B2055" s="170" t="s">
        <v>4904</v>
      </c>
      <c r="C2055" s="170" t="s">
        <v>870</v>
      </c>
      <c r="D2055" s="170" t="s">
        <v>1947</v>
      </c>
      <c r="E2055" s="171" t="s">
        <v>32631</v>
      </c>
      <c r="F2055" s="171" t="s">
        <v>35918</v>
      </c>
      <c r="G2055" s="82"/>
      <c r="H2055" s="96">
        <f t="shared" si="124"/>
        <v>607.30999999999995</v>
      </c>
      <c r="I2055" s="96">
        <f t="shared" si="124"/>
        <v>644.42999999999995</v>
      </c>
      <c r="J2055" s="91" t="str">
        <f t="shared" si="125"/>
        <v>Sinapi 99861</v>
      </c>
      <c r="K2055" s="91" t="str">
        <f t="shared" si="126"/>
        <v>M2</v>
      </c>
      <c r="L2055" s="166" t="str">
        <f t="shared" si="127"/>
        <v>04/2019</v>
      </c>
      <c r="M2055" s="82"/>
      <c r="N2055" s="82"/>
    </row>
    <row r="2056" spans="1:14" x14ac:dyDescent="0.25">
      <c r="A2056" s="170" t="s">
        <v>4905</v>
      </c>
      <c r="B2056" s="170" t="s">
        <v>4906</v>
      </c>
      <c r="C2056" s="170" t="s">
        <v>870</v>
      </c>
      <c r="D2056" s="170" t="s">
        <v>1947</v>
      </c>
      <c r="E2056" s="171" t="s">
        <v>32632</v>
      </c>
      <c r="F2056" s="171" t="s">
        <v>35919</v>
      </c>
      <c r="G2056" s="82"/>
      <c r="H2056" s="96">
        <f t="shared" ref="H2056:I2119" si="128">IF(E2056="","",E2056+0)</f>
        <v>518.83000000000004</v>
      </c>
      <c r="I2056" s="96">
        <f t="shared" si="128"/>
        <v>557.39</v>
      </c>
      <c r="J2056" s="91" t="str">
        <f t="shared" ref="J2056:J2119" si="129">IF(OR(H2056="",I2056=""),"",TRIM(CONCATENATE("Sinapi ",A2056)))</f>
        <v>Sinapi 99862</v>
      </c>
      <c r="K2056" s="91" t="str">
        <f t="shared" ref="K2056:K2119" si="130">TRIM(C2056)</f>
        <v>M2</v>
      </c>
      <c r="L2056" s="166" t="str">
        <f t="shared" ref="L2056:L2119" si="131">IF(OR(RIGHT(IF(AND(K2056&lt;&gt;"H",K2056&lt;&gt;"MES"),RIGHT(B2056,7),""),2)="PS",RIGHT(IF(AND(K2056&lt;&gt;"H",K2056&lt;&gt;"MES"),RIGHT(B2056,7),""),2)="PA",RIGHT(IF(AND(K2056&lt;&gt;"H",K2056&lt;&gt;"MES"),RIGHT(B2056,7),""),2)="PE"),LEFT(IF(AND(K2056&lt;&gt;"H",K2056&lt;&gt;"MES"),RIGHT(B2056,10),""),7),IF(AND(K2056&lt;&gt;"H",K2056&lt;&gt;"MES"),RIGHT(B2056,7),""))</f>
        <v>04/2019</v>
      </c>
      <c r="M2056" s="82"/>
      <c r="N2056" s="82"/>
    </row>
    <row r="2057" spans="1:14" x14ac:dyDescent="0.25">
      <c r="A2057" s="170" t="s">
        <v>4907</v>
      </c>
      <c r="B2057" s="170" t="s">
        <v>4908</v>
      </c>
      <c r="C2057" s="170" t="s">
        <v>205</v>
      </c>
      <c r="D2057" s="170" t="s">
        <v>1947</v>
      </c>
      <c r="E2057" s="171" t="s">
        <v>32633</v>
      </c>
      <c r="F2057" s="171" t="s">
        <v>35920</v>
      </c>
      <c r="G2057" s="82"/>
      <c r="H2057" s="96">
        <f t="shared" si="128"/>
        <v>1661.52</v>
      </c>
      <c r="I2057" s="96">
        <f t="shared" si="128"/>
        <v>1675.29</v>
      </c>
      <c r="J2057" s="91" t="str">
        <f t="shared" si="129"/>
        <v>Sinapi 90838</v>
      </c>
      <c r="K2057" s="91" t="str">
        <f t="shared" si="130"/>
        <v>UN</v>
      </c>
      <c r="L2057" s="166" t="str">
        <f t="shared" si="131"/>
        <v>12/2019</v>
      </c>
      <c r="M2057" s="82"/>
      <c r="N2057" s="82"/>
    </row>
    <row r="2058" spans="1:14" x14ac:dyDescent="0.25">
      <c r="A2058" s="170" t="s">
        <v>4909</v>
      </c>
      <c r="B2058" s="170" t="s">
        <v>4910</v>
      </c>
      <c r="C2058" s="170" t="s">
        <v>870</v>
      </c>
      <c r="D2058" s="170" t="s">
        <v>1947</v>
      </c>
      <c r="E2058" s="171" t="s">
        <v>32634</v>
      </c>
      <c r="F2058" s="171" t="s">
        <v>35921</v>
      </c>
      <c r="G2058" s="82"/>
      <c r="H2058" s="96">
        <f t="shared" si="128"/>
        <v>830.49</v>
      </c>
      <c r="I2058" s="96">
        <f t="shared" si="128"/>
        <v>831.84</v>
      </c>
      <c r="J2058" s="91" t="str">
        <f t="shared" si="129"/>
        <v>Sinapi 91338</v>
      </c>
      <c r="K2058" s="91" t="str">
        <f t="shared" si="130"/>
        <v>M2</v>
      </c>
      <c r="L2058" s="166" t="str">
        <f t="shared" si="131"/>
        <v>12/2019</v>
      </c>
      <c r="M2058" s="82"/>
      <c r="N2058" s="82"/>
    </row>
    <row r="2059" spans="1:14" x14ac:dyDescent="0.25">
      <c r="A2059" s="170" t="s">
        <v>4911</v>
      </c>
      <c r="B2059" s="170" t="s">
        <v>4912</v>
      </c>
      <c r="C2059" s="170" t="s">
        <v>870</v>
      </c>
      <c r="D2059" s="170" t="s">
        <v>1947</v>
      </c>
      <c r="E2059" s="171" t="s">
        <v>32635</v>
      </c>
      <c r="F2059" s="171" t="s">
        <v>35922</v>
      </c>
      <c r="G2059" s="82"/>
      <c r="H2059" s="96">
        <f t="shared" si="128"/>
        <v>642.87</v>
      </c>
      <c r="I2059" s="96">
        <f t="shared" si="128"/>
        <v>644.32000000000005</v>
      </c>
      <c r="J2059" s="91" t="str">
        <f t="shared" si="129"/>
        <v>Sinapi 91341</v>
      </c>
      <c r="K2059" s="91" t="str">
        <f t="shared" si="130"/>
        <v>M2</v>
      </c>
      <c r="L2059" s="166" t="str">
        <f t="shared" si="131"/>
        <v>12/2019</v>
      </c>
      <c r="M2059" s="82"/>
      <c r="N2059" s="82"/>
    </row>
    <row r="2060" spans="1:14" x14ac:dyDescent="0.25">
      <c r="A2060" s="170" t="s">
        <v>4913</v>
      </c>
      <c r="B2060" s="170" t="s">
        <v>4914</v>
      </c>
      <c r="C2060" s="170" t="s">
        <v>205</v>
      </c>
      <c r="D2060" s="170" t="s">
        <v>1947</v>
      </c>
      <c r="E2060" s="171" t="s">
        <v>32636</v>
      </c>
      <c r="F2060" s="171" t="s">
        <v>35923</v>
      </c>
      <c r="G2060" s="82"/>
      <c r="H2060" s="96">
        <f t="shared" si="128"/>
        <v>848.71</v>
      </c>
      <c r="I2060" s="96">
        <f t="shared" si="128"/>
        <v>851.17</v>
      </c>
      <c r="J2060" s="91" t="str">
        <f t="shared" si="129"/>
        <v>Sinapi 94805</v>
      </c>
      <c r="K2060" s="91" t="str">
        <f t="shared" si="130"/>
        <v>UN</v>
      </c>
      <c r="L2060" s="166" t="str">
        <f t="shared" si="131"/>
        <v>12/2019</v>
      </c>
      <c r="M2060" s="82"/>
      <c r="N2060" s="82"/>
    </row>
    <row r="2061" spans="1:14" x14ac:dyDescent="0.25">
      <c r="A2061" s="170" t="s">
        <v>4915</v>
      </c>
      <c r="B2061" s="170" t="s">
        <v>4916</v>
      </c>
      <c r="C2061" s="170" t="s">
        <v>205</v>
      </c>
      <c r="D2061" s="170" t="s">
        <v>1947</v>
      </c>
      <c r="E2061" s="171" t="s">
        <v>32637</v>
      </c>
      <c r="F2061" s="171" t="s">
        <v>35924</v>
      </c>
      <c r="G2061" s="82"/>
      <c r="H2061" s="96">
        <f t="shared" si="128"/>
        <v>782.36</v>
      </c>
      <c r="I2061" s="96">
        <f t="shared" si="128"/>
        <v>785.84</v>
      </c>
      <c r="J2061" s="91" t="str">
        <f t="shared" si="129"/>
        <v>Sinapi 94806</v>
      </c>
      <c r="K2061" s="91" t="str">
        <f t="shared" si="130"/>
        <v>UN</v>
      </c>
      <c r="L2061" s="166" t="str">
        <f t="shared" si="131"/>
        <v>12/2019</v>
      </c>
      <c r="M2061" s="82"/>
      <c r="N2061" s="82"/>
    </row>
    <row r="2062" spans="1:14" x14ac:dyDescent="0.25">
      <c r="A2062" s="170" t="s">
        <v>4917</v>
      </c>
      <c r="B2062" s="170" t="s">
        <v>4918</v>
      </c>
      <c r="C2062" s="170" t="s">
        <v>205</v>
      </c>
      <c r="D2062" s="170" t="s">
        <v>1947</v>
      </c>
      <c r="E2062" s="171" t="s">
        <v>32638</v>
      </c>
      <c r="F2062" s="171" t="s">
        <v>35925</v>
      </c>
      <c r="G2062" s="82"/>
      <c r="H2062" s="96">
        <f t="shared" si="128"/>
        <v>713.1</v>
      </c>
      <c r="I2062" s="96">
        <f t="shared" si="128"/>
        <v>716.76</v>
      </c>
      <c r="J2062" s="91" t="str">
        <f t="shared" si="129"/>
        <v>Sinapi 94807</v>
      </c>
      <c r="K2062" s="91" t="str">
        <f t="shared" si="130"/>
        <v>UN</v>
      </c>
      <c r="L2062" s="166" t="str">
        <f t="shared" si="131"/>
        <v>12/2019</v>
      </c>
      <c r="M2062" s="82"/>
      <c r="N2062" s="82"/>
    </row>
    <row r="2063" spans="1:14" x14ac:dyDescent="0.25">
      <c r="A2063" s="170" t="s">
        <v>4919</v>
      </c>
      <c r="B2063" s="170" t="s">
        <v>4920</v>
      </c>
      <c r="C2063" s="170" t="s">
        <v>870</v>
      </c>
      <c r="D2063" s="170" t="s">
        <v>1947</v>
      </c>
      <c r="E2063" s="171" t="s">
        <v>32639</v>
      </c>
      <c r="F2063" s="171" t="s">
        <v>35926</v>
      </c>
      <c r="G2063" s="82"/>
      <c r="H2063" s="96">
        <f t="shared" si="128"/>
        <v>460.77</v>
      </c>
      <c r="I2063" s="96">
        <f t="shared" si="128"/>
        <v>461.83</v>
      </c>
      <c r="J2063" s="91" t="str">
        <f t="shared" si="129"/>
        <v>Sinapi 100702</v>
      </c>
      <c r="K2063" s="91" t="str">
        <f t="shared" si="130"/>
        <v>M2</v>
      </c>
      <c r="L2063" s="166" t="str">
        <f t="shared" si="131"/>
        <v>12/2019</v>
      </c>
      <c r="M2063" s="82"/>
      <c r="N2063" s="82"/>
    </row>
    <row r="2064" spans="1:14" x14ac:dyDescent="0.25">
      <c r="A2064" s="170" t="s">
        <v>12517</v>
      </c>
      <c r="B2064" s="170" t="s">
        <v>12518</v>
      </c>
      <c r="C2064" s="170" t="s">
        <v>205</v>
      </c>
      <c r="D2064" s="170" t="s">
        <v>2067</v>
      </c>
      <c r="E2064" s="171" t="s">
        <v>32640</v>
      </c>
      <c r="F2064" s="171" t="s">
        <v>35927</v>
      </c>
      <c r="G2064" s="82"/>
      <c r="H2064" s="96">
        <f t="shared" si="128"/>
        <v>816.98</v>
      </c>
      <c r="I2064" s="96">
        <f t="shared" si="128"/>
        <v>824.87</v>
      </c>
      <c r="J2064" s="91" t="str">
        <f t="shared" si="129"/>
        <v>Sinapi 102188</v>
      </c>
      <c r="K2064" s="91" t="str">
        <f t="shared" si="130"/>
        <v>UN</v>
      </c>
      <c r="L2064" s="166" t="str">
        <f t="shared" si="131"/>
        <v>01/2021</v>
      </c>
      <c r="M2064" s="82"/>
      <c r="N2064" s="82"/>
    </row>
    <row r="2065" spans="1:14" x14ac:dyDescent="0.25">
      <c r="A2065" s="170" t="s">
        <v>12519</v>
      </c>
      <c r="B2065" s="170" t="s">
        <v>12520</v>
      </c>
      <c r="C2065" s="170" t="s">
        <v>205</v>
      </c>
      <c r="D2065" s="170" t="s">
        <v>2067</v>
      </c>
      <c r="E2065" s="171" t="s">
        <v>32641</v>
      </c>
      <c r="F2065" s="171" t="s">
        <v>35928</v>
      </c>
      <c r="G2065" s="82"/>
      <c r="H2065" s="96">
        <f t="shared" si="128"/>
        <v>218.56</v>
      </c>
      <c r="I2065" s="96">
        <f t="shared" si="128"/>
        <v>227.31</v>
      </c>
      <c r="J2065" s="91" t="str">
        <f t="shared" si="129"/>
        <v>Sinapi 102189</v>
      </c>
      <c r="K2065" s="91" t="str">
        <f t="shared" si="130"/>
        <v>UN</v>
      </c>
      <c r="L2065" s="166" t="str">
        <f t="shared" si="131"/>
        <v>01/2021</v>
      </c>
      <c r="M2065" s="82"/>
      <c r="N2065" s="82"/>
    </row>
    <row r="2066" spans="1:14" x14ac:dyDescent="0.25">
      <c r="A2066" s="170" t="s">
        <v>4921</v>
      </c>
      <c r="B2066" s="170" t="s">
        <v>4922</v>
      </c>
      <c r="C2066" s="170" t="s">
        <v>205</v>
      </c>
      <c r="D2066" s="170" t="s">
        <v>2067</v>
      </c>
      <c r="E2066" s="171" t="s">
        <v>25725</v>
      </c>
      <c r="F2066" s="171" t="s">
        <v>35929</v>
      </c>
      <c r="G2066" s="82"/>
      <c r="H2066" s="96">
        <f t="shared" si="128"/>
        <v>33.94</v>
      </c>
      <c r="I2066" s="96">
        <f t="shared" si="128"/>
        <v>35.14</v>
      </c>
      <c r="J2066" s="91" t="str">
        <f t="shared" si="129"/>
        <v>Sinapi 100703</v>
      </c>
      <c r="K2066" s="91" t="str">
        <f t="shared" si="130"/>
        <v>UN</v>
      </c>
      <c r="L2066" s="166" t="str">
        <f t="shared" si="131"/>
        <v>12/2019</v>
      </c>
      <c r="M2066" s="82"/>
      <c r="N2066" s="82"/>
    </row>
    <row r="2067" spans="1:14" x14ac:dyDescent="0.25">
      <c r="A2067" s="170" t="s">
        <v>4923</v>
      </c>
      <c r="B2067" s="170" t="s">
        <v>4924</v>
      </c>
      <c r="C2067" s="170" t="s">
        <v>205</v>
      </c>
      <c r="D2067" s="170" t="s">
        <v>2067</v>
      </c>
      <c r="E2067" s="171" t="s">
        <v>23195</v>
      </c>
      <c r="F2067" s="171" t="s">
        <v>29047</v>
      </c>
      <c r="G2067" s="82"/>
      <c r="H2067" s="96">
        <f t="shared" si="128"/>
        <v>73.59</v>
      </c>
      <c r="I2067" s="96">
        <f t="shared" si="128"/>
        <v>75.5</v>
      </c>
      <c r="J2067" s="91" t="str">
        <f t="shared" si="129"/>
        <v>Sinapi 100704</v>
      </c>
      <c r="K2067" s="91" t="str">
        <f t="shared" si="130"/>
        <v>UN</v>
      </c>
      <c r="L2067" s="166" t="str">
        <f t="shared" si="131"/>
        <v>12/2019</v>
      </c>
      <c r="M2067" s="82"/>
      <c r="N2067" s="82"/>
    </row>
    <row r="2068" spans="1:14" x14ac:dyDescent="0.25">
      <c r="A2068" s="170" t="s">
        <v>4925</v>
      </c>
      <c r="B2068" s="170" t="s">
        <v>4926</v>
      </c>
      <c r="C2068" s="170" t="s">
        <v>205</v>
      </c>
      <c r="D2068" s="170" t="s">
        <v>2067</v>
      </c>
      <c r="E2068" s="171" t="s">
        <v>32642</v>
      </c>
      <c r="F2068" s="171" t="s">
        <v>23321</v>
      </c>
      <c r="G2068" s="82"/>
      <c r="H2068" s="96">
        <f t="shared" si="128"/>
        <v>81.900000000000006</v>
      </c>
      <c r="I2068" s="96">
        <f t="shared" si="128"/>
        <v>85.18</v>
      </c>
      <c r="J2068" s="91" t="str">
        <f t="shared" si="129"/>
        <v>Sinapi 100705</v>
      </c>
      <c r="K2068" s="91" t="str">
        <f t="shared" si="130"/>
        <v>UN</v>
      </c>
      <c r="L2068" s="166" t="str">
        <f t="shared" si="131"/>
        <v>12/2019</v>
      </c>
      <c r="M2068" s="82"/>
      <c r="N2068" s="82"/>
    </row>
    <row r="2069" spans="1:14" x14ac:dyDescent="0.25">
      <c r="A2069" s="170" t="s">
        <v>4927</v>
      </c>
      <c r="B2069" s="170" t="s">
        <v>4928</v>
      </c>
      <c r="C2069" s="170" t="s">
        <v>205</v>
      </c>
      <c r="D2069" s="170" t="s">
        <v>2067</v>
      </c>
      <c r="E2069" s="171" t="s">
        <v>29078</v>
      </c>
      <c r="F2069" s="171" t="s">
        <v>22053</v>
      </c>
      <c r="G2069" s="82"/>
      <c r="H2069" s="96">
        <f t="shared" si="128"/>
        <v>69.569999999999993</v>
      </c>
      <c r="I2069" s="96">
        <f t="shared" si="128"/>
        <v>73.819999999999993</v>
      </c>
      <c r="J2069" s="91" t="str">
        <f t="shared" si="129"/>
        <v>Sinapi 100706</v>
      </c>
      <c r="K2069" s="91" t="str">
        <f t="shared" si="130"/>
        <v>UN</v>
      </c>
      <c r="L2069" s="166" t="str">
        <f t="shared" si="131"/>
        <v>12/2019</v>
      </c>
      <c r="M2069" s="82"/>
      <c r="N2069" s="82"/>
    </row>
    <row r="2070" spans="1:14" x14ac:dyDescent="0.25">
      <c r="A2070" s="170" t="s">
        <v>4929</v>
      </c>
      <c r="B2070" s="170" t="s">
        <v>4930</v>
      </c>
      <c r="C2070" s="170" t="s">
        <v>205</v>
      </c>
      <c r="D2070" s="170" t="s">
        <v>2067</v>
      </c>
      <c r="E2070" s="171" t="s">
        <v>32643</v>
      </c>
      <c r="F2070" s="171" t="s">
        <v>35930</v>
      </c>
      <c r="G2070" s="82"/>
      <c r="H2070" s="96">
        <f t="shared" si="128"/>
        <v>155.63999999999999</v>
      </c>
      <c r="I2070" s="96">
        <f t="shared" si="128"/>
        <v>159.69</v>
      </c>
      <c r="J2070" s="91" t="str">
        <f t="shared" si="129"/>
        <v>Sinapi 100707</v>
      </c>
      <c r="K2070" s="91" t="str">
        <f t="shared" si="130"/>
        <v>UN</v>
      </c>
      <c r="L2070" s="166" t="str">
        <f t="shared" si="131"/>
        <v>12/2019</v>
      </c>
      <c r="M2070" s="82"/>
      <c r="N2070" s="82"/>
    </row>
    <row r="2071" spans="1:14" x14ac:dyDescent="0.25">
      <c r="A2071" s="170" t="s">
        <v>4931</v>
      </c>
      <c r="B2071" s="170" t="s">
        <v>4932</v>
      </c>
      <c r="C2071" s="170" t="s">
        <v>205</v>
      </c>
      <c r="D2071" s="170" t="s">
        <v>2067</v>
      </c>
      <c r="E2071" s="171" t="s">
        <v>32644</v>
      </c>
      <c r="F2071" s="171" t="s">
        <v>35931</v>
      </c>
      <c r="G2071" s="82"/>
      <c r="H2071" s="96">
        <f t="shared" si="128"/>
        <v>196.39</v>
      </c>
      <c r="I2071" s="96">
        <f t="shared" si="128"/>
        <v>200.88</v>
      </c>
      <c r="J2071" s="91" t="str">
        <f t="shared" si="129"/>
        <v>Sinapi 100708</v>
      </c>
      <c r="K2071" s="91" t="str">
        <f t="shared" si="130"/>
        <v>UN</v>
      </c>
      <c r="L2071" s="166" t="str">
        <f t="shared" si="131"/>
        <v>12/2019</v>
      </c>
      <c r="M2071" s="82"/>
      <c r="N2071" s="82"/>
    </row>
    <row r="2072" spans="1:14" x14ac:dyDescent="0.25">
      <c r="A2072" s="170" t="s">
        <v>4933</v>
      </c>
      <c r="B2072" s="170" t="s">
        <v>4934</v>
      </c>
      <c r="C2072" s="170" t="s">
        <v>205</v>
      </c>
      <c r="D2072" s="170" t="s">
        <v>2067</v>
      </c>
      <c r="E2072" s="171" t="s">
        <v>32645</v>
      </c>
      <c r="F2072" s="171" t="s">
        <v>28706</v>
      </c>
      <c r="G2072" s="82"/>
      <c r="H2072" s="96">
        <f t="shared" si="128"/>
        <v>42.69</v>
      </c>
      <c r="I2072" s="96">
        <f t="shared" si="128"/>
        <v>45.97</v>
      </c>
      <c r="J2072" s="91" t="str">
        <f t="shared" si="129"/>
        <v>Sinapi 100709</v>
      </c>
      <c r="K2072" s="91" t="str">
        <f t="shared" si="130"/>
        <v>UN</v>
      </c>
      <c r="L2072" s="166" t="str">
        <f t="shared" si="131"/>
        <v>12/2019</v>
      </c>
      <c r="M2072" s="82"/>
      <c r="N2072" s="82"/>
    </row>
    <row r="2073" spans="1:14" x14ac:dyDescent="0.25">
      <c r="A2073" s="170" t="s">
        <v>4935</v>
      </c>
      <c r="B2073" s="170" t="s">
        <v>4936</v>
      </c>
      <c r="C2073" s="170" t="s">
        <v>205</v>
      </c>
      <c r="D2073" s="170" t="s">
        <v>2067</v>
      </c>
      <c r="E2073" s="171" t="s">
        <v>28754</v>
      </c>
      <c r="F2073" s="171" t="s">
        <v>28143</v>
      </c>
      <c r="G2073" s="82"/>
      <c r="H2073" s="96">
        <f t="shared" si="128"/>
        <v>110</v>
      </c>
      <c r="I2073" s="96">
        <f t="shared" si="128"/>
        <v>114.38</v>
      </c>
      <c r="J2073" s="91" t="str">
        <f t="shared" si="129"/>
        <v>Sinapi 100710</v>
      </c>
      <c r="K2073" s="91" t="str">
        <f t="shared" si="130"/>
        <v>UN</v>
      </c>
      <c r="L2073" s="166" t="str">
        <f t="shared" si="131"/>
        <v>12/2019</v>
      </c>
      <c r="M2073" s="82"/>
      <c r="N2073" s="82"/>
    </row>
    <row r="2074" spans="1:14" x14ac:dyDescent="0.25">
      <c r="A2074" s="170" t="s">
        <v>12521</v>
      </c>
      <c r="B2074" s="170" t="s">
        <v>12522</v>
      </c>
      <c r="C2074" s="170" t="s">
        <v>870</v>
      </c>
      <c r="D2074" s="170" t="s">
        <v>2067</v>
      </c>
      <c r="E2074" s="171" t="s">
        <v>32646</v>
      </c>
      <c r="F2074" s="171" t="s">
        <v>35932</v>
      </c>
      <c r="G2074" s="82"/>
      <c r="H2074" s="96">
        <f t="shared" si="128"/>
        <v>260.64999999999998</v>
      </c>
      <c r="I2074" s="96">
        <f t="shared" si="128"/>
        <v>263.45</v>
      </c>
      <c r="J2074" s="91" t="str">
        <f t="shared" si="129"/>
        <v>Sinapi 102151</v>
      </c>
      <c r="K2074" s="91" t="str">
        <f t="shared" si="130"/>
        <v>M2</v>
      </c>
      <c r="L2074" s="166" t="str">
        <f t="shared" si="131"/>
        <v>01/2021</v>
      </c>
      <c r="M2074" s="82"/>
      <c r="N2074" s="82"/>
    </row>
    <row r="2075" spans="1:14" x14ac:dyDescent="0.25">
      <c r="A2075" s="170" t="s">
        <v>12523</v>
      </c>
      <c r="B2075" s="170" t="s">
        <v>12524</v>
      </c>
      <c r="C2075" s="170" t="s">
        <v>870</v>
      </c>
      <c r="D2075" s="170" t="s">
        <v>2067</v>
      </c>
      <c r="E2075" s="171" t="s">
        <v>32647</v>
      </c>
      <c r="F2075" s="171" t="s">
        <v>35933</v>
      </c>
      <c r="G2075" s="82"/>
      <c r="H2075" s="96">
        <f t="shared" si="128"/>
        <v>291.89999999999998</v>
      </c>
      <c r="I2075" s="96">
        <f t="shared" si="128"/>
        <v>294.7</v>
      </c>
      <c r="J2075" s="91" t="str">
        <f t="shared" si="129"/>
        <v>Sinapi 102152</v>
      </c>
      <c r="K2075" s="91" t="str">
        <f t="shared" si="130"/>
        <v>M2</v>
      </c>
      <c r="L2075" s="166" t="str">
        <f t="shared" si="131"/>
        <v>01/2021</v>
      </c>
      <c r="M2075" s="82"/>
      <c r="N2075" s="82"/>
    </row>
    <row r="2076" spans="1:14" x14ac:dyDescent="0.25">
      <c r="A2076" s="170" t="s">
        <v>12525</v>
      </c>
      <c r="B2076" s="170" t="s">
        <v>12526</v>
      </c>
      <c r="C2076" s="170" t="s">
        <v>870</v>
      </c>
      <c r="D2076" s="170" t="s">
        <v>2067</v>
      </c>
      <c r="E2076" s="171" t="s">
        <v>32648</v>
      </c>
      <c r="F2076" s="171" t="s">
        <v>35934</v>
      </c>
      <c r="G2076" s="82"/>
      <c r="H2076" s="96">
        <f t="shared" si="128"/>
        <v>375.23</v>
      </c>
      <c r="I2076" s="96">
        <f t="shared" si="128"/>
        <v>378.03</v>
      </c>
      <c r="J2076" s="91" t="str">
        <f t="shared" si="129"/>
        <v>Sinapi 102153</v>
      </c>
      <c r="K2076" s="91" t="str">
        <f t="shared" si="130"/>
        <v>M2</v>
      </c>
      <c r="L2076" s="166" t="str">
        <f t="shared" si="131"/>
        <v>01/2021</v>
      </c>
      <c r="M2076" s="82"/>
      <c r="N2076" s="82"/>
    </row>
    <row r="2077" spans="1:14" x14ac:dyDescent="0.25">
      <c r="A2077" s="170" t="s">
        <v>12527</v>
      </c>
      <c r="B2077" s="170" t="s">
        <v>12528</v>
      </c>
      <c r="C2077" s="170" t="s">
        <v>870</v>
      </c>
      <c r="D2077" s="170" t="s">
        <v>2067</v>
      </c>
      <c r="E2077" s="171" t="s">
        <v>32649</v>
      </c>
      <c r="F2077" s="171" t="s">
        <v>35935</v>
      </c>
      <c r="G2077" s="82"/>
      <c r="H2077" s="96">
        <f t="shared" si="128"/>
        <v>325.39999999999998</v>
      </c>
      <c r="I2077" s="96">
        <f t="shared" si="128"/>
        <v>327.64999999999998</v>
      </c>
      <c r="J2077" s="91" t="str">
        <f t="shared" si="129"/>
        <v>Sinapi 102154</v>
      </c>
      <c r="K2077" s="91" t="str">
        <f t="shared" si="130"/>
        <v>M2</v>
      </c>
      <c r="L2077" s="166" t="str">
        <f t="shared" si="131"/>
        <v>01/2021</v>
      </c>
      <c r="M2077" s="82"/>
      <c r="N2077" s="82"/>
    </row>
    <row r="2078" spans="1:14" x14ac:dyDescent="0.25">
      <c r="A2078" s="170" t="s">
        <v>12529</v>
      </c>
      <c r="B2078" s="170" t="s">
        <v>12530</v>
      </c>
      <c r="C2078" s="170" t="s">
        <v>870</v>
      </c>
      <c r="D2078" s="170" t="s">
        <v>2067</v>
      </c>
      <c r="E2078" s="171" t="s">
        <v>32650</v>
      </c>
      <c r="F2078" s="171" t="s">
        <v>35936</v>
      </c>
      <c r="G2078" s="82"/>
      <c r="H2078" s="96">
        <f t="shared" si="128"/>
        <v>393.57</v>
      </c>
      <c r="I2078" s="96">
        <f t="shared" si="128"/>
        <v>395.82</v>
      </c>
      <c r="J2078" s="91" t="str">
        <f t="shared" si="129"/>
        <v>Sinapi 102155</v>
      </c>
      <c r="K2078" s="91" t="str">
        <f t="shared" si="130"/>
        <v>M2</v>
      </c>
      <c r="L2078" s="166" t="str">
        <f t="shared" si="131"/>
        <v>01/2021</v>
      </c>
      <c r="M2078" s="82"/>
      <c r="N2078" s="82"/>
    </row>
    <row r="2079" spans="1:14" x14ac:dyDescent="0.25">
      <c r="A2079" s="170" t="s">
        <v>12531</v>
      </c>
      <c r="B2079" s="170" t="s">
        <v>12532</v>
      </c>
      <c r="C2079" s="170" t="s">
        <v>870</v>
      </c>
      <c r="D2079" s="170" t="s">
        <v>2067</v>
      </c>
      <c r="E2079" s="171" t="s">
        <v>32651</v>
      </c>
      <c r="F2079" s="171" t="s">
        <v>35937</v>
      </c>
      <c r="G2079" s="82"/>
      <c r="H2079" s="96">
        <f t="shared" si="128"/>
        <v>380.06</v>
      </c>
      <c r="I2079" s="96">
        <f t="shared" si="128"/>
        <v>381.77</v>
      </c>
      <c r="J2079" s="91" t="str">
        <f t="shared" si="129"/>
        <v>Sinapi 102156</v>
      </c>
      <c r="K2079" s="91" t="str">
        <f t="shared" si="130"/>
        <v>M2</v>
      </c>
      <c r="L2079" s="166" t="str">
        <f t="shared" si="131"/>
        <v>01/2021</v>
      </c>
      <c r="M2079" s="82"/>
      <c r="N2079" s="82"/>
    </row>
    <row r="2080" spans="1:14" x14ac:dyDescent="0.25">
      <c r="A2080" s="170" t="s">
        <v>12533</v>
      </c>
      <c r="B2080" s="170" t="s">
        <v>12534</v>
      </c>
      <c r="C2080" s="170" t="s">
        <v>870</v>
      </c>
      <c r="D2080" s="170" t="s">
        <v>2067</v>
      </c>
      <c r="E2080" s="171" t="s">
        <v>32652</v>
      </c>
      <c r="F2080" s="171" t="s">
        <v>35938</v>
      </c>
      <c r="G2080" s="82"/>
      <c r="H2080" s="96">
        <f t="shared" si="128"/>
        <v>525.9</v>
      </c>
      <c r="I2080" s="96">
        <f t="shared" si="128"/>
        <v>527.61</v>
      </c>
      <c r="J2080" s="91" t="str">
        <f t="shared" si="129"/>
        <v>Sinapi 102157</v>
      </c>
      <c r="K2080" s="91" t="str">
        <f t="shared" si="130"/>
        <v>M2</v>
      </c>
      <c r="L2080" s="166" t="str">
        <f t="shared" si="131"/>
        <v>01/2021</v>
      </c>
      <c r="M2080" s="82"/>
      <c r="N2080" s="82"/>
    </row>
    <row r="2081" spans="1:14" x14ac:dyDescent="0.25">
      <c r="A2081" s="170" t="s">
        <v>12535</v>
      </c>
      <c r="B2081" s="170" t="s">
        <v>12536</v>
      </c>
      <c r="C2081" s="170" t="s">
        <v>870</v>
      </c>
      <c r="D2081" s="170" t="s">
        <v>2067</v>
      </c>
      <c r="E2081" s="171" t="s">
        <v>32653</v>
      </c>
      <c r="F2081" s="171" t="s">
        <v>35939</v>
      </c>
      <c r="G2081" s="82"/>
      <c r="H2081" s="96">
        <f t="shared" si="128"/>
        <v>535.89</v>
      </c>
      <c r="I2081" s="96">
        <f t="shared" si="128"/>
        <v>537.16</v>
      </c>
      <c r="J2081" s="91" t="str">
        <f t="shared" si="129"/>
        <v>Sinapi 102158</v>
      </c>
      <c r="K2081" s="91" t="str">
        <f t="shared" si="130"/>
        <v>M2</v>
      </c>
      <c r="L2081" s="166" t="str">
        <f t="shared" si="131"/>
        <v>01/2021</v>
      </c>
      <c r="M2081" s="82"/>
      <c r="N2081" s="82"/>
    </row>
    <row r="2082" spans="1:14" x14ac:dyDescent="0.25">
      <c r="A2082" s="170" t="s">
        <v>12537</v>
      </c>
      <c r="B2082" s="170" t="s">
        <v>12538</v>
      </c>
      <c r="C2082" s="170" t="s">
        <v>870</v>
      </c>
      <c r="D2082" s="170" t="s">
        <v>2067</v>
      </c>
      <c r="E2082" s="171" t="s">
        <v>29363</v>
      </c>
      <c r="F2082" s="171" t="s">
        <v>35940</v>
      </c>
      <c r="G2082" s="82"/>
      <c r="H2082" s="96">
        <f t="shared" si="128"/>
        <v>641.83000000000004</v>
      </c>
      <c r="I2082" s="96">
        <f t="shared" si="128"/>
        <v>642.95000000000005</v>
      </c>
      <c r="J2082" s="91" t="str">
        <f t="shared" si="129"/>
        <v>Sinapi 102159</v>
      </c>
      <c r="K2082" s="91" t="str">
        <f t="shared" si="130"/>
        <v>M2</v>
      </c>
      <c r="L2082" s="166" t="str">
        <f t="shared" si="131"/>
        <v>01/2021</v>
      </c>
      <c r="M2082" s="82"/>
      <c r="N2082" s="82"/>
    </row>
    <row r="2083" spans="1:14" x14ac:dyDescent="0.25">
      <c r="A2083" s="170" t="s">
        <v>12539</v>
      </c>
      <c r="B2083" s="170" t="s">
        <v>12540</v>
      </c>
      <c r="C2083" s="170" t="s">
        <v>870</v>
      </c>
      <c r="D2083" s="170" t="s">
        <v>2067</v>
      </c>
      <c r="E2083" s="171" t="s">
        <v>32654</v>
      </c>
      <c r="F2083" s="171" t="s">
        <v>35941</v>
      </c>
      <c r="G2083" s="82"/>
      <c r="H2083" s="96">
        <f t="shared" si="128"/>
        <v>250.23</v>
      </c>
      <c r="I2083" s="96">
        <f t="shared" si="128"/>
        <v>253.03</v>
      </c>
      <c r="J2083" s="91" t="str">
        <f t="shared" si="129"/>
        <v>Sinapi 102160</v>
      </c>
      <c r="K2083" s="91" t="str">
        <f t="shared" si="130"/>
        <v>M2</v>
      </c>
      <c r="L2083" s="166" t="str">
        <f t="shared" si="131"/>
        <v>01/2021</v>
      </c>
      <c r="M2083" s="82"/>
      <c r="N2083" s="82"/>
    </row>
    <row r="2084" spans="1:14" x14ac:dyDescent="0.25">
      <c r="A2084" s="170" t="s">
        <v>12541</v>
      </c>
      <c r="B2084" s="170" t="s">
        <v>18091</v>
      </c>
      <c r="C2084" s="170" t="s">
        <v>870</v>
      </c>
      <c r="D2084" s="170" t="s">
        <v>2067</v>
      </c>
      <c r="E2084" s="171" t="s">
        <v>32655</v>
      </c>
      <c r="F2084" s="171" t="s">
        <v>35942</v>
      </c>
      <c r="G2084" s="82"/>
      <c r="H2084" s="96">
        <f t="shared" si="128"/>
        <v>429.39</v>
      </c>
      <c r="I2084" s="96">
        <f t="shared" si="128"/>
        <v>432.79</v>
      </c>
      <c r="J2084" s="91" t="str">
        <f t="shared" si="129"/>
        <v>Sinapi 102161</v>
      </c>
      <c r="K2084" s="91" t="str">
        <f t="shared" si="130"/>
        <v>M2</v>
      </c>
      <c r="L2084" s="166" t="str">
        <f t="shared" si="131"/>
        <v>01/2021</v>
      </c>
      <c r="M2084" s="82"/>
      <c r="N2084" s="82"/>
    </row>
    <row r="2085" spans="1:14" x14ac:dyDescent="0.25">
      <c r="A2085" s="170" t="s">
        <v>12542</v>
      </c>
      <c r="B2085" s="170" t="s">
        <v>18092</v>
      </c>
      <c r="C2085" s="170" t="s">
        <v>870</v>
      </c>
      <c r="D2085" s="170" t="s">
        <v>2067</v>
      </c>
      <c r="E2085" s="171" t="s">
        <v>32656</v>
      </c>
      <c r="F2085" s="171" t="s">
        <v>35943</v>
      </c>
      <c r="G2085" s="82"/>
      <c r="H2085" s="96">
        <f t="shared" si="128"/>
        <v>460.64</v>
      </c>
      <c r="I2085" s="96">
        <f t="shared" si="128"/>
        <v>464.04</v>
      </c>
      <c r="J2085" s="91" t="str">
        <f t="shared" si="129"/>
        <v>Sinapi 102162</v>
      </c>
      <c r="K2085" s="91" t="str">
        <f t="shared" si="130"/>
        <v>M2</v>
      </c>
      <c r="L2085" s="166" t="str">
        <f t="shared" si="131"/>
        <v>01/2021</v>
      </c>
      <c r="M2085" s="82"/>
      <c r="N2085" s="82"/>
    </row>
    <row r="2086" spans="1:14" x14ac:dyDescent="0.25">
      <c r="A2086" s="170" t="s">
        <v>12543</v>
      </c>
      <c r="B2086" s="170" t="s">
        <v>18093</v>
      </c>
      <c r="C2086" s="170" t="s">
        <v>870</v>
      </c>
      <c r="D2086" s="170" t="s">
        <v>2067</v>
      </c>
      <c r="E2086" s="171" t="s">
        <v>32657</v>
      </c>
      <c r="F2086" s="171" t="s">
        <v>35944</v>
      </c>
      <c r="G2086" s="82"/>
      <c r="H2086" s="96">
        <f t="shared" si="128"/>
        <v>543.97</v>
      </c>
      <c r="I2086" s="96">
        <f t="shared" si="128"/>
        <v>547.37</v>
      </c>
      <c r="J2086" s="91" t="str">
        <f t="shared" si="129"/>
        <v>Sinapi 102163</v>
      </c>
      <c r="K2086" s="91" t="str">
        <f t="shared" si="130"/>
        <v>M2</v>
      </c>
      <c r="L2086" s="166" t="str">
        <f t="shared" si="131"/>
        <v>01/2021</v>
      </c>
      <c r="M2086" s="82"/>
      <c r="N2086" s="82"/>
    </row>
    <row r="2087" spans="1:14" x14ac:dyDescent="0.25">
      <c r="A2087" s="170" t="s">
        <v>12544</v>
      </c>
      <c r="B2087" s="170" t="s">
        <v>18094</v>
      </c>
      <c r="C2087" s="170" t="s">
        <v>870</v>
      </c>
      <c r="D2087" s="170" t="s">
        <v>2067</v>
      </c>
      <c r="E2087" s="171" t="s">
        <v>32658</v>
      </c>
      <c r="F2087" s="171" t="s">
        <v>35945</v>
      </c>
      <c r="G2087" s="82"/>
      <c r="H2087" s="96">
        <f t="shared" si="128"/>
        <v>463.16</v>
      </c>
      <c r="I2087" s="96">
        <f t="shared" si="128"/>
        <v>465.88</v>
      </c>
      <c r="J2087" s="91" t="str">
        <f t="shared" si="129"/>
        <v>Sinapi 102164</v>
      </c>
      <c r="K2087" s="91" t="str">
        <f t="shared" si="130"/>
        <v>M2</v>
      </c>
      <c r="L2087" s="166" t="str">
        <f t="shared" si="131"/>
        <v>01/2021</v>
      </c>
      <c r="M2087" s="82"/>
      <c r="N2087" s="82"/>
    </row>
    <row r="2088" spans="1:14" x14ac:dyDescent="0.25">
      <c r="A2088" s="170" t="s">
        <v>12545</v>
      </c>
      <c r="B2088" s="170" t="s">
        <v>18095</v>
      </c>
      <c r="C2088" s="170" t="s">
        <v>870</v>
      </c>
      <c r="D2088" s="170" t="s">
        <v>2067</v>
      </c>
      <c r="E2088" s="171" t="s">
        <v>32659</v>
      </c>
      <c r="F2088" s="171" t="s">
        <v>35946</v>
      </c>
      <c r="G2088" s="82"/>
      <c r="H2088" s="96">
        <f t="shared" si="128"/>
        <v>531.33000000000004</v>
      </c>
      <c r="I2088" s="96">
        <f t="shared" si="128"/>
        <v>534.04999999999995</v>
      </c>
      <c r="J2088" s="91" t="str">
        <f t="shared" si="129"/>
        <v>Sinapi 102165</v>
      </c>
      <c r="K2088" s="91" t="str">
        <f t="shared" si="130"/>
        <v>M2</v>
      </c>
      <c r="L2088" s="166" t="str">
        <f t="shared" si="131"/>
        <v>01/2021</v>
      </c>
      <c r="M2088" s="82"/>
      <c r="N2088" s="82"/>
    </row>
    <row r="2089" spans="1:14" x14ac:dyDescent="0.25">
      <c r="A2089" s="170" t="s">
        <v>12546</v>
      </c>
      <c r="B2089" s="170" t="s">
        <v>18096</v>
      </c>
      <c r="C2089" s="170" t="s">
        <v>870</v>
      </c>
      <c r="D2089" s="170" t="s">
        <v>2067</v>
      </c>
      <c r="E2089" s="171" t="s">
        <v>32660</v>
      </c>
      <c r="F2089" s="171" t="s">
        <v>35947</v>
      </c>
      <c r="G2089" s="82"/>
      <c r="H2089" s="96">
        <f t="shared" si="128"/>
        <v>486.74</v>
      </c>
      <c r="I2089" s="96">
        <f t="shared" si="128"/>
        <v>488.82</v>
      </c>
      <c r="J2089" s="91" t="str">
        <f t="shared" si="129"/>
        <v>Sinapi 102166</v>
      </c>
      <c r="K2089" s="91" t="str">
        <f t="shared" si="130"/>
        <v>M2</v>
      </c>
      <c r="L2089" s="166" t="str">
        <f t="shared" si="131"/>
        <v>01/2021</v>
      </c>
      <c r="M2089" s="82"/>
      <c r="N2089" s="82"/>
    </row>
    <row r="2090" spans="1:14" x14ac:dyDescent="0.25">
      <c r="A2090" s="170" t="s">
        <v>12547</v>
      </c>
      <c r="B2090" s="170" t="s">
        <v>18097</v>
      </c>
      <c r="C2090" s="170" t="s">
        <v>870</v>
      </c>
      <c r="D2090" s="170" t="s">
        <v>2067</v>
      </c>
      <c r="E2090" s="171" t="s">
        <v>32661</v>
      </c>
      <c r="F2090" s="171" t="s">
        <v>35948</v>
      </c>
      <c r="G2090" s="82"/>
      <c r="H2090" s="96">
        <f t="shared" si="128"/>
        <v>632.58000000000004</v>
      </c>
      <c r="I2090" s="96">
        <f t="shared" si="128"/>
        <v>634.66</v>
      </c>
      <c r="J2090" s="91" t="str">
        <f t="shared" si="129"/>
        <v>Sinapi 102167</v>
      </c>
      <c r="K2090" s="91" t="str">
        <f t="shared" si="130"/>
        <v>M2</v>
      </c>
      <c r="L2090" s="166" t="str">
        <f t="shared" si="131"/>
        <v>01/2021</v>
      </c>
      <c r="M2090" s="82"/>
      <c r="N2090" s="82"/>
    </row>
    <row r="2091" spans="1:14" x14ac:dyDescent="0.25">
      <c r="A2091" s="170" t="s">
        <v>12548</v>
      </c>
      <c r="B2091" s="170" t="s">
        <v>18098</v>
      </c>
      <c r="C2091" s="170" t="s">
        <v>870</v>
      </c>
      <c r="D2091" s="170" t="s">
        <v>2067</v>
      </c>
      <c r="E2091" s="171" t="s">
        <v>32662</v>
      </c>
      <c r="F2091" s="171" t="s">
        <v>35949</v>
      </c>
      <c r="G2091" s="82"/>
      <c r="H2091" s="96">
        <f t="shared" si="128"/>
        <v>614.96</v>
      </c>
      <c r="I2091" s="96">
        <f t="shared" si="128"/>
        <v>616.5</v>
      </c>
      <c r="J2091" s="91" t="str">
        <f t="shared" si="129"/>
        <v>Sinapi 102168</v>
      </c>
      <c r="K2091" s="91" t="str">
        <f t="shared" si="130"/>
        <v>M2</v>
      </c>
      <c r="L2091" s="166" t="str">
        <f t="shared" si="131"/>
        <v>01/2021</v>
      </c>
      <c r="M2091" s="82"/>
      <c r="N2091" s="82"/>
    </row>
    <row r="2092" spans="1:14" x14ac:dyDescent="0.25">
      <c r="A2092" s="170" t="s">
        <v>12549</v>
      </c>
      <c r="B2092" s="170" t="s">
        <v>18099</v>
      </c>
      <c r="C2092" s="170" t="s">
        <v>870</v>
      </c>
      <c r="D2092" s="170" t="s">
        <v>2067</v>
      </c>
      <c r="E2092" s="171" t="s">
        <v>23203</v>
      </c>
      <c r="F2092" s="171" t="s">
        <v>35950</v>
      </c>
      <c r="G2092" s="82"/>
      <c r="H2092" s="96">
        <f t="shared" si="128"/>
        <v>710.67</v>
      </c>
      <c r="I2092" s="96">
        <f t="shared" si="128"/>
        <v>712.03</v>
      </c>
      <c r="J2092" s="91" t="str">
        <f t="shared" si="129"/>
        <v>Sinapi 102169</v>
      </c>
      <c r="K2092" s="91" t="str">
        <f t="shared" si="130"/>
        <v>M2</v>
      </c>
      <c r="L2092" s="166" t="str">
        <f t="shared" si="131"/>
        <v>01/2021</v>
      </c>
      <c r="M2092" s="82"/>
      <c r="N2092" s="82"/>
    </row>
    <row r="2093" spans="1:14" x14ac:dyDescent="0.25">
      <c r="A2093" s="170" t="s">
        <v>12550</v>
      </c>
      <c r="B2093" s="170" t="s">
        <v>18100</v>
      </c>
      <c r="C2093" s="170" t="s">
        <v>870</v>
      </c>
      <c r="D2093" s="170" t="s">
        <v>2067</v>
      </c>
      <c r="E2093" s="171" t="s">
        <v>32663</v>
      </c>
      <c r="F2093" s="171" t="s">
        <v>35951</v>
      </c>
      <c r="G2093" s="82"/>
      <c r="H2093" s="96">
        <f t="shared" si="128"/>
        <v>418.97</v>
      </c>
      <c r="I2093" s="96">
        <f t="shared" si="128"/>
        <v>422.37</v>
      </c>
      <c r="J2093" s="91" t="str">
        <f t="shared" si="129"/>
        <v>Sinapi 102170</v>
      </c>
      <c r="K2093" s="91" t="str">
        <f t="shared" si="130"/>
        <v>M2</v>
      </c>
      <c r="L2093" s="166" t="str">
        <f t="shared" si="131"/>
        <v>01/2021</v>
      </c>
      <c r="M2093" s="82"/>
      <c r="N2093" s="82"/>
    </row>
    <row r="2094" spans="1:14" x14ac:dyDescent="0.25">
      <c r="A2094" s="170" t="s">
        <v>12551</v>
      </c>
      <c r="B2094" s="170" t="s">
        <v>18101</v>
      </c>
      <c r="C2094" s="170" t="s">
        <v>870</v>
      </c>
      <c r="D2094" s="170" t="s">
        <v>2067</v>
      </c>
      <c r="E2094" s="171" t="s">
        <v>32664</v>
      </c>
      <c r="F2094" s="171" t="s">
        <v>35952</v>
      </c>
      <c r="G2094" s="82"/>
      <c r="H2094" s="96">
        <f t="shared" si="128"/>
        <v>796.5</v>
      </c>
      <c r="I2094" s="96">
        <f t="shared" si="128"/>
        <v>799.22</v>
      </c>
      <c r="J2094" s="91" t="str">
        <f t="shared" si="129"/>
        <v>Sinapi 102171</v>
      </c>
      <c r="K2094" s="91" t="str">
        <f t="shared" si="130"/>
        <v>M2</v>
      </c>
      <c r="L2094" s="166" t="str">
        <f t="shared" si="131"/>
        <v>01/2021</v>
      </c>
      <c r="M2094" s="82"/>
      <c r="N2094" s="82"/>
    </row>
    <row r="2095" spans="1:14" x14ac:dyDescent="0.25">
      <c r="A2095" s="170" t="s">
        <v>12552</v>
      </c>
      <c r="B2095" s="170" t="s">
        <v>18102</v>
      </c>
      <c r="C2095" s="170" t="s">
        <v>870</v>
      </c>
      <c r="D2095" s="170" t="s">
        <v>2067</v>
      </c>
      <c r="E2095" s="171" t="s">
        <v>29465</v>
      </c>
      <c r="F2095" s="171" t="s">
        <v>35953</v>
      </c>
      <c r="G2095" s="82"/>
      <c r="H2095" s="96">
        <f t="shared" si="128"/>
        <v>778.41</v>
      </c>
      <c r="I2095" s="96">
        <f t="shared" si="128"/>
        <v>780.49</v>
      </c>
      <c r="J2095" s="91" t="str">
        <f t="shared" si="129"/>
        <v>Sinapi 102172</v>
      </c>
      <c r="K2095" s="91" t="str">
        <f t="shared" si="130"/>
        <v>M2</v>
      </c>
      <c r="L2095" s="166" t="str">
        <f t="shared" si="131"/>
        <v>01/2021</v>
      </c>
      <c r="M2095" s="82"/>
      <c r="N2095" s="82"/>
    </row>
    <row r="2096" spans="1:14" x14ac:dyDescent="0.25">
      <c r="A2096" s="170" t="s">
        <v>12553</v>
      </c>
      <c r="B2096" s="170" t="s">
        <v>18103</v>
      </c>
      <c r="C2096" s="170" t="s">
        <v>870</v>
      </c>
      <c r="D2096" s="170" t="s">
        <v>1947</v>
      </c>
      <c r="E2096" s="171" t="s">
        <v>32665</v>
      </c>
      <c r="F2096" s="171" t="s">
        <v>35954</v>
      </c>
      <c r="G2096" s="82"/>
      <c r="H2096" s="96">
        <f t="shared" si="128"/>
        <v>1385</v>
      </c>
      <c r="I2096" s="96">
        <f t="shared" si="128"/>
        <v>1392.23</v>
      </c>
      <c r="J2096" s="91" t="str">
        <f t="shared" si="129"/>
        <v>Sinapi 102176</v>
      </c>
      <c r="K2096" s="91" t="str">
        <f t="shared" si="130"/>
        <v>M2</v>
      </c>
      <c r="L2096" s="166" t="str">
        <f t="shared" si="131"/>
        <v>01/2021</v>
      </c>
      <c r="M2096" s="82"/>
      <c r="N2096" s="82"/>
    </row>
    <row r="2097" spans="1:14" x14ac:dyDescent="0.25">
      <c r="A2097" s="170" t="s">
        <v>12554</v>
      </c>
      <c r="B2097" s="170" t="s">
        <v>18104</v>
      </c>
      <c r="C2097" s="170" t="s">
        <v>870</v>
      </c>
      <c r="D2097" s="170" t="s">
        <v>1947</v>
      </c>
      <c r="E2097" s="171" t="s">
        <v>32666</v>
      </c>
      <c r="F2097" s="171" t="s">
        <v>35955</v>
      </c>
      <c r="G2097" s="82"/>
      <c r="H2097" s="96">
        <f t="shared" si="128"/>
        <v>2874.72</v>
      </c>
      <c r="I2097" s="96">
        <f t="shared" si="128"/>
        <v>2881.29</v>
      </c>
      <c r="J2097" s="91" t="str">
        <f t="shared" si="129"/>
        <v>Sinapi 102177</v>
      </c>
      <c r="K2097" s="91" t="str">
        <f t="shared" si="130"/>
        <v>M2</v>
      </c>
      <c r="L2097" s="166" t="str">
        <f t="shared" si="131"/>
        <v>01/2021</v>
      </c>
      <c r="M2097" s="82"/>
      <c r="N2097" s="82"/>
    </row>
    <row r="2098" spans="1:14" x14ac:dyDescent="0.25">
      <c r="A2098" s="170" t="s">
        <v>12555</v>
      </c>
      <c r="B2098" s="170" t="s">
        <v>18105</v>
      </c>
      <c r="C2098" s="170" t="s">
        <v>870</v>
      </c>
      <c r="D2098" s="170" t="s">
        <v>1947</v>
      </c>
      <c r="E2098" s="171" t="s">
        <v>32667</v>
      </c>
      <c r="F2098" s="171" t="s">
        <v>35956</v>
      </c>
      <c r="G2098" s="82"/>
      <c r="H2098" s="96">
        <f t="shared" si="128"/>
        <v>3316.46</v>
      </c>
      <c r="I2098" s="96">
        <f t="shared" si="128"/>
        <v>3322.48</v>
      </c>
      <c r="J2098" s="91" t="str">
        <f t="shared" si="129"/>
        <v>Sinapi 102178</v>
      </c>
      <c r="K2098" s="91" t="str">
        <f t="shared" si="130"/>
        <v>M2</v>
      </c>
      <c r="L2098" s="166" t="str">
        <f t="shared" si="131"/>
        <v>01/2021</v>
      </c>
      <c r="M2098" s="82"/>
      <c r="N2098" s="82"/>
    </row>
    <row r="2099" spans="1:14" x14ac:dyDescent="0.25">
      <c r="A2099" s="170" t="s">
        <v>12556</v>
      </c>
      <c r="B2099" s="170" t="s">
        <v>18106</v>
      </c>
      <c r="C2099" s="170" t="s">
        <v>870</v>
      </c>
      <c r="D2099" s="170" t="s">
        <v>1947</v>
      </c>
      <c r="E2099" s="171" t="s">
        <v>32668</v>
      </c>
      <c r="F2099" s="171" t="s">
        <v>35957</v>
      </c>
      <c r="G2099" s="82"/>
      <c r="H2099" s="96">
        <f t="shared" si="128"/>
        <v>496.74</v>
      </c>
      <c r="I2099" s="96">
        <f t="shared" si="128"/>
        <v>503.62</v>
      </c>
      <c r="J2099" s="91" t="str">
        <f t="shared" si="129"/>
        <v>Sinapi 102179</v>
      </c>
      <c r="K2099" s="91" t="str">
        <f t="shared" si="130"/>
        <v>M2</v>
      </c>
      <c r="L2099" s="166" t="str">
        <f t="shared" si="131"/>
        <v>01/2021</v>
      </c>
      <c r="M2099" s="82"/>
      <c r="N2099" s="82"/>
    </row>
    <row r="2100" spans="1:14" x14ac:dyDescent="0.25">
      <c r="A2100" s="170" t="s">
        <v>12557</v>
      </c>
      <c r="B2100" s="170" t="s">
        <v>18107</v>
      </c>
      <c r="C2100" s="170" t="s">
        <v>870</v>
      </c>
      <c r="D2100" s="170" t="s">
        <v>1947</v>
      </c>
      <c r="E2100" s="171" t="s">
        <v>32669</v>
      </c>
      <c r="F2100" s="171" t="s">
        <v>35958</v>
      </c>
      <c r="G2100" s="82"/>
      <c r="H2100" s="96">
        <f t="shared" si="128"/>
        <v>598.96</v>
      </c>
      <c r="I2100" s="96">
        <f t="shared" si="128"/>
        <v>605.51</v>
      </c>
      <c r="J2100" s="91" t="str">
        <f t="shared" si="129"/>
        <v>Sinapi 102180</v>
      </c>
      <c r="K2100" s="91" t="str">
        <f t="shared" si="130"/>
        <v>M2</v>
      </c>
      <c r="L2100" s="166" t="str">
        <f t="shared" si="131"/>
        <v>01/2021</v>
      </c>
      <c r="M2100" s="82"/>
      <c r="N2100" s="82"/>
    </row>
    <row r="2101" spans="1:14" x14ac:dyDescent="0.25">
      <c r="A2101" s="170" t="s">
        <v>12558</v>
      </c>
      <c r="B2101" s="170" t="s">
        <v>18108</v>
      </c>
      <c r="C2101" s="170" t="s">
        <v>870</v>
      </c>
      <c r="D2101" s="170" t="s">
        <v>1947</v>
      </c>
      <c r="E2101" s="171" t="s">
        <v>32670</v>
      </c>
      <c r="F2101" s="171" t="s">
        <v>35959</v>
      </c>
      <c r="G2101" s="82"/>
      <c r="H2101" s="96">
        <f t="shared" si="128"/>
        <v>733.75</v>
      </c>
      <c r="I2101" s="96">
        <f t="shared" si="128"/>
        <v>739.9</v>
      </c>
      <c r="J2101" s="91" t="str">
        <f t="shared" si="129"/>
        <v>Sinapi 102181</v>
      </c>
      <c r="K2101" s="91" t="str">
        <f t="shared" si="130"/>
        <v>M2</v>
      </c>
      <c r="L2101" s="166" t="str">
        <f t="shared" si="131"/>
        <v>01/2021</v>
      </c>
      <c r="M2101" s="82"/>
      <c r="N2101" s="82"/>
    </row>
    <row r="2102" spans="1:14" x14ac:dyDescent="0.25">
      <c r="A2102" s="170" t="s">
        <v>12559</v>
      </c>
      <c r="B2102" s="170" t="s">
        <v>12560</v>
      </c>
      <c r="C2102" s="170" t="s">
        <v>205</v>
      </c>
      <c r="D2102" s="170" t="s">
        <v>2067</v>
      </c>
      <c r="E2102" s="171" t="s">
        <v>32671</v>
      </c>
      <c r="F2102" s="171" t="s">
        <v>35960</v>
      </c>
      <c r="G2102" s="82"/>
      <c r="H2102" s="96">
        <f t="shared" si="128"/>
        <v>1499.78</v>
      </c>
      <c r="I2102" s="96">
        <f t="shared" si="128"/>
        <v>1508.12</v>
      </c>
      <c r="J2102" s="91" t="str">
        <f t="shared" si="129"/>
        <v>Sinapi 102182</v>
      </c>
      <c r="K2102" s="91" t="str">
        <f t="shared" si="130"/>
        <v>UN</v>
      </c>
      <c r="L2102" s="166" t="str">
        <f t="shared" si="131"/>
        <v>01/2021</v>
      </c>
      <c r="M2102" s="82"/>
      <c r="N2102" s="82"/>
    </row>
    <row r="2103" spans="1:14" x14ac:dyDescent="0.25">
      <c r="A2103" s="170" t="s">
        <v>12561</v>
      </c>
      <c r="B2103" s="170" t="s">
        <v>12562</v>
      </c>
      <c r="C2103" s="170" t="s">
        <v>205</v>
      </c>
      <c r="D2103" s="170" t="s">
        <v>2067</v>
      </c>
      <c r="E2103" s="171" t="s">
        <v>32672</v>
      </c>
      <c r="F2103" s="171" t="s">
        <v>35961</v>
      </c>
      <c r="G2103" s="82"/>
      <c r="H2103" s="96">
        <f t="shared" si="128"/>
        <v>3009.96</v>
      </c>
      <c r="I2103" s="96">
        <f t="shared" si="128"/>
        <v>3027.74</v>
      </c>
      <c r="J2103" s="91" t="str">
        <f t="shared" si="129"/>
        <v>Sinapi 102183</v>
      </c>
      <c r="K2103" s="91" t="str">
        <f t="shared" si="130"/>
        <v>UN</v>
      </c>
      <c r="L2103" s="166" t="str">
        <f t="shared" si="131"/>
        <v>01/2021</v>
      </c>
      <c r="M2103" s="82"/>
      <c r="N2103" s="82"/>
    </row>
    <row r="2104" spans="1:14" x14ac:dyDescent="0.25">
      <c r="A2104" s="170" t="s">
        <v>12563</v>
      </c>
      <c r="B2104" s="170" t="s">
        <v>12564</v>
      </c>
      <c r="C2104" s="170" t="s">
        <v>205</v>
      </c>
      <c r="D2104" s="170" t="s">
        <v>2067</v>
      </c>
      <c r="E2104" s="171" t="s">
        <v>32673</v>
      </c>
      <c r="F2104" s="171" t="s">
        <v>35962</v>
      </c>
      <c r="G2104" s="82"/>
      <c r="H2104" s="96">
        <f t="shared" si="128"/>
        <v>2297.46</v>
      </c>
      <c r="I2104" s="96">
        <f t="shared" si="128"/>
        <v>2311.5700000000002</v>
      </c>
      <c r="J2104" s="91" t="str">
        <f t="shared" si="129"/>
        <v>Sinapi 102184</v>
      </c>
      <c r="K2104" s="91" t="str">
        <f t="shared" si="130"/>
        <v>UN</v>
      </c>
      <c r="L2104" s="166" t="str">
        <f t="shared" si="131"/>
        <v>01/2021</v>
      </c>
      <c r="M2104" s="82"/>
      <c r="N2104" s="82"/>
    </row>
    <row r="2105" spans="1:14" x14ac:dyDescent="0.25">
      <c r="A2105" s="170" t="s">
        <v>12565</v>
      </c>
      <c r="B2105" s="170" t="s">
        <v>12566</v>
      </c>
      <c r="C2105" s="170" t="s">
        <v>205</v>
      </c>
      <c r="D2105" s="170" t="s">
        <v>2067</v>
      </c>
      <c r="E2105" s="171" t="s">
        <v>32674</v>
      </c>
      <c r="F2105" s="171" t="s">
        <v>35963</v>
      </c>
      <c r="G2105" s="82"/>
      <c r="H2105" s="96">
        <f t="shared" si="128"/>
        <v>4605.03</v>
      </c>
      <c r="I2105" s="96">
        <f t="shared" si="128"/>
        <v>4634.3500000000004</v>
      </c>
      <c r="J2105" s="91" t="str">
        <f t="shared" si="129"/>
        <v>Sinapi 102185</v>
      </c>
      <c r="K2105" s="91" t="str">
        <f t="shared" si="130"/>
        <v>UN</v>
      </c>
      <c r="L2105" s="166" t="str">
        <f t="shared" si="131"/>
        <v>01/2021</v>
      </c>
      <c r="M2105" s="82"/>
      <c r="N2105" s="82"/>
    </row>
    <row r="2106" spans="1:14" x14ac:dyDescent="0.25">
      <c r="A2106" s="170" t="s">
        <v>12567</v>
      </c>
      <c r="B2106" s="170" t="s">
        <v>12568</v>
      </c>
      <c r="C2106" s="170" t="s">
        <v>870</v>
      </c>
      <c r="D2106" s="170" t="s">
        <v>2067</v>
      </c>
      <c r="E2106" s="171" t="s">
        <v>6169</v>
      </c>
      <c r="F2106" s="171" t="s">
        <v>19874</v>
      </c>
      <c r="G2106" s="82"/>
      <c r="H2106" s="96">
        <f t="shared" si="128"/>
        <v>15.95</v>
      </c>
      <c r="I2106" s="96">
        <f t="shared" si="128"/>
        <v>17.690000000000001</v>
      </c>
      <c r="J2106" s="91" t="str">
        <f t="shared" si="129"/>
        <v>Sinapi 102190</v>
      </c>
      <c r="K2106" s="91" t="str">
        <f t="shared" si="130"/>
        <v>M2</v>
      </c>
      <c r="L2106" s="166" t="str">
        <f t="shared" si="131"/>
        <v>01/2021</v>
      </c>
      <c r="M2106" s="82"/>
      <c r="N2106" s="82"/>
    </row>
    <row r="2107" spans="1:14" x14ac:dyDescent="0.25">
      <c r="A2107" s="170" t="s">
        <v>12569</v>
      </c>
      <c r="B2107" s="170" t="s">
        <v>12570</v>
      </c>
      <c r="C2107" s="170" t="s">
        <v>870</v>
      </c>
      <c r="D2107" s="170" t="s">
        <v>2067</v>
      </c>
      <c r="E2107" s="171" t="s">
        <v>32675</v>
      </c>
      <c r="F2107" s="171" t="s">
        <v>30329</v>
      </c>
      <c r="G2107" s="82"/>
      <c r="H2107" s="96">
        <f t="shared" si="128"/>
        <v>19.38</v>
      </c>
      <c r="I2107" s="96">
        <f t="shared" si="128"/>
        <v>21.5</v>
      </c>
      <c r="J2107" s="91" t="str">
        <f t="shared" si="129"/>
        <v>Sinapi 102191</v>
      </c>
      <c r="K2107" s="91" t="str">
        <f t="shared" si="130"/>
        <v>M2</v>
      </c>
      <c r="L2107" s="166" t="str">
        <f t="shared" si="131"/>
        <v>01/2021</v>
      </c>
      <c r="M2107" s="82"/>
      <c r="N2107" s="82"/>
    </row>
    <row r="2108" spans="1:14" x14ac:dyDescent="0.25">
      <c r="A2108" s="170" t="s">
        <v>12571</v>
      </c>
      <c r="B2108" s="170" t="s">
        <v>12572</v>
      </c>
      <c r="C2108" s="170" t="s">
        <v>870</v>
      </c>
      <c r="D2108" s="170" t="s">
        <v>2067</v>
      </c>
      <c r="E2108" s="171" t="s">
        <v>21023</v>
      </c>
      <c r="F2108" s="171" t="s">
        <v>12334</v>
      </c>
      <c r="G2108" s="82"/>
      <c r="H2108" s="96">
        <f t="shared" si="128"/>
        <v>13.83</v>
      </c>
      <c r="I2108" s="96">
        <f t="shared" si="128"/>
        <v>15.34</v>
      </c>
      <c r="J2108" s="91" t="str">
        <f t="shared" si="129"/>
        <v>Sinapi 102192</v>
      </c>
      <c r="K2108" s="91" t="str">
        <f t="shared" si="130"/>
        <v>M2</v>
      </c>
      <c r="L2108" s="166" t="str">
        <f t="shared" si="131"/>
        <v>01/2021</v>
      </c>
      <c r="M2108" s="82"/>
      <c r="N2108" s="82"/>
    </row>
    <row r="2109" spans="1:14" x14ac:dyDescent="0.25">
      <c r="A2109" s="170" t="s">
        <v>4937</v>
      </c>
      <c r="B2109" s="170" t="s">
        <v>4938</v>
      </c>
      <c r="C2109" s="170" t="s">
        <v>870</v>
      </c>
      <c r="D2109" s="170" t="s">
        <v>1947</v>
      </c>
      <c r="E2109" s="171" t="s">
        <v>32676</v>
      </c>
      <c r="F2109" s="171" t="s">
        <v>35964</v>
      </c>
      <c r="G2109" s="82"/>
      <c r="H2109" s="96">
        <f t="shared" si="128"/>
        <v>606.05999999999995</v>
      </c>
      <c r="I2109" s="96">
        <f t="shared" si="128"/>
        <v>612.52</v>
      </c>
      <c r="J2109" s="91" t="str">
        <f t="shared" si="129"/>
        <v>Sinapi 94569</v>
      </c>
      <c r="K2109" s="91" t="str">
        <f t="shared" si="130"/>
        <v>M2</v>
      </c>
      <c r="L2109" s="166" t="str">
        <f t="shared" si="131"/>
        <v>12/2019</v>
      </c>
      <c r="M2109" s="82"/>
      <c r="N2109" s="82"/>
    </row>
    <row r="2110" spans="1:14" x14ac:dyDescent="0.25">
      <c r="A2110" s="170" t="s">
        <v>4939</v>
      </c>
      <c r="B2110" s="170" t="s">
        <v>4940</v>
      </c>
      <c r="C2110" s="170" t="s">
        <v>870</v>
      </c>
      <c r="D2110" s="170" t="s">
        <v>1947</v>
      </c>
      <c r="E2110" s="171" t="s">
        <v>32677</v>
      </c>
      <c r="F2110" s="171" t="s">
        <v>35965</v>
      </c>
      <c r="G2110" s="82"/>
      <c r="H2110" s="96">
        <f t="shared" si="128"/>
        <v>313.27</v>
      </c>
      <c r="I2110" s="96">
        <f t="shared" si="128"/>
        <v>315.24</v>
      </c>
      <c r="J2110" s="91" t="str">
        <f t="shared" si="129"/>
        <v>Sinapi 94570</v>
      </c>
      <c r="K2110" s="91" t="str">
        <f t="shared" si="130"/>
        <v>M2</v>
      </c>
      <c r="L2110" s="166" t="str">
        <f t="shared" si="131"/>
        <v>12/2019</v>
      </c>
      <c r="M2110" s="82"/>
      <c r="N2110" s="82"/>
    </row>
    <row r="2111" spans="1:14" x14ac:dyDescent="0.25">
      <c r="A2111" s="170" t="s">
        <v>4941</v>
      </c>
      <c r="B2111" s="170" t="s">
        <v>4942</v>
      </c>
      <c r="C2111" s="170" t="s">
        <v>870</v>
      </c>
      <c r="D2111" s="170" t="s">
        <v>1947</v>
      </c>
      <c r="E2111" s="171" t="s">
        <v>32678</v>
      </c>
      <c r="F2111" s="171" t="s">
        <v>35966</v>
      </c>
      <c r="G2111" s="82"/>
      <c r="H2111" s="96">
        <f t="shared" si="128"/>
        <v>444.23</v>
      </c>
      <c r="I2111" s="96">
        <f t="shared" si="128"/>
        <v>446.86</v>
      </c>
      <c r="J2111" s="91" t="str">
        <f t="shared" si="129"/>
        <v>Sinapi 94572</v>
      </c>
      <c r="K2111" s="91" t="str">
        <f t="shared" si="130"/>
        <v>M2</v>
      </c>
      <c r="L2111" s="166" t="str">
        <f t="shared" si="131"/>
        <v>12/2019</v>
      </c>
      <c r="M2111" s="82"/>
      <c r="N2111" s="82"/>
    </row>
    <row r="2112" spans="1:14" x14ac:dyDescent="0.25">
      <c r="A2112" s="170" t="s">
        <v>4943</v>
      </c>
      <c r="B2112" s="170" t="s">
        <v>4944</v>
      </c>
      <c r="C2112" s="170" t="s">
        <v>870</v>
      </c>
      <c r="D2112" s="170" t="s">
        <v>1947</v>
      </c>
      <c r="E2112" s="171" t="s">
        <v>32679</v>
      </c>
      <c r="F2112" s="171" t="s">
        <v>35967</v>
      </c>
      <c r="G2112" s="82"/>
      <c r="H2112" s="96">
        <f t="shared" si="128"/>
        <v>361.97</v>
      </c>
      <c r="I2112" s="96">
        <f t="shared" si="128"/>
        <v>365.6</v>
      </c>
      <c r="J2112" s="91" t="str">
        <f t="shared" si="129"/>
        <v>Sinapi 94573</v>
      </c>
      <c r="K2112" s="91" t="str">
        <f t="shared" si="130"/>
        <v>M2</v>
      </c>
      <c r="L2112" s="166" t="str">
        <f t="shared" si="131"/>
        <v>12/2019</v>
      </c>
      <c r="M2112" s="82"/>
      <c r="N2112" s="82"/>
    </row>
    <row r="2113" spans="1:14" x14ac:dyDescent="0.25">
      <c r="A2113" s="170" t="s">
        <v>4945</v>
      </c>
      <c r="B2113" s="170" t="s">
        <v>4946</v>
      </c>
      <c r="C2113" s="170" t="s">
        <v>870</v>
      </c>
      <c r="D2113" s="170" t="s">
        <v>1947</v>
      </c>
      <c r="E2113" s="171" t="s">
        <v>32680</v>
      </c>
      <c r="F2113" s="171" t="s">
        <v>35968</v>
      </c>
      <c r="G2113" s="82"/>
      <c r="H2113" s="96">
        <f t="shared" si="128"/>
        <v>494.2</v>
      </c>
      <c r="I2113" s="96">
        <f t="shared" si="128"/>
        <v>498.44</v>
      </c>
      <c r="J2113" s="91" t="str">
        <f t="shared" si="129"/>
        <v>Sinapi 94580</v>
      </c>
      <c r="K2113" s="91" t="str">
        <f t="shared" si="130"/>
        <v>M2</v>
      </c>
      <c r="L2113" s="166" t="str">
        <f t="shared" si="131"/>
        <v>12/2019</v>
      </c>
      <c r="M2113" s="82"/>
      <c r="N2113" s="82"/>
    </row>
    <row r="2114" spans="1:14" x14ac:dyDescent="0.25">
      <c r="A2114" s="170" t="s">
        <v>14643</v>
      </c>
      <c r="B2114" s="170" t="s">
        <v>14644</v>
      </c>
      <c r="C2114" s="170" t="s">
        <v>385</v>
      </c>
      <c r="D2114" s="170" t="s">
        <v>1947</v>
      </c>
      <c r="E2114" s="171" t="s">
        <v>17706</v>
      </c>
      <c r="F2114" s="171" t="s">
        <v>24765</v>
      </c>
      <c r="G2114" s="82"/>
      <c r="H2114" s="96">
        <f t="shared" si="128"/>
        <v>19.68</v>
      </c>
      <c r="I2114" s="96">
        <f t="shared" si="128"/>
        <v>21.03</v>
      </c>
      <c r="J2114" s="91" t="str">
        <f t="shared" si="129"/>
        <v>Sinapi 94589</v>
      </c>
      <c r="K2114" s="91" t="str">
        <f t="shared" si="130"/>
        <v>M</v>
      </c>
      <c r="L2114" s="166" t="str">
        <f t="shared" si="131"/>
        <v>12/2019</v>
      </c>
      <c r="M2114" s="82"/>
      <c r="N2114" s="82"/>
    </row>
    <row r="2115" spans="1:14" x14ac:dyDescent="0.25">
      <c r="A2115" s="170" t="s">
        <v>14645</v>
      </c>
      <c r="B2115" s="170" t="s">
        <v>14646</v>
      </c>
      <c r="C2115" s="170" t="s">
        <v>385</v>
      </c>
      <c r="D2115" s="170" t="s">
        <v>1947</v>
      </c>
      <c r="E2115" s="171" t="s">
        <v>18593</v>
      </c>
      <c r="F2115" s="171" t="s">
        <v>19939</v>
      </c>
      <c r="G2115" s="82"/>
      <c r="H2115" s="96">
        <f t="shared" si="128"/>
        <v>17.43</v>
      </c>
      <c r="I2115" s="96">
        <f t="shared" si="128"/>
        <v>18</v>
      </c>
      <c r="J2115" s="91" t="str">
        <f t="shared" si="129"/>
        <v>Sinapi 94590</v>
      </c>
      <c r="K2115" s="91" t="str">
        <f t="shared" si="130"/>
        <v>M</v>
      </c>
      <c r="L2115" s="166" t="str">
        <f t="shared" si="131"/>
        <v>12/2019</v>
      </c>
      <c r="M2115" s="82"/>
      <c r="N2115" s="82"/>
    </row>
    <row r="2116" spans="1:14" x14ac:dyDescent="0.25">
      <c r="A2116" s="170" t="s">
        <v>4947</v>
      </c>
      <c r="B2116" s="170" t="s">
        <v>4948</v>
      </c>
      <c r="C2116" s="170" t="s">
        <v>870</v>
      </c>
      <c r="D2116" s="170" t="s">
        <v>1947</v>
      </c>
      <c r="E2116" s="171" t="s">
        <v>32681</v>
      </c>
      <c r="F2116" s="171" t="s">
        <v>35969</v>
      </c>
      <c r="G2116" s="82"/>
      <c r="H2116" s="96">
        <f t="shared" si="128"/>
        <v>645.6</v>
      </c>
      <c r="I2116" s="96">
        <f t="shared" si="128"/>
        <v>648.33000000000004</v>
      </c>
      <c r="J2116" s="91" t="str">
        <f t="shared" si="129"/>
        <v>Sinapi 100674</v>
      </c>
      <c r="K2116" s="91" t="str">
        <f t="shared" si="130"/>
        <v>M2</v>
      </c>
      <c r="L2116" s="166" t="str">
        <f t="shared" si="131"/>
        <v>12/2019</v>
      </c>
      <c r="M2116" s="82"/>
      <c r="N2116" s="82"/>
    </row>
    <row r="2117" spans="1:14" x14ac:dyDescent="0.25">
      <c r="A2117" s="170" t="s">
        <v>4949</v>
      </c>
      <c r="B2117" s="170" t="s">
        <v>21132</v>
      </c>
      <c r="C2117" s="170" t="s">
        <v>85</v>
      </c>
      <c r="D2117" s="170" t="s">
        <v>1947</v>
      </c>
      <c r="E2117" s="171" t="s">
        <v>32682</v>
      </c>
      <c r="F2117" s="171" t="s">
        <v>35970</v>
      </c>
      <c r="G2117" s="82"/>
      <c r="H2117" s="96">
        <f t="shared" si="128"/>
        <v>1553.75</v>
      </c>
      <c r="I2117" s="96">
        <f t="shared" si="128"/>
        <v>1624.26</v>
      </c>
      <c r="J2117" s="91" t="str">
        <f t="shared" si="129"/>
        <v>Sinapi 101096</v>
      </c>
      <c r="K2117" s="91" t="str">
        <f t="shared" si="130"/>
        <v>M3</v>
      </c>
      <c r="L2117" s="166" t="str">
        <f t="shared" si="131"/>
        <v>05/2020</v>
      </c>
      <c r="M2117" s="82"/>
      <c r="N2117" s="82"/>
    </row>
    <row r="2118" spans="1:14" x14ac:dyDescent="0.25">
      <c r="A2118" s="170" t="s">
        <v>4950</v>
      </c>
      <c r="B2118" s="170" t="s">
        <v>21133</v>
      </c>
      <c r="C2118" s="170" t="s">
        <v>85</v>
      </c>
      <c r="D2118" s="170" t="s">
        <v>1947</v>
      </c>
      <c r="E2118" s="171" t="s">
        <v>32683</v>
      </c>
      <c r="F2118" s="171" t="s">
        <v>35971</v>
      </c>
      <c r="G2118" s="82"/>
      <c r="H2118" s="96">
        <f t="shared" si="128"/>
        <v>1488.13</v>
      </c>
      <c r="I2118" s="96">
        <f t="shared" si="128"/>
        <v>1551.04</v>
      </c>
      <c r="J2118" s="91" t="str">
        <f t="shared" si="129"/>
        <v>Sinapi 101097</v>
      </c>
      <c r="K2118" s="91" t="str">
        <f t="shared" si="130"/>
        <v>M3</v>
      </c>
      <c r="L2118" s="166" t="str">
        <f t="shared" si="131"/>
        <v>05/2020</v>
      </c>
      <c r="M2118" s="82"/>
      <c r="N2118" s="82"/>
    </row>
    <row r="2119" spans="1:14" x14ac:dyDescent="0.25">
      <c r="A2119" s="170" t="s">
        <v>4951</v>
      </c>
      <c r="B2119" s="170" t="s">
        <v>21134</v>
      </c>
      <c r="C2119" s="170" t="s">
        <v>85</v>
      </c>
      <c r="D2119" s="170" t="s">
        <v>1947</v>
      </c>
      <c r="E2119" s="171" t="s">
        <v>32684</v>
      </c>
      <c r="F2119" s="171" t="s">
        <v>35972</v>
      </c>
      <c r="G2119" s="82"/>
      <c r="H2119" s="96">
        <f t="shared" si="128"/>
        <v>1406.52</v>
      </c>
      <c r="I2119" s="96">
        <f t="shared" si="128"/>
        <v>1458.76</v>
      </c>
      <c r="J2119" s="91" t="str">
        <f t="shared" si="129"/>
        <v>Sinapi 101098</v>
      </c>
      <c r="K2119" s="91" t="str">
        <f t="shared" si="130"/>
        <v>M3</v>
      </c>
      <c r="L2119" s="166" t="str">
        <f t="shared" si="131"/>
        <v>05/2020</v>
      </c>
      <c r="M2119" s="82"/>
      <c r="N2119" s="82"/>
    </row>
    <row r="2120" spans="1:14" x14ac:dyDescent="0.25">
      <c r="A2120" s="170" t="s">
        <v>4952</v>
      </c>
      <c r="B2120" s="170" t="s">
        <v>21135</v>
      </c>
      <c r="C2120" s="170" t="s">
        <v>85</v>
      </c>
      <c r="D2120" s="170" t="s">
        <v>1947</v>
      </c>
      <c r="E2120" s="171" t="s">
        <v>32685</v>
      </c>
      <c r="F2120" s="171" t="s">
        <v>35973</v>
      </c>
      <c r="G2120" s="82"/>
      <c r="H2120" s="96">
        <f t="shared" ref="H2120:I2183" si="132">IF(E2120="","",E2120+0)</f>
        <v>1305.08</v>
      </c>
      <c r="I2120" s="96">
        <f t="shared" si="132"/>
        <v>1350.35</v>
      </c>
      <c r="J2120" s="91" t="str">
        <f t="shared" ref="J2120:J2183" si="133">IF(OR(H2120="",I2120=""),"",TRIM(CONCATENATE("Sinapi ",A2120)))</f>
        <v>Sinapi 101099</v>
      </c>
      <c r="K2120" s="91" t="str">
        <f t="shared" ref="K2120:K2183" si="134">TRIM(C2120)</f>
        <v>M3</v>
      </c>
      <c r="L2120" s="166" t="str">
        <f t="shared" ref="L2120:L2183" si="135">IF(OR(RIGHT(IF(AND(K2120&lt;&gt;"H",K2120&lt;&gt;"MES"),RIGHT(B2120,7),""),2)="PS",RIGHT(IF(AND(K2120&lt;&gt;"H",K2120&lt;&gt;"MES"),RIGHT(B2120,7),""),2)="PA",RIGHT(IF(AND(K2120&lt;&gt;"H",K2120&lt;&gt;"MES"),RIGHT(B2120,7),""),2)="PE"),LEFT(IF(AND(K2120&lt;&gt;"H",K2120&lt;&gt;"MES"),RIGHT(B2120,10),""),7),IF(AND(K2120&lt;&gt;"H",K2120&lt;&gt;"MES"),RIGHT(B2120,7),""))</f>
        <v>05/2020</v>
      </c>
      <c r="M2120" s="82"/>
      <c r="N2120" s="82"/>
    </row>
    <row r="2121" spans="1:14" x14ac:dyDescent="0.25">
      <c r="A2121" s="170" t="s">
        <v>4953</v>
      </c>
      <c r="B2121" s="170" t="s">
        <v>21136</v>
      </c>
      <c r="C2121" s="170" t="s">
        <v>85</v>
      </c>
      <c r="D2121" s="170" t="s">
        <v>1947</v>
      </c>
      <c r="E2121" s="171" t="s">
        <v>32686</v>
      </c>
      <c r="F2121" s="171" t="s">
        <v>35974</v>
      </c>
      <c r="G2121" s="82"/>
      <c r="H2121" s="96">
        <f t="shared" si="132"/>
        <v>1266.6300000000001</v>
      </c>
      <c r="I2121" s="96">
        <f t="shared" si="132"/>
        <v>1287</v>
      </c>
      <c r="J2121" s="91" t="str">
        <f t="shared" si="133"/>
        <v>Sinapi 101100</v>
      </c>
      <c r="K2121" s="91" t="str">
        <f t="shared" si="134"/>
        <v>M3</v>
      </c>
      <c r="L2121" s="166" t="str">
        <f t="shared" si="135"/>
        <v>05/2020</v>
      </c>
      <c r="M2121" s="82"/>
      <c r="N2121" s="82"/>
    </row>
    <row r="2122" spans="1:14" x14ac:dyDescent="0.25">
      <c r="A2122" s="170" t="s">
        <v>4954</v>
      </c>
      <c r="B2122" s="170" t="s">
        <v>21137</v>
      </c>
      <c r="C2122" s="170" t="s">
        <v>85</v>
      </c>
      <c r="D2122" s="170" t="s">
        <v>1947</v>
      </c>
      <c r="E2122" s="171" t="s">
        <v>32687</v>
      </c>
      <c r="F2122" s="171" t="s">
        <v>35975</v>
      </c>
      <c r="G2122" s="82"/>
      <c r="H2122" s="96">
        <f t="shared" si="132"/>
        <v>1241.3499999999999</v>
      </c>
      <c r="I2122" s="96">
        <f t="shared" si="132"/>
        <v>1260.67</v>
      </c>
      <c r="J2122" s="91" t="str">
        <f t="shared" si="133"/>
        <v>Sinapi 101101</v>
      </c>
      <c r="K2122" s="91" t="str">
        <f t="shared" si="134"/>
        <v>M3</v>
      </c>
      <c r="L2122" s="166" t="str">
        <f t="shared" si="135"/>
        <v>05/2020</v>
      </c>
      <c r="M2122" s="82"/>
      <c r="N2122" s="82"/>
    </row>
    <row r="2123" spans="1:14" x14ac:dyDescent="0.25">
      <c r="A2123" s="170" t="s">
        <v>4955</v>
      </c>
      <c r="B2123" s="170" t="s">
        <v>21138</v>
      </c>
      <c r="C2123" s="170" t="s">
        <v>85</v>
      </c>
      <c r="D2123" s="170" t="s">
        <v>1947</v>
      </c>
      <c r="E2123" s="171" t="s">
        <v>32688</v>
      </c>
      <c r="F2123" s="171" t="s">
        <v>35976</v>
      </c>
      <c r="G2123" s="82"/>
      <c r="H2123" s="96">
        <f t="shared" si="132"/>
        <v>1215.49</v>
      </c>
      <c r="I2123" s="96">
        <f t="shared" si="132"/>
        <v>1233.06</v>
      </c>
      <c r="J2123" s="91" t="str">
        <f t="shared" si="133"/>
        <v>Sinapi 101102</v>
      </c>
      <c r="K2123" s="91" t="str">
        <f t="shared" si="134"/>
        <v>M3</v>
      </c>
      <c r="L2123" s="166" t="str">
        <f t="shared" si="135"/>
        <v>05/2020</v>
      </c>
      <c r="M2123" s="82"/>
      <c r="N2123" s="82"/>
    </row>
    <row r="2124" spans="1:14" x14ac:dyDescent="0.25">
      <c r="A2124" s="170" t="s">
        <v>4956</v>
      </c>
      <c r="B2124" s="170" t="s">
        <v>21139</v>
      </c>
      <c r="C2124" s="170" t="s">
        <v>85</v>
      </c>
      <c r="D2124" s="170" t="s">
        <v>1947</v>
      </c>
      <c r="E2124" s="171" t="s">
        <v>32689</v>
      </c>
      <c r="F2124" s="171" t="s">
        <v>35977</v>
      </c>
      <c r="G2124" s="82"/>
      <c r="H2124" s="96">
        <f t="shared" si="132"/>
        <v>1150.26</v>
      </c>
      <c r="I2124" s="96">
        <f t="shared" si="132"/>
        <v>1166.6500000000001</v>
      </c>
      <c r="J2124" s="91" t="str">
        <f t="shared" si="133"/>
        <v>Sinapi 101103</v>
      </c>
      <c r="K2124" s="91" t="str">
        <f t="shared" si="134"/>
        <v>M3</v>
      </c>
      <c r="L2124" s="166" t="str">
        <f t="shared" si="135"/>
        <v>05/2020</v>
      </c>
      <c r="M2124" s="82"/>
      <c r="N2124" s="82"/>
    </row>
    <row r="2125" spans="1:14" x14ac:dyDescent="0.25">
      <c r="A2125" s="170" t="s">
        <v>4957</v>
      </c>
      <c r="B2125" s="170" t="s">
        <v>21140</v>
      </c>
      <c r="C2125" s="170" t="s">
        <v>85</v>
      </c>
      <c r="D2125" s="170" t="s">
        <v>1947</v>
      </c>
      <c r="E2125" s="171" t="s">
        <v>32690</v>
      </c>
      <c r="F2125" s="171" t="s">
        <v>35978</v>
      </c>
      <c r="G2125" s="82"/>
      <c r="H2125" s="96">
        <f t="shared" si="132"/>
        <v>2061.7800000000002</v>
      </c>
      <c r="I2125" s="96">
        <f t="shared" si="132"/>
        <v>2120.9899999999998</v>
      </c>
      <c r="J2125" s="91" t="str">
        <f t="shared" si="133"/>
        <v>Sinapi 101104</v>
      </c>
      <c r="K2125" s="91" t="str">
        <f t="shared" si="134"/>
        <v>M3</v>
      </c>
      <c r="L2125" s="166" t="str">
        <f t="shared" si="135"/>
        <v>05/2020</v>
      </c>
      <c r="M2125" s="82"/>
      <c r="N2125" s="82"/>
    </row>
    <row r="2126" spans="1:14" x14ac:dyDescent="0.25">
      <c r="A2126" s="170" t="s">
        <v>4958</v>
      </c>
      <c r="B2126" s="170" t="s">
        <v>21141</v>
      </c>
      <c r="C2126" s="170" t="s">
        <v>85</v>
      </c>
      <c r="D2126" s="170" t="s">
        <v>1947</v>
      </c>
      <c r="E2126" s="171" t="s">
        <v>32691</v>
      </c>
      <c r="F2126" s="171" t="s">
        <v>35979</v>
      </c>
      <c r="G2126" s="82"/>
      <c r="H2126" s="96">
        <f t="shared" si="132"/>
        <v>1987.98</v>
      </c>
      <c r="I2126" s="96">
        <f t="shared" si="132"/>
        <v>2039.8</v>
      </c>
      <c r="J2126" s="91" t="str">
        <f t="shared" si="133"/>
        <v>Sinapi 101105</v>
      </c>
      <c r="K2126" s="91" t="str">
        <f t="shared" si="134"/>
        <v>M3</v>
      </c>
      <c r="L2126" s="166" t="str">
        <f t="shared" si="135"/>
        <v>05/2020</v>
      </c>
      <c r="M2126" s="82"/>
      <c r="N2126" s="82"/>
    </row>
    <row r="2127" spans="1:14" x14ac:dyDescent="0.25">
      <c r="A2127" s="170" t="s">
        <v>4959</v>
      </c>
      <c r="B2127" s="170" t="s">
        <v>21142</v>
      </c>
      <c r="C2127" s="170" t="s">
        <v>85</v>
      </c>
      <c r="D2127" s="170" t="s">
        <v>1947</v>
      </c>
      <c r="E2127" s="171" t="s">
        <v>32692</v>
      </c>
      <c r="F2127" s="171" t="s">
        <v>35980</v>
      </c>
      <c r="G2127" s="82"/>
      <c r="H2127" s="96">
        <f t="shared" si="132"/>
        <v>1894.52</v>
      </c>
      <c r="I2127" s="96">
        <f t="shared" si="132"/>
        <v>1936.01</v>
      </c>
      <c r="J2127" s="91" t="str">
        <f t="shared" si="133"/>
        <v>Sinapi 101106</v>
      </c>
      <c r="K2127" s="91" t="str">
        <f t="shared" si="134"/>
        <v>M3</v>
      </c>
      <c r="L2127" s="166" t="str">
        <f t="shared" si="135"/>
        <v>05/2020</v>
      </c>
      <c r="M2127" s="82"/>
      <c r="N2127" s="82"/>
    </row>
    <row r="2128" spans="1:14" x14ac:dyDescent="0.25">
      <c r="A2128" s="170" t="s">
        <v>4960</v>
      </c>
      <c r="B2128" s="170" t="s">
        <v>21143</v>
      </c>
      <c r="C2128" s="170" t="s">
        <v>85</v>
      </c>
      <c r="D2128" s="170" t="s">
        <v>1947</v>
      </c>
      <c r="E2128" s="171" t="s">
        <v>32693</v>
      </c>
      <c r="F2128" s="171" t="s">
        <v>35981</v>
      </c>
      <c r="G2128" s="82"/>
      <c r="H2128" s="96">
        <f t="shared" si="132"/>
        <v>1776.76</v>
      </c>
      <c r="I2128" s="96">
        <f t="shared" si="132"/>
        <v>1811.69</v>
      </c>
      <c r="J2128" s="91" t="str">
        <f t="shared" si="133"/>
        <v>Sinapi 101107</v>
      </c>
      <c r="K2128" s="91" t="str">
        <f t="shared" si="134"/>
        <v>M3</v>
      </c>
      <c r="L2128" s="166" t="str">
        <f t="shared" si="135"/>
        <v>05/2020</v>
      </c>
      <c r="M2128" s="82"/>
      <c r="N2128" s="82"/>
    </row>
    <row r="2129" spans="1:14" x14ac:dyDescent="0.25">
      <c r="A2129" s="170" t="s">
        <v>4961</v>
      </c>
      <c r="B2129" s="170" t="s">
        <v>21144</v>
      </c>
      <c r="C2129" s="170" t="s">
        <v>85</v>
      </c>
      <c r="D2129" s="170" t="s">
        <v>1947</v>
      </c>
      <c r="E2129" s="171" t="s">
        <v>32694</v>
      </c>
      <c r="F2129" s="171" t="s">
        <v>35982</v>
      </c>
      <c r="G2129" s="82"/>
      <c r="H2129" s="96">
        <f t="shared" si="132"/>
        <v>1769.59</v>
      </c>
      <c r="I2129" s="96">
        <f t="shared" si="132"/>
        <v>1777.87</v>
      </c>
      <c r="J2129" s="91" t="str">
        <f t="shared" si="133"/>
        <v>Sinapi 101108</v>
      </c>
      <c r="K2129" s="91" t="str">
        <f t="shared" si="134"/>
        <v>M3</v>
      </c>
      <c r="L2129" s="166" t="str">
        <f t="shared" si="135"/>
        <v>05/2020</v>
      </c>
      <c r="M2129" s="82"/>
      <c r="N2129" s="82"/>
    </row>
    <row r="2130" spans="1:14" x14ac:dyDescent="0.25">
      <c r="A2130" s="170" t="s">
        <v>4962</v>
      </c>
      <c r="B2130" s="170" t="s">
        <v>21145</v>
      </c>
      <c r="C2130" s="170" t="s">
        <v>85</v>
      </c>
      <c r="D2130" s="170" t="s">
        <v>1947</v>
      </c>
      <c r="E2130" s="171" t="s">
        <v>32695</v>
      </c>
      <c r="F2130" s="171" t="s">
        <v>35983</v>
      </c>
      <c r="G2130" s="82"/>
      <c r="H2130" s="96">
        <f t="shared" si="132"/>
        <v>1736.38</v>
      </c>
      <c r="I2130" s="96">
        <f t="shared" si="132"/>
        <v>1743.88</v>
      </c>
      <c r="J2130" s="91" t="str">
        <f t="shared" si="133"/>
        <v>Sinapi 101109</v>
      </c>
      <c r="K2130" s="91" t="str">
        <f t="shared" si="134"/>
        <v>M3</v>
      </c>
      <c r="L2130" s="166" t="str">
        <f t="shared" si="135"/>
        <v>05/2020</v>
      </c>
      <c r="M2130" s="82"/>
      <c r="N2130" s="82"/>
    </row>
    <row r="2131" spans="1:14" x14ac:dyDescent="0.25">
      <c r="A2131" s="170" t="s">
        <v>4963</v>
      </c>
      <c r="B2131" s="170" t="s">
        <v>21146</v>
      </c>
      <c r="C2131" s="170" t="s">
        <v>85</v>
      </c>
      <c r="D2131" s="170" t="s">
        <v>1947</v>
      </c>
      <c r="E2131" s="171" t="s">
        <v>32696</v>
      </c>
      <c r="F2131" s="171" t="s">
        <v>35984</v>
      </c>
      <c r="G2131" s="82"/>
      <c r="H2131" s="96">
        <f t="shared" si="132"/>
        <v>1699.26</v>
      </c>
      <c r="I2131" s="96">
        <f t="shared" si="132"/>
        <v>1705.42</v>
      </c>
      <c r="J2131" s="91" t="str">
        <f t="shared" si="133"/>
        <v>Sinapi 101110</v>
      </c>
      <c r="K2131" s="91" t="str">
        <f t="shared" si="134"/>
        <v>M3</v>
      </c>
      <c r="L2131" s="166" t="str">
        <f t="shared" si="135"/>
        <v>05/2020</v>
      </c>
      <c r="M2131" s="82"/>
      <c r="N2131" s="82"/>
    </row>
    <row r="2132" spans="1:14" x14ac:dyDescent="0.25">
      <c r="A2132" s="170" t="s">
        <v>4964</v>
      </c>
      <c r="B2132" s="170" t="s">
        <v>21147</v>
      </c>
      <c r="C2132" s="170" t="s">
        <v>85</v>
      </c>
      <c r="D2132" s="170" t="s">
        <v>1947</v>
      </c>
      <c r="E2132" s="171" t="s">
        <v>32697</v>
      </c>
      <c r="F2132" s="171" t="s">
        <v>35985</v>
      </c>
      <c r="G2132" s="82"/>
      <c r="H2132" s="96">
        <f t="shared" si="132"/>
        <v>1618.29</v>
      </c>
      <c r="I2132" s="96">
        <f t="shared" si="132"/>
        <v>1623.78</v>
      </c>
      <c r="J2132" s="91" t="str">
        <f t="shared" si="133"/>
        <v>Sinapi 101111</v>
      </c>
      <c r="K2132" s="91" t="str">
        <f t="shared" si="134"/>
        <v>M3</v>
      </c>
      <c r="L2132" s="166" t="str">
        <f t="shared" si="135"/>
        <v>05/2020</v>
      </c>
      <c r="M2132" s="82"/>
      <c r="N2132" s="82"/>
    </row>
    <row r="2133" spans="1:14" x14ac:dyDescent="0.25">
      <c r="A2133" s="170" t="s">
        <v>4965</v>
      </c>
      <c r="B2133" s="170" t="s">
        <v>4966</v>
      </c>
      <c r="C2133" s="170" t="s">
        <v>85</v>
      </c>
      <c r="D2133" s="170" t="s">
        <v>1947</v>
      </c>
      <c r="E2133" s="171" t="s">
        <v>32698</v>
      </c>
      <c r="F2133" s="171" t="s">
        <v>35986</v>
      </c>
      <c r="G2133" s="82"/>
      <c r="H2133" s="96">
        <f t="shared" si="132"/>
        <v>1191.08</v>
      </c>
      <c r="I2133" s="96">
        <f t="shared" si="132"/>
        <v>1232.82</v>
      </c>
      <c r="J2133" s="91" t="str">
        <f t="shared" si="133"/>
        <v>Sinapi 101112</v>
      </c>
      <c r="K2133" s="91" t="str">
        <f t="shared" si="134"/>
        <v>M3</v>
      </c>
      <c r="L2133" s="166" t="str">
        <f t="shared" si="135"/>
        <v>05/2020</v>
      </c>
      <c r="M2133" s="82"/>
      <c r="N2133" s="82"/>
    </row>
    <row r="2134" spans="1:14" x14ac:dyDescent="0.25">
      <c r="A2134" s="170" t="s">
        <v>4967</v>
      </c>
      <c r="B2134" s="170" t="s">
        <v>21148</v>
      </c>
      <c r="C2134" s="170" t="s">
        <v>85</v>
      </c>
      <c r="D2134" s="170" t="s">
        <v>1947</v>
      </c>
      <c r="E2134" s="171" t="s">
        <v>32699</v>
      </c>
      <c r="F2134" s="171" t="s">
        <v>35987</v>
      </c>
      <c r="G2134" s="82"/>
      <c r="H2134" s="96">
        <f t="shared" si="132"/>
        <v>1711.37</v>
      </c>
      <c r="I2134" s="96">
        <f t="shared" si="132"/>
        <v>1742.07</v>
      </c>
      <c r="J2134" s="91" t="str">
        <f t="shared" si="133"/>
        <v>Sinapi 101113</v>
      </c>
      <c r="K2134" s="91" t="str">
        <f t="shared" si="134"/>
        <v>M3</v>
      </c>
      <c r="L2134" s="166" t="str">
        <f t="shared" si="135"/>
        <v>05/2020</v>
      </c>
      <c r="M2134" s="82"/>
      <c r="N2134" s="82"/>
    </row>
    <row r="2135" spans="1:14" x14ac:dyDescent="0.25">
      <c r="A2135" s="170" t="s">
        <v>4968</v>
      </c>
      <c r="B2135" s="170" t="s">
        <v>13586</v>
      </c>
      <c r="C2135" s="170" t="s">
        <v>205</v>
      </c>
      <c r="D2135" s="170" t="s">
        <v>1947</v>
      </c>
      <c r="E2135" s="171" t="s">
        <v>12582</v>
      </c>
      <c r="F2135" s="171" t="s">
        <v>19924</v>
      </c>
      <c r="G2135" s="82"/>
      <c r="H2135" s="96">
        <f t="shared" si="132"/>
        <v>14.66</v>
      </c>
      <c r="I2135" s="96">
        <f t="shared" si="132"/>
        <v>16.22</v>
      </c>
      <c r="J2135" s="91" t="str">
        <f t="shared" si="133"/>
        <v>Sinapi 95601</v>
      </c>
      <c r="K2135" s="91" t="str">
        <f t="shared" si="134"/>
        <v>UN</v>
      </c>
      <c r="L2135" s="166" t="str">
        <f t="shared" si="135"/>
        <v>05/2021</v>
      </c>
      <c r="M2135" s="82"/>
      <c r="N2135" s="82"/>
    </row>
    <row r="2136" spans="1:14" x14ac:dyDescent="0.25">
      <c r="A2136" s="170" t="s">
        <v>4970</v>
      </c>
      <c r="B2136" s="170" t="s">
        <v>13587</v>
      </c>
      <c r="C2136" s="170" t="s">
        <v>205</v>
      </c>
      <c r="D2136" s="170" t="s">
        <v>1947</v>
      </c>
      <c r="E2136" s="171" t="s">
        <v>20485</v>
      </c>
      <c r="F2136" s="171" t="s">
        <v>29263</v>
      </c>
      <c r="G2136" s="82"/>
      <c r="H2136" s="96">
        <f t="shared" si="132"/>
        <v>23.46</v>
      </c>
      <c r="I2136" s="96">
        <f t="shared" si="132"/>
        <v>25.95</v>
      </c>
      <c r="J2136" s="91" t="str">
        <f t="shared" si="133"/>
        <v>Sinapi 95602</v>
      </c>
      <c r="K2136" s="91" t="str">
        <f t="shared" si="134"/>
        <v>UN</v>
      </c>
      <c r="L2136" s="166" t="str">
        <f t="shared" si="135"/>
        <v>05/2021</v>
      </c>
      <c r="M2136" s="82"/>
      <c r="N2136" s="82"/>
    </row>
    <row r="2137" spans="1:14" x14ac:dyDescent="0.25">
      <c r="A2137" s="170" t="s">
        <v>4971</v>
      </c>
      <c r="B2137" s="170" t="s">
        <v>13588</v>
      </c>
      <c r="C2137" s="170" t="s">
        <v>205</v>
      </c>
      <c r="D2137" s="170" t="s">
        <v>1947</v>
      </c>
      <c r="E2137" s="171" t="s">
        <v>32700</v>
      </c>
      <c r="F2137" s="171" t="s">
        <v>32034</v>
      </c>
      <c r="G2137" s="82"/>
      <c r="H2137" s="96">
        <f t="shared" si="132"/>
        <v>40.04</v>
      </c>
      <c r="I2137" s="96">
        <f t="shared" si="132"/>
        <v>44.28</v>
      </c>
      <c r="J2137" s="91" t="str">
        <f t="shared" si="133"/>
        <v>Sinapi 95603</v>
      </c>
      <c r="K2137" s="91" t="str">
        <f t="shared" si="134"/>
        <v>UN</v>
      </c>
      <c r="L2137" s="166" t="str">
        <f t="shared" si="135"/>
        <v>05/2021</v>
      </c>
      <c r="M2137" s="82"/>
      <c r="N2137" s="82"/>
    </row>
    <row r="2138" spans="1:14" x14ac:dyDescent="0.25">
      <c r="A2138" s="170" t="s">
        <v>4972</v>
      </c>
      <c r="B2138" s="170" t="s">
        <v>13589</v>
      </c>
      <c r="C2138" s="170" t="s">
        <v>205</v>
      </c>
      <c r="D2138" s="170" t="s">
        <v>1947</v>
      </c>
      <c r="E2138" s="171" t="s">
        <v>28306</v>
      </c>
      <c r="F2138" s="171" t="s">
        <v>35988</v>
      </c>
      <c r="G2138" s="82"/>
      <c r="H2138" s="96">
        <f t="shared" si="132"/>
        <v>62.13</v>
      </c>
      <c r="I2138" s="96">
        <f t="shared" si="132"/>
        <v>68.72</v>
      </c>
      <c r="J2138" s="91" t="str">
        <f t="shared" si="133"/>
        <v>Sinapi 95604</v>
      </c>
      <c r="K2138" s="91" t="str">
        <f t="shared" si="134"/>
        <v>UN</v>
      </c>
      <c r="L2138" s="166" t="str">
        <f t="shared" si="135"/>
        <v>05/2021</v>
      </c>
      <c r="M2138" s="82"/>
      <c r="N2138" s="82"/>
    </row>
    <row r="2139" spans="1:14" x14ac:dyDescent="0.25">
      <c r="A2139" s="170" t="s">
        <v>4973</v>
      </c>
      <c r="B2139" s="170" t="s">
        <v>13590</v>
      </c>
      <c r="C2139" s="170" t="s">
        <v>205</v>
      </c>
      <c r="D2139" s="170" t="s">
        <v>1947</v>
      </c>
      <c r="E2139" s="171" t="s">
        <v>32701</v>
      </c>
      <c r="F2139" s="171" t="s">
        <v>35989</v>
      </c>
      <c r="G2139" s="82"/>
      <c r="H2139" s="96">
        <f t="shared" si="132"/>
        <v>114.08</v>
      </c>
      <c r="I2139" s="96">
        <f t="shared" si="132"/>
        <v>126.2</v>
      </c>
      <c r="J2139" s="91" t="str">
        <f t="shared" si="133"/>
        <v>Sinapi 95605</v>
      </c>
      <c r="K2139" s="91" t="str">
        <f t="shared" si="134"/>
        <v>UN</v>
      </c>
      <c r="L2139" s="166" t="str">
        <f t="shared" si="135"/>
        <v>05/2021</v>
      </c>
      <c r="M2139" s="82"/>
      <c r="N2139" s="82"/>
    </row>
    <row r="2140" spans="1:14" x14ac:dyDescent="0.25">
      <c r="A2140" s="170" t="s">
        <v>4974</v>
      </c>
      <c r="B2140" s="170" t="s">
        <v>13591</v>
      </c>
      <c r="C2140" s="170" t="s">
        <v>205</v>
      </c>
      <c r="D2140" s="170" t="s">
        <v>1947</v>
      </c>
      <c r="E2140" s="171" t="s">
        <v>29698</v>
      </c>
      <c r="F2140" s="171" t="s">
        <v>34529</v>
      </c>
      <c r="G2140" s="82"/>
      <c r="H2140" s="96">
        <f t="shared" si="132"/>
        <v>19.420000000000002</v>
      </c>
      <c r="I2140" s="96">
        <f t="shared" si="132"/>
        <v>20.57</v>
      </c>
      <c r="J2140" s="91" t="str">
        <f t="shared" si="133"/>
        <v>Sinapi 95607</v>
      </c>
      <c r="K2140" s="91" t="str">
        <f t="shared" si="134"/>
        <v>UN</v>
      </c>
      <c r="L2140" s="166" t="str">
        <f t="shared" si="135"/>
        <v>05/2021</v>
      </c>
      <c r="M2140" s="82"/>
      <c r="N2140" s="82"/>
    </row>
    <row r="2141" spans="1:14" x14ac:dyDescent="0.25">
      <c r="A2141" s="170" t="s">
        <v>4975</v>
      </c>
      <c r="B2141" s="170" t="s">
        <v>13592</v>
      </c>
      <c r="C2141" s="170" t="s">
        <v>205</v>
      </c>
      <c r="D2141" s="170" t="s">
        <v>1947</v>
      </c>
      <c r="E2141" s="171" t="s">
        <v>16307</v>
      </c>
      <c r="F2141" s="171" t="s">
        <v>20655</v>
      </c>
      <c r="G2141" s="82"/>
      <c r="H2141" s="96">
        <f t="shared" si="132"/>
        <v>28.18</v>
      </c>
      <c r="I2141" s="96">
        <f t="shared" si="132"/>
        <v>29.84</v>
      </c>
      <c r="J2141" s="91" t="str">
        <f t="shared" si="133"/>
        <v>Sinapi 95608</v>
      </c>
      <c r="K2141" s="91" t="str">
        <f t="shared" si="134"/>
        <v>UN</v>
      </c>
      <c r="L2141" s="166" t="str">
        <f t="shared" si="135"/>
        <v>05/2021</v>
      </c>
      <c r="M2141" s="82"/>
      <c r="N2141" s="82"/>
    </row>
    <row r="2142" spans="1:14" x14ac:dyDescent="0.25">
      <c r="A2142" s="170" t="s">
        <v>4976</v>
      </c>
      <c r="B2142" s="170" t="s">
        <v>13593</v>
      </c>
      <c r="C2142" s="170" t="s">
        <v>205</v>
      </c>
      <c r="D2142" s="170" t="s">
        <v>1947</v>
      </c>
      <c r="E2142" s="171" t="s">
        <v>23299</v>
      </c>
      <c r="F2142" s="171" t="s">
        <v>23692</v>
      </c>
      <c r="G2142" s="82"/>
      <c r="H2142" s="96">
        <f t="shared" si="132"/>
        <v>35.74</v>
      </c>
      <c r="I2142" s="96">
        <f t="shared" si="132"/>
        <v>37.840000000000003</v>
      </c>
      <c r="J2142" s="91" t="str">
        <f t="shared" si="133"/>
        <v>Sinapi 95609</v>
      </c>
      <c r="K2142" s="91" t="str">
        <f t="shared" si="134"/>
        <v>UN</v>
      </c>
      <c r="L2142" s="166" t="str">
        <f t="shared" si="135"/>
        <v>05/2021</v>
      </c>
      <c r="M2142" s="82"/>
      <c r="N2142" s="82"/>
    </row>
    <row r="2143" spans="1:14" x14ac:dyDescent="0.25">
      <c r="A2143" s="170" t="s">
        <v>4977</v>
      </c>
      <c r="B2143" s="170" t="s">
        <v>21815</v>
      </c>
      <c r="C2143" s="170" t="s">
        <v>385</v>
      </c>
      <c r="D2143" s="170" t="s">
        <v>1947</v>
      </c>
      <c r="E2143" s="171" t="s">
        <v>32702</v>
      </c>
      <c r="F2143" s="171" t="s">
        <v>35990</v>
      </c>
      <c r="G2143" s="82"/>
      <c r="H2143" s="96">
        <f t="shared" si="132"/>
        <v>226.83</v>
      </c>
      <c r="I2143" s="96">
        <f t="shared" si="132"/>
        <v>228.39</v>
      </c>
      <c r="J2143" s="91" t="str">
        <f t="shared" si="133"/>
        <v>Sinapi 100651</v>
      </c>
      <c r="K2143" s="91" t="str">
        <f t="shared" si="134"/>
        <v>M</v>
      </c>
      <c r="L2143" s="166" t="str">
        <f t="shared" si="135"/>
        <v>12/2019</v>
      </c>
      <c r="M2143" s="82"/>
      <c r="N2143" s="82"/>
    </row>
    <row r="2144" spans="1:14" x14ac:dyDescent="0.25">
      <c r="A2144" s="170" t="s">
        <v>4978</v>
      </c>
      <c r="B2144" s="170" t="s">
        <v>21816</v>
      </c>
      <c r="C2144" s="170" t="s">
        <v>385</v>
      </c>
      <c r="D2144" s="170" t="s">
        <v>1947</v>
      </c>
      <c r="E2144" s="171" t="s">
        <v>32703</v>
      </c>
      <c r="F2144" s="171" t="s">
        <v>35991</v>
      </c>
      <c r="G2144" s="82"/>
      <c r="H2144" s="96">
        <f t="shared" si="132"/>
        <v>479.86</v>
      </c>
      <c r="I2144" s="96">
        <f t="shared" si="132"/>
        <v>481.92</v>
      </c>
      <c r="J2144" s="91" t="str">
        <f t="shared" si="133"/>
        <v>Sinapi 100652</v>
      </c>
      <c r="K2144" s="91" t="str">
        <f t="shared" si="134"/>
        <v>M</v>
      </c>
      <c r="L2144" s="166" t="str">
        <f t="shared" si="135"/>
        <v>12/2019</v>
      </c>
      <c r="M2144" s="82"/>
      <c r="N2144" s="82"/>
    </row>
    <row r="2145" spans="1:14" x14ac:dyDescent="0.25">
      <c r="A2145" s="170" t="s">
        <v>4979</v>
      </c>
      <c r="B2145" s="170" t="s">
        <v>21817</v>
      </c>
      <c r="C2145" s="170" t="s">
        <v>385</v>
      </c>
      <c r="D2145" s="170" t="s">
        <v>1947</v>
      </c>
      <c r="E2145" s="171" t="s">
        <v>32704</v>
      </c>
      <c r="F2145" s="171" t="s">
        <v>35992</v>
      </c>
      <c r="G2145" s="82"/>
      <c r="H2145" s="96">
        <f t="shared" si="132"/>
        <v>833.67</v>
      </c>
      <c r="I2145" s="96">
        <f t="shared" si="132"/>
        <v>836.26</v>
      </c>
      <c r="J2145" s="91" t="str">
        <f t="shared" si="133"/>
        <v>Sinapi 100653</v>
      </c>
      <c r="K2145" s="91" t="str">
        <f t="shared" si="134"/>
        <v>M</v>
      </c>
      <c r="L2145" s="166" t="str">
        <f t="shared" si="135"/>
        <v>12/2019</v>
      </c>
      <c r="M2145" s="82"/>
      <c r="N2145" s="82"/>
    </row>
    <row r="2146" spans="1:14" x14ac:dyDescent="0.25">
      <c r="A2146" s="170" t="s">
        <v>4980</v>
      </c>
      <c r="B2146" s="170" t="s">
        <v>21818</v>
      </c>
      <c r="C2146" s="170" t="s">
        <v>385</v>
      </c>
      <c r="D2146" s="170" t="s">
        <v>1947</v>
      </c>
      <c r="E2146" s="171" t="s">
        <v>32705</v>
      </c>
      <c r="F2146" s="171" t="s">
        <v>35993</v>
      </c>
      <c r="G2146" s="82"/>
      <c r="H2146" s="96">
        <f t="shared" si="132"/>
        <v>1100.3699999999999</v>
      </c>
      <c r="I2146" s="96">
        <f t="shared" si="132"/>
        <v>1103.27</v>
      </c>
      <c r="J2146" s="91" t="str">
        <f t="shared" si="133"/>
        <v>Sinapi 100654</v>
      </c>
      <c r="K2146" s="91" t="str">
        <f t="shared" si="134"/>
        <v>M</v>
      </c>
      <c r="L2146" s="166" t="str">
        <f t="shared" si="135"/>
        <v>12/2019</v>
      </c>
      <c r="M2146" s="82"/>
      <c r="N2146" s="82"/>
    </row>
    <row r="2147" spans="1:14" x14ac:dyDescent="0.25">
      <c r="A2147" s="170" t="s">
        <v>4981</v>
      </c>
      <c r="B2147" s="170" t="s">
        <v>21819</v>
      </c>
      <c r="C2147" s="170" t="s">
        <v>385</v>
      </c>
      <c r="D2147" s="170" t="s">
        <v>1947</v>
      </c>
      <c r="E2147" s="171" t="s">
        <v>32706</v>
      </c>
      <c r="F2147" s="171" t="s">
        <v>35994</v>
      </c>
      <c r="G2147" s="82"/>
      <c r="H2147" s="96">
        <f t="shared" si="132"/>
        <v>1304.05</v>
      </c>
      <c r="I2147" s="96">
        <f t="shared" si="132"/>
        <v>1306.54</v>
      </c>
      <c r="J2147" s="91" t="str">
        <f t="shared" si="133"/>
        <v>Sinapi 100655</v>
      </c>
      <c r="K2147" s="91" t="str">
        <f t="shared" si="134"/>
        <v>M</v>
      </c>
      <c r="L2147" s="166" t="str">
        <f t="shared" si="135"/>
        <v>12/2019</v>
      </c>
      <c r="M2147" s="82"/>
      <c r="N2147" s="82"/>
    </row>
    <row r="2148" spans="1:14" x14ac:dyDescent="0.25">
      <c r="A2148" s="170" t="s">
        <v>4982</v>
      </c>
      <c r="B2148" s="170" t="s">
        <v>4983</v>
      </c>
      <c r="C2148" s="170" t="s">
        <v>385</v>
      </c>
      <c r="D2148" s="170" t="s">
        <v>1947</v>
      </c>
      <c r="E2148" s="171" t="s">
        <v>32707</v>
      </c>
      <c r="F2148" s="171" t="s">
        <v>35995</v>
      </c>
      <c r="G2148" s="82"/>
      <c r="H2148" s="96">
        <f t="shared" si="132"/>
        <v>115.3</v>
      </c>
      <c r="I2148" s="96">
        <f t="shared" si="132"/>
        <v>116.95</v>
      </c>
      <c r="J2148" s="91" t="str">
        <f t="shared" si="133"/>
        <v>Sinapi 100656</v>
      </c>
      <c r="K2148" s="91" t="str">
        <f t="shared" si="134"/>
        <v>M</v>
      </c>
      <c r="L2148" s="166" t="str">
        <f t="shared" si="135"/>
        <v>12/2019</v>
      </c>
      <c r="M2148" s="82"/>
      <c r="N2148" s="82"/>
    </row>
    <row r="2149" spans="1:14" x14ac:dyDescent="0.25">
      <c r="A2149" s="170" t="s">
        <v>4984</v>
      </c>
      <c r="B2149" s="170" t="s">
        <v>4985</v>
      </c>
      <c r="C2149" s="170" t="s">
        <v>385</v>
      </c>
      <c r="D2149" s="170" t="s">
        <v>1947</v>
      </c>
      <c r="E2149" s="171" t="s">
        <v>32708</v>
      </c>
      <c r="F2149" s="171" t="s">
        <v>29299</v>
      </c>
      <c r="G2149" s="82"/>
      <c r="H2149" s="96">
        <f t="shared" si="132"/>
        <v>149.5</v>
      </c>
      <c r="I2149" s="96">
        <f t="shared" si="132"/>
        <v>151.24</v>
      </c>
      <c r="J2149" s="91" t="str">
        <f t="shared" si="133"/>
        <v>Sinapi 100657</v>
      </c>
      <c r="K2149" s="91" t="str">
        <f t="shared" si="134"/>
        <v>M</v>
      </c>
      <c r="L2149" s="166" t="str">
        <f t="shared" si="135"/>
        <v>12/2019</v>
      </c>
      <c r="M2149" s="82"/>
      <c r="N2149" s="82"/>
    </row>
    <row r="2150" spans="1:14" x14ac:dyDescent="0.25">
      <c r="A2150" s="170" t="s">
        <v>4986</v>
      </c>
      <c r="B2150" s="170" t="s">
        <v>4987</v>
      </c>
      <c r="C2150" s="170" t="s">
        <v>385</v>
      </c>
      <c r="D2150" s="170" t="s">
        <v>1947</v>
      </c>
      <c r="E2150" s="171" t="s">
        <v>32709</v>
      </c>
      <c r="F2150" s="171" t="s">
        <v>35996</v>
      </c>
      <c r="G2150" s="82"/>
      <c r="H2150" s="96">
        <f t="shared" si="132"/>
        <v>348.38</v>
      </c>
      <c r="I2150" s="96">
        <f t="shared" si="132"/>
        <v>350.7</v>
      </c>
      <c r="J2150" s="91" t="str">
        <f t="shared" si="133"/>
        <v>Sinapi 100658</v>
      </c>
      <c r="K2150" s="91" t="str">
        <f t="shared" si="134"/>
        <v>M</v>
      </c>
      <c r="L2150" s="166" t="str">
        <f t="shared" si="135"/>
        <v>12/2019</v>
      </c>
      <c r="M2150" s="82"/>
      <c r="N2150" s="82"/>
    </row>
    <row r="2151" spans="1:14" x14ac:dyDescent="0.25">
      <c r="A2151" s="170" t="s">
        <v>4988</v>
      </c>
      <c r="B2151" s="170" t="s">
        <v>4989</v>
      </c>
      <c r="C2151" s="170" t="s">
        <v>774</v>
      </c>
      <c r="D2151" s="170" t="s">
        <v>1947</v>
      </c>
      <c r="E2151" s="171" t="s">
        <v>13838</v>
      </c>
      <c r="F2151" s="171" t="s">
        <v>15535</v>
      </c>
      <c r="G2151" s="82"/>
      <c r="H2151" s="96">
        <f t="shared" si="132"/>
        <v>16.55</v>
      </c>
      <c r="I2151" s="96">
        <f t="shared" si="132"/>
        <v>16.61</v>
      </c>
      <c r="J2151" s="91" t="str">
        <f t="shared" si="133"/>
        <v>Sinapi 100889</v>
      </c>
      <c r="K2151" s="91" t="str">
        <f t="shared" si="134"/>
        <v>KG</v>
      </c>
      <c r="L2151" s="166" t="str">
        <f t="shared" si="135"/>
        <v>01/2020</v>
      </c>
      <c r="M2151" s="82"/>
      <c r="N2151" s="82"/>
    </row>
    <row r="2152" spans="1:14" x14ac:dyDescent="0.25">
      <c r="A2152" s="170" t="s">
        <v>4991</v>
      </c>
      <c r="B2152" s="170" t="s">
        <v>4992</v>
      </c>
      <c r="C2152" s="170" t="s">
        <v>774</v>
      </c>
      <c r="D2152" s="170" t="s">
        <v>1947</v>
      </c>
      <c r="E2152" s="171" t="s">
        <v>17138</v>
      </c>
      <c r="F2152" s="171" t="s">
        <v>18605</v>
      </c>
      <c r="G2152" s="82"/>
      <c r="H2152" s="96">
        <f t="shared" si="132"/>
        <v>16.39</v>
      </c>
      <c r="I2152" s="96">
        <f t="shared" si="132"/>
        <v>16.420000000000002</v>
      </c>
      <c r="J2152" s="91" t="str">
        <f t="shared" si="133"/>
        <v>Sinapi 100890</v>
      </c>
      <c r="K2152" s="91" t="str">
        <f t="shared" si="134"/>
        <v>KG</v>
      </c>
      <c r="L2152" s="166" t="str">
        <f t="shared" si="135"/>
        <v>01/2020</v>
      </c>
      <c r="M2152" s="82"/>
      <c r="N2152" s="82"/>
    </row>
    <row r="2153" spans="1:14" x14ac:dyDescent="0.25">
      <c r="A2153" s="170" t="s">
        <v>4993</v>
      </c>
      <c r="B2153" s="170" t="s">
        <v>4994</v>
      </c>
      <c r="C2153" s="170" t="s">
        <v>774</v>
      </c>
      <c r="D2153" s="170" t="s">
        <v>1947</v>
      </c>
      <c r="E2153" s="171" t="s">
        <v>18697</v>
      </c>
      <c r="F2153" s="171" t="s">
        <v>21102</v>
      </c>
      <c r="G2153" s="82"/>
      <c r="H2153" s="96">
        <f t="shared" si="132"/>
        <v>15.65</v>
      </c>
      <c r="I2153" s="96">
        <f t="shared" si="132"/>
        <v>15.72</v>
      </c>
      <c r="J2153" s="91" t="str">
        <f t="shared" si="133"/>
        <v>Sinapi 100892</v>
      </c>
      <c r="K2153" s="91" t="str">
        <f t="shared" si="134"/>
        <v>KG</v>
      </c>
      <c r="L2153" s="166" t="str">
        <f t="shared" si="135"/>
        <v>01/2020</v>
      </c>
      <c r="M2153" s="82"/>
      <c r="N2153" s="82"/>
    </row>
    <row r="2154" spans="1:14" x14ac:dyDescent="0.25">
      <c r="A2154" s="170" t="s">
        <v>4995</v>
      </c>
      <c r="B2154" s="170" t="s">
        <v>4996</v>
      </c>
      <c r="C2154" s="170" t="s">
        <v>774</v>
      </c>
      <c r="D2154" s="170" t="s">
        <v>1947</v>
      </c>
      <c r="E2154" s="171" t="s">
        <v>23053</v>
      </c>
      <c r="F2154" s="171" t="s">
        <v>6178</v>
      </c>
      <c r="G2154" s="82"/>
      <c r="H2154" s="96">
        <f t="shared" si="132"/>
        <v>15.47</v>
      </c>
      <c r="I2154" s="96">
        <f t="shared" si="132"/>
        <v>15.56</v>
      </c>
      <c r="J2154" s="91" t="str">
        <f t="shared" si="133"/>
        <v>Sinapi 100893</v>
      </c>
      <c r="K2154" s="91" t="str">
        <f t="shared" si="134"/>
        <v>KG</v>
      </c>
      <c r="L2154" s="166" t="str">
        <f t="shared" si="135"/>
        <v>01/2020</v>
      </c>
      <c r="M2154" s="82"/>
      <c r="N2154" s="82"/>
    </row>
    <row r="2155" spans="1:14" x14ac:dyDescent="0.25">
      <c r="A2155" s="170" t="s">
        <v>4998</v>
      </c>
      <c r="B2155" s="170" t="s">
        <v>4999</v>
      </c>
      <c r="C2155" s="170" t="s">
        <v>774</v>
      </c>
      <c r="D2155" s="170" t="s">
        <v>1947</v>
      </c>
      <c r="E2155" s="171" t="s">
        <v>6783</v>
      </c>
      <c r="F2155" s="171" t="s">
        <v>13646</v>
      </c>
      <c r="G2155" s="82"/>
      <c r="H2155" s="96">
        <f t="shared" si="132"/>
        <v>15.37</v>
      </c>
      <c r="I2155" s="96">
        <f t="shared" si="132"/>
        <v>15.42</v>
      </c>
      <c r="J2155" s="91" t="str">
        <f t="shared" si="133"/>
        <v>Sinapi 100894</v>
      </c>
      <c r="K2155" s="91" t="str">
        <f t="shared" si="134"/>
        <v>KG</v>
      </c>
      <c r="L2155" s="166" t="str">
        <f t="shared" si="135"/>
        <v>01/2020</v>
      </c>
      <c r="M2155" s="82"/>
      <c r="N2155" s="82"/>
    </row>
    <row r="2156" spans="1:14" x14ac:dyDescent="0.25">
      <c r="A2156" s="170" t="s">
        <v>5000</v>
      </c>
      <c r="B2156" s="170" t="s">
        <v>21820</v>
      </c>
      <c r="C2156" s="170" t="s">
        <v>385</v>
      </c>
      <c r="D2156" s="170" t="s">
        <v>1947</v>
      </c>
      <c r="E2156" s="171" t="s">
        <v>32710</v>
      </c>
      <c r="F2156" s="171" t="s">
        <v>24694</v>
      </c>
      <c r="G2156" s="82"/>
      <c r="H2156" s="96">
        <f t="shared" si="132"/>
        <v>99.03</v>
      </c>
      <c r="I2156" s="96">
        <f t="shared" si="132"/>
        <v>99.77</v>
      </c>
      <c r="J2156" s="91" t="str">
        <f t="shared" si="133"/>
        <v>Sinapi 100896</v>
      </c>
      <c r="K2156" s="91" t="str">
        <f t="shared" si="134"/>
        <v>M</v>
      </c>
      <c r="L2156" s="166" t="str">
        <f t="shared" si="135"/>
        <v>01/2020</v>
      </c>
      <c r="M2156" s="82"/>
      <c r="N2156" s="82"/>
    </row>
    <row r="2157" spans="1:14" x14ac:dyDescent="0.25">
      <c r="A2157" s="170" t="s">
        <v>5001</v>
      </c>
      <c r="B2157" s="170" t="s">
        <v>21821</v>
      </c>
      <c r="C2157" s="170" t="s">
        <v>385</v>
      </c>
      <c r="D2157" s="170" t="s">
        <v>1947</v>
      </c>
      <c r="E2157" s="171" t="s">
        <v>32711</v>
      </c>
      <c r="F2157" s="171" t="s">
        <v>35228</v>
      </c>
      <c r="G2157" s="82"/>
      <c r="H2157" s="96">
        <f t="shared" si="132"/>
        <v>215.32</v>
      </c>
      <c r="I2157" s="96">
        <f t="shared" si="132"/>
        <v>216.27</v>
      </c>
      <c r="J2157" s="91" t="str">
        <f t="shared" si="133"/>
        <v>Sinapi 100897</v>
      </c>
      <c r="K2157" s="91" t="str">
        <f t="shared" si="134"/>
        <v>M</v>
      </c>
      <c r="L2157" s="166" t="str">
        <f t="shared" si="135"/>
        <v>01/2020</v>
      </c>
      <c r="M2157" s="82"/>
      <c r="N2157" s="82"/>
    </row>
    <row r="2158" spans="1:14" x14ac:dyDescent="0.25">
      <c r="A2158" s="170" t="s">
        <v>5002</v>
      </c>
      <c r="B2158" s="170" t="s">
        <v>21822</v>
      </c>
      <c r="C2158" s="170" t="s">
        <v>385</v>
      </c>
      <c r="D2158" s="170" t="s">
        <v>1947</v>
      </c>
      <c r="E2158" s="171" t="s">
        <v>32712</v>
      </c>
      <c r="F2158" s="171" t="s">
        <v>35997</v>
      </c>
      <c r="G2158" s="82"/>
      <c r="H2158" s="96">
        <f t="shared" si="132"/>
        <v>445.53</v>
      </c>
      <c r="I2158" s="96">
        <f t="shared" si="132"/>
        <v>446.72</v>
      </c>
      <c r="J2158" s="91" t="str">
        <f t="shared" si="133"/>
        <v>Sinapi 100898</v>
      </c>
      <c r="K2158" s="91" t="str">
        <f t="shared" si="134"/>
        <v>M</v>
      </c>
      <c r="L2158" s="166" t="str">
        <f t="shared" si="135"/>
        <v>01/2020</v>
      </c>
      <c r="M2158" s="82"/>
      <c r="N2158" s="82"/>
    </row>
    <row r="2159" spans="1:14" x14ac:dyDescent="0.25">
      <c r="A2159" s="170" t="s">
        <v>5003</v>
      </c>
      <c r="B2159" s="170" t="s">
        <v>21823</v>
      </c>
      <c r="C2159" s="170" t="s">
        <v>385</v>
      </c>
      <c r="D2159" s="170" t="s">
        <v>1947</v>
      </c>
      <c r="E2159" s="171" t="s">
        <v>32713</v>
      </c>
      <c r="F2159" s="171" t="s">
        <v>35998</v>
      </c>
      <c r="G2159" s="82"/>
      <c r="H2159" s="96">
        <f t="shared" si="132"/>
        <v>117.78</v>
      </c>
      <c r="I2159" s="96">
        <f t="shared" si="132"/>
        <v>120.73</v>
      </c>
      <c r="J2159" s="91" t="str">
        <f t="shared" si="133"/>
        <v>Sinapi 100899</v>
      </c>
      <c r="K2159" s="91" t="str">
        <f t="shared" si="134"/>
        <v>M</v>
      </c>
      <c r="L2159" s="166" t="str">
        <f t="shared" si="135"/>
        <v>01/2020</v>
      </c>
      <c r="M2159" s="82"/>
      <c r="N2159" s="82"/>
    </row>
    <row r="2160" spans="1:14" x14ac:dyDescent="0.25">
      <c r="A2160" s="170" t="s">
        <v>5004</v>
      </c>
      <c r="B2160" s="170" t="s">
        <v>21824</v>
      </c>
      <c r="C2160" s="170" t="s">
        <v>385</v>
      </c>
      <c r="D2160" s="170" t="s">
        <v>1947</v>
      </c>
      <c r="E2160" s="171" t="s">
        <v>32714</v>
      </c>
      <c r="F2160" s="171" t="s">
        <v>35999</v>
      </c>
      <c r="G2160" s="82"/>
      <c r="H2160" s="96">
        <f t="shared" si="132"/>
        <v>516.67999999999995</v>
      </c>
      <c r="I2160" s="96">
        <f t="shared" si="132"/>
        <v>518.27</v>
      </c>
      <c r="J2160" s="91" t="str">
        <f t="shared" si="133"/>
        <v>Sinapi 100900</v>
      </c>
      <c r="K2160" s="91" t="str">
        <f t="shared" si="134"/>
        <v>M</v>
      </c>
      <c r="L2160" s="166" t="str">
        <f t="shared" si="135"/>
        <v>01/2020</v>
      </c>
      <c r="M2160" s="82"/>
      <c r="N2160" s="82"/>
    </row>
    <row r="2161" spans="1:14" x14ac:dyDescent="0.25">
      <c r="A2161" s="170" t="s">
        <v>5005</v>
      </c>
      <c r="B2161" s="170" t="s">
        <v>5006</v>
      </c>
      <c r="C2161" s="170" t="s">
        <v>385</v>
      </c>
      <c r="D2161" s="170" t="s">
        <v>2067</v>
      </c>
      <c r="E2161" s="171" t="s">
        <v>32715</v>
      </c>
      <c r="F2161" s="171" t="s">
        <v>33663</v>
      </c>
      <c r="G2161" s="82"/>
      <c r="H2161" s="96">
        <f t="shared" si="132"/>
        <v>69.599999999999994</v>
      </c>
      <c r="I2161" s="96">
        <f t="shared" si="132"/>
        <v>72.59</v>
      </c>
      <c r="J2161" s="91" t="str">
        <f t="shared" si="133"/>
        <v>Sinapi 101173</v>
      </c>
      <c r="K2161" s="91" t="str">
        <f t="shared" si="134"/>
        <v>M</v>
      </c>
      <c r="L2161" s="166" t="str">
        <f t="shared" si="135"/>
        <v>05/2020</v>
      </c>
      <c r="M2161" s="82"/>
      <c r="N2161" s="82"/>
    </row>
    <row r="2162" spans="1:14" x14ac:dyDescent="0.25">
      <c r="A2162" s="170" t="s">
        <v>5007</v>
      </c>
      <c r="B2162" s="170" t="s">
        <v>5008</v>
      </c>
      <c r="C2162" s="170" t="s">
        <v>385</v>
      </c>
      <c r="D2162" s="170" t="s">
        <v>2067</v>
      </c>
      <c r="E2162" s="171" t="s">
        <v>29963</v>
      </c>
      <c r="F2162" s="171" t="s">
        <v>36000</v>
      </c>
      <c r="G2162" s="82"/>
      <c r="H2162" s="96">
        <f t="shared" si="132"/>
        <v>96.3</v>
      </c>
      <c r="I2162" s="96">
        <f t="shared" si="132"/>
        <v>100.91</v>
      </c>
      <c r="J2162" s="91" t="str">
        <f t="shared" si="133"/>
        <v>Sinapi 101174</v>
      </c>
      <c r="K2162" s="91" t="str">
        <f t="shared" si="134"/>
        <v>M</v>
      </c>
      <c r="L2162" s="166" t="str">
        <f t="shared" si="135"/>
        <v>05/2020</v>
      </c>
      <c r="M2162" s="82"/>
      <c r="N2162" s="82"/>
    </row>
    <row r="2163" spans="1:14" x14ac:dyDescent="0.25">
      <c r="A2163" s="170" t="s">
        <v>5009</v>
      </c>
      <c r="B2163" s="170" t="s">
        <v>5010</v>
      </c>
      <c r="C2163" s="170" t="s">
        <v>385</v>
      </c>
      <c r="D2163" s="170" t="s">
        <v>2067</v>
      </c>
      <c r="E2163" s="171" t="s">
        <v>32716</v>
      </c>
      <c r="F2163" s="171" t="s">
        <v>34873</v>
      </c>
      <c r="G2163" s="82"/>
      <c r="H2163" s="96">
        <f t="shared" si="132"/>
        <v>131.87</v>
      </c>
      <c r="I2163" s="96">
        <f t="shared" si="132"/>
        <v>138.16</v>
      </c>
      <c r="J2163" s="91" t="str">
        <f t="shared" si="133"/>
        <v>Sinapi 101175</v>
      </c>
      <c r="K2163" s="91" t="str">
        <f t="shared" si="134"/>
        <v>M</v>
      </c>
      <c r="L2163" s="166" t="str">
        <f t="shared" si="135"/>
        <v>05/2020</v>
      </c>
      <c r="M2163" s="82"/>
      <c r="N2163" s="82"/>
    </row>
    <row r="2164" spans="1:14" x14ac:dyDescent="0.25">
      <c r="A2164" s="170" t="s">
        <v>5011</v>
      </c>
      <c r="B2164" s="170" t="s">
        <v>21825</v>
      </c>
      <c r="C2164" s="170" t="s">
        <v>385</v>
      </c>
      <c r="D2164" s="170" t="s">
        <v>1947</v>
      </c>
      <c r="E2164" s="171" t="s">
        <v>32717</v>
      </c>
      <c r="F2164" s="171" t="s">
        <v>36001</v>
      </c>
      <c r="G2164" s="82"/>
      <c r="H2164" s="96">
        <f t="shared" si="132"/>
        <v>164.52</v>
      </c>
      <c r="I2164" s="96">
        <f t="shared" si="132"/>
        <v>171.46</v>
      </c>
      <c r="J2164" s="91" t="str">
        <f t="shared" si="133"/>
        <v>Sinapi 101176</v>
      </c>
      <c r="K2164" s="91" t="str">
        <f t="shared" si="134"/>
        <v>M</v>
      </c>
      <c r="L2164" s="166" t="str">
        <f t="shared" si="135"/>
        <v>05/2020</v>
      </c>
      <c r="M2164" s="82"/>
      <c r="N2164" s="82"/>
    </row>
    <row r="2165" spans="1:14" x14ac:dyDescent="0.25">
      <c r="A2165" s="170" t="s">
        <v>13594</v>
      </c>
      <c r="B2165" s="170" t="s">
        <v>13595</v>
      </c>
      <c r="C2165" s="170" t="s">
        <v>205</v>
      </c>
      <c r="D2165" s="170" t="s">
        <v>1947</v>
      </c>
      <c r="E2165" s="171" t="s">
        <v>32718</v>
      </c>
      <c r="F2165" s="171" t="s">
        <v>36002</v>
      </c>
      <c r="G2165" s="82"/>
      <c r="H2165" s="96">
        <f t="shared" si="132"/>
        <v>94.11</v>
      </c>
      <c r="I2165" s="96">
        <f t="shared" si="132"/>
        <v>104.09</v>
      </c>
      <c r="J2165" s="91" t="str">
        <f t="shared" si="133"/>
        <v>Sinapi 102521</v>
      </c>
      <c r="K2165" s="91" t="str">
        <f t="shared" si="134"/>
        <v>UN</v>
      </c>
      <c r="L2165" s="166" t="str">
        <f t="shared" si="135"/>
        <v>05/2021</v>
      </c>
      <c r="M2165" s="82"/>
      <c r="N2165" s="82"/>
    </row>
    <row r="2166" spans="1:14" x14ac:dyDescent="0.25">
      <c r="A2166" s="170" t="s">
        <v>13596</v>
      </c>
      <c r="B2166" s="170" t="s">
        <v>13597</v>
      </c>
      <c r="C2166" s="170" t="s">
        <v>205</v>
      </c>
      <c r="D2166" s="170" t="s">
        <v>1947</v>
      </c>
      <c r="E2166" s="171" t="s">
        <v>32719</v>
      </c>
      <c r="F2166" s="171" t="s">
        <v>36003</v>
      </c>
      <c r="G2166" s="82"/>
      <c r="H2166" s="96">
        <f t="shared" si="132"/>
        <v>138.07</v>
      </c>
      <c r="I2166" s="96">
        <f t="shared" si="132"/>
        <v>152.72</v>
      </c>
      <c r="J2166" s="91" t="str">
        <f t="shared" si="133"/>
        <v>Sinapi 102522</v>
      </c>
      <c r="K2166" s="91" t="str">
        <f t="shared" si="134"/>
        <v>UN</v>
      </c>
      <c r="L2166" s="166" t="str">
        <f t="shared" si="135"/>
        <v>05/2021</v>
      </c>
      <c r="M2166" s="82"/>
      <c r="N2166" s="82"/>
    </row>
    <row r="2167" spans="1:14" x14ac:dyDescent="0.25">
      <c r="A2167" s="170" t="s">
        <v>13598</v>
      </c>
      <c r="B2167" s="170" t="s">
        <v>13599</v>
      </c>
      <c r="C2167" s="170" t="s">
        <v>205</v>
      </c>
      <c r="D2167" s="170" t="s">
        <v>1947</v>
      </c>
      <c r="E2167" s="171" t="s">
        <v>32720</v>
      </c>
      <c r="F2167" s="171" t="s">
        <v>36004</v>
      </c>
      <c r="G2167" s="82"/>
      <c r="H2167" s="96">
        <f t="shared" si="132"/>
        <v>182.03</v>
      </c>
      <c r="I2167" s="96">
        <f t="shared" si="132"/>
        <v>201.35</v>
      </c>
      <c r="J2167" s="91" t="str">
        <f t="shared" si="133"/>
        <v>Sinapi 102523</v>
      </c>
      <c r="K2167" s="91" t="str">
        <f t="shared" si="134"/>
        <v>UN</v>
      </c>
      <c r="L2167" s="166" t="str">
        <f t="shared" si="135"/>
        <v>05/2021</v>
      </c>
      <c r="M2167" s="82"/>
      <c r="N2167" s="82"/>
    </row>
    <row r="2168" spans="1:14" x14ac:dyDescent="0.25">
      <c r="A2168" s="170" t="s">
        <v>5012</v>
      </c>
      <c r="B2168" s="170" t="s">
        <v>12573</v>
      </c>
      <c r="C2168" s="170" t="s">
        <v>870</v>
      </c>
      <c r="D2168" s="170" t="s">
        <v>2067</v>
      </c>
      <c r="E2168" s="171" t="s">
        <v>32721</v>
      </c>
      <c r="F2168" s="171" t="s">
        <v>23131</v>
      </c>
      <c r="G2168" s="82"/>
      <c r="H2168" s="96">
        <f t="shared" si="132"/>
        <v>23.37</v>
      </c>
      <c r="I2168" s="96">
        <f t="shared" si="132"/>
        <v>24.16</v>
      </c>
      <c r="J2168" s="91" t="str">
        <f t="shared" si="133"/>
        <v>Sinapi 95240</v>
      </c>
      <c r="K2168" s="91" t="str">
        <f t="shared" si="134"/>
        <v>M2</v>
      </c>
      <c r="L2168" s="166" t="str">
        <f t="shared" si="135"/>
        <v>07/2016</v>
      </c>
      <c r="M2168" s="82"/>
      <c r="N2168" s="82"/>
    </row>
    <row r="2169" spans="1:14" x14ac:dyDescent="0.25">
      <c r="A2169" s="170" t="s">
        <v>5013</v>
      </c>
      <c r="B2169" s="170" t="s">
        <v>12574</v>
      </c>
      <c r="C2169" s="170" t="s">
        <v>870</v>
      </c>
      <c r="D2169" s="170" t="s">
        <v>2067</v>
      </c>
      <c r="E2169" s="171" t="s">
        <v>22061</v>
      </c>
      <c r="F2169" s="171" t="s">
        <v>33557</v>
      </c>
      <c r="G2169" s="82"/>
      <c r="H2169" s="96">
        <f t="shared" si="132"/>
        <v>38.94</v>
      </c>
      <c r="I2169" s="96">
        <f t="shared" si="132"/>
        <v>40.270000000000003</v>
      </c>
      <c r="J2169" s="91" t="str">
        <f t="shared" si="133"/>
        <v>Sinapi 95241</v>
      </c>
      <c r="K2169" s="91" t="str">
        <f t="shared" si="134"/>
        <v>M2</v>
      </c>
      <c r="L2169" s="166" t="str">
        <f t="shared" si="135"/>
        <v>07/2016</v>
      </c>
      <c r="M2169" s="82"/>
      <c r="N2169" s="82"/>
    </row>
    <row r="2170" spans="1:14" x14ac:dyDescent="0.25">
      <c r="A2170" s="170" t="s">
        <v>5014</v>
      </c>
      <c r="B2170" s="170" t="s">
        <v>5015</v>
      </c>
      <c r="C2170" s="170" t="s">
        <v>85</v>
      </c>
      <c r="D2170" s="170" t="s">
        <v>2067</v>
      </c>
      <c r="E2170" s="171" t="s">
        <v>32722</v>
      </c>
      <c r="F2170" s="171" t="s">
        <v>36005</v>
      </c>
      <c r="G2170" s="82"/>
      <c r="H2170" s="96">
        <f t="shared" si="132"/>
        <v>801.89</v>
      </c>
      <c r="I2170" s="96">
        <f t="shared" si="132"/>
        <v>830.95</v>
      </c>
      <c r="J2170" s="91" t="str">
        <f t="shared" si="133"/>
        <v>Sinapi 96616</v>
      </c>
      <c r="K2170" s="91" t="str">
        <f t="shared" si="134"/>
        <v>M3</v>
      </c>
      <c r="L2170" s="166" t="str">
        <f t="shared" si="135"/>
        <v>08/2017</v>
      </c>
      <c r="M2170" s="82"/>
      <c r="N2170" s="82"/>
    </row>
    <row r="2171" spans="1:14" x14ac:dyDescent="0.25">
      <c r="A2171" s="170" t="s">
        <v>5016</v>
      </c>
      <c r="B2171" s="170" t="s">
        <v>5017</v>
      </c>
      <c r="C2171" s="170" t="s">
        <v>870</v>
      </c>
      <c r="D2171" s="170" t="s">
        <v>2067</v>
      </c>
      <c r="E2171" s="171" t="s">
        <v>23183</v>
      </c>
      <c r="F2171" s="171" t="s">
        <v>21036</v>
      </c>
      <c r="G2171" s="82"/>
      <c r="H2171" s="96">
        <f t="shared" si="132"/>
        <v>24.04</v>
      </c>
      <c r="I2171" s="96">
        <f t="shared" si="132"/>
        <v>24.92</v>
      </c>
      <c r="J2171" s="91" t="str">
        <f t="shared" si="133"/>
        <v>Sinapi 96617</v>
      </c>
      <c r="K2171" s="91" t="str">
        <f t="shared" si="134"/>
        <v>M2</v>
      </c>
      <c r="L2171" s="166" t="str">
        <f t="shared" si="135"/>
        <v>08/2017</v>
      </c>
      <c r="M2171" s="82"/>
      <c r="N2171" s="82"/>
    </row>
    <row r="2172" spans="1:14" x14ac:dyDescent="0.25">
      <c r="A2172" s="170" t="s">
        <v>5018</v>
      </c>
      <c r="B2172" s="170" t="s">
        <v>5019</v>
      </c>
      <c r="C2172" s="170" t="s">
        <v>870</v>
      </c>
      <c r="D2172" s="170" t="s">
        <v>2067</v>
      </c>
      <c r="E2172" s="171" t="s">
        <v>24773</v>
      </c>
      <c r="F2172" s="171" t="s">
        <v>26697</v>
      </c>
      <c r="G2172" s="82"/>
      <c r="H2172" s="96">
        <f t="shared" si="132"/>
        <v>40.08</v>
      </c>
      <c r="I2172" s="96">
        <f t="shared" si="132"/>
        <v>41.54</v>
      </c>
      <c r="J2172" s="91" t="str">
        <f t="shared" si="133"/>
        <v>Sinapi 96619</v>
      </c>
      <c r="K2172" s="91" t="str">
        <f t="shared" si="134"/>
        <v>M2</v>
      </c>
      <c r="L2172" s="166" t="str">
        <f t="shared" si="135"/>
        <v>08/2017</v>
      </c>
      <c r="M2172" s="82"/>
      <c r="N2172" s="82"/>
    </row>
    <row r="2173" spans="1:14" x14ac:dyDescent="0.25">
      <c r="A2173" s="170" t="s">
        <v>5020</v>
      </c>
      <c r="B2173" s="170" t="s">
        <v>12575</v>
      </c>
      <c r="C2173" s="170" t="s">
        <v>85</v>
      </c>
      <c r="D2173" s="170" t="s">
        <v>2067</v>
      </c>
      <c r="E2173" s="171" t="s">
        <v>32723</v>
      </c>
      <c r="F2173" s="171" t="s">
        <v>36006</v>
      </c>
      <c r="G2173" s="82"/>
      <c r="H2173" s="96">
        <f t="shared" si="132"/>
        <v>779.29</v>
      </c>
      <c r="I2173" s="96">
        <f t="shared" si="132"/>
        <v>805.76</v>
      </c>
      <c r="J2173" s="91" t="str">
        <f t="shared" si="133"/>
        <v>Sinapi 96620</v>
      </c>
      <c r="K2173" s="91" t="str">
        <f t="shared" si="134"/>
        <v>M3</v>
      </c>
      <c r="L2173" s="166" t="str">
        <f t="shared" si="135"/>
        <v>08/2017</v>
      </c>
      <c r="M2173" s="82"/>
      <c r="N2173" s="82"/>
    </row>
    <row r="2174" spans="1:14" x14ac:dyDescent="0.25">
      <c r="A2174" s="170" t="s">
        <v>5021</v>
      </c>
      <c r="B2174" s="170" t="s">
        <v>5022</v>
      </c>
      <c r="C2174" s="170" t="s">
        <v>85</v>
      </c>
      <c r="D2174" s="170" t="s">
        <v>1947</v>
      </c>
      <c r="E2174" s="171" t="s">
        <v>32724</v>
      </c>
      <c r="F2174" s="171" t="s">
        <v>36007</v>
      </c>
      <c r="G2174" s="82"/>
      <c r="H2174" s="96">
        <f t="shared" si="132"/>
        <v>371.81</v>
      </c>
      <c r="I2174" s="96">
        <f t="shared" si="132"/>
        <v>383.58</v>
      </c>
      <c r="J2174" s="91" t="str">
        <f t="shared" si="133"/>
        <v>Sinapi 96621</v>
      </c>
      <c r="K2174" s="91" t="str">
        <f t="shared" si="134"/>
        <v>M3</v>
      </c>
      <c r="L2174" s="166" t="str">
        <f t="shared" si="135"/>
        <v>08/2017</v>
      </c>
      <c r="M2174" s="82"/>
      <c r="N2174" s="82"/>
    </row>
    <row r="2175" spans="1:14" x14ac:dyDescent="0.25">
      <c r="A2175" s="170" t="s">
        <v>5023</v>
      </c>
      <c r="B2175" s="170" t="s">
        <v>12576</v>
      </c>
      <c r="C2175" s="170" t="s">
        <v>85</v>
      </c>
      <c r="D2175" s="170" t="s">
        <v>1947</v>
      </c>
      <c r="E2175" s="171" t="s">
        <v>32725</v>
      </c>
      <c r="F2175" s="171" t="s">
        <v>36008</v>
      </c>
      <c r="G2175" s="82"/>
      <c r="H2175" s="96">
        <f t="shared" si="132"/>
        <v>305.33999999999997</v>
      </c>
      <c r="I2175" s="96">
        <f t="shared" si="132"/>
        <v>309.52</v>
      </c>
      <c r="J2175" s="91" t="str">
        <f t="shared" si="133"/>
        <v>Sinapi 96622</v>
      </c>
      <c r="K2175" s="91" t="str">
        <f t="shared" si="134"/>
        <v>M3</v>
      </c>
      <c r="L2175" s="166" t="str">
        <f t="shared" si="135"/>
        <v>08/2017</v>
      </c>
      <c r="M2175" s="82"/>
      <c r="N2175" s="82"/>
    </row>
    <row r="2176" spans="1:14" x14ac:dyDescent="0.25">
      <c r="A2176" s="170" t="s">
        <v>5024</v>
      </c>
      <c r="B2176" s="170" t="s">
        <v>5025</v>
      </c>
      <c r="C2176" s="170" t="s">
        <v>85</v>
      </c>
      <c r="D2176" s="170" t="s">
        <v>1947</v>
      </c>
      <c r="E2176" s="171" t="s">
        <v>32726</v>
      </c>
      <c r="F2176" s="171" t="s">
        <v>36009</v>
      </c>
      <c r="G2176" s="82"/>
      <c r="H2176" s="96">
        <f t="shared" si="132"/>
        <v>356.35</v>
      </c>
      <c r="I2176" s="96">
        <f t="shared" si="132"/>
        <v>366.34</v>
      </c>
      <c r="J2176" s="91" t="str">
        <f t="shared" si="133"/>
        <v>Sinapi 96623</v>
      </c>
      <c r="K2176" s="91" t="str">
        <f t="shared" si="134"/>
        <v>M3</v>
      </c>
      <c r="L2176" s="166" t="str">
        <f t="shared" si="135"/>
        <v>08/2017</v>
      </c>
      <c r="M2176" s="82"/>
      <c r="N2176" s="82"/>
    </row>
    <row r="2177" spans="1:14" x14ac:dyDescent="0.25">
      <c r="A2177" s="170" t="s">
        <v>5026</v>
      </c>
      <c r="B2177" s="170" t="s">
        <v>12577</v>
      </c>
      <c r="C2177" s="170" t="s">
        <v>85</v>
      </c>
      <c r="D2177" s="170" t="s">
        <v>1947</v>
      </c>
      <c r="E2177" s="171" t="s">
        <v>32727</v>
      </c>
      <c r="F2177" s="171" t="s">
        <v>36010</v>
      </c>
      <c r="G2177" s="82"/>
      <c r="H2177" s="96">
        <f t="shared" si="132"/>
        <v>299.88</v>
      </c>
      <c r="I2177" s="96">
        <f t="shared" si="132"/>
        <v>303.45</v>
      </c>
      <c r="J2177" s="91" t="str">
        <f t="shared" si="133"/>
        <v>Sinapi 96624</v>
      </c>
      <c r="K2177" s="91" t="str">
        <f t="shared" si="134"/>
        <v>M3</v>
      </c>
      <c r="L2177" s="166" t="str">
        <f t="shared" si="135"/>
        <v>08/2017</v>
      </c>
      <c r="M2177" s="82"/>
      <c r="N2177" s="82"/>
    </row>
    <row r="2178" spans="1:14" x14ac:dyDescent="0.25">
      <c r="A2178" s="170" t="s">
        <v>5027</v>
      </c>
      <c r="B2178" s="170" t="s">
        <v>14492</v>
      </c>
      <c r="C2178" s="170" t="s">
        <v>85</v>
      </c>
      <c r="D2178" s="170" t="s">
        <v>2710</v>
      </c>
      <c r="E2178" s="171" t="s">
        <v>28716</v>
      </c>
      <c r="F2178" s="171" t="s">
        <v>18573</v>
      </c>
      <c r="G2178" s="82"/>
      <c r="H2178" s="96">
        <f t="shared" si="132"/>
        <v>53.14</v>
      </c>
      <c r="I2178" s="96">
        <f t="shared" si="132"/>
        <v>58.66</v>
      </c>
      <c r="J2178" s="91" t="str">
        <f t="shared" si="133"/>
        <v>Sinapi 97082</v>
      </c>
      <c r="K2178" s="91" t="str">
        <f t="shared" si="134"/>
        <v>M3</v>
      </c>
      <c r="L2178" s="166" t="str">
        <f t="shared" si="135"/>
        <v>09/2021</v>
      </c>
      <c r="M2178" s="82"/>
      <c r="N2178" s="82"/>
    </row>
    <row r="2179" spans="1:14" x14ac:dyDescent="0.25">
      <c r="A2179" s="170" t="s">
        <v>5028</v>
      </c>
      <c r="B2179" s="170" t="s">
        <v>14493</v>
      </c>
      <c r="C2179" s="170" t="s">
        <v>870</v>
      </c>
      <c r="D2179" s="170" t="s">
        <v>1947</v>
      </c>
      <c r="E2179" s="171" t="s">
        <v>22708</v>
      </c>
      <c r="F2179" s="171" t="s">
        <v>14637</v>
      </c>
      <c r="G2179" s="82"/>
      <c r="H2179" s="96">
        <f t="shared" si="132"/>
        <v>2.91</v>
      </c>
      <c r="I2179" s="96">
        <f t="shared" si="132"/>
        <v>3.21</v>
      </c>
      <c r="J2179" s="91" t="str">
        <f t="shared" si="133"/>
        <v>Sinapi 97083</v>
      </c>
      <c r="K2179" s="91" t="str">
        <f t="shared" si="134"/>
        <v>M2</v>
      </c>
      <c r="L2179" s="166" t="str">
        <f t="shared" si="135"/>
        <v>09/2021</v>
      </c>
      <c r="M2179" s="82"/>
      <c r="N2179" s="82"/>
    </row>
    <row r="2180" spans="1:14" x14ac:dyDescent="0.25">
      <c r="A2180" s="170" t="s">
        <v>5029</v>
      </c>
      <c r="B2180" s="170" t="s">
        <v>14494</v>
      </c>
      <c r="C2180" s="170" t="s">
        <v>870</v>
      </c>
      <c r="D2180" s="170" t="s">
        <v>1947</v>
      </c>
      <c r="E2180" s="171" t="s">
        <v>15760</v>
      </c>
      <c r="F2180" s="171" t="s">
        <v>18575</v>
      </c>
      <c r="G2180" s="82"/>
      <c r="H2180" s="96">
        <f t="shared" si="132"/>
        <v>0.6</v>
      </c>
      <c r="I2180" s="96">
        <f t="shared" si="132"/>
        <v>0.67</v>
      </c>
      <c r="J2180" s="91" t="str">
        <f t="shared" si="133"/>
        <v>Sinapi 97084</v>
      </c>
      <c r="K2180" s="91" t="str">
        <f t="shared" si="134"/>
        <v>M2</v>
      </c>
      <c r="L2180" s="166" t="str">
        <f t="shared" si="135"/>
        <v>09/2021</v>
      </c>
      <c r="M2180" s="82"/>
      <c r="N2180" s="82"/>
    </row>
    <row r="2181" spans="1:14" x14ac:dyDescent="0.25">
      <c r="A2181" s="170" t="s">
        <v>5030</v>
      </c>
      <c r="B2181" s="170" t="s">
        <v>14495</v>
      </c>
      <c r="C2181" s="170" t="s">
        <v>870</v>
      </c>
      <c r="D2181" s="170" t="s">
        <v>2067</v>
      </c>
      <c r="E2181" s="171" t="s">
        <v>32728</v>
      </c>
      <c r="F2181" s="171" t="s">
        <v>36011</v>
      </c>
      <c r="G2181" s="82"/>
      <c r="H2181" s="96">
        <f t="shared" si="132"/>
        <v>116.44</v>
      </c>
      <c r="I2181" s="96">
        <f t="shared" si="132"/>
        <v>126.9</v>
      </c>
      <c r="J2181" s="91" t="str">
        <f t="shared" si="133"/>
        <v>Sinapi 97086</v>
      </c>
      <c r="K2181" s="91" t="str">
        <f t="shared" si="134"/>
        <v>M2</v>
      </c>
      <c r="L2181" s="166" t="str">
        <f t="shared" si="135"/>
        <v>09/2021</v>
      </c>
      <c r="M2181" s="82"/>
      <c r="N2181" s="82"/>
    </row>
    <row r="2182" spans="1:14" x14ac:dyDescent="0.25">
      <c r="A2182" s="170" t="s">
        <v>12107</v>
      </c>
      <c r="B2182" s="170" t="s">
        <v>14496</v>
      </c>
      <c r="C2182" s="170" t="s">
        <v>870</v>
      </c>
      <c r="D2182" s="170" t="s">
        <v>2067</v>
      </c>
      <c r="E2182" s="171" t="s">
        <v>10392</v>
      </c>
      <c r="F2182" s="171" t="s">
        <v>21508</v>
      </c>
      <c r="G2182" s="82"/>
      <c r="H2182" s="96">
        <f t="shared" si="132"/>
        <v>2.58</v>
      </c>
      <c r="I2182" s="96">
        <f t="shared" si="132"/>
        <v>2.63</v>
      </c>
      <c r="J2182" s="91" t="str">
        <f t="shared" si="133"/>
        <v>Sinapi 97087</v>
      </c>
      <c r="K2182" s="91" t="str">
        <f t="shared" si="134"/>
        <v>M2</v>
      </c>
      <c r="L2182" s="166" t="str">
        <f t="shared" si="135"/>
        <v>09/2021</v>
      </c>
      <c r="M2182" s="82"/>
      <c r="N2182" s="82"/>
    </row>
    <row r="2183" spans="1:14" x14ac:dyDescent="0.25">
      <c r="A2183" s="170" t="s">
        <v>12108</v>
      </c>
      <c r="B2183" s="170" t="s">
        <v>14497</v>
      </c>
      <c r="C2183" s="170" t="s">
        <v>774</v>
      </c>
      <c r="D2183" s="170" t="s">
        <v>1947</v>
      </c>
      <c r="E2183" s="171" t="s">
        <v>20204</v>
      </c>
      <c r="F2183" s="171" t="s">
        <v>23478</v>
      </c>
      <c r="G2183" s="82"/>
      <c r="H2183" s="96">
        <f t="shared" si="132"/>
        <v>14.4</v>
      </c>
      <c r="I2183" s="96">
        <f t="shared" si="132"/>
        <v>14.54</v>
      </c>
      <c r="J2183" s="91" t="str">
        <f t="shared" si="133"/>
        <v>Sinapi 97088</v>
      </c>
      <c r="K2183" s="91" t="str">
        <f t="shared" si="134"/>
        <v>KG</v>
      </c>
      <c r="L2183" s="166" t="str">
        <f t="shared" si="135"/>
        <v>09/2021</v>
      </c>
      <c r="M2183" s="82"/>
      <c r="N2183" s="82"/>
    </row>
    <row r="2184" spans="1:14" x14ac:dyDescent="0.25">
      <c r="A2184" s="170" t="s">
        <v>12109</v>
      </c>
      <c r="B2184" s="170" t="s">
        <v>14498</v>
      </c>
      <c r="C2184" s="170" t="s">
        <v>774</v>
      </c>
      <c r="D2184" s="170" t="s">
        <v>1947</v>
      </c>
      <c r="E2184" s="171" t="s">
        <v>29582</v>
      </c>
      <c r="F2184" s="171" t="s">
        <v>23056</v>
      </c>
      <c r="G2184" s="82"/>
      <c r="H2184" s="96">
        <f t="shared" ref="H2184:I2247" si="136">IF(E2184="","",E2184+0)</f>
        <v>13.15</v>
      </c>
      <c r="I2184" s="96">
        <f t="shared" si="136"/>
        <v>13.27</v>
      </c>
      <c r="J2184" s="91" t="str">
        <f t="shared" ref="J2184:J2247" si="137">IF(OR(H2184="",I2184=""),"",TRIM(CONCATENATE("Sinapi ",A2184)))</f>
        <v>Sinapi 97089</v>
      </c>
      <c r="K2184" s="91" t="str">
        <f t="shared" ref="K2184:K2247" si="138">TRIM(C2184)</f>
        <v>KG</v>
      </c>
      <c r="L2184" s="166" t="str">
        <f t="shared" ref="L2184:L2247" si="139">IF(OR(RIGHT(IF(AND(K2184&lt;&gt;"H",K2184&lt;&gt;"MES"),RIGHT(B2184,7),""),2)="PS",RIGHT(IF(AND(K2184&lt;&gt;"H",K2184&lt;&gt;"MES"),RIGHT(B2184,7),""),2)="PA",RIGHT(IF(AND(K2184&lt;&gt;"H",K2184&lt;&gt;"MES"),RIGHT(B2184,7),""),2)="PE"),LEFT(IF(AND(K2184&lt;&gt;"H",K2184&lt;&gt;"MES"),RIGHT(B2184,10),""),7),IF(AND(K2184&lt;&gt;"H",K2184&lt;&gt;"MES"),RIGHT(B2184,7),""))</f>
        <v>09/2021</v>
      </c>
      <c r="M2184" s="82"/>
      <c r="N2184" s="82"/>
    </row>
    <row r="2185" spans="1:14" x14ac:dyDescent="0.25">
      <c r="A2185" s="170" t="s">
        <v>12110</v>
      </c>
      <c r="B2185" s="170" t="s">
        <v>14499</v>
      </c>
      <c r="C2185" s="170" t="s">
        <v>774</v>
      </c>
      <c r="D2185" s="170" t="s">
        <v>1947</v>
      </c>
      <c r="E2185" s="171" t="s">
        <v>20137</v>
      </c>
      <c r="F2185" s="171" t="s">
        <v>21019</v>
      </c>
      <c r="G2185" s="82"/>
      <c r="H2185" s="96">
        <f t="shared" si="136"/>
        <v>12.9</v>
      </c>
      <c r="I2185" s="96">
        <f t="shared" si="136"/>
        <v>13.01</v>
      </c>
      <c r="J2185" s="91" t="str">
        <f t="shared" si="137"/>
        <v>Sinapi 97090</v>
      </c>
      <c r="K2185" s="91" t="str">
        <f t="shared" si="138"/>
        <v>KG</v>
      </c>
      <c r="L2185" s="166" t="str">
        <f t="shared" si="139"/>
        <v>09/2021</v>
      </c>
      <c r="M2185" s="82"/>
      <c r="N2185" s="82"/>
    </row>
    <row r="2186" spans="1:14" x14ac:dyDescent="0.25">
      <c r="A2186" s="170" t="s">
        <v>12111</v>
      </c>
      <c r="B2186" s="170" t="s">
        <v>14500</v>
      </c>
      <c r="C2186" s="170" t="s">
        <v>774</v>
      </c>
      <c r="D2186" s="170" t="s">
        <v>1947</v>
      </c>
      <c r="E2186" s="171" t="s">
        <v>14342</v>
      </c>
      <c r="F2186" s="171" t="s">
        <v>19326</v>
      </c>
      <c r="G2186" s="82"/>
      <c r="H2186" s="96">
        <f t="shared" si="136"/>
        <v>12.5</v>
      </c>
      <c r="I2186" s="96">
        <f t="shared" si="136"/>
        <v>12.6</v>
      </c>
      <c r="J2186" s="91" t="str">
        <f t="shared" si="137"/>
        <v>Sinapi 97091</v>
      </c>
      <c r="K2186" s="91" t="str">
        <f t="shared" si="138"/>
        <v>KG</v>
      </c>
      <c r="L2186" s="166" t="str">
        <f t="shared" si="139"/>
        <v>09/2021</v>
      </c>
      <c r="M2186" s="82"/>
      <c r="N2186" s="82"/>
    </row>
    <row r="2187" spans="1:14" x14ac:dyDescent="0.25">
      <c r="A2187" s="170" t="s">
        <v>12112</v>
      </c>
      <c r="B2187" s="170" t="s">
        <v>14501</v>
      </c>
      <c r="C2187" s="170" t="s">
        <v>774</v>
      </c>
      <c r="D2187" s="170" t="s">
        <v>1947</v>
      </c>
      <c r="E2187" s="171" t="s">
        <v>17305</v>
      </c>
      <c r="F2187" s="171" t="s">
        <v>18609</v>
      </c>
      <c r="G2187" s="82"/>
      <c r="H2187" s="96">
        <f t="shared" si="136"/>
        <v>12.07</v>
      </c>
      <c r="I2187" s="96">
        <f t="shared" si="136"/>
        <v>12.16</v>
      </c>
      <c r="J2187" s="91" t="str">
        <f t="shared" si="137"/>
        <v>Sinapi 97092</v>
      </c>
      <c r="K2187" s="91" t="str">
        <f t="shared" si="138"/>
        <v>KG</v>
      </c>
      <c r="L2187" s="166" t="str">
        <f t="shared" si="139"/>
        <v>09/2021</v>
      </c>
      <c r="M2187" s="82"/>
      <c r="N2187" s="82"/>
    </row>
    <row r="2188" spans="1:14" x14ac:dyDescent="0.25">
      <c r="A2188" s="170" t="s">
        <v>12113</v>
      </c>
      <c r="B2188" s="170" t="s">
        <v>14502</v>
      </c>
      <c r="C2188" s="170" t="s">
        <v>774</v>
      </c>
      <c r="D2188" s="170" t="s">
        <v>1947</v>
      </c>
      <c r="E2188" s="171" t="s">
        <v>23148</v>
      </c>
      <c r="F2188" s="171" t="s">
        <v>14940</v>
      </c>
      <c r="G2188" s="82"/>
      <c r="H2188" s="96">
        <f t="shared" si="136"/>
        <v>11.32</v>
      </c>
      <c r="I2188" s="96">
        <f t="shared" si="136"/>
        <v>11.38</v>
      </c>
      <c r="J2188" s="91" t="str">
        <f t="shared" si="137"/>
        <v>Sinapi 97093</v>
      </c>
      <c r="K2188" s="91" t="str">
        <f t="shared" si="138"/>
        <v>KG</v>
      </c>
      <c r="L2188" s="166" t="str">
        <f t="shared" si="139"/>
        <v>09/2021</v>
      </c>
      <c r="M2188" s="82"/>
      <c r="N2188" s="82"/>
    </row>
    <row r="2189" spans="1:14" x14ac:dyDescent="0.25">
      <c r="A2189" s="170" t="s">
        <v>5031</v>
      </c>
      <c r="B2189" s="170" t="s">
        <v>14503</v>
      </c>
      <c r="C2189" s="170" t="s">
        <v>85</v>
      </c>
      <c r="D2189" s="170" t="s">
        <v>1947</v>
      </c>
      <c r="E2189" s="171" t="s">
        <v>32729</v>
      </c>
      <c r="F2189" s="171" t="s">
        <v>36012</v>
      </c>
      <c r="G2189" s="82"/>
      <c r="H2189" s="96">
        <f t="shared" si="136"/>
        <v>1362.35</v>
      </c>
      <c r="I2189" s="96">
        <f t="shared" si="136"/>
        <v>1364.29</v>
      </c>
      <c r="J2189" s="91" t="str">
        <f t="shared" si="137"/>
        <v>Sinapi 97096</v>
      </c>
      <c r="K2189" s="91" t="str">
        <f t="shared" si="138"/>
        <v>M3</v>
      </c>
      <c r="L2189" s="166" t="str">
        <f t="shared" si="139"/>
        <v>09/2021</v>
      </c>
      <c r="M2189" s="82"/>
      <c r="N2189" s="82"/>
    </row>
    <row r="2190" spans="1:14" x14ac:dyDescent="0.25">
      <c r="A2190" s="170" t="s">
        <v>5032</v>
      </c>
      <c r="B2190" s="170" t="s">
        <v>14504</v>
      </c>
      <c r="C2190" s="170" t="s">
        <v>870</v>
      </c>
      <c r="D2190" s="170" t="s">
        <v>1947</v>
      </c>
      <c r="E2190" s="171" t="s">
        <v>22052</v>
      </c>
      <c r="F2190" s="171" t="s">
        <v>22800</v>
      </c>
      <c r="G2190" s="82"/>
      <c r="H2190" s="96">
        <f t="shared" si="136"/>
        <v>44.59</v>
      </c>
      <c r="I2190" s="96">
        <f t="shared" si="136"/>
        <v>44.84</v>
      </c>
      <c r="J2190" s="91" t="str">
        <f t="shared" si="137"/>
        <v>Sinapi 97097</v>
      </c>
      <c r="K2190" s="91" t="str">
        <f t="shared" si="138"/>
        <v>M2</v>
      </c>
      <c r="L2190" s="166" t="str">
        <f t="shared" si="139"/>
        <v>09/2021</v>
      </c>
      <c r="M2190" s="82"/>
      <c r="N2190" s="82"/>
    </row>
    <row r="2191" spans="1:14" x14ac:dyDescent="0.25">
      <c r="A2191" s="170" t="s">
        <v>12114</v>
      </c>
      <c r="B2191" s="170" t="s">
        <v>14505</v>
      </c>
      <c r="C2191" s="170" t="s">
        <v>870</v>
      </c>
      <c r="D2191" s="170" t="s">
        <v>1947</v>
      </c>
      <c r="E2191" s="171" t="s">
        <v>32730</v>
      </c>
      <c r="F2191" s="171" t="s">
        <v>36013</v>
      </c>
      <c r="G2191" s="82"/>
      <c r="H2191" s="96">
        <f t="shared" si="136"/>
        <v>278.49</v>
      </c>
      <c r="I2191" s="96">
        <f t="shared" si="136"/>
        <v>280.95</v>
      </c>
      <c r="J2191" s="91" t="str">
        <f t="shared" si="137"/>
        <v>Sinapi 97101</v>
      </c>
      <c r="K2191" s="91" t="str">
        <f t="shared" si="138"/>
        <v>M2</v>
      </c>
      <c r="L2191" s="166" t="str">
        <f t="shared" si="139"/>
        <v>09/2021</v>
      </c>
      <c r="M2191" s="82"/>
      <c r="N2191" s="82"/>
    </row>
    <row r="2192" spans="1:14" x14ac:dyDescent="0.25">
      <c r="A2192" s="170" t="s">
        <v>12115</v>
      </c>
      <c r="B2192" s="170" t="s">
        <v>14506</v>
      </c>
      <c r="C2192" s="170" t="s">
        <v>870</v>
      </c>
      <c r="D2192" s="170" t="s">
        <v>1947</v>
      </c>
      <c r="E2192" s="171" t="s">
        <v>32731</v>
      </c>
      <c r="F2192" s="171" t="s">
        <v>36014</v>
      </c>
      <c r="G2192" s="82"/>
      <c r="H2192" s="96">
        <f t="shared" si="136"/>
        <v>358.36</v>
      </c>
      <c r="I2192" s="96">
        <f t="shared" si="136"/>
        <v>361.18</v>
      </c>
      <c r="J2192" s="91" t="str">
        <f t="shared" si="137"/>
        <v>Sinapi 97102</v>
      </c>
      <c r="K2192" s="91" t="str">
        <f t="shared" si="138"/>
        <v>M2</v>
      </c>
      <c r="L2192" s="166" t="str">
        <f t="shared" si="139"/>
        <v>09/2021</v>
      </c>
      <c r="M2192" s="82"/>
      <c r="N2192" s="82"/>
    </row>
    <row r="2193" spans="1:14" x14ac:dyDescent="0.25">
      <c r="A2193" s="170" t="s">
        <v>12116</v>
      </c>
      <c r="B2193" s="170" t="s">
        <v>14507</v>
      </c>
      <c r="C2193" s="170" t="s">
        <v>870</v>
      </c>
      <c r="D2193" s="170" t="s">
        <v>1947</v>
      </c>
      <c r="E2193" s="171" t="s">
        <v>32732</v>
      </c>
      <c r="F2193" s="171" t="s">
        <v>36015</v>
      </c>
      <c r="G2193" s="82"/>
      <c r="H2193" s="96">
        <f t="shared" si="136"/>
        <v>435.05</v>
      </c>
      <c r="I2193" s="96">
        <f t="shared" si="136"/>
        <v>438.18</v>
      </c>
      <c r="J2193" s="91" t="str">
        <f t="shared" si="137"/>
        <v>Sinapi 97103</v>
      </c>
      <c r="K2193" s="91" t="str">
        <f t="shared" si="138"/>
        <v>M2</v>
      </c>
      <c r="L2193" s="166" t="str">
        <f t="shared" si="139"/>
        <v>09/2021</v>
      </c>
      <c r="M2193" s="82"/>
      <c r="N2193" s="82"/>
    </row>
    <row r="2194" spans="1:14" x14ac:dyDescent="0.25">
      <c r="A2194" s="170" t="s">
        <v>5033</v>
      </c>
      <c r="B2194" s="170" t="s">
        <v>12578</v>
      </c>
      <c r="C2194" s="170" t="s">
        <v>85</v>
      </c>
      <c r="D2194" s="170" t="s">
        <v>1947</v>
      </c>
      <c r="E2194" s="171" t="s">
        <v>32733</v>
      </c>
      <c r="F2194" s="171" t="s">
        <v>36016</v>
      </c>
      <c r="G2194" s="82"/>
      <c r="H2194" s="96">
        <f t="shared" si="136"/>
        <v>283.69</v>
      </c>
      <c r="I2194" s="96">
        <f t="shared" si="136"/>
        <v>287.26</v>
      </c>
      <c r="J2194" s="91" t="str">
        <f t="shared" si="137"/>
        <v>Sinapi 100322</v>
      </c>
      <c r="K2194" s="91" t="str">
        <f t="shared" si="138"/>
        <v>M3</v>
      </c>
      <c r="L2194" s="166" t="str">
        <f t="shared" si="139"/>
        <v>07/2019</v>
      </c>
      <c r="M2194" s="82"/>
      <c r="N2194" s="82"/>
    </row>
    <row r="2195" spans="1:14" x14ac:dyDescent="0.25">
      <c r="A2195" s="170" t="s">
        <v>5034</v>
      </c>
      <c r="B2195" s="170" t="s">
        <v>12579</v>
      </c>
      <c r="C2195" s="170" t="s">
        <v>85</v>
      </c>
      <c r="D2195" s="170" t="s">
        <v>1947</v>
      </c>
      <c r="E2195" s="171" t="s">
        <v>32734</v>
      </c>
      <c r="F2195" s="171" t="s">
        <v>36017</v>
      </c>
      <c r="G2195" s="82"/>
      <c r="H2195" s="96">
        <f t="shared" si="136"/>
        <v>110.61</v>
      </c>
      <c r="I2195" s="96">
        <f t="shared" si="136"/>
        <v>114.18</v>
      </c>
      <c r="J2195" s="91" t="str">
        <f t="shared" si="137"/>
        <v>Sinapi 100323</v>
      </c>
      <c r="K2195" s="91" t="str">
        <f t="shared" si="138"/>
        <v>M3</v>
      </c>
      <c r="L2195" s="166" t="str">
        <f t="shared" si="139"/>
        <v>07/2019</v>
      </c>
      <c r="M2195" s="82"/>
      <c r="N2195" s="82"/>
    </row>
    <row r="2196" spans="1:14" x14ac:dyDescent="0.25">
      <c r="A2196" s="170" t="s">
        <v>5035</v>
      </c>
      <c r="B2196" s="170" t="s">
        <v>12580</v>
      </c>
      <c r="C2196" s="170" t="s">
        <v>85</v>
      </c>
      <c r="D2196" s="170" t="s">
        <v>1947</v>
      </c>
      <c r="E2196" s="171" t="s">
        <v>32735</v>
      </c>
      <c r="F2196" s="171" t="s">
        <v>36018</v>
      </c>
      <c r="G2196" s="82"/>
      <c r="H2196" s="96">
        <f t="shared" si="136"/>
        <v>299.17</v>
      </c>
      <c r="I2196" s="96">
        <f t="shared" si="136"/>
        <v>302.74</v>
      </c>
      <c r="J2196" s="91" t="str">
        <f t="shared" si="137"/>
        <v>Sinapi 100324</v>
      </c>
      <c r="K2196" s="91" t="str">
        <f t="shared" si="138"/>
        <v>M3</v>
      </c>
      <c r="L2196" s="166" t="str">
        <f t="shared" si="139"/>
        <v>07/2019</v>
      </c>
      <c r="M2196" s="82"/>
      <c r="N2196" s="82"/>
    </row>
    <row r="2197" spans="1:14" x14ac:dyDescent="0.25">
      <c r="A2197" s="170" t="s">
        <v>14508</v>
      </c>
      <c r="B2197" s="170" t="s">
        <v>14509</v>
      </c>
      <c r="C2197" s="170" t="s">
        <v>870</v>
      </c>
      <c r="D2197" s="170" t="s">
        <v>1947</v>
      </c>
      <c r="E2197" s="171" t="s">
        <v>32736</v>
      </c>
      <c r="F2197" s="171" t="s">
        <v>36019</v>
      </c>
      <c r="G2197" s="82"/>
      <c r="H2197" s="96">
        <f t="shared" si="136"/>
        <v>517.55999999999995</v>
      </c>
      <c r="I2197" s="96">
        <f t="shared" si="136"/>
        <v>521.07000000000005</v>
      </c>
      <c r="J2197" s="91" t="str">
        <f t="shared" si="137"/>
        <v>Sinapi 103072</v>
      </c>
      <c r="K2197" s="91" t="str">
        <f t="shared" si="138"/>
        <v>M2</v>
      </c>
      <c r="L2197" s="166" t="str">
        <f t="shared" si="139"/>
        <v>09/2021</v>
      </c>
      <c r="M2197" s="82"/>
      <c r="N2197" s="82"/>
    </row>
    <row r="2198" spans="1:14" x14ac:dyDescent="0.25">
      <c r="A2198" s="170" t="s">
        <v>14510</v>
      </c>
      <c r="B2198" s="170" t="s">
        <v>14511</v>
      </c>
      <c r="C2198" s="170" t="s">
        <v>870</v>
      </c>
      <c r="D2198" s="170" t="s">
        <v>1947</v>
      </c>
      <c r="E2198" s="171" t="s">
        <v>32737</v>
      </c>
      <c r="F2198" s="171" t="s">
        <v>36020</v>
      </c>
      <c r="G2198" s="82"/>
      <c r="H2198" s="96">
        <f t="shared" si="136"/>
        <v>614.36</v>
      </c>
      <c r="I2198" s="96">
        <f t="shared" si="136"/>
        <v>618.15</v>
      </c>
      <c r="J2198" s="91" t="str">
        <f t="shared" si="137"/>
        <v>Sinapi 103073</v>
      </c>
      <c r="K2198" s="91" t="str">
        <f t="shared" si="138"/>
        <v>M2</v>
      </c>
      <c r="L2198" s="166" t="str">
        <f t="shared" si="139"/>
        <v>09/2021</v>
      </c>
      <c r="M2198" s="82"/>
      <c r="N2198" s="82"/>
    </row>
    <row r="2199" spans="1:14" x14ac:dyDescent="0.25">
      <c r="A2199" s="170" t="s">
        <v>14512</v>
      </c>
      <c r="B2199" s="170" t="s">
        <v>14513</v>
      </c>
      <c r="C2199" s="170" t="s">
        <v>870</v>
      </c>
      <c r="D2199" s="170" t="s">
        <v>1947</v>
      </c>
      <c r="E2199" s="171" t="s">
        <v>32738</v>
      </c>
      <c r="F2199" s="171" t="s">
        <v>36021</v>
      </c>
      <c r="G2199" s="82"/>
      <c r="H2199" s="96">
        <f t="shared" si="136"/>
        <v>288.99</v>
      </c>
      <c r="I2199" s="96">
        <f t="shared" si="136"/>
        <v>291.32</v>
      </c>
      <c r="J2199" s="91" t="str">
        <f t="shared" si="137"/>
        <v>Sinapi 103074</v>
      </c>
      <c r="K2199" s="91" t="str">
        <f t="shared" si="138"/>
        <v>M2</v>
      </c>
      <c r="L2199" s="166" t="str">
        <f t="shared" si="139"/>
        <v>09/2021</v>
      </c>
      <c r="M2199" s="82"/>
      <c r="N2199" s="82"/>
    </row>
    <row r="2200" spans="1:14" x14ac:dyDescent="0.25">
      <c r="A2200" s="170" t="s">
        <v>14514</v>
      </c>
      <c r="B2200" s="170" t="s">
        <v>14515</v>
      </c>
      <c r="C2200" s="170" t="s">
        <v>870</v>
      </c>
      <c r="D2200" s="170" t="s">
        <v>1947</v>
      </c>
      <c r="E2200" s="171" t="s">
        <v>32739</v>
      </c>
      <c r="F2200" s="171" t="s">
        <v>36022</v>
      </c>
      <c r="G2200" s="82"/>
      <c r="H2200" s="96">
        <f t="shared" si="136"/>
        <v>333.58</v>
      </c>
      <c r="I2200" s="96">
        <f t="shared" si="136"/>
        <v>336.16</v>
      </c>
      <c r="J2200" s="91" t="str">
        <f t="shared" si="137"/>
        <v>Sinapi 103075</v>
      </c>
      <c r="K2200" s="91" t="str">
        <f t="shared" si="138"/>
        <v>M2</v>
      </c>
      <c r="L2200" s="166" t="str">
        <f t="shared" si="139"/>
        <v>09/2021</v>
      </c>
      <c r="M2200" s="82"/>
      <c r="N2200" s="82"/>
    </row>
    <row r="2201" spans="1:14" x14ac:dyDescent="0.25">
      <c r="A2201" s="170" t="s">
        <v>14516</v>
      </c>
      <c r="B2201" s="170" t="s">
        <v>14517</v>
      </c>
      <c r="C2201" s="170" t="s">
        <v>870</v>
      </c>
      <c r="D2201" s="170" t="s">
        <v>1947</v>
      </c>
      <c r="E2201" s="171" t="s">
        <v>32740</v>
      </c>
      <c r="F2201" s="171" t="s">
        <v>36023</v>
      </c>
      <c r="G2201" s="82"/>
      <c r="H2201" s="96">
        <f t="shared" si="136"/>
        <v>228.35</v>
      </c>
      <c r="I2201" s="96">
        <f t="shared" si="136"/>
        <v>230.52</v>
      </c>
      <c r="J2201" s="91" t="str">
        <f t="shared" si="137"/>
        <v>Sinapi 103076</v>
      </c>
      <c r="K2201" s="91" t="str">
        <f t="shared" si="138"/>
        <v>M2</v>
      </c>
      <c r="L2201" s="166" t="str">
        <f t="shared" si="139"/>
        <v>09/2021</v>
      </c>
      <c r="M2201" s="82"/>
      <c r="N2201" s="82"/>
    </row>
    <row r="2202" spans="1:14" x14ac:dyDescent="0.25">
      <c r="A2202" s="170" t="s">
        <v>14518</v>
      </c>
      <c r="B2202" s="170" t="s">
        <v>14519</v>
      </c>
      <c r="C2202" s="170" t="s">
        <v>870</v>
      </c>
      <c r="D2202" s="170" t="s">
        <v>1947</v>
      </c>
      <c r="E2202" s="171" t="s">
        <v>28502</v>
      </c>
      <c r="F2202" s="171" t="s">
        <v>36024</v>
      </c>
      <c r="G2202" s="82"/>
      <c r="H2202" s="96">
        <f t="shared" si="136"/>
        <v>308.22000000000003</v>
      </c>
      <c r="I2202" s="96">
        <f t="shared" si="136"/>
        <v>310.75</v>
      </c>
      <c r="J2202" s="91" t="str">
        <f t="shared" si="137"/>
        <v>Sinapi 103077</v>
      </c>
      <c r="K2202" s="91" t="str">
        <f t="shared" si="138"/>
        <v>M2</v>
      </c>
      <c r="L2202" s="166" t="str">
        <f t="shared" si="139"/>
        <v>09/2021</v>
      </c>
      <c r="M2202" s="82"/>
      <c r="N2202" s="82"/>
    </row>
    <row r="2203" spans="1:14" x14ac:dyDescent="0.25">
      <c r="A2203" s="170" t="s">
        <v>14520</v>
      </c>
      <c r="B2203" s="170" t="s">
        <v>14521</v>
      </c>
      <c r="C2203" s="170" t="s">
        <v>870</v>
      </c>
      <c r="D2203" s="170" t="s">
        <v>1947</v>
      </c>
      <c r="E2203" s="171" t="s">
        <v>32741</v>
      </c>
      <c r="F2203" s="171" t="s">
        <v>36025</v>
      </c>
      <c r="G2203" s="82"/>
      <c r="H2203" s="96">
        <f t="shared" si="136"/>
        <v>384.91</v>
      </c>
      <c r="I2203" s="96">
        <f t="shared" si="136"/>
        <v>387.75</v>
      </c>
      <c r="J2203" s="91" t="str">
        <f t="shared" si="137"/>
        <v>Sinapi 103078</v>
      </c>
      <c r="K2203" s="91" t="str">
        <f t="shared" si="138"/>
        <v>M2</v>
      </c>
      <c r="L2203" s="166" t="str">
        <f t="shared" si="139"/>
        <v>09/2021</v>
      </c>
      <c r="M2203" s="82"/>
      <c r="N2203" s="82"/>
    </row>
    <row r="2204" spans="1:14" x14ac:dyDescent="0.25">
      <c r="A2204" s="170" t="s">
        <v>14522</v>
      </c>
      <c r="B2204" s="170" t="s">
        <v>14523</v>
      </c>
      <c r="C2204" s="170" t="s">
        <v>870</v>
      </c>
      <c r="D2204" s="170" t="s">
        <v>1947</v>
      </c>
      <c r="E2204" s="171" t="s">
        <v>32742</v>
      </c>
      <c r="F2204" s="171" t="s">
        <v>36026</v>
      </c>
      <c r="G2204" s="82"/>
      <c r="H2204" s="96">
        <f t="shared" si="136"/>
        <v>467.42</v>
      </c>
      <c r="I2204" s="96">
        <f t="shared" si="136"/>
        <v>470.64</v>
      </c>
      <c r="J2204" s="91" t="str">
        <f t="shared" si="137"/>
        <v>Sinapi 103079</v>
      </c>
      <c r="K2204" s="91" t="str">
        <f t="shared" si="138"/>
        <v>M2</v>
      </c>
      <c r="L2204" s="166" t="str">
        <f t="shared" si="139"/>
        <v>09/2021</v>
      </c>
      <c r="M2204" s="82"/>
      <c r="N2204" s="82"/>
    </row>
    <row r="2205" spans="1:14" x14ac:dyDescent="0.25">
      <c r="A2205" s="170" t="s">
        <v>14524</v>
      </c>
      <c r="B2205" s="170" t="s">
        <v>14525</v>
      </c>
      <c r="C2205" s="170" t="s">
        <v>870</v>
      </c>
      <c r="D2205" s="170" t="s">
        <v>1947</v>
      </c>
      <c r="E2205" s="171" t="s">
        <v>32743</v>
      </c>
      <c r="F2205" s="171" t="s">
        <v>36027</v>
      </c>
      <c r="G2205" s="82"/>
      <c r="H2205" s="96">
        <f t="shared" si="136"/>
        <v>564.22</v>
      </c>
      <c r="I2205" s="96">
        <f t="shared" si="136"/>
        <v>567.72</v>
      </c>
      <c r="J2205" s="91" t="str">
        <f t="shared" si="137"/>
        <v>Sinapi 103080</v>
      </c>
      <c r="K2205" s="91" t="str">
        <f t="shared" si="138"/>
        <v>M2</v>
      </c>
      <c r="L2205" s="166" t="str">
        <f t="shared" si="139"/>
        <v>09/2021</v>
      </c>
      <c r="M2205" s="82"/>
      <c r="N2205" s="82"/>
    </row>
    <row r="2206" spans="1:14" x14ac:dyDescent="0.25">
      <c r="A2206" s="170" t="s">
        <v>5039</v>
      </c>
      <c r="B2206" s="170" t="s">
        <v>11348</v>
      </c>
      <c r="C2206" s="170" t="s">
        <v>870</v>
      </c>
      <c r="D2206" s="170" t="s">
        <v>2067</v>
      </c>
      <c r="E2206" s="171" t="s">
        <v>32744</v>
      </c>
      <c r="F2206" s="171" t="s">
        <v>36028</v>
      </c>
      <c r="G2206" s="82"/>
      <c r="H2206" s="96">
        <f t="shared" si="136"/>
        <v>181.96</v>
      </c>
      <c r="I2206" s="96">
        <f t="shared" si="136"/>
        <v>186.66</v>
      </c>
      <c r="J2206" s="91" t="str">
        <f t="shared" si="137"/>
        <v>Sinapi 92263</v>
      </c>
      <c r="K2206" s="91" t="str">
        <f t="shared" si="138"/>
        <v>M2</v>
      </c>
      <c r="L2206" s="166" t="str">
        <f t="shared" si="139"/>
        <v>09/2020</v>
      </c>
      <c r="M2206" s="82"/>
      <c r="N2206" s="82"/>
    </row>
    <row r="2207" spans="1:14" x14ac:dyDescent="0.25">
      <c r="A2207" s="170" t="s">
        <v>5040</v>
      </c>
      <c r="B2207" s="170" t="s">
        <v>11349</v>
      </c>
      <c r="C2207" s="170" t="s">
        <v>870</v>
      </c>
      <c r="D2207" s="170" t="s">
        <v>2067</v>
      </c>
      <c r="E2207" s="171" t="s">
        <v>30221</v>
      </c>
      <c r="F2207" s="171" t="s">
        <v>36029</v>
      </c>
      <c r="G2207" s="82"/>
      <c r="H2207" s="96">
        <f t="shared" si="136"/>
        <v>254.88</v>
      </c>
      <c r="I2207" s="96">
        <f t="shared" si="136"/>
        <v>259.58</v>
      </c>
      <c r="J2207" s="91" t="str">
        <f t="shared" si="137"/>
        <v>Sinapi 92264</v>
      </c>
      <c r="K2207" s="91" t="str">
        <f t="shared" si="138"/>
        <v>M2</v>
      </c>
      <c r="L2207" s="166" t="str">
        <f t="shared" si="139"/>
        <v>09/2020</v>
      </c>
      <c r="M2207" s="82"/>
      <c r="N2207" s="82"/>
    </row>
    <row r="2208" spans="1:14" x14ac:dyDescent="0.25">
      <c r="A2208" s="170" t="s">
        <v>5041</v>
      </c>
      <c r="B2208" s="170" t="s">
        <v>11350</v>
      </c>
      <c r="C2208" s="170" t="s">
        <v>870</v>
      </c>
      <c r="D2208" s="170" t="s">
        <v>2067</v>
      </c>
      <c r="E2208" s="171" t="s">
        <v>32745</v>
      </c>
      <c r="F2208" s="171" t="s">
        <v>36030</v>
      </c>
      <c r="G2208" s="82"/>
      <c r="H2208" s="96">
        <f t="shared" si="136"/>
        <v>140.66999999999999</v>
      </c>
      <c r="I2208" s="96">
        <f t="shared" si="136"/>
        <v>144.41</v>
      </c>
      <c r="J2208" s="91" t="str">
        <f t="shared" si="137"/>
        <v>Sinapi 92265</v>
      </c>
      <c r="K2208" s="91" t="str">
        <f t="shared" si="138"/>
        <v>M2</v>
      </c>
      <c r="L2208" s="166" t="str">
        <f t="shared" si="139"/>
        <v>09/2020</v>
      </c>
      <c r="M2208" s="82"/>
      <c r="N2208" s="82"/>
    </row>
    <row r="2209" spans="1:14" x14ac:dyDescent="0.25">
      <c r="A2209" s="170" t="s">
        <v>5042</v>
      </c>
      <c r="B2209" s="170" t="s">
        <v>11351</v>
      </c>
      <c r="C2209" s="170" t="s">
        <v>870</v>
      </c>
      <c r="D2209" s="170" t="s">
        <v>2067</v>
      </c>
      <c r="E2209" s="171" t="s">
        <v>32746</v>
      </c>
      <c r="F2209" s="171" t="s">
        <v>34354</v>
      </c>
      <c r="G2209" s="82"/>
      <c r="H2209" s="96">
        <f t="shared" si="136"/>
        <v>203.22</v>
      </c>
      <c r="I2209" s="96">
        <f t="shared" si="136"/>
        <v>206.96</v>
      </c>
      <c r="J2209" s="91" t="str">
        <f t="shared" si="137"/>
        <v>Sinapi 92266</v>
      </c>
      <c r="K2209" s="91" t="str">
        <f t="shared" si="138"/>
        <v>M2</v>
      </c>
      <c r="L2209" s="166" t="str">
        <f t="shared" si="139"/>
        <v>09/2020</v>
      </c>
      <c r="M2209" s="82"/>
      <c r="N2209" s="82"/>
    </row>
    <row r="2210" spans="1:14" x14ac:dyDescent="0.25">
      <c r="A2210" s="170" t="s">
        <v>5043</v>
      </c>
      <c r="B2210" s="170" t="s">
        <v>11352</v>
      </c>
      <c r="C2210" s="170" t="s">
        <v>870</v>
      </c>
      <c r="D2210" s="170" t="s">
        <v>2067</v>
      </c>
      <c r="E2210" s="171" t="s">
        <v>32747</v>
      </c>
      <c r="F2210" s="171" t="s">
        <v>28644</v>
      </c>
      <c r="G2210" s="82"/>
      <c r="H2210" s="96">
        <f t="shared" si="136"/>
        <v>83.36</v>
      </c>
      <c r="I2210" s="96">
        <f t="shared" si="136"/>
        <v>83.45</v>
      </c>
      <c r="J2210" s="91" t="str">
        <f t="shared" si="137"/>
        <v>Sinapi 92267</v>
      </c>
      <c r="K2210" s="91" t="str">
        <f t="shared" si="138"/>
        <v>M2</v>
      </c>
      <c r="L2210" s="166" t="str">
        <f t="shared" si="139"/>
        <v>09/2020</v>
      </c>
      <c r="M2210" s="82"/>
      <c r="N2210" s="82"/>
    </row>
    <row r="2211" spans="1:14" x14ac:dyDescent="0.25">
      <c r="A2211" s="170" t="s">
        <v>5044</v>
      </c>
      <c r="B2211" s="170" t="s">
        <v>11353</v>
      </c>
      <c r="C2211" s="170" t="s">
        <v>870</v>
      </c>
      <c r="D2211" s="170" t="s">
        <v>2067</v>
      </c>
      <c r="E2211" s="171" t="s">
        <v>32745</v>
      </c>
      <c r="F2211" s="171" t="s">
        <v>29803</v>
      </c>
      <c r="G2211" s="82"/>
      <c r="H2211" s="96">
        <f t="shared" si="136"/>
        <v>140.66999999999999</v>
      </c>
      <c r="I2211" s="96">
        <f t="shared" si="136"/>
        <v>140.76</v>
      </c>
      <c r="J2211" s="91" t="str">
        <f t="shared" si="137"/>
        <v>Sinapi 92268</v>
      </c>
      <c r="K2211" s="91" t="str">
        <f t="shared" si="138"/>
        <v>M2</v>
      </c>
      <c r="L2211" s="166" t="str">
        <f t="shared" si="139"/>
        <v>09/2020</v>
      </c>
      <c r="M2211" s="82"/>
      <c r="N2211" s="82"/>
    </row>
    <row r="2212" spans="1:14" x14ac:dyDescent="0.25">
      <c r="A2212" s="170" t="s">
        <v>5045</v>
      </c>
      <c r="B2212" s="170" t="s">
        <v>11354</v>
      </c>
      <c r="C2212" s="170" t="s">
        <v>870</v>
      </c>
      <c r="D2212" s="170" t="s">
        <v>2067</v>
      </c>
      <c r="E2212" s="171" t="s">
        <v>29194</v>
      </c>
      <c r="F2212" s="171" t="s">
        <v>36031</v>
      </c>
      <c r="G2212" s="82"/>
      <c r="H2212" s="96">
        <f t="shared" si="136"/>
        <v>96.81</v>
      </c>
      <c r="I2212" s="96">
        <f t="shared" si="136"/>
        <v>99.45</v>
      </c>
      <c r="J2212" s="91" t="str">
        <f t="shared" si="137"/>
        <v>Sinapi 92269</v>
      </c>
      <c r="K2212" s="91" t="str">
        <f t="shared" si="138"/>
        <v>M2</v>
      </c>
      <c r="L2212" s="166" t="str">
        <f t="shared" si="139"/>
        <v>09/2020</v>
      </c>
      <c r="M2212" s="82"/>
      <c r="N2212" s="82"/>
    </row>
    <row r="2213" spans="1:14" x14ac:dyDescent="0.25">
      <c r="A2213" s="170" t="s">
        <v>5046</v>
      </c>
      <c r="B2213" s="170" t="s">
        <v>11355</v>
      </c>
      <c r="C2213" s="170" t="s">
        <v>870</v>
      </c>
      <c r="D2213" s="170" t="s">
        <v>2067</v>
      </c>
      <c r="E2213" s="171" t="s">
        <v>28495</v>
      </c>
      <c r="F2213" s="171" t="s">
        <v>36032</v>
      </c>
      <c r="G2213" s="82"/>
      <c r="H2213" s="96">
        <f t="shared" si="136"/>
        <v>143.02000000000001</v>
      </c>
      <c r="I2213" s="96">
        <f t="shared" si="136"/>
        <v>146.35</v>
      </c>
      <c r="J2213" s="91" t="str">
        <f t="shared" si="137"/>
        <v>Sinapi 92270</v>
      </c>
      <c r="K2213" s="91" t="str">
        <f t="shared" si="138"/>
        <v>M2</v>
      </c>
      <c r="L2213" s="166" t="str">
        <f t="shared" si="139"/>
        <v>09/2020</v>
      </c>
      <c r="M2213" s="82"/>
      <c r="N2213" s="82"/>
    </row>
    <row r="2214" spans="1:14" x14ac:dyDescent="0.25">
      <c r="A2214" s="170" t="s">
        <v>5047</v>
      </c>
      <c r="B2214" s="170" t="s">
        <v>11356</v>
      </c>
      <c r="C2214" s="170" t="s">
        <v>870</v>
      </c>
      <c r="D2214" s="170" t="s">
        <v>2067</v>
      </c>
      <c r="E2214" s="171" t="s">
        <v>32748</v>
      </c>
      <c r="F2214" s="171" t="s">
        <v>36033</v>
      </c>
      <c r="G2214" s="82"/>
      <c r="H2214" s="96">
        <f t="shared" si="136"/>
        <v>89.82</v>
      </c>
      <c r="I2214" s="96">
        <f t="shared" si="136"/>
        <v>89.85</v>
      </c>
      <c r="J2214" s="91" t="str">
        <f t="shared" si="137"/>
        <v>Sinapi 92271</v>
      </c>
      <c r="K2214" s="91" t="str">
        <f t="shared" si="138"/>
        <v>M2</v>
      </c>
      <c r="L2214" s="166" t="str">
        <f t="shared" si="139"/>
        <v>09/2020</v>
      </c>
      <c r="M2214" s="82"/>
      <c r="N2214" s="82"/>
    </row>
    <row r="2215" spans="1:14" x14ac:dyDescent="0.25">
      <c r="A2215" s="170" t="s">
        <v>5048</v>
      </c>
      <c r="B2215" s="170" t="s">
        <v>11357</v>
      </c>
      <c r="C2215" s="170" t="s">
        <v>385</v>
      </c>
      <c r="D2215" s="170" t="s">
        <v>2067</v>
      </c>
      <c r="E2215" s="171" t="s">
        <v>19838</v>
      </c>
      <c r="F2215" s="171" t="s">
        <v>36034</v>
      </c>
      <c r="G2215" s="82"/>
      <c r="H2215" s="96">
        <f t="shared" si="136"/>
        <v>36.9</v>
      </c>
      <c r="I2215" s="96">
        <f t="shared" si="136"/>
        <v>37.46</v>
      </c>
      <c r="J2215" s="91" t="str">
        <f t="shared" si="137"/>
        <v>Sinapi 92272</v>
      </c>
      <c r="K2215" s="91" t="str">
        <f t="shared" si="138"/>
        <v>M</v>
      </c>
      <c r="L2215" s="166" t="str">
        <f t="shared" si="139"/>
        <v>09/2020</v>
      </c>
      <c r="M2215" s="82"/>
      <c r="N2215" s="82"/>
    </row>
    <row r="2216" spans="1:14" x14ac:dyDescent="0.25">
      <c r="A2216" s="170" t="s">
        <v>5049</v>
      </c>
      <c r="B2216" s="170" t="s">
        <v>11358</v>
      </c>
      <c r="C2216" s="170" t="s">
        <v>385</v>
      </c>
      <c r="D2216" s="170" t="s">
        <v>2067</v>
      </c>
      <c r="E2216" s="171" t="s">
        <v>15800</v>
      </c>
      <c r="F2216" s="171" t="s">
        <v>22095</v>
      </c>
      <c r="G2216" s="82"/>
      <c r="H2216" s="96">
        <f t="shared" si="136"/>
        <v>11.5</v>
      </c>
      <c r="I2216" s="96">
        <f t="shared" si="136"/>
        <v>11.89</v>
      </c>
      <c r="J2216" s="91" t="str">
        <f t="shared" si="137"/>
        <v>Sinapi 92273</v>
      </c>
      <c r="K2216" s="91" t="str">
        <f t="shared" si="138"/>
        <v>M</v>
      </c>
      <c r="L2216" s="166" t="str">
        <f t="shared" si="139"/>
        <v>09/2020</v>
      </c>
      <c r="M2216" s="82"/>
      <c r="N2216" s="82"/>
    </row>
    <row r="2217" spans="1:14" x14ac:dyDescent="0.25">
      <c r="A2217" s="170" t="s">
        <v>5050</v>
      </c>
      <c r="B2217" s="170" t="s">
        <v>11359</v>
      </c>
      <c r="C2217" s="170" t="s">
        <v>870</v>
      </c>
      <c r="D2217" s="170" t="s">
        <v>2067</v>
      </c>
      <c r="E2217" s="171" t="s">
        <v>32749</v>
      </c>
      <c r="F2217" s="171" t="s">
        <v>29200</v>
      </c>
      <c r="G2217" s="82"/>
      <c r="H2217" s="96">
        <f t="shared" si="136"/>
        <v>184.29</v>
      </c>
      <c r="I2217" s="96">
        <f t="shared" si="136"/>
        <v>196.96</v>
      </c>
      <c r="J2217" s="91" t="str">
        <f t="shared" si="137"/>
        <v>Sinapi 92409</v>
      </c>
      <c r="K2217" s="91" t="str">
        <f t="shared" si="138"/>
        <v>M2</v>
      </c>
      <c r="L2217" s="166" t="str">
        <f t="shared" si="139"/>
        <v>09/2020</v>
      </c>
      <c r="M2217" s="82"/>
      <c r="N2217" s="82"/>
    </row>
    <row r="2218" spans="1:14" x14ac:dyDescent="0.25">
      <c r="A2218" s="170" t="s">
        <v>5051</v>
      </c>
      <c r="B2218" s="170" t="s">
        <v>11360</v>
      </c>
      <c r="C2218" s="170" t="s">
        <v>870</v>
      </c>
      <c r="D2218" s="170" t="s">
        <v>2067</v>
      </c>
      <c r="E2218" s="171" t="s">
        <v>32750</v>
      </c>
      <c r="F2218" s="171" t="s">
        <v>31892</v>
      </c>
      <c r="G2218" s="82"/>
      <c r="H2218" s="96">
        <f t="shared" si="136"/>
        <v>126.91</v>
      </c>
      <c r="I2218" s="96">
        <f t="shared" si="136"/>
        <v>137.11000000000001</v>
      </c>
      <c r="J2218" s="91" t="str">
        <f t="shared" si="137"/>
        <v>Sinapi 92411</v>
      </c>
      <c r="K2218" s="91" t="str">
        <f t="shared" si="138"/>
        <v>M2</v>
      </c>
      <c r="L2218" s="166" t="str">
        <f t="shared" si="139"/>
        <v>09/2020</v>
      </c>
      <c r="M2218" s="82"/>
      <c r="N2218" s="82"/>
    </row>
    <row r="2219" spans="1:14" x14ac:dyDescent="0.25">
      <c r="A2219" s="170" t="s">
        <v>5052</v>
      </c>
      <c r="B2219" s="170" t="s">
        <v>11361</v>
      </c>
      <c r="C2219" s="170" t="s">
        <v>870</v>
      </c>
      <c r="D2219" s="170" t="s">
        <v>2067</v>
      </c>
      <c r="E2219" s="171" t="s">
        <v>28769</v>
      </c>
      <c r="F2219" s="171" t="s">
        <v>26233</v>
      </c>
      <c r="G2219" s="82"/>
      <c r="H2219" s="96">
        <f t="shared" si="136"/>
        <v>84.96</v>
      </c>
      <c r="I2219" s="96">
        <f t="shared" si="136"/>
        <v>92.45</v>
      </c>
      <c r="J2219" s="91" t="str">
        <f t="shared" si="137"/>
        <v>Sinapi 92413</v>
      </c>
      <c r="K2219" s="91" t="str">
        <f t="shared" si="138"/>
        <v>M2</v>
      </c>
      <c r="L2219" s="166" t="str">
        <f t="shared" si="139"/>
        <v>09/2020</v>
      </c>
      <c r="M2219" s="82"/>
      <c r="N2219" s="82"/>
    </row>
    <row r="2220" spans="1:14" x14ac:dyDescent="0.25">
      <c r="A2220" s="170" t="s">
        <v>5053</v>
      </c>
      <c r="B2220" s="170" t="s">
        <v>11362</v>
      </c>
      <c r="C2220" s="170" t="s">
        <v>870</v>
      </c>
      <c r="D2220" s="170" t="s">
        <v>2067</v>
      </c>
      <c r="E2220" s="171" t="s">
        <v>32751</v>
      </c>
      <c r="F2220" s="171" t="s">
        <v>29262</v>
      </c>
      <c r="G2220" s="82"/>
      <c r="H2220" s="96">
        <f t="shared" si="136"/>
        <v>145.47999999999999</v>
      </c>
      <c r="I2220" s="96">
        <f t="shared" si="136"/>
        <v>151.66</v>
      </c>
      <c r="J2220" s="91" t="str">
        <f t="shared" si="137"/>
        <v>Sinapi 92415</v>
      </c>
      <c r="K2220" s="91" t="str">
        <f t="shared" si="138"/>
        <v>M2</v>
      </c>
      <c r="L2220" s="166" t="str">
        <f t="shared" si="139"/>
        <v>09/2020</v>
      </c>
      <c r="M2220" s="82"/>
      <c r="N2220" s="82"/>
    </row>
    <row r="2221" spans="1:14" x14ac:dyDescent="0.25">
      <c r="A2221" s="170" t="s">
        <v>5054</v>
      </c>
      <c r="B2221" s="170" t="s">
        <v>11363</v>
      </c>
      <c r="C2221" s="170" t="s">
        <v>870</v>
      </c>
      <c r="D2221" s="170" t="s">
        <v>2067</v>
      </c>
      <c r="E2221" s="171" t="s">
        <v>29094</v>
      </c>
      <c r="F2221" s="171" t="s">
        <v>36035</v>
      </c>
      <c r="G2221" s="82"/>
      <c r="H2221" s="96">
        <f t="shared" si="136"/>
        <v>165.87</v>
      </c>
      <c r="I2221" s="96">
        <f t="shared" si="136"/>
        <v>174.46</v>
      </c>
      <c r="J2221" s="91" t="str">
        <f t="shared" si="137"/>
        <v>Sinapi 92417</v>
      </c>
      <c r="K2221" s="91" t="str">
        <f t="shared" si="138"/>
        <v>M2</v>
      </c>
      <c r="L2221" s="166" t="str">
        <f t="shared" si="139"/>
        <v>09/2020</v>
      </c>
      <c r="M2221" s="82"/>
      <c r="N2221" s="82"/>
    </row>
    <row r="2222" spans="1:14" x14ac:dyDescent="0.25">
      <c r="A2222" s="170" t="s">
        <v>5055</v>
      </c>
      <c r="B2222" s="170" t="s">
        <v>11364</v>
      </c>
      <c r="C2222" s="170" t="s">
        <v>870</v>
      </c>
      <c r="D2222" s="170" t="s">
        <v>2067</v>
      </c>
      <c r="E2222" s="171" t="s">
        <v>32752</v>
      </c>
      <c r="F2222" s="171" t="s">
        <v>32431</v>
      </c>
      <c r="G2222" s="82"/>
      <c r="H2222" s="96">
        <f t="shared" si="136"/>
        <v>90.56</v>
      </c>
      <c r="I2222" s="96">
        <f t="shared" si="136"/>
        <v>94.66</v>
      </c>
      <c r="J2222" s="91" t="str">
        <f t="shared" si="137"/>
        <v>Sinapi 92419</v>
      </c>
      <c r="K2222" s="91" t="str">
        <f t="shared" si="138"/>
        <v>M2</v>
      </c>
      <c r="L2222" s="166" t="str">
        <f t="shared" si="139"/>
        <v>09/2020</v>
      </c>
      <c r="M2222" s="82"/>
      <c r="N2222" s="82"/>
    </row>
    <row r="2223" spans="1:14" x14ac:dyDescent="0.25">
      <c r="A2223" s="170" t="s">
        <v>5056</v>
      </c>
      <c r="B2223" s="170" t="s">
        <v>11365</v>
      </c>
      <c r="C2223" s="170" t="s">
        <v>870</v>
      </c>
      <c r="D2223" s="170" t="s">
        <v>2067</v>
      </c>
      <c r="E2223" s="171" t="s">
        <v>32753</v>
      </c>
      <c r="F2223" s="171" t="s">
        <v>36036</v>
      </c>
      <c r="G2223" s="82"/>
      <c r="H2223" s="96">
        <f t="shared" si="136"/>
        <v>106.2</v>
      </c>
      <c r="I2223" s="96">
        <f t="shared" si="136"/>
        <v>112.13</v>
      </c>
      <c r="J2223" s="91" t="str">
        <f t="shared" si="137"/>
        <v>Sinapi 92421</v>
      </c>
      <c r="K2223" s="91" t="str">
        <f t="shared" si="138"/>
        <v>M2</v>
      </c>
      <c r="L2223" s="166" t="str">
        <f t="shared" si="139"/>
        <v>09/2020</v>
      </c>
      <c r="M2223" s="82"/>
      <c r="N2223" s="82"/>
    </row>
    <row r="2224" spans="1:14" x14ac:dyDescent="0.25">
      <c r="A2224" s="170" t="s">
        <v>5057</v>
      </c>
      <c r="B2224" s="170" t="s">
        <v>11366</v>
      </c>
      <c r="C2224" s="170" t="s">
        <v>870</v>
      </c>
      <c r="D2224" s="170" t="s">
        <v>2067</v>
      </c>
      <c r="E2224" s="171" t="s">
        <v>32754</v>
      </c>
      <c r="F2224" s="171" t="s">
        <v>36037</v>
      </c>
      <c r="G2224" s="82"/>
      <c r="H2224" s="96">
        <f t="shared" si="136"/>
        <v>73.72</v>
      </c>
      <c r="I2224" s="96">
        <f t="shared" si="136"/>
        <v>77.08</v>
      </c>
      <c r="J2224" s="91" t="str">
        <f t="shared" si="137"/>
        <v>Sinapi 92423</v>
      </c>
      <c r="K2224" s="91" t="str">
        <f t="shared" si="138"/>
        <v>M2</v>
      </c>
      <c r="L2224" s="166" t="str">
        <f t="shared" si="139"/>
        <v>09/2020</v>
      </c>
      <c r="M2224" s="82"/>
      <c r="N2224" s="82"/>
    </row>
    <row r="2225" spans="1:14" x14ac:dyDescent="0.25">
      <c r="A2225" s="170" t="s">
        <v>5058</v>
      </c>
      <c r="B2225" s="170" t="s">
        <v>11367</v>
      </c>
      <c r="C2225" s="170" t="s">
        <v>870</v>
      </c>
      <c r="D2225" s="170" t="s">
        <v>2067</v>
      </c>
      <c r="E2225" s="171" t="s">
        <v>28802</v>
      </c>
      <c r="F2225" s="171" t="s">
        <v>36038</v>
      </c>
      <c r="G2225" s="82"/>
      <c r="H2225" s="96">
        <f t="shared" si="136"/>
        <v>87.31</v>
      </c>
      <c r="I2225" s="96">
        <f t="shared" si="136"/>
        <v>92.28</v>
      </c>
      <c r="J2225" s="91" t="str">
        <f t="shared" si="137"/>
        <v>Sinapi 92425</v>
      </c>
      <c r="K2225" s="91" t="str">
        <f t="shared" si="138"/>
        <v>M2</v>
      </c>
      <c r="L2225" s="166" t="str">
        <f t="shared" si="139"/>
        <v>09/2020</v>
      </c>
      <c r="M2225" s="82"/>
      <c r="N2225" s="82"/>
    </row>
    <row r="2226" spans="1:14" x14ac:dyDescent="0.25">
      <c r="A2226" s="170" t="s">
        <v>5059</v>
      </c>
      <c r="B2226" s="170" t="s">
        <v>11368</v>
      </c>
      <c r="C2226" s="170" t="s">
        <v>870</v>
      </c>
      <c r="D2226" s="170" t="s">
        <v>2067</v>
      </c>
      <c r="E2226" s="171" t="s">
        <v>22815</v>
      </c>
      <c r="F2226" s="171" t="s">
        <v>36039</v>
      </c>
      <c r="G2226" s="82"/>
      <c r="H2226" s="96">
        <f t="shared" si="136"/>
        <v>65.19</v>
      </c>
      <c r="I2226" s="96">
        <f t="shared" si="136"/>
        <v>68.19</v>
      </c>
      <c r="J2226" s="91" t="str">
        <f t="shared" si="137"/>
        <v>Sinapi 92427</v>
      </c>
      <c r="K2226" s="91" t="str">
        <f t="shared" si="138"/>
        <v>M2</v>
      </c>
      <c r="L2226" s="166" t="str">
        <f t="shared" si="139"/>
        <v>09/2020</v>
      </c>
      <c r="M2226" s="82"/>
      <c r="N2226" s="82"/>
    </row>
    <row r="2227" spans="1:14" x14ac:dyDescent="0.25">
      <c r="A2227" s="170" t="s">
        <v>5060</v>
      </c>
      <c r="B2227" s="170" t="s">
        <v>11369</v>
      </c>
      <c r="C2227" s="170" t="s">
        <v>870</v>
      </c>
      <c r="D2227" s="170" t="s">
        <v>2067</v>
      </c>
      <c r="E2227" s="171" t="s">
        <v>28780</v>
      </c>
      <c r="F2227" s="171" t="s">
        <v>36040</v>
      </c>
      <c r="G2227" s="82"/>
      <c r="H2227" s="96">
        <f t="shared" si="136"/>
        <v>77.790000000000006</v>
      </c>
      <c r="I2227" s="96">
        <f t="shared" si="136"/>
        <v>82.27</v>
      </c>
      <c r="J2227" s="91" t="str">
        <f t="shared" si="137"/>
        <v>Sinapi 92429</v>
      </c>
      <c r="K2227" s="91" t="str">
        <f t="shared" si="138"/>
        <v>M2</v>
      </c>
      <c r="L2227" s="166" t="str">
        <f t="shared" si="139"/>
        <v>09/2020</v>
      </c>
      <c r="M2227" s="82"/>
      <c r="N2227" s="82"/>
    </row>
    <row r="2228" spans="1:14" x14ac:dyDescent="0.25">
      <c r="A2228" s="170" t="s">
        <v>5061</v>
      </c>
      <c r="B2228" s="170" t="s">
        <v>11370</v>
      </c>
      <c r="C2228" s="170" t="s">
        <v>870</v>
      </c>
      <c r="D2228" s="170" t="s">
        <v>2067</v>
      </c>
      <c r="E2228" s="171" t="s">
        <v>32755</v>
      </c>
      <c r="F2228" s="171" t="s">
        <v>36041</v>
      </c>
      <c r="G2228" s="82"/>
      <c r="H2228" s="96">
        <f t="shared" si="136"/>
        <v>63.67</v>
      </c>
      <c r="I2228" s="96">
        <f t="shared" si="136"/>
        <v>66.34</v>
      </c>
      <c r="J2228" s="91" t="str">
        <f t="shared" si="137"/>
        <v>Sinapi 92431</v>
      </c>
      <c r="K2228" s="91" t="str">
        <f t="shared" si="138"/>
        <v>M2</v>
      </c>
      <c r="L2228" s="166" t="str">
        <f t="shared" si="139"/>
        <v>09/2020</v>
      </c>
      <c r="M2228" s="82"/>
      <c r="N2228" s="82"/>
    </row>
    <row r="2229" spans="1:14" x14ac:dyDescent="0.25">
      <c r="A2229" s="170" t="s">
        <v>5062</v>
      </c>
      <c r="B2229" s="170" t="s">
        <v>11371</v>
      </c>
      <c r="C2229" s="170" t="s">
        <v>870</v>
      </c>
      <c r="D2229" s="170" t="s">
        <v>2067</v>
      </c>
      <c r="E2229" s="171" t="s">
        <v>21458</v>
      </c>
      <c r="F2229" s="171" t="s">
        <v>29397</v>
      </c>
      <c r="G2229" s="82"/>
      <c r="H2229" s="96">
        <f t="shared" si="136"/>
        <v>75.63</v>
      </c>
      <c r="I2229" s="96">
        <f t="shared" si="136"/>
        <v>79.709999999999994</v>
      </c>
      <c r="J2229" s="91" t="str">
        <f t="shared" si="137"/>
        <v>Sinapi 92433</v>
      </c>
      <c r="K2229" s="91" t="str">
        <f t="shared" si="138"/>
        <v>M2</v>
      </c>
      <c r="L2229" s="166" t="str">
        <f t="shared" si="139"/>
        <v>09/2020</v>
      </c>
      <c r="M2229" s="82"/>
      <c r="N2229" s="82"/>
    </row>
    <row r="2230" spans="1:14" x14ac:dyDescent="0.25">
      <c r="A2230" s="170" t="s">
        <v>5063</v>
      </c>
      <c r="B2230" s="170" t="s">
        <v>11372</v>
      </c>
      <c r="C2230" s="170" t="s">
        <v>870</v>
      </c>
      <c r="D2230" s="170" t="s">
        <v>2067</v>
      </c>
      <c r="E2230" s="171" t="s">
        <v>32756</v>
      </c>
      <c r="F2230" s="171" t="s">
        <v>29291</v>
      </c>
      <c r="G2230" s="82"/>
      <c r="H2230" s="96">
        <f t="shared" si="136"/>
        <v>60.22</v>
      </c>
      <c r="I2230" s="96">
        <f t="shared" si="136"/>
        <v>62.78</v>
      </c>
      <c r="J2230" s="91" t="str">
        <f t="shared" si="137"/>
        <v>Sinapi 92435</v>
      </c>
      <c r="K2230" s="91" t="str">
        <f t="shared" si="138"/>
        <v>M2</v>
      </c>
      <c r="L2230" s="166" t="str">
        <f t="shared" si="139"/>
        <v>09/2020</v>
      </c>
      <c r="M2230" s="82"/>
      <c r="N2230" s="82"/>
    </row>
    <row r="2231" spans="1:14" x14ac:dyDescent="0.25">
      <c r="A2231" s="170" t="s">
        <v>5064</v>
      </c>
      <c r="B2231" s="170" t="s">
        <v>11373</v>
      </c>
      <c r="C2231" s="170" t="s">
        <v>870</v>
      </c>
      <c r="D2231" s="170" t="s">
        <v>2067</v>
      </c>
      <c r="E2231" s="171" t="s">
        <v>32757</v>
      </c>
      <c r="F2231" s="171" t="s">
        <v>28594</v>
      </c>
      <c r="G2231" s="82"/>
      <c r="H2231" s="96">
        <f t="shared" si="136"/>
        <v>71.78</v>
      </c>
      <c r="I2231" s="96">
        <f t="shared" si="136"/>
        <v>75.7</v>
      </c>
      <c r="J2231" s="91" t="str">
        <f t="shared" si="137"/>
        <v>Sinapi 92437</v>
      </c>
      <c r="K2231" s="91" t="str">
        <f t="shared" si="138"/>
        <v>M2</v>
      </c>
      <c r="L2231" s="166" t="str">
        <f t="shared" si="139"/>
        <v>09/2020</v>
      </c>
      <c r="M2231" s="82"/>
      <c r="N2231" s="82"/>
    </row>
    <row r="2232" spans="1:14" x14ac:dyDescent="0.25">
      <c r="A2232" s="170" t="s">
        <v>5065</v>
      </c>
      <c r="B2232" s="170" t="s">
        <v>11374</v>
      </c>
      <c r="C2232" s="170" t="s">
        <v>870</v>
      </c>
      <c r="D2232" s="170" t="s">
        <v>2067</v>
      </c>
      <c r="E2232" s="171" t="s">
        <v>22932</v>
      </c>
      <c r="F2232" s="171" t="s">
        <v>36042</v>
      </c>
      <c r="G2232" s="82"/>
      <c r="H2232" s="96">
        <f t="shared" si="136"/>
        <v>57.73</v>
      </c>
      <c r="I2232" s="96">
        <f t="shared" si="136"/>
        <v>60.19</v>
      </c>
      <c r="J2232" s="91" t="str">
        <f t="shared" si="137"/>
        <v>Sinapi 92439</v>
      </c>
      <c r="K2232" s="91" t="str">
        <f t="shared" si="138"/>
        <v>M2</v>
      </c>
      <c r="L2232" s="166" t="str">
        <f t="shared" si="139"/>
        <v>09/2020</v>
      </c>
      <c r="M2232" s="82"/>
      <c r="N2232" s="82"/>
    </row>
    <row r="2233" spans="1:14" x14ac:dyDescent="0.25">
      <c r="A2233" s="170" t="s">
        <v>5066</v>
      </c>
      <c r="B2233" s="170" t="s">
        <v>11375</v>
      </c>
      <c r="C2233" s="170" t="s">
        <v>870</v>
      </c>
      <c r="D2233" s="170" t="s">
        <v>2067</v>
      </c>
      <c r="E2233" s="171" t="s">
        <v>32758</v>
      </c>
      <c r="F2233" s="171" t="s">
        <v>36043</v>
      </c>
      <c r="G2233" s="82"/>
      <c r="H2233" s="96">
        <f t="shared" si="136"/>
        <v>69.010000000000005</v>
      </c>
      <c r="I2233" s="96">
        <f t="shared" si="136"/>
        <v>72.790000000000006</v>
      </c>
      <c r="J2233" s="91" t="str">
        <f t="shared" si="137"/>
        <v>Sinapi 92441</v>
      </c>
      <c r="K2233" s="91" t="str">
        <f t="shared" si="138"/>
        <v>M2</v>
      </c>
      <c r="L2233" s="166" t="str">
        <f t="shared" si="139"/>
        <v>09/2020</v>
      </c>
      <c r="M2233" s="82"/>
      <c r="N2233" s="82"/>
    </row>
    <row r="2234" spans="1:14" x14ac:dyDescent="0.25">
      <c r="A2234" s="170" t="s">
        <v>5067</v>
      </c>
      <c r="B2234" s="170" t="s">
        <v>11376</v>
      </c>
      <c r="C2234" s="170" t="s">
        <v>870</v>
      </c>
      <c r="D2234" s="170" t="s">
        <v>2067</v>
      </c>
      <c r="E2234" s="171" t="s">
        <v>21117</v>
      </c>
      <c r="F2234" s="171" t="s">
        <v>36044</v>
      </c>
      <c r="G2234" s="82"/>
      <c r="H2234" s="96">
        <f t="shared" si="136"/>
        <v>52.27</v>
      </c>
      <c r="I2234" s="96">
        <f t="shared" si="136"/>
        <v>54.58</v>
      </c>
      <c r="J2234" s="91" t="str">
        <f t="shared" si="137"/>
        <v>Sinapi 92443</v>
      </c>
      <c r="K2234" s="91" t="str">
        <f t="shared" si="138"/>
        <v>M2</v>
      </c>
      <c r="L2234" s="166" t="str">
        <f t="shared" si="139"/>
        <v>09/2020</v>
      </c>
      <c r="M2234" s="82"/>
      <c r="N2234" s="82"/>
    </row>
    <row r="2235" spans="1:14" x14ac:dyDescent="0.25">
      <c r="A2235" s="170" t="s">
        <v>5068</v>
      </c>
      <c r="B2235" s="170" t="s">
        <v>11377</v>
      </c>
      <c r="C2235" s="170" t="s">
        <v>870</v>
      </c>
      <c r="D2235" s="170" t="s">
        <v>2067</v>
      </c>
      <c r="E2235" s="171" t="s">
        <v>32759</v>
      </c>
      <c r="F2235" s="171" t="s">
        <v>29217</v>
      </c>
      <c r="G2235" s="82"/>
      <c r="H2235" s="96">
        <f t="shared" si="136"/>
        <v>63.15</v>
      </c>
      <c r="I2235" s="96">
        <f t="shared" si="136"/>
        <v>66.73</v>
      </c>
      <c r="J2235" s="91" t="str">
        <f t="shared" si="137"/>
        <v>Sinapi 92445</v>
      </c>
      <c r="K2235" s="91" t="str">
        <f t="shared" si="138"/>
        <v>M2</v>
      </c>
      <c r="L2235" s="166" t="str">
        <f t="shared" si="139"/>
        <v>09/2020</v>
      </c>
      <c r="M2235" s="82"/>
      <c r="N2235" s="82"/>
    </row>
    <row r="2236" spans="1:14" x14ac:dyDescent="0.25">
      <c r="A2236" s="170" t="s">
        <v>5069</v>
      </c>
      <c r="B2236" s="170" t="s">
        <v>11378</v>
      </c>
      <c r="C2236" s="170" t="s">
        <v>870</v>
      </c>
      <c r="D2236" s="170" t="s">
        <v>2067</v>
      </c>
      <c r="E2236" s="171" t="s">
        <v>32760</v>
      </c>
      <c r="F2236" s="171" t="s">
        <v>36045</v>
      </c>
      <c r="G2236" s="82"/>
      <c r="H2236" s="96">
        <f t="shared" si="136"/>
        <v>251.13</v>
      </c>
      <c r="I2236" s="96">
        <f t="shared" si="136"/>
        <v>263.36</v>
      </c>
      <c r="J2236" s="91" t="str">
        <f t="shared" si="137"/>
        <v>Sinapi 92446</v>
      </c>
      <c r="K2236" s="91" t="str">
        <f t="shared" si="138"/>
        <v>M2</v>
      </c>
      <c r="L2236" s="166" t="str">
        <f t="shared" si="139"/>
        <v>09/2020</v>
      </c>
      <c r="M2236" s="82"/>
      <c r="N2236" s="82"/>
    </row>
    <row r="2237" spans="1:14" x14ac:dyDescent="0.25">
      <c r="A2237" s="170" t="s">
        <v>5070</v>
      </c>
      <c r="B2237" s="170" t="s">
        <v>11379</v>
      </c>
      <c r="C2237" s="170" t="s">
        <v>870</v>
      </c>
      <c r="D2237" s="170" t="s">
        <v>2067</v>
      </c>
      <c r="E2237" s="171" t="s">
        <v>32761</v>
      </c>
      <c r="F2237" s="171" t="s">
        <v>36046</v>
      </c>
      <c r="G2237" s="82"/>
      <c r="H2237" s="96">
        <f t="shared" si="136"/>
        <v>174.69</v>
      </c>
      <c r="I2237" s="96">
        <f t="shared" si="136"/>
        <v>184.13</v>
      </c>
      <c r="J2237" s="91" t="str">
        <f t="shared" si="137"/>
        <v>Sinapi 92447</v>
      </c>
      <c r="K2237" s="91" t="str">
        <f t="shared" si="138"/>
        <v>M2</v>
      </c>
      <c r="L2237" s="166" t="str">
        <f t="shared" si="139"/>
        <v>09/2020</v>
      </c>
      <c r="M2237" s="82"/>
      <c r="N2237" s="82"/>
    </row>
    <row r="2238" spans="1:14" x14ac:dyDescent="0.25">
      <c r="A2238" s="170" t="s">
        <v>5071</v>
      </c>
      <c r="B2238" s="170" t="s">
        <v>11380</v>
      </c>
      <c r="C2238" s="170" t="s">
        <v>870</v>
      </c>
      <c r="D2238" s="170" t="s">
        <v>2067</v>
      </c>
      <c r="E2238" s="171" t="s">
        <v>32762</v>
      </c>
      <c r="F2238" s="171" t="s">
        <v>29203</v>
      </c>
      <c r="G2238" s="82"/>
      <c r="H2238" s="96">
        <f t="shared" si="136"/>
        <v>135.85</v>
      </c>
      <c r="I2238" s="96">
        <f t="shared" si="136"/>
        <v>143.55000000000001</v>
      </c>
      <c r="J2238" s="91" t="str">
        <f t="shared" si="137"/>
        <v>Sinapi 92448</v>
      </c>
      <c r="K2238" s="91" t="str">
        <f t="shared" si="138"/>
        <v>M2</v>
      </c>
      <c r="L2238" s="166" t="str">
        <f t="shared" si="139"/>
        <v>09/2020</v>
      </c>
      <c r="M2238" s="82"/>
      <c r="N2238" s="82"/>
    </row>
    <row r="2239" spans="1:14" x14ac:dyDescent="0.25">
      <c r="A2239" s="170" t="s">
        <v>5072</v>
      </c>
      <c r="B2239" s="170" t="s">
        <v>11381</v>
      </c>
      <c r="C2239" s="170" t="s">
        <v>870</v>
      </c>
      <c r="D2239" s="170" t="s">
        <v>2067</v>
      </c>
      <c r="E2239" s="171" t="s">
        <v>32763</v>
      </c>
      <c r="F2239" s="171" t="s">
        <v>36047</v>
      </c>
      <c r="G2239" s="82"/>
      <c r="H2239" s="96">
        <f t="shared" si="136"/>
        <v>280.23</v>
      </c>
      <c r="I2239" s="96">
        <f t="shared" si="136"/>
        <v>290.05</v>
      </c>
      <c r="J2239" s="91" t="str">
        <f t="shared" si="137"/>
        <v>Sinapi 92449</v>
      </c>
      <c r="K2239" s="91" t="str">
        <f t="shared" si="138"/>
        <v>M2</v>
      </c>
      <c r="L2239" s="166" t="str">
        <f t="shared" si="139"/>
        <v>09/2020</v>
      </c>
      <c r="M2239" s="82"/>
      <c r="N2239" s="82"/>
    </row>
    <row r="2240" spans="1:14" x14ac:dyDescent="0.25">
      <c r="A2240" s="170" t="s">
        <v>5073</v>
      </c>
      <c r="B2240" s="170" t="s">
        <v>11382</v>
      </c>
      <c r="C2240" s="170" t="s">
        <v>870</v>
      </c>
      <c r="D2240" s="170" t="s">
        <v>2067</v>
      </c>
      <c r="E2240" s="171" t="s">
        <v>32764</v>
      </c>
      <c r="F2240" s="171" t="s">
        <v>36048</v>
      </c>
      <c r="G2240" s="82"/>
      <c r="H2240" s="96">
        <f t="shared" si="136"/>
        <v>320.94</v>
      </c>
      <c r="I2240" s="96">
        <f t="shared" si="136"/>
        <v>331.03</v>
      </c>
      <c r="J2240" s="91" t="str">
        <f t="shared" si="137"/>
        <v>Sinapi 92450</v>
      </c>
      <c r="K2240" s="91" t="str">
        <f t="shared" si="138"/>
        <v>M2</v>
      </c>
      <c r="L2240" s="166" t="str">
        <f t="shared" si="139"/>
        <v>09/2020</v>
      </c>
      <c r="M2240" s="82"/>
      <c r="N2240" s="82"/>
    </row>
    <row r="2241" spans="1:14" x14ac:dyDescent="0.25">
      <c r="A2241" s="170" t="s">
        <v>5074</v>
      </c>
      <c r="B2241" s="170" t="s">
        <v>11383</v>
      </c>
      <c r="C2241" s="170" t="s">
        <v>870</v>
      </c>
      <c r="D2241" s="170" t="s">
        <v>2067</v>
      </c>
      <c r="E2241" s="171" t="s">
        <v>32765</v>
      </c>
      <c r="F2241" s="171" t="s">
        <v>36049</v>
      </c>
      <c r="G2241" s="82"/>
      <c r="H2241" s="96">
        <f t="shared" si="136"/>
        <v>194.63</v>
      </c>
      <c r="I2241" s="96">
        <f t="shared" si="136"/>
        <v>201.65</v>
      </c>
      <c r="J2241" s="91" t="str">
        <f t="shared" si="137"/>
        <v>Sinapi 92451</v>
      </c>
      <c r="K2241" s="91" t="str">
        <f t="shared" si="138"/>
        <v>M2</v>
      </c>
      <c r="L2241" s="166" t="str">
        <f t="shared" si="139"/>
        <v>09/2020</v>
      </c>
      <c r="M2241" s="82"/>
      <c r="N2241" s="82"/>
    </row>
    <row r="2242" spans="1:14" x14ac:dyDescent="0.25">
      <c r="A2242" s="170" t="s">
        <v>5075</v>
      </c>
      <c r="B2242" s="170" t="s">
        <v>11384</v>
      </c>
      <c r="C2242" s="170" t="s">
        <v>870</v>
      </c>
      <c r="D2242" s="170" t="s">
        <v>2067</v>
      </c>
      <c r="E2242" s="171" t="s">
        <v>28445</v>
      </c>
      <c r="F2242" s="171" t="s">
        <v>34652</v>
      </c>
      <c r="G2242" s="82"/>
      <c r="H2242" s="96">
        <f t="shared" si="136"/>
        <v>188.2</v>
      </c>
      <c r="I2242" s="96">
        <f t="shared" si="136"/>
        <v>196.37</v>
      </c>
      <c r="J2242" s="91" t="str">
        <f t="shared" si="137"/>
        <v>Sinapi 92452</v>
      </c>
      <c r="K2242" s="91" t="str">
        <f t="shared" si="138"/>
        <v>M2</v>
      </c>
      <c r="L2242" s="166" t="str">
        <f t="shared" si="139"/>
        <v>09/2020</v>
      </c>
      <c r="M2242" s="82"/>
      <c r="N2242" s="82"/>
    </row>
    <row r="2243" spans="1:14" x14ac:dyDescent="0.25">
      <c r="A2243" s="170" t="s">
        <v>5076</v>
      </c>
      <c r="B2243" s="170" t="s">
        <v>11385</v>
      </c>
      <c r="C2243" s="170" t="s">
        <v>870</v>
      </c>
      <c r="D2243" s="170" t="s">
        <v>2067</v>
      </c>
      <c r="E2243" s="171" t="s">
        <v>32766</v>
      </c>
      <c r="F2243" s="171" t="s">
        <v>36050</v>
      </c>
      <c r="G2243" s="82"/>
      <c r="H2243" s="96">
        <f t="shared" si="136"/>
        <v>237.81</v>
      </c>
      <c r="I2243" s="96">
        <f t="shared" si="136"/>
        <v>246.33</v>
      </c>
      <c r="J2243" s="91" t="str">
        <f t="shared" si="137"/>
        <v>Sinapi 92453</v>
      </c>
      <c r="K2243" s="91" t="str">
        <f t="shared" si="138"/>
        <v>M2</v>
      </c>
      <c r="L2243" s="166" t="str">
        <f t="shared" si="139"/>
        <v>09/2020</v>
      </c>
      <c r="M2243" s="82"/>
      <c r="N2243" s="82"/>
    </row>
    <row r="2244" spans="1:14" x14ac:dyDescent="0.25">
      <c r="A2244" s="170" t="s">
        <v>5077</v>
      </c>
      <c r="B2244" s="170" t="s">
        <v>11386</v>
      </c>
      <c r="C2244" s="170" t="s">
        <v>870</v>
      </c>
      <c r="D2244" s="170" t="s">
        <v>2067</v>
      </c>
      <c r="E2244" s="171" t="s">
        <v>32767</v>
      </c>
      <c r="F2244" s="171" t="s">
        <v>36051</v>
      </c>
      <c r="G2244" s="82"/>
      <c r="H2244" s="96">
        <f t="shared" si="136"/>
        <v>286.83999999999997</v>
      </c>
      <c r="I2244" s="96">
        <f t="shared" si="136"/>
        <v>295.58</v>
      </c>
      <c r="J2244" s="91" t="str">
        <f t="shared" si="137"/>
        <v>Sinapi 92454</v>
      </c>
      <c r="K2244" s="91" t="str">
        <f t="shared" si="138"/>
        <v>M2</v>
      </c>
      <c r="L2244" s="166" t="str">
        <f t="shared" si="139"/>
        <v>09/2020</v>
      </c>
      <c r="M2244" s="82"/>
      <c r="N2244" s="82"/>
    </row>
    <row r="2245" spans="1:14" x14ac:dyDescent="0.25">
      <c r="A2245" s="170" t="s">
        <v>5078</v>
      </c>
      <c r="B2245" s="170" t="s">
        <v>11387</v>
      </c>
      <c r="C2245" s="170" t="s">
        <v>870</v>
      </c>
      <c r="D2245" s="170" t="s">
        <v>2067</v>
      </c>
      <c r="E2245" s="171" t="s">
        <v>32768</v>
      </c>
      <c r="F2245" s="171" t="s">
        <v>30654</v>
      </c>
      <c r="G2245" s="82"/>
      <c r="H2245" s="96">
        <f t="shared" si="136"/>
        <v>157.61000000000001</v>
      </c>
      <c r="I2245" s="96">
        <f t="shared" si="136"/>
        <v>163.54</v>
      </c>
      <c r="J2245" s="91" t="str">
        <f t="shared" si="137"/>
        <v>Sinapi 92455</v>
      </c>
      <c r="K2245" s="91" t="str">
        <f t="shared" si="138"/>
        <v>M2</v>
      </c>
      <c r="L2245" s="166" t="str">
        <f t="shared" si="139"/>
        <v>09/2020</v>
      </c>
      <c r="M2245" s="82"/>
      <c r="N2245" s="82"/>
    </row>
    <row r="2246" spans="1:14" x14ac:dyDescent="0.25">
      <c r="A2246" s="170" t="s">
        <v>5079</v>
      </c>
      <c r="B2246" s="170" t="s">
        <v>11388</v>
      </c>
      <c r="C2246" s="170" t="s">
        <v>870</v>
      </c>
      <c r="D2246" s="170" t="s">
        <v>2067</v>
      </c>
      <c r="E2246" s="171" t="s">
        <v>32769</v>
      </c>
      <c r="F2246" s="171" t="s">
        <v>36052</v>
      </c>
      <c r="G2246" s="82"/>
      <c r="H2246" s="96">
        <f t="shared" si="136"/>
        <v>154.13999999999999</v>
      </c>
      <c r="I2246" s="96">
        <f t="shared" si="136"/>
        <v>161.09</v>
      </c>
      <c r="J2246" s="91" t="str">
        <f t="shared" si="137"/>
        <v>Sinapi 92456</v>
      </c>
      <c r="K2246" s="91" t="str">
        <f t="shared" si="138"/>
        <v>M2</v>
      </c>
      <c r="L2246" s="166" t="str">
        <f t="shared" si="139"/>
        <v>09/2020</v>
      </c>
      <c r="M2246" s="82"/>
      <c r="N2246" s="82"/>
    </row>
    <row r="2247" spans="1:14" x14ac:dyDescent="0.25">
      <c r="A2247" s="170" t="s">
        <v>5080</v>
      </c>
      <c r="B2247" s="170" t="s">
        <v>11389</v>
      </c>
      <c r="C2247" s="170" t="s">
        <v>870</v>
      </c>
      <c r="D2247" s="170" t="s">
        <v>2067</v>
      </c>
      <c r="E2247" s="171" t="s">
        <v>32770</v>
      </c>
      <c r="F2247" s="171" t="s">
        <v>36053</v>
      </c>
      <c r="G2247" s="82"/>
      <c r="H2247" s="96">
        <f t="shared" si="136"/>
        <v>204.94</v>
      </c>
      <c r="I2247" s="96">
        <f t="shared" si="136"/>
        <v>212.45</v>
      </c>
      <c r="J2247" s="91" t="str">
        <f t="shared" si="137"/>
        <v>Sinapi 92457</v>
      </c>
      <c r="K2247" s="91" t="str">
        <f t="shared" si="138"/>
        <v>M2</v>
      </c>
      <c r="L2247" s="166" t="str">
        <f t="shared" si="139"/>
        <v>09/2020</v>
      </c>
      <c r="M2247" s="82"/>
      <c r="N2247" s="82"/>
    </row>
    <row r="2248" spans="1:14" x14ac:dyDescent="0.25">
      <c r="A2248" s="170" t="s">
        <v>5081</v>
      </c>
      <c r="B2248" s="170" t="s">
        <v>5082</v>
      </c>
      <c r="C2248" s="170" t="s">
        <v>870</v>
      </c>
      <c r="D2248" s="170" t="s">
        <v>2067</v>
      </c>
      <c r="E2248" s="171" t="s">
        <v>32771</v>
      </c>
      <c r="F2248" s="171" t="s">
        <v>36054</v>
      </c>
      <c r="G2248" s="82"/>
      <c r="H2248" s="96">
        <f t="shared" ref="H2248:I2311" si="140">IF(E2248="","",E2248+0)</f>
        <v>265.74</v>
      </c>
      <c r="I2248" s="96">
        <f t="shared" si="140"/>
        <v>273.49</v>
      </c>
      <c r="J2248" s="91" t="str">
        <f t="shared" ref="J2248:J2311" si="141">IF(OR(H2248="",I2248=""),"",TRIM(CONCATENATE("Sinapi ",A2248)))</f>
        <v>Sinapi 92458</v>
      </c>
      <c r="K2248" s="91" t="str">
        <f t="shared" ref="K2248:K2311" si="142">TRIM(C2248)</f>
        <v>M2</v>
      </c>
      <c r="L2248" s="166" t="str">
        <f t="shared" ref="L2248:L2311" si="143">IF(OR(RIGHT(IF(AND(K2248&lt;&gt;"H",K2248&lt;&gt;"MES"),RIGHT(B2248,7),""),2)="PS",RIGHT(IF(AND(K2248&lt;&gt;"H",K2248&lt;&gt;"MES"),RIGHT(B2248,7),""),2)="PA",RIGHT(IF(AND(K2248&lt;&gt;"H",K2248&lt;&gt;"MES"),RIGHT(B2248,7),""),2)="PE"),LEFT(IF(AND(K2248&lt;&gt;"H",K2248&lt;&gt;"MES"),RIGHT(B2248,10),""),7),IF(AND(K2248&lt;&gt;"H",K2248&lt;&gt;"MES"),RIGHT(B2248,7),""))</f>
        <v>12/2015</v>
      </c>
      <c r="M2248" s="82"/>
      <c r="N2248" s="82"/>
    </row>
    <row r="2249" spans="1:14" x14ac:dyDescent="0.25">
      <c r="A2249" s="170" t="s">
        <v>5083</v>
      </c>
      <c r="B2249" s="170" t="s">
        <v>11390</v>
      </c>
      <c r="C2249" s="170" t="s">
        <v>870</v>
      </c>
      <c r="D2249" s="170" t="s">
        <v>2067</v>
      </c>
      <c r="E2249" s="171" t="s">
        <v>22981</v>
      </c>
      <c r="F2249" s="171" t="s">
        <v>29394</v>
      </c>
      <c r="G2249" s="82"/>
      <c r="H2249" s="96">
        <f t="shared" si="140"/>
        <v>132.38</v>
      </c>
      <c r="I2249" s="96">
        <f t="shared" si="140"/>
        <v>137.51</v>
      </c>
      <c r="J2249" s="91" t="str">
        <f t="shared" si="141"/>
        <v>Sinapi 92459</v>
      </c>
      <c r="K2249" s="91" t="str">
        <f t="shared" si="142"/>
        <v>M2</v>
      </c>
      <c r="L2249" s="166" t="str">
        <f t="shared" si="143"/>
        <v>09/2020</v>
      </c>
      <c r="M2249" s="82"/>
      <c r="N2249" s="82"/>
    </row>
    <row r="2250" spans="1:14" x14ac:dyDescent="0.25">
      <c r="A2250" s="170" t="s">
        <v>5084</v>
      </c>
      <c r="B2250" s="170" t="s">
        <v>11391</v>
      </c>
      <c r="C2250" s="170" t="s">
        <v>870</v>
      </c>
      <c r="D2250" s="170" t="s">
        <v>2067</v>
      </c>
      <c r="E2250" s="171" t="s">
        <v>32772</v>
      </c>
      <c r="F2250" s="171" t="s">
        <v>36055</v>
      </c>
      <c r="G2250" s="82"/>
      <c r="H2250" s="96">
        <f t="shared" si="140"/>
        <v>127.89</v>
      </c>
      <c r="I2250" s="96">
        <f t="shared" si="140"/>
        <v>133.99</v>
      </c>
      <c r="J2250" s="91" t="str">
        <f t="shared" si="141"/>
        <v>Sinapi 92460</v>
      </c>
      <c r="K2250" s="91" t="str">
        <f t="shared" si="142"/>
        <v>M2</v>
      </c>
      <c r="L2250" s="166" t="str">
        <f t="shared" si="143"/>
        <v>09/2020</v>
      </c>
      <c r="M2250" s="82"/>
      <c r="N2250" s="82"/>
    </row>
    <row r="2251" spans="1:14" x14ac:dyDescent="0.25">
      <c r="A2251" s="170" t="s">
        <v>5085</v>
      </c>
      <c r="B2251" s="170" t="s">
        <v>11392</v>
      </c>
      <c r="C2251" s="170" t="s">
        <v>870</v>
      </c>
      <c r="D2251" s="170" t="s">
        <v>2067</v>
      </c>
      <c r="E2251" s="171" t="s">
        <v>32773</v>
      </c>
      <c r="F2251" s="171" t="s">
        <v>36056</v>
      </c>
      <c r="G2251" s="82"/>
      <c r="H2251" s="96">
        <f t="shared" si="140"/>
        <v>188.28</v>
      </c>
      <c r="I2251" s="96">
        <f t="shared" si="140"/>
        <v>195.14</v>
      </c>
      <c r="J2251" s="91" t="str">
        <f t="shared" si="141"/>
        <v>Sinapi 92461</v>
      </c>
      <c r="K2251" s="91" t="str">
        <f t="shared" si="142"/>
        <v>M2</v>
      </c>
      <c r="L2251" s="166" t="str">
        <f t="shared" si="143"/>
        <v>09/2020</v>
      </c>
      <c r="M2251" s="82"/>
      <c r="N2251" s="82"/>
    </row>
    <row r="2252" spans="1:14" x14ac:dyDescent="0.25">
      <c r="A2252" s="170" t="s">
        <v>5086</v>
      </c>
      <c r="B2252" s="170" t="s">
        <v>11393</v>
      </c>
      <c r="C2252" s="170" t="s">
        <v>870</v>
      </c>
      <c r="D2252" s="170" t="s">
        <v>2067</v>
      </c>
      <c r="E2252" s="171" t="s">
        <v>29140</v>
      </c>
      <c r="F2252" s="171" t="s">
        <v>36057</v>
      </c>
      <c r="G2252" s="82"/>
      <c r="H2252" s="96">
        <f t="shared" si="140"/>
        <v>252.87</v>
      </c>
      <c r="I2252" s="96">
        <f t="shared" si="140"/>
        <v>259.89</v>
      </c>
      <c r="J2252" s="91" t="str">
        <f t="shared" si="141"/>
        <v>Sinapi 92462</v>
      </c>
      <c r="K2252" s="91" t="str">
        <f t="shared" si="142"/>
        <v>M2</v>
      </c>
      <c r="L2252" s="166" t="str">
        <f t="shared" si="143"/>
        <v>09/2020</v>
      </c>
      <c r="M2252" s="82"/>
      <c r="N2252" s="82"/>
    </row>
    <row r="2253" spans="1:14" x14ac:dyDescent="0.25">
      <c r="A2253" s="170" t="s">
        <v>5087</v>
      </c>
      <c r="B2253" s="170" t="s">
        <v>11394</v>
      </c>
      <c r="C2253" s="170" t="s">
        <v>870</v>
      </c>
      <c r="D2253" s="170" t="s">
        <v>2067</v>
      </c>
      <c r="E2253" s="171" t="s">
        <v>32774</v>
      </c>
      <c r="F2253" s="171" t="s">
        <v>36058</v>
      </c>
      <c r="G2253" s="82"/>
      <c r="H2253" s="96">
        <f t="shared" si="140"/>
        <v>119.21</v>
      </c>
      <c r="I2253" s="96">
        <f t="shared" si="140"/>
        <v>123.85</v>
      </c>
      <c r="J2253" s="91" t="str">
        <f t="shared" si="141"/>
        <v>Sinapi 92463</v>
      </c>
      <c r="K2253" s="91" t="str">
        <f t="shared" si="142"/>
        <v>M2</v>
      </c>
      <c r="L2253" s="166" t="str">
        <f t="shared" si="143"/>
        <v>09/2020</v>
      </c>
      <c r="M2253" s="82"/>
      <c r="N2253" s="82"/>
    </row>
    <row r="2254" spans="1:14" x14ac:dyDescent="0.25">
      <c r="A2254" s="170" t="s">
        <v>5088</v>
      </c>
      <c r="B2254" s="170" t="s">
        <v>11395</v>
      </c>
      <c r="C2254" s="170" t="s">
        <v>870</v>
      </c>
      <c r="D2254" s="170" t="s">
        <v>2067</v>
      </c>
      <c r="E2254" s="171" t="s">
        <v>26955</v>
      </c>
      <c r="F2254" s="171" t="s">
        <v>36059</v>
      </c>
      <c r="G2254" s="82"/>
      <c r="H2254" s="96">
        <f t="shared" si="140"/>
        <v>121.12</v>
      </c>
      <c r="I2254" s="96">
        <f t="shared" si="140"/>
        <v>126.61</v>
      </c>
      <c r="J2254" s="91" t="str">
        <f t="shared" si="141"/>
        <v>Sinapi 92464</v>
      </c>
      <c r="K2254" s="91" t="str">
        <f t="shared" si="142"/>
        <v>M2</v>
      </c>
      <c r="L2254" s="166" t="str">
        <f t="shared" si="143"/>
        <v>09/2020</v>
      </c>
      <c r="M2254" s="82"/>
      <c r="N2254" s="82"/>
    </row>
    <row r="2255" spans="1:14" x14ac:dyDescent="0.25">
      <c r="A2255" s="170" t="s">
        <v>5089</v>
      </c>
      <c r="B2255" s="170" t="s">
        <v>11396</v>
      </c>
      <c r="C2255" s="170" t="s">
        <v>870</v>
      </c>
      <c r="D2255" s="170" t="s">
        <v>2067</v>
      </c>
      <c r="E2255" s="171" t="s">
        <v>32775</v>
      </c>
      <c r="F2255" s="171" t="s">
        <v>36060</v>
      </c>
      <c r="G2255" s="82"/>
      <c r="H2255" s="96">
        <f t="shared" si="140"/>
        <v>152.99</v>
      </c>
      <c r="I2255" s="96">
        <f t="shared" si="140"/>
        <v>158.75</v>
      </c>
      <c r="J2255" s="91" t="str">
        <f t="shared" si="141"/>
        <v>Sinapi 92465</v>
      </c>
      <c r="K2255" s="91" t="str">
        <f t="shared" si="142"/>
        <v>M2</v>
      </c>
      <c r="L2255" s="166" t="str">
        <f t="shared" si="143"/>
        <v>09/2020</v>
      </c>
      <c r="M2255" s="82"/>
      <c r="N2255" s="82"/>
    </row>
    <row r="2256" spans="1:14" x14ac:dyDescent="0.25">
      <c r="A2256" s="170" t="s">
        <v>5090</v>
      </c>
      <c r="B2256" s="170" t="s">
        <v>11397</v>
      </c>
      <c r="C2256" s="170" t="s">
        <v>870</v>
      </c>
      <c r="D2256" s="170" t="s">
        <v>2067</v>
      </c>
      <c r="E2256" s="171" t="s">
        <v>22742</v>
      </c>
      <c r="F2256" s="171" t="s">
        <v>36061</v>
      </c>
      <c r="G2256" s="82"/>
      <c r="H2256" s="96">
        <f t="shared" si="140"/>
        <v>249.23</v>
      </c>
      <c r="I2256" s="96">
        <f t="shared" si="140"/>
        <v>255.51</v>
      </c>
      <c r="J2256" s="91" t="str">
        <f t="shared" si="141"/>
        <v>Sinapi 92466</v>
      </c>
      <c r="K2256" s="91" t="str">
        <f t="shared" si="142"/>
        <v>M2</v>
      </c>
      <c r="L2256" s="166" t="str">
        <f t="shared" si="143"/>
        <v>09/2020</v>
      </c>
      <c r="M2256" s="82"/>
      <c r="N2256" s="82"/>
    </row>
    <row r="2257" spans="1:14" x14ac:dyDescent="0.25">
      <c r="A2257" s="170" t="s">
        <v>5091</v>
      </c>
      <c r="B2257" s="170" t="s">
        <v>11398</v>
      </c>
      <c r="C2257" s="170" t="s">
        <v>870</v>
      </c>
      <c r="D2257" s="170" t="s">
        <v>2067</v>
      </c>
      <c r="E2257" s="171" t="s">
        <v>21109</v>
      </c>
      <c r="F2257" s="171" t="s">
        <v>36062</v>
      </c>
      <c r="G2257" s="82"/>
      <c r="H2257" s="96">
        <f t="shared" si="140"/>
        <v>101.25</v>
      </c>
      <c r="I2257" s="96">
        <f t="shared" si="140"/>
        <v>105.13</v>
      </c>
      <c r="J2257" s="91" t="str">
        <f t="shared" si="141"/>
        <v>Sinapi 92467</v>
      </c>
      <c r="K2257" s="91" t="str">
        <f t="shared" si="142"/>
        <v>M2</v>
      </c>
      <c r="L2257" s="166" t="str">
        <f t="shared" si="143"/>
        <v>09/2020</v>
      </c>
      <c r="M2257" s="82"/>
      <c r="N2257" s="82"/>
    </row>
    <row r="2258" spans="1:14" x14ac:dyDescent="0.25">
      <c r="A2258" s="170" t="s">
        <v>5092</v>
      </c>
      <c r="B2258" s="170" t="s">
        <v>11399</v>
      </c>
      <c r="C2258" s="170" t="s">
        <v>870</v>
      </c>
      <c r="D2258" s="170" t="s">
        <v>2067</v>
      </c>
      <c r="E2258" s="171" t="s">
        <v>27681</v>
      </c>
      <c r="F2258" s="171" t="s">
        <v>29179</v>
      </c>
      <c r="G2258" s="82"/>
      <c r="H2258" s="96">
        <f t="shared" si="140"/>
        <v>117.93</v>
      </c>
      <c r="I2258" s="96">
        <f t="shared" si="140"/>
        <v>122.8</v>
      </c>
      <c r="J2258" s="91" t="str">
        <f t="shared" si="141"/>
        <v>Sinapi 92468</v>
      </c>
      <c r="K2258" s="91" t="str">
        <f t="shared" si="142"/>
        <v>M2</v>
      </c>
      <c r="L2258" s="166" t="str">
        <f t="shared" si="143"/>
        <v>09/2020</v>
      </c>
      <c r="M2258" s="82"/>
      <c r="N2258" s="82"/>
    </row>
    <row r="2259" spans="1:14" x14ac:dyDescent="0.25">
      <c r="A2259" s="170" t="s">
        <v>5093</v>
      </c>
      <c r="B2259" s="170" t="s">
        <v>11400</v>
      </c>
      <c r="C2259" s="170" t="s">
        <v>870</v>
      </c>
      <c r="D2259" s="170" t="s">
        <v>2067</v>
      </c>
      <c r="E2259" s="171" t="s">
        <v>32776</v>
      </c>
      <c r="F2259" s="171" t="s">
        <v>28497</v>
      </c>
      <c r="G2259" s="82"/>
      <c r="H2259" s="96">
        <f t="shared" si="140"/>
        <v>139.06</v>
      </c>
      <c r="I2259" s="96">
        <f t="shared" si="140"/>
        <v>144.34</v>
      </c>
      <c r="J2259" s="91" t="str">
        <f t="shared" si="141"/>
        <v>Sinapi 92469</v>
      </c>
      <c r="K2259" s="91" t="str">
        <f t="shared" si="142"/>
        <v>M2</v>
      </c>
      <c r="L2259" s="166" t="str">
        <f t="shared" si="143"/>
        <v>09/2020</v>
      </c>
      <c r="M2259" s="82"/>
      <c r="N2259" s="82"/>
    </row>
    <row r="2260" spans="1:14" x14ac:dyDescent="0.25">
      <c r="A2260" s="170" t="s">
        <v>5094</v>
      </c>
      <c r="B2260" s="170" t="s">
        <v>11401</v>
      </c>
      <c r="C2260" s="170" t="s">
        <v>870</v>
      </c>
      <c r="D2260" s="170" t="s">
        <v>2067</v>
      </c>
      <c r="E2260" s="171" t="s">
        <v>28890</v>
      </c>
      <c r="F2260" s="171" t="s">
        <v>36063</v>
      </c>
      <c r="G2260" s="82"/>
      <c r="H2260" s="96">
        <f t="shared" si="140"/>
        <v>242.12</v>
      </c>
      <c r="I2260" s="96">
        <f t="shared" si="140"/>
        <v>247.92</v>
      </c>
      <c r="J2260" s="91" t="str">
        <f t="shared" si="141"/>
        <v>Sinapi 92470</v>
      </c>
      <c r="K2260" s="91" t="str">
        <f t="shared" si="142"/>
        <v>M2</v>
      </c>
      <c r="L2260" s="166" t="str">
        <f t="shared" si="143"/>
        <v>09/2020</v>
      </c>
      <c r="M2260" s="82"/>
      <c r="N2260" s="82"/>
    </row>
    <row r="2261" spans="1:14" x14ac:dyDescent="0.25">
      <c r="A2261" s="170" t="s">
        <v>5095</v>
      </c>
      <c r="B2261" s="170" t="s">
        <v>11402</v>
      </c>
      <c r="C2261" s="170" t="s">
        <v>870</v>
      </c>
      <c r="D2261" s="170" t="s">
        <v>2067</v>
      </c>
      <c r="E2261" s="171" t="s">
        <v>28829</v>
      </c>
      <c r="F2261" s="171" t="s">
        <v>36064</v>
      </c>
      <c r="G2261" s="82"/>
      <c r="H2261" s="96">
        <f t="shared" si="140"/>
        <v>92.11</v>
      </c>
      <c r="I2261" s="96">
        <f t="shared" si="140"/>
        <v>95.68</v>
      </c>
      <c r="J2261" s="91" t="str">
        <f t="shared" si="141"/>
        <v>Sinapi 92471</v>
      </c>
      <c r="K2261" s="91" t="str">
        <f t="shared" si="142"/>
        <v>M2</v>
      </c>
      <c r="L2261" s="166" t="str">
        <f t="shared" si="143"/>
        <v>09/2020</v>
      </c>
      <c r="M2261" s="82"/>
      <c r="N2261" s="82"/>
    </row>
    <row r="2262" spans="1:14" x14ac:dyDescent="0.25">
      <c r="A2262" s="170" t="s">
        <v>5096</v>
      </c>
      <c r="B2262" s="170" t="s">
        <v>11403</v>
      </c>
      <c r="C2262" s="170" t="s">
        <v>870</v>
      </c>
      <c r="D2262" s="170" t="s">
        <v>2067</v>
      </c>
      <c r="E2262" s="171" t="s">
        <v>32777</v>
      </c>
      <c r="F2262" s="171" t="s">
        <v>24228</v>
      </c>
      <c r="G2262" s="82"/>
      <c r="H2262" s="96">
        <f t="shared" si="140"/>
        <v>111.6</v>
      </c>
      <c r="I2262" s="96">
        <f t="shared" si="140"/>
        <v>116.09</v>
      </c>
      <c r="J2262" s="91" t="str">
        <f t="shared" si="141"/>
        <v>Sinapi 92472</v>
      </c>
      <c r="K2262" s="91" t="str">
        <f t="shared" si="142"/>
        <v>M2</v>
      </c>
      <c r="L2262" s="166" t="str">
        <f t="shared" si="143"/>
        <v>09/2020</v>
      </c>
      <c r="M2262" s="82"/>
      <c r="N2262" s="82"/>
    </row>
    <row r="2263" spans="1:14" x14ac:dyDescent="0.25">
      <c r="A2263" s="170" t="s">
        <v>5097</v>
      </c>
      <c r="B2263" s="170" t="s">
        <v>11404</v>
      </c>
      <c r="C2263" s="170" t="s">
        <v>870</v>
      </c>
      <c r="D2263" s="170" t="s">
        <v>2067</v>
      </c>
      <c r="E2263" s="171" t="s">
        <v>32778</v>
      </c>
      <c r="F2263" s="171" t="s">
        <v>36065</v>
      </c>
      <c r="G2263" s="82"/>
      <c r="H2263" s="96">
        <f t="shared" si="140"/>
        <v>127.86</v>
      </c>
      <c r="I2263" s="96">
        <f t="shared" si="140"/>
        <v>132.71</v>
      </c>
      <c r="J2263" s="91" t="str">
        <f t="shared" si="141"/>
        <v>Sinapi 92473</v>
      </c>
      <c r="K2263" s="91" t="str">
        <f t="shared" si="142"/>
        <v>M2</v>
      </c>
      <c r="L2263" s="166" t="str">
        <f t="shared" si="143"/>
        <v>09/2020</v>
      </c>
      <c r="M2263" s="82"/>
      <c r="N2263" s="82"/>
    </row>
    <row r="2264" spans="1:14" x14ac:dyDescent="0.25">
      <c r="A2264" s="170" t="s">
        <v>5098</v>
      </c>
      <c r="B2264" s="170" t="s">
        <v>11405</v>
      </c>
      <c r="C2264" s="170" t="s">
        <v>870</v>
      </c>
      <c r="D2264" s="170" t="s">
        <v>2067</v>
      </c>
      <c r="E2264" s="171" t="s">
        <v>32779</v>
      </c>
      <c r="F2264" s="171" t="s">
        <v>36066</v>
      </c>
      <c r="G2264" s="82"/>
      <c r="H2264" s="96">
        <f t="shared" si="140"/>
        <v>236.12</v>
      </c>
      <c r="I2264" s="96">
        <f t="shared" si="140"/>
        <v>241.47</v>
      </c>
      <c r="J2264" s="91" t="str">
        <f t="shared" si="141"/>
        <v>Sinapi 92474</v>
      </c>
      <c r="K2264" s="91" t="str">
        <f t="shared" si="142"/>
        <v>M2</v>
      </c>
      <c r="L2264" s="166" t="str">
        <f t="shared" si="143"/>
        <v>09/2020</v>
      </c>
      <c r="M2264" s="82"/>
      <c r="N2264" s="82"/>
    </row>
    <row r="2265" spans="1:14" x14ac:dyDescent="0.25">
      <c r="A2265" s="170" t="s">
        <v>5099</v>
      </c>
      <c r="B2265" s="170" t="s">
        <v>11406</v>
      </c>
      <c r="C2265" s="170" t="s">
        <v>870</v>
      </c>
      <c r="D2265" s="170" t="s">
        <v>2067</v>
      </c>
      <c r="E2265" s="171" t="s">
        <v>23128</v>
      </c>
      <c r="F2265" s="171" t="s">
        <v>36067</v>
      </c>
      <c r="G2265" s="82"/>
      <c r="H2265" s="96">
        <f t="shared" si="140"/>
        <v>84.76</v>
      </c>
      <c r="I2265" s="96">
        <f t="shared" si="140"/>
        <v>88.04</v>
      </c>
      <c r="J2265" s="91" t="str">
        <f t="shared" si="141"/>
        <v>Sinapi 92475</v>
      </c>
      <c r="K2265" s="91" t="str">
        <f t="shared" si="142"/>
        <v>M2</v>
      </c>
      <c r="L2265" s="166" t="str">
        <f t="shared" si="143"/>
        <v>09/2020</v>
      </c>
      <c r="M2265" s="82"/>
      <c r="N2265" s="82"/>
    </row>
    <row r="2266" spans="1:14" x14ac:dyDescent="0.25">
      <c r="A2266" s="170" t="s">
        <v>5100</v>
      </c>
      <c r="B2266" s="170" t="s">
        <v>11407</v>
      </c>
      <c r="C2266" s="170" t="s">
        <v>870</v>
      </c>
      <c r="D2266" s="170" t="s">
        <v>2067</v>
      </c>
      <c r="E2266" s="171" t="s">
        <v>32780</v>
      </c>
      <c r="F2266" s="171" t="s">
        <v>22065</v>
      </c>
      <c r="G2266" s="82"/>
      <c r="H2266" s="96">
        <f t="shared" si="140"/>
        <v>106.33</v>
      </c>
      <c r="I2266" s="96">
        <f t="shared" si="140"/>
        <v>110.47</v>
      </c>
      <c r="J2266" s="91" t="str">
        <f t="shared" si="141"/>
        <v>Sinapi 92476</v>
      </c>
      <c r="K2266" s="91" t="str">
        <f t="shared" si="142"/>
        <v>M2</v>
      </c>
      <c r="L2266" s="166" t="str">
        <f t="shared" si="143"/>
        <v>09/2020</v>
      </c>
      <c r="M2266" s="82"/>
      <c r="N2266" s="82"/>
    </row>
    <row r="2267" spans="1:14" x14ac:dyDescent="0.25">
      <c r="A2267" s="170" t="s">
        <v>5101</v>
      </c>
      <c r="B2267" s="170" t="s">
        <v>11408</v>
      </c>
      <c r="C2267" s="170" t="s">
        <v>870</v>
      </c>
      <c r="D2267" s="170" t="s">
        <v>2067</v>
      </c>
      <c r="E2267" s="171" t="s">
        <v>23177</v>
      </c>
      <c r="F2267" s="171" t="s">
        <v>36068</v>
      </c>
      <c r="G2267" s="82"/>
      <c r="H2267" s="96">
        <f t="shared" si="140"/>
        <v>103.7</v>
      </c>
      <c r="I2267" s="96">
        <f t="shared" si="140"/>
        <v>107.74</v>
      </c>
      <c r="J2267" s="91" t="str">
        <f t="shared" si="141"/>
        <v>Sinapi 92477</v>
      </c>
      <c r="K2267" s="91" t="str">
        <f t="shared" si="142"/>
        <v>M2</v>
      </c>
      <c r="L2267" s="166" t="str">
        <f t="shared" si="143"/>
        <v>09/2020</v>
      </c>
      <c r="M2267" s="82"/>
      <c r="N2267" s="82"/>
    </row>
    <row r="2268" spans="1:14" x14ac:dyDescent="0.25">
      <c r="A2268" s="170" t="s">
        <v>5102</v>
      </c>
      <c r="B2268" s="170" t="s">
        <v>11409</v>
      </c>
      <c r="C2268" s="170" t="s">
        <v>870</v>
      </c>
      <c r="D2268" s="170" t="s">
        <v>2067</v>
      </c>
      <c r="E2268" s="171" t="s">
        <v>32781</v>
      </c>
      <c r="F2268" s="171" t="s">
        <v>36069</v>
      </c>
      <c r="G2268" s="82"/>
      <c r="H2268" s="96">
        <f t="shared" si="140"/>
        <v>223.98</v>
      </c>
      <c r="I2268" s="96">
        <f t="shared" si="140"/>
        <v>228.51</v>
      </c>
      <c r="J2268" s="91" t="str">
        <f t="shared" si="141"/>
        <v>Sinapi 92478</v>
      </c>
      <c r="K2268" s="91" t="str">
        <f t="shared" si="142"/>
        <v>M2</v>
      </c>
      <c r="L2268" s="166" t="str">
        <f t="shared" si="143"/>
        <v>09/2020</v>
      </c>
      <c r="M2268" s="82"/>
      <c r="N2268" s="82"/>
    </row>
    <row r="2269" spans="1:14" x14ac:dyDescent="0.25">
      <c r="A2269" s="170" t="s">
        <v>5103</v>
      </c>
      <c r="B2269" s="170" t="s">
        <v>11410</v>
      </c>
      <c r="C2269" s="170" t="s">
        <v>870</v>
      </c>
      <c r="D2269" s="170" t="s">
        <v>2067</v>
      </c>
      <c r="E2269" s="171" t="s">
        <v>32782</v>
      </c>
      <c r="F2269" s="171" t="s">
        <v>36070</v>
      </c>
      <c r="G2269" s="82"/>
      <c r="H2269" s="96">
        <f t="shared" si="140"/>
        <v>68.86</v>
      </c>
      <c r="I2269" s="96">
        <f t="shared" si="140"/>
        <v>71.59</v>
      </c>
      <c r="J2269" s="91" t="str">
        <f t="shared" si="141"/>
        <v>Sinapi 92479</v>
      </c>
      <c r="K2269" s="91" t="str">
        <f t="shared" si="142"/>
        <v>M2</v>
      </c>
      <c r="L2269" s="166" t="str">
        <f t="shared" si="143"/>
        <v>09/2020</v>
      </c>
      <c r="M2269" s="82"/>
      <c r="N2269" s="82"/>
    </row>
    <row r="2270" spans="1:14" x14ac:dyDescent="0.25">
      <c r="A2270" s="170" t="s">
        <v>5104</v>
      </c>
      <c r="B2270" s="170" t="s">
        <v>11411</v>
      </c>
      <c r="C2270" s="170" t="s">
        <v>870</v>
      </c>
      <c r="D2270" s="170" t="s">
        <v>2067</v>
      </c>
      <c r="E2270" s="171" t="s">
        <v>32783</v>
      </c>
      <c r="F2270" s="171" t="s">
        <v>36071</v>
      </c>
      <c r="G2270" s="82"/>
      <c r="H2270" s="96">
        <f t="shared" si="140"/>
        <v>95.51</v>
      </c>
      <c r="I2270" s="96">
        <f t="shared" si="140"/>
        <v>99.02</v>
      </c>
      <c r="J2270" s="91" t="str">
        <f t="shared" si="141"/>
        <v>Sinapi 92480</v>
      </c>
      <c r="K2270" s="91" t="str">
        <f t="shared" si="142"/>
        <v>M2</v>
      </c>
      <c r="L2270" s="166" t="str">
        <f t="shared" si="143"/>
        <v>09/2020</v>
      </c>
      <c r="M2270" s="82"/>
      <c r="N2270" s="82"/>
    </row>
    <row r="2271" spans="1:14" x14ac:dyDescent="0.25">
      <c r="A2271" s="170" t="s">
        <v>5105</v>
      </c>
      <c r="B2271" s="170" t="s">
        <v>11412</v>
      </c>
      <c r="C2271" s="170" t="s">
        <v>870</v>
      </c>
      <c r="D2271" s="170" t="s">
        <v>2067</v>
      </c>
      <c r="E2271" s="171" t="s">
        <v>32784</v>
      </c>
      <c r="F2271" s="171" t="s">
        <v>36072</v>
      </c>
      <c r="G2271" s="82"/>
      <c r="H2271" s="96">
        <f t="shared" si="140"/>
        <v>281.68</v>
      </c>
      <c r="I2271" s="96">
        <f t="shared" si="140"/>
        <v>295.36</v>
      </c>
      <c r="J2271" s="91" t="str">
        <f t="shared" si="141"/>
        <v>Sinapi 92482</v>
      </c>
      <c r="K2271" s="91" t="str">
        <f t="shared" si="142"/>
        <v>M2</v>
      </c>
      <c r="L2271" s="166" t="str">
        <f t="shared" si="143"/>
        <v>09/2020</v>
      </c>
      <c r="M2271" s="82"/>
      <c r="N2271" s="82"/>
    </row>
    <row r="2272" spans="1:14" x14ac:dyDescent="0.25">
      <c r="A2272" s="170" t="s">
        <v>5106</v>
      </c>
      <c r="B2272" s="170" t="s">
        <v>11413</v>
      </c>
      <c r="C2272" s="170" t="s">
        <v>870</v>
      </c>
      <c r="D2272" s="170" t="s">
        <v>2067</v>
      </c>
      <c r="E2272" s="171" t="s">
        <v>32785</v>
      </c>
      <c r="F2272" s="171" t="s">
        <v>36073</v>
      </c>
      <c r="G2272" s="82"/>
      <c r="H2272" s="96">
        <f t="shared" si="140"/>
        <v>195.32</v>
      </c>
      <c r="I2272" s="96">
        <f t="shared" si="140"/>
        <v>206.63</v>
      </c>
      <c r="J2272" s="91" t="str">
        <f t="shared" si="141"/>
        <v>Sinapi 92484</v>
      </c>
      <c r="K2272" s="91" t="str">
        <f t="shared" si="142"/>
        <v>M2</v>
      </c>
      <c r="L2272" s="166" t="str">
        <f t="shared" si="143"/>
        <v>09/2020</v>
      </c>
      <c r="M2272" s="82"/>
      <c r="N2272" s="82"/>
    </row>
    <row r="2273" spans="1:14" x14ac:dyDescent="0.25">
      <c r="A2273" s="170" t="s">
        <v>5107</v>
      </c>
      <c r="B2273" s="170" t="s">
        <v>11414</v>
      </c>
      <c r="C2273" s="170" t="s">
        <v>870</v>
      </c>
      <c r="D2273" s="170" t="s">
        <v>2067</v>
      </c>
      <c r="E2273" s="171" t="s">
        <v>32786</v>
      </c>
      <c r="F2273" s="171" t="s">
        <v>35329</v>
      </c>
      <c r="G2273" s="82"/>
      <c r="H2273" s="96">
        <f t="shared" si="140"/>
        <v>140.06</v>
      </c>
      <c r="I2273" s="96">
        <f t="shared" si="140"/>
        <v>149.41</v>
      </c>
      <c r="J2273" s="91" t="str">
        <f t="shared" si="141"/>
        <v>Sinapi 92486</v>
      </c>
      <c r="K2273" s="91" t="str">
        <f t="shared" si="142"/>
        <v>M2</v>
      </c>
      <c r="L2273" s="166" t="str">
        <f t="shared" si="143"/>
        <v>09/2020</v>
      </c>
      <c r="M2273" s="82"/>
      <c r="N2273" s="82"/>
    </row>
    <row r="2274" spans="1:14" x14ac:dyDescent="0.25">
      <c r="A2274" s="170" t="s">
        <v>5108</v>
      </c>
      <c r="B2274" s="170" t="s">
        <v>11415</v>
      </c>
      <c r="C2274" s="170" t="s">
        <v>870</v>
      </c>
      <c r="D2274" s="170" t="s">
        <v>1947</v>
      </c>
      <c r="E2274" s="171" t="s">
        <v>23215</v>
      </c>
      <c r="F2274" s="171" t="s">
        <v>36074</v>
      </c>
      <c r="G2274" s="82"/>
      <c r="H2274" s="96">
        <f t="shared" si="140"/>
        <v>115.33</v>
      </c>
      <c r="I2274" s="96">
        <f t="shared" si="140"/>
        <v>120.43</v>
      </c>
      <c r="J2274" s="91" t="str">
        <f t="shared" si="141"/>
        <v>Sinapi 92488</v>
      </c>
      <c r="K2274" s="91" t="str">
        <f t="shared" si="142"/>
        <v>M2</v>
      </c>
      <c r="L2274" s="166" t="str">
        <f t="shared" si="143"/>
        <v>09/2020</v>
      </c>
      <c r="M2274" s="82"/>
      <c r="N2274" s="82"/>
    </row>
    <row r="2275" spans="1:14" x14ac:dyDescent="0.25">
      <c r="A2275" s="170" t="s">
        <v>5109</v>
      </c>
      <c r="B2275" s="170" t="s">
        <v>11416</v>
      </c>
      <c r="C2275" s="170" t="s">
        <v>870</v>
      </c>
      <c r="D2275" s="170" t="s">
        <v>1947</v>
      </c>
      <c r="E2275" s="171" t="s">
        <v>29406</v>
      </c>
      <c r="F2275" s="171" t="s">
        <v>29236</v>
      </c>
      <c r="G2275" s="82"/>
      <c r="H2275" s="96">
        <f t="shared" si="140"/>
        <v>79.89</v>
      </c>
      <c r="I2275" s="96">
        <f t="shared" si="140"/>
        <v>83.54</v>
      </c>
      <c r="J2275" s="91" t="str">
        <f t="shared" si="141"/>
        <v>Sinapi 92490</v>
      </c>
      <c r="K2275" s="91" t="str">
        <f t="shared" si="142"/>
        <v>M2</v>
      </c>
      <c r="L2275" s="166" t="str">
        <f t="shared" si="143"/>
        <v>09/2020</v>
      </c>
      <c r="M2275" s="82"/>
      <c r="N2275" s="82"/>
    </row>
    <row r="2276" spans="1:14" x14ac:dyDescent="0.25">
      <c r="A2276" s="170" t="s">
        <v>5110</v>
      </c>
      <c r="B2276" s="170" t="s">
        <v>11417</v>
      </c>
      <c r="C2276" s="170" t="s">
        <v>870</v>
      </c>
      <c r="D2276" s="170" t="s">
        <v>1947</v>
      </c>
      <c r="E2276" s="171" t="s">
        <v>32787</v>
      </c>
      <c r="F2276" s="171" t="s">
        <v>36075</v>
      </c>
      <c r="G2276" s="82"/>
      <c r="H2276" s="96">
        <f t="shared" si="140"/>
        <v>109.04</v>
      </c>
      <c r="I2276" s="96">
        <f t="shared" si="140"/>
        <v>113.75</v>
      </c>
      <c r="J2276" s="91" t="str">
        <f t="shared" si="141"/>
        <v>Sinapi 92492</v>
      </c>
      <c r="K2276" s="91" t="str">
        <f t="shared" si="142"/>
        <v>M2</v>
      </c>
      <c r="L2276" s="166" t="str">
        <f t="shared" si="143"/>
        <v>09/2020</v>
      </c>
      <c r="M2276" s="82"/>
      <c r="N2276" s="82"/>
    </row>
    <row r="2277" spans="1:14" x14ac:dyDescent="0.25">
      <c r="A2277" s="170" t="s">
        <v>5111</v>
      </c>
      <c r="B2277" s="170" t="s">
        <v>11418</v>
      </c>
      <c r="C2277" s="170" t="s">
        <v>870</v>
      </c>
      <c r="D2277" s="170" t="s">
        <v>1947</v>
      </c>
      <c r="E2277" s="171" t="s">
        <v>31373</v>
      </c>
      <c r="F2277" s="171" t="s">
        <v>36076</v>
      </c>
      <c r="G2277" s="82"/>
      <c r="H2277" s="96">
        <f t="shared" si="140"/>
        <v>74.56</v>
      </c>
      <c r="I2277" s="96">
        <f t="shared" si="140"/>
        <v>77.930000000000007</v>
      </c>
      <c r="J2277" s="91" t="str">
        <f t="shared" si="141"/>
        <v>Sinapi 92494</v>
      </c>
      <c r="K2277" s="91" t="str">
        <f t="shared" si="142"/>
        <v>M2</v>
      </c>
      <c r="L2277" s="166" t="str">
        <f t="shared" si="143"/>
        <v>09/2020</v>
      </c>
      <c r="M2277" s="82"/>
      <c r="N2277" s="82"/>
    </row>
    <row r="2278" spans="1:14" x14ac:dyDescent="0.25">
      <c r="A2278" s="170" t="s">
        <v>5112</v>
      </c>
      <c r="B2278" s="170" t="s">
        <v>11419</v>
      </c>
      <c r="C2278" s="170" t="s">
        <v>870</v>
      </c>
      <c r="D2278" s="170" t="s">
        <v>1947</v>
      </c>
      <c r="E2278" s="171" t="s">
        <v>32788</v>
      </c>
      <c r="F2278" s="171" t="s">
        <v>26099</v>
      </c>
      <c r="G2278" s="82"/>
      <c r="H2278" s="96">
        <f t="shared" si="140"/>
        <v>103.97</v>
      </c>
      <c r="I2278" s="96">
        <f t="shared" si="140"/>
        <v>108.33</v>
      </c>
      <c r="J2278" s="91" t="str">
        <f t="shared" si="141"/>
        <v>Sinapi 92496</v>
      </c>
      <c r="K2278" s="91" t="str">
        <f t="shared" si="142"/>
        <v>M2</v>
      </c>
      <c r="L2278" s="166" t="str">
        <f t="shared" si="143"/>
        <v>09/2020</v>
      </c>
      <c r="M2278" s="82"/>
      <c r="N2278" s="82"/>
    </row>
    <row r="2279" spans="1:14" x14ac:dyDescent="0.25">
      <c r="A2279" s="170" t="s">
        <v>5113</v>
      </c>
      <c r="B2279" s="170" t="s">
        <v>11420</v>
      </c>
      <c r="C2279" s="170" t="s">
        <v>870</v>
      </c>
      <c r="D2279" s="170" t="s">
        <v>1947</v>
      </c>
      <c r="E2279" s="171" t="s">
        <v>29037</v>
      </c>
      <c r="F2279" s="171" t="s">
        <v>28987</v>
      </c>
      <c r="G2279" s="82"/>
      <c r="H2279" s="96">
        <f t="shared" si="140"/>
        <v>70.319999999999993</v>
      </c>
      <c r="I2279" s="96">
        <f t="shared" si="140"/>
        <v>73.44</v>
      </c>
      <c r="J2279" s="91" t="str">
        <f t="shared" si="141"/>
        <v>Sinapi 92498</v>
      </c>
      <c r="K2279" s="91" t="str">
        <f t="shared" si="142"/>
        <v>M2</v>
      </c>
      <c r="L2279" s="166" t="str">
        <f t="shared" si="143"/>
        <v>09/2020</v>
      </c>
      <c r="M2279" s="82"/>
      <c r="N2279" s="82"/>
    </row>
    <row r="2280" spans="1:14" x14ac:dyDescent="0.25">
      <c r="A2280" s="170" t="s">
        <v>5114</v>
      </c>
      <c r="B2280" s="170" t="s">
        <v>11421</v>
      </c>
      <c r="C2280" s="170" t="s">
        <v>870</v>
      </c>
      <c r="D2280" s="170" t="s">
        <v>1947</v>
      </c>
      <c r="E2280" s="171" t="s">
        <v>32789</v>
      </c>
      <c r="F2280" s="171" t="s">
        <v>36077</v>
      </c>
      <c r="G2280" s="82"/>
      <c r="H2280" s="96">
        <f t="shared" si="140"/>
        <v>100.24</v>
      </c>
      <c r="I2280" s="96">
        <f t="shared" si="140"/>
        <v>104.26</v>
      </c>
      <c r="J2280" s="91" t="str">
        <f t="shared" si="141"/>
        <v>Sinapi 92500</v>
      </c>
      <c r="K2280" s="91" t="str">
        <f t="shared" si="142"/>
        <v>M2</v>
      </c>
      <c r="L2280" s="166" t="str">
        <f t="shared" si="143"/>
        <v>09/2020</v>
      </c>
      <c r="M2280" s="82"/>
      <c r="N2280" s="82"/>
    </row>
    <row r="2281" spans="1:14" x14ac:dyDescent="0.25">
      <c r="A2281" s="170" t="s">
        <v>5115</v>
      </c>
      <c r="B2281" s="170" t="s">
        <v>11422</v>
      </c>
      <c r="C2281" s="170" t="s">
        <v>870</v>
      </c>
      <c r="D2281" s="170" t="s">
        <v>1947</v>
      </c>
      <c r="E2281" s="171" t="s">
        <v>29209</v>
      </c>
      <c r="F2281" s="171" t="s">
        <v>36078</v>
      </c>
      <c r="G2281" s="82"/>
      <c r="H2281" s="96">
        <f t="shared" si="140"/>
        <v>67.400000000000006</v>
      </c>
      <c r="I2281" s="96">
        <f t="shared" si="140"/>
        <v>70.27</v>
      </c>
      <c r="J2281" s="91" t="str">
        <f t="shared" si="141"/>
        <v>Sinapi 92502</v>
      </c>
      <c r="K2281" s="91" t="str">
        <f t="shared" si="142"/>
        <v>M2</v>
      </c>
      <c r="L2281" s="166" t="str">
        <f t="shared" si="143"/>
        <v>09/2020</v>
      </c>
      <c r="M2281" s="82"/>
      <c r="N2281" s="82"/>
    </row>
    <row r="2282" spans="1:14" x14ac:dyDescent="0.25">
      <c r="A2282" s="170" t="s">
        <v>5116</v>
      </c>
      <c r="B2282" s="170" t="s">
        <v>11423</v>
      </c>
      <c r="C2282" s="170" t="s">
        <v>870</v>
      </c>
      <c r="D2282" s="170" t="s">
        <v>1947</v>
      </c>
      <c r="E2282" s="171" t="s">
        <v>29315</v>
      </c>
      <c r="F2282" s="171" t="s">
        <v>36079</v>
      </c>
      <c r="G2282" s="82"/>
      <c r="H2282" s="96">
        <f t="shared" si="140"/>
        <v>93.29</v>
      </c>
      <c r="I2282" s="96">
        <f t="shared" si="140"/>
        <v>96.73</v>
      </c>
      <c r="J2282" s="91" t="str">
        <f t="shared" si="141"/>
        <v>Sinapi 92504</v>
      </c>
      <c r="K2282" s="91" t="str">
        <f t="shared" si="142"/>
        <v>M2</v>
      </c>
      <c r="L2282" s="166" t="str">
        <f t="shared" si="143"/>
        <v>09/2020</v>
      </c>
      <c r="M2282" s="82"/>
      <c r="N2282" s="82"/>
    </row>
    <row r="2283" spans="1:14" x14ac:dyDescent="0.25">
      <c r="A2283" s="170" t="s">
        <v>5117</v>
      </c>
      <c r="B2283" s="170" t="s">
        <v>11424</v>
      </c>
      <c r="C2283" s="170" t="s">
        <v>870</v>
      </c>
      <c r="D2283" s="170" t="s">
        <v>1947</v>
      </c>
      <c r="E2283" s="171" t="s">
        <v>32790</v>
      </c>
      <c r="F2283" s="171" t="s">
        <v>36080</v>
      </c>
      <c r="G2283" s="82"/>
      <c r="H2283" s="96">
        <f t="shared" si="140"/>
        <v>61.85</v>
      </c>
      <c r="I2283" s="96">
        <f t="shared" si="140"/>
        <v>64.3</v>
      </c>
      <c r="J2283" s="91" t="str">
        <f t="shared" si="141"/>
        <v>Sinapi 92506</v>
      </c>
      <c r="K2283" s="91" t="str">
        <f t="shared" si="142"/>
        <v>M2</v>
      </c>
      <c r="L2283" s="166" t="str">
        <f t="shared" si="143"/>
        <v>09/2020</v>
      </c>
      <c r="M2283" s="82"/>
      <c r="N2283" s="82"/>
    </row>
    <row r="2284" spans="1:14" x14ac:dyDescent="0.25">
      <c r="A2284" s="170" t="s">
        <v>5118</v>
      </c>
      <c r="B2284" s="170" t="s">
        <v>11425</v>
      </c>
      <c r="C2284" s="170" t="s">
        <v>870</v>
      </c>
      <c r="D2284" s="170" t="s">
        <v>1947</v>
      </c>
      <c r="E2284" s="171" t="s">
        <v>28986</v>
      </c>
      <c r="F2284" s="171" t="s">
        <v>36081</v>
      </c>
      <c r="G2284" s="82"/>
      <c r="H2284" s="96">
        <f t="shared" si="140"/>
        <v>125.56</v>
      </c>
      <c r="I2284" s="96">
        <f t="shared" si="140"/>
        <v>129.54</v>
      </c>
      <c r="J2284" s="91" t="str">
        <f t="shared" si="141"/>
        <v>Sinapi 92508</v>
      </c>
      <c r="K2284" s="91" t="str">
        <f t="shared" si="142"/>
        <v>M2</v>
      </c>
      <c r="L2284" s="166" t="str">
        <f t="shared" si="143"/>
        <v>09/2020</v>
      </c>
      <c r="M2284" s="82"/>
      <c r="N2284" s="82"/>
    </row>
    <row r="2285" spans="1:14" x14ac:dyDescent="0.25">
      <c r="A2285" s="170" t="s">
        <v>5119</v>
      </c>
      <c r="B2285" s="170" t="s">
        <v>11426</v>
      </c>
      <c r="C2285" s="170" t="s">
        <v>870</v>
      </c>
      <c r="D2285" s="170" t="s">
        <v>1947</v>
      </c>
      <c r="E2285" s="171" t="s">
        <v>28583</v>
      </c>
      <c r="F2285" s="171" t="s">
        <v>36082</v>
      </c>
      <c r="G2285" s="82"/>
      <c r="H2285" s="96">
        <f t="shared" si="140"/>
        <v>88.43</v>
      </c>
      <c r="I2285" s="96">
        <f t="shared" si="140"/>
        <v>90.76</v>
      </c>
      <c r="J2285" s="91" t="str">
        <f t="shared" si="141"/>
        <v>Sinapi 92510</v>
      </c>
      <c r="K2285" s="91" t="str">
        <f t="shared" si="142"/>
        <v>M2</v>
      </c>
      <c r="L2285" s="166" t="str">
        <f t="shared" si="143"/>
        <v>09/2020</v>
      </c>
      <c r="M2285" s="82"/>
      <c r="N2285" s="82"/>
    </row>
    <row r="2286" spans="1:14" x14ac:dyDescent="0.25">
      <c r="A2286" s="170" t="s">
        <v>5120</v>
      </c>
      <c r="B2286" s="170" t="s">
        <v>11427</v>
      </c>
      <c r="C2286" s="170" t="s">
        <v>870</v>
      </c>
      <c r="D2286" s="170" t="s">
        <v>1947</v>
      </c>
      <c r="E2286" s="171" t="s">
        <v>28340</v>
      </c>
      <c r="F2286" s="171" t="s">
        <v>36083</v>
      </c>
      <c r="G2286" s="82"/>
      <c r="H2286" s="96">
        <f t="shared" si="140"/>
        <v>103.38</v>
      </c>
      <c r="I2286" s="96">
        <f t="shared" si="140"/>
        <v>107.03</v>
      </c>
      <c r="J2286" s="91" t="str">
        <f t="shared" si="141"/>
        <v>Sinapi 92512</v>
      </c>
      <c r="K2286" s="91" t="str">
        <f t="shared" si="142"/>
        <v>M2</v>
      </c>
      <c r="L2286" s="166" t="str">
        <f t="shared" si="143"/>
        <v>09/2020</v>
      </c>
      <c r="M2286" s="82"/>
      <c r="N2286" s="82"/>
    </row>
    <row r="2287" spans="1:14" x14ac:dyDescent="0.25">
      <c r="A2287" s="170" t="s">
        <v>5121</v>
      </c>
      <c r="B2287" s="170" t="s">
        <v>11428</v>
      </c>
      <c r="C2287" s="170" t="s">
        <v>870</v>
      </c>
      <c r="D2287" s="170" t="s">
        <v>1947</v>
      </c>
      <c r="E2287" s="171" t="s">
        <v>32791</v>
      </c>
      <c r="F2287" s="171" t="s">
        <v>31637</v>
      </c>
      <c r="G2287" s="82"/>
      <c r="H2287" s="96">
        <f t="shared" si="140"/>
        <v>67.290000000000006</v>
      </c>
      <c r="I2287" s="96">
        <f t="shared" si="140"/>
        <v>69.42</v>
      </c>
      <c r="J2287" s="91" t="str">
        <f t="shared" si="141"/>
        <v>Sinapi 92514</v>
      </c>
      <c r="K2287" s="91" t="str">
        <f t="shared" si="142"/>
        <v>M2</v>
      </c>
      <c r="L2287" s="166" t="str">
        <f t="shared" si="143"/>
        <v>09/2020</v>
      </c>
      <c r="M2287" s="82"/>
      <c r="N2287" s="82"/>
    </row>
    <row r="2288" spans="1:14" x14ac:dyDescent="0.25">
      <c r="A2288" s="170" t="s">
        <v>5122</v>
      </c>
      <c r="B2288" s="170" t="s">
        <v>11429</v>
      </c>
      <c r="C2288" s="170" t="s">
        <v>870</v>
      </c>
      <c r="D2288" s="170" t="s">
        <v>1947</v>
      </c>
      <c r="E2288" s="171" t="s">
        <v>32792</v>
      </c>
      <c r="F2288" s="171" t="s">
        <v>29385</v>
      </c>
      <c r="G2288" s="82"/>
      <c r="H2288" s="96">
        <f t="shared" si="140"/>
        <v>93.06</v>
      </c>
      <c r="I2288" s="96">
        <f t="shared" si="140"/>
        <v>96.43</v>
      </c>
      <c r="J2288" s="91" t="str">
        <f t="shared" si="141"/>
        <v>Sinapi 92515</v>
      </c>
      <c r="K2288" s="91" t="str">
        <f t="shared" si="142"/>
        <v>M2</v>
      </c>
      <c r="L2288" s="166" t="str">
        <f t="shared" si="143"/>
        <v>09/2020</v>
      </c>
      <c r="M2288" s="82"/>
      <c r="N2288" s="82"/>
    </row>
    <row r="2289" spans="1:14" x14ac:dyDescent="0.25">
      <c r="A2289" s="170" t="s">
        <v>5123</v>
      </c>
      <c r="B2289" s="170" t="s">
        <v>11430</v>
      </c>
      <c r="C2289" s="170" t="s">
        <v>870</v>
      </c>
      <c r="D2289" s="170" t="s">
        <v>1947</v>
      </c>
      <c r="E2289" s="171" t="s">
        <v>32793</v>
      </c>
      <c r="F2289" s="171" t="s">
        <v>23122</v>
      </c>
      <c r="G2289" s="82"/>
      <c r="H2289" s="96">
        <f t="shared" si="140"/>
        <v>57.97</v>
      </c>
      <c r="I2289" s="96">
        <f t="shared" si="140"/>
        <v>59.93</v>
      </c>
      <c r="J2289" s="91" t="str">
        <f t="shared" si="141"/>
        <v>Sinapi 92518</v>
      </c>
      <c r="K2289" s="91" t="str">
        <f t="shared" si="142"/>
        <v>M2</v>
      </c>
      <c r="L2289" s="166" t="str">
        <f t="shared" si="143"/>
        <v>09/2020</v>
      </c>
      <c r="M2289" s="82"/>
      <c r="N2289" s="82"/>
    </row>
    <row r="2290" spans="1:14" x14ac:dyDescent="0.25">
      <c r="A2290" s="170" t="s">
        <v>5124</v>
      </c>
      <c r="B2290" s="170" t="s">
        <v>11431</v>
      </c>
      <c r="C2290" s="170" t="s">
        <v>870</v>
      </c>
      <c r="D2290" s="170" t="s">
        <v>1947</v>
      </c>
      <c r="E2290" s="171" t="s">
        <v>32794</v>
      </c>
      <c r="F2290" s="171" t="s">
        <v>36033</v>
      </c>
      <c r="G2290" s="82"/>
      <c r="H2290" s="96">
        <f t="shared" si="140"/>
        <v>86.73</v>
      </c>
      <c r="I2290" s="96">
        <f t="shared" si="140"/>
        <v>89.85</v>
      </c>
      <c r="J2290" s="91" t="str">
        <f t="shared" si="141"/>
        <v>Sinapi 92520</v>
      </c>
      <c r="K2290" s="91" t="str">
        <f t="shared" si="142"/>
        <v>M2</v>
      </c>
      <c r="L2290" s="166" t="str">
        <f t="shared" si="143"/>
        <v>09/2020</v>
      </c>
      <c r="M2290" s="82"/>
      <c r="N2290" s="82"/>
    </row>
    <row r="2291" spans="1:14" x14ac:dyDescent="0.25">
      <c r="A2291" s="170" t="s">
        <v>5125</v>
      </c>
      <c r="B2291" s="170" t="s">
        <v>11432</v>
      </c>
      <c r="C2291" s="170" t="s">
        <v>870</v>
      </c>
      <c r="D2291" s="170" t="s">
        <v>1947</v>
      </c>
      <c r="E2291" s="171" t="s">
        <v>20344</v>
      </c>
      <c r="F2291" s="171" t="s">
        <v>29163</v>
      </c>
      <c r="G2291" s="82"/>
      <c r="H2291" s="96">
        <f t="shared" si="140"/>
        <v>52.54</v>
      </c>
      <c r="I2291" s="96">
        <f t="shared" si="140"/>
        <v>54.35</v>
      </c>
      <c r="J2291" s="91" t="str">
        <f t="shared" si="141"/>
        <v>Sinapi 92522</v>
      </c>
      <c r="K2291" s="91" t="str">
        <f t="shared" si="142"/>
        <v>M2</v>
      </c>
      <c r="L2291" s="166" t="str">
        <f t="shared" si="143"/>
        <v>09/2020</v>
      </c>
      <c r="M2291" s="82"/>
      <c r="N2291" s="82"/>
    </row>
    <row r="2292" spans="1:14" x14ac:dyDescent="0.25">
      <c r="A2292" s="170" t="s">
        <v>5126</v>
      </c>
      <c r="B2292" s="170" t="s">
        <v>15081</v>
      </c>
      <c r="C2292" s="170" t="s">
        <v>870</v>
      </c>
      <c r="D2292" s="170" t="s">
        <v>1947</v>
      </c>
      <c r="E2292" s="171" t="s">
        <v>32795</v>
      </c>
      <c r="F2292" s="171" t="s">
        <v>36084</v>
      </c>
      <c r="G2292" s="82"/>
      <c r="H2292" s="96">
        <f t="shared" si="140"/>
        <v>87.57</v>
      </c>
      <c r="I2292" s="96">
        <f t="shared" si="140"/>
        <v>90.44</v>
      </c>
      <c r="J2292" s="91" t="str">
        <f t="shared" si="141"/>
        <v>Sinapi 92524</v>
      </c>
      <c r="K2292" s="91" t="str">
        <f t="shared" si="142"/>
        <v>M2</v>
      </c>
      <c r="L2292" s="166" t="str">
        <f t="shared" si="143"/>
        <v>09/2020</v>
      </c>
      <c r="M2292" s="82"/>
      <c r="N2292" s="82"/>
    </row>
    <row r="2293" spans="1:14" x14ac:dyDescent="0.25">
      <c r="A2293" s="170" t="s">
        <v>5127</v>
      </c>
      <c r="B2293" s="170" t="s">
        <v>11433</v>
      </c>
      <c r="C2293" s="170" t="s">
        <v>870</v>
      </c>
      <c r="D2293" s="170" t="s">
        <v>1947</v>
      </c>
      <c r="E2293" s="171" t="s">
        <v>28676</v>
      </c>
      <c r="F2293" s="171" t="s">
        <v>20051</v>
      </c>
      <c r="G2293" s="82"/>
      <c r="H2293" s="96">
        <f t="shared" si="140"/>
        <v>54.24</v>
      </c>
      <c r="I2293" s="96">
        <f t="shared" si="140"/>
        <v>55.9</v>
      </c>
      <c r="J2293" s="91" t="str">
        <f t="shared" si="141"/>
        <v>Sinapi 92526</v>
      </c>
      <c r="K2293" s="91" t="str">
        <f t="shared" si="142"/>
        <v>M2</v>
      </c>
      <c r="L2293" s="166" t="str">
        <f t="shared" si="143"/>
        <v>09/2020</v>
      </c>
      <c r="M2293" s="82"/>
      <c r="N2293" s="82"/>
    </row>
    <row r="2294" spans="1:14" x14ac:dyDescent="0.25">
      <c r="A2294" s="170" t="s">
        <v>5128</v>
      </c>
      <c r="B2294" s="170" t="s">
        <v>11434</v>
      </c>
      <c r="C2294" s="170" t="s">
        <v>870</v>
      </c>
      <c r="D2294" s="170" t="s">
        <v>1947</v>
      </c>
      <c r="E2294" s="171" t="s">
        <v>32796</v>
      </c>
      <c r="F2294" s="171" t="s">
        <v>22795</v>
      </c>
      <c r="G2294" s="82"/>
      <c r="H2294" s="96">
        <f t="shared" si="140"/>
        <v>83.75</v>
      </c>
      <c r="I2294" s="96">
        <f t="shared" si="140"/>
        <v>86.41</v>
      </c>
      <c r="J2294" s="91" t="str">
        <f t="shared" si="141"/>
        <v>Sinapi 92528</v>
      </c>
      <c r="K2294" s="91" t="str">
        <f t="shared" si="142"/>
        <v>M2</v>
      </c>
      <c r="L2294" s="166" t="str">
        <f t="shared" si="143"/>
        <v>09/2020</v>
      </c>
      <c r="M2294" s="82"/>
      <c r="N2294" s="82"/>
    </row>
    <row r="2295" spans="1:14" x14ac:dyDescent="0.25">
      <c r="A2295" s="170" t="s">
        <v>5129</v>
      </c>
      <c r="B2295" s="170" t="s">
        <v>11435</v>
      </c>
      <c r="C2295" s="170" t="s">
        <v>870</v>
      </c>
      <c r="D2295" s="170" t="s">
        <v>1947</v>
      </c>
      <c r="E2295" s="171" t="s">
        <v>20632</v>
      </c>
      <c r="F2295" s="171" t="s">
        <v>36085</v>
      </c>
      <c r="G2295" s="82"/>
      <c r="H2295" s="96">
        <f t="shared" si="140"/>
        <v>51.2</v>
      </c>
      <c r="I2295" s="96">
        <f t="shared" si="140"/>
        <v>52.75</v>
      </c>
      <c r="J2295" s="91" t="str">
        <f t="shared" si="141"/>
        <v>Sinapi 92530</v>
      </c>
      <c r="K2295" s="91" t="str">
        <f t="shared" si="142"/>
        <v>M2</v>
      </c>
      <c r="L2295" s="166" t="str">
        <f t="shared" si="143"/>
        <v>09/2020</v>
      </c>
      <c r="M2295" s="82"/>
      <c r="N2295" s="82"/>
    </row>
    <row r="2296" spans="1:14" x14ac:dyDescent="0.25">
      <c r="A2296" s="170" t="s">
        <v>5130</v>
      </c>
      <c r="B2296" s="170" t="s">
        <v>11436</v>
      </c>
      <c r="C2296" s="170" t="s">
        <v>870</v>
      </c>
      <c r="D2296" s="170" t="s">
        <v>1947</v>
      </c>
      <c r="E2296" s="171" t="s">
        <v>32797</v>
      </c>
      <c r="F2296" s="171" t="s">
        <v>22033</v>
      </c>
      <c r="G2296" s="82"/>
      <c r="H2296" s="96">
        <f t="shared" si="140"/>
        <v>80.52</v>
      </c>
      <c r="I2296" s="96">
        <f t="shared" si="140"/>
        <v>82.98</v>
      </c>
      <c r="J2296" s="91" t="str">
        <f t="shared" si="141"/>
        <v>Sinapi 92532</v>
      </c>
      <c r="K2296" s="91" t="str">
        <f t="shared" si="142"/>
        <v>M2</v>
      </c>
      <c r="L2296" s="166" t="str">
        <f t="shared" si="143"/>
        <v>09/2020</v>
      </c>
      <c r="M2296" s="82"/>
      <c r="N2296" s="82"/>
    </row>
    <row r="2297" spans="1:14" x14ac:dyDescent="0.25">
      <c r="A2297" s="170" t="s">
        <v>5131</v>
      </c>
      <c r="B2297" s="170" t="s">
        <v>11437</v>
      </c>
      <c r="C2297" s="170" t="s">
        <v>870</v>
      </c>
      <c r="D2297" s="170" t="s">
        <v>1947</v>
      </c>
      <c r="E2297" s="171" t="s">
        <v>19852</v>
      </c>
      <c r="F2297" s="171" t="s">
        <v>31661</v>
      </c>
      <c r="G2297" s="82"/>
      <c r="H2297" s="96">
        <f t="shared" si="140"/>
        <v>48.68</v>
      </c>
      <c r="I2297" s="96">
        <f t="shared" si="140"/>
        <v>50.1</v>
      </c>
      <c r="J2297" s="91" t="str">
        <f t="shared" si="141"/>
        <v>Sinapi 92534</v>
      </c>
      <c r="K2297" s="91" t="str">
        <f t="shared" si="142"/>
        <v>M2</v>
      </c>
      <c r="L2297" s="166" t="str">
        <f t="shared" si="143"/>
        <v>09/2020</v>
      </c>
      <c r="M2297" s="82"/>
      <c r="N2297" s="82"/>
    </row>
    <row r="2298" spans="1:14" x14ac:dyDescent="0.25">
      <c r="A2298" s="170" t="s">
        <v>5132</v>
      </c>
      <c r="B2298" s="170" t="s">
        <v>11438</v>
      </c>
      <c r="C2298" s="170" t="s">
        <v>870</v>
      </c>
      <c r="D2298" s="170" t="s">
        <v>1947</v>
      </c>
      <c r="E2298" s="171" t="s">
        <v>32798</v>
      </c>
      <c r="F2298" s="171" t="s">
        <v>33148</v>
      </c>
      <c r="G2298" s="82"/>
      <c r="H2298" s="96">
        <f t="shared" si="140"/>
        <v>74.11</v>
      </c>
      <c r="I2298" s="96">
        <f t="shared" si="140"/>
        <v>76.209999999999994</v>
      </c>
      <c r="J2298" s="91" t="str">
        <f t="shared" si="141"/>
        <v>Sinapi 92536</v>
      </c>
      <c r="K2298" s="91" t="str">
        <f t="shared" si="142"/>
        <v>M2</v>
      </c>
      <c r="L2298" s="166" t="str">
        <f t="shared" si="143"/>
        <v>09/2020</v>
      </c>
      <c r="M2298" s="82"/>
      <c r="N2298" s="82"/>
    </row>
    <row r="2299" spans="1:14" x14ac:dyDescent="0.25">
      <c r="A2299" s="170" t="s">
        <v>5133</v>
      </c>
      <c r="B2299" s="170" t="s">
        <v>11439</v>
      </c>
      <c r="C2299" s="170" t="s">
        <v>870</v>
      </c>
      <c r="D2299" s="170" t="s">
        <v>1947</v>
      </c>
      <c r="E2299" s="171" t="s">
        <v>30651</v>
      </c>
      <c r="F2299" s="171" t="s">
        <v>22975</v>
      </c>
      <c r="G2299" s="82"/>
      <c r="H2299" s="96">
        <f t="shared" si="140"/>
        <v>43.53</v>
      </c>
      <c r="I2299" s="96">
        <f t="shared" si="140"/>
        <v>44.74</v>
      </c>
      <c r="J2299" s="91" t="str">
        <f t="shared" si="141"/>
        <v>Sinapi 92538</v>
      </c>
      <c r="K2299" s="91" t="str">
        <f t="shared" si="142"/>
        <v>M2</v>
      </c>
      <c r="L2299" s="166" t="str">
        <f t="shared" si="143"/>
        <v>09/2020</v>
      </c>
      <c r="M2299" s="82"/>
      <c r="N2299" s="82"/>
    </row>
    <row r="2300" spans="1:14" x14ac:dyDescent="0.25">
      <c r="A2300" s="170" t="s">
        <v>5134</v>
      </c>
      <c r="B2300" s="170" t="s">
        <v>5135</v>
      </c>
      <c r="C2300" s="170" t="s">
        <v>870</v>
      </c>
      <c r="D2300" s="170" t="s">
        <v>2067</v>
      </c>
      <c r="E2300" s="171" t="s">
        <v>32799</v>
      </c>
      <c r="F2300" s="171" t="s">
        <v>36086</v>
      </c>
      <c r="G2300" s="82"/>
      <c r="H2300" s="96">
        <f t="shared" si="140"/>
        <v>248.62</v>
      </c>
      <c r="I2300" s="96">
        <f t="shared" si="140"/>
        <v>256.12</v>
      </c>
      <c r="J2300" s="91" t="str">
        <f t="shared" si="141"/>
        <v>Sinapi 96252</v>
      </c>
      <c r="K2300" s="91" t="str">
        <f t="shared" si="142"/>
        <v>M2</v>
      </c>
      <c r="L2300" s="166" t="str">
        <f t="shared" si="143"/>
        <v>06/2017</v>
      </c>
      <c r="M2300" s="82"/>
      <c r="N2300" s="82"/>
    </row>
    <row r="2301" spans="1:14" x14ac:dyDescent="0.25">
      <c r="A2301" s="170" t="s">
        <v>5136</v>
      </c>
      <c r="B2301" s="170" t="s">
        <v>5137</v>
      </c>
      <c r="C2301" s="170" t="s">
        <v>870</v>
      </c>
      <c r="D2301" s="170" t="s">
        <v>2067</v>
      </c>
      <c r="E2301" s="171" t="s">
        <v>32800</v>
      </c>
      <c r="F2301" s="171" t="s">
        <v>36087</v>
      </c>
      <c r="G2301" s="82"/>
      <c r="H2301" s="96">
        <f t="shared" si="140"/>
        <v>198.26</v>
      </c>
      <c r="I2301" s="96">
        <f t="shared" si="140"/>
        <v>209</v>
      </c>
      <c r="J2301" s="91" t="str">
        <f t="shared" si="141"/>
        <v>Sinapi 96257</v>
      </c>
      <c r="K2301" s="91" t="str">
        <f t="shared" si="142"/>
        <v>M2</v>
      </c>
      <c r="L2301" s="166" t="str">
        <f t="shared" si="143"/>
        <v>06/2017</v>
      </c>
      <c r="M2301" s="82"/>
      <c r="N2301" s="82"/>
    </row>
    <row r="2302" spans="1:14" x14ac:dyDescent="0.25">
      <c r="A2302" s="170" t="s">
        <v>5138</v>
      </c>
      <c r="B2302" s="170" t="s">
        <v>5139</v>
      </c>
      <c r="C2302" s="170" t="s">
        <v>870</v>
      </c>
      <c r="D2302" s="170" t="s">
        <v>2067</v>
      </c>
      <c r="E2302" s="171" t="s">
        <v>32801</v>
      </c>
      <c r="F2302" s="171" t="s">
        <v>36088</v>
      </c>
      <c r="G2302" s="82"/>
      <c r="H2302" s="96">
        <f t="shared" si="140"/>
        <v>186.05</v>
      </c>
      <c r="I2302" s="96">
        <f t="shared" si="140"/>
        <v>195.76</v>
      </c>
      <c r="J2302" s="91" t="str">
        <f t="shared" si="141"/>
        <v>Sinapi 96258</v>
      </c>
      <c r="K2302" s="91" t="str">
        <f t="shared" si="142"/>
        <v>M2</v>
      </c>
      <c r="L2302" s="166" t="str">
        <f t="shared" si="143"/>
        <v>06/2017</v>
      </c>
      <c r="M2302" s="82"/>
      <c r="N2302" s="82"/>
    </row>
    <row r="2303" spans="1:14" x14ac:dyDescent="0.25">
      <c r="A2303" s="170" t="s">
        <v>5140</v>
      </c>
      <c r="B2303" s="170" t="s">
        <v>5141</v>
      </c>
      <c r="C2303" s="170" t="s">
        <v>870</v>
      </c>
      <c r="D2303" s="170" t="s">
        <v>2067</v>
      </c>
      <c r="E2303" s="171" t="s">
        <v>32802</v>
      </c>
      <c r="F2303" s="171" t="s">
        <v>36089</v>
      </c>
      <c r="G2303" s="82"/>
      <c r="H2303" s="96">
        <f t="shared" si="140"/>
        <v>218.59</v>
      </c>
      <c r="I2303" s="96">
        <f t="shared" si="140"/>
        <v>232.13</v>
      </c>
      <c r="J2303" s="91" t="str">
        <f t="shared" si="141"/>
        <v>Sinapi 96259</v>
      </c>
      <c r="K2303" s="91" t="str">
        <f t="shared" si="142"/>
        <v>M2</v>
      </c>
      <c r="L2303" s="166" t="str">
        <f t="shared" si="143"/>
        <v>06/2017</v>
      </c>
      <c r="M2303" s="82"/>
      <c r="N2303" s="82"/>
    </row>
    <row r="2304" spans="1:14" x14ac:dyDescent="0.25">
      <c r="A2304" s="170" t="s">
        <v>5142</v>
      </c>
      <c r="B2304" s="170" t="s">
        <v>5143</v>
      </c>
      <c r="C2304" s="170" t="s">
        <v>870</v>
      </c>
      <c r="D2304" s="170" t="s">
        <v>2067</v>
      </c>
      <c r="E2304" s="171" t="s">
        <v>32803</v>
      </c>
      <c r="F2304" s="171" t="s">
        <v>36090</v>
      </c>
      <c r="G2304" s="82"/>
      <c r="H2304" s="96">
        <f t="shared" si="140"/>
        <v>295.86</v>
      </c>
      <c r="I2304" s="96">
        <f t="shared" si="140"/>
        <v>312.85000000000002</v>
      </c>
      <c r="J2304" s="91" t="str">
        <f t="shared" si="141"/>
        <v>Sinapi 96529</v>
      </c>
      <c r="K2304" s="91" t="str">
        <f t="shared" si="142"/>
        <v>M2</v>
      </c>
      <c r="L2304" s="166" t="str">
        <f t="shared" si="143"/>
        <v>06/2017</v>
      </c>
      <c r="M2304" s="82"/>
      <c r="N2304" s="82"/>
    </row>
    <row r="2305" spans="1:14" x14ac:dyDescent="0.25">
      <c r="A2305" s="170" t="s">
        <v>5144</v>
      </c>
      <c r="B2305" s="170" t="s">
        <v>5145</v>
      </c>
      <c r="C2305" s="170" t="s">
        <v>870</v>
      </c>
      <c r="D2305" s="170" t="s">
        <v>2067</v>
      </c>
      <c r="E2305" s="171" t="s">
        <v>32804</v>
      </c>
      <c r="F2305" s="171" t="s">
        <v>36091</v>
      </c>
      <c r="G2305" s="82"/>
      <c r="H2305" s="96">
        <f t="shared" si="140"/>
        <v>159.58000000000001</v>
      </c>
      <c r="I2305" s="96">
        <f t="shared" si="140"/>
        <v>165.72</v>
      </c>
      <c r="J2305" s="91" t="str">
        <f t="shared" si="141"/>
        <v>Sinapi 96530</v>
      </c>
      <c r="K2305" s="91" t="str">
        <f t="shared" si="142"/>
        <v>M2</v>
      </c>
      <c r="L2305" s="166" t="str">
        <f t="shared" si="143"/>
        <v>06/2017</v>
      </c>
      <c r="M2305" s="82"/>
      <c r="N2305" s="82"/>
    </row>
    <row r="2306" spans="1:14" x14ac:dyDescent="0.25">
      <c r="A2306" s="170" t="s">
        <v>5146</v>
      </c>
      <c r="B2306" s="170" t="s">
        <v>5147</v>
      </c>
      <c r="C2306" s="170" t="s">
        <v>870</v>
      </c>
      <c r="D2306" s="170" t="s">
        <v>2067</v>
      </c>
      <c r="E2306" s="171" t="s">
        <v>32805</v>
      </c>
      <c r="F2306" s="171" t="s">
        <v>29138</v>
      </c>
      <c r="G2306" s="82"/>
      <c r="H2306" s="96">
        <f t="shared" si="140"/>
        <v>112.54</v>
      </c>
      <c r="I2306" s="96">
        <f t="shared" si="140"/>
        <v>118.71</v>
      </c>
      <c r="J2306" s="91" t="str">
        <f t="shared" si="141"/>
        <v>Sinapi 96531</v>
      </c>
      <c r="K2306" s="91" t="str">
        <f t="shared" si="142"/>
        <v>M2</v>
      </c>
      <c r="L2306" s="166" t="str">
        <f t="shared" si="143"/>
        <v>06/2017</v>
      </c>
      <c r="M2306" s="82"/>
      <c r="N2306" s="82"/>
    </row>
    <row r="2307" spans="1:14" x14ac:dyDescent="0.25">
      <c r="A2307" s="170" t="s">
        <v>5148</v>
      </c>
      <c r="B2307" s="170" t="s">
        <v>5149</v>
      </c>
      <c r="C2307" s="170" t="s">
        <v>870</v>
      </c>
      <c r="D2307" s="170" t="s">
        <v>2067</v>
      </c>
      <c r="E2307" s="171" t="s">
        <v>32806</v>
      </c>
      <c r="F2307" s="171" t="s">
        <v>36092</v>
      </c>
      <c r="G2307" s="82"/>
      <c r="H2307" s="96">
        <f t="shared" si="140"/>
        <v>189.53</v>
      </c>
      <c r="I2307" s="96">
        <f t="shared" si="140"/>
        <v>202.54</v>
      </c>
      <c r="J2307" s="91" t="str">
        <f t="shared" si="141"/>
        <v>Sinapi 96532</v>
      </c>
      <c r="K2307" s="91" t="str">
        <f t="shared" si="142"/>
        <v>M2</v>
      </c>
      <c r="L2307" s="166" t="str">
        <f t="shared" si="143"/>
        <v>06/2017</v>
      </c>
      <c r="M2307" s="82"/>
      <c r="N2307" s="82"/>
    </row>
    <row r="2308" spans="1:14" x14ac:dyDescent="0.25">
      <c r="A2308" s="170" t="s">
        <v>5150</v>
      </c>
      <c r="B2308" s="170" t="s">
        <v>5151</v>
      </c>
      <c r="C2308" s="170" t="s">
        <v>870</v>
      </c>
      <c r="D2308" s="170" t="s">
        <v>2067</v>
      </c>
      <c r="E2308" s="171" t="s">
        <v>32807</v>
      </c>
      <c r="F2308" s="171" t="s">
        <v>36093</v>
      </c>
      <c r="G2308" s="82"/>
      <c r="H2308" s="96">
        <f t="shared" si="140"/>
        <v>99.56</v>
      </c>
      <c r="I2308" s="96">
        <f t="shared" si="140"/>
        <v>104.65</v>
      </c>
      <c r="J2308" s="91" t="str">
        <f t="shared" si="141"/>
        <v>Sinapi 96533</v>
      </c>
      <c r="K2308" s="91" t="str">
        <f t="shared" si="142"/>
        <v>M2</v>
      </c>
      <c r="L2308" s="166" t="str">
        <f t="shared" si="143"/>
        <v>06/2017</v>
      </c>
      <c r="M2308" s="82"/>
      <c r="N2308" s="82"/>
    </row>
    <row r="2309" spans="1:14" x14ac:dyDescent="0.25">
      <c r="A2309" s="170" t="s">
        <v>5152</v>
      </c>
      <c r="B2309" s="170" t="s">
        <v>5153</v>
      </c>
      <c r="C2309" s="170" t="s">
        <v>870</v>
      </c>
      <c r="D2309" s="170" t="s">
        <v>2067</v>
      </c>
      <c r="E2309" s="171" t="s">
        <v>32808</v>
      </c>
      <c r="F2309" s="171" t="s">
        <v>36094</v>
      </c>
      <c r="G2309" s="82"/>
      <c r="H2309" s="96">
        <f t="shared" si="140"/>
        <v>79.47</v>
      </c>
      <c r="I2309" s="96">
        <f t="shared" si="140"/>
        <v>85.07</v>
      </c>
      <c r="J2309" s="91" t="str">
        <f t="shared" si="141"/>
        <v>Sinapi 96534</v>
      </c>
      <c r="K2309" s="91" t="str">
        <f t="shared" si="142"/>
        <v>M2</v>
      </c>
      <c r="L2309" s="166" t="str">
        <f t="shared" si="143"/>
        <v>06/2017</v>
      </c>
      <c r="M2309" s="82"/>
      <c r="N2309" s="82"/>
    </row>
    <row r="2310" spans="1:14" x14ac:dyDescent="0.25">
      <c r="A2310" s="170" t="s">
        <v>5154</v>
      </c>
      <c r="B2310" s="170" t="s">
        <v>5155</v>
      </c>
      <c r="C2310" s="170" t="s">
        <v>870</v>
      </c>
      <c r="D2310" s="170" t="s">
        <v>2067</v>
      </c>
      <c r="E2310" s="171" t="s">
        <v>32809</v>
      </c>
      <c r="F2310" s="171" t="s">
        <v>36095</v>
      </c>
      <c r="G2310" s="82"/>
      <c r="H2310" s="96">
        <f t="shared" si="140"/>
        <v>134.12</v>
      </c>
      <c r="I2310" s="96">
        <f t="shared" si="140"/>
        <v>145.06</v>
      </c>
      <c r="J2310" s="91" t="str">
        <f t="shared" si="141"/>
        <v>Sinapi 96535</v>
      </c>
      <c r="K2310" s="91" t="str">
        <f t="shared" si="142"/>
        <v>M2</v>
      </c>
      <c r="L2310" s="166" t="str">
        <f t="shared" si="143"/>
        <v>06/2017</v>
      </c>
      <c r="M2310" s="82"/>
      <c r="N2310" s="82"/>
    </row>
    <row r="2311" spans="1:14" x14ac:dyDescent="0.25">
      <c r="A2311" s="170" t="s">
        <v>5156</v>
      </c>
      <c r="B2311" s="170" t="s">
        <v>5157</v>
      </c>
      <c r="C2311" s="170" t="s">
        <v>870</v>
      </c>
      <c r="D2311" s="170" t="s">
        <v>2067</v>
      </c>
      <c r="E2311" s="171" t="s">
        <v>28681</v>
      </c>
      <c r="F2311" s="171" t="s">
        <v>36096</v>
      </c>
      <c r="G2311" s="82"/>
      <c r="H2311" s="96">
        <f t="shared" si="140"/>
        <v>68.349999999999994</v>
      </c>
      <c r="I2311" s="96">
        <f t="shared" si="140"/>
        <v>72.89</v>
      </c>
      <c r="J2311" s="91" t="str">
        <f t="shared" si="141"/>
        <v>Sinapi 96536</v>
      </c>
      <c r="K2311" s="91" t="str">
        <f t="shared" si="142"/>
        <v>M2</v>
      </c>
      <c r="L2311" s="166" t="str">
        <f t="shared" si="143"/>
        <v>06/2017</v>
      </c>
      <c r="M2311" s="82"/>
      <c r="N2311" s="82"/>
    </row>
    <row r="2312" spans="1:14" x14ac:dyDescent="0.25">
      <c r="A2312" s="170" t="s">
        <v>5158</v>
      </c>
      <c r="B2312" s="170" t="s">
        <v>5159</v>
      </c>
      <c r="C2312" s="170" t="s">
        <v>870</v>
      </c>
      <c r="D2312" s="170" t="s">
        <v>2067</v>
      </c>
      <c r="E2312" s="171" t="s">
        <v>32810</v>
      </c>
      <c r="F2312" s="171" t="s">
        <v>36097</v>
      </c>
      <c r="G2312" s="82"/>
      <c r="H2312" s="96">
        <f t="shared" ref="H2312:I2375" si="144">IF(E2312="","",E2312+0)</f>
        <v>188.42</v>
      </c>
      <c r="I2312" s="96">
        <f t="shared" si="144"/>
        <v>198.53</v>
      </c>
      <c r="J2312" s="91" t="str">
        <f t="shared" ref="J2312:J2375" si="145">IF(OR(H2312="",I2312=""),"",TRIM(CONCATENATE("Sinapi ",A2312)))</f>
        <v>Sinapi 96537</v>
      </c>
      <c r="K2312" s="91" t="str">
        <f t="shared" ref="K2312:K2375" si="146">TRIM(C2312)</f>
        <v>M2</v>
      </c>
      <c r="L2312" s="166" t="str">
        <f t="shared" ref="L2312:L2375" si="147">IF(OR(RIGHT(IF(AND(K2312&lt;&gt;"H",K2312&lt;&gt;"MES"),RIGHT(B2312,7),""),2)="PS",RIGHT(IF(AND(K2312&lt;&gt;"H",K2312&lt;&gt;"MES"),RIGHT(B2312,7),""),2)="PA",RIGHT(IF(AND(K2312&lt;&gt;"H",K2312&lt;&gt;"MES"),RIGHT(B2312,7),""),2)="PE"),LEFT(IF(AND(K2312&lt;&gt;"H",K2312&lt;&gt;"MES"),RIGHT(B2312,10),""),7),IF(AND(K2312&lt;&gt;"H",K2312&lt;&gt;"MES"),RIGHT(B2312,7),""))</f>
        <v>06/2017</v>
      </c>
      <c r="M2312" s="82"/>
      <c r="N2312" s="82"/>
    </row>
    <row r="2313" spans="1:14" x14ac:dyDescent="0.25">
      <c r="A2313" s="170" t="s">
        <v>5160</v>
      </c>
      <c r="B2313" s="170" t="s">
        <v>5161</v>
      </c>
      <c r="C2313" s="170" t="s">
        <v>870</v>
      </c>
      <c r="D2313" s="170" t="s">
        <v>2067</v>
      </c>
      <c r="E2313" s="171" t="s">
        <v>32811</v>
      </c>
      <c r="F2313" s="171" t="s">
        <v>36098</v>
      </c>
      <c r="G2313" s="82"/>
      <c r="H2313" s="96">
        <f t="shared" si="144"/>
        <v>264.01</v>
      </c>
      <c r="I2313" s="96">
        <f t="shared" si="144"/>
        <v>282.48</v>
      </c>
      <c r="J2313" s="91" t="str">
        <f t="shared" si="145"/>
        <v>Sinapi 96538</v>
      </c>
      <c r="K2313" s="91" t="str">
        <f t="shared" si="146"/>
        <v>M2</v>
      </c>
      <c r="L2313" s="166" t="str">
        <f t="shared" si="147"/>
        <v>06/2017</v>
      </c>
      <c r="M2313" s="82"/>
      <c r="N2313" s="82"/>
    </row>
    <row r="2314" spans="1:14" x14ac:dyDescent="0.25">
      <c r="A2314" s="170" t="s">
        <v>5162</v>
      </c>
      <c r="B2314" s="170" t="s">
        <v>5163</v>
      </c>
      <c r="C2314" s="170" t="s">
        <v>870</v>
      </c>
      <c r="D2314" s="170" t="s">
        <v>2067</v>
      </c>
      <c r="E2314" s="171" t="s">
        <v>32812</v>
      </c>
      <c r="F2314" s="171" t="s">
        <v>23270</v>
      </c>
      <c r="G2314" s="82"/>
      <c r="H2314" s="96">
        <f t="shared" si="144"/>
        <v>129.36000000000001</v>
      </c>
      <c r="I2314" s="96">
        <f t="shared" si="144"/>
        <v>137.02000000000001</v>
      </c>
      <c r="J2314" s="91" t="str">
        <f t="shared" si="145"/>
        <v>Sinapi 96539</v>
      </c>
      <c r="K2314" s="91" t="str">
        <f t="shared" si="146"/>
        <v>M2</v>
      </c>
      <c r="L2314" s="166" t="str">
        <f t="shared" si="147"/>
        <v>06/2017</v>
      </c>
      <c r="M2314" s="82"/>
      <c r="N2314" s="82"/>
    </row>
    <row r="2315" spans="1:14" x14ac:dyDescent="0.25">
      <c r="A2315" s="170" t="s">
        <v>5164</v>
      </c>
      <c r="B2315" s="170" t="s">
        <v>5165</v>
      </c>
      <c r="C2315" s="170" t="s">
        <v>870</v>
      </c>
      <c r="D2315" s="170" t="s">
        <v>2067</v>
      </c>
      <c r="E2315" s="171" t="s">
        <v>22743</v>
      </c>
      <c r="F2315" s="171" t="s">
        <v>29096</v>
      </c>
      <c r="G2315" s="82"/>
      <c r="H2315" s="96">
        <f t="shared" si="144"/>
        <v>129.05000000000001</v>
      </c>
      <c r="I2315" s="96">
        <f t="shared" si="144"/>
        <v>137.78</v>
      </c>
      <c r="J2315" s="91" t="str">
        <f t="shared" si="145"/>
        <v>Sinapi 96540</v>
      </c>
      <c r="K2315" s="91" t="str">
        <f t="shared" si="146"/>
        <v>M2</v>
      </c>
      <c r="L2315" s="166" t="str">
        <f t="shared" si="147"/>
        <v>06/2017</v>
      </c>
      <c r="M2315" s="82"/>
      <c r="N2315" s="82"/>
    </row>
    <row r="2316" spans="1:14" x14ac:dyDescent="0.25">
      <c r="A2316" s="170" t="s">
        <v>5166</v>
      </c>
      <c r="B2316" s="170" t="s">
        <v>5167</v>
      </c>
      <c r="C2316" s="170" t="s">
        <v>870</v>
      </c>
      <c r="D2316" s="170" t="s">
        <v>2067</v>
      </c>
      <c r="E2316" s="171" t="s">
        <v>22913</v>
      </c>
      <c r="F2316" s="171" t="s">
        <v>36099</v>
      </c>
      <c r="G2316" s="82"/>
      <c r="H2316" s="96">
        <f t="shared" si="144"/>
        <v>183.95</v>
      </c>
      <c r="I2316" s="96">
        <f t="shared" si="144"/>
        <v>198.85</v>
      </c>
      <c r="J2316" s="91" t="str">
        <f t="shared" si="145"/>
        <v>Sinapi 96541</v>
      </c>
      <c r="K2316" s="91" t="str">
        <f t="shared" si="146"/>
        <v>M2</v>
      </c>
      <c r="L2316" s="166" t="str">
        <f t="shared" si="147"/>
        <v>06/2017</v>
      </c>
      <c r="M2316" s="82"/>
      <c r="N2316" s="82"/>
    </row>
    <row r="2317" spans="1:14" x14ac:dyDescent="0.25">
      <c r="A2317" s="170" t="s">
        <v>5168</v>
      </c>
      <c r="B2317" s="170" t="s">
        <v>5169</v>
      </c>
      <c r="C2317" s="170" t="s">
        <v>870</v>
      </c>
      <c r="D2317" s="170" t="s">
        <v>2067</v>
      </c>
      <c r="E2317" s="171" t="s">
        <v>32813</v>
      </c>
      <c r="F2317" s="171" t="s">
        <v>36100</v>
      </c>
      <c r="G2317" s="82"/>
      <c r="H2317" s="96">
        <f t="shared" si="144"/>
        <v>93.35</v>
      </c>
      <c r="I2317" s="96">
        <f t="shared" si="144"/>
        <v>100.28</v>
      </c>
      <c r="J2317" s="91" t="str">
        <f t="shared" si="145"/>
        <v>Sinapi 96542</v>
      </c>
      <c r="K2317" s="91" t="str">
        <f t="shared" si="146"/>
        <v>M2</v>
      </c>
      <c r="L2317" s="166" t="str">
        <f t="shared" si="147"/>
        <v>06/2017</v>
      </c>
      <c r="M2317" s="82"/>
      <c r="N2317" s="82"/>
    </row>
    <row r="2318" spans="1:14" x14ac:dyDescent="0.25">
      <c r="A2318" s="170" t="s">
        <v>5170</v>
      </c>
      <c r="B2318" s="170" t="s">
        <v>5171</v>
      </c>
      <c r="C2318" s="170" t="s">
        <v>774</v>
      </c>
      <c r="D2318" s="170" t="s">
        <v>1947</v>
      </c>
      <c r="E2318" s="171" t="s">
        <v>21471</v>
      </c>
      <c r="F2318" s="171" t="s">
        <v>33057</v>
      </c>
      <c r="G2318" s="82"/>
      <c r="H2318" s="96">
        <f t="shared" si="144"/>
        <v>18.940000000000001</v>
      </c>
      <c r="I2318" s="96">
        <f t="shared" si="144"/>
        <v>19.78</v>
      </c>
      <c r="J2318" s="91" t="str">
        <f t="shared" si="145"/>
        <v>Sinapi 96543</v>
      </c>
      <c r="K2318" s="91" t="str">
        <f t="shared" si="146"/>
        <v>KG</v>
      </c>
      <c r="L2318" s="166" t="str">
        <f t="shared" si="147"/>
        <v>06/2017</v>
      </c>
      <c r="M2318" s="82"/>
      <c r="N2318" s="82"/>
    </row>
    <row r="2319" spans="1:14" x14ac:dyDescent="0.25">
      <c r="A2319" s="170" t="s">
        <v>5172</v>
      </c>
      <c r="B2319" s="170" t="s">
        <v>5173</v>
      </c>
      <c r="C2319" s="170" t="s">
        <v>870</v>
      </c>
      <c r="D2319" s="170" t="s">
        <v>2067</v>
      </c>
      <c r="E2319" s="171" t="s">
        <v>29758</v>
      </c>
      <c r="F2319" s="171" t="s">
        <v>36101</v>
      </c>
      <c r="G2319" s="82"/>
      <c r="H2319" s="96">
        <f t="shared" si="144"/>
        <v>203.89</v>
      </c>
      <c r="I2319" s="96">
        <f t="shared" si="144"/>
        <v>215.94</v>
      </c>
      <c r="J2319" s="91" t="str">
        <f t="shared" si="145"/>
        <v>Sinapi 97747</v>
      </c>
      <c r="K2319" s="91" t="str">
        <f t="shared" si="146"/>
        <v>M2</v>
      </c>
      <c r="L2319" s="166" t="str">
        <f t="shared" si="147"/>
        <v>06/2017</v>
      </c>
      <c r="M2319" s="82"/>
      <c r="N2319" s="82"/>
    </row>
    <row r="2320" spans="1:14" x14ac:dyDescent="0.25">
      <c r="A2320" s="170" t="s">
        <v>11440</v>
      </c>
      <c r="B2320" s="170" t="s">
        <v>11441</v>
      </c>
      <c r="C2320" s="170" t="s">
        <v>385</v>
      </c>
      <c r="D2320" s="170" t="s">
        <v>2067</v>
      </c>
      <c r="E2320" s="171" t="s">
        <v>21516</v>
      </c>
      <c r="F2320" s="171" t="s">
        <v>23071</v>
      </c>
      <c r="G2320" s="82"/>
      <c r="H2320" s="96">
        <f t="shared" si="144"/>
        <v>18.850000000000001</v>
      </c>
      <c r="I2320" s="96">
        <f t="shared" si="144"/>
        <v>19.07</v>
      </c>
      <c r="J2320" s="91" t="str">
        <f t="shared" si="145"/>
        <v>Sinapi 101791</v>
      </c>
      <c r="K2320" s="91" t="str">
        <f t="shared" si="146"/>
        <v>M</v>
      </c>
      <c r="L2320" s="166" t="str">
        <f t="shared" si="147"/>
        <v>09/2020</v>
      </c>
      <c r="M2320" s="82"/>
      <c r="N2320" s="82"/>
    </row>
    <row r="2321" spans="1:14" x14ac:dyDescent="0.25">
      <c r="A2321" s="170" t="s">
        <v>11442</v>
      </c>
      <c r="B2321" s="170" t="s">
        <v>11443</v>
      </c>
      <c r="C2321" s="170" t="s">
        <v>85</v>
      </c>
      <c r="D2321" s="170" t="s">
        <v>2067</v>
      </c>
      <c r="E2321" s="171" t="s">
        <v>11130</v>
      </c>
      <c r="F2321" s="171" t="s">
        <v>15510</v>
      </c>
      <c r="G2321" s="82"/>
      <c r="H2321" s="96">
        <f t="shared" si="144"/>
        <v>13.9</v>
      </c>
      <c r="I2321" s="96">
        <f t="shared" si="144"/>
        <v>14.72</v>
      </c>
      <c r="J2321" s="91" t="str">
        <f t="shared" si="145"/>
        <v>Sinapi 101792</v>
      </c>
      <c r="K2321" s="91" t="str">
        <f t="shared" si="146"/>
        <v>M3</v>
      </c>
      <c r="L2321" s="166" t="str">
        <f t="shared" si="147"/>
        <v>09/2020</v>
      </c>
      <c r="M2321" s="82"/>
      <c r="N2321" s="82"/>
    </row>
    <row r="2322" spans="1:14" x14ac:dyDescent="0.25">
      <c r="A2322" s="170" t="s">
        <v>11444</v>
      </c>
      <c r="B2322" s="170" t="s">
        <v>11445</v>
      </c>
      <c r="C2322" s="170" t="s">
        <v>85</v>
      </c>
      <c r="D2322" s="170" t="s">
        <v>2067</v>
      </c>
      <c r="E2322" s="171" t="s">
        <v>22014</v>
      </c>
      <c r="F2322" s="171" t="s">
        <v>30512</v>
      </c>
      <c r="G2322" s="82"/>
      <c r="H2322" s="96">
        <f t="shared" si="144"/>
        <v>20.69</v>
      </c>
      <c r="I2322" s="96">
        <f t="shared" si="144"/>
        <v>21.81</v>
      </c>
      <c r="J2322" s="91" t="str">
        <f t="shared" si="145"/>
        <v>Sinapi 101793</v>
      </c>
      <c r="K2322" s="91" t="str">
        <f t="shared" si="146"/>
        <v>M3</v>
      </c>
      <c r="L2322" s="166" t="str">
        <f t="shared" si="147"/>
        <v>09/2020</v>
      </c>
      <c r="M2322" s="82"/>
      <c r="N2322" s="82"/>
    </row>
    <row r="2323" spans="1:14" x14ac:dyDescent="0.25">
      <c r="A2323" s="170" t="s">
        <v>12117</v>
      </c>
      <c r="B2323" s="170" t="s">
        <v>12118</v>
      </c>
      <c r="C2323" s="170" t="s">
        <v>870</v>
      </c>
      <c r="D2323" s="170" t="s">
        <v>2067</v>
      </c>
      <c r="E2323" s="171" t="s">
        <v>32814</v>
      </c>
      <c r="F2323" s="171" t="s">
        <v>36102</v>
      </c>
      <c r="G2323" s="82"/>
      <c r="H2323" s="96">
        <f t="shared" si="144"/>
        <v>228.21</v>
      </c>
      <c r="I2323" s="96">
        <f t="shared" si="144"/>
        <v>231.16</v>
      </c>
      <c r="J2323" s="91" t="str">
        <f t="shared" si="145"/>
        <v>Sinapi 101969</v>
      </c>
      <c r="K2323" s="91" t="str">
        <f t="shared" si="146"/>
        <v>M2</v>
      </c>
      <c r="L2323" s="166" t="str">
        <f t="shared" si="147"/>
        <v>11/2020</v>
      </c>
      <c r="M2323" s="82"/>
      <c r="N2323" s="82"/>
    </row>
    <row r="2324" spans="1:14" x14ac:dyDescent="0.25">
      <c r="A2324" s="170" t="s">
        <v>12119</v>
      </c>
      <c r="B2324" s="170" t="s">
        <v>12120</v>
      </c>
      <c r="C2324" s="170" t="s">
        <v>870</v>
      </c>
      <c r="D2324" s="170" t="s">
        <v>2067</v>
      </c>
      <c r="E2324" s="171" t="s">
        <v>32815</v>
      </c>
      <c r="F2324" s="171" t="s">
        <v>36103</v>
      </c>
      <c r="G2324" s="82"/>
      <c r="H2324" s="96">
        <f t="shared" si="144"/>
        <v>162.83000000000001</v>
      </c>
      <c r="I2324" s="96">
        <f t="shared" si="144"/>
        <v>165.78</v>
      </c>
      <c r="J2324" s="91" t="str">
        <f t="shared" si="145"/>
        <v>Sinapi 101971</v>
      </c>
      <c r="K2324" s="91" t="str">
        <f t="shared" si="146"/>
        <v>M2</v>
      </c>
      <c r="L2324" s="166" t="str">
        <f t="shared" si="147"/>
        <v>11/2020</v>
      </c>
      <c r="M2324" s="82"/>
      <c r="N2324" s="82"/>
    </row>
    <row r="2325" spans="1:14" x14ac:dyDescent="0.25">
      <c r="A2325" s="170" t="s">
        <v>12121</v>
      </c>
      <c r="B2325" s="170" t="s">
        <v>12122</v>
      </c>
      <c r="C2325" s="170" t="s">
        <v>870</v>
      </c>
      <c r="D2325" s="170" t="s">
        <v>2067</v>
      </c>
      <c r="E2325" s="171" t="s">
        <v>32816</v>
      </c>
      <c r="F2325" s="171" t="s">
        <v>36104</v>
      </c>
      <c r="G2325" s="82"/>
      <c r="H2325" s="96">
        <f t="shared" si="144"/>
        <v>173.61</v>
      </c>
      <c r="I2325" s="96">
        <f t="shared" si="144"/>
        <v>176.83</v>
      </c>
      <c r="J2325" s="91" t="str">
        <f t="shared" si="145"/>
        <v>Sinapi 101973</v>
      </c>
      <c r="K2325" s="91" t="str">
        <f t="shared" si="146"/>
        <v>M2</v>
      </c>
      <c r="L2325" s="166" t="str">
        <f t="shared" si="147"/>
        <v>11/2020</v>
      </c>
      <c r="M2325" s="82"/>
      <c r="N2325" s="82"/>
    </row>
    <row r="2326" spans="1:14" x14ac:dyDescent="0.25">
      <c r="A2326" s="170" t="s">
        <v>12123</v>
      </c>
      <c r="B2326" s="170" t="s">
        <v>12124</v>
      </c>
      <c r="C2326" s="170" t="s">
        <v>870</v>
      </c>
      <c r="D2326" s="170" t="s">
        <v>2067</v>
      </c>
      <c r="E2326" s="171" t="s">
        <v>32817</v>
      </c>
      <c r="F2326" s="171" t="s">
        <v>36105</v>
      </c>
      <c r="G2326" s="82"/>
      <c r="H2326" s="96">
        <f t="shared" si="144"/>
        <v>408.94</v>
      </c>
      <c r="I2326" s="96">
        <f t="shared" si="144"/>
        <v>434.28</v>
      </c>
      <c r="J2326" s="91" t="str">
        <f t="shared" si="145"/>
        <v>Sinapi 101974</v>
      </c>
      <c r="K2326" s="91" t="str">
        <f t="shared" si="146"/>
        <v>M2</v>
      </c>
      <c r="L2326" s="166" t="str">
        <f t="shared" si="147"/>
        <v>11/2020</v>
      </c>
      <c r="M2326" s="82"/>
      <c r="N2326" s="82"/>
    </row>
    <row r="2327" spans="1:14" x14ac:dyDescent="0.25">
      <c r="A2327" s="170" t="s">
        <v>12125</v>
      </c>
      <c r="B2327" s="170" t="s">
        <v>12126</v>
      </c>
      <c r="C2327" s="170" t="s">
        <v>870</v>
      </c>
      <c r="D2327" s="170" t="s">
        <v>2067</v>
      </c>
      <c r="E2327" s="171" t="s">
        <v>32818</v>
      </c>
      <c r="F2327" s="171" t="s">
        <v>36106</v>
      </c>
      <c r="G2327" s="82"/>
      <c r="H2327" s="96">
        <f t="shared" si="144"/>
        <v>346.31</v>
      </c>
      <c r="I2327" s="96">
        <f t="shared" si="144"/>
        <v>366.44</v>
      </c>
      <c r="J2327" s="91" t="str">
        <f t="shared" si="145"/>
        <v>Sinapi 101975</v>
      </c>
      <c r="K2327" s="91" t="str">
        <f t="shared" si="146"/>
        <v>M2</v>
      </c>
      <c r="L2327" s="166" t="str">
        <f t="shared" si="147"/>
        <v>11/2020</v>
      </c>
      <c r="M2327" s="82"/>
      <c r="N2327" s="82"/>
    </row>
    <row r="2328" spans="1:14" x14ac:dyDescent="0.25">
      <c r="A2328" s="170" t="s">
        <v>12127</v>
      </c>
      <c r="B2328" s="170" t="s">
        <v>12128</v>
      </c>
      <c r="C2328" s="170" t="s">
        <v>870</v>
      </c>
      <c r="D2328" s="170" t="s">
        <v>2067</v>
      </c>
      <c r="E2328" s="171" t="s">
        <v>32819</v>
      </c>
      <c r="F2328" s="171" t="s">
        <v>36107</v>
      </c>
      <c r="G2328" s="82"/>
      <c r="H2328" s="96">
        <f t="shared" si="144"/>
        <v>305.39</v>
      </c>
      <c r="I2328" s="96">
        <f t="shared" si="144"/>
        <v>322.83999999999997</v>
      </c>
      <c r="J2328" s="91" t="str">
        <f t="shared" si="145"/>
        <v>Sinapi 101977</v>
      </c>
      <c r="K2328" s="91" t="str">
        <f t="shared" si="146"/>
        <v>M2</v>
      </c>
      <c r="L2328" s="166" t="str">
        <f t="shared" si="147"/>
        <v>11/2020</v>
      </c>
      <c r="M2328" s="82"/>
      <c r="N2328" s="82"/>
    </row>
    <row r="2329" spans="1:14" x14ac:dyDescent="0.25">
      <c r="A2329" s="170" t="s">
        <v>12129</v>
      </c>
      <c r="B2329" s="170" t="s">
        <v>12130</v>
      </c>
      <c r="C2329" s="170" t="s">
        <v>870</v>
      </c>
      <c r="D2329" s="170" t="s">
        <v>2067</v>
      </c>
      <c r="E2329" s="171" t="s">
        <v>32820</v>
      </c>
      <c r="F2329" s="171" t="s">
        <v>36108</v>
      </c>
      <c r="G2329" s="82"/>
      <c r="H2329" s="96">
        <f t="shared" si="144"/>
        <v>287.36</v>
      </c>
      <c r="I2329" s="96">
        <f t="shared" si="144"/>
        <v>301.38</v>
      </c>
      <c r="J2329" s="91" t="str">
        <f t="shared" si="145"/>
        <v>Sinapi 101980</v>
      </c>
      <c r="K2329" s="91" t="str">
        <f t="shared" si="146"/>
        <v>M2</v>
      </c>
      <c r="L2329" s="166" t="str">
        <f t="shared" si="147"/>
        <v>11/2020</v>
      </c>
      <c r="M2329" s="82"/>
      <c r="N2329" s="82"/>
    </row>
    <row r="2330" spans="1:14" x14ac:dyDescent="0.25">
      <c r="A2330" s="170" t="s">
        <v>12131</v>
      </c>
      <c r="B2330" s="170" t="s">
        <v>12132</v>
      </c>
      <c r="C2330" s="170" t="s">
        <v>870</v>
      </c>
      <c r="D2330" s="170" t="s">
        <v>2067</v>
      </c>
      <c r="E2330" s="171" t="s">
        <v>32821</v>
      </c>
      <c r="F2330" s="171" t="s">
        <v>36109</v>
      </c>
      <c r="G2330" s="82"/>
      <c r="H2330" s="96">
        <f t="shared" si="144"/>
        <v>258.85000000000002</v>
      </c>
      <c r="I2330" s="96">
        <f t="shared" si="144"/>
        <v>270.70999999999998</v>
      </c>
      <c r="J2330" s="91" t="str">
        <f t="shared" si="145"/>
        <v>Sinapi 101981</v>
      </c>
      <c r="K2330" s="91" t="str">
        <f t="shared" si="146"/>
        <v>M2</v>
      </c>
      <c r="L2330" s="166" t="str">
        <f t="shared" si="147"/>
        <v>11/2020</v>
      </c>
      <c r="M2330" s="82"/>
      <c r="N2330" s="82"/>
    </row>
    <row r="2331" spans="1:14" x14ac:dyDescent="0.25">
      <c r="A2331" s="170" t="s">
        <v>12133</v>
      </c>
      <c r="B2331" s="170" t="s">
        <v>12134</v>
      </c>
      <c r="C2331" s="170" t="s">
        <v>870</v>
      </c>
      <c r="D2331" s="170" t="s">
        <v>2067</v>
      </c>
      <c r="E2331" s="171" t="s">
        <v>32822</v>
      </c>
      <c r="F2331" s="171" t="s">
        <v>31841</v>
      </c>
      <c r="G2331" s="82"/>
      <c r="H2331" s="96">
        <f t="shared" si="144"/>
        <v>228.9</v>
      </c>
      <c r="I2331" s="96">
        <f t="shared" si="144"/>
        <v>239.86</v>
      </c>
      <c r="J2331" s="91" t="str">
        <f t="shared" si="145"/>
        <v>Sinapi 101982</v>
      </c>
      <c r="K2331" s="91" t="str">
        <f t="shared" si="146"/>
        <v>M2</v>
      </c>
      <c r="L2331" s="166" t="str">
        <f t="shared" si="147"/>
        <v>11/2020</v>
      </c>
      <c r="M2331" s="82"/>
      <c r="N2331" s="82"/>
    </row>
    <row r="2332" spans="1:14" x14ac:dyDescent="0.25">
      <c r="A2332" s="170" t="s">
        <v>12135</v>
      </c>
      <c r="B2332" s="170" t="s">
        <v>12136</v>
      </c>
      <c r="C2332" s="170" t="s">
        <v>870</v>
      </c>
      <c r="D2332" s="170" t="s">
        <v>2067</v>
      </c>
      <c r="E2332" s="171" t="s">
        <v>32823</v>
      </c>
      <c r="F2332" s="171" t="s">
        <v>36110</v>
      </c>
      <c r="G2332" s="82"/>
      <c r="H2332" s="96">
        <f t="shared" si="144"/>
        <v>210</v>
      </c>
      <c r="I2332" s="96">
        <f t="shared" si="144"/>
        <v>220.42</v>
      </c>
      <c r="J2332" s="91" t="str">
        <f t="shared" si="145"/>
        <v>Sinapi 101983</v>
      </c>
      <c r="K2332" s="91" t="str">
        <f t="shared" si="146"/>
        <v>M2</v>
      </c>
      <c r="L2332" s="166" t="str">
        <f t="shared" si="147"/>
        <v>11/2020</v>
      </c>
      <c r="M2332" s="82"/>
      <c r="N2332" s="82"/>
    </row>
    <row r="2333" spans="1:14" x14ac:dyDescent="0.25">
      <c r="A2333" s="170" t="s">
        <v>12137</v>
      </c>
      <c r="B2333" s="170" t="s">
        <v>12138</v>
      </c>
      <c r="C2333" s="170" t="s">
        <v>870</v>
      </c>
      <c r="D2333" s="170" t="s">
        <v>2067</v>
      </c>
      <c r="E2333" s="171" t="s">
        <v>32824</v>
      </c>
      <c r="F2333" s="171" t="s">
        <v>36111</v>
      </c>
      <c r="G2333" s="82"/>
      <c r="H2333" s="96">
        <f t="shared" si="144"/>
        <v>258.60000000000002</v>
      </c>
      <c r="I2333" s="96">
        <f t="shared" si="144"/>
        <v>262.06</v>
      </c>
      <c r="J2333" s="91" t="str">
        <f t="shared" si="145"/>
        <v>Sinapi 101985</v>
      </c>
      <c r="K2333" s="91" t="str">
        <f t="shared" si="146"/>
        <v>M2</v>
      </c>
      <c r="L2333" s="166" t="str">
        <f t="shared" si="147"/>
        <v>11/2020</v>
      </c>
      <c r="M2333" s="82"/>
      <c r="N2333" s="82"/>
    </row>
    <row r="2334" spans="1:14" x14ac:dyDescent="0.25">
      <c r="A2334" s="170" t="s">
        <v>12139</v>
      </c>
      <c r="B2334" s="170" t="s">
        <v>12140</v>
      </c>
      <c r="C2334" s="170" t="s">
        <v>870</v>
      </c>
      <c r="D2334" s="170" t="s">
        <v>2067</v>
      </c>
      <c r="E2334" s="171" t="s">
        <v>32825</v>
      </c>
      <c r="F2334" s="171" t="s">
        <v>36112</v>
      </c>
      <c r="G2334" s="82"/>
      <c r="H2334" s="96">
        <f t="shared" si="144"/>
        <v>175.47</v>
      </c>
      <c r="I2334" s="96">
        <f t="shared" si="144"/>
        <v>178.93</v>
      </c>
      <c r="J2334" s="91" t="str">
        <f t="shared" si="145"/>
        <v>Sinapi 101986</v>
      </c>
      <c r="K2334" s="91" t="str">
        <f t="shared" si="146"/>
        <v>M2</v>
      </c>
      <c r="L2334" s="166" t="str">
        <f t="shared" si="147"/>
        <v>11/2020</v>
      </c>
      <c r="M2334" s="82"/>
      <c r="N2334" s="82"/>
    </row>
    <row r="2335" spans="1:14" x14ac:dyDescent="0.25">
      <c r="A2335" s="170" t="s">
        <v>12141</v>
      </c>
      <c r="B2335" s="170" t="s">
        <v>12142</v>
      </c>
      <c r="C2335" s="170" t="s">
        <v>870</v>
      </c>
      <c r="D2335" s="170" t="s">
        <v>2067</v>
      </c>
      <c r="E2335" s="171" t="s">
        <v>28649</v>
      </c>
      <c r="F2335" s="171" t="s">
        <v>36113</v>
      </c>
      <c r="G2335" s="82"/>
      <c r="H2335" s="96">
        <f t="shared" si="144"/>
        <v>204.81</v>
      </c>
      <c r="I2335" s="96">
        <f t="shared" si="144"/>
        <v>208.2</v>
      </c>
      <c r="J2335" s="91" t="str">
        <f t="shared" si="145"/>
        <v>Sinapi 101987</v>
      </c>
      <c r="K2335" s="91" t="str">
        <f t="shared" si="146"/>
        <v>M2</v>
      </c>
      <c r="L2335" s="166" t="str">
        <f t="shared" si="147"/>
        <v>11/2020</v>
      </c>
      <c r="M2335" s="82"/>
      <c r="N2335" s="82"/>
    </row>
    <row r="2336" spans="1:14" x14ac:dyDescent="0.25">
      <c r="A2336" s="170" t="s">
        <v>12143</v>
      </c>
      <c r="B2336" s="170" t="s">
        <v>12144</v>
      </c>
      <c r="C2336" s="170" t="s">
        <v>870</v>
      </c>
      <c r="D2336" s="170" t="s">
        <v>2067</v>
      </c>
      <c r="E2336" s="171" t="s">
        <v>32826</v>
      </c>
      <c r="F2336" s="171" t="s">
        <v>36114</v>
      </c>
      <c r="G2336" s="82"/>
      <c r="H2336" s="96">
        <f t="shared" si="144"/>
        <v>233.41</v>
      </c>
      <c r="I2336" s="96">
        <f t="shared" si="144"/>
        <v>236.96</v>
      </c>
      <c r="J2336" s="91" t="str">
        <f t="shared" si="145"/>
        <v>Sinapi 101988</v>
      </c>
      <c r="K2336" s="91" t="str">
        <f t="shared" si="146"/>
        <v>M2</v>
      </c>
      <c r="L2336" s="166" t="str">
        <f t="shared" si="147"/>
        <v>11/2020</v>
      </c>
      <c r="M2336" s="82"/>
      <c r="N2336" s="82"/>
    </row>
    <row r="2337" spans="1:14" x14ac:dyDescent="0.25">
      <c r="A2337" s="170" t="s">
        <v>12145</v>
      </c>
      <c r="B2337" s="170" t="s">
        <v>12146</v>
      </c>
      <c r="C2337" s="170" t="s">
        <v>870</v>
      </c>
      <c r="D2337" s="170" t="s">
        <v>2067</v>
      </c>
      <c r="E2337" s="171" t="s">
        <v>32827</v>
      </c>
      <c r="F2337" s="171" t="s">
        <v>36115</v>
      </c>
      <c r="G2337" s="82"/>
      <c r="H2337" s="96">
        <f t="shared" si="144"/>
        <v>168.85</v>
      </c>
      <c r="I2337" s="96">
        <f t="shared" si="144"/>
        <v>172.4</v>
      </c>
      <c r="J2337" s="91" t="str">
        <f t="shared" si="145"/>
        <v>Sinapi 101989</v>
      </c>
      <c r="K2337" s="91" t="str">
        <f t="shared" si="146"/>
        <v>M2</v>
      </c>
      <c r="L2337" s="166" t="str">
        <f t="shared" si="147"/>
        <v>11/2020</v>
      </c>
      <c r="M2337" s="82"/>
      <c r="N2337" s="82"/>
    </row>
    <row r="2338" spans="1:14" x14ac:dyDescent="0.25">
      <c r="A2338" s="170" t="s">
        <v>12147</v>
      </c>
      <c r="B2338" s="170" t="s">
        <v>12148</v>
      </c>
      <c r="C2338" s="170" t="s">
        <v>870</v>
      </c>
      <c r="D2338" s="170" t="s">
        <v>2067</v>
      </c>
      <c r="E2338" s="171" t="s">
        <v>32828</v>
      </c>
      <c r="F2338" s="171" t="s">
        <v>36116</v>
      </c>
      <c r="G2338" s="82"/>
      <c r="H2338" s="96">
        <f t="shared" si="144"/>
        <v>186.92</v>
      </c>
      <c r="I2338" s="96">
        <f t="shared" si="144"/>
        <v>190.42</v>
      </c>
      <c r="J2338" s="91" t="str">
        <f t="shared" si="145"/>
        <v>Sinapi 101990</v>
      </c>
      <c r="K2338" s="91" t="str">
        <f t="shared" si="146"/>
        <v>M2</v>
      </c>
      <c r="L2338" s="166" t="str">
        <f t="shared" si="147"/>
        <v>11/2020</v>
      </c>
      <c r="M2338" s="82"/>
      <c r="N2338" s="82"/>
    </row>
    <row r="2339" spans="1:14" x14ac:dyDescent="0.25">
      <c r="A2339" s="170" t="s">
        <v>12149</v>
      </c>
      <c r="B2339" s="170" t="s">
        <v>12150</v>
      </c>
      <c r="C2339" s="170" t="s">
        <v>870</v>
      </c>
      <c r="D2339" s="170" t="s">
        <v>2067</v>
      </c>
      <c r="E2339" s="171" t="s">
        <v>32829</v>
      </c>
      <c r="F2339" s="171" t="s">
        <v>36117</v>
      </c>
      <c r="G2339" s="82"/>
      <c r="H2339" s="96">
        <f t="shared" si="144"/>
        <v>254.79</v>
      </c>
      <c r="I2339" s="96">
        <f t="shared" si="144"/>
        <v>258.77</v>
      </c>
      <c r="J2339" s="91" t="str">
        <f t="shared" si="145"/>
        <v>Sinapi 101991</v>
      </c>
      <c r="K2339" s="91" t="str">
        <f t="shared" si="146"/>
        <v>M2</v>
      </c>
      <c r="L2339" s="166" t="str">
        <f t="shared" si="147"/>
        <v>11/2020</v>
      </c>
      <c r="M2339" s="82"/>
      <c r="N2339" s="82"/>
    </row>
    <row r="2340" spans="1:14" x14ac:dyDescent="0.25">
      <c r="A2340" s="170" t="s">
        <v>12151</v>
      </c>
      <c r="B2340" s="170" t="s">
        <v>12152</v>
      </c>
      <c r="C2340" s="170" t="s">
        <v>870</v>
      </c>
      <c r="D2340" s="170" t="s">
        <v>2067</v>
      </c>
      <c r="E2340" s="171" t="s">
        <v>32830</v>
      </c>
      <c r="F2340" s="171" t="s">
        <v>36118</v>
      </c>
      <c r="G2340" s="82"/>
      <c r="H2340" s="96">
        <f t="shared" si="144"/>
        <v>175.32</v>
      </c>
      <c r="I2340" s="96">
        <f t="shared" si="144"/>
        <v>179.3</v>
      </c>
      <c r="J2340" s="91" t="str">
        <f t="shared" si="145"/>
        <v>Sinapi 101992</v>
      </c>
      <c r="K2340" s="91" t="str">
        <f t="shared" si="146"/>
        <v>M2</v>
      </c>
      <c r="L2340" s="166" t="str">
        <f t="shared" si="147"/>
        <v>11/2020</v>
      </c>
      <c r="M2340" s="82"/>
      <c r="N2340" s="82"/>
    </row>
    <row r="2341" spans="1:14" x14ac:dyDescent="0.25">
      <c r="A2341" s="170" t="s">
        <v>12153</v>
      </c>
      <c r="B2341" s="170" t="s">
        <v>12154</v>
      </c>
      <c r="C2341" s="170" t="s">
        <v>870</v>
      </c>
      <c r="D2341" s="170" t="s">
        <v>2067</v>
      </c>
      <c r="E2341" s="171" t="s">
        <v>32831</v>
      </c>
      <c r="F2341" s="171" t="s">
        <v>36119</v>
      </c>
      <c r="G2341" s="82"/>
      <c r="H2341" s="96">
        <f t="shared" si="144"/>
        <v>240.41</v>
      </c>
      <c r="I2341" s="96">
        <f t="shared" si="144"/>
        <v>244.07</v>
      </c>
      <c r="J2341" s="91" t="str">
        <f t="shared" si="145"/>
        <v>Sinapi 101993</v>
      </c>
      <c r="K2341" s="91" t="str">
        <f t="shared" si="146"/>
        <v>M2</v>
      </c>
      <c r="L2341" s="166" t="str">
        <f t="shared" si="147"/>
        <v>11/2020</v>
      </c>
      <c r="M2341" s="82"/>
      <c r="N2341" s="82"/>
    </row>
    <row r="2342" spans="1:14" x14ac:dyDescent="0.25">
      <c r="A2342" s="170" t="s">
        <v>12155</v>
      </c>
      <c r="B2342" s="170" t="s">
        <v>12156</v>
      </c>
      <c r="C2342" s="170" t="s">
        <v>870</v>
      </c>
      <c r="D2342" s="170" t="s">
        <v>2067</v>
      </c>
      <c r="E2342" s="171" t="s">
        <v>32832</v>
      </c>
      <c r="F2342" s="171" t="s">
        <v>36120</v>
      </c>
      <c r="G2342" s="82"/>
      <c r="H2342" s="96">
        <f t="shared" si="144"/>
        <v>252.2</v>
      </c>
      <c r="I2342" s="96">
        <f t="shared" si="144"/>
        <v>255.5</v>
      </c>
      <c r="J2342" s="91" t="str">
        <f t="shared" si="145"/>
        <v>Sinapi 101994</v>
      </c>
      <c r="K2342" s="91" t="str">
        <f t="shared" si="146"/>
        <v>M2</v>
      </c>
      <c r="L2342" s="166" t="str">
        <f t="shared" si="147"/>
        <v>11/2020</v>
      </c>
      <c r="M2342" s="82"/>
      <c r="N2342" s="82"/>
    </row>
    <row r="2343" spans="1:14" x14ac:dyDescent="0.25">
      <c r="A2343" s="170" t="s">
        <v>12157</v>
      </c>
      <c r="B2343" s="170" t="s">
        <v>12158</v>
      </c>
      <c r="C2343" s="170" t="s">
        <v>870</v>
      </c>
      <c r="D2343" s="170" t="s">
        <v>2067</v>
      </c>
      <c r="E2343" s="171" t="s">
        <v>32833</v>
      </c>
      <c r="F2343" s="171" t="s">
        <v>30865</v>
      </c>
      <c r="G2343" s="82"/>
      <c r="H2343" s="96">
        <f t="shared" si="144"/>
        <v>179.72</v>
      </c>
      <c r="I2343" s="96">
        <f t="shared" si="144"/>
        <v>183.02</v>
      </c>
      <c r="J2343" s="91" t="str">
        <f t="shared" si="145"/>
        <v>Sinapi 101995</v>
      </c>
      <c r="K2343" s="91" t="str">
        <f t="shared" si="146"/>
        <v>M2</v>
      </c>
      <c r="L2343" s="166" t="str">
        <f t="shared" si="147"/>
        <v>11/2020</v>
      </c>
      <c r="M2343" s="82"/>
      <c r="N2343" s="82"/>
    </row>
    <row r="2344" spans="1:14" x14ac:dyDescent="0.25">
      <c r="A2344" s="170" t="s">
        <v>12159</v>
      </c>
      <c r="B2344" s="170" t="s">
        <v>12160</v>
      </c>
      <c r="C2344" s="170" t="s">
        <v>870</v>
      </c>
      <c r="D2344" s="170" t="s">
        <v>2067</v>
      </c>
      <c r="E2344" s="171" t="s">
        <v>32834</v>
      </c>
      <c r="F2344" s="171" t="s">
        <v>36121</v>
      </c>
      <c r="G2344" s="82"/>
      <c r="H2344" s="96">
        <f t="shared" si="144"/>
        <v>200.79</v>
      </c>
      <c r="I2344" s="96">
        <f t="shared" si="144"/>
        <v>204.26</v>
      </c>
      <c r="J2344" s="91" t="str">
        <f t="shared" si="145"/>
        <v>Sinapi 101996</v>
      </c>
      <c r="K2344" s="91" t="str">
        <f t="shared" si="146"/>
        <v>M2</v>
      </c>
      <c r="L2344" s="166" t="str">
        <f t="shared" si="147"/>
        <v>11/2020</v>
      </c>
      <c r="M2344" s="82"/>
      <c r="N2344" s="82"/>
    </row>
    <row r="2345" spans="1:14" x14ac:dyDescent="0.25">
      <c r="A2345" s="170" t="s">
        <v>12161</v>
      </c>
      <c r="B2345" s="170" t="s">
        <v>12162</v>
      </c>
      <c r="C2345" s="170" t="s">
        <v>870</v>
      </c>
      <c r="D2345" s="170" t="s">
        <v>2067</v>
      </c>
      <c r="E2345" s="171" t="s">
        <v>29045</v>
      </c>
      <c r="F2345" s="171" t="s">
        <v>36122</v>
      </c>
      <c r="G2345" s="82"/>
      <c r="H2345" s="96">
        <f t="shared" si="144"/>
        <v>256.93</v>
      </c>
      <c r="I2345" s="96">
        <f t="shared" si="144"/>
        <v>260.86</v>
      </c>
      <c r="J2345" s="91" t="str">
        <f t="shared" si="145"/>
        <v>Sinapi 101997</v>
      </c>
      <c r="K2345" s="91" t="str">
        <f t="shared" si="146"/>
        <v>M2</v>
      </c>
      <c r="L2345" s="166" t="str">
        <f t="shared" si="147"/>
        <v>11/2020</v>
      </c>
      <c r="M2345" s="82"/>
      <c r="N2345" s="82"/>
    </row>
    <row r="2346" spans="1:14" x14ac:dyDescent="0.25">
      <c r="A2346" s="170" t="s">
        <v>12163</v>
      </c>
      <c r="B2346" s="170" t="s">
        <v>12164</v>
      </c>
      <c r="C2346" s="170" t="s">
        <v>870</v>
      </c>
      <c r="D2346" s="170" t="s">
        <v>2067</v>
      </c>
      <c r="E2346" s="171" t="s">
        <v>32835</v>
      </c>
      <c r="F2346" s="171" t="s">
        <v>29473</v>
      </c>
      <c r="G2346" s="82"/>
      <c r="H2346" s="96">
        <f t="shared" si="144"/>
        <v>175.66</v>
      </c>
      <c r="I2346" s="96">
        <f t="shared" si="144"/>
        <v>179.59</v>
      </c>
      <c r="J2346" s="91" t="str">
        <f t="shared" si="145"/>
        <v>Sinapi 101998</v>
      </c>
      <c r="K2346" s="91" t="str">
        <f t="shared" si="146"/>
        <v>M2</v>
      </c>
      <c r="L2346" s="166" t="str">
        <f t="shared" si="147"/>
        <v>11/2020</v>
      </c>
      <c r="M2346" s="82"/>
      <c r="N2346" s="82"/>
    </row>
    <row r="2347" spans="1:14" x14ac:dyDescent="0.25">
      <c r="A2347" s="170" t="s">
        <v>12165</v>
      </c>
      <c r="B2347" s="170" t="s">
        <v>12166</v>
      </c>
      <c r="C2347" s="170" t="s">
        <v>870</v>
      </c>
      <c r="D2347" s="170" t="s">
        <v>2067</v>
      </c>
      <c r="E2347" s="171" t="s">
        <v>32836</v>
      </c>
      <c r="F2347" s="171" t="s">
        <v>36123</v>
      </c>
      <c r="G2347" s="82"/>
      <c r="H2347" s="96">
        <f t="shared" si="144"/>
        <v>257.56</v>
      </c>
      <c r="I2347" s="96">
        <f t="shared" si="144"/>
        <v>261.3</v>
      </c>
      <c r="J2347" s="91" t="str">
        <f t="shared" si="145"/>
        <v>Sinapi 101999</v>
      </c>
      <c r="K2347" s="91" t="str">
        <f t="shared" si="146"/>
        <v>M2</v>
      </c>
      <c r="L2347" s="166" t="str">
        <f t="shared" si="147"/>
        <v>11/2020</v>
      </c>
      <c r="M2347" s="82"/>
      <c r="N2347" s="82"/>
    </row>
    <row r="2348" spans="1:14" x14ac:dyDescent="0.25">
      <c r="A2348" s="170" t="s">
        <v>12167</v>
      </c>
      <c r="B2348" s="170" t="s">
        <v>12168</v>
      </c>
      <c r="C2348" s="170" t="s">
        <v>870</v>
      </c>
      <c r="D2348" s="170" t="s">
        <v>2067</v>
      </c>
      <c r="E2348" s="171" t="s">
        <v>32837</v>
      </c>
      <c r="F2348" s="171" t="s">
        <v>36124</v>
      </c>
      <c r="G2348" s="82"/>
      <c r="H2348" s="96">
        <f t="shared" si="144"/>
        <v>420.72</v>
      </c>
      <c r="I2348" s="96">
        <f t="shared" si="144"/>
        <v>445.49</v>
      </c>
      <c r="J2348" s="91" t="str">
        <f t="shared" si="145"/>
        <v>Sinapi 102000</v>
      </c>
      <c r="K2348" s="91" t="str">
        <f t="shared" si="146"/>
        <v>M2</v>
      </c>
      <c r="L2348" s="166" t="str">
        <f t="shared" si="147"/>
        <v>11/2020</v>
      </c>
      <c r="M2348" s="82"/>
      <c r="N2348" s="82"/>
    </row>
    <row r="2349" spans="1:14" x14ac:dyDescent="0.25">
      <c r="A2349" s="170" t="s">
        <v>12169</v>
      </c>
      <c r="B2349" s="170" t="s">
        <v>12170</v>
      </c>
      <c r="C2349" s="170" t="s">
        <v>870</v>
      </c>
      <c r="D2349" s="170" t="s">
        <v>2067</v>
      </c>
      <c r="E2349" s="171" t="s">
        <v>32838</v>
      </c>
      <c r="F2349" s="171" t="s">
        <v>36125</v>
      </c>
      <c r="G2349" s="82"/>
      <c r="H2349" s="96">
        <f t="shared" si="144"/>
        <v>360.91</v>
      </c>
      <c r="I2349" s="96">
        <f t="shared" si="144"/>
        <v>380.58</v>
      </c>
      <c r="J2349" s="91" t="str">
        <f t="shared" si="145"/>
        <v>Sinapi 102001</v>
      </c>
      <c r="K2349" s="91" t="str">
        <f t="shared" si="146"/>
        <v>M2</v>
      </c>
      <c r="L2349" s="166" t="str">
        <f t="shared" si="147"/>
        <v>11/2020</v>
      </c>
      <c r="M2349" s="82"/>
      <c r="N2349" s="82"/>
    </row>
    <row r="2350" spans="1:14" x14ac:dyDescent="0.25">
      <c r="A2350" s="170" t="s">
        <v>12171</v>
      </c>
      <c r="B2350" s="170" t="s">
        <v>12172</v>
      </c>
      <c r="C2350" s="170" t="s">
        <v>870</v>
      </c>
      <c r="D2350" s="170" t="s">
        <v>2067</v>
      </c>
      <c r="E2350" s="171" t="s">
        <v>32839</v>
      </c>
      <c r="F2350" s="171" t="s">
        <v>36126</v>
      </c>
      <c r="G2350" s="82"/>
      <c r="H2350" s="96">
        <f t="shared" si="144"/>
        <v>310.62</v>
      </c>
      <c r="I2350" s="96">
        <f t="shared" si="144"/>
        <v>328.61</v>
      </c>
      <c r="J2350" s="91" t="str">
        <f t="shared" si="145"/>
        <v>Sinapi 102002</v>
      </c>
      <c r="K2350" s="91" t="str">
        <f t="shared" si="146"/>
        <v>M2</v>
      </c>
      <c r="L2350" s="166" t="str">
        <f t="shared" si="147"/>
        <v>11/2020</v>
      </c>
      <c r="M2350" s="82"/>
      <c r="N2350" s="82"/>
    </row>
    <row r="2351" spans="1:14" x14ac:dyDescent="0.25">
      <c r="A2351" s="170" t="s">
        <v>12173</v>
      </c>
      <c r="B2351" s="170" t="s">
        <v>12174</v>
      </c>
      <c r="C2351" s="170" t="s">
        <v>870</v>
      </c>
      <c r="D2351" s="170" t="s">
        <v>2067</v>
      </c>
      <c r="E2351" s="171" t="s">
        <v>32840</v>
      </c>
      <c r="F2351" s="171" t="s">
        <v>36127</v>
      </c>
      <c r="G2351" s="82"/>
      <c r="H2351" s="96">
        <f t="shared" si="144"/>
        <v>291.64</v>
      </c>
      <c r="I2351" s="96">
        <f t="shared" si="144"/>
        <v>306.25</v>
      </c>
      <c r="J2351" s="91" t="str">
        <f t="shared" si="145"/>
        <v>Sinapi 102003</v>
      </c>
      <c r="K2351" s="91" t="str">
        <f t="shared" si="146"/>
        <v>M2</v>
      </c>
      <c r="L2351" s="166" t="str">
        <f t="shared" si="147"/>
        <v>11/2020</v>
      </c>
      <c r="M2351" s="82"/>
      <c r="N2351" s="82"/>
    </row>
    <row r="2352" spans="1:14" x14ac:dyDescent="0.25">
      <c r="A2352" s="170" t="s">
        <v>12175</v>
      </c>
      <c r="B2352" s="170" t="s">
        <v>12176</v>
      </c>
      <c r="C2352" s="170" t="s">
        <v>870</v>
      </c>
      <c r="D2352" s="170" t="s">
        <v>2067</v>
      </c>
      <c r="E2352" s="171" t="s">
        <v>30542</v>
      </c>
      <c r="F2352" s="171" t="s">
        <v>36128</v>
      </c>
      <c r="G2352" s="82"/>
      <c r="H2352" s="96">
        <f t="shared" si="144"/>
        <v>266.92</v>
      </c>
      <c r="I2352" s="96">
        <f t="shared" si="144"/>
        <v>279.14</v>
      </c>
      <c r="J2352" s="91" t="str">
        <f t="shared" si="145"/>
        <v>Sinapi 102004</v>
      </c>
      <c r="K2352" s="91" t="str">
        <f t="shared" si="146"/>
        <v>M2</v>
      </c>
      <c r="L2352" s="166" t="str">
        <f t="shared" si="147"/>
        <v>11/2020</v>
      </c>
      <c r="M2352" s="82"/>
      <c r="N2352" s="82"/>
    </row>
    <row r="2353" spans="1:14" x14ac:dyDescent="0.25">
      <c r="A2353" s="170" t="s">
        <v>12177</v>
      </c>
      <c r="B2353" s="170" t="s">
        <v>12178</v>
      </c>
      <c r="C2353" s="170" t="s">
        <v>870</v>
      </c>
      <c r="D2353" s="170" t="s">
        <v>2067</v>
      </c>
      <c r="E2353" s="171" t="s">
        <v>32841</v>
      </c>
      <c r="F2353" s="171" t="s">
        <v>28632</v>
      </c>
      <c r="G2353" s="82"/>
      <c r="H2353" s="96">
        <f t="shared" si="144"/>
        <v>233.63</v>
      </c>
      <c r="I2353" s="96">
        <f t="shared" si="144"/>
        <v>244.88</v>
      </c>
      <c r="J2353" s="91" t="str">
        <f t="shared" si="145"/>
        <v>Sinapi 102005</v>
      </c>
      <c r="K2353" s="91" t="str">
        <f t="shared" si="146"/>
        <v>M2</v>
      </c>
      <c r="L2353" s="166" t="str">
        <f t="shared" si="147"/>
        <v>11/2020</v>
      </c>
      <c r="M2353" s="82"/>
      <c r="N2353" s="82"/>
    </row>
    <row r="2354" spans="1:14" x14ac:dyDescent="0.25">
      <c r="A2354" s="170" t="s">
        <v>12179</v>
      </c>
      <c r="B2354" s="170" t="s">
        <v>12180</v>
      </c>
      <c r="C2354" s="170" t="s">
        <v>870</v>
      </c>
      <c r="D2354" s="170" t="s">
        <v>2067</v>
      </c>
      <c r="E2354" s="171" t="s">
        <v>32842</v>
      </c>
      <c r="F2354" s="171" t="s">
        <v>17906</v>
      </c>
      <c r="G2354" s="82"/>
      <c r="H2354" s="96">
        <f t="shared" si="144"/>
        <v>212.61</v>
      </c>
      <c r="I2354" s="96">
        <f t="shared" si="144"/>
        <v>223.28</v>
      </c>
      <c r="J2354" s="91" t="str">
        <f t="shared" si="145"/>
        <v>Sinapi 102006</v>
      </c>
      <c r="K2354" s="91" t="str">
        <f t="shared" si="146"/>
        <v>M2</v>
      </c>
      <c r="L2354" s="166" t="str">
        <f t="shared" si="147"/>
        <v>11/2020</v>
      </c>
      <c r="M2354" s="82"/>
      <c r="N2354" s="82"/>
    </row>
    <row r="2355" spans="1:14" x14ac:dyDescent="0.25">
      <c r="A2355" s="170" t="s">
        <v>12181</v>
      </c>
      <c r="B2355" s="170" t="s">
        <v>12182</v>
      </c>
      <c r="C2355" s="170" t="s">
        <v>870</v>
      </c>
      <c r="D2355" s="170" t="s">
        <v>2067</v>
      </c>
      <c r="E2355" s="171" t="s">
        <v>32843</v>
      </c>
      <c r="F2355" s="171" t="s">
        <v>36129</v>
      </c>
      <c r="G2355" s="82"/>
      <c r="H2355" s="96">
        <f t="shared" si="144"/>
        <v>405.47</v>
      </c>
      <c r="I2355" s="96">
        <f t="shared" si="144"/>
        <v>430.73</v>
      </c>
      <c r="J2355" s="91" t="str">
        <f t="shared" si="145"/>
        <v>Sinapi 102007</v>
      </c>
      <c r="K2355" s="91" t="str">
        <f t="shared" si="146"/>
        <v>M2</v>
      </c>
      <c r="L2355" s="166" t="str">
        <f t="shared" si="147"/>
        <v>11/2020</v>
      </c>
      <c r="M2355" s="82"/>
      <c r="N2355" s="82"/>
    </row>
    <row r="2356" spans="1:14" x14ac:dyDescent="0.25">
      <c r="A2356" s="170" t="s">
        <v>12183</v>
      </c>
      <c r="B2356" s="170" t="s">
        <v>12184</v>
      </c>
      <c r="C2356" s="170" t="s">
        <v>870</v>
      </c>
      <c r="D2356" s="170" t="s">
        <v>2067</v>
      </c>
      <c r="E2356" s="171" t="s">
        <v>32844</v>
      </c>
      <c r="F2356" s="171" t="s">
        <v>36130</v>
      </c>
      <c r="G2356" s="82"/>
      <c r="H2356" s="96">
        <f t="shared" si="144"/>
        <v>337.47</v>
      </c>
      <c r="I2356" s="96">
        <f t="shared" si="144"/>
        <v>357.43</v>
      </c>
      <c r="J2356" s="91" t="str">
        <f t="shared" si="145"/>
        <v>Sinapi 102008</v>
      </c>
      <c r="K2356" s="91" t="str">
        <f t="shared" si="146"/>
        <v>M2</v>
      </c>
      <c r="L2356" s="166" t="str">
        <f t="shared" si="147"/>
        <v>11/2020</v>
      </c>
      <c r="M2356" s="82"/>
      <c r="N2356" s="82"/>
    </row>
    <row r="2357" spans="1:14" x14ac:dyDescent="0.25">
      <c r="A2357" s="170" t="s">
        <v>12185</v>
      </c>
      <c r="B2357" s="170" t="s">
        <v>12186</v>
      </c>
      <c r="C2357" s="170" t="s">
        <v>870</v>
      </c>
      <c r="D2357" s="170" t="s">
        <v>2067</v>
      </c>
      <c r="E2357" s="171" t="s">
        <v>32845</v>
      </c>
      <c r="F2357" s="171" t="s">
        <v>36131</v>
      </c>
      <c r="G2357" s="82"/>
      <c r="H2357" s="96">
        <f t="shared" si="144"/>
        <v>304.66000000000003</v>
      </c>
      <c r="I2357" s="96">
        <f t="shared" si="144"/>
        <v>322.58999999999997</v>
      </c>
      <c r="J2357" s="91" t="str">
        <f t="shared" si="145"/>
        <v>Sinapi 102009</v>
      </c>
      <c r="K2357" s="91" t="str">
        <f t="shared" si="146"/>
        <v>M2</v>
      </c>
      <c r="L2357" s="166" t="str">
        <f t="shared" si="147"/>
        <v>11/2020</v>
      </c>
      <c r="M2357" s="82"/>
      <c r="N2357" s="82"/>
    </row>
    <row r="2358" spans="1:14" x14ac:dyDescent="0.25">
      <c r="A2358" s="170" t="s">
        <v>12187</v>
      </c>
      <c r="B2358" s="170" t="s">
        <v>12188</v>
      </c>
      <c r="C2358" s="170" t="s">
        <v>870</v>
      </c>
      <c r="D2358" s="170" t="s">
        <v>2067</v>
      </c>
      <c r="E2358" s="171" t="s">
        <v>32846</v>
      </c>
      <c r="F2358" s="171" t="s">
        <v>36132</v>
      </c>
      <c r="G2358" s="82"/>
      <c r="H2358" s="96">
        <f t="shared" si="144"/>
        <v>283.55</v>
      </c>
      <c r="I2358" s="96">
        <f t="shared" si="144"/>
        <v>298</v>
      </c>
      <c r="J2358" s="91" t="str">
        <f t="shared" si="145"/>
        <v>Sinapi 102010</v>
      </c>
      <c r="K2358" s="91" t="str">
        <f t="shared" si="146"/>
        <v>M2</v>
      </c>
      <c r="L2358" s="166" t="str">
        <f t="shared" si="147"/>
        <v>11/2020</v>
      </c>
      <c r="M2358" s="82"/>
      <c r="N2358" s="82"/>
    </row>
    <row r="2359" spans="1:14" x14ac:dyDescent="0.25">
      <c r="A2359" s="170" t="s">
        <v>12189</v>
      </c>
      <c r="B2359" s="170" t="s">
        <v>12190</v>
      </c>
      <c r="C2359" s="170" t="s">
        <v>870</v>
      </c>
      <c r="D2359" s="170" t="s">
        <v>2067</v>
      </c>
      <c r="E2359" s="171" t="s">
        <v>32847</v>
      </c>
      <c r="F2359" s="171" t="s">
        <v>36133</v>
      </c>
      <c r="G2359" s="82"/>
      <c r="H2359" s="96">
        <f t="shared" si="144"/>
        <v>252.94</v>
      </c>
      <c r="I2359" s="96">
        <f t="shared" si="144"/>
        <v>265.06</v>
      </c>
      <c r="J2359" s="91" t="str">
        <f t="shared" si="145"/>
        <v>Sinapi 102011</v>
      </c>
      <c r="K2359" s="91" t="str">
        <f t="shared" si="146"/>
        <v>M2</v>
      </c>
      <c r="L2359" s="166" t="str">
        <f t="shared" si="147"/>
        <v>11/2020</v>
      </c>
      <c r="M2359" s="82"/>
      <c r="N2359" s="82"/>
    </row>
    <row r="2360" spans="1:14" x14ac:dyDescent="0.25">
      <c r="A2360" s="170" t="s">
        <v>12191</v>
      </c>
      <c r="B2360" s="170" t="s">
        <v>12192</v>
      </c>
      <c r="C2360" s="170" t="s">
        <v>870</v>
      </c>
      <c r="D2360" s="170" t="s">
        <v>2067</v>
      </c>
      <c r="E2360" s="171" t="s">
        <v>28599</v>
      </c>
      <c r="F2360" s="171" t="s">
        <v>36134</v>
      </c>
      <c r="G2360" s="82"/>
      <c r="H2360" s="96">
        <f t="shared" si="144"/>
        <v>222.41</v>
      </c>
      <c r="I2360" s="96">
        <f t="shared" si="144"/>
        <v>233.57</v>
      </c>
      <c r="J2360" s="91" t="str">
        <f t="shared" si="145"/>
        <v>Sinapi 102012</v>
      </c>
      <c r="K2360" s="91" t="str">
        <f t="shared" si="146"/>
        <v>M2</v>
      </c>
      <c r="L2360" s="166" t="str">
        <f t="shared" si="147"/>
        <v>11/2020</v>
      </c>
      <c r="M2360" s="82"/>
      <c r="N2360" s="82"/>
    </row>
    <row r="2361" spans="1:14" x14ac:dyDescent="0.25">
      <c r="A2361" s="170" t="s">
        <v>12193</v>
      </c>
      <c r="B2361" s="170" t="s">
        <v>12194</v>
      </c>
      <c r="C2361" s="170" t="s">
        <v>870</v>
      </c>
      <c r="D2361" s="170" t="s">
        <v>2067</v>
      </c>
      <c r="E2361" s="171" t="s">
        <v>32848</v>
      </c>
      <c r="F2361" s="171" t="s">
        <v>23217</v>
      </c>
      <c r="G2361" s="82"/>
      <c r="H2361" s="96">
        <f t="shared" si="144"/>
        <v>205.49</v>
      </c>
      <c r="I2361" s="96">
        <f t="shared" si="144"/>
        <v>216.09</v>
      </c>
      <c r="J2361" s="91" t="str">
        <f t="shared" si="145"/>
        <v>Sinapi 102013</v>
      </c>
      <c r="K2361" s="91" t="str">
        <f t="shared" si="146"/>
        <v>M2</v>
      </c>
      <c r="L2361" s="166" t="str">
        <f t="shared" si="147"/>
        <v>11/2020</v>
      </c>
      <c r="M2361" s="82"/>
      <c r="N2361" s="82"/>
    </row>
    <row r="2362" spans="1:14" x14ac:dyDescent="0.25">
      <c r="A2362" s="170" t="s">
        <v>12195</v>
      </c>
      <c r="B2362" s="170" t="s">
        <v>12196</v>
      </c>
      <c r="C2362" s="170" t="s">
        <v>870</v>
      </c>
      <c r="D2362" s="170" t="s">
        <v>2067</v>
      </c>
      <c r="E2362" s="171" t="s">
        <v>32849</v>
      </c>
      <c r="F2362" s="171" t="s">
        <v>36135</v>
      </c>
      <c r="G2362" s="82"/>
      <c r="H2362" s="96">
        <f t="shared" si="144"/>
        <v>456.49</v>
      </c>
      <c r="I2362" s="96">
        <f t="shared" si="144"/>
        <v>481.5</v>
      </c>
      <c r="J2362" s="91" t="str">
        <f t="shared" si="145"/>
        <v>Sinapi 102014</v>
      </c>
      <c r="K2362" s="91" t="str">
        <f t="shared" si="146"/>
        <v>M2</v>
      </c>
      <c r="L2362" s="166" t="str">
        <f t="shared" si="147"/>
        <v>11/2020</v>
      </c>
      <c r="M2362" s="82"/>
      <c r="N2362" s="82"/>
    </row>
    <row r="2363" spans="1:14" x14ac:dyDescent="0.25">
      <c r="A2363" s="170" t="s">
        <v>12197</v>
      </c>
      <c r="B2363" s="170" t="s">
        <v>12198</v>
      </c>
      <c r="C2363" s="170" t="s">
        <v>870</v>
      </c>
      <c r="D2363" s="170" t="s">
        <v>2067</v>
      </c>
      <c r="E2363" s="171" t="s">
        <v>32850</v>
      </c>
      <c r="F2363" s="171" t="s">
        <v>31780</v>
      </c>
      <c r="G2363" s="82"/>
      <c r="H2363" s="96">
        <f t="shared" si="144"/>
        <v>381.38</v>
      </c>
      <c r="I2363" s="96">
        <f t="shared" si="144"/>
        <v>401.21</v>
      </c>
      <c r="J2363" s="91" t="str">
        <f t="shared" si="145"/>
        <v>Sinapi 102015</v>
      </c>
      <c r="K2363" s="91" t="str">
        <f t="shared" si="146"/>
        <v>M2</v>
      </c>
      <c r="L2363" s="166" t="str">
        <f t="shared" si="147"/>
        <v>11/2020</v>
      </c>
      <c r="M2363" s="82"/>
      <c r="N2363" s="82"/>
    </row>
    <row r="2364" spans="1:14" x14ac:dyDescent="0.25">
      <c r="A2364" s="170" t="s">
        <v>12199</v>
      </c>
      <c r="B2364" s="170" t="s">
        <v>12200</v>
      </c>
      <c r="C2364" s="170" t="s">
        <v>870</v>
      </c>
      <c r="D2364" s="170" t="s">
        <v>2067</v>
      </c>
      <c r="E2364" s="171" t="s">
        <v>32851</v>
      </c>
      <c r="F2364" s="171" t="s">
        <v>36136</v>
      </c>
      <c r="G2364" s="82"/>
      <c r="H2364" s="96">
        <f t="shared" si="144"/>
        <v>305.49</v>
      </c>
      <c r="I2364" s="96">
        <f t="shared" si="144"/>
        <v>323.88</v>
      </c>
      <c r="J2364" s="91" t="str">
        <f t="shared" si="145"/>
        <v>Sinapi 102016</v>
      </c>
      <c r="K2364" s="91" t="str">
        <f t="shared" si="146"/>
        <v>M2</v>
      </c>
      <c r="L2364" s="166" t="str">
        <f t="shared" si="147"/>
        <v>11/2020</v>
      </c>
      <c r="M2364" s="82"/>
      <c r="N2364" s="82"/>
    </row>
    <row r="2365" spans="1:14" x14ac:dyDescent="0.25">
      <c r="A2365" s="170" t="s">
        <v>12201</v>
      </c>
      <c r="B2365" s="170" t="s">
        <v>12202</v>
      </c>
      <c r="C2365" s="170" t="s">
        <v>870</v>
      </c>
      <c r="D2365" s="170" t="s">
        <v>2067</v>
      </c>
      <c r="E2365" s="171" t="s">
        <v>32852</v>
      </c>
      <c r="F2365" s="171" t="s">
        <v>34962</v>
      </c>
      <c r="G2365" s="82"/>
      <c r="H2365" s="96">
        <f t="shared" si="144"/>
        <v>284.02999999999997</v>
      </c>
      <c r="I2365" s="96">
        <f t="shared" si="144"/>
        <v>299.01</v>
      </c>
      <c r="J2365" s="91" t="str">
        <f t="shared" si="145"/>
        <v>Sinapi 102017</v>
      </c>
      <c r="K2365" s="91" t="str">
        <f t="shared" si="146"/>
        <v>M2</v>
      </c>
      <c r="L2365" s="166" t="str">
        <f t="shared" si="147"/>
        <v>11/2020</v>
      </c>
      <c r="M2365" s="82"/>
      <c r="N2365" s="82"/>
    </row>
    <row r="2366" spans="1:14" x14ac:dyDescent="0.25">
      <c r="A2366" s="170" t="s">
        <v>12203</v>
      </c>
      <c r="B2366" s="170" t="s">
        <v>12204</v>
      </c>
      <c r="C2366" s="170" t="s">
        <v>870</v>
      </c>
      <c r="D2366" s="170" t="s">
        <v>2067</v>
      </c>
      <c r="E2366" s="171" t="s">
        <v>32853</v>
      </c>
      <c r="F2366" s="171" t="s">
        <v>31870</v>
      </c>
      <c r="G2366" s="82"/>
      <c r="H2366" s="96">
        <f t="shared" si="144"/>
        <v>257.41000000000003</v>
      </c>
      <c r="I2366" s="96">
        <f t="shared" si="144"/>
        <v>269.85000000000002</v>
      </c>
      <c r="J2366" s="91" t="str">
        <f t="shared" si="145"/>
        <v>Sinapi 102036</v>
      </c>
      <c r="K2366" s="91" t="str">
        <f t="shared" si="146"/>
        <v>M2</v>
      </c>
      <c r="L2366" s="166" t="str">
        <f t="shared" si="147"/>
        <v>11/2020</v>
      </c>
      <c r="M2366" s="82"/>
      <c r="N2366" s="82"/>
    </row>
    <row r="2367" spans="1:14" x14ac:dyDescent="0.25">
      <c r="A2367" s="170" t="s">
        <v>12205</v>
      </c>
      <c r="B2367" s="170" t="s">
        <v>12206</v>
      </c>
      <c r="C2367" s="170" t="s">
        <v>870</v>
      </c>
      <c r="D2367" s="170" t="s">
        <v>2067</v>
      </c>
      <c r="E2367" s="171" t="s">
        <v>32854</v>
      </c>
      <c r="F2367" s="171" t="s">
        <v>36137</v>
      </c>
      <c r="G2367" s="82"/>
      <c r="H2367" s="96">
        <f t="shared" si="144"/>
        <v>224.53</v>
      </c>
      <c r="I2367" s="96">
        <f t="shared" si="144"/>
        <v>235.95</v>
      </c>
      <c r="J2367" s="91" t="str">
        <f t="shared" si="145"/>
        <v>Sinapi 102037</v>
      </c>
      <c r="K2367" s="91" t="str">
        <f t="shared" si="146"/>
        <v>M2</v>
      </c>
      <c r="L2367" s="166" t="str">
        <f t="shared" si="147"/>
        <v>11/2020</v>
      </c>
      <c r="M2367" s="82"/>
      <c r="N2367" s="82"/>
    </row>
    <row r="2368" spans="1:14" x14ac:dyDescent="0.25">
      <c r="A2368" s="170" t="s">
        <v>12207</v>
      </c>
      <c r="B2368" s="170" t="s">
        <v>12208</v>
      </c>
      <c r="C2368" s="170" t="s">
        <v>870</v>
      </c>
      <c r="D2368" s="170" t="s">
        <v>2067</v>
      </c>
      <c r="E2368" s="171" t="s">
        <v>32855</v>
      </c>
      <c r="F2368" s="171" t="s">
        <v>36138</v>
      </c>
      <c r="G2368" s="82"/>
      <c r="H2368" s="96">
        <f t="shared" si="144"/>
        <v>206.32</v>
      </c>
      <c r="I2368" s="96">
        <f t="shared" si="144"/>
        <v>217.17</v>
      </c>
      <c r="J2368" s="91" t="str">
        <f t="shared" si="145"/>
        <v>Sinapi 102038</v>
      </c>
      <c r="K2368" s="91" t="str">
        <f t="shared" si="146"/>
        <v>M2</v>
      </c>
      <c r="L2368" s="166" t="str">
        <f t="shared" si="147"/>
        <v>11/2020</v>
      </c>
      <c r="M2368" s="82"/>
      <c r="N2368" s="82"/>
    </row>
    <row r="2369" spans="1:14" x14ac:dyDescent="0.25">
      <c r="A2369" s="170" t="s">
        <v>12209</v>
      </c>
      <c r="B2369" s="170" t="s">
        <v>12210</v>
      </c>
      <c r="C2369" s="170" t="s">
        <v>870</v>
      </c>
      <c r="D2369" s="170" t="s">
        <v>2067</v>
      </c>
      <c r="E2369" s="171" t="s">
        <v>32856</v>
      </c>
      <c r="F2369" s="171" t="s">
        <v>36139</v>
      </c>
      <c r="G2369" s="82"/>
      <c r="H2369" s="96">
        <f t="shared" si="144"/>
        <v>423.85</v>
      </c>
      <c r="I2369" s="96">
        <f t="shared" si="144"/>
        <v>449.07</v>
      </c>
      <c r="J2369" s="91" t="str">
        <f t="shared" si="145"/>
        <v>Sinapi 102039</v>
      </c>
      <c r="K2369" s="91" t="str">
        <f t="shared" si="146"/>
        <v>M2</v>
      </c>
      <c r="L2369" s="166" t="str">
        <f t="shared" si="147"/>
        <v>11/2020</v>
      </c>
      <c r="M2369" s="82"/>
      <c r="N2369" s="82"/>
    </row>
    <row r="2370" spans="1:14" x14ac:dyDescent="0.25">
      <c r="A2370" s="170" t="s">
        <v>12211</v>
      </c>
      <c r="B2370" s="170" t="s">
        <v>12212</v>
      </c>
      <c r="C2370" s="170" t="s">
        <v>870</v>
      </c>
      <c r="D2370" s="170" t="s">
        <v>2067</v>
      </c>
      <c r="E2370" s="171" t="s">
        <v>29410</v>
      </c>
      <c r="F2370" s="171" t="s">
        <v>36140</v>
      </c>
      <c r="G2370" s="82"/>
      <c r="H2370" s="96">
        <f t="shared" si="144"/>
        <v>351.89</v>
      </c>
      <c r="I2370" s="96">
        <f t="shared" si="144"/>
        <v>371.77</v>
      </c>
      <c r="J2370" s="91" t="str">
        <f t="shared" si="145"/>
        <v>Sinapi 102040</v>
      </c>
      <c r="K2370" s="91" t="str">
        <f t="shared" si="146"/>
        <v>M2</v>
      </c>
      <c r="L2370" s="166" t="str">
        <f t="shared" si="147"/>
        <v>11/2020</v>
      </c>
      <c r="M2370" s="82"/>
      <c r="N2370" s="82"/>
    </row>
    <row r="2371" spans="1:14" x14ac:dyDescent="0.25">
      <c r="A2371" s="170" t="s">
        <v>12213</v>
      </c>
      <c r="B2371" s="170" t="s">
        <v>12214</v>
      </c>
      <c r="C2371" s="170" t="s">
        <v>870</v>
      </c>
      <c r="D2371" s="170" t="s">
        <v>2067</v>
      </c>
      <c r="E2371" s="171" t="s">
        <v>32857</v>
      </c>
      <c r="F2371" s="171" t="s">
        <v>36141</v>
      </c>
      <c r="G2371" s="82"/>
      <c r="H2371" s="96">
        <f t="shared" si="144"/>
        <v>308.06</v>
      </c>
      <c r="I2371" s="96">
        <f t="shared" si="144"/>
        <v>325.7</v>
      </c>
      <c r="J2371" s="91" t="str">
        <f t="shared" si="145"/>
        <v>Sinapi 102041</v>
      </c>
      <c r="K2371" s="91" t="str">
        <f t="shared" si="146"/>
        <v>M2</v>
      </c>
      <c r="L2371" s="166" t="str">
        <f t="shared" si="147"/>
        <v>11/2020</v>
      </c>
      <c r="M2371" s="82"/>
      <c r="N2371" s="82"/>
    </row>
    <row r="2372" spans="1:14" x14ac:dyDescent="0.25">
      <c r="A2372" s="170" t="s">
        <v>12215</v>
      </c>
      <c r="B2372" s="170" t="s">
        <v>12216</v>
      </c>
      <c r="C2372" s="170" t="s">
        <v>870</v>
      </c>
      <c r="D2372" s="170" t="s">
        <v>2067</v>
      </c>
      <c r="E2372" s="171" t="s">
        <v>32858</v>
      </c>
      <c r="F2372" s="171" t="s">
        <v>36142</v>
      </c>
      <c r="G2372" s="82"/>
      <c r="H2372" s="96">
        <f t="shared" si="144"/>
        <v>283.67</v>
      </c>
      <c r="I2372" s="96">
        <f t="shared" si="144"/>
        <v>297.8</v>
      </c>
      <c r="J2372" s="91" t="str">
        <f t="shared" si="145"/>
        <v>Sinapi 102042</v>
      </c>
      <c r="K2372" s="91" t="str">
        <f t="shared" si="146"/>
        <v>M2</v>
      </c>
      <c r="L2372" s="166" t="str">
        <f t="shared" si="147"/>
        <v>11/2020</v>
      </c>
      <c r="M2372" s="82"/>
      <c r="N2372" s="82"/>
    </row>
    <row r="2373" spans="1:14" x14ac:dyDescent="0.25">
      <c r="A2373" s="170" t="s">
        <v>12217</v>
      </c>
      <c r="B2373" s="170" t="s">
        <v>12218</v>
      </c>
      <c r="C2373" s="170" t="s">
        <v>870</v>
      </c>
      <c r="D2373" s="170" t="s">
        <v>2067</v>
      </c>
      <c r="E2373" s="171" t="s">
        <v>32859</v>
      </c>
      <c r="F2373" s="171" t="s">
        <v>36143</v>
      </c>
      <c r="G2373" s="82"/>
      <c r="H2373" s="96">
        <f t="shared" si="144"/>
        <v>254.09</v>
      </c>
      <c r="I2373" s="96">
        <f t="shared" si="144"/>
        <v>266.02</v>
      </c>
      <c r="J2373" s="91" t="str">
        <f t="shared" si="145"/>
        <v>Sinapi 102043</v>
      </c>
      <c r="K2373" s="91" t="str">
        <f t="shared" si="146"/>
        <v>M2</v>
      </c>
      <c r="L2373" s="166" t="str">
        <f t="shared" si="147"/>
        <v>11/2020</v>
      </c>
      <c r="M2373" s="82"/>
      <c r="N2373" s="82"/>
    </row>
    <row r="2374" spans="1:14" x14ac:dyDescent="0.25">
      <c r="A2374" s="170" t="s">
        <v>12219</v>
      </c>
      <c r="B2374" s="170" t="s">
        <v>12220</v>
      </c>
      <c r="C2374" s="170" t="s">
        <v>870</v>
      </c>
      <c r="D2374" s="170" t="s">
        <v>2067</v>
      </c>
      <c r="E2374" s="171" t="s">
        <v>32860</v>
      </c>
      <c r="F2374" s="171" t="s">
        <v>36144</v>
      </c>
      <c r="G2374" s="82"/>
      <c r="H2374" s="96">
        <f t="shared" si="144"/>
        <v>224.02</v>
      </c>
      <c r="I2374" s="96">
        <f t="shared" si="144"/>
        <v>235.04</v>
      </c>
      <c r="J2374" s="91" t="str">
        <f t="shared" si="145"/>
        <v>Sinapi 102044</v>
      </c>
      <c r="K2374" s="91" t="str">
        <f t="shared" si="146"/>
        <v>M2</v>
      </c>
      <c r="L2374" s="166" t="str">
        <f t="shared" si="147"/>
        <v>11/2020</v>
      </c>
      <c r="M2374" s="82"/>
      <c r="N2374" s="82"/>
    </row>
    <row r="2375" spans="1:14" x14ac:dyDescent="0.25">
      <c r="A2375" s="170" t="s">
        <v>12221</v>
      </c>
      <c r="B2375" s="170" t="s">
        <v>12222</v>
      </c>
      <c r="C2375" s="170" t="s">
        <v>870</v>
      </c>
      <c r="D2375" s="170" t="s">
        <v>2067</v>
      </c>
      <c r="E2375" s="171" t="s">
        <v>32861</v>
      </c>
      <c r="F2375" s="171" t="s">
        <v>36145</v>
      </c>
      <c r="G2375" s="82"/>
      <c r="H2375" s="96">
        <f t="shared" si="144"/>
        <v>205.97</v>
      </c>
      <c r="I2375" s="96">
        <f t="shared" si="144"/>
        <v>216.45</v>
      </c>
      <c r="J2375" s="91" t="str">
        <f t="shared" si="145"/>
        <v>Sinapi 102045</v>
      </c>
      <c r="K2375" s="91" t="str">
        <f t="shared" si="146"/>
        <v>M2</v>
      </c>
      <c r="L2375" s="166" t="str">
        <f t="shared" si="147"/>
        <v>11/2020</v>
      </c>
      <c r="M2375" s="82"/>
      <c r="N2375" s="82"/>
    </row>
    <row r="2376" spans="1:14" x14ac:dyDescent="0.25">
      <c r="A2376" s="170" t="s">
        <v>12223</v>
      </c>
      <c r="B2376" s="170" t="s">
        <v>12224</v>
      </c>
      <c r="C2376" s="170" t="s">
        <v>870</v>
      </c>
      <c r="D2376" s="170" t="s">
        <v>2067</v>
      </c>
      <c r="E2376" s="171" t="s">
        <v>32862</v>
      </c>
      <c r="F2376" s="171" t="s">
        <v>36146</v>
      </c>
      <c r="G2376" s="82"/>
      <c r="H2376" s="96">
        <f t="shared" ref="H2376:I2439" si="148">IF(E2376="","",E2376+0)</f>
        <v>465.72</v>
      </c>
      <c r="I2376" s="96">
        <f t="shared" si="148"/>
        <v>490.57</v>
      </c>
      <c r="J2376" s="91" t="str">
        <f t="shared" ref="J2376:J2439" si="149">IF(OR(H2376="",I2376=""),"",TRIM(CONCATENATE("Sinapi ",A2376)))</f>
        <v>Sinapi 102046</v>
      </c>
      <c r="K2376" s="91" t="str">
        <f t="shared" ref="K2376:K2439" si="150">TRIM(C2376)</f>
        <v>M2</v>
      </c>
      <c r="L2376" s="166" t="str">
        <f t="shared" ref="L2376:L2439" si="151">IF(OR(RIGHT(IF(AND(K2376&lt;&gt;"H",K2376&lt;&gt;"MES"),RIGHT(B2376,7),""),2)="PS",RIGHT(IF(AND(K2376&lt;&gt;"H",K2376&lt;&gt;"MES"),RIGHT(B2376,7),""),2)="PA",RIGHT(IF(AND(K2376&lt;&gt;"H",K2376&lt;&gt;"MES"),RIGHT(B2376,7),""),2)="PE"),LEFT(IF(AND(K2376&lt;&gt;"H",K2376&lt;&gt;"MES"),RIGHT(B2376,10),""),7),IF(AND(K2376&lt;&gt;"H",K2376&lt;&gt;"MES"),RIGHT(B2376,7),""))</f>
        <v>11/2020</v>
      </c>
      <c r="M2376" s="82"/>
      <c r="N2376" s="82"/>
    </row>
    <row r="2377" spans="1:14" x14ac:dyDescent="0.25">
      <c r="A2377" s="170" t="s">
        <v>12225</v>
      </c>
      <c r="B2377" s="170" t="s">
        <v>12226</v>
      </c>
      <c r="C2377" s="170" t="s">
        <v>870</v>
      </c>
      <c r="D2377" s="170" t="s">
        <v>2067</v>
      </c>
      <c r="E2377" s="171" t="s">
        <v>32863</v>
      </c>
      <c r="F2377" s="171" t="s">
        <v>36147</v>
      </c>
      <c r="G2377" s="82"/>
      <c r="H2377" s="96">
        <f t="shared" si="148"/>
        <v>396.31</v>
      </c>
      <c r="I2377" s="96">
        <f t="shared" si="148"/>
        <v>415.97</v>
      </c>
      <c r="J2377" s="91" t="str">
        <f t="shared" si="149"/>
        <v>Sinapi 102047</v>
      </c>
      <c r="K2377" s="91" t="str">
        <f t="shared" si="150"/>
        <v>M2</v>
      </c>
      <c r="L2377" s="166" t="str">
        <f t="shared" si="151"/>
        <v>11/2020</v>
      </c>
      <c r="M2377" s="82"/>
      <c r="N2377" s="82"/>
    </row>
    <row r="2378" spans="1:14" x14ac:dyDescent="0.25">
      <c r="A2378" s="170" t="s">
        <v>12227</v>
      </c>
      <c r="B2378" s="170" t="s">
        <v>12228</v>
      </c>
      <c r="C2378" s="170" t="s">
        <v>870</v>
      </c>
      <c r="D2378" s="170" t="s">
        <v>2067</v>
      </c>
      <c r="E2378" s="171" t="s">
        <v>32864</v>
      </c>
      <c r="F2378" s="171" t="s">
        <v>36148</v>
      </c>
      <c r="G2378" s="82"/>
      <c r="H2378" s="96">
        <f t="shared" si="148"/>
        <v>298.61</v>
      </c>
      <c r="I2378" s="96">
        <f t="shared" si="148"/>
        <v>316.92</v>
      </c>
      <c r="J2378" s="91" t="str">
        <f t="shared" si="149"/>
        <v>Sinapi 102048</v>
      </c>
      <c r="K2378" s="91" t="str">
        <f t="shared" si="150"/>
        <v>M2</v>
      </c>
      <c r="L2378" s="166" t="str">
        <f t="shared" si="151"/>
        <v>11/2020</v>
      </c>
      <c r="M2378" s="82"/>
      <c r="N2378" s="82"/>
    </row>
    <row r="2379" spans="1:14" x14ac:dyDescent="0.25">
      <c r="A2379" s="170" t="s">
        <v>12229</v>
      </c>
      <c r="B2379" s="170" t="s">
        <v>12230</v>
      </c>
      <c r="C2379" s="170" t="s">
        <v>870</v>
      </c>
      <c r="D2379" s="170" t="s">
        <v>2067</v>
      </c>
      <c r="E2379" s="171" t="s">
        <v>32865</v>
      </c>
      <c r="F2379" s="171" t="s">
        <v>36149</v>
      </c>
      <c r="G2379" s="82"/>
      <c r="H2379" s="96">
        <f t="shared" si="148"/>
        <v>272.92</v>
      </c>
      <c r="I2379" s="96">
        <f t="shared" si="148"/>
        <v>287.77999999999997</v>
      </c>
      <c r="J2379" s="91" t="str">
        <f t="shared" si="149"/>
        <v>Sinapi 102049</v>
      </c>
      <c r="K2379" s="91" t="str">
        <f t="shared" si="150"/>
        <v>M2</v>
      </c>
      <c r="L2379" s="166" t="str">
        <f t="shared" si="151"/>
        <v>11/2020</v>
      </c>
      <c r="M2379" s="82"/>
      <c r="N2379" s="82"/>
    </row>
    <row r="2380" spans="1:14" x14ac:dyDescent="0.25">
      <c r="A2380" s="170" t="s">
        <v>12231</v>
      </c>
      <c r="B2380" s="170" t="s">
        <v>12232</v>
      </c>
      <c r="C2380" s="170" t="s">
        <v>870</v>
      </c>
      <c r="D2380" s="170" t="s">
        <v>2067</v>
      </c>
      <c r="E2380" s="171" t="s">
        <v>32866</v>
      </c>
      <c r="F2380" s="171" t="s">
        <v>36150</v>
      </c>
      <c r="G2380" s="82"/>
      <c r="H2380" s="96">
        <f t="shared" si="148"/>
        <v>248.14</v>
      </c>
      <c r="I2380" s="96">
        <f t="shared" si="148"/>
        <v>260.51</v>
      </c>
      <c r="J2380" s="91" t="str">
        <f t="shared" si="149"/>
        <v>Sinapi 102050</v>
      </c>
      <c r="K2380" s="91" t="str">
        <f t="shared" si="150"/>
        <v>M2</v>
      </c>
      <c r="L2380" s="166" t="str">
        <f t="shared" si="151"/>
        <v>11/2020</v>
      </c>
      <c r="M2380" s="82"/>
      <c r="N2380" s="82"/>
    </row>
    <row r="2381" spans="1:14" x14ac:dyDescent="0.25">
      <c r="A2381" s="170" t="s">
        <v>12233</v>
      </c>
      <c r="B2381" s="170" t="s">
        <v>12234</v>
      </c>
      <c r="C2381" s="170" t="s">
        <v>870</v>
      </c>
      <c r="D2381" s="170" t="s">
        <v>2067</v>
      </c>
      <c r="E2381" s="171" t="s">
        <v>32867</v>
      </c>
      <c r="F2381" s="171" t="s">
        <v>36151</v>
      </c>
      <c r="G2381" s="82"/>
      <c r="H2381" s="96">
        <f t="shared" si="148"/>
        <v>215.02</v>
      </c>
      <c r="I2381" s="96">
        <f t="shared" si="148"/>
        <v>226.38</v>
      </c>
      <c r="J2381" s="91" t="str">
        <f t="shared" si="149"/>
        <v>Sinapi 102051</v>
      </c>
      <c r="K2381" s="91" t="str">
        <f t="shared" si="150"/>
        <v>M2</v>
      </c>
      <c r="L2381" s="166" t="str">
        <f t="shared" si="151"/>
        <v>11/2020</v>
      </c>
      <c r="M2381" s="82"/>
      <c r="N2381" s="82"/>
    </row>
    <row r="2382" spans="1:14" x14ac:dyDescent="0.25">
      <c r="A2382" s="170" t="s">
        <v>12235</v>
      </c>
      <c r="B2382" s="170" t="s">
        <v>12236</v>
      </c>
      <c r="C2382" s="170" t="s">
        <v>870</v>
      </c>
      <c r="D2382" s="170" t="s">
        <v>2067</v>
      </c>
      <c r="E2382" s="171" t="s">
        <v>22062</v>
      </c>
      <c r="F2382" s="171" t="s">
        <v>29123</v>
      </c>
      <c r="G2382" s="82"/>
      <c r="H2382" s="96">
        <f t="shared" si="148"/>
        <v>196.69</v>
      </c>
      <c r="I2382" s="96">
        <f t="shared" si="148"/>
        <v>207.47</v>
      </c>
      <c r="J2382" s="91" t="str">
        <f t="shared" si="149"/>
        <v>Sinapi 102052</v>
      </c>
      <c r="K2382" s="91" t="str">
        <f t="shared" si="150"/>
        <v>M2</v>
      </c>
      <c r="L2382" s="166" t="str">
        <f t="shared" si="151"/>
        <v>11/2020</v>
      </c>
      <c r="M2382" s="82"/>
      <c r="N2382" s="82"/>
    </row>
    <row r="2383" spans="1:14" x14ac:dyDescent="0.25">
      <c r="A2383" s="170" t="s">
        <v>12237</v>
      </c>
      <c r="B2383" s="170" t="s">
        <v>12238</v>
      </c>
      <c r="C2383" s="170" t="s">
        <v>870</v>
      </c>
      <c r="D2383" s="170" t="s">
        <v>2067</v>
      </c>
      <c r="E2383" s="171" t="s">
        <v>32868</v>
      </c>
      <c r="F2383" s="171" t="s">
        <v>36152</v>
      </c>
      <c r="G2383" s="82"/>
      <c r="H2383" s="96">
        <f t="shared" si="148"/>
        <v>393.2</v>
      </c>
      <c r="I2383" s="96">
        <f t="shared" si="148"/>
        <v>416.11</v>
      </c>
      <c r="J2383" s="91" t="str">
        <f t="shared" si="149"/>
        <v>Sinapi 102059</v>
      </c>
      <c r="K2383" s="91" t="str">
        <f t="shared" si="150"/>
        <v>M2</v>
      </c>
      <c r="L2383" s="166" t="str">
        <f t="shared" si="151"/>
        <v>11/2020</v>
      </c>
      <c r="M2383" s="82"/>
      <c r="N2383" s="82"/>
    </row>
    <row r="2384" spans="1:14" x14ac:dyDescent="0.25">
      <c r="A2384" s="170" t="s">
        <v>12239</v>
      </c>
      <c r="B2384" s="170" t="s">
        <v>12240</v>
      </c>
      <c r="C2384" s="170" t="s">
        <v>870</v>
      </c>
      <c r="D2384" s="170" t="s">
        <v>2067</v>
      </c>
      <c r="E2384" s="171" t="s">
        <v>32869</v>
      </c>
      <c r="F2384" s="171" t="s">
        <v>36153</v>
      </c>
      <c r="G2384" s="82"/>
      <c r="H2384" s="96">
        <f t="shared" si="148"/>
        <v>329.17</v>
      </c>
      <c r="I2384" s="96">
        <f t="shared" si="148"/>
        <v>347.34</v>
      </c>
      <c r="J2384" s="91" t="str">
        <f t="shared" si="149"/>
        <v>Sinapi 102060</v>
      </c>
      <c r="K2384" s="91" t="str">
        <f t="shared" si="150"/>
        <v>M2</v>
      </c>
      <c r="L2384" s="166" t="str">
        <f t="shared" si="151"/>
        <v>11/2020</v>
      </c>
      <c r="M2384" s="82"/>
      <c r="N2384" s="82"/>
    </row>
    <row r="2385" spans="1:14" x14ac:dyDescent="0.25">
      <c r="A2385" s="170" t="s">
        <v>12241</v>
      </c>
      <c r="B2385" s="170" t="s">
        <v>12242</v>
      </c>
      <c r="C2385" s="170" t="s">
        <v>870</v>
      </c>
      <c r="D2385" s="170" t="s">
        <v>2067</v>
      </c>
      <c r="E2385" s="171" t="s">
        <v>32870</v>
      </c>
      <c r="F2385" s="171" t="s">
        <v>26692</v>
      </c>
      <c r="G2385" s="82"/>
      <c r="H2385" s="96">
        <f t="shared" si="148"/>
        <v>287.13</v>
      </c>
      <c r="I2385" s="96">
        <f t="shared" si="148"/>
        <v>302.45</v>
      </c>
      <c r="J2385" s="91" t="str">
        <f t="shared" si="149"/>
        <v>Sinapi 102061</v>
      </c>
      <c r="K2385" s="91" t="str">
        <f t="shared" si="150"/>
        <v>M2</v>
      </c>
      <c r="L2385" s="166" t="str">
        <f t="shared" si="151"/>
        <v>11/2020</v>
      </c>
      <c r="M2385" s="82"/>
      <c r="N2385" s="82"/>
    </row>
    <row r="2386" spans="1:14" x14ac:dyDescent="0.25">
      <c r="A2386" s="170" t="s">
        <v>12243</v>
      </c>
      <c r="B2386" s="170" t="s">
        <v>12244</v>
      </c>
      <c r="C2386" s="170" t="s">
        <v>870</v>
      </c>
      <c r="D2386" s="170" t="s">
        <v>2067</v>
      </c>
      <c r="E2386" s="171" t="s">
        <v>32871</v>
      </c>
      <c r="F2386" s="171" t="s">
        <v>36154</v>
      </c>
      <c r="G2386" s="82"/>
      <c r="H2386" s="96">
        <f t="shared" si="148"/>
        <v>270.7</v>
      </c>
      <c r="I2386" s="96">
        <f t="shared" si="148"/>
        <v>283.08999999999997</v>
      </c>
      <c r="J2386" s="91" t="str">
        <f t="shared" si="149"/>
        <v>Sinapi 102062</v>
      </c>
      <c r="K2386" s="91" t="str">
        <f t="shared" si="150"/>
        <v>M2</v>
      </c>
      <c r="L2386" s="166" t="str">
        <f t="shared" si="151"/>
        <v>11/2020</v>
      </c>
      <c r="M2386" s="82"/>
      <c r="N2386" s="82"/>
    </row>
    <row r="2387" spans="1:14" x14ac:dyDescent="0.25">
      <c r="A2387" s="170" t="s">
        <v>12245</v>
      </c>
      <c r="B2387" s="170" t="s">
        <v>12246</v>
      </c>
      <c r="C2387" s="170" t="s">
        <v>870</v>
      </c>
      <c r="D2387" s="170" t="s">
        <v>2067</v>
      </c>
      <c r="E2387" s="171" t="s">
        <v>32872</v>
      </c>
      <c r="F2387" s="171" t="s">
        <v>36155</v>
      </c>
      <c r="G2387" s="82"/>
      <c r="H2387" s="96">
        <f t="shared" si="148"/>
        <v>242.37</v>
      </c>
      <c r="I2387" s="96">
        <f t="shared" si="148"/>
        <v>252.71</v>
      </c>
      <c r="J2387" s="91" t="str">
        <f t="shared" si="149"/>
        <v>Sinapi 102063</v>
      </c>
      <c r="K2387" s="91" t="str">
        <f t="shared" si="150"/>
        <v>M2</v>
      </c>
      <c r="L2387" s="166" t="str">
        <f t="shared" si="151"/>
        <v>11/2020</v>
      </c>
      <c r="M2387" s="82"/>
      <c r="N2387" s="82"/>
    </row>
    <row r="2388" spans="1:14" x14ac:dyDescent="0.25">
      <c r="A2388" s="170" t="s">
        <v>12247</v>
      </c>
      <c r="B2388" s="170" t="s">
        <v>12248</v>
      </c>
      <c r="C2388" s="170" t="s">
        <v>870</v>
      </c>
      <c r="D2388" s="170" t="s">
        <v>2067</v>
      </c>
      <c r="E2388" s="171" t="s">
        <v>32873</v>
      </c>
      <c r="F2388" s="171" t="s">
        <v>36156</v>
      </c>
      <c r="G2388" s="82"/>
      <c r="H2388" s="96">
        <f t="shared" si="148"/>
        <v>211.92</v>
      </c>
      <c r="I2388" s="96">
        <f t="shared" si="148"/>
        <v>221.41</v>
      </c>
      <c r="J2388" s="91" t="str">
        <f t="shared" si="149"/>
        <v>Sinapi 102064</v>
      </c>
      <c r="K2388" s="91" t="str">
        <f t="shared" si="150"/>
        <v>M2</v>
      </c>
      <c r="L2388" s="166" t="str">
        <f t="shared" si="151"/>
        <v>11/2020</v>
      </c>
      <c r="M2388" s="82"/>
      <c r="N2388" s="82"/>
    </row>
    <row r="2389" spans="1:14" x14ac:dyDescent="0.25">
      <c r="A2389" s="170" t="s">
        <v>12249</v>
      </c>
      <c r="B2389" s="170" t="s">
        <v>12250</v>
      </c>
      <c r="C2389" s="170" t="s">
        <v>870</v>
      </c>
      <c r="D2389" s="170" t="s">
        <v>2067</v>
      </c>
      <c r="E2389" s="171" t="s">
        <v>32874</v>
      </c>
      <c r="F2389" s="171" t="s">
        <v>23245</v>
      </c>
      <c r="G2389" s="82"/>
      <c r="H2389" s="96">
        <f t="shared" si="148"/>
        <v>195.09</v>
      </c>
      <c r="I2389" s="96">
        <f t="shared" si="148"/>
        <v>204.1</v>
      </c>
      <c r="J2389" s="91" t="str">
        <f t="shared" si="149"/>
        <v>Sinapi 102065</v>
      </c>
      <c r="K2389" s="91" t="str">
        <f t="shared" si="150"/>
        <v>M2</v>
      </c>
      <c r="L2389" s="166" t="str">
        <f t="shared" si="151"/>
        <v>11/2020</v>
      </c>
      <c r="M2389" s="82"/>
      <c r="N2389" s="82"/>
    </row>
    <row r="2390" spans="1:14" x14ac:dyDescent="0.25">
      <c r="A2390" s="170" t="s">
        <v>12251</v>
      </c>
      <c r="B2390" s="170" t="s">
        <v>12252</v>
      </c>
      <c r="C2390" s="170" t="s">
        <v>870</v>
      </c>
      <c r="D2390" s="170" t="s">
        <v>2067</v>
      </c>
      <c r="E2390" s="171" t="s">
        <v>32875</v>
      </c>
      <c r="F2390" s="171" t="s">
        <v>36157</v>
      </c>
      <c r="G2390" s="82"/>
      <c r="H2390" s="96">
        <f t="shared" si="148"/>
        <v>413.26</v>
      </c>
      <c r="I2390" s="96">
        <f t="shared" si="148"/>
        <v>435.81</v>
      </c>
      <c r="J2390" s="91" t="str">
        <f t="shared" si="149"/>
        <v>Sinapi 102066</v>
      </c>
      <c r="K2390" s="91" t="str">
        <f t="shared" si="150"/>
        <v>M2</v>
      </c>
      <c r="L2390" s="166" t="str">
        <f t="shared" si="151"/>
        <v>11/2020</v>
      </c>
      <c r="M2390" s="82"/>
      <c r="N2390" s="82"/>
    </row>
    <row r="2391" spans="1:14" x14ac:dyDescent="0.25">
      <c r="A2391" s="170" t="s">
        <v>12253</v>
      </c>
      <c r="B2391" s="170" t="s">
        <v>12254</v>
      </c>
      <c r="C2391" s="170" t="s">
        <v>870</v>
      </c>
      <c r="D2391" s="170" t="s">
        <v>2067</v>
      </c>
      <c r="E2391" s="171" t="s">
        <v>32876</v>
      </c>
      <c r="F2391" s="171" t="s">
        <v>36158</v>
      </c>
      <c r="G2391" s="82"/>
      <c r="H2391" s="96">
        <f t="shared" si="148"/>
        <v>352.81</v>
      </c>
      <c r="I2391" s="96">
        <f t="shared" si="148"/>
        <v>370.75</v>
      </c>
      <c r="J2391" s="91" t="str">
        <f t="shared" si="149"/>
        <v>Sinapi 102067</v>
      </c>
      <c r="K2391" s="91" t="str">
        <f t="shared" si="150"/>
        <v>M2</v>
      </c>
      <c r="L2391" s="166" t="str">
        <f t="shared" si="151"/>
        <v>11/2020</v>
      </c>
      <c r="M2391" s="82"/>
      <c r="N2391" s="82"/>
    </row>
    <row r="2392" spans="1:14" x14ac:dyDescent="0.25">
      <c r="A2392" s="170" t="s">
        <v>12255</v>
      </c>
      <c r="B2392" s="170" t="s">
        <v>12256</v>
      </c>
      <c r="C2392" s="170" t="s">
        <v>870</v>
      </c>
      <c r="D2392" s="170" t="s">
        <v>2067</v>
      </c>
      <c r="E2392" s="171" t="s">
        <v>32877</v>
      </c>
      <c r="F2392" s="171" t="s">
        <v>36159</v>
      </c>
      <c r="G2392" s="82"/>
      <c r="H2392" s="96">
        <f t="shared" si="148"/>
        <v>277.07</v>
      </c>
      <c r="I2392" s="96">
        <f t="shared" si="148"/>
        <v>292.7</v>
      </c>
      <c r="J2392" s="91" t="str">
        <f t="shared" si="149"/>
        <v>Sinapi 102068</v>
      </c>
      <c r="K2392" s="91" t="str">
        <f t="shared" si="150"/>
        <v>M2</v>
      </c>
      <c r="L2392" s="166" t="str">
        <f t="shared" si="151"/>
        <v>11/2020</v>
      </c>
      <c r="M2392" s="82"/>
      <c r="N2392" s="82"/>
    </row>
    <row r="2393" spans="1:14" x14ac:dyDescent="0.25">
      <c r="A2393" s="170" t="s">
        <v>12257</v>
      </c>
      <c r="B2393" s="170" t="s">
        <v>12258</v>
      </c>
      <c r="C2393" s="170" t="s">
        <v>870</v>
      </c>
      <c r="D2393" s="170" t="s">
        <v>2067</v>
      </c>
      <c r="E2393" s="171" t="s">
        <v>32878</v>
      </c>
      <c r="F2393" s="171" t="s">
        <v>36160</v>
      </c>
      <c r="G2393" s="82"/>
      <c r="H2393" s="96">
        <f t="shared" si="148"/>
        <v>260.35000000000002</v>
      </c>
      <c r="I2393" s="96">
        <f t="shared" si="148"/>
        <v>273.11</v>
      </c>
      <c r="J2393" s="91" t="str">
        <f t="shared" si="149"/>
        <v>Sinapi 102069</v>
      </c>
      <c r="K2393" s="91" t="str">
        <f t="shared" si="150"/>
        <v>M2</v>
      </c>
      <c r="L2393" s="166" t="str">
        <f t="shared" si="151"/>
        <v>11/2020</v>
      </c>
      <c r="M2393" s="82"/>
      <c r="N2393" s="82"/>
    </row>
    <row r="2394" spans="1:14" x14ac:dyDescent="0.25">
      <c r="A2394" s="170" t="s">
        <v>12259</v>
      </c>
      <c r="B2394" s="170" t="s">
        <v>12260</v>
      </c>
      <c r="C2394" s="170" t="s">
        <v>870</v>
      </c>
      <c r="D2394" s="170" t="s">
        <v>2067</v>
      </c>
      <c r="E2394" s="171" t="s">
        <v>29399</v>
      </c>
      <c r="F2394" s="171" t="s">
        <v>36161</v>
      </c>
      <c r="G2394" s="82"/>
      <c r="H2394" s="96">
        <f t="shared" si="148"/>
        <v>236.97</v>
      </c>
      <c r="I2394" s="96">
        <f t="shared" si="148"/>
        <v>247.53</v>
      </c>
      <c r="J2394" s="91" t="str">
        <f t="shared" si="149"/>
        <v>Sinapi 102070</v>
      </c>
      <c r="K2394" s="91" t="str">
        <f t="shared" si="150"/>
        <v>M2</v>
      </c>
      <c r="L2394" s="166" t="str">
        <f t="shared" si="151"/>
        <v>11/2020</v>
      </c>
      <c r="M2394" s="82"/>
      <c r="N2394" s="82"/>
    </row>
    <row r="2395" spans="1:14" x14ac:dyDescent="0.25">
      <c r="A2395" s="170" t="s">
        <v>12261</v>
      </c>
      <c r="B2395" s="170" t="s">
        <v>12262</v>
      </c>
      <c r="C2395" s="170" t="s">
        <v>870</v>
      </c>
      <c r="D2395" s="170" t="s">
        <v>2067</v>
      </c>
      <c r="E2395" s="171" t="s">
        <v>32879</v>
      </c>
      <c r="F2395" s="171" t="s">
        <v>36162</v>
      </c>
      <c r="G2395" s="82"/>
      <c r="H2395" s="96">
        <f t="shared" si="148"/>
        <v>206.13</v>
      </c>
      <c r="I2395" s="96">
        <f t="shared" si="148"/>
        <v>215.81</v>
      </c>
      <c r="J2395" s="91" t="str">
        <f t="shared" si="149"/>
        <v>Sinapi 102071</v>
      </c>
      <c r="K2395" s="91" t="str">
        <f t="shared" si="150"/>
        <v>M2</v>
      </c>
      <c r="L2395" s="166" t="str">
        <f t="shared" si="151"/>
        <v>11/2020</v>
      </c>
      <c r="M2395" s="82"/>
      <c r="N2395" s="82"/>
    </row>
    <row r="2396" spans="1:14" x14ac:dyDescent="0.25">
      <c r="A2396" s="170" t="s">
        <v>12263</v>
      </c>
      <c r="B2396" s="170" t="s">
        <v>12264</v>
      </c>
      <c r="C2396" s="170" t="s">
        <v>870</v>
      </c>
      <c r="D2396" s="170" t="s">
        <v>2067</v>
      </c>
      <c r="E2396" s="171" t="s">
        <v>32880</v>
      </c>
      <c r="F2396" s="171" t="s">
        <v>36163</v>
      </c>
      <c r="G2396" s="82"/>
      <c r="H2396" s="96">
        <f t="shared" si="148"/>
        <v>187.44</v>
      </c>
      <c r="I2396" s="96">
        <f t="shared" si="148"/>
        <v>196.48</v>
      </c>
      <c r="J2396" s="91" t="str">
        <f t="shared" si="149"/>
        <v>Sinapi 102072</v>
      </c>
      <c r="K2396" s="91" t="str">
        <f t="shared" si="150"/>
        <v>M2</v>
      </c>
      <c r="L2396" s="166" t="str">
        <f t="shared" si="151"/>
        <v>11/2020</v>
      </c>
      <c r="M2396" s="82"/>
      <c r="N2396" s="82"/>
    </row>
    <row r="2397" spans="1:14" x14ac:dyDescent="0.25">
      <c r="A2397" s="170" t="s">
        <v>12265</v>
      </c>
      <c r="B2397" s="170" t="s">
        <v>23044</v>
      </c>
      <c r="C2397" s="170" t="s">
        <v>85</v>
      </c>
      <c r="D2397" s="170" t="s">
        <v>1947</v>
      </c>
      <c r="E2397" s="171" t="s">
        <v>32881</v>
      </c>
      <c r="F2397" s="171" t="s">
        <v>36164</v>
      </c>
      <c r="G2397" s="82"/>
      <c r="H2397" s="96">
        <f t="shared" si="148"/>
        <v>4567.6499999999996</v>
      </c>
      <c r="I2397" s="96">
        <f t="shared" si="148"/>
        <v>4707.97</v>
      </c>
      <c r="J2397" s="91" t="str">
        <f t="shared" si="149"/>
        <v>Sinapi 102073</v>
      </c>
      <c r="K2397" s="91" t="str">
        <f t="shared" si="150"/>
        <v>M3</v>
      </c>
      <c r="L2397" s="166" t="str">
        <f t="shared" si="151"/>
        <v>11/2020</v>
      </c>
      <c r="M2397" s="82"/>
      <c r="N2397" s="82"/>
    </row>
    <row r="2398" spans="1:14" x14ac:dyDescent="0.25">
      <c r="A2398" s="170" t="s">
        <v>12266</v>
      </c>
      <c r="B2398" s="170" t="s">
        <v>23045</v>
      </c>
      <c r="C2398" s="170" t="s">
        <v>85</v>
      </c>
      <c r="D2398" s="170" t="s">
        <v>1947</v>
      </c>
      <c r="E2398" s="171" t="s">
        <v>32882</v>
      </c>
      <c r="F2398" s="171" t="s">
        <v>36165</v>
      </c>
      <c r="G2398" s="82"/>
      <c r="H2398" s="96">
        <f t="shared" si="148"/>
        <v>5395.9</v>
      </c>
      <c r="I2398" s="96">
        <f t="shared" si="148"/>
        <v>5551.46</v>
      </c>
      <c r="J2398" s="91" t="str">
        <f t="shared" si="149"/>
        <v>Sinapi 102074</v>
      </c>
      <c r="K2398" s="91" t="str">
        <f t="shared" si="150"/>
        <v>M3</v>
      </c>
      <c r="L2398" s="166" t="str">
        <f t="shared" si="151"/>
        <v>11/2020</v>
      </c>
      <c r="M2398" s="82"/>
      <c r="N2398" s="82"/>
    </row>
    <row r="2399" spans="1:14" x14ac:dyDescent="0.25">
      <c r="A2399" s="170" t="s">
        <v>12267</v>
      </c>
      <c r="B2399" s="170" t="s">
        <v>23046</v>
      </c>
      <c r="C2399" s="170" t="s">
        <v>85</v>
      </c>
      <c r="D2399" s="170" t="s">
        <v>1947</v>
      </c>
      <c r="E2399" s="171" t="s">
        <v>32883</v>
      </c>
      <c r="F2399" s="171" t="s">
        <v>36166</v>
      </c>
      <c r="G2399" s="82"/>
      <c r="H2399" s="96">
        <f t="shared" si="148"/>
        <v>5588.22</v>
      </c>
      <c r="I2399" s="96">
        <f t="shared" si="148"/>
        <v>5749.18</v>
      </c>
      <c r="J2399" s="91" t="str">
        <f t="shared" si="149"/>
        <v>Sinapi 102075</v>
      </c>
      <c r="K2399" s="91" t="str">
        <f t="shared" si="150"/>
        <v>M3</v>
      </c>
      <c r="L2399" s="166" t="str">
        <f t="shared" si="151"/>
        <v>11/2020</v>
      </c>
      <c r="M2399" s="82"/>
      <c r="N2399" s="82"/>
    </row>
    <row r="2400" spans="1:14" x14ac:dyDescent="0.25">
      <c r="A2400" s="170" t="s">
        <v>12268</v>
      </c>
      <c r="B2400" s="170" t="s">
        <v>23047</v>
      </c>
      <c r="C2400" s="170" t="s">
        <v>85</v>
      </c>
      <c r="D2400" s="170" t="s">
        <v>1947</v>
      </c>
      <c r="E2400" s="171" t="s">
        <v>32884</v>
      </c>
      <c r="F2400" s="171" t="s">
        <v>36167</v>
      </c>
      <c r="G2400" s="82"/>
      <c r="H2400" s="96">
        <f t="shared" si="148"/>
        <v>5742.7</v>
      </c>
      <c r="I2400" s="96">
        <f t="shared" si="148"/>
        <v>5899.58</v>
      </c>
      <c r="J2400" s="91" t="str">
        <f t="shared" si="149"/>
        <v>Sinapi 102076</v>
      </c>
      <c r="K2400" s="91" t="str">
        <f t="shared" si="150"/>
        <v>M3</v>
      </c>
      <c r="L2400" s="166" t="str">
        <f t="shared" si="151"/>
        <v>11/2020</v>
      </c>
      <c r="M2400" s="82"/>
      <c r="N2400" s="82"/>
    </row>
    <row r="2401" spans="1:14" x14ac:dyDescent="0.25">
      <c r="A2401" s="170" t="s">
        <v>12269</v>
      </c>
      <c r="B2401" s="170" t="s">
        <v>23048</v>
      </c>
      <c r="C2401" s="170" t="s">
        <v>85</v>
      </c>
      <c r="D2401" s="170" t="s">
        <v>1947</v>
      </c>
      <c r="E2401" s="171" t="s">
        <v>32885</v>
      </c>
      <c r="F2401" s="171" t="s">
        <v>36168</v>
      </c>
      <c r="G2401" s="82"/>
      <c r="H2401" s="96">
        <f t="shared" si="148"/>
        <v>6230.09</v>
      </c>
      <c r="I2401" s="96">
        <f t="shared" si="148"/>
        <v>6438.97</v>
      </c>
      <c r="J2401" s="91" t="str">
        <f t="shared" si="149"/>
        <v>Sinapi 102077</v>
      </c>
      <c r="K2401" s="91" t="str">
        <f t="shared" si="150"/>
        <v>M3</v>
      </c>
      <c r="L2401" s="166" t="str">
        <f t="shared" si="151"/>
        <v>11/2020</v>
      </c>
      <c r="M2401" s="82"/>
      <c r="N2401" s="82"/>
    </row>
    <row r="2402" spans="1:14" x14ac:dyDescent="0.25">
      <c r="A2402" s="170" t="s">
        <v>12270</v>
      </c>
      <c r="B2402" s="170" t="s">
        <v>23049</v>
      </c>
      <c r="C2402" s="170" t="s">
        <v>85</v>
      </c>
      <c r="D2402" s="170" t="s">
        <v>1947</v>
      </c>
      <c r="E2402" s="171" t="s">
        <v>32886</v>
      </c>
      <c r="F2402" s="171" t="s">
        <v>36169</v>
      </c>
      <c r="G2402" s="82"/>
      <c r="H2402" s="96">
        <f t="shared" si="148"/>
        <v>6383.49</v>
      </c>
      <c r="I2402" s="96">
        <f t="shared" si="148"/>
        <v>6589.64</v>
      </c>
      <c r="J2402" s="91" t="str">
        <f t="shared" si="149"/>
        <v>Sinapi 102078</v>
      </c>
      <c r="K2402" s="91" t="str">
        <f t="shared" si="150"/>
        <v>M3</v>
      </c>
      <c r="L2402" s="166" t="str">
        <f t="shared" si="151"/>
        <v>11/2020</v>
      </c>
      <c r="M2402" s="82"/>
      <c r="N2402" s="82"/>
    </row>
    <row r="2403" spans="1:14" x14ac:dyDescent="0.25">
      <c r="A2403" s="170" t="s">
        <v>12271</v>
      </c>
      <c r="B2403" s="170" t="s">
        <v>23050</v>
      </c>
      <c r="C2403" s="170" t="s">
        <v>85</v>
      </c>
      <c r="D2403" s="170" t="s">
        <v>1947</v>
      </c>
      <c r="E2403" s="171" t="s">
        <v>32887</v>
      </c>
      <c r="F2403" s="171" t="s">
        <v>36170</v>
      </c>
      <c r="G2403" s="82"/>
      <c r="H2403" s="96">
        <f t="shared" si="148"/>
        <v>6132.46</v>
      </c>
      <c r="I2403" s="96">
        <f t="shared" si="148"/>
        <v>6329.08</v>
      </c>
      <c r="J2403" s="91" t="str">
        <f t="shared" si="149"/>
        <v>Sinapi 102079</v>
      </c>
      <c r="K2403" s="91" t="str">
        <f t="shared" si="150"/>
        <v>M3</v>
      </c>
      <c r="L2403" s="166" t="str">
        <f t="shared" si="151"/>
        <v>11/2020</v>
      </c>
      <c r="M2403" s="82"/>
      <c r="N2403" s="82"/>
    </row>
    <row r="2404" spans="1:14" x14ac:dyDescent="0.25">
      <c r="A2404" s="170" t="s">
        <v>12272</v>
      </c>
      <c r="B2404" s="170" t="s">
        <v>23051</v>
      </c>
      <c r="C2404" s="170" t="s">
        <v>85</v>
      </c>
      <c r="D2404" s="170" t="s">
        <v>1947</v>
      </c>
      <c r="E2404" s="171" t="s">
        <v>32888</v>
      </c>
      <c r="F2404" s="171" t="s">
        <v>36171</v>
      </c>
      <c r="G2404" s="82"/>
      <c r="H2404" s="96">
        <f t="shared" si="148"/>
        <v>5507.99</v>
      </c>
      <c r="I2404" s="96">
        <f t="shared" si="148"/>
        <v>5664.11</v>
      </c>
      <c r="J2404" s="91" t="str">
        <f t="shared" si="149"/>
        <v>Sinapi 102080</v>
      </c>
      <c r="K2404" s="91" t="str">
        <f t="shared" si="150"/>
        <v>M3</v>
      </c>
      <c r="L2404" s="166" t="str">
        <f t="shared" si="151"/>
        <v>11/2020</v>
      </c>
      <c r="M2404" s="82"/>
      <c r="N2404" s="82"/>
    </row>
    <row r="2405" spans="1:14" x14ac:dyDescent="0.25">
      <c r="A2405" s="170" t="s">
        <v>12273</v>
      </c>
      <c r="B2405" s="170" t="s">
        <v>12274</v>
      </c>
      <c r="C2405" s="170" t="s">
        <v>870</v>
      </c>
      <c r="D2405" s="170" t="s">
        <v>2067</v>
      </c>
      <c r="E2405" s="171" t="s">
        <v>32889</v>
      </c>
      <c r="F2405" s="171" t="s">
        <v>36172</v>
      </c>
      <c r="G2405" s="82"/>
      <c r="H2405" s="96">
        <f t="shared" si="148"/>
        <v>239.78</v>
      </c>
      <c r="I2405" s="96">
        <f t="shared" si="148"/>
        <v>243.09</v>
      </c>
      <c r="J2405" s="91" t="str">
        <f t="shared" si="149"/>
        <v>Sinapi 102086</v>
      </c>
      <c r="K2405" s="91" t="str">
        <f t="shared" si="150"/>
        <v>M2</v>
      </c>
      <c r="L2405" s="166" t="str">
        <f t="shared" si="151"/>
        <v>11/2020</v>
      </c>
      <c r="M2405" s="82"/>
      <c r="N2405" s="82"/>
    </row>
    <row r="2406" spans="1:14" x14ac:dyDescent="0.25">
      <c r="A2406" s="170" t="s">
        <v>12275</v>
      </c>
      <c r="B2406" s="170" t="s">
        <v>12276</v>
      </c>
      <c r="C2406" s="170" t="s">
        <v>870</v>
      </c>
      <c r="D2406" s="170" t="s">
        <v>2067</v>
      </c>
      <c r="E2406" s="171" t="s">
        <v>32890</v>
      </c>
      <c r="F2406" s="171" t="s">
        <v>32555</v>
      </c>
      <c r="G2406" s="82"/>
      <c r="H2406" s="96">
        <f t="shared" si="148"/>
        <v>171.99</v>
      </c>
      <c r="I2406" s="96">
        <f t="shared" si="148"/>
        <v>175.3</v>
      </c>
      <c r="J2406" s="91" t="str">
        <f t="shared" si="149"/>
        <v>Sinapi 102087</v>
      </c>
      <c r="K2406" s="91" t="str">
        <f t="shared" si="150"/>
        <v>M2</v>
      </c>
      <c r="L2406" s="166" t="str">
        <f t="shared" si="151"/>
        <v>11/2020</v>
      </c>
      <c r="M2406" s="82"/>
      <c r="N2406" s="82"/>
    </row>
    <row r="2407" spans="1:14" x14ac:dyDescent="0.25">
      <c r="A2407" s="170" t="s">
        <v>12277</v>
      </c>
      <c r="B2407" s="170" t="s">
        <v>12278</v>
      </c>
      <c r="C2407" s="170" t="s">
        <v>870</v>
      </c>
      <c r="D2407" s="170" t="s">
        <v>2067</v>
      </c>
      <c r="E2407" s="171" t="s">
        <v>32891</v>
      </c>
      <c r="F2407" s="171" t="s">
        <v>36173</v>
      </c>
      <c r="G2407" s="82"/>
      <c r="H2407" s="96">
        <f t="shared" si="148"/>
        <v>187</v>
      </c>
      <c r="I2407" s="96">
        <f t="shared" si="148"/>
        <v>190.47</v>
      </c>
      <c r="J2407" s="91" t="str">
        <f t="shared" si="149"/>
        <v>Sinapi 102088</v>
      </c>
      <c r="K2407" s="91" t="str">
        <f t="shared" si="150"/>
        <v>M2</v>
      </c>
      <c r="L2407" s="166" t="str">
        <f t="shared" si="151"/>
        <v>11/2020</v>
      </c>
      <c r="M2407" s="82"/>
      <c r="N2407" s="82"/>
    </row>
    <row r="2408" spans="1:14" x14ac:dyDescent="0.25">
      <c r="A2408" s="170" t="s">
        <v>12279</v>
      </c>
      <c r="B2408" s="170" t="s">
        <v>12280</v>
      </c>
      <c r="C2408" s="170" t="s">
        <v>870</v>
      </c>
      <c r="D2408" s="170" t="s">
        <v>2067</v>
      </c>
      <c r="E2408" s="171" t="s">
        <v>32892</v>
      </c>
      <c r="F2408" s="171" t="s">
        <v>36174</v>
      </c>
      <c r="G2408" s="82"/>
      <c r="H2408" s="96">
        <f t="shared" si="148"/>
        <v>243.37</v>
      </c>
      <c r="I2408" s="96">
        <f t="shared" si="148"/>
        <v>246.94</v>
      </c>
      <c r="J2408" s="91" t="str">
        <f t="shared" si="149"/>
        <v>Sinapi 102089</v>
      </c>
      <c r="K2408" s="91" t="str">
        <f t="shared" si="150"/>
        <v>M2</v>
      </c>
      <c r="L2408" s="166" t="str">
        <f t="shared" si="151"/>
        <v>11/2020</v>
      </c>
      <c r="M2408" s="82"/>
      <c r="N2408" s="82"/>
    </row>
    <row r="2409" spans="1:14" x14ac:dyDescent="0.25">
      <c r="A2409" s="170" t="s">
        <v>12281</v>
      </c>
      <c r="B2409" s="170" t="s">
        <v>12282</v>
      </c>
      <c r="C2409" s="170" t="s">
        <v>870</v>
      </c>
      <c r="D2409" s="170" t="s">
        <v>2067</v>
      </c>
      <c r="E2409" s="171" t="s">
        <v>32893</v>
      </c>
      <c r="F2409" s="171" t="s">
        <v>36175</v>
      </c>
      <c r="G2409" s="82"/>
      <c r="H2409" s="96">
        <f t="shared" si="148"/>
        <v>166.47</v>
      </c>
      <c r="I2409" s="96">
        <f t="shared" si="148"/>
        <v>170.04</v>
      </c>
      <c r="J2409" s="91" t="str">
        <f t="shared" si="149"/>
        <v>Sinapi 102090</v>
      </c>
      <c r="K2409" s="91" t="str">
        <f t="shared" si="150"/>
        <v>M2</v>
      </c>
      <c r="L2409" s="166" t="str">
        <f t="shared" si="151"/>
        <v>11/2020</v>
      </c>
      <c r="M2409" s="82"/>
      <c r="N2409" s="82"/>
    </row>
    <row r="2410" spans="1:14" x14ac:dyDescent="0.25">
      <c r="A2410" s="170" t="s">
        <v>12283</v>
      </c>
      <c r="B2410" s="170" t="s">
        <v>12284</v>
      </c>
      <c r="C2410" s="170" t="s">
        <v>870</v>
      </c>
      <c r="D2410" s="170" t="s">
        <v>2067</v>
      </c>
      <c r="E2410" s="171" t="s">
        <v>32894</v>
      </c>
      <c r="F2410" s="171" t="s">
        <v>36176</v>
      </c>
      <c r="G2410" s="82"/>
      <c r="H2410" s="96">
        <f t="shared" si="148"/>
        <v>218.08</v>
      </c>
      <c r="I2410" s="96">
        <f t="shared" si="148"/>
        <v>221.69</v>
      </c>
      <c r="J2410" s="91" t="str">
        <f t="shared" si="149"/>
        <v>Sinapi 102091</v>
      </c>
      <c r="K2410" s="91" t="str">
        <f t="shared" si="150"/>
        <v>M2</v>
      </c>
      <c r="L2410" s="166" t="str">
        <f t="shared" si="151"/>
        <v>11/2020</v>
      </c>
      <c r="M2410" s="82"/>
      <c r="N2410" s="82"/>
    </row>
    <row r="2411" spans="1:14" x14ac:dyDescent="0.25">
      <c r="A2411" s="170" t="s">
        <v>15678</v>
      </c>
      <c r="B2411" s="170" t="s">
        <v>15679</v>
      </c>
      <c r="C2411" s="170" t="s">
        <v>870</v>
      </c>
      <c r="D2411" s="170" t="s">
        <v>2067</v>
      </c>
      <c r="E2411" s="171" t="s">
        <v>32895</v>
      </c>
      <c r="F2411" s="171" t="s">
        <v>36177</v>
      </c>
      <c r="G2411" s="82"/>
      <c r="H2411" s="96">
        <f t="shared" si="148"/>
        <v>120.99</v>
      </c>
      <c r="I2411" s="96">
        <f t="shared" si="148"/>
        <v>124.74</v>
      </c>
      <c r="J2411" s="91" t="str">
        <f t="shared" si="149"/>
        <v>Sinapi 103760</v>
      </c>
      <c r="K2411" s="91" t="str">
        <f t="shared" si="150"/>
        <v>M2</v>
      </c>
      <c r="L2411" s="166" t="str">
        <f t="shared" si="151"/>
        <v>03/2022</v>
      </c>
      <c r="M2411" s="82"/>
      <c r="N2411" s="82"/>
    </row>
    <row r="2412" spans="1:14" x14ac:dyDescent="0.25">
      <c r="A2412" s="170" t="s">
        <v>15680</v>
      </c>
      <c r="B2412" s="170" t="s">
        <v>15681</v>
      </c>
      <c r="C2412" s="170" t="s">
        <v>870</v>
      </c>
      <c r="D2412" s="170" t="s">
        <v>2067</v>
      </c>
      <c r="E2412" s="171" t="s">
        <v>32896</v>
      </c>
      <c r="F2412" s="171" t="s">
        <v>33627</v>
      </c>
      <c r="G2412" s="82"/>
      <c r="H2412" s="96">
        <f t="shared" si="148"/>
        <v>80.569999999999993</v>
      </c>
      <c r="I2412" s="96">
        <f t="shared" si="148"/>
        <v>84</v>
      </c>
      <c r="J2412" s="91" t="str">
        <f t="shared" si="149"/>
        <v>Sinapi 103761</v>
      </c>
      <c r="K2412" s="91" t="str">
        <f t="shared" si="150"/>
        <v>M2</v>
      </c>
      <c r="L2412" s="166" t="str">
        <f t="shared" si="151"/>
        <v>03/2022</v>
      </c>
      <c r="M2412" s="82"/>
      <c r="N2412" s="82"/>
    </row>
    <row r="2413" spans="1:14" x14ac:dyDescent="0.25">
      <c r="A2413" s="170" t="s">
        <v>15682</v>
      </c>
      <c r="B2413" s="170" t="s">
        <v>15683</v>
      </c>
      <c r="C2413" s="170" t="s">
        <v>870</v>
      </c>
      <c r="D2413" s="170" t="s">
        <v>2067</v>
      </c>
      <c r="E2413" s="171" t="s">
        <v>32897</v>
      </c>
      <c r="F2413" s="171" t="s">
        <v>29037</v>
      </c>
      <c r="G2413" s="82"/>
      <c r="H2413" s="96">
        <f t="shared" si="148"/>
        <v>67.150000000000006</v>
      </c>
      <c r="I2413" s="96">
        <f t="shared" si="148"/>
        <v>70.319999999999993</v>
      </c>
      <c r="J2413" s="91" t="str">
        <f t="shared" si="149"/>
        <v>Sinapi 103762</v>
      </c>
      <c r="K2413" s="91" t="str">
        <f t="shared" si="150"/>
        <v>M2</v>
      </c>
      <c r="L2413" s="166" t="str">
        <f t="shared" si="151"/>
        <v>03/2022</v>
      </c>
      <c r="M2413" s="82"/>
      <c r="N2413" s="82"/>
    </row>
    <row r="2414" spans="1:14" x14ac:dyDescent="0.25">
      <c r="A2414" s="170" t="s">
        <v>15684</v>
      </c>
      <c r="B2414" s="170" t="s">
        <v>15685</v>
      </c>
      <c r="C2414" s="170" t="s">
        <v>870</v>
      </c>
      <c r="D2414" s="170" t="s">
        <v>2067</v>
      </c>
      <c r="E2414" s="171" t="s">
        <v>24897</v>
      </c>
      <c r="F2414" s="171" t="s">
        <v>29815</v>
      </c>
      <c r="G2414" s="82"/>
      <c r="H2414" s="96">
        <f t="shared" si="148"/>
        <v>58.43</v>
      </c>
      <c r="I2414" s="96">
        <f t="shared" si="148"/>
        <v>61.37</v>
      </c>
      <c r="J2414" s="91" t="str">
        <f t="shared" si="149"/>
        <v>Sinapi 103763</v>
      </c>
      <c r="K2414" s="91" t="str">
        <f t="shared" si="150"/>
        <v>M2</v>
      </c>
      <c r="L2414" s="166" t="str">
        <f t="shared" si="151"/>
        <v>03/2022</v>
      </c>
      <c r="M2414" s="82"/>
      <c r="N2414" s="82"/>
    </row>
    <row r="2415" spans="1:14" x14ac:dyDescent="0.25">
      <c r="A2415" s="170" t="s">
        <v>5174</v>
      </c>
      <c r="B2415" s="170" t="s">
        <v>14526</v>
      </c>
      <c r="C2415" s="170" t="s">
        <v>774</v>
      </c>
      <c r="D2415" s="170" t="s">
        <v>2067</v>
      </c>
      <c r="E2415" s="171" t="s">
        <v>19345</v>
      </c>
      <c r="F2415" s="171" t="s">
        <v>15634</v>
      </c>
      <c r="G2415" s="82"/>
      <c r="H2415" s="96">
        <f t="shared" si="148"/>
        <v>12.57</v>
      </c>
      <c r="I2415" s="96">
        <f t="shared" si="148"/>
        <v>12.81</v>
      </c>
      <c r="J2415" s="91" t="str">
        <f t="shared" si="149"/>
        <v>Sinapi 89996</v>
      </c>
      <c r="K2415" s="91" t="str">
        <f t="shared" si="150"/>
        <v>KG</v>
      </c>
      <c r="L2415" s="166" t="str">
        <f t="shared" si="151"/>
        <v>09/2021</v>
      </c>
      <c r="M2415" s="82"/>
      <c r="N2415" s="82"/>
    </row>
    <row r="2416" spans="1:14" x14ac:dyDescent="0.25">
      <c r="A2416" s="170" t="s">
        <v>5175</v>
      </c>
      <c r="B2416" s="170" t="s">
        <v>14527</v>
      </c>
      <c r="C2416" s="170" t="s">
        <v>774</v>
      </c>
      <c r="D2416" s="170" t="s">
        <v>2067</v>
      </c>
      <c r="E2416" s="171" t="s">
        <v>18356</v>
      </c>
      <c r="F2416" s="171" t="s">
        <v>23163</v>
      </c>
      <c r="G2416" s="82"/>
      <c r="H2416" s="96">
        <f t="shared" si="148"/>
        <v>10.39</v>
      </c>
      <c r="I2416" s="96">
        <f t="shared" si="148"/>
        <v>10.55</v>
      </c>
      <c r="J2416" s="91" t="str">
        <f t="shared" si="149"/>
        <v>Sinapi 89997</v>
      </c>
      <c r="K2416" s="91" t="str">
        <f t="shared" si="150"/>
        <v>KG</v>
      </c>
      <c r="L2416" s="166" t="str">
        <f t="shared" si="151"/>
        <v>09/2021</v>
      </c>
      <c r="M2416" s="82"/>
      <c r="N2416" s="82"/>
    </row>
    <row r="2417" spans="1:14" x14ac:dyDescent="0.25">
      <c r="A2417" s="170" t="s">
        <v>5177</v>
      </c>
      <c r="B2417" s="170" t="s">
        <v>14528</v>
      </c>
      <c r="C2417" s="170" t="s">
        <v>774</v>
      </c>
      <c r="D2417" s="170" t="s">
        <v>2067</v>
      </c>
      <c r="E2417" s="171" t="s">
        <v>11275</v>
      </c>
      <c r="F2417" s="171" t="s">
        <v>17955</v>
      </c>
      <c r="G2417" s="82"/>
      <c r="H2417" s="96">
        <f t="shared" si="148"/>
        <v>12.12</v>
      </c>
      <c r="I2417" s="96">
        <f t="shared" si="148"/>
        <v>12.31</v>
      </c>
      <c r="J2417" s="91" t="str">
        <f t="shared" si="149"/>
        <v>Sinapi 89998</v>
      </c>
      <c r="K2417" s="91" t="str">
        <f t="shared" si="150"/>
        <v>KG</v>
      </c>
      <c r="L2417" s="166" t="str">
        <f t="shared" si="151"/>
        <v>09/2021</v>
      </c>
      <c r="M2417" s="82"/>
      <c r="N2417" s="82"/>
    </row>
    <row r="2418" spans="1:14" x14ac:dyDescent="0.25">
      <c r="A2418" s="170" t="s">
        <v>5178</v>
      </c>
      <c r="B2418" s="170" t="s">
        <v>14529</v>
      </c>
      <c r="C2418" s="170" t="s">
        <v>774</v>
      </c>
      <c r="D2418" s="170" t="s">
        <v>2067</v>
      </c>
      <c r="E2418" s="171" t="s">
        <v>21194</v>
      </c>
      <c r="F2418" s="171" t="s">
        <v>29267</v>
      </c>
      <c r="G2418" s="82"/>
      <c r="H2418" s="96">
        <f t="shared" si="148"/>
        <v>17.39</v>
      </c>
      <c r="I2418" s="96">
        <f t="shared" si="148"/>
        <v>18.100000000000001</v>
      </c>
      <c r="J2418" s="91" t="str">
        <f t="shared" si="149"/>
        <v>Sinapi 89999</v>
      </c>
      <c r="K2418" s="91" t="str">
        <f t="shared" si="150"/>
        <v>KG</v>
      </c>
      <c r="L2418" s="166" t="str">
        <f t="shared" si="151"/>
        <v>09/2021</v>
      </c>
      <c r="M2418" s="82"/>
      <c r="N2418" s="82"/>
    </row>
    <row r="2419" spans="1:14" x14ac:dyDescent="0.25">
      <c r="A2419" s="170" t="s">
        <v>5179</v>
      </c>
      <c r="B2419" s="170" t="s">
        <v>14530</v>
      </c>
      <c r="C2419" s="170" t="s">
        <v>774</v>
      </c>
      <c r="D2419" s="170" t="s">
        <v>2067</v>
      </c>
      <c r="E2419" s="171" t="s">
        <v>18630</v>
      </c>
      <c r="F2419" s="171" t="s">
        <v>15546</v>
      </c>
      <c r="G2419" s="82"/>
      <c r="H2419" s="96">
        <f t="shared" si="148"/>
        <v>14.47</v>
      </c>
      <c r="I2419" s="96">
        <f t="shared" si="148"/>
        <v>14.92</v>
      </c>
      <c r="J2419" s="91" t="str">
        <f t="shared" si="149"/>
        <v>Sinapi 90000</v>
      </c>
      <c r="K2419" s="91" t="str">
        <f t="shared" si="150"/>
        <v>KG</v>
      </c>
      <c r="L2419" s="166" t="str">
        <f t="shared" si="151"/>
        <v>09/2021</v>
      </c>
      <c r="M2419" s="82"/>
      <c r="N2419" s="82"/>
    </row>
    <row r="2420" spans="1:14" x14ac:dyDescent="0.25">
      <c r="A2420" s="170" t="s">
        <v>5180</v>
      </c>
      <c r="B2420" s="170" t="s">
        <v>5181</v>
      </c>
      <c r="C2420" s="170" t="s">
        <v>774</v>
      </c>
      <c r="D2420" s="170" t="s">
        <v>1947</v>
      </c>
      <c r="E2420" s="171" t="s">
        <v>23273</v>
      </c>
      <c r="F2420" s="171" t="s">
        <v>19832</v>
      </c>
      <c r="G2420" s="82"/>
      <c r="H2420" s="96">
        <f t="shared" si="148"/>
        <v>9.1300000000000008</v>
      </c>
      <c r="I2420" s="96">
        <f t="shared" si="148"/>
        <v>9.2200000000000006</v>
      </c>
      <c r="J2420" s="91" t="str">
        <f t="shared" si="149"/>
        <v>Sinapi 91593</v>
      </c>
      <c r="K2420" s="91" t="str">
        <f t="shared" si="150"/>
        <v>KG</v>
      </c>
      <c r="L2420" s="166" t="str">
        <f t="shared" si="151"/>
        <v>06/2019</v>
      </c>
      <c r="M2420" s="82"/>
      <c r="N2420" s="82"/>
    </row>
    <row r="2421" spans="1:14" x14ac:dyDescent="0.25">
      <c r="A2421" s="170" t="s">
        <v>5182</v>
      </c>
      <c r="B2421" s="170" t="s">
        <v>5183</v>
      </c>
      <c r="C2421" s="170" t="s">
        <v>774</v>
      </c>
      <c r="D2421" s="170" t="s">
        <v>1947</v>
      </c>
      <c r="E2421" s="171" t="s">
        <v>14625</v>
      </c>
      <c r="F2421" s="171" t="s">
        <v>33937</v>
      </c>
      <c r="G2421" s="82"/>
      <c r="H2421" s="96">
        <f t="shared" si="148"/>
        <v>9.5399999999999991</v>
      </c>
      <c r="I2421" s="96">
        <f t="shared" si="148"/>
        <v>9.66</v>
      </c>
      <c r="J2421" s="91" t="str">
        <f t="shared" si="149"/>
        <v>Sinapi 91594</v>
      </c>
      <c r="K2421" s="91" t="str">
        <f t="shared" si="150"/>
        <v>KG</v>
      </c>
      <c r="L2421" s="166" t="str">
        <f t="shared" si="151"/>
        <v>06/2019</v>
      </c>
      <c r="M2421" s="82"/>
      <c r="N2421" s="82"/>
    </row>
    <row r="2422" spans="1:14" x14ac:dyDescent="0.25">
      <c r="A2422" s="170" t="s">
        <v>5184</v>
      </c>
      <c r="B2422" s="170" t="s">
        <v>5185</v>
      </c>
      <c r="C2422" s="170" t="s">
        <v>774</v>
      </c>
      <c r="D2422" s="170" t="s">
        <v>1947</v>
      </c>
      <c r="E2422" s="171" t="s">
        <v>15530</v>
      </c>
      <c r="F2422" s="171" t="s">
        <v>12326</v>
      </c>
      <c r="G2422" s="82"/>
      <c r="H2422" s="96">
        <f t="shared" si="148"/>
        <v>10.199999999999999</v>
      </c>
      <c r="I2422" s="96">
        <f t="shared" si="148"/>
        <v>10.4</v>
      </c>
      <c r="J2422" s="91" t="str">
        <f t="shared" si="149"/>
        <v>Sinapi 91595</v>
      </c>
      <c r="K2422" s="91" t="str">
        <f t="shared" si="150"/>
        <v>KG</v>
      </c>
      <c r="L2422" s="166" t="str">
        <f t="shared" si="151"/>
        <v>06/2019</v>
      </c>
      <c r="M2422" s="82"/>
      <c r="N2422" s="82"/>
    </row>
    <row r="2423" spans="1:14" x14ac:dyDescent="0.25">
      <c r="A2423" s="170" t="s">
        <v>5186</v>
      </c>
      <c r="B2423" s="170" t="s">
        <v>5187</v>
      </c>
      <c r="C2423" s="170" t="s">
        <v>774</v>
      </c>
      <c r="D2423" s="170" t="s">
        <v>1947</v>
      </c>
      <c r="E2423" s="171" t="s">
        <v>21286</v>
      </c>
      <c r="F2423" s="171" t="s">
        <v>14625</v>
      </c>
      <c r="G2423" s="82"/>
      <c r="H2423" s="96">
        <f t="shared" si="148"/>
        <v>9.42</v>
      </c>
      <c r="I2423" s="96">
        <f t="shared" si="148"/>
        <v>9.5399999999999991</v>
      </c>
      <c r="J2423" s="91" t="str">
        <f t="shared" si="149"/>
        <v>Sinapi 91596</v>
      </c>
      <c r="K2423" s="91" t="str">
        <f t="shared" si="150"/>
        <v>KG</v>
      </c>
      <c r="L2423" s="166" t="str">
        <f t="shared" si="151"/>
        <v>06/2019</v>
      </c>
      <c r="M2423" s="82"/>
      <c r="N2423" s="82"/>
    </row>
    <row r="2424" spans="1:14" x14ac:dyDescent="0.25">
      <c r="A2424" s="170" t="s">
        <v>5188</v>
      </c>
      <c r="B2424" s="170" t="s">
        <v>5189</v>
      </c>
      <c r="C2424" s="170" t="s">
        <v>774</v>
      </c>
      <c r="D2424" s="170" t="s">
        <v>1947</v>
      </c>
      <c r="E2424" s="171" t="s">
        <v>20108</v>
      </c>
      <c r="F2424" s="171" t="s">
        <v>21105</v>
      </c>
      <c r="G2424" s="82"/>
      <c r="H2424" s="96">
        <f t="shared" si="148"/>
        <v>6.76</v>
      </c>
      <c r="I2424" s="96">
        <f t="shared" si="148"/>
        <v>6.88</v>
      </c>
      <c r="J2424" s="91" t="str">
        <f t="shared" si="149"/>
        <v>Sinapi 91597</v>
      </c>
      <c r="K2424" s="91" t="str">
        <f t="shared" si="150"/>
        <v>KG</v>
      </c>
      <c r="L2424" s="166" t="str">
        <f t="shared" si="151"/>
        <v>06/2019</v>
      </c>
      <c r="M2424" s="82"/>
      <c r="N2424" s="82"/>
    </row>
    <row r="2425" spans="1:14" x14ac:dyDescent="0.25">
      <c r="A2425" s="170" t="s">
        <v>5191</v>
      </c>
      <c r="B2425" s="170" t="s">
        <v>5192</v>
      </c>
      <c r="C2425" s="170" t="s">
        <v>774</v>
      </c>
      <c r="D2425" s="170" t="s">
        <v>1947</v>
      </c>
      <c r="E2425" s="171" t="s">
        <v>19279</v>
      </c>
      <c r="F2425" s="171" t="s">
        <v>34959</v>
      </c>
      <c r="G2425" s="82"/>
      <c r="H2425" s="96">
        <f t="shared" si="148"/>
        <v>9.3000000000000007</v>
      </c>
      <c r="I2425" s="96">
        <f t="shared" si="148"/>
        <v>9.44</v>
      </c>
      <c r="J2425" s="91" t="str">
        <f t="shared" si="149"/>
        <v>Sinapi 91598</v>
      </c>
      <c r="K2425" s="91" t="str">
        <f t="shared" si="150"/>
        <v>KG</v>
      </c>
      <c r="L2425" s="166" t="str">
        <f t="shared" si="151"/>
        <v>06/2019</v>
      </c>
      <c r="M2425" s="82"/>
      <c r="N2425" s="82"/>
    </row>
    <row r="2426" spans="1:14" x14ac:dyDescent="0.25">
      <c r="A2426" s="170" t="s">
        <v>5193</v>
      </c>
      <c r="B2426" s="170" t="s">
        <v>5194</v>
      </c>
      <c r="C2426" s="170" t="s">
        <v>774</v>
      </c>
      <c r="D2426" s="170" t="s">
        <v>1947</v>
      </c>
      <c r="E2426" s="171" t="s">
        <v>2100</v>
      </c>
      <c r="F2426" s="171" t="s">
        <v>15103</v>
      </c>
      <c r="G2426" s="82"/>
      <c r="H2426" s="96">
        <f t="shared" si="148"/>
        <v>7.09</v>
      </c>
      <c r="I2426" s="96">
        <f t="shared" si="148"/>
        <v>7.24</v>
      </c>
      <c r="J2426" s="91" t="str">
        <f t="shared" si="149"/>
        <v>Sinapi 91599</v>
      </c>
      <c r="K2426" s="91" t="str">
        <f t="shared" si="150"/>
        <v>KG</v>
      </c>
      <c r="L2426" s="166" t="str">
        <f t="shared" si="151"/>
        <v>06/2019</v>
      </c>
      <c r="M2426" s="82"/>
      <c r="N2426" s="82"/>
    </row>
    <row r="2427" spans="1:14" x14ac:dyDescent="0.25">
      <c r="A2427" s="170" t="s">
        <v>5195</v>
      </c>
      <c r="B2427" s="170" t="s">
        <v>5196</v>
      </c>
      <c r="C2427" s="170" t="s">
        <v>774</v>
      </c>
      <c r="D2427" s="170" t="s">
        <v>1947</v>
      </c>
      <c r="E2427" s="171" t="s">
        <v>5568</v>
      </c>
      <c r="F2427" s="171" t="s">
        <v>12288</v>
      </c>
      <c r="G2427" s="82"/>
      <c r="H2427" s="96">
        <f t="shared" si="148"/>
        <v>11.75</v>
      </c>
      <c r="I2427" s="96">
        <f t="shared" si="148"/>
        <v>12.1</v>
      </c>
      <c r="J2427" s="91" t="str">
        <f t="shared" si="149"/>
        <v>Sinapi 91600</v>
      </c>
      <c r="K2427" s="91" t="str">
        <f t="shared" si="150"/>
        <v>KG</v>
      </c>
      <c r="L2427" s="166" t="str">
        <f t="shared" si="151"/>
        <v>06/2019</v>
      </c>
      <c r="M2427" s="82"/>
      <c r="N2427" s="82"/>
    </row>
    <row r="2428" spans="1:14" x14ac:dyDescent="0.25">
      <c r="A2428" s="170" t="s">
        <v>5197</v>
      </c>
      <c r="B2428" s="170" t="s">
        <v>5198</v>
      </c>
      <c r="C2428" s="170" t="s">
        <v>774</v>
      </c>
      <c r="D2428" s="170" t="s">
        <v>2067</v>
      </c>
      <c r="E2428" s="171" t="s">
        <v>29876</v>
      </c>
      <c r="F2428" s="171" t="s">
        <v>11608</v>
      </c>
      <c r="G2428" s="82"/>
      <c r="H2428" s="96">
        <f t="shared" si="148"/>
        <v>14.76</v>
      </c>
      <c r="I2428" s="96">
        <f t="shared" si="148"/>
        <v>15.02</v>
      </c>
      <c r="J2428" s="91" t="str">
        <f t="shared" si="149"/>
        <v>Sinapi 91601</v>
      </c>
      <c r="K2428" s="91" t="str">
        <f t="shared" si="150"/>
        <v>KG</v>
      </c>
      <c r="L2428" s="166" t="str">
        <f t="shared" si="151"/>
        <v>06/2019</v>
      </c>
      <c r="M2428" s="82"/>
      <c r="N2428" s="82"/>
    </row>
    <row r="2429" spans="1:14" x14ac:dyDescent="0.25">
      <c r="A2429" s="170" t="s">
        <v>5199</v>
      </c>
      <c r="B2429" s="170" t="s">
        <v>5200</v>
      </c>
      <c r="C2429" s="170" t="s">
        <v>774</v>
      </c>
      <c r="D2429" s="170" t="s">
        <v>2067</v>
      </c>
      <c r="E2429" s="171" t="s">
        <v>11130</v>
      </c>
      <c r="F2429" s="171" t="s">
        <v>16414</v>
      </c>
      <c r="G2429" s="82"/>
      <c r="H2429" s="96">
        <f t="shared" si="148"/>
        <v>13.9</v>
      </c>
      <c r="I2429" s="96">
        <f t="shared" si="148"/>
        <v>14.07</v>
      </c>
      <c r="J2429" s="91" t="str">
        <f t="shared" si="149"/>
        <v>Sinapi 91602</v>
      </c>
      <c r="K2429" s="91" t="str">
        <f t="shared" si="150"/>
        <v>KG</v>
      </c>
      <c r="L2429" s="166" t="str">
        <f t="shared" si="151"/>
        <v>06/2019</v>
      </c>
      <c r="M2429" s="82"/>
      <c r="N2429" s="82"/>
    </row>
    <row r="2430" spans="1:14" x14ac:dyDescent="0.25">
      <c r="A2430" s="170" t="s">
        <v>5201</v>
      </c>
      <c r="B2430" s="170" t="s">
        <v>5202</v>
      </c>
      <c r="C2430" s="170" t="s">
        <v>774</v>
      </c>
      <c r="D2430" s="170" t="s">
        <v>2067</v>
      </c>
      <c r="E2430" s="171" t="s">
        <v>16409</v>
      </c>
      <c r="F2430" s="171" t="s">
        <v>25202</v>
      </c>
      <c r="G2430" s="82"/>
      <c r="H2430" s="96">
        <f t="shared" si="148"/>
        <v>13.13</v>
      </c>
      <c r="I2430" s="96">
        <f t="shared" si="148"/>
        <v>13.29</v>
      </c>
      <c r="J2430" s="91" t="str">
        <f t="shared" si="149"/>
        <v>Sinapi 91603</v>
      </c>
      <c r="K2430" s="91" t="str">
        <f t="shared" si="150"/>
        <v>KG</v>
      </c>
      <c r="L2430" s="166" t="str">
        <f t="shared" si="151"/>
        <v>06/2019</v>
      </c>
      <c r="M2430" s="82"/>
      <c r="N2430" s="82"/>
    </row>
    <row r="2431" spans="1:14" x14ac:dyDescent="0.25">
      <c r="A2431" s="170" t="s">
        <v>5204</v>
      </c>
      <c r="B2431" s="170" t="s">
        <v>16424</v>
      </c>
      <c r="C2431" s="170" t="s">
        <v>774</v>
      </c>
      <c r="D2431" s="170" t="s">
        <v>1947</v>
      </c>
      <c r="E2431" s="171" t="s">
        <v>27134</v>
      </c>
      <c r="F2431" s="171" t="s">
        <v>21195</v>
      </c>
      <c r="G2431" s="82"/>
      <c r="H2431" s="96">
        <f t="shared" si="148"/>
        <v>15.87</v>
      </c>
      <c r="I2431" s="96">
        <f t="shared" si="148"/>
        <v>16.38</v>
      </c>
      <c r="J2431" s="91" t="str">
        <f t="shared" si="149"/>
        <v>Sinapi 92759</v>
      </c>
      <c r="K2431" s="91" t="str">
        <f t="shared" si="150"/>
        <v>KG</v>
      </c>
      <c r="L2431" s="166" t="str">
        <f t="shared" si="151"/>
        <v>06/2022</v>
      </c>
      <c r="M2431" s="82"/>
      <c r="N2431" s="82"/>
    </row>
    <row r="2432" spans="1:14" x14ac:dyDescent="0.25">
      <c r="A2432" s="170" t="s">
        <v>5205</v>
      </c>
      <c r="B2432" s="170" t="s">
        <v>16425</v>
      </c>
      <c r="C2432" s="170" t="s">
        <v>774</v>
      </c>
      <c r="D2432" s="170" t="s">
        <v>1947</v>
      </c>
      <c r="E2432" s="171" t="s">
        <v>32898</v>
      </c>
      <c r="F2432" s="171" t="s">
        <v>28996</v>
      </c>
      <c r="G2432" s="82"/>
      <c r="H2432" s="96">
        <f t="shared" si="148"/>
        <v>15.55</v>
      </c>
      <c r="I2432" s="96">
        <f t="shared" si="148"/>
        <v>15.89</v>
      </c>
      <c r="J2432" s="91" t="str">
        <f t="shared" si="149"/>
        <v>Sinapi 92760</v>
      </c>
      <c r="K2432" s="91" t="str">
        <f t="shared" si="150"/>
        <v>KG</v>
      </c>
      <c r="L2432" s="166" t="str">
        <f t="shared" si="151"/>
        <v>06/2022</v>
      </c>
      <c r="M2432" s="82"/>
      <c r="N2432" s="82"/>
    </row>
    <row r="2433" spans="1:14" x14ac:dyDescent="0.25">
      <c r="A2433" s="170" t="s">
        <v>5206</v>
      </c>
      <c r="B2433" s="170" t="s">
        <v>16426</v>
      </c>
      <c r="C2433" s="170" t="s">
        <v>774</v>
      </c>
      <c r="D2433" s="170" t="s">
        <v>1947</v>
      </c>
      <c r="E2433" s="171" t="s">
        <v>6342</v>
      </c>
      <c r="F2433" s="171" t="s">
        <v>14899</v>
      </c>
      <c r="G2433" s="82"/>
      <c r="H2433" s="96">
        <f t="shared" si="148"/>
        <v>15</v>
      </c>
      <c r="I2433" s="96">
        <f t="shared" si="148"/>
        <v>15.22</v>
      </c>
      <c r="J2433" s="91" t="str">
        <f t="shared" si="149"/>
        <v>Sinapi 92761</v>
      </c>
      <c r="K2433" s="91" t="str">
        <f t="shared" si="150"/>
        <v>KG</v>
      </c>
      <c r="L2433" s="166" t="str">
        <f t="shared" si="151"/>
        <v>06/2022</v>
      </c>
      <c r="M2433" s="82"/>
      <c r="N2433" s="82"/>
    </row>
    <row r="2434" spans="1:14" x14ac:dyDescent="0.25">
      <c r="A2434" s="170" t="s">
        <v>5208</v>
      </c>
      <c r="B2434" s="170" t="s">
        <v>16427</v>
      </c>
      <c r="C2434" s="170" t="s">
        <v>774</v>
      </c>
      <c r="D2434" s="170" t="s">
        <v>1947</v>
      </c>
      <c r="E2434" s="171" t="s">
        <v>29535</v>
      </c>
      <c r="F2434" s="171" t="s">
        <v>34251</v>
      </c>
      <c r="G2434" s="82"/>
      <c r="H2434" s="96">
        <f t="shared" si="148"/>
        <v>13.61</v>
      </c>
      <c r="I2434" s="96">
        <f t="shared" si="148"/>
        <v>13.75</v>
      </c>
      <c r="J2434" s="91" t="str">
        <f t="shared" si="149"/>
        <v>Sinapi 92762</v>
      </c>
      <c r="K2434" s="91" t="str">
        <f t="shared" si="150"/>
        <v>KG</v>
      </c>
      <c r="L2434" s="166" t="str">
        <f t="shared" si="151"/>
        <v>06/2022</v>
      </c>
      <c r="M2434" s="82"/>
      <c r="N2434" s="82"/>
    </row>
    <row r="2435" spans="1:14" x14ac:dyDescent="0.25">
      <c r="A2435" s="170" t="s">
        <v>5209</v>
      </c>
      <c r="B2435" s="170" t="s">
        <v>16428</v>
      </c>
      <c r="C2435" s="170" t="s">
        <v>774</v>
      </c>
      <c r="D2435" s="170" t="s">
        <v>1947</v>
      </c>
      <c r="E2435" s="171" t="s">
        <v>18419</v>
      </c>
      <c r="F2435" s="171" t="s">
        <v>15527</v>
      </c>
      <c r="G2435" s="82"/>
      <c r="H2435" s="96">
        <f t="shared" si="148"/>
        <v>11.56</v>
      </c>
      <c r="I2435" s="96">
        <f t="shared" si="148"/>
        <v>11.65</v>
      </c>
      <c r="J2435" s="91" t="str">
        <f t="shared" si="149"/>
        <v>Sinapi 92763</v>
      </c>
      <c r="K2435" s="91" t="str">
        <f t="shared" si="150"/>
        <v>KG</v>
      </c>
      <c r="L2435" s="166" t="str">
        <f t="shared" si="151"/>
        <v>06/2022</v>
      </c>
      <c r="M2435" s="82"/>
      <c r="N2435" s="82"/>
    </row>
    <row r="2436" spans="1:14" x14ac:dyDescent="0.25">
      <c r="A2436" s="170" t="s">
        <v>5210</v>
      </c>
      <c r="B2436" s="170" t="s">
        <v>16429</v>
      </c>
      <c r="C2436" s="170" t="s">
        <v>774</v>
      </c>
      <c r="D2436" s="170" t="s">
        <v>1947</v>
      </c>
      <c r="E2436" s="171" t="s">
        <v>31547</v>
      </c>
      <c r="F2436" s="171" t="s">
        <v>14557</v>
      </c>
      <c r="G2436" s="82"/>
      <c r="H2436" s="96">
        <f t="shared" si="148"/>
        <v>11.28</v>
      </c>
      <c r="I2436" s="96">
        <f t="shared" si="148"/>
        <v>11.35</v>
      </c>
      <c r="J2436" s="91" t="str">
        <f t="shared" si="149"/>
        <v>Sinapi 92764</v>
      </c>
      <c r="K2436" s="91" t="str">
        <f t="shared" si="150"/>
        <v>KG</v>
      </c>
      <c r="L2436" s="166" t="str">
        <f t="shared" si="151"/>
        <v>06/2022</v>
      </c>
      <c r="M2436" s="82"/>
      <c r="N2436" s="82"/>
    </row>
    <row r="2437" spans="1:14" x14ac:dyDescent="0.25">
      <c r="A2437" s="170" t="s">
        <v>5212</v>
      </c>
      <c r="B2437" s="170" t="s">
        <v>16430</v>
      </c>
      <c r="C2437" s="170" t="s">
        <v>774</v>
      </c>
      <c r="D2437" s="170" t="s">
        <v>1947</v>
      </c>
      <c r="E2437" s="171" t="s">
        <v>20978</v>
      </c>
      <c r="F2437" s="171" t="s">
        <v>21019</v>
      </c>
      <c r="G2437" s="82"/>
      <c r="H2437" s="96">
        <f t="shared" si="148"/>
        <v>12.97</v>
      </c>
      <c r="I2437" s="96">
        <f t="shared" si="148"/>
        <v>13.01</v>
      </c>
      <c r="J2437" s="91" t="str">
        <f t="shared" si="149"/>
        <v>Sinapi 92765</v>
      </c>
      <c r="K2437" s="91" t="str">
        <f t="shared" si="150"/>
        <v>KG</v>
      </c>
      <c r="L2437" s="166" t="str">
        <f t="shared" si="151"/>
        <v>06/2022</v>
      </c>
      <c r="M2437" s="82"/>
      <c r="N2437" s="82"/>
    </row>
    <row r="2438" spans="1:14" x14ac:dyDescent="0.25">
      <c r="A2438" s="170" t="s">
        <v>5214</v>
      </c>
      <c r="B2438" s="170" t="s">
        <v>16431</v>
      </c>
      <c r="C2438" s="170" t="s">
        <v>774</v>
      </c>
      <c r="D2438" s="170" t="s">
        <v>1947</v>
      </c>
      <c r="E2438" s="171" t="s">
        <v>16301</v>
      </c>
      <c r="F2438" s="171" t="s">
        <v>20137</v>
      </c>
      <c r="G2438" s="82"/>
      <c r="H2438" s="96">
        <f t="shared" si="148"/>
        <v>12.86</v>
      </c>
      <c r="I2438" s="96">
        <f t="shared" si="148"/>
        <v>12.9</v>
      </c>
      <c r="J2438" s="91" t="str">
        <f t="shared" si="149"/>
        <v>Sinapi 92766</v>
      </c>
      <c r="K2438" s="91" t="str">
        <f t="shared" si="150"/>
        <v>KG</v>
      </c>
      <c r="L2438" s="166" t="str">
        <f t="shared" si="151"/>
        <v>06/2022</v>
      </c>
      <c r="M2438" s="82"/>
      <c r="N2438" s="82"/>
    </row>
    <row r="2439" spans="1:14" x14ac:dyDescent="0.25">
      <c r="A2439" s="170" t="s">
        <v>5215</v>
      </c>
      <c r="B2439" s="170" t="s">
        <v>16432</v>
      </c>
      <c r="C2439" s="170" t="s">
        <v>774</v>
      </c>
      <c r="D2439" s="170" t="s">
        <v>1947</v>
      </c>
      <c r="E2439" s="171" t="s">
        <v>19318</v>
      </c>
      <c r="F2439" s="171" t="s">
        <v>23064</v>
      </c>
      <c r="G2439" s="82"/>
      <c r="H2439" s="96">
        <f t="shared" si="148"/>
        <v>17.12</v>
      </c>
      <c r="I2439" s="96">
        <f t="shared" si="148"/>
        <v>17.739999999999998</v>
      </c>
      <c r="J2439" s="91" t="str">
        <f t="shared" si="149"/>
        <v>Sinapi 92767</v>
      </c>
      <c r="K2439" s="91" t="str">
        <f t="shared" si="150"/>
        <v>KG</v>
      </c>
      <c r="L2439" s="166" t="str">
        <f t="shared" si="151"/>
        <v>06/2022</v>
      </c>
      <c r="M2439" s="82"/>
      <c r="N2439" s="82"/>
    </row>
    <row r="2440" spans="1:14" x14ac:dyDescent="0.25">
      <c r="A2440" s="170" t="s">
        <v>5216</v>
      </c>
      <c r="B2440" s="170" t="s">
        <v>16433</v>
      </c>
      <c r="C2440" s="170" t="s">
        <v>774</v>
      </c>
      <c r="D2440" s="170" t="s">
        <v>1947</v>
      </c>
      <c r="E2440" s="171" t="s">
        <v>12302</v>
      </c>
      <c r="F2440" s="171" t="s">
        <v>28996</v>
      </c>
      <c r="G2440" s="82"/>
      <c r="H2440" s="96">
        <f t="shared" ref="H2440:I2503" si="152">IF(E2440="","",E2440+0)</f>
        <v>15.44</v>
      </c>
      <c r="I2440" s="96">
        <f t="shared" si="152"/>
        <v>15.89</v>
      </c>
      <c r="J2440" s="91" t="str">
        <f t="shared" ref="J2440:J2503" si="153">IF(OR(H2440="",I2440=""),"",TRIM(CONCATENATE("Sinapi ",A2440)))</f>
        <v>Sinapi 92768</v>
      </c>
      <c r="K2440" s="91" t="str">
        <f t="shared" ref="K2440:K2503" si="154">TRIM(C2440)</f>
        <v>KG</v>
      </c>
      <c r="L2440" s="166" t="str">
        <f t="shared" ref="L2440:L2503" si="155">IF(OR(RIGHT(IF(AND(K2440&lt;&gt;"H",K2440&lt;&gt;"MES"),RIGHT(B2440,7),""),2)="PS",RIGHT(IF(AND(K2440&lt;&gt;"H",K2440&lt;&gt;"MES"),RIGHT(B2440,7),""),2)="PA",RIGHT(IF(AND(K2440&lt;&gt;"H",K2440&lt;&gt;"MES"),RIGHT(B2440,7),""),2)="PE"),LEFT(IF(AND(K2440&lt;&gt;"H",K2440&lt;&gt;"MES"),RIGHT(B2440,10),""),7),IF(AND(K2440&lt;&gt;"H",K2440&lt;&gt;"MES"),RIGHT(B2440,7),""))</f>
        <v>06/2022</v>
      </c>
      <c r="M2440" s="82"/>
      <c r="N2440" s="82"/>
    </row>
    <row r="2441" spans="1:14" x14ac:dyDescent="0.25">
      <c r="A2441" s="170" t="s">
        <v>5217</v>
      </c>
      <c r="B2441" s="170" t="s">
        <v>16435</v>
      </c>
      <c r="C2441" s="170" t="s">
        <v>774</v>
      </c>
      <c r="D2441" s="170" t="s">
        <v>1947</v>
      </c>
      <c r="E2441" s="171" t="s">
        <v>6486</v>
      </c>
      <c r="F2441" s="171" t="s">
        <v>10255</v>
      </c>
      <c r="G2441" s="82"/>
      <c r="H2441" s="96">
        <f t="shared" si="152"/>
        <v>15.12</v>
      </c>
      <c r="I2441" s="96">
        <f t="shared" si="152"/>
        <v>15.39</v>
      </c>
      <c r="J2441" s="91" t="str">
        <f t="shared" si="153"/>
        <v>Sinapi 92769</v>
      </c>
      <c r="K2441" s="91" t="str">
        <f t="shared" si="154"/>
        <v>KG</v>
      </c>
      <c r="L2441" s="166" t="str">
        <f t="shared" si="155"/>
        <v>06/2022</v>
      </c>
      <c r="M2441" s="82"/>
      <c r="N2441" s="82"/>
    </row>
    <row r="2442" spans="1:14" x14ac:dyDescent="0.25">
      <c r="A2442" s="170" t="s">
        <v>5218</v>
      </c>
      <c r="B2442" s="170" t="s">
        <v>16436</v>
      </c>
      <c r="C2442" s="170" t="s">
        <v>774</v>
      </c>
      <c r="D2442" s="170" t="s">
        <v>1947</v>
      </c>
      <c r="E2442" s="171" t="s">
        <v>12324</v>
      </c>
      <c r="F2442" s="171" t="s">
        <v>30024</v>
      </c>
      <c r="G2442" s="82"/>
      <c r="H2442" s="96">
        <f t="shared" si="152"/>
        <v>14.57</v>
      </c>
      <c r="I2442" s="96">
        <f t="shared" si="152"/>
        <v>14.75</v>
      </c>
      <c r="J2442" s="91" t="str">
        <f t="shared" si="153"/>
        <v>Sinapi 92770</v>
      </c>
      <c r="K2442" s="91" t="str">
        <f t="shared" si="154"/>
        <v>KG</v>
      </c>
      <c r="L2442" s="166" t="str">
        <f t="shared" si="155"/>
        <v>06/2022</v>
      </c>
      <c r="M2442" s="82"/>
      <c r="N2442" s="82"/>
    </row>
    <row r="2443" spans="1:14" x14ac:dyDescent="0.25">
      <c r="A2443" s="170" t="s">
        <v>5219</v>
      </c>
      <c r="B2443" s="170" t="s">
        <v>16437</v>
      </c>
      <c r="C2443" s="170" t="s">
        <v>774</v>
      </c>
      <c r="D2443" s="170" t="s">
        <v>1947</v>
      </c>
      <c r="E2443" s="171" t="s">
        <v>21494</v>
      </c>
      <c r="F2443" s="171" t="s">
        <v>15686</v>
      </c>
      <c r="G2443" s="82"/>
      <c r="H2443" s="96">
        <f t="shared" si="152"/>
        <v>13.21</v>
      </c>
      <c r="I2443" s="96">
        <f t="shared" si="152"/>
        <v>13.31</v>
      </c>
      <c r="J2443" s="91" t="str">
        <f t="shared" si="153"/>
        <v>Sinapi 92771</v>
      </c>
      <c r="K2443" s="91" t="str">
        <f t="shared" si="154"/>
        <v>KG</v>
      </c>
      <c r="L2443" s="166" t="str">
        <f t="shared" si="155"/>
        <v>06/2022</v>
      </c>
      <c r="M2443" s="82"/>
      <c r="N2443" s="82"/>
    </row>
    <row r="2444" spans="1:14" x14ac:dyDescent="0.25">
      <c r="A2444" s="170" t="s">
        <v>5220</v>
      </c>
      <c r="B2444" s="170" t="s">
        <v>16438</v>
      </c>
      <c r="C2444" s="170" t="s">
        <v>774</v>
      </c>
      <c r="D2444" s="170" t="s">
        <v>1947</v>
      </c>
      <c r="E2444" s="171" t="s">
        <v>15773</v>
      </c>
      <c r="F2444" s="171" t="s">
        <v>20622</v>
      </c>
      <c r="G2444" s="82"/>
      <c r="H2444" s="96">
        <f t="shared" si="152"/>
        <v>11.21</v>
      </c>
      <c r="I2444" s="96">
        <f t="shared" si="152"/>
        <v>11.26</v>
      </c>
      <c r="J2444" s="91" t="str">
        <f t="shared" si="153"/>
        <v>Sinapi 92772</v>
      </c>
      <c r="K2444" s="91" t="str">
        <f t="shared" si="154"/>
        <v>KG</v>
      </c>
      <c r="L2444" s="166" t="str">
        <f t="shared" si="155"/>
        <v>06/2022</v>
      </c>
      <c r="M2444" s="82"/>
      <c r="N2444" s="82"/>
    </row>
    <row r="2445" spans="1:14" x14ac:dyDescent="0.25">
      <c r="A2445" s="170" t="s">
        <v>5221</v>
      </c>
      <c r="B2445" s="170" t="s">
        <v>16439</v>
      </c>
      <c r="C2445" s="170" t="s">
        <v>774</v>
      </c>
      <c r="D2445" s="170" t="s">
        <v>2067</v>
      </c>
      <c r="E2445" s="171" t="s">
        <v>21024</v>
      </c>
      <c r="F2445" s="171" t="s">
        <v>17141</v>
      </c>
      <c r="G2445" s="82"/>
      <c r="H2445" s="96">
        <f t="shared" si="152"/>
        <v>11.05</v>
      </c>
      <c r="I2445" s="96">
        <f t="shared" si="152"/>
        <v>11.09</v>
      </c>
      <c r="J2445" s="91" t="str">
        <f t="shared" si="153"/>
        <v>Sinapi 92773</v>
      </c>
      <c r="K2445" s="91" t="str">
        <f t="shared" si="154"/>
        <v>KG</v>
      </c>
      <c r="L2445" s="166" t="str">
        <f t="shared" si="155"/>
        <v>06/2022</v>
      </c>
      <c r="M2445" s="82"/>
      <c r="N2445" s="82"/>
    </row>
    <row r="2446" spans="1:14" x14ac:dyDescent="0.25">
      <c r="A2446" s="170" t="s">
        <v>5222</v>
      </c>
      <c r="B2446" s="170" t="s">
        <v>16440</v>
      </c>
      <c r="C2446" s="170" t="s">
        <v>774</v>
      </c>
      <c r="D2446" s="170" t="s">
        <v>2067</v>
      </c>
      <c r="E2446" s="171" t="s">
        <v>21908</v>
      </c>
      <c r="F2446" s="171" t="s">
        <v>16301</v>
      </c>
      <c r="G2446" s="82"/>
      <c r="H2446" s="96">
        <f t="shared" si="152"/>
        <v>12.83</v>
      </c>
      <c r="I2446" s="96">
        <f t="shared" si="152"/>
        <v>12.86</v>
      </c>
      <c r="J2446" s="91" t="str">
        <f t="shared" si="153"/>
        <v>Sinapi 92774</v>
      </c>
      <c r="K2446" s="91" t="str">
        <f t="shared" si="154"/>
        <v>KG</v>
      </c>
      <c r="L2446" s="166" t="str">
        <f t="shared" si="155"/>
        <v>06/2022</v>
      </c>
      <c r="M2446" s="82"/>
      <c r="N2446" s="82"/>
    </row>
    <row r="2447" spans="1:14" x14ac:dyDescent="0.25">
      <c r="A2447" s="170" t="s">
        <v>5227</v>
      </c>
      <c r="B2447" s="170" t="s">
        <v>16441</v>
      </c>
      <c r="C2447" s="170" t="s">
        <v>774</v>
      </c>
      <c r="D2447" s="170" t="s">
        <v>2067</v>
      </c>
      <c r="E2447" s="171" t="s">
        <v>5664</v>
      </c>
      <c r="F2447" s="171" t="s">
        <v>5664</v>
      </c>
      <c r="G2447" s="82"/>
      <c r="H2447" s="96">
        <f t="shared" si="152"/>
        <v>11.85</v>
      </c>
      <c r="I2447" s="96">
        <f t="shared" si="152"/>
        <v>11.85</v>
      </c>
      <c r="J2447" s="91" t="str">
        <f t="shared" si="153"/>
        <v>Sinapi 92798</v>
      </c>
      <c r="K2447" s="91" t="str">
        <f t="shared" si="154"/>
        <v>KG</v>
      </c>
      <c r="L2447" s="166" t="str">
        <f t="shared" si="155"/>
        <v>06/2022</v>
      </c>
      <c r="M2447" s="82"/>
      <c r="N2447" s="82"/>
    </row>
    <row r="2448" spans="1:14" x14ac:dyDescent="0.25">
      <c r="A2448" s="170" t="s">
        <v>5228</v>
      </c>
      <c r="B2448" s="170" t="s">
        <v>16442</v>
      </c>
      <c r="C2448" s="170" t="s">
        <v>774</v>
      </c>
      <c r="D2448" s="170" t="s">
        <v>2067</v>
      </c>
      <c r="E2448" s="171" t="s">
        <v>16304</v>
      </c>
      <c r="F2448" s="171" t="s">
        <v>17280</v>
      </c>
      <c r="G2448" s="82"/>
      <c r="H2448" s="96">
        <f t="shared" si="152"/>
        <v>13</v>
      </c>
      <c r="I2448" s="96">
        <f t="shared" si="152"/>
        <v>13.3</v>
      </c>
      <c r="J2448" s="91" t="str">
        <f t="shared" si="153"/>
        <v>Sinapi 92799</v>
      </c>
      <c r="K2448" s="91" t="str">
        <f t="shared" si="154"/>
        <v>KG</v>
      </c>
      <c r="L2448" s="166" t="str">
        <f t="shared" si="155"/>
        <v>06/2022</v>
      </c>
      <c r="M2448" s="82"/>
      <c r="N2448" s="82"/>
    </row>
    <row r="2449" spans="1:14" x14ac:dyDescent="0.25">
      <c r="A2449" s="170" t="s">
        <v>5229</v>
      </c>
      <c r="B2449" s="170" t="s">
        <v>16443</v>
      </c>
      <c r="C2449" s="170" t="s">
        <v>774</v>
      </c>
      <c r="D2449" s="170" t="s">
        <v>2067</v>
      </c>
      <c r="E2449" s="171" t="s">
        <v>19898</v>
      </c>
      <c r="F2449" s="171" t="s">
        <v>14350</v>
      </c>
      <c r="G2449" s="82"/>
      <c r="H2449" s="96">
        <f t="shared" si="152"/>
        <v>12.06</v>
      </c>
      <c r="I2449" s="96">
        <f t="shared" si="152"/>
        <v>12.24</v>
      </c>
      <c r="J2449" s="91" t="str">
        <f t="shared" si="153"/>
        <v>Sinapi 92800</v>
      </c>
      <c r="K2449" s="91" t="str">
        <f t="shared" si="154"/>
        <v>KG</v>
      </c>
      <c r="L2449" s="166" t="str">
        <f t="shared" si="155"/>
        <v>06/2022</v>
      </c>
      <c r="M2449" s="82"/>
      <c r="N2449" s="82"/>
    </row>
    <row r="2450" spans="1:14" x14ac:dyDescent="0.25">
      <c r="A2450" s="170" t="s">
        <v>5230</v>
      </c>
      <c r="B2450" s="170" t="s">
        <v>16444</v>
      </c>
      <c r="C2450" s="170" t="s">
        <v>774</v>
      </c>
      <c r="D2450" s="170" t="s">
        <v>2067</v>
      </c>
      <c r="E2450" s="171" t="s">
        <v>20136</v>
      </c>
      <c r="F2450" s="171" t="s">
        <v>22015</v>
      </c>
      <c r="G2450" s="82"/>
      <c r="H2450" s="96">
        <f t="shared" si="152"/>
        <v>12.54</v>
      </c>
      <c r="I2450" s="96">
        <f t="shared" si="152"/>
        <v>12.64</v>
      </c>
      <c r="J2450" s="91" t="str">
        <f t="shared" si="153"/>
        <v>Sinapi 92801</v>
      </c>
      <c r="K2450" s="91" t="str">
        <f t="shared" si="154"/>
        <v>KG</v>
      </c>
      <c r="L2450" s="166" t="str">
        <f t="shared" si="155"/>
        <v>06/2022</v>
      </c>
      <c r="M2450" s="82"/>
      <c r="N2450" s="82"/>
    </row>
    <row r="2451" spans="1:14" x14ac:dyDescent="0.25">
      <c r="A2451" s="170" t="s">
        <v>5231</v>
      </c>
      <c r="B2451" s="170" t="s">
        <v>16446</v>
      </c>
      <c r="C2451" s="170" t="s">
        <v>774</v>
      </c>
      <c r="D2451" s="170" t="s">
        <v>2067</v>
      </c>
      <c r="E2451" s="171" t="s">
        <v>28656</v>
      </c>
      <c r="F2451" s="171" t="s">
        <v>15652</v>
      </c>
      <c r="G2451" s="82"/>
      <c r="H2451" s="96">
        <f t="shared" si="152"/>
        <v>12.65</v>
      </c>
      <c r="I2451" s="96">
        <f t="shared" si="152"/>
        <v>12.7</v>
      </c>
      <c r="J2451" s="91" t="str">
        <f t="shared" si="153"/>
        <v>Sinapi 92802</v>
      </c>
      <c r="K2451" s="91" t="str">
        <f t="shared" si="154"/>
        <v>KG</v>
      </c>
      <c r="L2451" s="166" t="str">
        <f t="shared" si="155"/>
        <v>06/2022</v>
      </c>
      <c r="M2451" s="82"/>
      <c r="N2451" s="82"/>
    </row>
    <row r="2452" spans="1:14" x14ac:dyDescent="0.25">
      <c r="A2452" s="170" t="s">
        <v>5232</v>
      </c>
      <c r="B2452" s="170" t="s">
        <v>16447</v>
      </c>
      <c r="C2452" s="170" t="s">
        <v>774</v>
      </c>
      <c r="D2452" s="170" t="s">
        <v>2067</v>
      </c>
      <c r="E2452" s="171" t="s">
        <v>11614</v>
      </c>
      <c r="F2452" s="171" t="s">
        <v>19911</v>
      </c>
      <c r="G2452" s="82"/>
      <c r="H2452" s="96">
        <f t="shared" si="152"/>
        <v>11.76</v>
      </c>
      <c r="I2452" s="96">
        <f t="shared" si="152"/>
        <v>11.78</v>
      </c>
      <c r="J2452" s="91" t="str">
        <f t="shared" si="153"/>
        <v>Sinapi 92803</v>
      </c>
      <c r="K2452" s="91" t="str">
        <f t="shared" si="154"/>
        <v>KG</v>
      </c>
      <c r="L2452" s="166" t="str">
        <f t="shared" si="155"/>
        <v>06/2022</v>
      </c>
      <c r="M2452" s="82"/>
      <c r="N2452" s="82"/>
    </row>
    <row r="2453" spans="1:14" x14ac:dyDescent="0.25">
      <c r="A2453" s="170" t="s">
        <v>5234</v>
      </c>
      <c r="B2453" s="170" t="s">
        <v>16448</v>
      </c>
      <c r="C2453" s="170" t="s">
        <v>774</v>
      </c>
      <c r="D2453" s="170" t="s">
        <v>2067</v>
      </c>
      <c r="E2453" s="171" t="s">
        <v>32899</v>
      </c>
      <c r="F2453" s="171" t="s">
        <v>21453</v>
      </c>
      <c r="G2453" s="82"/>
      <c r="H2453" s="96">
        <f t="shared" si="152"/>
        <v>10.11</v>
      </c>
      <c r="I2453" s="96">
        <f t="shared" si="152"/>
        <v>10.119999999999999</v>
      </c>
      <c r="J2453" s="91" t="str">
        <f t="shared" si="153"/>
        <v>Sinapi 92804</v>
      </c>
      <c r="K2453" s="91" t="str">
        <f t="shared" si="154"/>
        <v>KG</v>
      </c>
      <c r="L2453" s="166" t="str">
        <f t="shared" si="155"/>
        <v>06/2022</v>
      </c>
      <c r="M2453" s="82"/>
      <c r="N2453" s="82"/>
    </row>
    <row r="2454" spans="1:14" x14ac:dyDescent="0.25">
      <c r="A2454" s="170" t="s">
        <v>5235</v>
      </c>
      <c r="B2454" s="170" t="s">
        <v>16449</v>
      </c>
      <c r="C2454" s="170" t="s">
        <v>774</v>
      </c>
      <c r="D2454" s="170" t="s">
        <v>2067</v>
      </c>
      <c r="E2454" s="171" t="s">
        <v>14675</v>
      </c>
      <c r="F2454" s="171" t="s">
        <v>14349</v>
      </c>
      <c r="G2454" s="82"/>
      <c r="H2454" s="96">
        <f t="shared" si="152"/>
        <v>10.039999999999999</v>
      </c>
      <c r="I2454" s="96">
        <f t="shared" si="152"/>
        <v>10.050000000000001</v>
      </c>
      <c r="J2454" s="91" t="str">
        <f t="shared" si="153"/>
        <v>Sinapi 92805</v>
      </c>
      <c r="K2454" s="91" t="str">
        <f t="shared" si="154"/>
        <v>KG</v>
      </c>
      <c r="L2454" s="166" t="str">
        <f t="shared" si="155"/>
        <v>06/2022</v>
      </c>
      <c r="M2454" s="82"/>
      <c r="N2454" s="82"/>
    </row>
    <row r="2455" spans="1:14" x14ac:dyDescent="0.25">
      <c r="A2455" s="170" t="s">
        <v>5236</v>
      </c>
      <c r="B2455" s="170" t="s">
        <v>16450</v>
      </c>
      <c r="C2455" s="170" t="s">
        <v>774</v>
      </c>
      <c r="D2455" s="170" t="s">
        <v>2067</v>
      </c>
      <c r="E2455" s="171" t="s">
        <v>13648</v>
      </c>
      <c r="F2455" s="171" t="s">
        <v>13648</v>
      </c>
      <c r="G2455" s="82"/>
      <c r="H2455" s="96">
        <f t="shared" si="152"/>
        <v>11.86</v>
      </c>
      <c r="I2455" s="96">
        <f t="shared" si="152"/>
        <v>11.86</v>
      </c>
      <c r="J2455" s="91" t="str">
        <f t="shared" si="153"/>
        <v>Sinapi 92806</v>
      </c>
      <c r="K2455" s="91" t="str">
        <f t="shared" si="154"/>
        <v>KG</v>
      </c>
      <c r="L2455" s="166" t="str">
        <f t="shared" si="155"/>
        <v>06/2022</v>
      </c>
      <c r="M2455" s="82"/>
      <c r="N2455" s="82"/>
    </row>
    <row r="2456" spans="1:14" x14ac:dyDescent="0.25">
      <c r="A2456" s="170" t="s">
        <v>5237</v>
      </c>
      <c r="B2456" s="170" t="s">
        <v>16451</v>
      </c>
      <c r="C2456" s="170" t="s">
        <v>774</v>
      </c>
      <c r="D2456" s="170" t="s">
        <v>2067</v>
      </c>
      <c r="E2456" s="171" t="s">
        <v>11614</v>
      </c>
      <c r="F2456" s="171" t="s">
        <v>22095</v>
      </c>
      <c r="G2456" s="82"/>
      <c r="H2456" s="96">
        <f t="shared" si="152"/>
        <v>11.76</v>
      </c>
      <c r="I2456" s="96">
        <f t="shared" si="152"/>
        <v>11.89</v>
      </c>
      <c r="J2456" s="91" t="str">
        <f t="shared" si="153"/>
        <v>Sinapi 92875</v>
      </c>
      <c r="K2456" s="91" t="str">
        <f t="shared" si="154"/>
        <v>KG</v>
      </c>
      <c r="L2456" s="166" t="str">
        <f t="shared" si="155"/>
        <v>06/2022</v>
      </c>
      <c r="M2456" s="82"/>
      <c r="N2456" s="82"/>
    </row>
    <row r="2457" spans="1:14" x14ac:dyDescent="0.25">
      <c r="A2457" s="170" t="s">
        <v>5239</v>
      </c>
      <c r="B2457" s="170" t="s">
        <v>16452</v>
      </c>
      <c r="C2457" s="170" t="s">
        <v>774</v>
      </c>
      <c r="D2457" s="170" t="s">
        <v>2067</v>
      </c>
      <c r="E2457" s="171" t="s">
        <v>23316</v>
      </c>
      <c r="F2457" s="171" t="s">
        <v>19974</v>
      </c>
      <c r="G2457" s="82"/>
      <c r="H2457" s="96">
        <f t="shared" si="152"/>
        <v>11.64</v>
      </c>
      <c r="I2457" s="96">
        <f t="shared" si="152"/>
        <v>11.72</v>
      </c>
      <c r="J2457" s="91" t="str">
        <f t="shared" si="153"/>
        <v>Sinapi 92876</v>
      </c>
      <c r="K2457" s="91" t="str">
        <f t="shared" si="154"/>
        <v>KG</v>
      </c>
      <c r="L2457" s="166" t="str">
        <f t="shared" si="155"/>
        <v>06/2022</v>
      </c>
      <c r="M2457" s="82"/>
      <c r="N2457" s="82"/>
    </row>
    <row r="2458" spans="1:14" x14ac:dyDescent="0.25">
      <c r="A2458" s="170" t="s">
        <v>5240</v>
      </c>
      <c r="B2458" s="170" t="s">
        <v>16453</v>
      </c>
      <c r="C2458" s="170" t="s">
        <v>774</v>
      </c>
      <c r="D2458" s="170" t="s">
        <v>2067</v>
      </c>
      <c r="E2458" s="171" t="s">
        <v>15652</v>
      </c>
      <c r="F2458" s="171" t="s">
        <v>16289</v>
      </c>
      <c r="G2458" s="82"/>
      <c r="H2458" s="96">
        <f t="shared" si="152"/>
        <v>12.7</v>
      </c>
      <c r="I2458" s="96">
        <f t="shared" si="152"/>
        <v>12.74</v>
      </c>
      <c r="J2458" s="91" t="str">
        <f t="shared" si="153"/>
        <v>Sinapi 92877</v>
      </c>
      <c r="K2458" s="91" t="str">
        <f t="shared" si="154"/>
        <v>KG</v>
      </c>
      <c r="L2458" s="166" t="str">
        <f t="shared" si="155"/>
        <v>06/2022</v>
      </c>
      <c r="M2458" s="82"/>
      <c r="N2458" s="82"/>
    </row>
    <row r="2459" spans="1:14" x14ac:dyDescent="0.25">
      <c r="A2459" s="170" t="s">
        <v>5241</v>
      </c>
      <c r="B2459" s="170" t="s">
        <v>16454</v>
      </c>
      <c r="C2459" s="170" t="s">
        <v>774</v>
      </c>
      <c r="D2459" s="170" t="s">
        <v>2067</v>
      </c>
      <c r="E2459" s="171" t="s">
        <v>18539</v>
      </c>
      <c r="F2459" s="171" t="s">
        <v>19345</v>
      </c>
      <c r="G2459" s="82"/>
      <c r="H2459" s="96">
        <f t="shared" si="152"/>
        <v>12.55</v>
      </c>
      <c r="I2459" s="96">
        <f t="shared" si="152"/>
        <v>12.57</v>
      </c>
      <c r="J2459" s="91" t="str">
        <f t="shared" si="153"/>
        <v>Sinapi 92878</v>
      </c>
      <c r="K2459" s="91" t="str">
        <f t="shared" si="154"/>
        <v>KG</v>
      </c>
      <c r="L2459" s="166" t="str">
        <f t="shared" si="155"/>
        <v>06/2022</v>
      </c>
      <c r="M2459" s="82"/>
      <c r="N2459" s="82"/>
    </row>
    <row r="2460" spans="1:14" x14ac:dyDescent="0.25">
      <c r="A2460" s="170" t="s">
        <v>5243</v>
      </c>
      <c r="B2460" s="170" t="s">
        <v>16455</v>
      </c>
      <c r="C2460" s="170" t="s">
        <v>774</v>
      </c>
      <c r="D2460" s="170" t="s">
        <v>2067</v>
      </c>
      <c r="E2460" s="171" t="s">
        <v>20035</v>
      </c>
      <c r="F2460" s="171" t="s">
        <v>15631</v>
      </c>
      <c r="G2460" s="82"/>
      <c r="H2460" s="96">
        <f t="shared" si="152"/>
        <v>12.46</v>
      </c>
      <c r="I2460" s="96">
        <f t="shared" si="152"/>
        <v>12.47</v>
      </c>
      <c r="J2460" s="91" t="str">
        <f t="shared" si="153"/>
        <v>Sinapi 92879</v>
      </c>
      <c r="K2460" s="91" t="str">
        <f t="shared" si="154"/>
        <v>KG</v>
      </c>
      <c r="L2460" s="166" t="str">
        <f t="shared" si="155"/>
        <v>06/2022</v>
      </c>
      <c r="M2460" s="82"/>
      <c r="N2460" s="82"/>
    </row>
    <row r="2461" spans="1:14" x14ac:dyDescent="0.25">
      <c r="A2461" s="170" t="s">
        <v>5244</v>
      </c>
      <c r="B2461" s="170" t="s">
        <v>16456</v>
      </c>
      <c r="C2461" s="170" t="s">
        <v>774</v>
      </c>
      <c r="D2461" s="170" t="s">
        <v>2067</v>
      </c>
      <c r="E2461" s="171" t="s">
        <v>5036</v>
      </c>
      <c r="F2461" s="171" t="s">
        <v>21367</v>
      </c>
      <c r="G2461" s="82"/>
      <c r="H2461" s="96">
        <f t="shared" si="152"/>
        <v>12.76</v>
      </c>
      <c r="I2461" s="96">
        <f t="shared" si="152"/>
        <v>12.77</v>
      </c>
      <c r="J2461" s="91" t="str">
        <f t="shared" si="153"/>
        <v>Sinapi 92880</v>
      </c>
      <c r="K2461" s="91" t="str">
        <f t="shared" si="154"/>
        <v>KG</v>
      </c>
      <c r="L2461" s="166" t="str">
        <f t="shared" si="155"/>
        <v>06/2022</v>
      </c>
      <c r="M2461" s="82"/>
      <c r="N2461" s="82"/>
    </row>
    <row r="2462" spans="1:14" x14ac:dyDescent="0.25">
      <c r="A2462" s="170" t="s">
        <v>5245</v>
      </c>
      <c r="B2462" s="170" t="s">
        <v>16457</v>
      </c>
      <c r="C2462" s="170" t="s">
        <v>774</v>
      </c>
      <c r="D2462" s="170" t="s">
        <v>2067</v>
      </c>
      <c r="E2462" s="171" t="s">
        <v>16289</v>
      </c>
      <c r="F2462" s="171" t="s">
        <v>16289</v>
      </c>
      <c r="G2462" s="82"/>
      <c r="H2462" s="96">
        <f t="shared" si="152"/>
        <v>12.74</v>
      </c>
      <c r="I2462" s="96">
        <f t="shared" si="152"/>
        <v>12.74</v>
      </c>
      <c r="J2462" s="91" t="str">
        <f t="shared" si="153"/>
        <v>Sinapi 92881</v>
      </c>
      <c r="K2462" s="91" t="str">
        <f t="shared" si="154"/>
        <v>KG</v>
      </c>
      <c r="L2462" s="166" t="str">
        <f t="shared" si="155"/>
        <v>06/2022</v>
      </c>
      <c r="M2462" s="82"/>
      <c r="N2462" s="82"/>
    </row>
    <row r="2463" spans="1:14" x14ac:dyDescent="0.25">
      <c r="A2463" s="170" t="s">
        <v>5246</v>
      </c>
      <c r="B2463" s="170" t="s">
        <v>16458</v>
      </c>
      <c r="C2463" s="170" t="s">
        <v>774</v>
      </c>
      <c r="D2463" s="170" t="s">
        <v>1947</v>
      </c>
      <c r="E2463" s="171" t="s">
        <v>14320</v>
      </c>
      <c r="F2463" s="171" t="s">
        <v>19298</v>
      </c>
      <c r="G2463" s="82"/>
      <c r="H2463" s="96">
        <f t="shared" si="152"/>
        <v>15.2</v>
      </c>
      <c r="I2463" s="96">
        <f t="shared" si="152"/>
        <v>15.61</v>
      </c>
      <c r="J2463" s="91" t="str">
        <f t="shared" si="153"/>
        <v>Sinapi 92882</v>
      </c>
      <c r="K2463" s="91" t="str">
        <f t="shared" si="154"/>
        <v>KG</v>
      </c>
      <c r="L2463" s="166" t="str">
        <f t="shared" si="155"/>
        <v>06/2022</v>
      </c>
      <c r="M2463" s="82"/>
      <c r="N2463" s="82"/>
    </row>
    <row r="2464" spans="1:14" x14ac:dyDescent="0.25">
      <c r="A2464" s="170" t="s">
        <v>5247</v>
      </c>
      <c r="B2464" s="170" t="s">
        <v>16459</v>
      </c>
      <c r="C2464" s="170" t="s">
        <v>774</v>
      </c>
      <c r="D2464" s="170" t="s">
        <v>1947</v>
      </c>
      <c r="E2464" s="171" t="s">
        <v>17296</v>
      </c>
      <c r="F2464" s="171" t="s">
        <v>34242</v>
      </c>
      <c r="G2464" s="82"/>
      <c r="H2464" s="96">
        <f t="shared" si="152"/>
        <v>14.38</v>
      </c>
      <c r="I2464" s="96">
        <f t="shared" si="152"/>
        <v>14.68</v>
      </c>
      <c r="J2464" s="91" t="str">
        <f t="shared" si="153"/>
        <v>Sinapi 92883</v>
      </c>
      <c r="K2464" s="91" t="str">
        <f t="shared" si="154"/>
        <v>KG</v>
      </c>
      <c r="L2464" s="166" t="str">
        <f t="shared" si="155"/>
        <v>06/2022</v>
      </c>
      <c r="M2464" s="82"/>
      <c r="N2464" s="82"/>
    </row>
    <row r="2465" spans="1:14" x14ac:dyDescent="0.25">
      <c r="A2465" s="170" t="s">
        <v>5248</v>
      </c>
      <c r="B2465" s="170" t="s">
        <v>16460</v>
      </c>
      <c r="C2465" s="170" t="s">
        <v>774</v>
      </c>
      <c r="D2465" s="170" t="s">
        <v>1947</v>
      </c>
      <c r="E2465" s="171" t="s">
        <v>20363</v>
      </c>
      <c r="F2465" s="171" t="s">
        <v>15544</v>
      </c>
      <c r="G2465" s="82"/>
      <c r="H2465" s="96">
        <f t="shared" si="152"/>
        <v>14.9</v>
      </c>
      <c r="I2465" s="96">
        <f t="shared" si="152"/>
        <v>15.11</v>
      </c>
      <c r="J2465" s="91" t="str">
        <f t="shared" si="153"/>
        <v>Sinapi 92884</v>
      </c>
      <c r="K2465" s="91" t="str">
        <f t="shared" si="154"/>
        <v>KG</v>
      </c>
      <c r="L2465" s="166" t="str">
        <f t="shared" si="155"/>
        <v>06/2022</v>
      </c>
      <c r="M2465" s="82"/>
      <c r="N2465" s="82"/>
    </row>
    <row r="2466" spans="1:14" x14ac:dyDescent="0.25">
      <c r="A2466" s="170" t="s">
        <v>5249</v>
      </c>
      <c r="B2466" s="170" t="s">
        <v>16461</v>
      </c>
      <c r="C2466" s="170" t="s">
        <v>774</v>
      </c>
      <c r="D2466" s="170" t="s">
        <v>1947</v>
      </c>
      <c r="E2466" s="171" t="s">
        <v>13767</v>
      </c>
      <c r="F2466" s="171" t="s">
        <v>17355</v>
      </c>
      <c r="G2466" s="82"/>
      <c r="H2466" s="96">
        <f t="shared" si="152"/>
        <v>14.34</v>
      </c>
      <c r="I2466" s="96">
        <f t="shared" si="152"/>
        <v>14.49</v>
      </c>
      <c r="J2466" s="91" t="str">
        <f t="shared" si="153"/>
        <v>Sinapi 92885</v>
      </c>
      <c r="K2466" s="91" t="str">
        <f t="shared" si="154"/>
        <v>KG</v>
      </c>
      <c r="L2466" s="166" t="str">
        <f t="shared" si="155"/>
        <v>06/2022</v>
      </c>
      <c r="M2466" s="82"/>
      <c r="N2466" s="82"/>
    </row>
    <row r="2467" spans="1:14" x14ac:dyDescent="0.25">
      <c r="A2467" s="170" t="s">
        <v>5250</v>
      </c>
      <c r="B2467" s="170" t="s">
        <v>16462</v>
      </c>
      <c r="C2467" s="170" t="s">
        <v>774</v>
      </c>
      <c r="D2467" s="170" t="s">
        <v>1947</v>
      </c>
      <c r="E2467" s="171" t="s">
        <v>19307</v>
      </c>
      <c r="F2467" s="171" t="s">
        <v>29382</v>
      </c>
      <c r="G2467" s="82"/>
      <c r="H2467" s="96">
        <f t="shared" si="152"/>
        <v>13.88</v>
      </c>
      <c r="I2467" s="96">
        <f t="shared" si="152"/>
        <v>13.97</v>
      </c>
      <c r="J2467" s="91" t="str">
        <f t="shared" si="153"/>
        <v>Sinapi 92886</v>
      </c>
      <c r="K2467" s="91" t="str">
        <f t="shared" si="154"/>
        <v>KG</v>
      </c>
      <c r="L2467" s="166" t="str">
        <f t="shared" si="155"/>
        <v>06/2022</v>
      </c>
      <c r="M2467" s="82"/>
      <c r="N2467" s="82"/>
    </row>
    <row r="2468" spans="1:14" x14ac:dyDescent="0.25">
      <c r="A2468" s="170" t="s">
        <v>5251</v>
      </c>
      <c r="B2468" s="170" t="s">
        <v>16463</v>
      </c>
      <c r="C2468" s="170" t="s">
        <v>774</v>
      </c>
      <c r="D2468" s="170" t="s">
        <v>1947</v>
      </c>
      <c r="E2468" s="171" t="s">
        <v>14781</v>
      </c>
      <c r="F2468" s="171" t="s">
        <v>11606</v>
      </c>
      <c r="G2468" s="82"/>
      <c r="H2468" s="96">
        <f t="shared" si="152"/>
        <v>13.92</v>
      </c>
      <c r="I2468" s="96">
        <f t="shared" si="152"/>
        <v>13.99</v>
      </c>
      <c r="J2468" s="91" t="str">
        <f t="shared" si="153"/>
        <v>Sinapi 92887</v>
      </c>
      <c r="K2468" s="91" t="str">
        <f t="shared" si="154"/>
        <v>KG</v>
      </c>
      <c r="L2468" s="166" t="str">
        <f t="shared" si="155"/>
        <v>06/2022</v>
      </c>
      <c r="M2468" s="82"/>
      <c r="N2468" s="82"/>
    </row>
    <row r="2469" spans="1:14" x14ac:dyDescent="0.25">
      <c r="A2469" s="170" t="s">
        <v>5252</v>
      </c>
      <c r="B2469" s="170" t="s">
        <v>16464</v>
      </c>
      <c r="C2469" s="170" t="s">
        <v>774</v>
      </c>
      <c r="D2469" s="170" t="s">
        <v>2067</v>
      </c>
      <c r="E2469" s="171" t="s">
        <v>15628</v>
      </c>
      <c r="F2469" s="171" t="s">
        <v>17941</v>
      </c>
      <c r="G2469" s="82"/>
      <c r="H2469" s="96">
        <f t="shared" si="152"/>
        <v>13.69</v>
      </c>
      <c r="I2469" s="96">
        <f t="shared" si="152"/>
        <v>13.73</v>
      </c>
      <c r="J2469" s="91" t="str">
        <f t="shared" si="153"/>
        <v>Sinapi 92888</v>
      </c>
      <c r="K2469" s="91" t="str">
        <f t="shared" si="154"/>
        <v>KG</v>
      </c>
      <c r="L2469" s="166" t="str">
        <f t="shared" si="155"/>
        <v>06/2022</v>
      </c>
      <c r="M2469" s="82"/>
      <c r="N2469" s="82"/>
    </row>
    <row r="2470" spans="1:14" x14ac:dyDescent="0.25">
      <c r="A2470" s="170" t="s">
        <v>5253</v>
      </c>
      <c r="B2470" s="170" t="s">
        <v>16465</v>
      </c>
      <c r="C2470" s="170" t="s">
        <v>774</v>
      </c>
      <c r="D2470" s="170" t="s">
        <v>1947</v>
      </c>
      <c r="E2470" s="171" t="s">
        <v>30688</v>
      </c>
      <c r="F2470" s="171" t="s">
        <v>23055</v>
      </c>
      <c r="G2470" s="82"/>
      <c r="H2470" s="96">
        <f t="shared" si="152"/>
        <v>18.190000000000001</v>
      </c>
      <c r="I2470" s="96">
        <f t="shared" si="152"/>
        <v>18.97</v>
      </c>
      <c r="J2470" s="91" t="str">
        <f t="shared" si="153"/>
        <v>Sinapi 92915</v>
      </c>
      <c r="K2470" s="91" t="str">
        <f t="shared" si="154"/>
        <v>KG</v>
      </c>
      <c r="L2470" s="166" t="str">
        <f t="shared" si="155"/>
        <v>06/2022</v>
      </c>
      <c r="M2470" s="82"/>
      <c r="N2470" s="82"/>
    </row>
    <row r="2471" spans="1:14" x14ac:dyDescent="0.25">
      <c r="A2471" s="170" t="s">
        <v>5254</v>
      </c>
      <c r="B2471" s="170" t="s">
        <v>16466</v>
      </c>
      <c r="C2471" s="170" t="s">
        <v>774</v>
      </c>
      <c r="D2471" s="170" t="s">
        <v>1947</v>
      </c>
      <c r="E2471" s="171" t="s">
        <v>15712</v>
      </c>
      <c r="F2471" s="171" t="s">
        <v>33070</v>
      </c>
      <c r="G2471" s="82"/>
      <c r="H2471" s="96">
        <f t="shared" si="152"/>
        <v>17.260000000000002</v>
      </c>
      <c r="I2471" s="96">
        <f t="shared" si="152"/>
        <v>17.8</v>
      </c>
      <c r="J2471" s="91" t="str">
        <f t="shared" si="153"/>
        <v>Sinapi 92916</v>
      </c>
      <c r="K2471" s="91" t="str">
        <f t="shared" si="154"/>
        <v>KG</v>
      </c>
      <c r="L2471" s="166" t="str">
        <f t="shared" si="155"/>
        <v>06/2022</v>
      </c>
      <c r="M2471" s="82"/>
      <c r="N2471" s="82"/>
    </row>
    <row r="2472" spans="1:14" x14ac:dyDescent="0.25">
      <c r="A2472" s="170" t="s">
        <v>5255</v>
      </c>
      <c r="B2472" s="170" t="s">
        <v>16467</v>
      </c>
      <c r="C2472" s="170" t="s">
        <v>774</v>
      </c>
      <c r="D2472" s="170" t="s">
        <v>1947</v>
      </c>
      <c r="E2472" s="171" t="s">
        <v>12889</v>
      </c>
      <c r="F2472" s="171" t="s">
        <v>20094</v>
      </c>
      <c r="G2472" s="82"/>
      <c r="H2472" s="96">
        <f t="shared" si="152"/>
        <v>16.21</v>
      </c>
      <c r="I2472" s="96">
        <f t="shared" si="152"/>
        <v>16.579999999999998</v>
      </c>
      <c r="J2472" s="91" t="str">
        <f t="shared" si="153"/>
        <v>Sinapi 92917</v>
      </c>
      <c r="K2472" s="91" t="str">
        <f t="shared" si="154"/>
        <v>KG</v>
      </c>
      <c r="L2472" s="166" t="str">
        <f t="shared" si="155"/>
        <v>06/2022</v>
      </c>
      <c r="M2472" s="82"/>
      <c r="N2472" s="82"/>
    </row>
    <row r="2473" spans="1:14" x14ac:dyDescent="0.25">
      <c r="A2473" s="170" t="s">
        <v>5256</v>
      </c>
      <c r="B2473" s="170" t="s">
        <v>16468</v>
      </c>
      <c r="C2473" s="170" t="s">
        <v>774</v>
      </c>
      <c r="D2473" s="170" t="s">
        <v>1947</v>
      </c>
      <c r="E2473" s="171" t="s">
        <v>19895</v>
      </c>
      <c r="F2473" s="171" t="s">
        <v>18567</v>
      </c>
      <c r="G2473" s="82"/>
      <c r="H2473" s="96">
        <f t="shared" si="152"/>
        <v>14.46</v>
      </c>
      <c r="I2473" s="96">
        <f t="shared" si="152"/>
        <v>14.7</v>
      </c>
      <c r="J2473" s="91" t="str">
        <f t="shared" si="153"/>
        <v>Sinapi 92919</v>
      </c>
      <c r="K2473" s="91" t="str">
        <f t="shared" si="154"/>
        <v>KG</v>
      </c>
      <c r="L2473" s="166" t="str">
        <f t="shared" si="155"/>
        <v>06/2022</v>
      </c>
      <c r="M2473" s="82"/>
      <c r="N2473" s="82"/>
    </row>
    <row r="2474" spans="1:14" x14ac:dyDescent="0.25">
      <c r="A2474" s="170" t="s">
        <v>5257</v>
      </c>
      <c r="B2474" s="170" t="s">
        <v>16469</v>
      </c>
      <c r="C2474" s="170" t="s">
        <v>774</v>
      </c>
      <c r="D2474" s="170" t="s">
        <v>1947</v>
      </c>
      <c r="E2474" s="171" t="s">
        <v>11275</v>
      </c>
      <c r="F2474" s="171" t="s">
        <v>20465</v>
      </c>
      <c r="G2474" s="82"/>
      <c r="H2474" s="96">
        <f t="shared" si="152"/>
        <v>12.12</v>
      </c>
      <c r="I2474" s="96">
        <f t="shared" si="152"/>
        <v>12.27</v>
      </c>
      <c r="J2474" s="91" t="str">
        <f t="shared" si="153"/>
        <v>Sinapi 92921</v>
      </c>
      <c r="K2474" s="91" t="str">
        <f t="shared" si="154"/>
        <v>KG</v>
      </c>
      <c r="L2474" s="166" t="str">
        <f t="shared" si="155"/>
        <v>06/2022</v>
      </c>
      <c r="M2474" s="82"/>
      <c r="N2474" s="82"/>
    </row>
    <row r="2475" spans="1:14" x14ac:dyDescent="0.25">
      <c r="A2475" s="170" t="s">
        <v>5258</v>
      </c>
      <c r="B2475" s="170" t="s">
        <v>16470</v>
      </c>
      <c r="C2475" s="170" t="s">
        <v>774</v>
      </c>
      <c r="D2475" s="170" t="s">
        <v>1947</v>
      </c>
      <c r="E2475" s="171" t="s">
        <v>17278</v>
      </c>
      <c r="F2475" s="171" t="s">
        <v>7328</v>
      </c>
      <c r="G2475" s="82"/>
      <c r="H2475" s="96">
        <f t="shared" si="152"/>
        <v>11.7</v>
      </c>
      <c r="I2475" s="96">
        <f t="shared" si="152"/>
        <v>11.82</v>
      </c>
      <c r="J2475" s="91" t="str">
        <f t="shared" si="153"/>
        <v>Sinapi 92922</v>
      </c>
      <c r="K2475" s="91" t="str">
        <f t="shared" si="154"/>
        <v>KG</v>
      </c>
      <c r="L2475" s="166" t="str">
        <f t="shared" si="155"/>
        <v>06/2022</v>
      </c>
      <c r="M2475" s="82"/>
      <c r="N2475" s="82"/>
    </row>
    <row r="2476" spans="1:14" x14ac:dyDescent="0.25">
      <c r="A2476" s="170" t="s">
        <v>5259</v>
      </c>
      <c r="B2476" s="170" t="s">
        <v>16471</v>
      </c>
      <c r="C2476" s="170" t="s">
        <v>774</v>
      </c>
      <c r="D2476" s="170" t="s">
        <v>1947</v>
      </c>
      <c r="E2476" s="171" t="s">
        <v>25202</v>
      </c>
      <c r="F2476" s="171" t="s">
        <v>10273</v>
      </c>
      <c r="G2476" s="82"/>
      <c r="H2476" s="96">
        <f t="shared" si="152"/>
        <v>13.29</v>
      </c>
      <c r="I2476" s="96">
        <f t="shared" si="152"/>
        <v>13.38</v>
      </c>
      <c r="J2476" s="91" t="str">
        <f t="shared" si="153"/>
        <v>Sinapi 92923</v>
      </c>
      <c r="K2476" s="91" t="str">
        <f t="shared" si="154"/>
        <v>KG</v>
      </c>
      <c r="L2476" s="166" t="str">
        <f t="shared" si="155"/>
        <v>06/2022</v>
      </c>
      <c r="M2476" s="82"/>
      <c r="N2476" s="82"/>
    </row>
    <row r="2477" spans="1:14" x14ac:dyDescent="0.25">
      <c r="A2477" s="170" t="s">
        <v>5260</v>
      </c>
      <c r="B2477" s="170" t="s">
        <v>16472</v>
      </c>
      <c r="C2477" s="170" t="s">
        <v>774</v>
      </c>
      <c r="D2477" s="170" t="s">
        <v>1947</v>
      </c>
      <c r="E2477" s="171" t="s">
        <v>19883</v>
      </c>
      <c r="F2477" s="171" t="s">
        <v>21558</v>
      </c>
      <c r="G2477" s="82"/>
      <c r="H2477" s="96">
        <f t="shared" si="152"/>
        <v>13.12</v>
      </c>
      <c r="I2477" s="96">
        <f t="shared" si="152"/>
        <v>13.18</v>
      </c>
      <c r="J2477" s="91" t="str">
        <f t="shared" si="153"/>
        <v>Sinapi 92924</v>
      </c>
      <c r="K2477" s="91" t="str">
        <f t="shared" si="154"/>
        <v>KG</v>
      </c>
      <c r="L2477" s="166" t="str">
        <f t="shared" si="155"/>
        <v>06/2022</v>
      </c>
      <c r="M2477" s="82"/>
      <c r="N2477" s="82"/>
    </row>
    <row r="2478" spans="1:14" x14ac:dyDescent="0.25">
      <c r="A2478" s="170" t="s">
        <v>5264</v>
      </c>
      <c r="B2478" s="170" t="s">
        <v>16473</v>
      </c>
      <c r="C2478" s="170" t="s">
        <v>774</v>
      </c>
      <c r="D2478" s="170" t="s">
        <v>2067</v>
      </c>
      <c r="E2478" s="171" t="s">
        <v>16304</v>
      </c>
      <c r="F2478" s="171" t="s">
        <v>16304</v>
      </c>
      <c r="G2478" s="82"/>
      <c r="H2478" s="96">
        <f t="shared" si="152"/>
        <v>13</v>
      </c>
      <c r="I2478" s="96">
        <f t="shared" si="152"/>
        <v>13</v>
      </c>
      <c r="J2478" s="91" t="str">
        <f t="shared" si="153"/>
        <v>Sinapi 95448</v>
      </c>
      <c r="K2478" s="91" t="str">
        <f t="shared" si="154"/>
        <v>KG</v>
      </c>
      <c r="L2478" s="166" t="str">
        <f t="shared" si="155"/>
        <v>06/2022</v>
      </c>
      <c r="M2478" s="82"/>
      <c r="N2478" s="82"/>
    </row>
    <row r="2479" spans="1:14" x14ac:dyDescent="0.25">
      <c r="A2479" s="170" t="s">
        <v>5265</v>
      </c>
      <c r="B2479" s="170" t="s">
        <v>18111</v>
      </c>
      <c r="C2479" s="170" t="s">
        <v>774</v>
      </c>
      <c r="D2479" s="170" t="s">
        <v>1947</v>
      </c>
      <c r="E2479" s="171" t="s">
        <v>6486</v>
      </c>
      <c r="F2479" s="171" t="s">
        <v>6783</v>
      </c>
      <c r="G2479" s="82"/>
      <c r="H2479" s="96">
        <f t="shared" si="152"/>
        <v>15.12</v>
      </c>
      <c r="I2479" s="96">
        <f t="shared" si="152"/>
        <v>15.37</v>
      </c>
      <c r="J2479" s="91" t="str">
        <f t="shared" si="153"/>
        <v>Sinapi 95576</v>
      </c>
      <c r="K2479" s="91" t="str">
        <f t="shared" si="154"/>
        <v>KG</v>
      </c>
      <c r="L2479" s="166" t="str">
        <f t="shared" si="155"/>
        <v>09/2021</v>
      </c>
      <c r="M2479" s="82"/>
      <c r="N2479" s="82"/>
    </row>
    <row r="2480" spans="1:14" x14ac:dyDescent="0.25">
      <c r="A2480" s="170" t="s">
        <v>5266</v>
      </c>
      <c r="B2480" s="170" t="s">
        <v>18112</v>
      </c>
      <c r="C2480" s="170" t="s">
        <v>774</v>
      </c>
      <c r="D2480" s="170" t="s">
        <v>1947</v>
      </c>
      <c r="E2480" s="171" t="s">
        <v>13581</v>
      </c>
      <c r="F2480" s="171" t="s">
        <v>22865</v>
      </c>
      <c r="G2480" s="82"/>
      <c r="H2480" s="96">
        <f t="shared" si="152"/>
        <v>13.25</v>
      </c>
      <c r="I2480" s="96">
        <f t="shared" si="152"/>
        <v>13.37</v>
      </c>
      <c r="J2480" s="91" t="str">
        <f t="shared" si="153"/>
        <v>Sinapi 95577</v>
      </c>
      <c r="K2480" s="91" t="str">
        <f t="shared" si="154"/>
        <v>KG</v>
      </c>
      <c r="L2480" s="166" t="str">
        <f t="shared" si="155"/>
        <v>09/2021</v>
      </c>
      <c r="M2480" s="82"/>
      <c r="N2480" s="82"/>
    </row>
    <row r="2481" spans="1:14" x14ac:dyDescent="0.25">
      <c r="A2481" s="170" t="s">
        <v>5268</v>
      </c>
      <c r="B2481" s="170" t="s">
        <v>18113</v>
      </c>
      <c r="C2481" s="170" t="s">
        <v>774</v>
      </c>
      <c r="D2481" s="170" t="s">
        <v>1947</v>
      </c>
      <c r="E2481" s="171" t="s">
        <v>11607</v>
      </c>
      <c r="F2481" s="171" t="s">
        <v>14929</v>
      </c>
      <c r="G2481" s="82"/>
      <c r="H2481" s="96">
        <f t="shared" si="152"/>
        <v>11.19</v>
      </c>
      <c r="I2481" s="96">
        <f t="shared" si="152"/>
        <v>11.25</v>
      </c>
      <c r="J2481" s="91" t="str">
        <f t="shared" si="153"/>
        <v>Sinapi 95578</v>
      </c>
      <c r="K2481" s="91" t="str">
        <f t="shared" si="154"/>
        <v>KG</v>
      </c>
      <c r="L2481" s="166" t="str">
        <f t="shared" si="155"/>
        <v>09/2021</v>
      </c>
      <c r="M2481" s="82"/>
      <c r="N2481" s="82"/>
    </row>
    <row r="2482" spans="1:14" x14ac:dyDescent="0.25">
      <c r="A2482" s="170" t="s">
        <v>5269</v>
      </c>
      <c r="B2482" s="170" t="s">
        <v>18114</v>
      </c>
      <c r="C2482" s="170" t="s">
        <v>774</v>
      </c>
      <c r="D2482" s="170" t="s">
        <v>1947</v>
      </c>
      <c r="E2482" s="171" t="s">
        <v>20373</v>
      </c>
      <c r="F2482" s="171" t="s">
        <v>5651</v>
      </c>
      <c r="G2482" s="82"/>
      <c r="H2482" s="96">
        <f t="shared" si="152"/>
        <v>10.91</v>
      </c>
      <c r="I2482" s="96">
        <f t="shared" si="152"/>
        <v>10.96</v>
      </c>
      <c r="J2482" s="91" t="str">
        <f t="shared" si="153"/>
        <v>Sinapi 95579</v>
      </c>
      <c r="K2482" s="91" t="str">
        <f t="shared" si="154"/>
        <v>KG</v>
      </c>
      <c r="L2482" s="166" t="str">
        <f t="shared" si="155"/>
        <v>09/2021</v>
      </c>
      <c r="M2482" s="82"/>
      <c r="N2482" s="82"/>
    </row>
    <row r="2483" spans="1:14" x14ac:dyDescent="0.25">
      <c r="A2483" s="170" t="s">
        <v>5270</v>
      </c>
      <c r="B2483" s="170" t="s">
        <v>18115</v>
      </c>
      <c r="C2483" s="170" t="s">
        <v>774</v>
      </c>
      <c r="D2483" s="170" t="s">
        <v>1947</v>
      </c>
      <c r="E2483" s="171" t="s">
        <v>28656</v>
      </c>
      <c r="F2483" s="171" t="s">
        <v>14799</v>
      </c>
      <c r="G2483" s="82"/>
      <c r="H2483" s="96">
        <f t="shared" si="152"/>
        <v>12.65</v>
      </c>
      <c r="I2483" s="96">
        <f t="shared" si="152"/>
        <v>12.68</v>
      </c>
      <c r="J2483" s="91" t="str">
        <f t="shared" si="153"/>
        <v>Sinapi 95580</v>
      </c>
      <c r="K2483" s="91" t="str">
        <f t="shared" si="154"/>
        <v>KG</v>
      </c>
      <c r="L2483" s="166" t="str">
        <f t="shared" si="155"/>
        <v>09/2021</v>
      </c>
      <c r="M2483" s="82"/>
      <c r="N2483" s="82"/>
    </row>
    <row r="2484" spans="1:14" x14ac:dyDescent="0.25">
      <c r="A2484" s="170" t="s">
        <v>5271</v>
      </c>
      <c r="B2484" s="170" t="s">
        <v>18116</v>
      </c>
      <c r="C2484" s="170" t="s">
        <v>774</v>
      </c>
      <c r="D2484" s="170" t="s">
        <v>1947</v>
      </c>
      <c r="E2484" s="171" t="s">
        <v>16370</v>
      </c>
      <c r="F2484" s="171" t="s">
        <v>20979</v>
      </c>
      <c r="G2484" s="82"/>
      <c r="H2484" s="96">
        <f t="shared" si="152"/>
        <v>12.61</v>
      </c>
      <c r="I2484" s="96">
        <f t="shared" si="152"/>
        <v>12.63</v>
      </c>
      <c r="J2484" s="91" t="str">
        <f t="shared" si="153"/>
        <v>Sinapi 95581</v>
      </c>
      <c r="K2484" s="91" t="str">
        <f t="shared" si="154"/>
        <v>KG</v>
      </c>
      <c r="L2484" s="166" t="str">
        <f t="shared" si="155"/>
        <v>09/2021</v>
      </c>
      <c r="M2484" s="82"/>
      <c r="N2484" s="82"/>
    </row>
    <row r="2485" spans="1:14" x14ac:dyDescent="0.25">
      <c r="A2485" s="170" t="s">
        <v>5272</v>
      </c>
      <c r="B2485" s="170" t="s">
        <v>21828</v>
      </c>
      <c r="C2485" s="170" t="s">
        <v>774</v>
      </c>
      <c r="D2485" s="170" t="s">
        <v>1947</v>
      </c>
      <c r="E2485" s="171" t="s">
        <v>15795</v>
      </c>
      <c r="F2485" s="171" t="s">
        <v>19908</v>
      </c>
      <c r="G2485" s="82"/>
      <c r="H2485" s="96">
        <f t="shared" si="152"/>
        <v>13.74</v>
      </c>
      <c r="I2485" s="96">
        <f t="shared" si="152"/>
        <v>13.76</v>
      </c>
      <c r="J2485" s="91" t="str">
        <f t="shared" si="153"/>
        <v>Sinapi 95582</v>
      </c>
      <c r="K2485" s="91" t="str">
        <f t="shared" si="154"/>
        <v>KG</v>
      </c>
      <c r="L2485" s="166" t="str">
        <f t="shared" si="155"/>
        <v>09/2021</v>
      </c>
      <c r="M2485" s="82"/>
      <c r="N2485" s="82"/>
    </row>
    <row r="2486" spans="1:14" x14ac:dyDescent="0.25">
      <c r="A2486" s="170" t="s">
        <v>5274</v>
      </c>
      <c r="B2486" s="170" t="s">
        <v>18117</v>
      </c>
      <c r="C2486" s="170" t="s">
        <v>774</v>
      </c>
      <c r="D2486" s="170" t="s">
        <v>1947</v>
      </c>
      <c r="E2486" s="171" t="s">
        <v>30555</v>
      </c>
      <c r="F2486" s="171" t="s">
        <v>29267</v>
      </c>
      <c r="G2486" s="82"/>
      <c r="H2486" s="96">
        <f t="shared" si="152"/>
        <v>17.399999999999999</v>
      </c>
      <c r="I2486" s="96">
        <f t="shared" si="152"/>
        <v>18.100000000000001</v>
      </c>
      <c r="J2486" s="91" t="str">
        <f t="shared" si="153"/>
        <v>Sinapi 95583</v>
      </c>
      <c r="K2486" s="91" t="str">
        <f t="shared" si="154"/>
        <v>KG</v>
      </c>
      <c r="L2486" s="166" t="str">
        <f t="shared" si="155"/>
        <v>09/2021</v>
      </c>
      <c r="M2486" s="82"/>
      <c r="N2486" s="82"/>
    </row>
    <row r="2487" spans="1:14" x14ac:dyDescent="0.25">
      <c r="A2487" s="170" t="s">
        <v>5275</v>
      </c>
      <c r="B2487" s="170" t="s">
        <v>18118</v>
      </c>
      <c r="C2487" s="170" t="s">
        <v>774</v>
      </c>
      <c r="D2487" s="170" t="s">
        <v>1947</v>
      </c>
      <c r="E2487" s="171" t="s">
        <v>30250</v>
      </c>
      <c r="F2487" s="171" t="s">
        <v>20129</v>
      </c>
      <c r="G2487" s="82"/>
      <c r="H2487" s="96">
        <f t="shared" si="152"/>
        <v>16.149999999999999</v>
      </c>
      <c r="I2487" s="96">
        <f t="shared" si="152"/>
        <v>16.57</v>
      </c>
      <c r="J2487" s="91" t="str">
        <f t="shared" si="153"/>
        <v>Sinapi 95584</v>
      </c>
      <c r="K2487" s="91" t="str">
        <f t="shared" si="154"/>
        <v>KG</v>
      </c>
      <c r="L2487" s="166" t="str">
        <f t="shared" si="155"/>
        <v>09/2021</v>
      </c>
      <c r="M2487" s="82"/>
      <c r="N2487" s="82"/>
    </row>
    <row r="2488" spans="1:14" x14ac:dyDescent="0.25">
      <c r="A2488" s="170" t="s">
        <v>5276</v>
      </c>
      <c r="B2488" s="170" t="s">
        <v>18119</v>
      </c>
      <c r="C2488" s="170" t="s">
        <v>774</v>
      </c>
      <c r="D2488" s="170" t="s">
        <v>1947</v>
      </c>
      <c r="E2488" s="171" t="s">
        <v>30555</v>
      </c>
      <c r="F2488" s="171" t="s">
        <v>29267</v>
      </c>
      <c r="G2488" s="82"/>
      <c r="H2488" s="96">
        <f t="shared" si="152"/>
        <v>17.399999999999999</v>
      </c>
      <c r="I2488" s="96">
        <f t="shared" si="152"/>
        <v>18.100000000000001</v>
      </c>
      <c r="J2488" s="91" t="str">
        <f t="shared" si="153"/>
        <v>Sinapi 95592</v>
      </c>
      <c r="K2488" s="91" t="str">
        <f t="shared" si="154"/>
        <v>KG</v>
      </c>
      <c r="L2488" s="166" t="str">
        <f t="shared" si="155"/>
        <v>09/2021</v>
      </c>
      <c r="M2488" s="82"/>
      <c r="N2488" s="82"/>
    </row>
    <row r="2489" spans="1:14" x14ac:dyDescent="0.25">
      <c r="A2489" s="170" t="s">
        <v>5277</v>
      </c>
      <c r="B2489" s="170" t="s">
        <v>18120</v>
      </c>
      <c r="C2489" s="170" t="s">
        <v>774</v>
      </c>
      <c r="D2489" s="170" t="s">
        <v>1947</v>
      </c>
      <c r="E2489" s="171" t="s">
        <v>30250</v>
      </c>
      <c r="F2489" s="171" t="s">
        <v>20129</v>
      </c>
      <c r="G2489" s="82"/>
      <c r="H2489" s="96">
        <f t="shared" si="152"/>
        <v>16.149999999999999</v>
      </c>
      <c r="I2489" s="96">
        <f t="shared" si="152"/>
        <v>16.57</v>
      </c>
      <c r="J2489" s="91" t="str">
        <f t="shared" si="153"/>
        <v>Sinapi 95593</v>
      </c>
      <c r="K2489" s="91" t="str">
        <f t="shared" si="154"/>
        <v>KG</v>
      </c>
      <c r="L2489" s="166" t="str">
        <f t="shared" si="155"/>
        <v>09/2021</v>
      </c>
      <c r="M2489" s="82"/>
      <c r="N2489" s="82"/>
    </row>
    <row r="2490" spans="1:14" x14ac:dyDescent="0.25">
      <c r="A2490" s="170" t="s">
        <v>5278</v>
      </c>
      <c r="B2490" s="170" t="s">
        <v>12285</v>
      </c>
      <c r="C2490" s="170" t="s">
        <v>774</v>
      </c>
      <c r="D2490" s="170" t="s">
        <v>1947</v>
      </c>
      <c r="E2490" s="171" t="s">
        <v>32900</v>
      </c>
      <c r="F2490" s="171" t="s">
        <v>20100</v>
      </c>
      <c r="G2490" s="82"/>
      <c r="H2490" s="96">
        <f t="shared" si="152"/>
        <v>22.76</v>
      </c>
      <c r="I2490" s="96">
        <f t="shared" si="152"/>
        <v>24.06</v>
      </c>
      <c r="J2490" s="91" t="str">
        <f t="shared" si="153"/>
        <v>Sinapi 95943</v>
      </c>
      <c r="K2490" s="91" t="str">
        <f t="shared" si="154"/>
        <v>KG</v>
      </c>
      <c r="L2490" s="166" t="str">
        <f t="shared" si="155"/>
        <v>11/2020</v>
      </c>
      <c r="M2490" s="82"/>
      <c r="N2490" s="82"/>
    </row>
    <row r="2491" spans="1:14" x14ac:dyDescent="0.25">
      <c r="A2491" s="170" t="s">
        <v>5279</v>
      </c>
      <c r="B2491" s="170" t="s">
        <v>12286</v>
      </c>
      <c r="C2491" s="170" t="s">
        <v>774</v>
      </c>
      <c r="D2491" s="170" t="s">
        <v>1947</v>
      </c>
      <c r="E2491" s="171" t="s">
        <v>16204</v>
      </c>
      <c r="F2491" s="171" t="s">
        <v>28727</v>
      </c>
      <c r="G2491" s="82"/>
      <c r="H2491" s="96">
        <f t="shared" si="152"/>
        <v>21.34</v>
      </c>
      <c r="I2491" s="96">
        <f t="shared" si="152"/>
        <v>22.36</v>
      </c>
      <c r="J2491" s="91" t="str">
        <f t="shared" si="153"/>
        <v>Sinapi 95944</v>
      </c>
      <c r="K2491" s="91" t="str">
        <f t="shared" si="154"/>
        <v>KG</v>
      </c>
      <c r="L2491" s="166" t="str">
        <f t="shared" si="155"/>
        <v>11/2020</v>
      </c>
      <c r="M2491" s="82"/>
      <c r="N2491" s="82"/>
    </row>
    <row r="2492" spans="1:14" x14ac:dyDescent="0.25">
      <c r="A2492" s="170" t="s">
        <v>5280</v>
      </c>
      <c r="B2492" s="170" t="s">
        <v>12287</v>
      </c>
      <c r="C2492" s="170" t="s">
        <v>774</v>
      </c>
      <c r="D2492" s="170" t="s">
        <v>1947</v>
      </c>
      <c r="E2492" s="171" t="s">
        <v>25728</v>
      </c>
      <c r="F2492" s="171" t="s">
        <v>20059</v>
      </c>
      <c r="G2492" s="82"/>
      <c r="H2492" s="96">
        <f t="shared" si="152"/>
        <v>18.14</v>
      </c>
      <c r="I2492" s="96">
        <f t="shared" si="152"/>
        <v>18.739999999999998</v>
      </c>
      <c r="J2492" s="91" t="str">
        <f t="shared" si="153"/>
        <v>Sinapi 95945</v>
      </c>
      <c r="K2492" s="91" t="str">
        <f t="shared" si="154"/>
        <v>KG</v>
      </c>
      <c r="L2492" s="166" t="str">
        <f t="shared" si="155"/>
        <v>11/2020</v>
      </c>
      <c r="M2492" s="82"/>
      <c r="N2492" s="82"/>
    </row>
    <row r="2493" spans="1:14" x14ac:dyDescent="0.25">
      <c r="A2493" s="170" t="s">
        <v>5282</v>
      </c>
      <c r="B2493" s="170" t="s">
        <v>12289</v>
      </c>
      <c r="C2493" s="170" t="s">
        <v>774</v>
      </c>
      <c r="D2493" s="170" t="s">
        <v>1947</v>
      </c>
      <c r="E2493" s="171" t="s">
        <v>18689</v>
      </c>
      <c r="F2493" s="171" t="s">
        <v>10284</v>
      </c>
      <c r="G2493" s="82"/>
      <c r="H2493" s="96">
        <f t="shared" si="152"/>
        <v>15.05</v>
      </c>
      <c r="I2493" s="96">
        <f t="shared" si="152"/>
        <v>15.35</v>
      </c>
      <c r="J2493" s="91" t="str">
        <f t="shared" si="153"/>
        <v>Sinapi 95946</v>
      </c>
      <c r="K2493" s="91" t="str">
        <f t="shared" si="154"/>
        <v>KG</v>
      </c>
      <c r="L2493" s="166" t="str">
        <f t="shared" si="155"/>
        <v>11/2020</v>
      </c>
      <c r="M2493" s="82"/>
      <c r="N2493" s="82"/>
    </row>
    <row r="2494" spans="1:14" x14ac:dyDescent="0.25">
      <c r="A2494" s="170" t="s">
        <v>5283</v>
      </c>
      <c r="B2494" s="170" t="s">
        <v>12290</v>
      </c>
      <c r="C2494" s="170" t="s">
        <v>774</v>
      </c>
      <c r="D2494" s="170" t="s">
        <v>1947</v>
      </c>
      <c r="E2494" s="171" t="s">
        <v>8316</v>
      </c>
      <c r="F2494" s="171" t="s">
        <v>11275</v>
      </c>
      <c r="G2494" s="82"/>
      <c r="H2494" s="96">
        <f t="shared" si="152"/>
        <v>11.98</v>
      </c>
      <c r="I2494" s="96">
        <f t="shared" si="152"/>
        <v>12.12</v>
      </c>
      <c r="J2494" s="91" t="str">
        <f t="shared" si="153"/>
        <v>Sinapi 95947</v>
      </c>
      <c r="K2494" s="91" t="str">
        <f t="shared" si="154"/>
        <v>KG</v>
      </c>
      <c r="L2494" s="166" t="str">
        <f t="shared" si="155"/>
        <v>11/2020</v>
      </c>
      <c r="M2494" s="82"/>
      <c r="N2494" s="82"/>
    </row>
    <row r="2495" spans="1:14" x14ac:dyDescent="0.25">
      <c r="A2495" s="170" t="s">
        <v>5284</v>
      </c>
      <c r="B2495" s="170" t="s">
        <v>12291</v>
      </c>
      <c r="C2495" s="170" t="s">
        <v>774</v>
      </c>
      <c r="D2495" s="170" t="s">
        <v>1947</v>
      </c>
      <c r="E2495" s="171" t="s">
        <v>12325</v>
      </c>
      <c r="F2495" s="171" t="s">
        <v>5651</v>
      </c>
      <c r="G2495" s="82"/>
      <c r="H2495" s="96">
        <f t="shared" si="152"/>
        <v>10.93</v>
      </c>
      <c r="I2495" s="96">
        <f t="shared" si="152"/>
        <v>10.96</v>
      </c>
      <c r="J2495" s="91" t="str">
        <f t="shared" si="153"/>
        <v>Sinapi 95948</v>
      </c>
      <c r="K2495" s="91" t="str">
        <f t="shared" si="154"/>
        <v>KG</v>
      </c>
      <c r="L2495" s="166" t="str">
        <f t="shared" si="155"/>
        <v>11/2020</v>
      </c>
      <c r="M2495" s="82"/>
      <c r="N2495" s="82"/>
    </row>
    <row r="2496" spans="1:14" x14ac:dyDescent="0.25">
      <c r="A2496" s="170" t="s">
        <v>5285</v>
      </c>
      <c r="B2496" s="170" t="s">
        <v>5286</v>
      </c>
      <c r="C2496" s="170" t="s">
        <v>774</v>
      </c>
      <c r="D2496" s="170" t="s">
        <v>1947</v>
      </c>
      <c r="E2496" s="171" t="s">
        <v>15787</v>
      </c>
      <c r="F2496" s="171" t="s">
        <v>23088</v>
      </c>
      <c r="G2496" s="82"/>
      <c r="H2496" s="96">
        <f t="shared" si="152"/>
        <v>17.96</v>
      </c>
      <c r="I2496" s="96">
        <f t="shared" si="152"/>
        <v>18.559999999999999</v>
      </c>
      <c r="J2496" s="91" t="str">
        <f t="shared" si="153"/>
        <v>Sinapi 96544</v>
      </c>
      <c r="K2496" s="91" t="str">
        <f t="shared" si="154"/>
        <v>KG</v>
      </c>
      <c r="L2496" s="166" t="str">
        <f t="shared" si="155"/>
        <v>06/2017</v>
      </c>
      <c r="M2496" s="82"/>
      <c r="N2496" s="82"/>
    </row>
    <row r="2497" spans="1:14" x14ac:dyDescent="0.25">
      <c r="A2497" s="170" t="s">
        <v>5287</v>
      </c>
      <c r="B2497" s="170" t="s">
        <v>5288</v>
      </c>
      <c r="C2497" s="170" t="s">
        <v>774</v>
      </c>
      <c r="D2497" s="170" t="s">
        <v>1947</v>
      </c>
      <c r="E2497" s="171" t="s">
        <v>29368</v>
      </c>
      <c r="F2497" s="171" t="s">
        <v>28773</v>
      </c>
      <c r="G2497" s="82"/>
      <c r="H2497" s="96">
        <f t="shared" si="152"/>
        <v>16.91</v>
      </c>
      <c r="I2497" s="96">
        <f t="shared" si="152"/>
        <v>17.34</v>
      </c>
      <c r="J2497" s="91" t="str">
        <f t="shared" si="153"/>
        <v>Sinapi 96545</v>
      </c>
      <c r="K2497" s="91" t="str">
        <f t="shared" si="154"/>
        <v>KG</v>
      </c>
      <c r="L2497" s="166" t="str">
        <f t="shared" si="155"/>
        <v>06/2017</v>
      </c>
      <c r="M2497" s="82"/>
      <c r="N2497" s="82"/>
    </row>
    <row r="2498" spans="1:14" x14ac:dyDescent="0.25">
      <c r="A2498" s="170" t="s">
        <v>5289</v>
      </c>
      <c r="B2498" s="170" t="s">
        <v>5290</v>
      </c>
      <c r="C2498" s="170" t="s">
        <v>774</v>
      </c>
      <c r="D2498" s="170" t="s">
        <v>1947</v>
      </c>
      <c r="E2498" s="171" t="s">
        <v>13398</v>
      </c>
      <c r="F2498" s="171" t="s">
        <v>8527</v>
      </c>
      <c r="G2498" s="82"/>
      <c r="H2498" s="96">
        <f t="shared" si="152"/>
        <v>15.18</v>
      </c>
      <c r="I2498" s="96">
        <f t="shared" si="152"/>
        <v>15.5</v>
      </c>
      <c r="J2498" s="91" t="str">
        <f t="shared" si="153"/>
        <v>Sinapi 96546</v>
      </c>
      <c r="K2498" s="91" t="str">
        <f t="shared" si="154"/>
        <v>KG</v>
      </c>
      <c r="L2498" s="166" t="str">
        <f t="shared" si="155"/>
        <v>06/2017</v>
      </c>
      <c r="M2498" s="82"/>
      <c r="N2498" s="82"/>
    </row>
    <row r="2499" spans="1:14" x14ac:dyDescent="0.25">
      <c r="A2499" s="170" t="s">
        <v>5292</v>
      </c>
      <c r="B2499" s="170" t="s">
        <v>5293</v>
      </c>
      <c r="C2499" s="170" t="s">
        <v>774</v>
      </c>
      <c r="D2499" s="170" t="s">
        <v>1947</v>
      </c>
      <c r="E2499" s="171" t="s">
        <v>21163</v>
      </c>
      <c r="F2499" s="171" t="s">
        <v>28657</v>
      </c>
      <c r="G2499" s="82"/>
      <c r="H2499" s="96">
        <f t="shared" si="152"/>
        <v>12.87</v>
      </c>
      <c r="I2499" s="96">
        <f t="shared" si="152"/>
        <v>13.11</v>
      </c>
      <c r="J2499" s="91" t="str">
        <f t="shared" si="153"/>
        <v>Sinapi 96547</v>
      </c>
      <c r="K2499" s="91" t="str">
        <f t="shared" si="154"/>
        <v>KG</v>
      </c>
      <c r="L2499" s="166" t="str">
        <f t="shared" si="155"/>
        <v>06/2017</v>
      </c>
      <c r="M2499" s="82"/>
      <c r="N2499" s="82"/>
    </row>
    <row r="2500" spans="1:14" x14ac:dyDescent="0.25">
      <c r="A2500" s="170" t="s">
        <v>5294</v>
      </c>
      <c r="B2500" s="170" t="s">
        <v>5295</v>
      </c>
      <c r="C2500" s="170" t="s">
        <v>774</v>
      </c>
      <c r="D2500" s="170" t="s">
        <v>1947</v>
      </c>
      <c r="E2500" s="171" t="s">
        <v>13432</v>
      </c>
      <c r="F2500" s="171" t="s">
        <v>9517</v>
      </c>
      <c r="G2500" s="82"/>
      <c r="H2500" s="96">
        <f t="shared" si="152"/>
        <v>12.22</v>
      </c>
      <c r="I2500" s="96">
        <f t="shared" si="152"/>
        <v>12.4</v>
      </c>
      <c r="J2500" s="91" t="str">
        <f t="shared" si="153"/>
        <v>Sinapi 96548</v>
      </c>
      <c r="K2500" s="91" t="str">
        <f t="shared" si="154"/>
        <v>KG</v>
      </c>
      <c r="L2500" s="166" t="str">
        <f t="shared" si="155"/>
        <v>06/2017</v>
      </c>
      <c r="M2500" s="82"/>
      <c r="N2500" s="82"/>
    </row>
    <row r="2501" spans="1:14" x14ac:dyDescent="0.25">
      <c r="A2501" s="170" t="s">
        <v>5296</v>
      </c>
      <c r="B2501" s="170" t="s">
        <v>5297</v>
      </c>
      <c r="C2501" s="170" t="s">
        <v>774</v>
      </c>
      <c r="D2501" s="170" t="s">
        <v>1947</v>
      </c>
      <c r="E2501" s="171" t="s">
        <v>11625</v>
      </c>
      <c r="F2501" s="171" t="s">
        <v>19908</v>
      </c>
      <c r="G2501" s="82"/>
      <c r="H2501" s="96">
        <f t="shared" si="152"/>
        <v>13.64</v>
      </c>
      <c r="I2501" s="96">
        <f t="shared" si="152"/>
        <v>13.76</v>
      </c>
      <c r="J2501" s="91" t="str">
        <f t="shared" si="153"/>
        <v>Sinapi 96549</v>
      </c>
      <c r="K2501" s="91" t="str">
        <f t="shared" si="154"/>
        <v>KG</v>
      </c>
      <c r="L2501" s="166" t="str">
        <f t="shared" si="155"/>
        <v>06/2017</v>
      </c>
      <c r="M2501" s="82"/>
      <c r="N2501" s="82"/>
    </row>
    <row r="2502" spans="1:14" x14ac:dyDescent="0.25">
      <c r="A2502" s="170" t="s">
        <v>5298</v>
      </c>
      <c r="B2502" s="170" t="s">
        <v>5299</v>
      </c>
      <c r="C2502" s="170" t="s">
        <v>774</v>
      </c>
      <c r="D2502" s="170" t="s">
        <v>1947</v>
      </c>
      <c r="E2502" s="171" t="s">
        <v>13848</v>
      </c>
      <c r="F2502" s="171" t="s">
        <v>14937</v>
      </c>
      <c r="G2502" s="82"/>
      <c r="H2502" s="96">
        <f t="shared" si="152"/>
        <v>13.32</v>
      </c>
      <c r="I2502" s="96">
        <f t="shared" si="152"/>
        <v>13.41</v>
      </c>
      <c r="J2502" s="91" t="str">
        <f t="shared" si="153"/>
        <v>Sinapi 96550</v>
      </c>
      <c r="K2502" s="91" t="str">
        <f t="shared" si="154"/>
        <v>KG</v>
      </c>
      <c r="L2502" s="166" t="str">
        <f t="shared" si="155"/>
        <v>06/2017</v>
      </c>
      <c r="M2502" s="82"/>
      <c r="N2502" s="82"/>
    </row>
    <row r="2503" spans="1:14" x14ac:dyDescent="0.25">
      <c r="A2503" s="170" t="s">
        <v>13409</v>
      </c>
      <c r="B2503" s="170" t="s">
        <v>13410</v>
      </c>
      <c r="C2503" s="170" t="s">
        <v>774</v>
      </c>
      <c r="D2503" s="170" t="s">
        <v>1947</v>
      </c>
      <c r="E2503" s="171" t="s">
        <v>23314</v>
      </c>
      <c r="F2503" s="171" t="s">
        <v>23143</v>
      </c>
      <c r="G2503" s="82"/>
      <c r="H2503" s="96">
        <f t="shared" si="152"/>
        <v>9.39</v>
      </c>
      <c r="I2503" s="96">
        <f t="shared" si="152"/>
        <v>9.49</v>
      </c>
      <c r="J2503" s="91" t="str">
        <f t="shared" si="153"/>
        <v>Sinapi 100064</v>
      </c>
      <c r="K2503" s="91" t="str">
        <f t="shared" si="154"/>
        <v>KG</v>
      </c>
      <c r="L2503" s="166" t="str">
        <f t="shared" si="155"/>
        <v>06/2019</v>
      </c>
      <c r="M2503" s="82"/>
      <c r="N2503" s="82"/>
    </row>
    <row r="2504" spans="1:14" x14ac:dyDescent="0.25">
      <c r="A2504" s="170" t="s">
        <v>5300</v>
      </c>
      <c r="B2504" s="170" t="s">
        <v>5301</v>
      </c>
      <c r="C2504" s="170" t="s">
        <v>774</v>
      </c>
      <c r="D2504" s="170" t="s">
        <v>1947</v>
      </c>
      <c r="E2504" s="171" t="s">
        <v>19323</v>
      </c>
      <c r="F2504" s="171" t="s">
        <v>15763</v>
      </c>
      <c r="G2504" s="82"/>
      <c r="H2504" s="96">
        <f t="shared" ref="H2504:I2567" si="156">IF(E2504="","",E2504+0)</f>
        <v>9.2899999999999991</v>
      </c>
      <c r="I2504" s="96">
        <f t="shared" si="156"/>
        <v>9.3699999999999992</v>
      </c>
      <c r="J2504" s="91" t="str">
        <f t="shared" ref="J2504:J2567" si="157">IF(OR(H2504="",I2504=""),"",TRIM(CONCATENATE("Sinapi ",A2504)))</f>
        <v>Sinapi 100066</v>
      </c>
      <c r="K2504" s="91" t="str">
        <f t="shared" ref="K2504:K2567" si="158">TRIM(C2504)</f>
        <v>KG</v>
      </c>
      <c r="L2504" s="166" t="str">
        <f t="shared" ref="L2504:L2567" si="159">IF(OR(RIGHT(IF(AND(K2504&lt;&gt;"H",K2504&lt;&gt;"MES"),RIGHT(B2504,7),""),2)="PS",RIGHT(IF(AND(K2504&lt;&gt;"H",K2504&lt;&gt;"MES"),RIGHT(B2504,7),""),2)="PA",RIGHT(IF(AND(K2504&lt;&gt;"H",K2504&lt;&gt;"MES"),RIGHT(B2504,7),""),2)="PE"),LEFT(IF(AND(K2504&lt;&gt;"H",K2504&lt;&gt;"MES"),RIGHT(B2504,10),""),7),IF(AND(K2504&lt;&gt;"H",K2504&lt;&gt;"MES"),RIGHT(B2504,7),""))</f>
        <v>06/2019</v>
      </c>
      <c r="M2504" s="82"/>
      <c r="N2504" s="82"/>
    </row>
    <row r="2505" spans="1:14" x14ac:dyDescent="0.25">
      <c r="A2505" s="170" t="s">
        <v>5302</v>
      </c>
      <c r="B2505" s="170" t="s">
        <v>5303</v>
      </c>
      <c r="C2505" s="170" t="s">
        <v>774</v>
      </c>
      <c r="D2505" s="170" t="s">
        <v>2067</v>
      </c>
      <c r="E2505" s="171" t="s">
        <v>15780</v>
      </c>
      <c r="F2505" s="171" t="s">
        <v>23096</v>
      </c>
      <c r="G2505" s="82"/>
      <c r="H2505" s="96">
        <f t="shared" si="156"/>
        <v>14.09</v>
      </c>
      <c r="I2505" s="96">
        <f t="shared" si="156"/>
        <v>14.42</v>
      </c>
      <c r="J2505" s="91" t="str">
        <f t="shared" si="157"/>
        <v>Sinapi 100067</v>
      </c>
      <c r="K2505" s="91" t="str">
        <f t="shared" si="158"/>
        <v>KG</v>
      </c>
      <c r="L2505" s="166" t="str">
        <f t="shared" si="159"/>
        <v>06/2019</v>
      </c>
      <c r="M2505" s="82"/>
      <c r="N2505" s="82"/>
    </row>
    <row r="2506" spans="1:14" x14ac:dyDescent="0.25">
      <c r="A2506" s="170" t="s">
        <v>5304</v>
      </c>
      <c r="B2506" s="170" t="s">
        <v>5305</v>
      </c>
      <c r="C2506" s="170" t="s">
        <v>774</v>
      </c>
      <c r="D2506" s="170" t="s">
        <v>2067</v>
      </c>
      <c r="E2506" s="171" t="s">
        <v>14351</v>
      </c>
      <c r="F2506" s="171" t="s">
        <v>33910</v>
      </c>
      <c r="G2506" s="82"/>
      <c r="H2506" s="96">
        <f t="shared" si="156"/>
        <v>11.3</v>
      </c>
      <c r="I2506" s="96">
        <f t="shared" si="156"/>
        <v>11.41</v>
      </c>
      <c r="J2506" s="91" t="str">
        <f t="shared" si="157"/>
        <v>Sinapi 100068</v>
      </c>
      <c r="K2506" s="91" t="str">
        <f t="shared" si="158"/>
        <v>KG</v>
      </c>
      <c r="L2506" s="166" t="str">
        <f t="shared" si="159"/>
        <v>06/2019</v>
      </c>
      <c r="M2506" s="82"/>
      <c r="N2506" s="82"/>
    </row>
    <row r="2507" spans="1:14" x14ac:dyDescent="0.25">
      <c r="A2507" s="170" t="s">
        <v>14531</v>
      </c>
      <c r="B2507" s="170" t="s">
        <v>14532</v>
      </c>
      <c r="C2507" s="170" t="s">
        <v>774</v>
      </c>
      <c r="D2507" s="170" t="s">
        <v>2067</v>
      </c>
      <c r="E2507" s="171" t="s">
        <v>32899</v>
      </c>
      <c r="F2507" s="171" t="s">
        <v>17347</v>
      </c>
      <c r="G2507" s="82"/>
      <c r="H2507" s="96">
        <f t="shared" si="156"/>
        <v>10.11</v>
      </c>
      <c r="I2507" s="96">
        <f t="shared" si="156"/>
        <v>10.23</v>
      </c>
      <c r="J2507" s="91" t="str">
        <f t="shared" si="157"/>
        <v>Sinapi 102920</v>
      </c>
      <c r="K2507" s="91" t="str">
        <f t="shared" si="158"/>
        <v>KG</v>
      </c>
      <c r="L2507" s="166" t="str">
        <f t="shared" si="159"/>
        <v>09/2021</v>
      </c>
      <c r="M2507" s="82"/>
      <c r="N2507" s="82"/>
    </row>
    <row r="2508" spans="1:14" x14ac:dyDescent="0.25">
      <c r="A2508" s="170" t="s">
        <v>14533</v>
      </c>
      <c r="B2508" s="170" t="s">
        <v>14534</v>
      </c>
      <c r="C2508" s="170" t="s">
        <v>774</v>
      </c>
      <c r="D2508" s="170" t="s">
        <v>2067</v>
      </c>
      <c r="E2508" s="171" t="s">
        <v>16286</v>
      </c>
      <c r="F2508" s="171" t="s">
        <v>21337</v>
      </c>
      <c r="G2508" s="82"/>
      <c r="H2508" s="96">
        <f t="shared" si="156"/>
        <v>9.84</v>
      </c>
      <c r="I2508" s="96">
        <f t="shared" si="156"/>
        <v>9.94</v>
      </c>
      <c r="J2508" s="91" t="str">
        <f t="shared" si="157"/>
        <v>Sinapi 102921</v>
      </c>
      <c r="K2508" s="91" t="str">
        <f t="shared" si="158"/>
        <v>KG</v>
      </c>
      <c r="L2508" s="166" t="str">
        <f t="shared" si="159"/>
        <v>09/2021</v>
      </c>
      <c r="M2508" s="82"/>
      <c r="N2508" s="82"/>
    </row>
    <row r="2509" spans="1:14" x14ac:dyDescent="0.25">
      <c r="A2509" s="170" t="s">
        <v>14535</v>
      </c>
      <c r="B2509" s="170" t="s">
        <v>14536</v>
      </c>
      <c r="C2509" s="170" t="s">
        <v>774</v>
      </c>
      <c r="D2509" s="170" t="s">
        <v>2067</v>
      </c>
      <c r="E2509" s="171" t="s">
        <v>18566</v>
      </c>
      <c r="F2509" s="171" t="s">
        <v>26161</v>
      </c>
      <c r="G2509" s="82"/>
      <c r="H2509" s="96">
        <f t="shared" si="156"/>
        <v>10.59</v>
      </c>
      <c r="I2509" s="96">
        <f t="shared" si="156"/>
        <v>10.77</v>
      </c>
      <c r="J2509" s="91" t="str">
        <f t="shared" si="157"/>
        <v>Sinapi 102922</v>
      </c>
      <c r="K2509" s="91" t="str">
        <f t="shared" si="158"/>
        <v>KG</v>
      </c>
      <c r="L2509" s="166" t="str">
        <f t="shared" si="159"/>
        <v>09/2021</v>
      </c>
      <c r="M2509" s="82"/>
      <c r="N2509" s="82"/>
    </row>
    <row r="2510" spans="1:14" x14ac:dyDescent="0.25">
      <c r="A2510" s="170" t="s">
        <v>14537</v>
      </c>
      <c r="B2510" s="170" t="s">
        <v>14538</v>
      </c>
      <c r="C2510" s="170" t="s">
        <v>774</v>
      </c>
      <c r="D2510" s="170" t="s">
        <v>2067</v>
      </c>
      <c r="E2510" s="171" t="s">
        <v>19910</v>
      </c>
      <c r="F2510" s="171" t="s">
        <v>21906</v>
      </c>
      <c r="G2510" s="82"/>
      <c r="H2510" s="96">
        <f t="shared" si="156"/>
        <v>9.67</v>
      </c>
      <c r="I2510" s="96">
        <f t="shared" si="156"/>
        <v>9.75</v>
      </c>
      <c r="J2510" s="91" t="str">
        <f t="shared" si="157"/>
        <v>Sinapi 102923</v>
      </c>
      <c r="K2510" s="91" t="str">
        <f t="shared" si="158"/>
        <v>KG</v>
      </c>
      <c r="L2510" s="166" t="str">
        <f t="shared" si="159"/>
        <v>09/2021</v>
      </c>
      <c r="M2510" s="82"/>
      <c r="N2510" s="82"/>
    </row>
    <row r="2511" spans="1:14" x14ac:dyDescent="0.25">
      <c r="A2511" s="170" t="s">
        <v>14539</v>
      </c>
      <c r="B2511" s="170" t="s">
        <v>14540</v>
      </c>
      <c r="C2511" s="170" t="s">
        <v>774</v>
      </c>
      <c r="D2511" s="170" t="s">
        <v>2067</v>
      </c>
      <c r="E2511" s="171" t="s">
        <v>18666</v>
      </c>
      <c r="F2511" s="171" t="s">
        <v>22095</v>
      </c>
      <c r="G2511" s="82"/>
      <c r="H2511" s="96">
        <f t="shared" si="156"/>
        <v>11.61</v>
      </c>
      <c r="I2511" s="96">
        <f t="shared" si="156"/>
        <v>11.89</v>
      </c>
      <c r="J2511" s="91" t="str">
        <f t="shared" si="157"/>
        <v>Sinapi 103088</v>
      </c>
      <c r="K2511" s="91" t="str">
        <f t="shared" si="158"/>
        <v>KG</v>
      </c>
      <c r="L2511" s="166" t="str">
        <f t="shared" si="159"/>
        <v>09/2021</v>
      </c>
      <c r="M2511" s="82"/>
      <c r="N2511" s="82"/>
    </row>
    <row r="2512" spans="1:14" x14ac:dyDescent="0.25">
      <c r="A2512" s="170" t="s">
        <v>16474</v>
      </c>
      <c r="B2512" s="170" t="s">
        <v>16475</v>
      </c>
      <c r="C2512" s="170" t="s">
        <v>774</v>
      </c>
      <c r="D2512" s="170" t="s">
        <v>2067</v>
      </c>
      <c r="E2512" s="171" t="s">
        <v>14781</v>
      </c>
      <c r="F2512" s="171" t="s">
        <v>14119</v>
      </c>
      <c r="G2512" s="82"/>
      <c r="H2512" s="96">
        <f t="shared" si="156"/>
        <v>13.92</v>
      </c>
      <c r="I2512" s="96">
        <f t="shared" si="156"/>
        <v>13.95</v>
      </c>
      <c r="J2512" s="91" t="str">
        <f t="shared" si="157"/>
        <v>Sinapi 104104</v>
      </c>
      <c r="K2512" s="91" t="str">
        <f t="shared" si="158"/>
        <v>KG</v>
      </c>
      <c r="L2512" s="166" t="str">
        <f t="shared" si="159"/>
        <v>06/2022</v>
      </c>
      <c r="M2512" s="82"/>
      <c r="N2512" s="82"/>
    </row>
    <row r="2513" spans="1:14" x14ac:dyDescent="0.25">
      <c r="A2513" s="170" t="s">
        <v>16476</v>
      </c>
      <c r="B2513" s="170" t="s">
        <v>16477</v>
      </c>
      <c r="C2513" s="170" t="s">
        <v>774</v>
      </c>
      <c r="D2513" s="170" t="s">
        <v>2067</v>
      </c>
      <c r="E2513" s="171" t="s">
        <v>16287</v>
      </c>
      <c r="F2513" s="171" t="s">
        <v>14119</v>
      </c>
      <c r="G2513" s="82"/>
      <c r="H2513" s="96">
        <f t="shared" si="156"/>
        <v>13.93</v>
      </c>
      <c r="I2513" s="96">
        <f t="shared" si="156"/>
        <v>13.95</v>
      </c>
      <c r="J2513" s="91" t="str">
        <f t="shared" si="157"/>
        <v>Sinapi 104105</v>
      </c>
      <c r="K2513" s="91" t="str">
        <f t="shared" si="158"/>
        <v>KG</v>
      </c>
      <c r="L2513" s="166" t="str">
        <f t="shared" si="159"/>
        <v>06/2022</v>
      </c>
      <c r="M2513" s="82"/>
      <c r="N2513" s="82"/>
    </row>
    <row r="2514" spans="1:14" x14ac:dyDescent="0.25">
      <c r="A2514" s="170" t="s">
        <v>16478</v>
      </c>
      <c r="B2514" s="170" t="s">
        <v>16479</v>
      </c>
      <c r="C2514" s="170" t="s">
        <v>774</v>
      </c>
      <c r="D2514" s="170" t="s">
        <v>1947</v>
      </c>
      <c r="E2514" s="171" t="s">
        <v>20465</v>
      </c>
      <c r="F2514" s="171" t="s">
        <v>11118</v>
      </c>
      <c r="G2514" s="82"/>
      <c r="H2514" s="96">
        <f t="shared" si="156"/>
        <v>12.27</v>
      </c>
      <c r="I2514" s="96">
        <f t="shared" si="156"/>
        <v>12.45</v>
      </c>
      <c r="J2514" s="91" t="str">
        <f t="shared" si="157"/>
        <v>Sinapi 104106</v>
      </c>
      <c r="K2514" s="91" t="str">
        <f t="shared" si="158"/>
        <v>KG</v>
      </c>
      <c r="L2514" s="166" t="str">
        <f t="shared" si="159"/>
        <v>06/2022</v>
      </c>
      <c r="M2514" s="82"/>
      <c r="N2514" s="82"/>
    </row>
    <row r="2515" spans="1:14" x14ac:dyDescent="0.25">
      <c r="A2515" s="170" t="s">
        <v>16480</v>
      </c>
      <c r="B2515" s="170" t="s">
        <v>16481</v>
      </c>
      <c r="C2515" s="170" t="s">
        <v>774</v>
      </c>
      <c r="D2515" s="170" t="s">
        <v>1947</v>
      </c>
      <c r="E2515" s="171" t="s">
        <v>21163</v>
      </c>
      <c r="F2515" s="171" t="s">
        <v>28657</v>
      </c>
      <c r="G2515" s="82"/>
      <c r="H2515" s="96">
        <f t="shared" si="156"/>
        <v>12.87</v>
      </c>
      <c r="I2515" s="96">
        <f t="shared" si="156"/>
        <v>13.11</v>
      </c>
      <c r="J2515" s="91" t="str">
        <f t="shared" si="157"/>
        <v>Sinapi 104107</v>
      </c>
      <c r="K2515" s="91" t="str">
        <f t="shared" si="158"/>
        <v>KG</v>
      </c>
      <c r="L2515" s="166" t="str">
        <f t="shared" si="159"/>
        <v>06/2022</v>
      </c>
      <c r="M2515" s="82"/>
      <c r="N2515" s="82"/>
    </row>
    <row r="2516" spans="1:14" x14ac:dyDescent="0.25">
      <c r="A2516" s="170" t="s">
        <v>16482</v>
      </c>
      <c r="B2516" s="170" t="s">
        <v>16483</v>
      </c>
      <c r="C2516" s="170" t="s">
        <v>774</v>
      </c>
      <c r="D2516" s="170" t="s">
        <v>1947</v>
      </c>
      <c r="E2516" s="171" t="s">
        <v>6486</v>
      </c>
      <c r="F2516" s="171" t="s">
        <v>20364</v>
      </c>
      <c r="G2516" s="82"/>
      <c r="H2516" s="96">
        <f t="shared" si="156"/>
        <v>15.12</v>
      </c>
      <c r="I2516" s="96">
        <f t="shared" si="156"/>
        <v>15.43</v>
      </c>
      <c r="J2516" s="91" t="str">
        <f t="shared" si="157"/>
        <v>Sinapi 104108</v>
      </c>
      <c r="K2516" s="91" t="str">
        <f t="shared" si="158"/>
        <v>KG</v>
      </c>
      <c r="L2516" s="166" t="str">
        <f t="shared" si="159"/>
        <v>06/2022</v>
      </c>
      <c r="M2516" s="82"/>
      <c r="N2516" s="82"/>
    </row>
    <row r="2517" spans="1:14" x14ac:dyDescent="0.25">
      <c r="A2517" s="170" t="s">
        <v>16484</v>
      </c>
      <c r="B2517" s="170" t="s">
        <v>16485</v>
      </c>
      <c r="C2517" s="170" t="s">
        <v>774</v>
      </c>
      <c r="D2517" s="170" t="s">
        <v>1947</v>
      </c>
      <c r="E2517" s="171" t="s">
        <v>17926</v>
      </c>
      <c r="F2517" s="171" t="s">
        <v>20369</v>
      </c>
      <c r="G2517" s="82"/>
      <c r="H2517" s="96">
        <f t="shared" si="156"/>
        <v>17.850000000000001</v>
      </c>
      <c r="I2517" s="96">
        <f t="shared" si="156"/>
        <v>18.399999999999999</v>
      </c>
      <c r="J2517" s="91" t="str">
        <f t="shared" si="157"/>
        <v>Sinapi 104109</v>
      </c>
      <c r="K2517" s="91" t="str">
        <f t="shared" si="158"/>
        <v>KG</v>
      </c>
      <c r="L2517" s="166" t="str">
        <f t="shared" si="159"/>
        <v>06/2022</v>
      </c>
      <c r="M2517" s="82"/>
      <c r="N2517" s="82"/>
    </row>
    <row r="2518" spans="1:14" x14ac:dyDescent="0.25">
      <c r="A2518" s="170" t="s">
        <v>16486</v>
      </c>
      <c r="B2518" s="170" t="s">
        <v>16487</v>
      </c>
      <c r="C2518" s="170" t="s">
        <v>774</v>
      </c>
      <c r="D2518" s="170" t="s">
        <v>1947</v>
      </c>
      <c r="E2518" s="171" t="s">
        <v>17365</v>
      </c>
      <c r="F2518" s="171" t="s">
        <v>36178</v>
      </c>
      <c r="G2518" s="82"/>
      <c r="H2518" s="96">
        <f t="shared" si="156"/>
        <v>19.57</v>
      </c>
      <c r="I2518" s="96">
        <f t="shared" si="156"/>
        <v>20.37</v>
      </c>
      <c r="J2518" s="91" t="str">
        <f t="shared" si="157"/>
        <v>Sinapi 104110</v>
      </c>
      <c r="K2518" s="91" t="str">
        <f t="shared" si="158"/>
        <v>KG</v>
      </c>
      <c r="L2518" s="166" t="str">
        <f t="shared" si="159"/>
        <v>06/2022</v>
      </c>
      <c r="M2518" s="82"/>
      <c r="N2518" s="82"/>
    </row>
    <row r="2519" spans="1:14" x14ac:dyDescent="0.25">
      <c r="A2519" s="170" t="s">
        <v>16488</v>
      </c>
      <c r="B2519" s="170" t="s">
        <v>16489</v>
      </c>
      <c r="C2519" s="170" t="s">
        <v>774</v>
      </c>
      <c r="D2519" s="170" t="s">
        <v>1947</v>
      </c>
      <c r="E2519" s="171" t="s">
        <v>22962</v>
      </c>
      <c r="F2519" s="171" t="s">
        <v>17882</v>
      </c>
      <c r="G2519" s="82"/>
      <c r="H2519" s="96">
        <f t="shared" si="156"/>
        <v>21.31</v>
      </c>
      <c r="I2519" s="96">
        <f t="shared" si="156"/>
        <v>22.44</v>
      </c>
      <c r="J2519" s="91" t="str">
        <f t="shared" si="157"/>
        <v>Sinapi 104111</v>
      </c>
      <c r="K2519" s="91" t="str">
        <f t="shared" si="158"/>
        <v>KG</v>
      </c>
      <c r="L2519" s="166" t="str">
        <f t="shared" si="159"/>
        <v>06/2022</v>
      </c>
      <c r="M2519" s="82"/>
      <c r="N2519" s="82"/>
    </row>
    <row r="2520" spans="1:14" x14ac:dyDescent="0.25">
      <c r="A2520" s="170" t="s">
        <v>5306</v>
      </c>
      <c r="B2520" s="170" t="s">
        <v>14541</v>
      </c>
      <c r="C2520" s="170" t="s">
        <v>85</v>
      </c>
      <c r="D2520" s="170" t="s">
        <v>2067</v>
      </c>
      <c r="E2520" s="171" t="s">
        <v>32901</v>
      </c>
      <c r="F2520" s="171" t="s">
        <v>36179</v>
      </c>
      <c r="G2520" s="82"/>
      <c r="H2520" s="96">
        <f t="shared" si="156"/>
        <v>1347.51</v>
      </c>
      <c r="I2520" s="96">
        <f t="shared" si="156"/>
        <v>1392.15</v>
      </c>
      <c r="J2520" s="91" t="str">
        <f t="shared" si="157"/>
        <v>Sinapi 89993</v>
      </c>
      <c r="K2520" s="91" t="str">
        <f t="shared" si="158"/>
        <v>M3</v>
      </c>
      <c r="L2520" s="166" t="str">
        <f t="shared" si="159"/>
        <v>09/2021</v>
      </c>
      <c r="M2520" s="82"/>
      <c r="N2520" s="82"/>
    </row>
    <row r="2521" spans="1:14" x14ac:dyDescent="0.25">
      <c r="A2521" s="170" t="s">
        <v>5307</v>
      </c>
      <c r="B2521" s="170" t="s">
        <v>14542</v>
      </c>
      <c r="C2521" s="170" t="s">
        <v>85</v>
      </c>
      <c r="D2521" s="170" t="s">
        <v>2067</v>
      </c>
      <c r="E2521" s="171" t="s">
        <v>32902</v>
      </c>
      <c r="F2521" s="171" t="s">
        <v>36180</v>
      </c>
      <c r="G2521" s="82"/>
      <c r="H2521" s="96">
        <f t="shared" si="156"/>
        <v>1222.02</v>
      </c>
      <c r="I2521" s="96">
        <f t="shared" si="156"/>
        <v>1252.53</v>
      </c>
      <c r="J2521" s="91" t="str">
        <f t="shared" si="157"/>
        <v>Sinapi 89994</v>
      </c>
      <c r="K2521" s="91" t="str">
        <f t="shared" si="158"/>
        <v>M3</v>
      </c>
      <c r="L2521" s="166" t="str">
        <f t="shared" si="159"/>
        <v>09/2021</v>
      </c>
      <c r="M2521" s="82"/>
      <c r="N2521" s="82"/>
    </row>
    <row r="2522" spans="1:14" x14ac:dyDescent="0.25">
      <c r="A2522" s="170" t="s">
        <v>5308</v>
      </c>
      <c r="B2522" s="170" t="s">
        <v>14543</v>
      </c>
      <c r="C2522" s="170" t="s">
        <v>85</v>
      </c>
      <c r="D2522" s="170" t="s">
        <v>2067</v>
      </c>
      <c r="E2522" s="171" t="s">
        <v>32903</v>
      </c>
      <c r="F2522" s="171" t="s">
        <v>36181</v>
      </c>
      <c r="G2522" s="82"/>
      <c r="H2522" s="96">
        <f t="shared" si="156"/>
        <v>1315.42</v>
      </c>
      <c r="I2522" s="96">
        <f t="shared" si="156"/>
        <v>1356.44</v>
      </c>
      <c r="J2522" s="91" t="str">
        <f t="shared" si="157"/>
        <v>Sinapi 89995</v>
      </c>
      <c r="K2522" s="91" t="str">
        <f t="shared" si="158"/>
        <v>M3</v>
      </c>
      <c r="L2522" s="166" t="str">
        <f t="shared" si="159"/>
        <v>09/2021</v>
      </c>
      <c r="M2522" s="82"/>
      <c r="N2522" s="82"/>
    </row>
    <row r="2523" spans="1:14" x14ac:dyDescent="0.25">
      <c r="A2523" s="170" t="s">
        <v>5309</v>
      </c>
      <c r="B2523" s="170" t="s">
        <v>14544</v>
      </c>
      <c r="C2523" s="170" t="s">
        <v>85</v>
      </c>
      <c r="D2523" s="170" t="s">
        <v>2067</v>
      </c>
      <c r="E2523" s="171" t="s">
        <v>32904</v>
      </c>
      <c r="F2523" s="171" t="s">
        <v>36182</v>
      </c>
      <c r="G2523" s="82"/>
      <c r="H2523" s="96">
        <f t="shared" si="156"/>
        <v>780.36</v>
      </c>
      <c r="I2523" s="96">
        <f t="shared" si="156"/>
        <v>788.43</v>
      </c>
      <c r="J2523" s="91" t="str">
        <f t="shared" si="157"/>
        <v>Sinapi 90278</v>
      </c>
      <c r="K2523" s="91" t="str">
        <f t="shared" si="158"/>
        <v>M3</v>
      </c>
      <c r="L2523" s="166" t="str">
        <f t="shared" si="159"/>
        <v>09/2021</v>
      </c>
      <c r="M2523" s="82"/>
      <c r="N2523" s="82"/>
    </row>
    <row r="2524" spans="1:14" x14ac:dyDescent="0.25">
      <c r="A2524" s="170" t="s">
        <v>5310</v>
      </c>
      <c r="B2524" s="170" t="s">
        <v>14545</v>
      </c>
      <c r="C2524" s="170" t="s">
        <v>85</v>
      </c>
      <c r="D2524" s="170" t="s">
        <v>2067</v>
      </c>
      <c r="E2524" s="171" t="s">
        <v>32905</v>
      </c>
      <c r="F2524" s="171" t="s">
        <v>36183</v>
      </c>
      <c r="G2524" s="82"/>
      <c r="H2524" s="96">
        <f t="shared" si="156"/>
        <v>869.29</v>
      </c>
      <c r="I2524" s="96">
        <f t="shared" si="156"/>
        <v>878.14</v>
      </c>
      <c r="J2524" s="91" t="str">
        <f t="shared" si="157"/>
        <v>Sinapi 90279</v>
      </c>
      <c r="K2524" s="91" t="str">
        <f t="shared" si="158"/>
        <v>M3</v>
      </c>
      <c r="L2524" s="166" t="str">
        <f t="shared" si="159"/>
        <v>09/2021</v>
      </c>
      <c r="M2524" s="82"/>
      <c r="N2524" s="82"/>
    </row>
    <row r="2525" spans="1:14" x14ac:dyDescent="0.25">
      <c r="A2525" s="170" t="s">
        <v>5311</v>
      </c>
      <c r="B2525" s="170" t="s">
        <v>14546</v>
      </c>
      <c r="C2525" s="170" t="s">
        <v>85</v>
      </c>
      <c r="D2525" s="170" t="s">
        <v>2067</v>
      </c>
      <c r="E2525" s="171" t="s">
        <v>32906</v>
      </c>
      <c r="F2525" s="171" t="s">
        <v>36184</v>
      </c>
      <c r="G2525" s="82"/>
      <c r="H2525" s="96">
        <f t="shared" si="156"/>
        <v>980.83</v>
      </c>
      <c r="I2525" s="96">
        <f t="shared" si="156"/>
        <v>989.67</v>
      </c>
      <c r="J2525" s="91" t="str">
        <f t="shared" si="157"/>
        <v>Sinapi 90280</v>
      </c>
      <c r="K2525" s="91" t="str">
        <f t="shared" si="158"/>
        <v>M3</v>
      </c>
      <c r="L2525" s="166" t="str">
        <f t="shared" si="159"/>
        <v>09/2021</v>
      </c>
      <c r="M2525" s="82"/>
      <c r="N2525" s="82"/>
    </row>
    <row r="2526" spans="1:14" x14ac:dyDescent="0.25">
      <c r="A2526" s="170" t="s">
        <v>5312</v>
      </c>
      <c r="B2526" s="170" t="s">
        <v>14547</v>
      </c>
      <c r="C2526" s="170" t="s">
        <v>85</v>
      </c>
      <c r="D2526" s="170" t="s">
        <v>2067</v>
      </c>
      <c r="E2526" s="171" t="s">
        <v>32907</v>
      </c>
      <c r="F2526" s="171" t="s">
        <v>36185</v>
      </c>
      <c r="G2526" s="82"/>
      <c r="H2526" s="96">
        <f t="shared" si="156"/>
        <v>1167.1099999999999</v>
      </c>
      <c r="I2526" s="96">
        <f t="shared" si="156"/>
        <v>1175.73</v>
      </c>
      <c r="J2526" s="91" t="str">
        <f t="shared" si="157"/>
        <v>Sinapi 90281</v>
      </c>
      <c r="K2526" s="91" t="str">
        <f t="shared" si="158"/>
        <v>M3</v>
      </c>
      <c r="L2526" s="166" t="str">
        <f t="shared" si="159"/>
        <v>09/2021</v>
      </c>
      <c r="M2526" s="82"/>
      <c r="N2526" s="82"/>
    </row>
    <row r="2527" spans="1:14" x14ac:dyDescent="0.25">
      <c r="A2527" s="170" t="s">
        <v>5313</v>
      </c>
      <c r="B2527" s="170" t="s">
        <v>14548</v>
      </c>
      <c r="C2527" s="170" t="s">
        <v>85</v>
      </c>
      <c r="D2527" s="170" t="s">
        <v>2067</v>
      </c>
      <c r="E2527" s="171" t="s">
        <v>32908</v>
      </c>
      <c r="F2527" s="171" t="s">
        <v>36186</v>
      </c>
      <c r="G2527" s="82"/>
      <c r="H2527" s="96">
        <f t="shared" si="156"/>
        <v>762.85</v>
      </c>
      <c r="I2527" s="96">
        <f t="shared" si="156"/>
        <v>770.65</v>
      </c>
      <c r="J2527" s="91" t="str">
        <f t="shared" si="157"/>
        <v>Sinapi 90282</v>
      </c>
      <c r="K2527" s="91" t="str">
        <f t="shared" si="158"/>
        <v>M3</v>
      </c>
      <c r="L2527" s="166" t="str">
        <f t="shared" si="159"/>
        <v>09/2021</v>
      </c>
      <c r="M2527" s="82"/>
      <c r="N2527" s="82"/>
    </row>
    <row r="2528" spans="1:14" x14ac:dyDescent="0.25">
      <c r="A2528" s="170" t="s">
        <v>5314</v>
      </c>
      <c r="B2528" s="170" t="s">
        <v>14549</v>
      </c>
      <c r="C2528" s="170" t="s">
        <v>85</v>
      </c>
      <c r="D2528" s="170" t="s">
        <v>2067</v>
      </c>
      <c r="E2528" s="171" t="s">
        <v>32909</v>
      </c>
      <c r="F2528" s="171" t="s">
        <v>36187</v>
      </c>
      <c r="G2528" s="82"/>
      <c r="H2528" s="96">
        <f t="shared" si="156"/>
        <v>851.15</v>
      </c>
      <c r="I2528" s="96">
        <f t="shared" si="156"/>
        <v>859.68</v>
      </c>
      <c r="J2528" s="91" t="str">
        <f t="shared" si="157"/>
        <v>Sinapi 90283</v>
      </c>
      <c r="K2528" s="91" t="str">
        <f t="shared" si="158"/>
        <v>M3</v>
      </c>
      <c r="L2528" s="166" t="str">
        <f t="shared" si="159"/>
        <v>09/2021</v>
      </c>
      <c r="M2528" s="82"/>
      <c r="N2528" s="82"/>
    </row>
    <row r="2529" spans="1:14" x14ac:dyDescent="0.25">
      <c r="A2529" s="170" t="s">
        <v>5315</v>
      </c>
      <c r="B2529" s="170" t="s">
        <v>14550</v>
      </c>
      <c r="C2529" s="170" t="s">
        <v>85</v>
      </c>
      <c r="D2529" s="170" t="s">
        <v>2067</v>
      </c>
      <c r="E2529" s="171" t="s">
        <v>32910</v>
      </c>
      <c r="F2529" s="171" t="s">
        <v>36188</v>
      </c>
      <c r="G2529" s="82"/>
      <c r="H2529" s="96">
        <f t="shared" si="156"/>
        <v>968.93</v>
      </c>
      <c r="I2529" s="96">
        <f t="shared" si="156"/>
        <v>977.46</v>
      </c>
      <c r="J2529" s="91" t="str">
        <f t="shared" si="157"/>
        <v>Sinapi 90284</v>
      </c>
      <c r="K2529" s="91" t="str">
        <f t="shared" si="158"/>
        <v>M3</v>
      </c>
      <c r="L2529" s="166" t="str">
        <f t="shared" si="159"/>
        <v>09/2021</v>
      </c>
      <c r="M2529" s="82"/>
      <c r="N2529" s="82"/>
    </row>
    <row r="2530" spans="1:14" x14ac:dyDescent="0.25">
      <c r="A2530" s="170" t="s">
        <v>5316</v>
      </c>
      <c r="B2530" s="170" t="s">
        <v>14551</v>
      </c>
      <c r="C2530" s="170" t="s">
        <v>85</v>
      </c>
      <c r="D2530" s="170" t="s">
        <v>2067</v>
      </c>
      <c r="E2530" s="171" t="s">
        <v>32911</v>
      </c>
      <c r="F2530" s="171" t="s">
        <v>36189</v>
      </c>
      <c r="G2530" s="82"/>
      <c r="H2530" s="96">
        <f t="shared" si="156"/>
        <v>1160.97</v>
      </c>
      <c r="I2530" s="96">
        <f t="shared" si="156"/>
        <v>1169.3699999999999</v>
      </c>
      <c r="J2530" s="91" t="str">
        <f t="shared" si="157"/>
        <v>Sinapi 90285</v>
      </c>
      <c r="K2530" s="91" t="str">
        <f t="shared" si="158"/>
        <v>M3</v>
      </c>
      <c r="L2530" s="166" t="str">
        <f t="shared" si="159"/>
        <v>09/2021</v>
      </c>
      <c r="M2530" s="82"/>
      <c r="N2530" s="82"/>
    </row>
    <row r="2531" spans="1:14" x14ac:dyDescent="0.25">
      <c r="A2531" s="170" t="s">
        <v>5317</v>
      </c>
      <c r="B2531" s="170" t="s">
        <v>13602</v>
      </c>
      <c r="C2531" s="170" t="s">
        <v>85</v>
      </c>
      <c r="D2531" s="170" t="s">
        <v>2067</v>
      </c>
      <c r="E2531" s="171" t="s">
        <v>32912</v>
      </c>
      <c r="F2531" s="171" t="s">
        <v>36190</v>
      </c>
      <c r="G2531" s="82"/>
      <c r="H2531" s="96">
        <f t="shared" si="156"/>
        <v>550.1</v>
      </c>
      <c r="I2531" s="96">
        <f t="shared" si="156"/>
        <v>558.24</v>
      </c>
      <c r="J2531" s="91" t="str">
        <f t="shared" si="157"/>
        <v>Sinapi 94962</v>
      </c>
      <c r="K2531" s="91" t="str">
        <f t="shared" si="158"/>
        <v>M3</v>
      </c>
      <c r="L2531" s="166" t="str">
        <f t="shared" si="159"/>
        <v>05/2021</v>
      </c>
      <c r="M2531" s="82"/>
      <c r="N2531" s="82"/>
    </row>
    <row r="2532" spans="1:14" x14ac:dyDescent="0.25">
      <c r="A2532" s="170" t="s">
        <v>5318</v>
      </c>
      <c r="B2532" s="170" t="s">
        <v>13603</v>
      </c>
      <c r="C2532" s="170" t="s">
        <v>85</v>
      </c>
      <c r="D2532" s="170" t="s">
        <v>2067</v>
      </c>
      <c r="E2532" s="171" t="s">
        <v>32913</v>
      </c>
      <c r="F2532" s="171" t="s">
        <v>36191</v>
      </c>
      <c r="G2532" s="82"/>
      <c r="H2532" s="96">
        <f t="shared" si="156"/>
        <v>628.80999999999995</v>
      </c>
      <c r="I2532" s="96">
        <f t="shared" si="156"/>
        <v>636.89</v>
      </c>
      <c r="J2532" s="91" t="str">
        <f t="shared" si="157"/>
        <v>Sinapi 94963</v>
      </c>
      <c r="K2532" s="91" t="str">
        <f t="shared" si="158"/>
        <v>M3</v>
      </c>
      <c r="L2532" s="166" t="str">
        <f t="shared" si="159"/>
        <v>05/2021</v>
      </c>
      <c r="M2532" s="82"/>
      <c r="N2532" s="82"/>
    </row>
    <row r="2533" spans="1:14" x14ac:dyDescent="0.25">
      <c r="A2533" s="170" t="s">
        <v>5319</v>
      </c>
      <c r="B2533" s="170" t="s">
        <v>13604</v>
      </c>
      <c r="C2533" s="170" t="s">
        <v>85</v>
      </c>
      <c r="D2533" s="170" t="s">
        <v>2067</v>
      </c>
      <c r="E2533" s="171" t="s">
        <v>32914</v>
      </c>
      <c r="F2533" s="171" t="s">
        <v>36192</v>
      </c>
      <c r="G2533" s="82"/>
      <c r="H2533" s="96">
        <f t="shared" si="156"/>
        <v>699.93</v>
      </c>
      <c r="I2533" s="96">
        <f t="shared" si="156"/>
        <v>708.74</v>
      </c>
      <c r="J2533" s="91" t="str">
        <f t="shared" si="157"/>
        <v>Sinapi 94964</v>
      </c>
      <c r="K2533" s="91" t="str">
        <f t="shared" si="158"/>
        <v>M3</v>
      </c>
      <c r="L2533" s="166" t="str">
        <f t="shared" si="159"/>
        <v>05/2021</v>
      </c>
      <c r="M2533" s="82"/>
      <c r="N2533" s="82"/>
    </row>
    <row r="2534" spans="1:14" x14ac:dyDescent="0.25">
      <c r="A2534" s="170" t="s">
        <v>5320</v>
      </c>
      <c r="B2534" s="170" t="s">
        <v>13605</v>
      </c>
      <c r="C2534" s="170" t="s">
        <v>85</v>
      </c>
      <c r="D2534" s="170" t="s">
        <v>2067</v>
      </c>
      <c r="E2534" s="171" t="s">
        <v>32915</v>
      </c>
      <c r="F2534" s="171" t="s">
        <v>36193</v>
      </c>
      <c r="G2534" s="82"/>
      <c r="H2534" s="96">
        <f t="shared" si="156"/>
        <v>744.28</v>
      </c>
      <c r="I2534" s="96">
        <f t="shared" si="156"/>
        <v>752.31</v>
      </c>
      <c r="J2534" s="91" t="str">
        <f t="shared" si="157"/>
        <v>Sinapi 94965</v>
      </c>
      <c r="K2534" s="91" t="str">
        <f t="shared" si="158"/>
        <v>M3</v>
      </c>
      <c r="L2534" s="166" t="str">
        <f t="shared" si="159"/>
        <v>05/2021</v>
      </c>
      <c r="M2534" s="82"/>
      <c r="N2534" s="82"/>
    </row>
    <row r="2535" spans="1:14" x14ac:dyDescent="0.25">
      <c r="A2535" s="170" t="s">
        <v>5321</v>
      </c>
      <c r="B2535" s="170" t="s">
        <v>13606</v>
      </c>
      <c r="C2535" s="170" t="s">
        <v>85</v>
      </c>
      <c r="D2535" s="170" t="s">
        <v>2067</v>
      </c>
      <c r="E2535" s="171" t="s">
        <v>32916</v>
      </c>
      <c r="F2535" s="171" t="s">
        <v>28620</v>
      </c>
      <c r="G2535" s="82"/>
      <c r="H2535" s="96">
        <f t="shared" si="156"/>
        <v>776.24</v>
      </c>
      <c r="I2535" s="96">
        <f t="shared" si="156"/>
        <v>784.21</v>
      </c>
      <c r="J2535" s="91" t="str">
        <f t="shared" si="157"/>
        <v>Sinapi 94966</v>
      </c>
      <c r="K2535" s="91" t="str">
        <f t="shared" si="158"/>
        <v>M3</v>
      </c>
      <c r="L2535" s="166" t="str">
        <f t="shared" si="159"/>
        <v>05/2021</v>
      </c>
      <c r="M2535" s="82"/>
      <c r="N2535" s="82"/>
    </row>
    <row r="2536" spans="1:14" x14ac:dyDescent="0.25">
      <c r="A2536" s="170" t="s">
        <v>5322</v>
      </c>
      <c r="B2536" s="170" t="s">
        <v>13607</v>
      </c>
      <c r="C2536" s="170" t="s">
        <v>85</v>
      </c>
      <c r="D2536" s="170" t="s">
        <v>2067</v>
      </c>
      <c r="E2536" s="171" t="s">
        <v>32917</v>
      </c>
      <c r="F2536" s="171" t="s">
        <v>36194</v>
      </c>
      <c r="G2536" s="82"/>
      <c r="H2536" s="96">
        <f t="shared" si="156"/>
        <v>901.17</v>
      </c>
      <c r="I2536" s="96">
        <f t="shared" si="156"/>
        <v>909.64</v>
      </c>
      <c r="J2536" s="91" t="str">
        <f t="shared" si="157"/>
        <v>Sinapi 94967</v>
      </c>
      <c r="K2536" s="91" t="str">
        <f t="shared" si="158"/>
        <v>M3</v>
      </c>
      <c r="L2536" s="166" t="str">
        <f t="shared" si="159"/>
        <v>05/2021</v>
      </c>
      <c r="M2536" s="82"/>
      <c r="N2536" s="82"/>
    </row>
    <row r="2537" spans="1:14" x14ac:dyDescent="0.25">
      <c r="A2537" s="170" t="s">
        <v>5323</v>
      </c>
      <c r="B2537" s="170" t="s">
        <v>13608</v>
      </c>
      <c r="C2537" s="170" t="s">
        <v>85</v>
      </c>
      <c r="D2537" s="170" t="s">
        <v>2067</v>
      </c>
      <c r="E2537" s="171" t="s">
        <v>32918</v>
      </c>
      <c r="F2537" s="171" t="s">
        <v>36195</v>
      </c>
      <c r="G2537" s="82"/>
      <c r="H2537" s="96">
        <f t="shared" si="156"/>
        <v>549.34</v>
      </c>
      <c r="I2537" s="96">
        <f t="shared" si="156"/>
        <v>556.66</v>
      </c>
      <c r="J2537" s="91" t="str">
        <f t="shared" si="157"/>
        <v>Sinapi 94968</v>
      </c>
      <c r="K2537" s="91" t="str">
        <f t="shared" si="158"/>
        <v>M3</v>
      </c>
      <c r="L2537" s="166" t="str">
        <f t="shared" si="159"/>
        <v>05/2021</v>
      </c>
      <c r="M2537" s="82"/>
      <c r="N2537" s="82"/>
    </row>
    <row r="2538" spans="1:14" x14ac:dyDescent="0.25">
      <c r="A2538" s="170" t="s">
        <v>5324</v>
      </c>
      <c r="B2538" s="170" t="s">
        <v>13609</v>
      </c>
      <c r="C2538" s="170" t="s">
        <v>85</v>
      </c>
      <c r="D2538" s="170" t="s">
        <v>2067</v>
      </c>
      <c r="E2538" s="171" t="s">
        <v>32919</v>
      </c>
      <c r="F2538" s="171" t="s">
        <v>36196</v>
      </c>
      <c r="G2538" s="82"/>
      <c r="H2538" s="96">
        <f t="shared" si="156"/>
        <v>624.74</v>
      </c>
      <c r="I2538" s="96">
        <f t="shared" si="156"/>
        <v>631.78</v>
      </c>
      <c r="J2538" s="91" t="str">
        <f t="shared" si="157"/>
        <v>Sinapi 94969</v>
      </c>
      <c r="K2538" s="91" t="str">
        <f t="shared" si="158"/>
        <v>M3</v>
      </c>
      <c r="L2538" s="166" t="str">
        <f t="shared" si="159"/>
        <v>05/2021</v>
      </c>
      <c r="M2538" s="82"/>
      <c r="N2538" s="82"/>
    </row>
    <row r="2539" spans="1:14" x14ac:dyDescent="0.25">
      <c r="A2539" s="170" t="s">
        <v>5325</v>
      </c>
      <c r="B2539" s="170" t="s">
        <v>13610</v>
      </c>
      <c r="C2539" s="170" t="s">
        <v>85</v>
      </c>
      <c r="D2539" s="170" t="s">
        <v>2067</v>
      </c>
      <c r="E2539" s="171" t="s">
        <v>32920</v>
      </c>
      <c r="F2539" s="171" t="s">
        <v>36197</v>
      </c>
      <c r="G2539" s="82"/>
      <c r="H2539" s="96">
        <f t="shared" si="156"/>
        <v>691.12</v>
      </c>
      <c r="I2539" s="96">
        <f t="shared" si="156"/>
        <v>698.15</v>
      </c>
      <c r="J2539" s="91" t="str">
        <f t="shared" si="157"/>
        <v>Sinapi 94970</v>
      </c>
      <c r="K2539" s="91" t="str">
        <f t="shared" si="158"/>
        <v>M3</v>
      </c>
      <c r="L2539" s="166" t="str">
        <f t="shared" si="159"/>
        <v>05/2021</v>
      </c>
      <c r="M2539" s="82"/>
      <c r="N2539" s="82"/>
    </row>
    <row r="2540" spans="1:14" x14ac:dyDescent="0.25">
      <c r="A2540" s="170" t="s">
        <v>5326</v>
      </c>
      <c r="B2540" s="170" t="s">
        <v>13611</v>
      </c>
      <c r="C2540" s="170" t="s">
        <v>85</v>
      </c>
      <c r="D2540" s="170" t="s">
        <v>2067</v>
      </c>
      <c r="E2540" s="171" t="s">
        <v>32921</v>
      </c>
      <c r="F2540" s="171" t="s">
        <v>36198</v>
      </c>
      <c r="G2540" s="82"/>
      <c r="H2540" s="96">
        <f t="shared" si="156"/>
        <v>741.17</v>
      </c>
      <c r="I2540" s="96">
        <f t="shared" si="156"/>
        <v>748.04</v>
      </c>
      <c r="J2540" s="91" t="str">
        <f t="shared" si="157"/>
        <v>Sinapi 94971</v>
      </c>
      <c r="K2540" s="91" t="str">
        <f t="shared" si="158"/>
        <v>M3</v>
      </c>
      <c r="L2540" s="166" t="str">
        <f t="shared" si="159"/>
        <v>05/2021</v>
      </c>
      <c r="M2540" s="82"/>
      <c r="N2540" s="82"/>
    </row>
    <row r="2541" spans="1:14" x14ac:dyDescent="0.25">
      <c r="A2541" s="170" t="s">
        <v>5327</v>
      </c>
      <c r="B2541" s="170" t="s">
        <v>13612</v>
      </c>
      <c r="C2541" s="170" t="s">
        <v>85</v>
      </c>
      <c r="D2541" s="170" t="s">
        <v>2067</v>
      </c>
      <c r="E2541" s="171" t="s">
        <v>32922</v>
      </c>
      <c r="F2541" s="171" t="s">
        <v>36199</v>
      </c>
      <c r="G2541" s="82"/>
      <c r="H2541" s="96">
        <f t="shared" si="156"/>
        <v>773.09</v>
      </c>
      <c r="I2541" s="96">
        <f t="shared" si="156"/>
        <v>779.91</v>
      </c>
      <c r="J2541" s="91" t="str">
        <f t="shared" si="157"/>
        <v>Sinapi 94972</v>
      </c>
      <c r="K2541" s="91" t="str">
        <f t="shared" si="158"/>
        <v>M3</v>
      </c>
      <c r="L2541" s="166" t="str">
        <f t="shared" si="159"/>
        <v>05/2021</v>
      </c>
      <c r="M2541" s="82"/>
      <c r="N2541" s="82"/>
    </row>
    <row r="2542" spans="1:14" x14ac:dyDescent="0.25">
      <c r="A2542" s="170" t="s">
        <v>5328</v>
      </c>
      <c r="B2542" s="170" t="s">
        <v>13613</v>
      </c>
      <c r="C2542" s="170" t="s">
        <v>85</v>
      </c>
      <c r="D2542" s="170" t="s">
        <v>2067</v>
      </c>
      <c r="E2542" s="171" t="s">
        <v>32923</v>
      </c>
      <c r="F2542" s="171" t="s">
        <v>36200</v>
      </c>
      <c r="G2542" s="82"/>
      <c r="H2542" s="96">
        <f t="shared" si="156"/>
        <v>897.25</v>
      </c>
      <c r="I2542" s="96">
        <f t="shared" si="156"/>
        <v>904.29</v>
      </c>
      <c r="J2542" s="91" t="str">
        <f t="shared" si="157"/>
        <v>Sinapi 94973</v>
      </c>
      <c r="K2542" s="91" t="str">
        <f t="shared" si="158"/>
        <v>M3</v>
      </c>
      <c r="L2542" s="166" t="str">
        <f t="shared" si="159"/>
        <v>05/2021</v>
      </c>
      <c r="M2542" s="82"/>
      <c r="N2542" s="82"/>
    </row>
    <row r="2543" spans="1:14" x14ac:dyDescent="0.25">
      <c r="A2543" s="170" t="s">
        <v>5329</v>
      </c>
      <c r="B2543" s="170" t="s">
        <v>13614</v>
      </c>
      <c r="C2543" s="170" t="s">
        <v>85</v>
      </c>
      <c r="D2543" s="170" t="s">
        <v>2067</v>
      </c>
      <c r="E2543" s="171" t="s">
        <v>32924</v>
      </c>
      <c r="F2543" s="171" t="s">
        <v>36201</v>
      </c>
      <c r="G2543" s="82"/>
      <c r="H2543" s="96">
        <f t="shared" si="156"/>
        <v>604.84</v>
      </c>
      <c r="I2543" s="96">
        <f t="shared" si="156"/>
        <v>616.78</v>
      </c>
      <c r="J2543" s="91" t="str">
        <f t="shared" si="157"/>
        <v>Sinapi 94974</v>
      </c>
      <c r="K2543" s="91" t="str">
        <f t="shared" si="158"/>
        <v>M3</v>
      </c>
      <c r="L2543" s="166" t="str">
        <f t="shared" si="159"/>
        <v>05/2021</v>
      </c>
      <c r="M2543" s="82"/>
      <c r="N2543" s="82"/>
    </row>
    <row r="2544" spans="1:14" x14ac:dyDescent="0.25">
      <c r="A2544" s="170" t="s">
        <v>5330</v>
      </c>
      <c r="B2544" s="170" t="s">
        <v>13615</v>
      </c>
      <c r="C2544" s="170" t="s">
        <v>85</v>
      </c>
      <c r="D2544" s="170" t="s">
        <v>2067</v>
      </c>
      <c r="E2544" s="171" t="s">
        <v>32925</v>
      </c>
      <c r="F2544" s="171" t="s">
        <v>36202</v>
      </c>
      <c r="G2544" s="82"/>
      <c r="H2544" s="96">
        <f t="shared" si="156"/>
        <v>676.88</v>
      </c>
      <c r="I2544" s="96">
        <f t="shared" si="156"/>
        <v>688.67</v>
      </c>
      <c r="J2544" s="91" t="str">
        <f t="shared" si="157"/>
        <v>Sinapi 94975</v>
      </c>
      <c r="K2544" s="91" t="str">
        <f t="shared" si="158"/>
        <v>M3</v>
      </c>
      <c r="L2544" s="166" t="str">
        <f t="shared" si="159"/>
        <v>05/2021</v>
      </c>
      <c r="M2544" s="82"/>
      <c r="N2544" s="82"/>
    </row>
    <row r="2545" spans="1:14" x14ac:dyDescent="0.25">
      <c r="A2545" s="170" t="s">
        <v>5331</v>
      </c>
      <c r="B2545" s="170" t="s">
        <v>5332</v>
      </c>
      <c r="C2545" s="170" t="s">
        <v>85</v>
      </c>
      <c r="D2545" s="170" t="s">
        <v>1947</v>
      </c>
      <c r="E2545" s="171" t="s">
        <v>32926</v>
      </c>
      <c r="F2545" s="171" t="s">
        <v>36203</v>
      </c>
      <c r="G2545" s="82"/>
      <c r="H2545" s="96">
        <f t="shared" si="156"/>
        <v>992.4</v>
      </c>
      <c r="I2545" s="96">
        <f t="shared" si="156"/>
        <v>1011.66</v>
      </c>
      <c r="J2545" s="91" t="str">
        <f t="shared" si="157"/>
        <v>Sinapi 96555</v>
      </c>
      <c r="K2545" s="91" t="str">
        <f t="shared" si="158"/>
        <v>M3</v>
      </c>
      <c r="L2545" s="166" t="str">
        <f t="shared" si="159"/>
        <v>06/2017</v>
      </c>
      <c r="M2545" s="82"/>
      <c r="N2545" s="82"/>
    </row>
    <row r="2546" spans="1:14" x14ac:dyDescent="0.25">
      <c r="A2546" s="170" t="s">
        <v>5333</v>
      </c>
      <c r="B2546" s="170" t="s">
        <v>5334</v>
      </c>
      <c r="C2546" s="170" t="s">
        <v>85</v>
      </c>
      <c r="D2546" s="170" t="s">
        <v>1947</v>
      </c>
      <c r="E2546" s="171" t="s">
        <v>32927</v>
      </c>
      <c r="F2546" s="171" t="s">
        <v>36204</v>
      </c>
      <c r="G2546" s="82"/>
      <c r="H2546" s="96">
        <f t="shared" si="156"/>
        <v>1069.0999999999999</v>
      </c>
      <c r="I2546" s="96">
        <f t="shared" si="156"/>
        <v>1097.0899999999999</v>
      </c>
      <c r="J2546" s="91" t="str">
        <f t="shared" si="157"/>
        <v>Sinapi 96556</v>
      </c>
      <c r="K2546" s="91" t="str">
        <f t="shared" si="158"/>
        <v>M3</v>
      </c>
      <c r="L2546" s="166" t="str">
        <f t="shared" si="159"/>
        <v>06/2017</v>
      </c>
      <c r="M2546" s="82"/>
      <c r="N2546" s="82"/>
    </row>
    <row r="2547" spans="1:14" x14ac:dyDescent="0.25">
      <c r="A2547" s="170" t="s">
        <v>5335</v>
      </c>
      <c r="B2547" s="170" t="s">
        <v>5336</v>
      </c>
      <c r="C2547" s="170" t="s">
        <v>85</v>
      </c>
      <c r="D2547" s="170" t="s">
        <v>1947</v>
      </c>
      <c r="E2547" s="171" t="s">
        <v>32928</v>
      </c>
      <c r="F2547" s="171" t="s">
        <v>36205</v>
      </c>
      <c r="G2547" s="82"/>
      <c r="H2547" s="96">
        <f t="shared" si="156"/>
        <v>1477.86</v>
      </c>
      <c r="I2547" s="96">
        <f t="shared" si="156"/>
        <v>1479.92</v>
      </c>
      <c r="J2547" s="91" t="str">
        <f t="shared" si="157"/>
        <v>Sinapi 96557</v>
      </c>
      <c r="K2547" s="91" t="str">
        <f t="shared" si="158"/>
        <v>M3</v>
      </c>
      <c r="L2547" s="166" t="str">
        <f t="shared" si="159"/>
        <v>06/2017</v>
      </c>
      <c r="M2547" s="82"/>
      <c r="N2547" s="82"/>
    </row>
    <row r="2548" spans="1:14" x14ac:dyDescent="0.25">
      <c r="A2548" s="170" t="s">
        <v>5337</v>
      </c>
      <c r="B2548" s="170" t="s">
        <v>5338</v>
      </c>
      <c r="C2548" s="170" t="s">
        <v>85</v>
      </c>
      <c r="D2548" s="170" t="s">
        <v>1947</v>
      </c>
      <c r="E2548" s="171" t="s">
        <v>32929</v>
      </c>
      <c r="F2548" s="171" t="s">
        <v>36206</v>
      </c>
      <c r="G2548" s="82"/>
      <c r="H2548" s="96">
        <f t="shared" si="156"/>
        <v>1484.66</v>
      </c>
      <c r="I2548" s="96">
        <f t="shared" si="156"/>
        <v>1487.46</v>
      </c>
      <c r="J2548" s="91" t="str">
        <f t="shared" si="157"/>
        <v>Sinapi 96558</v>
      </c>
      <c r="K2548" s="91" t="str">
        <f t="shared" si="158"/>
        <v>M3</v>
      </c>
      <c r="L2548" s="166" t="str">
        <f t="shared" si="159"/>
        <v>11/2016</v>
      </c>
      <c r="M2548" s="82"/>
      <c r="N2548" s="82"/>
    </row>
    <row r="2549" spans="1:14" x14ac:dyDescent="0.25">
      <c r="A2549" s="170" t="s">
        <v>5339</v>
      </c>
      <c r="B2549" s="170" t="s">
        <v>14647</v>
      </c>
      <c r="C2549" s="170" t="s">
        <v>85</v>
      </c>
      <c r="D2549" s="170" t="s">
        <v>2067</v>
      </c>
      <c r="E2549" s="171" t="s">
        <v>32930</v>
      </c>
      <c r="F2549" s="171" t="s">
        <v>36207</v>
      </c>
      <c r="G2549" s="82"/>
      <c r="H2549" s="96">
        <f t="shared" si="156"/>
        <v>1438.71</v>
      </c>
      <c r="I2549" s="96">
        <f t="shared" si="156"/>
        <v>1440.34</v>
      </c>
      <c r="J2549" s="91" t="str">
        <f t="shared" si="157"/>
        <v>Sinapi 99235</v>
      </c>
      <c r="K2549" s="91" t="str">
        <f t="shared" si="158"/>
        <v>M3</v>
      </c>
      <c r="L2549" s="166" t="str">
        <f t="shared" si="159"/>
        <v>10/2021</v>
      </c>
      <c r="M2549" s="82"/>
      <c r="N2549" s="82"/>
    </row>
    <row r="2550" spans="1:14" x14ac:dyDescent="0.25">
      <c r="A2550" s="170" t="s">
        <v>5340</v>
      </c>
      <c r="B2550" s="170" t="s">
        <v>14648</v>
      </c>
      <c r="C2550" s="170" t="s">
        <v>85</v>
      </c>
      <c r="D2550" s="170" t="s">
        <v>1947</v>
      </c>
      <c r="E2550" s="171" t="s">
        <v>32931</v>
      </c>
      <c r="F2550" s="171" t="s">
        <v>36208</v>
      </c>
      <c r="G2550" s="82"/>
      <c r="H2550" s="96">
        <f t="shared" si="156"/>
        <v>1474.3</v>
      </c>
      <c r="I2550" s="96">
        <f t="shared" si="156"/>
        <v>1477.04</v>
      </c>
      <c r="J2550" s="91" t="str">
        <f t="shared" si="157"/>
        <v>Sinapi 99431</v>
      </c>
      <c r="K2550" s="91" t="str">
        <f t="shared" si="158"/>
        <v>M3</v>
      </c>
      <c r="L2550" s="166" t="str">
        <f t="shared" si="159"/>
        <v>10/2021</v>
      </c>
      <c r="M2550" s="82"/>
      <c r="N2550" s="82"/>
    </row>
    <row r="2551" spans="1:14" x14ac:dyDescent="0.25">
      <c r="A2551" s="170" t="s">
        <v>5341</v>
      </c>
      <c r="B2551" s="170" t="s">
        <v>14649</v>
      </c>
      <c r="C2551" s="170" t="s">
        <v>85</v>
      </c>
      <c r="D2551" s="170" t="s">
        <v>1947</v>
      </c>
      <c r="E2551" s="171" t="s">
        <v>32932</v>
      </c>
      <c r="F2551" s="171" t="s">
        <v>36209</v>
      </c>
      <c r="G2551" s="82"/>
      <c r="H2551" s="96">
        <f t="shared" si="156"/>
        <v>1433.32</v>
      </c>
      <c r="I2551" s="96">
        <f t="shared" si="156"/>
        <v>1435.87</v>
      </c>
      <c r="J2551" s="91" t="str">
        <f t="shared" si="157"/>
        <v>Sinapi 99432</v>
      </c>
      <c r="K2551" s="91" t="str">
        <f t="shared" si="158"/>
        <v>M3</v>
      </c>
      <c r="L2551" s="166" t="str">
        <f t="shared" si="159"/>
        <v>10/2021</v>
      </c>
      <c r="M2551" s="82"/>
      <c r="N2551" s="82"/>
    </row>
    <row r="2552" spans="1:14" x14ac:dyDescent="0.25">
      <c r="A2552" s="170" t="s">
        <v>5342</v>
      </c>
      <c r="B2552" s="170" t="s">
        <v>14650</v>
      </c>
      <c r="C2552" s="170" t="s">
        <v>85</v>
      </c>
      <c r="D2552" s="170" t="s">
        <v>1947</v>
      </c>
      <c r="E2552" s="171" t="s">
        <v>32933</v>
      </c>
      <c r="F2552" s="171" t="s">
        <v>36210</v>
      </c>
      <c r="G2552" s="82"/>
      <c r="H2552" s="96">
        <f t="shared" si="156"/>
        <v>1537.65</v>
      </c>
      <c r="I2552" s="96">
        <f t="shared" si="156"/>
        <v>1541.63</v>
      </c>
      <c r="J2552" s="91" t="str">
        <f t="shared" si="157"/>
        <v>Sinapi 99433</v>
      </c>
      <c r="K2552" s="91" t="str">
        <f t="shared" si="158"/>
        <v>M3</v>
      </c>
      <c r="L2552" s="166" t="str">
        <f t="shared" si="159"/>
        <v>10/2021</v>
      </c>
      <c r="M2552" s="82"/>
      <c r="N2552" s="82"/>
    </row>
    <row r="2553" spans="1:14" x14ac:dyDescent="0.25">
      <c r="A2553" s="170" t="s">
        <v>5343</v>
      </c>
      <c r="B2553" s="170" t="s">
        <v>14651</v>
      </c>
      <c r="C2553" s="170" t="s">
        <v>85</v>
      </c>
      <c r="D2553" s="170" t="s">
        <v>1947</v>
      </c>
      <c r="E2553" s="171" t="s">
        <v>32934</v>
      </c>
      <c r="F2553" s="171" t="s">
        <v>36211</v>
      </c>
      <c r="G2553" s="82"/>
      <c r="H2553" s="96">
        <f t="shared" si="156"/>
        <v>1477.96</v>
      </c>
      <c r="I2553" s="96">
        <f t="shared" si="156"/>
        <v>1481.13</v>
      </c>
      <c r="J2553" s="91" t="str">
        <f t="shared" si="157"/>
        <v>Sinapi 99434</v>
      </c>
      <c r="K2553" s="91" t="str">
        <f t="shared" si="158"/>
        <v>M3</v>
      </c>
      <c r="L2553" s="166" t="str">
        <f t="shared" si="159"/>
        <v>10/2021</v>
      </c>
      <c r="M2553" s="82"/>
      <c r="N2553" s="82"/>
    </row>
    <row r="2554" spans="1:14" x14ac:dyDescent="0.25">
      <c r="A2554" s="170" t="s">
        <v>5344</v>
      </c>
      <c r="B2554" s="170" t="s">
        <v>14652</v>
      </c>
      <c r="C2554" s="170" t="s">
        <v>85</v>
      </c>
      <c r="D2554" s="170" t="s">
        <v>1947</v>
      </c>
      <c r="E2554" s="171" t="s">
        <v>32935</v>
      </c>
      <c r="F2554" s="171" t="s">
        <v>36212</v>
      </c>
      <c r="G2554" s="82"/>
      <c r="H2554" s="96">
        <f t="shared" si="156"/>
        <v>1435.83</v>
      </c>
      <c r="I2554" s="96">
        <f t="shared" si="156"/>
        <v>1438.66</v>
      </c>
      <c r="J2554" s="91" t="str">
        <f t="shared" si="157"/>
        <v>Sinapi 99435</v>
      </c>
      <c r="K2554" s="91" t="str">
        <f t="shared" si="158"/>
        <v>M3</v>
      </c>
      <c r="L2554" s="166" t="str">
        <f t="shared" si="159"/>
        <v>10/2021</v>
      </c>
      <c r="M2554" s="82"/>
      <c r="N2554" s="82"/>
    </row>
    <row r="2555" spans="1:14" x14ac:dyDescent="0.25">
      <c r="A2555" s="170" t="s">
        <v>5345</v>
      </c>
      <c r="B2555" s="170" t="s">
        <v>14653</v>
      </c>
      <c r="C2555" s="170" t="s">
        <v>85</v>
      </c>
      <c r="D2555" s="170" t="s">
        <v>1947</v>
      </c>
      <c r="E2555" s="171" t="s">
        <v>32936</v>
      </c>
      <c r="F2555" s="171" t="s">
        <v>36213</v>
      </c>
      <c r="G2555" s="82"/>
      <c r="H2555" s="96">
        <f t="shared" si="156"/>
        <v>1556.77</v>
      </c>
      <c r="I2555" s="96">
        <f t="shared" si="156"/>
        <v>1562.89</v>
      </c>
      <c r="J2555" s="91" t="str">
        <f t="shared" si="157"/>
        <v>Sinapi 99436</v>
      </c>
      <c r="K2555" s="91" t="str">
        <f t="shared" si="158"/>
        <v>M3</v>
      </c>
      <c r="L2555" s="166" t="str">
        <f t="shared" si="159"/>
        <v>10/2021</v>
      </c>
      <c r="M2555" s="82"/>
      <c r="N2555" s="82"/>
    </row>
    <row r="2556" spans="1:14" x14ac:dyDescent="0.25">
      <c r="A2556" s="170" t="s">
        <v>5346</v>
      </c>
      <c r="B2556" s="170" t="s">
        <v>14654</v>
      </c>
      <c r="C2556" s="170" t="s">
        <v>85</v>
      </c>
      <c r="D2556" s="170" t="s">
        <v>2067</v>
      </c>
      <c r="E2556" s="171" t="s">
        <v>32937</v>
      </c>
      <c r="F2556" s="171" t="s">
        <v>36214</v>
      </c>
      <c r="G2556" s="82"/>
      <c r="H2556" s="96">
        <f t="shared" si="156"/>
        <v>1521</v>
      </c>
      <c r="I2556" s="96">
        <f t="shared" si="156"/>
        <v>1523.05</v>
      </c>
      <c r="J2556" s="91" t="str">
        <f t="shared" si="157"/>
        <v>Sinapi 99437</v>
      </c>
      <c r="K2556" s="91" t="str">
        <f t="shared" si="158"/>
        <v>M3</v>
      </c>
      <c r="L2556" s="166" t="str">
        <f t="shared" si="159"/>
        <v>10/2021</v>
      </c>
      <c r="M2556" s="82"/>
      <c r="N2556" s="82"/>
    </row>
    <row r="2557" spans="1:14" x14ac:dyDescent="0.25">
      <c r="A2557" s="170" t="s">
        <v>5347</v>
      </c>
      <c r="B2557" s="170" t="s">
        <v>14655</v>
      </c>
      <c r="C2557" s="170" t="s">
        <v>85</v>
      </c>
      <c r="D2557" s="170" t="s">
        <v>2067</v>
      </c>
      <c r="E2557" s="171" t="s">
        <v>32938</v>
      </c>
      <c r="F2557" s="171" t="s">
        <v>36215</v>
      </c>
      <c r="G2557" s="82"/>
      <c r="H2557" s="96">
        <f t="shared" si="156"/>
        <v>1526.25</v>
      </c>
      <c r="I2557" s="96">
        <f t="shared" si="156"/>
        <v>1528.9</v>
      </c>
      <c r="J2557" s="91" t="str">
        <f t="shared" si="157"/>
        <v>Sinapi 99438</v>
      </c>
      <c r="K2557" s="91" t="str">
        <f t="shared" si="158"/>
        <v>M3</v>
      </c>
      <c r="L2557" s="166" t="str">
        <f t="shared" si="159"/>
        <v>10/2021</v>
      </c>
      <c r="M2557" s="82"/>
      <c r="N2557" s="82"/>
    </row>
    <row r="2558" spans="1:14" x14ac:dyDescent="0.25">
      <c r="A2558" s="170" t="s">
        <v>5348</v>
      </c>
      <c r="B2558" s="170" t="s">
        <v>14656</v>
      </c>
      <c r="C2558" s="170" t="s">
        <v>85</v>
      </c>
      <c r="D2558" s="170" t="s">
        <v>1947</v>
      </c>
      <c r="E2558" s="171" t="s">
        <v>32939</v>
      </c>
      <c r="F2558" s="171" t="s">
        <v>36216</v>
      </c>
      <c r="G2558" s="82"/>
      <c r="H2558" s="96">
        <f t="shared" si="156"/>
        <v>1449.24</v>
      </c>
      <c r="I2558" s="96">
        <f t="shared" si="156"/>
        <v>1452.1</v>
      </c>
      <c r="J2558" s="91" t="str">
        <f t="shared" si="157"/>
        <v>Sinapi 99439</v>
      </c>
      <c r="K2558" s="91" t="str">
        <f t="shared" si="158"/>
        <v>M3</v>
      </c>
      <c r="L2558" s="166" t="str">
        <f t="shared" si="159"/>
        <v>10/2021</v>
      </c>
      <c r="M2558" s="82"/>
      <c r="N2558" s="82"/>
    </row>
    <row r="2559" spans="1:14" x14ac:dyDescent="0.25">
      <c r="A2559" s="170" t="s">
        <v>13616</v>
      </c>
      <c r="B2559" s="170" t="s">
        <v>13617</v>
      </c>
      <c r="C2559" s="170" t="s">
        <v>85</v>
      </c>
      <c r="D2559" s="170" t="s">
        <v>2067</v>
      </c>
      <c r="E2559" s="171" t="s">
        <v>32940</v>
      </c>
      <c r="F2559" s="171" t="s">
        <v>36217</v>
      </c>
      <c r="G2559" s="82"/>
      <c r="H2559" s="96">
        <f t="shared" si="156"/>
        <v>886.18</v>
      </c>
      <c r="I2559" s="96">
        <f t="shared" si="156"/>
        <v>894.47</v>
      </c>
      <c r="J2559" s="91" t="str">
        <f t="shared" si="157"/>
        <v>Sinapi 102473</v>
      </c>
      <c r="K2559" s="91" t="str">
        <f t="shared" si="158"/>
        <v>M3</v>
      </c>
      <c r="L2559" s="166" t="str">
        <f t="shared" si="159"/>
        <v>05/2021</v>
      </c>
      <c r="M2559" s="82"/>
      <c r="N2559" s="82"/>
    </row>
    <row r="2560" spans="1:14" x14ac:dyDescent="0.25">
      <c r="A2560" s="170" t="s">
        <v>13618</v>
      </c>
      <c r="B2560" s="170" t="s">
        <v>13619</v>
      </c>
      <c r="C2560" s="170" t="s">
        <v>85</v>
      </c>
      <c r="D2560" s="170" t="s">
        <v>2067</v>
      </c>
      <c r="E2560" s="171" t="s">
        <v>32941</v>
      </c>
      <c r="F2560" s="171" t="s">
        <v>36218</v>
      </c>
      <c r="G2560" s="82"/>
      <c r="H2560" s="96">
        <f t="shared" si="156"/>
        <v>956.08</v>
      </c>
      <c r="I2560" s="96">
        <f t="shared" si="156"/>
        <v>964.32</v>
      </c>
      <c r="J2560" s="91" t="str">
        <f t="shared" si="157"/>
        <v>Sinapi 102474</v>
      </c>
      <c r="K2560" s="91" t="str">
        <f t="shared" si="158"/>
        <v>M3</v>
      </c>
      <c r="L2560" s="166" t="str">
        <f t="shared" si="159"/>
        <v>05/2021</v>
      </c>
      <c r="M2560" s="82"/>
      <c r="N2560" s="82"/>
    </row>
    <row r="2561" spans="1:14" x14ac:dyDescent="0.25">
      <c r="A2561" s="170" t="s">
        <v>13620</v>
      </c>
      <c r="B2561" s="170" t="s">
        <v>13621</v>
      </c>
      <c r="C2561" s="170" t="s">
        <v>85</v>
      </c>
      <c r="D2561" s="170" t="s">
        <v>2067</v>
      </c>
      <c r="E2561" s="171" t="s">
        <v>32942</v>
      </c>
      <c r="F2561" s="171" t="s">
        <v>36219</v>
      </c>
      <c r="G2561" s="82"/>
      <c r="H2561" s="96">
        <f t="shared" si="156"/>
        <v>1039.42</v>
      </c>
      <c r="I2561" s="96">
        <f t="shared" si="156"/>
        <v>1048.51</v>
      </c>
      <c r="J2561" s="91" t="str">
        <f t="shared" si="157"/>
        <v>Sinapi 102475</v>
      </c>
      <c r="K2561" s="91" t="str">
        <f t="shared" si="158"/>
        <v>M3</v>
      </c>
      <c r="L2561" s="166" t="str">
        <f t="shared" si="159"/>
        <v>05/2021</v>
      </c>
      <c r="M2561" s="82"/>
      <c r="N2561" s="82"/>
    </row>
    <row r="2562" spans="1:14" x14ac:dyDescent="0.25">
      <c r="A2562" s="170" t="s">
        <v>13622</v>
      </c>
      <c r="B2562" s="170" t="s">
        <v>13623</v>
      </c>
      <c r="C2562" s="170" t="s">
        <v>85</v>
      </c>
      <c r="D2562" s="170" t="s">
        <v>2067</v>
      </c>
      <c r="E2562" s="171" t="s">
        <v>32943</v>
      </c>
      <c r="F2562" s="171" t="s">
        <v>36220</v>
      </c>
      <c r="G2562" s="82"/>
      <c r="H2562" s="96">
        <f t="shared" si="156"/>
        <v>1084.9000000000001</v>
      </c>
      <c r="I2562" s="96">
        <f t="shared" si="156"/>
        <v>1092.71</v>
      </c>
      <c r="J2562" s="91" t="str">
        <f t="shared" si="157"/>
        <v>Sinapi 102476</v>
      </c>
      <c r="K2562" s="91" t="str">
        <f t="shared" si="158"/>
        <v>M3</v>
      </c>
      <c r="L2562" s="166" t="str">
        <f t="shared" si="159"/>
        <v>05/2021</v>
      </c>
      <c r="M2562" s="82"/>
      <c r="N2562" s="82"/>
    </row>
    <row r="2563" spans="1:14" x14ac:dyDescent="0.25">
      <c r="A2563" s="170" t="s">
        <v>13624</v>
      </c>
      <c r="B2563" s="170" t="s">
        <v>13625</v>
      </c>
      <c r="C2563" s="170" t="s">
        <v>85</v>
      </c>
      <c r="D2563" s="170" t="s">
        <v>2067</v>
      </c>
      <c r="E2563" s="171" t="s">
        <v>32944</v>
      </c>
      <c r="F2563" s="171" t="s">
        <v>36221</v>
      </c>
      <c r="G2563" s="82"/>
      <c r="H2563" s="96">
        <f t="shared" si="156"/>
        <v>1146.31</v>
      </c>
      <c r="I2563" s="96">
        <f t="shared" si="156"/>
        <v>1154.92</v>
      </c>
      <c r="J2563" s="91" t="str">
        <f t="shared" si="157"/>
        <v>Sinapi 102477</v>
      </c>
      <c r="K2563" s="91" t="str">
        <f t="shared" si="158"/>
        <v>M3</v>
      </c>
      <c r="L2563" s="166" t="str">
        <f t="shared" si="159"/>
        <v>05/2021</v>
      </c>
      <c r="M2563" s="82"/>
      <c r="N2563" s="82"/>
    </row>
    <row r="2564" spans="1:14" x14ac:dyDescent="0.25">
      <c r="A2564" s="170" t="s">
        <v>13626</v>
      </c>
      <c r="B2564" s="170" t="s">
        <v>13627</v>
      </c>
      <c r="C2564" s="170" t="s">
        <v>85</v>
      </c>
      <c r="D2564" s="170" t="s">
        <v>2067</v>
      </c>
      <c r="E2564" s="171" t="s">
        <v>32945</v>
      </c>
      <c r="F2564" s="171" t="s">
        <v>36222</v>
      </c>
      <c r="G2564" s="82"/>
      <c r="H2564" s="96">
        <f t="shared" si="156"/>
        <v>1249.55</v>
      </c>
      <c r="I2564" s="96">
        <f t="shared" si="156"/>
        <v>1257.3599999999999</v>
      </c>
      <c r="J2564" s="91" t="str">
        <f t="shared" si="157"/>
        <v>Sinapi 102478</v>
      </c>
      <c r="K2564" s="91" t="str">
        <f t="shared" si="158"/>
        <v>M3</v>
      </c>
      <c r="L2564" s="166" t="str">
        <f t="shared" si="159"/>
        <v>05/2021</v>
      </c>
      <c r="M2564" s="82"/>
      <c r="N2564" s="82"/>
    </row>
    <row r="2565" spans="1:14" x14ac:dyDescent="0.25">
      <c r="A2565" s="170" t="s">
        <v>13628</v>
      </c>
      <c r="B2565" s="170" t="s">
        <v>13629</v>
      </c>
      <c r="C2565" s="170" t="s">
        <v>85</v>
      </c>
      <c r="D2565" s="170" t="s">
        <v>2067</v>
      </c>
      <c r="E2565" s="171" t="s">
        <v>32946</v>
      </c>
      <c r="F2565" s="171" t="s">
        <v>36223</v>
      </c>
      <c r="G2565" s="82"/>
      <c r="H2565" s="96">
        <f t="shared" si="156"/>
        <v>887.35</v>
      </c>
      <c r="I2565" s="96">
        <f t="shared" si="156"/>
        <v>894.79</v>
      </c>
      <c r="J2565" s="91" t="str">
        <f t="shared" si="157"/>
        <v>Sinapi 102479</v>
      </c>
      <c r="K2565" s="91" t="str">
        <f t="shared" si="158"/>
        <v>M3</v>
      </c>
      <c r="L2565" s="166" t="str">
        <f t="shared" si="159"/>
        <v>05/2021</v>
      </c>
      <c r="M2565" s="82"/>
      <c r="N2565" s="82"/>
    </row>
    <row r="2566" spans="1:14" x14ac:dyDescent="0.25">
      <c r="A2566" s="170" t="s">
        <v>13630</v>
      </c>
      <c r="B2566" s="170" t="s">
        <v>13631</v>
      </c>
      <c r="C2566" s="170" t="s">
        <v>85</v>
      </c>
      <c r="D2566" s="170" t="s">
        <v>2067</v>
      </c>
      <c r="E2566" s="171" t="s">
        <v>32947</v>
      </c>
      <c r="F2566" s="171" t="s">
        <v>36224</v>
      </c>
      <c r="G2566" s="82"/>
      <c r="H2566" s="96">
        <f t="shared" si="156"/>
        <v>953.22</v>
      </c>
      <c r="I2566" s="96">
        <f t="shared" si="156"/>
        <v>960.42</v>
      </c>
      <c r="J2566" s="91" t="str">
        <f t="shared" si="157"/>
        <v>Sinapi 102480</v>
      </c>
      <c r="K2566" s="91" t="str">
        <f t="shared" si="158"/>
        <v>M3</v>
      </c>
      <c r="L2566" s="166" t="str">
        <f t="shared" si="159"/>
        <v>05/2021</v>
      </c>
      <c r="M2566" s="82"/>
      <c r="N2566" s="82"/>
    </row>
    <row r="2567" spans="1:14" x14ac:dyDescent="0.25">
      <c r="A2567" s="170" t="s">
        <v>13632</v>
      </c>
      <c r="B2567" s="170" t="s">
        <v>13633</v>
      </c>
      <c r="C2567" s="170" t="s">
        <v>85</v>
      </c>
      <c r="D2567" s="170" t="s">
        <v>2067</v>
      </c>
      <c r="E2567" s="171" t="s">
        <v>32948</v>
      </c>
      <c r="F2567" s="171" t="s">
        <v>36225</v>
      </c>
      <c r="G2567" s="82"/>
      <c r="H2567" s="96">
        <f t="shared" si="156"/>
        <v>1032.54</v>
      </c>
      <c r="I2567" s="96">
        <f t="shared" si="156"/>
        <v>1039.79</v>
      </c>
      <c r="J2567" s="91" t="str">
        <f t="shared" si="157"/>
        <v>Sinapi 102481</v>
      </c>
      <c r="K2567" s="91" t="str">
        <f t="shared" si="158"/>
        <v>M3</v>
      </c>
      <c r="L2567" s="166" t="str">
        <f t="shared" si="159"/>
        <v>05/2021</v>
      </c>
      <c r="M2567" s="82"/>
      <c r="N2567" s="82"/>
    </row>
    <row r="2568" spans="1:14" x14ac:dyDescent="0.25">
      <c r="A2568" s="170" t="s">
        <v>13634</v>
      </c>
      <c r="B2568" s="170" t="s">
        <v>13635</v>
      </c>
      <c r="C2568" s="170" t="s">
        <v>85</v>
      </c>
      <c r="D2568" s="170" t="s">
        <v>2067</v>
      </c>
      <c r="E2568" s="171" t="s">
        <v>32949</v>
      </c>
      <c r="F2568" s="171" t="s">
        <v>36226</v>
      </c>
      <c r="G2568" s="82"/>
      <c r="H2568" s="96">
        <f t="shared" ref="H2568:I2631" si="160">IF(E2568="","",E2568+0)</f>
        <v>1086.96</v>
      </c>
      <c r="I2568" s="96">
        <f t="shared" si="160"/>
        <v>1093.8900000000001</v>
      </c>
      <c r="J2568" s="91" t="str">
        <f t="shared" ref="J2568:J2631" si="161">IF(OR(H2568="",I2568=""),"",TRIM(CONCATENATE("Sinapi ",A2568)))</f>
        <v>Sinapi 102482</v>
      </c>
      <c r="K2568" s="91" t="str">
        <f t="shared" ref="K2568:K2631" si="162">TRIM(C2568)</f>
        <v>M3</v>
      </c>
      <c r="L2568" s="166" t="str">
        <f t="shared" ref="L2568:L2631" si="163">IF(OR(RIGHT(IF(AND(K2568&lt;&gt;"H",K2568&lt;&gt;"MES"),RIGHT(B2568,7),""),2)="PS",RIGHT(IF(AND(K2568&lt;&gt;"H",K2568&lt;&gt;"MES"),RIGHT(B2568,7),""),2)="PA",RIGHT(IF(AND(K2568&lt;&gt;"H",K2568&lt;&gt;"MES"),RIGHT(B2568,7),""),2)="PE"),LEFT(IF(AND(K2568&lt;&gt;"H",K2568&lt;&gt;"MES"),RIGHT(B2568,10),""),7),IF(AND(K2568&lt;&gt;"H",K2568&lt;&gt;"MES"),RIGHT(B2568,7),""))</f>
        <v>05/2021</v>
      </c>
      <c r="M2568" s="82"/>
      <c r="N2568" s="82"/>
    </row>
    <row r="2569" spans="1:14" x14ac:dyDescent="0.25">
      <c r="A2569" s="170" t="s">
        <v>13636</v>
      </c>
      <c r="B2569" s="170" t="s">
        <v>13637</v>
      </c>
      <c r="C2569" s="170" t="s">
        <v>85</v>
      </c>
      <c r="D2569" s="170" t="s">
        <v>2067</v>
      </c>
      <c r="E2569" s="171" t="s">
        <v>32950</v>
      </c>
      <c r="F2569" s="171" t="s">
        <v>36227</v>
      </c>
      <c r="G2569" s="82"/>
      <c r="H2569" s="96">
        <f t="shared" si="160"/>
        <v>1146.24</v>
      </c>
      <c r="I2569" s="96">
        <f t="shared" si="160"/>
        <v>1153.3900000000001</v>
      </c>
      <c r="J2569" s="91" t="str">
        <f t="shared" si="161"/>
        <v>Sinapi 102483</v>
      </c>
      <c r="K2569" s="91" t="str">
        <f t="shared" si="162"/>
        <v>M3</v>
      </c>
      <c r="L2569" s="166" t="str">
        <f t="shared" si="163"/>
        <v>05/2021</v>
      </c>
      <c r="M2569" s="82"/>
      <c r="N2569" s="82"/>
    </row>
    <row r="2570" spans="1:14" x14ac:dyDescent="0.25">
      <c r="A2570" s="170" t="s">
        <v>13638</v>
      </c>
      <c r="B2570" s="170" t="s">
        <v>13639</v>
      </c>
      <c r="C2570" s="170" t="s">
        <v>85</v>
      </c>
      <c r="D2570" s="170" t="s">
        <v>2067</v>
      </c>
      <c r="E2570" s="171" t="s">
        <v>32951</v>
      </c>
      <c r="F2570" s="171" t="s">
        <v>36228</v>
      </c>
      <c r="G2570" s="82"/>
      <c r="H2570" s="96">
        <f t="shared" si="160"/>
        <v>1252.75</v>
      </c>
      <c r="I2570" s="96">
        <f t="shared" si="160"/>
        <v>1259.9000000000001</v>
      </c>
      <c r="J2570" s="91" t="str">
        <f t="shared" si="161"/>
        <v>Sinapi 102484</v>
      </c>
      <c r="K2570" s="91" t="str">
        <f t="shared" si="162"/>
        <v>M3</v>
      </c>
      <c r="L2570" s="166" t="str">
        <f t="shared" si="163"/>
        <v>05/2021</v>
      </c>
      <c r="M2570" s="82"/>
      <c r="N2570" s="82"/>
    </row>
    <row r="2571" spans="1:14" x14ac:dyDescent="0.25">
      <c r="A2571" s="170" t="s">
        <v>13640</v>
      </c>
      <c r="B2571" s="170" t="s">
        <v>13641</v>
      </c>
      <c r="C2571" s="170" t="s">
        <v>85</v>
      </c>
      <c r="D2571" s="170" t="s">
        <v>2067</v>
      </c>
      <c r="E2571" s="171" t="s">
        <v>32952</v>
      </c>
      <c r="F2571" s="171" t="s">
        <v>36229</v>
      </c>
      <c r="G2571" s="82"/>
      <c r="H2571" s="96">
        <f t="shared" si="160"/>
        <v>950.08</v>
      </c>
      <c r="I2571" s="96">
        <f t="shared" si="160"/>
        <v>962.05</v>
      </c>
      <c r="J2571" s="91" t="str">
        <f t="shared" si="161"/>
        <v>Sinapi 102485</v>
      </c>
      <c r="K2571" s="91" t="str">
        <f t="shared" si="162"/>
        <v>M3</v>
      </c>
      <c r="L2571" s="166" t="str">
        <f t="shared" si="163"/>
        <v>05/2021</v>
      </c>
      <c r="M2571" s="82"/>
      <c r="N2571" s="82"/>
    </row>
    <row r="2572" spans="1:14" x14ac:dyDescent="0.25">
      <c r="A2572" s="170" t="s">
        <v>13642</v>
      </c>
      <c r="B2572" s="170" t="s">
        <v>13643</v>
      </c>
      <c r="C2572" s="170" t="s">
        <v>85</v>
      </c>
      <c r="D2572" s="170" t="s">
        <v>2067</v>
      </c>
      <c r="E2572" s="171" t="s">
        <v>32953</v>
      </c>
      <c r="F2572" s="171" t="s">
        <v>36230</v>
      </c>
      <c r="G2572" s="82"/>
      <c r="H2572" s="96">
        <f t="shared" si="160"/>
        <v>1008.34</v>
      </c>
      <c r="I2572" s="96">
        <f t="shared" si="160"/>
        <v>1020.19</v>
      </c>
      <c r="J2572" s="91" t="str">
        <f t="shared" si="161"/>
        <v>Sinapi 102486</v>
      </c>
      <c r="K2572" s="91" t="str">
        <f t="shared" si="162"/>
        <v>M3</v>
      </c>
      <c r="L2572" s="166" t="str">
        <f t="shared" si="163"/>
        <v>05/2021</v>
      </c>
      <c r="M2572" s="82"/>
      <c r="N2572" s="82"/>
    </row>
    <row r="2573" spans="1:14" x14ac:dyDescent="0.25">
      <c r="A2573" s="170" t="s">
        <v>13644</v>
      </c>
      <c r="B2573" s="170" t="s">
        <v>13645</v>
      </c>
      <c r="C2573" s="170" t="s">
        <v>85</v>
      </c>
      <c r="D2573" s="170" t="s">
        <v>1947</v>
      </c>
      <c r="E2573" s="171" t="s">
        <v>32954</v>
      </c>
      <c r="F2573" s="171" t="s">
        <v>36231</v>
      </c>
      <c r="G2573" s="82"/>
      <c r="H2573" s="96">
        <f t="shared" si="160"/>
        <v>766.4</v>
      </c>
      <c r="I2573" s="96">
        <f t="shared" si="160"/>
        <v>789.92</v>
      </c>
      <c r="J2573" s="91" t="str">
        <f t="shared" si="161"/>
        <v>Sinapi 102487</v>
      </c>
      <c r="K2573" s="91" t="str">
        <f t="shared" si="162"/>
        <v>M3</v>
      </c>
      <c r="L2573" s="166" t="str">
        <f t="shared" si="163"/>
        <v>05/2021</v>
      </c>
      <c r="M2573" s="82"/>
      <c r="N2573" s="82"/>
    </row>
    <row r="2574" spans="1:14" x14ac:dyDescent="0.25">
      <c r="A2574" s="170" t="s">
        <v>14657</v>
      </c>
      <c r="B2574" s="170" t="s">
        <v>14658</v>
      </c>
      <c r="C2574" s="170" t="s">
        <v>85</v>
      </c>
      <c r="D2574" s="170" t="s">
        <v>1947</v>
      </c>
      <c r="E2574" s="171" t="s">
        <v>32955</v>
      </c>
      <c r="F2574" s="171" t="s">
        <v>36232</v>
      </c>
      <c r="G2574" s="82"/>
      <c r="H2574" s="96">
        <f t="shared" si="160"/>
        <v>1485.36</v>
      </c>
      <c r="I2574" s="96">
        <f t="shared" si="160"/>
        <v>1492.25</v>
      </c>
      <c r="J2574" s="91" t="str">
        <f t="shared" si="161"/>
        <v>Sinapi 103183</v>
      </c>
      <c r="K2574" s="91" t="str">
        <f t="shared" si="162"/>
        <v>M3</v>
      </c>
      <c r="L2574" s="166" t="str">
        <f t="shared" si="163"/>
        <v>10/2021</v>
      </c>
      <c r="M2574" s="82"/>
      <c r="N2574" s="82"/>
    </row>
    <row r="2575" spans="1:14" x14ac:dyDescent="0.25">
      <c r="A2575" s="170" t="s">
        <v>14659</v>
      </c>
      <c r="B2575" s="170" t="s">
        <v>14660</v>
      </c>
      <c r="C2575" s="170" t="s">
        <v>85</v>
      </c>
      <c r="D2575" s="170" t="s">
        <v>2067</v>
      </c>
      <c r="E2575" s="171" t="s">
        <v>32956</v>
      </c>
      <c r="F2575" s="171" t="s">
        <v>36233</v>
      </c>
      <c r="G2575" s="82"/>
      <c r="H2575" s="96">
        <f t="shared" si="160"/>
        <v>1449.32</v>
      </c>
      <c r="I2575" s="96">
        <f t="shared" si="160"/>
        <v>1452.13</v>
      </c>
      <c r="J2575" s="91" t="str">
        <f t="shared" si="161"/>
        <v>Sinapi 103184</v>
      </c>
      <c r="K2575" s="91" t="str">
        <f t="shared" si="162"/>
        <v>M3</v>
      </c>
      <c r="L2575" s="166" t="str">
        <f t="shared" si="163"/>
        <v>10/2021</v>
      </c>
      <c r="M2575" s="82"/>
      <c r="N2575" s="82"/>
    </row>
    <row r="2576" spans="1:14" x14ac:dyDescent="0.25">
      <c r="A2576" s="170" t="s">
        <v>15588</v>
      </c>
      <c r="B2576" s="170" t="s">
        <v>15589</v>
      </c>
      <c r="C2576" s="170" t="s">
        <v>85</v>
      </c>
      <c r="D2576" s="170" t="s">
        <v>1947</v>
      </c>
      <c r="E2576" s="171" t="s">
        <v>32957</v>
      </c>
      <c r="F2576" s="171" t="s">
        <v>36234</v>
      </c>
      <c r="G2576" s="82"/>
      <c r="H2576" s="96">
        <f t="shared" si="160"/>
        <v>1695.56</v>
      </c>
      <c r="I2576" s="96">
        <f t="shared" si="160"/>
        <v>1723.45</v>
      </c>
      <c r="J2576" s="91" t="str">
        <f t="shared" si="161"/>
        <v>Sinapi 103669</v>
      </c>
      <c r="K2576" s="91" t="str">
        <f t="shared" si="162"/>
        <v>M3</v>
      </c>
      <c r="L2576" s="166" t="str">
        <f t="shared" si="163"/>
        <v>02/2022</v>
      </c>
      <c r="M2576" s="82"/>
      <c r="N2576" s="82"/>
    </row>
    <row r="2577" spans="1:14" x14ac:dyDescent="0.25">
      <c r="A2577" s="170" t="s">
        <v>15590</v>
      </c>
      <c r="B2577" s="170" t="s">
        <v>15591</v>
      </c>
      <c r="C2577" s="170" t="s">
        <v>85</v>
      </c>
      <c r="D2577" s="170" t="s">
        <v>1947</v>
      </c>
      <c r="E2577" s="171" t="s">
        <v>32958</v>
      </c>
      <c r="F2577" s="171" t="s">
        <v>36235</v>
      </c>
      <c r="G2577" s="82"/>
      <c r="H2577" s="96">
        <f t="shared" si="160"/>
        <v>255.05</v>
      </c>
      <c r="I2577" s="96">
        <f t="shared" si="160"/>
        <v>282.94</v>
      </c>
      <c r="J2577" s="91" t="str">
        <f t="shared" si="161"/>
        <v>Sinapi 103670</v>
      </c>
      <c r="K2577" s="91" t="str">
        <f t="shared" si="162"/>
        <v>M3</v>
      </c>
      <c r="L2577" s="166" t="str">
        <f t="shared" si="163"/>
        <v>02/2022</v>
      </c>
      <c r="M2577" s="82"/>
      <c r="N2577" s="82"/>
    </row>
    <row r="2578" spans="1:14" x14ac:dyDescent="0.25">
      <c r="A2578" s="170" t="s">
        <v>15592</v>
      </c>
      <c r="B2578" s="170" t="s">
        <v>15593</v>
      </c>
      <c r="C2578" s="170" t="s">
        <v>85</v>
      </c>
      <c r="D2578" s="170" t="s">
        <v>1947</v>
      </c>
      <c r="E2578" s="171" t="s">
        <v>32959</v>
      </c>
      <c r="F2578" s="171" t="s">
        <v>36236</v>
      </c>
      <c r="G2578" s="82"/>
      <c r="H2578" s="96">
        <f t="shared" si="160"/>
        <v>1481.86</v>
      </c>
      <c r="I2578" s="96">
        <f t="shared" si="160"/>
        <v>1486.38</v>
      </c>
      <c r="J2578" s="91" t="str">
        <f t="shared" si="161"/>
        <v>Sinapi 103671</v>
      </c>
      <c r="K2578" s="91" t="str">
        <f t="shared" si="162"/>
        <v>M3</v>
      </c>
      <c r="L2578" s="166" t="str">
        <f t="shared" si="163"/>
        <v>02/2022</v>
      </c>
      <c r="M2578" s="82"/>
      <c r="N2578" s="82"/>
    </row>
    <row r="2579" spans="1:14" x14ac:dyDescent="0.25">
      <c r="A2579" s="170" t="s">
        <v>15594</v>
      </c>
      <c r="B2579" s="170" t="s">
        <v>21155</v>
      </c>
      <c r="C2579" s="170" t="s">
        <v>85</v>
      </c>
      <c r="D2579" s="170" t="s">
        <v>1947</v>
      </c>
      <c r="E2579" s="171" t="s">
        <v>32960</v>
      </c>
      <c r="F2579" s="171" t="s">
        <v>36237</v>
      </c>
      <c r="G2579" s="82"/>
      <c r="H2579" s="96">
        <f t="shared" si="160"/>
        <v>1393.13</v>
      </c>
      <c r="I2579" s="96">
        <f t="shared" si="160"/>
        <v>1396.94</v>
      </c>
      <c r="J2579" s="91" t="str">
        <f t="shared" si="161"/>
        <v>Sinapi 103672</v>
      </c>
      <c r="K2579" s="91" t="str">
        <f t="shared" si="162"/>
        <v>M3</v>
      </c>
      <c r="L2579" s="166" t="str">
        <f t="shared" si="163"/>
        <v>02/2022</v>
      </c>
      <c r="M2579" s="82"/>
      <c r="N2579" s="82"/>
    </row>
    <row r="2580" spans="1:14" x14ac:dyDescent="0.25">
      <c r="A2580" s="170" t="s">
        <v>15595</v>
      </c>
      <c r="B2580" s="170" t="s">
        <v>15596</v>
      </c>
      <c r="C2580" s="170" t="s">
        <v>85</v>
      </c>
      <c r="D2580" s="170" t="s">
        <v>1947</v>
      </c>
      <c r="E2580" s="171" t="s">
        <v>32961</v>
      </c>
      <c r="F2580" s="171" t="s">
        <v>31245</v>
      </c>
      <c r="G2580" s="82"/>
      <c r="H2580" s="96">
        <f t="shared" si="160"/>
        <v>35.53</v>
      </c>
      <c r="I2580" s="96">
        <f t="shared" si="160"/>
        <v>39.340000000000003</v>
      </c>
      <c r="J2580" s="91" t="str">
        <f t="shared" si="161"/>
        <v>Sinapi 103673</v>
      </c>
      <c r="K2580" s="91" t="str">
        <f t="shared" si="162"/>
        <v>M3</v>
      </c>
      <c r="L2580" s="166" t="str">
        <f t="shared" si="163"/>
        <v>02/2022</v>
      </c>
      <c r="M2580" s="82"/>
      <c r="N2580" s="82"/>
    </row>
    <row r="2581" spans="1:14" x14ac:dyDescent="0.25">
      <c r="A2581" s="170" t="s">
        <v>15597</v>
      </c>
      <c r="B2581" s="170" t="s">
        <v>21156</v>
      </c>
      <c r="C2581" s="170" t="s">
        <v>85</v>
      </c>
      <c r="D2581" s="170" t="s">
        <v>1947</v>
      </c>
      <c r="E2581" s="171" t="s">
        <v>32962</v>
      </c>
      <c r="F2581" s="171" t="s">
        <v>36238</v>
      </c>
      <c r="G2581" s="82"/>
      <c r="H2581" s="96">
        <f t="shared" si="160"/>
        <v>1411.21</v>
      </c>
      <c r="I2581" s="96">
        <f t="shared" si="160"/>
        <v>1417.17</v>
      </c>
      <c r="J2581" s="91" t="str">
        <f t="shared" si="161"/>
        <v>Sinapi 103674</v>
      </c>
      <c r="K2581" s="91" t="str">
        <f t="shared" si="162"/>
        <v>M3</v>
      </c>
      <c r="L2581" s="166" t="str">
        <f t="shared" si="163"/>
        <v>02/2022</v>
      </c>
      <c r="M2581" s="82"/>
      <c r="N2581" s="82"/>
    </row>
    <row r="2582" spans="1:14" x14ac:dyDescent="0.25">
      <c r="A2582" s="170" t="s">
        <v>15598</v>
      </c>
      <c r="B2582" s="170" t="s">
        <v>21157</v>
      </c>
      <c r="C2582" s="170" t="s">
        <v>85</v>
      </c>
      <c r="D2582" s="170" t="s">
        <v>1947</v>
      </c>
      <c r="E2582" s="171" t="s">
        <v>32963</v>
      </c>
      <c r="F2582" s="171" t="s">
        <v>36239</v>
      </c>
      <c r="G2582" s="82"/>
      <c r="H2582" s="96">
        <f t="shared" si="160"/>
        <v>1394.1</v>
      </c>
      <c r="I2582" s="96">
        <f t="shared" si="160"/>
        <v>1398.15</v>
      </c>
      <c r="J2582" s="91" t="str">
        <f t="shared" si="161"/>
        <v>Sinapi 103675</v>
      </c>
      <c r="K2582" s="91" t="str">
        <f t="shared" si="162"/>
        <v>M3</v>
      </c>
      <c r="L2582" s="166" t="str">
        <f t="shared" si="163"/>
        <v>02/2022</v>
      </c>
      <c r="M2582" s="82"/>
      <c r="N2582" s="82"/>
    </row>
    <row r="2583" spans="1:14" x14ac:dyDescent="0.25">
      <c r="A2583" s="170" t="s">
        <v>15599</v>
      </c>
      <c r="B2583" s="170" t="s">
        <v>15600</v>
      </c>
      <c r="C2583" s="170" t="s">
        <v>85</v>
      </c>
      <c r="D2583" s="170" t="s">
        <v>1947</v>
      </c>
      <c r="E2583" s="171" t="s">
        <v>32964</v>
      </c>
      <c r="F2583" s="171" t="s">
        <v>36240</v>
      </c>
      <c r="G2583" s="82"/>
      <c r="H2583" s="96">
        <f t="shared" si="160"/>
        <v>1742.46</v>
      </c>
      <c r="I2583" s="96">
        <f t="shared" si="160"/>
        <v>1775.18</v>
      </c>
      <c r="J2583" s="91" t="str">
        <f t="shared" si="161"/>
        <v>Sinapi 103676</v>
      </c>
      <c r="K2583" s="91" t="str">
        <f t="shared" si="162"/>
        <v>M3</v>
      </c>
      <c r="L2583" s="166" t="str">
        <f t="shared" si="163"/>
        <v>02/2022</v>
      </c>
      <c r="M2583" s="82"/>
      <c r="N2583" s="82"/>
    </row>
    <row r="2584" spans="1:14" x14ac:dyDescent="0.25">
      <c r="A2584" s="170" t="s">
        <v>15601</v>
      </c>
      <c r="B2584" s="170" t="s">
        <v>15602</v>
      </c>
      <c r="C2584" s="170" t="s">
        <v>85</v>
      </c>
      <c r="D2584" s="170" t="s">
        <v>1947</v>
      </c>
      <c r="E2584" s="171" t="s">
        <v>32965</v>
      </c>
      <c r="F2584" s="171" t="s">
        <v>36241</v>
      </c>
      <c r="G2584" s="82"/>
      <c r="H2584" s="96">
        <f t="shared" si="160"/>
        <v>1597.02</v>
      </c>
      <c r="I2584" s="96">
        <f t="shared" si="160"/>
        <v>1613.97</v>
      </c>
      <c r="J2584" s="91" t="str">
        <f t="shared" si="161"/>
        <v>Sinapi 103677</v>
      </c>
      <c r="K2584" s="91" t="str">
        <f t="shared" si="162"/>
        <v>M3</v>
      </c>
      <c r="L2584" s="166" t="str">
        <f t="shared" si="163"/>
        <v>02/2022</v>
      </c>
      <c r="M2584" s="82"/>
      <c r="N2584" s="82"/>
    </row>
    <row r="2585" spans="1:14" x14ac:dyDescent="0.25">
      <c r="A2585" s="170" t="s">
        <v>15603</v>
      </c>
      <c r="B2585" s="170" t="s">
        <v>15604</v>
      </c>
      <c r="C2585" s="170" t="s">
        <v>85</v>
      </c>
      <c r="D2585" s="170" t="s">
        <v>1947</v>
      </c>
      <c r="E2585" s="171" t="s">
        <v>32966</v>
      </c>
      <c r="F2585" s="171" t="s">
        <v>36242</v>
      </c>
      <c r="G2585" s="82"/>
      <c r="H2585" s="96">
        <f t="shared" si="160"/>
        <v>1660.82</v>
      </c>
      <c r="I2585" s="96">
        <f t="shared" si="160"/>
        <v>1684.56</v>
      </c>
      <c r="J2585" s="91" t="str">
        <f t="shared" si="161"/>
        <v>Sinapi 103678</v>
      </c>
      <c r="K2585" s="91" t="str">
        <f t="shared" si="162"/>
        <v>M3</v>
      </c>
      <c r="L2585" s="166" t="str">
        <f t="shared" si="163"/>
        <v>02/2022</v>
      </c>
      <c r="M2585" s="82"/>
      <c r="N2585" s="82"/>
    </row>
    <row r="2586" spans="1:14" x14ac:dyDescent="0.25">
      <c r="A2586" s="170" t="s">
        <v>15605</v>
      </c>
      <c r="B2586" s="170" t="s">
        <v>15606</v>
      </c>
      <c r="C2586" s="170" t="s">
        <v>85</v>
      </c>
      <c r="D2586" s="170" t="s">
        <v>1947</v>
      </c>
      <c r="E2586" s="171" t="s">
        <v>32967</v>
      </c>
      <c r="F2586" s="171" t="s">
        <v>36243</v>
      </c>
      <c r="G2586" s="82"/>
      <c r="H2586" s="96">
        <f t="shared" si="160"/>
        <v>1560.75</v>
      </c>
      <c r="I2586" s="96">
        <f t="shared" si="160"/>
        <v>1573.71</v>
      </c>
      <c r="J2586" s="91" t="str">
        <f t="shared" si="161"/>
        <v>Sinapi 103679</v>
      </c>
      <c r="K2586" s="91" t="str">
        <f t="shared" si="162"/>
        <v>M3</v>
      </c>
      <c r="L2586" s="166" t="str">
        <f t="shared" si="163"/>
        <v>02/2022</v>
      </c>
      <c r="M2586" s="82"/>
      <c r="N2586" s="82"/>
    </row>
    <row r="2587" spans="1:14" x14ac:dyDescent="0.25">
      <c r="A2587" s="170" t="s">
        <v>15607</v>
      </c>
      <c r="B2587" s="170" t="s">
        <v>15608</v>
      </c>
      <c r="C2587" s="170" t="s">
        <v>85</v>
      </c>
      <c r="D2587" s="170" t="s">
        <v>1947</v>
      </c>
      <c r="E2587" s="171" t="s">
        <v>32968</v>
      </c>
      <c r="F2587" s="171" t="s">
        <v>36244</v>
      </c>
      <c r="G2587" s="82"/>
      <c r="H2587" s="96">
        <f t="shared" si="160"/>
        <v>1603.9</v>
      </c>
      <c r="I2587" s="96">
        <f t="shared" si="160"/>
        <v>1622.26</v>
      </c>
      <c r="J2587" s="91" t="str">
        <f t="shared" si="161"/>
        <v>Sinapi 103680</v>
      </c>
      <c r="K2587" s="91" t="str">
        <f t="shared" si="162"/>
        <v>M3</v>
      </c>
      <c r="L2587" s="166" t="str">
        <f t="shared" si="163"/>
        <v>02/2022</v>
      </c>
      <c r="M2587" s="82"/>
      <c r="N2587" s="82"/>
    </row>
    <row r="2588" spans="1:14" x14ac:dyDescent="0.25">
      <c r="A2588" s="170" t="s">
        <v>15609</v>
      </c>
      <c r="B2588" s="170" t="s">
        <v>15610</v>
      </c>
      <c r="C2588" s="170" t="s">
        <v>85</v>
      </c>
      <c r="D2588" s="170" t="s">
        <v>1947</v>
      </c>
      <c r="E2588" s="171" t="s">
        <v>32969</v>
      </c>
      <c r="F2588" s="171" t="s">
        <v>36245</v>
      </c>
      <c r="G2588" s="82"/>
      <c r="H2588" s="96">
        <f t="shared" si="160"/>
        <v>1504.81</v>
      </c>
      <c r="I2588" s="96">
        <f t="shared" si="160"/>
        <v>1512.02</v>
      </c>
      <c r="J2588" s="91" t="str">
        <f t="shared" si="161"/>
        <v>Sinapi 103681</v>
      </c>
      <c r="K2588" s="91" t="str">
        <f t="shared" si="162"/>
        <v>M3</v>
      </c>
      <c r="L2588" s="166" t="str">
        <f t="shared" si="163"/>
        <v>02/2022</v>
      </c>
      <c r="M2588" s="82"/>
      <c r="N2588" s="82"/>
    </row>
    <row r="2589" spans="1:14" x14ac:dyDescent="0.25">
      <c r="A2589" s="170" t="s">
        <v>15611</v>
      </c>
      <c r="B2589" s="170" t="s">
        <v>15612</v>
      </c>
      <c r="C2589" s="170" t="s">
        <v>85</v>
      </c>
      <c r="D2589" s="170" t="s">
        <v>1947</v>
      </c>
      <c r="E2589" s="171" t="s">
        <v>32970</v>
      </c>
      <c r="F2589" s="171" t="s">
        <v>36246</v>
      </c>
      <c r="G2589" s="82"/>
      <c r="H2589" s="96">
        <f t="shared" si="160"/>
        <v>1710.38</v>
      </c>
      <c r="I2589" s="96">
        <f t="shared" si="160"/>
        <v>1739.8</v>
      </c>
      <c r="J2589" s="91" t="str">
        <f t="shared" si="161"/>
        <v>Sinapi 103682</v>
      </c>
      <c r="K2589" s="91" t="str">
        <f t="shared" si="162"/>
        <v>M3</v>
      </c>
      <c r="L2589" s="166" t="str">
        <f t="shared" si="163"/>
        <v>02/2022</v>
      </c>
      <c r="M2589" s="82"/>
      <c r="N2589" s="82"/>
    </row>
    <row r="2590" spans="1:14" x14ac:dyDescent="0.25">
      <c r="A2590" s="170" t="s">
        <v>15613</v>
      </c>
      <c r="B2590" s="170" t="s">
        <v>15614</v>
      </c>
      <c r="C2590" s="170" t="s">
        <v>85</v>
      </c>
      <c r="D2590" s="170" t="s">
        <v>1947</v>
      </c>
      <c r="E2590" s="171" t="s">
        <v>32971</v>
      </c>
      <c r="F2590" s="171" t="s">
        <v>36247</v>
      </c>
      <c r="G2590" s="82"/>
      <c r="H2590" s="96">
        <f t="shared" si="160"/>
        <v>1957.47</v>
      </c>
      <c r="I2590" s="96">
        <f t="shared" si="160"/>
        <v>2013.84</v>
      </c>
      <c r="J2590" s="91" t="str">
        <f t="shared" si="161"/>
        <v>Sinapi 103683</v>
      </c>
      <c r="K2590" s="91" t="str">
        <f t="shared" si="162"/>
        <v>M3</v>
      </c>
      <c r="L2590" s="166" t="str">
        <f t="shared" si="163"/>
        <v>02/2022</v>
      </c>
      <c r="M2590" s="82"/>
      <c r="N2590" s="82"/>
    </row>
    <row r="2591" spans="1:14" x14ac:dyDescent="0.25">
      <c r="A2591" s="170" t="s">
        <v>15615</v>
      </c>
      <c r="B2591" s="170" t="s">
        <v>21158</v>
      </c>
      <c r="C2591" s="170" t="s">
        <v>85</v>
      </c>
      <c r="D2591" s="170" t="s">
        <v>1947</v>
      </c>
      <c r="E2591" s="171" t="s">
        <v>32972</v>
      </c>
      <c r="F2591" s="171" t="s">
        <v>36248</v>
      </c>
      <c r="G2591" s="82"/>
      <c r="H2591" s="96">
        <f t="shared" si="160"/>
        <v>1408.83</v>
      </c>
      <c r="I2591" s="96">
        <f t="shared" si="160"/>
        <v>1414.53</v>
      </c>
      <c r="J2591" s="91" t="str">
        <f t="shared" si="161"/>
        <v>Sinapi 103684</v>
      </c>
      <c r="K2591" s="91" t="str">
        <f t="shared" si="162"/>
        <v>M3</v>
      </c>
      <c r="L2591" s="166" t="str">
        <f t="shared" si="163"/>
        <v>02/2022</v>
      </c>
      <c r="M2591" s="82"/>
      <c r="N2591" s="82"/>
    </row>
    <row r="2592" spans="1:14" x14ac:dyDescent="0.25">
      <c r="A2592" s="170" t="s">
        <v>15616</v>
      </c>
      <c r="B2592" s="170" t="s">
        <v>21159</v>
      </c>
      <c r="C2592" s="170" t="s">
        <v>85</v>
      </c>
      <c r="D2592" s="170" t="s">
        <v>1947</v>
      </c>
      <c r="E2592" s="171" t="s">
        <v>32973</v>
      </c>
      <c r="F2592" s="171" t="s">
        <v>36249</v>
      </c>
      <c r="G2592" s="82"/>
      <c r="H2592" s="96">
        <f t="shared" si="160"/>
        <v>1398.05</v>
      </c>
      <c r="I2592" s="96">
        <f t="shared" si="160"/>
        <v>1402.55</v>
      </c>
      <c r="J2592" s="91" t="str">
        <f t="shared" si="161"/>
        <v>Sinapi 103685</v>
      </c>
      <c r="K2592" s="91" t="str">
        <f t="shared" si="162"/>
        <v>M3</v>
      </c>
      <c r="L2592" s="166" t="str">
        <f t="shared" si="163"/>
        <v>02/2022</v>
      </c>
      <c r="M2592" s="82"/>
      <c r="N2592" s="82"/>
    </row>
    <row r="2593" spans="1:14" x14ac:dyDescent="0.25">
      <c r="A2593" s="170" t="s">
        <v>15617</v>
      </c>
      <c r="B2593" s="170" t="s">
        <v>21160</v>
      </c>
      <c r="C2593" s="170" t="s">
        <v>85</v>
      </c>
      <c r="D2593" s="170" t="s">
        <v>1947</v>
      </c>
      <c r="E2593" s="171" t="s">
        <v>32974</v>
      </c>
      <c r="F2593" s="171" t="s">
        <v>36250</v>
      </c>
      <c r="G2593" s="82"/>
      <c r="H2593" s="96">
        <f t="shared" si="160"/>
        <v>1451.14</v>
      </c>
      <c r="I2593" s="96">
        <f t="shared" si="160"/>
        <v>1461.88</v>
      </c>
      <c r="J2593" s="91" t="str">
        <f t="shared" si="161"/>
        <v>Sinapi 103686</v>
      </c>
      <c r="K2593" s="91" t="str">
        <f t="shared" si="162"/>
        <v>M3</v>
      </c>
      <c r="L2593" s="166" t="str">
        <f t="shared" si="163"/>
        <v>02/2022</v>
      </c>
      <c r="M2593" s="82"/>
      <c r="N2593" s="82"/>
    </row>
    <row r="2594" spans="1:14" x14ac:dyDescent="0.25">
      <c r="A2594" s="170" t="s">
        <v>15618</v>
      </c>
      <c r="B2594" s="170" t="s">
        <v>15619</v>
      </c>
      <c r="C2594" s="170" t="s">
        <v>85</v>
      </c>
      <c r="D2594" s="170" t="s">
        <v>1947</v>
      </c>
      <c r="E2594" s="171" t="s">
        <v>32975</v>
      </c>
      <c r="F2594" s="171" t="s">
        <v>36251</v>
      </c>
      <c r="G2594" s="82"/>
      <c r="H2594" s="96">
        <f t="shared" si="160"/>
        <v>1800.81</v>
      </c>
      <c r="I2594" s="96">
        <f t="shared" si="160"/>
        <v>1840.15</v>
      </c>
      <c r="J2594" s="91" t="str">
        <f t="shared" si="161"/>
        <v>Sinapi 103687</v>
      </c>
      <c r="K2594" s="91" t="str">
        <f t="shared" si="162"/>
        <v>M3</v>
      </c>
      <c r="L2594" s="166" t="str">
        <f t="shared" si="163"/>
        <v>02/2022</v>
      </c>
      <c r="M2594" s="82"/>
      <c r="N2594" s="82"/>
    </row>
    <row r="2595" spans="1:14" x14ac:dyDescent="0.25">
      <c r="A2595" s="170" t="s">
        <v>15620</v>
      </c>
      <c r="B2595" s="170" t="s">
        <v>15621</v>
      </c>
      <c r="C2595" s="170" t="s">
        <v>85</v>
      </c>
      <c r="D2595" s="170" t="s">
        <v>1947</v>
      </c>
      <c r="E2595" s="171" t="s">
        <v>32976</v>
      </c>
      <c r="F2595" s="171" t="s">
        <v>36252</v>
      </c>
      <c r="G2595" s="82"/>
      <c r="H2595" s="96">
        <f t="shared" si="160"/>
        <v>1591.69</v>
      </c>
      <c r="I2595" s="96">
        <f t="shared" si="160"/>
        <v>1608.12</v>
      </c>
      <c r="J2595" s="91" t="str">
        <f t="shared" si="161"/>
        <v>Sinapi 103688</v>
      </c>
      <c r="K2595" s="91" t="str">
        <f t="shared" si="162"/>
        <v>M3</v>
      </c>
      <c r="L2595" s="166" t="str">
        <f t="shared" si="163"/>
        <v>02/2022</v>
      </c>
      <c r="M2595" s="82"/>
      <c r="N2595" s="82"/>
    </row>
    <row r="2596" spans="1:14" x14ac:dyDescent="0.25">
      <c r="A2596" s="170" t="s">
        <v>12292</v>
      </c>
      <c r="B2596" s="170" t="s">
        <v>21829</v>
      </c>
      <c r="C2596" s="170" t="s">
        <v>870</v>
      </c>
      <c r="D2596" s="170" t="s">
        <v>1947</v>
      </c>
      <c r="E2596" s="171" t="s">
        <v>32977</v>
      </c>
      <c r="F2596" s="171" t="s">
        <v>28648</v>
      </c>
      <c r="G2596" s="82"/>
      <c r="H2596" s="96">
        <f t="shared" si="160"/>
        <v>261.10000000000002</v>
      </c>
      <c r="I2596" s="96">
        <f t="shared" si="160"/>
        <v>264.64</v>
      </c>
      <c r="J2596" s="91" t="str">
        <f t="shared" si="161"/>
        <v>Sinapi 101963</v>
      </c>
      <c r="K2596" s="91" t="str">
        <f t="shared" si="162"/>
        <v>M2</v>
      </c>
      <c r="L2596" s="166" t="str">
        <f t="shared" si="163"/>
        <v>11/2020</v>
      </c>
      <c r="M2596" s="82"/>
      <c r="N2596" s="82"/>
    </row>
    <row r="2597" spans="1:14" x14ac:dyDescent="0.25">
      <c r="A2597" s="170" t="s">
        <v>12293</v>
      </c>
      <c r="B2597" s="170" t="s">
        <v>21830</v>
      </c>
      <c r="C2597" s="170" t="s">
        <v>870</v>
      </c>
      <c r="D2597" s="170" t="s">
        <v>1947</v>
      </c>
      <c r="E2597" s="171" t="s">
        <v>32978</v>
      </c>
      <c r="F2597" s="171" t="s">
        <v>36253</v>
      </c>
      <c r="G2597" s="82"/>
      <c r="H2597" s="96">
        <f t="shared" si="160"/>
        <v>239.35</v>
      </c>
      <c r="I2597" s="96">
        <f t="shared" si="160"/>
        <v>242.7</v>
      </c>
      <c r="J2597" s="91" t="str">
        <f t="shared" si="161"/>
        <v>Sinapi 101964</v>
      </c>
      <c r="K2597" s="91" t="str">
        <f t="shared" si="162"/>
        <v>M2</v>
      </c>
      <c r="L2597" s="166" t="str">
        <f t="shared" si="163"/>
        <v>11/2020</v>
      </c>
      <c r="M2597" s="82"/>
      <c r="N2597" s="82"/>
    </row>
    <row r="2598" spans="1:14" x14ac:dyDescent="0.25">
      <c r="A2598" s="170" t="s">
        <v>5349</v>
      </c>
      <c r="B2598" s="170" t="s">
        <v>5350</v>
      </c>
      <c r="C2598" s="170" t="s">
        <v>85</v>
      </c>
      <c r="D2598" s="170" t="s">
        <v>2067</v>
      </c>
      <c r="E2598" s="171" t="s">
        <v>32979</v>
      </c>
      <c r="F2598" s="171" t="s">
        <v>36254</v>
      </c>
      <c r="G2598" s="82"/>
      <c r="H2598" s="96">
        <f t="shared" si="160"/>
        <v>1267.8800000000001</v>
      </c>
      <c r="I2598" s="96">
        <f t="shared" si="160"/>
        <v>1308.1300000000001</v>
      </c>
      <c r="J2598" s="91" t="str">
        <f t="shared" si="161"/>
        <v>Sinapi 101165</v>
      </c>
      <c r="K2598" s="91" t="str">
        <f t="shared" si="162"/>
        <v>M3</v>
      </c>
      <c r="L2598" s="166" t="str">
        <f t="shared" si="163"/>
        <v>05/2020</v>
      </c>
      <c r="M2598" s="82"/>
      <c r="N2598" s="82"/>
    </row>
    <row r="2599" spans="1:14" x14ac:dyDescent="0.25">
      <c r="A2599" s="170" t="s">
        <v>5351</v>
      </c>
      <c r="B2599" s="170" t="s">
        <v>5352</v>
      </c>
      <c r="C2599" s="170" t="s">
        <v>85</v>
      </c>
      <c r="D2599" s="170" t="s">
        <v>2067</v>
      </c>
      <c r="E2599" s="171" t="s">
        <v>32980</v>
      </c>
      <c r="F2599" s="171" t="s">
        <v>36255</v>
      </c>
      <c r="G2599" s="82"/>
      <c r="H2599" s="96">
        <f t="shared" si="160"/>
        <v>631.70000000000005</v>
      </c>
      <c r="I2599" s="96">
        <f t="shared" si="160"/>
        <v>664.69</v>
      </c>
      <c r="J2599" s="91" t="str">
        <f t="shared" si="161"/>
        <v>Sinapi 101166</v>
      </c>
      <c r="K2599" s="91" t="str">
        <f t="shared" si="162"/>
        <v>M3</v>
      </c>
      <c r="L2599" s="166" t="str">
        <f t="shared" si="163"/>
        <v>05/2020</v>
      </c>
      <c r="M2599" s="82"/>
      <c r="N2599" s="82"/>
    </row>
    <row r="2600" spans="1:14" x14ac:dyDescent="0.25">
      <c r="A2600" s="170" t="s">
        <v>14552</v>
      </c>
      <c r="B2600" s="170" t="s">
        <v>14553</v>
      </c>
      <c r="C2600" s="170" t="s">
        <v>385</v>
      </c>
      <c r="D2600" s="170" t="s">
        <v>2067</v>
      </c>
      <c r="E2600" s="171" t="s">
        <v>32981</v>
      </c>
      <c r="F2600" s="171" t="s">
        <v>23074</v>
      </c>
      <c r="G2600" s="82"/>
      <c r="H2600" s="96">
        <f t="shared" si="160"/>
        <v>104.97</v>
      </c>
      <c r="I2600" s="96">
        <f t="shared" si="160"/>
        <v>110.92</v>
      </c>
      <c r="J2600" s="91" t="str">
        <f t="shared" si="161"/>
        <v>Sinapi 98575</v>
      </c>
      <c r="K2600" s="91" t="str">
        <f t="shared" si="162"/>
        <v>M</v>
      </c>
      <c r="L2600" s="166" t="str">
        <f t="shared" si="163"/>
        <v>06/2018</v>
      </c>
      <c r="M2600" s="82"/>
      <c r="N2600" s="82"/>
    </row>
    <row r="2601" spans="1:14" x14ac:dyDescent="0.25">
      <c r="A2601" s="170" t="s">
        <v>5353</v>
      </c>
      <c r="B2601" s="170" t="s">
        <v>5354</v>
      </c>
      <c r="C2601" s="170" t="s">
        <v>385</v>
      </c>
      <c r="D2601" s="170" t="s">
        <v>2067</v>
      </c>
      <c r="E2601" s="171" t="s">
        <v>25912</v>
      </c>
      <c r="F2601" s="171" t="s">
        <v>20052</v>
      </c>
      <c r="G2601" s="82"/>
      <c r="H2601" s="96">
        <f t="shared" si="160"/>
        <v>19.03</v>
      </c>
      <c r="I2601" s="96">
        <f t="shared" si="160"/>
        <v>19.11</v>
      </c>
      <c r="J2601" s="91" t="str">
        <f t="shared" si="161"/>
        <v>Sinapi 98576</v>
      </c>
      <c r="K2601" s="91" t="str">
        <f t="shared" si="162"/>
        <v>M</v>
      </c>
      <c r="L2601" s="166" t="str">
        <f t="shared" si="163"/>
        <v>06/2018</v>
      </c>
      <c r="M2601" s="82"/>
      <c r="N2601" s="82"/>
    </row>
    <row r="2602" spans="1:14" x14ac:dyDescent="0.25">
      <c r="A2602" s="170" t="s">
        <v>14554</v>
      </c>
      <c r="B2602" s="170" t="s">
        <v>14555</v>
      </c>
      <c r="C2602" s="170" t="s">
        <v>385</v>
      </c>
      <c r="D2602" s="170" t="s">
        <v>2067</v>
      </c>
      <c r="E2602" s="171" t="s">
        <v>23192</v>
      </c>
      <c r="F2602" s="171" t="s">
        <v>29004</v>
      </c>
      <c r="G2602" s="82"/>
      <c r="H2602" s="96">
        <f t="shared" si="160"/>
        <v>45.39</v>
      </c>
      <c r="I2602" s="96">
        <f t="shared" si="160"/>
        <v>49.14</v>
      </c>
      <c r="J2602" s="91" t="str">
        <f t="shared" si="161"/>
        <v>Sinapi 98577</v>
      </c>
      <c r="K2602" s="91" t="str">
        <f t="shared" si="162"/>
        <v>M</v>
      </c>
      <c r="L2602" s="166" t="str">
        <f t="shared" si="163"/>
        <v>06/2018</v>
      </c>
      <c r="M2602" s="82"/>
      <c r="N2602" s="82"/>
    </row>
    <row r="2603" spans="1:14" x14ac:dyDescent="0.25">
      <c r="A2603" s="170" t="s">
        <v>5355</v>
      </c>
      <c r="B2603" s="170" t="s">
        <v>5356</v>
      </c>
      <c r="C2603" s="170" t="s">
        <v>385</v>
      </c>
      <c r="D2603" s="170" t="s">
        <v>1947</v>
      </c>
      <c r="E2603" s="171" t="s">
        <v>28607</v>
      </c>
      <c r="F2603" s="171" t="s">
        <v>28499</v>
      </c>
      <c r="G2603" s="82"/>
      <c r="H2603" s="96">
        <f t="shared" si="160"/>
        <v>49.46</v>
      </c>
      <c r="I2603" s="96">
        <f t="shared" si="160"/>
        <v>50.64</v>
      </c>
      <c r="J2603" s="91" t="str">
        <f t="shared" si="161"/>
        <v>Sinapi 93182</v>
      </c>
      <c r="K2603" s="91" t="str">
        <f t="shared" si="162"/>
        <v>M</v>
      </c>
      <c r="L2603" s="166" t="str">
        <f t="shared" si="163"/>
        <v>03/2016</v>
      </c>
      <c r="M2603" s="82"/>
      <c r="N2603" s="82"/>
    </row>
    <row r="2604" spans="1:14" x14ac:dyDescent="0.25">
      <c r="A2604" s="170" t="s">
        <v>5357</v>
      </c>
      <c r="B2604" s="170" t="s">
        <v>5358</v>
      </c>
      <c r="C2604" s="170" t="s">
        <v>385</v>
      </c>
      <c r="D2604" s="170" t="s">
        <v>1947</v>
      </c>
      <c r="E2604" s="171" t="s">
        <v>21127</v>
      </c>
      <c r="F2604" s="171" t="s">
        <v>23291</v>
      </c>
      <c r="G2604" s="82"/>
      <c r="H2604" s="96">
        <f t="shared" si="160"/>
        <v>63.65</v>
      </c>
      <c r="I2604" s="96">
        <f t="shared" si="160"/>
        <v>64.959999999999994</v>
      </c>
      <c r="J2604" s="91" t="str">
        <f t="shared" si="161"/>
        <v>Sinapi 93183</v>
      </c>
      <c r="K2604" s="91" t="str">
        <f t="shared" si="162"/>
        <v>M</v>
      </c>
      <c r="L2604" s="166" t="str">
        <f t="shared" si="163"/>
        <v>03/2016</v>
      </c>
      <c r="M2604" s="82"/>
      <c r="N2604" s="82"/>
    </row>
    <row r="2605" spans="1:14" x14ac:dyDescent="0.25">
      <c r="A2605" s="170" t="s">
        <v>5359</v>
      </c>
      <c r="B2605" s="170" t="s">
        <v>5360</v>
      </c>
      <c r="C2605" s="170" t="s">
        <v>385</v>
      </c>
      <c r="D2605" s="170" t="s">
        <v>1947</v>
      </c>
      <c r="E2605" s="171" t="s">
        <v>32052</v>
      </c>
      <c r="F2605" s="171" t="s">
        <v>36256</v>
      </c>
      <c r="G2605" s="82"/>
      <c r="H2605" s="96">
        <f t="shared" si="160"/>
        <v>36.340000000000003</v>
      </c>
      <c r="I2605" s="96">
        <f t="shared" si="160"/>
        <v>37.369999999999997</v>
      </c>
      <c r="J2605" s="91" t="str">
        <f t="shared" si="161"/>
        <v>Sinapi 93184</v>
      </c>
      <c r="K2605" s="91" t="str">
        <f t="shared" si="162"/>
        <v>M</v>
      </c>
      <c r="L2605" s="166" t="str">
        <f t="shared" si="163"/>
        <v>03/2016</v>
      </c>
      <c r="M2605" s="82"/>
      <c r="N2605" s="82"/>
    </row>
    <row r="2606" spans="1:14" x14ac:dyDescent="0.25">
      <c r="A2606" s="170" t="s">
        <v>5361</v>
      </c>
      <c r="B2606" s="170" t="s">
        <v>5362</v>
      </c>
      <c r="C2606" s="170" t="s">
        <v>385</v>
      </c>
      <c r="D2606" s="170" t="s">
        <v>1947</v>
      </c>
      <c r="E2606" s="171" t="s">
        <v>32982</v>
      </c>
      <c r="F2606" s="171" t="s">
        <v>36257</v>
      </c>
      <c r="G2606" s="82"/>
      <c r="H2606" s="96">
        <f t="shared" si="160"/>
        <v>62.83</v>
      </c>
      <c r="I2606" s="96">
        <f t="shared" si="160"/>
        <v>64.09</v>
      </c>
      <c r="J2606" s="91" t="str">
        <f t="shared" si="161"/>
        <v>Sinapi 93185</v>
      </c>
      <c r="K2606" s="91" t="str">
        <f t="shared" si="162"/>
        <v>M</v>
      </c>
      <c r="L2606" s="166" t="str">
        <f t="shared" si="163"/>
        <v>03/2016</v>
      </c>
      <c r="M2606" s="82"/>
      <c r="N2606" s="82"/>
    </row>
    <row r="2607" spans="1:14" x14ac:dyDescent="0.25">
      <c r="A2607" s="170" t="s">
        <v>5363</v>
      </c>
      <c r="B2607" s="170" t="s">
        <v>5364</v>
      </c>
      <c r="C2607" s="170" t="s">
        <v>385</v>
      </c>
      <c r="D2607" s="170" t="s">
        <v>1947</v>
      </c>
      <c r="E2607" s="171" t="s">
        <v>32983</v>
      </c>
      <c r="F2607" s="171" t="s">
        <v>36258</v>
      </c>
      <c r="G2607" s="82"/>
      <c r="H2607" s="96">
        <f t="shared" si="160"/>
        <v>84.56</v>
      </c>
      <c r="I2607" s="96">
        <f t="shared" si="160"/>
        <v>87.32</v>
      </c>
      <c r="J2607" s="91" t="str">
        <f t="shared" si="161"/>
        <v>Sinapi 93186</v>
      </c>
      <c r="K2607" s="91" t="str">
        <f t="shared" si="162"/>
        <v>M</v>
      </c>
      <c r="L2607" s="166" t="str">
        <f t="shared" si="163"/>
        <v>03/2016</v>
      </c>
      <c r="M2607" s="82"/>
      <c r="N2607" s="82"/>
    </row>
    <row r="2608" spans="1:14" x14ac:dyDescent="0.25">
      <c r="A2608" s="170" t="s">
        <v>5365</v>
      </c>
      <c r="B2608" s="170" t="s">
        <v>5366</v>
      </c>
      <c r="C2608" s="170" t="s">
        <v>385</v>
      </c>
      <c r="D2608" s="170" t="s">
        <v>1947</v>
      </c>
      <c r="E2608" s="171" t="s">
        <v>32984</v>
      </c>
      <c r="F2608" s="171" t="s">
        <v>36259</v>
      </c>
      <c r="G2608" s="82"/>
      <c r="H2608" s="96">
        <f t="shared" si="160"/>
        <v>98.41</v>
      </c>
      <c r="I2608" s="96">
        <f t="shared" si="160"/>
        <v>101.32</v>
      </c>
      <c r="J2608" s="91" t="str">
        <f t="shared" si="161"/>
        <v>Sinapi 93187</v>
      </c>
      <c r="K2608" s="91" t="str">
        <f t="shared" si="162"/>
        <v>M</v>
      </c>
      <c r="L2608" s="166" t="str">
        <f t="shared" si="163"/>
        <v>03/2016</v>
      </c>
      <c r="M2608" s="82"/>
      <c r="N2608" s="82"/>
    </row>
    <row r="2609" spans="1:14" x14ac:dyDescent="0.25">
      <c r="A2609" s="170" t="s">
        <v>5367</v>
      </c>
      <c r="B2609" s="170" t="s">
        <v>5368</v>
      </c>
      <c r="C2609" s="170" t="s">
        <v>385</v>
      </c>
      <c r="D2609" s="170" t="s">
        <v>1947</v>
      </c>
      <c r="E2609" s="171" t="s">
        <v>32985</v>
      </c>
      <c r="F2609" s="171" t="s">
        <v>36260</v>
      </c>
      <c r="G2609" s="82"/>
      <c r="H2609" s="96">
        <f t="shared" si="160"/>
        <v>76.239999999999995</v>
      </c>
      <c r="I2609" s="96">
        <f t="shared" si="160"/>
        <v>78.83</v>
      </c>
      <c r="J2609" s="91" t="str">
        <f t="shared" si="161"/>
        <v>Sinapi 93188</v>
      </c>
      <c r="K2609" s="91" t="str">
        <f t="shared" si="162"/>
        <v>M</v>
      </c>
      <c r="L2609" s="166" t="str">
        <f t="shared" si="163"/>
        <v>03/2016</v>
      </c>
      <c r="M2609" s="82"/>
      <c r="N2609" s="82"/>
    </row>
    <row r="2610" spans="1:14" x14ac:dyDescent="0.25">
      <c r="A2610" s="170" t="s">
        <v>5369</v>
      </c>
      <c r="B2610" s="170" t="s">
        <v>5370</v>
      </c>
      <c r="C2610" s="170" t="s">
        <v>385</v>
      </c>
      <c r="D2610" s="170" t="s">
        <v>1947</v>
      </c>
      <c r="E2610" s="171" t="s">
        <v>29232</v>
      </c>
      <c r="F2610" s="171" t="s">
        <v>36261</v>
      </c>
      <c r="G2610" s="82"/>
      <c r="H2610" s="96">
        <f t="shared" si="160"/>
        <v>99</v>
      </c>
      <c r="I2610" s="96">
        <f t="shared" si="160"/>
        <v>101.88</v>
      </c>
      <c r="J2610" s="91" t="str">
        <f t="shared" si="161"/>
        <v>Sinapi 93189</v>
      </c>
      <c r="K2610" s="91" t="str">
        <f t="shared" si="162"/>
        <v>M</v>
      </c>
      <c r="L2610" s="166" t="str">
        <f t="shared" si="163"/>
        <v>03/2016</v>
      </c>
      <c r="M2610" s="82"/>
      <c r="N2610" s="82"/>
    </row>
    <row r="2611" spans="1:14" x14ac:dyDescent="0.25">
      <c r="A2611" s="170" t="s">
        <v>5371</v>
      </c>
      <c r="B2611" s="170" t="s">
        <v>5372</v>
      </c>
      <c r="C2611" s="170" t="s">
        <v>385</v>
      </c>
      <c r="D2611" s="170" t="s">
        <v>2067</v>
      </c>
      <c r="E2611" s="171" t="s">
        <v>21972</v>
      </c>
      <c r="F2611" s="171" t="s">
        <v>21728</v>
      </c>
      <c r="G2611" s="82"/>
      <c r="H2611" s="96">
        <f t="shared" si="160"/>
        <v>63</v>
      </c>
      <c r="I2611" s="96">
        <f t="shared" si="160"/>
        <v>64.2</v>
      </c>
      <c r="J2611" s="91" t="str">
        <f t="shared" si="161"/>
        <v>Sinapi 93190</v>
      </c>
      <c r="K2611" s="91" t="str">
        <f t="shared" si="162"/>
        <v>M</v>
      </c>
      <c r="L2611" s="166" t="str">
        <f t="shared" si="163"/>
        <v>03/2016</v>
      </c>
      <c r="M2611" s="82"/>
      <c r="N2611" s="82"/>
    </row>
    <row r="2612" spans="1:14" x14ac:dyDescent="0.25">
      <c r="A2612" s="170" t="s">
        <v>5373</v>
      </c>
      <c r="B2612" s="170" t="s">
        <v>5374</v>
      </c>
      <c r="C2612" s="170" t="s">
        <v>385</v>
      </c>
      <c r="D2612" s="170" t="s">
        <v>2067</v>
      </c>
      <c r="E2612" s="171" t="s">
        <v>32986</v>
      </c>
      <c r="F2612" s="171" t="s">
        <v>22933</v>
      </c>
      <c r="G2612" s="82"/>
      <c r="H2612" s="96">
        <f t="shared" si="160"/>
        <v>65.650000000000006</v>
      </c>
      <c r="I2612" s="96">
        <f t="shared" si="160"/>
        <v>66.790000000000006</v>
      </c>
      <c r="J2612" s="91" t="str">
        <f t="shared" si="161"/>
        <v>Sinapi 93191</v>
      </c>
      <c r="K2612" s="91" t="str">
        <f t="shared" si="162"/>
        <v>M</v>
      </c>
      <c r="L2612" s="166" t="str">
        <f t="shared" si="163"/>
        <v>03/2016</v>
      </c>
      <c r="M2612" s="82"/>
      <c r="N2612" s="82"/>
    </row>
    <row r="2613" spans="1:14" x14ac:dyDescent="0.25">
      <c r="A2613" s="170" t="s">
        <v>5375</v>
      </c>
      <c r="B2613" s="170" t="s">
        <v>5376</v>
      </c>
      <c r="C2613" s="170" t="s">
        <v>385</v>
      </c>
      <c r="D2613" s="170" t="s">
        <v>2067</v>
      </c>
      <c r="E2613" s="171" t="s">
        <v>24311</v>
      </c>
      <c r="F2613" s="171" t="s">
        <v>21912</v>
      </c>
      <c r="G2613" s="82"/>
      <c r="H2613" s="96">
        <f t="shared" si="160"/>
        <v>65.900000000000006</v>
      </c>
      <c r="I2613" s="96">
        <f t="shared" si="160"/>
        <v>67.14</v>
      </c>
      <c r="J2613" s="91" t="str">
        <f t="shared" si="161"/>
        <v>Sinapi 93192</v>
      </c>
      <c r="K2613" s="91" t="str">
        <f t="shared" si="162"/>
        <v>M</v>
      </c>
      <c r="L2613" s="166" t="str">
        <f t="shared" si="163"/>
        <v>03/2016</v>
      </c>
      <c r="M2613" s="82"/>
      <c r="N2613" s="82"/>
    </row>
    <row r="2614" spans="1:14" x14ac:dyDescent="0.25">
      <c r="A2614" s="170" t="s">
        <v>5377</v>
      </c>
      <c r="B2614" s="170" t="s">
        <v>5378</v>
      </c>
      <c r="C2614" s="170" t="s">
        <v>385</v>
      </c>
      <c r="D2614" s="170" t="s">
        <v>2067</v>
      </c>
      <c r="E2614" s="171" t="s">
        <v>32987</v>
      </c>
      <c r="F2614" s="171" t="s">
        <v>21451</v>
      </c>
      <c r="G2614" s="82"/>
      <c r="H2614" s="96">
        <f t="shared" si="160"/>
        <v>66.36</v>
      </c>
      <c r="I2614" s="96">
        <f t="shared" si="160"/>
        <v>67.459999999999994</v>
      </c>
      <c r="J2614" s="91" t="str">
        <f t="shared" si="161"/>
        <v>Sinapi 93193</v>
      </c>
      <c r="K2614" s="91" t="str">
        <f t="shared" si="162"/>
        <v>M</v>
      </c>
      <c r="L2614" s="166" t="str">
        <f t="shared" si="163"/>
        <v>03/2016</v>
      </c>
      <c r="M2614" s="82"/>
      <c r="N2614" s="82"/>
    </row>
    <row r="2615" spans="1:14" x14ac:dyDescent="0.25">
      <c r="A2615" s="170" t="s">
        <v>5379</v>
      </c>
      <c r="B2615" s="170" t="s">
        <v>5380</v>
      </c>
      <c r="C2615" s="170" t="s">
        <v>385</v>
      </c>
      <c r="D2615" s="170" t="s">
        <v>1947</v>
      </c>
      <c r="E2615" s="171" t="s">
        <v>32988</v>
      </c>
      <c r="F2615" s="171" t="s">
        <v>28470</v>
      </c>
      <c r="G2615" s="82"/>
      <c r="H2615" s="96">
        <f t="shared" si="160"/>
        <v>48.6</v>
      </c>
      <c r="I2615" s="96">
        <f t="shared" si="160"/>
        <v>49.77</v>
      </c>
      <c r="J2615" s="91" t="str">
        <f t="shared" si="161"/>
        <v>Sinapi 93194</v>
      </c>
      <c r="K2615" s="91" t="str">
        <f t="shared" si="162"/>
        <v>M</v>
      </c>
      <c r="L2615" s="166" t="str">
        <f t="shared" si="163"/>
        <v>03/2016</v>
      </c>
      <c r="M2615" s="82"/>
      <c r="N2615" s="82"/>
    </row>
    <row r="2616" spans="1:14" x14ac:dyDescent="0.25">
      <c r="A2616" s="170" t="s">
        <v>5381</v>
      </c>
      <c r="B2616" s="170" t="s">
        <v>5382</v>
      </c>
      <c r="C2616" s="170" t="s">
        <v>385</v>
      </c>
      <c r="D2616" s="170" t="s">
        <v>1947</v>
      </c>
      <c r="E2616" s="171" t="s">
        <v>29043</v>
      </c>
      <c r="F2616" s="171" t="s">
        <v>36262</v>
      </c>
      <c r="G2616" s="82"/>
      <c r="H2616" s="96">
        <f t="shared" si="160"/>
        <v>59.23</v>
      </c>
      <c r="I2616" s="96">
        <f t="shared" si="160"/>
        <v>60.54</v>
      </c>
      <c r="J2616" s="91" t="str">
        <f t="shared" si="161"/>
        <v>Sinapi 93195</v>
      </c>
      <c r="K2616" s="91" t="str">
        <f t="shared" si="162"/>
        <v>M</v>
      </c>
      <c r="L2616" s="166" t="str">
        <f t="shared" si="163"/>
        <v>03/2016</v>
      </c>
      <c r="M2616" s="82"/>
      <c r="N2616" s="82"/>
    </row>
    <row r="2617" spans="1:14" x14ac:dyDescent="0.25">
      <c r="A2617" s="170" t="s">
        <v>5383</v>
      </c>
      <c r="B2617" s="170" t="s">
        <v>5384</v>
      </c>
      <c r="C2617" s="170" t="s">
        <v>385</v>
      </c>
      <c r="D2617" s="170" t="s">
        <v>1947</v>
      </c>
      <c r="E2617" s="171" t="s">
        <v>31483</v>
      </c>
      <c r="F2617" s="171" t="s">
        <v>29017</v>
      </c>
      <c r="G2617" s="82"/>
      <c r="H2617" s="96">
        <f t="shared" si="160"/>
        <v>82.51</v>
      </c>
      <c r="I2617" s="96">
        <f t="shared" si="160"/>
        <v>85.27</v>
      </c>
      <c r="J2617" s="91" t="str">
        <f t="shared" si="161"/>
        <v>Sinapi 93196</v>
      </c>
      <c r="K2617" s="91" t="str">
        <f t="shared" si="162"/>
        <v>M</v>
      </c>
      <c r="L2617" s="166" t="str">
        <f t="shared" si="163"/>
        <v>03/2016</v>
      </c>
      <c r="M2617" s="82"/>
      <c r="N2617" s="82"/>
    </row>
    <row r="2618" spans="1:14" x14ac:dyDescent="0.25">
      <c r="A2618" s="170" t="s">
        <v>5385</v>
      </c>
      <c r="B2618" s="170" t="s">
        <v>5386</v>
      </c>
      <c r="C2618" s="170" t="s">
        <v>385</v>
      </c>
      <c r="D2618" s="170" t="s">
        <v>1947</v>
      </c>
      <c r="E2618" s="171" t="s">
        <v>32989</v>
      </c>
      <c r="F2618" s="171" t="s">
        <v>36263</v>
      </c>
      <c r="G2618" s="82"/>
      <c r="H2618" s="96">
        <f t="shared" si="160"/>
        <v>93.28</v>
      </c>
      <c r="I2618" s="96">
        <f t="shared" si="160"/>
        <v>96.2</v>
      </c>
      <c r="J2618" s="91" t="str">
        <f t="shared" si="161"/>
        <v>Sinapi 93197</v>
      </c>
      <c r="K2618" s="91" t="str">
        <f t="shared" si="162"/>
        <v>M</v>
      </c>
      <c r="L2618" s="166" t="str">
        <f t="shared" si="163"/>
        <v>03/2016</v>
      </c>
      <c r="M2618" s="82"/>
      <c r="N2618" s="82"/>
    </row>
    <row r="2619" spans="1:14" x14ac:dyDescent="0.25">
      <c r="A2619" s="170" t="s">
        <v>5387</v>
      </c>
      <c r="B2619" s="170" t="s">
        <v>5388</v>
      </c>
      <c r="C2619" s="170" t="s">
        <v>385</v>
      </c>
      <c r="D2619" s="170" t="s">
        <v>2067</v>
      </c>
      <c r="E2619" s="171" t="s">
        <v>21118</v>
      </c>
      <c r="F2619" s="171" t="s">
        <v>36264</v>
      </c>
      <c r="G2619" s="82"/>
      <c r="H2619" s="96">
        <f t="shared" si="160"/>
        <v>58.16</v>
      </c>
      <c r="I2619" s="96">
        <f t="shared" si="160"/>
        <v>59.36</v>
      </c>
      <c r="J2619" s="91" t="str">
        <f t="shared" si="161"/>
        <v>Sinapi 93198</v>
      </c>
      <c r="K2619" s="91" t="str">
        <f t="shared" si="162"/>
        <v>M</v>
      </c>
      <c r="L2619" s="166" t="str">
        <f t="shared" si="163"/>
        <v>03/2016</v>
      </c>
      <c r="M2619" s="82"/>
      <c r="N2619" s="82"/>
    </row>
    <row r="2620" spans="1:14" x14ac:dyDescent="0.25">
      <c r="A2620" s="170" t="s">
        <v>5389</v>
      </c>
      <c r="B2620" s="170" t="s">
        <v>5390</v>
      </c>
      <c r="C2620" s="170" t="s">
        <v>385</v>
      </c>
      <c r="D2620" s="170" t="s">
        <v>2067</v>
      </c>
      <c r="E2620" s="171" t="s">
        <v>29418</v>
      </c>
      <c r="F2620" s="171" t="s">
        <v>28733</v>
      </c>
      <c r="G2620" s="82"/>
      <c r="H2620" s="96">
        <f t="shared" si="160"/>
        <v>57.62</v>
      </c>
      <c r="I2620" s="96">
        <f t="shared" si="160"/>
        <v>58.77</v>
      </c>
      <c r="J2620" s="91" t="str">
        <f t="shared" si="161"/>
        <v>Sinapi 93199</v>
      </c>
      <c r="K2620" s="91" t="str">
        <f t="shared" si="162"/>
        <v>M</v>
      </c>
      <c r="L2620" s="166" t="str">
        <f t="shared" si="163"/>
        <v>03/2016</v>
      </c>
      <c r="M2620" s="82"/>
      <c r="N2620" s="82"/>
    </row>
    <row r="2621" spans="1:14" x14ac:dyDescent="0.25">
      <c r="A2621" s="170" t="s">
        <v>5391</v>
      </c>
      <c r="B2621" s="170" t="s">
        <v>5392</v>
      </c>
      <c r="C2621" s="170" t="s">
        <v>385</v>
      </c>
      <c r="D2621" s="170" t="s">
        <v>2067</v>
      </c>
      <c r="E2621" s="171" t="s">
        <v>23563</v>
      </c>
      <c r="F2621" s="171" t="s">
        <v>20987</v>
      </c>
      <c r="G2621" s="82"/>
      <c r="H2621" s="96">
        <f t="shared" si="160"/>
        <v>3.62</v>
      </c>
      <c r="I2621" s="96">
        <f t="shared" si="160"/>
        <v>3.81</v>
      </c>
      <c r="J2621" s="91" t="str">
        <f t="shared" si="161"/>
        <v>Sinapi 93200</v>
      </c>
      <c r="K2621" s="91" t="str">
        <f t="shared" si="162"/>
        <v>M</v>
      </c>
      <c r="L2621" s="166" t="str">
        <f t="shared" si="163"/>
        <v>03/2016</v>
      </c>
      <c r="M2621" s="82"/>
      <c r="N2621" s="82"/>
    </row>
    <row r="2622" spans="1:14" x14ac:dyDescent="0.25">
      <c r="A2622" s="170" t="s">
        <v>5394</v>
      </c>
      <c r="B2622" s="170" t="s">
        <v>5395</v>
      </c>
      <c r="C2622" s="170" t="s">
        <v>385</v>
      </c>
      <c r="D2622" s="170" t="s">
        <v>2067</v>
      </c>
      <c r="E2622" s="171" t="s">
        <v>30207</v>
      </c>
      <c r="F2622" s="171" t="s">
        <v>19412</v>
      </c>
      <c r="G2622" s="82"/>
      <c r="H2622" s="96">
        <f t="shared" si="160"/>
        <v>6.59</v>
      </c>
      <c r="I2622" s="96">
        <f t="shared" si="160"/>
        <v>7.12</v>
      </c>
      <c r="J2622" s="91" t="str">
        <f t="shared" si="161"/>
        <v>Sinapi 93201</v>
      </c>
      <c r="K2622" s="91" t="str">
        <f t="shared" si="162"/>
        <v>M</v>
      </c>
      <c r="L2622" s="166" t="str">
        <f t="shared" si="163"/>
        <v>03/2016</v>
      </c>
      <c r="M2622" s="82"/>
      <c r="N2622" s="82"/>
    </row>
    <row r="2623" spans="1:14" x14ac:dyDescent="0.25">
      <c r="A2623" s="170" t="s">
        <v>5396</v>
      </c>
      <c r="B2623" s="170" t="s">
        <v>5397</v>
      </c>
      <c r="C2623" s="170" t="s">
        <v>385</v>
      </c>
      <c r="D2623" s="170" t="s">
        <v>2067</v>
      </c>
      <c r="E2623" s="171" t="s">
        <v>30939</v>
      </c>
      <c r="F2623" s="171" t="s">
        <v>16303</v>
      </c>
      <c r="G2623" s="82"/>
      <c r="H2623" s="96">
        <f t="shared" si="160"/>
        <v>25.49</v>
      </c>
      <c r="I2623" s="96">
        <f t="shared" si="160"/>
        <v>27.25</v>
      </c>
      <c r="J2623" s="91" t="str">
        <f t="shared" si="161"/>
        <v>Sinapi 93202</v>
      </c>
      <c r="K2623" s="91" t="str">
        <f t="shared" si="162"/>
        <v>M</v>
      </c>
      <c r="L2623" s="166" t="str">
        <f t="shared" si="163"/>
        <v>03/2016</v>
      </c>
      <c r="M2623" s="82"/>
      <c r="N2623" s="82"/>
    </row>
    <row r="2624" spans="1:14" x14ac:dyDescent="0.25">
      <c r="A2624" s="170" t="s">
        <v>5398</v>
      </c>
      <c r="B2624" s="170" t="s">
        <v>5399</v>
      </c>
      <c r="C2624" s="170" t="s">
        <v>385</v>
      </c>
      <c r="D2624" s="170" t="s">
        <v>2710</v>
      </c>
      <c r="E2624" s="171" t="s">
        <v>20630</v>
      </c>
      <c r="F2624" s="171" t="s">
        <v>15793</v>
      </c>
      <c r="G2624" s="82"/>
      <c r="H2624" s="96">
        <f t="shared" si="160"/>
        <v>15.51</v>
      </c>
      <c r="I2624" s="96">
        <f t="shared" si="160"/>
        <v>15.76</v>
      </c>
      <c r="J2624" s="91" t="str">
        <f t="shared" si="161"/>
        <v>Sinapi 93203</v>
      </c>
      <c r="K2624" s="91" t="str">
        <f t="shared" si="162"/>
        <v>M</v>
      </c>
      <c r="L2624" s="166" t="str">
        <f t="shared" si="163"/>
        <v>03/2016</v>
      </c>
      <c r="M2624" s="82"/>
      <c r="N2624" s="82"/>
    </row>
    <row r="2625" spans="1:14" x14ac:dyDescent="0.25">
      <c r="A2625" s="170" t="s">
        <v>5400</v>
      </c>
      <c r="B2625" s="170" t="s">
        <v>5401</v>
      </c>
      <c r="C2625" s="170" t="s">
        <v>385</v>
      </c>
      <c r="D2625" s="170" t="s">
        <v>1947</v>
      </c>
      <c r="E2625" s="171" t="s">
        <v>21482</v>
      </c>
      <c r="F2625" s="171" t="s">
        <v>21881</v>
      </c>
      <c r="G2625" s="82"/>
      <c r="H2625" s="96">
        <f t="shared" si="160"/>
        <v>62.56</v>
      </c>
      <c r="I2625" s="96">
        <f t="shared" si="160"/>
        <v>64.739999999999995</v>
      </c>
      <c r="J2625" s="91" t="str">
        <f t="shared" si="161"/>
        <v>Sinapi 93204</v>
      </c>
      <c r="K2625" s="91" t="str">
        <f t="shared" si="162"/>
        <v>M</v>
      </c>
      <c r="L2625" s="166" t="str">
        <f t="shared" si="163"/>
        <v>03/2016</v>
      </c>
      <c r="M2625" s="82"/>
      <c r="N2625" s="82"/>
    </row>
    <row r="2626" spans="1:14" x14ac:dyDescent="0.25">
      <c r="A2626" s="170" t="s">
        <v>5402</v>
      </c>
      <c r="B2626" s="170" t="s">
        <v>5403</v>
      </c>
      <c r="C2626" s="170" t="s">
        <v>385</v>
      </c>
      <c r="D2626" s="170" t="s">
        <v>2067</v>
      </c>
      <c r="E2626" s="171" t="s">
        <v>28043</v>
      </c>
      <c r="F2626" s="171" t="s">
        <v>36265</v>
      </c>
      <c r="G2626" s="82"/>
      <c r="H2626" s="96">
        <f t="shared" si="160"/>
        <v>53.94</v>
      </c>
      <c r="I2626" s="96">
        <f t="shared" si="160"/>
        <v>55.06</v>
      </c>
      <c r="J2626" s="91" t="str">
        <f t="shared" si="161"/>
        <v>Sinapi 93205</v>
      </c>
      <c r="K2626" s="91" t="str">
        <f t="shared" si="162"/>
        <v>M</v>
      </c>
      <c r="L2626" s="166" t="str">
        <f t="shared" si="163"/>
        <v>03/2016</v>
      </c>
      <c r="M2626" s="82"/>
      <c r="N2626" s="82"/>
    </row>
    <row r="2627" spans="1:14" x14ac:dyDescent="0.25">
      <c r="A2627" s="170" t="s">
        <v>5404</v>
      </c>
      <c r="B2627" s="170" t="s">
        <v>5405</v>
      </c>
      <c r="C2627" s="170" t="s">
        <v>85</v>
      </c>
      <c r="D2627" s="170" t="s">
        <v>1947</v>
      </c>
      <c r="E2627" s="171" t="s">
        <v>32990</v>
      </c>
      <c r="F2627" s="171" t="s">
        <v>36266</v>
      </c>
      <c r="G2627" s="82"/>
      <c r="H2627" s="96">
        <f t="shared" si="160"/>
        <v>3540.54</v>
      </c>
      <c r="I2627" s="96">
        <f t="shared" si="160"/>
        <v>3760.3</v>
      </c>
      <c r="J2627" s="91" t="str">
        <f t="shared" si="161"/>
        <v>Sinapi 97733</v>
      </c>
      <c r="K2627" s="91" t="str">
        <f t="shared" si="162"/>
        <v>M3</v>
      </c>
      <c r="L2627" s="166" t="str">
        <f t="shared" si="163"/>
        <v>01/2018</v>
      </c>
      <c r="M2627" s="82"/>
      <c r="N2627" s="82"/>
    </row>
    <row r="2628" spans="1:14" x14ac:dyDescent="0.25">
      <c r="A2628" s="170" t="s">
        <v>5406</v>
      </c>
      <c r="B2628" s="170" t="s">
        <v>5407</v>
      </c>
      <c r="C2628" s="170" t="s">
        <v>85</v>
      </c>
      <c r="D2628" s="170" t="s">
        <v>1947</v>
      </c>
      <c r="E2628" s="171" t="s">
        <v>32991</v>
      </c>
      <c r="F2628" s="171" t="s">
        <v>36267</v>
      </c>
      <c r="G2628" s="82"/>
      <c r="H2628" s="96">
        <f t="shared" si="160"/>
        <v>3087.28</v>
      </c>
      <c r="I2628" s="96">
        <f t="shared" si="160"/>
        <v>3283.6</v>
      </c>
      <c r="J2628" s="91" t="str">
        <f t="shared" si="161"/>
        <v>Sinapi 97734</v>
      </c>
      <c r="K2628" s="91" t="str">
        <f t="shared" si="162"/>
        <v>M3</v>
      </c>
      <c r="L2628" s="166" t="str">
        <f t="shared" si="163"/>
        <v>01/2018</v>
      </c>
      <c r="M2628" s="82"/>
      <c r="N2628" s="82"/>
    </row>
    <row r="2629" spans="1:14" x14ac:dyDescent="0.25">
      <c r="A2629" s="170" t="s">
        <v>5408</v>
      </c>
      <c r="B2629" s="170" t="s">
        <v>5409</v>
      </c>
      <c r="C2629" s="170" t="s">
        <v>85</v>
      </c>
      <c r="D2629" s="170" t="s">
        <v>1947</v>
      </c>
      <c r="E2629" s="171" t="s">
        <v>32992</v>
      </c>
      <c r="F2629" s="171" t="s">
        <v>36268</v>
      </c>
      <c r="G2629" s="82"/>
      <c r="H2629" s="96">
        <f t="shared" si="160"/>
        <v>2642.61</v>
      </c>
      <c r="I2629" s="96">
        <f t="shared" si="160"/>
        <v>2790.31</v>
      </c>
      <c r="J2629" s="91" t="str">
        <f t="shared" si="161"/>
        <v>Sinapi 97735</v>
      </c>
      <c r="K2629" s="91" t="str">
        <f t="shared" si="162"/>
        <v>M3</v>
      </c>
      <c r="L2629" s="166" t="str">
        <f t="shared" si="163"/>
        <v>01/2018</v>
      </c>
      <c r="M2629" s="82"/>
      <c r="N2629" s="82"/>
    </row>
    <row r="2630" spans="1:14" x14ac:dyDescent="0.25">
      <c r="A2630" s="170" t="s">
        <v>5410</v>
      </c>
      <c r="B2630" s="170" t="s">
        <v>5411</v>
      </c>
      <c r="C2630" s="170" t="s">
        <v>85</v>
      </c>
      <c r="D2630" s="170" t="s">
        <v>1947</v>
      </c>
      <c r="E2630" s="171" t="s">
        <v>32993</v>
      </c>
      <c r="F2630" s="171" t="s">
        <v>36269</v>
      </c>
      <c r="G2630" s="82"/>
      <c r="H2630" s="96">
        <f t="shared" si="160"/>
        <v>1834.25</v>
      </c>
      <c r="I2630" s="96">
        <f t="shared" si="160"/>
        <v>1891.36</v>
      </c>
      <c r="J2630" s="91" t="str">
        <f t="shared" si="161"/>
        <v>Sinapi 97736</v>
      </c>
      <c r="K2630" s="91" t="str">
        <f t="shared" si="162"/>
        <v>M3</v>
      </c>
      <c r="L2630" s="166" t="str">
        <f t="shared" si="163"/>
        <v>01/2018</v>
      </c>
      <c r="M2630" s="82"/>
      <c r="N2630" s="82"/>
    </row>
    <row r="2631" spans="1:14" x14ac:dyDescent="0.25">
      <c r="A2631" s="170" t="s">
        <v>5412</v>
      </c>
      <c r="B2631" s="170" t="s">
        <v>5413</v>
      </c>
      <c r="C2631" s="170" t="s">
        <v>85</v>
      </c>
      <c r="D2631" s="170" t="s">
        <v>1947</v>
      </c>
      <c r="E2631" s="171" t="s">
        <v>32994</v>
      </c>
      <c r="F2631" s="171" t="s">
        <v>36270</v>
      </c>
      <c r="G2631" s="82"/>
      <c r="H2631" s="96">
        <f t="shared" si="160"/>
        <v>3514.98</v>
      </c>
      <c r="I2631" s="96">
        <f t="shared" si="160"/>
        <v>3690.52</v>
      </c>
      <c r="J2631" s="91" t="str">
        <f t="shared" si="161"/>
        <v>Sinapi 97737</v>
      </c>
      <c r="K2631" s="91" t="str">
        <f t="shared" si="162"/>
        <v>M3</v>
      </c>
      <c r="L2631" s="166" t="str">
        <f t="shared" si="163"/>
        <v>01/2018</v>
      </c>
      <c r="M2631" s="82"/>
      <c r="N2631" s="82"/>
    </row>
    <row r="2632" spans="1:14" x14ac:dyDescent="0.25">
      <c r="A2632" s="170" t="s">
        <v>5414</v>
      </c>
      <c r="B2632" s="170" t="s">
        <v>18122</v>
      </c>
      <c r="C2632" s="170" t="s">
        <v>85</v>
      </c>
      <c r="D2632" s="170" t="s">
        <v>1947</v>
      </c>
      <c r="E2632" s="171" t="s">
        <v>32995</v>
      </c>
      <c r="F2632" s="171" t="s">
        <v>36271</v>
      </c>
      <c r="G2632" s="82"/>
      <c r="H2632" s="96">
        <f t="shared" ref="H2632:I2695" si="164">IF(E2632="","",E2632+0)</f>
        <v>6189.53</v>
      </c>
      <c r="I2632" s="96">
        <f t="shared" si="164"/>
        <v>6426.83</v>
      </c>
      <c r="J2632" s="91" t="str">
        <f t="shared" ref="J2632:J2695" si="165">IF(OR(H2632="",I2632=""),"",TRIM(CONCATENATE("Sinapi ",A2632)))</f>
        <v>Sinapi 97738</v>
      </c>
      <c r="K2632" s="91" t="str">
        <f t="shared" ref="K2632:K2695" si="166">TRIM(C2632)</f>
        <v>M3</v>
      </c>
      <c r="L2632" s="166" t="str">
        <f t="shared" ref="L2632:L2695" si="167">IF(OR(RIGHT(IF(AND(K2632&lt;&gt;"H",K2632&lt;&gt;"MES"),RIGHT(B2632,7),""),2)="PS",RIGHT(IF(AND(K2632&lt;&gt;"H",K2632&lt;&gt;"MES"),RIGHT(B2632,7),""),2)="PA",RIGHT(IF(AND(K2632&lt;&gt;"H",K2632&lt;&gt;"MES"),RIGHT(B2632,7),""),2)="PE"),LEFT(IF(AND(K2632&lt;&gt;"H",K2632&lt;&gt;"MES"),RIGHT(B2632,10),""),7),IF(AND(K2632&lt;&gt;"H",K2632&lt;&gt;"MES"),RIGHT(B2632,7),""))</f>
        <v>01/2018</v>
      </c>
      <c r="M2632" s="82"/>
      <c r="N2632" s="82"/>
    </row>
    <row r="2633" spans="1:14" x14ac:dyDescent="0.25">
      <c r="A2633" s="170" t="s">
        <v>5415</v>
      </c>
      <c r="B2633" s="170" t="s">
        <v>5416</v>
      </c>
      <c r="C2633" s="170" t="s">
        <v>85</v>
      </c>
      <c r="D2633" s="170" t="s">
        <v>1947</v>
      </c>
      <c r="E2633" s="171" t="s">
        <v>32996</v>
      </c>
      <c r="F2633" s="171" t="s">
        <v>36272</v>
      </c>
      <c r="G2633" s="82"/>
      <c r="H2633" s="96">
        <f t="shared" si="164"/>
        <v>3275.63</v>
      </c>
      <c r="I2633" s="96">
        <f t="shared" si="164"/>
        <v>3431.72</v>
      </c>
      <c r="J2633" s="91" t="str">
        <f t="shared" si="165"/>
        <v>Sinapi 97739</v>
      </c>
      <c r="K2633" s="91" t="str">
        <f t="shared" si="166"/>
        <v>M3</v>
      </c>
      <c r="L2633" s="166" t="str">
        <f t="shared" si="167"/>
        <v>01/2018</v>
      </c>
      <c r="M2633" s="82"/>
      <c r="N2633" s="82"/>
    </row>
    <row r="2634" spans="1:14" x14ac:dyDescent="0.25">
      <c r="A2634" s="170" t="s">
        <v>5417</v>
      </c>
      <c r="B2634" s="170" t="s">
        <v>5418</v>
      </c>
      <c r="C2634" s="170" t="s">
        <v>85</v>
      </c>
      <c r="D2634" s="170" t="s">
        <v>1947</v>
      </c>
      <c r="E2634" s="171" t="s">
        <v>32997</v>
      </c>
      <c r="F2634" s="171" t="s">
        <v>36273</v>
      </c>
      <c r="G2634" s="82"/>
      <c r="H2634" s="96">
        <f t="shared" si="164"/>
        <v>2556.5300000000002</v>
      </c>
      <c r="I2634" s="96">
        <f t="shared" si="164"/>
        <v>2631.29</v>
      </c>
      <c r="J2634" s="91" t="str">
        <f t="shared" si="165"/>
        <v>Sinapi 97740</v>
      </c>
      <c r="K2634" s="91" t="str">
        <f t="shared" si="166"/>
        <v>M3</v>
      </c>
      <c r="L2634" s="166" t="str">
        <f t="shared" si="167"/>
        <v>01/2018</v>
      </c>
      <c r="M2634" s="82"/>
      <c r="N2634" s="82"/>
    </row>
    <row r="2635" spans="1:14" x14ac:dyDescent="0.25">
      <c r="A2635" s="170" t="s">
        <v>5419</v>
      </c>
      <c r="B2635" s="170" t="s">
        <v>5420</v>
      </c>
      <c r="C2635" s="170" t="s">
        <v>870</v>
      </c>
      <c r="D2635" s="170" t="s">
        <v>1947</v>
      </c>
      <c r="E2635" s="171" t="s">
        <v>32998</v>
      </c>
      <c r="F2635" s="171" t="s">
        <v>36274</v>
      </c>
      <c r="G2635" s="82"/>
      <c r="H2635" s="96">
        <f t="shared" si="164"/>
        <v>238.94</v>
      </c>
      <c r="I2635" s="96">
        <f t="shared" si="164"/>
        <v>240.76</v>
      </c>
      <c r="J2635" s="91" t="str">
        <f t="shared" si="165"/>
        <v>Sinapi 98615</v>
      </c>
      <c r="K2635" s="91" t="str">
        <f t="shared" si="166"/>
        <v>M2</v>
      </c>
      <c r="L2635" s="166" t="str">
        <f t="shared" si="167"/>
        <v>06/2018</v>
      </c>
      <c r="M2635" s="82"/>
      <c r="N2635" s="82"/>
    </row>
    <row r="2636" spans="1:14" x14ac:dyDescent="0.25">
      <c r="A2636" s="170" t="s">
        <v>5421</v>
      </c>
      <c r="B2636" s="170" t="s">
        <v>5422</v>
      </c>
      <c r="C2636" s="170" t="s">
        <v>870</v>
      </c>
      <c r="D2636" s="170" t="s">
        <v>1947</v>
      </c>
      <c r="E2636" s="171" t="s">
        <v>32999</v>
      </c>
      <c r="F2636" s="171" t="s">
        <v>36275</v>
      </c>
      <c r="G2636" s="82"/>
      <c r="H2636" s="96">
        <f t="shared" si="164"/>
        <v>206.35</v>
      </c>
      <c r="I2636" s="96">
        <f t="shared" si="164"/>
        <v>207.52</v>
      </c>
      <c r="J2636" s="91" t="str">
        <f t="shared" si="165"/>
        <v>Sinapi 98616</v>
      </c>
      <c r="K2636" s="91" t="str">
        <f t="shared" si="166"/>
        <v>M2</v>
      </c>
      <c r="L2636" s="166" t="str">
        <f t="shared" si="167"/>
        <v>06/2018</v>
      </c>
      <c r="M2636" s="82"/>
      <c r="N2636" s="82"/>
    </row>
    <row r="2637" spans="1:14" x14ac:dyDescent="0.25">
      <c r="A2637" s="170" t="s">
        <v>5423</v>
      </c>
      <c r="B2637" s="170" t="s">
        <v>5424</v>
      </c>
      <c r="C2637" s="170" t="s">
        <v>870</v>
      </c>
      <c r="D2637" s="170" t="s">
        <v>1947</v>
      </c>
      <c r="E2637" s="171" t="s">
        <v>29086</v>
      </c>
      <c r="F2637" s="171" t="s">
        <v>36276</v>
      </c>
      <c r="G2637" s="82"/>
      <c r="H2637" s="96">
        <f t="shared" si="164"/>
        <v>197.74</v>
      </c>
      <c r="I2637" s="96">
        <f t="shared" si="164"/>
        <v>198.67</v>
      </c>
      <c r="J2637" s="91" t="str">
        <f t="shared" si="165"/>
        <v>Sinapi 98617</v>
      </c>
      <c r="K2637" s="91" t="str">
        <f t="shared" si="166"/>
        <v>M2</v>
      </c>
      <c r="L2637" s="166" t="str">
        <f t="shared" si="167"/>
        <v>06/2018</v>
      </c>
      <c r="M2637" s="82"/>
      <c r="N2637" s="82"/>
    </row>
    <row r="2638" spans="1:14" x14ac:dyDescent="0.25">
      <c r="A2638" s="170" t="s">
        <v>5425</v>
      </c>
      <c r="B2638" s="170" t="s">
        <v>5426</v>
      </c>
      <c r="C2638" s="170" t="s">
        <v>870</v>
      </c>
      <c r="D2638" s="170" t="s">
        <v>1947</v>
      </c>
      <c r="E2638" s="171" t="s">
        <v>33000</v>
      </c>
      <c r="F2638" s="171" t="s">
        <v>36277</v>
      </c>
      <c r="G2638" s="82"/>
      <c r="H2638" s="96">
        <f t="shared" si="164"/>
        <v>267.8</v>
      </c>
      <c r="I2638" s="96">
        <f t="shared" si="164"/>
        <v>269.14999999999998</v>
      </c>
      <c r="J2638" s="91" t="str">
        <f t="shared" si="165"/>
        <v>Sinapi 98618</v>
      </c>
      <c r="K2638" s="91" t="str">
        <f t="shared" si="166"/>
        <v>M2</v>
      </c>
      <c r="L2638" s="166" t="str">
        <f t="shared" si="167"/>
        <v>06/2018</v>
      </c>
      <c r="M2638" s="82"/>
      <c r="N2638" s="82"/>
    </row>
    <row r="2639" spans="1:14" x14ac:dyDescent="0.25">
      <c r="A2639" s="170" t="s">
        <v>5427</v>
      </c>
      <c r="B2639" s="170" t="s">
        <v>5428</v>
      </c>
      <c r="C2639" s="170" t="s">
        <v>870</v>
      </c>
      <c r="D2639" s="170" t="s">
        <v>1947</v>
      </c>
      <c r="E2639" s="171" t="s">
        <v>33001</v>
      </c>
      <c r="F2639" s="171" t="s">
        <v>36278</v>
      </c>
      <c r="G2639" s="82"/>
      <c r="H2639" s="96">
        <f t="shared" si="164"/>
        <v>254.61</v>
      </c>
      <c r="I2639" s="96">
        <f t="shared" si="164"/>
        <v>255.6</v>
      </c>
      <c r="J2639" s="91" t="str">
        <f t="shared" si="165"/>
        <v>Sinapi 98619</v>
      </c>
      <c r="K2639" s="91" t="str">
        <f t="shared" si="166"/>
        <v>M2</v>
      </c>
      <c r="L2639" s="166" t="str">
        <f t="shared" si="167"/>
        <v>06/2018</v>
      </c>
      <c r="M2639" s="82"/>
      <c r="N2639" s="82"/>
    </row>
    <row r="2640" spans="1:14" x14ac:dyDescent="0.25">
      <c r="A2640" s="170" t="s">
        <v>5429</v>
      </c>
      <c r="B2640" s="170" t="s">
        <v>5430</v>
      </c>
      <c r="C2640" s="170" t="s">
        <v>870</v>
      </c>
      <c r="D2640" s="170" t="s">
        <v>1947</v>
      </c>
      <c r="E2640" s="171" t="s">
        <v>33002</v>
      </c>
      <c r="F2640" s="171" t="s">
        <v>36279</v>
      </c>
      <c r="G2640" s="82"/>
      <c r="H2640" s="96">
        <f t="shared" si="164"/>
        <v>247.9</v>
      </c>
      <c r="I2640" s="96">
        <f t="shared" si="164"/>
        <v>248.69</v>
      </c>
      <c r="J2640" s="91" t="str">
        <f t="shared" si="165"/>
        <v>Sinapi 98620</v>
      </c>
      <c r="K2640" s="91" t="str">
        <f t="shared" si="166"/>
        <v>M2</v>
      </c>
      <c r="L2640" s="166" t="str">
        <f t="shared" si="167"/>
        <v>06/2018</v>
      </c>
      <c r="M2640" s="82"/>
      <c r="N2640" s="82"/>
    </row>
    <row r="2641" spans="1:14" x14ac:dyDescent="0.25">
      <c r="A2641" s="170" t="s">
        <v>5431</v>
      </c>
      <c r="B2641" s="170" t="s">
        <v>5432</v>
      </c>
      <c r="C2641" s="170" t="s">
        <v>870</v>
      </c>
      <c r="D2641" s="170" t="s">
        <v>1947</v>
      </c>
      <c r="E2641" s="171" t="s">
        <v>33003</v>
      </c>
      <c r="F2641" s="171" t="s">
        <v>36280</v>
      </c>
      <c r="G2641" s="82"/>
      <c r="H2641" s="96">
        <f t="shared" si="164"/>
        <v>317.75</v>
      </c>
      <c r="I2641" s="96">
        <f t="shared" si="164"/>
        <v>318.94</v>
      </c>
      <c r="J2641" s="91" t="str">
        <f t="shared" si="165"/>
        <v>Sinapi 98621</v>
      </c>
      <c r="K2641" s="91" t="str">
        <f t="shared" si="166"/>
        <v>M2</v>
      </c>
      <c r="L2641" s="166" t="str">
        <f t="shared" si="167"/>
        <v>06/2018</v>
      </c>
      <c r="M2641" s="82"/>
      <c r="N2641" s="82"/>
    </row>
    <row r="2642" spans="1:14" x14ac:dyDescent="0.25">
      <c r="A2642" s="170" t="s">
        <v>5433</v>
      </c>
      <c r="B2642" s="170" t="s">
        <v>5434</v>
      </c>
      <c r="C2642" s="170" t="s">
        <v>870</v>
      </c>
      <c r="D2642" s="170" t="s">
        <v>1947</v>
      </c>
      <c r="E2642" s="171" t="s">
        <v>33004</v>
      </c>
      <c r="F2642" s="171" t="s">
        <v>36281</v>
      </c>
      <c r="G2642" s="82"/>
      <c r="H2642" s="96">
        <f t="shared" si="164"/>
        <v>307.08</v>
      </c>
      <c r="I2642" s="96">
        <f t="shared" si="164"/>
        <v>307.95999999999998</v>
      </c>
      <c r="J2642" s="91" t="str">
        <f t="shared" si="165"/>
        <v>Sinapi 98622</v>
      </c>
      <c r="K2642" s="91" t="str">
        <f t="shared" si="166"/>
        <v>M2</v>
      </c>
      <c r="L2642" s="166" t="str">
        <f t="shared" si="167"/>
        <v>06/2018</v>
      </c>
      <c r="M2642" s="82"/>
      <c r="N2642" s="82"/>
    </row>
    <row r="2643" spans="1:14" x14ac:dyDescent="0.25">
      <c r="A2643" s="170" t="s">
        <v>5435</v>
      </c>
      <c r="B2643" s="170" t="s">
        <v>5436</v>
      </c>
      <c r="C2643" s="170" t="s">
        <v>870</v>
      </c>
      <c r="D2643" s="170" t="s">
        <v>1947</v>
      </c>
      <c r="E2643" s="171" t="s">
        <v>33005</v>
      </c>
      <c r="F2643" s="171" t="s">
        <v>36282</v>
      </c>
      <c r="G2643" s="82"/>
      <c r="H2643" s="96">
        <f t="shared" si="164"/>
        <v>301.54000000000002</v>
      </c>
      <c r="I2643" s="96">
        <f t="shared" si="164"/>
        <v>302.27</v>
      </c>
      <c r="J2643" s="91" t="str">
        <f t="shared" si="165"/>
        <v>Sinapi 98623</v>
      </c>
      <c r="K2643" s="91" t="str">
        <f t="shared" si="166"/>
        <v>M2</v>
      </c>
      <c r="L2643" s="166" t="str">
        <f t="shared" si="167"/>
        <v>06/2018</v>
      </c>
      <c r="M2643" s="82"/>
      <c r="N2643" s="82"/>
    </row>
    <row r="2644" spans="1:14" x14ac:dyDescent="0.25">
      <c r="A2644" s="170" t="s">
        <v>5437</v>
      </c>
      <c r="B2644" s="170" t="s">
        <v>5438</v>
      </c>
      <c r="C2644" s="170" t="s">
        <v>870</v>
      </c>
      <c r="D2644" s="170" t="s">
        <v>1947</v>
      </c>
      <c r="E2644" s="171" t="s">
        <v>33006</v>
      </c>
      <c r="F2644" s="171" t="s">
        <v>36283</v>
      </c>
      <c r="G2644" s="82"/>
      <c r="H2644" s="96">
        <f t="shared" si="164"/>
        <v>369.33</v>
      </c>
      <c r="I2644" s="96">
        <f t="shared" si="164"/>
        <v>370.41</v>
      </c>
      <c r="J2644" s="91" t="str">
        <f t="shared" si="165"/>
        <v>Sinapi 98624</v>
      </c>
      <c r="K2644" s="91" t="str">
        <f t="shared" si="166"/>
        <v>M2</v>
      </c>
      <c r="L2644" s="166" t="str">
        <f t="shared" si="167"/>
        <v>06/2018</v>
      </c>
      <c r="M2644" s="82"/>
      <c r="N2644" s="82"/>
    </row>
    <row r="2645" spans="1:14" x14ac:dyDescent="0.25">
      <c r="A2645" s="170" t="s">
        <v>5439</v>
      </c>
      <c r="B2645" s="170" t="s">
        <v>5440</v>
      </c>
      <c r="C2645" s="170" t="s">
        <v>870</v>
      </c>
      <c r="D2645" s="170" t="s">
        <v>1947</v>
      </c>
      <c r="E2645" s="171" t="s">
        <v>33007</v>
      </c>
      <c r="F2645" s="171" t="s">
        <v>36284</v>
      </c>
      <c r="G2645" s="82"/>
      <c r="H2645" s="96">
        <f t="shared" si="164"/>
        <v>360.14</v>
      </c>
      <c r="I2645" s="96">
        <f t="shared" si="164"/>
        <v>360.99</v>
      </c>
      <c r="J2645" s="91" t="str">
        <f t="shared" si="165"/>
        <v>Sinapi 98625</v>
      </c>
      <c r="K2645" s="91" t="str">
        <f t="shared" si="166"/>
        <v>M2</v>
      </c>
      <c r="L2645" s="166" t="str">
        <f t="shared" si="167"/>
        <v>06/2018</v>
      </c>
      <c r="M2645" s="82"/>
      <c r="N2645" s="82"/>
    </row>
    <row r="2646" spans="1:14" x14ac:dyDescent="0.25">
      <c r="A2646" s="170" t="s">
        <v>5441</v>
      </c>
      <c r="B2646" s="170" t="s">
        <v>5442</v>
      </c>
      <c r="C2646" s="170" t="s">
        <v>870</v>
      </c>
      <c r="D2646" s="170" t="s">
        <v>1947</v>
      </c>
      <c r="E2646" s="171" t="s">
        <v>33008</v>
      </c>
      <c r="F2646" s="171" t="s">
        <v>36285</v>
      </c>
      <c r="G2646" s="82"/>
      <c r="H2646" s="96">
        <f t="shared" si="164"/>
        <v>355.25</v>
      </c>
      <c r="I2646" s="96">
        <f t="shared" si="164"/>
        <v>355.97</v>
      </c>
      <c r="J2646" s="91" t="str">
        <f t="shared" si="165"/>
        <v>Sinapi 98626</v>
      </c>
      <c r="K2646" s="91" t="str">
        <f t="shared" si="166"/>
        <v>M2</v>
      </c>
      <c r="L2646" s="166" t="str">
        <f t="shared" si="167"/>
        <v>06/2018</v>
      </c>
      <c r="M2646" s="82"/>
      <c r="N2646" s="82"/>
    </row>
    <row r="2647" spans="1:14" x14ac:dyDescent="0.25">
      <c r="A2647" s="170" t="s">
        <v>5443</v>
      </c>
      <c r="B2647" s="170" t="s">
        <v>5444</v>
      </c>
      <c r="C2647" s="170" t="s">
        <v>385</v>
      </c>
      <c r="D2647" s="170" t="s">
        <v>1947</v>
      </c>
      <c r="E2647" s="171" t="s">
        <v>33009</v>
      </c>
      <c r="F2647" s="171" t="s">
        <v>36286</v>
      </c>
      <c r="G2647" s="82"/>
      <c r="H2647" s="96">
        <f t="shared" si="164"/>
        <v>762.66</v>
      </c>
      <c r="I2647" s="96">
        <f t="shared" si="164"/>
        <v>783.16</v>
      </c>
      <c r="J2647" s="91" t="str">
        <f t="shared" si="165"/>
        <v>Sinapi 98655</v>
      </c>
      <c r="K2647" s="91" t="str">
        <f t="shared" si="166"/>
        <v>M</v>
      </c>
      <c r="L2647" s="166" t="str">
        <f t="shared" si="167"/>
        <v>06/2018</v>
      </c>
      <c r="M2647" s="82"/>
      <c r="N2647" s="82"/>
    </row>
    <row r="2648" spans="1:14" x14ac:dyDescent="0.25">
      <c r="A2648" s="170" t="s">
        <v>5445</v>
      </c>
      <c r="B2648" s="170" t="s">
        <v>5446</v>
      </c>
      <c r="C2648" s="170" t="s">
        <v>385</v>
      </c>
      <c r="D2648" s="170" t="s">
        <v>1947</v>
      </c>
      <c r="E2648" s="171" t="s">
        <v>33010</v>
      </c>
      <c r="F2648" s="171" t="s">
        <v>36287</v>
      </c>
      <c r="G2648" s="82"/>
      <c r="H2648" s="96">
        <f t="shared" si="164"/>
        <v>775.61</v>
      </c>
      <c r="I2648" s="96">
        <f t="shared" si="164"/>
        <v>796.32</v>
      </c>
      <c r="J2648" s="91" t="str">
        <f t="shared" si="165"/>
        <v>Sinapi 98656</v>
      </c>
      <c r="K2648" s="91" t="str">
        <f t="shared" si="166"/>
        <v>M</v>
      </c>
      <c r="L2648" s="166" t="str">
        <f t="shared" si="167"/>
        <v>06/2018</v>
      </c>
      <c r="M2648" s="82"/>
      <c r="N2648" s="82"/>
    </row>
    <row r="2649" spans="1:14" x14ac:dyDescent="0.25">
      <c r="A2649" s="170" t="s">
        <v>5447</v>
      </c>
      <c r="B2649" s="170" t="s">
        <v>5448</v>
      </c>
      <c r="C2649" s="170" t="s">
        <v>385</v>
      </c>
      <c r="D2649" s="170" t="s">
        <v>1947</v>
      </c>
      <c r="E2649" s="171" t="s">
        <v>20080</v>
      </c>
      <c r="F2649" s="171" t="s">
        <v>36288</v>
      </c>
      <c r="G2649" s="82"/>
      <c r="H2649" s="96">
        <f t="shared" si="164"/>
        <v>788.56</v>
      </c>
      <c r="I2649" s="96">
        <f t="shared" si="164"/>
        <v>809.49</v>
      </c>
      <c r="J2649" s="91" t="str">
        <f t="shared" si="165"/>
        <v>Sinapi 98657</v>
      </c>
      <c r="K2649" s="91" t="str">
        <f t="shared" si="166"/>
        <v>M</v>
      </c>
      <c r="L2649" s="166" t="str">
        <f t="shared" si="167"/>
        <v>06/2018</v>
      </c>
      <c r="M2649" s="82"/>
      <c r="N2649" s="82"/>
    </row>
    <row r="2650" spans="1:14" x14ac:dyDescent="0.25">
      <c r="A2650" s="170" t="s">
        <v>5449</v>
      </c>
      <c r="B2650" s="170" t="s">
        <v>5450</v>
      </c>
      <c r="C2650" s="170" t="s">
        <v>385</v>
      </c>
      <c r="D2650" s="170" t="s">
        <v>1947</v>
      </c>
      <c r="E2650" s="171" t="s">
        <v>33011</v>
      </c>
      <c r="F2650" s="171" t="s">
        <v>36289</v>
      </c>
      <c r="G2650" s="82"/>
      <c r="H2650" s="96">
        <f t="shared" si="164"/>
        <v>801.51</v>
      </c>
      <c r="I2650" s="96">
        <f t="shared" si="164"/>
        <v>822.65</v>
      </c>
      <c r="J2650" s="91" t="str">
        <f t="shared" si="165"/>
        <v>Sinapi 98658</v>
      </c>
      <c r="K2650" s="91" t="str">
        <f t="shared" si="166"/>
        <v>M</v>
      </c>
      <c r="L2650" s="166" t="str">
        <f t="shared" si="167"/>
        <v>06/2018</v>
      </c>
      <c r="M2650" s="82"/>
      <c r="N2650" s="82"/>
    </row>
    <row r="2651" spans="1:14" x14ac:dyDescent="0.25">
      <c r="A2651" s="170" t="s">
        <v>5451</v>
      </c>
      <c r="B2651" s="170" t="s">
        <v>5452</v>
      </c>
      <c r="C2651" s="170" t="s">
        <v>385</v>
      </c>
      <c r="D2651" s="170" t="s">
        <v>1947</v>
      </c>
      <c r="E2651" s="171" t="s">
        <v>33012</v>
      </c>
      <c r="F2651" s="171" t="s">
        <v>36290</v>
      </c>
      <c r="G2651" s="82"/>
      <c r="H2651" s="96">
        <f t="shared" si="164"/>
        <v>827.42</v>
      </c>
      <c r="I2651" s="96">
        <f t="shared" si="164"/>
        <v>848.98</v>
      </c>
      <c r="J2651" s="91" t="str">
        <f t="shared" si="165"/>
        <v>Sinapi 98659</v>
      </c>
      <c r="K2651" s="91" t="str">
        <f t="shared" si="166"/>
        <v>M</v>
      </c>
      <c r="L2651" s="166" t="str">
        <f t="shared" si="167"/>
        <v>06/2018</v>
      </c>
      <c r="M2651" s="82"/>
      <c r="N2651" s="82"/>
    </row>
    <row r="2652" spans="1:14" x14ac:dyDescent="0.25">
      <c r="A2652" s="170" t="s">
        <v>5453</v>
      </c>
      <c r="B2652" s="170" t="s">
        <v>5454</v>
      </c>
      <c r="C2652" s="170" t="s">
        <v>385</v>
      </c>
      <c r="D2652" s="170" t="s">
        <v>2067</v>
      </c>
      <c r="E2652" s="171" t="s">
        <v>28520</v>
      </c>
      <c r="F2652" s="171" t="s">
        <v>36291</v>
      </c>
      <c r="G2652" s="82"/>
      <c r="H2652" s="96">
        <f t="shared" si="164"/>
        <v>57.34</v>
      </c>
      <c r="I2652" s="96">
        <f t="shared" si="164"/>
        <v>61.72</v>
      </c>
      <c r="J2652" s="91" t="str">
        <f t="shared" si="165"/>
        <v>Sinapi 98746</v>
      </c>
      <c r="K2652" s="91" t="str">
        <f t="shared" si="166"/>
        <v>M</v>
      </c>
      <c r="L2652" s="166" t="str">
        <f t="shared" si="167"/>
        <v>06/2018</v>
      </c>
      <c r="M2652" s="82"/>
      <c r="N2652" s="82"/>
    </row>
    <row r="2653" spans="1:14" x14ac:dyDescent="0.25">
      <c r="A2653" s="170" t="s">
        <v>5455</v>
      </c>
      <c r="B2653" s="170" t="s">
        <v>5456</v>
      </c>
      <c r="C2653" s="170" t="s">
        <v>385</v>
      </c>
      <c r="D2653" s="170" t="s">
        <v>2067</v>
      </c>
      <c r="E2653" s="171" t="s">
        <v>33013</v>
      </c>
      <c r="F2653" s="171" t="s">
        <v>36292</v>
      </c>
      <c r="G2653" s="82"/>
      <c r="H2653" s="96">
        <f t="shared" si="164"/>
        <v>68.290000000000006</v>
      </c>
      <c r="I2653" s="96">
        <f t="shared" si="164"/>
        <v>72.84</v>
      </c>
      <c r="J2653" s="91" t="str">
        <f t="shared" si="165"/>
        <v>Sinapi 98749</v>
      </c>
      <c r="K2653" s="91" t="str">
        <f t="shared" si="166"/>
        <v>M</v>
      </c>
      <c r="L2653" s="166" t="str">
        <f t="shared" si="167"/>
        <v>06/2018</v>
      </c>
      <c r="M2653" s="82"/>
      <c r="N2653" s="82"/>
    </row>
    <row r="2654" spans="1:14" x14ac:dyDescent="0.25">
      <c r="A2654" s="170" t="s">
        <v>5457</v>
      </c>
      <c r="B2654" s="170" t="s">
        <v>5458</v>
      </c>
      <c r="C2654" s="170" t="s">
        <v>385</v>
      </c>
      <c r="D2654" s="170" t="s">
        <v>2067</v>
      </c>
      <c r="E2654" s="171" t="s">
        <v>29247</v>
      </c>
      <c r="F2654" s="171" t="s">
        <v>36293</v>
      </c>
      <c r="G2654" s="82"/>
      <c r="H2654" s="96">
        <f t="shared" si="164"/>
        <v>81.52</v>
      </c>
      <c r="I2654" s="96">
        <f t="shared" si="164"/>
        <v>86.21</v>
      </c>
      <c r="J2654" s="91" t="str">
        <f t="shared" si="165"/>
        <v>Sinapi 98750</v>
      </c>
      <c r="K2654" s="91" t="str">
        <f t="shared" si="166"/>
        <v>M</v>
      </c>
      <c r="L2654" s="166" t="str">
        <f t="shared" si="167"/>
        <v>06/2018</v>
      </c>
      <c r="M2654" s="82"/>
      <c r="N2654" s="82"/>
    </row>
    <row r="2655" spans="1:14" x14ac:dyDescent="0.25">
      <c r="A2655" s="170" t="s">
        <v>5459</v>
      </c>
      <c r="B2655" s="170" t="s">
        <v>5460</v>
      </c>
      <c r="C2655" s="170" t="s">
        <v>385</v>
      </c>
      <c r="D2655" s="170" t="s">
        <v>2067</v>
      </c>
      <c r="E2655" s="171" t="s">
        <v>29407</v>
      </c>
      <c r="F2655" s="171" t="s">
        <v>28565</v>
      </c>
      <c r="G2655" s="82"/>
      <c r="H2655" s="96">
        <f t="shared" si="164"/>
        <v>116.05</v>
      </c>
      <c r="I2655" s="96">
        <f t="shared" si="164"/>
        <v>121.08</v>
      </c>
      <c r="J2655" s="91" t="str">
        <f t="shared" si="165"/>
        <v>Sinapi 98751</v>
      </c>
      <c r="K2655" s="91" t="str">
        <f t="shared" si="166"/>
        <v>M</v>
      </c>
      <c r="L2655" s="166" t="str">
        <f t="shared" si="167"/>
        <v>06/2018</v>
      </c>
      <c r="M2655" s="82"/>
      <c r="N2655" s="82"/>
    </row>
    <row r="2656" spans="1:14" x14ac:dyDescent="0.25">
      <c r="A2656" s="170" t="s">
        <v>5461</v>
      </c>
      <c r="B2656" s="170" t="s">
        <v>5462</v>
      </c>
      <c r="C2656" s="170" t="s">
        <v>385</v>
      </c>
      <c r="D2656" s="170" t="s">
        <v>2067</v>
      </c>
      <c r="E2656" s="171" t="s">
        <v>33014</v>
      </c>
      <c r="F2656" s="171" t="s">
        <v>36294</v>
      </c>
      <c r="G2656" s="82"/>
      <c r="H2656" s="96">
        <f t="shared" si="164"/>
        <v>157.59</v>
      </c>
      <c r="I2656" s="96">
        <f t="shared" si="164"/>
        <v>162.93</v>
      </c>
      <c r="J2656" s="91" t="str">
        <f t="shared" si="165"/>
        <v>Sinapi 98752</v>
      </c>
      <c r="K2656" s="91" t="str">
        <f t="shared" si="166"/>
        <v>M</v>
      </c>
      <c r="L2656" s="166" t="str">
        <f t="shared" si="167"/>
        <v>06/2018</v>
      </c>
      <c r="M2656" s="82"/>
      <c r="N2656" s="82"/>
    </row>
    <row r="2657" spans="1:14" x14ac:dyDescent="0.25">
      <c r="A2657" s="170" t="s">
        <v>5463</v>
      </c>
      <c r="B2657" s="170" t="s">
        <v>5464</v>
      </c>
      <c r="C2657" s="170" t="s">
        <v>385</v>
      </c>
      <c r="D2657" s="170" t="s">
        <v>2067</v>
      </c>
      <c r="E2657" s="171" t="s">
        <v>33015</v>
      </c>
      <c r="F2657" s="171" t="s">
        <v>36295</v>
      </c>
      <c r="G2657" s="82"/>
      <c r="H2657" s="96">
        <f t="shared" si="164"/>
        <v>209.22</v>
      </c>
      <c r="I2657" s="96">
        <f t="shared" si="164"/>
        <v>214.87</v>
      </c>
      <c r="J2657" s="91" t="str">
        <f t="shared" si="165"/>
        <v>Sinapi 98753</v>
      </c>
      <c r="K2657" s="91" t="str">
        <f t="shared" si="166"/>
        <v>M</v>
      </c>
      <c r="L2657" s="166" t="str">
        <f t="shared" si="167"/>
        <v>06/2018</v>
      </c>
      <c r="M2657" s="82"/>
      <c r="N2657" s="82"/>
    </row>
    <row r="2658" spans="1:14" x14ac:dyDescent="0.25">
      <c r="A2658" s="170" t="s">
        <v>5465</v>
      </c>
      <c r="B2658" s="170" t="s">
        <v>18123</v>
      </c>
      <c r="C2658" s="170" t="s">
        <v>774</v>
      </c>
      <c r="D2658" s="170" t="s">
        <v>1947</v>
      </c>
      <c r="E2658" s="171" t="s">
        <v>28683</v>
      </c>
      <c r="F2658" s="171" t="s">
        <v>16374</v>
      </c>
      <c r="G2658" s="82"/>
      <c r="H2658" s="96">
        <f t="shared" si="164"/>
        <v>18.82</v>
      </c>
      <c r="I2658" s="96">
        <f t="shared" si="164"/>
        <v>18.95</v>
      </c>
      <c r="J2658" s="91" t="str">
        <f t="shared" si="165"/>
        <v>Sinapi 100763</v>
      </c>
      <c r="K2658" s="91" t="str">
        <f t="shared" si="166"/>
        <v>KG</v>
      </c>
      <c r="L2658" s="166" t="str">
        <f t="shared" si="167"/>
        <v>020_PSA</v>
      </c>
      <c r="M2658" s="82"/>
      <c r="N2658" s="82"/>
    </row>
    <row r="2659" spans="1:14" x14ac:dyDescent="0.25">
      <c r="A2659" s="170" t="s">
        <v>5467</v>
      </c>
      <c r="B2659" s="170" t="s">
        <v>19347</v>
      </c>
      <c r="C2659" s="170" t="s">
        <v>774</v>
      </c>
      <c r="D2659" s="170" t="s">
        <v>1947</v>
      </c>
      <c r="E2659" s="171" t="s">
        <v>23088</v>
      </c>
      <c r="F2659" s="171" t="s">
        <v>19372</v>
      </c>
      <c r="G2659" s="82"/>
      <c r="H2659" s="96">
        <f t="shared" si="164"/>
        <v>18.559999999999999</v>
      </c>
      <c r="I2659" s="96">
        <f t="shared" si="164"/>
        <v>18.71</v>
      </c>
      <c r="J2659" s="91" t="str">
        <f t="shared" si="165"/>
        <v>Sinapi 100764</v>
      </c>
      <c r="K2659" s="91" t="str">
        <f t="shared" si="166"/>
        <v>KG</v>
      </c>
      <c r="L2659" s="166" t="str">
        <f t="shared" si="167"/>
        <v>01/2020</v>
      </c>
      <c r="M2659" s="82"/>
      <c r="N2659" s="82"/>
    </row>
    <row r="2660" spans="1:14" x14ac:dyDescent="0.25">
      <c r="A2660" s="170" t="s">
        <v>5468</v>
      </c>
      <c r="B2660" s="170" t="s">
        <v>18124</v>
      </c>
      <c r="C2660" s="170" t="s">
        <v>774</v>
      </c>
      <c r="D2660" s="170" t="s">
        <v>1947</v>
      </c>
      <c r="E2660" s="171" t="s">
        <v>15537</v>
      </c>
      <c r="F2660" s="171" t="s">
        <v>14800</v>
      </c>
      <c r="G2660" s="82"/>
      <c r="H2660" s="96">
        <f t="shared" si="164"/>
        <v>18.41</v>
      </c>
      <c r="I2660" s="96">
        <f t="shared" si="164"/>
        <v>18.489999999999998</v>
      </c>
      <c r="J2660" s="91" t="str">
        <f t="shared" si="165"/>
        <v>Sinapi 100765</v>
      </c>
      <c r="K2660" s="91" t="str">
        <f t="shared" si="166"/>
        <v>KG</v>
      </c>
      <c r="L2660" s="166" t="str">
        <f t="shared" si="167"/>
        <v>020_PSA</v>
      </c>
      <c r="M2660" s="82"/>
      <c r="N2660" s="82"/>
    </row>
    <row r="2661" spans="1:14" x14ac:dyDescent="0.25">
      <c r="A2661" s="170" t="s">
        <v>5469</v>
      </c>
      <c r="B2661" s="170" t="s">
        <v>18633</v>
      </c>
      <c r="C2661" s="170" t="s">
        <v>774</v>
      </c>
      <c r="D2661" s="170" t="s">
        <v>1947</v>
      </c>
      <c r="E2661" s="171" t="s">
        <v>33016</v>
      </c>
      <c r="F2661" s="171" t="s">
        <v>15714</v>
      </c>
      <c r="G2661" s="82"/>
      <c r="H2661" s="96">
        <f t="shared" si="164"/>
        <v>18.53</v>
      </c>
      <c r="I2661" s="96">
        <f t="shared" si="164"/>
        <v>18.64</v>
      </c>
      <c r="J2661" s="91" t="str">
        <f t="shared" si="165"/>
        <v>Sinapi 100766</v>
      </c>
      <c r="K2661" s="91" t="str">
        <f t="shared" si="166"/>
        <v>KG</v>
      </c>
      <c r="L2661" s="166" t="str">
        <f t="shared" si="167"/>
        <v>01/2020</v>
      </c>
      <c r="M2661" s="82"/>
      <c r="N2661" s="82"/>
    </row>
    <row r="2662" spans="1:14" x14ac:dyDescent="0.25">
      <c r="A2662" s="170" t="s">
        <v>5470</v>
      </c>
      <c r="B2662" s="170" t="s">
        <v>18125</v>
      </c>
      <c r="C2662" s="170" t="s">
        <v>774</v>
      </c>
      <c r="D2662" s="170" t="s">
        <v>1947</v>
      </c>
      <c r="E2662" s="171" t="s">
        <v>20369</v>
      </c>
      <c r="F2662" s="171" t="s">
        <v>15015</v>
      </c>
      <c r="G2662" s="82"/>
      <c r="H2662" s="96">
        <f t="shared" si="164"/>
        <v>18.399999999999999</v>
      </c>
      <c r="I2662" s="96">
        <f t="shared" si="164"/>
        <v>18.809999999999999</v>
      </c>
      <c r="J2662" s="91" t="str">
        <f t="shared" si="165"/>
        <v>Sinapi 100767</v>
      </c>
      <c r="K2662" s="91" t="str">
        <f t="shared" si="166"/>
        <v>KG</v>
      </c>
      <c r="L2662" s="166" t="str">
        <f t="shared" si="167"/>
        <v>020_PSA</v>
      </c>
      <c r="M2662" s="82"/>
      <c r="N2662" s="82"/>
    </row>
    <row r="2663" spans="1:14" x14ac:dyDescent="0.25">
      <c r="A2663" s="170" t="s">
        <v>5471</v>
      </c>
      <c r="B2663" s="170" t="s">
        <v>19349</v>
      </c>
      <c r="C2663" s="170" t="s">
        <v>774</v>
      </c>
      <c r="D2663" s="170" t="s">
        <v>1947</v>
      </c>
      <c r="E2663" s="171" t="s">
        <v>12331</v>
      </c>
      <c r="F2663" s="171" t="s">
        <v>28990</v>
      </c>
      <c r="G2663" s="82"/>
      <c r="H2663" s="96">
        <f t="shared" si="164"/>
        <v>17.559999999999999</v>
      </c>
      <c r="I2663" s="96">
        <f t="shared" si="164"/>
        <v>18.010000000000002</v>
      </c>
      <c r="J2663" s="91" t="str">
        <f t="shared" si="165"/>
        <v>Sinapi 100768</v>
      </c>
      <c r="K2663" s="91" t="str">
        <f t="shared" si="166"/>
        <v>KG</v>
      </c>
      <c r="L2663" s="166" t="str">
        <f t="shared" si="167"/>
        <v>01/2020</v>
      </c>
      <c r="M2663" s="82"/>
      <c r="N2663" s="82"/>
    </row>
    <row r="2664" spans="1:14" x14ac:dyDescent="0.25">
      <c r="A2664" s="170" t="s">
        <v>5472</v>
      </c>
      <c r="B2664" s="170" t="s">
        <v>18126</v>
      </c>
      <c r="C2664" s="170" t="s">
        <v>774</v>
      </c>
      <c r="D2664" s="170" t="s">
        <v>1947</v>
      </c>
      <c r="E2664" s="171" t="s">
        <v>30698</v>
      </c>
      <c r="F2664" s="171" t="s">
        <v>19416</v>
      </c>
      <c r="G2664" s="82"/>
      <c r="H2664" s="96">
        <f t="shared" si="164"/>
        <v>24.21</v>
      </c>
      <c r="I2664" s="96">
        <f t="shared" si="164"/>
        <v>24.57</v>
      </c>
      <c r="J2664" s="91" t="str">
        <f t="shared" si="165"/>
        <v>Sinapi 100769</v>
      </c>
      <c r="K2664" s="91" t="str">
        <f t="shared" si="166"/>
        <v>KG</v>
      </c>
      <c r="L2664" s="166" t="str">
        <f t="shared" si="167"/>
        <v>020_PSA</v>
      </c>
      <c r="M2664" s="82"/>
      <c r="N2664" s="82"/>
    </row>
    <row r="2665" spans="1:14" x14ac:dyDescent="0.25">
      <c r="A2665" s="170" t="s">
        <v>5473</v>
      </c>
      <c r="B2665" s="170" t="s">
        <v>19350</v>
      </c>
      <c r="C2665" s="170" t="s">
        <v>774</v>
      </c>
      <c r="D2665" s="170" t="s">
        <v>1947</v>
      </c>
      <c r="E2665" s="171" t="s">
        <v>33017</v>
      </c>
      <c r="F2665" s="171" t="s">
        <v>34933</v>
      </c>
      <c r="G2665" s="82"/>
      <c r="H2665" s="96">
        <f t="shared" si="164"/>
        <v>23.15</v>
      </c>
      <c r="I2665" s="96">
        <f t="shared" si="164"/>
        <v>23.53</v>
      </c>
      <c r="J2665" s="91" t="str">
        <f t="shared" si="165"/>
        <v>Sinapi 100770</v>
      </c>
      <c r="K2665" s="91" t="str">
        <f t="shared" si="166"/>
        <v>KG</v>
      </c>
      <c r="L2665" s="166" t="str">
        <f t="shared" si="167"/>
        <v>01/2020</v>
      </c>
      <c r="M2665" s="82"/>
      <c r="N2665" s="82"/>
    </row>
    <row r="2666" spans="1:14" x14ac:dyDescent="0.25">
      <c r="A2666" s="170" t="s">
        <v>5474</v>
      </c>
      <c r="B2666" s="170" t="s">
        <v>18127</v>
      </c>
      <c r="C2666" s="170" t="s">
        <v>774</v>
      </c>
      <c r="D2666" s="170" t="s">
        <v>1947</v>
      </c>
      <c r="E2666" s="171" t="s">
        <v>15696</v>
      </c>
      <c r="F2666" s="171" t="s">
        <v>15528</v>
      </c>
      <c r="G2666" s="82"/>
      <c r="H2666" s="96">
        <f t="shared" si="164"/>
        <v>18.760000000000002</v>
      </c>
      <c r="I2666" s="96">
        <f t="shared" si="164"/>
        <v>19.079999999999998</v>
      </c>
      <c r="J2666" s="91" t="str">
        <f t="shared" si="165"/>
        <v>Sinapi 100771</v>
      </c>
      <c r="K2666" s="91" t="str">
        <f t="shared" si="166"/>
        <v>KG</v>
      </c>
      <c r="L2666" s="166" t="str">
        <f t="shared" si="167"/>
        <v>020_PSA</v>
      </c>
      <c r="M2666" s="82"/>
      <c r="N2666" s="82"/>
    </row>
    <row r="2667" spans="1:14" x14ac:dyDescent="0.25">
      <c r="A2667" s="170" t="s">
        <v>5475</v>
      </c>
      <c r="B2667" s="170" t="s">
        <v>19351</v>
      </c>
      <c r="C2667" s="170" t="s">
        <v>774</v>
      </c>
      <c r="D2667" s="170" t="s">
        <v>1947</v>
      </c>
      <c r="E2667" s="171" t="s">
        <v>15669</v>
      </c>
      <c r="F2667" s="171" t="s">
        <v>31893</v>
      </c>
      <c r="G2667" s="82"/>
      <c r="H2667" s="96">
        <f t="shared" si="164"/>
        <v>17.79</v>
      </c>
      <c r="I2667" s="96">
        <f t="shared" si="164"/>
        <v>18.12</v>
      </c>
      <c r="J2667" s="91" t="str">
        <f t="shared" si="165"/>
        <v>Sinapi 100772</v>
      </c>
      <c r="K2667" s="91" t="str">
        <f t="shared" si="166"/>
        <v>KG</v>
      </c>
      <c r="L2667" s="166" t="str">
        <f t="shared" si="167"/>
        <v>01/2020</v>
      </c>
      <c r="M2667" s="82"/>
      <c r="N2667" s="82"/>
    </row>
    <row r="2668" spans="1:14" x14ac:dyDescent="0.25">
      <c r="A2668" s="170" t="s">
        <v>5476</v>
      </c>
      <c r="B2668" s="170" t="s">
        <v>18128</v>
      </c>
      <c r="C2668" s="170" t="s">
        <v>774</v>
      </c>
      <c r="D2668" s="170" t="s">
        <v>1947</v>
      </c>
      <c r="E2668" s="171" t="s">
        <v>33018</v>
      </c>
      <c r="F2668" s="171" t="s">
        <v>21962</v>
      </c>
      <c r="G2668" s="82"/>
      <c r="H2668" s="96">
        <f t="shared" si="164"/>
        <v>21.72</v>
      </c>
      <c r="I2668" s="96">
        <f t="shared" si="164"/>
        <v>21.9</v>
      </c>
      <c r="J2668" s="91" t="str">
        <f t="shared" si="165"/>
        <v>Sinapi 100773</v>
      </c>
      <c r="K2668" s="91" t="str">
        <f t="shared" si="166"/>
        <v>KG</v>
      </c>
      <c r="L2668" s="166" t="str">
        <f t="shared" si="167"/>
        <v>020_PSA</v>
      </c>
      <c r="M2668" s="82"/>
      <c r="N2668" s="82"/>
    </row>
    <row r="2669" spans="1:14" x14ac:dyDescent="0.25">
      <c r="A2669" s="170" t="s">
        <v>5477</v>
      </c>
      <c r="B2669" s="170" t="s">
        <v>18129</v>
      </c>
      <c r="C2669" s="170" t="s">
        <v>774</v>
      </c>
      <c r="D2669" s="170" t="s">
        <v>1947</v>
      </c>
      <c r="E2669" s="171" t="s">
        <v>6826</v>
      </c>
      <c r="F2669" s="171" t="s">
        <v>14347</v>
      </c>
      <c r="G2669" s="82"/>
      <c r="H2669" s="96">
        <f t="shared" si="164"/>
        <v>14.11</v>
      </c>
      <c r="I2669" s="96">
        <f t="shared" si="164"/>
        <v>14.16</v>
      </c>
      <c r="J2669" s="91" t="str">
        <f t="shared" si="165"/>
        <v>Sinapi 100774</v>
      </c>
      <c r="K2669" s="91" t="str">
        <f t="shared" si="166"/>
        <v>KG</v>
      </c>
      <c r="L2669" s="166" t="str">
        <f t="shared" si="167"/>
        <v>020_PSA</v>
      </c>
      <c r="M2669" s="82"/>
      <c r="N2669" s="82"/>
    </row>
    <row r="2670" spans="1:14" x14ac:dyDescent="0.25">
      <c r="A2670" s="170" t="s">
        <v>5478</v>
      </c>
      <c r="B2670" s="170" t="s">
        <v>18130</v>
      </c>
      <c r="C2670" s="170" t="s">
        <v>774</v>
      </c>
      <c r="D2670" s="170" t="s">
        <v>1947</v>
      </c>
      <c r="E2670" s="171" t="s">
        <v>28022</v>
      </c>
      <c r="F2670" s="171" t="s">
        <v>36296</v>
      </c>
      <c r="G2670" s="82"/>
      <c r="H2670" s="96">
        <f t="shared" si="164"/>
        <v>16.02</v>
      </c>
      <c r="I2670" s="96">
        <f t="shared" si="164"/>
        <v>16.14</v>
      </c>
      <c r="J2670" s="91" t="str">
        <f t="shared" si="165"/>
        <v>Sinapi 100775</v>
      </c>
      <c r="K2670" s="91" t="str">
        <f t="shared" si="166"/>
        <v>KG</v>
      </c>
      <c r="L2670" s="166" t="str">
        <f t="shared" si="167"/>
        <v>020_PSA</v>
      </c>
      <c r="M2670" s="82"/>
      <c r="N2670" s="82"/>
    </row>
    <row r="2671" spans="1:14" x14ac:dyDescent="0.25">
      <c r="A2671" s="170" t="s">
        <v>5479</v>
      </c>
      <c r="B2671" s="170" t="s">
        <v>18131</v>
      </c>
      <c r="C2671" s="170" t="s">
        <v>774</v>
      </c>
      <c r="D2671" s="170" t="s">
        <v>1947</v>
      </c>
      <c r="E2671" s="171" t="s">
        <v>21962</v>
      </c>
      <c r="F2671" s="171" t="s">
        <v>23124</v>
      </c>
      <c r="G2671" s="82"/>
      <c r="H2671" s="96">
        <f t="shared" si="164"/>
        <v>21.9</v>
      </c>
      <c r="I2671" s="96">
        <f t="shared" si="164"/>
        <v>22.08</v>
      </c>
      <c r="J2671" s="91" t="str">
        <f t="shared" si="165"/>
        <v>Sinapi 100776</v>
      </c>
      <c r="K2671" s="91" t="str">
        <f t="shared" si="166"/>
        <v>KG</v>
      </c>
      <c r="L2671" s="166" t="str">
        <f t="shared" si="167"/>
        <v>020_PSA</v>
      </c>
      <c r="M2671" s="82"/>
      <c r="N2671" s="82"/>
    </row>
    <row r="2672" spans="1:14" x14ac:dyDescent="0.25">
      <c r="A2672" s="170" t="s">
        <v>5481</v>
      </c>
      <c r="B2672" s="170" t="s">
        <v>18132</v>
      </c>
      <c r="C2672" s="170" t="s">
        <v>774</v>
      </c>
      <c r="D2672" s="170" t="s">
        <v>1947</v>
      </c>
      <c r="E2672" s="171" t="s">
        <v>19959</v>
      </c>
      <c r="F2672" s="171" t="s">
        <v>24689</v>
      </c>
      <c r="G2672" s="82"/>
      <c r="H2672" s="96">
        <f t="shared" si="164"/>
        <v>16.37</v>
      </c>
      <c r="I2672" s="96">
        <f t="shared" si="164"/>
        <v>16.510000000000002</v>
      </c>
      <c r="J2672" s="91" t="str">
        <f t="shared" si="165"/>
        <v>Sinapi 100777</v>
      </c>
      <c r="K2672" s="91" t="str">
        <f t="shared" si="166"/>
        <v>KG</v>
      </c>
      <c r="L2672" s="166" t="str">
        <f t="shared" si="167"/>
        <v>020_PSA</v>
      </c>
      <c r="M2672" s="82"/>
      <c r="N2672" s="82"/>
    </row>
    <row r="2673" spans="1:14" x14ac:dyDescent="0.25">
      <c r="A2673" s="170" t="s">
        <v>5482</v>
      </c>
      <c r="B2673" s="170" t="s">
        <v>18133</v>
      </c>
      <c r="C2673" s="170" t="s">
        <v>774</v>
      </c>
      <c r="D2673" s="170" t="s">
        <v>1947</v>
      </c>
      <c r="E2673" s="171" t="s">
        <v>16445</v>
      </c>
      <c r="F2673" s="171" t="s">
        <v>3578</v>
      </c>
      <c r="G2673" s="82"/>
      <c r="H2673" s="96">
        <f t="shared" si="164"/>
        <v>12.89</v>
      </c>
      <c r="I2673" s="96">
        <f t="shared" si="164"/>
        <v>12.91</v>
      </c>
      <c r="J2673" s="91" t="str">
        <f t="shared" si="165"/>
        <v>Sinapi 100778</v>
      </c>
      <c r="K2673" s="91" t="str">
        <f t="shared" si="166"/>
        <v>KG</v>
      </c>
      <c r="L2673" s="166" t="str">
        <f t="shared" si="167"/>
        <v>020_PSA</v>
      </c>
      <c r="M2673" s="82"/>
      <c r="N2673" s="82"/>
    </row>
    <row r="2674" spans="1:14" x14ac:dyDescent="0.25">
      <c r="A2674" s="170" t="s">
        <v>17413</v>
      </c>
      <c r="B2674" s="170" t="s">
        <v>17414</v>
      </c>
      <c r="C2674" s="170" t="s">
        <v>870</v>
      </c>
      <c r="D2674" s="170" t="s">
        <v>2067</v>
      </c>
      <c r="E2674" s="171" t="s">
        <v>28492</v>
      </c>
      <c r="F2674" s="171" t="s">
        <v>22842</v>
      </c>
      <c r="G2674" s="82"/>
      <c r="H2674" s="96">
        <f t="shared" si="164"/>
        <v>85.69</v>
      </c>
      <c r="I2674" s="96">
        <f t="shared" si="164"/>
        <v>90.28</v>
      </c>
      <c r="J2674" s="91" t="str">
        <f t="shared" si="165"/>
        <v>Sinapi 103795</v>
      </c>
      <c r="K2674" s="91" t="str">
        <f t="shared" si="166"/>
        <v>M2</v>
      </c>
      <c r="L2674" s="166" t="str">
        <f t="shared" si="167"/>
        <v>08/2022</v>
      </c>
      <c r="M2674" s="82"/>
      <c r="N2674" s="82"/>
    </row>
    <row r="2675" spans="1:14" x14ac:dyDescent="0.25">
      <c r="A2675" s="170" t="s">
        <v>17415</v>
      </c>
      <c r="B2675" s="170" t="s">
        <v>17416</v>
      </c>
      <c r="C2675" s="170" t="s">
        <v>870</v>
      </c>
      <c r="D2675" s="170" t="s">
        <v>2067</v>
      </c>
      <c r="E2675" s="171" t="s">
        <v>33019</v>
      </c>
      <c r="F2675" s="171" t="s">
        <v>31129</v>
      </c>
      <c r="G2675" s="82"/>
      <c r="H2675" s="96">
        <f t="shared" si="164"/>
        <v>44.61</v>
      </c>
      <c r="I2675" s="96">
        <f t="shared" si="164"/>
        <v>46.25</v>
      </c>
      <c r="J2675" s="91" t="str">
        <f t="shared" si="165"/>
        <v>Sinapi 103796</v>
      </c>
      <c r="K2675" s="91" t="str">
        <f t="shared" si="166"/>
        <v>M2</v>
      </c>
      <c r="L2675" s="166" t="str">
        <f t="shared" si="167"/>
        <v>08/2022</v>
      </c>
      <c r="M2675" s="82"/>
      <c r="N2675" s="82"/>
    </row>
    <row r="2676" spans="1:14" x14ac:dyDescent="0.25">
      <c r="A2676" s="170" t="s">
        <v>17417</v>
      </c>
      <c r="B2676" s="170" t="s">
        <v>17418</v>
      </c>
      <c r="C2676" s="170" t="s">
        <v>774</v>
      </c>
      <c r="D2676" s="170" t="s">
        <v>2067</v>
      </c>
      <c r="E2676" s="171" t="s">
        <v>7482</v>
      </c>
      <c r="F2676" s="171" t="s">
        <v>20021</v>
      </c>
      <c r="G2676" s="82"/>
      <c r="H2676" s="96">
        <f t="shared" si="164"/>
        <v>17.52</v>
      </c>
      <c r="I2676" s="96">
        <f t="shared" si="164"/>
        <v>18.239999999999998</v>
      </c>
      <c r="J2676" s="91" t="str">
        <f t="shared" si="165"/>
        <v>Sinapi 103797</v>
      </c>
      <c r="K2676" s="91" t="str">
        <f t="shared" si="166"/>
        <v>KG</v>
      </c>
      <c r="L2676" s="166" t="str">
        <f t="shared" si="167"/>
        <v>08/2022</v>
      </c>
      <c r="M2676" s="82"/>
      <c r="N2676" s="82"/>
    </row>
    <row r="2677" spans="1:14" x14ac:dyDescent="0.25">
      <c r="A2677" s="170" t="s">
        <v>17419</v>
      </c>
      <c r="B2677" s="170" t="s">
        <v>17420</v>
      </c>
      <c r="C2677" s="170" t="s">
        <v>85</v>
      </c>
      <c r="D2677" s="170" t="s">
        <v>1947</v>
      </c>
      <c r="E2677" s="171" t="s">
        <v>33020</v>
      </c>
      <c r="F2677" s="171" t="s">
        <v>36297</v>
      </c>
      <c r="G2677" s="82"/>
      <c r="H2677" s="96">
        <f t="shared" si="164"/>
        <v>1370.29</v>
      </c>
      <c r="I2677" s="96">
        <f t="shared" si="164"/>
        <v>1376.21</v>
      </c>
      <c r="J2677" s="91" t="str">
        <f t="shared" si="165"/>
        <v>Sinapi 103798</v>
      </c>
      <c r="K2677" s="91" t="str">
        <f t="shared" si="166"/>
        <v>M3</v>
      </c>
      <c r="L2677" s="166" t="str">
        <f t="shared" si="167"/>
        <v>08/2022</v>
      </c>
      <c r="M2677" s="82"/>
      <c r="N2677" s="82"/>
    </row>
    <row r="2678" spans="1:14" x14ac:dyDescent="0.25">
      <c r="A2678" s="170" t="s">
        <v>17421</v>
      </c>
      <c r="B2678" s="170" t="s">
        <v>17422</v>
      </c>
      <c r="C2678" s="170" t="s">
        <v>85</v>
      </c>
      <c r="D2678" s="170" t="s">
        <v>2067</v>
      </c>
      <c r="E2678" s="171" t="s">
        <v>33021</v>
      </c>
      <c r="F2678" s="171" t="s">
        <v>29137</v>
      </c>
      <c r="G2678" s="82"/>
      <c r="H2678" s="96">
        <f t="shared" si="164"/>
        <v>617</v>
      </c>
      <c r="I2678" s="96">
        <f t="shared" si="164"/>
        <v>632.27</v>
      </c>
      <c r="J2678" s="91" t="str">
        <f t="shared" si="165"/>
        <v>Sinapi 103799</v>
      </c>
      <c r="K2678" s="91" t="str">
        <f t="shared" si="166"/>
        <v>M3</v>
      </c>
      <c r="L2678" s="166" t="str">
        <f t="shared" si="167"/>
        <v>08/2022</v>
      </c>
      <c r="M2678" s="82"/>
      <c r="N2678" s="82"/>
    </row>
    <row r="2679" spans="1:14" x14ac:dyDescent="0.25">
      <c r="A2679" s="170" t="s">
        <v>17423</v>
      </c>
      <c r="B2679" s="170" t="s">
        <v>17424</v>
      </c>
      <c r="C2679" s="170" t="s">
        <v>85</v>
      </c>
      <c r="D2679" s="170" t="s">
        <v>2067</v>
      </c>
      <c r="E2679" s="171" t="s">
        <v>33022</v>
      </c>
      <c r="F2679" s="171" t="s">
        <v>36298</v>
      </c>
      <c r="G2679" s="82"/>
      <c r="H2679" s="96">
        <f t="shared" si="164"/>
        <v>695.58</v>
      </c>
      <c r="I2679" s="96">
        <f t="shared" si="164"/>
        <v>714.93</v>
      </c>
      <c r="J2679" s="91" t="str">
        <f t="shared" si="165"/>
        <v>Sinapi 103800</v>
      </c>
      <c r="K2679" s="91" t="str">
        <f t="shared" si="166"/>
        <v>M3</v>
      </c>
      <c r="L2679" s="166" t="str">
        <f t="shared" si="167"/>
        <v>08/2022</v>
      </c>
      <c r="M2679" s="82"/>
      <c r="N2679" s="82"/>
    </row>
    <row r="2680" spans="1:14" x14ac:dyDescent="0.25">
      <c r="A2680" s="170" t="s">
        <v>17425</v>
      </c>
      <c r="B2680" s="170" t="s">
        <v>17426</v>
      </c>
      <c r="C2680" s="170" t="s">
        <v>85</v>
      </c>
      <c r="D2680" s="170" t="s">
        <v>1947</v>
      </c>
      <c r="E2680" s="171" t="s">
        <v>33023</v>
      </c>
      <c r="F2680" s="171" t="s">
        <v>36299</v>
      </c>
      <c r="G2680" s="82"/>
      <c r="H2680" s="96">
        <f t="shared" si="164"/>
        <v>875.21</v>
      </c>
      <c r="I2680" s="96">
        <f t="shared" si="164"/>
        <v>895.17</v>
      </c>
      <c r="J2680" s="91" t="str">
        <f t="shared" si="165"/>
        <v>Sinapi 103801</v>
      </c>
      <c r="K2680" s="91" t="str">
        <f t="shared" si="166"/>
        <v>M3</v>
      </c>
      <c r="L2680" s="166" t="str">
        <f t="shared" si="167"/>
        <v>08/2022</v>
      </c>
      <c r="M2680" s="82"/>
      <c r="N2680" s="82"/>
    </row>
    <row r="2681" spans="1:14" x14ac:dyDescent="0.25">
      <c r="A2681" s="170" t="s">
        <v>17427</v>
      </c>
      <c r="B2681" s="170" t="s">
        <v>17428</v>
      </c>
      <c r="C2681" s="170" t="s">
        <v>85</v>
      </c>
      <c r="D2681" s="170" t="s">
        <v>1947</v>
      </c>
      <c r="E2681" s="171" t="s">
        <v>33024</v>
      </c>
      <c r="F2681" s="171" t="s">
        <v>36300</v>
      </c>
      <c r="G2681" s="82"/>
      <c r="H2681" s="96">
        <f t="shared" si="164"/>
        <v>2447.5500000000002</v>
      </c>
      <c r="I2681" s="96">
        <f t="shared" si="164"/>
        <v>2505.38</v>
      </c>
      <c r="J2681" s="91" t="str">
        <f t="shared" si="165"/>
        <v>Sinapi 103925</v>
      </c>
      <c r="K2681" s="91" t="str">
        <f t="shared" si="166"/>
        <v>M3</v>
      </c>
      <c r="L2681" s="166" t="str">
        <f t="shared" si="167"/>
        <v>08/2022</v>
      </c>
      <c r="M2681" s="82"/>
      <c r="N2681" s="82"/>
    </row>
    <row r="2682" spans="1:14" x14ac:dyDescent="0.25">
      <c r="A2682" s="170" t="s">
        <v>17429</v>
      </c>
      <c r="B2682" s="170" t="s">
        <v>17430</v>
      </c>
      <c r="C2682" s="170" t="s">
        <v>85</v>
      </c>
      <c r="D2682" s="170" t="s">
        <v>1947</v>
      </c>
      <c r="E2682" s="171" t="s">
        <v>33025</v>
      </c>
      <c r="F2682" s="171" t="s">
        <v>36301</v>
      </c>
      <c r="G2682" s="82"/>
      <c r="H2682" s="96">
        <f t="shared" si="164"/>
        <v>2112.12</v>
      </c>
      <c r="I2682" s="96">
        <f t="shared" si="164"/>
        <v>2153.65</v>
      </c>
      <c r="J2682" s="91" t="str">
        <f t="shared" si="165"/>
        <v>Sinapi 103926</v>
      </c>
      <c r="K2682" s="91" t="str">
        <f t="shared" si="166"/>
        <v>M3</v>
      </c>
      <c r="L2682" s="166" t="str">
        <f t="shared" si="167"/>
        <v>08/2022</v>
      </c>
      <c r="M2682" s="82"/>
      <c r="N2682" s="82"/>
    </row>
    <row r="2683" spans="1:14" x14ac:dyDescent="0.25">
      <c r="A2683" s="170" t="s">
        <v>17431</v>
      </c>
      <c r="B2683" s="170" t="s">
        <v>17432</v>
      </c>
      <c r="C2683" s="170" t="s">
        <v>85</v>
      </c>
      <c r="D2683" s="170" t="s">
        <v>2067</v>
      </c>
      <c r="E2683" s="171" t="s">
        <v>33022</v>
      </c>
      <c r="F2683" s="171" t="s">
        <v>36298</v>
      </c>
      <c r="G2683" s="82"/>
      <c r="H2683" s="96">
        <f t="shared" si="164"/>
        <v>695.58</v>
      </c>
      <c r="I2683" s="96">
        <f t="shared" si="164"/>
        <v>714.93</v>
      </c>
      <c r="J2683" s="91" t="str">
        <f t="shared" si="165"/>
        <v>Sinapi 103928</v>
      </c>
      <c r="K2683" s="91" t="str">
        <f t="shared" si="166"/>
        <v>M3</v>
      </c>
      <c r="L2683" s="166" t="str">
        <f t="shared" si="167"/>
        <v>08/2022</v>
      </c>
      <c r="M2683" s="82"/>
      <c r="N2683" s="82"/>
    </row>
    <row r="2684" spans="1:14" x14ac:dyDescent="0.25">
      <c r="A2684" s="170" t="s">
        <v>17433</v>
      </c>
      <c r="B2684" s="170" t="s">
        <v>17434</v>
      </c>
      <c r="C2684" s="170" t="s">
        <v>85</v>
      </c>
      <c r="D2684" s="170" t="s">
        <v>1947</v>
      </c>
      <c r="E2684" s="171" t="s">
        <v>33026</v>
      </c>
      <c r="F2684" s="171" t="s">
        <v>36302</v>
      </c>
      <c r="G2684" s="82"/>
      <c r="H2684" s="96">
        <f t="shared" si="164"/>
        <v>1321.35</v>
      </c>
      <c r="I2684" s="96">
        <f t="shared" si="164"/>
        <v>1357.72</v>
      </c>
      <c r="J2684" s="91" t="str">
        <f t="shared" si="165"/>
        <v>Sinapi 103929</v>
      </c>
      <c r="K2684" s="91" t="str">
        <f t="shared" si="166"/>
        <v>M3</v>
      </c>
      <c r="L2684" s="166" t="str">
        <f t="shared" si="167"/>
        <v>08/2022</v>
      </c>
      <c r="M2684" s="82"/>
      <c r="N2684" s="82"/>
    </row>
    <row r="2685" spans="1:14" x14ac:dyDescent="0.25">
      <c r="A2685" s="170" t="s">
        <v>17435</v>
      </c>
      <c r="B2685" s="170" t="s">
        <v>17436</v>
      </c>
      <c r="C2685" s="170" t="s">
        <v>85</v>
      </c>
      <c r="D2685" s="170" t="s">
        <v>1947</v>
      </c>
      <c r="E2685" s="171" t="s">
        <v>33027</v>
      </c>
      <c r="F2685" s="171" t="s">
        <v>36303</v>
      </c>
      <c r="G2685" s="82"/>
      <c r="H2685" s="96">
        <f t="shared" si="164"/>
        <v>920.04</v>
      </c>
      <c r="I2685" s="96">
        <f t="shared" si="164"/>
        <v>944.25</v>
      </c>
      <c r="J2685" s="91" t="str">
        <f t="shared" si="165"/>
        <v>Sinapi 103930</v>
      </c>
      <c r="K2685" s="91" t="str">
        <f t="shared" si="166"/>
        <v>M3</v>
      </c>
      <c r="L2685" s="166" t="str">
        <f t="shared" si="167"/>
        <v>08/2022</v>
      </c>
      <c r="M2685" s="82"/>
      <c r="N2685" s="82"/>
    </row>
    <row r="2686" spans="1:14" x14ac:dyDescent="0.25">
      <c r="A2686" s="170" t="s">
        <v>17437</v>
      </c>
      <c r="B2686" s="170" t="s">
        <v>17438</v>
      </c>
      <c r="C2686" s="170" t="s">
        <v>85</v>
      </c>
      <c r="D2686" s="170" t="s">
        <v>1947</v>
      </c>
      <c r="E2686" s="171" t="s">
        <v>33028</v>
      </c>
      <c r="F2686" s="171" t="s">
        <v>36304</v>
      </c>
      <c r="G2686" s="82"/>
      <c r="H2686" s="96">
        <f t="shared" si="164"/>
        <v>757.09</v>
      </c>
      <c r="I2686" s="96">
        <f t="shared" si="164"/>
        <v>775.9</v>
      </c>
      <c r="J2686" s="91" t="str">
        <f t="shared" si="165"/>
        <v>Sinapi 103931</v>
      </c>
      <c r="K2686" s="91" t="str">
        <f t="shared" si="166"/>
        <v>M3</v>
      </c>
      <c r="L2686" s="166" t="str">
        <f t="shared" si="167"/>
        <v>08/2022</v>
      </c>
      <c r="M2686" s="82"/>
      <c r="N2686" s="82"/>
    </row>
    <row r="2687" spans="1:14" x14ac:dyDescent="0.25">
      <c r="A2687" s="170" t="s">
        <v>17439</v>
      </c>
      <c r="B2687" s="170" t="s">
        <v>17440</v>
      </c>
      <c r="C2687" s="170" t="s">
        <v>85</v>
      </c>
      <c r="D2687" s="170" t="s">
        <v>1947</v>
      </c>
      <c r="E2687" s="171" t="s">
        <v>33029</v>
      </c>
      <c r="F2687" s="171" t="s">
        <v>36305</v>
      </c>
      <c r="G2687" s="82"/>
      <c r="H2687" s="96">
        <f t="shared" si="164"/>
        <v>733.2</v>
      </c>
      <c r="I2687" s="96">
        <f t="shared" si="164"/>
        <v>751.21</v>
      </c>
      <c r="J2687" s="91" t="str">
        <f t="shared" si="165"/>
        <v>Sinapi 103932</v>
      </c>
      <c r="K2687" s="91" t="str">
        <f t="shared" si="166"/>
        <v>M3</v>
      </c>
      <c r="L2687" s="166" t="str">
        <f t="shared" si="167"/>
        <v>08/2022</v>
      </c>
      <c r="M2687" s="82"/>
      <c r="N2687" s="82"/>
    </row>
    <row r="2688" spans="1:14" x14ac:dyDescent="0.25">
      <c r="A2688" s="170" t="s">
        <v>17441</v>
      </c>
      <c r="B2688" s="170" t="s">
        <v>17442</v>
      </c>
      <c r="C2688" s="170" t="s">
        <v>85</v>
      </c>
      <c r="D2688" s="170" t="s">
        <v>1947</v>
      </c>
      <c r="E2688" s="171" t="s">
        <v>33030</v>
      </c>
      <c r="F2688" s="171" t="s">
        <v>36306</v>
      </c>
      <c r="G2688" s="82"/>
      <c r="H2688" s="96">
        <f t="shared" si="164"/>
        <v>2176.23</v>
      </c>
      <c r="I2688" s="96">
        <f t="shared" si="164"/>
        <v>2213.29</v>
      </c>
      <c r="J2688" s="91" t="str">
        <f t="shared" si="165"/>
        <v>Sinapi 103933</v>
      </c>
      <c r="K2688" s="91" t="str">
        <f t="shared" si="166"/>
        <v>M3</v>
      </c>
      <c r="L2688" s="166" t="str">
        <f t="shared" si="167"/>
        <v>08/2022</v>
      </c>
      <c r="M2688" s="82"/>
      <c r="N2688" s="82"/>
    </row>
    <row r="2689" spans="1:14" x14ac:dyDescent="0.25">
      <c r="A2689" s="170" t="s">
        <v>18635</v>
      </c>
      <c r="B2689" s="170" t="s">
        <v>18636</v>
      </c>
      <c r="C2689" s="170" t="s">
        <v>774</v>
      </c>
      <c r="D2689" s="170" t="s">
        <v>1947</v>
      </c>
      <c r="E2689" s="171" t="s">
        <v>20074</v>
      </c>
      <c r="F2689" s="171" t="s">
        <v>29070</v>
      </c>
      <c r="G2689" s="82"/>
      <c r="H2689" s="96">
        <f t="shared" si="164"/>
        <v>30.91</v>
      </c>
      <c r="I2689" s="96">
        <f t="shared" si="164"/>
        <v>31.26</v>
      </c>
      <c r="J2689" s="91" t="str">
        <f t="shared" si="165"/>
        <v>Sinapi 104466</v>
      </c>
      <c r="K2689" s="91" t="str">
        <f t="shared" si="166"/>
        <v>KG</v>
      </c>
      <c r="L2689" s="166" t="str">
        <f t="shared" si="167"/>
        <v>11/2022</v>
      </c>
      <c r="M2689" s="82"/>
      <c r="N2689" s="82"/>
    </row>
    <row r="2690" spans="1:14" x14ac:dyDescent="0.25">
      <c r="A2690" s="170" t="s">
        <v>18637</v>
      </c>
      <c r="B2690" s="170" t="s">
        <v>18638</v>
      </c>
      <c r="C2690" s="170" t="s">
        <v>774</v>
      </c>
      <c r="D2690" s="170" t="s">
        <v>1947</v>
      </c>
      <c r="E2690" s="171" t="s">
        <v>33031</v>
      </c>
      <c r="F2690" s="171" t="s">
        <v>36307</v>
      </c>
      <c r="G2690" s="82"/>
      <c r="H2690" s="96">
        <f t="shared" si="164"/>
        <v>41.86</v>
      </c>
      <c r="I2690" s="96">
        <f t="shared" si="164"/>
        <v>42.46</v>
      </c>
      <c r="J2690" s="91" t="str">
        <f t="shared" si="165"/>
        <v>Sinapi 104467</v>
      </c>
      <c r="K2690" s="91" t="str">
        <f t="shared" si="166"/>
        <v>KG</v>
      </c>
      <c r="L2690" s="166" t="str">
        <f t="shared" si="167"/>
        <v>11/2022</v>
      </c>
      <c r="M2690" s="82"/>
      <c r="N2690" s="82"/>
    </row>
    <row r="2691" spans="1:14" x14ac:dyDescent="0.25">
      <c r="A2691" s="170" t="s">
        <v>18639</v>
      </c>
      <c r="B2691" s="170" t="s">
        <v>18640</v>
      </c>
      <c r="C2691" s="170" t="s">
        <v>774</v>
      </c>
      <c r="D2691" s="170" t="s">
        <v>1947</v>
      </c>
      <c r="E2691" s="171" t="s">
        <v>33032</v>
      </c>
      <c r="F2691" s="171" t="s">
        <v>22083</v>
      </c>
      <c r="G2691" s="82"/>
      <c r="H2691" s="96">
        <f t="shared" si="164"/>
        <v>54.01</v>
      </c>
      <c r="I2691" s="96">
        <f t="shared" si="164"/>
        <v>54.8</v>
      </c>
      <c r="J2691" s="91" t="str">
        <f t="shared" si="165"/>
        <v>Sinapi 104468</v>
      </c>
      <c r="K2691" s="91" t="str">
        <f t="shared" si="166"/>
        <v>KG</v>
      </c>
      <c r="L2691" s="166" t="str">
        <f t="shared" si="167"/>
        <v>11/2022</v>
      </c>
      <c r="M2691" s="82"/>
      <c r="N2691" s="82"/>
    </row>
    <row r="2692" spans="1:14" x14ac:dyDescent="0.25">
      <c r="A2692" s="170" t="s">
        <v>18641</v>
      </c>
      <c r="B2692" s="170" t="s">
        <v>18642</v>
      </c>
      <c r="C2692" s="170" t="s">
        <v>774</v>
      </c>
      <c r="D2692" s="170" t="s">
        <v>1947</v>
      </c>
      <c r="E2692" s="171" t="s">
        <v>33033</v>
      </c>
      <c r="F2692" s="171" t="s">
        <v>29833</v>
      </c>
      <c r="G2692" s="82"/>
      <c r="H2692" s="96">
        <f t="shared" si="164"/>
        <v>57.83</v>
      </c>
      <c r="I2692" s="96">
        <f t="shared" si="164"/>
        <v>58.6</v>
      </c>
      <c r="J2692" s="91" t="str">
        <f t="shared" si="165"/>
        <v>Sinapi 104469</v>
      </c>
      <c r="K2692" s="91" t="str">
        <f t="shared" si="166"/>
        <v>KG</v>
      </c>
      <c r="L2692" s="166" t="str">
        <f t="shared" si="167"/>
        <v>11/2022</v>
      </c>
      <c r="M2692" s="82"/>
      <c r="N2692" s="82"/>
    </row>
    <row r="2693" spans="1:14" x14ac:dyDescent="0.25">
      <c r="A2693" s="170" t="s">
        <v>18643</v>
      </c>
      <c r="B2693" s="170" t="s">
        <v>18644</v>
      </c>
      <c r="C2693" s="170" t="s">
        <v>774</v>
      </c>
      <c r="D2693" s="170" t="s">
        <v>1947</v>
      </c>
      <c r="E2693" s="171" t="s">
        <v>28566</v>
      </c>
      <c r="F2693" s="171" t="s">
        <v>36308</v>
      </c>
      <c r="G2693" s="82"/>
      <c r="H2693" s="96">
        <f t="shared" si="164"/>
        <v>31.8</v>
      </c>
      <c r="I2693" s="96">
        <f t="shared" si="164"/>
        <v>32.229999999999997</v>
      </c>
      <c r="J2693" s="91" t="str">
        <f t="shared" si="165"/>
        <v>Sinapi 104470</v>
      </c>
      <c r="K2693" s="91" t="str">
        <f t="shared" si="166"/>
        <v>KG</v>
      </c>
      <c r="L2693" s="166" t="str">
        <f t="shared" si="167"/>
        <v>11/2022</v>
      </c>
      <c r="M2693" s="82"/>
      <c r="N2693" s="82"/>
    </row>
    <row r="2694" spans="1:14" x14ac:dyDescent="0.25">
      <c r="A2694" s="170" t="s">
        <v>18645</v>
      </c>
      <c r="B2694" s="170" t="s">
        <v>18646</v>
      </c>
      <c r="C2694" s="170" t="s">
        <v>774</v>
      </c>
      <c r="D2694" s="170" t="s">
        <v>1947</v>
      </c>
      <c r="E2694" s="171" t="s">
        <v>23318</v>
      </c>
      <c r="F2694" s="171" t="s">
        <v>23011</v>
      </c>
      <c r="G2694" s="82"/>
      <c r="H2694" s="96">
        <f t="shared" si="164"/>
        <v>28.65</v>
      </c>
      <c r="I2694" s="96">
        <f t="shared" si="164"/>
        <v>29.04</v>
      </c>
      <c r="J2694" s="91" t="str">
        <f t="shared" si="165"/>
        <v>Sinapi 104471</v>
      </c>
      <c r="K2694" s="91" t="str">
        <f t="shared" si="166"/>
        <v>KG</v>
      </c>
      <c r="L2694" s="166" t="str">
        <f t="shared" si="167"/>
        <v>11/2022</v>
      </c>
      <c r="M2694" s="82"/>
      <c r="N2694" s="82"/>
    </row>
    <row r="2695" spans="1:14" x14ac:dyDescent="0.25">
      <c r="A2695" s="170" t="s">
        <v>18647</v>
      </c>
      <c r="B2695" s="170" t="s">
        <v>18648</v>
      </c>
      <c r="C2695" s="170" t="s">
        <v>774</v>
      </c>
      <c r="D2695" s="170" t="s">
        <v>1947</v>
      </c>
      <c r="E2695" s="171" t="s">
        <v>33034</v>
      </c>
      <c r="F2695" s="171" t="s">
        <v>34617</v>
      </c>
      <c r="G2695" s="82"/>
      <c r="H2695" s="96">
        <f t="shared" si="164"/>
        <v>42.64</v>
      </c>
      <c r="I2695" s="96">
        <f t="shared" si="164"/>
        <v>43.22</v>
      </c>
      <c r="J2695" s="91" t="str">
        <f t="shared" si="165"/>
        <v>Sinapi 104472</v>
      </c>
      <c r="K2695" s="91" t="str">
        <f t="shared" si="166"/>
        <v>KG</v>
      </c>
      <c r="L2695" s="166" t="str">
        <f t="shared" si="167"/>
        <v>11/2022</v>
      </c>
      <c r="M2695" s="82"/>
      <c r="N2695" s="82"/>
    </row>
    <row r="2696" spans="1:14" x14ac:dyDescent="0.25">
      <c r="A2696" s="170" t="s">
        <v>18649</v>
      </c>
      <c r="B2696" s="170" t="s">
        <v>18650</v>
      </c>
      <c r="C2696" s="170" t="s">
        <v>85</v>
      </c>
      <c r="D2696" s="170" t="s">
        <v>1947</v>
      </c>
      <c r="E2696" s="171" t="s">
        <v>33035</v>
      </c>
      <c r="F2696" s="171" t="s">
        <v>36309</v>
      </c>
      <c r="G2696" s="82"/>
      <c r="H2696" s="96">
        <f t="shared" ref="H2696:I2759" si="168">IF(E2696="","",E2696+0)</f>
        <v>3211.04</v>
      </c>
      <c r="I2696" s="96">
        <f t="shared" si="168"/>
        <v>3265.63</v>
      </c>
      <c r="J2696" s="91" t="str">
        <f t="shared" ref="J2696:J2759" si="169">IF(OR(H2696="",I2696=""),"",TRIM(CONCATENATE("Sinapi ",A2696)))</f>
        <v>Sinapi 104483</v>
      </c>
      <c r="K2696" s="91" t="str">
        <f t="shared" ref="K2696:K2759" si="170">TRIM(C2696)</f>
        <v>M3</v>
      </c>
      <c r="L2696" s="166" t="str">
        <f t="shared" ref="L2696:L2759" si="171">IF(OR(RIGHT(IF(AND(K2696&lt;&gt;"H",K2696&lt;&gt;"MES"),RIGHT(B2696,7),""),2)="PS",RIGHT(IF(AND(K2696&lt;&gt;"H",K2696&lt;&gt;"MES"),RIGHT(B2696,7),""),2)="PA",RIGHT(IF(AND(K2696&lt;&gt;"H",K2696&lt;&gt;"MES"),RIGHT(B2696,7),""),2)="PE"),LEFT(IF(AND(K2696&lt;&gt;"H",K2696&lt;&gt;"MES"),RIGHT(B2696,10),""),7),IF(AND(K2696&lt;&gt;"H",K2696&lt;&gt;"MES"),RIGHT(B2696,7),""))</f>
        <v>11/2022</v>
      </c>
      <c r="M2696" s="82"/>
      <c r="N2696" s="82"/>
    </row>
    <row r="2697" spans="1:14" x14ac:dyDescent="0.25">
      <c r="A2697" s="170" t="s">
        <v>18651</v>
      </c>
      <c r="B2697" s="170" t="s">
        <v>18652</v>
      </c>
      <c r="C2697" s="170" t="s">
        <v>85</v>
      </c>
      <c r="D2697" s="170" t="s">
        <v>1947</v>
      </c>
      <c r="E2697" s="171" t="s">
        <v>33036</v>
      </c>
      <c r="F2697" s="171" t="s">
        <v>36310</v>
      </c>
      <c r="G2697" s="82"/>
      <c r="H2697" s="96">
        <f t="shared" si="168"/>
        <v>4790.9799999999996</v>
      </c>
      <c r="I2697" s="96">
        <f t="shared" si="168"/>
        <v>4938.3999999999996</v>
      </c>
      <c r="J2697" s="91" t="str">
        <f t="shared" si="169"/>
        <v>Sinapi 104484</v>
      </c>
      <c r="K2697" s="91" t="str">
        <f t="shared" si="170"/>
        <v>M3</v>
      </c>
      <c r="L2697" s="166" t="str">
        <f t="shared" si="171"/>
        <v>11/2022</v>
      </c>
      <c r="M2697" s="82"/>
      <c r="N2697" s="82"/>
    </row>
    <row r="2698" spans="1:14" x14ac:dyDescent="0.25">
      <c r="A2698" s="170" t="s">
        <v>18653</v>
      </c>
      <c r="B2698" s="170" t="s">
        <v>18654</v>
      </c>
      <c r="C2698" s="170" t="s">
        <v>85</v>
      </c>
      <c r="D2698" s="170" t="s">
        <v>1947</v>
      </c>
      <c r="E2698" s="171" t="s">
        <v>33037</v>
      </c>
      <c r="F2698" s="171" t="s">
        <v>36311</v>
      </c>
      <c r="G2698" s="82"/>
      <c r="H2698" s="96">
        <f t="shared" si="168"/>
        <v>3956.39</v>
      </c>
      <c r="I2698" s="96">
        <f t="shared" si="168"/>
        <v>4053.08</v>
      </c>
      <c r="J2698" s="91" t="str">
        <f t="shared" si="169"/>
        <v>Sinapi 104485</v>
      </c>
      <c r="K2698" s="91" t="str">
        <f t="shared" si="170"/>
        <v>M3</v>
      </c>
      <c r="L2698" s="166" t="str">
        <f t="shared" si="171"/>
        <v>11/2022</v>
      </c>
      <c r="M2698" s="82"/>
      <c r="N2698" s="82"/>
    </row>
    <row r="2699" spans="1:14" x14ac:dyDescent="0.25">
      <c r="A2699" s="170" t="s">
        <v>18655</v>
      </c>
      <c r="B2699" s="170" t="s">
        <v>18656</v>
      </c>
      <c r="C2699" s="170" t="s">
        <v>85</v>
      </c>
      <c r="D2699" s="170" t="s">
        <v>1947</v>
      </c>
      <c r="E2699" s="171" t="s">
        <v>33038</v>
      </c>
      <c r="F2699" s="171" t="s">
        <v>36312</v>
      </c>
      <c r="G2699" s="82"/>
      <c r="H2699" s="96">
        <f t="shared" si="168"/>
        <v>4194.3500000000004</v>
      </c>
      <c r="I2699" s="96">
        <f t="shared" si="168"/>
        <v>4303.6000000000004</v>
      </c>
      <c r="J2699" s="91" t="str">
        <f t="shared" si="169"/>
        <v>Sinapi 104486</v>
      </c>
      <c r="K2699" s="91" t="str">
        <f t="shared" si="170"/>
        <v>M3</v>
      </c>
      <c r="L2699" s="166" t="str">
        <f t="shared" si="171"/>
        <v>11/2022</v>
      </c>
      <c r="M2699" s="82"/>
      <c r="N2699" s="82"/>
    </row>
    <row r="2700" spans="1:14" x14ac:dyDescent="0.25">
      <c r="A2700" s="170" t="s">
        <v>18657</v>
      </c>
      <c r="B2700" s="170" t="s">
        <v>18658</v>
      </c>
      <c r="C2700" s="170" t="s">
        <v>85</v>
      </c>
      <c r="D2700" s="170" t="s">
        <v>1947</v>
      </c>
      <c r="E2700" s="171" t="s">
        <v>33039</v>
      </c>
      <c r="F2700" s="171" t="s">
        <v>36313</v>
      </c>
      <c r="G2700" s="82"/>
      <c r="H2700" s="96">
        <f t="shared" si="168"/>
        <v>3558.22</v>
      </c>
      <c r="I2700" s="96">
        <f t="shared" si="168"/>
        <v>3634.04</v>
      </c>
      <c r="J2700" s="91" t="str">
        <f t="shared" si="169"/>
        <v>Sinapi 104487</v>
      </c>
      <c r="K2700" s="91" t="str">
        <f t="shared" si="170"/>
        <v>M3</v>
      </c>
      <c r="L2700" s="166" t="str">
        <f t="shared" si="171"/>
        <v>11/2022</v>
      </c>
      <c r="M2700" s="82"/>
      <c r="N2700" s="82"/>
    </row>
    <row r="2701" spans="1:14" x14ac:dyDescent="0.25">
      <c r="A2701" s="170" t="s">
        <v>18659</v>
      </c>
      <c r="B2701" s="170" t="s">
        <v>18660</v>
      </c>
      <c r="C2701" s="170" t="s">
        <v>85</v>
      </c>
      <c r="D2701" s="170" t="s">
        <v>1947</v>
      </c>
      <c r="E2701" s="171" t="s">
        <v>33040</v>
      </c>
      <c r="F2701" s="171" t="s">
        <v>36314</v>
      </c>
      <c r="G2701" s="82"/>
      <c r="H2701" s="96">
        <f t="shared" si="168"/>
        <v>3525.49</v>
      </c>
      <c r="I2701" s="96">
        <f t="shared" si="168"/>
        <v>3583.94</v>
      </c>
      <c r="J2701" s="91" t="str">
        <f t="shared" si="169"/>
        <v>Sinapi 104488</v>
      </c>
      <c r="K2701" s="91" t="str">
        <f t="shared" si="170"/>
        <v>M3</v>
      </c>
      <c r="L2701" s="166" t="str">
        <f t="shared" si="171"/>
        <v>11/2022</v>
      </c>
      <c r="M2701" s="82"/>
      <c r="N2701" s="82"/>
    </row>
    <row r="2702" spans="1:14" x14ac:dyDescent="0.25">
      <c r="A2702" s="170" t="s">
        <v>18661</v>
      </c>
      <c r="B2702" s="170" t="s">
        <v>18662</v>
      </c>
      <c r="C2702" s="170" t="s">
        <v>85</v>
      </c>
      <c r="D2702" s="170" t="s">
        <v>1947</v>
      </c>
      <c r="E2702" s="171" t="s">
        <v>33041</v>
      </c>
      <c r="F2702" s="171" t="s">
        <v>36315</v>
      </c>
      <c r="G2702" s="82"/>
      <c r="H2702" s="96">
        <f t="shared" si="168"/>
        <v>4879.07</v>
      </c>
      <c r="I2702" s="96">
        <f t="shared" si="168"/>
        <v>5041.8900000000003</v>
      </c>
      <c r="J2702" s="91" t="str">
        <f t="shared" si="169"/>
        <v>Sinapi 104489</v>
      </c>
      <c r="K2702" s="91" t="str">
        <f t="shared" si="170"/>
        <v>M3</v>
      </c>
      <c r="L2702" s="166" t="str">
        <f t="shared" si="171"/>
        <v>11/2022</v>
      </c>
      <c r="M2702" s="82"/>
      <c r="N2702" s="82"/>
    </row>
    <row r="2703" spans="1:14" x14ac:dyDescent="0.25">
      <c r="A2703" s="170" t="s">
        <v>18663</v>
      </c>
      <c r="B2703" s="170" t="s">
        <v>18664</v>
      </c>
      <c r="C2703" s="170" t="s">
        <v>85</v>
      </c>
      <c r="D2703" s="170" t="s">
        <v>1947</v>
      </c>
      <c r="E2703" s="171" t="s">
        <v>33042</v>
      </c>
      <c r="F2703" s="171" t="s">
        <v>36316</v>
      </c>
      <c r="G2703" s="82"/>
      <c r="H2703" s="96">
        <f t="shared" si="168"/>
        <v>3417.83</v>
      </c>
      <c r="I2703" s="96">
        <f t="shared" si="168"/>
        <v>3473.92</v>
      </c>
      <c r="J2703" s="91" t="str">
        <f t="shared" si="169"/>
        <v>Sinapi 104490</v>
      </c>
      <c r="K2703" s="91" t="str">
        <f t="shared" si="170"/>
        <v>M3</v>
      </c>
      <c r="L2703" s="166" t="str">
        <f t="shared" si="171"/>
        <v>11/2022</v>
      </c>
      <c r="M2703" s="82"/>
      <c r="N2703" s="82"/>
    </row>
    <row r="2704" spans="1:14" x14ac:dyDescent="0.25">
      <c r="A2704" s="170" t="s">
        <v>5483</v>
      </c>
      <c r="B2704" s="170" t="s">
        <v>5484</v>
      </c>
      <c r="C2704" s="170" t="s">
        <v>870</v>
      </c>
      <c r="D2704" s="170" t="s">
        <v>2067</v>
      </c>
      <c r="E2704" s="171" t="s">
        <v>33043</v>
      </c>
      <c r="F2704" s="171" t="s">
        <v>36317</v>
      </c>
      <c r="G2704" s="82"/>
      <c r="H2704" s="96">
        <f t="shared" si="168"/>
        <v>53.12</v>
      </c>
      <c r="I2704" s="96">
        <f t="shared" si="168"/>
        <v>56.52</v>
      </c>
      <c r="J2704" s="91" t="str">
        <f t="shared" si="169"/>
        <v>Sinapi 98560</v>
      </c>
      <c r="K2704" s="91" t="str">
        <f t="shared" si="170"/>
        <v>M2</v>
      </c>
      <c r="L2704" s="166" t="str">
        <f t="shared" si="171"/>
        <v>06/2018</v>
      </c>
      <c r="M2704" s="82"/>
      <c r="N2704" s="82"/>
    </row>
    <row r="2705" spans="1:14" x14ac:dyDescent="0.25">
      <c r="A2705" s="170" t="s">
        <v>5485</v>
      </c>
      <c r="B2705" s="170" t="s">
        <v>5486</v>
      </c>
      <c r="C2705" s="170" t="s">
        <v>870</v>
      </c>
      <c r="D2705" s="170" t="s">
        <v>2067</v>
      </c>
      <c r="E2705" s="171" t="s">
        <v>28477</v>
      </c>
      <c r="F2705" s="171" t="s">
        <v>21357</v>
      </c>
      <c r="G2705" s="82"/>
      <c r="H2705" s="96">
        <f t="shared" si="168"/>
        <v>46.23</v>
      </c>
      <c r="I2705" s="96">
        <f t="shared" si="168"/>
        <v>49.34</v>
      </c>
      <c r="J2705" s="91" t="str">
        <f t="shared" si="169"/>
        <v>Sinapi 98561</v>
      </c>
      <c r="K2705" s="91" t="str">
        <f t="shared" si="170"/>
        <v>M2</v>
      </c>
      <c r="L2705" s="166" t="str">
        <f t="shared" si="171"/>
        <v>06/2018</v>
      </c>
      <c r="M2705" s="82"/>
      <c r="N2705" s="82"/>
    </row>
    <row r="2706" spans="1:14" x14ac:dyDescent="0.25">
      <c r="A2706" s="170" t="s">
        <v>5487</v>
      </c>
      <c r="B2706" s="170" t="s">
        <v>5488</v>
      </c>
      <c r="C2706" s="170" t="s">
        <v>870</v>
      </c>
      <c r="D2706" s="170" t="s">
        <v>2067</v>
      </c>
      <c r="E2706" s="171" t="s">
        <v>23123</v>
      </c>
      <c r="F2706" s="171" t="s">
        <v>36318</v>
      </c>
      <c r="G2706" s="82"/>
      <c r="H2706" s="96">
        <f t="shared" si="168"/>
        <v>48.7</v>
      </c>
      <c r="I2706" s="96">
        <f t="shared" si="168"/>
        <v>51.32</v>
      </c>
      <c r="J2706" s="91" t="str">
        <f t="shared" si="169"/>
        <v>Sinapi 98562</v>
      </c>
      <c r="K2706" s="91" t="str">
        <f t="shared" si="170"/>
        <v>M2</v>
      </c>
      <c r="L2706" s="166" t="str">
        <f t="shared" si="171"/>
        <v>06/2018</v>
      </c>
      <c r="M2706" s="82"/>
      <c r="N2706" s="82"/>
    </row>
    <row r="2707" spans="1:14" x14ac:dyDescent="0.25">
      <c r="A2707" s="170" t="s">
        <v>5489</v>
      </c>
      <c r="B2707" s="170" t="s">
        <v>5490</v>
      </c>
      <c r="C2707" s="170" t="s">
        <v>870</v>
      </c>
      <c r="D2707" s="170" t="s">
        <v>2067</v>
      </c>
      <c r="E2707" s="171" t="s">
        <v>21889</v>
      </c>
      <c r="F2707" s="171" t="s">
        <v>25555</v>
      </c>
      <c r="G2707" s="82"/>
      <c r="H2707" s="96">
        <f t="shared" si="168"/>
        <v>26.55</v>
      </c>
      <c r="I2707" s="96">
        <f t="shared" si="168"/>
        <v>28.11</v>
      </c>
      <c r="J2707" s="91" t="str">
        <f t="shared" si="169"/>
        <v>Sinapi 98555</v>
      </c>
      <c r="K2707" s="91" t="str">
        <f t="shared" si="170"/>
        <v>M2</v>
      </c>
      <c r="L2707" s="166" t="str">
        <f t="shared" si="171"/>
        <v>06/2018</v>
      </c>
      <c r="M2707" s="82"/>
      <c r="N2707" s="82"/>
    </row>
    <row r="2708" spans="1:14" x14ac:dyDescent="0.25">
      <c r="A2708" s="170" t="s">
        <v>5492</v>
      </c>
      <c r="B2708" s="170" t="s">
        <v>5493</v>
      </c>
      <c r="C2708" s="170" t="s">
        <v>870</v>
      </c>
      <c r="D2708" s="170" t="s">
        <v>2067</v>
      </c>
      <c r="E2708" s="171" t="s">
        <v>33044</v>
      </c>
      <c r="F2708" s="171" t="s">
        <v>31233</v>
      </c>
      <c r="G2708" s="82"/>
      <c r="H2708" s="96">
        <f t="shared" si="168"/>
        <v>46.36</v>
      </c>
      <c r="I2708" s="96">
        <f t="shared" si="168"/>
        <v>48.93</v>
      </c>
      <c r="J2708" s="91" t="str">
        <f t="shared" si="169"/>
        <v>Sinapi 98556</v>
      </c>
      <c r="K2708" s="91" t="str">
        <f t="shared" si="170"/>
        <v>M2</v>
      </c>
      <c r="L2708" s="166" t="str">
        <f t="shared" si="171"/>
        <v>06/2018</v>
      </c>
      <c r="M2708" s="82"/>
      <c r="N2708" s="82"/>
    </row>
    <row r="2709" spans="1:14" x14ac:dyDescent="0.25">
      <c r="A2709" s="170" t="s">
        <v>5494</v>
      </c>
      <c r="B2709" s="170" t="s">
        <v>5495</v>
      </c>
      <c r="C2709" s="170" t="s">
        <v>205</v>
      </c>
      <c r="D2709" s="170" t="s">
        <v>2067</v>
      </c>
      <c r="E2709" s="171" t="s">
        <v>2100</v>
      </c>
      <c r="F2709" s="171" t="s">
        <v>5203</v>
      </c>
      <c r="G2709" s="82"/>
      <c r="H2709" s="96">
        <f t="shared" si="168"/>
        <v>7.09</v>
      </c>
      <c r="I2709" s="96">
        <f t="shared" si="168"/>
        <v>7.43</v>
      </c>
      <c r="J2709" s="91" t="str">
        <f t="shared" si="169"/>
        <v>Sinapi 98558</v>
      </c>
      <c r="K2709" s="91" t="str">
        <f t="shared" si="170"/>
        <v>UN</v>
      </c>
      <c r="L2709" s="166" t="str">
        <f t="shared" si="171"/>
        <v>06/2018</v>
      </c>
      <c r="M2709" s="82"/>
      <c r="N2709" s="82"/>
    </row>
    <row r="2710" spans="1:14" x14ac:dyDescent="0.25">
      <c r="A2710" s="170" t="s">
        <v>5496</v>
      </c>
      <c r="B2710" s="170" t="s">
        <v>5497</v>
      </c>
      <c r="C2710" s="170" t="s">
        <v>385</v>
      </c>
      <c r="D2710" s="170" t="s">
        <v>2067</v>
      </c>
      <c r="E2710" s="171" t="s">
        <v>17283</v>
      </c>
      <c r="F2710" s="171" t="s">
        <v>17930</v>
      </c>
      <c r="G2710" s="82"/>
      <c r="H2710" s="96">
        <f t="shared" si="168"/>
        <v>3.51</v>
      </c>
      <c r="I2710" s="96">
        <f t="shared" si="168"/>
        <v>3.67</v>
      </c>
      <c r="J2710" s="91" t="str">
        <f t="shared" si="169"/>
        <v>Sinapi 98559</v>
      </c>
      <c r="K2710" s="91" t="str">
        <f t="shared" si="170"/>
        <v>M</v>
      </c>
      <c r="L2710" s="166" t="str">
        <f t="shared" si="171"/>
        <v>06/2018</v>
      </c>
      <c r="M2710" s="82"/>
      <c r="N2710" s="82"/>
    </row>
    <row r="2711" spans="1:14" x14ac:dyDescent="0.25">
      <c r="A2711" s="170" t="s">
        <v>5498</v>
      </c>
      <c r="B2711" s="170" t="s">
        <v>5499</v>
      </c>
      <c r="C2711" s="170" t="s">
        <v>870</v>
      </c>
      <c r="D2711" s="170" t="s">
        <v>2067</v>
      </c>
      <c r="E2711" s="171" t="s">
        <v>33045</v>
      </c>
      <c r="F2711" s="171" t="s">
        <v>22817</v>
      </c>
      <c r="G2711" s="82"/>
      <c r="H2711" s="96">
        <f t="shared" si="168"/>
        <v>89.32</v>
      </c>
      <c r="I2711" s="96">
        <f t="shared" si="168"/>
        <v>92.1</v>
      </c>
      <c r="J2711" s="91" t="str">
        <f t="shared" si="169"/>
        <v>Sinapi 98546</v>
      </c>
      <c r="K2711" s="91" t="str">
        <f t="shared" si="170"/>
        <v>M2</v>
      </c>
      <c r="L2711" s="166" t="str">
        <f t="shared" si="171"/>
        <v>06/2018</v>
      </c>
      <c r="M2711" s="82"/>
      <c r="N2711" s="82"/>
    </row>
    <row r="2712" spans="1:14" x14ac:dyDescent="0.25">
      <c r="A2712" s="170" t="s">
        <v>5500</v>
      </c>
      <c r="B2712" s="170" t="s">
        <v>5501</v>
      </c>
      <c r="C2712" s="170" t="s">
        <v>870</v>
      </c>
      <c r="D2712" s="170" t="s">
        <v>2067</v>
      </c>
      <c r="E2712" s="171" t="s">
        <v>33046</v>
      </c>
      <c r="F2712" s="171" t="s">
        <v>36319</v>
      </c>
      <c r="G2712" s="82"/>
      <c r="H2712" s="96">
        <f t="shared" si="168"/>
        <v>155.41999999999999</v>
      </c>
      <c r="I2712" s="96">
        <f t="shared" si="168"/>
        <v>159.44999999999999</v>
      </c>
      <c r="J2712" s="91" t="str">
        <f t="shared" si="169"/>
        <v>Sinapi 98547</v>
      </c>
      <c r="K2712" s="91" t="str">
        <f t="shared" si="170"/>
        <v>M2</v>
      </c>
      <c r="L2712" s="166" t="str">
        <f t="shared" si="171"/>
        <v>06/2018</v>
      </c>
      <c r="M2712" s="82"/>
      <c r="N2712" s="82"/>
    </row>
    <row r="2713" spans="1:14" x14ac:dyDescent="0.25">
      <c r="A2713" s="170" t="s">
        <v>5502</v>
      </c>
      <c r="B2713" s="170" t="s">
        <v>5503</v>
      </c>
      <c r="C2713" s="170" t="s">
        <v>870</v>
      </c>
      <c r="D2713" s="170" t="s">
        <v>2067</v>
      </c>
      <c r="E2713" s="171" t="s">
        <v>29152</v>
      </c>
      <c r="F2713" s="171" t="s">
        <v>36320</v>
      </c>
      <c r="G2713" s="82"/>
      <c r="H2713" s="96">
        <f t="shared" si="168"/>
        <v>155.66999999999999</v>
      </c>
      <c r="I2713" s="96">
        <f t="shared" si="168"/>
        <v>157.07</v>
      </c>
      <c r="J2713" s="91" t="str">
        <f t="shared" si="169"/>
        <v>Sinapi 98553</v>
      </c>
      <c r="K2713" s="91" t="str">
        <f t="shared" si="170"/>
        <v>M2</v>
      </c>
      <c r="L2713" s="166" t="str">
        <f t="shared" si="171"/>
        <v>06/2018</v>
      </c>
      <c r="M2713" s="82"/>
      <c r="N2713" s="82"/>
    </row>
    <row r="2714" spans="1:14" x14ac:dyDescent="0.25">
      <c r="A2714" s="170" t="s">
        <v>5504</v>
      </c>
      <c r="B2714" s="170" t="s">
        <v>5505</v>
      </c>
      <c r="C2714" s="170" t="s">
        <v>870</v>
      </c>
      <c r="D2714" s="170" t="s">
        <v>2067</v>
      </c>
      <c r="E2714" s="171" t="s">
        <v>17929</v>
      </c>
      <c r="F2714" s="171" t="s">
        <v>23226</v>
      </c>
      <c r="G2714" s="82"/>
      <c r="H2714" s="96">
        <f t="shared" si="168"/>
        <v>48.38</v>
      </c>
      <c r="I2714" s="96">
        <f t="shared" si="168"/>
        <v>50.09</v>
      </c>
      <c r="J2714" s="91" t="str">
        <f t="shared" si="169"/>
        <v>Sinapi 98554</v>
      </c>
      <c r="K2714" s="91" t="str">
        <f t="shared" si="170"/>
        <v>M2</v>
      </c>
      <c r="L2714" s="166" t="str">
        <f t="shared" si="171"/>
        <v>06/2018</v>
      </c>
      <c r="M2714" s="82"/>
      <c r="N2714" s="82"/>
    </row>
    <row r="2715" spans="1:14" x14ac:dyDescent="0.25">
      <c r="A2715" s="170" t="s">
        <v>5506</v>
      </c>
      <c r="B2715" s="170" t="s">
        <v>5507</v>
      </c>
      <c r="C2715" s="170" t="s">
        <v>870</v>
      </c>
      <c r="D2715" s="170" t="s">
        <v>2067</v>
      </c>
      <c r="E2715" s="171" t="s">
        <v>22924</v>
      </c>
      <c r="F2715" s="171" t="s">
        <v>20343</v>
      </c>
      <c r="G2715" s="82"/>
      <c r="H2715" s="96">
        <f t="shared" si="168"/>
        <v>44.14</v>
      </c>
      <c r="I2715" s="96">
        <f t="shared" si="168"/>
        <v>45.37</v>
      </c>
      <c r="J2715" s="91" t="str">
        <f t="shared" si="169"/>
        <v>Sinapi 98557</v>
      </c>
      <c r="K2715" s="91" t="str">
        <f t="shared" si="170"/>
        <v>M2</v>
      </c>
      <c r="L2715" s="166" t="str">
        <f t="shared" si="171"/>
        <v>06/2018</v>
      </c>
      <c r="M2715" s="82"/>
      <c r="N2715" s="82"/>
    </row>
    <row r="2716" spans="1:14" x14ac:dyDescent="0.25">
      <c r="A2716" s="170" t="s">
        <v>5508</v>
      </c>
      <c r="B2716" s="170" t="s">
        <v>5509</v>
      </c>
      <c r="C2716" s="170" t="s">
        <v>870</v>
      </c>
      <c r="D2716" s="170" t="s">
        <v>2067</v>
      </c>
      <c r="E2716" s="171" t="s">
        <v>29433</v>
      </c>
      <c r="F2716" s="171" t="s">
        <v>36321</v>
      </c>
      <c r="G2716" s="82"/>
      <c r="H2716" s="96">
        <f t="shared" si="168"/>
        <v>39.299999999999997</v>
      </c>
      <c r="I2716" s="96">
        <f t="shared" si="168"/>
        <v>41.2</v>
      </c>
      <c r="J2716" s="91" t="str">
        <f t="shared" si="169"/>
        <v>Sinapi 98563</v>
      </c>
      <c r="K2716" s="91" t="str">
        <f t="shared" si="170"/>
        <v>M2</v>
      </c>
      <c r="L2716" s="166" t="str">
        <f t="shared" si="171"/>
        <v>06/2018</v>
      </c>
      <c r="M2716" s="82"/>
      <c r="N2716" s="82"/>
    </row>
    <row r="2717" spans="1:14" x14ac:dyDescent="0.25">
      <c r="A2717" s="170" t="s">
        <v>5510</v>
      </c>
      <c r="B2717" s="170" t="s">
        <v>5511</v>
      </c>
      <c r="C2717" s="170" t="s">
        <v>870</v>
      </c>
      <c r="D2717" s="170" t="s">
        <v>2067</v>
      </c>
      <c r="E2717" s="171" t="s">
        <v>33047</v>
      </c>
      <c r="F2717" s="171" t="s">
        <v>36322</v>
      </c>
      <c r="G2717" s="82"/>
      <c r="H2717" s="96">
        <f t="shared" si="168"/>
        <v>56.16</v>
      </c>
      <c r="I2717" s="96">
        <f t="shared" si="168"/>
        <v>58.2</v>
      </c>
      <c r="J2717" s="91" t="str">
        <f t="shared" si="169"/>
        <v>Sinapi 98564</v>
      </c>
      <c r="K2717" s="91" t="str">
        <f t="shared" si="170"/>
        <v>M2</v>
      </c>
      <c r="L2717" s="166" t="str">
        <f t="shared" si="171"/>
        <v>06/2018</v>
      </c>
      <c r="M2717" s="82"/>
      <c r="N2717" s="82"/>
    </row>
    <row r="2718" spans="1:14" x14ac:dyDescent="0.25">
      <c r="A2718" s="170" t="s">
        <v>5512</v>
      </c>
      <c r="B2718" s="170" t="s">
        <v>5513</v>
      </c>
      <c r="C2718" s="170" t="s">
        <v>870</v>
      </c>
      <c r="D2718" s="170" t="s">
        <v>2067</v>
      </c>
      <c r="E2718" s="171" t="s">
        <v>33048</v>
      </c>
      <c r="F2718" s="171" t="s">
        <v>28523</v>
      </c>
      <c r="G2718" s="82"/>
      <c r="H2718" s="96">
        <f t="shared" si="168"/>
        <v>56.43</v>
      </c>
      <c r="I2718" s="96">
        <f t="shared" si="168"/>
        <v>59.32</v>
      </c>
      <c r="J2718" s="91" t="str">
        <f t="shared" si="169"/>
        <v>Sinapi 98565</v>
      </c>
      <c r="K2718" s="91" t="str">
        <f t="shared" si="170"/>
        <v>M2</v>
      </c>
      <c r="L2718" s="166" t="str">
        <f t="shared" si="171"/>
        <v>06/2018</v>
      </c>
      <c r="M2718" s="82"/>
      <c r="N2718" s="82"/>
    </row>
    <row r="2719" spans="1:14" x14ac:dyDescent="0.25">
      <c r="A2719" s="170" t="s">
        <v>5514</v>
      </c>
      <c r="B2719" s="170" t="s">
        <v>5515</v>
      </c>
      <c r="C2719" s="170" t="s">
        <v>870</v>
      </c>
      <c r="D2719" s="170" t="s">
        <v>2067</v>
      </c>
      <c r="E2719" s="171" t="s">
        <v>21585</v>
      </c>
      <c r="F2719" s="171" t="s">
        <v>22784</v>
      </c>
      <c r="G2719" s="82"/>
      <c r="H2719" s="96">
        <f t="shared" si="168"/>
        <v>73.28</v>
      </c>
      <c r="I2719" s="96">
        <f t="shared" si="168"/>
        <v>76.319999999999993</v>
      </c>
      <c r="J2719" s="91" t="str">
        <f t="shared" si="169"/>
        <v>Sinapi 98566</v>
      </c>
      <c r="K2719" s="91" t="str">
        <f t="shared" si="170"/>
        <v>M2</v>
      </c>
      <c r="L2719" s="166" t="str">
        <f t="shared" si="171"/>
        <v>06/2018</v>
      </c>
      <c r="M2719" s="82"/>
      <c r="N2719" s="82"/>
    </row>
    <row r="2720" spans="1:14" x14ac:dyDescent="0.25">
      <c r="A2720" s="170" t="s">
        <v>5516</v>
      </c>
      <c r="B2720" s="170" t="s">
        <v>5517</v>
      </c>
      <c r="C2720" s="170" t="s">
        <v>870</v>
      </c>
      <c r="D2720" s="170" t="s">
        <v>2067</v>
      </c>
      <c r="E2720" s="171" t="s">
        <v>33049</v>
      </c>
      <c r="F2720" s="171" t="s">
        <v>36323</v>
      </c>
      <c r="G2720" s="82"/>
      <c r="H2720" s="96">
        <f t="shared" si="168"/>
        <v>72.53</v>
      </c>
      <c r="I2720" s="96">
        <f t="shared" si="168"/>
        <v>76.39</v>
      </c>
      <c r="J2720" s="91" t="str">
        <f t="shared" si="169"/>
        <v>Sinapi 98567</v>
      </c>
      <c r="K2720" s="91" t="str">
        <f t="shared" si="170"/>
        <v>M2</v>
      </c>
      <c r="L2720" s="166" t="str">
        <f t="shared" si="171"/>
        <v>06/2018</v>
      </c>
      <c r="M2720" s="82"/>
      <c r="N2720" s="82"/>
    </row>
    <row r="2721" spans="1:14" x14ac:dyDescent="0.25">
      <c r="A2721" s="170" t="s">
        <v>5518</v>
      </c>
      <c r="B2721" s="170" t="s">
        <v>5519</v>
      </c>
      <c r="C2721" s="170" t="s">
        <v>870</v>
      </c>
      <c r="D2721" s="170" t="s">
        <v>2067</v>
      </c>
      <c r="E2721" s="171" t="s">
        <v>33050</v>
      </c>
      <c r="F2721" s="171" t="s">
        <v>36324</v>
      </c>
      <c r="G2721" s="82"/>
      <c r="H2721" s="96">
        <f t="shared" si="168"/>
        <v>89.36</v>
      </c>
      <c r="I2721" s="96">
        <f t="shared" si="168"/>
        <v>93.37</v>
      </c>
      <c r="J2721" s="91" t="str">
        <f t="shared" si="169"/>
        <v>Sinapi 98568</v>
      </c>
      <c r="K2721" s="91" t="str">
        <f t="shared" si="170"/>
        <v>M2</v>
      </c>
      <c r="L2721" s="166" t="str">
        <f t="shared" si="171"/>
        <v>06/2018</v>
      </c>
      <c r="M2721" s="82"/>
      <c r="N2721" s="82"/>
    </row>
    <row r="2722" spans="1:14" x14ac:dyDescent="0.25">
      <c r="A2722" s="170" t="s">
        <v>5520</v>
      </c>
      <c r="B2722" s="170" t="s">
        <v>5521</v>
      </c>
      <c r="C2722" s="170" t="s">
        <v>870</v>
      </c>
      <c r="D2722" s="170" t="s">
        <v>2067</v>
      </c>
      <c r="E2722" s="171" t="s">
        <v>33051</v>
      </c>
      <c r="F2722" s="171" t="s">
        <v>28940</v>
      </c>
      <c r="G2722" s="82"/>
      <c r="H2722" s="96">
        <f t="shared" si="168"/>
        <v>89.62</v>
      </c>
      <c r="I2722" s="96">
        <f t="shared" si="168"/>
        <v>94.48</v>
      </c>
      <c r="J2722" s="91" t="str">
        <f t="shared" si="169"/>
        <v>Sinapi 98569</v>
      </c>
      <c r="K2722" s="91" t="str">
        <f t="shared" si="170"/>
        <v>M2</v>
      </c>
      <c r="L2722" s="166" t="str">
        <f t="shared" si="171"/>
        <v>06/2018</v>
      </c>
      <c r="M2722" s="82"/>
      <c r="N2722" s="82"/>
    </row>
    <row r="2723" spans="1:14" x14ac:dyDescent="0.25">
      <c r="A2723" s="170" t="s">
        <v>5522</v>
      </c>
      <c r="B2723" s="170" t="s">
        <v>5523</v>
      </c>
      <c r="C2723" s="170" t="s">
        <v>870</v>
      </c>
      <c r="D2723" s="170" t="s">
        <v>2067</v>
      </c>
      <c r="E2723" s="171" t="s">
        <v>33052</v>
      </c>
      <c r="F2723" s="171" t="s">
        <v>34098</v>
      </c>
      <c r="G2723" s="82"/>
      <c r="H2723" s="96">
        <f t="shared" si="168"/>
        <v>106.5</v>
      </c>
      <c r="I2723" s="96">
        <f t="shared" si="168"/>
        <v>111.51</v>
      </c>
      <c r="J2723" s="91" t="str">
        <f t="shared" si="169"/>
        <v>Sinapi 98570</v>
      </c>
      <c r="K2723" s="91" t="str">
        <f t="shared" si="170"/>
        <v>M2</v>
      </c>
      <c r="L2723" s="166" t="str">
        <f t="shared" si="171"/>
        <v>06/2018</v>
      </c>
      <c r="M2723" s="82"/>
      <c r="N2723" s="82"/>
    </row>
    <row r="2724" spans="1:14" x14ac:dyDescent="0.25">
      <c r="A2724" s="170" t="s">
        <v>5524</v>
      </c>
      <c r="B2724" s="170" t="s">
        <v>5525</v>
      </c>
      <c r="C2724" s="170" t="s">
        <v>870</v>
      </c>
      <c r="D2724" s="170" t="s">
        <v>2067</v>
      </c>
      <c r="E2724" s="171" t="s">
        <v>33053</v>
      </c>
      <c r="F2724" s="171" t="s">
        <v>36325</v>
      </c>
      <c r="G2724" s="82"/>
      <c r="H2724" s="96">
        <f t="shared" si="168"/>
        <v>65.92</v>
      </c>
      <c r="I2724" s="96">
        <f t="shared" si="168"/>
        <v>67.959999999999994</v>
      </c>
      <c r="J2724" s="91" t="str">
        <f t="shared" si="169"/>
        <v>Sinapi 98571</v>
      </c>
      <c r="K2724" s="91" t="str">
        <f t="shared" si="170"/>
        <v>M2</v>
      </c>
      <c r="L2724" s="166" t="str">
        <f t="shared" si="171"/>
        <v>06/2018</v>
      </c>
      <c r="M2724" s="82"/>
      <c r="N2724" s="82"/>
    </row>
    <row r="2725" spans="1:14" x14ac:dyDescent="0.25">
      <c r="A2725" s="170" t="s">
        <v>5526</v>
      </c>
      <c r="B2725" s="170" t="s">
        <v>5527</v>
      </c>
      <c r="C2725" s="170" t="s">
        <v>870</v>
      </c>
      <c r="D2725" s="170" t="s">
        <v>2067</v>
      </c>
      <c r="E2725" s="171" t="s">
        <v>29225</v>
      </c>
      <c r="F2725" s="171" t="s">
        <v>29441</v>
      </c>
      <c r="G2725" s="82"/>
      <c r="H2725" s="96">
        <f t="shared" si="168"/>
        <v>81.209999999999994</v>
      </c>
      <c r="I2725" s="96">
        <f t="shared" si="168"/>
        <v>83.8</v>
      </c>
      <c r="J2725" s="91" t="str">
        <f t="shared" si="169"/>
        <v>Sinapi 98572</v>
      </c>
      <c r="K2725" s="91" t="str">
        <f t="shared" si="170"/>
        <v>M2</v>
      </c>
      <c r="L2725" s="166" t="str">
        <f t="shared" si="171"/>
        <v>06/2018</v>
      </c>
      <c r="M2725" s="82"/>
      <c r="N2725" s="82"/>
    </row>
    <row r="2726" spans="1:14" x14ac:dyDescent="0.25">
      <c r="A2726" s="170" t="s">
        <v>5528</v>
      </c>
      <c r="B2726" s="170" t="s">
        <v>5529</v>
      </c>
      <c r="C2726" s="170" t="s">
        <v>870</v>
      </c>
      <c r="D2726" s="170" t="s">
        <v>2067</v>
      </c>
      <c r="E2726" s="171" t="s">
        <v>23085</v>
      </c>
      <c r="F2726" s="171" t="s">
        <v>28578</v>
      </c>
      <c r="G2726" s="82"/>
      <c r="H2726" s="96">
        <f t="shared" si="168"/>
        <v>97.69</v>
      </c>
      <c r="I2726" s="96">
        <f t="shared" si="168"/>
        <v>100.39</v>
      </c>
      <c r="J2726" s="91" t="str">
        <f t="shared" si="169"/>
        <v>Sinapi 98573</v>
      </c>
      <c r="K2726" s="91" t="str">
        <f t="shared" si="170"/>
        <v>M2</v>
      </c>
      <c r="L2726" s="166" t="str">
        <f t="shared" si="171"/>
        <v>06/2018</v>
      </c>
      <c r="M2726" s="82"/>
      <c r="N2726" s="82"/>
    </row>
    <row r="2727" spans="1:14" x14ac:dyDescent="0.25">
      <c r="A2727" s="170" t="s">
        <v>5530</v>
      </c>
      <c r="B2727" s="170" t="s">
        <v>20140</v>
      </c>
      <c r="C2727" s="170" t="s">
        <v>385</v>
      </c>
      <c r="D2727" s="170" t="s">
        <v>2067</v>
      </c>
      <c r="E2727" s="171" t="s">
        <v>21476</v>
      </c>
      <c r="F2727" s="171" t="s">
        <v>18548</v>
      </c>
      <c r="G2727" s="82"/>
      <c r="H2727" s="96">
        <f t="shared" si="168"/>
        <v>10.130000000000001</v>
      </c>
      <c r="I2727" s="96">
        <f t="shared" si="168"/>
        <v>10.74</v>
      </c>
      <c r="J2727" s="91" t="str">
        <f t="shared" si="169"/>
        <v>Sinapi 91831</v>
      </c>
      <c r="K2727" s="91" t="str">
        <f t="shared" si="170"/>
        <v>M</v>
      </c>
      <c r="L2727" s="166" t="str">
        <f t="shared" si="171"/>
        <v>03/2023</v>
      </c>
      <c r="M2727" s="82"/>
      <c r="N2727" s="82"/>
    </row>
    <row r="2728" spans="1:14" x14ac:dyDescent="0.25">
      <c r="A2728" s="170" t="s">
        <v>5531</v>
      </c>
      <c r="B2728" s="170" t="s">
        <v>20141</v>
      </c>
      <c r="C2728" s="170" t="s">
        <v>385</v>
      </c>
      <c r="D2728" s="170" t="s">
        <v>2067</v>
      </c>
      <c r="E2728" s="171" t="s">
        <v>15663</v>
      </c>
      <c r="F2728" s="171" t="s">
        <v>21111</v>
      </c>
      <c r="G2728" s="82"/>
      <c r="H2728" s="96">
        <f t="shared" si="168"/>
        <v>10.86</v>
      </c>
      <c r="I2728" s="96">
        <f t="shared" si="168"/>
        <v>11.47</v>
      </c>
      <c r="J2728" s="91" t="str">
        <f t="shared" si="169"/>
        <v>Sinapi 91833</v>
      </c>
      <c r="K2728" s="91" t="str">
        <f t="shared" si="170"/>
        <v>M</v>
      </c>
      <c r="L2728" s="166" t="str">
        <f t="shared" si="171"/>
        <v>03/2023</v>
      </c>
      <c r="M2728" s="82"/>
      <c r="N2728" s="82"/>
    </row>
    <row r="2729" spans="1:14" x14ac:dyDescent="0.25">
      <c r="A2729" s="170" t="s">
        <v>5532</v>
      </c>
      <c r="B2729" s="170" t="s">
        <v>20142</v>
      </c>
      <c r="C2729" s="170" t="s">
        <v>385</v>
      </c>
      <c r="D2729" s="170" t="s">
        <v>2067</v>
      </c>
      <c r="E2729" s="171" t="s">
        <v>23099</v>
      </c>
      <c r="F2729" s="171" t="s">
        <v>19290</v>
      </c>
      <c r="G2729" s="82"/>
      <c r="H2729" s="96">
        <f t="shared" si="168"/>
        <v>10.88</v>
      </c>
      <c r="I2729" s="96">
        <f t="shared" si="168"/>
        <v>11.54</v>
      </c>
      <c r="J2729" s="91" t="str">
        <f t="shared" si="169"/>
        <v>Sinapi 91834</v>
      </c>
      <c r="K2729" s="91" t="str">
        <f t="shared" si="170"/>
        <v>M</v>
      </c>
      <c r="L2729" s="166" t="str">
        <f t="shared" si="171"/>
        <v>03/2023</v>
      </c>
      <c r="M2729" s="82"/>
      <c r="N2729" s="82"/>
    </row>
    <row r="2730" spans="1:14" x14ac:dyDescent="0.25">
      <c r="A2730" s="170" t="s">
        <v>5533</v>
      </c>
      <c r="B2730" s="170" t="s">
        <v>20143</v>
      </c>
      <c r="C2730" s="170" t="s">
        <v>385</v>
      </c>
      <c r="D2730" s="170" t="s">
        <v>2067</v>
      </c>
      <c r="E2730" s="171" t="s">
        <v>21367</v>
      </c>
      <c r="F2730" s="171" t="s">
        <v>19963</v>
      </c>
      <c r="G2730" s="82"/>
      <c r="H2730" s="96">
        <f t="shared" si="168"/>
        <v>12.77</v>
      </c>
      <c r="I2730" s="96">
        <f t="shared" si="168"/>
        <v>13.43</v>
      </c>
      <c r="J2730" s="91" t="str">
        <f t="shared" si="169"/>
        <v>Sinapi 91835</v>
      </c>
      <c r="K2730" s="91" t="str">
        <f t="shared" si="170"/>
        <v>M</v>
      </c>
      <c r="L2730" s="166" t="str">
        <f t="shared" si="171"/>
        <v>03/2023</v>
      </c>
      <c r="M2730" s="82"/>
      <c r="N2730" s="82"/>
    </row>
    <row r="2731" spans="1:14" x14ac:dyDescent="0.25">
      <c r="A2731" s="170" t="s">
        <v>5534</v>
      </c>
      <c r="B2731" s="170" t="s">
        <v>20144</v>
      </c>
      <c r="C2731" s="170" t="s">
        <v>385</v>
      </c>
      <c r="D2731" s="170" t="s">
        <v>2067</v>
      </c>
      <c r="E2731" s="171" t="s">
        <v>11117</v>
      </c>
      <c r="F2731" s="171" t="s">
        <v>10408</v>
      </c>
      <c r="G2731" s="82"/>
      <c r="H2731" s="96">
        <f t="shared" si="168"/>
        <v>14.05</v>
      </c>
      <c r="I2731" s="96">
        <f t="shared" si="168"/>
        <v>14.77</v>
      </c>
      <c r="J2731" s="91" t="str">
        <f t="shared" si="169"/>
        <v>Sinapi 91836</v>
      </c>
      <c r="K2731" s="91" t="str">
        <f t="shared" si="170"/>
        <v>M</v>
      </c>
      <c r="L2731" s="166" t="str">
        <f t="shared" si="171"/>
        <v>03/2023</v>
      </c>
      <c r="M2731" s="82"/>
      <c r="N2731" s="82"/>
    </row>
    <row r="2732" spans="1:14" x14ac:dyDescent="0.25">
      <c r="A2732" s="170" t="s">
        <v>5536</v>
      </c>
      <c r="B2732" s="170" t="s">
        <v>20145</v>
      </c>
      <c r="C2732" s="170" t="s">
        <v>385</v>
      </c>
      <c r="D2732" s="170" t="s">
        <v>2067</v>
      </c>
      <c r="E2732" s="171" t="s">
        <v>23142</v>
      </c>
      <c r="F2732" s="171" t="s">
        <v>28852</v>
      </c>
      <c r="G2732" s="82"/>
      <c r="H2732" s="96">
        <f t="shared" si="168"/>
        <v>18.45</v>
      </c>
      <c r="I2732" s="96">
        <f t="shared" si="168"/>
        <v>19.170000000000002</v>
      </c>
      <c r="J2732" s="91" t="str">
        <f t="shared" si="169"/>
        <v>Sinapi 91837</v>
      </c>
      <c r="K2732" s="91" t="str">
        <f t="shared" si="170"/>
        <v>M</v>
      </c>
      <c r="L2732" s="166" t="str">
        <f t="shared" si="171"/>
        <v>03/2023</v>
      </c>
      <c r="M2732" s="82"/>
      <c r="N2732" s="82"/>
    </row>
    <row r="2733" spans="1:14" x14ac:dyDescent="0.25">
      <c r="A2733" s="170" t="s">
        <v>5537</v>
      </c>
      <c r="B2733" s="170" t="s">
        <v>20146</v>
      </c>
      <c r="C2733" s="170" t="s">
        <v>385</v>
      </c>
      <c r="D2733" s="170" t="s">
        <v>1947</v>
      </c>
      <c r="E2733" s="171" t="s">
        <v>15663</v>
      </c>
      <c r="F2733" s="171" t="s">
        <v>24865</v>
      </c>
      <c r="G2733" s="82"/>
      <c r="H2733" s="96">
        <f t="shared" si="168"/>
        <v>10.86</v>
      </c>
      <c r="I2733" s="96">
        <f t="shared" si="168"/>
        <v>11.58</v>
      </c>
      <c r="J2733" s="91" t="str">
        <f t="shared" si="169"/>
        <v>Sinapi 91839</v>
      </c>
      <c r="K2733" s="91" t="str">
        <f t="shared" si="170"/>
        <v>M</v>
      </c>
      <c r="L2733" s="166" t="str">
        <f t="shared" si="171"/>
        <v>03/2023</v>
      </c>
      <c r="M2733" s="82"/>
      <c r="N2733" s="82"/>
    </row>
    <row r="2734" spans="1:14" x14ac:dyDescent="0.25">
      <c r="A2734" s="170" t="s">
        <v>5538</v>
      </c>
      <c r="B2734" s="170" t="s">
        <v>20147</v>
      </c>
      <c r="C2734" s="170" t="s">
        <v>385</v>
      </c>
      <c r="D2734" s="170" t="s">
        <v>1947</v>
      </c>
      <c r="E2734" s="171" t="s">
        <v>13650</v>
      </c>
      <c r="F2734" s="171" t="s">
        <v>11606</v>
      </c>
      <c r="G2734" s="82"/>
      <c r="H2734" s="96">
        <f t="shared" si="168"/>
        <v>13.17</v>
      </c>
      <c r="I2734" s="96">
        <f t="shared" si="168"/>
        <v>13.99</v>
      </c>
      <c r="J2734" s="91" t="str">
        <f t="shared" si="169"/>
        <v>Sinapi 91840</v>
      </c>
      <c r="K2734" s="91" t="str">
        <f t="shared" si="170"/>
        <v>M</v>
      </c>
      <c r="L2734" s="166" t="str">
        <f t="shared" si="171"/>
        <v>03/2023</v>
      </c>
      <c r="M2734" s="82"/>
      <c r="N2734" s="82"/>
    </row>
    <row r="2735" spans="1:14" x14ac:dyDescent="0.25">
      <c r="A2735" s="170" t="s">
        <v>5539</v>
      </c>
      <c r="B2735" s="170" t="s">
        <v>20148</v>
      </c>
      <c r="C2735" s="170" t="s">
        <v>385</v>
      </c>
      <c r="D2735" s="170" t="s">
        <v>1947</v>
      </c>
      <c r="E2735" s="171" t="s">
        <v>15631</v>
      </c>
      <c r="F2735" s="171" t="s">
        <v>25202</v>
      </c>
      <c r="G2735" s="82"/>
      <c r="H2735" s="96">
        <f t="shared" si="168"/>
        <v>12.47</v>
      </c>
      <c r="I2735" s="96">
        <f t="shared" si="168"/>
        <v>13.29</v>
      </c>
      <c r="J2735" s="91" t="str">
        <f t="shared" si="169"/>
        <v>Sinapi 91841</v>
      </c>
      <c r="K2735" s="91" t="str">
        <f t="shared" si="170"/>
        <v>M</v>
      </c>
      <c r="L2735" s="166" t="str">
        <f t="shared" si="171"/>
        <v>03/2023</v>
      </c>
      <c r="M2735" s="82"/>
      <c r="N2735" s="82"/>
    </row>
    <row r="2736" spans="1:14" x14ac:dyDescent="0.25">
      <c r="A2736" s="170" t="s">
        <v>5540</v>
      </c>
      <c r="B2736" s="170" t="s">
        <v>20149</v>
      </c>
      <c r="C2736" s="170" t="s">
        <v>385</v>
      </c>
      <c r="D2736" s="170" t="s">
        <v>2067</v>
      </c>
      <c r="E2736" s="171" t="s">
        <v>23381</v>
      </c>
      <c r="F2736" s="171" t="s">
        <v>29470</v>
      </c>
      <c r="G2736" s="82"/>
      <c r="H2736" s="96">
        <f t="shared" si="168"/>
        <v>5.98</v>
      </c>
      <c r="I2736" s="96">
        <f t="shared" si="168"/>
        <v>6.27</v>
      </c>
      <c r="J2736" s="91" t="str">
        <f t="shared" si="169"/>
        <v>Sinapi 91842</v>
      </c>
      <c r="K2736" s="91" t="str">
        <f t="shared" si="170"/>
        <v>M</v>
      </c>
      <c r="L2736" s="166" t="str">
        <f t="shared" si="171"/>
        <v>03/2023</v>
      </c>
      <c r="M2736" s="82"/>
      <c r="N2736" s="82"/>
    </row>
    <row r="2737" spans="1:14" x14ac:dyDescent="0.25">
      <c r="A2737" s="170" t="s">
        <v>5541</v>
      </c>
      <c r="B2737" s="170" t="s">
        <v>20150</v>
      </c>
      <c r="C2737" s="170" t="s">
        <v>385</v>
      </c>
      <c r="D2737" s="170" t="s">
        <v>2067</v>
      </c>
      <c r="E2737" s="171" t="s">
        <v>23103</v>
      </c>
      <c r="F2737" s="171" t="s">
        <v>20975</v>
      </c>
      <c r="G2737" s="82"/>
      <c r="H2737" s="96">
        <f t="shared" si="168"/>
        <v>6.71</v>
      </c>
      <c r="I2737" s="96">
        <f t="shared" si="168"/>
        <v>7</v>
      </c>
      <c r="J2737" s="91" t="str">
        <f t="shared" si="169"/>
        <v>Sinapi 91843</v>
      </c>
      <c r="K2737" s="91" t="str">
        <f t="shared" si="170"/>
        <v>M</v>
      </c>
      <c r="L2737" s="166" t="str">
        <f t="shared" si="171"/>
        <v>03/2023</v>
      </c>
      <c r="M2737" s="82"/>
      <c r="N2737" s="82"/>
    </row>
    <row r="2738" spans="1:14" x14ac:dyDescent="0.25">
      <c r="A2738" s="170" t="s">
        <v>5542</v>
      </c>
      <c r="B2738" s="170" t="s">
        <v>20151</v>
      </c>
      <c r="C2738" s="170" t="s">
        <v>385</v>
      </c>
      <c r="D2738" s="170" t="s">
        <v>2067</v>
      </c>
      <c r="E2738" s="171" t="s">
        <v>3792</v>
      </c>
      <c r="F2738" s="171" t="s">
        <v>22714</v>
      </c>
      <c r="G2738" s="82"/>
      <c r="H2738" s="96">
        <f t="shared" si="168"/>
        <v>6.69</v>
      </c>
      <c r="I2738" s="96">
        <f t="shared" si="168"/>
        <v>7.02</v>
      </c>
      <c r="J2738" s="91" t="str">
        <f t="shared" si="169"/>
        <v>Sinapi 91844</v>
      </c>
      <c r="K2738" s="91" t="str">
        <f t="shared" si="170"/>
        <v>M</v>
      </c>
      <c r="L2738" s="166" t="str">
        <f t="shared" si="171"/>
        <v>03/2023</v>
      </c>
      <c r="M2738" s="82"/>
      <c r="N2738" s="82"/>
    </row>
    <row r="2739" spans="1:14" x14ac:dyDescent="0.25">
      <c r="A2739" s="170" t="s">
        <v>5543</v>
      </c>
      <c r="B2739" s="170" t="s">
        <v>20152</v>
      </c>
      <c r="C2739" s="170" t="s">
        <v>385</v>
      </c>
      <c r="D2739" s="170" t="s">
        <v>2067</v>
      </c>
      <c r="E2739" s="171" t="s">
        <v>18596</v>
      </c>
      <c r="F2739" s="171" t="s">
        <v>15757</v>
      </c>
      <c r="G2739" s="82"/>
      <c r="H2739" s="96">
        <f t="shared" si="168"/>
        <v>8.58</v>
      </c>
      <c r="I2739" s="96">
        <f t="shared" si="168"/>
        <v>8.91</v>
      </c>
      <c r="J2739" s="91" t="str">
        <f t="shared" si="169"/>
        <v>Sinapi 91845</v>
      </c>
      <c r="K2739" s="91" t="str">
        <f t="shared" si="170"/>
        <v>M</v>
      </c>
      <c r="L2739" s="166" t="str">
        <f t="shared" si="171"/>
        <v>03/2023</v>
      </c>
      <c r="M2739" s="82"/>
      <c r="N2739" s="82"/>
    </row>
    <row r="2740" spans="1:14" x14ac:dyDescent="0.25">
      <c r="A2740" s="170" t="s">
        <v>5545</v>
      </c>
      <c r="B2740" s="170" t="s">
        <v>20153</v>
      </c>
      <c r="C2740" s="170" t="s">
        <v>385</v>
      </c>
      <c r="D2740" s="170" t="s">
        <v>2067</v>
      </c>
      <c r="E2740" s="171" t="s">
        <v>18134</v>
      </c>
      <c r="F2740" s="171" t="s">
        <v>6899</v>
      </c>
      <c r="G2740" s="82"/>
      <c r="H2740" s="96">
        <f t="shared" si="168"/>
        <v>9.91</v>
      </c>
      <c r="I2740" s="96">
        <f t="shared" si="168"/>
        <v>10.31</v>
      </c>
      <c r="J2740" s="91" t="str">
        <f t="shared" si="169"/>
        <v>Sinapi 91846</v>
      </c>
      <c r="K2740" s="91" t="str">
        <f t="shared" si="170"/>
        <v>M</v>
      </c>
      <c r="L2740" s="166" t="str">
        <f t="shared" si="171"/>
        <v>03/2023</v>
      </c>
      <c r="M2740" s="82"/>
      <c r="N2740" s="82"/>
    </row>
    <row r="2741" spans="1:14" x14ac:dyDescent="0.25">
      <c r="A2741" s="170" t="s">
        <v>5546</v>
      </c>
      <c r="B2741" s="170" t="s">
        <v>20154</v>
      </c>
      <c r="C2741" s="170" t="s">
        <v>385</v>
      </c>
      <c r="D2741" s="170" t="s">
        <v>2067</v>
      </c>
      <c r="E2741" s="171" t="s">
        <v>22892</v>
      </c>
      <c r="F2741" s="171" t="s">
        <v>22956</v>
      </c>
      <c r="G2741" s="82"/>
      <c r="H2741" s="96">
        <f t="shared" si="168"/>
        <v>14.31</v>
      </c>
      <c r="I2741" s="96">
        <f t="shared" si="168"/>
        <v>14.71</v>
      </c>
      <c r="J2741" s="91" t="str">
        <f t="shared" si="169"/>
        <v>Sinapi 91847</v>
      </c>
      <c r="K2741" s="91" t="str">
        <f t="shared" si="170"/>
        <v>M</v>
      </c>
      <c r="L2741" s="166" t="str">
        <f t="shared" si="171"/>
        <v>03/2023</v>
      </c>
      <c r="M2741" s="82"/>
      <c r="N2741" s="82"/>
    </row>
    <row r="2742" spans="1:14" x14ac:dyDescent="0.25">
      <c r="A2742" s="170" t="s">
        <v>5547</v>
      </c>
      <c r="B2742" s="170" t="s">
        <v>20155</v>
      </c>
      <c r="C2742" s="170" t="s">
        <v>385</v>
      </c>
      <c r="D2742" s="170" t="s">
        <v>1947</v>
      </c>
      <c r="E2742" s="171" t="s">
        <v>17490</v>
      </c>
      <c r="F2742" s="171" t="s">
        <v>19412</v>
      </c>
      <c r="G2742" s="82"/>
      <c r="H2742" s="96">
        <f t="shared" si="168"/>
        <v>6.72</v>
      </c>
      <c r="I2742" s="96">
        <f t="shared" si="168"/>
        <v>7.12</v>
      </c>
      <c r="J2742" s="91" t="str">
        <f t="shared" si="169"/>
        <v>Sinapi 91849</v>
      </c>
      <c r="K2742" s="91" t="str">
        <f t="shared" si="170"/>
        <v>M</v>
      </c>
      <c r="L2742" s="166" t="str">
        <f t="shared" si="171"/>
        <v>03/2023</v>
      </c>
      <c r="M2742" s="82"/>
      <c r="N2742" s="82"/>
    </row>
    <row r="2743" spans="1:14" x14ac:dyDescent="0.25">
      <c r="A2743" s="170" t="s">
        <v>5548</v>
      </c>
      <c r="B2743" s="170" t="s">
        <v>20156</v>
      </c>
      <c r="C2743" s="170" t="s">
        <v>385</v>
      </c>
      <c r="D2743" s="170" t="s">
        <v>1947</v>
      </c>
      <c r="E2743" s="171" t="s">
        <v>12328</v>
      </c>
      <c r="F2743" s="171" t="s">
        <v>23143</v>
      </c>
      <c r="G2743" s="82"/>
      <c r="H2743" s="96">
        <f t="shared" si="168"/>
        <v>8.99</v>
      </c>
      <c r="I2743" s="96">
        <f t="shared" si="168"/>
        <v>9.49</v>
      </c>
      <c r="J2743" s="91" t="str">
        <f t="shared" si="169"/>
        <v>Sinapi 91850</v>
      </c>
      <c r="K2743" s="91" t="str">
        <f t="shared" si="170"/>
        <v>M</v>
      </c>
      <c r="L2743" s="166" t="str">
        <f t="shared" si="171"/>
        <v>03/2023</v>
      </c>
      <c r="M2743" s="82"/>
      <c r="N2743" s="82"/>
    </row>
    <row r="2744" spans="1:14" x14ac:dyDescent="0.25">
      <c r="A2744" s="170" t="s">
        <v>5549</v>
      </c>
      <c r="B2744" s="170" t="s">
        <v>20157</v>
      </c>
      <c r="C2744" s="170" t="s">
        <v>385</v>
      </c>
      <c r="D2744" s="170" t="s">
        <v>1947</v>
      </c>
      <c r="E2744" s="171" t="s">
        <v>19909</v>
      </c>
      <c r="F2744" s="171" t="s">
        <v>17145</v>
      </c>
      <c r="G2744" s="82"/>
      <c r="H2744" s="96">
        <f t="shared" si="168"/>
        <v>8.2899999999999991</v>
      </c>
      <c r="I2744" s="96">
        <f t="shared" si="168"/>
        <v>8.7899999999999991</v>
      </c>
      <c r="J2744" s="91" t="str">
        <f t="shared" si="169"/>
        <v>Sinapi 91851</v>
      </c>
      <c r="K2744" s="91" t="str">
        <f t="shared" si="170"/>
        <v>M</v>
      </c>
      <c r="L2744" s="166" t="str">
        <f t="shared" si="171"/>
        <v>03/2023</v>
      </c>
      <c r="M2744" s="82"/>
      <c r="N2744" s="82"/>
    </row>
    <row r="2745" spans="1:14" x14ac:dyDescent="0.25">
      <c r="A2745" s="170" t="s">
        <v>5550</v>
      </c>
      <c r="B2745" s="170" t="s">
        <v>20158</v>
      </c>
      <c r="C2745" s="170" t="s">
        <v>385</v>
      </c>
      <c r="D2745" s="170" t="s">
        <v>2067</v>
      </c>
      <c r="E2745" s="171" t="s">
        <v>17274</v>
      </c>
      <c r="F2745" s="171" t="s">
        <v>12328</v>
      </c>
      <c r="G2745" s="82"/>
      <c r="H2745" s="96">
        <f t="shared" si="168"/>
        <v>8.4</v>
      </c>
      <c r="I2745" s="96">
        <f t="shared" si="168"/>
        <v>8.99</v>
      </c>
      <c r="J2745" s="91" t="str">
        <f t="shared" si="169"/>
        <v>Sinapi 91852</v>
      </c>
      <c r="K2745" s="91" t="str">
        <f t="shared" si="170"/>
        <v>M</v>
      </c>
      <c r="L2745" s="166" t="str">
        <f t="shared" si="171"/>
        <v>03/2023</v>
      </c>
      <c r="M2745" s="82"/>
      <c r="N2745" s="82"/>
    </row>
    <row r="2746" spans="1:14" x14ac:dyDescent="0.25">
      <c r="A2746" s="170" t="s">
        <v>5551</v>
      </c>
      <c r="B2746" s="170" t="s">
        <v>20159</v>
      </c>
      <c r="C2746" s="170" t="s">
        <v>385</v>
      </c>
      <c r="D2746" s="170" t="s">
        <v>2067</v>
      </c>
      <c r="E2746" s="171" t="s">
        <v>12105</v>
      </c>
      <c r="F2746" s="171" t="s">
        <v>19910</v>
      </c>
      <c r="G2746" s="82"/>
      <c r="H2746" s="96">
        <f t="shared" si="168"/>
        <v>9.08</v>
      </c>
      <c r="I2746" s="96">
        <f t="shared" si="168"/>
        <v>9.67</v>
      </c>
      <c r="J2746" s="91" t="str">
        <f t="shared" si="169"/>
        <v>Sinapi 91853</v>
      </c>
      <c r="K2746" s="91" t="str">
        <f t="shared" si="170"/>
        <v>M</v>
      </c>
      <c r="L2746" s="166" t="str">
        <f t="shared" si="171"/>
        <v>03/2023</v>
      </c>
      <c r="M2746" s="82"/>
      <c r="N2746" s="82"/>
    </row>
    <row r="2747" spans="1:14" x14ac:dyDescent="0.25">
      <c r="A2747" s="170" t="s">
        <v>5552</v>
      </c>
      <c r="B2747" s="170" t="s">
        <v>20160</v>
      </c>
      <c r="C2747" s="170" t="s">
        <v>385</v>
      </c>
      <c r="D2747" s="170" t="s">
        <v>2067</v>
      </c>
      <c r="E2747" s="171" t="s">
        <v>12105</v>
      </c>
      <c r="F2747" s="171" t="s">
        <v>19269</v>
      </c>
      <c r="G2747" s="82"/>
      <c r="H2747" s="96">
        <f t="shared" si="168"/>
        <v>9.08</v>
      </c>
      <c r="I2747" s="96">
        <f t="shared" si="168"/>
        <v>9.73</v>
      </c>
      <c r="J2747" s="91" t="str">
        <f t="shared" si="169"/>
        <v>Sinapi 91854</v>
      </c>
      <c r="K2747" s="91" t="str">
        <f t="shared" si="170"/>
        <v>M</v>
      </c>
      <c r="L2747" s="166" t="str">
        <f t="shared" si="171"/>
        <v>03/2023</v>
      </c>
      <c r="M2747" s="82"/>
      <c r="N2747" s="82"/>
    </row>
    <row r="2748" spans="1:14" x14ac:dyDescent="0.25">
      <c r="A2748" s="170" t="s">
        <v>5553</v>
      </c>
      <c r="B2748" s="170" t="s">
        <v>20161</v>
      </c>
      <c r="C2748" s="170" t="s">
        <v>385</v>
      </c>
      <c r="D2748" s="170" t="s">
        <v>2067</v>
      </c>
      <c r="E2748" s="171" t="s">
        <v>19961</v>
      </c>
      <c r="F2748" s="171" t="s">
        <v>15698</v>
      </c>
      <c r="G2748" s="82"/>
      <c r="H2748" s="96">
        <f t="shared" si="168"/>
        <v>10.83</v>
      </c>
      <c r="I2748" s="96">
        <f t="shared" si="168"/>
        <v>11.48</v>
      </c>
      <c r="J2748" s="91" t="str">
        <f t="shared" si="169"/>
        <v>Sinapi 91855</v>
      </c>
      <c r="K2748" s="91" t="str">
        <f t="shared" si="170"/>
        <v>M</v>
      </c>
      <c r="L2748" s="166" t="str">
        <f t="shared" si="171"/>
        <v>03/2023</v>
      </c>
      <c r="M2748" s="82"/>
      <c r="N2748" s="82"/>
    </row>
    <row r="2749" spans="1:14" x14ac:dyDescent="0.25">
      <c r="A2749" s="170" t="s">
        <v>5554</v>
      </c>
      <c r="B2749" s="170" t="s">
        <v>20162</v>
      </c>
      <c r="C2749" s="170" t="s">
        <v>385</v>
      </c>
      <c r="D2749" s="170" t="s">
        <v>2067</v>
      </c>
      <c r="E2749" s="171" t="s">
        <v>12288</v>
      </c>
      <c r="F2749" s="171" t="s">
        <v>22048</v>
      </c>
      <c r="G2749" s="82"/>
      <c r="H2749" s="96">
        <f t="shared" si="168"/>
        <v>12.1</v>
      </c>
      <c r="I2749" s="96">
        <f t="shared" si="168"/>
        <v>12.82</v>
      </c>
      <c r="J2749" s="91" t="str">
        <f t="shared" si="169"/>
        <v>Sinapi 91856</v>
      </c>
      <c r="K2749" s="91" t="str">
        <f t="shared" si="170"/>
        <v>M</v>
      </c>
      <c r="L2749" s="166" t="str">
        <f t="shared" si="171"/>
        <v>03/2023</v>
      </c>
      <c r="M2749" s="82"/>
      <c r="N2749" s="82"/>
    </row>
    <row r="2750" spans="1:14" x14ac:dyDescent="0.25">
      <c r="A2750" s="170" t="s">
        <v>5555</v>
      </c>
      <c r="B2750" s="170" t="s">
        <v>20163</v>
      </c>
      <c r="C2750" s="170" t="s">
        <v>385</v>
      </c>
      <c r="D2750" s="170" t="s">
        <v>2067</v>
      </c>
      <c r="E2750" s="171" t="s">
        <v>17945</v>
      </c>
      <c r="F2750" s="171" t="s">
        <v>20026</v>
      </c>
      <c r="G2750" s="82"/>
      <c r="H2750" s="96">
        <f t="shared" si="168"/>
        <v>16.170000000000002</v>
      </c>
      <c r="I2750" s="96">
        <f t="shared" si="168"/>
        <v>16.89</v>
      </c>
      <c r="J2750" s="91" t="str">
        <f t="shared" si="169"/>
        <v>Sinapi 91857</v>
      </c>
      <c r="K2750" s="91" t="str">
        <f t="shared" si="170"/>
        <v>M</v>
      </c>
      <c r="L2750" s="166" t="str">
        <f t="shared" si="171"/>
        <v>03/2023</v>
      </c>
      <c r="M2750" s="82"/>
      <c r="N2750" s="82"/>
    </row>
    <row r="2751" spans="1:14" x14ac:dyDescent="0.25">
      <c r="A2751" s="170" t="s">
        <v>5556</v>
      </c>
      <c r="B2751" s="170" t="s">
        <v>20164</v>
      </c>
      <c r="C2751" s="170" t="s">
        <v>385</v>
      </c>
      <c r="D2751" s="170" t="s">
        <v>1947</v>
      </c>
      <c r="E2751" s="171" t="s">
        <v>5207</v>
      </c>
      <c r="F2751" s="171" t="s">
        <v>28560</v>
      </c>
      <c r="G2751" s="82"/>
      <c r="H2751" s="96">
        <f t="shared" si="168"/>
        <v>9.15</v>
      </c>
      <c r="I2751" s="96">
        <f t="shared" si="168"/>
        <v>9.8699999999999992</v>
      </c>
      <c r="J2751" s="91" t="str">
        <f t="shared" si="169"/>
        <v>Sinapi 91859</v>
      </c>
      <c r="K2751" s="91" t="str">
        <f t="shared" si="170"/>
        <v>M</v>
      </c>
      <c r="L2751" s="166" t="str">
        <f t="shared" si="171"/>
        <v>03/2023</v>
      </c>
      <c r="M2751" s="82"/>
      <c r="N2751" s="82"/>
    </row>
    <row r="2752" spans="1:14" x14ac:dyDescent="0.25">
      <c r="A2752" s="170" t="s">
        <v>5557</v>
      </c>
      <c r="B2752" s="170" t="s">
        <v>20165</v>
      </c>
      <c r="C2752" s="170" t="s">
        <v>385</v>
      </c>
      <c r="D2752" s="170" t="s">
        <v>1947</v>
      </c>
      <c r="E2752" s="171" t="s">
        <v>28883</v>
      </c>
      <c r="F2752" s="171" t="s">
        <v>12288</v>
      </c>
      <c r="G2752" s="82"/>
      <c r="H2752" s="96">
        <f t="shared" si="168"/>
        <v>11.29</v>
      </c>
      <c r="I2752" s="96">
        <f t="shared" si="168"/>
        <v>12.1</v>
      </c>
      <c r="J2752" s="91" t="str">
        <f t="shared" si="169"/>
        <v>Sinapi 91860</v>
      </c>
      <c r="K2752" s="91" t="str">
        <f t="shared" si="170"/>
        <v>M</v>
      </c>
      <c r="L2752" s="166" t="str">
        <f t="shared" si="171"/>
        <v>03/2023</v>
      </c>
      <c r="M2752" s="82"/>
      <c r="N2752" s="82"/>
    </row>
    <row r="2753" spans="1:14" x14ac:dyDescent="0.25">
      <c r="A2753" s="170" t="s">
        <v>5558</v>
      </c>
      <c r="B2753" s="170" t="s">
        <v>20166</v>
      </c>
      <c r="C2753" s="170" t="s">
        <v>385</v>
      </c>
      <c r="D2753" s="170" t="s">
        <v>1947</v>
      </c>
      <c r="E2753" s="171" t="s">
        <v>23251</v>
      </c>
      <c r="F2753" s="171" t="s">
        <v>11611</v>
      </c>
      <c r="G2753" s="82"/>
      <c r="H2753" s="96">
        <f t="shared" si="168"/>
        <v>10.65</v>
      </c>
      <c r="I2753" s="96">
        <f t="shared" si="168"/>
        <v>11.46</v>
      </c>
      <c r="J2753" s="91" t="str">
        <f t="shared" si="169"/>
        <v>Sinapi 91861</v>
      </c>
      <c r="K2753" s="91" t="str">
        <f t="shared" si="170"/>
        <v>M</v>
      </c>
      <c r="L2753" s="166" t="str">
        <f t="shared" si="171"/>
        <v>03/2023</v>
      </c>
      <c r="M2753" s="82"/>
      <c r="N2753" s="82"/>
    </row>
    <row r="2754" spans="1:14" x14ac:dyDescent="0.25">
      <c r="A2754" s="170" t="s">
        <v>5559</v>
      </c>
      <c r="B2754" s="170" t="s">
        <v>20167</v>
      </c>
      <c r="C2754" s="170" t="s">
        <v>385</v>
      </c>
      <c r="D2754" s="170" t="s">
        <v>2067</v>
      </c>
      <c r="E2754" s="171" t="s">
        <v>14941</v>
      </c>
      <c r="F2754" s="171" t="s">
        <v>17133</v>
      </c>
      <c r="G2754" s="82"/>
      <c r="H2754" s="96">
        <f t="shared" si="168"/>
        <v>9.59</v>
      </c>
      <c r="I2754" s="96">
        <f t="shared" si="168"/>
        <v>10.09</v>
      </c>
      <c r="J2754" s="91" t="str">
        <f t="shared" si="169"/>
        <v>Sinapi 91862</v>
      </c>
      <c r="K2754" s="91" t="str">
        <f t="shared" si="170"/>
        <v>M</v>
      </c>
      <c r="L2754" s="166" t="str">
        <f t="shared" si="171"/>
        <v>03/2023</v>
      </c>
      <c r="M2754" s="82"/>
      <c r="N2754" s="82"/>
    </row>
    <row r="2755" spans="1:14" x14ac:dyDescent="0.25">
      <c r="A2755" s="170" t="s">
        <v>5560</v>
      </c>
      <c r="B2755" s="170" t="s">
        <v>20168</v>
      </c>
      <c r="C2755" s="170" t="s">
        <v>385</v>
      </c>
      <c r="D2755" s="170" t="s">
        <v>2067</v>
      </c>
      <c r="E2755" s="171" t="s">
        <v>21506</v>
      </c>
      <c r="F2755" s="171" t="s">
        <v>29183</v>
      </c>
      <c r="G2755" s="82"/>
      <c r="H2755" s="96">
        <f t="shared" si="168"/>
        <v>11.43</v>
      </c>
      <c r="I2755" s="96">
        <f t="shared" si="168"/>
        <v>12.01</v>
      </c>
      <c r="J2755" s="91" t="str">
        <f t="shared" si="169"/>
        <v>Sinapi 91863</v>
      </c>
      <c r="K2755" s="91" t="str">
        <f t="shared" si="170"/>
        <v>M</v>
      </c>
      <c r="L2755" s="166" t="str">
        <f t="shared" si="171"/>
        <v>03/2023</v>
      </c>
      <c r="M2755" s="82"/>
      <c r="N2755" s="82"/>
    </row>
    <row r="2756" spans="1:14" x14ac:dyDescent="0.25">
      <c r="A2756" s="170" t="s">
        <v>5561</v>
      </c>
      <c r="B2756" s="170" t="s">
        <v>20169</v>
      </c>
      <c r="C2756" s="170" t="s">
        <v>385</v>
      </c>
      <c r="D2756" s="170" t="s">
        <v>2067</v>
      </c>
      <c r="E2756" s="171" t="s">
        <v>21362</v>
      </c>
      <c r="F2756" s="171" t="s">
        <v>33229</v>
      </c>
      <c r="G2756" s="82"/>
      <c r="H2756" s="96">
        <f t="shared" si="168"/>
        <v>15.86</v>
      </c>
      <c r="I2756" s="96">
        <f t="shared" si="168"/>
        <v>16.53</v>
      </c>
      <c r="J2756" s="91" t="str">
        <f t="shared" si="169"/>
        <v>Sinapi 91864</v>
      </c>
      <c r="K2756" s="91" t="str">
        <f t="shared" si="170"/>
        <v>M</v>
      </c>
      <c r="L2756" s="166" t="str">
        <f t="shared" si="171"/>
        <v>03/2023</v>
      </c>
      <c r="M2756" s="82"/>
      <c r="N2756" s="82"/>
    </row>
    <row r="2757" spans="1:14" x14ac:dyDescent="0.25">
      <c r="A2757" s="170" t="s">
        <v>5562</v>
      </c>
      <c r="B2757" s="170" t="s">
        <v>20170</v>
      </c>
      <c r="C2757" s="170" t="s">
        <v>385</v>
      </c>
      <c r="D2757" s="170" t="s">
        <v>2067</v>
      </c>
      <c r="E2757" s="171" t="s">
        <v>18307</v>
      </c>
      <c r="F2757" s="171" t="s">
        <v>21048</v>
      </c>
      <c r="G2757" s="82"/>
      <c r="H2757" s="96">
        <f t="shared" si="168"/>
        <v>20.13</v>
      </c>
      <c r="I2757" s="96">
        <f t="shared" si="168"/>
        <v>20.91</v>
      </c>
      <c r="J2757" s="91" t="str">
        <f t="shared" si="169"/>
        <v>Sinapi 91865</v>
      </c>
      <c r="K2757" s="91" t="str">
        <f t="shared" si="170"/>
        <v>M</v>
      </c>
      <c r="L2757" s="166" t="str">
        <f t="shared" si="171"/>
        <v>03/2023</v>
      </c>
      <c r="M2757" s="82"/>
      <c r="N2757" s="82"/>
    </row>
    <row r="2758" spans="1:14" x14ac:dyDescent="0.25">
      <c r="A2758" s="170" t="s">
        <v>5563</v>
      </c>
      <c r="B2758" s="170" t="s">
        <v>20171</v>
      </c>
      <c r="C2758" s="170" t="s">
        <v>385</v>
      </c>
      <c r="D2758" s="170" t="s">
        <v>2067</v>
      </c>
      <c r="E2758" s="171" t="s">
        <v>13849</v>
      </c>
      <c r="F2758" s="171" t="s">
        <v>29566</v>
      </c>
      <c r="G2758" s="82"/>
      <c r="H2758" s="96">
        <f t="shared" si="168"/>
        <v>8.5500000000000007</v>
      </c>
      <c r="I2758" s="96">
        <f t="shared" si="168"/>
        <v>8.94</v>
      </c>
      <c r="J2758" s="91" t="str">
        <f t="shared" si="169"/>
        <v>Sinapi 91866</v>
      </c>
      <c r="K2758" s="91" t="str">
        <f t="shared" si="170"/>
        <v>M</v>
      </c>
      <c r="L2758" s="166" t="str">
        <f t="shared" si="171"/>
        <v>03/2023</v>
      </c>
      <c r="M2758" s="82"/>
      <c r="N2758" s="82"/>
    </row>
    <row r="2759" spans="1:14" x14ac:dyDescent="0.25">
      <c r="A2759" s="170" t="s">
        <v>5564</v>
      </c>
      <c r="B2759" s="170" t="s">
        <v>20172</v>
      </c>
      <c r="C2759" s="170" t="s">
        <v>385</v>
      </c>
      <c r="D2759" s="170" t="s">
        <v>2067</v>
      </c>
      <c r="E2759" s="171" t="s">
        <v>12326</v>
      </c>
      <c r="F2759" s="171" t="s">
        <v>15663</v>
      </c>
      <c r="G2759" s="82"/>
      <c r="H2759" s="96">
        <f t="shared" si="168"/>
        <v>10.4</v>
      </c>
      <c r="I2759" s="96">
        <f t="shared" si="168"/>
        <v>10.86</v>
      </c>
      <c r="J2759" s="91" t="str">
        <f t="shared" si="169"/>
        <v>Sinapi 91867</v>
      </c>
      <c r="K2759" s="91" t="str">
        <f t="shared" si="170"/>
        <v>M</v>
      </c>
      <c r="L2759" s="166" t="str">
        <f t="shared" si="171"/>
        <v>03/2023</v>
      </c>
      <c r="M2759" s="82"/>
      <c r="N2759" s="82"/>
    </row>
    <row r="2760" spans="1:14" x14ac:dyDescent="0.25">
      <c r="A2760" s="170" t="s">
        <v>5565</v>
      </c>
      <c r="B2760" s="170" t="s">
        <v>20173</v>
      </c>
      <c r="C2760" s="170" t="s">
        <v>385</v>
      </c>
      <c r="D2760" s="170" t="s">
        <v>2067</v>
      </c>
      <c r="E2760" s="171" t="s">
        <v>15713</v>
      </c>
      <c r="F2760" s="171" t="s">
        <v>10255</v>
      </c>
      <c r="G2760" s="82"/>
      <c r="H2760" s="96">
        <f t="shared" ref="H2760:I2823" si="172">IF(E2760="","",E2760+0)</f>
        <v>14.84</v>
      </c>
      <c r="I2760" s="96">
        <f t="shared" si="172"/>
        <v>15.39</v>
      </c>
      <c r="J2760" s="91" t="str">
        <f t="shared" ref="J2760:J2823" si="173">IF(OR(H2760="",I2760=""),"",TRIM(CONCATENATE("Sinapi ",A2760)))</f>
        <v>Sinapi 91868</v>
      </c>
      <c r="K2760" s="91" t="str">
        <f t="shared" ref="K2760:K2823" si="174">TRIM(C2760)</f>
        <v>M</v>
      </c>
      <c r="L2760" s="166" t="str">
        <f t="shared" ref="L2760:L2823" si="175">IF(OR(RIGHT(IF(AND(K2760&lt;&gt;"H",K2760&lt;&gt;"MES"),RIGHT(B2760,7),""),2)="PS",RIGHT(IF(AND(K2760&lt;&gt;"H",K2760&lt;&gt;"MES"),RIGHT(B2760,7),""),2)="PA",RIGHT(IF(AND(K2760&lt;&gt;"H",K2760&lt;&gt;"MES"),RIGHT(B2760,7),""),2)="PE"),LEFT(IF(AND(K2760&lt;&gt;"H",K2760&lt;&gt;"MES"),RIGHT(B2760,10),""),7),IF(AND(K2760&lt;&gt;"H",K2760&lt;&gt;"MES"),RIGHT(B2760,7),""))</f>
        <v>03/2023</v>
      </c>
      <c r="M2760" s="82"/>
      <c r="N2760" s="82"/>
    </row>
    <row r="2761" spans="1:14" x14ac:dyDescent="0.25">
      <c r="A2761" s="170" t="s">
        <v>5567</v>
      </c>
      <c r="B2761" s="170" t="s">
        <v>20174</v>
      </c>
      <c r="C2761" s="170" t="s">
        <v>385</v>
      </c>
      <c r="D2761" s="170" t="s">
        <v>2067</v>
      </c>
      <c r="E2761" s="171" t="s">
        <v>15528</v>
      </c>
      <c r="F2761" s="171" t="s">
        <v>20629</v>
      </c>
      <c r="G2761" s="82"/>
      <c r="H2761" s="96">
        <f t="shared" si="172"/>
        <v>19.079999999999998</v>
      </c>
      <c r="I2761" s="96">
        <f t="shared" si="172"/>
        <v>19.73</v>
      </c>
      <c r="J2761" s="91" t="str">
        <f t="shared" si="173"/>
        <v>Sinapi 91869</v>
      </c>
      <c r="K2761" s="91" t="str">
        <f t="shared" si="174"/>
        <v>M</v>
      </c>
      <c r="L2761" s="166" t="str">
        <f t="shared" si="175"/>
        <v>03/2023</v>
      </c>
      <c r="M2761" s="82"/>
      <c r="N2761" s="82"/>
    </row>
    <row r="2762" spans="1:14" x14ac:dyDescent="0.25">
      <c r="A2762" s="170" t="s">
        <v>5569</v>
      </c>
      <c r="B2762" s="170" t="s">
        <v>20175</v>
      </c>
      <c r="C2762" s="170" t="s">
        <v>385</v>
      </c>
      <c r="D2762" s="170" t="s">
        <v>2067</v>
      </c>
      <c r="E2762" s="171" t="s">
        <v>21523</v>
      </c>
      <c r="F2762" s="171" t="s">
        <v>21163</v>
      </c>
      <c r="G2762" s="82"/>
      <c r="H2762" s="96">
        <f t="shared" si="172"/>
        <v>12.09</v>
      </c>
      <c r="I2762" s="96">
        <f t="shared" si="172"/>
        <v>12.87</v>
      </c>
      <c r="J2762" s="91" t="str">
        <f t="shared" si="173"/>
        <v>Sinapi 91870</v>
      </c>
      <c r="K2762" s="91" t="str">
        <f t="shared" si="174"/>
        <v>M</v>
      </c>
      <c r="L2762" s="166" t="str">
        <f t="shared" si="175"/>
        <v>03/2023</v>
      </c>
      <c r="M2762" s="82"/>
      <c r="N2762" s="82"/>
    </row>
    <row r="2763" spans="1:14" x14ac:dyDescent="0.25">
      <c r="A2763" s="170" t="s">
        <v>5570</v>
      </c>
      <c r="B2763" s="170" t="s">
        <v>20177</v>
      </c>
      <c r="C2763" s="170" t="s">
        <v>385</v>
      </c>
      <c r="D2763" s="170" t="s">
        <v>2067</v>
      </c>
      <c r="E2763" s="171" t="s">
        <v>16287</v>
      </c>
      <c r="F2763" s="171" t="s">
        <v>15855</v>
      </c>
      <c r="G2763" s="82"/>
      <c r="H2763" s="96">
        <f t="shared" si="172"/>
        <v>13.93</v>
      </c>
      <c r="I2763" s="96">
        <f t="shared" si="172"/>
        <v>14.78</v>
      </c>
      <c r="J2763" s="91" t="str">
        <f t="shared" si="173"/>
        <v>Sinapi 91871</v>
      </c>
      <c r="K2763" s="91" t="str">
        <f t="shared" si="174"/>
        <v>M</v>
      </c>
      <c r="L2763" s="166" t="str">
        <f t="shared" si="175"/>
        <v>03/2023</v>
      </c>
      <c r="M2763" s="82"/>
      <c r="N2763" s="82"/>
    </row>
    <row r="2764" spans="1:14" x14ac:dyDescent="0.25">
      <c r="A2764" s="170" t="s">
        <v>5571</v>
      </c>
      <c r="B2764" s="170" t="s">
        <v>20178</v>
      </c>
      <c r="C2764" s="170" t="s">
        <v>385</v>
      </c>
      <c r="D2764" s="170" t="s">
        <v>2067</v>
      </c>
      <c r="E2764" s="171" t="s">
        <v>16373</v>
      </c>
      <c r="F2764" s="171" t="s">
        <v>33540</v>
      </c>
      <c r="G2764" s="82"/>
      <c r="H2764" s="96">
        <f t="shared" si="172"/>
        <v>18.36</v>
      </c>
      <c r="I2764" s="96">
        <f t="shared" si="172"/>
        <v>19.309999999999999</v>
      </c>
      <c r="J2764" s="91" t="str">
        <f t="shared" si="173"/>
        <v>Sinapi 91872</v>
      </c>
      <c r="K2764" s="91" t="str">
        <f t="shared" si="174"/>
        <v>M</v>
      </c>
      <c r="L2764" s="166" t="str">
        <f t="shared" si="175"/>
        <v>03/2023</v>
      </c>
      <c r="M2764" s="82"/>
      <c r="N2764" s="82"/>
    </row>
    <row r="2765" spans="1:14" x14ac:dyDescent="0.25">
      <c r="A2765" s="170" t="s">
        <v>5572</v>
      </c>
      <c r="B2765" s="170" t="s">
        <v>20179</v>
      </c>
      <c r="C2765" s="170" t="s">
        <v>385</v>
      </c>
      <c r="D2765" s="170" t="s">
        <v>2067</v>
      </c>
      <c r="E2765" s="171" t="s">
        <v>21364</v>
      </c>
      <c r="F2765" s="171" t="s">
        <v>20127</v>
      </c>
      <c r="G2765" s="82"/>
      <c r="H2765" s="96">
        <f t="shared" si="172"/>
        <v>22.59</v>
      </c>
      <c r="I2765" s="96">
        <f t="shared" si="172"/>
        <v>23.65</v>
      </c>
      <c r="J2765" s="91" t="str">
        <f t="shared" si="173"/>
        <v>Sinapi 91873</v>
      </c>
      <c r="K2765" s="91" t="str">
        <f t="shared" si="174"/>
        <v>M</v>
      </c>
      <c r="L2765" s="166" t="str">
        <f t="shared" si="175"/>
        <v>03/2023</v>
      </c>
      <c r="M2765" s="82"/>
      <c r="N2765" s="82"/>
    </row>
    <row r="2766" spans="1:14" x14ac:dyDescent="0.25">
      <c r="A2766" s="170" t="s">
        <v>5573</v>
      </c>
      <c r="B2766" s="170" t="s">
        <v>15084</v>
      </c>
      <c r="C2766" s="170" t="s">
        <v>385</v>
      </c>
      <c r="D2766" s="170" t="s">
        <v>2067</v>
      </c>
      <c r="E2766" s="171" t="s">
        <v>22712</v>
      </c>
      <c r="F2766" s="171" t="s">
        <v>22074</v>
      </c>
      <c r="G2766" s="82"/>
      <c r="H2766" s="96">
        <f t="shared" si="172"/>
        <v>20.48</v>
      </c>
      <c r="I2766" s="96">
        <f t="shared" si="172"/>
        <v>21.02</v>
      </c>
      <c r="J2766" s="91" t="str">
        <f t="shared" si="173"/>
        <v>Sinapi 93008</v>
      </c>
      <c r="K2766" s="91" t="str">
        <f t="shared" si="174"/>
        <v>M</v>
      </c>
      <c r="L2766" s="166" t="str">
        <f t="shared" si="175"/>
        <v>12/2021</v>
      </c>
      <c r="M2766" s="82"/>
      <c r="N2766" s="82"/>
    </row>
    <row r="2767" spans="1:14" x14ac:dyDescent="0.25">
      <c r="A2767" s="170" t="s">
        <v>5574</v>
      </c>
      <c r="B2767" s="170" t="s">
        <v>15085</v>
      </c>
      <c r="C2767" s="170" t="s">
        <v>385</v>
      </c>
      <c r="D2767" s="170" t="s">
        <v>2067</v>
      </c>
      <c r="E2767" s="171" t="s">
        <v>29051</v>
      </c>
      <c r="F2767" s="171" t="s">
        <v>20105</v>
      </c>
      <c r="G2767" s="82"/>
      <c r="H2767" s="96">
        <f t="shared" si="172"/>
        <v>31.14</v>
      </c>
      <c r="I2767" s="96">
        <f t="shared" si="172"/>
        <v>31.76</v>
      </c>
      <c r="J2767" s="91" t="str">
        <f t="shared" si="173"/>
        <v>Sinapi 93009</v>
      </c>
      <c r="K2767" s="91" t="str">
        <f t="shared" si="174"/>
        <v>M</v>
      </c>
      <c r="L2767" s="166" t="str">
        <f t="shared" si="175"/>
        <v>12/2021</v>
      </c>
      <c r="M2767" s="82"/>
      <c r="N2767" s="82"/>
    </row>
    <row r="2768" spans="1:14" x14ac:dyDescent="0.25">
      <c r="A2768" s="170" t="s">
        <v>5576</v>
      </c>
      <c r="B2768" s="170" t="s">
        <v>15086</v>
      </c>
      <c r="C2768" s="170" t="s">
        <v>385</v>
      </c>
      <c r="D2768" s="170" t="s">
        <v>2067</v>
      </c>
      <c r="E2768" s="171" t="s">
        <v>23442</v>
      </c>
      <c r="F2768" s="171" t="s">
        <v>36326</v>
      </c>
      <c r="G2768" s="82"/>
      <c r="H2768" s="96">
        <f t="shared" si="172"/>
        <v>43.95</v>
      </c>
      <c r="I2768" s="96">
        <f t="shared" si="172"/>
        <v>44.7</v>
      </c>
      <c r="J2768" s="91" t="str">
        <f t="shared" si="173"/>
        <v>Sinapi 93010</v>
      </c>
      <c r="K2768" s="91" t="str">
        <f t="shared" si="174"/>
        <v>M</v>
      </c>
      <c r="L2768" s="166" t="str">
        <f t="shared" si="175"/>
        <v>12/2021</v>
      </c>
      <c r="M2768" s="82"/>
      <c r="N2768" s="82"/>
    </row>
    <row r="2769" spans="1:14" x14ac:dyDescent="0.25">
      <c r="A2769" s="170" t="s">
        <v>5577</v>
      </c>
      <c r="B2769" s="170" t="s">
        <v>15087</v>
      </c>
      <c r="C2769" s="170" t="s">
        <v>385</v>
      </c>
      <c r="D2769" s="170" t="s">
        <v>2067</v>
      </c>
      <c r="E2769" s="171" t="s">
        <v>29426</v>
      </c>
      <c r="F2769" s="171" t="s">
        <v>36327</v>
      </c>
      <c r="G2769" s="82"/>
      <c r="H2769" s="96">
        <f t="shared" si="172"/>
        <v>54.17</v>
      </c>
      <c r="I2769" s="96">
        <f t="shared" si="172"/>
        <v>55</v>
      </c>
      <c r="J2769" s="91" t="str">
        <f t="shared" si="173"/>
        <v>Sinapi 93011</v>
      </c>
      <c r="K2769" s="91" t="str">
        <f t="shared" si="174"/>
        <v>M</v>
      </c>
      <c r="L2769" s="166" t="str">
        <f t="shared" si="175"/>
        <v>12/2021</v>
      </c>
      <c r="M2769" s="82"/>
      <c r="N2769" s="82"/>
    </row>
    <row r="2770" spans="1:14" x14ac:dyDescent="0.25">
      <c r="A2770" s="170" t="s">
        <v>5578</v>
      </c>
      <c r="B2770" s="170" t="s">
        <v>15088</v>
      </c>
      <c r="C2770" s="170" t="s">
        <v>385</v>
      </c>
      <c r="D2770" s="170" t="s">
        <v>2067</v>
      </c>
      <c r="E2770" s="171" t="s">
        <v>33054</v>
      </c>
      <c r="F2770" s="171" t="s">
        <v>36328</v>
      </c>
      <c r="G2770" s="82"/>
      <c r="H2770" s="96">
        <f t="shared" si="172"/>
        <v>82.94</v>
      </c>
      <c r="I2770" s="96">
        <f t="shared" si="172"/>
        <v>83.96</v>
      </c>
      <c r="J2770" s="91" t="str">
        <f t="shared" si="173"/>
        <v>Sinapi 93012</v>
      </c>
      <c r="K2770" s="91" t="str">
        <f t="shared" si="174"/>
        <v>M</v>
      </c>
      <c r="L2770" s="166" t="str">
        <f t="shared" si="175"/>
        <v>12/2021</v>
      </c>
      <c r="M2770" s="82"/>
      <c r="N2770" s="82"/>
    </row>
    <row r="2771" spans="1:14" x14ac:dyDescent="0.25">
      <c r="A2771" s="170" t="s">
        <v>5579</v>
      </c>
      <c r="B2771" s="170" t="s">
        <v>18135</v>
      </c>
      <c r="C2771" s="170" t="s">
        <v>385</v>
      </c>
      <c r="D2771" s="170" t="s">
        <v>2067</v>
      </c>
      <c r="E2771" s="171" t="s">
        <v>33055</v>
      </c>
      <c r="F2771" s="171" t="s">
        <v>14795</v>
      </c>
      <c r="G2771" s="82"/>
      <c r="H2771" s="96">
        <f t="shared" si="172"/>
        <v>9.19</v>
      </c>
      <c r="I2771" s="96">
        <f t="shared" si="172"/>
        <v>9.7100000000000009</v>
      </c>
      <c r="J2771" s="91" t="str">
        <f t="shared" si="173"/>
        <v>Sinapi 95726</v>
      </c>
      <c r="K2771" s="91" t="str">
        <f t="shared" si="174"/>
        <v>M</v>
      </c>
      <c r="L2771" s="166" t="str">
        <f t="shared" si="175"/>
        <v>10/2022</v>
      </c>
      <c r="M2771" s="82"/>
      <c r="N2771" s="82"/>
    </row>
    <row r="2772" spans="1:14" x14ac:dyDescent="0.25">
      <c r="A2772" s="170" t="s">
        <v>5580</v>
      </c>
      <c r="B2772" s="170" t="s">
        <v>18136</v>
      </c>
      <c r="C2772" s="170" t="s">
        <v>385</v>
      </c>
      <c r="D2772" s="170" t="s">
        <v>2067</v>
      </c>
      <c r="E2772" s="171" t="s">
        <v>20035</v>
      </c>
      <c r="F2772" s="171" t="s">
        <v>6491</v>
      </c>
      <c r="G2772" s="82"/>
      <c r="H2772" s="96">
        <f t="shared" si="172"/>
        <v>12.46</v>
      </c>
      <c r="I2772" s="96">
        <f t="shared" si="172"/>
        <v>13.26</v>
      </c>
      <c r="J2772" s="91" t="str">
        <f t="shared" si="173"/>
        <v>Sinapi 95727</v>
      </c>
      <c r="K2772" s="91" t="str">
        <f t="shared" si="174"/>
        <v>M</v>
      </c>
      <c r="L2772" s="166" t="str">
        <f t="shared" si="175"/>
        <v>10/2022</v>
      </c>
      <c r="M2772" s="82"/>
      <c r="N2772" s="82"/>
    </row>
    <row r="2773" spans="1:14" x14ac:dyDescent="0.25">
      <c r="A2773" s="170" t="s">
        <v>5581</v>
      </c>
      <c r="B2773" s="170" t="s">
        <v>18137</v>
      </c>
      <c r="C2773" s="170" t="s">
        <v>385</v>
      </c>
      <c r="D2773" s="170" t="s">
        <v>2067</v>
      </c>
      <c r="E2773" s="171" t="s">
        <v>19324</v>
      </c>
      <c r="F2773" s="171" t="s">
        <v>16340</v>
      </c>
      <c r="G2773" s="82"/>
      <c r="H2773" s="96">
        <f t="shared" si="172"/>
        <v>18.02</v>
      </c>
      <c r="I2773" s="96">
        <f t="shared" si="172"/>
        <v>19.22</v>
      </c>
      <c r="J2773" s="91" t="str">
        <f t="shared" si="173"/>
        <v>Sinapi 95728</v>
      </c>
      <c r="K2773" s="91" t="str">
        <f t="shared" si="174"/>
        <v>M</v>
      </c>
      <c r="L2773" s="166" t="str">
        <f t="shared" si="175"/>
        <v>10/2022</v>
      </c>
      <c r="M2773" s="82"/>
      <c r="N2773" s="82"/>
    </row>
    <row r="2774" spans="1:14" x14ac:dyDescent="0.25">
      <c r="A2774" s="170" t="s">
        <v>5583</v>
      </c>
      <c r="B2774" s="170" t="s">
        <v>15089</v>
      </c>
      <c r="C2774" s="170" t="s">
        <v>385</v>
      </c>
      <c r="D2774" s="170" t="s">
        <v>1947</v>
      </c>
      <c r="E2774" s="171" t="s">
        <v>10254</v>
      </c>
      <c r="F2774" s="171" t="s">
        <v>29875</v>
      </c>
      <c r="G2774" s="82"/>
      <c r="H2774" s="96">
        <f t="shared" si="172"/>
        <v>8.06</v>
      </c>
      <c r="I2774" s="96">
        <f t="shared" si="172"/>
        <v>8.3800000000000008</v>
      </c>
      <c r="J2774" s="91" t="str">
        <f t="shared" si="173"/>
        <v>Sinapi 97667</v>
      </c>
      <c r="K2774" s="91" t="str">
        <f t="shared" si="174"/>
        <v>M</v>
      </c>
      <c r="L2774" s="166" t="str">
        <f t="shared" si="175"/>
        <v>12/2021</v>
      </c>
      <c r="M2774" s="82"/>
      <c r="N2774" s="82"/>
    </row>
    <row r="2775" spans="1:14" x14ac:dyDescent="0.25">
      <c r="A2775" s="170" t="s">
        <v>5584</v>
      </c>
      <c r="B2775" s="170" t="s">
        <v>15090</v>
      </c>
      <c r="C2775" s="170" t="s">
        <v>385</v>
      </c>
      <c r="D2775" s="170" t="s">
        <v>1947</v>
      </c>
      <c r="E2775" s="171" t="s">
        <v>21111</v>
      </c>
      <c r="F2775" s="171" t="s">
        <v>20068</v>
      </c>
      <c r="G2775" s="82"/>
      <c r="H2775" s="96">
        <f t="shared" si="172"/>
        <v>11.47</v>
      </c>
      <c r="I2775" s="96">
        <f t="shared" si="172"/>
        <v>11.94</v>
      </c>
      <c r="J2775" s="91" t="str">
        <f t="shared" si="173"/>
        <v>Sinapi 97668</v>
      </c>
      <c r="K2775" s="91" t="str">
        <f t="shared" si="174"/>
        <v>M</v>
      </c>
      <c r="L2775" s="166" t="str">
        <f t="shared" si="175"/>
        <v>12/2021</v>
      </c>
      <c r="M2775" s="82"/>
      <c r="N2775" s="82"/>
    </row>
    <row r="2776" spans="1:14" x14ac:dyDescent="0.25">
      <c r="A2776" s="170" t="s">
        <v>5585</v>
      </c>
      <c r="B2776" s="170" t="s">
        <v>15091</v>
      </c>
      <c r="C2776" s="170" t="s">
        <v>385</v>
      </c>
      <c r="D2776" s="170" t="s">
        <v>1947</v>
      </c>
      <c r="E2776" s="171" t="s">
        <v>20026</v>
      </c>
      <c r="F2776" s="171" t="s">
        <v>29376</v>
      </c>
      <c r="G2776" s="82"/>
      <c r="H2776" s="96">
        <f t="shared" si="172"/>
        <v>16.89</v>
      </c>
      <c r="I2776" s="96">
        <f t="shared" si="172"/>
        <v>17.61</v>
      </c>
      <c r="J2776" s="91" t="str">
        <f t="shared" si="173"/>
        <v>Sinapi 97669</v>
      </c>
      <c r="K2776" s="91" t="str">
        <f t="shared" si="174"/>
        <v>M</v>
      </c>
      <c r="L2776" s="166" t="str">
        <f t="shared" si="175"/>
        <v>12/2021</v>
      </c>
      <c r="M2776" s="82"/>
      <c r="N2776" s="82"/>
    </row>
    <row r="2777" spans="1:14" x14ac:dyDescent="0.25">
      <c r="A2777" s="170" t="s">
        <v>5586</v>
      </c>
      <c r="B2777" s="170" t="s">
        <v>15092</v>
      </c>
      <c r="C2777" s="170" t="s">
        <v>385</v>
      </c>
      <c r="D2777" s="170" t="s">
        <v>1947</v>
      </c>
      <c r="E2777" s="171" t="s">
        <v>17354</v>
      </c>
      <c r="F2777" s="171" t="s">
        <v>34244</v>
      </c>
      <c r="G2777" s="82"/>
      <c r="H2777" s="96">
        <f t="shared" si="172"/>
        <v>21.89</v>
      </c>
      <c r="I2777" s="96">
        <f t="shared" si="172"/>
        <v>22.72</v>
      </c>
      <c r="J2777" s="91" t="str">
        <f t="shared" si="173"/>
        <v>Sinapi 97670</v>
      </c>
      <c r="K2777" s="91" t="str">
        <f t="shared" si="174"/>
        <v>M</v>
      </c>
      <c r="L2777" s="166" t="str">
        <f t="shared" si="175"/>
        <v>12/2021</v>
      </c>
      <c r="M2777" s="82"/>
      <c r="N2777" s="82"/>
    </row>
    <row r="2778" spans="1:14" x14ac:dyDescent="0.25">
      <c r="A2778" s="170" t="s">
        <v>5588</v>
      </c>
      <c r="B2778" s="170" t="s">
        <v>20180</v>
      </c>
      <c r="C2778" s="170" t="s">
        <v>205</v>
      </c>
      <c r="D2778" s="170" t="s">
        <v>2067</v>
      </c>
      <c r="E2778" s="171" t="s">
        <v>6045</v>
      </c>
      <c r="F2778" s="171" t="s">
        <v>36329</v>
      </c>
      <c r="G2778" s="82"/>
      <c r="H2778" s="96">
        <f t="shared" si="172"/>
        <v>5.9</v>
      </c>
      <c r="I2778" s="96">
        <f t="shared" si="172"/>
        <v>6.48</v>
      </c>
      <c r="J2778" s="91" t="str">
        <f t="shared" si="173"/>
        <v>Sinapi 91874</v>
      </c>
      <c r="K2778" s="91" t="str">
        <f t="shared" si="174"/>
        <v>UN</v>
      </c>
      <c r="L2778" s="166" t="str">
        <f t="shared" si="175"/>
        <v>03/2023</v>
      </c>
      <c r="M2778" s="82"/>
      <c r="N2778" s="82"/>
    </row>
    <row r="2779" spans="1:14" x14ac:dyDescent="0.25">
      <c r="A2779" s="170" t="s">
        <v>5589</v>
      </c>
      <c r="B2779" s="170" t="s">
        <v>20181</v>
      </c>
      <c r="C2779" s="170" t="s">
        <v>205</v>
      </c>
      <c r="D2779" s="170" t="s">
        <v>2067</v>
      </c>
      <c r="E2779" s="171" t="s">
        <v>17904</v>
      </c>
      <c r="F2779" s="171" t="s">
        <v>22739</v>
      </c>
      <c r="G2779" s="82"/>
      <c r="H2779" s="96">
        <f t="shared" si="172"/>
        <v>6.91</v>
      </c>
      <c r="I2779" s="96">
        <f t="shared" si="172"/>
        <v>7.58</v>
      </c>
      <c r="J2779" s="91" t="str">
        <f t="shared" si="173"/>
        <v>Sinapi 91875</v>
      </c>
      <c r="K2779" s="91" t="str">
        <f t="shared" si="174"/>
        <v>UN</v>
      </c>
      <c r="L2779" s="166" t="str">
        <f t="shared" si="175"/>
        <v>03/2023</v>
      </c>
      <c r="M2779" s="82"/>
      <c r="N2779" s="82"/>
    </row>
    <row r="2780" spans="1:14" x14ac:dyDescent="0.25">
      <c r="A2780" s="170" t="s">
        <v>5590</v>
      </c>
      <c r="B2780" s="170" t="s">
        <v>20182</v>
      </c>
      <c r="C2780" s="170" t="s">
        <v>205</v>
      </c>
      <c r="D2780" s="170" t="s">
        <v>2067</v>
      </c>
      <c r="E2780" s="171" t="s">
        <v>15557</v>
      </c>
      <c r="F2780" s="171" t="s">
        <v>18594</v>
      </c>
      <c r="G2780" s="82"/>
      <c r="H2780" s="96">
        <f t="shared" si="172"/>
        <v>8.32</v>
      </c>
      <c r="I2780" s="96">
        <f t="shared" si="172"/>
        <v>9.09</v>
      </c>
      <c r="J2780" s="91" t="str">
        <f t="shared" si="173"/>
        <v>Sinapi 91876</v>
      </c>
      <c r="K2780" s="91" t="str">
        <f t="shared" si="174"/>
        <v>UN</v>
      </c>
      <c r="L2780" s="166" t="str">
        <f t="shared" si="175"/>
        <v>03/2023</v>
      </c>
      <c r="M2780" s="82"/>
      <c r="N2780" s="82"/>
    </row>
    <row r="2781" spans="1:14" x14ac:dyDescent="0.25">
      <c r="A2781" s="170" t="s">
        <v>5591</v>
      </c>
      <c r="B2781" s="170" t="s">
        <v>20183</v>
      </c>
      <c r="C2781" s="170" t="s">
        <v>205</v>
      </c>
      <c r="D2781" s="170" t="s">
        <v>2067</v>
      </c>
      <c r="E2781" s="171" t="s">
        <v>13744</v>
      </c>
      <c r="F2781" s="171" t="s">
        <v>20009</v>
      </c>
      <c r="G2781" s="82"/>
      <c r="H2781" s="96">
        <f t="shared" si="172"/>
        <v>10.24</v>
      </c>
      <c r="I2781" s="96">
        <f t="shared" si="172"/>
        <v>11.14</v>
      </c>
      <c r="J2781" s="91" t="str">
        <f t="shared" si="173"/>
        <v>Sinapi 91877</v>
      </c>
      <c r="K2781" s="91" t="str">
        <f t="shared" si="174"/>
        <v>UN</v>
      </c>
      <c r="L2781" s="166" t="str">
        <f t="shared" si="175"/>
        <v>03/2023</v>
      </c>
      <c r="M2781" s="82"/>
      <c r="N2781" s="82"/>
    </row>
    <row r="2782" spans="1:14" x14ac:dyDescent="0.25">
      <c r="A2782" s="170" t="s">
        <v>5592</v>
      </c>
      <c r="B2782" s="170" t="s">
        <v>20184</v>
      </c>
      <c r="C2782" s="170" t="s">
        <v>205</v>
      </c>
      <c r="D2782" s="170" t="s">
        <v>2067</v>
      </c>
      <c r="E2782" s="171" t="s">
        <v>19303</v>
      </c>
      <c r="F2782" s="171" t="s">
        <v>6500</v>
      </c>
      <c r="G2782" s="82"/>
      <c r="H2782" s="96">
        <f t="shared" si="172"/>
        <v>4.6500000000000004</v>
      </c>
      <c r="I2782" s="96">
        <f t="shared" si="172"/>
        <v>5.0999999999999996</v>
      </c>
      <c r="J2782" s="91" t="str">
        <f t="shared" si="173"/>
        <v>Sinapi 91878</v>
      </c>
      <c r="K2782" s="91" t="str">
        <f t="shared" si="174"/>
        <v>UN</v>
      </c>
      <c r="L2782" s="166" t="str">
        <f t="shared" si="175"/>
        <v>03/2023</v>
      </c>
      <c r="M2782" s="82"/>
      <c r="N2782" s="82"/>
    </row>
    <row r="2783" spans="1:14" x14ac:dyDescent="0.25">
      <c r="A2783" s="170" t="s">
        <v>5593</v>
      </c>
      <c r="B2783" s="170" t="s">
        <v>20185</v>
      </c>
      <c r="C2783" s="170" t="s">
        <v>205</v>
      </c>
      <c r="D2783" s="170" t="s">
        <v>2067</v>
      </c>
      <c r="E2783" s="171" t="s">
        <v>5190</v>
      </c>
      <c r="F2783" s="171" t="s">
        <v>5262</v>
      </c>
      <c r="G2783" s="82"/>
      <c r="H2783" s="96">
        <f t="shared" si="172"/>
        <v>5.66</v>
      </c>
      <c r="I2783" s="96">
        <f t="shared" si="172"/>
        <v>6.19</v>
      </c>
      <c r="J2783" s="91" t="str">
        <f t="shared" si="173"/>
        <v>Sinapi 91879</v>
      </c>
      <c r="K2783" s="91" t="str">
        <f t="shared" si="174"/>
        <v>UN</v>
      </c>
      <c r="L2783" s="166" t="str">
        <f t="shared" si="175"/>
        <v>03/2023</v>
      </c>
      <c r="M2783" s="82"/>
      <c r="N2783" s="82"/>
    </row>
    <row r="2784" spans="1:14" x14ac:dyDescent="0.25">
      <c r="A2784" s="170" t="s">
        <v>5594</v>
      </c>
      <c r="B2784" s="170" t="s">
        <v>20186</v>
      </c>
      <c r="C2784" s="170" t="s">
        <v>205</v>
      </c>
      <c r="D2784" s="170" t="s">
        <v>2067</v>
      </c>
      <c r="E2784" s="171" t="s">
        <v>17402</v>
      </c>
      <c r="F2784" s="171" t="s">
        <v>16420</v>
      </c>
      <c r="G2784" s="82"/>
      <c r="H2784" s="96">
        <f t="shared" si="172"/>
        <v>7.07</v>
      </c>
      <c r="I2784" s="96">
        <f t="shared" si="172"/>
        <v>7.7</v>
      </c>
      <c r="J2784" s="91" t="str">
        <f t="shared" si="173"/>
        <v>Sinapi 91880</v>
      </c>
      <c r="K2784" s="91" t="str">
        <f t="shared" si="174"/>
        <v>UN</v>
      </c>
      <c r="L2784" s="166" t="str">
        <f t="shared" si="175"/>
        <v>03/2023</v>
      </c>
      <c r="M2784" s="82"/>
      <c r="N2784" s="82"/>
    </row>
    <row r="2785" spans="1:14" x14ac:dyDescent="0.25">
      <c r="A2785" s="170" t="s">
        <v>5595</v>
      </c>
      <c r="B2785" s="170" t="s">
        <v>20187</v>
      </c>
      <c r="C2785" s="170" t="s">
        <v>205</v>
      </c>
      <c r="D2785" s="170" t="s">
        <v>2067</v>
      </c>
      <c r="E2785" s="171" t="s">
        <v>12328</v>
      </c>
      <c r="F2785" s="171" t="s">
        <v>18607</v>
      </c>
      <c r="G2785" s="82"/>
      <c r="H2785" s="96">
        <f t="shared" si="172"/>
        <v>8.99</v>
      </c>
      <c r="I2785" s="96">
        <f t="shared" si="172"/>
        <v>9.74</v>
      </c>
      <c r="J2785" s="91" t="str">
        <f t="shared" si="173"/>
        <v>Sinapi 91881</v>
      </c>
      <c r="K2785" s="91" t="str">
        <f t="shared" si="174"/>
        <v>UN</v>
      </c>
      <c r="L2785" s="166" t="str">
        <f t="shared" si="175"/>
        <v>03/2023</v>
      </c>
      <c r="M2785" s="82"/>
      <c r="N2785" s="82"/>
    </row>
    <row r="2786" spans="1:14" x14ac:dyDescent="0.25">
      <c r="A2786" s="170" t="s">
        <v>5596</v>
      </c>
      <c r="B2786" s="170" t="s">
        <v>20188</v>
      </c>
      <c r="C2786" s="170" t="s">
        <v>205</v>
      </c>
      <c r="D2786" s="170" t="s">
        <v>2067</v>
      </c>
      <c r="E2786" s="171" t="s">
        <v>17384</v>
      </c>
      <c r="F2786" s="171" t="s">
        <v>23784</v>
      </c>
      <c r="G2786" s="82"/>
      <c r="H2786" s="96">
        <f t="shared" si="172"/>
        <v>8.48</v>
      </c>
      <c r="I2786" s="96">
        <f t="shared" si="172"/>
        <v>9.35</v>
      </c>
      <c r="J2786" s="91" t="str">
        <f t="shared" si="173"/>
        <v>Sinapi 91882</v>
      </c>
      <c r="K2786" s="91" t="str">
        <f t="shared" si="174"/>
        <v>UN</v>
      </c>
      <c r="L2786" s="166" t="str">
        <f t="shared" si="175"/>
        <v>03/2023</v>
      </c>
      <c r="M2786" s="82"/>
      <c r="N2786" s="82"/>
    </row>
    <row r="2787" spans="1:14" x14ac:dyDescent="0.25">
      <c r="A2787" s="170" t="s">
        <v>5597</v>
      </c>
      <c r="B2787" s="170" t="s">
        <v>20189</v>
      </c>
      <c r="C2787" s="170" t="s">
        <v>205</v>
      </c>
      <c r="D2787" s="170" t="s">
        <v>2067</v>
      </c>
      <c r="E2787" s="171" t="s">
        <v>22713</v>
      </c>
      <c r="F2787" s="171" t="s">
        <v>14942</v>
      </c>
      <c r="G2787" s="82"/>
      <c r="H2787" s="96">
        <f t="shared" si="172"/>
        <v>9.5</v>
      </c>
      <c r="I2787" s="96">
        <f t="shared" si="172"/>
        <v>10.45</v>
      </c>
      <c r="J2787" s="91" t="str">
        <f t="shared" si="173"/>
        <v>Sinapi 91884</v>
      </c>
      <c r="K2787" s="91" t="str">
        <f t="shared" si="174"/>
        <v>UN</v>
      </c>
      <c r="L2787" s="166" t="str">
        <f t="shared" si="175"/>
        <v>03/2023</v>
      </c>
      <c r="M2787" s="82"/>
      <c r="N2787" s="82"/>
    </row>
    <row r="2788" spans="1:14" x14ac:dyDescent="0.25">
      <c r="A2788" s="170" t="s">
        <v>5598</v>
      </c>
      <c r="B2788" s="170" t="s">
        <v>20190</v>
      </c>
      <c r="C2788" s="170" t="s">
        <v>205</v>
      </c>
      <c r="D2788" s="170" t="s">
        <v>2067</v>
      </c>
      <c r="E2788" s="171" t="s">
        <v>15663</v>
      </c>
      <c r="F2788" s="171" t="s">
        <v>14793</v>
      </c>
      <c r="G2788" s="82"/>
      <c r="H2788" s="96">
        <f t="shared" si="172"/>
        <v>10.86</v>
      </c>
      <c r="I2788" s="96">
        <f t="shared" si="172"/>
        <v>11.92</v>
      </c>
      <c r="J2788" s="91" t="str">
        <f t="shared" si="173"/>
        <v>Sinapi 91885</v>
      </c>
      <c r="K2788" s="91" t="str">
        <f t="shared" si="174"/>
        <v>UN</v>
      </c>
      <c r="L2788" s="166" t="str">
        <f t="shared" si="175"/>
        <v>03/2023</v>
      </c>
      <c r="M2788" s="82"/>
      <c r="N2788" s="82"/>
    </row>
    <row r="2789" spans="1:14" x14ac:dyDescent="0.25">
      <c r="A2789" s="170" t="s">
        <v>5599</v>
      </c>
      <c r="B2789" s="170" t="s">
        <v>20191</v>
      </c>
      <c r="C2789" s="170" t="s">
        <v>205</v>
      </c>
      <c r="D2789" s="170" t="s">
        <v>2067</v>
      </c>
      <c r="E2789" s="171" t="s">
        <v>16289</v>
      </c>
      <c r="F2789" s="171" t="s">
        <v>17275</v>
      </c>
      <c r="G2789" s="82"/>
      <c r="H2789" s="96">
        <f t="shared" si="172"/>
        <v>12.74</v>
      </c>
      <c r="I2789" s="96">
        <f t="shared" si="172"/>
        <v>13.91</v>
      </c>
      <c r="J2789" s="91" t="str">
        <f t="shared" si="173"/>
        <v>Sinapi 91886</v>
      </c>
      <c r="K2789" s="91" t="str">
        <f t="shared" si="174"/>
        <v>UN</v>
      </c>
      <c r="L2789" s="166" t="str">
        <f t="shared" si="175"/>
        <v>03/2023</v>
      </c>
      <c r="M2789" s="82"/>
      <c r="N2789" s="82"/>
    </row>
    <row r="2790" spans="1:14" x14ac:dyDescent="0.25">
      <c r="A2790" s="170" t="s">
        <v>5600</v>
      </c>
      <c r="B2790" s="170" t="s">
        <v>20192</v>
      </c>
      <c r="C2790" s="170" t="s">
        <v>205</v>
      </c>
      <c r="D2790" s="170" t="s">
        <v>2067</v>
      </c>
      <c r="E2790" s="171" t="s">
        <v>16390</v>
      </c>
      <c r="F2790" s="171" t="s">
        <v>17915</v>
      </c>
      <c r="G2790" s="82"/>
      <c r="H2790" s="96">
        <f t="shared" si="172"/>
        <v>10.17</v>
      </c>
      <c r="I2790" s="96">
        <f t="shared" si="172"/>
        <v>11.06</v>
      </c>
      <c r="J2790" s="91" t="str">
        <f t="shared" si="173"/>
        <v>Sinapi 91887</v>
      </c>
      <c r="K2790" s="91" t="str">
        <f t="shared" si="174"/>
        <v>UN</v>
      </c>
      <c r="L2790" s="166" t="str">
        <f t="shared" si="175"/>
        <v>03/2023</v>
      </c>
      <c r="M2790" s="82"/>
      <c r="N2790" s="82"/>
    </row>
    <row r="2791" spans="1:14" x14ac:dyDescent="0.25">
      <c r="A2791" s="170" t="s">
        <v>5601</v>
      </c>
      <c r="B2791" s="170" t="s">
        <v>20193</v>
      </c>
      <c r="C2791" s="170" t="s">
        <v>205</v>
      </c>
      <c r="D2791" s="170" t="s">
        <v>2067</v>
      </c>
      <c r="E2791" s="171" t="s">
        <v>18134</v>
      </c>
      <c r="F2791" s="171" t="s">
        <v>14341</v>
      </c>
      <c r="G2791" s="82"/>
      <c r="H2791" s="96">
        <f t="shared" si="172"/>
        <v>9.91</v>
      </c>
      <c r="I2791" s="96">
        <f t="shared" si="172"/>
        <v>10.8</v>
      </c>
      <c r="J2791" s="91" t="str">
        <f t="shared" si="173"/>
        <v>Sinapi 91889</v>
      </c>
      <c r="K2791" s="91" t="str">
        <f t="shared" si="174"/>
        <v>UN</v>
      </c>
      <c r="L2791" s="166" t="str">
        <f t="shared" si="175"/>
        <v>03/2023</v>
      </c>
      <c r="M2791" s="82"/>
      <c r="N2791" s="82"/>
    </row>
    <row r="2792" spans="1:14" x14ac:dyDescent="0.25">
      <c r="A2792" s="170" t="s">
        <v>5602</v>
      </c>
      <c r="B2792" s="170" t="s">
        <v>20194</v>
      </c>
      <c r="C2792" s="170" t="s">
        <v>205</v>
      </c>
      <c r="D2792" s="170" t="s">
        <v>2067</v>
      </c>
      <c r="E2792" s="171" t="s">
        <v>15587</v>
      </c>
      <c r="F2792" s="171" t="s">
        <v>19295</v>
      </c>
      <c r="G2792" s="82"/>
      <c r="H2792" s="96">
        <f t="shared" si="172"/>
        <v>11.24</v>
      </c>
      <c r="I2792" s="96">
        <f t="shared" si="172"/>
        <v>12.23</v>
      </c>
      <c r="J2792" s="91" t="str">
        <f t="shared" si="173"/>
        <v>Sinapi 91890</v>
      </c>
      <c r="K2792" s="91" t="str">
        <f t="shared" si="174"/>
        <v>UN</v>
      </c>
      <c r="L2792" s="166" t="str">
        <f t="shared" si="175"/>
        <v>03/2023</v>
      </c>
      <c r="M2792" s="82"/>
      <c r="N2792" s="82"/>
    </row>
    <row r="2793" spans="1:14" x14ac:dyDescent="0.25">
      <c r="A2793" s="170" t="s">
        <v>5603</v>
      </c>
      <c r="B2793" s="170" t="s">
        <v>20195</v>
      </c>
      <c r="C2793" s="170" t="s">
        <v>205</v>
      </c>
      <c r="D2793" s="170" t="s">
        <v>2067</v>
      </c>
      <c r="E2793" s="171" t="s">
        <v>24856</v>
      </c>
      <c r="F2793" s="171" t="s">
        <v>16287</v>
      </c>
      <c r="G2793" s="82"/>
      <c r="H2793" s="96">
        <f t="shared" si="172"/>
        <v>12.94</v>
      </c>
      <c r="I2793" s="96">
        <f t="shared" si="172"/>
        <v>13.93</v>
      </c>
      <c r="J2793" s="91" t="str">
        <f t="shared" si="173"/>
        <v>Sinapi 91892</v>
      </c>
      <c r="K2793" s="91" t="str">
        <f t="shared" si="174"/>
        <v>UN</v>
      </c>
      <c r="L2793" s="166" t="str">
        <f t="shared" si="175"/>
        <v>03/2023</v>
      </c>
      <c r="M2793" s="82"/>
      <c r="N2793" s="82"/>
    </row>
    <row r="2794" spans="1:14" x14ac:dyDescent="0.25">
      <c r="A2794" s="170" t="s">
        <v>5605</v>
      </c>
      <c r="B2794" s="170" t="s">
        <v>20196</v>
      </c>
      <c r="C2794" s="170" t="s">
        <v>205</v>
      </c>
      <c r="D2794" s="170" t="s">
        <v>2067</v>
      </c>
      <c r="E2794" s="171" t="s">
        <v>16287</v>
      </c>
      <c r="F2794" s="171" t="s">
        <v>28614</v>
      </c>
      <c r="G2794" s="82"/>
      <c r="H2794" s="96">
        <f t="shared" si="172"/>
        <v>13.93</v>
      </c>
      <c r="I2794" s="96">
        <f t="shared" si="172"/>
        <v>15.09</v>
      </c>
      <c r="J2794" s="91" t="str">
        <f t="shared" si="173"/>
        <v>Sinapi 91893</v>
      </c>
      <c r="K2794" s="91" t="str">
        <f t="shared" si="174"/>
        <v>UN</v>
      </c>
      <c r="L2794" s="166" t="str">
        <f t="shared" si="175"/>
        <v>03/2023</v>
      </c>
      <c r="M2794" s="82"/>
      <c r="N2794" s="82"/>
    </row>
    <row r="2795" spans="1:14" x14ac:dyDescent="0.25">
      <c r="A2795" s="170" t="s">
        <v>5606</v>
      </c>
      <c r="B2795" s="170" t="s">
        <v>20197</v>
      </c>
      <c r="C2795" s="170" t="s">
        <v>205</v>
      </c>
      <c r="D2795" s="170" t="s">
        <v>2067</v>
      </c>
      <c r="E2795" s="171" t="s">
        <v>5627</v>
      </c>
      <c r="F2795" s="171" t="s">
        <v>19366</v>
      </c>
      <c r="G2795" s="82"/>
      <c r="H2795" s="96">
        <f t="shared" si="172"/>
        <v>15.66</v>
      </c>
      <c r="I2795" s="96">
        <f t="shared" si="172"/>
        <v>16.82</v>
      </c>
      <c r="J2795" s="91" t="str">
        <f t="shared" si="173"/>
        <v>Sinapi 91895</v>
      </c>
      <c r="K2795" s="91" t="str">
        <f t="shared" si="174"/>
        <v>UN</v>
      </c>
      <c r="L2795" s="166" t="str">
        <f t="shared" si="175"/>
        <v>03/2023</v>
      </c>
      <c r="M2795" s="82"/>
      <c r="N2795" s="82"/>
    </row>
    <row r="2796" spans="1:14" x14ac:dyDescent="0.25">
      <c r="A2796" s="170" t="s">
        <v>5607</v>
      </c>
      <c r="B2796" s="170" t="s">
        <v>20198</v>
      </c>
      <c r="C2796" s="170" t="s">
        <v>205</v>
      </c>
      <c r="D2796" s="170" t="s">
        <v>2067</v>
      </c>
      <c r="E2796" s="171" t="s">
        <v>17966</v>
      </c>
      <c r="F2796" s="171" t="s">
        <v>11446</v>
      </c>
      <c r="G2796" s="82"/>
      <c r="H2796" s="96">
        <f t="shared" si="172"/>
        <v>16.03</v>
      </c>
      <c r="I2796" s="96">
        <f t="shared" si="172"/>
        <v>17.37</v>
      </c>
      <c r="J2796" s="91" t="str">
        <f t="shared" si="173"/>
        <v>Sinapi 91896</v>
      </c>
      <c r="K2796" s="91" t="str">
        <f t="shared" si="174"/>
        <v>UN</v>
      </c>
      <c r="L2796" s="166" t="str">
        <f t="shared" si="175"/>
        <v>03/2023</v>
      </c>
      <c r="M2796" s="82"/>
      <c r="N2796" s="82"/>
    </row>
    <row r="2797" spans="1:14" x14ac:dyDescent="0.25">
      <c r="A2797" s="170" t="s">
        <v>5608</v>
      </c>
      <c r="B2797" s="170" t="s">
        <v>20199</v>
      </c>
      <c r="C2797" s="170" t="s">
        <v>205</v>
      </c>
      <c r="D2797" s="170" t="s">
        <v>2067</v>
      </c>
      <c r="E2797" s="171" t="s">
        <v>18624</v>
      </c>
      <c r="F2797" s="171" t="s">
        <v>16340</v>
      </c>
      <c r="G2797" s="82"/>
      <c r="H2797" s="96">
        <f t="shared" si="172"/>
        <v>17.88</v>
      </c>
      <c r="I2797" s="96">
        <f t="shared" si="172"/>
        <v>19.22</v>
      </c>
      <c r="J2797" s="91" t="str">
        <f t="shared" si="173"/>
        <v>Sinapi 91898</v>
      </c>
      <c r="K2797" s="91" t="str">
        <f t="shared" si="174"/>
        <v>UN</v>
      </c>
      <c r="L2797" s="166" t="str">
        <f t="shared" si="175"/>
        <v>03/2023</v>
      </c>
      <c r="M2797" s="82"/>
      <c r="N2797" s="82"/>
    </row>
    <row r="2798" spans="1:14" x14ac:dyDescent="0.25">
      <c r="A2798" s="170" t="s">
        <v>5609</v>
      </c>
      <c r="B2798" s="170" t="s">
        <v>20200</v>
      </c>
      <c r="C2798" s="170" t="s">
        <v>205</v>
      </c>
      <c r="D2798" s="170" t="s">
        <v>2067</v>
      </c>
      <c r="E2798" s="171" t="s">
        <v>15132</v>
      </c>
      <c r="F2798" s="171" t="s">
        <v>5291</v>
      </c>
      <c r="G2798" s="82"/>
      <c r="H2798" s="96">
        <f t="shared" si="172"/>
        <v>8.2799999999999994</v>
      </c>
      <c r="I2798" s="96">
        <f t="shared" si="172"/>
        <v>8.9499999999999993</v>
      </c>
      <c r="J2798" s="91" t="str">
        <f t="shared" si="173"/>
        <v>Sinapi 91899</v>
      </c>
      <c r="K2798" s="91" t="str">
        <f t="shared" si="174"/>
        <v>UN</v>
      </c>
      <c r="L2798" s="166" t="str">
        <f t="shared" si="175"/>
        <v>03/2023</v>
      </c>
      <c r="M2798" s="82"/>
      <c r="N2798" s="82"/>
    </row>
    <row r="2799" spans="1:14" x14ac:dyDescent="0.25">
      <c r="A2799" s="170" t="s">
        <v>5610</v>
      </c>
      <c r="B2799" s="170" t="s">
        <v>20201</v>
      </c>
      <c r="C2799" s="170" t="s">
        <v>205</v>
      </c>
      <c r="D2799" s="170" t="s">
        <v>2067</v>
      </c>
      <c r="E2799" s="171" t="s">
        <v>19858</v>
      </c>
      <c r="F2799" s="171" t="s">
        <v>29168</v>
      </c>
      <c r="G2799" s="82"/>
      <c r="H2799" s="96">
        <f t="shared" si="172"/>
        <v>8.02</v>
      </c>
      <c r="I2799" s="96">
        <f t="shared" si="172"/>
        <v>8.69</v>
      </c>
      <c r="J2799" s="91" t="str">
        <f t="shared" si="173"/>
        <v>Sinapi 91901</v>
      </c>
      <c r="K2799" s="91" t="str">
        <f t="shared" si="174"/>
        <v>UN</v>
      </c>
      <c r="L2799" s="166" t="str">
        <f t="shared" si="175"/>
        <v>03/2023</v>
      </c>
      <c r="M2799" s="82"/>
      <c r="N2799" s="82"/>
    </row>
    <row r="2800" spans="1:14" x14ac:dyDescent="0.25">
      <c r="A2800" s="170" t="s">
        <v>5611</v>
      </c>
      <c r="B2800" s="170" t="s">
        <v>20202</v>
      </c>
      <c r="C2800" s="170" t="s">
        <v>205</v>
      </c>
      <c r="D2800" s="170" t="s">
        <v>2067</v>
      </c>
      <c r="E2800" s="171" t="s">
        <v>3942</v>
      </c>
      <c r="F2800" s="171" t="s">
        <v>21453</v>
      </c>
      <c r="G2800" s="82"/>
      <c r="H2800" s="96">
        <f t="shared" si="172"/>
        <v>9.34</v>
      </c>
      <c r="I2800" s="96">
        <f t="shared" si="172"/>
        <v>10.119999999999999</v>
      </c>
      <c r="J2800" s="91" t="str">
        <f t="shared" si="173"/>
        <v>Sinapi 91902</v>
      </c>
      <c r="K2800" s="91" t="str">
        <f t="shared" si="174"/>
        <v>UN</v>
      </c>
      <c r="L2800" s="166" t="str">
        <f t="shared" si="175"/>
        <v>03/2023</v>
      </c>
      <c r="M2800" s="82"/>
      <c r="N2800" s="82"/>
    </row>
    <row r="2801" spans="1:14" x14ac:dyDescent="0.25">
      <c r="A2801" s="170" t="s">
        <v>5612</v>
      </c>
      <c r="B2801" s="170" t="s">
        <v>20203</v>
      </c>
      <c r="C2801" s="170" t="s">
        <v>205</v>
      </c>
      <c r="D2801" s="170" t="s">
        <v>2067</v>
      </c>
      <c r="E2801" s="171" t="s">
        <v>17363</v>
      </c>
      <c r="F2801" s="171" t="s">
        <v>7328</v>
      </c>
      <c r="G2801" s="82"/>
      <c r="H2801" s="96">
        <f t="shared" si="172"/>
        <v>11.04</v>
      </c>
      <c r="I2801" s="96">
        <f t="shared" si="172"/>
        <v>11.82</v>
      </c>
      <c r="J2801" s="91" t="str">
        <f t="shared" si="173"/>
        <v>Sinapi 91904</v>
      </c>
      <c r="K2801" s="91" t="str">
        <f t="shared" si="174"/>
        <v>UN</v>
      </c>
      <c r="L2801" s="166" t="str">
        <f t="shared" si="175"/>
        <v>03/2023</v>
      </c>
      <c r="M2801" s="82"/>
      <c r="N2801" s="82"/>
    </row>
    <row r="2802" spans="1:14" x14ac:dyDescent="0.25">
      <c r="A2802" s="170" t="s">
        <v>5613</v>
      </c>
      <c r="B2802" s="170" t="s">
        <v>20205</v>
      </c>
      <c r="C2802" s="170" t="s">
        <v>205</v>
      </c>
      <c r="D2802" s="170" t="s">
        <v>2067</v>
      </c>
      <c r="E2802" s="171" t="s">
        <v>19394</v>
      </c>
      <c r="F2802" s="171" t="s">
        <v>19315</v>
      </c>
      <c r="G2802" s="82"/>
      <c r="H2802" s="96">
        <f t="shared" si="172"/>
        <v>12.04</v>
      </c>
      <c r="I2802" s="96">
        <f t="shared" si="172"/>
        <v>12.98</v>
      </c>
      <c r="J2802" s="91" t="str">
        <f t="shared" si="173"/>
        <v>Sinapi 91905</v>
      </c>
      <c r="K2802" s="91" t="str">
        <f t="shared" si="174"/>
        <v>UN</v>
      </c>
      <c r="L2802" s="166" t="str">
        <f t="shared" si="175"/>
        <v>03/2023</v>
      </c>
      <c r="M2802" s="82"/>
      <c r="N2802" s="82"/>
    </row>
    <row r="2803" spans="1:14" x14ac:dyDescent="0.25">
      <c r="A2803" s="170" t="s">
        <v>5614</v>
      </c>
      <c r="B2803" s="170" t="s">
        <v>20206</v>
      </c>
      <c r="C2803" s="170" t="s">
        <v>205</v>
      </c>
      <c r="D2803" s="170" t="s">
        <v>2067</v>
      </c>
      <c r="E2803" s="171" t="s">
        <v>30197</v>
      </c>
      <c r="F2803" s="171" t="s">
        <v>22956</v>
      </c>
      <c r="G2803" s="82"/>
      <c r="H2803" s="96">
        <f t="shared" si="172"/>
        <v>13.77</v>
      </c>
      <c r="I2803" s="96">
        <f t="shared" si="172"/>
        <v>14.71</v>
      </c>
      <c r="J2803" s="91" t="str">
        <f t="shared" si="173"/>
        <v>Sinapi 91907</v>
      </c>
      <c r="K2803" s="91" t="str">
        <f t="shared" si="174"/>
        <v>UN</v>
      </c>
      <c r="L2803" s="166" t="str">
        <f t="shared" si="175"/>
        <v>03/2023</v>
      </c>
      <c r="M2803" s="82"/>
      <c r="N2803" s="82"/>
    </row>
    <row r="2804" spans="1:14" x14ac:dyDescent="0.25">
      <c r="A2804" s="170" t="s">
        <v>5615</v>
      </c>
      <c r="B2804" s="170" t="s">
        <v>20207</v>
      </c>
      <c r="C2804" s="170" t="s">
        <v>205</v>
      </c>
      <c r="D2804" s="170" t="s">
        <v>2067</v>
      </c>
      <c r="E2804" s="171" t="s">
        <v>23246</v>
      </c>
      <c r="F2804" s="171" t="s">
        <v>19300</v>
      </c>
      <c r="G2804" s="82"/>
      <c r="H2804" s="96">
        <f t="shared" si="172"/>
        <v>14.18</v>
      </c>
      <c r="I2804" s="96">
        <f t="shared" si="172"/>
        <v>15.31</v>
      </c>
      <c r="J2804" s="91" t="str">
        <f t="shared" si="173"/>
        <v>Sinapi 91908</v>
      </c>
      <c r="K2804" s="91" t="str">
        <f t="shared" si="174"/>
        <v>UN</v>
      </c>
      <c r="L2804" s="166" t="str">
        <f t="shared" si="175"/>
        <v>03/2023</v>
      </c>
      <c r="M2804" s="82"/>
      <c r="N2804" s="82"/>
    </row>
    <row r="2805" spans="1:14" x14ac:dyDescent="0.25">
      <c r="A2805" s="170" t="s">
        <v>5616</v>
      </c>
      <c r="B2805" s="170" t="s">
        <v>20208</v>
      </c>
      <c r="C2805" s="170" t="s">
        <v>205</v>
      </c>
      <c r="D2805" s="170" t="s">
        <v>2067</v>
      </c>
      <c r="E2805" s="171" t="s">
        <v>17966</v>
      </c>
      <c r="F2805" s="171" t="s">
        <v>21258</v>
      </c>
      <c r="G2805" s="82"/>
      <c r="H2805" s="96">
        <f t="shared" si="172"/>
        <v>16.03</v>
      </c>
      <c r="I2805" s="96">
        <f t="shared" si="172"/>
        <v>17.16</v>
      </c>
      <c r="J2805" s="91" t="str">
        <f t="shared" si="173"/>
        <v>Sinapi 91910</v>
      </c>
      <c r="K2805" s="91" t="str">
        <f t="shared" si="174"/>
        <v>UN</v>
      </c>
      <c r="L2805" s="166" t="str">
        <f t="shared" si="175"/>
        <v>03/2023</v>
      </c>
      <c r="M2805" s="82"/>
      <c r="N2805" s="82"/>
    </row>
    <row r="2806" spans="1:14" x14ac:dyDescent="0.25">
      <c r="A2806" s="170" t="s">
        <v>5617</v>
      </c>
      <c r="B2806" s="170" t="s">
        <v>20209</v>
      </c>
      <c r="C2806" s="170" t="s">
        <v>205</v>
      </c>
      <c r="D2806" s="170" t="s">
        <v>2067</v>
      </c>
      <c r="E2806" s="171" t="s">
        <v>11117</v>
      </c>
      <c r="F2806" s="171" t="s">
        <v>17281</v>
      </c>
      <c r="G2806" s="82"/>
      <c r="H2806" s="96">
        <f t="shared" si="172"/>
        <v>14.05</v>
      </c>
      <c r="I2806" s="96">
        <f t="shared" si="172"/>
        <v>15.36</v>
      </c>
      <c r="J2806" s="91" t="str">
        <f t="shared" si="173"/>
        <v>Sinapi 91911</v>
      </c>
      <c r="K2806" s="91" t="str">
        <f t="shared" si="174"/>
        <v>UN</v>
      </c>
      <c r="L2806" s="166" t="str">
        <f t="shared" si="175"/>
        <v>03/2023</v>
      </c>
      <c r="M2806" s="82"/>
      <c r="N2806" s="82"/>
    </row>
    <row r="2807" spans="1:14" x14ac:dyDescent="0.25">
      <c r="A2807" s="170" t="s">
        <v>5619</v>
      </c>
      <c r="B2807" s="170" t="s">
        <v>20210</v>
      </c>
      <c r="C2807" s="170" t="s">
        <v>205</v>
      </c>
      <c r="D2807" s="170" t="s">
        <v>2067</v>
      </c>
      <c r="E2807" s="171" t="s">
        <v>33056</v>
      </c>
      <c r="F2807" s="171" t="s">
        <v>20114</v>
      </c>
      <c r="G2807" s="82"/>
      <c r="H2807" s="96">
        <f t="shared" si="172"/>
        <v>13.79</v>
      </c>
      <c r="I2807" s="96">
        <f t="shared" si="172"/>
        <v>15.1</v>
      </c>
      <c r="J2807" s="91" t="str">
        <f t="shared" si="173"/>
        <v>Sinapi 91913</v>
      </c>
      <c r="K2807" s="91" t="str">
        <f t="shared" si="174"/>
        <v>UN</v>
      </c>
      <c r="L2807" s="166" t="str">
        <f t="shared" si="175"/>
        <v>03/2023</v>
      </c>
      <c r="M2807" s="82"/>
      <c r="N2807" s="82"/>
    </row>
    <row r="2808" spans="1:14" x14ac:dyDescent="0.25">
      <c r="A2808" s="170" t="s">
        <v>5621</v>
      </c>
      <c r="B2808" s="170" t="s">
        <v>20211</v>
      </c>
      <c r="C2808" s="170" t="s">
        <v>205</v>
      </c>
      <c r="D2808" s="170" t="s">
        <v>2067</v>
      </c>
      <c r="E2808" s="171" t="s">
        <v>16397</v>
      </c>
      <c r="F2808" s="171" t="s">
        <v>17361</v>
      </c>
      <c r="G2808" s="82"/>
      <c r="H2808" s="96">
        <f t="shared" si="172"/>
        <v>15.06</v>
      </c>
      <c r="I2808" s="96">
        <f t="shared" si="172"/>
        <v>16.489999999999998</v>
      </c>
      <c r="J2808" s="91" t="str">
        <f t="shared" si="173"/>
        <v>Sinapi 91914</v>
      </c>
      <c r="K2808" s="91" t="str">
        <f t="shared" si="174"/>
        <v>UN</v>
      </c>
      <c r="L2808" s="166" t="str">
        <f t="shared" si="175"/>
        <v>03/2023</v>
      </c>
      <c r="M2808" s="82"/>
      <c r="N2808" s="82"/>
    </row>
    <row r="2809" spans="1:14" x14ac:dyDescent="0.25">
      <c r="A2809" s="170" t="s">
        <v>5622</v>
      </c>
      <c r="B2809" s="170" t="s">
        <v>20212</v>
      </c>
      <c r="C2809" s="170" t="s">
        <v>205</v>
      </c>
      <c r="D2809" s="170" t="s">
        <v>2067</v>
      </c>
      <c r="E2809" s="171" t="s">
        <v>15688</v>
      </c>
      <c r="F2809" s="171" t="s">
        <v>30688</v>
      </c>
      <c r="G2809" s="82"/>
      <c r="H2809" s="96">
        <f t="shared" si="172"/>
        <v>16.760000000000002</v>
      </c>
      <c r="I2809" s="96">
        <f t="shared" si="172"/>
        <v>18.190000000000001</v>
      </c>
      <c r="J2809" s="91" t="str">
        <f t="shared" si="173"/>
        <v>Sinapi 91916</v>
      </c>
      <c r="K2809" s="91" t="str">
        <f t="shared" si="174"/>
        <v>UN</v>
      </c>
      <c r="L2809" s="166" t="str">
        <f t="shared" si="175"/>
        <v>03/2023</v>
      </c>
      <c r="M2809" s="82"/>
      <c r="N2809" s="82"/>
    </row>
    <row r="2810" spans="1:14" x14ac:dyDescent="0.25">
      <c r="A2810" s="170" t="s">
        <v>5623</v>
      </c>
      <c r="B2810" s="170" t="s">
        <v>20213</v>
      </c>
      <c r="C2810" s="170" t="s">
        <v>205</v>
      </c>
      <c r="D2810" s="170" t="s">
        <v>2067</v>
      </c>
      <c r="E2810" s="171" t="s">
        <v>12106</v>
      </c>
      <c r="F2810" s="171" t="s">
        <v>33540</v>
      </c>
      <c r="G2810" s="82"/>
      <c r="H2810" s="96">
        <f t="shared" si="172"/>
        <v>17.72</v>
      </c>
      <c r="I2810" s="96">
        <f t="shared" si="172"/>
        <v>19.309999999999999</v>
      </c>
      <c r="J2810" s="91" t="str">
        <f t="shared" si="173"/>
        <v>Sinapi 91917</v>
      </c>
      <c r="K2810" s="91" t="str">
        <f t="shared" si="174"/>
        <v>UN</v>
      </c>
      <c r="L2810" s="166" t="str">
        <f t="shared" si="175"/>
        <v>03/2023</v>
      </c>
      <c r="M2810" s="82"/>
      <c r="N2810" s="82"/>
    </row>
    <row r="2811" spans="1:14" x14ac:dyDescent="0.25">
      <c r="A2811" s="170" t="s">
        <v>5624</v>
      </c>
      <c r="B2811" s="170" t="s">
        <v>20215</v>
      </c>
      <c r="C2811" s="170" t="s">
        <v>205</v>
      </c>
      <c r="D2811" s="170" t="s">
        <v>2067</v>
      </c>
      <c r="E2811" s="171" t="s">
        <v>21447</v>
      </c>
      <c r="F2811" s="171" t="s">
        <v>14352</v>
      </c>
      <c r="G2811" s="82"/>
      <c r="H2811" s="96">
        <f t="shared" si="172"/>
        <v>19.45</v>
      </c>
      <c r="I2811" s="96">
        <f t="shared" si="172"/>
        <v>21.04</v>
      </c>
      <c r="J2811" s="91" t="str">
        <f t="shared" si="173"/>
        <v>Sinapi 91919</v>
      </c>
      <c r="K2811" s="91" t="str">
        <f t="shared" si="174"/>
        <v>UN</v>
      </c>
      <c r="L2811" s="166" t="str">
        <f t="shared" si="175"/>
        <v>03/2023</v>
      </c>
      <c r="M2811" s="82"/>
      <c r="N2811" s="82"/>
    </row>
    <row r="2812" spans="1:14" x14ac:dyDescent="0.25">
      <c r="A2812" s="170" t="s">
        <v>5625</v>
      </c>
      <c r="B2812" s="170" t="s">
        <v>20216</v>
      </c>
      <c r="C2812" s="170" t="s">
        <v>205</v>
      </c>
      <c r="D2812" s="170" t="s">
        <v>2067</v>
      </c>
      <c r="E2812" s="171" t="s">
        <v>33057</v>
      </c>
      <c r="F2812" s="171" t="s">
        <v>27101</v>
      </c>
      <c r="G2812" s="82"/>
      <c r="H2812" s="96">
        <f t="shared" si="172"/>
        <v>19.78</v>
      </c>
      <c r="I2812" s="96">
        <f t="shared" si="172"/>
        <v>21.54</v>
      </c>
      <c r="J2812" s="91" t="str">
        <f t="shared" si="173"/>
        <v>Sinapi 91920</v>
      </c>
      <c r="K2812" s="91" t="str">
        <f t="shared" si="174"/>
        <v>UN</v>
      </c>
      <c r="L2812" s="166" t="str">
        <f t="shared" si="175"/>
        <v>03/2023</v>
      </c>
      <c r="M2812" s="82"/>
      <c r="N2812" s="82"/>
    </row>
    <row r="2813" spans="1:14" x14ac:dyDescent="0.25">
      <c r="A2813" s="170" t="s">
        <v>5626</v>
      </c>
      <c r="B2813" s="170" t="s">
        <v>20217</v>
      </c>
      <c r="C2813" s="170" t="s">
        <v>205</v>
      </c>
      <c r="D2813" s="170" t="s">
        <v>2067</v>
      </c>
      <c r="E2813" s="171" t="s">
        <v>33058</v>
      </c>
      <c r="F2813" s="171" t="s">
        <v>27559</v>
      </c>
      <c r="G2813" s="82"/>
      <c r="H2813" s="96">
        <f t="shared" si="172"/>
        <v>21.63</v>
      </c>
      <c r="I2813" s="96">
        <f t="shared" si="172"/>
        <v>23.39</v>
      </c>
      <c r="J2813" s="91" t="str">
        <f t="shared" si="173"/>
        <v>Sinapi 91922</v>
      </c>
      <c r="K2813" s="91" t="str">
        <f t="shared" si="174"/>
        <v>UN</v>
      </c>
      <c r="L2813" s="166" t="str">
        <f t="shared" si="175"/>
        <v>03/2023</v>
      </c>
      <c r="M2813" s="82"/>
      <c r="N2813" s="82"/>
    </row>
    <row r="2814" spans="1:14" x14ac:dyDescent="0.25">
      <c r="A2814" s="170" t="s">
        <v>5628</v>
      </c>
      <c r="B2814" s="170" t="s">
        <v>15093</v>
      </c>
      <c r="C2814" s="170" t="s">
        <v>205</v>
      </c>
      <c r="D2814" s="170" t="s">
        <v>2067</v>
      </c>
      <c r="E2814" s="171" t="s">
        <v>5718</v>
      </c>
      <c r="F2814" s="171" t="s">
        <v>33056</v>
      </c>
      <c r="G2814" s="82"/>
      <c r="H2814" s="96">
        <f t="shared" si="172"/>
        <v>12.72</v>
      </c>
      <c r="I2814" s="96">
        <f t="shared" si="172"/>
        <v>13.79</v>
      </c>
      <c r="J2814" s="91" t="str">
        <f t="shared" si="173"/>
        <v>Sinapi 93013</v>
      </c>
      <c r="K2814" s="91" t="str">
        <f t="shared" si="174"/>
        <v>UN</v>
      </c>
      <c r="L2814" s="166" t="str">
        <f t="shared" si="175"/>
        <v>12/2021</v>
      </c>
      <c r="M2814" s="82"/>
      <c r="N2814" s="82"/>
    </row>
    <row r="2815" spans="1:14" x14ac:dyDescent="0.25">
      <c r="A2815" s="170" t="s">
        <v>5629</v>
      </c>
      <c r="B2815" s="170" t="s">
        <v>15094</v>
      </c>
      <c r="C2815" s="170" t="s">
        <v>205</v>
      </c>
      <c r="D2815" s="170" t="s">
        <v>2067</v>
      </c>
      <c r="E2815" s="171" t="s">
        <v>14791</v>
      </c>
      <c r="F2815" s="171" t="s">
        <v>4684</v>
      </c>
      <c r="G2815" s="82"/>
      <c r="H2815" s="96">
        <f t="shared" si="172"/>
        <v>15.54</v>
      </c>
      <c r="I2815" s="96">
        <f t="shared" si="172"/>
        <v>16.78</v>
      </c>
      <c r="J2815" s="91" t="str">
        <f t="shared" si="173"/>
        <v>Sinapi 93014</v>
      </c>
      <c r="K2815" s="91" t="str">
        <f t="shared" si="174"/>
        <v>UN</v>
      </c>
      <c r="L2815" s="166" t="str">
        <f t="shared" si="175"/>
        <v>12/2021</v>
      </c>
      <c r="M2815" s="82"/>
      <c r="N2815" s="82"/>
    </row>
    <row r="2816" spans="1:14" x14ac:dyDescent="0.25">
      <c r="A2816" s="170" t="s">
        <v>5630</v>
      </c>
      <c r="B2816" s="170" t="s">
        <v>15095</v>
      </c>
      <c r="C2816" s="170" t="s">
        <v>205</v>
      </c>
      <c r="D2816" s="170" t="s">
        <v>2067</v>
      </c>
      <c r="E2816" s="171" t="s">
        <v>21839</v>
      </c>
      <c r="F2816" s="171" t="s">
        <v>22031</v>
      </c>
      <c r="G2816" s="82"/>
      <c r="H2816" s="96">
        <f t="shared" si="172"/>
        <v>23.16</v>
      </c>
      <c r="I2816" s="96">
        <f t="shared" si="172"/>
        <v>24.65</v>
      </c>
      <c r="J2816" s="91" t="str">
        <f t="shared" si="173"/>
        <v>Sinapi 93015</v>
      </c>
      <c r="K2816" s="91" t="str">
        <f t="shared" si="174"/>
        <v>UN</v>
      </c>
      <c r="L2816" s="166" t="str">
        <f t="shared" si="175"/>
        <v>12/2021</v>
      </c>
      <c r="M2816" s="82"/>
      <c r="N2816" s="82"/>
    </row>
    <row r="2817" spans="1:14" x14ac:dyDescent="0.25">
      <c r="A2817" s="170" t="s">
        <v>5631</v>
      </c>
      <c r="B2817" s="170" t="s">
        <v>15096</v>
      </c>
      <c r="C2817" s="170" t="s">
        <v>205</v>
      </c>
      <c r="D2817" s="170" t="s">
        <v>2067</v>
      </c>
      <c r="E2817" s="171" t="s">
        <v>17951</v>
      </c>
      <c r="F2817" s="171" t="s">
        <v>20349</v>
      </c>
      <c r="G2817" s="82"/>
      <c r="H2817" s="96">
        <f t="shared" si="172"/>
        <v>28</v>
      </c>
      <c r="I2817" s="96">
        <f t="shared" si="172"/>
        <v>29.65</v>
      </c>
      <c r="J2817" s="91" t="str">
        <f t="shared" si="173"/>
        <v>Sinapi 93016</v>
      </c>
      <c r="K2817" s="91" t="str">
        <f t="shared" si="174"/>
        <v>UN</v>
      </c>
      <c r="L2817" s="166" t="str">
        <f t="shared" si="175"/>
        <v>12/2021</v>
      </c>
      <c r="M2817" s="82"/>
      <c r="N2817" s="82"/>
    </row>
    <row r="2818" spans="1:14" x14ac:dyDescent="0.25">
      <c r="A2818" s="170" t="s">
        <v>5632</v>
      </c>
      <c r="B2818" s="170" t="s">
        <v>15097</v>
      </c>
      <c r="C2818" s="170" t="s">
        <v>205</v>
      </c>
      <c r="D2818" s="170" t="s">
        <v>2067</v>
      </c>
      <c r="E2818" s="171" t="s">
        <v>23083</v>
      </c>
      <c r="F2818" s="171" t="s">
        <v>28609</v>
      </c>
      <c r="G2818" s="82"/>
      <c r="H2818" s="96">
        <f t="shared" si="172"/>
        <v>41.69</v>
      </c>
      <c r="I2818" s="96">
        <f t="shared" si="172"/>
        <v>43.74</v>
      </c>
      <c r="J2818" s="91" t="str">
        <f t="shared" si="173"/>
        <v>Sinapi 93017</v>
      </c>
      <c r="K2818" s="91" t="str">
        <f t="shared" si="174"/>
        <v>UN</v>
      </c>
      <c r="L2818" s="166" t="str">
        <f t="shared" si="175"/>
        <v>12/2021</v>
      </c>
      <c r="M2818" s="82"/>
      <c r="N2818" s="82"/>
    </row>
    <row r="2819" spans="1:14" x14ac:dyDescent="0.25">
      <c r="A2819" s="170" t="s">
        <v>5633</v>
      </c>
      <c r="B2819" s="170" t="s">
        <v>15098</v>
      </c>
      <c r="C2819" s="170" t="s">
        <v>205</v>
      </c>
      <c r="D2819" s="170" t="s">
        <v>2067</v>
      </c>
      <c r="E2819" s="171" t="s">
        <v>7521</v>
      </c>
      <c r="F2819" s="171" t="s">
        <v>24765</v>
      </c>
      <c r="G2819" s="82"/>
      <c r="H2819" s="96">
        <f t="shared" si="172"/>
        <v>19.41</v>
      </c>
      <c r="I2819" s="96">
        <f t="shared" si="172"/>
        <v>21.03</v>
      </c>
      <c r="J2819" s="91" t="str">
        <f t="shared" si="173"/>
        <v>Sinapi 93018</v>
      </c>
      <c r="K2819" s="91" t="str">
        <f t="shared" si="174"/>
        <v>UN</v>
      </c>
      <c r="L2819" s="166" t="str">
        <f t="shared" si="175"/>
        <v>12/2021</v>
      </c>
      <c r="M2819" s="82"/>
      <c r="N2819" s="82"/>
    </row>
    <row r="2820" spans="1:14" x14ac:dyDescent="0.25">
      <c r="A2820" s="170" t="s">
        <v>5634</v>
      </c>
      <c r="B2820" s="170" t="s">
        <v>15099</v>
      </c>
      <c r="C2820" s="170" t="s">
        <v>205</v>
      </c>
      <c r="D2820" s="170" t="s">
        <v>2067</v>
      </c>
      <c r="E2820" s="171" t="s">
        <v>21291</v>
      </c>
      <c r="F2820" s="171" t="s">
        <v>22029</v>
      </c>
      <c r="G2820" s="82"/>
      <c r="H2820" s="96">
        <f t="shared" si="172"/>
        <v>24.66</v>
      </c>
      <c r="I2820" s="96">
        <f t="shared" si="172"/>
        <v>26.53</v>
      </c>
      <c r="J2820" s="91" t="str">
        <f t="shared" si="173"/>
        <v>Sinapi 93020</v>
      </c>
      <c r="K2820" s="91" t="str">
        <f t="shared" si="174"/>
        <v>UN</v>
      </c>
      <c r="L2820" s="166" t="str">
        <f t="shared" si="175"/>
        <v>12/2021</v>
      </c>
      <c r="M2820" s="82"/>
      <c r="N2820" s="82"/>
    </row>
    <row r="2821" spans="1:14" x14ac:dyDescent="0.25">
      <c r="A2821" s="170" t="s">
        <v>5635</v>
      </c>
      <c r="B2821" s="170" t="s">
        <v>15100</v>
      </c>
      <c r="C2821" s="170" t="s">
        <v>205</v>
      </c>
      <c r="D2821" s="170" t="s">
        <v>2067</v>
      </c>
      <c r="E2821" s="171" t="s">
        <v>28840</v>
      </c>
      <c r="F2821" s="171" t="s">
        <v>36330</v>
      </c>
      <c r="G2821" s="82"/>
      <c r="H2821" s="96">
        <f t="shared" si="172"/>
        <v>40.33</v>
      </c>
      <c r="I2821" s="96">
        <f t="shared" si="172"/>
        <v>42.56</v>
      </c>
      <c r="J2821" s="91" t="str">
        <f t="shared" si="173"/>
        <v>Sinapi 93022</v>
      </c>
      <c r="K2821" s="91" t="str">
        <f t="shared" si="174"/>
        <v>UN</v>
      </c>
      <c r="L2821" s="166" t="str">
        <f t="shared" si="175"/>
        <v>12/2021</v>
      </c>
      <c r="M2821" s="82"/>
      <c r="N2821" s="82"/>
    </row>
    <row r="2822" spans="1:14" x14ac:dyDescent="0.25">
      <c r="A2822" s="170" t="s">
        <v>5636</v>
      </c>
      <c r="B2822" s="170" t="s">
        <v>15101</v>
      </c>
      <c r="C2822" s="170" t="s">
        <v>205</v>
      </c>
      <c r="D2822" s="170" t="s">
        <v>2067</v>
      </c>
      <c r="E2822" s="171" t="s">
        <v>33059</v>
      </c>
      <c r="F2822" s="171" t="s">
        <v>36331</v>
      </c>
      <c r="G2822" s="82"/>
      <c r="H2822" s="96">
        <f t="shared" si="172"/>
        <v>42.53</v>
      </c>
      <c r="I2822" s="96">
        <f t="shared" si="172"/>
        <v>45.01</v>
      </c>
      <c r="J2822" s="91" t="str">
        <f t="shared" si="173"/>
        <v>Sinapi 93024</v>
      </c>
      <c r="K2822" s="91" t="str">
        <f t="shared" si="174"/>
        <v>UN</v>
      </c>
      <c r="L2822" s="166" t="str">
        <f t="shared" si="175"/>
        <v>12/2021</v>
      </c>
      <c r="M2822" s="82"/>
      <c r="N2822" s="82"/>
    </row>
    <row r="2823" spans="1:14" x14ac:dyDescent="0.25">
      <c r="A2823" s="170" t="s">
        <v>5637</v>
      </c>
      <c r="B2823" s="170" t="s">
        <v>15102</v>
      </c>
      <c r="C2823" s="170" t="s">
        <v>205</v>
      </c>
      <c r="D2823" s="170" t="s">
        <v>2067</v>
      </c>
      <c r="E2823" s="171" t="s">
        <v>29204</v>
      </c>
      <c r="F2823" s="171" t="s">
        <v>29029</v>
      </c>
      <c r="G2823" s="82"/>
      <c r="H2823" s="96">
        <f t="shared" si="172"/>
        <v>68.599999999999994</v>
      </c>
      <c r="I2823" s="96">
        <f t="shared" si="172"/>
        <v>71.680000000000007</v>
      </c>
      <c r="J2823" s="91" t="str">
        <f t="shared" si="173"/>
        <v>Sinapi 93026</v>
      </c>
      <c r="K2823" s="91" t="str">
        <f t="shared" si="174"/>
        <v>UN</v>
      </c>
      <c r="L2823" s="166" t="str">
        <f t="shared" si="175"/>
        <v>12/2021</v>
      </c>
      <c r="M2823" s="82"/>
      <c r="N2823" s="82"/>
    </row>
    <row r="2824" spans="1:14" x14ac:dyDescent="0.25">
      <c r="A2824" s="170" t="s">
        <v>5639</v>
      </c>
      <c r="B2824" s="170" t="s">
        <v>20218</v>
      </c>
      <c r="C2824" s="170" t="s">
        <v>205</v>
      </c>
      <c r="D2824" s="170" t="s">
        <v>2067</v>
      </c>
      <c r="E2824" s="171" t="s">
        <v>21024</v>
      </c>
      <c r="F2824" s="171" t="s">
        <v>19394</v>
      </c>
      <c r="G2824" s="82"/>
      <c r="H2824" s="96">
        <f t="shared" ref="H2824:I2887" si="176">IF(E2824="","",E2824+0)</f>
        <v>11.05</v>
      </c>
      <c r="I2824" s="96">
        <f t="shared" si="176"/>
        <v>12.04</v>
      </c>
      <c r="J2824" s="91" t="str">
        <f t="shared" ref="J2824:J2887" si="177">IF(OR(H2824="",I2824=""),"",TRIM(CONCATENATE("Sinapi ",A2824)))</f>
        <v>Sinapi 97559</v>
      </c>
      <c r="K2824" s="91" t="str">
        <f t="shared" ref="K2824:K2887" si="178">TRIM(C2824)</f>
        <v>UN</v>
      </c>
      <c r="L2824" s="166" t="str">
        <f t="shared" ref="L2824:L2887" si="179">IF(OR(RIGHT(IF(AND(K2824&lt;&gt;"H",K2824&lt;&gt;"MES"),RIGHT(B2824,7),""),2)="PS",RIGHT(IF(AND(K2824&lt;&gt;"H",K2824&lt;&gt;"MES"),RIGHT(B2824,7),""),2)="PA",RIGHT(IF(AND(K2824&lt;&gt;"H",K2824&lt;&gt;"MES"),RIGHT(B2824,7),""),2)="PE"),LEFT(IF(AND(K2824&lt;&gt;"H",K2824&lt;&gt;"MES"),RIGHT(B2824,10),""),7),IF(AND(K2824&lt;&gt;"H",K2824&lt;&gt;"MES"),RIGHT(B2824,7),""))</f>
        <v>03/2023</v>
      </c>
      <c r="M2824" s="82"/>
      <c r="N2824" s="82"/>
    </row>
    <row r="2825" spans="1:14" x14ac:dyDescent="0.25">
      <c r="A2825" s="170" t="s">
        <v>5640</v>
      </c>
      <c r="B2825" s="170" t="s">
        <v>20219</v>
      </c>
      <c r="C2825" s="170" t="s">
        <v>205</v>
      </c>
      <c r="D2825" s="170" t="s">
        <v>2067</v>
      </c>
      <c r="E2825" s="171" t="s">
        <v>5207</v>
      </c>
      <c r="F2825" s="171" t="s">
        <v>22811</v>
      </c>
      <c r="G2825" s="82"/>
      <c r="H2825" s="96">
        <f t="shared" si="176"/>
        <v>9.15</v>
      </c>
      <c r="I2825" s="96">
        <f t="shared" si="176"/>
        <v>9.93</v>
      </c>
      <c r="J2825" s="91" t="str">
        <f t="shared" si="177"/>
        <v>Sinapi 97562</v>
      </c>
      <c r="K2825" s="91" t="str">
        <f t="shared" si="178"/>
        <v>UN</v>
      </c>
      <c r="L2825" s="166" t="str">
        <f t="shared" si="179"/>
        <v>03/2023</v>
      </c>
      <c r="M2825" s="82"/>
      <c r="N2825" s="82"/>
    </row>
    <row r="2826" spans="1:14" x14ac:dyDescent="0.25">
      <c r="A2826" s="170" t="s">
        <v>5641</v>
      </c>
      <c r="B2826" s="170" t="s">
        <v>20220</v>
      </c>
      <c r="C2826" s="170" t="s">
        <v>205</v>
      </c>
      <c r="D2826" s="170" t="s">
        <v>2067</v>
      </c>
      <c r="E2826" s="171" t="s">
        <v>19289</v>
      </c>
      <c r="F2826" s="171" t="s">
        <v>15583</v>
      </c>
      <c r="G2826" s="82"/>
      <c r="H2826" s="96">
        <f t="shared" si="176"/>
        <v>14.87</v>
      </c>
      <c r="I2826" s="96">
        <f t="shared" si="176"/>
        <v>16.3</v>
      </c>
      <c r="J2826" s="91" t="str">
        <f t="shared" si="177"/>
        <v>Sinapi 97564</v>
      </c>
      <c r="K2826" s="91" t="str">
        <f t="shared" si="178"/>
        <v>UN</v>
      </c>
      <c r="L2826" s="166" t="str">
        <f t="shared" si="179"/>
        <v>03/2023</v>
      </c>
      <c r="M2826" s="82"/>
      <c r="N2826" s="82"/>
    </row>
    <row r="2827" spans="1:14" x14ac:dyDescent="0.25">
      <c r="A2827" s="170" t="s">
        <v>18138</v>
      </c>
      <c r="B2827" s="170" t="s">
        <v>18139</v>
      </c>
      <c r="C2827" s="170" t="s">
        <v>205</v>
      </c>
      <c r="D2827" s="170" t="s">
        <v>2067</v>
      </c>
      <c r="E2827" s="171" t="s">
        <v>16149</v>
      </c>
      <c r="F2827" s="171" t="s">
        <v>15574</v>
      </c>
      <c r="G2827" s="82"/>
      <c r="H2827" s="96">
        <f t="shared" si="176"/>
        <v>17.87</v>
      </c>
      <c r="I2827" s="96">
        <f t="shared" si="176"/>
        <v>18.91</v>
      </c>
      <c r="J2827" s="91" t="str">
        <f t="shared" si="177"/>
        <v>Sinapi 104395</v>
      </c>
      <c r="K2827" s="91" t="str">
        <f t="shared" si="178"/>
        <v>UN</v>
      </c>
      <c r="L2827" s="166" t="str">
        <f t="shared" si="179"/>
        <v>10/2022</v>
      </c>
      <c r="M2827" s="82"/>
      <c r="N2827" s="82"/>
    </row>
    <row r="2828" spans="1:14" x14ac:dyDescent="0.25">
      <c r="A2828" s="170" t="s">
        <v>5642</v>
      </c>
      <c r="B2828" s="170" t="s">
        <v>20221</v>
      </c>
      <c r="C2828" s="170" t="s">
        <v>385</v>
      </c>
      <c r="D2828" s="170" t="s">
        <v>2067</v>
      </c>
      <c r="E2828" s="171" t="s">
        <v>29864</v>
      </c>
      <c r="F2828" s="171" t="s">
        <v>24917</v>
      </c>
      <c r="G2828" s="82"/>
      <c r="H2828" s="96">
        <f t="shared" si="176"/>
        <v>2.92</v>
      </c>
      <c r="I2828" s="96">
        <f t="shared" si="176"/>
        <v>3.03</v>
      </c>
      <c r="J2828" s="91" t="str">
        <f t="shared" si="177"/>
        <v>Sinapi 91924</v>
      </c>
      <c r="K2828" s="91" t="str">
        <f t="shared" si="178"/>
        <v>M</v>
      </c>
      <c r="L2828" s="166" t="str">
        <f t="shared" si="179"/>
        <v>03/2023</v>
      </c>
      <c r="M2828" s="82"/>
      <c r="N2828" s="82"/>
    </row>
    <row r="2829" spans="1:14" x14ac:dyDescent="0.25">
      <c r="A2829" s="170" t="s">
        <v>5643</v>
      </c>
      <c r="B2829" s="170" t="s">
        <v>20222</v>
      </c>
      <c r="C2829" s="170" t="s">
        <v>385</v>
      </c>
      <c r="D2829" s="170" t="s">
        <v>2067</v>
      </c>
      <c r="E2829" s="171" t="s">
        <v>23898</v>
      </c>
      <c r="F2829" s="171" t="s">
        <v>21086</v>
      </c>
      <c r="G2829" s="82"/>
      <c r="H2829" s="96">
        <f t="shared" si="176"/>
        <v>3.58</v>
      </c>
      <c r="I2829" s="96">
        <f t="shared" si="176"/>
        <v>3.69</v>
      </c>
      <c r="J2829" s="91" t="str">
        <f t="shared" si="177"/>
        <v>Sinapi 91925</v>
      </c>
      <c r="K2829" s="91" t="str">
        <f t="shared" si="178"/>
        <v>M</v>
      </c>
      <c r="L2829" s="166" t="str">
        <f t="shared" si="179"/>
        <v>03/2023</v>
      </c>
      <c r="M2829" s="82"/>
      <c r="N2829" s="82"/>
    </row>
    <row r="2830" spans="1:14" x14ac:dyDescent="0.25">
      <c r="A2830" s="170" t="s">
        <v>5644</v>
      </c>
      <c r="B2830" s="170" t="s">
        <v>20223</v>
      </c>
      <c r="C2830" s="170" t="s">
        <v>385</v>
      </c>
      <c r="D2830" s="170" t="s">
        <v>2067</v>
      </c>
      <c r="E2830" s="171" t="s">
        <v>6537</v>
      </c>
      <c r="F2830" s="171" t="s">
        <v>19395</v>
      </c>
      <c r="G2830" s="82"/>
      <c r="H2830" s="96">
        <f t="shared" si="176"/>
        <v>4.2699999999999996</v>
      </c>
      <c r="I2830" s="96">
        <f t="shared" si="176"/>
        <v>4.42</v>
      </c>
      <c r="J2830" s="91" t="str">
        <f t="shared" si="177"/>
        <v>Sinapi 91926</v>
      </c>
      <c r="K2830" s="91" t="str">
        <f t="shared" si="178"/>
        <v>M</v>
      </c>
      <c r="L2830" s="166" t="str">
        <f t="shared" si="179"/>
        <v>03/2023</v>
      </c>
      <c r="M2830" s="82"/>
      <c r="N2830" s="82"/>
    </row>
    <row r="2831" spans="1:14" x14ac:dyDescent="0.25">
      <c r="A2831" s="170" t="s">
        <v>5645</v>
      </c>
      <c r="B2831" s="170" t="s">
        <v>20224</v>
      </c>
      <c r="C2831" s="170" t="s">
        <v>385</v>
      </c>
      <c r="D2831" s="170" t="s">
        <v>2067</v>
      </c>
      <c r="E2831" s="171" t="s">
        <v>33060</v>
      </c>
      <c r="F2831" s="171" t="s">
        <v>11612</v>
      </c>
      <c r="G2831" s="82"/>
      <c r="H2831" s="96">
        <f t="shared" si="176"/>
        <v>4.83</v>
      </c>
      <c r="I2831" s="96">
        <f t="shared" si="176"/>
        <v>4.9800000000000004</v>
      </c>
      <c r="J2831" s="91" t="str">
        <f t="shared" si="177"/>
        <v>Sinapi 91927</v>
      </c>
      <c r="K2831" s="91" t="str">
        <f t="shared" si="178"/>
        <v>M</v>
      </c>
      <c r="L2831" s="166" t="str">
        <f t="shared" si="179"/>
        <v>03/2023</v>
      </c>
      <c r="M2831" s="82"/>
      <c r="N2831" s="82"/>
    </row>
    <row r="2832" spans="1:14" x14ac:dyDescent="0.25">
      <c r="A2832" s="170" t="s">
        <v>5646</v>
      </c>
      <c r="B2832" s="170" t="s">
        <v>20225</v>
      </c>
      <c r="C2832" s="170" t="s">
        <v>385</v>
      </c>
      <c r="D2832" s="170" t="s">
        <v>2067</v>
      </c>
      <c r="E2832" s="171" t="s">
        <v>3792</v>
      </c>
      <c r="F2832" s="171" t="s">
        <v>21105</v>
      </c>
      <c r="G2832" s="82"/>
      <c r="H2832" s="96">
        <f t="shared" si="176"/>
        <v>6.69</v>
      </c>
      <c r="I2832" s="96">
        <f t="shared" si="176"/>
        <v>6.88</v>
      </c>
      <c r="J2832" s="91" t="str">
        <f t="shared" si="177"/>
        <v>Sinapi 91928</v>
      </c>
      <c r="K2832" s="91" t="str">
        <f t="shared" si="178"/>
        <v>M</v>
      </c>
      <c r="L2832" s="166" t="str">
        <f t="shared" si="179"/>
        <v>03/2023</v>
      </c>
      <c r="M2832" s="82"/>
      <c r="N2832" s="82"/>
    </row>
    <row r="2833" spans="1:14" x14ac:dyDescent="0.25">
      <c r="A2833" s="170" t="s">
        <v>5647</v>
      </c>
      <c r="B2833" s="170" t="s">
        <v>20226</v>
      </c>
      <c r="C2833" s="170" t="s">
        <v>385</v>
      </c>
      <c r="D2833" s="170" t="s">
        <v>2067</v>
      </c>
      <c r="E2833" s="171" t="s">
        <v>18572</v>
      </c>
      <c r="F2833" s="171" t="s">
        <v>19876</v>
      </c>
      <c r="G2833" s="82"/>
      <c r="H2833" s="96">
        <f t="shared" si="176"/>
        <v>7.19</v>
      </c>
      <c r="I2833" s="96">
        <f t="shared" si="176"/>
        <v>7.38</v>
      </c>
      <c r="J2833" s="91" t="str">
        <f t="shared" si="177"/>
        <v>Sinapi 91929</v>
      </c>
      <c r="K2833" s="91" t="str">
        <f t="shared" si="178"/>
        <v>M</v>
      </c>
      <c r="L2833" s="166" t="str">
        <f t="shared" si="179"/>
        <v>03/2023</v>
      </c>
      <c r="M2833" s="82"/>
      <c r="N2833" s="82"/>
    </row>
    <row r="2834" spans="1:14" x14ac:dyDescent="0.25">
      <c r="A2834" s="170" t="s">
        <v>5648</v>
      </c>
      <c r="B2834" s="170" t="s">
        <v>20227</v>
      </c>
      <c r="C2834" s="170" t="s">
        <v>385</v>
      </c>
      <c r="D2834" s="170" t="s">
        <v>2067</v>
      </c>
      <c r="E2834" s="171" t="s">
        <v>19389</v>
      </c>
      <c r="F2834" s="171" t="s">
        <v>19906</v>
      </c>
      <c r="G2834" s="82"/>
      <c r="H2834" s="96">
        <f t="shared" si="176"/>
        <v>9.3800000000000008</v>
      </c>
      <c r="I2834" s="96">
        <f t="shared" si="176"/>
        <v>9.6300000000000008</v>
      </c>
      <c r="J2834" s="91" t="str">
        <f t="shared" si="177"/>
        <v>Sinapi 91930</v>
      </c>
      <c r="K2834" s="91" t="str">
        <f t="shared" si="178"/>
        <v>M</v>
      </c>
      <c r="L2834" s="166" t="str">
        <f t="shared" si="179"/>
        <v>03/2023</v>
      </c>
      <c r="M2834" s="82"/>
      <c r="N2834" s="82"/>
    </row>
    <row r="2835" spans="1:14" x14ac:dyDescent="0.25">
      <c r="A2835" s="170" t="s">
        <v>5649</v>
      </c>
      <c r="B2835" s="170" t="s">
        <v>20228</v>
      </c>
      <c r="C2835" s="170" t="s">
        <v>385</v>
      </c>
      <c r="D2835" s="170" t="s">
        <v>2067</v>
      </c>
      <c r="E2835" s="171" t="s">
        <v>5620</v>
      </c>
      <c r="F2835" s="171" t="s">
        <v>17300</v>
      </c>
      <c r="G2835" s="82"/>
      <c r="H2835" s="96">
        <f t="shared" si="176"/>
        <v>10.19</v>
      </c>
      <c r="I2835" s="96">
        <f t="shared" si="176"/>
        <v>10.44</v>
      </c>
      <c r="J2835" s="91" t="str">
        <f t="shared" si="177"/>
        <v>Sinapi 91931</v>
      </c>
      <c r="K2835" s="91" t="str">
        <f t="shared" si="178"/>
        <v>M</v>
      </c>
      <c r="L2835" s="166" t="str">
        <f t="shared" si="179"/>
        <v>03/2023</v>
      </c>
      <c r="M2835" s="82"/>
      <c r="N2835" s="82"/>
    </row>
    <row r="2836" spans="1:14" x14ac:dyDescent="0.25">
      <c r="A2836" s="170" t="s">
        <v>5650</v>
      </c>
      <c r="B2836" s="170" t="s">
        <v>20229</v>
      </c>
      <c r="C2836" s="170" t="s">
        <v>385</v>
      </c>
      <c r="D2836" s="170" t="s">
        <v>2067</v>
      </c>
      <c r="E2836" s="171" t="s">
        <v>33061</v>
      </c>
      <c r="F2836" s="171" t="s">
        <v>11446</v>
      </c>
      <c r="G2836" s="82"/>
      <c r="H2836" s="96">
        <f t="shared" si="176"/>
        <v>17</v>
      </c>
      <c r="I2836" s="96">
        <f t="shared" si="176"/>
        <v>17.37</v>
      </c>
      <c r="J2836" s="91" t="str">
        <f t="shared" si="177"/>
        <v>Sinapi 91932</v>
      </c>
      <c r="K2836" s="91" t="str">
        <f t="shared" si="178"/>
        <v>M</v>
      </c>
      <c r="L2836" s="166" t="str">
        <f t="shared" si="179"/>
        <v>03/2023</v>
      </c>
      <c r="M2836" s="82"/>
      <c r="N2836" s="82"/>
    </row>
    <row r="2837" spans="1:14" x14ac:dyDescent="0.25">
      <c r="A2837" s="170" t="s">
        <v>5652</v>
      </c>
      <c r="B2837" s="170" t="s">
        <v>20230</v>
      </c>
      <c r="C2837" s="170" t="s">
        <v>385</v>
      </c>
      <c r="D2837" s="170" t="s">
        <v>2067</v>
      </c>
      <c r="E2837" s="171" t="s">
        <v>28686</v>
      </c>
      <c r="F2837" s="171" t="s">
        <v>31731</v>
      </c>
      <c r="G2837" s="82"/>
      <c r="H2837" s="96">
        <f t="shared" si="176"/>
        <v>16.350000000000001</v>
      </c>
      <c r="I2837" s="96">
        <f t="shared" si="176"/>
        <v>16.72</v>
      </c>
      <c r="J2837" s="91" t="str">
        <f t="shared" si="177"/>
        <v>Sinapi 91933</v>
      </c>
      <c r="K2837" s="91" t="str">
        <f t="shared" si="178"/>
        <v>M</v>
      </c>
      <c r="L2837" s="166" t="str">
        <f t="shared" si="179"/>
        <v>03/2023</v>
      </c>
      <c r="M2837" s="82"/>
      <c r="N2837" s="82"/>
    </row>
    <row r="2838" spans="1:14" x14ac:dyDescent="0.25">
      <c r="A2838" s="170" t="s">
        <v>5653</v>
      </c>
      <c r="B2838" s="170" t="s">
        <v>20231</v>
      </c>
      <c r="C2838" s="170" t="s">
        <v>385</v>
      </c>
      <c r="D2838" s="170" t="s">
        <v>2067</v>
      </c>
      <c r="E2838" s="171" t="s">
        <v>17949</v>
      </c>
      <c r="F2838" s="171" t="s">
        <v>36332</v>
      </c>
      <c r="G2838" s="82"/>
      <c r="H2838" s="96">
        <f t="shared" si="176"/>
        <v>24.51</v>
      </c>
      <c r="I2838" s="96">
        <f t="shared" si="176"/>
        <v>25.06</v>
      </c>
      <c r="J2838" s="91" t="str">
        <f t="shared" si="177"/>
        <v>Sinapi 91934</v>
      </c>
      <c r="K2838" s="91" t="str">
        <f t="shared" si="178"/>
        <v>M</v>
      </c>
      <c r="L2838" s="166" t="str">
        <f t="shared" si="179"/>
        <v>03/2023</v>
      </c>
      <c r="M2838" s="82"/>
      <c r="N2838" s="82"/>
    </row>
    <row r="2839" spans="1:14" x14ac:dyDescent="0.25">
      <c r="A2839" s="170" t="s">
        <v>5654</v>
      </c>
      <c r="B2839" s="170" t="s">
        <v>20232</v>
      </c>
      <c r="C2839" s="170" t="s">
        <v>385</v>
      </c>
      <c r="D2839" s="170" t="s">
        <v>2067</v>
      </c>
      <c r="E2839" s="171" t="s">
        <v>21847</v>
      </c>
      <c r="F2839" s="171" t="s">
        <v>23006</v>
      </c>
      <c r="G2839" s="82"/>
      <c r="H2839" s="96">
        <f t="shared" si="176"/>
        <v>25.74</v>
      </c>
      <c r="I2839" s="96">
        <f t="shared" si="176"/>
        <v>26.29</v>
      </c>
      <c r="J2839" s="91" t="str">
        <f t="shared" si="177"/>
        <v>Sinapi 91935</v>
      </c>
      <c r="K2839" s="91" t="str">
        <f t="shared" si="178"/>
        <v>M</v>
      </c>
      <c r="L2839" s="166" t="str">
        <f t="shared" si="179"/>
        <v>03/2023</v>
      </c>
      <c r="M2839" s="82"/>
      <c r="N2839" s="82"/>
    </row>
    <row r="2840" spans="1:14" x14ac:dyDescent="0.25">
      <c r="A2840" s="170" t="s">
        <v>5655</v>
      </c>
      <c r="B2840" s="170" t="s">
        <v>5656</v>
      </c>
      <c r="C2840" s="170" t="s">
        <v>385</v>
      </c>
      <c r="D2840" s="170" t="s">
        <v>2067</v>
      </c>
      <c r="E2840" s="171" t="s">
        <v>14950</v>
      </c>
      <c r="F2840" s="171" t="s">
        <v>19911</v>
      </c>
      <c r="G2840" s="82"/>
      <c r="H2840" s="96">
        <f t="shared" si="176"/>
        <v>11.73</v>
      </c>
      <c r="I2840" s="96">
        <f t="shared" si="176"/>
        <v>11.78</v>
      </c>
      <c r="J2840" s="91" t="str">
        <f t="shared" si="177"/>
        <v>Sinapi 92979</v>
      </c>
      <c r="K2840" s="91" t="str">
        <f t="shared" si="178"/>
        <v>M</v>
      </c>
      <c r="L2840" s="166" t="str">
        <f t="shared" si="179"/>
        <v>12/2015</v>
      </c>
      <c r="M2840" s="82"/>
      <c r="N2840" s="82"/>
    </row>
    <row r="2841" spans="1:14" x14ac:dyDescent="0.25">
      <c r="A2841" s="170" t="s">
        <v>5657</v>
      </c>
      <c r="B2841" s="170" t="s">
        <v>5658</v>
      </c>
      <c r="C2841" s="170" t="s">
        <v>385</v>
      </c>
      <c r="D2841" s="170" t="s">
        <v>2067</v>
      </c>
      <c r="E2841" s="171" t="s">
        <v>21892</v>
      </c>
      <c r="F2841" s="171" t="s">
        <v>14929</v>
      </c>
      <c r="G2841" s="82"/>
      <c r="H2841" s="96">
        <f t="shared" si="176"/>
        <v>11.2</v>
      </c>
      <c r="I2841" s="96">
        <f t="shared" si="176"/>
        <v>11.25</v>
      </c>
      <c r="J2841" s="91" t="str">
        <f t="shared" si="177"/>
        <v>Sinapi 92980</v>
      </c>
      <c r="K2841" s="91" t="str">
        <f t="shared" si="178"/>
        <v>M</v>
      </c>
      <c r="L2841" s="166" t="str">
        <f t="shared" si="179"/>
        <v>12/2015</v>
      </c>
      <c r="M2841" s="82"/>
      <c r="N2841" s="82"/>
    </row>
    <row r="2842" spans="1:14" x14ac:dyDescent="0.25">
      <c r="A2842" s="170" t="s">
        <v>5659</v>
      </c>
      <c r="B2842" s="170" t="s">
        <v>5660</v>
      </c>
      <c r="C2842" s="170" t="s">
        <v>385</v>
      </c>
      <c r="D2842" s="170" t="s">
        <v>2067</v>
      </c>
      <c r="E2842" s="171" t="s">
        <v>15688</v>
      </c>
      <c r="F2842" s="171" t="s">
        <v>19366</v>
      </c>
      <c r="G2842" s="82"/>
      <c r="H2842" s="96">
        <f t="shared" si="176"/>
        <v>16.760000000000002</v>
      </c>
      <c r="I2842" s="96">
        <f t="shared" si="176"/>
        <v>16.82</v>
      </c>
      <c r="J2842" s="91" t="str">
        <f t="shared" si="177"/>
        <v>Sinapi 92981</v>
      </c>
      <c r="K2842" s="91" t="str">
        <f t="shared" si="178"/>
        <v>M</v>
      </c>
      <c r="L2842" s="166" t="str">
        <f t="shared" si="179"/>
        <v>12/2015</v>
      </c>
      <c r="M2842" s="82"/>
      <c r="N2842" s="82"/>
    </row>
    <row r="2843" spans="1:14" x14ac:dyDescent="0.25">
      <c r="A2843" s="170" t="s">
        <v>5661</v>
      </c>
      <c r="B2843" s="170" t="s">
        <v>5662</v>
      </c>
      <c r="C2843" s="170" t="s">
        <v>385</v>
      </c>
      <c r="D2843" s="170" t="s">
        <v>2067</v>
      </c>
      <c r="E2843" s="171" t="s">
        <v>17444</v>
      </c>
      <c r="F2843" s="171" t="s">
        <v>15536</v>
      </c>
      <c r="G2843" s="82"/>
      <c r="H2843" s="96">
        <f t="shared" si="176"/>
        <v>17.78</v>
      </c>
      <c r="I2843" s="96">
        <f t="shared" si="176"/>
        <v>17.84</v>
      </c>
      <c r="J2843" s="91" t="str">
        <f t="shared" si="177"/>
        <v>Sinapi 92982</v>
      </c>
      <c r="K2843" s="91" t="str">
        <f t="shared" si="178"/>
        <v>M</v>
      </c>
      <c r="L2843" s="166" t="str">
        <f t="shared" si="179"/>
        <v>12/2015</v>
      </c>
      <c r="M2843" s="82"/>
      <c r="N2843" s="82"/>
    </row>
    <row r="2844" spans="1:14" x14ac:dyDescent="0.25">
      <c r="A2844" s="170" t="s">
        <v>5665</v>
      </c>
      <c r="B2844" s="170" t="s">
        <v>15104</v>
      </c>
      <c r="C2844" s="170" t="s">
        <v>385</v>
      </c>
      <c r="D2844" s="170" t="s">
        <v>2067</v>
      </c>
      <c r="E2844" s="171" t="s">
        <v>28563</v>
      </c>
      <c r="F2844" s="171" t="s">
        <v>21095</v>
      </c>
      <c r="G2844" s="82"/>
      <c r="H2844" s="96">
        <f t="shared" si="176"/>
        <v>28.97</v>
      </c>
      <c r="I2844" s="96">
        <f t="shared" si="176"/>
        <v>29.26</v>
      </c>
      <c r="J2844" s="91" t="str">
        <f t="shared" si="177"/>
        <v>Sinapi 92984</v>
      </c>
      <c r="K2844" s="91" t="str">
        <f t="shared" si="178"/>
        <v>M</v>
      </c>
      <c r="L2844" s="166" t="str">
        <f t="shared" si="179"/>
        <v>12/2021</v>
      </c>
      <c r="M2844" s="82"/>
      <c r="N2844" s="82"/>
    </row>
    <row r="2845" spans="1:14" x14ac:dyDescent="0.25">
      <c r="A2845" s="170" t="s">
        <v>5666</v>
      </c>
      <c r="B2845" s="170" t="s">
        <v>15105</v>
      </c>
      <c r="C2845" s="170" t="s">
        <v>385</v>
      </c>
      <c r="D2845" s="170" t="s">
        <v>2067</v>
      </c>
      <c r="E2845" s="171" t="s">
        <v>33062</v>
      </c>
      <c r="F2845" s="171" t="s">
        <v>36333</v>
      </c>
      <c r="G2845" s="82"/>
      <c r="H2845" s="96">
        <f t="shared" si="176"/>
        <v>40.22</v>
      </c>
      <c r="I2845" s="96">
        <f t="shared" si="176"/>
        <v>40.56</v>
      </c>
      <c r="J2845" s="91" t="str">
        <f t="shared" si="177"/>
        <v>Sinapi 92986</v>
      </c>
      <c r="K2845" s="91" t="str">
        <f t="shared" si="178"/>
        <v>M</v>
      </c>
      <c r="L2845" s="166" t="str">
        <f t="shared" si="179"/>
        <v>12/2021</v>
      </c>
      <c r="M2845" s="82"/>
      <c r="N2845" s="82"/>
    </row>
    <row r="2846" spans="1:14" x14ac:dyDescent="0.25">
      <c r="A2846" s="170" t="s">
        <v>5667</v>
      </c>
      <c r="B2846" s="170" t="s">
        <v>15106</v>
      </c>
      <c r="C2846" s="170" t="s">
        <v>385</v>
      </c>
      <c r="D2846" s="170" t="s">
        <v>2067</v>
      </c>
      <c r="E2846" s="171" t="s">
        <v>33063</v>
      </c>
      <c r="F2846" s="171" t="s">
        <v>27888</v>
      </c>
      <c r="G2846" s="82"/>
      <c r="H2846" s="96">
        <f t="shared" si="176"/>
        <v>58.61</v>
      </c>
      <c r="I2846" s="96">
        <f t="shared" si="176"/>
        <v>59.01</v>
      </c>
      <c r="J2846" s="91" t="str">
        <f t="shared" si="177"/>
        <v>Sinapi 92988</v>
      </c>
      <c r="K2846" s="91" t="str">
        <f t="shared" si="178"/>
        <v>M</v>
      </c>
      <c r="L2846" s="166" t="str">
        <f t="shared" si="179"/>
        <v>12/2021</v>
      </c>
      <c r="M2846" s="82"/>
      <c r="N2846" s="82"/>
    </row>
    <row r="2847" spans="1:14" x14ac:dyDescent="0.25">
      <c r="A2847" s="170" t="s">
        <v>5668</v>
      </c>
      <c r="B2847" s="170" t="s">
        <v>15107</v>
      </c>
      <c r="C2847" s="170" t="s">
        <v>385</v>
      </c>
      <c r="D2847" s="170" t="s">
        <v>2067</v>
      </c>
      <c r="E2847" s="171" t="s">
        <v>33064</v>
      </c>
      <c r="F2847" s="171" t="s">
        <v>22812</v>
      </c>
      <c r="G2847" s="82"/>
      <c r="H2847" s="96">
        <f t="shared" si="176"/>
        <v>81.319999999999993</v>
      </c>
      <c r="I2847" s="96">
        <f t="shared" si="176"/>
        <v>81.8</v>
      </c>
      <c r="J2847" s="91" t="str">
        <f t="shared" si="177"/>
        <v>Sinapi 92990</v>
      </c>
      <c r="K2847" s="91" t="str">
        <f t="shared" si="178"/>
        <v>M</v>
      </c>
      <c r="L2847" s="166" t="str">
        <f t="shared" si="179"/>
        <v>12/2021</v>
      </c>
      <c r="M2847" s="82"/>
      <c r="N2847" s="82"/>
    </row>
    <row r="2848" spans="1:14" x14ac:dyDescent="0.25">
      <c r="A2848" s="170" t="s">
        <v>5669</v>
      </c>
      <c r="B2848" s="170" t="s">
        <v>15108</v>
      </c>
      <c r="C2848" s="170" t="s">
        <v>385</v>
      </c>
      <c r="D2848" s="170" t="s">
        <v>2067</v>
      </c>
      <c r="E2848" s="171" t="s">
        <v>33065</v>
      </c>
      <c r="F2848" s="171" t="s">
        <v>36334</v>
      </c>
      <c r="G2848" s="82"/>
      <c r="H2848" s="96">
        <f t="shared" si="176"/>
        <v>105.23</v>
      </c>
      <c r="I2848" s="96">
        <f t="shared" si="176"/>
        <v>105.82</v>
      </c>
      <c r="J2848" s="91" t="str">
        <f t="shared" si="177"/>
        <v>Sinapi 92992</v>
      </c>
      <c r="K2848" s="91" t="str">
        <f t="shared" si="178"/>
        <v>M</v>
      </c>
      <c r="L2848" s="166" t="str">
        <f t="shared" si="179"/>
        <v>12/2021</v>
      </c>
      <c r="M2848" s="82"/>
      <c r="N2848" s="82"/>
    </row>
    <row r="2849" spans="1:14" x14ac:dyDescent="0.25">
      <c r="A2849" s="170" t="s">
        <v>5670</v>
      </c>
      <c r="B2849" s="170" t="s">
        <v>15109</v>
      </c>
      <c r="C2849" s="170" t="s">
        <v>385</v>
      </c>
      <c r="D2849" s="170" t="s">
        <v>2067</v>
      </c>
      <c r="E2849" s="171" t="s">
        <v>26863</v>
      </c>
      <c r="F2849" s="171" t="s">
        <v>36335</v>
      </c>
      <c r="G2849" s="82"/>
      <c r="H2849" s="96">
        <f t="shared" si="176"/>
        <v>136.93</v>
      </c>
      <c r="I2849" s="96">
        <f t="shared" si="176"/>
        <v>137.63</v>
      </c>
      <c r="J2849" s="91" t="str">
        <f t="shared" si="177"/>
        <v>Sinapi 92994</v>
      </c>
      <c r="K2849" s="91" t="str">
        <f t="shared" si="178"/>
        <v>M</v>
      </c>
      <c r="L2849" s="166" t="str">
        <f t="shared" si="179"/>
        <v>12/2021</v>
      </c>
      <c r="M2849" s="82"/>
      <c r="N2849" s="82"/>
    </row>
    <row r="2850" spans="1:14" x14ac:dyDescent="0.25">
      <c r="A2850" s="170" t="s">
        <v>5671</v>
      </c>
      <c r="B2850" s="170" t="s">
        <v>15110</v>
      </c>
      <c r="C2850" s="170" t="s">
        <v>385</v>
      </c>
      <c r="D2850" s="170" t="s">
        <v>2067</v>
      </c>
      <c r="E2850" s="171" t="s">
        <v>33066</v>
      </c>
      <c r="F2850" s="171" t="s">
        <v>36336</v>
      </c>
      <c r="G2850" s="82"/>
      <c r="H2850" s="96">
        <f t="shared" si="176"/>
        <v>165.71</v>
      </c>
      <c r="I2850" s="96">
        <f t="shared" si="176"/>
        <v>166.53</v>
      </c>
      <c r="J2850" s="91" t="str">
        <f t="shared" si="177"/>
        <v>Sinapi 92996</v>
      </c>
      <c r="K2850" s="91" t="str">
        <f t="shared" si="178"/>
        <v>M</v>
      </c>
      <c r="L2850" s="166" t="str">
        <f t="shared" si="179"/>
        <v>12/2021</v>
      </c>
      <c r="M2850" s="82"/>
      <c r="N2850" s="82"/>
    </row>
    <row r="2851" spans="1:14" x14ac:dyDescent="0.25">
      <c r="A2851" s="170" t="s">
        <v>5672</v>
      </c>
      <c r="B2851" s="170" t="s">
        <v>15111</v>
      </c>
      <c r="C2851" s="170" t="s">
        <v>385</v>
      </c>
      <c r="D2851" s="170" t="s">
        <v>2067</v>
      </c>
      <c r="E2851" s="171" t="s">
        <v>33067</v>
      </c>
      <c r="F2851" s="171" t="s">
        <v>36337</v>
      </c>
      <c r="G2851" s="82"/>
      <c r="H2851" s="96">
        <f t="shared" si="176"/>
        <v>203.18</v>
      </c>
      <c r="I2851" s="96">
        <f t="shared" si="176"/>
        <v>204.17</v>
      </c>
      <c r="J2851" s="91" t="str">
        <f t="shared" si="177"/>
        <v>Sinapi 92998</v>
      </c>
      <c r="K2851" s="91" t="str">
        <f t="shared" si="178"/>
        <v>M</v>
      </c>
      <c r="L2851" s="166" t="str">
        <f t="shared" si="179"/>
        <v>12/2021</v>
      </c>
      <c r="M2851" s="82"/>
      <c r="N2851" s="82"/>
    </row>
    <row r="2852" spans="1:14" x14ac:dyDescent="0.25">
      <c r="A2852" s="170" t="s">
        <v>5673</v>
      </c>
      <c r="B2852" s="170" t="s">
        <v>15112</v>
      </c>
      <c r="C2852" s="170" t="s">
        <v>385</v>
      </c>
      <c r="D2852" s="170" t="s">
        <v>2067</v>
      </c>
      <c r="E2852" s="171" t="s">
        <v>33068</v>
      </c>
      <c r="F2852" s="171" t="s">
        <v>36338</v>
      </c>
      <c r="G2852" s="82"/>
      <c r="H2852" s="96">
        <f t="shared" si="176"/>
        <v>269.22000000000003</v>
      </c>
      <c r="I2852" s="96">
        <f t="shared" si="176"/>
        <v>270.44</v>
      </c>
      <c r="J2852" s="91" t="str">
        <f t="shared" si="177"/>
        <v>Sinapi 93000</v>
      </c>
      <c r="K2852" s="91" t="str">
        <f t="shared" si="178"/>
        <v>M</v>
      </c>
      <c r="L2852" s="166" t="str">
        <f t="shared" si="179"/>
        <v>12/2021</v>
      </c>
      <c r="M2852" s="82"/>
      <c r="N2852" s="82"/>
    </row>
    <row r="2853" spans="1:14" x14ac:dyDescent="0.25">
      <c r="A2853" s="170" t="s">
        <v>5674</v>
      </c>
      <c r="B2853" s="170" t="s">
        <v>15113</v>
      </c>
      <c r="C2853" s="170" t="s">
        <v>385</v>
      </c>
      <c r="D2853" s="170" t="s">
        <v>2067</v>
      </c>
      <c r="E2853" s="171" t="s">
        <v>32709</v>
      </c>
      <c r="F2853" s="171" t="s">
        <v>36339</v>
      </c>
      <c r="G2853" s="82"/>
      <c r="H2853" s="96">
        <f t="shared" si="176"/>
        <v>348.38</v>
      </c>
      <c r="I2853" s="96">
        <f t="shared" si="176"/>
        <v>349.85</v>
      </c>
      <c r="J2853" s="91" t="str">
        <f t="shared" si="177"/>
        <v>Sinapi 93002</v>
      </c>
      <c r="K2853" s="91" t="str">
        <f t="shared" si="178"/>
        <v>M</v>
      </c>
      <c r="L2853" s="166" t="str">
        <f t="shared" si="179"/>
        <v>12/2021</v>
      </c>
      <c r="M2853" s="82"/>
      <c r="N2853" s="82"/>
    </row>
    <row r="2854" spans="1:14" x14ac:dyDescent="0.25">
      <c r="A2854" s="170" t="s">
        <v>11641</v>
      </c>
      <c r="B2854" s="170" t="s">
        <v>11642</v>
      </c>
      <c r="C2854" s="170" t="s">
        <v>385</v>
      </c>
      <c r="D2854" s="170" t="s">
        <v>2067</v>
      </c>
      <c r="E2854" s="171" t="s">
        <v>19282</v>
      </c>
      <c r="F2854" s="171" t="s">
        <v>11129</v>
      </c>
      <c r="G2854" s="82"/>
      <c r="H2854" s="96">
        <f t="shared" si="176"/>
        <v>11.52</v>
      </c>
      <c r="I2854" s="96">
        <f t="shared" si="176"/>
        <v>11.53</v>
      </c>
      <c r="J2854" s="91" t="str">
        <f t="shared" si="177"/>
        <v>Sinapi 101884</v>
      </c>
      <c r="K2854" s="91" t="str">
        <f t="shared" si="178"/>
        <v>M</v>
      </c>
      <c r="L2854" s="166" t="str">
        <f t="shared" si="179"/>
        <v>10/2020</v>
      </c>
      <c r="M2854" s="82"/>
      <c r="N2854" s="82"/>
    </row>
    <row r="2855" spans="1:14" x14ac:dyDescent="0.25">
      <c r="A2855" s="170" t="s">
        <v>11643</v>
      </c>
      <c r="B2855" s="170" t="s">
        <v>11644</v>
      </c>
      <c r="C2855" s="170" t="s">
        <v>385</v>
      </c>
      <c r="D2855" s="170" t="s">
        <v>2067</v>
      </c>
      <c r="E2855" s="171" t="s">
        <v>29583</v>
      </c>
      <c r="F2855" s="171" t="s">
        <v>14932</v>
      </c>
      <c r="G2855" s="82"/>
      <c r="H2855" s="96">
        <f t="shared" si="176"/>
        <v>10.99</v>
      </c>
      <c r="I2855" s="96">
        <f t="shared" si="176"/>
        <v>11</v>
      </c>
      <c r="J2855" s="91" t="str">
        <f t="shared" si="177"/>
        <v>Sinapi 101885</v>
      </c>
      <c r="K2855" s="91" t="str">
        <f t="shared" si="178"/>
        <v>M</v>
      </c>
      <c r="L2855" s="166" t="str">
        <f t="shared" si="179"/>
        <v>10/2020</v>
      </c>
      <c r="M2855" s="82"/>
      <c r="N2855" s="82"/>
    </row>
    <row r="2856" spans="1:14" x14ac:dyDescent="0.25">
      <c r="A2856" s="170" t="s">
        <v>11645</v>
      </c>
      <c r="B2856" s="170" t="s">
        <v>11646</v>
      </c>
      <c r="C2856" s="170" t="s">
        <v>385</v>
      </c>
      <c r="D2856" s="170" t="s">
        <v>2067</v>
      </c>
      <c r="E2856" s="171" t="s">
        <v>24689</v>
      </c>
      <c r="F2856" s="171" t="s">
        <v>28647</v>
      </c>
      <c r="G2856" s="82"/>
      <c r="H2856" s="96">
        <f t="shared" si="176"/>
        <v>16.510000000000002</v>
      </c>
      <c r="I2856" s="96">
        <f t="shared" si="176"/>
        <v>16.54</v>
      </c>
      <c r="J2856" s="91" t="str">
        <f t="shared" si="177"/>
        <v>Sinapi 101886</v>
      </c>
      <c r="K2856" s="91" t="str">
        <f t="shared" si="178"/>
        <v>M</v>
      </c>
      <c r="L2856" s="166" t="str">
        <f t="shared" si="179"/>
        <v>10/2020</v>
      </c>
      <c r="M2856" s="82"/>
      <c r="N2856" s="82"/>
    </row>
    <row r="2857" spans="1:14" x14ac:dyDescent="0.25">
      <c r="A2857" s="170" t="s">
        <v>11647</v>
      </c>
      <c r="B2857" s="170" t="s">
        <v>11648</v>
      </c>
      <c r="C2857" s="170" t="s">
        <v>385</v>
      </c>
      <c r="D2857" s="170" t="s">
        <v>2067</v>
      </c>
      <c r="E2857" s="171" t="s">
        <v>4969</v>
      </c>
      <c r="F2857" s="171" t="s">
        <v>12331</v>
      </c>
      <c r="G2857" s="82"/>
      <c r="H2857" s="96">
        <f t="shared" si="176"/>
        <v>17.53</v>
      </c>
      <c r="I2857" s="96">
        <f t="shared" si="176"/>
        <v>17.559999999999999</v>
      </c>
      <c r="J2857" s="91" t="str">
        <f t="shared" si="177"/>
        <v>Sinapi 101887</v>
      </c>
      <c r="K2857" s="91" t="str">
        <f t="shared" si="178"/>
        <v>M</v>
      </c>
      <c r="L2857" s="166" t="str">
        <f t="shared" si="179"/>
        <v>10/2020</v>
      </c>
      <c r="M2857" s="82"/>
      <c r="N2857" s="82"/>
    </row>
    <row r="2858" spans="1:14" x14ac:dyDescent="0.25">
      <c r="A2858" s="170" t="s">
        <v>11649</v>
      </c>
      <c r="B2858" s="170" t="s">
        <v>11650</v>
      </c>
      <c r="C2858" s="170" t="s">
        <v>385</v>
      </c>
      <c r="D2858" s="170" t="s">
        <v>2067</v>
      </c>
      <c r="E2858" s="171" t="s">
        <v>21198</v>
      </c>
      <c r="F2858" s="171" t="s">
        <v>17934</v>
      </c>
      <c r="G2858" s="82"/>
      <c r="H2858" s="96">
        <f t="shared" si="176"/>
        <v>25.87</v>
      </c>
      <c r="I2858" s="96">
        <f t="shared" si="176"/>
        <v>25.92</v>
      </c>
      <c r="J2858" s="91" t="str">
        <f t="shared" si="177"/>
        <v>Sinapi 101888</v>
      </c>
      <c r="K2858" s="91" t="str">
        <f t="shared" si="178"/>
        <v>M</v>
      </c>
      <c r="L2858" s="166" t="str">
        <f t="shared" si="179"/>
        <v>10/2020</v>
      </c>
      <c r="M2858" s="82"/>
      <c r="N2858" s="82"/>
    </row>
    <row r="2859" spans="1:14" x14ac:dyDescent="0.25">
      <c r="A2859" s="170" t="s">
        <v>11651</v>
      </c>
      <c r="B2859" s="170" t="s">
        <v>11652</v>
      </c>
      <c r="C2859" s="170" t="s">
        <v>385</v>
      </c>
      <c r="D2859" s="170" t="s">
        <v>2067</v>
      </c>
      <c r="E2859" s="171" t="s">
        <v>19418</v>
      </c>
      <c r="F2859" s="171" t="s">
        <v>16303</v>
      </c>
      <c r="G2859" s="82"/>
      <c r="H2859" s="96">
        <f t="shared" si="176"/>
        <v>27.2</v>
      </c>
      <c r="I2859" s="96">
        <f t="shared" si="176"/>
        <v>27.25</v>
      </c>
      <c r="J2859" s="91" t="str">
        <f t="shared" si="177"/>
        <v>Sinapi 101889</v>
      </c>
      <c r="K2859" s="91" t="str">
        <f t="shared" si="178"/>
        <v>M</v>
      </c>
      <c r="L2859" s="166" t="str">
        <f t="shared" si="179"/>
        <v>10/2020</v>
      </c>
      <c r="M2859" s="82"/>
      <c r="N2859" s="82"/>
    </row>
    <row r="2860" spans="1:14" x14ac:dyDescent="0.25">
      <c r="A2860" s="170" t="s">
        <v>5675</v>
      </c>
      <c r="B2860" s="170" t="s">
        <v>20233</v>
      </c>
      <c r="C2860" s="170" t="s">
        <v>205</v>
      </c>
      <c r="D2860" s="170" t="s">
        <v>2067</v>
      </c>
      <c r="E2860" s="171" t="s">
        <v>28654</v>
      </c>
      <c r="F2860" s="171" t="s">
        <v>18698</v>
      </c>
      <c r="G2860" s="82"/>
      <c r="H2860" s="96">
        <f t="shared" si="176"/>
        <v>14.86</v>
      </c>
      <c r="I2860" s="96">
        <f t="shared" si="176"/>
        <v>15.93</v>
      </c>
      <c r="J2860" s="91" t="str">
        <f t="shared" si="177"/>
        <v>Sinapi 91936</v>
      </c>
      <c r="K2860" s="91" t="str">
        <f t="shared" si="178"/>
        <v>UN</v>
      </c>
      <c r="L2860" s="166" t="str">
        <f t="shared" si="179"/>
        <v>03/2023</v>
      </c>
      <c r="M2860" s="82"/>
      <c r="N2860" s="82"/>
    </row>
    <row r="2861" spans="1:14" x14ac:dyDescent="0.25">
      <c r="A2861" s="170" t="s">
        <v>5676</v>
      </c>
      <c r="B2861" s="170" t="s">
        <v>20234</v>
      </c>
      <c r="C2861" s="170" t="s">
        <v>205</v>
      </c>
      <c r="D2861" s="170" t="s">
        <v>2067</v>
      </c>
      <c r="E2861" s="171" t="s">
        <v>23162</v>
      </c>
      <c r="F2861" s="171" t="s">
        <v>19378</v>
      </c>
      <c r="G2861" s="82"/>
      <c r="H2861" s="96">
        <f t="shared" si="176"/>
        <v>13.22</v>
      </c>
      <c r="I2861" s="96">
        <f t="shared" si="176"/>
        <v>14.29</v>
      </c>
      <c r="J2861" s="91" t="str">
        <f t="shared" si="177"/>
        <v>Sinapi 91937</v>
      </c>
      <c r="K2861" s="91" t="str">
        <f t="shared" si="178"/>
        <v>UN</v>
      </c>
      <c r="L2861" s="166" t="str">
        <f t="shared" si="179"/>
        <v>03/2023</v>
      </c>
      <c r="M2861" s="82"/>
      <c r="N2861" s="82"/>
    </row>
    <row r="2862" spans="1:14" x14ac:dyDescent="0.25">
      <c r="A2862" s="170" t="s">
        <v>5677</v>
      </c>
      <c r="B2862" s="170" t="s">
        <v>20235</v>
      </c>
      <c r="C2862" s="170" t="s">
        <v>205</v>
      </c>
      <c r="D2862" s="170" t="s">
        <v>2067</v>
      </c>
      <c r="E2862" s="171" t="s">
        <v>33069</v>
      </c>
      <c r="F2862" s="171" t="s">
        <v>19313</v>
      </c>
      <c r="G2862" s="82"/>
      <c r="H2862" s="96">
        <f t="shared" si="176"/>
        <v>26.5</v>
      </c>
      <c r="I2862" s="96">
        <f t="shared" si="176"/>
        <v>29.16</v>
      </c>
      <c r="J2862" s="91" t="str">
        <f t="shared" si="177"/>
        <v>Sinapi 91939</v>
      </c>
      <c r="K2862" s="91" t="str">
        <f t="shared" si="178"/>
        <v>UN</v>
      </c>
      <c r="L2862" s="166" t="str">
        <f t="shared" si="179"/>
        <v>03/2023</v>
      </c>
      <c r="M2862" s="82"/>
      <c r="N2862" s="82"/>
    </row>
    <row r="2863" spans="1:14" x14ac:dyDescent="0.25">
      <c r="A2863" s="170" t="s">
        <v>5678</v>
      </c>
      <c r="B2863" s="170" t="s">
        <v>20236</v>
      </c>
      <c r="C2863" s="170" t="s">
        <v>205</v>
      </c>
      <c r="D2863" s="170" t="s">
        <v>2067</v>
      </c>
      <c r="E2863" s="171" t="s">
        <v>10284</v>
      </c>
      <c r="F2863" s="171" t="s">
        <v>17968</v>
      </c>
      <c r="G2863" s="82"/>
      <c r="H2863" s="96">
        <f t="shared" si="176"/>
        <v>15.35</v>
      </c>
      <c r="I2863" s="96">
        <f t="shared" si="176"/>
        <v>16.77</v>
      </c>
      <c r="J2863" s="91" t="str">
        <f t="shared" si="177"/>
        <v>Sinapi 91940</v>
      </c>
      <c r="K2863" s="91" t="str">
        <f t="shared" si="178"/>
        <v>UN</v>
      </c>
      <c r="L2863" s="166" t="str">
        <f t="shared" si="179"/>
        <v>03/2023</v>
      </c>
      <c r="M2863" s="82"/>
      <c r="N2863" s="82"/>
    </row>
    <row r="2864" spans="1:14" x14ac:dyDescent="0.25">
      <c r="A2864" s="170" t="s">
        <v>5680</v>
      </c>
      <c r="B2864" s="170" t="s">
        <v>20237</v>
      </c>
      <c r="C2864" s="170" t="s">
        <v>205</v>
      </c>
      <c r="D2864" s="170" t="s">
        <v>2067</v>
      </c>
      <c r="E2864" s="171" t="s">
        <v>15553</v>
      </c>
      <c r="F2864" s="171" t="s">
        <v>15075</v>
      </c>
      <c r="G2864" s="82"/>
      <c r="H2864" s="96">
        <f t="shared" si="176"/>
        <v>9.8800000000000008</v>
      </c>
      <c r="I2864" s="96">
        <f t="shared" si="176"/>
        <v>10.69</v>
      </c>
      <c r="J2864" s="91" t="str">
        <f t="shared" si="177"/>
        <v>Sinapi 91941</v>
      </c>
      <c r="K2864" s="91" t="str">
        <f t="shared" si="178"/>
        <v>UN</v>
      </c>
      <c r="L2864" s="166" t="str">
        <f t="shared" si="179"/>
        <v>03/2023</v>
      </c>
      <c r="M2864" s="82"/>
      <c r="N2864" s="82"/>
    </row>
    <row r="2865" spans="1:14" x14ac:dyDescent="0.25">
      <c r="A2865" s="170" t="s">
        <v>5681</v>
      </c>
      <c r="B2865" s="170" t="s">
        <v>20238</v>
      </c>
      <c r="C2865" s="170" t="s">
        <v>205</v>
      </c>
      <c r="D2865" s="170" t="s">
        <v>2067</v>
      </c>
      <c r="E2865" s="171" t="s">
        <v>21082</v>
      </c>
      <c r="F2865" s="171" t="s">
        <v>21871</v>
      </c>
      <c r="G2865" s="82"/>
      <c r="H2865" s="96">
        <f t="shared" si="176"/>
        <v>29.6</v>
      </c>
      <c r="I2865" s="96">
        <f t="shared" si="176"/>
        <v>32.369999999999997</v>
      </c>
      <c r="J2865" s="91" t="str">
        <f t="shared" si="177"/>
        <v>Sinapi 91942</v>
      </c>
      <c r="K2865" s="91" t="str">
        <f t="shared" si="178"/>
        <v>UN</v>
      </c>
      <c r="L2865" s="166" t="str">
        <f t="shared" si="179"/>
        <v>03/2023</v>
      </c>
      <c r="M2865" s="82"/>
      <c r="N2865" s="82"/>
    </row>
    <row r="2866" spans="1:14" x14ac:dyDescent="0.25">
      <c r="A2866" s="170" t="s">
        <v>5682</v>
      </c>
      <c r="B2866" s="170" t="s">
        <v>20239</v>
      </c>
      <c r="C2866" s="170" t="s">
        <v>205</v>
      </c>
      <c r="D2866" s="170" t="s">
        <v>2067</v>
      </c>
      <c r="E2866" s="171" t="s">
        <v>19346</v>
      </c>
      <c r="F2866" s="171" t="s">
        <v>8753</v>
      </c>
      <c r="G2866" s="82"/>
      <c r="H2866" s="96">
        <f t="shared" si="176"/>
        <v>18.07</v>
      </c>
      <c r="I2866" s="96">
        <f t="shared" si="176"/>
        <v>19.54</v>
      </c>
      <c r="J2866" s="91" t="str">
        <f t="shared" si="177"/>
        <v>Sinapi 91943</v>
      </c>
      <c r="K2866" s="91" t="str">
        <f t="shared" si="178"/>
        <v>UN</v>
      </c>
      <c r="L2866" s="166" t="str">
        <f t="shared" si="179"/>
        <v>03/2023</v>
      </c>
      <c r="M2866" s="82"/>
      <c r="N2866" s="82"/>
    </row>
    <row r="2867" spans="1:14" x14ac:dyDescent="0.25">
      <c r="A2867" s="170" t="s">
        <v>5683</v>
      </c>
      <c r="B2867" s="170" t="s">
        <v>20240</v>
      </c>
      <c r="C2867" s="170" t="s">
        <v>205</v>
      </c>
      <c r="D2867" s="170" t="s">
        <v>2067</v>
      </c>
      <c r="E2867" s="171" t="s">
        <v>15506</v>
      </c>
      <c r="F2867" s="171" t="s">
        <v>23162</v>
      </c>
      <c r="G2867" s="82"/>
      <c r="H2867" s="96">
        <f t="shared" si="176"/>
        <v>12.39</v>
      </c>
      <c r="I2867" s="96">
        <f t="shared" si="176"/>
        <v>13.22</v>
      </c>
      <c r="J2867" s="91" t="str">
        <f t="shared" si="177"/>
        <v>Sinapi 91944</v>
      </c>
      <c r="K2867" s="91" t="str">
        <f t="shared" si="178"/>
        <v>UN</v>
      </c>
      <c r="L2867" s="166" t="str">
        <f t="shared" si="179"/>
        <v>03/2023</v>
      </c>
      <c r="M2867" s="82"/>
      <c r="N2867" s="82"/>
    </row>
    <row r="2868" spans="1:14" x14ac:dyDescent="0.25">
      <c r="A2868" s="170" t="s">
        <v>5684</v>
      </c>
      <c r="B2868" s="170" t="s">
        <v>20241</v>
      </c>
      <c r="C2868" s="170" t="s">
        <v>205</v>
      </c>
      <c r="D2868" s="170" t="s">
        <v>2067</v>
      </c>
      <c r="E2868" s="171" t="s">
        <v>20634</v>
      </c>
      <c r="F2868" s="171" t="s">
        <v>11131</v>
      </c>
      <c r="G2868" s="82"/>
      <c r="H2868" s="96">
        <f t="shared" si="176"/>
        <v>13.36</v>
      </c>
      <c r="I2868" s="96">
        <f t="shared" si="176"/>
        <v>14.43</v>
      </c>
      <c r="J2868" s="91" t="str">
        <f t="shared" si="177"/>
        <v>Sinapi 92865</v>
      </c>
      <c r="K2868" s="91" t="str">
        <f t="shared" si="178"/>
        <v>UN</v>
      </c>
      <c r="L2868" s="166" t="str">
        <f t="shared" si="179"/>
        <v>03/2023</v>
      </c>
      <c r="M2868" s="82"/>
      <c r="N2868" s="82"/>
    </row>
    <row r="2869" spans="1:14" x14ac:dyDescent="0.25">
      <c r="A2869" s="170" t="s">
        <v>5685</v>
      </c>
      <c r="B2869" s="170" t="s">
        <v>20242</v>
      </c>
      <c r="C2869" s="170" t="s">
        <v>205</v>
      </c>
      <c r="D2869" s="170" t="s">
        <v>2067</v>
      </c>
      <c r="E2869" s="171" t="s">
        <v>28883</v>
      </c>
      <c r="F2869" s="171" t="s">
        <v>15131</v>
      </c>
      <c r="G2869" s="82"/>
      <c r="H2869" s="96">
        <f t="shared" si="176"/>
        <v>11.29</v>
      </c>
      <c r="I2869" s="96">
        <f t="shared" si="176"/>
        <v>12.36</v>
      </c>
      <c r="J2869" s="91" t="str">
        <f t="shared" si="177"/>
        <v>Sinapi 92866</v>
      </c>
      <c r="K2869" s="91" t="str">
        <f t="shared" si="178"/>
        <v>UN</v>
      </c>
      <c r="L2869" s="166" t="str">
        <f t="shared" si="179"/>
        <v>03/2023</v>
      </c>
      <c r="M2869" s="82"/>
      <c r="N2869" s="82"/>
    </row>
    <row r="2870" spans="1:14" x14ac:dyDescent="0.25">
      <c r="A2870" s="170" t="s">
        <v>5686</v>
      </c>
      <c r="B2870" s="170" t="s">
        <v>20243</v>
      </c>
      <c r="C2870" s="170" t="s">
        <v>205</v>
      </c>
      <c r="D2870" s="170" t="s">
        <v>2067</v>
      </c>
      <c r="E2870" s="171" t="s">
        <v>19385</v>
      </c>
      <c r="F2870" s="171" t="s">
        <v>15659</v>
      </c>
      <c r="G2870" s="82"/>
      <c r="H2870" s="96">
        <f t="shared" si="176"/>
        <v>26.25</v>
      </c>
      <c r="I2870" s="96">
        <f t="shared" si="176"/>
        <v>28.91</v>
      </c>
      <c r="J2870" s="91" t="str">
        <f t="shared" si="177"/>
        <v>Sinapi 92867</v>
      </c>
      <c r="K2870" s="91" t="str">
        <f t="shared" si="178"/>
        <v>UN</v>
      </c>
      <c r="L2870" s="166" t="str">
        <f t="shared" si="179"/>
        <v>03/2023</v>
      </c>
      <c r="M2870" s="82"/>
      <c r="N2870" s="82"/>
    </row>
    <row r="2871" spans="1:14" x14ac:dyDescent="0.25">
      <c r="A2871" s="170" t="s">
        <v>5687</v>
      </c>
      <c r="B2871" s="170" t="s">
        <v>20244</v>
      </c>
      <c r="C2871" s="170" t="s">
        <v>205</v>
      </c>
      <c r="D2871" s="170" t="s">
        <v>2067</v>
      </c>
      <c r="E2871" s="171" t="s">
        <v>20114</v>
      </c>
      <c r="F2871" s="171" t="s">
        <v>21100</v>
      </c>
      <c r="G2871" s="82"/>
      <c r="H2871" s="96">
        <f t="shared" si="176"/>
        <v>15.1</v>
      </c>
      <c r="I2871" s="96">
        <f t="shared" si="176"/>
        <v>16.52</v>
      </c>
      <c r="J2871" s="91" t="str">
        <f t="shared" si="177"/>
        <v>Sinapi 92868</v>
      </c>
      <c r="K2871" s="91" t="str">
        <f t="shared" si="178"/>
        <v>UN</v>
      </c>
      <c r="L2871" s="166" t="str">
        <f t="shared" si="179"/>
        <v>03/2023</v>
      </c>
      <c r="M2871" s="82"/>
      <c r="N2871" s="82"/>
    </row>
    <row r="2872" spans="1:14" x14ac:dyDescent="0.25">
      <c r="A2872" s="170" t="s">
        <v>5689</v>
      </c>
      <c r="B2872" s="170" t="s">
        <v>20245</v>
      </c>
      <c r="C2872" s="170" t="s">
        <v>205</v>
      </c>
      <c r="D2872" s="170" t="s">
        <v>2067</v>
      </c>
      <c r="E2872" s="171" t="s">
        <v>19906</v>
      </c>
      <c r="F2872" s="171" t="s">
        <v>17300</v>
      </c>
      <c r="G2872" s="82"/>
      <c r="H2872" s="96">
        <f t="shared" si="176"/>
        <v>9.6300000000000008</v>
      </c>
      <c r="I2872" s="96">
        <f t="shared" si="176"/>
        <v>10.44</v>
      </c>
      <c r="J2872" s="91" t="str">
        <f t="shared" si="177"/>
        <v>Sinapi 92869</v>
      </c>
      <c r="K2872" s="91" t="str">
        <f t="shared" si="178"/>
        <v>UN</v>
      </c>
      <c r="L2872" s="166" t="str">
        <f t="shared" si="179"/>
        <v>03/2023</v>
      </c>
      <c r="M2872" s="82"/>
      <c r="N2872" s="82"/>
    </row>
    <row r="2873" spans="1:14" x14ac:dyDescent="0.25">
      <c r="A2873" s="170" t="s">
        <v>5690</v>
      </c>
      <c r="B2873" s="170" t="s">
        <v>20246</v>
      </c>
      <c r="C2873" s="170" t="s">
        <v>205</v>
      </c>
      <c r="D2873" s="170" t="s">
        <v>2067</v>
      </c>
      <c r="E2873" s="171" t="s">
        <v>23066</v>
      </c>
      <c r="F2873" s="171" t="s">
        <v>21469</v>
      </c>
      <c r="G2873" s="82"/>
      <c r="H2873" s="96">
        <f t="shared" si="176"/>
        <v>29.33</v>
      </c>
      <c r="I2873" s="96">
        <f t="shared" si="176"/>
        <v>32.1</v>
      </c>
      <c r="J2873" s="91" t="str">
        <f t="shared" si="177"/>
        <v>Sinapi 92870</v>
      </c>
      <c r="K2873" s="91" t="str">
        <f t="shared" si="178"/>
        <v>UN</v>
      </c>
      <c r="L2873" s="166" t="str">
        <f t="shared" si="179"/>
        <v>03/2023</v>
      </c>
      <c r="M2873" s="82"/>
      <c r="N2873" s="82"/>
    </row>
    <row r="2874" spans="1:14" x14ac:dyDescent="0.25">
      <c r="A2874" s="170" t="s">
        <v>5691</v>
      </c>
      <c r="B2874" s="170" t="s">
        <v>20247</v>
      </c>
      <c r="C2874" s="170" t="s">
        <v>205</v>
      </c>
      <c r="D2874" s="170" t="s">
        <v>2067</v>
      </c>
      <c r="E2874" s="171" t="s">
        <v>33070</v>
      </c>
      <c r="F2874" s="171" t="s">
        <v>15507</v>
      </c>
      <c r="G2874" s="82"/>
      <c r="H2874" s="96">
        <f t="shared" si="176"/>
        <v>17.8</v>
      </c>
      <c r="I2874" s="96">
        <f t="shared" si="176"/>
        <v>19.27</v>
      </c>
      <c r="J2874" s="91" t="str">
        <f t="shared" si="177"/>
        <v>Sinapi 92871</v>
      </c>
      <c r="K2874" s="91" t="str">
        <f t="shared" si="178"/>
        <v>UN</v>
      </c>
      <c r="L2874" s="166" t="str">
        <f t="shared" si="179"/>
        <v>03/2023</v>
      </c>
      <c r="M2874" s="82"/>
      <c r="N2874" s="82"/>
    </row>
    <row r="2875" spans="1:14" x14ac:dyDescent="0.25">
      <c r="A2875" s="170" t="s">
        <v>5692</v>
      </c>
      <c r="B2875" s="170" t="s">
        <v>20248</v>
      </c>
      <c r="C2875" s="170" t="s">
        <v>205</v>
      </c>
      <c r="D2875" s="170" t="s">
        <v>2067</v>
      </c>
      <c r="E2875" s="171" t="s">
        <v>11275</v>
      </c>
      <c r="F2875" s="171" t="s">
        <v>21064</v>
      </c>
      <c r="G2875" s="82"/>
      <c r="H2875" s="96">
        <f t="shared" si="176"/>
        <v>12.12</v>
      </c>
      <c r="I2875" s="96">
        <f t="shared" si="176"/>
        <v>12.95</v>
      </c>
      <c r="J2875" s="91" t="str">
        <f t="shared" si="177"/>
        <v>Sinapi 92872</v>
      </c>
      <c r="K2875" s="91" t="str">
        <f t="shared" si="178"/>
        <v>UN</v>
      </c>
      <c r="L2875" s="166" t="str">
        <f t="shared" si="179"/>
        <v>03/2023</v>
      </c>
      <c r="M2875" s="82"/>
      <c r="N2875" s="82"/>
    </row>
    <row r="2876" spans="1:14" x14ac:dyDescent="0.25">
      <c r="A2876" s="170" t="s">
        <v>5693</v>
      </c>
      <c r="B2876" s="170" t="s">
        <v>18140</v>
      </c>
      <c r="C2876" s="170" t="s">
        <v>205</v>
      </c>
      <c r="D2876" s="170" t="s">
        <v>2067</v>
      </c>
      <c r="E2876" s="171" t="s">
        <v>21126</v>
      </c>
      <c r="F2876" s="171" t="s">
        <v>20071</v>
      </c>
      <c r="G2876" s="82"/>
      <c r="H2876" s="96">
        <f t="shared" si="176"/>
        <v>20.47</v>
      </c>
      <c r="I2876" s="96">
        <f t="shared" si="176"/>
        <v>21.57</v>
      </c>
      <c r="J2876" s="91" t="str">
        <f t="shared" si="177"/>
        <v>Sinapi 95777</v>
      </c>
      <c r="K2876" s="91" t="str">
        <f t="shared" si="178"/>
        <v>UN</v>
      </c>
      <c r="L2876" s="166" t="str">
        <f t="shared" si="179"/>
        <v>10/2022</v>
      </c>
      <c r="M2876" s="82"/>
      <c r="N2876" s="82"/>
    </row>
    <row r="2877" spans="1:14" x14ac:dyDescent="0.25">
      <c r="A2877" s="170" t="s">
        <v>5694</v>
      </c>
      <c r="B2877" s="170" t="s">
        <v>18141</v>
      </c>
      <c r="C2877" s="170" t="s">
        <v>205</v>
      </c>
      <c r="D2877" s="170" t="s">
        <v>2067</v>
      </c>
      <c r="E2877" s="171" t="s">
        <v>27098</v>
      </c>
      <c r="F2877" s="171" t="s">
        <v>15792</v>
      </c>
      <c r="G2877" s="82"/>
      <c r="H2877" s="96">
        <f t="shared" si="176"/>
        <v>22.91</v>
      </c>
      <c r="I2877" s="96">
        <f t="shared" si="176"/>
        <v>24.23</v>
      </c>
      <c r="J2877" s="91" t="str">
        <f t="shared" si="177"/>
        <v>Sinapi 95778</v>
      </c>
      <c r="K2877" s="91" t="str">
        <f t="shared" si="178"/>
        <v>UN</v>
      </c>
      <c r="L2877" s="166" t="str">
        <f t="shared" si="179"/>
        <v>10/2022</v>
      </c>
      <c r="M2877" s="82"/>
      <c r="N2877" s="82"/>
    </row>
    <row r="2878" spans="1:14" x14ac:dyDescent="0.25">
      <c r="A2878" s="170" t="s">
        <v>5695</v>
      </c>
      <c r="B2878" s="170" t="s">
        <v>18142</v>
      </c>
      <c r="C2878" s="170" t="s">
        <v>205</v>
      </c>
      <c r="D2878" s="170" t="s">
        <v>2067</v>
      </c>
      <c r="E2878" s="171" t="s">
        <v>25912</v>
      </c>
      <c r="F2878" s="171" t="s">
        <v>18307</v>
      </c>
      <c r="G2878" s="82"/>
      <c r="H2878" s="96">
        <f t="shared" si="176"/>
        <v>19.03</v>
      </c>
      <c r="I2878" s="96">
        <f t="shared" si="176"/>
        <v>20.13</v>
      </c>
      <c r="J2878" s="91" t="str">
        <f t="shared" si="177"/>
        <v>Sinapi 95779</v>
      </c>
      <c r="K2878" s="91" t="str">
        <f t="shared" si="178"/>
        <v>UN</v>
      </c>
      <c r="L2878" s="166" t="str">
        <f t="shared" si="179"/>
        <v>10/2022</v>
      </c>
      <c r="M2878" s="82"/>
      <c r="N2878" s="82"/>
    </row>
    <row r="2879" spans="1:14" x14ac:dyDescent="0.25">
      <c r="A2879" s="170" t="s">
        <v>5696</v>
      </c>
      <c r="B2879" s="170" t="s">
        <v>18143</v>
      </c>
      <c r="C2879" s="170" t="s">
        <v>205</v>
      </c>
      <c r="D2879" s="170" t="s">
        <v>2067</v>
      </c>
      <c r="E2879" s="171" t="s">
        <v>33071</v>
      </c>
      <c r="F2879" s="171" t="s">
        <v>14934</v>
      </c>
      <c r="G2879" s="82"/>
      <c r="H2879" s="96">
        <f t="shared" si="176"/>
        <v>24.39</v>
      </c>
      <c r="I2879" s="96">
        <f t="shared" si="176"/>
        <v>25.62</v>
      </c>
      <c r="J2879" s="91" t="str">
        <f t="shared" si="177"/>
        <v>Sinapi 95780</v>
      </c>
      <c r="K2879" s="91" t="str">
        <f t="shared" si="178"/>
        <v>UN</v>
      </c>
      <c r="L2879" s="166" t="str">
        <f t="shared" si="179"/>
        <v>10/2022</v>
      </c>
      <c r="M2879" s="82"/>
      <c r="N2879" s="82"/>
    </row>
    <row r="2880" spans="1:14" x14ac:dyDescent="0.25">
      <c r="A2880" s="170" t="s">
        <v>5697</v>
      </c>
      <c r="B2880" s="170" t="s">
        <v>18144</v>
      </c>
      <c r="C2880" s="170" t="s">
        <v>205</v>
      </c>
      <c r="D2880" s="170" t="s">
        <v>2067</v>
      </c>
      <c r="E2880" s="171" t="s">
        <v>33072</v>
      </c>
      <c r="F2880" s="171" t="s">
        <v>20448</v>
      </c>
      <c r="G2880" s="82"/>
      <c r="H2880" s="96">
        <f t="shared" si="176"/>
        <v>27.76</v>
      </c>
      <c r="I2880" s="96">
        <f t="shared" si="176"/>
        <v>29.31</v>
      </c>
      <c r="J2880" s="91" t="str">
        <f t="shared" si="177"/>
        <v>Sinapi 95781</v>
      </c>
      <c r="K2880" s="91" t="str">
        <f t="shared" si="178"/>
        <v>UN</v>
      </c>
      <c r="L2880" s="166" t="str">
        <f t="shared" si="179"/>
        <v>10/2022</v>
      </c>
      <c r="M2880" s="82"/>
      <c r="N2880" s="82"/>
    </row>
    <row r="2881" spans="1:14" x14ac:dyDescent="0.25">
      <c r="A2881" s="170" t="s">
        <v>5698</v>
      </c>
      <c r="B2881" s="170" t="s">
        <v>18145</v>
      </c>
      <c r="C2881" s="170" t="s">
        <v>205</v>
      </c>
      <c r="D2881" s="170" t="s">
        <v>2067</v>
      </c>
      <c r="E2881" s="171" t="s">
        <v>17970</v>
      </c>
      <c r="F2881" s="171" t="s">
        <v>20249</v>
      </c>
      <c r="G2881" s="82"/>
      <c r="H2881" s="96">
        <f t="shared" si="176"/>
        <v>26.04</v>
      </c>
      <c r="I2881" s="96">
        <f t="shared" si="176"/>
        <v>27.27</v>
      </c>
      <c r="J2881" s="91" t="str">
        <f t="shared" si="177"/>
        <v>Sinapi 95782</v>
      </c>
      <c r="K2881" s="91" t="str">
        <f t="shared" si="178"/>
        <v>UN</v>
      </c>
      <c r="L2881" s="166" t="str">
        <f t="shared" si="179"/>
        <v>10/2022</v>
      </c>
      <c r="M2881" s="82"/>
      <c r="N2881" s="82"/>
    </row>
    <row r="2882" spans="1:14" x14ac:dyDescent="0.25">
      <c r="A2882" s="170" t="s">
        <v>5699</v>
      </c>
      <c r="B2882" s="170" t="s">
        <v>18146</v>
      </c>
      <c r="C2882" s="170" t="s">
        <v>205</v>
      </c>
      <c r="D2882" s="170" t="s">
        <v>2067</v>
      </c>
      <c r="E2882" s="171" t="s">
        <v>25865</v>
      </c>
      <c r="F2882" s="171" t="s">
        <v>21566</v>
      </c>
      <c r="G2882" s="82"/>
      <c r="H2882" s="96">
        <f t="shared" si="176"/>
        <v>30.85</v>
      </c>
      <c r="I2882" s="96">
        <f t="shared" si="176"/>
        <v>32.24</v>
      </c>
      <c r="J2882" s="91" t="str">
        <f t="shared" si="177"/>
        <v>Sinapi 95785</v>
      </c>
      <c r="K2882" s="91" t="str">
        <f t="shared" si="178"/>
        <v>UN</v>
      </c>
      <c r="L2882" s="166" t="str">
        <f t="shared" si="179"/>
        <v>10/2022</v>
      </c>
      <c r="M2882" s="82"/>
      <c r="N2882" s="82"/>
    </row>
    <row r="2883" spans="1:14" x14ac:dyDescent="0.25">
      <c r="A2883" s="170" t="s">
        <v>5700</v>
      </c>
      <c r="B2883" s="170" t="s">
        <v>18147</v>
      </c>
      <c r="C2883" s="170" t="s">
        <v>205</v>
      </c>
      <c r="D2883" s="170" t="s">
        <v>2067</v>
      </c>
      <c r="E2883" s="171" t="s">
        <v>33073</v>
      </c>
      <c r="F2883" s="171" t="s">
        <v>17949</v>
      </c>
      <c r="G2883" s="82"/>
      <c r="H2883" s="96">
        <f t="shared" si="176"/>
        <v>22.98</v>
      </c>
      <c r="I2883" s="96">
        <f t="shared" si="176"/>
        <v>24.51</v>
      </c>
      <c r="J2883" s="91" t="str">
        <f t="shared" si="177"/>
        <v>Sinapi 95787</v>
      </c>
      <c r="K2883" s="91" t="str">
        <f t="shared" si="178"/>
        <v>UN</v>
      </c>
      <c r="L2883" s="166" t="str">
        <f t="shared" si="179"/>
        <v>10/2022</v>
      </c>
      <c r="M2883" s="82"/>
      <c r="N2883" s="82"/>
    </row>
    <row r="2884" spans="1:14" x14ac:dyDescent="0.25">
      <c r="A2884" s="170" t="s">
        <v>5701</v>
      </c>
      <c r="B2884" s="170" t="s">
        <v>18148</v>
      </c>
      <c r="C2884" s="170" t="s">
        <v>205</v>
      </c>
      <c r="D2884" s="170" t="s">
        <v>2067</v>
      </c>
      <c r="E2884" s="171" t="s">
        <v>22102</v>
      </c>
      <c r="F2884" s="171" t="s">
        <v>36340</v>
      </c>
      <c r="G2884" s="82"/>
      <c r="H2884" s="96">
        <f t="shared" si="176"/>
        <v>31.37</v>
      </c>
      <c r="I2884" s="96">
        <f t="shared" si="176"/>
        <v>33.25</v>
      </c>
      <c r="J2884" s="91" t="str">
        <f t="shared" si="177"/>
        <v>Sinapi 95789</v>
      </c>
      <c r="K2884" s="91" t="str">
        <f t="shared" si="178"/>
        <v>UN</v>
      </c>
      <c r="L2884" s="166" t="str">
        <f t="shared" si="179"/>
        <v>10/2022</v>
      </c>
      <c r="M2884" s="82"/>
      <c r="N2884" s="82"/>
    </row>
    <row r="2885" spans="1:14" x14ac:dyDescent="0.25">
      <c r="A2885" s="170" t="s">
        <v>5702</v>
      </c>
      <c r="B2885" s="170" t="s">
        <v>18149</v>
      </c>
      <c r="C2885" s="170" t="s">
        <v>205</v>
      </c>
      <c r="D2885" s="170" t="s">
        <v>2067</v>
      </c>
      <c r="E2885" s="171" t="s">
        <v>29035</v>
      </c>
      <c r="F2885" s="171" t="s">
        <v>29190</v>
      </c>
      <c r="G2885" s="82"/>
      <c r="H2885" s="96">
        <f t="shared" si="176"/>
        <v>43.65</v>
      </c>
      <c r="I2885" s="96">
        <f t="shared" si="176"/>
        <v>46.03</v>
      </c>
      <c r="J2885" s="91" t="str">
        <f t="shared" si="177"/>
        <v>Sinapi 95791</v>
      </c>
      <c r="K2885" s="91" t="str">
        <f t="shared" si="178"/>
        <v>UN</v>
      </c>
      <c r="L2885" s="166" t="str">
        <f t="shared" si="179"/>
        <v>10/2022</v>
      </c>
      <c r="M2885" s="82"/>
      <c r="N2885" s="82"/>
    </row>
    <row r="2886" spans="1:14" x14ac:dyDescent="0.25">
      <c r="A2886" s="170" t="s">
        <v>5703</v>
      </c>
      <c r="B2886" s="170" t="s">
        <v>18150</v>
      </c>
      <c r="C2886" s="170" t="s">
        <v>205</v>
      </c>
      <c r="D2886" s="170" t="s">
        <v>2067</v>
      </c>
      <c r="E2886" s="171" t="s">
        <v>29578</v>
      </c>
      <c r="F2886" s="171" t="s">
        <v>23139</v>
      </c>
      <c r="G2886" s="82"/>
      <c r="H2886" s="96">
        <f t="shared" si="176"/>
        <v>26.21</v>
      </c>
      <c r="I2886" s="96">
        <f t="shared" si="176"/>
        <v>27.93</v>
      </c>
      <c r="J2886" s="91" t="str">
        <f t="shared" si="177"/>
        <v>Sinapi 95795</v>
      </c>
      <c r="K2886" s="91" t="str">
        <f t="shared" si="178"/>
        <v>UN</v>
      </c>
      <c r="L2886" s="166" t="str">
        <f t="shared" si="179"/>
        <v>10/2022</v>
      </c>
      <c r="M2886" s="82"/>
      <c r="N2886" s="82"/>
    </row>
    <row r="2887" spans="1:14" x14ac:dyDescent="0.25">
      <c r="A2887" s="170" t="s">
        <v>5704</v>
      </c>
      <c r="B2887" s="170" t="s">
        <v>18151</v>
      </c>
      <c r="C2887" s="170" t="s">
        <v>205</v>
      </c>
      <c r="D2887" s="170" t="s">
        <v>2067</v>
      </c>
      <c r="E2887" s="171" t="s">
        <v>23141</v>
      </c>
      <c r="F2887" s="171" t="s">
        <v>36341</v>
      </c>
      <c r="G2887" s="82"/>
      <c r="H2887" s="96">
        <f t="shared" si="176"/>
        <v>36.85</v>
      </c>
      <c r="I2887" s="96">
        <f t="shared" si="176"/>
        <v>39.06</v>
      </c>
      <c r="J2887" s="91" t="str">
        <f t="shared" si="177"/>
        <v>Sinapi 95796</v>
      </c>
      <c r="K2887" s="91" t="str">
        <f t="shared" si="178"/>
        <v>UN</v>
      </c>
      <c r="L2887" s="166" t="str">
        <f t="shared" si="179"/>
        <v>10/2022</v>
      </c>
      <c r="M2887" s="82"/>
      <c r="N2887" s="82"/>
    </row>
    <row r="2888" spans="1:14" x14ac:dyDescent="0.25">
      <c r="A2888" s="170" t="s">
        <v>5705</v>
      </c>
      <c r="B2888" s="170" t="s">
        <v>18152</v>
      </c>
      <c r="C2888" s="170" t="s">
        <v>205</v>
      </c>
      <c r="D2888" s="170" t="s">
        <v>2067</v>
      </c>
      <c r="E2888" s="171" t="s">
        <v>33074</v>
      </c>
      <c r="F2888" s="171" t="s">
        <v>36342</v>
      </c>
      <c r="G2888" s="82"/>
      <c r="H2888" s="96">
        <f t="shared" ref="H2888:I2951" si="180">IF(E2888="","",E2888+0)</f>
        <v>50.99</v>
      </c>
      <c r="I2888" s="96">
        <f t="shared" si="180"/>
        <v>53.87</v>
      </c>
      <c r="J2888" s="91" t="str">
        <f t="shared" ref="J2888:J2951" si="181">IF(OR(H2888="",I2888=""),"",TRIM(CONCATENATE("Sinapi ",A2888)))</f>
        <v>Sinapi 95797</v>
      </c>
      <c r="K2888" s="91" t="str">
        <f t="shared" ref="K2888:K2951" si="182">TRIM(C2888)</f>
        <v>UN</v>
      </c>
      <c r="L2888" s="166" t="str">
        <f t="shared" ref="L2888:L2951" si="183">IF(OR(RIGHT(IF(AND(K2888&lt;&gt;"H",K2888&lt;&gt;"MES"),RIGHT(B2888,7),""),2)="PS",RIGHT(IF(AND(K2888&lt;&gt;"H",K2888&lt;&gt;"MES"),RIGHT(B2888,7),""),2)="PA",RIGHT(IF(AND(K2888&lt;&gt;"H",K2888&lt;&gt;"MES"),RIGHT(B2888,7),""),2)="PE"),LEFT(IF(AND(K2888&lt;&gt;"H",K2888&lt;&gt;"MES"),RIGHT(B2888,10),""),7),IF(AND(K2888&lt;&gt;"H",K2888&lt;&gt;"MES"),RIGHT(B2888,7),""))</f>
        <v>10/2022</v>
      </c>
      <c r="M2888" s="82"/>
      <c r="N2888" s="82"/>
    </row>
    <row r="2889" spans="1:14" x14ac:dyDescent="0.25">
      <c r="A2889" s="170" t="s">
        <v>5706</v>
      </c>
      <c r="B2889" s="170" t="s">
        <v>18153</v>
      </c>
      <c r="C2889" s="170" t="s">
        <v>205</v>
      </c>
      <c r="D2889" s="170" t="s">
        <v>2067</v>
      </c>
      <c r="E2889" s="171" t="s">
        <v>22102</v>
      </c>
      <c r="F2889" s="171" t="s">
        <v>30868</v>
      </c>
      <c r="G2889" s="82"/>
      <c r="H2889" s="96">
        <f t="shared" si="180"/>
        <v>31.37</v>
      </c>
      <c r="I2889" s="96">
        <f t="shared" si="180"/>
        <v>33.299999999999997</v>
      </c>
      <c r="J2889" s="91" t="str">
        <f t="shared" si="181"/>
        <v>Sinapi 95801</v>
      </c>
      <c r="K2889" s="91" t="str">
        <f t="shared" si="182"/>
        <v>UN</v>
      </c>
      <c r="L2889" s="166" t="str">
        <f t="shared" si="183"/>
        <v>10/2022</v>
      </c>
      <c r="M2889" s="82"/>
      <c r="N2889" s="82"/>
    </row>
    <row r="2890" spans="1:14" x14ac:dyDescent="0.25">
      <c r="A2890" s="170" t="s">
        <v>5707</v>
      </c>
      <c r="B2890" s="170" t="s">
        <v>18154</v>
      </c>
      <c r="C2890" s="170" t="s">
        <v>205</v>
      </c>
      <c r="D2890" s="170" t="s">
        <v>2067</v>
      </c>
      <c r="E2890" s="171" t="s">
        <v>33075</v>
      </c>
      <c r="F2890" s="171" t="s">
        <v>36343</v>
      </c>
      <c r="G2890" s="82"/>
      <c r="H2890" s="96">
        <f t="shared" si="180"/>
        <v>39.049999999999997</v>
      </c>
      <c r="I2890" s="96">
        <f t="shared" si="180"/>
        <v>41.58</v>
      </c>
      <c r="J2890" s="91" t="str">
        <f t="shared" si="181"/>
        <v>Sinapi 95802</v>
      </c>
      <c r="K2890" s="91" t="str">
        <f t="shared" si="182"/>
        <v>UN</v>
      </c>
      <c r="L2890" s="166" t="str">
        <f t="shared" si="183"/>
        <v>10/2022</v>
      </c>
      <c r="M2890" s="82"/>
      <c r="N2890" s="82"/>
    </row>
    <row r="2891" spans="1:14" x14ac:dyDescent="0.25">
      <c r="A2891" s="170" t="s">
        <v>5708</v>
      </c>
      <c r="B2891" s="170" t="s">
        <v>18155</v>
      </c>
      <c r="C2891" s="170" t="s">
        <v>205</v>
      </c>
      <c r="D2891" s="170" t="s">
        <v>2067</v>
      </c>
      <c r="E2891" s="171" t="s">
        <v>33076</v>
      </c>
      <c r="F2891" s="171" t="s">
        <v>21033</v>
      </c>
      <c r="G2891" s="82"/>
      <c r="H2891" s="96">
        <f t="shared" si="180"/>
        <v>56.84</v>
      </c>
      <c r="I2891" s="96">
        <f t="shared" si="180"/>
        <v>60.21</v>
      </c>
      <c r="J2891" s="91" t="str">
        <f t="shared" si="181"/>
        <v>Sinapi 95803</v>
      </c>
      <c r="K2891" s="91" t="str">
        <f t="shared" si="182"/>
        <v>UN</v>
      </c>
      <c r="L2891" s="166" t="str">
        <f t="shared" si="183"/>
        <v>10/2022</v>
      </c>
      <c r="M2891" s="82"/>
      <c r="N2891" s="82"/>
    </row>
    <row r="2892" spans="1:14" x14ac:dyDescent="0.25">
      <c r="A2892" s="170" t="s">
        <v>5709</v>
      </c>
      <c r="B2892" s="170" t="s">
        <v>18156</v>
      </c>
      <c r="C2892" s="170" t="s">
        <v>205</v>
      </c>
      <c r="D2892" s="170" t="s">
        <v>2067</v>
      </c>
      <c r="E2892" s="171" t="s">
        <v>22110</v>
      </c>
      <c r="F2892" s="171" t="s">
        <v>21844</v>
      </c>
      <c r="G2892" s="82"/>
      <c r="H2892" s="96">
        <f t="shared" si="180"/>
        <v>18.260000000000002</v>
      </c>
      <c r="I2892" s="96">
        <f t="shared" si="180"/>
        <v>19.3</v>
      </c>
      <c r="J2892" s="91" t="str">
        <f t="shared" si="181"/>
        <v>Sinapi 95804</v>
      </c>
      <c r="K2892" s="91" t="str">
        <f t="shared" si="182"/>
        <v>UN</v>
      </c>
      <c r="L2892" s="166" t="str">
        <f t="shared" si="183"/>
        <v>10/2022</v>
      </c>
      <c r="M2892" s="82"/>
      <c r="N2892" s="82"/>
    </row>
    <row r="2893" spans="1:14" x14ac:dyDescent="0.25">
      <c r="A2893" s="170" t="s">
        <v>5710</v>
      </c>
      <c r="B2893" s="170" t="s">
        <v>18157</v>
      </c>
      <c r="C2893" s="170" t="s">
        <v>205</v>
      </c>
      <c r="D2893" s="170" t="s">
        <v>2067</v>
      </c>
      <c r="E2893" s="171" t="s">
        <v>30696</v>
      </c>
      <c r="F2893" s="171" t="s">
        <v>36344</v>
      </c>
      <c r="G2893" s="82"/>
      <c r="H2893" s="96">
        <f t="shared" si="180"/>
        <v>19.34</v>
      </c>
      <c r="I2893" s="96">
        <f t="shared" si="180"/>
        <v>20.49</v>
      </c>
      <c r="J2893" s="91" t="str">
        <f t="shared" si="181"/>
        <v>Sinapi 95805</v>
      </c>
      <c r="K2893" s="91" t="str">
        <f t="shared" si="182"/>
        <v>UN</v>
      </c>
      <c r="L2893" s="166" t="str">
        <f t="shared" si="183"/>
        <v>10/2022</v>
      </c>
      <c r="M2893" s="82"/>
      <c r="N2893" s="82"/>
    </row>
    <row r="2894" spans="1:14" x14ac:dyDescent="0.25">
      <c r="A2894" s="170" t="s">
        <v>5711</v>
      </c>
      <c r="B2894" s="170" t="s">
        <v>18158</v>
      </c>
      <c r="C2894" s="170" t="s">
        <v>205</v>
      </c>
      <c r="D2894" s="170" t="s">
        <v>2067</v>
      </c>
      <c r="E2894" s="171" t="s">
        <v>17958</v>
      </c>
      <c r="F2894" s="171" t="s">
        <v>12301</v>
      </c>
      <c r="G2894" s="82"/>
      <c r="H2894" s="96">
        <f t="shared" si="180"/>
        <v>21.25</v>
      </c>
      <c r="I2894" s="96">
        <f t="shared" si="180"/>
        <v>22.57</v>
      </c>
      <c r="J2894" s="91" t="str">
        <f t="shared" si="181"/>
        <v>Sinapi 95806</v>
      </c>
      <c r="K2894" s="91" t="str">
        <f t="shared" si="182"/>
        <v>UN</v>
      </c>
      <c r="L2894" s="166" t="str">
        <f t="shared" si="183"/>
        <v>10/2022</v>
      </c>
      <c r="M2894" s="82"/>
      <c r="N2894" s="82"/>
    </row>
    <row r="2895" spans="1:14" x14ac:dyDescent="0.25">
      <c r="A2895" s="170" t="s">
        <v>5712</v>
      </c>
      <c r="B2895" s="170" t="s">
        <v>18159</v>
      </c>
      <c r="C2895" s="170" t="s">
        <v>205</v>
      </c>
      <c r="D2895" s="170" t="s">
        <v>2067</v>
      </c>
      <c r="E2895" s="171" t="s">
        <v>30329</v>
      </c>
      <c r="F2895" s="171" t="s">
        <v>19296</v>
      </c>
      <c r="G2895" s="82"/>
      <c r="H2895" s="96">
        <f t="shared" si="180"/>
        <v>21.5</v>
      </c>
      <c r="I2895" s="96">
        <f t="shared" si="180"/>
        <v>22.81</v>
      </c>
      <c r="J2895" s="91" t="str">
        <f t="shared" si="181"/>
        <v>Sinapi 95807</v>
      </c>
      <c r="K2895" s="91" t="str">
        <f t="shared" si="182"/>
        <v>UN</v>
      </c>
      <c r="L2895" s="166" t="str">
        <f t="shared" si="183"/>
        <v>10/2022</v>
      </c>
      <c r="M2895" s="82"/>
      <c r="N2895" s="82"/>
    </row>
    <row r="2896" spans="1:14" x14ac:dyDescent="0.25">
      <c r="A2896" s="170" t="s">
        <v>5713</v>
      </c>
      <c r="B2896" s="170" t="s">
        <v>18160</v>
      </c>
      <c r="C2896" s="170" t="s">
        <v>205</v>
      </c>
      <c r="D2896" s="170" t="s">
        <v>2067</v>
      </c>
      <c r="E2896" s="171" t="s">
        <v>30828</v>
      </c>
      <c r="F2896" s="171" t="s">
        <v>29064</v>
      </c>
      <c r="G2896" s="82"/>
      <c r="H2896" s="96">
        <f t="shared" si="180"/>
        <v>24.72</v>
      </c>
      <c r="I2896" s="96">
        <f t="shared" si="180"/>
        <v>26.38</v>
      </c>
      <c r="J2896" s="91" t="str">
        <f t="shared" si="181"/>
        <v>Sinapi 95808</v>
      </c>
      <c r="K2896" s="91" t="str">
        <f t="shared" si="182"/>
        <v>UN</v>
      </c>
      <c r="L2896" s="166" t="str">
        <f t="shared" si="183"/>
        <v>10/2022</v>
      </c>
      <c r="M2896" s="82"/>
      <c r="N2896" s="82"/>
    </row>
    <row r="2897" spans="1:14" x14ac:dyDescent="0.25">
      <c r="A2897" s="170" t="s">
        <v>5714</v>
      </c>
      <c r="B2897" s="170" t="s">
        <v>18161</v>
      </c>
      <c r="C2897" s="170" t="s">
        <v>205</v>
      </c>
      <c r="D2897" s="170" t="s">
        <v>2067</v>
      </c>
      <c r="E2897" s="171" t="s">
        <v>23313</v>
      </c>
      <c r="F2897" s="171" t="s">
        <v>28692</v>
      </c>
      <c r="G2897" s="82"/>
      <c r="H2897" s="96">
        <f t="shared" si="180"/>
        <v>30.79</v>
      </c>
      <c r="I2897" s="96">
        <f t="shared" si="180"/>
        <v>32.950000000000003</v>
      </c>
      <c r="J2897" s="91" t="str">
        <f t="shared" si="181"/>
        <v>Sinapi 95809</v>
      </c>
      <c r="K2897" s="91" t="str">
        <f t="shared" si="182"/>
        <v>UN</v>
      </c>
      <c r="L2897" s="166" t="str">
        <f t="shared" si="183"/>
        <v>10/2022</v>
      </c>
      <c r="M2897" s="82"/>
      <c r="N2897" s="82"/>
    </row>
    <row r="2898" spans="1:14" x14ac:dyDescent="0.25">
      <c r="A2898" s="170" t="s">
        <v>5715</v>
      </c>
      <c r="B2898" s="170" t="s">
        <v>18162</v>
      </c>
      <c r="C2898" s="170" t="s">
        <v>205</v>
      </c>
      <c r="D2898" s="170" t="s">
        <v>2067</v>
      </c>
      <c r="E2898" s="171" t="s">
        <v>17285</v>
      </c>
      <c r="F2898" s="171" t="s">
        <v>19963</v>
      </c>
      <c r="G2898" s="82"/>
      <c r="H2898" s="96">
        <f t="shared" si="180"/>
        <v>13.03</v>
      </c>
      <c r="I2898" s="96">
        <f t="shared" si="180"/>
        <v>13.43</v>
      </c>
      <c r="J2898" s="91" t="str">
        <f t="shared" si="181"/>
        <v>Sinapi 95810</v>
      </c>
      <c r="K2898" s="91" t="str">
        <f t="shared" si="182"/>
        <v>UN</v>
      </c>
      <c r="L2898" s="166" t="str">
        <f t="shared" si="183"/>
        <v>10/2022</v>
      </c>
      <c r="M2898" s="82"/>
      <c r="N2898" s="82"/>
    </row>
    <row r="2899" spans="1:14" x14ac:dyDescent="0.25">
      <c r="A2899" s="170" t="s">
        <v>5716</v>
      </c>
      <c r="B2899" s="170" t="s">
        <v>18163</v>
      </c>
      <c r="C2899" s="170" t="s">
        <v>205</v>
      </c>
      <c r="D2899" s="170" t="s">
        <v>2067</v>
      </c>
      <c r="E2899" s="171" t="s">
        <v>19414</v>
      </c>
      <c r="F2899" s="171" t="s">
        <v>15784</v>
      </c>
      <c r="G2899" s="82"/>
      <c r="H2899" s="96">
        <f t="shared" si="180"/>
        <v>16.260000000000002</v>
      </c>
      <c r="I2899" s="96">
        <f t="shared" si="180"/>
        <v>17.010000000000002</v>
      </c>
      <c r="J2899" s="91" t="str">
        <f t="shared" si="181"/>
        <v>Sinapi 95811</v>
      </c>
      <c r="K2899" s="91" t="str">
        <f t="shared" si="182"/>
        <v>UN</v>
      </c>
      <c r="L2899" s="166" t="str">
        <f t="shared" si="183"/>
        <v>10/2022</v>
      </c>
      <c r="M2899" s="82"/>
      <c r="N2899" s="82"/>
    </row>
    <row r="2900" spans="1:14" x14ac:dyDescent="0.25">
      <c r="A2900" s="170" t="s">
        <v>5717</v>
      </c>
      <c r="B2900" s="170" t="s">
        <v>18164</v>
      </c>
      <c r="C2900" s="170" t="s">
        <v>205</v>
      </c>
      <c r="D2900" s="170" t="s">
        <v>2067</v>
      </c>
      <c r="E2900" s="171" t="s">
        <v>16714</v>
      </c>
      <c r="F2900" s="171" t="s">
        <v>35457</v>
      </c>
      <c r="G2900" s="82"/>
      <c r="H2900" s="96">
        <f t="shared" si="180"/>
        <v>22.32</v>
      </c>
      <c r="I2900" s="96">
        <f t="shared" si="180"/>
        <v>23.58</v>
      </c>
      <c r="J2900" s="91" t="str">
        <f t="shared" si="181"/>
        <v>Sinapi 95812</v>
      </c>
      <c r="K2900" s="91" t="str">
        <f t="shared" si="182"/>
        <v>UN</v>
      </c>
      <c r="L2900" s="166" t="str">
        <f t="shared" si="183"/>
        <v>10/2022</v>
      </c>
      <c r="M2900" s="82"/>
      <c r="N2900" s="82"/>
    </row>
    <row r="2901" spans="1:14" x14ac:dyDescent="0.25">
      <c r="A2901" s="170" t="s">
        <v>5719</v>
      </c>
      <c r="B2901" s="170" t="s">
        <v>18165</v>
      </c>
      <c r="C2901" s="170" t="s">
        <v>205</v>
      </c>
      <c r="D2901" s="170" t="s">
        <v>2067</v>
      </c>
      <c r="E2901" s="171" t="s">
        <v>19299</v>
      </c>
      <c r="F2901" s="171" t="s">
        <v>20649</v>
      </c>
      <c r="G2901" s="82"/>
      <c r="H2901" s="96">
        <f t="shared" si="180"/>
        <v>15.19</v>
      </c>
      <c r="I2901" s="96">
        <f t="shared" si="180"/>
        <v>15.73</v>
      </c>
      <c r="J2901" s="91" t="str">
        <f t="shared" si="181"/>
        <v>Sinapi 95813</v>
      </c>
      <c r="K2901" s="91" t="str">
        <f t="shared" si="182"/>
        <v>UN</v>
      </c>
      <c r="L2901" s="166" t="str">
        <f t="shared" si="183"/>
        <v>10/2022</v>
      </c>
      <c r="M2901" s="82"/>
      <c r="N2901" s="82"/>
    </row>
    <row r="2902" spans="1:14" x14ac:dyDescent="0.25">
      <c r="A2902" s="170" t="s">
        <v>5720</v>
      </c>
      <c r="B2902" s="170" t="s">
        <v>18166</v>
      </c>
      <c r="C2902" s="170" t="s">
        <v>205</v>
      </c>
      <c r="D2902" s="170" t="s">
        <v>2067</v>
      </c>
      <c r="E2902" s="171" t="s">
        <v>2858</v>
      </c>
      <c r="F2902" s="171" t="s">
        <v>16358</v>
      </c>
      <c r="G2902" s="82"/>
      <c r="H2902" s="96">
        <f t="shared" si="180"/>
        <v>19.489999999999998</v>
      </c>
      <c r="I2902" s="96">
        <f t="shared" si="180"/>
        <v>20.5</v>
      </c>
      <c r="J2902" s="91" t="str">
        <f t="shared" si="181"/>
        <v>Sinapi 95814</v>
      </c>
      <c r="K2902" s="91" t="str">
        <f t="shared" si="182"/>
        <v>UN</v>
      </c>
      <c r="L2902" s="166" t="str">
        <f t="shared" si="183"/>
        <v>10/2022</v>
      </c>
      <c r="M2902" s="82"/>
      <c r="N2902" s="82"/>
    </row>
    <row r="2903" spans="1:14" x14ac:dyDescent="0.25">
      <c r="A2903" s="170" t="s">
        <v>5721</v>
      </c>
      <c r="B2903" s="170" t="s">
        <v>18167</v>
      </c>
      <c r="C2903" s="170" t="s">
        <v>205</v>
      </c>
      <c r="D2903" s="170" t="s">
        <v>2067</v>
      </c>
      <c r="E2903" s="171" t="s">
        <v>19914</v>
      </c>
      <c r="F2903" s="171" t="s">
        <v>35483</v>
      </c>
      <c r="G2903" s="82"/>
      <c r="H2903" s="96">
        <f t="shared" si="180"/>
        <v>28.85</v>
      </c>
      <c r="I2903" s="96">
        <f t="shared" si="180"/>
        <v>30.52</v>
      </c>
      <c r="J2903" s="91" t="str">
        <f t="shared" si="181"/>
        <v>Sinapi 95815</v>
      </c>
      <c r="K2903" s="91" t="str">
        <f t="shared" si="182"/>
        <v>UN</v>
      </c>
      <c r="L2903" s="166" t="str">
        <f t="shared" si="183"/>
        <v>10/2022</v>
      </c>
      <c r="M2903" s="82"/>
      <c r="N2903" s="82"/>
    </row>
    <row r="2904" spans="1:14" x14ac:dyDescent="0.25">
      <c r="A2904" s="170" t="s">
        <v>5722</v>
      </c>
      <c r="B2904" s="170" t="s">
        <v>18168</v>
      </c>
      <c r="C2904" s="170" t="s">
        <v>205</v>
      </c>
      <c r="D2904" s="170" t="s">
        <v>2067</v>
      </c>
      <c r="E2904" s="171" t="s">
        <v>22717</v>
      </c>
      <c r="F2904" s="171" t="s">
        <v>36345</v>
      </c>
      <c r="G2904" s="82"/>
      <c r="H2904" s="96">
        <f t="shared" si="180"/>
        <v>26.03</v>
      </c>
      <c r="I2904" s="96">
        <f t="shared" si="180"/>
        <v>27.6</v>
      </c>
      <c r="J2904" s="91" t="str">
        <f t="shared" si="181"/>
        <v>Sinapi 95816</v>
      </c>
      <c r="K2904" s="91" t="str">
        <f t="shared" si="182"/>
        <v>UN</v>
      </c>
      <c r="L2904" s="166" t="str">
        <f t="shared" si="183"/>
        <v>10/2022</v>
      </c>
      <c r="M2904" s="82"/>
      <c r="N2904" s="82"/>
    </row>
    <row r="2905" spans="1:14" x14ac:dyDescent="0.25">
      <c r="A2905" s="170" t="s">
        <v>5723</v>
      </c>
      <c r="B2905" s="170" t="s">
        <v>18169</v>
      </c>
      <c r="C2905" s="170" t="s">
        <v>205</v>
      </c>
      <c r="D2905" s="170" t="s">
        <v>2067</v>
      </c>
      <c r="E2905" s="171" t="s">
        <v>20661</v>
      </c>
      <c r="F2905" s="171" t="s">
        <v>36346</v>
      </c>
      <c r="G2905" s="82"/>
      <c r="H2905" s="96">
        <f t="shared" si="180"/>
        <v>31.02</v>
      </c>
      <c r="I2905" s="96">
        <f t="shared" si="180"/>
        <v>33.18</v>
      </c>
      <c r="J2905" s="91" t="str">
        <f t="shared" si="181"/>
        <v>Sinapi 95817</v>
      </c>
      <c r="K2905" s="91" t="str">
        <f t="shared" si="182"/>
        <v>UN</v>
      </c>
      <c r="L2905" s="166" t="str">
        <f t="shared" si="183"/>
        <v>10/2022</v>
      </c>
      <c r="M2905" s="82"/>
      <c r="N2905" s="82"/>
    </row>
    <row r="2906" spans="1:14" x14ac:dyDescent="0.25">
      <c r="A2906" s="170" t="s">
        <v>5724</v>
      </c>
      <c r="B2906" s="170" t="s">
        <v>18170</v>
      </c>
      <c r="C2906" s="170" t="s">
        <v>205</v>
      </c>
      <c r="D2906" s="170" t="s">
        <v>2067</v>
      </c>
      <c r="E2906" s="171" t="s">
        <v>33077</v>
      </c>
      <c r="F2906" s="171" t="s">
        <v>18556</v>
      </c>
      <c r="G2906" s="82"/>
      <c r="H2906" s="96">
        <f t="shared" si="180"/>
        <v>43.04</v>
      </c>
      <c r="I2906" s="96">
        <f t="shared" si="180"/>
        <v>46.05</v>
      </c>
      <c r="J2906" s="91" t="str">
        <f t="shared" si="181"/>
        <v>Sinapi 95818</v>
      </c>
      <c r="K2906" s="91" t="str">
        <f t="shared" si="182"/>
        <v>UN</v>
      </c>
      <c r="L2906" s="166" t="str">
        <f t="shared" si="183"/>
        <v>10/2022</v>
      </c>
      <c r="M2906" s="82"/>
      <c r="N2906" s="82"/>
    </row>
    <row r="2907" spans="1:14" x14ac:dyDescent="0.25">
      <c r="A2907" s="170" t="s">
        <v>11653</v>
      </c>
      <c r="B2907" s="170" t="s">
        <v>12583</v>
      </c>
      <c r="C2907" s="170" t="s">
        <v>205</v>
      </c>
      <c r="D2907" s="170" t="s">
        <v>1947</v>
      </c>
      <c r="E2907" s="171" t="s">
        <v>22810</v>
      </c>
      <c r="F2907" s="171" t="s">
        <v>36347</v>
      </c>
      <c r="G2907" s="82"/>
      <c r="H2907" s="96">
        <f t="shared" si="180"/>
        <v>145.6</v>
      </c>
      <c r="I2907" s="96">
        <f t="shared" si="180"/>
        <v>148.22999999999999</v>
      </c>
      <c r="J2907" s="91" t="str">
        <f t="shared" si="181"/>
        <v>Sinapi 97881</v>
      </c>
      <c r="K2907" s="91" t="str">
        <f t="shared" si="182"/>
        <v>UN</v>
      </c>
      <c r="L2907" s="166" t="str">
        <f t="shared" si="183"/>
        <v>12/2020</v>
      </c>
      <c r="M2907" s="82"/>
      <c r="N2907" s="82"/>
    </row>
    <row r="2908" spans="1:14" x14ac:dyDescent="0.25">
      <c r="A2908" s="170" t="s">
        <v>11654</v>
      </c>
      <c r="B2908" s="170" t="s">
        <v>12584</v>
      </c>
      <c r="C2908" s="170" t="s">
        <v>205</v>
      </c>
      <c r="D2908" s="170" t="s">
        <v>1947</v>
      </c>
      <c r="E2908" s="171" t="s">
        <v>33078</v>
      </c>
      <c r="F2908" s="171" t="s">
        <v>36348</v>
      </c>
      <c r="G2908" s="82"/>
      <c r="H2908" s="96">
        <f t="shared" si="180"/>
        <v>229.02</v>
      </c>
      <c r="I2908" s="96">
        <f t="shared" si="180"/>
        <v>232.77</v>
      </c>
      <c r="J2908" s="91" t="str">
        <f t="shared" si="181"/>
        <v>Sinapi 97882</v>
      </c>
      <c r="K2908" s="91" t="str">
        <f t="shared" si="182"/>
        <v>UN</v>
      </c>
      <c r="L2908" s="166" t="str">
        <f t="shared" si="183"/>
        <v>12/2020</v>
      </c>
      <c r="M2908" s="82"/>
      <c r="N2908" s="82"/>
    </row>
    <row r="2909" spans="1:14" x14ac:dyDescent="0.25">
      <c r="A2909" s="170" t="s">
        <v>11655</v>
      </c>
      <c r="B2909" s="170" t="s">
        <v>12585</v>
      </c>
      <c r="C2909" s="170" t="s">
        <v>205</v>
      </c>
      <c r="D2909" s="170" t="s">
        <v>1947</v>
      </c>
      <c r="E2909" s="171" t="s">
        <v>33079</v>
      </c>
      <c r="F2909" s="171" t="s">
        <v>36349</v>
      </c>
      <c r="G2909" s="82"/>
      <c r="H2909" s="96">
        <f t="shared" si="180"/>
        <v>443.4</v>
      </c>
      <c r="I2909" s="96">
        <f t="shared" si="180"/>
        <v>449.98</v>
      </c>
      <c r="J2909" s="91" t="str">
        <f t="shared" si="181"/>
        <v>Sinapi 97883</v>
      </c>
      <c r="K2909" s="91" t="str">
        <f t="shared" si="182"/>
        <v>UN</v>
      </c>
      <c r="L2909" s="166" t="str">
        <f t="shared" si="183"/>
        <v>12/2020</v>
      </c>
      <c r="M2909" s="82"/>
      <c r="N2909" s="82"/>
    </row>
    <row r="2910" spans="1:14" x14ac:dyDescent="0.25">
      <c r="A2910" s="170" t="s">
        <v>11656</v>
      </c>
      <c r="B2910" s="170" t="s">
        <v>12586</v>
      </c>
      <c r="C2910" s="170" t="s">
        <v>205</v>
      </c>
      <c r="D2910" s="170" t="s">
        <v>1947</v>
      </c>
      <c r="E2910" s="171" t="s">
        <v>33080</v>
      </c>
      <c r="F2910" s="171" t="s">
        <v>36350</v>
      </c>
      <c r="G2910" s="82"/>
      <c r="H2910" s="96">
        <f t="shared" si="180"/>
        <v>865.84</v>
      </c>
      <c r="I2910" s="96">
        <f t="shared" si="180"/>
        <v>876.86</v>
      </c>
      <c r="J2910" s="91" t="str">
        <f t="shared" si="181"/>
        <v>Sinapi 97884</v>
      </c>
      <c r="K2910" s="91" t="str">
        <f t="shared" si="182"/>
        <v>UN</v>
      </c>
      <c r="L2910" s="166" t="str">
        <f t="shared" si="183"/>
        <v>12/2020</v>
      </c>
      <c r="M2910" s="82"/>
      <c r="N2910" s="82"/>
    </row>
    <row r="2911" spans="1:14" x14ac:dyDescent="0.25">
      <c r="A2911" s="170" t="s">
        <v>11657</v>
      </c>
      <c r="B2911" s="170" t="s">
        <v>12587</v>
      </c>
      <c r="C2911" s="170" t="s">
        <v>205</v>
      </c>
      <c r="D2911" s="170" t="s">
        <v>1947</v>
      </c>
      <c r="E2911" s="171" t="s">
        <v>33081</v>
      </c>
      <c r="F2911" s="171" t="s">
        <v>36351</v>
      </c>
      <c r="G2911" s="82"/>
      <c r="H2911" s="96">
        <f t="shared" si="180"/>
        <v>1333.59</v>
      </c>
      <c r="I2911" s="96">
        <f t="shared" si="180"/>
        <v>1348.62</v>
      </c>
      <c r="J2911" s="91" t="str">
        <f t="shared" si="181"/>
        <v>Sinapi 97885</v>
      </c>
      <c r="K2911" s="91" t="str">
        <f t="shared" si="182"/>
        <v>UN</v>
      </c>
      <c r="L2911" s="166" t="str">
        <f t="shared" si="183"/>
        <v>12/2020</v>
      </c>
      <c r="M2911" s="82"/>
      <c r="N2911" s="82"/>
    </row>
    <row r="2912" spans="1:14" x14ac:dyDescent="0.25">
      <c r="A2912" s="170" t="s">
        <v>5725</v>
      </c>
      <c r="B2912" s="170" t="s">
        <v>12588</v>
      </c>
      <c r="C2912" s="170" t="s">
        <v>205</v>
      </c>
      <c r="D2912" s="170" t="s">
        <v>1947</v>
      </c>
      <c r="E2912" s="171" t="s">
        <v>33082</v>
      </c>
      <c r="F2912" s="171" t="s">
        <v>29596</v>
      </c>
      <c r="G2912" s="82"/>
      <c r="H2912" s="96">
        <f t="shared" si="180"/>
        <v>172.51</v>
      </c>
      <c r="I2912" s="96">
        <f t="shared" si="180"/>
        <v>182.26</v>
      </c>
      <c r="J2912" s="91" t="str">
        <f t="shared" si="181"/>
        <v>Sinapi 97886</v>
      </c>
      <c r="K2912" s="91" t="str">
        <f t="shared" si="182"/>
        <v>UN</v>
      </c>
      <c r="L2912" s="166" t="str">
        <f t="shared" si="183"/>
        <v>12/2020</v>
      </c>
      <c r="M2912" s="82"/>
      <c r="N2912" s="82"/>
    </row>
    <row r="2913" spans="1:14" x14ac:dyDescent="0.25">
      <c r="A2913" s="170" t="s">
        <v>5726</v>
      </c>
      <c r="B2913" s="170" t="s">
        <v>12589</v>
      </c>
      <c r="C2913" s="170" t="s">
        <v>205</v>
      </c>
      <c r="D2913" s="170" t="s">
        <v>1947</v>
      </c>
      <c r="E2913" s="171" t="s">
        <v>33083</v>
      </c>
      <c r="F2913" s="171" t="s">
        <v>36352</v>
      </c>
      <c r="G2913" s="82"/>
      <c r="H2913" s="96">
        <f t="shared" si="180"/>
        <v>270.42</v>
      </c>
      <c r="I2913" s="96">
        <f t="shared" si="180"/>
        <v>285.74</v>
      </c>
      <c r="J2913" s="91" t="str">
        <f t="shared" si="181"/>
        <v>Sinapi 97887</v>
      </c>
      <c r="K2913" s="91" t="str">
        <f t="shared" si="182"/>
        <v>UN</v>
      </c>
      <c r="L2913" s="166" t="str">
        <f t="shared" si="183"/>
        <v>12/2020</v>
      </c>
      <c r="M2913" s="82"/>
      <c r="N2913" s="82"/>
    </row>
    <row r="2914" spans="1:14" x14ac:dyDescent="0.25">
      <c r="A2914" s="170" t="s">
        <v>5727</v>
      </c>
      <c r="B2914" s="170" t="s">
        <v>12590</v>
      </c>
      <c r="C2914" s="170" t="s">
        <v>205</v>
      </c>
      <c r="D2914" s="170" t="s">
        <v>1947</v>
      </c>
      <c r="E2914" s="171" t="s">
        <v>33084</v>
      </c>
      <c r="F2914" s="171" t="s">
        <v>36353</v>
      </c>
      <c r="G2914" s="82"/>
      <c r="H2914" s="96">
        <f t="shared" si="180"/>
        <v>523.12</v>
      </c>
      <c r="I2914" s="96">
        <f t="shared" si="180"/>
        <v>551.73</v>
      </c>
      <c r="J2914" s="91" t="str">
        <f t="shared" si="181"/>
        <v>Sinapi 97888</v>
      </c>
      <c r="K2914" s="91" t="str">
        <f t="shared" si="182"/>
        <v>UN</v>
      </c>
      <c r="L2914" s="166" t="str">
        <f t="shared" si="183"/>
        <v>12/2020</v>
      </c>
      <c r="M2914" s="82"/>
      <c r="N2914" s="82"/>
    </row>
    <row r="2915" spans="1:14" x14ac:dyDescent="0.25">
      <c r="A2915" s="170" t="s">
        <v>5728</v>
      </c>
      <c r="B2915" s="170" t="s">
        <v>12591</v>
      </c>
      <c r="C2915" s="170" t="s">
        <v>205</v>
      </c>
      <c r="D2915" s="170" t="s">
        <v>1947</v>
      </c>
      <c r="E2915" s="171" t="s">
        <v>33085</v>
      </c>
      <c r="F2915" s="171" t="s">
        <v>36354</v>
      </c>
      <c r="G2915" s="82"/>
      <c r="H2915" s="96">
        <f t="shared" si="180"/>
        <v>713.02</v>
      </c>
      <c r="I2915" s="96">
        <f t="shared" si="180"/>
        <v>751.96</v>
      </c>
      <c r="J2915" s="91" t="str">
        <f t="shared" si="181"/>
        <v>Sinapi 97889</v>
      </c>
      <c r="K2915" s="91" t="str">
        <f t="shared" si="182"/>
        <v>UN</v>
      </c>
      <c r="L2915" s="166" t="str">
        <f t="shared" si="183"/>
        <v>12/2020</v>
      </c>
      <c r="M2915" s="82"/>
      <c r="N2915" s="82"/>
    </row>
    <row r="2916" spans="1:14" x14ac:dyDescent="0.25">
      <c r="A2916" s="170" t="s">
        <v>5729</v>
      </c>
      <c r="B2916" s="170" t="s">
        <v>12592</v>
      </c>
      <c r="C2916" s="170" t="s">
        <v>205</v>
      </c>
      <c r="D2916" s="170" t="s">
        <v>1947</v>
      </c>
      <c r="E2916" s="171" t="s">
        <v>33086</v>
      </c>
      <c r="F2916" s="171" t="s">
        <v>36355</v>
      </c>
      <c r="G2916" s="82"/>
      <c r="H2916" s="96">
        <f t="shared" si="180"/>
        <v>833.78</v>
      </c>
      <c r="I2916" s="96">
        <f t="shared" si="180"/>
        <v>873.69</v>
      </c>
      <c r="J2916" s="91" t="str">
        <f t="shared" si="181"/>
        <v>Sinapi 97890</v>
      </c>
      <c r="K2916" s="91" t="str">
        <f t="shared" si="182"/>
        <v>UN</v>
      </c>
      <c r="L2916" s="166" t="str">
        <f t="shared" si="183"/>
        <v>12/2020</v>
      </c>
      <c r="M2916" s="82"/>
      <c r="N2916" s="82"/>
    </row>
    <row r="2917" spans="1:14" x14ac:dyDescent="0.25">
      <c r="A2917" s="170" t="s">
        <v>5730</v>
      </c>
      <c r="B2917" s="170" t="s">
        <v>12593</v>
      </c>
      <c r="C2917" s="170" t="s">
        <v>205</v>
      </c>
      <c r="D2917" s="170" t="s">
        <v>1947</v>
      </c>
      <c r="E2917" s="171" t="s">
        <v>33087</v>
      </c>
      <c r="F2917" s="171" t="s">
        <v>36356</v>
      </c>
      <c r="G2917" s="82"/>
      <c r="H2917" s="96">
        <f t="shared" si="180"/>
        <v>231.39</v>
      </c>
      <c r="I2917" s="96">
        <f t="shared" si="180"/>
        <v>243.33</v>
      </c>
      <c r="J2917" s="91" t="str">
        <f t="shared" si="181"/>
        <v>Sinapi 97891</v>
      </c>
      <c r="K2917" s="91" t="str">
        <f t="shared" si="182"/>
        <v>UN</v>
      </c>
      <c r="L2917" s="166" t="str">
        <f t="shared" si="183"/>
        <v>12/2020</v>
      </c>
      <c r="M2917" s="82"/>
      <c r="N2917" s="82"/>
    </row>
    <row r="2918" spans="1:14" x14ac:dyDescent="0.25">
      <c r="A2918" s="170" t="s">
        <v>5731</v>
      </c>
      <c r="B2918" s="170" t="s">
        <v>12594</v>
      </c>
      <c r="C2918" s="170" t="s">
        <v>205</v>
      </c>
      <c r="D2918" s="170" t="s">
        <v>1947</v>
      </c>
      <c r="E2918" s="171" t="s">
        <v>33088</v>
      </c>
      <c r="F2918" s="171" t="s">
        <v>36357</v>
      </c>
      <c r="G2918" s="82"/>
      <c r="H2918" s="96">
        <f t="shared" si="180"/>
        <v>440.66</v>
      </c>
      <c r="I2918" s="96">
        <f t="shared" si="180"/>
        <v>462.11</v>
      </c>
      <c r="J2918" s="91" t="str">
        <f t="shared" si="181"/>
        <v>Sinapi 97892</v>
      </c>
      <c r="K2918" s="91" t="str">
        <f t="shared" si="182"/>
        <v>UN</v>
      </c>
      <c r="L2918" s="166" t="str">
        <f t="shared" si="183"/>
        <v>12/2020</v>
      </c>
      <c r="M2918" s="82"/>
      <c r="N2918" s="82"/>
    </row>
    <row r="2919" spans="1:14" x14ac:dyDescent="0.25">
      <c r="A2919" s="170" t="s">
        <v>5732</v>
      </c>
      <c r="B2919" s="170" t="s">
        <v>12595</v>
      </c>
      <c r="C2919" s="170" t="s">
        <v>205</v>
      </c>
      <c r="D2919" s="170" t="s">
        <v>1947</v>
      </c>
      <c r="E2919" s="171" t="s">
        <v>33089</v>
      </c>
      <c r="F2919" s="171" t="s">
        <v>36358</v>
      </c>
      <c r="G2919" s="82"/>
      <c r="H2919" s="96">
        <f t="shared" si="180"/>
        <v>607.79</v>
      </c>
      <c r="I2919" s="96">
        <f t="shared" si="180"/>
        <v>637.6</v>
      </c>
      <c r="J2919" s="91" t="str">
        <f t="shared" si="181"/>
        <v>Sinapi 97893</v>
      </c>
      <c r="K2919" s="91" t="str">
        <f t="shared" si="182"/>
        <v>UN</v>
      </c>
      <c r="L2919" s="166" t="str">
        <f t="shared" si="183"/>
        <v>12/2020</v>
      </c>
      <c r="M2919" s="82"/>
      <c r="N2919" s="82"/>
    </row>
    <row r="2920" spans="1:14" x14ac:dyDescent="0.25">
      <c r="A2920" s="170" t="s">
        <v>5733</v>
      </c>
      <c r="B2920" s="170" t="s">
        <v>12596</v>
      </c>
      <c r="C2920" s="170" t="s">
        <v>205</v>
      </c>
      <c r="D2920" s="170" t="s">
        <v>1947</v>
      </c>
      <c r="E2920" s="171" t="s">
        <v>33090</v>
      </c>
      <c r="F2920" s="171" t="s">
        <v>36359</v>
      </c>
      <c r="G2920" s="82"/>
      <c r="H2920" s="96">
        <f t="shared" si="180"/>
        <v>706.27</v>
      </c>
      <c r="I2920" s="96">
        <f t="shared" si="180"/>
        <v>735.12</v>
      </c>
      <c r="J2920" s="91" t="str">
        <f t="shared" si="181"/>
        <v>Sinapi 97894</v>
      </c>
      <c r="K2920" s="91" t="str">
        <f t="shared" si="182"/>
        <v>UN</v>
      </c>
      <c r="L2920" s="166" t="str">
        <f t="shared" si="183"/>
        <v>12/2020</v>
      </c>
      <c r="M2920" s="82"/>
      <c r="N2920" s="82"/>
    </row>
    <row r="2921" spans="1:14" x14ac:dyDescent="0.25">
      <c r="A2921" s="170" t="s">
        <v>18171</v>
      </c>
      <c r="B2921" s="170" t="s">
        <v>18172</v>
      </c>
      <c r="C2921" s="170" t="s">
        <v>205</v>
      </c>
      <c r="D2921" s="170" t="s">
        <v>2067</v>
      </c>
      <c r="E2921" s="171" t="s">
        <v>30411</v>
      </c>
      <c r="F2921" s="171" t="s">
        <v>15569</v>
      </c>
      <c r="G2921" s="82"/>
      <c r="H2921" s="96">
        <f t="shared" si="180"/>
        <v>18.29</v>
      </c>
      <c r="I2921" s="96">
        <f t="shared" si="180"/>
        <v>19.440000000000001</v>
      </c>
      <c r="J2921" s="91" t="str">
        <f t="shared" si="181"/>
        <v>Sinapi 104396</v>
      </c>
      <c r="K2921" s="91" t="str">
        <f t="shared" si="182"/>
        <v>UN</v>
      </c>
      <c r="L2921" s="166" t="str">
        <f t="shared" si="183"/>
        <v>10/2022</v>
      </c>
      <c r="M2921" s="82"/>
      <c r="N2921" s="82"/>
    </row>
    <row r="2922" spans="1:14" x14ac:dyDescent="0.25">
      <c r="A2922" s="170" t="s">
        <v>18173</v>
      </c>
      <c r="B2922" s="170" t="s">
        <v>18174</v>
      </c>
      <c r="C2922" s="170" t="s">
        <v>205</v>
      </c>
      <c r="D2922" s="170" t="s">
        <v>2067</v>
      </c>
      <c r="E2922" s="171" t="s">
        <v>23112</v>
      </c>
      <c r="F2922" s="171" t="s">
        <v>16371</v>
      </c>
      <c r="G2922" s="82"/>
      <c r="H2922" s="96">
        <f t="shared" si="180"/>
        <v>21.75</v>
      </c>
      <c r="I2922" s="96">
        <f t="shared" si="180"/>
        <v>23.07</v>
      </c>
      <c r="J2922" s="91" t="str">
        <f t="shared" si="181"/>
        <v>Sinapi 104397</v>
      </c>
      <c r="K2922" s="91" t="str">
        <f t="shared" si="182"/>
        <v>UN</v>
      </c>
      <c r="L2922" s="166" t="str">
        <f t="shared" si="183"/>
        <v>10/2022</v>
      </c>
      <c r="M2922" s="82"/>
      <c r="N2922" s="82"/>
    </row>
    <row r="2923" spans="1:14" x14ac:dyDescent="0.25">
      <c r="A2923" s="170" t="s">
        <v>18175</v>
      </c>
      <c r="B2923" s="170" t="s">
        <v>18176</v>
      </c>
      <c r="C2923" s="170" t="s">
        <v>205</v>
      </c>
      <c r="D2923" s="170" t="s">
        <v>2067</v>
      </c>
      <c r="E2923" s="171" t="s">
        <v>18588</v>
      </c>
      <c r="F2923" s="171" t="s">
        <v>28749</v>
      </c>
      <c r="G2923" s="82"/>
      <c r="H2923" s="96">
        <f t="shared" si="180"/>
        <v>21.49</v>
      </c>
      <c r="I2923" s="96">
        <f t="shared" si="180"/>
        <v>22.8</v>
      </c>
      <c r="J2923" s="91" t="str">
        <f t="shared" si="181"/>
        <v>Sinapi 104398</v>
      </c>
      <c r="K2923" s="91" t="str">
        <f t="shared" si="182"/>
        <v>UN</v>
      </c>
      <c r="L2923" s="166" t="str">
        <f t="shared" si="183"/>
        <v>10/2022</v>
      </c>
      <c r="M2923" s="82"/>
      <c r="N2923" s="82"/>
    </row>
    <row r="2924" spans="1:14" x14ac:dyDescent="0.25">
      <c r="A2924" s="170" t="s">
        <v>18177</v>
      </c>
      <c r="B2924" s="170" t="s">
        <v>18178</v>
      </c>
      <c r="C2924" s="170" t="s">
        <v>205</v>
      </c>
      <c r="D2924" s="170" t="s">
        <v>2067</v>
      </c>
      <c r="E2924" s="171" t="s">
        <v>14639</v>
      </c>
      <c r="F2924" s="171" t="s">
        <v>17940</v>
      </c>
      <c r="G2924" s="82"/>
      <c r="H2924" s="96">
        <f t="shared" si="180"/>
        <v>23.66</v>
      </c>
      <c r="I2924" s="96">
        <f t="shared" si="180"/>
        <v>25.32</v>
      </c>
      <c r="J2924" s="91" t="str">
        <f t="shared" si="181"/>
        <v>Sinapi 104399</v>
      </c>
      <c r="K2924" s="91" t="str">
        <f t="shared" si="182"/>
        <v>UN</v>
      </c>
      <c r="L2924" s="166" t="str">
        <f t="shared" si="183"/>
        <v>10/2022</v>
      </c>
      <c r="M2924" s="82"/>
      <c r="N2924" s="82"/>
    </row>
    <row r="2925" spans="1:14" x14ac:dyDescent="0.25">
      <c r="A2925" s="170" t="s">
        <v>18179</v>
      </c>
      <c r="B2925" s="170" t="s">
        <v>18180</v>
      </c>
      <c r="C2925" s="170" t="s">
        <v>205</v>
      </c>
      <c r="D2925" s="170" t="s">
        <v>2067</v>
      </c>
      <c r="E2925" s="171" t="s">
        <v>19980</v>
      </c>
      <c r="F2925" s="171" t="s">
        <v>20102</v>
      </c>
      <c r="G2925" s="82"/>
      <c r="H2925" s="96">
        <f t="shared" si="180"/>
        <v>30.33</v>
      </c>
      <c r="I2925" s="96">
        <f t="shared" si="180"/>
        <v>32.49</v>
      </c>
      <c r="J2925" s="91" t="str">
        <f t="shared" si="181"/>
        <v>Sinapi 104400</v>
      </c>
      <c r="K2925" s="91" t="str">
        <f t="shared" si="182"/>
        <v>UN</v>
      </c>
      <c r="L2925" s="166" t="str">
        <f t="shared" si="183"/>
        <v>10/2022</v>
      </c>
      <c r="M2925" s="82"/>
      <c r="N2925" s="82"/>
    </row>
    <row r="2926" spans="1:14" x14ac:dyDescent="0.25">
      <c r="A2926" s="170" t="s">
        <v>18181</v>
      </c>
      <c r="B2926" s="170" t="s">
        <v>18182</v>
      </c>
      <c r="C2926" s="170" t="s">
        <v>205</v>
      </c>
      <c r="D2926" s="170" t="s">
        <v>2067</v>
      </c>
      <c r="E2926" s="171" t="s">
        <v>16151</v>
      </c>
      <c r="F2926" s="171" t="s">
        <v>30509</v>
      </c>
      <c r="G2926" s="82"/>
      <c r="H2926" s="96">
        <f t="shared" si="180"/>
        <v>20.309999999999999</v>
      </c>
      <c r="I2926" s="96">
        <f t="shared" si="180"/>
        <v>21.48</v>
      </c>
      <c r="J2926" s="91" t="str">
        <f t="shared" si="181"/>
        <v>Sinapi 104401</v>
      </c>
      <c r="K2926" s="91" t="str">
        <f t="shared" si="182"/>
        <v>UN</v>
      </c>
      <c r="L2926" s="166" t="str">
        <f t="shared" si="183"/>
        <v>10/2022</v>
      </c>
      <c r="M2926" s="82"/>
      <c r="N2926" s="82"/>
    </row>
    <row r="2927" spans="1:14" x14ac:dyDescent="0.25">
      <c r="A2927" s="170" t="s">
        <v>18183</v>
      </c>
      <c r="B2927" s="170" t="s">
        <v>18184</v>
      </c>
      <c r="C2927" s="170" t="s">
        <v>205</v>
      </c>
      <c r="D2927" s="170" t="s">
        <v>2067</v>
      </c>
      <c r="E2927" s="171" t="s">
        <v>17963</v>
      </c>
      <c r="F2927" s="171" t="s">
        <v>16423</v>
      </c>
      <c r="G2927" s="82"/>
      <c r="H2927" s="96">
        <f t="shared" si="180"/>
        <v>21.41</v>
      </c>
      <c r="I2927" s="96">
        <f t="shared" si="180"/>
        <v>22.82</v>
      </c>
      <c r="J2927" s="91" t="str">
        <f t="shared" si="181"/>
        <v>Sinapi 104402</v>
      </c>
      <c r="K2927" s="91" t="str">
        <f t="shared" si="182"/>
        <v>UN</v>
      </c>
      <c r="L2927" s="166" t="str">
        <f t="shared" si="183"/>
        <v>10/2022</v>
      </c>
      <c r="M2927" s="82"/>
      <c r="N2927" s="82"/>
    </row>
    <row r="2928" spans="1:14" x14ac:dyDescent="0.25">
      <c r="A2928" s="170" t="s">
        <v>18185</v>
      </c>
      <c r="B2928" s="170" t="s">
        <v>18186</v>
      </c>
      <c r="C2928" s="170" t="s">
        <v>205</v>
      </c>
      <c r="D2928" s="170" t="s">
        <v>2067</v>
      </c>
      <c r="E2928" s="171" t="s">
        <v>33091</v>
      </c>
      <c r="F2928" s="171" t="s">
        <v>30223</v>
      </c>
      <c r="G2928" s="82"/>
      <c r="H2928" s="96">
        <f t="shared" si="180"/>
        <v>26.58</v>
      </c>
      <c r="I2928" s="96">
        <f t="shared" si="180"/>
        <v>28.32</v>
      </c>
      <c r="J2928" s="91" t="str">
        <f t="shared" si="181"/>
        <v>Sinapi 104403</v>
      </c>
      <c r="K2928" s="91" t="str">
        <f t="shared" si="182"/>
        <v>UN</v>
      </c>
      <c r="L2928" s="166" t="str">
        <f t="shared" si="183"/>
        <v>10/2022</v>
      </c>
      <c r="M2928" s="82"/>
      <c r="N2928" s="82"/>
    </row>
    <row r="2929" spans="1:14" x14ac:dyDescent="0.25">
      <c r="A2929" s="170" t="s">
        <v>18187</v>
      </c>
      <c r="B2929" s="170" t="s">
        <v>18188</v>
      </c>
      <c r="C2929" s="170" t="s">
        <v>205</v>
      </c>
      <c r="D2929" s="170" t="s">
        <v>2067</v>
      </c>
      <c r="E2929" s="171" t="s">
        <v>18610</v>
      </c>
      <c r="F2929" s="171" t="s">
        <v>36360</v>
      </c>
      <c r="G2929" s="82"/>
      <c r="H2929" s="96">
        <f t="shared" si="180"/>
        <v>27.63</v>
      </c>
      <c r="I2929" s="96">
        <f t="shared" si="180"/>
        <v>29.54</v>
      </c>
      <c r="J2929" s="91" t="str">
        <f t="shared" si="181"/>
        <v>Sinapi 104404</v>
      </c>
      <c r="K2929" s="91" t="str">
        <f t="shared" si="182"/>
        <v>UN</v>
      </c>
      <c r="L2929" s="166" t="str">
        <f t="shared" si="183"/>
        <v>10/2022</v>
      </c>
      <c r="M2929" s="82"/>
      <c r="N2929" s="82"/>
    </row>
    <row r="2930" spans="1:14" x14ac:dyDescent="0.25">
      <c r="A2930" s="170" t="s">
        <v>18189</v>
      </c>
      <c r="B2930" s="170" t="s">
        <v>18190</v>
      </c>
      <c r="C2930" s="170" t="s">
        <v>205</v>
      </c>
      <c r="D2930" s="170" t="s">
        <v>2067</v>
      </c>
      <c r="E2930" s="171" t="s">
        <v>30510</v>
      </c>
      <c r="F2930" s="171" t="s">
        <v>26168</v>
      </c>
      <c r="G2930" s="82"/>
      <c r="H2930" s="96">
        <f t="shared" si="180"/>
        <v>37.31</v>
      </c>
      <c r="I2930" s="96">
        <f t="shared" si="180"/>
        <v>39.89</v>
      </c>
      <c r="J2930" s="91" t="str">
        <f t="shared" si="181"/>
        <v>Sinapi 104405</v>
      </c>
      <c r="K2930" s="91" t="str">
        <f t="shared" si="182"/>
        <v>UN</v>
      </c>
      <c r="L2930" s="166" t="str">
        <f t="shared" si="183"/>
        <v>10/2022</v>
      </c>
      <c r="M2930" s="82"/>
      <c r="N2930" s="82"/>
    </row>
    <row r="2931" spans="1:14" x14ac:dyDescent="0.25">
      <c r="A2931" s="170" t="s">
        <v>5734</v>
      </c>
      <c r="B2931" s="170" t="s">
        <v>11658</v>
      </c>
      <c r="C2931" s="170" t="s">
        <v>205</v>
      </c>
      <c r="D2931" s="170" t="s">
        <v>2067</v>
      </c>
      <c r="E2931" s="171" t="s">
        <v>7420</v>
      </c>
      <c r="F2931" s="171" t="s">
        <v>21154</v>
      </c>
      <c r="G2931" s="82"/>
      <c r="H2931" s="96">
        <f t="shared" si="180"/>
        <v>12.03</v>
      </c>
      <c r="I2931" s="96">
        <f t="shared" si="180"/>
        <v>12.2</v>
      </c>
      <c r="J2931" s="91" t="str">
        <f t="shared" si="181"/>
        <v>Sinapi 93653</v>
      </c>
      <c r="K2931" s="91" t="str">
        <f t="shared" si="182"/>
        <v>UN</v>
      </c>
      <c r="L2931" s="166" t="str">
        <f t="shared" si="183"/>
        <v>10/2020</v>
      </c>
      <c r="M2931" s="82"/>
      <c r="N2931" s="82"/>
    </row>
    <row r="2932" spans="1:14" x14ac:dyDescent="0.25">
      <c r="A2932" s="170" t="s">
        <v>5735</v>
      </c>
      <c r="B2932" s="170" t="s">
        <v>11659</v>
      </c>
      <c r="C2932" s="170" t="s">
        <v>205</v>
      </c>
      <c r="D2932" s="170" t="s">
        <v>2067</v>
      </c>
      <c r="E2932" s="171" t="s">
        <v>21200</v>
      </c>
      <c r="F2932" s="171" t="s">
        <v>36361</v>
      </c>
      <c r="G2932" s="82"/>
      <c r="H2932" s="96">
        <f t="shared" si="180"/>
        <v>12.56</v>
      </c>
      <c r="I2932" s="96">
        <f t="shared" si="180"/>
        <v>12.79</v>
      </c>
      <c r="J2932" s="91" t="str">
        <f t="shared" si="181"/>
        <v>Sinapi 93654</v>
      </c>
      <c r="K2932" s="91" t="str">
        <f t="shared" si="182"/>
        <v>UN</v>
      </c>
      <c r="L2932" s="166" t="str">
        <f t="shared" si="183"/>
        <v>10/2020</v>
      </c>
      <c r="M2932" s="82"/>
      <c r="N2932" s="82"/>
    </row>
    <row r="2933" spans="1:14" x14ac:dyDescent="0.25">
      <c r="A2933" s="170" t="s">
        <v>5736</v>
      </c>
      <c r="B2933" s="170" t="s">
        <v>11660</v>
      </c>
      <c r="C2933" s="170" t="s">
        <v>205</v>
      </c>
      <c r="D2933" s="170" t="s">
        <v>2067</v>
      </c>
      <c r="E2933" s="171" t="s">
        <v>22855</v>
      </c>
      <c r="F2933" s="171" t="s">
        <v>6748</v>
      </c>
      <c r="G2933" s="82"/>
      <c r="H2933" s="96">
        <f t="shared" si="180"/>
        <v>13.68</v>
      </c>
      <c r="I2933" s="96">
        <f t="shared" si="180"/>
        <v>14</v>
      </c>
      <c r="J2933" s="91" t="str">
        <f t="shared" si="181"/>
        <v>Sinapi 93655</v>
      </c>
      <c r="K2933" s="91" t="str">
        <f t="shared" si="182"/>
        <v>UN</v>
      </c>
      <c r="L2933" s="166" t="str">
        <f t="shared" si="183"/>
        <v>10/2020</v>
      </c>
      <c r="M2933" s="82"/>
      <c r="N2933" s="82"/>
    </row>
    <row r="2934" spans="1:14" x14ac:dyDescent="0.25">
      <c r="A2934" s="170" t="s">
        <v>5737</v>
      </c>
      <c r="B2934" s="170" t="s">
        <v>11661</v>
      </c>
      <c r="C2934" s="170" t="s">
        <v>205</v>
      </c>
      <c r="D2934" s="170" t="s">
        <v>2067</v>
      </c>
      <c r="E2934" s="171" t="s">
        <v>22855</v>
      </c>
      <c r="F2934" s="171" t="s">
        <v>6748</v>
      </c>
      <c r="G2934" s="82"/>
      <c r="H2934" s="96">
        <f t="shared" si="180"/>
        <v>13.68</v>
      </c>
      <c r="I2934" s="96">
        <f t="shared" si="180"/>
        <v>14</v>
      </c>
      <c r="J2934" s="91" t="str">
        <f t="shared" si="181"/>
        <v>Sinapi 93656</v>
      </c>
      <c r="K2934" s="91" t="str">
        <f t="shared" si="182"/>
        <v>UN</v>
      </c>
      <c r="L2934" s="166" t="str">
        <f t="shared" si="183"/>
        <v>10/2020</v>
      </c>
      <c r="M2934" s="82"/>
      <c r="N2934" s="82"/>
    </row>
    <row r="2935" spans="1:14" x14ac:dyDescent="0.25">
      <c r="A2935" s="170" t="s">
        <v>5738</v>
      </c>
      <c r="B2935" s="170" t="s">
        <v>11662</v>
      </c>
      <c r="C2935" s="170" t="s">
        <v>205</v>
      </c>
      <c r="D2935" s="170" t="s">
        <v>2067</v>
      </c>
      <c r="E2935" s="171" t="s">
        <v>20647</v>
      </c>
      <c r="F2935" s="171" t="s">
        <v>28576</v>
      </c>
      <c r="G2935" s="82"/>
      <c r="H2935" s="96">
        <f t="shared" si="180"/>
        <v>15.01</v>
      </c>
      <c r="I2935" s="96">
        <f t="shared" si="180"/>
        <v>15.45</v>
      </c>
      <c r="J2935" s="91" t="str">
        <f t="shared" si="181"/>
        <v>Sinapi 93657</v>
      </c>
      <c r="K2935" s="91" t="str">
        <f t="shared" si="182"/>
        <v>UN</v>
      </c>
      <c r="L2935" s="166" t="str">
        <f t="shared" si="183"/>
        <v>10/2020</v>
      </c>
      <c r="M2935" s="82"/>
      <c r="N2935" s="82"/>
    </row>
    <row r="2936" spans="1:14" x14ac:dyDescent="0.25">
      <c r="A2936" s="170" t="s">
        <v>5739</v>
      </c>
      <c r="B2936" s="170" t="s">
        <v>11663</v>
      </c>
      <c r="C2936" s="170" t="s">
        <v>205</v>
      </c>
      <c r="D2936" s="170" t="s">
        <v>2067</v>
      </c>
      <c r="E2936" s="171" t="s">
        <v>19402</v>
      </c>
      <c r="F2936" s="171" t="s">
        <v>21860</v>
      </c>
      <c r="G2936" s="82"/>
      <c r="H2936" s="96">
        <f t="shared" si="180"/>
        <v>21.61</v>
      </c>
      <c r="I2936" s="96">
        <f t="shared" si="180"/>
        <v>22.26</v>
      </c>
      <c r="J2936" s="91" t="str">
        <f t="shared" si="181"/>
        <v>Sinapi 93658</v>
      </c>
      <c r="K2936" s="91" t="str">
        <f t="shared" si="182"/>
        <v>UN</v>
      </c>
      <c r="L2936" s="166" t="str">
        <f t="shared" si="183"/>
        <v>10/2020</v>
      </c>
      <c r="M2936" s="82"/>
      <c r="N2936" s="82"/>
    </row>
    <row r="2937" spans="1:14" x14ac:dyDescent="0.25">
      <c r="A2937" s="170" t="s">
        <v>5740</v>
      </c>
      <c r="B2937" s="170" t="s">
        <v>11664</v>
      </c>
      <c r="C2937" s="170" t="s">
        <v>205</v>
      </c>
      <c r="D2937" s="170" t="s">
        <v>2067</v>
      </c>
      <c r="E2937" s="171" t="s">
        <v>23171</v>
      </c>
      <c r="F2937" s="171" t="s">
        <v>22857</v>
      </c>
      <c r="G2937" s="82"/>
      <c r="H2937" s="96">
        <f t="shared" si="180"/>
        <v>24.27</v>
      </c>
      <c r="I2937" s="96">
        <f t="shared" si="180"/>
        <v>25.17</v>
      </c>
      <c r="J2937" s="91" t="str">
        <f t="shared" si="181"/>
        <v>Sinapi 93659</v>
      </c>
      <c r="K2937" s="91" t="str">
        <f t="shared" si="182"/>
        <v>UN</v>
      </c>
      <c r="L2937" s="166" t="str">
        <f t="shared" si="183"/>
        <v>10/2020</v>
      </c>
      <c r="M2937" s="82"/>
      <c r="N2937" s="82"/>
    </row>
    <row r="2938" spans="1:14" x14ac:dyDescent="0.25">
      <c r="A2938" s="170" t="s">
        <v>5741</v>
      </c>
      <c r="B2938" s="170" t="s">
        <v>11665</v>
      </c>
      <c r="C2938" s="170" t="s">
        <v>205</v>
      </c>
      <c r="D2938" s="170" t="s">
        <v>2067</v>
      </c>
      <c r="E2938" s="171" t="s">
        <v>33092</v>
      </c>
      <c r="F2938" s="171" t="s">
        <v>30849</v>
      </c>
      <c r="G2938" s="82"/>
      <c r="H2938" s="96">
        <f t="shared" si="180"/>
        <v>59.39</v>
      </c>
      <c r="I2938" s="96">
        <f t="shared" si="180"/>
        <v>59.74</v>
      </c>
      <c r="J2938" s="91" t="str">
        <f t="shared" si="181"/>
        <v>Sinapi 93660</v>
      </c>
      <c r="K2938" s="91" t="str">
        <f t="shared" si="182"/>
        <v>UN</v>
      </c>
      <c r="L2938" s="166" t="str">
        <f t="shared" si="183"/>
        <v>10/2020</v>
      </c>
      <c r="M2938" s="82"/>
      <c r="N2938" s="82"/>
    </row>
    <row r="2939" spans="1:14" x14ac:dyDescent="0.25">
      <c r="A2939" s="170" t="s">
        <v>5742</v>
      </c>
      <c r="B2939" s="170" t="s">
        <v>11666</v>
      </c>
      <c r="C2939" s="170" t="s">
        <v>205</v>
      </c>
      <c r="D2939" s="170" t="s">
        <v>2067</v>
      </c>
      <c r="E2939" s="171" t="s">
        <v>31555</v>
      </c>
      <c r="F2939" s="171" t="s">
        <v>34539</v>
      </c>
      <c r="G2939" s="82"/>
      <c r="H2939" s="96">
        <f t="shared" si="180"/>
        <v>60.47</v>
      </c>
      <c r="I2939" s="96">
        <f t="shared" si="180"/>
        <v>60.93</v>
      </c>
      <c r="J2939" s="91" t="str">
        <f t="shared" si="181"/>
        <v>Sinapi 93661</v>
      </c>
      <c r="K2939" s="91" t="str">
        <f t="shared" si="182"/>
        <v>UN</v>
      </c>
      <c r="L2939" s="166" t="str">
        <f t="shared" si="183"/>
        <v>10/2020</v>
      </c>
      <c r="M2939" s="82"/>
      <c r="N2939" s="82"/>
    </row>
    <row r="2940" spans="1:14" x14ac:dyDescent="0.25">
      <c r="A2940" s="170" t="s">
        <v>5743</v>
      </c>
      <c r="B2940" s="170" t="s">
        <v>11667</v>
      </c>
      <c r="C2940" s="170" t="s">
        <v>205</v>
      </c>
      <c r="D2940" s="170" t="s">
        <v>2067</v>
      </c>
      <c r="E2940" s="171" t="s">
        <v>33093</v>
      </c>
      <c r="F2940" s="171" t="s">
        <v>29028</v>
      </c>
      <c r="G2940" s="82"/>
      <c r="H2940" s="96">
        <f t="shared" si="180"/>
        <v>62.69</v>
      </c>
      <c r="I2940" s="96">
        <f t="shared" si="180"/>
        <v>63.33</v>
      </c>
      <c r="J2940" s="91" t="str">
        <f t="shared" si="181"/>
        <v>Sinapi 93662</v>
      </c>
      <c r="K2940" s="91" t="str">
        <f t="shared" si="182"/>
        <v>UN</v>
      </c>
      <c r="L2940" s="166" t="str">
        <f t="shared" si="183"/>
        <v>10/2020</v>
      </c>
      <c r="M2940" s="82"/>
      <c r="N2940" s="82"/>
    </row>
    <row r="2941" spans="1:14" x14ac:dyDescent="0.25">
      <c r="A2941" s="170" t="s">
        <v>5744</v>
      </c>
      <c r="B2941" s="170" t="s">
        <v>11668</v>
      </c>
      <c r="C2941" s="170" t="s">
        <v>205</v>
      </c>
      <c r="D2941" s="170" t="s">
        <v>2067</v>
      </c>
      <c r="E2941" s="171" t="s">
        <v>33093</v>
      </c>
      <c r="F2941" s="171" t="s">
        <v>29028</v>
      </c>
      <c r="G2941" s="82"/>
      <c r="H2941" s="96">
        <f t="shared" si="180"/>
        <v>62.69</v>
      </c>
      <c r="I2941" s="96">
        <f t="shared" si="180"/>
        <v>63.33</v>
      </c>
      <c r="J2941" s="91" t="str">
        <f t="shared" si="181"/>
        <v>Sinapi 93663</v>
      </c>
      <c r="K2941" s="91" t="str">
        <f t="shared" si="182"/>
        <v>UN</v>
      </c>
      <c r="L2941" s="166" t="str">
        <f t="shared" si="183"/>
        <v>10/2020</v>
      </c>
      <c r="M2941" s="82"/>
      <c r="N2941" s="82"/>
    </row>
    <row r="2942" spans="1:14" x14ac:dyDescent="0.25">
      <c r="A2942" s="170" t="s">
        <v>5745</v>
      </c>
      <c r="B2942" s="170" t="s">
        <v>11669</v>
      </c>
      <c r="C2942" s="170" t="s">
        <v>205</v>
      </c>
      <c r="D2942" s="170" t="s">
        <v>2067</v>
      </c>
      <c r="E2942" s="171" t="s">
        <v>26496</v>
      </c>
      <c r="F2942" s="171" t="s">
        <v>22874</v>
      </c>
      <c r="G2942" s="82"/>
      <c r="H2942" s="96">
        <f t="shared" si="180"/>
        <v>65.38</v>
      </c>
      <c r="I2942" s="96">
        <f t="shared" si="180"/>
        <v>66.260000000000005</v>
      </c>
      <c r="J2942" s="91" t="str">
        <f t="shared" si="181"/>
        <v>Sinapi 93664</v>
      </c>
      <c r="K2942" s="91" t="str">
        <f t="shared" si="182"/>
        <v>UN</v>
      </c>
      <c r="L2942" s="166" t="str">
        <f t="shared" si="183"/>
        <v>10/2020</v>
      </c>
      <c r="M2942" s="82"/>
      <c r="N2942" s="82"/>
    </row>
    <row r="2943" spans="1:14" x14ac:dyDescent="0.25">
      <c r="A2943" s="170" t="s">
        <v>5746</v>
      </c>
      <c r="B2943" s="170" t="s">
        <v>11670</v>
      </c>
      <c r="C2943" s="170" t="s">
        <v>205</v>
      </c>
      <c r="D2943" s="170" t="s">
        <v>2067</v>
      </c>
      <c r="E2943" s="171" t="s">
        <v>33094</v>
      </c>
      <c r="F2943" s="171" t="s">
        <v>36362</v>
      </c>
      <c r="G2943" s="82"/>
      <c r="H2943" s="96">
        <f t="shared" si="180"/>
        <v>68.61</v>
      </c>
      <c r="I2943" s="96">
        <f t="shared" si="180"/>
        <v>69.91</v>
      </c>
      <c r="J2943" s="91" t="str">
        <f t="shared" si="181"/>
        <v>Sinapi 93665</v>
      </c>
      <c r="K2943" s="91" t="str">
        <f t="shared" si="182"/>
        <v>UN</v>
      </c>
      <c r="L2943" s="166" t="str">
        <f t="shared" si="183"/>
        <v>10/2020</v>
      </c>
      <c r="M2943" s="82"/>
      <c r="N2943" s="82"/>
    </row>
    <row r="2944" spans="1:14" x14ac:dyDescent="0.25">
      <c r="A2944" s="170" t="s">
        <v>5747</v>
      </c>
      <c r="B2944" s="170" t="s">
        <v>11671</v>
      </c>
      <c r="C2944" s="170" t="s">
        <v>205</v>
      </c>
      <c r="D2944" s="170" t="s">
        <v>2067</v>
      </c>
      <c r="E2944" s="171" t="s">
        <v>33095</v>
      </c>
      <c r="F2944" s="171" t="s">
        <v>36363</v>
      </c>
      <c r="G2944" s="82"/>
      <c r="H2944" s="96">
        <f t="shared" si="180"/>
        <v>73.91</v>
      </c>
      <c r="I2944" s="96">
        <f t="shared" si="180"/>
        <v>75.73</v>
      </c>
      <c r="J2944" s="91" t="str">
        <f t="shared" si="181"/>
        <v>Sinapi 93666</v>
      </c>
      <c r="K2944" s="91" t="str">
        <f t="shared" si="182"/>
        <v>UN</v>
      </c>
      <c r="L2944" s="166" t="str">
        <f t="shared" si="183"/>
        <v>10/2020</v>
      </c>
      <c r="M2944" s="82"/>
      <c r="N2944" s="82"/>
    </row>
    <row r="2945" spans="1:14" x14ac:dyDescent="0.25">
      <c r="A2945" s="170" t="s">
        <v>5748</v>
      </c>
      <c r="B2945" s="170" t="s">
        <v>11672</v>
      </c>
      <c r="C2945" s="170" t="s">
        <v>205</v>
      </c>
      <c r="D2945" s="170" t="s">
        <v>2067</v>
      </c>
      <c r="E2945" s="171" t="s">
        <v>33096</v>
      </c>
      <c r="F2945" s="171" t="s">
        <v>36364</v>
      </c>
      <c r="G2945" s="82"/>
      <c r="H2945" s="96">
        <f t="shared" si="180"/>
        <v>74.19</v>
      </c>
      <c r="I2945" s="96">
        <f t="shared" si="180"/>
        <v>74.7</v>
      </c>
      <c r="J2945" s="91" t="str">
        <f t="shared" si="181"/>
        <v>Sinapi 93667</v>
      </c>
      <c r="K2945" s="91" t="str">
        <f t="shared" si="182"/>
        <v>UN</v>
      </c>
      <c r="L2945" s="166" t="str">
        <f t="shared" si="183"/>
        <v>10/2020</v>
      </c>
      <c r="M2945" s="82"/>
      <c r="N2945" s="82"/>
    </row>
    <row r="2946" spans="1:14" x14ac:dyDescent="0.25">
      <c r="A2946" s="170" t="s">
        <v>5749</v>
      </c>
      <c r="B2946" s="170" t="s">
        <v>11673</v>
      </c>
      <c r="C2946" s="170" t="s">
        <v>205</v>
      </c>
      <c r="D2946" s="170" t="s">
        <v>2067</v>
      </c>
      <c r="E2946" s="171" t="s">
        <v>33097</v>
      </c>
      <c r="F2946" s="171" t="s">
        <v>24281</v>
      </c>
      <c r="G2946" s="82"/>
      <c r="H2946" s="96">
        <f t="shared" si="180"/>
        <v>75.8</v>
      </c>
      <c r="I2946" s="96">
        <f t="shared" si="180"/>
        <v>76.489999999999995</v>
      </c>
      <c r="J2946" s="91" t="str">
        <f t="shared" si="181"/>
        <v>Sinapi 93668</v>
      </c>
      <c r="K2946" s="91" t="str">
        <f t="shared" si="182"/>
        <v>UN</v>
      </c>
      <c r="L2946" s="166" t="str">
        <f t="shared" si="183"/>
        <v>10/2020</v>
      </c>
      <c r="M2946" s="82"/>
      <c r="N2946" s="82"/>
    </row>
    <row r="2947" spans="1:14" x14ac:dyDescent="0.25">
      <c r="A2947" s="170" t="s">
        <v>5750</v>
      </c>
      <c r="B2947" s="170" t="s">
        <v>11674</v>
      </c>
      <c r="C2947" s="170" t="s">
        <v>205</v>
      </c>
      <c r="D2947" s="170" t="s">
        <v>2067</v>
      </c>
      <c r="E2947" s="171" t="s">
        <v>21170</v>
      </c>
      <c r="F2947" s="171" t="s">
        <v>36365</v>
      </c>
      <c r="G2947" s="82"/>
      <c r="H2947" s="96">
        <f t="shared" si="180"/>
        <v>79.13</v>
      </c>
      <c r="I2947" s="96">
        <f t="shared" si="180"/>
        <v>80.099999999999994</v>
      </c>
      <c r="J2947" s="91" t="str">
        <f t="shared" si="181"/>
        <v>Sinapi 93669</v>
      </c>
      <c r="K2947" s="91" t="str">
        <f t="shared" si="182"/>
        <v>UN</v>
      </c>
      <c r="L2947" s="166" t="str">
        <f t="shared" si="183"/>
        <v>10/2020</v>
      </c>
      <c r="M2947" s="82"/>
      <c r="N2947" s="82"/>
    </row>
    <row r="2948" spans="1:14" x14ac:dyDescent="0.25">
      <c r="A2948" s="170" t="s">
        <v>5751</v>
      </c>
      <c r="B2948" s="170" t="s">
        <v>11675</v>
      </c>
      <c r="C2948" s="170" t="s">
        <v>205</v>
      </c>
      <c r="D2948" s="170" t="s">
        <v>2067</v>
      </c>
      <c r="E2948" s="171" t="s">
        <v>21170</v>
      </c>
      <c r="F2948" s="171" t="s">
        <v>36365</v>
      </c>
      <c r="G2948" s="82"/>
      <c r="H2948" s="96">
        <f t="shared" si="180"/>
        <v>79.13</v>
      </c>
      <c r="I2948" s="96">
        <f t="shared" si="180"/>
        <v>80.099999999999994</v>
      </c>
      <c r="J2948" s="91" t="str">
        <f t="shared" si="181"/>
        <v>Sinapi 93670</v>
      </c>
      <c r="K2948" s="91" t="str">
        <f t="shared" si="182"/>
        <v>UN</v>
      </c>
      <c r="L2948" s="166" t="str">
        <f t="shared" si="183"/>
        <v>10/2020</v>
      </c>
      <c r="M2948" s="82"/>
      <c r="N2948" s="82"/>
    </row>
    <row r="2949" spans="1:14" x14ac:dyDescent="0.25">
      <c r="A2949" s="170" t="s">
        <v>5752</v>
      </c>
      <c r="B2949" s="170" t="s">
        <v>11676</v>
      </c>
      <c r="C2949" s="170" t="s">
        <v>205</v>
      </c>
      <c r="D2949" s="170" t="s">
        <v>2067</v>
      </c>
      <c r="E2949" s="171" t="s">
        <v>33098</v>
      </c>
      <c r="F2949" s="171" t="s">
        <v>22096</v>
      </c>
      <c r="G2949" s="82"/>
      <c r="H2949" s="96">
        <f t="shared" si="180"/>
        <v>83.16</v>
      </c>
      <c r="I2949" s="96">
        <f t="shared" si="180"/>
        <v>84.47</v>
      </c>
      <c r="J2949" s="91" t="str">
        <f t="shared" si="181"/>
        <v>Sinapi 93671</v>
      </c>
      <c r="K2949" s="91" t="str">
        <f t="shared" si="182"/>
        <v>UN</v>
      </c>
      <c r="L2949" s="166" t="str">
        <f t="shared" si="183"/>
        <v>10/2020</v>
      </c>
      <c r="M2949" s="82"/>
      <c r="N2949" s="82"/>
    </row>
    <row r="2950" spans="1:14" x14ac:dyDescent="0.25">
      <c r="A2950" s="170" t="s">
        <v>5753</v>
      </c>
      <c r="B2950" s="170" t="s">
        <v>11677</v>
      </c>
      <c r="C2950" s="170" t="s">
        <v>205</v>
      </c>
      <c r="D2950" s="170" t="s">
        <v>2067</v>
      </c>
      <c r="E2950" s="171" t="s">
        <v>31366</v>
      </c>
      <c r="F2950" s="171" t="s">
        <v>36366</v>
      </c>
      <c r="G2950" s="82"/>
      <c r="H2950" s="96">
        <f t="shared" si="180"/>
        <v>89.25</v>
      </c>
      <c r="I2950" s="96">
        <f t="shared" si="180"/>
        <v>91.2</v>
      </c>
      <c r="J2950" s="91" t="str">
        <f t="shared" si="181"/>
        <v>Sinapi 93672</v>
      </c>
      <c r="K2950" s="91" t="str">
        <f t="shared" si="182"/>
        <v>UN</v>
      </c>
      <c r="L2950" s="166" t="str">
        <f t="shared" si="183"/>
        <v>10/2020</v>
      </c>
      <c r="M2950" s="82"/>
      <c r="N2950" s="82"/>
    </row>
    <row r="2951" spans="1:14" x14ac:dyDescent="0.25">
      <c r="A2951" s="170" t="s">
        <v>5754</v>
      </c>
      <c r="B2951" s="170" t="s">
        <v>11678</v>
      </c>
      <c r="C2951" s="170" t="s">
        <v>205</v>
      </c>
      <c r="D2951" s="170" t="s">
        <v>2067</v>
      </c>
      <c r="E2951" s="171" t="s">
        <v>23167</v>
      </c>
      <c r="F2951" s="171" t="s">
        <v>22003</v>
      </c>
      <c r="G2951" s="82"/>
      <c r="H2951" s="96">
        <f t="shared" si="180"/>
        <v>97.21</v>
      </c>
      <c r="I2951" s="96">
        <f t="shared" si="180"/>
        <v>99.94</v>
      </c>
      <c r="J2951" s="91" t="str">
        <f t="shared" si="181"/>
        <v>Sinapi 93673</v>
      </c>
      <c r="K2951" s="91" t="str">
        <f t="shared" si="182"/>
        <v>UN</v>
      </c>
      <c r="L2951" s="166" t="str">
        <f t="shared" si="183"/>
        <v>10/2020</v>
      </c>
      <c r="M2951" s="82"/>
      <c r="N2951" s="82"/>
    </row>
    <row r="2952" spans="1:14" x14ac:dyDescent="0.25">
      <c r="A2952" s="170" t="s">
        <v>5755</v>
      </c>
      <c r="B2952" s="170" t="s">
        <v>11679</v>
      </c>
      <c r="C2952" s="170" t="s">
        <v>205</v>
      </c>
      <c r="D2952" s="170" t="s">
        <v>2067</v>
      </c>
      <c r="E2952" s="171" t="s">
        <v>33099</v>
      </c>
      <c r="F2952" s="171" t="s">
        <v>36367</v>
      </c>
      <c r="G2952" s="82"/>
      <c r="H2952" s="96">
        <f t="shared" ref="H2952:I3015" si="184">IF(E2952="","",E2952+0)</f>
        <v>3383.76</v>
      </c>
      <c r="I2952" s="96">
        <f t="shared" si="184"/>
        <v>3401.4</v>
      </c>
      <c r="J2952" s="91" t="str">
        <f t="shared" ref="J2952:J3015" si="185">IF(OR(H2952="",I2952=""),"",TRIM(CONCATENATE("Sinapi ",A2952)))</f>
        <v>Sinapi 97359</v>
      </c>
      <c r="K2952" s="91" t="str">
        <f t="shared" ref="K2952:K3015" si="186">TRIM(C2952)</f>
        <v>UN</v>
      </c>
      <c r="L2952" s="166" t="str">
        <f t="shared" ref="L2952:L3015" si="187">IF(OR(RIGHT(IF(AND(K2952&lt;&gt;"H",K2952&lt;&gt;"MES"),RIGHT(B2952,7),""),2)="PS",RIGHT(IF(AND(K2952&lt;&gt;"H",K2952&lt;&gt;"MES"),RIGHT(B2952,7),""),2)="PA",RIGHT(IF(AND(K2952&lt;&gt;"H",K2952&lt;&gt;"MES"),RIGHT(B2952,7),""),2)="PE"),LEFT(IF(AND(K2952&lt;&gt;"H",K2952&lt;&gt;"MES"),RIGHT(B2952,10),""),7),IF(AND(K2952&lt;&gt;"H",K2952&lt;&gt;"MES"),RIGHT(B2952,7),""))</f>
        <v>10/2020</v>
      </c>
      <c r="M2952" s="82"/>
      <c r="N2952" s="82"/>
    </row>
    <row r="2953" spans="1:14" x14ac:dyDescent="0.25">
      <c r="A2953" s="170" t="s">
        <v>5756</v>
      </c>
      <c r="B2953" s="170" t="s">
        <v>11680</v>
      </c>
      <c r="C2953" s="170" t="s">
        <v>205</v>
      </c>
      <c r="D2953" s="170" t="s">
        <v>2067</v>
      </c>
      <c r="E2953" s="171" t="s">
        <v>33100</v>
      </c>
      <c r="F2953" s="171" t="s">
        <v>36368</v>
      </c>
      <c r="G2953" s="82"/>
      <c r="H2953" s="96">
        <f t="shared" si="184"/>
        <v>6527.45</v>
      </c>
      <c r="I2953" s="96">
        <f t="shared" si="184"/>
        <v>6553.91</v>
      </c>
      <c r="J2953" s="91" t="str">
        <f t="shared" si="185"/>
        <v>Sinapi 97360</v>
      </c>
      <c r="K2953" s="91" t="str">
        <f t="shared" si="186"/>
        <v>UN</v>
      </c>
      <c r="L2953" s="166" t="str">
        <f t="shared" si="187"/>
        <v>10/2020</v>
      </c>
      <c r="M2953" s="82"/>
      <c r="N2953" s="82"/>
    </row>
    <row r="2954" spans="1:14" x14ac:dyDescent="0.25">
      <c r="A2954" s="170" t="s">
        <v>5757</v>
      </c>
      <c r="B2954" s="170" t="s">
        <v>11681</v>
      </c>
      <c r="C2954" s="170" t="s">
        <v>205</v>
      </c>
      <c r="D2954" s="170" t="s">
        <v>2067</v>
      </c>
      <c r="E2954" s="171" t="s">
        <v>33101</v>
      </c>
      <c r="F2954" s="171" t="s">
        <v>36369</v>
      </c>
      <c r="G2954" s="82"/>
      <c r="H2954" s="96">
        <f t="shared" si="184"/>
        <v>8703.2800000000007</v>
      </c>
      <c r="I2954" s="96">
        <f t="shared" si="184"/>
        <v>8738.56</v>
      </c>
      <c r="J2954" s="91" t="str">
        <f t="shared" si="185"/>
        <v>Sinapi 97361</v>
      </c>
      <c r="K2954" s="91" t="str">
        <f t="shared" si="186"/>
        <v>UN</v>
      </c>
      <c r="L2954" s="166" t="str">
        <f t="shared" si="187"/>
        <v>10/2020</v>
      </c>
      <c r="M2954" s="82"/>
      <c r="N2954" s="82"/>
    </row>
    <row r="2955" spans="1:14" x14ac:dyDescent="0.25">
      <c r="A2955" s="170" t="s">
        <v>11682</v>
      </c>
      <c r="B2955" s="170" t="s">
        <v>11683</v>
      </c>
      <c r="C2955" s="170" t="s">
        <v>205</v>
      </c>
      <c r="D2955" s="170" t="s">
        <v>2067</v>
      </c>
      <c r="E2955" s="171" t="s">
        <v>33102</v>
      </c>
      <c r="F2955" s="171" t="s">
        <v>36370</v>
      </c>
      <c r="G2955" s="82"/>
      <c r="H2955" s="96">
        <f t="shared" si="184"/>
        <v>2051.2199999999998</v>
      </c>
      <c r="I2955" s="96">
        <f t="shared" si="184"/>
        <v>2055.31</v>
      </c>
      <c r="J2955" s="91" t="str">
        <f t="shared" si="185"/>
        <v>Sinapi 97362</v>
      </c>
      <c r="K2955" s="91" t="str">
        <f t="shared" si="186"/>
        <v>UN</v>
      </c>
      <c r="L2955" s="166" t="str">
        <f t="shared" si="187"/>
        <v>10/2020</v>
      </c>
      <c r="M2955" s="82"/>
      <c r="N2955" s="82"/>
    </row>
    <row r="2956" spans="1:14" x14ac:dyDescent="0.25">
      <c r="A2956" s="170" t="s">
        <v>11684</v>
      </c>
      <c r="B2956" s="170" t="s">
        <v>11685</v>
      </c>
      <c r="C2956" s="170" t="s">
        <v>205</v>
      </c>
      <c r="D2956" s="170" t="s">
        <v>2067</v>
      </c>
      <c r="E2956" s="171" t="s">
        <v>33103</v>
      </c>
      <c r="F2956" s="171" t="s">
        <v>36371</v>
      </c>
      <c r="G2956" s="82"/>
      <c r="H2956" s="96">
        <f t="shared" si="184"/>
        <v>438.69</v>
      </c>
      <c r="I2956" s="96">
        <f t="shared" si="184"/>
        <v>441.26</v>
      </c>
      <c r="J2956" s="91" t="str">
        <f t="shared" si="185"/>
        <v>Sinapi 101875</v>
      </c>
      <c r="K2956" s="91" t="str">
        <f t="shared" si="186"/>
        <v>UN</v>
      </c>
      <c r="L2956" s="166" t="str">
        <f t="shared" si="187"/>
        <v>10/2020</v>
      </c>
      <c r="M2956" s="82"/>
      <c r="N2956" s="82"/>
    </row>
    <row r="2957" spans="1:14" x14ac:dyDescent="0.25">
      <c r="A2957" s="170" t="s">
        <v>11686</v>
      </c>
      <c r="B2957" s="170" t="s">
        <v>11687</v>
      </c>
      <c r="C2957" s="170" t="s">
        <v>205</v>
      </c>
      <c r="D2957" s="170" t="s">
        <v>2067</v>
      </c>
      <c r="E2957" s="171" t="s">
        <v>25947</v>
      </c>
      <c r="F2957" s="171" t="s">
        <v>21984</v>
      </c>
      <c r="G2957" s="82"/>
      <c r="H2957" s="96">
        <f t="shared" si="184"/>
        <v>76.069999999999993</v>
      </c>
      <c r="I2957" s="96">
        <f t="shared" si="184"/>
        <v>77.739999999999995</v>
      </c>
      <c r="J2957" s="91" t="str">
        <f t="shared" si="185"/>
        <v>Sinapi 101876</v>
      </c>
      <c r="K2957" s="91" t="str">
        <f t="shared" si="186"/>
        <v>UN</v>
      </c>
      <c r="L2957" s="166" t="str">
        <f t="shared" si="187"/>
        <v>10/2020</v>
      </c>
      <c r="M2957" s="82"/>
      <c r="N2957" s="82"/>
    </row>
    <row r="2958" spans="1:14" x14ac:dyDescent="0.25">
      <c r="A2958" s="170" t="s">
        <v>11688</v>
      </c>
      <c r="B2958" s="170" t="s">
        <v>11689</v>
      </c>
      <c r="C2958" s="170" t="s">
        <v>205</v>
      </c>
      <c r="D2958" s="170" t="s">
        <v>2067</v>
      </c>
      <c r="E2958" s="171" t="s">
        <v>21062</v>
      </c>
      <c r="F2958" s="171" t="s">
        <v>31118</v>
      </c>
      <c r="G2958" s="82"/>
      <c r="H2958" s="96">
        <f t="shared" si="184"/>
        <v>52.34</v>
      </c>
      <c r="I2958" s="96">
        <f t="shared" si="184"/>
        <v>53.81</v>
      </c>
      <c r="J2958" s="91" t="str">
        <f t="shared" si="185"/>
        <v>Sinapi 101877</v>
      </c>
      <c r="K2958" s="91" t="str">
        <f t="shared" si="186"/>
        <v>UN</v>
      </c>
      <c r="L2958" s="166" t="str">
        <f t="shared" si="187"/>
        <v>10/2020</v>
      </c>
      <c r="M2958" s="82"/>
      <c r="N2958" s="82"/>
    </row>
    <row r="2959" spans="1:14" x14ac:dyDescent="0.25">
      <c r="A2959" s="170" t="s">
        <v>11690</v>
      </c>
      <c r="B2959" s="170" t="s">
        <v>11691</v>
      </c>
      <c r="C2959" s="170" t="s">
        <v>205</v>
      </c>
      <c r="D2959" s="170" t="s">
        <v>2067</v>
      </c>
      <c r="E2959" s="171" t="s">
        <v>33104</v>
      </c>
      <c r="F2959" s="171" t="s">
        <v>36372</v>
      </c>
      <c r="G2959" s="82"/>
      <c r="H2959" s="96">
        <f t="shared" si="184"/>
        <v>594.99</v>
      </c>
      <c r="I2959" s="96">
        <f t="shared" si="184"/>
        <v>602.34</v>
      </c>
      <c r="J2959" s="91" t="str">
        <f t="shared" si="185"/>
        <v>Sinapi 101878</v>
      </c>
      <c r="K2959" s="91" t="str">
        <f t="shared" si="186"/>
        <v>UN</v>
      </c>
      <c r="L2959" s="166" t="str">
        <f t="shared" si="187"/>
        <v>10/2020</v>
      </c>
      <c r="M2959" s="82"/>
      <c r="N2959" s="82"/>
    </row>
    <row r="2960" spans="1:14" x14ac:dyDescent="0.25">
      <c r="A2960" s="170" t="s">
        <v>11692</v>
      </c>
      <c r="B2960" s="170" t="s">
        <v>11693</v>
      </c>
      <c r="C2960" s="170" t="s">
        <v>205</v>
      </c>
      <c r="D2960" s="170" t="s">
        <v>2067</v>
      </c>
      <c r="E2960" s="171" t="s">
        <v>33105</v>
      </c>
      <c r="F2960" s="171" t="s">
        <v>36373</v>
      </c>
      <c r="G2960" s="82"/>
      <c r="H2960" s="96">
        <f t="shared" si="184"/>
        <v>636.21</v>
      </c>
      <c r="I2960" s="96">
        <f t="shared" si="184"/>
        <v>639.1</v>
      </c>
      <c r="J2960" s="91" t="str">
        <f t="shared" si="185"/>
        <v>Sinapi 101879</v>
      </c>
      <c r="K2960" s="91" t="str">
        <f t="shared" si="186"/>
        <v>UN</v>
      </c>
      <c r="L2960" s="166" t="str">
        <f t="shared" si="187"/>
        <v>10/2020</v>
      </c>
      <c r="M2960" s="82"/>
      <c r="N2960" s="82"/>
    </row>
    <row r="2961" spans="1:14" x14ac:dyDescent="0.25">
      <c r="A2961" s="170" t="s">
        <v>11694</v>
      </c>
      <c r="B2961" s="170" t="s">
        <v>11695</v>
      </c>
      <c r="C2961" s="170" t="s">
        <v>205</v>
      </c>
      <c r="D2961" s="170" t="s">
        <v>2067</v>
      </c>
      <c r="E2961" s="171" t="s">
        <v>33106</v>
      </c>
      <c r="F2961" s="171" t="s">
        <v>36374</v>
      </c>
      <c r="G2961" s="82"/>
      <c r="H2961" s="96">
        <f t="shared" si="184"/>
        <v>732.76</v>
      </c>
      <c r="I2961" s="96">
        <f t="shared" si="184"/>
        <v>736.23</v>
      </c>
      <c r="J2961" s="91" t="str">
        <f t="shared" si="185"/>
        <v>Sinapi 101880</v>
      </c>
      <c r="K2961" s="91" t="str">
        <f t="shared" si="186"/>
        <v>UN</v>
      </c>
      <c r="L2961" s="166" t="str">
        <f t="shared" si="187"/>
        <v>10/2020</v>
      </c>
      <c r="M2961" s="82"/>
      <c r="N2961" s="82"/>
    </row>
    <row r="2962" spans="1:14" x14ac:dyDescent="0.25">
      <c r="A2962" s="170" t="s">
        <v>11696</v>
      </c>
      <c r="B2962" s="170" t="s">
        <v>11697</v>
      </c>
      <c r="C2962" s="170" t="s">
        <v>205</v>
      </c>
      <c r="D2962" s="170" t="s">
        <v>2067</v>
      </c>
      <c r="E2962" s="171" t="s">
        <v>33107</v>
      </c>
      <c r="F2962" s="171" t="s">
        <v>36375</v>
      </c>
      <c r="G2962" s="82"/>
      <c r="H2962" s="96">
        <f t="shared" si="184"/>
        <v>1054.9000000000001</v>
      </c>
      <c r="I2962" s="96">
        <f t="shared" si="184"/>
        <v>1058.3699999999999</v>
      </c>
      <c r="J2962" s="91" t="str">
        <f t="shared" si="185"/>
        <v>Sinapi 101881</v>
      </c>
      <c r="K2962" s="91" t="str">
        <f t="shared" si="186"/>
        <v>UN</v>
      </c>
      <c r="L2962" s="166" t="str">
        <f t="shared" si="187"/>
        <v>10/2020</v>
      </c>
      <c r="M2962" s="82"/>
      <c r="N2962" s="82"/>
    </row>
    <row r="2963" spans="1:14" x14ac:dyDescent="0.25">
      <c r="A2963" s="170" t="s">
        <v>11698</v>
      </c>
      <c r="B2963" s="170" t="s">
        <v>11699</v>
      </c>
      <c r="C2963" s="170" t="s">
        <v>205</v>
      </c>
      <c r="D2963" s="170" t="s">
        <v>2067</v>
      </c>
      <c r="E2963" s="171" t="s">
        <v>33108</v>
      </c>
      <c r="F2963" s="171" t="s">
        <v>36376</v>
      </c>
      <c r="G2963" s="82"/>
      <c r="H2963" s="96">
        <f t="shared" si="184"/>
        <v>1499.1</v>
      </c>
      <c r="I2963" s="96">
        <f t="shared" si="184"/>
        <v>1502.57</v>
      </c>
      <c r="J2963" s="91" t="str">
        <f t="shared" si="185"/>
        <v>Sinapi 101882</v>
      </c>
      <c r="K2963" s="91" t="str">
        <f t="shared" si="186"/>
        <v>UN</v>
      </c>
      <c r="L2963" s="166" t="str">
        <f t="shared" si="187"/>
        <v>10/2020</v>
      </c>
      <c r="M2963" s="82"/>
      <c r="N2963" s="82"/>
    </row>
    <row r="2964" spans="1:14" x14ac:dyDescent="0.25">
      <c r="A2964" s="170" t="s">
        <v>11700</v>
      </c>
      <c r="B2964" s="170" t="s">
        <v>11701</v>
      </c>
      <c r="C2964" s="170" t="s">
        <v>205</v>
      </c>
      <c r="D2964" s="170" t="s">
        <v>2067</v>
      </c>
      <c r="E2964" s="171" t="s">
        <v>33109</v>
      </c>
      <c r="F2964" s="171" t="s">
        <v>36377</v>
      </c>
      <c r="G2964" s="82"/>
      <c r="H2964" s="96">
        <f t="shared" si="184"/>
        <v>606.21</v>
      </c>
      <c r="I2964" s="96">
        <f t="shared" si="184"/>
        <v>609.08000000000004</v>
      </c>
      <c r="J2964" s="91" t="str">
        <f t="shared" si="185"/>
        <v>Sinapi 101883</v>
      </c>
      <c r="K2964" s="91" t="str">
        <f t="shared" si="186"/>
        <v>UN</v>
      </c>
      <c r="L2964" s="166" t="str">
        <f t="shared" si="187"/>
        <v>10/2020</v>
      </c>
      <c r="M2964" s="82"/>
      <c r="N2964" s="82"/>
    </row>
    <row r="2965" spans="1:14" x14ac:dyDescent="0.25">
      <c r="A2965" s="170" t="s">
        <v>11702</v>
      </c>
      <c r="B2965" s="170" t="s">
        <v>11703</v>
      </c>
      <c r="C2965" s="170" t="s">
        <v>205</v>
      </c>
      <c r="D2965" s="170" t="s">
        <v>2067</v>
      </c>
      <c r="E2965" s="171" t="s">
        <v>6050</v>
      </c>
      <c r="F2965" s="171" t="s">
        <v>18569</v>
      </c>
      <c r="G2965" s="82"/>
      <c r="H2965" s="96">
        <f t="shared" si="184"/>
        <v>16.48</v>
      </c>
      <c r="I2965" s="96">
        <f t="shared" si="184"/>
        <v>16.8</v>
      </c>
      <c r="J2965" s="91" t="str">
        <f t="shared" si="185"/>
        <v>Sinapi 101890</v>
      </c>
      <c r="K2965" s="91" t="str">
        <f t="shared" si="186"/>
        <v>UN</v>
      </c>
      <c r="L2965" s="166" t="str">
        <f t="shared" si="187"/>
        <v>10/2020</v>
      </c>
      <c r="M2965" s="82"/>
      <c r="N2965" s="82"/>
    </row>
    <row r="2966" spans="1:14" x14ac:dyDescent="0.25">
      <c r="A2966" s="170" t="s">
        <v>11704</v>
      </c>
      <c r="B2966" s="170" t="s">
        <v>11705</v>
      </c>
      <c r="C2966" s="170" t="s">
        <v>205</v>
      </c>
      <c r="D2966" s="170" t="s">
        <v>2067</v>
      </c>
      <c r="E2966" s="171" t="s">
        <v>21903</v>
      </c>
      <c r="F2966" s="171" t="s">
        <v>25735</v>
      </c>
      <c r="G2966" s="82"/>
      <c r="H2966" s="96">
        <f t="shared" si="184"/>
        <v>28.14</v>
      </c>
      <c r="I2966" s="96">
        <f t="shared" si="184"/>
        <v>28.79</v>
      </c>
      <c r="J2966" s="91" t="str">
        <f t="shared" si="185"/>
        <v>Sinapi 101891</v>
      </c>
      <c r="K2966" s="91" t="str">
        <f t="shared" si="186"/>
        <v>UN</v>
      </c>
      <c r="L2966" s="166" t="str">
        <f t="shared" si="187"/>
        <v>10/2020</v>
      </c>
      <c r="M2966" s="82"/>
      <c r="N2966" s="82"/>
    </row>
    <row r="2967" spans="1:14" x14ac:dyDescent="0.25">
      <c r="A2967" s="170" t="s">
        <v>11706</v>
      </c>
      <c r="B2967" s="170" t="s">
        <v>11707</v>
      </c>
      <c r="C2967" s="170" t="s">
        <v>205</v>
      </c>
      <c r="D2967" s="170" t="s">
        <v>2067</v>
      </c>
      <c r="E2967" s="171" t="s">
        <v>30554</v>
      </c>
      <c r="F2967" s="171" t="s">
        <v>36378</v>
      </c>
      <c r="G2967" s="82"/>
      <c r="H2967" s="96">
        <f t="shared" si="184"/>
        <v>74.41</v>
      </c>
      <c r="I2967" s="96">
        <f t="shared" si="184"/>
        <v>75.05</v>
      </c>
      <c r="J2967" s="91" t="str">
        <f t="shared" si="185"/>
        <v>Sinapi 101892</v>
      </c>
      <c r="K2967" s="91" t="str">
        <f t="shared" si="186"/>
        <v>UN</v>
      </c>
      <c r="L2967" s="166" t="str">
        <f t="shared" si="187"/>
        <v>10/2020</v>
      </c>
      <c r="M2967" s="82"/>
      <c r="N2967" s="82"/>
    </row>
    <row r="2968" spans="1:14" x14ac:dyDescent="0.25">
      <c r="A2968" s="170" t="s">
        <v>11708</v>
      </c>
      <c r="B2968" s="170" t="s">
        <v>11709</v>
      </c>
      <c r="C2968" s="170" t="s">
        <v>205</v>
      </c>
      <c r="D2968" s="170" t="s">
        <v>2067</v>
      </c>
      <c r="E2968" s="171" t="s">
        <v>33110</v>
      </c>
      <c r="F2968" s="171" t="s">
        <v>36379</v>
      </c>
      <c r="G2968" s="82"/>
      <c r="H2968" s="96">
        <f t="shared" si="184"/>
        <v>94.95</v>
      </c>
      <c r="I2968" s="96">
        <f t="shared" si="184"/>
        <v>95.92</v>
      </c>
      <c r="J2968" s="91" t="str">
        <f t="shared" si="185"/>
        <v>Sinapi 101893</v>
      </c>
      <c r="K2968" s="91" t="str">
        <f t="shared" si="186"/>
        <v>UN</v>
      </c>
      <c r="L2968" s="166" t="str">
        <f t="shared" si="187"/>
        <v>10/2020</v>
      </c>
      <c r="M2968" s="82"/>
      <c r="N2968" s="82"/>
    </row>
    <row r="2969" spans="1:14" x14ac:dyDescent="0.25">
      <c r="A2969" s="170" t="s">
        <v>11710</v>
      </c>
      <c r="B2969" s="170" t="s">
        <v>11711</v>
      </c>
      <c r="C2969" s="170" t="s">
        <v>205</v>
      </c>
      <c r="D2969" s="170" t="s">
        <v>2067</v>
      </c>
      <c r="E2969" s="171" t="s">
        <v>33111</v>
      </c>
      <c r="F2969" s="171" t="s">
        <v>36380</v>
      </c>
      <c r="G2969" s="82"/>
      <c r="H2969" s="96">
        <f t="shared" si="184"/>
        <v>158.38</v>
      </c>
      <c r="I2969" s="96">
        <f t="shared" si="184"/>
        <v>162.16</v>
      </c>
      <c r="J2969" s="91" t="str">
        <f t="shared" si="185"/>
        <v>Sinapi 101894</v>
      </c>
      <c r="K2969" s="91" t="str">
        <f t="shared" si="186"/>
        <v>UN</v>
      </c>
      <c r="L2969" s="166" t="str">
        <f t="shared" si="187"/>
        <v>10/2020</v>
      </c>
      <c r="M2969" s="82"/>
      <c r="N2969" s="82"/>
    </row>
    <row r="2970" spans="1:14" x14ac:dyDescent="0.25">
      <c r="A2970" s="170" t="s">
        <v>11712</v>
      </c>
      <c r="B2970" s="170" t="s">
        <v>11713</v>
      </c>
      <c r="C2970" s="170" t="s">
        <v>205</v>
      </c>
      <c r="D2970" s="170" t="s">
        <v>2067</v>
      </c>
      <c r="E2970" s="171" t="s">
        <v>33112</v>
      </c>
      <c r="F2970" s="171" t="s">
        <v>36381</v>
      </c>
      <c r="G2970" s="82"/>
      <c r="H2970" s="96">
        <f t="shared" si="184"/>
        <v>436.67</v>
      </c>
      <c r="I2970" s="96">
        <f t="shared" si="184"/>
        <v>443.05</v>
      </c>
      <c r="J2970" s="91" t="str">
        <f t="shared" si="185"/>
        <v>Sinapi 101895</v>
      </c>
      <c r="K2970" s="91" t="str">
        <f t="shared" si="186"/>
        <v>UN</v>
      </c>
      <c r="L2970" s="166" t="str">
        <f t="shared" si="187"/>
        <v>10/2020</v>
      </c>
      <c r="M2970" s="82"/>
      <c r="N2970" s="82"/>
    </row>
    <row r="2971" spans="1:14" x14ac:dyDescent="0.25">
      <c r="A2971" s="170" t="s">
        <v>11714</v>
      </c>
      <c r="B2971" s="170" t="s">
        <v>11715</v>
      </c>
      <c r="C2971" s="170" t="s">
        <v>205</v>
      </c>
      <c r="D2971" s="170" t="s">
        <v>2067</v>
      </c>
      <c r="E2971" s="171" t="s">
        <v>33113</v>
      </c>
      <c r="F2971" s="171" t="s">
        <v>36382</v>
      </c>
      <c r="G2971" s="82"/>
      <c r="H2971" s="96">
        <f t="shared" si="184"/>
        <v>660.53</v>
      </c>
      <c r="I2971" s="96">
        <f t="shared" si="184"/>
        <v>666.91</v>
      </c>
      <c r="J2971" s="91" t="str">
        <f t="shared" si="185"/>
        <v>Sinapi 101896</v>
      </c>
      <c r="K2971" s="91" t="str">
        <f t="shared" si="186"/>
        <v>UN</v>
      </c>
      <c r="L2971" s="166" t="str">
        <f t="shared" si="187"/>
        <v>10/2020</v>
      </c>
      <c r="M2971" s="82"/>
      <c r="N2971" s="82"/>
    </row>
    <row r="2972" spans="1:14" x14ac:dyDescent="0.25">
      <c r="A2972" s="170" t="s">
        <v>11716</v>
      </c>
      <c r="B2972" s="170" t="s">
        <v>11717</v>
      </c>
      <c r="C2972" s="170" t="s">
        <v>205</v>
      </c>
      <c r="D2972" s="170" t="s">
        <v>2067</v>
      </c>
      <c r="E2972" s="171" t="s">
        <v>33114</v>
      </c>
      <c r="F2972" s="171" t="s">
        <v>36383</v>
      </c>
      <c r="G2972" s="82"/>
      <c r="H2972" s="96">
        <f t="shared" si="184"/>
        <v>1060.67</v>
      </c>
      <c r="I2972" s="96">
        <f t="shared" si="184"/>
        <v>1067.05</v>
      </c>
      <c r="J2972" s="91" t="str">
        <f t="shared" si="185"/>
        <v>Sinapi 101897</v>
      </c>
      <c r="K2972" s="91" t="str">
        <f t="shared" si="186"/>
        <v>UN</v>
      </c>
      <c r="L2972" s="166" t="str">
        <f t="shared" si="187"/>
        <v>10/2020</v>
      </c>
      <c r="M2972" s="82"/>
      <c r="N2972" s="82"/>
    </row>
    <row r="2973" spans="1:14" x14ac:dyDescent="0.25">
      <c r="A2973" s="170" t="s">
        <v>11718</v>
      </c>
      <c r="B2973" s="170" t="s">
        <v>11719</v>
      </c>
      <c r="C2973" s="170" t="s">
        <v>205</v>
      </c>
      <c r="D2973" s="170" t="s">
        <v>2067</v>
      </c>
      <c r="E2973" s="171" t="s">
        <v>33115</v>
      </c>
      <c r="F2973" s="171" t="s">
        <v>36384</v>
      </c>
      <c r="G2973" s="82"/>
      <c r="H2973" s="96">
        <f t="shared" si="184"/>
        <v>1421.91</v>
      </c>
      <c r="I2973" s="96">
        <f t="shared" si="184"/>
        <v>1428.29</v>
      </c>
      <c r="J2973" s="91" t="str">
        <f t="shared" si="185"/>
        <v>Sinapi 101898</v>
      </c>
      <c r="K2973" s="91" t="str">
        <f t="shared" si="186"/>
        <v>UN</v>
      </c>
      <c r="L2973" s="166" t="str">
        <f t="shared" si="187"/>
        <v>10/2020</v>
      </c>
      <c r="M2973" s="82"/>
      <c r="N2973" s="82"/>
    </row>
    <row r="2974" spans="1:14" x14ac:dyDescent="0.25">
      <c r="A2974" s="170" t="s">
        <v>11720</v>
      </c>
      <c r="B2974" s="170" t="s">
        <v>11721</v>
      </c>
      <c r="C2974" s="170" t="s">
        <v>205</v>
      </c>
      <c r="D2974" s="170" t="s">
        <v>2067</v>
      </c>
      <c r="E2974" s="171" t="s">
        <v>33116</v>
      </c>
      <c r="F2974" s="171" t="s">
        <v>36385</v>
      </c>
      <c r="G2974" s="82"/>
      <c r="H2974" s="96">
        <f t="shared" si="184"/>
        <v>2281.15</v>
      </c>
      <c r="I2974" s="96">
        <f t="shared" si="184"/>
        <v>2287.5300000000002</v>
      </c>
      <c r="J2974" s="91" t="str">
        <f t="shared" si="185"/>
        <v>Sinapi 101899</v>
      </c>
      <c r="K2974" s="91" t="str">
        <f t="shared" si="186"/>
        <v>UN</v>
      </c>
      <c r="L2974" s="166" t="str">
        <f t="shared" si="187"/>
        <v>10/2020</v>
      </c>
      <c r="M2974" s="82"/>
      <c r="N2974" s="82"/>
    </row>
    <row r="2975" spans="1:14" x14ac:dyDescent="0.25">
      <c r="A2975" s="170" t="s">
        <v>11722</v>
      </c>
      <c r="B2975" s="170" t="s">
        <v>11723</v>
      </c>
      <c r="C2975" s="170" t="s">
        <v>205</v>
      </c>
      <c r="D2975" s="170" t="s">
        <v>2067</v>
      </c>
      <c r="E2975" s="171" t="s">
        <v>33117</v>
      </c>
      <c r="F2975" s="171" t="s">
        <v>36386</v>
      </c>
      <c r="G2975" s="82"/>
      <c r="H2975" s="96">
        <f t="shared" si="184"/>
        <v>4769.91</v>
      </c>
      <c r="I2975" s="96">
        <f t="shared" si="184"/>
        <v>4776.29</v>
      </c>
      <c r="J2975" s="91" t="str">
        <f t="shared" si="185"/>
        <v>Sinapi 101900</v>
      </c>
      <c r="K2975" s="91" t="str">
        <f t="shared" si="186"/>
        <v>UN</v>
      </c>
      <c r="L2975" s="166" t="str">
        <f t="shared" si="187"/>
        <v>10/2020</v>
      </c>
      <c r="M2975" s="82"/>
      <c r="N2975" s="82"/>
    </row>
    <row r="2976" spans="1:14" x14ac:dyDescent="0.25">
      <c r="A2976" s="170" t="s">
        <v>11724</v>
      </c>
      <c r="B2976" s="170" t="s">
        <v>11725</v>
      </c>
      <c r="C2976" s="170" t="s">
        <v>205</v>
      </c>
      <c r="D2976" s="170" t="s">
        <v>1947</v>
      </c>
      <c r="E2976" s="171" t="s">
        <v>33118</v>
      </c>
      <c r="F2976" s="171" t="s">
        <v>36387</v>
      </c>
      <c r="G2976" s="82"/>
      <c r="H2976" s="96">
        <f t="shared" si="184"/>
        <v>170.54</v>
      </c>
      <c r="I2976" s="96">
        <f t="shared" si="184"/>
        <v>171.23</v>
      </c>
      <c r="J2976" s="91" t="str">
        <f t="shared" si="185"/>
        <v>Sinapi 101901</v>
      </c>
      <c r="K2976" s="91" t="str">
        <f t="shared" si="186"/>
        <v>UN</v>
      </c>
      <c r="L2976" s="166" t="str">
        <f t="shared" si="187"/>
        <v>10/2020</v>
      </c>
      <c r="M2976" s="82"/>
      <c r="N2976" s="82"/>
    </row>
    <row r="2977" spans="1:14" x14ac:dyDescent="0.25">
      <c r="A2977" s="170" t="s">
        <v>11726</v>
      </c>
      <c r="B2977" s="170" t="s">
        <v>11727</v>
      </c>
      <c r="C2977" s="170" t="s">
        <v>205</v>
      </c>
      <c r="D2977" s="170" t="s">
        <v>1947</v>
      </c>
      <c r="E2977" s="171" t="s">
        <v>33119</v>
      </c>
      <c r="F2977" s="171" t="s">
        <v>27997</v>
      </c>
      <c r="G2977" s="82"/>
      <c r="H2977" s="96">
        <f t="shared" si="184"/>
        <v>210.34</v>
      </c>
      <c r="I2977" s="96">
        <f t="shared" si="184"/>
        <v>211.31</v>
      </c>
      <c r="J2977" s="91" t="str">
        <f t="shared" si="185"/>
        <v>Sinapi 101902</v>
      </c>
      <c r="K2977" s="91" t="str">
        <f t="shared" si="186"/>
        <v>UN</v>
      </c>
      <c r="L2977" s="166" t="str">
        <f t="shared" si="187"/>
        <v>10/2020</v>
      </c>
      <c r="M2977" s="82"/>
      <c r="N2977" s="82"/>
    </row>
    <row r="2978" spans="1:14" x14ac:dyDescent="0.25">
      <c r="A2978" s="170" t="s">
        <v>11728</v>
      </c>
      <c r="B2978" s="170" t="s">
        <v>11729</v>
      </c>
      <c r="C2978" s="170" t="s">
        <v>205</v>
      </c>
      <c r="D2978" s="170" t="s">
        <v>1947</v>
      </c>
      <c r="E2978" s="171" t="s">
        <v>33120</v>
      </c>
      <c r="F2978" s="171" t="s">
        <v>36388</v>
      </c>
      <c r="G2978" s="82"/>
      <c r="H2978" s="96">
        <f t="shared" si="184"/>
        <v>439.21</v>
      </c>
      <c r="I2978" s="96">
        <f t="shared" si="184"/>
        <v>441.16</v>
      </c>
      <c r="J2978" s="91" t="str">
        <f t="shared" si="185"/>
        <v>Sinapi 101903</v>
      </c>
      <c r="K2978" s="91" t="str">
        <f t="shared" si="186"/>
        <v>UN</v>
      </c>
      <c r="L2978" s="166" t="str">
        <f t="shared" si="187"/>
        <v>10/2020</v>
      </c>
      <c r="M2978" s="82"/>
      <c r="N2978" s="82"/>
    </row>
    <row r="2979" spans="1:14" x14ac:dyDescent="0.25">
      <c r="A2979" s="170" t="s">
        <v>11730</v>
      </c>
      <c r="B2979" s="170" t="s">
        <v>11731</v>
      </c>
      <c r="C2979" s="170" t="s">
        <v>205</v>
      </c>
      <c r="D2979" s="170" t="s">
        <v>1947</v>
      </c>
      <c r="E2979" s="171" t="s">
        <v>33121</v>
      </c>
      <c r="F2979" s="171" t="s">
        <v>36389</v>
      </c>
      <c r="G2979" s="82"/>
      <c r="H2979" s="96">
        <f t="shared" si="184"/>
        <v>1626.5</v>
      </c>
      <c r="I2979" s="96">
        <f t="shared" si="184"/>
        <v>1630.28</v>
      </c>
      <c r="J2979" s="91" t="str">
        <f t="shared" si="185"/>
        <v>Sinapi 101904</v>
      </c>
      <c r="K2979" s="91" t="str">
        <f t="shared" si="186"/>
        <v>UN</v>
      </c>
      <c r="L2979" s="166" t="str">
        <f t="shared" si="187"/>
        <v>10/2020</v>
      </c>
      <c r="M2979" s="82"/>
      <c r="N2979" s="82"/>
    </row>
    <row r="2980" spans="1:14" x14ac:dyDescent="0.25">
      <c r="A2980" s="170" t="s">
        <v>11732</v>
      </c>
      <c r="B2980" s="170" t="s">
        <v>12295</v>
      </c>
      <c r="C2980" s="170" t="s">
        <v>205</v>
      </c>
      <c r="D2980" s="170" t="s">
        <v>2067</v>
      </c>
      <c r="E2980" s="171" t="s">
        <v>33122</v>
      </c>
      <c r="F2980" s="171" t="s">
        <v>28793</v>
      </c>
      <c r="G2980" s="82"/>
      <c r="H2980" s="96">
        <f t="shared" si="184"/>
        <v>102.82</v>
      </c>
      <c r="I2980" s="96">
        <f t="shared" si="184"/>
        <v>104.91</v>
      </c>
      <c r="J2980" s="91" t="str">
        <f t="shared" si="185"/>
        <v>Sinapi 101938</v>
      </c>
      <c r="K2980" s="91" t="str">
        <f t="shared" si="186"/>
        <v>UN</v>
      </c>
      <c r="L2980" s="166" t="str">
        <f t="shared" si="187"/>
        <v>10/2020</v>
      </c>
      <c r="M2980" s="82"/>
      <c r="N2980" s="82"/>
    </row>
    <row r="2981" spans="1:14" x14ac:dyDescent="0.25">
      <c r="A2981" s="170" t="s">
        <v>12296</v>
      </c>
      <c r="B2981" s="170" t="s">
        <v>12297</v>
      </c>
      <c r="C2981" s="170" t="s">
        <v>205</v>
      </c>
      <c r="D2981" s="170" t="s">
        <v>2067</v>
      </c>
      <c r="E2981" s="171" t="s">
        <v>28553</v>
      </c>
      <c r="F2981" s="171" t="s">
        <v>34973</v>
      </c>
      <c r="G2981" s="82"/>
      <c r="H2981" s="96">
        <f t="shared" si="184"/>
        <v>144.99</v>
      </c>
      <c r="I2981" s="96">
        <f t="shared" si="184"/>
        <v>152.34</v>
      </c>
      <c r="J2981" s="91" t="str">
        <f t="shared" si="185"/>
        <v>Sinapi 101946</v>
      </c>
      <c r="K2981" s="91" t="str">
        <f t="shared" si="186"/>
        <v>UN</v>
      </c>
      <c r="L2981" s="166" t="str">
        <f t="shared" si="187"/>
        <v>10/2020</v>
      </c>
      <c r="M2981" s="82"/>
      <c r="N2981" s="82"/>
    </row>
    <row r="2982" spans="1:14" x14ac:dyDescent="0.25">
      <c r="A2982" s="170" t="s">
        <v>5758</v>
      </c>
      <c r="B2982" s="170" t="s">
        <v>20250</v>
      </c>
      <c r="C2982" s="170" t="s">
        <v>205</v>
      </c>
      <c r="D2982" s="170" t="s">
        <v>2067</v>
      </c>
      <c r="E2982" s="171" t="s">
        <v>15798</v>
      </c>
      <c r="F2982" s="171" t="s">
        <v>22956</v>
      </c>
      <c r="G2982" s="82"/>
      <c r="H2982" s="96">
        <f t="shared" si="184"/>
        <v>13.82</v>
      </c>
      <c r="I2982" s="96">
        <f t="shared" si="184"/>
        <v>14.71</v>
      </c>
      <c r="J2982" s="91" t="str">
        <f t="shared" si="185"/>
        <v>Sinapi 91945</v>
      </c>
      <c r="K2982" s="91" t="str">
        <f t="shared" si="186"/>
        <v>UN</v>
      </c>
      <c r="L2982" s="166" t="str">
        <f t="shared" si="187"/>
        <v>03/2023</v>
      </c>
      <c r="M2982" s="82"/>
      <c r="N2982" s="82"/>
    </row>
    <row r="2983" spans="1:14" x14ac:dyDescent="0.25">
      <c r="A2983" s="170" t="s">
        <v>5759</v>
      </c>
      <c r="B2983" s="170" t="s">
        <v>20251</v>
      </c>
      <c r="C2983" s="170" t="s">
        <v>205</v>
      </c>
      <c r="D2983" s="170" t="s">
        <v>2067</v>
      </c>
      <c r="E2983" s="171" t="s">
        <v>11132</v>
      </c>
      <c r="F2983" s="171" t="s">
        <v>22095</v>
      </c>
      <c r="G2983" s="82"/>
      <c r="H2983" s="96">
        <f t="shared" si="184"/>
        <v>11.27</v>
      </c>
      <c r="I2983" s="96">
        <f t="shared" si="184"/>
        <v>11.89</v>
      </c>
      <c r="J2983" s="91" t="str">
        <f t="shared" si="185"/>
        <v>Sinapi 91946</v>
      </c>
      <c r="K2983" s="91" t="str">
        <f t="shared" si="186"/>
        <v>UN</v>
      </c>
      <c r="L2983" s="166" t="str">
        <f t="shared" si="187"/>
        <v>03/2023</v>
      </c>
      <c r="M2983" s="82"/>
      <c r="N2983" s="82"/>
    </row>
    <row r="2984" spans="1:14" x14ac:dyDescent="0.25">
      <c r="A2984" s="170" t="s">
        <v>5760</v>
      </c>
      <c r="B2984" s="170" t="s">
        <v>20252</v>
      </c>
      <c r="C2984" s="170" t="s">
        <v>205</v>
      </c>
      <c r="D2984" s="170" t="s">
        <v>2067</v>
      </c>
      <c r="E2984" s="171" t="s">
        <v>24625</v>
      </c>
      <c r="F2984" s="171" t="s">
        <v>21453</v>
      </c>
      <c r="G2984" s="82"/>
      <c r="H2984" s="96">
        <f t="shared" si="184"/>
        <v>9.68</v>
      </c>
      <c r="I2984" s="96">
        <f t="shared" si="184"/>
        <v>10.119999999999999</v>
      </c>
      <c r="J2984" s="91" t="str">
        <f t="shared" si="185"/>
        <v>Sinapi 91947</v>
      </c>
      <c r="K2984" s="91" t="str">
        <f t="shared" si="186"/>
        <v>UN</v>
      </c>
      <c r="L2984" s="166" t="str">
        <f t="shared" si="187"/>
        <v>03/2023</v>
      </c>
      <c r="M2984" s="82"/>
      <c r="N2984" s="82"/>
    </row>
    <row r="2985" spans="1:14" x14ac:dyDescent="0.25">
      <c r="A2985" s="170" t="s">
        <v>5761</v>
      </c>
      <c r="B2985" s="170" t="s">
        <v>20253</v>
      </c>
      <c r="C2985" s="170" t="s">
        <v>205</v>
      </c>
      <c r="D2985" s="170" t="s">
        <v>2067</v>
      </c>
      <c r="E2985" s="171" t="s">
        <v>22712</v>
      </c>
      <c r="F2985" s="171" t="s">
        <v>27824</v>
      </c>
      <c r="G2985" s="82"/>
      <c r="H2985" s="96">
        <f t="shared" si="184"/>
        <v>20.48</v>
      </c>
      <c r="I2985" s="96">
        <f t="shared" si="184"/>
        <v>21.55</v>
      </c>
      <c r="J2985" s="91" t="str">
        <f t="shared" si="185"/>
        <v>Sinapi 91949</v>
      </c>
      <c r="K2985" s="91" t="str">
        <f t="shared" si="186"/>
        <v>UN</v>
      </c>
      <c r="L2985" s="166" t="str">
        <f t="shared" si="187"/>
        <v>03/2023</v>
      </c>
      <c r="M2985" s="82"/>
      <c r="N2985" s="82"/>
    </row>
    <row r="2986" spans="1:14" x14ac:dyDescent="0.25">
      <c r="A2986" s="170" t="s">
        <v>5762</v>
      </c>
      <c r="B2986" s="170" t="s">
        <v>20254</v>
      </c>
      <c r="C2986" s="170" t="s">
        <v>205</v>
      </c>
      <c r="D2986" s="170" t="s">
        <v>2067</v>
      </c>
      <c r="E2986" s="171" t="s">
        <v>13844</v>
      </c>
      <c r="F2986" s="171" t="s">
        <v>29267</v>
      </c>
      <c r="G2986" s="82"/>
      <c r="H2986" s="96">
        <f t="shared" si="184"/>
        <v>17.38</v>
      </c>
      <c r="I2986" s="96">
        <f t="shared" si="184"/>
        <v>18.100000000000001</v>
      </c>
      <c r="J2986" s="91" t="str">
        <f t="shared" si="185"/>
        <v>Sinapi 91950</v>
      </c>
      <c r="K2986" s="91" t="str">
        <f t="shared" si="186"/>
        <v>UN</v>
      </c>
      <c r="L2986" s="166" t="str">
        <f t="shared" si="187"/>
        <v>03/2023</v>
      </c>
      <c r="M2986" s="82"/>
      <c r="N2986" s="82"/>
    </row>
    <row r="2987" spans="1:14" x14ac:dyDescent="0.25">
      <c r="A2987" s="170" t="s">
        <v>5763</v>
      </c>
      <c r="B2987" s="170" t="s">
        <v>20255</v>
      </c>
      <c r="C2987" s="170" t="s">
        <v>205</v>
      </c>
      <c r="D2987" s="170" t="s">
        <v>2067</v>
      </c>
      <c r="E2987" s="171" t="s">
        <v>21488</v>
      </c>
      <c r="F2987" s="171" t="s">
        <v>30104</v>
      </c>
      <c r="G2987" s="82"/>
      <c r="H2987" s="96">
        <f t="shared" si="184"/>
        <v>15.53</v>
      </c>
      <c r="I2987" s="96">
        <f t="shared" si="184"/>
        <v>16.04</v>
      </c>
      <c r="J2987" s="91" t="str">
        <f t="shared" si="185"/>
        <v>Sinapi 91951</v>
      </c>
      <c r="K2987" s="91" t="str">
        <f t="shared" si="186"/>
        <v>UN</v>
      </c>
      <c r="L2987" s="166" t="str">
        <f t="shared" si="187"/>
        <v>03/2023</v>
      </c>
      <c r="M2987" s="82"/>
      <c r="N2987" s="82"/>
    </row>
    <row r="2988" spans="1:14" x14ac:dyDescent="0.25">
      <c r="A2988" s="170" t="s">
        <v>5764</v>
      </c>
      <c r="B2988" s="170" t="s">
        <v>20256</v>
      </c>
      <c r="C2988" s="170" t="s">
        <v>205</v>
      </c>
      <c r="D2988" s="170" t="s">
        <v>2067</v>
      </c>
      <c r="E2988" s="171" t="s">
        <v>21471</v>
      </c>
      <c r="F2988" s="171" t="s">
        <v>31218</v>
      </c>
      <c r="G2988" s="82"/>
      <c r="H2988" s="96">
        <f t="shared" si="184"/>
        <v>18.940000000000001</v>
      </c>
      <c r="I2988" s="96">
        <f t="shared" si="184"/>
        <v>20.05</v>
      </c>
      <c r="J2988" s="91" t="str">
        <f t="shared" si="185"/>
        <v>Sinapi 91952</v>
      </c>
      <c r="K2988" s="91" t="str">
        <f t="shared" si="186"/>
        <v>UN</v>
      </c>
      <c r="L2988" s="166" t="str">
        <f t="shared" si="187"/>
        <v>03/2023</v>
      </c>
      <c r="M2988" s="82"/>
      <c r="N2988" s="82"/>
    </row>
    <row r="2989" spans="1:14" x14ac:dyDescent="0.25">
      <c r="A2989" s="170" t="s">
        <v>5765</v>
      </c>
      <c r="B2989" s="170" t="s">
        <v>20257</v>
      </c>
      <c r="C2989" s="170" t="s">
        <v>205</v>
      </c>
      <c r="D2989" s="170" t="s">
        <v>2067</v>
      </c>
      <c r="E2989" s="171" t="s">
        <v>27190</v>
      </c>
      <c r="F2989" s="171" t="s">
        <v>17140</v>
      </c>
      <c r="G2989" s="82"/>
      <c r="H2989" s="96">
        <f t="shared" si="184"/>
        <v>30.21</v>
      </c>
      <c r="I2989" s="96">
        <f t="shared" si="184"/>
        <v>31.94</v>
      </c>
      <c r="J2989" s="91" t="str">
        <f t="shared" si="185"/>
        <v>Sinapi 91953</v>
      </c>
      <c r="K2989" s="91" t="str">
        <f t="shared" si="186"/>
        <v>UN</v>
      </c>
      <c r="L2989" s="166" t="str">
        <f t="shared" si="187"/>
        <v>03/2023</v>
      </c>
      <c r="M2989" s="82"/>
      <c r="N2989" s="82"/>
    </row>
    <row r="2990" spans="1:14" x14ac:dyDescent="0.25">
      <c r="A2990" s="170" t="s">
        <v>5766</v>
      </c>
      <c r="B2990" s="170" t="s">
        <v>20258</v>
      </c>
      <c r="C2990" s="170" t="s">
        <v>205</v>
      </c>
      <c r="D2990" s="170" t="s">
        <v>2067</v>
      </c>
      <c r="E2990" s="171" t="s">
        <v>17914</v>
      </c>
      <c r="F2990" s="171" t="s">
        <v>25145</v>
      </c>
      <c r="G2990" s="82"/>
      <c r="H2990" s="96">
        <f t="shared" si="184"/>
        <v>25.3</v>
      </c>
      <c r="I2990" s="96">
        <f t="shared" si="184"/>
        <v>26.84</v>
      </c>
      <c r="J2990" s="91" t="str">
        <f t="shared" si="185"/>
        <v>Sinapi 91954</v>
      </c>
      <c r="K2990" s="91" t="str">
        <f t="shared" si="186"/>
        <v>UN</v>
      </c>
      <c r="L2990" s="166" t="str">
        <f t="shared" si="187"/>
        <v>03/2023</v>
      </c>
      <c r="M2990" s="82"/>
      <c r="N2990" s="82"/>
    </row>
    <row r="2991" spans="1:14" x14ac:dyDescent="0.25">
      <c r="A2991" s="170" t="s">
        <v>5767</v>
      </c>
      <c r="B2991" s="170" t="s">
        <v>20259</v>
      </c>
      <c r="C2991" s="170" t="s">
        <v>205</v>
      </c>
      <c r="D2991" s="170" t="s">
        <v>2067</v>
      </c>
      <c r="E2991" s="171" t="s">
        <v>33123</v>
      </c>
      <c r="F2991" s="171" t="s">
        <v>36390</v>
      </c>
      <c r="G2991" s="82"/>
      <c r="H2991" s="96">
        <f t="shared" si="184"/>
        <v>36.57</v>
      </c>
      <c r="I2991" s="96">
        <f t="shared" si="184"/>
        <v>38.729999999999997</v>
      </c>
      <c r="J2991" s="91" t="str">
        <f t="shared" si="185"/>
        <v>Sinapi 91955</v>
      </c>
      <c r="K2991" s="91" t="str">
        <f t="shared" si="186"/>
        <v>UN</v>
      </c>
      <c r="L2991" s="166" t="str">
        <f t="shared" si="187"/>
        <v>03/2023</v>
      </c>
      <c r="M2991" s="82"/>
      <c r="N2991" s="82"/>
    </row>
    <row r="2992" spans="1:14" x14ac:dyDescent="0.25">
      <c r="A2992" s="170" t="s">
        <v>5768</v>
      </c>
      <c r="B2992" s="170" t="s">
        <v>20260</v>
      </c>
      <c r="C2992" s="170" t="s">
        <v>205</v>
      </c>
      <c r="D2992" s="170" t="s">
        <v>2067</v>
      </c>
      <c r="E2992" s="171" t="s">
        <v>26697</v>
      </c>
      <c r="F2992" s="171" t="s">
        <v>34839</v>
      </c>
      <c r="G2992" s="82"/>
      <c r="H2992" s="96">
        <f t="shared" si="184"/>
        <v>41.54</v>
      </c>
      <c r="I2992" s="96">
        <f t="shared" si="184"/>
        <v>43.88</v>
      </c>
      <c r="J2992" s="91" t="str">
        <f t="shared" si="185"/>
        <v>Sinapi 91956</v>
      </c>
      <c r="K2992" s="91" t="str">
        <f t="shared" si="186"/>
        <v>UN</v>
      </c>
      <c r="L2992" s="166" t="str">
        <f t="shared" si="187"/>
        <v>03/2023</v>
      </c>
      <c r="M2992" s="82"/>
      <c r="N2992" s="82"/>
    </row>
    <row r="2993" spans="1:14" x14ac:dyDescent="0.25">
      <c r="A2993" s="170" t="s">
        <v>5769</v>
      </c>
      <c r="B2993" s="170" t="s">
        <v>20261</v>
      </c>
      <c r="C2993" s="170" t="s">
        <v>205</v>
      </c>
      <c r="D2993" s="170" t="s">
        <v>2067</v>
      </c>
      <c r="E2993" s="171" t="s">
        <v>19950</v>
      </c>
      <c r="F2993" s="171" t="s">
        <v>21833</v>
      </c>
      <c r="G2993" s="82"/>
      <c r="H2993" s="96">
        <f t="shared" si="184"/>
        <v>52.81</v>
      </c>
      <c r="I2993" s="96">
        <f t="shared" si="184"/>
        <v>55.77</v>
      </c>
      <c r="J2993" s="91" t="str">
        <f t="shared" si="185"/>
        <v>Sinapi 91957</v>
      </c>
      <c r="K2993" s="91" t="str">
        <f t="shared" si="186"/>
        <v>UN</v>
      </c>
      <c r="L2993" s="166" t="str">
        <f t="shared" si="187"/>
        <v>03/2023</v>
      </c>
      <c r="M2993" s="82"/>
      <c r="N2993" s="82"/>
    </row>
    <row r="2994" spans="1:14" x14ac:dyDescent="0.25">
      <c r="A2994" s="170" t="s">
        <v>5770</v>
      </c>
      <c r="B2994" s="170" t="s">
        <v>20262</v>
      </c>
      <c r="C2994" s="170" t="s">
        <v>205</v>
      </c>
      <c r="D2994" s="170" t="s">
        <v>2067</v>
      </c>
      <c r="E2994" s="171" t="s">
        <v>21464</v>
      </c>
      <c r="F2994" s="171" t="s">
        <v>36391</v>
      </c>
      <c r="G2994" s="82"/>
      <c r="H2994" s="96">
        <f t="shared" si="184"/>
        <v>35.22</v>
      </c>
      <c r="I2994" s="96">
        <f t="shared" si="184"/>
        <v>37.159999999999997</v>
      </c>
      <c r="J2994" s="91" t="str">
        <f t="shared" si="185"/>
        <v>Sinapi 91958</v>
      </c>
      <c r="K2994" s="91" t="str">
        <f t="shared" si="186"/>
        <v>UN</v>
      </c>
      <c r="L2994" s="166" t="str">
        <f t="shared" si="187"/>
        <v>03/2023</v>
      </c>
      <c r="M2994" s="82"/>
      <c r="N2994" s="82"/>
    </row>
    <row r="2995" spans="1:14" x14ac:dyDescent="0.25">
      <c r="A2995" s="170" t="s">
        <v>5771</v>
      </c>
      <c r="B2995" s="170" t="s">
        <v>20263</v>
      </c>
      <c r="C2995" s="170" t="s">
        <v>205</v>
      </c>
      <c r="D2995" s="170" t="s">
        <v>2067</v>
      </c>
      <c r="E2995" s="171" t="s">
        <v>30684</v>
      </c>
      <c r="F2995" s="171" t="s">
        <v>36392</v>
      </c>
      <c r="G2995" s="82"/>
      <c r="H2995" s="96">
        <f t="shared" si="184"/>
        <v>46.49</v>
      </c>
      <c r="I2995" s="96">
        <f t="shared" si="184"/>
        <v>49.05</v>
      </c>
      <c r="J2995" s="91" t="str">
        <f t="shared" si="185"/>
        <v>Sinapi 91959</v>
      </c>
      <c r="K2995" s="91" t="str">
        <f t="shared" si="186"/>
        <v>UN</v>
      </c>
      <c r="L2995" s="166" t="str">
        <f t="shared" si="187"/>
        <v>03/2023</v>
      </c>
      <c r="M2995" s="82"/>
      <c r="N2995" s="82"/>
    </row>
    <row r="2996" spans="1:14" x14ac:dyDescent="0.25">
      <c r="A2996" s="170" t="s">
        <v>5772</v>
      </c>
      <c r="B2996" s="170" t="s">
        <v>20264</v>
      </c>
      <c r="C2996" s="170" t="s">
        <v>205</v>
      </c>
      <c r="D2996" s="170" t="s">
        <v>2067</v>
      </c>
      <c r="E2996" s="171" t="s">
        <v>33124</v>
      </c>
      <c r="F2996" s="171" t="s">
        <v>23061</v>
      </c>
      <c r="G2996" s="82"/>
      <c r="H2996" s="96">
        <f t="shared" si="184"/>
        <v>47.95</v>
      </c>
      <c r="I2996" s="96">
        <f t="shared" si="184"/>
        <v>50.71</v>
      </c>
      <c r="J2996" s="91" t="str">
        <f t="shared" si="185"/>
        <v>Sinapi 91960</v>
      </c>
      <c r="K2996" s="91" t="str">
        <f t="shared" si="186"/>
        <v>UN</v>
      </c>
      <c r="L2996" s="166" t="str">
        <f t="shared" si="187"/>
        <v>03/2023</v>
      </c>
      <c r="M2996" s="82"/>
      <c r="N2996" s="82"/>
    </row>
    <row r="2997" spans="1:14" x14ac:dyDescent="0.25">
      <c r="A2997" s="170" t="s">
        <v>5773</v>
      </c>
      <c r="B2997" s="170" t="s">
        <v>20265</v>
      </c>
      <c r="C2997" s="170" t="s">
        <v>205</v>
      </c>
      <c r="D2997" s="170" t="s">
        <v>2067</v>
      </c>
      <c r="E2997" s="171" t="s">
        <v>28880</v>
      </c>
      <c r="F2997" s="171" t="s">
        <v>36393</v>
      </c>
      <c r="G2997" s="82"/>
      <c r="H2997" s="96">
        <f t="shared" si="184"/>
        <v>59.22</v>
      </c>
      <c r="I2997" s="96">
        <f t="shared" si="184"/>
        <v>62.6</v>
      </c>
      <c r="J2997" s="91" t="str">
        <f t="shared" si="185"/>
        <v>Sinapi 91961</v>
      </c>
      <c r="K2997" s="91" t="str">
        <f t="shared" si="186"/>
        <v>UN</v>
      </c>
      <c r="L2997" s="166" t="str">
        <f t="shared" si="187"/>
        <v>03/2023</v>
      </c>
      <c r="M2997" s="82"/>
      <c r="N2997" s="82"/>
    </row>
    <row r="2998" spans="1:14" x14ac:dyDescent="0.25">
      <c r="A2998" s="170" t="s">
        <v>5774</v>
      </c>
      <c r="B2998" s="170" t="s">
        <v>20266</v>
      </c>
      <c r="C2998" s="170" t="s">
        <v>205</v>
      </c>
      <c r="D2998" s="170" t="s">
        <v>2067</v>
      </c>
      <c r="E2998" s="171" t="s">
        <v>21728</v>
      </c>
      <c r="F2998" s="171" t="s">
        <v>36394</v>
      </c>
      <c r="G2998" s="82"/>
      <c r="H2998" s="96">
        <f t="shared" si="184"/>
        <v>64.2</v>
      </c>
      <c r="I2998" s="96">
        <f t="shared" si="184"/>
        <v>67.760000000000005</v>
      </c>
      <c r="J2998" s="91" t="str">
        <f t="shared" si="185"/>
        <v>Sinapi 91962</v>
      </c>
      <c r="K2998" s="91" t="str">
        <f t="shared" si="186"/>
        <v>UN</v>
      </c>
      <c r="L2998" s="166" t="str">
        <f t="shared" si="187"/>
        <v>03/2023</v>
      </c>
      <c r="M2998" s="82"/>
      <c r="N2998" s="82"/>
    </row>
    <row r="2999" spans="1:14" x14ac:dyDescent="0.25">
      <c r="A2999" s="170" t="s">
        <v>5775</v>
      </c>
      <c r="B2999" s="170" t="s">
        <v>20267</v>
      </c>
      <c r="C2999" s="170" t="s">
        <v>205</v>
      </c>
      <c r="D2999" s="170" t="s">
        <v>2067</v>
      </c>
      <c r="E2999" s="171" t="s">
        <v>21322</v>
      </c>
      <c r="F2999" s="171" t="s">
        <v>29129</v>
      </c>
      <c r="G2999" s="82"/>
      <c r="H2999" s="96">
        <f t="shared" si="184"/>
        <v>75.47</v>
      </c>
      <c r="I2999" s="96">
        <f t="shared" si="184"/>
        <v>79.650000000000006</v>
      </c>
      <c r="J2999" s="91" t="str">
        <f t="shared" si="185"/>
        <v>Sinapi 91963</v>
      </c>
      <c r="K2999" s="91" t="str">
        <f t="shared" si="186"/>
        <v>UN</v>
      </c>
      <c r="L2999" s="166" t="str">
        <f t="shared" si="187"/>
        <v>03/2023</v>
      </c>
      <c r="M2999" s="82"/>
      <c r="N2999" s="82"/>
    </row>
    <row r="3000" spans="1:14" x14ac:dyDescent="0.25">
      <c r="A3000" s="170" t="s">
        <v>5776</v>
      </c>
      <c r="B3000" s="170" t="s">
        <v>20268</v>
      </c>
      <c r="C3000" s="170" t="s">
        <v>205</v>
      </c>
      <c r="D3000" s="170" t="s">
        <v>2067</v>
      </c>
      <c r="E3000" s="171" t="s">
        <v>33125</v>
      </c>
      <c r="F3000" s="171" t="s">
        <v>23343</v>
      </c>
      <c r="G3000" s="82"/>
      <c r="H3000" s="96">
        <f t="shared" si="184"/>
        <v>57.82</v>
      </c>
      <c r="I3000" s="96">
        <f t="shared" si="184"/>
        <v>60.99</v>
      </c>
      <c r="J3000" s="91" t="str">
        <f t="shared" si="185"/>
        <v>Sinapi 91964</v>
      </c>
      <c r="K3000" s="91" t="str">
        <f t="shared" si="186"/>
        <v>UN</v>
      </c>
      <c r="L3000" s="166" t="str">
        <f t="shared" si="187"/>
        <v>03/2023</v>
      </c>
      <c r="M3000" s="82"/>
      <c r="N3000" s="82"/>
    </row>
    <row r="3001" spans="1:14" x14ac:dyDescent="0.25">
      <c r="A3001" s="170" t="s">
        <v>5777</v>
      </c>
      <c r="B3001" s="170" t="s">
        <v>20269</v>
      </c>
      <c r="C3001" s="170" t="s">
        <v>205</v>
      </c>
      <c r="D3001" s="170" t="s">
        <v>2067</v>
      </c>
      <c r="E3001" s="171" t="s">
        <v>31946</v>
      </c>
      <c r="F3001" s="171" t="s">
        <v>28506</v>
      </c>
      <c r="G3001" s="82"/>
      <c r="H3001" s="96">
        <f t="shared" si="184"/>
        <v>69.09</v>
      </c>
      <c r="I3001" s="96">
        <f t="shared" si="184"/>
        <v>72.88</v>
      </c>
      <c r="J3001" s="91" t="str">
        <f t="shared" si="185"/>
        <v>Sinapi 91965</v>
      </c>
      <c r="K3001" s="91" t="str">
        <f t="shared" si="186"/>
        <v>UN</v>
      </c>
      <c r="L3001" s="166" t="str">
        <f t="shared" si="187"/>
        <v>03/2023</v>
      </c>
      <c r="M3001" s="82"/>
      <c r="N3001" s="82"/>
    </row>
    <row r="3002" spans="1:14" x14ac:dyDescent="0.25">
      <c r="A3002" s="170" t="s">
        <v>5778</v>
      </c>
      <c r="B3002" s="170" t="s">
        <v>20270</v>
      </c>
      <c r="C3002" s="170" t="s">
        <v>205</v>
      </c>
      <c r="D3002" s="170" t="s">
        <v>2067</v>
      </c>
      <c r="E3002" s="171" t="s">
        <v>31708</v>
      </c>
      <c r="F3002" s="171" t="s">
        <v>29009</v>
      </c>
      <c r="G3002" s="82"/>
      <c r="H3002" s="96">
        <f t="shared" si="184"/>
        <v>51.49</v>
      </c>
      <c r="I3002" s="96">
        <f t="shared" si="184"/>
        <v>54.25</v>
      </c>
      <c r="J3002" s="91" t="str">
        <f t="shared" si="185"/>
        <v>Sinapi 91966</v>
      </c>
      <c r="K3002" s="91" t="str">
        <f t="shared" si="186"/>
        <v>UN</v>
      </c>
      <c r="L3002" s="166" t="str">
        <f t="shared" si="187"/>
        <v>03/2023</v>
      </c>
      <c r="M3002" s="82"/>
      <c r="N3002" s="82"/>
    </row>
    <row r="3003" spans="1:14" x14ac:dyDescent="0.25">
      <c r="A3003" s="170" t="s">
        <v>5779</v>
      </c>
      <c r="B3003" s="170" t="s">
        <v>20271</v>
      </c>
      <c r="C3003" s="170" t="s">
        <v>205</v>
      </c>
      <c r="D3003" s="170" t="s">
        <v>2067</v>
      </c>
      <c r="E3003" s="171" t="s">
        <v>28980</v>
      </c>
      <c r="F3003" s="171" t="s">
        <v>36395</v>
      </c>
      <c r="G3003" s="82"/>
      <c r="H3003" s="96">
        <f t="shared" si="184"/>
        <v>62.76</v>
      </c>
      <c r="I3003" s="96">
        <f t="shared" si="184"/>
        <v>66.14</v>
      </c>
      <c r="J3003" s="91" t="str">
        <f t="shared" si="185"/>
        <v>Sinapi 91967</v>
      </c>
      <c r="K3003" s="91" t="str">
        <f t="shared" si="186"/>
        <v>UN</v>
      </c>
      <c r="L3003" s="166" t="str">
        <f t="shared" si="187"/>
        <v>03/2023</v>
      </c>
      <c r="M3003" s="82"/>
      <c r="N3003" s="82"/>
    </row>
    <row r="3004" spans="1:14" x14ac:dyDescent="0.25">
      <c r="A3004" s="170" t="s">
        <v>5780</v>
      </c>
      <c r="B3004" s="170" t="s">
        <v>20272</v>
      </c>
      <c r="C3004" s="170" t="s">
        <v>205</v>
      </c>
      <c r="D3004" s="170" t="s">
        <v>2067</v>
      </c>
      <c r="E3004" s="171" t="s">
        <v>33126</v>
      </c>
      <c r="F3004" s="171" t="s">
        <v>32050</v>
      </c>
      <c r="G3004" s="82"/>
      <c r="H3004" s="96">
        <f t="shared" si="184"/>
        <v>70.56</v>
      </c>
      <c r="I3004" s="96">
        <f t="shared" si="184"/>
        <v>74.540000000000006</v>
      </c>
      <c r="J3004" s="91" t="str">
        <f t="shared" si="185"/>
        <v>Sinapi 91968</v>
      </c>
      <c r="K3004" s="91" t="str">
        <f t="shared" si="186"/>
        <v>UN</v>
      </c>
      <c r="L3004" s="166" t="str">
        <f t="shared" si="187"/>
        <v>03/2023</v>
      </c>
      <c r="M3004" s="82"/>
      <c r="N3004" s="82"/>
    </row>
    <row r="3005" spans="1:14" x14ac:dyDescent="0.25">
      <c r="A3005" s="170" t="s">
        <v>5781</v>
      </c>
      <c r="B3005" s="170" t="s">
        <v>20273</v>
      </c>
      <c r="C3005" s="170" t="s">
        <v>205</v>
      </c>
      <c r="D3005" s="170" t="s">
        <v>2067</v>
      </c>
      <c r="E3005" s="171" t="s">
        <v>23211</v>
      </c>
      <c r="F3005" s="171" t="s">
        <v>36396</v>
      </c>
      <c r="G3005" s="82"/>
      <c r="H3005" s="96">
        <f t="shared" si="184"/>
        <v>81.83</v>
      </c>
      <c r="I3005" s="96">
        <f t="shared" si="184"/>
        <v>86.43</v>
      </c>
      <c r="J3005" s="91" t="str">
        <f t="shared" si="185"/>
        <v>Sinapi 91969</v>
      </c>
      <c r="K3005" s="91" t="str">
        <f t="shared" si="186"/>
        <v>UN</v>
      </c>
      <c r="L3005" s="166" t="str">
        <f t="shared" si="187"/>
        <v>03/2023</v>
      </c>
      <c r="M3005" s="82"/>
      <c r="N3005" s="82"/>
    </row>
    <row r="3006" spans="1:14" x14ac:dyDescent="0.25">
      <c r="A3006" s="170" t="s">
        <v>5782</v>
      </c>
      <c r="B3006" s="170" t="s">
        <v>20274</v>
      </c>
      <c r="C3006" s="170" t="s">
        <v>205</v>
      </c>
      <c r="D3006" s="170" t="s">
        <v>2067</v>
      </c>
      <c r="E3006" s="171" t="s">
        <v>33127</v>
      </c>
      <c r="F3006" s="171" t="s">
        <v>29030</v>
      </c>
      <c r="G3006" s="82"/>
      <c r="H3006" s="96">
        <f t="shared" si="184"/>
        <v>74.400000000000006</v>
      </c>
      <c r="I3006" s="96">
        <f t="shared" si="184"/>
        <v>78.41</v>
      </c>
      <c r="J3006" s="91" t="str">
        <f t="shared" si="185"/>
        <v>Sinapi 91970</v>
      </c>
      <c r="K3006" s="91" t="str">
        <f t="shared" si="186"/>
        <v>UN</v>
      </c>
      <c r="L3006" s="166" t="str">
        <f t="shared" si="187"/>
        <v>03/2023</v>
      </c>
      <c r="M3006" s="82"/>
      <c r="N3006" s="82"/>
    </row>
    <row r="3007" spans="1:14" x14ac:dyDescent="0.25">
      <c r="A3007" s="170" t="s">
        <v>5783</v>
      </c>
      <c r="B3007" s="170" t="s">
        <v>20275</v>
      </c>
      <c r="C3007" s="170" t="s">
        <v>205</v>
      </c>
      <c r="D3007" s="170" t="s">
        <v>2067</v>
      </c>
      <c r="E3007" s="171" t="s">
        <v>29295</v>
      </c>
      <c r="F3007" s="171" t="s">
        <v>36397</v>
      </c>
      <c r="G3007" s="82"/>
      <c r="H3007" s="96">
        <f t="shared" si="184"/>
        <v>91.78</v>
      </c>
      <c r="I3007" s="96">
        <f t="shared" si="184"/>
        <v>96.51</v>
      </c>
      <c r="J3007" s="91" t="str">
        <f t="shared" si="185"/>
        <v>Sinapi 91971</v>
      </c>
      <c r="K3007" s="91" t="str">
        <f t="shared" si="186"/>
        <v>UN</v>
      </c>
      <c r="L3007" s="166" t="str">
        <f t="shared" si="187"/>
        <v>03/2023</v>
      </c>
      <c r="M3007" s="82"/>
      <c r="N3007" s="82"/>
    </row>
    <row r="3008" spans="1:14" x14ac:dyDescent="0.25">
      <c r="A3008" s="170" t="s">
        <v>5784</v>
      </c>
      <c r="B3008" s="170" t="s">
        <v>20276</v>
      </c>
      <c r="C3008" s="170" t="s">
        <v>205</v>
      </c>
      <c r="D3008" s="170" t="s">
        <v>2067</v>
      </c>
      <c r="E3008" s="171" t="s">
        <v>33128</v>
      </c>
      <c r="F3008" s="171" t="s">
        <v>36398</v>
      </c>
      <c r="G3008" s="82"/>
      <c r="H3008" s="96">
        <f t="shared" si="184"/>
        <v>80.819999999999993</v>
      </c>
      <c r="I3008" s="96">
        <f t="shared" si="184"/>
        <v>85.24</v>
      </c>
      <c r="J3008" s="91" t="str">
        <f t="shared" si="185"/>
        <v>Sinapi 91972</v>
      </c>
      <c r="K3008" s="91" t="str">
        <f t="shared" si="186"/>
        <v>UN</v>
      </c>
      <c r="L3008" s="166" t="str">
        <f t="shared" si="187"/>
        <v>03/2023</v>
      </c>
      <c r="M3008" s="82"/>
      <c r="N3008" s="82"/>
    </row>
    <row r="3009" spans="1:14" x14ac:dyDescent="0.25">
      <c r="A3009" s="170" t="s">
        <v>5785</v>
      </c>
      <c r="B3009" s="170" t="s">
        <v>20277</v>
      </c>
      <c r="C3009" s="170" t="s">
        <v>205</v>
      </c>
      <c r="D3009" s="170" t="s">
        <v>2067</v>
      </c>
      <c r="E3009" s="171" t="s">
        <v>33129</v>
      </c>
      <c r="F3009" s="171" t="s">
        <v>36399</v>
      </c>
      <c r="G3009" s="82"/>
      <c r="H3009" s="96">
        <f t="shared" si="184"/>
        <v>98.2</v>
      </c>
      <c r="I3009" s="96">
        <f t="shared" si="184"/>
        <v>103.34</v>
      </c>
      <c r="J3009" s="91" t="str">
        <f t="shared" si="185"/>
        <v>Sinapi 91973</v>
      </c>
      <c r="K3009" s="91" t="str">
        <f t="shared" si="186"/>
        <v>UN</v>
      </c>
      <c r="L3009" s="166" t="str">
        <f t="shared" si="187"/>
        <v>03/2023</v>
      </c>
      <c r="M3009" s="82"/>
      <c r="N3009" s="82"/>
    </row>
    <row r="3010" spans="1:14" x14ac:dyDescent="0.25">
      <c r="A3010" s="170" t="s">
        <v>5786</v>
      </c>
      <c r="B3010" s="170" t="s">
        <v>20278</v>
      </c>
      <c r="C3010" s="170" t="s">
        <v>205</v>
      </c>
      <c r="D3010" s="170" t="s">
        <v>2067</v>
      </c>
      <c r="E3010" s="171" t="s">
        <v>28513</v>
      </c>
      <c r="F3010" s="171" t="s">
        <v>21320</v>
      </c>
      <c r="G3010" s="82"/>
      <c r="H3010" s="96">
        <f t="shared" si="184"/>
        <v>68.040000000000006</v>
      </c>
      <c r="I3010" s="96">
        <f t="shared" si="184"/>
        <v>71.64</v>
      </c>
      <c r="J3010" s="91" t="str">
        <f t="shared" si="185"/>
        <v>Sinapi 91974</v>
      </c>
      <c r="K3010" s="91" t="str">
        <f t="shared" si="186"/>
        <v>UN</v>
      </c>
      <c r="L3010" s="166" t="str">
        <f t="shared" si="187"/>
        <v>03/2023</v>
      </c>
      <c r="M3010" s="82"/>
      <c r="N3010" s="82"/>
    </row>
    <row r="3011" spans="1:14" x14ac:dyDescent="0.25">
      <c r="A3011" s="170" t="s">
        <v>5787</v>
      </c>
      <c r="B3011" s="170" t="s">
        <v>20279</v>
      </c>
      <c r="C3011" s="170" t="s">
        <v>205</v>
      </c>
      <c r="D3011" s="170" t="s">
        <v>2067</v>
      </c>
      <c r="E3011" s="171" t="s">
        <v>33130</v>
      </c>
      <c r="F3011" s="171" t="s">
        <v>36400</v>
      </c>
      <c r="G3011" s="82"/>
      <c r="H3011" s="96">
        <f t="shared" si="184"/>
        <v>85.42</v>
      </c>
      <c r="I3011" s="96">
        <f t="shared" si="184"/>
        <v>89.74</v>
      </c>
      <c r="J3011" s="91" t="str">
        <f t="shared" si="185"/>
        <v>Sinapi 91975</v>
      </c>
      <c r="K3011" s="91" t="str">
        <f t="shared" si="186"/>
        <v>UN</v>
      </c>
      <c r="L3011" s="166" t="str">
        <f t="shared" si="187"/>
        <v>03/2023</v>
      </c>
      <c r="M3011" s="82"/>
      <c r="N3011" s="82"/>
    </row>
    <row r="3012" spans="1:14" x14ac:dyDescent="0.25">
      <c r="A3012" s="170" t="s">
        <v>5788</v>
      </c>
      <c r="B3012" s="170" t="s">
        <v>20280</v>
      </c>
      <c r="C3012" s="170" t="s">
        <v>205</v>
      </c>
      <c r="D3012" s="170" t="s">
        <v>2067</v>
      </c>
      <c r="E3012" s="171" t="s">
        <v>28449</v>
      </c>
      <c r="F3012" s="171" t="s">
        <v>29178</v>
      </c>
      <c r="G3012" s="82"/>
      <c r="H3012" s="96">
        <f t="shared" si="184"/>
        <v>100.63</v>
      </c>
      <c r="I3012" s="96">
        <f t="shared" si="184"/>
        <v>105.88</v>
      </c>
      <c r="J3012" s="91" t="str">
        <f t="shared" si="185"/>
        <v>Sinapi 91976</v>
      </c>
      <c r="K3012" s="91" t="str">
        <f t="shared" si="186"/>
        <v>UN</v>
      </c>
      <c r="L3012" s="166" t="str">
        <f t="shared" si="187"/>
        <v>03/2023</v>
      </c>
      <c r="M3012" s="82"/>
      <c r="N3012" s="82"/>
    </row>
    <row r="3013" spans="1:14" x14ac:dyDescent="0.25">
      <c r="A3013" s="170" t="s">
        <v>5789</v>
      </c>
      <c r="B3013" s="170" t="s">
        <v>20281</v>
      </c>
      <c r="C3013" s="170" t="s">
        <v>205</v>
      </c>
      <c r="D3013" s="170" t="s">
        <v>2067</v>
      </c>
      <c r="E3013" s="171" t="s">
        <v>30562</v>
      </c>
      <c r="F3013" s="171" t="s">
        <v>36401</v>
      </c>
      <c r="G3013" s="82"/>
      <c r="H3013" s="96">
        <f t="shared" si="184"/>
        <v>118.01</v>
      </c>
      <c r="I3013" s="96">
        <f t="shared" si="184"/>
        <v>123.98</v>
      </c>
      <c r="J3013" s="91" t="str">
        <f t="shared" si="185"/>
        <v>Sinapi 91977</v>
      </c>
      <c r="K3013" s="91" t="str">
        <f t="shared" si="186"/>
        <v>UN</v>
      </c>
      <c r="L3013" s="166" t="str">
        <f t="shared" si="187"/>
        <v>03/2023</v>
      </c>
      <c r="M3013" s="82"/>
      <c r="N3013" s="82"/>
    </row>
    <row r="3014" spans="1:14" x14ac:dyDescent="0.25">
      <c r="A3014" s="170" t="s">
        <v>5790</v>
      </c>
      <c r="B3014" s="170" t="s">
        <v>20282</v>
      </c>
      <c r="C3014" s="170" t="s">
        <v>205</v>
      </c>
      <c r="D3014" s="170" t="s">
        <v>2067</v>
      </c>
      <c r="E3014" s="171" t="s">
        <v>22992</v>
      </c>
      <c r="F3014" s="171" t="s">
        <v>21029</v>
      </c>
      <c r="G3014" s="82"/>
      <c r="H3014" s="96">
        <f t="shared" si="184"/>
        <v>42.08</v>
      </c>
      <c r="I3014" s="96">
        <f t="shared" si="184"/>
        <v>44.02</v>
      </c>
      <c r="J3014" s="91" t="str">
        <f t="shared" si="185"/>
        <v>Sinapi 91978</v>
      </c>
      <c r="K3014" s="91" t="str">
        <f t="shared" si="186"/>
        <v>UN</v>
      </c>
      <c r="L3014" s="166" t="str">
        <f t="shared" si="187"/>
        <v>03/2023</v>
      </c>
      <c r="M3014" s="82"/>
      <c r="N3014" s="82"/>
    </row>
    <row r="3015" spans="1:14" x14ac:dyDescent="0.25">
      <c r="A3015" s="170" t="s">
        <v>5791</v>
      </c>
      <c r="B3015" s="170" t="s">
        <v>20283</v>
      </c>
      <c r="C3015" s="170" t="s">
        <v>205</v>
      </c>
      <c r="D3015" s="170" t="s">
        <v>2067</v>
      </c>
      <c r="E3015" s="171" t="s">
        <v>21330</v>
      </c>
      <c r="F3015" s="171" t="s">
        <v>28787</v>
      </c>
      <c r="G3015" s="82"/>
      <c r="H3015" s="96">
        <f t="shared" si="184"/>
        <v>53.35</v>
      </c>
      <c r="I3015" s="96">
        <f t="shared" si="184"/>
        <v>55.91</v>
      </c>
      <c r="J3015" s="91" t="str">
        <f t="shared" si="185"/>
        <v>Sinapi 91979</v>
      </c>
      <c r="K3015" s="91" t="str">
        <f t="shared" si="186"/>
        <v>UN</v>
      </c>
      <c r="L3015" s="166" t="str">
        <f t="shared" si="187"/>
        <v>03/2023</v>
      </c>
      <c r="M3015" s="82"/>
      <c r="N3015" s="82"/>
    </row>
    <row r="3016" spans="1:14" x14ac:dyDescent="0.25">
      <c r="A3016" s="170" t="s">
        <v>5792</v>
      </c>
      <c r="B3016" s="170" t="s">
        <v>20284</v>
      </c>
      <c r="C3016" s="170" t="s">
        <v>205</v>
      </c>
      <c r="D3016" s="170" t="s">
        <v>2067</v>
      </c>
      <c r="E3016" s="171" t="s">
        <v>21365</v>
      </c>
      <c r="F3016" s="171" t="s">
        <v>34638</v>
      </c>
      <c r="G3016" s="82"/>
      <c r="H3016" s="96">
        <f t="shared" ref="H3016:I3079" si="188">IF(E3016="","",E3016+0)</f>
        <v>40.51</v>
      </c>
      <c r="I3016" s="96">
        <f t="shared" si="188"/>
        <v>42.45</v>
      </c>
      <c r="J3016" s="91" t="str">
        <f t="shared" ref="J3016:J3079" si="189">IF(OR(H3016="",I3016=""),"",TRIM(CONCATENATE("Sinapi ",A3016)))</f>
        <v>Sinapi 91980</v>
      </c>
      <c r="K3016" s="91" t="str">
        <f t="shared" ref="K3016:K3079" si="190">TRIM(C3016)</f>
        <v>UN</v>
      </c>
      <c r="L3016" s="166" t="str">
        <f t="shared" ref="L3016:L3079" si="191">IF(OR(RIGHT(IF(AND(K3016&lt;&gt;"H",K3016&lt;&gt;"MES"),RIGHT(B3016,7),""),2)="PS",RIGHT(IF(AND(K3016&lt;&gt;"H",K3016&lt;&gt;"MES"),RIGHT(B3016,7),""),2)="PA",RIGHT(IF(AND(K3016&lt;&gt;"H",K3016&lt;&gt;"MES"),RIGHT(B3016,7),""),2)="PE"),LEFT(IF(AND(K3016&lt;&gt;"H",K3016&lt;&gt;"MES"),RIGHT(B3016,10),""),7),IF(AND(K3016&lt;&gt;"H",K3016&lt;&gt;"MES"),RIGHT(B3016,7),""))</f>
        <v>03/2023</v>
      </c>
      <c r="M3016" s="82"/>
      <c r="N3016" s="82"/>
    </row>
    <row r="3017" spans="1:14" x14ac:dyDescent="0.25">
      <c r="A3017" s="170" t="s">
        <v>5793</v>
      </c>
      <c r="B3017" s="170" t="s">
        <v>20285</v>
      </c>
      <c r="C3017" s="170" t="s">
        <v>205</v>
      </c>
      <c r="D3017" s="170" t="s">
        <v>2067</v>
      </c>
      <c r="E3017" s="171" t="s">
        <v>28569</v>
      </c>
      <c r="F3017" s="171" t="s">
        <v>21564</v>
      </c>
      <c r="G3017" s="82"/>
      <c r="H3017" s="96">
        <f t="shared" si="188"/>
        <v>51.78</v>
      </c>
      <c r="I3017" s="96">
        <f t="shared" si="188"/>
        <v>54.34</v>
      </c>
      <c r="J3017" s="91" t="str">
        <f t="shared" si="189"/>
        <v>Sinapi 91981</v>
      </c>
      <c r="K3017" s="91" t="str">
        <f t="shared" si="190"/>
        <v>UN</v>
      </c>
      <c r="L3017" s="166" t="str">
        <f t="shared" si="191"/>
        <v>03/2023</v>
      </c>
      <c r="M3017" s="82"/>
      <c r="N3017" s="82"/>
    </row>
    <row r="3018" spans="1:14" x14ac:dyDescent="0.25">
      <c r="A3018" s="170" t="s">
        <v>5794</v>
      </c>
      <c r="B3018" s="170" t="s">
        <v>20286</v>
      </c>
      <c r="C3018" s="170" t="s">
        <v>205</v>
      </c>
      <c r="D3018" s="170" t="s">
        <v>2067</v>
      </c>
      <c r="E3018" s="171" t="s">
        <v>33131</v>
      </c>
      <c r="F3018" s="171" t="s">
        <v>36402</v>
      </c>
      <c r="G3018" s="82"/>
      <c r="H3018" s="96">
        <f t="shared" si="188"/>
        <v>109.69</v>
      </c>
      <c r="I3018" s="96">
        <f t="shared" si="188"/>
        <v>110.8</v>
      </c>
      <c r="J3018" s="91" t="str">
        <f t="shared" si="189"/>
        <v>Sinapi 91982</v>
      </c>
      <c r="K3018" s="91" t="str">
        <f t="shared" si="190"/>
        <v>UN</v>
      </c>
      <c r="L3018" s="166" t="str">
        <f t="shared" si="191"/>
        <v>03/2023</v>
      </c>
      <c r="M3018" s="82"/>
      <c r="N3018" s="82"/>
    </row>
    <row r="3019" spans="1:14" x14ac:dyDescent="0.25">
      <c r="A3019" s="170" t="s">
        <v>5795</v>
      </c>
      <c r="B3019" s="170" t="s">
        <v>20287</v>
      </c>
      <c r="C3019" s="170" t="s">
        <v>205</v>
      </c>
      <c r="D3019" s="170" t="s">
        <v>2067</v>
      </c>
      <c r="E3019" s="171" t="s">
        <v>29282</v>
      </c>
      <c r="F3019" s="171" t="s">
        <v>36403</v>
      </c>
      <c r="G3019" s="82"/>
      <c r="H3019" s="96">
        <f t="shared" si="188"/>
        <v>120.96</v>
      </c>
      <c r="I3019" s="96">
        <f t="shared" si="188"/>
        <v>122.69</v>
      </c>
      <c r="J3019" s="91" t="str">
        <f t="shared" si="189"/>
        <v>Sinapi 91983</v>
      </c>
      <c r="K3019" s="91" t="str">
        <f t="shared" si="190"/>
        <v>UN</v>
      </c>
      <c r="L3019" s="166" t="str">
        <f t="shared" si="191"/>
        <v>03/2023</v>
      </c>
      <c r="M3019" s="82"/>
      <c r="N3019" s="82"/>
    </row>
    <row r="3020" spans="1:14" x14ac:dyDescent="0.25">
      <c r="A3020" s="170" t="s">
        <v>5796</v>
      </c>
      <c r="B3020" s="170" t="s">
        <v>20288</v>
      </c>
      <c r="C3020" s="170" t="s">
        <v>205</v>
      </c>
      <c r="D3020" s="170" t="s">
        <v>2067</v>
      </c>
      <c r="E3020" s="171" t="s">
        <v>4685</v>
      </c>
      <c r="F3020" s="171" t="s">
        <v>15671</v>
      </c>
      <c r="G3020" s="82"/>
      <c r="H3020" s="96">
        <f t="shared" si="188"/>
        <v>17.489999999999998</v>
      </c>
      <c r="I3020" s="96">
        <f t="shared" si="188"/>
        <v>18.600000000000001</v>
      </c>
      <c r="J3020" s="91" t="str">
        <f t="shared" si="189"/>
        <v>Sinapi 91984</v>
      </c>
      <c r="K3020" s="91" t="str">
        <f t="shared" si="190"/>
        <v>UN</v>
      </c>
      <c r="L3020" s="166" t="str">
        <f t="shared" si="191"/>
        <v>03/2023</v>
      </c>
      <c r="M3020" s="82"/>
      <c r="N3020" s="82"/>
    </row>
    <row r="3021" spans="1:14" x14ac:dyDescent="0.25">
      <c r="A3021" s="170" t="s">
        <v>5797</v>
      </c>
      <c r="B3021" s="170" t="s">
        <v>20289</v>
      </c>
      <c r="C3021" s="170" t="s">
        <v>205</v>
      </c>
      <c r="D3021" s="170" t="s">
        <v>2067</v>
      </c>
      <c r="E3021" s="171" t="s">
        <v>33132</v>
      </c>
      <c r="F3021" s="171" t="s">
        <v>23110</v>
      </c>
      <c r="G3021" s="82"/>
      <c r="H3021" s="96">
        <f t="shared" si="188"/>
        <v>28.76</v>
      </c>
      <c r="I3021" s="96">
        <f t="shared" si="188"/>
        <v>30.49</v>
      </c>
      <c r="J3021" s="91" t="str">
        <f t="shared" si="189"/>
        <v>Sinapi 91985</v>
      </c>
      <c r="K3021" s="91" t="str">
        <f t="shared" si="190"/>
        <v>UN</v>
      </c>
      <c r="L3021" s="166" t="str">
        <f t="shared" si="191"/>
        <v>03/2023</v>
      </c>
      <c r="M3021" s="82"/>
      <c r="N3021" s="82"/>
    </row>
    <row r="3022" spans="1:14" x14ac:dyDescent="0.25">
      <c r="A3022" s="170" t="s">
        <v>5798</v>
      </c>
      <c r="B3022" s="170" t="s">
        <v>20290</v>
      </c>
      <c r="C3022" s="170" t="s">
        <v>205</v>
      </c>
      <c r="D3022" s="170" t="s">
        <v>2067</v>
      </c>
      <c r="E3022" s="171" t="s">
        <v>33133</v>
      </c>
      <c r="F3022" s="171" t="s">
        <v>28983</v>
      </c>
      <c r="G3022" s="82"/>
      <c r="H3022" s="96">
        <f t="shared" si="188"/>
        <v>39.54</v>
      </c>
      <c r="I3022" s="96">
        <f t="shared" si="188"/>
        <v>41.28</v>
      </c>
      <c r="J3022" s="91" t="str">
        <f t="shared" si="189"/>
        <v>Sinapi 91986</v>
      </c>
      <c r="K3022" s="91" t="str">
        <f t="shared" si="190"/>
        <v>UN</v>
      </c>
      <c r="L3022" s="166" t="str">
        <f t="shared" si="191"/>
        <v>03/2023</v>
      </c>
      <c r="M3022" s="82"/>
      <c r="N3022" s="82"/>
    </row>
    <row r="3023" spans="1:14" x14ac:dyDescent="0.25">
      <c r="A3023" s="170" t="s">
        <v>5799</v>
      </c>
      <c r="B3023" s="170" t="s">
        <v>20291</v>
      </c>
      <c r="C3023" s="170" t="s">
        <v>205</v>
      </c>
      <c r="D3023" s="170" t="s">
        <v>2067</v>
      </c>
      <c r="E3023" s="171" t="s">
        <v>33134</v>
      </c>
      <c r="F3023" s="171" t="s">
        <v>36404</v>
      </c>
      <c r="G3023" s="82"/>
      <c r="H3023" s="96">
        <f t="shared" si="188"/>
        <v>50.81</v>
      </c>
      <c r="I3023" s="96">
        <f t="shared" si="188"/>
        <v>53.17</v>
      </c>
      <c r="J3023" s="91" t="str">
        <f t="shared" si="189"/>
        <v>Sinapi 91987</v>
      </c>
      <c r="K3023" s="91" t="str">
        <f t="shared" si="190"/>
        <v>UN</v>
      </c>
      <c r="L3023" s="166" t="str">
        <f t="shared" si="191"/>
        <v>03/2023</v>
      </c>
      <c r="M3023" s="82"/>
      <c r="N3023" s="82"/>
    </row>
    <row r="3024" spans="1:14" x14ac:dyDescent="0.25">
      <c r="A3024" s="170" t="s">
        <v>5800</v>
      </c>
      <c r="B3024" s="170" t="s">
        <v>20292</v>
      </c>
      <c r="C3024" s="170" t="s">
        <v>205</v>
      </c>
      <c r="D3024" s="170" t="s">
        <v>2067</v>
      </c>
      <c r="E3024" s="171" t="s">
        <v>32900</v>
      </c>
      <c r="F3024" s="171" t="s">
        <v>21521</v>
      </c>
      <c r="G3024" s="82"/>
      <c r="H3024" s="96">
        <f t="shared" si="188"/>
        <v>22.76</v>
      </c>
      <c r="I3024" s="96">
        <f t="shared" si="188"/>
        <v>23.87</v>
      </c>
      <c r="J3024" s="91" t="str">
        <f t="shared" si="189"/>
        <v>Sinapi 91988</v>
      </c>
      <c r="K3024" s="91" t="str">
        <f t="shared" si="190"/>
        <v>UN</v>
      </c>
      <c r="L3024" s="166" t="str">
        <f t="shared" si="191"/>
        <v>03/2023</v>
      </c>
      <c r="M3024" s="82"/>
      <c r="N3024" s="82"/>
    </row>
    <row r="3025" spans="1:14" x14ac:dyDescent="0.25">
      <c r="A3025" s="170" t="s">
        <v>5801</v>
      </c>
      <c r="B3025" s="170" t="s">
        <v>20293</v>
      </c>
      <c r="C3025" s="170" t="s">
        <v>205</v>
      </c>
      <c r="D3025" s="170" t="s">
        <v>2067</v>
      </c>
      <c r="E3025" s="171" t="s">
        <v>20483</v>
      </c>
      <c r="F3025" s="171" t="s">
        <v>19400</v>
      </c>
      <c r="G3025" s="82"/>
      <c r="H3025" s="96">
        <f t="shared" si="188"/>
        <v>34.03</v>
      </c>
      <c r="I3025" s="96">
        <f t="shared" si="188"/>
        <v>35.76</v>
      </c>
      <c r="J3025" s="91" t="str">
        <f t="shared" si="189"/>
        <v>Sinapi 91989</v>
      </c>
      <c r="K3025" s="91" t="str">
        <f t="shared" si="190"/>
        <v>UN</v>
      </c>
      <c r="L3025" s="166" t="str">
        <f t="shared" si="191"/>
        <v>03/2023</v>
      </c>
      <c r="M3025" s="82"/>
      <c r="N3025" s="82"/>
    </row>
    <row r="3026" spans="1:14" x14ac:dyDescent="0.25">
      <c r="A3026" s="170" t="s">
        <v>5802</v>
      </c>
      <c r="B3026" s="170" t="s">
        <v>20294</v>
      </c>
      <c r="C3026" s="170" t="s">
        <v>205</v>
      </c>
      <c r="D3026" s="170" t="s">
        <v>2067</v>
      </c>
      <c r="E3026" s="171" t="s">
        <v>23296</v>
      </c>
      <c r="F3026" s="171" t="s">
        <v>20015</v>
      </c>
      <c r="G3026" s="82"/>
      <c r="H3026" s="96">
        <f t="shared" si="188"/>
        <v>32.17</v>
      </c>
      <c r="I3026" s="96">
        <f t="shared" si="188"/>
        <v>34.65</v>
      </c>
      <c r="J3026" s="91" t="str">
        <f t="shared" si="189"/>
        <v>Sinapi 91990</v>
      </c>
      <c r="K3026" s="91" t="str">
        <f t="shared" si="190"/>
        <v>UN</v>
      </c>
      <c r="L3026" s="166" t="str">
        <f t="shared" si="191"/>
        <v>03/2023</v>
      </c>
      <c r="M3026" s="82"/>
      <c r="N3026" s="82"/>
    </row>
    <row r="3027" spans="1:14" x14ac:dyDescent="0.25">
      <c r="A3027" s="170" t="s">
        <v>5803</v>
      </c>
      <c r="B3027" s="170" t="s">
        <v>20295</v>
      </c>
      <c r="C3027" s="170" t="s">
        <v>205</v>
      </c>
      <c r="D3027" s="170" t="s">
        <v>2067</v>
      </c>
      <c r="E3027" s="171" t="s">
        <v>30752</v>
      </c>
      <c r="F3027" s="171" t="s">
        <v>17936</v>
      </c>
      <c r="G3027" s="82"/>
      <c r="H3027" s="96">
        <f t="shared" si="188"/>
        <v>35.020000000000003</v>
      </c>
      <c r="I3027" s="96">
        <f t="shared" si="188"/>
        <v>37.5</v>
      </c>
      <c r="J3027" s="91" t="str">
        <f t="shared" si="189"/>
        <v>Sinapi 91991</v>
      </c>
      <c r="K3027" s="91" t="str">
        <f t="shared" si="190"/>
        <v>UN</v>
      </c>
      <c r="L3027" s="166" t="str">
        <f t="shared" si="191"/>
        <v>03/2023</v>
      </c>
      <c r="M3027" s="82"/>
      <c r="N3027" s="82"/>
    </row>
    <row r="3028" spans="1:14" x14ac:dyDescent="0.25">
      <c r="A3028" s="170" t="s">
        <v>5804</v>
      </c>
      <c r="B3028" s="170" t="s">
        <v>20296</v>
      </c>
      <c r="C3028" s="170" t="s">
        <v>205</v>
      </c>
      <c r="D3028" s="170" t="s">
        <v>2067</v>
      </c>
      <c r="E3028" s="171" t="s">
        <v>33135</v>
      </c>
      <c r="F3028" s="171" t="s">
        <v>26950</v>
      </c>
      <c r="G3028" s="82"/>
      <c r="H3028" s="96">
        <f t="shared" si="188"/>
        <v>43.44</v>
      </c>
      <c r="I3028" s="96">
        <f t="shared" si="188"/>
        <v>46.54</v>
      </c>
      <c r="J3028" s="91" t="str">
        <f t="shared" si="189"/>
        <v>Sinapi 91992</v>
      </c>
      <c r="K3028" s="91" t="str">
        <f t="shared" si="190"/>
        <v>UN</v>
      </c>
      <c r="L3028" s="166" t="str">
        <f t="shared" si="191"/>
        <v>03/2023</v>
      </c>
      <c r="M3028" s="82"/>
      <c r="N3028" s="82"/>
    </row>
    <row r="3029" spans="1:14" x14ac:dyDescent="0.25">
      <c r="A3029" s="170" t="s">
        <v>5805</v>
      </c>
      <c r="B3029" s="170" t="s">
        <v>20297</v>
      </c>
      <c r="C3029" s="170" t="s">
        <v>205</v>
      </c>
      <c r="D3029" s="170" t="s">
        <v>2067</v>
      </c>
      <c r="E3029" s="171" t="s">
        <v>22042</v>
      </c>
      <c r="F3029" s="171" t="s">
        <v>23019</v>
      </c>
      <c r="G3029" s="82"/>
      <c r="H3029" s="96">
        <f t="shared" si="188"/>
        <v>46.29</v>
      </c>
      <c r="I3029" s="96">
        <f t="shared" si="188"/>
        <v>49.39</v>
      </c>
      <c r="J3029" s="91" t="str">
        <f t="shared" si="189"/>
        <v>Sinapi 91993</v>
      </c>
      <c r="K3029" s="91" t="str">
        <f t="shared" si="190"/>
        <v>UN</v>
      </c>
      <c r="L3029" s="166" t="str">
        <f t="shared" si="191"/>
        <v>03/2023</v>
      </c>
      <c r="M3029" s="82"/>
      <c r="N3029" s="82"/>
    </row>
    <row r="3030" spans="1:14" x14ac:dyDescent="0.25">
      <c r="A3030" s="170" t="s">
        <v>5806</v>
      </c>
      <c r="B3030" s="170" t="s">
        <v>20298</v>
      </c>
      <c r="C3030" s="170" t="s">
        <v>205</v>
      </c>
      <c r="D3030" s="170" t="s">
        <v>2067</v>
      </c>
      <c r="E3030" s="171" t="s">
        <v>21507</v>
      </c>
      <c r="F3030" s="171" t="s">
        <v>28689</v>
      </c>
      <c r="G3030" s="82"/>
      <c r="H3030" s="96">
        <f t="shared" si="188"/>
        <v>23.82</v>
      </c>
      <c r="I3030" s="96">
        <f t="shared" si="188"/>
        <v>25.36</v>
      </c>
      <c r="J3030" s="91" t="str">
        <f t="shared" si="189"/>
        <v>Sinapi 91994</v>
      </c>
      <c r="K3030" s="91" t="str">
        <f t="shared" si="190"/>
        <v>UN</v>
      </c>
      <c r="L3030" s="166" t="str">
        <f t="shared" si="191"/>
        <v>03/2023</v>
      </c>
      <c r="M3030" s="82"/>
      <c r="N3030" s="82"/>
    </row>
    <row r="3031" spans="1:14" x14ac:dyDescent="0.25">
      <c r="A3031" s="170" t="s">
        <v>5807</v>
      </c>
      <c r="B3031" s="170" t="s">
        <v>20299</v>
      </c>
      <c r="C3031" s="170" t="s">
        <v>205</v>
      </c>
      <c r="D3031" s="170" t="s">
        <v>2067</v>
      </c>
      <c r="E3031" s="171" t="s">
        <v>28696</v>
      </c>
      <c r="F3031" s="171" t="s">
        <v>36405</v>
      </c>
      <c r="G3031" s="82"/>
      <c r="H3031" s="96">
        <f t="shared" si="188"/>
        <v>26.67</v>
      </c>
      <c r="I3031" s="96">
        <f t="shared" si="188"/>
        <v>28.21</v>
      </c>
      <c r="J3031" s="91" t="str">
        <f t="shared" si="189"/>
        <v>Sinapi 91995</v>
      </c>
      <c r="K3031" s="91" t="str">
        <f t="shared" si="190"/>
        <v>UN</v>
      </c>
      <c r="L3031" s="166" t="str">
        <f t="shared" si="191"/>
        <v>03/2023</v>
      </c>
      <c r="M3031" s="82"/>
      <c r="N3031" s="82"/>
    </row>
    <row r="3032" spans="1:14" x14ac:dyDescent="0.25">
      <c r="A3032" s="170" t="s">
        <v>5808</v>
      </c>
      <c r="B3032" s="170" t="s">
        <v>20300</v>
      </c>
      <c r="C3032" s="170" t="s">
        <v>205</v>
      </c>
      <c r="D3032" s="170" t="s">
        <v>2067</v>
      </c>
      <c r="E3032" s="171" t="s">
        <v>23009</v>
      </c>
      <c r="F3032" s="171" t="s">
        <v>22835</v>
      </c>
      <c r="G3032" s="82"/>
      <c r="H3032" s="96">
        <f t="shared" si="188"/>
        <v>35.090000000000003</v>
      </c>
      <c r="I3032" s="96">
        <f t="shared" si="188"/>
        <v>37.25</v>
      </c>
      <c r="J3032" s="91" t="str">
        <f t="shared" si="189"/>
        <v>Sinapi 91996</v>
      </c>
      <c r="K3032" s="91" t="str">
        <f t="shared" si="190"/>
        <v>UN</v>
      </c>
      <c r="L3032" s="166" t="str">
        <f t="shared" si="191"/>
        <v>03/2023</v>
      </c>
      <c r="M3032" s="82"/>
      <c r="N3032" s="82"/>
    </row>
    <row r="3033" spans="1:14" x14ac:dyDescent="0.25">
      <c r="A3033" s="170" t="s">
        <v>5809</v>
      </c>
      <c r="B3033" s="170" t="s">
        <v>20301</v>
      </c>
      <c r="C3033" s="170" t="s">
        <v>205</v>
      </c>
      <c r="D3033" s="170" t="s">
        <v>2067</v>
      </c>
      <c r="E3033" s="171" t="s">
        <v>22982</v>
      </c>
      <c r="F3033" s="171" t="s">
        <v>19306</v>
      </c>
      <c r="G3033" s="82"/>
      <c r="H3033" s="96">
        <f t="shared" si="188"/>
        <v>37.94</v>
      </c>
      <c r="I3033" s="96">
        <f t="shared" si="188"/>
        <v>40.1</v>
      </c>
      <c r="J3033" s="91" t="str">
        <f t="shared" si="189"/>
        <v>Sinapi 91997</v>
      </c>
      <c r="K3033" s="91" t="str">
        <f t="shared" si="190"/>
        <v>UN</v>
      </c>
      <c r="L3033" s="166" t="str">
        <f t="shared" si="191"/>
        <v>03/2023</v>
      </c>
      <c r="M3033" s="82"/>
      <c r="N3033" s="82"/>
    </row>
    <row r="3034" spans="1:14" x14ac:dyDescent="0.25">
      <c r="A3034" s="170" t="s">
        <v>5810</v>
      </c>
      <c r="B3034" s="170" t="s">
        <v>20303</v>
      </c>
      <c r="C3034" s="170" t="s">
        <v>205</v>
      </c>
      <c r="D3034" s="170" t="s">
        <v>2067</v>
      </c>
      <c r="E3034" s="171" t="s">
        <v>21366</v>
      </c>
      <c r="F3034" s="171" t="s">
        <v>15559</v>
      </c>
      <c r="G3034" s="82"/>
      <c r="H3034" s="96">
        <f t="shared" si="188"/>
        <v>20.6</v>
      </c>
      <c r="I3034" s="96">
        <f t="shared" si="188"/>
        <v>21.77</v>
      </c>
      <c r="J3034" s="91" t="str">
        <f t="shared" si="189"/>
        <v>Sinapi 91998</v>
      </c>
      <c r="K3034" s="91" t="str">
        <f t="shared" si="190"/>
        <v>UN</v>
      </c>
      <c r="L3034" s="166" t="str">
        <f t="shared" si="191"/>
        <v>03/2023</v>
      </c>
      <c r="M3034" s="82"/>
      <c r="N3034" s="82"/>
    </row>
    <row r="3035" spans="1:14" x14ac:dyDescent="0.25">
      <c r="A3035" s="170" t="s">
        <v>5811</v>
      </c>
      <c r="B3035" s="170" t="s">
        <v>20304</v>
      </c>
      <c r="C3035" s="170" t="s">
        <v>205</v>
      </c>
      <c r="D3035" s="170" t="s">
        <v>2067</v>
      </c>
      <c r="E3035" s="171" t="s">
        <v>14943</v>
      </c>
      <c r="F3035" s="171" t="s">
        <v>21632</v>
      </c>
      <c r="G3035" s="82"/>
      <c r="H3035" s="96">
        <f t="shared" si="188"/>
        <v>23.45</v>
      </c>
      <c r="I3035" s="96">
        <f t="shared" si="188"/>
        <v>24.62</v>
      </c>
      <c r="J3035" s="91" t="str">
        <f t="shared" si="189"/>
        <v>Sinapi 91999</v>
      </c>
      <c r="K3035" s="91" t="str">
        <f t="shared" si="190"/>
        <v>UN</v>
      </c>
      <c r="L3035" s="166" t="str">
        <f t="shared" si="191"/>
        <v>03/2023</v>
      </c>
      <c r="M3035" s="82"/>
      <c r="N3035" s="82"/>
    </row>
    <row r="3036" spans="1:14" x14ac:dyDescent="0.25">
      <c r="A3036" s="170" t="s">
        <v>5812</v>
      </c>
      <c r="B3036" s="170" t="s">
        <v>20305</v>
      </c>
      <c r="C3036" s="170" t="s">
        <v>205</v>
      </c>
      <c r="D3036" s="170" t="s">
        <v>2067</v>
      </c>
      <c r="E3036" s="171" t="s">
        <v>33136</v>
      </c>
      <c r="F3036" s="171" t="s">
        <v>33686</v>
      </c>
      <c r="G3036" s="82"/>
      <c r="H3036" s="96">
        <f t="shared" si="188"/>
        <v>31.87</v>
      </c>
      <c r="I3036" s="96">
        <f t="shared" si="188"/>
        <v>33.659999999999997</v>
      </c>
      <c r="J3036" s="91" t="str">
        <f t="shared" si="189"/>
        <v>Sinapi 92000</v>
      </c>
      <c r="K3036" s="91" t="str">
        <f t="shared" si="190"/>
        <v>UN</v>
      </c>
      <c r="L3036" s="166" t="str">
        <f t="shared" si="191"/>
        <v>03/2023</v>
      </c>
      <c r="M3036" s="82"/>
      <c r="N3036" s="82"/>
    </row>
    <row r="3037" spans="1:14" x14ac:dyDescent="0.25">
      <c r="A3037" s="170" t="s">
        <v>5813</v>
      </c>
      <c r="B3037" s="170" t="s">
        <v>20306</v>
      </c>
      <c r="C3037" s="170" t="s">
        <v>205</v>
      </c>
      <c r="D3037" s="170" t="s">
        <v>2067</v>
      </c>
      <c r="E3037" s="171" t="s">
        <v>33137</v>
      </c>
      <c r="F3037" s="171" t="s">
        <v>24367</v>
      </c>
      <c r="G3037" s="82"/>
      <c r="H3037" s="96">
        <f t="shared" si="188"/>
        <v>34.72</v>
      </c>
      <c r="I3037" s="96">
        <f t="shared" si="188"/>
        <v>36.51</v>
      </c>
      <c r="J3037" s="91" t="str">
        <f t="shared" si="189"/>
        <v>Sinapi 92001</v>
      </c>
      <c r="K3037" s="91" t="str">
        <f t="shared" si="190"/>
        <v>UN</v>
      </c>
      <c r="L3037" s="166" t="str">
        <f t="shared" si="191"/>
        <v>03/2023</v>
      </c>
      <c r="M3037" s="82"/>
      <c r="N3037" s="82"/>
    </row>
    <row r="3038" spans="1:14" x14ac:dyDescent="0.25">
      <c r="A3038" s="170" t="s">
        <v>5814</v>
      </c>
      <c r="B3038" s="170" t="s">
        <v>20307</v>
      </c>
      <c r="C3038" s="170" t="s">
        <v>205</v>
      </c>
      <c r="D3038" s="170" t="s">
        <v>2067</v>
      </c>
      <c r="E3038" s="171" t="s">
        <v>30257</v>
      </c>
      <c r="F3038" s="171" t="s">
        <v>21344</v>
      </c>
      <c r="G3038" s="82"/>
      <c r="H3038" s="96">
        <f t="shared" si="188"/>
        <v>44.99</v>
      </c>
      <c r="I3038" s="96">
        <f t="shared" si="188"/>
        <v>47.75</v>
      </c>
      <c r="J3038" s="91" t="str">
        <f t="shared" si="189"/>
        <v>Sinapi 92002</v>
      </c>
      <c r="K3038" s="91" t="str">
        <f t="shared" si="190"/>
        <v>UN</v>
      </c>
      <c r="L3038" s="166" t="str">
        <f t="shared" si="191"/>
        <v>03/2023</v>
      </c>
      <c r="M3038" s="82"/>
      <c r="N3038" s="82"/>
    </row>
    <row r="3039" spans="1:14" x14ac:dyDescent="0.25">
      <c r="A3039" s="170" t="s">
        <v>5815</v>
      </c>
      <c r="B3039" s="170" t="s">
        <v>20308</v>
      </c>
      <c r="C3039" s="170" t="s">
        <v>205</v>
      </c>
      <c r="D3039" s="170" t="s">
        <v>2067</v>
      </c>
      <c r="E3039" s="171" t="s">
        <v>31645</v>
      </c>
      <c r="F3039" s="171" t="s">
        <v>29101</v>
      </c>
      <c r="G3039" s="82"/>
      <c r="H3039" s="96">
        <f t="shared" si="188"/>
        <v>50.69</v>
      </c>
      <c r="I3039" s="96">
        <f t="shared" si="188"/>
        <v>53.45</v>
      </c>
      <c r="J3039" s="91" t="str">
        <f t="shared" si="189"/>
        <v>Sinapi 92003</v>
      </c>
      <c r="K3039" s="91" t="str">
        <f t="shared" si="190"/>
        <v>UN</v>
      </c>
      <c r="L3039" s="166" t="str">
        <f t="shared" si="191"/>
        <v>03/2023</v>
      </c>
      <c r="M3039" s="82"/>
      <c r="N3039" s="82"/>
    </row>
    <row r="3040" spans="1:14" x14ac:dyDescent="0.25">
      <c r="A3040" s="170" t="s">
        <v>5816</v>
      </c>
      <c r="B3040" s="170" t="s">
        <v>20309</v>
      </c>
      <c r="C3040" s="170" t="s">
        <v>205</v>
      </c>
      <c r="D3040" s="170" t="s">
        <v>2067</v>
      </c>
      <c r="E3040" s="171" t="s">
        <v>33138</v>
      </c>
      <c r="F3040" s="171" t="s">
        <v>33667</v>
      </c>
      <c r="G3040" s="82"/>
      <c r="H3040" s="96">
        <f t="shared" si="188"/>
        <v>56.26</v>
      </c>
      <c r="I3040" s="96">
        <f t="shared" si="188"/>
        <v>59.64</v>
      </c>
      <c r="J3040" s="91" t="str">
        <f t="shared" si="189"/>
        <v>Sinapi 92004</v>
      </c>
      <c r="K3040" s="91" t="str">
        <f t="shared" si="190"/>
        <v>UN</v>
      </c>
      <c r="L3040" s="166" t="str">
        <f t="shared" si="191"/>
        <v>03/2023</v>
      </c>
      <c r="M3040" s="82"/>
      <c r="N3040" s="82"/>
    </row>
    <row r="3041" spans="1:14" x14ac:dyDescent="0.25">
      <c r="A3041" s="170" t="s">
        <v>5817</v>
      </c>
      <c r="B3041" s="170" t="s">
        <v>20310</v>
      </c>
      <c r="C3041" s="170" t="s">
        <v>205</v>
      </c>
      <c r="D3041" s="170" t="s">
        <v>2067</v>
      </c>
      <c r="E3041" s="171" t="s">
        <v>29320</v>
      </c>
      <c r="F3041" s="171" t="s">
        <v>23207</v>
      </c>
      <c r="G3041" s="82"/>
      <c r="H3041" s="96">
        <f t="shared" si="188"/>
        <v>61.96</v>
      </c>
      <c r="I3041" s="96">
        <f t="shared" si="188"/>
        <v>65.34</v>
      </c>
      <c r="J3041" s="91" t="str">
        <f t="shared" si="189"/>
        <v>Sinapi 92005</v>
      </c>
      <c r="K3041" s="91" t="str">
        <f t="shared" si="190"/>
        <v>UN</v>
      </c>
      <c r="L3041" s="166" t="str">
        <f t="shared" si="191"/>
        <v>03/2023</v>
      </c>
      <c r="M3041" s="82"/>
      <c r="N3041" s="82"/>
    </row>
    <row r="3042" spans="1:14" x14ac:dyDescent="0.25">
      <c r="A3042" s="170" t="s">
        <v>5818</v>
      </c>
      <c r="B3042" s="170" t="s">
        <v>20311</v>
      </c>
      <c r="C3042" s="170" t="s">
        <v>205</v>
      </c>
      <c r="D3042" s="170" t="s">
        <v>2067</v>
      </c>
      <c r="E3042" s="171" t="s">
        <v>33139</v>
      </c>
      <c r="F3042" s="171" t="s">
        <v>19410</v>
      </c>
      <c r="G3042" s="82"/>
      <c r="H3042" s="96">
        <f t="shared" si="188"/>
        <v>38.49</v>
      </c>
      <c r="I3042" s="96">
        <f t="shared" si="188"/>
        <v>40.53</v>
      </c>
      <c r="J3042" s="91" t="str">
        <f t="shared" si="189"/>
        <v>Sinapi 92006</v>
      </c>
      <c r="K3042" s="91" t="str">
        <f t="shared" si="190"/>
        <v>UN</v>
      </c>
      <c r="L3042" s="166" t="str">
        <f t="shared" si="191"/>
        <v>03/2023</v>
      </c>
      <c r="M3042" s="82"/>
      <c r="N3042" s="82"/>
    </row>
    <row r="3043" spans="1:14" x14ac:dyDescent="0.25">
      <c r="A3043" s="170" t="s">
        <v>5819</v>
      </c>
      <c r="B3043" s="170" t="s">
        <v>20312</v>
      </c>
      <c r="C3043" s="170" t="s">
        <v>205</v>
      </c>
      <c r="D3043" s="170" t="s">
        <v>2067</v>
      </c>
      <c r="E3043" s="171" t="s">
        <v>33140</v>
      </c>
      <c r="F3043" s="171" t="s">
        <v>28477</v>
      </c>
      <c r="G3043" s="82"/>
      <c r="H3043" s="96">
        <f t="shared" si="188"/>
        <v>44.19</v>
      </c>
      <c r="I3043" s="96">
        <f t="shared" si="188"/>
        <v>46.23</v>
      </c>
      <c r="J3043" s="91" t="str">
        <f t="shared" si="189"/>
        <v>Sinapi 92007</v>
      </c>
      <c r="K3043" s="91" t="str">
        <f t="shared" si="190"/>
        <v>UN</v>
      </c>
      <c r="L3043" s="166" t="str">
        <f t="shared" si="191"/>
        <v>03/2023</v>
      </c>
      <c r="M3043" s="82"/>
      <c r="N3043" s="82"/>
    </row>
    <row r="3044" spans="1:14" x14ac:dyDescent="0.25">
      <c r="A3044" s="170" t="s">
        <v>5820</v>
      </c>
      <c r="B3044" s="170" t="s">
        <v>20313</v>
      </c>
      <c r="C3044" s="170" t="s">
        <v>205</v>
      </c>
      <c r="D3044" s="170" t="s">
        <v>2067</v>
      </c>
      <c r="E3044" s="171" t="s">
        <v>33141</v>
      </c>
      <c r="F3044" s="171" t="s">
        <v>23026</v>
      </c>
      <c r="G3044" s="82"/>
      <c r="H3044" s="96">
        <f t="shared" si="188"/>
        <v>49.76</v>
      </c>
      <c r="I3044" s="96">
        <f t="shared" si="188"/>
        <v>52.42</v>
      </c>
      <c r="J3044" s="91" t="str">
        <f t="shared" si="189"/>
        <v>Sinapi 92008</v>
      </c>
      <c r="K3044" s="91" t="str">
        <f t="shared" si="190"/>
        <v>UN</v>
      </c>
      <c r="L3044" s="166" t="str">
        <f t="shared" si="191"/>
        <v>03/2023</v>
      </c>
      <c r="M3044" s="82"/>
      <c r="N3044" s="82"/>
    </row>
    <row r="3045" spans="1:14" x14ac:dyDescent="0.25">
      <c r="A3045" s="170" t="s">
        <v>5821</v>
      </c>
      <c r="B3045" s="170" t="s">
        <v>20314</v>
      </c>
      <c r="C3045" s="170" t="s">
        <v>205</v>
      </c>
      <c r="D3045" s="170" t="s">
        <v>2067</v>
      </c>
      <c r="E3045" s="171" t="s">
        <v>33142</v>
      </c>
      <c r="F3045" s="171" t="s">
        <v>30166</v>
      </c>
      <c r="G3045" s="82"/>
      <c r="H3045" s="96">
        <f t="shared" si="188"/>
        <v>55.46</v>
      </c>
      <c r="I3045" s="96">
        <f t="shared" si="188"/>
        <v>58.12</v>
      </c>
      <c r="J3045" s="91" t="str">
        <f t="shared" si="189"/>
        <v>Sinapi 92009</v>
      </c>
      <c r="K3045" s="91" t="str">
        <f t="shared" si="190"/>
        <v>UN</v>
      </c>
      <c r="L3045" s="166" t="str">
        <f t="shared" si="191"/>
        <v>03/2023</v>
      </c>
      <c r="M3045" s="82"/>
      <c r="N3045" s="82"/>
    </row>
    <row r="3046" spans="1:14" x14ac:dyDescent="0.25">
      <c r="A3046" s="170" t="s">
        <v>5822</v>
      </c>
      <c r="B3046" s="170" t="s">
        <v>20315</v>
      </c>
      <c r="C3046" s="170" t="s">
        <v>205</v>
      </c>
      <c r="D3046" s="170" t="s">
        <v>2067</v>
      </c>
      <c r="E3046" s="171" t="s">
        <v>33143</v>
      </c>
      <c r="F3046" s="171" t="s">
        <v>36406</v>
      </c>
      <c r="G3046" s="82"/>
      <c r="H3046" s="96">
        <f t="shared" si="188"/>
        <v>66.12</v>
      </c>
      <c r="I3046" s="96">
        <f t="shared" si="188"/>
        <v>70.099999999999994</v>
      </c>
      <c r="J3046" s="91" t="str">
        <f t="shared" si="189"/>
        <v>Sinapi 92010</v>
      </c>
      <c r="K3046" s="91" t="str">
        <f t="shared" si="190"/>
        <v>UN</v>
      </c>
      <c r="L3046" s="166" t="str">
        <f t="shared" si="191"/>
        <v>03/2023</v>
      </c>
      <c r="M3046" s="82"/>
      <c r="N3046" s="82"/>
    </row>
    <row r="3047" spans="1:14" x14ac:dyDescent="0.25">
      <c r="A3047" s="170" t="s">
        <v>5823</v>
      </c>
      <c r="B3047" s="170" t="s">
        <v>20316</v>
      </c>
      <c r="C3047" s="170" t="s">
        <v>205</v>
      </c>
      <c r="D3047" s="170" t="s">
        <v>2067</v>
      </c>
      <c r="E3047" s="171" t="s">
        <v>33144</v>
      </c>
      <c r="F3047" s="171" t="s">
        <v>22773</v>
      </c>
      <c r="G3047" s="82"/>
      <c r="H3047" s="96">
        <f t="shared" si="188"/>
        <v>74.67</v>
      </c>
      <c r="I3047" s="96">
        <f t="shared" si="188"/>
        <v>78.650000000000006</v>
      </c>
      <c r="J3047" s="91" t="str">
        <f t="shared" si="189"/>
        <v>Sinapi 92011</v>
      </c>
      <c r="K3047" s="91" t="str">
        <f t="shared" si="190"/>
        <v>UN</v>
      </c>
      <c r="L3047" s="166" t="str">
        <f t="shared" si="191"/>
        <v>03/2023</v>
      </c>
      <c r="M3047" s="82"/>
      <c r="N3047" s="82"/>
    </row>
    <row r="3048" spans="1:14" x14ac:dyDescent="0.25">
      <c r="A3048" s="170" t="s">
        <v>5824</v>
      </c>
      <c r="B3048" s="170" t="s">
        <v>20317</v>
      </c>
      <c r="C3048" s="170" t="s">
        <v>205</v>
      </c>
      <c r="D3048" s="170" t="s">
        <v>2067</v>
      </c>
      <c r="E3048" s="171" t="s">
        <v>33145</v>
      </c>
      <c r="F3048" s="171" t="s">
        <v>28753</v>
      </c>
      <c r="G3048" s="82"/>
      <c r="H3048" s="96">
        <f t="shared" si="188"/>
        <v>77.39</v>
      </c>
      <c r="I3048" s="96">
        <f t="shared" si="188"/>
        <v>81.99</v>
      </c>
      <c r="J3048" s="91" t="str">
        <f t="shared" si="189"/>
        <v>Sinapi 92012</v>
      </c>
      <c r="K3048" s="91" t="str">
        <f t="shared" si="190"/>
        <v>UN</v>
      </c>
      <c r="L3048" s="166" t="str">
        <f t="shared" si="191"/>
        <v>03/2023</v>
      </c>
      <c r="M3048" s="82"/>
      <c r="N3048" s="82"/>
    </row>
    <row r="3049" spans="1:14" x14ac:dyDescent="0.25">
      <c r="A3049" s="170" t="s">
        <v>5825</v>
      </c>
      <c r="B3049" s="170" t="s">
        <v>20318</v>
      </c>
      <c r="C3049" s="170" t="s">
        <v>205</v>
      </c>
      <c r="D3049" s="170" t="s">
        <v>2067</v>
      </c>
      <c r="E3049" s="171" t="s">
        <v>33146</v>
      </c>
      <c r="F3049" s="171" t="s">
        <v>22763</v>
      </c>
      <c r="G3049" s="82"/>
      <c r="H3049" s="96">
        <f t="shared" si="188"/>
        <v>85.94</v>
      </c>
      <c r="I3049" s="96">
        <f t="shared" si="188"/>
        <v>90.54</v>
      </c>
      <c r="J3049" s="91" t="str">
        <f t="shared" si="189"/>
        <v>Sinapi 92013</v>
      </c>
      <c r="K3049" s="91" t="str">
        <f t="shared" si="190"/>
        <v>UN</v>
      </c>
      <c r="L3049" s="166" t="str">
        <f t="shared" si="191"/>
        <v>03/2023</v>
      </c>
      <c r="M3049" s="82"/>
      <c r="N3049" s="82"/>
    </row>
    <row r="3050" spans="1:14" x14ac:dyDescent="0.25">
      <c r="A3050" s="170" t="s">
        <v>5826</v>
      </c>
      <c r="B3050" s="170" t="s">
        <v>20319</v>
      </c>
      <c r="C3050" s="170" t="s">
        <v>205</v>
      </c>
      <c r="D3050" s="170" t="s">
        <v>2067</v>
      </c>
      <c r="E3050" s="171" t="s">
        <v>29025</v>
      </c>
      <c r="F3050" s="171" t="s">
        <v>24947</v>
      </c>
      <c r="G3050" s="82"/>
      <c r="H3050" s="96">
        <f t="shared" si="188"/>
        <v>56.39</v>
      </c>
      <c r="I3050" s="96">
        <f t="shared" si="188"/>
        <v>59.29</v>
      </c>
      <c r="J3050" s="91" t="str">
        <f t="shared" si="189"/>
        <v>Sinapi 92014</v>
      </c>
      <c r="K3050" s="91" t="str">
        <f t="shared" si="190"/>
        <v>UN</v>
      </c>
      <c r="L3050" s="166" t="str">
        <f t="shared" si="191"/>
        <v>03/2023</v>
      </c>
      <c r="M3050" s="82"/>
      <c r="N3050" s="82"/>
    </row>
    <row r="3051" spans="1:14" x14ac:dyDescent="0.25">
      <c r="A3051" s="170" t="s">
        <v>5827</v>
      </c>
      <c r="B3051" s="170" t="s">
        <v>20320</v>
      </c>
      <c r="C3051" s="170" t="s">
        <v>205</v>
      </c>
      <c r="D3051" s="170" t="s">
        <v>2067</v>
      </c>
      <c r="E3051" s="171" t="s">
        <v>33147</v>
      </c>
      <c r="F3051" s="171" t="s">
        <v>36407</v>
      </c>
      <c r="G3051" s="82"/>
      <c r="H3051" s="96">
        <f t="shared" si="188"/>
        <v>64.94</v>
      </c>
      <c r="I3051" s="96">
        <f t="shared" si="188"/>
        <v>67.84</v>
      </c>
      <c r="J3051" s="91" t="str">
        <f t="shared" si="189"/>
        <v>Sinapi 92015</v>
      </c>
      <c r="K3051" s="91" t="str">
        <f t="shared" si="190"/>
        <v>UN</v>
      </c>
      <c r="L3051" s="166" t="str">
        <f t="shared" si="191"/>
        <v>03/2023</v>
      </c>
      <c r="M3051" s="82"/>
      <c r="N3051" s="82"/>
    </row>
    <row r="3052" spans="1:14" x14ac:dyDescent="0.25">
      <c r="A3052" s="170" t="s">
        <v>5828</v>
      </c>
      <c r="B3052" s="170" t="s">
        <v>20321</v>
      </c>
      <c r="C3052" s="170" t="s">
        <v>205</v>
      </c>
      <c r="D3052" s="170" t="s">
        <v>2067</v>
      </c>
      <c r="E3052" s="171" t="s">
        <v>23035</v>
      </c>
      <c r="F3052" s="171" t="s">
        <v>36408</v>
      </c>
      <c r="G3052" s="82"/>
      <c r="H3052" s="96">
        <f t="shared" si="188"/>
        <v>67.66</v>
      </c>
      <c r="I3052" s="96">
        <f t="shared" si="188"/>
        <v>71.180000000000007</v>
      </c>
      <c r="J3052" s="91" t="str">
        <f t="shared" si="189"/>
        <v>Sinapi 92016</v>
      </c>
      <c r="K3052" s="91" t="str">
        <f t="shared" si="190"/>
        <v>UN</v>
      </c>
      <c r="L3052" s="166" t="str">
        <f t="shared" si="191"/>
        <v>03/2023</v>
      </c>
      <c r="M3052" s="82"/>
      <c r="N3052" s="82"/>
    </row>
    <row r="3053" spans="1:14" x14ac:dyDescent="0.25">
      <c r="A3053" s="170" t="s">
        <v>5829</v>
      </c>
      <c r="B3053" s="170" t="s">
        <v>20322</v>
      </c>
      <c r="C3053" s="170" t="s">
        <v>205</v>
      </c>
      <c r="D3053" s="170" t="s">
        <v>2067</v>
      </c>
      <c r="E3053" s="171" t="s">
        <v>33148</v>
      </c>
      <c r="F3053" s="171" t="s">
        <v>34489</v>
      </c>
      <c r="G3053" s="82"/>
      <c r="H3053" s="96">
        <f t="shared" si="188"/>
        <v>76.209999999999994</v>
      </c>
      <c r="I3053" s="96">
        <f t="shared" si="188"/>
        <v>79.73</v>
      </c>
      <c r="J3053" s="91" t="str">
        <f t="shared" si="189"/>
        <v>Sinapi 92017</v>
      </c>
      <c r="K3053" s="91" t="str">
        <f t="shared" si="190"/>
        <v>UN</v>
      </c>
      <c r="L3053" s="166" t="str">
        <f t="shared" si="191"/>
        <v>03/2023</v>
      </c>
      <c r="M3053" s="82"/>
      <c r="N3053" s="82"/>
    </row>
    <row r="3054" spans="1:14" x14ac:dyDescent="0.25">
      <c r="A3054" s="170" t="s">
        <v>5830</v>
      </c>
      <c r="B3054" s="170" t="s">
        <v>20323</v>
      </c>
      <c r="C3054" s="170" t="s">
        <v>205</v>
      </c>
      <c r="D3054" s="170" t="s">
        <v>2067</v>
      </c>
      <c r="E3054" s="171" t="s">
        <v>33149</v>
      </c>
      <c r="F3054" s="171" t="s">
        <v>29055</v>
      </c>
      <c r="G3054" s="82"/>
      <c r="H3054" s="96">
        <f t="shared" si="188"/>
        <v>74.760000000000005</v>
      </c>
      <c r="I3054" s="96">
        <f t="shared" si="188"/>
        <v>78.569999999999993</v>
      </c>
      <c r="J3054" s="91" t="str">
        <f t="shared" si="189"/>
        <v>Sinapi 92018</v>
      </c>
      <c r="K3054" s="91" t="str">
        <f t="shared" si="190"/>
        <v>UN</v>
      </c>
      <c r="L3054" s="166" t="str">
        <f t="shared" si="191"/>
        <v>03/2023</v>
      </c>
      <c r="M3054" s="82"/>
      <c r="N3054" s="82"/>
    </row>
    <row r="3055" spans="1:14" x14ac:dyDescent="0.25">
      <c r="A3055" s="170" t="s">
        <v>5831</v>
      </c>
      <c r="B3055" s="170" t="s">
        <v>20324</v>
      </c>
      <c r="C3055" s="170" t="s">
        <v>205</v>
      </c>
      <c r="D3055" s="170" t="s">
        <v>2067</v>
      </c>
      <c r="E3055" s="171" t="s">
        <v>21531</v>
      </c>
      <c r="F3055" s="171" t="s">
        <v>36409</v>
      </c>
      <c r="G3055" s="82"/>
      <c r="H3055" s="96">
        <f t="shared" si="188"/>
        <v>92.14</v>
      </c>
      <c r="I3055" s="96">
        <f t="shared" si="188"/>
        <v>96.67</v>
      </c>
      <c r="J3055" s="91" t="str">
        <f t="shared" si="189"/>
        <v>Sinapi 92019</v>
      </c>
      <c r="K3055" s="91" t="str">
        <f t="shared" si="190"/>
        <v>UN</v>
      </c>
      <c r="L3055" s="166" t="str">
        <f t="shared" si="191"/>
        <v>03/2023</v>
      </c>
      <c r="M3055" s="82"/>
      <c r="N3055" s="82"/>
    </row>
    <row r="3056" spans="1:14" x14ac:dyDescent="0.25">
      <c r="A3056" s="170" t="s">
        <v>5832</v>
      </c>
      <c r="B3056" s="170" t="s">
        <v>20325</v>
      </c>
      <c r="C3056" s="170" t="s">
        <v>205</v>
      </c>
      <c r="D3056" s="170" t="s">
        <v>2067</v>
      </c>
      <c r="E3056" s="171" t="s">
        <v>33150</v>
      </c>
      <c r="F3056" s="171" t="s">
        <v>36410</v>
      </c>
      <c r="G3056" s="82"/>
      <c r="H3056" s="96">
        <f t="shared" si="188"/>
        <v>110.76</v>
      </c>
      <c r="I3056" s="96">
        <f t="shared" si="188"/>
        <v>116.32</v>
      </c>
      <c r="J3056" s="91" t="str">
        <f t="shared" si="189"/>
        <v>Sinapi 92020</v>
      </c>
      <c r="K3056" s="91" t="str">
        <f t="shared" si="190"/>
        <v>UN</v>
      </c>
      <c r="L3056" s="166" t="str">
        <f t="shared" si="191"/>
        <v>03/2023</v>
      </c>
      <c r="M3056" s="82"/>
      <c r="N3056" s="82"/>
    </row>
    <row r="3057" spans="1:14" x14ac:dyDescent="0.25">
      <c r="A3057" s="170" t="s">
        <v>5833</v>
      </c>
      <c r="B3057" s="170" t="s">
        <v>20326</v>
      </c>
      <c r="C3057" s="170" t="s">
        <v>205</v>
      </c>
      <c r="D3057" s="170" t="s">
        <v>2067</v>
      </c>
      <c r="E3057" s="171" t="s">
        <v>33151</v>
      </c>
      <c r="F3057" s="171" t="s">
        <v>36411</v>
      </c>
      <c r="G3057" s="82"/>
      <c r="H3057" s="96">
        <f t="shared" si="188"/>
        <v>128.13999999999999</v>
      </c>
      <c r="I3057" s="96">
        <f t="shared" si="188"/>
        <v>134.41999999999999</v>
      </c>
      <c r="J3057" s="91" t="str">
        <f t="shared" si="189"/>
        <v>Sinapi 92021</v>
      </c>
      <c r="K3057" s="91" t="str">
        <f t="shared" si="190"/>
        <v>UN</v>
      </c>
      <c r="L3057" s="166" t="str">
        <f t="shared" si="191"/>
        <v>03/2023</v>
      </c>
      <c r="M3057" s="82"/>
      <c r="N3057" s="82"/>
    </row>
    <row r="3058" spans="1:14" x14ac:dyDescent="0.25">
      <c r="A3058" s="170" t="s">
        <v>5834</v>
      </c>
      <c r="B3058" s="170" t="s">
        <v>20327</v>
      </c>
      <c r="C3058" s="170" t="s">
        <v>205</v>
      </c>
      <c r="D3058" s="170" t="s">
        <v>2067</v>
      </c>
      <c r="E3058" s="171" t="s">
        <v>24833</v>
      </c>
      <c r="F3058" s="171" t="s">
        <v>27865</v>
      </c>
      <c r="G3058" s="82"/>
      <c r="H3058" s="96">
        <f t="shared" si="188"/>
        <v>40.06</v>
      </c>
      <c r="I3058" s="96">
        <f t="shared" si="188"/>
        <v>42.4</v>
      </c>
      <c r="J3058" s="91" t="str">
        <f t="shared" si="189"/>
        <v>Sinapi 92022</v>
      </c>
      <c r="K3058" s="91" t="str">
        <f t="shared" si="190"/>
        <v>UN</v>
      </c>
      <c r="L3058" s="166" t="str">
        <f t="shared" si="191"/>
        <v>03/2023</v>
      </c>
      <c r="M3058" s="82"/>
      <c r="N3058" s="82"/>
    </row>
    <row r="3059" spans="1:14" x14ac:dyDescent="0.25">
      <c r="A3059" s="170" t="s">
        <v>5835</v>
      </c>
      <c r="B3059" s="170" t="s">
        <v>20328</v>
      </c>
      <c r="C3059" s="170" t="s">
        <v>205</v>
      </c>
      <c r="D3059" s="170" t="s">
        <v>2067</v>
      </c>
      <c r="E3059" s="171" t="s">
        <v>29811</v>
      </c>
      <c r="F3059" s="171" t="s">
        <v>36412</v>
      </c>
      <c r="G3059" s="82"/>
      <c r="H3059" s="96">
        <f t="shared" si="188"/>
        <v>51.33</v>
      </c>
      <c r="I3059" s="96">
        <f t="shared" si="188"/>
        <v>54.29</v>
      </c>
      <c r="J3059" s="91" t="str">
        <f t="shared" si="189"/>
        <v>Sinapi 92023</v>
      </c>
      <c r="K3059" s="91" t="str">
        <f t="shared" si="190"/>
        <v>UN</v>
      </c>
      <c r="L3059" s="166" t="str">
        <f t="shared" si="191"/>
        <v>03/2023</v>
      </c>
      <c r="M3059" s="82"/>
      <c r="N3059" s="82"/>
    </row>
    <row r="3060" spans="1:14" x14ac:dyDescent="0.25">
      <c r="A3060" s="170" t="s">
        <v>5836</v>
      </c>
      <c r="B3060" s="170" t="s">
        <v>20329</v>
      </c>
      <c r="C3060" s="170" t="s">
        <v>205</v>
      </c>
      <c r="D3060" s="170" t="s">
        <v>2067</v>
      </c>
      <c r="E3060" s="171" t="s">
        <v>33152</v>
      </c>
      <c r="F3060" s="171" t="s">
        <v>22856</v>
      </c>
      <c r="G3060" s="82"/>
      <c r="H3060" s="96">
        <f t="shared" si="188"/>
        <v>61.24</v>
      </c>
      <c r="I3060" s="96">
        <f t="shared" si="188"/>
        <v>64.8</v>
      </c>
      <c r="J3060" s="91" t="str">
        <f t="shared" si="189"/>
        <v>Sinapi 92024</v>
      </c>
      <c r="K3060" s="91" t="str">
        <f t="shared" si="190"/>
        <v>UN</v>
      </c>
      <c r="L3060" s="166" t="str">
        <f t="shared" si="191"/>
        <v>03/2023</v>
      </c>
      <c r="M3060" s="82"/>
      <c r="N3060" s="82"/>
    </row>
    <row r="3061" spans="1:14" x14ac:dyDescent="0.25">
      <c r="A3061" s="170" t="s">
        <v>5837</v>
      </c>
      <c r="B3061" s="170" t="s">
        <v>20330</v>
      </c>
      <c r="C3061" s="170" t="s">
        <v>205</v>
      </c>
      <c r="D3061" s="170" t="s">
        <v>2067</v>
      </c>
      <c r="E3061" s="171" t="s">
        <v>33153</v>
      </c>
      <c r="F3061" s="171" t="s">
        <v>21991</v>
      </c>
      <c r="G3061" s="82"/>
      <c r="H3061" s="96">
        <f t="shared" si="188"/>
        <v>72.510000000000005</v>
      </c>
      <c r="I3061" s="96">
        <f t="shared" si="188"/>
        <v>76.69</v>
      </c>
      <c r="J3061" s="91" t="str">
        <f t="shared" si="189"/>
        <v>Sinapi 92025</v>
      </c>
      <c r="K3061" s="91" t="str">
        <f t="shared" si="190"/>
        <v>UN</v>
      </c>
      <c r="L3061" s="166" t="str">
        <f t="shared" si="191"/>
        <v>03/2023</v>
      </c>
      <c r="M3061" s="82"/>
      <c r="N3061" s="82"/>
    </row>
    <row r="3062" spans="1:14" x14ac:dyDescent="0.25">
      <c r="A3062" s="170" t="s">
        <v>5838</v>
      </c>
      <c r="B3062" s="170" t="s">
        <v>20331</v>
      </c>
      <c r="C3062" s="170" t="s">
        <v>205</v>
      </c>
      <c r="D3062" s="170" t="s">
        <v>2067</v>
      </c>
      <c r="E3062" s="171" t="s">
        <v>33154</v>
      </c>
      <c r="F3062" s="171" t="s">
        <v>29216</v>
      </c>
      <c r="G3062" s="82"/>
      <c r="H3062" s="96">
        <f t="shared" si="188"/>
        <v>56.34</v>
      </c>
      <c r="I3062" s="96">
        <f t="shared" si="188"/>
        <v>59.51</v>
      </c>
      <c r="J3062" s="91" t="str">
        <f t="shared" si="189"/>
        <v>Sinapi 92026</v>
      </c>
      <c r="K3062" s="91" t="str">
        <f t="shared" si="190"/>
        <v>UN</v>
      </c>
      <c r="L3062" s="166" t="str">
        <f t="shared" si="191"/>
        <v>03/2023</v>
      </c>
      <c r="M3062" s="82"/>
      <c r="N3062" s="82"/>
    </row>
    <row r="3063" spans="1:14" x14ac:dyDescent="0.25">
      <c r="A3063" s="170" t="s">
        <v>5839</v>
      </c>
      <c r="B3063" s="170" t="s">
        <v>20332</v>
      </c>
      <c r="C3063" s="170" t="s">
        <v>205</v>
      </c>
      <c r="D3063" s="170" t="s">
        <v>2067</v>
      </c>
      <c r="E3063" s="171" t="s">
        <v>28758</v>
      </c>
      <c r="F3063" s="171" t="s">
        <v>21966</v>
      </c>
      <c r="G3063" s="82"/>
      <c r="H3063" s="96">
        <f t="shared" si="188"/>
        <v>67.61</v>
      </c>
      <c r="I3063" s="96">
        <f t="shared" si="188"/>
        <v>71.400000000000006</v>
      </c>
      <c r="J3063" s="91" t="str">
        <f t="shared" si="189"/>
        <v>Sinapi 92027</v>
      </c>
      <c r="K3063" s="91" t="str">
        <f t="shared" si="190"/>
        <v>UN</v>
      </c>
      <c r="L3063" s="166" t="str">
        <f t="shared" si="191"/>
        <v>03/2023</v>
      </c>
      <c r="M3063" s="82"/>
      <c r="N3063" s="82"/>
    </row>
    <row r="3064" spans="1:14" x14ac:dyDescent="0.25">
      <c r="A3064" s="170" t="s">
        <v>5840</v>
      </c>
      <c r="B3064" s="170" t="s">
        <v>20333</v>
      </c>
      <c r="C3064" s="170" t="s">
        <v>205</v>
      </c>
      <c r="D3064" s="170" t="s">
        <v>2067</v>
      </c>
      <c r="E3064" s="171" t="s">
        <v>33155</v>
      </c>
      <c r="F3064" s="171" t="s">
        <v>36413</v>
      </c>
      <c r="G3064" s="82"/>
      <c r="H3064" s="96">
        <f t="shared" si="188"/>
        <v>46.47</v>
      </c>
      <c r="I3064" s="96">
        <f t="shared" si="188"/>
        <v>49.23</v>
      </c>
      <c r="J3064" s="91" t="str">
        <f t="shared" si="189"/>
        <v>Sinapi 92028</v>
      </c>
      <c r="K3064" s="91" t="str">
        <f t="shared" si="190"/>
        <v>UN</v>
      </c>
      <c r="L3064" s="166" t="str">
        <f t="shared" si="191"/>
        <v>03/2023</v>
      </c>
      <c r="M3064" s="82"/>
      <c r="N3064" s="82"/>
    </row>
    <row r="3065" spans="1:14" x14ac:dyDescent="0.25">
      <c r="A3065" s="170" t="s">
        <v>5841</v>
      </c>
      <c r="B3065" s="170" t="s">
        <v>20334</v>
      </c>
      <c r="C3065" s="170" t="s">
        <v>205</v>
      </c>
      <c r="D3065" s="170" t="s">
        <v>2067</v>
      </c>
      <c r="E3065" s="171" t="s">
        <v>33156</v>
      </c>
      <c r="F3065" s="171" t="s">
        <v>36414</v>
      </c>
      <c r="G3065" s="82"/>
      <c r="H3065" s="96">
        <f t="shared" si="188"/>
        <v>57.74</v>
      </c>
      <c r="I3065" s="96">
        <f t="shared" si="188"/>
        <v>61.12</v>
      </c>
      <c r="J3065" s="91" t="str">
        <f t="shared" si="189"/>
        <v>Sinapi 92029</v>
      </c>
      <c r="K3065" s="91" t="str">
        <f t="shared" si="190"/>
        <v>UN</v>
      </c>
      <c r="L3065" s="166" t="str">
        <f t="shared" si="191"/>
        <v>03/2023</v>
      </c>
      <c r="M3065" s="82"/>
      <c r="N3065" s="82"/>
    </row>
    <row r="3066" spans="1:14" x14ac:dyDescent="0.25">
      <c r="A3066" s="170" t="s">
        <v>5842</v>
      </c>
      <c r="B3066" s="170" t="s">
        <v>20335</v>
      </c>
      <c r="C3066" s="170" t="s">
        <v>205</v>
      </c>
      <c r="D3066" s="170" t="s">
        <v>2067</v>
      </c>
      <c r="E3066" s="171" t="s">
        <v>33157</v>
      </c>
      <c r="F3066" s="171" t="s">
        <v>28590</v>
      </c>
      <c r="G3066" s="82"/>
      <c r="H3066" s="96">
        <f t="shared" si="188"/>
        <v>67.599999999999994</v>
      </c>
      <c r="I3066" s="96">
        <f t="shared" si="188"/>
        <v>71.58</v>
      </c>
      <c r="J3066" s="91" t="str">
        <f t="shared" si="189"/>
        <v>Sinapi 92030</v>
      </c>
      <c r="K3066" s="91" t="str">
        <f t="shared" si="190"/>
        <v>UN</v>
      </c>
      <c r="L3066" s="166" t="str">
        <f t="shared" si="191"/>
        <v>03/2023</v>
      </c>
      <c r="M3066" s="82"/>
      <c r="N3066" s="82"/>
    </row>
    <row r="3067" spans="1:14" x14ac:dyDescent="0.25">
      <c r="A3067" s="170" t="s">
        <v>5843</v>
      </c>
      <c r="B3067" s="170" t="s">
        <v>20336</v>
      </c>
      <c r="C3067" s="170" t="s">
        <v>205</v>
      </c>
      <c r="D3067" s="170" t="s">
        <v>2067</v>
      </c>
      <c r="E3067" s="171" t="s">
        <v>29452</v>
      </c>
      <c r="F3067" s="171" t="s">
        <v>31489</v>
      </c>
      <c r="G3067" s="82"/>
      <c r="H3067" s="96">
        <f t="shared" si="188"/>
        <v>78.87</v>
      </c>
      <c r="I3067" s="96">
        <f t="shared" si="188"/>
        <v>83.47</v>
      </c>
      <c r="J3067" s="91" t="str">
        <f t="shared" si="189"/>
        <v>Sinapi 92031</v>
      </c>
      <c r="K3067" s="91" t="str">
        <f t="shared" si="190"/>
        <v>UN</v>
      </c>
      <c r="L3067" s="166" t="str">
        <f t="shared" si="191"/>
        <v>03/2023</v>
      </c>
      <c r="M3067" s="82"/>
      <c r="N3067" s="82"/>
    </row>
    <row r="3068" spans="1:14" x14ac:dyDescent="0.25">
      <c r="A3068" s="170" t="s">
        <v>5844</v>
      </c>
      <c r="B3068" s="170" t="s">
        <v>20337</v>
      </c>
      <c r="C3068" s="170" t="s">
        <v>205</v>
      </c>
      <c r="D3068" s="170" t="s">
        <v>2067</v>
      </c>
      <c r="E3068" s="171" t="s">
        <v>22977</v>
      </c>
      <c r="F3068" s="171" t="s">
        <v>28329</v>
      </c>
      <c r="G3068" s="82"/>
      <c r="H3068" s="96">
        <f t="shared" si="188"/>
        <v>69.08</v>
      </c>
      <c r="I3068" s="96">
        <f t="shared" si="188"/>
        <v>73.06</v>
      </c>
      <c r="J3068" s="91" t="str">
        <f t="shared" si="189"/>
        <v>Sinapi 92032</v>
      </c>
      <c r="K3068" s="91" t="str">
        <f t="shared" si="190"/>
        <v>UN</v>
      </c>
      <c r="L3068" s="166" t="str">
        <f t="shared" si="191"/>
        <v>03/2023</v>
      </c>
      <c r="M3068" s="82"/>
      <c r="N3068" s="82"/>
    </row>
    <row r="3069" spans="1:14" x14ac:dyDescent="0.25">
      <c r="A3069" s="170" t="s">
        <v>5845</v>
      </c>
      <c r="B3069" s="170" t="s">
        <v>20338</v>
      </c>
      <c r="C3069" s="170" t="s">
        <v>205</v>
      </c>
      <c r="D3069" s="170" t="s">
        <v>2067</v>
      </c>
      <c r="E3069" s="171" t="s">
        <v>23269</v>
      </c>
      <c r="F3069" s="171" t="s">
        <v>36415</v>
      </c>
      <c r="G3069" s="82"/>
      <c r="H3069" s="96">
        <f t="shared" si="188"/>
        <v>80.349999999999994</v>
      </c>
      <c r="I3069" s="96">
        <f t="shared" si="188"/>
        <v>84.95</v>
      </c>
      <c r="J3069" s="91" t="str">
        <f t="shared" si="189"/>
        <v>Sinapi 92033</v>
      </c>
      <c r="K3069" s="91" t="str">
        <f t="shared" si="190"/>
        <v>UN</v>
      </c>
      <c r="L3069" s="166" t="str">
        <f t="shared" si="191"/>
        <v>03/2023</v>
      </c>
      <c r="M3069" s="82"/>
      <c r="N3069" s="82"/>
    </row>
    <row r="3070" spans="1:14" x14ac:dyDescent="0.25">
      <c r="A3070" s="170" t="s">
        <v>5846</v>
      </c>
      <c r="B3070" s="170" t="s">
        <v>20339</v>
      </c>
      <c r="C3070" s="170" t="s">
        <v>205</v>
      </c>
      <c r="D3070" s="170" t="s">
        <v>2067</v>
      </c>
      <c r="E3070" s="171" t="s">
        <v>29214</v>
      </c>
      <c r="F3070" s="171" t="s">
        <v>36416</v>
      </c>
      <c r="G3070" s="82"/>
      <c r="H3070" s="96">
        <f t="shared" si="188"/>
        <v>62.72</v>
      </c>
      <c r="I3070" s="96">
        <f t="shared" si="188"/>
        <v>66.28</v>
      </c>
      <c r="J3070" s="91" t="str">
        <f t="shared" si="189"/>
        <v>Sinapi 92034</v>
      </c>
      <c r="K3070" s="91" t="str">
        <f t="shared" si="190"/>
        <v>UN</v>
      </c>
      <c r="L3070" s="166" t="str">
        <f t="shared" si="191"/>
        <v>03/2023</v>
      </c>
      <c r="M3070" s="82"/>
      <c r="N3070" s="82"/>
    </row>
    <row r="3071" spans="1:14" x14ac:dyDescent="0.25">
      <c r="A3071" s="170" t="s">
        <v>5847</v>
      </c>
      <c r="B3071" s="170" t="s">
        <v>20340</v>
      </c>
      <c r="C3071" s="170" t="s">
        <v>205</v>
      </c>
      <c r="D3071" s="170" t="s">
        <v>2067</v>
      </c>
      <c r="E3071" s="171" t="s">
        <v>22816</v>
      </c>
      <c r="F3071" s="171" t="s">
        <v>36417</v>
      </c>
      <c r="G3071" s="82"/>
      <c r="H3071" s="96">
        <f t="shared" si="188"/>
        <v>73.989999999999995</v>
      </c>
      <c r="I3071" s="96">
        <f t="shared" si="188"/>
        <v>78.17</v>
      </c>
      <c r="J3071" s="91" t="str">
        <f t="shared" si="189"/>
        <v>Sinapi 92035</v>
      </c>
      <c r="K3071" s="91" t="str">
        <f t="shared" si="190"/>
        <v>UN</v>
      </c>
      <c r="L3071" s="166" t="str">
        <f t="shared" si="191"/>
        <v>03/2023</v>
      </c>
      <c r="M3071" s="82"/>
      <c r="N3071" s="82"/>
    </row>
    <row r="3072" spans="1:14" x14ac:dyDescent="0.25">
      <c r="A3072" s="170" t="s">
        <v>5848</v>
      </c>
      <c r="B3072" s="170" t="s">
        <v>5849</v>
      </c>
      <c r="C3072" s="170" t="s">
        <v>205</v>
      </c>
      <c r="D3072" s="170" t="s">
        <v>1947</v>
      </c>
      <c r="E3072" s="171" t="s">
        <v>33158</v>
      </c>
      <c r="F3072" s="171" t="s">
        <v>36418</v>
      </c>
      <c r="G3072" s="82"/>
      <c r="H3072" s="96">
        <f t="shared" si="188"/>
        <v>85.14</v>
      </c>
      <c r="I3072" s="96">
        <f t="shared" si="188"/>
        <v>86.49</v>
      </c>
      <c r="J3072" s="91" t="str">
        <f t="shared" si="189"/>
        <v>Sinapi 97583</v>
      </c>
      <c r="K3072" s="91" t="str">
        <f t="shared" si="190"/>
        <v>UN</v>
      </c>
      <c r="L3072" s="166" t="str">
        <f t="shared" si="191"/>
        <v>02/2020</v>
      </c>
      <c r="M3072" s="82"/>
      <c r="N3072" s="82"/>
    </row>
    <row r="3073" spans="1:14" x14ac:dyDescent="0.25">
      <c r="A3073" s="170" t="s">
        <v>5850</v>
      </c>
      <c r="B3073" s="170" t="s">
        <v>5851</v>
      </c>
      <c r="C3073" s="170" t="s">
        <v>205</v>
      </c>
      <c r="D3073" s="170" t="s">
        <v>1947</v>
      </c>
      <c r="E3073" s="171" t="s">
        <v>29222</v>
      </c>
      <c r="F3073" s="171" t="s">
        <v>36419</v>
      </c>
      <c r="G3073" s="82"/>
      <c r="H3073" s="96">
        <f t="shared" si="188"/>
        <v>120.05</v>
      </c>
      <c r="I3073" s="96">
        <f t="shared" si="188"/>
        <v>121.4</v>
      </c>
      <c r="J3073" s="91" t="str">
        <f t="shared" si="189"/>
        <v>Sinapi 97584</v>
      </c>
      <c r="K3073" s="91" t="str">
        <f t="shared" si="190"/>
        <v>UN</v>
      </c>
      <c r="L3073" s="166" t="str">
        <f t="shared" si="191"/>
        <v>02/2020</v>
      </c>
      <c r="M3073" s="82"/>
      <c r="N3073" s="82"/>
    </row>
    <row r="3074" spans="1:14" x14ac:dyDescent="0.25">
      <c r="A3074" s="170" t="s">
        <v>5852</v>
      </c>
      <c r="B3074" s="170" t="s">
        <v>5853</v>
      </c>
      <c r="C3074" s="170" t="s">
        <v>205</v>
      </c>
      <c r="D3074" s="170" t="s">
        <v>1947</v>
      </c>
      <c r="E3074" s="171" t="s">
        <v>33159</v>
      </c>
      <c r="F3074" s="171" t="s">
        <v>23300</v>
      </c>
      <c r="G3074" s="82"/>
      <c r="H3074" s="96">
        <f t="shared" si="188"/>
        <v>115.08</v>
      </c>
      <c r="I3074" s="96">
        <f t="shared" si="188"/>
        <v>116.61</v>
      </c>
      <c r="J3074" s="91" t="str">
        <f t="shared" si="189"/>
        <v>Sinapi 97585</v>
      </c>
      <c r="K3074" s="91" t="str">
        <f t="shared" si="190"/>
        <v>UN</v>
      </c>
      <c r="L3074" s="166" t="str">
        <f t="shared" si="191"/>
        <v>02/2020</v>
      </c>
      <c r="M3074" s="82"/>
      <c r="N3074" s="82"/>
    </row>
    <row r="3075" spans="1:14" x14ac:dyDescent="0.25">
      <c r="A3075" s="170" t="s">
        <v>5854</v>
      </c>
      <c r="B3075" s="170" t="s">
        <v>5855</v>
      </c>
      <c r="C3075" s="170" t="s">
        <v>205</v>
      </c>
      <c r="D3075" s="170" t="s">
        <v>1947</v>
      </c>
      <c r="E3075" s="171" t="s">
        <v>33160</v>
      </c>
      <c r="F3075" s="171" t="s">
        <v>36420</v>
      </c>
      <c r="G3075" s="82"/>
      <c r="H3075" s="96">
        <f t="shared" si="188"/>
        <v>157.24</v>
      </c>
      <c r="I3075" s="96">
        <f t="shared" si="188"/>
        <v>158.77000000000001</v>
      </c>
      <c r="J3075" s="91" t="str">
        <f t="shared" si="189"/>
        <v>Sinapi 97586</v>
      </c>
      <c r="K3075" s="91" t="str">
        <f t="shared" si="190"/>
        <v>UN</v>
      </c>
      <c r="L3075" s="166" t="str">
        <f t="shared" si="191"/>
        <v>02/2020</v>
      </c>
      <c r="M3075" s="82"/>
      <c r="N3075" s="82"/>
    </row>
    <row r="3076" spans="1:14" x14ac:dyDescent="0.25">
      <c r="A3076" s="170" t="s">
        <v>5856</v>
      </c>
      <c r="B3076" s="170" t="s">
        <v>5857</v>
      </c>
      <c r="C3076" s="170" t="s">
        <v>205</v>
      </c>
      <c r="D3076" s="170" t="s">
        <v>1947</v>
      </c>
      <c r="E3076" s="171" t="s">
        <v>33161</v>
      </c>
      <c r="F3076" s="171" t="s">
        <v>36421</v>
      </c>
      <c r="G3076" s="82"/>
      <c r="H3076" s="96">
        <f t="shared" si="188"/>
        <v>289.5</v>
      </c>
      <c r="I3076" s="96">
        <f t="shared" si="188"/>
        <v>290.82</v>
      </c>
      <c r="J3076" s="91" t="str">
        <f t="shared" si="189"/>
        <v>Sinapi 97587</v>
      </c>
      <c r="K3076" s="91" t="str">
        <f t="shared" si="190"/>
        <v>UN</v>
      </c>
      <c r="L3076" s="166" t="str">
        <f t="shared" si="191"/>
        <v>02/2020</v>
      </c>
      <c r="M3076" s="82"/>
      <c r="N3076" s="82"/>
    </row>
    <row r="3077" spans="1:14" x14ac:dyDescent="0.25">
      <c r="A3077" s="170" t="s">
        <v>5858</v>
      </c>
      <c r="B3077" s="170" t="s">
        <v>5859</v>
      </c>
      <c r="C3077" s="170" t="s">
        <v>205</v>
      </c>
      <c r="D3077" s="170" t="s">
        <v>1947</v>
      </c>
      <c r="E3077" s="171" t="s">
        <v>22012</v>
      </c>
      <c r="F3077" s="171" t="s">
        <v>29246</v>
      </c>
      <c r="G3077" s="82"/>
      <c r="H3077" s="96">
        <f t="shared" si="188"/>
        <v>39.03</v>
      </c>
      <c r="I3077" s="96">
        <f t="shared" si="188"/>
        <v>41</v>
      </c>
      <c r="J3077" s="91" t="str">
        <f t="shared" si="189"/>
        <v>Sinapi 97589</v>
      </c>
      <c r="K3077" s="91" t="str">
        <f t="shared" si="190"/>
        <v>UN</v>
      </c>
      <c r="L3077" s="166" t="str">
        <f t="shared" si="191"/>
        <v>02/2020</v>
      </c>
      <c r="M3077" s="82"/>
      <c r="N3077" s="82"/>
    </row>
    <row r="3078" spans="1:14" x14ac:dyDescent="0.25">
      <c r="A3078" s="170" t="s">
        <v>5860</v>
      </c>
      <c r="B3078" s="170" t="s">
        <v>5861</v>
      </c>
      <c r="C3078" s="170" t="s">
        <v>205</v>
      </c>
      <c r="D3078" s="170" t="s">
        <v>1947</v>
      </c>
      <c r="E3078" s="171" t="s">
        <v>33162</v>
      </c>
      <c r="F3078" s="171" t="s">
        <v>36422</v>
      </c>
      <c r="G3078" s="82"/>
      <c r="H3078" s="96">
        <f t="shared" si="188"/>
        <v>97.27</v>
      </c>
      <c r="I3078" s="96">
        <f t="shared" si="188"/>
        <v>99.24</v>
      </c>
      <c r="J3078" s="91" t="str">
        <f t="shared" si="189"/>
        <v>Sinapi 97590</v>
      </c>
      <c r="K3078" s="91" t="str">
        <f t="shared" si="190"/>
        <v>UN</v>
      </c>
      <c r="L3078" s="166" t="str">
        <f t="shared" si="191"/>
        <v>02/2020</v>
      </c>
      <c r="M3078" s="82"/>
      <c r="N3078" s="82"/>
    </row>
    <row r="3079" spans="1:14" x14ac:dyDescent="0.25">
      <c r="A3079" s="170" t="s">
        <v>5862</v>
      </c>
      <c r="B3079" s="170" t="s">
        <v>5863</v>
      </c>
      <c r="C3079" s="170" t="s">
        <v>205</v>
      </c>
      <c r="D3079" s="170" t="s">
        <v>1947</v>
      </c>
      <c r="E3079" s="171" t="s">
        <v>33163</v>
      </c>
      <c r="F3079" s="171" t="s">
        <v>36423</v>
      </c>
      <c r="G3079" s="82"/>
      <c r="H3079" s="96">
        <f t="shared" si="188"/>
        <v>127.49</v>
      </c>
      <c r="I3079" s="96">
        <f t="shared" si="188"/>
        <v>130.04</v>
      </c>
      <c r="J3079" s="91" t="str">
        <f t="shared" si="189"/>
        <v>Sinapi 97591</v>
      </c>
      <c r="K3079" s="91" t="str">
        <f t="shared" si="190"/>
        <v>UN</v>
      </c>
      <c r="L3079" s="166" t="str">
        <f t="shared" si="191"/>
        <v>02/2020</v>
      </c>
      <c r="M3079" s="82"/>
      <c r="N3079" s="82"/>
    </row>
    <row r="3080" spans="1:14" x14ac:dyDescent="0.25">
      <c r="A3080" s="170" t="s">
        <v>5864</v>
      </c>
      <c r="B3080" s="170" t="s">
        <v>5865</v>
      </c>
      <c r="C3080" s="170" t="s">
        <v>205</v>
      </c>
      <c r="D3080" s="170" t="s">
        <v>1947</v>
      </c>
      <c r="E3080" s="171" t="s">
        <v>23249</v>
      </c>
      <c r="F3080" s="171" t="s">
        <v>36424</v>
      </c>
      <c r="G3080" s="82"/>
      <c r="H3080" s="96">
        <f t="shared" ref="H3080:I3143" si="192">IF(E3080="","",E3080+0)</f>
        <v>142.49</v>
      </c>
      <c r="I3080" s="96">
        <f t="shared" si="192"/>
        <v>144.13999999999999</v>
      </c>
      <c r="J3080" s="91" t="str">
        <f t="shared" ref="J3080:J3143" si="193">IF(OR(H3080="",I3080=""),"",TRIM(CONCATENATE("Sinapi ",A3080)))</f>
        <v>Sinapi 97593</v>
      </c>
      <c r="K3080" s="91" t="str">
        <f t="shared" ref="K3080:K3143" si="194">TRIM(C3080)</f>
        <v>UN</v>
      </c>
      <c r="L3080" s="166" t="str">
        <f t="shared" ref="L3080:L3143" si="195">IF(OR(RIGHT(IF(AND(K3080&lt;&gt;"H",K3080&lt;&gt;"MES"),RIGHT(B3080,7),""),2)="PS",RIGHT(IF(AND(K3080&lt;&gt;"H",K3080&lt;&gt;"MES"),RIGHT(B3080,7),""),2)="PA",RIGHT(IF(AND(K3080&lt;&gt;"H",K3080&lt;&gt;"MES"),RIGHT(B3080,7),""),2)="PE"),LEFT(IF(AND(K3080&lt;&gt;"H",K3080&lt;&gt;"MES"),RIGHT(B3080,10),""),7),IF(AND(K3080&lt;&gt;"H",K3080&lt;&gt;"MES"),RIGHT(B3080,7),""))</f>
        <v>02/2020</v>
      </c>
      <c r="M3080" s="82"/>
      <c r="N3080" s="82"/>
    </row>
    <row r="3081" spans="1:14" x14ac:dyDescent="0.25">
      <c r="A3081" s="170" t="s">
        <v>5866</v>
      </c>
      <c r="B3081" s="170" t="s">
        <v>5867</v>
      </c>
      <c r="C3081" s="170" t="s">
        <v>205</v>
      </c>
      <c r="D3081" s="170" t="s">
        <v>1947</v>
      </c>
      <c r="E3081" s="171" t="s">
        <v>33164</v>
      </c>
      <c r="F3081" s="171" t="s">
        <v>21718</v>
      </c>
      <c r="G3081" s="82"/>
      <c r="H3081" s="96">
        <f t="shared" si="192"/>
        <v>128.78</v>
      </c>
      <c r="I3081" s="96">
        <f t="shared" si="192"/>
        <v>130.93</v>
      </c>
      <c r="J3081" s="91" t="str">
        <f t="shared" si="193"/>
        <v>Sinapi 97594</v>
      </c>
      <c r="K3081" s="91" t="str">
        <f t="shared" si="194"/>
        <v>UN</v>
      </c>
      <c r="L3081" s="166" t="str">
        <f t="shared" si="195"/>
        <v>02/2020</v>
      </c>
      <c r="M3081" s="82"/>
      <c r="N3081" s="82"/>
    </row>
    <row r="3082" spans="1:14" x14ac:dyDescent="0.25">
      <c r="A3082" s="170" t="s">
        <v>5868</v>
      </c>
      <c r="B3082" s="170" t="s">
        <v>5869</v>
      </c>
      <c r="C3082" s="170" t="s">
        <v>205</v>
      </c>
      <c r="D3082" s="170" t="s">
        <v>1947</v>
      </c>
      <c r="E3082" s="171" t="s">
        <v>28449</v>
      </c>
      <c r="F3082" s="171" t="s">
        <v>21372</v>
      </c>
      <c r="G3082" s="82"/>
      <c r="H3082" s="96">
        <f t="shared" si="192"/>
        <v>100.63</v>
      </c>
      <c r="I3082" s="96">
        <f t="shared" si="192"/>
        <v>102.71</v>
      </c>
      <c r="J3082" s="91" t="str">
        <f t="shared" si="193"/>
        <v>Sinapi 97595</v>
      </c>
      <c r="K3082" s="91" t="str">
        <f t="shared" si="194"/>
        <v>UN</v>
      </c>
      <c r="L3082" s="166" t="str">
        <f t="shared" si="195"/>
        <v>02/2020</v>
      </c>
      <c r="M3082" s="82"/>
      <c r="N3082" s="82"/>
    </row>
    <row r="3083" spans="1:14" x14ac:dyDescent="0.25">
      <c r="A3083" s="170" t="s">
        <v>5870</v>
      </c>
      <c r="B3083" s="170" t="s">
        <v>5871</v>
      </c>
      <c r="C3083" s="170" t="s">
        <v>205</v>
      </c>
      <c r="D3083" s="170" t="s">
        <v>1947</v>
      </c>
      <c r="E3083" s="171" t="s">
        <v>21369</v>
      </c>
      <c r="F3083" s="171" t="s">
        <v>29356</v>
      </c>
      <c r="G3083" s="82"/>
      <c r="H3083" s="96">
        <f t="shared" si="192"/>
        <v>69.16</v>
      </c>
      <c r="I3083" s="96">
        <f t="shared" si="192"/>
        <v>71.239999999999995</v>
      </c>
      <c r="J3083" s="91" t="str">
        <f t="shared" si="193"/>
        <v>Sinapi 97596</v>
      </c>
      <c r="K3083" s="91" t="str">
        <f t="shared" si="194"/>
        <v>UN</v>
      </c>
      <c r="L3083" s="166" t="str">
        <f t="shared" si="195"/>
        <v>02/2020</v>
      </c>
      <c r="M3083" s="82"/>
      <c r="N3083" s="82"/>
    </row>
    <row r="3084" spans="1:14" x14ac:dyDescent="0.25">
      <c r="A3084" s="170" t="s">
        <v>5872</v>
      </c>
      <c r="B3084" s="170" t="s">
        <v>5873</v>
      </c>
      <c r="C3084" s="170" t="s">
        <v>205</v>
      </c>
      <c r="D3084" s="170" t="s">
        <v>1947</v>
      </c>
      <c r="E3084" s="171" t="s">
        <v>22025</v>
      </c>
      <c r="F3084" s="171" t="s">
        <v>36425</v>
      </c>
      <c r="G3084" s="82"/>
      <c r="H3084" s="96">
        <f t="shared" si="192"/>
        <v>69.489999999999995</v>
      </c>
      <c r="I3084" s="96">
        <f t="shared" si="192"/>
        <v>70.87</v>
      </c>
      <c r="J3084" s="91" t="str">
        <f t="shared" si="193"/>
        <v>Sinapi 97597</v>
      </c>
      <c r="K3084" s="91" t="str">
        <f t="shared" si="194"/>
        <v>UN</v>
      </c>
      <c r="L3084" s="166" t="str">
        <f t="shared" si="195"/>
        <v>02/2020</v>
      </c>
      <c r="M3084" s="82"/>
      <c r="N3084" s="82"/>
    </row>
    <row r="3085" spans="1:14" x14ac:dyDescent="0.25">
      <c r="A3085" s="170" t="s">
        <v>5874</v>
      </c>
      <c r="B3085" s="170" t="s">
        <v>5875</v>
      </c>
      <c r="C3085" s="170" t="s">
        <v>205</v>
      </c>
      <c r="D3085" s="170" t="s">
        <v>1947</v>
      </c>
      <c r="E3085" s="171" t="s">
        <v>33165</v>
      </c>
      <c r="F3085" s="171" t="s">
        <v>31580</v>
      </c>
      <c r="G3085" s="82"/>
      <c r="H3085" s="96">
        <f t="shared" si="192"/>
        <v>65.47</v>
      </c>
      <c r="I3085" s="96">
        <f t="shared" si="192"/>
        <v>66.849999999999994</v>
      </c>
      <c r="J3085" s="91" t="str">
        <f t="shared" si="193"/>
        <v>Sinapi 97598</v>
      </c>
      <c r="K3085" s="91" t="str">
        <f t="shared" si="194"/>
        <v>UN</v>
      </c>
      <c r="L3085" s="166" t="str">
        <f t="shared" si="195"/>
        <v>02/2020</v>
      </c>
      <c r="M3085" s="82"/>
      <c r="N3085" s="82"/>
    </row>
    <row r="3086" spans="1:14" x14ac:dyDescent="0.25">
      <c r="A3086" s="170" t="s">
        <v>5876</v>
      </c>
      <c r="B3086" s="170" t="s">
        <v>5877</v>
      </c>
      <c r="C3086" s="170" t="s">
        <v>205</v>
      </c>
      <c r="D3086" s="170" t="s">
        <v>2067</v>
      </c>
      <c r="E3086" s="171" t="s">
        <v>33166</v>
      </c>
      <c r="F3086" s="171" t="s">
        <v>23030</v>
      </c>
      <c r="G3086" s="82"/>
      <c r="H3086" s="96">
        <f t="shared" si="192"/>
        <v>26.69</v>
      </c>
      <c r="I3086" s="96">
        <f t="shared" si="192"/>
        <v>27.35</v>
      </c>
      <c r="J3086" s="91" t="str">
        <f t="shared" si="193"/>
        <v>Sinapi 97599</v>
      </c>
      <c r="K3086" s="91" t="str">
        <f t="shared" si="194"/>
        <v>UN</v>
      </c>
      <c r="L3086" s="166" t="str">
        <f t="shared" si="195"/>
        <v>02/2020</v>
      </c>
      <c r="M3086" s="82"/>
      <c r="N3086" s="82"/>
    </row>
    <row r="3087" spans="1:14" x14ac:dyDescent="0.25">
      <c r="A3087" s="170" t="s">
        <v>5878</v>
      </c>
      <c r="B3087" s="170" t="s">
        <v>5879</v>
      </c>
      <c r="C3087" s="170" t="s">
        <v>205</v>
      </c>
      <c r="D3087" s="170" t="s">
        <v>2067</v>
      </c>
      <c r="E3087" s="171" t="s">
        <v>16393</v>
      </c>
      <c r="F3087" s="171" t="s">
        <v>15539</v>
      </c>
      <c r="G3087" s="82"/>
      <c r="H3087" s="96">
        <f t="shared" si="192"/>
        <v>16.36</v>
      </c>
      <c r="I3087" s="96">
        <f t="shared" si="192"/>
        <v>16.97</v>
      </c>
      <c r="J3087" s="91" t="str">
        <f t="shared" si="193"/>
        <v>Sinapi 97609</v>
      </c>
      <c r="K3087" s="91" t="str">
        <f t="shared" si="194"/>
        <v>UN</v>
      </c>
      <c r="L3087" s="166" t="str">
        <f t="shared" si="195"/>
        <v>02/2020</v>
      </c>
      <c r="M3087" s="82"/>
      <c r="N3087" s="82"/>
    </row>
    <row r="3088" spans="1:14" x14ac:dyDescent="0.25">
      <c r="A3088" s="170" t="s">
        <v>5880</v>
      </c>
      <c r="B3088" s="170" t="s">
        <v>5881</v>
      </c>
      <c r="C3088" s="170" t="s">
        <v>205</v>
      </c>
      <c r="D3088" s="170" t="s">
        <v>2067</v>
      </c>
      <c r="E3088" s="171" t="s">
        <v>20487</v>
      </c>
      <c r="F3088" s="171" t="s">
        <v>28658</v>
      </c>
      <c r="G3088" s="82"/>
      <c r="H3088" s="96">
        <f t="shared" si="192"/>
        <v>17.45</v>
      </c>
      <c r="I3088" s="96">
        <f t="shared" si="192"/>
        <v>18.059999999999999</v>
      </c>
      <c r="J3088" s="91" t="str">
        <f t="shared" si="193"/>
        <v>Sinapi 97610</v>
      </c>
      <c r="K3088" s="91" t="str">
        <f t="shared" si="194"/>
        <v>UN</v>
      </c>
      <c r="L3088" s="166" t="str">
        <f t="shared" si="195"/>
        <v>02/2020</v>
      </c>
      <c r="M3088" s="82"/>
      <c r="N3088" s="82"/>
    </row>
    <row r="3089" spans="1:14" x14ac:dyDescent="0.25">
      <c r="A3089" s="170" t="s">
        <v>5882</v>
      </c>
      <c r="B3089" s="170" t="s">
        <v>5883</v>
      </c>
      <c r="C3089" s="170" t="s">
        <v>205</v>
      </c>
      <c r="D3089" s="170" t="s">
        <v>1947</v>
      </c>
      <c r="E3089" s="171" t="s">
        <v>19975</v>
      </c>
      <c r="F3089" s="171" t="s">
        <v>21632</v>
      </c>
      <c r="G3089" s="82"/>
      <c r="H3089" s="96">
        <f t="shared" si="192"/>
        <v>24.01</v>
      </c>
      <c r="I3089" s="96">
        <f t="shared" si="192"/>
        <v>24.62</v>
      </c>
      <c r="J3089" s="91" t="str">
        <f t="shared" si="193"/>
        <v>Sinapi 97611</v>
      </c>
      <c r="K3089" s="91" t="str">
        <f t="shared" si="194"/>
        <v>UN</v>
      </c>
      <c r="L3089" s="166" t="str">
        <f t="shared" si="195"/>
        <v>02/2020</v>
      </c>
      <c r="M3089" s="82"/>
      <c r="N3089" s="82"/>
    </row>
    <row r="3090" spans="1:14" x14ac:dyDescent="0.25">
      <c r="A3090" s="170" t="s">
        <v>5884</v>
      </c>
      <c r="B3090" s="170" t="s">
        <v>5885</v>
      </c>
      <c r="C3090" s="170" t="s">
        <v>205</v>
      </c>
      <c r="D3090" s="170" t="s">
        <v>1947</v>
      </c>
      <c r="E3090" s="171" t="s">
        <v>28989</v>
      </c>
      <c r="F3090" s="171" t="s">
        <v>36426</v>
      </c>
      <c r="G3090" s="82"/>
      <c r="H3090" s="96">
        <f t="shared" si="192"/>
        <v>26.11</v>
      </c>
      <c r="I3090" s="96">
        <f t="shared" si="192"/>
        <v>26.72</v>
      </c>
      <c r="J3090" s="91" t="str">
        <f t="shared" si="193"/>
        <v>Sinapi 97612</v>
      </c>
      <c r="K3090" s="91" t="str">
        <f t="shared" si="194"/>
        <v>UN</v>
      </c>
      <c r="L3090" s="166" t="str">
        <f t="shared" si="195"/>
        <v>02/2020</v>
      </c>
      <c r="M3090" s="82"/>
      <c r="N3090" s="82"/>
    </row>
    <row r="3091" spans="1:14" x14ac:dyDescent="0.25">
      <c r="A3091" s="170" t="s">
        <v>5886</v>
      </c>
      <c r="B3091" s="170" t="s">
        <v>5887</v>
      </c>
      <c r="C3091" s="170" t="s">
        <v>205</v>
      </c>
      <c r="D3091" s="170" t="s">
        <v>1947</v>
      </c>
      <c r="E3091" s="171" t="s">
        <v>22849</v>
      </c>
      <c r="F3091" s="171" t="s">
        <v>20415</v>
      </c>
      <c r="G3091" s="82"/>
      <c r="H3091" s="96">
        <f t="shared" si="192"/>
        <v>33.08</v>
      </c>
      <c r="I3091" s="96">
        <f t="shared" si="192"/>
        <v>33.69</v>
      </c>
      <c r="J3091" s="91" t="str">
        <f t="shared" si="193"/>
        <v>Sinapi 97613</v>
      </c>
      <c r="K3091" s="91" t="str">
        <f t="shared" si="194"/>
        <v>UN</v>
      </c>
      <c r="L3091" s="166" t="str">
        <f t="shared" si="195"/>
        <v>02/2020</v>
      </c>
      <c r="M3091" s="82"/>
      <c r="N3091" s="82"/>
    </row>
    <row r="3092" spans="1:14" x14ac:dyDescent="0.25">
      <c r="A3092" s="170" t="s">
        <v>5888</v>
      </c>
      <c r="B3092" s="170" t="s">
        <v>5889</v>
      </c>
      <c r="C3092" s="170" t="s">
        <v>205</v>
      </c>
      <c r="D3092" s="170" t="s">
        <v>1947</v>
      </c>
      <c r="E3092" s="171" t="s">
        <v>33167</v>
      </c>
      <c r="F3092" s="171" t="s">
        <v>30196</v>
      </c>
      <c r="G3092" s="82"/>
      <c r="H3092" s="96">
        <f t="shared" si="192"/>
        <v>58.24</v>
      </c>
      <c r="I3092" s="96">
        <f t="shared" si="192"/>
        <v>58.85</v>
      </c>
      <c r="J3092" s="91" t="str">
        <f t="shared" si="193"/>
        <v>Sinapi 97614</v>
      </c>
      <c r="K3092" s="91" t="str">
        <f t="shared" si="194"/>
        <v>UN</v>
      </c>
      <c r="L3092" s="166" t="str">
        <f t="shared" si="195"/>
        <v>02/2020</v>
      </c>
      <c r="M3092" s="82"/>
      <c r="N3092" s="82"/>
    </row>
    <row r="3093" spans="1:14" x14ac:dyDescent="0.25">
      <c r="A3093" s="170" t="s">
        <v>5890</v>
      </c>
      <c r="B3093" s="170" t="s">
        <v>18192</v>
      </c>
      <c r="C3093" s="170" t="s">
        <v>205</v>
      </c>
      <c r="D3093" s="170" t="s">
        <v>1947</v>
      </c>
      <c r="E3093" s="171" t="s">
        <v>33168</v>
      </c>
      <c r="F3093" s="171" t="s">
        <v>21346</v>
      </c>
      <c r="G3093" s="82"/>
      <c r="H3093" s="96">
        <f t="shared" si="192"/>
        <v>54.66</v>
      </c>
      <c r="I3093" s="96">
        <f t="shared" si="192"/>
        <v>55.57</v>
      </c>
      <c r="J3093" s="91" t="str">
        <f t="shared" si="193"/>
        <v>Sinapi 97615</v>
      </c>
      <c r="K3093" s="91" t="str">
        <f t="shared" si="194"/>
        <v>UN</v>
      </c>
      <c r="L3093" s="166" t="str">
        <f t="shared" si="195"/>
        <v>02/2020</v>
      </c>
      <c r="M3093" s="82"/>
      <c r="N3093" s="82"/>
    </row>
    <row r="3094" spans="1:14" x14ac:dyDescent="0.25">
      <c r="A3094" s="170" t="s">
        <v>5891</v>
      </c>
      <c r="B3094" s="170" t="s">
        <v>18193</v>
      </c>
      <c r="C3094" s="170" t="s">
        <v>205</v>
      </c>
      <c r="D3094" s="170" t="s">
        <v>1947</v>
      </c>
      <c r="E3094" s="171" t="s">
        <v>33169</v>
      </c>
      <c r="F3094" s="171" t="s">
        <v>22045</v>
      </c>
      <c r="G3094" s="82"/>
      <c r="H3094" s="96">
        <f t="shared" si="192"/>
        <v>62.71</v>
      </c>
      <c r="I3094" s="96">
        <f t="shared" si="192"/>
        <v>63.62</v>
      </c>
      <c r="J3094" s="91" t="str">
        <f t="shared" si="193"/>
        <v>Sinapi 97616</v>
      </c>
      <c r="K3094" s="91" t="str">
        <f t="shared" si="194"/>
        <v>UN</v>
      </c>
      <c r="L3094" s="166" t="str">
        <f t="shared" si="195"/>
        <v>02/2020</v>
      </c>
      <c r="M3094" s="82"/>
      <c r="N3094" s="82"/>
    </row>
    <row r="3095" spans="1:14" x14ac:dyDescent="0.25">
      <c r="A3095" s="170" t="s">
        <v>5892</v>
      </c>
      <c r="B3095" s="170" t="s">
        <v>18194</v>
      </c>
      <c r="C3095" s="170" t="s">
        <v>205</v>
      </c>
      <c r="D3095" s="170" t="s">
        <v>1947</v>
      </c>
      <c r="E3095" s="171" t="s">
        <v>33170</v>
      </c>
      <c r="F3095" s="171" t="s">
        <v>36427</v>
      </c>
      <c r="G3095" s="82"/>
      <c r="H3095" s="96">
        <f t="shared" si="192"/>
        <v>62.38</v>
      </c>
      <c r="I3095" s="96">
        <f t="shared" si="192"/>
        <v>63.29</v>
      </c>
      <c r="J3095" s="91" t="str">
        <f t="shared" si="193"/>
        <v>Sinapi 97617</v>
      </c>
      <c r="K3095" s="91" t="str">
        <f t="shared" si="194"/>
        <v>UN</v>
      </c>
      <c r="L3095" s="166" t="str">
        <f t="shared" si="195"/>
        <v>02/2020</v>
      </c>
      <c r="M3095" s="82"/>
      <c r="N3095" s="82"/>
    </row>
    <row r="3096" spans="1:14" x14ac:dyDescent="0.25">
      <c r="A3096" s="170" t="s">
        <v>5893</v>
      </c>
      <c r="B3096" s="170" t="s">
        <v>18195</v>
      </c>
      <c r="C3096" s="170" t="s">
        <v>205</v>
      </c>
      <c r="D3096" s="170" t="s">
        <v>1947</v>
      </c>
      <c r="E3096" s="171" t="s">
        <v>33171</v>
      </c>
      <c r="F3096" s="171" t="s">
        <v>23191</v>
      </c>
      <c r="G3096" s="82"/>
      <c r="H3096" s="96">
        <f t="shared" si="192"/>
        <v>57.61</v>
      </c>
      <c r="I3096" s="96">
        <f t="shared" si="192"/>
        <v>58.52</v>
      </c>
      <c r="J3096" s="91" t="str">
        <f t="shared" si="193"/>
        <v>Sinapi 97618</v>
      </c>
      <c r="K3096" s="91" t="str">
        <f t="shared" si="194"/>
        <v>UN</v>
      </c>
      <c r="L3096" s="166" t="str">
        <f t="shared" si="195"/>
        <v>02/2020</v>
      </c>
      <c r="M3096" s="82"/>
      <c r="N3096" s="82"/>
    </row>
    <row r="3097" spans="1:14" x14ac:dyDescent="0.25">
      <c r="A3097" s="170" t="s">
        <v>5894</v>
      </c>
      <c r="B3097" s="170" t="s">
        <v>18196</v>
      </c>
      <c r="C3097" s="170" t="s">
        <v>205</v>
      </c>
      <c r="D3097" s="170" t="s">
        <v>2067</v>
      </c>
      <c r="E3097" s="171" t="s">
        <v>20640</v>
      </c>
      <c r="F3097" s="171" t="s">
        <v>21959</v>
      </c>
      <c r="G3097" s="82"/>
      <c r="H3097" s="96">
        <f t="shared" si="192"/>
        <v>26.7</v>
      </c>
      <c r="I3097" s="96">
        <f t="shared" si="192"/>
        <v>27.61</v>
      </c>
      <c r="J3097" s="91" t="str">
        <f t="shared" si="193"/>
        <v>Sinapi 100902</v>
      </c>
      <c r="K3097" s="91" t="str">
        <f t="shared" si="194"/>
        <v>UN</v>
      </c>
      <c r="L3097" s="166" t="str">
        <f t="shared" si="195"/>
        <v>02/2020</v>
      </c>
      <c r="M3097" s="82"/>
      <c r="N3097" s="82"/>
    </row>
    <row r="3098" spans="1:14" x14ac:dyDescent="0.25">
      <c r="A3098" s="170" t="s">
        <v>5895</v>
      </c>
      <c r="B3098" s="170" t="s">
        <v>18198</v>
      </c>
      <c r="C3098" s="170" t="s">
        <v>205</v>
      </c>
      <c r="D3098" s="170" t="s">
        <v>2067</v>
      </c>
      <c r="E3098" s="171" t="s">
        <v>31067</v>
      </c>
      <c r="F3098" s="171" t="s">
        <v>28839</v>
      </c>
      <c r="G3098" s="82"/>
      <c r="H3098" s="96">
        <f t="shared" si="192"/>
        <v>31.54</v>
      </c>
      <c r="I3098" s="96">
        <f t="shared" si="192"/>
        <v>32.450000000000003</v>
      </c>
      <c r="J3098" s="91" t="str">
        <f t="shared" si="193"/>
        <v>Sinapi 100903</v>
      </c>
      <c r="K3098" s="91" t="str">
        <f t="shared" si="194"/>
        <v>UN</v>
      </c>
      <c r="L3098" s="166" t="str">
        <f t="shared" si="195"/>
        <v>02/2020</v>
      </c>
      <c r="M3098" s="82"/>
      <c r="N3098" s="82"/>
    </row>
    <row r="3099" spans="1:14" x14ac:dyDescent="0.25">
      <c r="A3099" s="170" t="s">
        <v>5896</v>
      </c>
      <c r="B3099" s="170" t="s">
        <v>5897</v>
      </c>
      <c r="C3099" s="170" t="s">
        <v>205</v>
      </c>
      <c r="D3099" s="170" t="s">
        <v>1947</v>
      </c>
      <c r="E3099" s="171" t="s">
        <v>33158</v>
      </c>
      <c r="F3099" s="171" t="s">
        <v>36418</v>
      </c>
      <c r="G3099" s="82"/>
      <c r="H3099" s="96">
        <f t="shared" si="192"/>
        <v>85.14</v>
      </c>
      <c r="I3099" s="96">
        <f t="shared" si="192"/>
        <v>86.49</v>
      </c>
      <c r="J3099" s="91" t="str">
        <f t="shared" si="193"/>
        <v>Sinapi 100904</v>
      </c>
      <c r="K3099" s="91" t="str">
        <f t="shared" si="194"/>
        <v>UN</v>
      </c>
      <c r="L3099" s="166" t="str">
        <f t="shared" si="195"/>
        <v>02/2020</v>
      </c>
      <c r="M3099" s="82"/>
      <c r="N3099" s="82"/>
    </row>
    <row r="3100" spans="1:14" x14ac:dyDescent="0.25">
      <c r="A3100" s="170" t="s">
        <v>5898</v>
      </c>
      <c r="B3100" s="170" t="s">
        <v>5899</v>
      </c>
      <c r="C3100" s="170" t="s">
        <v>205</v>
      </c>
      <c r="D3100" s="170" t="s">
        <v>1947</v>
      </c>
      <c r="E3100" s="171" t="s">
        <v>33172</v>
      </c>
      <c r="F3100" s="171" t="s">
        <v>36428</v>
      </c>
      <c r="G3100" s="82"/>
      <c r="H3100" s="96">
        <f t="shared" si="192"/>
        <v>230.17</v>
      </c>
      <c r="I3100" s="96">
        <f t="shared" si="192"/>
        <v>233.23</v>
      </c>
      <c r="J3100" s="91" t="str">
        <f t="shared" si="193"/>
        <v>Sinapi 100905</v>
      </c>
      <c r="K3100" s="91" t="str">
        <f t="shared" si="194"/>
        <v>UN</v>
      </c>
      <c r="L3100" s="166" t="str">
        <f t="shared" si="195"/>
        <v>02/2020</v>
      </c>
      <c r="M3100" s="82"/>
      <c r="N3100" s="82"/>
    </row>
    <row r="3101" spans="1:14" x14ac:dyDescent="0.25">
      <c r="A3101" s="170" t="s">
        <v>5900</v>
      </c>
      <c r="B3101" s="170" t="s">
        <v>5901</v>
      </c>
      <c r="C3101" s="170" t="s">
        <v>205</v>
      </c>
      <c r="D3101" s="170" t="s">
        <v>1947</v>
      </c>
      <c r="E3101" s="171" t="s">
        <v>33173</v>
      </c>
      <c r="F3101" s="171" t="s">
        <v>28834</v>
      </c>
      <c r="G3101" s="82"/>
      <c r="H3101" s="96">
        <f t="shared" si="192"/>
        <v>314.49</v>
      </c>
      <c r="I3101" s="96">
        <f t="shared" si="192"/>
        <v>317.55</v>
      </c>
      <c r="J3101" s="91" t="str">
        <f t="shared" si="193"/>
        <v>Sinapi 100906</v>
      </c>
      <c r="K3101" s="91" t="str">
        <f t="shared" si="194"/>
        <v>UN</v>
      </c>
      <c r="L3101" s="166" t="str">
        <f t="shared" si="195"/>
        <v>02/2020</v>
      </c>
      <c r="M3101" s="82"/>
      <c r="N3101" s="82"/>
    </row>
    <row r="3102" spans="1:14" x14ac:dyDescent="0.25">
      <c r="A3102" s="170" t="s">
        <v>5902</v>
      </c>
      <c r="B3102" s="170" t="s">
        <v>5903</v>
      </c>
      <c r="C3102" s="170" t="s">
        <v>205</v>
      </c>
      <c r="D3102" s="170" t="s">
        <v>1947</v>
      </c>
      <c r="E3102" s="171" t="s">
        <v>29249</v>
      </c>
      <c r="F3102" s="171" t="s">
        <v>30326</v>
      </c>
      <c r="G3102" s="82"/>
      <c r="H3102" s="96">
        <f t="shared" si="192"/>
        <v>66.47</v>
      </c>
      <c r="I3102" s="96">
        <f t="shared" si="192"/>
        <v>67.08</v>
      </c>
      <c r="J3102" s="91" t="str">
        <f t="shared" si="193"/>
        <v>Sinapi 100919</v>
      </c>
      <c r="K3102" s="91" t="str">
        <f t="shared" si="194"/>
        <v>UN</v>
      </c>
      <c r="L3102" s="166" t="str">
        <f t="shared" si="195"/>
        <v>02/2020</v>
      </c>
      <c r="M3102" s="82"/>
      <c r="N3102" s="82"/>
    </row>
    <row r="3103" spans="1:14" x14ac:dyDescent="0.25">
      <c r="A3103" s="170" t="s">
        <v>5904</v>
      </c>
      <c r="B3103" s="170" t="s">
        <v>5905</v>
      </c>
      <c r="C3103" s="170" t="s">
        <v>205</v>
      </c>
      <c r="D3103" s="170" t="s">
        <v>1947</v>
      </c>
      <c r="E3103" s="171" t="s">
        <v>33174</v>
      </c>
      <c r="F3103" s="171" t="s">
        <v>36429</v>
      </c>
      <c r="G3103" s="82"/>
      <c r="H3103" s="96">
        <f t="shared" si="192"/>
        <v>112.89</v>
      </c>
      <c r="I3103" s="96">
        <f t="shared" si="192"/>
        <v>113.5</v>
      </c>
      <c r="J3103" s="91" t="str">
        <f t="shared" si="193"/>
        <v>Sinapi 100920</v>
      </c>
      <c r="K3103" s="91" t="str">
        <f t="shared" si="194"/>
        <v>UN</v>
      </c>
      <c r="L3103" s="166" t="str">
        <f t="shared" si="195"/>
        <v>02/2020</v>
      </c>
      <c r="M3103" s="82"/>
      <c r="N3103" s="82"/>
    </row>
    <row r="3104" spans="1:14" x14ac:dyDescent="0.25">
      <c r="A3104" s="170" t="s">
        <v>5906</v>
      </c>
      <c r="B3104" s="170" t="s">
        <v>5907</v>
      </c>
      <c r="C3104" s="170" t="s">
        <v>205</v>
      </c>
      <c r="D3104" s="170" t="s">
        <v>1947</v>
      </c>
      <c r="E3104" s="171" t="s">
        <v>20342</v>
      </c>
      <c r="F3104" s="171" t="s">
        <v>29022</v>
      </c>
      <c r="G3104" s="82"/>
      <c r="H3104" s="96">
        <f t="shared" si="192"/>
        <v>63.17</v>
      </c>
      <c r="I3104" s="96">
        <f t="shared" si="192"/>
        <v>65.7</v>
      </c>
      <c r="J3104" s="91" t="str">
        <f t="shared" si="193"/>
        <v>Sinapi 100921</v>
      </c>
      <c r="K3104" s="91" t="str">
        <f t="shared" si="194"/>
        <v>UN</v>
      </c>
      <c r="L3104" s="166" t="str">
        <f t="shared" si="195"/>
        <v>02/2020</v>
      </c>
      <c r="M3104" s="82"/>
      <c r="N3104" s="82"/>
    </row>
    <row r="3105" spans="1:14" x14ac:dyDescent="0.25">
      <c r="A3105" s="170" t="s">
        <v>5908</v>
      </c>
      <c r="B3105" s="170" t="s">
        <v>5909</v>
      </c>
      <c r="C3105" s="170" t="s">
        <v>205</v>
      </c>
      <c r="D3105" s="170" t="s">
        <v>1947</v>
      </c>
      <c r="E3105" s="171" t="s">
        <v>23338</v>
      </c>
      <c r="F3105" s="171" t="s">
        <v>20016</v>
      </c>
      <c r="G3105" s="82"/>
      <c r="H3105" s="96">
        <f t="shared" si="192"/>
        <v>45.47</v>
      </c>
      <c r="I3105" s="96">
        <f t="shared" si="192"/>
        <v>47.23</v>
      </c>
      <c r="J3105" s="91" t="str">
        <f t="shared" si="193"/>
        <v>Sinapi 100922</v>
      </c>
      <c r="K3105" s="91" t="str">
        <f t="shared" si="194"/>
        <v>UN</v>
      </c>
      <c r="L3105" s="166" t="str">
        <f t="shared" si="195"/>
        <v>02/2020</v>
      </c>
      <c r="M3105" s="82"/>
      <c r="N3105" s="82"/>
    </row>
    <row r="3106" spans="1:14" x14ac:dyDescent="0.25">
      <c r="A3106" s="170" t="s">
        <v>5910</v>
      </c>
      <c r="B3106" s="170" t="s">
        <v>5911</v>
      </c>
      <c r="C3106" s="170" t="s">
        <v>205</v>
      </c>
      <c r="D3106" s="170" t="s">
        <v>1947</v>
      </c>
      <c r="E3106" s="171" t="s">
        <v>33175</v>
      </c>
      <c r="F3106" s="171" t="s">
        <v>21591</v>
      </c>
      <c r="G3106" s="82"/>
      <c r="H3106" s="96">
        <f t="shared" si="192"/>
        <v>52.99</v>
      </c>
      <c r="I3106" s="96">
        <f t="shared" si="192"/>
        <v>54.75</v>
      </c>
      <c r="J3106" s="91" t="str">
        <f t="shared" si="193"/>
        <v>Sinapi 100923</v>
      </c>
      <c r="K3106" s="91" t="str">
        <f t="shared" si="194"/>
        <v>UN</v>
      </c>
      <c r="L3106" s="166" t="str">
        <f t="shared" si="195"/>
        <v>02/2020</v>
      </c>
      <c r="M3106" s="82"/>
      <c r="N3106" s="82"/>
    </row>
    <row r="3107" spans="1:14" x14ac:dyDescent="0.25">
      <c r="A3107" s="170" t="s">
        <v>15693</v>
      </c>
      <c r="B3107" s="170" t="s">
        <v>15694</v>
      </c>
      <c r="C3107" s="170" t="s">
        <v>205</v>
      </c>
      <c r="D3107" s="170" t="s">
        <v>2067</v>
      </c>
      <c r="E3107" s="171" t="s">
        <v>30095</v>
      </c>
      <c r="F3107" s="171" t="s">
        <v>30721</v>
      </c>
      <c r="G3107" s="82"/>
      <c r="H3107" s="96">
        <f t="shared" si="192"/>
        <v>35.06</v>
      </c>
      <c r="I3107" s="96">
        <f t="shared" si="192"/>
        <v>36.840000000000003</v>
      </c>
      <c r="J3107" s="91" t="str">
        <f t="shared" si="193"/>
        <v>Sinapi 103782</v>
      </c>
      <c r="K3107" s="91" t="str">
        <f t="shared" si="194"/>
        <v>UN</v>
      </c>
      <c r="L3107" s="166" t="str">
        <f t="shared" si="195"/>
        <v>03/2022</v>
      </c>
      <c r="M3107" s="82"/>
      <c r="N3107" s="82"/>
    </row>
    <row r="3108" spans="1:14" x14ac:dyDescent="0.25">
      <c r="A3108" s="170" t="s">
        <v>10428</v>
      </c>
      <c r="B3108" s="170" t="s">
        <v>18199</v>
      </c>
      <c r="C3108" s="170" t="s">
        <v>205</v>
      </c>
      <c r="D3108" s="170" t="s">
        <v>1947</v>
      </c>
      <c r="E3108" s="171" t="s">
        <v>33176</v>
      </c>
      <c r="F3108" s="171" t="s">
        <v>36430</v>
      </c>
      <c r="G3108" s="82"/>
      <c r="H3108" s="96">
        <f t="shared" si="192"/>
        <v>1401.73</v>
      </c>
      <c r="I3108" s="96">
        <f t="shared" si="192"/>
        <v>1443.88</v>
      </c>
      <c r="J3108" s="91" t="str">
        <f t="shared" si="193"/>
        <v>Sinapi 101489</v>
      </c>
      <c r="K3108" s="91" t="str">
        <f t="shared" si="194"/>
        <v>UN</v>
      </c>
      <c r="L3108" s="166" t="str">
        <f t="shared" si="195"/>
        <v>07/2020</v>
      </c>
      <c r="M3108" s="82"/>
      <c r="N3108" s="82"/>
    </row>
    <row r="3109" spans="1:14" x14ac:dyDescent="0.25">
      <c r="A3109" s="170" t="s">
        <v>10429</v>
      </c>
      <c r="B3109" s="170" t="s">
        <v>18200</v>
      </c>
      <c r="C3109" s="170" t="s">
        <v>205</v>
      </c>
      <c r="D3109" s="170" t="s">
        <v>1947</v>
      </c>
      <c r="E3109" s="171" t="s">
        <v>33177</v>
      </c>
      <c r="F3109" s="171" t="s">
        <v>36431</v>
      </c>
      <c r="G3109" s="82"/>
      <c r="H3109" s="96">
        <f t="shared" si="192"/>
        <v>1505.02</v>
      </c>
      <c r="I3109" s="96">
        <f t="shared" si="192"/>
        <v>1549.15</v>
      </c>
      <c r="J3109" s="91" t="str">
        <f t="shared" si="193"/>
        <v>Sinapi 101490</v>
      </c>
      <c r="K3109" s="91" t="str">
        <f t="shared" si="194"/>
        <v>UN</v>
      </c>
      <c r="L3109" s="166" t="str">
        <f t="shared" si="195"/>
        <v>07/2020</v>
      </c>
      <c r="M3109" s="82"/>
      <c r="N3109" s="82"/>
    </row>
    <row r="3110" spans="1:14" x14ac:dyDescent="0.25">
      <c r="A3110" s="170" t="s">
        <v>10430</v>
      </c>
      <c r="B3110" s="170" t="s">
        <v>18201</v>
      </c>
      <c r="C3110" s="170" t="s">
        <v>205</v>
      </c>
      <c r="D3110" s="170" t="s">
        <v>1947</v>
      </c>
      <c r="E3110" s="171" t="s">
        <v>33178</v>
      </c>
      <c r="F3110" s="171" t="s">
        <v>36432</v>
      </c>
      <c r="G3110" s="82"/>
      <c r="H3110" s="96">
        <f t="shared" si="192"/>
        <v>1540.55</v>
      </c>
      <c r="I3110" s="96">
        <f t="shared" si="192"/>
        <v>1581.82</v>
      </c>
      <c r="J3110" s="91" t="str">
        <f t="shared" si="193"/>
        <v>Sinapi 101491</v>
      </c>
      <c r="K3110" s="91" t="str">
        <f t="shared" si="194"/>
        <v>UN</v>
      </c>
      <c r="L3110" s="166" t="str">
        <f t="shared" si="195"/>
        <v>07/2020</v>
      </c>
      <c r="M3110" s="82"/>
      <c r="N3110" s="82"/>
    </row>
    <row r="3111" spans="1:14" x14ac:dyDescent="0.25">
      <c r="A3111" s="170" t="s">
        <v>10431</v>
      </c>
      <c r="B3111" s="170" t="s">
        <v>18202</v>
      </c>
      <c r="C3111" s="170" t="s">
        <v>205</v>
      </c>
      <c r="D3111" s="170" t="s">
        <v>1947</v>
      </c>
      <c r="E3111" s="171" t="s">
        <v>33179</v>
      </c>
      <c r="F3111" s="171" t="s">
        <v>36433</v>
      </c>
      <c r="G3111" s="82"/>
      <c r="H3111" s="96">
        <f t="shared" si="192"/>
        <v>1696.01</v>
      </c>
      <c r="I3111" s="96">
        <f t="shared" si="192"/>
        <v>1738.95</v>
      </c>
      <c r="J3111" s="91" t="str">
        <f t="shared" si="193"/>
        <v>Sinapi 101492</v>
      </c>
      <c r="K3111" s="91" t="str">
        <f t="shared" si="194"/>
        <v>UN</v>
      </c>
      <c r="L3111" s="166" t="str">
        <f t="shared" si="195"/>
        <v>07/2020</v>
      </c>
      <c r="M3111" s="82"/>
      <c r="N3111" s="82"/>
    </row>
    <row r="3112" spans="1:14" x14ac:dyDescent="0.25">
      <c r="A3112" s="170" t="s">
        <v>10432</v>
      </c>
      <c r="B3112" s="170" t="s">
        <v>18203</v>
      </c>
      <c r="C3112" s="170" t="s">
        <v>205</v>
      </c>
      <c r="D3112" s="170" t="s">
        <v>1947</v>
      </c>
      <c r="E3112" s="171" t="s">
        <v>33180</v>
      </c>
      <c r="F3112" s="171" t="s">
        <v>36434</v>
      </c>
      <c r="G3112" s="82"/>
      <c r="H3112" s="96">
        <f t="shared" si="192"/>
        <v>1390.09</v>
      </c>
      <c r="I3112" s="96">
        <f t="shared" si="192"/>
        <v>1430.37</v>
      </c>
      <c r="J3112" s="91" t="str">
        <f t="shared" si="193"/>
        <v>Sinapi 101493</v>
      </c>
      <c r="K3112" s="91" t="str">
        <f t="shared" si="194"/>
        <v>UN</v>
      </c>
      <c r="L3112" s="166" t="str">
        <f t="shared" si="195"/>
        <v>07/2020</v>
      </c>
      <c r="M3112" s="82"/>
      <c r="N3112" s="82"/>
    </row>
    <row r="3113" spans="1:14" x14ac:dyDescent="0.25">
      <c r="A3113" s="170" t="s">
        <v>10433</v>
      </c>
      <c r="B3113" s="170" t="s">
        <v>18204</v>
      </c>
      <c r="C3113" s="170" t="s">
        <v>205</v>
      </c>
      <c r="D3113" s="170" t="s">
        <v>1947</v>
      </c>
      <c r="E3113" s="171" t="s">
        <v>33181</v>
      </c>
      <c r="F3113" s="171" t="s">
        <v>36435</v>
      </c>
      <c r="G3113" s="82"/>
      <c r="H3113" s="96">
        <f t="shared" si="192"/>
        <v>1493.38</v>
      </c>
      <c r="I3113" s="96">
        <f t="shared" si="192"/>
        <v>1535.64</v>
      </c>
      <c r="J3113" s="91" t="str">
        <f t="shared" si="193"/>
        <v>Sinapi 101494</v>
      </c>
      <c r="K3113" s="91" t="str">
        <f t="shared" si="194"/>
        <v>UN</v>
      </c>
      <c r="L3113" s="166" t="str">
        <f t="shared" si="195"/>
        <v>07/2020</v>
      </c>
      <c r="M3113" s="82"/>
      <c r="N3113" s="82"/>
    </row>
    <row r="3114" spans="1:14" x14ac:dyDescent="0.25">
      <c r="A3114" s="170" t="s">
        <v>10434</v>
      </c>
      <c r="B3114" s="170" t="s">
        <v>18205</v>
      </c>
      <c r="C3114" s="170" t="s">
        <v>205</v>
      </c>
      <c r="D3114" s="170" t="s">
        <v>1947</v>
      </c>
      <c r="E3114" s="171" t="s">
        <v>33182</v>
      </c>
      <c r="F3114" s="171" t="s">
        <v>36436</v>
      </c>
      <c r="G3114" s="82"/>
      <c r="H3114" s="96">
        <f t="shared" si="192"/>
        <v>1528.91</v>
      </c>
      <c r="I3114" s="96">
        <f t="shared" si="192"/>
        <v>1568.31</v>
      </c>
      <c r="J3114" s="91" t="str">
        <f t="shared" si="193"/>
        <v>Sinapi 101495</v>
      </c>
      <c r="K3114" s="91" t="str">
        <f t="shared" si="194"/>
        <v>UN</v>
      </c>
      <c r="L3114" s="166" t="str">
        <f t="shared" si="195"/>
        <v>07/2020</v>
      </c>
      <c r="M3114" s="82"/>
      <c r="N3114" s="82"/>
    </row>
    <row r="3115" spans="1:14" x14ac:dyDescent="0.25">
      <c r="A3115" s="170" t="s">
        <v>10435</v>
      </c>
      <c r="B3115" s="170" t="s">
        <v>18206</v>
      </c>
      <c r="C3115" s="170" t="s">
        <v>205</v>
      </c>
      <c r="D3115" s="170" t="s">
        <v>1947</v>
      </c>
      <c r="E3115" s="171" t="s">
        <v>33183</v>
      </c>
      <c r="F3115" s="171" t="s">
        <v>36437</v>
      </c>
      <c r="G3115" s="82"/>
      <c r="H3115" s="96">
        <f t="shared" si="192"/>
        <v>1684.37</v>
      </c>
      <c r="I3115" s="96">
        <f t="shared" si="192"/>
        <v>1725.44</v>
      </c>
      <c r="J3115" s="91" t="str">
        <f t="shared" si="193"/>
        <v>Sinapi 101496</v>
      </c>
      <c r="K3115" s="91" t="str">
        <f t="shared" si="194"/>
        <v>UN</v>
      </c>
      <c r="L3115" s="166" t="str">
        <f t="shared" si="195"/>
        <v>07/2020</v>
      </c>
      <c r="M3115" s="82"/>
      <c r="N3115" s="82"/>
    </row>
    <row r="3116" spans="1:14" x14ac:dyDescent="0.25">
      <c r="A3116" s="170" t="s">
        <v>10436</v>
      </c>
      <c r="B3116" s="170" t="s">
        <v>18207</v>
      </c>
      <c r="C3116" s="170" t="s">
        <v>205</v>
      </c>
      <c r="D3116" s="170" t="s">
        <v>1947</v>
      </c>
      <c r="E3116" s="171" t="s">
        <v>33184</v>
      </c>
      <c r="F3116" s="171" t="s">
        <v>36438</v>
      </c>
      <c r="G3116" s="82"/>
      <c r="H3116" s="96">
        <f t="shared" si="192"/>
        <v>1651.62</v>
      </c>
      <c r="I3116" s="96">
        <f t="shared" si="192"/>
        <v>1696.78</v>
      </c>
      <c r="J3116" s="91" t="str">
        <f t="shared" si="193"/>
        <v>Sinapi 101497</v>
      </c>
      <c r="K3116" s="91" t="str">
        <f t="shared" si="194"/>
        <v>UN</v>
      </c>
      <c r="L3116" s="166" t="str">
        <f t="shared" si="195"/>
        <v>07/2020</v>
      </c>
      <c r="M3116" s="82"/>
      <c r="N3116" s="82"/>
    </row>
    <row r="3117" spans="1:14" x14ac:dyDescent="0.25">
      <c r="A3117" s="170" t="s">
        <v>10437</v>
      </c>
      <c r="B3117" s="170" t="s">
        <v>18208</v>
      </c>
      <c r="C3117" s="170" t="s">
        <v>205</v>
      </c>
      <c r="D3117" s="170" t="s">
        <v>1947</v>
      </c>
      <c r="E3117" s="171" t="s">
        <v>33185</v>
      </c>
      <c r="F3117" s="171" t="s">
        <v>36439</v>
      </c>
      <c r="G3117" s="82"/>
      <c r="H3117" s="96">
        <f t="shared" si="192"/>
        <v>1807.97</v>
      </c>
      <c r="I3117" s="96">
        <f t="shared" si="192"/>
        <v>1856.12</v>
      </c>
      <c r="J3117" s="91" t="str">
        <f t="shared" si="193"/>
        <v>Sinapi 101498</v>
      </c>
      <c r="K3117" s="91" t="str">
        <f t="shared" si="194"/>
        <v>UN</v>
      </c>
      <c r="L3117" s="166" t="str">
        <f t="shared" si="195"/>
        <v>07/2020</v>
      </c>
      <c r="M3117" s="82"/>
      <c r="N3117" s="82"/>
    </row>
    <row r="3118" spans="1:14" x14ac:dyDescent="0.25">
      <c r="A3118" s="170" t="s">
        <v>10438</v>
      </c>
      <c r="B3118" s="170" t="s">
        <v>18209</v>
      </c>
      <c r="C3118" s="170" t="s">
        <v>205</v>
      </c>
      <c r="D3118" s="170" t="s">
        <v>1947</v>
      </c>
      <c r="E3118" s="171" t="s">
        <v>33186</v>
      </c>
      <c r="F3118" s="171" t="s">
        <v>36440</v>
      </c>
      <c r="G3118" s="82"/>
      <c r="H3118" s="96">
        <f t="shared" si="192"/>
        <v>1861.75</v>
      </c>
      <c r="I3118" s="96">
        <f t="shared" si="192"/>
        <v>1905.57</v>
      </c>
      <c r="J3118" s="91" t="str">
        <f t="shared" si="193"/>
        <v>Sinapi 101499</v>
      </c>
      <c r="K3118" s="91" t="str">
        <f t="shared" si="194"/>
        <v>UN</v>
      </c>
      <c r="L3118" s="166" t="str">
        <f t="shared" si="195"/>
        <v>07/2020</v>
      </c>
      <c r="M3118" s="82"/>
      <c r="N3118" s="82"/>
    </row>
    <row r="3119" spans="1:14" x14ac:dyDescent="0.25">
      <c r="A3119" s="170" t="s">
        <v>10439</v>
      </c>
      <c r="B3119" s="170" t="s">
        <v>18210</v>
      </c>
      <c r="C3119" s="170" t="s">
        <v>205</v>
      </c>
      <c r="D3119" s="170" t="s">
        <v>1947</v>
      </c>
      <c r="E3119" s="171" t="s">
        <v>33187</v>
      </c>
      <c r="F3119" s="171" t="s">
        <v>36441</v>
      </c>
      <c r="G3119" s="82"/>
      <c r="H3119" s="96">
        <f t="shared" si="192"/>
        <v>2080.77</v>
      </c>
      <c r="I3119" s="96">
        <f t="shared" si="192"/>
        <v>2126.5500000000002</v>
      </c>
      <c r="J3119" s="91" t="str">
        <f t="shared" si="193"/>
        <v>Sinapi 101500</v>
      </c>
      <c r="K3119" s="91" t="str">
        <f t="shared" si="194"/>
        <v>UN</v>
      </c>
      <c r="L3119" s="166" t="str">
        <f t="shared" si="195"/>
        <v>07/2020</v>
      </c>
      <c r="M3119" s="82"/>
      <c r="N3119" s="82"/>
    </row>
    <row r="3120" spans="1:14" x14ac:dyDescent="0.25">
      <c r="A3120" s="170" t="s">
        <v>10440</v>
      </c>
      <c r="B3120" s="170" t="s">
        <v>18211</v>
      </c>
      <c r="C3120" s="170" t="s">
        <v>205</v>
      </c>
      <c r="D3120" s="170" t="s">
        <v>1947</v>
      </c>
      <c r="E3120" s="171" t="s">
        <v>33188</v>
      </c>
      <c r="F3120" s="171" t="s">
        <v>36442</v>
      </c>
      <c r="G3120" s="82"/>
      <c r="H3120" s="96">
        <f t="shared" si="192"/>
        <v>1648.88</v>
      </c>
      <c r="I3120" s="96">
        <f t="shared" si="192"/>
        <v>1692.56</v>
      </c>
      <c r="J3120" s="91" t="str">
        <f t="shared" si="193"/>
        <v>Sinapi 101501</v>
      </c>
      <c r="K3120" s="91" t="str">
        <f t="shared" si="194"/>
        <v>UN</v>
      </c>
      <c r="L3120" s="166" t="str">
        <f t="shared" si="195"/>
        <v>07/2020</v>
      </c>
      <c r="M3120" s="82"/>
      <c r="N3120" s="82"/>
    </row>
    <row r="3121" spans="1:14" x14ac:dyDescent="0.25">
      <c r="A3121" s="170" t="s">
        <v>10441</v>
      </c>
      <c r="B3121" s="170" t="s">
        <v>18212</v>
      </c>
      <c r="C3121" s="170" t="s">
        <v>205</v>
      </c>
      <c r="D3121" s="170" t="s">
        <v>1947</v>
      </c>
      <c r="E3121" s="171" t="s">
        <v>33189</v>
      </c>
      <c r="F3121" s="171" t="s">
        <v>36443</v>
      </c>
      <c r="G3121" s="82"/>
      <c r="H3121" s="96">
        <f t="shared" si="192"/>
        <v>1805.23</v>
      </c>
      <c r="I3121" s="96">
        <f t="shared" si="192"/>
        <v>1851.9</v>
      </c>
      <c r="J3121" s="91" t="str">
        <f t="shared" si="193"/>
        <v>Sinapi 101502</v>
      </c>
      <c r="K3121" s="91" t="str">
        <f t="shared" si="194"/>
        <v>UN</v>
      </c>
      <c r="L3121" s="166" t="str">
        <f t="shared" si="195"/>
        <v>07/2020</v>
      </c>
      <c r="M3121" s="82"/>
      <c r="N3121" s="82"/>
    </row>
    <row r="3122" spans="1:14" x14ac:dyDescent="0.25">
      <c r="A3122" s="170" t="s">
        <v>10442</v>
      </c>
      <c r="B3122" s="170" t="s">
        <v>18213</v>
      </c>
      <c r="C3122" s="170" t="s">
        <v>205</v>
      </c>
      <c r="D3122" s="170" t="s">
        <v>1947</v>
      </c>
      <c r="E3122" s="171" t="s">
        <v>33190</v>
      </c>
      <c r="F3122" s="171" t="s">
        <v>36444</v>
      </c>
      <c r="G3122" s="82"/>
      <c r="H3122" s="96">
        <f t="shared" si="192"/>
        <v>1859.01</v>
      </c>
      <c r="I3122" s="96">
        <f t="shared" si="192"/>
        <v>1901.35</v>
      </c>
      <c r="J3122" s="91" t="str">
        <f t="shared" si="193"/>
        <v>Sinapi 101503</v>
      </c>
      <c r="K3122" s="91" t="str">
        <f t="shared" si="194"/>
        <v>UN</v>
      </c>
      <c r="L3122" s="166" t="str">
        <f t="shared" si="195"/>
        <v>07/2020</v>
      </c>
      <c r="M3122" s="82"/>
      <c r="N3122" s="82"/>
    </row>
    <row r="3123" spans="1:14" x14ac:dyDescent="0.25">
      <c r="A3123" s="170" t="s">
        <v>10443</v>
      </c>
      <c r="B3123" s="170" t="s">
        <v>18214</v>
      </c>
      <c r="C3123" s="170" t="s">
        <v>205</v>
      </c>
      <c r="D3123" s="170" t="s">
        <v>1947</v>
      </c>
      <c r="E3123" s="171" t="s">
        <v>33191</v>
      </c>
      <c r="F3123" s="171" t="s">
        <v>36445</v>
      </c>
      <c r="G3123" s="82"/>
      <c r="H3123" s="96">
        <f t="shared" si="192"/>
        <v>2078.0300000000002</v>
      </c>
      <c r="I3123" s="96">
        <f t="shared" si="192"/>
        <v>2122.33</v>
      </c>
      <c r="J3123" s="91" t="str">
        <f t="shared" si="193"/>
        <v>Sinapi 101504</v>
      </c>
      <c r="K3123" s="91" t="str">
        <f t="shared" si="194"/>
        <v>UN</v>
      </c>
      <c r="L3123" s="166" t="str">
        <f t="shared" si="195"/>
        <v>07/2020</v>
      </c>
      <c r="M3123" s="82"/>
      <c r="N3123" s="82"/>
    </row>
    <row r="3124" spans="1:14" x14ac:dyDescent="0.25">
      <c r="A3124" s="170" t="s">
        <v>10444</v>
      </c>
      <c r="B3124" s="170" t="s">
        <v>18215</v>
      </c>
      <c r="C3124" s="170" t="s">
        <v>205</v>
      </c>
      <c r="D3124" s="170" t="s">
        <v>1947</v>
      </c>
      <c r="E3124" s="171" t="s">
        <v>33192</v>
      </c>
      <c r="F3124" s="171" t="s">
        <v>36446</v>
      </c>
      <c r="G3124" s="82"/>
      <c r="H3124" s="96">
        <f t="shared" si="192"/>
        <v>1765.67</v>
      </c>
      <c r="I3124" s="96">
        <f t="shared" si="192"/>
        <v>1813.79</v>
      </c>
      <c r="J3124" s="91" t="str">
        <f t="shared" si="193"/>
        <v>Sinapi 101505</v>
      </c>
      <c r="K3124" s="91" t="str">
        <f t="shared" si="194"/>
        <v>UN</v>
      </c>
      <c r="L3124" s="166" t="str">
        <f t="shared" si="195"/>
        <v>07/2020</v>
      </c>
      <c r="M3124" s="82"/>
      <c r="N3124" s="82"/>
    </row>
    <row r="3125" spans="1:14" x14ac:dyDescent="0.25">
      <c r="A3125" s="170" t="s">
        <v>10445</v>
      </c>
      <c r="B3125" s="170" t="s">
        <v>18216</v>
      </c>
      <c r="C3125" s="170" t="s">
        <v>205</v>
      </c>
      <c r="D3125" s="170" t="s">
        <v>1947</v>
      </c>
      <c r="E3125" s="171" t="s">
        <v>33193</v>
      </c>
      <c r="F3125" s="171" t="s">
        <v>36447</v>
      </c>
      <c r="G3125" s="82"/>
      <c r="H3125" s="96">
        <f t="shared" si="192"/>
        <v>1974.12</v>
      </c>
      <c r="I3125" s="96">
        <f t="shared" si="192"/>
        <v>2026.24</v>
      </c>
      <c r="J3125" s="91" t="str">
        <f t="shared" si="193"/>
        <v>Sinapi 101506</v>
      </c>
      <c r="K3125" s="91" t="str">
        <f t="shared" si="194"/>
        <v>UN</v>
      </c>
      <c r="L3125" s="166" t="str">
        <f t="shared" si="195"/>
        <v>07/2020</v>
      </c>
      <c r="M3125" s="82"/>
      <c r="N3125" s="82"/>
    </row>
    <row r="3126" spans="1:14" x14ac:dyDescent="0.25">
      <c r="A3126" s="170" t="s">
        <v>10446</v>
      </c>
      <c r="B3126" s="170" t="s">
        <v>18217</v>
      </c>
      <c r="C3126" s="170" t="s">
        <v>205</v>
      </c>
      <c r="D3126" s="170" t="s">
        <v>1947</v>
      </c>
      <c r="E3126" s="171" t="s">
        <v>33194</v>
      </c>
      <c r="F3126" s="171" t="s">
        <v>36448</v>
      </c>
      <c r="G3126" s="82"/>
      <c r="H3126" s="96">
        <f t="shared" si="192"/>
        <v>2045.83</v>
      </c>
      <c r="I3126" s="96">
        <f t="shared" si="192"/>
        <v>2092.1799999999998</v>
      </c>
      <c r="J3126" s="91" t="str">
        <f t="shared" si="193"/>
        <v>Sinapi 101507</v>
      </c>
      <c r="K3126" s="91" t="str">
        <f t="shared" si="194"/>
        <v>UN</v>
      </c>
      <c r="L3126" s="166" t="str">
        <f t="shared" si="195"/>
        <v>07/2020</v>
      </c>
      <c r="M3126" s="82"/>
      <c r="N3126" s="82"/>
    </row>
    <row r="3127" spans="1:14" x14ac:dyDescent="0.25">
      <c r="A3127" s="170" t="s">
        <v>10447</v>
      </c>
      <c r="B3127" s="170" t="s">
        <v>18218</v>
      </c>
      <c r="C3127" s="170" t="s">
        <v>205</v>
      </c>
      <c r="D3127" s="170" t="s">
        <v>1947</v>
      </c>
      <c r="E3127" s="171" t="s">
        <v>33195</v>
      </c>
      <c r="F3127" s="171" t="s">
        <v>36449</v>
      </c>
      <c r="G3127" s="82"/>
      <c r="H3127" s="96">
        <f t="shared" si="192"/>
        <v>2327.29</v>
      </c>
      <c r="I3127" s="96">
        <f t="shared" si="192"/>
        <v>2375.87</v>
      </c>
      <c r="J3127" s="91" t="str">
        <f t="shared" si="193"/>
        <v>Sinapi 101508</v>
      </c>
      <c r="K3127" s="91" t="str">
        <f t="shared" si="194"/>
        <v>UN</v>
      </c>
      <c r="L3127" s="166" t="str">
        <f t="shared" si="195"/>
        <v>07/2020</v>
      </c>
      <c r="M3127" s="82"/>
      <c r="N3127" s="82"/>
    </row>
    <row r="3128" spans="1:14" x14ac:dyDescent="0.25">
      <c r="A3128" s="170" t="s">
        <v>10448</v>
      </c>
      <c r="B3128" s="170" t="s">
        <v>18219</v>
      </c>
      <c r="C3128" s="170" t="s">
        <v>205</v>
      </c>
      <c r="D3128" s="170" t="s">
        <v>1947</v>
      </c>
      <c r="E3128" s="171" t="s">
        <v>33196</v>
      </c>
      <c r="F3128" s="171" t="s">
        <v>36450</v>
      </c>
      <c r="G3128" s="82"/>
      <c r="H3128" s="96">
        <f t="shared" si="192"/>
        <v>1884.21</v>
      </c>
      <c r="I3128" s="96">
        <f t="shared" si="192"/>
        <v>1930.9</v>
      </c>
      <c r="J3128" s="91" t="str">
        <f t="shared" si="193"/>
        <v>Sinapi 101509</v>
      </c>
      <c r="K3128" s="91" t="str">
        <f t="shared" si="194"/>
        <v>UN</v>
      </c>
      <c r="L3128" s="166" t="str">
        <f t="shared" si="195"/>
        <v>07/2020</v>
      </c>
      <c r="M3128" s="82"/>
      <c r="N3128" s="82"/>
    </row>
    <row r="3129" spans="1:14" x14ac:dyDescent="0.25">
      <c r="A3129" s="170" t="s">
        <v>10449</v>
      </c>
      <c r="B3129" s="170" t="s">
        <v>18220</v>
      </c>
      <c r="C3129" s="170" t="s">
        <v>205</v>
      </c>
      <c r="D3129" s="170" t="s">
        <v>1947</v>
      </c>
      <c r="E3129" s="171" t="s">
        <v>33197</v>
      </c>
      <c r="F3129" s="171" t="s">
        <v>36451</v>
      </c>
      <c r="G3129" s="82"/>
      <c r="H3129" s="96">
        <f t="shared" si="192"/>
        <v>2092.66</v>
      </c>
      <c r="I3129" s="96">
        <f t="shared" si="192"/>
        <v>2143.35</v>
      </c>
      <c r="J3129" s="91" t="str">
        <f t="shared" si="193"/>
        <v>Sinapi 101510</v>
      </c>
      <c r="K3129" s="91" t="str">
        <f t="shared" si="194"/>
        <v>UN</v>
      </c>
      <c r="L3129" s="166" t="str">
        <f t="shared" si="195"/>
        <v>07/2020</v>
      </c>
      <c r="M3129" s="82"/>
      <c r="N3129" s="82"/>
    </row>
    <row r="3130" spans="1:14" x14ac:dyDescent="0.25">
      <c r="A3130" s="170" t="s">
        <v>10450</v>
      </c>
      <c r="B3130" s="170" t="s">
        <v>18221</v>
      </c>
      <c r="C3130" s="170" t="s">
        <v>205</v>
      </c>
      <c r="D3130" s="170" t="s">
        <v>1947</v>
      </c>
      <c r="E3130" s="171" t="s">
        <v>33198</v>
      </c>
      <c r="F3130" s="171" t="s">
        <v>36452</v>
      </c>
      <c r="G3130" s="82"/>
      <c r="H3130" s="96">
        <f t="shared" si="192"/>
        <v>2164.37</v>
      </c>
      <c r="I3130" s="96">
        <f t="shared" si="192"/>
        <v>2209.29</v>
      </c>
      <c r="J3130" s="91" t="str">
        <f t="shared" si="193"/>
        <v>Sinapi 101511</v>
      </c>
      <c r="K3130" s="91" t="str">
        <f t="shared" si="194"/>
        <v>UN</v>
      </c>
      <c r="L3130" s="166" t="str">
        <f t="shared" si="195"/>
        <v>07/2020</v>
      </c>
      <c r="M3130" s="82"/>
      <c r="N3130" s="82"/>
    </row>
    <row r="3131" spans="1:14" x14ac:dyDescent="0.25">
      <c r="A3131" s="170" t="s">
        <v>10451</v>
      </c>
      <c r="B3131" s="170" t="s">
        <v>18222</v>
      </c>
      <c r="C3131" s="170" t="s">
        <v>205</v>
      </c>
      <c r="D3131" s="170" t="s">
        <v>1947</v>
      </c>
      <c r="E3131" s="171" t="s">
        <v>33199</v>
      </c>
      <c r="F3131" s="171" t="s">
        <v>36453</v>
      </c>
      <c r="G3131" s="82"/>
      <c r="H3131" s="96">
        <f t="shared" si="192"/>
        <v>2445.83</v>
      </c>
      <c r="I3131" s="96">
        <f t="shared" si="192"/>
        <v>2492.98</v>
      </c>
      <c r="J3131" s="91" t="str">
        <f t="shared" si="193"/>
        <v>Sinapi 101512</v>
      </c>
      <c r="K3131" s="91" t="str">
        <f t="shared" si="194"/>
        <v>UN</v>
      </c>
      <c r="L3131" s="166" t="str">
        <f t="shared" si="195"/>
        <v>07/2020</v>
      </c>
      <c r="M3131" s="82"/>
      <c r="N3131" s="82"/>
    </row>
    <row r="3132" spans="1:14" x14ac:dyDescent="0.25">
      <c r="A3132" s="170" t="s">
        <v>10452</v>
      </c>
      <c r="B3132" s="170" t="s">
        <v>18223</v>
      </c>
      <c r="C3132" s="170" t="s">
        <v>205</v>
      </c>
      <c r="D3132" s="170" t="s">
        <v>1947</v>
      </c>
      <c r="E3132" s="171" t="s">
        <v>33200</v>
      </c>
      <c r="F3132" s="171" t="s">
        <v>36454</v>
      </c>
      <c r="G3132" s="82"/>
      <c r="H3132" s="96">
        <f t="shared" si="192"/>
        <v>764.11</v>
      </c>
      <c r="I3132" s="96">
        <f t="shared" si="192"/>
        <v>782.28</v>
      </c>
      <c r="J3132" s="91" t="str">
        <f t="shared" si="193"/>
        <v>Sinapi 101513</v>
      </c>
      <c r="K3132" s="91" t="str">
        <f t="shared" si="194"/>
        <v>UN</v>
      </c>
      <c r="L3132" s="166" t="str">
        <f t="shared" si="195"/>
        <v>07/2020</v>
      </c>
      <c r="M3132" s="82"/>
      <c r="N3132" s="82"/>
    </row>
    <row r="3133" spans="1:14" x14ac:dyDescent="0.25">
      <c r="A3133" s="170" t="s">
        <v>10453</v>
      </c>
      <c r="B3133" s="170" t="s">
        <v>18224</v>
      </c>
      <c r="C3133" s="170" t="s">
        <v>205</v>
      </c>
      <c r="D3133" s="170" t="s">
        <v>1947</v>
      </c>
      <c r="E3133" s="171" t="s">
        <v>33201</v>
      </c>
      <c r="F3133" s="171" t="s">
        <v>36455</v>
      </c>
      <c r="G3133" s="82"/>
      <c r="H3133" s="96">
        <f t="shared" si="192"/>
        <v>888.05</v>
      </c>
      <c r="I3133" s="96">
        <f t="shared" si="192"/>
        <v>908.6</v>
      </c>
      <c r="J3133" s="91" t="str">
        <f t="shared" si="193"/>
        <v>Sinapi 101514</v>
      </c>
      <c r="K3133" s="91" t="str">
        <f t="shared" si="194"/>
        <v>UN</v>
      </c>
      <c r="L3133" s="166" t="str">
        <f t="shared" si="195"/>
        <v>07/2020</v>
      </c>
      <c r="M3133" s="82"/>
      <c r="N3133" s="82"/>
    </row>
    <row r="3134" spans="1:14" x14ac:dyDescent="0.25">
      <c r="A3134" s="170" t="s">
        <v>10454</v>
      </c>
      <c r="B3134" s="170" t="s">
        <v>18225</v>
      </c>
      <c r="C3134" s="170" t="s">
        <v>205</v>
      </c>
      <c r="D3134" s="170" t="s">
        <v>1947</v>
      </c>
      <c r="E3134" s="171" t="s">
        <v>33202</v>
      </c>
      <c r="F3134" s="171" t="s">
        <v>36456</v>
      </c>
      <c r="G3134" s="82"/>
      <c r="H3134" s="96">
        <f t="shared" si="192"/>
        <v>930.69</v>
      </c>
      <c r="I3134" s="96">
        <f t="shared" si="192"/>
        <v>947.81</v>
      </c>
      <c r="J3134" s="91" t="str">
        <f t="shared" si="193"/>
        <v>Sinapi 101515</v>
      </c>
      <c r="K3134" s="91" t="str">
        <f t="shared" si="194"/>
        <v>UN</v>
      </c>
      <c r="L3134" s="166" t="str">
        <f t="shared" si="195"/>
        <v>07/2020</v>
      </c>
      <c r="M3134" s="82"/>
      <c r="N3134" s="82"/>
    </row>
    <row r="3135" spans="1:14" x14ac:dyDescent="0.25">
      <c r="A3135" s="170" t="s">
        <v>10455</v>
      </c>
      <c r="B3135" s="170" t="s">
        <v>18226</v>
      </c>
      <c r="C3135" s="170" t="s">
        <v>205</v>
      </c>
      <c r="D3135" s="170" t="s">
        <v>1947</v>
      </c>
      <c r="E3135" s="171" t="s">
        <v>33203</v>
      </c>
      <c r="F3135" s="171" t="s">
        <v>36457</v>
      </c>
      <c r="G3135" s="82"/>
      <c r="H3135" s="96">
        <f t="shared" si="192"/>
        <v>1079.19</v>
      </c>
      <c r="I3135" s="96">
        <f t="shared" si="192"/>
        <v>1096.97</v>
      </c>
      <c r="J3135" s="91" t="str">
        <f t="shared" si="193"/>
        <v>Sinapi 101516</v>
      </c>
      <c r="K3135" s="91" t="str">
        <f t="shared" si="194"/>
        <v>UN</v>
      </c>
      <c r="L3135" s="166" t="str">
        <f t="shared" si="195"/>
        <v>07/2020</v>
      </c>
      <c r="M3135" s="82"/>
      <c r="N3135" s="82"/>
    </row>
    <row r="3136" spans="1:14" x14ac:dyDescent="0.25">
      <c r="A3136" s="170" t="s">
        <v>10456</v>
      </c>
      <c r="B3136" s="170" t="s">
        <v>18227</v>
      </c>
      <c r="C3136" s="170" t="s">
        <v>205</v>
      </c>
      <c r="D3136" s="170" t="s">
        <v>1947</v>
      </c>
      <c r="E3136" s="171" t="s">
        <v>33204</v>
      </c>
      <c r="F3136" s="171" t="s">
        <v>36458</v>
      </c>
      <c r="G3136" s="82"/>
      <c r="H3136" s="96">
        <f t="shared" si="192"/>
        <v>752.47</v>
      </c>
      <c r="I3136" s="96">
        <f t="shared" si="192"/>
        <v>768.77</v>
      </c>
      <c r="J3136" s="91" t="str">
        <f t="shared" si="193"/>
        <v>Sinapi 101517</v>
      </c>
      <c r="K3136" s="91" t="str">
        <f t="shared" si="194"/>
        <v>UN</v>
      </c>
      <c r="L3136" s="166" t="str">
        <f t="shared" si="195"/>
        <v>07/2020</v>
      </c>
      <c r="M3136" s="82"/>
      <c r="N3136" s="82"/>
    </row>
    <row r="3137" spans="1:14" x14ac:dyDescent="0.25">
      <c r="A3137" s="170" t="s">
        <v>10457</v>
      </c>
      <c r="B3137" s="170" t="s">
        <v>18228</v>
      </c>
      <c r="C3137" s="170" t="s">
        <v>205</v>
      </c>
      <c r="D3137" s="170" t="s">
        <v>1947</v>
      </c>
      <c r="E3137" s="171" t="s">
        <v>33205</v>
      </c>
      <c r="F3137" s="171" t="s">
        <v>36459</v>
      </c>
      <c r="G3137" s="82"/>
      <c r="H3137" s="96">
        <f t="shared" si="192"/>
        <v>876.41</v>
      </c>
      <c r="I3137" s="96">
        <f t="shared" si="192"/>
        <v>895.09</v>
      </c>
      <c r="J3137" s="91" t="str">
        <f t="shared" si="193"/>
        <v>Sinapi 101518</v>
      </c>
      <c r="K3137" s="91" t="str">
        <f t="shared" si="194"/>
        <v>UN</v>
      </c>
      <c r="L3137" s="166" t="str">
        <f t="shared" si="195"/>
        <v>07/2020</v>
      </c>
      <c r="M3137" s="82"/>
      <c r="N3137" s="82"/>
    </row>
    <row r="3138" spans="1:14" x14ac:dyDescent="0.25">
      <c r="A3138" s="170" t="s">
        <v>10458</v>
      </c>
      <c r="B3138" s="170" t="s">
        <v>18229</v>
      </c>
      <c r="C3138" s="170" t="s">
        <v>205</v>
      </c>
      <c r="D3138" s="170" t="s">
        <v>1947</v>
      </c>
      <c r="E3138" s="171" t="s">
        <v>33206</v>
      </c>
      <c r="F3138" s="171" t="s">
        <v>36460</v>
      </c>
      <c r="G3138" s="82"/>
      <c r="H3138" s="96">
        <f t="shared" si="192"/>
        <v>919.05</v>
      </c>
      <c r="I3138" s="96">
        <f t="shared" si="192"/>
        <v>934.3</v>
      </c>
      <c r="J3138" s="91" t="str">
        <f t="shared" si="193"/>
        <v>Sinapi 101519</v>
      </c>
      <c r="K3138" s="91" t="str">
        <f t="shared" si="194"/>
        <v>UN</v>
      </c>
      <c r="L3138" s="166" t="str">
        <f t="shared" si="195"/>
        <v>07/2020</v>
      </c>
      <c r="M3138" s="82"/>
      <c r="N3138" s="82"/>
    </row>
    <row r="3139" spans="1:14" x14ac:dyDescent="0.25">
      <c r="A3139" s="170" t="s">
        <v>10459</v>
      </c>
      <c r="B3139" s="170" t="s">
        <v>18230</v>
      </c>
      <c r="C3139" s="170" t="s">
        <v>205</v>
      </c>
      <c r="D3139" s="170" t="s">
        <v>1947</v>
      </c>
      <c r="E3139" s="171" t="s">
        <v>33207</v>
      </c>
      <c r="F3139" s="171" t="s">
        <v>36461</v>
      </c>
      <c r="G3139" s="82"/>
      <c r="H3139" s="96">
        <f t="shared" si="192"/>
        <v>1067.55</v>
      </c>
      <c r="I3139" s="96">
        <f t="shared" si="192"/>
        <v>1083.46</v>
      </c>
      <c r="J3139" s="91" t="str">
        <f t="shared" si="193"/>
        <v>Sinapi 101520</v>
      </c>
      <c r="K3139" s="91" t="str">
        <f t="shared" si="194"/>
        <v>UN</v>
      </c>
      <c r="L3139" s="166" t="str">
        <f t="shared" si="195"/>
        <v>07/2020</v>
      </c>
      <c r="M3139" s="82"/>
      <c r="N3139" s="82"/>
    </row>
    <row r="3140" spans="1:14" x14ac:dyDescent="0.25">
      <c r="A3140" s="170" t="s">
        <v>10460</v>
      </c>
      <c r="B3140" s="170" t="s">
        <v>18231</v>
      </c>
      <c r="C3140" s="170" t="s">
        <v>205</v>
      </c>
      <c r="D3140" s="170" t="s">
        <v>1947</v>
      </c>
      <c r="E3140" s="171" t="s">
        <v>33208</v>
      </c>
      <c r="F3140" s="171" t="s">
        <v>36462</v>
      </c>
      <c r="G3140" s="82"/>
      <c r="H3140" s="96">
        <f t="shared" si="192"/>
        <v>1029.54</v>
      </c>
      <c r="I3140" s="96">
        <f t="shared" si="192"/>
        <v>1051.07</v>
      </c>
      <c r="J3140" s="91" t="str">
        <f t="shared" si="193"/>
        <v>Sinapi 101521</v>
      </c>
      <c r="K3140" s="91" t="str">
        <f t="shared" si="194"/>
        <v>UN</v>
      </c>
      <c r="L3140" s="166" t="str">
        <f t="shared" si="195"/>
        <v>07/2020</v>
      </c>
      <c r="M3140" s="82"/>
      <c r="N3140" s="82"/>
    </row>
    <row r="3141" spans="1:14" x14ac:dyDescent="0.25">
      <c r="A3141" s="170" t="s">
        <v>10461</v>
      </c>
      <c r="B3141" s="170" t="s">
        <v>18232</v>
      </c>
      <c r="C3141" s="170" t="s">
        <v>205</v>
      </c>
      <c r="D3141" s="170" t="s">
        <v>1947</v>
      </c>
      <c r="E3141" s="171" t="s">
        <v>33209</v>
      </c>
      <c r="F3141" s="171" t="s">
        <v>36463</v>
      </c>
      <c r="G3141" s="82"/>
      <c r="H3141" s="96">
        <f t="shared" si="192"/>
        <v>1215.46</v>
      </c>
      <c r="I3141" s="96">
        <f t="shared" si="192"/>
        <v>1240.56</v>
      </c>
      <c r="J3141" s="91" t="str">
        <f t="shared" si="193"/>
        <v>Sinapi 101522</v>
      </c>
      <c r="K3141" s="91" t="str">
        <f t="shared" si="194"/>
        <v>UN</v>
      </c>
      <c r="L3141" s="166" t="str">
        <f t="shared" si="195"/>
        <v>07/2020</v>
      </c>
      <c r="M3141" s="82"/>
      <c r="N3141" s="82"/>
    </row>
    <row r="3142" spans="1:14" x14ac:dyDescent="0.25">
      <c r="A3142" s="170" t="s">
        <v>10462</v>
      </c>
      <c r="B3142" s="170" t="s">
        <v>18233</v>
      </c>
      <c r="C3142" s="170" t="s">
        <v>205</v>
      </c>
      <c r="D3142" s="170" t="s">
        <v>1947</v>
      </c>
      <c r="E3142" s="171" t="s">
        <v>33210</v>
      </c>
      <c r="F3142" s="171" t="s">
        <v>36464</v>
      </c>
      <c r="G3142" s="82"/>
      <c r="H3142" s="96">
        <f t="shared" si="192"/>
        <v>1279.4100000000001</v>
      </c>
      <c r="I3142" s="96">
        <f t="shared" si="192"/>
        <v>1299.3599999999999</v>
      </c>
      <c r="J3142" s="91" t="str">
        <f t="shared" si="193"/>
        <v>Sinapi 101523</v>
      </c>
      <c r="K3142" s="91" t="str">
        <f t="shared" si="194"/>
        <v>UN</v>
      </c>
      <c r="L3142" s="166" t="str">
        <f t="shared" si="195"/>
        <v>07/2020</v>
      </c>
      <c r="M3142" s="82"/>
      <c r="N3142" s="82"/>
    </row>
    <row r="3143" spans="1:14" x14ac:dyDescent="0.25">
      <c r="A3143" s="170" t="s">
        <v>10463</v>
      </c>
      <c r="B3143" s="170" t="s">
        <v>18234</v>
      </c>
      <c r="C3143" s="170" t="s">
        <v>205</v>
      </c>
      <c r="D3143" s="170" t="s">
        <v>1947</v>
      </c>
      <c r="E3143" s="171" t="s">
        <v>33211</v>
      </c>
      <c r="F3143" s="171" t="s">
        <v>36465</v>
      </c>
      <c r="G3143" s="82"/>
      <c r="H3143" s="96">
        <f t="shared" si="192"/>
        <v>1502.16</v>
      </c>
      <c r="I3143" s="96">
        <f t="shared" si="192"/>
        <v>1523.1</v>
      </c>
      <c r="J3143" s="91" t="str">
        <f t="shared" si="193"/>
        <v>Sinapi 101524</v>
      </c>
      <c r="K3143" s="91" t="str">
        <f t="shared" si="194"/>
        <v>UN</v>
      </c>
      <c r="L3143" s="166" t="str">
        <f t="shared" si="195"/>
        <v>07/2020</v>
      </c>
      <c r="M3143" s="82"/>
      <c r="N3143" s="82"/>
    </row>
    <row r="3144" spans="1:14" x14ac:dyDescent="0.25">
      <c r="A3144" s="170" t="s">
        <v>10464</v>
      </c>
      <c r="B3144" s="170" t="s">
        <v>18235</v>
      </c>
      <c r="C3144" s="170" t="s">
        <v>205</v>
      </c>
      <c r="D3144" s="170" t="s">
        <v>1947</v>
      </c>
      <c r="E3144" s="171" t="s">
        <v>33212</v>
      </c>
      <c r="F3144" s="171" t="s">
        <v>36466</v>
      </c>
      <c r="G3144" s="82"/>
      <c r="H3144" s="96">
        <f t="shared" ref="H3144:I3207" si="196">IF(E3144="","",E3144+0)</f>
        <v>1026.8</v>
      </c>
      <c r="I3144" s="96">
        <f t="shared" si="196"/>
        <v>1046.8599999999999</v>
      </c>
      <c r="J3144" s="91" t="str">
        <f t="shared" ref="J3144:J3207" si="197">IF(OR(H3144="",I3144=""),"",TRIM(CONCATENATE("Sinapi ",A3144)))</f>
        <v>Sinapi 101525</v>
      </c>
      <c r="K3144" s="91" t="str">
        <f t="shared" ref="K3144:K3207" si="198">TRIM(C3144)</f>
        <v>UN</v>
      </c>
      <c r="L3144" s="166" t="str">
        <f t="shared" ref="L3144:L3207" si="199">IF(OR(RIGHT(IF(AND(K3144&lt;&gt;"H",K3144&lt;&gt;"MES"),RIGHT(B3144,7),""),2)="PS",RIGHT(IF(AND(K3144&lt;&gt;"H",K3144&lt;&gt;"MES"),RIGHT(B3144,7),""),2)="PA",RIGHT(IF(AND(K3144&lt;&gt;"H",K3144&lt;&gt;"MES"),RIGHT(B3144,7),""),2)="PE"),LEFT(IF(AND(K3144&lt;&gt;"H",K3144&lt;&gt;"MES"),RIGHT(B3144,10),""),7),IF(AND(K3144&lt;&gt;"H",K3144&lt;&gt;"MES"),RIGHT(B3144,7),""))</f>
        <v>07/2020</v>
      </c>
      <c r="M3144" s="82"/>
      <c r="N3144" s="82"/>
    </row>
    <row r="3145" spans="1:14" x14ac:dyDescent="0.25">
      <c r="A3145" s="170" t="s">
        <v>10465</v>
      </c>
      <c r="B3145" s="170" t="s">
        <v>18236</v>
      </c>
      <c r="C3145" s="170" t="s">
        <v>205</v>
      </c>
      <c r="D3145" s="170" t="s">
        <v>1947</v>
      </c>
      <c r="E3145" s="171" t="s">
        <v>33213</v>
      </c>
      <c r="F3145" s="171" t="s">
        <v>36467</v>
      </c>
      <c r="G3145" s="82"/>
      <c r="H3145" s="96">
        <f t="shared" si="196"/>
        <v>1212.72</v>
      </c>
      <c r="I3145" s="96">
        <f t="shared" si="196"/>
        <v>1236.3499999999999</v>
      </c>
      <c r="J3145" s="91" t="str">
        <f t="shared" si="197"/>
        <v>Sinapi 101526</v>
      </c>
      <c r="K3145" s="91" t="str">
        <f t="shared" si="198"/>
        <v>UN</v>
      </c>
      <c r="L3145" s="166" t="str">
        <f t="shared" si="199"/>
        <v>07/2020</v>
      </c>
      <c r="M3145" s="82"/>
      <c r="N3145" s="82"/>
    </row>
    <row r="3146" spans="1:14" x14ac:dyDescent="0.25">
      <c r="A3146" s="170" t="s">
        <v>10466</v>
      </c>
      <c r="B3146" s="170" t="s">
        <v>18237</v>
      </c>
      <c r="C3146" s="170" t="s">
        <v>205</v>
      </c>
      <c r="D3146" s="170" t="s">
        <v>1947</v>
      </c>
      <c r="E3146" s="171" t="s">
        <v>33214</v>
      </c>
      <c r="F3146" s="171" t="s">
        <v>36468</v>
      </c>
      <c r="G3146" s="82"/>
      <c r="H3146" s="96">
        <f t="shared" si="196"/>
        <v>1276.67</v>
      </c>
      <c r="I3146" s="96">
        <f t="shared" si="196"/>
        <v>1295.1500000000001</v>
      </c>
      <c r="J3146" s="91" t="str">
        <f t="shared" si="197"/>
        <v>Sinapi 101527</v>
      </c>
      <c r="K3146" s="91" t="str">
        <f t="shared" si="198"/>
        <v>UN</v>
      </c>
      <c r="L3146" s="166" t="str">
        <f t="shared" si="199"/>
        <v>07/2020</v>
      </c>
      <c r="M3146" s="82"/>
      <c r="N3146" s="82"/>
    </row>
    <row r="3147" spans="1:14" x14ac:dyDescent="0.25">
      <c r="A3147" s="170" t="s">
        <v>10467</v>
      </c>
      <c r="B3147" s="170" t="s">
        <v>18238</v>
      </c>
      <c r="C3147" s="170" t="s">
        <v>205</v>
      </c>
      <c r="D3147" s="170" t="s">
        <v>1947</v>
      </c>
      <c r="E3147" s="171" t="s">
        <v>33215</v>
      </c>
      <c r="F3147" s="171" t="s">
        <v>36469</v>
      </c>
      <c r="G3147" s="82"/>
      <c r="H3147" s="96">
        <f t="shared" si="196"/>
        <v>1499.42</v>
      </c>
      <c r="I3147" s="96">
        <f t="shared" si="196"/>
        <v>1518.89</v>
      </c>
      <c r="J3147" s="91" t="str">
        <f t="shared" si="197"/>
        <v>Sinapi 101528</v>
      </c>
      <c r="K3147" s="91" t="str">
        <f t="shared" si="198"/>
        <v>UN</v>
      </c>
      <c r="L3147" s="166" t="str">
        <f t="shared" si="199"/>
        <v>07/2020</v>
      </c>
      <c r="M3147" s="82"/>
      <c r="N3147" s="82"/>
    </row>
    <row r="3148" spans="1:14" x14ac:dyDescent="0.25">
      <c r="A3148" s="170" t="s">
        <v>10468</v>
      </c>
      <c r="B3148" s="170" t="s">
        <v>18239</v>
      </c>
      <c r="C3148" s="170" t="s">
        <v>205</v>
      </c>
      <c r="D3148" s="170" t="s">
        <v>1947</v>
      </c>
      <c r="E3148" s="171" t="s">
        <v>33216</v>
      </c>
      <c r="F3148" s="171" t="s">
        <v>36470</v>
      </c>
      <c r="G3148" s="82"/>
      <c r="H3148" s="96">
        <f t="shared" si="196"/>
        <v>1160.75</v>
      </c>
      <c r="I3148" s="96">
        <f t="shared" si="196"/>
        <v>1185.6300000000001</v>
      </c>
      <c r="J3148" s="91" t="str">
        <f t="shared" si="197"/>
        <v>Sinapi 101529</v>
      </c>
      <c r="K3148" s="91" t="str">
        <f t="shared" si="198"/>
        <v>UN</v>
      </c>
      <c r="L3148" s="166" t="str">
        <f t="shared" si="199"/>
        <v>07/2020</v>
      </c>
      <c r="M3148" s="82"/>
      <c r="N3148" s="82"/>
    </row>
    <row r="3149" spans="1:14" x14ac:dyDescent="0.25">
      <c r="A3149" s="170" t="s">
        <v>10469</v>
      </c>
      <c r="B3149" s="170" t="s">
        <v>18240</v>
      </c>
      <c r="C3149" s="170" t="s">
        <v>205</v>
      </c>
      <c r="D3149" s="170" t="s">
        <v>1947</v>
      </c>
      <c r="E3149" s="171" t="s">
        <v>33217</v>
      </c>
      <c r="F3149" s="171" t="s">
        <v>36471</v>
      </c>
      <c r="G3149" s="82"/>
      <c r="H3149" s="96">
        <f t="shared" si="196"/>
        <v>1408.64</v>
      </c>
      <c r="I3149" s="96">
        <f t="shared" si="196"/>
        <v>1438.28</v>
      </c>
      <c r="J3149" s="91" t="str">
        <f t="shared" si="197"/>
        <v>Sinapi 101530</v>
      </c>
      <c r="K3149" s="91" t="str">
        <f t="shared" si="198"/>
        <v>UN</v>
      </c>
      <c r="L3149" s="166" t="str">
        <f t="shared" si="199"/>
        <v>07/2020</v>
      </c>
      <c r="M3149" s="82"/>
      <c r="N3149" s="82"/>
    </row>
    <row r="3150" spans="1:14" x14ac:dyDescent="0.25">
      <c r="A3150" s="170" t="s">
        <v>10470</v>
      </c>
      <c r="B3150" s="170" t="s">
        <v>18241</v>
      </c>
      <c r="C3150" s="170" t="s">
        <v>205</v>
      </c>
      <c r="D3150" s="170" t="s">
        <v>1947</v>
      </c>
      <c r="E3150" s="171" t="s">
        <v>33218</v>
      </c>
      <c r="F3150" s="171" t="s">
        <v>36472</v>
      </c>
      <c r="G3150" s="82"/>
      <c r="H3150" s="96">
        <f t="shared" si="196"/>
        <v>1493.91</v>
      </c>
      <c r="I3150" s="96">
        <f t="shared" si="196"/>
        <v>1516.69</v>
      </c>
      <c r="J3150" s="91" t="str">
        <f t="shared" si="197"/>
        <v>Sinapi 101531</v>
      </c>
      <c r="K3150" s="91" t="str">
        <f t="shared" si="198"/>
        <v>UN</v>
      </c>
      <c r="L3150" s="166" t="str">
        <f t="shared" si="199"/>
        <v>07/2020</v>
      </c>
      <c r="M3150" s="82"/>
      <c r="N3150" s="82"/>
    </row>
    <row r="3151" spans="1:14" x14ac:dyDescent="0.25">
      <c r="A3151" s="170" t="s">
        <v>10471</v>
      </c>
      <c r="B3151" s="170" t="s">
        <v>18242</v>
      </c>
      <c r="C3151" s="170" t="s">
        <v>205</v>
      </c>
      <c r="D3151" s="170" t="s">
        <v>1947</v>
      </c>
      <c r="E3151" s="171" t="s">
        <v>33219</v>
      </c>
      <c r="F3151" s="171" t="s">
        <v>36473</v>
      </c>
      <c r="G3151" s="82"/>
      <c r="H3151" s="96">
        <f t="shared" si="196"/>
        <v>1790.91</v>
      </c>
      <c r="I3151" s="96">
        <f t="shared" si="196"/>
        <v>1815.01</v>
      </c>
      <c r="J3151" s="91" t="str">
        <f t="shared" si="197"/>
        <v>Sinapi 101532</v>
      </c>
      <c r="K3151" s="91" t="str">
        <f t="shared" si="198"/>
        <v>UN</v>
      </c>
      <c r="L3151" s="166" t="str">
        <f t="shared" si="199"/>
        <v>07/2020</v>
      </c>
      <c r="M3151" s="82"/>
      <c r="N3151" s="82"/>
    </row>
    <row r="3152" spans="1:14" x14ac:dyDescent="0.25">
      <c r="A3152" s="170" t="s">
        <v>10472</v>
      </c>
      <c r="B3152" s="170" t="s">
        <v>18243</v>
      </c>
      <c r="C3152" s="170" t="s">
        <v>205</v>
      </c>
      <c r="D3152" s="170" t="s">
        <v>1947</v>
      </c>
      <c r="E3152" s="171" t="s">
        <v>33220</v>
      </c>
      <c r="F3152" s="171" t="s">
        <v>36474</v>
      </c>
      <c r="G3152" s="82"/>
      <c r="H3152" s="96">
        <f t="shared" si="196"/>
        <v>1279.29</v>
      </c>
      <c r="I3152" s="96">
        <f t="shared" si="196"/>
        <v>1302.75</v>
      </c>
      <c r="J3152" s="91" t="str">
        <f t="shared" si="197"/>
        <v>Sinapi 101533</v>
      </c>
      <c r="K3152" s="91" t="str">
        <f t="shared" si="198"/>
        <v>UN</v>
      </c>
      <c r="L3152" s="166" t="str">
        <f t="shared" si="199"/>
        <v>07/2020</v>
      </c>
      <c r="M3152" s="82"/>
      <c r="N3152" s="82"/>
    </row>
    <row r="3153" spans="1:14" x14ac:dyDescent="0.25">
      <c r="A3153" s="170" t="s">
        <v>10473</v>
      </c>
      <c r="B3153" s="170" t="s">
        <v>18244</v>
      </c>
      <c r="C3153" s="170" t="s">
        <v>205</v>
      </c>
      <c r="D3153" s="170" t="s">
        <v>1947</v>
      </c>
      <c r="E3153" s="171" t="s">
        <v>33221</v>
      </c>
      <c r="F3153" s="171" t="s">
        <v>36475</v>
      </c>
      <c r="G3153" s="82"/>
      <c r="H3153" s="96">
        <f t="shared" si="196"/>
        <v>1527.18</v>
      </c>
      <c r="I3153" s="96">
        <f t="shared" si="196"/>
        <v>1555.4</v>
      </c>
      <c r="J3153" s="91" t="str">
        <f t="shared" si="197"/>
        <v>Sinapi 101534</v>
      </c>
      <c r="K3153" s="91" t="str">
        <f t="shared" si="198"/>
        <v>UN</v>
      </c>
      <c r="L3153" s="166" t="str">
        <f t="shared" si="199"/>
        <v>07/2020</v>
      </c>
      <c r="M3153" s="82"/>
      <c r="N3153" s="82"/>
    </row>
    <row r="3154" spans="1:14" x14ac:dyDescent="0.25">
      <c r="A3154" s="170" t="s">
        <v>10474</v>
      </c>
      <c r="B3154" s="170" t="s">
        <v>18245</v>
      </c>
      <c r="C3154" s="170" t="s">
        <v>205</v>
      </c>
      <c r="D3154" s="170" t="s">
        <v>1947</v>
      </c>
      <c r="E3154" s="171" t="s">
        <v>33222</v>
      </c>
      <c r="F3154" s="171" t="s">
        <v>36476</v>
      </c>
      <c r="G3154" s="82"/>
      <c r="H3154" s="96">
        <f t="shared" si="196"/>
        <v>1612.45</v>
      </c>
      <c r="I3154" s="96">
        <f t="shared" si="196"/>
        <v>1633.81</v>
      </c>
      <c r="J3154" s="91" t="str">
        <f t="shared" si="197"/>
        <v>Sinapi 101535</v>
      </c>
      <c r="K3154" s="91" t="str">
        <f t="shared" si="198"/>
        <v>UN</v>
      </c>
      <c r="L3154" s="166" t="str">
        <f t="shared" si="199"/>
        <v>07/2020</v>
      </c>
      <c r="M3154" s="82"/>
      <c r="N3154" s="82"/>
    </row>
    <row r="3155" spans="1:14" x14ac:dyDescent="0.25">
      <c r="A3155" s="170" t="s">
        <v>10475</v>
      </c>
      <c r="B3155" s="170" t="s">
        <v>18246</v>
      </c>
      <c r="C3155" s="170" t="s">
        <v>205</v>
      </c>
      <c r="D3155" s="170" t="s">
        <v>1947</v>
      </c>
      <c r="E3155" s="171" t="s">
        <v>33223</v>
      </c>
      <c r="F3155" s="171" t="s">
        <v>36477</v>
      </c>
      <c r="G3155" s="82"/>
      <c r="H3155" s="96">
        <f t="shared" si="196"/>
        <v>1909.45</v>
      </c>
      <c r="I3155" s="96">
        <f t="shared" si="196"/>
        <v>1932.13</v>
      </c>
      <c r="J3155" s="91" t="str">
        <f t="shared" si="197"/>
        <v>Sinapi 101536</v>
      </c>
      <c r="K3155" s="91" t="str">
        <f t="shared" si="198"/>
        <v>UN</v>
      </c>
      <c r="L3155" s="166" t="str">
        <f t="shared" si="199"/>
        <v>07/2020</v>
      </c>
      <c r="M3155" s="82"/>
      <c r="N3155" s="82"/>
    </row>
    <row r="3156" spans="1:14" x14ac:dyDescent="0.25">
      <c r="A3156" s="170" t="s">
        <v>10476</v>
      </c>
      <c r="B3156" s="170" t="s">
        <v>10477</v>
      </c>
      <c r="C3156" s="170" t="s">
        <v>205</v>
      </c>
      <c r="D3156" s="170" t="s">
        <v>2067</v>
      </c>
      <c r="E3156" s="171" t="s">
        <v>33224</v>
      </c>
      <c r="F3156" s="171" t="s">
        <v>28756</v>
      </c>
      <c r="G3156" s="82"/>
      <c r="H3156" s="96">
        <f t="shared" si="196"/>
        <v>127.39</v>
      </c>
      <c r="I3156" s="96">
        <f t="shared" si="196"/>
        <v>131.52000000000001</v>
      </c>
      <c r="J3156" s="91" t="str">
        <f t="shared" si="197"/>
        <v>Sinapi 101537</v>
      </c>
      <c r="K3156" s="91" t="str">
        <f t="shared" si="198"/>
        <v>UN</v>
      </c>
      <c r="L3156" s="166" t="str">
        <f t="shared" si="199"/>
        <v>07/2020</v>
      </c>
      <c r="M3156" s="82"/>
      <c r="N3156" s="82"/>
    </row>
    <row r="3157" spans="1:14" x14ac:dyDescent="0.25">
      <c r="A3157" s="170" t="s">
        <v>10478</v>
      </c>
      <c r="B3157" s="170" t="s">
        <v>10479</v>
      </c>
      <c r="C3157" s="170" t="s">
        <v>205</v>
      </c>
      <c r="D3157" s="170" t="s">
        <v>1947</v>
      </c>
      <c r="E3157" s="171" t="s">
        <v>28884</v>
      </c>
      <c r="F3157" s="171" t="s">
        <v>36478</v>
      </c>
      <c r="G3157" s="82"/>
      <c r="H3157" s="96">
        <f t="shared" si="196"/>
        <v>38.979999999999997</v>
      </c>
      <c r="I3157" s="96">
        <f t="shared" si="196"/>
        <v>40.14</v>
      </c>
      <c r="J3157" s="91" t="str">
        <f t="shared" si="197"/>
        <v>Sinapi 101538</v>
      </c>
      <c r="K3157" s="91" t="str">
        <f t="shared" si="198"/>
        <v>UN</v>
      </c>
      <c r="L3157" s="166" t="str">
        <f t="shared" si="199"/>
        <v>07/2020</v>
      </c>
      <c r="M3157" s="82"/>
      <c r="N3157" s="82"/>
    </row>
    <row r="3158" spans="1:14" x14ac:dyDescent="0.25">
      <c r="A3158" s="170" t="s">
        <v>10480</v>
      </c>
      <c r="B3158" s="170" t="s">
        <v>10481</v>
      </c>
      <c r="C3158" s="170" t="s">
        <v>205</v>
      </c>
      <c r="D3158" s="170" t="s">
        <v>1947</v>
      </c>
      <c r="E3158" s="171" t="s">
        <v>33225</v>
      </c>
      <c r="F3158" s="171" t="s">
        <v>36479</v>
      </c>
      <c r="G3158" s="82"/>
      <c r="H3158" s="96">
        <f t="shared" si="196"/>
        <v>65.48</v>
      </c>
      <c r="I3158" s="96">
        <f t="shared" si="196"/>
        <v>67.790000000000006</v>
      </c>
      <c r="J3158" s="91" t="str">
        <f t="shared" si="197"/>
        <v>Sinapi 101539</v>
      </c>
      <c r="K3158" s="91" t="str">
        <f t="shared" si="198"/>
        <v>UN</v>
      </c>
      <c r="L3158" s="166" t="str">
        <f t="shared" si="199"/>
        <v>07/2020</v>
      </c>
      <c r="M3158" s="82"/>
      <c r="N3158" s="82"/>
    </row>
    <row r="3159" spans="1:14" x14ac:dyDescent="0.25">
      <c r="A3159" s="170" t="s">
        <v>10482</v>
      </c>
      <c r="B3159" s="170" t="s">
        <v>10483</v>
      </c>
      <c r="C3159" s="170" t="s">
        <v>205</v>
      </c>
      <c r="D3159" s="170" t="s">
        <v>1947</v>
      </c>
      <c r="E3159" s="171" t="s">
        <v>23090</v>
      </c>
      <c r="F3159" s="171" t="s">
        <v>36480</v>
      </c>
      <c r="G3159" s="82"/>
      <c r="H3159" s="96">
        <f t="shared" si="196"/>
        <v>109.33</v>
      </c>
      <c r="I3159" s="96">
        <f t="shared" si="196"/>
        <v>112.8</v>
      </c>
      <c r="J3159" s="91" t="str">
        <f t="shared" si="197"/>
        <v>Sinapi 101540</v>
      </c>
      <c r="K3159" s="91" t="str">
        <f t="shared" si="198"/>
        <v>UN</v>
      </c>
      <c r="L3159" s="166" t="str">
        <f t="shared" si="199"/>
        <v>07/2020</v>
      </c>
      <c r="M3159" s="82"/>
      <c r="N3159" s="82"/>
    </row>
    <row r="3160" spans="1:14" x14ac:dyDescent="0.25">
      <c r="A3160" s="170" t="s">
        <v>10484</v>
      </c>
      <c r="B3160" s="170" t="s">
        <v>10485</v>
      </c>
      <c r="C3160" s="170" t="s">
        <v>205</v>
      </c>
      <c r="D3160" s="170" t="s">
        <v>1947</v>
      </c>
      <c r="E3160" s="171" t="s">
        <v>21081</v>
      </c>
      <c r="F3160" s="171" t="s">
        <v>36481</v>
      </c>
      <c r="G3160" s="82"/>
      <c r="H3160" s="96">
        <f t="shared" si="196"/>
        <v>142.85</v>
      </c>
      <c r="I3160" s="96">
        <f t="shared" si="196"/>
        <v>147.47999999999999</v>
      </c>
      <c r="J3160" s="91" t="str">
        <f t="shared" si="197"/>
        <v>Sinapi 101541</v>
      </c>
      <c r="K3160" s="91" t="str">
        <f t="shared" si="198"/>
        <v>UN</v>
      </c>
      <c r="L3160" s="166" t="str">
        <f t="shared" si="199"/>
        <v>07/2020</v>
      </c>
      <c r="M3160" s="82"/>
      <c r="N3160" s="82"/>
    </row>
    <row r="3161" spans="1:14" x14ac:dyDescent="0.25">
      <c r="A3161" s="170" t="s">
        <v>10486</v>
      </c>
      <c r="B3161" s="170" t="s">
        <v>10487</v>
      </c>
      <c r="C3161" s="170" t="s">
        <v>205</v>
      </c>
      <c r="D3161" s="170" t="s">
        <v>1947</v>
      </c>
      <c r="E3161" s="171" t="s">
        <v>22753</v>
      </c>
      <c r="F3161" s="171" t="s">
        <v>36482</v>
      </c>
      <c r="G3161" s="82"/>
      <c r="H3161" s="96">
        <f t="shared" si="196"/>
        <v>30.02</v>
      </c>
      <c r="I3161" s="96">
        <f t="shared" si="196"/>
        <v>30.99</v>
      </c>
      <c r="J3161" s="91" t="str">
        <f t="shared" si="197"/>
        <v>Sinapi 101542</v>
      </c>
      <c r="K3161" s="91" t="str">
        <f t="shared" si="198"/>
        <v>UN</v>
      </c>
      <c r="L3161" s="166" t="str">
        <f t="shared" si="199"/>
        <v>07/2020</v>
      </c>
      <c r="M3161" s="82"/>
      <c r="N3161" s="82"/>
    </row>
    <row r="3162" spans="1:14" x14ac:dyDescent="0.25">
      <c r="A3162" s="170" t="s">
        <v>10488</v>
      </c>
      <c r="B3162" s="170" t="s">
        <v>10489</v>
      </c>
      <c r="C3162" s="170" t="s">
        <v>205</v>
      </c>
      <c r="D3162" s="170" t="s">
        <v>1947</v>
      </c>
      <c r="E3162" s="171" t="s">
        <v>33032</v>
      </c>
      <c r="F3162" s="171" t="s">
        <v>22069</v>
      </c>
      <c r="G3162" s="82"/>
      <c r="H3162" s="96">
        <f t="shared" si="196"/>
        <v>54.01</v>
      </c>
      <c r="I3162" s="96">
        <f t="shared" si="196"/>
        <v>55.95</v>
      </c>
      <c r="J3162" s="91" t="str">
        <f t="shared" si="197"/>
        <v>Sinapi 101543</v>
      </c>
      <c r="K3162" s="91" t="str">
        <f t="shared" si="198"/>
        <v>UN</v>
      </c>
      <c r="L3162" s="166" t="str">
        <f t="shared" si="199"/>
        <v>07/2020</v>
      </c>
      <c r="M3162" s="82"/>
      <c r="N3162" s="82"/>
    </row>
    <row r="3163" spans="1:14" x14ac:dyDescent="0.25">
      <c r="A3163" s="170" t="s">
        <v>10490</v>
      </c>
      <c r="B3163" s="170" t="s">
        <v>10491</v>
      </c>
      <c r="C3163" s="170" t="s">
        <v>205</v>
      </c>
      <c r="D3163" s="170" t="s">
        <v>1947</v>
      </c>
      <c r="E3163" s="171" t="s">
        <v>33226</v>
      </c>
      <c r="F3163" s="171" t="s">
        <v>36483</v>
      </c>
      <c r="G3163" s="82"/>
      <c r="H3163" s="96">
        <f t="shared" si="196"/>
        <v>85.83</v>
      </c>
      <c r="I3163" s="96">
        <f t="shared" si="196"/>
        <v>88.73</v>
      </c>
      <c r="J3163" s="91" t="str">
        <f t="shared" si="197"/>
        <v>Sinapi 101544</v>
      </c>
      <c r="K3163" s="91" t="str">
        <f t="shared" si="198"/>
        <v>UN</v>
      </c>
      <c r="L3163" s="166" t="str">
        <f t="shared" si="199"/>
        <v>07/2020</v>
      </c>
      <c r="M3163" s="82"/>
      <c r="N3163" s="82"/>
    </row>
    <row r="3164" spans="1:14" x14ac:dyDescent="0.25">
      <c r="A3164" s="170" t="s">
        <v>10492</v>
      </c>
      <c r="B3164" s="170" t="s">
        <v>10493</v>
      </c>
      <c r="C3164" s="170" t="s">
        <v>205</v>
      </c>
      <c r="D3164" s="170" t="s">
        <v>1947</v>
      </c>
      <c r="E3164" s="171" t="s">
        <v>33227</v>
      </c>
      <c r="F3164" s="171" t="s">
        <v>36484</v>
      </c>
      <c r="G3164" s="82"/>
      <c r="H3164" s="96">
        <f t="shared" si="196"/>
        <v>123.56</v>
      </c>
      <c r="I3164" s="96">
        <f t="shared" si="196"/>
        <v>127.42</v>
      </c>
      <c r="J3164" s="91" t="str">
        <f t="shared" si="197"/>
        <v>Sinapi 101545</v>
      </c>
      <c r="K3164" s="91" t="str">
        <f t="shared" si="198"/>
        <v>UN</v>
      </c>
      <c r="L3164" s="166" t="str">
        <f t="shared" si="199"/>
        <v>07/2020</v>
      </c>
      <c r="M3164" s="82"/>
      <c r="N3164" s="82"/>
    </row>
    <row r="3165" spans="1:14" x14ac:dyDescent="0.25">
      <c r="A3165" s="170" t="s">
        <v>10494</v>
      </c>
      <c r="B3165" s="170" t="s">
        <v>10495</v>
      </c>
      <c r="C3165" s="170" t="s">
        <v>205</v>
      </c>
      <c r="D3165" s="170" t="s">
        <v>1947</v>
      </c>
      <c r="E3165" s="171" t="s">
        <v>33228</v>
      </c>
      <c r="F3165" s="171" t="s">
        <v>36485</v>
      </c>
      <c r="G3165" s="82"/>
      <c r="H3165" s="96">
        <f t="shared" si="196"/>
        <v>31.18</v>
      </c>
      <c r="I3165" s="96">
        <f t="shared" si="196"/>
        <v>31.38</v>
      </c>
      <c r="J3165" s="91" t="str">
        <f t="shared" si="197"/>
        <v>Sinapi 101546</v>
      </c>
      <c r="K3165" s="91" t="str">
        <f t="shared" si="198"/>
        <v>UN</v>
      </c>
      <c r="L3165" s="166" t="str">
        <f t="shared" si="199"/>
        <v>07/2020</v>
      </c>
      <c r="M3165" s="82"/>
      <c r="N3165" s="82"/>
    </row>
    <row r="3166" spans="1:14" x14ac:dyDescent="0.25">
      <c r="A3166" s="170" t="s">
        <v>10496</v>
      </c>
      <c r="B3166" s="170" t="s">
        <v>10497</v>
      </c>
      <c r="C3166" s="170" t="s">
        <v>205</v>
      </c>
      <c r="D3166" s="170" t="s">
        <v>1947</v>
      </c>
      <c r="E3166" s="171" t="s">
        <v>24659</v>
      </c>
      <c r="F3166" s="171" t="s">
        <v>36486</v>
      </c>
      <c r="G3166" s="82"/>
      <c r="H3166" s="96">
        <f t="shared" si="196"/>
        <v>98.17</v>
      </c>
      <c r="I3166" s="96">
        <f t="shared" si="196"/>
        <v>98.37</v>
      </c>
      <c r="J3166" s="91" t="str">
        <f t="shared" si="197"/>
        <v>Sinapi 101547</v>
      </c>
      <c r="K3166" s="91" t="str">
        <f t="shared" si="198"/>
        <v>UN</v>
      </c>
      <c r="L3166" s="166" t="str">
        <f t="shared" si="199"/>
        <v>07/2020</v>
      </c>
      <c r="M3166" s="82"/>
      <c r="N3166" s="82"/>
    </row>
    <row r="3167" spans="1:14" x14ac:dyDescent="0.25">
      <c r="A3167" s="170" t="s">
        <v>10498</v>
      </c>
      <c r="B3167" s="170" t="s">
        <v>10499</v>
      </c>
      <c r="C3167" s="170" t="s">
        <v>205</v>
      </c>
      <c r="D3167" s="170" t="s">
        <v>1947</v>
      </c>
      <c r="E3167" s="171" t="s">
        <v>19322</v>
      </c>
      <c r="F3167" s="171" t="s">
        <v>16347</v>
      </c>
      <c r="G3167" s="82"/>
      <c r="H3167" s="96">
        <f t="shared" si="196"/>
        <v>7.55</v>
      </c>
      <c r="I3167" s="96">
        <f t="shared" si="196"/>
        <v>7.75</v>
      </c>
      <c r="J3167" s="91" t="str">
        <f t="shared" si="197"/>
        <v>Sinapi 101548</v>
      </c>
      <c r="K3167" s="91" t="str">
        <f t="shared" si="198"/>
        <v>UN</v>
      </c>
      <c r="L3167" s="166" t="str">
        <f t="shared" si="199"/>
        <v>07/2020</v>
      </c>
      <c r="M3167" s="82"/>
      <c r="N3167" s="82"/>
    </row>
    <row r="3168" spans="1:14" x14ac:dyDescent="0.25">
      <c r="A3168" s="170" t="s">
        <v>10500</v>
      </c>
      <c r="B3168" s="170" t="s">
        <v>10501</v>
      </c>
      <c r="C3168" s="170" t="s">
        <v>205</v>
      </c>
      <c r="D3168" s="170" t="s">
        <v>2067</v>
      </c>
      <c r="E3168" s="171" t="s">
        <v>33229</v>
      </c>
      <c r="F3168" s="171" t="s">
        <v>11277</v>
      </c>
      <c r="G3168" s="82"/>
      <c r="H3168" s="96">
        <f t="shared" si="196"/>
        <v>16.53</v>
      </c>
      <c r="I3168" s="96">
        <f t="shared" si="196"/>
        <v>17.149999999999999</v>
      </c>
      <c r="J3168" s="91" t="str">
        <f t="shared" si="197"/>
        <v>Sinapi 101549</v>
      </c>
      <c r="K3168" s="91" t="str">
        <f t="shared" si="198"/>
        <v>UN</v>
      </c>
      <c r="L3168" s="166" t="str">
        <f t="shared" si="199"/>
        <v>07/2020</v>
      </c>
      <c r="M3168" s="82"/>
      <c r="N3168" s="82"/>
    </row>
    <row r="3169" spans="1:14" x14ac:dyDescent="0.25">
      <c r="A3169" s="170" t="s">
        <v>10502</v>
      </c>
      <c r="B3169" s="170" t="s">
        <v>10503</v>
      </c>
      <c r="C3169" s="170" t="s">
        <v>205</v>
      </c>
      <c r="D3169" s="170" t="s">
        <v>2067</v>
      </c>
      <c r="E3169" s="171" t="s">
        <v>7233</v>
      </c>
      <c r="F3169" s="171" t="s">
        <v>26288</v>
      </c>
      <c r="G3169" s="82"/>
      <c r="H3169" s="96">
        <f t="shared" si="196"/>
        <v>13.09</v>
      </c>
      <c r="I3169" s="96">
        <f t="shared" si="196"/>
        <v>13.57</v>
      </c>
      <c r="J3169" s="91" t="str">
        <f t="shared" si="197"/>
        <v>Sinapi 101553</v>
      </c>
      <c r="K3169" s="91" t="str">
        <f t="shared" si="198"/>
        <v>UN</v>
      </c>
      <c r="L3169" s="166" t="str">
        <f t="shared" si="199"/>
        <v>07/2020</v>
      </c>
      <c r="M3169" s="82"/>
      <c r="N3169" s="82"/>
    </row>
    <row r="3170" spans="1:14" x14ac:dyDescent="0.25">
      <c r="A3170" s="170" t="s">
        <v>10504</v>
      </c>
      <c r="B3170" s="170" t="s">
        <v>10505</v>
      </c>
      <c r="C3170" s="170" t="s">
        <v>205</v>
      </c>
      <c r="D3170" s="170" t="s">
        <v>2067</v>
      </c>
      <c r="E3170" s="171" t="s">
        <v>14625</v>
      </c>
      <c r="F3170" s="171" t="s">
        <v>2146</v>
      </c>
      <c r="G3170" s="82"/>
      <c r="H3170" s="96">
        <f t="shared" si="196"/>
        <v>9.5399999999999991</v>
      </c>
      <c r="I3170" s="96">
        <f t="shared" si="196"/>
        <v>10.02</v>
      </c>
      <c r="J3170" s="91" t="str">
        <f t="shared" si="197"/>
        <v>Sinapi 101554</v>
      </c>
      <c r="K3170" s="91" t="str">
        <f t="shared" si="198"/>
        <v>UN</v>
      </c>
      <c r="L3170" s="166" t="str">
        <f t="shared" si="199"/>
        <v>07/2020</v>
      </c>
      <c r="M3170" s="82"/>
      <c r="N3170" s="82"/>
    </row>
    <row r="3171" spans="1:14" x14ac:dyDescent="0.25">
      <c r="A3171" s="170" t="s">
        <v>10506</v>
      </c>
      <c r="B3171" s="170" t="s">
        <v>10507</v>
      </c>
      <c r="C3171" s="170" t="s">
        <v>205</v>
      </c>
      <c r="D3171" s="170" t="s">
        <v>2067</v>
      </c>
      <c r="E3171" s="171" t="s">
        <v>17713</v>
      </c>
      <c r="F3171" s="171" t="s">
        <v>20139</v>
      </c>
      <c r="G3171" s="82"/>
      <c r="H3171" s="96">
        <f t="shared" si="196"/>
        <v>6.31</v>
      </c>
      <c r="I3171" s="96">
        <f t="shared" si="196"/>
        <v>6.79</v>
      </c>
      <c r="J3171" s="91" t="str">
        <f t="shared" si="197"/>
        <v>Sinapi 101555</v>
      </c>
      <c r="K3171" s="91" t="str">
        <f t="shared" si="198"/>
        <v>UN</v>
      </c>
      <c r="L3171" s="166" t="str">
        <f t="shared" si="199"/>
        <v>07/2020</v>
      </c>
      <c r="M3171" s="82"/>
      <c r="N3171" s="82"/>
    </row>
    <row r="3172" spans="1:14" x14ac:dyDescent="0.25">
      <c r="A3172" s="170" t="s">
        <v>10508</v>
      </c>
      <c r="B3172" s="170" t="s">
        <v>10509</v>
      </c>
      <c r="C3172" s="170" t="s">
        <v>205</v>
      </c>
      <c r="D3172" s="170" t="s">
        <v>2067</v>
      </c>
      <c r="E3172" s="171" t="s">
        <v>14636</v>
      </c>
      <c r="F3172" s="171" t="s">
        <v>5233</v>
      </c>
      <c r="G3172" s="82"/>
      <c r="H3172" s="96">
        <f t="shared" si="196"/>
        <v>5.8</v>
      </c>
      <c r="I3172" s="96">
        <f t="shared" si="196"/>
        <v>6.28</v>
      </c>
      <c r="J3172" s="91" t="str">
        <f t="shared" si="197"/>
        <v>Sinapi 101556</v>
      </c>
      <c r="K3172" s="91" t="str">
        <f t="shared" si="198"/>
        <v>UN</v>
      </c>
      <c r="L3172" s="166" t="str">
        <f t="shared" si="199"/>
        <v>07/2020</v>
      </c>
      <c r="M3172" s="82"/>
      <c r="N3172" s="82"/>
    </row>
    <row r="3173" spans="1:14" x14ac:dyDescent="0.25">
      <c r="A3173" s="170" t="s">
        <v>10510</v>
      </c>
      <c r="B3173" s="170" t="s">
        <v>10511</v>
      </c>
      <c r="C3173" s="170" t="s">
        <v>385</v>
      </c>
      <c r="D3173" s="170" t="s">
        <v>2067</v>
      </c>
      <c r="E3173" s="171" t="s">
        <v>29583</v>
      </c>
      <c r="F3173" s="171" t="s">
        <v>29583</v>
      </c>
      <c r="G3173" s="82"/>
      <c r="H3173" s="96">
        <f t="shared" si="196"/>
        <v>10.99</v>
      </c>
      <c r="I3173" s="96">
        <f t="shared" si="196"/>
        <v>10.99</v>
      </c>
      <c r="J3173" s="91" t="str">
        <f t="shared" si="197"/>
        <v>Sinapi 101560</v>
      </c>
      <c r="K3173" s="91" t="str">
        <f t="shared" si="198"/>
        <v>M</v>
      </c>
      <c r="L3173" s="166" t="str">
        <f t="shared" si="199"/>
        <v>07/2020</v>
      </c>
      <c r="M3173" s="82"/>
      <c r="N3173" s="82"/>
    </row>
    <row r="3174" spans="1:14" x14ac:dyDescent="0.25">
      <c r="A3174" s="170" t="s">
        <v>10512</v>
      </c>
      <c r="B3174" s="170" t="s">
        <v>10513</v>
      </c>
      <c r="C3174" s="170" t="s">
        <v>385</v>
      </c>
      <c r="D3174" s="170" t="s">
        <v>2067</v>
      </c>
      <c r="E3174" s="171" t="s">
        <v>26230</v>
      </c>
      <c r="F3174" s="171" t="s">
        <v>26230</v>
      </c>
      <c r="G3174" s="82"/>
      <c r="H3174" s="96">
        <f t="shared" si="196"/>
        <v>17.47</v>
      </c>
      <c r="I3174" s="96">
        <f t="shared" si="196"/>
        <v>17.47</v>
      </c>
      <c r="J3174" s="91" t="str">
        <f t="shared" si="197"/>
        <v>Sinapi 101561</v>
      </c>
      <c r="K3174" s="91" t="str">
        <f t="shared" si="198"/>
        <v>M</v>
      </c>
      <c r="L3174" s="166" t="str">
        <f t="shared" si="199"/>
        <v>07/2020</v>
      </c>
      <c r="M3174" s="82"/>
      <c r="N3174" s="82"/>
    </row>
    <row r="3175" spans="1:14" x14ac:dyDescent="0.25">
      <c r="A3175" s="170" t="s">
        <v>10514</v>
      </c>
      <c r="B3175" s="170" t="s">
        <v>10515</v>
      </c>
      <c r="C3175" s="170" t="s">
        <v>385</v>
      </c>
      <c r="D3175" s="170" t="s">
        <v>2067</v>
      </c>
      <c r="E3175" s="171" t="s">
        <v>28822</v>
      </c>
      <c r="F3175" s="171" t="s">
        <v>28822</v>
      </c>
      <c r="G3175" s="82"/>
      <c r="H3175" s="96">
        <f t="shared" si="196"/>
        <v>27.05</v>
      </c>
      <c r="I3175" s="96">
        <f t="shared" si="196"/>
        <v>27.05</v>
      </c>
      <c r="J3175" s="91" t="str">
        <f t="shared" si="197"/>
        <v>Sinapi 101562</v>
      </c>
      <c r="K3175" s="91" t="str">
        <f t="shared" si="198"/>
        <v>M</v>
      </c>
      <c r="L3175" s="166" t="str">
        <f t="shared" si="199"/>
        <v>07/2020</v>
      </c>
      <c r="M3175" s="82"/>
      <c r="N3175" s="82"/>
    </row>
    <row r="3176" spans="1:14" x14ac:dyDescent="0.25">
      <c r="A3176" s="170" t="s">
        <v>10516</v>
      </c>
      <c r="B3176" s="170" t="s">
        <v>10517</v>
      </c>
      <c r="C3176" s="170" t="s">
        <v>385</v>
      </c>
      <c r="D3176" s="170" t="s">
        <v>2067</v>
      </c>
      <c r="E3176" s="171" t="s">
        <v>33230</v>
      </c>
      <c r="F3176" s="171" t="s">
        <v>23041</v>
      </c>
      <c r="G3176" s="82"/>
      <c r="H3176" s="96">
        <f t="shared" si="196"/>
        <v>38.18</v>
      </c>
      <c r="I3176" s="96">
        <f t="shared" si="196"/>
        <v>38.19</v>
      </c>
      <c r="J3176" s="91" t="str">
        <f t="shared" si="197"/>
        <v>Sinapi 101563</v>
      </c>
      <c r="K3176" s="91" t="str">
        <f t="shared" si="198"/>
        <v>M</v>
      </c>
      <c r="L3176" s="166" t="str">
        <f t="shared" si="199"/>
        <v>07/2020</v>
      </c>
      <c r="M3176" s="82"/>
      <c r="N3176" s="82"/>
    </row>
    <row r="3177" spans="1:14" x14ac:dyDescent="0.25">
      <c r="A3177" s="170" t="s">
        <v>10518</v>
      </c>
      <c r="B3177" s="170" t="s">
        <v>10519</v>
      </c>
      <c r="C3177" s="170" t="s">
        <v>385</v>
      </c>
      <c r="D3177" s="170" t="s">
        <v>2067</v>
      </c>
      <c r="E3177" s="171" t="s">
        <v>17910</v>
      </c>
      <c r="F3177" s="171" t="s">
        <v>33608</v>
      </c>
      <c r="G3177" s="82"/>
      <c r="H3177" s="96">
        <f t="shared" si="196"/>
        <v>56.44</v>
      </c>
      <c r="I3177" s="96">
        <f t="shared" si="196"/>
        <v>56.45</v>
      </c>
      <c r="J3177" s="91" t="str">
        <f t="shared" si="197"/>
        <v>Sinapi 101564</v>
      </c>
      <c r="K3177" s="91" t="str">
        <f t="shared" si="198"/>
        <v>M</v>
      </c>
      <c r="L3177" s="166" t="str">
        <f t="shared" si="199"/>
        <v>07/2020</v>
      </c>
      <c r="M3177" s="82"/>
      <c r="N3177" s="82"/>
    </row>
    <row r="3178" spans="1:14" x14ac:dyDescent="0.25">
      <c r="A3178" s="170" t="s">
        <v>10520</v>
      </c>
      <c r="B3178" s="170" t="s">
        <v>10521</v>
      </c>
      <c r="C3178" s="170" t="s">
        <v>385</v>
      </c>
      <c r="D3178" s="170" t="s">
        <v>2067</v>
      </c>
      <c r="E3178" s="171" t="s">
        <v>23279</v>
      </c>
      <c r="F3178" s="171" t="s">
        <v>36487</v>
      </c>
      <c r="G3178" s="82"/>
      <c r="H3178" s="96">
        <f t="shared" si="196"/>
        <v>78.930000000000007</v>
      </c>
      <c r="I3178" s="96">
        <f t="shared" si="196"/>
        <v>78.94</v>
      </c>
      <c r="J3178" s="91" t="str">
        <f t="shared" si="197"/>
        <v>Sinapi 101565</v>
      </c>
      <c r="K3178" s="91" t="str">
        <f t="shared" si="198"/>
        <v>M</v>
      </c>
      <c r="L3178" s="166" t="str">
        <f t="shared" si="199"/>
        <v>07/2020</v>
      </c>
      <c r="M3178" s="82"/>
      <c r="N3178" s="82"/>
    </row>
    <row r="3179" spans="1:14" x14ac:dyDescent="0.25">
      <c r="A3179" s="170" t="s">
        <v>10522</v>
      </c>
      <c r="B3179" s="170" t="s">
        <v>10523</v>
      </c>
      <c r="C3179" s="170" t="s">
        <v>385</v>
      </c>
      <c r="D3179" s="170" t="s">
        <v>2067</v>
      </c>
      <c r="E3179" s="171" t="s">
        <v>21338</v>
      </c>
      <c r="F3179" s="171" t="s">
        <v>36488</v>
      </c>
      <c r="G3179" s="82"/>
      <c r="H3179" s="96">
        <f t="shared" si="196"/>
        <v>102.45</v>
      </c>
      <c r="I3179" s="96">
        <f t="shared" si="196"/>
        <v>102.46</v>
      </c>
      <c r="J3179" s="91" t="str">
        <f t="shared" si="197"/>
        <v>Sinapi 101567</v>
      </c>
      <c r="K3179" s="91" t="str">
        <f t="shared" si="198"/>
        <v>M</v>
      </c>
      <c r="L3179" s="166" t="str">
        <f t="shared" si="199"/>
        <v>07/2020</v>
      </c>
      <c r="M3179" s="82"/>
      <c r="N3179" s="82"/>
    </row>
    <row r="3180" spans="1:14" x14ac:dyDescent="0.25">
      <c r="A3180" s="170" t="s">
        <v>10524</v>
      </c>
      <c r="B3180" s="170" t="s">
        <v>10525</v>
      </c>
      <c r="C3180" s="170" t="s">
        <v>385</v>
      </c>
      <c r="D3180" s="170" t="s">
        <v>2067</v>
      </c>
      <c r="E3180" s="171" t="s">
        <v>33231</v>
      </c>
      <c r="F3180" s="171" t="s">
        <v>35298</v>
      </c>
      <c r="G3180" s="82"/>
      <c r="H3180" s="96">
        <f t="shared" si="196"/>
        <v>133.97</v>
      </c>
      <c r="I3180" s="96">
        <f t="shared" si="196"/>
        <v>133.97999999999999</v>
      </c>
      <c r="J3180" s="91" t="str">
        <f t="shared" si="197"/>
        <v>Sinapi 101568</v>
      </c>
      <c r="K3180" s="91" t="str">
        <f t="shared" si="198"/>
        <v>M</v>
      </c>
      <c r="L3180" s="166" t="str">
        <f t="shared" si="199"/>
        <v>07/2020</v>
      </c>
      <c r="M3180" s="82"/>
      <c r="N3180" s="82"/>
    </row>
    <row r="3181" spans="1:14" x14ac:dyDescent="0.25">
      <c r="A3181" s="170" t="s">
        <v>11447</v>
      </c>
      <c r="B3181" s="170" t="s">
        <v>11448</v>
      </c>
      <c r="C3181" s="170" t="s">
        <v>205</v>
      </c>
      <c r="D3181" s="170" t="s">
        <v>1947</v>
      </c>
      <c r="E3181" s="171" t="s">
        <v>33232</v>
      </c>
      <c r="F3181" s="171" t="s">
        <v>36489</v>
      </c>
      <c r="G3181" s="82"/>
      <c r="H3181" s="96">
        <f t="shared" si="196"/>
        <v>170.77</v>
      </c>
      <c r="I3181" s="96">
        <f t="shared" si="196"/>
        <v>171.71</v>
      </c>
      <c r="J3181" s="91" t="str">
        <f t="shared" si="197"/>
        <v>Sinapi 101626</v>
      </c>
      <c r="K3181" s="91" t="str">
        <f t="shared" si="198"/>
        <v>UN</v>
      </c>
      <c r="L3181" s="166" t="str">
        <f t="shared" si="199"/>
        <v>08/2020</v>
      </c>
      <c r="M3181" s="82"/>
      <c r="N3181" s="82"/>
    </row>
    <row r="3182" spans="1:14" x14ac:dyDescent="0.25">
      <c r="A3182" s="170" t="s">
        <v>11449</v>
      </c>
      <c r="B3182" s="170" t="s">
        <v>11450</v>
      </c>
      <c r="C3182" s="170" t="s">
        <v>205</v>
      </c>
      <c r="D3182" s="170" t="s">
        <v>1947</v>
      </c>
      <c r="E3182" s="171" t="s">
        <v>33233</v>
      </c>
      <c r="F3182" s="171" t="s">
        <v>36490</v>
      </c>
      <c r="G3182" s="82"/>
      <c r="H3182" s="96">
        <f t="shared" si="196"/>
        <v>266.20999999999998</v>
      </c>
      <c r="I3182" s="96">
        <f t="shared" si="196"/>
        <v>267.14999999999998</v>
      </c>
      <c r="J3182" s="91" t="str">
        <f t="shared" si="197"/>
        <v>Sinapi 101627</v>
      </c>
      <c r="K3182" s="91" t="str">
        <f t="shared" si="198"/>
        <v>UN</v>
      </c>
      <c r="L3182" s="166" t="str">
        <f t="shared" si="199"/>
        <v>08/2020</v>
      </c>
      <c r="M3182" s="82"/>
      <c r="N3182" s="82"/>
    </row>
    <row r="3183" spans="1:14" x14ac:dyDescent="0.25">
      <c r="A3183" s="170" t="s">
        <v>11451</v>
      </c>
      <c r="B3183" s="170" t="s">
        <v>11452</v>
      </c>
      <c r="C3183" s="170" t="s">
        <v>205</v>
      </c>
      <c r="D3183" s="170" t="s">
        <v>1947</v>
      </c>
      <c r="E3183" s="171" t="s">
        <v>23229</v>
      </c>
      <c r="F3183" s="171" t="s">
        <v>21557</v>
      </c>
      <c r="G3183" s="82"/>
      <c r="H3183" s="96">
        <f t="shared" si="196"/>
        <v>126.62</v>
      </c>
      <c r="I3183" s="96">
        <f t="shared" si="196"/>
        <v>127.56</v>
      </c>
      <c r="J3183" s="91" t="str">
        <f t="shared" si="197"/>
        <v>Sinapi 101628</v>
      </c>
      <c r="K3183" s="91" t="str">
        <f t="shared" si="198"/>
        <v>UN</v>
      </c>
      <c r="L3183" s="166" t="str">
        <f t="shared" si="199"/>
        <v>08/2020</v>
      </c>
      <c r="M3183" s="82"/>
      <c r="N3183" s="82"/>
    </row>
    <row r="3184" spans="1:14" x14ac:dyDescent="0.25">
      <c r="A3184" s="170" t="s">
        <v>11453</v>
      </c>
      <c r="B3184" s="170" t="s">
        <v>11454</v>
      </c>
      <c r="C3184" s="170" t="s">
        <v>205</v>
      </c>
      <c r="D3184" s="170" t="s">
        <v>1947</v>
      </c>
      <c r="E3184" s="171" t="s">
        <v>33234</v>
      </c>
      <c r="F3184" s="171" t="s">
        <v>36491</v>
      </c>
      <c r="G3184" s="82"/>
      <c r="H3184" s="96">
        <f t="shared" si="196"/>
        <v>149.36000000000001</v>
      </c>
      <c r="I3184" s="96">
        <f t="shared" si="196"/>
        <v>150.30000000000001</v>
      </c>
      <c r="J3184" s="91" t="str">
        <f t="shared" si="197"/>
        <v>Sinapi 101629</v>
      </c>
      <c r="K3184" s="91" t="str">
        <f t="shared" si="198"/>
        <v>UN</v>
      </c>
      <c r="L3184" s="166" t="str">
        <f t="shared" si="199"/>
        <v>08/2020</v>
      </c>
      <c r="M3184" s="82"/>
      <c r="N3184" s="82"/>
    </row>
    <row r="3185" spans="1:14" x14ac:dyDescent="0.25">
      <c r="A3185" s="170" t="s">
        <v>11455</v>
      </c>
      <c r="B3185" s="170" t="s">
        <v>11456</v>
      </c>
      <c r="C3185" s="170" t="s">
        <v>205</v>
      </c>
      <c r="D3185" s="170" t="s">
        <v>1947</v>
      </c>
      <c r="E3185" s="171" t="s">
        <v>22019</v>
      </c>
      <c r="F3185" s="171" t="s">
        <v>36492</v>
      </c>
      <c r="G3185" s="82"/>
      <c r="H3185" s="96">
        <f t="shared" si="196"/>
        <v>80.27</v>
      </c>
      <c r="I3185" s="96">
        <f t="shared" si="196"/>
        <v>82.22</v>
      </c>
      <c r="J3185" s="91" t="str">
        <f t="shared" si="197"/>
        <v>Sinapi 101630</v>
      </c>
      <c r="K3185" s="91" t="str">
        <f t="shared" si="198"/>
        <v>UN</v>
      </c>
      <c r="L3185" s="166" t="str">
        <f t="shared" si="199"/>
        <v>08/2020</v>
      </c>
      <c r="M3185" s="82"/>
      <c r="N3185" s="82"/>
    </row>
    <row r="3186" spans="1:14" x14ac:dyDescent="0.25">
      <c r="A3186" s="170" t="s">
        <v>11457</v>
      </c>
      <c r="B3186" s="170" t="s">
        <v>11458</v>
      </c>
      <c r="C3186" s="170" t="s">
        <v>205</v>
      </c>
      <c r="D3186" s="170" t="s">
        <v>1947</v>
      </c>
      <c r="E3186" s="171" t="s">
        <v>33235</v>
      </c>
      <c r="F3186" s="171" t="s">
        <v>19838</v>
      </c>
      <c r="G3186" s="82"/>
      <c r="H3186" s="96">
        <f t="shared" si="196"/>
        <v>35.96</v>
      </c>
      <c r="I3186" s="96">
        <f t="shared" si="196"/>
        <v>36.9</v>
      </c>
      <c r="J3186" s="91" t="str">
        <f t="shared" si="197"/>
        <v>Sinapi 101631</v>
      </c>
      <c r="K3186" s="91" t="str">
        <f t="shared" si="198"/>
        <v>UN</v>
      </c>
      <c r="L3186" s="166" t="str">
        <f t="shared" si="199"/>
        <v>08/2020</v>
      </c>
      <c r="M3186" s="82"/>
      <c r="N3186" s="82"/>
    </row>
    <row r="3187" spans="1:14" x14ac:dyDescent="0.25">
      <c r="A3187" s="170" t="s">
        <v>11459</v>
      </c>
      <c r="B3187" s="170" t="s">
        <v>11460</v>
      </c>
      <c r="C3187" s="170" t="s">
        <v>205</v>
      </c>
      <c r="D3187" s="170" t="s">
        <v>1947</v>
      </c>
      <c r="E3187" s="171" t="s">
        <v>23040</v>
      </c>
      <c r="F3187" s="171" t="s">
        <v>18191</v>
      </c>
      <c r="G3187" s="82"/>
      <c r="H3187" s="96">
        <f t="shared" si="196"/>
        <v>38.15</v>
      </c>
      <c r="I3187" s="96">
        <f t="shared" si="196"/>
        <v>38.22</v>
      </c>
      <c r="J3187" s="91" t="str">
        <f t="shared" si="197"/>
        <v>Sinapi 101632</v>
      </c>
      <c r="K3187" s="91" t="str">
        <f t="shared" si="198"/>
        <v>UN</v>
      </c>
      <c r="L3187" s="166" t="str">
        <f t="shared" si="199"/>
        <v>08/2020</v>
      </c>
      <c r="M3187" s="82"/>
      <c r="N3187" s="82"/>
    </row>
    <row r="3188" spans="1:14" x14ac:dyDescent="0.25">
      <c r="A3188" s="170" t="s">
        <v>11461</v>
      </c>
      <c r="B3188" s="170" t="s">
        <v>11462</v>
      </c>
      <c r="C3188" s="170" t="s">
        <v>205</v>
      </c>
      <c r="D3188" s="170" t="s">
        <v>1947</v>
      </c>
      <c r="E3188" s="171" t="s">
        <v>33236</v>
      </c>
      <c r="F3188" s="171" t="s">
        <v>21030</v>
      </c>
      <c r="G3188" s="82"/>
      <c r="H3188" s="96">
        <f t="shared" si="196"/>
        <v>107.19</v>
      </c>
      <c r="I3188" s="96">
        <f t="shared" si="196"/>
        <v>107.96</v>
      </c>
      <c r="J3188" s="91" t="str">
        <f t="shared" si="197"/>
        <v>Sinapi 101633</v>
      </c>
      <c r="K3188" s="91" t="str">
        <f t="shared" si="198"/>
        <v>UN</v>
      </c>
      <c r="L3188" s="166" t="str">
        <f t="shared" si="199"/>
        <v>08/2020</v>
      </c>
      <c r="M3188" s="82"/>
      <c r="N3188" s="82"/>
    </row>
    <row r="3189" spans="1:14" x14ac:dyDescent="0.25">
      <c r="A3189" s="170" t="s">
        <v>11463</v>
      </c>
      <c r="B3189" s="170" t="s">
        <v>11464</v>
      </c>
      <c r="C3189" s="170" t="s">
        <v>205</v>
      </c>
      <c r="D3189" s="170" t="s">
        <v>1947</v>
      </c>
      <c r="E3189" s="171" t="s">
        <v>28824</v>
      </c>
      <c r="F3189" s="171" t="s">
        <v>36493</v>
      </c>
      <c r="G3189" s="82"/>
      <c r="H3189" s="96">
        <f t="shared" si="196"/>
        <v>152.69</v>
      </c>
      <c r="I3189" s="96">
        <f t="shared" si="196"/>
        <v>156.55000000000001</v>
      </c>
      <c r="J3189" s="91" t="str">
        <f t="shared" si="197"/>
        <v>Sinapi 101636</v>
      </c>
      <c r="K3189" s="91" t="str">
        <f t="shared" si="198"/>
        <v>UN</v>
      </c>
      <c r="L3189" s="166" t="str">
        <f t="shared" si="199"/>
        <v>08/2020</v>
      </c>
      <c r="M3189" s="82"/>
      <c r="N3189" s="82"/>
    </row>
    <row r="3190" spans="1:14" x14ac:dyDescent="0.25">
      <c r="A3190" s="170" t="s">
        <v>11465</v>
      </c>
      <c r="B3190" s="170" t="s">
        <v>11466</v>
      </c>
      <c r="C3190" s="170" t="s">
        <v>205</v>
      </c>
      <c r="D3190" s="170" t="s">
        <v>1947</v>
      </c>
      <c r="E3190" s="171" t="s">
        <v>23336</v>
      </c>
      <c r="F3190" s="171" t="s">
        <v>28982</v>
      </c>
      <c r="G3190" s="82"/>
      <c r="H3190" s="96">
        <f t="shared" si="196"/>
        <v>146.94999999999999</v>
      </c>
      <c r="I3190" s="96">
        <f t="shared" si="196"/>
        <v>150.81</v>
      </c>
      <c r="J3190" s="91" t="str">
        <f t="shared" si="197"/>
        <v>Sinapi 101637</v>
      </c>
      <c r="K3190" s="91" t="str">
        <f t="shared" si="198"/>
        <v>UN</v>
      </c>
      <c r="L3190" s="166" t="str">
        <f t="shared" si="199"/>
        <v>08/2020</v>
      </c>
      <c r="M3190" s="82"/>
      <c r="N3190" s="82"/>
    </row>
    <row r="3191" spans="1:14" x14ac:dyDescent="0.25">
      <c r="A3191" s="170" t="s">
        <v>11467</v>
      </c>
      <c r="B3191" s="170" t="s">
        <v>11468</v>
      </c>
      <c r="C3191" s="170" t="s">
        <v>205</v>
      </c>
      <c r="D3191" s="170" t="s">
        <v>1947</v>
      </c>
      <c r="E3191" s="171" t="s">
        <v>33237</v>
      </c>
      <c r="F3191" s="171" t="s">
        <v>36494</v>
      </c>
      <c r="G3191" s="82"/>
      <c r="H3191" s="96">
        <f t="shared" si="196"/>
        <v>97.29</v>
      </c>
      <c r="I3191" s="96">
        <f t="shared" si="196"/>
        <v>97.43</v>
      </c>
      <c r="J3191" s="91" t="str">
        <f t="shared" si="197"/>
        <v>Sinapi 101640</v>
      </c>
      <c r="K3191" s="91" t="str">
        <f t="shared" si="198"/>
        <v>UN</v>
      </c>
      <c r="L3191" s="166" t="str">
        <f t="shared" si="199"/>
        <v>08/2020</v>
      </c>
      <c r="M3191" s="82"/>
      <c r="N3191" s="82"/>
    </row>
    <row r="3192" spans="1:14" x14ac:dyDescent="0.25">
      <c r="A3192" s="170" t="s">
        <v>11469</v>
      </c>
      <c r="B3192" s="170" t="s">
        <v>11470</v>
      </c>
      <c r="C3192" s="170" t="s">
        <v>205</v>
      </c>
      <c r="D3192" s="170" t="s">
        <v>1947</v>
      </c>
      <c r="E3192" s="171" t="s">
        <v>21465</v>
      </c>
      <c r="F3192" s="171" t="s">
        <v>32184</v>
      </c>
      <c r="G3192" s="82"/>
      <c r="H3192" s="96">
        <f t="shared" si="196"/>
        <v>50.28</v>
      </c>
      <c r="I3192" s="96">
        <f t="shared" si="196"/>
        <v>50.42</v>
      </c>
      <c r="J3192" s="91" t="str">
        <f t="shared" si="197"/>
        <v>Sinapi 101641</v>
      </c>
      <c r="K3192" s="91" t="str">
        <f t="shared" si="198"/>
        <v>UN</v>
      </c>
      <c r="L3192" s="166" t="str">
        <f t="shared" si="199"/>
        <v>08/2020</v>
      </c>
      <c r="M3192" s="82"/>
      <c r="N3192" s="82"/>
    </row>
    <row r="3193" spans="1:14" x14ac:dyDescent="0.25">
      <c r="A3193" s="170" t="s">
        <v>11471</v>
      </c>
      <c r="B3193" s="170" t="s">
        <v>11472</v>
      </c>
      <c r="C3193" s="170" t="s">
        <v>205</v>
      </c>
      <c r="D3193" s="170" t="s">
        <v>1947</v>
      </c>
      <c r="E3193" s="171" t="s">
        <v>19841</v>
      </c>
      <c r="F3193" s="171" t="s">
        <v>18121</v>
      </c>
      <c r="G3193" s="82"/>
      <c r="H3193" s="96">
        <f t="shared" si="196"/>
        <v>25.12</v>
      </c>
      <c r="I3193" s="96">
        <f t="shared" si="196"/>
        <v>25.26</v>
      </c>
      <c r="J3193" s="91" t="str">
        <f t="shared" si="197"/>
        <v>Sinapi 101642</v>
      </c>
      <c r="K3193" s="91" t="str">
        <f t="shared" si="198"/>
        <v>UN</v>
      </c>
      <c r="L3193" s="166" t="str">
        <f t="shared" si="199"/>
        <v>08/2020</v>
      </c>
      <c r="M3193" s="82"/>
      <c r="N3193" s="82"/>
    </row>
    <row r="3194" spans="1:14" x14ac:dyDescent="0.25">
      <c r="A3194" s="170" t="s">
        <v>11473</v>
      </c>
      <c r="B3194" s="170" t="s">
        <v>11474</v>
      </c>
      <c r="C3194" s="170" t="s">
        <v>205</v>
      </c>
      <c r="D3194" s="170" t="s">
        <v>1947</v>
      </c>
      <c r="E3194" s="171" t="s">
        <v>23104</v>
      </c>
      <c r="F3194" s="171" t="s">
        <v>20641</v>
      </c>
      <c r="G3194" s="82"/>
      <c r="H3194" s="96">
        <f t="shared" si="196"/>
        <v>43.86</v>
      </c>
      <c r="I3194" s="96">
        <f t="shared" si="196"/>
        <v>44</v>
      </c>
      <c r="J3194" s="91" t="str">
        <f t="shared" si="197"/>
        <v>Sinapi 101643</v>
      </c>
      <c r="K3194" s="91" t="str">
        <f t="shared" si="198"/>
        <v>UN</v>
      </c>
      <c r="L3194" s="166" t="str">
        <f t="shared" si="199"/>
        <v>08/2020</v>
      </c>
      <c r="M3194" s="82"/>
      <c r="N3194" s="82"/>
    </row>
    <row r="3195" spans="1:14" x14ac:dyDescent="0.25">
      <c r="A3195" s="170" t="s">
        <v>11475</v>
      </c>
      <c r="B3195" s="170" t="s">
        <v>11476</v>
      </c>
      <c r="C3195" s="170" t="s">
        <v>205</v>
      </c>
      <c r="D3195" s="170" t="s">
        <v>1947</v>
      </c>
      <c r="E3195" s="171" t="s">
        <v>20107</v>
      </c>
      <c r="F3195" s="171" t="s">
        <v>36495</v>
      </c>
      <c r="G3195" s="82"/>
      <c r="H3195" s="96">
        <f t="shared" si="196"/>
        <v>59.43</v>
      </c>
      <c r="I3195" s="96">
        <f t="shared" si="196"/>
        <v>59.57</v>
      </c>
      <c r="J3195" s="91" t="str">
        <f t="shared" si="197"/>
        <v>Sinapi 101644</v>
      </c>
      <c r="K3195" s="91" t="str">
        <f t="shared" si="198"/>
        <v>UN</v>
      </c>
      <c r="L3195" s="166" t="str">
        <f t="shared" si="199"/>
        <v>08/2020</v>
      </c>
      <c r="M3195" s="82"/>
      <c r="N3195" s="82"/>
    </row>
    <row r="3196" spans="1:14" x14ac:dyDescent="0.25">
      <c r="A3196" s="170" t="s">
        <v>11477</v>
      </c>
      <c r="B3196" s="170" t="s">
        <v>11478</v>
      </c>
      <c r="C3196" s="170" t="s">
        <v>205</v>
      </c>
      <c r="D3196" s="170" t="s">
        <v>1947</v>
      </c>
      <c r="E3196" s="171" t="s">
        <v>28588</v>
      </c>
      <c r="F3196" s="171" t="s">
        <v>32011</v>
      </c>
      <c r="G3196" s="82"/>
      <c r="H3196" s="96">
        <f t="shared" si="196"/>
        <v>28.02</v>
      </c>
      <c r="I3196" s="96">
        <f t="shared" si="196"/>
        <v>28.16</v>
      </c>
      <c r="J3196" s="91" t="str">
        <f t="shared" si="197"/>
        <v>Sinapi 101645</v>
      </c>
      <c r="K3196" s="91" t="str">
        <f t="shared" si="198"/>
        <v>UN</v>
      </c>
      <c r="L3196" s="166" t="str">
        <f t="shared" si="199"/>
        <v>08/2020</v>
      </c>
      <c r="M3196" s="82"/>
      <c r="N3196" s="82"/>
    </row>
    <row r="3197" spans="1:14" x14ac:dyDescent="0.25">
      <c r="A3197" s="170" t="s">
        <v>11479</v>
      </c>
      <c r="B3197" s="170" t="s">
        <v>11480</v>
      </c>
      <c r="C3197" s="170" t="s">
        <v>205</v>
      </c>
      <c r="D3197" s="170" t="s">
        <v>1947</v>
      </c>
      <c r="E3197" s="171" t="s">
        <v>29800</v>
      </c>
      <c r="F3197" s="171" t="s">
        <v>29536</v>
      </c>
      <c r="G3197" s="82"/>
      <c r="H3197" s="96">
        <f t="shared" si="196"/>
        <v>37.28</v>
      </c>
      <c r="I3197" s="96">
        <f t="shared" si="196"/>
        <v>37.42</v>
      </c>
      <c r="J3197" s="91" t="str">
        <f t="shared" si="197"/>
        <v>Sinapi 101646</v>
      </c>
      <c r="K3197" s="91" t="str">
        <f t="shared" si="198"/>
        <v>UN</v>
      </c>
      <c r="L3197" s="166" t="str">
        <f t="shared" si="199"/>
        <v>08/2020</v>
      </c>
      <c r="M3197" s="82"/>
      <c r="N3197" s="82"/>
    </row>
    <row r="3198" spans="1:14" x14ac:dyDescent="0.25">
      <c r="A3198" s="170" t="s">
        <v>11481</v>
      </c>
      <c r="B3198" s="170" t="s">
        <v>11482</v>
      </c>
      <c r="C3198" s="170" t="s">
        <v>205</v>
      </c>
      <c r="D3198" s="170" t="s">
        <v>1947</v>
      </c>
      <c r="E3198" s="171" t="s">
        <v>28762</v>
      </c>
      <c r="F3198" s="171" t="s">
        <v>23001</v>
      </c>
      <c r="G3198" s="82"/>
      <c r="H3198" s="96">
        <f t="shared" si="196"/>
        <v>68.66</v>
      </c>
      <c r="I3198" s="96">
        <f t="shared" si="196"/>
        <v>68.8</v>
      </c>
      <c r="J3198" s="91" t="str">
        <f t="shared" si="197"/>
        <v>Sinapi 101647</v>
      </c>
      <c r="K3198" s="91" t="str">
        <f t="shared" si="198"/>
        <v>UN</v>
      </c>
      <c r="L3198" s="166" t="str">
        <f t="shared" si="199"/>
        <v>08/2020</v>
      </c>
      <c r="M3198" s="82"/>
      <c r="N3198" s="82"/>
    </row>
    <row r="3199" spans="1:14" x14ac:dyDescent="0.25">
      <c r="A3199" s="170" t="s">
        <v>11483</v>
      </c>
      <c r="B3199" s="170" t="s">
        <v>11484</v>
      </c>
      <c r="C3199" s="170" t="s">
        <v>205</v>
      </c>
      <c r="D3199" s="170" t="s">
        <v>1947</v>
      </c>
      <c r="E3199" s="171" t="s">
        <v>33238</v>
      </c>
      <c r="F3199" s="171" t="s">
        <v>27119</v>
      </c>
      <c r="G3199" s="82"/>
      <c r="H3199" s="96">
        <f t="shared" si="196"/>
        <v>53.05</v>
      </c>
      <c r="I3199" s="96">
        <f t="shared" si="196"/>
        <v>53.19</v>
      </c>
      <c r="J3199" s="91" t="str">
        <f t="shared" si="197"/>
        <v>Sinapi 101648</v>
      </c>
      <c r="K3199" s="91" t="str">
        <f t="shared" si="198"/>
        <v>UN</v>
      </c>
      <c r="L3199" s="166" t="str">
        <f t="shared" si="199"/>
        <v>08/2020</v>
      </c>
      <c r="M3199" s="82"/>
      <c r="N3199" s="82"/>
    </row>
    <row r="3200" spans="1:14" x14ac:dyDescent="0.25">
      <c r="A3200" s="170" t="s">
        <v>11485</v>
      </c>
      <c r="B3200" s="170" t="s">
        <v>11486</v>
      </c>
      <c r="C3200" s="170" t="s">
        <v>205</v>
      </c>
      <c r="D3200" s="170" t="s">
        <v>1947</v>
      </c>
      <c r="E3200" s="171" t="s">
        <v>22870</v>
      </c>
      <c r="F3200" s="171" t="s">
        <v>36496</v>
      </c>
      <c r="G3200" s="82"/>
      <c r="H3200" s="96">
        <f t="shared" si="196"/>
        <v>61.16</v>
      </c>
      <c r="I3200" s="96">
        <f t="shared" si="196"/>
        <v>61.3</v>
      </c>
      <c r="J3200" s="91" t="str">
        <f t="shared" si="197"/>
        <v>Sinapi 101649</v>
      </c>
      <c r="K3200" s="91" t="str">
        <f t="shared" si="198"/>
        <v>UN</v>
      </c>
      <c r="L3200" s="166" t="str">
        <f t="shared" si="199"/>
        <v>08/2020</v>
      </c>
      <c r="M3200" s="82"/>
      <c r="N3200" s="82"/>
    </row>
    <row r="3201" spans="1:14" x14ac:dyDescent="0.25">
      <c r="A3201" s="170" t="s">
        <v>11487</v>
      </c>
      <c r="B3201" s="170" t="s">
        <v>11488</v>
      </c>
      <c r="C3201" s="170" t="s">
        <v>205</v>
      </c>
      <c r="D3201" s="170" t="s">
        <v>1947</v>
      </c>
      <c r="E3201" s="171" t="s">
        <v>29224</v>
      </c>
      <c r="F3201" s="171" t="s">
        <v>36497</v>
      </c>
      <c r="G3201" s="82"/>
      <c r="H3201" s="96">
        <f t="shared" si="196"/>
        <v>71.12</v>
      </c>
      <c r="I3201" s="96">
        <f t="shared" si="196"/>
        <v>71.260000000000005</v>
      </c>
      <c r="J3201" s="91" t="str">
        <f t="shared" si="197"/>
        <v>Sinapi 101650</v>
      </c>
      <c r="K3201" s="91" t="str">
        <f t="shared" si="198"/>
        <v>UN</v>
      </c>
      <c r="L3201" s="166" t="str">
        <f t="shared" si="199"/>
        <v>08/2020</v>
      </c>
      <c r="M3201" s="82"/>
      <c r="N3201" s="82"/>
    </row>
    <row r="3202" spans="1:14" x14ac:dyDescent="0.25">
      <c r="A3202" s="170" t="s">
        <v>11489</v>
      </c>
      <c r="B3202" s="170" t="s">
        <v>11490</v>
      </c>
      <c r="C3202" s="170" t="s">
        <v>205</v>
      </c>
      <c r="D3202" s="170" t="s">
        <v>1947</v>
      </c>
      <c r="E3202" s="171" t="s">
        <v>22830</v>
      </c>
      <c r="F3202" s="171" t="s">
        <v>22058</v>
      </c>
      <c r="G3202" s="82"/>
      <c r="H3202" s="96">
        <f t="shared" si="196"/>
        <v>70.83</v>
      </c>
      <c r="I3202" s="96">
        <f t="shared" si="196"/>
        <v>71.73</v>
      </c>
      <c r="J3202" s="91" t="str">
        <f t="shared" si="197"/>
        <v>Sinapi 101651</v>
      </c>
      <c r="K3202" s="91" t="str">
        <f t="shared" si="198"/>
        <v>UN</v>
      </c>
      <c r="L3202" s="166" t="str">
        <f t="shared" si="199"/>
        <v>08/2020</v>
      </c>
      <c r="M3202" s="82"/>
      <c r="N3202" s="82"/>
    </row>
    <row r="3203" spans="1:14" x14ac:dyDescent="0.25">
      <c r="A3203" s="170" t="s">
        <v>11491</v>
      </c>
      <c r="B3203" s="170" t="s">
        <v>11492</v>
      </c>
      <c r="C3203" s="170" t="s">
        <v>205</v>
      </c>
      <c r="D3203" s="170" t="s">
        <v>1947</v>
      </c>
      <c r="E3203" s="171" t="s">
        <v>33239</v>
      </c>
      <c r="F3203" s="171" t="s">
        <v>36498</v>
      </c>
      <c r="G3203" s="82"/>
      <c r="H3203" s="96">
        <f t="shared" si="196"/>
        <v>513.87</v>
      </c>
      <c r="I3203" s="96">
        <f t="shared" si="196"/>
        <v>518.38</v>
      </c>
      <c r="J3203" s="91" t="str">
        <f t="shared" si="197"/>
        <v>Sinapi 101652</v>
      </c>
      <c r="K3203" s="91" t="str">
        <f t="shared" si="198"/>
        <v>UN</v>
      </c>
      <c r="L3203" s="166" t="str">
        <f t="shared" si="199"/>
        <v>08/2020</v>
      </c>
      <c r="M3203" s="82"/>
      <c r="N3203" s="82"/>
    </row>
    <row r="3204" spans="1:14" x14ac:dyDescent="0.25">
      <c r="A3204" s="170" t="s">
        <v>11493</v>
      </c>
      <c r="B3204" s="170" t="s">
        <v>11494</v>
      </c>
      <c r="C3204" s="170" t="s">
        <v>205</v>
      </c>
      <c r="D3204" s="170" t="s">
        <v>1947</v>
      </c>
      <c r="E3204" s="171" t="s">
        <v>33240</v>
      </c>
      <c r="F3204" s="171" t="s">
        <v>36499</v>
      </c>
      <c r="G3204" s="82"/>
      <c r="H3204" s="96">
        <f t="shared" si="196"/>
        <v>275.64999999999998</v>
      </c>
      <c r="I3204" s="96">
        <f t="shared" si="196"/>
        <v>283.41000000000003</v>
      </c>
      <c r="J3204" s="91" t="str">
        <f t="shared" si="197"/>
        <v>Sinapi 101653</v>
      </c>
      <c r="K3204" s="91" t="str">
        <f t="shared" si="198"/>
        <v>UN</v>
      </c>
      <c r="L3204" s="166" t="str">
        <f t="shared" si="199"/>
        <v>08/2020</v>
      </c>
      <c r="M3204" s="82"/>
      <c r="N3204" s="82"/>
    </row>
    <row r="3205" spans="1:14" x14ac:dyDescent="0.25">
      <c r="A3205" s="170" t="s">
        <v>11495</v>
      </c>
      <c r="B3205" s="170" t="s">
        <v>11496</v>
      </c>
      <c r="C3205" s="170" t="s">
        <v>205</v>
      </c>
      <c r="D3205" s="170" t="s">
        <v>1947</v>
      </c>
      <c r="E3205" s="171" t="s">
        <v>33241</v>
      </c>
      <c r="F3205" s="171" t="s">
        <v>36500</v>
      </c>
      <c r="G3205" s="82"/>
      <c r="H3205" s="96">
        <f t="shared" si="196"/>
        <v>293.3</v>
      </c>
      <c r="I3205" s="96">
        <f t="shared" si="196"/>
        <v>295.06</v>
      </c>
      <c r="J3205" s="91" t="str">
        <f t="shared" si="197"/>
        <v>Sinapi 101654</v>
      </c>
      <c r="K3205" s="91" t="str">
        <f t="shared" si="198"/>
        <v>UN</v>
      </c>
      <c r="L3205" s="166" t="str">
        <f t="shared" si="199"/>
        <v>08/2020</v>
      </c>
      <c r="M3205" s="82"/>
      <c r="N3205" s="82"/>
    </row>
    <row r="3206" spans="1:14" x14ac:dyDescent="0.25">
      <c r="A3206" s="170" t="s">
        <v>11497</v>
      </c>
      <c r="B3206" s="170" t="s">
        <v>11498</v>
      </c>
      <c r="C3206" s="170" t="s">
        <v>205</v>
      </c>
      <c r="D3206" s="170" t="s">
        <v>1947</v>
      </c>
      <c r="E3206" s="171" t="s">
        <v>33242</v>
      </c>
      <c r="F3206" s="171" t="s">
        <v>36501</v>
      </c>
      <c r="G3206" s="82"/>
      <c r="H3206" s="96">
        <f t="shared" si="196"/>
        <v>474.75</v>
      </c>
      <c r="I3206" s="96">
        <f t="shared" si="196"/>
        <v>476.51</v>
      </c>
      <c r="J3206" s="91" t="str">
        <f t="shared" si="197"/>
        <v>Sinapi 101655</v>
      </c>
      <c r="K3206" s="91" t="str">
        <f t="shared" si="198"/>
        <v>UN</v>
      </c>
      <c r="L3206" s="166" t="str">
        <f t="shared" si="199"/>
        <v>08/2020</v>
      </c>
      <c r="M3206" s="82"/>
      <c r="N3206" s="82"/>
    </row>
    <row r="3207" spans="1:14" x14ac:dyDescent="0.25">
      <c r="A3207" s="170" t="s">
        <v>11499</v>
      </c>
      <c r="B3207" s="170" t="s">
        <v>11500</v>
      </c>
      <c r="C3207" s="170" t="s">
        <v>205</v>
      </c>
      <c r="D3207" s="170" t="s">
        <v>1947</v>
      </c>
      <c r="E3207" s="171" t="s">
        <v>33243</v>
      </c>
      <c r="F3207" s="171" t="s">
        <v>36502</v>
      </c>
      <c r="G3207" s="82"/>
      <c r="H3207" s="96">
        <f t="shared" si="196"/>
        <v>517.12</v>
      </c>
      <c r="I3207" s="96">
        <f t="shared" si="196"/>
        <v>518.88</v>
      </c>
      <c r="J3207" s="91" t="str">
        <f t="shared" si="197"/>
        <v>Sinapi 101656</v>
      </c>
      <c r="K3207" s="91" t="str">
        <f t="shared" si="198"/>
        <v>UN</v>
      </c>
      <c r="L3207" s="166" t="str">
        <f t="shared" si="199"/>
        <v>08/2020</v>
      </c>
      <c r="M3207" s="82"/>
      <c r="N3207" s="82"/>
    </row>
    <row r="3208" spans="1:14" x14ac:dyDescent="0.25">
      <c r="A3208" s="170" t="s">
        <v>11501</v>
      </c>
      <c r="B3208" s="170" t="s">
        <v>11502</v>
      </c>
      <c r="C3208" s="170" t="s">
        <v>205</v>
      </c>
      <c r="D3208" s="170" t="s">
        <v>1947</v>
      </c>
      <c r="E3208" s="171" t="s">
        <v>33244</v>
      </c>
      <c r="F3208" s="171" t="s">
        <v>36503</v>
      </c>
      <c r="G3208" s="82"/>
      <c r="H3208" s="96">
        <f t="shared" ref="H3208:I3271" si="200">IF(E3208="","",E3208+0)</f>
        <v>607.36</v>
      </c>
      <c r="I3208" s="96">
        <f t="shared" si="200"/>
        <v>609.12</v>
      </c>
      <c r="J3208" s="91" t="str">
        <f t="shared" ref="J3208:J3271" si="201">IF(OR(H3208="",I3208=""),"",TRIM(CONCATENATE("Sinapi ",A3208)))</f>
        <v>Sinapi 101657</v>
      </c>
      <c r="K3208" s="91" t="str">
        <f t="shared" ref="K3208:K3271" si="202">TRIM(C3208)</f>
        <v>UN</v>
      </c>
      <c r="L3208" s="166" t="str">
        <f t="shared" ref="L3208:L3271" si="203">IF(OR(RIGHT(IF(AND(K3208&lt;&gt;"H",K3208&lt;&gt;"MES"),RIGHT(B3208,7),""),2)="PS",RIGHT(IF(AND(K3208&lt;&gt;"H",K3208&lt;&gt;"MES"),RIGHT(B3208,7),""),2)="PA",RIGHT(IF(AND(K3208&lt;&gt;"H",K3208&lt;&gt;"MES"),RIGHT(B3208,7),""),2)="PE"),LEFT(IF(AND(K3208&lt;&gt;"H",K3208&lt;&gt;"MES"),RIGHT(B3208,10),""),7),IF(AND(K3208&lt;&gt;"H",K3208&lt;&gt;"MES"),RIGHT(B3208,7),""))</f>
        <v>08/2020</v>
      </c>
      <c r="M3208" s="82"/>
      <c r="N3208" s="82"/>
    </row>
    <row r="3209" spans="1:14" x14ac:dyDescent="0.25">
      <c r="A3209" s="170" t="s">
        <v>11503</v>
      </c>
      <c r="B3209" s="170" t="s">
        <v>11504</v>
      </c>
      <c r="C3209" s="170" t="s">
        <v>205</v>
      </c>
      <c r="D3209" s="170" t="s">
        <v>1947</v>
      </c>
      <c r="E3209" s="171" t="s">
        <v>33245</v>
      </c>
      <c r="F3209" s="171" t="s">
        <v>36504</v>
      </c>
      <c r="G3209" s="82"/>
      <c r="H3209" s="96">
        <f t="shared" si="200"/>
        <v>792.93</v>
      </c>
      <c r="I3209" s="96">
        <f t="shared" si="200"/>
        <v>794.69</v>
      </c>
      <c r="J3209" s="91" t="str">
        <f t="shared" si="201"/>
        <v>Sinapi 101658</v>
      </c>
      <c r="K3209" s="91" t="str">
        <f t="shared" si="202"/>
        <v>UN</v>
      </c>
      <c r="L3209" s="166" t="str">
        <f t="shared" si="203"/>
        <v>08/2020</v>
      </c>
      <c r="M3209" s="82"/>
      <c r="N3209" s="82"/>
    </row>
    <row r="3210" spans="1:14" x14ac:dyDescent="0.25">
      <c r="A3210" s="170" t="s">
        <v>11505</v>
      </c>
      <c r="B3210" s="170" t="s">
        <v>11506</v>
      </c>
      <c r="C3210" s="170" t="s">
        <v>205</v>
      </c>
      <c r="D3210" s="170" t="s">
        <v>1947</v>
      </c>
      <c r="E3210" s="171" t="s">
        <v>33246</v>
      </c>
      <c r="F3210" s="171" t="s">
        <v>36505</v>
      </c>
      <c r="G3210" s="82"/>
      <c r="H3210" s="96">
        <f t="shared" si="200"/>
        <v>908.34</v>
      </c>
      <c r="I3210" s="96">
        <f t="shared" si="200"/>
        <v>910.1</v>
      </c>
      <c r="J3210" s="91" t="str">
        <f t="shared" si="201"/>
        <v>Sinapi 101659</v>
      </c>
      <c r="K3210" s="91" t="str">
        <f t="shared" si="202"/>
        <v>UN</v>
      </c>
      <c r="L3210" s="166" t="str">
        <f t="shared" si="203"/>
        <v>08/2020</v>
      </c>
      <c r="M3210" s="82"/>
      <c r="N3210" s="82"/>
    </row>
    <row r="3211" spans="1:14" x14ac:dyDescent="0.25">
      <c r="A3211" s="170" t="s">
        <v>11507</v>
      </c>
      <c r="B3211" s="170" t="s">
        <v>11508</v>
      </c>
      <c r="C3211" s="170" t="s">
        <v>205</v>
      </c>
      <c r="D3211" s="170" t="s">
        <v>1947</v>
      </c>
      <c r="E3211" s="171" t="s">
        <v>33247</v>
      </c>
      <c r="F3211" s="171" t="s">
        <v>36506</v>
      </c>
      <c r="G3211" s="82"/>
      <c r="H3211" s="96">
        <f t="shared" si="200"/>
        <v>1453.16</v>
      </c>
      <c r="I3211" s="96">
        <f t="shared" si="200"/>
        <v>1454.92</v>
      </c>
      <c r="J3211" s="91" t="str">
        <f t="shared" si="201"/>
        <v>Sinapi 101660</v>
      </c>
      <c r="K3211" s="91" t="str">
        <f t="shared" si="202"/>
        <v>UN</v>
      </c>
      <c r="L3211" s="166" t="str">
        <f t="shared" si="203"/>
        <v>08/2020</v>
      </c>
      <c r="M3211" s="82"/>
      <c r="N3211" s="82"/>
    </row>
    <row r="3212" spans="1:14" x14ac:dyDescent="0.25">
      <c r="A3212" s="170" t="s">
        <v>11509</v>
      </c>
      <c r="B3212" s="170" t="s">
        <v>11510</v>
      </c>
      <c r="C3212" s="170" t="s">
        <v>205</v>
      </c>
      <c r="D3212" s="170" t="s">
        <v>1947</v>
      </c>
      <c r="E3212" s="171" t="s">
        <v>29440</v>
      </c>
      <c r="F3212" s="171" t="s">
        <v>36507</v>
      </c>
      <c r="G3212" s="82"/>
      <c r="H3212" s="96">
        <f t="shared" si="200"/>
        <v>113.47</v>
      </c>
      <c r="I3212" s="96">
        <f t="shared" si="200"/>
        <v>119.14</v>
      </c>
      <c r="J3212" s="91" t="str">
        <f t="shared" si="201"/>
        <v>Sinapi 101661</v>
      </c>
      <c r="K3212" s="91" t="str">
        <f t="shared" si="202"/>
        <v>UN</v>
      </c>
      <c r="L3212" s="166" t="str">
        <f t="shared" si="203"/>
        <v>08/2020</v>
      </c>
      <c r="M3212" s="82"/>
      <c r="N3212" s="82"/>
    </row>
    <row r="3213" spans="1:14" x14ac:dyDescent="0.25">
      <c r="A3213" s="170" t="s">
        <v>11511</v>
      </c>
      <c r="B3213" s="170" t="s">
        <v>11512</v>
      </c>
      <c r="C3213" s="170" t="s">
        <v>205</v>
      </c>
      <c r="D3213" s="170" t="s">
        <v>1947</v>
      </c>
      <c r="E3213" s="171" t="s">
        <v>33248</v>
      </c>
      <c r="F3213" s="171" t="s">
        <v>36508</v>
      </c>
      <c r="G3213" s="82"/>
      <c r="H3213" s="96">
        <f t="shared" si="200"/>
        <v>707.12</v>
      </c>
      <c r="I3213" s="96">
        <f t="shared" si="200"/>
        <v>712.7</v>
      </c>
      <c r="J3213" s="91" t="str">
        <f t="shared" si="201"/>
        <v>Sinapi 101662</v>
      </c>
      <c r="K3213" s="91" t="str">
        <f t="shared" si="202"/>
        <v>UN</v>
      </c>
      <c r="L3213" s="166" t="str">
        <f t="shared" si="203"/>
        <v>08/2020</v>
      </c>
      <c r="M3213" s="82"/>
      <c r="N3213" s="82"/>
    </row>
    <row r="3214" spans="1:14" x14ac:dyDescent="0.25">
      <c r="A3214" s="170" t="s">
        <v>11513</v>
      </c>
      <c r="B3214" s="170" t="s">
        <v>11514</v>
      </c>
      <c r="C3214" s="170" t="s">
        <v>205</v>
      </c>
      <c r="D3214" s="170" t="s">
        <v>1947</v>
      </c>
      <c r="E3214" s="171" t="s">
        <v>18197</v>
      </c>
      <c r="F3214" s="171" t="s">
        <v>16356</v>
      </c>
      <c r="G3214" s="82"/>
      <c r="H3214" s="96">
        <f t="shared" si="200"/>
        <v>24.76</v>
      </c>
      <c r="I3214" s="96">
        <f t="shared" si="200"/>
        <v>26.54</v>
      </c>
      <c r="J3214" s="91" t="str">
        <f t="shared" si="201"/>
        <v>Sinapi 101663</v>
      </c>
      <c r="K3214" s="91" t="str">
        <f t="shared" si="202"/>
        <v>UN</v>
      </c>
      <c r="L3214" s="166" t="str">
        <f t="shared" si="203"/>
        <v>08/2020</v>
      </c>
      <c r="M3214" s="82"/>
      <c r="N3214" s="82"/>
    </row>
    <row r="3215" spans="1:14" x14ac:dyDescent="0.25">
      <c r="A3215" s="170" t="s">
        <v>11515</v>
      </c>
      <c r="B3215" s="170" t="s">
        <v>11516</v>
      </c>
      <c r="C3215" s="170" t="s">
        <v>205</v>
      </c>
      <c r="D3215" s="170" t="s">
        <v>1947</v>
      </c>
      <c r="E3215" s="171" t="s">
        <v>29319</v>
      </c>
      <c r="F3215" s="171" t="s">
        <v>15764</v>
      </c>
      <c r="G3215" s="82"/>
      <c r="H3215" s="96">
        <f t="shared" si="200"/>
        <v>26.07</v>
      </c>
      <c r="I3215" s="96">
        <f t="shared" si="200"/>
        <v>27.85</v>
      </c>
      <c r="J3215" s="91" t="str">
        <f t="shared" si="201"/>
        <v>Sinapi 101664</v>
      </c>
      <c r="K3215" s="91" t="str">
        <f t="shared" si="202"/>
        <v>UN</v>
      </c>
      <c r="L3215" s="166" t="str">
        <f t="shared" si="203"/>
        <v>08/2020</v>
      </c>
      <c r="M3215" s="82"/>
      <c r="N3215" s="82"/>
    </row>
    <row r="3216" spans="1:14" x14ac:dyDescent="0.25">
      <c r="A3216" s="170" t="s">
        <v>11517</v>
      </c>
      <c r="B3216" s="170" t="s">
        <v>11518</v>
      </c>
      <c r="C3216" s="170" t="s">
        <v>205</v>
      </c>
      <c r="D3216" s="170" t="s">
        <v>1947</v>
      </c>
      <c r="E3216" s="171" t="s">
        <v>33249</v>
      </c>
      <c r="F3216" s="171" t="s">
        <v>19964</v>
      </c>
      <c r="G3216" s="82"/>
      <c r="H3216" s="96">
        <f t="shared" si="200"/>
        <v>31.67</v>
      </c>
      <c r="I3216" s="96">
        <f t="shared" si="200"/>
        <v>33.450000000000003</v>
      </c>
      <c r="J3216" s="91" t="str">
        <f t="shared" si="201"/>
        <v>Sinapi 101665</v>
      </c>
      <c r="K3216" s="91" t="str">
        <f t="shared" si="202"/>
        <v>UN</v>
      </c>
      <c r="L3216" s="166" t="str">
        <f t="shared" si="203"/>
        <v>08/2020</v>
      </c>
      <c r="M3216" s="82"/>
      <c r="N3216" s="82"/>
    </row>
    <row r="3217" spans="1:14" x14ac:dyDescent="0.25">
      <c r="A3217" s="170" t="s">
        <v>11519</v>
      </c>
      <c r="B3217" s="170" t="s">
        <v>11520</v>
      </c>
      <c r="C3217" s="170" t="s">
        <v>205</v>
      </c>
      <c r="D3217" s="170" t="s">
        <v>1947</v>
      </c>
      <c r="E3217" s="171" t="s">
        <v>33250</v>
      </c>
      <c r="F3217" s="171" t="s">
        <v>36509</v>
      </c>
      <c r="G3217" s="82"/>
      <c r="H3217" s="96">
        <f t="shared" si="200"/>
        <v>397.64</v>
      </c>
      <c r="I3217" s="96">
        <f t="shared" si="200"/>
        <v>400.47</v>
      </c>
      <c r="J3217" s="91" t="str">
        <f t="shared" si="201"/>
        <v>Sinapi 101666</v>
      </c>
      <c r="K3217" s="91" t="str">
        <f t="shared" si="202"/>
        <v>UN</v>
      </c>
      <c r="L3217" s="166" t="str">
        <f t="shared" si="203"/>
        <v>08/2020</v>
      </c>
      <c r="M3217" s="82"/>
      <c r="N3217" s="82"/>
    </row>
    <row r="3218" spans="1:14" x14ac:dyDescent="0.25">
      <c r="A3218" s="170" t="s">
        <v>12298</v>
      </c>
      <c r="B3218" s="170" t="s">
        <v>12299</v>
      </c>
      <c r="C3218" s="170" t="s">
        <v>205</v>
      </c>
      <c r="D3218" s="170" t="s">
        <v>1947</v>
      </c>
      <c r="E3218" s="171" t="s">
        <v>23107</v>
      </c>
      <c r="F3218" s="171" t="s">
        <v>36510</v>
      </c>
      <c r="G3218" s="82"/>
      <c r="H3218" s="96">
        <f t="shared" si="200"/>
        <v>196</v>
      </c>
      <c r="I3218" s="96">
        <f t="shared" si="200"/>
        <v>199.21</v>
      </c>
      <c r="J3218" s="91" t="str">
        <f t="shared" si="201"/>
        <v>Sinapi 102085</v>
      </c>
      <c r="K3218" s="91" t="str">
        <f t="shared" si="202"/>
        <v>UN</v>
      </c>
      <c r="L3218" s="166" t="str">
        <f t="shared" si="203"/>
        <v>08/2020</v>
      </c>
      <c r="M3218" s="82"/>
      <c r="N3218" s="82"/>
    </row>
    <row r="3219" spans="1:14" x14ac:dyDescent="0.25">
      <c r="A3219" s="170" t="s">
        <v>5913</v>
      </c>
      <c r="B3219" s="170" t="s">
        <v>5914</v>
      </c>
      <c r="C3219" s="170" t="s">
        <v>205</v>
      </c>
      <c r="D3219" s="170" t="s">
        <v>1947</v>
      </c>
      <c r="E3219" s="171" t="s">
        <v>33251</v>
      </c>
      <c r="F3219" s="171" t="s">
        <v>36511</v>
      </c>
      <c r="G3219" s="82"/>
      <c r="H3219" s="96">
        <f t="shared" si="200"/>
        <v>502.92</v>
      </c>
      <c r="I3219" s="96">
        <f t="shared" si="200"/>
        <v>517.04999999999995</v>
      </c>
      <c r="J3219" s="91" t="str">
        <f t="shared" si="201"/>
        <v>Sinapi 100578</v>
      </c>
      <c r="K3219" s="91" t="str">
        <f t="shared" si="202"/>
        <v>UN</v>
      </c>
      <c r="L3219" s="166" t="str">
        <f t="shared" si="203"/>
        <v>11/2019</v>
      </c>
      <c r="M3219" s="82"/>
      <c r="N3219" s="82"/>
    </row>
    <row r="3220" spans="1:14" x14ac:dyDescent="0.25">
      <c r="A3220" s="170" t="s">
        <v>5915</v>
      </c>
      <c r="B3220" s="170" t="s">
        <v>5916</v>
      </c>
      <c r="C3220" s="170" t="s">
        <v>205</v>
      </c>
      <c r="D3220" s="170" t="s">
        <v>1947</v>
      </c>
      <c r="E3220" s="171" t="s">
        <v>33252</v>
      </c>
      <c r="F3220" s="171" t="s">
        <v>36512</v>
      </c>
      <c r="G3220" s="82"/>
      <c r="H3220" s="96">
        <f t="shared" si="200"/>
        <v>552.39</v>
      </c>
      <c r="I3220" s="96">
        <f t="shared" si="200"/>
        <v>567.57000000000005</v>
      </c>
      <c r="J3220" s="91" t="str">
        <f t="shared" si="201"/>
        <v>Sinapi 100579</v>
      </c>
      <c r="K3220" s="91" t="str">
        <f t="shared" si="202"/>
        <v>UN</v>
      </c>
      <c r="L3220" s="166" t="str">
        <f t="shared" si="203"/>
        <v>11/2019</v>
      </c>
      <c r="M3220" s="82"/>
      <c r="N3220" s="82"/>
    </row>
    <row r="3221" spans="1:14" x14ac:dyDescent="0.25">
      <c r="A3221" s="170" t="s">
        <v>5917</v>
      </c>
      <c r="B3221" s="170" t="s">
        <v>5918</v>
      </c>
      <c r="C3221" s="170" t="s">
        <v>205</v>
      </c>
      <c r="D3221" s="170" t="s">
        <v>1947</v>
      </c>
      <c r="E3221" s="171" t="s">
        <v>33253</v>
      </c>
      <c r="F3221" s="171" t="s">
        <v>36513</v>
      </c>
      <c r="G3221" s="82"/>
      <c r="H3221" s="96">
        <f t="shared" si="200"/>
        <v>595.04999999999995</v>
      </c>
      <c r="I3221" s="96">
        <f t="shared" si="200"/>
        <v>614.84</v>
      </c>
      <c r="J3221" s="91" t="str">
        <f t="shared" si="201"/>
        <v>Sinapi 100580</v>
      </c>
      <c r="K3221" s="91" t="str">
        <f t="shared" si="202"/>
        <v>UN</v>
      </c>
      <c r="L3221" s="166" t="str">
        <f t="shared" si="203"/>
        <v>11/2019</v>
      </c>
      <c r="M3221" s="82"/>
      <c r="N3221" s="82"/>
    </row>
    <row r="3222" spans="1:14" x14ac:dyDescent="0.25">
      <c r="A3222" s="170" t="s">
        <v>5919</v>
      </c>
      <c r="B3222" s="170" t="s">
        <v>5920</v>
      </c>
      <c r="C3222" s="170" t="s">
        <v>205</v>
      </c>
      <c r="D3222" s="170" t="s">
        <v>1947</v>
      </c>
      <c r="E3222" s="171" t="s">
        <v>33254</v>
      </c>
      <c r="F3222" s="171" t="s">
        <v>36514</v>
      </c>
      <c r="G3222" s="82"/>
      <c r="H3222" s="96">
        <f t="shared" si="200"/>
        <v>576.91999999999996</v>
      </c>
      <c r="I3222" s="96">
        <f t="shared" si="200"/>
        <v>592.62</v>
      </c>
      <c r="J3222" s="91" t="str">
        <f t="shared" si="201"/>
        <v>Sinapi 100581</v>
      </c>
      <c r="K3222" s="91" t="str">
        <f t="shared" si="202"/>
        <v>UN</v>
      </c>
      <c r="L3222" s="166" t="str">
        <f t="shared" si="203"/>
        <v>11/2019</v>
      </c>
      <c r="M3222" s="82"/>
      <c r="N3222" s="82"/>
    </row>
    <row r="3223" spans="1:14" x14ac:dyDescent="0.25">
      <c r="A3223" s="170" t="s">
        <v>5921</v>
      </c>
      <c r="B3223" s="170" t="s">
        <v>5922</v>
      </c>
      <c r="C3223" s="170" t="s">
        <v>205</v>
      </c>
      <c r="D3223" s="170" t="s">
        <v>1947</v>
      </c>
      <c r="E3223" s="171" t="s">
        <v>33255</v>
      </c>
      <c r="F3223" s="171" t="s">
        <v>36515</v>
      </c>
      <c r="G3223" s="82"/>
      <c r="H3223" s="96">
        <f t="shared" si="200"/>
        <v>653.65</v>
      </c>
      <c r="I3223" s="96">
        <f t="shared" si="200"/>
        <v>677.71</v>
      </c>
      <c r="J3223" s="91" t="str">
        <f t="shared" si="201"/>
        <v>Sinapi 100582</v>
      </c>
      <c r="K3223" s="91" t="str">
        <f t="shared" si="202"/>
        <v>UN</v>
      </c>
      <c r="L3223" s="166" t="str">
        <f t="shared" si="203"/>
        <v>11/2019</v>
      </c>
      <c r="M3223" s="82"/>
      <c r="N3223" s="82"/>
    </row>
    <row r="3224" spans="1:14" x14ac:dyDescent="0.25">
      <c r="A3224" s="170" t="s">
        <v>5923</v>
      </c>
      <c r="B3224" s="170" t="s">
        <v>5924</v>
      </c>
      <c r="C3224" s="170" t="s">
        <v>205</v>
      </c>
      <c r="D3224" s="170" t="s">
        <v>1947</v>
      </c>
      <c r="E3224" s="171" t="s">
        <v>33256</v>
      </c>
      <c r="F3224" s="171" t="s">
        <v>36516</v>
      </c>
      <c r="G3224" s="82"/>
      <c r="H3224" s="96">
        <f t="shared" si="200"/>
        <v>602.87</v>
      </c>
      <c r="I3224" s="96">
        <f t="shared" si="200"/>
        <v>619.23</v>
      </c>
      <c r="J3224" s="91" t="str">
        <f t="shared" si="201"/>
        <v>Sinapi 100583</v>
      </c>
      <c r="K3224" s="91" t="str">
        <f t="shared" si="202"/>
        <v>UN</v>
      </c>
      <c r="L3224" s="166" t="str">
        <f t="shared" si="203"/>
        <v>11/2019</v>
      </c>
      <c r="M3224" s="82"/>
      <c r="N3224" s="82"/>
    </row>
    <row r="3225" spans="1:14" x14ac:dyDescent="0.25">
      <c r="A3225" s="170" t="s">
        <v>5925</v>
      </c>
      <c r="B3225" s="170" t="s">
        <v>5926</v>
      </c>
      <c r="C3225" s="170" t="s">
        <v>205</v>
      </c>
      <c r="D3225" s="170" t="s">
        <v>1947</v>
      </c>
      <c r="E3225" s="171" t="s">
        <v>33257</v>
      </c>
      <c r="F3225" s="171" t="s">
        <v>36517</v>
      </c>
      <c r="G3225" s="82"/>
      <c r="H3225" s="96">
        <f t="shared" si="200"/>
        <v>649.12</v>
      </c>
      <c r="I3225" s="96">
        <f t="shared" si="200"/>
        <v>670.47</v>
      </c>
      <c r="J3225" s="91" t="str">
        <f t="shared" si="201"/>
        <v>Sinapi 100584</v>
      </c>
      <c r="K3225" s="91" t="str">
        <f t="shared" si="202"/>
        <v>UN</v>
      </c>
      <c r="L3225" s="166" t="str">
        <f t="shared" si="203"/>
        <v>11/2019</v>
      </c>
      <c r="M3225" s="82"/>
      <c r="N3225" s="82"/>
    </row>
    <row r="3226" spans="1:14" x14ac:dyDescent="0.25">
      <c r="A3226" s="170" t="s">
        <v>5927</v>
      </c>
      <c r="B3226" s="170" t="s">
        <v>5928</v>
      </c>
      <c r="C3226" s="170" t="s">
        <v>205</v>
      </c>
      <c r="D3226" s="170" t="s">
        <v>1947</v>
      </c>
      <c r="E3226" s="171" t="s">
        <v>33258</v>
      </c>
      <c r="F3226" s="171" t="s">
        <v>36518</v>
      </c>
      <c r="G3226" s="82"/>
      <c r="H3226" s="96">
        <f t="shared" si="200"/>
        <v>653.55999999999995</v>
      </c>
      <c r="I3226" s="96">
        <f t="shared" si="200"/>
        <v>671.13</v>
      </c>
      <c r="J3226" s="91" t="str">
        <f t="shared" si="201"/>
        <v>Sinapi 100585</v>
      </c>
      <c r="K3226" s="91" t="str">
        <f t="shared" si="202"/>
        <v>UN</v>
      </c>
      <c r="L3226" s="166" t="str">
        <f t="shared" si="203"/>
        <v>11/2019</v>
      </c>
      <c r="M3226" s="82"/>
      <c r="N3226" s="82"/>
    </row>
    <row r="3227" spans="1:14" x14ac:dyDescent="0.25">
      <c r="A3227" s="170" t="s">
        <v>5929</v>
      </c>
      <c r="B3227" s="170" t="s">
        <v>5930</v>
      </c>
      <c r="C3227" s="170" t="s">
        <v>205</v>
      </c>
      <c r="D3227" s="170" t="s">
        <v>1947</v>
      </c>
      <c r="E3227" s="171" t="s">
        <v>33259</v>
      </c>
      <c r="F3227" s="171" t="s">
        <v>36519</v>
      </c>
      <c r="G3227" s="82"/>
      <c r="H3227" s="96">
        <f t="shared" si="200"/>
        <v>727.35</v>
      </c>
      <c r="I3227" s="96">
        <f t="shared" si="200"/>
        <v>752.85</v>
      </c>
      <c r="J3227" s="91" t="str">
        <f t="shared" si="201"/>
        <v>Sinapi 100586</v>
      </c>
      <c r="K3227" s="91" t="str">
        <f t="shared" si="202"/>
        <v>UN</v>
      </c>
      <c r="L3227" s="166" t="str">
        <f t="shared" si="203"/>
        <v>11/2019</v>
      </c>
      <c r="M3227" s="82"/>
      <c r="N3227" s="82"/>
    </row>
    <row r="3228" spans="1:14" x14ac:dyDescent="0.25">
      <c r="A3228" s="170" t="s">
        <v>5931</v>
      </c>
      <c r="B3228" s="170" t="s">
        <v>5932</v>
      </c>
      <c r="C3228" s="170" t="s">
        <v>205</v>
      </c>
      <c r="D3228" s="170" t="s">
        <v>1947</v>
      </c>
      <c r="E3228" s="171" t="s">
        <v>33260</v>
      </c>
      <c r="F3228" s="171" t="s">
        <v>36520</v>
      </c>
      <c r="G3228" s="82"/>
      <c r="H3228" s="96">
        <f t="shared" si="200"/>
        <v>705.68</v>
      </c>
      <c r="I3228" s="96">
        <f t="shared" si="200"/>
        <v>724.62</v>
      </c>
      <c r="J3228" s="91" t="str">
        <f t="shared" si="201"/>
        <v>Sinapi 100587</v>
      </c>
      <c r="K3228" s="91" t="str">
        <f t="shared" si="202"/>
        <v>UN</v>
      </c>
      <c r="L3228" s="166" t="str">
        <f t="shared" si="203"/>
        <v>11/2019</v>
      </c>
      <c r="M3228" s="82"/>
      <c r="N3228" s="82"/>
    </row>
    <row r="3229" spans="1:14" x14ac:dyDescent="0.25">
      <c r="A3229" s="170" t="s">
        <v>5933</v>
      </c>
      <c r="B3229" s="170" t="s">
        <v>5934</v>
      </c>
      <c r="C3229" s="170" t="s">
        <v>205</v>
      </c>
      <c r="D3229" s="170" t="s">
        <v>1947</v>
      </c>
      <c r="E3229" s="171" t="s">
        <v>33261</v>
      </c>
      <c r="F3229" s="171" t="s">
        <v>36521</v>
      </c>
      <c r="G3229" s="82"/>
      <c r="H3229" s="96">
        <f t="shared" si="200"/>
        <v>763.06</v>
      </c>
      <c r="I3229" s="96">
        <f t="shared" si="200"/>
        <v>788.14</v>
      </c>
      <c r="J3229" s="91" t="str">
        <f t="shared" si="201"/>
        <v>Sinapi 100588</v>
      </c>
      <c r="K3229" s="91" t="str">
        <f t="shared" si="202"/>
        <v>UN</v>
      </c>
      <c r="L3229" s="166" t="str">
        <f t="shared" si="203"/>
        <v>11/2019</v>
      </c>
      <c r="M3229" s="82"/>
      <c r="N3229" s="82"/>
    </row>
    <row r="3230" spans="1:14" x14ac:dyDescent="0.25">
      <c r="A3230" s="170" t="s">
        <v>5935</v>
      </c>
      <c r="B3230" s="170" t="s">
        <v>5936</v>
      </c>
      <c r="C3230" s="170" t="s">
        <v>205</v>
      </c>
      <c r="D3230" s="170" t="s">
        <v>1947</v>
      </c>
      <c r="E3230" s="171" t="s">
        <v>33262</v>
      </c>
      <c r="F3230" s="171" t="s">
        <v>36522</v>
      </c>
      <c r="G3230" s="82"/>
      <c r="H3230" s="96">
        <f t="shared" si="200"/>
        <v>771.18</v>
      </c>
      <c r="I3230" s="96">
        <f t="shared" si="200"/>
        <v>795.18</v>
      </c>
      <c r="J3230" s="91" t="str">
        <f t="shared" si="201"/>
        <v>Sinapi 100589</v>
      </c>
      <c r="K3230" s="91" t="str">
        <f t="shared" si="202"/>
        <v>UN</v>
      </c>
      <c r="L3230" s="166" t="str">
        <f t="shared" si="203"/>
        <v>11/2019</v>
      </c>
      <c r="M3230" s="82"/>
      <c r="N3230" s="82"/>
    </row>
    <row r="3231" spans="1:14" x14ac:dyDescent="0.25">
      <c r="A3231" s="170" t="s">
        <v>5937</v>
      </c>
      <c r="B3231" s="170" t="s">
        <v>5938</v>
      </c>
      <c r="C3231" s="170" t="s">
        <v>205</v>
      </c>
      <c r="D3231" s="170" t="s">
        <v>1947</v>
      </c>
      <c r="E3231" s="171" t="s">
        <v>33263</v>
      </c>
      <c r="F3231" s="171" t="s">
        <v>36523</v>
      </c>
      <c r="G3231" s="82"/>
      <c r="H3231" s="96">
        <f t="shared" si="200"/>
        <v>827.61</v>
      </c>
      <c r="I3231" s="96">
        <f t="shared" si="200"/>
        <v>857.78</v>
      </c>
      <c r="J3231" s="91" t="str">
        <f t="shared" si="201"/>
        <v>Sinapi 100590</v>
      </c>
      <c r="K3231" s="91" t="str">
        <f t="shared" si="202"/>
        <v>UN</v>
      </c>
      <c r="L3231" s="166" t="str">
        <f t="shared" si="203"/>
        <v>11/2019</v>
      </c>
      <c r="M3231" s="82"/>
      <c r="N3231" s="82"/>
    </row>
    <row r="3232" spans="1:14" x14ac:dyDescent="0.25">
      <c r="A3232" s="170" t="s">
        <v>5939</v>
      </c>
      <c r="B3232" s="170" t="s">
        <v>5940</v>
      </c>
      <c r="C3232" s="170" t="s">
        <v>205</v>
      </c>
      <c r="D3232" s="170" t="s">
        <v>1947</v>
      </c>
      <c r="E3232" s="171" t="s">
        <v>33264</v>
      </c>
      <c r="F3232" s="171" t="s">
        <v>36524</v>
      </c>
      <c r="G3232" s="82"/>
      <c r="H3232" s="96">
        <f t="shared" si="200"/>
        <v>772.99</v>
      </c>
      <c r="I3232" s="96">
        <f t="shared" si="200"/>
        <v>794.86</v>
      </c>
      <c r="J3232" s="91" t="str">
        <f t="shared" si="201"/>
        <v>Sinapi 100591</v>
      </c>
      <c r="K3232" s="91" t="str">
        <f t="shared" si="202"/>
        <v>UN</v>
      </c>
      <c r="L3232" s="166" t="str">
        <f t="shared" si="203"/>
        <v>11/2019</v>
      </c>
      <c r="M3232" s="82"/>
      <c r="N3232" s="82"/>
    </row>
    <row r="3233" spans="1:14" x14ac:dyDescent="0.25">
      <c r="A3233" s="170" t="s">
        <v>5941</v>
      </c>
      <c r="B3233" s="170" t="s">
        <v>5942</v>
      </c>
      <c r="C3233" s="170" t="s">
        <v>205</v>
      </c>
      <c r="D3233" s="170" t="s">
        <v>1947</v>
      </c>
      <c r="E3233" s="171" t="s">
        <v>33265</v>
      </c>
      <c r="F3233" s="171" t="s">
        <v>36525</v>
      </c>
      <c r="G3233" s="82"/>
      <c r="H3233" s="96">
        <f t="shared" si="200"/>
        <v>819.82</v>
      </c>
      <c r="I3233" s="96">
        <f t="shared" si="200"/>
        <v>846.79</v>
      </c>
      <c r="J3233" s="91" t="str">
        <f t="shared" si="201"/>
        <v>Sinapi 100592</v>
      </c>
      <c r="K3233" s="91" t="str">
        <f t="shared" si="202"/>
        <v>UN</v>
      </c>
      <c r="L3233" s="166" t="str">
        <f t="shared" si="203"/>
        <v>11/2019</v>
      </c>
      <c r="M3233" s="82"/>
      <c r="N3233" s="82"/>
    </row>
    <row r="3234" spans="1:14" x14ac:dyDescent="0.25">
      <c r="A3234" s="170" t="s">
        <v>5943</v>
      </c>
      <c r="B3234" s="170" t="s">
        <v>5944</v>
      </c>
      <c r="C3234" s="170" t="s">
        <v>205</v>
      </c>
      <c r="D3234" s="170" t="s">
        <v>1947</v>
      </c>
      <c r="E3234" s="171" t="s">
        <v>33266</v>
      </c>
      <c r="F3234" s="171" t="s">
        <v>36526</v>
      </c>
      <c r="G3234" s="82"/>
      <c r="H3234" s="96">
        <f t="shared" si="200"/>
        <v>827.7</v>
      </c>
      <c r="I3234" s="96">
        <f t="shared" si="200"/>
        <v>851.21</v>
      </c>
      <c r="J3234" s="91" t="str">
        <f t="shared" si="201"/>
        <v>Sinapi 100593</v>
      </c>
      <c r="K3234" s="91" t="str">
        <f t="shared" si="202"/>
        <v>UN</v>
      </c>
      <c r="L3234" s="166" t="str">
        <f t="shared" si="203"/>
        <v>11/2019</v>
      </c>
      <c r="M3234" s="82"/>
      <c r="N3234" s="82"/>
    </row>
    <row r="3235" spans="1:14" x14ac:dyDescent="0.25">
      <c r="A3235" s="170" t="s">
        <v>5945</v>
      </c>
      <c r="B3235" s="170" t="s">
        <v>5946</v>
      </c>
      <c r="C3235" s="170" t="s">
        <v>205</v>
      </c>
      <c r="D3235" s="170" t="s">
        <v>1947</v>
      </c>
      <c r="E3235" s="171" t="s">
        <v>33267</v>
      </c>
      <c r="F3235" s="171" t="s">
        <v>36527</v>
      </c>
      <c r="G3235" s="82"/>
      <c r="H3235" s="96">
        <f t="shared" si="200"/>
        <v>907.3</v>
      </c>
      <c r="I3235" s="96">
        <f t="shared" si="200"/>
        <v>939.38</v>
      </c>
      <c r="J3235" s="91" t="str">
        <f t="shared" si="201"/>
        <v>Sinapi 100594</v>
      </c>
      <c r="K3235" s="91" t="str">
        <f t="shared" si="202"/>
        <v>UN</v>
      </c>
      <c r="L3235" s="166" t="str">
        <f t="shared" si="203"/>
        <v>11/2019</v>
      </c>
      <c r="M3235" s="82"/>
      <c r="N3235" s="82"/>
    </row>
    <row r="3236" spans="1:14" x14ac:dyDescent="0.25">
      <c r="A3236" s="170" t="s">
        <v>5947</v>
      </c>
      <c r="B3236" s="170" t="s">
        <v>5948</v>
      </c>
      <c r="C3236" s="170" t="s">
        <v>205</v>
      </c>
      <c r="D3236" s="170" t="s">
        <v>1947</v>
      </c>
      <c r="E3236" s="171" t="s">
        <v>33268</v>
      </c>
      <c r="F3236" s="171" t="s">
        <v>36528</v>
      </c>
      <c r="G3236" s="82"/>
      <c r="H3236" s="96">
        <f t="shared" si="200"/>
        <v>991.71</v>
      </c>
      <c r="I3236" s="96">
        <f t="shared" si="200"/>
        <v>1020.16</v>
      </c>
      <c r="J3236" s="91" t="str">
        <f t="shared" si="201"/>
        <v>Sinapi 100595</v>
      </c>
      <c r="K3236" s="91" t="str">
        <f t="shared" si="202"/>
        <v>UN</v>
      </c>
      <c r="L3236" s="166" t="str">
        <f t="shared" si="203"/>
        <v>11/2019</v>
      </c>
      <c r="M3236" s="82"/>
      <c r="N3236" s="82"/>
    </row>
    <row r="3237" spans="1:14" x14ac:dyDescent="0.25">
      <c r="A3237" s="170" t="s">
        <v>5949</v>
      </c>
      <c r="B3237" s="170" t="s">
        <v>5950</v>
      </c>
      <c r="C3237" s="170" t="s">
        <v>205</v>
      </c>
      <c r="D3237" s="170" t="s">
        <v>1947</v>
      </c>
      <c r="E3237" s="171" t="s">
        <v>33269</v>
      </c>
      <c r="F3237" s="171" t="s">
        <v>36529</v>
      </c>
      <c r="G3237" s="82"/>
      <c r="H3237" s="96">
        <f t="shared" si="200"/>
        <v>1099.33</v>
      </c>
      <c r="I3237" s="96">
        <f t="shared" si="200"/>
        <v>1139.28</v>
      </c>
      <c r="J3237" s="91" t="str">
        <f t="shared" si="201"/>
        <v>Sinapi 100596</v>
      </c>
      <c r="K3237" s="91" t="str">
        <f t="shared" si="202"/>
        <v>UN</v>
      </c>
      <c r="L3237" s="166" t="str">
        <f t="shared" si="203"/>
        <v>11/2019</v>
      </c>
      <c r="M3237" s="82"/>
      <c r="N3237" s="82"/>
    </row>
    <row r="3238" spans="1:14" x14ac:dyDescent="0.25">
      <c r="A3238" s="170" t="s">
        <v>5951</v>
      </c>
      <c r="B3238" s="170" t="s">
        <v>5952</v>
      </c>
      <c r="C3238" s="170" t="s">
        <v>205</v>
      </c>
      <c r="D3238" s="170" t="s">
        <v>1947</v>
      </c>
      <c r="E3238" s="171" t="s">
        <v>33270</v>
      </c>
      <c r="F3238" s="171" t="s">
        <v>36530</v>
      </c>
      <c r="G3238" s="82"/>
      <c r="H3238" s="96">
        <f t="shared" si="200"/>
        <v>1137.5899999999999</v>
      </c>
      <c r="I3238" s="96">
        <f t="shared" si="200"/>
        <v>1173.28</v>
      </c>
      <c r="J3238" s="91" t="str">
        <f t="shared" si="201"/>
        <v>Sinapi 100597</v>
      </c>
      <c r="K3238" s="91" t="str">
        <f t="shared" si="202"/>
        <v>UN</v>
      </c>
      <c r="L3238" s="166" t="str">
        <f t="shared" si="203"/>
        <v>11/2019</v>
      </c>
      <c r="M3238" s="82"/>
      <c r="N3238" s="82"/>
    </row>
    <row r="3239" spans="1:14" x14ac:dyDescent="0.25">
      <c r="A3239" s="170" t="s">
        <v>5953</v>
      </c>
      <c r="B3239" s="170" t="s">
        <v>5954</v>
      </c>
      <c r="C3239" s="170" t="s">
        <v>205</v>
      </c>
      <c r="D3239" s="170" t="s">
        <v>1947</v>
      </c>
      <c r="E3239" s="171" t="s">
        <v>33271</v>
      </c>
      <c r="F3239" s="171" t="s">
        <v>36531</v>
      </c>
      <c r="G3239" s="82"/>
      <c r="H3239" s="96">
        <f t="shared" si="200"/>
        <v>1226.33</v>
      </c>
      <c r="I3239" s="96">
        <f t="shared" si="200"/>
        <v>1271.5</v>
      </c>
      <c r="J3239" s="91" t="str">
        <f t="shared" si="201"/>
        <v>Sinapi 100598</v>
      </c>
      <c r="K3239" s="91" t="str">
        <f t="shared" si="202"/>
        <v>UN</v>
      </c>
      <c r="L3239" s="166" t="str">
        <f t="shared" si="203"/>
        <v>11/2019</v>
      </c>
      <c r="M3239" s="82"/>
      <c r="N3239" s="82"/>
    </row>
    <row r="3240" spans="1:14" x14ac:dyDescent="0.25">
      <c r="A3240" s="170" t="s">
        <v>5955</v>
      </c>
      <c r="B3240" s="170" t="s">
        <v>5956</v>
      </c>
      <c r="C3240" s="170" t="s">
        <v>205</v>
      </c>
      <c r="D3240" s="170" t="s">
        <v>1947</v>
      </c>
      <c r="E3240" s="171" t="s">
        <v>33272</v>
      </c>
      <c r="F3240" s="171" t="s">
        <v>36532</v>
      </c>
      <c r="G3240" s="82"/>
      <c r="H3240" s="96">
        <f t="shared" si="200"/>
        <v>551.78</v>
      </c>
      <c r="I3240" s="96">
        <f t="shared" si="200"/>
        <v>563.59</v>
      </c>
      <c r="J3240" s="91" t="str">
        <f t="shared" si="201"/>
        <v>Sinapi 100599</v>
      </c>
      <c r="K3240" s="91" t="str">
        <f t="shared" si="202"/>
        <v>UN</v>
      </c>
      <c r="L3240" s="166" t="str">
        <f t="shared" si="203"/>
        <v>11/2019</v>
      </c>
      <c r="M3240" s="82"/>
      <c r="N3240" s="82"/>
    </row>
    <row r="3241" spans="1:14" x14ac:dyDescent="0.25">
      <c r="A3241" s="170" t="s">
        <v>5957</v>
      </c>
      <c r="B3241" s="170" t="s">
        <v>5958</v>
      </c>
      <c r="C3241" s="170" t="s">
        <v>205</v>
      </c>
      <c r="D3241" s="170" t="s">
        <v>1947</v>
      </c>
      <c r="E3241" s="171" t="s">
        <v>33273</v>
      </c>
      <c r="F3241" s="171" t="s">
        <v>36533</v>
      </c>
      <c r="G3241" s="82"/>
      <c r="H3241" s="96">
        <f t="shared" si="200"/>
        <v>659.48</v>
      </c>
      <c r="I3241" s="96">
        <f t="shared" si="200"/>
        <v>676.77</v>
      </c>
      <c r="J3241" s="91" t="str">
        <f t="shared" si="201"/>
        <v>Sinapi 100600</v>
      </c>
      <c r="K3241" s="91" t="str">
        <f t="shared" si="202"/>
        <v>UN</v>
      </c>
      <c r="L3241" s="166" t="str">
        <f t="shared" si="203"/>
        <v>11/2019</v>
      </c>
      <c r="M3241" s="82"/>
      <c r="N3241" s="82"/>
    </row>
    <row r="3242" spans="1:14" x14ac:dyDescent="0.25">
      <c r="A3242" s="170" t="s">
        <v>5959</v>
      </c>
      <c r="B3242" s="170" t="s">
        <v>5960</v>
      </c>
      <c r="C3242" s="170" t="s">
        <v>205</v>
      </c>
      <c r="D3242" s="170" t="s">
        <v>1947</v>
      </c>
      <c r="E3242" s="171" t="s">
        <v>33274</v>
      </c>
      <c r="F3242" s="171" t="s">
        <v>36534</v>
      </c>
      <c r="G3242" s="82"/>
      <c r="H3242" s="96">
        <f t="shared" si="200"/>
        <v>851.35</v>
      </c>
      <c r="I3242" s="96">
        <f t="shared" si="200"/>
        <v>876.83</v>
      </c>
      <c r="J3242" s="91" t="str">
        <f t="shared" si="201"/>
        <v>Sinapi 100601</v>
      </c>
      <c r="K3242" s="91" t="str">
        <f t="shared" si="202"/>
        <v>UN</v>
      </c>
      <c r="L3242" s="166" t="str">
        <f t="shared" si="203"/>
        <v>11/2019</v>
      </c>
      <c r="M3242" s="82"/>
      <c r="N3242" s="82"/>
    </row>
    <row r="3243" spans="1:14" x14ac:dyDescent="0.25">
      <c r="A3243" s="170" t="s">
        <v>5961</v>
      </c>
      <c r="B3243" s="170" t="s">
        <v>5962</v>
      </c>
      <c r="C3243" s="170" t="s">
        <v>205</v>
      </c>
      <c r="D3243" s="170" t="s">
        <v>1947</v>
      </c>
      <c r="E3243" s="171" t="s">
        <v>33275</v>
      </c>
      <c r="F3243" s="171" t="s">
        <v>36535</v>
      </c>
      <c r="G3243" s="82"/>
      <c r="H3243" s="96">
        <f t="shared" si="200"/>
        <v>1090.5999999999999</v>
      </c>
      <c r="I3243" s="96">
        <f t="shared" si="200"/>
        <v>1126.3</v>
      </c>
      <c r="J3243" s="91" t="str">
        <f t="shared" si="201"/>
        <v>Sinapi 100602</v>
      </c>
      <c r="K3243" s="91" t="str">
        <f t="shared" si="202"/>
        <v>UN</v>
      </c>
      <c r="L3243" s="166" t="str">
        <f t="shared" si="203"/>
        <v>11/2019</v>
      </c>
      <c r="M3243" s="82"/>
      <c r="N3243" s="82"/>
    </row>
    <row r="3244" spans="1:14" x14ac:dyDescent="0.25">
      <c r="A3244" s="170" t="s">
        <v>5963</v>
      </c>
      <c r="B3244" s="170" t="s">
        <v>5964</v>
      </c>
      <c r="C3244" s="170" t="s">
        <v>205</v>
      </c>
      <c r="D3244" s="170" t="s">
        <v>1947</v>
      </c>
      <c r="E3244" s="171" t="s">
        <v>33276</v>
      </c>
      <c r="F3244" s="171" t="s">
        <v>36536</v>
      </c>
      <c r="G3244" s="82"/>
      <c r="H3244" s="96">
        <f t="shared" si="200"/>
        <v>1702.49</v>
      </c>
      <c r="I3244" s="96">
        <f t="shared" si="200"/>
        <v>1764.86</v>
      </c>
      <c r="J3244" s="91" t="str">
        <f t="shared" si="201"/>
        <v>Sinapi 100603</v>
      </c>
      <c r="K3244" s="91" t="str">
        <f t="shared" si="202"/>
        <v>UN</v>
      </c>
      <c r="L3244" s="166" t="str">
        <f t="shared" si="203"/>
        <v>11/2019</v>
      </c>
      <c r="M3244" s="82"/>
      <c r="N3244" s="82"/>
    </row>
    <row r="3245" spans="1:14" x14ac:dyDescent="0.25">
      <c r="A3245" s="170" t="s">
        <v>5965</v>
      </c>
      <c r="B3245" s="170" t="s">
        <v>5966</v>
      </c>
      <c r="C3245" s="170" t="s">
        <v>205</v>
      </c>
      <c r="D3245" s="170" t="s">
        <v>1947</v>
      </c>
      <c r="E3245" s="171" t="s">
        <v>33277</v>
      </c>
      <c r="F3245" s="171" t="s">
        <v>36537</v>
      </c>
      <c r="G3245" s="82"/>
      <c r="H3245" s="96">
        <f t="shared" si="200"/>
        <v>697.51</v>
      </c>
      <c r="I3245" s="96">
        <f t="shared" si="200"/>
        <v>715.33</v>
      </c>
      <c r="J3245" s="91" t="str">
        <f t="shared" si="201"/>
        <v>Sinapi 100604</v>
      </c>
      <c r="K3245" s="91" t="str">
        <f t="shared" si="202"/>
        <v>UN</v>
      </c>
      <c r="L3245" s="166" t="str">
        <f t="shared" si="203"/>
        <v>11/2019</v>
      </c>
      <c r="M3245" s="82"/>
      <c r="N3245" s="82"/>
    </row>
    <row r="3246" spans="1:14" x14ac:dyDescent="0.25">
      <c r="A3246" s="170" t="s">
        <v>5967</v>
      </c>
      <c r="B3246" s="170" t="s">
        <v>5968</v>
      </c>
      <c r="C3246" s="170" t="s">
        <v>205</v>
      </c>
      <c r="D3246" s="170" t="s">
        <v>1947</v>
      </c>
      <c r="E3246" s="171" t="s">
        <v>33278</v>
      </c>
      <c r="F3246" s="171" t="s">
        <v>36538</v>
      </c>
      <c r="G3246" s="82"/>
      <c r="H3246" s="96">
        <f t="shared" si="200"/>
        <v>1136.04</v>
      </c>
      <c r="I3246" s="96">
        <f t="shared" si="200"/>
        <v>1173.18</v>
      </c>
      <c r="J3246" s="91" t="str">
        <f t="shared" si="201"/>
        <v>Sinapi 100605</v>
      </c>
      <c r="K3246" s="91" t="str">
        <f t="shared" si="202"/>
        <v>UN</v>
      </c>
      <c r="L3246" s="166" t="str">
        <f t="shared" si="203"/>
        <v>11/2019</v>
      </c>
      <c r="M3246" s="82"/>
      <c r="N3246" s="82"/>
    </row>
    <row r="3247" spans="1:14" x14ac:dyDescent="0.25">
      <c r="A3247" s="170" t="s">
        <v>5969</v>
      </c>
      <c r="B3247" s="170" t="s">
        <v>5970</v>
      </c>
      <c r="C3247" s="170" t="s">
        <v>205</v>
      </c>
      <c r="D3247" s="170" t="s">
        <v>1947</v>
      </c>
      <c r="E3247" s="171" t="s">
        <v>33279</v>
      </c>
      <c r="F3247" s="171" t="s">
        <v>36539</v>
      </c>
      <c r="G3247" s="82"/>
      <c r="H3247" s="96">
        <f t="shared" si="200"/>
        <v>1757.26</v>
      </c>
      <c r="I3247" s="96">
        <f t="shared" si="200"/>
        <v>1822.28</v>
      </c>
      <c r="J3247" s="91" t="str">
        <f t="shared" si="201"/>
        <v>Sinapi 100606</v>
      </c>
      <c r="K3247" s="91" t="str">
        <f t="shared" si="202"/>
        <v>UN</v>
      </c>
      <c r="L3247" s="166" t="str">
        <f t="shared" si="203"/>
        <v>11/2019</v>
      </c>
      <c r="M3247" s="82"/>
      <c r="N3247" s="82"/>
    </row>
    <row r="3248" spans="1:14" x14ac:dyDescent="0.25">
      <c r="A3248" s="170" t="s">
        <v>5971</v>
      </c>
      <c r="B3248" s="170" t="s">
        <v>5972</v>
      </c>
      <c r="C3248" s="170" t="s">
        <v>205</v>
      </c>
      <c r="D3248" s="170" t="s">
        <v>1947</v>
      </c>
      <c r="E3248" s="171" t="s">
        <v>33280</v>
      </c>
      <c r="F3248" s="171" t="s">
        <v>36540</v>
      </c>
      <c r="G3248" s="82"/>
      <c r="H3248" s="96">
        <f t="shared" si="200"/>
        <v>715.34</v>
      </c>
      <c r="I3248" s="96">
        <f t="shared" si="200"/>
        <v>733.41</v>
      </c>
      <c r="J3248" s="91" t="str">
        <f t="shared" si="201"/>
        <v>Sinapi 100607</v>
      </c>
      <c r="K3248" s="91" t="str">
        <f t="shared" si="202"/>
        <v>UN</v>
      </c>
      <c r="L3248" s="166" t="str">
        <f t="shared" si="203"/>
        <v>11/2019</v>
      </c>
      <c r="M3248" s="82"/>
      <c r="N3248" s="82"/>
    </row>
    <row r="3249" spans="1:14" x14ac:dyDescent="0.25">
      <c r="A3249" s="170" t="s">
        <v>5973</v>
      </c>
      <c r="B3249" s="170" t="s">
        <v>5974</v>
      </c>
      <c r="C3249" s="170" t="s">
        <v>205</v>
      </c>
      <c r="D3249" s="170" t="s">
        <v>1947</v>
      </c>
      <c r="E3249" s="171" t="s">
        <v>33281</v>
      </c>
      <c r="F3249" s="171" t="s">
        <v>36541</v>
      </c>
      <c r="G3249" s="82"/>
      <c r="H3249" s="96">
        <f t="shared" si="200"/>
        <v>1158.43</v>
      </c>
      <c r="I3249" s="96">
        <f t="shared" si="200"/>
        <v>1196.29</v>
      </c>
      <c r="J3249" s="91" t="str">
        <f t="shared" si="201"/>
        <v>Sinapi 100608</v>
      </c>
      <c r="K3249" s="91" t="str">
        <f t="shared" si="202"/>
        <v>UN</v>
      </c>
      <c r="L3249" s="166" t="str">
        <f t="shared" si="203"/>
        <v>11/2019</v>
      </c>
      <c r="M3249" s="82"/>
      <c r="N3249" s="82"/>
    </row>
    <row r="3250" spans="1:14" x14ac:dyDescent="0.25">
      <c r="A3250" s="170" t="s">
        <v>5975</v>
      </c>
      <c r="B3250" s="170" t="s">
        <v>5976</v>
      </c>
      <c r="C3250" s="170" t="s">
        <v>205</v>
      </c>
      <c r="D3250" s="170" t="s">
        <v>1947</v>
      </c>
      <c r="E3250" s="171" t="s">
        <v>33282</v>
      </c>
      <c r="F3250" s="171" t="s">
        <v>36542</v>
      </c>
      <c r="G3250" s="82"/>
      <c r="H3250" s="96">
        <f t="shared" si="200"/>
        <v>1786.42</v>
      </c>
      <c r="I3250" s="96">
        <f t="shared" si="200"/>
        <v>1852.95</v>
      </c>
      <c r="J3250" s="91" t="str">
        <f t="shared" si="201"/>
        <v>Sinapi 100609</v>
      </c>
      <c r="K3250" s="91" t="str">
        <f t="shared" si="202"/>
        <v>UN</v>
      </c>
      <c r="L3250" s="166" t="str">
        <f t="shared" si="203"/>
        <v>11/2019</v>
      </c>
      <c r="M3250" s="82"/>
      <c r="N3250" s="82"/>
    </row>
    <row r="3251" spans="1:14" x14ac:dyDescent="0.25">
      <c r="A3251" s="170" t="s">
        <v>5977</v>
      </c>
      <c r="B3251" s="170" t="s">
        <v>5978</v>
      </c>
      <c r="C3251" s="170" t="s">
        <v>205</v>
      </c>
      <c r="D3251" s="170" t="s">
        <v>1947</v>
      </c>
      <c r="E3251" s="171" t="s">
        <v>33029</v>
      </c>
      <c r="F3251" s="171" t="s">
        <v>36543</v>
      </c>
      <c r="G3251" s="82"/>
      <c r="H3251" s="96">
        <f t="shared" si="200"/>
        <v>733.2</v>
      </c>
      <c r="I3251" s="96">
        <f t="shared" si="200"/>
        <v>751.49</v>
      </c>
      <c r="J3251" s="91" t="str">
        <f t="shared" si="201"/>
        <v>Sinapi 100610</v>
      </c>
      <c r="K3251" s="91" t="str">
        <f t="shared" si="202"/>
        <v>UN</v>
      </c>
      <c r="L3251" s="166" t="str">
        <f t="shared" si="203"/>
        <v>11/2019</v>
      </c>
      <c r="M3251" s="82"/>
      <c r="N3251" s="82"/>
    </row>
    <row r="3252" spans="1:14" x14ac:dyDescent="0.25">
      <c r="A3252" s="170" t="s">
        <v>5979</v>
      </c>
      <c r="B3252" s="170" t="s">
        <v>5980</v>
      </c>
      <c r="C3252" s="170" t="s">
        <v>205</v>
      </c>
      <c r="D3252" s="170" t="s">
        <v>1947</v>
      </c>
      <c r="E3252" s="171" t="s">
        <v>33283</v>
      </c>
      <c r="F3252" s="171" t="s">
        <v>36544</v>
      </c>
      <c r="G3252" s="82"/>
      <c r="H3252" s="96">
        <f t="shared" si="200"/>
        <v>931.58</v>
      </c>
      <c r="I3252" s="96">
        <f t="shared" si="200"/>
        <v>958.88</v>
      </c>
      <c r="J3252" s="91" t="str">
        <f t="shared" si="201"/>
        <v>Sinapi 100611</v>
      </c>
      <c r="K3252" s="91" t="str">
        <f t="shared" si="202"/>
        <v>UN</v>
      </c>
      <c r="L3252" s="166" t="str">
        <f t="shared" si="203"/>
        <v>11/2019</v>
      </c>
      <c r="M3252" s="82"/>
      <c r="N3252" s="82"/>
    </row>
    <row r="3253" spans="1:14" x14ac:dyDescent="0.25">
      <c r="A3253" s="170" t="s">
        <v>5981</v>
      </c>
      <c r="B3253" s="170" t="s">
        <v>5982</v>
      </c>
      <c r="C3253" s="170" t="s">
        <v>205</v>
      </c>
      <c r="D3253" s="170" t="s">
        <v>1947</v>
      </c>
      <c r="E3253" s="171" t="s">
        <v>33284</v>
      </c>
      <c r="F3253" s="171" t="s">
        <v>36545</v>
      </c>
      <c r="G3253" s="82"/>
      <c r="H3253" s="96">
        <f t="shared" si="200"/>
        <v>1180.28</v>
      </c>
      <c r="I3253" s="96">
        <f t="shared" si="200"/>
        <v>1218.82</v>
      </c>
      <c r="J3253" s="91" t="str">
        <f t="shared" si="201"/>
        <v>Sinapi 100612</v>
      </c>
      <c r="K3253" s="91" t="str">
        <f t="shared" si="202"/>
        <v>UN</v>
      </c>
      <c r="L3253" s="166" t="str">
        <f t="shared" si="203"/>
        <v>11/2019</v>
      </c>
      <c r="M3253" s="82"/>
      <c r="N3253" s="82"/>
    </row>
    <row r="3254" spans="1:14" x14ac:dyDescent="0.25">
      <c r="A3254" s="170" t="s">
        <v>5983</v>
      </c>
      <c r="B3254" s="170" t="s">
        <v>5984</v>
      </c>
      <c r="C3254" s="170" t="s">
        <v>205</v>
      </c>
      <c r="D3254" s="170" t="s">
        <v>1947</v>
      </c>
      <c r="E3254" s="171" t="s">
        <v>33285</v>
      </c>
      <c r="F3254" s="171" t="s">
        <v>36546</v>
      </c>
      <c r="G3254" s="82"/>
      <c r="H3254" s="96">
        <f t="shared" si="200"/>
        <v>1814.68</v>
      </c>
      <c r="I3254" s="96">
        <f t="shared" si="200"/>
        <v>1882.67</v>
      </c>
      <c r="J3254" s="91" t="str">
        <f t="shared" si="201"/>
        <v>Sinapi 100613</v>
      </c>
      <c r="K3254" s="91" t="str">
        <f t="shared" si="202"/>
        <v>UN</v>
      </c>
      <c r="L3254" s="166" t="str">
        <f t="shared" si="203"/>
        <v>11/2019</v>
      </c>
      <c r="M3254" s="82"/>
      <c r="N3254" s="82"/>
    </row>
    <row r="3255" spans="1:14" x14ac:dyDescent="0.25">
      <c r="A3255" s="170" t="s">
        <v>5985</v>
      </c>
      <c r="B3255" s="170" t="s">
        <v>5986</v>
      </c>
      <c r="C3255" s="170" t="s">
        <v>205</v>
      </c>
      <c r="D3255" s="170" t="s">
        <v>1947</v>
      </c>
      <c r="E3255" s="171" t="s">
        <v>33286</v>
      </c>
      <c r="F3255" s="171" t="s">
        <v>36547</v>
      </c>
      <c r="G3255" s="82"/>
      <c r="H3255" s="96">
        <f t="shared" si="200"/>
        <v>970.92</v>
      </c>
      <c r="I3255" s="96">
        <f t="shared" si="200"/>
        <v>999.06</v>
      </c>
      <c r="J3255" s="91" t="str">
        <f t="shared" si="201"/>
        <v>Sinapi 100614</v>
      </c>
      <c r="K3255" s="91" t="str">
        <f t="shared" si="202"/>
        <v>UN</v>
      </c>
      <c r="L3255" s="166" t="str">
        <f t="shared" si="203"/>
        <v>11/2019</v>
      </c>
      <c r="M3255" s="82"/>
      <c r="N3255" s="82"/>
    </row>
    <row r="3256" spans="1:14" x14ac:dyDescent="0.25">
      <c r="A3256" s="170" t="s">
        <v>5987</v>
      </c>
      <c r="B3256" s="170" t="s">
        <v>5988</v>
      </c>
      <c r="C3256" s="170" t="s">
        <v>205</v>
      </c>
      <c r="D3256" s="170" t="s">
        <v>1947</v>
      </c>
      <c r="E3256" s="171" t="s">
        <v>33287</v>
      </c>
      <c r="F3256" s="171" t="s">
        <v>36548</v>
      </c>
      <c r="G3256" s="82"/>
      <c r="H3256" s="96">
        <f t="shared" si="200"/>
        <v>1223.49</v>
      </c>
      <c r="I3256" s="96">
        <f t="shared" si="200"/>
        <v>1263.4000000000001</v>
      </c>
      <c r="J3256" s="91" t="str">
        <f t="shared" si="201"/>
        <v>Sinapi 100615</v>
      </c>
      <c r="K3256" s="91" t="str">
        <f t="shared" si="202"/>
        <v>UN</v>
      </c>
      <c r="L3256" s="166" t="str">
        <f t="shared" si="203"/>
        <v>11/2019</v>
      </c>
      <c r="M3256" s="82"/>
      <c r="N3256" s="82"/>
    </row>
    <row r="3257" spans="1:14" x14ac:dyDescent="0.25">
      <c r="A3257" s="170" t="s">
        <v>5989</v>
      </c>
      <c r="B3257" s="170" t="s">
        <v>5990</v>
      </c>
      <c r="C3257" s="170" t="s">
        <v>205</v>
      </c>
      <c r="D3257" s="170" t="s">
        <v>1947</v>
      </c>
      <c r="E3257" s="171" t="s">
        <v>33288</v>
      </c>
      <c r="F3257" s="171" t="s">
        <v>36549</v>
      </c>
      <c r="G3257" s="82"/>
      <c r="H3257" s="96">
        <f t="shared" si="200"/>
        <v>1873.74</v>
      </c>
      <c r="I3257" s="96">
        <f t="shared" si="200"/>
        <v>1944.94</v>
      </c>
      <c r="J3257" s="91" t="str">
        <f t="shared" si="201"/>
        <v>Sinapi 100616</v>
      </c>
      <c r="K3257" s="91" t="str">
        <f t="shared" si="202"/>
        <v>UN</v>
      </c>
      <c r="L3257" s="166" t="str">
        <f t="shared" si="203"/>
        <v>11/2019</v>
      </c>
      <c r="M3257" s="82"/>
      <c r="N3257" s="82"/>
    </row>
    <row r="3258" spans="1:14" x14ac:dyDescent="0.25">
      <c r="A3258" s="170" t="s">
        <v>5991</v>
      </c>
      <c r="B3258" s="170" t="s">
        <v>5992</v>
      </c>
      <c r="C3258" s="170" t="s">
        <v>205</v>
      </c>
      <c r="D3258" s="170" t="s">
        <v>1947</v>
      </c>
      <c r="E3258" s="171" t="s">
        <v>33289</v>
      </c>
      <c r="F3258" s="171" t="s">
        <v>36550</v>
      </c>
      <c r="G3258" s="82"/>
      <c r="H3258" s="96">
        <f t="shared" si="200"/>
        <v>1266.3</v>
      </c>
      <c r="I3258" s="96">
        <f t="shared" si="200"/>
        <v>1307.57</v>
      </c>
      <c r="J3258" s="91" t="str">
        <f t="shared" si="201"/>
        <v>Sinapi 100617</v>
      </c>
      <c r="K3258" s="91" t="str">
        <f t="shared" si="202"/>
        <v>UN</v>
      </c>
      <c r="L3258" s="166" t="str">
        <f t="shared" si="203"/>
        <v>11/2019</v>
      </c>
      <c r="M3258" s="82"/>
      <c r="N3258" s="82"/>
    </row>
    <row r="3259" spans="1:14" x14ac:dyDescent="0.25">
      <c r="A3259" s="170" t="s">
        <v>5993</v>
      </c>
      <c r="B3259" s="170" t="s">
        <v>5994</v>
      </c>
      <c r="C3259" s="170" t="s">
        <v>205</v>
      </c>
      <c r="D3259" s="170" t="s">
        <v>1947</v>
      </c>
      <c r="E3259" s="171" t="s">
        <v>33290</v>
      </c>
      <c r="F3259" s="171" t="s">
        <v>36551</v>
      </c>
      <c r="G3259" s="82"/>
      <c r="H3259" s="96">
        <f t="shared" si="200"/>
        <v>1943.74</v>
      </c>
      <c r="I3259" s="96">
        <f t="shared" si="200"/>
        <v>2017.9</v>
      </c>
      <c r="J3259" s="91" t="str">
        <f t="shared" si="201"/>
        <v>Sinapi 100618</v>
      </c>
      <c r="K3259" s="91" t="str">
        <f t="shared" si="202"/>
        <v>UN</v>
      </c>
      <c r="L3259" s="166" t="str">
        <f t="shared" si="203"/>
        <v>11/2019</v>
      </c>
      <c r="M3259" s="82"/>
      <c r="N3259" s="82"/>
    </row>
    <row r="3260" spans="1:14" x14ac:dyDescent="0.25">
      <c r="A3260" s="170" t="s">
        <v>5995</v>
      </c>
      <c r="B3260" s="170" t="s">
        <v>5996</v>
      </c>
      <c r="C3260" s="170" t="s">
        <v>205</v>
      </c>
      <c r="D3260" s="170" t="s">
        <v>1947</v>
      </c>
      <c r="E3260" s="171" t="s">
        <v>33291</v>
      </c>
      <c r="F3260" s="171" t="s">
        <v>36552</v>
      </c>
      <c r="G3260" s="82"/>
      <c r="H3260" s="96">
        <f t="shared" si="200"/>
        <v>588.13</v>
      </c>
      <c r="I3260" s="96">
        <f t="shared" si="200"/>
        <v>600.08000000000004</v>
      </c>
      <c r="J3260" s="91" t="str">
        <f t="shared" si="201"/>
        <v>Sinapi 100619</v>
      </c>
      <c r="K3260" s="91" t="str">
        <f t="shared" si="202"/>
        <v>UN</v>
      </c>
      <c r="L3260" s="166" t="str">
        <f t="shared" si="203"/>
        <v>11/2019</v>
      </c>
      <c r="M3260" s="82"/>
      <c r="N3260" s="82"/>
    </row>
    <row r="3261" spans="1:14" x14ac:dyDescent="0.25">
      <c r="A3261" s="170" t="s">
        <v>5997</v>
      </c>
      <c r="B3261" s="170" t="s">
        <v>5998</v>
      </c>
      <c r="C3261" s="170" t="s">
        <v>205</v>
      </c>
      <c r="D3261" s="170" t="s">
        <v>1947</v>
      </c>
      <c r="E3261" s="171" t="s">
        <v>33292</v>
      </c>
      <c r="F3261" s="171" t="s">
        <v>36553</v>
      </c>
      <c r="G3261" s="82"/>
      <c r="H3261" s="96">
        <f t="shared" si="200"/>
        <v>2880.08</v>
      </c>
      <c r="I3261" s="96">
        <f t="shared" si="200"/>
        <v>2887.78</v>
      </c>
      <c r="J3261" s="91" t="str">
        <f t="shared" si="201"/>
        <v>Sinapi 100620</v>
      </c>
      <c r="K3261" s="91" t="str">
        <f t="shared" si="202"/>
        <v>UN</v>
      </c>
      <c r="L3261" s="166" t="str">
        <f t="shared" si="203"/>
        <v>11/2019</v>
      </c>
      <c r="M3261" s="82"/>
      <c r="N3261" s="82"/>
    </row>
    <row r="3262" spans="1:14" x14ac:dyDescent="0.25">
      <c r="A3262" s="170" t="s">
        <v>5999</v>
      </c>
      <c r="B3262" s="170" t="s">
        <v>6000</v>
      </c>
      <c r="C3262" s="170" t="s">
        <v>205</v>
      </c>
      <c r="D3262" s="170" t="s">
        <v>1947</v>
      </c>
      <c r="E3262" s="171" t="s">
        <v>33293</v>
      </c>
      <c r="F3262" s="171" t="s">
        <v>36554</v>
      </c>
      <c r="G3262" s="82"/>
      <c r="H3262" s="96">
        <f t="shared" si="200"/>
        <v>3340.82</v>
      </c>
      <c r="I3262" s="96">
        <f t="shared" si="200"/>
        <v>3351.79</v>
      </c>
      <c r="J3262" s="91" t="str">
        <f t="shared" si="201"/>
        <v>Sinapi 100621</v>
      </c>
      <c r="K3262" s="91" t="str">
        <f t="shared" si="202"/>
        <v>UN</v>
      </c>
      <c r="L3262" s="166" t="str">
        <f t="shared" si="203"/>
        <v>11/2019</v>
      </c>
      <c r="M3262" s="82"/>
      <c r="N3262" s="82"/>
    </row>
    <row r="3263" spans="1:14" x14ac:dyDescent="0.25">
      <c r="A3263" s="170" t="s">
        <v>6001</v>
      </c>
      <c r="B3263" s="170" t="s">
        <v>6002</v>
      </c>
      <c r="C3263" s="170" t="s">
        <v>205</v>
      </c>
      <c r="D3263" s="170" t="s">
        <v>1947</v>
      </c>
      <c r="E3263" s="171" t="s">
        <v>33294</v>
      </c>
      <c r="F3263" s="171" t="s">
        <v>36555</v>
      </c>
      <c r="G3263" s="82"/>
      <c r="H3263" s="96">
        <f t="shared" si="200"/>
        <v>2532.7199999999998</v>
      </c>
      <c r="I3263" s="96">
        <f t="shared" si="200"/>
        <v>2545.6999999999998</v>
      </c>
      <c r="J3263" s="91" t="str">
        <f t="shared" si="201"/>
        <v>Sinapi 100622</v>
      </c>
      <c r="K3263" s="91" t="str">
        <f t="shared" si="202"/>
        <v>UN</v>
      </c>
      <c r="L3263" s="166" t="str">
        <f t="shared" si="203"/>
        <v>11/2019</v>
      </c>
      <c r="M3263" s="82"/>
      <c r="N3263" s="82"/>
    </row>
    <row r="3264" spans="1:14" x14ac:dyDescent="0.25">
      <c r="A3264" s="170" t="s">
        <v>6003</v>
      </c>
      <c r="B3264" s="170" t="s">
        <v>6004</v>
      </c>
      <c r="C3264" s="170" t="s">
        <v>205</v>
      </c>
      <c r="D3264" s="170" t="s">
        <v>1947</v>
      </c>
      <c r="E3264" s="171" t="s">
        <v>33295</v>
      </c>
      <c r="F3264" s="171" t="s">
        <v>36556</v>
      </c>
      <c r="G3264" s="82"/>
      <c r="H3264" s="96">
        <f t="shared" si="200"/>
        <v>2716.12</v>
      </c>
      <c r="I3264" s="96">
        <f t="shared" si="200"/>
        <v>2732.37</v>
      </c>
      <c r="J3264" s="91" t="str">
        <f t="shared" si="201"/>
        <v>Sinapi 100623</v>
      </c>
      <c r="K3264" s="91" t="str">
        <f t="shared" si="202"/>
        <v>UN</v>
      </c>
      <c r="L3264" s="166" t="str">
        <f t="shared" si="203"/>
        <v>11/2019</v>
      </c>
      <c r="M3264" s="82"/>
      <c r="N3264" s="82"/>
    </row>
    <row r="3265" spans="1:14" x14ac:dyDescent="0.25">
      <c r="A3265" s="170" t="s">
        <v>6005</v>
      </c>
      <c r="B3265" s="170" t="s">
        <v>6006</v>
      </c>
      <c r="C3265" s="170" t="s">
        <v>205</v>
      </c>
      <c r="D3265" s="170" t="s">
        <v>1947</v>
      </c>
      <c r="E3265" s="171" t="s">
        <v>33296</v>
      </c>
      <c r="F3265" s="171" t="s">
        <v>36557</v>
      </c>
      <c r="G3265" s="82"/>
      <c r="H3265" s="96">
        <f t="shared" si="200"/>
        <v>321.68</v>
      </c>
      <c r="I3265" s="96">
        <f t="shared" si="200"/>
        <v>323.22000000000003</v>
      </c>
      <c r="J3265" s="91" t="str">
        <f t="shared" si="201"/>
        <v>Sinapi 97600</v>
      </c>
      <c r="K3265" s="91" t="str">
        <f t="shared" si="202"/>
        <v>UN</v>
      </c>
      <c r="L3265" s="166" t="str">
        <f t="shared" si="203"/>
        <v>02/2020</v>
      </c>
      <c r="M3265" s="82"/>
      <c r="N3265" s="82"/>
    </row>
    <row r="3266" spans="1:14" x14ac:dyDescent="0.25">
      <c r="A3266" s="170" t="s">
        <v>6007</v>
      </c>
      <c r="B3266" s="170" t="s">
        <v>6008</v>
      </c>
      <c r="C3266" s="170" t="s">
        <v>205</v>
      </c>
      <c r="D3266" s="170" t="s">
        <v>1947</v>
      </c>
      <c r="E3266" s="171" t="s">
        <v>33297</v>
      </c>
      <c r="F3266" s="171" t="s">
        <v>36558</v>
      </c>
      <c r="G3266" s="82"/>
      <c r="H3266" s="96">
        <f t="shared" si="200"/>
        <v>340.42</v>
      </c>
      <c r="I3266" s="96">
        <f t="shared" si="200"/>
        <v>341.96</v>
      </c>
      <c r="J3266" s="91" t="str">
        <f t="shared" si="201"/>
        <v>Sinapi 97601</v>
      </c>
      <c r="K3266" s="91" t="str">
        <f t="shared" si="202"/>
        <v>UN</v>
      </c>
      <c r="L3266" s="166" t="str">
        <f t="shared" si="203"/>
        <v>02/2020</v>
      </c>
      <c r="M3266" s="82"/>
      <c r="N3266" s="82"/>
    </row>
    <row r="3267" spans="1:14" x14ac:dyDescent="0.25">
      <c r="A3267" s="170" t="s">
        <v>6009</v>
      </c>
      <c r="B3267" s="170" t="s">
        <v>6010</v>
      </c>
      <c r="C3267" s="170" t="s">
        <v>205</v>
      </c>
      <c r="D3267" s="170" t="s">
        <v>1947</v>
      </c>
      <c r="E3267" s="171" t="s">
        <v>33298</v>
      </c>
      <c r="F3267" s="171" t="s">
        <v>36559</v>
      </c>
      <c r="G3267" s="82"/>
      <c r="H3267" s="96">
        <f t="shared" si="200"/>
        <v>91.17</v>
      </c>
      <c r="I3267" s="96">
        <f t="shared" si="200"/>
        <v>92.92</v>
      </c>
      <c r="J3267" s="91" t="str">
        <f t="shared" si="201"/>
        <v>Sinapi 97605</v>
      </c>
      <c r="K3267" s="91" t="str">
        <f t="shared" si="202"/>
        <v>UN</v>
      </c>
      <c r="L3267" s="166" t="str">
        <f t="shared" si="203"/>
        <v>02/2020</v>
      </c>
      <c r="M3267" s="82"/>
      <c r="N3267" s="82"/>
    </row>
    <row r="3268" spans="1:14" x14ac:dyDescent="0.25">
      <c r="A3268" s="170" t="s">
        <v>6011</v>
      </c>
      <c r="B3268" s="170" t="s">
        <v>6012</v>
      </c>
      <c r="C3268" s="170" t="s">
        <v>205</v>
      </c>
      <c r="D3268" s="170" t="s">
        <v>1947</v>
      </c>
      <c r="E3268" s="171" t="s">
        <v>30218</v>
      </c>
      <c r="F3268" s="171" t="s">
        <v>23180</v>
      </c>
      <c r="G3268" s="82"/>
      <c r="H3268" s="96">
        <f t="shared" si="200"/>
        <v>98.82</v>
      </c>
      <c r="I3268" s="96">
        <f t="shared" si="200"/>
        <v>100.57</v>
      </c>
      <c r="J3268" s="91" t="str">
        <f t="shared" si="201"/>
        <v>Sinapi 97606</v>
      </c>
      <c r="K3268" s="91" t="str">
        <f t="shared" si="202"/>
        <v>UN</v>
      </c>
      <c r="L3268" s="166" t="str">
        <f t="shared" si="203"/>
        <v>02/2020</v>
      </c>
      <c r="M3268" s="82"/>
      <c r="N3268" s="82"/>
    </row>
    <row r="3269" spans="1:14" x14ac:dyDescent="0.25">
      <c r="A3269" s="170" t="s">
        <v>6013</v>
      </c>
      <c r="B3269" s="170" t="s">
        <v>6014</v>
      </c>
      <c r="C3269" s="170" t="s">
        <v>205</v>
      </c>
      <c r="D3269" s="170" t="s">
        <v>1947</v>
      </c>
      <c r="E3269" s="171" t="s">
        <v>33299</v>
      </c>
      <c r="F3269" s="171" t="s">
        <v>36560</v>
      </c>
      <c r="G3269" s="82"/>
      <c r="H3269" s="96">
        <f t="shared" si="200"/>
        <v>110.04</v>
      </c>
      <c r="I3269" s="96">
        <f t="shared" si="200"/>
        <v>112.08</v>
      </c>
      <c r="J3269" s="91" t="str">
        <f t="shared" si="201"/>
        <v>Sinapi 97607</v>
      </c>
      <c r="K3269" s="91" t="str">
        <f t="shared" si="202"/>
        <v>UN</v>
      </c>
      <c r="L3269" s="166" t="str">
        <f t="shared" si="203"/>
        <v>02/2020</v>
      </c>
      <c r="M3269" s="82"/>
      <c r="N3269" s="82"/>
    </row>
    <row r="3270" spans="1:14" x14ac:dyDescent="0.25">
      <c r="A3270" s="170" t="s">
        <v>6015</v>
      </c>
      <c r="B3270" s="170" t="s">
        <v>6016</v>
      </c>
      <c r="C3270" s="170" t="s">
        <v>205</v>
      </c>
      <c r="D3270" s="170" t="s">
        <v>1947</v>
      </c>
      <c r="E3270" s="171" t="s">
        <v>33300</v>
      </c>
      <c r="F3270" s="171" t="s">
        <v>36561</v>
      </c>
      <c r="G3270" s="82"/>
      <c r="H3270" s="96">
        <f t="shared" si="200"/>
        <v>117.69</v>
      </c>
      <c r="I3270" s="96">
        <f t="shared" si="200"/>
        <v>119.73</v>
      </c>
      <c r="J3270" s="91" t="str">
        <f t="shared" si="201"/>
        <v>Sinapi 97608</v>
      </c>
      <c r="K3270" s="91" t="str">
        <f t="shared" si="202"/>
        <v>UN</v>
      </c>
      <c r="L3270" s="166" t="str">
        <f t="shared" si="203"/>
        <v>02/2020</v>
      </c>
      <c r="M3270" s="82"/>
      <c r="N3270" s="82"/>
    </row>
    <row r="3271" spans="1:14" x14ac:dyDescent="0.25">
      <c r="A3271" s="170" t="s">
        <v>12597</v>
      </c>
      <c r="B3271" s="170" t="s">
        <v>12598</v>
      </c>
      <c r="C3271" s="170" t="s">
        <v>205</v>
      </c>
      <c r="D3271" s="170" t="s">
        <v>1947</v>
      </c>
      <c r="E3271" s="171" t="s">
        <v>33301</v>
      </c>
      <c r="F3271" s="171" t="s">
        <v>36562</v>
      </c>
      <c r="G3271" s="82"/>
      <c r="H3271" s="96">
        <f t="shared" si="200"/>
        <v>10457.83</v>
      </c>
      <c r="I3271" s="96">
        <f t="shared" si="200"/>
        <v>10500.26</v>
      </c>
      <c r="J3271" s="91" t="str">
        <f t="shared" si="201"/>
        <v>Sinapi 102102</v>
      </c>
      <c r="K3271" s="91" t="str">
        <f t="shared" si="202"/>
        <v>UN</v>
      </c>
      <c r="L3271" s="166" t="str">
        <f t="shared" si="203"/>
        <v>12/2020</v>
      </c>
      <c r="M3271" s="82"/>
      <c r="N3271" s="82"/>
    </row>
    <row r="3272" spans="1:14" x14ac:dyDescent="0.25">
      <c r="A3272" s="170" t="s">
        <v>12599</v>
      </c>
      <c r="B3272" s="170" t="s">
        <v>12600</v>
      </c>
      <c r="C3272" s="170" t="s">
        <v>205</v>
      </c>
      <c r="D3272" s="170" t="s">
        <v>1947</v>
      </c>
      <c r="E3272" s="171" t="s">
        <v>33302</v>
      </c>
      <c r="F3272" s="171" t="s">
        <v>36563</v>
      </c>
      <c r="G3272" s="82"/>
      <c r="H3272" s="96">
        <f t="shared" ref="H3272:I3335" si="204">IF(E3272="","",E3272+0)</f>
        <v>11644.32</v>
      </c>
      <c r="I3272" s="96">
        <f t="shared" si="204"/>
        <v>11687.46</v>
      </c>
      <c r="J3272" s="91" t="str">
        <f t="shared" ref="J3272:J3335" si="205">IF(OR(H3272="",I3272=""),"",TRIM(CONCATENATE("Sinapi ",A3272)))</f>
        <v>Sinapi 102103</v>
      </c>
      <c r="K3272" s="91" t="str">
        <f t="shared" ref="K3272:K3335" si="206">TRIM(C3272)</f>
        <v>UN</v>
      </c>
      <c r="L3272" s="166" t="str">
        <f t="shared" ref="L3272:L3335" si="207">IF(OR(RIGHT(IF(AND(K3272&lt;&gt;"H",K3272&lt;&gt;"MES"),RIGHT(B3272,7),""),2)="PS",RIGHT(IF(AND(K3272&lt;&gt;"H",K3272&lt;&gt;"MES"),RIGHT(B3272,7),""),2)="PA",RIGHT(IF(AND(K3272&lt;&gt;"H",K3272&lt;&gt;"MES"),RIGHT(B3272,7),""),2)="PE"),LEFT(IF(AND(K3272&lt;&gt;"H",K3272&lt;&gt;"MES"),RIGHT(B3272,10),""),7),IF(AND(K3272&lt;&gt;"H",K3272&lt;&gt;"MES"),RIGHT(B3272,7),""))</f>
        <v>12/2020</v>
      </c>
      <c r="M3272" s="82"/>
      <c r="N3272" s="82"/>
    </row>
    <row r="3273" spans="1:14" x14ac:dyDescent="0.25">
      <c r="A3273" s="170" t="s">
        <v>12601</v>
      </c>
      <c r="B3273" s="170" t="s">
        <v>12602</v>
      </c>
      <c r="C3273" s="170" t="s">
        <v>205</v>
      </c>
      <c r="D3273" s="170" t="s">
        <v>1947</v>
      </c>
      <c r="E3273" s="171" t="s">
        <v>33303</v>
      </c>
      <c r="F3273" s="171" t="s">
        <v>36564</v>
      </c>
      <c r="G3273" s="82"/>
      <c r="H3273" s="96">
        <f t="shared" si="204"/>
        <v>14953.01</v>
      </c>
      <c r="I3273" s="96">
        <f t="shared" si="204"/>
        <v>14997.4</v>
      </c>
      <c r="J3273" s="91" t="str">
        <f t="shared" si="205"/>
        <v>Sinapi 102104</v>
      </c>
      <c r="K3273" s="91" t="str">
        <f t="shared" si="206"/>
        <v>UN</v>
      </c>
      <c r="L3273" s="166" t="str">
        <f t="shared" si="207"/>
        <v>12/2020</v>
      </c>
      <c r="M3273" s="82"/>
      <c r="N3273" s="82"/>
    </row>
    <row r="3274" spans="1:14" x14ac:dyDescent="0.25">
      <c r="A3274" s="170" t="s">
        <v>12603</v>
      </c>
      <c r="B3274" s="170" t="s">
        <v>12604</v>
      </c>
      <c r="C3274" s="170" t="s">
        <v>205</v>
      </c>
      <c r="D3274" s="170" t="s">
        <v>1947</v>
      </c>
      <c r="E3274" s="171" t="s">
        <v>33304</v>
      </c>
      <c r="F3274" s="171" t="s">
        <v>36565</v>
      </c>
      <c r="G3274" s="82"/>
      <c r="H3274" s="96">
        <f t="shared" si="204"/>
        <v>18390.88</v>
      </c>
      <c r="I3274" s="96">
        <f t="shared" si="204"/>
        <v>18436.509999999998</v>
      </c>
      <c r="J3274" s="91" t="str">
        <f t="shared" si="205"/>
        <v>Sinapi 102105</v>
      </c>
      <c r="K3274" s="91" t="str">
        <f t="shared" si="206"/>
        <v>UN</v>
      </c>
      <c r="L3274" s="166" t="str">
        <f t="shared" si="207"/>
        <v>12/2020</v>
      </c>
      <c r="M3274" s="82"/>
      <c r="N3274" s="82"/>
    </row>
    <row r="3275" spans="1:14" x14ac:dyDescent="0.25">
      <c r="A3275" s="170" t="s">
        <v>12605</v>
      </c>
      <c r="B3275" s="170" t="s">
        <v>12606</v>
      </c>
      <c r="C3275" s="170" t="s">
        <v>205</v>
      </c>
      <c r="D3275" s="170" t="s">
        <v>1947</v>
      </c>
      <c r="E3275" s="171" t="s">
        <v>33305</v>
      </c>
      <c r="F3275" s="171" t="s">
        <v>36566</v>
      </c>
      <c r="G3275" s="82"/>
      <c r="H3275" s="96">
        <f t="shared" si="204"/>
        <v>23083.78</v>
      </c>
      <c r="I3275" s="96">
        <f t="shared" si="204"/>
        <v>23130.14</v>
      </c>
      <c r="J3275" s="91" t="str">
        <f t="shared" si="205"/>
        <v>Sinapi 102106</v>
      </c>
      <c r="K3275" s="91" t="str">
        <f t="shared" si="206"/>
        <v>UN</v>
      </c>
      <c r="L3275" s="166" t="str">
        <f t="shared" si="207"/>
        <v>12/2020</v>
      </c>
      <c r="M3275" s="82"/>
      <c r="N3275" s="82"/>
    </row>
    <row r="3276" spans="1:14" x14ac:dyDescent="0.25">
      <c r="A3276" s="170" t="s">
        <v>12607</v>
      </c>
      <c r="B3276" s="170" t="s">
        <v>12608</v>
      </c>
      <c r="C3276" s="170" t="s">
        <v>205</v>
      </c>
      <c r="D3276" s="170" t="s">
        <v>1947</v>
      </c>
      <c r="E3276" s="171" t="s">
        <v>33306</v>
      </c>
      <c r="F3276" s="171" t="s">
        <v>36567</v>
      </c>
      <c r="G3276" s="82"/>
      <c r="H3276" s="96">
        <f t="shared" si="204"/>
        <v>32233.15</v>
      </c>
      <c r="I3276" s="96">
        <f t="shared" si="204"/>
        <v>32282.19</v>
      </c>
      <c r="J3276" s="91" t="str">
        <f t="shared" si="205"/>
        <v>Sinapi 102107</v>
      </c>
      <c r="K3276" s="91" t="str">
        <f t="shared" si="206"/>
        <v>UN</v>
      </c>
      <c r="L3276" s="166" t="str">
        <f t="shared" si="207"/>
        <v>12/2020</v>
      </c>
      <c r="M3276" s="82"/>
      <c r="N3276" s="82"/>
    </row>
    <row r="3277" spans="1:14" x14ac:dyDescent="0.25">
      <c r="A3277" s="170" t="s">
        <v>12609</v>
      </c>
      <c r="B3277" s="170" t="s">
        <v>12610</v>
      </c>
      <c r="C3277" s="170" t="s">
        <v>205</v>
      </c>
      <c r="D3277" s="170" t="s">
        <v>1947</v>
      </c>
      <c r="E3277" s="171" t="s">
        <v>33307</v>
      </c>
      <c r="F3277" s="171" t="s">
        <v>36568</v>
      </c>
      <c r="G3277" s="82"/>
      <c r="H3277" s="96">
        <f t="shared" si="204"/>
        <v>37544.879999999997</v>
      </c>
      <c r="I3277" s="96">
        <f t="shared" si="204"/>
        <v>37595.57</v>
      </c>
      <c r="J3277" s="91" t="str">
        <f t="shared" si="205"/>
        <v>Sinapi 102108</v>
      </c>
      <c r="K3277" s="91" t="str">
        <f t="shared" si="206"/>
        <v>UN</v>
      </c>
      <c r="L3277" s="166" t="str">
        <f t="shared" si="207"/>
        <v>12/2020</v>
      </c>
      <c r="M3277" s="82"/>
      <c r="N3277" s="82"/>
    </row>
    <row r="3278" spans="1:14" x14ac:dyDescent="0.25">
      <c r="A3278" s="170" t="s">
        <v>12611</v>
      </c>
      <c r="B3278" s="170" t="s">
        <v>12612</v>
      </c>
      <c r="C3278" s="170" t="s">
        <v>205</v>
      </c>
      <c r="D3278" s="170" t="s">
        <v>2067</v>
      </c>
      <c r="E3278" s="171" t="s">
        <v>33308</v>
      </c>
      <c r="F3278" s="171" t="s">
        <v>23106</v>
      </c>
      <c r="G3278" s="82"/>
      <c r="H3278" s="96">
        <f t="shared" si="204"/>
        <v>49.33</v>
      </c>
      <c r="I3278" s="96">
        <f t="shared" si="204"/>
        <v>51.46</v>
      </c>
      <c r="J3278" s="91" t="str">
        <f t="shared" si="205"/>
        <v>Sinapi 102109</v>
      </c>
      <c r="K3278" s="91" t="str">
        <f t="shared" si="206"/>
        <v>UN</v>
      </c>
      <c r="L3278" s="166" t="str">
        <f t="shared" si="207"/>
        <v>12/2020</v>
      </c>
      <c r="M3278" s="82"/>
      <c r="N3278" s="82"/>
    </row>
    <row r="3279" spans="1:14" x14ac:dyDescent="0.25">
      <c r="A3279" s="170" t="s">
        <v>12613</v>
      </c>
      <c r="B3279" s="170" t="s">
        <v>12614</v>
      </c>
      <c r="C3279" s="170" t="s">
        <v>205</v>
      </c>
      <c r="D3279" s="170" t="s">
        <v>2067</v>
      </c>
      <c r="E3279" s="171" t="s">
        <v>33309</v>
      </c>
      <c r="F3279" s="171" t="s">
        <v>36569</v>
      </c>
      <c r="G3279" s="82"/>
      <c r="H3279" s="96">
        <f t="shared" si="204"/>
        <v>150.97</v>
      </c>
      <c r="I3279" s="96">
        <f t="shared" si="204"/>
        <v>153.1</v>
      </c>
      <c r="J3279" s="91" t="str">
        <f t="shared" si="205"/>
        <v>Sinapi 102110</v>
      </c>
      <c r="K3279" s="91" t="str">
        <f t="shared" si="206"/>
        <v>UN</v>
      </c>
      <c r="L3279" s="166" t="str">
        <f t="shared" si="207"/>
        <v>12/2020</v>
      </c>
      <c r="M3279" s="82"/>
      <c r="N3279" s="82"/>
    </row>
    <row r="3280" spans="1:14" x14ac:dyDescent="0.25">
      <c r="A3280" s="170" t="s">
        <v>15622</v>
      </c>
      <c r="B3280" s="170" t="s">
        <v>15623</v>
      </c>
      <c r="C3280" s="170" t="s">
        <v>205</v>
      </c>
      <c r="D3280" s="170" t="s">
        <v>1947</v>
      </c>
      <c r="E3280" s="171" t="s">
        <v>33310</v>
      </c>
      <c r="F3280" s="171" t="s">
        <v>36570</v>
      </c>
      <c r="G3280" s="82"/>
      <c r="H3280" s="96">
        <f t="shared" si="204"/>
        <v>60845.81</v>
      </c>
      <c r="I3280" s="96">
        <f t="shared" si="204"/>
        <v>60897.26</v>
      </c>
      <c r="J3280" s="91" t="str">
        <f t="shared" si="205"/>
        <v>Sinapi 103654</v>
      </c>
      <c r="K3280" s="91" t="str">
        <f t="shared" si="206"/>
        <v>UN</v>
      </c>
      <c r="L3280" s="166" t="str">
        <f t="shared" si="207"/>
        <v>02/2022</v>
      </c>
      <c r="M3280" s="82"/>
      <c r="N3280" s="82"/>
    </row>
    <row r="3281" spans="1:14" x14ac:dyDescent="0.25">
      <c r="A3281" s="170" t="s">
        <v>15624</v>
      </c>
      <c r="B3281" s="170" t="s">
        <v>15625</v>
      </c>
      <c r="C3281" s="170" t="s">
        <v>205</v>
      </c>
      <c r="D3281" s="170" t="s">
        <v>1947</v>
      </c>
      <c r="E3281" s="171" t="s">
        <v>33311</v>
      </c>
      <c r="F3281" s="171" t="s">
        <v>36571</v>
      </c>
      <c r="G3281" s="82"/>
      <c r="H3281" s="96">
        <f t="shared" si="204"/>
        <v>83364.12</v>
      </c>
      <c r="I3281" s="96">
        <f t="shared" si="204"/>
        <v>83424.34</v>
      </c>
      <c r="J3281" s="91" t="str">
        <f t="shared" si="205"/>
        <v>Sinapi 103655</v>
      </c>
      <c r="K3281" s="91" t="str">
        <f t="shared" si="206"/>
        <v>UN</v>
      </c>
      <c r="L3281" s="166" t="str">
        <f t="shared" si="207"/>
        <v>02/2022</v>
      </c>
      <c r="M3281" s="82"/>
      <c r="N3281" s="82"/>
    </row>
    <row r="3282" spans="1:14" x14ac:dyDescent="0.25">
      <c r="A3282" s="170" t="s">
        <v>15626</v>
      </c>
      <c r="B3282" s="170" t="s">
        <v>15627</v>
      </c>
      <c r="C3282" s="170" t="s">
        <v>205</v>
      </c>
      <c r="D3282" s="170" t="s">
        <v>1947</v>
      </c>
      <c r="E3282" s="171" t="s">
        <v>33312</v>
      </c>
      <c r="F3282" s="171" t="s">
        <v>36572</v>
      </c>
      <c r="G3282" s="82"/>
      <c r="H3282" s="96">
        <f t="shared" si="204"/>
        <v>116574.28</v>
      </c>
      <c r="I3282" s="96">
        <f t="shared" si="204"/>
        <v>116643.2</v>
      </c>
      <c r="J3282" s="91" t="str">
        <f t="shared" si="205"/>
        <v>Sinapi 103656</v>
      </c>
      <c r="K3282" s="91" t="str">
        <f t="shared" si="206"/>
        <v>UN</v>
      </c>
      <c r="L3282" s="166" t="str">
        <f t="shared" si="207"/>
        <v>02/2022</v>
      </c>
      <c r="M3282" s="82"/>
      <c r="N3282" s="82"/>
    </row>
    <row r="3283" spans="1:14" x14ac:dyDescent="0.25">
      <c r="A3283" s="170" t="s">
        <v>18669</v>
      </c>
      <c r="B3283" s="170" t="s">
        <v>18670</v>
      </c>
      <c r="C3283" s="170" t="s">
        <v>205</v>
      </c>
      <c r="D3283" s="170" t="s">
        <v>2067</v>
      </c>
      <c r="E3283" s="171" t="s">
        <v>33313</v>
      </c>
      <c r="F3283" s="171" t="s">
        <v>36103</v>
      </c>
      <c r="G3283" s="82"/>
      <c r="H3283" s="96">
        <f t="shared" si="204"/>
        <v>155.76</v>
      </c>
      <c r="I3283" s="96">
        <f t="shared" si="204"/>
        <v>165.78</v>
      </c>
      <c r="J3283" s="91" t="str">
        <f t="shared" si="205"/>
        <v>Sinapi 104473</v>
      </c>
      <c r="K3283" s="91" t="str">
        <f t="shared" si="206"/>
        <v>UN</v>
      </c>
      <c r="L3283" s="166" t="str">
        <f t="shared" si="207"/>
        <v>11/2022</v>
      </c>
      <c r="M3283" s="82"/>
      <c r="N3283" s="82"/>
    </row>
    <row r="3284" spans="1:14" x14ac:dyDescent="0.25">
      <c r="A3284" s="170" t="s">
        <v>18671</v>
      </c>
      <c r="B3284" s="170" t="s">
        <v>18672</v>
      </c>
      <c r="C3284" s="170" t="s">
        <v>205</v>
      </c>
      <c r="D3284" s="170" t="s">
        <v>2067</v>
      </c>
      <c r="E3284" s="171" t="s">
        <v>33314</v>
      </c>
      <c r="F3284" s="171" t="s">
        <v>36573</v>
      </c>
      <c r="G3284" s="82"/>
      <c r="H3284" s="96">
        <f t="shared" si="204"/>
        <v>338.01</v>
      </c>
      <c r="I3284" s="96">
        <f t="shared" si="204"/>
        <v>358.47</v>
      </c>
      <c r="J3284" s="91" t="str">
        <f t="shared" si="205"/>
        <v>Sinapi 104474</v>
      </c>
      <c r="K3284" s="91" t="str">
        <f t="shared" si="206"/>
        <v>UN</v>
      </c>
      <c r="L3284" s="166" t="str">
        <f t="shared" si="207"/>
        <v>11/2022</v>
      </c>
      <c r="M3284" s="82"/>
      <c r="N3284" s="82"/>
    </row>
    <row r="3285" spans="1:14" x14ac:dyDescent="0.25">
      <c r="A3285" s="170" t="s">
        <v>18673</v>
      </c>
      <c r="B3285" s="170" t="s">
        <v>18674</v>
      </c>
      <c r="C3285" s="170" t="s">
        <v>205</v>
      </c>
      <c r="D3285" s="170" t="s">
        <v>2067</v>
      </c>
      <c r="E3285" s="171" t="s">
        <v>32762</v>
      </c>
      <c r="F3285" s="171" t="s">
        <v>28958</v>
      </c>
      <c r="G3285" s="82"/>
      <c r="H3285" s="96">
        <f t="shared" si="204"/>
        <v>135.85</v>
      </c>
      <c r="I3285" s="96">
        <f t="shared" si="204"/>
        <v>143.93</v>
      </c>
      <c r="J3285" s="91" t="str">
        <f t="shared" si="205"/>
        <v>Sinapi 104475</v>
      </c>
      <c r="K3285" s="91" t="str">
        <f t="shared" si="206"/>
        <v>UN</v>
      </c>
      <c r="L3285" s="166" t="str">
        <f t="shared" si="207"/>
        <v>11/2022</v>
      </c>
      <c r="M3285" s="82"/>
      <c r="N3285" s="82"/>
    </row>
    <row r="3286" spans="1:14" x14ac:dyDescent="0.25">
      <c r="A3286" s="170" t="s">
        <v>18675</v>
      </c>
      <c r="B3286" s="170" t="s">
        <v>18676</v>
      </c>
      <c r="C3286" s="170" t="s">
        <v>205</v>
      </c>
      <c r="D3286" s="170" t="s">
        <v>2067</v>
      </c>
      <c r="E3286" s="171" t="s">
        <v>33315</v>
      </c>
      <c r="F3286" s="171" t="s">
        <v>26112</v>
      </c>
      <c r="G3286" s="82"/>
      <c r="H3286" s="96">
        <f t="shared" si="204"/>
        <v>171.33</v>
      </c>
      <c r="I3286" s="96">
        <f t="shared" si="204"/>
        <v>182.42</v>
      </c>
      <c r="J3286" s="91" t="str">
        <f t="shared" si="205"/>
        <v>Sinapi 104476</v>
      </c>
      <c r="K3286" s="91" t="str">
        <f t="shared" si="206"/>
        <v>UN</v>
      </c>
      <c r="L3286" s="166" t="str">
        <f t="shared" si="207"/>
        <v>11/2022</v>
      </c>
      <c r="M3286" s="82"/>
      <c r="N3286" s="82"/>
    </row>
    <row r="3287" spans="1:14" x14ac:dyDescent="0.25">
      <c r="A3287" s="170" t="s">
        <v>18677</v>
      </c>
      <c r="B3287" s="170" t="s">
        <v>18678</v>
      </c>
      <c r="C3287" s="170" t="s">
        <v>205</v>
      </c>
      <c r="D3287" s="170" t="s">
        <v>2067</v>
      </c>
      <c r="E3287" s="171" t="s">
        <v>22805</v>
      </c>
      <c r="F3287" s="171" t="s">
        <v>29341</v>
      </c>
      <c r="G3287" s="82"/>
      <c r="H3287" s="96">
        <f t="shared" si="204"/>
        <v>132.61000000000001</v>
      </c>
      <c r="I3287" s="96">
        <f t="shared" si="204"/>
        <v>140.22</v>
      </c>
      <c r="J3287" s="91" t="str">
        <f t="shared" si="205"/>
        <v>Sinapi 104477</v>
      </c>
      <c r="K3287" s="91" t="str">
        <f t="shared" si="206"/>
        <v>UN</v>
      </c>
      <c r="L3287" s="166" t="str">
        <f t="shared" si="207"/>
        <v>11/2022</v>
      </c>
      <c r="M3287" s="82"/>
      <c r="N3287" s="82"/>
    </row>
    <row r="3288" spans="1:14" x14ac:dyDescent="0.25">
      <c r="A3288" s="170" t="s">
        <v>18679</v>
      </c>
      <c r="B3288" s="170" t="s">
        <v>18680</v>
      </c>
      <c r="C3288" s="170" t="s">
        <v>205</v>
      </c>
      <c r="D3288" s="170" t="s">
        <v>2067</v>
      </c>
      <c r="E3288" s="171" t="s">
        <v>33316</v>
      </c>
      <c r="F3288" s="171" t="s">
        <v>32179</v>
      </c>
      <c r="G3288" s="82"/>
      <c r="H3288" s="96">
        <f t="shared" si="204"/>
        <v>297.02999999999997</v>
      </c>
      <c r="I3288" s="96">
        <f t="shared" si="204"/>
        <v>313.23</v>
      </c>
      <c r="J3288" s="91" t="str">
        <f t="shared" si="205"/>
        <v>Sinapi 104478</v>
      </c>
      <c r="K3288" s="91" t="str">
        <f t="shared" si="206"/>
        <v>UN</v>
      </c>
      <c r="L3288" s="166" t="str">
        <f t="shared" si="207"/>
        <v>11/2022</v>
      </c>
      <c r="M3288" s="82"/>
      <c r="N3288" s="82"/>
    </row>
    <row r="3289" spans="1:14" x14ac:dyDescent="0.25">
      <c r="A3289" s="170" t="s">
        <v>18681</v>
      </c>
      <c r="B3289" s="170" t="s">
        <v>18682</v>
      </c>
      <c r="C3289" s="170" t="s">
        <v>205</v>
      </c>
      <c r="D3289" s="170" t="s">
        <v>2067</v>
      </c>
      <c r="E3289" s="171" t="s">
        <v>33317</v>
      </c>
      <c r="F3289" s="171" t="s">
        <v>36574</v>
      </c>
      <c r="G3289" s="82"/>
      <c r="H3289" s="96">
        <f t="shared" si="204"/>
        <v>119.37</v>
      </c>
      <c r="I3289" s="96">
        <f t="shared" si="204"/>
        <v>125.73</v>
      </c>
      <c r="J3289" s="91" t="str">
        <f t="shared" si="205"/>
        <v>Sinapi 104479</v>
      </c>
      <c r="K3289" s="91" t="str">
        <f t="shared" si="206"/>
        <v>UN</v>
      </c>
      <c r="L3289" s="166" t="str">
        <f t="shared" si="207"/>
        <v>11/2022</v>
      </c>
      <c r="M3289" s="82"/>
      <c r="N3289" s="82"/>
    </row>
    <row r="3290" spans="1:14" x14ac:dyDescent="0.25">
      <c r="A3290" s="170" t="s">
        <v>18683</v>
      </c>
      <c r="B3290" s="170" t="s">
        <v>18684</v>
      </c>
      <c r="C3290" s="170" t="s">
        <v>205</v>
      </c>
      <c r="D3290" s="170" t="s">
        <v>2067</v>
      </c>
      <c r="E3290" s="171" t="s">
        <v>23284</v>
      </c>
      <c r="F3290" s="171" t="s">
        <v>36575</v>
      </c>
      <c r="G3290" s="82"/>
      <c r="H3290" s="96">
        <f t="shared" si="204"/>
        <v>135.27000000000001</v>
      </c>
      <c r="I3290" s="96">
        <f t="shared" si="204"/>
        <v>142.61000000000001</v>
      </c>
      <c r="J3290" s="91" t="str">
        <f t="shared" si="205"/>
        <v>Sinapi 104480</v>
      </c>
      <c r="K3290" s="91" t="str">
        <f t="shared" si="206"/>
        <v>UN</v>
      </c>
      <c r="L3290" s="166" t="str">
        <f t="shared" si="207"/>
        <v>11/2022</v>
      </c>
      <c r="M3290" s="82"/>
      <c r="N3290" s="82"/>
    </row>
    <row r="3291" spans="1:14" x14ac:dyDescent="0.25">
      <c r="A3291" s="170" t="s">
        <v>18685</v>
      </c>
      <c r="B3291" s="170" t="s">
        <v>18686</v>
      </c>
      <c r="C3291" s="170" t="s">
        <v>205</v>
      </c>
      <c r="D3291" s="170" t="s">
        <v>2067</v>
      </c>
      <c r="E3291" s="171" t="s">
        <v>33318</v>
      </c>
      <c r="F3291" s="171" t="s">
        <v>36576</v>
      </c>
      <c r="G3291" s="82"/>
      <c r="H3291" s="96">
        <f t="shared" si="204"/>
        <v>322.36</v>
      </c>
      <c r="I3291" s="96">
        <f t="shared" si="204"/>
        <v>338.12</v>
      </c>
      <c r="J3291" s="91" t="str">
        <f t="shared" si="205"/>
        <v>Sinapi 104481</v>
      </c>
      <c r="K3291" s="91" t="str">
        <f t="shared" si="206"/>
        <v>UN</v>
      </c>
      <c r="L3291" s="166" t="str">
        <f t="shared" si="207"/>
        <v>11/2022</v>
      </c>
      <c r="M3291" s="82"/>
      <c r="N3291" s="82"/>
    </row>
    <row r="3292" spans="1:14" x14ac:dyDescent="0.25">
      <c r="A3292" s="170" t="s">
        <v>6017</v>
      </c>
      <c r="B3292" s="170" t="s">
        <v>33319</v>
      </c>
      <c r="C3292" s="170" t="s">
        <v>385</v>
      </c>
      <c r="D3292" s="170" t="s">
        <v>1947</v>
      </c>
      <c r="E3292" s="171" t="s">
        <v>33320</v>
      </c>
      <c r="F3292" s="171" t="s">
        <v>20628</v>
      </c>
      <c r="G3292" s="82"/>
      <c r="H3292" s="96">
        <f t="shared" si="204"/>
        <v>68.069999999999993</v>
      </c>
      <c r="I3292" s="96">
        <f t="shared" si="204"/>
        <v>70.260000000000005</v>
      </c>
      <c r="J3292" s="91" t="str">
        <f t="shared" si="205"/>
        <v>Sinapi 96973</v>
      </c>
      <c r="K3292" s="91" t="str">
        <f t="shared" si="206"/>
        <v>M</v>
      </c>
      <c r="L3292" s="166" t="str">
        <f t="shared" si="207"/>
        <v>08/2023</v>
      </c>
      <c r="M3292" s="82"/>
      <c r="N3292" s="82"/>
    </row>
    <row r="3293" spans="1:14" x14ac:dyDescent="0.25">
      <c r="A3293" s="170" t="s">
        <v>6018</v>
      </c>
      <c r="B3293" s="170" t="s">
        <v>33321</v>
      </c>
      <c r="C3293" s="170" t="s">
        <v>385</v>
      </c>
      <c r="D3293" s="170" t="s">
        <v>1947</v>
      </c>
      <c r="E3293" s="171" t="s">
        <v>33322</v>
      </c>
      <c r="F3293" s="171" t="s">
        <v>29115</v>
      </c>
      <c r="G3293" s="82"/>
      <c r="H3293" s="96">
        <f t="shared" si="204"/>
        <v>88.92</v>
      </c>
      <c r="I3293" s="96">
        <f t="shared" si="204"/>
        <v>91.46</v>
      </c>
      <c r="J3293" s="91" t="str">
        <f t="shared" si="205"/>
        <v>Sinapi 96974</v>
      </c>
      <c r="K3293" s="91" t="str">
        <f t="shared" si="206"/>
        <v>M</v>
      </c>
      <c r="L3293" s="166" t="str">
        <f t="shared" si="207"/>
        <v>08/2023</v>
      </c>
      <c r="M3293" s="82"/>
      <c r="N3293" s="82"/>
    </row>
    <row r="3294" spans="1:14" x14ac:dyDescent="0.25">
      <c r="A3294" s="170" t="s">
        <v>6019</v>
      </c>
      <c r="B3294" s="170" t="s">
        <v>33323</v>
      </c>
      <c r="C3294" s="170" t="s">
        <v>385</v>
      </c>
      <c r="D3294" s="170" t="s">
        <v>1947</v>
      </c>
      <c r="E3294" s="171" t="s">
        <v>33324</v>
      </c>
      <c r="F3294" s="171" t="s">
        <v>36577</v>
      </c>
      <c r="G3294" s="82"/>
      <c r="H3294" s="96">
        <f t="shared" si="204"/>
        <v>110.99</v>
      </c>
      <c r="I3294" s="96">
        <f t="shared" si="204"/>
        <v>113.84</v>
      </c>
      <c r="J3294" s="91" t="str">
        <f t="shared" si="205"/>
        <v>Sinapi 96975</v>
      </c>
      <c r="K3294" s="91" t="str">
        <f t="shared" si="206"/>
        <v>M</v>
      </c>
      <c r="L3294" s="166" t="str">
        <f t="shared" si="207"/>
        <v>08/2023</v>
      </c>
      <c r="M3294" s="82"/>
      <c r="N3294" s="82"/>
    </row>
    <row r="3295" spans="1:14" x14ac:dyDescent="0.25">
      <c r="A3295" s="170" t="s">
        <v>6020</v>
      </c>
      <c r="B3295" s="170" t="s">
        <v>33325</v>
      </c>
      <c r="C3295" s="170" t="s">
        <v>385</v>
      </c>
      <c r="D3295" s="170" t="s">
        <v>1947</v>
      </c>
      <c r="E3295" s="171" t="s">
        <v>33326</v>
      </c>
      <c r="F3295" s="171" t="s">
        <v>34867</v>
      </c>
      <c r="G3295" s="82"/>
      <c r="H3295" s="96">
        <f t="shared" si="204"/>
        <v>148.24</v>
      </c>
      <c r="I3295" s="96">
        <f t="shared" si="204"/>
        <v>151.38</v>
      </c>
      <c r="J3295" s="91" t="str">
        <f t="shared" si="205"/>
        <v>Sinapi 96976</v>
      </c>
      <c r="K3295" s="91" t="str">
        <f t="shared" si="206"/>
        <v>M</v>
      </c>
      <c r="L3295" s="166" t="str">
        <f t="shared" si="207"/>
        <v>08/2023</v>
      </c>
      <c r="M3295" s="82"/>
      <c r="N3295" s="82"/>
    </row>
    <row r="3296" spans="1:14" x14ac:dyDescent="0.25">
      <c r="A3296" s="170" t="s">
        <v>6021</v>
      </c>
      <c r="B3296" s="170" t="s">
        <v>33327</v>
      </c>
      <c r="C3296" s="170" t="s">
        <v>385</v>
      </c>
      <c r="D3296" s="170" t="s">
        <v>2067</v>
      </c>
      <c r="E3296" s="171" t="s">
        <v>33328</v>
      </c>
      <c r="F3296" s="171" t="s">
        <v>27242</v>
      </c>
      <c r="G3296" s="82"/>
      <c r="H3296" s="96">
        <f t="shared" si="204"/>
        <v>61.23</v>
      </c>
      <c r="I3296" s="96">
        <f t="shared" si="204"/>
        <v>61.4</v>
      </c>
      <c r="J3296" s="91" t="str">
        <f t="shared" si="205"/>
        <v>Sinapi 96977</v>
      </c>
      <c r="K3296" s="91" t="str">
        <f t="shared" si="206"/>
        <v>M</v>
      </c>
      <c r="L3296" s="166" t="str">
        <f t="shared" si="207"/>
        <v>08/2023</v>
      </c>
      <c r="M3296" s="82"/>
      <c r="N3296" s="82"/>
    </row>
    <row r="3297" spans="1:14" x14ac:dyDescent="0.25">
      <c r="A3297" s="170" t="s">
        <v>6022</v>
      </c>
      <c r="B3297" s="170" t="s">
        <v>33329</v>
      </c>
      <c r="C3297" s="170" t="s">
        <v>385</v>
      </c>
      <c r="D3297" s="170" t="s">
        <v>2067</v>
      </c>
      <c r="E3297" s="171" t="s">
        <v>28631</v>
      </c>
      <c r="F3297" s="171" t="s">
        <v>36578</v>
      </c>
      <c r="G3297" s="82"/>
      <c r="H3297" s="96">
        <f t="shared" si="204"/>
        <v>80.739999999999995</v>
      </c>
      <c r="I3297" s="96">
        <f t="shared" si="204"/>
        <v>80.94</v>
      </c>
      <c r="J3297" s="91" t="str">
        <f t="shared" si="205"/>
        <v>Sinapi 96978</v>
      </c>
      <c r="K3297" s="91" t="str">
        <f t="shared" si="206"/>
        <v>M</v>
      </c>
      <c r="L3297" s="166" t="str">
        <f t="shared" si="207"/>
        <v>08/2023</v>
      </c>
      <c r="M3297" s="82"/>
      <c r="N3297" s="82"/>
    </row>
    <row r="3298" spans="1:14" x14ac:dyDescent="0.25">
      <c r="A3298" s="170" t="s">
        <v>6023</v>
      </c>
      <c r="B3298" s="170" t="s">
        <v>33330</v>
      </c>
      <c r="C3298" s="170" t="s">
        <v>385</v>
      </c>
      <c r="D3298" s="170" t="s">
        <v>2067</v>
      </c>
      <c r="E3298" s="171" t="s">
        <v>29938</v>
      </c>
      <c r="F3298" s="171" t="s">
        <v>34200</v>
      </c>
      <c r="G3298" s="82"/>
      <c r="H3298" s="96">
        <f t="shared" si="204"/>
        <v>115.65</v>
      </c>
      <c r="I3298" s="96">
        <f t="shared" si="204"/>
        <v>115.88</v>
      </c>
      <c r="J3298" s="91" t="str">
        <f t="shared" si="205"/>
        <v>Sinapi 96979</v>
      </c>
      <c r="K3298" s="91" t="str">
        <f t="shared" si="206"/>
        <v>M</v>
      </c>
      <c r="L3298" s="166" t="str">
        <f t="shared" si="207"/>
        <v>08/2023</v>
      </c>
      <c r="M3298" s="82"/>
      <c r="N3298" s="82"/>
    </row>
    <row r="3299" spans="1:14" x14ac:dyDescent="0.25">
      <c r="A3299" s="170" t="s">
        <v>6024</v>
      </c>
      <c r="B3299" s="170" t="s">
        <v>33331</v>
      </c>
      <c r="C3299" s="170" t="s">
        <v>205</v>
      </c>
      <c r="D3299" s="170" t="s">
        <v>2067</v>
      </c>
      <c r="E3299" s="171" t="s">
        <v>23065</v>
      </c>
      <c r="F3299" s="171" t="s">
        <v>28606</v>
      </c>
      <c r="G3299" s="82"/>
      <c r="H3299" s="96">
        <f t="shared" si="204"/>
        <v>55.51</v>
      </c>
      <c r="I3299" s="96">
        <f t="shared" si="204"/>
        <v>59.1</v>
      </c>
      <c r="J3299" s="91" t="str">
        <f t="shared" si="205"/>
        <v>Sinapi 96984</v>
      </c>
      <c r="K3299" s="91" t="str">
        <f t="shared" si="206"/>
        <v>UN</v>
      </c>
      <c r="L3299" s="166" t="str">
        <f t="shared" si="207"/>
        <v>08/2023</v>
      </c>
      <c r="M3299" s="82"/>
      <c r="N3299" s="82"/>
    </row>
    <row r="3300" spans="1:14" x14ac:dyDescent="0.25">
      <c r="A3300" s="170" t="s">
        <v>6025</v>
      </c>
      <c r="B3300" s="170" t="s">
        <v>33332</v>
      </c>
      <c r="C3300" s="170" t="s">
        <v>205</v>
      </c>
      <c r="D3300" s="170" t="s">
        <v>2067</v>
      </c>
      <c r="E3300" s="171" t="s">
        <v>33333</v>
      </c>
      <c r="F3300" s="171" t="s">
        <v>36579</v>
      </c>
      <c r="G3300" s="82"/>
      <c r="H3300" s="96">
        <f t="shared" si="204"/>
        <v>68.37</v>
      </c>
      <c r="I3300" s="96">
        <f t="shared" si="204"/>
        <v>69.56</v>
      </c>
      <c r="J3300" s="91" t="str">
        <f t="shared" si="205"/>
        <v>Sinapi 96985</v>
      </c>
      <c r="K3300" s="91" t="str">
        <f t="shared" si="206"/>
        <v>UN</v>
      </c>
      <c r="L3300" s="166" t="str">
        <f t="shared" si="207"/>
        <v>08/2023</v>
      </c>
      <c r="M3300" s="82"/>
      <c r="N3300" s="82"/>
    </row>
    <row r="3301" spans="1:14" x14ac:dyDescent="0.25">
      <c r="A3301" s="170" t="s">
        <v>6026</v>
      </c>
      <c r="B3301" s="170" t="s">
        <v>33334</v>
      </c>
      <c r="C3301" s="170" t="s">
        <v>205</v>
      </c>
      <c r="D3301" s="170" t="s">
        <v>2067</v>
      </c>
      <c r="E3301" s="171" t="s">
        <v>29411</v>
      </c>
      <c r="F3301" s="171" t="s">
        <v>28667</v>
      </c>
      <c r="G3301" s="82"/>
      <c r="H3301" s="96">
        <f t="shared" si="204"/>
        <v>102.05</v>
      </c>
      <c r="I3301" s="96">
        <f t="shared" si="204"/>
        <v>103.92</v>
      </c>
      <c r="J3301" s="91" t="str">
        <f t="shared" si="205"/>
        <v>Sinapi 96986</v>
      </c>
      <c r="K3301" s="91" t="str">
        <f t="shared" si="206"/>
        <v>UN</v>
      </c>
      <c r="L3301" s="166" t="str">
        <f t="shared" si="207"/>
        <v>08/2023</v>
      </c>
      <c r="M3301" s="82"/>
      <c r="N3301" s="82"/>
    </row>
    <row r="3302" spans="1:14" x14ac:dyDescent="0.25">
      <c r="A3302" s="170" t="s">
        <v>6027</v>
      </c>
      <c r="B3302" s="170" t="s">
        <v>33335</v>
      </c>
      <c r="C3302" s="170" t="s">
        <v>205</v>
      </c>
      <c r="D3302" s="170" t="s">
        <v>1947</v>
      </c>
      <c r="E3302" s="171" t="s">
        <v>33336</v>
      </c>
      <c r="F3302" s="171" t="s">
        <v>36580</v>
      </c>
      <c r="G3302" s="82"/>
      <c r="H3302" s="96">
        <f t="shared" si="204"/>
        <v>111.74</v>
      </c>
      <c r="I3302" s="96">
        <f t="shared" si="204"/>
        <v>117.43</v>
      </c>
      <c r="J3302" s="91" t="str">
        <f t="shared" si="205"/>
        <v>Sinapi 96987</v>
      </c>
      <c r="K3302" s="91" t="str">
        <f t="shared" si="206"/>
        <v>UN</v>
      </c>
      <c r="L3302" s="166" t="str">
        <f t="shared" si="207"/>
        <v>08/2023</v>
      </c>
      <c r="M3302" s="82"/>
      <c r="N3302" s="82"/>
    </row>
    <row r="3303" spans="1:14" x14ac:dyDescent="0.25">
      <c r="A3303" s="170" t="s">
        <v>6028</v>
      </c>
      <c r="B3303" s="170" t="s">
        <v>33337</v>
      </c>
      <c r="C3303" s="170" t="s">
        <v>205</v>
      </c>
      <c r="D3303" s="170" t="s">
        <v>2067</v>
      </c>
      <c r="E3303" s="171" t="s">
        <v>33338</v>
      </c>
      <c r="F3303" s="171" t="s">
        <v>36581</v>
      </c>
      <c r="G3303" s="82"/>
      <c r="H3303" s="96">
        <f t="shared" si="204"/>
        <v>161.49</v>
      </c>
      <c r="I3303" s="96">
        <f t="shared" si="204"/>
        <v>162.29</v>
      </c>
      <c r="J3303" s="91" t="str">
        <f t="shared" si="205"/>
        <v>Sinapi 96988</v>
      </c>
      <c r="K3303" s="91" t="str">
        <f t="shared" si="206"/>
        <v>UN</v>
      </c>
      <c r="L3303" s="166" t="str">
        <f t="shared" si="207"/>
        <v>08/2023</v>
      </c>
      <c r="M3303" s="82"/>
      <c r="N3303" s="82"/>
    </row>
    <row r="3304" spans="1:14" x14ac:dyDescent="0.25">
      <c r="A3304" s="170" t="s">
        <v>6029</v>
      </c>
      <c r="B3304" s="170" t="s">
        <v>33339</v>
      </c>
      <c r="C3304" s="170" t="s">
        <v>205</v>
      </c>
      <c r="D3304" s="170" t="s">
        <v>2067</v>
      </c>
      <c r="E3304" s="171" t="s">
        <v>28673</v>
      </c>
      <c r="F3304" s="171" t="s">
        <v>32762</v>
      </c>
      <c r="G3304" s="82"/>
      <c r="H3304" s="96">
        <f t="shared" si="204"/>
        <v>135.19999999999999</v>
      </c>
      <c r="I3304" s="96">
        <f t="shared" si="204"/>
        <v>135.85</v>
      </c>
      <c r="J3304" s="91" t="str">
        <f t="shared" si="205"/>
        <v>Sinapi 96989</v>
      </c>
      <c r="K3304" s="91" t="str">
        <f t="shared" si="206"/>
        <v>UN</v>
      </c>
      <c r="L3304" s="166" t="str">
        <f t="shared" si="207"/>
        <v>08/2023</v>
      </c>
      <c r="M3304" s="82"/>
      <c r="N3304" s="82"/>
    </row>
    <row r="3305" spans="1:14" x14ac:dyDescent="0.25">
      <c r="A3305" s="170" t="s">
        <v>6030</v>
      </c>
      <c r="B3305" s="170" t="s">
        <v>33340</v>
      </c>
      <c r="C3305" s="170" t="s">
        <v>205</v>
      </c>
      <c r="D3305" s="170" t="s">
        <v>1947</v>
      </c>
      <c r="E3305" s="171" t="s">
        <v>19357</v>
      </c>
      <c r="F3305" s="171" t="s">
        <v>19416</v>
      </c>
      <c r="G3305" s="82"/>
      <c r="H3305" s="96">
        <f t="shared" si="204"/>
        <v>23.08</v>
      </c>
      <c r="I3305" s="96">
        <f t="shared" si="204"/>
        <v>24.57</v>
      </c>
      <c r="J3305" s="91" t="str">
        <f t="shared" si="205"/>
        <v>Sinapi 98463</v>
      </c>
      <c r="K3305" s="91" t="str">
        <f t="shared" si="206"/>
        <v>UN</v>
      </c>
      <c r="L3305" s="166" t="str">
        <f t="shared" si="207"/>
        <v>08/2023</v>
      </c>
      <c r="M3305" s="82"/>
      <c r="N3305" s="82"/>
    </row>
    <row r="3306" spans="1:14" x14ac:dyDescent="0.25">
      <c r="A3306" s="170" t="s">
        <v>33341</v>
      </c>
      <c r="B3306" s="170" t="s">
        <v>33342</v>
      </c>
      <c r="C3306" s="170" t="s">
        <v>205</v>
      </c>
      <c r="D3306" s="170" t="s">
        <v>1947</v>
      </c>
      <c r="E3306" s="171" t="s">
        <v>17940</v>
      </c>
      <c r="F3306" s="171" t="s">
        <v>14928</v>
      </c>
      <c r="G3306" s="82"/>
      <c r="H3306" s="96">
        <f t="shared" si="204"/>
        <v>25.32</v>
      </c>
      <c r="I3306" s="96">
        <f t="shared" si="204"/>
        <v>26.24</v>
      </c>
      <c r="J3306" s="91" t="str">
        <f t="shared" si="205"/>
        <v>Sinapi 104746</v>
      </c>
      <c r="K3306" s="91" t="str">
        <f t="shared" si="206"/>
        <v>UN</v>
      </c>
      <c r="L3306" s="166" t="str">
        <f t="shared" si="207"/>
        <v>08/2023</v>
      </c>
      <c r="M3306" s="82"/>
      <c r="N3306" s="82"/>
    </row>
    <row r="3307" spans="1:14" x14ac:dyDescent="0.25">
      <c r="A3307" s="170" t="s">
        <v>33343</v>
      </c>
      <c r="B3307" s="170" t="s">
        <v>33344</v>
      </c>
      <c r="C3307" s="170" t="s">
        <v>205</v>
      </c>
      <c r="D3307" s="170" t="s">
        <v>2067</v>
      </c>
      <c r="E3307" s="171" t="s">
        <v>15524</v>
      </c>
      <c r="F3307" s="171" t="s">
        <v>34931</v>
      </c>
      <c r="G3307" s="82"/>
      <c r="H3307" s="96">
        <f t="shared" si="204"/>
        <v>16.84</v>
      </c>
      <c r="I3307" s="96">
        <f t="shared" si="204"/>
        <v>17.73</v>
      </c>
      <c r="J3307" s="91" t="str">
        <f t="shared" si="205"/>
        <v>Sinapi 104749</v>
      </c>
      <c r="K3307" s="91" t="str">
        <f t="shared" si="206"/>
        <v>UN</v>
      </c>
      <c r="L3307" s="166" t="str">
        <f t="shared" si="207"/>
        <v>08/2023</v>
      </c>
      <c r="M3307" s="82"/>
      <c r="N3307" s="82"/>
    </row>
    <row r="3308" spans="1:14" x14ac:dyDescent="0.25">
      <c r="A3308" s="170" t="s">
        <v>33345</v>
      </c>
      <c r="B3308" s="170" t="s">
        <v>33346</v>
      </c>
      <c r="C3308" s="170" t="s">
        <v>205</v>
      </c>
      <c r="D3308" s="170" t="s">
        <v>2067</v>
      </c>
      <c r="E3308" s="171" t="s">
        <v>21028</v>
      </c>
      <c r="F3308" s="171" t="s">
        <v>21354</v>
      </c>
      <c r="G3308" s="82"/>
      <c r="H3308" s="96">
        <f t="shared" si="204"/>
        <v>13.48</v>
      </c>
      <c r="I3308" s="96">
        <f t="shared" si="204"/>
        <v>14.37</v>
      </c>
      <c r="J3308" s="91" t="str">
        <f t="shared" si="205"/>
        <v>Sinapi 104750</v>
      </c>
      <c r="K3308" s="91" t="str">
        <f t="shared" si="206"/>
        <v>UN</v>
      </c>
      <c r="L3308" s="166" t="str">
        <f t="shared" si="207"/>
        <v>08/2023</v>
      </c>
      <c r="M3308" s="82"/>
      <c r="N3308" s="82"/>
    </row>
    <row r="3309" spans="1:14" x14ac:dyDescent="0.25">
      <c r="A3309" s="170" t="s">
        <v>33347</v>
      </c>
      <c r="B3309" s="170" t="s">
        <v>33348</v>
      </c>
      <c r="C3309" s="170" t="s">
        <v>205</v>
      </c>
      <c r="D3309" s="170" t="s">
        <v>2067</v>
      </c>
      <c r="E3309" s="171" t="s">
        <v>19970</v>
      </c>
      <c r="F3309" s="171" t="s">
        <v>18307</v>
      </c>
      <c r="G3309" s="82"/>
      <c r="H3309" s="96">
        <f t="shared" si="204"/>
        <v>19.239999999999998</v>
      </c>
      <c r="I3309" s="96">
        <f t="shared" si="204"/>
        <v>20.13</v>
      </c>
      <c r="J3309" s="91" t="str">
        <f t="shared" si="205"/>
        <v>Sinapi 104751</v>
      </c>
      <c r="K3309" s="91" t="str">
        <f t="shared" si="206"/>
        <v>UN</v>
      </c>
      <c r="L3309" s="166" t="str">
        <f t="shared" si="207"/>
        <v>08/2023</v>
      </c>
      <c r="M3309" s="82"/>
      <c r="N3309" s="82"/>
    </row>
    <row r="3310" spans="1:14" x14ac:dyDescent="0.25">
      <c r="A3310" s="170" t="s">
        <v>33349</v>
      </c>
      <c r="B3310" s="170" t="s">
        <v>33350</v>
      </c>
      <c r="C3310" s="170" t="s">
        <v>205</v>
      </c>
      <c r="D3310" s="170" t="s">
        <v>2067</v>
      </c>
      <c r="E3310" s="171" t="s">
        <v>18709</v>
      </c>
      <c r="F3310" s="171" t="s">
        <v>34243</v>
      </c>
      <c r="G3310" s="82"/>
      <c r="H3310" s="96">
        <f t="shared" si="204"/>
        <v>18.77</v>
      </c>
      <c r="I3310" s="96">
        <f t="shared" si="204"/>
        <v>19.66</v>
      </c>
      <c r="J3310" s="91" t="str">
        <f t="shared" si="205"/>
        <v>Sinapi 104752</v>
      </c>
      <c r="K3310" s="91" t="str">
        <f t="shared" si="206"/>
        <v>UN</v>
      </c>
      <c r="L3310" s="166" t="str">
        <f t="shared" si="207"/>
        <v>08/2023</v>
      </c>
      <c r="M3310" s="82"/>
      <c r="N3310" s="82"/>
    </row>
    <row r="3311" spans="1:14" x14ac:dyDescent="0.25">
      <c r="A3311" s="170" t="s">
        <v>33351</v>
      </c>
      <c r="B3311" s="170" t="s">
        <v>33352</v>
      </c>
      <c r="C3311" s="170" t="s">
        <v>205</v>
      </c>
      <c r="D3311" s="170" t="s">
        <v>2067</v>
      </c>
      <c r="E3311" s="171" t="s">
        <v>17965</v>
      </c>
      <c r="F3311" s="171" t="s">
        <v>16361</v>
      </c>
      <c r="G3311" s="82"/>
      <c r="H3311" s="96">
        <f t="shared" si="204"/>
        <v>23.11</v>
      </c>
      <c r="I3311" s="96">
        <f t="shared" si="204"/>
        <v>24</v>
      </c>
      <c r="J3311" s="91" t="str">
        <f t="shared" si="205"/>
        <v>Sinapi 104753</v>
      </c>
      <c r="K3311" s="91" t="str">
        <f t="shared" si="206"/>
        <v>UN</v>
      </c>
      <c r="L3311" s="166" t="str">
        <f t="shared" si="207"/>
        <v>08/2023</v>
      </c>
      <c r="M3311" s="82"/>
      <c r="N3311" s="82"/>
    </row>
    <row r="3312" spans="1:14" x14ac:dyDescent="0.25">
      <c r="A3312" s="170" t="s">
        <v>33353</v>
      </c>
      <c r="B3312" s="170" t="s">
        <v>33354</v>
      </c>
      <c r="C3312" s="170" t="s">
        <v>205</v>
      </c>
      <c r="D3312" s="170" t="s">
        <v>2067</v>
      </c>
      <c r="E3312" s="171" t="s">
        <v>33355</v>
      </c>
      <c r="F3312" s="171" t="s">
        <v>28771</v>
      </c>
      <c r="G3312" s="82"/>
      <c r="H3312" s="96">
        <f t="shared" si="204"/>
        <v>30.55</v>
      </c>
      <c r="I3312" s="96">
        <f t="shared" si="204"/>
        <v>31.44</v>
      </c>
      <c r="J3312" s="91" t="str">
        <f t="shared" si="205"/>
        <v>Sinapi 104754</v>
      </c>
      <c r="K3312" s="91" t="str">
        <f t="shared" si="206"/>
        <v>UN</v>
      </c>
      <c r="L3312" s="166" t="str">
        <f t="shared" si="207"/>
        <v>08/2023</v>
      </c>
      <c r="M3312" s="82"/>
      <c r="N3312" s="82"/>
    </row>
    <row r="3313" spans="1:14" x14ac:dyDescent="0.25">
      <c r="A3313" s="170" t="s">
        <v>33356</v>
      </c>
      <c r="B3313" s="170" t="s">
        <v>33357</v>
      </c>
      <c r="C3313" s="170" t="s">
        <v>205</v>
      </c>
      <c r="D3313" s="170" t="s">
        <v>2067</v>
      </c>
      <c r="E3313" s="171" t="s">
        <v>33358</v>
      </c>
      <c r="F3313" s="171" t="s">
        <v>31332</v>
      </c>
      <c r="G3313" s="82"/>
      <c r="H3313" s="96">
        <f t="shared" si="204"/>
        <v>42.09</v>
      </c>
      <c r="I3313" s="96">
        <f t="shared" si="204"/>
        <v>42.98</v>
      </c>
      <c r="J3313" s="91" t="str">
        <f t="shared" si="205"/>
        <v>Sinapi 104755</v>
      </c>
      <c r="K3313" s="91" t="str">
        <f t="shared" si="206"/>
        <v>UN</v>
      </c>
      <c r="L3313" s="166" t="str">
        <f t="shared" si="207"/>
        <v>08/2023</v>
      </c>
      <c r="M3313" s="82"/>
      <c r="N3313" s="82"/>
    </row>
    <row r="3314" spans="1:14" x14ac:dyDescent="0.25">
      <c r="A3314" s="170" t="s">
        <v>15114</v>
      </c>
      <c r="B3314" s="170" t="s">
        <v>15115</v>
      </c>
      <c r="C3314" s="170" t="s">
        <v>85</v>
      </c>
      <c r="D3314" s="170" t="s">
        <v>1947</v>
      </c>
      <c r="E3314" s="171" t="s">
        <v>33359</v>
      </c>
      <c r="F3314" s="171" t="s">
        <v>36582</v>
      </c>
      <c r="G3314" s="82"/>
      <c r="H3314" s="96">
        <f t="shared" si="204"/>
        <v>3218.8</v>
      </c>
      <c r="I3314" s="96">
        <f t="shared" si="204"/>
        <v>3429.85</v>
      </c>
      <c r="J3314" s="91" t="str">
        <f t="shared" si="205"/>
        <v>Sinapi 103490</v>
      </c>
      <c r="K3314" s="91" t="str">
        <f t="shared" si="206"/>
        <v>M3</v>
      </c>
      <c r="L3314" s="166" t="str">
        <f t="shared" si="207"/>
        <v>12/2021</v>
      </c>
      <c r="M3314" s="82"/>
      <c r="N3314" s="82"/>
    </row>
    <row r="3315" spans="1:14" x14ac:dyDescent="0.25">
      <c r="A3315" s="170" t="s">
        <v>15116</v>
      </c>
      <c r="B3315" s="170" t="s">
        <v>15117</v>
      </c>
      <c r="C3315" s="170" t="s">
        <v>85</v>
      </c>
      <c r="D3315" s="170" t="s">
        <v>2067</v>
      </c>
      <c r="E3315" s="171" t="s">
        <v>33360</v>
      </c>
      <c r="F3315" s="171" t="s">
        <v>36583</v>
      </c>
      <c r="G3315" s="82"/>
      <c r="H3315" s="96">
        <f t="shared" si="204"/>
        <v>904.09</v>
      </c>
      <c r="I3315" s="96">
        <f t="shared" si="204"/>
        <v>949.54</v>
      </c>
      <c r="J3315" s="91" t="str">
        <f t="shared" si="205"/>
        <v>Sinapi 103491</v>
      </c>
      <c r="K3315" s="91" t="str">
        <f t="shared" si="206"/>
        <v>M3</v>
      </c>
      <c r="L3315" s="166" t="str">
        <f t="shared" si="207"/>
        <v>12/2021</v>
      </c>
      <c r="M3315" s="82"/>
      <c r="N3315" s="82"/>
    </row>
    <row r="3316" spans="1:14" x14ac:dyDescent="0.25">
      <c r="A3316" s="170" t="s">
        <v>6031</v>
      </c>
      <c r="B3316" s="170" t="s">
        <v>11733</v>
      </c>
      <c r="C3316" s="170" t="s">
        <v>205</v>
      </c>
      <c r="D3316" s="170" t="s">
        <v>1947</v>
      </c>
      <c r="E3316" s="171" t="s">
        <v>33361</v>
      </c>
      <c r="F3316" s="171" t="s">
        <v>36584</v>
      </c>
      <c r="G3316" s="82"/>
      <c r="H3316" s="96">
        <f t="shared" si="204"/>
        <v>1508.14</v>
      </c>
      <c r="I3316" s="96">
        <f t="shared" si="204"/>
        <v>1522.48</v>
      </c>
      <c r="J3316" s="91" t="str">
        <f t="shared" si="205"/>
        <v>Sinapi 96765</v>
      </c>
      <c r="K3316" s="91" t="str">
        <f t="shared" si="206"/>
        <v>UN</v>
      </c>
      <c r="L3316" s="166" t="str">
        <f t="shared" si="207"/>
        <v>10/2020</v>
      </c>
      <c r="M3316" s="82"/>
      <c r="N3316" s="82"/>
    </row>
    <row r="3317" spans="1:14" x14ac:dyDescent="0.25">
      <c r="A3317" s="170" t="s">
        <v>11734</v>
      </c>
      <c r="B3317" s="170" t="s">
        <v>18248</v>
      </c>
      <c r="C3317" s="170" t="s">
        <v>205</v>
      </c>
      <c r="D3317" s="170" t="s">
        <v>1947</v>
      </c>
      <c r="E3317" s="171" t="s">
        <v>33362</v>
      </c>
      <c r="F3317" s="171" t="s">
        <v>36585</v>
      </c>
      <c r="G3317" s="82"/>
      <c r="H3317" s="96">
        <f t="shared" si="204"/>
        <v>260.89</v>
      </c>
      <c r="I3317" s="96">
        <f t="shared" si="204"/>
        <v>263.04000000000002</v>
      </c>
      <c r="J3317" s="91" t="str">
        <f t="shared" si="205"/>
        <v>Sinapi 101905</v>
      </c>
      <c r="K3317" s="91" t="str">
        <f t="shared" si="206"/>
        <v>UN</v>
      </c>
      <c r="L3317" s="166" t="str">
        <f t="shared" si="207"/>
        <v>10/2020</v>
      </c>
      <c r="M3317" s="82"/>
      <c r="N3317" s="82"/>
    </row>
    <row r="3318" spans="1:14" x14ac:dyDescent="0.25">
      <c r="A3318" s="170" t="s">
        <v>11735</v>
      </c>
      <c r="B3318" s="170" t="s">
        <v>18249</v>
      </c>
      <c r="C3318" s="170" t="s">
        <v>205</v>
      </c>
      <c r="D3318" s="170" t="s">
        <v>1947</v>
      </c>
      <c r="E3318" s="171" t="s">
        <v>33363</v>
      </c>
      <c r="F3318" s="171" t="s">
        <v>36586</v>
      </c>
      <c r="G3318" s="82"/>
      <c r="H3318" s="96">
        <f t="shared" si="204"/>
        <v>781.8</v>
      </c>
      <c r="I3318" s="96">
        <f t="shared" si="204"/>
        <v>783.95</v>
      </c>
      <c r="J3318" s="91" t="str">
        <f t="shared" si="205"/>
        <v>Sinapi 101906</v>
      </c>
      <c r="K3318" s="91" t="str">
        <f t="shared" si="206"/>
        <v>UN</v>
      </c>
      <c r="L3318" s="166" t="str">
        <f t="shared" si="207"/>
        <v>10/2020</v>
      </c>
      <c r="M3318" s="82"/>
      <c r="N3318" s="82"/>
    </row>
    <row r="3319" spans="1:14" x14ac:dyDescent="0.25">
      <c r="A3319" s="170" t="s">
        <v>11736</v>
      </c>
      <c r="B3319" s="170" t="s">
        <v>18250</v>
      </c>
      <c r="C3319" s="170" t="s">
        <v>205</v>
      </c>
      <c r="D3319" s="170" t="s">
        <v>1947</v>
      </c>
      <c r="E3319" s="171" t="s">
        <v>33364</v>
      </c>
      <c r="F3319" s="171" t="s">
        <v>36587</v>
      </c>
      <c r="G3319" s="82"/>
      <c r="H3319" s="96">
        <f t="shared" si="204"/>
        <v>845.27</v>
      </c>
      <c r="I3319" s="96">
        <f t="shared" si="204"/>
        <v>847.42</v>
      </c>
      <c r="J3319" s="91" t="str">
        <f t="shared" si="205"/>
        <v>Sinapi 101907</v>
      </c>
      <c r="K3319" s="91" t="str">
        <f t="shared" si="206"/>
        <v>UN</v>
      </c>
      <c r="L3319" s="166" t="str">
        <f t="shared" si="207"/>
        <v>10/2020</v>
      </c>
      <c r="M3319" s="82"/>
      <c r="N3319" s="82"/>
    </row>
    <row r="3320" spans="1:14" x14ac:dyDescent="0.25">
      <c r="A3320" s="170" t="s">
        <v>11737</v>
      </c>
      <c r="B3320" s="170" t="s">
        <v>18251</v>
      </c>
      <c r="C3320" s="170" t="s">
        <v>205</v>
      </c>
      <c r="D3320" s="170" t="s">
        <v>1947</v>
      </c>
      <c r="E3320" s="171" t="s">
        <v>33365</v>
      </c>
      <c r="F3320" s="171" t="s">
        <v>29069</v>
      </c>
      <c r="G3320" s="82"/>
      <c r="H3320" s="96">
        <f t="shared" si="204"/>
        <v>252.96</v>
      </c>
      <c r="I3320" s="96">
        <f t="shared" si="204"/>
        <v>255.11</v>
      </c>
      <c r="J3320" s="91" t="str">
        <f t="shared" si="205"/>
        <v>Sinapi 101908</v>
      </c>
      <c r="K3320" s="91" t="str">
        <f t="shared" si="206"/>
        <v>UN</v>
      </c>
      <c r="L3320" s="166" t="str">
        <f t="shared" si="207"/>
        <v>10/2020</v>
      </c>
      <c r="M3320" s="82"/>
      <c r="N3320" s="82"/>
    </row>
    <row r="3321" spans="1:14" x14ac:dyDescent="0.25">
      <c r="A3321" s="170" t="s">
        <v>11738</v>
      </c>
      <c r="B3321" s="170" t="s">
        <v>18252</v>
      </c>
      <c r="C3321" s="170" t="s">
        <v>205</v>
      </c>
      <c r="D3321" s="170" t="s">
        <v>1947</v>
      </c>
      <c r="E3321" s="171" t="s">
        <v>33366</v>
      </c>
      <c r="F3321" s="171" t="s">
        <v>36588</v>
      </c>
      <c r="G3321" s="82"/>
      <c r="H3321" s="96">
        <f t="shared" si="204"/>
        <v>295.27</v>
      </c>
      <c r="I3321" s="96">
        <f t="shared" si="204"/>
        <v>297.42</v>
      </c>
      <c r="J3321" s="91" t="str">
        <f t="shared" si="205"/>
        <v>Sinapi 101909</v>
      </c>
      <c r="K3321" s="91" t="str">
        <f t="shared" si="206"/>
        <v>UN</v>
      </c>
      <c r="L3321" s="166" t="str">
        <f t="shared" si="207"/>
        <v>10/2020</v>
      </c>
      <c r="M3321" s="82"/>
      <c r="N3321" s="82"/>
    </row>
    <row r="3322" spans="1:14" x14ac:dyDescent="0.25">
      <c r="A3322" s="170" t="s">
        <v>11739</v>
      </c>
      <c r="B3322" s="170" t="s">
        <v>18253</v>
      </c>
      <c r="C3322" s="170" t="s">
        <v>205</v>
      </c>
      <c r="D3322" s="170" t="s">
        <v>1947</v>
      </c>
      <c r="E3322" s="171" t="s">
        <v>33367</v>
      </c>
      <c r="F3322" s="171" t="s">
        <v>36589</v>
      </c>
      <c r="G3322" s="82"/>
      <c r="H3322" s="96">
        <f t="shared" si="204"/>
        <v>348.15</v>
      </c>
      <c r="I3322" s="96">
        <f t="shared" si="204"/>
        <v>350.3</v>
      </c>
      <c r="J3322" s="91" t="str">
        <f t="shared" si="205"/>
        <v>Sinapi 101910</v>
      </c>
      <c r="K3322" s="91" t="str">
        <f t="shared" si="206"/>
        <v>UN</v>
      </c>
      <c r="L3322" s="166" t="str">
        <f t="shared" si="207"/>
        <v>10/2020</v>
      </c>
      <c r="M3322" s="82"/>
      <c r="N3322" s="82"/>
    </row>
    <row r="3323" spans="1:14" x14ac:dyDescent="0.25">
      <c r="A3323" s="170" t="s">
        <v>11740</v>
      </c>
      <c r="B3323" s="170" t="s">
        <v>18254</v>
      </c>
      <c r="C3323" s="170" t="s">
        <v>205</v>
      </c>
      <c r="D3323" s="170" t="s">
        <v>1947</v>
      </c>
      <c r="E3323" s="171" t="s">
        <v>33368</v>
      </c>
      <c r="F3323" s="171" t="s">
        <v>36590</v>
      </c>
      <c r="G3323" s="82"/>
      <c r="H3323" s="96">
        <f t="shared" si="204"/>
        <v>401.03</v>
      </c>
      <c r="I3323" s="96">
        <f t="shared" si="204"/>
        <v>403.18</v>
      </c>
      <c r="J3323" s="91" t="str">
        <f t="shared" si="205"/>
        <v>Sinapi 101911</v>
      </c>
      <c r="K3323" s="91" t="str">
        <f t="shared" si="206"/>
        <v>UN</v>
      </c>
      <c r="L3323" s="166" t="str">
        <f t="shared" si="207"/>
        <v>10/2020</v>
      </c>
      <c r="M3323" s="82"/>
      <c r="N3323" s="82"/>
    </row>
    <row r="3324" spans="1:14" x14ac:dyDescent="0.25">
      <c r="A3324" s="170" t="s">
        <v>11741</v>
      </c>
      <c r="B3324" s="170" t="s">
        <v>11742</v>
      </c>
      <c r="C3324" s="170" t="s">
        <v>205</v>
      </c>
      <c r="D3324" s="170" t="s">
        <v>1947</v>
      </c>
      <c r="E3324" s="171" t="s">
        <v>33369</v>
      </c>
      <c r="F3324" s="171" t="s">
        <v>36591</v>
      </c>
      <c r="G3324" s="82"/>
      <c r="H3324" s="96">
        <f t="shared" si="204"/>
        <v>2037.91</v>
      </c>
      <c r="I3324" s="96">
        <f t="shared" si="204"/>
        <v>2053.17</v>
      </c>
      <c r="J3324" s="91" t="str">
        <f t="shared" si="205"/>
        <v>Sinapi 101912</v>
      </c>
      <c r="K3324" s="91" t="str">
        <f t="shared" si="206"/>
        <v>UN</v>
      </c>
      <c r="L3324" s="166" t="str">
        <f t="shared" si="207"/>
        <v>10/2020</v>
      </c>
      <c r="M3324" s="82"/>
      <c r="N3324" s="82"/>
    </row>
    <row r="3325" spans="1:14" x14ac:dyDescent="0.25">
      <c r="A3325" s="170" t="s">
        <v>11743</v>
      </c>
      <c r="B3325" s="170" t="s">
        <v>11744</v>
      </c>
      <c r="C3325" s="170" t="s">
        <v>205</v>
      </c>
      <c r="D3325" s="170" t="s">
        <v>1947</v>
      </c>
      <c r="E3325" s="171" t="s">
        <v>33370</v>
      </c>
      <c r="F3325" s="171" t="s">
        <v>36592</v>
      </c>
      <c r="G3325" s="82"/>
      <c r="H3325" s="96">
        <f t="shared" si="204"/>
        <v>360.62</v>
      </c>
      <c r="I3325" s="96">
        <f t="shared" si="204"/>
        <v>365.72</v>
      </c>
      <c r="J3325" s="91" t="str">
        <f t="shared" si="205"/>
        <v>Sinapi 101913</v>
      </c>
      <c r="K3325" s="91" t="str">
        <f t="shared" si="206"/>
        <v>UN</v>
      </c>
      <c r="L3325" s="166" t="str">
        <f t="shared" si="207"/>
        <v>10/2020</v>
      </c>
      <c r="M3325" s="82"/>
      <c r="N3325" s="82"/>
    </row>
    <row r="3326" spans="1:14" x14ac:dyDescent="0.25">
      <c r="A3326" s="170" t="s">
        <v>11745</v>
      </c>
      <c r="B3326" s="170" t="s">
        <v>11746</v>
      </c>
      <c r="C3326" s="170" t="s">
        <v>205</v>
      </c>
      <c r="D3326" s="170" t="s">
        <v>1947</v>
      </c>
      <c r="E3326" s="171" t="s">
        <v>33371</v>
      </c>
      <c r="F3326" s="171" t="s">
        <v>36593</v>
      </c>
      <c r="G3326" s="82"/>
      <c r="H3326" s="96">
        <f t="shared" si="204"/>
        <v>460.5</v>
      </c>
      <c r="I3326" s="96">
        <f t="shared" si="204"/>
        <v>466.91</v>
      </c>
      <c r="J3326" s="91" t="str">
        <f t="shared" si="205"/>
        <v>Sinapi 101914</v>
      </c>
      <c r="K3326" s="91" t="str">
        <f t="shared" si="206"/>
        <v>UN</v>
      </c>
      <c r="L3326" s="166" t="str">
        <f t="shared" si="207"/>
        <v>10/2020</v>
      </c>
      <c r="M3326" s="82"/>
      <c r="N3326" s="82"/>
    </row>
    <row r="3327" spans="1:14" x14ac:dyDescent="0.25">
      <c r="A3327" s="170" t="s">
        <v>11747</v>
      </c>
      <c r="B3327" s="170" t="s">
        <v>11748</v>
      </c>
      <c r="C3327" s="170" t="s">
        <v>205</v>
      </c>
      <c r="D3327" s="170" t="s">
        <v>2067</v>
      </c>
      <c r="E3327" s="171" t="s">
        <v>33372</v>
      </c>
      <c r="F3327" s="171" t="s">
        <v>36594</v>
      </c>
      <c r="G3327" s="82"/>
      <c r="H3327" s="96">
        <f t="shared" si="204"/>
        <v>485.81</v>
      </c>
      <c r="I3327" s="96">
        <f t="shared" si="204"/>
        <v>486.48</v>
      </c>
      <c r="J3327" s="91" t="str">
        <f t="shared" si="205"/>
        <v>Sinapi 101915</v>
      </c>
      <c r="K3327" s="91" t="str">
        <f t="shared" si="206"/>
        <v>UN</v>
      </c>
      <c r="L3327" s="166" t="str">
        <f t="shared" si="207"/>
        <v>10/2020</v>
      </c>
      <c r="M3327" s="82"/>
      <c r="N3327" s="82"/>
    </row>
    <row r="3328" spans="1:14" x14ac:dyDescent="0.25">
      <c r="A3328" s="170" t="s">
        <v>11749</v>
      </c>
      <c r="B3328" s="170" t="s">
        <v>11750</v>
      </c>
      <c r="C3328" s="170" t="s">
        <v>205</v>
      </c>
      <c r="D3328" s="170" t="s">
        <v>1947</v>
      </c>
      <c r="E3328" s="171" t="s">
        <v>33373</v>
      </c>
      <c r="F3328" s="171" t="s">
        <v>36595</v>
      </c>
      <c r="G3328" s="82"/>
      <c r="H3328" s="96">
        <f t="shared" si="204"/>
        <v>3524.87</v>
      </c>
      <c r="I3328" s="96">
        <f t="shared" si="204"/>
        <v>3545.82</v>
      </c>
      <c r="J3328" s="91" t="str">
        <f t="shared" si="205"/>
        <v>Sinapi 101916</v>
      </c>
      <c r="K3328" s="91" t="str">
        <f t="shared" si="206"/>
        <v>UN</v>
      </c>
      <c r="L3328" s="166" t="str">
        <f t="shared" si="207"/>
        <v>10/2020</v>
      </c>
      <c r="M3328" s="82"/>
      <c r="N3328" s="82"/>
    </row>
    <row r="3329" spans="1:14" x14ac:dyDescent="0.25">
      <c r="A3329" s="170" t="s">
        <v>11751</v>
      </c>
      <c r="B3329" s="170" t="s">
        <v>11752</v>
      </c>
      <c r="C3329" s="170" t="s">
        <v>205</v>
      </c>
      <c r="D3329" s="170" t="s">
        <v>1947</v>
      </c>
      <c r="E3329" s="171" t="s">
        <v>33374</v>
      </c>
      <c r="F3329" s="171" t="s">
        <v>29289</v>
      </c>
      <c r="G3329" s="82"/>
      <c r="H3329" s="96">
        <f t="shared" si="204"/>
        <v>149.27000000000001</v>
      </c>
      <c r="I3329" s="96">
        <f t="shared" si="204"/>
        <v>153.25</v>
      </c>
      <c r="J3329" s="91" t="str">
        <f t="shared" si="205"/>
        <v>Sinapi 101917</v>
      </c>
      <c r="K3329" s="91" t="str">
        <f t="shared" si="206"/>
        <v>UN</v>
      </c>
      <c r="L3329" s="166" t="str">
        <f t="shared" si="207"/>
        <v>10/2020</v>
      </c>
      <c r="M3329" s="82"/>
      <c r="N3329" s="82"/>
    </row>
    <row r="3330" spans="1:14" x14ac:dyDescent="0.25">
      <c r="A3330" s="170" t="s">
        <v>6032</v>
      </c>
      <c r="B3330" s="170" t="s">
        <v>6033</v>
      </c>
      <c r="C3330" s="170" t="s">
        <v>385</v>
      </c>
      <c r="D3330" s="170" t="s">
        <v>2067</v>
      </c>
      <c r="E3330" s="171" t="s">
        <v>23524</v>
      </c>
      <c r="F3330" s="171" t="s">
        <v>21207</v>
      </c>
      <c r="G3330" s="82"/>
      <c r="H3330" s="96">
        <f t="shared" si="204"/>
        <v>3.36</v>
      </c>
      <c r="I3330" s="96">
        <f t="shared" si="204"/>
        <v>3.65</v>
      </c>
      <c r="J3330" s="91" t="str">
        <f t="shared" si="205"/>
        <v>Sinapi 98261</v>
      </c>
      <c r="K3330" s="91" t="str">
        <f t="shared" si="206"/>
        <v>M</v>
      </c>
      <c r="L3330" s="166" t="str">
        <f t="shared" si="207"/>
        <v>11/2019</v>
      </c>
      <c r="M3330" s="82"/>
      <c r="N3330" s="82"/>
    </row>
    <row r="3331" spans="1:14" x14ac:dyDescent="0.25">
      <c r="A3331" s="170" t="s">
        <v>6034</v>
      </c>
      <c r="B3331" s="170" t="s">
        <v>6035</v>
      </c>
      <c r="C3331" s="170" t="s">
        <v>385</v>
      </c>
      <c r="D3331" s="170" t="s">
        <v>2067</v>
      </c>
      <c r="E3331" s="171" t="s">
        <v>17407</v>
      </c>
      <c r="F3331" s="171" t="s">
        <v>29020</v>
      </c>
      <c r="G3331" s="82"/>
      <c r="H3331" s="96">
        <f t="shared" si="204"/>
        <v>4.1500000000000004</v>
      </c>
      <c r="I3331" s="96">
        <f t="shared" si="204"/>
        <v>4.46</v>
      </c>
      <c r="J3331" s="91" t="str">
        <f t="shared" si="205"/>
        <v>Sinapi 98262</v>
      </c>
      <c r="K3331" s="91" t="str">
        <f t="shared" si="206"/>
        <v>M</v>
      </c>
      <c r="L3331" s="166" t="str">
        <f t="shared" si="207"/>
        <v>11/2019</v>
      </c>
      <c r="M3331" s="82"/>
      <c r="N3331" s="82"/>
    </row>
    <row r="3332" spans="1:14" x14ac:dyDescent="0.25">
      <c r="A3332" s="170" t="s">
        <v>6036</v>
      </c>
      <c r="B3332" s="170" t="s">
        <v>6037</v>
      </c>
      <c r="C3332" s="170" t="s">
        <v>385</v>
      </c>
      <c r="D3332" s="170" t="s">
        <v>2067</v>
      </c>
      <c r="E3332" s="171" t="s">
        <v>19952</v>
      </c>
      <c r="F3332" s="171" t="s">
        <v>10257</v>
      </c>
      <c r="G3332" s="82"/>
      <c r="H3332" s="96">
        <f t="shared" si="204"/>
        <v>4.34</v>
      </c>
      <c r="I3332" s="96">
        <f t="shared" si="204"/>
        <v>4.66</v>
      </c>
      <c r="J3332" s="91" t="str">
        <f t="shared" si="205"/>
        <v>Sinapi 98263</v>
      </c>
      <c r="K3332" s="91" t="str">
        <f t="shared" si="206"/>
        <v>M</v>
      </c>
      <c r="L3332" s="166" t="str">
        <f t="shared" si="207"/>
        <v>11/2019</v>
      </c>
      <c r="M3332" s="82"/>
      <c r="N3332" s="82"/>
    </row>
    <row r="3333" spans="1:14" x14ac:dyDescent="0.25">
      <c r="A3333" s="170" t="s">
        <v>6038</v>
      </c>
      <c r="B3333" s="170" t="s">
        <v>6039</v>
      </c>
      <c r="C3333" s="170" t="s">
        <v>385</v>
      </c>
      <c r="D3333" s="170" t="s">
        <v>2067</v>
      </c>
      <c r="E3333" s="171" t="s">
        <v>21596</v>
      </c>
      <c r="F3333" s="171" t="s">
        <v>18606</v>
      </c>
      <c r="G3333" s="82"/>
      <c r="H3333" s="96">
        <f t="shared" si="204"/>
        <v>5.19</v>
      </c>
      <c r="I3333" s="96">
        <f t="shared" si="204"/>
        <v>5.52</v>
      </c>
      <c r="J3333" s="91" t="str">
        <f t="shared" si="205"/>
        <v>Sinapi 98264</v>
      </c>
      <c r="K3333" s="91" t="str">
        <f t="shared" si="206"/>
        <v>M</v>
      </c>
      <c r="L3333" s="166" t="str">
        <f t="shared" si="207"/>
        <v>11/2019</v>
      </c>
      <c r="M3333" s="82"/>
      <c r="N3333" s="82"/>
    </row>
    <row r="3334" spans="1:14" x14ac:dyDescent="0.25">
      <c r="A3334" s="170" t="s">
        <v>6040</v>
      </c>
      <c r="B3334" s="170" t="s">
        <v>6041</v>
      </c>
      <c r="C3334" s="170" t="s">
        <v>385</v>
      </c>
      <c r="D3334" s="170" t="s">
        <v>2067</v>
      </c>
      <c r="E3334" s="171" t="s">
        <v>23000</v>
      </c>
      <c r="F3334" s="171" t="s">
        <v>21324</v>
      </c>
      <c r="G3334" s="82"/>
      <c r="H3334" s="96">
        <f t="shared" si="204"/>
        <v>5.77</v>
      </c>
      <c r="I3334" s="96">
        <f t="shared" si="204"/>
        <v>6.12</v>
      </c>
      <c r="J3334" s="91" t="str">
        <f t="shared" si="205"/>
        <v>Sinapi 98265</v>
      </c>
      <c r="K3334" s="91" t="str">
        <f t="shared" si="206"/>
        <v>M</v>
      </c>
      <c r="L3334" s="166" t="str">
        <f t="shared" si="207"/>
        <v>11/2019</v>
      </c>
      <c r="M3334" s="82"/>
      <c r="N3334" s="82"/>
    </row>
    <row r="3335" spans="1:14" x14ac:dyDescent="0.25">
      <c r="A3335" s="170" t="s">
        <v>6043</v>
      </c>
      <c r="B3335" s="170" t="s">
        <v>6044</v>
      </c>
      <c r="C3335" s="170" t="s">
        <v>385</v>
      </c>
      <c r="D3335" s="170" t="s">
        <v>2067</v>
      </c>
      <c r="E3335" s="171" t="s">
        <v>31509</v>
      </c>
      <c r="F3335" s="171" t="s">
        <v>5261</v>
      </c>
      <c r="G3335" s="82"/>
      <c r="H3335" s="96">
        <f t="shared" si="204"/>
        <v>6.55</v>
      </c>
      <c r="I3335" s="96">
        <f t="shared" si="204"/>
        <v>6.9</v>
      </c>
      <c r="J3335" s="91" t="str">
        <f t="shared" si="205"/>
        <v>Sinapi 98266</v>
      </c>
      <c r="K3335" s="91" t="str">
        <f t="shared" si="206"/>
        <v>M</v>
      </c>
      <c r="L3335" s="166" t="str">
        <f t="shared" si="207"/>
        <v>11/2019</v>
      </c>
      <c r="M3335" s="82"/>
      <c r="N3335" s="82"/>
    </row>
    <row r="3336" spans="1:14" x14ac:dyDescent="0.25">
      <c r="A3336" s="170" t="s">
        <v>6046</v>
      </c>
      <c r="B3336" s="170" t="s">
        <v>6047</v>
      </c>
      <c r="C3336" s="170" t="s">
        <v>385</v>
      </c>
      <c r="D3336" s="170" t="s">
        <v>2067</v>
      </c>
      <c r="E3336" s="171" t="s">
        <v>18608</v>
      </c>
      <c r="F3336" s="171" t="s">
        <v>11276</v>
      </c>
      <c r="G3336" s="82"/>
      <c r="H3336" s="96">
        <f t="shared" ref="H3336:I3399" si="208">IF(E3336="","",E3336+0)</f>
        <v>10.37</v>
      </c>
      <c r="I3336" s="96">
        <f t="shared" si="208"/>
        <v>10.81</v>
      </c>
      <c r="J3336" s="91" t="str">
        <f t="shared" ref="J3336:J3399" si="209">IF(OR(H3336="",I3336=""),"",TRIM(CONCATENATE("Sinapi ",A3336)))</f>
        <v>Sinapi 98267</v>
      </c>
      <c r="K3336" s="91" t="str">
        <f t="shared" ref="K3336:K3399" si="210">TRIM(C3336)</f>
        <v>M</v>
      </c>
      <c r="L3336" s="166" t="str">
        <f t="shared" ref="L3336:L3399" si="211">IF(OR(RIGHT(IF(AND(K3336&lt;&gt;"H",K3336&lt;&gt;"MES"),RIGHT(B3336,7),""),2)="PS",RIGHT(IF(AND(K3336&lt;&gt;"H",K3336&lt;&gt;"MES"),RIGHT(B3336,7),""),2)="PA",RIGHT(IF(AND(K3336&lt;&gt;"H",K3336&lt;&gt;"MES"),RIGHT(B3336,7),""),2)="PE"),LEFT(IF(AND(K3336&lt;&gt;"H",K3336&lt;&gt;"MES"),RIGHT(B3336,10),""),7),IF(AND(K3336&lt;&gt;"H",K3336&lt;&gt;"MES"),RIGHT(B3336,7),""))</f>
        <v>11/2019</v>
      </c>
      <c r="M3336" s="82"/>
      <c r="N3336" s="82"/>
    </row>
    <row r="3337" spans="1:14" x14ac:dyDescent="0.25">
      <c r="A3337" s="170" t="s">
        <v>6048</v>
      </c>
      <c r="B3337" s="170" t="s">
        <v>6049</v>
      </c>
      <c r="C3337" s="170" t="s">
        <v>385</v>
      </c>
      <c r="D3337" s="170" t="s">
        <v>2067</v>
      </c>
      <c r="E3337" s="171" t="s">
        <v>11138</v>
      </c>
      <c r="F3337" s="171" t="s">
        <v>27600</v>
      </c>
      <c r="G3337" s="82"/>
      <c r="H3337" s="96">
        <f t="shared" si="208"/>
        <v>16.690000000000001</v>
      </c>
      <c r="I3337" s="96">
        <f t="shared" si="208"/>
        <v>17.190000000000001</v>
      </c>
      <c r="J3337" s="91" t="str">
        <f t="shared" si="209"/>
        <v>Sinapi 98268</v>
      </c>
      <c r="K3337" s="91" t="str">
        <f t="shared" si="210"/>
        <v>M</v>
      </c>
      <c r="L3337" s="166" t="str">
        <f t="shared" si="211"/>
        <v>11/2019</v>
      </c>
      <c r="M3337" s="82"/>
      <c r="N3337" s="82"/>
    </row>
    <row r="3338" spans="1:14" x14ac:dyDescent="0.25">
      <c r="A3338" s="170" t="s">
        <v>6051</v>
      </c>
      <c r="B3338" s="170" t="s">
        <v>6052</v>
      </c>
      <c r="C3338" s="170" t="s">
        <v>385</v>
      </c>
      <c r="D3338" s="170" t="s">
        <v>2067</v>
      </c>
      <c r="E3338" s="171" t="s">
        <v>33375</v>
      </c>
      <c r="F3338" s="171" t="s">
        <v>23268</v>
      </c>
      <c r="G3338" s="82"/>
      <c r="H3338" s="96">
        <f t="shared" si="208"/>
        <v>22.78</v>
      </c>
      <c r="I3338" s="96">
        <f t="shared" si="208"/>
        <v>23.33</v>
      </c>
      <c r="J3338" s="91" t="str">
        <f t="shared" si="209"/>
        <v>Sinapi 98269</v>
      </c>
      <c r="K3338" s="91" t="str">
        <f t="shared" si="210"/>
        <v>M</v>
      </c>
      <c r="L3338" s="166" t="str">
        <f t="shared" si="211"/>
        <v>11/2019</v>
      </c>
      <c r="M3338" s="82"/>
      <c r="N3338" s="82"/>
    </row>
    <row r="3339" spans="1:14" x14ac:dyDescent="0.25">
      <c r="A3339" s="170" t="s">
        <v>6053</v>
      </c>
      <c r="B3339" s="170" t="s">
        <v>6054</v>
      </c>
      <c r="C3339" s="170" t="s">
        <v>385</v>
      </c>
      <c r="D3339" s="170" t="s">
        <v>2067</v>
      </c>
      <c r="E3339" s="171" t="s">
        <v>22910</v>
      </c>
      <c r="F3339" s="171" t="s">
        <v>28730</v>
      </c>
      <c r="G3339" s="82"/>
      <c r="H3339" s="96">
        <f t="shared" si="208"/>
        <v>34.340000000000003</v>
      </c>
      <c r="I3339" s="96">
        <f t="shared" si="208"/>
        <v>34.950000000000003</v>
      </c>
      <c r="J3339" s="91" t="str">
        <f t="shared" si="209"/>
        <v>Sinapi 98270</v>
      </c>
      <c r="K3339" s="91" t="str">
        <f t="shared" si="210"/>
        <v>M</v>
      </c>
      <c r="L3339" s="166" t="str">
        <f t="shared" si="211"/>
        <v>11/2019</v>
      </c>
      <c r="M3339" s="82"/>
      <c r="N3339" s="82"/>
    </row>
    <row r="3340" spans="1:14" x14ac:dyDescent="0.25">
      <c r="A3340" s="170" t="s">
        <v>6055</v>
      </c>
      <c r="B3340" s="170" t="s">
        <v>6056</v>
      </c>
      <c r="C3340" s="170" t="s">
        <v>385</v>
      </c>
      <c r="D3340" s="170" t="s">
        <v>2067</v>
      </c>
      <c r="E3340" s="171" t="s">
        <v>29013</v>
      </c>
      <c r="F3340" s="171" t="s">
        <v>19955</v>
      </c>
      <c r="G3340" s="82"/>
      <c r="H3340" s="96">
        <f t="shared" si="208"/>
        <v>48.29</v>
      </c>
      <c r="I3340" s="96">
        <f t="shared" si="208"/>
        <v>48.96</v>
      </c>
      <c r="J3340" s="91" t="str">
        <f t="shared" si="209"/>
        <v>Sinapi 98271</v>
      </c>
      <c r="K3340" s="91" t="str">
        <f t="shared" si="210"/>
        <v>M</v>
      </c>
      <c r="L3340" s="166" t="str">
        <f t="shared" si="211"/>
        <v>11/2019</v>
      </c>
      <c r="M3340" s="82"/>
      <c r="N3340" s="82"/>
    </row>
    <row r="3341" spans="1:14" x14ac:dyDescent="0.25">
      <c r="A3341" s="170" t="s">
        <v>6057</v>
      </c>
      <c r="B3341" s="170" t="s">
        <v>6058</v>
      </c>
      <c r="C3341" s="170" t="s">
        <v>385</v>
      </c>
      <c r="D3341" s="170" t="s">
        <v>2067</v>
      </c>
      <c r="E3341" s="171" t="s">
        <v>33376</v>
      </c>
      <c r="F3341" s="171" t="s">
        <v>36596</v>
      </c>
      <c r="G3341" s="82"/>
      <c r="H3341" s="96">
        <f t="shared" si="208"/>
        <v>110.73</v>
      </c>
      <c r="I3341" s="96">
        <f t="shared" si="208"/>
        <v>111.65</v>
      </c>
      <c r="J3341" s="91" t="str">
        <f t="shared" si="209"/>
        <v>Sinapi 98272</v>
      </c>
      <c r="K3341" s="91" t="str">
        <f t="shared" si="210"/>
        <v>M</v>
      </c>
      <c r="L3341" s="166" t="str">
        <f t="shared" si="211"/>
        <v>11/2019</v>
      </c>
      <c r="M3341" s="82"/>
      <c r="N3341" s="82"/>
    </row>
    <row r="3342" spans="1:14" x14ac:dyDescent="0.25">
      <c r="A3342" s="170" t="s">
        <v>6059</v>
      </c>
      <c r="B3342" s="170" t="s">
        <v>6060</v>
      </c>
      <c r="C3342" s="170" t="s">
        <v>385</v>
      </c>
      <c r="D3342" s="170" t="s">
        <v>2067</v>
      </c>
      <c r="E3342" s="171" t="s">
        <v>14939</v>
      </c>
      <c r="F3342" s="171" t="s">
        <v>14779</v>
      </c>
      <c r="G3342" s="82"/>
      <c r="H3342" s="96">
        <f t="shared" si="208"/>
        <v>2.6</v>
      </c>
      <c r="I3342" s="96">
        <f t="shared" si="208"/>
        <v>2.64</v>
      </c>
      <c r="J3342" s="91" t="str">
        <f t="shared" si="209"/>
        <v>Sinapi 98273</v>
      </c>
      <c r="K3342" s="91" t="str">
        <f t="shared" si="210"/>
        <v>M</v>
      </c>
      <c r="L3342" s="166" t="str">
        <f t="shared" si="211"/>
        <v>11/2019</v>
      </c>
      <c r="M3342" s="82"/>
      <c r="N3342" s="82"/>
    </row>
    <row r="3343" spans="1:14" x14ac:dyDescent="0.25">
      <c r="A3343" s="170" t="s">
        <v>6061</v>
      </c>
      <c r="B3343" s="170" t="s">
        <v>6062</v>
      </c>
      <c r="C3343" s="170" t="s">
        <v>385</v>
      </c>
      <c r="D3343" s="170" t="s">
        <v>2067</v>
      </c>
      <c r="E3343" s="171" t="s">
        <v>19821</v>
      </c>
      <c r="F3343" s="171" t="s">
        <v>2899</v>
      </c>
      <c r="G3343" s="82"/>
      <c r="H3343" s="96">
        <f t="shared" si="208"/>
        <v>3.18</v>
      </c>
      <c r="I3343" s="96">
        <f t="shared" si="208"/>
        <v>3.23</v>
      </c>
      <c r="J3343" s="91" t="str">
        <f t="shared" si="209"/>
        <v>Sinapi 98274</v>
      </c>
      <c r="K3343" s="91" t="str">
        <f t="shared" si="210"/>
        <v>M</v>
      </c>
      <c r="L3343" s="166" t="str">
        <f t="shared" si="211"/>
        <v>11/2019</v>
      </c>
      <c r="M3343" s="82"/>
      <c r="N3343" s="82"/>
    </row>
    <row r="3344" spans="1:14" x14ac:dyDescent="0.25">
      <c r="A3344" s="170" t="s">
        <v>6063</v>
      </c>
      <c r="B3344" s="170" t="s">
        <v>6064</v>
      </c>
      <c r="C3344" s="170" t="s">
        <v>385</v>
      </c>
      <c r="D3344" s="170" t="s">
        <v>2067</v>
      </c>
      <c r="E3344" s="171" t="s">
        <v>13579</v>
      </c>
      <c r="F3344" s="171" t="s">
        <v>16376</v>
      </c>
      <c r="G3344" s="82"/>
      <c r="H3344" s="96">
        <f t="shared" si="208"/>
        <v>3.96</v>
      </c>
      <c r="I3344" s="96">
        <f t="shared" si="208"/>
        <v>4.01</v>
      </c>
      <c r="J3344" s="91" t="str">
        <f t="shared" si="209"/>
        <v>Sinapi 98275</v>
      </c>
      <c r="K3344" s="91" t="str">
        <f t="shared" si="210"/>
        <v>M</v>
      </c>
      <c r="L3344" s="166" t="str">
        <f t="shared" si="211"/>
        <v>11/2019</v>
      </c>
      <c r="M3344" s="82"/>
      <c r="N3344" s="82"/>
    </row>
    <row r="3345" spans="1:14" x14ac:dyDescent="0.25">
      <c r="A3345" s="170" t="s">
        <v>6066</v>
      </c>
      <c r="B3345" s="170" t="s">
        <v>6067</v>
      </c>
      <c r="C3345" s="170" t="s">
        <v>385</v>
      </c>
      <c r="D3345" s="170" t="s">
        <v>2067</v>
      </c>
      <c r="E3345" s="171" t="s">
        <v>15514</v>
      </c>
      <c r="F3345" s="171" t="s">
        <v>14357</v>
      </c>
      <c r="G3345" s="82"/>
      <c r="H3345" s="96">
        <f t="shared" si="208"/>
        <v>7.77</v>
      </c>
      <c r="I3345" s="96">
        <f t="shared" si="208"/>
        <v>7.92</v>
      </c>
      <c r="J3345" s="91" t="str">
        <f t="shared" si="209"/>
        <v>Sinapi 98276</v>
      </c>
      <c r="K3345" s="91" t="str">
        <f t="shared" si="210"/>
        <v>M</v>
      </c>
      <c r="L3345" s="166" t="str">
        <f t="shared" si="211"/>
        <v>11/2019</v>
      </c>
      <c r="M3345" s="82"/>
      <c r="N3345" s="82"/>
    </row>
    <row r="3346" spans="1:14" x14ac:dyDescent="0.25">
      <c r="A3346" s="170" t="s">
        <v>6068</v>
      </c>
      <c r="B3346" s="170" t="s">
        <v>6069</v>
      </c>
      <c r="C3346" s="170" t="s">
        <v>385</v>
      </c>
      <c r="D3346" s="170" t="s">
        <v>2067</v>
      </c>
      <c r="E3346" s="171" t="s">
        <v>21461</v>
      </c>
      <c r="F3346" s="171" t="s">
        <v>22892</v>
      </c>
      <c r="G3346" s="82"/>
      <c r="H3346" s="96">
        <f t="shared" si="208"/>
        <v>14.1</v>
      </c>
      <c r="I3346" s="96">
        <f t="shared" si="208"/>
        <v>14.31</v>
      </c>
      <c r="J3346" s="91" t="str">
        <f t="shared" si="209"/>
        <v>Sinapi 98277</v>
      </c>
      <c r="K3346" s="91" t="str">
        <f t="shared" si="210"/>
        <v>M</v>
      </c>
      <c r="L3346" s="166" t="str">
        <f t="shared" si="211"/>
        <v>11/2019</v>
      </c>
      <c r="M3346" s="82"/>
      <c r="N3346" s="82"/>
    </row>
    <row r="3347" spans="1:14" x14ac:dyDescent="0.25">
      <c r="A3347" s="170" t="s">
        <v>6071</v>
      </c>
      <c r="B3347" s="170" t="s">
        <v>6072</v>
      </c>
      <c r="C3347" s="170" t="s">
        <v>385</v>
      </c>
      <c r="D3347" s="170" t="s">
        <v>2067</v>
      </c>
      <c r="E3347" s="171" t="s">
        <v>15779</v>
      </c>
      <c r="F3347" s="171" t="s">
        <v>16368</v>
      </c>
      <c r="G3347" s="82"/>
      <c r="H3347" s="96">
        <f t="shared" si="208"/>
        <v>20.190000000000001</v>
      </c>
      <c r="I3347" s="96">
        <f t="shared" si="208"/>
        <v>20.45</v>
      </c>
      <c r="J3347" s="91" t="str">
        <f t="shared" si="209"/>
        <v>Sinapi 98278</v>
      </c>
      <c r="K3347" s="91" t="str">
        <f t="shared" si="210"/>
        <v>M</v>
      </c>
      <c r="L3347" s="166" t="str">
        <f t="shared" si="211"/>
        <v>11/2019</v>
      </c>
      <c r="M3347" s="82"/>
      <c r="N3347" s="82"/>
    </row>
    <row r="3348" spans="1:14" x14ac:dyDescent="0.25">
      <c r="A3348" s="170" t="s">
        <v>6073</v>
      </c>
      <c r="B3348" s="170" t="s">
        <v>6074</v>
      </c>
      <c r="C3348" s="170" t="s">
        <v>385</v>
      </c>
      <c r="D3348" s="170" t="s">
        <v>2067</v>
      </c>
      <c r="E3348" s="171" t="s">
        <v>33377</v>
      </c>
      <c r="F3348" s="171" t="s">
        <v>22754</v>
      </c>
      <c r="G3348" s="82"/>
      <c r="H3348" s="96">
        <f t="shared" si="208"/>
        <v>31.75</v>
      </c>
      <c r="I3348" s="96">
        <f t="shared" si="208"/>
        <v>32.07</v>
      </c>
      <c r="J3348" s="91" t="str">
        <f t="shared" si="209"/>
        <v>Sinapi 98279</v>
      </c>
      <c r="K3348" s="91" t="str">
        <f t="shared" si="210"/>
        <v>M</v>
      </c>
      <c r="L3348" s="166" t="str">
        <f t="shared" si="211"/>
        <v>11/2019</v>
      </c>
      <c r="M3348" s="82"/>
      <c r="N3348" s="82"/>
    </row>
    <row r="3349" spans="1:14" x14ac:dyDescent="0.25">
      <c r="A3349" s="170" t="s">
        <v>6075</v>
      </c>
      <c r="B3349" s="170" t="s">
        <v>6076</v>
      </c>
      <c r="C3349" s="170" t="s">
        <v>385</v>
      </c>
      <c r="D3349" s="170" t="s">
        <v>2067</v>
      </c>
      <c r="E3349" s="171" t="s">
        <v>21285</v>
      </c>
      <c r="F3349" s="171" t="s">
        <v>22989</v>
      </c>
      <c r="G3349" s="82"/>
      <c r="H3349" s="96">
        <f t="shared" si="208"/>
        <v>6.7</v>
      </c>
      <c r="I3349" s="96">
        <f t="shared" si="208"/>
        <v>7.37</v>
      </c>
      <c r="J3349" s="91" t="str">
        <f t="shared" si="209"/>
        <v>Sinapi 98280</v>
      </c>
      <c r="K3349" s="91" t="str">
        <f t="shared" si="210"/>
        <v>M</v>
      </c>
      <c r="L3349" s="166" t="str">
        <f t="shared" si="211"/>
        <v>11/2019</v>
      </c>
      <c r="M3349" s="82"/>
      <c r="N3349" s="82"/>
    </row>
    <row r="3350" spans="1:14" x14ac:dyDescent="0.25">
      <c r="A3350" s="170" t="s">
        <v>6078</v>
      </c>
      <c r="B3350" s="170" t="s">
        <v>6079</v>
      </c>
      <c r="C3350" s="170" t="s">
        <v>385</v>
      </c>
      <c r="D3350" s="170" t="s">
        <v>2067</v>
      </c>
      <c r="E3350" s="171" t="s">
        <v>16359</v>
      </c>
      <c r="F3350" s="171" t="s">
        <v>19302</v>
      </c>
      <c r="G3350" s="82"/>
      <c r="H3350" s="96">
        <f t="shared" si="208"/>
        <v>7.49</v>
      </c>
      <c r="I3350" s="96">
        <f t="shared" si="208"/>
        <v>8.16</v>
      </c>
      <c r="J3350" s="91" t="str">
        <f t="shared" si="209"/>
        <v>Sinapi 98281</v>
      </c>
      <c r="K3350" s="91" t="str">
        <f t="shared" si="210"/>
        <v>M</v>
      </c>
      <c r="L3350" s="166" t="str">
        <f t="shared" si="211"/>
        <v>11/2019</v>
      </c>
      <c r="M3350" s="82"/>
      <c r="N3350" s="82"/>
    </row>
    <row r="3351" spans="1:14" x14ac:dyDescent="0.25">
      <c r="A3351" s="170" t="s">
        <v>6081</v>
      </c>
      <c r="B3351" s="170" t="s">
        <v>6082</v>
      </c>
      <c r="C3351" s="170" t="s">
        <v>385</v>
      </c>
      <c r="D3351" s="170" t="s">
        <v>2067</v>
      </c>
      <c r="E3351" s="171" t="s">
        <v>18694</v>
      </c>
      <c r="F3351" s="171" t="s">
        <v>29875</v>
      </c>
      <c r="G3351" s="82"/>
      <c r="H3351" s="96">
        <f t="shared" si="208"/>
        <v>7.69</v>
      </c>
      <c r="I3351" s="96">
        <f t="shared" si="208"/>
        <v>8.3800000000000008</v>
      </c>
      <c r="J3351" s="91" t="str">
        <f t="shared" si="209"/>
        <v>Sinapi 98282</v>
      </c>
      <c r="K3351" s="91" t="str">
        <f t="shared" si="210"/>
        <v>M</v>
      </c>
      <c r="L3351" s="166" t="str">
        <f t="shared" si="211"/>
        <v>11/2019</v>
      </c>
      <c r="M3351" s="82"/>
      <c r="N3351" s="82"/>
    </row>
    <row r="3352" spans="1:14" x14ac:dyDescent="0.25">
      <c r="A3352" s="170" t="s">
        <v>6083</v>
      </c>
      <c r="B3352" s="170" t="s">
        <v>6084</v>
      </c>
      <c r="C3352" s="170" t="s">
        <v>385</v>
      </c>
      <c r="D3352" s="170" t="s">
        <v>2067</v>
      </c>
      <c r="E3352" s="171" t="s">
        <v>14638</v>
      </c>
      <c r="F3352" s="171" t="s">
        <v>5466</v>
      </c>
      <c r="G3352" s="82"/>
      <c r="H3352" s="96">
        <f t="shared" si="208"/>
        <v>8.5299999999999994</v>
      </c>
      <c r="I3352" s="96">
        <f t="shared" si="208"/>
        <v>9.24</v>
      </c>
      <c r="J3352" s="91" t="str">
        <f t="shared" si="209"/>
        <v>Sinapi 98283</v>
      </c>
      <c r="K3352" s="91" t="str">
        <f t="shared" si="210"/>
        <v>M</v>
      </c>
      <c r="L3352" s="166" t="str">
        <f t="shared" si="211"/>
        <v>11/2019</v>
      </c>
      <c r="M3352" s="82"/>
      <c r="N3352" s="82"/>
    </row>
    <row r="3353" spans="1:14" x14ac:dyDescent="0.25">
      <c r="A3353" s="170" t="s">
        <v>6085</v>
      </c>
      <c r="B3353" s="170" t="s">
        <v>6086</v>
      </c>
      <c r="C3353" s="170" t="s">
        <v>385</v>
      </c>
      <c r="D3353" s="170" t="s">
        <v>2067</v>
      </c>
      <c r="E3353" s="171" t="s">
        <v>31995</v>
      </c>
      <c r="F3353" s="171" t="s">
        <v>10240</v>
      </c>
      <c r="G3353" s="82"/>
      <c r="H3353" s="96">
        <f t="shared" si="208"/>
        <v>9.1</v>
      </c>
      <c r="I3353" s="96">
        <f t="shared" si="208"/>
        <v>9.82</v>
      </c>
      <c r="J3353" s="91" t="str">
        <f t="shared" si="209"/>
        <v>Sinapi 98284</v>
      </c>
      <c r="K3353" s="91" t="str">
        <f t="shared" si="210"/>
        <v>M</v>
      </c>
      <c r="L3353" s="166" t="str">
        <f t="shared" si="211"/>
        <v>11/2019</v>
      </c>
      <c r="M3353" s="82"/>
      <c r="N3353" s="82"/>
    </row>
    <row r="3354" spans="1:14" x14ac:dyDescent="0.25">
      <c r="A3354" s="170" t="s">
        <v>6087</v>
      </c>
      <c r="B3354" s="170" t="s">
        <v>6088</v>
      </c>
      <c r="C3354" s="170" t="s">
        <v>385</v>
      </c>
      <c r="D3354" s="170" t="s">
        <v>2067</v>
      </c>
      <c r="E3354" s="171" t="s">
        <v>14125</v>
      </c>
      <c r="F3354" s="171" t="s">
        <v>15660</v>
      </c>
      <c r="G3354" s="82"/>
      <c r="H3354" s="96">
        <f t="shared" si="208"/>
        <v>9.89</v>
      </c>
      <c r="I3354" s="96">
        <f t="shared" si="208"/>
        <v>10.6</v>
      </c>
      <c r="J3354" s="91" t="str">
        <f t="shared" si="209"/>
        <v>Sinapi 98285</v>
      </c>
      <c r="K3354" s="91" t="str">
        <f t="shared" si="210"/>
        <v>M</v>
      </c>
      <c r="L3354" s="166" t="str">
        <f t="shared" si="211"/>
        <v>11/2019</v>
      </c>
      <c r="M3354" s="82"/>
      <c r="N3354" s="82"/>
    </row>
    <row r="3355" spans="1:14" x14ac:dyDescent="0.25">
      <c r="A3355" s="170" t="s">
        <v>6089</v>
      </c>
      <c r="B3355" s="170" t="s">
        <v>6090</v>
      </c>
      <c r="C3355" s="170" t="s">
        <v>385</v>
      </c>
      <c r="D3355" s="170" t="s">
        <v>2067</v>
      </c>
      <c r="E3355" s="171" t="s">
        <v>15789</v>
      </c>
      <c r="F3355" s="171" t="s">
        <v>19328</v>
      </c>
      <c r="G3355" s="82"/>
      <c r="H3355" s="96">
        <f t="shared" si="208"/>
        <v>13.71</v>
      </c>
      <c r="I3355" s="96">
        <f t="shared" si="208"/>
        <v>14.52</v>
      </c>
      <c r="J3355" s="91" t="str">
        <f t="shared" si="209"/>
        <v>Sinapi 98286</v>
      </c>
      <c r="K3355" s="91" t="str">
        <f t="shared" si="210"/>
        <v>M</v>
      </c>
      <c r="L3355" s="166" t="str">
        <f t="shared" si="211"/>
        <v>11/2019</v>
      </c>
      <c r="M3355" s="82"/>
      <c r="N3355" s="82"/>
    </row>
    <row r="3356" spans="1:14" x14ac:dyDescent="0.25">
      <c r="A3356" s="170" t="s">
        <v>6091</v>
      </c>
      <c r="B3356" s="170" t="s">
        <v>6092</v>
      </c>
      <c r="C3356" s="170" t="s">
        <v>385</v>
      </c>
      <c r="D3356" s="170" t="s">
        <v>2067</v>
      </c>
      <c r="E3356" s="171" t="s">
        <v>23388</v>
      </c>
      <c r="F3356" s="171" t="s">
        <v>10391</v>
      </c>
      <c r="G3356" s="82"/>
      <c r="H3356" s="96">
        <f t="shared" si="208"/>
        <v>1.36</v>
      </c>
      <c r="I3356" s="96">
        <f t="shared" si="208"/>
        <v>1.43</v>
      </c>
      <c r="J3356" s="91" t="str">
        <f t="shared" si="209"/>
        <v>Sinapi 98287</v>
      </c>
      <c r="K3356" s="91" t="str">
        <f t="shared" si="210"/>
        <v>M</v>
      </c>
      <c r="L3356" s="166" t="str">
        <f t="shared" si="211"/>
        <v>11/2019</v>
      </c>
      <c r="M3356" s="82"/>
      <c r="N3356" s="82"/>
    </row>
    <row r="3357" spans="1:14" x14ac:dyDescent="0.25">
      <c r="A3357" s="170" t="s">
        <v>6094</v>
      </c>
      <c r="B3357" s="170" t="s">
        <v>6095</v>
      </c>
      <c r="C3357" s="170" t="s">
        <v>385</v>
      </c>
      <c r="D3357" s="170" t="s">
        <v>2067</v>
      </c>
      <c r="E3357" s="171" t="s">
        <v>19855</v>
      </c>
      <c r="F3357" s="171" t="s">
        <v>30552</v>
      </c>
      <c r="G3357" s="82"/>
      <c r="H3357" s="96">
        <f t="shared" si="208"/>
        <v>2.15</v>
      </c>
      <c r="I3357" s="96">
        <f t="shared" si="208"/>
        <v>2.2400000000000002</v>
      </c>
      <c r="J3357" s="91" t="str">
        <f t="shared" si="209"/>
        <v>Sinapi 98288</v>
      </c>
      <c r="K3357" s="91" t="str">
        <f t="shared" si="210"/>
        <v>M</v>
      </c>
      <c r="L3357" s="166" t="str">
        <f t="shared" si="211"/>
        <v>11/2019</v>
      </c>
      <c r="M3357" s="82"/>
      <c r="N3357" s="82"/>
    </row>
    <row r="3358" spans="1:14" x14ac:dyDescent="0.25">
      <c r="A3358" s="170" t="s">
        <v>6096</v>
      </c>
      <c r="B3358" s="170" t="s">
        <v>6097</v>
      </c>
      <c r="C3358" s="170" t="s">
        <v>385</v>
      </c>
      <c r="D3358" s="170" t="s">
        <v>2067</v>
      </c>
      <c r="E3358" s="171" t="s">
        <v>15577</v>
      </c>
      <c r="F3358" s="171" t="s">
        <v>15673</v>
      </c>
      <c r="G3358" s="82"/>
      <c r="H3358" s="96">
        <f t="shared" si="208"/>
        <v>2.35</v>
      </c>
      <c r="I3358" s="96">
        <f t="shared" si="208"/>
        <v>2.44</v>
      </c>
      <c r="J3358" s="91" t="str">
        <f t="shared" si="209"/>
        <v>Sinapi 98289</v>
      </c>
      <c r="K3358" s="91" t="str">
        <f t="shared" si="210"/>
        <v>M</v>
      </c>
      <c r="L3358" s="166" t="str">
        <f t="shared" si="211"/>
        <v>11/2019</v>
      </c>
      <c r="M3358" s="82"/>
      <c r="N3358" s="82"/>
    </row>
    <row r="3359" spans="1:14" x14ac:dyDescent="0.25">
      <c r="A3359" s="170" t="s">
        <v>6098</v>
      </c>
      <c r="B3359" s="170" t="s">
        <v>6099</v>
      </c>
      <c r="C3359" s="170" t="s">
        <v>385</v>
      </c>
      <c r="D3359" s="170" t="s">
        <v>2067</v>
      </c>
      <c r="E3359" s="171" t="s">
        <v>15759</v>
      </c>
      <c r="F3359" s="171" t="s">
        <v>7398</v>
      </c>
      <c r="G3359" s="82"/>
      <c r="H3359" s="96">
        <f t="shared" si="208"/>
        <v>3.2</v>
      </c>
      <c r="I3359" s="96">
        <f t="shared" si="208"/>
        <v>3.3</v>
      </c>
      <c r="J3359" s="91" t="str">
        <f t="shared" si="209"/>
        <v>Sinapi 98290</v>
      </c>
      <c r="K3359" s="91" t="str">
        <f t="shared" si="210"/>
        <v>M</v>
      </c>
      <c r="L3359" s="166" t="str">
        <f t="shared" si="211"/>
        <v>11/2019</v>
      </c>
      <c r="M3359" s="82"/>
      <c r="N3359" s="82"/>
    </row>
    <row r="3360" spans="1:14" x14ac:dyDescent="0.25">
      <c r="A3360" s="170" t="s">
        <v>6100</v>
      </c>
      <c r="B3360" s="170" t="s">
        <v>6101</v>
      </c>
      <c r="C3360" s="170" t="s">
        <v>385</v>
      </c>
      <c r="D3360" s="170" t="s">
        <v>2067</v>
      </c>
      <c r="E3360" s="171" t="s">
        <v>24158</v>
      </c>
      <c r="F3360" s="171" t="s">
        <v>22005</v>
      </c>
      <c r="G3360" s="82"/>
      <c r="H3360" s="96">
        <f t="shared" si="208"/>
        <v>3.78</v>
      </c>
      <c r="I3360" s="96">
        <f t="shared" si="208"/>
        <v>3.89</v>
      </c>
      <c r="J3360" s="91" t="str">
        <f t="shared" si="209"/>
        <v>Sinapi 98291</v>
      </c>
      <c r="K3360" s="91" t="str">
        <f t="shared" si="210"/>
        <v>M</v>
      </c>
      <c r="L3360" s="166" t="str">
        <f t="shared" si="211"/>
        <v>11/2019</v>
      </c>
      <c r="M3360" s="82"/>
      <c r="N3360" s="82"/>
    </row>
    <row r="3361" spans="1:14" x14ac:dyDescent="0.25">
      <c r="A3361" s="170" t="s">
        <v>6102</v>
      </c>
      <c r="B3361" s="170" t="s">
        <v>6103</v>
      </c>
      <c r="C3361" s="170" t="s">
        <v>385</v>
      </c>
      <c r="D3361" s="170" t="s">
        <v>2067</v>
      </c>
      <c r="E3361" s="171" t="s">
        <v>19374</v>
      </c>
      <c r="F3361" s="171" t="s">
        <v>21384</v>
      </c>
      <c r="G3361" s="82"/>
      <c r="H3361" s="96">
        <f t="shared" si="208"/>
        <v>4.55</v>
      </c>
      <c r="I3361" s="96">
        <f t="shared" si="208"/>
        <v>4.67</v>
      </c>
      <c r="J3361" s="91" t="str">
        <f t="shared" si="209"/>
        <v>Sinapi 98292</v>
      </c>
      <c r="K3361" s="91" t="str">
        <f t="shared" si="210"/>
        <v>M</v>
      </c>
      <c r="L3361" s="166" t="str">
        <f t="shared" si="211"/>
        <v>11/2019</v>
      </c>
      <c r="M3361" s="82"/>
      <c r="N3361" s="82"/>
    </row>
    <row r="3362" spans="1:14" x14ac:dyDescent="0.25">
      <c r="A3362" s="170" t="s">
        <v>6104</v>
      </c>
      <c r="B3362" s="170" t="s">
        <v>6105</v>
      </c>
      <c r="C3362" s="170" t="s">
        <v>385</v>
      </c>
      <c r="D3362" s="170" t="s">
        <v>2067</v>
      </c>
      <c r="E3362" s="171" t="s">
        <v>20356</v>
      </c>
      <c r="F3362" s="171" t="s">
        <v>14782</v>
      </c>
      <c r="G3362" s="82"/>
      <c r="H3362" s="96">
        <f t="shared" si="208"/>
        <v>8.36</v>
      </c>
      <c r="I3362" s="96">
        <f t="shared" si="208"/>
        <v>8.59</v>
      </c>
      <c r="J3362" s="91" t="str">
        <f t="shared" si="209"/>
        <v>Sinapi 98293</v>
      </c>
      <c r="K3362" s="91" t="str">
        <f t="shared" si="210"/>
        <v>M</v>
      </c>
      <c r="L3362" s="166" t="str">
        <f t="shared" si="211"/>
        <v>11/2019</v>
      </c>
      <c r="M3362" s="82"/>
      <c r="N3362" s="82"/>
    </row>
    <row r="3363" spans="1:14" x14ac:dyDescent="0.25">
      <c r="A3363" s="170" t="s">
        <v>6107</v>
      </c>
      <c r="B3363" s="170" t="s">
        <v>6108</v>
      </c>
      <c r="C3363" s="170" t="s">
        <v>385</v>
      </c>
      <c r="D3363" s="170" t="s">
        <v>2067</v>
      </c>
      <c r="E3363" s="171" t="s">
        <v>16289</v>
      </c>
      <c r="F3363" s="171" t="s">
        <v>21558</v>
      </c>
      <c r="G3363" s="82"/>
      <c r="H3363" s="96">
        <f t="shared" si="208"/>
        <v>12.74</v>
      </c>
      <c r="I3363" s="96">
        <f t="shared" si="208"/>
        <v>13.18</v>
      </c>
      <c r="J3363" s="91" t="str">
        <f t="shared" si="209"/>
        <v>Sinapi 98400</v>
      </c>
      <c r="K3363" s="91" t="str">
        <f t="shared" si="210"/>
        <v>M</v>
      </c>
      <c r="L3363" s="166" t="str">
        <f t="shared" si="211"/>
        <v>11/2019</v>
      </c>
      <c r="M3363" s="82"/>
      <c r="N3363" s="82"/>
    </row>
    <row r="3364" spans="1:14" x14ac:dyDescent="0.25">
      <c r="A3364" s="170" t="s">
        <v>6110</v>
      </c>
      <c r="B3364" s="170" t="s">
        <v>6111</v>
      </c>
      <c r="C3364" s="170" t="s">
        <v>385</v>
      </c>
      <c r="D3364" s="170" t="s">
        <v>2067</v>
      </c>
      <c r="E3364" s="171" t="s">
        <v>28684</v>
      </c>
      <c r="F3364" s="171" t="s">
        <v>19872</v>
      </c>
      <c r="G3364" s="82"/>
      <c r="H3364" s="96">
        <f t="shared" si="208"/>
        <v>19.96</v>
      </c>
      <c r="I3364" s="96">
        <f t="shared" si="208"/>
        <v>20.46</v>
      </c>
      <c r="J3364" s="91" t="str">
        <f t="shared" si="209"/>
        <v>Sinapi 98401</v>
      </c>
      <c r="K3364" s="91" t="str">
        <f t="shared" si="210"/>
        <v>M</v>
      </c>
      <c r="L3364" s="166" t="str">
        <f t="shared" si="211"/>
        <v>11/2019</v>
      </c>
      <c r="M3364" s="82"/>
      <c r="N3364" s="82"/>
    </row>
    <row r="3365" spans="1:14" x14ac:dyDescent="0.25">
      <c r="A3365" s="170" t="s">
        <v>6112</v>
      </c>
      <c r="B3365" s="170" t="s">
        <v>6113</v>
      </c>
      <c r="C3365" s="170" t="s">
        <v>385</v>
      </c>
      <c r="D3365" s="170" t="s">
        <v>2067</v>
      </c>
      <c r="E3365" s="171" t="s">
        <v>19929</v>
      </c>
      <c r="F3365" s="171" t="s">
        <v>18687</v>
      </c>
      <c r="G3365" s="82"/>
      <c r="H3365" s="96">
        <f t="shared" si="208"/>
        <v>23.29</v>
      </c>
      <c r="I3365" s="96">
        <f t="shared" si="208"/>
        <v>23.84</v>
      </c>
      <c r="J3365" s="91" t="str">
        <f t="shared" si="209"/>
        <v>Sinapi 98402</v>
      </c>
      <c r="K3365" s="91" t="str">
        <f t="shared" si="210"/>
        <v>M</v>
      </c>
      <c r="L3365" s="166" t="str">
        <f t="shared" si="211"/>
        <v>11/2019</v>
      </c>
      <c r="M3365" s="82"/>
      <c r="N3365" s="82"/>
    </row>
    <row r="3366" spans="1:14" x14ac:dyDescent="0.25">
      <c r="A3366" s="170" t="s">
        <v>6114</v>
      </c>
      <c r="B3366" s="170" t="s">
        <v>6115</v>
      </c>
      <c r="C3366" s="170" t="s">
        <v>205</v>
      </c>
      <c r="D3366" s="170" t="s">
        <v>2067</v>
      </c>
      <c r="E3366" s="171" t="s">
        <v>33378</v>
      </c>
      <c r="F3366" s="171" t="s">
        <v>28859</v>
      </c>
      <c r="G3366" s="82"/>
      <c r="H3366" s="96">
        <f t="shared" si="208"/>
        <v>40.549999999999997</v>
      </c>
      <c r="I3366" s="96">
        <f t="shared" si="208"/>
        <v>42.23</v>
      </c>
      <c r="J3366" s="91" t="str">
        <f t="shared" si="209"/>
        <v>Sinapi 100556</v>
      </c>
      <c r="K3366" s="91" t="str">
        <f t="shared" si="210"/>
        <v>UN</v>
      </c>
      <c r="L3366" s="166" t="str">
        <f t="shared" si="211"/>
        <v>11/2019</v>
      </c>
      <c r="M3366" s="82"/>
      <c r="N3366" s="82"/>
    </row>
    <row r="3367" spans="1:14" x14ac:dyDescent="0.25">
      <c r="A3367" s="170" t="s">
        <v>6116</v>
      </c>
      <c r="B3367" s="170" t="s">
        <v>6117</v>
      </c>
      <c r="C3367" s="170" t="s">
        <v>205</v>
      </c>
      <c r="D3367" s="170" t="s">
        <v>2067</v>
      </c>
      <c r="E3367" s="171" t="s">
        <v>33379</v>
      </c>
      <c r="F3367" s="171" t="s">
        <v>36597</v>
      </c>
      <c r="G3367" s="82"/>
      <c r="H3367" s="96">
        <f t="shared" si="208"/>
        <v>524.1</v>
      </c>
      <c r="I3367" s="96">
        <f t="shared" si="208"/>
        <v>529.07000000000005</v>
      </c>
      <c r="J3367" s="91" t="str">
        <f t="shared" si="209"/>
        <v>Sinapi 100557</v>
      </c>
      <c r="K3367" s="91" t="str">
        <f t="shared" si="210"/>
        <v>UN</v>
      </c>
      <c r="L3367" s="166" t="str">
        <f t="shared" si="211"/>
        <v>11/2019</v>
      </c>
      <c r="M3367" s="82"/>
      <c r="N3367" s="82"/>
    </row>
    <row r="3368" spans="1:14" x14ac:dyDescent="0.25">
      <c r="A3368" s="170" t="s">
        <v>6118</v>
      </c>
      <c r="B3368" s="170" t="s">
        <v>6119</v>
      </c>
      <c r="C3368" s="170" t="s">
        <v>205</v>
      </c>
      <c r="D3368" s="170" t="s">
        <v>2067</v>
      </c>
      <c r="E3368" s="171" t="s">
        <v>33380</v>
      </c>
      <c r="F3368" s="171" t="s">
        <v>36598</v>
      </c>
      <c r="G3368" s="82"/>
      <c r="H3368" s="96">
        <f t="shared" si="208"/>
        <v>111.24</v>
      </c>
      <c r="I3368" s="96">
        <f t="shared" si="208"/>
        <v>115.58</v>
      </c>
      <c r="J3368" s="91" t="str">
        <f t="shared" si="209"/>
        <v>Sinapi 100560</v>
      </c>
      <c r="K3368" s="91" t="str">
        <f t="shared" si="210"/>
        <v>UN</v>
      </c>
      <c r="L3368" s="166" t="str">
        <f t="shared" si="211"/>
        <v>11/2019</v>
      </c>
      <c r="M3368" s="82"/>
      <c r="N3368" s="82"/>
    </row>
    <row r="3369" spans="1:14" x14ac:dyDescent="0.25">
      <c r="A3369" s="170" t="s">
        <v>6120</v>
      </c>
      <c r="B3369" s="170" t="s">
        <v>6121</v>
      </c>
      <c r="C3369" s="170" t="s">
        <v>205</v>
      </c>
      <c r="D3369" s="170" t="s">
        <v>2067</v>
      </c>
      <c r="E3369" s="171" t="s">
        <v>29121</v>
      </c>
      <c r="F3369" s="171" t="s">
        <v>36599</v>
      </c>
      <c r="G3369" s="82"/>
      <c r="H3369" s="96">
        <f t="shared" si="208"/>
        <v>207.81</v>
      </c>
      <c r="I3369" s="96">
        <f t="shared" si="208"/>
        <v>212.77</v>
      </c>
      <c r="J3369" s="91" t="str">
        <f t="shared" si="209"/>
        <v>Sinapi 100561</v>
      </c>
      <c r="K3369" s="91" t="str">
        <f t="shared" si="210"/>
        <v>UN</v>
      </c>
      <c r="L3369" s="166" t="str">
        <f t="shared" si="211"/>
        <v>11/2019</v>
      </c>
      <c r="M3369" s="82"/>
      <c r="N3369" s="82"/>
    </row>
    <row r="3370" spans="1:14" x14ac:dyDescent="0.25">
      <c r="A3370" s="170" t="s">
        <v>6122</v>
      </c>
      <c r="B3370" s="170" t="s">
        <v>6123</v>
      </c>
      <c r="C3370" s="170" t="s">
        <v>205</v>
      </c>
      <c r="D3370" s="170" t="s">
        <v>2067</v>
      </c>
      <c r="E3370" s="171" t="s">
        <v>32649</v>
      </c>
      <c r="F3370" s="171" t="s">
        <v>36600</v>
      </c>
      <c r="G3370" s="82"/>
      <c r="H3370" s="96">
        <f t="shared" si="208"/>
        <v>325.39999999999998</v>
      </c>
      <c r="I3370" s="96">
        <f t="shared" si="208"/>
        <v>331.04</v>
      </c>
      <c r="J3370" s="91" t="str">
        <f t="shared" si="209"/>
        <v>Sinapi 100562</v>
      </c>
      <c r="K3370" s="91" t="str">
        <f t="shared" si="210"/>
        <v>UN</v>
      </c>
      <c r="L3370" s="166" t="str">
        <f t="shared" si="211"/>
        <v>11/2019</v>
      </c>
      <c r="M3370" s="82"/>
      <c r="N3370" s="82"/>
    </row>
    <row r="3371" spans="1:14" x14ac:dyDescent="0.25">
      <c r="A3371" s="170" t="s">
        <v>6124</v>
      </c>
      <c r="B3371" s="170" t="s">
        <v>6125</v>
      </c>
      <c r="C3371" s="170" t="s">
        <v>205</v>
      </c>
      <c r="D3371" s="170" t="s">
        <v>2067</v>
      </c>
      <c r="E3371" s="171" t="s">
        <v>33381</v>
      </c>
      <c r="F3371" s="171" t="s">
        <v>36601</v>
      </c>
      <c r="G3371" s="82"/>
      <c r="H3371" s="96">
        <f t="shared" si="208"/>
        <v>472.41</v>
      </c>
      <c r="I3371" s="96">
        <f t="shared" si="208"/>
        <v>478.84</v>
      </c>
      <c r="J3371" s="91" t="str">
        <f t="shared" si="209"/>
        <v>Sinapi 100563</v>
      </c>
      <c r="K3371" s="91" t="str">
        <f t="shared" si="210"/>
        <v>UN</v>
      </c>
      <c r="L3371" s="166" t="str">
        <f t="shared" si="211"/>
        <v>11/2019</v>
      </c>
      <c r="M3371" s="82"/>
      <c r="N3371" s="82"/>
    </row>
    <row r="3372" spans="1:14" x14ac:dyDescent="0.25">
      <c r="A3372" s="170" t="s">
        <v>12615</v>
      </c>
      <c r="B3372" s="170" t="s">
        <v>12616</v>
      </c>
      <c r="C3372" s="170" t="s">
        <v>205</v>
      </c>
      <c r="D3372" s="170" t="s">
        <v>1947</v>
      </c>
      <c r="E3372" s="171" t="s">
        <v>33382</v>
      </c>
      <c r="F3372" s="171" t="s">
        <v>36602</v>
      </c>
      <c r="G3372" s="82"/>
      <c r="H3372" s="96">
        <f t="shared" si="208"/>
        <v>702.1</v>
      </c>
      <c r="I3372" s="96">
        <f t="shared" si="208"/>
        <v>728.96</v>
      </c>
      <c r="J3372" s="91" t="str">
        <f t="shared" si="209"/>
        <v>Sinapi 101795</v>
      </c>
      <c r="K3372" s="91" t="str">
        <f t="shared" si="210"/>
        <v>UN</v>
      </c>
      <c r="L3372" s="166" t="str">
        <f t="shared" si="211"/>
        <v>12/2020</v>
      </c>
      <c r="M3372" s="82"/>
      <c r="N3372" s="82"/>
    </row>
    <row r="3373" spans="1:14" x14ac:dyDescent="0.25">
      <c r="A3373" s="170" t="s">
        <v>12617</v>
      </c>
      <c r="B3373" s="170" t="s">
        <v>12618</v>
      </c>
      <c r="C3373" s="170" t="s">
        <v>205</v>
      </c>
      <c r="D3373" s="170" t="s">
        <v>1947</v>
      </c>
      <c r="E3373" s="171" t="s">
        <v>33383</v>
      </c>
      <c r="F3373" s="171" t="s">
        <v>36603</v>
      </c>
      <c r="G3373" s="82"/>
      <c r="H3373" s="96">
        <f t="shared" si="208"/>
        <v>363.97</v>
      </c>
      <c r="I3373" s="96">
        <f t="shared" si="208"/>
        <v>368.38</v>
      </c>
      <c r="J3373" s="91" t="str">
        <f t="shared" si="209"/>
        <v>Sinapi 101798</v>
      </c>
      <c r="K3373" s="91" t="str">
        <f t="shared" si="210"/>
        <v>UN</v>
      </c>
      <c r="L3373" s="166" t="str">
        <f t="shared" si="211"/>
        <v>12/2020</v>
      </c>
      <c r="M3373" s="82"/>
      <c r="N3373" s="82"/>
    </row>
    <row r="3374" spans="1:14" x14ac:dyDescent="0.25">
      <c r="A3374" s="170" t="s">
        <v>12619</v>
      </c>
      <c r="B3374" s="170" t="s">
        <v>12620</v>
      </c>
      <c r="C3374" s="170" t="s">
        <v>205</v>
      </c>
      <c r="D3374" s="170" t="s">
        <v>1947</v>
      </c>
      <c r="E3374" s="171" t="s">
        <v>33384</v>
      </c>
      <c r="F3374" s="171" t="s">
        <v>36604</v>
      </c>
      <c r="G3374" s="82"/>
      <c r="H3374" s="96">
        <f t="shared" si="208"/>
        <v>885.87</v>
      </c>
      <c r="I3374" s="96">
        <f t="shared" si="208"/>
        <v>893.13</v>
      </c>
      <c r="J3374" s="91" t="str">
        <f t="shared" si="209"/>
        <v>Sinapi 101799</v>
      </c>
      <c r="K3374" s="91" t="str">
        <f t="shared" si="210"/>
        <v>UN</v>
      </c>
      <c r="L3374" s="166" t="str">
        <f t="shared" si="211"/>
        <v>12/2020</v>
      </c>
      <c r="M3374" s="82"/>
      <c r="N3374" s="82"/>
    </row>
    <row r="3375" spans="1:14" x14ac:dyDescent="0.25">
      <c r="A3375" s="170" t="s">
        <v>6126</v>
      </c>
      <c r="B3375" s="170" t="s">
        <v>6127</v>
      </c>
      <c r="C3375" s="170" t="s">
        <v>870</v>
      </c>
      <c r="D3375" s="170" t="s">
        <v>2067</v>
      </c>
      <c r="E3375" s="171" t="s">
        <v>19862</v>
      </c>
      <c r="F3375" s="171" t="s">
        <v>19911</v>
      </c>
      <c r="G3375" s="82"/>
      <c r="H3375" s="96">
        <f t="shared" si="208"/>
        <v>11.11</v>
      </c>
      <c r="I3375" s="96">
        <f t="shared" si="208"/>
        <v>11.78</v>
      </c>
      <c r="J3375" s="91" t="str">
        <f t="shared" si="209"/>
        <v>Sinapi 98397</v>
      </c>
      <c r="K3375" s="91" t="str">
        <f t="shared" si="210"/>
        <v>M2</v>
      </c>
      <c r="L3375" s="166" t="str">
        <f t="shared" si="211"/>
        <v>04/2018</v>
      </c>
      <c r="M3375" s="82"/>
      <c r="N3375" s="82"/>
    </row>
    <row r="3376" spans="1:14" x14ac:dyDescent="0.25">
      <c r="A3376" s="170" t="s">
        <v>14852</v>
      </c>
      <c r="B3376" s="170" t="s">
        <v>18256</v>
      </c>
      <c r="C3376" s="170" t="s">
        <v>205</v>
      </c>
      <c r="D3376" s="170" t="s">
        <v>1947</v>
      </c>
      <c r="E3376" s="171" t="s">
        <v>33385</v>
      </c>
      <c r="F3376" s="171" t="s">
        <v>36605</v>
      </c>
      <c r="G3376" s="82"/>
      <c r="H3376" s="96">
        <f t="shared" si="208"/>
        <v>2825.64</v>
      </c>
      <c r="I3376" s="96">
        <f t="shared" si="208"/>
        <v>2837.14</v>
      </c>
      <c r="J3376" s="91" t="str">
        <f t="shared" si="209"/>
        <v>Sinapi 103244</v>
      </c>
      <c r="K3376" s="91" t="str">
        <f t="shared" si="210"/>
        <v>UN</v>
      </c>
      <c r="L3376" s="166" t="str">
        <f t="shared" si="211"/>
        <v>11/2021</v>
      </c>
      <c r="M3376" s="82"/>
      <c r="N3376" s="82"/>
    </row>
    <row r="3377" spans="1:14" x14ac:dyDescent="0.25">
      <c r="A3377" s="170" t="s">
        <v>14853</v>
      </c>
      <c r="B3377" s="170" t="s">
        <v>18257</v>
      </c>
      <c r="C3377" s="170" t="s">
        <v>205</v>
      </c>
      <c r="D3377" s="170" t="s">
        <v>1947</v>
      </c>
      <c r="E3377" s="171" t="s">
        <v>33386</v>
      </c>
      <c r="F3377" s="171" t="s">
        <v>36606</v>
      </c>
      <c r="G3377" s="82"/>
      <c r="H3377" s="96">
        <f t="shared" si="208"/>
        <v>2216.96</v>
      </c>
      <c r="I3377" s="96">
        <f t="shared" si="208"/>
        <v>2228.46</v>
      </c>
      <c r="J3377" s="91" t="str">
        <f t="shared" si="209"/>
        <v>Sinapi 103245</v>
      </c>
      <c r="K3377" s="91" t="str">
        <f t="shared" si="210"/>
        <v>UN</v>
      </c>
      <c r="L3377" s="166" t="str">
        <f t="shared" si="211"/>
        <v>11/2021</v>
      </c>
      <c r="M3377" s="82"/>
      <c r="N3377" s="82"/>
    </row>
    <row r="3378" spans="1:14" x14ac:dyDescent="0.25">
      <c r="A3378" s="170" t="s">
        <v>14854</v>
      </c>
      <c r="B3378" s="170" t="s">
        <v>18258</v>
      </c>
      <c r="C3378" s="170" t="s">
        <v>205</v>
      </c>
      <c r="D3378" s="170" t="s">
        <v>1947</v>
      </c>
      <c r="E3378" s="171" t="s">
        <v>33387</v>
      </c>
      <c r="F3378" s="171" t="s">
        <v>36607</v>
      </c>
      <c r="G3378" s="82"/>
      <c r="H3378" s="96">
        <f t="shared" si="208"/>
        <v>2422.81</v>
      </c>
      <c r="I3378" s="96">
        <f t="shared" si="208"/>
        <v>2434.31</v>
      </c>
      <c r="J3378" s="91" t="str">
        <f t="shared" si="209"/>
        <v>Sinapi 103246</v>
      </c>
      <c r="K3378" s="91" t="str">
        <f t="shared" si="210"/>
        <v>UN</v>
      </c>
      <c r="L3378" s="166" t="str">
        <f t="shared" si="211"/>
        <v>11/2021</v>
      </c>
      <c r="M3378" s="82"/>
      <c r="N3378" s="82"/>
    </row>
    <row r="3379" spans="1:14" x14ac:dyDescent="0.25">
      <c r="A3379" s="170" t="s">
        <v>14855</v>
      </c>
      <c r="B3379" s="170" t="s">
        <v>18259</v>
      </c>
      <c r="C3379" s="170" t="s">
        <v>205</v>
      </c>
      <c r="D3379" s="170" t="s">
        <v>1947</v>
      </c>
      <c r="E3379" s="171" t="s">
        <v>33388</v>
      </c>
      <c r="F3379" s="171" t="s">
        <v>36608</v>
      </c>
      <c r="G3379" s="82"/>
      <c r="H3379" s="96">
        <f t="shared" si="208"/>
        <v>3142.23</v>
      </c>
      <c r="I3379" s="96">
        <f t="shared" si="208"/>
        <v>3153.73</v>
      </c>
      <c r="J3379" s="91" t="str">
        <f t="shared" si="209"/>
        <v>Sinapi 103247</v>
      </c>
      <c r="K3379" s="91" t="str">
        <f t="shared" si="210"/>
        <v>UN</v>
      </c>
      <c r="L3379" s="166" t="str">
        <f t="shared" si="211"/>
        <v>11/2021</v>
      </c>
      <c r="M3379" s="82"/>
      <c r="N3379" s="82"/>
    </row>
    <row r="3380" spans="1:14" x14ac:dyDescent="0.25">
      <c r="A3380" s="170" t="s">
        <v>14856</v>
      </c>
      <c r="B3380" s="170" t="s">
        <v>18260</v>
      </c>
      <c r="C3380" s="170" t="s">
        <v>205</v>
      </c>
      <c r="D3380" s="170" t="s">
        <v>1947</v>
      </c>
      <c r="E3380" s="171" t="s">
        <v>33389</v>
      </c>
      <c r="F3380" s="171" t="s">
        <v>36609</v>
      </c>
      <c r="G3380" s="82"/>
      <c r="H3380" s="96">
        <f t="shared" si="208"/>
        <v>2557.59</v>
      </c>
      <c r="I3380" s="96">
        <f t="shared" si="208"/>
        <v>2569.09</v>
      </c>
      <c r="J3380" s="91" t="str">
        <f t="shared" si="209"/>
        <v>Sinapi 103248</v>
      </c>
      <c r="K3380" s="91" t="str">
        <f t="shared" si="210"/>
        <v>UN</v>
      </c>
      <c r="L3380" s="166" t="str">
        <f t="shared" si="211"/>
        <v>11/2021</v>
      </c>
      <c r="M3380" s="82"/>
      <c r="N3380" s="82"/>
    </row>
    <row r="3381" spans="1:14" x14ac:dyDescent="0.25">
      <c r="A3381" s="170" t="s">
        <v>14857</v>
      </c>
      <c r="B3381" s="170" t="s">
        <v>18261</v>
      </c>
      <c r="C3381" s="170" t="s">
        <v>205</v>
      </c>
      <c r="D3381" s="170" t="s">
        <v>1947</v>
      </c>
      <c r="E3381" s="171" t="s">
        <v>33390</v>
      </c>
      <c r="F3381" s="171" t="s">
        <v>36610</v>
      </c>
      <c r="G3381" s="82"/>
      <c r="H3381" s="96">
        <f t="shared" si="208"/>
        <v>2751.85</v>
      </c>
      <c r="I3381" s="96">
        <f t="shared" si="208"/>
        <v>2763.35</v>
      </c>
      <c r="J3381" s="91" t="str">
        <f t="shared" si="209"/>
        <v>Sinapi 103249</v>
      </c>
      <c r="K3381" s="91" t="str">
        <f t="shared" si="210"/>
        <v>UN</v>
      </c>
      <c r="L3381" s="166" t="str">
        <f t="shared" si="211"/>
        <v>11/2021</v>
      </c>
      <c r="M3381" s="82"/>
      <c r="N3381" s="82"/>
    </row>
    <row r="3382" spans="1:14" x14ac:dyDescent="0.25">
      <c r="A3382" s="170" t="s">
        <v>14858</v>
      </c>
      <c r="B3382" s="170" t="s">
        <v>18262</v>
      </c>
      <c r="C3382" s="170" t="s">
        <v>205</v>
      </c>
      <c r="D3382" s="170" t="s">
        <v>1947</v>
      </c>
      <c r="E3382" s="171" t="s">
        <v>33391</v>
      </c>
      <c r="F3382" s="171" t="s">
        <v>36611</v>
      </c>
      <c r="G3382" s="82"/>
      <c r="H3382" s="96">
        <f t="shared" si="208"/>
        <v>4585.28</v>
      </c>
      <c r="I3382" s="96">
        <f t="shared" si="208"/>
        <v>4597.72</v>
      </c>
      <c r="J3382" s="91" t="str">
        <f t="shared" si="209"/>
        <v>Sinapi 103250</v>
      </c>
      <c r="K3382" s="91" t="str">
        <f t="shared" si="210"/>
        <v>UN</v>
      </c>
      <c r="L3382" s="166" t="str">
        <f t="shared" si="211"/>
        <v>11/2021</v>
      </c>
      <c r="M3382" s="82"/>
      <c r="N3382" s="82"/>
    </row>
    <row r="3383" spans="1:14" x14ac:dyDescent="0.25">
      <c r="A3383" s="170" t="s">
        <v>14859</v>
      </c>
      <c r="B3383" s="170" t="s">
        <v>18263</v>
      </c>
      <c r="C3383" s="170" t="s">
        <v>205</v>
      </c>
      <c r="D3383" s="170" t="s">
        <v>1947</v>
      </c>
      <c r="E3383" s="171" t="s">
        <v>33392</v>
      </c>
      <c r="F3383" s="171" t="s">
        <v>36612</v>
      </c>
      <c r="G3383" s="82"/>
      <c r="H3383" s="96">
        <f t="shared" si="208"/>
        <v>3608.84</v>
      </c>
      <c r="I3383" s="96">
        <f t="shared" si="208"/>
        <v>3621.28</v>
      </c>
      <c r="J3383" s="91" t="str">
        <f t="shared" si="209"/>
        <v>Sinapi 103251</v>
      </c>
      <c r="K3383" s="91" t="str">
        <f t="shared" si="210"/>
        <v>UN</v>
      </c>
      <c r="L3383" s="166" t="str">
        <f t="shared" si="211"/>
        <v>11/2021</v>
      </c>
      <c r="M3383" s="82"/>
      <c r="N3383" s="82"/>
    </row>
    <row r="3384" spans="1:14" x14ac:dyDescent="0.25">
      <c r="A3384" s="170" t="s">
        <v>14860</v>
      </c>
      <c r="B3384" s="170" t="s">
        <v>18264</v>
      </c>
      <c r="C3384" s="170" t="s">
        <v>205</v>
      </c>
      <c r="D3384" s="170" t="s">
        <v>1947</v>
      </c>
      <c r="E3384" s="171" t="s">
        <v>33393</v>
      </c>
      <c r="F3384" s="171" t="s">
        <v>36613</v>
      </c>
      <c r="G3384" s="82"/>
      <c r="H3384" s="96">
        <f t="shared" si="208"/>
        <v>4002.61</v>
      </c>
      <c r="I3384" s="96">
        <f t="shared" si="208"/>
        <v>4015.05</v>
      </c>
      <c r="J3384" s="91" t="str">
        <f t="shared" si="209"/>
        <v>Sinapi 103252</v>
      </c>
      <c r="K3384" s="91" t="str">
        <f t="shared" si="210"/>
        <v>UN</v>
      </c>
      <c r="L3384" s="166" t="str">
        <f t="shared" si="211"/>
        <v>11/2021</v>
      </c>
      <c r="M3384" s="82"/>
      <c r="N3384" s="82"/>
    </row>
    <row r="3385" spans="1:14" x14ac:dyDescent="0.25">
      <c r="A3385" s="170" t="s">
        <v>14861</v>
      </c>
      <c r="B3385" s="170" t="s">
        <v>18265</v>
      </c>
      <c r="C3385" s="170" t="s">
        <v>205</v>
      </c>
      <c r="D3385" s="170" t="s">
        <v>1947</v>
      </c>
      <c r="E3385" s="171" t="s">
        <v>33394</v>
      </c>
      <c r="F3385" s="171" t="s">
        <v>36614</v>
      </c>
      <c r="G3385" s="82"/>
      <c r="H3385" s="96">
        <f t="shared" si="208"/>
        <v>6269.77</v>
      </c>
      <c r="I3385" s="96">
        <f t="shared" si="208"/>
        <v>6282.75</v>
      </c>
      <c r="J3385" s="91" t="str">
        <f t="shared" si="209"/>
        <v>Sinapi 103253</v>
      </c>
      <c r="K3385" s="91" t="str">
        <f t="shared" si="210"/>
        <v>UN</v>
      </c>
      <c r="L3385" s="166" t="str">
        <f t="shared" si="211"/>
        <v>11/2021</v>
      </c>
      <c r="M3385" s="82"/>
      <c r="N3385" s="82"/>
    </row>
    <row r="3386" spans="1:14" x14ac:dyDescent="0.25">
      <c r="A3386" s="170" t="s">
        <v>14862</v>
      </c>
      <c r="B3386" s="170" t="s">
        <v>18266</v>
      </c>
      <c r="C3386" s="170" t="s">
        <v>205</v>
      </c>
      <c r="D3386" s="170" t="s">
        <v>1947</v>
      </c>
      <c r="E3386" s="171" t="s">
        <v>33395</v>
      </c>
      <c r="F3386" s="171" t="s">
        <v>36615</v>
      </c>
      <c r="G3386" s="82"/>
      <c r="H3386" s="96">
        <f t="shared" si="208"/>
        <v>4673.3999999999996</v>
      </c>
      <c r="I3386" s="96">
        <f t="shared" si="208"/>
        <v>4686.38</v>
      </c>
      <c r="J3386" s="91" t="str">
        <f t="shared" si="209"/>
        <v>Sinapi 103254</v>
      </c>
      <c r="K3386" s="91" t="str">
        <f t="shared" si="210"/>
        <v>UN</v>
      </c>
      <c r="L3386" s="166" t="str">
        <f t="shared" si="211"/>
        <v>11/2021</v>
      </c>
      <c r="M3386" s="82"/>
      <c r="N3386" s="82"/>
    </row>
    <row r="3387" spans="1:14" x14ac:dyDescent="0.25">
      <c r="A3387" s="170" t="s">
        <v>14863</v>
      </c>
      <c r="B3387" s="170" t="s">
        <v>18267</v>
      </c>
      <c r="C3387" s="170" t="s">
        <v>205</v>
      </c>
      <c r="D3387" s="170" t="s">
        <v>1947</v>
      </c>
      <c r="E3387" s="171" t="s">
        <v>33396</v>
      </c>
      <c r="F3387" s="171" t="s">
        <v>36616</v>
      </c>
      <c r="G3387" s="82"/>
      <c r="H3387" s="96">
        <f t="shared" si="208"/>
        <v>5236.6400000000003</v>
      </c>
      <c r="I3387" s="96">
        <f t="shared" si="208"/>
        <v>5249.62</v>
      </c>
      <c r="J3387" s="91" t="str">
        <f t="shared" si="209"/>
        <v>Sinapi 103255</v>
      </c>
      <c r="K3387" s="91" t="str">
        <f t="shared" si="210"/>
        <v>UN</v>
      </c>
      <c r="L3387" s="166" t="str">
        <f t="shared" si="211"/>
        <v>11/2021</v>
      </c>
      <c r="M3387" s="82"/>
      <c r="N3387" s="82"/>
    </row>
    <row r="3388" spans="1:14" x14ac:dyDescent="0.25">
      <c r="A3388" s="170" t="s">
        <v>14864</v>
      </c>
      <c r="B3388" s="170" t="s">
        <v>18268</v>
      </c>
      <c r="C3388" s="170" t="s">
        <v>205</v>
      </c>
      <c r="D3388" s="170" t="s">
        <v>1947</v>
      </c>
      <c r="E3388" s="171" t="s">
        <v>33397</v>
      </c>
      <c r="F3388" s="171" t="s">
        <v>36617</v>
      </c>
      <c r="G3388" s="82"/>
      <c r="H3388" s="96">
        <f t="shared" si="208"/>
        <v>11668.53</v>
      </c>
      <c r="I3388" s="96">
        <f t="shared" si="208"/>
        <v>11687.61</v>
      </c>
      <c r="J3388" s="91" t="str">
        <f t="shared" si="209"/>
        <v>Sinapi 103256</v>
      </c>
      <c r="K3388" s="91" t="str">
        <f t="shared" si="210"/>
        <v>UN</v>
      </c>
      <c r="L3388" s="166" t="str">
        <f t="shared" si="211"/>
        <v>11/2021</v>
      </c>
      <c r="M3388" s="82"/>
      <c r="N3388" s="82"/>
    </row>
    <row r="3389" spans="1:14" x14ac:dyDescent="0.25">
      <c r="A3389" s="170" t="s">
        <v>14865</v>
      </c>
      <c r="B3389" s="170" t="s">
        <v>18269</v>
      </c>
      <c r="C3389" s="170" t="s">
        <v>205</v>
      </c>
      <c r="D3389" s="170" t="s">
        <v>1947</v>
      </c>
      <c r="E3389" s="171" t="s">
        <v>33398</v>
      </c>
      <c r="F3389" s="171" t="s">
        <v>36618</v>
      </c>
      <c r="G3389" s="82"/>
      <c r="H3389" s="96">
        <f t="shared" si="208"/>
        <v>6630.04</v>
      </c>
      <c r="I3389" s="96">
        <f t="shared" si="208"/>
        <v>6649.12</v>
      </c>
      <c r="J3389" s="91" t="str">
        <f t="shared" si="209"/>
        <v>Sinapi 103257</v>
      </c>
      <c r="K3389" s="91" t="str">
        <f t="shared" si="210"/>
        <v>UN</v>
      </c>
      <c r="L3389" s="166" t="str">
        <f t="shared" si="211"/>
        <v>11/2021</v>
      </c>
      <c r="M3389" s="82"/>
      <c r="N3389" s="82"/>
    </row>
    <row r="3390" spans="1:14" x14ac:dyDescent="0.25">
      <c r="A3390" s="170" t="s">
        <v>14866</v>
      </c>
      <c r="B3390" s="170" t="s">
        <v>18270</v>
      </c>
      <c r="C3390" s="170" t="s">
        <v>205</v>
      </c>
      <c r="D3390" s="170" t="s">
        <v>1947</v>
      </c>
      <c r="E3390" s="171" t="s">
        <v>33399</v>
      </c>
      <c r="F3390" s="171" t="s">
        <v>36619</v>
      </c>
      <c r="G3390" s="82"/>
      <c r="H3390" s="96">
        <f t="shared" si="208"/>
        <v>13053.41</v>
      </c>
      <c r="I3390" s="96">
        <f t="shared" si="208"/>
        <v>13073</v>
      </c>
      <c r="J3390" s="91" t="str">
        <f t="shared" si="209"/>
        <v>Sinapi 103258</v>
      </c>
      <c r="K3390" s="91" t="str">
        <f t="shared" si="210"/>
        <v>UN</v>
      </c>
      <c r="L3390" s="166" t="str">
        <f t="shared" si="211"/>
        <v>11/2021</v>
      </c>
      <c r="M3390" s="82"/>
      <c r="N3390" s="82"/>
    </row>
    <row r="3391" spans="1:14" x14ac:dyDescent="0.25">
      <c r="A3391" s="170" t="s">
        <v>14867</v>
      </c>
      <c r="B3391" s="170" t="s">
        <v>18271</v>
      </c>
      <c r="C3391" s="170" t="s">
        <v>205</v>
      </c>
      <c r="D3391" s="170" t="s">
        <v>1947</v>
      </c>
      <c r="E3391" s="171" t="s">
        <v>33400</v>
      </c>
      <c r="F3391" s="171" t="s">
        <v>36620</v>
      </c>
      <c r="G3391" s="82"/>
      <c r="H3391" s="96">
        <f t="shared" si="208"/>
        <v>6992.28</v>
      </c>
      <c r="I3391" s="96">
        <f t="shared" si="208"/>
        <v>7011.87</v>
      </c>
      <c r="J3391" s="91" t="str">
        <f t="shared" si="209"/>
        <v>Sinapi 103259</v>
      </c>
      <c r="K3391" s="91" t="str">
        <f t="shared" si="210"/>
        <v>UN</v>
      </c>
      <c r="L3391" s="166" t="str">
        <f t="shared" si="211"/>
        <v>11/2021</v>
      </c>
      <c r="M3391" s="82"/>
      <c r="N3391" s="82"/>
    </row>
    <row r="3392" spans="1:14" x14ac:dyDescent="0.25">
      <c r="A3392" s="170" t="s">
        <v>14868</v>
      </c>
      <c r="B3392" s="170" t="s">
        <v>18272</v>
      </c>
      <c r="C3392" s="170" t="s">
        <v>205</v>
      </c>
      <c r="D3392" s="170" t="s">
        <v>1947</v>
      </c>
      <c r="E3392" s="171" t="s">
        <v>33401</v>
      </c>
      <c r="F3392" s="171" t="s">
        <v>36621</v>
      </c>
      <c r="G3392" s="82"/>
      <c r="H3392" s="96">
        <f t="shared" si="208"/>
        <v>7185.16</v>
      </c>
      <c r="I3392" s="96">
        <f t="shared" si="208"/>
        <v>7204.75</v>
      </c>
      <c r="J3392" s="91" t="str">
        <f t="shared" si="209"/>
        <v>Sinapi 103260</v>
      </c>
      <c r="K3392" s="91" t="str">
        <f t="shared" si="210"/>
        <v>UN</v>
      </c>
      <c r="L3392" s="166" t="str">
        <f t="shared" si="211"/>
        <v>11/2021</v>
      </c>
      <c r="M3392" s="82"/>
      <c r="N3392" s="82"/>
    </row>
    <row r="3393" spans="1:14" x14ac:dyDescent="0.25">
      <c r="A3393" s="170" t="s">
        <v>14869</v>
      </c>
      <c r="B3393" s="170" t="s">
        <v>18273</v>
      </c>
      <c r="C3393" s="170" t="s">
        <v>205</v>
      </c>
      <c r="D3393" s="170" t="s">
        <v>1947</v>
      </c>
      <c r="E3393" s="171" t="s">
        <v>33402</v>
      </c>
      <c r="F3393" s="171" t="s">
        <v>36622</v>
      </c>
      <c r="G3393" s="82"/>
      <c r="H3393" s="96">
        <f t="shared" si="208"/>
        <v>14729.2</v>
      </c>
      <c r="I3393" s="96">
        <f t="shared" si="208"/>
        <v>14750.7</v>
      </c>
      <c r="J3393" s="91" t="str">
        <f t="shared" si="209"/>
        <v>Sinapi 103261</v>
      </c>
      <c r="K3393" s="91" t="str">
        <f t="shared" si="210"/>
        <v>UN</v>
      </c>
      <c r="L3393" s="166" t="str">
        <f t="shared" si="211"/>
        <v>11/2021</v>
      </c>
      <c r="M3393" s="82"/>
      <c r="N3393" s="82"/>
    </row>
    <row r="3394" spans="1:14" x14ac:dyDescent="0.25">
      <c r="A3394" s="170" t="s">
        <v>14870</v>
      </c>
      <c r="B3394" s="170" t="s">
        <v>18274</v>
      </c>
      <c r="C3394" s="170" t="s">
        <v>205</v>
      </c>
      <c r="D3394" s="170" t="s">
        <v>1947</v>
      </c>
      <c r="E3394" s="171" t="s">
        <v>33403</v>
      </c>
      <c r="F3394" s="171" t="s">
        <v>36623</v>
      </c>
      <c r="G3394" s="82"/>
      <c r="H3394" s="96">
        <f t="shared" si="208"/>
        <v>9206.69</v>
      </c>
      <c r="I3394" s="96">
        <f t="shared" si="208"/>
        <v>9228.19</v>
      </c>
      <c r="J3394" s="91" t="str">
        <f t="shared" si="209"/>
        <v>Sinapi 103262</v>
      </c>
      <c r="K3394" s="91" t="str">
        <f t="shared" si="210"/>
        <v>UN</v>
      </c>
      <c r="L3394" s="166" t="str">
        <f t="shared" si="211"/>
        <v>11/2021</v>
      </c>
      <c r="M3394" s="82"/>
      <c r="N3394" s="82"/>
    </row>
    <row r="3395" spans="1:14" x14ac:dyDescent="0.25">
      <c r="A3395" s="170" t="s">
        <v>14871</v>
      </c>
      <c r="B3395" s="170" t="s">
        <v>18275</v>
      </c>
      <c r="C3395" s="170" t="s">
        <v>205</v>
      </c>
      <c r="D3395" s="170" t="s">
        <v>1947</v>
      </c>
      <c r="E3395" s="171" t="s">
        <v>33404</v>
      </c>
      <c r="F3395" s="171" t="s">
        <v>36624</v>
      </c>
      <c r="G3395" s="82"/>
      <c r="H3395" s="96">
        <f t="shared" si="208"/>
        <v>20401.490000000002</v>
      </c>
      <c r="I3395" s="96">
        <f t="shared" si="208"/>
        <v>20429.46</v>
      </c>
      <c r="J3395" s="91" t="str">
        <f t="shared" si="209"/>
        <v>Sinapi 103263</v>
      </c>
      <c r="K3395" s="91" t="str">
        <f t="shared" si="210"/>
        <v>UN</v>
      </c>
      <c r="L3395" s="166" t="str">
        <f t="shared" si="211"/>
        <v>11/2021</v>
      </c>
      <c r="M3395" s="82"/>
      <c r="N3395" s="82"/>
    </row>
    <row r="3396" spans="1:14" x14ac:dyDescent="0.25">
      <c r="A3396" s="170" t="s">
        <v>14872</v>
      </c>
      <c r="B3396" s="170" t="s">
        <v>18276</v>
      </c>
      <c r="C3396" s="170" t="s">
        <v>205</v>
      </c>
      <c r="D3396" s="170" t="s">
        <v>1947</v>
      </c>
      <c r="E3396" s="171" t="s">
        <v>33405</v>
      </c>
      <c r="F3396" s="171" t="s">
        <v>36625</v>
      </c>
      <c r="G3396" s="82"/>
      <c r="H3396" s="96">
        <f t="shared" si="208"/>
        <v>11359.57</v>
      </c>
      <c r="I3396" s="96">
        <f t="shared" si="208"/>
        <v>11387.54</v>
      </c>
      <c r="J3396" s="91" t="str">
        <f t="shared" si="209"/>
        <v>Sinapi 103264</v>
      </c>
      <c r="K3396" s="91" t="str">
        <f t="shared" si="210"/>
        <v>UN</v>
      </c>
      <c r="L3396" s="166" t="str">
        <f t="shared" si="211"/>
        <v>11/2021</v>
      </c>
      <c r="M3396" s="82"/>
      <c r="N3396" s="82"/>
    </row>
    <row r="3397" spans="1:14" x14ac:dyDescent="0.25">
      <c r="A3397" s="170" t="s">
        <v>14873</v>
      </c>
      <c r="B3397" s="170" t="s">
        <v>18277</v>
      </c>
      <c r="C3397" s="170" t="s">
        <v>205</v>
      </c>
      <c r="D3397" s="170" t="s">
        <v>1947</v>
      </c>
      <c r="E3397" s="171" t="s">
        <v>33406</v>
      </c>
      <c r="F3397" s="171" t="s">
        <v>36626</v>
      </c>
      <c r="G3397" s="82"/>
      <c r="H3397" s="96">
        <f t="shared" si="208"/>
        <v>24633.84</v>
      </c>
      <c r="I3397" s="96">
        <f t="shared" si="208"/>
        <v>24661.81</v>
      </c>
      <c r="J3397" s="91" t="str">
        <f t="shared" si="209"/>
        <v>Sinapi 103265</v>
      </c>
      <c r="K3397" s="91" t="str">
        <f t="shared" si="210"/>
        <v>UN</v>
      </c>
      <c r="L3397" s="166" t="str">
        <f t="shared" si="211"/>
        <v>11/2021</v>
      </c>
      <c r="M3397" s="82"/>
      <c r="N3397" s="82"/>
    </row>
    <row r="3398" spans="1:14" x14ac:dyDescent="0.25">
      <c r="A3398" s="170" t="s">
        <v>14874</v>
      </c>
      <c r="B3398" s="170" t="s">
        <v>18278</v>
      </c>
      <c r="C3398" s="170" t="s">
        <v>205</v>
      </c>
      <c r="D3398" s="170" t="s">
        <v>1947</v>
      </c>
      <c r="E3398" s="171" t="s">
        <v>33407</v>
      </c>
      <c r="F3398" s="171" t="s">
        <v>36627</v>
      </c>
      <c r="G3398" s="82"/>
      <c r="H3398" s="96">
        <f t="shared" si="208"/>
        <v>12708.31</v>
      </c>
      <c r="I3398" s="96">
        <f t="shared" si="208"/>
        <v>12736.28</v>
      </c>
      <c r="J3398" s="91" t="str">
        <f t="shared" si="209"/>
        <v>Sinapi 103266</v>
      </c>
      <c r="K3398" s="91" t="str">
        <f t="shared" si="210"/>
        <v>UN</v>
      </c>
      <c r="L3398" s="166" t="str">
        <f t="shared" si="211"/>
        <v>11/2021</v>
      </c>
      <c r="M3398" s="82"/>
      <c r="N3398" s="82"/>
    </row>
    <row r="3399" spans="1:14" x14ac:dyDescent="0.25">
      <c r="A3399" s="170" t="s">
        <v>14875</v>
      </c>
      <c r="B3399" s="170" t="s">
        <v>18279</v>
      </c>
      <c r="C3399" s="170" t="s">
        <v>205</v>
      </c>
      <c r="D3399" s="170" t="s">
        <v>1947</v>
      </c>
      <c r="E3399" s="171" t="s">
        <v>33408</v>
      </c>
      <c r="F3399" s="171" t="s">
        <v>36628</v>
      </c>
      <c r="G3399" s="82"/>
      <c r="H3399" s="96">
        <f t="shared" si="208"/>
        <v>7257.91</v>
      </c>
      <c r="I3399" s="96">
        <f t="shared" si="208"/>
        <v>7277.48</v>
      </c>
      <c r="J3399" s="91" t="str">
        <f t="shared" si="209"/>
        <v>Sinapi 103267</v>
      </c>
      <c r="K3399" s="91" t="str">
        <f t="shared" si="210"/>
        <v>UN</v>
      </c>
      <c r="L3399" s="166" t="str">
        <f t="shared" si="211"/>
        <v>11/2021</v>
      </c>
      <c r="M3399" s="82"/>
      <c r="N3399" s="82"/>
    </row>
    <row r="3400" spans="1:14" x14ac:dyDescent="0.25">
      <c r="A3400" s="170" t="s">
        <v>14876</v>
      </c>
      <c r="B3400" s="170" t="s">
        <v>18280</v>
      </c>
      <c r="C3400" s="170" t="s">
        <v>205</v>
      </c>
      <c r="D3400" s="170" t="s">
        <v>1947</v>
      </c>
      <c r="E3400" s="171" t="s">
        <v>33409</v>
      </c>
      <c r="F3400" s="171" t="s">
        <v>36629</v>
      </c>
      <c r="G3400" s="82"/>
      <c r="H3400" s="96">
        <f t="shared" ref="H3400:I3463" si="212">IF(E3400="","",E3400+0)</f>
        <v>8631.7199999999993</v>
      </c>
      <c r="I3400" s="96">
        <f t="shared" si="212"/>
        <v>8651.2900000000009</v>
      </c>
      <c r="J3400" s="91" t="str">
        <f t="shared" ref="J3400:J3463" si="213">IF(OR(H3400="",I3400=""),"",TRIM(CONCATENATE("Sinapi ",A3400)))</f>
        <v>Sinapi 103268</v>
      </c>
      <c r="K3400" s="91" t="str">
        <f t="shared" ref="K3400:K3463" si="214">TRIM(C3400)</f>
        <v>UN</v>
      </c>
      <c r="L3400" s="166" t="str">
        <f t="shared" ref="L3400:L3463" si="215">IF(OR(RIGHT(IF(AND(K3400&lt;&gt;"H",K3400&lt;&gt;"MES"),RIGHT(B3400,7),""),2)="PS",RIGHT(IF(AND(K3400&lt;&gt;"H",K3400&lt;&gt;"MES"),RIGHT(B3400,7),""),2)="PA",RIGHT(IF(AND(K3400&lt;&gt;"H",K3400&lt;&gt;"MES"),RIGHT(B3400,7),""),2)="PE"),LEFT(IF(AND(K3400&lt;&gt;"H",K3400&lt;&gt;"MES"),RIGHT(B3400,10),""),7),IF(AND(K3400&lt;&gt;"H",K3400&lt;&gt;"MES"),RIGHT(B3400,7),""))</f>
        <v>11/2021</v>
      </c>
      <c r="M3400" s="82"/>
      <c r="N3400" s="82"/>
    </row>
    <row r="3401" spans="1:14" x14ac:dyDescent="0.25">
      <c r="A3401" s="170" t="s">
        <v>14877</v>
      </c>
      <c r="B3401" s="170" t="s">
        <v>18281</v>
      </c>
      <c r="C3401" s="170" t="s">
        <v>205</v>
      </c>
      <c r="D3401" s="170" t="s">
        <v>1947</v>
      </c>
      <c r="E3401" s="171" t="s">
        <v>33410</v>
      </c>
      <c r="F3401" s="171" t="s">
        <v>36630</v>
      </c>
      <c r="G3401" s="82"/>
      <c r="H3401" s="96">
        <f t="shared" si="212"/>
        <v>8937.43</v>
      </c>
      <c r="I3401" s="96">
        <f t="shared" si="212"/>
        <v>8957.7900000000009</v>
      </c>
      <c r="J3401" s="91" t="str">
        <f t="shared" si="213"/>
        <v>Sinapi 103269</v>
      </c>
      <c r="K3401" s="91" t="str">
        <f t="shared" si="214"/>
        <v>UN</v>
      </c>
      <c r="L3401" s="166" t="str">
        <f t="shared" si="215"/>
        <v>11/2021</v>
      </c>
      <c r="M3401" s="82"/>
      <c r="N3401" s="82"/>
    </row>
    <row r="3402" spans="1:14" x14ac:dyDescent="0.25">
      <c r="A3402" s="170" t="s">
        <v>14878</v>
      </c>
      <c r="B3402" s="170" t="s">
        <v>18282</v>
      </c>
      <c r="C3402" s="170" t="s">
        <v>205</v>
      </c>
      <c r="D3402" s="170" t="s">
        <v>1947</v>
      </c>
      <c r="E3402" s="171" t="s">
        <v>33411</v>
      </c>
      <c r="F3402" s="171" t="s">
        <v>36631</v>
      </c>
      <c r="G3402" s="82"/>
      <c r="H3402" s="96">
        <f t="shared" si="212"/>
        <v>9280.64</v>
      </c>
      <c r="I3402" s="96">
        <f t="shared" si="212"/>
        <v>9301</v>
      </c>
      <c r="J3402" s="91" t="str">
        <f t="shared" si="213"/>
        <v>Sinapi 103270</v>
      </c>
      <c r="K3402" s="91" t="str">
        <f t="shared" si="214"/>
        <v>UN</v>
      </c>
      <c r="L3402" s="166" t="str">
        <f t="shared" si="215"/>
        <v>11/2021</v>
      </c>
      <c r="M3402" s="82"/>
      <c r="N3402" s="82"/>
    </row>
    <row r="3403" spans="1:14" x14ac:dyDescent="0.25">
      <c r="A3403" s="170" t="s">
        <v>14879</v>
      </c>
      <c r="B3403" s="170" t="s">
        <v>18283</v>
      </c>
      <c r="C3403" s="170" t="s">
        <v>205</v>
      </c>
      <c r="D3403" s="170" t="s">
        <v>1947</v>
      </c>
      <c r="E3403" s="171" t="s">
        <v>33412</v>
      </c>
      <c r="F3403" s="171" t="s">
        <v>36632</v>
      </c>
      <c r="G3403" s="82"/>
      <c r="H3403" s="96">
        <f t="shared" si="212"/>
        <v>13173.62</v>
      </c>
      <c r="I3403" s="96">
        <f t="shared" si="212"/>
        <v>13197.06</v>
      </c>
      <c r="J3403" s="91" t="str">
        <f t="shared" si="213"/>
        <v>Sinapi 103271</v>
      </c>
      <c r="K3403" s="91" t="str">
        <f t="shared" si="214"/>
        <v>UN</v>
      </c>
      <c r="L3403" s="166" t="str">
        <f t="shared" si="215"/>
        <v>11/2021</v>
      </c>
      <c r="M3403" s="82"/>
      <c r="N3403" s="82"/>
    </row>
    <row r="3404" spans="1:14" x14ac:dyDescent="0.25">
      <c r="A3404" s="170" t="s">
        <v>14880</v>
      </c>
      <c r="B3404" s="170" t="s">
        <v>18284</v>
      </c>
      <c r="C3404" s="170" t="s">
        <v>205</v>
      </c>
      <c r="D3404" s="170" t="s">
        <v>1947</v>
      </c>
      <c r="E3404" s="171" t="s">
        <v>33413</v>
      </c>
      <c r="F3404" s="171" t="s">
        <v>36633</v>
      </c>
      <c r="G3404" s="82"/>
      <c r="H3404" s="96">
        <f t="shared" si="212"/>
        <v>13610.06</v>
      </c>
      <c r="I3404" s="96">
        <f t="shared" si="212"/>
        <v>13633.5</v>
      </c>
      <c r="J3404" s="91" t="str">
        <f t="shared" si="213"/>
        <v>Sinapi 103272</v>
      </c>
      <c r="K3404" s="91" t="str">
        <f t="shared" si="214"/>
        <v>UN</v>
      </c>
      <c r="L3404" s="166" t="str">
        <f t="shared" si="215"/>
        <v>11/2021</v>
      </c>
      <c r="M3404" s="82"/>
      <c r="N3404" s="82"/>
    </row>
    <row r="3405" spans="1:14" x14ac:dyDescent="0.25">
      <c r="A3405" s="170" t="s">
        <v>14881</v>
      </c>
      <c r="B3405" s="170" t="s">
        <v>18285</v>
      </c>
      <c r="C3405" s="170" t="s">
        <v>205</v>
      </c>
      <c r="D3405" s="170" t="s">
        <v>1947</v>
      </c>
      <c r="E3405" s="171" t="s">
        <v>33414</v>
      </c>
      <c r="F3405" s="171" t="s">
        <v>36634</v>
      </c>
      <c r="G3405" s="82"/>
      <c r="H3405" s="96">
        <f t="shared" si="212"/>
        <v>13912.83</v>
      </c>
      <c r="I3405" s="96">
        <f t="shared" si="212"/>
        <v>13942.93</v>
      </c>
      <c r="J3405" s="91" t="str">
        <f t="shared" si="213"/>
        <v>Sinapi 103273</v>
      </c>
      <c r="K3405" s="91" t="str">
        <f t="shared" si="214"/>
        <v>UN</v>
      </c>
      <c r="L3405" s="166" t="str">
        <f t="shared" si="215"/>
        <v>11/2021</v>
      </c>
      <c r="M3405" s="82"/>
      <c r="N3405" s="82"/>
    </row>
    <row r="3406" spans="1:14" x14ac:dyDescent="0.25">
      <c r="A3406" s="170" t="s">
        <v>14882</v>
      </c>
      <c r="B3406" s="170" t="s">
        <v>18286</v>
      </c>
      <c r="C3406" s="170" t="s">
        <v>205</v>
      </c>
      <c r="D3406" s="170" t="s">
        <v>1947</v>
      </c>
      <c r="E3406" s="171" t="s">
        <v>33415</v>
      </c>
      <c r="F3406" s="171" t="s">
        <v>36635</v>
      </c>
      <c r="G3406" s="82"/>
      <c r="H3406" s="96">
        <f t="shared" si="212"/>
        <v>15965.45</v>
      </c>
      <c r="I3406" s="96">
        <f t="shared" si="212"/>
        <v>15995.55</v>
      </c>
      <c r="J3406" s="91" t="str">
        <f t="shared" si="213"/>
        <v>Sinapi 103274</v>
      </c>
      <c r="K3406" s="91" t="str">
        <f t="shared" si="214"/>
        <v>UN</v>
      </c>
      <c r="L3406" s="166" t="str">
        <f t="shared" si="215"/>
        <v>11/2021</v>
      </c>
      <c r="M3406" s="82"/>
      <c r="N3406" s="82"/>
    </row>
    <row r="3407" spans="1:14" x14ac:dyDescent="0.25">
      <c r="A3407" s="170" t="s">
        <v>14883</v>
      </c>
      <c r="B3407" s="170" t="s">
        <v>18287</v>
      </c>
      <c r="C3407" s="170" t="s">
        <v>205</v>
      </c>
      <c r="D3407" s="170" t="s">
        <v>1947</v>
      </c>
      <c r="E3407" s="171" t="s">
        <v>33416</v>
      </c>
      <c r="F3407" s="171" t="s">
        <v>36636</v>
      </c>
      <c r="G3407" s="82"/>
      <c r="H3407" s="96">
        <f t="shared" si="212"/>
        <v>15881.65</v>
      </c>
      <c r="I3407" s="96">
        <f t="shared" si="212"/>
        <v>15911.75</v>
      </c>
      <c r="J3407" s="91" t="str">
        <f t="shared" si="213"/>
        <v>Sinapi 103275</v>
      </c>
      <c r="K3407" s="91" t="str">
        <f t="shared" si="214"/>
        <v>UN</v>
      </c>
      <c r="L3407" s="166" t="str">
        <f t="shared" si="215"/>
        <v>11/2021</v>
      </c>
      <c r="M3407" s="82"/>
      <c r="N3407" s="82"/>
    </row>
    <row r="3408" spans="1:14" x14ac:dyDescent="0.25">
      <c r="A3408" s="170" t="s">
        <v>14884</v>
      </c>
      <c r="B3408" s="170" t="s">
        <v>18288</v>
      </c>
      <c r="C3408" s="170" t="s">
        <v>205</v>
      </c>
      <c r="D3408" s="170" t="s">
        <v>1947</v>
      </c>
      <c r="E3408" s="171" t="s">
        <v>33417</v>
      </c>
      <c r="F3408" s="171" t="s">
        <v>36637</v>
      </c>
      <c r="G3408" s="82"/>
      <c r="H3408" s="96">
        <f t="shared" si="212"/>
        <v>16675.54</v>
      </c>
      <c r="I3408" s="96">
        <f t="shared" si="212"/>
        <v>16705.64</v>
      </c>
      <c r="J3408" s="91" t="str">
        <f t="shared" si="213"/>
        <v>Sinapi 103276</v>
      </c>
      <c r="K3408" s="91" t="str">
        <f t="shared" si="214"/>
        <v>UN</v>
      </c>
      <c r="L3408" s="166" t="str">
        <f t="shared" si="215"/>
        <v>11/2021</v>
      </c>
      <c r="M3408" s="82"/>
      <c r="N3408" s="82"/>
    </row>
    <row r="3409" spans="1:14" x14ac:dyDescent="0.25">
      <c r="A3409" s="170" t="s">
        <v>14885</v>
      </c>
      <c r="B3409" s="170" t="s">
        <v>18289</v>
      </c>
      <c r="C3409" s="170" t="s">
        <v>205</v>
      </c>
      <c r="D3409" s="170" t="s">
        <v>1947</v>
      </c>
      <c r="E3409" s="171" t="s">
        <v>33418</v>
      </c>
      <c r="F3409" s="171" t="s">
        <v>36638</v>
      </c>
      <c r="G3409" s="82"/>
      <c r="H3409" s="96">
        <f t="shared" si="212"/>
        <v>30859.8</v>
      </c>
      <c r="I3409" s="96">
        <f t="shared" si="212"/>
        <v>30897.05</v>
      </c>
      <c r="J3409" s="91" t="str">
        <f t="shared" si="213"/>
        <v>Sinapi 103277</v>
      </c>
      <c r="K3409" s="91" t="str">
        <f t="shared" si="214"/>
        <v>UN</v>
      </c>
      <c r="L3409" s="166" t="str">
        <f t="shared" si="215"/>
        <v>11/2021</v>
      </c>
      <c r="M3409" s="82"/>
      <c r="N3409" s="82"/>
    </row>
    <row r="3410" spans="1:14" x14ac:dyDescent="0.25">
      <c r="A3410" s="170" t="s">
        <v>14886</v>
      </c>
      <c r="B3410" s="170" t="s">
        <v>18290</v>
      </c>
      <c r="C3410" s="170" t="s">
        <v>205</v>
      </c>
      <c r="D3410" s="170" t="s">
        <v>1947</v>
      </c>
      <c r="E3410" s="171" t="s">
        <v>33419</v>
      </c>
      <c r="F3410" s="171" t="s">
        <v>36639</v>
      </c>
      <c r="G3410" s="82"/>
      <c r="H3410" s="96">
        <f t="shared" si="212"/>
        <v>39577.46</v>
      </c>
      <c r="I3410" s="96">
        <f t="shared" si="212"/>
        <v>39615.71</v>
      </c>
      <c r="J3410" s="91" t="str">
        <f t="shared" si="213"/>
        <v>Sinapi 103278</v>
      </c>
      <c r="K3410" s="91" t="str">
        <f t="shared" si="214"/>
        <v>UN</v>
      </c>
      <c r="L3410" s="166" t="str">
        <f t="shared" si="215"/>
        <v>11/2021</v>
      </c>
      <c r="M3410" s="82"/>
      <c r="N3410" s="82"/>
    </row>
    <row r="3411" spans="1:14" x14ac:dyDescent="0.25">
      <c r="A3411" s="170" t="s">
        <v>14887</v>
      </c>
      <c r="B3411" s="170" t="s">
        <v>14888</v>
      </c>
      <c r="C3411" s="170" t="s">
        <v>205</v>
      </c>
      <c r="D3411" s="170" t="s">
        <v>2067</v>
      </c>
      <c r="E3411" s="171" t="s">
        <v>9830</v>
      </c>
      <c r="F3411" s="171" t="s">
        <v>16417</v>
      </c>
      <c r="G3411" s="82"/>
      <c r="H3411" s="96">
        <f t="shared" si="212"/>
        <v>15.9</v>
      </c>
      <c r="I3411" s="96">
        <f t="shared" si="212"/>
        <v>17.62</v>
      </c>
      <c r="J3411" s="91" t="str">
        <f t="shared" si="213"/>
        <v>Sinapi 103288</v>
      </c>
      <c r="K3411" s="91" t="str">
        <f t="shared" si="214"/>
        <v>UN</v>
      </c>
      <c r="L3411" s="166" t="str">
        <f t="shared" si="215"/>
        <v>11/2021</v>
      </c>
      <c r="M3411" s="82"/>
      <c r="N3411" s="82"/>
    </row>
    <row r="3412" spans="1:14" x14ac:dyDescent="0.25">
      <c r="A3412" s="170" t="s">
        <v>14889</v>
      </c>
      <c r="B3412" s="170" t="s">
        <v>14890</v>
      </c>
      <c r="C3412" s="170" t="s">
        <v>385</v>
      </c>
      <c r="D3412" s="170" t="s">
        <v>1947</v>
      </c>
      <c r="E3412" s="171" t="s">
        <v>21849</v>
      </c>
      <c r="F3412" s="171" t="s">
        <v>20024</v>
      </c>
      <c r="G3412" s="82"/>
      <c r="H3412" s="96">
        <f t="shared" si="212"/>
        <v>29.71</v>
      </c>
      <c r="I3412" s="96">
        <f t="shared" si="212"/>
        <v>30.2</v>
      </c>
      <c r="J3412" s="91" t="str">
        <f t="shared" si="213"/>
        <v>Sinapi 103289</v>
      </c>
      <c r="K3412" s="91" t="str">
        <f t="shared" si="214"/>
        <v>M</v>
      </c>
      <c r="L3412" s="166" t="str">
        <f t="shared" si="215"/>
        <v>11/2021</v>
      </c>
      <c r="M3412" s="82"/>
      <c r="N3412" s="82"/>
    </row>
    <row r="3413" spans="1:14" x14ac:dyDescent="0.25">
      <c r="A3413" s="170" t="s">
        <v>14891</v>
      </c>
      <c r="B3413" s="170" t="s">
        <v>14892</v>
      </c>
      <c r="C3413" s="170" t="s">
        <v>385</v>
      </c>
      <c r="D3413" s="170" t="s">
        <v>1947</v>
      </c>
      <c r="E3413" s="171" t="s">
        <v>29013</v>
      </c>
      <c r="F3413" s="171" t="s">
        <v>36640</v>
      </c>
      <c r="G3413" s="82"/>
      <c r="H3413" s="96">
        <f t="shared" si="212"/>
        <v>48.29</v>
      </c>
      <c r="I3413" s="96">
        <f t="shared" si="212"/>
        <v>48.81</v>
      </c>
      <c r="J3413" s="91" t="str">
        <f t="shared" si="213"/>
        <v>Sinapi 103290</v>
      </c>
      <c r="K3413" s="91" t="str">
        <f t="shared" si="214"/>
        <v>M</v>
      </c>
      <c r="L3413" s="166" t="str">
        <f t="shared" si="215"/>
        <v>11/2021</v>
      </c>
      <c r="M3413" s="82"/>
      <c r="N3413" s="82"/>
    </row>
    <row r="3414" spans="1:14" x14ac:dyDescent="0.25">
      <c r="A3414" s="170" t="s">
        <v>14893</v>
      </c>
      <c r="B3414" s="170" t="s">
        <v>14894</v>
      </c>
      <c r="C3414" s="170" t="s">
        <v>385</v>
      </c>
      <c r="D3414" s="170" t="s">
        <v>1947</v>
      </c>
      <c r="E3414" s="171" t="s">
        <v>23122</v>
      </c>
      <c r="F3414" s="171" t="s">
        <v>36641</v>
      </c>
      <c r="G3414" s="82"/>
      <c r="H3414" s="96">
        <f t="shared" si="212"/>
        <v>59.93</v>
      </c>
      <c r="I3414" s="96">
        <f t="shared" si="212"/>
        <v>60.49</v>
      </c>
      <c r="J3414" s="91" t="str">
        <f t="shared" si="213"/>
        <v>Sinapi 103291</v>
      </c>
      <c r="K3414" s="91" t="str">
        <f t="shared" si="214"/>
        <v>M</v>
      </c>
      <c r="L3414" s="166" t="str">
        <f t="shared" si="215"/>
        <v>11/2021</v>
      </c>
      <c r="M3414" s="82"/>
      <c r="N3414" s="82"/>
    </row>
    <row r="3415" spans="1:14" x14ac:dyDescent="0.25">
      <c r="A3415" s="170" t="s">
        <v>14895</v>
      </c>
      <c r="B3415" s="170" t="s">
        <v>14896</v>
      </c>
      <c r="C3415" s="170" t="s">
        <v>385</v>
      </c>
      <c r="D3415" s="170" t="s">
        <v>1947</v>
      </c>
      <c r="E3415" s="171" t="s">
        <v>19391</v>
      </c>
      <c r="F3415" s="171" t="s">
        <v>21831</v>
      </c>
      <c r="G3415" s="82"/>
      <c r="H3415" s="96">
        <f t="shared" si="212"/>
        <v>72.39</v>
      </c>
      <c r="I3415" s="96">
        <f t="shared" si="212"/>
        <v>72.97</v>
      </c>
      <c r="J3415" s="91" t="str">
        <f t="shared" si="213"/>
        <v>Sinapi 103292</v>
      </c>
      <c r="K3415" s="91" t="str">
        <f t="shared" si="214"/>
        <v>M</v>
      </c>
      <c r="L3415" s="166" t="str">
        <f t="shared" si="215"/>
        <v>11/2021</v>
      </c>
      <c r="M3415" s="82"/>
      <c r="N3415" s="82"/>
    </row>
    <row r="3416" spans="1:14" x14ac:dyDescent="0.25">
      <c r="A3416" s="170" t="s">
        <v>11753</v>
      </c>
      <c r="B3416" s="170" t="s">
        <v>11754</v>
      </c>
      <c r="C3416" s="170" t="s">
        <v>205</v>
      </c>
      <c r="D3416" s="170" t="s">
        <v>1947</v>
      </c>
      <c r="E3416" s="171" t="s">
        <v>33420</v>
      </c>
      <c r="F3416" s="171" t="s">
        <v>36642</v>
      </c>
      <c r="G3416" s="82"/>
      <c r="H3416" s="96">
        <f t="shared" si="212"/>
        <v>6682.42</v>
      </c>
      <c r="I3416" s="96">
        <f t="shared" si="212"/>
        <v>7031</v>
      </c>
      <c r="J3416" s="91" t="str">
        <f t="shared" si="213"/>
        <v>Sinapi 101936</v>
      </c>
      <c r="K3416" s="91" t="str">
        <f t="shared" si="214"/>
        <v>UN</v>
      </c>
      <c r="L3416" s="166" t="str">
        <f t="shared" si="215"/>
        <v>10/2020</v>
      </c>
      <c r="M3416" s="82"/>
      <c r="N3416" s="82"/>
    </row>
    <row r="3417" spans="1:14" x14ac:dyDescent="0.25">
      <c r="A3417" s="170" t="s">
        <v>11755</v>
      </c>
      <c r="B3417" s="170" t="s">
        <v>11756</v>
      </c>
      <c r="C3417" s="170" t="s">
        <v>205</v>
      </c>
      <c r="D3417" s="170" t="s">
        <v>1947</v>
      </c>
      <c r="E3417" s="171" t="s">
        <v>33421</v>
      </c>
      <c r="F3417" s="171" t="s">
        <v>36643</v>
      </c>
      <c r="G3417" s="82"/>
      <c r="H3417" s="96">
        <f t="shared" si="212"/>
        <v>12136.56</v>
      </c>
      <c r="I3417" s="96">
        <f t="shared" si="212"/>
        <v>12890.38</v>
      </c>
      <c r="J3417" s="91" t="str">
        <f t="shared" si="213"/>
        <v>Sinapi 101937</v>
      </c>
      <c r="K3417" s="91" t="str">
        <f t="shared" si="214"/>
        <v>UN</v>
      </c>
      <c r="L3417" s="166" t="str">
        <f t="shared" si="215"/>
        <v>10/2020</v>
      </c>
      <c r="M3417" s="82"/>
      <c r="N3417" s="82"/>
    </row>
    <row r="3418" spans="1:14" x14ac:dyDescent="0.25">
      <c r="A3418" s="170" t="s">
        <v>6128</v>
      </c>
      <c r="B3418" s="170" t="s">
        <v>6129</v>
      </c>
      <c r="C3418" s="170" t="s">
        <v>385</v>
      </c>
      <c r="D3418" s="170" t="s">
        <v>2067</v>
      </c>
      <c r="E3418" s="171" t="s">
        <v>14938</v>
      </c>
      <c r="F3418" s="171" t="s">
        <v>36329</v>
      </c>
      <c r="G3418" s="82"/>
      <c r="H3418" s="96">
        <f t="shared" si="212"/>
        <v>6.4</v>
      </c>
      <c r="I3418" s="96">
        <f t="shared" si="212"/>
        <v>6.48</v>
      </c>
      <c r="J3418" s="91" t="str">
        <f t="shared" si="213"/>
        <v>Sinapi 98294</v>
      </c>
      <c r="K3418" s="91" t="str">
        <f t="shared" si="214"/>
        <v>M</v>
      </c>
      <c r="L3418" s="166" t="str">
        <f t="shared" si="215"/>
        <v>11/2019</v>
      </c>
      <c r="M3418" s="82"/>
      <c r="N3418" s="82"/>
    </row>
    <row r="3419" spans="1:14" x14ac:dyDescent="0.25">
      <c r="A3419" s="170" t="s">
        <v>6130</v>
      </c>
      <c r="B3419" s="170" t="s">
        <v>6131</v>
      </c>
      <c r="C3419" s="170" t="s">
        <v>385</v>
      </c>
      <c r="D3419" s="170" t="s">
        <v>2067</v>
      </c>
      <c r="E3419" s="171" t="s">
        <v>13400</v>
      </c>
      <c r="F3419" s="171" t="s">
        <v>14636</v>
      </c>
      <c r="G3419" s="82"/>
      <c r="H3419" s="96">
        <f t="shared" si="212"/>
        <v>5.79</v>
      </c>
      <c r="I3419" s="96">
        <f t="shared" si="212"/>
        <v>5.8</v>
      </c>
      <c r="J3419" s="91" t="str">
        <f t="shared" si="213"/>
        <v>Sinapi 98295</v>
      </c>
      <c r="K3419" s="91" t="str">
        <f t="shared" si="214"/>
        <v>M</v>
      </c>
      <c r="L3419" s="166" t="str">
        <f t="shared" si="215"/>
        <v>11/2019</v>
      </c>
      <c r="M3419" s="82"/>
      <c r="N3419" s="82"/>
    </row>
    <row r="3420" spans="1:14" x14ac:dyDescent="0.25">
      <c r="A3420" s="170" t="s">
        <v>6132</v>
      </c>
      <c r="B3420" s="170" t="s">
        <v>6133</v>
      </c>
      <c r="C3420" s="170" t="s">
        <v>385</v>
      </c>
      <c r="D3420" s="170" t="s">
        <v>2067</v>
      </c>
      <c r="E3420" s="171" t="s">
        <v>19942</v>
      </c>
      <c r="F3420" s="171" t="s">
        <v>17289</v>
      </c>
      <c r="G3420" s="82"/>
      <c r="H3420" s="96">
        <f t="shared" si="212"/>
        <v>9.32</v>
      </c>
      <c r="I3420" s="96">
        <f t="shared" si="212"/>
        <v>9.4499999999999993</v>
      </c>
      <c r="J3420" s="91" t="str">
        <f t="shared" si="213"/>
        <v>Sinapi 98296</v>
      </c>
      <c r="K3420" s="91" t="str">
        <f t="shared" si="214"/>
        <v>M</v>
      </c>
      <c r="L3420" s="166" t="str">
        <f t="shared" si="215"/>
        <v>11/2019</v>
      </c>
      <c r="M3420" s="82"/>
      <c r="N3420" s="82"/>
    </row>
    <row r="3421" spans="1:14" x14ac:dyDescent="0.25">
      <c r="A3421" s="170" t="s">
        <v>6134</v>
      </c>
      <c r="B3421" s="170" t="s">
        <v>6135</v>
      </c>
      <c r="C3421" s="170" t="s">
        <v>385</v>
      </c>
      <c r="D3421" s="170" t="s">
        <v>2067</v>
      </c>
      <c r="E3421" s="171" t="s">
        <v>21575</v>
      </c>
      <c r="F3421" s="171" t="s">
        <v>29875</v>
      </c>
      <c r="G3421" s="82"/>
      <c r="H3421" s="96">
        <f t="shared" si="212"/>
        <v>8.35</v>
      </c>
      <c r="I3421" s="96">
        <f t="shared" si="212"/>
        <v>8.3800000000000008</v>
      </c>
      <c r="J3421" s="91" t="str">
        <f t="shared" si="213"/>
        <v>Sinapi 98297</v>
      </c>
      <c r="K3421" s="91" t="str">
        <f t="shared" si="214"/>
        <v>M</v>
      </c>
      <c r="L3421" s="166" t="str">
        <f t="shared" si="215"/>
        <v>11/2019</v>
      </c>
      <c r="M3421" s="82"/>
      <c r="N3421" s="82"/>
    </row>
    <row r="3422" spans="1:14" x14ac:dyDescent="0.25">
      <c r="A3422" s="170" t="s">
        <v>18291</v>
      </c>
      <c r="B3422" s="170" t="s">
        <v>18292</v>
      </c>
      <c r="C3422" s="170" t="s">
        <v>385</v>
      </c>
      <c r="D3422" s="170" t="s">
        <v>2067</v>
      </c>
      <c r="E3422" s="171" t="s">
        <v>28764</v>
      </c>
      <c r="F3422" s="171" t="s">
        <v>17953</v>
      </c>
      <c r="G3422" s="82"/>
      <c r="H3422" s="96">
        <f t="shared" si="212"/>
        <v>22.95</v>
      </c>
      <c r="I3422" s="96">
        <f t="shared" si="212"/>
        <v>23.12</v>
      </c>
      <c r="J3422" s="91" t="str">
        <f t="shared" si="213"/>
        <v>Sinapi 98298</v>
      </c>
      <c r="K3422" s="91" t="str">
        <f t="shared" si="214"/>
        <v>M</v>
      </c>
      <c r="L3422" s="166" t="str">
        <f t="shared" si="215"/>
        <v>11/2019</v>
      </c>
      <c r="M3422" s="82"/>
      <c r="N3422" s="82"/>
    </row>
    <row r="3423" spans="1:14" x14ac:dyDescent="0.25">
      <c r="A3423" s="170" t="s">
        <v>18293</v>
      </c>
      <c r="B3423" s="170" t="s">
        <v>18294</v>
      </c>
      <c r="C3423" s="170" t="s">
        <v>385</v>
      </c>
      <c r="D3423" s="170" t="s">
        <v>2067</v>
      </c>
      <c r="E3423" s="171" t="s">
        <v>15559</v>
      </c>
      <c r="F3423" s="171" t="s">
        <v>16387</v>
      </c>
      <c r="G3423" s="82"/>
      <c r="H3423" s="96">
        <f t="shared" si="212"/>
        <v>21.77</v>
      </c>
      <c r="I3423" s="96">
        <f t="shared" si="212"/>
        <v>21.8</v>
      </c>
      <c r="J3423" s="91" t="str">
        <f t="shared" si="213"/>
        <v>Sinapi 98299</v>
      </c>
      <c r="K3423" s="91" t="str">
        <f t="shared" si="214"/>
        <v>M</v>
      </c>
      <c r="L3423" s="166" t="str">
        <f t="shared" si="215"/>
        <v>11/2019</v>
      </c>
      <c r="M3423" s="82"/>
      <c r="N3423" s="82"/>
    </row>
    <row r="3424" spans="1:14" x14ac:dyDescent="0.25">
      <c r="A3424" s="170" t="s">
        <v>18295</v>
      </c>
      <c r="B3424" s="170" t="s">
        <v>18296</v>
      </c>
      <c r="C3424" s="170" t="s">
        <v>385</v>
      </c>
      <c r="D3424" s="170" t="s">
        <v>2067</v>
      </c>
      <c r="E3424" s="171" t="s">
        <v>32058</v>
      </c>
      <c r="F3424" s="171" t="s">
        <v>18606</v>
      </c>
      <c r="G3424" s="82"/>
      <c r="H3424" s="96">
        <f t="shared" si="212"/>
        <v>5.16</v>
      </c>
      <c r="I3424" s="96">
        <f t="shared" si="212"/>
        <v>5.52</v>
      </c>
      <c r="J3424" s="91" t="str">
        <f t="shared" si="213"/>
        <v>Sinapi 98300</v>
      </c>
      <c r="K3424" s="91" t="str">
        <f t="shared" si="214"/>
        <v>M</v>
      </c>
      <c r="L3424" s="166" t="str">
        <f t="shared" si="215"/>
        <v>11/2019</v>
      </c>
      <c r="M3424" s="82"/>
      <c r="N3424" s="82"/>
    </row>
    <row r="3425" spans="1:14" x14ac:dyDescent="0.25">
      <c r="A3425" s="170" t="s">
        <v>6136</v>
      </c>
      <c r="B3425" s="170" t="s">
        <v>6137</v>
      </c>
      <c r="C3425" s="170" t="s">
        <v>205</v>
      </c>
      <c r="D3425" s="170" t="s">
        <v>2067</v>
      </c>
      <c r="E3425" s="171" t="s">
        <v>28887</v>
      </c>
      <c r="F3425" s="171" t="s">
        <v>36644</v>
      </c>
      <c r="G3425" s="82"/>
      <c r="H3425" s="96">
        <f t="shared" si="212"/>
        <v>605.92999999999995</v>
      </c>
      <c r="I3425" s="96">
        <f t="shared" si="212"/>
        <v>635.82000000000005</v>
      </c>
      <c r="J3425" s="91" t="str">
        <f t="shared" si="213"/>
        <v>Sinapi 98301</v>
      </c>
      <c r="K3425" s="91" t="str">
        <f t="shared" si="214"/>
        <v>UN</v>
      </c>
      <c r="L3425" s="166" t="str">
        <f t="shared" si="215"/>
        <v>11/2019</v>
      </c>
      <c r="M3425" s="82"/>
      <c r="N3425" s="82"/>
    </row>
    <row r="3426" spans="1:14" x14ac:dyDescent="0.25">
      <c r="A3426" s="170" t="s">
        <v>6138</v>
      </c>
      <c r="B3426" s="170" t="s">
        <v>6139</v>
      </c>
      <c r="C3426" s="170" t="s">
        <v>205</v>
      </c>
      <c r="D3426" s="170" t="s">
        <v>2067</v>
      </c>
      <c r="E3426" s="171" t="s">
        <v>33422</v>
      </c>
      <c r="F3426" s="171" t="s">
        <v>36645</v>
      </c>
      <c r="G3426" s="82"/>
      <c r="H3426" s="96">
        <f t="shared" si="212"/>
        <v>1174.8</v>
      </c>
      <c r="I3426" s="96">
        <f t="shared" si="212"/>
        <v>1204.69</v>
      </c>
      <c r="J3426" s="91" t="str">
        <f t="shared" si="213"/>
        <v>Sinapi 98302</v>
      </c>
      <c r="K3426" s="91" t="str">
        <f t="shared" si="214"/>
        <v>UN</v>
      </c>
      <c r="L3426" s="166" t="str">
        <f t="shared" si="215"/>
        <v>11/2019</v>
      </c>
      <c r="M3426" s="82"/>
      <c r="N3426" s="82"/>
    </row>
    <row r="3427" spans="1:14" x14ac:dyDescent="0.25">
      <c r="A3427" s="170" t="s">
        <v>6140</v>
      </c>
      <c r="B3427" s="170" t="s">
        <v>6141</v>
      </c>
      <c r="C3427" s="170" t="s">
        <v>205</v>
      </c>
      <c r="D3427" s="170" t="s">
        <v>2067</v>
      </c>
      <c r="E3427" s="171" t="s">
        <v>33423</v>
      </c>
      <c r="F3427" s="171" t="s">
        <v>36646</v>
      </c>
      <c r="G3427" s="82"/>
      <c r="H3427" s="96">
        <f t="shared" si="212"/>
        <v>3730.31</v>
      </c>
      <c r="I3427" s="96">
        <f t="shared" si="212"/>
        <v>3789.71</v>
      </c>
      <c r="J3427" s="91" t="str">
        <f t="shared" si="213"/>
        <v>Sinapi 98304</v>
      </c>
      <c r="K3427" s="91" t="str">
        <f t="shared" si="214"/>
        <v>UN</v>
      </c>
      <c r="L3427" s="166" t="str">
        <f t="shared" si="215"/>
        <v>11/2019</v>
      </c>
      <c r="M3427" s="82"/>
      <c r="N3427" s="82"/>
    </row>
    <row r="3428" spans="1:14" x14ac:dyDescent="0.25">
      <c r="A3428" s="170" t="s">
        <v>16493</v>
      </c>
      <c r="B3428" s="170" t="s">
        <v>16494</v>
      </c>
      <c r="C3428" s="170" t="s">
        <v>205</v>
      </c>
      <c r="D3428" s="170" t="s">
        <v>2067</v>
      </c>
      <c r="E3428" s="171" t="s">
        <v>33424</v>
      </c>
      <c r="F3428" s="171" t="s">
        <v>36647</v>
      </c>
      <c r="G3428" s="82"/>
      <c r="H3428" s="96">
        <f t="shared" si="212"/>
        <v>2802.88</v>
      </c>
      <c r="I3428" s="96">
        <f t="shared" si="212"/>
        <v>2807.82</v>
      </c>
      <c r="J3428" s="91" t="str">
        <f t="shared" si="213"/>
        <v>Sinapi 98305</v>
      </c>
      <c r="K3428" s="91" t="str">
        <f t="shared" si="214"/>
        <v>UN</v>
      </c>
      <c r="L3428" s="166" t="str">
        <f t="shared" si="215"/>
        <v>11/2019</v>
      </c>
      <c r="M3428" s="82"/>
      <c r="N3428" s="82"/>
    </row>
    <row r="3429" spans="1:14" x14ac:dyDescent="0.25">
      <c r="A3429" s="170" t="s">
        <v>16495</v>
      </c>
      <c r="B3429" s="170" t="s">
        <v>16496</v>
      </c>
      <c r="C3429" s="170" t="s">
        <v>205</v>
      </c>
      <c r="D3429" s="170" t="s">
        <v>2067</v>
      </c>
      <c r="E3429" s="171" t="s">
        <v>28258</v>
      </c>
      <c r="F3429" s="171" t="s">
        <v>36648</v>
      </c>
      <c r="G3429" s="82"/>
      <c r="H3429" s="96">
        <f t="shared" si="212"/>
        <v>59.35</v>
      </c>
      <c r="I3429" s="96">
        <f t="shared" si="212"/>
        <v>62.63</v>
      </c>
      <c r="J3429" s="91" t="str">
        <f t="shared" si="213"/>
        <v>Sinapi 98306</v>
      </c>
      <c r="K3429" s="91" t="str">
        <f t="shared" si="214"/>
        <v>UN</v>
      </c>
      <c r="L3429" s="166" t="str">
        <f t="shared" si="215"/>
        <v>11/2019</v>
      </c>
      <c r="M3429" s="82"/>
      <c r="N3429" s="82"/>
    </row>
    <row r="3430" spans="1:14" x14ac:dyDescent="0.25">
      <c r="A3430" s="170" t="s">
        <v>6142</v>
      </c>
      <c r="B3430" s="170" t="s">
        <v>6143</v>
      </c>
      <c r="C3430" s="170" t="s">
        <v>205</v>
      </c>
      <c r="D3430" s="170" t="s">
        <v>2067</v>
      </c>
      <c r="E3430" s="171" t="s">
        <v>33142</v>
      </c>
      <c r="F3430" s="171" t="s">
        <v>28641</v>
      </c>
      <c r="G3430" s="82"/>
      <c r="H3430" s="96">
        <f t="shared" si="212"/>
        <v>55.46</v>
      </c>
      <c r="I3430" s="96">
        <f t="shared" si="212"/>
        <v>56.46</v>
      </c>
      <c r="J3430" s="91" t="str">
        <f t="shared" si="213"/>
        <v>Sinapi 98307</v>
      </c>
      <c r="K3430" s="91" t="str">
        <f t="shared" si="214"/>
        <v>UN</v>
      </c>
      <c r="L3430" s="166" t="str">
        <f t="shared" si="215"/>
        <v>11/2019</v>
      </c>
      <c r="M3430" s="82"/>
      <c r="N3430" s="82"/>
    </row>
    <row r="3431" spans="1:14" x14ac:dyDescent="0.25">
      <c r="A3431" s="170" t="s">
        <v>6144</v>
      </c>
      <c r="B3431" s="170" t="s">
        <v>6145</v>
      </c>
      <c r="C3431" s="170" t="s">
        <v>205</v>
      </c>
      <c r="D3431" s="170" t="s">
        <v>2067</v>
      </c>
      <c r="E3431" s="171" t="s">
        <v>28420</v>
      </c>
      <c r="F3431" s="171" t="s">
        <v>19947</v>
      </c>
      <c r="G3431" s="82"/>
      <c r="H3431" s="96">
        <f t="shared" si="212"/>
        <v>35.270000000000003</v>
      </c>
      <c r="I3431" s="96">
        <f t="shared" si="212"/>
        <v>36.270000000000003</v>
      </c>
      <c r="J3431" s="91" t="str">
        <f t="shared" si="213"/>
        <v>Sinapi 98308</v>
      </c>
      <c r="K3431" s="91" t="str">
        <f t="shared" si="214"/>
        <v>UN</v>
      </c>
      <c r="L3431" s="166" t="str">
        <f t="shared" si="215"/>
        <v>11/2019</v>
      </c>
      <c r="M3431" s="82"/>
      <c r="N3431" s="82"/>
    </row>
    <row r="3432" spans="1:14" x14ac:dyDescent="0.25">
      <c r="A3432" s="170" t="s">
        <v>6146</v>
      </c>
      <c r="B3432" s="170" t="s">
        <v>6147</v>
      </c>
      <c r="C3432" s="170" t="s">
        <v>205</v>
      </c>
      <c r="D3432" s="170" t="s">
        <v>2067</v>
      </c>
      <c r="E3432" s="171" t="s">
        <v>33425</v>
      </c>
      <c r="F3432" s="171" t="s">
        <v>36649</v>
      </c>
      <c r="G3432" s="82"/>
      <c r="H3432" s="96">
        <f t="shared" si="212"/>
        <v>2570.37</v>
      </c>
      <c r="I3432" s="96">
        <f t="shared" si="212"/>
        <v>2629.77</v>
      </c>
      <c r="J3432" s="91" t="str">
        <f t="shared" si="213"/>
        <v>Sinapi 98593</v>
      </c>
      <c r="K3432" s="91" t="str">
        <f t="shared" si="214"/>
        <v>UN</v>
      </c>
      <c r="L3432" s="166" t="str">
        <f t="shared" si="215"/>
        <v>11/2019</v>
      </c>
      <c r="M3432" s="82"/>
      <c r="N3432" s="82"/>
    </row>
    <row r="3433" spans="1:14" x14ac:dyDescent="0.25">
      <c r="A3433" s="170" t="s">
        <v>18297</v>
      </c>
      <c r="B3433" s="170" t="s">
        <v>18298</v>
      </c>
      <c r="C3433" s="170" t="s">
        <v>385</v>
      </c>
      <c r="D3433" s="170" t="s">
        <v>2067</v>
      </c>
      <c r="E3433" s="171" t="s">
        <v>28791</v>
      </c>
      <c r="F3433" s="171" t="s">
        <v>22031</v>
      </c>
      <c r="G3433" s="82"/>
      <c r="H3433" s="96">
        <f t="shared" si="212"/>
        <v>24.28</v>
      </c>
      <c r="I3433" s="96">
        <f t="shared" si="212"/>
        <v>24.65</v>
      </c>
      <c r="J3433" s="91" t="str">
        <f t="shared" si="213"/>
        <v>Sinapi 100553</v>
      </c>
      <c r="K3433" s="91" t="str">
        <f t="shared" si="214"/>
        <v>M</v>
      </c>
      <c r="L3433" s="166" t="str">
        <f t="shared" si="215"/>
        <v>11/2019</v>
      </c>
      <c r="M3433" s="82"/>
      <c r="N3433" s="82"/>
    </row>
    <row r="3434" spans="1:14" x14ac:dyDescent="0.25">
      <c r="A3434" s="170" t="s">
        <v>18299</v>
      </c>
      <c r="B3434" s="170" t="s">
        <v>18300</v>
      </c>
      <c r="C3434" s="170" t="s">
        <v>385</v>
      </c>
      <c r="D3434" s="170" t="s">
        <v>2067</v>
      </c>
      <c r="E3434" s="171" t="s">
        <v>21284</v>
      </c>
      <c r="F3434" s="171" t="s">
        <v>12327</v>
      </c>
      <c r="G3434" s="82"/>
      <c r="H3434" s="96">
        <f t="shared" si="212"/>
        <v>4.92</v>
      </c>
      <c r="I3434" s="96">
        <f t="shared" si="212"/>
        <v>5.25</v>
      </c>
      <c r="J3434" s="91" t="str">
        <f t="shared" si="213"/>
        <v>Sinapi 100554</v>
      </c>
      <c r="K3434" s="91" t="str">
        <f t="shared" si="214"/>
        <v>M</v>
      </c>
      <c r="L3434" s="166" t="str">
        <f t="shared" si="215"/>
        <v>11/2019</v>
      </c>
      <c r="M3434" s="82"/>
      <c r="N3434" s="82"/>
    </row>
    <row r="3435" spans="1:14" x14ac:dyDescent="0.25">
      <c r="A3435" s="170" t="s">
        <v>16497</v>
      </c>
      <c r="B3435" s="170" t="s">
        <v>16498</v>
      </c>
      <c r="C3435" s="170" t="s">
        <v>205</v>
      </c>
      <c r="D3435" s="170" t="s">
        <v>2067</v>
      </c>
      <c r="E3435" s="171" t="s">
        <v>33426</v>
      </c>
      <c r="F3435" s="171" t="s">
        <v>36650</v>
      </c>
      <c r="G3435" s="82"/>
      <c r="H3435" s="96">
        <f t="shared" si="212"/>
        <v>1399.91</v>
      </c>
      <c r="I3435" s="96">
        <f t="shared" si="212"/>
        <v>1404.86</v>
      </c>
      <c r="J3435" s="91" t="str">
        <f t="shared" si="213"/>
        <v>Sinapi 100555</v>
      </c>
      <c r="K3435" s="91" t="str">
        <f t="shared" si="214"/>
        <v>UN</v>
      </c>
      <c r="L3435" s="166" t="str">
        <f t="shared" si="215"/>
        <v>11/2019</v>
      </c>
      <c r="M3435" s="82"/>
      <c r="N3435" s="82"/>
    </row>
    <row r="3436" spans="1:14" x14ac:dyDescent="0.25">
      <c r="A3436" s="170" t="s">
        <v>6148</v>
      </c>
      <c r="B3436" s="170" t="s">
        <v>16499</v>
      </c>
      <c r="C3436" s="170" t="s">
        <v>385</v>
      </c>
      <c r="D3436" s="170" t="s">
        <v>2067</v>
      </c>
      <c r="E3436" s="171" t="s">
        <v>33427</v>
      </c>
      <c r="F3436" s="171" t="s">
        <v>20629</v>
      </c>
      <c r="G3436" s="82"/>
      <c r="H3436" s="96">
        <f t="shared" si="212"/>
        <v>18.18</v>
      </c>
      <c r="I3436" s="96">
        <f t="shared" si="212"/>
        <v>19.73</v>
      </c>
      <c r="J3436" s="91" t="str">
        <f t="shared" si="213"/>
        <v>Sinapi 89355</v>
      </c>
      <c r="K3436" s="91" t="str">
        <f t="shared" si="214"/>
        <v>M</v>
      </c>
      <c r="L3436" s="166" t="str">
        <f t="shared" si="215"/>
        <v>06/2022</v>
      </c>
      <c r="M3436" s="82"/>
      <c r="N3436" s="82"/>
    </row>
    <row r="3437" spans="1:14" x14ac:dyDescent="0.25">
      <c r="A3437" s="170" t="s">
        <v>6149</v>
      </c>
      <c r="B3437" s="170" t="s">
        <v>16500</v>
      </c>
      <c r="C3437" s="170" t="s">
        <v>385</v>
      </c>
      <c r="D3437" s="170" t="s">
        <v>2067</v>
      </c>
      <c r="E3437" s="171" t="s">
        <v>23108</v>
      </c>
      <c r="F3437" s="171" t="s">
        <v>16412</v>
      </c>
      <c r="G3437" s="82"/>
      <c r="H3437" s="96">
        <f t="shared" si="212"/>
        <v>20.94</v>
      </c>
      <c r="I3437" s="96">
        <f t="shared" si="212"/>
        <v>22.74</v>
      </c>
      <c r="J3437" s="91" t="str">
        <f t="shared" si="213"/>
        <v>Sinapi 89356</v>
      </c>
      <c r="K3437" s="91" t="str">
        <f t="shared" si="214"/>
        <v>M</v>
      </c>
      <c r="L3437" s="166" t="str">
        <f t="shared" si="215"/>
        <v>06/2022</v>
      </c>
      <c r="M3437" s="82"/>
      <c r="N3437" s="82"/>
    </row>
    <row r="3438" spans="1:14" x14ac:dyDescent="0.25">
      <c r="A3438" s="170" t="s">
        <v>6150</v>
      </c>
      <c r="B3438" s="170" t="s">
        <v>16501</v>
      </c>
      <c r="C3438" s="170" t="s">
        <v>385</v>
      </c>
      <c r="D3438" s="170" t="s">
        <v>2067</v>
      </c>
      <c r="E3438" s="171" t="s">
        <v>20361</v>
      </c>
      <c r="F3438" s="171" t="s">
        <v>31767</v>
      </c>
      <c r="G3438" s="82"/>
      <c r="H3438" s="96">
        <f t="shared" si="212"/>
        <v>29.91</v>
      </c>
      <c r="I3438" s="96">
        <f t="shared" si="212"/>
        <v>32.049999999999997</v>
      </c>
      <c r="J3438" s="91" t="str">
        <f t="shared" si="213"/>
        <v>Sinapi 89357</v>
      </c>
      <c r="K3438" s="91" t="str">
        <f t="shared" si="214"/>
        <v>M</v>
      </c>
      <c r="L3438" s="166" t="str">
        <f t="shared" si="215"/>
        <v>06/2022</v>
      </c>
      <c r="M3438" s="82"/>
      <c r="N3438" s="82"/>
    </row>
    <row r="3439" spans="1:14" x14ac:dyDescent="0.25">
      <c r="A3439" s="170" t="s">
        <v>6151</v>
      </c>
      <c r="B3439" s="170" t="s">
        <v>16502</v>
      </c>
      <c r="C3439" s="170" t="s">
        <v>385</v>
      </c>
      <c r="D3439" s="170" t="s">
        <v>2067</v>
      </c>
      <c r="E3439" s="171" t="s">
        <v>21997</v>
      </c>
      <c r="F3439" s="171" t="s">
        <v>15663</v>
      </c>
      <c r="G3439" s="82"/>
      <c r="H3439" s="96">
        <f t="shared" si="212"/>
        <v>10.220000000000001</v>
      </c>
      <c r="I3439" s="96">
        <f t="shared" si="212"/>
        <v>10.86</v>
      </c>
      <c r="J3439" s="91" t="str">
        <f t="shared" si="213"/>
        <v>Sinapi 89401</v>
      </c>
      <c r="K3439" s="91" t="str">
        <f t="shared" si="214"/>
        <v>M</v>
      </c>
      <c r="L3439" s="166" t="str">
        <f t="shared" si="215"/>
        <v>06/2022</v>
      </c>
      <c r="M3439" s="82"/>
      <c r="N3439" s="82"/>
    </row>
    <row r="3440" spans="1:14" x14ac:dyDescent="0.25">
      <c r="A3440" s="170" t="s">
        <v>6152</v>
      </c>
      <c r="B3440" s="170" t="s">
        <v>16503</v>
      </c>
      <c r="C3440" s="170" t="s">
        <v>385</v>
      </c>
      <c r="D3440" s="170" t="s">
        <v>2067</v>
      </c>
      <c r="E3440" s="171" t="s">
        <v>10389</v>
      </c>
      <c r="F3440" s="171" t="s">
        <v>15631</v>
      </c>
      <c r="G3440" s="82"/>
      <c r="H3440" s="96">
        <f t="shared" si="212"/>
        <v>11.71</v>
      </c>
      <c r="I3440" s="96">
        <f t="shared" si="212"/>
        <v>12.47</v>
      </c>
      <c r="J3440" s="91" t="str">
        <f t="shared" si="213"/>
        <v>Sinapi 89402</v>
      </c>
      <c r="K3440" s="91" t="str">
        <f t="shared" si="214"/>
        <v>M</v>
      </c>
      <c r="L3440" s="166" t="str">
        <f t="shared" si="215"/>
        <v>06/2022</v>
      </c>
      <c r="M3440" s="82"/>
      <c r="N3440" s="82"/>
    </row>
    <row r="3441" spans="1:14" x14ac:dyDescent="0.25">
      <c r="A3441" s="170" t="s">
        <v>6153</v>
      </c>
      <c r="B3441" s="170" t="s">
        <v>16504</v>
      </c>
      <c r="C3441" s="170" t="s">
        <v>385</v>
      </c>
      <c r="D3441" s="170" t="s">
        <v>2067</v>
      </c>
      <c r="E3441" s="171" t="s">
        <v>15574</v>
      </c>
      <c r="F3441" s="171" t="s">
        <v>14631</v>
      </c>
      <c r="G3441" s="82"/>
      <c r="H3441" s="96">
        <f t="shared" si="212"/>
        <v>18.91</v>
      </c>
      <c r="I3441" s="96">
        <f t="shared" si="212"/>
        <v>19.8</v>
      </c>
      <c r="J3441" s="91" t="str">
        <f t="shared" si="213"/>
        <v>Sinapi 89403</v>
      </c>
      <c r="K3441" s="91" t="str">
        <f t="shared" si="214"/>
        <v>M</v>
      </c>
      <c r="L3441" s="166" t="str">
        <f t="shared" si="215"/>
        <v>06/2022</v>
      </c>
      <c r="M3441" s="82"/>
      <c r="N3441" s="82"/>
    </row>
    <row r="3442" spans="1:14" x14ac:dyDescent="0.25">
      <c r="A3442" s="170" t="s">
        <v>6154</v>
      </c>
      <c r="B3442" s="170" t="s">
        <v>16505</v>
      </c>
      <c r="C3442" s="170" t="s">
        <v>385</v>
      </c>
      <c r="D3442" s="170" t="s">
        <v>2067</v>
      </c>
      <c r="E3442" s="171" t="s">
        <v>2092</v>
      </c>
      <c r="F3442" s="171" t="s">
        <v>19261</v>
      </c>
      <c r="G3442" s="82"/>
      <c r="H3442" s="96">
        <f t="shared" si="212"/>
        <v>5.92</v>
      </c>
      <c r="I3442" s="96">
        <f t="shared" si="212"/>
        <v>6.02</v>
      </c>
      <c r="J3442" s="91" t="str">
        <f t="shared" si="213"/>
        <v>Sinapi 89446</v>
      </c>
      <c r="K3442" s="91" t="str">
        <f t="shared" si="214"/>
        <v>M</v>
      </c>
      <c r="L3442" s="166" t="str">
        <f t="shared" si="215"/>
        <v>06/2022</v>
      </c>
      <c r="M3442" s="82"/>
      <c r="N3442" s="82"/>
    </row>
    <row r="3443" spans="1:14" x14ac:dyDescent="0.25">
      <c r="A3443" s="170" t="s">
        <v>6155</v>
      </c>
      <c r="B3443" s="170" t="s">
        <v>16506</v>
      </c>
      <c r="C3443" s="170" t="s">
        <v>385</v>
      </c>
      <c r="D3443" s="170" t="s">
        <v>2067</v>
      </c>
      <c r="E3443" s="171" t="s">
        <v>29183</v>
      </c>
      <c r="F3443" s="171" t="s">
        <v>11275</v>
      </c>
      <c r="G3443" s="82"/>
      <c r="H3443" s="96">
        <f t="shared" si="212"/>
        <v>12.01</v>
      </c>
      <c r="I3443" s="96">
        <f t="shared" si="212"/>
        <v>12.12</v>
      </c>
      <c r="J3443" s="91" t="str">
        <f t="shared" si="213"/>
        <v>Sinapi 89447</v>
      </c>
      <c r="K3443" s="91" t="str">
        <f t="shared" si="214"/>
        <v>M</v>
      </c>
      <c r="L3443" s="166" t="str">
        <f t="shared" si="215"/>
        <v>06/2022</v>
      </c>
      <c r="M3443" s="82"/>
      <c r="N3443" s="82"/>
    </row>
    <row r="3444" spans="1:14" x14ac:dyDescent="0.25">
      <c r="A3444" s="170" t="s">
        <v>6156</v>
      </c>
      <c r="B3444" s="170" t="s">
        <v>16507</v>
      </c>
      <c r="C3444" s="170" t="s">
        <v>385</v>
      </c>
      <c r="D3444" s="170" t="s">
        <v>2067</v>
      </c>
      <c r="E3444" s="171" t="s">
        <v>21221</v>
      </c>
      <c r="F3444" s="171" t="s">
        <v>23126</v>
      </c>
      <c r="G3444" s="82"/>
      <c r="H3444" s="96">
        <f t="shared" si="212"/>
        <v>18.510000000000002</v>
      </c>
      <c r="I3444" s="96">
        <f t="shared" si="212"/>
        <v>18.649999999999999</v>
      </c>
      <c r="J3444" s="91" t="str">
        <f t="shared" si="213"/>
        <v>Sinapi 89448</v>
      </c>
      <c r="K3444" s="91" t="str">
        <f t="shared" si="214"/>
        <v>M</v>
      </c>
      <c r="L3444" s="166" t="str">
        <f t="shared" si="215"/>
        <v>06/2022</v>
      </c>
      <c r="M3444" s="82"/>
      <c r="N3444" s="82"/>
    </row>
    <row r="3445" spans="1:14" x14ac:dyDescent="0.25">
      <c r="A3445" s="170" t="s">
        <v>6157</v>
      </c>
      <c r="B3445" s="170" t="s">
        <v>16508</v>
      </c>
      <c r="C3445" s="170" t="s">
        <v>385</v>
      </c>
      <c r="D3445" s="170" t="s">
        <v>2067</v>
      </c>
      <c r="E3445" s="171" t="s">
        <v>19305</v>
      </c>
      <c r="F3445" s="171" t="s">
        <v>19392</v>
      </c>
      <c r="G3445" s="82"/>
      <c r="H3445" s="96">
        <f t="shared" si="212"/>
        <v>20.43</v>
      </c>
      <c r="I3445" s="96">
        <f t="shared" si="212"/>
        <v>20.59</v>
      </c>
      <c r="J3445" s="91" t="str">
        <f t="shared" si="213"/>
        <v>Sinapi 89449</v>
      </c>
      <c r="K3445" s="91" t="str">
        <f t="shared" si="214"/>
        <v>M</v>
      </c>
      <c r="L3445" s="166" t="str">
        <f t="shared" si="215"/>
        <v>06/2022</v>
      </c>
      <c r="M3445" s="82"/>
      <c r="N3445" s="82"/>
    </row>
    <row r="3446" spans="1:14" x14ac:dyDescent="0.25">
      <c r="A3446" s="170" t="s">
        <v>6158</v>
      </c>
      <c r="B3446" s="170" t="s">
        <v>16509</v>
      </c>
      <c r="C3446" s="170" t="s">
        <v>385</v>
      </c>
      <c r="D3446" s="170" t="s">
        <v>2067</v>
      </c>
      <c r="E3446" s="171" t="s">
        <v>19284</v>
      </c>
      <c r="F3446" s="171" t="s">
        <v>29978</v>
      </c>
      <c r="G3446" s="82"/>
      <c r="H3446" s="96">
        <f t="shared" si="212"/>
        <v>32.96</v>
      </c>
      <c r="I3446" s="96">
        <f t="shared" si="212"/>
        <v>33.159999999999997</v>
      </c>
      <c r="J3446" s="91" t="str">
        <f t="shared" si="213"/>
        <v>Sinapi 89450</v>
      </c>
      <c r="K3446" s="91" t="str">
        <f t="shared" si="214"/>
        <v>M</v>
      </c>
      <c r="L3446" s="166" t="str">
        <f t="shared" si="215"/>
        <v>06/2022</v>
      </c>
      <c r="M3446" s="82"/>
      <c r="N3446" s="82"/>
    </row>
    <row r="3447" spans="1:14" x14ac:dyDescent="0.25">
      <c r="A3447" s="170" t="s">
        <v>6159</v>
      </c>
      <c r="B3447" s="170" t="s">
        <v>16510</v>
      </c>
      <c r="C3447" s="170" t="s">
        <v>385</v>
      </c>
      <c r="D3447" s="170" t="s">
        <v>2067</v>
      </c>
      <c r="E3447" s="171" t="s">
        <v>29432</v>
      </c>
      <c r="F3447" s="171" t="s">
        <v>21813</v>
      </c>
      <c r="G3447" s="82"/>
      <c r="H3447" s="96">
        <f t="shared" si="212"/>
        <v>53.92</v>
      </c>
      <c r="I3447" s="96">
        <f t="shared" si="212"/>
        <v>54.15</v>
      </c>
      <c r="J3447" s="91" t="str">
        <f t="shared" si="213"/>
        <v>Sinapi 89451</v>
      </c>
      <c r="K3447" s="91" t="str">
        <f t="shared" si="214"/>
        <v>M</v>
      </c>
      <c r="L3447" s="166" t="str">
        <f t="shared" si="215"/>
        <v>06/2022</v>
      </c>
      <c r="M3447" s="82"/>
      <c r="N3447" s="82"/>
    </row>
    <row r="3448" spans="1:14" x14ac:dyDescent="0.25">
      <c r="A3448" s="170" t="s">
        <v>6160</v>
      </c>
      <c r="B3448" s="170" t="s">
        <v>16511</v>
      </c>
      <c r="C3448" s="170" t="s">
        <v>385</v>
      </c>
      <c r="D3448" s="170" t="s">
        <v>2067</v>
      </c>
      <c r="E3448" s="171" t="s">
        <v>33428</v>
      </c>
      <c r="F3448" s="171" t="s">
        <v>28945</v>
      </c>
      <c r="G3448" s="82"/>
      <c r="H3448" s="96">
        <f t="shared" si="212"/>
        <v>74.459999999999994</v>
      </c>
      <c r="I3448" s="96">
        <f t="shared" si="212"/>
        <v>74.73</v>
      </c>
      <c r="J3448" s="91" t="str">
        <f t="shared" si="213"/>
        <v>Sinapi 89452</v>
      </c>
      <c r="K3448" s="91" t="str">
        <f t="shared" si="214"/>
        <v>M</v>
      </c>
      <c r="L3448" s="166" t="str">
        <f t="shared" si="215"/>
        <v>06/2022</v>
      </c>
      <c r="M3448" s="82"/>
      <c r="N3448" s="82"/>
    </row>
    <row r="3449" spans="1:14" x14ac:dyDescent="0.25">
      <c r="A3449" s="170" t="s">
        <v>6161</v>
      </c>
      <c r="B3449" s="170" t="s">
        <v>16512</v>
      </c>
      <c r="C3449" s="170" t="s">
        <v>385</v>
      </c>
      <c r="D3449" s="170" t="s">
        <v>2067</v>
      </c>
      <c r="E3449" s="171" t="s">
        <v>18629</v>
      </c>
      <c r="F3449" s="171" t="s">
        <v>2545</v>
      </c>
      <c r="G3449" s="82"/>
      <c r="H3449" s="96">
        <f t="shared" si="212"/>
        <v>15.58</v>
      </c>
      <c r="I3449" s="96">
        <f t="shared" si="212"/>
        <v>16.28</v>
      </c>
      <c r="J3449" s="91" t="str">
        <f t="shared" si="213"/>
        <v>Sinapi 89508</v>
      </c>
      <c r="K3449" s="91" t="str">
        <f t="shared" si="214"/>
        <v>M</v>
      </c>
      <c r="L3449" s="166" t="str">
        <f t="shared" si="215"/>
        <v>06/2022</v>
      </c>
      <c r="M3449" s="82"/>
      <c r="N3449" s="82"/>
    </row>
    <row r="3450" spans="1:14" x14ac:dyDescent="0.25">
      <c r="A3450" s="170" t="s">
        <v>6162</v>
      </c>
      <c r="B3450" s="170" t="s">
        <v>16513</v>
      </c>
      <c r="C3450" s="170" t="s">
        <v>385</v>
      </c>
      <c r="D3450" s="170" t="s">
        <v>2067</v>
      </c>
      <c r="E3450" s="171" t="s">
        <v>15668</v>
      </c>
      <c r="F3450" s="171" t="s">
        <v>17529</v>
      </c>
      <c r="G3450" s="82"/>
      <c r="H3450" s="96">
        <f t="shared" si="212"/>
        <v>21.16</v>
      </c>
      <c r="I3450" s="96">
        <f t="shared" si="212"/>
        <v>22.06</v>
      </c>
      <c r="J3450" s="91" t="str">
        <f t="shared" si="213"/>
        <v>Sinapi 89509</v>
      </c>
      <c r="K3450" s="91" t="str">
        <f t="shared" si="214"/>
        <v>M</v>
      </c>
      <c r="L3450" s="166" t="str">
        <f t="shared" si="215"/>
        <v>06/2022</v>
      </c>
      <c r="M3450" s="82"/>
      <c r="N3450" s="82"/>
    </row>
    <row r="3451" spans="1:14" x14ac:dyDescent="0.25">
      <c r="A3451" s="170" t="s">
        <v>6163</v>
      </c>
      <c r="B3451" s="170" t="s">
        <v>16514</v>
      </c>
      <c r="C3451" s="170" t="s">
        <v>385</v>
      </c>
      <c r="D3451" s="170" t="s">
        <v>2067</v>
      </c>
      <c r="E3451" s="171" t="s">
        <v>22730</v>
      </c>
      <c r="F3451" s="171" t="s">
        <v>36651</v>
      </c>
      <c r="G3451" s="82"/>
      <c r="H3451" s="96">
        <f t="shared" si="212"/>
        <v>36.33</v>
      </c>
      <c r="I3451" s="96">
        <f t="shared" si="212"/>
        <v>37.72</v>
      </c>
      <c r="J3451" s="91" t="str">
        <f t="shared" si="213"/>
        <v>Sinapi 89511</v>
      </c>
      <c r="K3451" s="91" t="str">
        <f t="shared" si="214"/>
        <v>M</v>
      </c>
      <c r="L3451" s="166" t="str">
        <f t="shared" si="215"/>
        <v>06/2022</v>
      </c>
      <c r="M3451" s="82"/>
      <c r="N3451" s="82"/>
    </row>
    <row r="3452" spans="1:14" x14ac:dyDescent="0.25">
      <c r="A3452" s="170" t="s">
        <v>6164</v>
      </c>
      <c r="B3452" s="170" t="s">
        <v>16515</v>
      </c>
      <c r="C3452" s="170" t="s">
        <v>385</v>
      </c>
      <c r="D3452" s="170" t="s">
        <v>2067</v>
      </c>
      <c r="E3452" s="171" t="s">
        <v>22847</v>
      </c>
      <c r="F3452" s="171" t="s">
        <v>29239</v>
      </c>
      <c r="G3452" s="82"/>
      <c r="H3452" s="96">
        <f t="shared" si="212"/>
        <v>45.83</v>
      </c>
      <c r="I3452" s="96">
        <f t="shared" si="212"/>
        <v>47.74</v>
      </c>
      <c r="J3452" s="91" t="str">
        <f t="shared" si="213"/>
        <v>Sinapi 89512</v>
      </c>
      <c r="K3452" s="91" t="str">
        <f t="shared" si="214"/>
        <v>M</v>
      </c>
      <c r="L3452" s="166" t="str">
        <f t="shared" si="215"/>
        <v>06/2022</v>
      </c>
      <c r="M3452" s="82"/>
      <c r="N3452" s="82"/>
    </row>
    <row r="3453" spans="1:14" x14ac:dyDescent="0.25">
      <c r="A3453" s="170" t="s">
        <v>6165</v>
      </c>
      <c r="B3453" s="170" t="s">
        <v>16516</v>
      </c>
      <c r="C3453" s="170" t="s">
        <v>385</v>
      </c>
      <c r="D3453" s="170" t="s">
        <v>2067</v>
      </c>
      <c r="E3453" s="171" t="s">
        <v>19385</v>
      </c>
      <c r="F3453" s="171" t="s">
        <v>35359</v>
      </c>
      <c r="G3453" s="82"/>
      <c r="H3453" s="96">
        <f t="shared" si="212"/>
        <v>26.25</v>
      </c>
      <c r="I3453" s="96">
        <f t="shared" si="212"/>
        <v>26.48</v>
      </c>
      <c r="J3453" s="91" t="str">
        <f t="shared" si="213"/>
        <v>Sinapi 89576</v>
      </c>
      <c r="K3453" s="91" t="str">
        <f t="shared" si="214"/>
        <v>M</v>
      </c>
      <c r="L3453" s="166" t="str">
        <f t="shared" si="215"/>
        <v>06/2022</v>
      </c>
      <c r="M3453" s="82"/>
      <c r="N3453" s="82"/>
    </row>
    <row r="3454" spans="1:14" x14ac:dyDescent="0.25">
      <c r="A3454" s="170" t="s">
        <v>6166</v>
      </c>
      <c r="B3454" s="170" t="s">
        <v>16517</v>
      </c>
      <c r="C3454" s="170" t="s">
        <v>385</v>
      </c>
      <c r="D3454" s="170" t="s">
        <v>2067</v>
      </c>
      <c r="E3454" s="171" t="s">
        <v>29749</v>
      </c>
      <c r="F3454" s="171" t="s">
        <v>36652</v>
      </c>
      <c r="G3454" s="82"/>
      <c r="H3454" s="96">
        <f t="shared" si="212"/>
        <v>32.44</v>
      </c>
      <c r="I3454" s="96">
        <f t="shared" si="212"/>
        <v>32.79</v>
      </c>
      <c r="J3454" s="91" t="str">
        <f t="shared" si="213"/>
        <v>Sinapi 89578</v>
      </c>
      <c r="K3454" s="91" t="str">
        <f t="shared" si="214"/>
        <v>M</v>
      </c>
      <c r="L3454" s="166" t="str">
        <f t="shared" si="215"/>
        <v>06/2022</v>
      </c>
      <c r="M3454" s="82"/>
      <c r="N3454" s="82"/>
    </row>
    <row r="3455" spans="1:14" x14ac:dyDescent="0.25">
      <c r="A3455" s="170" t="s">
        <v>6167</v>
      </c>
      <c r="B3455" s="170" t="s">
        <v>16518</v>
      </c>
      <c r="C3455" s="170" t="s">
        <v>385</v>
      </c>
      <c r="D3455" s="170" t="s">
        <v>2067</v>
      </c>
      <c r="E3455" s="171" t="s">
        <v>29166</v>
      </c>
      <c r="F3455" s="171" t="s">
        <v>34487</v>
      </c>
      <c r="G3455" s="82"/>
      <c r="H3455" s="96">
        <f t="shared" si="212"/>
        <v>67.3</v>
      </c>
      <c r="I3455" s="96">
        <f t="shared" si="212"/>
        <v>67.92</v>
      </c>
      <c r="J3455" s="91" t="str">
        <f t="shared" si="213"/>
        <v>Sinapi 89580</v>
      </c>
      <c r="K3455" s="91" t="str">
        <f t="shared" si="214"/>
        <v>M</v>
      </c>
      <c r="L3455" s="166" t="str">
        <f t="shared" si="215"/>
        <v>06/2022</v>
      </c>
      <c r="M3455" s="82"/>
      <c r="N3455" s="82"/>
    </row>
    <row r="3456" spans="1:14" x14ac:dyDescent="0.25">
      <c r="A3456" s="170" t="s">
        <v>6168</v>
      </c>
      <c r="B3456" s="170" t="s">
        <v>16519</v>
      </c>
      <c r="C3456" s="170" t="s">
        <v>385</v>
      </c>
      <c r="D3456" s="170" t="s">
        <v>2067</v>
      </c>
      <c r="E3456" s="171" t="s">
        <v>23068</v>
      </c>
      <c r="F3456" s="171" t="s">
        <v>31162</v>
      </c>
      <c r="G3456" s="82"/>
      <c r="H3456" s="96">
        <f t="shared" si="212"/>
        <v>25.98</v>
      </c>
      <c r="I3456" s="96">
        <f t="shared" si="212"/>
        <v>27.28</v>
      </c>
      <c r="J3456" s="91" t="str">
        <f t="shared" si="213"/>
        <v>Sinapi 89633</v>
      </c>
      <c r="K3456" s="91" t="str">
        <f t="shared" si="214"/>
        <v>M</v>
      </c>
      <c r="L3456" s="166" t="str">
        <f t="shared" si="215"/>
        <v>06/2022</v>
      </c>
      <c r="M3456" s="82"/>
      <c r="N3456" s="82"/>
    </row>
    <row r="3457" spans="1:14" x14ac:dyDescent="0.25">
      <c r="A3457" s="170" t="s">
        <v>6170</v>
      </c>
      <c r="B3457" s="170" t="s">
        <v>16520</v>
      </c>
      <c r="C3457" s="170" t="s">
        <v>385</v>
      </c>
      <c r="D3457" s="170" t="s">
        <v>2067</v>
      </c>
      <c r="E3457" s="171" t="s">
        <v>33429</v>
      </c>
      <c r="F3457" s="171" t="s">
        <v>22997</v>
      </c>
      <c r="G3457" s="82"/>
      <c r="H3457" s="96">
        <f t="shared" si="212"/>
        <v>37.76</v>
      </c>
      <c r="I3457" s="96">
        <f t="shared" si="212"/>
        <v>39.4</v>
      </c>
      <c r="J3457" s="91" t="str">
        <f t="shared" si="213"/>
        <v>Sinapi 89634</v>
      </c>
      <c r="K3457" s="91" t="str">
        <f t="shared" si="214"/>
        <v>M</v>
      </c>
      <c r="L3457" s="166" t="str">
        <f t="shared" si="215"/>
        <v>06/2022</v>
      </c>
      <c r="M3457" s="82"/>
      <c r="N3457" s="82"/>
    </row>
    <row r="3458" spans="1:14" x14ac:dyDescent="0.25">
      <c r="A3458" s="170" t="s">
        <v>6171</v>
      </c>
      <c r="B3458" s="170" t="s">
        <v>16521</v>
      </c>
      <c r="C3458" s="170" t="s">
        <v>385</v>
      </c>
      <c r="D3458" s="170" t="s">
        <v>2067</v>
      </c>
      <c r="E3458" s="171" t="s">
        <v>33430</v>
      </c>
      <c r="F3458" s="171" t="s">
        <v>31372</v>
      </c>
      <c r="G3458" s="82"/>
      <c r="H3458" s="96">
        <f t="shared" si="212"/>
        <v>57.24</v>
      </c>
      <c r="I3458" s="96">
        <f t="shared" si="212"/>
        <v>59.18</v>
      </c>
      <c r="J3458" s="91" t="str">
        <f t="shared" si="213"/>
        <v>Sinapi 89635</v>
      </c>
      <c r="K3458" s="91" t="str">
        <f t="shared" si="214"/>
        <v>M</v>
      </c>
      <c r="L3458" s="166" t="str">
        <f t="shared" si="215"/>
        <v>06/2022</v>
      </c>
      <c r="M3458" s="82"/>
      <c r="N3458" s="82"/>
    </row>
    <row r="3459" spans="1:14" x14ac:dyDescent="0.25">
      <c r="A3459" s="170" t="s">
        <v>6172</v>
      </c>
      <c r="B3459" s="170" t="s">
        <v>16522</v>
      </c>
      <c r="C3459" s="170" t="s">
        <v>385</v>
      </c>
      <c r="D3459" s="170" t="s">
        <v>2067</v>
      </c>
      <c r="E3459" s="171" t="s">
        <v>23334</v>
      </c>
      <c r="F3459" s="171" t="s">
        <v>31986</v>
      </c>
      <c r="G3459" s="82"/>
      <c r="H3459" s="96">
        <f t="shared" si="212"/>
        <v>72.58</v>
      </c>
      <c r="I3459" s="96">
        <f t="shared" si="212"/>
        <v>74.87</v>
      </c>
      <c r="J3459" s="91" t="str">
        <f t="shared" si="213"/>
        <v>Sinapi 89636</v>
      </c>
      <c r="K3459" s="91" t="str">
        <f t="shared" si="214"/>
        <v>M</v>
      </c>
      <c r="L3459" s="166" t="str">
        <f t="shared" si="215"/>
        <v>06/2022</v>
      </c>
      <c r="M3459" s="82"/>
      <c r="N3459" s="82"/>
    </row>
    <row r="3460" spans="1:14" x14ac:dyDescent="0.25">
      <c r="A3460" s="170" t="s">
        <v>6173</v>
      </c>
      <c r="B3460" s="170" t="s">
        <v>17448</v>
      </c>
      <c r="C3460" s="170" t="s">
        <v>385</v>
      </c>
      <c r="D3460" s="170" t="s">
        <v>2067</v>
      </c>
      <c r="E3460" s="171" t="s">
        <v>23055</v>
      </c>
      <c r="F3460" s="171" t="s">
        <v>21180</v>
      </c>
      <c r="G3460" s="82"/>
      <c r="H3460" s="96">
        <f t="shared" si="212"/>
        <v>18.97</v>
      </c>
      <c r="I3460" s="96">
        <f t="shared" si="212"/>
        <v>20.36</v>
      </c>
      <c r="J3460" s="91" t="str">
        <f t="shared" si="213"/>
        <v>Sinapi 89711</v>
      </c>
      <c r="K3460" s="91" t="str">
        <f t="shared" si="214"/>
        <v>M</v>
      </c>
      <c r="L3460" s="166" t="str">
        <f t="shared" si="215"/>
        <v>08/2022</v>
      </c>
      <c r="M3460" s="82"/>
      <c r="N3460" s="82"/>
    </row>
    <row r="3461" spans="1:14" x14ac:dyDescent="0.25">
      <c r="A3461" s="170" t="s">
        <v>6174</v>
      </c>
      <c r="B3461" s="170" t="s">
        <v>17449</v>
      </c>
      <c r="C3461" s="170" t="s">
        <v>385</v>
      </c>
      <c r="D3461" s="170" t="s">
        <v>2067</v>
      </c>
      <c r="E3461" s="171" t="s">
        <v>19875</v>
      </c>
      <c r="F3461" s="171" t="s">
        <v>22717</v>
      </c>
      <c r="G3461" s="82"/>
      <c r="H3461" s="96">
        <f t="shared" si="212"/>
        <v>24.53</v>
      </c>
      <c r="I3461" s="96">
        <f t="shared" si="212"/>
        <v>26.03</v>
      </c>
      <c r="J3461" s="91" t="str">
        <f t="shared" si="213"/>
        <v>Sinapi 89712</v>
      </c>
      <c r="K3461" s="91" t="str">
        <f t="shared" si="214"/>
        <v>M</v>
      </c>
      <c r="L3461" s="166" t="str">
        <f t="shared" si="215"/>
        <v>08/2022</v>
      </c>
      <c r="M3461" s="82"/>
      <c r="N3461" s="82"/>
    </row>
    <row r="3462" spans="1:14" x14ac:dyDescent="0.25">
      <c r="A3462" s="170" t="s">
        <v>6175</v>
      </c>
      <c r="B3462" s="170" t="s">
        <v>17450</v>
      </c>
      <c r="C3462" s="170" t="s">
        <v>385</v>
      </c>
      <c r="D3462" s="170" t="s">
        <v>2067</v>
      </c>
      <c r="E3462" s="171" t="s">
        <v>24704</v>
      </c>
      <c r="F3462" s="171" t="s">
        <v>28837</v>
      </c>
      <c r="G3462" s="82"/>
      <c r="H3462" s="96">
        <f t="shared" si="212"/>
        <v>30.69</v>
      </c>
      <c r="I3462" s="96">
        <f t="shared" si="212"/>
        <v>32.479999999999997</v>
      </c>
      <c r="J3462" s="91" t="str">
        <f t="shared" si="213"/>
        <v>Sinapi 89713</v>
      </c>
      <c r="K3462" s="91" t="str">
        <f t="shared" si="214"/>
        <v>M</v>
      </c>
      <c r="L3462" s="166" t="str">
        <f t="shared" si="215"/>
        <v>08/2022</v>
      </c>
      <c r="M3462" s="82"/>
      <c r="N3462" s="82"/>
    </row>
    <row r="3463" spans="1:14" x14ac:dyDescent="0.25">
      <c r="A3463" s="170" t="s">
        <v>6176</v>
      </c>
      <c r="B3463" s="170" t="s">
        <v>17451</v>
      </c>
      <c r="C3463" s="170" t="s">
        <v>385</v>
      </c>
      <c r="D3463" s="170" t="s">
        <v>2067</v>
      </c>
      <c r="E3463" s="171" t="s">
        <v>21472</v>
      </c>
      <c r="F3463" s="171" t="s">
        <v>36653</v>
      </c>
      <c r="G3463" s="82"/>
      <c r="H3463" s="96">
        <f t="shared" si="212"/>
        <v>34.15</v>
      </c>
      <c r="I3463" s="96">
        <f t="shared" si="212"/>
        <v>36.24</v>
      </c>
      <c r="J3463" s="91" t="str">
        <f t="shared" si="213"/>
        <v>Sinapi 89714</v>
      </c>
      <c r="K3463" s="91" t="str">
        <f t="shared" si="214"/>
        <v>M</v>
      </c>
      <c r="L3463" s="166" t="str">
        <f t="shared" si="215"/>
        <v>08/2022</v>
      </c>
      <c r="M3463" s="82"/>
      <c r="N3463" s="82"/>
    </row>
    <row r="3464" spans="1:14" x14ac:dyDescent="0.25">
      <c r="A3464" s="170" t="s">
        <v>6177</v>
      </c>
      <c r="B3464" s="170" t="s">
        <v>16523</v>
      </c>
      <c r="C3464" s="170" t="s">
        <v>385</v>
      </c>
      <c r="D3464" s="170" t="s">
        <v>2067</v>
      </c>
      <c r="E3464" s="171" t="s">
        <v>21904</v>
      </c>
      <c r="F3464" s="171" t="s">
        <v>30641</v>
      </c>
      <c r="G3464" s="82"/>
      <c r="H3464" s="96">
        <f t="shared" ref="H3464:I3527" si="216">IF(E3464="","",E3464+0)</f>
        <v>29.39</v>
      </c>
      <c r="I3464" s="96">
        <f t="shared" si="216"/>
        <v>30.08</v>
      </c>
      <c r="J3464" s="91" t="str">
        <f t="shared" ref="J3464:J3527" si="217">IF(OR(H3464="",I3464=""),"",TRIM(CONCATENATE("Sinapi ",A3464)))</f>
        <v>Sinapi 89716</v>
      </c>
      <c r="K3464" s="91" t="str">
        <f t="shared" ref="K3464:K3527" si="218">TRIM(C3464)</f>
        <v>M</v>
      </c>
      <c r="L3464" s="166" t="str">
        <f t="shared" ref="L3464:L3527" si="219">IF(OR(RIGHT(IF(AND(K3464&lt;&gt;"H",K3464&lt;&gt;"MES"),RIGHT(B3464,7),""),2)="PS",RIGHT(IF(AND(K3464&lt;&gt;"H",K3464&lt;&gt;"MES"),RIGHT(B3464,7),""),2)="PA",RIGHT(IF(AND(K3464&lt;&gt;"H",K3464&lt;&gt;"MES"),RIGHT(B3464,7),""),2)="PE"),LEFT(IF(AND(K3464&lt;&gt;"H",K3464&lt;&gt;"MES"),RIGHT(B3464,10),""),7),IF(AND(K3464&lt;&gt;"H",K3464&lt;&gt;"MES"),RIGHT(B3464,7),""))</f>
        <v>06/2022</v>
      </c>
      <c r="M3464" s="82"/>
      <c r="N3464" s="82"/>
    </row>
    <row r="3465" spans="1:14" x14ac:dyDescent="0.25">
      <c r="A3465" s="170" t="s">
        <v>6179</v>
      </c>
      <c r="B3465" s="170" t="s">
        <v>16524</v>
      </c>
      <c r="C3465" s="170" t="s">
        <v>385</v>
      </c>
      <c r="D3465" s="170" t="s">
        <v>2067</v>
      </c>
      <c r="E3465" s="171" t="s">
        <v>26157</v>
      </c>
      <c r="F3465" s="171" t="s">
        <v>36654</v>
      </c>
      <c r="G3465" s="82"/>
      <c r="H3465" s="96">
        <f t="shared" si="216"/>
        <v>47.38</v>
      </c>
      <c r="I3465" s="96">
        <f t="shared" si="216"/>
        <v>48.19</v>
      </c>
      <c r="J3465" s="91" t="str">
        <f t="shared" si="217"/>
        <v>Sinapi 89717</v>
      </c>
      <c r="K3465" s="91" t="str">
        <f t="shared" si="218"/>
        <v>M</v>
      </c>
      <c r="L3465" s="166" t="str">
        <f t="shared" si="219"/>
        <v>06/2022</v>
      </c>
      <c r="M3465" s="82"/>
      <c r="N3465" s="82"/>
    </row>
    <row r="3466" spans="1:14" x14ac:dyDescent="0.25">
      <c r="A3466" s="170" t="s">
        <v>6180</v>
      </c>
      <c r="B3466" s="170" t="s">
        <v>16525</v>
      </c>
      <c r="C3466" s="170" t="s">
        <v>385</v>
      </c>
      <c r="D3466" s="170" t="s">
        <v>2067</v>
      </c>
      <c r="E3466" s="171" t="s">
        <v>21836</v>
      </c>
      <c r="F3466" s="171" t="s">
        <v>28568</v>
      </c>
      <c r="G3466" s="82"/>
      <c r="H3466" s="96">
        <f t="shared" si="216"/>
        <v>53.67</v>
      </c>
      <c r="I3466" s="96">
        <f t="shared" si="216"/>
        <v>53.79</v>
      </c>
      <c r="J3466" s="91" t="str">
        <f t="shared" si="217"/>
        <v>Sinapi 89770</v>
      </c>
      <c r="K3466" s="91" t="str">
        <f t="shared" si="218"/>
        <v>M</v>
      </c>
      <c r="L3466" s="166" t="str">
        <f t="shared" si="219"/>
        <v>06/2022</v>
      </c>
      <c r="M3466" s="82"/>
      <c r="N3466" s="82"/>
    </row>
    <row r="3467" spans="1:14" x14ac:dyDescent="0.25">
      <c r="A3467" s="170" t="s">
        <v>6181</v>
      </c>
      <c r="B3467" s="170" t="s">
        <v>16526</v>
      </c>
      <c r="C3467" s="170" t="s">
        <v>385</v>
      </c>
      <c r="D3467" s="170" t="s">
        <v>2067</v>
      </c>
      <c r="E3467" s="171" t="s">
        <v>33431</v>
      </c>
      <c r="F3467" s="171" t="s">
        <v>36655</v>
      </c>
      <c r="G3467" s="82"/>
      <c r="H3467" s="96">
        <f t="shared" si="216"/>
        <v>71.709999999999994</v>
      </c>
      <c r="I3467" s="96">
        <f t="shared" si="216"/>
        <v>71.849999999999994</v>
      </c>
      <c r="J3467" s="91" t="str">
        <f t="shared" si="217"/>
        <v>Sinapi 89771</v>
      </c>
      <c r="K3467" s="91" t="str">
        <f t="shared" si="218"/>
        <v>M</v>
      </c>
      <c r="L3467" s="166" t="str">
        <f t="shared" si="219"/>
        <v>06/2022</v>
      </c>
      <c r="M3467" s="82"/>
      <c r="N3467" s="82"/>
    </row>
    <row r="3468" spans="1:14" x14ac:dyDescent="0.25">
      <c r="A3468" s="170" t="s">
        <v>6182</v>
      </c>
      <c r="B3468" s="170" t="s">
        <v>16527</v>
      </c>
      <c r="C3468" s="170" t="s">
        <v>385</v>
      </c>
      <c r="D3468" s="170" t="s">
        <v>2067</v>
      </c>
      <c r="E3468" s="171" t="s">
        <v>33432</v>
      </c>
      <c r="F3468" s="171" t="s">
        <v>35281</v>
      </c>
      <c r="G3468" s="82"/>
      <c r="H3468" s="96">
        <f t="shared" si="216"/>
        <v>168.87</v>
      </c>
      <c r="I3468" s="96">
        <f t="shared" si="216"/>
        <v>169.1</v>
      </c>
      <c r="J3468" s="91" t="str">
        <f t="shared" si="217"/>
        <v>Sinapi 89773</v>
      </c>
      <c r="K3468" s="91" t="str">
        <f t="shared" si="218"/>
        <v>M</v>
      </c>
      <c r="L3468" s="166" t="str">
        <f t="shared" si="219"/>
        <v>06/2022</v>
      </c>
      <c r="M3468" s="82"/>
      <c r="N3468" s="82"/>
    </row>
    <row r="3469" spans="1:14" x14ac:dyDescent="0.25">
      <c r="A3469" s="170" t="s">
        <v>6183</v>
      </c>
      <c r="B3469" s="170" t="s">
        <v>16528</v>
      </c>
      <c r="C3469" s="170" t="s">
        <v>385</v>
      </c>
      <c r="D3469" s="170" t="s">
        <v>2067</v>
      </c>
      <c r="E3469" s="171" t="s">
        <v>33433</v>
      </c>
      <c r="F3469" s="171" t="s">
        <v>30914</v>
      </c>
      <c r="G3469" s="82"/>
      <c r="H3469" s="96">
        <f t="shared" si="216"/>
        <v>264.32</v>
      </c>
      <c r="I3469" s="96">
        <f t="shared" si="216"/>
        <v>264.58999999999997</v>
      </c>
      <c r="J3469" s="91" t="str">
        <f t="shared" si="217"/>
        <v>Sinapi 89775</v>
      </c>
      <c r="K3469" s="91" t="str">
        <f t="shared" si="218"/>
        <v>M</v>
      </c>
      <c r="L3469" s="166" t="str">
        <f t="shared" si="219"/>
        <v>06/2022</v>
      </c>
      <c r="M3469" s="82"/>
      <c r="N3469" s="82"/>
    </row>
    <row r="3470" spans="1:14" x14ac:dyDescent="0.25">
      <c r="A3470" s="170" t="s">
        <v>6184</v>
      </c>
      <c r="B3470" s="170" t="s">
        <v>17452</v>
      </c>
      <c r="C3470" s="170" t="s">
        <v>385</v>
      </c>
      <c r="D3470" s="170" t="s">
        <v>2067</v>
      </c>
      <c r="E3470" s="171" t="s">
        <v>28630</v>
      </c>
      <c r="F3470" s="171" t="s">
        <v>19899</v>
      </c>
      <c r="G3470" s="82"/>
      <c r="H3470" s="96">
        <f t="shared" si="216"/>
        <v>13.16</v>
      </c>
      <c r="I3470" s="96">
        <f t="shared" si="216"/>
        <v>13.35</v>
      </c>
      <c r="J3470" s="91" t="str">
        <f t="shared" si="217"/>
        <v>Sinapi 89798</v>
      </c>
      <c r="K3470" s="91" t="str">
        <f t="shared" si="218"/>
        <v>M</v>
      </c>
      <c r="L3470" s="166" t="str">
        <f t="shared" si="219"/>
        <v>08/2022</v>
      </c>
      <c r="M3470" s="82"/>
      <c r="N3470" s="82"/>
    </row>
    <row r="3471" spans="1:14" x14ac:dyDescent="0.25">
      <c r="A3471" s="170" t="s">
        <v>6185</v>
      </c>
      <c r="B3471" s="170" t="s">
        <v>17453</v>
      </c>
      <c r="C3471" s="170" t="s">
        <v>385</v>
      </c>
      <c r="D3471" s="170" t="s">
        <v>2067</v>
      </c>
      <c r="E3471" s="171" t="s">
        <v>20037</v>
      </c>
      <c r="F3471" s="171" t="s">
        <v>21448</v>
      </c>
      <c r="G3471" s="82"/>
      <c r="H3471" s="96">
        <f t="shared" si="216"/>
        <v>21.24</v>
      </c>
      <c r="I3471" s="96">
        <f t="shared" si="216"/>
        <v>21.96</v>
      </c>
      <c r="J3471" s="91" t="str">
        <f t="shared" si="217"/>
        <v>Sinapi 89799</v>
      </c>
      <c r="K3471" s="91" t="str">
        <f t="shared" si="218"/>
        <v>M</v>
      </c>
      <c r="L3471" s="166" t="str">
        <f t="shared" si="219"/>
        <v>08/2022</v>
      </c>
      <c r="M3471" s="82"/>
      <c r="N3471" s="82"/>
    </row>
    <row r="3472" spans="1:14" x14ac:dyDescent="0.25">
      <c r="A3472" s="170" t="s">
        <v>6186</v>
      </c>
      <c r="B3472" s="170" t="s">
        <v>17454</v>
      </c>
      <c r="C3472" s="170" t="s">
        <v>385</v>
      </c>
      <c r="D3472" s="170" t="s">
        <v>2067</v>
      </c>
      <c r="E3472" s="171" t="s">
        <v>28696</v>
      </c>
      <c r="F3472" s="171" t="s">
        <v>21874</v>
      </c>
      <c r="G3472" s="82"/>
      <c r="H3472" s="96">
        <f t="shared" si="216"/>
        <v>26.67</v>
      </c>
      <c r="I3472" s="96">
        <f t="shared" si="216"/>
        <v>27.91</v>
      </c>
      <c r="J3472" s="91" t="str">
        <f t="shared" si="217"/>
        <v>Sinapi 89800</v>
      </c>
      <c r="K3472" s="91" t="str">
        <f t="shared" si="218"/>
        <v>M</v>
      </c>
      <c r="L3472" s="166" t="str">
        <f t="shared" si="219"/>
        <v>08/2022</v>
      </c>
      <c r="M3472" s="82"/>
      <c r="N3472" s="82"/>
    </row>
    <row r="3473" spans="1:14" x14ac:dyDescent="0.25">
      <c r="A3473" s="170" t="s">
        <v>6187</v>
      </c>
      <c r="B3473" s="170" t="s">
        <v>17455</v>
      </c>
      <c r="C3473" s="170" t="s">
        <v>385</v>
      </c>
      <c r="D3473" s="170" t="s">
        <v>2067</v>
      </c>
      <c r="E3473" s="171" t="s">
        <v>31119</v>
      </c>
      <c r="F3473" s="171" t="s">
        <v>31173</v>
      </c>
      <c r="G3473" s="82"/>
      <c r="H3473" s="96">
        <f t="shared" si="216"/>
        <v>25.7</v>
      </c>
      <c r="I3473" s="96">
        <f t="shared" si="216"/>
        <v>26.82</v>
      </c>
      <c r="J3473" s="91" t="str">
        <f t="shared" si="217"/>
        <v>Sinapi 89848</v>
      </c>
      <c r="K3473" s="91" t="str">
        <f t="shared" si="218"/>
        <v>M</v>
      </c>
      <c r="L3473" s="166" t="str">
        <f t="shared" si="219"/>
        <v>08/2022</v>
      </c>
      <c r="M3473" s="82"/>
      <c r="N3473" s="82"/>
    </row>
    <row r="3474" spans="1:14" x14ac:dyDescent="0.25">
      <c r="A3474" s="170" t="s">
        <v>6188</v>
      </c>
      <c r="B3474" s="170" t="s">
        <v>17456</v>
      </c>
      <c r="C3474" s="170" t="s">
        <v>385</v>
      </c>
      <c r="D3474" s="170" t="s">
        <v>2067</v>
      </c>
      <c r="E3474" s="171" t="s">
        <v>28474</v>
      </c>
      <c r="F3474" s="171" t="s">
        <v>23239</v>
      </c>
      <c r="G3474" s="82"/>
      <c r="H3474" s="96">
        <f t="shared" si="216"/>
        <v>54.19</v>
      </c>
      <c r="I3474" s="96">
        <f t="shared" si="216"/>
        <v>55.66</v>
      </c>
      <c r="J3474" s="91" t="str">
        <f t="shared" si="217"/>
        <v>Sinapi 89849</v>
      </c>
      <c r="K3474" s="91" t="str">
        <f t="shared" si="218"/>
        <v>M</v>
      </c>
      <c r="L3474" s="166" t="str">
        <f t="shared" si="219"/>
        <v>08/2022</v>
      </c>
      <c r="M3474" s="82"/>
      <c r="N3474" s="82"/>
    </row>
    <row r="3475" spans="1:14" x14ac:dyDescent="0.25">
      <c r="A3475" s="170" t="s">
        <v>6189</v>
      </c>
      <c r="B3475" s="170" t="s">
        <v>17457</v>
      </c>
      <c r="C3475" s="170" t="s">
        <v>385</v>
      </c>
      <c r="D3475" s="170" t="s">
        <v>2067</v>
      </c>
      <c r="E3475" s="171" t="s">
        <v>18697</v>
      </c>
      <c r="F3475" s="171" t="s">
        <v>17131</v>
      </c>
      <c r="G3475" s="82"/>
      <c r="H3475" s="96">
        <f t="shared" si="216"/>
        <v>15.65</v>
      </c>
      <c r="I3475" s="96">
        <f t="shared" si="216"/>
        <v>16.86</v>
      </c>
      <c r="J3475" s="91" t="str">
        <f t="shared" si="217"/>
        <v>Sinapi 89865</v>
      </c>
      <c r="K3475" s="91" t="str">
        <f t="shared" si="218"/>
        <v>M</v>
      </c>
      <c r="L3475" s="166" t="str">
        <f t="shared" si="219"/>
        <v>08/2022</v>
      </c>
      <c r="M3475" s="82"/>
      <c r="N3475" s="82"/>
    </row>
    <row r="3476" spans="1:14" x14ac:dyDescent="0.25">
      <c r="A3476" s="170" t="s">
        <v>6190</v>
      </c>
      <c r="B3476" s="170" t="s">
        <v>6191</v>
      </c>
      <c r="C3476" s="170" t="s">
        <v>385</v>
      </c>
      <c r="D3476" s="170" t="s">
        <v>2067</v>
      </c>
      <c r="E3476" s="171" t="s">
        <v>33434</v>
      </c>
      <c r="F3476" s="171" t="s">
        <v>28477</v>
      </c>
      <c r="G3476" s="82"/>
      <c r="H3476" s="96">
        <f t="shared" si="216"/>
        <v>42.75</v>
      </c>
      <c r="I3476" s="96">
        <f t="shared" si="216"/>
        <v>46.23</v>
      </c>
      <c r="J3476" s="91" t="str">
        <f t="shared" si="217"/>
        <v>Sinapi 91784</v>
      </c>
      <c r="K3476" s="91" t="str">
        <f t="shared" si="218"/>
        <v>M</v>
      </c>
      <c r="L3476" s="166" t="str">
        <f t="shared" si="219"/>
        <v>10/2015</v>
      </c>
      <c r="M3476" s="82"/>
      <c r="N3476" s="82"/>
    </row>
    <row r="3477" spans="1:14" x14ac:dyDescent="0.25">
      <c r="A3477" s="170" t="s">
        <v>6192</v>
      </c>
      <c r="B3477" s="170" t="s">
        <v>6193</v>
      </c>
      <c r="C3477" s="170" t="s">
        <v>385</v>
      </c>
      <c r="D3477" s="170" t="s">
        <v>1947</v>
      </c>
      <c r="E3477" s="171" t="s">
        <v>33435</v>
      </c>
      <c r="F3477" s="171" t="s">
        <v>27372</v>
      </c>
      <c r="G3477" s="82"/>
      <c r="H3477" s="96">
        <f t="shared" si="216"/>
        <v>41.73</v>
      </c>
      <c r="I3477" s="96">
        <f t="shared" si="216"/>
        <v>45.08</v>
      </c>
      <c r="J3477" s="91" t="str">
        <f t="shared" si="217"/>
        <v>Sinapi 91785</v>
      </c>
      <c r="K3477" s="91" t="str">
        <f t="shared" si="218"/>
        <v>M</v>
      </c>
      <c r="L3477" s="166" t="str">
        <f t="shared" si="219"/>
        <v>10/2015</v>
      </c>
      <c r="M3477" s="82"/>
      <c r="N3477" s="82"/>
    </row>
    <row r="3478" spans="1:14" x14ac:dyDescent="0.25">
      <c r="A3478" s="170" t="s">
        <v>6194</v>
      </c>
      <c r="B3478" s="170" t="s">
        <v>6195</v>
      </c>
      <c r="C3478" s="170" t="s">
        <v>385</v>
      </c>
      <c r="D3478" s="170" t="s">
        <v>1947</v>
      </c>
      <c r="E3478" s="171" t="s">
        <v>24649</v>
      </c>
      <c r="F3478" s="171" t="s">
        <v>19284</v>
      </c>
      <c r="G3478" s="82"/>
      <c r="H3478" s="96">
        <f t="shared" si="216"/>
        <v>31.52</v>
      </c>
      <c r="I3478" s="96">
        <f t="shared" si="216"/>
        <v>32.96</v>
      </c>
      <c r="J3478" s="91" t="str">
        <f t="shared" si="217"/>
        <v>Sinapi 91786</v>
      </c>
      <c r="K3478" s="91" t="str">
        <f t="shared" si="218"/>
        <v>M</v>
      </c>
      <c r="L3478" s="166" t="str">
        <f t="shared" si="219"/>
        <v>10/2015</v>
      </c>
      <c r="M3478" s="82"/>
      <c r="N3478" s="82"/>
    </row>
    <row r="3479" spans="1:14" x14ac:dyDescent="0.25">
      <c r="A3479" s="170" t="s">
        <v>6196</v>
      </c>
      <c r="B3479" s="170" t="s">
        <v>6197</v>
      </c>
      <c r="C3479" s="170" t="s">
        <v>385</v>
      </c>
      <c r="D3479" s="170" t="s">
        <v>1947</v>
      </c>
      <c r="E3479" s="171" t="s">
        <v>29286</v>
      </c>
      <c r="F3479" s="171" t="s">
        <v>20302</v>
      </c>
      <c r="G3479" s="82"/>
      <c r="H3479" s="96">
        <f t="shared" si="216"/>
        <v>36.979999999999997</v>
      </c>
      <c r="I3479" s="96">
        <f t="shared" si="216"/>
        <v>37.67</v>
      </c>
      <c r="J3479" s="91" t="str">
        <f t="shared" si="217"/>
        <v>Sinapi 91787</v>
      </c>
      <c r="K3479" s="91" t="str">
        <f t="shared" si="218"/>
        <v>M</v>
      </c>
      <c r="L3479" s="166" t="str">
        <f t="shared" si="219"/>
        <v>10/2015</v>
      </c>
      <c r="M3479" s="82"/>
      <c r="N3479" s="82"/>
    </row>
    <row r="3480" spans="1:14" x14ac:dyDescent="0.25">
      <c r="A3480" s="170" t="s">
        <v>6198</v>
      </c>
      <c r="B3480" s="170" t="s">
        <v>6199</v>
      </c>
      <c r="C3480" s="170" t="s">
        <v>385</v>
      </c>
      <c r="D3480" s="170" t="s">
        <v>1947</v>
      </c>
      <c r="E3480" s="171" t="s">
        <v>29241</v>
      </c>
      <c r="F3480" s="171" t="s">
        <v>22862</v>
      </c>
      <c r="G3480" s="82"/>
      <c r="H3480" s="96">
        <f t="shared" si="216"/>
        <v>44.63</v>
      </c>
      <c r="I3480" s="96">
        <f t="shared" si="216"/>
        <v>45.72</v>
      </c>
      <c r="J3480" s="91" t="str">
        <f t="shared" si="217"/>
        <v>Sinapi 91788</v>
      </c>
      <c r="K3480" s="91" t="str">
        <f t="shared" si="218"/>
        <v>M</v>
      </c>
      <c r="L3480" s="166" t="str">
        <f t="shared" si="219"/>
        <v>10/2015</v>
      </c>
      <c r="M3480" s="82"/>
      <c r="N3480" s="82"/>
    </row>
    <row r="3481" spans="1:14" x14ac:dyDescent="0.25">
      <c r="A3481" s="170" t="s">
        <v>6200</v>
      </c>
      <c r="B3481" s="170" t="s">
        <v>6201</v>
      </c>
      <c r="C3481" s="170" t="s">
        <v>385</v>
      </c>
      <c r="D3481" s="170" t="s">
        <v>2067</v>
      </c>
      <c r="E3481" s="171" t="s">
        <v>28285</v>
      </c>
      <c r="F3481" s="171" t="s">
        <v>26016</v>
      </c>
      <c r="G3481" s="82"/>
      <c r="H3481" s="96">
        <f t="shared" si="216"/>
        <v>50.7</v>
      </c>
      <c r="I3481" s="96">
        <f t="shared" si="216"/>
        <v>51.64</v>
      </c>
      <c r="J3481" s="91" t="str">
        <f t="shared" si="217"/>
        <v>Sinapi 91789</v>
      </c>
      <c r="K3481" s="91" t="str">
        <f t="shared" si="218"/>
        <v>M</v>
      </c>
      <c r="L3481" s="166" t="str">
        <f t="shared" si="219"/>
        <v>10/2015</v>
      </c>
      <c r="M3481" s="82"/>
      <c r="N3481" s="82"/>
    </row>
    <row r="3482" spans="1:14" x14ac:dyDescent="0.25">
      <c r="A3482" s="170" t="s">
        <v>6202</v>
      </c>
      <c r="B3482" s="170" t="s">
        <v>6203</v>
      </c>
      <c r="C3482" s="170" t="s">
        <v>385</v>
      </c>
      <c r="D3482" s="170" t="s">
        <v>1947</v>
      </c>
      <c r="E3482" s="171" t="s">
        <v>28710</v>
      </c>
      <c r="F3482" s="171" t="s">
        <v>36656</v>
      </c>
      <c r="G3482" s="82"/>
      <c r="H3482" s="96">
        <f t="shared" si="216"/>
        <v>57.03</v>
      </c>
      <c r="I3482" s="96">
        <f t="shared" si="216"/>
        <v>58.7</v>
      </c>
      <c r="J3482" s="91" t="str">
        <f t="shared" si="217"/>
        <v>Sinapi 91790</v>
      </c>
      <c r="K3482" s="91" t="str">
        <f t="shared" si="218"/>
        <v>M</v>
      </c>
      <c r="L3482" s="166" t="str">
        <f t="shared" si="219"/>
        <v>10/2015</v>
      </c>
      <c r="M3482" s="82"/>
      <c r="N3482" s="82"/>
    </row>
    <row r="3483" spans="1:14" x14ac:dyDescent="0.25">
      <c r="A3483" s="170" t="s">
        <v>6204</v>
      </c>
      <c r="B3483" s="170" t="s">
        <v>6205</v>
      </c>
      <c r="C3483" s="170" t="s">
        <v>385</v>
      </c>
      <c r="D3483" s="170" t="s">
        <v>1947</v>
      </c>
      <c r="E3483" s="171" t="s">
        <v>33436</v>
      </c>
      <c r="F3483" s="171" t="s">
        <v>33662</v>
      </c>
      <c r="G3483" s="82"/>
      <c r="H3483" s="96">
        <f t="shared" si="216"/>
        <v>74.09</v>
      </c>
      <c r="I3483" s="96">
        <f t="shared" si="216"/>
        <v>74.86</v>
      </c>
      <c r="J3483" s="91" t="str">
        <f t="shared" si="217"/>
        <v>Sinapi 91791</v>
      </c>
      <c r="K3483" s="91" t="str">
        <f t="shared" si="218"/>
        <v>M</v>
      </c>
      <c r="L3483" s="166" t="str">
        <f t="shared" si="219"/>
        <v>10/2015</v>
      </c>
      <c r="M3483" s="82"/>
      <c r="N3483" s="82"/>
    </row>
    <row r="3484" spans="1:14" x14ac:dyDescent="0.25">
      <c r="A3484" s="170" t="s">
        <v>6206</v>
      </c>
      <c r="B3484" s="170" t="s">
        <v>6207</v>
      </c>
      <c r="C3484" s="170" t="s">
        <v>385</v>
      </c>
      <c r="D3484" s="170" t="s">
        <v>1947</v>
      </c>
      <c r="E3484" s="171" t="s">
        <v>28481</v>
      </c>
      <c r="F3484" s="171" t="s">
        <v>36657</v>
      </c>
      <c r="G3484" s="82"/>
      <c r="H3484" s="96">
        <f t="shared" si="216"/>
        <v>57.8</v>
      </c>
      <c r="I3484" s="96">
        <f t="shared" si="216"/>
        <v>62.34</v>
      </c>
      <c r="J3484" s="91" t="str">
        <f t="shared" si="217"/>
        <v>Sinapi 91792</v>
      </c>
      <c r="K3484" s="91" t="str">
        <f t="shared" si="218"/>
        <v>M</v>
      </c>
      <c r="L3484" s="166" t="str">
        <f t="shared" si="219"/>
        <v>10/2015</v>
      </c>
      <c r="M3484" s="82"/>
      <c r="N3484" s="82"/>
    </row>
    <row r="3485" spans="1:14" x14ac:dyDescent="0.25">
      <c r="A3485" s="170" t="s">
        <v>6208</v>
      </c>
      <c r="B3485" s="170" t="s">
        <v>6209</v>
      </c>
      <c r="C3485" s="170" t="s">
        <v>385</v>
      </c>
      <c r="D3485" s="170" t="s">
        <v>1947</v>
      </c>
      <c r="E3485" s="171" t="s">
        <v>33437</v>
      </c>
      <c r="F3485" s="171" t="s">
        <v>28475</v>
      </c>
      <c r="G3485" s="82"/>
      <c r="H3485" s="96">
        <f t="shared" si="216"/>
        <v>95.56</v>
      </c>
      <c r="I3485" s="96">
        <f t="shared" si="216"/>
        <v>100.71</v>
      </c>
      <c r="J3485" s="91" t="str">
        <f t="shared" si="217"/>
        <v>Sinapi 91793</v>
      </c>
      <c r="K3485" s="91" t="str">
        <f t="shared" si="218"/>
        <v>M</v>
      </c>
      <c r="L3485" s="166" t="str">
        <f t="shared" si="219"/>
        <v>10/2015</v>
      </c>
      <c r="M3485" s="82"/>
      <c r="N3485" s="82"/>
    </row>
    <row r="3486" spans="1:14" x14ac:dyDescent="0.25">
      <c r="A3486" s="170" t="s">
        <v>6210</v>
      </c>
      <c r="B3486" s="170" t="s">
        <v>6211</v>
      </c>
      <c r="C3486" s="170" t="s">
        <v>385</v>
      </c>
      <c r="D3486" s="170" t="s">
        <v>1947</v>
      </c>
      <c r="E3486" s="171" t="s">
        <v>23332</v>
      </c>
      <c r="F3486" s="171" t="s">
        <v>29552</v>
      </c>
      <c r="G3486" s="82"/>
      <c r="H3486" s="96">
        <f t="shared" si="216"/>
        <v>43.78</v>
      </c>
      <c r="I3486" s="96">
        <f t="shared" si="216"/>
        <v>45.49</v>
      </c>
      <c r="J3486" s="91" t="str">
        <f t="shared" si="217"/>
        <v>Sinapi 91794</v>
      </c>
      <c r="K3486" s="91" t="str">
        <f t="shared" si="218"/>
        <v>M</v>
      </c>
      <c r="L3486" s="166" t="str">
        <f t="shared" si="219"/>
        <v>10/2015</v>
      </c>
      <c r="M3486" s="82"/>
      <c r="N3486" s="82"/>
    </row>
    <row r="3487" spans="1:14" x14ac:dyDescent="0.25">
      <c r="A3487" s="170" t="s">
        <v>6212</v>
      </c>
      <c r="B3487" s="170" t="s">
        <v>6213</v>
      </c>
      <c r="C3487" s="170" t="s">
        <v>385</v>
      </c>
      <c r="D3487" s="170" t="s">
        <v>1947</v>
      </c>
      <c r="E3487" s="171" t="s">
        <v>21917</v>
      </c>
      <c r="F3487" s="171" t="s">
        <v>36658</v>
      </c>
      <c r="G3487" s="82"/>
      <c r="H3487" s="96">
        <f t="shared" si="216"/>
        <v>68.81</v>
      </c>
      <c r="I3487" s="96">
        <f t="shared" si="216"/>
        <v>71.88</v>
      </c>
      <c r="J3487" s="91" t="str">
        <f t="shared" si="217"/>
        <v>Sinapi 91795</v>
      </c>
      <c r="K3487" s="91" t="str">
        <f t="shared" si="218"/>
        <v>M</v>
      </c>
      <c r="L3487" s="166" t="str">
        <f t="shared" si="219"/>
        <v>10/2015</v>
      </c>
      <c r="M3487" s="82"/>
      <c r="N3487" s="82"/>
    </row>
    <row r="3488" spans="1:14" x14ac:dyDescent="0.25">
      <c r="A3488" s="170" t="s">
        <v>6214</v>
      </c>
      <c r="B3488" s="170" t="s">
        <v>6215</v>
      </c>
      <c r="C3488" s="170" t="s">
        <v>385</v>
      </c>
      <c r="D3488" s="170" t="s">
        <v>2067</v>
      </c>
      <c r="E3488" s="171" t="s">
        <v>23330</v>
      </c>
      <c r="F3488" s="171" t="s">
        <v>21499</v>
      </c>
      <c r="G3488" s="82"/>
      <c r="H3488" s="96">
        <f t="shared" si="216"/>
        <v>70.959999999999994</v>
      </c>
      <c r="I3488" s="96">
        <f t="shared" si="216"/>
        <v>73.45</v>
      </c>
      <c r="J3488" s="91" t="str">
        <f t="shared" si="217"/>
        <v>Sinapi 91796</v>
      </c>
      <c r="K3488" s="91" t="str">
        <f t="shared" si="218"/>
        <v>M</v>
      </c>
      <c r="L3488" s="166" t="str">
        <f t="shared" si="219"/>
        <v>10/2015</v>
      </c>
      <c r="M3488" s="82"/>
      <c r="N3488" s="82"/>
    </row>
    <row r="3489" spans="1:14" x14ac:dyDescent="0.25">
      <c r="A3489" s="170" t="s">
        <v>6216</v>
      </c>
      <c r="B3489" s="170" t="s">
        <v>15801</v>
      </c>
      <c r="C3489" s="170" t="s">
        <v>385</v>
      </c>
      <c r="D3489" s="170" t="s">
        <v>1947</v>
      </c>
      <c r="E3489" s="171" t="s">
        <v>33438</v>
      </c>
      <c r="F3489" s="171" t="s">
        <v>36659</v>
      </c>
      <c r="G3489" s="82"/>
      <c r="H3489" s="96">
        <f t="shared" si="216"/>
        <v>51.58</v>
      </c>
      <c r="I3489" s="96">
        <f t="shared" si="216"/>
        <v>51.8</v>
      </c>
      <c r="J3489" s="91" t="str">
        <f t="shared" si="217"/>
        <v>Sinapi 92275</v>
      </c>
      <c r="K3489" s="91" t="str">
        <f t="shared" si="218"/>
        <v>M</v>
      </c>
      <c r="L3489" s="166" t="str">
        <f t="shared" si="219"/>
        <v>04/2022</v>
      </c>
      <c r="M3489" s="82"/>
      <c r="N3489" s="82"/>
    </row>
    <row r="3490" spans="1:14" x14ac:dyDescent="0.25">
      <c r="A3490" s="170" t="s">
        <v>6217</v>
      </c>
      <c r="B3490" s="170" t="s">
        <v>15802</v>
      </c>
      <c r="C3490" s="170" t="s">
        <v>385</v>
      </c>
      <c r="D3490" s="170" t="s">
        <v>1947</v>
      </c>
      <c r="E3490" s="171" t="s">
        <v>33439</v>
      </c>
      <c r="F3490" s="171" t="s">
        <v>29422</v>
      </c>
      <c r="G3490" s="82"/>
      <c r="H3490" s="96">
        <f t="shared" si="216"/>
        <v>65.510000000000005</v>
      </c>
      <c r="I3490" s="96">
        <f t="shared" si="216"/>
        <v>65.78</v>
      </c>
      <c r="J3490" s="91" t="str">
        <f t="shared" si="217"/>
        <v>Sinapi 92276</v>
      </c>
      <c r="K3490" s="91" t="str">
        <f t="shared" si="218"/>
        <v>M</v>
      </c>
      <c r="L3490" s="166" t="str">
        <f t="shared" si="219"/>
        <v>04/2022</v>
      </c>
      <c r="M3490" s="82"/>
      <c r="N3490" s="82"/>
    </row>
    <row r="3491" spans="1:14" x14ac:dyDescent="0.25">
      <c r="A3491" s="170" t="s">
        <v>6218</v>
      </c>
      <c r="B3491" s="170" t="s">
        <v>15803</v>
      </c>
      <c r="C3491" s="170" t="s">
        <v>385</v>
      </c>
      <c r="D3491" s="170" t="s">
        <v>1947</v>
      </c>
      <c r="E3491" s="171" t="s">
        <v>33440</v>
      </c>
      <c r="F3491" s="171" t="s">
        <v>31911</v>
      </c>
      <c r="G3491" s="82"/>
      <c r="H3491" s="96">
        <f t="shared" si="216"/>
        <v>94.69</v>
      </c>
      <c r="I3491" s="96">
        <f t="shared" si="216"/>
        <v>95.03</v>
      </c>
      <c r="J3491" s="91" t="str">
        <f t="shared" si="217"/>
        <v>Sinapi 92277</v>
      </c>
      <c r="K3491" s="91" t="str">
        <f t="shared" si="218"/>
        <v>M</v>
      </c>
      <c r="L3491" s="166" t="str">
        <f t="shared" si="219"/>
        <v>04/2022</v>
      </c>
      <c r="M3491" s="82"/>
      <c r="N3491" s="82"/>
    </row>
    <row r="3492" spans="1:14" x14ac:dyDescent="0.25">
      <c r="A3492" s="170" t="s">
        <v>6219</v>
      </c>
      <c r="B3492" s="170" t="s">
        <v>15804</v>
      </c>
      <c r="C3492" s="170" t="s">
        <v>385</v>
      </c>
      <c r="D3492" s="170" t="s">
        <v>1947</v>
      </c>
      <c r="E3492" s="171" t="s">
        <v>33441</v>
      </c>
      <c r="F3492" s="171" t="s">
        <v>36660</v>
      </c>
      <c r="G3492" s="82"/>
      <c r="H3492" s="96">
        <f t="shared" si="216"/>
        <v>127.47</v>
      </c>
      <c r="I3492" s="96">
        <f t="shared" si="216"/>
        <v>127.87</v>
      </c>
      <c r="J3492" s="91" t="str">
        <f t="shared" si="217"/>
        <v>Sinapi 92278</v>
      </c>
      <c r="K3492" s="91" t="str">
        <f t="shared" si="218"/>
        <v>M</v>
      </c>
      <c r="L3492" s="166" t="str">
        <f t="shared" si="219"/>
        <v>04/2022</v>
      </c>
      <c r="M3492" s="82"/>
      <c r="N3492" s="82"/>
    </row>
    <row r="3493" spans="1:14" x14ac:dyDescent="0.25">
      <c r="A3493" s="170" t="s">
        <v>6220</v>
      </c>
      <c r="B3493" s="170" t="s">
        <v>15805</v>
      </c>
      <c r="C3493" s="170" t="s">
        <v>385</v>
      </c>
      <c r="D3493" s="170" t="s">
        <v>1947</v>
      </c>
      <c r="E3493" s="171" t="s">
        <v>33442</v>
      </c>
      <c r="F3493" s="171" t="s">
        <v>36661</v>
      </c>
      <c r="G3493" s="82"/>
      <c r="H3493" s="96">
        <f t="shared" si="216"/>
        <v>184.3</v>
      </c>
      <c r="I3493" s="96">
        <f t="shared" si="216"/>
        <v>184.84</v>
      </c>
      <c r="J3493" s="91" t="str">
        <f t="shared" si="217"/>
        <v>Sinapi 92279</v>
      </c>
      <c r="K3493" s="91" t="str">
        <f t="shared" si="218"/>
        <v>M</v>
      </c>
      <c r="L3493" s="166" t="str">
        <f t="shared" si="219"/>
        <v>04/2022</v>
      </c>
      <c r="M3493" s="82"/>
      <c r="N3493" s="82"/>
    </row>
    <row r="3494" spans="1:14" x14ac:dyDescent="0.25">
      <c r="A3494" s="170" t="s">
        <v>6221</v>
      </c>
      <c r="B3494" s="170" t="s">
        <v>15806</v>
      </c>
      <c r="C3494" s="170" t="s">
        <v>385</v>
      </c>
      <c r="D3494" s="170" t="s">
        <v>1947</v>
      </c>
      <c r="E3494" s="171" t="s">
        <v>33443</v>
      </c>
      <c r="F3494" s="171" t="s">
        <v>36662</v>
      </c>
      <c r="G3494" s="82"/>
      <c r="H3494" s="96">
        <f t="shared" si="216"/>
        <v>258.83999999999997</v>
      </c>
      <c r="I3494" s="96">
        <f t="shared" si="216"/>
        <v>259.49</v>
      </c>
      <c r="J3494" s="91" t="str">
        <f t="shared" si="217"/>
        <v>Sinapi 92280</v>
      </c>
      <c r="K3494" s="91" t="str">
        <f t="shared" si="218"/>
        <v>M</v>
      </c>
      <c r="L3494" s="166" t="str">
        <f t="shared" si="219"/>
        <v>04/2022</v>
      </c>
      <c r="M3494" s="82"/>
      <c r="N3494" s="82"/>
    </row>
    <row r="3495" spans="1:14" x14ac:dyDescent="0.25">
      <c r="A3495" s="170" t="s">
        <v>6222</v>
      </c>
      <c r="B3495" s="170" t="s">
        <v>15807</v>
      </c>
      <c r="C3495" s="170" t="s">
        <v>385</v>
      </c>
      <c r="D3495" s="170" t="s">
        <v>1947</v>
      </c>
      <c r="E3495" s="171" t="s">
        <v>33444</v>
      </c>
      <c r="F3495" s="171" t="s">
        <v>36663</v>
      </c>
      <c r="G3495" s="82"/>
      <c r="H3495" s="96">
        <f t="shared" si="216"/>
        <v>129.03</v>
      </c>
      <c r="I3495" s="96">
        <f t="shared" si="216"/>
        <v>129.33000000000001</v>
      </c>
      <c r="J3495" s="91" t="str">
        <f t="shared" si="217"/>
        <v>Sinapi 92281</v>
      </c>
      <c r="K3495" s="91" t="str">
        <f t="shared" si="218"/>
        <v>M</v>
      </c>
      <c r="L3495" s="166" t="str">
        <f t="shared" si="219"/>
        <v>04/2022</v>
      </c>
      <c r="M3495" s="82"/>
      <c r="N3495" s="82"/>
    </row>
    <row r="3496" spans="1:14" x14ac:dyDescent="0.25">
      <c r="A3496" s="170" t="s">
        <v>6223</v>
      </c>
      <c r="B3496" s="170" t="s">
        <v>15808</v>
      </c>
      <c r="C3496" s="170" t="s">
        <v>385</v>
      </c>
      <c r="D3496" s="170" t="s">
        <v>1947</v>
      </c>
      <c r="E3496" s="171" t="s">
        <v>33445</v>
      </c>
      <c r="F3496" s="171" t="s">
        <v>36664</v>
      </c>
      <c r="G3496" s="82"/>
      <c r="H3496" s="96">
        <f t="shared" si="216"/>
        <v>146.13</v>
      </c>
      <c r="I3496" s="96">
        <f t="shared" si="216"/>
        <v>146.49</v>
      </c>
      <c r="J3496" s="91" t="str">
        <f t="shared" si="217"/>
        <v>Sinapi 92282</v>
      </c>
      <c r="K3496" s="91" t="str">
        <f t="shared" si="218"/>
        <v>M</v>
      </c>
      <c r="L3496" s="166" t="str">
        <f t="shared" si="219"/>
        <v>04/2022</v>
      </c>
      <c r="M3496" s="82"/>
      <c r="N3496" s="82"/>
    </row>
    <row r="3497" spans="1:14" x14ac:dyDescent="0.25">
      <c r="A3497" s="170" t="s">
        <v>6224</v>
      </c>
      <c r="B3497" s="170" t="s">
        <v>15809</v>
      </c>
      <c r="C3497" s="170" t="s">
        <v>385</v>
      </c>
      <c r="D3497" s="170" t="s">
        <v>1947</v>
      </c>
      <c r="E3497" s="171" t="s">
        <v>33446</v>
      </c>
      <c r="F3497" s="171" t="s">
        <v>36665</v>
      </c>
      <c r="G3497" s="82"/>
      <c r="H3497" s="96">
        <f t="shared" si="216"/>
        <v>196.62</v>
      </c>
      <c r="I3497" s="96">
        <f t="shared" si="216"/>
        <v>197.05</v>
      </c>
      <c r="J3497" s="91" t="str">
        <f t="shared" si="217"/>
        <v>Sinapi 92283</v>
      </c>
      <c r="K3497" s="91" t="str">
        <f t="shared" si="218"/>
        <v>M</v>
      </c>
      <c r="L3497" s="166" t="str">
        <f t="shared" si="219"/>
        <v>04/2022</v>
      </c>
      <c r="M3497" s="82"/>
      <c r="N3497" s="82"/>
    </row>
    <row r="3498" spans="1:14" x14ac:dyDescent="0.25">
      <c r="A3498" s="170" t="s">
        <v>6225</v>
      </c>
      <c r="B3498" s="170" t="s">
        <v>15810</v>
      </c>
      <c r="C3498" s="170" t="s">
        <v>385</v>
      </c>
      <c r="D3498" s="170" t="s">
        <v>1947</v>
      </c>
      <c r="E3498" s="171" t="s">
        <v>33447</v>
      </c>
      <c r="F3498" s="171" t="s">
        <v>36666</v>
      </c>
      <c r="G3498" s="82"/>
      <c r="H3498" s="96">
        <f t="shared" si="216"/>
        <v>243.65</v>
      </c>
      <c r="I3498" s="96">
        <f t="shared" si="216"/>
        <v>244.17</v>
      </c>
      <c r="J3498" s="91" t="str">
        <f t="shared" si="217"/>
        <v>Sinapi 92284</v>
      </c>
      <c r="K3498" s="91" t="str">
        <f t="shared" si="218"/>
        <v>M</v>
      </c>
      <c r="L3498" s="166" t="str">
        <f t="shared" si="219"/>
        <v>04/2022</v>
      </c>
      <c r="M3498" s="82"/>
      <c r="N3498" s="82"/>
    </row>
    <row r="3499" spans="1:14" x14ac:dyDescent="0.25">
      <c r="A3499" s="170" t="s">
        <v>6226</v>
      </c>
      <c r="B3499" s="170" t="s">
        <v>15811</v>
      </c>
      <c r="C3499" s="170" t="s">
        <v>385</v>
      </c>
      <c r="D3499" s="170" t="s">
        <v>1947</v>
      </c>
      <c r="E3499" s="171" t="s">
        <v>33448</v>
      </c>
      <c r="F3499" s="171" t="s">
        <v>36667</v>
      </c>
      <c r="G3499" s="82"/>
      <c r="H3499" s="96">
        <f t="shared" si="216"/>
        <v>323.19</v>
      </c>
      <c r="I3499" s="96">
        <f t="shared" si="216"/>
        <v>323.83</v>
      </c>
      <c r="J3499" s="91" t="str">
        <f t="shared" si="217"/>
        <v>Sinapi 92285</v>
      </c>
      <c r="K3499" s="91" t="str">
        <f t="shared" si="218"/>
        <v>M</v>
      </c>
      <c r="L3499" s="166" t="str">
        <f t="shared" si="219"/>
        <v>04/2022</v>
      </c>
      <c r="M3499" s="82"/>
      <c r="N3499" s="82"/>
    </row>
    <row r="3500" spans="1:14" x14ac:dyDescent="0.25">
      <c r="A3500" s="170" t="s">
        <v>6227</v>
      </c>
      <c r="B3500" s="170" t="s">
        <v>15812</v>
      </c>
      <c r="C3500" s="170" t="s">
        <v>385</v>
      </c>
      <c r="D3500" s="170" t="s">
        <v>1947</v>
      </c>
      <c r="E3500" s="171" t="s">
        <v>33449</v>
      </c>
      <c r="F3500" s="171" t="s">
        <v>36668</v>
      </c>
      <c r="G3500" s="82"/>
      <c r="H3500" s="96">
        <f t="shared" si="216"/>
        <v>399.68</v>
      </c>
      <c r="I3500" s="96">
        <f t="shared" si="216"/>
        <v>400.42</v>
      </c>
      <c r="J3500" s="91" t="str">
        <f t="shared" si="217"/>
        <v>Sinapi 92286</v>
      </c>
      <c r="K3500" s="91" t="str">
        <f t="shared" si="218"/>
        <v>M</v>
      </c>
      <c r="L3500" s="166" t="str">
        <f t="shared" si="219"/>
        <v>04/2022</v>
      </c>
      <c r="M3500" s="82"/>
      <c r="N3500" s="82"/>
    </row>
    <row r="3501" spans="1:14" x14ac:dyDescent="0.25">
      <c r="A3501" s="170" t="s">
        <v>6228</v>
      </c>
      <c r="B3501" s="170" t="s">
        <v>15813</v>
      </c>
      <c r="C3501" s="170" t="s">
        <v>385</v>
      </c>
      <c r="D3501" s="170" t="s">
        <v>1947</v>
      </c>
      <c r="E3501" s="171" t="s">
        <v>20060</v>
      </c>
      <c r="F3501" s="171" t="s">
        <v>20360</v>
      </c>
      <c r="G3501" s="82"/>
      <c r="H3501" s="96">
        <f t="shared" si="216"/>
        <v>34.520000000000003</v>
      </c>
      <c r="I3501" s="96">
        <f t="shared" si="216"/>
        <v>35.159999999999997</v>
      </c>
      <c r="J3501" s="91" t="str">
        <f t="shared" si="217"/>
        <v>Sinapi 92305</v>
      </c>
      <c r="K3501" s="91" t="str">
        <f t="shared" si="218"/>
        <v>M</v>
      </c>
      <c r="L3501" s="166" t="str">
        <f t="shared" si="219"/>
        <v>04/2022</v>
      </c>
      <c r="M3501" s="82"/>
      <c r="N3501" s="82"/>
    </row>
    <row r="3502" spans="1:14" x14ac:dyDescent="0.25">
      <c r="A3502" s="170" t="s">
        <v>6229</v>
      </c>
      <c r="B3502" s="170" t="s">
        <v>15814</v>
      </c>
      <c r="C3502" s="170" t="s">
        <v>385</v>
      </c>
      <c r="D3502" s="170" t="s">
        <v>1947</v>
      </c>
      <c r="E3502" s="171" t="s">
        <v>33450</v>
      </c>
      <c r="F3502" s="171" t="s">
        <v>19945</v>
      </c>
      <c r="G3502" s="82"/>
      <c r="H3502" s="96">
        <f t="shared" si="216"/>
        <v>56.23</v>
      </c>
      <c r="I3502" s="96">
        <f t="shared" si="216"/>
        <v>56.97</v>
      </c>
      <c r="J3502" s="91" t="str">
        <f t="shared" si="217"/>
        <v>Sinapi 92306</v>
      </c>
      <c r="K3502" s="91" t="str">
        <f t="shared" si="218"/>
        <v>M</v>
      </c>
      <c r="L3502" s="166" t="str">
        <f t="shared" si="219"/>
        <v>04/2022</v>
      </c>
      <c r="M3502" s="82"/>
      <c r="N3502" s="82"/>
    </row>
    <row r="3503" spans="1:14" x14ac:dyDescent="0.25">
      <c r="A3503" s="170" t="s">
        <v>6230</v>
      </c>
      <c r="B3503" s="170" t="s">
        <v>15815</v>
      </c>
      <c r="C3503" s="170" t="s">
        <v>385</v>
      </c>
      <c r="D3503" s="170" t="s">
        <v>1947</v>
      </c>
      <c r="E3503" s="171" t="s">
        <v>33451</v>
      </c>
      <c r="F3503" s="171" t="s">
        <v>36669</v>
      </c>
      <c r="G3503" s="82"/>
      <c r="H3503" s="96">
        <f t="shared" si="216"/>
        <v>70.37</v>
      </c>
      <c r="I3503" s="96">
        <f t="shared" si="216"/>
        <v>71.19</v>
      </c>
      <c r="J3503" s="91" t="str">
        <f t="shared" si="217"/>
        <v>Sinapi 92307</v>
      </c>
      <c r="K3503" s="91" t="str">
        <f t="shared" si="218"/>
        <v>M</v>
      </c>
      <c r="L3503" s="166" t="str">
        <f t="shared" si="219"/>
        <v>04/2022</v>
      </c>
      <c r="M3503" s="82"/>
      <c r="N3503" s="82"/>
    </row>
    <row r="3504" spans="1:14" x14ac:dyDescent="0.25">
      <c r="A3504" s="170" t="s">
        <v>6231</v>
      </c>
      <c r="B3504" s="170" t="s">
        <v>15816</v>
      </c>
      <c r="C3504" s="170" t="s">
        <v>385</v>
      </c>
      <c r="D3504" s="170" t="s">
        <v>1947</v>
      </c>
      <c r="E3504" s="171" t="s">
        <v>27119</v>
      </c>
      <c r="F3504" s="171" t="s">
        <v>29849</v>
      </c>
      <c r="G3504" s="82"/>
      <c r="H3504" s="96">
        <f t="shared" si="216"/>
        <v>53.19</v>
      </c>
      <c r="I3504" s="96">
        <f t="shared" si="216"/>
        <v>54.2</v>
      </c>
      <c r="J3504" s="91" t="str">
        <f t="shared" si="217"/>
        <v>Sinapi 92308</v>
      </c>
      <c r="K3504" s="91" t="str">
        <f t="shared" si="218"/>
        <v>M</v>
      </c>
      <c r="L3504" s="166" t="str">
        <f t="shared" si="219"/>
        <v>04/2022</v>
      </c>
      <c r="M3504" s="82"/>
      <c r="N3504" s="82"/>
    </row>
    <row r="3505" spans="1:14" x14ac:dyDescent="0.25">
      <c r="A3505" s="170" t="s">
        <v>6232</v>
      </c>
      <c r="B3505" s="170" t="s">
        <v>15817</v>
      </c>
      <c r="C3505" s="170" t="s">
        <v>385</v>
      </c>
      <c r="D3505" s="170" t="s">
        <v>1947</v>
      </c>
      <c r="E3505" s="171" t="s">
        <v>23320</v>
      </c>
      <c r="F3505" s="171" t="s">
        <v>36670</v>
      </c>
      <c r="G3505" s="82"/>
      <c r="H3505" s="96">
        <f t="shared" si="216"/>
        <v>135.97999999999999</v>
      </c>
      <c r="I3505" s="96">
        <f t="shared" si="216"/>
        <v>137.09</v>
      </c>
      <c r="J3505" s="91" t="str">
        <f t="shared" si="217"/>
        <v>Sinapi 92309</v>
      </c>
      <c r="K3505" s="91" t="str">
        <f t="shared" si="218"/>
        <v>M</v>
      </c>
      <c r="L3505" s="166" t="str">
        <f t="shared" si="219"/>
        <v>04/2022</v>
      </c>
      <c r="M3505" s="82"/>
      <c r="N3505" s="82"/>
    </row>
    <row r="3506" spans="1:14" x14ac:dyDescent="0.25">
      <c r="A3506" s="170" t="s">
        <v>6233</v>
      </c>
      <c r="B3506" s="170" t="s">
        <v>15818</v>
      </c>
      <c r="C3506" s="170" t="s">
        <v>385</v>
      </c>
      <c r="D3506" s="170" t="s">
        <v>1947</v>
      </c>
      <c r="E3506" s="171" t="s">
        <v>33452</v>
      </c>
      <c r="F3506" s="171" t="s">
        <v>36671</v>
      </c>
      <c r="G3506" s="82"/>
      <c r="H3506" s="96">
        <f t="shared" si="216"/>
        <v>153.29</v>
      </c>
      <c r="I3506" s="96">
        <f t="shared" si="216"/>
        <v>154.47999999999999</v>
      </c>
      <c r="J3506" s="91" t="str">
        <f t="shared" si="217"/>
        <v>Sinapi 92310</v>
      </c>
      <c r="K3506" s="91" t="str">
        <f t="shared" si="218"/>
        <v>M</v>
      </c>
      <c r="L3506" s="166" t="str">
        <f t="shared" si="219"/>
        <v>04/2022</v>
      </c>
      <c r="M3506" s="82"/>
      <c r="N3506" s="82"/>
    </row>
    <row r="3507" spans="1:14" x14ac:dyDescent="0.25">
      <c r="A3507" s="170" t="s">
        <v>6234</v>
      </c>
      <c r="B3507" s="170" t="s">
        <v>15819</v>
      </c>
      <c r="C3507" s="170" t="s">
        <v>385</v>
      </c>
      <c r="D3507" s="170" t="s">
        <v>1947</v>
      </c>
      <c r="E3507" s="171" t="s">
        <v>21188</v>
      </c>
      <c r="F3507" s="171" t="s">
        <v>28643</v>
      </c>
      <c r="G3507" s="82"/>
      <c r="H3507" s="96">
        <f t="shared" si="216"/>
        <v>44.06</v>
      </c>
      <c r="I3507" s="96">
        <f t="shared" si="216"/>
        <v>45.78</v>
      </c>
      <c r="J3507" s="91" t="str">
        <f t="shared" si="217"/>
        <v>Sinapi 92320</v>
      </c>
      <c r="K3507" s="91" t="str">
        <f t="shared" si="218"/>
        <v>M</v>
      </c>
      <c r="L3507" s="166" t="str">
        <f t="shared" si="219"/>
        <v>04/2022</v>
      </c>
      <c r="M3507" s="82"/>
      <c r="N3507" s="82"/>
    </row>
    <row r="3508" spans="1:14" x14ac:dyDescent="0.25">
      <c r="A3508" s="170" t="s">
        <v>6235</v>
      </c>
      <c r="B3508" s="170" t="s">
        <v>15820</v>
      </c>
      <c r="C3508" s="170" t="s">
        <v>385</v>
      </c>
      <c r="D3508" s="170" t="s">
        <v>1947</v>
      </c>
      <c r="E3508" s="171" t="s">
        <v>33453</v>
      </c>
      <c r="F3508" s="171" t="s">
        <v>29404</v>
      </c>
      <c r="G3508" s="82"/>
      <c r="H3508" s="96">
        <f t="shared" si="216"/>
        <v>72.650000000000006</v>
      </c>
      <c r="I3508" s="96">
        <f t="shared" si="216"/>
        <v>75.28</v>
      </c>
      <c r="J3508" s="91" t="str">
        <f t="shared" si="217"/>
        <v>Sinapi 92321</v>
      </c>
      <c r="K3508" s="91" t="str">
        <f t="shared" si="218"/>
        <v>M</v>
      </c>
      <c r="L3508" s="166" t="str">
        <f t="shared" si="219"/>
        <v>04/2022</v>
      </c>
      <c r="M3508" s="82"/>
      <c r="N3508" s="82"/>
    </row>
    <row r="3509" spans="1:14" x14ac:dyDescent="0.25">
      <c r="A3509" s="170" t="s">
        <v>6236</v>
      </c>
      <c r="B3509" s="170" t="s">
        <v>15821</v>
      </c>
      <c r="C3509" s="170" t="s">
        <v>385</v>
      </c>
      <c r="D3509" s="170" t="s">
        <v>1947</v>
      </c>
      <c r="E3509" s="171" t="s">
        <v>21960</v>
      </c>
      <c r="F3509" s="171" t="s">
        <v>29011</v>
      </c>
      <c r="G3509" s="82"/>
      <c r="H3509" s="96">
        <f t="shared" si="216"/>
        <v>92.69</v>
      </c>
      <c r="I3509" s="96">
        <f t="shared" si="216"/>
        <v>96.07</v>
      </c>
      <c r="J3509" s="91" t="str">
        <f t="shared" si="217"/>
        <v>Sinapi 92322</v>
      </c>
      <c r="K3509" s="91" t="str">
        <f t="shared" si="218"/>
        <v>M</v>
      </c>
      <c r="L3509" s="166" t="str">
        <f t="shared" si="219"/>
        <v>04/2022</v>
      </c>
      <c r="M3509" s="82"/>
      <c r="N3509" s="82"/>
    </row>
    <row r="3510" spans="1:14" x14ac:dyDescent="0.25">
      <c r="A3510" s="170" t="s">
        <v>6237</v>
      </c>
      <c r="B3510" s="170" t="s">
        <v>15822</v>
      </c>
      <c r="C3510" s="170" t="s">
        <v>385</v>
      </c>
      <c r="D3510" s="170" t="s">
        <v>1947</v>
      </c>
      <c r="E3510" s="171" t="s">
        <v>29042</v>
      </c>
      <c r="F3510" s="171" t="s">
        <v>23342</v>
      </c>
      <c r="G3510" s="82"/>
      <c r="H3510" s="96">
        <f t="shared" si="216"/>
        <v>60.44</v>
      </c>
      <c r="I3510" s="96">
        <f t="shared" si="216"/>
        <v>62.27</v>
      </c>
      <c r="J3510" s="91" t="str">
        <f t="shared" si="217"/>
        <v>Sinapi 92323</v>
      </c>
      <c r="K3510" s="91" t="str">
        <f t="shared" si="218"/>
        <v>M</v>
      </c>
      <c r="L3510" s="166" t="str">
        <f t="shared" si="219"/>
        <v>04/2022</v>
      </c>
      <c r="M3510" s="82"/>
      <c r="N3510" s="82"/>
    </row>
    <row r="3511" spans="1:14" x14ac:dyDescent="0.25">
      <c r="A3511" s="170" t="s">
        <v>6238</v>
      </c>
      <c r="B3511" s="170" t="s">
        <v>15823</v>
      </c>
      <c r="C3511" s="170" t="s">
        <v>385</v>
      </c>
      <c r="D3511" s="170" t="s">
        <v>1947</v>
      </c>
      <c r="E3511" s="171" t="s">
        <v>33454</v>
      </c>
      <c r="F3511" s="171" t="s">
        <v>36672</v>
      </c>
      <c r="G3511" s="82"/>
      <c r="H3511" s="96">
        <f t="shared" si="216"/>
        <v>150.12</v>
      </c>
      <c r="I3511" s="96">
        <f t="shared" si="216"/>
        <v>152.84</v>
      </c>
      <c r="J3511" s="91" t="str">
        <f t="shared" si="217"/>
        <v>Sinapi 92324</v>
      </c>
      <c r="K3511" s="91" t="str">
        <f t="shared" si="218"/>
        <v>M</v>
      </c>
      <c r="L3511" s="166" t="str">
        <f t="shared" si="219"/>
        <v>04/2022</v>
      </c>
      <c r="M3511" s="82"/>
      <c r="N3511" s="82"/>
    </row>
    <row r="3512" spans="1:14" x14ac:dyDescent="0.25">
      <c r="A3512" s="170" t="s">
        <v>6239</v>
      </c>
      <c r="B3512" s="170" t="s">
        <v>15824</v>
      </c>
      <c r="C3512" s="170" t="s">
        <v>385</v>
      </c>
      <c r="D3512" s="170" t="s">
        <v>1947</v>
      </c>
      <c r="E3512" s="171" t="s">
        <v>33455</v>
      </c>
      <c r="F3512" s="171" t="s">
        <v>36673</v>
      </c>
      <c r="G3512" s="82"/>
      <c r="H3512" s="96">
        <f t="shared" si="216"/>
        <v>173.33</v>
      </c>
      <c r="I3512" s="96">
        <f t="shared" si="216"/>
        <v>176.81</v>
      </c>
      <c r="J3512" s="91" t="str">
        <f t="shared" si="217"/>
        <v>Sinapi 92325</v>
      </c>
      <c r="K3512" s="91" t="str">
        <f t="shared" si="218"/>
        <v>M</v>
      </c>
      <c r="L3512" s="166" t="str">
        <f t="shared" si="219"/>
        <v>04/2022</v>
      </c>
      <c r="M3512" s="82"/>
      <c r="N3512" s="82"/>
    </row>
    <row r="3513" spans="1:14" x14ac:dyDescent="0.25">
      <c r="A3513" s="170" t="s">
        <v>6240</v>
      </c>
      <c r="B3513" s="170" t="s">
        <v>11757</v>
      </c>
      <c r="C3513" s="170" t="s">
        <v>385</v>
      </c>
      <c r="D3513" s="170" t="s">
        <v>1947</v>
      </c>
      <c r="E3513" s="171" t="s">
        <v>33456</v>
      </c>
      <c r="F3513" s="171" t="s">
        <v>29272</v>
      </c>
      <c r="G3513" s="82"/>
      <c r="H3513" s="96">
        <f t="shared" si="216"/>
        <v>86.6</v>
      </c>
      <c r="I3513" s="96">
        <f t="shared" si="216"/>
        <v>87.86</v>
      </c>
      <c r="J3513" s="91" t="str">
        <f t="shared" si="217"/>
        <v>Sinapi 92335</v>
      </c>
      <c r="K3513" s="91" t="str">
        <f t="shared" si="218"/>
        <v>M</v>
      </c>
      <c r="L3513" s="166" t="str">
        <f t="shared" si="219"/>
        <v>10/2020</v>
      </c>
      <c r="M3513" s="82"/>
      <c r="N3513" s="82"/>
    </row>
    <row r="3514" spans="1:14" x14ac:dyDescent="0.25">
      <c r="A3514" s="170" t="s">
        <v>6241</v>
      </c>
      <c r="B3514" s="170" t="s">
        <v>11758</v>
      </c>
      <c r="C3514" s="170" t="s">
        <v>385</v>
      </c>
      <c r="D3514" s="170" t="s">
        <v>1947</v>
      </c>
      <c r="E3514" s="171" t="s">
        <v>29223</v>
      </c>
      <c r="F3514" s="171" t="s">
        <v>29132</v>
      </c>
      <c r="G3514" s="82"/>
      <c r="H3514" s="96">
        <f t="shared" si="216"/>
        <v>106.51</v>
      </c>
      <c r="I3514" s="96">
        <f t="shared" si="216"/>
        <v>107.97</v>
      </c>
      <c r="J3514" s="91" t="str">
        <f t="shared" si="217"/>
        <v>Sinapi 92336</v>
      </c>
      <c r="K3514" s="91" t="str">
        <f t="shared" si="218"/>
        <v>M</v>
      </c>
      <c r="L3514" s="166" t="str">
        <f t="shared" si="219"/>
        <v>10/2020</v>
      </c>
      <c r="M3514" s="82"/>
      <c r="N3514" s="82"/>
    </row>
    <row r="3515" spans="1:14" x14ac:dyDescent="0.25">
      <c r="A3515" s="170" t="s">
        <v>6242</v>
      </c>
      <c r="B3515" s="170" t="s">
        <v>11759</v>
      </c>
      <c r="C3515" s="170" t="s">
        <v>385</v>
      </c>
      <c r="D3515" s="170" t="s">
        <v>1947</v>
      </c>
      <c r="E3515" s="171" t="s">
        <v>33457</v>
      </c>
      <c r="F3515" s="171" t="s">
        <v>31860</v>
      </c>
      <c r="G3515" s="82"/>
      <c r="H3515" s="96">
        <f t="shared" si="216"/>
        <v>140.63999999999999</v>
      </c>
      <c r="I3515" s="96">
        <f t="shared" si="216"/>
        <v>142.28</v>
      </c>
      <c r="J3515" s="91" t="str">
        <f t="shared" si="217"/>
        <v>Sinapi 92337</v>
      </c>
      <c r="K3515" s="91" t="str">
        <f t="shared" si="218"/>
        <v>M</v>
      </c>
      <c r="L3515" s="166" t="str">
        <f t="shared" si="219"/>
        <v>10/2020</v>
      </c>
      <c r="M3515" s="82"/>
      <c r="N3515" s="82"/>
    </row>
    <row r="3516" spans="1:14" x14ac:dyDescent="0.25">
      <c r="A3516" s="170" t="s">
        <v>6243</v>
      </c>
      <c r="B3516" s="170" t="s">
        <v>11760</v>
      </c>
      <c r="C3516" s="170" t="s">
        <v>385</v>
      </c>
      <c r="D3516" s="170" t="s">
        <v>1947</v>
      </c>
      <c r="E3516" s="171" t="s">
        <v>33458</v>
      </c>
      <c r="F3516" s="171" t="s">
        <v>36674</v>
      </c>
      <c r="G3516" s="82"/>
      <c r="H3516" s="96">
        <f t="shared" si="216"/>
        <v>148.91999999999999</v>
      </c>
      <c r="I3516" s="96">
        <f t="shared" si="216"/>
        <v>151.77000000000001</v>
      </c>
      <c r="J3516" s="91" t="str">
        <f t="shared" si="217"/>
        <v>Sinapi 92338</v>
      </c>
      <c r="K3516" s="91" t="str">
        <f t="shared" si="218"/>
        <v>M</v>
      </c>
      <c r="L3516" s="166" t="str">
        <f t="shared" si="219"/>
        <v>10/2020</v>
      </c>
      <c r="M3516" s="82"/>
      <c r="N3516" s="82"/>
    </row>
    <row r="3517" spans="1:14" x14ac:dyDescent="0.25">
      <c r="A3517" s="170" t="s">
        <v>6244</v>
      </c>
      <c r="B3517" s="170" t="s">
        <v>11761</v>
      </c>
      <c r="C3517" s="170" t="s">
        <v>385</v>
      </c>
      <c r="D3517" s="170" t="s">
        <v>1947</v>
      </c>
      <c r="E3517" s="171" t="s">
        <v>33459</v>
      </c>
      <c r="F3517" s="171" t="s">
        <v>36675</v>
      </c>
      <c r="G3517" s="82"/>
      <c r="H3517" s="96">
        <f t="shared" si="216"/>
        <v>228.54</v>
      </c>
      <c r="I3517" s="96">
        <f t="shared" si="216"/>
        <v>231.69</v>
      </c>
      <c r="J3517" s="91" t="str">
        <f t="shared" si="217"/>
        <v>Sinapi 92339</v>
      </c>
      <c r="K3517" s="91" t="str">
        <f t="shared" si="218"/>
        <v>M</v>
      </c>
      <c r="L3517" s="166" t="str">
        <f t="shared" si="219"/>
        <v>10/2020</v>
      </c>
      <c r="M3517" s="82"/>
      <c r="N3517" s="82"/>
    </row>
    <row r="3518" spans="1:14" x14ac:dyDescent="0.25">
      <c r="A3518" s="170" t="s">
        <v>6245</v>
      </c>
      <c r="B3518" s="170" t="s">
        <v>11762</v>
      </c>
      <c r="C3518" s="170" t="s">
        <v>385</v>
      </c>
      <c r="D3518" s="170" t="s">
        <v>1947</v>
      </c>
      <c r="E3518" s="171" t="s">
        <v>28851</v>
      </c>
      <c r="F3518" s="171" t="s">
        <v>36676</v>
      </c>
      <c r="G3518" s="82"/>
      <c r="H3518" s="96">
        <f t="shared" si="216"/>
        <v>95.35</v>
      </c>
      <c r="I3518" s="96">
        <f t="shared" si="216"/>
        <v>97.61</v>
      </c>
      <c r="J3518" s="91" t="str">
        <f t="shared" si="217"/>
        <v>Sinapi 92341</v>
      </c>
      <c r="K3518" s="91" t="str">
        <f t="shared" si="218"/>
        <v>M</v>
      </c>
      <c r="L3518" s="166" t="str">
        <f t="shared" si="219"/>
        <v>10/2020</v>
      </c>
      <c r="M3518" s="82"/>
      <c r="N3518" s="82"/>
    </row>
    <row r="3519" spans="1:14" x14ac:dyDescent="0.25">
      <c r="A3519" s="170" t="s">
        <v>6246</v>
      </c>
      <c r="B3519" s="170" t="s">
        <v>11763</v>
      </c>
      <c r="C3519" s="170" t="s">
        <v>385</v>
      </c>
      <c r="D3519" s="170" t="s">
        <v>1947</v>
      </c>
      <c r="E3519" s="171" t="s">
        <v>33460</v>
      </c>
      <c r="F3519" s="171" t="s">
        <v>32713</v>
      </c>
      <c r="G3519" s="82"/>
      <c r="H3519" s="96">
        <f t="shared" si="216"/>
        <v>115.32</v>
      </c>
      <c r="I3519" s="96">
        <f t="shared" si="216"/>
        <v>117.78</v>
      </c>
      <c r="J3519" s="91" t="str">
        <f t="shared" si="217"/>
        <v>Sinapi 92342</v>
      </c>
      <c r="K3519" s="91" t="str">
        <f t="shared" si="218"/>
        <v>M</v>
      </c>
      <c r="L3519" s="166" t="str">
        <f t="shared" si="219"/>
        <v>10/2020</v>
      </c>
      <c r="M3519" s="82"/>
      <c r="N3519" s="82"/>
    </row>
    <row r="3520" spans="1:14" x14ac:dyDescent="0.25">
      <c r="A3520" s="170" t="s">
        <v>6247</v>
      </c>
      <c r="B3520" s="170" t="s">
        <v>11764</v>
      </c>
      <c r="C3520" s="170" t="s">
        <v>385</v>
      </c>
      <c r="D3520" s="170" t="s">
        <v>1947</v>
      </c>
      <c r="E3520" s="171" t="s">
        <v>33461</v>
      </c>
      <c r="F3520" s="171" t="s">
        <v>23084</v>
      </c>
      <c r="G3520" s="82"/>
      <c r="H3520" s="96">
        <f t="shared" si="216"/>
        <v>149.53</v>
      </c>
      <c r="I3520" s="96">
        <f t="shared" si="216"/>
        <v>152.19</v>
      </c>
      <c r="J3520" s="91" t="str">
        <f t="shared" si="217"/>
        <v>Sinapi 92343</v>
      </c>
      <c r="K3520" s="91" t="str">
        <f t="shared" si="218"/>
        <v>M</v>
      </c>
      <c r="L3520" s="166" t="str">
        <f t="shared" si="219"/>
        <v>10/2020</v>
      </c>
      <c r="M3520" s="82"/>
      <c r="N3520" s="82"/>
    </row>
    <row r="3521" spans="1:14" x14ac:dyDescent="0.25">
      <c r="A3521" s="170" t="s">
        <v>11765</v>
      </c>
      <c r="B3521" s="170" t="s">
        <v>11766</v>
      </c>
      <c r="C3521" s="170" t="s">
        <v>385</v>
      </c>
      <c r="D3521" s="170" t="s">
        <v>1947</v>
      </c>
      <c r="E3521" s="171" t="s">
        <v>33462</v>
      </c>
      <c r="F3521" s="171" t="s">
        <v>31390</v>
      </c>
      <c r="G3521" s="82"/>
      <c r="H3521" s="96">
        <f t="shared" si="216"/>
        <v>72.48</v>
      </c>
      <c r="I3521" s="96">
        <f t="shared" si="216"/>
        <v>72.86</v>
      </c>
      <c r="J3521" s="91" t="str">
        <f t="shared" si="217"/>
        <v>Sinapi 92359</v>
      </c>
      <c r="K3521" s="91" t="str">
        <f t="shared" si="218"/>
        <v>M</v>
      </c>
      <c r="L3521" s="166" t="str">
        <f t="shared" si="219"/>
        <v>10/2020</v>
      </c>
      <c r="M3521" s="82"/>
      <c r="N3521" s="82"/>
    </row>
    <row r="3522" spans="1:14" x14ac:dyDescent="0.25">
      <c r="A3522" s="170" t="s">
        <v>11767</v>
      </c>
      <c r="B3522" s="170" t="s">
        <v>11768</v>
      </c>
      <c r="C3522" s="170" t="s">
        <v>385</v>
      </c>
      <c r="D3522" s="170" t="s">
        <v>1947</v>
      </c>
      <c r="E3522" s="171" t="s">
        <v>28672</v>
      </c>
      <c r="F3522" s="171" t="s">
        <v>36677</v>
      </c>
      <c r="G3522" s="82"/>
      <c r="H3522" s="96">
        <f t="shared" si="216"/>
        <v>96.93</v>
      </c>
      <c r="I3522" s="96">
        <f t="shared" si="216"/>
        <v>97.42</v>
      </c>
      <c r="J3522" s="91" t="str">
        <f t="shared" si="217"/>
        <v>Sinapi 92360</v>
      </c>
      <c r="K3522" s="91" t="str">
        <f t="shared" si="218"/>
        <v>M</v>
      </c>
      <c r="L3522" s="166" t="str">
        <f t="shared" si="219"/>
        <v>10/2020</v>
      </c>
      <c r="M3522" s="82"/>
      <c r="N3522" s="82"/>
    </row>
    <row r="3523" spans="1:14" x14ac:dyDescent="0.25">
      <c r="A3523" s="170" t="s">
        <v>6248</v>
      </c>
      <c r="B3523" s="170" t="s">
        <v>11769</v>
      </c>
      <c r="C3523" s="170" t="s">
        <v>385</v>
      </c>
      <c r="D3523" s="170" t="s">
        <v>1947</v>
      </c>
      <c r="E3523" s="171" t="s">
        <v>33463</v>
      </c>
      <c r="F3523" s="171" t="s">
        <v>36678</v>
      </c>
      <c r="G3523" s="82"/>
      <c r="H3523" s="96">
        <f t="shared" si="216"/>
        <v>130.59</v>
      </c>
      <c r="I3523" s="96">
        <f t="shared" si="216"/>
        <v>131.34</v>
      </c>
      <c r="J3523" s="91" t="str">
        <f t="shared" si="217"/>
        <v>Sinapi 92361</v>
      </c>
      <c r="K3523" s="91" t="str">
        <f t="shared" si="218"/>
        <v>M</v>
      </c>
      <c r="L3523" s="166" t="str">
        <f t="shared" si="219"/>
        <v>10/2020</v>
      </c>
      <c r="M3523" s="82"/>
      <c r="N3523" s="82"/>
    </row>
    <row r="3524" spans="1:14" x14ac:dyDescent="0.25">
      <c r="A3524" s="170" t="s">
        <v>6249</v>
      </c>
      <c r="B3524" s="170" t="s">
        <v>11770</v>
      </c>
      <c r="C3524" s="170" t="s">
        <v>385</v>
      </c>
      <c r="D3524" s="170" t="s">
        <v>1947</v>
      </c>
      <c r="E3524" s="171" t="s">
        <v>33464</v>
      </c>
      <c r="F3524" s="171" t="s">
        <v>36679</v>
      </c>
      <c r="G3524" s="82"/>
      <c r="H3524" s="96">
        <f t="shared" si="216"/>
        <v>209.47</v>
      </c>
      <c r="I3524" s="96">
        <f t="shared" si="216"/>
        <v>210.45</v>
      </c>
      <c r="J3524" s="91" t="str">
        <f t="shared" si="217"/>
        <v>Sinapi 92362</v>
      </c>
      <c r="K3524" s="91" t="str">
        <f t="shared" si="218"/>
        <v>M</v>
      </c>
      <c r="L3524" s="166" t="str">
        <f t="shared" si="219"/>
        <v>10/2020</v>
      </c>
      <c r="M3524" s="82"/>
      <c r="N3524" s="82"/>
    </row>
    <row r="3525" spans="1:14" x14ac:dyDescent="0.25">
      <c r="A3525" s="170" t="s">
        <v>6250</v>
      </c>
      <c r="B3525" s="170" t="s">
        <v>11771</v>
      </c>
      <c r="C3525" s="170" t="s">
        <v>385</v>
      </c>
      <c r="D3525" s="170" t="s">
        <v>1947</v>
      </c>
      <c r="E3525" s="171" t="s">
        <v>31242</v>
      </c>
      <c r="F3525" s="171" t="s">
        <v>34858</v>
      </c>
      <c r="G3525" s="82"/>
      <c r="H3525" s="96">
        <f t="shared" si="216"/>
        <v>52.5</v>
      </c>
      <c r="I3525" s="96">
        <f t="shared" si="216"/>
        <v>53.34</v>
      </c>
      <c r="J3525" s="91" t="str">
        <f t="shared" si="217"/>
        <v>Sinapi 92364</v>
      </c>
      <c r="K3525" s="91" t="str">
        <f t="shared" si="218"/>
        <v>M</v>
      </c>
      <c r="L3525" s="166" t="str">
        <f t="shared" si="219"/>
        <v>10/2020</v>
      </c>
      <c r="M3525" s="82"/>
      <c r="N3525" s="82"/>
    </row>
    <row r="3526" spans="1:14" x14ac:dyDescent="0.25">
      <c r="A3526" s="170" t="s">
        <v>6251</v>
      </c>
      <c r="B3526" s="170" t="s">
        <v>11772</v>
      </c>
      <c r="C3526" s="170" t="s">
        <v>385</v>
      </c>
      <c r="D3526" s="170" t="s">
        <v>1947</v>
      </c>
      <c r="E3526" s="171" t="s">
        <v>31555</v>
      </c>
      <c r="F3526" s="171" t="s">
        <v>34982</v>
      </c>
      <c r="G3526" s="82"/>
      <c r="H3526" s="96">
        <f t="shared" si="216"/>
        <v>60.47</v>
      </c>
      <c r="I3526" s="96">
        <f t="shared" si="216"/>
        <v>61.39</v>
      </c>
      <c r="J3526" s="91" t="str">
        <f t="shared" si="217"/>
        <v>Sinapi 92365</v>
      </c>
      <c r="K3526" s="91" t="str">
        <f t="shared" si="218"/>
        <v>M</v>
      </c>
      <c r="L3526" s="166" t="str">
        <f t="shared" si="219"/>
        <v>10/2020</v>
      </c>
      <c r="M3526" s="82"/>
      <c r="N3526" s="82"/>
    </row>
    <row r="3527" spans="1:14" x14ac:dyDescent="0.25">
      <c r="A3527" s="170" t="s">
        <v>6252</v>
      </c>
      <c r="B3527" s="170" t="s">
        <v>11773</v>
      </c>
      <c r="C3527" s="170" t="s">
        <v>385</v>
      </c>
      <c r="D3527" s="170" t="s">
        <v>1947</v>
      </c>
      <c r="E3527" s="171" t="s">
        <v>33465</v>
      </c>
      <c r="F3527" s="171" t="s">
        <v>36680</v>
      </c>
      <c r="G3527" s="82"/>
      <c r="H3527" s="96">
        <f t="shared" si="216"/>
        <v>84.53</v>
      </c>
      <c r="I3527" s="96">
        <f t="shared" si="216"/>
        <v>85.55</v>
      </c>
      <c r="J3527" s="91" t="str">
        <f t="shared" si="217"/>
        <v>Sinapi 92366</v>
      </c>
      <c r="K3527" s="91" t="str">
        <f t="shared" si="218"/>
        <v>M</v>
      </c>
      <c r="L3527" s="166" t="str">
        <f t="shared" si="219"/>
        <v>10/2020</v>
      </c>
      <c r="M3527" s="82"/>
      <c r="N3527" s="82"/>
    </row>
    <row r="3528" spans="1:14" x14ac:dyDescent="0.25">
      <c r="A3528" s="170" t="s">
        <v>6253</v>
      </c>
      <c r="B3528" s="170" t="s">
        <v>11774</v>
      </c>
      <c r="C3528" s="170" t="s">
        <v>385</v>
      </c>
      <c r="D3528" s="170" t="s">
        <v>1947</v>
      </c>
      <c r="E3528" s="171" t="s">
        <v>33466</v>
      </c>
      <c r="F3528" s="171" t="s">
        <v>34623</v>
      </c>
      <c r="G3528" s="82"/>
      <c r="H3528" s="96">
        <f t="shared" ref="H3528:I3591" si="220">IF(E3528="","",E3528+0)</f>
        <v>104.01</v>
      </c>
      <c r="I3528" s="96">
        <f t="shared" si="220"/>
        <v>105.17</v>
      </c>
      <c r="J3528" s="91" t="str">
        <f t="shared" ref="J3528:J3591" si="221">IF(OR(H3528="",I3528=""),"",TRIM(CONCATENATE("Sinapi ",A3528)))</f>
        <v>Sinapi 92367</v>
      </c>
      <c r="K3528" s="91" t="str">
        <f t="shared" ref="K3528:K3591" si="222">TRIM(C3528)</f>
        <v>M</v>
      </c>
      <c r="L3528" s="166" t="str">
        <f t="shared" ref="L3528:L3591" si="223">IF(OR(RIGHT(IF(AND(K3528&lt;&gt;"H",K3528&lt;&gt;"MES"),RIGHT(B3528,7),""),2)="PS",RIGHT(IF(AND(K3528&lt;&gt;"H",K3528&lt;&gt;"MES"),RIGHT(B3528,7),""),2)="PA",RIGHT(IF(AND(K3528&lt;&gt;"H",K3528&lt;&gt;"MES"),RIGHT(B3528,7),""),2)="PE"),LEFT(IF(AND(K3528&lt;&gt;"H",K3528&lt;&gt;"MES"),RIGHT(B3528,10),""),7),IF(AND(K3528&lt;&gt;"H",K3528&lt;&gt;"MES"),RIGHT(B3528,7),""))</f>
        <v>10/2020</v>
      </c>
      <c r="M3528" s="82"/>
      <c r="N3528" s="82"/>
    </row>
    <row r="3529" spans="1:14" x14ac:dyDescent="0.25">
      <c r="A3529" s="170" t="s">
        <v>6254</v>
      </c>
      <c r="B3529" s="170" t="s">
        <v>11775</v>
      </c>
      <c r="C3529" s="170" t="s">
        <v>385</v>
      </c>
      <c r="D3529" s="170" t="s">
        <v>1947</v>
      </c>
      <c r="E3529" s="171" t="s">
        <v>30008</v>
      </c>
      <c r="F3529" s="171" t="s">
        <v>36681</v>
      </c>
      <c r="G3529" s="82"/>
      <c r="H3529" s="96">
        <f t="shared" si="220"/>
        <v>137.76</v>
      </c>
      <c r="I3529" s="96">
        <f t="shared" si="220"/>
        <v>139.07</v>
      </c>
      <c r="J3529" s="91" t="str">
        <f t="shared" si="221"/>
        <v>Sinapi 92368</v>
      </c>
      <c r="K3529" s="91" t="str">
        <f t="shared" si="222"/>
        <v>M</v>
      </c>
      <c r="L3529" s="166" t="str">
        <f t="shared" si="223"/>
        <v>10/2020</v>
      </c>
      <c r="M3529" s="82"/>
      <c r="N3529" s="82"/>
    </row>
    <row r="3530" spans="1:14" x14ac:dyDescent="0.25">
      <c r="A3530" s="170" t="s">
        <v>11776</v>
      </c>
      <c r="B3530" s="170" t="s">
        <v>11777</v>
      </c>
      <c r="C3530" s="170" t="s">
        <v>385</v>
      </c>
      <c r="D3530" s="170" t="s">
        <v>1947</v>
      </c>
      <c r="E3530" s="171" t="s">
        <v>22721</v>
      </c>
      <c r="F3530" s="171" t="s">
        <v>29176</v>
      </c>
      <c r="G3530" s="82"/>
      <c r="H3530" s="96">
        <f t="shared" si="220"/>
        <v>75.78</v>
      </c>
      <c r="I3530" s="96">
        <f t="shared" si="220"/>
        <v>76.53</v>
      </c>
      <c r="J3530" s="91" t="str">
        <f t="shared" si="221"/>
        <v>Sinapi 92645</v>
      </c>
      <c r="K3530" s="91" t="str">
        <f t="shared" si="222"/>
        <v>M</v>
      </c>
      <c r="L3530" s="166" t="str">
        <f t="shared" si="223"/>
        <v>10/2020</v>
      </c>
      <c r="M3530" s="82"/>
      <c r="N3530" s="82"/>
    </row>
    <row r="3531" spans="1:14" x14ac:dyDescent="0.25">
      <c r="A3531" s="170" t="s">
        <v>11778</v>
      </c>
      <c r="B3531" s="170" t="s">
        <v>11779</v>
      </c>
      <c r="C3531" s="170" t="s">
        <v>385</v>
      </c>
      <c r="D3531" s="170" t="s">
        <v>1947</v>
      </c>
      <c r="E3531" s="171" t="s">
        <v>32789</v>
      </c>
      <c r="F3531" s="171" t="s">
        <v>36682</v>
      </c>
      <c r="G3531" s="82"/>
      <c r="H3531" s="96">
        <f t="shared" si="220"/>
        <v>100.24</v>
      </c>
      <c r="I3531" s="96">
        <f t="shared" si="220"/>
        <v>101.1</v>
      </c>
      <c r="J3531" s="91" t="str">
        <f t="shared" si="221"/>
        <v>Sinapi 92646</v>
      </c>
      <c r="K3531" s="91" t="str">
        <f t="shared" si="222"/>
        <v>M</v>
      </c>
      <c r="L3531" s="166" t="str">
        <f t="shared" si="223"/>
        <v>10/2020</v>
      </c>
      <c r="M3531" s="82"/>
      <c r="N3531" s="82"/>
    </row>
    <row r="3532" spans="1:14" x14ac:dyDescent="0.25">
      <c r="A3532" s="170" t="s">
        <v>6255</v>
      </c>
      <c r="B3532" s="170" t="s">
        <v>11780</v>
      </c>
      <c r="C3532" s="170" t="s">
        <v>385</v>
      </c>
      <c r="D3532" s="170" t="s">
        <v>1947</v>
      </c>
      <c r="E3532" s="171" t="s">
        <v>33467</v>
      </c>
      <c r="F3532" s="171" t="s">
        <v>36683</v>
      </c>
      <c r="G3532" s="82"/>
      <c r="H3532" s="96">
        <f t="shared" si="220"/>
        <v>109.61</v>
      </c>
      <c r="I3532" s="96">
        <f t="shared" si="220"/>
        <v>110.59</v>
      </c>
      <c r="J3532" s="91" t="str">
        <f t="shared" si="221"/>
        <v>Sinapi 92648</v>
      </c>
      <c r="K3532" s="91" t="str">
        <f t="shared" si="222"/>
        <v>M</v>
      </c>
      <c r="L3532" s="166" t="str">
        <f t="shared" si="223"/>
        <v>10/2020</v>
      </c>
      <c r="M3532" s="82"/>
      <c r="N3532" s="82"/>
    </row>
    <row r="3533" spans="1:14" x14ac:dyDescent="0.25">
      <c r="A3533" s="170" t="s">
        <v>6256</v>
      </c>
      <c r="B3533" s="170" t="s">
        <v>11781</v>
      </c>
      <c r="C3533" s="170" t="s">
        <v>385</v>
      </c>
      <c r="D3533" s="170" t="s">
        <v>1947</v>
      </c>
      <c r="E3533" s="171" t="s">
        <v>33468</v>
      </c>
      <c r="F3533" s="171" t="s">
        <v>28512</v>
      </c>
      <c r="G3533" s="82"/>
      <c r="H3533" s="96">
        <f t="shared" si="220"/>
        <v>133.88</v>
      </c>
      <c r="I3533" s="96">
        <f t="shared" si="220"/>
        <v>135.01</v>
      </c>
      <c r="J3533" s="91" t="str">
        <f t="shared" si="221"/>
        <v>Sinapi 92649</v>
      </c>
      <c r="K3533" s="91" t="str">
        <f t="shared" si="222"/>
        <v>M</v>
      </c>
      <c r="L3533" s="166" t="str">
        <f t="shared" si="223"/>
        <v>10/2020</v>
      </c>
      <c r="M3533" s="82"/>
      <c r="N3533" s="82"/>
    </row>
    <row r="3534" spans="1:14" x14ac:dyDescent="0.25">
      <c r="A3534" s="170" t="s">
        <v>6257</v>
      </c>
      <c r="B3534" s="170" t="s">
        <v>11782</v>
      </c>
      <c r="C3534" s="170" t="s">
        <v>385</v>
      </c>
      <c r="D3534" s="170" t="s">
        <v>1947</v>
      </c>
      <c r="E3534" s="171" t="s">
        <v>33469</v>
      </c>
      <c r="F3534" s="171" t="s">
        <v>29372</v>
      </c>
      <c r="G3534" s="82"/>
      <c r="H3534" s="96">
        <f t="shared" si="220"/>
        <v>212.76</v>
      </c>
      <c r="I3534" s="96">
        <f t="shared" si="220"/>
        <v>214.12</v>
      </c>
      <c r="J3534" s="91" t="str">
        <f t="shared" si="221"/>
        <v>Sinapi 92650</v>
      </c>
      <c r="K3534" s="91" t="str">
        <f t="shared" si="222"/>
        <v>M</v>
      </c>
      <c r="L3534" s="166" t="str">
        <f t="shared" si="223"/>
        <v>10/2020</v>
      </c>
      <c r="M3534" s="82"/>
      <c r="N3534" s="82"/>
    </row>
    <row r="3535" spans="1:14" x14ac:dyDescent="0.25">
      <c r="A3535" s="170" t="s">
        <v>6258</v>
      </c>
      <c r="B3535" s="170" t="s">
        <v>11783</v>
      </c>
      <c r="C3535" s="170" t="s">
        <v>385</v>
      </c>
      <c r="D3535" s="170" t="s">
        <v>1947</v>
      </c>
      <c r="E3535" s="171" t="s">
        <v>32190</v>
      </c>
      <c r="F3535" s="171" t="s">
        <v>23221</v>
      </c>
      <c r="G3535" s="82"/>
      <c r="H3535" s="96">
        <f t="shared" si="220"/>
        <v>56.49</v>
      </c>
      <c r="I3535" s="96">
        <f t="shared" si="220"/>
        <v>57.78</v>
      </c>
      <c r="J3535" s="91" t="str">
        <f t="shared" si="221"/>
        <v>Sinapi 92652</v>
      </c>
      <c r="K3535" s="91" t="str">
        <f t="shared" si="222"/>
        <v>M</v>
      </c>
      <c r="L3535" s="166" t="str">
        <f t="shared" si="223"/>
        <v>10/2020</v>
      </c>
      <c r="M3535" s="82"/>
      <c r="N3535" s="82"/>
    </row>
    <row r="3536" spans="1:14" x14ac:dyDescent="0.25">
      <c r="A3536" s="170" t="s">
        <v>6259</v>
      </c>
      <c r="B3536" s="170" t="s">
        <v>11784</v>
      </c>
      <c r="C3536" s="170" t="s">
        <v>385</v>
      </c>
      <c r="D3536" s="170" t="s">
        <v>1947</v>
      </c>
      <c r="E3536" s="171" t="s">
        <v>26862</v>
      </c>
      <c r="F3536" s="171" t="s">
        <v>26279</v>
      </c>
      <c r="G3536" s="82"/>
      <c r="H3536" s="96">
        <f t="shared" si="220"/>
        <v>64.510000000000005</v>
      </c>
      <c r="I3536" s="96">
        <f t="shared" si="220"/>
        <v>65.88</v>
      </c>
      <c r="J3536" s="91" t="str">
        <f t="shared" si="221"/>
        <v>Sinapi 92653</v>
      </c>
      <c r="K3536" s="91" t="str">
        <f t="shared" si="222"/>
        <v>M</v>
      </c>
      <c r="L3536" s="166" t="str">
        <f t="shared" si="223"/>
        <v>10/2020</v>
      </c>
      <c r="M3536" s="82"/>
      <c r="N3536" s="82"/>
    </row>
    <row r="3537" spans="1:14" x14ac:dyDescent="0.25">
      <c r="A3537" s="170" t="s">
        <v>6260</v>
      </c>
      <c r="B3537" s="170" t="s">
        <v>11785</v>
      </c>
      <c r="C3537" s="170" t="s">
        <v>385</v>
      </c>
      <c r="D3537" s="170" t="s">
        <v>1947</v>
      </c>
      <c r="E3537" s="171" t="s">
        <v>23288</v>
      </c>
      <c r="F3537" s="171" t="s">
        <v>28645</v>
      </c>
      <c r="G3537" s="82"/>
      <c r="H3537" s="96">
        <f t="shared" si="220"/>
        <v>88.57</v>
      </c>
      <c r="I3537" s="96">
        <f t="shared" si="220"/>
        <v>90.04</v>
      </c>
      <c r="J3537" s="91" t="str">
        <f t="shared" si="221"/>
        <v>Sinapi 92654</v>
      </c>
      <c r="K3537" s="91" t="str">
        <f t="shared" si="222"/>
        <v>M</v>
      </c>
      <c r="L3537" s="166" t="str">
        <f t="shared" si="223"/>
        <v>10/2020</v>
      </c>
      <c r="M3537" s="82"/>
      <c r="N3537" s="82"/>
    </row>
    <row r="3538" spans="1:14" x14ac:dyDescent="0.25">
      <c r="A3538" s="170" t="s">
        <v>6261</v>
      </c>
      <c r="B3538" s="170" t="s">
        <v>11786</v>
      </c>
      <c r="C3538" s="170" t="s">
        <v>385</v>
      </c>
      <c r="D3538" s="170" t="s">
        <v>1947</v>
      </c>
      <c r="E3538" s="171" t="s">
        <v>29329</v>
      </c>
      <c r="F3538" s="171" t="s">
        <v>36684</v>
      </c>
      <c r="G3538" s="82"/>
      <c r="H3538" s="96">
        <f t="shared" si="220"/>
        <v>108.12</v>
      </c>
      <c r="I3538" s="96">
        <f t="shared" si="220"/>
        <v>109.75</v>
      </c>
      <c r="J3538" s="91" t="str">
        <f t="shared" si="221"/>
        <v>Sinapi 92655</v>
      </c>
      <c r="K3538" s="91" t="str">
        <f t="shared" si="222"/>
        <v>M</v>
      </c>
      <c r="L3538" s="166" t="str">
        <f t="shared" si="223"/>
        <v>10/2020</v>
      </c>
      <c r="M3538" s="82"/>
      <c r="N3538" s="82"/>
    </row>
    <row r="3539" spans="1:14" x14ac:dyDescent="0.25">
      <c r="A3539" s="170" t="s">
        <v>6262</v>
      </c>
      <c r="B3539" s="170" t="s">
        <v>11787</v>
      </c>
      <c r="C3539" s="170" t="s">
        <v>385</v>
      </c>
      <c r="D3539" s="170" t="s">
        <v>1947</v>
      </c>
      <c r="E3539" s="171" t="s">
        <v>32208</v>
      </c>
      <c r="F3539" s="171" t="s">
        <v>36685</v>
      </c>
      <c r="G3539" s="82"/>
      <c r="H3539" s="96">
        <f t="shared" si="220"/>
        <v>141.87</v>
      </c>
      <c r="I3539" s="96">
        <f t="shared" si="220"/>
        <v>143.66</v>
      </c>
      <c r="J3539" s="91" t="str">
        <f t="shared" si="221"/>
        <v>Sinapi 92656</v>
      </c>
      <c r="K3539" s="91" t="str">
        <f t="shared" si="222"/>
        <v>M</v>
      </c>
      <c r="L3539" s="166" t="str">
        <f t="shared" si="223"/>
        <v>10/2020</v>
      </c>
      <c r="M3539" s="82"/>
      <c r="N3539" s="82"/>
    </row>
    <row r="3540" spans="1:14" x14ac:dyDescent="0.25">
      <c r="A3540" s="170" t="s">
        <v>6263</v>
      </c>
      <c r="B3540" s="170" t="s">
        <v>11788</v>
      </c>
      <c r="C3540" s="170" t="s">
        <v>385</v>
      </c>
      <c r="D3540" s="170" t="s">
        <v>1947</v>
      </c>
      <c r="E3540" s="171" t="s">
        <v>21115</v>
      </c>
      <c r="F3540" s="171" t="s">
        <v>21373</v>
      </c>
      <c r="G3540" s="82"/>
      <c r="H3540" s="96">
        <f t="shared" si="220"/>
        <v>26.2</v>
      </c>
      <c r="I3540" s="96">
        <f t="shared" si="220"/>
        <v>27.02</v>
      </c>
      <c r="J3540" s="91" t="str">
        <f t="shared" si="221"/>
        <v>Sinapi 92687</v>
      </c>
      <c r="K3540" s="91" t="str">
        <f t="shared" si="222"/>
        <v>M</v>
      </c>
      <c r="L3540" s="166" t="str">
        <f t="shared" si="223"/>
        <v>10/2020</v>
      </c>
      <c r="M3540" s="82"/>
      <c r="N3540" s="82"/>
    </row>
    <row r="3541" spans="1:14" x14ac:dyDescent="0.25">
      <c r="A3541" s="170" t="s">
        <v>6264</v>
      </c>
      <c r="B3541" s="170" t="s">
        <v>11789</v>
      </c>
      <c r="C3541" s="170" t="s">
        <v>385</v>
      </c>
      <c r="D3541" s="170" t="s">
        <v>1947</v>
      </c>
      <c r="E3541" s="171" t="s">
        <v>32052</v>
      </c>
      <c r="F3541" s="171" t="s">
        <v>21563</v>
      </c>
      <c r="G3541" s="82"/>
      <c r="H3541" s="96">
        <f t="shared" si="220"/>
        <v>36.340000000000003</v>
      </c>
      <c r="I3541" s="96">
        <f t="shared" si="220"/>
        <v>37.75</v>
      </c>
      <c r="J3541" s="91" t="str">
        <f t="shared" si="221"/>
        <v>Sinapi 92688</v>
      </c>
      <c r="K3541" s="91" t="str">
        <f t="shared" si="222"/>
        <v>M</v>
      </c>
      <c r="L3541" s="166" t="str">
        <f t="shared" si="223"/>
        <v>10/2020</v>
      </c>
      <c r="M3541" s="82"/>
      <c r="N3541" s="82"/>
    </row>
    <row r="3542" spans="1:14" x14ac:dyDescent="0.25">
      <c r="A3542" s="170" t="s">
        <v>6265</v>
      </c>
      <c r="B3542" s="170" t="s">
        <v>11790</v>
      </c>
      <c r="C3542" s="170" t="s">
        <v>385</v>
      </c>
      <c r="D3542" s="170" t="s">
        <v>1947</v>
      </c>
      <c r="E3542" s="171" t="s">
        <v>28751</v>
      </c>
      <c r="F3542" s="171" t="s">
        <v>21854</v>
      </c>
      <c r="G3542" s="82"/>
      <c r="H3542" s="96">
        <f t="shared" si="220"/>
        <v>52.58</v>
      </c>
      <c r="I3542" s="96">
        <f t="shared" si="220"/>
        <v>53.44</v>
      </c>
      <c r="J3542" s="91" t="str">
        <f t="shared" si="221"/>
        <v>Sinapi 92689</v>
      </c>
      <c r="K3542" s="91" t="str">
        <f t="shared" si="222"/>
        <v>M</v>
      </c>
      <c r="L3542" s="166" t="str">
        <f t="shared" si="223"/>
        <v>10/2020</v>
      </c>
      <c r="M3542" s="82"/>
      <c r="N3542" s="82"/>
    </row>
    <row r="3543" spans="1:14" x14ac:dyDescent="0.25">
      <c r="A3543" s="170" t="s">
        <v>6266</v>
      </c>
      <c r="B3543" s="170" t="s">
        <v>11791</v>
      </c>
      <c r="C3543" s="170" t="s">
        <v>385</v>
      </c>
      <c r="D3543" s="170" t="s">
        <v>1947</v>
      </c>
      <c r="E3543" s="171" t="s">
        <v>33127</v>
      </c>
      <c r="F3543" s="171" t="s">
        <v>36686</v>
      </c>
      <c r="G3543" s="82"/>
      <c r="H3543" s="96">
        <f t="shared" si="220"/>
        <v>74.400000000000006</v>
      </c>
      <c r="I3543" s="96">
        <f t="shared" si="220"/>
        <v>75.87</v>
      </c>
      <c r="J3543" s="91" t="str">
        <f t="shared" si="221"/>
        <v>Sinapi 92690</v>
      </c>
      <c r="K3543" s="91" t="str">
        <f t="shared" si="222"/>
        <v>M</v>
      </c>
      <c r="L3543" s="166" t="str">
        <f t="shared" si="223"/>
        <v>10/2020</v>
      </c>
      <c r="M3543" s="82"/>
      <c r="N3543" s="82"/>
    </row>
    <row r="3544" spans="1:14" x14ac:dyDescent="0.25">
      <c r="A3544" s="170" t="s">
        <v>11792</v>
      </c>
      <c r="B3544" s="170" t="s">
        <v>12300</v>
      </c>
      <c r="C3544" s="170" t="s">
        <v>385</v>
      </c>
      <c r="D3544" s="170" t="s">
        <v>1947</v>
      </c>
      <c r="E3544" s="171" t="s">
        <v>33470</v>
      </c>
      <c r="F3544" s="171" t="s">
        <v>36687</v>
      </c>
      <c r="G3544" s="82"/>
      <c r="H3544" s="96">
        <f t="shared" si="220"/>
        <v>94.38</v>
      </c>
      <c r="I3544" s="96">
        <f t="shared" si="220"/>
        <v>97.25</v>
      </c>
      <c r="J3544" s="91" t="str">
        <f t="shared" si="221"/>
        <v>Sinapi 92691</v>
      </c>
      <c r="K3544" s="91" t="str">
        <f t="shared" si="222"/>
        <v>M</v>
      </c>
      <c r="L3544" s="166" t="str">
        <f t="shared" si="223"/>
        <v>10/2020</v>
      </c>
      <c r="M3544" s="82"/>
      <c r="N3544" s="82"/>
    </row>
    <row r="3545" spans="1:14" x14ac:dyDescent="0.25">
      <c r="A3545" s="170" t="s">
        <v>6267</v>
      </c>
      <c r="B3545" s="170" t="s">
        <v>6268</v>
      </c>
      <c r="C3545" s="170" t="s">
        <v>385</v>
      </c>
      <c r="D3545" s="170" t="s">
        <v>1947</v>
      </c>
      <c r="E3545" s="171" t="s">
        <v>33471</v>
      </c>
      <c r="F3545" s="171" t="s">
        <v>36688</v>
      </c>
      <c r="G3545" s="82"/>
      <c r="H3545" s="96">
        <f t="shared" si="220"/>
        <v>93.64</v>
      </c>
      <c r="I3545" s="96">
        <f t="shared" si="220"/>
        <v>96.38</v>
      </c>
      <c r="J3545" s="91" t="str">
        <f t="shared" si="221"/>
        <v>Sinapi 94462</v>
      </c>
      <c r="K3545" s="91" t="str">
        <f t="shared" si="222"/>
        <v>M</v>
      </c>
      <c r="L3545" s="166" t="str">
        <f t="shared" si="223"/>
        <v>06/2016</v>
      </c>
      <c r="M3545" s="82"/>
      <c r="N3545" s="82"/>
    </row>
    <row r="3546" spans="1:14" x14ac:dyDescent="0.25">
      <c r="A3546" s="170" t="s">
        <v>6269</v>
      </c>
      <c r="B3546" s="170" t="s">
        <v>6270</v>
      </c>
      <c r="C3546" s="170" t="s">
        <v>385</v>
      </c>
      <c r="D3546" s="170" t="s">
        <v>1947</v>
      </c>
      <c r="E3546" s="171" t="s">
        <v>22065</v>
      </c>
      <c r="F3546" s="171" t="s">
        <v>29008</v>
      </c>
      <c r="G3546" s="82"/>
      <c r="H3546" s="96">
        <f t="shared" si="220"/>
        <v>110.47</v>
      </c>
      <c r="I3546" s="96">
        <f t="shared" si="220"/>
        <v>113.21</v>
      </c>
      <c r="J3546" s="91" t="str">
        <f t="shared" si="221"/>
        <v>Sinapi 94463</v>
      </c>
      <c r="K3546" s="91" t="str">
        <f t="shared" si="222"/>
        <v>M</v>
      </c>
      <c r="L3546" s="166" t="str">
        <f t="shared" si="223"/>
        <v>06/2016</v>
      </c>
      <c r="M3546" s="82"/>
      <c r="N3546" s="82"/>
    </row>
    <row r="3547" spans="1:14" x14ac:dyDescent="0.25">
      <c r="A3547" s="170" t="s">
        <v>6271</v>
      </c>
      <c r="B3547" s="170" t="s">
        <v>6272</v>
      </c>
      <c r="C3547" s="170" t="s">
        <v>385</v>
      </c>
      <c r="D3547" s="170" t="s">
        <v>1947</v>
      </c>
      <c r="E3547" s="171" t="s">
        <v>33472</v>
      </c>
      <c r="F3547" s="171" t="s">
        <v>22044</v>
      </c>
      <c r="G3547" s="82"/>
      <c r="H3547" s="96">
        <f t="shared" si="220"/>
        <v>156.22999999999999</v>
      </c>
      <c r="I3547" s="96">
        <f t="shared" si="220"/>
        <v>159.66</v>
      </c>
      <c r="J3547" s="91" t="str">
        <f t="shared" si="221"/>
        <v>Sinapi 94464</v>
      </c>
      <c r="K3547" s="91" t="str">
        <f t="shared" si="222"/>
        <v>M</v>
      </c>
      <c r="L3547" s="166" t="str">
        <f t="shared" si="223"/>
        <v>06/2016</v>
      </c>
      <c r="M3547" s="82"/>
      <c r="N3547" s="82"/>
    </row>
    <row r="3548" spans="1:14" x14ac:dyDescent="0.25">
      <c r="A3548" s="170" t="s">
        <v>6273</v>
      </c>
      <c r="B3548" s="170" t="s">
        <v>6274</v>
      </c>
      <c r="C3548" s="170" t="s">
        <v>385</v>
      </c>
      <c r="D3548" s="170" t="s">
        <v>1947</v>
      </c>
      <c r="E3548" s="171" t="s">
        <v>33473</v>
      </c>
      <c r="F3548" s="171" t="s">
        <v>36689</v>
      </c>
      <c r="G3548" s="82"/>
      <c r="H3548" s="96">
        <f t="shared" si="220"/>
        <v>195.37</v>
      </c>
      <c r="I3548" s="96">
        <f t="shared" si="220"/>
        <v>198.6</v>
      </c>
      <c r="J3548" s="91" t="str">
        <f t="shared" si="221"/>
        <v>Sinapi 94602</v>
      </c>
      <c r="K3548" s="91" t="str">
        <f t="shared" si="222"/>
        <v>M</v>
      </c>
      <c r="L3548" s="166" t="str">
        <f t="shared" si="223"/>
        <v>06/2016</v>
      </c>
      <c r="M3548" s="82"/>
      <c r="N3548" s="82"/>
    </row>
    <row r="3549" spans="1:14" x14ac:dyDescent="0.25">
      <c r="A3549" s="170" t="s">
        <v>6275</v>
      </c>
      <c r="B3549" s="170" t="s">
        <v>6276</v>
      </c>
      <c r="C3549" s="170" t="s">
        <v>385</v>
      </c>
      <c r="D3549" s="170" t="s">
        <v>1947</v>
      </c>
      <c r="E3549" s="171" t="s">
        <v>33474</v>
      </c>
      <c r="F3549" s="171" t="s">
        <v>36690</v>
      </c>
      <c r="G3549" s="82"/>
      <c r="H3549" s="96">
        <f t="shared" si="220"/>
        <v>263.77999999999997</v>
      </c>
      <c r="I3549" s="96">
        <f t="shared" si="220"/>
        <v>267.01</v>
      </c>
      <c r="J3549" s="91" t="str">
        <f t="shared" si="221"/>
        <v>Sinapi 94603</v>
      </c>
      <c r="K3549" s="91" t="str">
        <f t="shared" si="222"/>
        <v>M</v>
      </c>
      <c r="L3549" s="166" t="str">
        <f t="shared" si="223"/>
        <v>06/2016</v>
      </c>
      <c r="M3549" s="82"/>
      <c r="N3549" s="82"/>
    </row>
    <row r="3550" spans="1:14" x14ac:dyDescent="0.25">
      <c r="A3550" s="170" t="s">
        <v>6277</v>
      </c>
      <c r="B3550" s="170" t="s">
        <v>6278</v>
      </c>
      <c r="C3550" s="170" t="s">
        <v>385</v>
      </c>
      <c r="D3550" s="170" t="s">
        <v>1947</v>
      </c>
      <c r="E3550" s="171" t="s">
        <v>33475</v>
      </c>
      <c r="F3550" s="171" t="s">
        <v>36691</v>
      </c>
      <c r="G3550" s="82"/>
      <c r="H3550" s="96">
        <f t="shared" si="220"/>
        <v>361.41</v>
      </c>
      <c r="I3550" s="96">
        <f t="shared" si="220"/>
        <v>364.93</v>
      </c>
      <c r="J3550" s="91" t="str">
        <f t="shared" si="221"/>
        <v>Sinapi 94604</v>
      </c>
      <c r="K3550" s="91" t="str">
        <f t="shared" si="222"/>
        <v>M</v>
      </c>
      <c r="L3550" s="166" t="str">
        <f t="shared" si="223"/>
        <v>06/2016</v>
      </c>
      <c r="M3550" s="82"/>
      <c r="N3550" s="82"/>
    </row>
    <row r="3551" spans="1:14" x14ac:dyDescent="0.25">
      <c r="A3551" s="170" t="s">
        <v>6279</v>
      </c>
      <c r="B3551" s="170" t="s">
        <v>6280</v>
      </c>
      <c r="C3551" s="170" t="s">
        <v>385</v>
      </c>
      <c r="D3551" s="170" t="s">
        <v>1947</v>
      </c>
      <c r="E3551" s="171" t="s">
        <v>33476</v>
      </c>
      <c r="F3551" s="171" t="s">
        <v>36692</v>
      </c>
      <c r="G3551" s="82"/>
      <c r="H3551" s="96">
        <f t="shared" si="220"/>
        <v>518.41999999999996</v>
      </c>
      <c r="I3551" s="96">
        <f t="shared" si="220"/>
        <v>521.94000000000005</v>
      </c>
      <c r="J3551" s="91" t="str">
        <f t="shared" si="221"/>
        <v>Sinapi 94605</v>
      </c>
      <c r="K3551" s="91" t="str">
        <f t="shared" si="222"/>
        <v>M</v>
      </c>
      <c r="L3551" s="166" t="str">
        <f t="shared" si="223"/>
        <v>06/2016</v>
      </c>
      <c r="M3551" s="82"/>
      <c r="N3551" s="82"/>
    </row>
    <row r="3552" spans="1:14" x14ac:dyDescent="0.25">
      <c r="A3552" s="170" t="s">
        <v>6281</v>
      </c>
      <c r="B3552" s="170" t="s">
        <v>6282</v>
      </c>
      <c r="C3552" s="170" t="s">
        <v>385</v>
      </c>
      <c r="D3552" s="170" t="s">
        <v>2067</v>
      </c>
      <c r="E3552" s="171" t="s">
        <v>15133</v>
      </c>
      <c r="F3552" s="171" t="s">
        <v>2164</v>
      </c>
      <c r="G3552" s="82"/>
      <c r="H3552" s="96">
        <f t="shared" si="220"/>
        <v>10.54</v>
      </c>
      <c r="I3552" s="96">
        <f t="shared" si="220"/>
        <v>11.17</v>
      </c>
      <c r="J3552" s="91" t="str">
        <f t="shared" si="221"/>
        <v>Sinapi 94648</v>
      </c>
      <c r="K3552" s="91" t="str">
        <f t="shared" si="222"/>
        <v>M</v>
      </c>
      <c r="L3552" s="166" t="str">
        <f t="shared" si="223"/>
        <v>06/2016</v>
      </c>
      <c r="M3552" s="82"/>
      <c r="N3552" s="82"/>
    </row>
    <row r="3553" spans="1:14" x14ac:dyDescent="0.25">
      <c r="A3553" s="170" t="s">
        <v>6283</v>
      </c>
      <c r="B3553" s="170" t="s">
        <v>6284</v>
      </c>
      <c r="C3553" s="170" t="s">
        <v>385</v>
      </c>
      <c r="D3553" s="170" t="s">
        <v>2067</v>
      </c>
      <c r="E3553" s="171" t="s">
        <v>18626</v>
      </c>
      <c r="F3553" s="171" t="s">
        <v>15511</v>
      </c>
      <c r="G3553" s="82"/>
      <c r="H3553" s="96">
        <f t="shared" si="220"/>
        <v>16.440000000000001</v>
      </c>
      <c r="I3553" s="96">
        <f t="shared" si="220"/>
        <v>17.07</v>
      </c>
      <c r="J3553" s="91" t="str">
        <f t="shared" si="221"/>
        <v>Sinapi 94649</v>
      </c>
      <c r="K3553" s="91" t="str">
        <f t="shared" si="222"/>
        <v>M</v>
      </c>
      <c r="L3553" s="166" t="str">
        <f t="shared" si="223"/>
        <v>06/2016</v>
      </c>
      <c r="M3553" s="82"/>
      <c r="N3553" s="82"/>
    </row>
    <row r="3554" spans="1:14" x14ac:dyDescent="0.25">
      <c r="A3554" s="170" t="s">
        <v>6285</v>
      </c>
      <c r="B3554" s="170" t="s">
        <v>6286</v>
      </c>
      <c r="C3554" s="170" t="s">
        <v>385</v>
      </c>
      <c r="D3554" s="170" t="s">
        <v>2067</v>
      </c>
      <c r="E3554" s="171" t="s">
        <v>18197</v>
      </c>
      <c r="F3554" s="171" t="s">
        <v>19358</v>
      </c>
      <c r="G3554" s="82"/>
      <c r="H3554" s="96">
        <f t="shared" si="220"/>
        <v>24.76</v>
      </c>
      <c r="I3554" s="96">
        <f t="shared" si="220"/>
        <v>25.66</v>
      </c>
      <c r="J3554" s="91" t="str">
        <f t="shared" si="221"/>
        <v>Sinapi 94650</v>
      </c>
      <c r="K3554" s="91" t="str">
        <f t="shared" si="222"/>
        <v>M</v>
      </c>
      <c r="L3554" s="166" t="str">
        <f t="shared" si="223"/>
        <v>06/2016</v>
      </c>
      <c r="M3554" s="82"/>
      <c r="N3554" s="82"/>
    </row>
    <row r="3555" spans="1:14" x14ac:dyDescent="0.25">
      <c r="A3555" s="170" t="s">
        <v>6287</v>
      </c>
      <c r="B3555" s="170" t="s">
        <v>6288</v>
      </c>
      <c r="C3555" s="170" t="s">
        <v>385</v>
      </c>
      <c r="D3555" s="170" t="s">
        <v>2067</v>
      </c>
      <c r="E3555" s="171" t="s">
        <v>19956</v>
      </c>
      <c r="F3555" s="171" t="s">
        <v>15774</v>
      </c>
      <c r="G3555" s="82"/>
      <c r="H3555" s="96">
        <f t="shared" si="220"/>
        <v>26.4</v>
      </c>
      <c r="I3555" s="96">
        <f t="shared" si="220"/>
        <v>27.3</v>
      </c>
      <c r="J3555" s="91" t="str">
        <f t="shared" si="221"/>
        <v>Sinapi 94651</v>
      </c>
      <c r="K3555" s="91" t="str">
        <f t="shared" si="222"/>
        <v>M</v>
      </c>
      <c r="L3555" s="166" t="str">
        <f t="shared" si="223"/>
        <v>06/2016</v>
      </c>
      <c r="M3555" s="82"/>
      <c r="N3555" s="82"/>
    </row>
    <row r="3556" spans="1:14" x14ac:dyDescent="0.25">
      <c r="A3556" s="170" t="s">
        <v>6289</v>
      </c>
      <c r="B3556" s="170" t="s">
        <v>6290</v>
      </c>
      <c r="C3556" s="170" t="s">
        <v>385</v>
      </c>
      <c r="D3556" s="170" t="s">
        <v>2067</v>
      </c>
      <c r="E3556" s="171" t="s">
        <v>21445</v>
      </c>
      <c r="F3556" s="171" t="s">
        <v>36693</v>
      </c>
      <c r="G3556" s="82"/>
      <c r="H3556" s="96">
        <f t="shared" si="220"/>
        <v>42.22</v>
      </c>
      <c r="I3556" s="96">
        <f t="shared" si="220"/>
        <v>43.67</v>
      </c>
      <c r="J3556" s="91" t="str">
        <f t="shared" si="221"/>
        <v>Sinapi 94652</v>
      </c>
      <c r="K3556" s="91" t="str">
        <f t="shared" si="222"/>
        <v>M</v>
      </c>
      <c r="L3556" s="166" t="str">
        <f t="shared" si="223"/>
        <v>06/2016</v>
      </c>
      <c r="M3556" s="82"/>
      <c r="N3556" s="82"/>
    </row>
    <row r="3557" spans="1:14" x14ac:dyDescent="0.25">
      <c r="A3557" s="170" t="s">
        <v>6291</v>
      </c>
      <c r="B3557" s="170" t="s">
        <v>6292</v>
      </c>
      <c r="C3557" s="170" t="s">
        <v>385</v>
      </c>
      <c r="D3557" s="170" t="s">
        <v>2067</v>
      </c>
      <c r="E3557" s="171" t="s">
        <v>33477</v>
      </c>
      <c r="F3557" s="171" t="s">
        <v>36694</v>
      </c>
      <c r="G3557" s="82"/>
      <c r="H3557" s="96">
        <f t="shared" si="220"/>
        <v>61.65</v>
      </c>
      <c r="I3557" s="96">
        <f t="shared" si="220"/>
        <v>63.1</v>
      </c>
      <c r="J3557" s="91" t="str">
        <f t="shared" si="221"/>
        <v>Sinapi 94653</v>
      </c>
      <c r="K3557" s="91" t="str">
        <f t="shared" si="222"/>
        <v>M</v>
      </c>
      <c r="L3557" s="166" t="str">
        <f t="shared" si="223"/>
        <v>06/2016</v>
      </c>
      <c r="M3557" s="82"/>
      <c r="N3557" s="82"/>
    </row>
    <row r="3558" spans="1:14" x14ac:dyDescent="0.25">
      <c r="A3558" s="170" t="s">
        <v>6293</v>
      </c>
      <c r="B3558" s="170" t="s">
        <v>6294</v>
      </c>
      <c r="C3558" s="170" t="s">
        <v>385</v>
      </c>
      <c r="D3558" s="170" t="s">
        <v>2067</v>
      </c>
      <c r="E3558" s="171" t="s">
        <v>29386</v>
      </c>
      <c r="F3558" s="171" t="s">
        <v>29371</v>
      </c>
      <c r="G3558" s="82"/>
      <c r="H3558" s="96">
        <f t="shared" si="220"/>
        <v>86.98</v>
      </c>
      <c r="I3558" s="96">
        <f t="shared" si="220"/>
        <v>89.53</v>
      </c>
      <c r="J3558" s="91" t="str">
        <f t="shared" si="221"/>
        <v>Sinapi 94654</v>
      </c>
      <c r="K3558" s="91" t="str">
        <f t="shared" si="222"/>
        <v>M</v>
      </c>
      <c r="L3558" s="166" t="str">
        <f t="shared" si="223"/>
        <v>06/2016</v>
      </c>
      <c r="M3558" s="82"/>
      <c r="N3558" s="82"/>
    </row>
    <row r="3559" spans="1:14" x14ac:dyDescent="0.25">
      <c r="A3559" s="170" t="s">
        <v>6295</v>
      </c>
      <c r="B3559" s="170" t="s">
        <v>6296</v>
      </c>
      <c r="C3559" s="170" t="s">
        <v>385</v>
      </c>
      <c r="D3559" s="170" t="s">
        <v>2067</v>
      </c>
      <c r="E3559" s="171" t="s">
        <v>33478</v>
      </c>
      <c r="F3559" s="171" t="s">
        <v>36695</v>
      </c>
      <c r="G3559" s="82"/>
      <c r="H3559" s="96">
        <f t="shared" si="220"/>
        <v>123.59</v>
      </c>
      <c r="I3559" s="96">
        <f t="shared" si="220"/>
        <v>126.14</v>
      </c>
      <c r="J3559" s="91" t="str">
        <f t="shared" si="221"/>
        <v>Sinapi 94655</v>
      </c>
      <c r="K3559" s="91" t="str">
        <f t="shared" si="222"/>
        <v>M</v>
      </c>
      <c r="L3559" s="166" t="str">
        <f t="shared" si="223"/>
        <v>06/2016</v>
      </c>
      <c r="M3559" s="82"/>
      <c r="N3559" s="82"/>
    </row>
    <row r="3560" spans="1:14" x14ac:dyDescent="0.25">
      <c r="A3560" s="170" t="s">
        <v>6297</v>
      </c>
      <c r="B3560" s="170" t="s">
        <v>6298</v>
      </c>
      <c r="C3560" s="170" t="s">
        <v>385</v>
      </c>
      <c r="D3560" s="170" t="s">
        <v>2067</v>
      </c>
      <c r="E3560" s="171" t="s">
        <v>18543</v>
      </c>
      <c r="F3560" s="171" t="s">
        <v>21171</v>
      </c>
      <c r="G3560" s="82"/>
      <c r="H3560" s="96">
        <f t="shared" si="220"/>
        <v>28.01</v>
      </c>
      <c r="I3560" s="96">
        <f t="shared" si="220"/>
        <v>28.6</v>
      </c>
      <c r="J3560" s="91" t="str">
        <f t="shared" si="221"/>
        <v>Sinapi 94716</v>
      </c>
      <c r="K3560" s="91" t="str">
        <f t="shared" si="222"/>
        <v>M</v>
      </c>
      <c r="L3560" s="166" t="str">
        <f t="shared" si="223"/>
        <v>06/2016</v>
      </c>
      <c r="M3560" s="82"/>
      <c r="N3560" s="82"/>
    </row>
    <row r="3561" spans="1:14" x14ac:dyDescent="0.25">
      <c r="A3561" s="170" t="s">
        <v>6299</v>
      </c>
      <c r="B3561" s="170" t="s">
        <v>6300</v>
      </c>
      <c r="C3561" s="170" t="s">
        <v>385</v>
      </c>
      <c r="D3561" s="170" t="s">
        <v>2067</v>
      </c>
      <c r="E3561" s="171" t="s">
        <v>26291</v>
      </c>
      <c r="F3561" s="171" t="s">
        <v>28705</v>
      </c>
      <c r="G3561" s="82"/>
      <c r="H3561" s="96">
        <f t="shared" si="220"/>
        <v>44.56</v>
      </c>
      <c r="I3561" s="96">
        <f t="shared" si="220"/>
        <v>45.15</v>
      </c>
      <c r="J3561" s="91" t="str">
        <f t="shared" si="221"/>
        <v>Sinapi 94717</v>
      </c>
      <c r="K3561" s="91" t="str">
        <f t="shared" si="222"/>
        <v>M</v>
      </c>
      <c r="L3561" s="166" t="str">
        <f t="shared" si="223"/>
        <v>06/2016</v>
      </c>
      <c r="M3561" s="82"/>
      <c r="N3561" s="82"/>
    </row>
    <row r="3562" spans="1:14" x14ac:dyDescent="0.25">
      <c r="A3562" s="170" t="s">
        <v>6301</v>
      </c>
      <c r="B3562" s="170" t="s">
        <v>6302</v>
      </c>
      <c r="C3562" s="170" t="s">
        <v>385</v>
      </c>
      <c r="D3562" s="170" t="s">
        <v>2067</v>
      </c>
      <c r="E3562" s="171" t="s">
        <v>33479</v>
      </c>
      <c r="F3562" s="171" t="s">
        <v>36696</v>
      </c>
      <c r="G3562" s="82"/>
      <c r="H3562" s="96">
        <f t="shared" si="220"/>
        <v>57.59</v>
      </c>
      <c r="I3562" s="96">
        <f t="shared" si="220"/>
        <v>58.36</v>
      </c>
      <c r="J3562" s="91" t="str">
        <f t="shared" si="221"/>
        <v>Sinapi 94718</v>
      </c>
      <c r="K3562" s="91" t="str">
        <f t="shared" si="222"/>
        <v>M</v>
      </c>
      <c r="L3562" s="166" t="str">
        <f t="shared" si="223"/>
        <v>06/2016</v>
      </c>
      <c r="M3562" s="82"/>
      <c r="N3562" s="82"/>
    </row>
    <row r="3563" spans="1:14" x14ac:dyDescent="0.25">
      <c r="A3563" s="170" t="s">
        <v>6303</v>
      </c>
      <c r="B3563" s="170" t="s">
        <v>6304</v>
      </c>
      <c r="C3563" s="170" t="s">
        <v>385</v>
      </c>
      <c r="D3563" s="170" t="s">
        <v>2067</v>
      </c>
      <c r="E3563" s="171" t="s">
        <v>33480</v>
      </c>
      <c r="F3563" s="171" t="s">
        <v>20663</v>
      </c>
      <c r="G3563" s="82"/>
      <c r="H3563" s="96">
        <f t="shared" si="220"/>
        <v>74.81</v>
      </c>
      <c r="I3563" s="96">
        <f t="shared" si="220"/>
        <v>75.58</v>
      </c>
      <c r="J3563" s="91" t="str">
        <f t="shared" si="221"/>
        <v>Sinapi 94719</v>
      </c>
      <c r="K3563" s="91" t="str">
        <f t="shared" si="222"/>
        <v>M</v>
      </c>
      <c r="L3563" s="166" t="str">
        <f t="shared" si="223"/>
        <v>06/2016</v>
      </c>
      <c r="M3563" s="82"/>
      <c r="N3563" s="82"/>
    </row>
    <row r="3564" spans="1:14" x14ac:dyDescent="0.25">
      <c r="A3564" s="170" t="s">
        <v>6305</v>
      </c>
      <c r="B3564" s="170" t="s">
        <v>6306</v>
      </c>
      <c r="C3564" s="170" t="s">
        <v>385</v>
      </c>
      <c r="D3564" s="170" t="s">
        <v>2067</v>
      </c>
      <c r="E3564" s="171" t="s">
        <v>30631</v>
      </c>
      <c r="F3564" s="171" t="s">
        <v>36697</v>
      </c>
      <c r="G3564" s="82"/>
      <c r="H3564" s="96">
        <f t="shared" si="220"/>
        <v>108.25</v>
      </c>
      <c r="I3564" s="96">
        <f t="shared" si="220"/>
        <v>109.59</v>
      </c>
      <c r="J3564" s="91" t="str">
        <f t="shared" si="221"/>
        <v>Sinapi 94720</v>
      </c>
      <c r="K3564" s="91" t="str">
        <f t="shared" si="222"/>
        <v>M</v>
      </c>
      <c r="L3564" s="166" t="str">
        <f t="shared" si="223"/>
        <v>06/2016</v>
      </c>
      <c r="M3564" s="82"/>
      <c r="N3564" s="82"/>
    </row>
    <row r="3565" spans="1:14" x14ac:dyDescent="0.25">
      <c r="A3565" s="170" t="s">
        <v>6307</v>
      </c>
      <c r="B3565" s="170" t="s">
        <v>6308</v>
      </c>
      <c r="C3565" s="170" t="s">
        <v>385</v>
      </c>
      <c r="D3565" s="170" t="s">
        <v>2067</v>
      </c>
      <c r="E3565" s="171" t="s">
        <v>29119</v>
      </c>
      <c r="F3565" s="171" t="s">
        <v>28674</v>
      </c>
      <c r="G3565" s="82"/>
      <c r="H3565" s="96">
        <f t="shared" si="220"/>
        <v>167.86</v>
      </c>
      <c r="I3565" s="96">
        <f t="shared" si="220"/>
        <v>169.2</v>
      </c>
      <c r="J3565" s="91" t="str">
        <f t="shared" si="221"/>
        <v>Sinapi 94721</v>
      </c>
      <c r="K3565" s="91" t="str">
        <f t="shared" si="222"/>
        <v>M</v>
      </c>
      <c r="L3565" s="166" t="str">
        <f t="shared" si="223"/>
        <v>06/2016</v>
      </c>
      <c r="M3565" s="82"/>
      <c r="N3565" s="82"/>
    </row>
    <row r="3566" spans="1:14" x14ac:dyDescent="0.25">
      <c r="A3566" s="170" t="s">
        <v>6309</v>
      </c>
      <c r="B3566" s="170" t="s">
        <v>6310</v>
      </c>
      <c r="C3566" s="170" t="s">
        <v>385</v>
      </c>
      <c r="D3566" s="170" t="s">
        <v>2067</v>
      </c>
      <c r="E3566" s="171" t="s">
        <v>33481</v>
      </c>
      <c r="F3566" s="171" t="s">
        <v>36698</v>
      </c>
      <c r="G3566" s="82"/>
      <c r="H3566" s="96">
        <f t="shared" si="220"/>
        <v>288.52</v>
      </c>
      <c r="I3566" s="96">
        <f t="shared" si="220"/>
        <v>291.23</v>
      </c>
      <c r="J3566" s="91" t="str">
        <f t="shared" si="221"/>
        <v>Sinapi 94722</v>
      </c>
      <c r="K3566" s="91" t="str">
        <f t="shared" si="222"/>
        <v>M</v>
      </c>
      <c r="L3566" s="166" t="str">
        <f t="shared" si="223"/>
        <v>06/2016</v>
      </c>
      <c r="M3566" s="82"/>
      <c r="N3566" s="82"/>
    </row>
    <row r="3567" spans="1:14" x14ac:dyDescent="0.25">
      <c r="A3567" s="170" t="s">
        <v>18301</v>
      </c>
      <c r="B3567" s="170" t="s">
        <v>18302</v>
      </c>
      <c r="C3567" s="170" t="s">
        <v>385</v>
      </c>
      <c r="D3567" s="170" t="s">
        <v>2067</v>
      </c>
      <c r="E3567" s="171" t="s">
        <v>33482</v>
      </c>
      <c r="F3567" s="171" t="s">
        <v>36699</v>
      </c>
      <c r="G3567" s="82"/>
      <c r="H3567" s="96">
        <f t="shared" si="220"/>
        <v>527.76</v>
      </c>
      <c r="I3567" s="96">
        <f t="shared" si="220"/>
        <v>530.47</v>
      </c>
      <c r="J3567" s="91" t="str">
        <f t="shared" si="221"/>
        <v>Sinapi 94723</v>
      </c>
      <c r="K3567" s="91" t="str">
        <f t="shared" si="222"/>
        <v>M</v>
      </c>
      <c r="L3567" s="166" t="str">
        <f t="shared" si="223"/>
        <v>06/2016</v>
      </c>
      <c r="M3567" s="82"/>
      <c r="N3567" s="82"/>
    </row>
    <row r="3568" spans="1:14" x14ac:dyDescent="0.25">
      <c r="A3568" s="170" t="s">
        <v>6311</v>
      </c>
      <c r="B3568" s="170" t="s">
        <v>11793</v>
      </c>
      <c r="C3568" s="170" t="s">
        <v>385</v>
      </c>
      <c r="D3568" s="170" t="s">
        <v>1947</v>
      </c>
      <c r="E3568" s="171" t="s">
        <v>33483</v>
      </c>
      <c r="F3568" s="171" t="s">
        <v>36700</v>
      </c>
      <c r="G3568" s="82"/>
      <c r="H3568" s="96">
        <f t="shared" si="220"/>
        <v>106.31</v>
      </c>
      <c r="I3568" s="96">
        <f t="shared" si="220"/>
        <v>106.92</v>
      </c>
      <c r="J3568" s="91" t="str">
        <f t="shared" si="221"/>
        <v>Sinapi 95697</v>
      </c>
      <c r="K3568" s="91" t="str">
        <f t="shared" si="222"/>
        <v>M</v>
      </c>
      <c r="L3568" s="166" t="str">
        <f t="shared" si="223"/>
        <v>10/2020</v>
      </c>
      <c r="M3568" s="82"/>
      <c r="N3568" s="82"/>
    </row>
    <row r="3569" spans="1:14" x14ac:dyDescent="0.25">
      <c r="A3569" s="170" t="s">
        <v>6312</v>
      </c>
      <c r="B3569" s="170" t="s">
        <v>17458</v>
      </c>
      <c r="C3569" s="170" t="s">
        <v>385</v>
      </c>
      <c r="D3569" s="170" t="s">
        <v>1947</v>
      </c>
      <c r="E3569" s="171" t="s">
        <v>33484</v>
      </c>
      <c r="F3569" s="171" t="s">
        <v>23294</v>
      </c>
      <c r="G3569" s="82"/>
      <c r="H3569" s="96">
        <f t="shared" si="220"/>
        <v>35.369999999999997</v>
      </c>
      <c r="I3569" s="96">
        <f t="shared" si="220"/>
        <v>37.92</v>
      </c>
      <c r="J3569" s="91" t="str">
        <f t="shared" si="221"/>
        <v>Sinapi 96635</v>
      </c>
      <c r="K3569" s="91" t="str">
        <f t="shared" si="222"/>
        <v>M</v>
      </c>
      <c r="L3569" s="166" t="str">
        <f t="shared" si="223"/>
        <v>08/2022</v>
      </c>
      <c r="M3569" s="82"/>
      <c r="N3569" s="82"/>
    </row>
    <row r="3570" spans="1:14" x14ac:dyDescent="0.25">
      <c r="A3570" s="170" t="s">
        <v>6313</v>
      </c>
      <c r="B3570" s="170" t="s">
        <v>17459</v>
      </c>
      <c r="C3570" s="170" t="s">
        <v>385</v>
      </c>
      <c r="D3570" s="170" t="s">
        <v>1947</v>
      </c>
      <c r="E3570" s="171" t="s">
        <v>20482</v>
      </c>
      <c r="F3570" s="171" t="s">
        <v>19937</v>
      </c>
      <c r="G3570" s="82"/>
      <c r="H3570" s="96">
        <f t="shared" si="220"/>
        <v>37.590000000000003</v>
      </c>
      <c r="I3570" s="96">
        <f t="shared" si="220"/>
        <v>40.21</v>
      </c>
      <c r="J3570" s="91" t="str">
        <f t="shared" si="221"/>
        <v>Sinapi 96636</v>
      </c>
      <c r="K3570" s="91" t="str">
        <f t="shared" si="222"/>
        <v>M</v>
      </c>
      <c r="L3570" s="166" t="str">
        <f t="shared" si="223"/>
        <v>08/2022</v>
      </c>
      <c r="M3570" s="82"/>
      <c r="N3570" s="82"/>
    </row>
    <row r="3571" spans="1:14" x14ac:dyDescent="0.25">
      <c r="A3571" s="170" t="s">
        <v>6314</v>
      </c>
      <c r="B3571" s="170" t="s">
        <v>17460</v>
      </c>
      <c r="C3571" s="170" t="s">
        <v>385</v>
      </c>
      <c r="D3571" s="170" t="s">
        <v>1947</v>
      </c>
      <c r="E3571" s="171" t="s">
        <v>29256</v>
      </c>
      <c r="F3571" s="171" t="s">
        <v>21876</v>
      </c>
      <c r="G3571" s="82"/>
      <c r="H3571" s="96">
        <f t="shared" si="220"/>
        <v>20.04</v>
      </c>
      <c r="I3571" s="96">
        <f t="shared" si="220"/>
        <v>20.85</v>
      </c>
      <c r="J3571" s="91" t="str">
        <f t="shared" si="221"/>
        <v>Sinapi 96644</v>
      </c>
      <c r="K3571" s="91" t="str">
        <f t="shared" si="222"/>
        <v>M</v>
      </c>
      <c r="L3571" s="166" t="str">
        <f t="shared" si="223"/>
        <v>08/2022</v>
      </c>
      <c r="M3571" s="82"/>
      <c r="N3571" s="82"/>
    </row>
    <row r="3572" spans="1:14" x14ac:dyDescent="0.25">
      <c r="A3572" s="170" t="s">
        <v>6315</v>
      </c>
      <c r="B3572" s="170" t="s">
        <v>17461</v>
      </c>
      <c r="C3572" s="170" t="s">
        <v>385</v>
      </c>
      <c r="D3572" s="170" t="s">
        <v>1947</v>
      </c>
      <c r="E3572" s="171" t="s">
        <v>17935</v>
      </c>
      <c r="F3572" s="171" t="s">
        <v>23007</v>
      </c>
      <c r="G3572" s="82"/>
      <c r="H3572" s="96">
        <f t="shared" si="220"/>
        <v>17.670000000000002</v>
      </c>
      <c r="I3572" s="96">
        <f t="shared" si="220"/>
        <v>18.47</v>
      </c>
      <c r="J3572" s="91" t="str">
        <f t="shared" si="221"/>
        <v>Sinapi 96645</v>
      </c>
      <c r="K3572" s="91" t="str">
        <f t="shared" si="222"/>
        <v>M</v>
      </c>
      <c r="L3572" s="166" t="str">
        <f t="shared" si="223"/>
        <v>08/2022</v>
      </c>
      <c r="M3572" s="82"/>
      <c r="N3572" s="82"/>
    </row>
    <row r="3573" spans="1:14" x14ac:dyDescent="0.25">
      <c r="A3573" s="170" t="s">
        <v>6316</v>
      </c>
      <c r="B3573" s="170" t="s">
        <v>17462</v>
      </c>
      <c r="C3573" s="170" t="s">
        <v>385</v>
      </c>
      <c r="D3573" s="170" t="s">
        <v>1947</v>
      </c>
      <c r="E3573" s="171" t="s">
        <v>21014</v>
      </c>
      <c r="F3573" s="171" t="s">
        <v>17142</v>
      </c>
      <c r="G3573" s="82"/>
      <c r="H3573" s="96">
        <f t="shared" si="220"/>
        <v>21.76</v>
      </c>
      <c r="I3573" s="96">
        <f t="shared" si="220"/>
        <v>22.6</v>
      </c>
      <c r="J3573" s="91" t="str">
        <f t="shared" si="221"/>
        <v>Sinapi 96646</v>
      </c>
      <c r="K3573" s="91" t="str">
        <f t="shared" si="222"/>
        <v>M</v>
      </c>
      <c r="L3573" s="166" t="str">
        <f t="shared" si="223"/>
        <v>08/2022</v>
      </c>
      <c r="M3573" s="82"/>
      <c r="N3573" s="82"/>
    </row>
    <row r="3574" spans="1:14" x14ac:dyDescent="0.25">
      <c r="A3574" s="170" t="s">
        <v>6317</v>
      </c>
      <c r="B3574" s="170" t="s">
        <v>17463</v>
      </c>
      <c r="C3574" s="170" t="s">
        <v>385</v>
      </c>
      <c r="D3574" s="170" t="s">
        <v>1947</v>
      </c>
      <c r="E3574" s="171" t="s">
        <v>15586</v>
      </c>
      <c r="F3574" s="171" t="s">
        <v>36701</v>
      </c>
      <c r="G3574" s="82"/>
      <c r="H3574" s="96">
        <f t="shared" si="220"/>
        <v>21.82</v>
      </c>
      <c r="I3574" s="96">
        <f t="shared" si="220"/>
        <v>22.66</v>
      </c>
      <c r="J3574" s="91" t="str">
        <f t="shared" si="221"/>
        <v>Sinapi 96647</v>
      </c>
      <c r="K3574" s="91" t="str">
        <f t="shared" si="222"/>
        <v>M</v>
      </c>
      <c r="L3574" s="166" t="str">
        <f t="shared" si="223"/>
        <v>08/2022</v>
      </c>
      <c r="M3574" s="82"/>
      <c r="N3574" s="82"/>
    </row>
    <row r="3575" spans="1:14" x14ac:dyDescent="0.25">
      <c r="A3575" s="170" t="s">
        <v>6318</v>
      </c>
      <c r="B3575" s="170" t="s">
        <v>17464</v>
      </c>
      <c r="C3575" s="170" t="s">
        <v>385</v>
      </c>
      <c r="D3575" s="170" t="s">
        <v>1947</v>
      </c>
      <c r="E3575" s="171" t="s">
        <v>19268</v>
      </c>
      <c r="F3575" s="171" t="s">
        <v>17951</v>
      </c>
      <c r="G3575" s="82"/>
      <c r="H3575" s="96">
        <f t="shared" si="220"/>
        <v>27.11</v>
      </c>
      <c r="I3575" s="96">
        <f t="shared" si="220"/>
        <v>28</v>
      </c>
      <c r="J3575" s="91" t="str">
        <f t="shared" si="221"/>
        <v>Sinapi 96648</v>
      </c>
      <c r="K3575" s="91" t="str">
        <f t="shared" si="222"/>
        <v>M</v>
      </c>
      <c r="L3575" s="166" t="str">
        <f t="shared" si="223"/>
        <v>08/2022</v>
      </c>
      <c r="M3575" s="82"/>
      <c r="N3575" s="82"/>
    </row>
    <row r="3576" spans="1:14" x14ac:dyDescent="0.25">
      <c r="A3576" s="170" t="s">
        <v>6319</v>
      </c>
      <c r="B3576" s="170" t="s">
        <v>17465</v>
      </c>
      <c r="C3576" s="170" t="s">
        <v>385</v>
      </c>
      <c r="D3576" s="170" t="s">
        <v>1947</v>
      </c>
      <c r="E3576" s="171" t="s">
        <v>33485</v>
      </c>
      <c r="F3576" s="171" t="s">
        <v>28395</v>
      </c>
      <c r="G3576" s="82"/>
      <c r="H3576" s="96">
        <f t="shared" si="220"/>
        <v>36.14</v>
      </c>
      <c r="I3576" s="96">
        <f t="shared" si="220"/>
        <v>37.06</v>
      </c>
      <c r="J3576" s="91" t="str">
        <f t="shared" si="221"/>
        <v>Sinapi 96649</v>
      </c>
      <c r="K3576" s="91" t="str">
        <f t="shared" si="222"/>
        <v>M</v>
      </c>
      <c r="L3576" s="166" t="str">
        <f t="shared" si="223"/>
        <v>08/2022</v>
      </c>
      <c r="M3576" s="82"/>
      <c r="N3576" s="82"/>
    </row>
    <row r="3577" spans="1:14" x14ac:dyDescent="0.25">
      <c r="A3577" s="170" t="s">
        <v>6320</v>
      </c>
      <c r="B3577" s="170" t="s">
        <v>17466</v>
      </c>
      <c r="C3577" s="170" t="s">
        <v>385</v>
      </c>
      <c r="D3577" s="170" t="s">
        <v>1947</v>
      </c>
      <c r="E3577" s="171" t="s">
        <v>21152</v>
      </c>
      <c r="F3577" s="171" t="s">
        <v>17286</v>
      </c>
      <c r="G3577" s="82"/>
      <c r="H3577" s="96">
        <f t="shared" si="220"/>
        <v>15.96</v>
      </c>
      <c r="I3577" s="96">
        <f t="shared" si="220"/>
        <v>16.309999999999999</v>
      </c>
      <c r="J3577" s="91" t="str">
        <f t="shared" si="221"/>
        <v>Sinapi 96668</v>
      </c>
      <c r="K3577" s="91" t="str">
        <f t="shared" si="222"/>
        <v>M</v>
      </c>
      <c r="L3577" s="166" t="str">
        <f t="shared" si="223"/>
        <v>08/2022</v>
      </c>
      <c r="M3577" s="82"/>
      <c r="N3577" s="82"/>
    </row>
    <row r="3578" spans="1:14" x14ac:dyDescent="0.25">
      <c r="A3578" s="170" t="s">
        <v>6321</v>
      </c>
      <c r="B3578" s="170" t="s">
        <v>17467</v>
      </c>
      <c r="C3578" s="170" t="s">
        <v>385</v>
      </c>
      <c r="D3578" s="170" t="s">
        <v>1947</v>
      </c>
      <c r="E3578" s="171" t="s">
        <v>29378</v>
      </c>
      <c r="F3578" s="171" t="s">
        <v>30104</v>
      </c>
      <c r="G3578" s="82"/>
      <c r="H3578" s="96">
        <f t="shared" si="220"/>
        <v>15.48</v>
      </c>
      <c r="I3578" s="96">
        <f t="shared" si="220"/>
        <v>16.04</v>
      </c>
      <c r="J3578" s="91" t="str">
        <f t="shared" si="221"/>
        <v>Sinapi 96669</v>
      </c>
      <c r="K3578" s="91" t="str">
        <f t="shared" si="222"/>
        <v>M</v>
      </c>
      <c r="L3578" s="166" t="str">
        <f t="shared" si="223"/>
        <v>08/2022</v>
      </c>
      <c r="M3578" s="82"/>
      <c r="N3578" s="82"/>
    </row>
    <row r="3579" spans="1:14" x14ac:dyDescent="0.25">
      <c r="A3579" s="170" t="s">
        <v>6322</v>
      </c>
      <c r="B3579" s="170" t="s">
        <v>17468</v>
      </c>
      <c r="C3579" s="170" t="s">
        <v>385</v>
      </c>
      <c r="D3579" s="170" t="s">
        <v>1947</v>
      </c>
      <c r="E3579" s="171" t="s">
        <v>12322</v>
      </c>
      <c r="F3579" s="171" t="s">
        <v>22001</v>
      </c>
      <c r="G3579" s="82"/>
      <c r="H3579" s="96">
        <f t="shared" si="220"/>
        <v>20.2</v>
      </c>
      <c r="I3579" s="96">
        <f t="shared" si="220"/>
        <v>20.87</v>
      </c>
      <c r="J3579" s="91" t="str">
        <f t="shared" si="221"/>
        <v>Sinapi 96670</v>
      </c>
      <c r="K3579" s="91" t="str">
        <f t="shared" si="222"/>
        <v>M</v>
      </c>
      <c r="L3579" s="166" t="str">
        <f t="shared" si="223"/>
        <v>08/2022</v>
      </c>
      <c r="M3579" s="82"/>
      <c r="N3579" s="82"/>
    </row>
    <row r="3580" spans="1:14" x14ac:dyDescent="0.25">
      <c r="A3580" s="170" t="s">
        <v>6323</v>
      </c>
      <c r="B3580" s="170" t="s">
        <v>17469</v>
      </c>
      <c r="C3580" s="170" t="s">
        <v>385</v>
      </c>
      <c r="D3580" s="170" t="s">
        <v>1947</v>
      </c>
      <c r="E3580" s="171" t="s">
        <v>23313</v>
      </c>
      <c r="F3580" s="171" t="s">
        <v>31112</v>
      </c>
      <c r="G3580" s="82"/>
      <c r="H3580" s="96">
        <f t="shared" si="220"/>
        <v>30.79</v>
      </c>
      <c r="I3580" s="96">
        <f t="shared" si="220"/>
        <v>31.6</v>
      </c>
      <c r="J3580" s="91" t="str">
        <f t="shared" si="221"/>
        <v>Sinapi 96671</v>
      </c>
      <c r="K3580" s="91" t="str">
        <f t="shared" si="222"/>
        <v>M</v>
      </c>
      <c r="L3580" s="166" t="str">
        <f t="shared" si="223"/>
        <v>08/2022</v>
      </c>
      <c r="M3580" s="82"/>
      <c r="N3580" s="82"/>
    </row>
    <row r="3581" spans="1:14" x14ac:dyDescent="0.25">
      <c r="A3581" s="170" t="s">
        <v>6324</v>
      </c>
      <c r="B3581" s="170" t="s">
        <v>17470</v>
      </c>
      <c r="C3581" s="170" t="s">
        <v>385</v>
      </c>
      <c r="D3581" s="170" t="s">
        <v>1947</v>
      </c>
      <c r="E3581" s="171" t="s">
        <v>33486</v>
      </c>
      <c r="F3581" s="171" t="s">
        <v>36654</v>
      </c>
      <c r="G3581" s="82"/>
      <c r="H3581" s="96">
        <f t="shared" si="220"/>
        <v>47.19</v>
      </c>
      <c r="I3581" s="96">
        <f t="shared" si="220"/>
        <v>48.19</v>
      </c>
      <c r="J3581" s="91" t="str">
        <f t="shared" si="221"/>
        <v>Sinapi 96672</v>
      </c>
      <c r="K3581" s="91" t="str">
        <f t="shared" si="222"/>
        <v>M</v>
      </c>
      <c r="L3581" s="166" t="str">
        <f t="shared" si="223"/>
        <v>08/2022</v>
      </c>
      <c r="M3581" s="82"/>
      <c r="N3581" s="82"/>
    </row>
    <row r="3582" spans="1:14" x14ac:dyDescent="0.25">
      <c r="A3582" s="170" t="s">
        <v>6325</v>
      </c>
      <c r="B3582" s="170" t="s">
        <v>17471</v>
      </c>
      <c r="C3582" s="170" t="s">
        <v>385</v>
      </c>
      <c r="D3582" s="170" t="s">
        <v>1947</v>
      </c>
      <c r="E3582" s="171" t="s">
        <v>19397</v>
      </c>
      <c r="F3582" s="171" t="s">
        <v>36702</v>
      </c>
      <c r="G3582" s="82"/>
      <c r="H3582" s="96">
        <f t="shared" si="220"/>
        <v>59.6</v>
      </c>
      <c r="I3582" s="96">
        <f t="shared" si="220"/>
        <v>60.77</v>
      </c>
      <c r="J3582" s="91" t="str">
        <f t="shared" si="221"/>
        <v>Sinapi 96673</v>
      </c>
      <c r="K3582" s="91" t="str">
        <f t="shared" si="222"/>
        <v>M</v>
      </c>
      <c r="L3582" s="166" t="str">
        <f t="shared" si="223"/>
        <v>08/2022</v>
      </c>
      <c r="M3582" s="82"/>
      <c r="N3582" s="82"/>
    </row>
    <row r="3583" spans="1:14" x14ac:dyDescent="0.25">
      <c r="A3583" s="170" t="s">
        <v>6326</v>
      </c>
      <c r="B3583" s="170" t="s">
        <v>17472</v>
      </c>
      <c r="C3583" s="170" t="s">
        <v>385</v>
      </c>
      <c r="D3583" s="170" t="s">
        <v>1947</v>
      </c>
      <c r="E3583" s="171" t="s">
        <v>28672</v>
      </c>
      <c r="F3583" s="171" t="s">
        <v>36703</v>
      </c>
      <c r="G3583" s="82"/>
      <c r="H3583" s="96">
        <f t="shared" si="220"/>
        <v>96.93</v>
      </c>
      <c r="I3583" s="96">
        <f t="shared" si="220"/>
        <v>98.3</v>
      </c>
      <c r="J3583" s="91" t="str">
        <f t="shared" si="221"/>
        <v>Sinapi 96674</v>
      </c>
      <c r="K3583" s="91" t="str">
        <f t="shared" si="222"/>
        <v>M</v>
      </c>
      <c r="L3583" s="166" t="str">
        <f t="shared" si="223"/>
        <v>08/2022</v>
      </c>
      <c r="M3583" s="82"/>
      <c r="N3583" s="82"/>
    </row>
    <row r="3584" spans="1:14" x14ac:dyDescent="0.25">
      <c r="A3584" s="170" t="s">
        <v>6327</v>
      </c>
      <c r="B3584" s="170" t="s">
        <v>17473</v>
      </c>
      <c r="C3584" s="170" t="s">
        <v>385</v>
      </c>
      <c r="D3584" s="170" t="s">
        <v>1947</v>
      </c>
      <c r="E3584" s="171" t="s">
        <v>33487</v>
      </c>
      <c r="F3584" s="171" t="s">
        <v>36704</v>
      </c>
      <c r="G3584" s="82"/>
      <c r="H3584" s="96">
        <f t="shared" si="220"/>
        <v>141.30000000000001</v>
      </c>
      <c r="I3584" s="96">
        <f t="shared" si="220"/>
        <v>142.97</v>
      </c>
      <c r="J3584" s="91" t="str">
        <f t="shared" si="221"/>
        <v>Sinapi 96675</v>
      </c>
      <c r="K3584" s="91" t="str">
        <f t="shared" si="222"/>
        <v>M</v>
      </c>
      <c r="L3584" s="166" t="str">
        <f t="shared" si="223"/>
        <v>08/2022</v>
      </c>
      <c r="M3584" s="82"/>
      <c r="N3584" s="82"/>
    </row>
    <row r="3585" spans="1:14" x14ac:dyDescent="0.25">
      <c r="A3585" s="170" t="s">
        <v>6328</v>
      </c>
      <c r="B3585" s="170" t="s">
        <v>17474</v>
      </c>
      <c r="C3585" s="170" t="s">
        <v>385</v>
      </c>
      <c r="D3585" s="170" t="s">
        <v>1947</v>
      </c>
      <c r="E3585" s="171" t="s">
        <v>21599</v>
      </c>
      <c r="F3585" s="171" t="s">
        <v>34529</v>
      </c>
      <c r="G3585" s="82"/>
      <c r="H3585" s="96">
        <f t="shared" si="220"/>
        <v>19.95</v>
      </c>
      <c r="I3585" s="96">
        <f t="shared" si="220"/>
        <v>20.57</v>
      </c>
      <c r="J3585" s="91" t="str">
        <f t="shared" si="221"/>
        <v>Sinapi 96676</v>
      </c>
      <c r="K3585" s="91" t="str">
        <f t="shared" si="222"/>
        <v>M</v>
      </c>
      <c r="L3585" s="166" t="str">
        <f t="shared" si="223"/>
        <v>08/2022</v>
      </c>
      <c r="M3585" s="82"/>
      <c r="N3585" s="82"/>
    </row>
    <row r="3586" spans="1:14" x14ac:dyDescent="0.25">
      <c r="A3586" s="170" t="s">
        <v>6329</v>
      </c>
      <c r="B3586" s="170" t="s">
        <v>17475</v>
      </c>
      <c r="C3586" s="170" t="s">
        <v>385</v>
      </c>
      <c r="D3586" s="170" t="s">
        <v>1947</v>
      </c>
      <c r="E3586" s="171" t="s">
        <v>29319</v>
      </c>
      <c r="F3586" s="171" t="s">
        <v>31173</v>
      </c>
      <c r="G3586" s="82"/>
      <c r="H3586" s="96">
        <f t="shared" si="220"/>
        <v>26.07</v>
      </c>
      <c r="I3586" s="96">
        <f t="shared" si="220"/>
        <v>26.82</v>
      </c>
      <c r="J3586" s="91" t="str">
        <f t="shared" si="221"/>
        <v>Sinapi 96677</v>
      </c>
      <c r="K3586" s="91" t="str">
        <f t="shared" si="222"/>
        <v>M</v>
      </c>
      <c r="L3586" s="166" t="str">
        <f t="shared" si="223"/>
        <v>08/2022</v>
      </c>
      <c r="M3586" s="82"/>
      <c r="N3586" s="82"/>
    </row>
    <row r="3587" spans="1:14" x14ac:dyDescent="0.25">
      <c r="A3587" s="170" t="s">
        <v>6330</v>
      </c>
      <c r="B3587" s="170" t="s">
        <v>17476</v>
      </c>
      <c r="C3587" s="170" t="s">
        <v>385</v>
      </c>
      <c r="D3587" s="170" t="s">
        <v>1947</v>
      </c>
      <c r="E3587" s="171" t="s">
        <v>33488</v>
      </c>
      <c r="F3587" s="171" t="s">
        <v>34883</v>
      </c>
      <c r="G3587" s="82"/>
      <c r="H3587" s="96">
        <f t="shared" si="220"/>
        <v>36.03</v>
      </c>
      <c r="I3587" s="96">
        <f t="shared" si="220"/>
        <v>36.94</v>
      </c>
      <c r="J3587" s="91" t="str">
        <f t="shared" si="221"/>
        <v>Sinapi 96678</v>
      </c>
      <c r="K3587" s="91" t="str">
        <f t="shared" si="222"/>
        <v>M</v>
      </c>
      <c r="L3587" s="166" t="str">
        <f t="shared" si="223"/>
        <v>08/2022</v>
      </c>
      <c r="M3587" s="82"/>
      <c r="N3587" s="82"/>
    </row>
    <row r="3588" spans="1:14" x14ac:dyDescent="0.25">
      <c r="A3588" s="170" t="s">
        <v>6331</v>
      </c>
      <c r="B3588" s="170" t="s">
        <v>17477</v>
      </c>
      <c r="C3588" s="170" t="s">
        <v>385</v>
      </c>
      <c r="D3588" s="170" t="s">
        <v>1947</v>
      </c>
      <c r="E3588" s="171" t="s">
        <v>33489</v>
      </c>
      <c r="F3588" s="171" t="s">
        <v>29358</v>
      </c>
      <c r="G3588" s="82"/>
      <c r="H3588" s="96">
        <f t="shared" si="220"/>
        <v>53.97</v>
      </c>
      <c r="I3588" s="96">
        <f t="shared" si="220"/>
        <v>55.08</v>
      </c>
      <c r="J3588" s="91" t="str">
        <f t="shared" si="221"/>
        <v>Sinapi 96679</v>
      </c>
      <c r="K3588" s="91" t="str">
        <f t="shared" si="222"/>
        <v>M</v>
      </c>
      <c r="L3588" s="166" t="str">
        <f t="shared" si="223"/>
        <v>08/2022</v>
      </c>
      <c r="M3588" s="82"/>
      <c r="N3588" s="82"/>
    </row>
    <row r="3589" spans="1:14" x14ac:dyDescent="0.25">
      <c r="A3589" s="170" t="s">
        <v>6332</v>
      </c>
      <c r="B3589" s="170" t="s">
        <v>17478</v>
      </c>
      <c r="C3589" s="170" t="s">
        <v>385</v>
      </c>
      <c r="D3589" s="170" t="s">
        <v>1947</v>
      </c>
      <c r="E3589" s="171" t="s">
        <v>33490</v>
      </c>
      <c r="F3589" s="171" t="s">
        <v>28633</v>
      </c>
      <c r="G3589" s="82"/>
      <c r="H3589" s="96">
        <f t="shared" si="220"/>
        <v>89.81</v>
      </c>
      <c r="I3589" s="96">
        <f t="shared" si="220"/>
        <v>91.16</v>
      </c>
      <c r="J3589" s="91" t="str">
        <f t="shared" si="221"/>
        <v>Sinapi 96680</v>
      </c>
      <c r="K3589" s="91" t="str">
        <f t="shared" si="222"/>
        <v>M</v>
      </c>
      <c r="L3589" s="166" t="str">
        <f t="shared" si="223"/>
        <v>08/2022</v>
      </c>
      <c r="M3589" s="82"/>
      <c r="N3589" s="82"/>
    </row>
    <row r="3590" spans="1:14" x14ac:dyDescent="0.25">
      <c r="A3590" s="170" t="s">
        <v>6333</v>
      </c>
      <c r="B3590" s="170" t="s">
        <v>17479</v>
      </c>
      <c r="C3590" s="170" t="s">
        <v>385</v>
      </c>
      <c r="D3590" s="170" t="s">
        <v>1947</v>
      </c>
      <c r="E3590" s="171" t="s">
        <v>29379</v>
      </c>
      <c r="F3590" s="171" t="s">
        <v>36705</v>
      </c>
      <c r="G3590" s="82"/>
      <c r="H3590" s="96">
        <f t="shared" si="220"/>
        <v>121.13</v>
      </c>
      <c r="I3590" s="96">
        <f t="shared" si="220"/>
        <v>122.72</v>
      </c>
      <c r="J3590" s="91" t="str">
        <f t="shared" si="221"/>
        <v>Sinapi 96681</v>
      </c>
      <c r="K3590" s="91" t="str">
        <f t="shared" si="222"/>
        <v>M</v>
      </c>
      <c r="L3590" s="166" t="str">
        <f t="shared" si="223"/>
        <v>08/2022</v>
      </c>
      <c r="M3590" s="82"/>
      <c r="N3590" s="82"/>
    </row>
    <row r="3591" spans="1:14" x14ac:dyDescent="0.25">
      <c r="A3591" s="170" t="s">
        <v>6334</v>
      </c>
      <c r="B3591" s="170" t="s">
        <v>17480</v>
      </c>
      <c r="C3591" s="170" t="s">
        <v>385</v>
      </c>
      <c r="D3591" s="170" t="s">
        <v>1947</v>
      </c>
      <c r="E3591" s="171" t="s">
        <v>33491</v>
      </c>
      <c r="F3591" s="171" t="s">
        <v>36706</v>
      </c>
      <c r="G3591" s="82"/>
      <c r="H3591" s="96">
        <f t="shared" si="220"/>
        <v>200.66</v>
      </c>
      <c r="I3591" s="96">
        <f t="shared" si="220"/>
        <v>202.55</v>
      </c>
      <c r="J3591" s="91" t="str">
        <f t="shared" si="221"/>
        <v>Sinapi 96682</v>
      </c>
      <c r="K3591" s="91" t="str">
        <f t="shared" si="222"/>
        <v>M</v>
      </c>
      <c r="L3591" s="166" t="str">
        <f t="shared" si="223"/>
        <v>08/2022</v>
      </c>
      <c r="M3591" s="82"/>
      <c r="N3591" s="82"/>
    </row>
    <row r="3592" spans="1:14" x14ac:dyDescent="0.25">
      <c r="A3592" s="170" t="s">
        <v>6335</v>
      </c>
      <c r="B3592" s="170" t="s">
        <v>17481</v>
      </c>
      <c r="C3592" s="170" t="s">
        <v>385</v>
      </c>
      <c r="D3592" s="170" t="s">
        <v>1947</v>
      </c>
      <c r="E3592" s="171" t="s">
        <v>33492</v>
      </c>
      <c r="F3592" s="171" t="s">
        <v>36707</v>
      </c>
      <c r="G3592" s="82"/>
      <c r="H3592" s="96">
        <f t="shared" ref="H3592:I3655" si="224">IF(E3592="","",E3592+0)</f>
        <v>275.77999999999997</v>
      </c>
      <c r="I3592" s="96">
        <f t="shared" si="224"/>
        <v>278.06</v>
      </c>
      <c r="J3592" s="91" t="str">
        <f t="shared" ref="J3592:J3655" si="225">IF(OR(H3592="",I3592=""),"",TRIM(CONCATENATE("Sinapi ",A3592)))</f>
        <v>Sinapi 96683</v>
      </c>
      <c r="K3592" s="91" t="str">
        <f t="shared" ref="K3592:K3655" si="226">TRIM(C3592)</f>
        <v>M</v>
      </c>
      <c r="L3592" s="166" t="str">
        <f t="shared" ref="L3592:L3655" si="227">IF(OR(RIGHT(IF(AND(K3592&lt;&gt;"H",K3592&lt;&gt;"MES"),RIGHT(B3592,7),""),2)="PS",RIGHT(IF(AND(K3592&lt;&gt;"H",K3592&lt;&gt;"MES"),RIGHT(B3592,7),""),2)="PA",RIGHT(IF(AND(K3592&lt;&gt;"H",K3592&lt;&gt;"MES"),RIGHT(B3592,7),""),2)="PE"),LEFT(IF(AND(K3592&lt;&gt;"H",K3592&lt;&gt;"MES"),RIGHT(B3592,10),""),7),IF(AND(K3592&lt;&gt;"H",K3592&lt;&gt;"MES"),RIGHT(B3592,7),""))</f>
        <v>08/2022</v>
      </c>
      <c r="M3592" s="82"/>
      <c r="N3592" s="82"/>
    </row>
    <row r="3593" spans="1:14" x14ac:dyDescent="0.25">
      <c r="A3593" s="170" t="s">
        <v>6336</v>
      </c>
      <c r="B3593" s="170" t="s">
        <v>6337</v>
      </c>
      <c r="C3593" s="170" t="s">
        <v>385</v>
      </c>
      <c r="D3593" s="170" t="s">
        <v>1947</v>
      </c>
      <c r="E3593" s="171" t="s">
        <v>20450</v>
      </c>
      <c r="F3593" s="171" t="s">
        <v>22713</v>
      </c>
      <c r="G3593" s="82"/>
      <c r="H3593" s="96">
        <f t="shared" si="224"/>
        <v>9.4700000000000006</v>
      </c>
      <c r="I3593" s="96">
        <f t="shared" si="224"/>
        <v>9.5</v>
      </c>
      <c r="J3593" s="91" t="str">
        <f t="shared" si="225"/>
        <v>Sinapi 96718</v>
      </c>
      <c r="K3593" s="91" t="str">
        <f t="shared" si="226"/>
        <v>M</v>
      </c>
      <c r="L3593" s="166" t="str">
        <f t="shared" si="227"/>
        <v>06/2016</v>
      </c>
      <c r="M3593" s="82"/>
      <c r="N3593" s="82"/>
    </row>
    <row r="3594" spans="1:14" x14ac:dyDescent="0.25">
      <c r="A3594" s="170" t="s">
        <v>6338</v>
      </c>
      <c r="B3594" s="170" t="s">
        <v>6339</v>
      </c>
      <c r="C3594" s="170" t="s">
        <v>385</v>
      </c>
      <c r="D3594" s="170" t="s">
        <v>1947</v>
      </c>
      <c r="E3594" s="171" t="s">
        <v>22761</v>
      </c>
      <c r="F3594" s="171" t="s">
        <v>15687</v>
      </c>
      <c r="G3594" s="82"/>
      <c r="H3594" s="96">
        <f t="shared" si="224"/>
        <v>17.829999999999998</v>
      </c>
      <c r="I3594" s="96">
        <f t="shared" si="224"/>
        <v>18.440000000000001</v>
      </c>
      <c r="J3594" s="91" t="str">
        <f t="shared" si="225"/>
        <v>Sinapi 96719</v>
      </c>
      <c r="K3594" s="91" t="str">
        <f t="shared" si="226"/>
        <v>M</v>
      </c>
      <c r="L3594" s="166" t="str">
        <f t="shared" si="227"/>
        <v>06/2016</v>
      </c>
      <c r="M3594" s="82"/>
      <c r="N3594" s="82"/>
    </row>
    <row r="3595" spans="1:14" x14ac:dyDescent="0.25">
      <c r="A3595" s="170" t="s">
        <v>6340</v>
      </c>
      <c r="B3595" s="170" t="s">
        <v>6341</v>
      </c>
      <c r="C3595" s="170" t="s">
        <v>385</v>
      </c>
      <c r="D3595" s="170" t="s">
        <v>1947</v>
      </c>
      <c r="E3595" s="171" t="s">
        <v>21068</v>
      </c>
      <c r="F3595" s="171" t="s">
        <v>31912</v>
      </c>
      <c r="G3595" s="82"/>
      <c r="H3595" s="96">
        <f t="shared" si="224"/>
        <v>16.399999999999999</v>
      </c>
      <c r="I3595" s="96">
        <f t="shared" si="224"/>
        <v>17.13</v>
      </c>
      <c r="J3595" s="91" t="str">
        <f t="shared" si="225"/>
        <v>Sinapi 96720</v>
      </c>
      <c r="K3595" s="91" t="str">
        <f t="shared" si="226"/>
        <v>M</v>
      </c>
      <c r="L3595" s="166" t="str">
        <f t="shared" si="227"/>
        <v>06/2016</v>
      </c>
      <c r="M3595" s="82"/>
      <c r="N3595" s="82"/>
    </row>
    <row r="3596" spans="1:14" x14ac:dyDescent="0.25">
      <c r="A3596" s="170" t="s">
        <v>6343</v>
      </c>
      <c r="B3596" s="170" t="s">
        <v>6344</v>
      </c>
      <c r="C3596" s="170" t="s">
        <v>385</v>
      </c>
      <c r="D3596" s="170" t="s">
        <v>1947</v>
      </c>
      <c r="E3596" s="171" t="s">
        <v>30511</v>
      </c>
      <c r="F3596" s="171" t="s">
        <v>19923</v>
      </c>
      <c r="G3596" s="82"/>
      <c r="H3596" s="96">
        <f t="shared" si="224"/>
        <v>19.940000000000001</v>
      </c>
      <c r="I3596" s="96">
        <f t="shared" si="224"/>
        <v>20.67</v>
      </c>
      <c r="J3596" s="91" t="str">
        <f t="shared" si="225"/>
        <v>Sinapi 96721</v>
      </c>
      <c r="K3596" s="91" t="str">
        <f t="shared" si="226"/>
        <v>M</v>
      </c>
      <c r="L3596" s="166" t="str">
        <f t="shared" si="227"/>
        <v>06/2016</v>
      </c>
      <c r="M3596" s="82"/>
      <c r="N3596" s="82"/>
    </row>
    <row r="3597" spans="1:14" x14ac:dyDescent="0.25">
      <c r="A3597" s="170" t="s">
        <v>6345</v>
      </c>
      <c r="B3597" s="170" t="s">
        <v>6346</v>
      </c>
      <c r="C3597" s="170" t="s">
        <v>385</v>
      </c>
      <c r="D3597" s="170" t="s">
        <v>1947</v>
      </c>
      <c r="E3597" s="171" t="s">
        <v>33493</v>
      </c>
      <c r="F3597" s="171" t="s">
        <v>23077</v>
      </c>
      <c r="G3597" s="82"/>
      <c r="H3597" s="96">
        <f t="shared" si="224"/>
        <v>31.93</v>
      </c>
      <c r="I3597" s="96">
        <f t="shared" si="224"/>
        <v>33.03</v>
      </c>
      <c r="J3597" s="91" t="str">
        <f t="shared" si="225"/>
        <v>Sinapi 96722</v>
      </c>
      <c r="K3597" s="91" t="str">
        <f t="shared" si="226"/>
        <v>M</v>
      </c>
      <c r="L3597" s="166" t="str">
        <f t="shared" si="227"/>
        <v>06/2016</v>
      </c>
      <c r="M3597" s="82"/>
      <c r="N3597" s="82"/>
    </row>
    <row r="3598" spans="1:14" x14ac:dyDescent="0.25">
      <c r="A3598" s="170" t="s">
        <v>6347</v>
      </c>
      <c r="B3598" s="170" t="s">
        <v>6348</v>
      </c>
      <c r="C3598" s="170" t="s">
        <v>385</v>
      </c>
      <c r="D3598" s="170" t="s">
        <v>1947</v>
      </c>
      <c r="E3598" s="171" t="s">
        <v>23145</v>
      </c>
      <c r="F3598" s="171" t="s">
        <v>36708</v>
      </c>
      <c r="G3598" s="82"/>
      <c r="H3598" s="96">
        <f t="shared" si="224"/>
        <v>45.9</v>
      </c>
      <c r="I3598" s="96">
        <f t="shared" si="224"/>
        <v>47</v>
      </c>
      <c r="J3598" s="91" t="str">
        <f t="shared" si="225"/>
        <v>Sinapi 96723</v>
      </c>
      <c r="K3598" s="91" t="str">
        <f t="shared" si="226"/>
        <v>M</v>
      </c>
      <c r="L3598" s="166" t="str">
        <f t="shared" si="227"/>
        <v>06/2016</v>
      </c>
      <c r="M3598" s="82"/>
      <c r="N3598" s="82"/>
    </row>
    <row r="3599" spans="1:14" x14ac:dyDescent="0.25">
      <c r="A3599" s="170" t="s">
        <v>6349</v>
      </c>
      <c r="B3599" s="170" t="s">
        <v>6350</v>
      </c>
      <c r="C3599" s="170" t="s">
        <v>385</v>
      </c>
      <c r="D3599" s="170" t="s">
        <v>1947</v>
      </c>
      <c r="E3599" s="171" t="s">
        <v>33494</v>
      </c>
      <c r="F3599" s="171" t="s">
        <v>36709</v>
      </c>
      <c r="G3599" s="82"/>
      <c r="H3599" s="96">
        <f t="shared" si="224"/>
        <v>61.31</v>
      </c>
      <c r="I3599" s="96">
        <f t="shared" si="224"/>
        <v>63.13</v>
      </c>
      <c r="J3599" s="91" t="str">
        <f t="shared" si="225"/>
        <v>Sinapi 96724</v>
      </c>
      <c r="K3599" s="91" t="str">
        <f t="shared" si="226"/>
        <v>M</v>
      </c>
      <c r="L3599" s="166" t="str">
        <f t="shared" si="227"/>
        <v>06/2016</v>
      </c>
      <c r="M3599" s="82"/>
      <c r="N3599" s="82"/>
    </row>
    <row r="3600" spans="1:14" x14ac:dyDescent="0.25">
      <c r="A3600" s="170" t="s">
        <v>6351</v>
      </c>
      <c r="B3600" s="170" t="s">
        <v>6352</v>
      </c>
      <c r="C3600" s="170" t="s">
        <v>385</v>
      </c>
      <c r="D3600" s="170" t="s">
        <v>1947</v>
      </c>
      <c r="E3600" s="171" t="s">
        <v>33495</v>
      </c>
      <c r="F3600" s="171" t="s">
        <v>21055</v>
      </c>
      <c r="G3600" s="82"/>
      <c r="H3600" s="96">
        <f t="shared" si="224"/>
        <v>94.05</v>
      </c>
      <c r="I3600" s="96">
        <f t="shared" si="224"/>
        <v>95.87</v>
      </c>
      <c r="J3600" s="91" t="str">
        <f t="shared" si="225"/>
        <v>Sinapi 96725</v>
      </c>
      <c r="K3600" s="91" t="str">
        <f t="shared" si="226"/>
        <v>M</v>
      </c>
      <c r="L3600" s="166" t="str">
        <f t="shared" si="227"/>
        <v>06/2016</v>
      </c>
      <c r="M3600" s="82"/>
      <c r="N3600" s="82"/>
    </row>
    <row r="3601" spans="1:14" x14ac:dyDescent="0.25">
      <c r="A3601" s="170" t="s">
        <v>6353</v>
      </c>
      <c r="B3601" s="170" t="s">
        <v>6354</v>
      </c>
      <c r="C3601" s="170" t="s">
        <v>385</v>
      </c>
      <c r="D3601" s="170" t="s">
        <v>1947</v>
      </c>
      <c r="E3601" s="171" t="s">
        <v>28498</v>
      </c>
      <c r="F3601" s="171" t="s">
        <v>36710</v>
      </c>
      <c r="G3601" s="82"/>
      <c r="H3601" s="96">
        <f t="shared" si="224"/>
        <v>133.41999999999999</v>
      </c>
      <c r="I3601" s="96">
        <f t="shared" si="224"/>
        <v>136.27000000000001</v>
      </c>
      <c r="J3601" s="91" t="str">
        <f t="shared" si="225"/>
        <v>Sinapi 96726</v>
      </c>
      <c r="K3601" s="91" t="str">
        <f t="shared" si="226"/>
        <v>M</v>
      </c>
      <c r="L3601" s="166" t="str">
        <f t="shared" si="227"/>
        <v>06/2016</v>
      </c>
      <c r="M3601" s="82"/>
      <c r="N3601" s="82"/>
    </row>
    <row r="3602" spans="1:14" x14ac:dyDescent="0.25">
      <c r="A3602" s="170" t="s">
        <v>6355</v>
      </c>
      <c r="B3602" s="170" t="s">
        <v>6356</v>
      </c>
      <c r="C3602" s="170" t="s">
        <v>385</v>
      </c>
      <c r="D3602" s="170" t="s">
        <v>1947</v>
      </c>
      <c r="E3602" s="171" t="s">
        <v>33496</v>
      </c>
      <c r="F3602" s="171" t="s">
        <v>11140</v>
      </c>
      <c r="G3602" s="82"/>
      <c r="H3602" s="96">
        <f t="shared" si="224"/>
        <v>15.98</v>
      </c>
      <c r="I3602" s="96">
        <f t="shared" si="224"/>
        <v>16.649999999999999</v>
      </c>
      <c r="J3602" s="91" t="str">
        <f t="shared" si="225"/>
        <v>Sinapi 96727</v>
      </c>
      <c r="K3602" s="91" t="str">
        <f t="shared" si="226"/>
        <v>M</v>
      </c>
      <c r="L3602" s="166" t="str">
        <f t="shared" si="227"/>
        <v>06/2016</v>
      </c>
      <c r="M3602" s="82"/>
      <c r="N3602" s="82"/>
    </row>
    <row r="3603" spans="1:14" x14ac:dyDescent="0.25">
      <c r="A3603" s="170" t="s">
        <v>6358</v>
      </c>
      <c r="B3603" s="170" t="s">
        <v>6359</v>
      </c>
      <c r="C3603" s="170" t="s">
        <v>385</v>
      </c>
      <c r="D3603" s="170" t="s">
        <v>1947</v>
      </c>
      <c r="E3603" s="171" t="s">
        <v>17954</v>
      </c>
      <c r="F3603" s="171" t="s">
        <v>29865</v>
      </c>
      <c r="G3603" s="82"/>
      <c r="H3603" s="96">
        <f t="shared" si="224"/>
        <v>19.850000000000001</v>
      </c>
      <c r="I3603" s="96">
        <f t="shared" si="224"/>
        <v>20.52</v>
      </c>
      <c r="J3603" s="91" t="str">
        <f t="shared" si="225"/>
        <v>Sinapi 96728</v>
      </c>
      <c r="K3603" s="91" t="str">
        <f t="shared" si="226"/>
        <v>M</v>
      </c>
      <c r="L3603" s="166" t="str">
        <f t="shared" si="227"/>
        <v>06/2016</v>
      </c>
      <c r="M3603" s="82"/>
      <c r="N3603" s="82"/>
    </row>
    <row r="3604" spans="1:14" x14ac:dyDescent="0.25">
      <c r="A3604" s="170" t="s">
        <v>6360</v>
      </c>
      <c r="B3604" s="170" t="s">
        <v>6361</v>
      </c>
      <c r="C3604" s="170" t="s">
        <v>385</v>
      </c>
      <c r="D3604" s="170" t="s">
        <v>1947</v>
      </c>
      <c r="E3604" s="171" t="s">
        <v>22717</v>
      </c>
      <c r="F3604" s="171" t="s">
        <v>23254</v>
      </c>
      <c r="G3604" s="82"/>
      <c r="H3604" s="96">
        <f t="shared" si="224"/>
        <v>26.03</v>
      </c>
      <c r="I3604" s="96">
        <f t="shared" si="224"/>
        <v>26.89</v>
      </c>
      <c r="J3604" s="91" t="str">
        <f t="shared" si="225"/>
        <v>Sinapi 96729</v>
      </c>
      <c r="K3604" s="91" t="str">
        <f t="shared" si="226"/>
        <v>M</v>
      </c>
      <c r="L3604" s="166" t="str">
        <f t="shared" si="227"/>
        <v>06/2016</v>
      </c>
      <c r="M3604" s="82"/>
      <c r="N3604" s="82"/>
    </row>
    <row r="3605" spans="1:14" x14ac:dyDescent="0.25">
      <c r="A3605" s="170" t="s">
        <v>6363</v>
      </c>
      <c r="B3605" s="170" t="s">
        <v>6364</v>
      </c>
      <c r="C3605" s="170" t="s">
        <v>385</v>
      </c>
      <c r="D3605" s="170" t="s">
        <v>1947</v>
      </c>
      <c r="E3605" s="171" t="s">
        <v>28895</v>
      </c>
      <c r="F3605" s="171" t="s">
        <v>23009</v>
      </c>
      <c r="G3605" s="82"/>
      <c r="H3605" s="96">
        <f t="shared" si="224"/>
        <v>34.229999999999997</v>
      </c>
      <c r="I3605" s="96">
        <f t="shared" si="224"/>
        <v>35.090000000000003</v>
      </c>
      <c r="J3605" s="91" t="str">
        <f t="shared" si="225"/>
        <v>Sinapi 96730</v>
      </c>
      <c r="K3605" s="91" t="str">
        <f t="shared" si="226"/>
        <v>M</v>
      </c>
      <c r="L3605" s="166" t="str">
        <f t="shared" si="227"/>
        <v>06/2016</v>
      </c>
      <c r="M3605" s="82"/>
      <c r="N3605" s="82"/>
    </row>
    <row r="3606" spans="1:14" x14ac:dyDescent="0.25">
      <c r="A3606" s="170" t="s">
        <v>6365</v>
      </c>
      <c r="B3606" s="170" t="s">
        <v>6366</v>
      </c>
      <c r="C3606" s="170" t="s">
        <v>385</v>
      </c>
      <c r="D3606" s="170" t="s">
        <v>1947</v>
      </c>
      <c r="E3606" s="171" t="s">
        <v>21044</v>
      </c>
      <c r="F3606" s="171" t="s">
        <v>36711</v>
      </c>
      <c r="G3606" s="82"/>
      <c r="H3606" s="96">
        <f t="shared" si="224"/>
        <v>53.3</v>
      </c>
      <c r="I3606" s="96">
        <f t="shared" si="224"/>
        <v>54.62</v>
      </c>
      <c r="J3606" s="91" t="str">
        <f t="shared" si="225"/>
        <v>Sinapi 96731</v>
      </c>
      <c r="K3606" s="91" t="str">
        <f t="shared" si="226"/>
        <v>M</v>
      </c>
      <c r="L3606" s="166" t="str">
        <f t="shared" si="227"/>
        <v>06/2016</v>
      </c>
      <c r="M3606" s="82"/>
      <c r="N3606" s="82"/>
    </row>
    <row r="3607" spans="1:14" x14ac:dyDescent="0.25">
      <c r="A3607" s="170" t="s">
        <v>6367</v>
      </c>
      <c r="B3607" s="170" t="s">
        <v>6368</v>
      </c>
      <c r="C3607" s="170" t="s">
        <v>385</v>
      </c>
      <c r="D3607" s="170" t="s">
        <v>1947</v>
      </c>
      <c r="E3607" s="171" t="s">
        <v>22057</v>
      </c>
      <c r="F3607" s="171" t="s">
        <v>29389</v>
      </c>
      <c r="G3607" s="82"/>
      <c r="H3607" s="96">
        <f t="shared" si="224"/>
        <v>85.08</v>
      </c>
      <c r="I3607" s="96">
        <f t="shared" si="224"/>
        <v>86.4</v>
      </c>
      <c r="J3607" s="91" t="str">
        <f t="shared" si="225"/>
        <v>Sinapi 96732</v>
      </c>
      <c r="K3607" s="91" t="str">
        <f t="shared" si="226"/>
        <v>M</v>
      </c>
      <c r="L3607" s="166" t="str">
        <f t="shared" si="227"/>
        <v>06/2016</v>
      </c>
      <c r="M3607" s="82"/>
      <c r="N3607" s="82"/>
    </row>
    <row r="3608" spans="1:14" x14ac:dyDescent="0.25">
      <c r="A3608" s="170" t="s">
        <v>6369</v>
      </c>
      <c r="B3608" s="170" t="s">
        <v>6370</v>
      </c>
      <c r="C3608" s="170" t="s">
        <v>385</v>
      </c>
      <c r="D3608" s="170" t="s">
        <v>1947</v>
      </c>
      <c r="E3608" s="171" t="s">
        <v>33497</v>
      </c>
      <c r="F3608" s="171" t="s">
        <v>21315</v>
      </c>
      <c r="G3608" s="82"/>
      <c r="H3608" s="96">
        <f t="shared" si="224"/>
        <v>117.85</v>
      </c>
      <c r="I3608" s="96">
        <f t="shared" si="224"/>
        <v>120.03</v>
      </c>
      <c r="J3608" s="91" t="str">
        <f t="shared" si="225"/>
        <v>Sinapi 96733</v>
      </c>
      <c r="K3608" s="91" t="str">
        <f t="shared" si="226"/>
        <v>M</v>
      </c>
      <c r="L3608" s="166" t="str">
        <f t="shared" si="227"/>
        <v>06/2016</v>
      </c>
      <c r="M3608" s="82"/>
      <c r="N3608" s="82"/>
    </row>
    <row r="3609" spans="1:14" x14ac:dyDescent="0.25">
      <c r="A3609" s="170" t="s">
        <v>6371</v>
      </c>
      <c r="B3609" s="170" t="s">
        <v>6372</v>
      </c>
      <c r="C3609" s="170" t="s">
        <v>385</v>
      </c>
      <c r="D3609" s="170" t="s">
        <v>1947</v>
      </c>
      <c r="E3609" s="171" t="s">
        <v>33498</v>
      </c>
      <c r="F3609" s="171" t="s">
        <v>21150</v>
      </c>
      <c r="G3609" s="82"/>
      <c r="H3609" s="96">
        <f t="shared" si="224"/>
        <v>188.98</v>
      </c>
      <c r="I3609" s="96">
        <f t="shared" si="224"/>
        <v>191.16</v>
      </c>
      <c r="J3609" s="91" t="str">
        <f t="shared" si="225"/>
        <v>Sinapi 96734</v>
      </c>
      <c r="K3609" s="91" t="str">
        <f t="shared" si="226"/>
        <v>M</v>
      </c>
      <c r="L3609" s="166" t="str">
        <f t="shared" si="227"/>
        <v>06/2016</v>
      </c>
      <c r="M3609" s="82"/>
      <c r="N3609" s="82"/>
    </row>
    <row r="3610" spans="1:14" x14ac:dyDescent="0.25">
      <c r="A3610" s="170" t="s">
        <v>6373</v>
      </c>
      <c r="B3610" s="170" t="s">
        <v>6374</v>
      </c>
      <c r="C3610" s="170" t="s">
        <v>385</v>
      </c>
      <c r="D3610" s="170" t="s">
        <v>1947</v>
      </c>
      <c r="E3610" s="171" t="s">
        <v>33499</v>
      </c>
      <c r="F3610" s="171" t="s">
        <v>36712</v>
      </c>
      <c r="G3610" s="82"/>
      <c r="H3610" s="96">
        <f t="shared" si="224"/>
        <v>249.22</v>
      </c>
      <c r="I3610" s="96">
        <f t="shared" si="224"/>
        <v>252.63</v>
      </c>
      <c r="J3610" s="91" t="str">
        <f t="shared" si="225"/>
        <v>Sinapi 96735</v>
      </c>
      <c r="K3610" s="91" t="str">
        <f t="shared" si="226"/>
        <v>M</v>
      </c>
      <c r="L3610" s="166" t="str">
        <f t="shared" si="227"/>
        <v>06/2016</v>
      </c>
      <c r="M3610" s="82"/>
      <c r="N3610" s="82"/>
    </row>
    <row r="3611" spans="1:14" x14ac:dyDescent="0.25">
      <c r="A3611" s="170" t="s">
        <v>6375</v>
      </c>
      <c r="B3611" s="170" t="s">
        <v>20351</v>
      </c>
      <c r="C3611" s="170" t="s">
        <v>385</v>
      </c>
      <c r="D3611" s="170" t="s">
        <v>1947</v>
      </c>
      <c r="E3611" s="171" t="s">
        <v>20118</v>
      </c>
      <c r="F3611" s="171" t="s">
        <v>21857</v>
      </c>
      <c r="G3611" s="82"/>
      <c r="H3611" s="96">
        <f t="shared" si="224"/>
        <v>8.33</v>
      </c>
      <c r="I3611" s="96">
        <f t="shared" si="224"/>
        <v>8.6199999999999992</v>
      </c>
      <c r="J3611" s="91" t="str">
        <f t="shared" si="225"/>
        <v>Sinapi 96798</v>
      </c>
      <c r="K3611" s="91" t="str">
        <f t="shared" si="226"/>
        <v>M</v>
      </c>
      <c r="L3611" s="166" t="str">
        <f t="shared" si="227"/>
        <v>02/2023</v>
      </c>
      <c r="M3611" s="82"/>
      <c r="N3611" s="82"/>
    </row>
    <row r="3612" spans="1:14" x14ac:dyDescent="0.25">
      <c r="A3612" s="170" t="s">
        <v>6376</v>
      </c>
      <c r="B3612" s="170" t="s">
        <v>20352</v>
      </c>
      <c r="C3612" s="170" t="s">
        <v>385</v>
      </c>
      <c r="D3612" s="170" t="s">
        <v>1947</v>
      </c>
      <c r="E3612" s="171" t="s">
        <v>15675</v>
      </c>
      <c r="F3612" s="171" t="s">
        <v>17915</v>
      </c>
      <c r="G3612" s="82"/>
      <c r="H3612" s="96">
        <f t="shared" si="224"/>
        <v>10.71</v>
      </c>
      <c r="I3612" s="96">
        <f t="shared" si="224"/>
        <v>11.06</v>
      </c>
      <c r="J3612" s="91" t="str">
        <f t="shared" si="225"/>
        <v>Sinapi 96799</v>
      </c>
      <c r="K3612" s="91" t="str">
        <f t="shared" si="226"/>
        <v>M</v>
      </c>
      <c r="L3612" s="166" t="str">
        <f t="shared" si="227"/>
        <v>02/2023</v>
      </c>
      <c r="M3612" s="82"/>
      <c r="N3612" s="82"/>
    </row>
    <row r="3613" spans="1:14" x14ac:dyDescent="0.25">
      <c r="A3613" s="170" t="s">
        <v>6377</v>
      </c>
      <c r="B3613" s="170" t="s">
        <v>20353</v>
      </c>
      <c r="C3613" s="170" t="s">
        <v>385</v>
      </c>
      <c r="D3613" s="170" t="s">
        <v>1947</v>
      </c>
      <c r="E3613" s="171" t="s">
        <v>21052</v>
      </c>
      <c r="F3613" s="171" t="s">
        <v>13398</v>
      </c>
      <c r="G3613" s="82"/>
      <c r="H3613" s="96">
        <f t="shared" si="224"/>
        <v>14.73</v>
      </c>
      <c r="I3613" s="96">
        <f t="shared" si="224"/>
        <v>15.18</v>
      </c>
      <c r="J3613" s="91" t="str">
        <f t="shared" si="225"/>
        <v>Sinapi 96800</v>
      </c>
      <c r="K3613" s="91" t="str">
        <f t="shared" si="226"/>
        <v>M</v>
      </c>
      <c r="L3613" s="166" t="str">
        <f t="shared" si="227"/>
        <v>02/2023</v>
      </c>
      <c r="M3613" s="82"/>
      <c r="N3613" s="82"/>
    </row>
    <row r="3614" spans="1:14" x14ac:dyDescent="0.25">
      <c r="A3614" s="170" t="s">
        <v>6378</v>
      </c>
      <c r="B3614" s="170" t="s">
        <v>20354</v>
      </c>
      <c r="C3614" s="170" t="s">
        <v>385</v>
      </c>
      <c r="D3614" s="170" t="s">
        <v>1947</v>
      </c>
      <c r="E3614" s="171" t="s">
        <v>15555</v>
      </c>
      <c r="F3614" s="171" t="s">
        <v>23268</v>
      </c>
      <c r="G3614" s="82"/>
      <c r="H3614" s="96">
        <f t="shared" si="224"/>
        <v>22.75</v>
      </c>
      <c r="I3614" s="96">
        <f t="shared" si="224"/>
        <v>23.33</v>
      </c>
      <c r="J3614" s="91" t="str">
        <f t="shared" si="225"/>
        <v>Sinapi 96801</v>
      </c>
      <c r="K3614" s="91" t="str">
        <f t="shared" si="226"/>
        <v>M</v>
      </c>
      <c r="L3614" s="166" t="str">
        <f t="shared" si="227"/>
        <v>02/2023</v>
      </c>
      <c r="M3614" s="82"/>
      <c r="N3614" s="82"/>
    </row>
    <row r="3615" spans="1:14" x14ac:dyDescent="0.25">
      <c r="A3615" s="170" t="s">
        <v>6379</v>
      </c>
      <c r="B3615" s="170" t="s">
        <v>6380</v>
      </c>
      <c r="C3615" s="170" t="s">
        <v>385</v>
      </c>
      <c r="D3615" s="170" t="s">
        <v>1947</v>
      </c>
      <c r="E3615" s="171" t="s">
        <v>21987</v>
      </c>
      <c r="F3615" s="171" t="s">
        <v>29578</v>
      </c>
      <c r="G3615" s="82"/>
      <c r="H3615" s="96">
        <f t="shared" si="224"/>
        <v>25.97</v>
      </c>
      <c r="I3615" s="96">
        <f t="shared" si="224"/>
        <v>26.21</v>
      </c>
      <c r="J3615" s="91" t="str">
        <f t="shared" si="225"/>
        <v>Sinapi 97327</v>
      </c>
      <c r="K3615" s="91" t="str">
        <f t="shared" si="226"/>
        <v>M</v>
      </c>
      <c r="L3615" s="166" t="str">
        <f t="shared" si="227"/>
        <v>12/2015</v>
      </c>
      <c r="M3615" s="82"/>
      <c r="N3615" s="82"/>
    </row>
    <row r="3616" spans="1:14" x14ac:dyDescent="0.25">
      <c r="A3616" s="170" t="s">
        <v>6381</v>
      </c>
      <c r="B3616" s="170" t="s">
        <v>6382</v>
      </c>
      <c r="C3616" s="170" t="s">
        <v>385</v>
      </c>
      <c r="D3616" s="170" t="s">
        <v>1947</v>
      </c>
      <c r="E3616" s="171" t="s">
        <v>33500</v>
      </c>
      <c r="F3616" s="171" t="s">
        <v>21047</v>
      </c>
      <c r="G3616" s="82"/>
      <c r="H3616" s="96">
        <f t="shared" si="224"/>
        <v>44.5</v>
      </c>
      <c r="I3616" s="96">
        <f t="shared" si="224"/>
        <v>44.77</v>
      </c>
      <c r="J3616" s="91" t="str">
        <f t="shared" si="225"/>
        <v>Sinapi 97328</v>
      </c>
      <c r="K3616" s="91" t="str">
        <f t="shared" si="226"/>
        <v>M</v>
      </c>
      <c r="L3616" s="166" t="str">
        <f t="shared" si="227"/>
        <v>12/2015</v>
      </c>
      <c r="M3616" s="82"/>
      <c r="N3616" s="82"/>
    </row>
    <row r="3617" spans="1:14" x14ac:dyDescent="0.25">
      <c r="A3617" s="170" t="s">
        <v>6383</v>
      </c>
      <c r="B3617" s="170" t="s">
        <v>6384</v>
      </c>
      <c r="C3617" s="170" t="s">
        <v>385</v>
      </c>
      <c r="D3617" s="170" t="s">
        <v>1947</v>
      </c>
      <c r="E3617" s="171" t="s">
        <v>23202</v>
      </c>
      <c r="F3617" s="171" t="s">
        <v>36713</v>
      </c>
      <c r="G3617" s="82"/>
      <c r="H3617" s="96">
        <f t="shared" si="224"/>
        <v>56.07</v>
      </c>
      <c r="I3617" s="96">
        <f t="shared" si="224"/>
        <v>56.36</v>
      </c>
      <c r="J3617" s="91" t="str">
        <f t="shared" si="225"/>
        <v>Sinapi 97329</v>
      </c>
      <c r="K3617" s="91" t="str">
        <f t="shared" si="226"/>
        <v>M</v>
      </c>
      <c r="L3617" s="166" t="str">
        <f t="shared" si="227"/>
        <v>12/2015</v>
      </c>
      <c r="M3617" s="82"/>
      <c r="N3617" s="82"/>
    </row>
    <row r="3618" spans="1:14" x14ac:dyDescent="0.25">
      <c r="A3618" s="170" t="s">
        <v>6385</v>
      </c>
      <c r="B3618" s="170" t="s">
        <v>6386</v>
      </c>
      <c r="C3618" s="170" t="s">
        <v>385</v>
      </c>
      <c r="D3618" s="170" t="s">
        <v>1947</v>
      </c>
      <c r="E3618" s="171" t="s">
        <v>29041</v>
      </c>
      <c r="F3618" s="171" t="s">
        <v>23001</v>
      </c>
      <c r="G3618" s="82"/>
      <c r="H3618" s="96">
        <f t="shared" si="224"/>
        <v>68.489999999999995</v>
      </c>
      <c r="I3618" s="96">
        <f t="shared" si="224"/>
        <v>68.8</v>
      </c>
      <c r="J3618" s="91" t="str">
        <f t="shared" si="225"/>
        <v>Sinapi 97330</v>
      </c>
      <c r="K3618" s="91" t="str">
        <f t="shared" si="226"/>
        <v>M</v>
      </c>
      <c r="L3618" s="166" t="str">
        <f t="shared" si="227"/>
        <v>12/2015</v>
      </c>
      <c r="M3618" s="82"/>
      <c r="N3618" s="82"/>
    </row>
    <row r="3619" spans="1:14" x14ac:dyDescent="0.25">
      <c r="A3619" s="170" t="s">
        <v>6387</v>
      </c>
      <c r="B3619" s="170" t="s">
        <v>6388</v>
      </c>
      <c r="C3619" s="170" t="s">
        <v>385</v>
      </c>
      <c r="D3619" s="170" t="s">
        <v>1947</v>
      </c>
      <c r="E3619" s="171" t="s">
        <v>13850</v>
      </c>
      <c r="F3619" s="171" t="s">
        <v>22029</v>
      </c>
      <c r="G3619" s="82"/>
      <c r="H3619" s="96">
        <f t="shared" si="224"/>
        <v>26.26</v>
      </c>
      <c r="I3619" s="96">
        <f t="shared" si="224"/>
        <v>26.53</v>
      </c>
      <c r="J3619" s="91" t="str">
        <f t="shared" si="225"/>
        <v>Sinapi 97331</v>
      </c>
      <c r="K3619" s="91" t="str">
        <f t="shared" si="226"/>
        <v>M</v>
      </c>
      <c r="L3619" s="166" t="str">
        <f t="shared" si="227"/>
        <v>12/2015</v>
      </c>
      <c r="M3619" s="82"/>
      <c r="N3619" s="82"/>
    </row>
    <row r="3620" spans="1:14" x14ac:dyDescent="0.25">
      <c r="A3620" s="170" t="s">
        <v>6389</v>
      </c>
      <c r="B3620" s="170" t="s">
        <v>6390</v>
      </c>
      <c r="C3620" s="170" t="s">
        <v>385</v>
      </c>
      <c r="D3620" s="170" t="s">
        <v>1947</v>
      </c>
      <c r="E3620" s="171" t="s">
        <v>22800</v>
      </c>
      <c r="F3620" s="171" t="s">
        <v>22039</v>
      </c>
      <c r="G3620" s="82"/>
      <c r="H3620" s="96">
        <f t="shared" si="224"/>
        <v>44.84</v>
      </c>
      <c r="I3620" s="96">
        <f t="shared" si="224"/>
        <v>45.14</v>
      </c>
      <c r="J3620" s="91" t="str">
        <f t="shared" si="225"/>
        <v>Sinapi 97332</v>
      </c>
      <c r="K3620" s="91" t="str">
        <f t="shared" si="226"/>
        <v>M</v>
      </c>
      <c r="L3620" s="166" t="str">
        <f t="shared" si="227"/>
        <v>12/2015</v>
      </c>
      <c r="M3620" s="82"/>
      <c r="N3620" s="82"/>
    </row>
    <row r="3621" spans="1:14" x14ac:dyDescent="0.25">
      <c r="A3621" s="170" t="s">
        <v>6391</v>
      </c>
      <c r="B3621" s="170" t="s">
        <v>6392</v>
      </c>
      <c r="C3621" s="170" t="s">
        <v>385</v>
      </c>
      <c r="D3621" s="170" t="s">
        <v>1947</v>
      </c>
      <c r="E3621" s="171" t="s">
        <v>23018</v>
      </c>
      <c r="F3621" s="171" t="s">
        <v>23247</v>
      </c>
      <c r="G3621" s="82"/>
      <c r="H3621" s="96">
        <f t="shared" si="224"/>
        <v>56.48</v>
      </c>
      <c r="I3621" s="96">
        <f t="shared" si="224"/>
        <v>56.82</v>
      </c>
      <c r="J3621" s="91" t="str">
        <f t="shared" si="225"/>
        <v>Sinapi 97333</v>
      </c>
      <c r="K3621" s="91" t="str">
        <f t="shared" si="226"/>
        <v>M</v>
      </c>
      <c r="L3621" s="166" t="str">
        <f t="shared" si="227"/>
        <v>12/2015</v>
      </c>
      <c r="M3621" s="82"/>
      <c r="N3621" s="82"/>
    </row>
    <row r="3622" spans="1:14" x14ac:dyDescent="0.25">
      <c r="A3622" s="170" t="s">
        <v>6393</v>
      </c>
      <c r="B3622" s="170" t="s">
        <v>6394</v>
      </c>
      <c r="C3622" s="170" t="s">
        <v>385</v>
      </c>
      <c r="D3622" s="170" t="s">
        <v>1947</v>
      </c>
      <c r="E3622" s="171" t="s">
        <v>28538</v>
      </c>
      <c r="F3622" s="171" t="s">
        <v>22729</v>
      </c>
      <c r="G3622" s="82"/>
      <c r="H3622" s="96">
        <f t="shared" si="224"/>
        <v>68.94</v>
      </c>
      <c r="I3622" s="96">
        <f t="shared" si="224"/>
        <v>69.3</v>
      </c>
      <c r="J3622" s="91" t="str">
        <f t="shared" si="225"/>
        <v>Sinapi 97334</v>
      </c>
      <c r="K3622" s="91" t="str">
        <f t="shared" si="226"/>
        <v>M</v>
      </c>
      <c r="L3622" s="166" t="str">
        <f t="shared" si="227"/>
        <v>12/2015</v>
      </c>
      <c r="M3622" s="82"/>
      <c r="N3622" s="82"/>
    </row>
    <row r="3623" spans="1:14" x14ac:dyDescent="0.25">
      <c r="A3623" s="170" t="s">
        <v>6395</v>
      </c>
      <c r="B3623" s="170" t="s">
        <v>15825</v>
      </c>
      <c r="C3623" s="170" t="s">
        <v>385</v>
      </c>
      <c r="D3623" s="170" t="s">
        <v>1947</v>
      </c>
      <c r="E3623" s="171" t="s">
        <v>33501</v>
      </c>
      <c r="F3623" s="171" t="s">
        <v>33708</v>
      </c>
      <c r="G3623" s="82"/>
      <c r="H3623" s="96">
        <f t="shared" si="224"/>
        <v>74.3</v>
      </c>
      <c r="I3623" s="96">
        <f t="shared" si="224"/>
        <v>74.52</v>
      </c>
      <c r="J3623" s="91" t="str">
        <f t="shared" si="225"/>
        <v>Sinapi 97335</v>
      </c>
      <c r="K3623" s="91" t="str">
        <f t="shared" si="226"/>
        <v>M</v>
      </c>
      <c r="L3623" s="166" t="str">
        <f t="shared" si="227"/>
        <v>04/2022</v>
      </c>
      <c r="M3623" s="82"/>
      <c r="N3623" s="82"/>
    </row>
    <row r="3624" spans="1:14" x14ac:dyDescent="0.25">
      <c r="A3624" s="170" t="s">
        <v>6396</v>
      </c>
      <c r="B3624" s="170" t="s">
        <v>15826</v>
      </c>
      <c r="C3624" s="170" t="s">
        <v>385</v>
      </c>
      <c r="D3624" s="170" t="s">
        <v>1947</v>
      </c>
      <c r="E3624" s="171" t="s">
        <v>33502</v>
      </c>
      <c r="F3624" s="171" t="s">
        <v>36714</v>
      </c>
      <c r="G3624" s="82"/>
      <c r="H3624" s="96">
        <f t="shared" si="224"/>
        <v>94.56</v>
      </c>
      <c r="I3624" s="96">
        <f t="shared" si="224"/>
        <v>94.83</v>
      </c>
      <c r="J3624" s="91" t="str">
        <f t="shared" si="225"/>
        <v>Sinapi 97336</v>
      </c>
      <c r="K3624" s="91" t="str">
        <f t="shared" si="226"/>
        <v>M</v>
      </c>
      <c r="L3624" s="166" t="str">
        <f t="shared" si="227"/>
        <v>04/2022</v>
      </c>
      <c r="M3624" s="82"/>
      <c r="N3624" s="82"/>
    </row>
    <row r="3625" spans="1:14" x14ac:dyDescent="0.25">
      <c r="A3625" s="170" t="s">
        <v>6397</v>
      </c>
      <c r="B3625" s="170" t="s">
        <v>15827</v>
      </c>
      <c r="C3625" s="170" t="s">
        <v>385</v>
      </c>
      <c r="D3625" s="170" t="s">
        <v>1947</v>
      </c>
      <c r="E3625" s="171" t="s">
        <v>33503</v>
      </c>
      <c r="F3625" s="171" t="s">
        <v>36715</v>
      </c>
      <c r="G3625" s="82"/>
      <c r="H3625" s="96">
        <f t="shared" si="224"/>
        <v>142.25</v>
      </c>
      <c r="I3625" s="96">
        <f t="shared" si="224"/>
        <v>142.59</v>
      </c>
      <c r="J3625" s="91" t="str">
        <f t="shared" si="225"/>
        <v>Sinapi 97337</v>
      </c>
      <c r="K3625" s="91" t="str">
        <f t="shared" si="226"/>
        <v>M</v>
      </c>
      <c r="L3625" s="166" t="str">
        <f t="shared" si="227"/>
        <v>04/2022</v>
      </c>
      <c r="M3625" s="82"/>
      <c r="N3625" s="82"/>
    </row>
    <row r="3626" spans="1:14" x14ac:dyDescent="0.25">
      <c r="A3626" s="170" t="s">
        <v>6398</v>
      </c>
      <c r="B3626" s="170" t="s">
        <v>15828</v>
      </c>
      <c r="C3626" s="170" t="s">
        <v>385</v>
      </c>
      <c r="D3626" s="170" t="s">
        <v>1947</v>
      </c>
      <c r="E3626" s="171" t="s">
        <v>33504</v>
      </c>
      <c r="F3626" s="171" t="s">
        <v>36716</v>
      </c>
      <c r="G3626" s="82"/>
      <c r="H3626" s="96">
        <f t="shared" si="224"/>
        <v>171.17</v>
      </c>
      <c r="I3626" s="96">
        <f t="shared" si="224"/>
        <v>171.57</v>
      </c>
      <c r="J3626" s="91" t="str">
        <f t="shared" si="225"/>
        <v>Sinapi 97338</v>
      </c>
      <c r="K3626" s="91" t="str">
        <f t="shared" si="226"/>
        <v>M</v>
      </c>
      <c r="L3626" s="166" t="str">
        <f t="shared" si="227"/>
        <v>04/2022</v>
      </c>
      <c r="M3626" s="82"/>
      <c r="N3626" s="82"/>
    </row>
    <row r="3627" spans="1:14" x14ac:dyDescent="0.25">
      <c r="A3627" s="170" t="s">
        <v>6399</v>
      </c>
      <c r="B3627" s="170" t="s">
        <v>15829</v>
      </c>
      <c r="C3627" s="170" t="s">
        <v>385</v>
      </c>
      <c r="D3627" s="170" t="s">
        <v>1947</v>
      </c>
      <c r="E3627" s="171" t="s">
        <v>33442</v>
      </c>
      <c r="F3627" s="171" t="s">
        <v>36661</v>
      </c>
      <c r="G3627" s="82"/>
      <c r="H3627" s="96">
        <f t="shared" si="224"/>
        <v>184.3</v>
      </c>
      <c r="I3627" s="96">
        <f t="shared" si="224"/>
        <v>184.84</v>
      </c>
      <c r="J3627" s="91" t="str">
        <f t="shared" si="225"/>
        <v>Sinapi 97339</v>
      </c>
      <c r="K3627" s="91" t="str">
        <f t="shared" si="226"/>
        <v>M</v>
      </c>
      <c r="L3627" s="166" t="str">
        <f t="shared" si="227"/>
        <v>04/2022</v>
      </c>
      <c r="M3627" s="82"/>
      <c r="N3627" s="82"/>
    </row>
    <row r="3628" spans="1:14" x14ac:dyDescent="0.25">
      <c r="A3628" s="170" t="s">
        <v>6400</v>
      </c>
      <c r="B3628" s="170" t="s">
        <v>15830</v>
      </c>
      <c r="C3628" s="170" t="s">
        <v>385</v>
      </c>
      <c r="D3628" s="170" t="s">
        <v>1947</v>
      </c>
      <c r="E3628" s="171" t="s">
        <v>33505</v>
      </c>
      <c r="F3628" s="171" t="s">
        <v>36717</v>
      </c>
      <c r="G3628" s="82"/>
      <c r="H3628" s="96">
        <f t="shared" si="224"/>
        <v>185.36</v>
      </c>
      <c r="I3628" s="96">
        <f t="shared" si="224"/>
        <v>186.01</v>
      </c>
      <c r="J3628" s="91" t="str">
        <f t="shared" si="225"/>
        <v>Sinapi 97340</v>
      </c>
      <c r="K3628" s="91" t="str">
        <f t="shared" si="226"/>
        <v>M</v>
      </c>
      <c r="L3628" s="166" t="str">
        <f t="shared" si="227"/>
        <v>04/2022</v>
      </c>
      <c r="M3628" s="82"/>
      <c r="N3628" s="82"/>
    </row>
    <row r="3629" spans="1:14" x14ac:dyDescent="0.25">
      <c r="A3629" s="170" t="s">
        <v>6401</v>
      </c>
      <c r="B3629" s="170" t="s">
        <v>6402</v>
      </c>
      <c r="C3629" s="170" t="s">
        <v>385</v>
      </c>
      <c r="D3629" s="170" t="s">
        <v>1947</v>
      </c>
      <c r="E3629" s="171" t="s">
        <v>33506</v>
      </c>
      <c r="F3629" s="171" t="s">
        <v>33781</v>
      </c>
      <c r="G3629" s="82"/>
      <c r="H3629" s="96">
        <f t="shared" si="224"/>
        <v>89.56</v>
      </c>
      <c r="I3629" s="96">
        <f t="shared" si="224"/>
        <v>89.78</v>
      </c>
      <c r="J3629" s="91" t="str">
        <f t="shared" si="225"/>
        <v>Sinapi 97347</v>
      </c>
      <c r="K3629" s="91" t="str">
        <f t="shared" si="226"/>
        <v>M</v>
      </c>
      <c r="L3629" s="166" t="str">
        <f t="shared" si="227"/>
        <v>12/2015</v>
      </c>
      <c r="M3629" s="82"/>
      <c r="N3629" s="82"/>
    </row>
    <row r="3630" spans="1:14" x14ac:dyDescent="0.25">
      <c r="A3630" s="170" t="s">
        <v>6403</v>
      </c>
      <c r="B3630" s="170" t="s">
        <v>6404</v>
      </c>
      <c r="C3630" s="170" t="s">
        <v>385</v>
      </c>
      <c r="D3630" s="170" t="s">
        <v>1947</v>
      </c>
      <c r="E3630" s="171" t="s">
        <v>33507</v>
      </c>
      <c r="F3630" s="171" t="s">
        <v>36718</v>
      </c>
      <c r="G3630" s="82"/>
      <c r="H3630" s="96">
        <f t="shared" si="224"/>
        <v>123.7</v>
      </c>
      <c r="I3630" s="96">
        <f t="shared" si="224"/>
        <v>123.96</v>
      </c>
      <c r="J3630" s="91" t="str">
        <f t="shared" si="225"/>
        <v>Sinapi 97348</v>
      </c>
      <c r="K3630" s="91" t="str">
        <f t="shared" si="226"/>
        <v>M</v>
      </c>
      <c r="L3630" s="166" t="str">
        <f t="shared" si="227"/>
        <v>12/2015</v>
      </c>
      <c r="M3630" s="82"/>
      <c r="N3630" s="82"/>
    </row>
    <row r="3631" spans="1:14" x14ac:dyDescent="0.25">
      <c r="A3631" s="170" t="s">
        <v>6405</v>
      </c>
      <c r="B3631" s="170" t="s">
        <v>6406</v>
      </c>
      <c r="C3631" s="170" t="s">
        <v>385</v>
      </c>
      <c r="D3631" s="170" t="s">
        <v>1947</v>
      </c>
      <c r="E3631" s="171" t="s">
        <v>33508</v>
      </c>
      <c r="F3631" s="171" t="s">
        <v>34972</v>
      </c>
      <c r="G3631" s="82"/>
      <c r="H3631" s="96">
        <f t="shared" si="224"/>
        <v>178.29</v>
      </c>
      <c r="I3631" s="96">
        <f t="shared" si="224"/>
        <v>178.61</v>
      </c>
      <c r="J3631" s="91" t="str">
        <f t="shared" si="225"/>
        <v>Sinapi 97349</v>
      </c>
      <c r="K3631" s="91" t="str">
        <f t="shared" si="226"/>
        <v>M</v>
      </c>
      <c r="L3631" s="166" t="str">
        <f t="shared" si="227"/>
        <v>12/2015</v>
      </c>
      <c r="M3631" s="82"/>
      <c r="N3631" s="82"/>
    </row>
    <row r="3632" spans="1:14" x14ac:dyDescent="0.25">
      <c r="A3632" s="170" t="s">
        <v>6407</v>
      </c>
      <c r="B3632" s="170" t="s">
        <v>6408</v>
      </c>
      <c r="C3632" s="170" t="s">
        <v>385</v>
      </c>
      <c r="D3632" s="170" t="s">
        <v>1947</v>
      </c>
      <c r="E3632" s="171" t="s">
        <v>20998</v>
      </c>
      <c r="F3632" s="171" t="s">
        <v>36719</v>
      </c>
      <c r="G3632" s="82"/>
      <c r="H3632" s="96">
        <f t="shared" si="224"/>
        <v>216.49</v>
      </c>
      <c r="I3632" s="96">
        <f t="shared" si="224"/>
        <v>216.85</v>
      </c>
      <c r="J3632" s="91" t="str">
        <f t="shared" si="225"/>
        <v>Sinapi 97350</v>
      </c>
      <c r="K3632" s="91" t="str">
        <f t="shared" si="226"/>
        <v>M</v>
      </c>
      <c r="L3632" s="166" t="str">
        <f t="shared" si="227"/>
        <v>12/2015</v>
      </c>
      <c r="M3632" s="82"/>
      <c r="N3632" s="82"/>
    </row>
    <row r="3633" spans="1:14" x14ac:dyDescent="0.25">
      <c r="A3633" s="170" t="s">
        <v>6409</v>
      </c>
      <c r="B3633" s="170" t="s">
        <v>6410</v>
      </c>
      <c r="C3633" s="170" t="s">
        <v>385</v>
      </c>
      <c r="D3633" s="170" t="s">
        <v>1947</v>
      </c>
      <c r="E3633" s="171" t="s">
        <v>33509</v>
      </c>
      <c r="F3633" s="171" t="s">
        <v>36720</v>
      </c>
      <c r="G3633" s="82"/>
      <c r="H3633" s="96">
        <f t="shared" si="224"/>
        <v>299.35000000000002</v>
      </c>
      <c r="I3633" s="96">
        <f t="shared" si="224"/>
        <v>299.79000000000002</v>
      </c>
      <c r="J3633" s="91" t="str">
        <f t="shared" si="225"/>
        <v>Sinapi 97351</v>
      </c>
      <c r="K3633" s="91" t="str">
        <f t="shared" si="226"/>
        <v>M</v>
      </c>
      <c r="L3633" s="166" t="str">
        <f t="shared" si="227"/>
        <v>12/2015</v>
      </c>
      <c r="M3633" s="82"/>
      <c r="N3633" s="82"/>
    </row>
    <row r="3634" spans="1:14" x14ac:dyDescent="0.25">
      <c r="A3634" s="170" t="s">
        <v>6411</v>
      </c>
      <c r="B3634" s="170" t="s">
        <v>6412</v>
      </c>
      <c r="C3634" s="170" t="s">
        <v>385</v>
      </c>
      <c r="D3634" s="170" t="s">
        <v>1947</v>
      </c>
      <c r="E3634" s="171" t="s">
        <v>33510</v>
      </c>
      <c r="F3634" s="171" t="s">
        <v>36721</v>
      </c>
      <c r="G3634" s="82"/>
      <c r="H3634" s="96">
        <f t="shared" si="224"/>
        <v>387.95</v>
      </c>
      <c r="I3634" s="96">
        <f t="shared" si="224"/>
        <v>388.47</v>
      </c>
      <c r="J3634" s="91" t="str">
        <f t="shared" si="225"/>
        <v>Sinapi 97352</v>
      </c>
      <c r="K3634" s="91" t="str">
        <f t="shared" si="226"/>
        <v>M</v>
      </c>
      <c r="L3634" s="166" t="str">
        <f t="shared" si="227"/>
        <v>12/2015</v>
      </c>
      <c r="M3634" s="82"/>
      <c r="N3634" s="82"/>
    </row>
    <row r="3635" spans="1:14" x14ac:dyDescent="0.25">
      <c r="A3635" s="170" t="s">
        <v>6413</v>
      </c>
      <c r="B3635" s="170" t="s">
        <v>6414</v>
      </c>
      <c r="C3635" s="170" t="s">
        <v>385</v>
      </c>
      <c r="D3635" s="170" t="s">
        <v>1947</v>
      </c>
      <c r="E3635" s="171" t="s">
        <v>29095</v>
      </c>
      <c r="F3635" s="171" t="s">
        <v>28280</v>
      </c>
      <c r="G3635" s="82"/>
      <c r="H3635" s="96">
        <f t="shared" si="224"/>
        <v>58.89</v>
      </c>
      <c r="I3635" s="96">
        <f t="shared" si="224"/>
        <v>59.49</v>
      </c>
      <c r="J3635" s="91" t="str">
        <f t="shared" si="225"/>
        <v>Sinapi 97353</v>
      </c>
      <c r="K3635" s="91" t="str">
        <f t="shared" si="226"/>
        <v>M</v>
      </c>
      <c r="L3635" s="166" t="str">
        <f t="shared" si="227"/>
        <v>12/2015</v>
      </c>
      <c r="M3635" s="82"/>
      <c r="N3635" s="82"/>
    </row>
    <row r="3636" spans="1:14" x14ac:dyDescent="0.25">
      <c r="A3636" s="170" t="s">
        <v>6415</v>
      </c>
      <c r="B3636" s="170" t="s">
        <v>6416</v>
      </c>
      <c r="C3636" s="170" t="s">
        <v>385</v>
      </c>
      <c r="D3636" s="170" t="s">
        <v>1947</v>
      </c>
      <c r="E3636" s="171" t="s">
        <v>33511</v>
      </c>
      <c r="F3636" s="171" t="s">
        <v>23147</v>
      </c>
      <c r="G3636" s="82"/>
      <c r="H3636" s="96">
        <f t="shared" si="224"/>
        <v>93.55</v>
      </c>
      <c r="I3636" s="96">
        <f t="shared" si="224"/>
        <v>94.23</v>
      </c>
      <c r="J3636" s="91" t="str">
        <f t="shared" si="225"/>
        <v>Sinapi 97354</v>
      </c>
      <c r="K3636" s="91" t="str">
        <f t="shared" si="226"/>
        <v>M</v>
      </c>
      <c r="L3636" s="166" t="str">
        <f t="shared" si="227"/>
        <v>12/2015</v>
      </c>
      <c r="M3636" s="82"/>
      <c r="N3636" s="82"/>
    </row>
    <row r="3637" spans="1:14" x14ac:dyDescent="0.25">
      <c r="A3637" s="170" t="s">
        <v>6417</v>
      </c>
      <c r="B3637" s="170" t="s">
        <v>6418</v>
      </c>
      <c r="C3637" s="170" t="s">
        <v>385</v>
      </c>
      <c r="D3637" s="170" t="s">
        <v>1947</v>
      </c>
      <c r="E3637" s="171" t="s">
        <v>30547</v>
      </c>
      <c r="F3637" s="171" t="s">
        <v>29843</v>
      </c>
      <c r="G3637" s="82"/>
      <c r="H3637" s="96">
        <f t="shared" si="224"/>
        <v>127.97</v>
      </c>
      <c r="I3637" s="96">
        <f t="shared" si="224"/>
        <v>128.72999999999999</v>
      </c>
      <c r="J3637" s="91" t="str">
        <f t="shared" si="225"/>
        <v>Sinapi 97355</v>
      </c>
      <c r="K3637" s="91" t="str">
        <f t="shared" si="226"/>
        <v>M</v>
      </c>
      <c r="L3637" s="166" t="str">
        <f t="shared" si="227"/>
        <v>12/2015</v>
      </c>
      <c r="M3637" s="82"/>
      <c r="N3637" s="82"/>
    </row>
    <row r="3638" spans="1:14" x14ac:dyDescent="0.25">
      <c r="A3638" s="170" t="s">
        <v>6419</v>
      </c>
      <c r="B3638" s="170" t="s">
        <v>6420</v>
      </c>
      <c r="C3638" s="170" t="s">
        <v>385</v>
      </c>
      <c r="D3638" s="170" t="s">
        <v>1947</v>
      </c>
      <c r="E3638" s="171" t="s">
        <v>21812</v>
      </c>
      <c r="F3638" s="171" t="s">
        <v>36722</v>
      </c>
      <c r="G3638" s="82"/>
      <c r="H3638" s="96">
        <f t="shared" si="224"/>
        <v>67.650000000000006</v>
      </c>
      <c r="I3638" s="96">
        <f t="shared" si="224"/>
        <v>69.25</v>
      </c>
      <c r="J3638" s="91" t="str">
        <f t="shared" si="225"/>
        <v>Sinapi 97356</v>
      </c>
      <c r="K3638" s="91" t="str">
        <f t="shared" si="226"/>
        <v>M</v>
      </c>
      <c r="L3638" s="166" t="str">
        <f t="shared" si="227"/>
        <v>12/2015</v>
      </c>
      <c r="M3638" s="82"/>
      <c r="N3638" s="82"/>
    </row>
    <row r="3639" spans="1:14" x14ac:dyDescent="0.25">
      <c r="A3639" s="170" t="s">
        <v>6421</v>
      </c>
      <c r="B3639" s="170" t="s">
        <v>6422</v>
      </c>
      <c r="C3639" s="170" t="s">
        <v>385</v>
      </c>
      <c r="D3639" s="170" t="s">
        <v>1947</v>
      </c>
      <c r="E3639" s="171" t="s">
        <v>33512</v>
      </c>
      <c r="F3639" s="171" t="s">
        <v>36723</v>
      </c>
      <c r="G3639" s="82"/>
      <c r="H3639" s="96">
        <f t="shared" si="224"/>
        <v>108.6</v>
      </c>
      <c r="I3639" s="96">
        <f t="shared" si="224"/>
        <v>111.01</v>
      </c>
      <c r="J3639" s="91" t="str">
        <f t="shared" si="225"/>
        <v>Sinapi 97357</v>
      </c>
      <c r="K3639" s="91" t="str">
        <f t="shared" si="226"/>
        <v>M</v>
      </c>
      <c r="L3639" s="166" t="str">
        <f t="shared" si="227"/>
        <v>12/2015</v>
      </c>
      <c r="M3639" s="82"/>
      <c r="N3639" s="82"/>
    </row>
    <row r="3640" spans="1:14" x14ac:dyDescent="0.25">
      <c r="A3640" s="170" t="s">
        <v>6423</v>
      </c>
      <c r="B3640" s="170" t="s">
        <v>6424</v>
      </c>
      <c r="C3640" s="170" t="s">
        <v>385</v>
      </c>
      <c r="D3640" s="170" t="s">
        <v>1947</v>
      </c>
      <c r="E3640" s="171" t="s">
        <v>33513</v>
      </c>
      <c r="F3640" s="171" t="s">
        <v>23218</v>
      </c>
      <c r="G3640" s="82"/>
      <c r="H3640" s="96">
        <f t="shared" si="224"/>
        <v>148.51</v>
      </c>
      <c r="I3640" s="96">
        <f t="shared" si="224"/>
        <v>151.61000000000001</v>
      </c>
      <c r="J3640" s="91" t="str">
        <f t="shared" si="225"/>
        <v>Sinapi 97358</v>
      </c>
      <c r="K3640" s="91" t="str">
        <f t="shared" si="226"/>
        <v>M</v>
      </c>
      <c r="L3640" s="166" t="str">
        <f t="shared" si="227"/>
        <v>12/2015</v>
      </c>
      <c r="M3640" s="82"/>
      <c r="N3640" s="82"/>
    </row>
    <row r="3641" spans="1:14" x14ac:dyDescent="0.25">
      <c r="A3641" s="170" t="s">
        <v>6425</v>
      </c>
      <c r="B3641" s="170" t="s">
        <v>11794</v>
      </c>
      <c r="C3641" s="170" t="s">
        <v>385</v>
      </c>
      <c r="D3641" s="170" t="s">
        <v>1947</v>
      </c>
      <c r="E3641" s="171" t="s">
        <v>29248</v>
      </c>
      <c r="F3641" s="171" t="s">
        <v>35079</v>
      </c>
      <c r="G3641" s="82"/>
      <c r="H3641" s="96">
        <f t="shared" si="224"/>
        <v>42.52</v>
      </c>
      <c r="I3641" s="96">
        <f t="shared" si="224"/>
        <v>43.29</v>
      </c>
      <c r="J3641" s="91" t="str">
        <f t="shared" si="225"/>
        <v>Sinapi 97498</v>
      </c>
      <c r="K3641" s="91" t="str">
        <f t="shared" si="226"/>
        <v>M</v>
      </c>
      <c r="L3641" s="166" t="str">
        <f t="shared" si="227"/>
        <v>10/2020</v>
      </c>
      <c r="M3641" s="82"/>
      <c r="N3641" s="82"/>
    </row>
    <row r="3642" spans="1:14" x14ac:dyDescent="0.25">
      <c r="A3642" s="170" t="s">
        <v>6426</v>
      </c>
      <c r="B3642" s="170" t="s">
        <v>11795</v>
      </c>
      <c r="C3642" s="170" t="s">
        <v>385</v>
      </c>
      <c r="D3642" s="170" t="s">
        <v>1947</v>
      </c>
      <c r="E3642" s="171" t="s">
        <v>33514</v>
      </c>
      <c r="F3642" s="171" t="s">
        <v>29239</v>
      </c>
      <c r="G3642" s="82"/>
      <c r="H3642" s="96">
        <f t="shared" si="224"/>
        <v>46.52</v>
      </c>
      <c r="I3642" s="96">
        <f t="shared" si="224"/>
        <v>47.74</v>
      </c>
      <c r="J3642" s="91" t="str">
        <f t="shared" si="225"/>
        <v>Sinapi 97535</v>
      </c>
      <c r="K3642" s="91" t="str">
        <f t="shared" si="226"/>
        <v>M</v>
      </c>
      <c r="L3642" s="166" t="str">
        <f t="shared" si="227"/>
        <v>10/2020</v>
      </c>
      <c r="M3642" s="82"/>
      <c r="N3642" s="82"/>
    </row>
    <row r="3643" spans="1:14" x14ac:dyDescent="0.25">
      <c r="A3643" s="170" t="s">
        <v>6427</v>
      </c>
      <c r="B3643" s="170" t="s">
        <v>11796</v>
      </c>
      <c r="C3643" s="170" t="s">
        <v>385</v>
      </c>
      <c r="D3643" s="170" t="s">
        <v>1947</v>
      </c>
      <c r="E3643" s="171" t="s">
        <v>33515</v>
      </c>
      <c r="F3643" s="171" t="s">
        <v>32793</v>
      </c>
      <c r="G3643" s="82"/>
      <c r="H3643" s="96">
        <f t="shared" si="224"/>
        <v>55.69</v>
      </c>
      <c r="I3643" s="96">
        <f t="shared" si="224"/>
        <v>57.97</v>
      </c>
      <c r="J3643" s="91" t="str">
        <f t="shared" si="225"/>
        <v>Sinapi 97536</v>
      </c>
      <c r="K3643" s="91" t="str">
        <f t="shared" si="226"/>
        <v>M</v>
      </c>
      <c r="L3643" s="166" t="str">
        <f t="shared" si="227"/>
        <v>10/2020</v>
      </c>
      <c r="M3643" s="82"/>
      <c r="N3643" s="82"/>
    </row>
    <row r="3644" spans="1:14" x14ac:dyDescent="0.25">
      <c r="A3644" s="170" t="s">
        <v>6428</v>
      </c>
      <c r="B3644" s="170" t="s">
        <v>6429</v>
      </c>
      <c r="C3644" s="170" t="s">
        <v>205</v>
      </c>
      <c r="D3644" s="170" t="s">
        <v>1947</v>
      </c>
      <c r="E3644" s="171" t="s">
        <v>33516</v>
      </c>
      <c r="F3644" s="171" t="s">
        <v>36724</v>
      </c>
      <c r="G3644" s="82"/>
      <c r="H3644" s="96">
        <f t="shared" si="224"/>
        <v>563.03</v>
      </c>
      <c r="I3644" s="96">
        <f t="shared" si="224"/>
        <v>581.48</v>
      </c>
      <c r="J3644" s="91" t="str">
        <f t="shared" si="225"/>
        <v>Sinapi 100788</v>
      </c>
      <c r="K3644" s="91" t="str">
        <f t="shared" si="226"/>
        <v>UN</v>
      </c>
      <c r="L3644" s="166" t="str">
        <f t="shared" si="227"/>
        <v>01/2020</v>
      </c>
      <c r="M3644" s="82"/>
      <c r="N3644" s="82"/>
    </row>
    <row r="3645" spans="1:14" x14ac:dyDescent="0.25">
      <c r="A3645" s="170" t="s">
        <v>6430</v>
      </c>
      <c r="B3645" s="170" t="s">
        <v>6431</v>
      </c>
      <c r="C3645" s="170" t="s">
        <v>385</v>
      </c>
      <c r="D3645" s="170" t="s">
        <v>1947</v>
      </c>
      <c r="E3645" s="171" t="s">
        <v>10427</v>
      </c>
      <c r="F3645" s="171" t="s">
        <v>23142</v>
      </c>
      <c r="G3645" s="82"/>
      <c r="H3645" s="96">
        <f t="shared" si="224"/>
        <v>17.68</v>
      </c>
      <c r="I3645" s="96">
        <f t="shared" si="224"/>
        <v>18.45</v>
      </c>
      <c r="J3645" s="91" t="str">
        <f t="shared" si="225"/>
        <v>Sinapi 100791</v>
      </c>
      <c r="K3645" s="91" t="str">
        <f t="shared" si="226"/>
        <v>M</v>
      </c>
      <c r="L3645" s="166" t="str">
        <f t="shared" si="227"/>
        <v>01/2020</v>
      </c>
      <c r="M3645" s="82"/>
      <c r="N3645" s="82"/>
    </row>
    <row r="3646" spans="1:14" x14ac:dyDescent="0.25">
      <c r="A3646" s="170" t="s">
        <v>6432</v>
      </c>
      <c r="B3646" s="170" t="s">
        <v>6433</v>
      </c>
      <c r="C3646" s="170" t="s">
        <v>385</v>
      </c>
      <c r="D3646" s="170" t="s">
        <v>1947</v>
      </c>
      <c r="E3646" s="171" t="s">
        <v>20447</v>
      </c>
      <c r="F3646" s="171" t="s">
        <v>16352</v>
      </c>
      <c r="G3646" s="82"/>
      <c r="H3646" s="96">
        <f t="shared" si="224"/>
        <v>25.99</v>
      </c>
      <c r="I3646" s="96">
        <f t="shared" si="224"/>
        <v>26.91</v>
      </c>
      <c r="J3646" s="91" t="str">
        <f t="shared" si="225"/>
        <v>Sinapi 100792</v>
      </c>
      <c r="K3646" s="91" t="str">
        <f t="shared" si="226"/>
        <v>M</v>
      </c>
      <c r="L3646" s="166" t="str">
        <f t="shared" si="227"/>
        <v>01/2020</v>
      </c>
      <c r="M3646" s="82"/>
      <c r="N3646" s="82"/>
    </row>
    <row r="3647" spans="1:14" x14ac:dyDescent="0.25">
      <c r="A3647" s="170" t="s">
        <v>6434</v>
      </c>
      <c r="B3647" s="170" t="s">
        <v>6435</v>
      </c>
      <c r="C3647" s="170" t="s">
        <v>385</v>
      </c>
      <c r="D3647" s="170" t="s">
        <v>1947</v>
      </c>
      <c r="E3647" s="171" t="s">
        <v>33517</v>
      </c>
      <c r="F3647" s="171" t="s">
        <v>36725</v>
      </c>
      <c r="G3647" s="82"/>
      <c r="H3647" s="96">
        <f t="shared" si="224"/>
        <v>34.54</v>
      </c>
      <c r="I3647" s="96">
        <f t="shared" si="224"/>
        <v>35.630000000000003</v>
      </c>
      <c r="J3647" s="91" t="str">
        <f t="shared" si="225"/>
        <v>Sinapi 100793</v>
      </c>
      <c r="K3647" s="91" t="str">
        <f t="shared" si="226"/>
        <v>M</v>
      </c>
      <c r="L3647" s="166" t="str">
        <f t="shared" si="227"/>
        <v>01/2020</v>
      </c>
      <c r="M3647" s="82"/>
      <c r="N3647" s="82"/>
    </row>
    <row r="3648" spans="1:14" x14ac:dyDescent="0.25">
      <c r="A3648" s="170" t="s">
        <v>6436</v>
      </c>
      <c r="B3648" s="170" t="s">
        <v>6437</v>
      </c>
      <c r="C3648" s="170" t="s">
        <v>385</v>
      </c>
      <c r="D3648" s="170" t="s">
        <v>1947</v>
      </c>
      <c r="E3648" s="171" t="s">
        <v>28728</v>
      </c>
      <c r="F3648" s="171" t="s">
        <v>36726</v>
      </c>
      <c r="G3648" s="82"/>
      <c r="H3648" s="96">
        <f t="shared" si="224"/>
        <v>46.65</v>
      </c>
      <c r="I3648" s="96">
        <f t="shared" si="224"/>
        <v>47.99</v>
      </c>
      <c r="J3648" s="91" t="str">
        <f t="shared" si="225"/>
        <v>Sinapi 100794</v>
      </c>
      <c r="K3648" s="91" t="str">
        <f t="shared" si="226"/>
        <v>M</v>
      </c>
      <c r="L3648" s="166" t="str">
        <f t="shared" si="227"/>
        <v>01/2020</v>
      </c>
      <c r="M3648" s="82"/>
      <c r="N3648" s="82"/>
    </row>
    <row r="3649" spans="1:14" x14ac:dyDescent="0.25">
      <c r="A3649" s="170" t="s">
        <v>13411</v>
      </c>
      <c r="B3649" s="170" t="s">
        <v>13412</v>
      </c>
      <c r="C3649" s="170" t="s">
        <v>385</v>
      </c>
      <c r="D3649" s="170" t="s">
        <v>1947</v>
      </c>
      <c r="E3649" s="171" t="s">
        <v>17380</v>
      </c>
      <c r="F3649" s="171" t="s">
        <v>15574</v>
      </c>
      <c r="G3649" s="82"/>
      <c r="H3649" s="96">
        <f t="shared" si="224"/>
        <v>18.09</v>
      </c>
      <c r="I3649" s="96">
        <f t="shared" si="224"/>
        <v>18.91</v>
      </c>
      <c r="J3649" s="91" t="str">
        <f t="shared" si="225"/>
        <v>Sinapi 100799</v>
      </c>
      <c r="K3649" s="91" t="str">
        <f t="shared" si="226"/>
        <v>M</v>
      </c>
      <c r="L3649" s="166" t="str">
        <f t="shared" si="227"/>
        <v>01/2020</v>
      </c>
      <c r="M3649" s="82"/>
      <c r="N3649" s="82"/>
    </row>
    <row r="3650" spans="1:14" x14ac:dyDescent="0.25">
      <c r="A3650" s="170" t="s">
        <v>13413</v>
      </c>
      <c r="B3650" s="170" t="s">
        <v>13414</v>
      </c>
      <c r="C3650" s="170" t="s">
        <v>385</v>
      </c>
      <c r="D3650" s="170" t="s">
        <v>1947</v>
      </c>
      <c r="E3650" s="171" t="s">
        <v>29414</v>
      </c>
      <c r="F3650" s="171" t="s">
        <v>22709</v>
      </c>
      <c r="G3650" s="82"/>
      <c r="H3650" s="96">
        <f t="shared" si="224"/>
        <v>26.41</v>
      </c>
      <c r="I3650" s="96">
        <f t="shared" si="224"/>
        <v>27.38</v>
      </c>
      <c r="J3650" s="91" t="str">
        <f t="shared" si="225"/>
        <v>Sinapi 100800</v>
      </c>
      <c r="K3650" s="91" t="str">
        <f t="shared" si="226"/>
        <v>M</v>
      </c>
      <c r="L3650" s="166" t="str">
        <f t="shared" si="227"/>
        <v>01/2020</v>
      </c>
      <c r="M3650" s="82"/>
      <c r="N3650" s="82"/>
    </row>
    <row r="3651" spans="1:14" x14ac:dyDescent="0.25">
      <c r="A3651" s="170" t="s">
        <v>13415</v>
      </c>
      <c r="B3651" s="170" t="s">
        <v>13416</v>
      </c>
      <c r="C3651" s="170" t="s">
        <v>385</v>
      </c>
      <c r="D3651" s="170" t="s">
        <v>1947</v>
      </c>
      <c r="E3651" s="171" t="s">
        <v>22749</v>
      </c>
      <c r="F3651" s="171" t="s">
        <v>29175</v>
      </c>
      <c r="G3651" s="82"/>
      <c r="H3651" s="96">
        <f t="shared" si="224"/>
        <v>34.96</v>
      </c>
      <c r="I3651" s="96">
        <f t="shared" si="224"/>
        <v>36.1</v>
      </c>
      <c r="J3651" s="91" t="str">
        <f t="shared" si="225"/>
        <v>Sinapi 100801</v>
      </c>
      <c r="K3651" s="91" t="str">
        <f t="shared" si="226"/>
        <v>M</v>
      </c>
      <c r="L3651" s="166" t="str">
        <f t="shared" si="227"/>
        <v>01/2020</v>
      </c>
      <c r="M3651" s="82"/>
      <c r="N3651" s="82"/>
    </row>
    <row r="3652" spans="1:14" x14ac:dyDescent="0.25">
      <c r="A3652" s="170" t="s">
        <v>13417</v>
      </c>
      <c r="B3652" s="170" t="s">
        <v>13418</v>
      </c>
      <c r="C3652" s="170" t="s">
        <v>385</v>
      </c>
      <c r="D3652" s="170" t="s">
        <v>1947</v>
      </c>
      <c r="E3652" s="171" t="s">
        <v>28679</v>
      </c>
      <c r="F3652" s="171" t="s">
        <v>33771</v>
      </c>
      <c r="G3652" s="82"/>
      <c r="H3652" s="96">
        <f t="shared" si="224"/>
        <v>47.06</v>
      </c>
      <c r="I3652" s="96">
        <f t="shared" si="224"/>
        <v>48.46</v>
      </c>
      <c r="J3652" s="91" t="str">
        <f t="shared" si="225"/>
        <v>Sinapi 100802</v>
      </c>
      <c r="K3652" s="91" t="str">
        <f t="shared" si="226"/>
        <v>M</v>
      </c>
      <c r="L3652" s="166" t="str">
        <f t="shared" si="227"/>
        <v>01/2020</v>
      </c>
      <c r="M3652" s="82"/>
      <c r="N3652" s="82"/>
    </row>
    <row r="3653" spans="1:14" x14ac:dyDescent="0.25">
      <c r="A3653" s="170" t="s">
        <v>6438</v>
      </c>
      <c r="B3653" s="170" t="s">
        <v>6439</v>
      </c>
      <c r="C3653" s="170" t="s">
        <v>385</v>
      </c>
      <c r="D3653" s="170" t="s">
        <v>1947</v>
      </c>
      <c r="E3653" s="171" t="s">
        <v>19366</v>
      </c>
      <c r="F3653" s="171" t="s">
        <v>4685</v>
      </c>
      <c r="G3653" s="82"/>
      <c r="H3653" s="96">
        <f t="shared" si="224"/>
        <v>16.82</v>
      </c>
      <c r="I3653" s="96">
        <f t="shared" si="224"/>
        <v>17.489999999999998</v>
      </c>
      <c r="J3653" s="91" t="str">
        <f t="shared" si="225"/>
        <v>Sinapi 100803</v>
      </c>
      <c r="K3653" s="91" t="str">
        <f t="shared" si="226"/>
        <v>M</v>
      </c>
      <c r="L3653" s="166" t="str">
        <f t="shared" si="227"/>
        <v>01/2020</v>
      </c>
      <c r="M3653" s="82"/>
      <c r="N3653" s="82"/>
    </row>
    <row r="3654" spans="1:14" x14ac:dyDescent="0.25">
      <c r="A3654" s="170" t="s">
        <v>6440</v>
      </c>
      <c r="B3654" s="170" t="s">
        <v>6441</v>
      </c>
      <c r="C3654" s="170" t="s">
        <v>385</v>
      </c>
      <c r="D3654" s="170" t="s">
        <v>1947</v>
      </c>
      <c r="E3654" s="171" t="s">
        <v>30205</v>
      </c>
      <c r="F3654" s="171" t="s">
        <v>19275</v>
      </c>
      <c r="G3654" s="82"/>
      <c r="H3654" s="96">
        <f t="shared" si="224"/>
        <v>24.99</v>
      </c>
      <c r="I3654" s="96">
        <f t="shared" si="224"/>
        <v>25.78</v>
      </c>
      <c r="J3654" s="91" t="str">
        <f t="shared" si="225"/>
        <v>Sinapi 100804</v>
      </c>
      <c r="K3654" s="91" t="str">
        <f t="shared" si="226"/>
        <v>M</v>
      </c>
      <c r="L3654" s="166" t="str">
        <f t="shared" si="227"/>
        <v>01/2020</v>
      </c>
      <c r="M3654" s="82"/>
      <c r="N3654" s="82"/>
    </row>
    <row r="3655" spans="1:14" x14ac:dyDescent="0.25">
      <c r="A3655" s="170" t="s">
        <v>6442</v>
      </c>
      <c r="B3655" s="170" t="s">
        <v>6443</v>
      </c>
      <c r="C3655" s="170" t="s">
        <v>385</v>
      </c>
      <c r="D3655" s="170" t="s">
        <v>1947</v>
      </c>
      <c r="E3655" s="171" t="s">
        <v>31897</v>
      </c>
      <c r="F3655" s="171" t="s">
        <v>17960</v>
      </c>
      <c r="G3655" s="82"/>
      <c r="H3655" s="96">
        <f t="shared" si="224"/>
        <v>33.33</v>
      </c>
      <c r="I3655" s="96">
        <f t="shared" si="224"/>
        <v>34.29</v>
      </c>
      <c r="J3655" s="91" t="str">
        <f t="shared" si="225"/>
        <v>Sinapi 100805</v>
      </c>
      <c r="K3655" s="91" t="str">
        <f t="shared" si="226"/>
        <v>M</v>
      </c>
      <c r="L3655" s="166" t="str">
        <f t="shared" si="227"/>
        <v>01/2020</v>
      </c>
      <c r="M3655" s="82"/>
      <c r="N3655" s="82"/>
    </row>
    <row r="3656" spans="1:14" x14ac:dyDescent="0.25">
      <c r="A3656" s="170" t="s">
        <v>6444</v>
      </c>
      <c r="B3656" s="170" t="s">
        <v>6445</v>
      </c>
      <c r="C3656" s="170" t="s">
        <v>385</v>
      </c>
      <c r="D3656" s="170" t="s">
        <v>1947</v>
      </c>
      <c r="E3656" s="171" t="s">
        <v>21898</v>
      </c>
      <c r="F3656" s="171" t="s">
        <v>21594</v>
      </c>
      <c r="G3656" s="82"/>
      <c r="H3656" s="96">
        <f t="shared" ref="H3656:I3719" si="228">IF(E3656="","",E3656+0)</f>
        <v>45.16</v>
      </c>
      <c r="I3656" s="96">
        <f t="shared" si="228"/>
        <v>46.33</v>
      </c>
      <c r="J3656" s="91" t="str">
        <f t="shared" ref="J3656:J3719" si="229">IF(OR(H3656="",I3656=""),"",TRIM(CONCATENATE("Sinapi ",A3656)))</f>
        <v>Sinapi 100806</v>
      </c>
      <c r="K3656" s="91" t="str">
        <f t="shared" ref="K3656:K3719" si="230">TRIM(C3656)</f>
        <v>M</v>
      </c>
      <c r="L3656" s="166" t="str">
        <f t="shared" ref="L3656:L3719" si="231">IF(OR(RIGHT(IF(AND(K3656&lt;&gt;"H",K3656&lt;&gt;"MES"),RIGHT(B3656,7),""),2)="PS",RIGHT(IF(AND(K3656&lt;&gt;"H",K3656&lt;&gt;"MES"),RIGHT(B3656,7),""),2)="PA",RIGHT(IF(AND(K3656&lt;&gt;"H",K3656&lt;&gt;"MES"),RIGHT(B3656,7),""),2)="PE"),LEFT(IF(AND(K3656&lt;&gt;"H",K3656&lt;&gt;"MES"),RIGHT(B3656,10),""),7),IF(AND(K3656&lt;&gt;"H",K3656&lt;&gt;"MES"),RIGHT(B3656,7),""))</f>
        <v>01/2020</v>
      </c>
      <c r="M3656" s="82"/>
      <c r="N3656" s="82"/>
    </row>
    <row r="3657" spans="1:14" x14ac:dyDescent="0.25">
      <c r="A3657" s="170" t="s">
        <v>13419</v>
      </c>
      <c r="B3657" s="170" t="s">
        <v>13420</v>
      </c>
      <c r="C3657" s="170" t="s">
        <v>385</v>
      </c>
      <c r="D3657" s="170" t="s">
        <v>1947</v>
      </c>
      <c r="E3657" s="171" t="s">
        <v>20989</v>
      </c>
      <c r="F3657" s="171" t="s">
        <v>19913</v>
      </c>
      <c r="G3657" s="82"/>
      <c r="H3657" s="96">
        <f t="shared" si="228"/>
        <v>22.94</v>
      </c>
      <c r="I3657" s="96">
        <f t="shared" si="228"/>
        <v>24.33</v>
      </c>
      <c r="J3657" s="91" t="str">
        <f t="shared" si="229"/>
        <v>Sinapi 100807</v>
      </c>
      <c r="K3657" s="91" t="str">
        <f t="shared" si="230"/>
        <v>M</v>
      </c>
      <c r="L3657" s="166" t="str">
        <f t="shared" si="231"/>
        <v>01/2020</v>
      </c>
      <c r="M3657" s="82"/>
      <c r="N3657" s="82"/>
    </row>
    <row r="3658" spans="1:14" x14ac:dyDescent="0.25">
      <c r="A3658" s="170" t="s">
        <v>13421</v>
      </c>
      <c r="B3658" s="170" t="s">
        <v>13422</v>
      </c>
      <c r="C3658" s="170" t="s">
        <v>385</v>
      </c>
      <c r="D3658" s="170" t="s">
        <v>1947</v>
      </c>
      <c r="E3658" s="171" t="s">
        <v>33518</v>
      </c>
      <c r="F3658" s="171" t="s">
        <v>21877</v>
      </c>
      <c r="G3658" s="82"/>
      <c r="H3658" s="96">
        <f t="shared" si="228"/>
        <v>32.159999999999997</v>
      </c>
      <c r="I3658" s="96">
        <f t="shared" si="228"/>
        <v>33.81</v>
      </c>
      <c r="J3658" s="91" t="str">
        <f t="shared" si="229"/>
        <v>Sinapi 100808</v>
      </c>
      <c r="K3658" s="91" t="str">
        <f t="shared" si="230"/>
        <v>M</v>
      </c>
      <c r="L3658" s="166" t="str">
        <f t="shared" si="231"/>
        <v>01/2020</v>
      </c>
      <c r="M3658" s="82"/>
      <c r="N3658" s="82"/>
    </row>
    <row r="3659" spans="1:14" x14ac:dyDescent="0.25">
      <c r="A3659" s="170" t="s">
        <v>13423</v>
      </c>
      <c r="B3659" s="170" t="s">
        <v>13424</v>
      </c>
      <c r="C3659" s="170" t="s">
        <v>385</v>
      </c>
      <c r="D3659" s="170" t="s">
        <v>1947</v>
      </c>
      <c r="E3659" s="171" t="s">
        <v>33519</v>
      </c>
      <c r="F3659" s="171" t="s">
        <v>33601</v>
      </c>
      <c r="G3659" s="82"/>
      <c r="H3659" s="96">
        <f t="shared" si="228"/>
        <v>41.84</v>
      </c>
      <c r="I3659" s="96">
        <f t="shared" si="228"/>
        <v>43.8</v>
      </c>
      <c r="J3659" s="91" t="str">
        <f t="shared" si="229"/>
        <v>Sinapi 100809</v>
      </c>
      <c r="K3659" s="91" t="str">
        <f t="shared" si="230"/>
        <v>M</v>
      </c>
      <c r="L3659" s="166" t="str">
        <f t="shared" si="231"/>
        <v>01/2020</v>
      </c>
      <c r="M3659" s="82"/>
      <c r="N3659" s="82"/>
    </row>
    <row r="3660" spans="1:14" x14ac:dyDescent="0.25">
      <c r="A3660" s="170" t="s">
        <v>13425</v>
      </c>
      <c r="B3660" s="170" t="s">
        <v>13426</v>
      </c>
      <c r="C3660" s="170" t="s">
        <v>385</v>
      </c>
      <c r="D3660" s="170" t="s">
        <v>1947</v>
      </c>
      <c r="E3660" s="171" t="s">
        <v>33520</v>
      </c>
      <c r="F3660" s="171" t="s">
        <v>20995</v>
      </c>
      <c r="G3660" s="82"/>
      <c r="H3660" s="96">
        <f t="shared" si="228"/>
        <v>55.52</v>
      </c>
      <c r="I3660" s="96">
        <f t="shared" si="228"/>
        <v>57.92</v>
      </c>
      <c r="J3660" s="91" t="str">
        <f t="shared" si="229"/>
        <v>Sinapi 100810</v>
      </c>
      <c r="K3660" s="91" t="str">
        <f t="shared" si="230"/>
        <v>M</v>
      </c>
      <c r="L3660" s="166" t="str">
        <f t="shared" si="231"/>
        <v>01/2020</v>
      </c>
      <c r="M3660" s="82"/>
      <c r="N3660" s="82"/>
    </row>
    <row r="3661" spans="1:14" x14ac:dyDescent="0.25">
      <c r="A3661" s="170" t="s">
        <v>11797</v>
      </c>
      <c r="B3661" s="170" t="s">
        <v>11798</v>
      </c>
      <c r="C3661" s="170" t="s">
        <v>385</v>
      </c>
      <c r="D3661" s="170" t="s">
        <v>1947</v>
      </c>
      <c r="E3661" s="171" t="s">
        <v>33521</v>
      </c>
      <c r="F3661" s="171" t="s">
        <v>36727</v>
      </c>
      <c r="G3661" s="82"/>
      <c r="H3661" s="96">
        <f t="shared" si="228"/>
        <v>199.67</v>
      </c>
      <c r="I3661" s="96">
        <f t="shared" si="228"/>
        <v>202.6</v>
      </c>
      <c r="J3661" s="91" t="str">
        <f t="shared" si="229"/>
        <v>Sinapi 101918</v>
      </c>
      <c r="K3661" s="91" t="str">
        <f t="shared" si="230"/>
        <v>M</v>
      </c>
      <c r="L3661" s="166" t="str">
        <f t="shared" si="231"/>
        <v>10/2020</v>
      </c>
      <c r="M3661" s="82"/>
      <c r="N3661" s="82"/>
    </row>
    <row r="3662" spans="1:14" x14ac:dyDescent="0.25">
      <c r="A3662" s="170" t="s">
        <v>11799</v>
      </c>
      <c r="B3662" s="170" t="s">
        <v>11800</v>
      </c>
      <c r="C3662" s="170" t="s">
        <v>205</v>
      </c>
      <c r="D3662" s="170" t="s">
        <v>2067</v>
      </c>
      <c r="E3662" s="171" t="s">
        <v>33522</v>
      </c>
      <c r="F3662" s="171" t="s">
        <v>36728</v>
      </c>
      <c r="G3662" s="82"/>
      <c r="H3662" s="96">
        <f t="shared" si="228"/>
        <v>400.13</v>
      </c>
      <c r="I3662" s="96">
        <f t="shared" si="228"/>
        <v>404.08</v>
      </c>
      <c r="J3662" s="91" t="str">
        <f t="shared" si="229"/>
        <v>Sinapi 101919</v>
      </c>
      <c r="K3662" s="91" t="str">
        <f t="shared" si="230"/>
        <v>UN</v>
      </c>
      <c r="L3662" s="166" t="str">
        <f t="shared" si="231"/>
        <v>10/2020</v>
      </c>
      <c r="M3662" s="82"/>
      <c r="N3662" s="82"/>
    </row>
    <row r="3663" spans="1:14" x14ac:dyDescent="0.25">
      <c r="A3663" s="170" t="s">
        <v>11801</v>
      </c>
      <c r="B3663" s="170" t="s">
        <v>11802</v>
      </c>
      <c r="C3663" s="170" t="s">
        <v>205</v>
      </c>
      <c r="D3663" s="170" t="s">
        <v>2067</v>
      </c>
      <c r="E3663" s="171" t="s">
        <v>31158</v>
      </c>
      <c r="F3663" s="171" t="s">
        <v>36729</v>
      </c>
      <c r="G3663" s="82"/>
      <c r="H3663" s="96">
        <f t="shared" si="228"/>
        <v>187.26</v>
      </c>
      <c r="I3663" s="96">
        <f t="shared" si="228"/>
        <v>191.21</v>
      </c>
      <c r="J3663" s="91" t="str">
        <f t="shared" si="229"/>
        <v>Sinapi 101920</v>
      </c>
      <c r="K3663" s="91" t="str">
        <f t="shared" si="230"/>
        <v>UN</v>
      </c>
      <c r="L3663" s="166" t="str">
        <f t="shared" si="231"/>
        <v>10/2020</v>
      </c>
      <c r="M3663" s="82"/>
      <c r="N3663" s="82"/>
    </row>
    <row r="3664" spans="1:14" x14ac:dyDescent="0.25">
      <c r="A3664" s="170" t="s">
        <v>11803</v>
      </c>
      <c r="B3664" s="170" t="s">
        <v>11804</v>
      </c>
      <c r="C3664" s="170" t="s">
        <v>205</v>
      </c>
      <c r="D3664" s="170" t="s">
        <v>2067</v>
      </c>
      <c r="E3664" s="171" t="s">
        <v>33523</v>
      </c>
      <c r="F3664" s="171" t="s">
        <v>22971</v>
      </c>
      <c r="G3664" s="82"/>
      <c r="H3664" s="96">
        <f t="shared" si="228"/>
        <v>214.67</v>
      </c>
      <c r="I3664" s="96">
        <f t="shared" si="228"/>
        <v>218.62</v>
      </c>
      <c r="J3664" s="91" t="str">
        <f t="shared" si="229"/>
        <v>Sinapi 101921</v>
      </c>
      <c r="K3664" s="91" t="str">
        <f t="shared" si="230"/>
        <v>UN</v>
      </c>
      <c r="L3664" s="166" t="str">
        <f t="shared" si="231"/>
        <v>10/2020</v>
      </c>
      <c r="M3664" s="82"/>
      <c r="N3664" s="82"/>
    </row>
    <row r="3665" spans="1:14" x14ac:dyDescent="0.25">
      <c r="A3665" s="170" t="s">
        <v>11805</v>
      </c>
      <c r="B3665" s="170" t="s">
        <v>11806</v>
      </c>
      <c r="C3665" s="170" t="s">
        <v>205</v>
      </c>
      <c r="D3665" s="170" t="s">
        <v>2067</v>
      </c>
      <c r="E3665" s="171" t="s">
        <v>33523</v>
      </c>
      <c r="F3665" s="171" t="s">
        <v>22971</v>
      </c>
      <c r="G3665" s="82"/>
      <c r="H3665" s="96">
        <f t="shared" si="228"/>
        <v>214.67</v>
      </c>
      <c r="I3665" s="96">
        <f t="shared" si="228"/>
        <v>218.62</v>
      </c>
      <c r="J3665" s="91" t="str">
        <f t="shared" si="229"/>
        <v>Sinapi 101922</v>
      </c>
      <c r="K3665" s="91" t="str">
        <f t="shared" si="230"/>
        <v>UN</v>
      </c>
      <c r="L3665" s="166" t="str">
        <f t="shared" si="231"/>
        <v>10/2020</v>
      </c>
      <c r="M3665" s="82"/>
      <c r="N3665" s="82"/>
    </row>
    <row r="3666" spans="1:14" x14ac:dyDescent="0.25">
      <c r="A3666" s="170" t="s">
        <v>11807</v>
      </c>
      <c r="B3666" s="170" t="s">
        <v>11808</v>
      </c>
      <c r="C3666" s="170" t="s">
        <v>205</v>
      </c>
      <c r="D3666" s="170" t="s">
        <v>2067</v>
      </c>
      <c r="E3666" s="171" t="s">
        <v>33523</v>
      </c>
      <c r="F3666" s="171" t="s">
        <v>22971</v>
      </c>
      <c r="G3666" s="82"/>
      <c r="H3666" s="96">
        <f t="shared" si="228"/>
        <v>214.67</v>
      </c>
      <c r="I3666" s="96">
        <f t="shared" si="228"/>
        <v>218.62</v>
      </c>
      <c r="J3666" s="91" t="str">
        <f t="shared" si="229"/>
        <v>Sinapi 101923</v>
      </c>
      <c r="K3666" s="91" t="str">
        <f t="shared" si="230"/>
        <v>UN</v>
      </c>
      <c r="L3666" s="166" t="str">
        <f t="shared" si="231"/>
        <v>10/2020</v>
      </c>
      <c r="M3666" s="82"/>
      <c r="N3666" s="82"/>
    </row>
    <row r="3667" spans="1:14" x14ac:dyDescent="0.25">
      <c r="A3667" s="170" t="s">
        <v>11809</v>
      </c>
      <c r="B3667" s="170" t="s">
        <v>11810</v>
      </c>
      <c r="C3667" s="170" t="s">
        <v>205</v>
      </c>
      <c r="D3667" s="170" t="s">
        <v>2067</v>
      </c>
      <c r="E3667" s="171" t="s">
        <v>28494</v>
      </c>
      <c r="F3667" s="171" t="s">
        <v>29398</v>
      </c>
      <c r="G3667" s="82"/>
      <c r="H3667" s="96">
        <f t="shared" si="228"/>
        <v>175.79</v>
      </c>
      <c r="I3667" s="96">
        <f t="shared" si="228"/>
        <v>179.74</v>
      </c>
      <c r="J3667" s="91" t="str">
        <f t="shared" si="229"/>
        <v>Sinapi 101924</v>
      </c>
      <c r="K3667" s="91" t="str">
        <f t="shared" si="230"/>
        <v>UN</v>
      </c>
      <c r="L3667" s="166" t="str">
        <f t="shared" si="231"/>
        <v>10/2020</v>
      </c>
      <c r="M3667" s="82"/>
      <c r="N3667" s="82"/>
    </row>
    <row r="3668" spans="1:14" x14ac:dyDescent="0.25">
      <c r="A3668" s="170" t="s">
        <v>11811</v>
      </c>
      <c r="B3668" s="170" t="s">
        <v>11812</v>
      </c>
      <c r="C3668" s="170" t="s">
        <v>205</v>
      </c>
      <c r="D3668" s="170" t="s">
        <v>2067</v>
      </c>
      <c r="E3668" s="171" t="s">
        <v>33524</v>
      </c>
      <c r="F3668" s="171" t="s">
        <v>29324</v>
      </c>
      <c r="G3668" s="82"/>
      <c r="H3668" s="96">
        <f t="shared" si="228"/>
        <v>295.14</v>
      </c>
      <c r="I3668" s="96">
        <f t="shared" si="228"/>
        <v>301.08</v>
      </c>
      <c r="J3668" s="91" t="str">
        <f t="shared" si="229"/>
        <v>Sinapi 101925</v>
      </c>
      <c r="K3668" s="91" t="str">
        <f t="shared" si="230"/>
        <v>UN</v>
      </c>
      <c r="L3668" s="166" t="str">
        <f t="shared" si="231"/>
        <v>10/2020</v>
      </c>
      <c r="M3668" s="82"/>
      <c r="N3668" s="82"/>
    </row>
    <row r="3669" spans="1:14" x14ac:dyDescent="0.25">
      <c r="A3669" s="170" t="s">
        <v>11813</v>
      </c>
      <c r="B3669" s="170" t="s">
        <v>11814</v>
      </c>
      <c r="C3669" s="170" t="s">
        <v>205</v>
      </c>
      <c r="D3669" s="170" t="s">
        <v>2067</v>
      </c>
      <c r="E3669" s="171" t="s">
        <v>33525</v>
      </c>
      <c r="F3669" s="171" t="s">
        <v>36730</v>
      </c>
      <c r="G3669" s="82"/>
      <c r="H3669" s="96">
        <f t="shared" si="228"/>
        <v>380.07</v>
      </c>
      <c r="I3669" s="96">
        <f t="shared" si="228"/>
        <v>387.99</v>
      </c>
      <c r="J3669" s="91" t="str">
        <f t="shared" si="229"/>
        <v>Sinapi 101926</v>
      </c>
      <c r="K3669" s="91" t="str">
        <f t="shared" si="230"/>
        <v>UN</v>
      </c>
      <c r="L3669" s="166" t="str">
        <f t="shared" si="231"/>
        <v>10/2020</v>
      </c>
      <c r="M3669" s="82"/>
      <c r="N3669" s="82"/>
    </row>
    <row r="3670" spans="1:14" x14ac:dyDescent="0.25">
      <c r="A3670" s="170" t="s">
        <v>11815</v>
      </c>
      <c r="B3670" s="170" t="s">
        <v>11816</v>
      </c>
      <c r="C3670" s="170" t="s">
        <v>385</v>
      </c>
      <c r="D3670" s="170" t="s">
        <v>1947</v>
      </c>
      <c r="E3670" s="171" t="s">
        <v>33526</v>
      </c>
      <c r="F3670" s="171" t="s">
        <v>36731</v>
      </c>
      <c r="G3670" s="82"/>
      <c r="H3670" s="96">
        <f t="shared" si="228"/>
        <v>187.22</v>
      </c>
      <c r="I3670" s="96">
        <f t="shared" si="228"/>
        <v>188.73</v>
      </c>
      <c r="J3670" s="91" t="str">
        <f t="shared" si="229"/>
        <v>Sinapi 101927</v>
      </c>
      <c r="K3670" s="91" t="str">
        <f t="shared" si="230"/>
        <v>M</v>
      </c>
      <c r="L3670" s="166" t="str">
        <f t="shared" si="231"/>
        <v>10/2020</v>
      </c>
      <c r="M3670" s="82"/>
      <c r="N3670" s="82"/>
    </row>
    <row r="3671" spans="1:14" x14ac:dyDescent="0.25">
      <c r="A3671" s="170" t="s">
        <v>11817</v>
      </c>
      <c r="B3671" s="170" t="s">
        <v>11818</v>
      </c>
      <c r="C3671" s="170" t="s">
        <v>205</v>
      </c>
      <c r="D3671" s="170" t="s">
        <v>2067</v>
      </c>
      <c r="E3671" s="171" t="s">
        <v>33527</v>
      </c>
      <c r="F3671" s="171" t="s">
        <v>36732</v>
      </c>
      <c r="G3671" s="82"/>
      <c r="H3671" s="96">
        <f t="shared" si="228"/>
        <v>404.89</v>
      </c>
      <c r="I3671" s="96">
        <f t="shared" si="228"/>
        <v>409.39</v>
      </c>
      <c r="J3671" s="91" t="str">
        <f t="shared" si="229"/>
        <v>Sinapi 101928</v>
      </c>
      <c r="K3671" s="91" t="str">
        <f t="shared" si="230"/>
        <v>UN</v>
      </c>
      <c r="L3671" s="166" t="str">
        <f t="shared" si="231"/>
        <v>10/2020</v>
      </c>
      <c r="M3671" s="82"/>
      <c r="N3671" s="82"/>
    </row>
    <row r="3672" spans="1:14" x14ac:dyDescent="0.25">
      <c r="A3672" s="170" t="s">
        <v>11819</v>
      </c>
      <c r="B3672" s="170" t="s">
        <v>11820</v>
      </c>
      <c r="C3672" s="170" t="s">
        <v>205</v>
      </c>
      <c r="D3672" s="170" t="s">
        <v>2067</v>
      </c>
      <c r="E3672" s="171" t="s">
        <v>33528</v>
      </c>
      <c r="F3672" s="171" t="s">
        <v>36733</v>
      </c>
      <c r="G3672" s="82"/>
      <c r="H3672" s="96">
        <f t="shared" si="228"/>
        <v>192.02</v>
      </c>
      <c r="I3672" s="96">
        <f t="shared" si="228"/>
        <v>196.52</v>
      </c>
      <c r="J3672" s="91" t="str">
        <f t="shared" si="229"/>
        <v>Sinapi 101929</v>
      </c>
      <c r="K3672" s="91" t="str">
        <f t="shared" si="230"/>
        <v>UN</v>
      </c>
      <c r="L3672" s="166" t="str">
        <f t="shared" si="231"/>
        <v>10/2020</v>
      </c>
      <c r="M3672" s="82"/>
      <c r="N3672" s="82"/>
    </row>
    <row r="3673" spans="1:14" x14ac:dyDescent="0.25">
      <c r="A3673" s="170" t="s">
        <v>11821</v>
      </c>
      <c r="B3673" s="170" t="s">
        <v>11822</v>
      </c>
      <c r="C3673" s="170" t="s">
        <v>205</v>
      </c>
      <c r="D3673" s="170" t="s">
        <v>2067</v>
      </c>
      <c r="E3673" s="171" t="s">
        <v>33529</v>
      </c>
      <c r="F3673" s="171" t="s">
        <v>36734</v>
      </c>
      <c r="G3673" s="82"/>
      <c r="H3673" s="96">
        <f t="shared" si="228"/>
        <v>219.43</v>
      </c>
      <c r="I3673" s="96">
        <f t="shared" si="228"/>
        <v>223.93</v>
      </c>
      <c r="J3673" s="91" t="str">
        <f t="shared" si="229"/>
        <v>Sinapi 101930</v>
      </c>
      <c r="K3673" s="91" t="str">
        <f t="shared" si="230"/>
        <v>UN</v>
      </c>
      <c r="L3673" s="166" t="str">
        <f t="shared" si="231"/>
        <v>10/2020</v>
      </c>
      <c r="M3673" s="82"/>
      <c r="N3673" s="82"/>
    </row>
    <row r="3674" spans="1:14" x14ac:dyDescent="0.25">
      <c r="A3674" s="170" t="s">
        <v>11823</v>
      </c>
      <c r="B3674" s="170" t="s">
        <v>11824</v>
      </c>
      <c r="C3674" s="170" t="s">
        <v>205</v>
      </c>
      <c r="D3674" s="170" t="s">
        <v>2067</v>
      </c>
      <c r="E3674" s="171" t="s">
        <v>33529</v>
      </c>
      <c r="F3674" s="171" t="s">
        <v>36734</v>
      </c>
      <c r="G3674" s="82"/>
      <c r="H3674" s="96">
        <f t="shared" si="228"/>
        <v>219.43</v>
      </c>
      <c r="I3674" s="96">
        <f t="shared" si="228"/>
        <v>223.93</v>
      </c>
      <c r="J3674" s="91" t="str">
        <f t="shared" si="229"/>
        <v>Sinapi 101931</v>
      </c>
      <c r="K3674" s="91" t="str">
        <f t="shared" si="230"/>
        <v>UN</v>
      </c>
      <c r="L3674" s="166" t="str">
        <f t="shared" si="231"/>
        <v>10/2020</v>
      </c>
      <c r="M3674" s="82"/>
      <c r="N3674" s="82"/>
    </row>
    <row r="3675" spans="1:14" x14ac:dyDescent="0.25">
      <c r="A3675" s="170" t="s">
        <v>11825</v>
      </c>
      <c r="B3675" s="170" t="s">
        <v>11826</v>
      </c>
      <c r="C3675" s="170" t="s">
        <v>205</v>
      </c>
      <c r="D3675" s="170" t="s">
        <v>2067</v>
      </c>
      <c r="E3675" s="171" t="s">
        <v>33529</v>
      </c>
      <c r="F3675" s="171" t="s">
        <v>36734</v>
      </c>
      <c r="G3675" s="82"/>
      <c r="H3675" s="96">
        <f t="shared" si="228"/>
        <v>219.43</v>
      </c>
      <c r="I3675" s="96">
        <f t="shared" si="228"/>
        <v>223.93</v>
      </c>
      <c r="J3675" s="91" t="str">
        <f t="shared" si="229"/>
        <v>Sinapi 101932</v>
      </c>
      <c r="K3675" s="91" t="str">
        <f t="shared" si="230"/>
        <v>UN</v>
      </c>
      <c r="L3675" s="166" t="str">
        <f t="shared" si="231"/>
        <v>10/2020</v>
      </c>
      <c r="M3675" s="82"/>
      <c r="N3675" s="82"/>
    </row>
    <row r="3676" spans="1:14" x14ac:dyDescent="0.25">
      <c r="A3676" s="170" t="s">
        <v>11827</v>
      </c>
      <c r="B3676" s="170" t="s">
        <v>11828</v>
      </c>
      <c r="C3676" s="170" t="s">
        <v>205</v>
      </c>
      <c r="D3676" s="170" t="s">
        <v>2067</v>
      </c>
      <c r="E3676" s="171" t="s">
        <v>27749</v>
      </c>
      <c r="F3676" s="171" t="s">
        <v>29092</v>
      </c>
      <c r="G3676" s="82"/>
      <c r="H3676" s="96">
        <f t="shared" si="228"/>
        <v>180.55</v>
      </c>
      <c r="I3676" s="96">
        <f t="shared" si="228"/>
        <v>185.05</v>
      </c>
      <c r="J3676" s="91" t="str">
        <f t="shared" si="229"/>
        <v>Sinapi 101933</v>
      </c>
      <c r="K3676" s="91" t="str">
        <f t="shared" si="230"/>
        <v>UN</v>
      </c>
      <c r="L3676" s="166" t="str">
        <f t="shared" si="231"/>
        <v>10/2020</v>
      </c>
      <c r="M3676" s="82"/>
      <c r="N3676" s="82"/>
    </row>
    <row r="3677" spans="1:14" x14ac:dyDescent="0.25">
      <c r="A3677" s="170" t="s">
        <v>11829</v>
      </c>
      <c r="B3677" s="170" t="s">
        <v>11830</v>
      </c>
      <c r="C3677" s="170" t="s">
        <v>205</v>
      </c>
      <c r="D3677" s="170" t="s">
        <v>2067</v>
      </c>
      <c r="E3677" s="171" t="s">
        <v>33530</v>
      </c>
      <c r="F3677" s="171" t="s">
        <v>36735</v>
      </c>
      <c r="G3677" s="82"/>
      <c r="H3677" s="96">
        <f t="shared" si="228"/>
        <v>302.29000000000002</v>
      </c>
      <c r="I3677" s="96">
        <f t="shared" si="228"/>
        <v>309.05</v>
      </c>
      <c r="J3677" s="91" t="str">
        <f t="shared" si="229"/>
        <v>Sinapi 101934</v>
      </c>
      <c r="K3677" s="91" t="str">
        <f t="shared" si="230"/>
        <v>UN</v>
      </c>
      <c r="L3677" s="166" t="str">
        <f t="shared" si="231"/>
        <v>10/2020</v>
      </c>
      <c r="M3677" s="82"/>
      <c r="N3677" s="82"/>
    </row>
    <row r="3678" spans="1:14" x14ac:dyDescent="0.25">
      <c r="A3678" s="170" t="s">
        <v>11831</v>
      </c>
      <c r="B3678" s="170" t="s">
        <v>11832</v>
      </c>
      <c r="C3678" s="170" t="s">
        <v>205</v>
      </c>
      <c r="D3678" s="170" t="s">
        <v>2067</v>
      </c>
      <c r="E3678" s="171" t="s">
        <v>33531</v>
      </c>
      <c r="F3678" s="171" t="s">
        <v>36736</v>
      </c>
      <c r="G3678" s="82"/>
      <c r="H3678" s="96">
        <f t="shared" si="228"/>
        <v>389.6</v>
      </c>
      <c r="I3678" s="96">
        <f t="shared" si="228"/>
        <v>398.62</v>
      </c>
      <c r="J3678" s="91" t="str">
        <f t="shared" si="229"/>
        <v>Sinapi 101935</v>
      </c>
      <c r="K3678" s="91" t="str">
        <f t="shared" si="230"/>
        <v>UN</v>
      </c>
      <c r="L3678" s="166" t="str">
        <f t="shared" si="231"/>
        <v>10/2020</v>
      </c>
      <c r="M3678" s="82"/>
      <c r="N3678" s="82"/>
    </row>
    <row r="3679" spans="1:14" x14ac:dyDescent="0.25">
      <c r="A3679" s="170" t="s">
        <v>15831</v>
      </c>
      <c r="B3679" s="170" t="s">
        <v>15832</v>
      </c>
      <c r="C3679" s="170" t="s">
        <v>385</v>
      </c>
      <c r="D3679" s="170" t="s">
        <v>1947</v>
      </c>
      <c r="E3679" s="171" t="s">
        <v>31593</v>
      </c>
      <c r="F3679" s="171" t="s">
        <v>34217</v>
      </c>
      <c r="G3679" s="82"/>
      <c r="H3679" s="96">
        <f t="shared" si="228"/>
        <v>36.35</v>
      </c>
      <c r="I3679" s="96">
        <f t="shared" si="228"/>
        <v>37.200000000000003</v>
      </c>
      <c r="J3679" s="91" t="str">
        <f t="shared" si="229"/>
        <v>Sinapi 103802</v>
      </c>
      <c r="K3679" s="91" t="str">
        <f t="shared" si="230"/>
        <v>M</v>
      </c>
      <c r="L3679" s="166" t="str">
        <f t="shared" si="231"/>
        <v>04/2022</v>
      </c>
      <c r="M3679" s="82"/>
      <c r="N3679" s="82"/>
    </row>
    <row r="3680" spans="1:14" x14ac:dyDescent="0.25">
      <c r="A3680" s="170" t="s">
        <v>15833</v>
      </c>
      <c r="B3680" s="170" t="s">
        <v>15834</v>
      </c>
      <c r="C3680" s="170" t="s">
        <v>385</v>
      </c>
      <c r="D3680" s="170" t="s">
        <v>1947</v>
      </c>
      <c r="E3680" s="171" t="s">
        <v>32512</v>
      </c>
      <c r="F3680" s="171" t="s">
        <v>36737</v>
      </c>
      <c r="G3680" s="82"/>
      <c r="H3680" s="96">
        <f t="shared" si="228"/>
        <v>62.49</v>
      </c>
      <c r="I3680" s="96">
        <f t="shared" si="228"/>
        <v>63.95</v>
      </c>
      <c r="J3680" s="91" t="str">
        <f t="shared" si="229"/>
        <v>Sinapi 103803</v>
      </c>
      <c r="K3680" s="91" t="str">
        <f t="shared" si="230"/>
        <v>M</v>
      </c>
      <c r="L3680" s="166" t="str">
        <f t="shared" si="231"/>
        <v>04/2022</v>
      </c>
      <c r="M3680" s="82"/>
      <c r="N3680" s="82"/>
    </row>
    <row r="3681" spans="1:14" x14ac:dyDescent="0.25">
      <c r="A3681" s="170" t="s">
        <v>15835</v>
      </c>
      <c r="B3681" s="170" t="s">
        <v>15836</v>
      </c>
      <c r="C3681" s="170" t="s">
        <v>385</v>
      </c>
      <c r="D3681" s="170" t="s">
        <v>1947</v>
      </c>
      <c r="E3681" s="171" t="s">
        <v>33532</v>
      </c>
      <c r="F3681" s="171" t="s">
        <v>29288</v>
      </c>
      <c r="G3681" s="82"/>
      <c r="H3681" s="96">
        <f t="shared" si="228"/>
        <v>75.89</v>
      </c>
      <c r="I3681" s="96">
        <f t="shared" si="228"/>
        <v>77.349999999999994</v>
      </c>
      <c r="J3681" s="91" t="str">
        <f t="shared" si="229"/>
        <v>Sinapi 103804</v>
      </c>
      <c r="K3681" s="91" t="str">
        <f t="shared" si="230"/>
        <v>M</v>
      </c>
      <c r="L3681" s="166" t="str">
        <f t="shared" si="231"/>
        <v>04/2022</v>
      </c>
      <c r="M3681" s="82"/>
      <c r="N3681" s="82"/>
    </row>
    <row r="3682" spans="1:14" x14ac:dyDescent="0.25">
      <c r="A3682" s="170" t="s">
        <v>15837</v>
      </c>
      <c r="B3682" s="170" t="s">
        <v>15838</v>
      </c>
      <c r="C3682" s="170" t="s">
        <v>385</v>
      </c>
      <c r="D3682" s="170" t="s">
        <v>1947</v>
      </c>
      <c r="E3682" s="171" t="s">
        <v>28405</v>
      </c>
      <c r="F3682" s="171" t="s">
        <v>36738</v>
      </c>
      <c r="G3682" s="82"/>
      <c r="H3682" s="96">
        <f t="shared" si="228"/>
        <v>56.77</v>
      </c>
      <c r="I3682" s="96">
        <f t="shared" si="228"/>
        <v>58.14</v>
      </c>
      <c r="J3682" s="91" t="str">
        <f t="shared" si="229"/>
        <v>Sinapi 103835</v>
      </c>
      <c r="K3682" s="91" t="str">
        <f t="shared" si="230"/>
        <v>M</v>
      </c>
      <c r="L3682" s="166" t="str">
        <f t="shared" si="231"/>
        <v>04/2022</v>
      </c>
      <c r="M3682" s="82"/>
      <c r="N3682" s="82"/>
    </row>
    <row r="3683" spans="1:14" x14ac:dyDescent="0.25">
      <c r="A3683" s="170" t="s">
        <v>15839</v>
      </c>
      <c r="B3683" s="170" t="s">
        <v>15840</v>
      </c>
      <c r="C3683" s="170" t="s">
        <v>385</v>
      </c>
      <c r="D3683" s="170" t="s">
        <v>1947</v>
      </c>
      <c r="E3683" s="171" t="s">
        <v>29393</v>
      </c>
      <c r="F3683" s="171" t="s">
        <v>22842</v>
      </c>
      <c r="G3683" s="82"/>
      <c r="H3683" s="96">
        <f t="shared" si="228"/>
        <v>88.45</v>
      </c>
      <c r="I3683" s="96">
        <f t="shared" si="228"/>
        <v>90.28</v>
      </c>
      <c r="J3683" s="91" t="str">
        <f t="shared" si="229"/>
        <v>Sinapi 103836</v>
      </c>
      <c r="K3683" s="91" t="str">
        <f t="shared" si="230"/>
        <v>M</v>
      </c>
      <c r="L3683" s="166" t="str">
        <f t="shared" si="231"/>
        <v>04/2022</v>
      </c>
      <c r="M3683" s="82"/>
      <c r="N3683" s="82"/>
    </row>
    <row r="3684" spans="1:14" x14ac:dyDescent="0.25">
      <c r="A3684" s="170" t="s">
        <v>15841</v>
      </c>
      <c r="B3684" s="170" t="s">
        <v>15842</v>
      </c>
      <c r="C3684" s="170" t="s">
        <v>385</v>
      </c>
      <c r="D3684" s="170" t="s">
        <v>1947</v>
      </c>
      <c r="E3684" s="171" t="s">
        <v>33533</v>
      </c>
      <c r="F3684" s="171" t="s">
        <v>28833</v>
      </c>
      <c r="G3684" s="82"/>
      <c r="H3684" s="96">
        <f t="shared" si="228"/>
        <v>111.59</v>
      </c>
      <c r="I3684" s="96">
        <f t="shared" si="228"/>
        <v>113.81</v>
      </c>
      <c r="J3684" s="91" t="str">
        <f t="shared" si="229"/>
        <v>Sinapi 103837</v>
      </c>
      <c r="K3684" s="91" t="str">
        <f t="shared" si="230"/>
        <v>M</v>
      </c>
      <c r="L3684" s="166" t="str">
        <f t="shared" si="231"/>
        <v>04/2022</v>
      </c>
      <c r="M3684" s="82"/>
      <c r="N3684" s="82"/>
    </row>
    <row r="3685" spans="1:14" x14ac:dyDescent="0.25">
      <c r="A3685" s="170" t="s">
        <v>15843</v>
      </c>
      <c r="B3685" s="170" t="s">
        <v>15844</v>
      </c>
      <c r="C3685" s="170" t="s">
        <v>385</v>
      </c>
      <c r="D3685" s="170" t="s">
        <v>1947</v>
      </c>
      <c r="E3685" s="171" t="s">
        <v>29277</v>
      </c>
      <c r="F3685" s="171" t="s">
        <v>36739</v>
      </c>
      <c r="G3685" s="82"/>
      <c r="H3685" s="96">
        <f t="shared" si="228"/>
        <v>44.57</v>
      </c>
      <c r="I3685" s="96">
        <f t="shared" si="228"/>
        <v>46.37</v>
      </c>
      <c r="J3685" s="91" t="str">
        <f t="shared" si="229"/>
        <v>Sinapi 103868</v>
      </c>
      <c r="K3685" s="91" t="str">
        <f t="shared" si="230"/>
        <v>M</v>
      </c>
      <c r="L3685" s="166" t="str">
        <f t="shared" si="231"/>
        <v>04/2022</v>
      </c>
      <c r="M3685" s="82"/>
      <c r="N3685" s="82"/>
    </row>
    <row r="3686" spans="1:14" x14ac:dyDescent="0.25">
      <c r="A3686" s="170" t="s">
        <v>15845</v>
      </c>
      <c r="B3686" s="170" t="s">
        <v>15846</v>
      </c>
      <c r="C3686" s="170" t="s">
        <v>385</v>
      </c>
      <c r="D3686" s="170" t="s">
        <v>1947</v>
      </c>
      <c r="E3686" s="171" t="s">
        <v>23346</v>
      </c>
      <c r="F3686" s="171" t="s">
        <v>33451</v>
      </c>
      <c r="G3686" s="82"/>
      <c r="H3686" s="96">
        <f t="shared" si="228"/>
        <v>68.260000000000005</v>
      </c>
      <c r="I3686" s="96">
        <f t="shared" si="228"/>
        <v>70.37</v>
      </c>
      <c r="J3686" s="91" t="str">
        <f t="shared" si="229"/>
        <v>Sinapi 103869</v>
      </c>
      <c r="K3686" s="91" t="str">
        <f t="shared" si="230"/>
        <v>M</v>
      </c>
      <c r="L3686" s="166" t="str">
        <f t="shared" si="231"/>
        <v>04/2022</v>
      </c>
      <c r="M3686" s="82"/>
      <c r="N3686" s="82"/>
    </row>
    <row r="3687" spans="1:14" x14ac:dyDescent="0.25">
      <c r="A3687" s="170" t="s">
        <v>15847</v>
      </c>
      <c r="B3687" s="170" t="s">
        <v>15848</v>
      </c>
      <c r="C3687" s="170" t="s">
        <v>385</v>
      </c>
      <c r="D3687" s="170" t="s">
        <v>1947</v>
      </c>
      <c r="E3687" s="171" t="s">
        <v>33534</v>
      </c>
      <c r="F3687" s="171" t="s">
        <v>36740</v>
      </c>
      <c r="G3687" s="82"/>
      <c r="H3687" s="96">
        <f t="shared" si="228"/>
        <v>84.08</v>
      </c>
      <c r="I3687" s="96">
        <f t="shared" si="228"/>
        <v>86.48</v>
      </c>
      <c r="J3687" s="91" t="str">
        <f t="shared" si="229"/>
        <v>Sinapi 103870</v>
      </c>
      <c r="K3687" s="91" t="str">
        <f t="shared" si="230"/>
        <v>M</v>
      </c>
      <c r="L3687" s="166" t="str">
        <f t="shared" si="231"/>
        <v>04/2022</v>
      </c>
      <c r="M3687" s="82"/>
      <c r="N3687" s="82"/>
    </row>
    <row r="3688" spans="1:14" x14ac:dyDescent="0.25">
      <c r="A3688" s="170" t="s">
        <v>15849</v>
      </c>
      <c r="B3688" s="170" t="s">
        <v>15850</v>
      </c>
      <c r="C3688" s="170" t="s">
        <v>385</v>
      </c>
      <c r="D3688" s="170" t="s">
        <v>1947</v>
      </c>
      <c r="E3688" s="171" t="s">
        <v>33535</v>
      </c>
      <c r="F3688" s="171" t="s">
        <v>29428</v>
      </c>
      <c r="G3688" s="82"/>
      <c r="H3688" s="96">
        <f t="shared" si="228"/>
        <v>60.86</v>
      </c>
      <c r="I3688" s="96">
        <f t="shared" si="228"/>
        <v>62.74</v>
      </c>
      <c r="J3688" s="91" t="str">
        <f t="shared" si="229"/>
        <v>Sinapi 103871</v>
      </c>
      <c r="K3688" s="91" t="str">
        <f t="shared" si="230"/>
        <v>M</v>
      </c>
      <c r="L3688" s="166" t="str">
        <f t="shared" si="231"/>
        <v>04/2022</v>
      </c>
      <c r="M3688" s="82"/>
      <c r="N3688" s="82"/>
    </row>
    <row r="3689" spans="1:14" x14ac:dyDescent="0.25">
      <c r="A3689" s="170" t="s">
        <v>15851</v>
      </c>
      <c r="B3689" s="170" t="s">
        <v>15852</v>
      </c>
      <c r="C3689" s="170" t="s">
        <v>385</v>
      </c>
      <c r="D3689" s="170" t="s">
        <v>1947</v>
      </c>
      <c r="E3689" s="171" t="s">
        <v>33536</v>
      </c>
      <c r="F3689" s="171" t="s">
        <v>36741</v>
      </c>
      <c r="G3689" s="82"/>
      <c r="H3689" s="96">
        <f t="shared" si="228"/>
        <v>145.62</v>
      </c>
      <c r="I3689" s="96">
        <f t="shared" si="228"/>
        <v>147.83000000000001</v>
      </c>
      <c r="J3689" s="91" t="str">
        <f t="shared" si="229"/>
        <v>Sinapi 103872</v>
      </c>
      <c r="K3689" s="91" t="str">
        <f t="shared" si="230"/>
        <v>M</v>
      </c>
      <c r="L3689" s="166" t="str">
        <f t="shared" si="231"/>
        <v>04/2022</v>
      </c>
      <c r="M3689" s="82"/>
      <c r="N3689" s="82"/>
    </row>
    <row r="3690" spans="1:14" x14ac:dyDescent="0.25">
      <c r="A3690" s="170" t="s">
        <v>15853</v>
      </c>
      <c r="B3690" s="170" t="s">
        <v>15854</v>
      </c>
      <c r="C3690" s="170" t="s">
        <v>385</v>
      </c>
      <c r="D3690" s="170" t="s">
        <v>1947</v>
      </c>
      <c r="E3690" s="171" t="s">
        <v>24841</v>
      </c>
      <c r="F3690" s="171" t="s">
        <v>36742</v>
      </c>
      <c r="G3690" s="82"/>
      <c r="H3690" s="96">
        <f t="shared" si="228"/>
        <v>164.62</v>
      </c>
      <c r="I3690" s="96">
        <f t="shared" si="228"/>
        <v>167.11</v>
      </c>
      <c r="J3690" s="91" t="str">
        <f t="shared" si="229"/>
        <v>Sinapi 103873</v>
      </c>
      <c r="K3690" s="91" t="str">
        <f t="shared" si="230"/>
        <v>M</v>
      </c>
      <c r="L3690" s="166" t="str">
        <f t="shared" si="231"/>
        <v>04/2022</v>
      </c>
      <c r="M3690" s="82"/>
      <c r="N3690" s="82"/>
    </row>
    <row r="3691" spans="1:14" x14ac:dyDescent="0.25">
      <c r="A3691" s="170" t="s">
        <v>16529</v>
      </c>
      <c r="B3691" s="170" t="s">
        <v>16530</v>
      </c>
      <c r="C3691" s="170" t="s">
        <v>385</v>
      </c>
      <c r="D3691" s="170" t="s">
        <v>2067</v>
      </c>
      <c r="E3691" s="171" t="s">
        <v>20041</v>
      </c>
      <c r="F3691" s="171" t="s">
        <v>32022</v>
      </c>
      <c r="G3691" s="82"/>
      <c r="H3691" s="96">
        <f t="shared" si="228"/>
        <v>26.61</v>
      </c>
      <c r="I3691" s="96">
        <f t="shared" si="228"/>
        <v>27.68</v>
      </c>
      <c r="J3691" s="91" t="str">
        <f t="shared" si="229"/>
        <v>Sinapi 103978</v>
      </c>
      <c r="K3691" s="91" t="str">
        <f t="shared" si="230"/>
        <v>M</v>
      </c>
      <c r="L3691" s="166" t="str">
        <f t="shared" si="231"/>
        <v>06/2022</v>
      </c>
      <c r="M3691" s="82"/>
      <c r="N3691" s="82"/>
    </row>
    <row r="3692" spans="1:14" x14ac:dyDescent="0.25">
      <c r="A3692" s="170" t="s">
        <v>16531</v>
      </c>
      <c r="B3692" s="170" t="s">
        <v>16532</v>
      </c>
      <c r="C3692" s="170" t="s">
        <v>385</v>
      </c>
      <c r="D3692" s="170" t="s">
        <v>2067</v>
      </c>
      <c r="E3692" s="171" t="s">
        <v>33537</v>
      </c>
      <c r="F3692" s="171" t="s">
        <v>26786</v>
      </c>
      <c r="G3692" s="82"/>
      <c r="H3692" s="96">
        <f t="shared" si="228"/>
        <v>30.11</v>
      </c>
      <c r="I3692" s="96">
        <f t="shared" si="228"/>
        <v>31.36</v>
      </c>
      <c r="J3692" s="91" t="str">
        <f t="shared" si="229"/>
        <v>Sinapi 103979</v>
      </c>
      <c r="K3692" s="91" t="str">
        <f t="shared" si="230"/>
        <v>M</v>
      </c>
      <c r="L3692" s="166" t="str">
        <f t="shared" si="231"/>
        <v>06/2022</v>
      </c>
      <c r="M3692" s="82"/>
      <c r="N3692" s="82"/>
    </row>
    <row r="3693" spans="1:14" x14ac:dyDescent="0.25">
      <c r="A3693" s="170" t="s">
        <v>16533</v>
      </c>
      <c r="B3693" s="170" t="s">
        <v>17309</v>
      </c>
      <c r="C3693" s="170" t="s">
        <v>385</v>
      </c>
      <c r="D3693" s="170" t="s">
        <v>2067</v>
      </c>
      <c r="E3693" s="171" t="s">
        <v>33538</v>
      </c>
      <c r="F3693" s="171" t="s">
        <v>36743</v>
      </c>
      <c r="G3693" s="82"/>
      <c r="H3693" s="96">
        <f t="shared" si="228"/>
        <v>80.08</v>
      </c>
      <c r="I3693" s="96">
        <f t="shared" si="228"/>
        <v>81.180000000000007</v>
      </c>
      <c r="J3693" s="91" t="str">
        <f t="shared" si="229"/>
        <v>Sinapi 104021</v>
      </c>
      <c r="K3693" s="91" t="str">
        <f t="shared" si="230"/>
        <v>M</v>
      </c>
      <c r="L3693" s="166" t="str">
        <f t="shared" si="231"/>
        <v>06/2022</v>
      </c>
      <c r="M3693" s="82"/>
      <c r="N3693" s="82"/>
    </row>
    <row r="3694" spans="1:14" x14ac:dyDescent="0.25">
      <c r="A3694" s="170" t="s">
        <v>16534</v>
      </c>
      <c r="B3694" s="170" t="s">
        <v>16535</v>
      </c>
      <c r="C3694" s="170" t="s">
        <v>385</v>
      </c>
      <c r="D3694" s="170" t="s">
        <v>2067</v>
      </c>
      <c r="E3694" s="171" t="s">
        <v>33539</v>
      </c>
      <c r="F3694" s="171" t="s">
        <v>28534</v>
      </c>
      <c r="G3694" s="82"/>
      <c r="H3694" s="96">
        <f t="shared" si="228"/>
        <v>72.209999999999994</v>
      </c>
      <c r="I3694" s="96">
        <f t="shared" si="228"/>
        <v>73.400000000000006</v>
      </c>
      <c r="J3694" s="91" t="str">
        <f t="shared" si="229"/>
        <v>Sinapi 104166</v>
      </c>
      <c r="K3694" s="91" t="str">
        <f t="shared" si="230"/>
        <v>M</v>
      </c>
      <c r="L3694" s="166" t="str">
        <f t="shared" si="231"/>
        <v>06/2022</v>
      </c>
      <c r="M3694" s="82"/>
      <c r="N3694" s="82"/>
    </row>
    <row r="3695" spans="1:14" x14ac:dyDescent="0.25">
      <c r="A3695" s="170" t="s">
        <v>17482</v>
      </c>
      <c r="B3695" s="170" t="s">
        <v>17483</v>
      </c>
      <c r="C3695" s="170" t="s">
        <v>385</v>
      </c>
      <c r="D3695" s="170" t="s">
        <v>1947</v>
      </c>
      <c r="E3695" s="171" t="s">
        <v>16374</v>
      </c>
      <c r="F3695" s="171" t="s">
        <v>19916</v>
      </c>
      <c r="G3695" s="82"/>
      <c r="H3695" s="96">
        <f t="shared" si="228"/>
        <v>18.95</v>
      </c>
      <c r="I3695" s="96">
        <f t="shared" si="228"/>
        <v>20.02</v>
      </c>
      <c r="J3695" s="91" t="str">
        <f t="shared" si="229"/>
        <v>Sinapi 104194</v>
      </c>
      <c r="K3695" s="91" t="str">
        <f t="shared" si="230"/>
        <v>M</v>
      </c>
      <c r="L3695" s="166" t="str">
        <f t="shared" si="231"/>
        <v>08/2022</v>
      </c>
      <c r="M3695" s="82"/>
      <c r="N3695" s="82"/>
    </row>
    <row r="3696" spans="1:14" x14ac:dyDescent="0.25">
      <c r="A3696" s="170" t="s">
        <v>17484</v>
      </c>
      <c r="B3696" s="170" t="s">
        <v>17485</v>
      </c>
      <c r="C3696" s="170" t="s">
        <v>385</v>
      </c>
      <c r="D3696" s="170" t="s">
        <v>1947</v>
      </c>
      <c r="E3696" s="171" t="s">
        <v>31671</v>
      </c>
      <c r="F3696" s="171" t="s">
        <v>23130</v>
      </c>
      <c r="G3696" s="82"/>
      <c r="H3696" s="96">
        <f t="shared" si="228"/>
        <v>20.16</v>
      </c>
      <c r="I3696" s="96">
        <f t="shared" si="228"/>
        <v>21.27</v>
      </c>
      <c r="J3696" s="91" t="str">
        <f t="shared" si="229"/>
        <v>Sinapi 104195</v>
      </c>
      <c r="K3696" s="91" t="str">
        <f t="shared" si="230"/>
        <v>M</v>
      </c>
      <c r="L3696" s="166" t="str">
        <f t="shared" si="231"/>
        <v>08/2022</v>
      </c>
      <c r="M3696" s="82"/>
      <c r="N3696" s="82"/>
    </row>
    <row r="3697" spans="1:14" x14ac:dyDescent="0.25">
      <c r="A3697" s="170" t="s">
        <v>17486</v>
      </c>
      <c r="B3697" s="170" t="s">
        <v>17487</v>
      </c>
      <c r="C3697" s="170" t="s">
        <v>385</v>
      </c>
      <c r="D3697" s="170" t="s">
        <v>2067</v>
      </c>
      <c r="E3697" s="171" t="s">
        <v>16150</v>
      </c>
      <c r="F3697" s="171" t="s">
        <v>29573</v>
      </c>
      <c r="G3697" s="82"/>
      <c r="H3697" s="96">
        <f t="shared" si="228"/>
        <v>14.55</v>
      </c>
      <c r="I3697" s="96">
        <f t="shared" si="228"/>
        <v>15.69</v>
      </c>
      <c r="J3697" s="91" t="str">
        <f t="shared" si="229"/>
        <v>Sinapi 104315</v>
      </c>
      <c r="K3697" s="91" t="str">
        <f t="shared" si="230"/>
        <v>M</v>
      </c>
      <c r="L3697" s="166" t="str">
        <f t="shared" si="231"/>
        <v>08/2022</v>
      </c>
      <c r="M3697" s="82"/>
      <c r="N3697" s="82"/>
    </row>
    <row r="3698" spans="1:14" x14ac:dyDescent="0.25">
      <c r="A3698" s="170" t="s">
        <v>17488</v>
      </c>
      <c r="B3698" s="170" t="s">
        <v>17489</v>
      </c>
      <c r="C3698" s="170" t="s">
        <v>385</v>
      </c>
      <c r="D3698" s="170" t="s">
        <v>2067</v>
      </c>
      <c r="E3698" s="171" t="s">
        <v>16206</v>
      </c>
      <c r="F3698" s="171" t="s">
        <v>19386</v>
      </c>
      <c r="G3698" s="82"/>
      <c r="H3698" s="96">
        <f t="shared" si="228"/>
        <v>22.35</v>
      </c>
      <c r="I3698" s="96">
        <f t="shared" si="228"/>
        <v>23.63</v>
      </c>
      <c r="J3698" s="91" t="str">
        <f t="shared" si="229"/>
        <v>Sinapi 104316</v>
      </c>
      <c r="K3698" s="91" t="str">
        <f t="shared" si="230"/>
        <v>M</v>
      </c>
      <c r="L3698" s="166" t="str">
        <f t="shared" si="231"/>
        <v>08/2022</v>
      </c>
      <c r="M3698" s="82"/>
      <c r="N3698" s="82"/>
    </row>
    <row r="3699" spans="1:14" x14ac:dyDescent="0.25">
      <c r="A3699" s="170" t="s">
        <v>6446</v>
      </c>
      <c r="B3699" s="170" t="s">
        <v>16536</v>
      </c>
      <c r="C3699" s="170" t="s">
        <v>205</v>
      </c>
      <c r="D3699" s="170" t="s">
        <v>2067</v>
      </c>
      <c r="E3699" s="171" t="s">
        <v>14626</v>
      </c>
      <c r="F3699" s="171" t="s">
        <v>29201</v>
      </c>
      <c r="G3699" s="82"/>
      <c r="H3699" s="96">
        <f t="shared" si="228"/>
        <v>7.03</v>
      </c>
      <c r="I3699" s="96">
        <f t="shared" si="228"/>
        <v>7.65</v>
      </c>
      <c r="J3699" s="91" t="str">
        <f t="shared" si="229"/>
        <v>Sinapi 89358</v>
      </c>
      <c r="K3699" s="91" t="str">
        <f t="shared" si="230"/>
        <v>UN</v>
      </c>
      <c r="L3699" s="166" t="str">
        <f t="shared" si="231"/>
        <v>06/2022</v>
      </c>
      <c r="M3699" s="82"/>
      <c r="N3699" s="82"/>
    </row>
    <row r="3700" spans="1:14" x14ac:dyDescent="0.25">
      <c r="A3700" s="170" t="s">
        <v>6448</v>
      </c>
      <c r="B3700" s="170" t="s">
        <v>16537</v>
      </c>
      <c r="C3700" s="170" t="s">
        <v>205</v>
      </c>
      <c r="D3700" s="170" t="s">
        <v>2067</v>
      </c>
      <c r="E3700" s="171" t="s">
        <v>16208</v>
      </c>
      <c r="F3700" s="171" t="s">
        <v>15132</v>
      </c>
      <c r="G3700" s="82"/>
      <c r="H3700" s="96">
        <f t="shared" si="228"/>
        <v>7.66</v>
      </c>
      <c r="I3700" s="96">
        <f t="shared" si="228"/>
        <v>8.2799999999999994</v>
      </c>
      <c r="J3700" s="91" t="str">
        <f t="shared" si="229"/>
        <v>Sinapi 89359</v>
      </c>
      <c r="K3700" s="91" t="str">
        <f t="shared" si="230"/>
        <v>UN</v>
      </c>
      <c r="L3700" s="166" t="str">
        <f t="shared" si="231"/>
        <v>06/2022</v>
      </c>
      <c r="M3700" s="82"/>
      <c r="N3700" s="82"/>
    </row>
    <row r="3701" spans="1:14" x14ac:dyDescent="0.25">
      <c r="A3701" s="170" t="s">
        <v>6449</v>
      </c>
      <c r="B3701" s="170" t="s">
        <v>16538</v>
      </c>
      <c r="C3701" s="170" t="s">
        <v>205</v>
      </c>
      <c r="D3701" s="170" t="s">
        <v>2067</v>
      </c>
      <c r="E3701" s="171" t="s">
        <v>16346</v>
      </c>
      <c r="F3701" s="171" t="s">
        <v>5604</v>
      </c>
      <c r="G3701" s="82"/>
      <c r="H3701" s="96">
        <f t="shared" si="228"/>
        <v>8.81</v>
      </c>
      <c r="I3701" s="96">
        <f t="shared" si="228"/>
        <v>9.43</v>
      </c>
      <c r="J3701" s="91" t="str">
        <f t="shared" si="229"/>
        <v>Sinapi 89360</v>
      </c>
      <c r="K3701" s="91" t="str">
        <f t="shared" si="230"/>
        <v>UN</v>
      </c>
      <c r="L3701" s="166" t="str">
        <f t="shared" si="231"/>
        <v>06/2022</v>
      </c>
      <c r="M3701" s="82"/>
      <c r="N3701" s="82"/>
    </row>
    <row r="3702" spans="1:14" x14ac:dyDescent="0.25">
      <c r="A3702" s="170" t="s">
        <v>6450</v>
      </c>
      <c r="B3702" s="170" t="s">
        <v>16539</v>
      </c>
      <c r="C3702" s="170" t="s">
        <v>205</v>
      </c>
      <c r="D3702" s="170" t="s">
        <v>2067</v>
      </c>
      <c r="E3702" s="171" t="s">
        <v>19292</v>
      </c>
      <c r="F3702" s="171" t="s">
        <v>20994</v>
      </c>
      <c r="G3702" s="82"/>
      <c r="H3702" s="96">
        <f t="shared" si="228"/>
        <v>8.9</v>
      </c>
      <c r="I3702" s="96">
        <f t="shared" si="228"/>
        <v>9.52</v>
      </c>
      <c r="J3702" s="91" t="str">
        <f t="shared" si="229"/>
        <v>Sinapi 89361</v>
      </c>
      <c r="K3702" s="91" t="str">
        <f t="shared" si="230"/>
        <v>UN</v>
      </c>
      <c r="L3702" s="166" t="str">
        <f t="shared" si="231"/>
        <v>06/2022</v>
      </c>
      <c r="M3702" s="82"/>
      <c r="N3702" s="82"/>
    </row>
    <row r="3703" spans="1:14" x14ac:dyDescent="0.25">
      <c r="A3703" s="170" t="s">
        <v>6451</v>
      </c>
      <c r="B3703" s="170" t="s">
        <v>16540</v>
      </c>
      <c r="C3703" s="170" t="s">
        <v>205</v>
      </c>
      <c r="D3703" s="170" t="s">
        <v>2067</v>
      </c>
      <c r="E3703" s="171" t="s">
        <v>17274</v>
      </c>
      <c r="F3703" s="171" t="s">
        <v>16369</v>
      </c>
      <c r="G3703" s="82"/>
      <c r="H3703" s="96">
        <f t="shared" si="228"/>
        <v>8.4</v>
      </c>
      <c r="I3703" s="96">
        <f t="shared" si="228"/>
        <v>9.1199999999999992</v>
      </c>
      <c r="J3703" s="91" t="str">
        <f t="shared" si="229"/>
        <v>Sinapi 89362</v>
      </c>
      <c r="K3703" s="91" t="str">
        <f t="shared" si="230"/>
        <v>UN</v>
      </c>
      <c r="L3703" s="166" t="str">
        <f t="shared" si="231"/>
        <v>06/2022</v>
      </c>
      <c r="M3703" s="82"/>
      <c r="N3703" s="82"/>
    </row>
    <row r="3704" spans="1:14" x14ac:dyDescent="0.25">
      <c r="A3704" s="170" t="s">
        <v>6452</v>
      </c>
      <c r="B3704" s="170" t="s">
        <v>16541</v>
      </c>
      <c r="C3704" s="170" t="s">
        <v>205</v>
      </c>
      <c r="D3704" s="170" t="s">
        <v>2067</v>
      </c>
      <c r="E3704" s="171" t="s">
        <v>14316</v>
      </c>
      <c r="F3704" s="171" t="s">
        <v>22731</v>
      </c>
      <c r="G3704" s="82"/>
      <c r="H3704" s="96">
        <f t="shared" si="228"/>
        <v>9.31</v>
      </c>
      <c r="I3704" s="96">
        <f t="shared" si="228"/>
        <v>10.029999999999999</v>
      </c>
      <c r="J3704" s="91" t="str">
        <f t="shared" si="229"/>
        <v>Sinapi 89363</v>
      </c>
      <c r="K3704" s="91" t="str">
        <f t="shared" si="230"/>
        <v>UN</v>
      </c>
      <c r="L3704" s="166" t="str">
        <f t="shared" si="231"/>
        <v>06/2022</v>
      </c>
      <c r="M3704" s="82"/>
      <c r="N3704" s="82"/>
    </row>
    <row r="3705" spans="1:14" x14ac:dyDescent="0.25">
      <c r="A3705" s="170" t="s">
        <v>6453</v>
      </c>
      <c r="B3705" s="170" t="s">
        <v>16542</v>
      </c>
      <c r="C3705" s="170" t="s">
        <v>205</v>
      </c>
      <c r="D3705" s="170" t="s">
        <v>2067</v>
      </c>
      <c r="E3705" s="171" t="s">
        <v>17915</v>
      </c>
      <c r="F3705" s="171" t="s">
        <v>19911</v>
      </c>
      <c r="G3705" s="82"/>
      <c r="H3705" s="96">
        <f t="shared" si="228"/>
        <v>11.06</v>
      </c>
      <c r="I3705" s="96">
        <f t="shared" si="228"/>
        <v>11.78</v>
      </c>
      <c r="J3705" s="91" t="str">
        <f t="shared" si="229"/>
        <v>Sinapi 89364</v>
      </c>
      <c r="K3705" s="91" t="str">
        <f t="shared" si="230"/>
        <v>UN</v>
      </c>
      <c r="L3705" s="166" t="str">
        <f t="shared" si="231"/>
        <v>06/2022</v>
      </c>
      <c r="M3705" s="82"/>
      <c r="N3705" s="82"/>
    </row>
    <row r="3706" spans="1:14" x14ac:dyDescent="0.25">
      <c r="A3706" s="170" t="s">
        <v>6454</v>
      </c>
      <c r="B3706" s="170" t="s">
        <v>16543</v>
      </c>
      <c r="C3706" s="170" t="s">
        <v>205</v>
      </c>
      <c r="D3706" s="170" t="s">
        <v>2067</v>
      </c>
      <c r="E3706" s="171" t="s">
        <v>29976</v>
      </c>
      <c r="F3706" s="171" t="s">
        <v>16389</v>
      </c>
      <c r="G3706" s="82"/>
      <c r="H3706" s="96">
        <f t="shared" si="228"/>
        <v>10.43</v>
      </c>
      <c r="I3706" s="96">
        <f t="shared" si="228"/>
        <v>11.15</v>
      </c>
      <c r="J3706" s="91" t="str">
        <f t="shared" si="229"/>
        <v>Sinapi 89365</v>
      </c>
      <c r="K3706" s="91" t="str">
        <f t="shared" si="230"/>
        <v>UN</v>
      </c>
      <c r="L3706" s="166" t="str">
        <f t="shared" si="231"/>
        <v>06/2022</v>
      </c>
      <c r="M3706" s="82"/>
      <c r="N3706" s="82"/>
    </row>
    <row r="3707" spans="1:14" x14ac:dyDescent="0.25">
      <c r="A3707" s="170" t="s">
        <v>6455</v>
      </c>
      <c r="B3707" s="170" t="s">
        <v>16544</v>
      </c>
      <c r="C3707" s="170" t="s">
        <v>205</v>
      </c>
      <c r="D3707" s="170" t="s">
        <v>2067</v>
      </c>
      <c r="E3707" s="171" t="s">
        <v>23272</v>
      </c>
      <c r="F3707" s="171" t="s">
        <v>34246</v>
      </c>
      <c r="G3707" s="82"/>
      <c r="H3707" s="96">
        <f t="shared" si="228"/>
        <v>16.41</v>
      </c>
      <c r="I3707" s="96">
        <f t="shared" si="228"/>
        <v>17.079999999999998</v>
      </c>
      <c r="J3707" s="91" t="str">
        <f t="shared" si="229"/>
        <v>Sinapi 89366</v>
      </c>
      <c r="K3707" s="91" t="str">
        <f t="shared" si="230"/>
        <v>UN</v>
      </c>
      <c r="L3707" s="166" t="str">
        <f t="shared" si="231"/>
        <v>06/2022</v>
      </c>
      <c r="M3707" s="82"/>
      <c r="N3707" s="82"/>
    </row>
    <row r="3708" spans="1:14" x14ac:dyDescent="0.25">
      <c r="A3708" s="170" t="s">
        <v>6456</v>
      </c>
      <c r="B3708" s="170" t="s">
        <v>16545</v>
      </c>
      <c r="C3708" s="170" t="s">
        <v>205</v>
      </c>
      <c r="D3708" s="170" t="s">
        <v>2067</v>
      </c>
      <c r="E3708" s="171" t="s">
        <v>19898</v>
      </c>
      <c r="F3708" s="171" t="s">
        <v>16395</v>
      </c>
      <c r="G3708" s="82"/>
      <c r="H3708" s="96">
        <f t="shared" si="228"/>
        <v>12.06</v>
      </c>
      <c r="I3708" s="96">
        <f t="shared" si="228"/>
        <v>12.92</v>
      </c>
      <c r="J3708" s="91" t="str">
        <f t="shared" si="229"/>
        <v>Sinapi 89367</v>
      </c>
      <c r="K3708" s="91" t="str">
        <f t="shared" si="230"/>
        <v>UN</v>
      </c>
      <c r="L3708" s="166" t="str">
        <f t="shared" si="231"/>
        <v>06/2022</v>
      </c>
      <c r="M3708" s="82"/>
      <c r="N3708" s="82"/>
    </row>
    <row r="3709" spans="1:14" x14ac:dyDescent="0.25">
      <c r="A3709" s="170" t="s">
        <v>6457</v>
      </c>
      <c r="B3709" s="170" t="s">
        <v>16546</v>
      </c>
      <c r="C3709" s="170" t="s">
        <v>205</v>
      </c>
      <c r="D3709" s="170" t="s">
        <v>2067</v>
      </c>
      <c r="E3709" s="171" t="s">
        <v>14589</v>
      </c>
      <c r="F3709" s="171" t="s">
        <v>27607</v>
      </c>
      <c r="G3709" s="82"/>
      <c r="H3709" s="96">
        <f t="shared" si="228"/>
        <v>14.08</v>
      </c>
      <c r="I3709" s="96">
        <f t="shared" si="228"/>
        <v>14.94</v>
      </c>
      <c r="J3709" s="91" t="str">
        <f t="shared" si="229"/>
        <v>Sinapi 89368</v>
      </c>
      <c r="K3709" s="91" t="str">
        <f t="shared" si="230"/>
        <v>UN</v>
      </c>
      <c r="L3709" s="166" t="str">
        <f t="shared" si="231"/>
        <v>06/2022</v>
      </c>
      <c r="M3709" s="82"/>
      <c r="N3709" s="82"/>
    </row>
    <row r="3710" spans="1:14" x14ac:dyDescent="0.25">
      <c r="A3710" s="170" t="s">
        <v>6458</v>
      </c>
      <c r="B3710" s="170" t="s">
        <v>16547</v>
      </c>
      <c r="C3710" s="170" t="s">
        <v>205</v>
      </c>
      <c r="D3710" s="170" t="s">
        <v>2067</v>
      </c>
      <c r="E3710" s="171" t="s">
        <v>18569</v>
      </c>
      <c r="F3710" s="171" t="s">
        <v>29747</v>
      </c>
      <c r="G3710" s="82"/>
      <c r="H3710" s="96">
        <f t="shared" si="228"/>
        <v>16.8</v>
      </c>
      <c r="I3710" s="96">
        <f t="shared" si="228"/>
        <v>17.66</v>
      </c>
      <c r="J3710" s="91" t="str">
        <f t="shared" si="229"/>
        <v>Sinapi 89369</v>
      </c>
      <c r="K3710" s="91" t="str">
        <f t="shared" si="230"/>
        <v>UN</v>
      </c>
      <c r="L3710" s="166" t="str">
        <f t="shared" si="231"/>
        <v>06/2022</v>
      </c>
      <c r="M3710" s="82"/>
      <c r="N3710" s="82"/>
    </row>
    <row r="3711" spans="1:14" x14ac:dyDescent="0.25">
      <c r="A3711" s="170" t="s">
        <v>6459</v>
      </c>
      <c r="B3711" s="170" t="s">
        <v>16548</v>
      </c>
      <c r="C3711" s="170" t="s">
        <v>205</v>
      </c>
      <c r="D3711" s="170" t="s">
        <v>2067</v>
      </c>
      <c r="E3711" s="171" t="s">
        <v>19895</v>
      </c>
      <c r="F3711" s="171" t="s">
        <v>21376</v>
      </c>
      <c r="G3711" s="82"/>
      <c r="H3711" s="96">
        <f t="shared" si="228"/>
        <v>14.46</v>
      </c>
      <c r="I3711" s="96">
        <f t="shared" si="228"/>
        <v>15.32</v>
      </c>
      <c r="J3711" s="91" t="str">
        <f t="shared" si="229"/>
        <v>Sinapi 89370</v>
      </c>
      <c r="K3711" s="91" t="str">
        <f t="shared" si="230"/>
        <v>UN</v>
      </c>
      <c r="L3711" s="166" t="str">
        <f t="shared" si="231"/>
        <v>06/2022</v>
      </c>
      <c r="M3711" s="82"/>
      <c r="N3711" s="82"/>
    </row>
    <row r="3712" spans="1:14" x14ac:dyDescent="0.25">
      <c r="A3712" s="170" t="s">
        <v>6460</v>
      </c>
      <c r="B3712" s="170" t="s">
        <v>16549</v>
      </c>
      <c r="C3712" s="170" t="s">
        <v>205</v>
      </c>
      <c r="D3712" s="170" t="s">
        <v>2067</v>
      </c>
      <c r="E3712" s="171" t="s">
        <v>14361</v>
      </c>
      <c r="F3712" s="171" t="s">
        <v>22060</v>
      </c>
      <c r="G3712" s="82"/>
      <c r="H3712" s="96">
        <f t="shared" si="228"/>
        <v>5.42</v>
      </c>
      <c r="I3712" s="96">
        <f t="shared" si="228"/>
        <v>5.84</v>
      </c>
      <c r="J3712" s="91" t="str">
        <f t="shared" si="229"/>
        <v>Sinapi 89371</v>
      </c>
      <c r="K3712" s="91" t="str">
        <f t="shared" si="230"/>
        <v>UN</v>
      </c>
      <c r="L3712" s="166" t="str">
        <f t="shared" si="231"/>
        <v>06/2022</v>
      </c>
      <c r="M3712" s="82"/>
      <c r="N3712" s="82"/>
    </row>
    <row r="3713" spans="1:14" x14ac:dyDescent="0.25">
      <c r="A3713" s="170" t="s">
        <v>6461</v>
      </c>
      <c r="B3713" s="170" t="s">
        <v>16550</v>
      </c>
      <c r="C3713" s="170" t="s">
        <v>205</v>
      </c>
      <c r="D3713" s="170" t="s">
        <v>2067</v>
      </c>
      <c r="E3713" s="171" t="s">
        <v>19957</v>
      </c>
      <c r="F3713" s="171" t="s">
        <v>30555</v>
      </c>
      <c r="G3713" s="82"/>
      <c r="H3713" s="96">
        <f t="shared" si="228"/>
        <v>16.98</v>
      </c>
      <c r="I3713" s="96">
        <f t="shared" si="228"/>
        <v>17.399999999999999</v>
      </c>
      <c r="J3713" s="91" t="str">
        <f t="shared" si="229"/>
        <v>Sinapi 89372</v>
      </c>
      <c r="K3713" s="91" t="str">
        <f t="shared" si="230"/>
        <v>UN</v>
      </c>
      <c r="L3713" s="166" t="str">
        <f t="shared" si="231"/>
        <v>06/2022</v>
      </c>
      <c r="M3713" s="82"/>
      <c r="N3713" s="82"/>
    </row>
    <row r="3714" spans="1:14" x14ac:dyDescent="0.25">
      <c r="A3714" s="170" t="s">
        <v>6462</v>
      </c>
      <c r="B3714" s="170" t="s">
        <v>16551</v>
      </c>
      <c r="C3714" s="170" t="s">
        <v>205</v>
      </c>
      <c r="D3714" s="170" t="s">
        <v>2067</v>
      </c>
      <c r="E3714" s="171" t="s">
        <v>17288</v>
      </c>
      <c r="F3714" s="171" t="s">
        <v>17396</v>
      </c>
      <c r="G3714" s="82"/>
      <c r="H3714" s="96">
        <f t="shared" si="228"/>
        <v>6.66</v>
      </c>
      <c r="I3714" s="96">
        <f t="shared" si="228"/>
        <v>7.1</v>
      </c>
      <c r="J3714" s="91" t="str">
        <f t="shared" si="229"/>
        <v>Sinapi 89373</v>
      </c>
      <c r="K3714" s="91" t="str">
        <f t="shared" si="230"/>
        <v>UN</v>
      </c>
      <c r="L3714" s="166" t="str">
        <f t="shared" si="231"/>
        <v>06/2022</v>
      </c>
      <c r="M3714" s="82"/>
      <c r="N3714" s="82"/>
    </row>
    <row r="3715" spans="1:14" x14ac:dyDescent="0.25">
      <c r="A3715" s="170" t="s">
        <v>6463</v>
      </c>
      <c r="B3715" s="170" t="s">
        <v>16552</v>
      </c>
      <c r="C3715" s="170" t="s">
        <v>205</v>
      </c>
      <c r="D3715" s="170" t="s">
        <v>2067</v>
      </c>
      <c r="E3715" s="171" t="s">
        <v>6899</v>
      </c>
      <c r="F3715" s="171" t="s">
        <v>15075</v>
      </c>
      <c r="G3715" s="82"/>
      <c r="H3715" s="96">
        <f t="shared" si="228"/>
        <v>10.31</v>
      </c>
      <c r="I3715" s="96">
        <f t="shared" si="228"/>
        <v>10.69</v>
      </c>
      <c r="J3715" s="91" t="str">
        <f t="shared" si="229"/>
        <v>Sinapi 89374</v>
      </c>
      <c r="K3715" s="91" t="str">
        <f t="shared" si="230"/>
        <v>UN</v>
      </c>
      <c r="L3715" s="166" t="str">
        <f t="shared" si="231"/>
        <v>06/2022</v>
      </c>
      <c r="M3715" s="82"/>
      <c r="N3715" s="82"/>
    </row>
    <row r="3716" spans="1:14" x14ac:dyDescent="0.25">
      <c r="A3716" s="170" t="s">
        <v>6464</v>
      </c>
      <c r="B3716" s="170" t="s">
        <v>16553</v>
      </c>
      <c r="C3716" s="170" t="s">
        <v>205</v>
      </c>
      <c r="D3716" s="170" t="s">
        <v>2067</v>
      </c>
      <c r="E3716" s="171" t="s">
        <v>17955</v>
      </c>
      <c r="F3716" s="171" t="s">
        <v>20054</v>
      </c>
      <c r="G3716" s="82"/>
      <c r="H3716" s="96">
        <f t="shared" si="228"/>
        <v>12.31</v>
      </c>
      <c r="I3716" s="96">
        <f t="shared" si="228"/>
        <v>12.73</v>
      </c>
      <c r="J3716" s="91" t="str">
        <f t="shared" si="229"/>
        <v>Sinapi 89375</v>
      </c>
      <c r="K3716" s="91" t="str">
        <f t="shared" si="230"/>
        <v>UN</v>
      </c>
      <c r="L3716" s="166" t="str">
        <f t="shared" si="231"/>
        <v>06/2022</v>
      </c>
      <c r="M3716" s="82"/>
      <c r="N3716" s="82"/>
    </row>
    <row r="3717" spans="1:14" x14ac:dyDescent="0.25">
      <c r="A3717" s="170" t="s">
        <v>6465</v>
      </c>
      <c r="B3717" s="170" t="s">
        <v>16554</v>
      </c>
      <c r="C3717" s="170" t="s">
        <v>205</v>
      </c>
      <c r="D3717" s="170" t="s">
        <v>2067</v>
      </c>
      <c r="E3717" s="171" t="s">
        <v>21596</v>
      </c>
      <c r="F3717" s="171" t="s">
        <v>3919</v>
      </c>
      <c r="G3717" s="82"/>
      <c r="H3717" s="96">
        <f t="shared" si="228"/>
        <v>5.19</v>
      </c>
      <c r="I3717" s="96">
        <f t="shared" si="228"/>
        <v>5.57</v>
      </c>
      <c r="J3717" s="91" t="str">
        <f t="shared" si="229"/>
        <v>Sinapi 89376</v>
      </c>
      <c r="K3717" s="91" t="str">
        <f t="shared" si="230"/>
        <v>UN</v>
      </c>
      <c r="L3717" s="166" t="str">
        <f t="shared" si="231"/>
        <v>06/2022</v>
      </c>
      <c r="M3717" s="82"/>
      <c r="N3717" s="82"/>
    </row>
    <row r="3718" spans="1:14" x14ac:dyDescent="0.25">
      <c r="A3718" s="170" t="s">
        <v>6466</v>
      </c>
      <c r="B3718" s="170" t="s">
        <v>16555</v>
      </c>
      <c r="C3718" s="170" t="s">
        <v>205</v>
      </c>
      <c r="D3718" s="170" t="s">
        <v>2067</v>
      </c>
      <c r="E3718" s="171" t="s">
        <v>15560</v>
      </c>
      <c r="F3718" s="171" t="s">
        <v>2147</v>
      </c>
      <c r="G3718" s="82"/>
      <c r="H3718" s="96">
        <f t="shared" si="228"/>
        <v>10.3</v>
      </c>
      <c r="I3718" s="96">
        <f t="shared" si="228"/>
        <v>10.72</v>
      </c>
      <c r="J3718" s="91" t="str">
        <f t="shared" si="229"/>
        <v>Sinapi 89377</v>
      </c>
      <c r="K3718" s="91" t="str">
        <f t="shared" si="230"/>
        <v>UN</v>
      </c>
      <c r="L3718" s="166" t="str">
        <f t="shared" si="231"/>
        <v>06/2022</v>
      </c>
      <c r="M3718" s="82"/>
      <c r="N3718" s="82"/>
    </row>
    <row r="3719" spans="1:14" x14ac:dyDescent="0.25">
      <c r="A3719" s="170" t="s">
        <v>6467</v>
      </c>
      <c r="B3719" s="170" t="s">
        <v>16556</v>
      </c>
      <c r="C3719" s="170" t="s">
        <v>205</v>
      </c>
      <c r="D3719" s="170" t="s">
        <v>2067</v>
      </c>
      <c r="E3719" s="171" t="s">
        <v>13841</v>
      </c>
      <c r="F3719" s="171" t="s">
        <v>18570</v>
      </c>
      <c r="G3719" s="82"/>
      <c r="H3719" s="96">
        <f t="shared" si="228"/>
        <v>6.42</v>
      </c>
      <c r="I3719" s="96">
        <f t="shared" si="228"/>
        <v>6.89</v>
      </c>
      <c r="J3719" s="91" t="str">
        <f t="shared" si="229"/>
        <v>Sinapi 89378</v>
      </c>
      <c r="K3719" s="91" t="str">
        <f t="shared" si="230"/>
        <v>UN</v>
      </c>
      <c r="L3719" s="166" t="str">
        <f t="shared" si="231"/>
        <v>06/2022</v>
      </c>
      <c r="M3719" s="82"/>
      <c r="N3719" s="82"/>
    </row>
    <row r="3720" spans="1:14" x14ac:dyDescent="0.25">
      <c r="A3720" s="170" t="s">
        <v>6468</v>
      </c>
      <c r="B3720" s="170" t="s">
        <v>6469</v>
      </c>
      <c r="C3720" s="170" t="s">
        <v>205</v>
      </c>
      <c r="D3720" s="170" t="s">
        <v>2067</v>
      </c>
      <c r="E3720" s="171" t="s">
        <v>28684</v>
      </c>
      <c r="F3720" s="171" t="s">
        <v>19305</v>
      </c>
      <c r="G3720" s="82"/>
      <c r="H3720" s="96">
        <f t="shared" ref="H3720:I3783" si="232">IF(E3720="","",E3720+0)</f>
        <v>19.96</v>
      </c>
      <c r="I3720" s="96">
        <f t="shared" si="232"/>
        <v>20.43</v>
      </c>
      <c r="J3720" s="91" t="str">
        <f t="shared" ref="J3720:J3783" si="233">IF(OR(H3720="",I3720=""),"",TRIM(CONCATENATE("Sinapi ",A3720)))</f>
        <v>Sinapi 89379</v>
      </c>
      <c r="K3720" s="91" t="str">
        <f t="shared" ref="K3720:K3783" si="234">TRIM(C3720)</f>
        <v>UN</v>
      </c>
      <c r="L3720" s="166" t="str">
        <f t="shared" ref="L3720:L3783" si="235">IF(OR(RIGHT(IF(AND(K3720&lt;&gt;"H",K3720&lt;&gt;"MES"),RIGHT(B3720,7),""),2)="PS",RIGHT(IF(AND(K3720&lt;&gt;"H",K3720&lt;&gt;"MES"),RIGHT(B3720,7),""),2)="PA",RIGHT(IF(AND(K3720&lt;&gt;"H",K3720&lt;&gt;"MES"),RIGHT(B3720,7),""),2)="PE"),LEFT(IF(AND(K3720&lt;&gt;"H",K3720&lt;&gt;"MES"),RIGHT(B3720,10),""),7),IF(AND(K3720&lt;&gt;"H",K3720&lt;&gt;"MES"),RIGHT(B3720,7),""))</f>
        <v>12/2014</v>
      </c>
      <c r="M3720" s="82"/>
      <c r="N3720" s="82"/>
    </row>
    <row r="3721" spans="1:14" x14ac:dyDescent="0.25">
      <c r="A3721" s="170" t="s">
        <v>6470</v>
      </c>
      <c r="B3721" s="170" t="s">
        <v>16557</v>
      </c>
      <c r="C3721" s="170" t="s">
        <v>205</v>
      </c>
      <c r="D3721" s="170" t="s">
        <v>2067</v>
      </c>
      <c r="E3721" s="171" t="s">
        <v>21906</v>
      </c>
      <c r="F3721" s="171" t="s">
        <v>15540</v>
      </c>
      <c r="G3721" s="82"/>
      <c r="H3721" s="96">
        <f t="shared" si="232"/>
        <v>9.75</v>
      </c>
      <c r="I3721" s="96">
        <f t="shared" si="232"/>
        <v>10.27</v>
      </c>
      <c r="J3721" s="91" t="str">
        <f t="shared" si="233"/>
        <v>Sinapi 89380</v>
      </c>
      <c r="K3721" s="91" t="str">
        <f t="shared" si="234"/>
        <v>UN</v>
      </c>
      <c r="L3721" s="166" t="str">
        <f t="shared" si="235"/>
        <v>06/2022</v>
      </c>
      <c r="M3721" s="82"/>
      <c r="N3721" s="82"/>
    </row>
    <row r="3722" spans="1:14" x14ac:dyDescent="0.25">
      <c r="A3722" s="170" t="s">
        <v>6471</v>
      </c>
      <c r="B3722" s="170" t="s">
        <v>16558</v>
      </c>
      <c r="C3722" s="170" t="s">
        <v>205</v>
      </c>
      <c r="D3722" s="170" t="s">
        <v>2067</v>
      </c>
      <c r="E3722" s="171" t="s">
        <v>20054</v>
      </c>
      <c r="F3722" s="171" t="s">
        <v>13650</v>
      </c>
      <c r="G3722" s="82"/>
      <c r="H3722" s="96">
        <f t="shared" si="232"/>
        <v>12.73</v>
      </c>
      <c r="I3722" s="96">
        <f t="shared" si="232"/>
        <v>13.17</v>
      </c>
      <c r="J3722" s="91" t="str">
        <f t="shared" si="233"/>
        <v>Sinapi 89381</v>
      </c>
      <c r="K3722" s="91" t="str">
        <f t="shared" si="234"/>
        <v>UN</v>
      </c>
      <c r="L3722" s="166" t="str">
        <f t="shared" si="235"/>
        <v>06/2022</v>
      </c>
      <c r="M3722" s="82"/>
      <c r="N3722" s="82"/>
    </row>
    <row r="3723" spans="1:14" x14ac:dyDescent="0.25">
      <c r="A3723" s="170" t="s">
        <v>6472</v>
      </c>
      <c r="B3723" s="170" t="s">
        <v>16559</v>
      </c>
      <c r="C3723" s="170" t="s">
        <v>205</v>
      </c>
      <c r="D3723" s="170" t="s">
        <v>2067</v>
      </c>
      <c r="E3723" s="171" t="s">
        <v>23054</v>
      </c>
      <c r="F3723" s="171" t="s">
        <v>21376</v>
      </c>
      <c r="G3723" s="82"/>
      <c r="H3723" s="96">
        <f t="shared" si="232"/>
        <v>14.85</v>
      </c>
      <c r="I3723" s="96">
        <f t="shared" si="232"/>
        <v>15.32</v>
      </c>
      <c r="J3723" s="91" t="str">
        <f t="shared" si="233"/>
        <v>Sinapi 89382</v>
      </c>
      <c r="K3723" s="91" t="str">
        <f t="shared" si="234"/>
        <v>UN</v>
      </c>
      <c r="L3723" s="166" t="str">
        <f t="shared" si="235"/>
        <v>06/2022</v>
      </c>
      <c r="M3723" s="82"/>
      <c r="N3723" s="82"/>
    </row>
    <row r="3724" spans="1:14" x14ac:dyDescent="0.25">
      <c r="A3724" s="170" t="s">
        <v>6473</v>
      </c>
      <c r="B3724" s="170" t="s">
        <v>16560</v>
      </c>
      <c r="C3724" s="170" t="s">
        <v>205</v>
      </c>
      <c r="D3724" s="170" t="s">
        <v>2067</v>
      </c>
      <c r="E3724" s="171" t="s">
        <v>16292</v>
      </c>
      <c r="F3724" s="171" t="s">
        <v>20008</v>
      </c>
      <c r="G3724" s="82"/>
      <c r="H3724" s="96">
        <f t="shared" si="232"/>
        <v>6.06</v>
      </c>
      <c r="I3724" s="96">
        <f t="shared" si="232"/>
        <v>6.5</v>
      </c>
      <c r="J3724" s="91" t="str">
        <f t="shared" si="233"/>
        <v>Sinapi 89383</v>
      </c>
      <c r="K3724" s="91" t="str">
        <f t="shared" si="234"/>
        <v>UN</v>
      </c>
      <c r="L3724" s="166" t="str">
        <f t="shared" si="235"/>
        <v>06/2022</v>
      </c>
      <c r="M3724" s="82"/>
      <c r="N3724" s="82"/>
    </row>
    <row r="3725" spans="1:14" x14ac:dyDescent="0.25">
      <c r="A3725" s="170" t="s">
        <v>6474</v>
      </c>
      <c r="B3725" s="170" t="s">
        <v>16561</v>
      </c>
      <c r="C3725" s="170" t="s">
        <v>205</v>
      </c>
      <c r="D3725" s="170" t="s">
        <v>2067</v>
      </c>
      <c r="E3725" s="171" t="s">
        <v>15686</v>
      </c>
      <c r="F3725" s="171" t="s">
        <v>30327</v>
      </c>
      <c r="G3725" s="82"/>
      <c r="H3725" s="96">
        <f t="shared" si="232"/>
        <v>13.31</v>
      </c>
      <c r="I3725" s="96">
        <f t="shared" si="232"/>
        <v>13.78</v>
      </c>
      <c r="J3725" s="91" t="str">
        <f t="shared" si="233"/>
        <v>Sinapi 89384</v>
      </c>
      <c r="K3725" s="91" t="str">
        <f t="shared" si="234"/>
        <v>UN</v>
      </c>
      <c r="L3725" s="166" t="str">
        <f t="shared" si="235"/>
        <v>06/2022</v>
      </c>
      <c r="M3725" s="82"/>
      <c r="N3725" s="82"/>
    </row>
    <row r="3726" spans="1:14" x14ac:dyDescent="0.25">
      <c r="A3726" s="170" t="s">
        <v>6476</v>
      </c>
      <c r="B3726" s="170" t="s">
        <v>16562</v>
      </c>
      <c r="C3726" s="170" t="s">
        <v>205</v>
      </c>
      <c r="D3726" s="170" t="s">
        <v>2067</v>
      </c>
      <c r="E3726" s="171" t="s">
        <v>20139</v>
      </c>
      <c r="F3726" s="171" t="s">
        <v>13750</v>
      </c>
      <c r="G3726" s="82"/>
      <c r="H3726" s="96">
        <f t="shared" si="232"/>
        <v>6.79</v>
      </c>
      <c r="I3726" s="96">
        <f t="shared" si="232"/>
        <v>7.23</v>
      </c>
      <c r="J3726" s="91" t="str">
        <f t="shared" si="233"/>
        <v>Sinapi 89385</v>
      </c>
      <c r="K3726" s="91" t="str">
        <f t="shared" si="234"/>
        <v>UN</v>
      </c>
      <c r="L3726" s="166" t="str">
        <f t="shared" si="235"/>
        <v>06/2022</v>
      </c>
      <c r="M3726" s="82"/>
      <c r="N3726" s="82"/>
    </row>
    <row r="3727" spans="1:14" x14ac:dyDescent="0.25">
      <c r="A3727" s="170" t="s">
        <v>6478</v>
      </c>
      <c r="B3727" s="170" t="s">
        <v>16563</v>
      </c>
      <c r="C3727" s="170" t="s">
        <v>205</v>
      </c>
      <c r="D3727" s="170" t="s">
        <v>2067</v>
      </c>
      <c r="E3727" s="171" t="s">
        <v>12105</v>
      </c>
      <c r="F3727" s="171" t="s">
        <v>14918</v>
      </c>
      <c r="G3727" s="82"/>
      <c r="H3727" s="96">
        <f t="shared" si="232"/>
        <v>9.08</v>
      </c>
      <c r="I3727" s="96">
        <f t="shared" si="232"/>
        <v>9.65</v>
      </c>
      <c r="J3727" s="91" t="str">
        <f t="shared" si="233"/>
        <v>Sinapi 89386</v>
      </c>
      <c r="K3727" s="91" t="str">
        <f t="shared" si="234"/>
        <v>UN</v>
      </c>
      <c r="L3727" s="166" t="str">
        <f t="shared" si="235"/>
        <v>06/2022</v>
      </c>
      <c r="M3727" s="82"/>
      <c r="N3727" s="82"/>
    </row>
    <row r="3728" spans="1:14" x14ac:dyDescent="0.25">
      <c r="A3728" s="170" t="s">
        <v>6479</v>
      </c>
      <c r="B3728" s="170" t="s">
        <v>16564</v>
      </c>
      <c r="C3728" s="170" t="s">
        <v>205</v>
      </c>
      <c r="D3728" s="170" t="s">
        <v>2067</v>
      </c>
      <c r="E3728" s="171" t="s">
        <v>28837</v>
      </c>
      <c r="F3728" s="171" t="s">
        <v>21176</v>
      </c>
      <c r="G3728" s="82"/>
      <c r="H3728" s="96">
        <f t="shared" si="232"/>
        <v>32.479999999999997</v>
      </c>
      <c r="I3728" s="96">
        <f t="shared" si="232"/>
        <v>33.049999999999997</v>
      </c>
      <c r="J3728" s="91" t="str">
        <f t="shared" si="233"/>
        <v>Sinapi 89387</v>
      </c>
      <c r="K3728" s="91" t="str">
        <f t="shared" si="234"/>
        <v>UN</v>
      </c>
      <c r="L3728" s="166" t="str">
        <f t="shared" si="235"/>
        <v>06/2022</v>
      </c>
      <c r="M3728" s="82"/>
      <c r="N3728" s="82"/>
    </row>
    <row r="3729" spans="1:14" x14ac:dyDescent="0.25">
      <c r="A3729" s="170" t="s">
        <v>6480</v>
      </c>
      <c r="B3729" s="170" t="s">
        <v>16565</v>
      </c>
      <c r="C3729" s="170" t="s">
        <v>205</v>
      </c>
      <c r="D3729" s="170" t="s">
        <v>2067</v>
      </c>
      <c r="E3729" s="171" t="s">
        <v>15646</v>
      </c>
      <c r="F3729" s="171" t="s">
        <v>30794</v>
      </c>
      <c r="G3729" s="82"/>
      <c r="H3729" s="96">
        <f t="shared" si="232"/>
        <v>11.39</v>
      </c>
      <c r="I3729" s="96">
        <f t="shared" si="232"/>
        <v>11.91</v>
      </c>
      <c r="J3729" s="91" t="str">
        <f t="shared" si="233"/>
        <v>Sinapi 89389</v>
      </c>
      <c r="K3729" s="91" t="str">
        <f t="shared" si="234"/>
        <v>UN</v>
      </c>
      <c r="L3729" s="166" t="str">
        <f t="shared" si="235"/>
        <v>06/2022</v>
      </c>
      <c r="M3729" s="82"/>
      <c r="N3729" s="82"/>
    </row>
    <row r="3730" spans="1:14" x14ac:dyDescent="0.25">
      <c r="A3730" s="170" t="s">
        <v>6481</v>
      </c>
      <c r="B3730" s="170" t="s">
        <v>16566</v>
      </c>
      <c r="C3730" s="170" t="s">
        <v>205</v>
      </c>
      <c r="D3730" s="170" t="s">
        <v>2067</v>
      </c>
      <c r="E3730" s="171" t="s">
        <v>14358</v>
      </c>
      <c r="F3730" s="171" t="s">
        <v>17965</v>
      </c>
      <c r="G3730" s="82"/>
      <c r="H3730" s="96">
        <f t="shared" si="232"/>
        <v>22.54</v>
      </c>
      <c r="I3730" s="96">
        <f t="shared" si="232"/>
        <v>23.11</v>
      </c>
      <c r="J3730" s="91" t="str">
        <f t="shared" si="233"/>
        <v>Sinapi 89390</v>
      </c>
      <c r="K3730" s="91" t="str">
        <f t="shared" si="234"/>
        <v>UN</v>
      </c>
      <c r="L3730" s="166" t="str">
        <f t="shared" si="235"/>
        <v>06/2022</v>
      </c>
      <c r="M3730" s="82"/>
      <c r="N3730" s="82"/>
    </row>
    <row r="3731" spans="1:14" x14ac:dyDescent="0.25">
      <c r="A3731" s="170" t="s">
        <v>6482</v>
      </c>
      <c r="B3731" s="170" t="s">
        <v>16567</v>
      </c>
      <c r="C3731" s="170" t="s">
        <v>205</v>
      </c>
      <c r="D3731" s="170" t="s">
        <v>2067</v>
      </c>
      <c r="E3731" s="171" t="s">
        <v>28765</v>
      </c>
      <c r="F3731" s="171" t="s">
        <v>16490</v>
      </c>
      <c r="G3731" s="82"/>
      <c r="H3731" s="96">
        <f t="shared" si="232"/>
        <v>8.2100000000000009</v>
      </c>
      <c r="I3731" s="96">
        <f t="shared" si="232"/>
        <v>8.73</v>
      </c>
      <c r="J3731" s="91" t="str">
        <f t="shared" si="233"/>
        <v>Sinapi 89391</v>
      </c>
      <c r="K3731" s="91" t="str">
        <f t="shared" si="234"/>
        <v>UN</v>
      </c>
      <c r="L3731" s="166" t="str">
        <f t="shared" si="235"/>
        <v>06/2022</v>
      </c>
      <c r="M3731" s="82"/>
      <c r="N3731" s="82"/>
    </row>
    <row r="3732" spans="1:14" x14ac:dyDescent="0.25">
      <c r="A3732" s="170" t="s">
        <v>6483</v>
      </c>
      <c r="B3732" s="170" t="s">
        <v>16568</v>
      </c>
      <c r="C3732" s="170" t="s">
        <v>205</v>
      </c>
      <c r="D3732" s="170" t="s">
        <v>2067</v>
      </c>
      <c r="E3732" s="171" t="s">
        <v>29198</v>
      </c>
      <c r="F3732" s="171" t="s">
        <v>33166</v>
      </c>
      <c r="G3732" s="82"/>
      <c r="H3732" s="96">
        <f t="shared" si="232"/>
        <v>26.12</v>
      </c>
      <c r="I3732" s="96">
        <f t="shared" si="232"/>
        <v>26.69</v>
      </c>
      <c r="J3732" s="91" t="str">
        <f t="shared" si="233"/>
        <v>Sinapi 89392</v>
      </c>
      <c r="K3732" s="91" t="str">
        <f t="shared" si="234"/>
        <v>UN</v>
      </c>
      <c r="L3732" s="166" t="str">
        <f t="shared" si="235"/>
        <v>06/2022</v>
      </c>
      <c r="M3732" s="82"/>
      <c r="N3732" s="82"/>
    </row>
    <row r="3733" spans="1:14" x14ac:dyDescent="0.25">
      <c r="A3733" s="170" t="s">
        <v>6484</v>
      </c>
      <c r="B3733" s="170" t="s">
        <v>16569</v>
      </c>
      <c r="C3733" s="170" t="s">
        <v>205</v>
      </c>
      <c r="D3733" s="170" t="s">
        <v>2067</v>
      </c>
      <c r="E3733" s="171" t="s">
        <v>12101</v>
      </c>
      <c r="F3733" s="171" t="s">
        <v>21467</v>
      </c>
      <c r="G3733" s="82"/>
      <c r="H3733" s="96">
        <f t="shared" si="232"/>
        <v>9.85</v>
      </c>
      <c r="I3733" s="96">
        <f t="shared" si="232"/>
        <v>10.67</v>
      </c>
      <c r="J3733" s="91" t="str">
        <f t="shared" si="233"/>
        <v>Sinapi 89393</v>
      </c>
      <c r="K3733" s="91" t="str">
        <f t="shared" si="234"/>
        <v>UN</v>
      </c>
      <c r="L3733" s="166" t="str">
        <f t="shared" si="235"/>
        <v>06/2022</v>
      </c>
      <c r="M3733" s="82"/>
      <c r="N3733" s="82"/>
    </row>
    <row r="3734" spans="1:14" x14ac:dyDescent="0.25">
      <c r="A3734" s="170" t="s">
        <v>6485</v>
      </c>
      <c r="B3734" s="170" t="s">
        <v>16570</v>
      </c>
      <c r="C3734" s="170" t="s">
        <v>205</v>
      </c>
      <c r="D3734" s="170" t="s">
        <v>2067</v>
      </c>
      <c r="E3734" s="171" t="s">
        <v>20067</v>
      </c>
      <c r="F3734" s="171" t="s">
        <v>15543</v>
      </c>
      <c r="G3734" s="82"/>
      <c r="H3734" s="96">
        <f t="shared" si="232"/>
        <v>18.78</v>
      </c>
      <c r="I3734" s="96">
        <f t="shared" si="232"/>
        <v>19.55</v>
      </c>
      <c r="J3734" s="91" t="str">
        <f t="shared" si="233"/>
        <v>Sinapi 89394</v>
      </c>
      <c r="K3734" s="91" t="str">
        <f t="shared" si="234"/>
        <v>UN</v>
      </c>
      <c r="L3734" s="166" t="str">
        <f t="shared" si="235"/>
        <v>06/2022</v>
      </c>
      <c r="M3734" s="82"/>
      <c r="N3734" s="82"/>
    </row>
    <row r="3735" spans="1:14" x14ac:dyDescent="0.25">
      <c r="A3735" s="170" t="s">
        <v>6487</v>
      </c>
      <c r="B3735" s="170" t="s">
        <v>16571</v>
      </c>
      <c r="C3735" s="170" t="s">
        <v>205</v>
      </c>
      <c r="D3735" s="170" t="s">
        <v>2067</v>
      </c>
      <c r="E3735" s="171" t="s">
        <v>14359</v>
      </c>
      <c r="F3735" s="171" t="s">
        <v>28656</v>
      </c>
      <c r="G3735" s="82"/>
      <c r="H3735" s="96">
        <f t="shared" si="232"/>
        <v>11.69</v>
      </c>
      <c r="I3735" s="96">
        <f t="shared" si="232"/>
        <v>12.65</v>
      </c>
      <c r="J3735" s="91" t="str">
        <f t="shared" si="233"/>
        <v>Sinapi 89395</v>
      </c>
      <c r="K3735" s="91" t="str">
        <f t="shared" si="234"/>
        <v>UN</v>
      </c>
      <c r="L3735" s="166" t="str">
        <f t="shared" si="235"/>
        <v>06/2022</v>
      </c>
      <c r="M3735" s="82"/>
      <c r="N3735" s="82"/>
    </row>
    <row r="3736" spans="1:14" x14ac:dyDescent="0.25">
      <c r="A3736" s="170" t="s">
        <v>6488</v>
      </c>
      <c r="B3736" s="170" t="s">
        <v>16572</v>
      </c>
      <c r="C3736" s="170" t="s">
        <v>205</v>
      </c>
      <c r="D3736" s="170" t="s">
        <v>2067</v>
      </c>
      <c r="E3736" s="171" t="s">
        <v>17356</v>
      </c>
      <c r="F3736" s="171" t="s">
        <v>21069</v>
      </c>
      <c r="G3736" s="82"/>
      <c r="H3736" s="96">
        <f t="shared" si="232"/>
        <v>20.63</v>
      </c>
      <c r="I3736" s="96">
        <f t="shared" si="232"/>
        <v>21.45</v>
      </c>
      <c r="J3736" s="91" t="str">
        <f t="shared" si="233"/>
        <v>Sinapi 89396</v>
      </c>
      <c r="K3736" s="91" t="str">
        <f t="shared" si="234"/>
        <v>UN</v>
      </c>
      <c r="L3736" s="166" t="str">
        <f t="shared" si="235"/>
        <v>06/2022</v>
      </c>
      <c r="M3736" s="82"/>
      <c r="N3736" s="82"/>
    </row>
    <row r="3737" spans="1:14" x14ac:dyDescent="0.25">
      <c r="A3737" s="170" t="s">
        <v>6489</v>
      </c>
      <c r="B3737" s="170" t="s">
        <v>16573</v>
      </c>
      <c r="C3737" s="170" t="s">
        <v>205</v>
      </c>
      <c r="D3737" s="170" t="s">
        <v>2067</v>
      </c>
      <c r="E3737" s="171" t="s">
        <v>21382</v>
      </c>
      <c r="F3737" s="171" t="s">
        <v>23054</v>
      </c>
      <c r="G3737" s="82"/>
      <c r="H3737" s="96">
        <f t="shared" si="232"/>
        <v>13.96</v>
      </c>
      <c r="I3737" s="96">
        <f t="shared" si="232"/>
        <v>14.85</v>
      </c>
      <c r="J3737" s="91" t="str">
        <f t="shared" si="233"/>
        <v>Sinapi 89397</v>
      </c>
      <c r="K3737" s="91" t="str">
        <f t="shared" si="234"/>
        <v>UN</v>
      </c>
      <c r="L3737" s="166" t="str">
        <f t="shared" si="235"/>
        <v>06/2022</v>
      </c>
      <c r="M3737" s="82"/>
      <c r="N3737" s="82"/>
    </row>
    <row r="3738" spans="1:14" x14ac:dyDescent="0.25">
      <c r="A3738" s="170" t="s">
        <v>6490</v>
      </c>
      <c r="B3738" s="170" t="s">
        <v>16574</v>
      </c>
      <c r="C3738" s="170" t="s">
        <v>205</v>
      </c>
      <c r="D3738" s="170" t="s">
        <v>2067</v>
      </c>
      <c r="E3738" s="171" t="s">
        <v>15784</v>
      </c>
      <c r="F3738" s="171" t="s">
        <v>15765</v>
      </c>
      <c r="G3738" s="82"/>
      <c r="H3738" s="96">
        <f t="shared" si="232"/>
        <v>17.010000000000002</v>
      </c>
      <c r="I3738" s="96">
        <f t="shared" si="232"/>
        <v>18.149999999999999</v>
      </c>
      <c r="J3738" s="91" t="str">
        <f t="shared" si="233"/>
        <v>Sinapi 89398</v>
      </c>
      <c r="K3738" s="91" t="str">
        <f t="shared" si="234"/>
        <v>UN</v>
      </c>
      <c r="L3738" s="166" t="str">
        <f t="shared" si="235"/>
        <v>06/2022</v>
      </c>
      <c r="M3738" s="82"/>
      <c r="N3738" s="82"/>
    </row>
    <row r="3739" spans="1:14" x14ac:dyDescent="0.25">
      <c r="A3739" s="170" t="s">
        <v>6492</v>
      </c>
      <c r="B3739" s="170" t="s">
        <v>16575</v>
      </c>
      <c r="C3739" s="170" t="s">
        <v>205</v>
      </c>
      <c r="D3739" s="170" t="s">
        <v>2067</v>
      </c>
      <c r="E3739" s="171" t="s">
        <v>17888</v>
      </c>
      <c r="F3739" s="171" t="s">
        <v>28995</v>
      </c>
      <c r="G3739" s="82"/>
      <c r="H3739" s="96">
        <f t="shared" si="232"/>
        <v>25.25</v>
      </c>
      <c r="I3739" s="96">
        <f t="shared" si="232"/>
        <v>26.19</v>
      </c>
      <c r="J3739" s="91" t="str">
        <f t="shared" si="233"/>
        <v>Sinapi 89399</v>
      </c>
      <c r="K3739" s="91" t="str">
        <f t="shared" si="234"/>
        <v>UN</v>
      </c>
      <c r="L3739" s="166" t="str">
        <f t="shared" si="235"/>
        <v>06/2022</v>
      </c>
      <c r="M3739" s="82"/>
      <c r="N3739" s="82"/>
    </row>
    <row r="3740" spans="1:14" x14ac:dyDescent="0.25">
      <c r="A3740" s="170" t="s">
        <v>6493</v>
      </c>
      <c r="B3740" s="170" t="s">
        <v>16576</v>
      </c>
      <c r="C3740" s="170" t="s">
        <v>205</v>
      </c>
      <c r="D3740" s="170" t="s">
        <v>2067</v>
      </c>
      <c r="E3740" s="171" t="s">
        <v>33540</v>
      </c>
      <c r="F3740" s="171" t="s">
        <v>21180</v>
      </c>
      <c r="G3740" s="82"/>
      <c r="H3740" s="96">
        <f t="shared" si="232"/>
        <v>19.309999999999999</v>
      </c>
      <c r="I3740" s="96">
        <f t="shared" si="232"/>
        <v>20.36</v>
      </c>
      <c r="J3740" s="91" t="str">
        <f t="shared" si="233"/>
        <v>Sinapi 89400</v>
      </c>
      <c r="K3740" s="91" t="str">
        <f t="shared" si="234"/>
        <v>UN</v>
      </c>
      <c r="L3740" s="166" t="str">
        <f t="shared" si="235"/>
        <v>06/2022</v>
      </c>
      <c r="M3740" s="82"/>
      <c r="N3740" s="82"/>
    </row>
    <row r="3741" spans="1:14" x14ac:dyDescent="0.25">
      <c r="A3741" s="170" t="s">
        <v>6494</v>
      </c>
      <c r="B3741" s="170" t="s">
        <v>16577</v>
      </c>
      <c r="C3741" s="170" t="s">
        <v>205</v>
      </c>
      <c r="D3741" s="170" t="s">
        <v>2067</v>
      </c>
      <c r="E3741" s="171" t="s">
        <v>15664</v>
      </c>
      <c r="F3741" s="171" t="s">
        <v>22911</v>
      </c>
      <c r="G3741" s="82"/>
      <c r="H3741" s="96">
        <f t="shared" si="232"/>
        <v>6.44</v>
      </c>
      <c r="I3741" s="96">
        <f t="shared" si="232"/>
        <v>6.99</v>
      </c>
      <c r="J3741" s="91" t="str">
        <f t="shared" si="233"/>
        <v>Sinapi 89404</v>
      </c>
      <c r="K3741" s="91" t="str">
        <f t="shared" si="234"/>
        <v>UN</v>
      </c>
      <c r="L3741" s="166" t="str">
        <f t="shared" si="235"/>
        <v>06/2022</v>
      </c>
      <c r="M3741" s="82"/>
      <c r="N3741" s="82"/>
    </row>
    <row r="3742" spans="1:14" x14ac:dyDescent="0.25">
      <c r="A3742" s="170" t="s">
        <v>6495</v>
      </c>
      <c r="B3742" s="170" t="s">
        <v>16578</v>
      </c>
      <c r="C3742" s="170" t="s">
        <v>205</v>
      </c>
      <c r="D3742" s="170" t="s">
        <v>2067</v>
      </c>
      <c r="E3742" s="171" t="s">
        <v>17402</v>
      </c>
      <c r="F3742" s="171" t="s">
        <v>5273</v>
      </c>
      <c r="G3742" s="82"/>
      <c r="H3742" s="96">
        <f t="shared" si="232"/>
        <v>7.07</v>
      </c>
      <c r="I3742" s="96">
        <f t="shared" si="232"/>
        <v>7.62</v>
      </c>
      <c r="J3742" s="91" t="str">
        <f t="shared" si="233"/>
        <v>Sinapi 89405</v>
      </c>
      <c r="K3742" s="91" t="str">
        <f t="shared" si="234"/>
        <v>UN</v>
      </c>
      <c r="L3742" s="166" t="str">
        <f t="shared" si="235"/>
        <v>06/2022</v>
      </c>
      <c r="M3742" s="82"/>
      <c r="N3742" s="82"/>
    </row>
    <row r="3743" spans="1:14" x14ac:dyDescent="0.25">
      <c r="A3743" s="170" t="s">
        <v>6496</v>
      </c>
      <c r="B3743" s="170" t="s">
        <v>16579</v>
      </c>
      <c r="C3743" s="170" t="s">
        <v>205</v>
      </c>
      <c r="D3743" s="170" t="s">
        <v>2067</v>
      </c>
      <c r="E3743" s="171" t="s">
        <v>19309</v>
      </c>
      <c r="F3743" s="171" t="s">
        <v>28556</v>
      </c>
      <c r="G3743" s="82"/>
      <c r="H3743" s="96">
        <f t="shared" si="232"/>
        <v>8.2200000000000006</v>
      </c>
      <c r="I3743" s="96">
        <f t="shared" si="232"/>
        <v>8.77</v>
      </c>
      <c r="J3743" s="91" t="str">
        <f t="shared" si="233"/>
        <v>Sinapi 89406</v>
      </c>
      <c r="K3743" s="91" t="str">
        <f t="shared" si="234"/>
        <v>UN</v>
      </c>
      <c r="L3743" s="166" t="str">
        <f t="shared" si="235"/>
        <v>06/2022</v>
      </c>
      <c r="M3743" s="82"/>
      <c r="N3743" s="82"/>
    </row>
    <row r="3744" spans="1:14" x14ac:dyDescent="0.25">
      <c r="A3744" s="170" t="s">
        <v>6497</v>
      </c>
      <c r="B3744" s="170" t="s">
        <v>16580</v>
      </c>
      <c r="C3744" s="170" t="s">
        <v>205</v>
      </c>
      <c r="D3744" s="170" t="s">
        <v>2067</v>
      </c>
      <c r="E3744" s="171" t="s">
        <v>22970</v>
      </c>
      <c r="F3744" s="171" t="s">
        <v>17299</v>
      </c>
      <c r="G3744" s="82"/>
      <c r="H3744" s="96">
        <f t="shared" si="232"/>
        <v>8.31</v>
      </c>
      <c r="I3744" s="96">
        <f t="shared" si="232"/>
        <v>8.86</v>
      </c>
      <c r="J3744" s="91" t="str">
        <f t="shared" si="233"/>
        <v>Sinapi 89407</v>
      </c>
      <c r="K3744" s="91" t="str">
        <f t="shared" si="234"/>
        <v>UN</v>
      </c>
      <c r="L3744" s="166" t="str">
        <f t="shared" si="235"/>
        <v>06/2022</v>
      </c>
      <c r="M3744" s="82"/>
      <c r="N3744" s="82"/>
    </row>
    <row r="3745" spans="1:14" x14ac:dyDescent="0.25">
      <c r="A3745" s="170" t="s">
        <v>6498</v>
      </c>
      <c r="B3745" s="170" t="s">
        <v>16581</v>
      </c>
      <c r="C3745" s="170" t="s">
        <v>205</v>
      </c>
      <c r="D3745" s="170" t="s">
        <v>2067</v>
      </c>
      <c r="E3745" s="171" t="s">
        <v>23384</v>
      </c>
      <c r="F3745" s="171" t="s">
        <v>20356</v>
      </c>
      <c r="G3745" s="82"/>
      <c r="H3745" s="96">
        <f t="shared" si="232"/>
        <v>7.72</v>
      </c>
      <c r="I3745" s="96">
        <f t="shared" si="232"/>
        <v>8.36</v>
      </c>
      <c r="J3745" s="91" t="str">
        <f t="shared" si="233"/>
        <v>Sinapi 89408</v>
      </c>
      <c r="K3745" s="91" t="str">
        <f t="shared" si="234"/>
        <v>UN</v>
      </c>
      <c r="L3745" s="166" t="str">
        <f t="shared" si="235"/>
        <v>06/2022</v>
      </c>
      <c r="M3745" s="82"/>
      <c r="N3745" s="82"/>
    </row>
    <row r="3746" spans="1:14" x14ac:dyDescent="0.25">
      <c r="A3746" s="170" t="s">
        <v>6499</v>
      </c>
      <c r="B3746" s="170" t="s">
        <v>16582</v>
      </c>
      <c r="C3746" s="170" t="s">
        <v>205</v>
      </c>
      <c r="D3746" s="170" t="s">
        <v>2067</v>
      </c>
      <c r="E3746" s="171" t="s">
        <v>23132</v>
      </c>
      <c r="F3746" s="171" t="s">
        <v>27866</v>
      </c>
      <c r="G3746" s="82"/>
      <c r="H3746" s="96">
        <f t="shared" si="232"/>
        <v>8.6300000000000008</v>
      </c>
      <c r="I3746" s="96">
        <f t="shared" si="232"/>
        <v>9.27</v>
      </c>
      <c r="J3746" s="91" t="str">
        <f t="shared" si="233"/>
        <v>Sinapi 89409</v>
      </c>
      <c r="K3746" s="91" t="str">
        <f t="shared" si="234"/>
        <v>UN</v>
      </c>
      <c r="L3746" s="166" t="str">
        <f t="shared" si="235"/>
        <v>06/2022</v>
      </c>
      <c r="M3746" s="82"/>
      <c r="N3746" s="82"/>
    </row>
    <row r="3747" spans="1:14" x14ac:dyDescent="0.25">
      <c r="A3747" s="170" t="s">
        <v>6501</v>
      </c>
      <c r="B3747" s="170" t="s">
        <v>16583</v>
      </c>
      <c r="C3747" s="170" t="s">
        <v>205</v>
      </c>
      <c r="D3747" s="170" t="s">
        <v>2067</v>
      </c>
      <c r="E3747" s="171" t="s">
        <v>18313</v>
      </c>
      <c r="F3747" s="171" t="s">
        <v>15700</v>
      </c>
      <c r="G3747" s="82"/>
      <c r="H3747" s="96">
        <f t="shared" si="232"/>
        <v>10.38</v>
      </c>
      <c r="I3747" s="96">
        <f t="shared" si="232"/>
        <v>11.02</v>
      </c>
      <c r="J3747" s="91" t="str">
        <f t="shared" si="233"/>
        <v>Sinapi 89410</v>
      </c>
      <c r="K3747" s="91" t="str">
        <f t="shared" si="234"/>
        <v>UN</v>
      </c>
      <c r="L3747" s="166" t="str">
        <f t="shared" si="235"/>
        <v>06/2022</v>
      </c>
      <c r="M3747" s="82"/>
      <c r="N3747" s="82"/>
    </row>
    <row r="3748" spans="1:14" x14ac:dyDescent="0.25">
      <c r="A3748" s="170" t="s">
        <v>6502</v>
      </c>
      <c r="B3748" s="170" t="s">
        <v>16584</v>
      </c>
      <c r="C3748" s="170" t="s">
        <v>205</v>
      </c>
      <c r="D3748" s="170" t="s">
        <v>2067</v>
      </c>
      <c r="E3748" s="171" t="s">
        <v>21906</v>
      </c>
      <c r="F3748" s="171" t="s">
        <v>18356</v>
      </c>
      <c r="G3748" s="82"/>
      <c r="H3748" s="96">
        <f t="shared" si="232"/>
        <v>9.75</v>
      </c>
      <c r="I3748" s="96">
        <f t="shared" si="232"/>
        <v>10.39</v>
      </c>
      <c r="J3748" s="91" t="str">
        <f t="shared" si="233"/>
        <v>Sinapi 89411</v>
      </c>
      <c r="K3748" s="91" t="str">
        <f t="shared" si="234"/>
        <v>UN</v>
      </c>
      <c r="L3748" s="166" t="str">
        <f t="shared" si="235"/>
        <v>06/2022</v>
      </c>
      <c r="M3748" s="82"/>
      <c r="N3748" s="82"/>
    </row>
    <row r="3749" spans="1:14" x14ac:dyDescent="0.25">
      <c r="A3749" s="170" t="s">
        <v>6503</v>
      </c>
      <c r="B3749" s="170" t="s">
        <v>16585</v>
      </c>
      <c r="C3749" s="170" t="s">
        <v>205</v>
      </c>
      <c r="D3749" s="170" t="s">
        <v>2067</v>
      </c>
      <c r="E3749" s="171" t="s">
        <v>17397</v>
      </c>
      <c r="F3749" s="171" t="s">
        <v>15702</v>
      </c>
      <c r="G3749" s="82"/>
      <c r="H3749" s="96">
        <f t="shared" si="232"/>
        <v>9.17</v>
      </c>
      <c r="I3749" s="96">
        <f t="shared" si="232"/>
        <v>9.77</v>
      </c>
      <c r="J3749" s="91" t="str">
        <f t="shared" si="233"/>
        <v>Sinapi 89412</v>
      </c>
      <c r="K3749" s="91" t="str">
        <f t="shared" si="234"/>
        <v>UN</v>
      </c>
      <c r="L3749" s="166" t="str">
        <f t="shared" si="235"/>
        <v>06/2022</v>
      </c>
      <c r="M3749" s="82"/>
      <c r="N3749" s="82"/>
    </row>
    <row r="3750" spans="1:14" x14ac:dyDescent="0.25">
      <c r="A3750" s="170" t="s">
        <v>6504</v>
      </c>
      <c r="B3750" s="170" t="s">
        <v>16586</v>
      </c>
      <c r="C3750" s="170" t="s">
        <v>205</v>
      </c>
      <c r="D3750" s="170" t="s">
        <v>2067</v>
      </c>
      <c r="E3750" s="171" t="s">
        <v>11132</v>
      </c>
      <c r="F3750" s="171" t="s">
        <v>7420</v>
      </c>
      <c r="G3750" s="82"/>
      <c r="H3750" s="96">
        <f t="shared" si="232"/>
        <v>11.27</v>
      </c>
      <c r="I3750" s="96">
        <f t="shared" si="232"/>
        <v>12.03</v>
      </c>
      <c r="J3750" s="91" t="str">
        <f t="shared" si="233"/>
        <v>Sinapi 89413</v>
      </c>
      <c r="K3750" s="91" t="str">
        <f t="shared" si="234"/>
        <v>UN</v>
      </c>
      <c r="L3750" s="166" t="str">
        <f t="shared" si="235"/>
        <v>06/2022</v>
      </c>
      <c r="M3750" s="82"/>
      <c r="N3750" s="82"/>
    </row>
    <row r="3751" spans="1:14" x14ac:dyDescent="0.25">
      <c r="A3751" s="170" t="s">
        <v>6505</v>
      </c>
      <c r="B3751" s="170" t="s">
        <v>16587</v>
      </c>
      <c r="C3751" s="170" t="s">
        <v>205</v>
      </c>
      <c r="D3751" s="170" t="s">
        <v>2067</v>
      </c>
      <c r="E3751" s="171" t="s">
        <v>25202</v>
      </c>
      <c r="F3751" s="171" t="s">
        <v>11117</v>
      </c>
      <c r="G3751" s="82"/>
      <c r="H3751" s="96">
        <f t="shared" si="232"/>
        <v>13.29</v>
      </c>
      <c r="I3751" s="96">
        <f t="shared" si="232"/>
        <v>14.05</v>
      </c>
      <c r="J3751" s="91" t="str">
        <f t="shared" si="233"/>
        <v>Sinapi 89414</v>
      </c>
      <c r="K3751" s="91" t="str">
        <f t="shared" si="234"/>
        <v>UN</v>
      </c>
      <c r="L3751" s="166" t="str">
        <f t="shared" si="235"/>
        <v>06/2022</v>
      </c>
      <c r="M3751" s="82"/>
      <c r="N3751" s="82"/>
    </row>
    <row r="3752" spans="1:14" x14ac:dyDescent="0.25">
      <c r="A3752" s="170" t="s">
        <v>6506</v>
      </c>
      <c r="B3752" s="170" t="s">
        <v>16588</v>
      </c>
      <c r="C3752" s="170" t="s">
        <v>205</v>
      </c>
      <c r="D3752" s="170" t="s">
        <v>2067</v>
      </c>
      <c r="E3752" s="171" t="s">
        <v>20358</v>
      </c>
      <c r="F3752" s="171" t="s">
        <v>17968</v>
      </c>
      <c r="G3752" s="82"/>
      <c r="H3752" s="96">
        <f t="shared" si="232"/>
        <v>16.010000000000002</v>
      </c>
      <c r="I3752" s="96">
        <f t="shared" si="232"/>
        <v>16.77</v>
      </c>
      <c r="J3752" s="91" t="str">
        <f t="shared" si="233"/>
        <v>Sinapi 89415</v>
      </c>
      <c r="K3752" s="91" t="str">
        <f t="shared" si="234"/>
        <v>UN</v>
      </c>
      <c r="L3752" s="166" t="str">
        <f t="shared" si="235"/>
        <v>06/2022</v>
      </c>
      <c r="M3752" s="82"/>
      <c r="N3752" s="82"/>
    </row>
    <row r="3753" spans="1:14" x14ac:dyDescent="0.25">
      <c r="A3753" s="170" t="s">
        <v>6507</v>
      </c>
      <c r="B3753" s="170" t="s">
        <v>16589</v>
      </c>
      <c r="C3753" s="170" t="s">
        <v>205</v>
      </c>
      <c r="D3753" s="170" t="s">
        <v>2067</v>
      </c>
      <c r="E3753" s="171" t="s">
        <v>15719</v>
      </c>
      <c r="F3753" s="171" t="s">
        <v>11131</v>
      </c>
      <c r="G3753" s="82"/>
      <c r="H3753" s="96">
        <f t="shared" si="232"/>
        <v>13.67</v>
      </c>
      <c r="I3753" s="96">
        <f t="shared" si="232"/>
        <v>14.43</v>
      </c>
      <c r="J3753" s="91" t="str">
        <f t="shared" si="233"/>
        <v>Sinapi 89416</v>
      </c>
      <c r="K3753" s="91" t="str">
        <f t="shared" si="234"/>
        <v>UN</v>
      </c>
      <c r="L3753" s="166" t="str">
        <f t="shared" si="235"/>
        <v>06/2022</v>
      </c>
      <c r="M3753" s="82"/>
      <c r="N3753" s="82"/>
    </row>
    <row r="3754" spans="1:14" x14ac:dyDescent="0.25">
      <c r="A3754" s="170" t="s">
        <v>6508</v>
      </c>
      <c r="B3754" s="170" t="s">
        <v>16590</v>
      </c>
      <c r="C3754" s="170" t="s">
        <v>205</v>
      </c>
      <c r="D3754" s="170" t="s">
        <v>2067</v>
      </c>
      <c r="E3754" s="171" t="s">
        <v>16386</v>
      </c>
      <c r="F3754" s="171" t="s">
        <v>5225</v>
      </c>
      <c r="G3754" s="82"/>
      <c r="H3754" s="96">
        <f t="shared" si="232"/>
        <v>5.03</v>
      </c>
      <c r="I3754" s="96">
        <f t="shared" si="232"/>
        <v>5.41</v>
      </c>
      <c r="J3754" s="91" t="str">
        <f t="shared" si="233"/>
        <v>Sinapi 89417</v>
      </c>
      <c r="K3754" s="91" t="str">
        <f t="shared" si="234"/>
        <v>UN</v>
      </c>
      <c r="L3754" s="166" t="str">
        <f t="shared" si="235"/>
        <v>06/2022</v>
      </c>
      <c r="M3754" s="82"/>
      <c r="N3754" s="82"/>
    </row>
    <row r="3755" spans="1:14" x14ac:dyDescent="0.25">
      <c r="A3755" s="170" t="s">
        <v>6509</v>
      </c>
      <c r="B3755" s="170" t="s">
        <v>16591</v>
      </c>
      <c r="C3755" s="170" t="s">
        <v>205</v>
      </c>
      <c r="D3755" s="170" t="s">
        <v>2067</v>
      </c>
      <c r="E3755" s="171" t="s">
        <v>15525</v>
      </c>
      <c r="F3755" s="171" t="s">
        <v>15539</v>
      </c>
      <c r="G3755" s="82"/>
      <c r="H3755" s="96">
        <f t="shared" si="232"/>
        <v>16.59</v>
      </c>
      <c r="I3755" s="96">
        <f t="shared" si="232"/>
        <v>16.97</v>
      </c>
      <c r="J3755" s="91" t="str">
        <f t="shared" si="233"/>
        <v>Sinapi 89418</v>
      </c>
      <c r="K3755" s="91" t="str">
        <f t="shared" si="234"/>
        <v>UN</v>
      </c>
      <c r="L3755" s="166" t="str">
        <f t="shared" si="235"/>
        <v>06/2022</v>
      </c>
      <c r="M3755" s="82"/>
      <c r="N3755" s="82"/>
    </row>
    <row r="3756" spans="1:14" x14ac:dyDescent="0.25">
      <c r="A3756" s="170" t="s">
        <v>6510</v>
      </c>
      <c r="B3756" s="170" t="s">
        <v>16592</v>
      </c>
      <c r="C3756" s="170" t="s">
        <v>205</v>
      </c>
      <c r="D3756" s="170" t="s">
        <v>2067</v>
      </c>
      <c r="E3756" s="171" t="s">
        <v>5263</v>
      </c>
      <c r="F3756" s="171" t="s">
        <v>16362</v>
      </c>
      <c r="G3756" s="82"/>
      <c r="H3756" s="96">
        <f t="shared" si="232"/>
        <v>6.23</v>
      </c>
      <c r="I3756" s="96">
        <f t="shared" si="232"/>
        <v>6.63</v>
      </c>
      <c r="J3756" s="91" t="str">
        <f t="shared" si="233"/>
        <v>Sinapi 89419</v>
      </c>
      <c r="K3756" s="91" t="str">
        <f t="shared" si="234"/>
        <v>UN</v>
      </c>
      <c r="L3756" s="166" t="str">
        <f t="shared" si="235"/>
        <v>06/2022</v>
      </c>
      <c r="M3756" s="82"/>
      <c r="N3756" s="82"/>
    </row>
    <row r="3757" spans="1:14" x14ac:dyDescent="0.25">
      <c r="A3757" s="170" t="s">
        <v>6511</v>
      </c>
      <c r="B3757" s="170" t="s">
        <v>16593</v>
      </c>
      <c r="C3757" s="170" t="s">
        <v>205</v>
      </c>
      <c r="D3757" s="170" t="s">
        <v>2067</v>
      </c>
      <c r="E3757" s="171" t="s">
        <v>14793</v>
      </c>
      <c r="F3757" s="171" t="s">
        <v>28559</v>
      </c>
      <c r="G3757" s="82"/>
      <c r="H3757" s="96">
        <f t="shared" si="232"/>
        <v>11.92</v>
      </c>
      <c r="I3757" s="96">
        <f t="shared" si="232"/>
        <v>12.3</v>
      </c>
      <c r="J3757" s="91" t="str">
        <f t="shared" si="233"/>
        <v>Sinapi 89421</v>
      </c>
      <c r="K3757" s="91" t="str">
        <f t="shared" si="234"/>
        <v>UN</v>
      </c>
      <c r="L3757" s="166" t="str">
        <f t="shared" si="235"/>
        <v>06/2022</v>
      </c>
      <c r="M3757" s="82"/>
      <c r="N3757" s="82"/>
    </row>
    <row r="3758" spans="1:14" x14ac:dyDescent="0.25">
      <c r="A3758" s="170" t="s">
        <v>6512</v>
      </c>
      <c r="B3758" s="170" t="s">
        <v>16594</v>
      </c>
      <c r="C3758" s="170" t="s">
        <v>205</v>
      </c>
      <c r="D3758" s="170" t="s">
        <v>2067</v>
      </c>
      <c r="E3758" s="171" t="s">
        <v>18134</v>
      </c>
      <c r="F3758" s="171" t="s">
        <v>14917</v>
      </c>
      <c r="G3758" s="82"/>
      <c r="H3758" s="96">
        <f t="shared" si="232"/>
        <v>9.91</v>
      </c>
      <c r="I3758" s="96">
        <f t="shared" si="232"/>
        <v>10.29</v>
      </c>
      <c r="J3758" s="91" t="str">
        <f t="shared" si="233"/>
        <v>Sinapi 89423</v>
      </c>
      <c r="K3758" s="91" t="str">
        <f t="shared" si="234"/>
        <v>UN</v>
      </c>
      <c r="L3758" s="166" t="str">
        <f t="shared" si="235"/>
        <v>06/2022</v>
      </c>
      <c r="M3758" s="82"/>
      <c r="N3758" s="82"/>
    </row>
    <row r="3759" spans="1:14" x14ac:dyDescent="0.25">
      <c r="A3759" s="170" t="s">
        <v>6513</v>
      </c>
      <c r="B3759" s="170" t="s">
        <v>16595</v>
      </c>
      <c r="C3759" s="170" t="s">
        <v>205</v>
      </c>
      <c r="D3759" s="170" t="s">
        <v>2067</v>
      </c>
      <c r="E3759" s="171" t="s">
        <v>14590</v>
      </c>
      <c r="F3759" s="171" t="s">
        <v>20128</v>
      </c>
      <c r="G3759" s="82"/>
      <c r="H3759" s="96">
        <f t="shared" si="232"/>
        <v>5.97</v>
      </c>
      <c r="I3759" s="96">
        <f t="shared" si="232"/>
        <v>6.39</v>
      </c>
      <c r="J3759" s="91" t="str">
        <f t="shared" si="233"/>
        <v>Sinapi 89424</v>
      </c>
      <c r="K3759" s="91" t="str">
        <f t="shared" si="234"/>
        <v>UN</v>
      </c>
      <c r="L3759" s="166" t="str">
        <f t="shared" si="235"/>
        <v>06/2022</v>
      </c>
      <c r="M3759" s="82"/>
      <c r="N3759" s="82"/>
    </row>
    <row r="3760" spans="1:14" x14ac:dyDescent="0.25">
      <c r="A3760" s="170" t="s">
        <v>6514</v>
      </c>
      <c r="B3760" s="170" t="s">
        <v>16596</v>
      </c>
      <c r="C3760" s="170" t="s">
        <v>205</v>
      </c>
      <c r="D3760" s="170" t="s">
        <v>2067</v>
      </c>
      <c r="E3760" s="171" t="s">
        <v>14777</v>
      </c>
      <c r="F3760" s="171" t="s">
        <v>36744</v>
      </c>
      <c r="G3760" s="82"/>
      <c r="H3760" s="96">
        <f t="shared" si="232"/>
        <v>19.510000000000002</v>
      </c>
      <c r="I3760" s="96">
        <f t="shared" si="232"/>
        <v>19.93</v>
      </c>
      <c r="J3760" s="91" t="str">
        <f t="shared" si="233"/>
        <v>Sinapi 89425</v>
      </c>
      <c r="K3760" s="91" t="str">
        <f t="shared" si="234"/>
        <v>UN</v>
      </c>
      <c r="L3760" s="166" t="str">
        <f t="shared" si="235"/>
        <v>06/2022</v>
      </c>
      <c r="M3760" s="82"/>
      <c r="N3760" s="82"/>
    </row>
    <row r="3761" spans="1:14" x14ac:dyDescent="0.25">
      <c r="A3761" s="170" t="s">
        <v>6515</v>
      </c>
      <c r="B3761" s="170" t="s">
        <v>16597</v>
      </c>
      <c r="C3761" s="170" t="s">
        <v>205</v>
      </c>
      <c r="D3761" s="170" t="s">
        <v>2067</v>
      </c>
      <c r="E3761" s="171" t="s">
        <v>14353</v>
      </c>
      <c r="F3761" s="171" t="s">
        <v>19897</v>
      </c>
      <c r="G3761" s="82"/>
      <c r="H3761" s="96">
        <f t="shared" si="232"/>
        <v>9.26</v>
      </c>
      <c r="I3761" s="96">
        <f t="shared" si="232"/>
        <v>9.7200000000000006</v>
      </c>
      <c r="J3761" s="91" t="str">
        <f t="shared" si="233"/>
        <v>Sinapi 89426</v>
      </c>
      <c r="K3761" s="91" t="str">
        <f t="shared" si="234"/>
        <v>UN</v>
      </c>
      <c r="L3761" s="166" t="str">
        <f t="shared" si="235"/>
        <v>06/2022</v>
      </c>
      <c r="M3761" s="82"/>
      <c r="N3761" s="82"/>
    </row>
    <row r="3762" spans="1:14" x14ac:dyDescent="0.25">
      <c r="A3762" s="170" t="s">
        <v>6516</v>
      </c>
      <c r="B3762" s="170" t="s">
        <v>16598</v>
      </c>
      <c r="C3762" s="170" t="s">
        <v>205</v>
      </c>
      <c r="D3762" s="170" t="s">
        <v>2067</v>
      </c>
      <c r="E3762" s="171" t="s">
        <v>28559</v>
      </c>
      <c r="F3762" s="171" t="s">
        <v>15652</v>
      </c>
      <c r="G3762" s="82"/>
      <c r="H3762" s="96">
        <f t="shared" si="232"/>
        <v>12.3</v>
      </c>
      <c r="I3762" s="96">
        <f t="shared" si="232"/>
        <v>12.7</v>
      </c>
      <c r="J3762" s="91" t="str">
        <f t="shared" si="233"/>
        <v>Sinapi 89427</v>
      </c>
      <c r="K3762" s="91" t="str">
        <f t="shared" si="234"/>
        <v>UN</v>
      </c>
      <c r="L3762" s="166" t="str">
        <f t="shared" si="235"/>
        <v>06/2022</v>
      </c>
      <c r="M3762" s="82"/>
      <c r="N3762" s="82"/>
    </row>
    <row r="3763" spans="1:14" x14ac:dyDescent="0.25">
      <c r="A3763" s="170" t="s">
        <v>6517</v>
      </c>
      <c r="B3763" s="170" t="s">
        <v>16599</v>
      </c>
      <c r="C3763" s="170" t="s">
        <v>205</v>
      </c>
      <c r="D3763" s="170" t="s">
        <v>2067</v>
      </c>
      <c r="E3763" s="171" t="s">
        <v>20204</v>
      </c>
      <c r="F3763" s="171" t="s">
        <v>19960</v>
      </c>
      <c r="G3763" s="82"/>
      <c r="H3763" s="96">
        <f t="shared" si="232"/>
        <v>14.4</v>
      </c>
      <c r="I3763" s="96">
        <f t="shared" si="232"/>
        <v>14.82</v>
      </c>
      <c r="J3763" s="91" t="str">
        <f t="shared" si="233"/>
        <v>Sinapi 89428</v>
      </c>
      <c r="K3763" s="91" t="str">
        <f t="shared" si="234"/>
        <v>UN</v>
      </c>
      <c r="L3763" s="166" t="str">
        <f t="shared" si="235"/>
        <v>06/2022</v>
      </c>
      <c r="M3763" s="82"/>
      <c r="N3763" s="82"/>
    </row>
    <row r="3764" spans="1:14" x14ac:dyDescent="0.25">
      <c r="A3764" s="170" t="s">
        <v>6518</v>
      </c>
      <c r="B3764" s="170" t="s">
        <v>16600</v>
      </c>
      <c r="C3764" s="170" t="s">
        <v>205</v>
      </c>
      <c r="D3764" s="170" t="s">
        <v>2067</v>
      </c>
      <c r="E3764" s="171" t="s">
        <v>29245</v>
      </c>
      <c r="F3764" s="171" t="s">
        <v>18555</v>
      </c>
      <c r="G3764" s="82"/>
      <c r="H3764" s="96">
        <f t="shared" si="232"/>
        <v>5.63</v>
      </c>
      <c r="I3764" s="96">
        <f t="shared" si="232"/>
        <v>6.03</v>
      </c>
      <c r="J3764" s="91" t="str">
        <f t="shared" si="233"/>
        <v>Sinapi 89429</v>
      </c>
      <c r="K3764" s="91" t="str">
        <f t="shared" si="234"/>
        <v>UN</v>
      </c>
      <c r="L3764" s="166" t="str">
        <f t="shared" si="235"/>
        <v>06/2022</v>
      </c>
      <c r="M3764" s="82"/>
      <c r="N3764" s="82"/>
    </row>
    <row r="3765" spans="1:14" x14ac:dyDescent="0.25">
      <c r="A3765" s="170" t="s">
        <v>6519</v>
      </c>
      <c r="B3765" s="170" t="s">
        <v>16601</v>
      </c>
      <c r="C3765" s="170" t="s">
        <v>205</v>
      </c>
      <c r="D3765" s="170" t="s">
        <v>2067</v>
      </c>
      <c r="E3765" s="171" t="s">
        <v>16301</v>
      </c>
      <c r="F3765" s="171" t="s">
        <v>23023</v>
      </c>
      <c r="G3765" s="82"/>
      <c r="H3765" s="96">
        <f t="shared" si="232"/>
        <v>12.86</v>
      </c>
      <c r="I3765" s="96">
        <f t="shared" si="232"/>
        <v>13.28</v>
      </c>
      <c r="J3765" s="91" t="str">
        <f t="shared" si="233"/>
        <v>Sinapi 89430</v>
      </c>
      <c r="K3765" s="91" t="str">
        <f t="shared" si="234"/>
        <v>UN</v>
      </c>
      <c r="L3765" s="166" t="str">
        <f t="shared" si="235"/>
        <v>06/2022</v>
      </c>
      <c r="M3765" s="82"/>
      <c r="N3765" s="82"/>
    </row>
    <row r="3766" spans="1:14" x14ac:dyDescent="0.25">
      <c r="A3766" s="170" t="s">
        <v>6520</v>
      </c>
      <c r="B3766" s="170" t="s">
        <v>16602</v>
      </c>
      <c r="C3766" s="170" t="s">
        <v>205</v>
      </c>
      <c r="D3766" s="170" t="s">
        <v>2067</v>
      </c>
      <c r="E3766" s="171" t="s">
        <v>13849</v>
      </c>
      <c r="F3766" s="171" t="s">
        <v>16404</v>
      </c>
      <c r="G3766" s="82"/>
      <c r="H3766" s="96">
        <f t="shared" si="232"/>
        <v>8.5500000000000007</v>
      </c>
      <c r="I3766" s="96">
        <f t="shared" si="232"/>
        <v>9.0500000000000007</v>
      </c>
      <c r="J3766" s="91" t="str">
        <f t="shared" si="233"/>
        <v>Sinapi 89431</v>
      </c>
      <c r="K3766" s="91" t="str">
        <f t="shared" si="234"/>
        <v>UN</v>
      </c>
      <c r="L3766" s="166" t="str">
        <f t="shared" si="235"/>
        <v>06/2022</v>
      </c>
      <c r="M3766" s="82"/>
      <c r="N3766" s="82"/>
    </row>
    <row r="3767" spans="1:14" x14ac:dyDescent="0.25">
      <c r="A3767" s="170" t="s">
        <v>6521</v>
      </c>
      <c r="B3767" s="170" t="s">
        <v>16603</v>
      </c>
      <c r="C3767" s="170" t="s">
        <v>205</v>
      </c>
      <c r="D3767" s="170" t="s">
        <v>2067</v>
      </c>
      <c r="E3767" s="171" t="s">
        <v>18701</v>
      </c>
      <c r="F3767" s="171" t="s">
        <v>28839</v>
      </c>
      <c r="G3767" s="82"/>
      <c r="H3767" s="96">
        <f t="shared" si="232"/>
        <v>31.95</v>
      </c>
      <c r="I3767" s="96">
        <f t="shared" si="232"/>
        <v>32.450000000000003</v>
      </c>
      <c r="J3767" s="91" t="str">
        <f t="shared" si="233"/>
        <v>Sinapi 89432</v>
      </c>
      <c r="K3767" s="91" t="str">
        <f t="shared" si="234"/>
        <v>UN</v>
      </c>
      <c r="L3767" s="166" t="str">
        <f t="shared" si="235"/>
        <v>06/2022</v>
      </c>
      <c r="M3767" s="82"/>
      <c r="N3767" s="82"/>
    </row>
    <row r="3768" spans="1:14" x14ac:dyDescent="0.25">
      <c r="A3768" s="170" t="s">
        <v>6522</v>
      </c>
      <c r="B3768" s="170" t="s">
        <v>16604</v>
      </c>
      <c r="C3768" s="170" t="s">
        <v>205</v>
      </c>
      <c r="D3768" s="170" t="s">
        <v>2067</v>
      </c>
      <c r="E3768" s="171" t="s">
        <v>21151</v>
      </c>
      <c r="F3768" s="171" t="s">
        <v>22787</v>
      </c>
      <c r="G3768" s="82"/>
      <c r="H3768" s="96">
        <f t="shared" si="232"/>
        <v>13.07</v>
      </c>
      <c r="I3768" s="96">
        <f t="shared" si="232"/>
        <v>13.63</v>
      </c>
      <c r="J3768" s="91" t="str">
        <f t="shared" si="233"/>
        <v>Sinapi 89433</v>
      </c>
      <c r="K3768" s="91" t="str">
        <f t="shared" si="234"/>
        <v>UN</v>
      </c>
      <c r="L3768" s="166" t="str">
        <f t="shared" si="235"/>
        <v>06/2022</v>
      </c>
      <c r="M3768" s="82"/>
      <c r="N3768" s="82"/>
    </row>
    <row r="3769" spans="1:14" x14ac:dyDescent="0.25">
      <c r="A3769" s="170" t="s">
        <v>6523</v>
      </c>
      <c r="B3769" s="170" t="s">
        <v>16605</v>
      </c>
      <c r="C3769" s="170" t="s">
        <v>205</v>
      </c>
      <c r="D3769" s="170" t="s">
        <v>2067</v>
      </c>
      <c r="E3769" s="171" t="s">
        <v>15699</v>
      </c>
      <c r="F3769" s="171" t="s">
        <v>21325</v>
      </c>
      <c r="G3769" s="82"/>
      <c r="H3769" s="96">
        <f t="shared" si="232"/>
        <v>10.9</v>
      </c>
      <c r="I3769" s="96">
        <f t="shared" si="232"/>
        <v>11.36</v>
      </c>
      <c r="J3769" s="91" t="str">
        <f t="shared" si="233"/>
        <v>Sinapi 89434</v>
      </c>
      <c r="K3769" s="91" t="str">
        <f t="shared" si="234"/>
        <v>UN</v>
      </c>
      <c r="L3769" s="166" t="str">
        <f t="shared" si="235"/>
        <v>06/2022</v>
      </c>
      <c r="M3769" s="82"/>
      <c r="N3769" s="82"/>
    </row>
    <row r="3770" spans="1:14" x14ac:dyDescent="0.25">
      <c r="A3770" s="170" t="s">
        <v>6524</v>
      </c>
      <c r="B3770" s="170" t="s">
        <v>16606</v>
      </c>
      <c r="C3770" s="170" t="s">
        <v>205</v>
      </c>
      <c r="D3770" s="170" t="s">
        <v>2067</v>
      </c>
      <c r="E3770" s="171" t="s">
        <v>29257</v>
      </c>
      <c r="F3770" s="171" t="s">
        <v>18696</v>
      </c>
      <c r="G3770" s="82"/>
      <c r="H3770" s="96">
        <f t="shared" si="232"/>
        <v>22.01</v>
      </c>
      <c r="I3770" s="96">
        <f t="shared" si="232"/>
        <v>22.51</v>
      </c>
      <c r="J3770" s="91" t="str">
        <f t="shared" si="233"/>
        <v>Sinapi 89435</v>
      </c>
      <c r="K3770" s="91" t="str">
        <f t="shared" si="234"/>
        <v>UN</v>
      </c>
      <c r="L3770" s="166" t="str">
        <f t="shared" si="235"/>
        <v>06/2022</v>
      </c>
      <c r="M3770" s="82"/>
      <c r="N3770" s="82"/>
    </row>
    <row r="3771" spans="1:14" x14ac:dyDescent="0.25">
      <c r="A3771" s="170" t="s">
        <v>6525</v>
      </c>
      <c r="B3771" s="170" t="s">
        <v>16607</v>
      </c>
      <c r="C3771" s="170" t="s">
        <v>205</v>
      </c>
      <c r="D3771" s="170" t="s">
        <v>2067</v>
      </c>
      <c r="E3771" s="171" t="s">
        <v>23384</v>
      </c>
      <c r="F3771" s="171" t="s">
        <v>17147</v>
      </c>
      <c r="G3771" s="82"/>
      <c r="H3771" s="96">
        <f t="shared" si="232"/>
        <v>7.72</v>
      </c>
      <c r="I3771" s="96">
        <f t="shared" si="232"/>
        <v>8.18</v>
      </c>
      <c r="J3771" s="91" t="str">
        <f t="shared" si="233"/>
        <v>Sinapi 89436</v>
      </c>
      <c r="K3771" s="91" t="str">
        <f t="shared" si="234"/>
        <v>UN</v>
      </c>
      <c r="L3771" s="166" t="str">
        <f t="shared" si="235"/>
        <v>06/2022</v>
      </c>
      <c r="M3771" s="82"/>
      <c r="N3771" s="82"/>
    </row>
    <row r="3772" spans="1:14" x14ac:dyDescent="0.25">
      <c r="A3772" s="170" t="s">
        <v>6526</v>
      </c>
      <c r="B3772" s="170" t="s">
        <v>16608</v>
      </c>
      <c r="C3772" s="170" t="s">
        <v>205</v>
      </c>
      <c r="D3772" s="170" t="s">
        <v>2067</v>
      </c>
      <c r="E3772" s="171" t="s">
        <v>33541</v>
      </c>
      <c r="F3772" s="171" t="s">
        <v>36745</v>
      </c>
      <c r="G3772" s="82"/>
      <c r="H3772" s="96">
        <f t="shared" si="232"/>
        <v>25.59</v>
      </c>
      <c r="I3772" s="96">
        <f t="shared" si="232"/>
        <v>26.09</v>
      </c>
      <c r="J3772" s="91" t="str">
        <f t="shared" si="233"/>
        <v>Sinapi 89437</v>
      </c>
      <c r="K3772" s="91" t="str">
        <f t="shared" si="234"/>
        <v>UN</v>
      </c>
      <c r="L3772" s="166" t="str">
        <f t="shared" si="235"/>
        <v>06/2022</v>
      </c>
      <c r="M3772" s="82"/>
      <c r="N3772" s="82"/>
    </row>
    <row r="3773" spans="1:14" x14ac:dyDescent="0.25">
      <c r="A3773" s="170" t="s">
        <v>6527</v>
      </c>
      <c r="B3773" s="170" t="s">
        <v>16609</v>
      </c>
      <c r="C3773" s="170" t="s">
        <v>205</v>
      </c>
      <c r="D3773" s="170" t="s">
        <v>2067</v>
      </c>
      <c r="E3773" s="171" t="s">
        <v>16198</v>
      </c>
      <c r="F3773" s="171" t="s">
        <v>12333</v>
      </c>
      <c r="G3773" s="82"/>
      <c r="H3773" s="96">
        <f t="shared" si="232"/>
        <v>9.07</v>
      </c>
      <c r="I3773" s="96">
        <f t="shared" si="232"/>
        <v>9.81</v>
      </c>
      <c r="J3773" s="91" t="str">
        <f t="shared" si="233"/>
        <v>Sinapi 89438</v>
      </c>
      <c r="K3773" s="91" t="str">
        <f t="shared" si="234"/>
        <v>UN</v>
      </c>
      <c r="L3773" s="166" t="str">
        <f t="shared" si="235"/>
        <v>06/2022</v>
      </c>
      <c r="M3773" s="82"/>
      <c r="N3773" s="82"/>
    </row>
    <row r="3774" spans="1:14" x14ac:dyDescent="0.25">
      <c r="A3774" s="170" t="s">
        <v>6528</v>
      </c>
      <c r="B3774" s="170" t="s">
        <v>16610</v>
      </c>
      <c r="C3774" s="170" t="s">
        <v>205</v>
      </c>
      <c r="D3774" s="170" t="s">
        <v>2067</v>
      </c>
      <c r="E3774" s="171" t="s">
        <v>14341</v>
      </c>
      <c r="F3774" s="171" t="s">
        <v>19290</v>
      </c>
      <c r="G3774" s="82"/>
      <c r="H3774" s="96">
        <f t="shared" si="232"/>
        <v>10.8</v>
      </c>
      <c r="I3774" s="96">
        <f t="shared" si="232"/>
        <v>11.54</v>
      </c>
      <c r="J3774" s="91" t="str">
        <f t="shared" si="233"/>
        <v>Sinapi 89439</v>
      </c>
      <c r="K3774" s="91" t="str">
        <f t="shared" si="234"/>
        <v>UN</v>
      </c>
      <c r="L3774" s="166" t="str">
        <f t="shared" si="235"/>
        <v>06/2022</v>
      </c>
      <c r="M3774" s="82"/>
      <c r="N3774" s="82"/>
    </row>
    <row r="3775" spans="1:14" x14ac:dyDescent="0.25">
      <c r="A3775" s="170" t="s">
        <v>6529</v>
      </c>
      <c r="B3775" s="170" t="s">
        <v>16611</v>
      </c>
      <c r="C3775" s="170" t="s">
        <v>205</v>
      </c>
      <c r="D3775" s="170" t="s">
        <v>2067</v>
      </c>
      <c r="E3775" s="171" t="s">
        <v>14341</v>
      </c>
      <c r="F3775" s="171" t="s">
        <v>18708</v>
      </c>
      <c r="G3775" s="82"/>
      <c r="H3775" s="96">
        <f t="shared" si="232"/>
        <v>10.8</v>
      </c>
      <c r="I3775" s="96">
        <f t="shared" si="232"/>
        <v>11.66</v>
      </c>
      <c r="J3775" s="91" t="str">
        <f t="shared" si="233"/>
        <v>Sinapi 89440</v>
      </c>
      <c r="K3775" s="91" t="str">
        <f t="shared" si="234"/>
        <v>UN</v>
      </c>
      <c r="L3775" s="166" t="str">
        <f t="shared" si="235"/>
        <v>06/2022</v>
      </c>
      <c r="M3775" s="82"/>
      <c r="N3775" s="82"/>
    </row>
    <row r="3776" spans="1:14" x14ac:dyDescent="0.25">
      <c r="A3776" s="170" t="s">
        <v>6530</v>
      </c>
      <c r="B3776" s="170" t="s">
        <v>16612</v>
      </c>
      <c r="C3776" s="170" t="s">
        <v>205</v>
      </c>
      <c r="D3776" s="170" t="s">
        <v>2067</v>
      </c>
      <c r="E3776" s="171" t="s">
        <v>28657</v>
      </c>
      <c r="F3776" s="171" t="s">
        <v>14781</v>
      </c>
      <c r="G3776" s="82"/>
      <c r="H3776" s="96">
        <f t="shared" si="232"/>
        <v>13.11</v>
      </c>
      <c r="I3776" s="96">
        <f t="shared" si="232"/>
        <v>13.92</v>
      </c>
      <c r="J3776" s="91" t="str">
        <f t="shared" si="233"/>
        <v>Sinapi 89442</v>
      </c>
      <c r="K3776" s="91" t="str">
        <f t="shared" si="234"/>
        <v>UN</v>
      </c>
      <c r="L3776" s="166" t="str">
        <f t="shared" si="235"/>
        <v>06/2022</v>
      </c>
      <c r="M3776" s="82"/>
      <c r="N3776" s="82"/>
    </row>
    <row r="3777" spans="1:14" x14ac:dyDescent="0.25">
      <c r="A3777" s="170" t="s">
        <v>6531</v>
      </c>
      <c r="B3777" s="170" t="s">
        <v>16613</v>
      </c>
      <c r="C3777" s="170" t="s">
        <v>205</v>
      </c>
      <c r="D3777" s="170" t="s">
        <v>2067</v>
      </c>
      <c r="E3777" s="171" t="s">
        <v>6169</v>
      </c>
      <c r="F3777" s="171" t="s">
        <v>15539</v>
      </c>
      <c r="G3777" s="82"/>
      <c r="H3777" s="96">
        <f t="shared" si="232"/>
        <v>15.95</v>
      </c>
      <c r="I3777" s="96">
        <f t="shared" si="232"/>
        <v>16.97</v>
      </c>
      <c r="J3777" s="91" t="str">
        <f t="shared" si="233"/>
        <v>Sinapi 89443</v>
      </c>
      <c r="K3777" s="91" t="str">
        <f t="shared" si="234"/>
        <v>UN</v>
      </c>
      <c r="L3777" s="166" t="str">
        <f t="shared" si="235"/>
        <v>06/2022</v>
      </c>
      <c r="M3777" s="82"/>
      <c r="N3777" s="82"/>
    </row>
    <row r="3778" spans="1:14" x14ac:dyDescent="0.25">
      <c r="A3778" s="170" t="s">
        <v>6532</v>
      </c>
      <c r="B3778" s="170" t="s">
        <v>16614</v>
      </c>
      <c r="C3778" s="170" t="s">
        <v>205</v>
      </c>
      <c r="D3778" s="170" t="s">
        <v>2067</v>
      </c>
      <c r="E3778" s="171" t="s">
        <v>21519</v>
      </c>
      <c r="F3778" s="171" t="s">
        <v>20464</v>
      </c>
      <c r="G3778" s="82"/>
      <c r="H3778" s="96">
        <f t="shared" si="232"/>
        <v>24.73</v>
      </c>
      <c r="I3778" s="96">
        <f t="shared" si="232"/>
        <v>25.61</v>
      </c>
      <c r="J3778" s="91" t="str">
        <f t="shared" si="233"/>
        <v>Sinapi 89444</v>
      </c>
      <c r="K3778" s="91" t="str">
        <f t="shared" si="234"/>
        <v>UN</v>
      </c>
      <c r="L3778" s="166" t="str">
        <f t="shared" si="235"/>
        <v>06/2022</v>
      </c>
      <c r="M3778" s="82"/>
      <c r="N3778" s="82"/>
    </row>
    <row r="3779" spans="1:14" x14ac:dyDescent="0.25">
      <c r="A3779" s="170" t="s">
        <v>6534</v>
      </c>
      <c r="B3779" s="170" t="s">
        <v>16615</v>
      </c>
      <c r="C3779" s="170" t="s">
        <v>205</v>
      </c>
      <c r="D3779" s="170" t="s">
        <v>2067</v>
      </c>
      <c r="E3779" s="171" t="s">
        <v>22020</v>
      </c>
      <c r="F3779" s="171" t="s">
        <v>19375</v>
      </c>
      <c r="G3779" s="82"/>
      <c r="H3779" s="96">
        <f t="shared" si="232"/>
        <v>18.32</v>
      </c>
      <c r="I3779" s="96">
        <f t="shared" si="232"/>
        <v>19.260000000000002</v>
      </c>
      <c r="J3779" s="91" t="str">
        <f t="shared" si="233"/>
        <v>Sinapi 89445</v>
      </c>
      <c r="K3779" s="91" t="str">
        <f t="shared" si="234"/>
        <v>UN</v>
      </c>
      <c r="L3779" s="166" t="str">
        <f t="shared" si="235"/>
        <v>06/2022</v>
      </c>
      <c r="M3779" s="82"/>
      <c r="N3779" s="82"/>
    </row>
    <row r="3780" spans="1:14" x14ac:dyDescent="0.25">
      <c r="A3780" s="170" t="s">
        <v>6535</v>
      </c>
      <c r="B3780" s="170" t="s">
        <v>16616</v>
      </c>
      <c r="C3780" s="170" t="s">
        <v>205</v>
      </c>
      <c r="D3780" s="170" t="s">
        <v>2067</v>
      </c>
      <c r="E3780" s="171" t="s">
        <v>14355</v>
      </c>
      <c r="F3780" s="171" t="s">
        <v>5226</v>
      </c>
      <c r="G3780" s="82"/>
      <c r="H3780" s="96">
        <f t="shared" si="232"/>
        <v>5</v>
      </c>
      <c r="I3780" s="96">
        <f t="shared" si="232"/>
        <v>5.33</v>
      </c>
      <c r="J3780" s="91" t="str">
        <f t="shared" si="233"/>
        <v>Sinapi 89481</v>
      </c>
      <c r="K3780" s="91" t="str">
        <f t="shared" si="234"/>
        <v>UN</v>
      </c>
      <c r="L3780" s="166" t="str">
        <f t="shared" si="235"/>
        <v>06/2022</v>
      </c>
      <c r="M3780" s="82"/>
      <c r="N3780" s="82"/>
    </row>
    <row r="3781" spans="1:14" x14ac:dyDescent="0.25">
      <c r="A3781" s="170" t="s">
        <v>6536</v>
      </c>
      <c r="B3781" s="170" t="s">
        <v>16617</v>
      </c>
      <c r="C3781" s="170" t="s">
        <v>205</v>
      </c>
      <c r="D3781" s="170" t="s">
        <v>2067</v>
      </c>
      <c r="E3781" s="171" t="s">
        <v>33542</v>
      </c>
      <c r="F3781" s="171" t="s">
        <v>36746</v>
      </c>
      <c r="G3781" s="82"/>
      <c r="H3781" s="96">
        <f t="shared" si="232"/>
        <v>5.91</v>
      </c>
      <c r="I3781" s="96">
        <f t="shared" si="232"/>
        <v>6.24</v>
      </c>
      <c r="J3781" s="91" t="str">
        <f t="shared" si="233"/>
        <v>Sinapi 89485</v>
      </c>
      <c r="K3781" s="91" t="str">
        <f t="shared" si="234"/>
        <v>UN</v>
      </c>
      <c r="L3781" s="166" t="str">
        <f t="shared" si="235"/>
        <v>06/2022</v>
      </c>
      <c r="M3781" s="82"/>
      <c r="N3781" s="82"/>
    </row>
    <row r="3782" spans="1:14" x14ac:dyDescent="0.25">
      <c r="A3782" s="170" t="s">
        <v>6538</v>
      </c>
      <c r="B3782" s="170" t="s">
        <v>16618</v>
      </c>
      <c r="C3782" s="170" t="s">
        <v>205</v>
      </c>
      <c r="D3782" s="170" t="s">
        <v>2067</v>
      </c>
      <c r="E3782" s="171" t="s">
        <v>16208</v>
      </c>
      <c r="F3782" s="171" t="s">
        <v>17282</v>
      </c>
      <c r="G3782" s="82"/>
      <c r="H3782" s="96">
        <f t="shared" si="232"/>
        <v>7.66</v>
      </c>
      <c r="I3782" s="96">
        <f t="shared" si="232"/>
        <v>7.99</v>
      </c>
      <c r="J3782" s="91" t="str">
        <f t="shared" si="233"/>
        <v>Sinapi 89489</v>
      </c>
      <c r="K3782" s="91" t="str">
        <f t="shared" si="234"/>
        <v>UN</v>
      </c>
      <c r="L3782" s="166" t="str">
        <f t="shared" si="235"/>
        <v>06/2022</v>
      </c>
      <c r="M3782" s="82"/>
      <c r="N3782" s="82"/>
    </row>
    <row r="3783" spans="1:14" x14ac:dyDescent="0.25">
      <c r="A3783" s="170" t="s">
        <v>6539</v>
      </c>
      <c r="B3783" s="170" t="s">
        <v>16619</v>
      </c>
      <c r="C3783" s="170" t="s">
        <v>205</v>
      </c>
      <c r="D3783" s="170" t="s">
        <v>2067</v>
      </c>
      <c r="E3783" s="171" t="s">
        <v>14626</v>
      </c>
      <c r="F3783" s="171" t="s">
        <v>22769</v>
      </c>
      <c r="G3783" s="82"/>
      <c r="H3783" s="96">
        <f t="shared" si="232"/>
        <v>7.03</v>
      </c>
      <c r="I3783" s="96">
        <f t="shared" si="232"/>
        <v>7.36</v>
      </c>
      <c r="J3783" s="91" t="str">
        <f t="shared" si="233"/>
        <v>Sinapi 89490</v>
      </c>
      <c r="K3783" s="91" t="str">
        <f t="shared" si="234"/>
        <v>UN</v>
      </c>
      <c r="L3783" s="166" t="str">
        <f t="shared" si="235"/>
        <v>06/2022</v>
      </c>
      <c r="M3783" s="82"/>
      <c r="N3783" s="82"/>
    </row>
    <row r="3784" spans="1:14" x14ac:dyDescent="0.25">
      <c r="A3784" s="170" t="s">
        <v>6541</v>
      </c>
      <c r="B3784" s="170" t="s">
        <v>16620</v>
      </c>
      <c r="C3784" s="170" t="s">
        <v>205</v>
      </c>
      <c r="D3784" s="170" t="s">
        <v>2067</v>
      </c>
      <c r="E3784" s="171" t="s">
        <v>14949</v>
      </c>
      <c r="F3784" s="171" t="s">
        <v>17961</v>
      </c>
      <c r="G3784" s="82"/>
      <c r="H3784" s="96">
        <f t="shared" ref="H3784:I3847" si="236">IF(E3784="","",E3784+0)</f>
        <v>8.09</v>
      </c>
      <c r="I3784" s="96">
        <f t="shared" si="236"/>
        <v>8.49</v>
      </c>
      <c r="J3784" s="91" t="str">
        <f t="shared" ref="J3784:J3847" si="237">IF(OR(H3784="",I3784=""),"",TRIM(CONCATENATE("Sinapi ",A3784)))</f>
        <v>Sinapi 89492</v>
      </c>
      <c r="K3784" s="91" t="str">
        <f t="shared" ref="K3784:K3847" si="238">TRIM(C3784)</f>
        <v>UN</v>
      </c>
      <c r="L3784" s="166" t="str">
        <f t="shared" ref="L3784:L3847" si="239">IF(OR(RIGHT(IF(AND(K3784&lt;&gt;"H",K3784&lt;&gt;"MES"),RIGHT(B3784,7),""),2)="PS",RIGHT(IF(AND(K3784&lt;&gt;"H",K3784&lt;&gt;"MES"),RIGHT(B3784,7),""),2)="PA",RIGHT(IF(AND(K3784&lt;&gt;"H",K3784&lt;&gt;"MES"),RIGHT(B3784,7),""),2)="PE"),LEFT(IF(AND(K3784&lt;&gt;"H",K3784&lt;&gt;"MES"),RIGHT(B3784,10),""),7),IF(AND(K3784&lt;&gt;"H",K3784&lt;&gt;"MES"),RIGHT(B3784,7),""))</f>
        <v>06/2022</v>
      </c>
      <c r="M3784" s="82"/>
      <c r="N3784" s="82"/>
    </row>
    <row r="3785" spans="1:14" x14ac:dyDescent="0.25">
      <c r="A3785" s="170" t="s">
        <v>6542</v>
      </c>
      <c r="B3785" s="170" t="s">
        <v>16621</v>
      </c>
      <c r="C3785" s="170" t="s">
        <v>205</v>
      </c>
      <c r="D3785" s="170" t="s">
        <v>2067</v>
      </c>
      <c r="E3785" s="171" t="s">
        <v>32899</v>
      </c>
      <c r="F3785" s="171" t="s">
        <v>13582</v>
      </c>
      <c r="G3785" s="82"/>
      <c r="H3785" s="96">
        <f t="shared" si="236"/>
        <v>10.11</v>
      </c>
      <c r="I3785" s="96">
        <f t="shared" si="236"/>
        <v>10.51</v>
      </c>
      <c r="J3785" s="91" t="str">
        <f t="shared" si="237"/>
        <v>Sinapi 89493</v>
      </c>
      <c r="K3785" s="91" t="str">
        <f t="shared" si="238"/>
        <v>UN</v>
      </c>
      <c r="L3785" s="166" t="str">
        <f t="shared" si="239"/>
        <v>06/2022</v>
      </c>
      <c r="M3785" s="82"/>
      <c r="N3785" s="82"/>
    </row>
    <row r="3786" spans="1:14" x14ac:dyDescent="0.25">
      <c r="A3786" s="170" t="s">
        <v>6543</v>
      </c>
      <c r="B3786" s="170" t="s">
        <v>16622</v>
      </c>
      <c r="C3786" s="170" t="s">
        <v>205</v>
      </c>
      <c r="D3786" s="170" t="s">
        <v>2067</v>
      </c>
      <c r="E3786" s="171" t="s">
        <v>21908</v>
      </c>
      <c r="F3786" s="171" t="s">
        <v>21020</v>
      </c>
      <c r="G3786" s="82"/>
      <c r="H3786" s="96">
        <f t="shared" si="236"/>
        <v>12.83</v>
      </c>
      <c r="I3786" s="96">
        <f t="shared" si="236"/>
        <v>13.23</v>
      </c>
      <c r="J3786" s="91" t="str">
        <f t="shared" si="237"/>
        <v>Sinapi 89494</v>
      </c>
      <c r="K3786" s="91" t="str">
        <f t="shared" si="238"/>
        <v>UN</v>
      </c>
      <c r="L3786" s="166" t="str">
        <f t="shared" si="239"/>
        <v>06/2022</v>
      </c>
      <c r="M3786" s="82"/>
      <c r="N3786" s="82"/>
    </row>
    <row r="3787" spans="1:14" x14ac:dyDescent="0.25">
      <c r="A3787" s="170" t="s">
        <v>6544</v>
      </c>
      <c r="B3787" s="170" t="s">
        <v>16623</v>
      </c>
      <c r="C3787" s="170" t="s">
        <v>205</v>
      </c>
      <c r="D3787" s="170" t="s">
        <v>2067</v>
      </c>
      <c r="E3787" s="171" t="s">
        <v>22897</v>
      </c>
      <c r="F3787" s="171" t="s">
        <v>16110</v>
      </c>
      <c r="G3787" s="82"/>
      <c r="H3787" s="96">
        <f t="shared" si="236"/>
        <v>10.49</v>
      </c>
      <c r="I3787" s="96">
        <f t="shared" si="236"/>
        <v>10.89</v>
      </c>
      <c r="J3787" s="91" t="str">
        <f t="shared" si="237"/>
        <v>Sinapi 89496</v>
      </c>
      <c r="K3787" s="91" t="str">
        <f t="shared" si="238"/>
        <v>UN</v>
      </c>
      <c r="L3787" s="166" t="str">
        <f t="shared" si="239"/>
        <v>06/2022</v>
      </c>
      <c r="M3787" s="82"/>
      <c r="N3787" s="82"/>
    </row>
    <row r="3788" spans="1:14" x14ac:dyDescent="0.25">
      <c r="A3788" s="170" t="s">
        <v>6545</v>
      </c>
      <c r="B3788" s="170" t="s">
        <v>16624</v>
      </c>
      <c r="C3788" s="170" t="s">
        <v>205</v>
      </c>
      <c r="D3788" s="170" t="s">
        <v>2067</v>
      </c>
      <c r="E3788" s="171" t="s">
        <v>18725</v>
      </c>
      <c r="F3788" s="171" t="s">
        <v>10258</v>
      </c>
      <c r="G3788" s="82"/>
      <c r="H3788" s="96">
        <f t="shared" si="236"/>
        <v>13.4</v>
      </c>
      <c r="I3788" s="96">
        <f t="shared" si="236"/>
        <v>13.89</v>
      </c>
      <c r="J3788" s="91" t="str">
        <f t="shared" si="237"/>
        <v>Sinapi 89497</v>
      </c>
      <c r="K3788" s="91" t="str">
        <f t="shared" si="238"/>
        <v>UN</v>
      </c>
      <c r="L3788" s="166" t="str">
        <f t="shared" si="239"/>
        <v>06/2022</v>
      </c>
      <c r="M3788" s="82"/>
      <c r="N3788" s="82"/>
    </row>
    <row r="3789" spans="1:14" x14ac:dyDescent="0.25">
      <c r="A3789" s="170" t="s">
        <v>6546</v>
      </c>
      <c r="B3789" s="170" t="s">
        <v>16625</v>
      </c>
      <c r="C3789" s="170" t="s">
        <v>205</v>
      </c>
      <c r="D3789" s="170" t="s">
        <v>2067</v>
      </c>
      <c r="E3789" s="171" t="s">
        <v>6858</v>
      </c>
      <c r="F3789" s="171" t="s">
        <v>14119</v>
      </c>
      <c r="G3789" s="82"/>
      <c r="H3789" s="96">
        <f t="shared" si="236"/>
        <v>13.46</v>
      </c>
      <c r="I3789" s="96">
        <f t="shared" si="236"/>
        <v>13.95</v>
      </c>
      <c r="J3789" s="91" t="str">
        <f t="shared" si="237"/>
        <v>Sinapi 89498</v>
      </c>
      <c r="K3789" s="91" t="str">
        <f t="shared" si="238"/>
        <v>UN</v>
      </c>
      <c r="L3789" s="166" t="str">
        <f t="shared" si="239"/>
        <v>06/2022</v>
      </c>
      <c r="M3789" s="82"/>
      <c r="N3789" s="82"/>
    </row>
    <row r="3790" spans="1:14" x14ac:dyDescent="0.25">
      <c r="A3790" s="170" t="s">
        <v>6547</v>
      </c>
      <c r="B3790" s="170" t="s">
        <v>16626</v>
      </c>
      <c r="C3790" s="170" t="s">
        <v>205</v>
      </c>
      <c r="D3790" s="170" t="s">
        <v>2067</v>
      </c>
      <c r="E3790" s="171" t="s">
        <v>19392</v>
      </c>
      <c r="F3790" s="171" t="s">
        <v>21449</v>
      </c>
      <c r="G3790" s="82"/>
      <c r="H3790" s="96">
        <f t="shared" si="236"/>
        <v>20.59</v>
      </c>
      <c r="I3790" s="96">
        <f t="shared" si="236"/>
        <v>21.08</v>
      </c>
      <c r="J3790" s="91" t="str">
        <f t="shared" si="237"/>
        <v>Sinapi 89499</v>
      </c>
      <c r="K3790" s="91" t="str">
        <f t="shared" si="238"/>
        <v>UN</v>
      </c>
      <c r="L3790" s="166" t="str">
        <f t="shared" si="239"/>
        <v>06/2022</v>
      </c>
      <c r="M3790" s="82"/>
      <c r="N3790" s="82"/>
    </row>
    <row r="3791" spans="1:14" x14ac:dyDescent="0.25">
      <c r="A3791" s="170" t="s">
        <v>6548</v>
      </c>
      <c r="B3791" s="170" t="s">
        <v>16627</v>
      </c>
      <c r="C3791" s="170" t="s">
        <v>205</v>
      </c>
      <c r="D3791" s="170" t="s">
        <v>2067</v>
      </c>
      <c r="E3791" s="171" t="s">
        <v>21908</v>
      </c>
      <c r="F3791" s="171" t="s">
        <v>13848</v>
      </c>
      <c r="G3791" s="82"/>
      <c r="H3791" s="96">
        <f t="shared" si="236"/>
        <v>12.83</v>
      </c>
      <c r="I3791" s="96">
        <f t="shared" si="236"/>
        <v>13.32</v>
      </c>
      <c r="J3791" s="91" t="str">
        <f t="shared" si="237"/>
        <v>Sinapi 89500</v>
      </c>
      <c r="K3791" s="91" t="str">
        <f t="shared" si="238"/>
        <v>UN</v>
      </c>
      <c r="L3791" s="166" t="str">
        <f t="shared" si="239"/>
        <v>06/2022</v>
      </c>
      <c r="M3791" s="82"/>
      <c r="N3791" s="82"/>
    </row>
    <row r="3792" spans="1:14" x14ac:dyDescent="0.25">
      <c r="A3792" s="170" t="s">
        <v>6549</v>
      </c>
      <c r="B3792" s="170" t="s">
        <v>16628</v>
      </c>
      <c r="C3792" s="170" t="s">
        <v>205</v>
      </c>
      <c r="D3792" s="170" t="s">
        <v>2067</v>
      </c>
      <c r="E3792" s="171" t="s">
        <v>14792</v>
      </c>
      <c r="F3792" s="171" t="s">
        <v>15546</v>
      </c>
      <c r="G3792" s="82"/>
      <c r="H3792" s="96">
        <f t="shared" si="236"/>
        <v>14.32</v>
      </c>
      <c r="I3792" s="96">
        <f t="shared" si="236"/>
        <v>14.92</v>
      </c>
      <c r="J3792" s="91" t="str">
        <f t="shared" si="237"/>
        <v>Sinapi 89501</v>
      </c>
      <c r="K3792" s="91" t="str">
        <f t="shared" si="238"/>
        <v>UN</v>
      </c>
      <c r="L3792" s="166" t="str">
        <f t="shared" si="239"/>
        <v>06/2022</v>
      </c>
      <c r="M3792" s="82"/>
      <c r="N3792" s="82"/>
    </row>
    <row r="3793" spans="1:14" x14ac:dyDescent="0.25">
      <c r="A3793" s="170" t="s">
        <v>6551</v>
      </c>
      <c r="B3793" s="170" t="s">
        <v>16629</v>
      </c>
      <c r="C3793" s="170" t="s">
        <v>205</v>
      </c>
      <c r="D3793" s="170" t="s">
        <v>2067</v>
      </c>
      <c r="E3793" s="171" t="s">
        <v>21965</v>
      </c>
      <c r="F3793" s="171" t="s">
        <v>17926</v>
      </c>
      <c r="G3793" s="82"/>
      <c r="H3793" s="96">
        <f t="shared" si="236"/>
        <v>17.25</v>
      </c>
      <c r="I3793" s="96">
        <f t="shared" si="236"/>
        <v>17.850000000000001</v>
      </c>
      <c r="J3793" s="91" t="str">
        <f t="shared" si="237"/>
        <v>Sinapi 89502</v>
      </c>
      <c r="K3793" s="91" t="str">
        <f t="shared" si="238"/>
        <v>UN</v>
      </c>
      <c r="L3793" s="166" t="str">
        <f t="shared" si="239"/>
        <v>06/2022</v>
      </c>
      <c r="M3793" s="82"/>
      <c r="N3793" s="82"/>
    </row>
    <row r="3794" spans="1:14" x14ac:dyDescent="0.25">
      <c r="A3794" s="170" t="s">
        <v>6552</v>
      </c>
      <c r="B3794" s="170" t="s">
        <v>16630</v>
      </c>
      <c r="C3794" s="170" t="s">
        <v>205</v>
      </c>
      <c r="D3794" s="170" t="s">
        <v>2067</v>
      </c>
      <c r="E3794" s="171" t="s">
        <v>21106</v>
      </c>
      <c r="F3794" s="171" t="s">
        <v>18692</v>
      </c>
      <c r="G3794" s="82"/>
      <c r="H3794" s="96">
        <f t="shared" si="236"/>
        <v>23.78</v>
      </c>
      <c r="I3794" s="96">
        <f t="shared" si="236"/>
        <v>24.38</v>
      </c>
      <c r="J3794" s="91" t="str">
        <f t="shared" si="237"/>
        <v>Sinapi 89503</v>
      </c>
      <c r="K3794" s="91" t="str">
        <f t="shared" si="238"/>
        <v>UN</v>
      </c>
      <c r="L3794" s="166" t="str">
        <f t="shared" si="239"/>
        <v>06/2022</v>
      </c>
      <c r="M3794" s="82"/>
      <c r="N3794" s="82"/>
    </row>
    <row r="3795" spans="1:14" x14ac:dyDescent="0.25">
      <c r="A3795" s="170" t="s">
        <v>6553</v>
      </c>
      <c r="B3795" s="170" t="s">
        <v>16631</v>
      </c>
      <c r="C3795" s="170" t="s">
        <v>205</v>
      </c>
      <c r="D3795" s="170" t="s">
        <v>2067</v>
      </c>
      <c r="E3795" s="171" t="s">
        <v>29344</v>
      </c>
      <c r="F3795" s="171" t="s">
        <v>21599</v>
      </c>
      <c r="G3795" s="82"/>
      <c r="H3795" s="96">
        <f t="shared" si="236"/>
        <v>19.350000000000001</v>
      </c>
      <c r="I3795" s="96">
        <f t="shared" si="236"/>
        <v>19.95</v>
      </c>
      <c r="J3795" s="91" t="str">
        <f t="shared" si="237"/>
        <v>Sinapi 89504</v>
      </c>
      <c r="K3795" s="91" t="str">
        <f t="shared" si="238"/>
        <v>UN</v>
      </c>
      <c r="L3795" s="166" t="str">
        <f t="shared" si="239"/>
        <v>06/2022</v>
      </c>
      <c r="M3795" s="82"/>
      <c r="N3795" s="82"/>
    </row>
    <row r="3796" spans="1:14" x14ac:dyDescent="0.25">
      <c r="A3796" s="170" t="s">
        <v>6554</v>
      </c>
      <c r="B3796" s="170" t="s">
        <v>16632</v>
      </c>
      <c r="C3796" s="170" t="s">
        <v>205</v>
      </c>
      <c r="D3796" s="170" t="s">
        <v>2067</v>
      </c>
      <c r="E3796" s="171" t="s">
        <v>28786</v>
      </c>
      <c r="F3796" s="171" t="s">
        <v>22114</v>
      </c>
      <c r="G3796" s="82"/>
      <c r="H3796" s="96">
        <f t="shared" si="236"/>
        <v>44.49</v>
      </c>
      <c r="I3796" s="96">
        <f t="shared" si="236"/>
        <v>45.21</v>
      </c>
      <c r="J3796" s="91" t="str">
        <f t="shared" si="237"/>
        <v>Sinapi 89505</v>
      </c>
      <c r="K3796" s="91" t="str">
        <f t="shared" si="238"/>
        <v>UN</v>
      </c>
      <c r="L3796" s="166" t="str">
        <f t="shared" si="239"/>
        <v>06/2022</v>
      </c>
      <c r="M3796" s="82"/>
      <c r="N3796" s="82"/>
    </row>
    <row r="3797" spans="1:14" x14ac:dyDescent="0.25">
      <c r="A3797" s="170" t="s">
        <v>6555</v>
      </c>
      <c r="B3797" s="170" t="s">
        <v>16633</v>
      </c>
      <c r="C3797" s="170" t="s">
        <v>205</v>
      </c>
      <c r="D3797" s="170" t="s">
        <v>2067</v>
      </c>
      <c r="E3797" s="171" t="s">
        <v>22112</v>
      </c>
      <c r="F3797" s="171" t="s">
        <v>36747</v>
      </c>
      <c r="G3797" s="82"/>
      <c r="H3797" s="96">
        <f t="shared" si="236"/>
        <v>42.44</v>
      </c>
      <c r="I3797" s="96">
        <f t="shared" si="236"/>
        <v>43.16</v>
      </c>
      <c r="J3797" s="91" t="str">
        <f t="shared" si="237"/>
        <v>Sinapi 89506</v>
      </c>
      <c r="K3797" s="91" t="str">
        <f t="shared" si="238"/>
        <v>UN</v>
      </c>
      <c r="L3797" s="166" t="str">
        <f t="shared" si="239"/>
        <v>06/2022</v>
      </c>
      <c r="M3797" s="82"/>
      <c r="N3797" s="82"/>
    </row>
    <row r="3798" spans="1:14" x14ac:dyDescent="0.25">
      <c r="A3798" s="170" t="s">
        <v>6556</v>
      </c>
      <c r="B3798" s="170" t="s">
        <v>16634</v>
      </c>
      <c r="C3798" s="170" t="s">
        <v>205</v>
      </c>
      <c r="D3798" s="170" t="s">
        <v>2067</v>
      </c>
      <c r="E3798" s="171" t="s">
        <v>33543</v>
      </c>
      <c r="F3798" s="171" t="s">
        <v>35548</v>
      </c>
      <c r="G3798" s="82"/>
      <c r="H3798" s="96">
        <f t="shared" si="236"/>
        <v>50.54</v>
      </c>
      <c r="I3798" s="96">
        <f t="shared" si="236"/>
        <v>51.26</v>
      </c>
      <c r="J3798" s="91" t="str">
        <f t="shared" si="237"/>
        <v>Sinapi 89507</v>
      </c>
      <c r="K3798" s="91" t="str">
        <f t="shared" si="238"/>
        <v>UN</v>
      </c>
      <c r="L3798" s="166" t="str">
        <f t="shared" si="239"/>
        <v>06/2022</v>
      </c>
      <c r="M3798" s="82"/>
      <c r="N3798" s="82"/>
    </row>
    <row r="3799" spans="1:14" x14ac:dyDescent="0.25">
      <c r="A3799" s="170" t="s">
        <v>6557</v>
      </c>
      <c r="B3799" s="170" t="s">
        <v>16635</v>
      </c>
      <c r="C3799" s="170" t="s">
        <v>205</v>
      </c>
      <c r="D3799" s="170" t="s">
        <v>2067</v>
      </c>
      <c r="E3799" s="171" t="s">
        <v>19920</v>
      </c>
      <c r="F3799" s="171" t="s">
        <v>25735</v>
      </c>
      <c r="G3799" s="82"/>
      <c r="H3799" s="96">
        <f t="shared" si="236"/>
        <v>28.07</v>
      </c>
      <c r="I3799" s="96">
        <f t="shared" si="236"/>
        <v>28.79</v>
      </c>
      <c r="J3799" s="91" t="str">
        <f t="shared" si="237"/>
        <v>Sinapi 89510</v>
      </c>
      <c r="K3799" s="91" t="str">
        <f t="shared" si="238"/>
        <v>UN</v>
      </c>
      <c r="L3799" s="166" t="str">
        <f t="shared" si="239"/>
        <v>06/2022</v>
      </c>
      <c r="M3799" s="82"/>
      <c r="N3799" s="82"/>
    </row>
    <row r="3800" spans="1:14" x14ac:dyDescent="0.25">
      <c r="A3800" s="170" t="s">
        <v>6558</v>
      </c>
      <c r="B3800" s="170" t="s">
        <v>16636</v>
      </c>
      <c r="C3800" s="170" t="s">
        <v>205</v>
      </c>
      <c r="D3800" s="170" t="s">
        <v>2067</v>
      </c>
      <c r="E3800" s="171" t="s">
        <v>33544</v>
      </c>
      <c r="F3800" s="171" t="s">
        <v>36748</v>
      </c>
      <c r="G3800" s="82"/>
      <c r="H3800" s="96">
        <f t="shared" si="236"/>
        <v>114.32</v>
      </c>
      <c r="I3800" s="96">
        <f t="shared" si="236"/>
        <v>115.19</v>
      </c>
      <c r="J3800" s="91" t="str">
        <f t="shared" si="237"/>
        <v>Sinapi 89513</v>
      </c>
      <c r="K3800" s="91" t="str">
        <f t="shared" si="238"/>
        <v>UN</v>
      </c>
      <c r="L3800" s="166" t="str">
        <f t="shared" si="239"/>
        <v>06/2022</v>
      </c>
      <c r="M3800" s="82"/>
      <c r="N3800" s="82"/>
    </row>
    <row r="3801" spans="1:14" x14ac:dyDescent="0.25">
      <c r="A3801" s="170" t="s">
        <v>6559</v>
      </c>
      <c r="B3801" s="170" t="s">
        <v>16637</v>
      </c>
      <c r="C3801" s="170" t="s">
        <v>205</v>
      </c>
      <c r="D3801" s="170" t="s">
        <v>2067</v>
      </c>
      <c r="E3801" s="171" t="s">
        <v>17400</v>
      </c>
      <c r="F3801" s="171" t="s">
        <v>17972</v>
      </c>
      <c r="G3801" s="82"/>
      <c r="H3801" s="96">
        <f t="shared" si="236"/>
        <v>8.0299999999999994</v>
      </c>
      <c r="I3801" s="96">
        <f t="shared" si="236"/>
        <v>8.25</v>
      </c>
      <c r="J3801" s="91" t="str">
        <f t="shared" si="237"/>
        <v>Sinapi 89514</v>
      </c>
      <c r="K3801" s="91" t="str">
        <f t="shared" si="238"/>
        <v>UN</v>
      </c>
      <c r="L3801" s="166" t="str">
        <f t="shared" si="239"/>
        <v>06/2022</v>
      </c>
      <c r="M3801" s="82"/>
      <c r="N3801" s="82"/>
    </row>
    <row r="3802" spans="1:14" x14ac:dyDescent="0.25">
      <c r="A3802" s="170" t="s">
        <v>6560</v>
      </c>
      <c r="B3802" s="170" t="s">
        <v>16638</v>
      </c>
      <c r="C3802" s="170" t="s">
        <v>205</v>
      </c>
      <c r="D3802" s="170" t="s">
        <v>2067</v>
      </c>
      <c r="E3802" s="171" t="s">
        <v>33545</v>
      </c>
      <c r="F3802" s="171" t="s">
        <v>36749</v>
      </c>
      <c r="G3802" s="82"/>
      <c r="H3802" s="96">
        <f t="shared" si="236"/>
        <v>90.64</v>
      </c>
      <c r="I3802" s="96">
        <f t="shared" si="236"/>
        <v>91.51</v>
      </c>
      <c r="J3802" s="91" t="str">
        <f t="shared" si="237"/>
        <v>Sinapi 89515</v>
      </c>
      <c r="K3802" s="91" t="str">
        <f t="shared" si="238"/>
        <v>UN</v>
      </c>
      <c r="L3802" s="166" t="str">
        <f t="shared" si="239"/>
        <v>06/2022</v>
      </c>
      <c r="M3802" s="82"/>
      <c r="N3802" s="82"/>
    </row>
    <row r="3803" spans="1:14" x14ac:dyDescent="0.25">
      <c r="A3803" s="170" t="s">
        <v>6561</v>
      </c>
      <c r="B3803" s="170" t="s">
        <v>16639</v>
      </c>
      <c r="C3803" s="170" t="s">
        <v>205</v>
      </c>
      <c r="D3803" s="170" t="s">
        <v>2067</v>
      </c>
      <c r="E3803" s="171" t="s">
        <v>16411</v>
      </c>
      <c r="F3803" s="171" t="s">
        <v>20118</v>
      </c>
      <c r="G3803" s="82"/>
      <c r="H3803" s="96">
        <f t="shared" si="236"/>
        <v>8.11</v>
      </c>
      <c r="I3803" s="96">
        <f t="shared" si="236"/>
        <v>8.33</v>
      </c>
      <c r="J3803" s="91" t="str">
        <f t="shared" si="237"/>
        <v>Sinapi 89516</v>
      </c>
      <c r="K3803" s="91" t="str">
        <f t="shared" si="238"/>
        <v>UN</v>
      </c>
      <c r="L3803" s="166" t="str">
        <f t="shared" si="239"/>
        <v>06/2022</v>
      </c>
      <c r="M3803" s="82"/>
      <c r="N3803" s="82"/>
    </row>
    <row r="3804" spans="1:14" x14ac:dyDescent="0.25">
      <c r="A3804" s="170" t="s">
        <v>6562</v>
      </c>
      <c r="B3804" s="170" t="s">
        <v>16640</v>
      </c>
      <c r="C3804" s="170" t="s">
        <v>205</v>
      </c>
      <c r="D3804" s="170" t="s">
        <v>2067</v>
      </c>
      <c r="E3804" s="171" t="s">
        <v>33546</v>
      </c>
      <c r="F3804" s="171" t="s">
        <v>36750</v>
      </c>
      <c r="G3804" s="82"/>
      <c r="H3804" s="96">
        <f t="shared" si="236"/>
        <v>75.53</v>
      </c>
      <c r="I3804" s="96">
        <f t="shared" si="236"/>
        <v>76.400000000000006</v>
      </c>
      <c r="J3804" s="91" t="str">
        <f t="shared" si="237"/>
        <v>Sinapi 89517</v>
      </c>
      <c r="K3804" s="91" t="str">
        <f t="shared" si="238"/>
        <v>UN</v>
      </c>
      <c r="L3804" s="166" t="str">
        <f t="shared" si="239"/>
        <v>06/2022</v>
      </c>
      <c r="M3804" s="82"/>
      <c r="N3804" s="82"/>
    </row>
    <row r="3805" spans="1:14" x14ac:dyDescent="0.25">
      <c r="A3805" s="170" t="s">
        <v>6563</v>
      </c>
      <c r="B3805" s="170" t="s">
        <v>16641</v>
      </c>
      <c r="C3805" s="170" t="s">
        <v>205</v>
      </c>
      <c r="D3805" s="170" t="s">
        <v>2067</v>
      </c>
      <c r="E3805" s="171" t="s">
        <v>26230</v>
      </c>
      <c r="F3805" s="171" t="s">
        <v>11833</v>
      </c>
      <c r="G3805" s="82"/>
      <c r="H3805" s="96">
        <f t="shared" si="236"/>
        <v>17.47</v>
      </c>
      <c r="I3805" s="96">
        <f t="shared" si="236"/>
        <v>17.760000000000002</v>
      </c>
      <c r="J3805" s="91" t="str">
        <f t="shared" si="237"/>
        <v>Sinapi 89518</v>
      </c>
      <c r="K3805" s="91" t="str">
        <f t="shared" si="238"/>
        <v>UN</v>
      </c>
      <c r="L3805" s="166" t="str">
        <f t="shared" si="239"/>
        <v>06/2022</v>
      </c>
      <c r="M3805" s="82"/>
      <c r="N3805" s="82"/>
    </row>
    <row r="3806" spans="1:14" x14ac:dyDescent="0.25">
      <c r="A3806" s="170" t="s">
        <v>6564</v>
      </c>
      <c r="B3806" s="170" t="s">
        <v>16642</v>
      </c>
      <c r="C3806" s="170" t="s">
        <v>205</v>
      </c>
      <c r="D3806" s="170" t="s">
        <v>2067</v>
      </c>
      <c r="E3806" s="171" t="s">
        <v>19918</v>
      </c>
      <c r="F3806" s="171" t="s">
        <v>20651</v>
      </c>
      <c r="G3806" s="82"/>
      <c r="H3806" s="96">
        <f t="shared" si="236"/>
        <v>50.38</v>
      </c>
      <c r="I3806" s="96">
        <f t="shared" si="236"/>
        <v>51.25</v>
      </c>
      <c r="J3806" s="91" t="str">
        <f t="shared" si="237"/>
        <v>Sinapi 89519</v>
      </c>
      <c r="K3806" s="91" t="str">
        <f t="shared" si="238"/>
        <v>UN</v>
      </c>
      <c r="L3806" s="166" t="str">
        <f t="shared" si="239"/>
        <v>06/2022</v>
      </c>
      <c r="M3806" s="82"/>
      <c r="N3806" s="82"/>
    </row>
    <row r="3807" spans="1:14" x14ac:dyDescent="0.25">
      <c r="A3807" s="170" t="s">
        <v>6565</v>
      </c>
      <c r="B3807" s="170" t="s">
        <v>16643</v>
      </c>
      <c r="C3807" s="170" t="s">
        <v>205</v>
      </c>
      <c r="D3807" s="170" t="s">
        <v>2067</v>
      </c>
      <c r="E3807" s="171" t="s">
        <v>30688</v>
      </c>
      <c r="F3807" s="171" t="s">
        <v>21046</v>
      </c>
      <c r="G3807" s="82"/>
      <c r="H3807" s="96">
        <f t="shared" si="236"/>
        <v>18.190000000000001</v>
      </c>
      <c r="I3807" s="96">
        <f t="shared" si="236"/>
        <v>18.48</v>
      </c>
      <c r="J3807" s="91" t="str">
        <f t="shared" si="237"/>
        <v>Sinapi 89520</v>
      </c>
      <c r="K3807" s="91" t="str">
        <f t="shared" si="238"/>
        <v>UN</v>
      </c>
      <c r="L3807" s="166" t="str">
        <f t="shared" si="239"/>
        <v>06/2022</v>
      </c>
      <c r="M3807" s="82"/>
      <c r="N3807" s="82"/>
    </row>
    <row r="3808" spans="1:14" x14ac:dyDescent="0.25">
      <c r="A3808" s="170" t="s">
        <v>6566</v>
      </c>
      <c r="B3808" s="170" t="s">
        <v>16644</v>
      </c>
      <c r="C3808" s="170" t="s">
        <v>205</v>
      </c>
      <c r="D3808" s="170" t="s">
        <v>2067</v>
      </c>
      <c r="E3808" s="171" t="s">
        <v>29395</v>
      </c>
      <c r="F3808" s="171" t="s">
        <v>36751</v>
      </c>
      <c r="G3808" s="82"/>
      <c r="H3808" s="96">
        <f t="shared" si="236"/>
        <v>136.47</v>
      </c>
      <c r="I3808" s="96">
        <f t="shared" si="236"/>
        <v>137.44999999999999</v>
      </c>
      <c r="J3808" s="91" t="str">
        <f t="shared" si="237"/>
        <v>Sinapi 89521</v>
      </c>
      <c r="K3808" s="91" t="str">
        <f t="shared" si="238"/>
        <v>UN</v>
      </c>
      <c r="L3808" s="166" t="str">
        <f t="shared" si="239"/>
        <v>06/2022</v>
      </c>
      <c r="M3808" s="82"/>
      <c r="N3808" s="82"/>
    </row>
    <row r="3809" spans="1:14" x14ac:dyDescent="0.25">
      <c r="A3809" s="170" t="s">
        <v>6567</v>
      </c>
      <c r="B3809" s="170" t="s">
        <v>16645</v>
      </c>
      <c r="C3809" s="170" t="s">
        <v>205</v>
      </c>
      <c r="D3809" s="170" t="s">
        <v>2067</v>
      </c>
      <c r="E3809" s="171" t="s">
        <v>28781</v>
      </c>
      <c r="F3809" s="171" t="s">
        <v>21454</v>
      </c>
      <c r="G3809" s="82"/>
      <c r="H3809" s="96">
        <f t="shared" si="236"/>
        <v>32.119999999999997</v>
      </c>
      <c r="I3809" s="96">
        <f t="shared" si="236"/>
        <v>32.57</v>
      </c>
      <c r="J3809" s="91" t="str">
        <f t="shared" si="237"/>
        <v>Sinapi 89522</v>
      </c>
      <c r="K3809" s="91" t="str">
        <f t="shared" si="238"/>
        <v>UN</v>
      </c>
      <c r="L3809" s="166" t="str">
        <f t="shared" si="239"/>
        <v>06/2022</v>
      </c>
      <c r="M3809" s="82"/>
      <c r="N3809" s="82"/>
    </row>
    <row r="3810" spans="1:14" x14ac:dyDescent="0.25">
      <c r="A3810" s="170" t="s">
        <v>6568</v>
      </c>
      <c r="B3810" s="170" t="s">
        <v>16646</v>
      </c>
      <c r="C3810" s="170" t="s">
        <v>205</v>
      </c>
      <c r="D3810" s="170" t="s">
        <v>2067</v>
      </c>
      <c r="E3810" s="171" t="s">
        <v>33547</v>
      </c>
      <c r="F3810" s="171" t="s">
        <v>28715</v>
      </c>
      <c r="G3810" s="82"/>
      <c r="H3810" s="96">
        <f t="shared" si="236"/>
        <v>111.12</v>
      </c>
      <c r="I3810" s="96">
        <f t="shared" si="236"/>
        <v>112.1</v>
      </c>
      <c r="J3810" s="91" t="str">
        <f t="shared" si="237"/>
        <v>Sinapi 89523</v>
      </c>
      <c r="K3810" s="91" t="str">
        <f t="shared" si="238"/>
        <v>UN</v>
      </c>
      <c r="L3810" s="166" t="str">
        <f t="shared" si="239"/>
        <v>06/2022</v>
      </c>
      <c r="M3810" s="82"/>
      <c r="N3810" s="82"/>
    </row>
    <row r="3811" spans="1:14" x14ac:dyDescent="0.25">
      <c r="A3811" s="170" t="s">
        <v>6569</v>
      </c>
      <c r="B3811" s="170" t="s">
        <v>16647</v>
      </c>
      <c r="C3811" s="170" t="s">
        <v>205</v>
      </c>
      <c r="D3811" s="170" t="s">
        <v>2067</v>
      </c>
      <c r="E3811" s="171" t="s">
        <v>31239</v>
      </c>
      <c r="F3811" s="171" t="s">
        <v>23077</v>
      </c>
      <c r="G3811" s="82"/>
      <c r="H3811" s="96">
        <f t="shared" si="236"/>
        <v>32.58</v>
      </c>
      <c r="I3811" s="96">
        <f t="shared" si="236"/>
        <v>33.03</v>
      </c>
      <c r="J3811" s="91" t="str">
        <f t="shared" si="237"/>
        <v>Sinapi 89524</v>
      </c>
      <c r="K3811" s="91" t="str">
        <f t="shared" si="238"/>
        <v>UN</v>
      </c>
      <c r="L3811" s="166" t="str">
        <f t="shared" si="239"/>
        <v>06/2022</v>
      </c>
      <c r="M3811" s="82"/>
      <c r="N3811" s="82"/>
    </row>
    <row r="3812" spans="1:14" x14ac:dyDescent="0.25">
      <c r="A3812" s="170" t="s">
        <v>6570</v>
      </c>
      <c r="B3812" s="170" t="s">
        <v>16648</v>
      </c>
      <c r="C3812" s="170" t="s">
        <v>205</v>
      </c>
      <c r="D3812" s="170" t="s">
        <v>2067</v>
      </c>
      <c r="E3812" s="171" t="s">
        <v>28851</v>
      </c>
      <c r="F3812" s="171" t="s">
        <v>36752</v>
      </c>
      <c r="G3812" s="82"/>
      <c r="H3812" s="96">
        <f t="shared" si="236"/>
        <v>95.35</v>
      </c>
      <c r="I3812" s="96">
        <f t="shared" si="236"/>
        <v>96.33</v>
      </c>
      <c r="J3812" s="91" t="str">
        <f t="shared" si="237"/>
        <v>Sinapi 89525</v>
      </c>
      <c r="K3812" s="91" t="str">
        <f t="shared" si="238"/>
        <v>UN</v>
      </c>
      <c r="L3812" s="166" t="str">
        <f t="shared" si="239"/>
        <v>06/2022</v>
      </c>
      <c r="M3812" s="82"/>
      <c r="N3812" s="82"/>
    </row>
    <row r="3813" spans="1:14" x14ac:dyDescent="0.25">
      <c r="A3813" s="170" t="s">
        <v>6571</v>
      </c>
      <c r="B3813" s="170" t="s">
        <v>16649</v>
      </c>
      <c r="C3813" s="170" t="s">
        <v>205</v>
      </c>
      <c r="D3813" s="170" t="s">
        <v>2067</v>
      </c>
      <c r="E3813" s="171" t="s">
        <v>23010</v>
      </c>
      <c r="F3813" s="171" t="s">
        <v>21657</v>
      </c>
      <c r="G3813" s="82"/>
      <c r="H3813" s="96">
        <f t="shared" si="236"/>
        <v>41.05</v>
      </c>
      <c r="I3813" s="96">
        <f t="shared" si="236"/>
        <v>41.5</v>
      </c>
      <c r="J3813" s="91" t="str">
        <f t="shared" si="237"/>
        <v>Sinapi 89526</v>
      </c>
      <c r="K3813" s="91" t="str">
        <f t="shared" si="238"/>
        <v>UN</v>
      </c>
      <c r="L3813" s="166" t="str">
        <f t="shared" si="239"/>
        <v>06/2022</v>
      </c>
      <c r="M3813" s="82"/>
      <c r="N3813" s="82"/>
    </row>
    <row r="3814" spans="1:14" x14ac:dyDescent="0.25">
      <c r="A3814" s="170" t="s">
        <v>6572</v>
      </c>
      <c r="B3814" s="170" t="s">
        <v>16650</v>
      </c>
      <c r="C3814" s="170" t="s">
        <v>205</v>
      </c>
      <c r="D3814" s="170" t="s">
        <v>2067</v>
      </c>
      <c r="E3814" s="171" t="s">
        <v>33548</v>
      </c>
      <c r="F3814" s="171" t="s">
        <v>36753</v>
      </c>
      <c r="G3814" s="82"/>
      <c r="H3814" s="96">
        <f t="shared" si="236"/>
        <v>60.94</v>
      </c>
      <c r="I3814" s="96">
        <f t="shared" si="236"/>
        <v>61.92</v>
      </c>
      <c r="J3814" s="91" t="str">
        <f t="shared" si="237"/>
        <v>Sinapi 89527</v>
      </c>
      <c r="K3814" s="91" t="str">
        <f t="shared" si="238"/>
        <v>UN</v>
      </c>
      <c r="L3814" s="166" t="str">
        <f t="shared" si="239"/>
        <v>06/2022</v>
      </c>
      <c r="M3814" s="82"/>
      <c r="N3814" s="82"/>
    </row>
    <row r="3815" spans="1:14" x14ac:dyDescent="0.25">
      <c r="A3815" s="170" t="s">
        <v>6573</v>
      </c>
      <c r="B3815" s="170" t="s">
        <v>16651</v>
      </c>
      <c r="C3815" s="170" t="s">
        <v>205</v>
      </c>
      <c r="D3815" s="170" t="s">
        <v>2067</v>
      </c>
      <c r="E3815" s="171" t="s">
        <v>2097</v>
      </c>
      <c r="F3815" s="171" t="s">
        <v>24022</v>
      </c>
      <c r="G3815" s="82"/>
      <c r="H3815" s="96">
        <f t="shared" si="236"/>
        <v>4.1399999999999997</v>
      </c>
      <c r="I3815" s="96">
        <f t="shared" si="236"/>
        <v>4.3600000000000003</v>
      </c>
      <c r="J3815" s="91" t="str">
        <f t="shared" si="237"/>
        <v>Sinapi 89528</v>
      </c>
      <c r="K3815" s="91" t="str">
        <f t="shared" si="238"/>
        <v>UN</v>
      </c>
      <c r="L3815" s="166" t="str">
        <f t="shared" si="239"/>
        <v>06/2022</v>
      </c>
      <c r="M3815" s="82"/>
      <c r="N3815" s="82"/>
    </row>
    <row r="3816" spans="1:14" x14ac:dyDescent="0.25">
      <c r="A3816" s="170" t="s">
        <v>6575</v>
      </c>
      <c r="B3816" s="170" t="s">
        <v>16652</v>
      </c>
      <c r="C3816" s="170" t="s">
        <v>205</v>
      </c>
      <c r="D3816" s="170" t="s">
        <v>2067</v>
      </c>
      <c r="E3816" s="171" t="s">
        <v>33549</v>
      </c>
      <c r="F3816" s="171" t="s">
        <v>22724</v>
      </c>
      <c r="G3816" s="82"/>
      <c r="H3816" s="96">
        <f t="shared" si="236"/>
        <v>40.119999999999997</v>
      </c>
      <c r="I3816" s="96">
        <f t="shared" si="236"/>
        <v>40.729999999999997</v>
      </c>
      <c r="J3816" s="91" t="str">
        <f t="shared" si="237"/>
        <v>Sinapi 89529</v>
      </c>
      <c r="K3816" s="91" t="str">
        <f t="shared" si="238"/>
        <v>UN</v>
      </c>
      <c r="L3816" s="166" t="str">
        <f t="shared" si="239"/>
        <v>06/2022</v>
      </c>
      <c r="M3816" s="82"/>
      <c r="N3816" s="82"/>
    </row>
    <row r="3817" spans="1:14" x14ac:dyDescent="0.25">
      <c r="A3817" s="170" t="s">
        <v>6576</v>
      </c>
      <c r="B3817" s="170" t="s">
        <v>16653</v>
      </c>
      <c r="C3817" s="170" t="s">
        <v>205</v>
      </c>
      <c r="D3817" s="170" t="s">
        <v>2067</v>
      </c>
      <c r="E3817" s="171" t="s">
        <v>10427</v>
      </c>
      <c r="F3817" s="171" t="s">
        <v>15568</v>
      </c>
      <c r="G3817" s="82"/>
      <c r="H3817" s="96">
        <f t="shared" si="236"/>
        <v>17.68</v>
      </c>
      <c r="I3817" s="96">
        <f t="shared" si="236"/>
        <v>17.899999999999999</v>
      </c>
      <c r="J3817" s="91" t="str">
        <f t="shared" si="237"/>
        <v>Sinapi 89530</v>
      </c>
      <c r="K3817" s="91" t="str">
        <f t="shared" si="238"/>
        <v>UN</v>
      </c>
      <c r="L3817" s="166" t="str">
        <f t="shared" si="239"/>
        <v>06/2022</v>
      </c>
      <c r="M3817" s="82"/>
      <c r="N3817" s="82"/>
    </row>
    <row r="3818" spans="1:14" x14ac:dyDescent="0.25">
      <c r="A3818" s="170" t="s">
        <v>6577</v>
      </c>
      <c r="B3818" s="170" t="s">
        <v>16654</v>
      </c>
      <c r="C3818" s="170" t="s">
        <v>205</v>
      </c>
      <c r="D3818" s="170" t="s">
        <v>2067</v>
      </c>
      <c r="E3818" s="171" t="s">
        <v>33550</v>
      </c>
      <c r="F3818" s="171" t="s">
        <v>36754</v>
      </c>
      <c r="G3818" s="82"/>
      <c r="H3818" s="96">
        <f t="shared" si="236"/>
        <v>41.15</v>
      </c>
      <c r="I3818" s="96">
        <f t="shared" si="236"/>
        <v>41.76</v>
      </c>
      <c r="J3818" s="91" t="str">
        <f t="shared" si="237"/>
        <v>Sinapi 89531</v>
      </c>
      <c r="K3818" s="91" t="str">
        <f t="shared" si="238"/>
        <v>UN</v>
      </c>
      <c r="L3818" s="166" t="str">
        <f t="shared" si="239"/>
        <v>06/2022</v>
      </c>
      <c r="M3818" s="82"/>
      <c r="N3818" s="82"/>
    </row>
    <row r="3819" spans="1:14" x14ac:dyDescent="0.25">
      <c r="A3819" s="170" t="s">
        <v>6578</v>
      </c>
      <c r="B3819" s="170" t="s">
        <v>16655</v>
      </c>
      <c r="C3819" s="170" t="s">
        <v>205</v>
      </c>
      <c r="D3819" s="170" t="s">
        <v>2067</v>
      </c>
      <c r="E3819" s="171" t="s">
        <v>15576</v>
      </c>
      <c r="F3819" s="171" t="s">
        <v>22097</v>
      </c>
      <c r="G3819" s="82"/>
      <c r="H3819" s="96">
        <f t="shared" si="236"/>
        <v>7.27</v>
      </c>
      <c r="I3819" s="96">
        <f t="shared" si="236"/>
        <v>7.52</v>
      </c>
      <c r="J3819" s="91" t="str">
        <f t="shared" si="237"/>
        <v>Sinapi 89532</v>
      </c>
      <c r="K3819" s="91" t="str">
        <f t="shared" si="238"/>
        <v>UN</v>
      </c>
      <c r="L3819" s="166" t="str">
        <f t="shared" si="239"/>
        <v>06/2022</v>
      </c>
      <c r="M3819" s="82"/>
      <c r="N3819" s="82"/>
    </row>
    <row r="3820" spans="1:14" x14ac:dyDescent="0.25">
      <c r="A3820" s="170" t="s">
        <v>6579</v>
      </c>
      <c r="B3820" s="170" t="s">
        <v>16656</v>
      </c>
      <c r="C3820" s="170" t="s">
        <v>205</v>
      </c>
      <c r="D3820" s="170" t="s">
        <v>2067</v>
      </c>
      <c r="E3820" s="171" t="s">
        <v>23755</v>
      </c>
      <c r="F3820" s="171" t="s">
        <v>36755</v>
      </c>
      <c r="G3820" s="82"/>
      <c r="H3820" s="96">
        <f t="shared" si="236"/>
        <v>45.58</v>
      </c>
      <c r="I3820" s="96">
        <f t="shared" si="236"/>
        <v>46.19</v>
      </c>
      <c r="J3820" s="91" t="str">
        <f t="shared" si="237"/>
        <v>Sinapi 89535</v>
      </c>
      <c r="K3820" s="91" t="str">
        <f t="shared" si="238"/>
        <v>UN</v>
      </c>
      <c r="L3820" s="166" t="str">
        <f t="shared" si="239"/>
        <v>06/2022</v>
      </c>
      <c r="M3820" s="82"/>
      <c r="N3820" s="82"/>
    </row>
    <row r="3821" spans="1:14" x14ac:dyDescent="0.25">
      <c r="A3821" s="170" t="s">
        <v>6580</v>
      </c>
      <c r="B3821" s="170" t="s">
        <v>16657</v>
      </c>
      <c r="C3821" s="170" t="s">
        <v>205</v>
      </c>
      <c r="D3821" s="170" t="s">
        <v>2067</v>
      </c>
      <c r="E3821" s="171" t="s">
        <v>19345</v>
      </c>
      <c r="F3821" s="171" t="s">
        <v>36361</v>
      </c>
      <c r="G3821" s="82"/>
      <c r="H3821" s="96">
        <f t="shared" si="236"/>
        <v>12.57</v>
      </c>
      <c r="I3821" s="96">
        <f t="shared" si="236"/>
        <v>12.79</v>
      </c>
      <c r="J3821" s="91" t="str">
        <f t="shared" si="237"/>
        <v>Sinapi 89536</v>
      </c>
      <c r="K3821" s="91" t="str">
        <f t="shared" si="238"/>
        <v>UN</v>
      </c>
      <c r="L3821" s="166" t="str">
        <f t="shared" si="239"/>
        <v>06/2022</v>
      </c>
      <c r="M3821" s="82"/>
      <c r="N3821" s="82"/>
    </row>
    <row r="3822" spans="1:14" x14ac:dyDescent="0.25">
      <c r="A3822" s="170" t="s">
        <v>6581</v>
      </c>
      <c r="B3822" s="170" t="s">
        <v>16658</v>
      </c>
      <c r="C3822" s="170" t="s">
        <v>205</v>
      </c>
      <c r="D3822" s="170" t="s">
        <v>2067</v>
      </c>
      <c r="E3822" s="171" t="s">
        <v>10266</v>
      </c>
      <c r="F3822" s="171" t="s">
        <v>14929</v>
      </c>
      <c r="G3822" s="82"/>
      <c r="H3822" s="96">
        <f t="shared" si="236"/>
        <v>11.03</v>
      </c>
      <c r="I3822" s="96">
        <f t="shared" si="236"/>
        <v>11.25</v>
      </c>
      <c r="J3822" s="91" t="str">
        <f t="shared" si="237"/>
        <v>Sinapi 89540</v>
      </c>
      <c r="K3822" s="91" t="str">
        <f t="shared" si="238"/>
        <v>UN</v>
      </c>
      <c r="L3822" s="166" t="str">
        <f t="shared" si="239"/>
        <v>06/2022</v>
      </c>
      <c r="M3822" s="82"/>
      <c r="N3822" s="82"/>
    </row>
    <row r="3823" spans="1:14" x14ac:dyDescent="0.25">
      <c r="A3823" s="170" t="s">
        <v>6582</v>
      </c>
      <c r="B3823" s="170" t="s">
        <v>16659</v>
      </c>
      <c r="C3823" s="170" t="s">
        <v>205</v>
      </c>
      <c r="D3823" s="170" t="s">
        <v>2067</v>
      </c>
      <c r="E3823" s="171" t="s">
        <v>20096</v>
      </c>
      <c r="F3823" s="171" t="s">
        <v>21285</v>
      </c>
      <c r="G3823" s="82"/>
      <c r="H3823" s="96">
        <f t="shared" si="236"/>
        <v>6.43</v>
      </c>
      <c r="I3823" s="96">
        <f t="shared" si="236"/>
        <v>6.7</v>
      </c>
      <c r="J3823" s="91" t="str">
        <f t="shared" si="237"/>
        <v>Sinapi 89541</v>
      </c>
      <c r="K3823" s="91" t="str">
        <f t="shared" si="238"/>
        <v>UN</v>
      </c>
      <c r="L3823" s="166" t="str">
        <f t="shared" si="239"/>
        <v>06/2022</v>
      </c>
      <c r="M3823" s="82"/>
      <c r="N3823" s="82"/>
    </row>
    <row r="3824" spans="1:14" x14ac:dyDescent="0.25">
      <c r="A3824" s="170" t="s">
        <v>6583</v>
      </c>
      <c r="B3824" s="170" t="s">
        <v>16660</v>
      </c>
      <c r="C3824" s="170" t="s">
        <v>205</v>
      </c>
      <c r="D3824" s="170" t="s">
        <v>2067</v>
      </c>
      <c r="E3824" s="171" t="s">
        <v>18600</v>
      </c>
      <c r="F3824" s="171" t="s">
        <v>30325</v>
      </c>
      <c r="G3824" s="82"/>
      <c r="H3824" s="96">
        <f t="shared" si="236"/>
        <v>29.83</v>
      </c>
      <c r="I3824" s="96">
        <f t="shared" si="236"/>
        <v>30.1</v>
      </c>
      <c r="J3824" s="91" t="str">
        <f t="shared" si="237"/>
        <v>Sinapi 89542</v>
      </c>
      <c r="K3824" s="91" t="str">
        <f t="shared" si="238"/>
        <v>UN</v>
      </c>
      <c r="L3824" s="166" t="str">
        <f t="shared" si="239"/>
        <v>06/2022</v>
      </c>
      <c r="M3824" s="82"/>
      <c r="N3824" s="82"/>
    </row>
    <row r="3825" spans="1:14" x14ac:dyDescent="0.25">
      <c r="A3825" s="170" t="s">
        <v>6584</v>
      </c>
      <c r="B3825" s="170" t="s">
        <v>16661</v>
      </c>
      <c r="C3825" s="170" t="s">
        <v>205</v>
      </c>
      <c r="D3825" s="170" t="s">
        <v>2067</v>
      </c>
      <c r="E3825" s="171" t="s">
        <v>20356</v>
      </c>
      <c r="F3825" s="171" t="s">
        <v>23422</v>
      </c>
      <c r="G3825" s="82"/>
      <c r="H3825" s="96">
        <f t="shared" si="236"/>
        <v>8.36</v>
      </c>
      <c r="I3825" s="96">
        <f t="shared" si="236"/>
        <v>8.5</v>
      </c>
      <c r="J3825" s="91" t="str">
        <f t="shared" si="237"/>
        <v>Sinapi 89544</v>
      </c>
      <c r="K3825" s="91" t="str">
        <f t="shared" si="238"/>
        <v>UN</v>
      </c>
      <c r="L3825" s="166" t="str">
        <f t="shared" si="239"/>
        <v>06/2022</v>
      </c>
      <c r="M3825" s="82"/>
      <c r="N3825" s="82"/>
    </row>
    <row r="3826" spans="1:14" x14ac:dyDescent="0.25">
      <c r="A3826" s="170" t="s">
        <v>6585</v>
      </c>
      <c r="B3826" s="170" t="s">
        <v>16662</v>
      </c>
      <c r="C3826" s="170" t="s">
        <v>205</v>
      </c>
      <c r="D3826" s="170" t="s">
        <v>2067</v>
      </c>
      <c r="E3826" s="171" t="s">
        <v>21097</v>
      </c>
      <c r="F3826" s="171" t="s">
        <v>28658</v>
      </c>
      <c r="G3826" s="82"/>
      <c r="H3826" s="96">
        <f t="shared" si="236"/>
        <v>17.86</v>
      </c>
      <c r="I3826" s="96">
        <f t="shared" si="236"/>
        <v>18.059999999999999</v>
      </c>
      <c r="J3826" s="91" t="str">
        <f t="shared" si="237"/>
        <v>Sinapi 89545</v>
      </c>
      <c r="K3826" s="91" t="str">
        <f t="shared" si="238"/>
        <v>UN</v>
      </c>
      <c r="L3826" s="166" t="str">
        <f t="shared" si="239"/>
        <v>06/2022</v>
      </c>
      <c r="M3826" s="82"/>
      <c r="N3826" s="82"/>
    </row>
    <row r="3827" spans="1:14" x14ac:dyDescent="0.25">
      <c r="A3827" s="170" t="s">
        <v>6586</v>
      </c>
      <c r="B3827" s="170" t="s">
        <v>16663</v>
      </c>
      <c r="C3827" s="170" t="s">
        <v>205</v>
      </c>
      <c r="D3827" s="170" t="s">
        <v>2067</v>
      </c>
      <c r="E3827" s="171" t="s">
        <v>29559</v>
      </c>
      <c r="F3827" s="171" t="s">
        <v>20176</v>
      </c>
      <c r="G3827" s="82"/>
      <c r="H3827" s="96">
        <f t="shared" si="236"/>
        <v>12.32</v>
      </c>
      <c r="I3827" s="96">
        <f t="shared" si="236"/>
        <v>12.49</v>
      </c>
      <c r="J3827" s="91" t="str">
        <f t="shared" si="237"/>
        <v>Sinapi 89546</v>
      </c>
      <c r="K3827" s="91" t="str">
        <f t="shared" si="238"/>
        <v>UN</v>
      </c>
      <c r="L3827" s="166" t="str">
        <f t="shared" si="239"/>
        <v>06/2022</v>
      </c>
      <c r="M3827" s="82"/>
      <c r="N3827" s="82"/>
    </row>
    <row r="3828" spans="1:14" x14ac:dyDescent="0.25">
      <c r="A3828" s="170" t="s">
        <v>6587</v>
      </c>
      <c r="B3828" s="170" t="s">
        <v>16664</v>
      </c>
      <c r="C3828" s="170" t="s">
        <v>205</v>
      </c>
      <c r="D3828" s="170" t="s">
        <v>2067</v>
      </c>
      <c r="E3828" s="171" t="s">
        <v>29063</v>
      </c>
      <c r="F3828" s="171" t="s">
        <v>15082</v>
      </c>
      <c r="G3828" s="82"/>
      <c r="H3828" s="96">
        <f t="shared" si="236"/>
        <v>23.73</v>
      </c>
      <c r="I3828" s="96">
        <f t="shared" si="236"/>
        <v>24.02</v>
      </c>
      <c r="J3828" s="91" t="str">
        <f t="shared" si="237"/>
        <v>Sinapi 89547</v>
      </c>
      <c r="K3828" s="91" t="str">
        <f t="shared" si="238"/>
        <v>UN</v>
      </c>
      <c r="L3828" s="166" t="str">
        <f t="shared" si="239"/>
        <v>06/2022</v>
      </c>
      <c r="M3828" s="82"/>
      <c r="N3828" s="82"/>
    </row>
    <row r="3829" spans="1:14" x14ac:dyDescent="0.25">
      <c r="A3829" s="170" t="s">
        <v>6588</v>
      </c>
      <c r="B3829" s="170" t="s">
        <v>16665</v>
      </c>
      <c r="C3829" s="170" t="s">
        <v>205</v>
      </c>
      <c r="D3829" s="170" t="s">
        <v>2067</v>
      </c>
      <c r="E3829" s="171" t="s">
        <v>21847</v>
      </c>
      <c r="F3829" s="171" t="s">
        <v>22717</v>
      </c>
      <c r="G3829" s="82"/>
      <c r="H3829" s="96">
        <f t="shared" si="236"/>
        <v>25.74</v>
      </c>
      <c r="I3829" s="96">
        <f t="shared" si="236"/>
        <v>26.03</v>
      </c>
      <c r="J3829" s="91" t="str">
        <f t="shared" si="237"/>
        <v>Sinapi 89548</v>
      </c>
      <c r="K3829" s="91" t="str">
        <f t="shared" si="238"/>
        <v>UN</v>
      </c>
      <c r="L3829" s="166" t="str">
        <f t="shared" si="239"/>
        <v>06/2022</v>
      </c>
      <c r="M3829" s="82"/>
      <c r="N3829" s="82"/>
    </row>
    <row r="3830" spans="1:14" x14ac:dyDescent="0.25">
      <c r="A3830" s="170" t="s">
        <v>6589</v>
      </c>
      <c r="B3830" s="170" t="s">
        <v>16666</v>
      </c>
      <c r="C3830" s="170" t="s">
        <v>205</v>
      </c>
      <c r="D3830" s="170" t="s">
        <v>2067</v>
      </c>
      <c r="E3830" s="171" t="s">
        <v>33058</v>
      </c>
      <c r="F3830" s="171" t="s">
        <v>21537</v>
      </c>
      <c r="G3830" s="82"/>
      <c r="H3830" s="96">
        <f t="shared" si="236"/>
        <v>21.63</v>
      </c>
      <c r="I3830" s="96">
        <f t="shared" si="236"/>
        <v>21.88</v>
      </c>
      <c r="J3830" s="91" t="str">
        <f t="shared" si="237"/>
        <v>Sinapi 89549</v>
      </c>
      <c r="K3830" s="91" t="str">
        <f t="shared" si="238"/>
        <v>UN</v>
      </c>
      <c r="L3830" s="166" t="str">
        <f t="shared" si="239"/>
        <v>06/2022</v>
      </c>
      <c r="M3830" s="82"/>
      <c r="N3830" s="82"/>
    </row>
    <row r="3831" spans="1:14" x14ac:dyDescent="0.25">
      <c r="A3831" s="170" t="s">
        <v>6590</v>
      </c>
      <c r="B3831" s="170" t="s">
        <v>16667</v>
      </c>
      <c r="C3831" s="170" t="s">
        <v>205</v>
      </c>
      <c r="D3831" s="170" t="s">
        <v>2067</v>
      </c>
      <c r="E3831" s="171" t="s">
        <v>33551</v>
      </c>
      <c r="F3831" s="171" t="s">
        <v>22929</v>
      </c>
      <c r="G3831" s="82"/>
      <c r="H3831" s="96">
        <f t="shared" si="236"/>
        <v>43.48</v>
      </c>
      <c r="I3831" s="96">
        <f t="shared" si="236"/>
        <v>43.77</v>
      </c>
      <c r="J3831" s="91" t="str">
        <f t="shared" si="237"/>
        <v>Sinapi 89550</v>
      </c>
      <c r="K3831" s="91" t="str">
        <f t="shared" si="238"/>
        <v>UN</v>
      </c>
      <c r="L3831" s="166" t="str">
        <f t="shared" si="239"/>
        <v>06/2022</v>
      </c>
      <c r="M3831" s="82"/>
      <c r="N3831" s="82"/>
    </row>
    <row r="3832" spans="1:14" x14ac:dyDescent="0.25">
      <c r="A3832" s="170" t="s">
        <v>6591</v>
      </c>
      <c r="B3832" s="170" t="s">
        <v>16668</v>
      </c>
      <c r="C3832" s="170" t="s">
        <v>205</v>
      </c>
      <c r="D3832" s="170" t="s">
        <v>2067</v>
      </c>
      <c r="E3832" s="171" t="s">
        <v>15757</v>
      </c>
      <c r="F3832" s="171" t="s">
        <v>13397</v>
      </c>
      <c r="G3832" s="82"/>
      <c r="H3832" s="96">
        <f t="shared" si="236"/>
        <v>8.91</v>
      </c>
      <c r="I3832" s="96">
        <f t="shared" si="236"/>
        <v>9.16</v>
      </c>
      <c r="J3832" s="91" t="str">
        <f t="shared" si="237"/>
        <v>Sinapi 89551</v>
      </c>
      <c r="K3832" s="91" t="str">
        <f t="shared" si="238"/>
        <v>UN</v>
      </c>
      <c r="L3832" s="166" t="str">
        <f t="shared" si="239"/>
        <v>06/2022</v>
      </c>
      <c r="M3832" s="82"/>
      <c r="N3832" s="82"/>
    </row>
    <row r="3833" spans="1:14" x14ac:dyDescent="0.25">
      <c r="A3833" s="170" t="s">
        <v>6592</v>
      </c>
      <c r="B3833" s="170" t="s">
        <v>16669</v>
      </c>
      <c r="C3833" s="170" t="s">
        <v>205</v>
      </c>
      <c r="D3833" s="170" t="s">
        <v>2067</v>
      </c>
      <c r="E3833" s="171" t="s">
        <v>28853</v>
      </c>
      <c r="F3833" s="171" t="s">
        <v>31671</v>
      </c>
      <c r="G3833" s="82"/>
      <c r="H3833" s="96">
        <f t="shared" si="236"/>
        <v>19.89</v>
      </c>
      <c r="I3833" s="96">
        <f t="shared" si="236"/>
        <v>20.16</v>
      </c>
      <c r="J3833" s="91" t="str">
        <f t="shared" si="237"/>
        <v>Sinapi 89552</v>
      </c>
      <c r="K3833" s="91" t="str">
        <f t="shared" si="238"/>
        <v>UN</v>
      </c>
      <c r="L3833" s="166" t="str">
        <f t="shared" si="239"/>
        <v>06/2022</v>
      </c>
      <c r="M3833" s="82"/>
      <c r="N3833" s="82"/>
    </row>
    <row r="3834" spans="1:14" x14ac:dyDescent="0.25">
      <c r="A3834" s="170" t="s">
        <v>6593</v>
      </c>
      <c r="B3834" s="170" t="s">
        <v>16670</v>
      </c>
      <c r="C3834" s="170" t="s">
        <v>205</v>
      </c>
      <c r="D3834" s="170" t="s">
        <v>2067</v>
      </c>
      <c r="E3834" s="171" t="s">
        <v>15657</v>
      </c>
      <c r="F3834" s="171" t="s">
        <v>23381</v>
      </c>
      <c r="G3834" s="82"/>
      <c r="H3834" s="96">
        <f t="shared" si="236"/>
        <v>5.73</v>
      </c>
      <c r="I3834" s="96">
        <f t="shared" si="236"/>
        <v>5.98</v>
      </c>
      <c r="J3834" s="91" t="str">
        <f t="shared" si="237"/>
        <v>Sinapi 89553</v>
      </c>
      <c r="K3834" s="91" t="str">
        <f t="shared" si="238"/>
        <v>UN</v>
      </c>
      <c r="L3834" s="166" t="str">
        <f t="shared" si="239"/>
        <v>06/2022</v>
      </c>
      <c r="M3834" s="82"/>
      <c r="N3834" s="82"/>
    </row>
    <row r="3835" spans="1:14" x14ac:dyDescent="0.25">
      <c r="A3835" s="170" t="s">
        <v>6594</v>
      </c>
      <c r="B3835" s="170" t="s">
        <v>16671</v>
      </c>
      <c r="C3835" s="170" t="s">
        <v>205</v>
      </c>
      <c r="D3835" s="170" t="s">
        <v>2067</v>
      </c>
      <c r="E3835" s="171" t="s">
        <v>22732</v>
      </c>
      <c r="F3835" s="171" t="s">
        <v>21347</v>
      </c>
      <c r="G3835" s="82"/>
      <c r="H3835" s="96">
        <f t="shared" si="236"/>
        <v>30.29</v>
      </c>
      <c r="I3835" s="96">
        <f t="shared" si="236"/>
        <v>30.7</v>
      </c>
      <c r="J3835" s="91" t="str">
        <f t="shared" si="237"/>
        <v>Sinapi 89554</v>
      </c>
      <c r="K3835" s="91" t="str">
        <f t="shared" si="238"/>
        <v>UN</v>
      </c>
      <c r="L3835" s="166" t="str">
        <f t="shared" si="239"/>
        <v>06/2022</v>
      </c>
      <c r="M3835" s="82"/>
      <c r="N3835" s="82"/>
    </row>
    <row r="3836" spans="1:14" x14ac:dyDescent="0.25">
      <c r="A3836" s="170" t="s">
        <v>6595</v>
      </c>
      <c r="B3836" s="170" t="s">
        <v>16672</v>
      </c>
      <c r="C3836" s="170" t="s">
        <v>205</v>
      </c>
      <c r="D3836" s="170" t="s">
        <v>2067</v>
      </c>
      <c r="E3836" s="171" t="s">
        <v>23140</v>
      </c>
      <c r="F3836" s="171" t="s">
        <v>17967</v>
      </c>
      <c r="G3836" s="82"/>
      <c r="H3836" s="96">
        <f t="shared" si="236"/>
        <v>23.47</v>
      </c>
      <c r="I3836" s="96">
        <f t="shared" si="236"/>
        <v>23.74</v>
      </c>
      <c r="J3836" s="91" t="str">
        <f t="shared" si="237"/>
        <v>Sinapi 89555</v>
      </c>
      <c r="K3836" s="91" t="str">
        <f t="shared" si="238"/>
        <v>UN</v>
      </c>
      <c r="L3836" s="166" t="str">
        <f t="shared" si="239"/>
        <v>06/2022</v>
      </c>
      <c r="M3836" s="82"/>
      <c r="N3836" s="82"/>
    </row>
    <row r="3837" spans="1:14" x14ac:dyDescent="0.25">
      <c r="A3837" s="170" t="s">
        <v>6596</v>
      </c>
      <c r="B3837" s="170" t="s">
        <v>16673</v>
      </c>
      <c r="C3837" s="170" t="s">
        <v>205</v>
      </c>
      <c r="D3837" s="170" t="s">
        <v>2067</v>
      </c>
      <c r="E3837" s="171" t="s">
        <v>33551</v>
      </c>
      <c r="F3837" s="171" t="s">
        <v>36756</v>
      </c>
      <c r="G3837" s="82"/>
      <c r="H3837" s="96">
        <f t="shared" si="236"/>
        <v>43.48</v>
      </c>
      <c r="I3837" s="96">
        <f t="shared" si="236"/>
        <v>43.89</v>
      </c>
      <c r="J3837" s="91" t="str">
        <f t="shared" si="237"/>
        <v>Sinapi 89556</v>
      </c>
      <c r="K3837" s="91" t="str">
        <f t="shared" si="238"/>
        <v>UN</v>
      </c>
      <c r="L3837" s="166" t="str">
        <f t="shared" si="239"/>
        <v>06/2022</v>
      </c>
      <c r="M3837" s="82"/>
      <c r="N3837" s="82"/>
    </row>
    <row r="3838" spans="1:14" x14ac:dyDescent="0.25">
      <c r="A3838" s="170" t="s">
        <v>6597</v>
      </c>
      <c r="B3838" s="170" t="s">
        <v>16674</v>
      </c>
      <c r="C3838" s="170" t="s">
        <v>205</v>
      </c>
      <c r="D3838" s="170" t="s">
        <v>2067</v>
      </c>
      <c r="E3838" s="171" t="s">
        <v>22994</v>
      </c>
      <c r="F3838" s="171" t="s">
        <v>36757</v>
      </c>
      <c r="G3838" s="82"/>
      <c r="H3838" s="96">
        <f t="shared" si="236"/>
        <v>34.9</v>
      </c>
      <c r="I3838" s="96">
        <f t="shared" si="236"/>
        <v>35.25</v>
      </c>
      <c r="J3838" s="91" t="str">
        <f t="shared" si="237"/>
        <v>Sinapi 89557</v>
      </c>
      <c r="K3838" s="91" t="str">
        <f t="shared" si="238"/>
        <v>UN</v>
      </c>
      <c r="L3838" s="166" t="str">
        <f t="shared" si="239"/>
        <v>06/2022</v>
      </c>
      <c r="M3838" s="82"/>
      <c r="N3838" s="82"/>
    </row>
    <row r="3839" spans="1:14" x14ac:dyDescent="0.25">
      <c r="A3839" s="170" t="s">
        <v>6599</v>
      </c>
      <c r="B3839" s="170" t="s">
        <v>16675</v>
      </c>
      <c r="C3839" s="170" t="s">
        <v>205</v>
      </c>
      <c r="D3839" s="170" t="s">
        <v>2067</v>
      </c>
      <c r="E3839" s="171" t="s">
        <v>7372</v>
      </c>
      <c r="F3839" s="171" t="s">
        <v>13840</v>
      </c>
      <c r="G3839" s="82"/>
      <c r="H3839" s="96">
        <f t="shared" si="236"/>
        <v>10</v>
      </c>
      <c r="I3839" s="96">
        <f t="shared" si="236"/>
        <v>10.34</v>
      </c>
      <c r="J3839" s="91" t="str">
        <f t="shared" si="237"/>
        <v>Sinapi 89558</v>
      </c>
      <c r="K3839" s="91" t="str">
        <f t="shared" si="238"/>
        <v>UN</v>
      </c>
      <c r="L3839" s="166" t="str">
        <f t="shared" si="239"/>
        <v>06/2022</v>
      </c>
      <c r="M3839" s="82"/>
      <c r="N3839" s="82"/>
    </row>
    <row r="3840" spans="1:14" x14ac:dyDescent="0.25">
      <c r="A3840" s="170" t="s">
        <v>6600</v>
      </c>
      <c r="B3840" s="170" t="s">
        <v>16676</v>
      </c>
      <c r="C3840" s="170" t="s">
        <v>205</v>
      </c>
      <c r="D3840" s="170" t="s">
        <v>2067</v>
      </c>
      <c r="E3840" s="171" t="s">
        <v>21983</v>
      </c>
      <c r="F3840" s="171" t="s">
        <v>25365</v>
      </c>
      <c r="G3840" s="82"/>
      <c r="H3840" s="96">
        <f t="shared" si="236"/>
        <v>69.709999999999994</v>
      </c>
      <c r="I3840" s="96">
        <f t="shared" si="236"/>
        <v>70.12</v>
      </c>
      <c r="J3840" s="91" t="str">
        <f t="shared" si="237"/>
        <v>Sinapi 89559</v>
      </c>
      <c r="K3840" s="91" t="str">
        <f t="shared" si="238"/>
        <v>UN</v>
      </c>
      <c r="L3840" s="166" t="str">
        <f t="shared" si="239"/>
        <v>06/2022</v>
      </c>
      <c r="M3840" s="82"/>
      <c r="N3840" s="82"/>
    </row>
    <row r="3841" spans="1:14" x14ac:dyDescent="0.25">
      <c r="A3841" s="170" t="s">
        <v>18304</v>
      </c>
      <c r="B3841" s="170" t="s">
        <v>18305</v>
      </c>
      <c r="C3841" s="170" t="s">
        <v>205</v>
      </c>
      <c r="D3841" s="170" t="s">
        <v>2067</v>
      </c>
      <c r="E3841" s="171" t="s">
        <v>33552</v>
      </c>
      <c r="F3841" s="171" t="s">
        <v>21995</v>
      </c>
      <c r="G3841" s="82"/>
      <c r="H3841" s="96">
        <f t="shared" si="236"/>
        <v>38.28</v>
      </c>
      <c r="I3841" s="96">
        <f t="shared" si="236"/>
        <v>38.619999999999997</v>
      </c>
      <c r="J3841" s="91" t="str">
        <f t="shared" si="237"/>
        <v>Sinapi 89560</v>
      </c>
      <c r="K3841" s="91" t="str">
        <f t="shared" si="238"/>
        <v>UN</v>
      </c>
      <c r="L3841" s="166" t="str">
        <f t="shared" si="239"/>
        <v>06/2022</v>
      </c>
      <c r="M3841" s="82"/>
      <c r="N3841" s="82"/>
    </row>
    <row r="3842" spans="1:14" x14ac:dyDescent="0.25">
      <c r="A3842" s="170" t="s">
        <v>6601</v>
      </c>
      <c r="B3842" s="170" t="s">
        <v>16677</v>
      </c>
      <c r="C3842" s="170" t="s">
        <v>205</v>
      </c>
      <c r="D3842" s="170" t="s">
        <v>2067</v>
      </c>
      <c r="E3842" s="171" t="s">
        <v>15531</v>
      </c>
      <c r="F3842" s="171" t="s">
        <v>22956</v>
      </c>
      <c r="G3842" s="82"/>
      <c r="H3842" s="96">
        <f t="shared" si="236"/>
        <v>14.41</v>
      </c>
      <c r="I3842" s="96">
        <f t="shared" si="236"/>
        <v>14.71</v>
      </c>
      <c r="J3842" s="91" t="str">
        <f t="shared" si="237"/>
        <v>Sinapi 89561</v>
      </c>
      <c r="K3842" s="91" t="str">
        <f t="shared" si="238"/>
        <v>UN</v>
      </c>
      <c r="L3842" s="166" t="str">
        <f t="shared" si="239"/>
        <v>06/2022</v>
      </c>
      <c r="M3842" s="82"/>
      <c r="N3842" s="82"/>
    </row>
    <row r="3843" spans="1:14" x14ac:dyDescent="0.25">
      <c r="A3843" s="170" t="s">
        <v>6602</v>
      </c>
      <c r="B3843" s="170" t="s">
        <v>16678</v>
      </c>
      <c r="C3843" s="170" t="s">
        <v>205</v>
      </c>
      <c r="D3843" s="170" t="s">
        <v>2067</v>
      </c>
      <c r="E3843" s="171" t="s">
        <v>15635</v>
      </c>
      <c r="F3843" s="171" t="s">
        <v>17915</v>
      </c>
      <c r="G3843" s="82"/>
      <c r="H3843" s="96">
        <f t="shared" si="236"/>
        <v>10.76</v>
      </c>
      <c r="I3843" s="96">
        <f t="shared" si="236"/>
        <v>11.06</v>
      </c>
      <c r="J3843" s="91" t="str">
        <f t="shared" si="237"/>
        <v>Sinapi 89562</v>
      </c>
      <c r="K3843" s="91" t="str">
        <f t="shared" si="238"/>
        <v>UN</v>
      </c>
      <c r="L3843" s="166" t="str">
        <f t="shared" si="239"/>
        <v>06/2022</v>
      </c>
      <c r="M3843" s="82"/>
      <c r="N3843" s="82"/>
    </row>
    <row r="3844" spans="1:14" x14ac:dyDescent="0.25">
      <c r="A3844" s="170" t="s">
        <v>6603</v>
      </c>
      <c r="B3844" s="170" t="s">
        <v>16679</v>
      </c>
      <c r="C3844" s="170" t="s">
        <v>205</v>
      </c>
      <c r="D3844" s="170" t="s">
        <v>2067</v>
      </c>
      <c r="E3844" s="171" t="s">
        <v>21554</v>
      </c>
      <c r="F3844" s="171" t="s">
        <v>35341</v>
      </c>
      <c r="G3844" s="82"/>
      <c r="H3844" s="96">
        <f t="shared" si="236"/>
        <v>37.869999999999997</v>
      </c>
      <c r="I3844" s="96">
        <f t="shared" si="236"/>
        <v>38.25</v>
      </c>
      <c r="J3844" s="91" t="str">
        <f t="shared" si="237"/>
        <v>Sinapi 89563</v>
      </c>
      <c r="K3844" s="91" t="str">
        <f t="shared" si="238"/>
        <v>UN</v>
      </c>
      <c r="L3844" s="166" t="str">
        <f t="shared" si="239"/>
        <v>06/2022</v>
      </c>
      <c r="M3844" s="82"/>
      <c r="N3844" s="82"/>
    </row>
    <row r="3845" spans="1:14" x14ac:dyDescent="0.25">
      <c r="A3845" s="170" t="s">
        <v>6604</v>
      </c>
      <c r="B3845" s="170" t="s">
        <v>16680</v>
      </c>
      <c r="C3845" s="170" t="s">
        <v>205</v>
      </c>
      <c r="D3845" s="170" t="s">
        <v>2067</v>
      </c>
      <c r="E3845" s="171" t="s">
        <v>15201</v>
      </c>
      <c r="F3845" s="171" t="s">
        <v>20076</v>
      </c>
      <c r="G3845" s="82"/>
      <c r="H3845" s="96">
        <f t="shared" si="236"/>
        <v>16.66</v>
      </c>
      <c r="I3845" s="96">
        <f t="shared" si="236"/>
        <v>16.96</v>
      </c>
      <c r="J3845" s="91" t="str">
        <f t="shared" si="237"/>
        <v>Sinapi 89564</v>
      </c>
      <c r="K3845" s="91" t="str">
        <f t="shared" si="238"/>
        <v>UN</v>
      </c>
      <c r="L3845" s="166" t="str">
        <f t="shared" si="239"/>
        <v>06/2022</v>
      </c>
      <c r="M3845" s="82"/>
      <c r="N3845" s="82"/>
    </row>
    <row r="3846" spans="1:14" x14ac:dyDescent="0.25">
      <c r="A3846" s="170" t="s">
        <v>6605</v>
      </c>
      <c r="B3846" s="170" t="s">
        <v>16681</v>
      </c>
      <c r="C3846" s="170" t="s">
        <v>205</v>
      </c>
      <c r="D3846" s="170" t="s">
        <v>2067</v>
      </c>
      <c r="E3846" s="171" t="s">
        <v>28523</v>
      </c>
      <c r="F3846" s="171" t="s">
        <v>36758</v>
      </c>
      <c r="G3846" s="82"/>
      <c r="H3846" s="96">
        <f t="shared" si="236"/>
        <v>59.32</v>
      </c>
      <c r="I3846" s="96">
        <f t="shared" si="236"/>
        <v>59.91</v>
      </c>
      <c r="J3846" s="91" t="str">
        <f t="shared" si="237"/>
        <v>Sinapi 89565</v>
      </c>
      <c r="K3846" s="91" t="str">
        <f t="shared" si="238"/>
        <v>UN</v>
      </c>
      <c r="L3846" s="166" t="str">
        <f t="shared" si="239"/>
        <v>06/2022</v>
      </c>
      <c r="M3846" s="82"/>
      <c r="N3846" s="82"/>
    </row>
    <row r="3847" spans="1:14" x14ac:dyDescent="0.25">
      <c r="A3847" s="170" t="s">
        <v>6606</v>
      </c>
      <c r="B3847" s="170" t="s">
        <v>16682</v>
      </c>
      <c r="C3847" s="170" t="s">
        <v>205</v>
      </c>
      <c r="D3847" s="170" t="s">
        <v>2067</v>
      </c>
      <c r="E3847" s="171" t="s">
        <v>21441</v>
      </c>
      <c r="F3847" s="171" t="s">
        <v>36759</v>
      </c>
      <c r="G3847" s="82"/>
      <c r="H3847" s="96">
        <f t="shared" si="236"/>
        <v>51</v>
      </c>
      <c r="I3847" s="96">
        <f t="shared" si="236"/>
        <v>51.59</v>
      </c>
      <c r="J3847" s="91" t="str">
        <f t="shared" si="237"/>
        <v>Sinapi 89566</v>
      </c>
      <c r="K3847" s="91" t="str">
        <f t="shared" si="238"/>
        <v>UN</v>
      </c>
      <c r="L3847" s="166" t="str">
        <f t="shared" si="239"/>
        <v>06/2022</v>
      </c>
      <c r="M3847" s="82"/>
      <c r="N3847" s="82"/>
    </row>
    <row r="3848" spans="1:14" x14ac:dyDescent="0.25">
      <c r="A3848" s="170" t="s">
        <v>6607</v>
      </c>
      <c r="B3848" s="170" t="s">
        <v>16683</v>
      </c>
      <c r="C3848" s="170" t="s">
        <v>205</v>
      </c>
      <c r="D3848" s="170" t="s">
        <v>2067</v>
      </c>
      <c r="E3848" s="171" t="s">
        <v>33465</v>
      </c>
      <c r="F3848" s="171" t="s">
        <v>21131</v>
      </c>
      <c r="G3848" s="82"/>
      <c r="H3848" s="96">
        <f t="shared" ref="H3848:I3911" si="240">IF(E3848="","",E3848+0)</f>
        <v>84.53</v>
      </c>
      <c r="I3848" s="96">
        <f t="shared" si="240"/>
        <v>85.33</v>
      </c>
      <c r="J3848" s="91" t="str">
        <f t="shared" ref="J3848:J3911" si="241">IF(OR(H3848="",I3848=""),"",TRIM(CONCATENATE("Sinapi ",A3848)))</f>
        <v>Sinapi 89567</v>
      </c>
      <c r="K3848" s="91" t="str">
        <f t="shared" ref="K3848:K3911" si="242">TRIM(C3848)</f>
        <v>UN</v>
      </c>
      <c r="L3848" s="166" t="str">
        <f t="shared" ref="L3848:L3911" si="243">IF(OR(RIGHT(IF(AND(K3848&lt;&gt;"H",K3848&lt;&gt;"MES"),RIGHT(B3848,7),""),2)="PS",RIGHT(IF(AND(K3848&lt;&gt;"H",K3848&lt;&gt;"MES"),RIGHT(B3848,7),""),2)="PA",RIGHT(IF(AND(K3848&lt;&gt;"H",K3848&lt;&gt;"MES"),RIGHT(B3848,7),""),2)="PE"),LEFT(IF(AND(K3848&lt;&gt;"H",K3848&lt;&gt;"MES"),RIGHT(B3848,10),""),7),IF(AND(K3848&lt;&gt;"H",K3848&lt;&gt;"MES"),RIGHT(B3848,7),""))</f>
        <v>06/2022</v>
      </c>
      <c r="M3848" s="82"/>
      <c r="N3848" s="82"/>
    </row>
    <row r="3849" spans="1:14" x14ac:dyDescent="0.25">
      <c r="A3849" s="170" t="s">
        <v>6608</v>
      </c>
      <c r="B3849" s="170" t="s">
        <v>16684</v>
      </c>
      <c r="C3849" s="170" t="s">
        <v>205</v>
      </c>
      <c r="D3849" s="170" t="s">
        <v>2067</v>
      </c>
      <c r="E3849" s="171" t="s">
        <v>33553</v>
      </c>
      <c r="F3849" s="171" t="s">
        <v>28831</v>
      </c>
      <c r="G3849" s="82"/>
      <c r="H3849" s="96">
        <f t="shared" si="240"/>
        <v>35.409999999999997</v>
      </c>
      <c r="I3849" s="96">
        <f t="shared" si="240"/>
        <v>35.75</v>
      </c>
      <c r="J3849" s="91" t="str">
        <f t="shared" si="241"/>
        <v>Sinapi 89568</v>
      </c>
      <c r="K3849" s="91" t="str">
        <f t="shared" si="242"/>
        <v>UN</v>
      </c>
      <c r="L3849" s="166" t="str">
        <f t="shared" si="243"/>
        <v>06/2022</v>
      </c>
      <c r="M3849" s="82"/>
      <c r="N3849" s="82"/>
    </row>
    <row r="3850" spans="1:14" x14ac:dyDescent="0.25">
      <c r="A3850" s="170" t="s">
        <v>6609</v>
      </c>
      <c r="B3850" s="170" t="s">
        <v>16685</v>
      </c>
      <c r="C3850" s="170" t="s">
        <v>205</v>
      </c>
      <c r="D3850" s="170" t="s">
        <v>2067</v>
      </c>
      <c r="E3850" s="171" t="s">
        <v>33554</v>
      </c>
      <c r="F3850" s="171" t="s">
        <v>21853</v>
      </c>
      <c r="G3850" s="82"/>
      <c r="H3850" s="96">
        <f t="shared" si="240"/>
        <v>97.14</v>
      </c>
      <c r="I3850" s="96">
        <f t="shared" si="240"/>
        <v>97.88</v>
      </c>
      <c r="J3850" s="91" t="str">
        <f t="shared" si="241"/>
        <v>Sinapi 89569</v>
      </c>
      <c r="K3850" s="91" t="str">
        <f t="shared" si="242"/>
        <v>UN</v>
      </c>
      <c r="L3850" s="166" t="str">
        <f t="shared" si="243"/>
        <v>06/2022</v>
      </c>
      <c r="M3850" s="82"/>
      <c r="N3850" s="82"/>
    </row>
    <row r="3851" spans="1:14" x14ac:dyDescent="0.25">
      <c r="A3851" s="170" t="s">
        <v>6610</v>
      </c>
      <c r="B3851" s="170" t="s">
        <v>16686</v>
      </c>
      <c r="C3851" s="170" t="s">
        <v>205</v>
      </c>
      <c r="D3851" s="170" t="s">
        <v>2067</v>
      </c>
      <c r="E3851" s="171" t="s">
        <v>20068</v>
      </c>
      <c r="F3851" s="171" t="s">
        <v>19856</v>
      </c>
      <c r="G3851" s="82"/>
      <c r="H3851" s="96">
        <f t="shared" si="240"/>
        <v>11.94</v>
      </c>
      <c r="I3851" s="96">
        <f t="shared" si="240"/>
        <v>12.25</v>
      </c>
      <c r="J3851" s="91" t="str">
        <f t="shared" si="241"/>
        <v>Sinapi 89570</v>
      </c>
      <c r="K3851" s="91" t="str">
        <f t="shared" si="242"/>
        <v>UN</v>
      </c>
      <c r="L3851" s="166" t="str">
        <f t="shared" si="243"/>
        <v>06/2022</v>
      </c>
      <c r="M3851" s="82"/>
      <c r="N3851" s="82"/>
    </row>
    <row r="3852" spans="1:14" x14ac:dyDescent="0.25">
      <c r="A3852" s="170" t="s">
        <v>6611</v>
      </c>
      <c r="B3852" s="170" t="s">
        <v>16687</v>
      </c>
      <c r="C3852" s="170" t="s">
        <v>205</v>
      </c>
      <c r="D3852" s="170" t="s">
        <v>2067</v>
      </c>
      <c r="E3852" s="171" t="s">
        <v>27521</v>
      </c>
      <c r="F3852" s="171" t="s">
        <v>33662</v>
      </c>
      <c r="G3852" s="82"/>
      <c r="H3852" s="96">
        <f t="shared" si="240"/>
        <v>74.06</v>
      </c>
      <c r="I3852" s="96">
        <f t="shared" si="240"/>
        <v>74.86</v>
      </c>
      <c r="J3852" s="91" t="str">
        <f t="shared" si="241"/>
        <v>Sinapi 89571</v>
      </c>
      <c r="K3852" s="91" t="str">
        <f t="shared" si="242"/>
        <v>UN</v>
      </c>
      <c r="L3852" s="166" t="str">
        <f t="shared" si="243"/>
        <v>06/2022</v>
      </c>
      <c r="M3852" s="82"/>
      <c r="N3852" s="82"/>
    </row>
    <row r="3853" spans="1:14" x14ac:dyDescent="0.25">
      <c r="A3853" s="170" t="s">
        <v>6612</v>
      </c>
      <c r="B3853" s="170" t="s">
        <v>16688</v>
      </c>
      <c r="C3853" s="170" t="s">
        <v>205</v>
      </c>
      <c r="D3853" s="170" t="s">
        <v>2067</v>
      </c>
      <c r="E3853" s="171" t="s">
        <v>3766</v>
      </c>
      <c r="F3853" s="171" t="s">
        <v>20121</v>
      </c>
      <c r="G3853" s="82"/>
      <c r="H3853" s="96">
        <f t="shared" si="240"/>
        <v>8.8800000000000008</v>
      </c>
      <c r="I3853" s="96">
        <f t="shared" si="240"/>
        <v>9.18</v>
      </c>
      <c r="J3853" s="91" t="str">
        <f t="shared" si="241"/>
        <v>Sinapi 89572</v>
      </c>
      <c r="K3853" s="91" t="str">
        <f t="shared" si="242"/>
        <v>UN</v>
      </c>
      <c r="L3853" s="166" t="str">
        <f t="shared" si="243"/>
        <v>06/2022</v>
      </c>
      <c r="M3853" s="82"/>
      <c r="N3853" s="82"/>
    </row>
    <row r="3854" spans="1:14" x14ac:dyDescent="0.25">
      <c r="A3854" s="170" t="s">
        <v>6613</v>
      </c>
      <c r="B3854" s="170" t="s">
        <v>16689</v>
      </c>
      <c r="C3854" s="170" t="s">
        <v>205</v>
      </c>
      <c r="D3854" s="170" t="s">
        <v>2067</v>
      </c>
      <c r="E3854" s="171" t="s">
        <v>33555</v>
      </c>
      <c r="F3854" s="171" t="s">
        <v>36760</v>
      </c>
      <c r="G3854" s="82"/>
      <c r="H3854" s="96">
        <f t="shared" si="240"/>
        <v>80.180000000000007</v>
      </c>
      <c r="I3854" s="96">
        <f t="shared" si="240"/>
        <v>80.92</v>
      </c>
      <c r="J3854" s="91" t="str">
        <f t="shared" si="241"/>
        <v>Sinapi 89573</v>
      </c>
      <c r="K3854" s="91" t="str">
        <f t="shared" si="242"/>
        <v>UN</v>
      </c>
      <c r="L3854" s="166" t="str">
        <f t="shared" si="243"/>
        <v>06/2022</v>
      </c>
      <c r="M3854" s="82"/>
      <c r="N3854" s="82"/>
    </row>
    <row r="3855" spans="1:14" x14ac:dyDescent="0.25">
      <c r="A3855" s="170" t="s">
        <v>6614</v>
      </c>
      <c r="B3855" s="170" t="s">
        <v>16690</v>
      </c>
      <c r="C3855" s="170" t="s">
        <v>205</v>
      </c>
      <c r="D3855" s="170" t="s">
        <v>2067</v>
      </c>
      <c r="E3855" s="171" t="s">
        <v>33556</v>
      </c>
      <c r="F3855" s="171" t="s">
        <v>24509</v>
      </c>
      <c r="G3855" s="82"/>
      <c r="H3855" s="96">
        <f t="shared" si="240"/>
        <v>159.19999999999999</v>
      </c>
      <c r="I3855" s="96">
        <f t="shared" si="240"/>
        <v>160.4</v>
      </c>
      <c r="J3855" s="91" t="str">
        <f t="shared" si="241"/>
        <v>Sinapi 89574</v>
      </c>
      <c r="K3855" s="91" t="str">
        <f t="shared" si="242"/>
        <v>UN</v>
      </c>
      <c r="L3855" s="166" t="str">
        <f t="shared" si="243"/>
        <v>06/2022</v>
      </c>
      <c r="M3855" s="82"/>
      <c r="N3855" s="82"/>
    </row>
    <row r="3856" spans="1:14" x14ac:dyDescent="0.25">
      <c r="A3856" s="170" t="s">
        <v>6615</v>
      </c>
      <c r="B3856" s="170" t="s">
        <v>16691</v>
      </c>
      <c r="C3856" s="170" t="s">
        <v>205</v>
      </c>
      <c r="D3856" s="170" t="s">
        <v>2067</v>
      </c>
      <c r="E3856" s="171" t="s">
        <v>17139</v>
      </c>
      <c r="F3856" s="171" t="s">
        <v>14350</v>
      </c>
      <c r="G3856" s="82"/>
      <c r="H3856" s="96">
        <f t="shared" si="240"/>
        <v>11.84</v>
      </c>
      <c r="I3856" s="96">
        <f t="shared" si="240"/>
        <v>12.24</v>
      </c>
      <c r="J3856" s="91" t="str">
        <f t="shared" si="241"/>
        <v>Sinapi 89575</v>
      </c>
      <c r="K3856" s="91" t="str">
        <f t="shared" si="242"/>
        <v>UN</v>
      </c>
      <c r="L3856" s="166" t="str">
        <f t="shared" si="243"/>
        <v>06/2022</v>
      </c>
      <c r="M3856" s="82"/>
      <c r="N3856" s="82"/>
    </row>
    <row r="3857" spans="1:14" x14ac:dyDescent="0.25">
      <c r="A3857" s="170" t="s">
        <v>6616</v>
      </c>
      <c r="B3857" s="170" t="s">
        <v>16692</v>
      </c>
      <c r="C3857" s="170" t="s">
        <v>205</v>
      </c>
      <c r="D3857" s="170" t="s">
        <v>2067</v>
      </c>
      <c r="E3857" s="171" t="s">
        <v>33557</v>
      </c>
      <c r="F3857" s="171" t="s">
        <v>21886</v>
      </c>
      <c r="G3857" s="82"/>
      <c r="H3857" s="96">
        <f t="shared" si="240"/>
        <v>40.270000000000003</v>
      </c>
      <c r="I3857" s="96">
        <f t="shared" si="240"/>
        <v>40.67</v>
      </c>
      <c r="J3857" s="91" t="str">
        <f t="shared" si="241"/>
        <v>Sinapi 89577</v>
      </c>
      <c r="K3857" s="91" t="str">
        <f t="shared" si="242"/>
        <v>UN</v>
      </c>
      <c r="L3857" s="166" t="str">
        <f t="shared" si="243"/>
        <v>06/2022</v>
      </c>
      <c r="M3857" s="82"/>
      <c r="N3857" s="82"/>
    </row>
    <row r="3858" spans="1:14" x14ac:dyDescent="0.25">
      <c r="A3858" s="170" t="s">
        <v>6617</v>
      </c>
      <c r="B3858" s="170" t="s">
        <v>16693</v>
      </c>
      <c r="C3858" s="170" t="s">
        <v>205</v>
      </c>
      <c r="D3858" s="170" t="s">
        <v>2067</v>
      </c>
      <c r="E3858" s="171" t="s">
        <v>16722</v>
      </c>
      <c r="F3858" s="171" t="s">
        <v>19345</v>
      </c>
      <c r="G3858" s="82"/>
      <c r="H3858" s="96">
        <f t="shared" si="240"/>
        <v>12.26</v>
      </c>
      <c r="I3858" s="96">
        <f t="shared" si="240"/>
        <v>12.57</v>
      </c>
      <c r="J3858" s="91" t="str">
        <f t="shared" si="241"/>
        <v>Sinapi 89579</v>
      </c>
      <c r="K3858" s="91" t="str">
        <f t="shared" si="242"/>
        <v>UN</v>
      </c>
      <c r="L3858" s="166" t="str">
        <f t="shared" si="243"/>
        <v>06/2022</v>
      </c>
      <c r="M3858" s="82"/>
      <c r="N3858" s="82"/>
    </row>
    <row r="3859" spans="1:14" x14ac:dyDescent="0.25">
      <c r="A3859" s="170" t="s">
        <v>6618</v>
      </c>
      <c r="B3859" s="170" t="s">
        <v>16694</v>
      </c>
      <c r="C3859" s="170" t="s">
        <v>205</v>
      </c>
      <c r="D3859" s="170" t="s">
        <v>2067</v>
      </c>
      <c r="E3859" s="171" t="s">
        <v>33558</v>
      </c>
      <c r="F3859" s="171" t="s">
        <v>36761</v>
      </c>
      <c r="G3859" s="82"/>
      <c r="H3859" s="96">
        <f t="shared" si="240"/>
        <v>35.39</v>
      </c>
      <c r="I3859" s="96">
        <f t="shared" si="240"/>
        <v>36.21</v>
      </c>
      <c r="J3859" s="91" t="str">
        <f t="shared" si="241"/>
        <v>Sinapi 89581</v>
      </c>
      <c r="K3859" s="91" t="str">
        <f t="shared" si="242"/>
        <v>UN</v>
      </c>
      <c r="L3859" s="166" t="str">
        <f t="shared" si="243"/>
        <v>06/2022</v>
      </c>
      <c r="M3859" s="82"/>
      <c r="N3859" s="82"/>
    </row>
    <row r="3860" spans="1:14" x14ac:dyDescent="0.25">
      <c r="A3860" s="170" t="s">
        <v>6620</v>
      </c>
      <c r="B3860" s="170" t="s">
        <v>16695</v>
      </c>
      <c r="C3860" s="170" t="s">
        <v>205</v>
      </c>
      <c r="D3860" s="170" t="s">
        <v>2067</v>
      </c>
      <c r="E3860" s="171" t="s">
        <v>22076</v>
      </c>
      <c r="F3860" s="171" t="s">
        <v>36762</v>
      </c>
      <c r="G3860" s="82"/>
      <c r="H3860" s="96">
        <f t="shared" si="240"/>
        <v>35.85</v>
      </c>
      <c r="I3860" s="96">
        <f t="shared" si="240"/>
        <v>36.67</v>
      </c>
      <c r="J3860" s="91" t="str">
        <f t="shared" si="241"/>
        <v>Sinapi 89582</v>
      </c>
      <c r="K3860" s="91" t="str">
        <f t="shared" si="242"/>
        <v>UN</v>
      </c>
      <c r="L3860" s="166" t="str">
        <f t="shared" si="243"/>
        <v>06/2022</v>
      </c>
      <c r="M3860" s="82"/>
      <c r="N3860" s="82"/>
    </row>
    <row r="3861" spans="1:14" x14ac:dyDescent="0.25">
      <c r="A3861" s="170" t="s">
        <v>6621</v>
      </c>
      <c r="B3861" s="170" t="s">
        <v>16696</v>
      </c>
      <c r="C3861" s="170" t="s">
        <v>205</v>
      </c>
      <c r="D3861" s="170" t="s">
        <v>2067</v>
      </c>
      <c r="E3861" s="171" t="s">
        <v>19406</v>
      </c>
      <c r="F3861" s="171" t="s">
        <v>22039</v>
      </c>
      <c r="G3861" s="82"/>
      <c r="H3861" s="96">
        <f t="shared" si="240"/>
        <v>44.32</v>
      </c>
      <c r="I3861" s="96">
        <f t="shared" si="240"/>
        <v>45.14</v>
      </c>
      <c r="J3861" s="91" t="str">
        <f t="shared" si="241"/>
        <v>Sinapi 89583</v>
      </c>
      <c r="K3861" s="91" t="str">
        <f t="shared" si="242"/>
        <v>UN</v>
      </c>
      <c r="L3861" s="166" t="str">
        <f t="shared" si="243"/>
        <v>06/2022</v>
      </c>
      <c r="M3861" s="82"/>
      <c r="N3861" s="82"/>
    </row>
    <row r="3862" spans="1:14" x14ac:dyDescent="0.25">
      <c r="A3862" s="170" t="s">
        <v>6622</v>
      </c>
      <c r="B3862" s="170" t="s">
        <v>16697</v>
      </c>
      <c r="C3862" s="170" t="s">
        <v>205</v>
      </c>
      <c r="D3862" s="170" t="s">
        <v>2067</v>
      </c>
      <c r="E3862" s="171" t="s">
        <v>18556</v>
      </c>
      <c r="F3862" s="171" t="s">
        <v>23025</v>
      </c>
      <c r="G3862" s="82"/>
      <c r="H3862" s="96">
        <f t="shared" si="240"/>
        <v>46.05</v>
      </c>
      <c r="I3862" s="96">
        <f t="shared" si="240"/>
        <v>47.34</v>
      </c>
      <c r="J3862" s="91" t="str">
        <f t="shared" si="241"/>
        <v>Sinapi 89584</v>
      </c>
      <c r="K3862" s="91" t="str">
        <f t="shared" si="242"/>
        <v>UN</v>
      </c>
      <c r="L3862" s="166" t="str">
        <f t="shared" si="243"/>
        <v>06/2022</v>
      </c>
      <c r="M3862" s="82"/>
      <c r="N3862" s="82"/>
    </row>
    <row r="3863" spans="1:14" x14ac:dyDescent="0.25">
      <c r="A3863" s="170" t="s">
        <v>6623</v>
      </c>
      <c r="B3863" s="170" t="s">
        <v>16698</v>
      </c>
      <c r="C3863" s="170" t="s">
        <v>205</v>
      </c>
      <c r="D3863" s="170" t="s">
        <v>2067</v>
      </c>
      <c r="E3863" s="171" t="s">
        <v>33559</v>
      </c>
      <c r="F3863" s="171" t="s">
        <v>33607</v>
      </c>
      <c r="G3863" s="82"/>
      <c r="H3863" s="96">
        <f t="shared" si="240"/>
        <v>47.08</v>
      </c>
      <c r="I3863" s="96">
        <f t="shared" si="240"/>
        <v>48.37</v>
      </c>
      <c r="J3863" s="91" t="str">
        <f t="shared" si="241"/>
        <v>Sinapi 89585</v>
      </c>
      <c r="K3863" s="91" t="str">
        <f t="shared" si="242"/>
        <v>UN</v>
      </c>
      <c r="L3863" s="166" t="str">
        <f t="shared" si="243"/>
        <v>06/2022</v>
      </c>
      <c r="M3863" s="82"/>
      <c r="N3863" s="82"/>
    </row>
    <row r="3864" spans="1:14" x14ac:dyDescent="0.25">
      <c r="A3864" s="170" t="s">
        <v>6624</v>
      </c>
      <c r="B3864" s="170" t="s">
        <v>16699</v>
      </c>
      <c r="C3864" s="170" t="s">
        <v>205</v>
      </c>
      <c r="D3864" s="170" t="s">
        <v>2067</v>
      </c>
      <c r="E3864" s="171" t="s">
        <v>33560</v>
      </c>
      <c r="F3864" s="171" t="s">
        <v>31266</v>
      </c>
      <c r="G3864" s="82"/>
      <c r="H3864" s="96">
        <f t="shared" si="240"/>
        <v>51.51</v>
      </c>
      <c r="I3864" s="96">
        <f t="shared" si="240"/>
        <v>52.8</v>
      </c>
      <c r="J3864" s="91" t="str">
        <f t="shared" si="241"/>
        <v>Sinapi 89587</v>
      </c>
      <c r="K3864" s="91" t="str">
        <f t="shared" si="242"/>
        <v>UN</v>
      </c>
      <c r="L3864" s="166" t="str">
        <f t="shared" si="243"/>
        <v>06/2022</v>
      </c>
      <c r="M3864" s="82"/>
      <c r="N3864" s="82"/>
    </row>
    <row r="3865" spans="1:14" x14ac:dyDescent="0.25">
      <c r="A3865" s="170" t="s">
        <v>6625</v>
      </c>
      <c r="B3865" s="170" t="s">
        <v>16700</v>
      </c>
      <c r="C3865" s="170" t="s">
        <v>205</v>
      </c>
      <c r="D3865" s="170" t="s">
        <v>2067</v>
      </c>
      <c r="E3865" s="171" t="s">
        <v>33561</v>
      </c>
      <c r="F3865" s="171" t="s">
        <v>36763</v>
      </c>
      <c r="G3865" s="82"/>
      <c r="H3865" s="96">
        <f t="shared" si="240"/>
        <v>142.78</v>
      </c>
      <c r="I3865" s="96">
        <f t="shared" si="240"/>
        <v>145.01</v>
      </c>
      <c r="J3865" s="91" t="str">
        <f t="shared" si="241"/>
        <v>Sinapi 89590</v>
      </c>
      <c r="K3865" s="91" t="str">
        <f t="shared" si="242"/>
        <v>UN</v>
      </c>
      <c r="L3865" s="166" t="str">
        <f t="shared" si="243"/>
        <v>06/2022</v>
      </c>
      <c r="M3865" s="82"/>
      <c r="N3865" s="82"/>
    </row>
    <row r="3866" spans="1:14" x14ac:dyDescent="0.25">
      <c r="A3866" s="170" t="s">
        <v>6626</v>
      </c>
      <c r="B3866" s="170" t="s">
        <v>16701</v>
      </c>
      <c r="C3866" s="170" t="s">
        <v>205</v>
      </c>
      <c r="D3866" s="170" t="s">
        <v>2067</v>
      </c>
      <c r="E3866" s="171" t="s">
        <v>33562</v>
      </c>
      <c r="F3866" s="171" t="s">
        <v>31675</v>
      </c>
      <c r="G3866" s="82"/>
      <c r="H3866" s="96">
        <f t="shared" si="240"/>
        <v>139.62</v>
      </c>
      <c r="I3866" s="96">
        <f t="shared" si="240"/>
        <v>141.85</v>
      </c>
      <c r="J3866" s="91" t="str">
        <f t="shared" si="241"/>
        <v>Sinapi 89591</v>
      </c>
      <c r="K3866" s="91" t="str">
        <f t="shared" si="242"/>
        <v>UN</v>
      </c>
      <c r="L3866" s="166" t="str">
        <f t="shared" si="243"/>
        <v>06/2022</v>
      </c>
      <c r="M3866" s="82"/>
      <c r="N3866" s="82"/>
    </row>
    <row r="3867" spans="1:14" x14ac:dyDescent="0.25">
      <c r="A3867" s="170" t="s">
        <v>6627</v>
      </c>
      <c r="B3867" s="170" t="s">
        <v>16702</v>
      </c>
      <c r="C3867" s="170" t="s">
        <v>205</v>
      </c>
      <c r="D3867" s="170" t="s">
        <v>2067</v>
      </c>
      <c r="E3867" s="171" t="s">
        <v>33563</v>
      </c>
      <c r="F3867" s="171" t="s">
        <v>36764</v>
      </c>
      <c r="G3867" s="82"/>
      <c r="H3867" s="96">
        <f t="shared" si="240"/>
        <v>167.36</v>
      </c>
      <c r="I3867" s="96">
        <f t="shared" si="240"/>
        <v>169.59</v>
      </c>
      <c r="J3867" s="91" t="str">
        <f t="shared" si="241"/>
        <v>Sinapi 89592</v>
      </c>
      <c r="K3867" s="91" t="str">
        <f t="shared" si="242"/>
        <v>UN</v>
      </c>
      <c r="L3867" s="166" t="str">
        <f t="shared" si="243"/>
        <v>06/2022</v>
      </c>
      <c r="M3867" s="82"/>
      <c r="N3867" s="82"/>
    </row>
    <row r="3868" spans="1:14" x14ac:dyDescent="0.25">
      <c r="A3868" s="170" t="s">
        <v>6628</v>
      </c>
      <c r="B3868" s="170" t="s">
        <v>16703</v>
      </c>
      <c r="C3868" s="170" t="s">
        <v>205</v>
      </c>
      <c r="D3868" s="170" t="s">
        <v>2067</v>
      </c>
      <c r="E3868" s="171" t="s">
        <v>23005</v>
      </c>
      <c r="F3868" s="171" t="s">
        <v>36765</v>
      </c>
      <c r="G3868" s="82"/>
      <c r="H3868" s="96">
        <f t="shared" si="240"/>
        <v>26.95</v>
      </c>
      <c r="I3868" s="96">
        <f t="shared" si="240"/>
        <v>27.29</v>
      </c>
      <c r="J3868" s="91" t="str">
        <f t="shared" si="241"/>
        <v>Sinapi 89593</v>
      </c>
      <c r="K3868" s="91" t="str">
        <f t="shared" si="242"/>
        <v>UN</v>
      </c>
      <c r="L3868" s="166" t="str">
        <f t="shared" si="243"/>
        <v>06/2022</v>
      </c>
      <c r="M3868" s="82"/>
      <c r="N3868" s="82"/>
    </row>
    <row r="3869" spans="1:14" x14ac:dyDescent="0.25">
      <c r="A3869" s="170" t="s">
        <v>6629</v>
      </c>
      <c r="B3869" s="170" t="s">
        <v>16704</v>
      </c>
      <c r="C3869" s="170" t="s">
        <v>205</v>
      </c>
      <c r="D3869" s="170" t="s">
        <v>2067</v>
      </c>
      <c r="E3869" s="171" t="s">
        <v>24573</v>
      </c>
      <c r="F3869" s="171" t="s">
        <v>21040</v>
      </c>
      <c r="G3869" s="82"/>
      <c r="H3869" s="96">
        <f t="shared" si="240"/>
        <v>39.18</v>
      </c>
      <c r="I3869" s="96">
        <f t="shared" si="240"/>
        <v>39.58</v>
      </c>
      <c r="J3869" s="91" t="str">
        <f t="shared" si="241"/>
        <v>Sinapi 89594</v>
      </c>
      <c r="K3869" s="91" t="str">
        <f t="shared" si="242"/>
        <v>UN</v>
      </c>
      <c r="L3869" s="166" t="str">
        <f t="shared" si="243"/>
        <v>06/2022</v>
      </c>
      <c r="M3869" s="82"/>
      <c r="N3869" s="82"/>
    </row>
    <row r="3870" spans="1:14" x14ac:dyDescent="0.25">
      <c r="A3870" s="170" t="s">
        <v>6630</v>
      </c>
      <c r="B3870" s="170" t="s">
        <v>16705</v>
      </c>
      <c r="C3870" s="170" t="s">
        <v>205</v>
      </c>
      <c r="D3870" s="170" t="s">
        <v>2067</v>
      </c>
      <c r="E3870" s="171" t="s">
        <v>17358</v>
      </c>
      <c r="F3870" s="171" t="s">
        <v>16434</v>
      </c>
      <c r="G3870" s="82"/>
      <c r="H3870" s="96">
        <f t="shared" si="240"/>
        <v>15.27</v>
      </c>
      <c r="I3870" s="96">
        <f t="shared" si="240"/>
        <v>15.6</v>
      </c>
      <c r="J3870" s="91" t="str">
        <f t="shared" si="241"/>
        <v>Sinapi 89595</v>
      </c>
      <c r="K3870" s="91" t="str">
        <f t="shared" si="242"/>
        <v>UN</v>
      </c>
      <c r="L3870" s="166" t="str">
        <f t="shared" si="243"/>
        <v>06/2022</v>
      </c>
      <c r="M3870" s="82"/>
      <c r="N3870" s="82"/>
    </row>
    <row r="3871" spans="1:14" x14ac:dyDescent="0.25">
      <c r="A3871" s="170" t="s">
        <v>6631</v>
      </c>
      <c r="B3871" s="170" t="s">
        <v>16706</v>
      </c>
      <c r="C3871" s="170" t="s">
        <v>205</v>
      </c>
      <c r="D3871" s="170" t="s">
        <v>2067</v>
      </c>
      <c r="E3871" s="171" t="s">
        <v>2147</v>
      </c>
      <c r="F3871" s="171" t="s">
        <v>17915</v>
      </c>
      <c r="G3871" s="82"/>
      <c r="H3871" s="96">
        <f t="shared" si="240"/>
        <v>10.72</v>
      </c>
      <c r="I3871" s="96">
        <f t="shared" si="240"/>
        <v>11.06</v>
      </c>
      <c r="J3871" s="91" t="str">
        <f t="shared" si="241"/>
        <v>Sinapi 89596</v>
      </c>
      <c r="K3871" s="91" t="str">
        <f t="shared" si="242"/>
        <v>UN</v>
      </c>
      <c r="L3871" s="166" t="str">
        <f t="shared" si="243"/>
        <v>06/2022</v>
      </c>
      <c r="M3871" s="82"/>
      <c r="N3871" s="82"/>
    </row>
    <row r="3872" spans="1:14" x14ac:dyDescent="0.25">
      <c r="A3872" s="170" t="s">
        <v>6632</v>
      </c>
      <c r="B3872" s="170" t="s">
        <v>16707</v>
      </c>
      <c r="C3872" s="170" t="s">
        <v>205</v>
      </c>
      <c r="D3872" s="170" t="s">
        <v>2067</v>
      </c>
      <c r="E3872" s="171" t="s">
        <v>16872</v>
      </c>
      <c r="F3872" s="171" t="s">
        <v>19416</v>
      </c>
      <c r="G3872" s="82"/>
      <c r="H3872" s="96">
        <f t="shared" si="240"/>
        <v>24.1</v>
      </c>
      <c r="I3872" s="96">
        <f t="shared" si="240"/>
        <v>24.57</v>
      </c>
      <c r="J3872" s="91" t="str">
        <f t="shared" si="241"/>
        <v>Sinapi 89597</v>
      </c>
      <c r="K3872" s="91" t="str">
        <f t="shared" si="242"/>
        <v>UN</v>
      </c>
      <c r="L3872" s="166" t="str">
        <f t="shared" si="243"/>
        <v>06/2022</v>
      </c>
      <c r="M3872" s="82"/>
      <c r="N3872" s="82"/>
    </row>
    <row r="3873" spans="1:14" x14ac:dyDescent="0.25">
      <c r="A3873" s="170" t="s">
        <v>6633</v>
      </c>
      <c r="B3873" s="170" t="s">
        <v>16708</v>
      </c>
      <c r="C3873" s="170" t="s">
        <v>205</v>
      </c>
      <c r="D3873" s="170" t="s">
        <v>2067</v>
      </c>
      <c r="E3873" s="171" t="s">
        <v>21971</v>
      </c>
      <c r="F3873" s="171" t="s">
        <v>36766</v>
      </c>
      <c r="G3873" s="82"/>
      <c r="H3873" s="96">
        <f t="shared" si="240"/>
        <v>54.54</v>
      </c>
      <c r="I3873" s="96">
        <f t="shared" si="240"/>
        <v>55.01</v>
      </c>
      <c r="J3873" s="91" t="str">
        <f t="shared" si="241"/>
        <v>Sinapi 89598</v>
      </c>
      <c r="K3873" s="91" t="str">
        <f t="shared" si="242"/>
        <v>UN</v>
      </c>
      <c r="L3873" s="166" t="str">
        <f t="shared" si="243"/>
        <v>06/2022</v>
      </c>
      <c r="M3873" s="82"/>
      <c r="N3873" s="82"/>
    </row>
    <row r="3874" spans="1:14" x14ac:dyDescent="0.25">
      <c r="A3874" s="170" t="s">
        <v>6634</v>
      </c>
      <c r="B3874" s="170" t="s">
        <v>16709</v>
      </c>
      <c r="C3874" s="170" t="s">
        <v>205</v>
      </c>
      <c r="D3874" s="170" t="s">
        <v>2067</v>
      </c>
      <c r="E3874" s="171" t="s">
        <v>20046</v>
      </c>
      <c r="F3874" s="171" t="s">
        <v>35359</v>
      </c>
      <c r="G3874" s="82"/>
      <c r="H3874" s="96">
        <f t="shared" si="240"/>
        <v>25.94</v>
      </c>
      <c r="I3874" s="96">
        <f t="shared" si="240"/>
        <v>26.48</v>
      </c>
      <c r="J3874" s="91" t="str">
        <f t="shared" si="241"/>
        <v>Sinapi 89599</v>
      </c>
      <c r="K3874" s="91" t="str">
        <f t="shared" si="242"/>
        <v>UN</v>
      </c>
      <c r="L3874" s="166" t="str">
        <f t="shared" si="243"/>
        <v>06/2022</v>
      </c>
      <c r="M3874" s="82"/>
      <c r="N3874" s="82"/>
    </row>
    <row r="3875" spans="1:14" x14ac:dyDescent="0.25">
      <c r="A3875" s="170" t="s">
        <v>6635</v>
      </c>
      <c r="B3875" s="170" t="s">
        <v>16710</v>
      </c>
      <c r="C3875" s="170" t="s">
        <v>205</v>
      </c>
      <c r="D3875" s="170" t="s">
        <v>2067</v>
      </c>
      <c r="E3875" s="171" t="s">
        <v>23139</v>
      </c>
      <c r="F3875" s="171" t="s">
        <v>34411</v>
      </c>
      <c r="G3875" s="82"/>
      <c r="H3875" s="96">
        <f t="shared" si="240"/>
        <v>27.93</v>
      </c>
      <c r="I3875" s="96">
        <f t="shared" si="240"/>
        <v>28.47</v>
      </c>
      <c r="J3875" s="91" t="str">
        <f t="shared" si="241"/>
        <v>Sinapi 89600</v>
      </c>
      <c r="K3875" s="91" t="str">
        <f t="shared" si="242"/>
        <v>UN</v>
      </c>
      <c r="L3875" s="166" t="str">
        <f t="shared" si="243"/>
        <v>06/2022</v>
      </c>
      <c r="M3875" s="82"/>
      <c r="N3875" s="82"/>
    </row>
    <row r="3876" spans="1:14" x14ac:dyDescent="0.25">
      <c r="A3876" s="170" t="s">
        <v>6636</v>
      </c>
      <c r="B3876" s="170" t="s">
        <v>16711</v>
      </c>
      <c r="C3876" s="170" t="s">
        <v>205</v>
      </c>
      <c r="D3876" s="170" t="s">
        <v>2067</v>
      </c>
      <c r="E3876" s="171" t="s">
        <v>31175</v>
      </c>
      <c r="F3876" s="171" t="s">
        <v>28727</v>
      </c>
      <c r="G3876" s="82"/>
      <c r="H3876" s="96">
        <f t="shared" si="240"/>
        <v>21.92</v>
      </c>
      <c r="I3876" s="96">
        <f t="shared" si="240"/>
        <v>22.36</v>
      </c>
      <c r="J3876" s="91" t="str">
        <f t="shared" si="241"/>
        <v>Sinapi 89605</v>
      </c>
      <c r="K3876" s="91" t="str">
        <f t="shared" si="242"/>
        <v>UN</v>
      </c>
      <c r="L3876" s="166" t="str">
        <f t="shared" si="243"/>
        <v>06/2022</v>
      </c>
      <c r="M3876" s="82"/>
      <c r="N3876" s="82"/>
    </row>
    <row r="3877" spans="1:14" x14ac:dyDescent="0.25">
      <c r="A3877" s="170" t="s">
        <v>6637</v>
      </c>
      <c r="B3877" s="170" t="s">
        <v>16712</v>
      </c>
      <c r="C3877" s="170" t="s">
        <v>205</v>
      </c>
      <c r="D3877" s="170" t="s">
        <v>2067</v>
      </c>
      <c r="E3877" s="171" t="s">
        <v>33564</v>
      </c>
      <c r="F3877" s="171" t="s">
        <v>36767</v>
      </c>
      <c r="G3877" s="82"/>
      <c r="H3877" s="96">
        <f t="shared" si="240"/>
        <v>92.89</v>
      </c>
      <c r="I3877" s="96">
        <f t="shared" si="240"/>
        <v>93.36</v>
      </c>
      <c r="J3877" s="91" t="str">
        <f t="shared" si="241"/>
        <v>Sinapi 89609</v>
      </c>
      <c r="K3877" s="91" t="str">
        <f t="shared" si="242"/>
        <v>UN</v>
      </c>
      <c r="L3877" s="166" t="str">
        <f t="shared" si="243"/>
        <v>06/2022</v>
      </c>
      <c r="M3877" s="82"/>
      <c r="N3877" s="82"/>
    </row>
    <row r="3878" spans="1:14" x14ac:dyDescent="0.25">
      <c r="A3878" s="170" t="s">
        <v>6638</v>
      </c>
      <c r="B3878" s="170" t="s">
        <v>16713</v>
      </c>
      <c r="C3878" s="170" t="s">
        <v>205</v>
      </c>
      <c r="D3878" s="170" t="s">
        <v>2067</v>
      </c>
      <c r="E3878" s="171" t="s">
        <v>23244</v>
      </c>
      <c r="F3878" s="171" t="s">
        <v>19881</v>
      </c>
      <c r="G3878" s="82"/>
      <c r="H3878" s="96">
        <f t="shared" si="240"/>
        <v>20.68</v>
      </c>
      <c r="I3878" s="96">
        <f t="shared" si="240"/>
        <v>21.12</v>
      </c>
      <c r="J3878" s="91" t="str">
        <f t="shared" si="241"/>
        <v>Sinapi 89610</v>
      </c>
      <c r="K3878" s="91" t="str">
        <f t="shared" si="242"/>
        <v>UN</v>
      </c>
      <c r="L3878" s="166" t="str">
        <f t="shared" si="243"/>
        <v>06/2022</v>
      </c>
      <c r="M3878" s="82"/>
      <c r="N3878" s="82"/>
    </row>
    <row r="3879" spans="1:14" x14ac:dyDescent="0.25">
      <c r="A3879" s="170" t="s">
        <v>6639</v>
      </c>
      <c r="B3879" s="170" t="s">
        <v>16715</v>
      </c>
      <c r="C3879" s="170" t="s">
        <v>205</v>
      </c>
      <c r="D3879" s="170" t="s">
        <v>2067</v>
      </c>
      <c r="E3879" s="171" t="s">
        <v>23151</v>
      </c>
      <c r="F3879" s="171" t="s">
        <v>22011</v>
      </c>
      <c r="G3879" s="82"/>
      <c r="H3879" s="96">
        <f t="shared" si="240"/>
        <v>34.39</v>
      </c>
      <c r="I3879" s="96">
        <f t="shared" si="240"/>
        <v>34.979999999999997</v>
      </c>
      <c r="J3879" s="91" t="str">
        <f t="shared" si="241"/>
        <v>Sinapi 89611</v>
      </c>
      <c r="K3879" s="91" t="str">
        <f t="shared" si="242"/>
        <v>UN</v>
      </c>
      <c r="L3879" s="166" t="str">
        <f t="shared" si="243"/>
        <v>06/2022</v>
      </c>
      <c r="M3879" s="82"/>
      <c r="N3879" s="82"/>
    </row>
    <row r="3880" spans="1:14" x14ac:dyDescent="0.25">
      <c r="A3880" s="170" t="s">
        <v>6640</v>
      </c>
      <c r="B3880" s="170" t="s">
        <v>16716</v>
      </c>
      <c r="C3880" s="170" t="s">
        <v>205</v>
      </c>
      <c r="D3880" s="170" t="s">
        <v>2067</v>
      </c>
      <c r="E3880" s="171" t="s">
        <v>33565</v>
      </c>
      <c r="F3880" s="171" t="s">
        <v>36768</v>
      </c>
      <c r="G3880" s="82"/>
      <c r="H3880" s="96">
        <f t="shared" si="240"/>
        <v>183.49</v>
      </c>
      <c r="I3880" s="96">
        <f t="shared" si="240"/>
        <v>184.08</v>
      </c>
      <c r="J3880" s="91" t="str">
        <f t="shared" si="241"/>
        <v>Sinapi 89612</v>
      </c>
      <c r="K3880" s="91" t="str">
        <f t="shared" si="242"/>
        <v>UN</v>
      </c>
      <c r="L3880" s="166" t="str">
        <f t="shared" si="243"/>
        <v>06/2022</v>
      </c>
      <c r="M3880" s="82"/>
      <c r="N3880" s="82"/>
    </row>
    <row r="3881" spans="1:14" x14ac:dyDescent="0.25">
      <c r="A3881" s="170" t="s">
        <v>6641</v>
      </c>
      <c r="B3881" s="170" t="s">
        <v>6642</v>
      </c>
      <c r="C3881" s="170" t="s">
        <v>205</v>
      </c>
      <c r="D3881" s="170" t="s">
        <v>2067</v>
      </c>
      <c r="E3881" s="171" t="s">
        <v>21130</v>
      </c>
      <c r="F3881" s="171" t="s">
        <v>30666</v>
      </c>
      <c r="G3881" s="82"/>
      <c r="H3881" s="96">
        <f t="shared" si="240"/>
        <v>32.75</v>
      </c>
      <c r="I3881" s="96">
        <f t="shared" si="240"/>
        <v>33.28</v>
      </c>
      <c r="J3881" s="91" t="str">
        <f t="shared" si="241"/>
        <v>Sinapi 89613</v>
      </c>
      <c r="K3881" s="91" t="str">
        <f t="shared" si="242"/>
        <v>UN</v>
      </c>
      <c r="L3881" s="166" t="str">
        <f t="shared" si="243"/>
        <v>12/2014</v>
      </c>
      <c r="M3881" s="82"/>
      <c r="N3881" s="82"/>
    </row>
    <row r="3882" spans="1:14" x14ac:dyDescent="0.25">
      <c r="A3882" s="170" t="s">
        <v>6643</v>
      </c>
      <c r="B3882" s="170" t="s">
        <v>16717</v>
      </c>
      <c r="C3882" s="170" t="s">
        <v>205</v>
      </c>
      <c r="D3882" s="170" t="s">
        <v>2067</v>
      </c>
      <c r="E3882" s="171" t="s">
        <v>33566</v>
      </c>
      <c r="F3882" s="171" t="s">
        <v>29108</v>
      </c>
      <c r="G3882" s="82"/>
      <c r="H3882" s="96">
        <f t="shared" si="240"/>
        <v>65.209999999999994</v>
      </c>
      <c r="I3882" s="96">
        <f t="shared" si="240"/>
        <v>65.87</v>
      </c>
      <c r="J3882" s="91" t="str">
        <f t="shared" si="241"/>
        <v>Sinapi 89614</v>
      </c>
      <c r="K3882" s="91" t="str">
        <f t="shared" si="242"/>
        <v>UN</v>
      </c>
      <c r="L3882" s="166" t="str">
        <f t="shared" si="243"/>
        <v>06/2022</v>
      </c>
      <c r="M3882" s="82"/>
      <c r="N3882" s="82"/>
    </row>
    <row r="3883" spans="1:14" x14ac:dyDescent="0.25">
      <c r="A3883" s="170" t="s">
        <v>6644</v>
      </c>
      <c r="B3883" s="170" t="s">
        <v>16718</v>
      </c>
      <c r="C3883" s="170" t="s">
        <v>205</v>
      </c>
      <c r="D3883" s="170" t="s">
        <v>2067</v>
      </c>
      <c r="E3883" s="171" t="s">
        <v>33567</v>
      </c>
      <c r="F3883" s="171" t="s">
        <v>29122</v>
      </c>
      <c r="G3883" s="82"/>
      <c r="H3883" s="96">
        <f t="shared" si="240"/>
        <v>216.82</v>
      </c>
      <c r="I3883" s="96">
        <f t="shared" si="240"/>
        <v>217.48</v>
      </c>
      <c r="J3883" s="91" t="str">
        <f t="shared" si="241"/>
        <v>Sinapi 89615</v>
      </c>
      <c r="K3883" s="91" t="str">
        <f t="shared" si="242"/>
        <v>UN</v>
      </c>
      <c r="L3883" s="166" t="str">
        <f t="shared" si="243"/>
        <v>06/2022</v>
      </c>
      <c r="M3883" s="82"/>
      <c r="N3883" s="82"/>
    </row>
    <row r="3884" spans="1:14" x14ac:dyDescent="0.25">
      <c r="A3884" s="170" t="s">
        <v>6645</v>
      </c>
      <c r="B3884" s="170" t="s">
        <v>16719</v>
      </c>
      <c r="C3884" s="170" t="s">
        <v>205</v>
      </c>
      <c r="D3884" s="170" t="s">
        <v>2067</v>
      </c>
      <c r="E3884" s="171" t="s">
        <v>31220</v>
      </c>
      <c r="F3884" s="171" t="s">
        <v>33622</v>
      </c>
      <c r="G3884" s="82"/>
      <c r="H3884" s="96">
        <f t="shared" si="240"/>
        <v>44.05</v>
      </c>
      <c r="I3884" s="96">
        <f t="shared" si="240"/>
        <v>44.66</v>
      </c>
      <c r="J3884" s="91" t="str">
        <f t="shared" si="241"/>
        <v>Sinapi 89616</v>
      </c>
      <c r="K3884" s="91" t="str">
        <f t="shared" si="242"/>
        <v>UN</v>
      </c>
      <c r="L3884" s="166" t="str">
        <f t="shared" si="243"/>
        <v>06/2022</v>
      </c>
      <c r="M3884" s="82"/>
      <c r="N3884" s="82"/>
    </row>
    <row r="3885" spans="1:14" x14ac:dyDescent="0.25">
      <c r="A3885" s="170" t="s">
        <v>6646</v>
      </c>
      <c r="B3885" s="170" t="s">
        <v>16720</v>
      </c>
      <c r="C3885" s="170" t="s">
        <v>205</v>
      </c>
      <c r="D3885" s="170" t="s">
        <v>2067</v>
      </c>
      <c r="E3885" s="171" t="s">
        <v>21648</v>
      </c>
      <c r="F3885" s="171" t="s">
        <v>23438</v>
      </c>
      <c r="G3885" s="82"/>
      <c r="H3885" s="96">
        <f t="shared" si="240"/>
        <v>7.15</v>
      </c>
      <c r="I3885" s="96">
        <f t="shared" si="240"/>
        <v>7.6</v>
      </c>
      <c r="J3885" s="91" t="str">
        <f t="shared" si="241"/>
        <v>Sinapi 89617</v>
      </c>
      <c r="K3885" s="91" t="str">
        <f t="shared" si="242"/>
        <v>UN</v>
      </c>
      <c r="L3885" s="166" t="str">
        <f t="shared" si="243"/>
        <v>06/2022</v>
      </c>
      <c r="M3885" s="82"/>
      <c r="N3885" s="82"/>
    </row>
    <row r="3886" spans="1:14" x14ac:dyDescent="0.25">
      <c r="A3886" s="170" t="s">
        <v>6647</v>
      </c>
      <c r="B3886" s="170" t="s">
        <v>16721</v>
      </c>
      <c r="C3886" s="170" t="s">
        <v>205</v>
      </c>
      <c r="D3886" s="170" t="s">
        <v>2067</v>
      </c>
      <c r="E3886" s="171" t="s">
        <v>14950</v>
      </c>
      <c r="F3886" s="171" t="s">
        <v>20465</v>
      </c>
      <c r="G3886" s="82"/>
      <c r="H3886" s="96">
        <f t="shared" si="240"/>
        <v>11.73</v>
      </c>
      <c r="I3886" s="96">
        <f t="shared" si="240"/>
        <v>12.27</v>
      </c>
      <c r="J3886" s="91" t="str">
        <f t="shared" si="241"/>
        <v>Sinapi 89620</v>
      </c>
      <c r="K3886" s="91" t="str">
        <f t="shared" si="242"/>
        <v>UN</v>
      </c>
      <c r="L3886" s="166" t="str">
        <f t="shared" si="243"/>
        <v>06/2022</v>
      </c>
      <c r="M3886" s="82"/>
      <c r="N3886" s="82"/>
    </row>
    <row r="3887" spans="1:14" x14ac:dyDescent="0.25">
      <c r="A3887" s="170" t="s">
        <v>6648</v>
      </c>
      <c r="B3887" s="170" t="s">
        <v>16723</v>
      </c>
      <c r="C3887" s="170" t="s">
        <v>205</v>
      </c>
      <c r="D3887" s="170" t="s">
        <v>2067</v>
      </c>
      <c r="E3887" s="171" t="s">
        <v>17909</v>
      </c>
      <c r="F3887" s="171" t="s">
        <v>30336</v>
      </c>
      <c r="G3887" s="82"/>
      <c r="H3887" s="96">
        <f t="shared" si="240"/>
        <v>14.39</v>
      </c>
      <c r="I3887" s="96">
        <f t="shared" si="240"/>
        <v>14.88</v>
      </c>
      <c r="J3887" s="91" t="str">
        <f t="shared" si="241"/>
        <v>Sinapi 89622</v>
      </c>
      <c r="K3887" s="91" t="str">
        <f t="shared" si="242"/>
        <v>UN</v>
      </c>
      <c r="L3887" s="166" t="str">
        <f t="shared" si="243"/>
        <v>06/2022</v>
      </c>
      <c r="M3887" s="82"/>
      <c r="N3887" s="82"/>
    </row>
    <row r="3888" spans="1:14" x14ac:dyDescent="0.25">
      <c r="A3888" s="170" t="s">
        <v>6649</v>
      </c>
      <c r="B3888" s="170" t="s">
        <v>16724</v>
      </c>
      <c r="C3888" s="170" t="s">
        <v>205</v>
      </c>
      <c r="D3888" s="170" t="s">
        <v>2067</v>
      </c>
      <c r="E3888" s="171" t="s">
        <v>29271</v>
      </c>
      <c r="F3888" s="171" t="s">
        <v>22712</v>
      </c>
      <c r="G3888" s="82"/>
      <c r="H3888" s="96">
        <f t="shared" si="240"/>
        <v>19.82</v>
      </c>
      <c r="I3888" s="96">
        <f t="shared" si="240"/>
        <v>20.48</v>
      </c>
      <c r="J3888" s="91" t="str">
        <f t="shared" si="241"/>
        <v>Sinapi 89623</v>
      </c>
      <c r="K3888" s="91" t="str">
        <f t="shared" si="242"/>
        <v>UN</v>
      </c>
      <c r="L3888" s="166" t="str">
        <f t="shared" si="243"/>
        <v>06/2022</v>
      </c>
      <c r="M3888" s="82"/>
      <c r="N3888" s="82"/>
    </row>
    <row r="3889" spans="1:14" x14ac:dyDescent="0.25">
      <c r="A3889" s="170" t="s">
        <v>6650</v>
      </c>
      <c r="B3889" s="170" t="s">
        <v>16725</v>
      </c>
      <c r="C3889" s="170" t="s">
        <v>205</v>
      </c>
      <c r="D3889" s="170" t="s">
        <v>2067</v>
      </c>
      <c r="E3889" s="171" t="s">
        <v>16491</v>
      </c>
      <c r="F3889" s="171" t="s">
        <v>16374</v>
      </c>
      <c r="G3889" s="82"/>
      <c r="H3889" s="96">
        <f t="shared" si="240"/>
        <v>18.350000000000001</v>
      </c>
      <c r="I3889" s="96">
        <f t="shared" si="240"/>
        <v>18.95</v>
      </c>
      <c r="J3889" s="91" t="str">
        <f t="shared" si="241"/>
        <v>Sinapi 89624</v>
      </c>
      <c r="K3889" s="91" t="str">
        <f t="shared" si="242"/>
        <v>UN</v>
      </c>
      <c r="L3889" s="166" t="str">
        <f t="shared" si="243"/>
        <v>06/2022</v>
      </c>
      <c r="M3889" s="82"/>
      <c r="N3889" s="82"/>
    </row>
    <row r="3890" spans="1:14" x14ac:dyDescent="0.25">
      <c r="A3890" s="170" t="s">
        <v>6651</v>
      </c>
      <c r="B3890" s="170" t="s">
        <v>16726</v>
      </c>
      <c r="C3890" s="170" t="s">
        <v>205</v>
      </c>
      <c r="D3890" s="170" t="s">
        <v>2067</v>
      </c>
      <c r="E3890" s="171" t="s">
        <v>15550</v>
      </c>
      <c r="F3890" s="171" t="s">
        <v>15667</v>
      </c>
      <c r="G3890" s="82"/>
      <c r="H3890" s="96">
        <f t="shared" si="240"/>
        <v>23.13</v>
      </c>
      <c r="I3890" s="96">
        <f t="shared" si="240"/>
        <v>23.93</v>
      </c>
      <c r="J3890" s="91" t="str">
        <f t="shared" si="241"/>
        <v>Sinapi 89625</v>
      </c>
      <c r="K3890" s="91" t="str">
        <f t="shared" si="242"/>
        <v>UN</v>
      </c>
      <c r="L3890" s="166" t="str">
        <f t="shared" si="243"/>
        <v>06/2022</v>
      </c>
      <c r="M3890" s="82"/>
      <c r="N3890" s="82"/>
    </row>
    <row r="3891" spans="1:14" x14ac:dyDescent="0.25">
      <c r="A3891" s="170" t="s">
        <v>6652</v>
      </c>
      <c r="B3891" s="170" t="s">
        <v>16727</v>
      </c>
      <c r="C3891" s="170" t="s">
        <v>205</v>
      </c>
      <c r="D3891" s="170" t="s">
        <v>2067</v>
      </c>
      <c r="E3891" s="171" t="s">
        <v>21016</v>
      </c>
      <c r="F3891" s="171" t="s">
        <v>17886</v>
      </c>
      <c r="G3891" s="82"/>
      <c r="H3891" s="96">
        <f t="shared" si="240"/>
        <v>31.65</v>
      </c>
      <c r="I3891" s="96">
        <f t="shared" si="240"/>
        <v>32.39</v>
      </c>
      <c r="J3891" s="91" t="str">
        <f t="shared" si="241"/>
        <v>Sinapi 89626</v>
      </c>
      <c r="K3891" s="91" t="str">
        <f t="shared" si="242"/>
        <v>UN</v>
      </c>
      <c r="L3891" s="166" t="str">
        <f t="shared" si="243"/>
        <v>06/2022</v>
      </c>
      <c r="M3891" s="82"/>
      <c r="N3891" s="82"/>
    </row>
    <row r="3892" spans="1:14" x14ac:dyDescent="0.25">
      <c r="A3892" s="170" t="s">
        <v>6653</v>
      </c>
      <c r="B3892" s="170" t="s">
        <v>16728</v>
      </c>
      <c r="C3892" s="170" t="s">
        <v>205</v>
      </c>
      <c r="D3892" s="170" t="s">
        <v>2067</v>
      </c>
      <c r="E3892" s="171" t="s">
        <v>18559</v>
      </c>
      <c r="F3892" s="171" t="s">
        <v>19277</v>
      </c>
      <c r="G3892" s="82"/>
      <c r="H3892" s="96">
        <f t="shared" si="240"/>
        <v>20.73</v>
      </c>
      <c r="I3892" s="96">
        <f t="shared" si="240"/>
        <v>21.35</v>
      </c>
      <c r="J3892" s="91" t="str">
        <f t="shared" si="241"/>
        <v>Sinapi 89627</v>
      </c>
      <c r="K3892" s="91" t="str">
        <f t="shared" si="242"/>
        <v>UN</v>
      </c>
      <c r="L3892" s="166" t="str">
        <f t="shared" si="243"/>
        <v>06/2022</v>
      </c>
      <c r="M3892" s="82"/>
      <c r="N3892" s="82"/>
    </row>
    <row r="3893" spans="1:14" x14ac:dyDescent="0.25">
      <c r="A3893" s="170" t="s">
        <v>6654</v>
      </c>
      <c r="B3893" s="170" t="s">
        <v>16729</v>
      </c>
      <c r="C3893" s="170" t="s">
        <v>205</v>
      </c>
      <c r="D3893" s="170" t="s">
        <v>2067</v>
      </c>
      <c r="E3893" s="171" t="s">
        <v>24025</v>
      </c>
      <c r="F3893" s="171" t="s">
        <v>36769</v>
      </c>
      <c r="G3893" s="82"/>
      <c r="H3893" s="96">
        <f t="shared" si="240"/>
        <v>51.04</v>
      </c>
      <c r="I3893" s="96">
        <f t="shared" si="240"/>
        <v>51.99</v>
      </c>
      <c r="J3893" s="91" t="str">
        <f t="shared" si="241"/>
        <v>Sinapi 89628</v>
      </c>
      <c r="K3893" s="91" t="str">
        <f t="shared" si="242"/>
        <v>UN</v>
      </c>
      <c r="L3893" s="166" t="str">
        <f t="shared" si="243"/>
        <v>06/2022</v>
      </c>
      <c r="M3893" s="82"/>
      <c r="N3893" s="82"/>
    </row>
    <row r="3894" spans="1:14" x14ac:dyDescent="0.25">
      <c r="A3894" s="170" t="s">
        <v>6655</v>
      </c>
      <c r="B3894" s="170" t="s">
        <v>16730</v>
      </c>
      <c r="C3894" s="170" t="s">
        <v>205</v>
      </c>
      <c r="D3894" s="170" t="s">
        <v>2067</v>
      </c>
      <c r="E3894" s="171" t="s">
        <v>33568</v>
      </c>
      <c r="F3894" s="171" t="s">
        <v>36770</v>
      </c>
      <c r="G3894" s="82"/>
      <c r="H3894" s="96">
        <f t="shared" si="240"/>
        <v>87.22</v>
      </c>
      <c r="I3894" s="96">
        <f t="shared" si="240"/>
        <v>88.38</v>
      </c>
      <c r="J3894" s="91" t="str">
        <f t="shared" si="241"/>
        <v>Sinapi 89629</v>
      </c>
      <c r="K3894" s="91" t="str">
        <f t="shared" si="242"/>
        <v>UN</v>
      </c>
      <c r="L3894" s="166" t="str">
        <f t="shared" si="243"/>
        <v>06/2022</v>
      </c>
      <c r="M3894" s="82"/>
      <c r="N3894" s="82"/>
    </row>
    <row r="3895" spans="1:14" x14ac:dyDescent="0.25">
      <c r="A3895" s="170" t="s">
        <v>6656</v>
      </c>
      <c r="B3895" s="170" t="s">
        <v>16731</v>
      </c>
      <c r="C3895" s="170" t="s">
        <v>205</v>
      </c>
      <c r="D3895" s="170" t="s">
        <v>2067</v>
      </c>
      <c r="E3895" s="171" t="s">
        <v>33569</v>
      </c>
      <c r="F3895" s="171" t="s">
        <v>21509</v>
      </c>
      <c r="G3895" s="82"/>
      <c r="H3895" s="96">
        <f t="shared" si="240"/>
        <v>65.83</v>
      </c>
      <c r="I3895" s="96">
        <f t="shared" si="240"/>
        <v>66.819999999999993</v>
      </c>
      <c r="J3895" s="91" t="str">
        <f t="shared" si="241"/>
        <v>Sinapi 89630</v>
      </c>
      <c r="K3895" s="91" t="str">
        <f t="shared" si="242"/>
        <v>UN</v>
      </c>
      <c r="L3895" s="166" t="str">
        <f t="shared" si="243"/>
        <v>06/2022</v>
      </c>
      <c r="M3895" s="82"/>
      <c r="N3895" s="82"/>
    </row>
    <row r="3896" spans="1:14" x14ac:dyDescent="0.25">
      <c r="A3896" s="170" t="s">
        <v>6657</v>
      </c>
      <c r="B3896" s="170" t="s">
        <v>16732</v>
      </c>
      <c r="C3896" s="170" t="s">
        <v>205</v>
      </c>
      <c r="D3896" s="170" t="s">
        <v>2067</v>
      </c>
      <c r="E3896" s="171" t="s">
        <v>33570</v>
      </c>
      <c r="F3896" s="171" t="s">
        <v>36771</v>
      </c>
      <c r="G3896" s="82"/>
      <c r="H3896" s="96">
        <f t="shared" si="240"/>
        <v>115.16</v>
      </c>
      <c r="I3896" s="96">
        <f t="shared" si="240"/>
        <v>116.47</v>
      </c>
      <c r="J3896" s="91" t="str">
        <f t="shared" si="241"/>
        <v>Sinapi 89631</v>
      </c>
      <c r="K3896" s="91" t="str">
        <f t="shared" si="242"/>
        <v>UN</v>
      </c>
      <c r="L3896" s="166" t="str">
        <f t="shared" si="243"/>
        <v>06/2022</v>
      </c>
      <c r="M3896" s="82"/>
      <c r="N3896" s="82"/>
    </row>
    <row r="3897" spans="1:14" x14ac:dyDescent="0.25">
      <c r="A3897" s="170" t="s">
        <v>6658</v>
      </c>
      <c r="B3897" s="170" t="s">
        <v>16733</v>
      </c>
      <c r="C3897" s="170" t="s">
        <v>205</v>
      </c>
      <c r="D3897" s="170" t="s">
        <v>2067</v>
      </c>
      <c r="E3897" s="171" t="s">
        <v>33571</v>
      </c>
      <c r="F3897" s="171" t="s">
        <v>28602</v>
      </c>
      <c r="G3897" s="82"/>
      <c r="H3897" s="96">
        <f t="shared" si="240"/>
        <v>134.71</v>
      </c>
      <c r="I3897" s="96">
        <f t="shared" si="240"/>
        <v>135.83000000000001</v>
      </c>
      <c r="J3897" s="91" t="str">
        <f t="shared" si="241"/>
        <v>Sinapi 89632</v>
      </c>
      <c r="K3897" s="91" t="str">
        <f t="shared" si="242"/>
        <v>UN</v>
      </c>
      <c r="L3897" s="166" t="str">
        <f t="shared" si="243"/>
        <v>06/2022</v>
      </c>
      <c r="M3897" s="82"/>
      <c r="N3897" s="82"/>
    </row>
    <row r="3898" spans="1:14" x14ac:dyDescent="0.25">
      <c r="A3898" s="170" t="s">
        <v>6659</v>
      </c>
      <c r="B3898" s="170" t="s">
        <v>16734</v>
      </c>
      <c r="C3898" s="170" t="s">
        <v>205</v>
      </c>
      <c r="D3898" s="170" t="s">
        <v>2067</v>
      </c>
      <c r="E3898" s="171" t="s">
        <v>11640</v>
      </c>
      <c r="F3898" s="171" t="s">
        <v>6357</v>
      </c>
      <c r="G3898" s="82"/>
      <c r="H3898" s="96">
        <f t="shared" si="240"/>
        <v>10.79</v>
      </c>
      <c r="I3898" s="96">
        <f t="shared" si="240"/>
        <v>11.31</v>
      </c>
      <c r="J3898" s="91" t="str">
        <f t="shared" si="241"/>
        <v>Sinapi 89637</v>
      </c>
      <c r="K3898" s="91" t="str">
        <f t="shared" si="242"/>
        <v>UN</v>
      </c>
      <c r="L3898" s="166" t="str">
        <f t="shared" si="243"/>
        <v>06/2022</v>
      </c>
      <c r="M3898" s="82"/>
      <c r="N3898" s="82"/>
    </row>
    <row r="3899" spans="1:14" x14ac:dyDescent="0.25">
      <c r="A3899" s="170" t="s">
        <v>6660</v>
      </c>
      <c r="B3899" s="170" t="s">
        <v>16735</v>
      </c>
      <c r="C3899" s="170" t="s">
        <v>205</v>
      </c>
      <c r="D3899" s="170" t="s">
        <v>2067</v>
      </c>
      <c r="E3899" s="171" t="s">
        <v>13648</v>
      </c>
      <c r="F3899" s="171" t="s">
        <v>21808</v>
      </c>
      <c r="G3899" s="82"/>
      <c r="H3899" s="96">
        <f t="shared" si="240"/>
        <v>11.86</v>
      </c>
      <c r="I3899" s="96">
        <f t="shared" si="240"/>
        <v>12.38</v>
      </c>
      <c r="J3899" s="91" t="str">
        <f t="shared" si="241"/>
        <v>Sinapi 89638</v>
      </c>
      <c r="K3899" s="91" t="str">
        <f t="shared" si="242"/>
        <v>UN</v>
      </c>
      <c r="L3899" s="166" t="str">
        <f t="shared" si="243"/>
        <v>06/2022</v>
      </c>
      <c r="M3899" s="82"/>
      <c r="N3899" s="82"/>
    </row>
    <row r="3900" spans="1:14" x14ac:dyDescent="0.25">
      <c r="A3900" s="170" t="s">
        <v>6661</v>
      </c>
      <c r="B3900" s="170" t="s">
        <v>16736</v>
      </c>
      <c r="C3900" s="170" t="s">
        <v>205</v>
      </c>
      <c r="D3900" s="170" t="s">
        <v>2067</v>
      </c>
      <c r="E3900" s="171" t="s">
        <v>19824</v>
      </c>
      <c r="F3900" s="171" t="s">
        <v>18563</v>
      </c>
      <c r="G3900" s="82"/>
      <c r="H3900" s="96">
        <f t="shared" si="240"/>
        <v>12.62</v>
      </c>
      <c r="I3900" s="96">
        <f t="shared" si="240"/>
        <v>13.14</v>
      </c>
      <c r="J3900" s="91" t="str">
        <f t="shared" si="241"/>
        <v>Sinapi 89639</v>
      </c>
      <c r="K3900" s="91" t="str">
        <f t="shared" si="242"/>
        <v>UN</v>
      </c>
      <c r="L3900" s="166" t="str">
        <f t="shared" si="243"/>
        <v>06/2022</v>
      </c>
      <c r="M3900" s="82"/>
      <c r="N3900" s="82"/>
    </row>
    <row r="3901" spans="1:14" x14ac:dyDescent="0.25">
      <c r="A3901" s="170" t="s">
        <v>6662</v>
      </c>
      <c r="B3901" s="170" t="s">
        <v>16737</v>
      </c>
      <c r="C3901" s="170" t="s">
        <v>205</v>
      </c>
      <c r="D3901" s="170" t="s">
        <v>2067</v>
      </c>
      <c r="E3901" s="171" t="s">
        <v>30650</v>
      </c>
      <c r="F3901" s="171" t="s">
        <v>32099</v>
      </c>
      <c r="G3901" s="82"/>
      <c r="H3901" s="96">
        <f t="shared" si="240"/>
        <v>20.77</v>
      </c>
      <c r="I3901" s="96">
        <f t="shared" si="240"/>
        <v>21.29</v>
      </c>
      <c r="J3901" s="91" t="str">
        <f t="shared" si="241"/>
        <v>Sinapi 89640</v>
      </c>
      <c r="K3901" s="91" t="str">
        <f t="shared" si="242"/>
        <v>UN</v>
      </c>
      <c r="L3901" s="166" t="str">
        <f t="shared" si="243"/>
        <v>06/2022</v>
      </c>
      <c r="M3901" s="82"/>
      <c r="N3901" s="82"/>
    </row>
    <row r="3902" spans="1:14" x14ac:dyDescent="0.25">
      <c r="A3902" s="170" t="s">
        <v>6663</v>
      </c>
      <c r="B3902" s="170" t="s">
        <v>16738</v>
      </c>
      <c r="C3902" s="170" t="s">
        <v>205</v>
      </c>
      <c r="D3902" s="170" t="s">
        <v>2067</v>
      </c>
      <c r="E3902" s="171" t="s">
        <v>6748</v>
      </c>
      <c r="F3902" s="171" t="s">
        <v>12582</v>
      </c>
      <c r="G3902" s="82"/>
      <c r="H3902" s="96">
        <f t="shared" si="240"/>
        <v>14</v>
      </c>
      <c r="I3902" s="96">
        <f t="shared" si="240"/>
        <v>14.66</v>
      </c>
      <c r="J3902" s="91" t="str">
        <f t="shared" si="241"/>
        <v>Sinapi 89641</v>
      </c>
      <c r="K3902" s="91" t="str">
        <f t="shared" si="242"/>
        <v>UN</v>
      </c>
      <c r="L3902" s="166" t="str">
        <f t="shared" si="243"/>
        <v>06/2022</v>
      </c>
      <c r="M3902" s="82"/>
      <c r="N3902" s="82"/>
    </row>
    <row r="3903" spans="1:14" x14ac:dyDescent="0.25">
      <c r="A3903" s="170" t="s">
        <v>6664</v>
      </c>
      <c r="B3903" s="170" t="s">
        <v>16739</v>
      </c>
      <c r="C3903" s="170" t="s">
        <v>205</v>
      </c>
      <c r="D3903" s="170" t="s">
        <v>2067</v>
      </c>
      <c r="E3903" s="171" t="s">
        <v>28996</v>
      </c>
      <c r="F3903" s="171" t="s">
        <v>13838</v>
      </c>
      <c r="G3903" s="82"/>
      <c r="H3903" s="96">
        <f t="shared" si="240"/>
        <v>15.89</v>
      </c>
      <c r="I3903" s="96">
        <f t="shared" si="240"/>
        <v>16.55</v>
      </c>
      <c r="J3903" s="91" t="str">
        <f t="shared" si="241"/>
        <v>Sinapi 89642</v>
      </c>
      <c r="K3903" s="91" t="str">
        <f t="shared" si="242"/>
        <v>UN</v>
      </c>
      <c r="L3903" s="166" t="str">
        <f t="shared" si="243"/>
        <v>06/2022</v>
      </c>
      <c r="M3903" s="82"/>
      <c r="N3903" s="82"/>
    </row>
    <row r="3904" spans="1:14" x14ac:dyDescent="0.25">
      <c r="A3904" s="170" t="s">
        <v>6665</v>
      </c>
      <c r="B3904" s="170" t="s">
        <v>16740</v>
      </c>
      <c r="C3904" s="170" t="s">
        <v>205</v>
      </c>
      <c r="D3904" s="170" t="s">
        <v>2067</v>
      </c>
      <c r="E3904" s="171" t="s">
        <v>21194</v>
      </c>
      <c r="F3904" s="171" t="s">
        <v>14641</v>
      </c>
      <c r="G3904" s="82"/>
      <c r="H3904" s="96">
        <f t="shared" si="240"/>
        <v>17.39</v>
      </c>
      <c r="I3904" s="96">
        <f t="shared" si="240"/>
        <v>18.05</v>
      </c>
      <c r="J3904" s="91" t="str">
        <f t="shared" si="241"/>
        <v>Sinapi 89643</v>
      </c>
      <c r="K3904" s="91" t="str">
        <f t="shared" si="242"/>
        <v>UN</v>
      </c>
      <c r="L3904" s="166" t="str">
        <f t="shared" si="243"/>
        <v>06/2022</v>
      </c>
      <c r="M3904" s="82"/>
      <c r="N3904" s="82"/>
    </row>
    <row r="3905" spans="1:14" x14ac:dyDescent="0.25">
      <c r="A3905" s="170" t="s">
        <v>6666</v>
      </c>
      <c r="B3905" s="170" t="s">
        <v>16741</v>
      </c>
      <c r="C3905" s="170" t="s">
        <v>205</v>
      </c>
      <c r="D3905" s="170" t="s">
        <v>2067</v>
      </c>
      <c r="E3905" s="171" t="s">
        <v>18540</v>
      </c>
      <c r="F3905" s="171" t="s">
        <v>27288</v>
      </c>
      <c r="G3905" s="82"/>
      <c r="H3905" s="96">
        <f t="shared" si="240"/>
        <v>25.5</v>
      </c>
      <c r="I3905" s="96">
        <f t="shared" si="240"/>
        <v>26.08</v>
      </c>
      <c r="J3905" s="91" t="str">
        <f t="shared" si="241"/>
        <v>Sinapi 89644</v>
      </c>
      <c r="K3905" s="91" t="str">
        <f t="shared" si="242"/>
        <v>UN</v>
      </c>
      <c r="L3905" s="166" t="str">
        <f t="shared" si="243"/>
        <v>06/2022</v>
      </c>
      <c r="M3905" s="82"/>
      <c r="N3905" s="82"/>
    </row>
    <row r="3906" spans="1:14" x14ac:dyDescent="0.25">
      <c r="A3906" s="170" t="s">
        <v>6667</v>
      </c>
      <c r="B3906" s="170" t="s">
        <v>16742</v>
      </c>
      <c r="C3906" s="170" t="s">
        <v>205</v>
      </c>
      <c r="D3906" s="170" t="s">
        <v>2067</v>
      </c>
      <c r="E3906" s="171" t="s">
        <v>18603</v>
      </c>
      <c r="F3906" s="171" t="s">
        <v>31323</v>
      </c>
      <c r="G3906" s="82"/>
      <c r="H3906" s="96">
        <f t="shared" si="240"/>
        <v>36.22</v>
      </c>
      <c r="I3906" s="96">
        <f t="shared" si="240"/>
        <v>36.86</v>
      </c>
      <c r="J3906" s="91" t="str">
        <f t="shared" si="241"/>
        <v>Sinapi 89645</v>
      </c>
      <c r="K3906" s="91" t="str">
        <f t="shared" si="242"/>
        <v>UN</v>
      </c>
      <c r="L3906" s="166" t="str">
        <f t="shared" si="243"/>
        <v>06/2022</v>
      </c>
      <c r="M3906" s="82"/>
      <c r="N3906" s="82"/>
    </row>
    <row r="3907" spans="1:14" x14ac:dyDescent="0.25">
      <c r="A3907" s="170" t="s">
        <v>6668</v>
      </c>
      <c r="B3907" s="170" t="s">
        <v>16743</v>
      </c>
      <c r="C3907" s="170" t="s">
        <v>205</v>
      </c>
      <c r="D3907" s="170" t="s">
        <v>2067</v>
      </c>
      <c r="E3907" s="171" t="s">
        <v>15786</v>
      </c>
      <c r="F3907" s="171" t="s">
        <v>21479</v>
      </c>
      <c r="G3907" s="82"/>
      <c r="H3907" s="96">
        <f t="shared" si="240"/>
        <v>21.85</v>
      </c>
      <c r="I3907" s="96">
        <f t="shared" si="240"/>
        <v>22.62</v>
      </c>
      <c r="J3907" s="91" t="str">
        <f t="shared" si="241"/>
        <v>Sinapi 89646</v>
      </c>
      <c r="K3907" s="91" t="str">
        <f t="shared" si="242"/>
        <v>UN</v>
      </c>
      <c r="L3907" s="166" t="str">
        <f t="shared" si="243"/>
        <v>06/2022</v>
      </c>
      <c r="M3907" s="82"/>
      <c r="N3907" s="82"/>
    </row>
    <row r="3908" spans="1:14" x14ac:dyDescent="0.25">
      <c r="A3908" s="170" t="s">
        <v>6669</v>
      </c>
      <c r="B3908" s="170" t="s">
        <v>16744</v>
      </c>
      <c r="C3908" s="170" t="s">
        <v>205</v>
      </c>
      <c r="D3908" s="170" t="s">
        <v>2067</v>
      </c>
      <c r="E3908" s="171" t="s">
        <v>13751</v>
      </c>
      <c r="F3908" s="171" t="s">
        <v>16422</v>
      </c>
      <c r="G3908" s="82"/>
      <c r="H3908" s="96">
        <f t="shared" si="240"/>
        <v>21.07</v>
      </c>
      <c r="I3908" s="96">
        <f t="shared" si="240"/>
        <v>21.84</v>
      </c>
      <c r="J3908" s="91" t="str">
        <f t="shared" si="241"/>
        <v>Sinapi 89647</v>
      </c>
      <c r="K3908" s="91" t="str">
        <f t="shared" si="242"/>
        <v>UN</v>
      </c>
      <c r="L3908" s="166" t="str">
        <f t="shared" si="243"/>
        <v>06/2022</v>
      </c>
      <c r="M3908" s="82"/>
      <c r="N3908" s="82"/>
    </row>
    <row r="3909" spans="1:14" x14ac:dyDescent="0.25">
      <c r="A3909" s="170" t="s">
        <v>6670</v>
      </c>
      <c r="B3909" s="170" t="s">
        <v>16746</v>
      </c>
      <c r="C3909" s="170" t="s">
        <v>205</v>
      </c>
      <c r="D3909" s="170" t="s">
        <v>2067</v>
      </c>
      <c r="E3909" s="171" t="s">
        <v>23005</v>
      </c>
      <c r="F3909" s="171" t="s">
        <v>36772</v>
      </c>
      <c r="G3909" s="82"/>
      <c r="H3909" s="96">
        <f t="shared" si="240"/>
        <v>26.95</v>
      </c>
      <c r="I3909" s="96">
        <f t="shared" si="240"/>
        <v>27.72</v>
      </c>
      <c r="J3909" s="91" t="str">
        <f t="shared" si="241"/>
        <v>Sinapi 89648</v>
      </c>
      <c r="K3909" s="91" t="str">
        <f t="shared" si="242"/>
        <v>UN</v>
      </c>
      <c r="L3909" s="166" t="str">
        <f t="shared" si="243"/>
        <v>06/2022</v>
      </c>
      <c r="M3909" s="82"/>
      <c r="N3909" s="82"/>
    </row>
    <row r="3910" spans="1:14" x14ac:dyDescent="0.25">
      <c r="A3910" s="170" t="s">
        <v>6671</v>
      </c>
      <c r="B3910" s="170" t="s">
        <v>16747</v>
      </c>
      <c r="C3910" s="170" t="s">
        <v>205</v>
      </c>
      <c r="D3910" s="170" t="s">
        <v>2067</v>
      </c>
      <c r="E3910" s="171" t="s">
        <v>17375</v>
      </c>
      <c r="F3910" s="171" t="s">
        <v>36773</v>
      </c>
      <c r="G3910" s="82"/>
      <c r="H3910" s="96">
        <f t="shared" si="240"/>
        <v>32.880000000000003</v>
      </c>
      <c r="I3910" s="96">
        <f t="shared" si="240"/>
        <v>33.79</v>
      </c>
      <c r="J3910" s="91" t="str">
        <f t="shared" si="241"/>
        <v>Sinapi 89649</v>
      </c>
      <c r="K3910" s="91" t="str">
        <f t="shared" si="242"/>
        <v>UN</v>
      </c>
      <c r="L3910" s="166" t="str">
        <f t="shared" si="243"/>
        <v>06/2022</v>
      </c>
      <c r="M3910" s="82"/>
      <c r="N3910" s="82"/>
    </row>
    <row r="3911" spans="1:14" x14ac:dyDescent="0.25">
      <c r="A3911" s="170" t="s">
        <v>6672</v>
      </c>
      <c r="B3911" s="170" t="s">
        <v>16748</v>
      </c>
      <c r="C3911" s="170" t="s">
        <v>205</v>
      </c>
      <c r="D3911" s="170" t="s">
        <v>2067</v>
      </c>
      <c r="E3911" s="171" t="s">
        <v>22050</v>
      </c>
      <c r="F3911" s="171" t="s">
        <v>21858</v>
      </c>
      <c r="G3911" s="82"/>
      <c r="H3911" s="96">
        <f t="shared" si="240"/>
        <v>30.95</v>
      </c>
      <c r="I3911" s="96">
        <f t="shared" si="240"/>
        <v>31.86</v>
      </c>
      <c r="J3911" s="91" t="str">
        <f t="shared" si="241"/>
        <v>Sinapi 89650</v>
      </c>
      <c r="K3911" s="91" t="str">
        <f t="shared" si="242"/>
        <v>UN</v>
      </c>
      <c r="L3911" s="166" t="str">
        <f t="shared" si="243"/>
        <v>06/2022</v>
      </c>
      <c r="M3911" s="82"/>
      <c r="N3911" s="82"/>
    </row>
    <row r="3912" spans="1:14" x14ac:dyDescent="0.25">
      <c r="A3912" s="170" t="s">
        <v>6673</v>
      </c>
      <c r="B3912" s="170" t="s">
        <v>16749</v>
      </c>
      <c r="C3912" s="170" t="s">
        <v>205</v>
      </c>
      <c r="D3912" s="170" t="s">
        <v>2067</v>
      </c>
      <c r="E3912" s="171" t="s">
        <v>29540</v>
      </c>
      <c r="F3912" s="171" t="s">
        <v>29201</v>
      </c>
      <c r="G3912" s="82"/>
      <c r="H3912" s="96">
        <f t="shared" ref="H3912:I3975" si="244">IF(E3912="","",E3912+0)</f>
        <v>7.31</v>
      </c>
      <c r="I3912" s="96">
        <f t="shared" si="244"/>
        <v>7.65</v>
      </c>
      <c r="J3912" s="91" t="str">
        <f t="shared" ref="J3912:J3975" si="245">IF(OR(H3912="",I3912=""),"",TRIM(CONCATENATE("Sinapi ",A3912)))</f>
        <v>Sinapi 89651</v>
      </c>
      <c r="K3912" s="91" t="str">
        <f t="shared" ref="K3912:K3975" si="246">TRIM(C3912)</f>
        <v>UN</v>
      </c>
      <c r="L3912" s="166" t="str">
        <f t="shared" ref="L3912:L3975" si="247">IF(OR(RIGHT(IF(AND(K3912&lt;&gt;"H",K3912&lt;&gt;"MES"),RIGHT(B3912,7),""),2)="PS",RIGHT(IF(AND(K3912&lt;&gt;"H",K3912&lt;&gt;"MES"),RIGHT(B3912,7),""),2)="PA",RIGHT(IF(AND(K3912&lt;&gt;"H",K3912&lt;&gt;"MES"),RIGHT(B3912,7),""),2)="PE"),LEFT(IF(AND(K3912&lt;&gt;"H",K3912&lt;&gt;"MES"),RIGHT(B3912,10),""),7),IF(AND(K3912&lt;&gt;"H",K3912&lt;&gt;"MES"),RIGHT(B3912,7),""))</f>
        <v>06/2022</v>
      </c>
      <c r="M3912" s="82"/>
      <c r="N3912" s="82"/>
    </row>
    <row r="3913" spans="1:14" x14ac:dyDescent="0.25">
      <c r="A3913" s="170" t="s">
        <v>6675</v>
      </c>
      <c r="B3913" s="170" t="s">
        <v>16750</v>
      </c>
      <c r="C3913" s="170" t="s">
        <v>205</v>
      </c>
      <c r="D3913" s="170" t="s">
        <v>2067</v>
      </c>
      <c r="E3913" s="171" t="s">
        <v>17280</v>
      </c>
      <c r="F3913" s="171" t="s">
        <v>11625</v>
      </c>
      <c r="G3913" s="82"/>
      <c r="H3913" s="96">
        <f t="shared" si="244"/>
        <v>13.3</v>
      </c>
      <c r="I3913" s="96">
        <f t="shared" si="244"/>
        <v>13.64</v>
      </c>
      <c r="J3913" s="91" t="str">
        <f t="shared" si="245"/>
        <v>Sinapi 89652</v>
      </c>
      <c r="K3913" s="91" t="str">
        <f t="shared" si="246"/>
        <v>UN</v>
      </c>
      <c r="L3913" s="166" t="str">
        <f t="shared" si="247"/>
        <v>06/2022</v>
      </c>
      <c r="M3913" s="82"/>
      <c r="N3913" s="82"/>
    </row>
    <row r="3914" spans="1:14" x14ac:dyDescent="0.25">
      <c r="A3914" s="170" t="s">
        <v>6676</v>
      </c>
      <c r="B3914" s="170" t="s">
        <v>16751</v>
      </c>
      <c r="C3914" s="170" t="s">
        <v>205</v>
      </c>
      <c r="D3914" s="170" t="s">
        <v>2067</v>
      </c>
      <c r="E3914" s="171" t="s">
        <v>22711</v>
      </c>
      <c r="F3914" s="171" t="s">
        <v>22758</v>
      </c>
      <c r="G3914" s="82"/>
      <c r="H3914" s="96">
        <f t="shared" si="244"/>
        <v>19.37</v>
      </c>
      <c r="I3914" s="96">
        <f t="shared" si="244"/>
        <v>19.71</v>
      </c>
      <c r="J3914" s="91" t="str">
        <f t="shared" si="245"/>
        <v>Sinapi 89653</v>
      </c>
      <c r="K3914" s="91" t="str">
        <f t="shared" si="246"/>
        <v>UN</v>
      </c>
      <c r="L3914" s="166" t="str">
        <f t="shared" si="247"/>
        <v>06/2022</v>
      </c>
      <c r="M3914" s="82"/>
      <c r="N3914" s="82"/>
    </row>
    <row r="3915" spans="1:14" x14ac:dyDescent="0.25">
      <c r="A3915" s="170" t="s">
        <v>6677</v>
      </c>
      <c r="B3915" s="170" t="s">
        <v>16752</v>
      </c>
      <c r="C3915" s="170" t="s">
        <v>205</v>
      </c>
      <c r="D3915" s="170" t="s">
        <v>2067</v>
      </c>
      <c r="E3915" s="171" t="s">
        <v>21479</v>
      </c>
      <c r="F3915" s="171" t="s">
        <v>20112</v>
      </c>
      <c r="G3915" s="82"/>
      <c r="H3915" s="96">
        <f t="shared" si="244"/>
        <v>22.62</v>
      </c>
      <c r="I3915" s="96">
        <f t="shared" si="244"/>
        <v>22.96</v>
      </c>
      <c r="J3915" s="91" t="str">
        <f t="shared" si="245"/>
        <v>Sinapi 89654</v>
      </c>
      <c r="K3915" s="91" t="str">
        <f t="shared" si="246"/>
        <v>UN</v>
      </c>
      <c r="L3915" s="166" t="str">
        <f t="shared" si="247"/>
        <v>06/2022</v>
      </c>
      <c r="M3915" s="82"/>
      <c r="N3915" s="82"/>
    </row>
    <row r="3916" spans="1:14" x14ac:dyDescent="0.25">
      <c r="A3916" s="170" t="s">
        <v>6678</v>
      </c>
      <c r="B3916" s="170" t="s">
        <v>16753</v>
      </c>
      <c r="C3916" s="170" t="s">
        <v>205</v>
      </c>
      <c r="D3916" s="170" t="s">
        <v>2067</v>
      </c>
      <c r="E3916" s="171" t="s">
        <v>33572</v>
      </c>
      <c r="F3916" s="171" t="s">
        <v>28613</v>
      </c>
      <c r="G3916" s="82"/>
      <c r="H3916" s="96">
        <f t="shared" si="244"/>
        <v>27.17</v>
      </c>
      <c r="I3916" s="96">
        <f t="shared" si="244"/>
        <v>27.51</v>
      </c>
      <c r="J3916" s="91" t="str">
        <f t="shared" si="245"/>
        <v>Sinapi 89655</v>
      </c>
      <c r="K3916" s="91" t="str">
        <f t="shared" si="246"/>
        <v>UN</v>
      </c>
      <c r="L3916" s="166" t="str">
        <f t="shared" si="247"/>
        <v>06/2022</v>
      </c>
      <c r="M3916" s="82"/>
      <c r="N3916" s="82"/>
    </row>
    <row r="3917" spans="1:14" x14ac:dyDescent="0.25">
      <c r="A3917" s="170" t="s">
        <v>6679</v>
      </c>
      <c r="B3917" s="170" t="s">
        <v>16754</v>
      </c>
      <c r="C3917" s="170" t="s">
        <v>205</v>
      </c>
      <c r="D3917" s="170" t="s">
        <v>2067</v>
      </c>
      <c r="E3917" s="171" t="s">
        <v>19376</v>
      </c>
      <c r="F3917" s="171" t="s">
        <v>31684</v>
      </c>
      <c r="G3917" s="82"/>
      <c r="H3917" s="96">
        <f t="shared" si="244"/>
        <v>25.24</v>
      </c>
      <c r="I3917" s="96">
        <f t="shared" si="244"/>
        <v>25.58</v>
      </c>
      <c r="J3917" s="91" t="str">
        <f t="shared" si="245"/>
        <v>Sinapi 89656</v>
      </c>
      <c r="K3917" s="91" t="str">
        <f t="shared" si="246"/>
        <v>UN</v>
      </c>
      <c r="L3917" s="166" t="str">
        <f t="shared" si="247"/>
        <v>06/2022</v>
      </c>
      <c r="M3917" s="82"/>
      <c r="N3917" s="82"/>
    </row>
    <row r="3918" spans="1:14" x14ac:dyDescent="0.25">
      <c r="A3918" s="170" t="s">
        <v>6680</v>
      </c>
      <c r="B3918" s="170" t="s">
        <v>16755</v>
      </c>
      <c r="C3918" s="170" t="s">
        <v>205</v>
      </c>
      <c r="D3918" s="170" t="s">
        <v>2067</v>
      </c>
      <c r="E3918" s="171" t="s">
        <v>14899</v>
      </c>
      <c r="F3918" s="171" t="s">
        <v>6178</v>
      </c>
      <c r="G3918" s="82"/>
      <c r="H3918" s="96">
        <f t="shared" si="244"/>
        <v>15.22</v>
      </c>
      <c r="I3918" s="96">
        <f t="shared" si="244"/>
        <v>15.56</v>
      </c>
      <c r="J3918" s="91" t="str">
        <f t="shared" si="245"/>
        <v>Sinapi 89657</v>
      </c>
      <c r="K3918" s="91" t="str">
        <f t="shared" si="246"/>
        <v>UN</v>
      </c>
      <c r="L3918" s="166" t="str">
        <f t="shared" si="247"/>
        <v>06/2022</v>
      </c>
      <c r="M3918" s="82"/>
      <c r="N3918" s="82"/>
    </row>
    <row r="3919" spans="1:14" x14ac:dyDescent="0.25">
      <c r="A3919" s="170" t="s">
        <v>6681</v>
      </c>
      <c r="B3919" s="170" t="s">
        <v>16756</v>
      </c>
      <c r="C3919" s="170" t="s">
        <v>205</v>
      </c>
      <c r="D3919" s="170" t="s">
        <v>2067</v>
      </c>
      <c r="E3919" s="171" t="s">
        <v>2289</v>
      </c>
      <c r="F3919" s="171" t="s">
        <v>33881</v>
      </c>
      <c r="G3919" s="82"/>
      <c r="H3919" s="96">
        <f t="shared" si="244"/>
        <v>9.8000000000000007</v>
      </c>
      <c r="I3919" s="96">
        <f t="shared" si="244"/>
        <v>10.25</v>
      </c>
      <c r="J3919" s="91" t="str">
        <f t="shared" si="245"/>
        <v>Sinapi 89658</v>
      </c>
      <c r="K3919" s="91" t="str">
        <f t="shared" si="246"/>
        <v>UN</v>
      </c>
      <c r="L3919" s="166" t="str">
        <f t="shared" si="247"/>
        <v>06/2022</v>
      </c>
      <c r="M3919" s="82"/>
      <c r="N3919" s="82"/>
    </row>
    <row r="3920" spans="1:14" x14ac:dyDescent="0.25">
      <c r="A3920" s="170" t="s">
        <v>6682</v>
      </c>
      <c r="B3920" s="170" t="s">
        <v>16757</v>
      </c>
      <c r="C3920" s="170" t="s">
        <v>205</v>
      </c>
      <c r="D3920" s="170" t="s">
        <v>2067</v>
      </c>
      <c r="E3920" s="171" t="s">
        <v>22837</v>
      </c>
      <c r="F3920" s="171" t="s">
        <v>14778</v>
      </c>
      <c r="G3920" s="82"/>
      <c r="H3920" s="96">
        <f t="shared" si="244"/>
        <v>18.84</v>
      </c>
      <c r="I3920" s="96">
        <f t="shared" si="244"/>
        <v>19.29</v>
      </c>
      <c r="J3920" s="91" t="str">
        <f t="shared" si="245"/>
        <v>Sinapi 89659</v>
      </c>
      <c r="K3920" s="91" t="str">
        <f t="shared" si="246"/>
        <v>UN</v>
      </c>
      <c r="L3920" s="166" t="str">
        <f t="shared" si="247"/>
        <v>06/2022</v>
      </c>
      <c r="M3920" s="82"/>
      <c r="N3920" s="82"/>
    </row>
    <row r="3921" spans="1:14" x14ac:dyDescent="0.25">
      <c r="A3921" s="170" t="s">
        <v>6683</v>
      </c>
      <c r="B3921" s="170" t="s">
        <v>16758</v>
      </c>
      <c r="C3921" s="170" t="s">
        <v>205</v>
      </c>
      <c r="D3921" s="170" t="s">
        <v>2067</v>
      </c>
      <c r="E3921" s="171" t="s">
        <v>21337</v>
      </c>
      <c r="F3921" s="171" t="s">
        <v>12326</v>
      </c>
      <c r="G3921" s="82"/>
      <c r="H3921" s="96">
        <f t="shared" si="244"/>
        <v>9.94</v>
      </c>
      <c r="I3921" s="96">
        <f t="shared" si="244"/>
        <v>10.4</v>
      </c>
      <c r="J3921" s="91" t="str">
        <f t="shared" si="245"/>
        <v>Sinapi 89660</v>
      </c>
      <c r="K3921" s="91" t="str">
        <f t="shared" si="246"/>
        <v>UN</v>
      </c>
      <c r="L3921" s="166" t="str">
        <f t="shared" si="247"/>
        <v>06/2022</v>
      </c>
      <c r="M3921" s="82"/>
      <c r="N3921" s="82"/>
    </row>
    <row r="3922" spans="1:14" x14ac:dyDescent="0.25">
      <c r="A3922" s="170" t="s">
        <v>6684</v>
      </c>
      <c r="B3922" s="170" t="s">
        <v>16759</v>
      </c>
      <c r="C3922" s="170" t="s">
        <v>205</v>
      </c>
      <c r="D3922" s="170" t="s">
        <v>2067</v>
      </c>
      <c r="E3922" s="171" t="s">
        <v>23324</v>
      </c>
      <c r="F3922" s="171" t="s">
        <v>36426</v>
      </c>
      <c r="G3922" s="82"/>
      <c r="H3922" s="96">
        <f t="shared" si="244"/>
        <v>26.27</v>
      </c>
      <c r="I3922" s="96">
        <f t="shared" si="244"/>
        <v>26.72</v>
      </c>
      <c r="J3922" s="91" t="str">
        <f t="shared" si="245"/>
        <v>Sinapi 89661</v>
      </c>
      <c r="K3922" s="91" t="str">
        <f t="shared" si="246"/>
        <v>UN</v>
      </c>
      <c r="L3922" s="166" t="str">
        <f t="shared" si="247"/>
        <v>06/2022</v>
      </c>
      <c r="M3922" s="82"/>
      <c r="N3922" s="82"/>
    </row>
    <row r="3923" spans="1:14" x14ac:dyDescent="0.25">
      <c r="A3923" s="170" t="s">
        <v>6685</v>
      </c>
      <c r="B3923" s="170" t="s">
        <v>16760</v>
      </c>
      <c r="C3923" s="170" t="s">
        <v>205</v>
      </c>
      <c r="D3923" s="170" t="s">
        <v>2067</v>
      </c>
      <c r="E3923" s="171" t="s">
        <v>33573</v>
      </c>
      <c r="F3923" s="171" t="s">
        <v>23299</v>
      </c>
      <c r="G3923" s="82"/>
      <c r="H3923" s="96">
        <f t="shared" si="244"/>
        <v>35.35</v>
      </c>
      <c r="I3923" s="96">
        <f t="shared" si="244"/>
        <v>35.74</v>
      </c>
      <c r="J3923" s="91" t="str">
        <f t="shared" si="245"/>
        <v>Sinapi 89662</v>
      </c>
      <c r="K3923" s="91" t="str">
        <f t="shared" si="246"/>
        <v>UN</v>
      </c>
      <c r="L3923" s="166" t="str">
        <f t="shared" si="247"/>
        <v>06/2022</v>
      </c>
      <c r="M3923" s="82"/>
      <c r="N3923" s="82"/>
    </row>
    <row r="3924" spans="1:14" x14ac:dyDescent="0.25">
      <c r="A3924" s="170" t="s">
        <v>6686</v>
      </c>
      <c r="B3924" s="170" t="s">
        <v>16761</v>
      </c>
      <c r="C3924" s="170" t="s">
        <v>205</v>
      </c>
      <c r="D3924" s="170" t="s">
        <v>2067</v>
      </c>
      <c r="E3924" s="171" t="s">
        <v>22104</v>
      </c>
      <c r="F3924" s="171" t="s">
        <v>22910</v>
      </c>
      <c r="G3924" s="82"/>
      <c r="H3924" s="96">
        <f t="shared" si="244"/>
        <v>33.89</v>
      </c>
      <c r="I3924" s="96">
        <f t="shared" si="244"/>
        <v>34.340000000000003</v>
      </c>
      <c r="J3924" s="91" t="str">
        <f t="shared" si="245"/>
        <v>Sinapi 89663</v>
      </c>
      <c r="K3924" s="91" t="str">
        <f t="shared" si="246"/>
        <v>UN</v>
      </c>
      <c r="L3924" s="166" t="str">
        <f t="shared" si="247"/>
        <v>06/2022</v>
      </c>
      <c r="M3924" s="82"/>
      <c r="N3924" s="82"/>
    </row>
    <row r="3925" spans="1:14" x14ac:dyDescent="0.25">
      <c r="A3925" s="170" t="s">
        <v>6688</v>
      </c>
      <c r="B3925" s="170" t="s">
        <v>16762</v>
      </c>
      <c r="C3925" s="170" t="s">
        <v>205</v>
      </c>
      <c r="D3925" s="170" t="s">
        <v>2067</v>
      </c>
      <c r="E3925" s="171" t="s">
        <v>15696</v>
      </c>
      <c r="F3925" s="171" t="s">
        <v>23491</v>
      </c>
      <c r="G3925" s="82"/>
      <c r="H3925" s="96">
        <f t="shared" si="244"/>
        <v>18.760000000000002</v>
      </c>
      <c r="I3925" s="96">
        <f t="shared" si="244"/>
        <v>19.21</v>
      </c>
      <c r="J3925" s="91" t="str">
        <f t="shared" si="245"/>
        <v>Sinapi 89664</v>
      </c>
      <c r="K3925" s="91" t="str">
        <f t="shared" si="246"/>
        <v>UN</v>
      </c>
      <c r="L3925" s="166" t="str">
        <f t="shared" si="247"/>
        <v>06/2022</v>
      </c>
      <c r="M3925" s="82"/>
      <c r="N3925" s="82"/>
    </row>
    <row r="3926" spans="1:14" x14ac:dyDescent="0.25">
      <c r="A3926" s="170" t="s">
        <v>6689</v>
      </c>
      <c r="B3926" s="170" t="s">
        <v>16763</v>
      </c>
      <c r="C3926" s="170" t="s">
        <v>205</v>
      </c>
      <c r="D3926" s="170" t="s">
        <v>2067</v>
      </c>
      <c r="E3926" s="171" t="s">
        <v>5203</v>
      </c>
      <c r="F3926" s="171" t="s">
        <v>13578</v>
      </c>
      <c r="G3926" s="82"/>
      <c r="H3926" s="96">
        <f t="shared" si="244"/>
        <v>7.43</v>
      </c>
      <c r="I3926" s="96">
        <f t="shared" si="244"/>
        <v>7.82</v>
      </c>
      <c r="J3926" s="91" t="str">
        <f t="shared" si="245"/>
        <v>Sinapi 89666</v>
      </c>
      <c r="K3926" s="91" t="str">
        <f t="shared" si="246"/>
        <v>UN</v>
      </c>
      <c r="L3926" s="166" t="str">
        <f t="shared" si="247"/>
        <v>06/2022</v>
      </c>
      <c r="M3926" s="82"/>
      <c r="N3926" s="82"/>
    </row>
    <row r="3927" spans="1:14" x14ac:dyDescent="0.25">
      <c r="A3927" s="170" t="s">
        <v>6690</v>
      </c>
      <c r="B3927" s="170" t="s">
        <v>16764</v>
      </c>
      <c r="C3927" s="170" t="s">
        <v>205</v>
      </c>
      <c r="D3927" s="170" t="s">
        <v>2067</v>
      </c>
      <c r="E3927" s="171" t="s">
        <v>22086</v>
      </c>
      <c r="F3927" s="171" t="s">
        <v>36774</v>
      </c>
      <c r="G3927" s="82"/>
      <c r="H3927" s="96">
        <f t="shared" si="244"/>
        <v>45.67</v>
      </c>
      <c r="I3927" s="96">
        <f t="shared" si="244"/>
        <v>46.21</v>
      </c>
      <c r="J3927" s="91" t="str">
        <f t="shared" si="245"/>
        <v>Sinapi 89667</v>
      </c>
      <c r="K3927" s="91" t="str">
        <f t="shared" si="246"/>
        <v>UN</v>
      </c>
      <c r="L3927" s="166" t="str">
        <f t="shared" si="247"/>
        <v>06/2022</v>
      </c>
      <c r="M3927" s="82"/>
      <c r="N3927" s="82"/>
    </row>
    <row r="3928" spans="1:14" x14ac:dyDescent="0.25">
      <c r="A3928" s="170" t="s">
        <v>6691</v>
      </c>
      <c r="B3928" s="170" t="s">
        <v>16765</v>
      </c>
      <c r="C3928" s="170" t="s">
        <v>205</v>
      </c>
      <c r="D3928" s="170" t="s">
        <v>2067</v>
      </c>
      <c r="E3928" s="171" t="s">
        <v>22075</v>
      </c>
      <c r="F3928" s="171" t="s">
        <v>29213</v>
      </c>
      <c r="G3928" s="82"/>
      <c r="H3928" s="96">
        <f t="shared" si="244"/>
        <v>33.1</v>
      </c>
      <c r="I3928" s="96">
        <f t="shared" si="244"/>
        <v>33.520000000000003</v>
      </c>
      <c r="J3928" s="91" t="str">
        <f t="shared" si="245"/>
        <v>Sinapi 89668</v>
      </c>
      <c r="K3928" s="91" t="str">
        <f t="shared" si="246"/>
        <v>UN</v>
      </c>
      <c r="L3928" s="166" t="str">
        <f t="shared" si="247"/>
        <v>06/2022</v>
      </c>
      <c r="M3928" s="82"/>
      <c r="N3928" s="82"/>
    </row>
    <row r="3929" spans="1:14" x14ac:dyDescent="0.25">
      <c r="A3929" s="170" t="s">
        <v>6692</v>
      </c>
      <c r="B3929" s="170" t="s">
        <v>16766</v>
      </c>
      <c r="C3929" s="170" t="s">
        <v>205</v>
      </c>
      <c r="D3929" s="170" t="s">
        <v>2067</v>
      </c>
      <c r="E3929" s="171" t="s">
        <v>23081</v>
      </c>
      <c r="F3929" s="171" t="s">
        <v>18616</v>
      </c>
      <c r="G3929" s="82"/>
      <c r="H3929" s="96">
        <f t="shared" si="244"/>
        <v>34.28</v>
      </c>
      <c r="I3929" s="96">
        <f t="shared" si="244"/>
        <v>35.130000000000003</v>
      </c>
      <c r="J3929" s="91" t="str">
        <f t="shared" si="245"/>
        <v>Sinapi 89669</v>
      </c>
      <c r="K3929" s="91" t="str">
        <f t="shared" si="246"/>
        <v>UN</v>
      </c>
      <c r="L3929" s="166" t="str">
        <f t="shared" si="247"/>
        <v>06/2022</v>
      </c>
      <c r="M3929" s="82"/>
      <c r="N3929" s="82"/>
    </row>
    <row r="3930" spans="1:14" x14ac:dyDescent="0.25">
      <c r="A3930" s="170" t="s">
        <v>6693</v>
      </c>
      <c r="B3930" s="170" t="s">
        <v>16767</v>
      </c>
      <c r="C3930" s="170" t="s">
        <v>205</v>
      </c>
      <c r="D3930" s="170" t="s">
        <v>2067</v>
      </c>
      <c r="E3930" s="171" t="s">
        <v>21358</v>
      </c>
      <c r="F3930" s="171" t="s">
        <v>32898</v>
      </c>
      <c r="G3930" s="82"/>
      <c r="H3930" s="96">
        <f t="shared" si="244"/>
        <v>15.04</v>
      </c>
      <c r="I3930" s="96">
        <f t="shared" si="244"/>
        <v>15.55</v>
      </c>
      <c r="J3930" s="91" t="str">
        <f t="shared" si="245"/>
        <v>Sinapi 89670</v>
      </c>
      <c r="K3930" s="91" t="str">
        <f t="shared" si="246"/>
        <v>UN</v>
      </c>
      <c r="L3930" s="166" t="str">
        <f t="shared" si="247"/>
        <v>06/2022</v>
      </c>
      <c r="M3930" s="82"/>
      <c r="N3930" s="82"/>
    </row>
    <row r="3931" spans="1:14" x14ac:dyDescent="0.25">
      <c r="A3931" s="170" t="s">
        <v>6694</v>
      </c>
      <c r="B3931" s="170" t="s">
        <v>16768</v>
      </c>
      <c r="C3931" s="170" t="s">
        <v>205</v>
      </c>
      <c r="D3931" s="170" t="s">
        <v>2067</v>
      </c>
      <c r="E3931" s="171" t="s">
        <v>28664</v>
      </c>
      <c r="F3931" s="171" t="s">
        <v>29013</v>
      </c>
      <c r="G3931" s="82"/>
      <c r="H3931" s="96">
        <f t="shared" si="244"/>
        <v>47.44</v>
      </c>
      <c r="I3931" s="96">
        <f t="shared" si="244"/>
        <v>48.29</v>
      </c>
      <c r="J3931" s="91" t="str">
        <f t="shared" si="245"/>
        <v>Sinapi 89671</v>
      </c>
      <c r="K3931" s="91" t="str">
        <f t="shared" si="246"/>
        <v>UN</v>
      </c>
      <c r="L3931" s="166" t="str">
        <f t="shared" si="247"/>
        <v>06/2022</v>
      </c>
      <c r="M3931" s="82"/>
      <c r="N3931" s="82"/>
    </row>
    <row r="3932" spans="1:14" x14ac:dyDescent="0.25">
      <c r="A3932" s="170" t="s">
        <v>6695</v>
      </c>
      <c r="B3932" s="170" t="s">
        <v>16769</v>
      </c>
      <c r="C3932" s="170" t="s">
        <v>205</v>
      </c>
      <c r="D3932" s="170" t="s">
        <v>2067</v>
      </c>
      <c r="E3932" s="171" t="s">
        <v>28994</v>
      </c>
      <c r="F3932" s="171" t="s">
        <v>14946</v>
      </c>
      <c r="G3932" s="82"/>
      <c r="H3932" s="96">
        <f t="shared" si="244"/>
        <v>26.28</v>
      </c>
      <c r="I3932" s="96">
        <f t="shared" si="244"/>
        <v>26.79</v>
      </c>
      <c r="J3932" s="91" t="str">
        <f t="shared" si="245"/>
        <v>Sinapi 89672</v>
      </c>
      <c r="K3932" s="91" t="str">
        <f t="shared" si="246"/>
        <v>UN</v>
      </c>
      <c r="L3932" s="166" t="str">
        <f t="shared" si="247"/>
        <v>06/2022</v>
      </c>
      <c r="M3932" s="82"/>
      <c r="N3932" s="82"/>
    </row>
    <row r="3933" spans="1:14" x14ac:dyDescent="0.25">
      <c r="A3933" s="170" t="s">
        <v>6696</v>
      </c>
      <c r="B3933" s="170" t="s">
        <v>16770</v>
      </c>
      <c r="C3933" s="170" t="s">
        <v>205</v>
      </c>
      <c r="D3933" s="170" t="s">
        <v>2067</v>
      </c>
      <c r="E3933" s="171" t="s">
        <v>33574</v>
      </c>
      <c r="F3933" s="171" t="s">
        <v>28799</v>
      </c>
      <c r="G3933" s="82"/>
      <c r="H3933" s="96">
        <f t="shared" si="244"/>
        <v>37.96</v>
      </c>
      <c r="I3933" s="96">
        <f t="shared" si="244"/>
        <v>38.659999999999997</v>
      </c>
      <c r="J3933" s="91" t="str">
        <f t="shared" si="245"/>
        <v>Sinapi 89673</v>
      </c>
      <c r="K3933" s="91" t="str">
        <f t="shared" si="246"/>
        <v>UN</v>
      </c>
      <c r="L3933" s="166" t="str">
        <f t="shared" si="247"/>
        <v>06/2022</v>
      </c>
      <c r="M3933" s="82"/>
      <c r="N3933" s="82"/>
    </row>
    <row r="3934" spans="1:14" x14ac:dyDescent="0.25">
      <c r="A3934" s="170" t="s">
        <v>6697</v>
      </c>
      <c r="B3934" s="170" t="s">
        <v>16771</v>
      </c>
      <c r="C3934" s="170" t="s">
        <v>205</v>
      </c>
      <c r="D3934" s="170" t="s">
        <v>2067</v>
      </c>
      <c r="E3934" s="171" t="s">
        <v>31322</v>
      </c>
      <c r="F3934" s="171" t="s">
        <v>36775</v>
      </c>
      <c r="G3934" s="82"/>
      <c r="H3934" s="96">
        <f t="shared" si="244"/>
        <v>34.409999999999997</v>
      </c>
      <c r="I3934" s="96">
        <f t="shared" si="244"/>
        <v>34.92</v>
      </c>
      <c r="J3934" s="91" t="str">
        <f t="shared" si="245"/>
        <v>Sinapi 89674</v>
      </c>
      <c r="K3934" s="91" t="str">
        <f t="shared" si="246"/>
        <v>UN</v>
      </c>
      <c r="L3934" s="166" t="str">
        <f t="shared" si="247"/>
        <v>06/2022</v>
      </c>
      <c r="M3934" s="82"/>
      <c r="N3934" s="82"/>
    </row>
    <row r="3935" spans="1:14" x14ac:dyDescent="0.25">
      <c r="A3935" s="170" t="s">
        <v>6698</v>
      </c>
      <c r="B3935" s="170" t="s">
        <v>16772</v>
      </c>
      <c r="C3935" s="170" t="s">
        <v>205</v>
      </c>
      <c r="D3935" s="170" t="s">
        <v>2067</v>
      </c>
      <c r="E3935" s="171" t="s">
        <v>33575</v>
      </c>
      <c r="F3935" s="171" t="s">
        <v>33708</v>
      </c>
      <c r="G3935" s="82"/>
      <c r="H3935" s="96">
        <f t="shared" si="244"/>
        <v>73.67</v>
      </c>
      <c r="I3935" s="96">
        <f t="shared" si="244"/>
        <v>74.52</v>
      </c>
      <c r="J3935" s="91" t="str">
        <f t="shared" si="245"/>
        <v>Sinapi 89675</v>
      </c>
      <c r="K3935" s="91" t="str">
        <f t="shared" si="246"/>
        <v>UN</v>
      </c>
      <c r="L3935" s="166" t="str">
        <f t="shared" si="247"/>
        <v>06/2022</v>
      </c>
      <c r="M3935" s="82"/>
      <c r="N3935" s="82"/>
    </row>
    <row r="3936" spans="1:14" x14ac:dyDescent="0.25">
      <c r="A3936" s="170" t="s">
        <v>6699</v>
      </c>
      <c r="B3936" s="170" t="s">
        <v>16773</v>
      </c>
      <c r="C3936" s="170" t="s">
        <v>205</v>
      </c>
      <c r="D3936" s="170" t="s">
        <v>2067</v>
      </c>
      <c r="E3936" s="171" t="s">
        <v>28704</v>
      </c>
      <c r="F3936" s="171" t="s">
        <v>36776</v>
      </c>
      <c r="G3936" s="82"/>
      <c r="H3936" s="96">
        <f t="shared" si="244"/>
        <v>41.82</v>
      </c>
      <c r="I3936" s="96">
        <f t="shared" si="244"/>
        <v>42.31</v>
      </c>
      <c r="J3936" s="91" t="str">
        <f t="shared" si="245"/>
        <v>Sinapi 89676</v>
      </c>
      <c r="K3936" s="91" t="str">
        <f t="shared" si="246"/>
        <v>UN</v>
      </c>
      <c r="L3936" s="166" t="str">
        <f t="shared" si="247"/>
        <v>06/2022</v>
      </c>
      <c r="M3936" s="82"/>
      <c r="N3936" s="82"/>
    </row>
    <row r="3937" spans="1:14" x14ac:dyDescent="0.25">
      <c r="A3937" s="170" t="s">
        <v>6700</v>
      </c>
      <c r="B3937" s="170" t="s">
        <v>16774</v>
      </c>
      <c r="C3937" s="170" t="s">
        <v>205</v>
      </c>
      <c r="D3937" s="170" t="s">
        <v>2067</v>
      </c>
      <c r="E3937" s="171" t="s">
        <v>33576</v>
      </c>
      <c r="F3937" s="171" t="s">
        <v>23078</v>
      </c>
      <c r="G3937" s="82"/>
      <c r="H3937" s="96">
        <f t="shared" si="244"/>
        <v>82.15</v>
      </c>
      <c r="I3937" s="96">
        <f t="shared" si="244"/>
        <v>83.63</v>
      </c>
      <c r="J3937" s="91" t="str">
        <f t="shared" si="245"/>
        <v>Sinapi 89677</v>
      </c>
      <c r="K3937" s="91" t="str">
        <f t="shared" si="246"/>
        <v>UN</v>
      </c>
      <c r="L3937" s="166" t="str">
        <f t="shared" si="247"/>
        <v>06/2022</v>
      </c>
      <c r="M3937" s="82"/>
      <c r="N3937" s="82"/>
    </row>
    <row r="3938" spans="1:14" x14ac:dyDescent="0.25">
      <c r="A3938" s="170" t="s">
        <v>6701</v>
      </c>
      <c r="B3938" s="170" t="s">
        <v>16775</v>
      </c>
      <c r="C3938" s="170" t="s">
        <v>205</v>
      </c>
      <c r="D3938" s="170" t="s">
        <v>2067</v>
      </c>
      <c r="E3938" s="171" t="s">
        <v>22961</v>
      </c>
      <c r="F3938" s="171" t="s">
        <v>18563</v>
      </c>
      <c r="G3938" s="82"/>
      <c r="H3938" s="96">
        <f t="shared" si="244"/>
        <v>12.66</v>
      </c>
      <c r="I3938" s="96">
        <f t="shared" si="244"/>
        <v>13.14</v>
      </c>
      <c r="J3938" s="91" t="str">
        <f t="shared" si="245"/>
        <v>Sinapi 89678</v>
      </c>
      <c r="K3938" s="91" t="str">
        <f t="shared" si="246"/>
        <v>UN</v>
      </c>
      <c r="L3938" s="166" t="str">
        <f t="shared" si="247"/>
        <v>06/2022</v>
      </c>
      <c r="M3938" s="82"/>
      <c r="N3938" s="82"/>
    </row>
    <row r="3939" spans="1:14" x14ac:dyDescent="0.25">
      <c r="A3939" s="170" t="s">
        <v>6702</v>
      </c>
      <c r="B3939" s="170" t="s">
        <v>16776</v>
      </c>
      <c r="C3939" s="170" t="s">
        <v>205</v>
      </c>
      <c r="D3939" s="170" t="s">
        <v>2067</v>
      </c>
      <c r="E3939" s="171" t="s">
        <v>29237</v>
      </c>
      <c r="F3939" s="171" t="s">
        <v>36777</v>
      </c>
      <c r="G3939" s="82"/>
      <c r="H3939" s="96">
        <f t="shared" si="244"/>
        <v>134.07</v>
      </c>
      <c r="I3939" s="96">
        <f t="shared" si="244"/>
        <v>135.55000000000001</v>
      </c>
      <c r="J3939" s="91" t="str">
        <f t="shared" si="245"/>
        <v>Sinapi 89679</v>
      </c>
      <c r="K3939" s="91" t="str">
        <f t="shared" si="246"/>
        <v>UN</v>
      </c>
      <c r="L3939" s="166" t="str">
        <f t="shared" si="247"/>
        <v>06/2022</v>
      </c>
      <c r="M3939" s="82"/>
      <c r="N3939" s="82"/>
    </row>
    <row r="3940" spans="1:14" x14ac:dyDescent="0.25">
      <c r="A3940" s="170" t="s">
        <v>6703</v>
      </c>
      <c r="B3940" s="170" t="s">
        <v>16777</v>
      </c>
      <c r="C3940" s="170" t="s">
        <v>205</v>
      </c>
      <c r="D3940" s="170" t="s">
        <v>2067</v>
      </c>
      <c r="E3940" s="171" t="s">
        <v>21632</v>
      </c>
      <c r="F3940" s="171" t="s">
        <v>23004</v>
      </c>
      <c r="G3940" s="82"/>
      <c r="H3940" s="96">
        <f t="shared" si="244"/>
        <v>24.62</v>
      </c>
      <c r="I3940" s="96">
        <f t="shared" si="244"/>
        <v>25.23</v>
      </c>
      <c r="J3940" s="91" t="str">
        <f t="shared" si="245"/>
        <v>Sinapi 89680</v>
      </c>
      <c r="K3940" s="91" t="str">
        <f t="shared" si="246"/>
        <v>UN</v>
      </c>
      <c r="L3940" s="166" t="str">
        <f t="shared" si="247"/>
        <v>06/2022</v>
      </c>
      <c r="M3940" s="82"/>
      <c r="N3940" s="82"/>
    </row>
    <row r="3941" spans="1:14" x14ac:dyDescent="0.25">
      <c r="A3941" s="170" t="s">
        <v>6704</v>
      </c>
      <c r="B3941" s="170" t="s">
        <v>16778</v>
      </c>
      <c r="C3941" s="170" t="s">
        <v>205</v>
      </c>
      <c r="D3941" s="170" t="s">
        <v>2067</v>
      </c>
      <c r="E3941" s="171" t="s">
        <v>33577</v>
      </c>
      <c r="F3941" s="171" t="s">
        <v>22747</v>
      </c>
      <c r="G3941" s="82"/>
      <c r="H3941" s="96">
        <f t="shared" si="244"/>
        <v>96.37</v>
      </c>
      <c r="I3941" s="96">
        <f t="shared" si="244"/>
        <v>97.54</v>
      </c>
      <c r="J3941" s="91" t="str">
        <f t="shared" si="245"/>
        <v>Sinapi 89681</v>
      </c>
      <c r="K3941" s="91" t="str">
        <f t="shared" si="246"/>
        <v>UN</v>
      </c>
      <c r="L3941" s="166" t="str">
        <f t="shared" si="247"/>
        <v>06/2022</v>
      </c>
      <c r="M3941" s="82"/>
      <c r="N3941" s="82"/>
    </row>
    <row r="3942" spans="1:14" x14ac:dyDescent="0.25">
      <c r="A3942" s="170" t="s">
        <v>6705</v>
      </c>
      <c r="B3942" s="170" t="s">
        <v>16779</v>
      </c>
      <c r="C3942" s="170" t="s">
        <v>205</v>
      </c>
      <c r="D3942" s="170" t="s">
        <v>2067</v>
      </c>
      <c r="E3942" s="171" t="s">
        <v>28744</v>
      </c>
      <c r="F3942" s="171" t="s">
        <v>19831</v>
      </c>
      <c r="G3942" s="82"/>
      <c r="H3942" s="96">
        <f t="shared" si="244"/>
        <v>35.229999999999997</v>
      </c>
      <c r="I3942" s="96">
        <f t="shared" si="244"/>
        <v>35.840000000000003</v>
      </c>
      <c r="J3942" s="91" t="str">
        <f t="shared" si="245"/>
        <v>Sinapi 89682</v>
      </c>
      <c r="K3942" s="91" t="str">
        <f t="shared" si="246"/>
        <v>UN</v>
      </c>
      <c r="L3942" s="166" t="str">
        <f t="shared" si="247"/>
        <v>06/2022</v>
      </c>
      <c r="M3942" s="82"/>
      <c r="N3942" s="82"/>
    </row>
    <row r="3943" spans="1:14" x14ac:dyDescent="0.25">
      <c r="A3943" s="170" t="s">
        <v>13428</v>
      </c>
      <c r="B3943" s="170" t="s">
        <v>16780</v>
      </c>
      <c r="C3943" s="170" t="s">
        <v>205</v>
      </c>
      <c r="D3943" s="170" t="s">
        <v>2067</v>
      </c>
      <c r="E3943" s="171" t="s">
        <v>33578</v>
      </c>
      <c r="F3943" s="171" t="s">
        <v>36778</v>
      </c>
      <c r="G3943" s="82"/>
      <c r="H3943" s="96">
        <f t="shared" si="244"/>
        <v>289.67</v>
      </c>
      <c r="I3943" s="96">
        <f t="shared" si="244"/>
        <v>291.14999999999998</v>
      </c>
      <c r="J3943" s="91" t="str">
        <f t="shared" si="245"/>
        <v>Sinapi 89683</v>
      </c>
      <c r="K3943" s="91" t="str">
        <f t="shared" si="246"/>
        <v>UN</v>
      </c>
      <c r="L3943" s="166" t="str">
        <f t="shared" si="247"/>
        <v>06/2022</v>
      </c>
      <c r="M3943" s="82"/>
      <c r="N3943" s="82"/>
    </row>
    <row r="3944" spans="1:14" x14ac:dyDescent="0.25">
      <c r="A3944" s="170" t="s">
        <v>6706</v>
      </c>
      <c r="B3944" s="170" t="s">
        <v>16781</v>
      </c>
      <c r="C3944" s="170" t="s">
        <v>205</v>
      </c>
      <c r="D3944" s="170" t="s">
        <v>2067</v>
      </c>
      <c r="E3944" s="171" t="s">
        <v>32184</v>
      </c>
      <c r="F3944" s="171" t="s">
        <v>21848</v>
      </c>
      <c r="G3944" s="82"/>
      <c r="H3944" s="96">
        <f t="shared" si="244"/>
        <v>50.42</v>
      </c>
      <c r="I3944" s="96">
        <f t="shared" si="244"/>
        <v>51.03</v>
      </c>
      <c r="J3944" s="91" t="str">
        <f t="shared" si="245"/>
        <v>Sinapi 89684</v>
      </c>
      <c r="K3944" s="91" t="str">
        <f t="shared" si="246"/>
        <v>UN</v>
      </c>
      <c r="L3944" s="166" t="str">
        <f t="shared" si="247"/>
        <v>06/2022</v>
      </c>
      <c r="M3944" s="82"/>
      <c r="N3944" s="82"/>
    </row>
    <row r="3945" spans="1:14" x14ac:dyDescent="0.25">
      <c r="A3945" s="170" t="s">
        <v>6707</v>
      </c>
      <c r="B3945" s="170" t="s">
        <v>16782</v>
      </c>
      <c r="C3945" s="170" t="s">
        <v>205</v>
      </c>
      <c r="D3945" s="170" t="s">
        <v>2067</v>
      </c>
      <c r="E3945" s="171" t="s">
        <v>29805</v>
      </c>
      <c r="F3945" s="171" t="s">
        <v>36779</v>
      </c>
      <c r="G3945" s="82"/>
      <c r="H3945" s="96">
        <f t="shared" si="244"/>
        <v>63.69</v>
      </c>
      <c r="I3945" s="96">
        <f t="shared" si="244"/>
        <v>64.78</v>
      </c>
      <c r="J3945" s="91" t="str">
        <f t="shared" si="245"/>
        <v>Sinapi 89685</v>
      </c>
      <c r="K3945" s="91" t="str">
        <f t="shared" si="246"/>
        <v>UN</v>
      </c>
      <c r="L3945" s="166" t="str">
        <f t="shared" si="247"/>
        <v>06/2022</v>
      </c>
      <c r="M3945" s="82"/>
      <c r="N3945" s="82"/>
    </row>
    <row r="3946" spans="1:14" x14ac:dyDescent="0.25">
      <c r="A3946" s="170" t="s">
        <v>6708</v>
      </c>
      <c r="B3946" s="170" t="s">
        <v>16783</v>
      </c>
      <c r="C3946" s="170" t="s">
        <v>205</v>
      </c>
      <c r="D3946" s="170" t="s">
        <v>2067</v>
      </c>
      <c r="E3946" s="171" t="s">
        <v>33579</v>
      </c>
      <c r="F3946" s="171" t="s">
        <v>36780</v>
      </c>
      <c r="G3946" s="82"/>
      <c r="H3946" s="96">
        <f t="shared" si="244"/>
        <v>64.489999999999995</v>
      </c>
      <c r="I3946" s="96">
        <f t="shared" si="244"/>
        <v>65.09</v>
      </c>
      <c r="J3946" s="91" t="str">
        <f t="shared" si="245"/>
        <v>Sinapi 89686</v>
      </c>
      <c r="K3946" s="91" t="str">
        <f t="shared" si="246"/>
        <v>UN</v>
      </c>
      <c r="L3946" s="166" t="str">
        <f t="shared" si="247"/>
        <v>06/2022</v>
      </c>
      <c r="M3946" s="82"/>
      <c r="N3946" s="82"/>
    </row>
    <row r="3947" spans="1:14" x14ac:dyDescent="0.25">
      <c r="A3947" s="170" t="s">
        <v>6709</v>
      </c>
      <c r="B3947" s="170" t="s">
        <v>16784</v>
      </c>
      <c r="C3947" s="170" t="s">
        <v>205</v>
      </c>
      <c r="D3947" s="170" t="s">
        <v>2067</v>
      </c>
      <c r="E3947" s="171" t="s">
        <v>28943</v>
      </c>
      <c r="F3947" s="171" t="s">
        <v>28641</v>
      </c>
      <c r="G3947" s="82"/>
      <c r="H3947" s="96">
        <f t="shared" si="244"/>
        <v>55.37</v>
      </c>
      <c r="I3947" s="96">
        <f t="shared" si="244"/>
        <v>56.46</v>
      </c>
      <c r="J3947" s="91" t="str">
        <f t="shared" si="245"/>
        <v>Sinapi 89687</v>
      </c>
      <c r="K3947" s="91" t="str">
        <f t="shared" si="246"/>
        <v>UN</v>
      </c>
      <c r="L3947" s="166" t="str">
        <f t="shared" si="247"/>
        <v>06/2022</v>
      </c>
      <c r="M3947" s="82"/>
      <c r="N3947" s="82"/>
    </row>
    <row r="3948" spans="1:14" x14ac:dyDescent="0.25">
      <c r="A3948" s="170" t="s">
        <v>6710</v>
      </c>
      <c r="B3948" s="170" t="s">
        <v>16785</v>
      </c>
      <c r="C3948" s="170" t="s">
        <v>205</v>
      </c>
      <c r="D3948" s="170" t="s">
        <v>2067</v>
      </c>
      <c r="E3948" s="171" t="s">
        <v>33580</v>
      </c>
      <c r="F3948" s="171" t="s">
        <v>23311</v>
      </c>
      <c r="G3948" s="82"/>
      <c r="H3948" s="96">
        <f t="shared" si="244"/>
        <v>42.51</v>
      </c>
      <c r="I3948" s="96">
        <f t="shared" si="244"/>
        <v>43.08</v>
      </c>
      <c r="J3948" s="91" t="str">
        <f t="shared" si="245"/>
        <v>Sinapi 89689</v>
      </c>
      <c r="K3948" s="91" t="str">
        <f t="shared" si="246"/>
        <v>UN</v>
      </c>
      <c r="L3948" s="166" t="str">
        <f t="shared" si="247"/>
        <v>06/2022</v>
      </c>
      <c r="M3948" s="82"/>
      <c r="N3948" s="82"/>
    </row>
    <row r="3949" spans="1:14" x14ac:dyDescent="0.25">
      <c r="A3949" s="170" t="s">
        <v>6711</v>
      </c>
      <c r="B3949" s="170" t="s">
        <v>16786</v>
      </c>
      <c r="C3949" s="170" t="s">
        <v>205</v>
      </c>
      <c r="D3949" s="170" t="s">
        <v>2067</v>
      </c>
      <c r="E3949" s="171" t="s">
        <v>33581</v>
      </c>
      <c r="F3949" s="171" t="s">
        <v>36781</v>
      </c>
      <c r="G3949" s="82"/>
      <c r="H3949" s="96">
        <f t="shared" si="244"/>
        <v>92.43</v>
      </c>
      <c r="I3949" s="96">
        <f t="shared" si="244"/>
        <v>94.14</v>
      </c>
      <c r="J3949" s="91" t="str">
        <f t="shared" si="245"/>
        <v>Sinapi 89690</v>
      </c>
      <c r="K3949" s="91" t="str">
        <f t="shared" si="246"/>
        <v>UN</v>
      </c>
      <c r="L3949" s="166" t="str">
        <f t="shared" si="247"/>
        <v>06/2022</v>
      </c>
      <c r="M3949" s="82"/>
      <c r="N3949" s="82"/>
    </row>
    <row r="3950" spans="1:14" x14ac:dyDescent="0.25">
      <c r="A3950" s="170" t="s">
        <v>6712</v>
      </c>
      <c r="B3950" s="170" t="s">
        <v>16787</v>
      </c>
      <c r="C3950" s="170" t="s">
        <v>205</v>
      </c>
      <c r="D3950" s="170" t="s">
        <v>2067</v>
      </c>
      <c r="E3950" s="171" t="s">
        <v>21023</v>
      </c>
      <c r="F3950" s="171" t="s">
        <v>19328</v>
      </c>
      <c r="G3950" s="82"/>
      <c r="H3950" s="96">
        <f t="shared" si="244"/>
        <v>13.83</v>
      </c>
      <c r="I3950" s="96">
        <f t="shared" si="244"/>
        <v>14.52</v>
      </c>
      <c r="J3950" s="91" t="str">
        <f t="shared" si="245"/>
        <v>Sinapi 89691</v>
      </c>
      <c r="K3950" s="91" t="str">
        <f t="shared" si="246"/>
        <v>UN</v>
      </c>
      <c r="L3950" s="166" t="str">
        <f t="shared" si="247"/>
        <v>06/2022</v>
      </c>
      <c r="M3950" s="82"/>
      <c r="N3950" s="82"/>
    </row>
    <row r="3951" spans="1:14" x14ac:dyDescent="0.25">
      <c r="A3951" s="170" t="s">
        <v>6713</v>
      </c>
      <c r="B3951" s="170" t="s">
        <v>16788</v>
      </c>
      <c r="C3951" s="170" t="s">
        <v>205</v>
      </c>
      <c r="D3951" s="170" t="s">
        <v>2067</v>
      </c>
      <c r="E3951" s="171" t="s">
        <v>29390</v>
      </c>
      <c r="F3951" s="171" t="s">
        <v>36782</v>
      </c>
      <c r="G3951" s="82"/>
      <c r="H3951" s="96">
        <f t="shared" si="244"/>
        <v>103.87</v>
      </c>
      <c r="I3951" s="96">
        <f t="shared" si="244"/>
        <v>105.37</v>
      </c>
      <c r="J3951" s="91" t="str">
        <f t="shared" si="245"/>
        <v>Sinapi 89692</v>
      </c>
      <c r="K3951" s="91" t="str">
        <f t="shared" si="246"/>
        <v>UN</v>
      </c>
      <c r="L3951" s="166" t="str">
        <f t="shared" si="247"/>
        <v>06/2022</v>
      </c>
      <c r="M3951" s="82"/>
      <c r="N3951" s="82"/>
    </row>
    <row r="3952" spans="1:14" x14ac:dyDescent="0.25">
      <c r="A3952" s="170" t="s">
        <v>6714</v>
      </c>
      <c r="B3952" s="170" t="s">
        <v>16789</v>
      </c>
      <c r="C3952" s="170" t="s">
        <v>205</v>
      </c>
      <c r="D3952" s="170" t="s">
        <v>2067</v>
      </c>
      <c r="E3952" s="171" t="s">
        <v>33582</v>
      </c>
      <c r="F3952" s="171" t="s">
        <v>36783</v>
      </c>
      <c r="G3952" s="82"/>
      <c r="H3952" s="96">
        <f t="shared" si="244"/>
        <v>81.96</v>
      </c>
      <c r="I3952" s="96">
        <f t="shared" si="244"/>
        <v>83.67</v>
      </c>
      <c r="J3952" s="91" t="str">
        <f t="shared" si="245"/>
        <v>Sinapi 89693</v>
      </c>
      <c r="K3952" s="91" t="str">
        <f t="shared" si="246"/>
        <v>UN</v>
      </c>
      <c r="L3952" s="166" t="str">
        <f t="shared" si="247"/>
        <v>06/2022</v>
      </c>
      <c r="M3952" s="82"/>
      <c r="N3952" s="82"/>
    </row>
    <row r="3953" spans="1:14" x14ac:dyDescent="0.25">
      <c r="A3953" s="170" t="s">
        <v>6715</v>
      </c>
      <c r="B3953" s="170" t="s">
        <v>16790</v>
      </c>
      <c r="C3953" s="170" t="s">
        <v>205</v>
      </c>
      <c r="D3953" s="170" t="s">
        <v>2067</v>
      </c>
      <c r="E3953" s="171" t="s">
        <v>29377</v>
      </c>
      <c r="F3953" s="171" t="s">
        <v>19354</v>
      </c>
      <c r="G3953" s="82"/>
      <c r="H3953" s="96">
        <f t="shared" si="244"/>
        <v>21.52</v>
      </c>
      <c r="I3953" s="96">
        <f t="shared" si="244"/>
        <v>22.21</v>
      </c>
      <c r="J3953" s="91" t="str">
        <f t="shared" si="245"/>
        <v>Sinapi 89694</v>
      </c>
      <c r="K3953" s="91" t="str">
        <f t="shared" si="246"/>
        <v>UN</v>
      </c>
      <c r="L3953" s="166" t="str">
        <f t="shared" si="247"/>
        <v>06/2022</v>
      </c>
      <c r="M3953" s="82"/>
      <c r="N3953" s="82"/>
    </row>
    <row r="3954" spans="1:14" x14ac:dyDescent="0.25">
      <c r="A3954" s="170" t="s">
        <v>6716</v>
      </c>
      <c r="B3954" s="170" t="s">
        <v>16791</v>
      </c>
      <c r="C3954" s="170" t="s">
        <v>205</v>
      </c>
      <c r="D3954" s="170" t="s">
        <v>2067</v>
      </c>
      <c r="E3954" s="171" t="s">
        <v>21845</v>
      </c>
      <c r="F3954" s="171" t="s">
        <v>23070</v>
      </c>
      <c r="G3954" s="82"/>
      <c r="H3954" s="96">
        <f t="shared" si="244"/>
        <v>17.97</v>
      </c>
      <c r="I3954" s="96">
        <f t="shared" si="244"/>
        <v>18.66</v>
      </c>
      <c r="J3954" s="91" t="str">
        <f t="shared" si="245"/>
        <v>Sinapi 89695</v>
      </c>
      <c r="K3954" s="91" t="str">
        <f t="shared" si="246"/>
        <v>UN</v>
      </c>
      <c r="L3954" s="166" t="str">
        <f t="shared" si="247"/>
        <v>06/2022</v>
      </c>
      <c r="M3954" s="82"/>
      <c r="N3954" s="82"/>
    </row>
    <row r="3955" spans="1:14" x14ac:dyDescent="0.25">
      <c r="A3955" s="170" t="s">
        <v>6717</v>
      </c>
      <c r="B3955" s="170" t="s">
        <v>16792</v>
      </c>
      <c r="C3955" s="170" t="s">
        <v>205</v>
      </c>
      <c r="D3955" s="170" t="s">
        <v>2067</v>
      </c>
      <c r="E3955" s="171" t="s">
        <v>21352</v>
      </c>
      <c r="F3955" s="171" t="s">
        <v>36784</v>
      </c>
      <c r="G3955" s="82"/>
      <c r="H3955" s="96">
        <f t="shared" si="244"/>
        <v>86.91</v>
      </c>
      <c r="I3955" s="96">
        <f t="shared" si="244"/>
        <v>88.41</v>
      </c>
      <c r="J3955" s="91" t="str">
        <f t="shared" si="245"/>
        <v>Sinapi 89696</v>
      </c>
      <c r="K3955" s="91" t="str">
        <f t="shared" si="246"/>
        <v>UN</v>
      </c>
      <c r="L3955" s="166" t="str">
        <f t="shared" si="247"/>
        <v>06/2022</v>
      </c>
      <c r="M3955" s="82"/>
      <c r="N3955" s="82"/>
    </row>
    <row r="3956" spans="1:14" x14ac:dyDescent="0.25">
      <c r="A3956" s="170" t="s">
        <v>6718</v>
      </c>
      <c r="B3956" s="170" t="s">
        <v>16793</v>
      </c>
      <c r="C3956" s="170" t="s">
        <v>205</v>
      </c>
      <c r="D3956" s="170" t="s">
        <v>2067</v>
      </c>
      <c r="E3956" s="171" t="s">
        <v>25728</v>
      </c>
      <c r="F3956" s="171" t="s">
        <v>28931</v>
      </c>
      <c r="G3956" s="82"/>
      <c r="H3956" s="96">
        <f t="shared" si="244"/>
        <v>18.14</v>
      </c>
      <c r="I3956" s="96">
        <f t="shared" si="244"/>
        <v>19.02</v>
      </c>
      <c r="J3956" s="91" t="str">
        <f t="shared" si="245"/>
        <v>Sinapi 89697</v>
      </c>
      <c r="K3956" s="91" t="str">
        <f t="shared" si="246"/>
        <v>UN</v>
      </c>
      <c r="L3956" s="166" t="str">
        <f t="shared" si="247"/>
        <v>06/2022</v>
      </c>
      <c r="M3956" s="82"/>
      <c r="N3956" s="82"/>
    </row>
    <row r="3957" spans="1:14" x14ac:dyDescent="0.25">
      <c r="A3957" s="170" t="s">
        <v>6719</v>
      </c>
      <c r="B3957" s="170" t="s">
        <v>16794</v>
      </c>
      <c r="C3957" s="170" t="s">
        <v>205</v>
      </c>
      <c r="D3957" s="170" t="s">
        <v>2067</v>
      </c>
      <c r="E3957" s="171" t="s">
        <v>33583</v>
      </c>
      <c r="F3957" s="171" t="s">
        <v>36785</v>
      </c>
      <c r="G3957" s="82"/>
      <c r="H3957" s="96">
        <f t="shared" si="244"/>
        <v>278.54000000000002</v>
      </c>
      <c r="I3957" s="96">
        <f t="shared" si="244"/>
        <v>281.51</v>
      </c>
      <c r="J3957" s="91" t="str">
        <f t="shared" si="245"/>
        <v>Sinapi 89698</v>
      </c>
      <c r="K3957" s="91" t="str">
        <f t="shared" si="246"/>
        <v>UN</v>
      </c>
      <c r="L3957" s="166" t="str">
        <f t="shared" si="247"/>
        <v>06/2022</v>
      </c>
      <c r="M3957" s="82"/>
      <c r="N3957" s="82"/>
    </row>
    <row r="3958" spans="1:14" x14ac:dyDescent="0.25">
      <c r="A3958" s="170" t="s">
        <v>6720</v>
      </c>
      <c r="B3958" s="170" t="s">
        <v>16795</v>
      </c>
      <c r="C3958" s="170" t="s">
        <v>205</v>
      </c>
      <c r="D3958" s="170" t="s">
        <v>2067</v>
      </c>
      <c r="E3958" s="171" t="s">
        <v>33584</v>
      </c>
      <c r="F3958" s="171" t="s">
        <v>36786</v>
      </c>
      <c r="G3958" s="82"/>
      <c r="H3958" s="96">
        <f t="shared" si="244"/>
        <v>210.25</v>
      </c>
      <c r="I3958" s="96">
        <f t="shared" si="244"/>
        <v>212.81</v>
      </c>
      <c r="J3958" s="91" t="str">
        <f t="shared" si="245"/>
        <v>Sinapi 89699</v>
      </c>
      <c r="K3958" s="91" t="str">
        <f t="shared" si="246"/>
        <v>UN</v>
      </c>
      <c r="L3958" s="166" t="str">
        <f t="shared" si="247"/>
        <v>06/2022</v>
      </c>
      <c r="M3958" s="82"/>
      <c r="N3958" s="82"/>
    </row>
    <row r="3959" spans="1:14" x14ac:dyDescent="0.25">
      <c r="A3959" s="170" t="s">
        <v>6721</v>
      </c>
      <c r="B3959" s="170" t="s">
        <v>16796</v>
      </c>
      <c r="C3959" s="170" t="s">
        <v>205</v>
      </c>
      <c r="D3959" s="170" t="s">
        <v>2067</v>
      </c>
      <c r="E3959" s="171" t="s">
        <v>33585</v>
      </c>
      <c r="F3959" s="171" t="s">
        <v>31342</v>
      </c>
      <c r="G3959" s="82"/>
      <c r="H3959" s="96">
        <f t="shared" si="244"/>
        <v>24.64</v>
      </c>
      <c r="I3959" s="96">
        <f t="shared" si="244"/>
        <v>25.43</v>
      </c>
      <c r="J3959" s="91" t="str">
        <f t="shared" si="245"/>
        <v>Sinapi 89700</v>
      </c>
      <c r="K3959" s="91" t="str">
        <f t="shared" si="246"/>
        <v>UN</v>
      </c>
      <c r="L3959" s="166" t="str">
        <f t="shared" si="247"/>
        <v>06/2022</v>
      </c>
      <c r="M3959" s="82"/>
      <c r="N3959" s="82"/>
    </row>
    <row r="3960" spans="1:14" x14ac:dyDescent="0.25">
      <c r="A3960" s="170" t="s">
        <v>6722</v>
      </c>
      <c r="B3960" s="170" t="s">
        <v>16797</v>
      </c>
      <c r="C3960" s="170" t="s">
        <v>205</v>
      </c>
      <c r="D3960" s="170" t="s">
        <v>2067</v>
      </c>
      <c r="E3960" s="171" t="s">
        <v>33586</v>
      </c>
      <c r="F3960" s="171" t="s">
        <v>36787</v>
      </c>
      <c r="G3960" s="82"/>
      <c r="H3960" s="96">
        <f t="shared" si="244"/>
        <v>211.28</v>
      </c>
      <c r="I3960" s="96">
        <f t="shared" si="244"/>
        <v>214.25</v>
      </c>
      <c r="J3960" s="91" t="str">
        <f t="shared" si="245"/>
        <v>Sinapi 89701</v>
      </c>
      <c r="K3960" s="91" t="str">
        <f t="shared" si="246"/>
        <v>UN</v>
      </c>
      <c r="L3960" s="166" t="str">
        <f t="shared" si="247"/>
        <v>06/2022</v>
      </c>
      <c r="M3960" s="82"/>
      <c r="N3960" s="82"/>
    </row>
    <row r="3961" spans="1:14" x14ac:dyDescent="0.25">
      <c r="A3961" s="170" t="s">
        <v>6723</v>
      </c>
      <c r="B3961" s="170" t="s">
        <v>16798</v>
      </c>
      <c r="C3961" s="170" t="s">
        <v>205</v>
      </c>
      <c r="D3961" s="170" t="s">
        <v>2067</v>
      </c>
      <c r="E3961" s="171" t="s">
        <v>17399</v>
      </c>
      <c r="F3961" s="171" t="s">
        <v>20100</v>
      </c>
      <c r="G3961" s="82"/>
      <c r="H3961" s="96">
        <f t="shared" si="244"/>
        <v>23.18</v>
      </c>
      <c r="I3961" s="96">
        <f t="shared" si="244"/>
        <v>24.06</v>
      </c>
      <c r="J3961" s="91" t="str">
        <f t="shared" si="245"/>
        <v>Sinapi 89702</v>
      </c>
      <c r="K3961" s="91" t="str">
        <f t="shared" si="246"/>
        <v>UN</v>
      </c>
      <c r="L3961" s="166" t="str">
        <f t="shared" si="247"/>
        <v>06/2022</v>
      </c>
      <c r="M3961" s="82"/>
      <c r="N3961" s="82"/>
    </row>
    <row r="3962" spans="1:14" x14ac:dyDescent="0.25">
      <c r="A3962" s="170" t="s">
        <v>6724</v>
      </c>
      <c r="B3962" s="170" t="s">
        <v>16799</v>
      </c>
      <c r="C3962" s="170" t="s">
        <v>205</v>
      </c>
      <c r="D3962" s="170" t="s">
        <v>2067</v>
      </c>
      <c r="E3962" s="171" t="s">
        <v>33587</v>
      </c>
      <c r="F3962" s="171" t="s">
        <v>29046</v>
      </c>
      <c r="G3962" s="82"/>
      <c r="H3962" s="96">
        <f t="shared" si="244"/>
        <v>53.59</v>
      </c>
      <c r="I3962" s="96">
        <f t="shared" si="244"/>
        <v>54.44</v>
      </c>
      <c r="J3962" s="91" t="str">
        <f t="shared" si="245"/>
        <v>Sinapi 89703</v>
      </c>
      <c r="K3962" s="91" t="str">
        <f t="shared" si="246"/>
        <v>UN</v>
      </c>
      <c r="L3962" s="166" t="str">
        <f t="shared" si="247"/>
        <v>06/2022</v>
      </c>
      <c r="M3962" s="82"/>
      <c r="N3962" s="82"/>
    </row>
    <row r="3963" spans="1:14" x14ac:dyDescent="0.25">
      <c r="A3963" s="170" t="s">
        <v>6725</v>
      </c>
      <c r="B3963" s="170" t="s">
        <v>16800</v>
      </c>
      <c r="C3963" s="170" t="s">
        <v>205</v>
      </c>
      <c r="D3963" s="170" t="s">
        <v>2067</v>
      </c>
      <c r="E3963" s="171" t="s">
        <v>33588</v>
      </c>
      <c r="F3963" s="171" t="s">
        <v>36788</v>
      </c>
      <c r="G3963" s="82"/>
      <c r="H3963" s="96">
        <f t="shared" si="244"/>
        <v>162.84</v>
      </c>
      <c r="I3963" s="96">
        <f t="shared" si="244"/>
        <v>165.4</v>
      </c>
      <c r="J3963" s="91" t="str">
        <f t="shared" si="245"/>
        <v>Sinapi 89704</v>
      </c>
      <c r="K3963" s="91" t="str">
        <f t="shared" si="246"/>
        <v>UN</v>
      </c>
      <c r="L3963" s="166" t="str">
        <f t="shared" si="247"/>
        <v>06/2022</v>
      </c>
      <c r="M3963" s="82"/>
      <c r="N3963" s="82"/>
    </row>
    <row r="3964" spans="1:14" x14ac:dyDescent="0.25">
      <c r="A3964" s="170" t="s">
        <v>6726</v>
      </c>
      <c r="B3964" s="170" t="s">
        <v>16801</v>
      </c>
      <c r="C3964" s="170" t="s">
        <v>205</v>
      </c>
      <c r="D3964" s="170" t="s">
        <v>2067</v>
      </c>
      <c r="E3964" s="171" t="s">
        <v>23254</v>
      </c>
      <c r="F3964" s="171" t="s">
        <v>23139</v>
      </c>
      <c r="G3964" s="82"/>
      <c r="H3964" s="96">
        <f t="shared" si="244"/>
        <v>26.89</v>
      </c>
      <c r="I3964" s="96">
        <f t="shared" si="244"/>
        <v>27.93</v>
      </c>
      <c r="J3964" s="91" t="str">
        <f t="shared" si="245"/>
        <v>Sinapi 89705</v>
      </c>
      <c r="K3964" s="91" t="str">
        <f t="shared" si="246"/>
        <v>UN</v>
      </c>
      <c r="L3964" s="166" t="str">
        <f t="shared" si="247"/>
        <v>06/2022</v>
      </c>
      <c r="M3964" s="82"/>
      <c r="N3964" s="82"/>
    </row>
    <row r="3965" spans="1:14" x14ac:dyDescent="0.25">
      <c r="A3965" s="170" t="s">
        <v>6727</v>
      </c>
      <c r="B3965" s="170" t="s">
        <v>16802</v>
      </c>
      <c r="C3965" s="170" t="s">
        <v>205</v>
      </c>
      <c r="D3965" s="170" t="s">
        <v>2067</v>
      </c>
      <c r="E3965" s="171" t="s">
        <v>33589</v>
      </c>
      <c r="F3965" s="171" t="s">
        <v>36789</v>
      </c>
      <c r="G3965" s="82"/>
      <c r="H3965" s="96">
        <f t="shared" si="244"/>
        <v>62.58</v>
      </c>
      <c r="I3965" s="96">
        <f t="shared" si="244"/>
        <v>63.8</v>
      </c>
      <c r="J3965" s="91" t="str">
        <f t="shared" si="245"/>
        <v>Sinapi 89706</v>
      </c>
      <c r="K3965" s="91" t="str">
        <f t="shared" si="246"/>
        <v>UN</v>
      </c>
      <c r="L3965" s="166" t="str">
        <f t="shared" si="247"/>
        <v>06/2022</v>
      </c>
      <c r="M3965" s="82"/>
      <c r="N3965" s="82"/>
    </row>
    <row r="3966" spans="1:14" x14ac:dyDescent="0.25">
      <c r="A3966" s="170" t="s">
        <v>6728</v>
      </c>
      <c r="B3966" s="170" t="s">
        <v>16803</v>
      </c>
      <c r="C3966" s="170" t="s">
        <v>385</v>
      </c>
      <c r="D3966" s="170" t="s">
        <v>2067</v>
      </c>
      <c r="E3966" s="171" t="s">
        <v>28591</v>
      </c>
      <c r="F3966" s="171" t="s">
        <v>23174</v>
      </c>
      <c r="G3966" s="82"/>
      <c r="H3966" s="96">
        <f t="shared" si="244"/>
        <v>60.98</v>
      </c>
      <c r="I3966" s="96">
        <f t="shared" si="244"/>
        <v>61.93</v>
      </c>
      <c r="J3966" s="91" t="str">
        <f t="shared" si="245"/>
        <v>Sinapi 89718</v>
      </c>
      <c r="K3966" s="91" t="str">
        <f t="shared" si="246"/>
        <v>M</v>
      </c>
      <c r="L3966" s="166" t="str">
        <f t="shared" si="247"/>
        <v>06/2022</v>
      </c>
      <c r="M3966" s="82"/>
      <c r="N3966" s="82"/>
    </row>
    <row r="3967" spans="1:14" x14ac:dyDescent="0.25">
      <c r="A3967" s="170" t="s">
        <v>6729</v>
      </c>
      <c r="B3967" s="170" t="s">
        <v>16804</v>
      </c>
      <c r="C3967" s="170" t="s">
        <v>205</v>
      </c>
      <c r="D3967" s="170" t="s">
        <v>2067</v>
      </c>
      <c r="E3967" s="171" t="s">
        <v>19352</v>
      </c>
      <c r="F3967" s="171" t="s">
        <v>12104</v>
      </c>
      <c r="G3967" s="82"/>
      <c r="H3967" s="96">
        <f t="shared" si="244"/>
        <v>13.39</v>
      </c>
      <c r="I3967" s="96">
        <f t="shared" si="244"/>
        <v>13.98</v>
      </c>
      <c r="J3967" s="91" t="str">
        <f t="shared" si="245"/>
        <v>Sinapi 89719</v>
      </c>
      <c r="K3967" s="91" t="str">
        <f t="shared" si="246"/>
        <v>UN</v>
      </c>
      <c r="L3967" s="166" t="str">
        <f t="shared" si="247"/>
        <v>06/2022</v>
      </c>
      <c r="M3967" s="82"/>
      <c r="N3967" s="82"/>
    </row>
    <row r="3968" spans="1:14" x14ac:dyDescent="0.25">
      <c r="A3968" s="170" t="s">
        <v>6730</v>
      </c>
      <c r="B3968" s="170" t="s">
        <v>16805</v>
      </c>
      <c r="C3968" s="170" t="s">
        <v>205</v>
      </c>
      <c r="D3968" s="170" t="s">
        <v>2067</v>
      </c>
      <c r="E3968" s="171" t="s">
        <v>28501</v>
      </c>
      <c r="F3968" s="171" t="s">
        <v>27134</v>
      </c>
      <c r="G3968" s="82"/>
      <c r="H3968" s="96">
        <f t="shared" si="244"/>
        <v>15.28</v>
      </c>
      <c r="I3968" s="96">
        <f t="shared" si="244"/>
        <v>15.87</v>
      </c>
      <c r="J3968" s="91" t="str">
        <f t="shared" si="245"/>
        <v>Sinapi 89720</v>
      </c>
      <c r="K3968" s="91" t="str">
        <f t="shared" si="246"/>
        <v>UN</v>
      </c>
      <c r="L3968" s="166" t="str">
        <f t="shared" si="247"/>
        <v>06/2022</v>
      </c>
      <c r="M3968" s="82"/>
      <c r="N3968" s="82"/>
    </row>
    <row r="3969" spans="1:14" x14ac:dyDescent="0.25">
      <c r="A3969" s="170" t="s">
        <v>6732</v>
      </c>
      <c r="B3969" s="170" t="s">
        <v>16806</v>
      </c>
      <c r="C3969" s="170" t="s">
        <v>205</v>
      </c>
      <c r="D3969" s="170" t="s">
        <v>2067</v>
      </c>
      <c r="E3969" s="171" t="s">
        <v>4684</v>
      </c>
      <c r="F3969" s="171" t="s">
        <v>11446</v>
      </c>
      <c r="G3969" s="82"/>
      <c r="H3969" s="96">
        <f t="shared" si="244"/>
        <v>16.78</v>
      </c>
      <c r="I3969" s="96">
        <f t="shared" si="244"/>
        <v>17.37</v>
      </c>
      <c r="J3969" s="91" t="str">
        <f t="shared" si="245"/>
        <v>Sinapi 89721</v>
      </c>
      <c r="K3969" s="91" t="str">
        <f t="shared" si="246"/>
        <v>UN</v>
      </c>
      <c r="L3969" s="166" t="str">
        <f t="shared" si="247"/>
        <v>06/2022</v>
      </c>
      <c r="M3969" s="82"/>
      <c r="N3969" s="82"/>
    </row>
    <row r="3970" spans="1:14" x14ac:dyDescent="0.25">
      <c r="A3970" s="170" t="s">
        <v>6733</v>
      </c>
      <c r="B3970" s="170" t="s">
        <v>16807</v>
      </c>
      <c r="C3970" s="170" t="s">
        <v>205</v>
      </c>
      <c r="D3970" s="170" t="s">
        <v>2067</v>
      </c>
      <c r="E3970" s="171" t="s">
        <v>20058</v>
      </c>
      <c r="F3970" s="171" t="s">
        <v>21183</v>
      </c>
      <c r="G3970" s="82"/>
      <c r="H3970" s="96">
        <f t="shared" si="244"/>
        <v>21.13</v>
      </c>
      <c r="I3970" s="96">
        <f t="shared" si="244"/>
        <v>21.83</v>
      </c>
      <c r="J3970" s="91" t="str">
        <f t="shared" si="245"/>
        <v>Sinapi 89723</v>
      </c>
      <c r="K3970" s="91" t="str">
        <f t="shared" si="246"/>
        <v>UN</v>
      </c>
      <c r="L3970" s="166" t="str">
        <f t="shared" si="247"/>
        <v>06/2022</v>
      </c>
      <c r="M3970" s="82"/>
      <c r="N3970" s="82"/>
    </row>
    <row r="3971" spans="1:14" x14ac:dyDescent="0.25">
      <c r="A3971" s="170" t="s">
        <v>6734</v>
      </c>
      <c r="B3971" s="170" t="s">
        <v>17492</v>
      </c>
      <c r="C3971" s="170" t="s">
        <v>205</v>
      </c>
      <c r="D3971" s="170" t="s">
        <v>2067</v>
      </c>
      <c r="E3971" s="171" t="s">
        <v>23092</v>
      </c>
      <c r="F3971" s="171" t="s">
        <v>2146</v>
      </c>
      <c r="G3971" s="82"/>
      <c r="H3971" s="96">
        <f t="shared" si="244"/>
        <v>9.41</v>
      </c>
      <c r="I3971" s="96">
        <f t="shared" si="244"/>
        <v>10.02</v>
      </c>
      <c r="J3971" s="91" t="str">
        <f t="shared" si="245"/>
        <v>Sinapi 89724</v>
      </c>
      <c r="K3971" s="91" t="str">
        <f t="shared" si="246"/>
        <v>UN</v>
      </c>
      <c r="L3971" s="166" t="str">
        <f t="shared" si="247"/>
        <v>08/2022</v>
      </c>
      <c r="M3971" s="82"/>
      <c r="N3971" s="82"/>
    </row>
    <row r="3972" spans="1:14" x14ac:dyDescent="0.25">
      <c r="A3972" s="170" t="s">
        <v>6735</v>
      </c>
      <c r="B3972" s="170" t="s">
        <v>16808</v>
      </c>
      <c r="C3972" s="170" t="s">
        <v>205</v>
      </c>
      <c r="D3972" s="170" t="s">
        <v>2067</v>
      </c>
      <c r="E3972" s="171" t="s">
        <v>17132</v>
      </c>
      <c r="F3972" s="171" t="s">
        <v>22000</v>
      </c>
      <c r="G3972" s="82"/>
      <c r="H3972" s="96">
        <f t="shared" si="244"/>
        <v>20.350000000000001</v>
      </c>
      <c r="I3972" s="96">
        <f t="shared" si="244"/>
        <v>21.05</v>
      </c>
      <c r="J3972" s="91" t="str">
        <f t="shared" si="245"/>
        <v>Sinapi 89725</v>
      </c>
      <c r="K3972" s="91" t="str">
        <f t="shared" si="246"/>
        <v>UN</v>
      </c>
      <c r="L3972" s="166" t="str">
        <f t="shared" si="247"/>
        <v>06/2022</v>
      </c>
      <c r="M3972" s="82"/>
      <c r="N3972" s="82"/>
    </row>
    <row r="3973" spans="1:14" x14ac:dyDescent="0.25">
      <c r="A3973" s="170" t="s">
        <v>6736</v>
      </c>
      <c r="B3973" s="170" t="s">
        <v>17493</v>
      </c>
      <c r="C3973" s="170" t="s">
        <v>205</v>
      </c>
      <c r="D3973" s="170" t="s">
        <v>2067</v>
      </c>
      <c r="E3973" s="171" t="s">
        <v>19304</v>
      </c>
      <c r="F3973" s="171" t="s">
        <v>33881</v>
      </c>
      <c r="G3973" s="82"/>
      <c r="H3973" s="96">
        <f t="shared" si="244"/>
        <v>9.64</v>
      </c>
      <c r="I3973" s="96">
        <f t="shared" si="244"/>
        <v>10.25</v>
      </c>
      <c r="J3973" s="91" t="str">
        <f t="shared" si="245"/>
        <v>Sinapi 89726</v>
      </c>
      <c r="K3973" s="91" t="str">
        <f t="shared" si="246"/>
        <v>UN</v>
      </c>
      <c r="L3973" s="166" t="str">
        <f t="shared" si="247"/>
        <v>08/2022</v>
      </c>
      <c r="M3973" s="82"/>
      <c r="N3973" s="82"/>
    </row>
    <row r="3974" spans="1:14" x14ac:dyDescent="0.25">
      <c r="A3974" s="170" t="s">
        <v>6737</v>
      </c>
      <c r="B3974" s="170" t="s">
        <v>16809</v>
      </c>
      <c r="C3974" s="170" t="s">
        <v>205</v>
      </c>
      <c r="D3974" s="170" t="s">
        <v>2067</v>
      </c>
      <c r="E3974" s="171" t="s">
        <v>21561</v>
      </c>
      <c r="F3974" s="171" t="s">
        <v>21510</v>
      </c>
      <c r="G3974" s="82"/>
      <c r="H3974" s="96">
        <f t="shared" si="244"/>
        <v>26.23</v>
      </c>
      <c r="I3974" s="96">
        <f t="shared" si="244"/>
        <v>26.93</v>
      </c>
      <c r="J3974" s="91" t="str">
        <f t="shared" si="245"/>
        <v>Sinapi 89727</v>
      </c>
      <c r="K3974" s="91" t="str">
        <f t="shared" si="246"/>
        <v>UN</v>
      </c>
      <c r="L3974" s="166" t="str">
        <f t="shared" si="247"/>
        <v>06/2022</v>
      </c>
      <c r="M3974" s="82"/>
      <c r="N3974" s="82"/>
    </row>
    <row r="3975" spans="1:14" x14ac:dyDescent="0.25">
      <c r="A3975" s="170" t="s">
        <v>6738</v>
      </c>
      <c r="B3975" s="170" t="s">
        <v>17494</v>
      </c>
      <c r="C3975" s="170" t="s">
        <v>205</v>
      </c>
      <c r="D3975" s="170" t="s">
        <v>2067</v>
      </c>
      <c r="E3975" s="171" t="s">
        <v>22023</v>
      </c>
      <c r="F3975" s="171" t="s">
        <v>15636</v>
      </c>
      <c r="G3975" s="82"/>
      <c r="H3975" s="96">
        <f t="shared" si="244"/>
        <v>12.35</v>
      </c>
      <c r="I3975" s="96">
        <f t="shared" si="244"/>
        <v>12.96</v>
      </c>
      <c r="J3975" s="91" t="str">
        <f t="shared" si="245"/>
        <v>Sinapi 89728</v>
      </c>
      <c r="K3975" s="91" t="str">
        <f t="shared" si="246"/>
        <v>UN</v>
      </c>
      <c r="L3975" s="166" t="str">
        <f t="shared" si="247"/>
        <v>08/2022</v>
      </c>
      <c r="M3975" s="82"/>
      <c r="N3975" s="82"/>
    </row>
    <row r="3976" spans="1:14" x14ac:dyDescent="0.25">
      <c r="A3976" s="170" t="s">
        <v>6739</v>
      </c>
      <c r="B3976" s="170" t="s">
        <v>16810</v>
      </c>
      <c r="C3976" s="170" t="s">
        <v>205</v>
      </c>
      <c r="D3976" s="170" t="s">
        <v>2067</v>
      </c>
      <c r="E3976" s="171" t="s">
        <v>18693</v>
      </c>
      <c r="F3976" s="171" t="s">
        <v>28600</v>
      </c>
      <c r="G3976" s="82"/>
      <c r="H3976" s="96">
        <f t="shared" ref="H3976:I4039" si="248">IF(E3976="","",E3976+0)</f>
        <v>32.04</v>
      </c>
      <c r="I3976" s="96">
        <f t="shared" si="248"/>
        <v>32.85</v>
      </c>
      <c r="J3976" s="91" t="str">
        <f t="shared" ref="J3976:J4039" si="249">IF(OR(H3976="",I3976=""),"",TRIM(CONCATENATE("Sinapi ",A3976)))</f>
        <v>Sinapi 89729</v>
      </c>
      <c r="K3976" s="91" t="str">
        <f t="shared" ref="K3976:K4039" si="250">TRIM(C3976)</f>
        <v>UN</v>
      </c>
      <c r="L3976" s="166" t="str">
        <f t="shared" ref="L3976:L4039" si="251">IF(OR(RIGHT(IF(AND(K3976&lt;&gt;"H",K3976&lt;&gt;"MES"),RIGHT(B3976,7),""),2)="PS",RIGHT(IF(AND(K3976&lt;&gt;"H",K3976&lt;&gt;"MES"),RIGHT(B3976,7),""),2)="PA",RIGHT(IF(AND(K3976&lt;&gt;"H",K3976&lt;&gt;"MES"),RIGHT(B3976,7),""),2)="PE"),LEFT(IF(AND(K3976&lt;&gt;"H",K3976&lt;&gt;"MES"),RIGHT(B3976,10),""),7),IF(AND(K3976&lt;&gt;"H",K3976&lt;&gt;"MES"),RIGHT(B3976,7),""))</f>
        <v>06/2022</v>
      </c>
      <c r="M3976" s="82"/>
      <c r="N3976" s="82"/>
    </row>
    <row r="3977" spans="1:14" x14ac:dyDescent="0.25">
      <c r="A3977" s="170" t="s">
        <v>6740</v>
      </c>
      <c r="B3977" s="170" t="s">
        <v>17495</v>
      </c>
      <c r="C3977" s="170" t="s">
        <v>205</v>
      </c>
      <c r="D3977" s="170" t="s">
        <v>2067</v>
      </c>
      <c r="E3977" s="171" t="s">
        <v>13754</v>
      </c>
      <c r="F3977" s="171" t="s">
        <v>28654</v>
      </c>
      <c r="G3977" s="82"/>
      <c r="H3977" s="96">
        <f t="shared" si="248"/>
        <v>14.25</v>
      </c>
      <c r="I3977" s="96">
        <f t="shared" si="248"/>
        <v>14.86</v>
      </c>
      <c r="J3977" s="91" t="str">
        <f t="shared" si="249"/>
        <v>Sinapi 89730</v>
      </c>
      <c r="K3977" s="91" t="str">
        <f t="shared" si="250"/>
        <v>UN</v>
      </c>
      <c r="L3977" s="166" t="str">
        <f t="shared" si="251"/>
        <v>08/2022</v>
      </c>
      <c r="M3977" s="82"/>
      <c r="N3977" s="82"/>
    </row>
    <row r="3978" spans="1:14" x14ac:dyDescent="0.25">
      <c r="A3978" s="170" t="s">
        <v>6741</v>
      </c>
      <c r="B3978" s="170" t="s">
        <v>17496</v>
      </c>
      <c r="C3978" s="170" t="s">
        <v>205</v>
      </c>
      <c r="D3978" s="170" t="s">
        <v>2067</v>
      </c>
      <c r="E3978" s="171" t="s">
        <v>14630</v>
      </c>
      <c r="F3978" s="171" t="s">
        <v>20094</v>
      </c>
      <c r="G3978" s="82"/>
      <c r="H3978" s="96">
        <f t="shared" si="248"/>
        <v>15.94</v>
      </c>
      <c r="I3978" s="96">
        <f t="shared" si="248"/>
        <v>16.579999999999998</v>
      </c>
      <c r="J3978" s="91" t="str">
        <f t="shared" si="249"/>
        <v>Sinapi 89731</v>
      </c>
      <c r="K3978" s="91" t="str">
        <f t="shared" si="250"/>
        <v>UN</v>
      </c>
      <c r="L3978" s="166" t="str">
        <f t="shared" si="251"/>
        <v>08/2022</v>
      </c>
      <c r="M3978" s="82"/>
      <c r="N3978" s="82"/>
    </row>
    <row r="3979" spans="1:14" x14ac:dyDescent="0.25">
      <c r="A3979" s="170" t="s">
        <v>6742</v>
      </c>
      <c r="B3979" s="170" t="s">
        <v>17497</v>
      </c>
      <c r="C3979" s="170" t="s">
        <v>205</v>
      </c>
      <c r="D3979" s="170" t="s">
        <v>2067</v>
      </c>
      <c r="E3979" s="171" t="s">
        <v>15551</v>
      </c>
      <c r="F3979" s="171" t="s">
        <v>15552</v>
      </c>
      <c r="G3979" s="82"/>
      <c r="H3979" s="96">
        <f t="shared" si="248"/>
        <v>16.670000000000002</v>
      </c>
      <c r="I3979" s="96">
        <f t="shared" si="248"/>
        <v>17.309999999999999</v>
      </c>
      <c r="J3979" s="91" t="str">
        <f t="shared" si="249"/>
        <v>Sinapi 89732</v>
      </c>
      <c r="K3979" s="91" t="str">
        <f t="shared" si="250"/>
        <v>UN</v>
      </c>
      <c r="L3979" s="166" t="str">
        <f t="shared" si="251"/>
        <v>08/2022</v>
      </c>
      <c r="M3979" s="82"/>
      <c r="N3979" s="82"/>
    </row>
    <row r="3980" spans="1:14" x14ac:dyDescent="0.25">
      <c r="A3980" s="170" t="s">
        <v>6743</v>
      </c>
      <c r="B3980" s="170" t="s">
        <v>17498</v>
      </c>
      <c r="C3980" s="170" t="s">
        <v>205</v>
      </c>
      <c r="D3980" s="170" t="s">
        <v>2067</v>
      </c>
      <c r="E3980" s="171" t="s">
        <v>21059</v>
      </c>
      <c r="F3980" s="171" t="s">
        <v>17973</v>
      </c>
      <c r="G3980" s="82"/>
      <c r="H3980" s="96">
        <f t="shared" si="248"/>
        <v>24.43</v>
      </c>
      <c r="I3980" s="96">
        <f t="shared" si="248"/>
        <v>25.07</v>
      </c>
      <c r="J3980" s="91" t="str">
        <f t="shared" si="249"/>
        <v>Sinapi 89733</v>
      </c>
      <c r="K3980" s="91" t="str">
        <f t="shared" si="250"/>
        <v>UN</v>
      </c>
      <c r="L3980" s="166" t="str">
        <f t="shared" si="251"/>
        <v>08/2022</v>
      </c>
      <c r="M3980" s="82"/>
      <c r="N3980" s="82"/>
    </row>
    <row r="3981" spans="1:14" x14ac:dyDescent="0.25">
      <c r="A3981" s="170" t="s">
        <v>6744</v>
      </c>
      <c r="B3981" s="170" t="s">
        <v>16811</v>
      </c>
      <c r="C3981" s="170" t="s">
        <v>205</v>
      </c>
      <c r="D3981" s="170" t="s">
        <v>2067</v>
      </c>
      <c r="E3981" s="171" t="s">
        <v>33537</v>
      </c>
      <c r="F3981" s="171" t="s">
        <v>29366</v>
      </c>
      <c r="G3981" s="82"/>
      <c r="H3981" s="96">
        <f t="shared" si="248"/>
        <v>30.11</v>
      </c>
      <c r="I3981" s="96">
        <f t="shared" si="248"/>
        <v>30.92</v>
      </c>
      <c r="J3981" s="91" t="str">
        <f t="shared" si="249"/>
        <v>Sinapi 89734</v>
      </c>
      <c r="K3981" s="91" t="str">
        <f t="shared" si="250"/>
        <v>UN</v>
      </c>
      <c r="L3981" s="166" t="str">
        <f t="shared" si="251"/>
        <v>06/2022</v>
      </c>
      <c r="M3981" s="82"/>
      <c r="N3981" s="82"/>
    </row>
    <row r="3982" spans="1:14" x14ac:dyDescent="0.25">
      <c r="A3982" s="170" t="s">
        <v>6745</v>
      </c>
      <c r="B3982" s="170" t="s">
        <v>17499</v>
      </c>
      <c r="C3982" s="170" t="s">
        <v>205</v>
      </c>
      <c r="D3982" s="170" t="s">
        <v>2067</v>
      </c>
      <c r="E3982" s="171" t="s">
        <v>23302</v>
      </c>
      <c r="F3982" s="171" t="s">
        <v>20249</v>
      </c>
      <c r="G3982" s="82"/>
      <c r="H3982" s="96">
        <f t="shared" si="248"/>
        <v>26.63</v>
      </c>
      <c r="I3982" s="96">
        <f t="shared" si="248"/>
        <v>27.27</v>
      </c>
      <c r="J3982" s="91" t="str">
        <f t="shared" si="249"/>
        <v>Sinapi 89735</v>
      </c>
      <c r="K3982" s="91" t="str">
        <f t="shared" si="250"/>
        <v>UN</v>
      </c>
      <c r="L3982" s="166" t="str">
        <f t="shared" si="251"/>
        <v>08/2022</v>
      </c>
      <c r="M3982" s="82"/>
      <c r="N3982" s="82"/>
    </row>
    <row r="3983" spans="1:14" x14ac:dyDescent="0.25">
      <c r="A3983" s="170" t="s">
        <v>6746</v>
      </c>
      <c r="B3983" s="170" t="s">
        <v>16812</v>
      </c>
      <c r="C3983" s="170" t="s">
        <v>205</v>
      </c>
      <c r="D3983" s="170" t="s">
        <v>2067</v>
      </c>
      <c r="E3983" s="171" t="s">
        <v>17135</v>
      </c>
      <c r="F3983" s="171" t="s">
        <v>34250</v>
      </c>
      <c r="G3983" s="82"/>
      <c r="H3983" s="96">
        <f t="shared" si="248"/>
        <v>9.4</v>
      </c>
      <c r="I3983" s="96">
        <f t="shared" si="248"/>
        <v>9.7899999999999991</v>
      </c>
      <c r="J3983" s="91" t="str">
        <f t="shared" si="249"/>
        <v>Sinapi 89736</v>
      </c>
      <c r="K3983" s="91" t="str">
        <f t="shared" si="250"/>
        <v>UN</v>
      </c>
      <c r="L3983" s="166" t="str">
        <f t="shared" si="251"/>
        <v>06/2022</v>
      </c>
      <c r="M3983" s="82"/>
      <c r="N3983" s="82"/>
    </row>
    <row r="3984" spans="1:14" x14ac:dyDescent="0.25">
      <c r="A3984" s="170" t="s">
        <v>6747</v>
      </c>
      <c r="B3984" s="170" t="s">
        <v>17500</v>
      </c>
      <c r="C3984" s="170" t="s">
        <v>205</v>
      </c>
      <c r="D3984" s="170" t="s">
        <v>2067</v>
      </c>
      <c r="E3984" s="171" t="s">
        <v>19935</v>
      </c>
      <c r="F3984" s="171" t="s">
        <v>36790</v>
      </c>
      <c r="G3984" s="82"/>
      <c r="H3984" s="96">
        <f t="shared" si="248"/>
        <v>24.41</v>
      </c>
      <c r="I3984" s="96">
        <f t="shared" si="248"/>
        <v>25.18</v>
      </c>
      <c r="J3984" s="91" t="str">
        <f t="shared" si="249"/>
        <v>Sinapi 89737</v>
      </c>
      <c r="K3984" s="91" t="str">
        <f t="shared" si="250"/>
        <v>UN</v>
      </c>
      <c r="L3984" s="166" t="str">
        <f t="shared" si="251"/>
        <v>08/2022</v>
      </c>
      <c r="M3984" s="82"/>
      <c r="N3984" s="82"/>
    </row>
    <row r="3985" spans="1:14" x14ac:dyDescent="0.25">
      <c r="A3985" s="170" t="s">
        <v>6749</v>
      </c>
      <c r="B3985" s="170" t="s">
        <v>6750</v>
      </c>
      <c r="C3985" s="170" t="s">
        <v>205</v>
      </c>
      <c r="D3985" s="170" t="s">
        <v>2067</v>
      </c>
      <c r="E3985" s="171" t="s">
        <v>15687</v>
      </c>
      <c r="F3985" s="171" t="s">
        <v>19405</v>
      </c>
      <c r="G3985" s="82"/>
      <c r="H3985" s="96">
        <f t="shared" si="248"/>
        <v>18.440000000000001</v>
      </c>
      <c r="I3985" s="96">
        <f t="shared" si="248"/>
        <v>18.829999999999998</v>
      </c>
      <c r="J3985" s="91" t="str">
        <f t="shared" si="249"/>
        <v>Sinapi 89738</v>
      </c>
      <c r="K3985" s="91" t="str">
        <f t="shared" si="250"/>
        <v>UN</v>
      </c>
      <c r="L3985" s="166" t="str">
        <f t="shared" si="251"/>
        <v>12/2014</v>
      </c>
      <c r="M3985" s="82"/>
      <c r="N3985" s="82"/>
    </row>
    <row r="3986" spans="1:14" x14ac:dyDescent="0.25">
      <c r="A3986" s="170" t="s">
        <v>6751</v>
      </c>
      <c r="B3986" s="170" t="s">
        <v>17501</v>
      </c>
      <c r="C3986" s="170" t="s">
        <v>205</v>
      </c>
      <c r="D3986" s="170" t="s">
        <v>2067</v>
      </c>
      <c r="E3986" s="171" t="s">
        <v>30047</v>
      </c>
      <c r="F3986" s="171" t="s">
        <v>21091</v>
      </c>
      <c r="G3986" s="82"/>
      <c r="H3986" s="96">
        <f t="shared" si="248"/>
        <v>25.39</v>
      </c>
      <c r="I3986" s="96">
        <f t="shared" si="248"/>
        <v>26.16</v>
      </c>
      <c r="J3986" s="91" t="str">
        <f t="shared" si="249"/>
        <v>Sinapi 89739</v>
      </c>
      <c r="K3986" s="91" t="str">
        <f t="shared" si="250"/>
        <v>UN</v>
      </c>
      <c r="L3986" s="166" t="str">
        <f t="shared" si="251"/>
        <v>08/2022</v>
      </c>
      <c r="M3986" s="82"/>
      <c r="N3986" s="82"/>
    </row>
    <row r="3987" spans="1:14" x14ac:dyDescent="0.25">
      <c r="A3987" s="170" t="s">
        <v>6752</v>
      </c>
      <c r="B3987" s="170" t="s">
        <v>16813</v>
      </c>
      <c r="C3987" s="170" t="s">
        <v>205</v>
      </c>
      <c r="D3987" s="170" t="s">
        <v>2067</v>
      </c>
      <c r="E3987" s="171" t="s">
        <v>20028</v>
      </c>
      <c r="F3987" s="171" t="s">
        <v>22811</v>
      </c>
      <c r="G3987" s="82"/>
      <c r="H3987" s="96">
        <f t="shared" si="248"/>
        <v>9.51</v>
      </c>
      <c r="I3987" s="96">
        <f t="shared" si="248"/>
        <v>9.93</v>
      </c>
      <c r="J3987" s="91" t="str">
        <f t="shared" si="249"/>
        <v>Sinapi 89740</v>
      </c>
      <c r="K3987" s="91" t="str">
        <f t="shared" si="250"/>
        <v>UN</v>
      </c>
      <c r="L3987" s="166" t="str">
        <f t="shared" si="251"/>
        <v>06/2022</v>
      </c>
      <c r="M3987" s="82"/>
      <c r="N3987" s="82"/>
    </row>
    <row r="3988" spans="1:14" x14ac:dyDescent="0.25">
      <c r="A3988" s="170" t="s">
        <v>6753</v>
      </c>
      <c r="B3988" s="170" t="s">
        <v>16814</v>
      </c>
      <c r="C3988" s="170" t="s">
        <v>205</v>
      </c>
      <c r="D3988" s="170" t="s">
        <v>2067</v>
      </c>
      <c r="E3988" s="171" t="s">
        <v>21198</v>
      </c>
      <c r="F3988" s="171" t="s">
        <v>13850</v>
      </c>
      <c r="G3988" s="82"/>
      <c r="H3988" s="96">
        <f t="shared" si="248"/>
        <v>25.87</v>
      </c>
      <c r="I3988" s="96">
        <f t="shared" si="248"/>
        <v>26.26</v>
      </c>
      <c r="J3988" s="91" t="str">
        <f t="shared" si="249"/>
        <v>Sinapi 89741</v>
      </c>
      <c r="K3988" s="91" t="str">
        <f t="shared" si="250"/>
        <v>UN</v>
      </c>
      <c r="L3988" s="166" t="str">
        <f t="shared" si="251"/>
        <v>06/2022</v>
      </c>
      <c r="M3988" s="82"/>
      <c r="N3988" s="82"/>
    </row>
    <row r="3989" spans="1:14" x14ac:dyDescent="0.25">
      <c r="A3989" s="170" t="s">
        <v>6754</v>
      </c>
      <c r="B3989" s="170" t="s">
        <v>17502</v>
      </c>
      <c r="C3989" s="170" t="s">
        <v>205</v>
      </c>
      <c r="D3989" s="170" t="s">
        <v>2067</v>
      </c>
      <c r="E3989" s="171" t="s">
        <v>29360</v>
      </c>
      <c r="F3989" s="171" t="s">
        <v>33688</v>
      </c>
      <c r="G3989" s="82"/>
      <c r="H3989" s="96">
        <f t="shared" si="248"/>
        <v>41.56</v>
      </c>
      <c r="I3989" s="96">
        <f t="shared" si="248"/>
        <v>42.33</v>
      </c>
      <c r="J3989" s="91" t="str">
        <f t="shared" si="249"/>
        <v>Sinapi 89742</v>
      </c>
      <c r="K3989" s="91" t="str">
        <f t="shared" si="250"/>
        <v>UN</v>
      </c>
      <c r="L3989" s="166" t="str">
        <f t="shared" si="251"/>
        <v>08/2022</v>
      </c>
      <c r="M3989" s="82"/>
      <c r="N3989" s="82"/>
    </row>
    <row r="3990" spans="1:14" x14ac:dyDescent="0.25">
      <c r="A3990" s="170" t="s">
        <v>6755</v>
      </c>
      <c r="B3990" s="170" t="s">
        <v>17503</v>
      </c>
      <c r="C3990" s="170" t="s">
        <v>205</v>
      </c>
      <c r="D3990" s="170" t="s">
        <v>2067</v>
      </c>
      <c r="E3990" s="171" t="s">
        <v>21103</v>
      </c>
      <c r="F3990" s="171" t="s">
        <v>21972</v>
      </c>
      <c r="G3990" s="82"/>
      <c r="H3990" s="96">
        <f t="shared" si="248"/>
        <v>62.23</v>
      </c>
      <c r="I3990" s="96">
        <f t="shared" si="248"/>
        <v>63</v>
      </c>
      <c r="J3990" s="91" t="str">
        <f t="shared" si="249"/>
        <v>Sinapi 89743</v>
      </c>
      <c r="K3990" s="91" t="str">
        <f t="shared" si="250"/>
        <v>UN</v>
      </c>
      <c r="L3990" s="166" t="str">
        <f t="shared" si="251"/>
        <v>08/2022</v>
      </c>
      <c r="M3990" s="82"/>
      <c r="N3990" s="82"/>
    </row>
    <row r="3991" spans="1:14" x14ac:dyDescent="0.25">
      <c r="A3991" s="170" t="s">
        <v>6756</v>
      </c>
      <c r="B3991" s="170" t="s">
        <v>17504</v>
      </c>
      <c r="C3991" s="170" t="s">
        <v>205</v>
      </c>
      <c r="D3991" s="170" t="s">
        <v>2067</v>
      </c>
      <c r="E3991" s="171" t="s">
        <v>23179</v>
      </c>
      <c r="F3991" s="171" t="s">
        <v>23250</v>
      </c>
      <c r="G3991" s="82"/>
      <c r="H3991" s="96">
        <f t="shared" si="248"/>
        <v>29.86</v>
      </c>
      <c r="I3991" s="96">
        <f t="shared" si="248"/>
        <v>30.76</v>
      </c>
      <c r="J3991" s="91" t="str">
        <f t="shared" si="249"/>
        <v>Sinapi 89744</v>
      </c>
      <c r="K3991" s="91" t="str">
        <f t="shared" si="250"/>
        <v>UN</v>
      </c>
      <c r="L3991" s="166" t="str">
        <f t="shared" si="251"/>
        <v>08/2022</v>
      </c>
      <c r="M3991" s="82"/>
      <c r="N3991" s="82"/>
    </row>
    <row r="3992" spans="1:14" x14ac:dyDescent="0.25">
      <c r="A3992" s="170" t="s">
        <v>6757</v>
      </c>
      <c r="B3992" s="170" t="s">
        <v>17505</v>
      </c>
      <c r="C3992" s="170" t="s">
        <v>205</v>
      </c>
      <c r="D3992" s="170" t="s">
        <v>2067</v>
      </c>
      <c r="E3992" s="171" t="s">
        <v>21347</v>
      </c>
      <c r="F3992" s="171" t="s">
        <v>31112</v>
      </c>
      <c r="G3992" s="82"/>
      <c r="H3992" s="96">
        <f t="shared" si="248"/>
        <v>30.7</v>
      </c>
      <c r="I3992" s="96">
        <f t="shared" si="248"/>
        <v>31.6</v>
      </c>
      <c r="J3992" s="91" t="str">
        <f t="shared" si="249"/>
        <v>Sinapi 89746</v>
      </c>
      <c r="K3992" s="91" t="str">
        <f t="shared" si="250"/>
        <v>UN</v>
      </c>
      <c r="L3992" s="166" t="str">
        <f t="shared" si="251"/>
        <v>08/2022</v>
      </c>
      <c r="M3992" s="82"/>
      <c r="N3992" s="82"/>
    </row>
    <row r="3993" spans="1:14" x14ac:dyDescent="0.25">
      <c r="A3993" s="170" t="s">
        <v>6758</v>
      </c>
      <c r="B3993" s="170" t="s">
        <v>16815</v>
      </c>
      <c r="C3993" s="170" t="s">
        <v>205</v>
      </c>
      <c r="D3993" s="170" t="s">
        <v>2067</v>
      </c>
      <c r="E3993" s="171" t="s">
        <v>31325</v>
      </c>
      <c r="F3993" s="171" t="s">
        <v>19390</v>
      </c>
      <c r="G3993" s="82"/>
      <c r="H3993" s="96">
        <f t="shared" si="248"/>
        <v>33.49</v>
      </c>
      <c r="I3993" s="96">
        <f t="shared" si="248"/>
        <v>33.880000000000003</v>
      </c>
      <c r="J3993" s="91" t="str">
        <f t="shared" si="249"/>
        <v>Sinapi 89747</v>
      </c>
      <c r="K3993" s="91" t="str">
        <f t="shared" si="250"/>
        <v>UN</v>
      </c>
      <c r="L3993" s="166" t="str">
        <f t="shared" si="251"/>
        <v>06/2022</v>
      </c>
      <c r="M3993" s="82"/>
      <c r="N3993" s="82"/>
    </row>
    <row r="3994" spans="1:14" x14ac:dyDescent="0.25">
      <c r="A3994" s="170" t="s">
        <v>6759</v>
      </c>
      <c r="B3994" s="170" t="s">
        <v>17506</v>
      </c>
      <c r="C3994" s="170" t="s">
        <v>205</v>
      </c>
      <c r="D3994" s="170" t="s">
        <v>2067</v>
      </c>
      <c r="E3994" s="171" t="s">
        <v>33590</v>
      </c>
      <c r="F3994" s="171" t="s">
        <v>28519</v>
      </c>
      <c r="G3994" s="82"/>
      <c r="H3994" s="96">
        <f t="shared" si="248"/>
        <v>44.97</v>
      </c>
      <c r="I3994" s="96">
        <f t="shared" si="248"/>
        <v>45.87</v>
      </c>
      <c r="J3994" s="91" t="str">
        <f t="shared" si="249"/>
        <v>Sinapi 89748</v>
      </c>
      <c r="K3994" s="91" t="str">
        <f t="shared" si="250"/>
        <v>UN</v>
      </c>
      <c r="L3994" s="166" t="str">
        <f t="shared" si="251"/>
        <v>08/2022</v>
      </c>
      <c r="M3994" s="82"/>
      <c r="N3994" s="82"/>
    </row>
    <row r="3995" spans="1:14" x14ac:dyDescent="0.25">
      <c r="A3995" s="170" t="s">
        <v>6760</v>
      </c>
      <c r="B3995" s="170" t="s">
        <v>16816</v>
      </c>
      <c r="C3995" s="170" t="s">
        <v>205</v>
      </c>
      <c r="D3995" s="170" t="s">
        <v>2067</v>
      </c>
      <c r="E3995" s="171" t="s">
        <v>16373</v>
      </c>
      <c r="F3995" s="171" t="s">
        <v>11183</v>
      </c>
      <c r="G3995" s="82"/>
      <c r="H3995" s="96">
        <f t="shared" si="248"/>
        <v>18.36</v>
      </c>
      <c r="I3995" s="96">
        <f t="shared" si="248"/>
        <v>18.75</v>
      </c>
      <c r="J3995" s="91" t="str">
        <f t="shared" si="249"/>
        <v>Sinapi 89749</v>
      </c>
      <c r="K3995" s="91" t="str">
        <f t="shared" si="250"/>
        <v>UN</v>
      </c>
      <c r="L3995" s="166" t="str">
        <f t="shared" si="251"/>
        <v>06/2022</v>
      </c>
      <c r="M3995" s="82"/>
      <c r="N3995" s="82"/>
    </row>
    <row r="3996" spans="1:14" x14ac:dyDescent="0.25">
      <c r="A3996" s="170" t="s">
        <v>6761</v>
      </c>
      <c r="B3996" s="170" t="s">
        <v>17507</v>
      </c>
      <c r="C3996" s="170" t="s">
        <v>205</v>
      </c>
      <c r="D3996" s="170" t="s">
        <v>2067</v>
      </c>
      <c r="E3996" s="171" t="s">
        <v>33591</v>
      </c>
      <c r="F3996" s="171" t="s">
        <v>36791</v>
      </c>
      <c r="G3996" s="82"/>
      <c r="H3996" s="96">
        <f t="shared" si="248"/>
        <v>80.17</v>
      </c>
      <c r="I3996" s="96">
        <f t="shared" si="248"/>
        <v>81.069999999999993</v>
      </c>
      <c r="J3996" s="91" t="str">
        <f t="shared" si="249"/>
        <v>Sinapi 89750</v>
      </c>
      <c r="K3996" s="91" t="str">
        <f t="shared" si="250"/>
        <v>UN</v>
      </c>
      <c r="L3996" s="166" t="str">
        <f t="shared" si="251"/>
        <v>08/2022</v>
      </c>
      <c r="M3996" s="82"/>
      <c r="N3996" s="82"/>
    </row>
    <row r="3997" spans="1:14" x14ac:dyDescent="0.25">
      <c r="A3997" s="170" t="s">
        <v>6762</v>
      </c>
      <c r="B3997" s="170" t="s">
        <v>17508</v>
      </c>
      <c r="C3997" s="170" t="s">
        <v>205</v>
      </c>
      <c r="D3997" s="170" t="s">
        <v>2067</v>
      </c>
      <c r="E3997" s="171" t="s">
        <v>33592</v>
      </c>
      <c r="F3997" s="171" t="s">
        <v>21706</v>
      </c>
      <c r="G3997" s="82"/>
      <c r="H3997" s="96">
        <f t="shared" si="248"/>
        <v>7.16</v>
      </c>
      <c r="I3997" s="96">
        <f t="shared" si="248"/>
        <v>7.56</v>
      </c>
      <c r="J3997" s="91" t="str">
        <f t="shared" si="249"/>
        <v>Sinapi 89752</v>
      </c>
      <c r="K3997" s="91" t="str">
        <f t="shared" si="250"/>
        <v>UN</v>
      </c>
      <c r="L3997" s="166" t="str">
        <f t="shared" si="251"/>
        <v>08/2022</v>
      </c>
      <c r="M3997" s="82"/>
      <c r="N3997" s="82"/>
    </row>
    <row r="3998" spans="1:14" x14ac:dyDescent="0.25">
      <c r="A3998" s="170" t="s">
        <v>6763</v>
      </c>
      <c r="B3998" s="170" t="s">
        <v>17509</v>
      </c>
      <c r="C3998" s="170" t="s">
        <v>205</v>
      </c>
      <c r="D3998" s="170" t="s">
        <v>2067</v>
      </c>
      <c r="E3998" s="171" t="s">
        <v>30801</v>
      </c>
      <c r="F3998" s="171" t="s">
        <v>17364</v>
      </c>
      <c r="G3998" s="82"/>
      <c r="H3998" s="96">
        <f t="shared" si="248"/>
        <v>8.6999999999999993</v>
      </c>
      <c r="I3998" s="96">
        <f t="shared" si="248"/>
        <v>9.14</v>
      </c>
      <c r="J3998" s="91" t="str">
        <f t="shared" si="249"/>
        <v>Sinapi 89753</v>
      </c>
      <c r="K3998" s="91" t="str">
        <f t="shared" si="250"/>
        <v>UN</v>
      </c>
      <c r="L3998" s="166" t="str">
        <f t="shared" si="251"/>
        <v>08/2022</v>
      </c>
      <c r="M3998" s="82"/>
      <c r="N3998" s="82"/>
    </row>
    <row r="3999" spans="1:14" x14ac:dyDescent="0.25">
      <c r="A3999" s="170" t="s">
        <v>6764</v>
      </c>
      <c r="B3999" s="170" t="s">
        <v>17510</v>
      </c>
      <c r="C3999" s="170" t="s">
        <v>205</v>
      </c>
      <c r="D3999" s="170" t="s">
        <v>2067</v>
      </c>
      <c r="E3999" s="171" t="s">
        <v>18423</v>
      </c>
      <c r="F3999" s="171" t="s">
        <v>34244</v>
      </c>
      <c r="G3999" s="82"/>
      <c r="H3999" s="96">
        <f t="shared" si="248"/>
        <v>22.28</v>
      </c>
      <c r="I3999" s="96">
        <f t="shared" si="248"/>
        <v>22.72</v>
      </c>
      <c r="J3999" s="91" t="str">
        <f t="shared" si="249"/>
        <v>Sinapi 89754</v>
      </c>
      <c r="K3999" s="91" t="str">
        <f t="shared" si="250"/>
        <v>UN</v>
      </c>
      <c r="L3999" s="166" t="str">
        <f t="shared" si="251"/>
        <v>08/2022</v>
      </c>
      <c r="M3999" s="82"/>
      <c r="N3999" s="82"/>
    </row>
    <row r="4000" spans="1:14" x14ac:dyDescent="0.25">
      <c r="A4000" s="170" t="s">
        <v>6765</v>
      </c>
      <c r="B4000" s="170" t="s">
        <v>16817</v>
      </c>
      <c r="C4000" s="170" t="s">
        <v>205</v>
      </c>
      <c r="D4000" s="170" t="s">
        <v>2067</v>
      </c>
      <c r="E4000" s="171" t="s">
        <v>16150</v>
      </c>
      <c r="F4000" s="171" t="s">
        <v>11608</v>
      </c>
      <c r="G4000" s="82"/>
      <c r="H4000" s="96">
        <f t="shared" si="248"/>
        <v>14.55</v>
      </c>
      <c r="I4000" s="96">
        <f t="shared" si="248"/>
        <v>15.02</v>
      </c>
      <c r="J4000" s="91" t="str">
        <f t="shared" si="249"/>
        <v>Sinapi 89755</v>
      </c>
      <c r="K4000" s="91" t="str">
        <f t="shared" si="250"/>
        <v>UN</v>
      </c>
      <c r="L4000" s="166" t="str">
        <f t="shared" si="251"/>
        <v>06/2022</v>
      </c>
      <c r="M4000" s="82"/>
      <c r="N4000" s="82"/>
    </row>
    <row r="4001" spans="1:14" x14ac:dyDescent="0.25">
      <c r="A4001" s="170" t="s">
        <v>6766</v>
      </c>
      <c r="B4001" s="170" t="s">
        <v>16818</v>
      </c>
      <c r="C4001" s="170" t="s">
        <v>205</v>
      </c>
      <c r="D4001" s="170" t="s">
        <v>2067</v>
      </c>
      <c r="E4001" s="171" t="s">
        <v>19368</v>
      </c>
      <c r="F4001" s="171" t="s">
        <v>13850</v>
      </c>
      <c r="G4001" s="82"/>
      <c r="H4001" s="96">
        <f t="shared" si="248"/>
        <v>25.79</v>
      </c>
      <c r="I4001" s="96">
        <f t="shared" si="248"/>
        <v>26.26</v>
      </c>
      <c r="J4001" s="91" t="str">
        <f t="shared" si="249"/>
        <v>Sinapi 89756</v>
      </c>
      <c r="K4001" s="91" t="str">
        <f t="shared" si="250"/>
        <v>UN</v>
      </c>
      <c r="L4001" s="166" t="str">
        <f t="shared" si="251"/>
        <v>06/2022</v>
      </c>
      <c r="M4001" s="82"/>
      <c r="N4001" s="82"/>
    </row>
    <row r="4002" spans="1:14" x14ac:dyDescent="0.25">
      <c r="A4002" s="170" t="s">
        <v>6767</v>
      </c>
      <c r="B4002" s="170" t="s">
        <v>16819</v>
      </c>
      <c r="C4002" s="170" t="s">
        <v>205</v>
      </c>
      <c r="D4002" s="170" t="s">
        <v>2067</v>
      </c>
      <c r="E4002" s="171" t="s">
        <v>28688</v>
      </c>
      <c r="F4002" s="171" t="s">
        <v>23151</v>
      </c>
      <c r="G4002" s="82"/>
      <c r="H4002" s="96">
        <f t="shared" si="248"/>
        <v>33.92</v>
      </c>
      <c r="I4002" s="96">
        <f t="shared" si="248"/>
        <v>34.39</v>
      </c>
      <c r="J4002" s="91" t="str">
        <f t="shared" si="249"/>
        <v>Sinapi 89757</v>
      </c>
      <c r="K4002" s="91" t="str">
        <f t="shared" si="250"/>
        <v>UN</v>
      </c>
      <c r="L4002" s="166" t="str">
        <f t="shared" si="251"/>
        <v>06/2022</v>
      </c>
      <c r="M4002" s="82"/>
      <c r="N4002" s="82"/>
    </row>
    <row r="4003" spans="1:14" x14ac:dyDescent="0.25">
      <c r="A4003" s="170" t="s">
        <v>6768</v>
      </c>
      <c r="B4003" s="170" t="s">
        <v>16820</v>
      </c>
      <c r="C4003" s="170" t="s">
        <v>205</v>
      </c>
      <c r="D4003" s="170" t="s">
        <v>2067</v>
      </c>
      <c r="E4003" s="171" t="s">
        <v>33593</v>
      </c>
      <c r="F4003" s="171" t="s">
        <v>22858</v>
      </c>
      <c r="G4003" s="82"/>
      <c r="H4003" s="96">
        <f t="shared" si="248"/>
        <v>41.9</v>
      </c>
      <c r="I4003" s="96">
        <f t="shared" si="248"/>
        <v>42.34</v>
      </c>
      <c r="J4003" s="91" t="str">
        <f t="shared" si="249"/>
        <v>Sinapi 89758</v>
      </c>
      <c r="K4003" s="91" t="str">
        <f t="shared" si="250"/>
        <v>UN</v>
      </c>
      <c r="L4003" s="166" t="str">
        <f t="shared" si="251"/>
        <v>06/2022</v>
      </c>
      <c r="M4003" s="82"/>
      <c r="N4003" s="82"/>
    </row>
    <row r="4004" spans="1:14" x14ac:dyDescent="0.25">
      <c r="A4004" s="170" t="s">
        <v>6769</v>
      </c>
      <c r="B4004" s="170" t="s">
        <v>16821</v>
      </c>
      <c r="C4004" s="170" t="s">
        <v>205</v>
      </c>
      <c r="D4004" s="170" t="s">
        <v>2067</v>
      </c>
      <c r="E4004" s="171" t="s">
        <v>13432</v>
      </c>
      <c r="F4004" s="171" t="s">
        <v>22015</v>
      </c>
      <c r="G4004" s="82"/>
      <c r="H4004" s="96">
        <f t="shared" si="248"/>
        <v>12.22</v>
      </c>
      <c r="I4004" s="96">
        <f t="shared" si="248"/>
        <v>12.64</v>
      </c>
      <c r="J4004" s="91" t="str">
        <f t="shared" si="249"/>
        <v>Sinapi 89759</v>
      </c>
      <c r="K4004" s="91" t="str">
        <f t="shared" si="250"/>
        <v>UN</v>
      </c>
      <c r="L4004" s="166" t="str">
        <f t="shared" si="251"/>
        <v>06/2022</v>
      </c>
      <c r="M4004" s="82"/>
      <c r="N4004" s="82"/>
    </row>
    <row r="4005" spans="1:14" x14ac:dyDescent="0.25">
      <c r="A4005" s="170" t="s">
        <v>6770</v>
      </c>
      <c r="B4005" s="170" t="s">
        <v>16822</v>
      </c>
      <c r="C4005" s="170" t="s">
        <v>205</v>
      </c>
      <c r="D4005" s="170" t="s">
        <v>2067</v>
      </c>
      <c r="E4005" s="171" t="s">
        <v>20100</v>
      </c>
      <c r="F4005" s="171" t="s">
        <v>25914</v>
      </c>
      <c r="G4005" s="82"/>
      <c r="H4005" s="96">
        <f t="shared" si="248"/>
        <v>24.06</v>
      </c>
      <c r="I4005" s="96">
        <f t="shared" si="248"/>
        <v>24.61</v>
      </c>
      <c r="J4005" s="91" t="str">
        <f t="shared" si="249"/>
        <v>Sinapi 89760</v>
      </c>
      <c r="K4005" s="91" t="str">
        <f t="shared" si="250"/>
        <v>UN</v>
      </c>
      <c r="L4005" s="166" t="str">
        <f t="shared" si="251"/>
        <v>06/2022</v>
      </c>
      <c r="M4005" s="82"/>
      <c r="N4005" s="82"/>
    </row>
    <row r="4006" spans="1:14" x14ac:dyDescent="0.25">
      <c r="A4006" s="170" t="s">
        <v>6771</v>
      </c>
      <c r="B4006" s="170" t="s">
        <v>16823</v>
      </c>
      <c r="C4006" s="170" t="s">
        <v>205</v>
      </c>
      <c r="D4006" s="170" t="s">
        <v>2067</v>
      </c>
      <c r="E4006" s="171" t="s">
        <v>33594</v>
      </c>
      <c r="F4006" s="171" t="s">
        <v>21464</v>
      </c>
      <c r="G4006" s="82"/>
      <c r="H4006" s="96">
        <f t="shared" si="248"/>
        <v>34.67</v>
      </c>
      <c r="I4006" s="96">
        <f t="shared" si="248"/>
        <v>35.22</v>
      </c>
      <c r="J4006" s="91" t="str">
        <f t="shared" si="249"/>
        <v>Sinapi 89761</v>
      </c>
      <c r="K4006" s="91" t="str">
        <f t="shared" si="250"/>
        <v>UN</v>
      </c>
      <c r="L4006" s="166" t="str">
        <f t="shared" si="251"/>
        <v>06/2022</v>
      </c>
      <c r="M4006" s="82"/>
      <c r="N4006" s="82"/>
    </row>
    <row r="4007" spans="1:14" x14ac:dyDescent="0.25">
      <c r="A4007" s="170" t="s">
        <v>6772</v>
      </c>
      <c r="B4007" s="170" t="s">
        <v>16824</v>
      </c>
      <c r="C4007" s="170" t="s">
        <v>205</v>
      </c>
      <c r="D4007" s="170" t="s">
        <v>2067</v>
      </c>
      <c r="E4007" s="171" t="s">
        <v>33595</v>
      </c>
      <c r="F4007" s="171" t="s">
        <v>22987</v>
      </c>
      <c r="G4007" s="82"/>
      <c r="H4007" s="96">
        <f t="shared" si="248"/>
        <v>49.86</v>
      </c>
      <c r="I4007" s="96">
        <f t="shared" si="248"/>
        <v>50.41</v>
      </c>
      <c r="J4007" s="91" t="str">
        <f t="shared" si="249"/>
        <v>Sinapi 89762</v>
      </c>
      <c r="K4007" s="91" t="str">
        <f t="shared" si="250"/>
        <v>UN</v>
      </c>
      <c r="L4007" s="166" t="str">
        <f t="shared" si="251"/>
        <v>06/2022</v>
      </c>
      <c r="M4007" s="82"/>
      <c r="N4007" s="82"/>
    </row>
    <row r="4008" spans="1:14" x14ac:dyDescent="0.25">
      <c r="A4008" s="170" t="s">
        <v>6773</v>
      </c>
      <c r="B4008" s="170" t="s">
        <v>16825</v>
      </c>
      <c r="C4008" s="170" t="s">
        <v>205</v>
      </c>
      <c r="D4008" s="170" t="s">
        <v>2067</v>
      </c>
      <c r="E4008" s="171" t="s">
        <v>33596</v>
      </c>
      <c r="F4008" s="171" t="s">
        <v>34270</v>
      </c>
      <c r="G4008" s="82"/>
      <c r="H4008" s="96">
        <f t="shared" si="248"/>
        <v>63.94</v>
      </c>
      <c r="I4008" s="96">
        <f t="shared" si="248"/>
        <v>64.48</v>
      </c>
      <c r="J4008" s="91" t="str">
        <f t="shared" si="249"/>
        <v>Sinapi 89763</v>
      </c>
      <c r="K4008" s="91" t="str">
        <f t="shared" si="250"/>
        <v>UN</v>
      </c>
      <c r="L4008" s="166" t="str">
        <f t="shared" si="251"/>
        <v>06/2022</v>
      </c>
      <c r="M4008" s="82"/>
      <c r="N4008" s="82"/>
    </row>
    <row r="4009" spans="1:14" x14ac:dyDescent="0.25">
      <c r="A4009" s="170" t="s">
        <v>6774</v>
      </c>
      <c r="B4009" s="170" t="s">
        <v>16826</v>
      </c>
      <c r="C4009" s="170" t="s">
        <v>205</v>
      </c>
      <c r="D4009" s="170" t="s">
        <v>2067</v>
      </c>
      <c r="E4009" s="171" t="s">
        <v>22098</v>
      </c>
      <c r="F4009" s="171" t="s">
        <v>34572</v>
      </c>
      <c r="G4009" s="82"/>
      <c r="H4009" s="96">
        <f t="shared" si="248"/>
        <v>42</v>
      </c>
      <c r="I4009" s="96">
        <f t="shared" si="248"/>
        <v>42.5</v>
      </c>
      <c r="J4009" s="91" t="str">
        <f t="shared" si="249"/>
        <v>Sinapi 89764</v>
      </c>
      <c r="K4009" s="91" t="str">
        <f t="shared" si="250"/>
        <v>UN</v>
      </c>
      <c r="L4009" s="166" t="str">
        <f t="shared" si="251"/>
        <v>06/2022</v>
      </c>
      <c r="M4009" s="82"/>
      <c r="N4009" s="82"/>
    </row>
    <row r="4010" spans="1:14" x14ac:dyDescent="0.25">
      <c r="A4010" s="170" t="s">
        <v>6775</v>
      </c>
      <c r="B4010" s="170" t="s">
        <v>16827</v>
      </c>
      <c r="C4010" s="170" t="s">
        <v>205</v>
      </c>
      <c r="D4010" s="170" t="s">
        <v>2067</v>
      </c>
      <c r="E4010" s="171" t="s">
        <v>17398</v>
      </c>
      <c r="F4010" s="171" t="s">
        <v>34967</v>
      </c>
      <c r="G4010" s="82"/>
      <c r="H4010" s="96">
        <f t="shared" si="248"/>
        <v>17.329999999999998</v>
      </c>
      <c r="I4010" s="96">
        <f t="shared" si="248"/>
        <v>18.11</v>
      </c>
      <c r="J4010" s="91" t="str">
        <f t="shared" si="249"/>
        <v>Sinapi 89765</v>
      </c>
      <c r="K4010" s="91" t="str">
        <f t="shared" si="250"/>
        <v>UN</v>
      </c>
      <c r="L4010" s="166" t="str">
        <f t="shared" si="251"/>
        <v>06/2022</v>
      </c>
      <c r="M4010" s="82"/>
      <c r="N4010" s="82"/>
    </row>
    <row r="4011" spans="1:14" x14ac:dyDescent="0.25">
      <c r="A4011" s="170" t="s">
        <v>6776</v>
      </c>
      <c r="B4011" s="170" t="s">
        <v>16828</v>
      </c>
      <c r="C4011" s="170" t="s">
        <v>205</v>
      </c>
      <c r="D4011" s="170" t="s">
        <v>2067</v>
      </c>
      <c r="E4011" s="171" t="s">
        <v>17885</v>
      </c>
      <c r="F4011" s="171" t="s">
        <v>33017</v>
      </c>
      <c r="G4011" s="82"/>
      <c r="H4011" s="96">
        <f t="shared" si="248"/>
        <v>22.37</v>
      </c>
      <c r="I4011" s="96">
        <f t="shared" si="248"/>
        <v>23.15</v>
      </c>
      <c r="J4011" s="91" t="str">
        <f t="shared" si="249"/>
        <v>Sinapi 89767</v>
      </c>
      <c r="K4011" s="91" t="str">
        <f t="shared" si="250"/>
        <v>UN</v>
      </c>
      <c r="L4011" s="166" t="str">
        <f t="shared" si="251"/>
        <v>06/2022</v>
      </c>
      <c r="M4011" s="82"/>
      <c r="N4011" s="82"/>
    </row>
    <row r="4012" spans="1:14" x14ac:dyDescent="0.25">
      <c r="A4012" s="170" t="s">
        <v>6777</v>
      </c>
      <c r="B4012" s="170" t="s">
        <v>16829</v>
      </c>
      <c r="C4012" s="170" t="s">
        <v>205</v>
      </c>
      <c r="D4012" s="170" t="s">
        <v>2067</v>
      </c>
      <c r="E4012" s="171" t="s">
        <v>20046</v>
      </c>
      <c r="F4012" s="171" t="s">
        <v>16306</v>
      </c>
      <c r="G4012" s="82"/>
      <c r="H4012" s="96">
        <f t="shared" si="248"/>
        <v>25.94</v>
      </c>
      <c r="I4012" s="96">
        <f t="shared" si="248"/>
        <v>26.87</v>
      </c>
      <c r="J4012" s="91" t="str">
        <f t="shared" si="249"/>
        <v>Sinapi 89768</v>
      </c>
      <c r="K4012" s="91" t="str">
        <f t="shared" si="250"/>
        <v>UN</v>
      </c>
      <c r="L4012" s="166" t="str">
        <f t="shared" si="251"/>
        <v>06/2022</v>
      </c>
      <c r="M4012" s="82"/>
      <c r="N4012" s="82"/>
    </row>
    <row r="4013" spans="1:14" x14ac:dyDescent="0.25">
      <c r="A4013" s="170" t="s">
        <v>6778</v>
      </c>
      <c r="B4013" s="170" t="s">
        <v>16830</v>
      </c>
      <c r="C4013" s="170" t="s">
        <v>205</v>
      </c>
      <c r="D4013" s="170" t="s">
        <v>2067</v>
      </c>
      <c r="E4013" s="171" t="s">
        <v>29126</v>
      </c>
      <c r="F4013" s="171" t="s">
        <v>21968</v>
      </c>
      <c r="G4013" s="82"/>
      <c r="H4013" s="96">
        <f t="shared" si="248"/>
        <v>61.46</v>
      </c>
      <c r="I4013" s="96">
        <f t="shared" si="248"/>
        <v>62.55</v>
      </c>
      <c r="J4013" s="91" t="str">
        <f t="shared" si="249"/>
        <v>Sinapi 89769</v>
      </c>
      <c r="K4013" s="91" t="str">
        <f t="shared" si="250"/>
        <v>UN</v>
      </c>
      <c r="L4013" s="166" t="str">
        <f t="shared" si="251"/>
        <v>06/2022</v>
      </c>
      <c r="M4013" s="82"/>
      <c r="N4013" s="82"/>
    </row>
    <row r="4014" spans="1:14" x14ac:dyDescent="0.25">
      <c r="A4014" s="170" t="s">
        <v>6779</v>
      </c>
      <c r="B4014" s="170" t="s">
        <v>16831</v>
      </c>
      <c r="C4014" s="170" t="s">
        <v>385</v>
      </c>
      <c r="D4014" s="170" t="s">
        <v>2067</v>
      </c>
      <c r="E4014" s="171" t="s">
        <v>32168</v>
      </c>
      <c r="F4014" s="171" t="s">
        <v>36792</v>
      </c>
      <c r="G4014" s="82"/>
      <c r="H4014" s="96">
        <f t="shared" si="248"/>
        <v>104.69</v>
      </c>
      <c r="I4014" s="96">
        <f t="shared" si="248"/>
        <v>104.86</v>
      </c>
      <c r="J4014" s="91" t="str">
        <f t="shared" si="249"/>
        <v>Sinapi 89772</v>
      </c>
      <c r="K4014" s="91" t="str">
        <f t="shared" si="250"/>
        <v>M</v>
      </c>
      <c r="L4014" s="166" t="str">
        <f t="shared" si="251"/>
        <v>06/2022</v>
      </c>
      <c r="M4014" s="82"/>
      <c r="N4014" s="82"/>
    </row>
    <row r="4015" spans="1:14" x14ac:dyDescent="0.25">
      <c r="A4015" s="170" t="s">
        <v>6780</v>
      </c>
      <c r="B4015" s="170" t="s">
        <v>17511</v>
      </c>
      <c r="C4015" s="170" t="s">
        <v>205</v>
      </c>
      <c r="D4015" s="170" t="s">
        <v>2067</v>
      </c>
      <c r="E4015" s="171" t="s">
        <v>15567</v>
      </c>
      <c r="F4015" s="171" t="s">
        <v>28576</v>
      </c>
      <c r="G4015" s="82"/>
      <c r="H4015" s="96">
        <f t="shared" si="248"/>
        <v>14.93</v>
      </c>
      <c r="I4015" s="96">
        <f t="shared" si="248"/>
        <v>15.45</v>
      </c>
      <c r="J4015" s="91" t="str">
        <f t="shared" si="249"/>
        <v>Sinapi 89774</v>
      </c>
      <c r="K4015" s="91" t="str">
        <f t="shared" si="250"/>
        <v>UN</v>
      </c>
      <c r="L4015" s="166" t="str">
        <f t="shared" si="251"/>
        <v>08/2022</v>
      </c>
      <c r="M4015" s="82"/>
      <c r="N4015" s="82"/>
    </row>
    <row r="4016" spans="1:14" x14ac:dyDescent="0.25">
      <c r="A4016" s="170" t="s">
        <v>6781</v>
      </c>
      <c r="B4016" s="170" t="s">
        <v>17512</v>
      </c>
      <c r="C4016" s="170" t="s">
        <v>205</v>
      </c>
      <c r="D4016" s="170" t="s">
        <v>2067</v>
      </c>
      <c r="E4016" s="171" t="s">
        <v>21026</v>
      </c>
      <c r="F4016" s="171" t="s">
        <v>31523</v>
      </c>
      <c r="G4016" s="82"/>
      <c r="H4016" s="96">
        <f t="shared" si="248"/>
        <v>27.73</v>
      </c>
      <c r="I4016" s="96">
        <f t="shared" si="248"/>
        <v>28.25</v>
      </c>
      <c r="J4016" s="91" t="str">
        <f t="shared" si="249"/>
        <v>Sinapi 89776</v>
      </c>
      <c r="K4016" s="91" t="str">
        <f t="shared" si="250"/>
        <v>UN</v>
      </c>
      <c r="L4016" s="166" t="str">
        <f t="shared" si="251"/>
        <v>08/2022</v>
      </c>
      <c r="M4016" s="82"/>
      <c r="N4016" s="82"/>
    </row>
    <row r="4017" spans="1:14" x14ac:dyDescent="0.25">
      <c r="A4017" s="170" t="s">
        <v>6782</v>
      </c>
      <c r="B4017" s="170" t="s">
        <v>16832</v>
      </c>
      <c r="C4017" s="170" t="s">
        <v>205</v>
      </c>
      <c r="D4017" s="170" t="s">
        <v>2067</v>
      </c>
      <c r="E4017" s="171" t="s">
        <v>23120</v>
      </c>
      <c r="F4017" s="171" t="s">
        <v>27683</v>
      </c>
      <c r="G4017" s="82"/>
      <c r="H4017" s="96">
        <f t="shared" si="248"/>
        <v>28.73</v>
      </c>
      <c r="I4017" s="96">
        <f t="shared" si="248"/>
        <v>29.17</v>
      </c>
      <c r="J4017" s="91" t="str">
        <f t="shared" si="249"/>
        <v>Sinapi 89777</v>
      </c>
      <c r="K4017" s="91" t="str">
        <f t="shared" si="250"/>
        <v>UN</v>
      </c>
      <c r="L4017" s="166" t="str">
        <f t="shared" si="251"/>
        <v>06/2022</v>
      </c>
      <c r="M4017" s="82"/>
      <c r="N4017" s="82"/>
    </row>
    <row r="4018" spans="1:14" x14ac:dyDescent="0.25">
      <c r="A4018" s="170" t="s">
        <v>6784</v>
      </c>
      <c r="B4018" s="170" t="s">
        <v>17513</v>
      </c>
      <c r="C4018" s="170" t="s">
        <v>205</v>
      </c>
      <c r="D4018" s="170" t="s">
        <v>2067</v>
      </c>
      <c r="E4018" s="171" t="s">
        <v>15712</v>
      </c>
      <c r="F4018" s="171" t="s">
        <v>16149</v>
      </c>
      <c r="G4018" s="82"/>
      <c r="H4018" s="96">
        <f t="shared" si="248"/>
        <v>17.260000000000002</v>
      </c>
      <c r="I4018" s="96">
        <f t="shared" si="248"/>
        <v>17.87</v>
      </c>
      <c r="J4018" s="91" t="str">
        <f t="shared" si="249"/>
        <v>Sinapi 89778</v>
      </c>
      <c r="K4018" s="91" t="str">
        <f t="shared" si="250"/>
        <v>UN</v>
      </c>
      <c r="L4018" s="166" t="str">
        <f t="shared" si="251"/>
        <v>08/2022</v>
      </c>
      <c r="M4018" s="82"/>
      <c r="N4018" s="82"/>
    </row>
    <row r="4019" spans="1:14" x14ac:dyDescent="0.25">
      <c r="A4019" s="170" t="s">
        <v>6785</v>
      </c>
      <c r="B4019" s="170" t="s">
        <v>17514</v>
      </c>
      <c r="C4019" s="170" t="s">
        <v>205</v>
      </c>
      <c r="D4019" s="170" t="s">
        <v>2067</v>
      </c>
      <c r="E4019" s="171" t="s">
        <v>29536</v>
      </c>
      <c r="F4019" s="171" t="s">
        <v>29172</v>
      </c>
      <c r="G4019" s="82"/>
      <c r="H4019" s="96">
        <f t="shared" si="248"/>
        <v>37.42</v>
      </c>
      <c r="I4019" s="96">
        <f t="shared" si="248"/>
        <v>38.03</v>
      </c>
      <c r="J4019" s="91" t="str">
        <f t="shared" si="249"/>
        <v>Sinapi 89779</v>
      </c>
      <c r="K4019" s="91" t="str">
        <f t="shared" si="250"/>
        <v>UN</v>
      </c>
      <c r="L4019" s="166" t="str">
        <f t="shared" si="251"/>
        <v>08/2022</v>
      </c>
      <c r="M4019" s="82"/>
      <c r="N4019" s="82"/>
    </row>
    <row r="4020" spans="1:14" x14ac:dyDescent="0.25">
      <c r="A4020" s="170" t="s">
        <v>6786</v>
      </c>
      <c r="B4020" s="170" t="s">
        <v>16833</v>
      </c>
      <c r="C4020" s="170" t="s">
        <v>205</v>
      </c>
      <c r="D4020" s="170" t="s">
        <v>2067</v>
      </c>
      <c r="E4020" s="171" t="s">
        <v>18720</v>
      </c>
      <c r="F4020" s="171" t="s">
        <v>16402</v>
      </c>
      <c r="G4020" s="82"/>
      <c r="H4020" s="96">
        <f t="shared" si="248"/>
        <v>26.8</v>
      </c>
      <c r="I4020" s="96">
        <f t="shared" si="248"/>
        <v>27.24</v>
      </c>
      <c r="J4020" s="91" t="str">
        <f t="shared" si="249"/>
        <v>Sinapi 89780</v>
      </c>
      <c r="K4020" s="91" t="str">
        <f t="shared" si="250"/>
        <v>UN</v>
      </c>
      <c r="L4020" s="166" t="str">
        <f t="shared" si="251"/>
        <v>06/2022</v>
      </c>
      <c r="M4020" s="82"/>
      <c r="N4020" s="82"/>
    </row>
    <row r="4021" spans="1:14" x14ac:dyDescent="0.25">
      <c r="A4021" s="170" t="s">
        <v>6787</v>
      </c>
      <c r="B4021" s="170" t="s">
        <v>16834</v>
      </c>
      <c r="C4021" s="170" t="s">
        <v>205</v>
      </c>
      <c r="D4021" s="170" t="s">
        <v>2067</v>
      </c>
      <c r="E4021" s="171" t="s">
        <v>25103</v>
      </c>
      <c r="F4021" s="171" t="s">
        <v>27538</v>
      </c>
      <c r="G4021" s="82"/>
      <c r="H4021" s="96">
        <f t="shared" si="248"/>
        <v>41.07</v>
      </c>
      <c r="I4021" s="96">
        <f t="shared" si="248"/>
        <v>41.59</v>
      </c>
      <c r="J4021" s="91" t="str">
        <f t="shared" si="249"/>
        <v>Sinapi 89781</v>
      </c>
      <c r="K4021" s="91" t="str">
        <f t="shared" si="250"/>
        <v>UN</v>
      </c>
      <c r="L4021" s="166" t="str">
        <f t="shared" si="251"/>
        <v>06/2022</v>
      </c>
      <c r="M4021" s="82"/>
      <c r="N4021" s="82"/>
    </row>
    <row r="4022" spans="1:14" x14ac:dyDescent="0.25">
      <c r="A4022" s="170" t="s">
        <v>6788</v>
      </c>
      <c r="B4022" s="170" t="s">
        <v>17515</v>
      </c>
      <c r="C4022" s="170" t="s">
        <v>205</v>
      </c>
      <c r="D4022" s="170" t="s">
        <v>2067</v>
      </c>
      <c r="E4022" s="171" t="s">
        <v>30197</v>
      </c>
      <c r="F4022" s="171" t="s">
        <v>12324</v>
      </c>
      <c r="G4022" s="82"/>
      <c r="H4022" s="96">
        <f t="shared" si="248"/>
        <v>13.77</v>
      </c>
      <c r="I4022" s="96">
        <f t="shared" si="248"/>
        <v>14.57</v>
      </c>
      <c r="J4022" s="91" t="str">
        <f t="shared" si="249"/>
        <v>Sinapi 89782</v>
      </c>
      <c r="K4022" s="91" t="str">
        <f t="shared" si="250"/>
        <v>UN</v>
      </c>
      <c r="L4022" s="166" t="str">
        <f t="shared" si="251"/>
        <v>08/2022</v>
      </c>
      <c r="M4022" s="82"/>
      <c r="N4022" s="82"/>
    </row>
    <row r="4023" spans="1:14" x14ac:dyDescent="0.25">
      <c r="A4023" s="170" t="s">
        <v>6789</v>
      </c>
      <c r="B4023" s="170" t="s">
        <v>17516</v>
      </c>
      <c r="C4023" s="170" t="s">
        <v>205</v>
      </c>
      <c r="D4023" s="170" t="s">
        <v>2067</v>
      </c>
      <c r="E4023" s="171" t="s">
        <v>13651</v>
      </c>
      <c r="F4023" s="171" t="s">
        <v>20359</v>
      </c>
      <c r="G4023" s="82"/>
      <c r="H4023" s="96">
        <f t="shared" si="248"/>
        <v>13.87</v>
      </c>
      <c r="I4023" s="96">
        <f t="shared" si="248"/>
        <v>14.67</v>
      </c>
      <c r="J4023" s="91" t="str">
        <f t="shared" si="249"/>
        <v>Sinapi 89783</v>
      </c>
      <c r="K4023" s="91" t="str">
        <f t="shared" si="250"/>
        <v>UN</v>
      </c>
      <c r="L4023" s="166" t="str">
        <f t="shared" si="251"/>
        <v>08/2022</v>
      </c>
      <c r="M4023" s="82"/>
      <c r="N4023" s="82"/>
    </row>
    <row r="4024" spans="1:14" x14ac:dyDescent="0.25">
      <c r="A4024" s="170" t="s">
        <v>6791</v>
      </c>
      <c r="B4024" s="170" t="s">
        <v>17517</v>
      </c>
      <c r="C4024" s="170" t="s">
        <v>205</v>
      </c>
      <c r="D4024" s="170" t="s">
        <v>2067</v>
      </c>
      <c r="E4024" s="171" t="s">
        <v>21466</v>
      </c>
      <c r="F4024" s="171" t="s">
        <v>21037</v>
      </c>
      <c r="G4024" s="82"/>
      <c r="H4024" s="96">
        <f t="shared" si="248"/>
        <v>25.89</v>
      </c>
      <c r="I4024" s="96">
        <f t="shared" si="248"/>
        <v>26.76</v>
      </c>
      <c r="J4024" s="91" t="str">
        <f t="shared" si="249"/>
        <v>Sinapi 89784</v>
      </c>
      <c r="K4024" s="91" t="str">
        <f t="shared" si="250"/>
        <v>UN</v>
      </c>
      <c r="L4024" s="166" t="str">
        <f t="shared" si="251"/>
        <v>08/2022</v>
      </c>
      <c r="M4024" s="82"/>
      <c r="N4024" s="82"/>
    </row>
    <row r="4025" spans="1:14" x14ac:dyDescent="0.25">
      <c r="A4025" s="170" t="s">
        <v>6792</v>
      </c>
      <c r="B4025" s="170" t="s">
        <v>17518</v>
      </c>
      <c r="C4025" s="170" t="s">
        <v>205</v>
      </c>
      <c r="D4025" s="170" t="s">
        <v>2067</v>
      </c>
      <c r="E4025" s="171" t="s">
        <v>31523</v>
      </c>
      <c r="F4025" s="171" t="s">
        <v>30066</v>
      </c>
      <c r="G4025" s="82"/>
      <c r="H4025" s="96">
        <f t="shared" si="248"/>
        <v>28.25</v>
      </c>
      <c r="I4025" s="96">
        <f t="shared" si="248"/>
        <v>29.12</v>
      </c>
      <c r="J4025" s="91" t="str">
        <f t="shared" si="249"/>
        <v>Sinapi 89785</v>
      </c>
      <c r="K4025" s="91" t="str">
        <f t="shared" si="250"/>
        <v>UN</v>
      </c>
      <c r="L4025" s="166" t="str">
        <f t="shared" si="251"/>
        <v>08/2022</v>
      </c>
      <c r="M4025" s="82"/>
      <c r="N4025" s="82"/>
    </row>
    <row r="4026" spans="1:14" x14ac:dyDescent="0.25">
      <c r="A4026" s="170" t="s">
        <v>6793</v>
      </c>
      <c r="B4026" s="170" t="s">
        <v>17519</v>
      </c>
      <c r="C4026" s="170" t="s">
        <v>205</v>
      </c>
      <c r="D4026" s="170" t="s">
        <v>2067</v>
      </c>
      <c r="E4026" s="171" t="s">
        <v>33597</v>
      </c>
      <c r="F4026" s="171" t="s">
        <v>33434</v>
      </c>
      <c r="G4026" s="82"/>
      <c r="H4026" s="96">
        <f t="shared" si="248"/>
        <v>41.71</v>
      </c>
      <c r="I4026" s="96">
        <f t="shared" si="248"/>
        <v>42.75</v>
      </c>
      <c r="J4026" s="91" t="str">
        <f t="shared" si="249"/>
        <v>Sinapi 89786</v>
      </c>
      <c r="K4026" s="91" t="str">
        <f t="shared" si="250"/>
        <v>UN</v>
      </c>
      <c r="L4026" s="166" t="str">
        <f t="shared" si="251"/>
        <v>08/2022</v>
      </c>
      <c r="M4026" s="82"/>
      <c r="N4026" s="82"/>
    </row>
    <row r="4027" spans="1:14" x14ac:dyDescent="0.25">
      <c r="A4027" s="170" t="s">
        <v>6794</v>
      </c>
      <c r="B4027" s="170" t="s">
        <v>16835</v>
      </c>
      <c r="C4027" s="170" t="s">
        <v>205</v>
      </c>
      <c r="D4027" s="170" t="s">
        <v>2067</v>
      </c>
      <c r="E4027" s="171" t="s">
        <v>32041</v>
      </c>
      <c r="F4027" s="171" t="s">
        <v>28861</v>
      </c>
      <c r="G4027" s="82"/>
      <c r="H4027" s="96">
        <f t="shared" si="248"/>
        <v>40.590000000000003</v>
      </c>
      <c r="I4027" s="96">
        <f t="shared" si="248"/>
        <v>41.11</v>
      </c>
      <c r="J4027" s="91" t="str">
        <f t="shared" si="249"/>
        <v>Sinapi 89787</v>
      </c>
      <c r="K4027" s="91" t="str">
        <f t="shared" si="250"/>
        <v>UN</v>
      </c>
      <c r="L4027" s="166" t="str">
        <f t="shared" si="251"/>
        <v>06/2022</v>
      </c>
      <c r="M4027" s="82"/>
      <c r="N4027" s="82"/>
    </row>
    <row r="4028" spans="1:14" x14ac:dyDescent="0.25">
      <c r="A4028" s="170" t="s">
        <v>6795</v>
      </c>
      <c r="B4028" s="170" t="s">
        <v>16836</v>
      </c>
      <c r="C4028" s="170" t="s">
        <v>205</v>
      </c>
      <c r="D4028" s="170" t="s">
        <v>2067</v>
      </c>
      <c r="E4028" s="171" t="s">
        <v>26966</v>
      </c>
      <c r="F4028" s="171" t="s">
        <v>36793</v>
      </c>
      <c r="G4028" s="82"/>
      <c r="H4028" s="96">
        <f t="shared" si="248"/>
        <v>90.79</v>
      </c>
      <c r="I4028" s="96">
        <f t="shared" si="248"/>
        <v>91.44</v>
      </c>
      <c r="J4028" s="91" t="str">
        <f t="shared" si="249"/>
        <v>Sinapi 89788</v>
      </c>
      <c r="K4028" s="91" t="str">
        <f t="shared" si="250"/>
        <v>UN</v>
      </c>
      <c r="L4028" s="166" t="str">
        <f t="shared" si="251"/>
        <v>06/2022</v>
      </c>
      <c r="M4028" s="82"/>
      <c r="N4028" s="82"/>
    </row>
    <row r="4029" spans="1:14" x14ac:dyDescent="0.25">
      <c r="A4029" s="170" t="s">
        <v>6796</v>
      </c>
      <c r="B4029" s="170" t="s">
        <v>16837</v>
      </c>
      <c r="C4029" s="170" t="s">
        <v>205</v>
      </c>
      <c r="D4029" s="170" t="s">
        <v>2067</v>
      </c>
      <c r="E4029" s="171" t="s">
        <v>33598</v>
      </c>
      <c r="F4029" s="171" t="s">
        <v>28698</v>
      </c>
      <c r="G4029" s="82"/>
      <c r="H4029" s="96">
        <f t="shared" si="248"/>
        <v>76.72</v>
      </c>
      <c r="I4029" s="96">
        <f t="shared" si="248"/>
        <v>77.37</v>
      </c>
      <c r="J4029" s="91" t="str">
        <f t="shared" si="249"/>
        <v>Sinapi 89789</v>
      </c>
      <c r="K4029" s="91" t="str">
        <f t="shared" si="250"/>
        <v>UN</v>
      </c>
      <c r="L4029" s="166" t="str">
        <f t="shared" si="251"/>
        <v>06/2022</v>
      </c>
      <c r="M4029" s="82"/>
      <c r="N4029" s="82"/>
    </row>
    <row r="4030" spans="1:14" x14ac:dyDescent="0.25">
      <c r="A4030" s="170" t="s">
        <v>6797</v>
      </c>
      <c r="B4030" s="170" t="s">
        <v>16838</v>
      </c>
      <c r="C4030" s="170" t="s">
        <v>205</v>
      </c>
      <c r="D4030" s="170" t="s">
        <v>2067</v>
      </c>
      <c r="E4030" s="171" t="s">
        <v>24657</v>
      </c>
      <c r="F4030" s="171" t="s">
        <v>28102</v>
      </c>
      <c r="G4030" s="82"/>
      <c r="H4030" s="96">
        <f t="shared" si="248"/>
        <v>182.97</v>
      </c>
      <c r="I4030" s="96">
        <f t="shared" si="248"/>
        <v>183.82</v>
      </c>
      <c r="J4030" s="91" t="str">
        <f t="shared" si="249"/>
        <v>Sinapi 89790</v>
      </c>
      <c r="K4030" s="91" t="str">
        <f t="shared" si="250"/>
        <v>UN</v>
      </c>
      <c r="L4030" s="166" t="str">
        <f t="shared" si="251"/>
        <v>06/2022</v>
      </c>
      <c r="M4030" s="82"/>
      <c r="N4030" s="82"/>
    </row>
    <row r="4031" spans="1:14" x14ac:dyDescent="0.25">
      <c r="A4031" s="170" t="s">
        <v>6798</v>
      </c>
      <c r="B4031" s="170" t="s">
        <v>16839</v>
      </c>
      <c r="C4031" s="170" t="s">
        <v>205</v>
      </c>
      <c r="D4031" s="170" t="s">
        <v>2067</v>
      </c>
      <c r="E4031" s="171" t="s">
        <v>28740</v>
      </c>
      <c r="F4031" s="171" t="s">
        <v>29283</v>
      </c>
      <c r="G4031" s="82"/>
      <c r="H4031" s="96">
        <f t="shared" si="248"/>
        <v>176.61</v>
      </c>
      <c r="I4031" s="96">
        <f t="shared" si="248"/>
        <v>177.46</v>
      </c>
      <c r="J4031" s="91" t="str">
        <f t="shared" si="249"/>
        <v>Sinapi 89791</v>
      </c>
      <c r="K4031" s="91" t="str">
        <f t="shared" si="250"/>
        <v>UN</v>
      </c>
      <c r="L4031" s="166" t="str">
        <f t="shared" si="251"/>
        <v>06/2022</v>
      </c>
      <c r="M4031" s="82"/>
      <c r="N4031" s="82"/>
    </row>
    <row r="4032" spans="1:14" x14ac:dyDescent="0.25">
      <c r="A4032" s="170" t="s">
        <v>6799</v>
      </c>
      <c r="B4032" s="170" t="s">
        <v>16840</v>
      </c>
      <c r="C4032" s="170" t="s">
        <v>205</v>
      </c>
      <c r="D4032" s="170" t="s">
        <v>2067</v>
      </c>
      <c r="E4032" s="171" t="s">
        <v>33599</v>
      </c>
      <c r="F4032" s="171" t="s">
        <v>36794</v>
      </c>
      <c r="G4032" s="82"/>
      <c r="H4032" s="96">
        <f t="shared" si="248"/>
        <v>216.2</v>
      </c>
      <c r="I4032" s="96">
        <f t="shared" si="248"/>
        <v>217.22</v>
      </c>
      <c r="J4032" s="91" t="str">
        <f t="shared" si="249"/>
        <v>Sinapi 89792</v>
      </c>
      <c r="K4032" s="91" t="str">
        <f t="shared" si="250"/>
        <v>UN</v>
      </c>
      <c r="L4032" s="166" t="str">
        <f t="shared" si="251"/>
        <v>06/2022</v>
      </c>
      <c r="M4032" s="82"/>
      <c r="N4032" s="82"/>
    </row>
    <row r="4033" spans="1:14" x14ac:dyDescent="0.25">
      <c r="A4033" s="170" t="s">
        <v>6800</v>
      </c>
      <c r="B4033" s="170" t="s">
        <v>16841</v>
      </c>
      <c r="C4033" s="170" t="s">
        <v>205</v>
      </c>
      <c r="D4033" s="170" t="s">
        <v>2067</v>
      </c>
      <c r="E4033" s="171" t="s">
        <v>33600</v>
      </c>
      <c r="F4033" s="171" t="s">
        <v>36795</v>
      </c>
      <c r="G4033" s="82"/>
      <c r="H4033" s="96">
        <f t="shared" si="248"/>
        <v>255.81</v>
      </c>
      <c r="I4033" s="96">
        <f t="shared" si="248"/>
        <v>256.83</v>
      </c>
      <c r="J4033" s="91" t="str">
        <f t="shared" si="249"/>
        <v>Sinapi 89793</v>
      </c>
      <c r="K4033" s="91" t="str">
        <f t="shared" si="250"/>
        <v>UN</v>
      </c>
      <c r="L4033" s="166" t="str">
        <f t="shared" si="251"/>
        <v>06/2022</v>
      </c>
      <c r="M4033" s="82"/>
      <c r="N4033" s="82"/>
    </row>
    <row r="4034" spans="1:14" x14ac:dyDescent="0.25">
      <c r="A4034" s="170" t="s">
        <v>6801</v>
      </c>
      <c r="B4034" s="170" t="s">
        <v>16842</v>
      </c>
      <c r="C4034" s="170" t="s">
        <v>205</v>
      </c>
      <c r="D4034" s="170" t="s">
        <v>2067</v>
      </c>
      <c r="E4034" s="171" t="s">
        <v>21537</v>
      </c>
      <c r="F4034" s="171" t="s">
        <v>15640</v>
      </c>
      <c r="G4034" s="82"/>
      <c r="H4034" s="96">
        <f t="shared" si="248"/>
        <v>21.88</v>
      </c>
      <c r="I4034" s="96">
        <f t="shared" si="248"/>
        <v>22.17</v>
      </c>
      <c r="J4034" s="91" t="str">
        <f t="shared" si="249"/>
        <v>Sinapi 89794</v>
      </c>
      <c r="K4034" s="91" t="str">
        <f t="shared" si="250"/>
        <v>UN</v>
      </c>
      <c r="L4034" s="166" t="str">
        <f t="shared" si="251"/>
        <v>06/2022</v>
      </c>
      <c r="M4034" s="82"/>
      <c r="N4034" s="82"/>
    </row>
    <row r="4035" spans="1:14" x14ac:dyDescent="0.25">
      <c r="A4035" s="170" t="s">
        <v>6802</v>
      </c>
      <c r="B4035" s="170" t="s">
        <v>17520</v>
      </c>
      <c r="C4035" s="170" t="s">
        <v>205</v>
      </c>
      <c r="D4035" s="170" t="s">
        <v>2067</v>
      </c>
      <c r="E4035" s="171" t="s">
        <v>33601</v>
      </c>
      <c r="F4035" s="171" t="s">
        <v>22800</v>
      </c>
      <c r="G4035" s="82"/>
      <c r="H4035" s="96">
        <f t="shared" si="248"/>
        <v>43.8</v>
      </c>
      <c r="I4035" s="96">
        <f t="shared" si="248"/>
        <v>44.84</v>
      </c>
      <c r="J4035" s="91" t="str">
        <f t="shared" si="249"/>
        <v>Sinapi 89795</v>
      </c>
      <c r="K4035" s="91" t="str">
        <f t="shared" si="250"/>
        <v>UN</v>
      </c>
      <c r="L4035" s="166" t="str">
        <f t="shared" si="251"/>
        <v>08/2022</v>
      </c>
      <c r="M4035" s="82"/>
      <c r="N4035" s="82"/>
    </row>
    <row r="4036" spans="1:14" x14ac:dyDescent="0.25">
      <c r="A4036" s="170" t="s">
        <v>6803</v>
      </c>
      <c r="B4036" s="170" t="s">
        <v>17521</v>
      </c>
      <c r="C4036" s="170" t="s">
        <v>205</v>
      </c>
      <c r="D4036" s="170" t="s">
        <v>2067</v>
      </c>
      <c r="E4036" s="171" t="s">
        <v>24028</v>
      </c>
      <c r="F4036" s="171" t="s">
        <v>36796</v>
      </c>
      <c r="G4036" s="82"/>
      <c r="H4036" s="96">
        <f t="shared" si="248"/>
        <v>47.02</v>
      </c>
      <c r="I4036" s="96">
        <f t="shared" si="248"/>
        <v>48.24</v>
      </c>
      <c r="J4036" s="91" t="str">
        <f t="shared" si="249"/>
        <v>Sinapi 89796</v>
      </c>
      <c r="K4036" s="91" t="str">
        <f t="shared" si="250"/>
        <v>UN</v>
      </c>
      <c r="L4036" s="166" t="str">
        <f t="shared" si="251"/>
        <v>08/2022</v>
      </c>
      <c r="M4036" s="82"/>
      <c r="N4036" s="82"/>
    </row>
    <row r="4037" spans="1:14" x14ac:dyDescent="0.25">
      <c r="A4037" s="170" t="s">
        <v>6804</v>
      </c>
      <c r="B4037" s="170" t="s">
        <v>17522</v>
      </c>
      <c r="C4037" s="170" t="s">
        <v>205</v>
      </c>
      <c r="D4037" s="170" t="s">
        <v>2067</v>
      </c>
      <c r="E4037" s="171" t="s">
        <v>19851</v>
      </c>
      <c r="F4037" s="171" t="s">
        <v>36797</v>
      </c>
      <c r="G4037" s="82"/>
      <c r="H4037" s="96">
        <f t="shared" si="248"/>
        <v>55.1</v>
      </c>
      <c r="I4037" s="96">
        <f t="shared" si="248"/>
        <v>56.32</v>
      </c>
      <c r="J4037" s="91" t="str">
        <f t="shared" si="249"/>
        <v>Sinapi 89797</v>
      </c>
      <c r="K4037" s="91" t="str">
        <f t="shared" si="250"/>
        <v>UN</v>
      </c>
      <c r="L4037" s="166" t="str">
        <f t="shared" si="251"/>
        <v>08/2022</v>
      </c>
      <c r="M4037" s="82"/>
      <c r="N4037" s="82"/>
    </row>
    <row r="4038" spans="1:14" x14ac:dyDescent="0.25">
      <c r="A4038" s="170" t="s">
        <v>6805</v>
      </c>
      <c r="B4038" s="170" t="s">
        <v>17523</v>
      </c>
      <c r="C4038" s="170" t="s">
        <v>205</v>
      </c>
      <c r="D4038" s="170" t="s">
        <v>2067</v>
      </c>
      <c r="E4038" s="171" t="s">
        <v>12332</v>
      </c>
      <c r="F4038" s="171" t="s">
        <v>17139</v>
      </c>
      <c r="G4038" s="82"/>
      <c r="H4038" s="96">
        <f t="shared" si="248"/>
        <v>11.67</v>
      </c>
      <c r="I4038" s="96">
        <f t="shared" si="248"/>
        <v>11.84</v>
      </c>
      <c r="J4038" s="91" t="str">
        <f t="shared" si="249"/>
        <v>Sinapi 89801</v>
      </c>
      <c r="K4038" s="91" t="str">
        <f t="shared" si="250"/>
        <v>UN</v>
      </c>
      <c r="L4038" s="166" t="str">
        <f t="shared" si="251"/>
        <v>08/2022</v>
      </c>
      <c r="M4038" s="82"/>
      <c r="N4038" s="82"/>
    </row>
    <row r="4039" spans="1:14" x14ac:dyDescent="0.25">
      <c r="A4039" s="170" t="s">
        <v>6806</v>
      </c>
      <c r="B4039" s="170" t="s">
        <v>17524</v>
      </c>
      <c r="C4039" s="170" t="s">
        <v>205</v>
      </c>
      <c r="D4039" s="170" t="s">
        <v>2067</v>
      </c>
      <c r="E4039" s="171" t="s">
        <v>9517</v>
      </c>
      <c r="F4039" s="171" t="s">
        <v>19345</v>
      </c>
      <c r="G4039" s="82"/>
      <c r="H4039" s="96">
        <f t="shared" si="248"/>
        <v>12.4</v>
      </c>
      <c r="I4039" s="96">
        <f t="shared" si="248"/>
        <v>12.57</v>
      </c>
      <c r="J4039" s="91" t="str">
        <f t="shared" si="249"/>
        <v>Sinapi 89802</v>
      </c>
      <c r="K4039" s="91" t="str">
        <f t="shared" si="250"/>
        <v>UN</v>
      </c>
      <c r="L4039" s="166" t="str">
        <f t="shared" si="251"/>
        <v>08/2022</v>
      </c>
      <c r="M4039" s="82"/>
      <c r="N4039" s="82"/>
    </row>
    <row r="4040" spans="1:14" x14ac:dyDescent="0.25">
      <c r="A4040" s="170" t="s">
        <v>6807</v>
      </c>
      <c r="B4040" s="170" t="s">
        <v>17525</v>
      </c>
      <c r="C4040" s="170" t="s">
        <v>205</v>
      </c>
      <c r="D4040" s="170" t="s">
        <v>2067</v>
      </c>
      <c r="E4040" s="171" t="s">
        <v>31671</v>
      </c>
      <c r="F4040" s="171" t="s">
        <v>28991</v>
      </c>
      <c r="G4040" s="82"/>
      <c r="H4040" s="96">
        <f t="shared" ref="H4040:I4103" si="252">IF(E4040="","",E4040+0)</f>
        <v>20.16</v>
      </c>
      <c r="I4040" s="96">
        <f t="shared" si="252"/>
        <v>20.329999999999998</v>
      </c>
      <c r="J4040" s="91" t="str">
        <f t="shared" ref="J4040:J4103" si="253">IF(OR(H4040="",I4040=""),"",TRIM(CONCATENATE("Sinapi ",A4040)))</f>
        <v>Sinapi 89803</v>
      </c>
      <c r="K4040" s="91" t="str">
        <f t="shared" ref="K4040:K4103" si="254">TRIM(C4040)</f>
        <v>UN</v>
      </c>
      <c r="L4040" s="166" t="str">
        <f t="shared" ref="L4040:L4103" si="255">IF(OR(RIGHT(IF(AND(K4040&lt;&gt;"H",K4040&lt;&gt;"MES"),RIGHT(B4040,7),""),2)="PS",RIGHT(IF(AND(K4040&lt;&gt;"H",K4040&lt;&gt;"MES"),RIGHT(B4040,7),""),2)="PA",RIGHT(IF(AND(K4040&lt;&gt;"H",K4040&lt;&gt;"MES"),RIGHT(B4040,7),""),2)="PE"),LEFT(IF(AND(K4040&lt;&gt;"H",K4040&lt;&gt;"MES"),RIGHT(B4040,10),""),7),IF(AND(K4040&lt;&gt;"H",K4040&lt;&gt;"MES"),RIGHT(B4040,7),""))</f>
        <v>08/2022</v>
      </c>
      <c r="M4040" s="82"/>
      <c r="N4040" s="82"/>
    </row>
    <row r="4041" spans="1:14" x14ac:dyDescent="0.25">
      <c r="A4041" s="170" t="s">
        <v>6808</v>
      </c>
      <c r="B4041" s="170" t="s">
        <v>17526</v>
      </c>
      <c r="C4041" s="170" t="s">
        <v>205</v>
      </c>
      <c r="D4041" s="170" t="s">
        <v>2067</v>
      </c>
      <c r="E4041" s="171" t="s">
        <v>28727</v>
      </c>
      <c r="F4041" s="171" t="s">
        <v>17345</v>
      </c>
      <c r="G4041" s="82"/>
      <c r="H4041" s="96">
        <f t="shared" si="252"/>
        <v>22.36</v>
      </c>
      <c r="I4041" s="96">
        <f t="shared" si="252"/>
        <v>22.53</v>
      </c>
      <c r="J4041" s="91" t="str">
        <f t="shared" si="253"/>
        <v>Sinapi 89804</v>
      </c>
      <c r="K4041" s="91" t="str">
        <f t="shared" si="254"/>
        <v>UN</v>
      </c>
      <c r="L4041" s="166" t="str">
        <f t="shared" si="255"/>
        <v>08/2022</v>
      </c>
      <c r="M4041" s="82"/>
      <c r="N4041" s="82"/>
    </row>
    <row r="4042" spans="1:14" x14ac:dyDescent="0.25">
      <c r="A4042" s="170" t="s">
        <v>6809</v>
      </c>
      <c r="B4042" s="170" t="s">
        <v>17527</v>
      </c>
      <c r="C4042" s="170" t="s">
        <v>205</v>
      </c>
      <c r="D4042" s="170" t="s">
        <v>2067</v>
      </c>
      <c r="E4042" s="171" t="s">
        <v>33375</v>
      </c>
      <c r="F4042" s="171" t="s">
        <v>32721</v>
      </c>
      <c r="G4042" s="82"/>
      <c r="H4042" s="96">
        <f t="shared" si="252"/>
        <v>22.78</v>
      </c>
      <c r="I4042" s="96">
        <f t="shared" si="252"/>
        <v>23.37</v>
      </c>
      <c r="J4042" s="91" t="str">
        <f t="shared" si="253"/>
        <v>Sinapi 89805</v>
      </c>
      <c r="K4042" s="91" t="str">
        <f t="shared" si="254"/>
        <v>UN</v>
      </c>
      <c r="L4042" s="166" t="str">
        <f t="shared" si="255"/>
        <v>08/2022</v>
      </c>
      <c r="M4042" s="82"/>
      <c r="N4042" s="82"/>
    </row>
    <row r="4043" spans="1:14" x14ac:dyDescent="0.25">
      <c r="A4043" s="170" t="s">
        <v>6810</v>
      </c>
      <c r="B4043" s="170" t="s">
        <v>17528</v>
      </c>
      <c r="C4043" s="170" t="s">
        <v>205</v>
      </c>
      <c r="D4043" s="170" t="s">
        <v>2067</v>
      </c>
      <c r="E4043" s="171" t="s">
        <v>21489</v>
      </c>
      <c r="F4043" s="171" t="s">
        <v>21199</v>
      </c>
      <c r="G4043" s="82"/>
      <c r="H4043" s="96">
        <f t="shared" si="252"/>
        <v>23.76</v>
      </c>
      <c r="I4043" s="96">
        <f t="shared" si="252"/>
        <v>24.35</v>
      </c>
      <c r="J4043" s="91" t="str">
        <f t="shared" si="253"/>
        <v>Sinapi 89806</v>
      </c>
      <c r="K4043" s="91" t="str">
        <f t="shared" si="254"/>
        <v>UN</v>
      </c>
      <c r="L4043" s="166" t="str">
        <f t="shared" si="255"/>
        <v>08/2022</v>
      </c>
      <c r="M4043" s="82"/>
      <c r="N4043" s="82"/>
    </row>
    <row r="4044" spans="1:14" x14ac:dyDescent="0.25">
      <c r="A4044" s="170" t="s">
        <v>6811</v>
      </c>
      <c r="B4044" s="170" t="s">
        <v>17530</v>
      </c>
      <c r="C4044" s="170" t="s">
        <v>205</v>
      </c>
      <c r="D4044" s="170" t="s">
        <v>2067</v>
      </c>
      <c r="E4044" s="171" t="s">
        <v>20624</v>
      </c>
      <c r="F4044" s="171" t="s">
        <v>36798</v>
      </c>
      <c r="G4044" s="82"/>
      <c r="H4044" s="96">
        <f t="shared" si="252"/>
        <v>39.93</v>
      </c>
      <c r="I4044" s="96">
        <f t="shared" si="252"/>
        <v>40.520000000000003</v>
      </c>
      <c r="J4044" s="91" t="str">
        <f t="shared" si="253"/>
        <v>Sinapi 89807</v>
      </c>
      <c r="K4044" s="91" t="str">
        <f t="shared" si="254"/>
        <v>UN</v>
      </c>
      <c r="L4044" s="166" t="str">
        <f t="shared" si="255"/>
        <v>08/2022</v>
      </c>
      <c r="M4044" s="82"/>
      <c r="N4044" s="82"/>
    </row>
    <row r="4045" spans="1:14" x14ac:dyDescent="0.25">
      <c r="A4045" s="170" t="s">
        <v>6812</v>
      </c>
      <c r="B4045" s="170" t="s">
        <v>17531</v>
      </c>
      <c r="C4045" s="170" t="s">
        <v>205</v>
      </c>
      <c r="D4045" s="170" t="s">
        <v>2067</v>
      </c>
      <c r="E4045" s="171" t="s">
        <v>29313</v>
      </c>
      <c r="F4045" s="171" t="s">
        <v>31583</v>
      </c>
      <c r="G4045" s="82"/>
      <c r="H4045" s="96">
        <f t="shared" si="252"/>
        <v>60.6</v>
      </c>
      <c r="I4045" s="96">
        <f t="shared" si="252"/>
        <v>61.19</v>
      </c>
      <c r="J4045" s="91" t="str">
        <f t="shared" si="253"/>
        <v>Sinapi 89808</v>
      </c>
      <c r="K4045" s="91" t="str">
        <f t="shared" si="254"/>
        <v>UN</v>
      </c>
      <c r="L4045" s="166" t="str">
        <f t="shared" si="255"/>
        <v>08/2022</v>
      </c>
      <c r="M4045" s="82"/>
      <c r="N4045" s="82"/>
    </row>
    <row r="4046" spans="1:14" x14ac:dyDescent="0.25">
      <c r="A4046" s="170" t="s">
        <v>6813</v>
      </c>
      <c r="B4046" s="170" t="s">
        <v>17532</v>
      </c>
      <c r="C4046" s="170" t="s">
        <v>205</v>
      </c>
      <c r="D4046" s="170" t="s">
        <v>2067</v>
      </c>
      <c r="E4046" s="171" t="s">
        <v>19880</v>
      </c>
      <c r="F4046" s="171" t="s">
        <v>22984</v>
      </c>
      <c r="G4046" s="82"/>
      <c r="H4046" s="96">
        <f t="shared" si="252"/>
        <v>30.86</v>
      </c>
      <c r="I4046" s="96">
        <f t="shared" si="252"/>
        <v>31.89</v>
      </c>
      <c r="J4046" s="91" t="str">
        <f t="shared" si="253"/>
        <v>Sinapi 89809</v>
      </c>
      <c r="K4046" s="91" t="str">
        <f t="shared" si="254"/>
        <v>UN</v>
      </c>
      <c r="L4046" s="166" t="str">
        <f t="shared" si="255"/>
        <v>08/2022</v>
      </c>
      <c r="M4046" s="82"/>
      <c r="N4046" s="82"/>
    </row>
    <row r="4047" spans="1:14" x14ac:dyDescent="0.25">
      <c r="A4047" s="170" t="s">
        <v>6814</v>
      </c>
      <c r="B4047" s="170" t="s">
        <v>17533</v>
      </c>
      <c r="C4047" s="170" t="s">
        <v>205</v>
      </c>
      <c r="D4047" s="170" t="s">
        <v>2067</v>
      </c>
      <c r="E4047" s="171" t="s">
        <v>22879</v>
      </c>
      <c r="F4047" s="171" t="s">
        <v>36799</v>
      </c>
      <c r="G4047" s="82"/>
      <c r="H4047" s="96">
        <f t="shared" si="252"/>
        <v>31.7</v>
      </c>
      <c r="I4047" s="96">
        <f t="shared" si="252"/>
        <v>32.729999999999997</v>
      </c>
      <c r="J4047" s="91" t="str">
        <f t="shared" si="253"/>
        <v>Sinapi 89810</v>
      </c>
      <c r="K4047" s="91" t="str">
        <f t="shared" si="254"/>
        <v>UN</v>
      </c>
      <c r="L4047" s="166" t="str">
        <f t="shared" si="255"/>
        <v>08/2022</v>
      </c>
      <c r="M4047" s="82"/>
      <c r="N4047" s="82"/>
    </row>
    <row r="4048" spans="1:14" x14ac:dyDescent="0.25">
      <c r="A4048" s="170" t="s">
        <v>6815</v>
      </c>
      <c r="B4048" s="170" t="s">
        <v>17534</v>
      </c>
      <c r="C4048" s="170" t="s">
        <v>205</v>
      </c>
      <c r="D4048" s="170" t="s">
        <v>2067</v>
      </c>
      <c r="E4048" s="171" t="s">
        <v>28706</v>
      </c>
      <c r="F4048" s="171" t="s">
        <v>36708</v>
      </c>
      <c r="G4048" s="82"/>
      <c r="H4048" s="96">
        <f t="shared" si="252"/>
        <v>45.97</v>
      </c>
      <c r="I4048" s="96">
        <f t="shared" si="252"/>
        <v>47</v>
      </c>
      <c r="J4048" s="91" t="str">
        <f t="shared" si="253"/>
        <v>Sinapi 89811</v>
      </c>
      <c r="K4048" s="91" t="str">
        <f t="shared" si="254"/>
        <v>UN</v>
      </c>
      <c r="L4048" s="166" t="str">
        <f t="shared" si="255"/>
        <v>08/2022</v>
      </c>
      <c r="M4048" s="82"/>
      <c r="N4048" s="82"/>
    </row>
    <row r="4049" spans="1:14" x14ac:dyDescent="0.25">
      <c r="A4049" s="170" t="s">
        <v>6816</v>
      </c>
      <c r="B4049" s="170" t="s">
        <v>17535</v>
      </c>
      <c r="C4049" s="170" t="s">
        <v>205</v>
      </c>
      <c r="D4049" s="170" t="s">
        <v>2067</v>
      </c>
      <c r="E4049" s="171" t="s">
        <v>33602</v>
      </c>
      <c r="F4049" s="171" t="s">
        <v>36800</v>
      </c>
      <c r="G4049" s="82"/>
      <c r="H4049" s="96">
        <f t="shared" si="252"/>
        <v>81.17</v>
      </c>
      <c r="I4049" s="96">
        <f t="shared" si="252"/>
        <v>82.2</v>
      </c>
      <c r="J4049" s="91" t="str">
        <f t="shared" si="253"/>
        <v>Sinapi 89812</v>
      </c>
      <c r="K4049" s="91" t="str">
        <f t="shared" si="254"/>
        <v>UN</v>
      </c>
      <c r="L4049" s="166" t="str">
        <f t="shared" si="255"/>
        <v>08/2022</v>
      </c>
      <c r="M4049" s="82"/>
      <c r="N4049" s="82"/>
    </row>
    <row r="4050" spans="1:14" x14ac:dyDescent="0.25">
      <c r="A4050" s="170" t="s">
        <v>6817</v>
      </c>
      <c r="B4050" s="170" t="s">
        <v>17536</v>
      </c>
      <c r="C4050" s="170" t="s">
        <v>205</v>
      </c>
      <c r="D4050" s="170" t="s">
        <v>2067</v>
      </c>
      <c r="E4050" s="171" t="s">
        <v>13400</v>
      </c>
      <c r="F4050" s="171" t="s">
        <v>20657</v>
      </c>
      <c r="G4050" s="82"/>
      <c r="H4050" s="96">
        <f t="shared" si="252"/>
        <v>5.79</v>
      </c>
      <c r="I4050" s="96">
        <f t="shared" si="252"/>
        <v>5.89</v>
      </c>
      <c r="J4050" s="91" t="str">
        <f t="shared" si="253"/>
        <v>Sinapi 89813</v>
      </c>
      <c r="K4050" s="91" t="str">
        <f t="shared" si="254"/>
        <v>UN</v>
      </c>
      <c r="L4050" s="166" t="str">
        <f t="shared" si="255"/>
        <v>08/2022</v>
      </c>
      <c r="M4050" s="82"/>
      <c r="N4050" s="82"/>
    </row>
    <row r="4051" spans="1:14" x14ac:dyDescent="0.25">
      <c r="A4051" s="170" t="s">
        <v>6818</v>
      </c>
      <c r="B4051" s="170" t="s">
        <v>17537</v>
      </c>
      <c r="C4051" s="170" t="s">
        <v>205</v>
      </c>
      <c r="D4051" s="170" t="s">
        <v>2067</v>
      </c>
      <c r="E4051" s="171" t="s">
        <v>15569</v>
      </c>
      <c r="F4051" s="171" t="s">
        <v>8753</v>
      </c>
      <c r="G4051" s="82"/>
      <c r="H4051" s="96">
        <f t="shared" si="252"/>
        <v>19.440000000000001</v>
      </c>
      <c r="I4051" s="96">
        <f t="shared" si="252"/>
        <v>19.54</v>
      </c>
      <c r="J4051" s="91" t="str">
        <f t="shared" si="253"/>
        <v>Sinapi 89814</v>
      </c>
      <c r="K4051" s="91" t="str">
        <f t="shared" si="254"/>
        <v>UN</v>
      </c>
      <c r="L4051" s="166" t="str">
        <f t="shared" si="255"/>
        <v>08/2022</v>
      </c>
      <c r="M4051" s="82"/>
      <c r="N4051" s="82"/>
    </row>
    <row r="4052" spans="1:14" x14ac:dyDescent="0.25">
      <c r="A4052" s="170" t="s">
        <v>6819</v>
      </c>
      <c r="B4052" s="170" t="s">
        <v>16843</v>
      </c>
      <c r="C4052" s="170" t="s">
        <v>205</v>
      </c>
      <c r="D4052" s="170" t="s">
        <v>2067</v>
      </c>
      <c r="E4052" s="171" t="s">
        <v>20102</v>
      </c>
      <c r="F4052" s="171" t="s">
        <v>29065</v>
      </c>
      <c r="G4052" s="82"/>
      <c r="H4052" s="96">
        <f t="shared" si="252"/>
        <v>32.49</v>
      </c>
      <c r="I4052" s="96">
        <f t="shared" si="252"/>
        <v>32.78</v>
      </c>
      <c r="J4052" s="91" t="str">
        <f t="shared" si="253"/>
        <v>Sinapi 89815</v>
      </c>
      <c r="K4052" s="91" t="str">
        <f t="shared" si="254"/>
        <v>UN</v>
      </c>
      <c r="L4052" s="166" t="str">
        <f t="shared" si="255"/>
        <v>06/2022</v>
      </c>
      <c r="M4052" s="82"/>
      <c r="N4052" s="82"/>
    </row>
    <row r="4053" spans="1:14" x14ac:dyDescent="0.25">
      <c r="A4053" s="170" t="s">
        <v>6820</v>
      </c>
      <c r="B4053" s="170" t="s">
        <v>16844</v>
      </c>
      <c r="C4053" s="170" t="s">
        <v>205</v>
      </c>
      <c r="D4053" s="170" t="s">
        <v>2067</v>
      </c>
      <c r="E4053" s="171" t="s">
        <v>21339</v>
      </c>
      <c r="F4053" s="171" t="s">
        <v>21202</v>
      </c>
      <c r="G4053" s="82"/>
      <c r="H4053" s="96">
        <f t="shared" si="252"/>
        <v>47.68</v>
      </c>
      <c r="I4053" s="96">
        <f t="shared" si="252"/>
        <v>47.97</v>
      </c>
      <c r="J4053" s="91" t="str">
        <f t="shared" si="253"/>
        <v>Sinapi 89816</v>
      </c>
      <c r="K4053" s="91" t="str">
        <f t="shared" si="254"/>
        <v>UN</v>
      </c>
      <c r="L4053" s="166" t="str">
        <f t="shared" si="255"/>
        <v>06/2022</v>
      </c>
      <c r="M4053" s="82"/>
      <c r="N4053" s="82"/>
    </row>
    <row r="4054" spans="1:14" x14ac:dyDescent="0.25">
      <c r="A4054" s="170" t="s">
        <v>6821</v>
      </c>
      <c r="B4054" s="170" t="s">
        <v>17538</v>
      </c>
      <c r="C4054" s="170" t="s">
        <v>205</v>
      </c>
      <c r="D4054" s="170" t="s">
        <v>2067</v>
      </c>
      <c r="E4054" s="171" t="s">
        <v>21474</v>
      </c>
      <c r="F4054" s="171" t="s">
        <v>22765</v>
      </c>
      <c r="G4054" s="82"/>
      <c r="H4054" s="96">
        <f t="shared" si="252"/>
        <v>13.81</v>
      </c>
      <c r="I4054" s="96">
        <f t="shared" si="252"/>
        <v>14.2</v>
      </c>
      <c r="J4054" s="91" t="str">
        <f t="shared" si="253"/>
        <v>Sinapi 89817</v>
      </c>
      <c r="K4054" s="91" t="str">
        <f t="shared" si="254"/>
        <v>UN</v>
      </c>
      <c r="L4054" s="166" t="str">
        <f t="shared" si="255"/>
        <v>08/2022</v>
      </c>
      <c r="M4054" s="82"/>
      <c r="N4054" s="82"/>
    </row>
    <row r="4055" spans="1:14" x14ac:dyDescent="0.25">
      <c r="A4055" s="170" t="s">
        <v>6822</v>
      </c>
      <c r="B4055" s="170" t="s">
        <v>16845</v>
      </c>
      <c r="C4055" s="170" t="s">
        <v>205</v>
      </c>
      <c r="D4055" s="170" t="s">
        <v>2067</v>
      </c>
      <c r="E4055" s="171" t="s">
        <v>33603</v>
      </c>
      <c r="F4055" s="171" t="s">
        <v>33630</v>
      </c>
      <c r="G4055" s="82"/>
      <c r="H4055" s="96">
        <f t="shared" si="252"/>
        <v>61.82</v>
      </c>
      <c r="I4055" s="96">
        <f t="shared" si="252"/>
        <v>62.1</v>
      </c>
      <c r="J4055" s="91" t="str">
        <f t="shared" si="253"/>
        <v>Sinapi 89818</v>
      </c>
      <c r="K4055" s="91" t="str">
        <f t="shared" si="254"/>
        <v>UN</v>
      </c>
      <c r="L4055" s="166" t="str">
        <f t="shared" si="255"/>
        <v>06/2022</v>
      </c>
      <c r="M4055" s="82"/>
      <c r="N4055" s="82"/>
    </row>
    <row r="4056" spans="1:14" x14ac:dyDescent="0.25">
      <c r="A4056" s="170" t="s">
        <v>6823</v>
      </c>
      <c r="B4056" s="170" t="s">
        <v>17539</v>
      </c>
      <c r="C4056" s="170" t="s">
        <v>205</v>
      </c>
      <c r="D4056" s="170" t="s">
        <v>2067</v>
      </c>
      <c r="E4056" s="171" t="s">
        <v>33604</v>
      </c>
      <c r="F4056" s="171" t="s">
        <v>36801</v>
      </c>
      <c r="G4056" s="82"/>
      <c r="H4056" s="96">
        <f t="shared" si="252"/>
        <v>26.64</v>
      </c>
      <c r="I4056" s="96">
        <f t="shared" si="252"/>
        <v>27.03</v>
      </c>
      <c r="J4056" s="91" t="str">
        <f t="shared" si="253"/>
        <v>Sinapi 89819</v>
      </c>
      <c r="K4056" s="91" t="str">
        <f t="shared" si="254"/>
        <v>UN</v>
      </c>
      <c r="L4056" s="166" t="str">
        <f t="shared" si="255"/>
        <v>08/2022</v>
      </c>
      <c r="M4056" s="82"/>
      <c r="N4056" s="82"/>
    </row>
    <row r="4057" spans="1:14" x14ac:dyDescent="0.25">
      <c r="A4057" s="170" t="s">
        <v>6824</v>
      </c>
      <c r="B4057" s="170" t="s">
        <v>17540</v>
      </c>
      <c r="C4057" s="170" t="s">
        <v>205</v>
      </c>
      <c r="D4057" s="170" t="s">
        <v>2067</v>
      </c>
      <c r="E4057" s="171" t="s">
        <v>23253</v>
      </c>
      <c r="F4057" s="171" t="s">
        <v>22807</v>
      </c>
      <c r="G4057" s="82"/>
      <c r="H4057" s="96">
        <f t="shared" si="252"/>
        <v>17.940000000000001</v>
      </c>
      <c r="I4057" s="96">
        <f t="shared" si="252"/>
        <v>18.62</v>
      </c>
      <c r="J4057" s="91" t="str">
        <f t="shared" si="253"/>
        <v>Sinapi 89821</v>
      </c>
      <c r="K4057" s="91" t="str">
        <f t="shared" si="254"/>
        <v>UN</v>
      </c>
      <c r="L4057" s="166" t="str">
        <f t="shared" si="255"/>
        <v>08/2022</v>
      </c>
      <c r="M4057" s="82"/>
      <c r="N4057" s="82"/>
    </row>
    <row r="4058" spans="1:14" x14ac:dyDescent="0.25">
      <c r="A4058" s="170" t="s">
        <v>6825</v>
      </c>
      <c r="B4058" s="170" t="s">
        <v>16846</v>
      </c>
      <c r="C4058" s="170" t="s">
        <v>205</v>
      </c>
      <c r="D4058" s="170" t="s">
        <v>2067</v>
      </c>
      <c r="E4058" s="171" t="s">
        <v>18554</v>
      </c>
      <c r="F4058" s="171" t="s">
        <v>28806</v>
      </c>
      <c r="G4058" s="82"/>
      <c r="H4058" s="96">
        <f t="shared" si="252"/>
        <v>28.75</v>
      </c>
      <c r="I4058" s="96">
        <f t="shared" si="252"/>
        <v>29.09</v>
      </c>
      <c r="J4058" s="91" t="str">
        <f t="shared" si="253"/>
        <v>Sinapi 89822</v>
      </c>
      <c r="K4058" s="91" t="str">
        <f t="shared" si="254"/>
        <v>UN</v>
      </c>
      <c r="L4058" s="166" t="str">
        <f t="shared" si="255"/>
        <v>06/2022</v>
      </c>
      <c r="M4058" s="82"/>
      <c r="N4058" s="82"/>
    </row>
    <row r="4059" spans="1:14" x14ac:dyDescent="0.25">
      <c r="A4059" s="170" t="s">
        <v>6827</v>
      </c>
      <c r="B4059" s="170" t="s">
        <v>17541</v>
      </c>
      <c r="C4059" s="170" t="s">
        <v>205</v>
      </c>
      <c r="D4059" s="170" t="s">
        <v>2067</v>
      </c>
      <c r="E4059" s="171" t="s">
        <v>21851</v>
      </c>
      <c r="F4059" s="171" t="s">
        <v>19845</v>
      </c>
      <c r="G4059" s="82"/>
      <c r="H4059" s="96">
        <f t="shared" si="252"/>
        <v>38.1</v>
      </c>
      <c r="I4059" s="96">
        <f t="shared" si="252"/>
        <v>38.78</v>
      </c>
      <c r="J4059" s="91" t="str">
        <f t="shared" si="253"/>
        <v>Sinapi 89823</v>
      </c>
      <c r="K4059" s="91" t="str">
        <f t="shared" si="254"/>
        <v>UN</v>
      </c>
      <c r="L4059" s="166" t="str">
        <f t="shared" si="255"/>
        <v>08/2022</v>
      </c>
      <c r="M4059" s="82"/>
      <c r="N4059" s="82"/>
    </row>
    <row r="4060" spans="1:14" x14ac:dyDescent="0.25">
      <c r="A4060" s="170" t="s">
        <v>6828</v>
      </c>
      <c r="B4060" s="170" t="s">
        <v>16847</v>
      </c>
      <c r="C4060" s="170" t="s">
        <v>205</v>
      </c>
      <c r="D4060" s="170" t="s">
        <v>2067</v>
      </c>
      <c r="E4060" s="171" t="s">
        <v>22032</v>
      </c>
      <c r="F4060" s="171" t="s">
        <v>36326</v>
      </c>
      <c r="G4060" s="82"/>
      <c r="H4060" s="96">
        <f t="shared" si="252"/>
        <v>44.36</v>
      </c>
      <c r="I4060" s="96">
        <f t="shared" si="252"/>
        <v>44.7</v>
      </c>
      <c r="J4060" s="91" t="str">
        <f t="shared" si="253"/>
        <v>Sinapi 89824</v>
      </c>
      <c r="K4060" s="91" t="str">
        <f t="shared" si="254"/>
        <v>UN</v>
      </c>
      <c r="L4060" s="166" t="str">
        <f t="shared" si="255"/>
        <v>06/2022</v>
      </c>
      <c r="M4060" s="82"/>
      <c r="N4060" s="82"/>
    </row>
    <row r="4061" spans="1:14" x14ac:dyDescent="0.25">
      <c r="A4061" s="170" t="s">
        <v>6829</v>
      </c>
      <c r="B4061" s="170" t="s">
        <v>17542</v>
      </c>
      <c r="C4061" s="170" t="s">
        <v>205</v>
      </c>
      <c r="D4061" s="170" t="s">
        <v>2067</v>
      </c>
      <c r="E4061" s="171" t="s">
        <v>33605</v>
      </c>
      <c r="F4061" s="171" t="s">
        <v>19379</v>
      </c>
      <c r="G4061" s="82"/>
      <c r="H4061" s="96">
        <f t="shared" si="252"/>
        <v>20.21</v>
      </c>
      <c r="I4061" s="96">
        <f t="shared" si="252"/>
        <v>20.420000000000002</v>
      </c>
      <c r="J4061" s="91" t="str">
        <f t="shared" si="253"/>
        <v>Sinapi 89825</v>
      </c>
      <c r="K4061" s="91" t="str">
        <f t="shared" si="254"/>
        <v>UN</v>
      </c>
      <c r="L4061" s="166" t="str">
        <f t="shared" si="255"/>
        <v>08/2022</v>
      </c>
      <c r="M4061" s="82"/>
      <c r="N4061" s="82"/>
    </row>
    <row r="4062" spans="1:14" x14ac:dyDescent="0.25">
      <c r="A4062" s="170" t="s">
        <v>6830</v>
      </c>
      <c r="B4062" s="170" t="s">
        <v>16848</v>
      </c>
      <c r="C4062" s="170" t="s">
        <v>205</v>
      </c>
      <c r="D4062" s="170" t="s">
        <v>2067</v>
      </c>
      <c r="E4062" s="171" t="s">
        <v>29103</v>
      </c>
      <c r="F4062" s="171" t="s">
        <v>36802</v>
      </c>
      <c r="G4062" s="82"/>
      <c r="H4062" s="96">
        <f t="shared" si="252"/>
        <v>147.93</v>
      </c>
      <c r="I4062" s="96">
        <f t="shared" si="252"/>
        <v>148.25</v>
      </c>
      <c r="J4062" s="91" t="str">
        <f t="shared" si="253"/>
        <v>Sinapi 89826</v>
      </c>
      <c r="K4062" s="91" t="str">
        <f t="shared" si="254"/>
        <v>UN</v>
      </c>
      <c r="L4062" s="166" t="str">
        <f t="shared" si="255"/>
        <v>06/2022</v>
      </c>
      <c r="M4062" s="82"/>
      <c r="N4062" s="82"/>
    </row>
    <row r="4063" spans="1:14" x14ac:dyDescent="0.25">
      <c r="A4063" s="170" t="s">
        <v>6831</v>
      </c>
      <c r="B4063" s="170" t="s">
        <v>17543</v>
      </c>
      <c r="C4063" s="170" t="s">
        <v>205</v>
      </c>
      <c r="D4063" s="170" t="s">
        <v>2067</v>
      </c>
      <c r="E4063" s="171" t="s">
        <v>12301</v>
      </c>
      <c r="F4063" s="171" t="s">
        <v>33375</v>
      </c>
      <c r="G4063" s="82"/>
      <c r="H4063" s="96">
        <f t="shared" si="252"/>
        <v>22.57</v>
      </c>
      <c r="I4063" s="96">
        <f t="shared" si="252"/>
        <v>22.78</v>
      </c>
      <c r="J4063" s="91" t="str">
        <f t="shared" si="253"/>
        <v>Sinapi 89827</v>
      </c>
      <c r="K4063" s="91" t="str">
        <f t="shared" si="254"/>
        <v>UN</v>
      </c>
      <c r="L4063" s="166" t="str">
        <f t="shared" si="255"/>
        <v>08/2022</v>
      </c>
      <c r="M4063" s="82"/>
      <c r="N4063" s="82"/>
    </row>
    <row r="4064" spans="1:14" x14ac:dyDescent="0.25">
      <c r="A4064" s="170" t="s">
        <v>6832</v>
      </c>
      <c r="B4064" s="170" t="s">
        <v>16849</v>
      </c>
      <c r="C4064" s="170" t="s">
        <v>205</v>
      </c>
      <c r="D4064" s="170" t="s">
        <v>2067</v>
      </c>
      <c r="E4064" s="171" t="s">
        <v>28792</v>
      </c>
      <c r="F4064" s="171" t="s">
        <v>34265</v>
      </c>
      <c r="G4064" s="82"/>
      <c r="H4064" s="96">
        <f t="shared" si="252"/>
        <v>69.790000000000006</v>
      </c>
      <c r="I4064" s="96">
        <f t="shared" si="252"/>
        <v>70.13</v>
      </c>
      <c r="J4064" s="91" t="str">
        <f t="shared" si="253"/>
        <v>Sinapi 89828</v>
      </c>
      <c r="K4064" s="91" t="str">
        <f t="shared" si="254"/>
        <v>UN</v>
      </c>
      <c r="L4064" s="166" t="str">
        <f t="shared" si="255"/>
        <v>06/2022</v>
      </c>
      <c r="M4064" s="82"/>
      <c r="N4064" s="82"/>
    </row>
    <row r="4065" spans="1:14" x14ac:dyDescent="0.25">
      <c r="A4065" s="170" t="s">
        <v>6833</v>
      </c>
      <c r="B4065" s="170" t="s">
        <v>17544</v>
      </c>
      <c r="C4065" s="170" t="s">
        <v>205</v>
      </c>
      <c r="D4065" s="170" t="s">
        <v>2067</v>
      </c>
      <c r="E4065" s="171" t="s">
        <v>25015</v>
      </c>
      <c r="F4065" s="171" t="s">
        <v>29290</v>
      </c>
      <c r="G4065" s="82"/>
      <c r="H4065" s="96">
        <f t="shared" si="252"/>
        <v>39.53</v>
      </c>
      <c r="I4065" s="96">
        <f t="shared" si="252"/>
        <v>40.32</v>
      </c>
      <c r="J4065" s="91" t="str">
        <f t="shared" si="253"/>
        <v>Sinapi 89829</v>
      </c>
      <c r="K4065" s="91" t="str">
        <f t="shared" si="254"/>
        <v>UN</v>
      </c>
      <c r="L4065" s="166" t="str">
        <f t="shared" si="255"/>
        <v>08/2022</v>
      </c>
      <c r="M4065" s="82"/>
      <c r="N4065" s="82"/>
    </row>
    <row r="4066" spans="1:14" x14ac:dyDescent="0.25">
      <c r="A4066" s="170" t="s">
        <v>6834</v>
      </c>
      <c r="B4066" s="170" t="s">
        <v>17545</v>
      </c>
      <c r="C4066" s="170" t="s">
        <v>205</v>
      </c>
      <c r="D4066" s="170" t="s">
        <v>2067</v>
      </c>
      <c r="E4066" s="171" t="s">
        <v>29023</v>
      </c>
      <c r="F4066" s="171" t="s">
        <v>29075</v>
      </c>
      <c r="G4066" s="82"/>
      <c r="H4066" s="96">
        <f t="shared" si="252"/>
        <v>41.62</v>
      </c>
      <c r="I4066" s="96">
        <f t="shared" si="252"/>
        <v>42.41</v>
      </c>
      <c r="J4066" s="91" t="str">
        <f t="shared" si="253"/>
        <v>Sinapi 89830</v>
      </c>
      <c r="K4066" s="91" t="str">
        <f t="shared" si="254"/>
        <v>UN</v>
      </c>
      <c r="L4066" s="166" t="str">
        <f t="shared" si="255"/>
        <v>08/2022</v>
      </c>
      <c r="M4066" s="82"/>
      <c r="N4066" s="82"/>
    </row>
    <row r="4067" spans="1:14" x14ac:dyDescent="0.25">
      <c r="A4067" s="170" t="s">
        <v>6835</v>
      </c>
      <c r="B4067" s="170" t="s">
        <v>16850</v>
      </c>
      <c r="C4067" s="170" t="s">
        <v>205</v>
      </c>
      <c r="D4067" s="170" t="s">
        <v>2067</v>
      </c>
      <c r="E4067" s="171" t="s">
        <v>33606</v>
      </c>
      <c r="F4067" s="171" t="s">
        <v>36803</v>
      </c>
      <c r="G4067" s="82"/>
      <c r="H4067" s="96">
        <f t="shared" si="252"/>
        <v>74.790000000000006</v>
      </c>
      <c r="I4067" s="96">
        <f t="shared" si="252"/>
        <v>75.11</v>
      </c>
      <c r="J4067" s="91" t="str">
        <f t="shared" si="253"/>
        <v>Sinapi 89831</v>
      </c>
      <c r="K4067" s="91" t="str">
        <f t="shared" si="254"/>
        <v>UN</v>
      </c>
      <c r="L4067" s="166" t="str">
        <f t="shared" si="255"/>
        <v>06/2022</v>
      </c>
      <c r="M4067" s="82"/>
      <c r="N4067" s="82"/>
    </row>
    <row r="4068" spans="1:14" x14ac:dyDescent="0.25">
      <c r="A4068" s="170" t="s">
        <v>6836</v>
      </c>
      <c r="B4068" s="170" t="s">
        <v>16851</v>
      </c>
      <c r="C4068" s="170" t="s">
        <v>205</v>
      </c>
      <c r="D4068" s="170" t="s">
        <v>2067</v>
      </c>
      <c r="E4068" s="171" t="s">
        <v>22983</v>
      </c>
      <c r="F4068" s="171" t="s">
        <v>30199</v>
      </c>
      <c r="G4068" s="82"/>
      <c r="H4068" s="96">
        <f t="shared" si="252"/>
        <v>46.99</v>
      </c>
      <c r="I4068" s="96">
        <f t="shared" si="252"/>
        <v>47.49</v>
      </c>
      <c r="J4068" s="91" t="str">
        <f t="shared" si="253"/>
        <v>Sinapi 89832</v>
      </c>
      <c r="K4068" s="91" t="str">
        <f t="shared" si="254"/>
        <v>UN</v>
      </c>
      <c r="L4068" s="166" t="str">
        <f t="shared" si="255"/>
        <v>06/2022</v>
      </c>
      <c r="M4068" s="82"/>
      <c r="N4068" s="82"/>
    </row>
    <row r="4069" spans="1:14" x14ac:dyDescent="0.25">
      <c r="A4069" s="170" t="s">
        <v>6837</v>
      </c>
      <c r="B4069" s="170" t="s">
        <v>17546</v>
      </c>
      <c r="C4069" s="170" t="s">
        <v>205</v>
      </c>
      <c r="D4069" s="170" t="s">
        <v>2067</v>
      </c>
      <c r="E4069" s="171" t="s">
        <v>33607</v>
      </c>
      <c r="F4069" s="171" t="s">
        <v>36804</v>
      </c>
      <c r="G4069" s="82"/>
      <c r="H4069" s="96">
        <f t="shared" si="252"/>
        <v>48.37</v>
      </c>
      <c r="I4069" s="96">
        <f t="shared" si="252"/>
        <v>49.74</v>
      </c>
      <c r="J4069" s="91" t="str">
        <f t="shared" si="253"/>
        <v>Sinapi 89833</v>
      </c>
      <c r="K4069" s="91" t="str">
        <f t="shared" si="254"/>
        <v>UN</v>
      </c>
      <c r="L4069" s="166" t="str">
        <f t="shared" si="255"/>
        <v>08/2022</v>
      </c>
      <c r="M4069" s="82"/>
      <c r="N4069" s="82"/>
    </row>
    <row r="4070" spans="1:14" x14ac:dyDescent="0.25">
      <c r="A4070" s="170" t="s">
        <v>6838</v>
      </c>
      <c r="B4070" s="170" t="s">
        <v>17547</v>
      </c>
      <c r="C4070" s="170" t="s">
        <v>205</v>
      </c>
      <c r="D4070" s="170" t="s">
        <v>2067</v>
      </c>
      <c r="E4070" s="171" t="s">
        <v>33608</v>
      </c>
      <c r="F4070" s="171" t="s">
        <v>33125</v>
      </c>
      <c r="G4070" s="82"/>
      <c r="H4070" s="96">
        <f t="shared" si="252"/>
        <v>56.45</v>
      </c>
      <c r="I4070" s="96">
        <f t="shared" si="252"/>
        <v>57.82</v>
      </c>
      <c r="J4070" s="91" t="str">
        <f t="shared" si="253"/>
        <v>Sinapi 89834</v>
      </c>
      <c r="K4070" s="91" t="str">
        <f t="shared" si="254"/>
        <v>UN</v>
      </c>
      <c r="L4070" s="166" t="str">
        <f t="shared" si="255"/>
        <v>08/2022</v>
      </c>
      <c r="M4070" s="82"/>
      <c r="N4070" s="82"/>
    </row>
    <row r="4071" spans="1:14" x14ac:dyDescent="0.25">
      <c r="A4071" s="170" t="s">
        <v>6839</v>
      </c>
      <c r="B4071" s="170" t="s">
        <v>16852</v>
      </c>
      <c r="C4071" s="170" t="s">
        <v>205</v>
      </c>
      <c r="D4071" s="170" t="s">
        <v>2067</v>
      </c>
      <c r="E4071" s="171" t="s">
        <v>33609</v>
      </c>
      <c r="F4071" s="171" t="s">
        <v>23028</v>
      </c>
      <c r="G4071" s="82"/>
      <c r="H4071" s="96">
        <f t="shared" si="252"/>
        <v>50.17</v>
      </c>
      <c r="I4071" s="96">
        <f t="shared" si="252"/>
        <v>50.59</v>
      </c>
      <c r="J4071" s="91" t="str">
        <f t="shared" si="253"/>
        <v>Sinapi 89835</v>
      </c>
      <c r="K4071" s="91" t="str">
        <f t="shared" si="254"/>
        <v>UN</v>
      </c>
      <c r="L4071" s="166" t="str">
        <f t="shared" si="255"/>
        <v>06/2022</v>
      </c>
      <c r="M4071" s="82"/>
      <c r="N4071" s="82"/>
    </row>
    <row r="4072" spans="1:14" x14ac:dyDescent="0.25">
      <c r="A4072" s="170" t="s">
        <v>6840</v>
      </c>
      <c r="B4072" s="170" t="s">
        <v>16853</v>
      </c>
      <c r="C4072" s="170" t="s">
        <v>205</v>
      </c>
      <c r="D4072" s="170" t="s">
        <v>2067</v>
      </c>
      <c r="E4072" s="171" t="s">
        <v>33610</v>
      </c>
      <c r="F4072" s="171" t="s">
        <v>36805</v>
      </c>
      <c r="G4072" s="82"/>
      <c r="H4072" s="96">
        <f t="shared" si="252"/>
        <v>232.95</v>
      </c>
      <c r="I4072" s="96">
        <f t="shared" si="252"/>
        <v>233.36</v>
      </c>
      <c r="J4072" s="91" t="str">
        <f t="shared" si="253"/>
        <v>Sinapi 89836</v>
      </c>
      <c r="K4072" s="91" t="str">
        <f t="shared" si="254"/>
        <v>UN</v>
      </c>
      <c r="L4072" s="166" t="str">
        <f t="shared" si="255"/>
        <v>06/2022</v>
      </c>
      <c r="M4072" s="82"/>
      <c r="N4072" s="82"/>
    </row>
    <row r="4073" spans="1:14" x14ac:dyDescent="0.25">
      <c r="A4073" s="170" t="s">
        <v>6841</v>
      </c>
      <c r="B4073" s="170" t="s">
        <v>16854</v>
      </c>
      <c r="C4073" s="170" t="s">
        <v>205</v>
      </c>
      <c r="D4073" s="170" t="s">
        <v>2067</v>
      </c>
      <c r="E4073" s="171" t="s">
        <v>33611</v>
      </c>
      <c r="F4073" s="171" t="s">
        <v>29420</v>
      </c>
      <c r="G4073" s="82"/>
      <c r="H4073" s="96">
        <f t="shared" si="252"/>
        <v>155.62</v>
      </c>
      <c r="I4073" s="96">
        <f t="shared" si="252"/>
        <v>156.04</v>
      </c>
      <c r="J4073" s="91" t="str">
        <f t="shared" si="253"/>
        <v>Sinapi 89837</v>
      </c>
      <c r="K4073" s="91" t="str">
        <f t="shared" si="254"/>
        <v>UN</v>
      </c>
      <c r="L4073" s="166" t="str">
        <f t="shared" si="255"/>
        <v>06/2022</v>
      </c>
      <c r="M4073" s="82"/>
      <c r="N4073" s="82"/>
    </row>
    <row r="4074" spans="1:14" x14ac:dyDescent="0.25">
      <c r="A4074" s="170" t="s">
        <v>6842</v>
      </c>
      <c r="B4074" s="170" t="s">
        <v>16855</v>
      </c>
      <c r="C4074" s="170" t="s">
        <v>205</v>
      </c>
      <c r="D4074" s="170" t="s">
        <v>2067</v>
      </c>
      <c r="E4074" s="171" t="s">
        <v>28592</v>
      </c>
      <c r="F4074" s="171" t="s">
        <v>36806</v>
      </c>
      <c r="G4074" s="82"/>
      <c r="H4074" s="96">
        <f t="shared" si="252"/>
        <v>177.96</v>
      </c>
      <c r="I4074" s="96">
        <f t="shared" si="252"/>
        <v>178.53</v>
      </c>
      <c r="J4074" s="91" t="str">
        <f t="shared" si="253"/>
        <v>Sinapi 89838</v>
      </c>
      <c r="K4074" s="91" t="str">
        <f t="shared" si="254"/>
        <v>UN</v>
      </c>
      <c r="L4074" s="166" t="str">
        <f t="shared" si="255"/>
        <v>06/2022</v>
      </c>
      <c r="M4074" s="82"/>
      <c r="N4074" s="82"/>
    </row>
    <row r="4075" spans="1:14" x14ac:dyDescent="0.25">
      <c r="A4075" s="170" t="s">
        <v>6843</v>
      </c>
      <c r="B4075" s="170" t="s">
        <v>16856</v>
      </c>
      <c r="C4075" s="170" t="s">
        <v>205</v>
      </c>
      <c r="D4075" s="170" t="s">
        <v>2067</v>
      </c>
      <c r="E4075" s="171" t="s">
        <v>33612</v>
      </c>
      <c r="F4075" s="171" t="s">
        <v>36807</v>
      </c>
      <c r="G4075" s="82"/>
      <c r="H4075" s="96">
        <f t="shared" si="252"/>
        <v>202.1</v>
      </c>
      <c r="I4075" s="96">
        <f t="shared" si="252"/>
        <v>202.67</v>
      </c>
      <c r="J4075" s="91" t="str">
        <f t="shared" si="253"/>
        <v>Sinapi 89839</v>
      </c>
      <c r="K4075" s="91" t="str">
        <f t="shared" si="254"/>
        <v>UN</v>
      </c>
      <c r="L4075" s="166" t="str">
        <f t="shared" si="255"/>
        <v>06/2022</v>
      </c>
      <c r="M4075" s="82"/>
      <c r="N4075" s="82"/>
    </row>
    <row r="4076" spans="1:14" x14ac:dyDescent="0.25">
      <c r="A4076" s="170" t="s">
        <v>6844</v>
      </c>
      <c r="B4076" s="170" t="s">
        <v>16857</v>
      </c>
      <c r="C4076" s="170" t="s">
        <v>205</v>
      </c>
      <c r="D4076" s="170" t="s">
        <v>2067</v>
      </c>
      <c r="E4076" s="171" t="s">
        <v>33613</v>
      </c>
      <c r="F4076" s="171" t="s">
        <v>22937</v>
      </c>
      <c r="G4076" s="82"/>
      <c r="H4076" s="96">
        <f t="shared" si="252"/>
        <v>209.63</v>
      </c>
      <c r="I4076" s="96">
        <f t="shared" si="252"/>
        <v>210.3</v>
      </c>
      <c r="J4076" s="91" t="str">
        <f t="shared" si="253"/>
        <v>Sinapi 89840</v>
      </c>
      <c r="K4076" s="91" t="str">
        <f t="shared" si="254"/>
        <v>UN</v>
      </c>
      <c r="L4076" s="166" t="str">
        <f t="shared" si="255"/>
        <v>06/2022</v>
      </c>
      <c r="M4076" s="82"/>
      <c r="N4076" s="82"/>
    </row>
    <row r="4077" spans="1:14" x14ac:dyDescent="0.25">
      <c r="A4077" s="170" t="s">
        <v>6845</v>
      </c>
      <c r="B4077" s="170" t="s">
        <v>16858</v>
      </c>
      <c r="C4077" s="170" t="s">
        <v>205</v>
      </c>
      <c r="D4077" s="170" t="s">
        <v>2067</v>
      </c>
      <c r="E4077" s="171" t="s">
        <v>33614</v>
      </c>
      <c r="F4077" s="171" t="s">
        <v>28823</v>
      </c>
      <c r="G4077" s="82"/>
      <c r="H4077" s="96">
        <f t="shared" si="252"/>
        <v>307.56</v>
      </c>
      <c r="I4077" s="96">
        <f t="shared" si="252"/>
        <v>308.23</v>
      </c>
      <c r="J4077" s="91" t="str">
        <f t="shared" si="253"/>
        <v>Sinapi 89841</v>
      </c>
      <c r="K4077" s="91" t="str">
        <f t="shared" si="254"/>
        <v>UN</v>
      </c>
      <c r="L4077" s="166" t="str">
        <f t="shared" si="255"/>
        <v>06/2022</v>
      </c>
      <c r="M4077" s="82"/>
      <c r="N4077" s="82"/>
    </row>
    <row r="4078" spans="1:14" x14ac:dyDescent="0.25">
      <c r="A4078" s="170" t="s">
        <v>6846</v>
      </c>
      <c r="B4078" s="170" t="s">
        <v>16859</v>
      </c>
      <c r="C4078" s="170" t="s">
        <v>205</v>
      </c>
      <c r="D4078" s="170" t="s">
        <v>2067</v>
      </c>
      <c r="E4078" s="171" t="s">
        <v>24196</v>
      </c>
      <c r="F4078" s="171" t="s">
        <v>21895</v>
      </c>
      <c r="G4078" s="82"/>
      <c r="H4078" s="96">
        <f t="shared" si="252"/>
        <v>57.08</v>
      </c>
      <c r="I4078" s="96">
        <f t="shared" si="252"/>
        <v>57.67</v>
      </c>
      <c r="J4078" s="91" t="str">
        <f t="shared" si="253"/>
        <v>Sinapi 89842</v>
      </c>
      <c r="K4078" s="91" t="str">
        <f t="shared" si="254"/>
        <v>UN</v>
      </c>
      <c r="L4078" s="166" t="str">
        <f t="shared" si="255"/>
        <v>06/2022</v>
      </c>
      <c r="M4078" s="82"/>
      <c r="N4078" s="82"/>
    </row>
    <row r="4079" spans="1:14" x14ac:dyDescent="0.25">
      <c r="A4079" s="170" t="s">
        <v>6847</v>
      </c>
      <c r="B4079" s="170" t="s">
        <v>16860</v>
      </c>
      <c r="C4079" s="170" t="s">
        <v>205</v>
      </c>
      <c r="D4079" s="170" t="s">
        <v>2067</v>
      </c>
      <c r="E4079" s="171" t="s">
        <v>33615</v>
      </c>
      <c r="F4079" s="171" t="s">
        <v>29463</v>
      </c>
      <c r="G4079" s="82"/>
      <c r="H4079" s="96">
        <f t="shared" si="252"/>
        <v>72.069999999999993</v>
      </c>
      <c r="I4079" s="96">
        <f t="shared" si="252"/>
        <v>72.760000000000005</v>
      </c>
      <c r="J4079" s="91" t="str">
        <f t="shared" si="253"/>
        <v>Sinapi 89844</v>
      </c>
      <c r="K4079" s="91" t="str">
        <f t="shared" si="254"/>
        <v>UN</v>
      </c>
      <c r="L4079" s="166" t="str">
        <f t="shared" si="255"/>
        <v>06/2022</v>
      </c>
      <c r="M4079" s="82"/>
      <c r="N4079" s="82"/>
    </row>
    <row r="4080" spans="1:14" x14ac:dyDescent="0.25">
      <c r="A4080" s="170" t="s">
        <v>6848</v>
      </c>
      <c r="B4080" s="170" t="s">
        <v>16861</v>
      </c>
      <c r="C4080" s="170" t="s">
        <v>205</v>
      </c>
      <c r="D4080" s="170" t="s">
        <v>2067</v>
      </c>
      <c r="E4080" s="171" t="s">
        <v>33616</v>
      </c>
      <c r="F4080" s="171" t="s">
        <v>29381</v>
      </c>
      <c r="G4080" s="82"/>
      <c r="H4080" s="96">
        <f t="shared" si="252"/>
        <v>113.87</v>
      </c>
      <c r="I4080" s="96">
        <f t="shared" si="252"/>
        <v>114.72</v>
      </c>
      <c r="J4080" s="91" t="str">
        <f t="shared" si="253"/>
        <v>Sinapi 89845</v>
      </c>
      <c r="K4080" s="91" t="str">
        <f t="shared" si="254"/>
        <v>UN</v>
      </c>
      <c r="L4080" s="166" t="str">
        <f t="shared" si="255"/>
        <v>06/2022</v>
      </c>
      <c r="M4080" s="82"/>
      <c r="N4080" s="82"/>
    </row>
    <row r="4081" spans="1:14" x14ac:dyDescent="0.25">
      <c r="A4081" s="170" t="s">
        <v>6849</v>
      </c>
      <c r="B4081" s="170" t="s">
        <v>16862</v>
      </c>
      <c r="C4081" s="170" t="s">
        <v>205</v>
      </c>
      <c r="D4081" s="170" t="s">
        <v>2067</v>
      </c>
      <c r="E4081" s="171" t="s">
        <v>33617</v>
      </c>
      <c r="F4081" s="171" t="s">
        <v>36808</v>
      </c>
      <c r="G4081" s="82"/>
      <c r="H4081" s="96">
        <f t="shared" si="252"/>
        <v>246.28</v>
      </c>
      <c r="I4081" s="96">
        <f t="shared" si="252"/>
        <v>247.41</v>
      </c>
      <c r="J4081" s="91" t="str">
        <f t="shared" si="253"/>
        <v>Sinapi 89846</v>
      </c>
      <c r="K4081" s="91" t="str">
        <f t="shared" si="254"/>
        <v>UN</v>
      </c>
      <c r="L4081" s="166" t="str">
        <f t="shared" si="255"/>
        <v>06/2022</v>
      </c>
      <c r="M4081" s="82"/>
      <c r="N4081" s="82"/>
    </row>
    <row r="4082" spans="1:14" x14ac:dyDescent="0.25">
      <c r="A4082" s="170" t="s">
        <v>6850</v>
      </c>
      <c r="B4082" s="170" t="s">
        <v>16863</v>
      </c>
      <c r="C4082" s="170" t="s">
        <v>205</v>
      </c>
      <c r="D4082" s="170" t="s">
        <v>2067</v>
      </c>
      <c r="E4082" s="171" t="s">
        <v>33618</v>
      </c>
      <c r="F4082" s="171" t="s">
        <v>36809</v>
      </c>
      <c r="G4082" s="82"/>
      <c r="H4082" s="96">
        <f t="shared" si="252"/>
        <v>293.95</v>
      </c>
      <c r="I4082" s="96">
        <f t="shared" si="252"/>
        <v>295.31</v>
      </c>
      <c r="J4082" s="91" t="str">
        <f t="shared" si="253"/>
        <v>Sinapi 89847</v>
      </c>
      <c r="K4082" s="91" t="str">
        <f t="shared" si="254"/>
        <v>UN</v>
      </c>
      <c r="L4082" s="166" t="str">
        <f t="shared" si="255"/>
        <v>06/2022</v>
      </c>
      <c r="M4082" s="82"/>
      <c r="N4082" s="82"/>
    </row>
    <row r="4083" spans="1:14" x14ac:dyDescent="0.25">
      <c r="A4083" s="170" t="s">
        <v>6851</v>
      </c>
      <c r="B4083" s="170" t="s">
        <v>17548</v>
      </c>
      <c r="C4083" s="170" t="s">
        <v>205</v>
      </c>
      <c r="D4083" s="170" t="s">
        <v>2067</v>
      </c>
      <c r="E4083" s="171" t="s">
        <v>29266</v>
      </c>
      <c r="F4083" s="171" t="s">
        <v>20015</v>
      </c>
      <c r="G4083" s="82"/>
      <c r="H4083" s="96">
        <f t="shared" si="252"/>
        <v>33.340000000000003</v>
      </c>
      <c r="I4083" s="96">
        <f t="shared" si="252"/>
        <v>34.65</v>
      </c>
      <c r="J4083" s="91" t="str">
        <f t="shared" si="253"/>
        <v>Sinapi 89850</v>
      </c>
      <c r="K4083" s="91" t="str">
        <f t="shared" si="254"/>
        <v>UN</v>
      </c>
      <c r="L4083" s="166" t="str">
        <f t="shared" si="255"/>
        <v>08/2022</v>
      </c>
      <c r="M4083" s="82"/>
      <c r="N4083" s="82"/>
    </row>
    <row r="4084" spans="1:14" x14ac:dyDescent="0.25">
      <c r="A4084" s="170" t="s">
        <v>6852</v>
      </c>
      <c r="B4084" s="170" t="s">
        <v>17549</v>
      </c>
      <c r="C4084" s="170" t="s">
        <v>205</v>
      </c>
      <c r="D4084" s="170" t="s">
        <v>2067</v>
      </c>
      <c r="E4084" s="171" t="s">
        <v>33619</v>
      </c>
      <c r="F4084" s="171" t="s">
        <v>28814</v>
      </c>
      <c r="G4084" s="82"/>
      <c r="H4084" s="96">
        <f t="shared" si="252"/>
        <v>34.18</v>
      </c>
      <c r="I4084" s="96">
        <f t="shared" si="252"/>
        <v>35.49</v>
      </c>
      <c r="J4084" s="91" t="str">
        <f t="shared" si="253"/>
        <v>Sinapi 89851</v>
      </c>
      <c r="K4084" s="91" t="str">
        <f t="shared" si="254"/>
        <v>UN</v>
      </c>
      <c r="L4084" s="166" t="str">
        <f t="shared" si="255"/>
        <v>08/2022</v>
      </c>
      <c r="M4084" s="82"/>
      <c r="N4084" s="82"/>
    </row>
    <row r="4085" spans="1:14" x14ac:dyDescent="0.25">
      <c r="A4085" s="170" t="s">
        <v>6853</v>
      </c>
      <c r="B4085" s="170" t="s">
        <v>17550</v>
      </c>
      <c r="C4085" s="170" t="s">
        <v>205</v>
      </c>
      <c r="D4085" s="170" t="s">
        <v>2067</v>
      </c>
      <c r="E4085" s="171" t="s">
        <v>31694</v>
      </c>
      <c r="F4085" s="171" t="s">
        <v>33141</v>
      </c>
      <c r="G4085" s="82"/>
      <c r="H4085" s="96">
        <f t="shared" si="252"/>
        <v>48.45</v>
      </c>
      <c r="I4085" s="96">
        <f t="shared" si="252"/>
        <v>49.76</v>
      </c>
      <c r="J4085" s="91" t="str">
        <f t="shared" si="253"/>
        <v>Sinapi 89852</v>
      </c>
      <c r="K4085" s="91" t="str">
        <f t="shared" si="254"/>
        <v>UN</v>
      </c>
      <c r="L4085" s="166" t="str">
        <f t="shared" si="255"/>
        <v>08/2022</v>
      </c>
      <c r="M4085" s="82"/>
      <c r="N4085" s="82"/>
    </row>
    <row r="4086" spans="1:14" x14ac:dyDescent="0.25">
      <c r="A4086" s="170" t="s">
        <v>6854</v>
      </c>
      <c r="B4086" s="170" t="s">
        <v>17551</v>
      </c>
      <c r="C4086" s="170" t="s">
        <v>205</v>
      </c>
      <c r="D4086" s="170" t="s">
        <v>2067</v>
      </c>
      <c r="E4086" s="171" t="s">
        <v>33620</v>
      </c>
      <c r="F4086" s="171" t="s">
        <v>28769</v>
      </c>
      <c r="G4086" s="82"/>
      <c r="H4086" s="96">
        <f t="shared" si="252"/>
        <v>83.65</v>
      </c>
      <c r="I4086" s="96">
        <f t="shared" si="252"/>
        <v>84.96</v>
      </c>
      <c r="J4086" s="91" t="str">
        <f t="shared" si="253"/>
        <v>Sinapi 89853</v>
      </c>
      <c r="K4086" s="91" t="str">
        <f t="shared" si="254"/>
        <v>UN</v>
      </c>
      <c r="L4086" s="166" t="str">
        <f t="shared" si="255"/>
        <v>08/2022</v>
      </c>
      <c r="M4086" s="82"/>
      <c r="N4086" s="82"/>
    </row>
    <row r="4087" spans="1:14" x14ac:dyDescent="0.25">
      <c r="A4087" s="170" t="s">
        <v>6855</v>
      </c>
      <c r="B4087" s="170" t="s">
        <v>17552</v>
      </c>
      <c r="C4087" s="170" t="s">
        <v>205</v>
      </c>
      <c r="D4087" s="170" t="s">
        <v>2067</v>
      </c>
      <c r="E4087" s="171" t="s">
        <v>23337</v>
      </c>
      <c r="F4087" s="171" t="s">
        <v>36810</v>
      </c>
      <c r="G4087" s="82"/>
      <c r="H4087" s="96">
        <f t="shared" si="252"/>
        <v>115.66</v>
      </c>
      <c r="I4087" s="96">
        <f t="shared" si="252"/>
        <v>117.36</v>
      </c>
      <c r="J4087" s="91" t="str">
        <f t="shared" si="253"/>
        <v>Sinapi 89854</v>
      </c>
      <c r="K4087" s="91" t="str">
        <f t="shared" si="254"/>
        <v>UN</v>
      </c>
      <c r="L4087" s="166" t="str">
        <f t="shared" si="255"/>
        <v>08/2022</v>
      </c>
      <c r="M4087" s="82"/>
      <c r="N4087" s="82"/>
    </row>
    <row r="4088" spans="1:14" x14ac:dyDescent="0.25">
      <c r="A4088" s="170" t="s">
        <v>6856</v>
      </c>
      <c r="B4088" s="170" t="s">
        <v>17553</v>
      </c>
      <c r="C4088" s="170" t="s">
        <v>205</v>
      </c>
      <c r="D4088" s="170" t="s">
        <v>2067</v>
      </c>
      <c r="E4088" s="171" t="s">
        <v>33621</v>
      </c>
      <c r="F4088" s="171" t="s">
        <v>36811</v>
      </c>
      <c r="G4088" s="82"/>
      <c r="H4088" s="96">
        <f t="shared" si="252"/>
        <v>120.89</v>
      </c>
      <c r="I4088" s="96">
        <f t="shared" si="252"/>
        <v>122.59</v>
      </c>
      <c r="J4088" s="91" t="str">
        <f t="shared" si="253"/>
        <v>Sinapi 89855</v>
      </c>
      <c r="K4088" s="91" t="str">
        <f t="shared" si="254"/>
        <v>UN</v>
      </c>
      <c r="L4088" s="166" t="str">
        <f t="shared" si="255"/>
        <v>08/2022</v>
      </c>
      <c r="M4088" s="82"/>
      <c r="N4088" s="82"/>
    </row>
    <row r="4089" spans="1:14" x14ac:dyDescent="0.25">
      <c r="A4089" s="170" t="s">
        <v>6857</v>
      </c>
      <c r="B4089" s="170" t="s">
        <v>17554</v>
      </c>
      <c r="C4089" s="170" t="s">
        <v>205</v>
      </c>
      <c r="D4089" s="170" t="s">
        <v>2067</v>
      </c>
      <c r="E4089" s="171" t="s">
        <v>5491</v>
      </c>
      <c r="F4089" s="171" t="s">
        <v>19872</v>
      </c>
      <c r="G4089" s="82"/>
      <c r="H4089" s="96">
        <f t="shared" si="252"/>
        <v>19.59</v>
      </c>
      <c r="I4089" s="96">
        <f t="shared" si="252"/>
        <v>20.46</v>
      </c>
      <c r="J4089" s="91" t="str">
        <f t="shared" si="253"/>
        <v>Sinapi 89856</v>
      </c>
      <c r="K4089" s="91" t="str">
        <f t="shared" si="254"/>
        <v>UN</v>
      </c>
      <c r="L4089" s="166" t="str">
        <f t="shared" si="255"/>
        <v>08/2022</v>
      </c>
      <c r="M4089" s="82"/>
      <c r="N4089" s="82"/>
    </row>
    <row r="4090" spans="1:14" x14ac:dyDescent="0.25">
      <c r="A4090" s="170" t="s">
        <v>6859</v>
      </c>
      <c r="B4090" s="170" t="s">
        <v>17555</v>
      </c>
      <c r="C4090" s="170" t="s">
        <v>205</v>
      </c>
      <c r="D4090" s="170" t="s">
        <v>2067</v>
      </c>
      <c r="E4090" s="171" t="s">
        <v>21913</v>
      </c>
      <c r="F4090" s="171" t="s">
        <v>36812</v>
      </c>
      <c r="G4090" s="82"/>
      <c r="H4090" s="96">
        <f t="shared" si="252"/>
        <v>39.75</v>
      </c>
      <c r="I4090" s="96">
        <f t="shared" si="252"/>
        <v>40.619999999999997</v>
      </c>
      <c r="J4090" s="91" t="str">
        <f t="shared" si="253"/>
        <v>Sinapi 89857</v>
      </c>
      <c r="K4090" s="91" t="str">
        <f t="shared" si="254"/>
        <v>UN</v>
      </c>
      <c r="L4090" s="166" t="str">
        <f t="shared" si="255"/>
        <v>08/2022</v>
      </c>
      <c r="M4090" s="82"/>
      <c r="N4090" s="82"/>
    </row>
    <row r="4091" spans="1:14" x14ac:dyDescent="0.25">
      <c r="A4091" s="170" t="s">
        <v>6860</v>
      </c>
      <c r="B4091" s="170" t="s">
        <v>17556</v>
      </c>
      <c r="C4091" s="170" t="s">
        <v>205</v>
      </c>
      <c r="D4091" s="170" t="s">
        <v>2067</v>
      </c>
      <c r="E4091" s="171" t="s">
        <v>23178</v>
      </c>
      <c r="F4091" s="171" t="s">
        <v>23022</v>
      </c>
      <c r="G4091" s="82"/>
      <c r="H4091" s="96">
        <f t="shared" si="252"/>
        <v>51.67</v>
      </c>
      <c r="I4091" s="96">
        <f t="shared" si="252"/>
        <v>53.42</v>
      </c>
      <c r="J4091" s="91" t="str">
        <f t="shared" si="253"/>
        <v>Sinapi 89860</v>
      </c>
      <c r="K4091" s="91" t="str">
        <f t="shared" si="254"/>
        <v>UN</v>
      </c>
      <c r="L4091" s="166" t="str">
        <f t="shared" si="255"/>
        <v>08/2022</v>
      </c>
      <c r="M4091" s="82"/>
      <c r="N4091" s="82"/>
    </row>
    <row r="4092" spans="1:14" x14ac:dyDescent="0.25">
      <c r="A4092" s="170" t="s">
        <v>6861</v>
      </c>
      <c r="B4092" s="170" t="s">
        <v>17557</v>
      </c>
      <c r="C4092" s="170" t="s">
        <v>205</v>
      </c>
      <c r="D4092" s="170" t="s">
        <v>2067</v>
      </c>
      <c r="E4092" s="171" t="s">
        <v>25089</v>
      </c>
      <c r="F4092" s="171" t="s">
        <v>36813</v>
      </c>
      <c r="G4092" s="82"/>
      <c r="H4092" s="96">
        <f t="shared" si="252"/>
        <v>59.75</v>
      </c>
      <c r="I4092" s="96">
        <f t="shared" si="252"/>
        <v>61.5</v>
      </c>
      <c r="J4092" s="91" t="str">
        <f t="shared" si="253"/>
        <v>Sinapi 89861</v>
      </c>
      <c r="K4092" s="91" t="str">
        <f t="shared" si="254"/>
        <v>UN</v>
      </c>
      <c r="L4092" s="166" t="str">
        <f t="shared" si="255"/>
        <v>08/2022</v>
      </c>
      <c r="M4092" s="82"/>
      <c r="N4092" s="82"/>
    </row>
    <row r="4093" spans="1:14" x14ac:dyDescent="0.25">
      <c r="A4093" s="170" t="s">
        <v>6862</v>
      </c>
      <c r="B4093" s="170" t="s">
        <v>17558</v>
      </c>
      <c r="C4093" s="170" t="s">
        <v>205</v>
      </c>
      <c r="D4093" s="170" t="s">
        <v>2067</v>
      </c>
      <c r="E4093" s="171" t="s">
        <v>16362</v>
      </c>
      <c r="F4093" s="171" t="s">
        <v>21648</v>
      </c>
      <c r="G4093" s="82"/>
      <c r="H4093" s="96">
        <f t="shared" si="252"/>
        <v>6.63</v>
      </c>
      <c r="I4093" s="96">
        <f t="shared" si="252"/>
        <v>7.15</v>
      </c>
      <c r="J4093" s="91" t="str">
        <f t="shared" si="253"/>
        <v>Sinapi 89866</v>
      </c>
      <c r="K4093" s="91" t="str">
        <f t="shared" si="254"/>
        <v>UN</v>
      </c>
      <c r="L4093" s="166" t="str">
        <f t="shared" si="255"/>
        <v>08/2022</v>
      </c>
      <c r="M4093" s="82"/>
      <c r="N4093" s="82"/>
    </row>
    <row r="4094" spans="1:14" x14ac:dyDescent="0.25">
      <c r="A4094" s="170" t="s">
        <v>6863</v>
      </c>
      <c r="B4094" s="170" t="s">
        <v>17559</v>
      </c>
      <c r="C4094" s="170" t="s">
        <v>205</v>
      </c>
      <c r="D4094" s="170" t="s">
        <v>2067</v>
      </c>
      <c r="E4094" s="171" t="s">
        <v>20057</v>
      </c>
      <c r="F4094" s="171" t="s">
        <v>10254</v>
      </c>
      <c r="G4094" s="82"/>
      <c r="H4094" s="96">
        <f t="shared" si="252"/>
        <v>7.54</v>
      </c>
      <c r="I4094" s="96">
        <f t="shared" si="252"/>
        <v>8.06</v>
      </c>
      <c r="J4094" s="91" t="str">
        <f t="shared" si="253"/>
        <v>Sinapi 89867</v>
      </c>
      <c r="K4094" s="91" t="str">
        <f t="shared" si="254"/>
        <v>UN</v>
      </c>
      <c r="L4094" s="166" t="str">
        <f t="shared" si="255"/>
        <v>08/2022</v>
      </c>
      <c r="M4094" s="82"/>
      <c r="N4094" s="82"/>
    </row>
    <row r="4095" spans="1:14" x14ac:dyDescent="0.25">
      <c r="A4095" s="170" t="s">
        <v>6864</v>
      </c>
      <c r="B4095" s="170" t="s">
        <v>17560</v>
      </c>
      <c r="C4095" s="170" t="s">
        <v>205</v>
      </c>
      <c r="D4095" s="170" t="s">
        <v>2067</v>
      </c>
      <c r="E4095" s="171" t="s">
        <v>15515</v>
      </c>
      <c r="F4095" s="171" t="s">
        <v>3919</v>
      </c>
      <c r="G4095" s="82"/>
      <c r="H4095" s="96">
        <f t="shared" si="252"/>
        <v>5.22</v>
      </c>
      <c r="I4095" s="96">
        <f t="shared" si="252"/>
        <v>5.57</v>
      </c>
      <c r="J4095" s="91" t="str">
        <f t="shared" si="253"/>
        <v>Sinapi 89868</v>
      </c>
      <c r="K4095" s="91" t="str">
        <f t="shared" si="254"/>
        <v>UN</v>
      </c>
      <c r="L4095" s="166" t="str">
        <f t="shared" si="255"/>
        <v>08/2022</v>
      </c>
      <c r="M4095" s="82"/>
      <c r="N4095" s="82"/>
    </row>
    <row r="4096" spans="1:14" x14ac:dyDescent="0.25">
      <c r="A4096" s="170" t="s">
        <v>6865</v>
      </c>
      <c r="B4096" s="170" t="s">
        <v>17561</v>
      </c>
      <c r="C4096" s="170" t="s">
        <v>205</v>
      </c>
      <c r="D4096" s="170" t="s">
        <v>2067</v>
      </c>
      <c r="E4096" s="171" t="s">
        <v>3942</v>
      </c>
      <c r="F4096" s="171" t="s">
        <v>22731</v>
      </c>
      <c r="G4096" s="82"/>
      <c r="H4096" s="96">
        <f t="shared" si="252"/>
        <v>9.34</v>
      </c>
      <c r="I4096" s="96">
        <f t="shared" si="252"/>
        <v>10.029999999999999</v>
      </c>
      <c r="J4096" s="91" t="str">
        <f t="shared" si="253"/>
        <v>Sinapi 89869</v>
      </c>
      <c r="K4096" s="91" t="str">
        <f t="shared" si="254"/>
        <v>UN</v>
      </c>
      <c r="L4096" s="166" t="str">
        <f t="shared" si="255"/>
        <v>08/2022</v>
      </c>
      <c r="M4096" s="82"/>
      <c r="N4096" s="82"/>
    </row>
    <row r="4097" spans="1:14" x14ac:dyDescent="0.25">
      <c r="A4097" s="170" t="s">
        <v>6866</v>
      </c>
      <c r="B4097" s="170" t="s">
        <v>16864</v>
      </c>
      <c r="C4097" s="170" t="s">
        <v>205</v>
      </c>
      <c r="D4097" s="170" t="s">
        <v>2067</v>
      </c>
      <c r="E4097" s="171" t="s">
        <v>22906</v>
      </c>
      <c r="F4097" s="171" t="s">
        <v>19982</v>
      </c>
      <c r="G4097" s="82"/>
      <c r="H4097" s="96">
        <f t="shared" si="252"/>
        <v>26.52</v>
      </c>
      <c r="I4097" s="96">
        <f t="shared" si="252"/>
        <v>27.04</v>
      </c>
      <c r="J4097" s="91" t="str">
        <f t="shared" si="253"/>
        <v>Sinapi 89979</v>
      </c>
      <c r="K4097" s="91" t="str">
        <f t="shared" si="254"/>
        <v>UN</v>
      </c>
      <c r="L4097" s="166" t="str">
        <f t="shared" si="255"/>
        <v>06/2022</v>
      </c>
      <c r="M4097" s="82"/>
      <c r="N4097" s="82"/>
    </row>
    <row r="4098" spans="1:14" x14ac:dyDescent="0.25">
      <c r="A4098" s="170" t="s">
        <v>6867</v>
      </c>
      <c r="B4098" s="170" t="s">
        <v>16865</v>
      </c>
      <c r="C4098" s="170" t="s">
        <v>205</v>
      </c>
      <c r="D4098" s="170" t="s">
        <v>2067</v>
      </c>
      <c r="E4098" s="171" t="s">
        <v>23183</v>
      </c>
      <c r="F4098" s="171" t="s">
        <v>21579</v>
      </c>
      <c r="G4098" s="82"/>
      <c r="H4098" s="96">
        <f t="shared" si="252"/>
        <v>24.04</v>
      </c>
      <c r="I4098" s="96">
        <f t="shared" si="252"/>
        <v>24.29</v>
      </c>
      <c r="J4098" s="91" t="str">
        <f t="shared" si="253"/>
        <v>Sinapi 89981</v>
      </c>
      <c r="K4098" s="91" t="str">
        <f t="shared" si="254"/>
        <v>UN</v>
      </c>
      <c r="L4098" s="166" t="str">
        <f t="shared" si="255"/>
        <v>06/2022</v>
      </c>
      <c r="M4098" s="82"/>
      <c r="N4098" s="82"/>
    </row>
    <row r="4099" spans="1:14" x14ac:dyDescent="0.25">
      <c r="A4099" s="170" t="s">
        <v>6868</v>
      </c>
      <c r="B4099" s="170" t="s">
        <v>16866</v>
      </c>
      <c r="C4099" s="170" t="s">
        <v>205</v>
      </c>
      <c r="D4099" s="170" t="s">
        <v>2067</v>
      </c>
      <c r="E4099" s="171" t="s">
        <v>15634</v>
      </c>
      <c r="F4099" s="171" t="s">
        <v>19963</v>
      </c>
      <c r="G4099" s="82"/>
      <c r="H4099" s="96">
        <f t="shared" si="252"/>
        <v>12.81</v>
      </c>
      <c r="I4099" s="96">
        <f t="shared" si="252"/>
        <v>13.43</v>
      </c>
      <c r="J4099" s="91" t="str">
        <f t="shared" si="253"/>
        <v>Sinapi 90373</v>
      </c>
      <c r="K4099" s="91" t="str">
        <f t="shared" si="254"/>
        <v>UN</v>
      </c>
      <c r="L4099" s="166" t="str">
        <f t="shared" si="255"/>
        <v>06/2022</v>
      </c>
      <c r="M4099" s="82"/>
      <c r="N4099" s="82"/>
    </row>
    <row r="4100" spans="1:14" x14ac:dyDescent="0.25">
      <c r="A4100" s="170" t="s">
        <v>6869</v>
      </c>
      <c r="B4100" s="170" t="s">
        <v>16867</v>
      </c>
      <c r="C4100" s="170" t="s">
        <v>205</v>
      </c>
      <c r="D4100" s="170" t="s">
        <v>2067</v>
      </c>
      <c r="E4100" s="171" t="s">
        <v>15701</v>
      </c>
      <c r="F4100" s="171" t="s">
        <v>17352</v>
      </c>
      <c r="G4100" s="82"/>
      <c r="H4100" s="96">
        <f t="shared" si="252"/>
        <v>22.39</v>
      </c>
      <c r="I4100" s="96">
        <f t="shared" si="252"/>
        <v>23.28</v>
      </c>
      <c r="J4100" s="91" t="str">
        <f t="shared" si="253"/>
        <v>Sinapi 90374</v>
      </c>
      <c r="K4100" s="91" t="str">
        <f t="shared" si="254"/>
        <v>UN</v>
      </c>
      <c r="L4100" s="166" t="str">
        <f t="shared" si="255"/>
        <v>06/2022</v>
      </c>
      <c r="M4100" s="82"/>
      <c r="N4100" s="82"/>
    </row>
    <row r="4101" spans="1:14" x14ac:dyDescent="0.25">
      <c r="A4101" s="170" t="s">
        <v>6870</v>
      </c>
      <c r="B4101" s="170" t="s">
        <v>15857</v>
      </c>
      <c r="C4101" s="170" t="s">
        <v>205</v>
      </c>
      <c r="D4101" s="170" t="s">
        <v>1947</v>
      </c>
      <c r="E4101" s="171" t="s">
        <v>21213</v>
      </c>
      <c r="F4101" s="171" t="s">
        <v>19924</v>
      </c>
      <c r="G4101" s="82"/>
      <c r="H4101" s="96">
        <f t="shared" si="252"/>
        <v>15.8</v>
      </c>
      <c r="I4101" s="96">
        <f t="shared" si="252"/>
        <v>16.22</v>
      </c>
      <c r="J4101" s="91" t="str">
        <f t="shared" si="253"/>
        <v>Sinapi 92287</v>
      </c>
      <c r="K4101" s="91" t="str">
        <f t="shared" si="254"/>
        <v>UN</v>
      </c>
      <c r="L4101" s="166" t="str">
        <f t="shared" si="255"/>
        <v>04/2022</v>
      </c>
      <c r="M4101" s="82"/>
      <c r="N4101" s="82"/>
    </row>
    <row r="4102" spans="1:14" x14ac:dyDescent="0.25">
      <c r="A4102" s="170" t="s">
        <v>6871</v>
      </c>
      <c r="B4102" s="170" t="s">
        <v>15858</v>
      </c>
      <c r="C4102" s="170" t="s">
        <v>205</v>
      </c>
      <c r="D4102" s="170" t="s">
        <v>1947</v>
      </c>
      <c r="E4102" s="171" t="s">
        <v>22901</v>
      </c>
      <c r="F4102" s="171" t="s">
        <v>31684</v>
      </c>
      <c r="G4102" s="82"/>
      <c r="H4102" s="96">
        <f t="shared" si="252"/>
        <v>25.03</v>
      </c>
      <c r="I4102" s="96">
        <f t="shared" si="252"/>
        <v>25.58</v>
      </c>
      <c r="J4102" s="91" t="str">
        <f t="shared" si="253"/>
        <v>Sinapi 92288</v>
      </c>
      <c r="K4102" s="91" t="str">
        <f t="shared" si="254"/>
        <v>UN</v>
      </c>
      <c r="L4102" s="166" t="str">
        <f t="shared" si="255"/>
        <v>04/2022</v>
      </c>
      <c r="M4102" s="82"/>
      <c r="N4102" s="82"/>
    </row>
    <row r="4103" spans="1:14" x14ac:dyDescent="0.25">
      <c r="A4103" s="170" t="s">
        <v>6872</v>
      </c>
      <c r="B4103" s="170" t="s">
        <v>15859</v>
      </c>
      <c r="C4103" s="170" t="s">
        <v>205</v>
      </c>
      <c r="D4103" s="170" t="s">
        <v>1947</v>
      </c>
      <c r="E4103" s="171" t="s">
        <v>33622</v>
      </c>
      <c r="F4103" s="171" t="s">
        <v>21553</v>
      </c>
      <c r="G4103" s="82"/>
      <c r="H4103" s="96">
        <f t="shared" si="252"/>
        <v>44.66</v>
      </c>
      <c r="I4103" s="96">
        <f t="shared" si="252"/>
        <v>45.34</v>
      </c>
      <c r="J4103" s="91" t="str">
        <f t="shared" si="253"/>
        <v>Sinapi 92289</v>
      </c>
      <c r="K4103" s="91" t="str">
        <f t="shared" si="254"/>
        <v>UN</v>
      </c>
      <c r="L4103" s="166" t="str">
        <f t="shared" si="255"/>
        <v>04/2022</v>
      </c>
      <c r="M4103" s="82"/>
      <c r="N4103" s="82"/>
    </row>
    <row r="4104" spans="1:14" x14ac:dyDescent="0.25">
      <c r="A4104" s="170" t="s">
        <v>6873</v>
      </c>
      <c r="B4104" s="170" t="s">
        <v>15860</v>
      </c>
      <c r="C4104" s="170" t="s">
        <v>205</v>
      </c>
      <c r="D4104" s="170" t="s">
        <v>1947</v>
      </c>
      <c r="E4104" s="171" t="s">
        <v>24261</v>
      </c>
      <c r="F4104" s="171" t="s">
        <v>23136</v>
      </c>
      <c r="G4104" s="82"/>
      <c r="H4104" s="96">
        <f t="shared" ref="H4104:I4167" si="256">IF(E4104="","",E4104+0)</f>
        <v>67.88</v>
      </c>
      <c r="I4104" s="96">
        <f t="shared" si="256"/>
        <v>68.709999999999994</v>
      </c>
      <c r="J4104" s="91" t="str">
        <f t="shared" ref="J4104:J4167" si="257">IF(OR(H4104="",I4104=""),"",TRIM(CONCATENATE("Sinapi ",A4104)))</f>
        <v>Sinapi 92290</v>
      </c>
      <c r="K4104" s="91" t="str">
        <f t="shared" ref="K4104:K4167" si="258">TRIM(C4104)</f>
        <v>UN</v>
      </c>
      <c r="L4104" s="166" t="str">
        <f t="shared" ref="L4104:L4167" si="259">IF(OR(RIGHT(IF(AND(K4104&lt;&gt;"H",K4104&lt;&gt;"MES"),RIGHT(B4104,7),""),2)="PS",RIGHT(IF(AND(K4104&lt;&gt;"H",K4104&lt;&gt;"MES"),RIGHT(B4104,7),""),2)="PA",RIGHT(IF(AND(K4104&lt;&gt;"H",K4104&lt;&gt;"MES"),RIGHT(B4104,7),""),2)="PE"),LEFT(IF(AND(K4104&lt;&gt;"H",K4104&lt;&gt;"MES"),RIGHT(B4104,10),""),7),IF(AND(K4104&lt;&gt;"H",K4104&lt;&gt;"MES"),RIGHT(B4104,7),""))</f>
        <v>04/2022</v>
      </c>
      <c r="M4104" s="82"/>
      <c r="N4104" s="82"/>
    </row>
    <row r="4105" spans="1:14" x14ac:dyDescent="0.25">
      <c r="A4105" s="170" t="s">
        <v>6874</v>
      </c>
      <c r="B4105" s="170" t="s">
        <v>15861</v>
      </c>
      <c r="C4105" s="170" t="s">
        <v>205</v>
      </c>
      <c r="D4105" s="170" t="s">
        <v>1947</v>
      </c>
      <c r="E4105" s="171" t="s">
        <v>33623</v>
      </c>
      <c r="F4105" s="171" t="s">
        <v>31754</v>
      </c>
      <c r="G4105" s="82"/>
      <c r="H4105" s="96">
        <f t="shared" si="256"/>
        <v>105.41</v>
      </c>
      <c r="I4105" s="96">
        <f t="shared" si="256"/>
        <v>106.48</v>
      </c>
      <c r="J4105" s="91" t="str">
        <f t="shared" si="257"/>
        <v>Sinapi 92291</v>
      </c>
      <c r="K4105" s="91" t="str">
        <f t="shared" si="258"/>
        <v>UN</v>
      </c>
      <c r="L4105" s="166" t="str">
        <f t="shared" si="259"/>
        <v>04/2022</v>
      </c>
      <c r="M4105" s="82"/>
      <c r="N4105" s="82"/>
    </row>
    <row r="4106" spans="1:14" x14ac:dyDescent="0.25">
      <c r="A4106" s="170" t="s">
        <v>6875</v>
      </c>
      <c r="B4106" s="170" t="s">
        <v>15862</v>
      </c>
      <c r="C4106" s="170" t="s">
        <v>205</v>
      </c>
      <c r="D4106" s="170" t="s">
        <v>1947</v>
      </c>
      <c r="E4106" s="171" t="s">
        <v>33624</v>
      </c>
      <c r="F4106" s="171" t="s">
        <v>36814</v>
      </c>
      <c r="G4106" s="82"/>
      <c r="H4106" s="96">
        <f t="shared" si="256"/>
        <v>328.59</v>
      </c>
      <c r="I4106" s="96">
        <f t="shared" si="256"/>
        <v>329.91</v>
      </c>
      <c r="J4106" s="91" t="str">
        <f t="shared" si="257"/>
        <v>Sinapi 92292</v>
      </c>
      <c r="K4106" s="91" t="str">
        <f t="shared" si="258"/>
        <v>UN</v>
      </c>
      <c r="L4106" s="166" t="str">
        <f t="shared" si="259"/>
        <v>04/2022</v>
      </c>
      <c r="M4106" s="82"/>
      <c r="N4106" s="82"/>
    </row>
    <row r="4107" spans="1:14" x14ac:dyDescent="0.25">
      <c r="A4107" s="170" t="s">
        <v>6876</v>
      </c>
      <c r="B4107" s="170" t="s">
        <v>15863</v>
      </c>
      <c r="C4107" s="170" t="s">
        <v>205</v>
      </c>
      <c r="D4107" s="170" t="s">
        <v>1947</v>
      </c>
      <c r="E4107" s="171" t="s">
        <v>15580</v>
      </c>
      <c r="F4107" s="171" t="s">
        <v>8285</v>
      </c>
      <c r="G4107" s="82"/>
      <c r="H4107" s="96">
        <f t="shared" si="256"/>
        <v>8.93</v>
      </c>
      <c r="I4107" s="96">
        <f t="shared" si="256"/>
        <v>9.2100000000000009</v>
      </c>
      <c r="J4107" s="91" t="str">
        <f t="shared" si="257"/>
        <v>Sinapi 92293</v>
      </c>
      <c r="K4107" s="91" t="str">
        <f t="shared" si="258"/>
        <v>UN</v>
      </c>
      <c r="L4107" s="166" t="str">
        <f t="shared" si="259"/>
        <v>04/2022</v>
      </c>
      <c r="M4107" s="82"/>
      <c r="N4107" s="82"/>
    </row>
    <row r="4108" spans="1:14" x14ac:dyDescent="0.25">
      <c r="A4108" s="170" t="s">
        <v>6877</v>
      </c>
      <c r="B4108" s="170" t="s">
        <v>15864</v>
      </c>
      <c r="C4108" s="170" t="s">
        <v>205</v>
      </c>
      <c r="D4108" s="170" t="s">
        <v>1947</v>
      </c>
      <c r="E4108" s="171" t="s">
        <v>21197</v>
      </c>
      <c r="F4108" s="171" t="s">
        <v>14340</v>
      </c>
      <c r="G4108" s="82"/>
      <c r="H4108" s="96">
        <f t="shared" si="256"/>
        <v>15.23</v>
      </c>
      <c r="I4108" s="96">
        <f t="shared" si="256"/>
        <v>15.59</v>
      </c>
      <c r="J4108" s="91" t="str">
        <f t="shared" si="257"/>
        <v>Sinapi 92294</v>
      </c>
      <c r="K4108" s="91" t="str">
        <f t="shared" si="258"/>
        <v>UN</v>
      </c>
      <c r="L4108" s="166" t="str">
        <f t="shared" si="259"/>
        <v>04/2022</v>
      </c>
      <c r="M4108" s="82"/>
      <c r="N4108" s="82"/>
    </row>
    <row r="4109" spans="1:14" x14ac:dyDescent="0.25">
      <c r="A4109" s="170" t="s">
        <v>6878</v>
      </c>
      <c r="B4109" s="170" t="s">
        <v>15865</v>
      </c>
      <c r="C4109" s="170" t="s">
        <v>205</v>
      </c>
      <c r="D4109" s="170" t="s">
        <v>1947</v>
      </c>
      <c r="E4109" s="171" t="s">
        <v>19266</v>
      </c>
      <c r="F4109" s="171" t="s">
        <v>23258</v>
      </c>
      <c r="G4109" s="82"/>
      <c r="H4109" s="96">
        <f t="shared" si="256"/>
        <v>28.96</v>
      </c>
      <c r="I4109" s="96">
        <f t="shared" si="256"/>
        <v>29.41</v>
      </c>
      <c r="J4109" s="91" t="str">
        <f t="shared" si="257"/>
        <v>Sinapi 92295</v>
      </c>
      <c r="K4109" s="91" t="str">
        <f t="shared" si="258"/>
        <v>UN</v>
      </c>
      <c r="L4109" s="166" t="str">
        <f t="shared" si="259"/>
        <v>04/2022</v>
      </c>
      <c r="M4109" s="82"/>
      <c r="N4109" s="82"/>
    </row>
    <row r="4110" spans="1:14" x14ac:dyDescent="0.25">
      <c r="A4110" s="170" t="s">
        <v>6879</v>
      </c>
      <c r="B4110" s="170" t="s">
        <v>15866</v>
      </c>
      <c r="C4110" s="170" t="s">
        <v>205</v>
      </c>
      <c r="D4110" s="170" t="s">
        <v>1947</v>
      </c>
      <c r="E4110" s="171" t="s">
        <v>19981</v>
      </c>
      <c r="F4110" s="171" t="s">
        <v>28884</v>
      </c>
      <c r="G4110" s="82"/>
      <c r="H4110" s="96">
        <f t="shared" si="256"/>
        <v>38.43</v>
      </c>
      <c r="I4110" s="96">
        <f t="shared" si="256"/>
        <v>38.979999999999997</v>
      </c>
      <c r="J4110" s="91" t="str">
        <f t="shared" si="257"/>
        <v>Sinapi 92296</v>
      </c>
      <c r="K4110" s="91" t="str">
        <f t="shared" si="258"/>
        <v>UN</v>
      </c>
      <c r="L4110" s="166" t="str">
        <f t="shared" si="259"/>
        <v>04/2022</v>
      </c>
      <c r="M4110" s="82"/>
      <c r="N4110" s="82"/>
    </row>
    <row r="4111" spans="1:14" x14ac:dyDescent="0.25">
      <c r="A4111" s="170" t="s">
        <v>6880</v>
      </c>
      <c r="B4111" s="170" t="s">
        <v>15867</v>
      </c>
      <c r="C4111" s="170" t="s">
        <v>205</v>
      </c>
      <c r="D4111" s="170" t="s">
        <v>1947</v>
      </c>
      <c r="E4111" s="171" t="s">
        <v>33625</v>
      </c>
      <c r="F4111" s="171" t="s">
        <v>36641</v>
      </c>
      <c r="G4111" s="82"/>
      <c r="H4111" s="96">
        <f t="shared" si="256"/>
        <v>59.77</v>
      </c>
      <c r="I4111" s="96">
        <f t="shared" si="256"/>
        <v>60.49</v>
      </c>
      <c r="J4111" s="91" t="str">
        <f t="shared" si="257"/>
        <v>Sinapi 92297</v>
      </c>
      <c r="K4111" s="91" t="str">
        <f t="shared" si="258"/>
        <v>UN</v>
      </c>
      <c r="L4111" s="166" t="str">
        <f t="shared" si="259"/>
        <v>04/2022</v>
      </c>
      <c r="M4111" s="82"/>
      <c r="N4111" s="82"/>
    </row>
    <row r="4112" spans="1:14" x14ac:dyDescent="0.25">
      <c r="A4112" s="170" t="s">
        <v>6881</v>
      </c>
      <c r="B4112" s="170" t="s">
        <v>15868</v>
      </c>
      <c r="C4112" s="170" t="s">
        <v>205</v>
      </c>
      <c r="D4112" s="170" t="s">
        <v>1947</v>
      </c>
      <c r="E4112" s="171" t="s">
        <v>33626</v>
      </c>
      <c r="F4112" s="171" t="s">
        <v>36815</v>
      </c>
      <c r="G4112" s="82"/>
      <c r="H4112" s="96">
        <f t="shared" si="256"/>
        <v>169.08</v>
      </c>
      <c r="I4112" s="96">
        <f t="shared" si="256"/>
        <v>169.95</v>
      </c>
      <c r="J4112" s="91" t="str">
        <f t="shared" si="257"/>
        <v>Sinapi 92298</v>
      </c>
      <c r="K4112" s="91" t="str">
        <f t="shared" si="258"/>
        <v>UN</v>
      </c>
      <c r="L4112" s="166" t="str">
        <f t="shared" si="259"/>
        <v>04/2022</v>
      </c>
      <c r="M4112" s="82"/>
      <c r="N4112" s="82"/>
    </row>
    <row r="4113" spans="1:14" x14ac:dyDescent="0.25">
      <c r="A4113" s="170" t="s">
        <v>6882</v>
      </c>
      <c r="B4113" s="170" t="s">
        <v>15869</v>
      </c>
      <c r="C4113" s="170" t="s">
        <v>205</v>
      </c>
      <c r="D4113" s="170" t="s">
        <v>1947</v>
      </c>
      <c r="E4113" s="171" t="s">
        <v>19415</v>
      </c>
      <c r="F4113" s="171" t="s">
        <v>16204</v>
      </c>
      <c r="G4113" s="82"/>
      <c r="H4113" s="96">
        <f t="shared" si="256"/>
        <v>20.78</v>
      </c>
      <c r="I4113" s="96">
        <f t="shared" si="256"/>
        <v>21.34</v>
      </c>
      <c r="J4113" s="91" t="str">
        <f t="shared" si="257"/>
        <v>Sinapi 92299</v>
      </c>
      <c r="K4113" s="91" t="str">
        <f t="shared" si="258"/>
        <v>UN</v>
      </c>
      <c r="L4113" s="166" t="str">
        <f t="shared" si="259"/>
        <v>04/2022</v>
      </c>
      <c r="M4113" s="82"/>
      <c r="N4113" s="82"/>
    </row>
    <row r="4114" spans="1:14" x14ac:dyDescent="0.25">
      <c r="A4114" s="170" t="s">
        <v>6883</v>
      </c>
      <c r="B4114" s="170" t="s">
        <v>15870</v>
      </c>
      <c r="C4114" s="170" t="s">
        <v>205</v>
      </c>
      <c r="D4114" s="170" t="s">
        <v>1947</v>
      </c>
      <c r="E4114" s="171" t="s">
        <v>28891</v>
      </c>
      <c r="F4114" s="171" t="s">
        <v>31922</v>
      </c>
      <c r="G4114" s="82"/>
      <c r="H4114" s="96">
        <f t="shared" si="256"/>
        <v>31.79</v>
      </c>
      <c r="I4114" s="96">
        <f t="shared" si="256"/>
        <v>32.520000000000003</v>
      </c>
      <c r="J4114" s="91" t="str">
        <f t="shared" si="257"/>
        <v>Sinapi 92300</v>
      </c>
      <c r="K4114" s="91" t="str">
        <f t="shared" si="258"/>
        <v>UN</v>
      </c>
      <c r="L4114" s="166" t="str">
        <f t="shared" si="259"/>
        <v>04/2022</v>
      </c>
      <c r="M4114" s="82"/>
      <c r="N4114" s="82"/>
    </row>
    <row r="4115" spans="1:14" x14ac:dyDescent="0.25">
      <c r="A4115" s="170" t="s">
        <v>6884</v>
      </c>
      <c r="B4115" s="170" t="s">
        <v>15871</v>
      </c>
      <c r="C4115" s="170" t="s">
        <v>205</v>
      </c>
      <c r="D4115" s="170" t="s">
        <v>1947</v>
      </c>
      <c r="E4115" s="171" t="s">
        <v>29050</v>
      </c>
      <c r="F4115" s="171" t="s">
        <v>23172</v>
      </c>
      <c r="G4115" s="82"/>
      <c r="H4115" s="96">
        <f t="shared" si="256"/>
        <v>63.5</v>
      </c>
      <c r="I4115" s="96">
        <f t="shared" si="256"/>
        <v>64.41</v>
      </c>
      <c r="J4115" s="91" t="str">
        <f t="shared" si="257"/>
        <v>Sinapi 92301</v>
      </c>
      <c r="K4115" s="91" t="str">
        <f t="shared" si="258"/>
        <v>UN</v>
      </c>
      <c r="L4115" s="166" t="str">
        <f t="shared" si="259"/>
        <v>04/2022</v>
      </c>
      <c r="M4115" s="82"/>
      <c r="N4115" s="82"/>
    </row>
    <row r="4116" spans="1:14" x14ac:dyDescent="0.25">
      <c r="A4116" s="170" t="s">
        <v>6885</v>
      </c>
      <c r="B4116" s="170" t="s">
        <v>15872</v>
      </c>
      <c r="C4116" s="170" t="s">
        <v>205</v>
      </c>
      <c r="D4116" s="170" t="s">
        <v>1947</v>
      </c>
      <c r="E4116" s="171" t="s">
        <v>33627</v>
      </c>
      <c r="F4116" s="171" t="s">
        <v>36816</v>
      </c>
      <c r="G4116" s="82"/>
      <c r="H4116" s="96">
        <f t="shared" si="256"/>
        <v>84</v>
      </c>
      <c r="I4116" s="96">
        <f t="shared" si="256"/>
        <v>85.11</v>
      </c>
      <c r="J4116" s="91" t="str">
        <f t="shared" si="257"/>
        <v>Sinapi 92302</v>
      </c>
      <c r="K4116" s="91" t="str">
        <f t="shared" si="258"/>
        <v>UN</v>
      </c>
      <c r="L4116" s="166" t="str">
        <f t="shared" si="259"/>
        <v>04/2022</v>
      </c>
      <c r="M4116" s="82"/>
      <c r="N4116" s="82"/>
    </row>
    <row r="4117" spans="1:14" x14ac:dyDescent="0.25">
      <c r="A4117" s="170" t="s">
        <v>6886</v>
      </c>
      <c r="B4117" s="170" t="s">
        <v>15873</v>
      </c>
      <c r="C4117" s="170" t="s">
        <v>205</v>
      </c>
      <c r="D4117" s="170" t="s">
        <v>1947</v>
      </c>
      <c r="E4117" s="171" t="s">
        <v>33628</v>
      </c>
      <c r="F4117" s="171" t="s">
        <v>33472</v>
      </c>
      <c r="G4117" s="82"/>
      <c r="H4117" s="96">
        <f t="shared" si="256"/>
        <v>154.80000000000001</v>
      </c>
      <c r="I4117" s="96">
        <f t="shared" si="256"/>
        <v>156.22999999999999</v>
      </c>
      <c r="J4117" s="91" t="str">
        <f t="shared" si="257"/>
        <v>Sinapi 92303</v>
      </c>
      <c r="K4117" s="91" t="str">
        <f t="shared" si="258"/>
        <v>UN</v>
      </c>
      <c r="L4117" s="166" t="str">
        <f t="shared" si="259"/>
        <v>04/2022</v>
      </c>
      <c r="M4117" s="82"/>
      <c r="N4117" s="82"/>
    </row>
    <row r="4118" spans="1:14" x14ac:dyDescent="0.25">
      <c r="A4118" s="170" t="s">
        <v>6887</v>
      </c>
      <c r="B4118" s="170" t="s">
        <v>15874</v>
      </c>
      <c r="C4118" s="170" t="s">
        <v>205</v>
      </c>
      <c r="D4118" s="170" t="s">
        <v>1947</v>
      </c>
      <c r="E4118" s="171" t="s">
        <v>33629</v>
      </c>
      <c r="F4118" s="171" t="s">
        <v>31256</v>
      </c>
      <c r="G4118" s="82"/>
      <c r="H4118" s="96">
        <f t="shared" si="256"/>
        <v>403.91</v>
      </c>
      <c r="I4118" s="96">
        <f t="shared" si="256"/>
        <v>405.67</v>
      </c>
      <c r="J4118" s="91" t="str">
        <f t="shared" si="257"/>
        <v>Sinapi 92304</v>
      </c>
      <c r="K4118" s="91" t="str">
        <f t="shared" si="258"/>
        <v>UN</v>
      </c>
      <c r="L4118" s="166" t="str">
        <f t="shared" si="259"/>
        <v>04/2022</v>
      </c>
      <c r="M4118" s="82"/>
      <c r="N4118" s="82"/>
    </row>
    <row r="4119" spans="1:14" x14ac:dyDescent="0.25">
      <c r="A4119" s="170" t="s">
        <v>6888</v>
      </c>
      <c r="B4119" s="170" t="s">
        <v>16868</v>
      </c>
      <c r="C4119" s="170" t="s">
        <v>205</v>
      </c>
      <c r="D4119" s="170" t="s">
        <v>1947</v>
      </c>
      <c r="E4119" s="171" t="s">
        <v>15646</v>
      </c>
      <c r="F4119" s="171" t="s">
        <v>19394</v>
      </c>
      <c r="G4119" s="82"/>
      <c r="H4119" s="96">
        <f t="shared" si="256"/>
        <v>11.39</v>
      </c>
      <c r="I4119" s="96">
        <f t="shared" si="256"/>
        <v>12.04</v>
      </c>
      <c r="J4119" s="91" t="str">
        <f t="shared" si="257"/>
        <v>Sinapi 92311</v>
      </c>
      <c r="K4119" s="91" t="str">
        <f t="shared" si="258"/>
        <v>UN</v>
      </c>
      <c r="L4119" s="166" t="str">
        <f t="shared" si="259"/>
        <v>04/2022</v>
      </c>
      <c r="M4119" s="82"/>
      <c r="N4119" s="82"/>
    </row>
    <row r="4120" spans="1:14" x14ac:dyDescent="0.25">
      <c r="A4120" s="170" t="s">
        <v>6889</v>
      </c>
      <c r="B4120" s="170" t="s">
        <v>15875</v>
      </c>
      <c r="C4120" s="170" t="s">
        <v>205</v>
      </c>
      <c r="D4120" s="170" t="s">
        <v>1947</v>
      </c>
      <c r="E4120" s="171" t="s">
        <v>15507</v>
      </c>
      <c r="F4120" s="171" t="s">
        <v>19825</v>
      </c>
      <c r="G4120" s="82"/>
      <c r="H4120" s="96">
        <f t="shared" si="256"/>
        <v>19.27</v>
      </c>
      <c r="I4120" s="96">
        <f t="shared" si="256"/>
        <v>20.09</v>
      </c>
      <c r="J4120" s="91" t="str">
        <f t="shared" si="257"/>
        <v>Sinapi 92312</v>
      </c>
      <c r="K4120" s="91" t="str">
        <f t="shared" si="258"/>
        <v>UN</v>
      </c>
      <c r="L4120" s="166" t="str">
        <f t="shared" si="259"/>
        <v>04/2022</v>
      </c>
      <c r="M4120" s="82"/>
      <c r="N4120" s="82"/>
    </row>
    <row r="4121" spans="1:14" x14ac:dyDescent="0.25">
      <c r="A4121" s="170" t="s">
        <v>6891</v>
      </c>
      <c r="B4121" s="170" t="s">
        <v>15876</v>
      </c>
      <c r="C4121" s="170" t="s">
        <v>205</v>
      </c>
      <c r="D4121" s="170" t="s">
        <v>1947</v>
      </c>
      <c r="E4121" s="171" t="s">
        <v>31523</v>
      </c>
      <c r="F4121" s="171" t="s">
        <v>36817</v>
      </c>
      <c r="G4121" s="82"/>
      <c r="H4121" s="96">
        <f t="shared" si="256"/>
        <v>28.25</v>
      </c>
      <c r="I4121" s="96">
        <f t="shared" si="256"/>
        <v>29.15</v>
      </c>
      <c r="J4121" s="91" t="str">
        <f t="shared" si="257"/>
        <v>Sinapi 92313</v>
      </c>
      <c r="K4121" s="91" t="str">
        <f t="shared" si="258"/>
        <v>UN</v>
      </c>
      <c r="L4121" s="166" t="str">
        <f t="shared" si="259"/>
        <v>04/2022</v>
      </c>
      <c r="M4121" s="82"/>
      <c r="N4121" s="82"/>
    </row>
    <row r="4122" spans="1:14" x14ac:dyDescent="0.25">
      <c r="A4122" s="170" t="s">
        <v>6892</v>
      </c>
      <c r="B4122" s="170" t="s">
        <v>15877</v>
      </c>
      <c r="C4122" s="170" t="s">
        <v>205</v>
      </c>
      <c r="D4122" s="170" t="s">
        <v>1947</v>
      </c>
      <c r="E4122" s="171" t="s">
        <v>4990</v>
      </c>
      <c r="F4122" s="171" t="s">
        <v>19274</v>
      </c>
      <c r="G4122" s="82"/>
      <c r="H4122" s="96">
        <f t="shared" si="256"/>
        <v>7.61</v>
      </c>
      <c r="I4122" s="96">
        <f t="shared" si="256"/>
        <v>8.08</v>
      </c>
      <c r="J4122" s="91" t="str">
        <f t="shared" si="257"/>
        <v>Sinapi 92314</v>
      </c>
      <c r="K4122" s="91" t="str">
        <f t="shared" si="258"/>
        <v>UN</v>
      </c>
      <c r="L4122" s="166" t="str">
        <f t="shared" si="259"/>
        <v>04/2022</v>
      </c>
      <c r="M4122" s="82"/>
      <c r="N4122" s="82"/>
    </row>
    <row r="4123" spans="1:14" x14ac:dyDescent="0.25">
      <c r="A4123" s="170" t="s">
        <v>6893</v>
      </c>
      <c r="B4123" s="170" t="s">
        <v>15878</v>
      </c>
      <c r="C4123" s="170" t="s">
        <v>205</v>
      </c>
      <c r="D4123" s="170" t="s">
        <v>1947</v>
      </c>
      <c r="E4123" s="171" t="s">
        <v>20622</v>
      </c>
      <c r="F4123" s="171" t="s">
        <v>5663</v>
      </c>
      <c r="G4123" s="82"/>
      <c r="H4123" s="96">
        <f t="shared" si="256"/>
        <v>11.26</v>
      </c>
      <c r="I4123" s="96">
        <f t="shared" si="256"/>
        <v>11.8</v>
      </c>
      <c r="J4123" s="91" t="str">
        <f t="shared" si="257"/>
        <v>Sinapi 92315</v>
      </c>
      <c r="K4123" s="91" t="str">
        <f t="shared" si="258"/>
        <v>UN</v>
      </c>
      <c r="L4123" s="166" t="str">
        <f t="shared" si="259"/>
        <v>04/2022</v>
      </c>
      <c r="M4123" s="82"/>
      <c r="N4123" s="82"/>
    </row>
    <row r="4124" spans="1:14" x14ac:dyDescent="0.25">
      <c r="A4124" s="170" t="s">
        <v>6894</v>
      </c>
      <c r="B4124" s="170" t="s">
        <v>15879</v>
      </c>
      <c r="C4124" s="170" t="s">
        <v>205</v>
      </c>
      <c r="D4124" s="170" t="s">
        <v>1947</v>
      </c>
      <c r="E4124" s="171" t="s">
        <v>13844</v>
      </c>
      <c r="F4124" s="171" t="s">
        <v>17412</v>
      </c>
      <c r="G4124" s="82"/>
      <c r="H4124" s="96">
        <f t="shared" si="256"/>
        <v>17.38</v>
      </c>
      <c r="I4124" s="96">
        <f t="shared" si="256"/>
        <v>17.989999999999998</v>
      </c>
      <c r="J4124" s="91" t="str">
        <f t="shared" si="257"/>
        <v>Sinapi 92316</v>
      </c>
      <c r="K4124" s="91" t="str">
        <f t="shared" si="258"/>
        <v>UN</v>
      </c>
      <c r="L4124" s="166" t="str">
        <f t="shared" si="259"/>
        <v>04/2022</v>
      </c>
      <c r="M4124" s="82"/>
      <c r="N4124" s="82"/>
    </row>
    <row r="4125" spans="1:14" x14ac:dyDescent="0.25">
      <c r="A4125" s="170" t="s">
        <v>6895</v>
      </c>
      <c r="B4125" s="170" t="s">
        <v>15880</v>
      </c>
      <c r="C4125" s="170" t="s">
        <v>205</v>
      </c>
      <c r="D4125" s="170" t="s">
        <v>1947</v>
      </c>
      <c r="E4125" s="171" t="s">
        <v>33496</v>
      </c>
      <c r="F4125" s="171" t="s">
        <v>28685</v>
      </c>
      <c r="G4125" s="82"/>
      <c r="H4125" s="96">
        <f t="shared" si="256"/>
        <v>15.98</v>
      </c>
      <c r="I4125" s="96">
        <f t="shared" si="256"/>
        <v>16.93</v>
      </c>
      <c r="J4125" s="91" t="str">
        <f t="shared" si="257"/>
        <v>Sinapi 92317</v>
      </c>
      <c r="K4125" s="91" t="str">
        <f t="shared" si="258"/>
        <v>UN</v>
      </c>
      <c r="L4125" s="166" t="str">
        <f t="shared" si="259"/>
        <v>04/2022</v>
      </c>
      <c r="M4125" s="82"/>
      <c r="N4125" s="82"/>
    </row>
    <row r="4126" spans="1:14" x14ac:dyDescent="0.25">
      <c r="A4126" s="170" t="s">
        <v>6896</v>
      </c>
      <c r="B4126" s="170" t="s">
        <v>15881</v>
      </c>
      <c r="C4126" s="170" t="s">
        <v>205</v>
      </c>
      <c r="D4126" s="170" t="s">
        <v>1947</v>
      </c>
      <c r="E4126" s="171" t="s">
        <v>21826</v>
      </c>
      <c r="F4126" s="171" t="s">
        <v>33069</v>
      </c>
      <c r="G4126" s="82"/>
      <c r="H4126" s="96">
        <f t="shared" si="256"/>
        <v>25.42</v>
      </c>
      <c r="I4126" s="96">
        <f t="shared" si="256"/>
        <v>26.5</v>
      </c>
      <c r="J4126" s="91" t="str">
        <f t="shared" si="257"/>
        <v>Sinapi 92318</v>
      </c>
      <c r="K4126" s="91" t="str">
        <f t="shared" si="258"/>
        <v>UN</v>
      </c>
      <c r="L4126" s="166" t="str">
        <f t="shared" si="259"/>
        <v>04/2022</v>
      </c>
      <c r="M4126" s="82"/>
      <c r="N4126" s="82"/>
    </row>
    <row r="4127" spans="1:14" x14ac:dyDescent="0.25">
      <c r="A4127" s="170" t="s">
        <v>6897</v>
      </c>
      <c r="B4127" s="170" t="s">
        <v>15882</v>
      </c>
      <c r="C4127" s="170" t="s">
        <v>205</v>
      </c>
      <c r="D4127" s="170" t="s">
        <v>1947</v>
      </c>
      <c r="E4127" s="171" t="s">
        <v>18547</v>
      </c>
      <c r="F4127" s="171" t="s">
        <v>21149</v>
      </c>
      <c r="G4127" s="82"/>
      <c r="H4127" s="96">
        <f t="shared" si="256"/>
        <v>36.090000000000003</v>
      </c>
      <c r="I4127" s="96">
        <f t="shared" si="256"/>
        <v>37.299999999999997</v>
      </c>
      <c r="J4127" s="91" t="str">
        <f t="shared" si="257"/>
        <v>Sinapi 92319</v>
      </c>
      <c r="K4127" s="91" t="str">
        <f t="shared" si="258"/>
        <v>UN</v>
      </c>
      <c r="L4127" s="166" t="str">
        <f t="shared" si="259"/>
        <v>04/2022</v>
      </c>
      <c r="M4127" s="82"/>
      <c r="N4127" s="82"/>
    </row>
    <row r="4128" spans="1:14" x14ac:dyDescent="0.25">
      <c r="A4128" s="170" t="s">
        <v>6898</v>
      </c>
      <c r="B4128" s="170" t="s">
        <v>15883</v>
      </c>
      <c r="C4128" s="170" t="s">
        <v>205</v>
      </c>
      <c r="D4128" s="170" t="s">
        <v>1947</v>
      </c>
      <c r="E4128" s="171" t="s">
        <v>15564</v>
      </c>
      <c r="F4128" s="171" t="s">
        <v>21964</v>
      </c>
      <c r="G4128" s="82"/>
      <c r="H4128" s="96">
        <f t="shared" si="256"/>
        <v>11.97</v>
      </c>
      <c r="I4128" s="96">
        <f t="shared" si="256"/>
        <v>12.71</v>
      </c>
      <c r="J4128" s="91" t="str">
        <f t="shared" si="257"/>
        <v>Sinapi 92326</v>
      </c>
      <c r="K4128" s="91" t="str">
        <f t="shared" si="258"/>
        <v>UN</v>
      </c>
      <c r="L4128" s="166" t="str">
        <f t="shared" si="259"/>
        <v>04/2022</v>
      </c>
      <c r="M4128" s="82"/>
      <c r="N4128" s="82"/>
    </row>
    <row r="4129" spans="1:14" x14ac:dyDescent="0.25">
      <c r="A4129" s="170" t="s">
        <v>6900</v>
      </c>
      <c r="B4129" s="170" t="s">
        <v>15884</v>
      </c>
      <c r="C4129" s="170" t="s">
        <v>205</v>
      </c>
      <c r="D4129" s="170" t="s">
        <v>1947</v>
      </c>
      <c r="E4129" s="171" t="s">
        <v>15786</v>
      </c>
      <c r="F4129" s="171" t="s">
        <v>20989</v>
      </c>
      <c r="G4129" s="82"/>
      <c r="H4129" s="96">
        <f t="shared" si="256"/>
        <v>21.85</v>
      </c>
      <c r="I4129" s="96">
        <f t="shared" si="256"/>
        <v>22.94</v>
      </c>
      <c r="J4129" s="91" t="str">
        <f t="shared" si="257"/>
        <v>Sinapi 92327</v>
      </c>
      <c r="K4129" s="91" t="str">
        <f t="shared" si="258"/>
        <v>UN</v>
      </c>
      <c r="L4129" s="166" t="str">
        <f t="shared" si="259"/>
        <v>04/2022</v>
      </c>
      <c r="M4129" s="82"/>
      <c r="N4129" s="82"/>
    </row>
    <row r="4130" spans="1:14" x14ac:dyDescent="0.25">
      <c r="A4130" s="170" t="s">
        <v>6901</v>
      </c>
      <c r="B4130" s="170" t="s">
        <v>15885</v>
      </c>
      <c r="C4130" s="170" t="s">
        <v>205</v>
      </c>
      <c r="D4130" s="170" t="s">
        <v>1947</v>
      </c>
      <c r="E4130" s="171" t="s">
        <v>28600</v>
      </c>
      <c r="F4130" s="171" t="s">
        <v>28827</v>
      </c>
      <c r="G4130" s="82"/>
      <c r="H4130" s="96">
        <f t="shared" si="256"/>
        <v>32.85</v>
      </c>
      <c r="I4130" s="96">
        <f t="shared" si="256"/>
        <v>34.270000000000003</v>
      </c>
      <c r="J4130" s="91" t="str">
        <f t="shared" si="257"/>
        <v>Sinapi 92328</v>
      </c>
      <c r="K4130" s="91" t="str">
        <f t="shared" si="258"/>
        <v>UN</v>
      </c>
      <c r="L4130" s="166" t="str">
        <f t="shared" si="259"/>
        <v>04/2022</v>
      </c>
      <c r="M4130" s="82"/>
      <c r="N4130" s="82"/>
    </row>
    <row r="4131" spans="1:14" x14ac:dyDescent="0.25">
      <c r="A4131" s="170" t="s">
        <v>6902</v>
      </c>
      <c r="B4131" s="170" t="s">
        <v>15886</v>
      </c>
      <c r="C4131" s="170" t="s">
        <v>205</v>
      </c>
      <c r="D4131" s="170" t="s">
        <v>1947</v>
      </c>
      <c r="E4131" s="171" t="s">
        <v>16347</v>
      </c>
      <c r="F4131" s="171" t="s">
        <v>14948</v>
      </c>
      <c r="G4131" s="82"/>
      <c r="H4131" s="96">
        <f t="shared" si="256"/>
        <v>7.75</v>
      </c>
      <c r="I4131" s="96">
        <f t="shared" si="256"/>
        <v>8.24</v>
      </c>
      <c r="J4131" s="91" t="str">
        <f t="shared" si="257"/>
        <v>Sinapi 92329</v>
      </c>
      <c r="K4131" s="91" t="str">
        <f t="shared" si="258"/>
        <v>UN</v>
      </c>
      <c r="L4131" s="166" t="str">
        <f t="shared" si="259"/>
        <v>04/2022</v>
      </c>
      <c r="M4131" s="82"/>
      <c r="N4131" s="82"/>
    </row>
    <row r="4132" spans="1:14" x14ac:dyDescent="0.25">
      <c r="A4132" s="170" t="s">
        <v>6903</v>
      </c>
      <c r="B4132" s="170" t="s">
        <v>15887</v>
      </c>
      <c r="C4132" s="170" t="s">
        <v>205</v>
      </c>
      <c r="D4132" s="170" t="s">
        <v>1947</v>
      </c>
      <c r="E4132" s="171" t="s">
        <v>27859</v>
      </c>
      <c r="F4132" s="171" t="s">
        <v>30561</v>
      </c>
      <c r="G4132" s="82"/>
      <c r="H4132" s="96">
        <f t="shared" si="256"/>
        <v>12.99</v>
      </c>
      <c r="I4132" s="96">
        <f t="shared" si="256"/>
        <v>13.72</v>
      </c>
      <c r="J4132" s="91" t="str">
        <f t="shared" si="257"/>
        <v>Sinapi 92330</v>
      </c>
      <c r="K4132" s="91" t="str">
        <f t="shared" si="258"/>
        <v>UN</v>
      </c>
      <c r="L4132" s="166" t="str">
        <f t="shared" si="259"/>
        <v>04/2022</v>
      </c>
      <c r="M4132" s="82"/>
      <c r="N4132" s="82"/>
    </row>
    <row r="4133" spans="1:14" x14ac:dyDescent="0.25">
      <c r="A4133" s="170" t="s">
        <v>6904</v>
      </c>
      <c r="B4133" s="170" t="s">
        <v>15888</v>
      </c>
      <c r="C4133" s="170" t="s">
        <v>205</v>
      </c>
      <c r="D4133" s="170" t="s">
        <v>1947</v>
      </c>
      <c r="E4133" s="171" t="s">
        <v>22712</v>
      </c>
      <c r="F4133" s="171" t="s">
        <v>20214</v>
      </c>
      <c r="G4133" s="82"/>
      <c r="H4133" s="96">
        <f t="shared" si="256"/>
        <v>20.48</v>
      </c>
      <c r="I4133" s="96">
        <f t="shared" si="256"/>
        <v>21.43</v>
      </c>
      <c r="J4133" s="91" t="str">
        <f t="shared" si="257"/>
        <v>Sinapi 92331</v>
      </c>
      <c r="K4133" s="91" t="str">
        <f t="shared" si="258"/>
        <v>UN</v>
      </c>
      <c r="L4133" s="166" t="str">
        <f t="shared" si="259"/>
        <v>04/2022</v>
      </c>
      <c r="M4133" s="82"/>
      <c r="N4133" s="82"/>
    </row>
    <row r="4134" spans="1:14" x14ac:dyDescent="0.25">
      <c r="A4134" s="170" t="s">
        <v>6905</v>
      </c>
      <c r="B4134" s="170" t="s">
        <v>15889</v>
      </c>
      <c r="C4134" s="170" t="s">
        <v>205</v>
      </c>
      <c r="D4134" s="170" t="s">
        <v>1947</v>
      </c>
      <c r="E4134" s="171" t="s">
        <v>2545</v>
      </c>
      <c r="F4134" s="171" t="s">
        <v>21965</v>
      </c>
      <c r="G4134" s="82"/>
      <c r="H4134" s="96">
        <f t="shared" si="256"/>
        <v>16.28</v>
      </c>
      <c r="I4134" s="96">
        <f t="shared" si="256"/>
        <v>17.25</v>
      </c>
      <c r="J4134" s="91" t="str">
        <f t="shared" si="257"/>
        <v>Sinapi 92332</v>
      </c>
      <c r="K4134" s="91" t="str">
        <f t="shared" si="258"/>
        <v>UN</v>
      </c>
      <c r="L4134" s="166" t="str">
        <f t="shared" si="259"/>
        <v>04/2022</v>
      </c>
      <c r="M4134" s="82"/>
      <c r="N4134" s="82"/>
    </row>
    <row r="4135" spans="1:14" x14ac:dyDescent="0.25">
      <c r="A4135" s="170" t="s">
        <v>6906</v>
      </c>
      <c r="B4135" s="170" t="s">
        <v>15890</v>
      </c>
      <c r="C4135" s="170" t="s">
        <v>205</v>
      </c>
      <c r="D4135" s="170" t="s">
        <v>1947</v>
      </c>
      <c r="E4135" s="171" t="s">
        <v>23184</v>
      </c>
      <c r="F4135" s="171" t="s">
        <v>19980</v>
      </c>
      <c r="G4135" s="82"/>
      <c r="H4135" s="96">
        <f t="shared" si="256"/>
        <v>28.86</v>
      </c>
      <c r="I4135" s="96">
        <f t="shared" si="256"/>
        <v>30.33</v>
      </c>
      <c r="J4135" s="91" t="str">
        <f t="shared" si="257"/>
        <v>Sinapi 92333</v>
      </c>
      <c r="K4135" s="91" t="str">
        <f t="shared" si="258"/>
        <v>UN</v>
      </c>
      <c r="L4135" s="166" t="str">
        <f t="shared" si="259"/>
        <v>04/2022</v>
      </c>
      <c r="M4135" s="82"/>
      <c r="N4135" s="82"/>
    </row>
    <row r="4136" spans="1:14" x14ac:dyDescent="0.25">
      <c r="A4136" s="170" t="s">
        <v>6907</v>
      </c>
      <c r="B4136" s="170" t="s">
        <v>15891</v>
      </c>
      <c r="C4136" s="170" t="s">
        <v>205</v>
      </c>
      <c r="D4136" s="170" t="s">
        <v>1947</v>
      </c>
      <c r="E4136" s="171" t="s">
        <v>21445</v>
      </c>
      <c r="F4136" s="171" t="s">
        <v>36818</v>
      </c>
      <c r="G4136" s="82"/>
      <c r="H4136" s="96">
        <f t="shared" si="256"/>
        <v>42.22</v>
      </c>
      <c r="I4136" s="96">
        <f t="shared" si="256"/>
        <v>44.12</v>
      </c>
      <c r="J4136" s="91" t="str">
        <f t="shared" si="257"/>
        <v>Sinapi 92334</v>
      </c>
      <c r="K4136" s="91" t="str">
        <f t="shared" si="258"/>
        <v>UN</v>
      </c>
      <c r="L4136" s="166" t="str">
        <f t="shared" si="259"/>
        <v>04/2022</v>
      </c>
      <c r="M4136" s="82"/>
      <c r="N4136" s="82"/>
    </row>
    <row r="4137" spans="1:14" x14ac:dyDescent="0.25">
      <c r="A4137" s="170" t="s">
        <v>6908</v>
      </c>
      <c r="B4137" s="170" t="s">
        <v>11834</v>
      </c>
      <c r="C4137" s="170" t="s">
        <v>205</v>
      </c>
      <c r="D4137" s="170" t="s">
        <v>2067</v>
      </c>
      <c r="E4137" s="171" t="s">
        <v>21671</v>
      </c>
      <c r="F4137" s="171" t="s">
        <v>36819</v>
      </c>
      <c r="G4137" s="82"/>
      <c r="H4137" s="96">
        <f t="shared" si="256"/>
        <v>62.12</v>
      </c>
      <c r="I4137" s="96">
        <f t="shared" si="256"/>
        <v>65.16</v>
      </c>
      <c r="J4137" s="91" t="str">
        <f t="shared" si="257"/>
        <v>Sinapi 92344</v>
      </c>
      <c r="K4137" s="91" t="str">
        <f t="shared" si="258"/>
        <v>UN</v>
      </c>
      <c r="L4137" s="166" t="str">
        <f t="shared" si="259"/>
        <v>10/2020</v>
      </c>
      <c r="M4137" s="82"/>
      <c r="N4137" s="82"/>
    </row>
    <row r="4138" spans="1:14" x14ac:dyDescent="0.25">
      <c r="A4138" s="170" t="s">
        <v>6909</v>
      </c>
      <c r="B4138" s="170" t="s">
        <v>11835</v>
      </c>
      <c r="C4138" s="170" t="s">
        <v>205</v>
      </c>
      <c r="D4138" s="170" t="s">
        <v>2067</v>
      </c>
      <c r="E4138" s="171" t="s">
        <v>33630</v>
      </c>
      <c r="F4138" s="171" t="s">
        <v>36820</v>
      </c>
      <c r="G4138" s="82"/>
      <c r="H4138" s="96">
        <f t="shared" si="256"/>
        <v>62.1</v>
      </c>
      <c r="I4138" s="96">
        <f t="shared" si="256"/>
        <v>65.14</v>
      </c>
      <c r="J4138" s="91" t="str">
        <f t="shared" si="257"/>
        <v>Sinapi 92345</v>
      </c>
      <c r="K4138" s="91" t="str">
        <f t="shared" si="258"/>
        <v>UN</v>
      </c>
      <c r="L4138" s="166" t="str">
        <f t="shared" si="259"/>
        <v>10/2020</v>
      </c>
      <c r="M4138" s="82"/>
      <c r="N4138" s="82"/>
    </row>
    <row r="4139" spans="1:14" x14ac:dyDescent="0.25">
      <c r="A4139" s="170" t="s">
        <v>6910</v>
      </c>
      <c r="B4139" s="170" t="s">
        <v>11836</v>
      </c>
      <c r="C4139" s="170" t="s">
        <v>205</v>
      </c>
      <c r="D4139" s="170" t="s">
        <v>2067</v>
      </c>
      <c r="E4139" s="171" t="s">
        <v>33098</v>
      </c>
      <c r="F4139" s="171" t="s">
        <v>36821</v>
      </c>
      <c r="G4139" s="82"/>
      <c r="H4139" s="96">
        <f t="shared" si="256"/>
        <v>83.16</v>
      </c>
      <c r="I4139" s="96">
        <f t="shared" si="256"/>
        <v>86.47</v>
      </c>
      <c r="J4139" s="91" t="str">
        <f t="shared" si="257"/>
        <v>Sinapi 92346</v>
      </c>
      <c r="K4139" s="91" t="str">
        <f t="shared" si="258"/>
        <v>UN</v>
      </c>
      <c r="L4139" s="166" t="str">
        <f t="shared" si="259"/>
        <v>10/2020</v>
      </c>
      <c r="M4139" s="82"/>
      <c r="N4139" s="82"/>
    </row>
    <row r="4140" spans="1:14" x14ac:dyDescent="0.25">
      <c r="A4140" s="170" t="s">
        <v>6911</v>
      </c>
      <c r="B4140" s="170" t="s">
        <v>11837</v>
      </c>
      <c r="C4140" s="170" t="s">
        <v>205</v>
      </c>
      <c r="D4140" s="170" t="s">
        <v>2067</v>
      </c>
      <c r="E4140" s="171" t="s">
        <v>33631</v>
      </c>
      <c r="F4140" s="171" t="s">
        <v>36822</v>
      </c>
      <c r="G4140" s="82"/>
      <c r="H4140" s="96">
        <f t="shared" si="256"/>
        <v>93.38</v>
      </c>
      <c r="I4140" s="96">
        <f t="shared" si="256"/>
        <v>96.69</v>
      </c>
      <c r="J4140" s="91" t="str">
        <f t="shared" si="257"/>
        <v>Sinapi 92347</v>
      </c>
      <c r="K4140" s="91" t="str">
        <f t="shared" si="258"/>
        <v>UN</v>
      </c>
      <c r="L4140" s="166" t="str">
        <f t="shared" si="259"/>
        <v>10/2020</v>
      </c>
      <c r="M4140" s="82"/>
      <c r="N4140" s="82"/>
    </row>
    <row r="4141" spans="1:14" x14ac:dyDescent="0.25">
      <c r="A4141" s="170" t="s">
        <v>6912</v>
      </c>
      <c r="B4141" s="170" t="s">
        <v>11838</v>
      </c>
      <c r="C4141" s="170" t="s">
        <v>205</v>
      </c>
      <c r="D4141" s="170" t="s">
        <v>2067</v>
      </c>
      <c r="E4141" s="171" t="s">
        <v>33632</v>
      </c>
      <c r="F4141" s="171" t="s">
        <v>36403</v>
      </c>
      <c r="G4141" s="82"/>
      <c r="H4141" s="96">
        <f t="shared" si="256"/>
        <v>119.11</v>
      </c>
      <c r="I4141" s="96">
        <f t="shared" si="256"/>
        <v>122.69</v>
      </c>
      <c r="J4141" s="91" t="str">
        <f t="shared" si="257"/>
        <v>Sinapi 92348</v>
      </c>
      <c r="K4141" s="91" t="str">
        <f t="shared" si="258"/>
        <v>UN</v>
      </c>
      <c r="L4141" s="166" t="str">
        <f t="shared" si="259"/>
        <v>10/2020</v>
      </c>
      <c r="M4141" s="82"/>
      <c r="N4141" s="82"/>
    </row>
    <row r="4142" spans="1:14" x14ac:dyDescent="0.25">
      <c r="A4142" s="170" t="s">
        <v>6913</v>
      </c>
      <c r="B4142" s="170" t="s">
        <v>11839</v>
      </c>
      <c r="C4142" s="170" t="s">
        <v>205</v>
      </c>
      <c r="D4142" s="170" t="s">
        <v>2067</v>
      </c>
      <c r="E4142" s="171" t="s">
        <v>33633</v>
      </c>
      <c r="F4142" s="171" t="s">
        <v>36823</v>
      </c>
      <c r="G4142" s="82"/>
      <c r="H4142" s="96">
        <f t="shared" si="256"/>
        <v>128.19999999999999</v>
      </c>
      <c r="I4142" s="96">
        <f t="shared" si="256"/>
        <v>131.78</v>
      </c>
      <c r="J4142" s="91" t="str">
        <f t="shared" si="257"/>
        <v>Sinapi 92349</v>
      </c>
      <c r="K4142" s="91" t="str">
        <f t="shared" si="258"/>
        <v>UN</v>
      </c>
      <c r="L4142" s="166" t="str">
        <f t="shared" si="259"/>
        <v>10/2020</v>
      </c>
      <c r="M4142" s="82"/>
      <c r="N4142" s="82"/>
    </row>
    <row r="4143" spans="1:14" x14ac:dyDescent="0.25">
      <c r="A4143" s="170" t="s">
        <v>6914</v>
      </c>
      <c r="B4143" s="170" t="s">
        <v>11840</v>
      </c>
      <c r="C4143" s="170" t="s">
        <v>205</v>
      </c>
      <c r="D4143" s="170" t="s">
        <v>2067</v>
      </c>
      <c r="E4143" s="171" t="s">
        <v>33634</v>
      </c>
      <c r="F4143" s="171" t="s">
        <v>36824</v>
      </c>
      <c r="G4143" s="82"/>
      <c r="H4143" s="96">
        <f t="shared" si="256"/>
        <v>92.3</v>
      </c>
      <c r="I4143" s="96">
        <f t="shared" si="256"/>
        <v>96.87</v>
      </c>
      <c r="J4143" s="91" t="str">
        <f t="shared" si="257"/>
        <v>Sinapi 92350</v>
      </c>
      <c r="K4143" s="91" t="str">
        <f t="shared" si="258"/>
        <v>UN</v>
      </c>
      <c r="L4143" s="166" t="str">
        <f t="shared" si="259"/>
        <v>10/2020</v>
      </c>
      <c r="M4143" s="82"/>
      <c r="N4143" s="82"/>
    </row>
    <row r="4144" spans="1:14" x14ac:dyDescent="0.25">
      <c r="A4144" s="170" t="s">
        <v>6915</v>
      </c>
      <c r="B4144" s="170" t="s">
        <v>11841</v>
      </c>
      <c r="C4144" s="170" t="s">
        <v>205</v>
      </c>
      <c r="D4144" s="170" t="s">
        <v>2067</v>
      </c>
      <c r="E4144" s="171" t="s">
        <v>31518</v>
      </c>
      <c r="F4144" s="171" t="s">
        <v>22820</v>
      </c>
      <c r="G4144" s="82"/>
      <c r="H4144" s="96">
        <f t="shared" si="256"/>
        <v>90.03</v>
      </c>
      <c r="I4144" s="96">
        <f t="shared" si="256"/>
        <v>94.6</v>
      </c>
      <c r="J4144" s="91" t="str">
        <f t="shared" si="257"/>
        <v>Sinapi 92351</v>
      </c>
      <c r="K4144" s="91" t="str">
        <f t="shared" si="258"/>
        <v>UN</v>
      </c>
      <c r="L4144" s="166" t="str">
        <f t="shared" si="259"/>
        <v>10/2020</v>
      </c>
      <c r="M4144" s="82"/>
      <c r="N4144" s="82"/>
    </row>
    <row r="4145" spans="1:14" x14ac:dyDescent="0.25">
      <c r="A4145" s="170" t="s">
        <v>6916</v>
      </c>
      <c r="B4145" s="170" t="s">
        <v>11842</v>
      </c>
      <c r="C4145" s="170" t="s">
        <v>205</v>
      </c>
      <c r="D4145" s="170" t="s">
        <v>2067</v>
      </c>
      <c r="E4145" s="171" t="s">
        <v>33635</v>
      </c>
      <c r="F4145" s="171" t="s">
        <v>36825</v>
      </c>
      <c r="G4145" s="82"/>
      <c r="H4145" s="96">
        <f t="shared" si="256"/>
        <v>144.36000000000001</v>
      </c>
      <c r="I4145" s="96">
        <f t="shared" si="256"/>
        <v>149.32</v>
      </c>
      <c r="J4145" s="91" t="str">
        <f t="shared" si="257"/>
        <v>Sinapi 92352</v>
      </c>
      <c r="K4145" s="91" t="str">
        <f t="shared" si="258"/>
        <v>UN</v>
      </c>
      <c r="L4145" s="166" t="str">
        <f t="shared" si="259"/>
        <v>10/2020</v>
      </c>
      <c r="M4145" s="82"/>
      <c r="N4145" s="82"/>
    </row>
    <row r="4146" spans="1:14" x14ac:dyDescent="0.25">
      <c r="A4146" s="170" t="s">
        <v>6917</v>
      </c>
      <c r="B4146" s="170" t="s">
        <v>11843</v>
      </c>
      <c r="C4146" s="170" t="s">
        <v>205</v>
      </c>
      <c r="D4146" s="170" t="s">
        <v>2067</v>
      </c>
      <c r="E4146" s="171" t="s">
        <v>33636</v>
      </c>
      <c r="F4146" s="171" t="s">
        <v>31236</v>
      </c>
      <c r="G4146" s="82"/>
      <c r="H4146" s="96">
        <f t="shared" si="256"/>
        <v>134.36000000000001</v>
      </c>
      <c r="I4146" s="96">
        <f t="shared" si="256"/>
        <v>139.32</v>
      </c>
      <c r="J4146" s="91" t="str">
        <f t="shared" si="257"/>
        <v>Sinapi 92353</v>
      </c>
      <c r="K4146" s="91" t="str">
        <f t="shared" si="258"/>
        <v>UN</v>
      </c>
      <c r="L4146" s="166" t="str">
        <f t="shared" si="259"/>
        <v>10/2020</v>
      </c>
      <c r="M4146" s="82"/>
      <c r="N4146" s="82"/>
    </row>
    <row r="4147" spans="1:14" x14ac:dyDescent="0.25">
      <c r="A4147" s="170" t="s">
        <v>6918</v>
      </c>
      <c r="B4147" s="170" t="s">
        <v>11844</v>
      </c>
      <c r="C4147" s="170" t="s">
        <v>205</v>
      </c>
      <c r="D4147" s="170" t="s">
        <v>2067</v>
      </c>
      <c r="E4147" s="171" t="s">
        <v>31406</v>
      </c>
      <c r="F4147" s="171" t="s">
        <v>36826</v>
      </c>
      <c r="G4147" s="82"/>
      <c r="H4147" s="96">
        <f t="shared" si="256"/>
        <v>194.31</v>
      </c>
      <c r="I4147" s="96">
        <f t="shared" si="256"/>
        <v>199.68</v>
      </c>
      <c r="J4147" s="91" t="str">
        <f t="shared" si="257"/>
        <v>Sinapi 92354</v>
      </c>
      <c r="K4147" s="91" t="str">
        <f t="shared" si="258"/>
        <v>UN</v>
      </c>
      <c r="L4147" s="166" t="str">
        <f t="shared" si="259"/>
        <v>10/2020</v>
      </c>
      <c r="M4147" s="82"/>
      <c r="N4147" s="82"/>
    </row>
    <row r="4148" spans="1:14" x14ac:dyDescent="0.25">
      <c r="A4148" s="170" t="s">
        <v>6919</v>
      </c>
      <c r="B4148" s="170" t="s">
        <v>11845</v>
      </c>
      <c r="C4148" s="170" t="s">
        <v>205</v>
      </c>
      <c r="D4148" s="170" t="s">
        <v>2067</v>
      </c>
      <c r="E4148" s="171" t="s">
        <v>33637</v>
      </c>
      <c r="F4148" s="171" t="s">
        <v>36827</v>
      </c>
      <c r="G4148" s="82"/>
      <c r="H4148" s="96">
        <f t="shared" si="256"/>
        <v>175.04</v>
      </c>
      <c r="I4148" s="96">
        <f t="shared" si="256"/>
        <v>180.41</v>
      </c>
      <c r="J4148" s="91" t="str">
        <f t="shared" si="257"/>
        <v>Sinapi 92355</v>
      </c>
      <c r="K4148" s="91" t="str">
        <f t="shared" si="258"/>
        <v>UN</v>
      </c>
      <c r="L4148" s="166" t="str">
        <f t="shared" si="259"/>
        <v>10/2020</v>
      </c>
      <c r="M4148" s="82"/>
      <c r="N4148" s="82"/>
    </row>
    <row r="4149" spans="1:14" x14ac:dyDescent="0.25">
      <c r="A4149" s="170" t="s">
        <v>6920</v>
      </c>
      <c r="B4149" s="170" t="s">
        <v>11846</v>
      </c>
      <c r="C4149" s="170" t="s">
        <v>205</v>
      </c>
      <c r="D4149" s="170" t="s">
        <v>2067</v>
      </c>
      <c r="E4149" s="171" t="s">
        <v>33638</v>
      </c>
      <c r="F4149" s="171" t="s">
        <v>36828</v>
      </c>
      <c r="G4149" s="82"/>
      <c r="H4149" s="96">
        <f t="shared" si="256"/>
        <v>120</v>
      </c>
      <c r="I4149" s="96">
        <f t="shared" si="256"/>
        <v>126.09</v>
      </c>
      <c r="J4149" s="91" t="str">
        <f t="shared" si="257"/>
        <v>Sinapi 92356</v>
      </c>
      <c r="K4149" s="91" t="str">
        <f t="shared" si="258"/>
        <v>UN</v>
      </c>
      <c r="L4149" s="166" t="str">
        <f t="shared" si="259"/>
        <v>10/2020</v>
      </c>
      <c r="M4149" s="82"/>
      <c r="N4149" s="82"/>
    </row>
    <row r="4150" spans="1:14" x14ac:dyDescent="0.25">
      <c r="A4150" s="170" t="s">
        <v>6921</v>
      </c>
      <c r="B4150" s="170" t="s">
        <v>11847</v>
      </c>
      <c r="C4150" s="170" t="s">
        <v>205</v>
      </c>
      <c r="D4150" s="170" t="s">
        <v>2067</v>
      </c>
      <c r="E4150" s="171" t="s">
        <v>33639</v>
      </c>
      <c r="F4150" s="171" t="s">
        <v>36829</v>
      </c>
      <c r="G4150" s="82"/>
      <c r="H4150" s="96">
        <f t="shared" si="256"/>
        <v>184.17</v>
      </c>
      <c r="I4150" s="96">
        <f t="shared" si="256"/>
        <v>190.79</v>
      </c>
      <c r="J4150" s="91" t="str">
        <f t="shared" si="257"/>
        <v>Sinapi 92357</v>
      </c>
      <c r="K4150" s="91" t="str">
        <f t="shared" si="258"/>
        <v>UN</v>
      </c>
      <c r="L4150" s="166" t="str">
        <f t="shared" si="259"/>
        <v>10/2020</v>
      </c>
      <c r="M4150" s="82"/>
      <c r="N4150" s="82"/>
    </row>
    <row r="4151" spans="1:14" x14ac:dyDescent="0.25">
      <c r="A4151" s="170" t="s">
        <v>6922</v>
      </c>
      <c r="B4151" s="170" t="s">
        <v>11848</v>
      </c>
      <c r="C4151" s="170" t="s">
        <v>205</v>
      </c>
      <c r="D4151" s="170" t="s">
        <v>2067</v>
      </c>
      <c r="E4151" s="171" t="s">
        <v>33640</v>
      </c>
      <c r="F4151" s="171" t="s">
        <v>36830</v>
      </c>
      <c r="G4151" s="82"/>
      <c r="H4151" s="96">
        <f t="shared" si="256"/>
        <v>231.53</v>
      </c>
      <c r="I4151" s="96">
        <f t="shared" si="256"/>
        <v>238.69</v>
      </c>
      <c r="J4151" s="91" t="str">
        <f t="shared" si="257"/>
        <v>Sinapi 92358</v>
      </c>
      <c r="K4151" s="91" t="str">
        <f t="shared" si="258"/>
        <v>UN</v>
      </c>
      <c r="L4151" s="166" t="str">
        <f t="shared" si="259"/>
        <v>10/2020</v>
      </c>
      <c r="M4151" s="82"/>
      <c r="N4151" s="82"/>
    </row>
    <row r="4152" spans="1:14" x14ac:dyDescent="0.25">
      <c r="A4152" s="170" t="s">
        <v>6923</v>
      </c>
      <c r="B4152" s="170" t="s">
        <v>11849</v>
      </c>
      <c r="C4152" s="170" t="s">
        <v>205</v>
      </c>
      <c r="D4152" s="170" t="s">
        <v>2067</v>
      </c>
      <c r="E4152" s="171" t="s">
        <v>33641</v>
      </c>
      <c r="F4152" s="171" t="s">
        <v>23081</v>
      </c>
      <c r="G4152" s="82"/>
      <c r="H4152" s="96">
        <f t="shared" si="256"/>
        <v>31.97</v>
      </c>
      <c r="I4152" s="96">
        <f t="shared" si="256"/>
        <v>34.28</v>
      </c>
      <c r="J4152" s="91" t="str">
        <f t="shared" si="257"/>
        <v>Sinapi 92369</v>
      </c>
      <c r="K4152" s="91" t="str">
        <f t="shared" si="258"/>
        <v>UN</v>
      </c>
      <c r="L4152" s="166" t="str">
        <f t="shared" si="259"/>
        <v>10/2020</v>
      </c>
      <c r="M4152" s="82"/>
      <c r="N4152" s="82"/>
    </row>
    <row r="4153" spans="1:14" x14ac:dyDescent="0.25">
      <c r="A4153" s="170" t="s">
        <v>6924</v>
      </c>
      <c r="B4153" s="170" t="s">
        <v>11850</v>
      </c>
      <c r="C4153" s="170" t="s">
        <v>205</v>
      </c>
      <c r="D4153" s="170" t="s">
        <v>2067</v>
      </c>
      <c r="E4153" s="171" t="s">
        <v>21877</v>
      </c>
      <c r="F4153" s="171" t="s">
        <v>21850</v>
      </c>
      <c r="G4153" s="82"/>
      <c r="H4153" s="96">
        <f t="shared" si="256"/>
        <v>33.81</v>
      </c>
      <c r="I4153" s="96">
        <f t="shared" si="256"/>
        <v>36.119999999999997</v>
      </c>
      <c r="J4153" s="91" t="str">
        <f t="shared" si="257"/>
        <v>Sinapi 92370</v>
      </c>
      <c r="K4153" s="91" t="str">
        <f t="shared" si="258"/>
        <v>UN</v>
      </c>
      <c r="L4153" s="166" t="str">
        <f t="shared" si="259"/>
        <v>10/2020</v>
      </c>
      <c r="M4153" s="82"/>
      <c r="N4153" s="82"/>
    </row>
    <row r="4154" spans="1:14" x14ac:dyDescent="0.25">
      <c r="A4154" s="170" t="s">
        <v>6925</v>
      </c>
      <c r="B4154" s="170" t="s">
        <v>11851</v>
      </c>
      <c r="C4154" s="170" t="s">
        <v>205</v>
      </c>
      <c r="D4154" s="170" t="s">
        <v>2067</v>
      </c>
      <c r="E4154" s="171" t="s">
        <v>22864</v>
      </c>
      <c r="F4154" s="171" t="s">
        <v>36831</v>
      </c>
      <c r="G4154" s="82"/>
      <c r="H4154" s="96">
        <f t="shared" si="256"/>
        <v>39.270000000000003</v>
      </c>
      <c r="I4154" s="96">
        <f t="shared" si="256"/>
        <v>41.8</v>
      </c>
      <c r="J4154" s="91" t="str">
        <f t="shared" si="257"/>
        <v>Sinapi 92371</v>
      </c>
      <c r="K4154" s="91" t="str">
        <f t="shared" si="258"/>
        <v>UN</v>
      </c>
      <c r="L4154" s="166" t="str">
        <f t="shared" si="259"/>
        <v>10/2020</v>
      </c>
      <c r="M4154" s="82"/>
      <c r="N4154" s="82"/>
    </row>
    <row r="4155" spans="1:14" x14ac:dyDescent="0.25">
      <c r="A4155" s="170" t="s">
        <v>6926</v>
      </c>
      <c r="B4155" s="170" t="s">
        <v>11852</v>
      </c>
      <c r="C4155" s="170" t="s">
        <v>205</v>
      </c>
      <c r="D4155" s="170" t="s">
        <v>2067</v>
      </c>
      <c r="E4155" s="171" t="s">
        <v>25108</v>
      </c>
      <c r="F4155" s="171" t="s">
        <v>36832</v>
      </c>
      <c r="G4155" s="82"/>
      <c r="H4155" s="96">
        <f t="shared" si="256"/>
        <v>40.98</v>
      </c>
      <c r="I4155" s="96">
        <f t="shared" si="256"/>
        <v>43.51</v>
      </c>
      <c r="J4155" s="91" t="str">
        <f t="shared" si="257"/>
        <v>Sinapi 92372</v>
      </c>
      <c r="K4155" s="91" t="str">
        <f t="shared" si="258"/>
        <v>UN</v>
      </c>
      <c r="L4155" s="166" t="str">
        <f t="shared" si="259"/>
        <v>10/2020</v>
      </c>
      <c r="M4155" s="82"/>
      <c r="N4155" s="82"/>
    </row>
    <row r="4156" spans="1:14" x14ac:dyDescent="0.25">
      <c r="A4156" s="170" t="s">
        <v>6927</v>
      </c>
      <c r="B4156" s="170" t="s">
        <v>11853</v>
      </c>
      <c r="C4156" s="170" t="s">
        <v>205</v>
      </c>
      <c r="D4156" s="170" t="s">
        <v>2067</v>
      </c>
      <c r="E4156" s="171" t="s">
        <v>23208</v>
      </c>
      <c r="F4156" s="171" t="s">
        <v>22964</v>
      </c>
      <c r="G4156" s="82"/>
      <c r="H4156" s="96">
        <f t="shared" si="256"/>
        <v>46.92</v>
      </c>
      <c r="I4156" s="96">
        <f t="shared" si="256"/>
        <v>49.67</v>
      </c>
      <c r="J4156" s="91" t="str">
        <f t="shared" si="257"/>
        <v>Sinapi 92373</v>
      </c>
      <c r="K4156" s="91" t="str">
        <f t="shared" si="258"/>
        <v>UN</v>
      </c>
      <c r="L4156" s="166" t="str">
        <f t="shared" si="259"/>
        <v>10/2020</v>
      </c>
      <c r="M4156" s="82"/>
      <c r="N4156" s="82"/>
    </row>
    <row r="4157" spans="1:14" x14ac:dyDescent="0.25">
      <c r="A4157" s="170" t="s">
        <v>6928</v>
      </c>
      <c r="B4157" s="170" t="s">
        <v>11854</v>
      </c>
      <c r="C4157" s="170" t="s">
        <v>205</v>
      </c>
      <c r="D4157" s="170" t="s">
        <v>2067</v>
      </c>
      <c r="E4157" s="171" t="s">
        <v>33642</v>
      </c>
      <c r="F4157" s="171" t="s">
        <v>19829</v>
      </c>
      <c r="G4157" s="82"/>
      <c r="H4157" s="96">
        <f t="shared" si="256"/>
        <v>47.25</v>
      </c>
      <c r="I4157" s="96">
        <f t="shared" si="256"/>
        <v>50</v>
      </c>
      <c r="J4157" s="91" t="str">
        <f t="shared" si="257"/>
        <v>Sinapi 92374</v>
      </c>
      <c r="K4157" s="91" t="str">
        <f t="shared" si="258"/>
        <v>UN</v>
      </c>
      <c r="L4157" s="166" t="str">
        <f t="shared" si="259"/>
        <v>10/2020</v>
      </c>
      <c r="M4157" s="82"/>
      <c r="N4157" s="82"/>
    </row>
    <row r="4158" spans="1:14" x14ac:dyDescent="0.25">
      <c r="A4158" s="170" t="s">
        <v>6929</v>
      </c>
      <c r="B4158" s="170" t="s">
        <v>11855</v>
      </c>
      <c r="C4158" s="170" t="s">
        <v>205</v>
      </c>
      <c r="D4158" s="170" t="s">
        <v>2067</v>
      </c>
      <c r="E4158" s="171" t="s">
        <v>29044</v>
      </c>
      <c r="F4158" s="171" t="s">
        <v>36833</v>
      </c>
      <c r="G4158" s="82"/>
      <c r="H4158" s="96">
        <f t="shared" si="256"/>
        <v>62.07</v>
      </c>
      <c r="I4158" s="96">
        <f t="shared" si="256"/>
        <v>65.11</v>
      </c>
      <c r="J4158" s="91" t="str">
        <f t="shared" si="257"/>
        <v>Sinapi 92375</v>
      </c>
      <c r="K4158" s="91" t="str">
        <f t="shared" si="258"/>
        <v>UN</v>
      </c>
      <c r="L4158" s="166" t="str">
        <f t="shared" si="259"/>
        <v>10/2020</v>
      </c>
      <c r="M4158" s="82"/>
      <c r="N4158" s="82"/>
    </row>
    <row r="4159" spans="1:14" x14ac:dyDescent="0.25">
      <c r="A4159" s="170" t="s">
        <v>6930</v>
      </c>
      <c r="B4159" s="170" t="s">
        <v>11856</v>
      </c>
      <c r="C4159" s="170" t="s">
        <v>205</v>
      </c>
      <c r="D4159" s="170" t="s">
        <v>2067</v>
      </c>
      <c r="E4159" s="171" t="s">
        <v>31531</v>
      </c>
      <c r="F4159" s="171" t="s">
        <v>36780</v>
      </c>
      <c r="G4159" s="82"/>
      <c r="H4159" s="96">
        <f t="shared" si="256"/>
        <v>62.05</v>
      </c>
      <c r="I4159" s="96">
        <f t="shared" si="256"/>
        <v>65.09</v>
      </c>
      <c r="J4159" s="91" t="str">
        <f t="shared" si="257"/>
        <v>Sinapi 92376</v>
      </c>
      <c r="K4159" s="91" t="str">
        <f t="shared" si="258"/>
        <v>UN</v>
      </c>
      <c r="L4159" s="166" t="str">
        <f t="shared" si="259"/>
        <v>10/2020</v>
      </c>
      <c r="M4159" s="82"/>
      <c r="N4159" s="82"/>
    </row>
    <row r="4160" spans="1:14" x14ac:dyDescent="0.25">
      <c r="A4160" s="170" t="s">
        <v>6931</v>
      </c>
      <c r="B4160" s="170" t="s">
        <v>11857</v>
      </c>
      <c r="C4160" s="170" t="s">
        <v>205</v>
      </c>
      <c r="D4160" s="170" t="s">
        <v>2067</v>
      </c>
      <c r="E4160" s="171" t="s">
        <v>32983</v>
      </c>
      <c r="F4160" s="171" t="s">
        <v>36067</v>
      </c>
      <c r="G4160" s="82"/>
      <c r="H4160" s="96">
        <f t="shared" si="256"/>
        <v>84.56</v>
      </c>
      <c r="I4160" s="96">
        <f t="shared" si="256"/>
        <v>88.04</v>
      </c>
      <c r="J4160" s="91" t="str">
        <f t="shared" si="257"/>
        <v>Sinapi 92377</v>
      </c>
      <c r="K4160" s="91" t="str">
        <f t="shared" si="258"/>
        <v>UN</v>
      </c>
      <c r="L4160" s="166" t="str">
        <f t="shared" si="259"/>
        <v>10/2020</v>
      </c>
      <c r="M4160" s="82"/>
      <c r="N4160" s="82"/>
    </row>
    <row r="4161" spans="1:14" x14ac:dyDescent="0.25">
      <c r="A4161" s="170" t="s">
        <v>6932</v>
      </c>
      <c r="B4161" s="170" t="s">
        <v>11858</v>
      </c>
      <c r="C4161" s="170" t="s">
        <v>205</v>
      </c>
      <c r="D4161" s="170" t="s">
        <v>2067</v>
      </c>
      <c r="E4161" s="171" t="s">
        <v>33643</v>
      </c>
      <c r="F4161" s="171" t="s">
        <v>36834</v>
      </c>
      <c r="G4161" s="82"/>
      <c r="H4161" s="96">
        <f t="shared" si="256"/>
        <v>94.78</v>
      </c>
      <c r="I4161" s="96">
        <f t="shared" si="256"/>
        <v>98.26</v>
      </c>
      <c r="J4161" s="91" t="str">
        <f t="shared" si="257"/>
        <v>Sinapi 92378</v>
      </c>
      <c r="K4161" s="91" t="str">
        <f t="shared" si="258"/>
        <v>UN</v>
      </c>
      <c r="L4161" s="166" t="str">
        <f t="shared" si="259"/>
        <v>10/2020</v>
      </c>
      <c r="M4161" s="82"/>
      <c r="N4161" s="82"/>
    </row>
    <row r="4162" spans="1:14" x14ac:dyDescent="0.25">
      <c r="A4162" s="170" t="s">
        <v>6933</v>
      </c>
      <c r="B4162" s="170" t="s">
        <v>11859</v>
      </c>
      <c r="C4162" s="170" t="s">
        <v>205</v>
      </c>
      <c r="D4162" s="170" t="s">
        <v>2067</v>
      </c>
      <c r="E4162" s="171" t="s">
        <v>33644</v>
      </c>
      <c r="F4162" s="171" t="s">
        <v>32258</v>
      </c>
      <c r="G4162" s="82"/>
      <c r="H4162" s="96">
        <f t="shared" si="256"/>
        <v>122</v>
      </c>
      <c r="I4162" s="96">
        <f t="shared" si="256"/>
        <v>125.9</v>
      </c>
      <c r="J4162" s="91" t="str">
        <f t="shared" si="257"/>
        <v>Sinapi 92379</v>
      </c>
      <c r="K4162" s="91" t="str">
        <f t="shared" si="258"/>
        <v>UN</v>
      </c>
      <c r="L4162" s="166" t="str">
        <f t="shared" si="259"/>
        <v>10/2020</v>
      </c>
      <c r="M4162" s="82"/>
      <c r="N4162" s="82"/>
    </row>
    <row r="4163" spans="1:14" x14ac:dyDescent="0.25">
      <c r="A4163" s="170" t="s">
        <v>6934</v>
      </c>
      <c r="B4163" s="170" t="s">
        <v>11860</v>
      </c>
      <c r="C4163" s="170" t="s">
        <v>205</v>
      </c>
      <c r="D4163" s="170" t="s">
        <v>2067</v>
      </c>
      <c r="E4163" s="171" t="s">
        <v>33645</v>
      </c>
      <c r="F4163" s="171" t="s">
        <v>36835</v>
      </c>
      <c r="G4163" s="82"/>
      <c r="H4163" s="96">
        <f t="shared" si="256"/>
        <v>131.09</v>
      </c>
      <c r="I4163" s="96">
        <f t="shared" si="256"/>
        <v>134.99</v>
      </c>
      <c r="J4163" s="91" t="str">
        <f t="shared" si="257"/>
        <v>Sinapi 92380</v>
      </c>
      <c r="K4163" s="91" t="str">
        <f t="shared" si="258"/>
        <v>UN</v>
      </c>
      <c r="L4163" s="166" t="str">
        <f t="shared" si="259"/>
        <v>10/2020</v>
      </c>
      <c r="M4163" s="82"/>
      <c r="N4163" s="82"/>
    </row>
    <row r="4164" spans="1:14" x14ac:dyDescent="0.25">
      <c r="A4164" s="170" t="s">
        <v>6935</v>
      </c>
      <c r="B4164" s="170" t="s">
        <v>11861</v>
      </c>
      <c r="C4164" s="170" t="s">
        <v>205</v>
      </c>
      <c r="D4164" s="170" t="s">
        <v>2067</v>
      </c>
      <c r="E4164" s="171" t="s">
        <v>30933</v>
      </c>
      <c r="F4164" s="171" t="s">
        <v>28514</v>
      </c>
      <c r="G4164" s="82"/>
      <c r="H4164" s="96">
        <f t="shared" si="256"/>
        <v>48.49</v>
      </c>
      <c r="I4164" s="96">
        <f t="shared" si="256"/>
        <v>51.96</v>
      </c>
      <c r="J4164" s="91" t="str">
        <f t="shared" si="257"/>
        <v>Sinapi 92381</v>
      </c>
      <c r="K4164" s="91" t="str">
        <f t="shared" si="258"/>
        <v>UN</v>
      </c>
      <c r="L4164" s="166" t="str">
        <f t="shared" si="259"/>
        <v>10/2020</v>
      </c>
      <c r="M4164" s="82"/>
      <c r="N4164" s="82"/>
    </row>
    <row r="4165" spans="1:14" x14ac:dyDescent="0.25">
      <c r="A4165" s="170" t="s">
        <v>6936</v>
      </c>
      <c r="B4165" s="170" t="s">
        <v>11862</v>
      </c>
      <c r="C4165" s="170" t="s">
        <v>205</v>
      </c>
      <c r="D4165" s="170" t="s">
        <v>2067</v>
      </c>
      <c r="E4165" s="171" t="s">
        <v>18556</v>
      </c>
      <c r="F4165" s="171" t="s">
        <v>21897</v>
      </c>
      <c r="G4165" s="82"/>
      <c r="H4165" s="96">
        <f t="shared" si="256"/>
        <v>46.05</v>
      </c>
      <c r="I4165" s="96">
        <f t="shared" si="256"/>
        <v>49.52</v>
      </c>
      <c r="J4165" s="91" t="str">
        <f t="shared" si="257"/>
        <v>Sinapi 92382</v>
      </c>
      <c r="K4165" s="91" t="str">
        <f t="shared" si="258"/>
        <v>UN</v>
      </c>
      <c r="L4165" s="166" t="str">
        <f t="shared" si="259"/>
        <v>10/2020</v>
      </c>
      <c r="M4165" s="82"/>
      <c r="N4165" s="82"/>
    </row>
    <row r="4166" spans="1:14" x14ac:dyDescent="0.25">
      <c r="A4166" s="170" t="s">
        <v>6937</v>
      </c>
      <c r="B4166" s="170" t="s">
        <v>11863</v>
      </c>
      <c r="C4166" s="170" t="s">
        <v>205</v>
      </c>
      <c r="D4166" s="170" t="s">
        <v>2067</v>
      </c>
      <c r="E4166" s="171" t="s">
        <v>21481</v>
      </c>
      <c r="F4166" s="171" t="s">
        <v>36836</v>
      </c>
      <c r="G4166" s="82"/>
      <c r="H4166" s="96">
        <f t="shared" si="256"/>
        <v>62.44</v>
      </c>
      <c r="I4166" s="96">
        <f t="shared" si="256"/>
        <v>66.2</v>
      </c>
      <c r="J4166" s="91" t="str">
        <f t="shared" si="257"/>
        <v>Sinapi 92383</v>
      </c>
      <c r="K4166" s="91" t="str">
        <f t="shared" si="258"/>
        <v>UN</v>
      </c>
      <c r="L4166" s="166" t="str">
        <f t="shared" si="259"/>
        <v>10/2020</v>
      </c>
      <c r="M4166" s="82"/>
      <c r="N4166" s="82"/>
    </row>
    <row r="4167" spans="1:14" x14ac:dyDescent="0.25">
      <c r="A4167" s="170" t="s">
        <v>6938</v>
      </c>
      <c r="B4167" s="170" t="s">
        <v>11864</v>
      </c>
      <c r="C4167" s="170" t="s">
        <v>205</v>
      </c>
      <c r="D4167" s="170" t="s">
        <v>2067</v>
      </c>
      <c r="E4167" s="171" t="s">
        <v>33479</v>
      </c>
      <c r="F4167" s="171" t="s">
        <v>21455</v>
      </c>
      <c r="G4167" s="82"/>
      <c r="H4167" s="96">
        <f t="shared" si="256"/>
        <v>57.59</v>
      </c>
      <c r="I4167" s="96">
        <f t="shared" si="256"/>
        <v>61.35</v>
      </c>
      <c r="J4167" s="91" t="str">
        <f t="shared" si="257"/>
        <v>Sinapi 92384</v>
      </c>
      <c r="K4167" s="91" t="str">
        <f t="shared" si="258"/>
        <v>UN</v>
      </c>
      <c r="L4167" s="166" t="str">
        <f t="shared" si="259"/>
        <v>10/2020</v>
      </c>
      <c r="M4167" s="82"/>
      <c r="N4167" s="82"/>
    </row>
    <row r="4168" spans="1:14" x14ac:dyDescent="0.25">
      <c r="A4168" s="170" t="s">
        <v>6939</v>
      </c>
      <c r="B4168" s="170" t="s">
        <v>11865</v>
      </c>
      <c r="C4168" s="170" t="s">
        <v>205</v>
      </c>
      <c r="D4168" s="170" t="s">
        <v>2067</v>
      </c>
      <c r="E4168" s="171" t="s">
        <v>33646</v>
      </c>
      <c r="F4168" s="171" t="s">
        <v>36837</v>
      </c>
      <c r="G4168" s="82"/>
      <c r="H4168" s="96">
        <f t="shared" ref="H4168:I4231" si="260">IF(E4168="","",E4168+0)</f>
        <v>72.03</v>
      </c>
      <c r="I4168" s="96">
        <f t="shared" si="260"/>
        <v>76.14</v>
      </c>
      <c r="J4168" s="91" t="str">
        <f t="shared" ref="J4168:J4231" si="261">IF(OR(H4168="",I4168=""),"",TRIM(CONCATENATE("Sinapi ",A4168)))</f>
        <v>Sinapi 92385</v>
      </c>
      <c r="K4168" s="91" t="str">
        <f t="shared" ref="K4168:K4231" si="262">TRIM(C4168)</f>
        <v>UN</v>
      </c>
      <c r="L4168" s="166" t="str">
        <f t="shared" ref="L4168:L4231" si="263">IF(OR(RIGHT(IF(AND(K4168&lt;&gt;"H",K4168&lt;&gt;"MES"),RIGHT(B4168,7),""),2)="PS",RIGHT(IF(AND(K4168&lt;&gt;"H",K4168&lt;&gt;"MES"),RIGHT(B4168,7),""),2)="PA",RIGHT(IF(AND(K4168&lt;&gt;"H",K4168&lt;&gt;"MES"),RIGHT(B4168,7),""),2)="PE"),LEFT(IF(AND(K4168&lt;&gt;"H",K4168&lt;&gt;"MES"),RIGHT(B4168,10),""),7),IF(AND(K4168&lt;&gt;"H",K4168&lt;&gt;"MES"),RIGHT(B4168,7),""))</f>
        <v>10/2020</v>
      </c>
      <c r="M4168" s="82"/>
      <c r="N4168" s="82"/>
    </row>
    <row r="4169" spans="1:14" x14ac:dyDescent="0.25">
      <c r="A4169" s="170" t="s">
        <v>6940</v>
      </c>
      <c r="B4169" s="170" t="s">
        <v>11866</v>
      </c>
      <c r="C4169" s="170" t="s">
        <v>205</v>
      </c>
      <c r="D4169" s="170" t="s">
        <v>2067</v>
      </c>
      <c r="E4169" s="171" t="s">
        <v>28825</v>
      </c>
      <c r="F4169" s="171" t="s">
        <v>31562</v>
      </c>
      <c r="G4169" s="82"/>
      <c r="H4169" s="96">
        <f t="shared" si="260"/>
        <v>68.69</v>
      </c>
      <c r="I4169" s="96">
        <f t="shared" si="260"/>
        <v>72.8</v>
      </c>
      <c r="J4169" s="91" t="str">
        <f t="shared" si="261"/>
        <v>Sinapi 92386</v>
      </c>
      <c r="K4169" s="91" t="str">
        <f t="shared" si="262"/>
        <v>UN</v>
      </c>
      <c r="L4169" s="166" t="str">
        <f t="shared" si="263"/>
        <v>10/2020</v>
      </c>
      <c r="M4169" s="82"/>
      <c r="N4169" s="82"/>
    </row>
    <row r="4170" spans="1:14" x14ac:dyDescent="0.25">
      <c r="A4170" s="170" t="s">
        <v>6941</v>
      </c>
      <c r="B4170" s="170" t="s">
        <v>11867</v>
      </c>
      <c r="C4170" s="170" t="s">
        <v>205</v>
      </c>
      <c r="D4170" s="170" t="s">
        <v>2067</v>
      </c>
      <c r="E4170" s="171" t="s">
        <v>33647</v>
      </c>
      <c r="F4170" s="171" t="s">
        <v>36838</v>
      </c>
      <c r="G4170" s="82"/>
      <c r="H4170" s="96">
        <f t="shared" si="260"/>
        <v>92.22</v>
      </c>
      <c r="I4170" s="96">
        <f t="shared" si="260"/>
        <v>96.78</v>
      </c>
      <c r="J4170" s="91" t="str">
        <f t="shared" si="261"/>
        <v>Sinapi 92387</v>
      </c>
      <c r="K4170" s="91" t="str">
        <f t="shared" si="262"/>
        <v>UN</v>
      </c>
      <c r="L4170" s="166" t="str">
        <f t="shared" si="263"/>
        <v>10/2020</v>
      </c>
      <c r="M4170" s="82"/>
      <c r="N4170" s="82"/>
    </row>
    <row r="4171" spans="1:14" x14ac:dyDescent="0.25">
      <c r="A4171" s="170" t="s">
        <v>6942</v>
      </c>
      <c r="B4171" s="170" t="s">
        <v>11868</v>
      </c>
      <c r="C4171" s="170" t="s">
        <v>205</v>
      </c>
      <c r="D4171" s="170" t="s">
        <v>2067</v>
      </c>
      <c r="E4171" s="171" t="s">
        <v>33648</v>
      </c>
      <c r="F4171" s="171" t="s">
        <v>34189</v>
      </c>
      <c r="G4171" s="82"/>
      <c r="H4171" s="96">
        <f t="shared" si="260"/>
        <v>89.95</v>
      </c>
      <c r="I4171" s="96">
        <f t="shared" si="260"/>
        <v>94.51</v>
      </c>
      <c r="J4171" s="91" t="str">
        <f t="shared" si="261"/>
        <v>Sinapi 92388</v>
      </c>
      <c r="K4171" s="91" t="str">
        <f t="shared" si="262"/>
        <v>UN</v>
      </c>
      <c r="L4171" s="166" t="str">
        <f t="shared" si="263"/>
        <v>10/2020</v>
      </c>
      <c r="M4171" s="82"/>
      <c r="N4171" s="82"/>
    </row>
    <row r="4172" spans="1:14" x14ac:dyDescent="0.25">
      <c r="A4172" s="170" t="s">
        <v>6943</v>
      </c>
      <c r="B4172" s="170" t="s">
        <v>11869</v>
      </c>
      <c r="C4172" s="170" t="s">
        <v>205</v>
      </c>
      <c r="D4172" s="170" t="s">
        <v>2067</v>
      </c>
      <c r="E4172" s="171" t="s">
        <v>33649</v>
      </c>
      <c r="F4172" s="171" t="s">
        <v>36839</v>
      </c>
      <c r="G4172" s="82"/>
      <c r="H4172" s="96">
        <f t="shared" si="260"/>
        <v>146.5</v>
      </c>
      <c r="I4172" s="96">
        <f t="shared" si="260"/>
        <v>151.71</v>
      </c>
      <c r="J4172" s="91" t="str">
        <f t="shared" si="261"/>
        <v>Sinapi 92389</v>
      </c>
      <c r="K4172" s="91" t="str">
        <f t="shared" si="262"/>
        <v>UN</v>
      </c>
      <c r="L4172" s="166" t="str">
        <f t="shared" si="263"/>
        <v>10/2020</v>
      </c>
      <c r="M4172" s="82"/>
      <c r="N4172" s="82"/>
    </row>
    <row r="4173" spans="1:14" x14ac:dyDescent="0.25">
      <c r="A4173" s="170" t="s">
        <v>6944</v>
      </c>
      <c r="B4173" s="170" t="s">
        <v>11870</v>
      </c>
      <c r="C4173" s="170" t="s">
        <v>205</v>
      </c>
      <c r="D4173" s="170" t="s">
        <v>2067</v>
      </c>
      <c r="E4173" s="171" t="s">
        <v>28626</v>
      </c>
      <c r="F4173" s="171" t="s">
        <v>28724</v>
      </c>
      <c r="G4173" s="82"/>
      <c r="H4173" s="96">
        <f t="shared" si="260"/>
        <v>136.5</v>
      </c>
      <c r="I4173" s="96">
        <f t="shared" si="260"/>
        <v>141.71</v>
      </c>
      <c r="J4173" s="91" t="str">
        <f t="shared" si="261"/>
        <v>Sinapi 92390</v>
      </c>
      <c r="K4173" s="91" t="str">
        <f t="shared" si="262"/>
        <v>UN</v>
      </c>
      <c r="L4173" s="166" t="str">
        <f t="shared" si="263"/>
        <v>10/2020</v>
      </c>
      <c r="M4173" s="82"/>
      <c r="N4173" s="82"/>
    </row>
    <row r="4174" spans="1:14" x14ac:dyDescent="0.25">
      <c r="A4174" s="170" t="s">
        <v>6945</v>
      </c>
      <c r="B4174" s="170" t="s">
        <v>11871</v>
      </c>
      <c r="C4174" s="170" t="s">
        <v>205</v>
      </c>
      <c r="D4174" s="170" t="s">
        <v>2067</v>
      </c>
      <c r="E4174" s="171" t="s">
        <v>33650</v>
      </c>
      <c r="F4174" s="171" t="s">
        <v>36840</v>
      </c>
      <c r="G4174" s="82"/>
      <c r="H4174" s="96">
        <f t="shared" si="260"/>
        <v>198.64</v>
      </c>
      <c r="I4174" s="96">
        <f t="shared" si="260"/>
        <v>204.5</v>
      </c>
      <c r="J4174" s="91" t="str">
        <f t="shared" si="261"/>
        <v>Sinapi 92635</v>
      </c>
      <c r="K4174" s="91" t="str">
        <f t="shared" si="262"/>
        <v>UN</v>
      </c>
      <c r="L4174" s="166" t="str">
        <f t="shared" si="263"/>
        <v>10/2020</v>
      </c>
      <c r="M4174" s="82"/>
      <c r="N4174" s="82"/>
    </row>
    <row r="4175" spans="1:14" x14ac:dyDescent="0.25">
      <c r="A4175" s="170" t="s">
        <v>6946</v>
      </c>
      <c r="B4175" s="170" t="s">
        <v>11872</v>
      </c>
      <c r="C4175" s="170" t="s">
        <v>205</v>
      </c>
      <c r="D4175" s="170" t="s">
        <v>2067</v>
      </c>
      <c r="E4175" s="171" t="s">
        <v>33651</v>
      </c>
      <c r="F4175" s="171" t="s">
        <v>36841</v>
      </c>
      <c r="G4175" s="82"/>
      <c r="H4175" s="96">
        <f t="shared" si="260"/>
        <v>179.37</v>
      </c>
      <c r="I4175" s="96">
        <f t="shared" si="260"/>
        <v>185.23</v>
      </c>
      <c r="J4175" s="91" t="str">
        <f t="shared" si="261"/>
        <v>Sinapi 92636</v>
      </c>
      <c r="K4175" s="91" t="str">
        <f t="shared" si="262"/>
        <v>UN</v>
      </c>
      <c r="L4175" s="166" t="str">
        <f t="shared" si="263"/>
        <v>10/2020</v>
      </c>
      <c r="M4175" s="82"/>
      <c r="N4175" s="82"/>
    </row>
    <row r="4176" spans="1:14" x14ac:dyDescent="0.25">
      <c r="A4176" s="170" t="s">
        <v>6947</v>
      </c>
      <c r="B4176" s="170" t="s">
        <v>11873</v>
      </c>
      <c r="C4176" s="170" t="s">
        <v>205</v>
      </c>
      <c r="D4176" s="170" t="s">
        <v>2067</v>
      </c>
      <c r="E4176" s="171" t="s">
        <v>33652</v>
      </c>
      <c r="F4176" s="171" t="s">
        <v>23222</v>
      </c>
      <c r="G4176" s="82"/>
      <c r="H4176" s="96">
        <f t="shared" si="260"/>
        <v>62.32</v>
      </c>
      <c r="I4176" s="96">
        <f t="shared" si="260"/>
        <v>66.94</v>
      </c>
      <c r="J4176" s="91" t="str">
        <f t="shared" si="261"/>
        <v>Sinapi 92637</v>
      </c>
      <c r="K4176" s="91" t="str">
        <f t="shared" si="262"/>
        <v>UN</v>
      </c>
      <c r="L4176" s="166" t="str">
        <f t="shared" si="263"/>
        <v>10/2020</v>
      </c>
      <c r="M4176" s="82"/>
      <c r="N4176" s="82"/>
    </row>
    <row r="4177" spans="1:14" x14ac:dyDescent="0.25">
      <c r="A4177" s="170" t="s">
        <v>6948</v>
      </c>
      <c r="B4177" s="170" t="s">
        <v>11874</v>
      </c>
      <c r="C4177" s="170" t="s">
        <v>205</v>
      </c>
      <c r="D4177" s="170" t="s">
        <v>2067</v>
      </c>
      <c r="E4177" s="171" t="s">
        <v>28698</v>
      </c>
      <c r="F4177" s="171" t="s">
        <v>21334</v>
      </c>
      <c r="G4177" s="82"/>
      <c r="H4177" s="96">
        <f t="shared" si="260"/>
        <v>77.37</v>
      </c>
      <c r="I4177" s="96">
        <f t="shared" si="260"/>
        <v>82.41</v>
      </c>
      <c r="J4177" s="91" t="str">
        <f t="shared" si="261"/>
        <v>Sinapi 92638</v>
      </c>
      <c r="K4177" s="91" t="str">
        <f t="shared" si="262"/>
        <v>UN</v>
      </c>
      <c r="L4177" s="166" t="str">
        <f t="shared" si="263"/>
        <v>10/2020</v>
      </c>
      <c r="M4177" s="82"/>
      <c r="N4177" s="82"/>
    </row>
    <row r="4178" spans="1:14" x14ac:dyDescent="0.25">
      <c r="A4178" s="170" t="s">
        <v>6949</v>
      </c>
      <c r="B4178" s="170" t="s">
        <v>11875</v>
      </c>
      <c r="C4178" s="170" t="s">
        <v>205</v>
      </c>
      <c r="D4178" s="170" t="s">
        <v>2067</v>
      </c>
      <c r="E4178" s="171" t="s">
        <v>30168</v>
      </c>
      <c r="F4178" s="171" t="s">
        <v>23193</v>
      </c>
      <c r="G4178" s="82"/>
      <c r="H4178" s="96">
        <f t="shared" si="260"/>
        <v>90.3</v>
      </c>
      <c r="I4178" s="96">
        <f t="shared" si="260"/>
        <v>95.79</v>
      </c>
      <c r="J4178" s="91" t="str">
        <f t="shared" si="261"/>
        <v>Sinapi 92639</v>
      </c>
      <c r="K4178" s="91" t="str">
        <f t="shared" si="262"/>
        <v>UN</v>
      </c>
      <c r="L4178" s="166" t="str">
        <f t="shared" si="263"/>
        <v>10/2020</v>
      </c>
      <c r="M4178" s="82"/>
      <c r="N4178" s="82"/>
    </row>
    <row r="4179" spans="1:14" x14ac:dyDescent="0.25">
      <c r="A4179" s="170" t="s">
        <v>6950</v>
      </c>
      <c r="B4179" s="170" t="s">
        <v>11876</v>
      </c>
      <c r="C4179" s="170" t="s">
        <v>205</v>
      </c>
      <c r="D4179" s="170" t="s">
        <v>2067</v>
      </c>
      <c r="E4179" s="171" t="s">
        <v>33653</v>
      </c>
      <c r="F4179" s="171" t="s">
        <v>36842</v>
      </c>
      <c r="G4179" s="82"/>
      <c r="H4179" s="96">
        <f t="shared" si="260"/>
        <v>119.88</v>
      </c>
      <c r="I4179" s="96">
        <f t="shared" si="260"/>
        <v>125.95</v>
      </c>
      <c r="J4179" s="91" t="str">
        <f t="shared" si="261"/>
        <v>Sinapi 92640</v>
      </c>
      <c r="K4179" s="91" t="str">
        <f t="shared" si="262"/>
        <v>UN</v>
      </c>
      <c r="L4179" s="166" t="str">
        <f t="shared" si="263"/>
        <v>10/2020</v>
      </c>
      <c r="M4179" s="82"/>
      <c r="N4179" s="82"/>
    </row>
    <row r="4180" spans="1:14" x14ac:dyDescent="0.25">
      <c r="A4180" s="170" t="s">
        <v>6951</v>
      </c>
      <c r="B4180" s="170" t="s">
        <v>11877</v>
      </c>
      <c r="C4180" s="170" t="s">
        <v>205</v>
      </c>
      <c r="D4180" s="170" t="s">
        <v>2067</v>
      </c>
      <c r="E4180" s="171" t="s">
        <v>33654</v>
      </c>
      <c r="F4180" s="171" t="s">
        <v>22934</v>
      </c>
      <c r="G4180" s="82"/>
      <c r="H4180" s="96">
        <f t="shared" si="260"/>
        <v>186.97</v>
      </c>
      <c r="I4180" s="96">
        <f t="shared" si="260"/>
        <v>193.91</v>
      </c>
      <c r="J4180" s="91" t="str">
        <f t="shared" si="261"/>
        <v>Sinapi 92642</v>
      </c>
      <c r="K4180" s="91" t="str">
        <f t="shared" si="262"/>
        <v>UN</v>
      </c>
      <c r="L4180" s="166" t="str">
        <f t="shared" si="263"/>
        <v>10/2020</v>
      </c>
      <c r="M4180" s="82"/>
      <c r="N4180" s="82"/>
    </row>
    <row r="4181" spans="1:14" x14ac:dyDescent="0.25">
      <c r="A4181" s="170" t="s">
        <v>6952</v>
      </c>
      <c r="B4181" s="170" t="s">
        <v>11878</v>
      </c>
      <c r="C4181" s="170" t="s">
        <v>205</v>
      </c>
      <c r="D4181" s="170" t="s">
        <v>2067</v>
      </c>
      <c r="E4181" s="171" t="s">
        <v>33655</v>
      </c>
      <c r="F4181" s="171" t="s">
        <v>36843</v>
      </c>
      <c r="G4181" s="82"/>
      <c r="H4181" s="96">
        <f t="shared" si="260"/>
        <v>237.3</v>
      </c>
      <c r="I4181" s="96">
        <f t="shared" si="260"/>
        <v>245.12</v>
      </c>
      <c r="J4181" s="91" t="str">
        <f t="shared" si="261"/>
        <v>Sinapi 92644</v>
      </c>
      <c r="K4181" s="91" t="str">
        <f t="shared" si="262"/>
        <v>UN</v>
      </c>
      <c r="L4181" s="166" t="str">
        <f t="shared" si="263"/>
        <v>10/2020</v>
      </c>
      <c r="M4181" s="82"/>
      <c r="N4181" s="82"/>
    </row>
    <row r="4182" spans="1:14" x14ac:dyDescent="0.25">
      <c r="A4182" s="170" t="s">
        <v>6953</v>
      </c>
      <c r="B4182" s="170" t="s">
        <v>11879</v>
      </c>
      <c r="C4182" s="170" t="s">
        <v>205</v>
      </c>
      <c r="D4182" s="170" t="s">
        <v>2067</v>
      </c>
      <c r="E4182" s="171" t="s">
        <v>19921</v>
      </c>
      <c r="F4182" s="171" t="s">
        <v>14934</v>
      </c>
      <c r="G4182" s="82"/>
      <c r="H4182" s="96">
        <f t="shared" si="260"/>
        <v>24.2</v>
      </c>
      <c r="I4182" s="96">
        <f t="shared" si="260"/>
        <v>25.62</v>
      </c>
      <c r="J4182" s="91" t="str">
        <f t="shared" si="261"/>
        <v>Sinapi 92657</v>
      </c>
      <c r="K4182" s="91" t="str">
        <f t="shared" si="262"/>
        <v>UN</v>
      </c>
      <c r="L4182" s="166" t="str">
        <f t="shared" si="263"/>
        <v>10/2020</v>
      </c>
      <c r="M4182" s="82"/>
      <c r="N4182" s="82"/>
    </row>
    <row r="4183" spans="1:14" x14ac:dyDescent="0.25">
      <c r="A4183" s="170" t="s">
        <v>6954</v>
      </c>
      <c r="B4183" s="170" t="s">
        <v>11880</v>
      </c>
      <c r="C4183" s="170" t="s">
        <v>205</v>
      </c>
      <c r="D4183" s="170" t="s">
        <v>2067</v>
      </c>
      <c r="E4183" s="171" t="s">
        <v>17970</v>
      </c>
      <c r="F4183" s="171" t="s">
        <v>20113</v>
      </c>
      <c r="G4183" s="82"/>
      <c r="H4183" s="96">
        <f t="shared" si="260"/>
        <v>26.04</v>
      </c>
      <c r="I4183" s="96">
        <f t="shared" si="260"/>
        <v>27.46</v>
      </c>
      <c r="J4183" s="91" t="str">
        <f t="shared" si="261"/>
        <v>Sinapi 92658</v>
      </c>
      <c r="K4183" s="91" t="str">
        <f t="shared" si="262"/>
        <v>UN</v>
      </c>
      <c r="L4183" s="166" t="str">
        <f t="shared" si="263"/>
        <v>10/2020</v>
      </c>
      <c r="M4183" s="82"/>
      <c r="N4183" s="82"/>
    </row>
    <row r="4184" spans="1:14" x14ac:dyDescent="0.25">
      <c r="A4184" s="170" t="s">
        <v>6955</v>
      </c>
      <c r="B4184" s="170" t="s">
        <v>11881</v>
      </c>
      <c r="C4184" s="170" t="s">
        <v>205</v>
      </c>
      <c r="D4184" s="170" t="s">
        <v>2067</v>
      </c>
      <c r="E4184" s="171" t="s">
        <v>31275</v>
      </c>
      <c r="F4184" s="171" t="s">
        <v>33493</v>
      </c>
      <c r="G4184" s="82"/>
      <c r="H4184" s="96">
        <f t="shared" si="260"/>
        <v>30.44</v>
      </c>
      <c r="I4184" s="96">
        <f t="shared" si="260"/>
        <v>31.93</v>
      </c>
      <c r="J4184" s="91" t="str">
        <f t="shared" si="261"/>
        <v>Sinapi 92659</v>
      </c>
      <c r="K4184" s="91" t="str">
        <f t="shared" si="262"/>
        <v>UN</v>
      </c>
      <c r="L4184" s="166" t="str">
        <f t="shared" si="263"/>
        <v>10/2020</v>
      </c>
      <c r="M4184" s="82"/>
      <c r="N4184" s="82"/>
    </row>
    <row r="4185" spans="1:14" x14ac:dyDescent="0.25">
      <c r="A4185" s="170" t="s">
        <v>6956</v>
      </c>
      <c r="B4185" s="170" t="s">
        <v>11882</v>
      </c>
      <c r="C4185" s="170" t="s">
        <v>205</v>
      </c>
      <c r="D4185" s="170" t="s">
        <v>2067</v>
      </c>
      <c r="E4185" s="171" t="s">
        <v>33656</v>
      </c>
      <c r="F4185" s="171" t="s">
        <v>36844</v>
      </c>
      <c r="G4185" s="82"/>
      <c r="H4185" s="96">
        <f t="shared" si="260"/>
        <v>32.15</v>
      </c>
      <c r="I4185" s="96">
        <f t="shared" si="260"/>
        <v>33.64</v>
      </c>
      <c r="J4185" s="91" t="str">
        <f t="shared" si="261"/>
        <v>Sinapi 92660</v>
      </c>
      <c r="K4185" s="91" t="str">
        <f t="shared" si="262"/>
        <v>UN</v>
      </c>
      <c r="L4185" s="166" t="str">
        <f t="shared" si="263"/>
        <v>10/2020</v>
      </c>
      <c r="M4185" s="82"/>
      <c r="N4185" s="82"/>
    </row>
    <row r="4186" spans="1:14" x14ac:dyDescent="0.25">
      <c r="A4186" s="170" t="s">
        <v>6957</v>
      </c>
      <c r="B4186" s="170" t="s">
        <v>11883</v>
      </c>
      <c r="C4186" s="170" t="s">
        <v>205</v>
      </c>
      <c r="D4186" s="170" t="s">
        <v>2067</v>
      </c>
      <c r="E4186" s="171" t="s">
        <v>30721</v>
      </c>
      <c r="F4186" s="171" t="s">
        <v>19981</v>
      </c>
      <c r="G4186" s="82"/>
      <c r="H4186" s="96">
        <f t="shared" si="260"/>
        <v>36.840000000000003</v>
      </c>
      <c r="I4186" s="96">
        <f t="shared" si="260"/>
        <v>38.43</v>
      </c>
      <c r="J4186" s="91" t="str">
        <f t="shared" si="261"/>
        <v>Sinapi 92661</v>
      </c>
      <c r="K4186" s="91" t="str">
        <f t="shared" si="262"/>
        <v>UN</v>
      </c>
      <c r="L4186" s="166" t="str">
        <f t="shared" si="263"/>
        <v>10/2020</v>
      </c>
      <c r="M4186" s="82"/>
      <c r="N4186" s="82"/>
    </row>
    <row r="4187" spans="1:14" x14ac:dyDescent="0.25">
      <c r="A4187" s="170" t="s">
        <v>6958</v>
      </c>
      <c r="B4187" s="170" t="s">
        <v>11884</v>
      </c>
      <c r="C4187" s="170" t="s">
        <v>205</v>
      </c>
      <c r="D4187" s="170" t="s">
        <v>2067</v>
      </c>
      <c r="E4187" s="171" t="s">
        <v>33657</v>
      </c>
      <c r="F4187" s="171" t="s">
        <v>23264</v>
      </c>
      <c r="G4187" s="82"/>
      <c r="H4187" s="96">
        <f t="shared" si="260"/>
        <v>37.17</v>
      </c>
      <c r="I4187" s="96">
        <f t="shared" si="260"/>
        <v>38.76</v>
      </c>
      <c r="J4187" s="91" t="str">
        <f t="shared" si="261"/>
        <v>Sinapi 92662</v>
      </c>
      <c r="K4187" s="91" t="str">
        <f t="shared" si="262"/>
        <v>UN</v>
      </c>
      <c r="L4187" s="166" t="str">
        <f t="shared" si="263"/>
        <v>10/2020</v>
      </c>
      <c r="M4187" s="82"/>
      <c r="N4187" s="82"/>
    </row>
    <row r="4188" spans="1:14" x14ac:dyDescent="0.25">
      <c r="A4188" s="170" t="s">
        <v>6959</v>
      </c>
      <c r="B4188" s="170" t="s">
        <v>11885</v>
      </c>
      <c r="C4188" s="170" t="s">
        <v>205</v>
      </c>
      <c r="D4188" s="170" t="s">
        <v>2067</v>
      </c>
      <c r="E4188" s="171" t="s">
        <v>28807</v>
      </c>
      <c r="F4188" s="171" t="s">
        <v>28571</v>
      </c>
      <c r="G4188" s="82"/>
      <c r="H4188" s="96">
        <f t="shared" si="260"/>
        <v>50.48</v>
      </c>
      <c r="I4188" s="96">
        <f t="shared" si="260"/>
        <v>52.18</v>
      </c>
      <c r="J4188" s="91" t="str">
        <f t="shared" si="261"/>
        <v>Sinapi 92663</v>
      </c>
      <c r="K4188" s="91" t="str">
        <f t="shared" si="262"/>
        <v>UN</v>
      </c>
      <c r="L4188" s="166" t="str">
        <f t="shared" si="263"/>
        <v>10/2020</v>
      </c>
      <c r="M4188" s="82"/>
      <c r="N4188" s="82"/>
    </row>
    <row r="4189" spans="1:14" x14ac:dyDescent="0.25">
      <c r="A4189" s="170" t="s">
        <v>6960</v>
      </c>
      <c r="B4189" s="170" t="s">
        <v>11886</v>
      </c>
      <c r="C4189" s="170" t="s">
        <v>205</v>
      </c>
      <c r="D4189" s="170" t="s">
        <v>2067</v>
      </c>
      <c r="E4189" s="171" t="s">
        <v>33658</v>
      </c>
      <c r="F4189" s="171" t="s">
        <v>36845</v>
      </c>
      <c r="G4189" s="82"/>
      <c r="H4189" s="96">
        <f t="shared" si="260"/>
        <v>50.46</v>
      </c>
      <c r="I4189" s="96">
        <f t="shared" si="260"/>
        <v>52.16</v>
      </c>
      <c r="J4189" s="91" t="str">
        <f t="shared" si="261"/>
        <v>Sinapi 92664</v>
      </c>
      <c r="K4189" s="91" t="str">
        <f t="shared" si="262"/>
        <v>UN</v>
      </c>
      <c r="L4189" s="166" t="str">
        <f t="shared" si="263"/>
        <v>10/2020</v>
      </c>
      <c r="M4189" s="82"/>
      <c r="N4189" s="82"/>
    </row>
    <row r="4190" spans="1:14" x14ac:dyDescent="0.25">
      <c r="A4190" s="170" t="s">
        <v>6961</v>
      </c>
      <c r="B4190" s="170" t="s">
        <v>11887</v>
      </c>
      <c r="C4190" s="170" t="s">
        <v>205</v>
      </c>
      <c r="D4190" s="170" t="s">
        <v>2067</v>
      </c>
      <c r="E4190" s="171" t="s">
        <v>20115</v>
      </c>
      <c r="F4190" s="171" t="s">
        <v>33049</v>
      </c>
      <c r="G4190" s="82"/>
      <c r="H4190" s="96">
        <f t="shared" si="260"/>
        <v>70.650000000000006</v>
      </c>
      <c r="I4190" s="96">
        <f t="shared" si="260"/>
        <v>72.53</v>
      </c>
      <c r="J4190" s="91" t="str">
        <f t="shared" si="261"/>
        <v>Sinapi 92665</v>
      </c>
      <c r="K4190" s="91" t="str">
        <f t="shared" si="262"/>
        <v>UN</v>
      </c>
      <c r="L4190" s="166" t="str">
        <f t="shared" si="263"/>
        <v>10/2020</v>
      </c>
      <c r="M4190" s="82"/>
      <c r="N4190" s="82"/>
    </row>
    <row r="4191" spans="1:14" x14ac:dyDescent="0.25">
      <c r="A4191" s="170" t="s">
        <v>6962</v>
      </c>
      <c r="B4191" s="170" t="s">
        <v>11888</v>
      </c>
      <c r="C4191" s="170" t="s">
        <v>205</v>
      </c>
      <c r="D4191" s="170" t="s">
        <v>2067</v>
      </c>
      <c r="E4191" s="171" t="s">
        <v>23168</v>
      </c>
      <c r="F4191" s="171" t="s">
        <v>29038</v>
      </c>
      <c r="G4191" s="82"/>
      <c r="H4191" s="96">
        <f t="shared" si="260"/>
        <v>80.87</v>
      </c>
      <c r="I4191" s="96">
        <f t="shared" si="260"/>
        <v>82.75</v>
      </c>
      <c r="J4191" s="91" t="str">
        <f t="shared" si="261"/>
        <v>Sinapi 92666</v>
      </c>
      <c r="K4191" s="91" t="str">
        <f t="shared" si="262"/>
        <v>UN</v>
      </c>
      <c r="L4191" s="166" t="str">
        <f t="shared" si="263"/>
        <v>10/2020</v>
      </c>
      <c r="M4191" s="82"/>
      <c r="N4191" s="82"/>
    </row>
    <row r="4192" spans="1:14" x14ac:dyDescent="0.25">
      <c r="A4192" s="170" t="s">
        <v>6963</v>
      </c>
      <c r="B4192" s="170" t="s">
        <v>11889</v>
      </c>
      <c r="C4192" s="170" t="s">
        <v>205</v>
      </c>
      <c r="D4192" s="170" t="s">
        <v>2067</v>
      </c>
      <c r="E4192" s="171" t="s">
        <v>33659</v>
      </c>
      <c r="F4192" s="171" t="s">
        <v>36846</v>
      </c>
      <c r="G4192" s="82"/>
      <c r="H4192" s="96">
        <f t="shared" si="260"/>
        <v>105.83</v>
      </c>
      <c r="I4192" s="96">
        <f t="shared" si="260"/>
        <v>107.88</v>
      </c>
      <c r="J4192" s="91" t="str">
        <f t="shared" si="261"/>
        <v>Sinapi 92667</v>
      </c>
      <c r="K4192" s="91" t="str">
        <f t="shared" si="262"/>
        <v>UN</v>
      </c>
      <c r="L4192" s="166" t="str">
        <f t="shared" si="263"/>
        <v>10/2020</v>
      </c>
      <c r="M4192" s="82"/>
      <c r="N4192" s="82"/>
    </row>
    <row r="4193" spans="1:14" x14ac:dyDescent="0.25">
      <c r="A4193" s="170" t="s">
        <v>6964</v>
      </c>
      <c r="B4193" s="170" t="s">
        <v>11890</v>
      </c>
      <c r="C4193" s="170" t="s">
        <v>205</v>
      </c>
      <c r="D4193" s="170" t="s">
        <v>2067</v>
      </c>
      <c r="E4193" s="171" t="s">
        <v>33660</v>
      </c>
      <c r="F4193" s="171" t="s">
        <v>36847</v>
      </c>
      <c r="G4193" s="82"/>
      <c r="H4193" s="96">
        <f t="shared" si="260"/>
        <v>114.92</v>
      </c>
      <c r="I4193" s="96">
        <f t="shared" si="260"/>
        <v>116.97</v>
      </c>
      <c r="J4193" s="91" t="str">
        <f t="shared" si="261"/>
        <v>Sinapi 92668</v>
      </c>
      <c r="K4193" s="91" t="str">
        <f t="shared" si="262"/>
        <v>UN</v>
      </c>
      <c r="L4193" s="166" t="str">
        <f t="shared" si="263"/>
        <v>10/2020</v>
      </c>
      <c r="M4193" s="82"/>
      <c r="N4193" s="82"/>
    </row>
    <row r="4194" spans="1:14" x14ac:dyDescent="0.25">
      <c r="A4194" s="170" t="s">
        <v>6965</v>
      </c>
      <c r="B4194" s="170" t="s">
        <v>11891</v>
      </c>
      <c r="C4194" s="170" t="s">
        <v>205</v>
      </c>
      <c r="D4194" s="170" t="s">
        <v>2067</v>
      </c>
      <c r="E4194" s="171" t="s">
        <v>20652</v>
      </c>
      <c r="F4194" s="171" t="s">
        <v>20017</v>
      </c>
      <c r="G4194" s="82"/>
      <c r="H4194" s="96">
        <f t="shared" si="260"/>
        <v>36.799999999999997</v>
      </c>
      <c r="I4194" s="96">
        <f t="shared" si="260"/>
        <v>38.93</v>
      </c>
      <c r="J4194" s="91" t="str">
        <f t="shared" si="261"/>
        <v>Sinapi 92669</v>
      </c>
      <c r="K4194" s="91" t="str">
        <f t="shared" si="262"/>
        <v>UN</v>
      </c>
      <c r="L4194" s="166" t="str">
        <f t="shared" si="263"/>
        <v>10/2020</v>
      </c>
      <c r="M4194" s="82"/>
      <c r="N4194" s="82"/>
    </row>
    <row r="4195" spans="1:14" x14ac:dyDescent="0.25">
      <c r="A4195" s="170" t="s">
        <v>6966</v>
      </c>
      <c r="B4195" s="170" t="s">
        <v>11892</v>
      </c>
      <c r="C4195" s="170" t="s">
        <v>205</v>
      </c>
      <c r="D4195" s="170" t="s">
        <v>2067</v>
      </c>
      <c r="E4195" s="171" t="s">
        <v>21555</v>
      </c>
      <c r="F4195" s="171" t="s">
        <v>23303</v>
      </c>
      <c r="G4195" s="82"/>
      <c r="H4195" s="96">
        <f t="shared" si="260"/>
        <v>34.36</v>
      </c>
      <c r="I4195" s="96">
        <f t="shared" si="260"/>
        <v>36.49</v>
      </c>
      <c r="J4195" s="91" t="str">
        <f t="shared" si="261"/>
        <v>Sinapi 92670</v>
      </c>
      <c r="K4195" s="91" t="str">
        <f t="shared" si="262"/>
        <v>UN</v>
      </c>
      <c r="L4195" s="166" t="str">
        <f t="shared" si="263"/>
        <v>10/2020</v>
      </c>
      <c r="M4195" s="82"/>
      <c r="N4195" s="82"/>
    </row>
    <row r="4196" spans="1:14" x14ac:dyDescent="0.25">
      <c r="A4196" s="170" t="s">
        <v>6967</v>
      </c>
      <c r="B4196" s="170" t="s">
        <v>11893</v>
      </c>
      <c r="C4196" s="170" t="s">
        <v>205</v>
      </c>
      <c r="D4196" s="170" t="s">
        <v>2067</v>
      </c>
      <c r="E4196" s="171" t="s">
        <v>17290</v>
      </c>
      <c r="F4196" s="171" t="s">
        <v>30741</v>
      </c>
      <c r="G4196" s="82"/>
      <c r="H4196" s="96">
        <f t="shared" si="260"/>
        <v>49.18</v>
      </c>
      <c r="I4196" s="96">
        <f t="shared" si="260"/>
        <v>51.44</v>
      </c>
      <c r="J4196" s="91" t="str">
        <f t="shared" si="261"/>
        <v>Sinapi 92671</v>
      </c>
      <c r="K4196" s="91" t="str">
        <f t="shared" si="262"/>
        <v>UN</v>
      </c>
      <c r="L4196" s="166" t="str">
        <f t="shared" si="263"/>
        <v>10/2020</v>
      </c>
      <c r="M4196" s="82"/>
      <c r="N4196" s="82"/>
    </row>
    <row r="4197" spans="1:14" x14ac:dyDescent="0.25">
      <c r="A4197" s="170" t="s">
        <v>6968</v>
      </c>
      <c r="B4197" s="170" t="s">
        <v>11894</v>
      </c>
      <c r="C4197" s="170" t="s">
        <v>205</v>
      </c>
      <c r="D4197" s="170" t="s">
        <v>2067</v>
      </c>
      <c r="E4197" s="171" t="s">
        <v>33661</v>
      </c>
      <c r="F4197" s="171" t="s">
        <v>36848</v>
      </c>
      <c r="G4197" s="82"/>
      <c r="H4197" s="96">
        <f t="shared" si="260"/>
        <v>44.33</v>
      </c>
      <c r="I4197" s="96">
        <f t="shared" si="260"/>
        <v>46.59</v>
      </c>
      <c r="J4197" s="91" t="str">
        <f t="shared" si="261"/>
        <v>Sinapi 92672</v>
      </c>
      <c r="K4197" s="91" t="str">
        <f t="shared" si="262"/>
        <v>UN</v>
      </c>
      <c r="L4197" s="166" t="str">
        <f t="shared" si="263"/>
        <v>10/2020</v>
      </c>
      <c r="M4197" s="82"/>
      <c r="N4197" s="82"/>
    </row>
    <row r="4198" spans="1:14" x14ac:dyDescent="0.25">
      <c r="A4198" s="170" t="s">
        <v>6969</v>
      </c>
      <c r="B4198" s="170" t="s">
        <v>11895</v>
      </c>
      <c r="C4198" s="170" t="s">
        <v>205</v>
      </c>
      <c r="D4198" s="170" t="s">
        <v>2067</v>
      </c>
      <c r="E4198" s="171" t="s">
        <v>21312</v>
      </c>
      <c r="F4198" s="171" t="s">
        <v>28523</v>
      </c>
      <c r="G4198" s="82"/>
      <c r="H4198" s="96">
        <f t="shared" si="260"/>
        <v>56.93</v>
      </c>
      <c r="I4198" s="96">
        <f t="shared" si="260"/>
        <v>59.32</v>
      </c>
      <c r="J4198" s="91" t="str">
        <f t="shared" si="261"/>
        <v>Sinapi 92673</v>
      </c>
      <c r="K4198" s="91" t="str">
        <f t="shared" si="262"/>
        <v>UN</v>
      </c>
      <c r="L4198" s="166" t="str">
        <f t="shared" si="263"/>
        <v>10/2020</v>
      </c>
      <c r="M4198" s="82"/>
      <c r="N4198" s="82"/>
    </row>
    <row r="4199" spans="1:14" x14ac:dyDescent="0.25">
      <c r="A4199" s="170" t="s">
        <v>6970</v>
      </c>
      <c r="B4199" s="170" t="s">
        <v>11896</v>
      </c>
      <c r="C4199" s="170" t="s">
        <v>205</v>
      </c>
      <c r="D4199" s="170" t="s">
        <v>2067</v>
      </c>
      <c r="E4199" s="171" t="s">
        <v>33587</v>
      </c>
      <c r="F4199" s="171" t="s">
        <v>28615</v>
      </c>
      <c r="G4199" s="82"/>
      <c r="H4199" s="96">
        <f t="shared" si="260"/>
        <v>53.59</v>
      </c>
      <c r="I4199" s="96">
        <f t="shared" si="260"/>
        <v>55.98</v>
      </c>
      <c r="J4199" s="91" t="str">
        <f t="shared" si="261"/>
        <v>Sinapi 92674</v>
      </c>
      <c r="K4199" s="91" t="str">
        <f t="shared" si="262"/>
        <v>UN</v>
      </c>
      <c r="L4199" s="166" t="str">
        <f t="shared" si="263"/>
        <v>10/2020</v>
      </c>
      <c r="M4199" s="82"/>
      <c r="N4199" s="82"/>
    </row>
    <row r="4200" spans="1:14" x14ac:dyDescent="0.25">
      <c r="A4200" s="170" t="s">
        <v>6971</v>
      </c>
      <c r="B4200" s="170" t="s">
        <v>11897</v>
      </c>
      <c r="C4200" s="170" t="s">
        <v>205</v>
      </c>
      <c r="D4200" s="170" t="s">
        <v>2067</v>
      </c>
      <c r="E4200" s="171" t="s">
        <v>33662</v>
      </c>
      <c r="F4200" s="171" t="s">
        <v>29935</v>
      </c>
      <c r="G4200" s="82"/>
      <c r="H4200" s="96">
        <f t="shared" si="260"/>
        <v>74.86</v>
      </c>
      <c r="I4200" s="96">
        <f t="shared" si="260"/>
        <v>77.42</v>
      </c>
      <c r="J4200" s="91" t="str">
        <f t="shared" si="261"/>
        <v>Sinapi 92675</v>
      </c>
      <c r="K4200" s="91" t="str">
        <f t="shared" si="262"/>
        <v>UN</v>
      </c>
      <c r="L4200" s="166" t="str">
        <f t="shared" si="263"/>
        <v>10/2020</v>
      </c>
      <c r="M4200" s="82"/>
      <c r="N4200" s="82"/>
    </row>
    <row r="4201" spans="1:14" x14ac:dyDescent="0.25">
      <c r="A4201" s="170" t="s">
        <v>6972</v>
      </c>
      <c r="B4201" s="170" t="s">
        <v>11898</v>
      </c>
      <c r="C4201" s="170" t="s">
        <v>205</v>
      </c>
      <c r="D4201" s="170" t="s">
        <v>2067</v>
      </c>
      <c r="E4201" s="171" t="s">
        <v>33663</v>
      </c>
      <c r="F4201" s="171" t="s">
        <v>21380</v>
      </c>
      <c r="G4201" s="82"/>
      <c r="H4201" s="96">
        <f t="shared" si="260"/>
        <v>72.59</v>
      </c>
      <c r="I4201" s="96">
        <f t="shared" si="260"/>
        <v>75.150000000000006</v>
      </c>
      <c r="J4201" s="91" t="str">
        <f t="shared" si="261"/>
        <v>Sinapi 92676</v>
      </c>
      <c r="K4201" s="91" t="str">
        <f t="shared" si="262"/>
        <v>UN</v>
      </c>
      <c r="L4201" s="166" t="str">
        <f t="shared" si="263"/>
        <v>10/2020</v>
      </c>
      <c r="M4201" s="82"/>
      <c r="N4201" s="82"/>
    </row>
    <row r="4202" spans="1:14" x14ac:dyDescent="0.25">
      <c r="A4202" s="170" t="s">
        <v>6973</v>
      </c>
      <c r="B4202" s="170" t="s">
        <v>11899</v>
      </c>
      <c r="C4202" s="170" t="s">
        <v>205</v>
      </c>
      <c r="D4202" s="170" t="s">
        <v>2067</v>
      </c>
      <c r="E4202" s="171" t="s">
        <v>30401</v>
      </c>
      <c r="F4202" s="171" t="s">
        <v>28476</v>
      </c>
      <c r="G4202" s="82"/>
      <c r="H4202" s="96">
        <f t="shared" si="260"/>
        <v>125.69</v>
      </c>
      <c r="I4202" s="96">
        <f t="shared" si="260"/>
        <v>128.5</v>
      </c>
      <c r="J4202" s="91" t="str">
        <f t="shared" si="261"/>
        <v>Sinapi 92677</v>
      </c>
      <c r="K4202" s="91" t="str">
        <f t="shared" si="262"/>
        <v>UN</v>
      </c>
      <c r="L4202" s="166" t="str">
        <f t="shared" si="263"/>
        <v>10/2020</v>
      </c>
      <c r="M4202" s="82"/>
      <c r="N4202" s="82"/>
    </row>
    <row r="4203" spans="1:14" x14ac:dyDescent="0.25">
      <c r="A4203" s="170" t="s">
        <v>6974</v>
      </c>
      <c r="B4203" s="170" t="s">
        <v>11900</v>
      </c>
      <c r="C4203" s="170" t="s">
        <v>205</v>
      </c>
      <c r="D4203" s="170" t="s">
        <v>2067</v>
      </c>
      <c r="E4203" s="171" t="s">
        <v>29534</v>
      </c>
      <c r="F4203" s="171" t="s">
        <v>23002</v>
      </c>
      <c r="G4203" s="82"/>
      <c r="H4203" s="96">
        <f t="shared" si="260"/>
        <v>115.69</v>
      </c>
      <c r="I4203" s="96">
        <f t="shared" si="260"/>
        <v>118.5</v>
      </c>
      <c r="J4203" s="91" t="str">
        <f t="shared" si="261"/>
        <v>Sinapi 92678</v>
      </c>
      <c r="K4203" s="91" t="str">
        <f t="shared" si="262"/>
        <v>UN</v>
      </c>
      <c r="L4203" s="166" t="str">
        <f t="shared" si="263"/>
        <v>10/2020</v>
      </c>
      <c r="M4203" s="82"/>
      <c r="N4203" s="82"/>
    </row>
    <row r="4204" spans="1:14" x14ac:dyDescent="0.25">
      <c r="A4204" s="170" t="s">
        <v>6975</v>
      </c>
      <c r="B4204" s="170" t="s">
        <v>11901</v>
      </c>
      <c r="C4204" s="170" t="s">
        <v>205</v>
      </c>
      <c r="D4204" s="170" t="s">
        <v>2067</v>
      </c>
      <c r="E4204" s="171" t="s">
        <v>33664</v>
      </c>
      <c r="F4204" s="171" t="s">
        <v>36849</v>
      </c>
      <c r="G4204" s="82"/>
      <c r="H4204" s="96">
        <f t="shared" si="260"/>
        <v>174.4</v>
      </c>
      <c r="I4204" s="96">
        <f t="shared" si="260"/>
        <v>177.49</v>
      </c>
      <c r="J4204" s="91" t="str">
        <f t="shared" si="261"/>
        <v>Sinapi 92679</v>
      </c>
      <c r="K4204" s="91" t="str">
        <f t="shared" si="262"/>
        <v>UN</v>
      </c>
      <c r="L4204" s="166" t="str">
        <f t="shared" si="263"/>
        <v>10/2020</v>
      </c>
      <c r="M4204" s="82"/>
      <c r="N4204" s="82"/>
    </row>
    <row r="4205" spans="1:14" x14ac:dyDescent="0.25">
      <c r="A4205" s="170" t="s">
        <v>6976</v>
      </c>
      <c r="B4205" s="170" t="s">
        <v>11902</v>
      </c>
      <c r="C4205" s="170" t="s">
        <v>205</v>
      </c>
      <c r="D4205" s="170" t="s">
        <v>2067</v>
      </c>
      <c r="E4205" s="171" t="s">
        <v>33665</v>
      </c>
      <c r="F4205" s="171" t="s">
        <v>28541</v>
      </c>
      <c r="G4205" s="82"/>
      <c r="H4205" s="96">
        <f t="shared" si="260"/>
        <v>155.13</v>
      </c>
      <c r="I4205" s="96">
        <f t="shared" si="260"/>
        <v>158.22</v>
      </c>
      <c r="J4205" s="91" t="str">
        <f t="shared" si="261"/>
        <v>Sinapi 92680</v>
      </c>
      <c r="K4205" s="91" t="str">
        <f t="shared" si="262"/>
        <v>UN</v>
      </c>
      <c r="L4205" s="166" t="str">
        <f t="shared" si="263"/>
        <v>10/2020</v>
      </c>
      <c r="M4205" s="82"/>
      <c r="N4205" s="82"/>
    </row>
    <row r="4206" spans="1:14" x14ac:dyDescent="0.25">
      <c r="A4206" s="170" t="s">
        <v>6977</v>
      </c>
      <c r="B4206" s="170" t="s">
        <v>11903</v>
      </c>
      <c r="C4206" s="170" t="s">
        <v>205</v>
      </c>
      <c r="D4206" s="170" t="s">
        <v>2067</v>
      </c>
      <c r="E4206" s="171" t="s">
        <v>33666</v>
      </c>
      <c r="F4206" s="171" t="s">
        <v>36850</v>
      </c>
      <c r="G4206" s="82"/>
      <c r="H4206" s="96">
        <f t="shared" si="260"/>
        <v>46.73</v>
      </c>
      <c r="I4206" s="96">
        <f t="shared" si="260"/>
        <v>49.56</v>
      </c>
      <c r="J4206" s="91" t="str">
        <f t="shared" si="261"/>
        <v>Sinapi 92681</v>
      </c>
      <c r="K4206" s="91" t="str">
        <f t="shared" si="262"/>
        <v>UN</v>
      </c>
      <c r="L4206" s="166" t="str">
        <f t="shared" si="263"/>
        <v>10/2020</v>
      </c>
      <c r="M4206" s="82"/>
      <c r="N4206" s="82"/>
    </row>
    <row r="4207" spans="1:14" x14ac:dyDescent="0.25">
      <c r="A4207" s="170" t="s">
        <v>6978</v>
      </c>
      <c r="B4207" s="170" t="s">
        <v>11904</v>
      </c>
      <c r="C4207" s="170" t="s">
        <v>205</v>
      </c>
      <c r="D4207" s="170" t="s">
        <v>2067</v>
      </c>
      <c r="E4207" s="171" t="s">
        <v>33667</v>
      </c>
      <c r="F4207" s="171" t="s">
        <v>36851</v>
      </c>
      <c r="G4207" s="82"/>
      <c r="H4207" s="96">
        <f t="shared" si="260"/>
        <v>59.64</v>
      </c>
      <c r="I4207" s="96">
        <f t="shared" si="260"/>
        <v>62.64</v>
      </c>
      <c r="J4207" s="91" t="str">
        <f t="shared" si="261"/>
        <v>Sinapi 92682</v>
      </c>
      <c r="K4207" s="91" t="str">
        <f t="shared" si="262"/>
        <v>UN</v>
      </c>
      <c r="L4207" s="166" t="str">
        <f t="shared" si="263"/>
        <v>10/2020</v>
      </c>
      <c r="M4207" s="82"/>
      <c r="N4207" s="82"/>
    </row>
    <row r="4208" spans="1:14" x14ac:dyDescent="0.25">
      <c r="A4208" s="170" t="s">
        <v>6979</v>
      </c>
      <c r="B4208" s="170" t="s">
        <v>11905</v>
      </c>
      <c r="C4208" s="170" t="s">
        <v>205</v>
      </c>
      <c r="D4208" s="170" t="s">
        <v>2067</v>
      </c>
      <c r="E4208" s="171" t="s">
        <v>33668</v>
      </c>
      <c r="F4208" s="171" t="s">
        <v>29068</v>
      </c>
      <c r="G4208" s="82"/>
      <c r="H4208" s="96">
        <f t="shared" si="260"/>
        <v>70.180000000000007</v>
      </c>
      <c r="I4208" s="96">
        <f t="shared" si="260"/>
        <v>73.36</v>
      </c>
      <c r="J4208" s="91" t="str">
        <f t="shared" si="261"/>
        <v>Sinapi 92683</v>
      </c>
      <c r="K4208" s="91" t="str">
        <f t="shared" si="262"/>
        <v>UN</v>
      </c>
      <c r="L4208" s="166" t="str">
        <f t="shared" si="263"/>
        <v>10/2020</v>
      </c>
      <c r="M4208" s="82"/>
      <c r="N4208" s="82"/>
    </row>
    <row r="4209" spans="1:14" x14ac:dyDescent="0.25">
      <c r="A4209" s="170" t="s">
        <v>6980</v>
      </c>
      <c r="B4209" s="170" t="s">
        <v>11906</v>
      </c>
      <c r="C4209" s="170" t="s">
        <v>205</v>
      </c>
      <c r="D4209" s="170" t="s">
        <v>2067</v>
      </c>
      <c r="E4209" s="171" t="s">
        <v>29373</v>
      </c>
      <c r="F4209" s="171" t="s">
        <v>36852</v>
      </c>
      <c r="G4209" s="82"/>
      <c r="H4209" s="96">
        <f t="shared" si="260"/>
        <v>96.72</v>
      </c>
      <c r="I4209" s="96">
        <f t="shared" si="260"/>
        <v>100.13</v>
      </c>
      <c r="J4209" s="91" t="str">
        <f t="shared" si="261"/>
        <v>Sinapi 92684</v>
      </c>
      <c r="K4209" s="91" t="str">
        <f t="shared" si="262"/>
        <v>UN</v>
      </c>
      <c r="L4209" s="166" t="str">
        <f t="shared" si="263"/>
        <v>10/2020</v>
      </c>
      <c r="M4209" s="82"/>
      <c r="N4209" s="82"/>
    </row>
    <row r="4210" spans="1:14" x14ac:dyDescent="0.25">
      <c r="A4210" s="170" t="s">
        <v>6981</v>
      </c>
      <c r="B4210" s="170" t="s">
        <v>11907</v>
      </c>
      <c r="C4210" s="170" t="s">
        <v>205</v>
      </c>
      <c r="D4210" s="170" t="s">
        <v>2067</v>
      </c>
      <c r="E4210" s="171" t="s">
        <v>33669</v>
      </c>
      <c r="F4210" s="171" t="s">
        <v>36853</v>
      </c>
      <c r="G4210" s="82"/>
      <c r="H4210" s="96">
        <f t="shared" si="260"/>
        <v>159.24</v>
      </c>
      <c r="I4210" s="96">
        <f t="shared" si="260"/>
        <v>163</v>
      </c>
      <c r="J4210" s="91" t="str">
        <f t="shared" si="261"/>
        <v>Sinapi 92685</v>
      </c>
      <c r="K4210" s="91" t="str">
        <f t="shared" si="262"/>
        <v>UN</v>
      </c>
      <c r="L4210" s="166" t="str">
        <f t="shared" si="263"/>
        <v>10/2020</v>
      </c>
      <c r="M4210" s="82"/>
      <c r="N4210" s="82"/>
    </row>
    <row r="4211" spans="1:14" x14ac:dyDescent="0.25">
      <c r="A4211" s="170" t="s">
        <v>6982</v>
      </c>
      <c r="B4211" s="170" t="s">
        <v>11908</v>
      </c>
      <c r="C4211" s="170" t="s">
        <v>205</v>
      </c>
      <c r="D4211" s="170" t="s">
        <v>2067</v>
      </c>
      <c r="E4211" s="171" t="s">
        <v>33670</v>
      </c>
      <c r="F4211" s="171" t="s">
        <v>36854</v>
      </c>
      <c r="G4211" s="82"/>
      <c r="H4211" s="96">
        <f t="shared" si="260"/>
        <v>204.96</v>
      </c>
      <c r="I4211" s="96">
        <f t="shared" si="260"/>
        <v>209.07</v>
      </c>
      <c r="J4211" s="91" t="str">
        <f t="shared" si="261"/>
        <v>Sinapi 92686</v>
      </c>
      <c r="K4211" s="91" t="str">
        <f t="shared" si="262"/>
        <v>UN</v>
      </c>
      <c r="L4211" s="166" t="str">
        <f t="shared" si="263"/>
        <v>10/2020</v>
      </c>
      <c r="M4211" s="82"/>
      <c r="N4211" s="82"/>
    </row>
    <row r="4212" spans="1:14" x14ac:dyDescent="0.25">
      <c r="A4212" s="170" t="s">
        <v>6983</v>
      </c>
      <c r="B4212" s="170" t="s">
        <v>11909</v>
      </c>
      <c r="C4212" s="170" t="s">
        <v>205</v>
      </c>
      <c r="D4212" s="170" t="s">
        <v>2067</v>
      </c>
      <c r="E4212" s="171" t="s">
        <v>24856</v>
      </c>
      <c r="F4212" s="171" t="s">
        <v>19908</v>
      </c>
      <c r="G4212" s="82"/>
      <c r="H4212" s="96">
        <f t="shared" si="260"/>
        <v>12.94</v>
      </c>
      <c r="I4212" s="96">
        <f t="shared" si="260"/>
        <v>13.76</v>
      </c>
      <c r="J4212" s="91" t="str">
        <f t="shared" si="261"/>
        <v>Sinapi 92692</v>
      </c>
      <c r="K4212" s="91" t="str">
        <f t="shared" si="262"/>
        <v>UN</v>
      </c>
      <c r="L4212" s="166" t="str">
        <f t="shared" si="263"/>
        <v>10/2020</v>
      </c>
      <c r="M4212" s="82"/>
      <c r="N4212" s="82"/>
    </row>
    <row r="4213" spans="1:14" x14ac:dyDescent="0.25">
      <c r="A4213" s="170" t="s">
        <v>6984</v>
      </c>
      <c r="B4213" s="170" t="s">
        <v>11910</v>
      </c>
      <c r="C4213" s="170" t="s">
        <v>205</v>
      </c>
      <c r="D4213" s="170" t="s">
        <v>2067</v>
      </c>
      <c r="E4213" s="171" t="s">
        <v>24472</v>
      </c>
      <c r="F4213" s="171" t="s">
        <v>14347</v>
      </c>
      <c r="G4213" s="82"/>
      <c r="H4213" s="96">
        <f t="shared" si="260"/>
        <v>13.34</v>
      </c>
      <c r="I4213" s="96">
        <f t="shared" si="260"/>
        <v>14.16</v>
      </c>
      <c r="J4213" s="91" t="str">
        <f t="shared" si="261"/>
        <v>Sinapi 92693</v>
      </c>
      <c r="K4213" s="91" t="str">
        <f t="shared" si="262"/>
        <v>UN</v>
      </c>
      <c r="L4213" s="166" t="str">
        <f t="shared" si="263"/>
        <v>10/2020</v>
      </c>
      <c r="M4213" s="82"/>
      <c r="N4213" s="82"/>
    </row>
    <row r="4214" spans="1:14" x14ac:dyDescent="0.25">
      <c r="A4214" s="170" t="s">
        <v>6985</v>
      </c>
      <c r="B4214" s="170" t="s">
        <v>11911</v>
      </c>
      <c r="C4214" s="170" t="s">
        <v>205</v>
      </c>
      <c r="D4214" s="170" t="s">
        <v>2067</v>
      </c>
      <c r="E4214" s="171" t="s">
        <v>28933</v>
      </c>
      <c r="F4214" s="171" t="s">
        <v>21080</v>
      </c>
      <c r="G4214" s="82"/>
      <c r="H4214" s="96">
        <f t="shared" si="260"/>
        <v>20.28</v>
      </c>
      <c r="I4214" s="96">
        <f t="shared" si="260"/>
        <v>21.69</v>
      </c>
      <c r="J4214" s="91" t="str">
        <f t="shared" si="261"/>
        <v>Sinapi 92694</v>
      </c>
      <c r="K4214" s="91" t="str">
        <f t="shared" si="262"/>
        <v>UN</v>
      </c>
      <c r="L4214" s="166" t="str">
        <f t="shared" si="263"/>
        <v>10/2020</v>
      </c>
      <c r="M4214" s="82"/>
      <c r="N4214" s="82"/>
    </row>
    <row r="4215" spans="1:14" x14ac:dyDescent="0.25">
      <c r="A4215" s="170" t="s">
        <v>6986</v>
      </c>
      <c r="B4215" s="170" t="s">
        <v>11912</v>
      </c>
      <c r="C4215" s="170" t="s">
        <v>205</v>
      </c>
      <c r="D4215" s="170" t="s">
        <v>2067</v>
      </c>
      <c r="E4215" s="171" t="s">
        <v>22014</v>
      </c>
      <c r="F4215" s="171" t="s">
        <v>28779</v>
      </c>
      <c r="G4215" s="82"/>
      <c r="H4215" s="96">
        <f t="shared" si="260"/>
        <v>20.69</v>
      </c>
      <c r="I4215" s="96">
        <f t="shared" si="260"/>
        <v>22.1</v>
      </c>
      <c r="J4215" s="91" t="str">
        <f t="shared" si="261"/>
        <v>Sinapi 92695</v>
      </c>
      <c r="K4215" s="91" t="str">
        <f t="shared" si="262"/>
        <v>UN</v>
      </c>
      <c r="L4215" s="166" t="str">
        <f t="shared" si="263"/>
        <v>10/2020</v>
      </c>
      <c r="M4215" s="82"/>
      <c r="N4215" s="82"/>
    </row>
    <row r="4216" spans="1:14" x14ac:dyDescent="0.25">
      <c r="A4216" s="170" t="s">
        <v>6987</v>
      </c>
      <c r="B4216" s="170" t="s">
        <v>11913</v>
      </c>
      <c r="C4216" s="170" t="s">
        <v>205</v>
      </c>
      <c r="D4216" s="170" t="s">
        <v>2067</v>
      </c>
      <c r="E4216" s="171" t="s">
        <v>22986</v>
      </c>
      <c r="F4216" s="171" t="s">
        <v>28688</v>
      </c>
      <c r="G4216" s="82"/>
      <c r="H4216" s="96">
        <f t="shared" si="260"/>
        <v>31.64</v>
      </c>
      <c r="I4216" s="96">
        <f t="shared" si="260"/>
        <v>33.92</v>
      </c>
      <c r="J4216" s="91" t="str">
        <f t="shared" si="261"/>
        <v>Sinapi 92696</v>
      </c>
      <c r="K4216" s="91" t="str">
        <f t="shared" si="262"/>
        <v>UN</v>
      </c>
      <c r="L4216" s="166" t="str">
        <f t="shared" si="263"/>
        <v>10/2020</v>
      </c>
      <c r="M4216" s="82"/>
      <c r="N4216" s="82"/>
    </row>
    <row r="4217" spans="1:14" x14ac:dyDescent="0.25">
      <c r="A4217" s="170" t="s">
        <v>6988</v>
      </c>
      <c r="B4217" s="170" t="s">
        <v>11914</v>
      </c>
      <c r="C4217" s="170" t="s">
        <v>205</v>
      </c>
      <c r="D4217" s="170" t="s">
        <v>2067</v>
      </c>
      <c r="E4217" s="171" t="s">
        <v>21164</v>
      </c>
      <c r="F4217" s="171" t="s">
        <v>19400</v>
      </c>
      <c r="G4217" s="82"/>
      <c r="H4217" s="96">
        <f t="shared" si="260"/>
        <v>33.479999999999997</v>
      </c>
      <c r="I4217" s="96">
        <f t="shared" si="260"/>
        <v>35.76</v>
      </c>
      <c r="J4217" s="91" t="str">
        <f t="shared" si="261"/>
        <v>Sinapi 92697</v>
      </c>
      <c r="K4217" s="91" t="str">
        <f t="shared" si="262"/>
        <v>UN</v>
      </c>
      <c r="L4217" s="166" t="str">
        <f t="shared" si="263"/>
        <v>10/2020</v>
      </c>
      <c r="M4217" s="82"/>
      <c r="N4217" s="82"/>
    </row>
    <row r="4218" spans="1:14" x14ac:dyDescent="0.25">
      <c r="A4218" s="170" t="s">
        <v>6989</v>
      </c>
      <c r="B4218" s="170" t="s">
        <v>11915</v>
      </c>
      <c r="C4218" s="170" t="s">
        <v>205</v>
      </c>
      <c r="D4218" s="170" t="s">
        <v>2067</v>
      </c>
      <c r="E4218" s="171" t="s">
        <v>23071</v>
      </c>
      <c r="F4218" s="171" t="s">
        <v>28809</v>
      </c>
      <c r="G4218" s="82"/>
      <c r="H4218" s="96">
        <f t="shared" si="260"/>
        <v>19.07</v>
      </c>
      <c r="I4218" s="96">
        <f t="shared" si="260"/>
        <v>20.29</v>
      </c>
      <c r="J4218" s="91" t="str">
        <f t="shared" si="261"/>
        <v>Sinapi 92698</v>
      </c>
      <c r="K4218" s="91" t="str">
        <f t="shared" si="262"/>
        <v>UN</v>
      </c>
      <c r="L4218" s="166" t="str">
        <f t="shared" si="263"/>
        <v>10/2020</v>
      </c>
      <c r="M4218" s="82"/>
      <c r="N4218" s="82"/>
    </row>
    <row r="4219" spans="1:14" x14ac:dyDescent="0.25">
      <c r="A4219" s="170" t="s">
        <v>6990</v>
      </c>
      <c r="B4219" s="170" t="s">
        <v>11916</v>
      </c>
      <c r="C4219" s="170" t="s">
        <v>205</v>
      </c>
      <c r="D4219" s="170" t="s">
        <v>2067</v>
      </c>
      <c r="E4219" s="171" t="s">
        <v>23064</v>
      </c>
      <c r="F4219" s="171" t="s">
        <v>17923</v>
      </c>
      <c r="G4219" s="82"/>
      <c r="H4219" s="96">
        <f t="shared" si="260"/>
        <v>17.739999999999998</v>
      </c>
      <c r="I4219" s="96">
        <f t="shared" si="260"/>
        <v>18.96</v>
      </c>
      <c r="J4219" s="91" t="str">
        <f t="shared" si="261"/>
        <v>Sinapi 92699</v>
      </c>
      <c r="K4219" s="91" t="str">
        <f t="shared" si="262"/>
        <v>UN</v>
      </c>
      <c r="L4219" s="166" t="str">
        <f t="shared" si="263"/>
        <v>10/2020</v>
      </c>
      <c r="M4219" s="82"/>
      <c r="N4219" s="82"/>
    </row>
    <row r="4220" spans="1:14" x14ac:dyDescent="0.25">
      <c r="A4220" s="170" t="s">
        <v>6991</v>
      </c>
      <c r="B4220" s="170" t="s">
        <v>11917</v>
      </c>
      <c r="C4220" s="170" t="s">
        <v>205</v>
      </c>
      <c r="D4220" s="170" t="s">
        <v>2067</v>
      </c>
      <c r="E4220" s="171" t="s">
        <v>22022</v>
      </c>
      <c r="F4220" s="171" t="s">
        <v>29258</v>
      </c>
      <c r="G4220" s="82"/>
      <c r="H4220" s="96">
        <f t="shared" si="260"/>
        <v>30.89</v>
      </c>
      <c r="I4220" s="96">
        <f t="shared" si="260"/>
        <v>32.99</v>
      </c>
      <c r="J4220" s="91" t="str">
        <f t="shared" si="261"/>
        <v>Sinapi 92700</v>
      </c>
      <c r="K4220" s="91" t="str">
        <f t="shared" si="262"/>
        <v>UN</v>
      </c>
      <c r="L4220" s="166" t="str">
        <f t="shared" si="263"/>
        <v>10/2020</v>
      </c>
      <c r="M4220" s="82"/>
      <c r="N4220" s="82"/>
    </row>
    <row r="4221" spans="1:14" x14ac:dyDescent="0.25">
      <c r="A4221" s="170" t="s">
        <v>6992</v>
      </c>
      <c r="B4221" s="170" t="s">
        <v>11918</v>
      </c>
      <c r="C4221" s="170" t="s">
        <v>205</v>
      </c>
      <c r="D4221" s="170" t="s">
        <v>2067</v>
      </c>
      <c r="E4221" s="171" t="s">
        <v>15659</v>
      </c>
      <c r="F4221" s="171" t="s">
        <v>23986</v>
      </c>
      <c r="G4221" s="82"/>
      <c r="H4221" s="96">
        <f t="shared" si="260"/>
        <v>28.91</v>
      </c>
      <c r="I4221" s="96">
        <f t="shared" si="260"/>
        <v>31.01</v>
      </c>
      <c r="J4221" s="91" t="str">
        <f t="shared" si="261"/>
        <v>Sinapi 92701</v>
      </c>
      <c r="K4221" s="91" t="str">
        <f t="shared" si="262"/>
        <v>UN</v>
      </c>
      <c r="L4221" s="166" t="str">
        <f t="shared" si="263"/>
        <v>10/2020</v>
      </c>
      <c r="M4221" s="82"/>
      <c r="N4221" s="82"/>
    </row>
    <row r="4222" spans="1:14" x14ac:dyDescent="0.25">
      <c r="A4222" s="170" t="s">
        <v>6993</v>
      </c>
      <c r="B4222" s="170" t="s">
        <v>11919</v>
      </c>
      <c r="C4222" s="170" t="s">
        <v>205</v>
      </c>
      <c r="D4222" s="170" t="s">
        <v>2067</v>
      </c>
      <c r="E4222" s="171" t="s">
        <v>33671</v>
      </c>
      <c r="F4222" s="171" t="s">
        <v>36855</v>
      </c>
      <c r="G4222" s="82"/>
      <c r="H4222" s="96">
        <f t="shared" si="260"/>
        <v>48.04</v>
      </c>
      <c r="I4222" s="96">
        <f t="shared" si="260"/>
        <v>51.45</v>
      </c>
      <c r="J4222" s="91" t="str">
        <f t="shared" si="261"/>
        <v>Sinapi 92702</v>
      </c>
      <c r="K4222" s="91" t="str">
        <f t="shared" si="262"/>
        <v>UN</v>
      </c>
      <c r="L4222" s="166" t="str">
        <f t="shared" si="263"/>
        <v>10/2020</v>
      </c>
      <c r="M4222" s="82"/>
      <c r="N4222" s="82"/>
    </row>
    <row r="4223" spans="1:14" x14ac:dyDescent="0.25">
      <c r="A4223" s="170" t="s">
        <v>6994</v>
      </c>
      <c r="B4223" s="170" t="s">
        <v>11920</v>
      </c>
      <c r="C4223" s="170" t="s">
        <v>205</v>
      </c>
      <c r="D4223" s="170" t="s">
        <v>2067</v>
      </c>
      <c r="E4223" s="171" t="s">
        <v>33672</v>
      </c>
      <c r="F4223" s="171" t="s">
        <v>29417</v>
      </c>
      <c r="G4223" s="82"/>
      <c r="H4223" s="96">
        <f t="shared" si="260"/>
        <v>45.6</v>
      </c>
      <c r="I4223" s="96">
        <f t="shared" si="260"/>
        <v>49.01</v>
      </c>
      <c r="J4223" s="91" t="str">
        <f t="shared" si="261"/>
        <v>Sinapi 92703</v>
      </c>
      <c r="K4223" s="91" t="str">
        <f t="shared" si="262"/>
        <v>UN</v>
      </c>
      <c r="L4223" s="166" t="str">
        <f t="shared" si="263"/>
        <v>10/2020</v>
      </c>
      <c r="M4223" s="82"/>
      <c r="N4223" s="82"/>
    </row>
    <row r="4224" spans="1:14" x14ac:dyDescent="0.25">
      <c r="A4224" s="170" t="s">
        <v>6995</v>
      </c>
      <c r="B4224" s="170" t="s">
        <v>11921</v>
      </c>
      <c r="C4224" s="170" t="s">
        <v>205</v>
      </c>
      <c r="D4224" s="170" t="s">
        <v>2067</v>
      </c>
      <c r="E4224" s="171" t="s">
        <v>22899</v>
      </c>
      <c r="F4224" s="171" t="s">
        <v>36856</v>
      </c>
      <c r="G4224" s="82"/>
      <c r="H4224" s="96">
        <f t="shared" si="260"/>
        <v>23.92</v>
      </c>
      <c r="I4224" s="96">
        <f t="shared" si="260"/>
        <v>25.56</v>
      </c>
      <c r="J4224" s="91" t="str">
        <f t="shared" si="261"/>
        <v>Sinapi 92704</v>
      </c>
      <c r="K4224" s="91" t="str">
        <f t="shared" si="262"/>
        <v>UN</v>
      </c>
      <c r="L4224" s="166" t="str">
        <f t="shared" si="263"/>
        <v>10/2020</v>
      </c>
      <c r="M4224" s="82"/>
      <c r="N4224" s="82"/>
    </row>
    <row r="4225" spans="1:14" x14ac:dyDescent="0.25">
      <c r="A4225" s="170" t="s">
        <v>6996</v>
      </c>
      <c r="B4225" s="170" t="s">
        <v>11922</v>
      </c>
      <c r="C4225" s="170" t="s">
        <v>205</v>
      </c>
      <c r="D4225" s="170" t="s">
        <v>2067</v>
      </c>
      <c r="E4225" s="171" t="s">
        <v>23040</v>
      </c>
      <c r="F4225" s="171" t="s">
        <v>22723</v>
      </c>
      <c r="G4225" s="82"/>
      <c r="H4225" s="96">
        <f t="shared" si="260"/>
        <v>38.15</v>
      </c>
      <c r="I4225" s="96">
        <f t="shared" si="260"/>
        <v>40.94</v>
      </c>
      <c r="J4225" s="91" t="str">
        <f t="shared" si="261"/>
        <v>Sinapi 92705</v>
      </c>
      <c r="K4225" s="91" t="str">
        <f t="shared" si="262"/>
        <v>UN</v>
      </c>
      <c r="L4225" s="166" t="str">
        <f t="shared" si="263"/>
        <v>10/2020</v>
      </c>
      <c r="M4225" s="82"/>
      <c r="N4225" s="82"/>
    </row>
    <row r="4226" spans="1:14" x14ac:dyDescent="0.25">
      <c r="A4226" s="170" t="s">
        <v>6997</v>
      </c>
      <c r="B4226" s="170" t="s">
        <v>11923</v>
      </c>
      <c r="C4226" s="170" t="s">
        <v>205</v>
      </c>
      <c r="D4226" s="170" t="s">
        <v>2067</v>
      </c>
      <c r="E4226" s="171" t="s">
        <v>33673</v>
      </c>
      <c r="F4226" s="171" t="s">
        <v>22874</v>
      </c>
      <c r="G4226" s="82"/>
      <c r="H4226" s="96">
        <f t="shared" si="260"/>
        <v>61.7</v>
      </c>
      <c r="I4226" s="96">
        <f t="shared" si="260"/>
        <v>66.260000000000005</v>
      </c>
      <c r="J4226" s="91" t="str">
        <f t="shared" si="261"/>
        <v>Sinapi 92706</v>
      </c>
      <c r="K4226" s="91" t="str">
        <f t="shared" si="262"/>
        <v>UN</v>
      </c>
      <c r="L4226" s="166" t="str">
        <f t="shared" si="263"/>
        <v>10/2020</v>
      </c>
      <c r="M4226" s="82"/>
      <c r="N4226" s="82"/>
    </row>
    <row r="4227" spans="1:14" x14ac:dyDescent="0.25">
      <c r="A4227" s="170" t="s">
        <v>6998</v>
      </c>
      <c r="B4227" s="170" t="s">
        <v>11924</v>
      </c>
      <c r="C4227" s="170" t="s">
        <v>205</v>
      </c>
      <c r="D4227" s="170" t="s">
        <v>2067</v>
      </c>
      <c r="E4227" s="171" t="s">
        <v>33674</v>
      </c>
      <c r="F4227" s="171" t="s">
        <v>36857</v>
      </c>
      <c r="G4227" s="82"/>
      <c r="H4227" s="96">
        <f t="shared" si="260"/>
        <v>128.44999999999999</v>
      </c>
      <c r="I4227" s="96">
        <f t="shared" si="260"/>
        <v>131.49</v>
      </c>
      <c r="J4227" s="91" t="str">
        <f t="shared" si="261"/>
        <v>Sinapi 92889</v>
      </c>
      <c r="K4227" s="91" t="str">
        <f t="shared" si="262"/>
        <v>UN</v>
      </c>
      <c r="L4227" s="166" t="str">
        <f t="shared" si="263"/>
        <v>10/2020</v>
      </c>
      <c r="M4227" s="82"/>
      <c r="N4227" s="82"/>
    </row>
    <row r="4228" spans="1:14" x14ac:dyDescent="0.25">
      <c r="A4228" s="170" t="s">
        <v>6999</v>
      </c>
      <c r="B4228" s="170" t="s">
        <v>11925</v>
      </c>
      <c r="C4228" s="170" t="s">
        <v>205</v>
      </c>
      <c r="D4228" s="170" t="s">
        <v>2067</v>
      </c>
      <c r="E4228" s="171" t="s">
        <v>33675</v>
      </c>
      <c r="F4228" s="171" t="s">
        <v>36858</v>
      </c>
      <c r="G4228" s="82"/>
      <c r="H4228" s="96">
        <f t="shared" si="260"/>
        <v>197.23</v>
      </c>
      <c r="I4228" s="96">
        <f t="shared" si="260"/>
        <v>200.54</v>
      </c>
      <c r="J4228" s="91" t="str">
        <f t="shared" si="261"/>
        <v>Sinapi 92890</v>
      </c>
      <c r="K4228" s="91" t="str">
        <f t="shared" si="262"/>
        <v>UN</v>
      </c>
      <c r="L4228" s="166" t="str">
        <f t="shared" si="263"/>
        <v>10/2020</v>
      </c>
      <c r="M4228" s="82"/>
      <c r="N4228" s="82"/>
    </row>
    <row r="4229" spans="1:14" x14ac:dyDescent="0.25">
      <c r="A4229" s="170" t="s">
        <v>7000</v>
      </c>
      <c r="B4229" s="170" t="s">
        <v>11926</v>
      </c>
      <c r="C4229" s="170" t="s">
        <v>205</v>
      </c>
      <c r="D4229" s="170" t="s">
        <v>2067</v>
      </c>
      <c r="E4229" s="171" t="s">
        <v>33676</v>
      </c>
      <c r="F4229" s="171" t="s">
        <v>33366</v>
      </c>
      <c r="G4229" s="82"/>
      <c r="H4229" s="96">
        <f t="shared" si="260"/>
        <v>291.69</v>
      </c>
      <c r="I4229" s="96">
        <f t="shared" si="260"/>
        <v>295.27</v>
      </c>
      <c r="J4229" s="91" t="str">
        <f t="shared" si="261"/>
        <v>Sinapi 92891</v>
      </c>
      <c r="K4229" s="91" t="str">
        <f t="shared" si="262"/>
        <v>UN</v>
      </c>
      <c r="L4229" s="166" t="str">
        <f t="shared" si="263"/>
        <v>10/2020</v>
      </c>
      <c r="M4229" s="82"/>
      <c r="N4229" s="82"/>
    </row>
    <row r="4230" spans="1:14" x14ac:dyDescent="0.25">
      <c r="A4230" s="170" t="s">
        <v>7001</v>
      </c>
      <c r="B4230" s="170" t="s">
        <v>11927</v>
      </c>
      <c r="C4230" s="170" t="s">
        <v>205</v>
      </c>
      <c r="D4230" s="170" t="s">
        <v>2067</v>
      </c>
      <c r="E4230" s="171" t="s">
        <v>20638</v>
      </c>
      <c r="F4230" s="171" t="s">
        <v>36859</v>
      </c>
      <c r="G4230" s="82"/>
      <c r="H4230" s="96">
        <f t="shared" si="260"/>
        <v>53.56</v>
      </c>
      <c r="I4230" s="96">
        <f t="shared" si="260"/>
        <v>55.87</v>
      </c>
      <c r="J4230" s="91" t="str">
        <f t="shared" si="261"/>
        <v>Sinapi 92892</v>
      </c>
      <c r="K4230" s="91" t="str">
        <f t="shared" si="262"/>
        <v>UN</v>
      </c>
      <c r="L4230" s="166" t="str">
        <f t="shared" si="263"/>
        <v>10/2020</v>
      </c>
      <c r="M4230" s="82"/>
      <c r="N4230" s="82"/>
    </row>
    <row r="4231" spans="1:14" x14ac:dyDescent="0.25">
      <c r="A4231" s="170" t="s">
        <v>7002</v>
      </c>
      <c r="B4231" s="170" t="s">
        <v>11928</v>
      </c>
      <c r="C4231" s="170" t="s">
        <v>205</v>
      </c>
      <c r="D4231" s="170" t="s">
        <v>2067</v>
      </c>
      <c r="E4231" s="171" t="s">
        <v>33677</v>
      </c>
      <c r="F4231" s="171" t="s">
        <v>26130</v>
      </c>
      <c r="G4231" s="82"/>
      <c r="H4231" s="96">
        <f t="shared" si="260"/>
        <v>77.69</v>
      </c>
      <c r="I4231" s="96">
        <f t="shared" si="260"/>
        <v>80.22</v>
      </c>
      <c r="J4231" s="91" t="str">
        <f t="shared" si="261"/>
        <v>Sinapi 92893</v>
      </c>
      <c r="K4231" s="91" t="str">
        <f t="shared" si="262"/>
        <v>UN</v>
      </c>
      <c r="L4231" s="166" t="str">
        <f t="shared" si="263"/>
        <v>10/2020</v>
      </c>
      <c r="M4231" s="82"/>
      <c r="N4231" s="82"/>
    </row>
    <row r="4232" spans="1:14" x14ac:dyDescent="0.25">
      <c r="A4232" s="170" t="s">
        <v>7003</v>
      </c>
      <c r="B4232" s="170" t="s">
        <v>11929</v>
      </c>
      <c r="C4232" s="170" t="s">
        <v>205</v>
      </c>
      <c r="D4232" s="170" t="s">
        <v>2067</v>
      </c>
      <c r="E4232" s="171" t="s">
        <v>33678</v>
      </c>
      <c r="F4232" s="171" t="s">
        <v>29011</v>
      </c>
      <c r="G4232" s="82"/>
      <c r="H4232" s="96">
        <f t="shared" ref="H4232:I4295" si="264">IF(E4232="","",E4232+0)</f>
        <v>93.32</v>
      </c>
      <c r="I4232" s="96">
        <f t="shared" si="264"/>
        <v>96.07</v>
      </c>
      <c r="J4232" s="91" t="str">
        <f t="shared" ref="J4232:J4295" si="265">IF(OR(H4232="",I4232=""),"",TRIM(CONCATENATE("Sinapi ",A4232)))</f>
        <v>Sinapi 92894</v>
      </c>
      <c r="K4232" s="91" t="str">
        <f t="shared" ref="K4232:K4295" si="266">TRIM(C4232)</f>
        <v>UN</v>
      </c>
      <c r="L4232" s="166" t="str">
        <f t="shared" ref="L4232:L4295" si="267">IF(OR(RIGHT(IF(AND(K4232&lt;&gt;"H",K4232&lt;&gt;"MES"),RIGHT(B4232,7),""),2)="PS",RIGHT(IF(AND(K4232&lt;&gt;"H",K4232&lt;&gt;"MES"),RIGHT(B4232,7),""),2)="PA",RIGHT(IF(AND(K4232&lt;&gt;"H",K4232&lt;&gt;"MES"),RIGHT(B4232,7),""),2)="PE"),LEFT(IF(AND(K4232&lt;&gt;"H",K4232&lt;&gt;"MES"),RIGHT(B4232,10),""),7),IF(AND(K4232&lt;&gt;"H",K4232&lt;&gt;"MES"),RIGHT(B4232,7),""))</f>
        <v>10/2020</v>
      </c>
      <c r="M4232" s="82"/>
      <c r="N4232" s="82"/>
    </row>
    <row r="4233" spans="1:14" x14ac:dyDescent="0.25">
      <c r="A4233" s="170" t="s">
        <v>7004</v>
      </c>
      <c r="B4233" s="170" t="s">
        <v>11930</v>
      </c>
      <c r="C4233" s="170" t="s">
        <v>205</v>
      </c>
      <c r="D4233" s="170" t="s">
        <v>2067</v>
      </c>
      <c r="E4233" s="171" t="s">
        <v>28365</v>
      </c>
      <c r="F4233" s="171" t="s">
        <v>36860</v>
      </c>
      <c r="G4233" s="82"/>
      <c r="H4233" s="96">
        <f t="shared" si="264"/>
        <v>128.4</v>
      </c>
      <c r="I4233" s="96">
        <f t="shared" si="264"/>
        <v>131.44</v>
      </c>
      <c r="J4233" s="91" t="str">
        <f t="shared" si="265"/>
        <v>Sinapi 92895</v>
      </c>
      <c r="K4233" s="91" t="str">
        <f t="shared" si="266"/>
        <v>UN</v>
      </c>
      <c r="L4233" s="166" t="str">
        <f t="shared" si="267"/>
        <v>10/2020</v>
      </c>
      <c r="M4233" s="82"/>
      <c r="N4233" s="82"/>
    </row>
    <row r="4234" spans="1:14" x14ac:dyDescent="0.25">
      <c r="A4234" s="170" t="s">
        <v>7005</v>
      </c>
      <c r="B4234" s="170" t="s">
        <v>11931</v>
      </c>
      <c r="C4234" s="170" t="s">
        <v>205</v>
      </c>
      <c r="D4234" s="170" t="s">
        <v>2067</v>
      </c>
      <c r="E4234" s="171" t="s">
        <v>33679</v>
      </c>
      <c r="F4234" s="171" t="s">
        <v>28652</v>
      </c>
      <c r="G4234" s="82"/>
      <c r="H4234" s="96">
        <f t="shared" si="264"/>
        <v>198.63</v>
      </c>
      <c r="I4234" s="96">
        <f t="shared" si="264"/>
        <v>202.11</v>
      </c>
      <c r="J4234" s="91" t="str">
        <f t="shared" si="265"/>
        <v>Sinapi 92896</v>
      </c>
      <c r="K4234" s="91" t="str">
        <f t="shared" si="266"/>
        <v>UN</v>
      </c>
      <c r="L4234" s="166" t="str">
        <f t="shared" si="267"/>
        <v>10/2020</v>
      </c>
      <c r="M4234" s="82"/>
      <c r="N4234" s="82"/>
    </row>
    <row r="4235" spans="1:14" x14ac:dyDescent="0.25">
      <c r="A4235" s="170" t="s">
        <v>7006</v>
      </c>
      <c r="B4235" s="170" t="s">
        <v>11932</v>
      </c>
      <c r="C4235" s="170" t="s">
        <v>205</v>
      </c>
      <c r="D4235" s="170" t="s">
        <v>2067</v>
      </c>
      <c r="E4235" s="171" t="s">
        <v>33680</v>
      </c>
      <c r="F4235" s="171" t="s">
        <v>36861</v>
      </c>
      <c r="G4235" s="82"/>
      <c r="H4235" s="96">
        <f t="shared" si="264"/>
        <v>294.58</v>
      </c>
      <c r="I4235" s="96">
        <f t="shared" si="264"/>
        <v>298.48</v>
      </c>
      <c r="J4235" s="91" t="str">
        <f t="shared" si="265"/>
        <v>Sinapi 92897</v>
      </c>
      <c r="K4235" s="91" t="str">
        <f t="shared" si="266"/>
        <v>UN</v>
      </c>
      <c r="L4235" s="166" t="str">
        <f t="shared" si="267"/>
        <v>10/2020</v>
      </c>
      <c r="M4235" s="82"/>
      <c r="N4235" s="82"/>
    </row>
    <row r="4236" spans="1:14" x14ac:dyDescent="0.25">
      <c r="A4236" s="170" t="s">
        <v>7007</v>
      </c>
      <c r="B4236" s="170" t="s">
        <v>11933</v>
      </c>
      <c r="C4236" s="170" t="s">
        <v>205</v>
      </c>
      <c r="D4236" s="170" t="s">
        <v>2067</v>
      </c>
      <c r="E4236" s="171" t="s">
        <v>28635</v>
      </c>
      <c r="F4236" s="171" t="s">
        <v>36862</v>
      </c>
      <c r="G4236" s="82"/>
      <c r="H4236" s="96">
        <f t="shared" si="264"/>
        <v>45.79</v>
      </c>
      <c r="I4236" s="96">
        <f t="shared" si="264"/>
        <v>47.21</v>
      </c>
      <c r="J4236" s="91" t="str">
        <f t="shared" si="265"/>
        <v>Sinapi 92898</v>
      </c>
      <c r="K4236" s="91" t="str">
        <f t="shared" si="266"/>
        <v>UN</v>
      </c>
      <c r="L4236" s="166" t="str">
        <f t="shared" si="267"/>
        <v>10/2020</v>
      </c>
      <c r="M4236" s="82"/>
      <c r="N4236" s="82"/>
    </row>
    <row r="4237" spans="1:14" x14ac:dyDescent="0.25">
      <c r="A4237" s="170" t="s">
        <v>7008</v>
      </c>
      <c r="B4237" s="170" t="s">
        <v>11934</v>
      </c>
      <c r="C4237" s="170" t="s">
        <v>205</v>
      </c>
      <c r="D4237" s="170" t="s">
        <v>2067</v>
      </c>
      <c r="E4237" s="171" t="s">
        <v>32782</v>
      </c>
      <c r="F4237" s="171" t="s">
        <v>36863</v>
      </c>
      <c r="G4237" s="82"/>
      <c r="H4237" s="96">
        <f t="shared" si="264"/>
        <v>68.86</v>
      </c>
      <c r="I4237" s="96">
        <f t="shared" si="264"/>
        <v>70.349999999999994</v>
      </c>
      <c r="J4237" s="91" t="str">
        <f t="shared" si="265"/>
        <v>Sinapi 92899</v>
      </c>
      <c r="K4237" s="91" t="str">
        <f t="shared" si="266"/>
        <v>UN</v>
      </c>
      <c r="L4237" s="166" t="str">
        <f t="shared" si="267"/>
        <v>10/2020</v>
      </c>
      <c r="M4237" s="82"/>
      <c r="N4237" s="82"/>
    </row>
    <row r="4238" spans="1:14" x14ac:dyDescent="0.25">
      <c r="A4238" s="170" t="s">
        <v>7009</v>
      </c>
      <c r="B4238" s="170" t="s">
        <v>11935</v>
      </c>
      <c r="C4238" s="170" t="s">
        <v>205</v>
      </c>
      <c r="D4238" s="170" t="s">
        <v>2067</v>
      </c>
      <c r="E4238" s="171" t="s">
        <v>33681</v>
      </c>
      <c r="F4238" s="171" t="s">
        <v>29323</v>
      </c>
      <c r="G4238" s="82"/>
      <c r="H4238" s="96">
        <f t="shared" si="264"/>
        <v>83.24</v>
      </c>
      <c r="I4238" s="96">
        <f t="shared" si="264"/>
        <v>84.83</v>
      </c>
      <c r="J4238" s="91" t="str">
        <f t="shared" si="265"/>
        <v>Sinapi 92900</v>
      </c>
      <c r="K4238" s="91" t="str">
        <f t="shared" si="266"/>
        <v>UN</v>
      </c>
      <c r="L4238" s="166" t="str">
        <f t="shared" si="267"/>
        <v>10/2020</v>
      </c>
      <c r="M4238" s="82"/>
      <c r="N4238" s="82"/>
    </row>
    <row r="4239" spans="1:14" x14ac:dyDescent="0.25">
      <c r="A4239" s="170" t="s">
        <v>7010</v>
      </c>
      <c r="B4239" s="170" t="s">
        <v>11936</v>
      </c>
      <c r="C4239" s="170" t="s">
        <v>205</v>
      </c>
      <c r="D4239" s="170" t="s">
        <v>2067</v>
      </c>
      <c r="E4239" s="171" t="s">
        <v>33682</v>
      </c>
      <c r="F4239" s="171" t="s">
        <v>23161</v>
      </c>
      <c r="G4239" s="82"/>
      <c r="H4239" s="96">
        <f t="shared" si="264"/>
        <v>116.81</v>
      </c>
      <c r="I4239" s="96">
        <f t="shared" si="264"/>
        <v>118.51</v>
      </c>
      <c r="J4239" s="91" t="str">
        <f t="shared" si="265"/>
        <v>Sinapi 92901</v>
      </c>
      <c r="K4239" s="91" t="str">
        <f t="shared" si="266"/>
        <v>UN</v>
      </c>
      <c r="L4239" s="166" t="str">
        <f t="shared" si="267"/>
        <v>10/2020</v>
      </c>
      <c r="M4239" s="82"/>
      <c r="N4239" s="82"/>
    </row>
    <row r="4240" spans="1:14" x14ac:dyDescent="0.25">
      <c r="A4240" s="170" t="s">
        <v>7011</v>
      </c>
      <c r="B4240" s="170" t="s">
        <v>11937</v>
      </c>
      <c r="C4240" s="170" t="s">
        <v>205</v>
      </c>
      <c r="D4240" s="170" t="s">
        <v>2067</v>
      </c>
      <c r="E4240" s="171" t="s">
        <v>33683</v>
      </c>
      <c r="F4240" s="171" t="s">
        <v>28897</v>
      </c>
      <c r="G4240" s="82"/>
      <c r="H4240" s="96">
        <f t="shared" si="264"/>
        <v>184.72</v>
      </c>
      <c r="I4240" s="96">
        <f t="shared" si="264"/>
        <v>186.6</v>
      </c>
      <c r="J4240" s="91" t="str">
        <f t="shared" si="265"/>
        <v>Sinapi 92902</v>
      </c>
      <c r="K4240" s="91" t="str">
        <f t="shared" si="266"/>
        <v>UN</v>
      </c>
      <c r="L4240" s="166" t="str">
        <f t="shared" si="267"/>
        <v>10/2020</v>
      </c>
      <c r="M4240" s="82"/>
      <c r="N4240" s="82"/>
    </row>
    <row r="4241" spans="1:14" x14ac:dyDescent="0.25">
      <c r="A4241" s="170" t="s">
        <v>7012</v>
      </c>
      <c r="B4241" s="170" t="s">
        <v>11938</v>
      </c>
      <c r="C4241" s="170" t="s">
        <v>205</v>
      </c>
      <c r="D4241" s="170" t="s">
        <v>2067</v>
      </c>
      <c r="E4241" s="171" t="s">
        <v>33684</v>
      </c>
      <c r="F4241" s="171" t="s">
        <v>35180</v>
      </c>
      <c r="G4241" s="82"/>
      <c r="H4241" s="96">
        <f t="shared" si="264"/>
        <v>278.41000000000003</v>
      </c>
      <c r="I4241" s="96">
        <f t="shared" si="264"/>
        <v>280.45999999999998</v>
      </c>
      <c r="J4241" s="91" t="str">
        <f t="shared" si="265"/>
        <v>Sinapi 92903</v>
      </c>
      <c r="K4241" s="91" t="str">
        <f t="shared" si="266"/>
        <v>UN</v>
      </c>
      <c r="L4241" s="166" t="str">
        <f t="shared" si="267"/>
        <v>10/2020</v>
      </c>
      <c r="M4241" s="82"/>
      <c r="N4241" s="82"/>
    </row>
    <row r="4242" spans="1:14" x14ac:dyDescent="0.25">
      <c r="A4242" s="170" t="s">
        <v>7013</v>
      </c>
      <c r="B4242" s="170" t="s">
        <v>11939</v>
      </c>
      <c r="C4242" s="170" t="s">
        <v>205</v>
      </c>
      <c r="D4242" s="170" t="s">
        <v>2067</v>
      </c>
      <c r="E4242" s="171" t="s">
        <v>26779</v>
      </c>
      <c r="F4242" s="171" t="s">
        <v>29656</v>
      </c>
      <c r="G4242" s="82"/>
      <c r="H4242" s="96">
        <f t="shared" si="264"/>
        <v>31.47</v>
      </c>
      <c r="I4242" s="96">
        <f t="shared" si="264"/>
        <v>32.29</v>
      </c>
      <c r="J4242" s="91" t="str">
        <f t="shared" si="265"/>
        <v>Sinapi 92904</v>
      </c>
      <c r="K4242" s="91" t="str">
        <f t="shared" si="266"/>
        <v>UN</v>
      </c>
      <c r="L4242" s="166" t="str">
        <f t="shared" si="267"/>
        <v>10/2020</v>
      </c>
      <c r="M4242" s="82"/>
      <c r="N4242" s="82"/>
    </row>
    <row r="4243" spans="1:14" x14ac:dyDescent="0.25">
      <c r="A4243" s="170" t="s">
        <v>7014</v>
      </c>
      <c r="B4243" s="170" t="s">
        <v>11940</v>
      </c>
      <c r="C4243" s="170" t="s">
        <v>205</v>
      </c>
      <c r="D4243" s="170" t="s">
        <v>2067</v>
      </c>
      <c r="E4243" s="171" t="s">
        <v>26120</v>
      </c>
      <c r="F4243" s="171" t="s">
        <v>36864</v>
      </c>
      <c r="G4243" s="82"/>
      <c r="H4243" s="96">
        <f t="shared" si="264"/>
        <v>44.47</v>
      </c>
      <c r="I4243" s="96">
        <f t="shared" si="264"/>
        <v>45.88</v>
      </c>
      <c r="J4243" s="91" t="str">
        <f t="shared" si="265"/>
        <v>Sinapi 92905</v>
      </c>
      <c r="K4243" s="91" t="str">
        <f t="shared" si="266"/>
        <v>UN</v>
      </c>
      <c r="L4243" s="166" t="str">
        <f t="shared" si="267"/>
        <v>10/2020</v>
      </c>
      <c r="M4243" s="82"/>
      <c r="N4243" s="82"/>
    </row>
    <row r="4244" spans="1:14" x14ac:dyDescent="0.25">
      <c r="A4244" s="170" t="s">
        <v>7015</v>
      </c>
      <c r="B4244" s="170" t="s">
        <v>11941</v>
      </c>
      <c r="C4244" s="170" t="s">
        <v>205</v>
      </c>
      <c r="D4244" s="170" t="s">
        <v>2067</v>
      </c>
      <c r="E4244" s="171" t="s">
        <v>21071</v>
      </c>
      <c r="F4244" s="171" t="s">
        <v>23065</v>
      </c>
      <c r="G4244" s="82"/>
      <c r="H4244" s="96">
        <f t="shared" si="264"/>
        <v>53.23</v>
      </c>
      <c r="I4244" s="96">
        <f t="shared" si="264"/>
        <v>55.51</v>
      </c>
      <c r="J4244" s="91" t="str">
        <f t="shared" si="265"/>
        <v>Sinapi 92906</v>
      </c>
      <c r="K4244" s="91" t="str">
        <f t="shared" si="266"/>
        <v>UN</v>
      </c>
      <c r="L4244" s="166" t="str">
        <f t="shared" si="267"/>
        <v>10/2020</v>
      </c>
      <c r="M4244" s="82"/>
      <c r="N4244" s="82"/>
    </row>
    <row r="4245" spans="1:14" x14ac:dyDescent="0.25">
      <c r="A4245" s="170" t="s">
        <v>7016</v>
      </c>
      <c r="B4245" s="170" t="s">
        <v>11942</v>
      </c>
      <c r="C4245" s="170" t="s">
        <v>205</v>
      </c>
      <c r="D4245" s="170" t="s">
        <v>2067</v>
      </c>
      <c r="E4245" s="171" t="s">
        <v>19901</v>
      </c>
      <c r="F4245" s="171" t="s">
        <v>36865</v>
      </c>
      <c r="G4245" s="82"/>
      <c r="H4245" s="96">
        <f t="shared" si="264"/>
        <v>65.959999999999994</v>
      </c>
      <c r="I4245" s="96">
        <f t="shared" si="264"/>
        <v>69</v>
      </c>
      <c r="J4245" s="91" t="str">
        <f t="shared" si="265"/>
        <v>Sinapi 92907</v>
      </c>
      <c r="K4245" s="91" t="str">
        <f t="shared" si="266"/>
        <v>UN</v>
      </c>
      <c r="L4245" s="166" t="str">
        <f t="shared" si="267"/>
        <v>10/2020</v>
      </c>
      <c r="M4245" s="82"/>
      <c r="N4245" s="82"/>
    </row>
    <row r="4246" spans="1:14" x14ac:dyDescent="0.25">
      <c r="A4246" s="170" t="s">
        <v>7017</v>
      </c>
      <c r="B4246" s="170" t="s">
        <v>11943</v>
      </c>
      <c r="C4246" s="170" t="s">
        <v>205</v>
      </c>
      <c r="D4246" s="170" t="s">
        <v>2067</v>
      </c>
      <c r="E4246" s="171" t="s">
        <v>19901</v>
      </c>
      <c r="F4246" s="171" t="s">
        <v>36865</v>
      </c>
      <c r="G4246" s="82"/>
      <c r="H4246" s="96">
        <f t="shared" si="264"/>
        <v>65.959999999999994</v>
      </c>
      <c r="I4246" s="96">
        <f t="shared" si="264"/>
        <v>69</v>
      </c>
      <c r="J4246" s="91" t="str">
        <f t="shared" si="265"/>
        <v>Sinapi 92908</v>
      </c>
      <c r="K4246" s="91" t="str">
        <f t="shared" si="266"/>
        <v>UN</v>
      </c>
      <c r="L4246" s="166" t="str">
        <f t="shared" si="267"/>
        <v>10/2020</v>
      </c>
      <c r="M4246" s="82"/>
      <c r="N4246" s="82"/>
    </row>
    <row r="4247" spans="1:14" x14ac:dyDescent="0.25">
      <c r="A4247" s="170" t="s">
        <v>7018</v>
      </c>
      <c r="B4247" s="170" t="s">
        <v>11944</v>
      </c>
      <c r="C4247" s="170" t="s">
        <v>205</v>
      </c>
      <c r="D4247" s="170" t="s">
        <v>2067</v>
      </c>
      <c r="E4247" s="171" t="s">
        <v>19901</v>
      </c>
      <c r="F4247" s="171" t="s">
        <v>36865</v>
      </c>
      <c r="G4247" s="82"/>
      <c r="H4247" s="96">
        <f t="shared" si="264"/>
        <v>65.959999999999994</v>
      </c>
      <c r="I4247" s="96">
        <f t="shared" si="264"/>
        <v>69</v>
      </c>
      <c r="J4247" s="91" t="str">
        <f t="shared" si="265"/>
        <v>Sinapi 92909</v>
      </c>
      <c r="K4247" s="91" t="str">
        <f t="shared" si="266"/>
        <v>UN</v>
      </c>
      <c r="L4247" s="166" t="str">
        <f t="shared" si="267"/>
        <v>10/2020</v>
      </c>
      <c r="M4247" s="82"/>
      <c r="N4247" s="82"/>
    </row>
    <row r="4248" spans="1:14" x14ac:dyDescent="0.25">
      <c r="A4248" s="170" t="s">
        <v>7019</v>
      </c>
      <c r="B4248" s="170" t="s">
        <v>11945</v>
      </c>
      <c r="C4248" s="170" t="s">
        <v>205</v>
      </c>
      <c r="D4248" s="170" t="s">
        <v>2067</v>
      </c>
      <c r="E4248" s="171" t="s">
        <v>26597</v>
      </c>
      <c r="F4248" s="171" t="s">
        <v>36866</v>
      </c>
      <c r="G4248" s="82"/>
      <c r="H4248" s="96">
        <f t="shared" si="264"/>
        <v>97.7</v>
      </c>
      <c r="I4248" s="96">
        <f t="shared" si="264"/>
        <v>101.01</v>
      </c>
      <c r="J4248" s="91" t="str">
        <f t="shared" si="265"/>
        <v>Sinapi 92910</v>
      </c>
      <c r="K4248" s="91" t="str">
        <f t="shared" si="266"/>
        <v>UN</v>
      </c>
      <c r="L4248" s="166" t="str">
        <f t="shared" si="267"/>
        <v>10/2020</v>
      </c>
      <c r="M4248" s="82"/>
      <c r="N4248" s="82"/>
    </row>
    <row r="4249" spans="1:14" x14ac:dyDescent="0.25">
      <c r="A4249" s="170" t="s">
        <v>7020</v>
      </c>
      <c r="B4249" s="170" t="s">
        <v>11946</v>
      </c>
      <c r="C4249" s="170" t="s">
        <v>205</v>
      </c>
      <c r="D4249" s="170" t="s">
        <v>2067</v>
      </c>
      <c r="E4249" s="171" t="s">
        <v>26597</v>
      </c>
      <c r="F4249" s="171" t="s">
        <v>36866</v>
      </c>
      <c r="G4249" s="82"/>
      <c r="H4249" s="96">
        <f t="shared" si="264"/>
        <v>97.7</v>
      </c>
      <c r="I4249" s="96">
        <f t="shared" si="264"/>
        <v>101.01</v>
      </c>
      <c r="J4249" s="91" t="str">
        <f t="shared" si="265"/>
        <v>Sinapi 92911</v>
      </c>
      <c r="K4249" s="91" t="str">
        <f t="shared" si="266"/>
        <v>UN</v>
      </c>
      <c r="L4249" s="166" t="str">
        <f t="shared" si="267"/>
        <v>10/2020</v>
      </c>
      <c r="M4249" s="82"/>
      <c r="N4249" s="82"/>
    </row>
    <row r="4250" spans="1:14" x14ac:dyDescent="0.25">
      <c r="A4250" s="170" t="s">
        <v>7021</v>
      </c>
      <c r="B4250" s="170" t="s">
        <v>11947</v>
      </c>
      <c r="C4250" s="170" t="s">
        <v>205</v>
      </c>
      <c r="D4250" s="170" t="s">
        <v>2067</v>
      </c>
      <c r="E4250" s="171" t="s">
        <v>28504</v>
      </c>
      <c r="F4250" s="171" t="s">
        <v>36867</v>
      </c>
      <c r="G4250" s="82"/>
      <c r="H4250" s="96">
        <f t="shared" si="264"/>
        <v>133.32</v>
      </c>
      <c r="I4250" s="96">
        <f t="shared" si="264"/>
        <v>136.63</v>
      </c>
      <c r="J4250" s="91" t="str">
        <f t="shared" si="265"/>
        <v>Sinapi 92912</v>
      </c>
      <c r="K4250" s="91" t="str">
        <f t="shared" si="266"/>
        <v>UN</v>
      </c>
      <c r="L4250" s="166" t="str">
        <f t="shared" si="267"/>
        <v>10/2020</v>
      </c>
      <c r="M4250" s="82"/>
      <c r="N4250" s="82"/>
    </row>
    <row r="4251" spans="1:14" x14ac:dyDescent="0.25">
      <c r="A4251" s="170" t="s">
        <v>7022</v>
      </c>
      <c r="B4251" s="170" t="s">
        <v>11948</v>
      </c>
      <c r="C4251" s="170" t="s">
        <v>205</v>
      </c>
      <c r="D4251" s="170" t="s">
        <v>2067</v>
      </c>
      <c r="E4251" s="171" t="s">
        <v>33685</v>
      </c>
      <c r="F4251" s="171" t="s">
        <v>31236</v>
      </c>
      <c r="G4251" s="82"/>
      <c r="H4251" s="96">
        <f t="shared" si="264"/>
        <v>135.74</v>
      </c>
      <c r="I4251" s="96">
        <f t="shared" si="264"/>
        <v>139.32</v>
      </c>
      <c r="J4251" s="91" t="str">
        <f t="shared" si="265"/>
        <v>Sinapi 92913</v>
      </c>
      <c r="K4251" s="91" t="str">
        <f t="shared" si="266"/>
        <v>UN</v>
      </c>
      <c r="L4251" s="166" t="str">
        <f t="shared" si="267"/>
        <v>10/2020</v>
      </c>
      <c r="M4251" s="82"/>
      <c r="N4251" s="82"/>
    </row>
    <row r="4252" spans="1:14" x14ac:dyDescent="0.25">
      <c r="A4252" s="170" t="s">
        <v>7023</v>
      </c>
      <c r="B4252" s="170" t="s">
        <v>11949</v>
      </c>
      <c r="C4252" s="170" t="s">
        <v>205</v>
      </c>
      <c r="D4252" s="170" t="s">
        <v>2067</v>
      </c>
      <c r="E4252" s="171" t="s">
        <v>33685</v>
      </c>
      <c r="F4252" s="171" t="s">
        <v>31236</v>
      </c>
      <c r="G4252" s="82"/>
      <c r="H4252" s="96">
        <f t="shared" si="264"/>
        <v>135.74</v>
      </c>
      <c r="I4252" s="96">
        <f t="shared" si="264"/>
        <v>139.32</v>
      </c>
      <c r="J4252" s="91" t="str">
        <f t="shared" si="265"/>
        <v>Sinapi 92914</v>
      </c>
      <c r="K4252" s="91" t="str">
        <f t="shared" si="266"/>
        <v>UN</v>
      </c>
      <c r="L4252" s="166" t="str">
        <f t="shared" si="267"/>
        <v>10/2020</v>
      </c>
      <c r="M4252" s="82"/>
      <c r="N4252" s="82"/>
    </row>
    <row r="4253" spans="1:14" x14ac:dyDescent="0.25">
      <c r="A4253" s="170" t="s">
        <v>7024</v>
      </c>
      <c r="B4253" s="170" t="s">
        <v>11950</v>
      </c>
      <c r="C4253" s="170" t="s">
        <v>205</v>
      </c>
      <c r="D4253" s="170" t="s">
        <v>2067</v>
      </c>
      <c r="E4253" s="171" t="s">
        <v>33686</v>
      </c>
      <c r="F4253" s="171" t="s">
        <v>36868</v>
      </c>
      <c r="G4253" s="82"/>
      <c r="H4253" s="96">
        <f t="shared" si="264"/>
        <v>33.659999999999997</v>
      </c>
      <c r="I4253" s="96">
        <f t="shared" si="264"/>
        <v>35.97</v>
      </c>
      <c r="J4253" s="91" t="str">
        <f t="shared" si="265"/>
        <v>Sinapi 92918</v>
      </c>
      <c r="K4253" s="91" t="str">
        <f t="shared" si="266"/>
        <v>UN</v>
      </c>
      <c r="L4253" s="166" t="str">
        <f t="shared" si="267"/>
        <v>10/2020</v>
      </c>
      <c r="M4253" s="82"/>
      <c r="N4253" s="82"/>
    </row>
    <row r="4254" spans="1:14" x14ac:dyDescent="0.25">
      <c r="A4254" s="170" t="s">
        <v>7025</v>
      </c>
      <c r="B4254" s="170" t="s">
        <v>11951</v>
      </c>
      <c r="C4254" s="170" t="s">
        <v>205</v>
      </c>
      <c r="D4254" s="170" t="s">
        <v>2067</v>
      </c>
      <c r="E4254" s="171" t="s">
        <v>29720</v>
      </c>
      <c r="F4254" s="171" t="s">
        <v>18603</v>
      </c>
      <c r="G4254" s="82"/>
      <c r="H4254" s="96">
        <f t="shared" si="264"/>
        <v>33.909999999999997</v>
      </c>
      <c r="I4254" s="96">
        <f t="shared" si="264"/>
        <v>36.22</v>
      </c>
      <c r="J4254" s="91" t="str">
        <f t="shared" si="265"/>
        <v>Sinapi 92920</v>
      </c>
      <c r="K4254" s="91" t="str">
        <f t="shared" si="266"/>
        <v>UN</v>
      </c>
      <c r="L4254" s="166" t="str">
        <f t="shared" si="267"/>
        <v>10/2020</v>
      </c>
      <c r="M4254" s="82"/>
      <c r="N4254" s="82"/>
    </row>
    <row r="4255" spans="1:14" x14ac:dyDescent="0.25">
      <c r="A4255" s="170" t="s">
        <v>7026</v>
      </c>
      <c r="B4255" s="170" t="s">
        <v>11952</v>
      </c>
      <c r="C4255" s="170" t="s">
        <v>205</v>
      </c>
      <c r="D4255" s="170" t="s">
        <v>2067</v>
      </c>
      <c r="E4255" s="171" t="s">
        <v>33687</v>
      </c>
      <c r="F4255" s="171" t="s">
        <v>36869</v>
      </c>
      <c r="G4255" s="82"/>
      <c r="H4255" s="96">
        <f t="shared" si="264"/>
        <v>42.35</v>
      </c>
      <c r="I4255" s="96">
        <f t="shared" si="264"/>
        <v>44.88</v>
      </c>
      <c r="J4255" s="91" t="str">
        <f t="shared" si="265"/>
        <v>Sinapi 92925</v>
      </c>
      <c r="K4255" s="91" t="str">
        <f t="shared" si="266"/>
        <v>UN</v>
      </c>
      <c r="L4255" s="166" t="str">
        <f t="shared" si="267"/>
        <v>10/2020</v>
      </c>
      <c r="M4255" s="82"/>
      <c r="N4255" s="82"/>
    </row>
    <row r="4256" spans="1:14" x14ac:dyDescent="0.25">
      <c r="A4256" s="170" t="s">
        <v>7027</v>
      </c>
      <c r="B4256" s="170" t="s">
        <v>11953</v>
      </c>
      <c r="C4256" s="170" t="s">
        <v>205</v>
      </c>
      <c r="D4256" s="170" t="s">
        <v>2067</v>
      </c>
      <c r="E4256" s="171" t="s">
        <v>33688</v>
      </c>
      <c r="F4256" s="171" t="s">
        <v>19948</v>
      </c>
      <c r="G4256" s="82"/>
      <c r="H4256" s="96">
        <f t="shared" si="264"/>
        <v>42.33</v>
      </c>
      <c r="I4256" s="96">
        <f t="shared" si="264"/>
        <v>44.86</v>
      </c>
      <c r="J4256" s="91" t="str">
        <f t="shared" si="265"/>
        <v>Sinapi 92926</v>
      </c>
      <c r="K4256" s="91" t="str">
        <f t="shared" si="266"/>
        <v>UN</v>
      </c>
      <c r="L4256" s="166" t="str">
        <f t="shared" si="267"/>
        <v>10/2020</v>
      </c>
      <c r="M4256" s="82"/>
      <c r="N4256" s="82"/>
    </row>
    <row r="4257" spans="1:14" x14ac:dyDescent="0.25">
      <c r="A4257" s="170" t="s">
        <v>7028</v>
      </c>
      <c r="B4257" s="170" t="s">
        <v>11954</v>
      </c>
      <c r="C4257" s="170" t="s">
        <v>205</v>
      </c>
      <c r="D4257" s="170" t="s">
        <v>2067</v>
      </c>
      <c r="E4257" s="171" t="s">
        <v>33688</v>
      </c>
      <c r="F4257" s="171" t="s">
        <v>19948</v>
      </c>
      <c r="G4257" s="82"/>
      <c r="H4257" s="96">
        <f t="shared" si="264"/>
        <v>42.33</v>
      </c>
      <c r="I4257" s="96">
        <f t="shared" si="264"/>
        <v>44.86</v>
      </c>
      <c r="J4257" s="91" t="str">
        <f t="shared" si="265"/>
        <v>Sinapi 92927</v>
      </c>
      <c r="K4257" s="91" t="str">
        <f t="shared" si="266"/>
        <v>UN</v>
      </c>
      <c r="L4257" s="166" t="str">
        <f t="shared" si="267"/>
        <v>10/2020</v>
      </c>
      <c r="M4257" s="82"/>
      <c r="N4257" s="82"/>
    </row>
    <row r="4258" spans="1:14" x14ac:dyDescent="0.25">
      <c r="A4258" s="170" t="s">
        <v>7029</v>
      </c>
      <c r="B4258" s="170" t="s">
        <v>11955</v>
      </c>
      <c r="C4258" s="170" t="s">
        <v>205</v>
      </c>
      <c r="D4258" s="170" t="s">
        <v>2067</v>
      </c>
      <c r="E4258" s="171" t="s">
        <v>29071</v>
      </c>
      <c r="F4258" s="171" t="s">
        <v>21108</v>
      </c>
      <c r="G4258" s="82"/>
      <c r="H4258" s="96">
        <f t="shared" si="264"/>
        <v>48.66</v>
      </c>
      <c r="I4258" s="96">
        <f t="shared" si="264"/>
        <v>51.41</v>
      </c>
      <c r="J4258" s="91" t="str">
        <f t="shared" si="265"/>
        <v>Sinapi 92928</v>
      </c>
      <c r="K4258" s="91" t="str">
        <f t="shared" si="266"/>
        <v>UN</v>
      </c>
      <c r="L4258" s="166" t="str">
        <f t="shared" si="267"/>
        <v>10/2020</v>
      </c>
      <c r="M4258" s="82"/>
      <c r="N4258" s="82"/>
    </row>
    <row r="4259" spans="1:14" x14ac:dyDescent="0.25">
      <c r="A4259" s="170" t="s">
        <v>7030</v>
      </c>
      <c r="B4259" s="170" t="s">
        <v>11956</v>
      </c>
      <c r="C4259" s="170" t="s">
        <v>205</v>
      </c>
      <c r="D4259" s="170" t="s">
        <v>2067</v>
      </c>
      <c r="E4259" s="171" t="s">
        <v>29071</v>
      </c>
      <c r="F4259" s="171" t="s">
        <v>21108</v>
      </c>
      <c r="G4259" s="82"/>
      <c r="H4259" s="96">
        <f t="shared" si="264"/>
        <v>48.66</v>
      </c>
      <c r="I4259" s="96">
        <f t="shared" si="264"/>
        <v>51.41</v>
      </c>
      <c r="J4259" s="91" t="str">
        <f t="shared" si="265"/>
        <v>Sinapi 92929</v>
      </c>
      <c r="K4259" s="91" t="str">
        <f t="shared" si="266"/>
        <v>UN</v>
      </c>
      <c r="L4259" s="166" t="str">
        <f t="shared" si="267"/>
        <v>10/2020</v>
      </c>
      <c r="M4259" s="82"/>
      <c r="N4259" s="82"/>
    </row>
    <row r="4260" spans="1:14" x14ac:dyDescent="0.25">
      <c r="A4260" s="170" t="s">
        <v>7031</v>
      </c>
      <c r="B4260" s="170" t="s">
        <v>11957</v>
      </c>
      <c r="C4260" s="170" t="s">
        <v>205</v>
      </c>
      <c r="D4260" s="170" t="s">
        <v>2067</v>
      </c>
      <c r="E4260" s="171" t="s">
        <v>29071</v>
      </c>
      <c r="F4260" s="171" t="s">
        <v>21108</v>
      </c>
      <c r="G4260" s="82"/>
      <c r="H4260" s="96">
        <f t="shared" si="264"/>
        <v>48.66</v>
      </c>
      <c r="I4260" s="96">
        <f t="shared" si="264"/>
        <v>51.41</v>
      </c>
      <c r="J4260" s="91" t="str">
        <f t="shared" si="265"/>
        <v>Sinapi 92930</v>
      </c>
      <c r="K4260" s="91" t="str">
        <f t="shared" si="266"/>
        <v>UN</v>
      </c>
      <c r="L4260" s="166" t="str">
        <f t="shared" si="267"/>
        <v>10/2020</v>
      </c>
      <c r="M4260" s="82"/>
      <c r="N4260" s="82"/>
    </row>
    <row r="4261" spans="1:14" x14ac:dyDescent="0.25">
      <c r="A4261" s="170" t="s">
        <v>7032</v>
      </c>
      <c r="B4261" s="170" t="s">
        <v>11958</v>
      </c>
      <c r="C4261" s="170" t="s">
        <v>205</v>
      </c>
      <c r="D4261" s="170" t="s">
        <v>2067</v>
      </c>
      <c r="E4261" s="171" t="s">
        <v>29015</v>
      </c>
      <c r="F4261" s="171" t="s">
        <v>36870</v>
      </c>
      <c r="G4261" s="82"/>
      <c r="H4261" s="96">
        <f t="shared" si="264"/>
        <v>65.91</v>
      </c>
      <c r="I4261" s="96">
        <f t="shared" si="264"/>
        <v>68.95</v>
      </c>
      <c r="J4261" s="91" t="str">
        <f t="shared" si="265"/>
        <v>Sinapi 92931</v>
      </c>
      <c r="K4261" s="91" t="str">
        <f t="shared" si="266"/>
        <v>UN</v>
      </c>
      <c r="L4261" s="166" t="str">
        <f t="shared" si="267"/>
        <v>10/2020</v>
      </c>
      <c r="M4261" s="82"/>
      <c r="N4261" s="82"/>
    </row>
    <row r="4262" spans="1:14" x14ac:dyDescent="0.25">
      <c r="A4262" s="170" t="s">
        <v>7033</v>
      </c>
      <c r="B4262" s="170" t="s">
        <v>11959</v>
      </c>
      <c r="C4262" s="170" t="s">
        <v>205</v>
      </c>
      <c r="D4262" s="170" t="s">
        <v>2067</v>
      </c>
      <c r="E4262" s="171" t="s">
        <v>29015</v>
      </c>
      <c r="F4262" s="171" t="s">
        <v>36870</v>
      </c>
      <c r="G4262" s="82"/>
      <c r="H4262" s="96">
        <f t="shared" si="264"/>
        <v>65.91</v>
      </c>
      <c r="I4262" s="96">
        <f t="shared" si="264"/>
        <v>68.95</v>
      </c>
      <c r="J4262" s="91" t="str">
        <f t="shared" si="265"/>
        <v>Sinapi 92932</v>
      </c>
      <c r="K4262" s="91" t="str">
        <f t="shared" si="266"/>
        <v>UN</v>
      </c>
      <c r="L4262" s="166" t="str">
        <f t="shared" si="267"/>
        <v>10/2020</v>
      </c>
      <c r="M4262" s="82"/>
      <c r="N4262" s="82"/>
    </row>
    <row r="4263" spans="1:14" x14ac:dyDescent="0.25">
      <c r="A4263" s="170" t="s">
        <v>7034</v>
      </c>
      <c r="B4263" s="170" t="s">
        <v>11960</v>
      </c>
      <c r="C4263" s="170" t="s">
        <v>205</v>
      </c>
      <c r="D4263" s="170" t="s">
        <v>2067</v>
      </c>
      <c r="E4263" s="171" t="s">
        <v>29015</v>
      </c>
      <c r="F4263" s="171" t="s">
        <v>36870</v>
      </c>
      <c r="G4263" s="82"/>
      <c r="H4263" s="96">
        <f t="shared" si="264"/>
        <v>65.91</v>
      </c>
      <c r="I4263" s="96">
        <f t="shared" si="264"/>
        <v>68.95</v>
      </c>
      <c r="J4263" s="91" t="str">
        <f t="shared" si="265"/>
        <v>Sinapi 92933</v>
      </c>
      <c r="K4263" s="91" t="str">
        <f t="shared" si="266"/>
        <v>UN</v>
      </c>
      <c r="L4263" s="166" t="str">
        <f t="shared" si="267"/>
        <v>10/2020</v>
      </c>
      <c r="M4263" s="82"/>
      <c r="N4263" s="82"/>
    </row>
    <row r="4264" spans="1:14" x14ac:dyDescent="0.25">
      <c r="A4264" s="170" t="s">
        <v>7035</v>
      </c>
      <c r="B4264" s="170" t="s">
        <v>11961</v>
      </c>
      <c r="C4264" s="170" t="s">
        <v>205</v>
      </c>
      <c r="D4264" s="170" t="s">
        <v>2067</v>
      </c>
      <c r="E4264" s="171" t="s">
        <v>33689</v>
      </c>
      <c r="F4264" s="171" t="s">
        <v>36871</v>
      </c>
      <c r="G4264" s="82"/>
      <c r="H4264" s="96">
        <f t="shared" si="264"/>
        <v>99.1</v>
      </c>
      <c r="I4264" s="96">
        <f t="shared" si="264"/>
        <v>102.58</v>
      </c>
      <c r="J4264" s="91" t="str">
        <f t="shared" si="265"/>
        <v>Sinapi 92934</v>
      </c>
      <c r="K4264" s="91" t="str">
        <f t="shared" si="266"/>
        <v>UN</v>
      </c>
      <c r="L4264" s="166" t="str">
        <f t="shared" si="267"/>
        <v>10/2020</v>
      </c>
      <c r="M4264" s="82"/>
      <c r="N4264" s="82"/>
    </row>
    <row r="4265" spans="1:14" x14ac:dyDescent="0.25">
      <c r="A4265" s="170" t="s">
        <v>7036</v>
      </c>
      <c r="B4265" s="170" t="s">
        <v>11962</v>
      </c>
      <c r="C4265" s="170" t="s">
        <v>205</v>
      </c>
      <c r="D4265" s="170" t="s">
        <v>2067</v>
      </c>
      <c r="E4265" s="171" t="s">
        <v>33689</v>
      </c>
      <c r="F4265" s="171" t="s">
        <v>36871</v>
      </c>
      <c r="G4265" s="82"/>
      <c r="H4265" s="96">
        <f t="shared" si="264"/>
        <v>99.1</v>
      </c>
      <c r="I4265" s="96">
        <f t="shared" si="264"/>
        <v>102.58</v>
      </c>
      <c r="J4265" s="91" t="str">
        <f t="shared" si="265"/>
        <v>Sinapi 92935</v>
      </c>
      <c r="K4265" s="91" t="str">
        <f t="shared" si="266"/>
        <v>UN</v>
      </c>
      <c r="L4265" s="166" t="str">
        <f t="shared" si="267"/>
        <v>10/2020</v>
      </c>
      <c r="M4265" s="82"/>
      <c r="N4265" s="82"/>
    </row>
    <row r="4266" spans="1:14" x14ac:dyDescent="0.25">
      <c r="A4266" s="170" t="s">
        <v>7037</v>
      </c>
      <c r="B4266" s="170" t="s">
        <v>11963</v>
      </c>
      <c r="C4266" s="170" t="s">
        <v>205</v>
      </c>
      <c r="D4266" s="170" t="s">
        <v>2067</v>
      </c>
      <c r="E4266" s="171" t="s">
        <v>28855</v>
      </c>
      <c r="F4266" s="171" t="s">
        <v>36872</v>
      </c>
      <c r="G4266" s="82"/>
      <c r="H4266" s="96">
        <f t="shared" si="264"/>
        <v>138.63</v>
      </c>
      <c r="I4266" s="96">
        <f t="shared" si="264"/>
        <v>142.53</v>
      </c>
      <c r="J4266" s="91" t="str">
        <f t="shared" si="265"/>
        <v>Sinapi 92936</v>
      </c>
      <c r="K4266" s="91" t="str">
        <f t="shared" si="266"/>
        <v>UN</v>
      </c>
      <c r="L4266" s="166" t="str">
        <f t="shared" si="267"/>
        <v>10/2020</v>
      </c>
      <c r="M4266" s="82"/>
      <c r="N4266" s="82"/>
    </row>
    <row r="4267" spans="1:14" x14ac:dyDescent="0.25">
      <c r="A4267" s="170" t="s">
        <v>7038</v>
      </c>
      <c r="B4267" s="170" t="s">
        <v>11964</v>
      </c>
      <c r="C4267" s="170" t="s">
        <v>205</v>
      </c>
      <c r="D4267" s="170" t="s">
        <v>2067</v>
      </c>
      <c r="E4267" s="171" t="s">
        <v>28855</v>
      </c>
      <c r="F4267" s="171" t="s">
        <v>36872</v>
      </c>
      <c r="G4267" s="82"/>
      <c r="H4267" s="96">
        <f t="shared" si="264"/>
        <v>138.63</v>
      </c>
      <c r="I4267" s="96">
        <f t="shared" si="264"/>
        <v>142.53</v>
      </c>
      <c r="J4267" s="91" t="str">
        <f t="shared" si="265"/>
        <v>Sinapi 92937</v>
      </c>
      <c r="K4267" s="91" t="str">
        <f t="shared" si="266"/>
        <v>UN</v>
      </c>
      <c r="L4267" s="166" t="str">
        <f t="shared" si="267"/>
        <v>10/2020</v>
      </c>
      <c r="M4267" s="82"/>
      <c r="N4267" s="82"/>
    </row>
    <row r="4268" spans="1:14" x14ac:dyDescent="0.25">
      <c r="A4268" s="170" t="s">
        <v>7039</v>
      </c>
      <c r="B4268" s="170" t="s">
        <v>11965</v>
      </c>
      <c r="C4268" s="170" t="s">
        <v>205</v>
      </c>
      <c r="D4268" s="170" t="s">
        <v>2067</v>
      </c>
      <c r="E4268" s="171" t="s">
        <v>21466</v>
      </c>
      <c r="F4268" s="171" t="s">
        <v>23069</v>
      </c>
      <c r="G4268" s="82"/>
      <c r="H4268" s="96">
        <f t="shared" si="264"/>
        <v>25.89</v>
      </c>
      <c r="I4268" s="96">
        <f t="shared" si="264"/>
        <v>27.31</v>
      </c>
      <c r="J4268" s="91" t="str">
        <f t="shared" si="265"/>
        <v>Sinapi 92938</v>
      </c>
      <c r="K4268" s="91" t="str">
        <f t="shared" si="266"/>
        <v>UN</v>
      </c>
      <c r="L4268" s="166" t="str">
        <f t="shared" si="267"/>
        <v>10/2020</v>
      </c>
      <c r="M4268" s="82"/>
      <c r="N4268" s="82"/>
    </row>
    <row r="4269" spans="1:14" x14ac:dyDescent="0.25">
      <c r="A4269" s="170" t="s">
        <v>7040</v>
      </c>
      <c r="B4269" s="170" t="s">
        <v>11966</v>
      </c>
      <c r="C4269" s="170" t="s">
        <v>205</v>
      </c>
      <c r="D4269" s="170" t="s">
        <v>2067</v>
      </c>
      <c r="E4269" s="171" t="s">
        <v>23224</v>
      </c>
      <c r="F4269" s="171" t="s">
        <v>23578</v>
      </c>
      <c r="G4269" s="82"/>
      <c r="H4269" s="96">
        <f t="shared" si="264"/>
        <v>26.14</v>
      </c>
      <c r="I4269" s="96">
        <f t="shared" si="264"/>
        <v>27.56</v>
      </c>
      <c r="J4269" s="91" t="str">
        <f t="shared" si="265"/>
        <v>Sinapi 92939</v>
      </c>
      <c r="K4269" s="91" t="str">
        <f t="shared" si="266"/>
        <v>UN</v>
      </c>
      <c r="L4269" s="166" t="str">
        <f t="shared" si="267"/>
        <v>10/2020</v>
      </c>
      <c r="M4269" s="82"/>
      <c r="N4269" s="82"/>
    </row>
    <row r="4270" spans="1:14" x14ac:dyDescent="0.25">
      <c r="A4270" s="170" t="s">
        <v>7041</v>
      </c>
      <c r="B4270" s="170" t="s">
        <v>11967</v>
      </c>
      <c r="C4270" s="170" t="s">
        <v>205</v>
      </c>
      <c r="D4270" s="170" t="s">
        <v>2067</v>
      </c>
      <c r="E4270" s="171" t="s">
        <v>29213</v>
      </c>
      <c r="F4270" s="171" t="s">
        <v>23803</v>
      </c>
      <c r="G4270" s="82"/>
      <c r="H4270" s="96">
        <f t="shared" si="264"/>
        <v>33.520000000000003</v>
      </c>
      <c r="I4270" s="96">
        <f t="shared" si="264"/>
        <v>35.01</v>
      </c>
      <c r="J4270" s="91" t="str">
        <f t="shared" si="265"/>
        <v>Sinapi 92940</v>
      </c>
      <c r="K4270" s="91" t="str">
        <f t="shared" si="266"/>
        <v>UN</v>
      </c>
      <c r="L4270" s="166" t="str">
        <f t="shared" si="267"/>
        <v>10/2020</v>
      </c>
      <c r="M4270" s="82"/>
      <c r="N4270" s="82"/>
    </row>
    <row r="4271" spans="1:14" x14ac:dyDescent="0.25">
      <c r="A4271" s="170" t="s">
        <v>7042</v>
      </c>
      <c r="B4271" s="170" t="s">
        <v>11968</v>
      </c>
      <c r="C4271" s="170" t="s">
        <v>205</v>
      </c>
      <c r="D4271" s="170" t="s">
        <v>2067</v>
      </c>
      <c r="E4271" s="171" t="s">
        <v>25720</v>
      </c>
      <c r="F4271" s="171" t="s">
        <v>29294</v>
      </c>
      <c r="G4271" s="82"/>
      <c r="H4271" s="96">
        <f t="shared" si="264"/>
        <v>33.5</v>
      </c>
      <c r="I4271" s="96">
        <f t="shared" si="264"/>
        <v>34.99</v>
      </c>
      <c r="J4271" s="91" t="str">
        <f t="shared" si="265"/>
        <v>Sinapi 92941</v>
      </c>
      <c r="K4271" s="91" t="str">
        <f t="shared" si="266"/>
        <v>UN</v>
      </c>
      <c r="L4271" s="166" t="str">
        <f t="shared" si="267"/>
        <v>10/2020</v>
      </c>
      <c r="M4271" s="82"/>
      <c r="N4271" s="82"/>
    </row>
    <row r="4272" spans="1:14" x14ac:dyDescent="0.25">
      <c r="A4272" s="170" t="s">
        <v>7043</v>
      </c>
      <c r="B4272" s="170" t="s">
        <v>11969</v>
      </c>
      <c r="C4272" s="170" t="s">
        <v>205</v>
      </c>
      <c r="D4272" s="170" t="s">
        <v>2067</v>
      </c>
      <c r="E4272" s="171" t="s">
        <v>25720</v>
      </c>
      <c r="F4272" s="171" t="s">
        <v>29294</v>
      </c>
      <c r="G4272" s="82"/>
      <c r="H4272" s="96">
        <f t="shared" si="264"/>
        <v>33.5</v>
      </c>
      <c r="I4272" s="96">
        <f t="shared" si="264"/>
        <v>34.99</v>
      </c>
      <c r="J4272" s="91" t="str">
        <f t="shared" si="265"/>
        <v>Sinapi 92942</v>
      </c>
      <c r="K4272" s="91" t="str">
        <f t="shared" si="266"/>
        <v>UN</v>
      </c>
      <c r="L4272" s="166" t="str">
        <f t="shared" si="267"/>
        <v>10/2020</v>
      </c>
      <c r="M4272" s="82"/>
      <c r="N4272" s="82"/>
    </row>
    <row r="4273" spans="1:14" x14ac:dyDescent="0.25">
      <c r="A4273" s="170" t="s">
        <v>7044</v>
      </c>
      <c r="B4273" s="170" t="s">
        <v>11970</v>
      </c>
      <c r="C4273" s="170" t="s">
        <v>205</v>
      </c>
      <c r="D4273" s="170" t="s">
        <v>2067</v>
      </c>
      <c r="E4273" s="171" t="s">
        <v>21353</v>
      </c>
      <c r="F4273" s="171" t="s">
        <v>36873</v>
      </c>
      <c r="G4273" s="82"/>
      <c r="H4273" s="96">
        <f t="shared" si="264"/>
        <v>38.58</v>
      </c>
      <c r="I4273" s="96">
        <f t="shared" si="264"/>
        <v>40.17</v>
      </c>
      <c r="J4273" s="91" t="str">
        <f t="shared" si="265"/>
        <v>Sinapi 92943</v>
      </c>
      <c r="K4273" s="91" t="str">
        <f t="shared" si="266"/>
        <v>UN</v>
      </c>
      <c r="L4273" s="166" t="str">
        <f t="shared" si="267"/>
        <v>10/2020</v>
      </c>
      <c r="M4273" s="82"/>
      <c r="N4273" s="82"/>
    </row>
    <row r="4274" spans="1:14" x14ac:dyDescent="0.25">
      <c r="A4274" s="170" t="s">
        <v>7045</v>
      </c>
      <c r="B4274" s="170" t="s">
        <v>11971</v>
      </c>
      <c r="C4274" s="170" t="s">
        <v>205</v>
      </c>
      <c r="D4274" s="170" t="s">
        <v>2067</v>
      </c>
      <c r="E4274" s="171" t="s">
        <v>21353</v>
      </c>
      <c r="F4274" s="171" t="s">
        <v>36873</v>
      </c>
      <c r="G4274" s="82"/>
      <c r="H4274" s="96">
        <f t="shared" si="264"/>
        <v>38.58</v>
      </c>
      <c r="I4274" s="96">
        <f t="shared" si="264"/>
        <v>40.17</v>
      </c>
      <c r="J4274" s="91" t="str">
        <f t="shared" si="265"/>
        <v>Sinapi 92944</v>
      </c>
      <c r="K4274" s="91" t="str">
        <f t="shared" si="266"/>
        <v>UN</v>
      </c>
      <c r="L4274" s="166" t="str">
        <f t="shared" si="267"/>
        <v>10/2020</v>
      </c>
      <c r="M4274" s="82"/>
      <c r="N4274" s="82"/>
    </row>
    <row r="4275" spans="1:14" x14ac:dyDescent="0.25">
      <c r="A4275" s="170" t="s">
        <v>7046</v>
      </c>
      <c r="B4275" s="170" t="s">
        <v>11972</v>
      </c>
      <c r="C4275" s="170" t="s">
        <v>205</v>
      </c>
      <c r="D4275" s="170" t="s">
        <v>2067</v>
      </c>
      <c r="E4275" s="171" t="s">
        <v>21353</v>
      </c>
      <c r="F4275" s="171" t="s">
        <v>36873</v>
      </c>
      <c r="G4275" s="82"/>
      <c r="H4275" s="96">
        <f t="shared" si="264"/>
        <v>38.58</v>
      </c>
      <c r="I4275" s="96">
        <f t="shared" si="264"/>
        <v>40.17</v>
      </c>
      <c r="J4275" s="91" t="str">
        <f t="shared" si="265"/>
        <v>Sinapi 92945</v>
      </c>
      <c r="K4275" s="91" t="str">
        <f t="shared" si="266"/>
        <v>UN</v>
      </c>
      <c r="L4275" s="166" t="str">
        <f t="shared" si="267"/>
        <v>10/2020</v>
      </c>
      <c r="M4275" s="82"/>
      <c r="N4275" s="82"/>
    </row>
    <row r="4276" spans="1:14" x14ac:dyDescent="0.25">
      <c r="A4276" s="170" t="s">
        <v>7047</v>
      </c>
      <c r="B4276" s="170" t="s">
        <v>11973</v>
      </c>
      <c r="C4276" s="170" t="s">
        <v>205</v>
      </c>
      <c r="D4276" s="170" t="s">
        <v>2067</v>
      </c>
      <c r="E4276" s="171" t="s">
        <v>20637</v>
      </c>
      <c r="F4276" s="171" t="s">
        <v>19321</v>
      </c>
      <c r="G4276" s="82"/>
      <c r="H4276" s="96">
        <f t="shared" si="264"/>
        <v>54.32</v>
      </c>
      <c r="I4276" s="96">
        <f t="shared" si="264"/>
        <v>56.02</v>
      </c>
      <c r="J4276" s="91" t="str">
        <f t="shared" si="265"/>
        <v>Sinapi 92946</v>
      </c>
      <c r="K4276" s="91" t="str">
        <f t="shared" si="266"/>
        <v>UN</v>
      </c>
      <c r="L4276" s="166" t="str">
        <f t="shared" si="267"/>
        <v>10/2020</v>
      </c>
      <c r="M4276" s="82"/>
      <c r="N4276" s="82"/>
    </row>
    <row r="4277" spans="1:14" x14ac:dyDescent="0.25">
      <c r="A4277" s="170" t="s">
        <v>7048</v>
      </c>
      <c r="B4277" s="170" t="s">
        <v>11974</v>
      </c>
      <c r="C4277" s="170" t="s">
        <v>205</v>
      </c>
      <c r="D4277" s="170" t="s">
        <v>2067</v>
      </c>
      <c r="E4277" s="171" t="s">
        <v>20637</v>
      </c>
      <c r="F4277" s="171" t="s">
        <v>19321</v>
      </c>
      <c r="G4277" s="82"/>
      <c r="H4277" s="96">
        <f t="shared" si="264"/>
        <v>54.32</v>
      </c>
      <c r="I4277" s="96">
        <f t="shared" si="264"/>
        <v>56.02</v>
      </c>
      <c r="J4277" s="91" t="str">
        <f t="shared" si="265"/>
        <v>Sinapi 92947</v>
      </c>
      <c r="K4277" s="91" t="str">
        <f t="shared" si="266"/>
        <v>UN</v>
      </c>
      <c r="L4277" s="166" t="str">
        <f t="shared" si="267"/>
        <v>10/2020</v>
      </c>
      <c r="M4277" s="82"/>
      <c r="N4277" s="82"/>
    </row>
    <row r="4278" spans="1:14" x14ac:dyDescent="0.25">
      <c r="A4278" s="170" t="s">
        <v>7049</v>
      </c>
      <c r="B4278" s="170" t="s">
        <v>11975</v>
      </c>
      <c r="C4278" s="170" t="s">
        <v>205</v>
      </c>
      <c r="D4278" s="170" t="s">
        <v>2067</v>
      </c>
      <c r="E4278" s="171" t="s">
        <v>20637</v>
      </c>
      <c r="F4278" s="171" t="s">
        <v>19321</v>
      </c>
      <c r="G4278" s="82"/>
      <c r="H4278" s="96">
        <f t="shared" si="264"/>
        <v>54.32</v>
      </c>
      <c r="I4278" s="96">
        <f t="shared" si="264"/>
        <v>56.02</v>
      </c>
      <c r="J4278" s="91" t="str">
        <f t="shared" si="265"/>
        <v>Sinapi 92948</v>
      </c>
      <c r="K4278" s="91" t="str">
        <f t="shared" si="266"/>
        <v>UN</v>
      </c>
      <c r="L4278" s="166" t="str">
        <f t="shared" si="267"/>
        <v>10/2020</v>
      </c>
      <c r="M4278" s="82"/>
      <c r="N4278" s="82"/>
    </row>
    <row r="4279" spans="1:14" x14ac:dyDescent="0.25">
      <c r="A4279" s="170" t="s">
        <v>7050</v>
      </c>
      <c r="B4279" s="170" t="s">
        <v>11976</v>
      </c>
      <c r="C4279" s="170" t="s">
        <v>205</v>
      </c>
      <c r="D4279" s="170" t="s">
        <v>2067</v>
      </c>
      <c r="E4279" s="171" t="s">
        <v>33690</v>
      </c>
      <c r="F4279" s="171" t="s">
        <v>36874</v>
      </c>
      <c r="G4279" s="82"/>
      <c r="H4279" s="96">
        <f t="shared" si="264"/>
        <v>85.19</v>
      </c>
      <c r="I4279" s="96">
        <f t="shared" si="264"/>
        <v>87.07</v>
      </c>
      <c r="J4279" s="91" t="str">
        <f t="shared" si="265"/>
        <v>Sinapi 92949</v>
      </c>
      <c r="K4279" s="91" t="str">
        <f t="shared" si="266"/>
        <v>UN</v>
      </c>
      <c r="L4279" s="166" t="str">
        <f t="shared" si="267"/>
        <v>10/2020</v>
      </c>
      <c r="M4279" s="82"/>
      <c r="N4279" s="82"/>
    </row>
    <row r="4280" spans="1:14" x14ac:dyDescent="0.25">
      <c r="A4280" s="170" t="s">
        <v>7051</v>
      </c>
      <c r="B4280" s="170" t="s">
        <v>11977</v>
      </c>
      <c r="C4280" s="170" t="s">
        <v>205</v>
      </c>
      <c r="D4280" s="170" t="s">
        <v>2067</v>
      </c>
      <c r="E4280" s="171" t="s">
        <v>33690</v>
      </c>
      <c r="F4280" s="171" t="s">
        <v>36874</v>
      </c>
      <c r="G4280" s="82"/>
      <c r="H4280" s="96">
        <f t="shared" si="264"/>
        <v>85.19</v>
      </c>
      <c r="I4280" s="96">
        <f t="shared" si="264"/>
        <v>87.07</v>
      </c>
      <c r="J4280" s="91" t="str">
        <f t="shared" si="265"/>
        <v>Sinapi 92950</v>
      </c>
      <c r="K4280" s="91" t="str">
        <f t="shared" si="266"/>
        <v>UN</v>
      </c>
      <c r="L4280" s="166" t="str">
        <f t="shared" si="267"/>
        <v>10/2020</v>
      </c>
      <c r="M4280" s="82"/>
      <c r="N4280" s="82"/>
    </row>
    <row r="4281" spans="1:14" x14ac:dyDescent="0.25">
      <c r="A4281" s="170" t="s">
        <v>7052</v>
      </c>
      <c r="B4281" s="170" t="s">
        <v>11978</v>
      </c>
      <c r="C4281" s="170" t="s">
        <v>205</v>
      </c>
      <c r="D4281" s="170" t="s">
        <v>2067</v>
      </c>
      <c r="E4281" s="171" t="s">
        <v>33691</v>
      </c>
      <c r="F4281" s="171" t="s">
        <v>29033</v>
      </c>
      <c r="G4281" s="82"/>
      <c r="H4281" s="96">
        <f t="shared" si="264"/>
        <v>122.46</v>
      </c>
      <c r="I4281" s="96">
        <f t="shared" si="264"/>
        <v>124.51</v>
      </c>
      <c r="J4281" s="91" t="str">
        <f t="shared" si="265"/>
        <v>Sinapi 92951</v>
      </c>
      <c r="K4281" s="91" t="str">
        <f t="shared" si="266"/>
        <v>UN</v>
      </c>
      <c r="L4281" s="166" t="str">
        <f t="shared" si="267"/>
        <v>10/2020</v>
      </c>
      <c r="M4281" s="82"/>
      <c r="N4281" s="82"/>
    </row>
    <row r="4282" spans="1:14" x14ac:dyDescent="0.25">
      <c r="A4282" s="170" t="s">
        <v>7053</v>
      </c>
      <c r="B4282" s="170" t="s">
        <v>11979</v>
      </c>
      <c r="C4282" s="170" t="s">
        <v>205</v>
      </c>
      <c r="D4282" s="170" t="s">
        <v>2067</v>
      </c>
      <c r="E4282" s="171" t="s">
        <v>33691</v>
      </c>
      <c r="F4282" s="171" t="s">
        <v>29033</v>
      </c>
      <c r="G4282" s="82"/>
      <c r="H4282" s="96">
        <f t="shared" si="264"/>
        <v>122.46</v>
      </c>
      <c r="I4282" s="96">
        <f t="shared" si="264"/>
        <v>124.51</v>
      </c>
      <c r="J4282" s="91" t="str">
        <f t="shared" si="265"/>
        <v>Sinapi 92952</v>
      </c>
      <c r="K4282" s="91" t="str">
        <f t="shared" si="266"/>
        <v>UN</v>
      </c>
      <c r="L4282" s="166" t="str">
        <f t="shared" si="267"/>
        <v>10/2020</v>
      </c>
      <c r="M4282" s="82"/>
      <c r="N4282" s="82"/>
    </row>
    <row r="4283" spans="1:14" x14ac:dyDescent="0.25">
      <c r="A4283" s="170" t="s">
        <v>7054</v>
      </c>
      <c r="B4283" s="170" t="s">
        <v>11980</v>
      </c>
      <c r="C4283" s="170" t="s">
        <v>205</v>
      </c>
      <c r="D4283" s="170" t="s">
        <v>2067</v>
      </c>
      <c r="E4283" s="171" t="s">
        <v>29257</v>
      </c>
      <c r="F4283" s="171" t="s">
        <v>19365</v>
      </c>
      <c r="G4283" s="82"/>
      <c r="H4283" s="96">
        <f t="shared" si="264"/>
        <v>22.01</v>
      </c>
      <c r="I4283" s="96">
        <f t="shared" si="264"/>
        <v>23.42</v>
      </c>
      <c r="J4283" s="91" t="str">
        <f t="shared" si="265"/>
        <v>Sinapi 92953</v>
      </c>
      <c r="K4283" s="91" t="str">
        <f t="shared" si="266"/>
        <v>UN</v>
      </c>
      <c r="L4283" s="166" t="str">
        <f t="shared" si="267"/>
        <v>10/2020</v>
      </c>
      <c r="M4283" s="82"/>
      <c r="N4283" s="82"/>
    </row>
    <row r="4284" spans="1:14" x14ac:dyDescent="0.25">
      <c r="A4284" s="170" t="s">
        <v>7055</v>
      </c>
      <c r="B4284" s="170" t="s">
        <v>15892</v>
      </c>
      <c r="C4284" s="170" t="s">
        <v>205</v>
      </c>
      <c r="D4284" s="170" t="s">
        <v>1947</v>
      </c>
      <c r="E4284" s="171" t="s">
        <v>21560</v>
      </c>
      <c r="F4284" s="171" t="s">
        <v>29976</v>
      </c>
      <c r="G4284" s="82"/>
      <c r="H4284" s="96">
        <f t="shared" si="264"/>
        <v>10.15</v>
      </c>
      <c r="I4284" s="96">
        <f t="shared" si="264"/>
        <v>10.43</v>
      </c>
      <c r="J4284" s="91" t="str">
        <f t="shared" si="265"/>
        <v>Sinapi 93050</v>
      </c>
      <c r="K4284" s="91" t="str">
        <f t="shared" si="266"/>
        <v>UN</v>
      </c>
      <c r="L4284" s="166" t="str">
        <f t="shared" si="267"/>
        <v>04/2022</v>
      </c>
      <c r="M4284" s="82"/>
      <c r="N4284" s="82"/>
    </row>
    <row r="4285" spans="1:14" x14ac:dyDescent="0.25">
      <c r="A4285" s="170" t="s">
        <v>7056</v>
      </c>
      <c r="B4285" s="170" t="s">
        <v>15893</v>
      </c>
      <c r="C4285" s="170" t="s">
        <v>205</v>
      </c>
      <c r="D4285" s="170" t="s">
        <v>1947</v>
      </c>
      <c r="E4285" s="171" t="s">
        <v>33692</v>
      </c>
      <c r="F4285" s="171" t="s">
        <v>36875</v>
      </c>
      <c r="G4285" s="82"/>
      <c r="H4285" s="96">
        <f t="shared" si="264"/>
        <v>479.44</v>
      </c>
      <c r="I4285" s="96">
        <f t="shared" si="264"/>
        <v>479.72</v>
      </c>
      <c r="J4285" s="91" t="str">
        <f t="shared" si="265"/>
        <v>Sinapi 93052</v>
      </c>
      <c r="K4285" s="91" t="str">
        <f t="shared" si="266"/>
        <v>UN</v>
      </c>
      <c r="L4285" s="166" t="str">
        <f t="shared" si="267"/>
        <v>04/2022</v>
      </c>
      <c r="M4285" s="82"/>
      <c r="N4285" s="82"/>
    </row>
    <row r="4286" spans="1:14" x14ac:dyDescent="0.25">
      <c r="A4286" s="170" t="s">
        <v>7057</v>
      </c>
      <c r="B4286" s="170" t="s">
        <v>15894</v>
      </c>
      <c r="C4286" s="170" t="s">
        <v>205</v>
      </c>
      <c r="D4286" s="170" t="s">
        <v>1947</v>
      </c>
      <c r="E4286" s="171" t="s">
        <v>17132</v>
      </c>
      <c r="F4286" s="171" t="s">
        <v>15643</v>
      </c>
      <c r="G4286" s="82"/>
      <c r="H4286" s="96">
        <f t="shared" si="264"/>
        <v>20.350000000000001</v>
      </c>
      <c r="I4286" s="96">
        <f t="shared" si="264"/>
        <v>20.75</v>
      </c>
      <c r="J4286" s="91" t="str">
        <f t="shared" si="265"/>
        <v>Sinapi 93054</v>
      </c>
      <c r="K4286" s="91" t="str">
        <f t="shared" si="266"/>
        <v>UN</v>
      </c>
      <c r="L4286" s="166" t="str">
        <f t="shared" si="267"/>
        <v>04/2022</v>
      </c>
      <c r="M4286" s="82"/>
      <c r="N4286" s="82"/>
    </row>
    <row r="4287" spans="1:14" x14ac:dyDescent="0.25">
      <c r="A4287" s="170" t="s">
        <v>7058</v>
      </c>
      <c r="B4287" s="170" t="s">
        <v>15895</v>
      </c>
      <c r="C4287" s="170" t="s">
        <v>205</v>
      </c>
      <c r="D4287" s="170" t="s">
        <v>1947</v>
      </c>
      <c r="E4287" s="171" t="s">
        <v>23166</v>
      </c>
      <c r="F4287" s="171" t="s">
        <v>36876</v>
      </c>
      <c r="G4287" s="82"/>
      <c r="H4287" s="96">
        <f t="shared" si="264"/>
        <v>41.23</v>
      </c>
      <c r="I4287" s="96">
        <f t="shared" si="264"/>
        <v>41.51</v>
      </c>
      <c r="J4287" s="91" t="str">
        <f t="shared" si="265"/>
        <v>Sinapi 93055</v>
      </c>
      <c r="K4287" s="91" t="str">
        <f t="shared" si="266"/>
        <v>UN</v>
      </c>
      <c r="L4287" s="166" t="str">
        <f t="shared" si="267"/>
        <v>04/2022</v>
      </c>
      <c r="M4287" s="82"/>
      <c r="N4287" s="82"/>
    </row>
    <row r="4288" spans="1:14" x14ac:dyDescent="0.25">
      <c r="A4288" s="170" t="s">
        <v>7059</v>
      </c>
      <c r="B4288" s="170" t="s">
        <v>15896</v>
      </c>
      <c r="C4288" s="170" t="s">
        <v>205</v>
      </c>
      <c r="D4288" s="170" t="s">
        <v>1947</v>
      </c>
      <c r="E4288" s="171" t="s">
        <v>21197</v>
      </c>
      <c r="F4288" s="171" t="s">
        <v>14340</v>
      </c>
      <c r="G4288" s="82"/>
      <c r="H4288" s="96">
        <f t="shared" si="264"/>
        <v>15.23</v>
      </c>
      <c r="I4288" s="96">
        <f t="shared" si="264"/>
        <v>15.59</v>
      </c>
      <c r="J4288" s="91" t="str">
        <f t="shared" si="265"/>
        <v>Sinapi 93056</v>
      </c>
      <c r="K4288" s="91" t="str">
        <f t="shared" si="266"/>
        <v>UN</v>
      </c>
      <c r="L4288" s="166" t="str">
        <f t="shared" si="267"/>
        <v>04/2022</v>
      </c>
      <c r="M4288" s="82"/>
      <c r="N4288" s="82"/>
    </row>
    <row r="4289" spans="1:14" x14ac:dyDescent="0.25">
      <c r="A4289" s="170" t="s">
        <v>7060</v>
      </c>
      <c r="B4289" s="170" t="s">
        <v>15897</v>
      </c>
      <c r="C4289" s="170" t="s">
        <v>205</v>
      </c>
      <c r="D4289" s="170" t="s">
        <v>1947</v>
      </c>
      <c r="E4289" s="171" t="s">
        <v>22015</v>
      </c>
      <c r="F4289" s="171" t="s">
        <v>15636</v>
      </c>
      <c r="G4289" s="82"/>
      <c r="H4289" s="96">
        <f t="shared" si="264"/>
        <v>12.64</v>
      </c>
      <c r="I4289" s="96">
        <f t="shared" si="264"/>
        <v>12.96</v>
      </c>
      <c r="J4289" s="91" t="str">
        <f t="shared" si="265"/>
        <v>Sinapi 93057</v>
      </c>
      <c r="K4289" s="91" t="str">
        <f t="shared" si="266"/>
        <v>UN</v>
      </c>
      <c r="L4289" s="166" t="str">
        <f t="shared" si="267"/>
        <v>04/2022</v>
      </c>
      <c r="M4289" s="82"/>
      <c r="N4289" s="82"/>
    </row>
    <row r="4290" spans="1:14" x14ac:dyDescent="0.25">
      <c r="A4290" s="170" t="s">
        <v>7061</v>
      </c>
      <c r="B4290" s="170" t="s">
        <v>15898</v>
      </c>
      <c r="C4290" s="170" t="s">
        <v>205</v>
      </c>
      <c r="D4290" s="170" t="s">
        <v>1947</v>
      </c>
      <c r="E4290" s="171" t="s">
        <v>33693</v>
      </c>
      <c r="F4290" s="171" t="s">
        <v>33482</v>
      </c>
      <c r="G4290" s="82"/>
      <c r="H4290" s="96">
        <f t="shared" si="264"/>
        <v>527.4</v>
      </c>
      <c r="I4290" s="96">
        <f t="shared" si="264"/>
        <v>527.76</v>
      </c>
      <c r="J4290" s="91" t="str">
        <f t="shared" si="265"/>
        <v>Sinapi 93058</v>
      </c>
      <c r="K4290" s="91" t="str">
        <f t="shared" si="266"/>
        <v>UN</v>
      </c>
      <c r="L4290" s="166" t="str">
        <f t="shared" si="267"/>
        <v>04/2022</v>
      </c>
      <c r="M4290" s="82"/>
      <c r="N4290" s="82"/>
    </row>
    <row r="4291" spans="1:14" x14ac:dyDescent="0.25">
      <c r="A4291" s="170" t="s">
        <v>7062</v>
      </c>
      <c r="B4291" s="170" t="s">
        <v>15899</v>
      </c>
      <c r="C4291" s="170" t="s">
        <v>205</v>
      </c>
      <c r="D4291" s="170" t="s">
        <v>1947</v>
      </c>
      <c r="E4291" s="171" t="s">
        <v>23133</v>
      </c>
      <c r="F4291" s="171" t="s">
        <v>28070</v>
      </c>
      <c r="G4291" s="82"/>
      <c r="H4291" s="96">
        <f t="shared" si="264"/>
        <v>26.71</v>
      </c>
      <c r="I4291" s="96">
        <f t="shared" si="264"/>
        <v>27.06</v>
      </c>
      <c r="J4291" s="91" t="str">
        <f t="shared" si="265"/>
        <v>Sinapi 93059</v>
      </c>
      <c r="K4291" s="91" t="str">
        <f t="shared" si="266"/>
        <v>UN</v>
      </c>
      <c r="L4291" s="166" t="str">
        <f t="shared" si="267"/>
        <v>04/2022</v>
      </c>
      <c r="M4291" s="82"/>
      <c r="N4291" s="82"/>
    </row>
    <row r="4292" spans="1:14" x14ac:dyDescent="0.25">
      <c r="A4292" s="170" t="s">
        <v>7063</v>
      </c>
      <c r="B4292" s="170" t="s">
        <v>15900</v>
      </c>
      <c r="C4292" s="170" t="s">
        <v>205</v>
      </c>
      <c r="D4292" s="170" t="s">
        <v>1947</v>
      </c>
      <c r="E4292" s="171" t="s">
        <v>33694</v>
      </c>
      <c r="F4292" s="171" t="s">
        <v>28898</v>
      </c>
      <c r="G4292" s="82"/>
      <c r="H4292" s="96">
        <f t="shared" si="264"/>
        <v>72.37</v>
      </c>
      <c r="I4292" s="96">
        <f t="shared" si="264"/>
        <v>72.73</v>
      </c>
      <c r="J4292" s="91" t="str">
        <f t="shared" si="265"/>
        <v>Sinapi 93060</v>
      </c>
      <c r="K4292" s="91" t="str">
        <f t="shared" si="266"/>
        <v>UN</v>
      </c>
      <c r="L4292" s="166" t="str">
        <f t="shared" si="267"/>
        <v>04/2022</v>
      </c>
      <c r="M4292" s="82"/>
      <c r="N4292" s="82"/>
    </row>
    <row r="4293" spans="1:14" x14ac:dyDescent="0.25">
      <c r="A4293" s="170" t="s">
        <v>7064</v>
      </c>
      <c r="B4293" s="170" t="s">
        <v>15901</v>
      </c>
      <c r="C4293" s="170" t="s">
        <v>205</v>
      </c>
      <c r="D4293" s="170" t="s">
        <v>1947</v>
      </c>
      <c r="E4293" s="171" t="s">
        <v>21351</v>
      </c>
      <c r="F4293" s="171" t="s">
        <v>20470</v>
      </c>
      <c r="G4293" s="82"/>
      <c r="H4293" s="96">
        <f t="shared" si="264"/>
        <v>29.08</v>
      </c>
      <c r="I4293" s="96">
        <f t="shared" si="264"/>
        <v>29.53</v>
      </c>
      <c r="J4293" s="91" t="str">
        <f t="shared" si="265"/>
        <v>Sinapi 93061</v>
      </c>
      <c r="K4293" s="91" t="str">
        <f t="shared" si="266"/>
        <v>UN</v>
      </c>
      <c r="L4293" s="166" t="str">
        <f t="shared" si="267"/>
        <v>04/2022</v>
      </c>
      <c r="M4293" s="82"/>
      <c r="N4293" s="82"/>
    </row>
    <row r="4294" spans="1:14" x14ac:dyDescent="0.25">
      <c r="A4294" s="170" t="s">
        <v>7065</v>
      </c>
      <c r="B4294" s="170" t="s">
        <v>15902</v>
      </c>
      <c r="C4294" s="170" t="s">
        <v>205</v>
      </c>
      <c r="D4294" s="170" t="s">
        <v>1947</v>
      </c>
      <c r="E4294" s="171" t="s">
        <v>17949</v>
      </c>
      <c r="F4294" s="171" t="s">
        <v>21036</v>
      </c>
      <c r="G4294" s="82"/>
      <c r="H4294" s="96">
        <f t="shared" si="264"/>
        <v>24.51</v>
      </c>
      <c r="I4294" s="96">
        <f t="shared" si="264"/>
        <v>24.92</v>
      </c>
      <c r="J4294" s="91" t="str">
        <f t="shared" si="265"/>
        <v>Sinapi 93062</v>
      </c>
      <c r="K4294" s="91" t="str">
        <f t="shared" si="266"/>
        <v>UN</v>
      </c>
      <c r="L4294" s="166" t="str">
        <f t="shared" si="267"/>
        <v>04/2022</v>
      </c>
      <c r="M4294" s="82"/>
      <c r="N4294" s="82"/>
    </row>
    <row r="4295" spans="1:14" x14ac:dyDescent="0.25">
      <c r="A4295" s="170" t="s">
        <v>7066</v>
      </c>
      <c r="B4295" s="170" t="s">
        <v>15903</v>
      </c>
      <c r="C4295" s="170" t="s">
        <v>205</v>
      </c>
      <c r="D4295" s="170" t="s">
        <v>1947</v>
      </c>
      <c r="E4295" s="171" t="s">
        <v>33695</v>
      </c>
      <c r="F4295" s="171" t="s">
        <v>36877</v>
      </c>
      <c r="G4295" s="82"/>
      <c r="H4295" s="96">
        <f t="shared" si="264"/>
        <v>604.33000000000004</v>
      </c>
      <c r="I4295" s="96">
        <f t="shared" si="264"/>
        <v>604.78</v>
      </c>
      <c r="J4295" s="91" t="str">
        <f t="shared" si="265"/>
        <v>Sinapi 93063</v>
      </c>
      <c r="K4295" s="91" t="str">
        <f t="shared" si="266"/>
        <v>UN</v>
      </c>
      <c r="L4295" s="166" t="str">
        <f t="shared" si="267"/>
        <v>04/2022</v>
      </c>
      <c r="M4295" s="82"/>
      <c r="N4295" s="82"/>
    </row>
    <row r="4296" spans="1:14" x14ac:dyDescent="0.25">
      <c r="A4296" s="170" t="s">
        <v>7067</v>
      </c>
      <c r="B4296" s="170" t="s">
        <v>15904</v>
      </c>
      <c r="C4296" s="170" t="s">
        <v>205</v>
      </c>
      <c r="D4296" s="170" t="s">
        <v>1947</v>
      </c>
      <c r="E4296" s="171" t="s">
        <v>33696</v>
      </c>
      <c r="F4296" s="171" t="s">
        <v>36878</v>
      </c>
      <c r="G4296" s="82"/>
      <c r="H4296" s="96">
        <f t="shared" ref="H4296:I4359" si="268">IF(E4296="","",E4296+0)</f>
        <v>44.76</v>
      </c>
      <c r="I4296" s="96">
        <f t="shared" si="268"/>
        <v>45.31</v>
      </c>
      <c r="J4296" s="91" t="str">
        <f t="shared" ref="J4296:J4359" si="269">IF(OR(H4296="",I4296=""),"",TRIM(CONCATENATE("Sinapi ",A4296)))</f>
        <v>Sinapi 93064</v>
      </c>
      <c r="K4296" s="91" t="str">
        <f t="shared" ref="K4296:K4359" si="270">TRIM(C4296)</f>
        <v>UN</v>
      </c>
      <c r="L4296" s="166" t="str">
        <f t="shared" ref="L4296:L4359" si="271">IF(OR(RIGHT(IF(AND(K4296&lt;&gt;"H",K4296&lt;&gt;"MES"),RIGHT(B4296,7),""),2)="PS",RIGHT(IF(AND(K4296&lt;&gt;"H",K4296&lt;&gt;"MES"),RIGHT(B4296,7),""),2)="PA",RIGHT(IF(AND(K4296&lt;&gt;"H",K4296&lt;&gt;"MES"),RIGHT(B4296,7),""),2)="PE"),LEFT(IF(AND(K4296&lt;&gt;"H",K4296&lt;&gt;"MES"),RIGHT(B4296,10),""),7),IF(AND(K4296&lt;&gt;"H",K4296&lt;&gt;"MES"),RIGHT(B4296,7),""))</f>
        <v>04/2022</v>
      </c>
      <c r="M4296" s="82"/>
      <c r="N4296" s="82"/>
    </row>
    <row r="4297" spans="1:14" x14ac:dyDescent="0.25">
      <c r="A4297" s="170" t="s">
        <v>7068</v>
      </c>
      <c r="B4297" s="170" t="s">
        <v>15905</v>
      </c>
      <c r="C4297" s="170" t="s">
        <v>205</v>
      </c>
      <c r="D4297" s="170" t="s">
        <v>1947</v>
      </c>
      <c r="E4297" s="171" t="s">
        <v>29112</v>
      </c>
      <c r="F4297" s="171" t="s">
        <v>19902</v>
      </c>
      <c r="G4297" s="82"/>
      <c r="H4297" s="96">
        <f t="shared" si="268"/>
        <v>40.18</v>
      </c>
      <c r="I4297" s="96">
        <f t="shared" si="268"/>
        <v>40.69</v>
      </c>
      <c r="J4297" s="91" t="str">
        <f t="shared" si="269"/>
        <v>Sinapi 93065</v>
      </c>
      <c r="K4297" s="91" t="str">
        <f t="shared" si="270"/>
        <v>UN</v>
      </c>
      <c r="L4297" s="166" t="str">
        <f t="shared" si="271"/>
        <v>04/2022</v>
      </c>
      <c r="M4297" s="82"/>
      <c r="N4297" s="82"/>
    </row>
    <row r="4298" spans="1:14" x14ac:dyDescent="0.25">
      <c r="A4298" s="170" t="s">
        <v>7069</v>
      </c>
      <c r="B4298" s="170" t="s">
        <v>15906</v>
      </c>
      <c r="C4298" s="170" t="s">
        <v>205</v>
      </c>
      <c r="D4298" s="170" t="s">
        <v>1947</v>
      </c>
      <c r="E4298" s="171" t="s">
        <v>33697</v>
      </c>
      <c r="F4298" s="171" t="s">
        <v>36879</v>
      </c>
      <c r="G4298" s="82"/>
      <c r="H4298" s="96">
        <f t="shared" si="268"/>
        <v>758.43</v>
      </c>
      <c r="I4298" s="96">
        <f t="shared" si="268"/>
        <v>758.98</v>
      </c>
      <c r="J4298" s="91" t="str">
        <f t="shared" si="269"/>
        <v>Sinapi 93066</v>
      </c>
      <c r="K4298" s="91" t="str">
        <f t="shared" si="270"/>
        <v>UN</v>
      </c>
      <c r="L4298" s="166" t="str">
        <f t="shared" si="271"/>
        <v>04/2022</v>
      </c>
      <c r="M4298" s="82"/>
      <c r="N4298" s="82"/>
    </row>
    <row r="4299" spans="1:14" x14ac:dyDescent="0.25">
      <c r="A4299" s="170" t="s">
        <v>7070</v>
      </c>
      <c r="B4299" s="170" t="s">
        <v>15907</v>
      </c>
      <c r="C4299" s="170" t="s">
        <v>205</v>
      </c>
      <c r="D4299" s="170" t="s">
        <v>1947</v>
      </c>
      <c r="E4299" s="171" t="s">
        <v>33698</v>
      </c>
      <c r="F4299" s="171" t="s">
        <v>29193</v>
      </c>
      <c r="G4299" s="82"/>
      <c r="H4299" s="96">
        <f t="shared" si="268"/>
        <v>66.67</v>
      </c>
      <c r="I4299" s="96">
        <f t="shared" si="268"/>
        <v>67.39</v>
      </c>
      <c r="J4299" s="91" t="str">
        <f t="shared" si="269"/>
        <v>Sinapi 93067</v>
      </c>
      <c r="K4299" s="91" t="str">
        <f t="shared" si="270"/>
        <v>UN</v>
      </c>
      <c r="L4299" s="166" t="str">
        <f t="shared" si="271"/>
        <v>04/2022</v>
      </c>
      <c r="M4299" s="82"/>
      <c r="N4299" s="82"/>
    </row>
    <row r="4300" spans="1:14" x14ac:dyDescent="0.25">
      <c r="A4300" s="170" t="s">
        <v>7071</v>
      </c>
      <c r="B4300" s="170" t="s">
        <v>15908</v>
      </c>
      <c r="C4300" s="170" t="s">
        <v>205</v>
      </c>
      <c r="D4300" s="170" t="s">
        <v>1947</v>
      </c>
      <c r="E4300" s="171" t="s">
        <v>23231</v>
      </c>
      <c r="F4300" s="171" t="s">
        <v>21290</v>
      </c>
      <c r="G4300" s="82"/>
      <c r="H4300" s="96">
        <f t="shared" si="268"/>
        <v>56.66</v>
      </c>
      <c r="I4300" s="96">
        <f t="shared" si="268"/>
        <v>57.3</v>
      </c>
      <c r="J4300" s="91" t="str">
        <f t="shared" si="269"/>
        <v>Sinapi 93068</v>
      </c>
      <c r="K4300" s="91" t="str">
        <f t="shared" si="270"/>
        <v>UN</v>
      </c>
      <c r="L4300" s="166" t="str">
        <f t="shared" si="271"/>
        <v>04/2022</v>
      </c>
      <c r="M4300" s="82"/>
      <c r="N4300" s="82"/>
    </row>
    <row r="4301" spans="1:14" x14ac:dyDescent="0.25">
      <c r="A4301" s="170" t="s">
        <v>7072</v>
      </c>
      <c r="B4301" s="170" t="s">
        <v>15909</v>
      </c>
      <c r="C4301" s="170" t="s">
        <v>205</v>
      </c>
      <c r="D4301" s="170" t="s">
        <v>1947</v>
      </c>
      <c r="E4301" s="171" t="s">
        <v>33699</v>
      </c>
      <c r="F4301" s="171" t="s">
        <v>36880</v>
      </c>
      <c r="G4301" s="82"/>
      <c r="H4301" s="96">
        <f t="shared" si="268"/>
        <v>1051.3499999999999</v>
      </c>
      <c r="I4301" s="96">
        <f t="shared" si="268"/>
        <v>1052.07</v>
      </c>
      <c r="J4301" s="91" t="str">
        <f t="shared" si="269"/>
        <v>Sinapi 93069</v>
      </c>
      <c r="K4301" s="91" t="str">
        <f t="shared" si="270"/>
        <v>UN</v>
      </c>
      <c r="L4301" s="166" t="str">
        <f t="shared" si="271"/>
        <v>04/2022</v>
      </c>
      <c r="M4301" s="82"/>
      <c r="N4301" s="82"/>
    </row>
    <row r="4302" spans="1:14" x14ac:dyDescent="0.25">
      <c r="A4302" s="170" t="s">
        <v>7073</v>
      </c>
      <c r="B4302" s="170" t="s">
        <v>15910</v>
      </c>
      <c r="C4302" s="170" t="s">
        <v>205</v>
      </c>
      <c r="D4302" s="170" t="s">
        <v>1947</v>
      </c>
      <c r="E4302" s="171" t="s">
        <v>33626</v>
      </c>
      <c r="F4302" s="171" t="s">
        <v>36815</v>
      </c>
      <c r="G4302" s="82"/>
      <c r="H4302" s="96">
        <f t="shared" si="268"/>
        <v>169.08</v>
      </c>
      <c r="I4302" s="96">
        <f t="shared" si="268"/>
        <v>169.95</v>
      </c>
      <c r="J4302" s="91" t="str">
        <f t="shared" si="269"/>
        <v>Sinapi 93070</v>
      </c>
      <c r="K4302" s="91" t="str">
        <f t="shared" si="270"/>
        <v>UN</v>
      </c>
      <c r="L4302" s="166" t="str">
        <f t="shared" si="271"/>
        <v>04/2022</v>
      </c>
      <c r="M4302" s="82"/>
      <c r="N4302" s="82"/>
    </row>
    <row r="4303" spans="1:14" x14ac:dyDescent="0.25">
      <c r="A4303" s="170" t="s">
        <v>7074</v>
      </c>
      <c r="B4303" s="170" t="s">
        <v>15911</v>
      </c>
      <c r="C4303" s="170" t="s">
        <v>205</v>
      </c>
      <c r="D4303" s="170" t="s">
        <v>1947</v>
      </c>
      <c r="E4303" s="171" t="s">
        <v>33700</v>
      </c>
      <c r="F4303" s="171" t="s">
        <v>22883</v>
      </c>
      <c r="G4303" s="82"/>
      <c r="H4303" s="96">
        <f t="shared" si="268"/>
        <v>155.44999999999999</v>
      </c>
      <c r="I4303" s="96">
        <f t="shared" si="268"/>
        <v>156.24</v>
      </c>
      <c r="J4303" s="91" t="str">
        <f t="shared" si="269"/>
        <v>Sinapi 93071</v>
      </c>
      <c r="K4303" s="91" t="str">
        <f t="shared" si="270"/>
        <v>UN</v>
      </c>
      <c r="L4303" s="166" t="str">
        <f t="shared" si="271"/>
        <v>04/2022</v>
      </c>
      <c r="M4303" s="82"/>
      <c r="N4303" s="82"/>
    </row>
    <row r="4304" spans="1:14" x14ac:dyDescent="0.25">
      <c r="A4304" s="170" t="s">
        <v>7075</v>
      </c>
      <c r="B4304" s="170" t="s">
        <v>15912</v>
      </c>
      <c r="C4304" s="170" t="s">
        <v>205</v>
      </c>
      <c r="D4304" s="170" t="s">
        <v>1947</v>
      </c>
      <c r="E4304" s="171" t="s">
        <v>33701</v>
      </c>
      <c r="F4304" s="171" t="s">
        <v>36881</v>
      </c>
      <c r="G4304" s="82"/>
      <c r="H4304" s="96">
        <f t="shared" si="268"/>
        <v>1387.55</v>
      </c>
      <c r="I4304" s="96">
        <f t="shared" si="268"/>
        <v>1388.42</v>
      </c>
      <c r="J4304" s="91" t="str">
        <f t="shared" si="269"/>
        <v>Sinapi 93072</v>
      </c>
      <c r="K4304" s="91" t="str">
        <f t="shared" si="270"/>
        <v>UN</v>
      </c>
      <c r="L4304" s="166" t="str">
        <f t="shared" si="271"/>
        <v>04/2022</v>
      </c>
      <c r="M4304" s="82"/>
      <c r="N4304" s="82"/>
    </row>
    <row r="4305" spans="1:14" x14ac:dyDescent="0.25">
      <c r="A4305" s="170" t="s">
        <v>7076</v>
      </c>
      <c r="B4305" s="170" t="s">
        <v>15913</v>
      </c>
      <c r="C4305" s="170" t="s">
        <v>205</v>
      </c>
      <c r="D4305" s="170" t="s">
        <v>1947</v>
      </c>
      <c r="E4305" s="171" t="s">
        <v>33702</v>
      </c>
      <c r="F4305" s="171" t="s">
        <v>11118</v>
      </c>
      <c r="G4305" s="82"/>
      <c r="H4305" s="96">
        <f t="shared" si="268"/>
        <v>11.74</v>
      </c>
      <c r="I4305" s="96">
        <f t="shared" si="268"/>
        <v>12.45</v>
      </c>
      <c r="J4305" s="91" t="str">
        <f t="shared" si="269"/>
        <v>Sinapi 93074</v>
      </c>
      <c r="K4305" s="91" t="str">
        <f t="shared" si="270"/>
        <v>UN</v>
      </c>
      <c r="L4305" s="166" t="str">
        <f t="shared" si="271"/>
        <v>04/2022</v>
      </c>
      <c r="M4305" s="82"/>
      <c r="N4305" s="82"/>
    </row>
    <row r="4306" spans="1:14" x14ac:dyDescent="0.25">
      <c r="A4306" s="170" t="s">
        <v>7077</v>
      </c>
      <c r="B4306" s="170" t="s">
        <v>15914</v>
      </c>
      <c r="C4306" s="170" t="s">
        <v>205</v>
      </c>
      <c r="D4306" s="170" t="s">
        <v>1947</v>
      </c>
      <c r="E4306" s="171" t="s">
        <v>23064</v>
      </c>
      <c r="F4306" s="171" t="s">
        <v>22110</v>
      </c>
      <c r="G4306" s="82"/>
      <c r="H4306" s="96">
        <f t="shared" si="268"/>
        <v>17.739999999999998</v>
      </c>
      <c r="I4306" s="96">
        <f t="shared" si="268"/>
        <v>18.260000000000002</v>
      </c>
      <c r="J4306" s="91" t="str">
        <f t="shared" si="269"/>
        <v>Sinapi 93075</v>
      </c>
      <c r="K4306" s="91" t="str">
        <f t="shared" si="270"/>
        <v>UN</v>
      </c>
      <c r="L4306" s="166" t="str">
        <f t="shared" si="271"/>
        <v>04/2022</v>
      </c>
      <c r="M4306" s="82"/>
      <c r="N4306" s="82"/>
    </row>
    <row r="4307" spans="1:14" x14ac:dyDescent="0.25">
      <c r="A4307" s="170" t="s">
        <v>7078</v>
      </c>
      <c r="B4307" s="170" t="s">
        <v>15915</v>
      </c>
      <c r="C4307" s="170" t="s">
        <v>205</v>
      </c>
      <c r="D4307" s="170" t="s">
        <v>1947</v>
      </c>
      <c r="E4307" s="171" t="s">
        <v>15775</v>
      </c>
      <c r="F4307" s="171" t="s">
        <v>29271</v>
      </c>
      <c r="G4307" s="82"/>
      <c r="H4307" s="96">
        <f t="shared" si="268"/>
        <v>19</v>
      </c>
      <c r="I4307" s="96">
        <f t="shared" si="268"/>
        <v>19.82</v>
      </c>
      <c r="J4307" s="91" t="str">
        <f t="shared" si="269"/>
        <v>Sinapi 93076</v>
      </c>
      <c r="K4307" s="91" t="str">
        <f t="shared" si="270"/>
        <v>UN</v>
      </c>
      <c r="L4307" s="166" t="str">
        <f t="shared" si="271"/>
        <v>04/2022</v>
      </c>
      <c r="M4307" s="82"/>
      <c r="N4307" s="82"/>
    </row>
    <row r="4308" spans="1:14" x14ac:dyDescent="0.25">
      <c r="A4308" s="170" t="s">
        <v>7079</v>
      </c>
      <c r="B4308" s="170" t="s">
        <v>15916</v>
      </c>
      <c r="C4308" s="170" t="s">
        <v>205</v>
      </c>
      <c r="D4308" s="170" t="s">
        <v>1947</v>
      </c>
      <c r="E4308" s="171" t="s">
        <v>23004</v>
      </c>
      <c r="F4308" s="171" t="s">
        <v>24353</v>
      </c>
      <c r="G4308" s="82"/>
      <c r="H4308" s="96">
        <f t="shared" si="268"/>
        <v>25.23</v>
      </c>
      <c r="I4308" s="96">
        <f t="shared" si="268"/>
        <v>25.8</v>
      </c>
      <c r="J4308" s="91" t="str">
        <f t="shared" si="269"/>
        <v>Sinapi 93077</v>
      </c>
      <c r="K4308" s="91" t="str">
        <f t="shared" si="270"/>
        <v>UN</v>
      </c>
      <c r="L4308" s="166" t="str">
        <f t="shared" si="271"/>
        <v>04/2022</v>
      </c>
      <c r="M4308" s="82"/>
      <c r="N4308" s="82"/>
    </row>
    <row r="4309" spans="1:14" x14ac:dyDescent="0.25">
      <c r="A4309" s="170" t="s">
        <v>7080</v>
      </c>
      <c r="B4309" s="170" t="s">
        <v>15917</v>
      </c>
      <c r="C4309" s="170" t="s">
        <v>205</v>
      </c>
      <c r="D4309" s="170" t="s">
        <v>1947</v>
      </c>
      <c r="E4309" s="171" t="s">
        <v>17394</v>
      </c>
      <c r="F4309" s="171" t="s">
        <v>28992</v>
      </c>
      <c r="G4309" s="82"/>
      <c r="H4309" s="96">
        <f t="shared" si="268"/>
        <v>28.39</v>
      </c>
      <c r="I4309" s="96">
        <f t="shared" si="268"/>
        <v>29.05</v>
      </c>
      <c r="J4309" s="91" t="str">
        <f t="shared" si="269"/>
        <v>Sinapi 93078</v>
      </c>
      <c r="K4309" s="91" t="str">
        <f t="shared" si="270"/>
        <v>UN</v>
      </c>
      <c r="L4309" s="166" t="str">
        <f t="shared" si="271"/>
        <v>04/2022</v>
      </c>
      <c r="M4309" s="82"/>
      <c r="N4309" s="82"/>
    </row>
    <row r="4310" spans="1:14" x14ac:dyDescent="0.25">
      <c r="A4310" s="170" t="s">
        <v>7081</v>
      </c>
      <c r="B4310" s="170" t="s">
        <v>15918</v>
      </c>
      <c r="C4310" s="170" t="s">
        <v>205</v>
      </c>
      <c r="D4310" s="170" t="s">
        <v>1947</v>
      </c>
      <c r="E4310" s="171" t="s">
        <v>33703</v>
      </c>
      <c r="F4310" s="171" t="s">
        <v>20643</v>
      </c>
      <c r="G4310" s="82"/>
      <c r="H4310" s="96">
        <f t="shared" si="268"/>
        <v>26.62</v>
      </c>
      <c r="I4310" s="96">
        <f t="shared" si="268"/>
        <v>27.52</v>
      </c>
      <c r="J4310" s="91" t="str">
        <f t="shared" si="269"/>
        <v>Sinapi 93079</v>
      </c>
      <c r="K4310" s="91" t="str">
        <f t="shared" si="270"/>
        <v>UN</v>
      </c>
      <c r="L4310" s="166" t="str">
        <f t="shared" si="271"/>
        <v>04/2022</v>
      </c>
      <c r="M4310" s="82"/>
      <c r="N4310" s="82"/>
    </row>
    <row r="4311" spans="1:14" x14ac:dyDescent="0.25">
      <c r="A4311" s="170" t="s">
        <v>7082</v>
      </c>
      <c r="B4311" s="170" t="s">
        <v>15919</v>
      </c>
      <c r="C4311" s="170" t="s">
        <v>205</v>
      </c>
      <c r="D4311" s="170" t="s">
        <v>1947</v>
      </c>
      <c r="E4311" s="171" t="s">
        <v>10410</v>
      </c>
      <c r="F4311" s="171" t="s">
        <v>16411</v>
      </c>
      <c r="G4311" s="82"/>
      <c r="H4311" s="96">
        <f t="shared" si="268"/>
        <v>7.64</v>
      </c>
      <c r="I4311" s="96">
        <f t="shared" si="268"/>
        <v>8.11</v>
      </c>
      <c r="J4311" s="91" t="str">
        <f t="shared" si="269"/>
        <v>Sinapi 93080</v>
      </c>
      <c r="K4311" s="91" t="str">
        <f t="shared" si="270"/>
        <v>UN</v>
      </c>
      <c r="L4311" s="166" t="str">
        <f t="shared" si="271"/>
        <v>04/2022</v>
      </c>
      <c r="M4311" s="82"/>
      <c r="N4311" s="82"/>
    </row>
    <row r="4312" spans="1:14" x14ac:dyDescent="0.25">
      <c r="A4312" s="170" t="s">
        <v>7083</v>
      </c>
      <c r="B4312" s="170" t="s">
        <v>15920</v>
      </c>
      <c r="C4312" s="170" t="s">
        <v>205</v>
      </c>
      <c r="D4312" s="170" t="s">
        <v>1947</v>
      </c>
      <c r="E4312" s="171" t="s">
        <v>18569</v>
      </c>
      <c r="F4312" s="171" t="s">
        <v>15118</v>
      </c>
      <c r="G4312" s="82"/>
      <c r="H4312" s="96">
        <f t="shared" si="268"/>
        <v>16.8</v>
      </c>
      <c r="I4312" s="96">
        <f t="shared" si="268"/>
        <v>17.21</v>
      </c>
      <c r="J4312" s="91" t="str">
        <f t="shared" si="269"/>
        <v>Sinapi 93081</v>
      </c>
      <c r="K4312" s="91" t="str">
        <f t="shared" si="270"/>
        <v>UN</v>
      </c>
      <c r="L4312" s="166" t="str">
        <f t="shared" si="271"/>
        <v>04/2022</v>
      </c>
      <c r="M4312" s="82"/>
      <c r="N4312" s="82"/>
    </row>
    <row r="4313" spans="1:14" x14ac:dyDescent="0.25">
      <c r="A4313" s="170" t="s">
        <v>7084</v>
      </c>
      <c r="B4313" s="170" t="s">
        <v>15921</v>
      </c>
      <c r="C4313" s="170" t="s">
        <v>205</v>
      </c>
      <c r="D4313" s="170" t="s">
        <v>1947</v>
      </c>
      <c r="E4313" s="171" t="s">
        <v>22851</v>
      </c>
      <c r="F4313" s="171" t="s">
        <v>23111</v>
      </c>
      <c r="G4313" s="82"/>
      <c r="H4313" s="96">
        <f t="shared" si="268"/>
        <v>21.78</v>
      </c>
      <c r="I4313" s="96">
        <f t="shared" si="268"/>
        <v>22.25</v>
      </c>
      <c r="J4313" s="91" t="str">
        <f t="shared" si="269"/>
        <v>Sinapi 93082</v>
      </c>
      <c r="K4313" s="91" t="str">
        <f t="shared" si="270"/>
        <v>UN</v>
      </c>
      <c r="L4313" s="166" t="str">
        <f t="shared" si="271"/>
        <v>04/2022</v>
      </c>
      <c r="M4313" s="82"/>
      <c r="N4313" s="82"/>
    </row>
    <row r="4314" spans="1:14" x14ac:dyDescent="0.25">
      <c r="A4314" s="170" t="s">
        <v>7085</v>
      </c>
      <c r="B4314" s="170" t="s">
        <v>15922</v>
      </c>
      <c r="C4314" s="170" t="s">
        <v>205</v>
      </c>
      <c r="D4314" s="170" t="s">
        <v>1947</v>
      </c>
      <c r="E4314" s="171" t="s">
        <v>33704</v>
      </c>
      <c r="F4314" s="171" t="s">
        <v>36882</v>
      </c>
      <c r="G4314" s="82"/>
      <c r="H4314" s="96">
        <f t="shared" si="268"/>
        <v>414.98</v>
      </c>
      <c r="I4314" s="96">
        <f t="shared" si="268"/>
        <v>415.45</v>
      </c>
      <c r="J4314" s="91" t="str">
        <f t="shared" si="269"/>
        <v>Sinapi 93083</v>
      </c>
      <c r="K4314" s="91" t="str">
        <f t="shared" si="270"/>
        <v>UN</v>
      </c>
      <c r="L4314" s="166" t="str">
        <f t="shared" si="271"/>
        <v>04/2022</v>
      </c>
      <c r="M4314" s="82"/>
      <c r="N4314" s="82"/>
    </row>
    <row r="4315" spans="1:14" x14ac:dyDescent="0.25">
      <c r="A4315" s="170" t="s">
        <v>7086</v>
      </c>
      <c r="B4315" s="170" t="s">
        <v>15923</v>
      </c>
      <c r="C4315" s="170" t="s">
        <v>205</v>
      </c>
      <c r="D4315" s="170" t="s">
        <v>1947</v>
      </c>
      <c r="E4315" s="171" t="s">
        <v>15629</v>
      </c>
      <c r="F4315" s="171" t="s">
        <v>17893</v>
      </c>
      <c r="G4315" s="82"/>
      <c r="H4315" s="96">
        <f t="shared" si="268"/>
        <v>12.48</v>
      </c>
      <c r="I4315" s="96">
        <f t="shared" si="268"/>
        <v>13.02</v>
      </c>
      <c r="J4315" s="91" t="str">
        <f t="shared" si="269"/>
        <v>Sinapi 93084</v>
      </c>
      <c r="K4315" s="91" t="str">
        <f t="shared" si="270"/>
        <v>UN</v>
      </c>
      <c r="L4315" s="166" t="str">
        <f t="shared" si="271"/>
        <v>04/2022</v>
      </c>
      <c r="M4315" s="82"/>
      <c r="N4315" s="82"/>
    </row>
    <row r="4316" spans="1:14" x14ac:dyDescent="0.25">
      <c r="A4316" s="170" t="s">
        <v>7087</v>
      </c>
      <c r="B4316" s="170" t="s">
        <v>15924</v>
      </c>
      <c r="C4316" s="170" t="s">
        <v>205</v>
      </c>
      <c r="D4316" s="170" t="s">
        <v>1947</v>
      </c>
      <c r="E4316" s="171" t="s">
        <v>6491</v>
      </c>
      <c r="F4316" s="171" t="s">
        <v>21193</v>
      </c>
      <c r="G4316" s="82"/>
      <c r="H4316" s="96">
        <f t="shared" si="268"/>
        <v>13.26</v>
      </c>
      <c r="I4316" s="96">
        <f t="shared" si="268"/>
        <v>14.01</v>
      </c>
      <c r="J4316" s="91" t="str">
        <f t="shared" si="269"/>
        <v>Sinapi 93085</v>
      </c>
      <c r="K4316" s="91" t="str">
        <f t="shared" si="270"/>
        <v>UN</v>
      </c>
      <c r="L4316" s="166" t="str">
        <f t="shared" si="271"/>
        <v>04/2022</v>
      </c>
      <c r="M4316" s="82"/>
      <c r="N4316" s="82"/>
    </row>
    <row r="4317" spans="1:14" x14ac:dyDescent="0.25">
      <c r="A4317" s="170" t="s">
        <v>7088</v>
      </c>
      <c r="B4317" s="170" t="s">
        <v>15925</v>
      </c>
      <c r="C4317" s="170" t="s">
        <v>205</v>
      </c>
      <c r="D4317" s="170" t="s">
        <v>1947</v>
      </c>
      <c r="E4317" s="171" t="s">
        <v>33705</v>
      </c>
      <c r="F4317" s="171" t="s">
        <v>36883</v>
      </c>
      <c r="G4317" s="82"/>
      <c r="H4317" s="96">
        <f t="shared" si="268"/>
        <v>481.77</v>
      </c>
      <c r="I4317" s="96">
        <f t="shared" si="268"/>
        <v>482.31</v>
      </c>
      <c r="J4317" s="91" t="str">
        <f t="shared" si="269"/>
        <v>Sinapi 93086</v>
      </c>
      <c r="K4317" s="91" t="str">
        <f t="shared" si="270"/>
        <v>UN</v>
      </c>
      <c r="L4317" s="166" t="str">
        <f t="shared" si="271"/>
        <v>04/2022</v>
      </c>
      <c r="M4317" s="82"/>
      <c r="N4317" s="82"/>
    </row>
    <row r="4318" spans="1:14" x14ac:dyDescent="0.25">
      <c r="A4318" s="170" t="s">
        <v>7089</v>
      </c>
      <c r="B4318" s="170" t="s">
        <v>15926</v>
      </c>
      <c r="C4318" s="170" t="s">
        <v>205</v>
      </c>
      <c r="D4318" s="170" t="s">
        <v>1947</v>
      </c>
      <c r="E4318" s="171" t="s">
        <v>33706</v>
      </c>
      <c r="F4318" s="171" t="s">
        <v>20635</v>
      </c>
      <c r="G4318" s="82"/>
      <c r="H4318" s="96">
        <f t="shared" si="268"/>
        <v>17.579999999999998</v>
      </c>
      <c r="I4318" s="96">
        <f t="shared" si="268"/>
        <v>18.03</v>
      </c>
      <c r="J4318" s="91" t="str">
        <f t="shared" si="269"/>
        <v>Sinapi 93087</v>
      </c>
      <c r="K4318" s="91" t="str">
        <f t="shared" si="270"/>
        <v>UN</v>
      </c>
      <c r="L4318" s="166" t="str">
        <f t="shared" si="271"/>
        <v>04/2022</v>
      </c>
      <c r="M4318" s="82"/>
      <c r="N4318" s="82"/>
    </row>
    <row r="4319" spans="1:14" x14ac:dyDescent="0.25">
      <c r="A4319" s="170" t="s">
        <v>7090</v>
      </c>
      <c r="B4319" s="170" t="s">
        <v>15927</v>
      </c>
      <c r="C4319" s="170" t="s">
        <v>205</v>
      </c>
      <c r="D4319" s="170" t="s">
        <v>1947</v>
      </c>
      <c r="E4319" s="171" t="s">
        <v>16387</v>
      </c>
      <c r="F4319" s="171" t="s">
        <v>14319</v>
      </c>
      <c r="G4319" s="82"/>
      <c r="H4319" s="96">
        <f t="shared" si="268"/>
        <v>21.8</v>
      </c>
      <c r="I4319" s="96">
        <f t="shared" si="268"/>
        <v>22.33</v>
      </c>
      <c r="J4319" s="91" t="str">
        <f t="shared" si="269"/>
        <v>Sinapi 93088</v>
      </c>
      <c r="K4319" s="91" t="str">
        <f t="shared" si="270"/>
        <v>UN</v>
      </c>
      <c r="L4319" s="166" t="str">
        <f t="shared" si="271"/>
        <v>04/2022</v>
      </c>
      <c r="M4319" s="82"/>
      <c r="N4319" s="82"/>
    </row>
    <row r="4320" spans="1:14" x14ac:dyDescent="0.25">
      <c r="A4320" s="170" t="s">
        <v>7091</v>
      </c>
      <c r="B4320" s="170" t="s">
        <v>15928</v>
      </c>
      <c r="C4320" s="170" t="s">
        <v>205</v>
      </c>
      <c r="D4320" s="170" t="s">
        <v>1947</v>
      </c>
      <c r="E4320" s="171" t="s">
        <v>21631</v>
      </c>
      <c r="F4320" s="171" t="s">
        <v>36884</v>
      </c>
      <c r="G4320" s="82"/>
      <c r="H4320" s="96">
        <f t="shared" si="268"/>
        <v>43.56</v>
      </c>
      <c r="I4320" s="96">
        <f t="shared" si="268"/>
        <v>44.1</v>
      </c>
      <c r="J4320" s="91" t="str">
        <f t="shared" si="269"/>
        <v>Sinapi 93089</v>
      </c>
      <c r="K4320" s="91" t="str">
        <f t="shared" si="270"/>
        <v>UN</v>
      </c>
      <c r="L4320" s="166" t="str">
        <f t="shared" si="271"/>
        <v>04/2022</v>
      </c>
      <c r="M4320" s="82"/>
      <c r="N4320" s="82"/>
    </row>
    <row r="4321" spans="1:14" x14ac:dyDescent="0.25">
      <c r="A4321" s="170" t="s">
        <v>7092</v>
      </c>
      <c r="B4321" s="170" t="s">
        <v>15929</v>
      </c>
      <c r="C4321" s="170" t="s">
        <v>205</v>
      </c>
      <c r="D4321" s="170" t="s">
        <v>1947</v>
      </c>
      <c r="E4321" s="171" t="s">
        <v>13844</v>
      </c>
      <c r="F4321" s="171" t="s">
        <v>17412</v>
      </c>
      <c r="G4321" s="82"/>
      <c r="H4321" s="96">
        <f t="shared" si="268"/>
        <v>17.38</v>
      </c>
      <c r="I4321" s="96">
        <f t="shared" si="268"/>
        <v>17.989999999999998</v>
      </c>
      <c r="J4321" s="91" t="str">
        <f t="shared" si="269"/>
        <v>Sinapi 93090</v>
      </c>
      <c r="K4321" s="91" t="str">
        <f t="shared" si="270"/>
        <v>UN</v>
      </c>
      <c r="L4321" s="166" t="str">
        <f t="shared" si="271"/>
        <v>04/2022</v>
      </c>
      <c r="M4321" s="82"/>
      <c r="N4321" s="82"/>
    </row>
    <row r="4322" spans="1:14" x14ac:dyDescent="0.25">
      <c r="A4322" s="170" t="s">
        <v>7093</v>
      </c>
      <c r="B4322" s="170" t="s">
        <v>15930</v>
      </c>
      <c r="C4322" s="170" t="s">
        <v>205</v>
      </c>
      <c r="D4322" s="170" t="s">
        <v>1947</v>
      </c>
      <c r="E4322" s="171" t="s">
        <v>19289</v>
      </c>
      <c r="F4322" s="171" t="s">
        <v>12302</v>
      </c>
      <c r="G4322" s="82"/>
      <c r="H4322" s="96">
        <f t="shared" si="268"/>
        <v>14.87</v>
      </c>
      <c r="I4322" s="96">
        <f t="shared" si="268"/>
        <v>15.44</v>
      </c>
      <c r="J4322" s="91" t="str">
        <f t="shared" si="269"/>
        <v>Sinapi 93091</v>
      </c>
      <c r="K4322" s="91" t="str">
        <f t="shared" si="270"/>
        <v>UN</v>
      </c>
      <c r="L4322" s="166" t="str">
        <f t="shared" si="271"/>
        <v>04/2022</v>
      </c>
      <c r="M4322" s="82"/>
      <c r="N4322" s="82"/>
    </row>
    <row r="4323" spans="1:14" x14ac:dyDescent="0.25">
      <c r="A4323" s="170" t="s">
        <v>7094</v>
      </c>
      <c r="B4323" s="170" t="s">
        <v>15931</v>
      </c>
      <c r="C4323" s="170" t="s">
        <v>205</v>
      </c>
      <c r="D4323" s="170" t="s">
        <v>1947</v>
      </c>
      <c r="E4323" s="171" t="s">
        <v>33707</v>
      </c>
      <c r="F4323" s="171" t="s">
        <v>36885</v>
      </c>
      <c r="G4323" s="82"/>
      <c r="H4323" s="96">
        <f t="shared" si="268"/>
        <v>529.54999999999995</v>
      </c>
      <c r="I4323" s="96">
        <f t="shared" si="268"/>
        <v>530.16</v>
      </c>
      <c r="J4323" s="91" t="str">
        <f t="shared" si="269"/>
        <v>Sinapi 93092</v>
      </c>
      <c r="K4323" s="91" t="str">
        <f t="shared" si="270"/>
        <v>UN</v>
      </c>
      <c r="L4323" s="166" t="str">
        <f t="shared" si="271"/>
        <v>04/2022</v>
      </c>
      <c r="M4323" s="82"/>
      <c r="N4323" s="82"/>
    </row>
    <row r="4324" spans="1:14" x14ac:dyDescent="0.25">
      <c r="A4324" s="170" t="s">
        <v>7095</v>
      </c>
      <c r="B4324" s="170" t="s">
        <v>15932</v>
      </c>
      <c r="C4324" s="170" t="s">
        <v>205</v>
      </c>
      <c r="D4324" s="170" t="s">
        <v>1947</v>
      </c>
      <c r="E4324" s="171" t="s">
        <v>27671</v>
      </c>
      <c r="F4324" s="171" t="s">
        <v>28902</v>
      </c>
      <c r="G4324" s="82"/>
      <c r="H4324" s="96">
        <f t="shared" si="268"/>
        <v>27.8</v>
      </c>
      <c r="I4324" s="96">
        <f t="shared" si="268"/>
        <v>28.27</v>
      </c>
      <c r="J4324" s="91" t="str">
        <f t="shared" si="269"/>
        <v>Sinapi 93093</v>
      </c>
      <c r="K4324" s="91" t="str">
        <f t="shared" si="270"/>
        <v>UN</v>
      </c>
      <c r="L4324" s="166" t="str">
        <f t="shared" si="271"/>
        <v>04/2022</v>
      </c>
      <c r="M4324" s="82"/>
      <c r="N4324" s="82"/>
    </row>
    <row r="4325" spans="1:14" x14ac:dyDescent="0.25">
      <c r="A4325" s="170" t="s">
        <v>7096</v>
      </c>
      <c r="B4325" s="170" t="s">
        <v>15933</v>
      </c>
      <c r="C4325" s="170" t="s">
        <v>205</v>
      </c>
      <c r="D4325" s="170" t="s">
        <v>1947</v>
      </c>
      <c r="E4325" s="171" t="s">
        <v>33708</v>
      </c>
      <c r="F4325" s="171" t="s">
        <v>36886</v>
      </c>
      <c r="G4325" s="82"/>
      <c r="H4325" s="96">
        <f t="shared" si="268"/>
        <v>74.52</v>
      </c>
      <c r="I4325" s="96">
        <f t="shared" si="268"/>
        <v>75.13</v>
      </c>
      <c r="J4325" s="91" t="str">
        <f t="shared" si="269"/>
        <v>Sinapi 93094</v>
      </c>
      <c r="K4325" s="91" t="str">
        <f t="shared" si="270"/>
        <v>UN</v>
      </c>
      <c r="L4325" s="166" t="str">
        <f t="shared" si="271"/>
        <v>04/2022</v>
      </c>
      <c r="M4325" s="82"/>
      <c r="N4325" s="82"/>
    </row>
    <row r="4326" spans="1:14" x14ac:dyDescent="0.25">
      <c r="A4326" s="170" t="s">
        <v>7097</v>
      </c>
      <c r="B4326" s="170" t="s">
        <v>15934</v>
      </c>
      <c r="C4326" s="170" t="s">
        <v>205</v>
      </c>
      <c r="D4326" s="170" t="s">
        <v>1947</v>
      </c>
      <c r="E4326" s="171" t="s">
        <v>8265</v>
      </c>
      <c r="F4326" s="171" t="s">
        <v>13654</v>
      </c>
      <c r="G4326" s="82"/>
      <c r="H4326" s="96">
        <f t="shared" si="268"/>
        <v>11.95</v>
      </c>
      <c r="I4326" s="96">
        <f t="shared" si="268"/>
        <v>12.69</v>
      </c>
      <c r="J4326" s="91" t="str">
        <f t="shared" si="269"/>
        <v>Sinapi 93097</v>
      </c>
      <c r="K4326" s="91" t="str">
        <f t="shared" si="270"/>
        <v>UN</v>
      </c>
      <c r="L4326" s="166" t="str">
        <f t="shared" si="271"/>
        <v>04/2022</v>
      </c>
      <c r="M4326" s="82"/>
      <c r="N4326" s="82"/>
    </row>
    <row r="4327" spans="1:14" x14ac:dyDescent="0.25">
      <c r="A4327" s="170" t="s">
        <v>7098</v>
      </c>
      <c r="B4327" s="170" t="s">
        <v>15935</v>
      </c>
      <c r="C4327" s="170" t="s">
        <v>205</v>
      </c>
      <c r="D4327" s="170" t="s">
        <v>1947</v>
      </c>
      <c r="E4327" s="171" t="s">
        <v>15536</v>
      </c>
      <c r="F4327" s="171" t="s">
        <v>17921</v>
      </c>
      <c r="G4327" s="82"/>
      <c r="H4327" s="96">
        <f t="shared" si="268"/>
        <v>17.84</v>
      </c>
      <c r="I4327" s="96">
        <f t="shared" si="268"/>
        <v>18.38</v>
      </c>
      <c r="J4327" s="91" t="str">
        <f t="shared" si="269"/>
        <v>Sinapi 93098</v>
      </c>
      <c r="K4327" s="91" t="str">
        <f t="shared" si="270"/>
        <v>UN</v>
      </c>
      <c r="L4327" s="166" t="str">
        <f t="shared" si="271"/>
        <v>04/2022</v>
      </c>
      <c r="M4327" s="82"/>
      <c r="N4327" s="82"/>
    </row>
    <row r="4328" spans="1:14" x14ac:dyDescent="0.25">
      <c r="A4328" s="170" t="s">
        <v>7099</v>
      </c>
      <c r="B4328" s="170" t="s">
        <v>15936</v>
      </c>
      <c r="C4328" s="170" t="s">
        <v>205</v>
      </c>
      <c r="D4328" s="170" t="s">
        <v>1947</v>
      </c>
      <c r="E4328" s="171" t="s">
        <v>22991</v>
      </c>
      <c r="F4328" s="171" t="s">
        <v>17891</v>
      </c>
      <c r="G4328" s="82"/>
      <c r="H4328" s="96">
        <f t="shared" si="268"/>
        <v>21.58</v>
      </c>
      <c r="I4328" s="96">
        <f t="shared" si="268"/>
        <v>22.67</v>
      </c>
      <c r="J4328" s="91" t="str">
        <f t="shared" si="269"/>
        <v>Sinapi 93099</v>
      </c>
      <c r="K4328" s="91" t="str">
        <f t="shared" si="270"/>
        <v>UN</v>
      </c>
      <c r="L4328" s="166" t="str">
        <f t="shared" si="271"/>
        <v>04/2022</v>
      </c>
      <c r="M4328" s="82"/>
      <c r="N4328" s="82"/>
    </row>
    <row r="4329" spans="1:14" x14ac:dyDescent="0.25">
      <c r="A4329" s="170" t="s">
        <v>7100</v>
      </c>
      <c r="B4329" s="170" t="s">
        <v>15937</v>
      </c>
      <c r="C4329" s="170" t="s">
        <v>205</v>
      </c>
      <c r="D4329" s="170" t="s">
        <v>1947</v>
      </c>
      <c r="E4329" s="171" t="s">
        <v>23256</v>
      </c>
      <c r="F4329" s="171" t="s">
        <v>17625</v>
      </c>
      <c r="G4329" s="82"/>
      <c r="H4329" s="96">
        <f t="shared" si="268"/>
        <v>26.51</v>
      </c>
      <c r="I4329" s="96">
        <f t="shared" si="268"/>
        <v>27.23</v>
      </c>
      <c r="J4329" s="91" t="str">
        <f t="shared" si="269"/>
        <v>Sinapi 93100</v>
      </c>
      <c r="K4329" s="91" t="str">
        <f t="shared" si="270"/>
        <v>UN</v>
      </c>
      <c r="L4329" s="166" t="str">
        <f t="shared" si="271"/>
        <v>04/2022</v>
      </c>
      <c r="M4329" s="82"/>
      <c r="N4329" s="82"/>
    </row>
    <row r="4330" spans="1:14" x14ac:dyDescent="0.25">
      <c r="A4330" s="170" t="s">
        <v>7101</v>
      </c>
      <c r="B4330" s="170" t="s">
        <v>15938</v>
      </c>
      <c r="C4330" s="170" t="s">
        <v>205</v>
      </c>
      <c r="D4330" s="170" t="s">
        <v>1947</v>
      </c>
      <c r="E4330" s="171" t="s">
        <v>33709</v>
      </c>
      <c r="F4330" s="171" t="s">
        <v>17623</v>
      </c>
      <c r="G4330" s="82"/>
      <c r="H4330" s="96">
        <f t="shared" si="268"/>
        <v>29.67</v>
      </c>
      <c r="I4330" s="96">
        <f t="shared" si="268"/>
        <v>30.48</v>
      </c>
      <c r="J4330" s="91" t="str">
        <f t="shared" si="269"/>
        <v>Sinapi 93101</v>
      </c>
      <c r="K4330" s="91" t="str">
        <f t="shared" si="270"/>
        <v>UN</v>
      </c>
      <c r="L4330" s="166" t="str">
        <f t="shared" si="271"/>
        <v>04/2022</v>
      </c>
      <c r="M4330" s="82"/>
      <c r="N4330" s="82"/>
    </row>
    <row r="4331" spans="1:14" x14ac:dyDescent="0.25">
      <c r="A4331" s="170" t="s">
        <v>7102</v>
      </c>
      <c r="B4331" s="170" t="s">
        <v>15939</v>
      </c>
      <c r="C4331" s="170" t="s">
        <v>205</v>
      </c>
      <c r="D4331" s="170" t="s">
        <v>1947</v>
      </c>
      <c r="E4331" s="171" t="s">
        <v>33710</v>
      </c>
      <c r="F4331" s="171" t="s">
        <v>28483</v>
      </c>
      <c r="G4331" s="82"/>
      <c r="H4331" s="96">
        <f t="shared" si="268"/>
        <v>31.22</v>
      </c>
      <c r="I4331" s="96">
        <f t="shared" si="268"/>
        <v>32.64</v>
      </c>
      <c r="J4331" s="91" t="str">
        <f t="shared" si="269"/>
        <v>Sinapi 93102</v>
      </c>
      <c r="K4331" s="91" t="str">
        <f t="shared" si="270"/>
        <v>UN</v>
      </c>
      <c r="L4331" s="166" t="str">
        <f t="shared" si="271"/>
        <v>04/2022</v>
      </c>
      <c r="M4331" s="82"/>
      <c r="N4331" s="82"/>
    </row>
    <row r="4332" spans="1:14" x14ac:dyDescent="0.25">
      <c r="A4332" s="170" t="s">
        <v>7103</v>
      </c>
      <c r="B4332" s="170" t="s">
        <v>15940</v>
      </c>
      <c r="C4332" s="170" t="s">
        <v>205</v>
      </c>
      <c r="D4332" s="170" t="s">
        <v>1947</v>
      </c>
      <c r="E4332" s="171" t="s">
        <v>14628</v>
      </c>
      <c r="F4332" s="171" t="s">
        <v>27954</v>
      </c>
      <c r="G4332" s="82"/>
      <c r="H4332" s="96">
        <f t="shared" si="268"/>
        <v>7.78</v>
      </c>
      <c r="I4332" s="96">
        <f t="shared" si="268"/>
        <v>8.27</v>
      </c>
      <c r="J4332" s="91" t="str">
        <f t="shared" si="269"/>
        <v>Sinapi 93103</v>
      </c>
      <c r="K4332" s="91" t="str">
        <f t="shared" si="270"/>
        <v>UN</v>
      </c>
      <c r="L4332" s="166" t="str">
        <f t="shared" si="271"/>
        <v>04/2022</v>
      </c>
      <c r="M4332" s="82"/>
      <c r="N4332" s="82"/>
    </row>
    <row r="4333" spans="1:14" x14ac:dyDescent="0.25">
      <c r="A4333" s="170" t="s">
        <v>7104</v>
      </c>
      <c r="B4333" s="170" t="s">
        <v>15941</v>
      </c>
      <c r="C4333" s="170" t="s">
        <v>205</v>
      </c>
      <c r="D4333" s="170" t="s">
        <v>1947</v>
      </c>
      <c r="E4333" s="171" t="s">
        <v>15715</v>
      </c>
      <c r="F4333" s="171" t="s">
        <v>20029</v>
      </c>
      <c r="G4333" s="82"/>
      <c r="H4333" s="96">
        <f t="shared" si="268"/>
        <v>16.87</v>
      </c>
      <c r="I4333" s="96">
        <f t="shared" si="268"/>
        <v>17.28</v>
      </c>
      <c r="J4333" s="91" t="str">
        <f t="shared" si="269"/>
        <v>Sinapi 93104</v>
      </c>
      <c r="K4333" s="91" t="str">
        <f t="shared" si="270"/>
        <v>UN</v>
      </c>
      <c r="L4333" s="166" t="str">
        <f t="shared" si="271"/>
        <v>04/2022</v>
      </c>
      <c r="M4333" s="82"/>
      <c r="N4333" s="82"/>
    </row>
    <row r="4334" spans="1:14" x14ac:dyDescent="0.25">
      <c r="A4334" s="170" t="s">
        <v>7105</v>
      </c>
      <c r="B4334" s="170" t="s">
        <v>15942</v>
      </c>
      <c r="C4334" s="170" t="s">
        <v>205</v>
      </c>
      <c r="D4334" s="170" t="s">
        <v>1947</v>
      </c>
      <c r="E4334" s="171" t="s">
        <v>31175</v>
      </c>
      <c r="F4334" s="171" t="s">
        <v>15639</v>
      </c>
      <c r="G4334" s="82"/>
      <c r="H4334" s="96">
        <f t="shared" si="268"/>
        <v>21.92</v>
      </c>
      <c r="I4334" s="96">
        <f t="shared" si="268"/>
        <v>22.41</v>
      </c>
      <c r="J4334" s="91" t="str">
        <f t="shared" si="269"/>
        <v>Sinapi 93105</v>
      </c>
      <c r="K4334" s="91" t="str">
        <f t="shared" si="270"/>
        <v>UN</v>
      </c>
      <c r="L4334" s="166" t="str">
        <f t="shared" si="271"/>
        <v>04/2022</v>
      </c>
      <c r="M4334" s="82"/>
      <c r="N4334" s="82"/>
    </row>
    <row r="4335" spans="1:14" x14ac:dyDescent="0.25">
      <c r="A4335" s="170" t="s">
        <v>7106</v>
      </c>
      <c r="B4335" s="170" t="s">
        <v>15943</v>
      </c>
      <c r="C4335" s="170" t="s">
        <v>205</v>
      </c>
      <c r="D4335" s="170" t="s">
        <v>1947</v>
      </c>
      <c r="E4335" s="171" t="s">
        <v>31570</v>
      </c>
      <c r="F4335" s="171" t="s">
        <v>36887</v>
      </c>
      <c r="G4335" s="82"/>
      <c r="H4335" s="96">
        <f t="shared" si="268"/>
        <v>415.12</v>
      </c>
      <c r="I4335" s="96">
        <f t="shared" si="268"/>
        <v>415.61</v>
      </c>
      <c r="J4335" s="91" t="str">
        <f t="shared" si="269"/>
        <v>Sinapi 93106</v>
      </c>
      <c r="K4335" s="91" t="str">
        <f t="shared" si="270"/>
        <v>UN</v>
      </c>
      <c r="L4335" s="166" t="str">
        <f t="shared" si="271"/>
        <v>04/2022</v>
      </c>
      <c r="M4335" s="82"/>
      <c r="N4335" s="82"/>
    </row>
    <row r="4336" spans="1:14" x14ac:dyDescent="0.25">
      <c r="A4336" s="170" t="s">
        <v>7107</v>
      </c>
      <c r="B4336" s="170" t="s">
        <v>15944</v>
      </c>
      <c r="C4336" s="170" t="s">
        <v>205</v>
      </c>
      <c r="D4336" s="170" t="s">
        <v>1947</v>
      </c>
      <c r="E4336" s="171" t="s">
        <v>11545</v>
      </c>
      <c r="F4336" s="171" t="s">
        <v>27607</v>
      </c>
      <c r="G4336" s="82"/>
      <c r="H4336" s="96">
        <f t="shared" si="268"/>
        <v>14.21</v>
      </c>
      <c r="I4336" s="96">
        <f t="shared" si="268"/>
        <v>14.94</v>
      </c>
      <c r="J4336" s="91" t="str">
        <f t="shared" si="269"/>
        <v>Sinapi 93107</v>
      </c>
      <c r="K4336" s="91" t="str">
        <f t="shared" si="270"/>
        <v>UN</v>
      </c>
      <c r="L4336" s="166" t="str">
        <f t="shared" si="271"/>
        <v>04/2022</v>
      </c>
      <c r="M4336" s="82"/>
      <c r="N4336" s="82"/>
    </row>
    <row r="4337" spans="1:14" x14ac:dyDescent="0.25">
      <c r="A4337" s="170" t="s">
        <v>7108</v>
      </c>
      <c r="B4337" s="170" t="s">
        <v>15945</v>
      </c>
      <c r="C4337" s="170" t="s">
        <v>205</v>
      </c>
      <c r="D4337" s="170" t="s">
        <v>1947</v>
      </c>
      <c r="E4337" s="171" t="s">
        <v>8316</v>
      </c>
      <c r="F4337" s="171" t="s">
        <v>17362</v>
      </c>
      <c r="G4337" s="82"/>
      <c r="H4337" s="96">
        <f t="shared" si="268"/>
        <v>11.98</v>
      </c>
      <c r="I4337" s="96">
        <f t="shared" si="268"/>
        <v>12.58</v>
      </c>
      <c r="J4337" s="91" t="str">
        <f t="shared" si="269"/>
        <v>Sinapi 93108</v>
      </c>
      <c r="K4337" s="91" t="str">
        <f t="shared" si="270"/>
        <v>UN</v>
      </c>
      <c r="L4337" s="166" t="str">
        <f t="shared" si="271"/>
        <v>04/2022</v>
      </c>
      <c r="M4337" s="82"/>
      <c r="N4337" s="82"/>
    </row>
    <row r="4338" spans="1:14" x14ac:dyDescent="0.25">
      <c r="A4338" s="170" t="s">
        <v>7109</v>
      </c>
      <c r="B4338" s="170" t="s">
        <v>15946</v>
      </c>
      <c r="C4338" s="170" t="s">
        <v>205</v>
      </c>
      <c r="D4338" s="170" t="s">
        <v>1947</v>
      </c>
      <c r="E4338" s="171" t="s">
        <v>33711</v>
      </c>
      <c r="F4338" s="171" t="s">
        <v>36888</v>
      </c>
      <c r="G4338" s="82"/>
      <c r="H4338" s="96">
        <f t="shared" si="268"/>
        <v>483.5</v>
      </c>
      <c r="I4338" s="96">
        <f t="shared" si="268"/>
        <v>484.23</v>
      </c>
      <c r="J4338" s="91" t="str">
        <f t="shared" si="269"/>
        <v>Sinapi 93109</v>
      </c>
      <c r="K4338" s="91" t="str">
        <f t="shared" si="270"/>
        <v>UN</v>
      </c>
      <c r="L4338" s="166" t="str">
        <f t="shared" si="271"/>
        <v>04/2022</v>
      </c>
      <c r="M4338" s="82"/>
      <c r="N4338" s="82"/>
    </row>
    <row r="4339" spans="1:14" x14ac:dyDescent="0.25">
      <c r="A4339" s="170" t="s">
        <v>7110</v>
      </c>
      <c r="B4339" s="170" t="s">
        <v>15947</v>
      </c>
      <c r="C4339" s="170" t="s">
        <v>205</v>
      </c>
      <c r="D4339" s="170" t="s">
        <v>1947</v>
      </c>
      <c r="E4339" s="171" t="s">
        <v>15687</v>
      </c>
      <c r="F4339" s="171" t="s">
        <v>18688</v>
      </c>
      <c r="G4339" s="82"/>
      <c r="H4339" s="96">
        <f t="shared" si="268"/>
        <v>18.440000000000001</v>
      </c>
      <c r="I4339" s="96">
        <f t="shared" si="268"/>
        <v>18.98</v>
      </c>
      <c r="J4339" s="91" t="str">
        <f t="shared" si="269"/>
        <v>Sinapi 93110</v>
      </c>
      <c r="K4339" s="91" t="str">
        <f t="shared" si="270"/>
        <v>UN</v>
      </c>
      <c r="L4339" s="166" t="str">
        <f t="shared" si="271"/>
        <v>04/2022</v>
      </c>
      <c r="M4339" s="82"/>
      <c r="N4339" s="82"/>
    </row>
    <row r="4340" spans="1:14" x14ac:dyDescent="0.25">
      <c r="A4340" s="170" t="s">
        <v>7111</v>
      </c>
      <c r="B4340" s="170" t="s">
        <v>15948</v>
      </c>
      <c r="C4340" s="170" t="s">
        <v>205</v>
      </c>
      <c r="D4340" s="170" t="s">
        <v>1947</v>
      </c>
      <c r="E4340" s="171" t="s">
        <v>17885</v>
      </c>
      <c r="F4340" s="171" t="s">
        <v>21057</v>
      </c>
      <c r="G4340" s="82"/>
      <c r="H4340" s="96">
        <f t="shared" si="268"/>
        <v>22.37</v>
      </c>
      <c r="I4340" s="96">
        <f t="shared" si="268"/>
        <v>23.01</v>
      </c>
      <c r="J4340" s="91" t="str">
        <f t="shared" si="269"/>
        <v>Sinapi 93111</v>
      </c>
      <c r="K4340" s="91" t="str">
        <f t="shared" si="270"/>
        <v>UN</v>
      </c>
      <c r="L4340" s="166" t="str">
        <f t="shared" si="271"/>
        <v>04/2022</v>
      </c>
      <c r="M4340" s="82"/>
      <c r="N4340" s="82"/>
    </row>
    <row r="4341" spans="1:14" x14ac:dyDescent="0.25">
      <c r="A4341" s="170" t="s">
        <v>7112</v>
      </c>
      <c r="B4341" s="170" t="s">
        <v>15949</v>
      </c>
      <c r="C4341" s="170" t="s">
        <v>205</v>
      </c>
      <c r="D4341" s="170" t="s">
        <v>1947</v>
      </c>
      <c r="E4341" s="171" t="s">
        <v>24849</v>
      </c>
      <c r="F4341" s="171" t="s">
        <v>28886</v>
      </c>
      <c r="G4341" s="82"/>
      <c r="H4341" s="96">
        <f t="shared" si="268"/>
        <v>45.29</v>
      </c>
      <c r="I4341" s="96">
        <f t="shared" si="268"/>
        <v>46.02</v>
      </c>
      <c r="J4341" s="91" t="str">
        <f t="shared" si="269"/>
        <v>Sinapi 93112</v>
      </c>
      <c r="K4341" s="91" t="str">
        <f t="shared" si="270"/>
        <v>UN</v>
      </c>
      <c r="L4341" s="166" t="str">
        <f t="shared" si="271"/>
        <v>04/2022</v>
      </c>
      <c r="M4341" s="82"/>
      <c r="N4341" s="82"/>
    </row>
    <row r="4342" spans="1:14" x14ac:dyDescent="0.25">
      <c r="A4342" s="170" t="s">
        <v>7113</v>
      </c>
      <c r="B4342" s="170" t="s">
        <v>15950</v>
      </c>
      <c r="C4342" s="170" t="s">
        <v>205</v>
      </c>
      <c r="D4342" s="170" t="s">
        <v>1947</v>
      </c>
      <c r="E4342" s="171" t="s">
        <v>22712</v>
      </c>
      <c r="F4342" s="171" t="s">
        <v>20214</v>
      </c>
      <c r="G4342" s="82"/>
      <c r="H4342" s="96">
        <f t="shared" si="268"/>
        <v>20.48</v>
      </c>
      <c r="I4342" s="96">
        <f t="shared" si="268"/>
        <v>21.43</v>
      </c>
      <c r="J4342" s="91" t="str">
        <f t="shared" si="269"/>
        <v>Sinapi 93113</v>
      </c>
      <c r="K4342" s="91" t="str">
        <f t="shared" si="270"/>
        <v>UN</v>
      </c>
      <c r="L4342" s="166" t="str">
        <f t="shared" si="271"/>
        <v>04/2022</v>
      </c>
      <c r="M4342" s="82"/>
      <c r="N4342" s="82"/>
    </row>
    <row r="4343" spans="1:14" x14ac:dyDescent="0.25">
      <c r="A4343" s="170" t="s">
        <v>7114</v>
      </c>
      <c r="B4343" s="170" t="s">
        <v>15951</v>
      </c>
      <c r="C4343" s="170" t="s">
        <v>205</v>
      </c>
      <c r="D4343" s="170" t="s">
        <v>1947</v>
      </c>
      <c r="E4343" s="171" t="s">
        <v>28850</v>
      </c>
      <c r="F4343" s="171" t="s">
        <v>36889</v>
      </c>
      <c r="G4343" s="82"/>
      <c r="H4343" s="96">
        <f t="shared" si="268"/>
        <v>29.34</v>
      </c>
      <c r="I4343" s="96">
        <f t="shared" si="268"/>
        <v>29.98</v>
      </c>
      <c r="J4343" s="91" t="str">
        <f t="shared" si="269"/>
        <v>Sinapi 93114</v>
      </c>
      <c r="K4343" s="91" t="str">
        <f t="shared" si="270"/>
        <v>UN</v>
      </c>
      <c r="L4343" s="166" t="str">
        <f t="shared" si="271"/>
        <v>04/2022</v>
      </c>
      <c r="M4343" s="82"/>
      <c r="N4343" s="82"/>
    </row>
    <row r="4344" spans="1:14" x14ac:dyDescent="0.25">
      <c r="A4344" s="170" t="s">
        <v>7115</v>
      </c>
      <c r="B4344" s="170" t="s">
        <v>15952</v>
      </c>
      <c r="C4344" s="170" t="s">
        <v>205</v>
      </c>
      <c r="D4344" s="170" t="s">
        <v>1947</v>
      </c>
      <c r="E4344" s="171" t="s">
        <v>31340</v>
      </c>
      <c r="F4344" s="171" t="s">
        <v>29055</v>
      </c>
      <c r="G4344" s="82"/>
      <c r="H4344" s="96">
        <f t="shared" si="268"/>
        <v>77.62</v>
      </c>
      <c r="I4344" s="96">
        <f t="shared" si="268"/>
        <v>78.569999999999993</v>
      </c>
      <c r="J4344" s="91" t="str">
        <f t="shared" si="269"/>
        <v>Sinapi 93115</v>
      </c>
      <c r="K4344" s="91" t="str">
        <f t="shared" si="270"/>
        <v>UN</v>
      </c>
      <c r="L4344" s="166" t="str">
        <f t="shared" si="271"/>
        <v>04/2022</v>
      </c>
      <c r="M4344" s="82"/>
      <c r="N4344" s="82"/>
    </row>
    <row r="4345" spans="1:14" x14ac:dyDescent="0.25">
      <c r="A4345" s="170" t="s">
        <v>7116</v>
      </c>
      <c r="B4345" s="170" t="s">
        <v>15953</v>
      </c>
      <c r="C4345" s="170" t="s">
        <v>205</v>
      </c>
      <c r="D4345" s="170" t="s">
        <v>1947</v>
      </c>
      <c r="E4345" s="171" t="s">
        <v>33712</v>
      </c>
      <c r="F4345" s="171" t="s">
        <v>36890</v>
      </c>
      <c r="G4345" s="82"/>
      <c r="H4345" s="96">
        <f t="shared" si="268"/>
        <v>532.65</v>
      </c>
      <c r="I4345" s="96">
        <f t="shared" si="268"/>
        <v>533.6</v>
      </c>
      <c r="J4345" s="91" t="str">
        <f t="shared" si="269"/>
        <v>Sinapi 93116</v>
      </c>
      <c r="K4345" s="91" t="str">
        <f t="shared" si="270"/>
        <v>UN</v>
      </c>
      <c r="L4345" s="166" t="str">
        <f t="shared" si="271"/>
        <v>04/2022</v>
      </c>
      <c r="M4345" s="82"/>
      <c r="N4345" s="82"/>
    </row>
    <row r="4346" spans="1:14" x14ac:dyDescent="0.25">
      <c r="A4346" s="170" t="s">
        <v>7117</v>
      </c>
      <c r="B4346" s="170" t="s">
        <v>15954</v>
      </c>
      <c r="C4346" s="170" t="s">
        <v>205</v>
      </c>
      <c r="D4346" s="170" t="s">
        <v>1947</v>
      </c>
      <c r="E4346" s="171" t="s">
        <v>33238</v>
      </c>
      <c r="F4346" s="171" t="s">
        <v>36891</v>
      </c>
      <c r="G4346" s="82"/>
      <c r="H4346" s="96">
        <f t="shared" si="268"/>
        <v>53.05</v>
      </c>
      <c r="I4346" s="96">
        <f t="shared" si="268"/>
        <v>53.71</v>
      </c>
      <c r="J4346" s="91" t="str">
        <f t="shared" si="269"/>
        <v>Sinapi 93117</v>
      </c>
      <c r="K4346" s="91" t="str">
        <f t="shared" si="270"/>
        <v>UN</v>
      </c>
      <c r="L4346" s="166" t="str">
        <f t="shared" si="271"/>
        <v>04/2022</v>
      </c>
      <c r="M4346" s="82"/>
      <c r="N4346" s="82"/>
    </row>
    <row r="4347" spans="1:14" x14ac:dyDescent="0.25">
      <c r="A4347" s="170" t="s">
        <v>7118</v>
      </c>
      <c r="B4347" s="170" t="s">
        <v>15955</v>
      </c>
      <c r="C4347" s="170" t="s">
        <v>205</v>
      </c>
      <c r="D4347" s="170" t="s">
        <v>1947</v>
      </c>
      <c r="E4347" s="171" t="s">
        <v>32107</v>
      </c>
      <c r="F4347" s="171" t="s">
        <v>36892</v>
      </c>
      <c r="G4347" s="82"/>
      <c r="H4347" s="96">
        <f t="shared" si="268"/>
        <v>78.16</v>
      </c>
      <c r="I4347" s="96">
        <f t="shared" si="268"/>
        <v>79.17</v>
      </c>
      <c r="J4347" s="91" t="str">
        <f t="shared" si="269"/>
        <v>Sinapi 93118</v>
      </c>
      <c r="K4347" s="91" t="str">
        <f t="shared" si="270"/>
        <v>UN</v>
      </c>
      <c r="L4347" s="166" t="str">
        <f t="shared" si="271"/>
        <v>04/2022</v>
      </c>
      <c r="M4347" s="82"/>
      <c r="N4347" s="82"/>
    </row>
    <row r="4348" spans="1:14" x14ac:dyDescent="0.25">
      <c r="A4348" s="170" t="s">
        <v>7119</v>
      </c>
      <c r="B4348" s="170" t="s">
        <v>15956</v>
      </c>
      <c r="C4348" s="170" t="s">
        <v>205</v>
      </c>
      <c r="D4348" s="170" t="s">
        <v>1947</v>
      </c>
      <c r="E4348" s="171" t="s">
        <v>21488</v>
      </c>
      <c r="F4348" s="171" t="s">
        <v>6169</v>
      </c>
      <c r="G4348" s="82"/>
      <c r="H4348" s="96">
        <f t="shared" si="268"/>
        <v>15.53</v>
      </c>
      <c r="I4348" s="96">
        <f t="shared" si="268"/>
        <v>15.95</v>
      </c>
      <c r="J4348" s="91" t="str">
        <f t="shared" si="269"/>
        <v>Sinapi 93119</v>
      </c>
      <c r="K4348" s="91" t="str">
        <f t="shared" si="270"/>
        <v>UN</v>
      </c>
      <c r="L4348" s="166" t="str">
        <f t="shared" si="271"/>
        <v>04/2022</v>
      </c>
      <c r="M4348" s="82"/>
      <c r="N4348" s="82"/>
    </row>
    <row r="4349" spans="1:14" x14ac:dyDescent="0.25">
      <c r="A4349" s="170" t="s">
        <v>7120</v>
      </c>
      <c r="B4349" s="170" t="s">
        <v>15957</v>
      </c>
      <c r="C4349" s="170" t="s">
        <v>205</v>
      </c>
      <c r="D4349" s="170" t="s">
        <v>1947</v>
      </c>
      <c r="E4349" s="171" t="s">
        <v>16201</v>
      </c>
      <c r="F4349" s="171" t="s">
        <v>21521</v>
      </c>
      <c r="G4349" s="82"/>
      <c r="H4349" s="96">
        <f t="shared" si="268"/>
        <v>23.49</v>
      </c>
      <c r="I4349" s="96">
        <f t="shared" si="268"/>
        <v>23.87</v>
      </c>
      <c r="J4349" s="91" t="str">
        <f t="shared" si="269"/>
        <v>Sinapi 93120</v>
      </c>
      <c r="K4349" s="91" t="str">
        <f t="shared" si="270"/>
        <v>UN</v>
      </c>
      <c r="L4349" s="166" t="str">
        <f t="shared" si="271"/>
        <v>04/2022</v>
      </c>
      <c r="M4349" s="82"/>
      <c r="N4349" s="82"/>
    </row>
    <row r="4350" spans="1:14" x14ac:dyDescent="0.25">
      <c r="A4350" s="170" t="s">
        <v>7121</v>
      </c>
      <c r="B4350" s="170" t="s">
        <v>15958</v>
      </c>
      <c r="C4350" s="170" t="s">
        <v>205</v>
      </c>
      <c r="D4350" s="170" t="s">
        <v>1947</v>
      </c>
      <c r="E4350" s="171" t="s">
        <v>19308</v>
      </c>
      <c r="F4350" s="171" t="s">
        <v>21342</v>
      </c>
      <c r="G4350" s="82"/>
      <c r="H4350" s="96">
        <f t="shared" si="268"/>
        <v>26.65</v>
      </c>
      <c r="I4350" s="96">
        <f t="shared" si="268"/>
        <v>27.12</v>
      </c>
      <c r="J4350" s="91" t="str">
        <f t="shared" si="269"/>
        <v>Sinapi 93121</v>
      </c>
      <c r="K4350" s="91" t="str">
        <f t="shared" si="270"/>
        <v>UN</v>
      </c>
      <c r="L4350" s="166" t="str">
        <f t="shared" si="271"/>
        <v>04/2022</v>
      </c>
      <c r="M4350" s="82"/>
      <c r="N4350" s="82"/>
    </row>
    <row r="4351" spans="1:14" x14ac:dyDescent="0.25">
      <c r="A4351" s="170" t="s">
        <v>7122</v>
      </c>
      <c r="B4351" s="170" t="s">
        <v>15959</v>
      </c>
      <c r="C4351" s="170" t="s">
        <v>205</v>
      </c>
      <c r="D4351" s="170" t="s">
        <v>1947</v>
      </c>
      <c r="E4351" s="171" t="s">
        <v>31525</v>
      </c>
      <c r="F4351" s="171" t="s">
        <v>27427</v>
      </c>
      <c r="G4351" s="82"/>
      <c r="H4351" s="96">
        <f t="shared" si="268"/>
        <v>23.4</v>
      </c>
      <c r="I4351" s="96">
        <f t="shared" si="268"/>
        <v>23.95</v>
      </c>
      <c r="J4351" s="91" t="str">
        <f t="shared" si="269"/>
        <v>Sinapi 93122</v>
      </c>
      <c r="K4351" s="91" t="str">
        <f t="shared" si="270"/>
        <v>UN</v>
      </c>
      <c r="L4351" s="166" t="str">
        <f t="shared" si="271"/>
        <v>04/2022</v>
      </c>
      <c r="M4351" s="82"/>
      <c r="N4351" s="82"/>
    </row>
    <row r="4352" spans="1:14" x14ac:dyDescent="0.25">
      <c r="A4352" s="170" t="s">
        <v>7123</v>
      </c>
      <c r="B4352" s="170" t="s">
        <v>15960</v>
      </c>
      <c r="C4352" s="170" t="s">
        <v>205</v>
      </c>
      <c r="D4352" s="170" t="s">
        <v>1947</v>
      </c>
      <c r="E4352" s="171" t="s">
        <v>29167</v>
      </c>
      <c r="F4352" s="171" t="s">
        <v>36893</v>
      </c>
      <c r="G4352" s="82"/>
      <c r="H4352" s="96">
        <f t="shared" si="268"/>
        <v>52.68</v>
      </c>
      <c r="I4352" s="96">
        <f t="shared" si="268"/>
        <v>53.36</v>
      </c>
      <c r="J4352" s="91" t="str">
        <f t="shared" si="269"/>
        <v>Sinapi 93123</v>
      </c>
      <c r="K4352" s="91" t="str">
        <f t="shared" si="270"/>
        <v>UN</v>
      </c>
      <c r="L4352" s="166" t="str">
        <f t="shared" si="271"/>
        <v>04/2022</v>
      </c>
      <c r="M4352" s="82"/>
      <c r="N4352" s="82"/>
    </row>
    <row r="4353" spans="1:14" x14ac:dyDescent="0.25">
      <c r="A4353" s="170" t="s">
        <v>7124</v>
      </c>
      <c r="B4353" s="170" t="s">
        <v>15961</v>
      </c>
      <c r="C4353" s="170" t="s">
        <v>205</v>
      </c>
      <c r="D4353" s="170" t="s">
        <v>1947</v>
      </c>
      <c r="E4353" s="171" t="s">
        <v>33713</v>
      </c>
      <c r="F4353" s="171" t="s">
        <v>36894</v>
      </c>
      <c r="G4353" s="82"/>
      <c r="H4353" s="96">
        <f t="shared" si="268"/>
        <v>82.93</v>
      </c>
      <c r="I4353" s="96">
        <f t="shared" si="268"/>
        <v>83.76</v>
      </c>
      <c r="J4353" s="91" t="str">
        <f t="shared" si="269"/>
        <v>Sinapi 93124</v>
      </c>
      <c r="K4353" s="91" t="str">
        <f t="shared" si="270"/>
        <v>UN</v>
      </c>
      <c r="L4353" s="166" t="str">
        <f t="shared" si="271"/>
        <v>04/2022</v>
      </c>
      <c r="M4353" s="82"/>
      <c r="N4353" s="82"/>
    </row>
    <row r="4354" spans="1:14" x14ac:dyDescent="0.25">
      <c r="A4354" s="170" t="s">
        <v>7125</v>
      </c>
      <c r="B4354" s="170" t="s">
        <v>15962</v>
      </c>
      <c r="C4354" s="170" t="s">
        <v>205</v>
      </c>
      <c r="D4354" s="170" t="s">
        <v>1947</v>
      </c>
      <c r="E4354" s="171" t="s">
        <v>33714</v>
      </c>
      <c r="F4354" s="171" t="s">
        <v>36895</v>
      </c>
      <c r="G4354" s="82"/>
      <c r="H4354" s="96">
        <f t="shared" si="268"/>
        <v>122.08</v>
      </c>
      <c r="I4354" s="96">
        <f t="shared" si="268"/>
        <v>123.15</v>
      </c>
      <c r="J4354" s="91" t="str">
        <f t="shared" si="269"/>
        <v>Sinapi 93125</v>
      </c>
      <c r="K4354" s="91" t="str">
        <f t="shared" si="270"/>
        <v>UN</v>
      </c>
      <c r="L4354" s="166" t="str">
        <f t="shared" si="271"/>
        <v>04/2022</v>
      </c>
      <c r="M4354" s="82"/>
      <c r="N4354" s="82"/>
    </row>
    <row r="4355" spans="1:14" x14ac:dyDescent="0.25">
      <c r="A4355" s="170" t="s">
        <v>7126</v>
      </c>
      <c r="B4355" s="170" t="s">
        <v>15963</v>
      </c>
      <c r="C4355" s="170" t="s">
        <v>205</v>
      </c>
      <c r="D4355" s="170" t="s">
        <v>1947</v>
      </c>
      <c r="E4355" s="171" t="s">
        <v>27885</v>
      </c>
      <c r="F4355" s="171" t="s">
        <v>36896</v>
      </c>
      <c r="G4355" s="82"/>
      <c r="H4355" s="96">
        <f t="shared" si="268"/>
        <v>270.63</v>
      </c>
      <c r="I4355" s="96">
        <f t="shared" si="268"/>
        <v>271.95</v>
      </c>
      <c r="J4355" s="91" t="str">
        <f t="shared" si="269"/>
        <v>Sinapi 93126</v>
      </c>
      <c r="K4355" s="91" t="str">
        <f t="shared" si="270"/>
        <v>UN</v>
      </c>
      <c r="L4355" s="166" t="str">
        <f t="shared" si="271"/>
        <v>04/2022</v>
      </c>
      <c r="M4355" s="82"/>
      <c r="N4355" s="82"/>
    </row>
    <row r="4356" spans="1:14" x14ac:dyDescent="0.25">
      <c r="A4356" s="170" t="s">
        <v>7127</v>
      </c>
      <c r="B4356" s="170" t="s">
        <v>15964</v>
      </c>
      <c r="C4356" s="170" t="s">
        <v>205</v>
      </c>
      <c r="D4356" s="170" t="s">
        <v>1947</v>
      </c>
      <c r="E4356" s="171" t="s">
        <v>29130</v>
      </c>
      <c r="F4356" s="171" t="s">
        <v>25622</v>
      </c>
      <c r="G4356" s="82"/>
      <c r="H4356" s="96">
        <f t="shared" si="268"/>
        <v>17.29</v>
      </c>
      <c r="I4356" s="96">
        <f t="shared" si="268"/>
        <v>18.13</v>
      </c>
      <c r="J4356" s="91" t="str">
        <f t="shared" si="269"/>
        <v>Sinapi 93133</v>
      </c>
      <c r="K4356" s="91" t="str">
        <f t="shared" si="270"/>
        <v>UN</v>
      </c>
      <c r="L4356" s="166" t="str">
        <f t="shared" si="271"/>
        <v>04/2022</v>
      </c>
      <c r="M4356" s="82"/>
      <c r="N4356" s="82"/>
    </row>
    <row r="4357" spans="1:14" x14ac:dyDescent="0.25">
      <c r="A4357" s="170" t="s">
        <v>7128</v>
      </c>
      <c r="B4357" s="170" t="s">
        <v>7129</v>
      </c>
      <c r="C4357" s="170" t="s">
        <v>205</v>
      </c>
      <c r="D4357" s="170" t="s">
        <v>2067</v>
      </c>
      <c r="E4357" s="171" t="s">
        <v>23485</v>
      </c>
      <c r="F4357" s="171" t="s">
        <v>23106</v>
      </c>
      <c r="G4357" s="82"/>
      <c r="H4357" s="96">
        <f t="shared" si="268"/>
        <v>49.82</v>
      </c>
      <c r="I4357" s="96">
        <f t="shared" si="268"/>
        <v>51.46</v>
      </c>
      <c r="J4357" s="91" t="str">
        <f t="shared" si="269"/>
        <v>Sinapi 94465</v>
      </c>
      <c r="K4357" s="91" t="str">
        <f t="shared" si="270"/>
        <v>UN</v>
      </c>
      <c r="L4357" s="166" t="str">
        <f t="shared" si="271"/>
        <v>06/2016</v>
      </c>
      <c r="M4357" s="82"/>
      <c r="N4357" s="82"/>
    </row>
    <row r="4358" spans="1:14" x14ac:dyDescent="0.25">
      <c r="A4358" s="170" t="s">
        <v>7130</v>
      </c>
      <c r="B4358" s="170" t="s">
        <v>7131</v>
      </c>
      <c r="C4358" s="170" t="s">
        <v>205</v>
      </c>
      <c r="D4358" s="170" t="s">
        <v>2067</v>
      </c>
      <c r="E4358" s="171" t="s">
        <v>33715</v>
      </c>
      <c r="F4358" s="171" t="s">
        <v>36897</v>
      </c>
      <c r="G4358" s="82"/>
      <c r="H4358" s="96">
        <f t="shared" si="268"/>
        <v>49.84</v>
      </c>
      <c r="I4358" s="96">
        <f t="shared" si="268"/>
        <v>51.48</v>
      </c>
      <c r="J4358" s="91" t="str">
        <f t="shared" si="269"/>
        <v>Sinapi 94466</v>
      </c>
      <c r="K4358" s="91" t="str">
        <f t="shared" si="270"/>
        <v>UN</v>
      </c>
      <c r="L4358" s="166" t="str">
        <f t="shared" si="271"/>
        <v>06/2016</v>
      </c>
      <c r="M4358" s="82"/>
      <c r="N4358" s="82"/>
    </row>
    <row r="4359" spans="1:14" x14ac:dyDescent="0.25">
      <c r="A4359" s="170" t="s">
        <v>7132</v>
      </c>
      <c r="B4359" s="170" t="s">
        <v>7133</v>
      </c>
      <c r="C4359" s="170" t="s">
        <v>205</v>
      </c>
      <c r="D4359" s="170" t="s">
        <v>2067</v>
      </c>
      <c r="E4359" s="171" t="s">
        <v>33716</v>
      </c>
      <c r="F4359" s="171" t="s">
        <v>28642</v>
      </c>
      <c r="G4359" s="82"/>
      <c r="H4359" s="96">
        <f t="shared" si="268"/>
        <v>78.61</v>
      </c>
      <c r="I4359" s="96">
        <f t="shared" si="268"/>
        <v>80.25</v>
      </c>
      <c r="J4359" s="91" t="str">
        <f t="shared" si="269"/>
        <v>Sinapi 94467</v>
      </c>
      <c r="K4359" s="91" t="str">
        <f t="shared" si="270"/>
        <v>UN</v>
      </c>
      <c r="L4359" s="166" t="str">
        <f t="shared" si="271"/>
        <v>06/2016</v>
      </c>
      <c r="M4359" s="82"/>
      <c r="N4359" s="82"/>
    </row>
    <row r="4360" spans="1:14" x14ac:dyDescent="0.25">
      <c r="A4360" s="170" t="s">
        <v>7134</v>
      </c>
      <c r="B4360" s="170" t="s">
        <v>7135</v>
      </c>
      <c r="C4360" s="170" t="s">
        <v>205</v>
      </c>
      <c r="D4360" s="170" t="s">
        <v>2067</v>
      </c>
      <c r="E4360" s="171" t="s">
        <v>31969</v>
      </c>
      <c r="F4360" s="171" t="s">
        <v>29238</v>
      </c>
      <c r="G4360" s="82"/>
      <c r="H4360" s="96">
        <f t="shared" ref="H4360:I4423" si="272">IF(E4360="","",E4360+0)</f>
        <v>68.39</v>
      </c>
      <c r="I4360" s="96">
        <f t="shared" si="272"/>
        <v>70.03</v>
      </c>
      <c r="J4360" s="91" t="str">
        <f t="shared" ref="J4360:J4423" si="273">IF(OR(H4360="",I4360=""),"",TRIM(CONCATENATE("Sinapi ",A4360)))</f>
        <v>Sinapi 94468</v>
      </c>
      <c r="K4360" s="91" t="str">
        <f t="shared" ref="K4360:K4423" si="274">TRIM(C4360)</f>
        <v>UN</v>
      </c>
      <c r="L4360" s="166" t="str">
        <f t="shared" ref="L4360:L4423" si="275">IF(OR(RIGHT(IF(AND(K4360&lt;&gt;"H",K4360&lt;&gt;"MES"),RIGHT(B4360,7),""),2)="PS",RIGHT(IF(AND(K4360&lt;&gt;"H",K4360&lt;&gt;"MES"),RIGHT(B4360,7),""),2)="PA",RIGHT(IF(AND(K4360&lt;&gt;"H",K4360&lt;&gt;"MES"),RIGHT(B4360,7),""),2)="PE"),LEFT(IF(AND(K4360&lt;&gt;"H",K4360&lt;&gt;"MES"),RIGHT(B4360,10),""),7),IF(AND(K4360&lt;&gt;"H",K4360&lt;&gt;"MES"),RIGHT(B4360,7),""))</f>
        <v>06/2016</v>
      </c>
      <c r="M4360" s="82"/>
      <c r="N4360" s="82"/>
    </row>
    <row r="4361" spans="1:14" x14ac:dyDescent="0.25">
      <c r="A4361" s="170" t="s">
        <v>7136</v>
      </c>
      <c r="B4361" s="170" t="s">
        <v>7137</v>
      </c>
      <c r="C4361" s="170" t="s">
        <v>205</v>
      </c>
      <c r="D4361" s="170" t="s">
        <v>2067</v>
      </c>
      <c r="E4361" s="171" t="s">
        <v>33717</v>
      </c>
      <c r="F4361" s="171" t="s">
        <v>36898</v>
      </c>
      <c r="G4361" s="82"/>
      <c r="H4361" s="96">
        <f t="shared" si="272"/>
        <v>114.78</v>
      </c>
      <c r="I4361" s="96">
        <f t="shared" si="272"/>
        <v>116.83</v>
      </c>
      <c r="J4361" s="91" t="str">
        <f t="shared" si="273"/>
        <v>Sinapi 94469</v>
      </c>
      <c r="K4361" s="91" t="str">
        <f t="shared" si="274"/>
        <v>UN</v>
      </c>
      <c r="L4361" s="166" t="str">
        <f t="shared" si="275"/>
        <v>06/2016</v>
      </c>
      <c r="M4361" s="82"/>
      <c r="N4361" s="82"/>
    </row>
    <row r="4362" spans="1:14" x14ac:dyDescent="0.25">
      <c r="A4362" s="170" t="s">
        <v>7138</v>
      </c>
      <c r="B4362" s="170" t="s">
        <v>7139</v>
      </c>
      <c r="C4362" s="170" t="s">
        <v>205</v>
      </c>
      <c r="D4362" s="170" t="s">
        <v>2067</v>
      </c>
      <c r="E4362" s="171" t="s">
        <v>33718</v>
      </c>
      <c r="F4362" s="171" t="s">
        <v>36068</v>
      </c>
      <c r="G4362" s="82"/>
      <c r="H4362" s="96">
        <f t="shared" si="272"/>
        <v>105.69</v>
      </c>
      <c r="I4362" s="96">
        <f t="shared" si="272"/>
        <v>107.74</v>
      </c>
      <c r="J4362" s="91" t="str">
        <f t="shared" si="273"/>
        <v>Sinapi 94470</v>
      </c>
      <c r="K4362" s="91" t="str">
        <f t="shared" si="274"/>
        <v>UN</v>
      </c>
      <c r="L4362" s="166" t="str">
        <f t="shared" si="275"/>
        <v>06/2016</v>
      </c>
      <c r="M4362" s="82"/>
      <c r="N4362" s="82"/>
    </row>
    <row r="4363" spans="1:14" x14ac:dyDescent="0.25">
      <c r="A4363" s="170" t="s">
        <v>7140</v>
      </c>
      <c r="B4363" s="170" t="s">
        <v>7141</v>
      </c>
      <c r="C4363" s="170" t="s">
        <v>205</v>
      </c>
      <c r="D4363" s="170" t="s">
        <v>2067</v>
      </c>
      <c r="E4363" s="171" t="s">
        <v>33719</v>
      </c>
      <c r="F4363" s="171" t="s">
        <v>29303</v>
      </c>
      <c r="G4363" s="82"/>
      <c r="H4363" s="96">
        <f t="shared" si="272"/>
        <v>71.67</v>
      </c>
      <c r="I4363" s="96">
        <f t="shared" si="272"/>
        <v>74.13</v>
      </c>
      <c r="J4363" s="91" t="str">
        <f t="shared" si="273"/>
        <v>Sinapi 94471</v>
      </c>
      <c r="K4363" s="91" t="str">
        <f t="shared" si="274"/>
        <v>UN</v>
      </c>
      <c r="L4363" s="166" t="str">
        <f t="shared" si="275"/>
        <v>06/2016</v>
      </c>
      <c r="M4363" s="82"/>
      <c r="N4363" s="82"/>
    </row>
    <row r="4364" spans="1:14" x14ac:dyDescent="0.25">
      <c r="A4364" s="170" t="s">
        <v>7142</v>
      </c>
      <c r="B4364" s="170" t="s">
        <v>7143</v>
      </c>
      <c r="C4364" s="170" t="s">
        <v>205</v>
      </c>
      <c r="D4364" s="170" t="s">
        <v>2067</v>
      </c>
      <c r="E4364" s="171" t="s">
        <v>22746</v>
      </c>
      <c r="F4364" s="171" t="s">
        <v>36750</v>
      </c>
      <c r="G4364" s="82"/>
      <c r="H4364" s="96">
        <f t="shared" si="272"/>
        <v>73.94</v>
      </c>
      <c r="I4364" s="96">
        <f t="shared" si="272"/>
        <v>76.400000000000006</v>
      </c>
      <c r="J4364" s="91" t="str">
        <f t="shared" si="273"/>
        <v>Sinapi 94472</v>
      </c>
      <c r="K4364" s="91" t="str">
        <f t="shared" si="274"/>
        <v>UN</v>
      </c>
      <c r="L4364" s="166" t="str">
        <f t="shared" si="275"/>
        <v>06/2016</v>
      </c>
      <c r="M4364" s="82"/>
      <c r="N4364" s="82"/>
    </row>
    <row r="4365" spans="1:14" x14ac:dyDescent="0.25">
      <c r="A4365" s="170" t="s">
        <v>7144</v>
      </c>
      <c r="B4365" s="170" t="s">
        <v>7145</v>
      </c>
      <c r="C4365" s="170" t="s">
        <v>205</v>
      </c>
      <c r="D4365" s="170" t="s">
        <v>2067</v>
      </c>
      <c r="E4365" s="171" t="s">
        <v>33720</v>
      </c>
      <c r="F4365" s="171" t="s">
        <v>36899</v>
      </c>
      <c r="G4365" s="82"/>
      <c r="H4365" s="96">
        <f t="shared" si="272"/>
        <v>112.35</v>
      </c>
      <c r="I4365" s="96">
        <f t="shared" si="272"/>
        <v>114.81</v>
      </c>
      <c r="J4365" s="91" t="str">
        <f t="shared" si="273"/>
        <v>Sinapi 94473</v>
      </c>
      <c r="K4365" s="91" t="str">
        <f t="shared" si="274"/>
        <v>UN</v>
      </c>
      <c r="L4365" s="166" t="str">
        <f t="shared" si="275"/>
        <v>06/2016</v>
      </c>
      <c r="M4365" s="82"/>
      <c r="N4365" s="82"/>
    </row>
    <row r="4366" spans="1:14" x14ac:dyDescent="0.25">
      <c r="A4366" s="170" t="s">
        <v>7146</v>
      </c>
      <c r="B4366" s="170" t="s">
        <v>7147</v>
      </c>
      <c r="C4366" s="170" t="s">
        <v>205</v>
      </c>
      <c r="D4366" s="170" t="s">
        <v>2067</v>
      </c>
      <c r="E4366" s="171" t="s">
        <v>33721</v>
      </c>
      <c r="F4366" s="171" t="s">
        <v>23850</v>
      </c>
      <c r="G4366" s="82"/>
      <c r="H4366" s="96">
        <f t="shared" si="272"/>
        <v>122.35</v>
      </c>
      <c r="I4366" s="96">
        <f t="shared" si="272"/>
        <v>124.81</v>
      </c>
      <c r="J4366" s="91" t="str">
        <f t="shared" si="273"/>
        <v>Sinapi 94474</v>
      </c>
      <c r="K4366" s="91" t="str">
        <f t="shared" si="274"/>
        <v>UN</v>
      </c>
      <c r="L4366" s="166" t="str">
        <f t="shared" si="275"/>
        <v>06/2016</v>
      </c>
      <c r="M4366" s="82"/>
      <c r="N4366" s="82"/>
    </row>
    <row r="4367" spans="1:14" x14ac:dyDescent="0.25">
      <c r="A4367" s="170" t="s">
        <v>7148</v>
      </c>
      <c r="B4367" s="170" t="s">
        <v>7149</v>
      </c>
      <c r="C4367" s="170" t="s">
        <v>205</v>
      </c>
      <c r="D4367" s="170" t="s">
        <v>2067</v>
      </c>
      <c r="E4367" s="171" t="s">
        <v>33722</v>
      </c>
      <c r="F4367" s="171" t="s">
        <v>36900</v>
      </c>
      <c r="G4367" s="82"/>
      <c r="H4367" s="96">
        <f t="shared" si="272"/>
        <v>154.94999999999999</v>
      </c>
      <c r="I4367" s="96">
        <f t="shared" si="272"/>
        <v>158.03</v>
      </c>
      <c r="J4367" s="91" t="str">
        <f t="shared" si="273"/>
        <v>Sinapi 94475</v>
      </c>
      <c r="K4367" s="91" t="str">
        <f t="shared" si="274"/>
        <v>UN</v>
      </c>
      <c r="L4367" s="166" t="str">
        <f t="shared" si="275"/>
        <v>06/2016</v>
      </c>
      <c r="M4367" s="82"/>
      <c r="N4367" s="82"/>
    </row>
    <row r="4368" spans="1:14" x14ac:dyDescent="0.25">
      <c r="A4368" s="170" t="s">
        <v>7150</v>
      </c>
      <c r="B4368" s="170" t="s">
        <v>7151</v>
      </c>
      <c r="C4368" s="170" t="s">
        <v>205</v>
      </c>
      <c r="D4368" s="170" t="s">
        <v>2067</v>
      </c>
      <c r="E4368" s="171" t="s">
        <v>29443</v>
      </c>
      <c r="F4368" s="171" t="s">
        <v>36901</v>
      </c>
      <c r="G4368" s="82"/>
      <c r="H4368" s="96">
        <f t="shared" si="272"/>
        <v>174.22</v>
      </c>
      <c r="I4368" s="96">
        <f t="shared" si="272"/>
        <v>177.3</v>
      </c>
      <c r="J4368" s="91" t="str">
        <f t="shared" si="273"/>
        <v>Sinapi 94476</v>
      </c>
      <c r="K4368" s="91" t="str">
        <f t="shared" si="274"/>
        <v>UN</v>
      </c>
      <c r="L4368" s="166" t="str">
        <f t="shared" si="275"/>
        <v>06/2016</v>
      </c>
      <c r="M4368" s="82"/>
      <c r="N4368" s="82"/>
    </row>
    <row r="4369" spans="1:14" x14ac:dyDescent="0.25">
      <c r="A4369" s="170" t="s">
        <v>7152</v>
      </c>
      <c r="B4369" s="170" t="s">
        <v>7153</v>
      </c>
      <c r="C4369" s="170" t="s">
        <v>205</v>
      </c>
      <c r="D4369" s="170" t="s">
        <v>2067</v>
      </c>
      <c r="E4369" s="171" t="s">
        <v>22010</v>
      </c>
      <c r="F4369" s="171" t="s">
        <v>36902</v>
      </c>
      <c r="G4369" s="82"/>
      <c r="H4369" s="96">
        <f t="shared" si="272"/>
        <v>95.39</v>
      </c>
      <c r="I4369" s="96">
        <f t="shared" si="272"/>
        <v>98.67</v>
      </c>
      <c r="J4369" s="91" t="str">
        <f t="shared" si="273"/>
        <v>Sinapi 94477</v>
      </c>
      <c r="K4369" s="91" t="str">
        <f t="shared" si="274"/>
        <v>UN</v>
      </c>
      <c r="L4369" s="166" t="str">
        <f t="shared" si="275"/>
        <v>06/2016</v>
      </c>
      <c r="M4369" s="82"/>
      <c r="N4369" s="82"/>
    </row>
    <row r="4370" spans="1:14" x14ac:dyDescent="0.25">
      <c r="A4370" s="170" t="s">
        <v>7154</v>
      </c>
      <c r="B4370" s="170" t="s">
        <v>7155</v>
      </c>
      <c r="C4370" s="170" t="s">
        <v>205</v>
      </c>
      <c r="D4370" s="170" t="s">
        <v>2067</v>
      </c>
      <c r="E4370" s="171" t="s">
        <v>33723</v>
      </c>
      <c r="F4370" s="171" t="s">
        <v>22974</v>
      </c>
      <c r="G4370" s="82"/>
      <c r="H4370" s="96">
        <f t="shared" si="272"/>
        <v>154.68</v>
      </c>
      <c r="I4370" s="96">
        <f t="shared" si="272"/>
        <v>157.96</v>
      </c>
      <c r="J4370" s="91" t="str">
        <f t="shared" si="273"/>
        <v>Sinapi 94478</v>
      </c>
      <c r="K4370" s="91" t="str">
        <f t="shared" si="274"/>
        <v>UN</v>
      </c>
      <c r="L4370" s="166" t="str">
        <f t="shared" si="275"/>
        <v>06/2016</v>
      </c>
      <c r="M4370" s="82"/>
      <c r="N4370" s="82"/>
    </row>
    <row r="4371" spans="1:14" x14ac:dyDescent="0.25">
      <c r="A4371" s="170" t="s">
        <v>7156</v>
      </c>
      <c r="B4371" s="170" t="s">
        <v>7157</v>
      </c>
      <c r="C4371" s="170" t="s">
        <v>205</v>
      </c>
      <c r="D4371" s="170" t="s">
        <v>2067</v>
      </c>
      <c r="E4371" s="171" t="s">
        <v>33724</v>
      </c>
      <c r="F4371" s="171" t="s">
        <v>36903</v>
      </c>
      <c r="G4371" s="82"/>
      <c r="H4371" s="96">
        <f t="shared" si="272"/>
        <v>204.6</v>
      </c>
      <c r="I4371" s="96">
        <f t="shared" si="272"/>
        <v>208.71</v>
      </c>
      <c r="J4371" s="91" t="str">
        <f t="shared" si="273"/>
        <v>Sinapi 94479</v>
      </c>
      <c r="K4371" s="91" t="str">
        <f t="shared" si="274"/>
        <v>UN</v>
      </c>
      <c r="L4371" s="166" t="str">
        <f t="shared" si="275"/>
        <v>06/2016</v>
      </c>
      <c r="M4371" s="82"/>
      <c r="N4371" s="82"/>
    </row>
    <row r="4372" spans="1:14" x14ac:dyDescent="0.25">
      <c r="A4372" s="170" t="s">
        <v>7158</v>
      </c>
      <c r="B4372" s="170" t="s">
        <v>7159</v>
      </c>
      <c r="C4372" s="170" t="s">
        <v>205</v>
      </c>
      <c r="D4372" s="170" t="s">
        <v>1947</v>
      </c>
      <c r="E4372" s="171" t="s">
        <v>33694</v>
      </c>
      <c r="F4372" s="171" t="s">
        <v>33501</v>
      </c>
      <c r="G4372" s="82"/>
      <c r="H4372" s="96">
        <f t="shared" si="272"/>
        <v>72.37</v>
      </c>
      <c r="I4372" s="96">
        <f t="shared" si="272"/>
        <v>74.3</v>
      </c>
      <c r="J4372" s="91" t="str">
        <f t="shared" si="273"/>
        <v>Sinapi 94606</v>
      </c>
      <c r="K4372" s="91" t="str">
        <f t="shared" si="274"/>
        <v>UN</v>
      </c>
      <c r="L4372" s="166" t="str">
        <f t="shared" si="275"/>
        <v>06/2016</v>
      </c>
      <c r="M4372" s="82"/>
      <c r="N4372" s="82"/>
    </row>
    <row r="4373" spans="1:14" x14ac:dyDescent="0.25">
      <c r="A4373" s="170" t="s">
        <v>7160</v>
      </c>
      <c r="B4373" s="170" t="s">
        <v>7161</v>
      </c>
      <c r="C4373" s="170" t="s">
        <v>205</v>
      </c>
      <c r="D4373" s="170" t="s">
        <v>1947</v>
      </c>
      <c r="E4373" s="171" t="s">
        <v>29855</v>
      </c>
      <c r="F4373" s="171" t="s">
        <v>36904</v>
      </c>
      <c r="G4373" s="82"/>
      <c r="H4373" s="96">
        <f t="shared" si="272"/>
        <v>178.57</v>
      </c>
      <c r="I4373" s="96">
        <f t="shared" si="272"/>
        <v>180.5</v>
      </c>
      <c r="J4373" s="91" t="str">
        <f t="shared" si="273"/>
        <v>Sinapi 94608</v>
      </c>
      <c r="K4373" s="91" t="str">
        <f t="shared" si="274"/>
        <v>UN</v>
      </c>
      <c r="L4373" s="166" t="str">
        <f t="shared" si="275"/>
        <v>06/2016</v>
      </c>
      <c r="M4373" s="82"/>
      <c r="N4373" s="82"/>
    </row>
    <row r="4374" spans="1:14" x14ac:dyDescent="0.25">
      <c r="A4374" s="170" t="s">
        <v>7162</v>
      </c>
      <c r="B4374" s="170" t="s">
        <v>7163</v>
      </c>
      <c r="C4374" s="170" t="s">
        <v>205</v>
      </c>
      <c r="D4374" s="170" t="s">
        <v>1947</v>
      </c>
      <c r="E4374" s="171" t="s">
        <v>33725</v>
      </c>
      <c r="F4374" s="171" t="s">
        <v>36905</v>
      </c>
      <c r="G4374" s="82"/>
      <c r="H4374" s="96">
        <f t="shared" si="272"/>
        <v>265.45</v>
      </c>
      <c r="I4374" s="96">
        <f t="shared" si="272"/>
        <v>267.56</v>
      </c>
      <c r="J4374" s="91" t="str">
        <f t="shared" si="273"/>
        <v>Sinapi 94610</v>
      </c>
      <c r="K4374" s="91" t="str">
        <f t="shared" si="274"/>
        <v>UN</v>
      </c>
      <c r="L4374" s="166" t="str">
        <f t="shared" si="275"/>
        <v>06/2016</v>
      </c>
      <c r="M4374" s="82"/>
      <c r="N4374" s="82"/>
    </row>
    <row r="4375" spans="1:14" x14ac:dyDescent="0.25">
      <c r="A4375" s="170" t="s">
        <v>7164</v>
      </c>
      <c r="B4375" s="170" t="s">
        <v>7165</v>
      </c>
      <c r="C4375" s="170" t="s">
        <v>205</v>
      </c>
      <c r="D4375" s="170" t="s">
        <v>1947</v>
      </c>
      <c r="E4375" s="171" t="s">
        <v>33726</v>
      </c>
      <c r="F4375" s="171" t="s">
        <v>36906</v>
      </c>
      <c r="G4375" s="82"/>
      <c r="H4375" s="96">
        <f t="shared" si="272"/>
        <v>372.67</v>
      </c>
      <c r="I4375" s="96">
        <f t="shared" si="272"/>
        <v>374.78</v>
      </c>
      <c r="J4375" s="91" t="str">
        <f t="shared" si="273"/>
        <v>Sinapi 94612</v>
      </c>
      <c r="K4375" s="91" t="str">
        <f t="shared" si="274"/>
        <v>UN</v>
      </c>
      <c r="L4375" s="166" t="str">
        <f t="shared" si="275"/>
        <v>06/2016</v>
      </c>
      <c r="M4375" s="82"/>
      <c r="N4375" s="82"/>
    </row>
    <row r="4376" spans="1:14" x14ac:dyDescent="0.25">
      <c r="A4376" s="170" t="s">
        <v>7166</v>
      </c>
      <c r="B4376" s="170" t="s">
        <v>7167</v>
      </c>
      <c r="C4376" s="170" t="s">
        <v>205</v>
      </c>
      <c r="D4376" s="170" t="s">
        <v>1947</v>
      </c>
      <c r="E4376" s="171" t="s">
        <v>33727</v>
      </c>
      <c r="F4376" s="171" t="s">
        <v>36907</v>
      </c>
      <c r="G4376" s="82"/>
      <c r="H4376" s="96">
        <f t="shared" si="272"/>
        <v>122.5</v>
      </c>
      <c r="I4376" s="96">
        <f t="shared" si="272"/>
        <v>125.4</v>
      </c>
      <c r="J4376" s="91" t="str">
        <f t="shared" si="273"/>
        <v>Sinapi 94614</v>
      </c>
      <c r="K4376" s="91" t="str">
        <f t="shared" si="274"/>
        <v>UN</v>
      </c>
      <c r="L4376" s="166" t="str">
        <f t="shared" si="275"/>
        <v>06/2016</v>
      </c>
      <c r="M4376" s="82"/>
      <c r="N4376" s="82"/>
    </row>
    <row r="4377" spans="1:14" x14ac:dyDescent="0.25">
      <c r="A4377" s="170" t="s">
        <v>7168</v>
      </c>
      <c r="B4377" s="170" t="s">
        <v>7169</v>
      </c>
      <c r="C4377" s="170" t="s">
        <v>205</v>
      </c>
      <c r="D4377" s="170" t="s">
        <v>1947</v>
      </c>
      <c r="E4377" s="171" t="s">
        <v>33728</v>
      </c>
      <c r="F4377" s="171" t="s">
        <v>23901</v>
      </c>
      <c r="G4377" s="82"/>
      <c r="H4377" s="96">
        <f t="shared" si="272"/>
        <v>139.16999999999999</v>
      </c>
      <c r="I4377" s="96">
        <f t="shared" si="272"/>
        <v>142.07</v>
      </c>
      <c r="J4377" s="91" t="str">
        <f t="shared" si="273"/>
        <v>Sinapi 94615</v>
      </c>
      <c r="K4377" s="91" t="str">
        <f t="shared" si="274"/>
        <v>UN</v>
      </c>
      <c r="L4377" s="166" t="str">
        <f t="shared" si="275"/>
        <v>06/2016</v>
      </c>
      <c r="M4377" s="82"/>
      <c r="N4377" s="82"/>
    </row>
    <row r="4378" spans="1:14" x14ac:dyDescent="0.25">
      <c r="A4378" s="170" t="s">
        <v>7170</v>
      </c>
      <c r="B4378" s="170" t="s">
        <v>7171</v>
      </c>
      <c r="C4378" s="170" t="s">
        <v>205</v>
      </c>
      <c r="D4378" s="170" t="s">
        <v>1947</v>
      </c>
      <c r="E4378" s="171" t="s">
        <v>33729</v>
      </c>
      <c r="F4378" s="171" t="s">
        <v>34460</v>
      </c>
      <c r="G4378" s="82"/>
      <c r="H4378" s="96">
        <f t="shared" si="272"/>
        <v>341.61</v>
      </c>
      <c r="I4378" s="96">
        <f t="shared" si="272"/>
        <v>344.51</v>
      </c>
      <c r="J4378" s="91" t="str">
        <f t="shared" si="273"/>
        <v>Sinapi 94616</v>
      </c>
      <c r="K4378" s="91" t="str">
        <f t="shared" si="274"/>
        <v>UN</v>
      </c>
      <c r="L4378" s="166" t="str">
        <f t="shared" si="275"/>
        <v>06/2016</v>
      </c>
      <c r="M4378" s="82"/>
      <c r="N4378" s="82"/>
    </row>
    <row r="4379" spans="1:14" x14ac:dyDescent="0.25">
      <c r="A4379" s="170" t="s">
        <v>7172</v>
      </c>
      <c r="B4379" s="170" t="s">
        <v>7173</v>
      </c>
      <c r="C4379" s="170" t="s">
        <v>205</v>
      </c>
      <c r="D4379" s="170" t="s">
        <v>1947</v>
      </c>
      <c r="E4379" s="171" t="s">
        <v>29400</v>
      </c>
      <c r="F4379" s="171" t="s">
        <v>36908</v>
      </c>
      <c r="G4379" s="82"/>
      <c r="H4379" s="96">
        <f t="shared" si="272"/>
        <v>283.64999999999998</v>
      </c>
      <c r="I4379" s="96">
        <f t="shared" si="272"/>
        <v>286.55</v>
      </c>
      <c r="J4379" s="91" t="str">
        <f t="shared" si="273"/>
        <v>Sinapi 94617</v>
      </c>
      <c r="K4379" s="91" t="str">
        <f t="shared" si="274"/>
        <v>UN</v>
      </c>
      <c r="L4379" s="166" t="str">
        <f t="shared" si="275"/>
        <v>06/2016</v>
      </c>
      <c r="M4379" s="82"/>
      <c r="N4379" s="82"/>
    </row>
    <row r="4380" spans="1:14" x14ac:dyDescent="0.25">
      <c r="A4380" s="170" t="s">
        <v>7174</v>
      </c>
      <c r="B4380" s="170" t="s">
        <v>7175</v>
      </c>
      <c r="C4380" s="170" t="s">
        <v>205</v>
      </c>
      <c r="D4380" s="170" t="s">
        <v>1947</v>
      </c>
      <c r="E4380" s="171" t="s">
        <v>33730</v>
      </c>
      <c r="F4380" s="171" t="s">
        <v>36909</v>
      </c>
      <c r="G4380" s="82"/>
      <c r="H4380" s="96">
        <f t="shared" si="272"/>
        <v>335.43</v>
      </c>
      <c r="I4380" s="96">
        <f t="shared" si="272"/>
        <v>338.57</v>
      </c>
      <c r="J4380" s="91" t="str">
        <f t="shared" si="273"/>
        <v>Sinapi 94618</v>
      </c>
      <c r="K4380" s="91" t="str">
        <f t="shared" si="274"/>
        <v>UN</v>
      </c>
      <c r="L4380" s="166" t="str">
        <f t="shared" si="275"/>
        <v>06/2016</v>
      </c>
      <c r="M4380" s="82"/>
      <c r="N4380" s="82"/>
    </row>
    <row r="4381" spans="1:14" x14ac:dyDescent="0.25">
      <c r="A4381" s="170" t="s">
        <v>7176</v>
      </c>
      <c r="B4381" s="170" t="s">
        <v>7177</v>
      </c>
      <c r="C4381" s="170" t="s">
        <v>205</v>
      </c>
      <c r="D4381" s="170" t="s">
        <v>1947</v>
      </c>
      <c r="E4381" s="171" t="s">
        <v>33731</v>
      </c>
      <c r="F4381" s="171" t="s">
        <v>36910</v>
      </c>
      <c r="G4381" s="82"/>
      <c r="H4381" s="96">
        <f t="shared" si="272"/>
        <v>769.03</v>
      </c>
      <c r="I4381" s="96">
        <f t="shared" si="272"/>
        <v>772.17</v>
      </c>
      <c r="J4381" s="91" t="str">
        <f t="shared" si="273"/>
        <v>Sinapi 94620</v>
      </c>
      <c r="K4381" s="91" t="str">
        <f t="shared" si="274"/>
        <v>UN</v>
      </c>
      <c r="L4381" s="166" t="str">
        <f t="shared" si="275"/>
        <v>06/2016</v>
      </c>
      <c r="M4381" s="82"/>
      <c r="N4381" s="82"/>
    </row>
    <row r="4382" spans="1:14" x14ac:dyDescent="0.25">
      <c r="A4382" s="170" t="s">
        <v>7178</v>
      </c>
      <c r="B4382" s="170" t="s">
        <v>7179</v>
      </c>
      <c r="C4382" s="170" t="s">
        <v>205</v>
      </c>
      <c r="D4382" s="170" t="s">
        <v>1947</v>
      </c>
      <c r="E4382" s="171" t="s">
        <v>23036</v>
      </c>
      <c r="F4382" s="171" t="s">
        <v>36911</v>
      </c>
      <c r="G4382" s="82"/>
      <c r="H4382" s="96">
        <f t="shared" si="272"/>
        <v>179.32</v>
      </c>
      <c r="I4382" s="96">
        <f t="shared" si="272"/>
        <v>183.19</v>
      </c>
      <c r="J4382" s="91" t="str">
        <f t="shared" si="273"/>
        <v>Sinapi 94622</v>
      </c>
      <c r="K4382" s="91" t="str">
        <f t="shared" si="274"/>
        <v>UN</v>
      </c>
      <c r="L4382" s="166" t="str">
        <f t="shared" si="275"/>
        <v>06/2016</v>
      </c>
      <c r="M4382" s="82"/>
      <c r="N4382" s="82"/>
    </row>
    <row r="4383" spans="1:14" x14ac:dyDescent="0.25">
      <c r="A4383" s="170" t="s">
        <v>7180</v>
      </c>
      <c r="B4383" s="170" t="s">
        <v>7181</v>
      </c>
      <c r="C4383" s="170" t="s">
        <v>205</v>
      </c>
      <c r="D4383" s="170" t="s">
        <v>1947</v>
      </c>
      <c r="E4383" s="171" t="s">
        <v>33732</v>
      </c>
      <c r="F4383" s="171" t="s">
        <v>36912</v>
      </c>
      <c r="G4383" s="82"/>
      <c r="H4383" s="96">
        <f t="shared" si="272"/>
        <v>423.05</v>
      </c>
      <c r="I4383" s="96">
        <f t="shared" si="272"/>
        <v>426.92</v>
      </c>
      <c r="J4383" s="91" t="str">
        <f t="shared" si="273"/>
        <v>Sinapi 94623</v>
      </c>
      <c r="K4383" s="91" t="str">
        <f t="shared" si="274"/>
        <v>UN</v>
      </c>
      <c r="L4383" s="166" t="str">
        <f t="shared" si="275"/>
        <v>06/2016</v>
      </c>
      <c r="M4383" s="82"/>
      <c r="N4383" s="82"/>
    </row>
    <row r="4384" spans="1:14" x14ac:dyDescent="0.25">
      <c r="A4384" s="170" t="s">
        <v>7182</v>
      </c>
      <c r="B4384" s="170" t="s">
        <v>7183</v>
      </c>
      <c r="C4384" s="170" t="s">
        <v>205</v>
      </c>
      <c r="D4384" s="170" t="s">
        <v>1947</v>
      </c>
      <c r="E4384" s="171" t="s">
        <v>33733</v>
      </c>
      <c r="F4384" s="171" t="s">
        <v>36913</v>
      </c>
      <c r="G4384" s="82"/>
      <c r="H4384" s="96">
        <f t="shared" si="272"/>
        <v>644.16999999999996</v>
      </c>
      <c r="I4384" s="96">
        <f t="shared" si="272"/>
        <v>648.38</v>
      </c>
      <c r="J4384" s="91" t="str">
        <f t="shared" si="273"/>
        <v>Sinapi 94624</v>
      </c>
      <c r="K4384" s="91" t="str">
        <f t="shared" si="274"/>
        <v>UN</v>
      </c>
      <c r="L4384" s="166" t="str">
        <f t="shared" si="275"/>
        <v>06/2016</v>
      </c>
      <c r="M4384" s="82"/>
      <c r="N4384" s="82"/>
    </row>
    <row r="4385" spans="1:14" x14ac:dyDescent="0.25">
      <c r="A4385" s="170" t="s">
        <v>7184</v>
      </c>
      <c r="B4385" s="170" t="s">
        <v>7185</v>
      </c>
      <c r="C4385" s="170" t="s">
        <v>205</v>
      </c>
      <c r="D4385" s="170" t="s">
        <v>1947</v>
      </c>
      <c r="E4385" s="171" t="s">
        <v>33734</v>
      </c>
      <c r="F4385" s="171" t="s">
        <v>36914</v>
      </c>
      <c r="G4385" s="82"/>
      <c r="H4385" s="96">
        <f t="shared" si="272"/>
        <v>1341.58</v>
      </c>
      <c r="I4385" s="96">
        <f t="shared" si="272"/>
        <v>1345.79</v>
      </c>
      <c r="J4385" s="91" t="str">
        <f t="shared" si="273"/>
        <v>Sinapi 94625</v>
      </c>
      <c r="K4385" s="91" t="str">
        <f t="shared" si="274"/>
        <v>UN</v>
      </c>
      <c r="L4385" s="166" t="str">
        <f t="shared" si="275"/>
        <v>06/2016</v>
      </c>
      <c r="M4385" s="82"/>
      <c r="N4385" s="82"/>
    </row>
    <row r="4386" spans="1:14" x14ac:dyDescent="0.25">
      <c r="A4386" s="170" t="s">
        <v>7186</v>
      </c>
      <c r="B4386" s="170" t="s">
        <v>7187</v>
      </c>
      <c r="C4386" s="170" t="s">
        <v>205</v>
      </c>
      <c r="D4386" s="170" t="s">
        <v>2067</v>
      </c>
      <c r="E4386" s="171" t="s">
        <v>21056</v>
      </c>
      <c r="F4386" s="171" t="s">
        <v>30207</v>
      </c>
      <c r="G4386" s="82"/>
      <c r="H4386" s="96">
        <f t="shared" si="272"/>
        <v>6.21</v>
      </c>
      <c r="I4386" s="96">
        <f t="shared" si="272"/>
        <v>6.59</v>
      </c>
      <c r="J4386" s="91" t="str">
        <f t="shared" si="273"/>
        <v>Sinapi 94656</v>
      </c>
      <c r="K4386" s="91" t="str">
        <f t="shared" si="274"/>
        <v>UN</v>
      </c>
      <c r="L4386" s="166" t="str">
        <f t="shared" si="275"/>
        <v>06/2016</v>
      </c>
      <c r="M4386" s="82"/>
      <c r="N4386" s="82"/>
    </row>
    <row r="4387" spans="1:14" x14ac:dyDescent="0.25">
      <c r="A4387" s="170" t="s">
        <v>7188</v>
      </c>
      <c r="B4387" s="170" t="s">
        <v>7189</v>
      </c>
      <c r="C4387" s="170" t="s">
        <v>205</v>
      </c>
      <c r="D4387" s="170" t="s">
        <v>2067</v>
      </c>
      <c r="E4387" s="171" t="s">
        <v>21324</v>
      </c>
      <c r="F4387" s="171" t="s">
        <v>20008</v>
      </c>
      <c r="G4387" s="82"/>
      <c r="H4387" s="96">
        <f t="shared" si="272"/>
        <v>6.12</v>
      </c>
      <c r="I4387" s="96">
        <f t="shared" si="272"/>
        <v>6.5</v>
      </c>
      <c r="J4387" s="91" t="str">
        <f t="shared" si="273"/>
        <v>Sinapi 94657</v>
      </c>
      <c r="K4387" s="91" t="str">
        <f t="shared" si="274"/>
        <v>UN</v>
      </c>
      <c r="L4387" s="166" t="str">
        <f t="shared" si="275"/>
        <v>06/2016</v>
      </c>
      <c r="M4387" s="82"/>
      <c r="N4387" s="82"/>
    </row>
    <row r="4388" spans="1:14" x14ac:dyDescent="0.25">
      <c r="A4388" s="170" t="s">
        <v>7191</v>
      </c>
      <c r="B4388" s="170" t="s">
        <v>7192</v>
      </c>
      <c r="C4388" s="170" t="s">
        <v>205</v>
      </c>
      <c r="D4388" s="170" t="s">
        <v>2067</v>
      </c>
      <c r="E4388" s="171" t="s">
        <v>15576</v>
      </c>
      <c r="F4388" s="171" t="s">
        <v>29201</v>
      </c>
      <c r="G4388" s="82"/>
      <c r="H4388" s="96">
        <f t="shared" si="272"/>
        <v>7.27</v>
      </c>
      <c r="I4388" s="96">
        <f t="shared" si="272"/>
        <v>7.65</v>
      </c>
      <c r="J4388" s="91" t="str">
        <f t="shared" si="273"/>
        <v>Sinapi 94658</v>
      </c>
      <c r="K4388" s="91" t="str">
        <f t="shared" si="274"/>
        <v>UN</v>
      </c>
      <c r="L4388" s="166" t="str">
        <f t="shared" si="275"/>
        <v>06/2016</v>
      </c>
      <c r="M4388" s="82"/>
      <c r="N4388" s="82"/>
    </row>
    <row r="4389" spans="1:14" x14ac:dyDescent="0.25">
      <c r="A4389" s="170" t="s">
        <v>7193</v>
      </c>
      <c r="B4389" s="170" t="s">
        <v>7194</v>
      </c>
      <c r="C4389" s="170" t="s">
        <v>205</v>
      </c>
      <c r="D4389" s="170" t="s">
        <v>2067</v>
      </c>
      <c r="E4389" s="171" t="s">
        <v>20625</v>
      </c>
      <c r="F4389" s="171" t="s">
        <v>17389</v>
      </c>
      <c r="G4389" s="82"/>
      <c r="H4389" s="96">
        <f t="shared" si="272"/>
        <v>7.51</v>
      </c>
      <c r="I4389" s="96">
        <f t="shared" si="272"/>
        <v>7.89</v>
      </c>
      <c r="J4389" s="91" t="str">
        <f t="shared" si="273"/>
        <v>Sinapi 94659</v>
      </c>
      <c r="K4389" s="91" t="str">
        <f t="shared" si="274"/>
        <v>UN</v>
      </c>
      <c r="L4389" s="166" t="str">
        <f t="shared" si="275"/>
        <v>06/2016</v>
      </c>
      <c r="M4389" s="82"/>
      <c r="N4389" s="82"/>
    </row>
    <row r="4390" spans="1:14" x14ac:dyDescent="0.25">
      <c r="A4390" s="170" t="s">
        <v>7195</v>
      </c>
      <c r="B4390" s="170" t="s">
        <v>7196</v>
      </c>
      <c r="C4390" s="170" t="s">
        <v>205</v>
      </c>
      <c r="D4390" s="170" t="s">
        <v>2067</v>
      </c>
      <c r="E4390" s="171" t="s">
        <v>9517</v>
      </c>
      <c r="F4390" s="171" t="s">
        <v>24856</v>
      </c>
      <c r="G4390" s="82"/>
      <c r="H4390" s="96">
        <f t="shared" si="272"/>
        <v>12.4</v>
      </c>
      <c r="I4390" s="96">
        <f t="shared" si="272"/>
        <v>12.94</v>
      </c>
      <c r="J4390" s="91" t="str">
        <f t="shared" si="273"/>
        <v>Sinapi 94660</v>
      </c>
      <c r="K4390" s="91" t="str">
        <f t="shared" si="274"/>
        <v>UN</v>
      </c>
      <c r="L4390" s="166" t="str">
        <f t="shared" si="275"/>
        <v>06/2016</v>
      </c>
      <c r="M4390" s="82"/>
      <c r="N4390" s="82"/>
    </row>
    <row r="4391" spans="1:14" x14ac:dyDescent="0.25">
      <c r="A4391" s="170" t="s">
        <v>7197</v>
      </c>
      <c r="B4391" s="170" t="s">
        <v>7198</v>
      </c>
      <c r="C4391" s="170" t="s">
        <v>205</v>
      </c>
      <c r="D4391" s="170" t="s">
        <v>2067</v>
      </c>
      <c r="E4391" s="171" t="s">
        <v>17277</v>
      </c>
      <c r="F4391" s="171" t="s">
        <v>15778</v>
      </c>
      <c r="G4391" s="82"/>
      <c r="H4391" s="96">
        <f t="shared" si="272"/>
        <v>13.05</v>
      </c>
      <c r="I4391" s="96">
        <f t="shared" si="272"/>
        <v>13.59</v>
      </c>
      <c r="J4391" s="91" t="str">
        <f t="shared" si="273"/>
        <v>Sinapi 94661</v>
      </c>
      <c r="K4391" s="91" t="str">
        <f t="shared" si="274"/>
        <v>UN</v>
      </c>
      <c r="L4391" s="166" t="str">
        <f t="shared" si="275"/>
        <v>06/2016</v>
      </c>
      <c r="M4391" s="82"/>
      <c r="N4391" s="82"/>
    </row>
    <row r="4392" spans="1:14" x14ac:dyDescent="0.25">
      <c r="A4392" s="170" t="s">
        <v>7199</v>
      </c>
      <c r="B4392" s="170" t="s">
        <v>7200</v>
      </c>
      <c r="C4392" s="170" t="s">
        <v>205</v>
      </c>
      <c r="D4392" s="170" t="s">
        <v>2067</v>
      </c>
      <c r="E4392" s="171" t="s">
        <v>25202</v>
      </c>
      <c r="F4392" s="171" t="s">
        <v>21023</v>
      </c>
      <c r="G4392" s="82"/>
      <c r="H4392" s="96">
        <f t="shared" si="272"/>
        <v>13.29</v>
      </c>
      <c r="I4392" s="96">
        <f t="shared" si="272"/>
        <v>13.83</v>
      </c>
      <c r="J4392" s="91" t="str">
        <f t="shared" si="273"/>
        <v>Sinapi 94662</v>
      </c>
      <c r="K4392" s="91" t="str">
        <f t="shared" si="274"/>
        <v>UN</v>
      </c>
      <c r="L4392" s="166" t="str">
        <f t="shared" si="275"/>
        <v>06/2016</v>
      </c>
      <c r="M4392" s="82"/>
      <c r="N4392" s="82"/>
    </row>
    <row r="4393" spans="1:14" x14ac:dyDescent="0.25">
      <c r="A4393" s="170" t="s">
        <v>7201</v>
      </c>
      <c r="B4393" s="170" t="s">
        <v>7202</v>
      </c>
      <c r="C4393" s="170" t="s">
        <v>205</v>
      </c>
      <c r="D4393" s="170" t="s">
        <v>2067</v>
      </c>
      <c r="E4393" s="171" t="s">
        <v>21558</v>
      </c>
      <c r="F4393" s="171" t="s">
        <v>30561</v>
      </c>
      <c r="G4393" s="82"/>
      <c r="H4393" s="96">
        <f t="shared" si="272"/>
        <v>13.18</v>
      </c>
      <c r="I4393" s="96">
        <f t="shared" si="272"/>
        <v>13.72</v>
      </c>
      <c r="J4393" s="91" t="str">
        <f t="shared" si="273"/>
        <v>Sinapi 94663</v>
      </c>
      <c r="K4393" s="91" t="str">
        <f t="shared" si="274"/>
        <v>UN</v>
      </c>
      <c r="L4393" s="166" t="str">
        <f t="shared" si="275"/>
        <v>06/2016</v>
      </c>
      <c r="M4393" s="82"/>
      <c r="N4393" s="82"/>
    </row>
    <row r="4394" spans="1:14" x14ac:dyDescent="0.25">
      <c r="A4394" s="170" t="s">
        <v>7203</v>
      </c>
      <c r="B4394" s="170" t="s">
        <v>7204</v>
      </c>
      <c r="C4394" s="170" t="s">
        <v>205</v>
      </c>
      <c r="D4394" s="170" t="s">
        <v>2067</v>
      </c>
      <c r="E4394" s="171" t="s">
        <v>16307</v>
      </c>
      <c r="F4394" s="171" t="s">
        <v>28992</v>
      </c>
      <c r="G4394" s="82"/>
      <c r="H4394" s="96">
        <f t="shared" si="272"/>
        <v>28.18</v>
      </c>
      <c r="I4394" s="96">
        <f t="shared" si="272"/>
        <v>29.05</v>
      </c>
      <c r="J4394" s="91" t="str">
        <f t="shared" si="273"/>
        <v>Sinapi 94664</v>
      </c>
      <c r="K4394" s="91" t="str">
        <f t="shared" si="274"/>
        <v>UN</v>
      </c>
      <c r="L4394" s="166" t="str">
        <f t="shared" si="275"/>
        <v>06/2016</v>
      </c>
      <c r="M4394" s="82"/>
      <c r="N4394" s="82"/>
    </row>
    <row r="4395" spans="1:14" x14ac:dyDescent="0.25">
      <c r="A4395" s="170" t="s">
        <v>7205</v>
      </c>
      <c r="B4395" s="170" t="s">
        <v>7206</v>
      </c>
      <c r="C4395" s="170" t="s">
        <v>205</v>
      </c>
      <c r="D4395" s="170" t="s">
        <v>2067</v>
      </c>
      <c r="E4395" s="171" t="s">
        <v>22103</v>
      </c>
      <c r="F4395" s="171" t="s">
        <v>19854</v>
      </c>
      <c r="G4395" s="82"/>
      <c r="H4395" s="96">
        <f t="shared" si="272"/>
        <v>30.74</v>
      </c>
      <c r="I4395" s="96">
        <f t="shared" si="272"/>
        <v>31.61</v>
      </c>
      <c r="J4395" s="91" t="str">
        <f t="shared" si="273"/>
        <v>Sinapi 94665</v>
      </c>
      <c r="K4395" s="91" t="str">
        <f t="shared" si="274"/>
        <v>UN</v>
      </c>
      <c r="L4395" s="166" t="str">
        <f t="shared" si="275"/>
        <v>06/2016</v>
      </c>
      <c r="M4395" s="82"/>
      <c r="N4395" s="82"/>
    </row>
    <row r="4396" spans="1:14" x14ac:dyDescent="0.25">
      <c r="A4396" s="170" t="s">
        <v>7207</v>
      </c>
      <c r="B4396" s="170" t="s">
        <v>7208</v>
      </c>
      <c r="C4396" s="170" t="s">
        <v>205</v>
      </c>
      <c r="D4396" s="170" t="s">
        <v>2067</v>
      </c>
      <c r="E4396" s="171" t="s">
        <v>29421</v>
      </c>
      <c r="F4396" s="171" t="s">
        <v>23264</v>
      </c>
      <c r="G4396" s="82"/>
      <c r="H4396" s="96">
        <f t="shared" si="272"/>
        <v>37.89</v>
      </c>
      <c r="I4396" s="96">
        <f t="shared" si="272"/>
        <v>38.76</v>
      </c>
      <c r="J4396" s="91" t="str">
        <f t="shared" si="273"/>
        <v>Sinapi 94666</v>
      </c>
      <c r="K4396" s="91" t="str">
        <f t="shared" si="274"/>
        <v>UN</v>
      </c>
      <c r="L4396" s="166" t="str">
        <f t="shared" si="275"/>
        <v>06/2016</v>
      </c>
      <c r="M4396" s="82"/>
      <c r="N4396" s="82"/>
    </row>
    <row r="4397" spans="1:14" x14ac:dyDescent="0.25">
      <c r="A4397" s="170" t="s">
        <v>7209</v>
      </c>
      <c r="B4397" s="170" t="s">
        <v>7210</v>
      </c>
      <c r="C4397" s="170" t="s">
        <v>205</v>
      </c>
      <c r="D4397" s="170" t="s">
        <v>2067</v>
      </c>
      <c r="E4397" s="171" t="s">
        <v>33735</v>
      </c>
      <c r="F4397" s="171" t="s">
        <v>36915</v>
      </c>
      <c r="G4397" s="82"/>
      <c r="H4397" s="96">
        <f t="shared" si="272"/>
        <v>38</v>
      </c>
      <c r="I4397" s="96">
        <f t="shared" si="272"/>
        <v>38.869999999999997</v>
      </c>
      <c r="J4397" s="91" t="str">
        <f t="shared" si="273"/>
        <v>Sinapi 94667</v>
      </c>
      <c r="K4397" s="91" t="str">
        <f t="shared" si="274"/>
        <v>UN</v>
      </c>
      <c r="L4397" s="166" t="str">
        <f t="shared" si="275"/>
        <v>06/2016</v>
      </c>
      <c r="M4397" s="82"/>
      <c r="N4397" s="82"/>
    </row>
    <row r="4398" spans="1:14" x14ac:dyDescent="0.25">
      <c r="A4398" s="170" t="s">
        <v>7211</v>
      </c>
      <c r="B4398" s="170" t="s">
        <v>7212</v>
      </c>
      <c r="C4398" s="170" t="s">
        <v>205</v>
      </c>
      <c r="D4398" s="170" t="s">
        <v>2067</v>
      </c>
      <c r="E4398" s="171" t="s">
        <v>29141</v>
      </c>
      <c r="F4398" s="171" t="s">
        <v>36916</v>
      </c>
      <c r="G4398" s="82"/>
      <c r="H4398" s="96">
        <f t="shared" si="272"/>
        <v>58.75</v>
      </c>
      <c r="I4398" s="96">
        <f t="shared" si="272"/>
        <v>60.27</v>
      </c>
      <c r="J4398" s="91" t="str">
        <f t="shared" si="273"/>
        <v>Sinapi 94668</v>
      </c>
      <c r="K4398" s="91" t="str">
        <f t="shared" si="274"/>
        <v>UN</v>
      </c>
      <c r="L4398" s="166" t="str">
        <f t="shared" si="275"/>
        <v>06/2016</v>
      </c>
      <c r="M4398" s="82"/>
      <c r="N4398" s="82"/>
    </row>
    <row r="4399" spans="1:14" x14ac:dyDescent="0.25">
      <c r="A4399" s="170" t="s">
        <v>7213</v>
      </c>
      <c r="B4399" s="170" t="s">
        <v>7214</v>
      </c>
      <c r="C4399" s="170" t="s">
        <v>205</v>
      </c>
      <c r="D4399" s="170" t="s">
        <v>2067</v>
      </c>
      <c r="E4399" s="171" t="s">
        <v>28709</v>
      </c>
      <c r="F4399" s="171" t="s">
        <v>36917</v>
      </c>
      <c r="G4399" s="82"/>
      <c r="H4399" s="96">
        <f t="shared" si="272"/>
        <v>78.790000000000006</v>
      </c>
      <c r="I4399" s="96">
        <f t="shared" si="272"/>
        <v>80.31</v>
      </c>
      <c r="J4399" s="91" t="str">
        <f t="shared" si="273"/>
        <v>Sinapi 94669</v>
      </c>
      <c r="K4399" s="91" t="str">
        <f t="shared" si="274"/>
        <v>UN</v>
      </c>
      <c r="L4399" s="166" t="str">
        <f t="shared" si="275"/>
        <v>06/2016</v>
      </c>
      <c r="M4399" s="82"/>
      <c r="N4399" s="82"/>
    </row>
    <row r="4400" spans="1:14" x14ac:dyDescent="0.25">
      <c r="A4400" s="170" t="s">
        <v>7215</v>
      </c>
      <c r="B4400" s="170" t="s">
        <v>7216</v>
      </c>
      <c r="C4400" s="170" t="s">
        <v>205</v>
      </c>
      <c r="D4400" s="170" t="s">
        <v>2067</v>
      </c>
      <c r="E4400" s="171" t="s">
        <v>33736</v>
      </c>
      <c r="F4400" s="171" t="s">
        <v>36918</v>
      </c>
      <c r="G4400" s="82"/>
      <c r="H4400" s="96">
        <f t="shared" si="272"/>
        <v>78.09</v>
      </c>
      <c r="I4400" s="96">
        <f t="shared" si="272"/>
        <v>79.61</v>
      </c>
      <c r="J4400" s="91" t="str">
        <f t="shared" si="273"/>
        <v>Sinapi 94670</v>
      </c>
      <c r="K4400" s="91" t="str">
        <f t="shared" si="274"/>
        <v>UN</v>
      </c>
      <c r="L4400" s="166" t="str">
        <f t="shared" si="275"/>
        <v>06/2016</v>
      </c>
      <c r="M4400" s="82"/>
      <c r="N4400" s="82"/>
    </row>
    <row r="4401" spans="1:14" x14ac:dyDescent="0.25">
      <c r="A4401" s="170" t="s">
        <v>7217</v>
      </c>
      <c r="B4401" s="170" t="s">
        <v>7218</v>
      </c>
      <c r="C4401" s="170" t="s">
        <v>205</v>
      </c>
      <c r="D4401" s="170" t="s">
        <v>2067</v>
      </c>
      <c r="E4401" s="171" t="s">
        <v>33737</v>
      </c>
      <c r="F4401" s="171" t="s">
        <v>23248</v>
      </c>
      <c r="G4401" s="82"/>
      <c r="H4401" s="96">
        <f t="shared" si="272"/>
        <v>114.76</v>
      </c>
      <c r="I4401" s="96">
        <f t="shared" si="272"/>
        <v>116.28</v>
      </c>
      <c r="J4401" s="91" t="str">
        <f t="shared" si="273"/>
        <v>Sinapi 94671</v>
      </c>
      <c r="K4401" s="91" t="str">
        <f t="shared" si="274"/>
        <v>UN</v>
      </c>
      <c r="L4401" s="166" t="str">
        <f t="shared" si="275"/>
        <v>06/2016</v>
      </c>
      <c r="M4401" s="82"/>
      <c r="N4401" s="82"/>
    </row>
    <row r="4402" spans="1:14" x14ac:dyDescent="0.25">
      <c r="A4402" s="170" t="s">
        <v>7219</v>
      </c>
      <c r="B4402" s="170" t="s">
        <v>7220</v>
      </c>
      <c r="C4402" s="170" t="s">
        <v>205</v>
      </c>
      <c r="D4402" s="170" t="s">
        <v>2067</v>
      </c>
      <c r="E4402" s="171" t="s">
        <v>19910</v>
      </c>
      <c r="F4402" s="171" t="s">
        <v>13744</v>
      </c>
      <c r="G4402" s="82"/>
      <c r="H4402" s="96">
        <f t="shared" si="272"/>
        <v>9.67</v>
      </c>
      <c r="I4402" s="96">
        <f t="shared" si="272"/>
        <v>10.24</v>
      </c>
      <c r="J4402" s="91" t="str">
        <f t="shared" si="273"/>
        <v>Sinapi 94672</v>
      </c>
      <c r="K4402" s="91" t="str">
        <f t="shared" si="274"/>
        <v>UN</v>
      </c>
      <c r="L4402" s="166" t="str">
        <f t="shared" si="275"/>
        <v>06/2016</v>
      </c>
      <c r="M4402" s="82"/>
      <c r="N4402" s="82"/>
    </row>
    <row r="4403" spans="1:14" x14ac:dyDescent="0.25">
      <c r="A4403" s="170" t="s">
        <v>7221</v>
      </c>
      <c r="B4403" s="170" t="s">
        <v>7222</v>
      </c>
      <c r="C4403" s="170" t="s">
        <v>205</v>
      </c>
      <c r="D4403" s="170" t="s">
        <v>2067</v>
      </c>
      <c r="E4403" s="171" t="s">
        <v>3969</v>
      </c>
      <c r="F4403" s="171" t="s">
        <v>15699</v>
      </c>
      <c r="G4403" s="82"/>
      <c r="H4403" s="96">
        <f t="shared" si="272"/>
        <v>10.33</v>
      </c>
      <c r="I4403" s="96">
        <f t="shared" si="272"/>
        <v>10.9</v>
      </c>
      <c r="J4403" s="91" t="str">
        <f t="shared" si="273"/>
        <v>Sinapi 94673</v>
      </c>
      <c r="K4403" s="91" t="str">
        <f t="shared" si="274"/>
        <v>UN</v>
      </c>
      <c r="L4403" s="166" t="str">
        <f t="shared" si="275"/>
        <v>06/2016</v>
      </c>
      <c r="M4403" s="82"/>
      <c r="N4403" s="82"/>
    </row>
    <row r="4404" spans="1:14" x14ac:dyDescent="0.25">
      <c r="A4404" s="170" t="s">
        <v>7223</v>
      </c>
      <c r="B4404" s="170" t="s">
        <v>7224</v>
      </c>
      <c r="C4404" s="170" t="s">
        <v>205</v>
      </c>
      <c r="D4404" s="170" t="s">
        <v>2067</v>
      </c>
      <c r="E4404" s="171" t="s">
        <v>19910</v>
      </c>
      <c r="F4404" s="171" t="s">
        <v>13744</v>
      </c>
      <c r="G4404" s="82"/>
      <c r="H4404" s="96">
        <f t="shared" si="272"/>
        <v>9.67</v>
      </c>
      <c r="I4404" s="96">
        <f t="shared" si="272"/>
        <v>10.24</v>
      </c>
      <c r="J4404" s="91" t="str">
        <f t="shared" si="273"/>
        <v>Sinapi 94674</v>
      </c>
      <c r="K4404" s="91" t="str">
        <f t="shared" si="274"/>
        <v>UN</v>
      </c>
      <c r="L4404" s="166" t="str">
        <f t="shared" si="275"/>
        <v>06/2016</v>
      </c>
      <c r="M4404" s="82"/>
      <c r="N4404" s="82"/>
    </row>
    <row r="4405" spans="1:14" x14ac:dyDescent="0.25">
      <c r="A4405" s="170" t="s">
        <v>7225</v>
      </c>
      <c r="B4405" s="170" t="s">
        <v>7226</v>
      </c>
      <c r="C4405" s="170" t="s">
        <v>205</v>
      </c>
      <c r="D4405" s="170" t="s">
        <v>2067</v>
      </c>
      <c r="E4405" s="171" t="s">
        <v>15531</v>
      </c>
      <c r="F4405" s="171" t="s">
        <v>13833</v>
      </c>
      <c r="G4405" s="82"/>
      <c r="H4405" s="96">
        <f t="shared" si="272"/>
        <v>14.41</v>
      </c>
      <c r="I4405" s="96">
        <f t="shared" si="272"/>
        <v>14.98</v>
      </c>
      <c r="J4405" s="91" t="str">
        <f t="shared" si="273"/>
        <v>Sinapi 94675</v>
      </c>
      <c r="K4405" s="91" t="str">
        <f t="shared" si="274"/>
        <v>UN</v>
      </c>
      <c r="L4405" s="166" t="str">
        <f t="shared" si="275"/>
        <v>06/2016</v>
      </c>
      <c r="M4405" s="82"/>
      <c r="N4405" s="82"/>
    </row>
    <row r="4406" spans="1:14" x14ac:dyDescent="0.25">
      <c r="A4406" s="170" t="s">
        <v>7227</v>
      </c>
      <c r="B4406" s="170" t="s">
        <v>7228</v>
      </c>
      <c r="C4406" s="170" t="s">
        <v>205</v>
      </c>
      <c r="D4406" s="170" t="s">
        <v>2067</v>
      </c>
      <c r="E4406" s="171" t="s">
        <v>28773</v>
      </c>
      <c r="F4406" s="171" t="s">
        <v>15765</v>
      </c>
      <c r="G4406" s="82"/>
      <c r="H4406" s="96">
        <f t="shared" si="272"/>
        <v>17.34</v>
      </c>
      <c r="I4406" s="96">
        <f t="shared" si="272"/>
        <v>18.149999999999999</v>
      </c>
      <c r="J4406" s="91" t="str">
        <f t="shared" si="273"/>
        <v>Sinapi 94676</v>
      </c>
      <c r="K4406" s="91" t="str">
        <f t="shared" si="274"/>
        <v>UN</v>
      </c>
      <c r="L4406" s="166" t="str">
        <f t="shared" si="275"/>
        <v>06/2016</v>
      </c>
      <c r="M4406" s="82"/>
      <c r="N4406" s="82"/>
    </row>
    <row r="4407" spans="1:14" x14ac:dyDescent="0.25">
      <c r="A4407" s="170" t="s">
        <v>7229</v>
      </c>
      <c r="B4407" s="170" t="s">
        <v>7230</v>
      </c>
      <c r="C4407" s="170" t="s">
        <v>205</v>
      </c>
      <c r="D4407" s="170" t="s">
        <v>2067</v>
      </c>
      <c r="E4407" s="171" t="s">
        <v>19875</v>
      </c>
      <c r="F4407" s="171" t="s">
        <v>34570</v>
      </c>
      <c r="G4407" s="82"/>
      <c r="H4407" s="96">
        <f t="shared" si="272"/>
        <v>24.53</v>
      </c>
      <c r="I4407" s="96">
        <f t="shared" si="272"/>
        <v>25.34</v>
      </c>
      <c r="J4407" s="91" t="str">
        <f t="shared" si="273"/>
        <v>Sinapi 94677</v>
      </c>
      <c r="K4407" s="91" t="str">
        <f t="shared" si="274"/>
        <v>UN</v>
      </c>
      <c r="L4407" s="166" t="str">
        <f t="shared" si="275"/>
        <v>06/2016</v>
      </c>
      <c r="M4407" s="82"/>
      <c r="N4407" s="82"/>
    </row>
    <row r="4408" spans="1:14" x14ac:dyDescent="0.25">
      <c r="A4408" s="170" t="s">
        <v>7231</v>
      </c>
      <c r="B4408" s="170" t="s">
        <v>7232</v>
      </c>
      <c r="C4408" s="170" t="s">
        <v>205</v>
      </c>
      <c r="D4408" s="170" t="s">
        <v>2067</v>
      </c>
      <c r="E4408" s="171" t="s">
        <v>15502</v>
      </c>
      <c r="F4408" s="171" t="s">
        <v>34246</v>
      </c>
      <c r="G4408" s="82"/>
      <c r="H4408" s="96">
        <f t="shared" si="272"/>
        <v>16.27</v>
      </c>
      <c r="I4408" s="96">
        <f t="shared" si="272"/>
        <v>17.079999999999998</v>
      </c>
      <c r="J4408" s="91" t="str">
        <f t="shared" si="273"/>
        <v>Sinapi 94678</v>
      </c>
      <c r="K4408" s="91" t="str">
        <f t="shared" si="274"/>
        <v>UN</v>
      </c>
      <c r="L4408" s="166" t="str">
        <f t="shared" si="275"/>
        <v>06/2016</v>
      </c>
      <c r="M4408" s="82"/>
      <c r="N4408" s="82"/>
    </row>
    <row r="4409" spans="1:14" x14ac:dyDescent="0.25">
      <c r="A4409" s="170" t="s">
        <v>7234</v>
      </c>
      <c r="B4409" s="170" t="s">
        <v>7235</v>
      </c>
      <c r="C4409" s="170" t="s">
        <v>205</v>
      </c>
      <c r="D4409" s="170" t="s">
        <v>2067</v>
      </c>
      <c r="E4409" s="171" t="s">
        <v>18571</v>
      </c>
      <c r="F4409" s="171" t="s">
        <v>16356</v>
      </c>
      <c r="G4409" s="82"/>
      <c r="H4409" s="96">
        <f t="shared" si="272"/>
        <v>25.73</v>
      </c>
      <c r="I4409" s="96">
        <f t="shared" si="272"/>
        <v>26.54</v>
      </c>
      <c r="J4409" s="91" t="str">
        <f t="shared" si="273"/>
        <v>Sinapi 94679</v>
      </c>
      <c r="K4409" s="91" t="str">
        <f t="shared" si="274"/>
        <v>UN</v>
      </c>
      <c r="L4409" s="166" t="str">
        <f t="shared" si="275"/>
        <v>06/2016</v>
      </c>
      <c r="M4409" s="82"/>
      <c r="N4409" s="82"/>
    </row>
    <row r="4410" spans="1:14" x14ac:dyDescent="0.25">
      <c r="A4410" s="170" t="s">
        <v>7236</v>
      </c>
      <c r="B4410" s="170" t="s">
        <v>7237</v>
      </c>
      <c r="C4410" s="170" t="s">
        <v>205</v>
      </c>
      <c r="D4410" s="170" t="s">
        <v>2067</v>
      </c>
      <c r="E4410" s="171" t="s">
        <v>29019</v>
      </c>
      <c r="F4410" s="171" t="s">
        <v>29426</v>
      </c>
      <c r="G4410" s="82"/>
      <c r="H4410" s="96">
        <f t="shared" si="272"/>
        <v>52.86</v>
      </c>
      <c r="I4410" s="96">
        <f t="shared" si="272"/>
        <v>54.17</v>
      </c>
      <c r="J4410" s="91" t="str">
        <f t="shared" si="273"/>
        <v>Sinapi 94680</v>
      </c>
      <c r="K4410" s="91" t="str">
        <f t="shared" si="274"/>
        <v>UN</v>
      </c>
      <c r="L4410" s="166" t="str">
        <f t="shared" si="275"/>
        <v>06/2016</v>
      </c>
      <c r="M4410" s="82"/>
      <c r="N4410" s="82"/>
    </row>
    <row r="4411" spans="1:14" x14ac:dyDescent="0.25">
      <c r="A4411" s="170" t="s">
        <v>7238</v>
      </c>
      <c r="B4411" s="170" t="s">
        <v>7239</v>
      </c>
      <c r="C4411" s="170" t="s">
        <v>205</v>
      </c>
      <c r="D4411" s="170" t="s">
        <v>2067</v>
      </c>
      <c r="E4411" s="171" t="s">
        <v>33738</v>
      </c>
      <c r="F4411" s="171" t="s">
        <v>32756</v>
      </c>
      <c r="G4411" s="82"/>
      <c r="H4411" s="96">
        <f t="shared" si="272"/>
        <v>58.91</v>
      </c>
      <c r="I4411" s="96">
        <f t="shared" si="272"/>
        <v>60.22</v>
      </c>
      <c r="J4411" s="91" t="str">
        <f t="shared" si="273"/>
        <v>Sinapi 94681</v>
      </c>
      <c r="K4411" s="91" t="str">
        <f t="shared" si="274"/>
        <v>UN</v>
      </c>
      <c r="L4411" s="166" t="str">
        <f t="shared" si="275"/>
        <v>06/2016</v>
      </c>
      <c r="M4411" s="82"/>
      <c r="N4411" s="82"/>
    </row>
    <row r="4412" spans="1:14" x14ac:dyDescent="0.25">
      <c r="A4412" s="170" t="s">
        <v>7240</v>
      </c>
      <c r="B4412" s="170" t="s">
        <v>7241</v>
      </c>
      <c r="C4412" s="170" t="s">
        <v>205</v>
      </c>
      <c r="D4412" s="170" t="s">
        <v>2067</v>
      </c>
      <c r="E4412" s="171" t="s">
        <v>33739</v>
      </c>
      <c r="F4412" s="171" t="s">
        <v>36919</v>
      </c>
      <c r="G4412" s="82"/>
      <c r="H4412" s="96">
        <f t="shared" si="272"/>
        <v>119.16</v>
      </c>
      <c r="I4412" s="96">
        <f t="shared" si="272"/>
        <v>120.47</v>
      </c>
      <c r="J4412" s="91" t="str">
        <f t="shared" si="273"/>
        <v>Sinapi 94682</v>
      </c>
      <c r="K4412" s="91" t="str">
        <f t="shared" si="274"/>
        <v>UN</v>
      </c>
      <c r="L4412" s="166" t="str">
        <f t="shared" si="275"/>
        <v>06/2016</v>
      </c>
      <c r="M4412" s="82"/>
      <c r="N4412" s="82"/>
    </row>
    <row r="4413" spans="1:14" x14ac:dyDescent="0.25">
      <c r="A4413" s="170" t="s">
        <v>7242</v>
      </c>
      <c r="B4413" s="170" t="s">
        <v>7243</v>
      </c>
      <c r="C4413" s="170" t="s">
        <v>205</v>
      </c>
      <c r="D4413" s="170" t="s">
        <v>2067</v>
      </c>
      <c r="E4413" s="171" t="s">
        <v>31970</v>
      </c>
      <c r="F4413" s="171" t="s">
        <v>36920</v>
      </c>
      <c r="G4413" s="82"/>
      <c r="H4413" s="96">
        <f t="shared" si="272"/>
        <v>80.37</v>
      </c>
      <c r="I4413" s="96">
        <f t="shared" si="272"/>
        <v>81.680000000000007</v>
      </c>
      <c r="J4413" s="91" t="str">
        <f t="shared" si="273"/>
        <v>Sinapi 94683</v>
      </c>
      <c r="K4413" s="91" t="str">
        <f t="shared" si="274"/>
        <v>UN</v>
      </c>
      <c r="L4413" s="166" t="str">
        <f t="shared" si="275"/>
        <v>06/2016</v>
      </c>
      <c r="M4413" s="82"/>
      <c r="N4413" s="82"/>
    </row>
    <row r="4414" spans="1:14" x14ac:dyDescent="0.25">
      <c r="A4414" s="170" t="s">
        <v>7244</v>
      </c>
      <c r="B4414" s="170" t="s">
        <v>7245</v>
      </c>
      <c r="C4414" s="170" t="s">
        <v>205</v>
      </c>
      <c r="D4414" s="170" t="s">
        <v>2067</v>
      </c>
      <c r="E4414" s="171" t="s">
        <v>33740</v>
      </c>
      <c r="F4414" s="171" t="s">
        <v>36921</v>
      </c>
      <c r="G4414" s="82"/>
      <c r="H4414" s="96">
        <f t="shared" si="272"/>
        <v>153.88999999999999</v>
      </c>
      <c r="I4414" s="96">
        <f t="shared" si="272"/>
        <v>156.19</v>
      </c>
      <c r="J4414" s="91" t="str">
        <f t="shared" si="273"/>
        <v>Sinapi 94684</v>
      </c>
      <c r="K4414" s="91" t="str">
        <f t="shared" si="274"/>
        <v>UN</v>
      </c>
      <c r="L4414" s="166" t="str">
        <f t="shared" si="275"/>
        <v>06/2016</v>
      </c>
      <c r="M4414" s="82"/>
      <c r="N4414" s="82"/>
    </row>
    <row r="4415" spans="1:14" x14ac:dyDescent="0.25">
      <c r="A4415" s="170" t="s">
        <v>7246</v>
      </c>
      <c r="B4415" s="170" t="s">
        <v>7247</v>
      </c>
      <c r="C4415" s="170" t="s">
        <v>205</v>
      </c>
      <c r="D4415" s="170" t="s">
        <v>2067</v>
      </c>
      <c r="E4415" s="171" t="s">
        <v>29316</v>
      </c>
      <c r="F4415" s="171" t="s">
        <v>36922</v>
      </c>
      <c r="G4415" s="82"/>
      <c r="H4415" s="96">
        <f t="shared" si="272"/>
        <v>112.77</v>
      </c>
      <c r="I4415" s="96">
        <f t="shared" si="272"/>
        <v>115.07</v>
      </c>
      <c r="J4415" s="91" t="str">
        <f t="shared" si="273"/>
        <v>Sinapi 94685</v>
      </c>
      <c r="K4415" s="91" t="str">
        <f t="shared" si="274"/>
        <v>UN</v>
      </c>
      <c r="L4415" s="166" t="str">
        <f t="shared" si="275"/>
        <v>06/2016</v>
      </c>
      <c r="M4415" s="82"/>
      <c r="N4415" s="82"/>
    </row>
    <row r="4416" spans="1:14" x14ac:dyDescent="0.25">
      <c r="A4416" s="170" t="s">
        <v>7248</v>
      </c>
      <c r="B4416" s="170" t="s">
        <v>7249</v>
      </c>
      <c r="C4416" s="170" t="s">
        <v>205</v>
      </c>
      <c r="D4416" s="170" t="s">
        <v>2067</v>
      </c>
      <c r="E4416" s="171" t="s">
        <v>33741</v>
      </c>
      <c r="F4416" s="171" t="s">
        <v>36923</v>
      </c>
      <c r="G4416" s="82"/>
      <c r="H4416" s="96">
        <f t="shared" si="272"/>
        <v>276.98</v>
      </c>
      <c r="I4416" s="96">
        <f t="shared" si="272"/>
        <v>279.27999999999997</v>
      </c>
      <c r="J4416" s="91" t="str">
        <f t="shared" si="273"/>
        <v>Sinapi 94686</v>
      </c>
      <c r="K4416" s="91" t="str">
        <f t="shared" si="274"/>
        <v>UN</v>
      </c>
      <c r="L4416" s="166" t="str">
        <f t="shared" si="275"/>
        <v>06/2016</v>
      </c>
      <c r="M4416" s="82"/>
      <c r="N4416" s="82"/>
    </row>
    <row r="4417" spans="1:14" x14ac:dyDescent="0.25">
      <c r="A4417" s="170" t="s">
        <v>7250</v>
      </c>
      <c r="B4417" s="170" t="s">
        <v>7251</v>
      </c>
      <c r="C4417" s="170" t="s">
        <v>205</v>
      </c>
      <c r="D4417" s="170" t="s">
        <v>2067</v>
      </c>
      <c r="E4417" s="171" t="s">
        <v>33742</v>
      </c>
      <c r="F4417" s="171" t="s">
        <v>24534</v>
      </c>
      <c r="G4417" s="82"/>
      <c r="H4417" s="96">
        <f t="shared" si="272"/>
        <v>249.68</v>
      </c>
      <c r="I4417" s="96">
        <f t="shared" si="272"/>
        <v>251.98</v>
      </c>
      <c r="J4417" s="91" t="str">
        <f t="shared" si="273"/>
        <v>Sinapi 94687</v>
      </c>
      <c r="K4417" s="91" t="str">
        <f t="shared" si="274"/>
        <v>UN</v>
      </c>
      <c r="L4417" s="166" t="str">
        <f t="shared" si="275"/>
        <v>06/2016</v>
      </c>
      <c r="M4417" s="82"/>
      <c r="N4417" s="82"/>
    </row>
    <row r="4418" spans="1:14" x14ac:dyDescent="0.25">
      <c r="A4418" s="170" t="s">
        <v>7252</v>
      </c>
      <c r="B4418" s="170" t="s">
        <v>7253</v>
      </c>
      <c r="C4418" s="170" t="s">
        <v>205</v>
      </c>
      <c r="D4418" s="170" t="s">
        <v>2067</v>
      </c>
      <c r="E4418" s="171" t="s">
        <v>2147</v>
      </c>
      <c r="F4418" s="171" t="s">
        <v>21111</v>
      </c>
      <c r="G4418" s="82"/>
      <c r="H4418" s="96">
        <f t="shared" si="272"/>
        <v>10.72</v>
      </c>
      <c r="I4418" s="96">
        <f t="shared" si="272"/>
        <v>11.47</v>
      </c>
      <c r="J4418" s="91" t="str">
        <f t="shared" si="273"/>
        <v>Sinapi 94688</v>
      </c>
      <c r="K4418" s="91" t="str">
        <f t="shared" si="274"/>
        <v>UN</v>
      </c>
      <c r="L4418" s="166" t="str">
        <f t="shared" si="275"/>
        <v>06/2016</v>
      </c>
      <c r="M4418" s="82"/>
      <c r="N4418" s="82"/>
    </row>
    <row r="4419" spans="1:14" x14ac:dyDescent="0.25">
      <c r="A4419" s="170" t="s">
        <v>7254</v>
      </c>
      <c r="B4419" s="170" t="s">
        <v>7255</v>
      </c>
      <c r="C4419" s="170" t="s">
        <v>205</v>
      </c>
      <c r="D4419" s="170" t="s">
        <v>2067</v>
      </c>
      <c r="E4419" s="171" t="s">
        <v>13839</v>
      </c>
      <c r="F4419" s="171" t="s">
        <v>14780</v>
      </c>
      <c r="G4419" s="82"/>
      <c r="H4419" s="96">
        <f t="shared" si="272"/>
        <v>14.28</v>
      </c>
      <c r="I4419" s="96">
        <f t="shared" si="272"/>
        <v>15.03</v>
      </c>
      <c r="J4419" s="91" t="str">
        <f t="shared" si="273"/>
        <v>Sinapi 94689</v>
      </c>
      <c r="K4419" s="91" t="str">
        <f t="shared" si="274"/>
        <v>UN</v>
      </c>
      <c r="L4419" s="166" t="str">
        <f t="shared" si="275"/>
        <v>06/2016</v>
      </c>
      <c r="M4419" s="82"/>
      <c r="N4419" s="82"/>
    </row>
    <row r="4420" spans="1:14" x14ac:dyDescent="0.25">
      <c r="A4420" s="170" t="s">
        <v>7256</v>
      </c>
      <c r="B4420" s="170" t="s">
        <v>7257</v>
      </c>
      <c r="C4420" s="170" t="s">
        <v>205</v>
      </c>
      <c r="D4420" s="170" t="s">
        <v>2067</v>
      </c>
      <c r="E4420" s="171" t="s">
        <v>15795</v>
      </c>
      <c r="F4420" s="171" t="s">
        <v>17355</v>
      </c>
      <c r="G4420" s="82"/>
      <c r="H4420" s="96">
        <f t="shared" si="272"/>
        <v>13.74</v>
      </c>
      <c r="I4420" s="96">
        <f t="shared" si="272"/>
        <v>14.49</v>
      </c>
      <c r="J4420" s="91" t="str">
        <f t="shared" si="273"/>
        <v>Sinapi 94690</v>
      </c>
      <c r="K4420" s="91" t="str">
        <f t="shared" si="274"/>
        <v>UN</v>
      </c>
      <c r="L4420" s="166" t="str">
        <f t="shared" si="275"/>
        <v>06/2016</v>
      </c>
      <c r="M4420" s="82"/>
      <c r="N4420" s="82"/>
    </row>
    <row r="4421" spans="1:14" x14ac:dyDescent="0.25">
      <c r="A4421" s="170" t="s">
        <v>7258</v>
      </c>
      <c r="B4421" s="170" t="s">
        <v>7259</v>
      </c>
      <c r="C4421" s="170" t="s">
        <v>205</v>
      </c>
      <c r="D4421" s="170" t="s">
        <v>2067</v>
      </c>
      <c r="E4421" s="171" t="s">
        <v>21258</v>
      </c>
      <c r="F4421" s="171" t="s">
        <v>16372</v>
      </c>
      <c r="G4421" s="82"/>
      <c r="H4421" s="96">
        <f t="shared" si="272"/>
        <v>17.16</v>
      </c>
      <c r="I4421" s="96">
        <f t="shared" si="272"/>
        <v>17.91</v>
      </c>
      <c r="J4421" s="91" t="str">
        <f t="shared" si="273"/>
        <v>Sinapi 94691</v>
      </c>
      <c r="K4421" s="91" t="str">
        <f t="shared" si="274"/>
        <v>UN</v>
      </c>
      <c r="L4421" s="166" t="str">
        <f t="shared" si="275"/>
        <v>06/2016</v>
      </c>
      <c r="M4421" s="82"/>
      <c r="N4421" s="82"/>
    </row>
    <row r="4422" spans="1:14" x14ac:dyDescent="0.25">
      <c r="A4422" s="170" t="s">
        <v>7260</v>
      </c>
      <c r="B4422" s="170" t="s">
        <v>7261</v>
      </c>
      <c r="C4422" s="170" t="s">
        <v>205</v>
      </c>
      <c r="D4422" s="170" t="s">
        <v>2067</v>
      </c>
      <c r="E4422" s="171" t="s">
        <v>19973</v>
      </c>
      <c r="F4422" s="171" t="s">
        <v>36924</v>
      </c>
      <c r="G4422" s="82"/>
      <c r="H4422" s="96">
        <f t="shared" si="272"/>
        <v>25.29</v>
      </c>
      <c r="I4422" s="96">
        <f t="shared" si="272"/>
        <v>26.36</v>
      </c>
      <c r="J4422" s="91" t="str">
        <f t="shared" si="273"/>
        <v>Sinapi 94692</v>
      </c>
      <c r="K4422" s="91" t="str">
        <f t="shared" si="274"/>
        <v>UN</v>
      </c>
      <c r="L4422" s="166" t="str">
        <f t="shared" si="275"/>
        <v>06/2016</v>
      </c>
      <c r="M4422" s="82"/>
      <c r="N4422" s="82"/>
    </row>
    <row r="4423" spans="1:14" x14ac:dyDescent="0.25">
      <c r="A4423" s="170" t="s">
        <v>7262</v>
      </c>
      <c r="B4423" s="170" t="s">
        <v>7263</v>
      </c>
      <c r="C4423" s="170" t="s">
        <v>205</v>
      </c>
      <c r="D4423" s="170" t="s">
        <v>2067</v>
      </c>
      <c r="E4423" s="171" t="s">
        <v>33585</v>
      </c>
      <c r="F4423" s="171" t="s">
        <v>20130</v>
      </c>
      <c r="G4423" s="82"/>
      <c r="H4423" s="96">
        <f t="shared" si="272"/>
        <v>24.64</v>
      </c>
      <c r="I4423" s="96">
        <f t="shared" si="272"/>
        <v>25.71</v>
      </c>
      <c r="J4423" s="91" t="str">
        <f t="shared" si="273"/>
        <v>Sinapi 94693</v>
      </c>
      <c r="K4423" s="91" t="str">
        <f t="shared" si="274"/>
        <v>UN</v>
      </c>
      <c r="L4423" s="166" t="str">
        <f t="shared" si="275"/>
        <v>06/2016</v>
      </c>
      <c r="M4423" s="82"/>
      <c r="N4423" s="82"/>
    </row>
    <row r="4424" spans="1:14" x14ac:dyDescent="0.25">
      <c r="A4424" s="170" t="s">
        <v>7264</v>
      </c>
      <c r="B4424" s="170" t="s">
        <v>7265</v>
      </c>
      <c r="C4424" s="170" t="s">
        <v>205</v>
      </c>
      <c r="D4424" s="170" t="s">
        <v>2067</v>
      </c>
      <c r="E4424" s="171" t="s">
        <v>19275</v>
      </c>
      <c r="F4424" s="171" t="s">
        <v>36925</v>
      </c>
      <c r="G4424" s="82"/>
      <c r="H4424" s="96">
        <f t="shared" ref="H4424:I4487" si="276">IF(E4424="","",E4424+0)</f>
        <v>25.78</v>
      </c>
      <c r="I4424" s="96">
        <f t="shared" si="276"/>
        <v>26.85</v>
      </c>
      <c r="J4424" s="91" t="str">
        <f t="shared" ref="J4424:J4487" si="277">IF(OR(H4424="",I4424=""),"",TRIM(CONCATENATE("Sinapi ",A4424)))</f>
        <v>Sinapi 94694</v>
      </c>
      <c r="K4424" s="91" t="str">
        <f t="shared" ref="K4424:K4487" si="278">TRIM(C4424)</f>
        <v>UN</v>
      </c>
      <c r="L4424" s="166" t="str">
        <f t="shared" ref="L4424:L4487" si="279">IF(OR(RIGHT(IF(AND(K4424&lt;&gt;"H",K4424&lt;&gt;"MES"),RIGHT(B4424,7),""),2)="PS",RIGHT(IF(AND(K4424&lt;&gt;"H",K4424&lt;&gt;"MES"),RIGHT(B4424,7),""),2)="PA",RIGHT(IF(AND(K4424&lt;&gt;"H",K4424&lt;&gt;"MES"),RIGHT(B4424,7),""),2)="PE"),LEFT(IF(AND(K4424&lt;&gt;"H",K4424&lt;&gt;"MES"),RIGHT(B4424,10),""),7),IF(AND(K4424&lt;&gt;"H",K4424&lt;&gt;"MES"),RIGHT(B4424,7),""))</f>
        <v>06/2016</v>
      </c>
      <c r="M4424" s="82"/>
      <c r="N4424" s="82"/>
    </row>
    <row r="4425" spans="1:14" x14ac:dyDescent="0.25">
      <c r="A4425" s="170" t="s">
        <v>7266</v>
      </c>
      <c r="B4425" s="170" t="s">
        <v>7267</v>
      </c>
      <c r="C4425" s="170" t="s">
        <v>205</v>
      </c>
      <c r="D4425" s="170" t="s">
        <v>2067</v>
      </c>
      <c r="E4425" s="171" t="s">
        <v>21842</v>
      </c>
      <c r="F4425" s="171" t="s">
        <v>36926</v>
      </c>
      <c r="G4425" s="82"/>
      <c r="H4425" s="96">
        <f t="shared" si="276"/>
        <v>35.700000000000003</v>
      </c>
      <c r="I4425" s="96">
        <f t="shared" si="276"/>
        <v>36.770000000000003</v>
      </c>
      <c r="J4425" s="91" t="str">
        <f t="shared" si="277"/>
        <v>Sinapi 94695</v>
      </c>
      <c r="K4425" s="91" t="str">
        <f t="shared" si="278"/>
        <v>UN</v>
      </c>
      <c r="L4425" s="166" t="str">
        <f t="shared" si="279"/>
        <v>06/2016</v>
      </c>
      <c r="M4425" s="82"/>
      <c r="N4425" s="82"/>
    </row>
    <row r="4426" spans="1:14" x14ac:dyDescent="0.25">
      <c r="A4426" s="170" t="s">
        <v>7268</v>
      </c>
      <c r="B4426" s="170" t="s">
        <v>7269</v>
      </c>
      <c r="C4426" s="170" t="s">
        <v>205</v>
      </c>
      <c r="D4426" s="170" t="s">
        <v>2067</v>
      </c>
      <c r="E4426" s="171" t="s">
        <v>33743</v>
      </c>
      <c r="F4426" s="171" t="s">
        <v>28136</v>
      </c>
      <c r="G4426" s="82"/>
      <c r="H4426" s="96">
        <f t="shared" si="276"/>
        <v>62.85</v>
      </c>
      <c r="I4426" s="96">
        <f t="shared" si="276"/>
        <v>64.59</v>
      </c>
      <c r="J4426" s="91" t="str">
        <f t="shared" si="277"/>
        <v>Sinapi 94696</v>
      </c>
      <c r="K4426" s="91" t="str">
        <f t="shared" si="278"/>
        <v>UN</v>
      </c>
      <c r="L4426" s="166" t="str">
        <f t="shared" si="279"/>
        <v>06/2016</v>
      </c>
      <c r="M4426" s="82"/>
      <c r="N4426" s="82"/>
    </row>
    <row r="4427" spans="1:14" x14ac:dyDescent="0.25">
      <c r="A4427" s="170" t="s">
        <v>7270</v>
      </c>
      <c r="B4427" s="170" t="s">
        <v>7271</v>
      </c>
      <c r="C4427" s="170" t="s">
        <v>205</v>
      </c>
      <c r="D4427" s="170" t="s">
        <v>2067</v>
      </c>
      <c r="E4427" s="171" t="s">
        <v>33744</v>
      </c>
      <c r="F4427" s="171" t="s">
        <v>36927</v>
      </c>
      <c r="G4427" s="82"/>
      <c r="H4427" s="96">
        <f t="shared" si="276"/>
        <v>93.96</v>
      </c>
      <c r="I4427" s="96">
        <f t="shared" si="276"/>
        <v>95.7</v>
      </c>
      <c r="J4427" s="91" t="str">
        <f t="shared" si="277"/>
        <v>Sinapi 94697</v>
      </c>
      <c r="K4427" s="91" t="str">
        <f t="shared" si="278"/>
        <v>UN</v>
      </c>
      <c r="L4427" s="166" t="str">
        <f t="shared" si="279"/>
        <v>06/2016</v>
      </c>
      <c r="M4427" s="82"/>
      <c r="N4427" s="82"/>
    </row>
    <row r="4428" spans="1:14" x14ac:dyDescent="0.25">
      <c r="A4428" s="170" t="s">
        <v>7272</v>
      </c>
      <c r="B4428" s="170" t="s">
        <v>7273</v>
      </c>
      <c r="C4428" s="170" t="s">
        <v>205</v>
      </c>
      <c r="D4428" s="170" t="s">
        <v>2067</v>
      </c>
      <c r="E4428" s="171" t="s">
        <v>29176</v>
      </c>
      <c r="F4428" s="171" t="s">
        <v>26450</v>
      </c>
      <c r="G4428" s="82"/>
      <c r="H4428" s="96">
        <f t="shared" si="276"/>
        <v>76.53</v>
      </c>
      <c r="I4428" s="96">
        <f t="shared" si="276"/>
        <v>78.27</v>
      </c>
      <c r="J4428" s="91" t="str">
        <f t="shared" si="277"/>
        <v>Sinapi 94698</v>
      </c>
      <c r="K4428" s="91" t="str">
        <f t="shared" si="278"/>
        <v>UN</v>
      </c>
      <c r="L4428" s="166" t="str">
        <f t="shared" si="279"/>
        <v>06/2016</v>
      </c>
      <c r="M4428" s="82"/>
      <c r="N4428" s="82"/>
    </row>
    <row r="4429" spans="1:14" x14ac:dyDescent="0.25">
      <c r="A4429" s="170" t="s">
        <v>7274</v>
      </c>
      <c r="B4429" s="170" t="s">
        <v>7275</v>
      </c>
      <c r="C4429" s="170" t="s">
        <v>205</v>
      </c>
      <c r="D4429" s="170" t="s">
        <v>2067</v>
      </c>
      <c r="E4429" s="171" t="s">
        <v>30246</v>
      </c>
      <c r="F4429" s="171" t="s">
        <v>36928</v>
      </c>
      <c r="G4429" s="82"/>
      <c r="H4429" s="96">
        <f t="shared" si="276"/>
        <v>139.41</v>
      </c>
      <c r="I4429" s="96">
        <f t="shared" si="276"/>
        <v>142.44999999999999</v>
      </c>
      <c r="J4429" s="91" t="str">
        <f t="shared" si="277"/>
        <v>Sinapi 94699</v>
      </c>
      <c r="K4429" s="91" t="str">
        <f t="shared" si="278"/>
        <v>UN</v>
      </c>
      <c r="L4429" s="166" t="str">
        <f t="shared" si="279"/>
        <v>06/2016</v>
      </c>
      <c r="M4429" s="82"/>
      <c r="N4429" s="82"/>
    </row>
    <row r="4430" spans="1:14" x14ac:dyDescent="0.25">
      <c r="A4430" s="170" t="s">
        <v>7276</v>
      </c>
      <c r="B4430" s="170" t="s">
        <v>7277</v>
      </c>
      <c r="C4430" s="170" t="s">
        <v>205</v>
      </c>
      <c r="D4430" s="170" t="s">
        <v>2067</v>
      </c>
      <c r="E4430" s="171" t="s">
        <v>33745</v>
      </c>
      <c r="F4430" s="171" t="s">
        <v>26029</v>
      </c>
      <c r="G4430" s="82"/>
      <c r="H4430" s="96">
        <f t="shared" si="276"/>
        <v>163.30000000000001</v>
      </c>
      <c r="I4430" s="96">
        <f t="shared" si="276"/>
        <v>166.34</v>
      </c>
      <c r="J4430" s="91" t="str">
        <f t="shared" si="277"/>
        <v>Sinapi 94700</v>
      </c>
      <c r="K4430" s="91" t="str">
        <f t="shared" si="278"/>
        <v>UN</v>
      </c>
      <c r="L4430" s="166" t="str">
        <f t="shared" si="279"/>
        <v>06/2016</v>
      </c>
      <c r="M4430" s="82"/>
      <c r="N4430" s="82"/>
    </row>
    <row r="4431" spans="1:14" x14ac:dyDescent="0.25">
      <c r="A4431" s="170" t="s">
        <v>7278</v>
      </c>
      <c r="B4431" s="170" t="s">
        <v>7279</v>
      </c>
      <c r="C4431" s="170" t="s">
        <v>205</v>
      </c>
      <c r="D4431" s="170" t="s">
        <v>2067</v>
      </c>
      <c r="E4431" s="171" t="s">
        <v>33746</v>
      </c>
      <c r="F4431" s="171" t="s">
        <v>31966</v>
      </c>
      <c r="G4431" s="82"/>
      <c r="H4431" s="96">
        <f t="shared" si="276"/>
        <v>244.67</v>
      </c>
      <c r="I4431" s="96">
        <f t="shared" si="276"/>
        <v>247.71</v>
      </c>
      <c r="J4431" s="91" t="str">
        <f t="shared" si="277"/>
        <v>Sinapi 94701</v>
      </c>
      <c r="K4431" s="91" t="str">
        <f t="shared" si="278"/>
        <v>UN</v>
      </c>
      <c r="L4431" s="166" t="str">
        <f t="shared" si="279"/>
        <v>06/2016</v>
      </c>
      <c r="M4431" s="82"/>
      <c r="N4431" s="82"/>
    </row>
    <row r="4432" spans="1:14" x14ac:dyDescent="0.25">
      <c r="A4432" s="170" t="s">
        <v>7280</v>
      </c>
      <c r="B4432" s="170" t="s">
        <v>7281</v>
      </c>
      <c r="C4432" s="170" t="s">
        <v>205</v>
      </c>
      <c r="D4432" s="170" t="s">
        <v>2067</v>
      </c>
      <c r="E4432" s="171" t="s">
        <v>33747</v>
      </c>
      <c r="F4432" s="171" t="s">
        <v>36929</v>
      </c>
      <c r="G4432" s="82"/>
      <c r="H4432" s="96">
        <f t="shared" si="276"/>
        <v>214.96</v>
      </c>
      <c r="I4432" s="96">
        <f t="shared" si="276"/>
        <v>218</v>
      </c>
      <c r="J4432" s="91" t="str">
        <f t="shared" si="277"/>
        <v>Sinapi 94702</v>
      </c>
      <c r="K4432" s="91" t="str">
        <f t="shared" si="278"/>
        <v>UN</v>
      </c>
      <c r="L4432" s="166" t="str">
        <f t="shared" si="279"/>
        <v>06/2016</v>
      </c>
      <c r="M4432" s="82"/>
      <c r="N4432" s="82"/>
    </row>
    <row r="4433" spans="1:14" x14ac:dyDescent="0.25">
      <c r="A4433" s="170" t="s">
        <v>7282</v>
      </c>
      <c r="B4433" s="170" t="s">
        <v>7283</v>
      </c>
      <c r="C4433" s="170" t="s">
        <v>205</v>
      </c>
      <c r="D4433" s="170" t="s">
        <v>2067</v>
      </c>
      <c r="E4433" s="171" t="s">
        <v>20463</v>
      </c>
      <c r="F4433" s="171" t="s">
        <v>14254</v>
      </c>
      <c r="G4433" s="82"/>
      <c r="H4433" s="96">
        <f t="shared" si="276"/>
        <v>22.2</v>
      </c>
      <c r="I4433" s="96">
        <f t="shared" si="276"/>
        <v>22.85</v>
      </c>
      <c r="J4433" s="91" t="str">
        <f t="shared" si="277"/>
        <v>Sinapi 94703</v>
      </c>
      <c r="K4433" s="91" t="str">
        <f t="shared" si="278"/>
        <v>UN</v>
      </c>
      <c r="L4433" s="166" t="str">
        <f t="shared" si="279"/>
        <v>06/2016</v>
      </c>
      <c r="M4433" s="82"/>
      <c r="N4433" s="82"/>
    </row>
    <row r="4434" spans="1:14" x14ac:dyDescent="0.25">
      <c r="A4434" s="170" t="s">
        <v>7285</v>
      </c>
      <c r="B4434" s="170" t="s">
        <v>7286</v>
      </c>
      <c r="C4434" s="170" t="s">
        <v>205</v>
      </c>
      <c r="D4434" s="170" t="s">
        <v>2067</v>
      </c>
      <c r="E4434" s="171" t="s">
        <v>30753</v>
      </c>
      <c r="F4434" s="171" t="s">
        <v>34168</v>
      </c>
      <c r="G4434" s="82"/>
      <c r="H4434" s="96">
        <f t="shared" si="276"/>
        <v>29.5</v>
      </c>
      <c r="I4434" s="96">
        <f t="shared" si="276"/>
        <v>30.15</v>
      </c>
      <c r="J4434" s="91" t="str">
        <f t="shared" si="277"/>
        <v>Sinapi 94704</v>
      </c>
      <c r="K4434" s="91" t="str">
        <f t="shared" si="278"/>
        <v>UN</v>
      </c>
      <c r="L4434" s="166" t="str">
        <f t="shared" si="279"/>
        <v>06/2016</v>
      </c>
      <c r="M4434" s="82"/>
      <c r="N4434" s="82"/>
    </row>
    <row r="4435" spans="1:14" x14ac:dyDescent="0.25">
      <c r="A4435" s="170" t="s">
        <v>7287</v>
      </c>
      <c r="B4435" s="170" t="s">
        <v>7288</v>
      </c>
      <c r="C4435" s="170" t="s">
        <v>205</v>
      </c>
      <c r="D4435" s="170" t="s">
        <v>2067</v>
      </c>
      <c r="E4435" s="171" t="s">
        <v>29290</v>
      </c>
      <c r="F4435" s="171" t="s">
        <v>32513</v>
      </c>
      <c r="G4435" s="82"/>
      <c r="H4435" s="96">
        <f t="shared" si="276"/>
        <v>40.32</v>
      </c>
      <c r="I4435" s="96">
        <f t="shared" si="276"/>
        <v>40.97</v>
      </c>
      <c r="J4435" s="91" t="str">
        <f t="shared" si="277"/>
        <v>Sinapi 94705</v>
      </c>
      <c r="K4435" s="91" t="str">
        <f t="shared" si="278"/>
        <v>UN</v>
      </c>
      <c r="L4435" s="166" t="str">
        <f t="shared" si="279"/>
        <v>06/2016</v>
      </c>
      <c r="M4435" s="82"/>
      <c r="N4435" s="82"/>
    </row>
    <row r="4436" spans="1:14" x14ac:dyDescent="0.25">
      <c r="A4436" s="170" t="s">
        <v>7289</v>
      </c>
      <c r="B4436" s="170" t="s">
        <v>7290</v>
      </c>
      <c r="C4436" s="170" t="s">
        <v>205</v>
      </c>
      <c r="D4436" s="170" t="s">
        <v>2067</v>
      </c>
      <c r="E4436" s="171" t="s">
        <v>33748</v>
      </c>
      <c r="F4436" s="171" t="s">
        <v>36930</v>
      </c>
      <c r="G4436" s="82"/>
      <c r="H4436" s="96">
        <f t="shared" si="276"/>
        <v>47.71</v>
      </c>
      <c r="I4436" s="96">
        <f t="shared" si="276"/>
        <v>48.56</v>
      </c>
      <c r="J4436" s="91" t="str">
        <f t="shared" si="277"/>
        <v>Sinapi 94706</v>
      </c>
      <c r="K4436" s="91" t="str">
        <f t="shared" si="278"/>
        <v>UN</v>
      </c>
      <c r="L4436" s="166" t="str">
        <f t="shared" si="279"/>
        <v>06/2016</v>
      </c>
      <c r="M4436" s="82"/>
      <c r="N4436" s="82"/>
    </row>
    <row r="4437" spans="1:14" x14ac:dyDescent="0.25">
      <c r="A4437" s="170" t="s">
        <v>7291</v>
      </c>
      <c r="B4437" s="170" t="s">
        <v>7292</v>
      </c>
      <c r="C4437" s="170" t="s">
        <v>205</v>
      </c>
      <c r="D4437" s="170" t="s">
        <v>2067</v>
      </c>
      <c r="E4437" s="171" t="s">
        <v>33749</v>
      </c>
      <c r="F4437" s="171" t="s">
        <v>36070</v>
      </c>
      <c r="G4437" s="82"/>
      <c r="H4437" s="96">
        <f t="shared" si="276"/>
        <v>70.739999999999995</v>
      </c>
      <c r="I4437" s="96">
        <f t="shared" si="276"/>
        <v>71.59</v>
      </c>
      <c r="J4437" s="91" t="str">
        <f t="shared" si="277"/>
        <v>Sinapi 94707</v>
      </c>
      <c r="K4437" s="91" t="str">
        <f t="shared" si="278"/>
        <v>UN</v>
      </c>
      <c r="L4437" s="166" t="str">
        <f t="shared" si="279"/>
        <v>06/2016</v>
      </c>
      <c r="M4437" s="82"/>
      <c r="N4437" s="82"/>
    </row>
    <row r="4438" spans="1:14" x14ac:dyDescent="0.25">
      <c r="A4438" s="170" t="s">
        <v>7293</v>
      </c>
      <c r="B4438" s="170" t="s">
        <v>7294</v>
      </c>
      <c r="C4438" s="170" t="s">
        <v>205</v>
      </c>
      <c r="D4438" s="170" t="s">
        <v>2067</v>
      </c>
      <c r="E4438" s="171" t="s">
        <v>33750</v>
      </c>
      <c r="F4438" s="171" t="s">
        <v>36931</v>
      </c>
      <c r="G4438" s="82"/>
      <c r="H4438" s="96">
        <f t="shared" si="276"/>
        <v>273.08999999999997</v>
      </c>
      <c r="I4438" s="96">
        <f t="shared" si="276"/>
        <v>274.54000000000002</v>
      </c>
      <c r="J4438" s="91" t="str">
        <f t="shared" si="277"/>
        <v>Sinapi 94713</v>
      </c>
      <c r="K4438" s="91" t="str">
        <f t="shared" si="278"/>
        <v>UN</v>
      </c>
      <c r="L4438" s="166" t="str">
        <f t="shared" si="279"/>
        <v>06/2016</v>
      </c>
      <c r="M4438" s="82"/>
      <c r="N4438" s="82"/>
    </row>
    <row r="4439" spans="1:14" x14ac:dyDescent="0.25">
      <c r="A4439" s="170" t="s">
        <v>7295</v>
      </c>
      <c r="B4439" s="170" t="s">
        <v>7296</v>
      </c>
      <c r="C4439" s="170" t="s">
        <v>205</v>
      </c>
      <c r="D4439" s="170" t="s">
        <v>2067</v>
      </c>
      <c r="E4439" s="171" t="s">
        <v>33751</v>
      </c>
      <c r="F4439" s="171" t="s">
        <v>36932</v>
      </c>
      <c r="G4439" s="82"/>
      <c r="H4439" s="96">
        <f t="shared" si="276"/>
        <v>380.93</v>
      </c>
      <c r="I4439" s="96">
        <f t="shared" si="276"/>
        <v>382.38</v>
      </c>
      <c r="J4439" s="91" t="str">
        <f t="shared" si="277"/>
        <v>Sinapi 94714</v>
      </c>
      <c r="K4439" s="91" t="str">
        <f t="shared" si="278"/>
        <v>UN</v>
      </c>
      <c r="L4439" s="166" t="str">
        <f t="shared" si="279"/>
        <v>06/2016</v>
      </c>
      <c r="M4439" s="82"/>
      <c r="N4439" s="82"/>
    </row>
    <row r="4440" spans="1:14" x14ac:dyDescent="0.25">
      <c r="A4440" s="170" t="s">
        <v>7297</v>
      </c>
      <c r="B4440" s="170" t="s">
        <v>7298</v>
      </c>
      <c r="C4440" s="170" t="s">
        <v>205</v>
      </c>
      <c r="D4440" s="170" t="s">
        <v>2067</v>
      </c>
      <c r="E4440" s="171" t="s">
        <v>33752</v>
      </c>
      <c r="F4440" s="171" t="s">
        <v>36933</v>
      </c>
      <c r="G4440" s="82"/>
      <c r="H4440" s="96">
        <f t="shared" si="276"/>
        <v>336.03</v>
      </c>
      <c r="I4440" s="96">
        <f t="shared" si="276"/>
        <v>337.48</v>
      </c>
      <c r="J4440" s="91" t="str">
        <f t="shared" si="277"/>
        <v>Sinapi 94715</v>
      </c>
      <c r="K4440" s="91" t="str">
        <f t="shared" si="278"/>
        <v>UN</v>
      </c>
      <c r="L4440" s="166" t="str">
        <f t="shared" si="279"/>
        <v>06/2016</v>
      </c>
      <c r="M4440" s="82"/>
      <c r="N4440" s="82"/>
    </row>
    <row r="4441" spans="1:14" x14ac:dyDescent="0.25">
      <c r="A4441" s="170" t="s">
        <v>7299</v>
      </c>
      <c r="B4441" s="170" t="s">
        <v>7300</v>
      </c>
      <c r="C4441" s="170" t="s">
        <v>205</v>
      </c>
      <c r="D4441" s="170" t="s">
        <v>2067</v>
      </c>
      <c r="E4441" s="171" t="s">
        <v>25561</v>
      </c>
      <c r="F4441" s="171" t="s">
        <v>18723</v>
      </c>
      <c r="G4441" s="82"/>
      <c r="H4441" s="96">
        <f t="shared" si="276"/>
        <v>29.92</v>
      </c>
      <c r="I4441" s="96">
        <f t="shared" si="276"/>
        <v>30.28</v>
      </c>
      <c r="J4441" s="91" t="str">
        <f t="shared" si="277"/>
        <v>Sinapi 94724</v>
      </c>
      <c r="K4441" s="91" t="str">
        <f t="shared" si="278"/>
        <v>UN</v>
      </c>
      <c r="L4441" s="166" t="str">
        <f t="shared" si="279"/>
        <v>06/2016</v>
      </c>
      <c r="M4441" s="82"/>
      <c r="N4441" s="82"/>
    </row>
    <row r="4442" spans="1:14" x14ac:dyDescent="0.25">
      <c r="A4442" s="170" t="s">
        <v>7301</v>
      </c>
      <c r="B4442" s="170" t="s">
        <v>7302</v>
      </c>
      <c r="C4442" s="170" t="s">
        <v>205</v>
      </c>
      <c r="D4442" s="170" t="s">
        <v>2067</v>
      </c>
      <c r="E4442" s="171" t="s">
        <v>15526</v>
      </c>
      <c r="F4442" s="171" t="s">
        <v>19278</v>
      </c>
      <c r="G4442" s="82"/>
      <c r="H4442" s="96">
        <f t="shared" si="276"/>
        <v>6.51</v>
      </c>
      <c r="I4442" s="96">
        <f t="shared" si="276"/>
        <v>6.87</v>
      </c>
      <c r="J4442" s="91" t="str">
        <f t="shared" si="277"/>
        <v>Sinapi 94725</v>
      </c>
      <c r="K4442" s="91" t="str">
        <f t="shared" si="278"/>
        <v>UN</v>
      </c>
      <c r="L4442" s="166" t="str">
        <f t="shared" si="279"/>
        <v>06/2016</v>
      </c>
      <c r="M4442" s="82"/>
      <c r="N4442" s="82"/>
    </row>
    <row r="4443" spans="1:14" x14ac:dyDescent="0.25">
      <c r="A4443" s="170" t="s">
        <v>7303</v>
      </c>
      <c r="B4443" s="170" t="s">
        <v>7304</v>
      </c>
      <c r="C4443" s="170" t="s">
        <v>205</v>
      </c>
      <c r="D4443" s="170" t="s">
        <v>2067</v>
      </c>
      <c r="E4443" s="171" t="s">
        <v>19373</v>
      </c>
      <c r="F4443" s="171" t="s">
        <v>23692</v>
      </c>
      <c r="G4443" s="82"/>
      <c r="H4443" s="96">
        <f t="shared" si="276"/>
        <v>37.479999999999997</v>
      </c>
      <c r="I4443" s="96">
        <f t="shared" si="276"/>
        <v>37.840000000000003</v>
      </c>
      <c r="J4443" s="91" t="str">
        <f t="shared" si="277"/>
        <v>Sinapi 94726</v>
      </c>
      <c r="K4443" s="91" t="str">
        <f t="shared" si="278"/>
        <v>UN</v>
      </c>
      <c r="L4443" s="166" t="str">
        <f t="shared" si="279"/>
        <v>06/2016</v>
      </c>
      <c r="M4443" s="82"/>
      <c r="N4443" s="82"/>
    </row>
    <row r="4444" spans="1:14" x14ac:dyDescent="0.25">
      <c r="A4444" s="170" t="s">
        <v>7305</v>
      </c>
      <c r="B4444" s="170" t="s">
        <v>7306</v>
      </c>
      <c r="C4444" s="170" t="s">
        <v>205</v>
      </c>
      <c r="D4444" s="170" t="s">
        <v>2067</v>
      </c>
      <c r="E4444" s="171" t="s">
        <v>20468</v>
      </c>
      <c r="F4444" s="171" t="s">
        <v>17353</v>
      </c>
      <c r="G4444" s="82"/>
      <c r="H4444" s="96">
        <f t="shared" si="276"/>
        <v>9.99</v>
      </c>
      <c r="I4444" s="96">
        <f t="shared" si="276"/>
        <v>10.35</v>
      </c>
      <c r="J4444" s="91" t="str">
        <f t="shared" si="277"/>
        <v>Sinapi 94727</v>
      </c>
      <c r="K4444" s="91" t="str">
        <f t="shared" si="278"/>
        <v>UN</v>
      </c>
      <c r="L4444" s="166" t="str">
        <f t="shared" si="279"/>
        <v>06/2016</v>
      </c>
      <c r="M4444" s="82"/>
      <c r="N4444" s="82"/>
    </row>
    <row r="4445" spans="1:14" x14ac:dyDescent="0.25">
      <c r="A4445" s="170" t="s">
        <v>7307</v>
      </c>
      <c r="B4445" s="170" t="s">
        <v>7308</v>
      </c>
      <c r="C4445" s="170" t="s">
        <v>205</v>
      </c>
      <c r="D4445" s="170" t="s">
        <v>2067</v>
      </c>
      <c r="E4445" s="171" t="s">
        <v>19355</v>
      </c>
      <c r="F4445" s="171" t="s">
        <v>23908</v>
      </c>
      <c r="G4445" s="82"/>
      <c r="H4445" s="96">
        <f t="shared" si="276"/>
        <v>59.15</v>
      </c>
      <c r="I4445" s="96">
        <f t="shared" si="276"/>
        <v>59.62</v>
      </c>
      <c r="J4445" s="91" t="str">
        <f t="shared" si="277"/>
        <v>Sinapi 94728</v>
      </c>
      <c r="K4445" s="91" t="str">
        <f t="shared" si="278"/>
        <v>UN</v>
      </c>
      <c r="L4445" s="166" t="str">
        <f t="shared" si="279"/>
        <v>06/2016</v>
      </c>
      <c r="M4445" s="82"/>
      <c r="N4445" s="82"/>
    </row>
    <row r="4446" spans="1:14" x14ac:dyDescent="0.25">
      <c r="A4446" s="170" t="s">
        <v>7309</v>
      </c>
      <c r="B4446" s="170" t="s">
        <v>7310</v>
      </c>
      <c r="C4446" s="170" t="s">
        <v>205</v>
      </c>
      <c r="D4446" s="170" t="s">
        <v>2067</v>
      </c>
      <c r="E4446" s="171" t="s">
        <v>20052</v>
      </c>
      <c r="F4446" s="171" t="s">
        <v>17387</v>
      </c>
      <c r="G4446" s="82"/>
      <c r="H4446" s="96">
        <f t="shared" si="276"/>
        <v>19.11</v>
      </c>
      <c r="I4446" s="96">
        <f t="shared" si="276"/>
        <v>19.579999999999998</v>
      </c>
      <c r="J4446" s="91" t="str">
        <f t="shared" si="277"/>
        <v>Sinapi 94729</v>
      </c>
      <c r="K4446" s="91" t="str">
        <f t="shared" si="278"/>
        <v>UN</v>
      </c>
      <c r="L4446" s="166" t="str">
        <f t="shared" si="279"/>
        <v>06/2016</v>
      </c>
      <c r="M4446" s="82"/>
      <c r="N4446" s="82"/>
    </row>
    <row r="4447" spans="1:14" x14ac:dyDescent="0.25">
      <c r="A4447" s="170" t="s">
        <v>7311</v>
      </c>
      <c r="B4447" s="170" t="s">
        <v>7312</v>
      </c>
      <c r="C4447" s="170" t="s">
        <v>205</v>
      </c>
      <c r="D4447" s="170" t="s">
        <v>2067</v>
      </c>
      <c r="E4447" s="171" t="s">
        <v>33753</v>
      </c>
      <c r="F4447" s="171" t="s">
        <v>22026</v>
      </c>
      <c r="G4447" s="82"/>
      <c r="H4447" s="96">
        <f t="shared" si="276"/>
        <v>71.28</v>
      </c>
      <c r="I4447" s="96">
        <f t="shared" si="276"/>
        <v>71.75</v>
      </c>
      <c r="J4447" s="91" t="str">
        <f t="shared" si="277"/>
        <v>Sinapi 94730</v>
      </c>
      <c r="K4447" s="91" t="str">
        <f t="shared" si="278"/>
        <v>UN</v>
      </c>
      <c r="L4447" s="166" t="str">
        <f t="shared" si="279"/>
        <v>06/2016</v>
      </c>
      <c r="M4447" s="82"/>
      <c r="N4447" s="82"/>
    </row>
    <row r="4448" spans="1:14" x14ac:dyDescent="0.25">
      <c r="A4448" s="170" t="s">
        <v>7313</v>
      </c>
      <c r="B4448" s="170" t="s">
        <v>7314</v>
      </c>
      <c r="C4448" s="170" t="s">
        <v>205</v>
      </c>
      <c r="D4448" s="170" t="s">
        <v>2067</v>
      </c>
      <c r="E4448" s="171" t="s">
        <v>22040</v>
      </c>
      <c r="F4448" s="171" t="s">
        <v>36934</v>
      </c>
      <c r="G4448" s="82"/>
      <c r="H4448" s="96">
        <f t="shared" si="276"/>
        <v>24.49</v>
      </c>
      <c r="I4448" s="96">
        <f t="shared" si="276"/>
        <v>24.96</v>
      </c>
      <c r="J4448" s="91" t="str">
        <f t="shared" si="277"/>
        <v>Sinapi 94731</v>
      </c>
      <c r="K4448" s="91" t="str">
        <f t="shared" si="278"/>
        <v>UN</v>
      </c>
      <c r="L4448" s="166" t="str">
        <f t="shared" si="279"/>
        <v>06/2016</v>
      </c>
      <c r="M4448" s="82"/>
      <c r="N4448" s="82"/>
    </row>
    <row r="4449" spans="1:14" x14ac:dyDescent="0.25">
      <c r="A4449" s="170" t="s">
        <v>18314</v>
      </c>
      <c r="B4449" s="170" t="s">
        <v>18315</v>
      </c>
      <c r="C4449" s="170" t="s">
        <v>205</v>
      </c>
      <c r="D4449" s="170" t="s">
        <v>2067</v>
      </c>
      <c r="E4449" s="171" t="s">
        <v>28627</v>
      </c>
      <c r="F4449" s="171" t="s">
        <v>29060</v>
      </c>
      <c r="G4449" s="82"/>
      <c r="H4449" s="96">
        <f t="shared" si="276"/>
        <v>116.41</v>
      </c>
      <c r="I4449" s="96">
        <f t="shared" si="276"/>
        <v>117.22</v>
      </c>
      <c r="J4449" s="91" t="str">
        <f t="shared" si="277"/>
        <v>Sinapi 94732</v>
      </c>
      <c r="K4449" s="91" t="str">
        <f t="shared" si="278"/>
        <v>UN</v>
      </c>
      <c r="L4449" s="166" t="str">
        <f t="shared" si="279"/>
        <v>06/2016</v>
      </c>
      <c r="M4449" s="82"/>
      <c r="N4449" s="82"/>
    </row>
    <row r="4450" spans="1:14" x14ac:dyDescent="0.25">
      <c r="A4450" s="170" t="s">
        <v>7315</v>
      </c>
      <c r="B4450" s="170" t="s">
        <v>7316</v>
      </c>
      <c r="C4450" s="170" t="s">
        <v>205</v>
      </c>
      <c r="D4450" s="170" t="s">
        <v>2067</v>
      </c>
      <c r="E4450" s="171" t="s">
        <v>24028</v>
      </c>
      <c r="F4450" s="171" t="s">
        <v>36935</v>
      </c>
      <c r="G4450" s="82"/>
      <c r="H4450" s="96">
        <f t="shared" si="276"/>
        <v>47.02</v>
      </c>
      <c r="I4450" s="96">
        <f t="shared" si="276"/>
        <v>47.83</v>
      </c>
      <c r="J4450" s="91" t="str">
        <f t="shared" si="277"/>
        <v>Sinapi 94733</v>
      </c>
      <c r="K4450" s="91" t="str">
        <f t="shared" si="278"/>
        <v>UN</v>
      </c>
      <c r="L4450" s="166" t="str">
        <f t="shared" si="279"/>
        <v>06/2016</v>
      </c>
      <c r="M4450" s="82"/>
      <c r="N4450" s="82"/>
    </row>
    <row r="4451" spans="1:14" x14ac:dyDescent="0.25">
      <c r="A4451" s="170" t="s">
        <v>18316</v>
      </c>
      <c r="B4451" s="170" t="s">
        <v>18317</v>
      </c>
      <c r="C4451" s="170" t="s">
        <v>205</v>
      </c>
      <c r="D4451" s="170" t="s">
        <v>2067</v>
      </c>
      <c r="E4451" s="171" t="s">
        <v>33754</v>
      </c>
      <c r="F4451" s="171" t="s">
        <v>36936</v>
      </c>
      <c r="G4451" s="82"/>
      <c r="H4451" s="96">
        <f t="shared" si="276"/>
        <v>424.91</v>
      </c>
      <c r="I4451" s="96">
        <f t="shared" si="276"/>
        <v>425.72</v>
      </c>
      <c r="J4451" s="91" t="str">
        <f t="shared" si="277"/>
        <v>Sinapi 94734</v>
      </c>
      <c r="K4451" s="91" t="str">
        <f t="shared" si="278"/>
        <v>UN</v>
      </c>
      <c r="L4451" s="166" t="str">
        <f t="shared" si="279"/>
        <v>06/2016</v>
      </c>
      <c r="M4451" s="82"/>
      <c r="N4451" s="82"/>
    </row>
    <row r="4452" spans="1:14" x14ac:dyDescent="0.25">
      <c r="A4452" s="170" t="s">
        <v>18318</v>
      </c>
      <c r="B4452" s="170" t="s">
        <v>18319</v>
      </c>
      <c r="C4452" s="170" t="s">
        <v>205</v>
      </c>
      <c r="D4452" s="170" t="s">
        <v>2067</v>
      </c>
      <c r="E4452" s="171" t="s">
        <v>33755</v>
      </c>
      <c r="F4452" s="171" t="s">
        <v>36937</v>
      </c>
      <c r="G4452" s="82"/>
      <c r="H4452" s="96">
        <f t="shared" si="276"/>
        <v>620.91999999999996</v>
      </c>
      <c r="I4452" s="96">
        <f t="shared" si="276"/>
        <v>622.54999999999995</v>
      </c>
      <c r="J4452" s="91" t="str">
        <f t="shared" si="277"/>
        <v>Sinapi 94736</v>
      </c>
      <c r="K4452" s="91" t="str">
        <f t="shared" si="278"/>
        <v>UN</v>
      </c>
      <c r="L4452" s="166" t="str">
        <f t="shared" si="279"/>
        <v>06/2016</v>
      </c>
      <c r="M4452" s="82"/>
      <c r="N4452" s="82"/>
    </row>
    <row r="4453" spans="1:14" x14ac:dyDescent="0.25">
      <c r="A4453" s="170" t="s">
        <v>7317</v>
      </c>
      <c r="B4453" s="170" t="s">
        <v>7318</v>
      </c>
      <c r="C4453" s="170" t="s">
        <v>205</v>
      </c>
      <c r="D4453" s="170" t="s">
        <v>2067</v>
      </c>
      <c r="E4453" s="171" t="s">
        <v>33756</v>
      </c>
      <c r="F4453" s="171" t="s">
        <v>36938</v>
      </c>
      <c r="G4453" s="82"/>
      <c r="H4453" s="96">
        <f t="shared" si="276"/>
        <v>204.04</v>
      </c>
      <c r="I4453" s="96">
        <f t="shared" si="276"/>
        <v>205.67</v>
      </c>
      <c r="J4453" s="91" t="str">
        <f t="shared" si="277"/>
        <v>Sinapi 94737</v>
      </c>
      <c r="K4453" s="91" t="str">
        <f t="shared" si="278"/>
        <v>UN</v>
      </c>
      <c r="L4453" s="166" t="str">
        <f t="shared" si="279"/>
        <v>06/2016</v>
      </c>
      <c r="M4453" s="82"/>
      <c r="N4453" s="82"/>
    </row>
    <row r="4454" spans="1:14" x14ac:dyDescent="0.25">
      <c r="A4454" s="170" t="s">
        <v>18320</v>
      </c>
      <c r="B4454" s="170" t="s">
        <v>18321</v>
      </c>
      <c r="C4454" s="170" t="s">
        <v>205</v>
      </c>
      <c r="D4454" s="170" t="s">
        <v>2067</v>
      </c>
      <c r="E4454" s="171" t="s">
        <v>33757</v>
      </c>
      <c r="F4454" s="171" t="s">
        <v>36939</v>
      </c>
      <c r="G4454" s="82"/>
      <c r="H4454" s="96">
        <f t="shared" si="276"/>
        <v>1870.36</v>
      </c>
      <c r="I4454" s="96">
        <f t="shared" si="276"/>
        <v>1871.99</v>
      </c>
      <c r="J4454" s="91" t="str">
        <f t="shared" si="277"/>
        <v>Sinapi 94738</v>
      </c>
      <c r="K4454" s="91" t="str">
        <f t="shared" si="278"/>
        <v>UN</v>
      </c>
      <c r="L4454" s="166" t="str">
        <f t="shared" si="279"/>
        <v>06/2016</v>
      </c>
      <c r="M4454" s="82"/>
      <c r="N4454" s="82"/>
    </row>
    <row r="4455" spans="1:14" x14ac:dyDescent="0.25">
      <c r="A4455" s="170" t="s">
        <v>18322</v>
      </c>
      <c r="B4455" s="170" t="s">
        <v>18323</v>
      </c>
      <c r="C4455" s="170" t="s">
        <v>205</v>
      </c>
      <c r="D4455" s="170" t="s">
        <v>2067</v>
      </c>
      <c r="E4455" s="171" t="s">
        <v>33758</v>
      </c>
      <c r="F4455" s="171" t="s">
        <v>30875</v>
      </c>
      <c r="G4455" s="82"/>
      <c r="H4455" s="96">
        <f t="shared" si="276"/>
        <v>234.63</v>
      </c>
      <c r="I4455" s="96">
        <f t="shared" si="276"/>
        <v>236.26</v>
      </c>
      <c r="J4455" s="91" t="str">
        <f t="shared" si="277"/>
        <v>Sinapi 94739</v>
      </c>
      <c r="K4455" s="91" t="str">
        <f t="shared" si="278"/>
        <v>UN</v>
      </c>
      <c r="L4455" s="166" t="str">
        <f t="shared" si="279"/>
        <v>06/2016</v>
      </c>
      <c r="M4455" s="82"/>
      <c r="N4455" s="82"/>
    </row>
    <row r="4456" spans="1:14" x14ac:dyDescent="0.25">
      <c r="A4456" s="170" t="s">
        <v>7319</v>
      </c>
      <c r="B4456" s="170" t="s">
        <v>7320</v>
      </c>
      <c r="C4456" s="170" t="s">
        <v>205</v>
      </c>
      <c r="D4456" s="170" t="s">
        <v>2067</v>
      </c>
      <c r="E4456" s="171" t="s">
        <v>28734</v>
      </c>
      <c r="F4456" s="171" t="s">
        <v>14122</v>
      </c>
      <c r="G4456" s="82"/>
      <c r="H4456" s="96">
        <f t="shared" si="276"/>
        <v>10.32</v>
      </c>
      <c r="I4456" s="96">
        <f t="shared" si="276"/>
        <v>10.85</v>
      </c>
      <c r="J4456" s="91" t="str">
        <f t="shared" si="277"/>
        <v>Sinapi 94740</v>
      </c>
      <c r="K4456" s="91" t="str">
        <f t="shared" si="278"/>
        <v>UN</v>
      </c>
      <c r="L4456" s="166" t="str">
        <f t="shared" si="279"/>
        <v>06/2016</v>
      </c>
      <c r="M4456" s="82"/>
      <c r="N4456" s="82"/>
    </row>
    <row r="4457" spans="1:14" x14ac:dyDescent="0.25">
      <c r="A4457" s="170" t="s">
        <v>7322</v>
      </c>
      <c r="B4457" s="170" t="s">
        <v>7323</v>
      </c>
      <c r="C4457" s="170" t="s">
        <v>205</v>
      </c>
      <c r="D4457" s="170" t="s">
        <v>2067</v>
      </c>
      <c r="E4457" s="171" t="s">
        <v>15789</v>
      </c>
      <c r="F4457" s="171" t="s">
        <v>23274</v>
      </c>
      <c r="G4457" s="82"/>
      <c r="H4457" s="96">
        <f t="shared" si="276"/>
        <v>13.71</v>
      </c>
      <c r="I4457" s="96">
        <f t="shared" si="276"/>
        <v>14.24</v>
      </c>
      <c r="J4457" s="91" t="str">
        <f t="shared" si="277"/>
        <v>Sinapi 94741</v>
      </c>
      <c r="K4457" s="91" t="str">
        <f t="shared" si="278"/>
        <v>UN</v>
      </c>
      <c r="L4457" s="166" t="str">
        <f t="shared" si="279"/>
        <v>06/2016</v>
      </c>
      <c r="M4457" s="82"/>
      <c r="N4457" s="82"/>
    </row>
    <row r="4458" spans="1:14" x14ac:dyDescent="0.25">
      <c r="A4458" s="170" t="s">
        <v>7324</v>
      </c>
      <c r="B4458" s="170" t="s">
        <v>7325</v>
      </c>
      <c r="C4458" s="170" t="s">
        <v>205</v>
      </c>
      <c r="D4458" s="170" t="s">
        <v>2067</v>
      </c>
      <c r="E4458" s="171" t="s">
        <v>21031</v>
      </c>
      <c r="F4458" s="171" t="s">
        <v>15535</v>
      </c>
      <c r="G4458" s="82"/>
      <c r="H4458" s="96">
        <f t="shared" si="276"/>
        <v>16.079999999999998</v>
      </c>
      <c r="I4458" s="96">
        <f t="shared" si="276"/>
        <v>16.61</v>
      </c>
      <c r="J4458" s="91" t="str">
        <f t="shared" si="277"/>
        <v>Sinapi 94742</v>
      </c>
      <c r="K4458" s="91" t="str">
        <f t="shared" si="278"/>
        <v>UN</v>
      </c>
      <c r="L4458" s="166" t="str">
        <f t="shared" si="279"/>
        <v>06/2016</v>
      </c>
      <c r="M4458" s="82"/>
      <c r="N4458" s="82"/>
    </row>
    <row r="4459" spans="1:14" x14ac:dyDescent="0.25">
      <c r="A4459" s="170" t="s">
        <v>7326</v>
      </c>
      <c r="B4459" s="170" t="s">
        <v>7327</v>
      </c>
      <c r="C4459" s="170" t="s">
        <v>205</v>
      </c>
      <c r="D4459" s="170" t="s">
        <v>2067</v>
      </c>
      <c r="E4459" s="171" t="s">
        <v>22834</v>
      </c>
      <c r="F4459" s="171" t="s">
        <v>21067</v>
      </c>
      <c r="G4459" s="82"/>
      <c r="H4459" s="96">
        <f t="shared" si="276"/>
        <v>21.18</v>
      </c>
      <c r="I4459" s="96">
        <f t="shared" si="276"/>
        <v>21.71</v>
      </c>
      <c r="J4459" s="91" t="str">
        <f t="shared" si="277"/>
        <v>Sinapi 94743</v>
      </c>
      <c r="K4459" s="91" t="str">
        <f t="shared" si="278"/>
        <v>UN</v>
      </c>
      <c r="L4459" s="166" t="str">
        <f t="shared" si="279"/>
        <v>06/2016</v>
      </c>
      <c r="M4459" s="82"/>
      <c r="N4459" s="82"/>
    </row>
    <row r="4460" spans="1:14" x14ac:dyDescent="0.25">
      <c r="A4460" s="170" t="s">
        <v>7329</v>
      </c>
      <c r="B4460" s="170" t="s">
        <v>7330</v>
      </c>
      <c r="C4460" s="170" t="s">
        <v>205</v>
      </c>
      <c r="D4460" s="170" t="s">
        <v>2067</v>
      </c>
      <c r="E4460" s="171" t="s">
        <v>33166</v>
      </c>
      <c r="F4460" s="171" t="s">
        <v>22709</v>
      </c>
      <c r="G4460" s="82"/>
      <c r="H4460" s="96">
        <f t="shared" si="276"/>
        <v>26.69</v>
      </c>
      <c r="I4460" s="96">
        <f t="shared" si="276"/>
        <v>27.38</v>
      </c>
      <c r="J4460" s="91" t="str">
        <f t="shared" si="277"/>
        <v>Sinapi 94744</v>
      </c>
      <c r="K4460" s="91" t="str">
        <f t="shared" si="278"/>
        <v>UN</v>
      </c>
      <c r="L4460" s="166" t="str">
        <f t="shared" si="279"/>
        <v>06/2016</v>
      </c>
      <c r="M4460" s="82"/>
      <c r="N4460" s="82"/>
    </row>
    <row r="4461" spans="1:14" x14ac:dyDescent="0.25">
      <c r="A4461" s="170" t="s">
        <v>7331</v>
      </c>
      <c r="B4461" s="170" t="s">
        <v>7332</v>
      </c>
      <c r="C4461" s="170" t="s">
        <v>205</v>
      </c>
      <c r="D4461" s="170" t="s">
        <v>2067</v>
      </c>
      <c r="E4461" s="171" t="s">
        <v>22070</v>
      </c>
      <c r="F4461" s="171" t="s">
        <v>36940</v>
      </c>
      <c r="G4461" s="82"/>
      <c r="H4461" s="96">
        <f t="shared" si="276"/>
        <v>37.29</v>
      </c>
      <c r="I4461" s="96">
        <f t="shared" si="276"/>
        <v>37.979999999999997</v>
      </c>
      <c r="J4461" s="91" t="str">
        <f t="shared" si="277"/>
        <v>Sinapi 94746</v>
      </c>
      <c r="K4461" s="91" t="str">
        <f t="shared" si="278"/>
        <v>UN</v>
      </c>
      <c r="L4461" s="166" t="str">
        <f t="shared" si="279"/>
        <v>06/2016</v>
      </c>
      <c r="M4461" s="82"/>
      <c r="N4461" s="82"/>
    </row>
    <row r="4462" spans="1:14" x14ac:dyDescent="0.25">
      <c r="A4462" s="170" t="s">
        <v>7333</v>
      </c>
      <c r="B4462" s="170" t="s">
        <v>7334</v>
      </c>
      <c r="C4462" s="170" t="s">
        <v>205</v>
      </c>
      <c r="D4462" s="170" t="s">
        <v>2067</v>
      </c>
      <c r="E4462" s="171" t="s">
        <v>33759</v>
      </c>
      <c r="F4462" s="171" t="s">
        <v>27740</v>
      </c>
      <c r="G4462" s="82"/>
      <c r="H4462" s="96">
        <f t="shared" si="276"/>
        <v>89.26</v>
      </c>
      <c r="I4462" s="96">
        <f t="shared" si="276"/>
        <v>90.48</v>
      </c>
      <c r="J4462" s="91" t="str">
        <f t="shared" si="277"/>
        <v>Sinapi 94748</v>
      </c>
      <c r="K4462" s="91" t="str">
        <f t="shared" si="278"/>
        <v>UN</v>
      </c>
      <c r="L4462" s="166" t="str">
        <f t="shared" si="279"/>
        <v>06/2016</v>
      </c>
      <c r="M4462" s="82"/>
      <c r="N4462" s="82"/>
    </row>
    <row r="4463" spans="1:14" x14ac:dyDescent="0.25">
      <c r="A4463" s="170" t="s">
        <v>7335</v>
      </c>
      <c r="B4463" s="170" t="s">
        <v>7336</v>
      </c>
      <c r="C4463" s="170" t="s">
        <v>205</v>
      </c>
      <c r="D4463" s="170" t="s">
        <v>2067</v>
      </c>
      <c r="E4463" s="171" t="s">
        <v>33760</v>
      </c>
      <c r="F4463" s="171" t="s">
        <v>36941</v>
      </c>
      <c r="G4463" s="82"/>
      <c r="H4463" s="96">
        <f t="shared" si="276"/>
        <v>178.07</v>
      </c>
      <c r="I4463" s="96">
        <f t="shared" si="276"/>
        <v>179.29</v>
      </c>
      <c r="J4463" s="91" t="str">
        <f t="shared" si="277"/>
        <v>Sinapi 94750</v>
      </c>
      <c r="K4463" s="91" t="str">
        <f t="shared" si="278"/>
        <v>UN</v>
      </c>
      <c r="L4463" s="166" t="str">
        <f t="shared" si="279"/>
        <v>06/2016</v>
      </c>
      <c r="M4463" s="82"/>
      <c r="N4463" s="82"/>
    </row>
    <row r="4464" spans="1:14" x14ac:dyDescent="0.25">
      <c r="A4464" s="170" t="s">
        <v>7337</v>
      </c>
      <c r="B4464" s="170" t="s">
        <v>7338</v>
      </c>
      <c r="C4464" s="170" t="s">
        <v>205</v>
      </c>
      <c r="D4464" s="170" t="s">
        <v>2067</v>
      </c>
      <c r="E4464" s="171" t="s">
        <v>33761</v>
      </c>
      <c r="F4464" s="171" t="s">
        <v>36794</v>
      </c>
      <c r="G4464" s="82"/>
      <c r="H4464" s="96">
        <f t="shared" si="276"/>
        <v>214.78</v>
      </c>
      <c r="I4464" s="96">
        <f t="shared" si="276"/>
        <v>217.22</v>
      </c>
      <c r="J4464" s="91" t="str">
        <f t="shared" si="277"/>
        <v>Sinapi 94752</v>
      </c>
      <c r="K4464" s="91" t="str">
        <f t="shared" si="278"/>
        <v>UN</v>
      </c>
      <c r="L4464" s="166" t="str">
        <f t="shared" si="279"/>
        <v>06/2016</v>
      </c>
      <c r="M4464" s="82"/>
      <c r="N4464" s="82"/>
    </row>
    <row r="4465" spans="1:14" x14ac:dyDescent="0.25">
      <c r="A4465" s="170" t="s">
        <v>18324</v>
      </c>
      <c r="B4465" s="170" t="s">
        <v>18325</v>
      </c>
      <c r="C4465" s="170" t="s">
        <v>205</v>
      </c>
      <c r="D4465" s="170" t="s">
        <v>2067</v>
      </c>
      <c r="E4465" s="171" t="s">
        <v>33762</v>
      </c>
      <c r="F4465" s="171" t="s">
        <v>36942</v>
      </c>
      <c r="G4465" s="82"/>
      <c r="H4465" s="96">
        <f t="shared" si="276"/>
        <v>290.22000000000003</v>
      </c>
      <c r="I4465" s="96">
        <f t="shared" si="276"/>
        <v>292.66000000000003</v>
      </c>
      <c r="J4465" s="91" t="str">
        <f t="shared" si="277"/>
        <v>Sinapi 94754</v>
      </c>
      <c r="K4465" s="91" t="str">
        <f t="shared" si="278"/>
        <v>UN</v>
      </c>
      <c r="L4465" s="166" t="str">
        <f t="shared" si="279"/>
        <v>06/2016</v>
      </c>
      <c r="M4465" s="82"/>
      <c r="N4465" s="82"/>
    </row>
    <row r="4466" spans="1:14" x14ac:dyDescent="0.25">
      <c r="A4466" s="170" t="s">
        <v>7339</v>
      </c>
      <c r="B4466" s="170" t="s">
        <v>7340</v>
      </c>
      <c r="C4466" s="170" t="s">
        <v>205</v>
      </c>
      <c r="D4466" s="170" t="s">
        <v>2067</v>
      </c>
      <c r="E4466" s="171" t="s">
        <v>14798</v>
      </c>
      <c r="F4466" s="171" t="s">
        <v>17310</v>
      </c>
      <c r="G4466" s="82"/>
      <c r="H4466" s="96">
        <f t="shared" si="276"/>
        <v>12.8</v>
      </c>
      <c r="I4466" s="96">
        <f t="shared" si="276"/>
        <v>13.51</v>
      </c>
      <c r="J4466" s="91" t="str">
        <f t="shared" si="277"/>
        <v>Sinapi 94756</v>
      </c>
      <c r="K4466" s="91" t="str">
        <f t="shared" si="278"/>
        <v>UN</v>
      </c>
      <c r="L4466" s="166" t="str">
        <f t="shared" si="279"/>
        <v>06/2016</v>
      </c>
      <c r="M4466" s="82"/>
      <c r="N4466" s="82"/>
    </row>
    <row r="4467" spans="1:14" x14ac:dyDescent="0.25">
      <c r="A4467" s="170" t="s">
        <v>7341</v>
      </c>
      <c r="B4467" s="170" t="s">
        <v>7342</v>
      </c>
      <c r="C4467" s="170" t="s">
        <v>205</v>
      </c>
      <c r="D4467" s="170" t="s">
        <v>2067</v>
      </c>
      <c r="E4467" s="171" t="s">
        <v>33763</v>
      </c>
      <c r="F4467" s="171" t="s">
        <v>21844</v>
      </c>
      <c r="G4467" s="82"/>
      <c r="H4467" s="96">
        <f t="shared" si="276"/>
        <v>18.59</v>
      </c>
      <c r="I4467" s="96">
        <f t="shared" si="276"/>
        <v>19.3</v>
      </c>
      <c r="J4467" s="91" t="str">
        <f t="shared" si="277"/>
        <v>Sinapi 94757</v>
      </c>
      <c r="K4467" s="91" t="str">
        <f t="shared" si="278"/>
        <v>UN</v>
      </c>
      <c r="L4467" s="166" t="str">
        <f t="shared" si="279"/>
        <v>06/2016</v>
      </c>
      <c r="M4467" s="82"/>
      <c r="N4467" s="82"/>
    </row>
    <row r="4468" spans="1:14" x14ac:dyDescent="0.25">
      <c r="A4468" s="170" t="s">
        <v>7343</v>
      </c>
      <c r="B4468" s="170" t="s">
        <v>7344</v>
      </c>
      <c r="C4468" s="170" t="s">
        <v>205</v>
      </c>
      <c r="D4468" s="170" t="s">
        <v>2067</v>
      </c>
      <c r="E4468" s="171" t="s">
        <v>23086</v>
      </c>
      <c r="F4468" s="171" t="s">
        <v>36943</v>
      </c>
      <c r="G4468" s="82"/>
      <c r="H4468" s="96">
        <f t="shared" si="276"/>
        <v>53.57</v>
      </c>
      <c r="I4468" s="96">
        <f t="shared" si="276"/>
        <v>54.49</v>
      </c>
      <c r="J4468" s="91" t="str">
        <f t="shared" si="277"/>
        <v>Sinapi 94758</v>
      </c>
      <c r="K4468" s="91" t="str">
        <f t="shared" si="278"/>
        <v>UN</v>
      </c>
      <c r="L4468" s="166" t="str">
        <f t="shared" si="279"/>
        <v>06/2016</v>
      </c>
      <c r="M4468" s="82"/>
      <c r="N4468" s="82"/>
    </row>
    <row r="4469" spans="1:14" x14ac:dyDescent="0.25">
      <c r="A4469" s="170" t="s">
        <v>7345</v>
      </c>
      <c r="B4469" s="170" t="s">
        <v>7346</v>
      </c>
      <c r="C4469" s="170" t="s">
        <v>205</v>
      </c>
      <c r="D4469" s="170" t="s">
        <v>2067</v>
      </c>
      <c r="E4469" s="171" t="s">
        <v>33764</v>
      </c>
      <c r="F4469" s="171" t="s">
        <v>35397</v>
      </c>
      <c r="G4469" s="82"/>
      <c r="H4469" s="96">
        <f t="shared" si="276"/>
        <v>66.11</v>
      </c>
      <c r="I4469" s="96">
        <f t="shared" si="276"/>
        <v>67.03</v>
      </c>
      <c r="J4469" s="91" t="str">
        <f t="shared" si="277"/>
        <v>Sinapi 94759</v>
      </c>
      <c r="K4469" s="91" t="str">
        <f t="shared" si="278"/>
        <v>UN</v>
      </c>
      <c r="L4469" s="166" t="str">
        <f t="shared" si="279"/>
        <v>06/2016</v>
      </c>
      <c r="M4469" s="82"/>
      <c r="N4469" s="82"/>
    </row>
    <row r="4470" spans="1:14" x14ac:dyDescent="0.25">
      <c r="A4470" s="170" t="s">
        <v>7347</v>
      </c>
      <c r="B4470" s="170" t="s">
        <v>7348</v>
      </c>
      <c r="C4470" s="170" t="s">
        <v>205</v>
      </c>
      <c r="D4470" s="170" t="s">
        <v>2067</v>
      </c>
      <c r="E4470" s="171" t="s">
        <v>33765</v>
      </c>
      <c r="F4470" s="171" t="s">
        <v>36944</v>
      </c>
      <c r="G4470" s="82"/>
      <c r="H4470" s="96">
        <f t="shared" si="276"/>
        <v>110.74</v>
      </c>
      <c r="I4470" s="96">
        <f t="shared" si="276"/>
        <v>112.36</v>
      </c>
      <c r="J4470" s="91" t="str">
        <f t="shared" si="277"/>
        <v>Sinapi 94760</v>
      </c>
      <c r="K4470" s="91" t="str">
        <f t="shared" si="278"/>
        <v>UN</v>
      </c>
      <c r="L4470" s="166" t="str">
        <f t="shared" si="279"/>
        <v>06/2016</v>
      </c>
      <c r="M4470" s="82"/>
      <c r="N4470" s="82"/>
    </row>
    <row r="4471" spans="1:14" x14ac:dyDescent="0.25">
      <c r="A4471" s="170" t="s">
        <v>7349</v>
      </c>
      <c r="B4471" s="170" t="s">
        <v>7350</v>
      </c>
      <c r="C4471" s="170" t="s">
        <v>205</v>
      </c>
      <c r="D4471" s="170" t="s">
        <v>2067</v>
      </c>
      <c r="E4471" s="171" t="s">
        <v>33766</v>
      </c>
      <c r="F4471" s="171" t="s">
        <v>36945</v>
      </c>
      <c r="G4471" s="82"/>
      <c r="H4471" s="96">
        <f t="shared" si="276"/>
        <v>238.41</v>
      </c>
      <c r="I4471" s="96">
        <f t="shared" si="276"/>
        <v>240.03</v>
      </c>
      <c r="J4471" s="91" t="str">
        <f t="shared" si="277"/>
        <v>Sinapi 94761</v>
      </c>
      <c r="K4471" s="91" t="str">
        <f t="shared" si="278"/>
        <v>UN</v>
      </c>
      <c r="L4471" s="166" t="str">
        <f t="shared" si="279"/>
        <v>06/2016</v>
      </c>
      <c r="M4471" s="82"/>
      <c r="N4471" s="82"/>
    </row>
    <row r="4472" spans="1:14" x14ac:dyDescent="0.25">
      <c r="A4472" s="170" t="s">
        <v>7351</v>
      </c>
      <c r="B4472" s="170" t="s">
        <v>7352</v>
      </c>
      <c r="C4472" s="170" t="s">
        <v>205</v>
      </c>
      <c r="D4472" s="170" t="s">
        <v>2067</v>
      </c>
      <c r="E4472" s="171" t="s">
        <v>33767</v>
      </c>
      <c r="F4472" s="171" t="s">
        <v>36946</v>
      </c>
      <c r="G4472" s="82"/>
      <c r="H4472" s="96">
        <f t="shared" si="276"/>
        <v>289.81</v>
      </c>
      <c r="I4472" s="96">
        <f t="shared" si="276"/>
        <v>293.08</v>
      </c>
      <c r="J4472" s="91" t="str">
        <f t="shared" si="277"/>
        <v>Sinapi 94762</v>
      </c>
      <c r="K4472" s="91" t="str">
        <f t="shared" si="278"/>
        <v>UN</v>
      </c>
      <c r="L4472" s="166" t="str">
        <f t="shared" si="279"/>
        <v>06/2016</v>
      </c>
      <c r="M4472" s="82"/>
      <c r="N4472" s="82"/>
    </row>
    <row r="4473" spans="1:14" x14ac:dyDescent="0.25">
      <c r="A4473" s="170" t="s">
        <v>18326</v>
      </c>
      <c r="B4473" s="170" t="s">
        <v>18327</v>
      </c>
      <c r="C4473" s="170" t="s">
        <v>205</v>
      </c>
      <c r="D4473" s="170" t="s">
        <v>2067</v>
      </c>
      <c r="E4473" s="171" t="s">
        <v>33768</v>
      </c>
      <c r="F4473" s="171" t="s">
        <v>36947</v>
      </c>
      <c r="G4473" s="82"/>
      <c r="H4473" s="96">
        <f t="shared" si="276"/>
        <v>354.15</v>
      </c>
      <c r="I4473" s="96">
        <f t="shared" si="276"/>
        <v>357.42</v>
      </c>
      <c r="J4473" s="91" t="str">
        <f t="shared" si="277"/>
        <v>Sinapi 94763</v>
      </c>
      <c r="K4473" s="91" t="str">
        <f t="shared" si="278"/>
        <v>UN</v>
      </c>
      <c r="L4473" s="166" t="str">
        <f t="shared" si="279"/>
        <v>06/2016</v>
      </c>
      <c r="M4473" s="82"/>
      <c r="N4473" s="82"/>
    </row>
    <row r="4474" spans="1:14" x14ac:dyDescent="0.25">
      <c r="A4474" s="170" t="s">
        <v>18328</v>
      </c>
      <c r="B4474" s="170" t="s">
        <v>18329</v>
      </c>
      <c r="C4474" s="170" t="s">
        <v>205</v>
      </c>
      <c r="D4474" s="170" t="s">
        <v>2067</v>
      </c>
      <c r="E4474" s="171" t="s">
        <v>21173</v>
      </c>
      <c r="F4474" s="171" t="s">
        <v>30048</v>
      </c>
      <c r="G4474" s="82"/>
      <c r="H4474" s="96">
        <f t="shared" si="276"/>
        <v>40.39</v>
      </c>
      <c r="I4474" s="96">
        <f t="shared" si="276"/>
        <v>41.12</v>
      </c>
      <c r="J4474" s="91" t="str">
        <f t="shared" si="277"/>
        <v>Sinapi 94764</v>
      </c>
      <c r="K4474" s="91" t="str">
        <f t="shared" si="278"/>
        <v>UN</v>
      </c>
      <c r="L4474" s="166" t="str">
        <f t="shared" si="279"/>
        <v>06/2016</v>
      </c>
      <c r="M4474" s="82"/>
      <c r="N4474" s="82"/>
    </row>
    <row r="4475" spans="1:14" x14ac:dyDescent="0.25">
      <c r="A4475" s="170" t="s">
        <v>18330</v>
      </c>
      <c r="B4475" s="170" t="s">
        <v>18331</v>
      </c>
      <c r="C4475" s="170" t="s">
        <v>205</v>
      </c>
      <c r="D4475" s="170" t="s">
        <v>2067</v>
      </c>
      <c r="E4475" s="171" t="s">
        <v>31220</v>
      </c>
      <c r="F4475" s="171" t="s">
        <v>22980</v>
      </c>
      <c r="G4475" s="82"/>
      <c r="H4475" s="96">
        <f t="shared" si="276"/>
        <v>44.05</v>
      </c>
      <c r="I4475" s="96">
        <f t="shared" si="276"/>
        <v>44.78</v>
      </c>
      <c r="J4475" s="91" t="str">
        <f t="shared" si="277"/>
        <v>Sinapi 94765</v>
      </c>
      <c r="K4475" s="91" t="str">
        <f t="shared" si="278"/>
        <v>UN</v>
      </c>
      <c r="L4475" s="166" t="str">
        <f t="shared" si="279"/>
        <v>06/2016</v>
      </c>
      <c r="M4475" s="82"/>
      <c r="N4475" s="82"/>
    </row>
    <row r="4476" spans="1:14" x14ac:dyDescent="0.25">
      <c r="A4476" s="170" t="s">
        <v>18332</v>
      </c>
      <c r="B4476" s="170" t="s">
        <v>18333</v>
      </c>
      <c r="C4476" s="170" t="s">
        <v>205</v>
      </c>
      <c r="D4476" s="170" t="s">
        <v>2067</v>
      </c>
      <c r="E4476" s="171" t="s">
        <v>33769</v>
      </c>
      <c r="F4476" s="171" t="s">
        <v>30169</v>
      </c>
      <c r="G4476" s="82"/>
      <c r="H4476" s="96">
        <f t="shared" si="276"/>
        <v>48.89</v>
      </c>
      <c r="I4476" s="96">
        <f t="shared" si="276"/>
        <v>49.62</v>
      </c>
      <c r="J4476" s="91" t="str">
        <f t="shared" si="277"/>
        <v>Sinapi 94766</v>
      </c>
      <c r="K4476" s="91" t="str">
        <f t="shared" si="278"/>
        <v>UN</v>
      </c>
      <c r="L4476" s="166" t="str">
        <f t="shared" si="279"/>
        <v>06/2016</v>
      </c>
      <c r="M4476" s="82"/>
      <c r="N4476" s="82"/>
    </row>
    <row r="4477" spans="1:14" x14ac:dyDescent="0.25">
      <c r="A4477" s="170" t="s">
        <v>18334</v>
      </c>
      <c r="B4477" s="170" t="s">
        <v>18335</v>
      </c>
      <c r="C4477" s="170" t="s">
        <v>205</v>
      </c>
      <c r="D4477" s="170" t="s">
        <v>2067</v>
      </c>
      <c r="E4477" s="171" t="s">
        <v>23235</v>
      </c>
      <c r="F4477" s="171" t="s">
        <v>23309</v>
      </c>
      <c r="G4477" s="82"/>
      <c r="H4477" s="96">
        <f t="shared" si="276"/>
        <v>73.489999999999995</v>
      </c>
      <c r="I4477" s="96">
        <f t="shared" si="276"/>
        <v>74.22</v>
      </c>
      <c r="J4477" s="91" t="str">
        <f t="shared" si="277"/>
        <v>Sinapi 94767</v>
      </c>
      <c r="K4477" s="91" t="str">
        <f t="shared" si="278"/>
        <v>UN</v>
      </c>
      <c r="L4477" s="166" t="str">
        <f t="shared" si="279"/>
        <v>06/2016</v>
      </c>
      <c r="M4477" s="82"/>
      <c r="N4477" s="82"/>
    </row>
    <row r="4478" spans="1:14" x14ac:dyDescent="0.25">
      <c r="A4478" s="170" t="s">
        <v>18336</v>
      </c>
      <c r="B4478" s="170" t="s">
        <v>18337</v>
      </c>
      <c r="C4478" s="170" t="s">
        <v>205</v>
      </c>
      <c r="D4478" s="170" t="s">
        <v>2067</v>
      </c>
      <c r="E4478" s="171" t="s">
        <v>33770</v>
      </c>
      <c r="F4478" s="171" t="s">
        <v>36948</v>
      </c>
      <c r="G4478" s="82"/>
      <c r="H4478" s="96">
        <f t="shared" si="276"/>
        <v>83.05</v>
      </c>
      <c r="I4478" s="96">
        <f t="shared" si="276"/>
        <v>83.78</v>
      </c>
      <c r="J4478" s="91" t="str">
        <f t="shared" si="277"/>
        <v>Sinapi 94768</v>
      </c>
      <c r="K4478" s="91" t="str">
        <f t="shared" si="278"/>
        <v>UN</v>
      </c>
      <c r="L4478" s="166" t="str">
        <f t="shared" si="279"/>
        <v>06/2016</v>
      </c>
      <c r="M4478" s="82"/>
      <c r="N4478" s="82"/>
    </row>
    <row r="4479" spans="1:14" x14ac:dyDescent="0.25">
      <c r="A4479" s="170" t="s">
        <v>18338</v>
      </c>
      <c r="B4479" s="170" t="s">
        <v>18339</v>
      </c>
      <c r="C4479" s="170" t="s">
        <v>205</v>
      </c>
      <c r="D4479" s="170" t="s">
        <v>2067</v>
      </c>
      <c r="E4479" s="171" t="s">
        <v>32066</v>
      </c>
      <c r="F4479" s="171" t="s">
        <v>36922</v>
      </c>
      <c r="G4479" s="82"/>
      <c r="H4479" s="96">
        <f t="shared" si="276"/>
        <v>114.1</v>
      </c>
      <c r="I4479" s="96">
        <f t="shared" si="276"/>
        <v>115.07</v>
      </c>
      <c r="J4479" s="91" t="str">
        <f t="shared" si="277"/>
        <v>Sinapi 94769</v>
      </c>
      <c r="K4479" s="91" t="str">
        <f t="shared" si="278"/>
        <v>UN</v>
      </c>
      <c r="L4479" s="166" t="str">
        <f t="shared" si="279"/>
        <v>06/2016</v>
      </c>
      <c r="M4479" s="82"/>
      <c r="N4479" s="82"/>
    </row>
    <row r="4480" spans="1:14" x14ac:dyDescent="0.25">
      <c r="A4480" s="170" t="s">
        <v>18340</v>
      </c>
      <c r="B4480" s="170" t="s">
        <v>18341</v>
      </c>
      <c r="C4480" s="170" t="s">
        <v>205</v>
      </c>
      <c r="D4480" s="170" t="s">
        <v>2067</v>
      </c>
      <c r="E4480" s="171" t="s">
        <v>19329</v>
      </c>
      <c r="F4480" s="171" t="s">
        <v>28886</v>
      </c>
      <c r="G4480" s="82"/>
      <c r="H4480" s="96">
        <f t="shared" si="276"/>
        <v>44.8</v>
      </c>
      <c r="I4480" s="96">
        <f t="shared" si="276"/>
        <v>46.02</v>
      </c>
      <c r="J4480" s="91" t="str">
        <f t="shared" si="277"/>
        <v>Sinapi 94770</v>
      </c>
      <c r="K4480" s="91" t="str">
        <f t="shared" si="278"/>
        <v>UN</v>
      </c>
      <c r="L4480" s="166" t="str">
        <f t="shared" si="279"/>
        <v>06/2016</v>
      </c>
      <c r="M4480" s="82"/>
      <c r="N4480" s="82"/>
    </row>
    <row r="4481" spans="1:14" x14ac:dyDescent="0.25">
      <c r="A4481" s="170" t="s">
        <v>18342</v>
      </c>
      <c r="B4481" s="170" t="s">
        <v>18343</v>
      </c>
      <c r="C4481" s="170" t="s">
        <v>205</v>
      </c>
      <c r="D4481" s="170" t="s">
        <v>2067</v>
      </c>
      <c r="E4481" s="171" t="s">
        <v>33771</v>
      </c>
      <c r="F4481" s="171" t="s">
        <v>36949</v>
      </c>
      <c r="G4481" s="82"/>
      <c r="H4481" s="96">
        <f t="shared" si="276"/>
        <v>48.46</v>
      </c>
      <c r="I4481" s="96">
        <f t="shared" si="276"/>
        <v>49.68</v>
      </c>
      <c r="J4481" s="91" t="str">
        <f t="shared" si="277"/>
        <v>Sinapi 94771</v>
      </c>
      <c r="K4481" s="91" t="str">
        <f t="shared" si="278"/>
        <v>UN</v>
      </c>
      <c r="L4481" s="166" t="str">
        <f t="shared" si="279"/>
        <v>06/2016</v>
      </c>
      <c r="M4481" s="82"/>
      <c r="N4481" s="82"/>
    </row>
    <row r="4482" spans="1:14" x14ac:dyDescent="0.25">
      <c r="A4482" s="170" t="s">
        <v>18344</v>
      </c>
      <c r="B4482" s="170" t="s">
        <v>18345</v>
      </c>
      <c r="C4482" s="170" t="s">
        <v>205</v>
      </c>
      <c r="D4482" s="170" t="s">
        <v>2067</v>
      </c>
      <c r="E4482" s="171" t="s">
        <v>21044</v>
      </c>
      <c r="F4482" s="171" t="s">
        <v>30563</v>
      </c>
      <c r="G4482" s="82"/>
      <c r="H4482" s="96">
        <f t="shared" si="276"/>
        <v>53.3</v>
      </c>
      <c r="I4482" s="96">
        <f t="shared" si="276"/>
        <v>54.52</v>
      </c>
      <c r="J4482" s="91" t="str">
        <f t="shared" si="277"/>
        <v>Sinapi 94772</v>
      </c>
      <c r="K4482" s="91" t="str">
        <f t="shared" si="278"/>
        <v>UN</v>
      </c>
      <c r="L4482" s="166" t="str">
        <f t="shared" si="279"/>
        <v>06/2016</v>
      </c>
      <c r="M4482" s="82"/>
      <c r="N4482" s="82"/>
    </row>
    <row r="4483" spans="1:14" x14ac:dyDescent="0.25">
      <c r="A4483" s="170" t="s">
        <v>18346</v>
      </c>
      <c r="B4483" s="170" t="s">
        <v>18347</v>
      </c>
      <c r="C4483" s="170" t="s">
        <v>205</v>
      </c>
      <c r="D4483" s="170" t="s">
        <v>2067</v>
      </c>
      <c r="E4483" s="171" t="s">
        <v>24532</v>
      </c>
      <c r="F4483" s="171" t="s">
        <v>21963</v>
      </c>
      <c r="G4483" s="82"/>
      <c r="H4483" s="96">
        <f t="shared" si="276"/>
        <v>77.900000000000006</v>
      </c>
      <c r="I4483" s="96">
        <f t="shared" si="276"/>
        <v>79.12</v>
      </c>
      <c r="J4483" s="91" t="str">
        <f t="shared" si="277"/>
        <v>Sinapi 94773</v>
      </c>
      <c r="K4483" s="91" t="str">
        <f t="shared" si="278"/>
        <v>UN</v>
      </c>
      <c r="L4483" s="166" t="str">
        <f t="shared" si="279"/>
        <v>06/2016</v>
      </c>
      <c r="M4483" s="82"/>
      <c r="N4483" s="82"/>
    </row>
    <row r="4484" spans="1:14" x14ac:dyDescent="0.25">
      <c r="A4484" s="170" t="s">
        <v>18348</v>
      </c>
      <c r="B4484" s="170" t="s">
        <v>18349</v>
      </c>
      <c r="C4484" s="170" t="s">
        <v>205</v>
      </c>
      <c r="D4484" s="170" t="s">
        <v>2067</v>
      </c>
      <c r="E4484" s="171" t="s">
        <v>33772</v>
      </c>
      <c r="F4484" s="171" t="s">
        <v>36950</v>
      </c>
      <c r="G4484" s="82"/>
      <c r="H4484" s="96">
        <f t="shared" si="276"/>
        <v>87.46</v>
      </c>
      <c r="I4484" s="96">
        <f t="shared" si="276"/>
        <v>88.68</v>
      </c>
      <c r="J4484" s="91" t="str">
        <f t="shared" si="277"/>
        <v>Sinapi 94774</v>
      </c>
      <c r="K4484" s="91" t="str">
        <f t="shared" si="278"/>
        <v>UN</v>
      </c>
      <c r="L4484" s="166" t="str">
        <f t="shared" si="279"/>
        <v>06/2016</v>
      </c>
      <c r="M4484" s="82"/>
      <c r="N4484" s="82"/>
    </row>
    <row r="4485" spans="1:14" x14ac:dyDescent="0.25">
      <c r="A4485" s="170" t="s">
        <v>18350</v>
      </c>
      <c r="B4485" s="170" t="s">
        <v>18351</v>
      </c>
      <c r="C4485" s="170" t="s">
        <v>205</v>
      </c>
      <c r="D4485" s="170" t="s">
        <v>2067</v>
      </c>
      <c r="E4485" s="171" t="s">
        <v>29027</v>
      </c>
      <c r="F4485" s="171" t="s">
        <v>21961</v>
      </c>
      <c r="G4485" s="82"/>
      <c r="H4485" s="96">
        <f t="shared" si="276"/>
        <v>119.94</v>
      </c>
      <c r="I4485" s="96">
        <f t="shared" si="276"/>
        <v>121.58</v>
      </c>
      <c r="J4485" s="91" t="str">
        <f t="shared" si="277"/>
        <v>Sinapi 94775</v>
      </c>
      <c r="K4485" s="91" t="str">
        <f t="shared" si="278"/>
        <v>UN</v>
      </c>
      <c r="L4485" s="166" t="str">
        <f t="shared" si="279"/>
        <v>06/2016</v>
      </c>
      <c r="M4485" s="82"/>
      <c r="N4485" s="82"/>
    </row>
    <row r="4486" spans="1:14" x14ac:dyDescent="0.25">
      <c r="A4486" s="170" t="s">
        <v>7353</v>
      </c>
      <c r="B4486" s="170" t="s">
        <v>7354</v>
      </c>
      <c r="C4486" s="170" t="s">
        <v>205</v>
      </c>
      <c r="D4486" s="170" t="s">
        <v>2067</v>
      </c>
      <c r="E4486" s="171" t="s">
        <v>24765</v>
      </c>
      <c r="F4486" s="171" t="s">
        <v>21355</v>
      </c>
      <c r="G4486" s="82"/>
      <c r="H4486" s="96">
        <f t="shared" si="276"/>
        <v>21.03</v>
      </c>
      <c r="I4486" s="96">
        <f t="shared" si="276"/>
        <v>21.68</v>
      </c>
      <c r="J4486" s="91" t="str">
        <f t="shared" si="277"/>
        <v>Sinapi 94783</v>
      </c>
      <c r="K4486" s="91" t="str">
        <f t="shared" si="278"/>
        <v>UN</v>
      </c>
      <c r="L4486" s="166" t="str">
        <f t="shared" si="279"/>
        <v>06/2016</v>
      </c>
      <c r="M4486" s="82"/>
      <c r="N4486" s="82"/>
    </row>
    <row r="4487" spans="1:14" x14ac:dyDescent="0.25">
      <c r="A4487" s="170" t="s">
        <v>7355</v>
      </c>
      <c r="B4487" s="170" t="s">
        <v>7356</v>
      </c>
      <c r="C4487" s="170" t="s">
        <v>205</v>
      </c>
      <c r="D4487" s="170" t="s">
        <v>2067</v>
      </c>
      <c r="E4487" s="171" t="s">
        <v>19935</v>
      </c>
      <c r="F4487" s="171" t="s">
        <v>30939</v>
      </c>
      <c r="G4487" s="82"/>
      <c r="H4487" s="96">
        <f t="shared" si="276"/>
        <v>24.41</v>
      </c>
      <c r="I4487" s="96">
        <f t="shared" si="276"/>
        <v>25.49</v>
      </c>
      <c r="J4487" s="91" t="str">
        <f t="shared" si="277"/>
        <v>Sinapi 94785</v>
      </c>
      <c r="K4487" s="91" t="str">
        <f t="shared" si="278"/>
        <v>UN</v>
      </c>
      <c r="L4487" s="166" t="str">
        <f t="shared" si="279"/>
        <v>06/2016</v>
      </c>
      <c r="M4487" s="82"/>
      <c r="N4487" s="82"/>
    </row>
    <row r="4488" spans="1:14" x14ac:dyDescent="0.25">
      <c r="A4488" s="170" t="s">
        <v>7357</v>
      </c>
      <c r="B4488" s="170" t="s">
        <v>7358</v>
      </c>
      <c r="C4488" s="170" t="s">
        <v>205</v>
      </c>
      <c r="D4488" s="170" t="s">
        <v>2067</v>
      </c>
      <c r="E4488" s="171" t="s">
        <v>33773</v>
      </c>
      <c r="F4488" s="171" t="s">
        <v>36951</v>
      </c>
      <c r="G4488" s="82"/>
      <c r="H4488" s="96">
        <f t="shared" ref="H4488:I4551" si="280">IF(E4488="","",E4488+0)</f>
        <v>260.89999999999998</v>
      </c>
      <c r="I4488" s="96">
        <f t="shared" si="280"/>
        <v>262.35000000000002</v>
      </c>
      <c r="J4488" s="91" t="str">
        <f t="shared" ref="J4488:J4551" si="281">IF(OR(H4488="",I4488=""),"",TRIM(CONCATENATE("Sinapi ",A4488)))</f>
        <v>Sinapi 94789</v>
      </c>
      <c r="K4488" s="91" t="str">
        <f t="shared" ref="K4488:K4551" si="282">TRIM(C4488)</f>
        <v>UN</v>
      </c>
      <c r="L4488" s="166" t="str">
        <f t="shared" ref="L4488:L4551" si="283">IF(OR(RIGHT(IF(AND(K4488&lt;&gt;"H",K4488&lt;&gt;"MES"),RIGHT(B4488,7),""),2)="PS",RIGHT(IF(AND(K4488&lt;&gt;"H",K4488&lt;&gt;"MES"),RIGHT(B4488,7),""),2)="PA",RIGHT(IF(AND(K4488&lt;&gt;"H",K4488&lt;&gt;"MES"),RIGHT(B4488,7),""),2)="PE"),LEFT(IF(AND(K4488&lt;&gt;"H",K4488&lt;&gt;"MES"),RIGHT(B4488,10),""),7),IF(AND(K4488&lt;&gt;"H",K4488&lt;&gt;"MES"),RIGHT(B4488,7),""))</f>
        <v>06/2016</v>
      </c>
      <c r="M4488" s="82"/>
      <c r="N4488" s="82"/>
    </row>
    <row r="4489" spans="1:14" x14ac:dyDescent="0.25">
      <c r="A4489" s="170" t="s">
        <v>7359</v>
      </c>
      <c r="B4489" s="170" t="s">
        <v>7360</v>
      </c>
      <c r="C4489" s="170" t="s">
        <v>205</v>
      </c>
      <c r="D4489" s="170" t="s">
        <v>2067</v>
      </c>
      <c r="E4489" s="171" t="s">
        <v>33774</v>
      </c>
      <c r="F4489" s="171" t="s">
        <v>36952</v>
      </c>
      <c r="G4489" s="82"/>
      <c r="H4489" s="96">
        <f t="shared" si="280"/>
        <v>360.45</v>
      </c>
      <c r="I4489" s="96">
        <f t="shared" si="280"/>
        <v>361.9</v>
      </c>
      <c r="J4489" s="91" t="str">
        <f t="shared" si="281"/>
        <v>Sinapi 94790</v>
      </c>
      <c r="K4489" s="91" t="str">
        <f t="shared" si="282"/>
        <v>UN</v>
      </c>
      <c r="L4489" s="166" t="str">
        <f t="shared" si="283"/>
        <v>06/2016</v>
      </c>
      <c r="M4489" s="82"/>
      <c r="N4489" s="82"/>
    </row>
    <row r="4490" spans="1:14" x14ac:dyDescent="0.25">
      <c r="A4490" s="170" t="s">
        <v>7361</v>
      </c>
      <c r="B4490" s="170" t="s">
        <v>7362</v>
      </c>
      <c r="C4490" s="170" t="s">
        <v>205</v>
      </c>
      <c r="D4490" s="170" t="s">
        <v>2067</v>
      </c>
      <c r="E4490" s="171" t="s">
        <v>33775</v>
      </c>
      <c r="F4490" s="171" t="s">
        <v>36953</v>
      </c>
      <c r="G4490" s="82"/>
      <c r="H4490" s="96">
        <f t="shared" si="280"/>
        <v>475.83</v>
      </c>
      <c r="I4490" s="96">
        <f t="shared" si="280"/>
        <v>477.28</v>
      </c>
      <c r="J4490" s="91" t="str">
        <f t="shared" si="281"/>
        <v>Sinapi 94791</v>
      </c>
      <c r="K4490" s="91" t="str">
        <f t="shared" si="282"/>
        <v>UN</v>
      </c>
      <c r="L4490" s="166" t="str">
        <f t="shared" si="283"/>
        <v>06/2016</v>
      </c>
      <c r="M4490" s="82"/>
      <c r="N4490" s="82"/>
    </row>
    <row r="4491" spans="1:14" x14ac:dyDescent="0.25">
      <c r="A4491" s="170" t="s">
        <v>7363</v>
      </c>
      <c r="B4491" s="170" t="s">
        <v>7364</v>
      </c>
      <c r="C4491" s="170" t="s">
        <v>205</v>
      </c>
      <c r="D4491" s="170" t="s">
        <v>2067</v>
      </c>
      <c r="E4491" s="171" t="s">
        <v>33776</v>
      </c>
      <c r="F4491" s="171" t="s">
        <v>36954</v>
      </c>
      <c r="G4491" s="82"/>
      <c r="H4491" s="96">
        <f t="shared" si="280"/>
        <v>172.02</v>
      </c>
      <c r="I4491" s="96">
        <f t="shared" si="280"/>
        <v>172.83</v>
      </c>
      <c r="J4491" s="91" t="str">
        <f t="shared" si="281"/>
        <v>Sinapi 94863</v>
      </c>
      <c r="K4491" s="91" t="str">
        <f t="shared" si="282"/>
        <v>UN</v>
      </c>
      <c r="L4491" s="166" t="str">
        <f t="shared" si="283"/>
        <v>06/2016</v>
      </c>
      <c r="M4491" s="82"/>
      <c r="N4491" s="82"/>
    </row>
    <row r="4492" spans="1:14" x14ac:dyDescent="0.25">
      <c r="A4492" s="170" t="s">
        <v>7365</v>
      </c>
      <c r="B4492" s="170" t="s">
        <v>16869</v>
      </c>
      <c r="C4492" s="170" t="s">
        <v>205</v>
      </c>
      <c r="D4492" s="170" t="s">
        <v>2067</v>
      </c>
      <c r="E4492" s="171" t="s">
        <v>22717</v>
      </c>
      <c r="F4492" s="171" t="s">
        <v>21998</v>
      </c>
      <c r="G4492" s="82"/>
      <c r="H4492" s="96">
        <f t="shared" si="280"/>
        <v>26.03</v>
      </c>
      <c r="I4492" s="96">
        <f t="shared" si="280"/>
        <v>26.49</v>
      </c>
      <c r="J4492" s="91" t="str">
        <f t="shared" si="281"/>
        <v>Sinapi 95237</v>
      </c>
      <c r="K4492" s="91" t="str">
        <f t="shared" si="282"/>
        <v>UN</v>
      </c>
      <c r="L4492" s="166" t="str">
        <f t="shared" si="283"/>
        <v>06/2022</v>
      </c>
      <c r="M4492" s="82"/>
      <c r="N4492" s="82"/>
    </row>
    <row r="4493" spans="1:14" x14ac:dyDescent="0.25">
      <c r="A4493" s="170" t="s">
        <v>7366</v>
      </c>
      <c r="B4493" s="170" t="s">
        <v>17563</v>
      </c>
      <c r="C4493" s="170" t="s">
        <v>205</v>
      </c>
      <c r="D4493" s="170" t="s">
        <v>2067</v>
      </c>
      <c r="E4493" s="171" t="s">
        <v>29274</v>
      </c>
      <c r="F4493" s="171" t="s">
        <v>22839</v>
      </c>
      <c r="G4493" s="82"/>
      <c r="H4493" s="96">
        <f t="shared" si="280"/>
        <v>49.64</v>
      </c>
      <c r="I4493" s="96">
        <f t="shared" si="280"/>
        <v>50.77</v>
      </c>
      <c r="J4493" s="91" t="str">
        <f t="shared" si="281"/>
        <v>Sinapi 95693</v>
      </c>
      <c r="K4493" s="91" t="str">
        <f t="shared" si="282"/>
        <v>UN</v>
      </c>
      <c r="L4493" s="166" t="str">
        <f t="shared" si="283"/>
        <v>08/2022</v>
      </c>
      <c r="M4493" s="82"/>
      <c r="N4493" s="82"/>
    </row>
    <row r="4494" spans="1:14" x14ac:dyDescent="0.25">
      <c r="A4494" s="170" t="s">
        <v>7367</v>
      </c>
      <c r="B4494" s="170" t="s">
        <v>16870</v>
      </c>
      <c r="C4494" s="170" t="s">
        <v>205</v>
      </c>
      <c r="D4494" s="170" t="s">
        <v>2067</v>
      </c>
      <c r="E4494" s="171" t="s">
        <v>19931</v>
      </c>
      <c r="F4494" s="171" t="s">
        <v>36955</v>
      </c>
      <c r="G4494" s="82"/>
      <c r="H4494" s="96">
        <f t="shared" si="280"/>
        <v>56.28</v>
      </c>
      <c r="I4494" s="96">
        <f t="shared" si="280"/>
        <v>56.89</v>
      </c>
      <c r="J4494" s="91" t="str">
        <f t="shared" si="281"/>
        <v>Sinapi 95694</v>
      </c>
      <c r="K4494" s="91" t="str">
        <f t="shared" si="282"/>
        <v>UN</v>
      </c>
      <c r="L4494" s="166" t="str">
        <f t="shared" si="283"/>
        <v>06/2022</v>
      </c>
      <c r="M4494" s="82"/>
      <c r="N4494" s="82"/>
    </row>
    <row r="4495" spans="1:14" x14ac:dyDescent="0.25">
      <c r="A4495" s="170" t="s">
        <v>7368</v>
      </c>
      <c r="B4495" s="170" t="s">
        <v>16871</v>
      </c>
      <c r="C4495" s="170" t="s">
        <v>205</v>
      </c>
      <c r="D4495" s="170" t="s">
        <v>2067</v>
      </c>
      <c r="E4495" s="171" t="s">
        <v>33777</v>
      </c>
      <c r="F4495" s="171" t="s">
        <v>29050</v>
      </c>
      <c r="G4495" s="82"/>
      <c r="H4495" s="96">
        <f t="shared" si="280"/>
        <v>62.21</v>
      </c>
      <c r="I4495" s="96">
        <f t="shared" si="280"/>
        <v>63.5</v>
      </c>
      <c r="J4495" s="91" t="str">
        <f t="shared" si="281"/>
        <v>Sinapi 95695</v>
      </c>
      <c r="K4495" s="91" t="str">
        <f t="shared" si="282"/>
        <v>UN</v>
      </c>
      <c r="L4495" s="166" t="str">
        <f t="shared" si="283"/>
        <v>06/2022</v>
      </c>
      <c r="M4495" s="82"/>
      <c r="N4495" s="82"/>
    </row>
    <row r="4496" spans="1:14" x14ac:dyDescent="0.25">
      <c r="A4496" s="170" t="s">
        <v>7369</v>
      </c>
      <c r="B4496" s="170" t="s">
        <v>11981</v>
      </c>
      <c r="C4496" s="170" t="s">
        <v>205</v>
      </c>
      <c r="D4496" s="170" t="s">
        <v>1947</v>
      </c>
      <c r="E4496" s="171" t="s">
        <v>21164</v>
      </c>
      <c r="F4496" s="171" t="s">
        <v>21877</v>
      </c>
      <c r="G4496" s="82"/>
      <c r="H4496" s="96">
        <f t="shared" si="280"/>
        <v>33.479999999999997</v>
      </c>
      <c r="I4496" s="96">
        <f t="shared" si="280"/>
        <v>33.81</v>
      </c>
      <c r="J4496" s="91" t="str">
        <f t="shared" si="281"/>
        <v>Sinapi 95696</v>
      </c>
      <c r="K4496" s="91" t="str">
        <f t="shared" si="282"/>
        <v>UN</v>
      </c>
      <c r="L4496" s="166" t="str">
        <f t="shared" si="283"/>
        <v>10/2020</v>
      </c>
      <c r="M4496" s="82"/>
      <c r="N4496" s="82"/>
    </row>
    <row r="4497" spans="1:14" x14ac:dyDescent="0.25">
      <c r="A4497" s="170" t="s">
        <v>7370</v>
      </c>
      <c r="B4497" s="170" t="s">
        <v>17564</v>
      </c>
      <c r="C4497" s="170" t="s">
        <v>205</v>
      </c>
      <c r="D4497" s="170" t="s">
        <v>1947</v>
      </c>
      <c r="E4497" s="171" t="s">
        <v>21558</v>
      </c>
      <c r="F4497" s="171" t="s">
        <v>23096</v>
      </c>
      <c r="G4497" s="82"/>
      <c r="H4497" s="96">
        <f t="shared" si="280"/>
        <v>13.18</v>
      </c>
      <c r="I4497" s="96">
        <f t="shared" si="280"/>
        <v>14.42</v>
      </c>
      <c r="J4497" s="91" t="str">
        <f t="shared" si="281"/>
        <v>Sinapi 96637</v>
      </c>
      <c r="K4497" s="91" t="str">
        <f t="shared" si="282"/>
        <v>UN</v>
      </c>
      <c r="L4497" s="166" t="str">
        <f t="shared" si="283"/>
        <v>08/2022</v>
      </c>
      <c r="M4497" s="82"/>
      <c r="N4497" s="82"/>
    </row>
    <row r="4498" spans="1:14" x14ac:dyDescent="0.25">
      <c r="A4498" s="170" t="s">
        <v>7371</v>
      </c>
      <c r="B4498" s="170" t="s">
        <v>17565</v>
      </c>
      <c r="C4498" s="170" t="s">
        <v>205</v>
      </c>
      <c r="D4498" s="170" t="s">
        <v>1947</v>
      </c>
      <c r="E4498" s="171" t="s">
        <v>14788</v>
      </c>
      <c r="F4498" s="171" t="s">
        <v>15855</v>
      </c>
      <c r="G4498" s="82"/>
      <c r="H4498" s="96">
        <f t="shared" si="280"/>
        <v>13.54</v>
      </c>
      <c r="I4498" s="96">
        <f t="shared" si="280"/>
        <v>14.78</v>
      </c>
      <c r="J4498" s="91" t="str">
        <f t="shared" si="281"/>
        <v>Sinapi 96638</v>
      </c>
      <c r="K4498" s="91" t="str">
        <f t="shared" si="282"/>
        <v>UN</v>
      </c>
      <c r="L4498" s="166" t="str">
        <f t="shared" si="283"/>
        <v>08/2022</v>
      </c>
      <c r="M4498" s="82"/>
      <c r="N4498" s="82"/>
    </row>
    <row r="4499" spans="1:14" x14ac:dyDescent="0.25">
      <c r="A4499" s="170" t="s">
        <v>7373</v>
      </c>
      <c r="B4499" s="170" t="s">
        <v>17566</v>
      </c>
      <c r="C4499" s="170" t="s">
        <v>205</v>
      </c>
      <c r="D4499" s="170" t="s">
        <v>1947</v>
      </c>
      <c r="E4499" s="171" t="s">
        <v>19853</v>
      </c>
      <c r="F4499" s="171" t="s">
        <v>14349</v>
      </c>
      <c r="G4499" s="82"/>
      <c r="H4499" s="96">
        <f t="shared" si="280"/>
        <v>9.23</v>
      </c>
      <c r="I4499" s="96">
        <f t="shared" si="280"/>
        <v>10.050000000000001</v>
      </c>
      <c r="J4499" s="91" t="str">
        <f t="shared" si="281"/>
        <v>Sinapi 96639</v>
      </c>
      <c r="K4499" s="91" t="str">
        <f t="shared" si="282"/>
        <v>UN</v>
      </c>
      <c r="L4499" s="166" t="str">
        <f t="shared" si="283"/>
        <v>08/2022</v>
      </c>
      <c r="M4499" s="82"/>
      <c r="N4499" s="82"/>
    </row>
    <row r="4500" spans="1:14" x14ac:dyDescent="0.25">
      <c r="A4500" s="170" t="s">
        <v>7374</v>
      </c>
      <c r="B4500" s="170" t="s">
        <v>17567</v>
      </c>
      <c r="C4500" s="170" t="s">
        <v>205</v>
      </c>
      <c r="D4500" s="170" t="s">
        <v>1947</v>
      </c>
      <c r="E4500" s="171" t="s">
        <v>20989</v>
      </c>
      <c r="F4500" s="171" t="s">
        <v>22087</v>
      </c>
      <c r="G4500" s="82"/>
      <c r="H4500" s="96">
        <f t="shared" si="280"/>
        <v>22.94</v>
      </c>
      <c r="I4500" s="96">
        <f t="shared" si="280"/>
        <v>23.52</v>
      </c>
      <c r="J4500" s="91" t="str">
        <f t="shared" si="281"/>
        <v>Sinapi 96640</v>
      </c>
      <c r="K4500" s="91" t="str">
        <f t="shared" si="282"/>
        <v>UN</v>
      </c>
      <c r="L4500" s="166" t="str">
        <f t="shared" si="283"/>
        <v>08/2022</v>
      </c>
      <c r="M4500" s="82"/>
      <c r="N4500" s="82"/>
    </row>
    <row r="4501" spans="1:14" x14ac:dyDescent="0.25">
      <c r="A4501" s="170" t="s">
        <v>7375</v>
      </c>
      <c r="B4501" s="170" t="s">
        <v>17568</v>
      </c>
      <c r="C4501" s="170" t="s">
        <v>205</v>
      </c>
      <c r="D4501" s="170" t="s">
        <v>1947</v>
      </c>
      <c r="E4501" s="171" t="s">
        <v>20114</v>
      </c>
      <c r="F4501" s="171" t="s">
        <v>22092</v>
      </c>
      <c r="G4501" s="82"/>
      <c r="H4501" s="96">
        <f t="shared" si="280"/>
        <v>15.1</v>
      </c>
      <c r="I4501" s="96">
        <f t="shared" si="280"/>
        <v>15.68</v>
      </c>
      <c r="J4501" s="91" t="str">
        <f t="shared" si="281"/>
        <v>Sinapi 96641</v>
      </c>
      <c r="K4501" s="91" t="str">
        <f t="shared" si="282"/>
        <v>UN</v>
      </c>
      <c r="L4501" s="166" t="str">
        <f t="shared" si="283"/>
        <v>08/2022</v>
      </c>
      <c r="M4501" s="82"/>
      <c r="N4501" s="82"/>
    </row>
    <row r="4502" spans="1:14" x14ac:dyDescent="0.25">
      <c r="A4502" s="170" t="s">
        <v>7376</v>
      </c>
      <c r="B4502" s="170" t="s">
        <v>17569</v>
      </c>
      <c r="C4502" s="170" t="s">
        <v>205</v>
      </c>
      <c r="D4502" s="170" t="s">
        <v>1947</v>
      </c>
      <c r="E4502" s="171" t="s">
        <v>17398</v>
      </c>
      <c r="F4502" s="171" t="s">
        <v>23055</v>
      </c>
      <c r="G4502" s="82"/>
      <c r="H4502" s="96">
        <f t="shared" si="280"/>
        <v>17.329999999999998</v>
      </c>
      <c r="I4502" s="96">
        <f t="shared" si="280"/>
        <v>18.97</v>
      </c>
      <c r="J4502" s="91" t="str">
        <f t="shared" si="281"/>
        <v>Sinapi 96642</v>
      </c>
      <c r="K4502" s="91" t="str">
        <f t="shared" si="282"/>
        <v>UN</v>
      </c>
      <c r="L4502" s="166" t="str">
        <f t="shared" si="283"/>
        <v>08/2022</v>
      </c>
      <c r="M4502" s="82"/>
      <c r="N4502" s="82"/>
    </row>
    <row r="4503" spans="1:14" x14ac:dyDescent="0.25">
      <c r="A4503" s="170" t="s">
        <v>7377</v>
      </c>
      <c r="B4503" s="170" t="s">
        <v>17570</v>
      </c>
      <c r="C4503" s="170" t="s">
        <v>205</v>
      </c>
      <c r="D4503" s="170" t="s">
        <v>1947</v>
      </c>
      <c r="E4503" s="171" t="s">
        <v>24833</v>
      </c>
      <c r="F4503" s="171" t="s">
        <v>23166</v>
      </c>
      <c r="G4503" s="82"/>
      <c r="H4503" s="96">
        <f t="shared" si="280"/>
        <v>40.06</v>
      </c>
      <c r="I4503" s="96">
        <f t="shared" si="280"/>
        <v>41.23</v>
      </c>
      <c r="J4503" s="91" t="str">
        <f t="shared" si="281"/>
        <v>Sinapi 96643</v>
      </c>
      <c r="K4503" s="91" t="str">
        <f t="shared" si="282"/>
        <v>UN</v>
      </c>
      <c r="L4503" s="166" t="str">
        <f t="shared" si="283"/>
        <v>08/2022</v>
      </c>
      <c r="M4503" s="82"/>
      <c r="N4503" s="82"/>
    </row>
    <row r="4504" spans="1:14" x14ac:dyDescent="0.25">
      <c r="A4504" s="170" t="s">
        <v>7378</v>
      </c>
      <c r="B4504" s="170" t="s">
        <v>17571</v>
      </c>
      <c r="C4504" s="170" t="s">
        <v>205</v>
      </c>
      <c r="D4504" s="170" t="s">
        <v>1947</v>
      </c>
      <c r="E4504" s="171" t="s">
        <v>20036</v>
      </c>
      <c r="F4504" s="171" t="s">
        <v>14949</v>
      </c>
      <c r="G4504" s="82"/>
      <c r="H4504" s="96">
        <f t="shared" si="280"/>
        <v>7.5</v>
      </c>
      <c r="I4504" s="96">
        <f t="shared" si="280"/>
        <v>8.09</v>
      </c>
      <c r="J4504" s="91" t="str">
        <f t="shared" si="281"/>
        <v>Sinapi 96650</v>
      </c>
      <c r="K4504" s="91" t="str">
        <f t="shared" si="282"/>
        <v>UN</v>
      </c>
      <c r="L4504" s="166" t="str">
        <f t="shared" si="283"/>
        <v>08/2022</v>
      </c>
      <c r="M4504" s="82"/>
      <c r="N4504" s="82"/>
    </row>
    <row r="4505" spans="1:14" x14ac:dyDescent="0.25">
      <c r="A4505" s="170" t="s">
        <v>7379</v>
      </c>
      <c r="B4505" s="170" t="s">
        <v>17572</v>
      </c>
      <c r="C4505" s="170" t="s">
        <v>205</v>
      </c>
      <c r="D4505" s="170" t="s">
        <v>1947</v>
      </c>
      <c r="E4505" s="171" t="s">
        <v>20467</v>
      </c>
      <c r="F4505" s="171" t="s">
        <v>19283</v>
      </c>
      <c r="G4505" s="82"/>
      <c r="H4505" s="96">
        <f t="shared" si="280"/>
        <v>7.86</v>
      </c>
      <c r="I4505" s="96">
        <f t="shared" si="280"/>
        <v>8.4499999999999993</v>
      </c>
      <c r="J4505" s="91" t="str">
        <f t="shared" si="281"/>
        <v>Sinapi 96651</v>
      </c>
      <c r="K4505" s="91" t="str">
        <f t="shared" si="282"/>
        <v>UN</v>
      </c>
      <c r="L4505" s="166" t="str">
        <f t="shared" si="283"/>
        <v>08/2022</v>
      </c>
      <c r="M4505" s="82"/>
      <c r="N4505" s="82"/>
    </row>
    <row r="4506" spans="1:14" x14ac:dyDescent="0.25">
      <c r="A4506" s="170" t="s">
        <v>7380</v>
      </c>
      <c r="B4506" s="170" t="s">
        <v>17573</v>
      </c>
      <c r="C4506" s="170" t="s">
        <v>205</v>
      </c>
      <c r="D4506" s="170" t="s">
        <v>1947</v>
      </c>
      <c r="E4506" s="171" t="s">
        <v>12328</v>
      </c>
      <c r="F4506" s="171" t="s">
        <v>3571</v>
      </c>
      <c r="G4506" s="82"/>
      <c r="H4506" s="96">
        <f t="shared" si="280"/>
        <v>8.99</v>
      </c>
      <c r="I4506" s="96">
        <f t="shared" si="280"/>
        <v>9.6</v>
      </c>
      <c r="J4506" s="91" t="str">
        <f t="shared" si="281"/>
        <v>Sinapi 96652</v>
      </c>
      <c r="K4506" s="91" t="str">
        <f t="shared" si="282"/>
        <v>UN</v>
      </c>
      <c r="L4506" s="166" t="str">
        <f t="shared" si="283"/>
        <v>08/2022</v>
      </c>
      <c r="M4506" s="82"/>
      <c r="N4506" s="82"/>
    </row>
    <row r="4507" spans="1:14" x14ac:dyDescent="0.25">
      <c r="A4507" s="170" t="s">
        <v>7381</v>
      </c>
      <c r="B4507" s="170" t="s">
        <v>17574</v>
      </c>
      <c r="C4507" s="170" t="s">
        <v>205</v>
      </c>
      <c r="D4507" s="170" t="s">
        <v>1947</v>
      </c>
      <c r="E4507" s="171" t="s">
        <v>19394</v>
      </c>
      <c r="F4507" s="171" t="s">
        <v>28656</v>
      </c>
      <c r="G4507" s="82"/>
      <c r="H4507" s="96">
        <f t="shared" si="280"/>
        <v>12.04</v>
      </c>
      <c r="I4507" s="96">
        <f t="shared" si="280"/>
        <v>12.65</v>
      </c>
      <c r="J4507" s="91" t="str">
        <f t="shared" si="281"/>
        <v>Sinapi 96653</v>
      </c>
      <c r="K4507" s="91" t="str">
        <f t="shared" si="282"/>
        <v>UN</v>
      </c>
      <c r="L4507" s="166" t="str">
        <f t="shared" si="283"/>
        <v>08/2022</v>
      </c>
      <c r="M4507" s="82"/>
      <c r="N4507" s="82"/>
    </row>
    <row r="4508" spans="1:14" x14ac:dyDescent="0.25">
      <c r="A4508" s="170" t="s">
        <v>7382</v>
      </c>
      <c r="B4508" s="170" t="s">
        <v>17575</v>
      </c>
      <c r="C4508" s="170" t="s">
        <v>205</v>
      </c>
      <c r="D4508" s="170" t="s">
        <v>1947</v>
      </c>
      <c r="E4508" s="171" t="s">
        <v>30197</v>
      </c>
      <c r="F4508" s="171" t="s">
        <v>15531</v>
      </c>
      <c r="G4508" s="82"/>
      <c r="H4508" s="96">
        <f t="shared" si="280"/>
        <v>13.77</v>
      </c>
      <c r="I4508" s="96">
        <f t="shared" si="280"/>
        <v>14.41</v>
      </c>
      <c r="J4508" s="91" t="str">
        <f t="shared" si="281"/>
        <v>Sinapi 96654</v>
      </c>
      <c r="K4508" s="91" t="str">
        <f t="shared" si="282"/>
        <v>UN</v>
      </c>
      <c r="L4508" s="166" t="str">
        <f t="shared" si="283"/>
        <v>08/2022</v>
      </c>
      <c r="M4508" s="82"/>
      <c r="N4508" s="82"/>
    </row>
    <row r="4509" spans="1:14" x14ac:dyDescent="0.25">
      <c r="A4509" s="170" t="s">
        <v>7383</v>
      </c>
      <c r="B4509" s="170" t="s">
        <v>17576</v>
      </c>
      <c r="C4509" s="170" t="s">
        <v>205</v>
      </c>
      <c r="D4509" s="170" t="s">
        <v>1947</v>
      </c>
      <c r="E4509" s="171" t="s">
        <v>2005</v>
      </c>
      <c r="F4509" s="171" t="s">
        <v>22711</v>
      </c>
      <c r="G4509" s="82"/>
      <c r="H4509" s="96">
        <f t="shared" si="280"/>
        <v>18.73</v>
      </c>
      <c r="I4509" s="96">
        <f t="shared" si="280"/>
        <v>19.37</v>
      </c>
      <c r="J4509" s="91" t="str">
        <f t="shared" si="281"/>
        <v>Sinapi 96655</v>
      </c>
      <c r="K4509" s="91" t="str">
        <f t="shared" si="282"/>
        <v>UN</v>
      </c>
      <c r="L4509" s="166" t="str">
        <f t="shared" si="283"/>
        <v>08/2022</v>
      </c>
      <c r="M4509" s="82"/>
      <c r="N4509" s="82"/>
    </row>
    <row r="4510" spans="1:14" x14ac:dyDescent="0.25">
      <c r="A4510" s="170" t="s">
        <v>7384</v>
      </c>
      <c r="B4510" s="170" t="s">
        <v>17577</v>
      </c>
      <c r="C4510" s="170" t="s">
        <v>205</v>
      </c>
      <c r="D4510" s="170" t="s">
        <v>1947</v>
      </c>
      <c r="E4510" s="171" t="s">
        <v>2650</v>
      </c>
      <c r="F4510" s="171" t="s">
        <v>14923</v>
      </c>
      <c r="G4510" s="82"/>
      <c r="H4510" s="96">
        <f t="shared" si="280"/>
        <v>5.43</v>
      </c>
      <c r="I4510" s="96">
        <f t="shared" si="280"/>
        <v>5.83</v>
      </c>
      <c r="J4510" s="91" t="str">
        <f t="shared" si="281"/>
        <v>Sinapi 96656</v>
      </c>
      <c r="K4510" s="91" t="str">
        <f t="shared" si="282"/>
        <v>UN</v>
      </c>
      <c r="L4510" s="166" t="str">
        <f t="shared" si="283"/>
        <v>08/2022</v>
      </c>
      <c r="M4510" s="82"/>
      <c r="N4510" s="82"/>
    </row>
    <row r="4511" spans="1:14" x14ac:dyDescent="0.25">
      <c r="A4511" s="170" t="s">
        <v>7385</v>
      </c>
      <c r="B4511" s="170" t="s">
        <v>17578</v>
      </c>
      <c r="C4511" s="170" t="s">
        <v>205</v>
      </c>
      <c r="D4511" s="170" t="s">
        <v>1947</v>
      </c>
      <c r="E4511" s="171" t="s">
        <v>20037</v>
      </c>
      <c r="F4511" s="171" t="s">
        <v>21592</v>
      </c>
      <c r="G4511" s="82"/>
      <c r="H4511" s="96">
        <f t="shared" si="280"/>
        <v>21.24</v>
      </c>
      <c r="I4511" s="96">
        <f t="shared" si="280"/>
        <v>21.64</v>
      </c>
      <c r="J4511" s="91" t="str">
        <f t="shared" si="281"/>
        <v>Sinapi 96657</v>
      </c>
      <c r="K4511" s="91" t="str">
        <f t="shared" si="282"/>
        <v>UN</v>
      </c>
      <c r="L4511" s="166" t="str">
        <f t="shared" si="283"/>
        <v>08/2022</v>
      </c>
      <c r="M4511" s="82"/>
      <c r="N4511" s="82"/>
    </row>
    <row r="4512" spans="1:14" x14ac:dyDescent="0.25">
      <c r="A4512" s="170" t="s">
        <v>7386</v>
      </c>
      <c r="B4512" s="170" t="s">
        <v>17579</v>
      </c>
      <c r="C4512" s="170" t="s">
        <v>205</v>
      </c>
      <c r="D4512" s="170" t="s">
        <v>1947</v>
      </c>
      <c r="E4512" s="171" t="s">
        <v>18725</v>
      </c>
      <c r="F4512" s="171" t="s">
        <v>20984</v>
      </c>
      <c r="G4512" s="82"/>
      <c r="H4512" s="96">
        <f t="shared" si="280"/>
        <v>13.4</v>
      </c>
      <c r="I4512" s="96">
        <f t="shared" si="280"/>
        <v>13.8</v>
      </c>
      <c r="J4512" s="91" t="str">
        <f t="shared" si="281"/>
        <v>Sinapi 96658</v>
      </c>
      <c r="K4512" s="91" t="str">
        <f t="shared" si="282"/>
        <v>UN</v>
      </c>
      <c r="L4512" s="166" t="str">
        <f t="shared" si="283"/>
        <v>08/2022</v>
      </c>
      <c r="M4512" s="82"/>
      <c r="N4512" s="82"/>
    </row>
    <row r="4513" spans="1:14" x14ac:dyDescent="0.25">
      <c r="A4513" s="170" t="s">
        <v>7387</v>
      </c>
      <c r="B4513" s="170" t="s">
        <v>17580</v>
      </c>
      <c r="C4513" s="170" t="s">
        <v>205</v>
      </c>
      <c r="D4513" s="170" t="s">
        <v>1947</v>
      </c>
      <c r="E4513" s="171" t="s">
        <v>23182</v>
      </c>
      <c r="F4513" s="171" t="s">
        <v>5273</v>
      </c>
      <c r="G4513" s="82"/>
      <c r="H4513" s="96">
        <f t="shared" si="280"/>
        <v>7.21</v>
      </c>
      <c r="I4513" s="96">
        <f t="shared" si="280"/>
        <v>7.62</v>
      </c>
      <c r="J4513" s="91" t="str">
        <f t="shared" si="281"/>
        <v>Sinapi 96659</v>
      </c>
      <c r="K4513" s="91" t="str">
        <f t="shared" si="282"/>
        <v>UN</v>
      </c>
      <c r="L4513" s="166" t="str">
        <f t="shared" si="283"/>
        <v>08/2022</v>
      </c>
      <c r="M4513" s="82"/>
      <c r="N4513" s="82"/>
    </row>
    <row r="4514" spans="1:14" x14ac:dyDescent="0.25">
      <c r="A4514" s="170" t="s">
        <v>7388</v>
      </c>
      <c r="B4514" s="170" t="s">
        <v>17581</v>
      </c>
      <c r="C4514" s="170" t="s">
        <v>205</v>
      </c>
      <c r="D4514" s="170" t="s">
        <v>1947</v>
      </c>
      <c r="E4514" s="171" t="s">
        <v>33778</v>
      </c>
      <c r="F4514" s="171" t="s">
        <v>23258</v>
      </c>
      <c r="G4514" s="82"/>
      <c r="H4514" s="96">
        <f t="shared" si="280"/>
        <v>29.01</v>
      </c>
      <c r="I4514" s="96">
        <f t="shared" si="280"/>
        <v>29.41</v>
      </c>
      <c r="J4514" s="91" t="str">
        <f t="shared" si="281"/>
        <v>Sinapi 96660</v>
      </c>
      <c r="K4514" s="91" t="str">
        <f t="shared" si="282"/>
        <v>UN</v>
      </c>
      <c r="L4514" s="166" t="str">
        <f t="shared" si="283"/>
        <v>08/2022</v>
      </c>
      <c r="M4514" s="82"/>
      <c r="N4514" s="82"/>
    </row>
    <row r="4515" spans="1:14" x14ac:dyDescent="0.25">
      <c r="A4515" s="170" t="s">
        <v>7389</v>
      </c>
      <c r="B4515" s="170" t="s">
        <v>17582</v>
      </c>
      <c r="C4515" s="170" t="s">
        <v>205</v>
      </c>
      <c r="D4515" s="170" t="s">
        <v>1947</v>
      </c>
      <c r="E4515" s="171" t="s">
        <v>23120</v>
      </c>
      <c r="F4515" s="171" t="s">
        <v>22013</v>
      </c>
      <c r="G4515" s="82"/>
      <c r="H4515" s="96">
        <f t="shared" si="280"/>
        <v>28.73</v>
      </c>
      <c r="I4515" s="96">
        <f t="shared" si="280"/>
        <v>29.13</v>
      </c>
      <c r="J4515" s="91" t="str">
        <f t="shared" si="281"/>
        <v>Sinapi 96661</v>
      </c>
      <c r="K4515" s="91" t="str">
        <f t="shared" si="282"/>
        <v>UN</v>
      </c>
      <c r="L4515" s="166" t="str">
        <f t="shared" si="283"/>
        <v>08/2022</v>
      </c>
      <c r="M4515" s="82"/>
      <c r="N4515" s="82"/>
    </row>
    <row r="4516" spans="1:14" x14ac:dyDescent="0.25">
      <c r="A4516" s="170" t="s">
        <v>7390</v>
      </c>
      <c r="B4516" s="170" t="s">
        <v>17583</v>
      </c>
      <c r="C4516" s="170" t="s">
        <v>205</v>
      </c>
      <c r="D4516" s="170" t="s">
        <v>1947</v>
      </c>
      <c r="E4516" s="171" t="s">
        <v>14949</v>
      </c>
      <c r="F4516" s="171" t="s">
        <v>17961</v>
      </c>
      <c r="G4516" s="82"/>
      <c r="H4516" s="96">
        <f t="shared" si="280"/>
        <v>8.09</v>
      </c>
      <c r="I4516" s="96">
        <f t="shared" si="280"/>
        <v>8.49</v>
      </c>
      <c r="J4516" s="91" t="str">
        <f t="shared" si="281"/>
        <v>Sinapi 96662</v>
      </c>
      <c r="K4516" s="91" t="str">
        <f t="shared" si="282"/>
        <v>UN</v>
      </c>
      <c r="L4516" s="166" t="str">
        <f t="shared" si="283"/>
        <v>08/2022</v>
      </c>
      <c r="M4516" s="82"/>
      <c r="N4516" s="82"/>
    </row>
    <row r="4517" spans="1:14" x14ac:dyDescent="0.25">
      <c r="A4517" s="170" t="s">
        <v>7391</v>
      </c>
      <c r="B4517" s="170" t="s">
        <v>17584</v>
      </c>
      <c r="C4517" s="170" t="s">
        <v>205</v>
      </c>
      <c r="D4517" s="170" t="s">
        <v>1947</v>
      </c>
      <c r="E4517" s="171" t="s">
        <v>16381</v>
      </c>
      <c r="F4517" s="171" t="s">
        <v>19895</v>
      </c>
      <c r="G4517" s="82"/>
      <c r="H4517" s="96">
        <f t="shared" si="280"/>
        <v>14.02</v>
      </c>
      <c r="I4517" s="96">
        <f t="shared" si="280"/>
        <v>14.46</v>
      </c>
      <c r="J4517" s="91" t="str">
        <f t="shared" si="281"/>
        <v>Sinapi 96663</v>
      </c>
      <c r="K4517" s="91" t="str">
        <f t="shared" si="282"/>
        <v>UN</v>
      </c>
      <c r="L4517" s="166" t="str">
        <f t="shared" si="283"/>
        <v>08/2022</v>
      </c>
      <c r="M4517" s="82"/>
      <c r="N4517" s="82"/>
    </row>
    <row r="4518" spans="1:14" x14ac:dyDescent="0.25">
      <c r="A4518" s="170" t="s">
        <v>7392</v>
      </c>
      <c r="B4518" s="170" t="s">
        <v>17585</v>
      </c>
      <c r="C4518" s="170" t="s">
        <v>205</v>
      </c>
      <c r="D4518" s="170" t="s">
        <v>1947</v>
      </c>
      <c r="E4518" s="171" t="s">
        <v>29378</v>
      </c>
      <c r="F4518" s="171" t="s">
        <v>9830</v>
      </c>
      <c r="G4518" s="82"/>
      <c r="H4518" s="96">
        <f t="shared" si="280"/>
        <v>15.48</v>
      </c>
      <c r="I4518" s="96">
        <f t="shared" si="280"/>
        <v>15.9</v>
      </c>
      <c r="J4518" s="91" t="str">
        <f t="shared" si="281"/>
        <v>Sinapi 96664</v>
      </c>
      <c r="K4518" s="91" t="str">
        <f t="shared" si="282"/>
        <v>UN</v>
      </c>
      <c r="L4518" s="166" t="str">
        <f t="shared" si="283"/>
        <v>08/2022</v>
      </c>
      <c r="M4518" s="82"/>
      <c r="N4518" s="82"/>
    </row>
    <row r="4519" spans="1:14" x14ac:dyDescent="0.25">
      <c r="A4519" s="170" t="s">
        <v>7393</v>
      </c>
      <c r="B4519" s="170" t="s">
        <v>17586</v>
      </c>
      <c r="C4519" s="170" t="s">
        <v>205</v>
      </c>
      <c r="D4519" s="170" t="s">
        <v>1947</v>
      </c>
      <c r="E4519" s="171" t="s">
        <v>18607</v>
      </c>
      <c r="F4519" s="171" t="s">
        <v>11178</v>
      </c>
      <c r="G4519" s="82"/>
      <c r="H4519" s="96">
        <f t="shared" si="280"/>
        <v>9.74</v>
      </c>
      <c r="I4519" s="96">
        <f t="shared" si="280"/>
        <v>10.53</v>
      </c>
      <c r="J4519" s="91" t="str">
        <f t="shared" si="281"/>
        <v>Sinapi 96665</v>
      </c>
      <c r="K4519" s="91" t="str">
        <f t="shared" si="282"/>
        <v>UN</v>
      </c>
      <c r="L4519" s="166" t="str">
        <f t="shared" si="283"/>
        <v>08/2022</v>
      </c>
      <c r="M4519" s="82"/>
      <c r="N4519" s="82"/>
    </row>
    <row r="4520" spans="1:14" x14ac:dyDescent="0.25">
      <c r="A4520" s="170" t="s">
        <v>7394</v>
      </c>
      <c r="B4520" s="170" t="s">
        <v>17587</v>
      </c>
      <c r="C4520" s="170" t="s">
        <v>205</v>
      </c>
      <c r="D4520" s="170" t="s">
        <v>1947</v>
      </c>
      <c r="E4520" s="171" t="s">
        <v>17296</v>
      </c>
      <c r="F4520" s="171" t="s">
        <v>14320</v>
      </c>
      <c r="G4520" s="82"/>
      <c r="H4520" s="96">
        <f t="shared" si="280"/>
        <v>14.38</v>
      </c>
      <c r="I4520" s="96">
        <f t="shared" si="280"/>
        <v>15.2</v>
      </c>
      <c r="J4520" s="91" t="str">
        <f t="shared" si="281"/>
        <v>Sinapi 96666</v>
      </c>
      <c r="K4520" s="91" t="str">
        <f t="shared" si="282"/>
        <v>UN</v>
      </c>
      <c r="L4520" s="166" t="str">
        <f t="shared" si="283"/>
        <v>08/2022</v>
      </c>
      <c r="M4520" s="82"/>
      <c r="N4520" s="82"/>
    </row>
    <row r="4521" spans="1:14" x14ac:dyDescent="0.25">
      <c r="A4521" s="170" t="s">
        <v>7395</v>
      </c>
      <c r="B4521" s="170" t="s">
        <v>17588</v>
      </c>
      <c r="C4521" s="170" t="s">
        <v>205</v>
      </c>
      <c r="D4521" s="170" t="s">
        <v>1947</v>
      </c>
      <c r="E4521" s="171" t="s">
        <v>22100</v>
      </c>
      <c r="F4521" s="171" t="s">
        <v>23058</v>
      </c>
      <c r="G4521" s="82"/>
      <c r="H4521" s="96">
        <f t="shared" si="280"/>
        <v>20.64</v>
      </c>
      <c r="I4521" s="96">
        <f t="shared" si="280"/>
        <v>21.51</v>
      </c>
      <c r="J4521" s="91" t="str">
        <f t="shared" si="281"/>
        <v>Sinapi 96667</v>
      </c>
      <c r="K4521" s="91" t="str">
        <f t="shared" si="282"/>
        <v>UN</v>
      </c>
      <c r="L4521" s="166" t="str">
        <f t="shared" si="283"/>
        <v>08/2022</v>
      </c>
      <c r="M4521" s="82"/>
      <c r="N4521" s="82"/>
    </row>
    <row r="4522" spans="1:14" x14ac:dyDescent="0.25">
      <c r="A4522" s="170" t="s">
        <v>7396</v>
      </c>
      <c r="B4522" s="170" t="s">
        <v>17589</v>
      </c>
      <c r="C4522" s="170" t="s">
        <v>205</v>
      </c>
      <c r="D4522" s="170" t="s">
        <v>1947</v>
      </c>
      <c r="E4522" s="171" t="s">
        <v>22792</v>
      </c>
      <c r="F4522" s="171" t="s">
        <v>18608</v>
      </c>
      <c r="G4522" s="82"/>
      <c r="H4522" s="96">
        <f t="shared" si="280"/>
        <v>9.5500000000000007</v>
      </c>
      <c r="I4522" s="96">
        <f t="shared" si="280"/>
        <v>10.37</v>
      </c>
      <c r="J4522" s="91" t="str">
        <f t="shared" si="281"/>
        <v>Sinapi 96684</v>
      </c>
      <c r="K4522" s="91" t="str">
        <f t="shared" si="282"/>
        <v>UN</v>
      </c>
      <c r="L4522" s="166" t="str">
        <f t="shared" si="283"/>
        <v>08/2022</v>
      </c>
      <c r="M4522" s="82"/>
      <c r="N4522" s="82"/>
    </row>
    <row r="4523" spans="1:14" x14ac:dyDescent="0.25">
      <c r="A4523" s="170" t="s">
        <v>7397</v>
      </c>
      <c r="B4523" s="170" t="s">
        <v>17590</v>
      </c>
      <c r="C4523" s="170" t="s">
        <v>205</v>
      </c>
      <c r="D4523" s="170" t="s">
        <v>1947</v>
      </c>
      <c r="E4523" s="171" t="s">
        <v>18134</v>
      </c>
      <c r="F4523" s="171" t="s">
        <v>28655</v>
      </c>
      <c r="G4523" s="82"/>
      <c r="H4523" s="96">
        <f t="shared" si="280"/>
        <v>9.91</v>
      </c>
      <c r="I4523" s="96">
        <f t="shared" si="280"/>
        <v>10.73</v>
      </c>
      <c r="J4523" s="91" t="str">
        <f t="shared" si="281"/>
        <v>Sinapi 96685</v>
      </c>
      <c r="K4523" s="91" t="str">
        <f t="shared" si="282"/>
        <v>UN</v>
      </c>
      <c r="L4523" s="166" t="str">
        <f t="shared" si="283"/>
        <v>08/2022</v>
      </c>
      <c r="M4523" s="82"/>
      <c r="N4523" s="82"/>
    </row>
    <row r="4524" spans="1:14" x14ac:dyDescent="0.25">
      <c r="A4524" s="170" t="s">
        <v>7399</v>
      </c>
      <c r="B4524" s="170" t="s">
        <v>17591</v>
      </c>
      <c r="C4524" s="170" t="s">
        <v>205</v>
      </c>
      <c r="D4524" s="170" t="s">
        <v>1947</v>
      </c>
      <c r="E4524" s="171" t="s">
        <v>15131</v>
      </c>
      <c r="F4524" s="171" t="s">
        <v>20634</v>
      </c>
      <c r="G4524" s="82"/>
      <c r="H4524" s="96">
        <f t="shared" si="280"/>
        <v>12.36</v>
      </c>
      <c r="I4524" s="96">
        <f t="shared" si="280"/>
        <v>13.36</v>
      </c>
      <c r="J4524" s="91" t="str">
        <f t="shared" si="281"/>
        <v>Sinapi 96686</v>
      </c>
      <c r="K4524" s="91" t="str">
        <f t="shared" si="282"/>
        <v>UN</v>
      </c>
      <c r="L4524" s="166" t="str">
        <f t="shared" si="283"/>
        <v>08/2022</v>
      </c>
      <c r="M4524" s="82"/>
      <c r="N4524" s="82"/>
    </row>
    <row r="4525" spans="1:14" x14ac:dyDescent="0.25">
      <c r="A4525" s="170" t="s">
        <v>7400</v>
      </c>
      <c r="B4525" s="170" t="s">
        <v>17592</v>
      </c>
      <c r="C4525" s="170" t="s">
        <v>205</v>
      </c>
      <c r="D4525" s="170" t="s">
        <v>1947</v>
      </c>
      <c r="E4525" s="171" t="s">
        <v>17922</v>
      </c>
      <c r="F4525" s="171" t="s">
        <v>23272</v>
      </c>
      <c r="G4525" s="82"/>
      <c r="H4525" s="96">
        <f t="shared" si="280"/>
        <v>15.41</v>
      </c>
      <c r="I4525" s="96">
        <f t="shared" si="280"/>
        <v>16.41</v>
      </c>
      <c r="J4525" s="91" t="str">
        <f t="shared" si="281"/>
        <v>Sinapi 96687</v>
      </c>
      <c r="K4525" s="91" t="str">
        <f t="shared" si="282"/>
        <v>UN</v>
      </c>
      <c r="L4525" s="166" t="str">
        <f t="shared" si="283"/>
        <v>08/2022</v>
      </c>
      <c r="M4525" s="82"/>
      <c r="N4525" s="82"/>
    </row>
    <row r="4526" spans="1:14" x14ac:dyDescent="0.25">
      <c r="A4526" s="170" t="s">
        <v>7401</v>
      </c>
      <c r="B4526" s="170" t="s">
        <v>17593</v>
      </c>
      <c r="C4526" s="170" t="s">
        <v>205</v>
      </c>
      <c r="D4526" s="170" t="s">
        <v>1947</v>
      </c>
      <c r="E4526" s="171" t="s">
        <v>16377</v>
      </c>
      <c r="F4526" s="171" t="s">
        <v>16318</v>
      </c>
      <c r="G4526" s="82"/>
      <c r="H4526" s="96">
        <f t="shared" si="280"/>
        <v>18.63</v>
      </c>
      <c r="I4526" s="96">
        <f t="shared" si="280"/>
        <v>19.84</v>
      </c>
      <c r="J4526" s="91" t="str">
        <f t="shared" si="281"/>
        <v>Sinapi 96688</v>
      </c>
      <c r="K4526" s="91" t="str">
        <f t="shared" si="282"/>
        <v>UN</v>
      </c>
      <c r="L4526" s="166" t="str">
        <f t="shared" si="283"/>
        <v>08/2022</v>
      </c>
      <c r="M4526" s="82"/>
      <c r="N4526" s="82"/>
    </row>
    <row r="4527" spans="1:14" x14ac:dyDescent="0.25">
      <c r="A4527" s="170" t="s">
        <v>7402</v>
      </c>
      <c r="B4527" s="170" t="s">
        <v>17594</v>
      </c>
      <c r="C4527" s="170" t="s">
        <v>205</v>
      </c>
      <c r="D4527" s="170" t="s">
        <v>1947</v>
      </c>
      <c r="E4527" s="171" t="s">
        <v>21205</v>
      </c>
      <c r="F4527" s="171" t="s">
        <v>18601</v>
      </c>
      <c r="G4527" s="82"/>
      <c r="H4527" s="96">
        <f t="shared" si="280"/>
        <v>23.59</v>
      </c>
      <c r="I4527" s="96">
        <f t="shared" si="280"/>
        <v>24.8</v>
      </c>
      <c r="J4527" s="91" t="str">
        <f t="shared" si="281"/>
        <v>Sinapi 96689</v>
      </c>
      <c r="K4527" s="91" t="str">
        <f t="shared" si="282"/>
        <v>UN</v>
      </c>
      <c r="L4527" s="166" t="str">
        <f t="shared" si="283"/>
        <v>08/2022</v>
      </c>
      <c r="M4527" s="82"/>
      <c r="N4527" s="82"/>
    </row>
    <row r="4528" spans="1:14" x14ac:dyDescent="0.25">
      <c r="A4528" s="170" t="s">
        <v>7403</v>
      </c>
      <c r="B4528" s="170" t="s">
        <v>17595</v>
      </c>
      <c r="C4528" s="170" t="s">
        <v>205</v>
      </c>
      <c r="D4528" s="170" t="s">
        <v>1947</v>
      </c>
      <c r="E4528" s="171" t="s">
        <v>19353</v>
      </c>
      <c r="F4528" s="171" t="s">
        <v>18610</v>
      </c>
      <c r="G4528" s="82"/>
      <c r="H4528" s="96">
        <f t="shared" si="280"/>
        <v>26.18</v>
      </c>
      <c r="I4528" s="96">
        <f t="shared" si="280"/>
        <v>27.63</v>
      </c>
      <c r="J4528" s="91" t="str">
        <f t="shared" si="281"/>
        <v>Sinapi 96690</v>
      </c>
      <c r="K4528" s="91" t="str">
        <f t="shared" si="282"/>
        <v>UN</v>
      </c>
      <c r="L4528" s="166" t="str">
        <f t="shared" si="283"/>
        <v>08/2022</v>
      </c>
      <c r="M4528" s="82"/>
      <c r="N4528" s="82"/>
    </row>
    <row r="4529" spans="1:14" x14ac:dyDescent="0.25">
      <c r="A4529" s="170" t="s">
        <v>7404</v>
      </c>
      <c r="B4529" s="170" t="s">
        <v>17596</v>
      </c>
      <c r="C4529" s="170" t="s">
        <v>205</v>
      </c>
      <c r="D4529" s="170" t="s">
        <v>1947</v>
      </c>
      <c r="E4529" s="171" t="s">
        <v>20483</v>
      </c>
      <c r="F4529" s="171" t="s">
        <v>29211</v>
      </c>
      <c r="G4529" s="82"/>
      <c r="H4529" s="96">
        <f t="shared" si="280"/>
        <v>34.03</v>
      </c>
      <c r="I4529" s="96">
        <f t="shared" si="280"/>
        <v>35.479999999999997</v>
      </c>
      <c r="J4529" s="91" t="str">
        <f t="shared" si="281"/>
        <v>Sinapi 96691</v>
      </c>
      <c r="K4529" s="91" t="str">
        <f t="shared" si="282"/>
        <v>UN</v>
      </c>
      <c r="L4529" s="166" t="str">
        <f t="shared" si="283"/>
        <v>08/2022</v>
      </c>
      <c r="M4529" s="82"/>
      <c r="N4529" s="82"/>
    </row>
    <row r="4530" spans="1:14" x14ac:dyDescent="0.25">
      <c r="A4530" s="170" t="s">
        <v>7405</v>
      </c>
      <c r="B4530" s="170" t="s">
        <v>17597</v>
      </c>
      <c r="C4530" s="170" t="s">
        <v>205</v>
      </c>
      <c r="D4530" s="170" t="s">
        <v>1947</v>
      </c>
      <c r="E4530" s="171" t="s">
        <v>22873</v>
      </c>
      <c r="F4530" s="171" t="s">
        <v>24573</v>
      </c>
      <c r="G4530" s="82"/>
      <c r="H4530" s="96">
        <f t="shared" si="280"/>
        <v>37.380000000000003</v>
      </c>
      <c r="I4530" s="96">
        <f t="shared" si="280"/>
        <v>39.18</v>
      </c>
      <c r="J4530" s="91" t="str">
        <f t="shared" si="281"/>
        <v>Sinapi 96692</v>
      </c>
      <c r="K4530" s="91" t="str">
        <f t="shared" si="282"/>
        <v>UN</v>
      </c>
      <c r="L4530" s="166" t="str">
        <f t="shared" si="283"/>
        <v>08/2022</v>
      </c>
      <c r="M4530" s="82"/>
      <c r="N4530" s="82"/>
    </row>
    <row r="4531" spans="1:14" x14ac:dyDescent="0.25">
      <c r="A4531" s="170" t="s">
        <v>7406</v>
      </c>
      <c r="B4531" s="170" t="s">
        <v>17598</v>
      </c>
      <c r="C4531" s="170" t="s">
        <v>205</v>
      </c>
      <c r="D4531" s="170" t="s">
        <v>1947</v>
      </c>
      <c r="E4531" s="171" t="s">
        <v>33779</v>
      </c>
      <c r="F4531" s="171" t="s">
        <v>24923</v>
      </c>
      <c r="G4531" s="82"/>
      <c r="H4531" s="96">
        <f t="shared" si="280"/>
        <v>51.4</v>
      </c>
      <c r="I4531" s="96">
        <f t="shared" si="280"/>
        <v>53.2</v>
      </c>
      <c r="J4531" s="91" t="str">
        <f t="shared" si="281"/>
        <v>Sinapi 96693</v>
      </c>
      <c r="K4531" s="91" t="str">
        <f t="shared" si="282"/>
        <v>UN</v>
      </c>
      <c r="L4531" s="166" t="str">
        <f t="shared" si="283"/>
        <v>08/2022</v>
      </c>
      <c r="M4531" s="82"/>
      <c r="N4531" s="82"/>
    </row>
    <row r="4532" spans="1:14" x14ac:dyDescent="0.25">
      <c r="A4532" s="170" t="s">
        <v>7407</v>
      </c>
      <c r="B4532" s="170" t="s">
        <v>17599</v>
      </c>
      <c r="C4532" s="170" t="s">
        <v>205</v>
      </c>
      <c r="D4532" s="170" t="s">
        <v>1947</v>
      </c>
      <c r="E4532" s="171" t="s">
        <v>33780</v>
      </c>
      <c r="F4532" s="171" t="s">
        <v>36956</v>
      </c>
      <c r="G4532" s="82"/>
      <c r="H4532" s="96">
        <f t="shared" si="280"/>
        <v>81.23</v>
      </c>
      <c r="I4532" s="96">
        <f t="shared" si="280"/>
        <v>83.32</v>
      </c>
      <c r="J4532" s="91" t="str">
        <f t="shared" si="281"/>
        <v>Sinapi 96694</v>
      </c>
      <c r="K4532" s="91" t="str">
        <f t="shared" si="282"/>
        <v>UN</v>
      </c>
      <c r="L4532" s="166" t="str">
        <f t="shared" si="283"/>
        <v>08/2022</v>
      </c>
      <c r="M4532" s="82"/>
      <c r="N4532" s="82"/>
    </row>
    <row r="4533" spans="1:14" x14ac:dyDescent="0.25">
      <c r="A4533" s="170" t="s">
        <v>7408</v>
      </c>
      <c r="B4533" s="170" t="s">
        <v>17600</v>
      </c>
      <c r="C4533" s="170" t="s">
        <v>205</v>
      </c>
      <c r="D4533" s="170" t="s">
        <v>1947</v>
      </c>
      <c r="E4533" s="171" t="s">
        <v>33781</v>
      </c>
      <c r="F4533" s="171" t="s">
        <v>36957</v>
      </c>
      <c r="G4533" s="82"/>
      <c r="H4533" s="96">
        <f t="shared" si="280"/>
        <v>89.78</v>
      </c>
      <c r="I4533" s="96">
        <f t="shared" si="280"/>
        <v>91.87</v>
      </c>
      <c r="J4533" s="91" t="str">
        <f t="shared" si="281"/>
        <v>Sinapi 96695</v>
      </c>
      <c r="K4533" s="91" t="str">
        <f t="shared" si="282"/>
        <v>UN</v>
      </c>
      <c r="L4533" s="166" t="str">
        <f t="shared" si="283"/>
        <v>08/2022</v>
      </c>
      <c r="M4533" s="82"/>
      <c r="N4533" s="82"/>
    </row>
    <row r="4534" spans="1:14" x14ac:dyDescent="0.25">
      <c r="A4534" s="170" t="s">
        <v>7409</v>
      </c>
      <c r="B4534" s="170" t="s">
        <v>17601</v>
      </c>
      <c r="C4534" s="170" t="s">
        <v>205</v>
      </c>
      <c r="D4534" s="170" t="s">
        <v>1947</v>
      </c>
      <c r="E4534" s="171" t="s">
        <v>33782</v>
      </c>
      <c r="F4534" s="171" t="s">
        <v>25748</v>
      </c>
      <c r="G4534" s="82"/>
      <c r="H4534" s="96">
        <f t="shared" si="280"/>
        <v>101.59</v>
      </c>
      <c r="I4534" s="96">
        <f t="shared" si="280"/>
        <v>104.07</v>
      </c>
      <c r="J4534" s="91" t="str">
        <f t="shared" si="281"/>
        <v>Sinapi 96696</v>
      </c>
      <c r="K4534" s="91" t="str">
        <f t="shared" si="282"/>
        <v>UN</v>
      </c>
      <c r="L4534" s="166" t="str">
        <f t="shared" si="283"/>
        <v>08/2022</v>
      </c>
      <c r="M4534" s="82"/>
      <c r="N4534" s="82"/>
    </row>
    <row r="4535" spans="1:14" x14ac:dyDescent="0.25">
      <c r="A4535" s="170" t="s">
        <v>7410</v>
      </c>
      <c r="B4535" s="170" t="s">
        <v>17602</v>
      </c>
      <c r="C4535" s="170" t="s">
        <v>205</v>
      </c>
      <c r="D4535" s="170" t="s">
        <v>1947</v>
      </c>
      <c r="E4535" s="171" t="s">
        <v>29090</v>
      </c>
      <c r="F4535" s="171" t="s">
        <v>36958</v>
      </c>
      <c r="G4535" s="82"/>
      <c r="H4535" s="96">
        <f t="shared" si="280"/>
        <v>305.54000000000002</v>
      </c>
      <c r="I4535" s="96">
        <f t="shared" si="280"/>
        <v>308.54000000000002</v>
      </c>
      <c r="J4535" s="91" t="str">
        <f t="shared" si="281"/>
        <v>Sinapi 96697</v>
      </c>
      <c r="K4535" s="91" t="str">
        <f t="shared" si="282"/>
        <v>UN</v>
      </c>
      <c r="L4535" s="166" t="str">
        <f t="shared" si="283"/>
        <v>08/2022</v>
      </c>
      <c r="M4535" s="82"/>
      <c r="N4535" s="82"/>
    </row>
    <row r="4536" spans="1:14" x14ac:dyDescent="0.25">
      <c r="A4536" s="170" t="s">
        <v>7411</v>
      </c>
      <c r="B4536" s="170" t="s">
        <v>17603</v>
      </c>
      <c r="C4536" s="170" t="s">
        <v>205</v>
      </c>
      <c r="D4536" s="170" t="s">
        <v>1947</v>
      </c>
      <c r="E4536" s="171" t="s">
        <v>15562</v>
      </c>
      <c r="F4536" s="171" t="s">
        <v>16492</v>
      </c>
      <c r="G4536" s="82"/>
      <c r="H4536" s="96">
        <f t="shared" si="280"/>
        <v>6.8</v>
      </c>
      <c r="I4536" s="96">
        <f t="shared" si="280"/>
        <v>7.35</v>
      </c>
      <c r="J4536" s="91" t="str">
        <f t="shared" si="281"/>
        <v>Sinapi 96698</v>
      </c>
      <c r="K4536" s="91" t="str">
        <f t="shared" si="282"/>
        <v>UN</v>
      </c>
      <c r="L4536" s="166" t="str">
        <f t="shared" si="283"/>
        <v>08/2022</v>
      </c>
      <c r="M4536" s="82"/>
      <c r="N4536" s="82"/>
    </row>
    <row r="4537" spans="1:14" x14ac:dyDescent="0.25">
      <c r="A4537" s="170" t="s">
        <v>7412</v>
      </c>
      <c r="B4537" s="170" t="s">
        <v>17604</v>
      </c>
      <c r="C4537" s="170" t="s">
        <v>205</v>
      </c>
      <c r="D4537" s="170" t="s">
        <v>1947</v>
      </c>
      <c r="E4537" s="171" t="s">
        <v>27979</v>
      </c>
      <c r="F4537" s="171" t="s">
        <v>21839</v>
      </c>
      <c r="G4537" s="82"/>
      <c r="H4537" s="96">
        <f t="shared" si="280"/>
        <v>22.61</v>
      </c>
      <c r="I4537" s="96">
        <f t="shared" si="280"/>
        <v>23.16</v>
      </c>
      <c r="J4537" s="91" t="str">
        <f t="shared" si="281"/>
        <v>Sinapi 96699</v>
      </c>
      <c r="K4537" s="91" t="str">
        <f t="shared" si="282"/>
        <v>UN</v>
      </c>
      <c r="L4537" s="166" t="str">
        <f t="shared" si="283"/>
        <v>08/2022</v>
      </c>
      <c r="M4537" s="82"/>
      <c r="N4537" s="82"/>
    </row>
    <row r="4538" spans="1:14" x14ac:dyDescent="0.25">
      <c r="A4538" s="170" t="s">
        <v>7413</v>
      </c>
      <c r="B4538" s="170" t="s">
        <v>17605</v>
      </c>
      <c r="C4538" s="170" t="s">
        <v>205</v>
      </c>
      <c r="D4538" s="170" t="s">
        <v>1947</v>
      </c>
      <c r="E4538" s="171" t="s">
        <v>10408</v>
      </c>
      <c r="F4538" s="171" t="s">
        <v>21376</v>
      </c>
      <c r="G4538" s="82"/>
      <c r="H4538" s="96">
        <f t="shared" si="280"/>
        <v>14.77</v>
      </c>
      <c r="I4538" s="96">
        <f t="shared" si="280"/>
        <v>15.32</v>
      </c>
      <c r="J4538" s="91" t="str">
        <f t="shared" si="281"/>
        <v>Sinapi 96700</v>
      </c>
      <c r="K4538" s="91" t="str">
        <f t="shared" si="282"/>
        <v>UN</v>
      </c>
      <c r="L4538" s="166" t="str">
        <f t="shared" si="283"/>
        <v>08/2022</v>
      </c>
      <c r="M4538" s="82"/>
      <c r="N4538" s="82"/>
    </row>
    <row r="4539" spans="1:14" x14ac:dyDescent="0.25">
      <c r="A4539" s="170" t="s">
        <v>7414</v>
      </c>
      <c r="B4539" s="170" t="s">
        <v>17606</v>
      </c>
      <c r="C4539" s="170" t="s">
        <v>205</v>
      </c>
      <c r="D4539" s="170" t="s">
        <v>1947</v>
      </c>
      <c r="E4539" s="171" t="s">
        <v>17289</v>
      </c>
      <c r="F4539" s="171" t="s">
        <v>21453</v>
      </c>
      <c r="G4539" s="82"/>
      <c r="H4539" s="96">
        <f t="shared" si="280"/>
        <v>9.4499999999999993</v>
      </c>
      <c r="I4539" s="96">
        <f t="shared" si="280"/>
        <v>10.119999999999999</v>
      </c>
      <c r="J4539" s="91" t="str">
        <f t="shared" si="281"/>
        <v>Sinapi 96701</v>
      </c>
      <c r="K4539" s="91" t="str">
        <f t="shared" si="282"/>
        <v>UN</v>
      </c>
      <c r="L4539" s="166" t="str">
        <f t="shared" si="283"/>
        <v>08/2022</v>
      </c>
      <c r="M4539" s="82"/>
      <c r="N4539" s="82"/>
    </row>
    <row r="4540" spans="1:14" x14ac:dyDescent="0.25">
      <c r="A4540" s="170" t="s">
        <v>7416</v>
      </c>
      <c r="B4540" s="170" t="s">
        <v>17607</v>
      </c>
      <c r="C4540" s="170" t="s">
        <v>205</v>
      </c>
      <c r="D4540" s="170" t="s">
        <v>1947</v>
      </c>
      <c r="E4540" s="171" t="s">
        <v>13854</v>
      </c>
      <c r="F4540" s="171" t="s">
        <v>14789</v>
      </c>
      <c r="G4540" s="82"/>
      <c r="H4540" s="96">
        <f t="shared" si="280"/>
        <v>9.9</v>
      </c>
      <c r="I4540" s="96">
        <f t="shared" si="280"/>
        <v>10.5</v>
      </c>
      <c r="J4540" s="91" t="str">
        <f t="shared" si="281"/>
        <v>Sinapi 96702</v>
      </c>
      <c r="K4540" s="91" t="str">
        <f t="shared" si="282"/>
        <v>UN</v>
      </c>
      <c r="L4540" s="166" t="str">
        <f t="shared" si="283"/>
        <v>08/2022</v>
      </c>
      <c r="M4540" s="82"/>
      <c r="N4540" s="82"/>
    </row>
    <row r="4541" spans="1:14" x14ac:dyDescent="0.25">
      <c r="A4541" s="170" t="s">
        <v>7417</v>
      </c>
      <c r="B4541" s="170" t="s">
        <v>17608</v>
      </c>
      <c r="C4541" s="170" t="s">
        <v>205</v>
      </c>
      <c r="D4541" s="170" t="s">
        <v>1947</v>
      </c>
      <c r="E4541" s="171" t="s">
        <v>22036</v>
      </c>
      <c r="F4541" s="171" t="s">
        <v>19346</v>
      </c>
      <c r="G4541" s="82"/>
      <c r="H4541" s="96">
        <f t="shared" si="280"/>
        <v>17.27</v>
      </c>
      <c r="I4541" s="96">
        <f t="shared" si="280"/>
        <v>18.07</v>
      </c>
      <c r="J4541" s="91" t="str">
        <f t="shared" si="281"/>
        <v>Sinapi 96703</v>
      </c>
      <c r="K4541" s="91" t="str">
        <f t="shared" si="282"/>
        <v>UN</v>
      </c>
      <c r="L4541" s="166" t="str">
        <f t="shared" si="283"/>
        <v>08/2022</v>
      </c>
      <c r="M4541" s="82"/>
      <c r="N4541" s="82"/>
    </row>
    <row r="4542" spans="1:14" x14ac:dyDescent="0.25">
      <c r="A4542" s="170" t="s">
        <v>7418</v>
      </c>
      <c r="B4542" s="170" t="s">
        <v>17609</v>
      </c>
      <c r="C4542" s="170" t="s">
        <v>205</v>
      </c>
      <c r="D4542" s="170" t="s">
        <v>1947</v>
      </c>
      <c r="E4542" s="171" t="s">
        <v>15669</v>
      </c>
      <c r="F4542" s="171" t="s">
        <v>12881</v>
      </c>
      <c r="G4542" s="82"/>
      <c r="H4542" s="96">
        <f t="shared" si="280"/>
        <v>17.79</v>
      </c>
      <c r="I4542" s="96">
        <f t="shared" si="280"/>
        <v>18.46</v>
      </c>
      <c r="J4542" s="91" t="str">
        <f t="shared" si="281"/>
        <v>Sinapi 96704</v>
      </c>
      <c r="K4542" s="91" t="str">
        <f t="shared" si="282"/>
        <v>UN</v>
      </c>
      <c r="L4542" s="166" t="str">
        <f t="shared" si="283"/>
        <v>08/2022</v>
      </c>
      <c r="M4542" s="82"/>
      <c r="N4542" s="82"/>
    </row>
    <row r="4543" spans="1:14" x14ac:dyDescent="0.25">
      <c r="A4543" s="170" t="s">
        <v>7419</v>
      </c>
      <c r="B4543" s="170" t="s">
        <v>17610</v>
      </c>
      <c r="C4543" s="170" t="s">
        <v>205</v>
      </c>
      <c r="D4543" s="170" t="s">
        <v>1947</v>
      </c>
      <c r="E4543" s="171" t="s">
        <v>21490</v>
      </c>
      <c r="F4543" s="171" t="s">
        <v>17405</v>
      </c>
      <c r="G4543" s="82"/>
      <c r="H4543" s="96">
        <f t="shared" si="280"/>
        <v>20.96</v>
      </c>
      <c r="I4543" s="96">
        <f t="shared" si="280"/>
        <v>21.93</v>
      </c>
      <c r="J4543" s="91" t="str">
        <f t="shared" si="281"/>
        <v>Sinapi 96705</v>
      </c>
      <c r="K4543" s="91" t="str">
        <f t="shared" si="282"/>
        <v>UN</v>
      </c>
      <c r="L4543" s="166" t="str">
        <f t="shared" si="283"/>
        <v>08/2022</v>
      </c>
      <c r="M4543" s="82"/>
      <c r="N4543" s="82"/>
    </row>
    <row r="4544" spans="1:14" x14ac:dyDescent="0.25">
      <c r="A4544" s="170" t="s">
        <v>7421</v>
      </c>
      <c r="B4544" s="170" t="s">
        <v>17611</v>
      </c>
      <c r="C4544" s="170" t="s">
        <v>205</v>
      </c>
      <c r="D4544" s="170" t="s">
        <v>1947</v>
      </c>
      <c r="E4544" s="171" t="s">
        <v>29798</v>
      </c>
      <c r="F4544" s="171" t="s">
        <v>31922</v>
      </c>
      <c r="G4544" s="82"/>
      <c r="H4544" s="96">
        <f t="shared" si="280"/>
        <v>31.33</v>
      </c>
      <c r="I4544" s="96">
        <f t="shared" si="280"/>
        <v>32.520000000000003</v>
      </c>
      <c r="J4544" s="91" t="str">
        <f t="shared" si="281"/>
        <v>Sinapi 96706</v>
      </c>
      <c r="K4544" s="91" t="str">
        <f t="shared" si="282"/>
        <v>UN</v>
      </c>
      <c r="L4544" s="166" t="str">
        <f t="shared" si="283"/>
        <v>08/2022</v>
      </c>
      <c r="M4544" s="82"/>
      <c r="N4544" s="82"/>
    </row>
    <row r="4545" spans="1:14" x14ac:dyDescent="0.25">
      <c r="A4545" s="170" t="s">
        <v>7422</v>
      </c>
      <c r="B4545" s="170" t="s">
        <v>17612</v>
      </c>
      <c r="C4545" s="170" t="s">
        <v>205</v>
      </c>
      <c r="D4545" s="170" t="s">
        <v>1947</v>
      </c>
      <c r="E4545" s="171" t="s">
        <v>33783</v>
      </c>
      <c r="F4545" s="171" t="s">
        <v>36959</v>
      </c>
      <c r="G4545" s="82"/>
      <c r="H4545" s="96">
        <f t="shared" si="280"/>
        <v>50.97</v>
      </c>
      <c r="I4545" s="96">
        <f t="shared" si="280"/>
        <v>52.37</v>
      </c>
      <c r="J4545" s="91" t="str">
        <f t="shared" si="281"/>
        <v>Sinapi 96707</v>
      </c>
      <c r="K4545" s="91" t="str">
        <f t="shared" si="282"/>
        <v>UN</v>
      </c>
      <c r="L4545" s="166" t="str">
        <f t="shared" si="283"/>
        <v>08/2022</v>
      </c>
      <c r="M4545" s="82"/>
      <c r="N4545" s="82"/>
    </row>
    <row r="4546" spans="1:14" x14ac:dyDescent="0.25">
      <c r="A4546" s="170" t="s">
        <v>7423</v>
      </c>
      <c r="B4546" s="170" t="s">
        <v>17613</v>
      </c>
      <c r="C4546" s="170" t="s">
        <v>205</v>
      </c>
      <c r="D4546" s="170" t="s">
        <v>1947</v>
      </c>
      <c r="E4546" s="171" t="s">
        <v>28780</v>
      </c>
      <c r="F4546" s="171" t="s">
        <v>36960</v>
      </c>
      <c r="G4546" s="82"/>
      <c r="H4546" s="96">
        <f t="shared" si="280"/>
        <v>77.790000000000006</v>
      </c>
      <c r="I4546" s="96">
        <f t="shared" si="280"/>
        <v>79.45</v>
      </c>
      <c r="J4546" s="91" t="str">
        <f t="shared" si="281"/>
        <v>Sinapi 96708</v>
      </c>
      <c r="K4546" s="91" t="str">
        <f t="shared" si="282"/>
        <v>UN</v>
      </c>
      <c r="L4546" s="166" t="str">
        <f t="shared" si="283"/>
        <v>08/2022</v>
      </c>
      <c r="M4546" s="82"/>
      <c r="N4546" s="82"/>
    </row>
    <row r="4547" spans="1:14" x14ac:dyDescent="0.25">
      <c r="A4547" s="170" t="s">
        <v>7424</v>
      </c>
      <c r="B4547" s="170" t="s">
        <v>17614</v>
      </c>
      <c r="C4547" s="170" t="s">
        <v>205</v>
      </c>
      <c r="D4547" s="170" t="s">
        <v>1947</v>
      </c>
      <c r="E4547" s="171" t="s">
        <v>33784</v>
      </c>
      <c r="F4547" s="171" t="s">
        <v>36961</v>
      </c>
      <c r="G4547" s="82"/>
      <c r="H4547" s="96">
        <f t="shared" si="280"/>
        <v>99.41</v>
      </c>
      <c r="I4547" s="96">
        <f t="shared" si="280"/>
        <v>101.4</v>
      </c>
      <c r="J4547" s="91" t="str">
        <f t="shared" si="281"/>
        <v>Sinapi 96709</v>
      </c>
      <c r="K4547" s="91" t="str">
        <f t="shared" si="282"/>
        <v>UN</v>
      </c>
      <c r="L4547" s="166" t="str">
        <f t="shared" si="283"/>
        <v>08/2022</v>
      </c>
      <c r="M4547" s="82"/>
      <c r="N4547" s="82"/>
    </row>
    <row r="4548" spans="1:14" x14ac:dyDescent="0.25">
      <c r="A4548" s="170" t="s">
        <v>7425</v>
      </c>
      <c r="B4548" s="170" t="s">
        <v>17615</v>
      </c>
      <c r="C4548" s="170" t="s">
        <v>205</v>
      </c>
      <c r="D4548" s="170" t="s">
        <v>1947</v>
      </c>
      <c r="E4548" s="171" t="s">
        <v>15631</v>
      </c>
      <c r="F4548" s="171" t="s">
        <v>26288</v>
      </c>
      <c r="G4548" s="82"/>
      <c r="H4548" s="96">
        <f t="shared" si="280"/>
        <v>12.47</v>
      </c>
      <c r="I4548" s="96">
        <f t="shared" si="280"/>
        <v>13.57</v>
      </c>
      <c r="J4548" s="91" t="str">
        <f t="shared" si="281"/>
        <v>Sinapi 96710</v>
      </c>
      <c r="K4548" s="91" t="str">
        <f t="shared" si="282"/>
        <v>UN</v>
      </c>
      <c r="L4548" s="166" t="str">
        <f t="shared" si="283"/>
        <v>08/2022</v>
      </c>
      <c r="M4548" s="82"/>
      <c r="N4548" s="82"/>
    </row>
    <row r="4549" spans="1:14" x14ac:dyDescent="0.25">
      <c r="A4549" s="170" t="s">
        <v>7427</v>
      </c>
      <c r="B4549" s="170" t="s">
        <v>17616</v>
      </c>
      <c r="C4549" s="170" t="s">
        <v>205</v>
      </c>
      <c r="D4549" s="170" t="s">
        <v>1947</v>
      </c>
      <c r="E4549" s="171" t="s">
        <v>29244</v>
      </c>
      <c r="F4549" s="171" t="s">
        <v>12322</v>
      </c>
      <c r="G4549" s="82"/>
      <c r="H4549" s="96">
        <f t="shared" si="280"/>
        <v>18.86</v>
      </c>
      <c r="I4549" s="96">
        <f t="shared" si="280"/>
        <v>20.2</v>
      </c>
      <c r="J4549" s="91" t="str">
        <f t="shared" si="281"/>
        <v>Sinapi 96711</v>
      </c>
      <c r="K4549" s="91" t="str">
        <f t="shared" si="282"/>
        <v>UN</v>
      </c>
      <c r="L4549" s="166" t="str">
        <f t="shared" si="283"/>
        <v>08/2022</v>
      </c>
      <c r="M4549" s="82"/>
      <c r="N4549" s="82"/>
    </row>
    <row r="4550" spans="1:14" x14ac:dyDescent="0.25">
      <c r="A4550" s="170" t="s">
        <v>7428</v>
      </c>
      <c r="B4550" s="170" t="s">
        <v>17617</v>
      </c>
      <c r="C4550" s="170" t="s">
        <v>205</v>
      </c>
      <c r="D4550" s="170" t="s">
        <v>1947</v>
      </c>
      <c r="E4550" s="171" t="s">
        <v>20372</v>
      </c>
      <c r="F4550" s="171" t="s">
        <v>36962</v>
      </c>
      <c r="G4550" s="82"/>
      <c r="H4550" s="96">
        <f t="shared" si="280"/>
        <v>27.15</v>
      </c>
      <c r="I4550" s="96">
        <f t="shared" si="280"/>
        <v>28.74</v>
      </c>
      <c r="J4550" s="91" t="str">
        <f t="shared" si="281"/>
        <v>Sinapi 96712</v>
      </c>
      <c r="K4550" s="91" t="str">
        <f t="shared" si="282"/>
        <v>UN</v>
      </c>
      <c r="L4550" s="166" t="str">
        <f t="shared" si="283"/>
        <v>08/2022</v>
      </c>
      <c r="M4550" s="82"/>
      <c r="N4550" s="82"/>
    </row>
    <row r="4551" spans="1:14" x14ac:dyDescent="0.25">
      <c r="A4551" s="170" t="s">
        <v>7429</v>
      </c>
      <c r="B4551" s="170" t="s">
        <v>17618</v>
      </c>
      <c r="C4551" s="170" t="s">
        <v>205</v>
      </c>
      <c r="D4551" s="170" t="s">
        <v>1947</v>
      </c>
      <c r="E4551" s="171" t="s">
        <v>30159</v>
      </c>
      <c r="F4551" s="171" t="s">
        <v>22924</v>
      </c>
      <c r="G4551" s="82"/>
      <c r="H4551" s="96">
        <f t="shared" si="280"/>
        <v>42.2</v>
      </c>
      <c r="I4551" s="96">
        <f t="shared" si="280"/>
        <v>44.14</v>
      </c>
      <c r="J4551" s="91" t="str">
        <f t="shared" si="281"/>
        <v>Sinapi 96713</v>
      </c>
      <c r="K4551" s="91" t="str">
        <f t="shared" si="282"/>
        <v>UN</v>
      </c>
      <c r="L4551" s="166" t="str">
        <f t="shared" si="283"/>
        <v>08/2022</v>
      </c>
      <c r="M4551" s="82"/>
      <c r="N4551" s="82"/>
    </row>
    <row r="4552" spans="1:14" x14ac:dyDescent="0.25">
      <c r="A4552" s="170" t="s">
        <v>7430</v>
      </c>
      <c r="B4552" s="170" t="s">
        <v>17619</v>
      </c>
      <c r="C4552" s="170" t="s">
        <v>205</v>
      </c>
      <c r="D4552" s="170" t="s">
        <v>1947</v>
      </c>
      <c r="E4552" s="171" t="s">
        <v>29255</v>
      </c>
      <c r="F4552" s="171" t="s">
        <v>29105</v>
      </c>
      <c r="G4552" s="82"/>
      <c r="H4552" s="96">
        <f t="shared" ref="H4552:I4615" si="284">IF(E4552="","",E4552+0)</f>
        <v>60.45</v>
      </c>
      <c r="I4552" s="96">
        <f t="shared" si="284"/>
        <v>62.84</v>
      </c>
      <c r="J4552" s="91" t="str">
        <f t="shared" ref="J4552:J4615" si="285">IF(OR(H4552="",I4552=""),"",TRIM(CONCATENATE("Sinapi ",A4552)))</f>
        <v>Sinapi 96714</v>
      </c>
      <c r="K4552" s="91" t="str">
        <f t="shared" ref="K4552:K4615" si="286">TRIM(C4552)</f>
        <v>UN</v>
      </c>
      <c r="L4552" s="166" t="str">
        <f t="shared" ref="L4552:L4615" si="287">IF(OR(RIGHT(IF(AND(K4552&lt;&gt;"H",K4552&lt;&gt;"MES"),RIGHT(B4552,7),""),2)="PS",RIGHT(IF(AND(K4552&lt;&gt;"H",K4552&lt;&gt;"MES"),RIGHT(B4552,7),""),2)="PA",RIGHT(IF(AND(K4552&lt;&gt;"H",K4552&lt;&gt;"MES"),RIGHT(B4552,7),""),2)="PE"),LEFT(IF(AND(K4552&lt;&gt;"H",K4552&lt;&gt;"MES"),RIGHT(B4552,10),""),7),IF(AND(K4552&lt;&gt;"H",K4552&lt;&gt;"MES"),RIGHT(B4552,7),""))</f>
        <v>08/2022</v>
      </c>
      <c r="M4552" s="82"/>
      <c r="N4552" s="82"/>
    </row>
    <row r="4553" spans="1:14" x14ac:dyDescent="0.25">
      <c r="A4553" s="170" t="s">
        <v>7431</v>
      </c>
      <c r="B4553" s="170" t="s">
        <v>17620</v>
      </c>
      <c r="C4553" s="170" t="s">
        <v>205</v>
      </c>
      <c r="D4553" s="170" t="s">
        <v>1947</v>
      </c>
      <c r="E4553" s="171" t="s">
        <v>33785</v>
      </c>
      <c r="F4553" s="171" t="s">
        <v>36963</v>
      </c>
      <c r="G4553" s="82"/>
      <c r="H4553" s="96">
        <f t="shared" si="284"/>
        <v>109.27</v>
      </c>
      <c r="I4553" s="96">
        <f t="shared" si="284"/>
        <v>112.07</v>
      </c>
      <c r="J4553" s="91" t="str">
        <f t="shared" si="285"/>
        <v>Sinapi 96715</v>
      </c>
      <c r="K4553" s="91" t="str">
        <f t="shared" si="286"/>
        <v>UN</v>
      </c>
      <c r="L4553" s="166" t="str">
        <f t="shared" si="287"/>
        <v>08/2022</v>
      </c>
      <c r="M4553" s="82"/>
      <c r="N4553" s="82"/>
    </row>
    <row r="4554" spans="1:14" x14ac:dyDescent="0.25">
      <c r="A4554" s="170" t="s">
        <v>7432</v>
      </c>
      <c r="B4554" s="170" t="s">
        <v>17621</v>
      </c>
      <c r="C4554" s="170" t="s">
        <v>205</v>
      </c>
      <c r="D4554" s="170" t="s">
        <v>1947</v>
      </c>
      <c r="E4554" s="171" t="s">
        <v>33786</v>
      </c>
      <c r="F4554" s="171" t="s">
        <v>36964</v>
      </c>
      <c r="G4554" s="82"/>
      <c r="H4554" s="96">
        <f t="shared" si="284"/>
        <v>142.69</v>
      </c>
      <c r="I4554" s="96">
        <f t="shared" si="284"/>
        <v>146.01</v>
      </c>
      <c r="J4554" s="91" t="str">
        <f t="shared" si="285"/>
        <v>Sinapi 96716</v>
      </c>
      <c r="K4554" s="91" t="str">
        <f t="shared" si="286"/>
        <v>UN</v>
      </c>
      <c r="L4554" s="166" t="str">
        <f t="shared" si="287"/>
        <v>08/2022</v>
      </c>
      <c r="M4554" s="82"/>
      <c r="N4554" s="82"/>
    </row>
    <row r="4555" spans="1:14" x14ac:dyDescent="0.25">
      <c r="A4555" s="170" t="s">
        <v>7433</v>
      </c>
      <c r="B4555" s="170" t="s">
        <v>17622</v>
      </c>
      <c r="C4555" s="170" t="s">
        <v>205</v>
      </c>
      <c r="D4555" s="170" t="s">
        <v>1947</v>
      </c>
      <c r="E4555" s="171" t="s">
        <v>33787</v>
      </c>
      <c r="F4555" s="171" t="s">
        <v>36965</v>
      </c>
      <c r="G4555" s="82"/>
      <c r="H4555" s="96">
        <f t="shared" si="284"/>
        <v>276.61</v>
      </c>
      <c r="I4555" s="96">
        <f t="shared" si="284"/>
        <v>280.60000000000002</v>
      </c>
      <c r="J4555" s="91" t="str">
        <f t="shared" si="285"/>
        <v>Sinapi 96717</v>
      </c>
      <c r="K4555" s="91" t="str">
        <f t="shared" si="286"/>
        <v>UN</v>
      </c>
      <c r="L4555" s="166" t="str">
        <f t="shared" si="287"/>
        <v>08/2022</v>
      </c>
      <c r="M4555" s="82"/>
      <c r="N4555" s="82"/>
    </row>
    <row r="4556" spans="1:14" x14ac:dyDescent="0.25">
      <c r="A4556" s="170" t="s">
        <v>7434</v>
      </c>
      <c r="B4556" s="170" t="s">
        <v>7435</v>
      </c>
      <c r="C4556" s="170" t="s">
        <v>205</v>
      </c>
      <c r="D4556" s="170" t="s">
        <v>1947</v>
      </c>
      <c r="E4556" s="171" t="s">
        <v>5544</v>
      </c>
      <c r="F4556" s="171" t="s">
        <v>21324</v>
      </c>
      <c r="G4556" s="82"/>
      <c r="H4556" s="96">
        <f t="shared" si="284"/>
        <v>5.72</v>
      </c>
      <c r="I4556" s="96">
        <f t="shared" si="284"/>
        <v>6.12</v>
      </c>
      <c r="J4556" s="91" t="str">
        <f t="shared" si="285"/>
        <v>Sinapi 96736</v>
      </c>
      <c r="K4556" s="91" t="str">
        <f t="shared" si="286"/>
        <v>UN</v>
      </c>
      <c r="L4556" s="166" t="str">
        <f t="shared" si="287"/>
        <v>06/2016</v>
      </c>
      <c r="M4556" s="82"/>
      <c r="N4556" s="82"/>
    </row>
    <row r="4557" spans="1:14" x14ac:dyDescent="0.25">
      <c r="A4557" s="170" t="s">
        <v>7436</v>
      </c>
      <c r="B4557" s="170" t="s">
        <v>7437</v>
      </c>
      <c r="C4557" s="170" t="s">
        <v>205</v>
      </c>
      <c r="D4557" s="170" t="s">
        <v>1947</v>
      </c>
      <c r="E4557" s="171" t="s">
        <v>16418</v>
      </c>
      <c r="F4557" s="171" t="s">
        <v>28856</v>
      </c>
      <c r="G4557" s="82"/>
      <c r="H4557" s="96">
        <f t="shared" si="284"/>
        <v>5.53</v>
      </c>
      <c r="I4557" s="96">
        <f t="shared" si="284"/>
        <v>5.93</v>
      </c>
      <c r="J4557" s="91" t="str">
        <f t="shared" si="285"/>
        <v>Sinapi 96737</v>
      </c>
      <c r="K4557" s="91" t="str">
        <f t="shared" si="286"/>
        <v>UN</v>
      </c>
      <c r="L4557" s="166" t="str">
        <f t="shared" si="287"/>
        <v>06/2016</v>
      </c>
      <c r="M4557" s="82"/>
      <c r="N4557" s="82"/>
    </row>
    <row r="4558" spans="1:14" x14ac:dyDescent="0.25">
      <c r="A4558" s="170" t="s">
        <v>7438</v>
      </c>
      <c r="B4558" s="170" t="s">
        <v>7439</v>
      </c>
      <c r="C4558" s="170" t="s">
        <v>205</v>
      </c>
      <c r="D4558" s="170" t="s">
        <v>1947</v>
      </c>
      <c r="E4558" s="171" t="s">
        <v>16204</v>
      </c>
      <c r="F4558" s="171" t="s">
        <v>17908</v>
      </c>
      <c r="G4558" s="82"/>
      <c r="H4558" s="96">
        <f t="shared" si="284"/>
        <v>21.34</v>
      </c>
      <c r="I4558" s="96">
        <f t="shared" si="284"/>
        <v>21.74</v>
      </c>
      <c r="J4558" s="91" t="str">
        <f t="shared" si="285"/>
        <v>Sinapi 96738</v>
      </c>
      <c r="K4558" s="91" t="str">
        <f t="shared" si="286"/>
        <v>UN</v>
      </c>
      <c r="L4558" s="166" t="str">
        <f t="shared" si="287"/>
        <v>06/2016</v>
      </c>
      <c r="M4558" s="82"/>
      <c r="N4558" s="82"/>
    </row>
    <row r="4559" spans="1:14" x14ac:dyDescent="0.25">
      <c r="A4559" s="170" t="s">
        <v>7440</v>
      </c>
      <c r="B4559" s="170" t="s">
        <v>7441</v>
      </c>
      <c r="C4559" s="170" t="s">
        <v>205</v>
      </c>
      <c r="D4559" s="170" t="s">
        <v>1947</v>
      </c>
      <c r="E4559" s="171" t="s">
        <v>19926</v>
      </c>
      <c r="F4559" s="171" t="s">
        <v>21857</v>
      </c>
      <c r="G4559" s="82"/>
      <c r="H4559" s="96">
        <f t="shared" si="284"/>
        <v>8.1</v>
      </c>
      <c r="I4559" s="96">
        <f t="shared" si="284"/>
        <v>8.6199999999999992</v>
      </c>
      <c r="J4559" s="91" t="str">
        <f t="shared" si="285"/>
        <v>Sinapi 96739</v>
      </c>
      <c r="K4559" s="91" t="str">
        <f t="shared" si="286"/>
        <v>UN</v>
      </c>
      <c r="L4559" s="166" t="str">
        <f t="shared" si="287"/>
        <v>06/2016</v>
      </c>
      <c r="M4559" s="82"/>
      <c r="N4559" s="82"/>
    </row>
    <row r="4560" spans="1:14" x14ac:dyDescent="0.25">
      <c r="A4560" s="170" t="s">
        <v>7442</v>
      </c>
      <c r="B4560" s="170" t="s">
        <v>7443</v>
      </c>
      <c r="C4560" s="170" t="s">
        <v>205</v>
      </c>
      <c r="D4560" s="170" t="s">
        <v>1947</v>
      </c>
      <c r="E4560" s="171" t="s">
        <v>33788</v>
      </c>
      <c r="F4560" s="171" t="s">
        <v>29814</v>
      </c>
      <c r="G4560" s="82"/>
      <c r="H4560" s="96">
        <f t="shared" si="284"/>
        <v>29.99</v>
      </c>
      <c r="I4560" s="96">
        <f t="shared" si="284"/>
        <v>30.51</v>
      </c>
      <c r="J4560" s="91" t="str">
        <f t="shared" si="285"/>
        <v>Sinapi 96740</v>
      </c>
      <c r="K4560" s="91" t="str">
        <f t="shared" si="286"/>
        <v>UN</v>
      </c>
      <c r="L4560" s="166" t="str">
        <f t="shared" si="287"/>
        <v>06/2016</v>
      </c>
      <c r="M4560" s="82"/>
      <c r="N4560" s="82"/>
    </row>
    <row r="4561" spans="1:14" x14ac:dyDescent="0.25">
      <c r="A4561" s="170" t="s">
        <v>7444</v>
      </c>
      <c r="B4561" s="170" t="s">
        <v>7445</v>
      </c>
      <c r="C4561" s="170" t="s">
        <v>205</v>
      </c>
      <c r="D4561" s="170" t="s">
        <v>1947</v>
      </c>
      <c r="E4561" s="171" t="s">
        <v>22956</v>
      </c>
      <c r="F4561" s="171" t="s">
        <v>21197</v>
      </c>
      <c r="G4561" s="82"/>
      <c r="H4561" s="96">
        <f t="shared" si="284"/>
        <v>14.71</v>
      </c>
      <c r="I4561" s="96">
        <f t="shared" si="284"/>
        <v>15.23</v>
      </c>
      <c r="J4561" s="91" t="str">
        <f t="shared" si="285"/>
        <v>Sinapi 96741</v>
      </c>
      <c r="K4561" s="91" t="str">
        <f t="shared" si="286"/>
        <v>UN</v>
      </c>
      <c r="L4561" s="166" t="str">
        <f t="shared" si="287"/>
        <v>06/2016</v>
      </c>
      <c r="M4561" s="82"/>
      <c r="N4561" s="82"/>
    </row>
    <row r="4562" spans="1:14" x14ac:dyDescent="0.25">
      <c r="A4562" s="170" t="s">
        <v>7446</v>
      </c>
      <c r="B4562" s="170" t="s">
        <v>7447</v>
      </c>
      <c r="C4562" s="170" t="s">
        <v>205</v>
      </c>
      <c r="D4562" s="170" t="s">
        <v>1947</v>
      </c>
      <c r="E4562" s="171" t="s">
        <v>13583</v>
      </c>
      <c r="F4562" s="171" t="s">
        <v>18614</v>
      </c>
      <c r="G4562" s="82"/>
      <c r="H4562" s="96">
        <f t="shared" si="284"/>
        <v>19.28</v>
      </c>
      <c r="I4562" s="96">
        <f t="shared" si="284"/>
        <v>20.079999999999998</v>
      </c>
      <c r="J4562" s="91" t="str">
        <f t="shared" si="285"/>
        <v>Sinapi 96742</v>
      </c>
      <c r="K4562" s="91" t="str">
        <f t="shared" si="286"/>
        <v>UN</v>
      </c>
      <c r="L4562" s="166" t="str">
        <f t="shared" si="287"/>
        <v>06/2016</v>
      </c>
      <c r="M4562" s="82"/>
      <c r="N4562" s="82"/>
    </row>
    <row r="4563" spans="1:14" x14ac:dyDescent="0.25">
      <c r="A4563" s="170" t="s">
        <v>7448</v>
      </c>
      <c r="B4563" s="170" t="s">
        <v>7449</v>
      </c>
      <c r="C4563" s="170" t="s">
        <v>205</v>
      </c>
      <c r="D4563" s="170" t="s">
        <v>1947</v>
      </c>
      <c r="E4563" s="171" t="s">
        <v>28550</v>
      </c>
      <c r="F4563" s="171" t="s">
        <v>21810</v>
      </c>
      <c r="G4563" s="82"/>
      <c r="H4563" s="96">
        <f t="shared" si="284"/>
        <v>27.69</v>
      </c>
      <c r="I4563" s="96">
        <f t="shared" si="284"/>
        <v>28.49</v>
      </c>
      <c r="J4563" s="91" t="str">
        <f t="shared" si="285"/>
        <v>Sinapi 96743</v>
      </c>
      <c r="K4563" s="91" t="str">
        <f t="shared" si="286"/>
        <v>UN</v>
      </c>
      <c r="L4563" s="166" t="str">
        <f t="shared" si="287"/>
        <v>06/2016</v>
      </c>
      <c r="M4563" s="82"/>
      <c r="N4563" s="82"/>
    </row>
    <row r="4564" spans="1:14" x14ac:dyDescent="0.25">
      <c r="A4564" s="170" t="s">
        <v>7450</v>
      </c>
      <c r="B4564" s="170" t="s">
        <v>7451</v>
      </c>
      <c r="C4564" s="170" t="s">
        <v>205</v>
      </c>
      <c r="D4564" s="170" t="s">
        <v>1947</v>
      </c>
      <c r="E4564" s="171" t="s">
        <v>29127</v>
      </c>
      <c r="F4564" s="171" t="s">
        <v>34654</v>
      </c>
      <c r="G4564" s="82"/>
      <c r="H4564" s="96">
        <f t="shared" si="284"/>
        <v>49.93</v>
      </c>
      <c r="I4564" s="96">
        <f t="shared" si="284"/>
        <v>51.24</v>
      </c>
      <c r="J4564" s="91" t="str">
        <f t="shared" si="285"/>
        <v>Sinapi 96744</v>
      </c>
      <c r="K4564" s="91" t="str">
        <f t="shared" si="286"/>
        <v>UN</v>
      </c>
      <c r="L4564" s="166" t="str">
        <f t="shared" si="287"/>
        <v>06/2016</v>
      </c>
      <c r="M4564" s="82"/>
      <c r="N4564" s="82"/>
    </row>
    <row r="4565" spans="1:14" x14ac:dyDescent="0.25">
      <c r="A4565" s="170" t="s">
        <v>7452</v>
      </c>
      <c r="B4565" s="170" t="s">
        <v>7453</v>
      </c>
      <c r="C4565" s="170" t="s">
        <v>205</v>
      </c>
      <c r="D4565" s="170" t="s">
        <v>1947</v>
      </c>
      <c r="E4565" s="171" t="s">
        <v>21634</v>
      </c>
      <c r="F4565" s="171" t="s">
        <v>22721</v>
      </c>
      <c r="G4565" s="82"/>
      <c r="H4565" s="96">
        <f t="shared" si="284"/>
        <v>74.47</v>
      </c>
      <c r="I4565" s="96">
        <f t="shared" si="284"/>
        <v>75.78</v>
      </c>
      <c r="J4565" s="91" t="str">
        <f t="shared" si="285"/>
        <v>Sinapi 96745</v>
      </c>
      <c r="K4565" s="91" t="str">
        <f t="shared" si="286"/>
        <v>UN</v>
      </c>
      <c r="L4565" s="166" t="str">
        <f t="shared" si="287"/>
        <v>06/2016</v>
      </c>
      <c r="M4565" s="82"/>
      <c r="N4565" s="82"/>
    </row>
    <row r="4566" spans="1:14" x14ac:dyDescent="0.25">
      <c r="A4566" s="170" t="s">
        <v>7454</v>
      </c>
      <c r="B4566" s="170" t="s">
        <v>7455</v>
      </c>
      <c r="C4566" s="170" t="s">
        <v>205</v>
      </c>
      <c r="D4566" s="170" t="s">
        <v>1947</v>
      </c>
      <c r="E4566" s="171" t="s">
        <v>33789</v>
      </c>
      <c r="F4566" s="171" t="s">
        <v>36966</v>
      </c>
      <c r="G4566" s="82"/>
      <c r="H4566" s="96">
        <f t="shared" si="284"/>
        <v>99.49</v>
      </c>
      <c r="I4566" s="96">
        <f t="shared" si="284"/>
        <v>101.55</v>
      </c>
      <c r="J4566" s="91" t="str">
        <f t="shared" si="285"/>
        <v>Sinapi 96746</v>
      </c>
      <c r="K4566" s="91" t="str">
        <f t="shared" si="286"/>
        <v>UN</v>
      </c>
      <c r="L4566" s="166" t="str">
        <f t="shared" si="287"/>
        <v>06/2016</v>
      </c>
      <c r="M4566" s="82"/>
      <c r="N4566" s="82"/>
    </row>
    <row r="4567" spans="1:14" x14ac:dyDescent="0.25">
      <c r="A4567" s="170" t="s">
        <v>7456</v>
      </c>
      <c r="B4567" s="170" t="s">
        <v>7457</v>
      </c>
      <c r="C4567" s="170" t="s">
        <v>205</v>
      </c>
      <c r="D4567" s="170" t="s">
        <v>1947</v>
      </c>
      <c r="E4567" s="171" t="s">
        <v>17385</v>
      </c>
      <c r="F4567" s="171" t="s">
        <v>10410</v>
      </c>
      <c r="G4567" s="82"/>
      <c r="H4567" s="96">
        <f t="shared" si="284"/>
        <v>7.04</v>
      </c>
      <c r="I4567" s="96">
        <f t="shared" si="284"/>
        <v>7.64</v>
      </c>
      <c r="J4567" s="91" t="str">
        <f t="shared" si="285"/>
        <v>Sinapi 96747</v>
      </c>
      <c r="K4567" s="91" t="str">
        <f t="shared" si="286"/>
        <v>UN</v>
      </c>
      <c r="L4567" s="166" t="str">
        <f t="shared" si="287"/>
        <v>06/2016</v>
      </c>
      <c r="M4567" s="82"/>
      <c r="N4567" s="82"/>
    </row>
    <row r="4568" spans="1:14" x14ac:dyDescent="0.25">
      <c r="A4568" s="170" t="s">
        <v>7458</v>
      </c>
      <c r="B4568" s="170" t="s">
        <v>7459</v>
      </c>
      <c r="C4568" s="170" t="s">
        <v>205</v>
      </c>
      <c r="D4568" s="170" t="s">
        <v>1947</v>
      </c>
      <c r="E4568" s="171" t="s">
        <v>10410</v>
      </c>
      <c r="F4568" s="171" t="s">
        <v>14948</v>
      </c>
      <c r="G4568" s="82"/>
      <c r="H4568" s="96">
        <f t="shared" si="284"/>
        <v>7.64</v>
      </c>
      <c r="I4568" s="96">
        <f t="shared" si="284"/>
        <v>8.24</v>
      </c>
      <c r="J4568" s="91" t="str">
        <f t="shared" si="285"/>
        <v>Sinapi 96748</v>
      </c>
      <c r="K4568" s="91" t="str">
        <f t="shared" si="286"/>
        <v>UN</v>
      </c>
      <c r="L4568" s="166" t="str">
        <f t="shared" si="287"/>
        <v>06/2016</v>
      </c>
      <c r="M4568" s="82"/>
      <c r="N4568" s="82"/>
    </row>
    <row r="4569" spans="1:14" x14ac:dyDescent="0.25">
      <c r="A4569" s="170" t="s">
        <v>7460</v>
      </c>
      <c r="B4569" s="170" t="s">
        <v>7461</v>
      </c>
      <c r="C4569" s="170" t="s">
        <v>205</v>
      </c>
      <c r="D4569" s="170" t="s">
        <v>1947</v>
      </c>
      <c r="E4569" s="171" t="s">
        <v>13840</v>
      </c>
      <c r="F4569" s="171" t="s">
        <v>20038</v>
      </c>
      <c r="G4569" s="82"/>
      <c r="H4569" s="96">
        <f t="shared" si="284"/>
        <v>10.34</v>
      </c>
      <c r="I4569" s="96">
        <f t="shared" si="284"/>
        <v>11.12</v>
      </c>
      <c r="J4569" s="91" t="str">
        <f t="shared" si="285"/>
        <v>Sinapi 96749</v>
      </c>
      <c r="K4569" s="91" t="str">
        <f t="shared" si="286"/>
        <v>UN</v>
      </c>
      <c r="L4569" s="166" t="str">
        <f t="shared" si="287"/>
        <v>06/2016</v>
      </c>
      <c r="M4569" s="82"/>
      <c r="N4569" s="82"/>
    </row>
    <row r="4570" spans="1:14" x14ac:dyDescent="0.25">
      <c r="A4570" s="170" t="s">
        <v>7462</v>
      </c>
      <c r="B4570" s="170" t="s">
        <v>7463</v>
      </c>
      <c r="C4570" s="170" t="s">
        <v>205</v>
      </c>
      <c r="D4570" s="170" t="s">
        <v>1947</v>
      </c>
      <c r="E4570" s="171" t="s">
        <v>14344</v>
      </c>
      <c r="F4570" s="171" t="s">
        <v>18629</v>
      </c>
      <c r="G4570" s="82"/>
      <c r="H4570" s="96">
        <f t="shared" si="284"/>
        <v>14.8</v>
      </c>
      <c r="I4570" s="96">
        <f t="shared" si="284"/>
        <v>15.58</v>
      </c>
      <c r="J4570" s="91" t="str">
        <f t="shared" si="285"/>
        <v>Sinapi 96750</v>
      </c>
      <c r="K4570" s="91" t="str">
        <f t="shared" si="286"/>
        <v>UN</v>
      </c>
      <c r="L4570" s="166" t="str">
        <f t="shared" si="287"/>
        <v>06/2016</v>
      </c>
      <c r="M4570" s="82"/>
      <c r="N4570" s="82"/>
    </row>
    <row r="4571" spans="1:14" x14ac:dyDescent="0.25">
      <c r="A4571" s="170" t="s">
        <v>7464</v>
      </c>
      <c r="B4571" s="170" t="s">
        <v>7465</v>
      </c>
      <c r="C4571" s="170" t="s">
        <v>205</v>
      </c>
      <c r="D4571" s="170" t="s">
        <v>1947</v>
      </c>
      <c r="E4571" s="171" t="s">
        <v>17409</v>
      </c>
      <c r="F4571" s="171" t="s">
        <v>18601</v>
      </c>
      <c r="G4571" s="82"/>
      <c r="H4571" s="96">
        <f t="shared" si="284"/>
        <v>23.62</v>
      </c>
      <c r="I4571" s="96">
        <f t="shared" si="284"/>
        <v>24.8</v>
      </c>
      <c r="J4571" s="91" t="str">
        <f t="shared" si="285"/>
        <v>Sinapi 96751</v>
      </c>
      <c r="K4571" s="91" t="str">
        <f t="shared" si="286"/>
        <v>UN</v>
      </c>
      <c r="L4571" s="166" t="str">
        <f t="shared" si="287"/>
        <v>06/2016</v>
      </c>
      <c r="M4571" s="82"/>
      <c r="N4571" s="82"/>
    </row>
    <row r="4572" spans="1:14" x14ac:dyDescent="0.25">
      <c r="A4572" s="170" t="s">
        <v>7466</v>
      </c>
      <c r="B4572" s="170" t="s">
        <v>7467</v>
      </c>
      <c r="C4572" s="170" t="s">
        <v>205</v>
      </c>
      <c r="D4572" s="170" t="s">
        <v>1947</v>
      </c>
      <c r="E4572" s="171" t="s">
        <v>22984</v>
      </c>
      <c r="F4572" s="171" t="s">
        <v>34216</v>
      </c>
      <c r="G4572" s="82"/>
      <c r="H4572" s="96">
        <f t="shared" si="284"/>
        <v>31.89</v>
      </c>
      <c r="I4572" s="96">
        <f t="shared" si="284"/>
        <v>33.07</v>
      </c>
      <c r="J4572" s="91" t="str">
        <f t="shared" si="285"/>
        <v>Sinapi 96752</v>
      </c>
      <c r="K4572" s="91" t="str">
        <f t="shared" si="286"/>
        <v>UN</v>
      </c>
      <c r="L4572" s="166" t="str">
        <f t="shared" si="287"/>
        <v>06/2016</v>
      </c>
      <c r="M4572" s="82"/>
      <c r="N4572" s="82"/>
    </row>
    <row r="4573" spans="1:14" x14ac:dyDescent="0.25">
      <c r="A4573" s="170" t="s">
        <v>7468</v>
      </c>
      <c r="B4573" s="170" t="s">
        <v>7469</v>
      </c>
      <c r="C4573" s="170" t="s">
        <v>205</v>
      </c>
      <c r="D4573" s="170" t="s">
        <v>1947</v>
      </c>
      <c r="E4573" s="171" t="s">
        <v>33790</v>
      </c>
      <c r="F4573" s="171" t="s">
        <v>36967</v>
      </c>
      <c r="G4573" s="82"/>
      <c r="H4573" s="96">
        <f t="shared" si="284"/>
        <v>79.63</v>
      </c>
      <c r="I4573" s="96">
        <f t="shared" si="284"/>
        <v>81.59</v>
      </c>
      <c r="J4573" s="91" t="str">
        <f t="shared" si="285"/>
        <v>Sinapi 96753</v>
      </c>
      <c r="K4573" s="91" t="str">
        <f t="shared" si="286"/>
        <v>UN</v>
      </c>
      <c r="L4573" s="166" t="str">
        <f t="shared" si="287"/>
        <v>06/2016</v>
      </c>
      <c r="M4573" s="82"/>
      <c r="N4573" s="82"/>
    </row>
    <row r="4574" spans="1:14" x14ac:dyDescent="0.25">
      <c r="A4574" s="170" t="s">
        <v>7470</v>
      </c>
      <c r="B4574" s="170" t="s">
        <v>7471</v>
      </c>
      <c r="C4574" s="170" t="s">
        <v>205</v>
      </c>
      <c r="D4574" s="170" t="s">
        <v>1947</v>
      </c>
      <c r="E4574" s="171" t="s">
        <v>33791</v>
      </c>
      <c r="F4574" s="171" t="s">
        <v>28579</v>
      </c>
      <c r="G4574" s="82"/>
      <c r="H4574" s="96">
        <f t="shared" si="284"/>
        <v>96.56</v>
      </c>
      <c r="I4574" s="96">
        <f t="shared" si="284"/>
        <v>98.52</v>
      </c>
      <c r="J4574" s="91" t="str">
        <f t="shared" si="285"/>
        <v>Sinapi 96754</v>
      </c>
      <c r="K4574" s="91" t="str">
        <f t="shared" si="286"/>
        <v>UN</v>
      </c>
      <c r="L4574" s="166" t="str">
        <f t="shared" si="287"/>
        <v>06/2016</v>
      </c>
      <c r="M4574" s="82"/>
      <c r="N4574" s="82"/>
    </row>
    <row r="4575" spans="1:14" x14ac:dyDescent="0.25">
      <c r="A4575" s="170" t="s">
        <v>7472</v>
      </c>
      <c r="B4575" s="170" t="s">
        <v>7473</v>
      </c>
      <c r="C4575" s="170" t="s">
        <v>205</v>
      </c>
      <c r="D4575" s="170" t="s">
        <v>1947</v>
      </c>
      <c r="E4575" s="171" t="s">
        <v>33792</v>
      </c>
      <c r="F4575" s="171" t="s">
        <v>29352</v>
      </c>
      <c r="G4575" s="82"/>
      <c r="H4575" s="96">
        <f t="shared" si="284"/>
        <v>305.67</v>
      </c>
      <c r="I4575" s="96">
        <f t="shared" si="284"/>
        <v>308.74</v>
      </c>
      <c r="J4575" s="91" t="str">
        <f t="shared" si="285"/>
        <v>Sinapi 96755</v>
      </c>
      <c r="K4575" s="91" t="str">
        <f t="shared" si="286"/>
        <v>UN</v>
      </c>
      <c r="L4575" s="166" t="str">
        <f t="shared" si="287"/>
        <v>06/2016</v>
      </c>
      <c r="M4575" s="82"/>
      <c r="N4575" s="82"/>
    </row>
    <row r="4576" spans="1:14" x14ac:dyDescent="0.25">
      <c r="A4576" s="170" t="s">
        <v>7474</v>
      </c>
      <c r="B4576" s="170" t="s">
        <v>7475</v>
      </c>
      <c r="C4576" s="170" t="s">
        <v>205</v>
      </c>
      <c r="D4576" s="170" t="s">
        <v>1947</v>
      </c>
      <c r="E4576" s="171" t="s">
        <v>15541</v>
      </c>
      <c r="F4576" s="171" t="s">
        <v>13703</v>
      </c>
      <c r="G4576" s="82"/>
      <c r="H4576" s="96">
        <f t="shared" si="284"/>
        <v>18.23</v>
      </c>
      <c r="I4576" s="96">
        <f t="shared" si="284"/>
        <v>19.05</v>
      </c>
      <c r="J4576" s="91" t="str">
        <f t="shared" si="285"/>
        <v>Sinapi 96756</v>
      </c>
      <c r="K4576" s="91" t="str">
        <f t="shared" si="286"/>
        <v>UN</v>
      </c>
      <c r="L4576" s="166" t="str">
        <f t="shared" si="287"/>
        <v>06/2016</v>
      </c>
      <c r="M4576" s="82"/>
      <c r="N4576" s="82"/>
    </row>
    <row r="4577" spans="1:14" x14ac:dyDescent="0.25">
      <c r="A4577" s="170" t="s">
        <v>7476</v>
      </c>
      <c r="B4577" s="170" t="s">
        <v>7477</v>
      </c>
      <c r="C4577" s="170" t="s">
        <v>205</v>
      </c>
      <c r="D4577" s="170" t="s">
        <v>1947</v>
      </c>
      <c r="E4577" s="171" t="s">
        <v>29257</v>
      </c>
      <c r="F4577" s="171" t="s">
        <v>13768</v>
      </c>
      <c r="G4577" s="82"/>
      <c r="H4577" s="96">
        <f t="shared" si="284"/>
        <v>22.01</v>
      </c>
      <c r="I4577" s="96">
        <f t="shared" si="284"/>
        <v>22.83</v>
      </c>
      <c r="J4577" s="91" t="str">
        <f t="shared" si="285"/>
        <v>Sinapi 96757</v>
      </c>
      <c r="K4577" s="91" t="str">
        <f t="shared" si="286"/>
        <v>UN</v>
      </c>
      <c r="L4577" s="166" t="str">
        <f t="shared" si="287"/>
        <v>06/2016</v>
      </c>
      <c r="M4577" s="82"/>
      <c r="N4577" s="82"/>
    </row>
    <row r="4578" spans="1:14" x14ac:dyDescent="0.25">
      <c r="A4578" s="170" t="s">
        <v>7478</v>
      </c>
      <c r="B4578" s="170" t="s">
        <v>7479</v>
      </c>
      <c r="C4578" s="170" t="s">
        <v>205</v>
      </c>
      <c r="D4578" s="170" t="s">
        <v>1947</v>
      </c>
      <c r="E4578" s="171" t="s">
        <v>17945</v>
      </c>
      <c r="F4578" s="171" t="s">
        <v>15118</v>
      </c>
      <c r="G4578" s="82"/>
      <c r="H4578" s="96">
        <f t="shared" si="284"/>
        <v>16.170000000000002</v>
      </c>
      <c r="I4578" s="96">
        <f t="shared" si="284"/>
        <v>17.21</v>
      </c>
      <c r="J4578" s="91" t="str">
        <f t="shared" si="285"/>
        <v>Sinapi 96758</v>
      </c>
      <c r="K4578" s="91" t="str">
        <f t="shared" si="286"/>
        <v>UN</v>
      </c>
      <c r="L4578" s="166" t="str">
        <f t="shared" si="287"/>
        <v>06/2016</v>
      </c>
      <c r="M4578" s="82"/>
      <c r="N4578" s="82"/>
    </row>
    <row r="4579" spans="1:14" x14ac:dyDescent="0.25">
      <c r="A4579" s="170" t="s">
        <v>7480</v>
      </c>
      <c r="B4579" s="170" t="s">
        <v>7481</v>
      </c>
      <c r="C4579" s="170" t="s">
        <v>205</v>
      </c>
      <c r="D4579" s="170" t="s">
        <v>1947</v>
      </c>
      <c r="E4579" s="171" t="s">
        <v>20091</v>
      </c>
      <c r="F4579" s="171" t="s">
        <v>16371</v>
      </c>
      <c r="G4579" s="82"/>
      <c r="H4579" s="96">
        <f t="shared" si="284"/>
        <v>22.03</v>
      </c>
      <c r="I4579" s="96">
        <f t="shared" si="284"/>
        <v>23.07</v>
      </c>
      <c r="J4579" s="91" t="str">
        <f t="shared" si="285"/>
        <v>Sinapi 96759</v>
      </c>
      <c r="K4579" s="91" t="str">
        <f t="shared" si="286"/>
        <v>UN</v>
      </c>
      <c r="L4579" s="166" t="str">
        <f t="shared" si="287"/>
        <v>06/2016</v>
      </c>
      <c r="M4579" s="82"/>
      <c r="N4579" s="82"/>
    </row>
    <row r="4580" spans="1:14" x14ac:dyDescent="0.25">
      <c r="A4580" s="170" t="s">
        <v>7483</v>
      </c>
      <c r="B4580" s="170" t="s">
        <v>7484</v>
      </c>
      <c r="C4580" s="170" t="s">
        <v>205</v>
      </c>
      <c r="D4580" s="170" t="s">
        <v>1947</v>
      </c>
      <c r="E4580" s="171" t="s">
        <v>30677</v>
      </c>
      <c r="F4580" s="171" t="s">
        <v>21083</v>
      </c>
      <c r="G4580" s="82"/>
      <c r="H4580" s="96">
        <f t="shared" si="284"/>
        <v>38.79</v>
      </c>
      <c r="I4580" s="96">
        <f t="shared" si="284"/>
        <v>40.369999999999997</v>
      </c>
      <c r="J4580" s="91" t="str">
        <f t="shared" si="285"/>
        <v>Sinapi 96760</v>
      </c>
      <c r="K4580" s="91" t="str">
        <f t="shared" si="286"/>
        <v>UN</v>
      </c>
      <c r="L4580" s="166" t="str">
        <f t="shared" si="287"/>
        <v>06/2016</v>
      </c>
      <c r="M4580" s="82"/>
      <c r="N4580" s="82"/>
    </row>
    <row r="4581" spans="1:14" x14ac:dyDescent="0.25">
      <c r="A4581" s="170" t="s">
        <v>7485</v>
      </c>
      <c r="B4581" s="170" t="s">
        <v>7486</v>
      </c>
      <c r="C4581" s="170" t="s">
        <v>205</v>
      </c>
      <c r="D4581" s="170" t="s">
        <v>1947</v>
      </c>
      <c r="E4581" s="171" t="s">
        <v>31636</v>
      </c>
      <c r="F4581" s="171" t="s">
        <v>36968</v>
      </c>
      <c r="G4581" s="82"/>
      <c r="H4581" s="96">
        <f t="shared" si="284"/>
        <v>53.11</v>
      </c>
      <c r="I4581" s="96">
        <f t="shared" si="284"/>
        <v>54.69</v>
      </c>
      <c r="J4581" s="91" t="str">
        <f t="shared" si="285"/>
        <v>Sinapi 96761</v>
      </c>
      <c r="K4581" s="91" t="str">
        <f t="shared" si="286"/>
        <v>UN</v>
      </c>
      <c r="L4581" s="166" t="str">
        <f t="shared" si="287"/>
        <v>06/2016</v>
      </c>
      <c r="M4581" s="82"/>
      <c r="N4581" s="82"/>
    </row>
    <row r="4582" spans="1:14" x14ac:dyDescent="0.25">
      <c r="A4582" s="170" t="s">
        <v>7487</v>
      </c>
      <c r="B4582" s="170" t="s">
        <v>7488</v>
      </c>
      <c r="C4582" s="170" t="s">
        <v>205</v>
      </c>
      <c r="D4582" s="170" t="s">
        <v>1947</v>
      </c>
      <c r="E4582" s="171" t="s">
        <v>33793</v>
      </c>
      <c r="F4582" s="171" t="s">
        <v>36969</v>
      </c>
      <c r="G4582" s="82"/>
      <c r="H4582" s="96">
        <f t="shared" si="284"/>
        <v>107.13</v>
      </c>
      <c r="I4582" s="96">
        <f t="shared" si="284"/>
        <v>109.74</v>
      </c>
      <c r="J4582" s="91" t="str">
        <f t="shared" si="285"/>
        <v>Sinapi 96762</v>
      </c>
      <c r="K4582" s="91" t="str">
        <f t="shared" si="286"/>
        <v>UN</v>
      </c>
      <c r="L4582" s="166" t="str">
        <f t="shared" si="287"/>
        <v>06/2016</v>
      </c>
      <c r="M4582" s="82"/>
      <c r="N4582" s="82"/>
    </row>
    <row r="4583" spans="1:14" x14ac:dyDescent="0.25">
      <c r="A4583" s="170" t="s">
        <v>7489</v>
      </c>
      <c r="B4583" s="170" t="s">
        <v>7490</v>
      </c>
      <c r="C4583" s="170" t="s">
        <v>205</v>
      </c>
      <c r="D4583" s="170" t="s">
        <v>1947</v>
      </c>
      <c r="E4583" s="171" t="s">
        <v>28003</v>
      </c>
      <c r="F4583" s="171" t="s">
        <v>36970</v>
      </c>
      <c r="G4583" s="82"/>
      <c r="H4583" s="96">
        <f t="shared" si="284"/>
        <v>135.99</v>
      </c>
      <c r="I4583" s="96">
        <f t="shared" si="284"/>
        <v>138.6</v>
      </c>
      <c r="J4583" s="91" t="str">
        <f t="shared" si="285"/>
        <v>Sinapi 96763</v>
      </c>
      <c r="K4583" s="91" t="str">
        <f t="shared" si="286"/>
        <v>UN</v>
      </c>
      <c r="L4583" s="166" t="str">
        <f t="shared" si="287"/>
        <v>06/2016</v>
      </c>
      <c r="M4583" s="82"/>
      <c r="N4583" s="82"/>
    </row>
    <row r="4584" spans="1:14" x14ac:dyDescent="0.25">
      <c r="A4584" s="170" t="s">
        <v>7491</v>
      </c>
      <c r="B4584" s="170" t="s">
        <v>7492</v>
      </c>
      <c r="C4584" s="170" t="s">
        <v>205</v>
      </c>
      <c r="D4584" s="170" t="s">
        <v>1947</v>
      </c>
      <c r="E4584" s="171" t="s">
        <v>29732</v>
      </c>
      <c r="F4584" s="171" t="s">
        <v>36971</v>
      </c>
      <c r="G4584" s="82"/>
      <c r="H4584" s="96">
        <f t="shared" si="284"/>
        <v>276.77999999999997</v>
      </c>
      <c r="I4584" s="96">
        <f t="shared" si="284"/>
        <v>280.88</v>
      </c>
      <c r="J4584" s="91" t="str">
        <f t="shared" si="285"/>
        <v>Sinapi 96764</v>
      </c>
      <c r="K4584" s="91" t="str">
        <f t="shared" si="286"/>
        <v>UN</v>
      </c>
      <c r="L4584" s="166" t="str">
        <f t="shared" si="287"/>
        <v>06/2016</v>
      </c>
      <c r="M4584" s="82"/>
      <c r="N4584" s="82"/>
    </row>
    <row r="4585" spans="1:14" x14ac:dyDescent="0.25">
      <c r="A4585" s="170" t="s">
        <v>7493</v>
      </c>
      <c r="B4585" s="170" t="s">
        <v>20374</v>
      </c>
      <c r="C4585" s="170" t="s">
        <v>205</v>
      </c>
      <c r="D4585" s="170" t="s">
        <v>1947</v>
      </c>
      <c r="E4585" s="171" t="s">
        <v>33794</v>
      </c>
      <c r="F4585" s="171" t="s">
        <v>36972</v>
      </c>
      <c r="G4585" s="82"/>
      <c r="H4585" s="96">
        <f t="shared" si="284"/>
        <v>367.78</v>
      </c>
      <c r="I4585" s="96">
        <f t="shared" si="284"/>
        <v>369.65</v>
      </c>
      <c r="J4585" s="91" t="str">
        <f t="shared" si="285"/>
        <v>Sinapi 96802</v>
      </c>
      <c r="K4585" s="91" t="str">
        <f t="shared" si="286"/>
        <v>UN</v>
      </c>
      <c r="L4585" s="166" t="str">
        <f t="shared" si="287"/>
        <v>02/2023</v>
      </c>
      <c r="M4585" s="82"/>
      <c r="N4585" s="82"/>
    </row>
    <row r="4586" spans="1:14" x14ac:dyDescent="0.25">
      <c r="A4586" s="170" t="s">
        <v>7494</v>
      </c>
      <c r="B4586" s="170" t="s">
        <v>20375</v>
      </c>
      <c r="C4586" s="170" t="s">
        <v>205</v>
      </c>
      <c r="D4586" s="170" t="s">
        <v>1947</v>
      </c>
      <c r="E4586" s="171" t="s">
        <v>33795</v>
      </c>
      <c r="F4586" s="171" t="s">
        <v>28843</v>
      </c>
      <c r="G4586" s="82"/>
      <c r="H4586" s="96">
        <f t="shared" si="284"/>
        <v>65.58</v>
      </c>
      <c r="I4586" s="96">
        <f t="shared" si="284"/>
        <v>67.13</v>
      </c>
      <c r="J4586" s="91" t="str">
        <f t="shared" si="285"/>
        <v>Sinapi 96803</v>
      </c>
      <c r="K4586" s="91" t="str">
        <f t="shared" si="286"/>
        <v>UN</v>
      </c>
      <c r="L4586" s="166" t="str">
        <f t="shared" si="287"/>
        <v>02/2023</v>
      </c>
      <c r="M4586" s="82"/>
      <c r="N4586" s="82"/>
    </row>
    <row r="4587" spans="1:14" x14ac:dyDescent="0.25">
      <c r="A4587" s="170" t="s">
        <v>7495</v>
      </c>
      <c r="B4587" s="170" t="s">
        <v>20376</v>
      </c>
      <c r="C4587" s="170" t="s">
        <v>205</v>
      </c>
      <c r="D4587" s="170" t="s">
        <v>1947</v>
      </c>
      <c r="E4587" s="171" t="s">
        <v>33796</v>
      </c>
      <c r="F4587" s="171" t="s">
        <v>30316</v>
      </c>
      <c r="G4587" s="82"/>
      <c r="H4587" s="96">
        <f t="shared" si="284"/>
        <v>104.22</v>
      </c>
      <c r="I4587" s="96">
        <f t="shared" si="284"/>
        <v>107.89</v>
      </c>
      <c r="J4587" s="91" t="str">
        <f t="shared" si="285"/>
        <v>Sinapi 96804</v>
      </c>
      <c r="K4587" s="91" t="str">
        <f t="shared" si="286"/>
        <v>UN</v>
      </c>
      <c r="L4587" s="166" t="str">
        <f t="shared" si="287"/>
        <v>02/2023</v>
      </c>
      <c r="M4587" s="82"/>
      <c r="N4587" s="82"/>
    </row>
    <row r="4588" spans="1:14" x14ac:dyDescent="0.25">
      <c r="A4588" s="170" t="s">
        <v>7496</v>
      </c>
      <c r="B4588" s="170" t="s">
        <v>20377</v>
      </c>
      <c r="C4588" s="170" t="s">
        <v>205</v>
      </c>
      <c r="D4588" s="170" t="s">
        <v>1947</v>
      </c>
      <c r="E4588" s="171" t="s">
        <v>33797</v>
      </c>
      <c r="F4588" s="171" t="s">
        <v>36973</v>
      </c>
      <c r="G4588" s="82"/>
      <c r="H4588" s="96">
        <f t="shared" si="284"/>
        <v>188.29</v>
      </c>
      <c r="I4588" s="96">
        <f t="shared" si="284"/>
        <v>190.8</v>
      </c>
      <c r="J4588" s="91" t="str">
        <f t="shared" si="285"/>
        <v>Sinapi 96805</v>
      </c>
      <c r="K4588" s="91" t="str">
        <f t="shared" si="286"/>
        <v>UN</v>
      </c>
      <c r="L4588" s="166" t="str">
        <f t="shared" si="287"/>
        <v>02/2023</v>
      </c>
      <c r="M4588" s="82"/>
      <c r="N4588" s="82"/>
    </row>
    <row r="4589" spans="1:14" x14ac:dyDescent="0.25">
      <c r="A4589" s="170" t="s">
        <v>7497</v>
      </c>
      <c r="B4589" s="170" t="s">
        <v>20378</v>
      </c>
      <c r="C4589" s="170" t="s">
        <v>205</v>
      </c>
      <c r="D4589" s="170" t="s">
        <v>1947</v>
      </c>
      <c r="E4589" s="171" t="s">
        <v>33798</v>
      </c>
      <c r="F4589" s="171" t="s">
        <v>29040</v>
      </c>
      <c r="G4589" s="82"/>
      <c r="H4589" s="96">
        <f t="shared" si="284"/>
        <v>71.05</v>
      </c>
      <c r="I4589" s="96">
        <f t="shared" si="284"/>
        <v>73.239999999999995</v>
      </c>
      <c r="J4589" s="91" t="str">
        <f t="shared" si="285"/>
        <v>Sinapi 96806</v>
      </c>
      <c r="K4589" s="91" t="str">
        <f t="shared" si="286"/>
        <v>UN</v>
      </c>
      <c r="L4589" s="166" t="str">
        <f t="shared" si="287"/>
        <v>02/2023</v>
      </c>
      <c r="M4589" s="82"/>
      <c r="N4589" s="82"/>
    </row>
    <row r="4590" spans="1:14" x14ac:dyDescent="0.25">
      <c r="A4590" s="170" t="s">
        <v>7498</v>
      </c>
      <c r="B4590" s="170" t="s">
        <v>20379</v>
      </c>
      <c r="C4590" s="170" t="s">
        <v>205</v>
      </c>
      <c r="D4590" s="170" t="s">
        <v>1947</v>
      </c>
      <c r="E4590" s="171" t="s">
        <v>33799</v>
      </c>
      <c r="F4590" s="171" t="s">
        <v>36974</v>
      </c>
      <c r="G4590" s="82"/>
      <c r="H4590" s="96">
        <f t="shared" si="284"/>
        <v>113.17</v>
      </c>
      <c r="I4590" s="96">
        <f t="shared" si="284"/>
        <v>117.47</v>
      </c>
      <c r="J4590" s="91" t="str">
        <f t="shared" si="285"/>
        <v>Sinapi 96807</v>
      </c>
      <c r="K4590" s="91" t="str">
        <f t="shared" si="286"/>
        <v>UN</v>
      </c>
      <c r="L4590" s="166" t="str">
        <f t="shared" si="287"/>
        <v>02/2023</v>
      </c>
      <c r="M4590" s="82"/>
      <c r="N4590" s="82"/>
    </row>
    <row r="4591" spans="1:14" x14ac:dyDescent="0.25">
      <c r="A4591" s="170" t="s">
        <v>7499</v>
      </c>
      <c r="B4591" s="170" t="s">
        <v>20380</v>
      </c>
      <c r="C4591" s="170" t="s">
        <v>205</v>
      </c>
      <c r="D4591" s="170" t="s">
        <v>1947</v>
      </c>
      <c r="E4591" s="171" t="s">
        <v>6826</v>
      </c>
      <c r="F4591" s="171" t="s">
        <v>27607</v>
      </c>
      <c r="G4591" s="82"/>
      <c r="H4591" s="96">
        <f t="shared" si="284"/>
        <v>14.11</v>
      </c>
      <c r="I4591" s="96">
        <f t="shared" si="284"/>
        <v>14.94</v>
      </c>
      <c r="J4591" s="91" t="str">
        <f t="shared" si="285"/>
        <v>Sinapi 96808</v>
      </c>
      <c r="K4591" s="91" t="str">
        <f t="shared" si="286"/>
        <v>UN</v>
      </c>
      <c r="L4591" s="166" t="str">
        <f t="shared" si="287"/>
        <v>02/2023</v>
      </c>
      <c r="M4591" s="82"/>
      <c r="N4591" s="82"/>
    </row>
    <row r="4592" spans="1:14" x14ac:dyDescent="0.25">
      <c r="A4592" s="170" t="s">
        <v>7500</v>
      </c>
      <c r="B4592" s="170" t="s">
        <v>20381</v>
      </c>
      <c r="C4592" s="170" t="s">
        <v>205</v>
      </c>
      <c r="D4592" s="170" t="s">
        <v>1947</v>
      </c>
      <c r="E4592" s="171" t="s">
        <v>28742</v>
      </c>
      <c r="F4592" s="171" t="s">
        <v>20020</v>
      </c>
      <c r="G4592" s="82"/>
      <c r="H4592" s="96">
        <f t="shared" si="284"/>
        <v>15.67</v>
      </c>
      <c r="I4592" s="96">
        <f t="shared" si="284"/>
        <v>16.5</v>
      </c>
      <c r="J4592" s="91" t="str">
        <f t="shared" si="285"/>
        <v>Sinapi 96809</v>
      </c>
      <c r="K4592" s="91" t="str">
        <f t="shared" si="286"/>
        <v>UN</v>
      </c>
      <c r="L4592" s="166" t="str">
        <f t="shared" si="287"/>
        <v>02/2023</v>
      </c>
      <c r="M4592" s="82"/>
      <c r="N4592" s="82"/>
    </row>
    <row r="4593" spans="1:14" x14ac:dyDescent="0.25">
      <c r="A4593" s="170" t="s">
        <v>7501</v>
      </c>
      <c r="B4593" s="170" t="s">
        <v>20382</v>
      </c>
      <c r="C4593" s="170" t="s">
        <v>205</v>
      </c>
      <c r="D4593" s="170" t="s">
        <v>1947</v>
      </c>
      <c r="E4593" s="171" t="s">
        <v>19272</v>
      </c>
      <c r="F4593" s="171" t="s">
        <v>21600</v>
      </c>
      <c r="G4593" s="82"/>
      <c r="H4593" s="96">
        <f t="shared" si="284"/>
        <v>16.989999999999998</v>
      </c>
      <c r="I4593" s="96">
        <f t="shared" si="284"/>
        <v>17.920000000000002</v>
      </c>
      <c r="J4593" s="91" t="str">
        <f t="shared" si="285"/>
        <v>Sinapi 96810</v>
      </c>
      <c r="K4593" s="91" t="str">
        <f t="shared" si="286"/>
        <v>UN</v>
      </c>
      <c r="L4593" s="166" t="str">
        <f t="shared" si="287"/>
        <v>02/2023</v>
      </c>
      <c r="M4593" s="82"/>
      <c r="N4593" s="82"/>
    </row>
    <row r="4594" spans="1:14" x14ac:dyDescent="0.25">
      <c r="A4594" s="170" t="s">
        <v>7502</v>
      </c>
      <c r="B4594" s="170" t="s">
        <v>20383</v>
      </c>
      <c r="C4594" s="170" t="s">
        <v>205</v>
      </c>
      <c r="D4594" s="170" t="s">
        <v>1947</v>
      </c>
      <c r="E4594" s="171" t="s">
        <v>16372</v>
      </c>
      <c r="F4594" s="171" t="s">
        <v>22801</v>
      </c>
      <c r="G4594" s="82"/>
      <c r="H4594" s="96">
        <f t="shared" si="284"/>
        <v>17.91</v>
      </c>
      <c r="I4594" s="96">
        <f t="shared" si="284"/>
        <v>18.89</v>
      </c>
      <c r="J4594" s="91" t="str">
        <f t="shared" si="285"/>
        <v>Sinapi 96811</v>
      </c>
      <c r="K4594" s="91" t="str">
        <f t="shared" si="286"/>
        <v>UN</v>
      </c>
      <c r="L4594" s="166" t="str">
        <f t="shared" si="287"/>
        <v>02/2023</v>
      </c>
      <c r="M4594" s="82"/>
      <c r="N4594" s="82"/>
    </row>
    <row r="4595" spans="1:14" x14ac:dyDescent="0.25">
      <c r="A4595" s="170" t="s">
        <v>7503</v>
      </c>
      <c r="B4595" s="170" t="s">
        <v>20384</v>
      </c>
      <c r="C4595" s="170" t="s">
        <v>205</v>
      </c>
      <c r="D4595" s="170" t="s">
        <v>1947</v>
      </c>
      <c r="E4595" s="171" t="s">
        <v>21475</v>
      </c>
      <c r="F4595" s="171" t="s">
        <v>14797</v>
      </c>
      <c r="G4595" s="82"/>
      <c r="H4595" s="96">
        <f t="shared" si="284"/>
        <v>16.32</v>
      </c>
      <c r="I4595" s="96">
        <f t="shared" si="284"/>
        <v>17.2</v>
      </c>
      <c r="J4595" s="91" t="str">
        <f t="shared" si="285"/>
        <v>Sinapi 96812</v>
      </c>
      <c r="K4595" s="91" t="str">
        <f t="shared" si="286"/>
        <v>UN</v>
      </c>
      <c r="L4595" s="166" t="str">
        <f t="shared" si="287"/>
        <v>02/2023</v>
      </c>
      <c r="M4595" s="82"/>
      <c r="N4595" s="82"/>
    </row>
    <row r="4596" spans="1:14" x14ac:dyDescent="0.25">
      <c r="A4596" s="170" t="s">
        <v>7504</v>
      </c>
      <c r="B4596" s="170" t="s">
        <v>20385</v>
      </c>
      <c r="C4596" s="170" t="s">
        <v>205</v>
      </c>
      <c r="D4596" s="170" t="s">
        <v>1947</v>
      </c>
      <c r="E4596" s="171" t="s">
        <v>16377</v>
      </c>
      <c r="F4596" s="171" t="s">
        <v>15768</v>
      </c>
      <c r="G4596" s="82"/>
      <c r="H4596" s="96">
        <f t="shared" si="284"/>
        <v>18.63</v>
      </c>
      <c r="I4596" s="96">
        <f t="shared" si="284"/>
        <v>19.61</v>
      </c>
      <c r="J4596" s="91" t="str">
        <f t="shared" si="285"/>
        <v>Sinapi 96813</v>
      </c>
      <c r="K4596" s="91" t="str">
        <f t="shared" si="286"/>
        <v>UN</v>
      </c>
      <c r="L4596" s="166" t="str">
        <f t="shared" si="287"/>
        <v>02/2023</v>
      </c>
      <c r="M4596" s="82"/>
      <c r="N4596" s="82"/>
    </row>
    <row r="4597" spans="1:14" x14ac:dyDescent="0.25">
      <c r="A4597" s="170" t="s">
        <v>7505</v>
      </c>
      <c r="B4597" s="170" t="s">
        <v>20386</v>
      </c>
      <c r="C4597" s="170" t="s">
        <v>205</v>
      </c>
      <c r="D4597" s="170" t="s">
        <v>1947</v>
      </c>
      <c r="E4597" s="171" t="s">
        <v>19963</v>
      </c>
      <c r="F4597" s="171" t="s">
        <v>6826</v>
      </c>
      <c r="G4597" s="82"/>
      <c r="H4597" s="96">
        <f t="shared" si="284"/>
        <v>13.43</v>
      </c>
      <c r="I4597" s="96">
        <f t="shared" si="284"/>
        <v>14.11</v>
      </c>
      <c r="J4597" s="91" t="str">
        <f t="shared" si="285"/>
        <v>Sinapi 96814</v>
      </c>
      <c r="K4597" s="91" t="str">
        <f t="shared" si="286"/>
        <v>UN</v>
      </c>
      <c r="L4597" s="166" t="str">
        <f t="shared" si="287"/>
        <v>02/2023</v>
      </c>
      <c r="M4597" s="82"/>
      <c r="N4597" s="82"/>
    </row>
    <row r="4598" spans="1:14" x14ac:dyDescent="0.25">
      <c r="A4598" s="170" t="s">
        <v>7506</v>
      </c>
      <c r="B4598" s="170" t="s">
        <v>20387</v>
      </c>
      <c r="C4598" s="170" t="s">
        <v>205</v>
      </c>
      <c r="D4598" s="170" t="s">
        <v>1947</v>
      </c>
      <c r="E4598" s="171" t="s">
        <v>21438</v>
      </c>
      <c r="F4598" s="171" t="s">
        <v>28697</v>
      </c>
      <c r="G4598" s="82"/>
      <c r="H4598" s="96">
        <f t="shared" si="284"/>
        <v>28.2</v>
      </c>
      <c r="I4598" s="96">
        <f t="shared" si="284"/>
        <v>29.38</v>
      </c>
      <c r="J4598" s="91" t="str">
        <f t="shared" si="285"/>
        <v>Sinapi 96815</v>
      </c>
      <c r="K4598" s="91" t="str">
        <f t="shared" si="286"/>
        <v>UN</v>
      </c>
      <c r="L4598" s="166" t="str">
        <f t="shared" si="287"/>
        <v>02/2023</v>
      </c>
      <c r="M4598" s="82"/>
      <c r="N4598" s="82"/>
    </row>
    <row r="4599" spans="1:14" x14ac:dyDescent="0.25">
      <c r="A4599" s="170" t="s">
        <v>7507</v>
      </c>
      <c r="B4599" s="170" t="s">
        <v>20388</v>
      </c>
      <c r="C4599" s="170" t="s">
        <v>205</v>
      </c>
      <c r="D4599" s="170" t="s">
        <v>1947</v>
      </c>
      <c r="E4599" s="171" t="s">
        <v>20138</v>
      </c>
      <c r="F4599" s="171" t="s">
        <v>15640</v>
      </c>
      <c r="G4599" s="82"/>
      <c r="H4599" s="96">
        <f t="shared" si="284"/>
        <v>21.11</v>
      </c>
      <c r="I4599" s="96">
        <f t="shared" si="284"/>
        <v>22.17</v>
      </c>
      <c r="J4599" s="91" t="str">
        <f t="shared" si="285"/>
        <v>Sinapi 96816</v>
      </c>
      <c r="K4599" s="91" t="str">
        <f t="shared" si="286"/>
        <v>UN</v>
      </c>
      <c r="L4599" s="166" t="str">
        <f t="shared" si="287"/>
        <v>02/2023</v>
      </c>
      <c r="M4599" s="82"/>
      <c r="N4599" s="82"/>
    </row>
    <row r="4600" spans="1:14" x14ac:dyDescent="0.25">
      <c r="A4600" s="170" t="s">
        <v>7508</v>
      </c>
      <c r="B4600" s="170" t="s">
        <v>20389</v>
      </c>
      <c r="C4600" s="170" t="s">
        <v>205</v>
      </c>
      <c r="D4600" s="170" t="s">
        <v>1947</v>
      </c>
      <c r="E4600" s="171" t="s">
        <v>21572</v>
      </c>
      <c r="F4600" s="171" t="s">
        <v>22081</v>
      </c>
      <c r="G4600" s="82"/>
      <c r="H4600" s="96">
        <f t="shared" si="284"/>
        <v>28.44</v>
      </c>
      <c r="I4600" s="96">
        <f t="shared" si="284"/>
        <v>29.62</v>
      </c>
      <c r="J4600" s="91" t="str">
        <f t="shared" si="285"/>
        <v>Sinapi 96817</v>
      </c>
      <c r="K4600" s="91" t="str">
        <f t="shared" si="286"/>
        <v>UN</v>
      </c>
      <c r="L4600" s="166" t="str">
        <f t="shared" si="287"/>
        <v>02/2023</v>
      </c>
      <c r="M4600" s="82"/>
      <c r="N4600" s="82"/>
    </row>
    <row r="4601" spans="1:14" x14ac:dyDescent="0.25">
      <c r="A4601" s="170" t="s">
        <v>7509</v>
      </c>
      <c r="B4601" s="170" t="s">
        <v>20390</v>
      </c>
      <c r="C4601" s="170" t="s">
        <v>205</v>
      </c>
      <c r="D4601" s="170" t="s">
        <v>1947</v>
      </c>
      <c r="E4601" s="171" t="s">
        <v>15545</v>
      </c>
      <c r="F4601" s="171" t="s">
        <v>15775</v>
      </c>
      <c r="G4601" s="82"/>
      <c r="H4601" s="96">
        <f t="shared" si="284"/>
        <v>18.25</v>
      </c>
      <c r="I4601" s="96">
        <f t="shared" si="284"/>
        <v>19</v>
      </c>
      <c r="J4601" s="91" t="str">
        <f t="shared" si="285"/>
        <v>Sinapi 96818</v>
      </c>
      <c r="K4601" s="91" t="str">
        <f t="shared" si="286"/>
        <v>UN</v>
      </c>
      <c r="L4601" s="166" t="str">
        <f t="shared" si="287"/>
        <v>02/2023</v>
      </c>
      <c r="M4601" s="82"/>
      <c r="N4601" s="82"/>
    </row>
    <row r="4602" spans="1:14" x14ac:dyDescent="0.25">
      <c r="A4602" s="170" t="s">
        <v>7510</v>
      </c>
      <c r="B4602" s="170" t="s">
        <v>20391</v>
      </c>
      <c r="C4602" s="170" t="s">
        <v>205</v>
      </c>
      <c r="D4602" s="170" t="s">
        <v>1947</v>
      </c>
      <c r="E4602" s="171" t="s">
        <v>15543</v>
      </c>
      <c r="F4602" s="171" t="s">
        <v>21180</v>
      </c>
      <c r="G4602" s="82"/>
      <c r="H4602" s="96">
        <f t="shared" si="284"/>
        <v>19.55</v>
      </c>
      <c r="I4602" s="96">
        <f t="shared" si="284"/>
        <v>20.36</v>
      </c>
      <c r="J4602" s="91" t="str">
        <f t="shared" si="285"/>
        <v>Sinapi 96819</v>
      </c>
      <c r="K4602" s="91" t="str">
        <f t="shared" si="286"/>
        <v>UN</v>
      </c>
      <c r="L4602" s="166" t="str">
        <f t="shared" si="287"/>
        <v>02/2023</v>
      </c>
      <c r="M4602" s="82"/>
      <c r="N4602" s="82"/>
    </row>
    <row r="4603" spans="1:14" x14ac:dyDescent="0.25">
      <c r="A4603" s="170" t="s">
        <v>7511</v>
      </c>
      <c r="B4603" s="170" t="s">
        <v>20392</v>
      </c>
      <c r="C4603" s="170" t="s">
        <v>205</v>
      </c>
      <c r="D4603" s="170" t="s">
        <v>1947</v>
      </c>
      <c r="E4603" s="171" t="s">
        <v>19390</v>
      </c>
      <c r="F4603" s="171" t="s">
        <v>28808</v>
      </c>
      <c r="G4603" s="82"/>
      <c r="H4603" s="96">
        <f t="shared" si="284"/>
        <v>33.880000000000003</v>
      </c>
      <c r="I4603" s="96">
        <f t="shared" si="284"/>
        <v>35.33</v>
      </c>
      <c r="J4603" s="91" t="str">
        <f t="shared" si="285"/>
        <v>Sinapi 96820</v>
      </c>
      <c r="K4603" s="91" t="str">
        <f t="shared" si="286"/>
        <v>UN</v>
      </c>
      <c r="L4603" s="166" t="str">
        <f t="shared" si="287"/>
        <v>02/2023</v>
      </c>
      <c r="M4603" s="82"/>
      <c r="N4603" s="82"/>
    </row>
    <row r="4604" spans="1:14" x14ac:dyDescent="0.25">
      <c r="A4604" s="170" t="s">
        <v>7512</v>
      </c>
      <c r="B4604" s="170" t="s">
        <v>20393</v>
      </c>
      <c r="C4604" s="170" t="s">
        <v>205</v>
      </c>
      <c r="D4604" s="170" t="s">
        <v>1947</v>
      </c>
      <c r="E4604" s="171" t="s">
        <v>29415</v>
      </c>
      <c r="F4604" s="171" t="s">
        <v>36975</v>
      </c>
      <c r="G4604" s="82"/>
      <c r="H4604" s="96">
        <f t="shared" si="284"/>
        <v>31.69</v>
      </c>
      <c r="I4604" s="96">
        <f t="shared" si="284"/>
        <v>32.97</v>
      </c>
      <c r="J4604" s="91" t="str">
        <f t="shared" si="285"/>
        <v>Sinapi 96821</v>
      </c>
      <c r="K4604" s="91" t="str">
        <f t="shared" si="286"/>
        <v>UN</v>
      </c>
      <c r="L4604" s="166" t="str">
        <f t="shared" si="287"/>
        <v>02/2023</v>
      </c>
      <c r="M4604" s="82"/>
      <c r="N4604" s="82"/>
    </row>
    <row r="4605" spans="1:14" x14ac:dyDescent="0.25">
      <c r="A4605" s="170" t="s">
        <v>7513</v>
      </c>
      <c r="B4605" s="170" t="s">
        <v>20394</v>
      </c>
      <c r="C4605" s="170" t="s">
        <v>205</v>
      </c>
      <c r="D4605" s="170" t="s">
        <v>1947</v>
      </c>
      <c r="E4605" s="171" t="s">
        <v>19275</v>
      </c>
      <c r="F4605" s="171" t="s">
        <v>21037</v>
      </c>
      <c r="G4605" s="82"/>
      <c r="H4605" s="96">
        <f t="shared" si="284"/>
        <v>25.78</v>
      </c>
      <c r="I4605" s="96">
        <f t="shared" si="284"/>
        <v>26.76</v>
      </c>
      <c r="J4605" s="91" t="str">
        <f t="shared" si="285"/>
        <v>Sinapi 96822</v>
      </c>
      <c r="K4605" s="91" t="str">
        <f t="shared" si="286"/>
        <v>UN</v>
      </c>
      <c r="L4605" s="166" t="str">
        <f t="shared" si="287"/>
        <v>02/2023</v>
      </c>
      <c r="M4605" s="82"/>
      <c r="N4605" s="82"/>
    </row>
    <row r="4606" spans="1:14" x14ac:dyDescent="0.25">
      <c r="A4606" s="170" t="s">
        <v>7514</v>
      </c>
      <c r="B4606" s="170" t="s">
        <v>20395</v>
      </c>
      <c r="C4606" s="170" t="s">
        <v>205</v>
      </c>
      <c r="D4606" s="170" t="s">
        <v>1947</v>
      </c>
      <c r="E4606" s="171" t="s">
        <v>23143</v>
      </c>
      <c r="F4606" s="171" t="s">
        <v>30567</v>
      </c>
      <c r="G4606" s="82"/>
      <c r="H4606" s="96">
        <f t="shared" si="284"/>
        <v>9.49</v>
      </c>
      <c r="I4606" s="96">
        <f t="shared" si="284"/>
        <v>9.92</v>
      </c>
      <c r="J4606" s="91" t="str">
        <f t="shared" si="285"/>
        <v>Sinapi 96823</v>
      </c>
      <c r="K4606" s="91" t="str">
        <f t="shared" si="286"/>
        <v>UN</v>
      </c>
      <c r="L4606" s="166" t="str">
        <f t="shared" si="287"/>
        <v>02/2023</v>
      </c>
      <c r="M4606" s="82"/>
      <c r="N4606" s="82"/>
    </row>
    <row r="4607" spans="1:14" x14ac:dyDescent="0.25">
      <c r="A4607" s="170" t="s">
        <v>7515</v>
      </c>
      <c r="B4607" s="170" t="s">
        <v>20396</v>
      </c>
      <c r="C4607" s="170" t="s">
        <v>205</v>
      </c>
      <c r="D4607" s="170" t="s">
        <v>1947</v>
      </c>
      <c r="E4607" s="171" t="s">
        <v>3672</v>
      </c>
      <c r="F4607" s="171" t="s">
        <v>29378</v>
      </c>
      <c r="G4607" s="82"/>
      <c r="H4607" s="96">
        <f t="shared" si="284"/>
        <v>14.74</v>
      </c>
      <c r="I4607" s="96">
        <f t="shared" si="284"/>
        <v>15.48</v>
      </c>
      <c r="J4607" s="91" t="str">
        <f t="shared" si="285"/>
        <v>Sinapi 96824</v>
      </c>
      <c r="K4607" s="91" t="str">
        <f t="shared" si="286"/>
        <v>UN</v>
      </c>
      <c r="L4607" s="166" t="str">
        <f t="shared" si="287"/>
        <v>02/2023</v>
      </c>
      <c r="M4607" s="82"/>
      <c r="N4607" s="82"/>
    </row>
    <row r="4608" spans="1:14" x14ac:dyDescent="0.25">
      <c r="A4608" s="170" t="s">
        <v>7516</v>
      </c>
      <c r="B4608" s="170" t="s">
        <v>20397</v>
      </c>
      <c r="C4608" s="170" t="s">
        <v>205</v>
      </c>
      <c r="D4608" s="170" t="s">
        <v>1947</v>
      </c>
      <c r="E4608" s="171" t="s">
        <v>29583</v>
      </c>
      <c r="F4608" s="171" t="s">
        <v>20977</v>
      </c>
      <c r="G4608" s="82"/>
      <c r="H4608" s="96">
        <f t="shared" si="284"/>
        <v>10.99</v>
      </c>
      <c r="I4608" s="96">
        <f t="shared" si="284"/>
        <v>11.51</v>
      </c>
      <c r="J4608" s="91" t="str">
        <f t="shared" si="285"/>
        <v>Sinapi 96826</v>
      </c>
      <c r="K4608" s="91" t="str">
        <f t="shared" si="286"/>
        <v>UN</v>
      </c>
      <c r="L4608" s="166" t="str">
        <f t="shared" si="287"/>
        <v>02/2023</v>
      </c>
      <c r="M4608" s="82"/>
      <c r="N4608" s="82"/>
    </row>
    <row r="4609" spans="1:14" x14ac:dyDescent="0.25">
      <c r="A4609" s="170" t="s">
        <v>7517</v>
      </c>
      <c r="B4609" s="170" t="s">
        <v>20398</v>
      </c>
      <c r="C4609" s="170" t="s">
        <v>205</v>
      </c>
      <c r="D4609" s="170" t="s">
        <v>1947</v>
      </c>
      <c r="E4609" s="171" t="s">
        <v>13853</v>
      </c>
      <c r="F4609" s="171" t="s">
        <v>23262</v>
      </c>
      <c r="G4609" s="82"/>
      <c r="H4609" s="96">
        <f t="shared" si="284"/>
        <v>16.100000000000001</v>
      </c>
      <c r="I4609" s="96">
        <f t="shared" si="284"/>
        <v>16.88</v>
      </c>
      <c r="J4609" s="91" t="str">
        <f t="shared" si="285"/>
        <v>Sinapi 96827</v>
      </c>
      <c r="K4609" s="91" t="str">
        <f t="shared" si="286"/>
        <v>UN</v>
      </c>
      <c r="L4609" s="166" t="str">
        <f t="shared" si="287"/>
        <v>02/2023</v>
      </c>
      <c r="M4609" s="82"/>
      <c r="N4609" s="82"/>
    </row>
    <row r="4610" spans="1:14" x14ac:dyDescent="0.25">
      <c r="A4610" s="170" t="s">
        <v>7518</v>
      </c>
      <c r="B4610" s="170" t="s">
        <v>20399</v>
      </c>
      <c r="C4610" s="170" t="s">
        <v>205</v>
      </c>
      <c r="D4610" s="170" t="s">
        <v>1947</v>
      </c>
      <c r="E4610" s="171" t="s">
        <v>28684</v>
      </c>
      <c r="F4610" s="171" t="s">
        <v>30759</v>
      </c>
      <c r="G4610" s="82"/>
      <c r="H4610" s="96">
        <f t="shared" si="284"/>
        <v>19.96</v>
      </c>
      <c r="I4610" s="96">
        <f t="shared" si="284"/>
        <v>20.83</v>
      </c>
      <c r="J4610" s="91" t="str">
        <f t="shared" si="285"/>
        <v>Sinapi 96828</v>
      </c>
      <c r="K4610" s="91" t="str">
        <f t="shared" si="286"/>
        <v>UN</v>
      </c>
      <c r="L4610" s="166" t="str">
        <f t="shared" si="287"/>
        <v>02/2023</v>
      </c>
      <c r="M4610" s="82"/>
      <c r="N4610" s="82"/>
    </row>
    <row r="4611" spans="1:14" x14ac:dyDescent="0.25">
      <c r="A4611" s="170" t="s">
        <v>7519</v>
      </c>
      <c r="B4611" s="170" t="s">
        <v>20400</v>
      </c>
      <c r="C4611" s="170" t="s">
        <v>205</v>
      </c>
      <c r="D4611" s="170" t="s">
        <v>1947</v>
      </c>
      <c r="E4611" s="171" t="s">
        <v>23093</v>
      </c>
      <c r="F4611" s="171" t="s">
        <v>17945</v>
      </c>
      <c r="G4611" s="82"/>
      <c r="H4611" s="96">
        <f t="shared" si="284"/>
        <v>15.71</v>
      </c>
      <c r="I4611" s="96">
        <f t="shared" si="284"/>
        <v>16.170000000000002</v>
      </c>
      <c r="J4611" s="91" t="str">
        <f t="shared" si="285"/>
        <v>Sinapi 96829</v>
      </c>
      <c r="K4611" s="91" t="str">
        <f t="shared" si="286"/>
        <v>UN</v>
      </c>
      <c r="L4611" s="166" t="str">
        <f t="shared" si="287"/>
        <v>02/2023</v>
      </c>
      <c r="M4611" s="82"/>
      <c r="N4611" s="82"/>
    </row>
    <row r="4612" spans="1:14" x14ac:dyDescent="0.25">
      <c r="A4612" s="170" t="s">
        <v>7520</v>
      </c>
      <c r="B4612" s="170" t="s">
        <v>20401</v>
      </c>
      <c r="C4612" s="170" t="s">
        <v>205</v>
      </c>
      <c r="D4612" s="170" t="s">
        <v>1947</v>
      </c>
      <c r="E4612" s="171" t="s">
        <v>12331</v>
      </c>
      <c r="F4612" s="171" t="s">
        <v>33427</v>
      </c>
      <c r="G4612" s="82"/>
      <c r="H4612" s="96">
        <f t="shared" si="284"/>
        <v>17.559999999999999</v>
      </c>
      <c r="I4612" s="96">
        <f t="shared" si="284"/>
        <v>18.18</v>
      </c>
      <c r="J4612" s="91" t="str">
        <f t="shared" si="285"/>
        <v>Sinapi 96830</v>
      </c>
      <c r="K4612" s="91" t="str">
        <f t="shared" si="286"/>
        <v>UN</v>
      </c>
      <c r="L4612" s="166" t="str">
        <f t="shared" si="287"/>
        <v>02/2023</v>
      </c>
      <c r="M4612" s="82"/>
      <c r="N4612" s="82"/>
    </row>
    <row r="4613" spans="1:14" x14ac:dyDescent="0.25">
      <c r="A4613" s="170" t="s">
        <v>7522</v>
      </c>
      <c r="B4613" s="170" t="s">
        <v>20402</v>
      </c>
      <c r="C4613" s="170" t="s">
        <v>205</v>
      </c>
      <c r="D4613" s="170" t="s">
        <v>1947</v>
      </c>
      <c r="E4613" s="171" t="s">
        <v>19951</v>
      </c>
      <c r="F4613" s="171" t="s">
        <v>21115</v>
      </c>
      <c r="G4613" s="82"/>
      <c r="H4613" s="96">
        <f t="shared" si="284"/>
        <v>25.27</v>
      </c>
      <c r="I4613" s="96">
        <f t="shared" si="284"/>
        <v>26.2</v>
      </c>
      <c r="J4613" s="91" t="str">
        <f t="shared" si="285"/>
        <v>Sinapi 96832</v>
      </c>
      <c r="K4613" s="91" t="str">
        <f t="shared" si="286"/>
        <v>UN</v>
      </c>
      <c r="L4613" s="166" t="str">
        <f t="shared" si="287"/>
        <v>02/2023</v>
      </c>
      <c r="M4613" s="82"/>
      <c r="N4613" s="82"/>
    </row>
    <row r="4614" spans="1:14" x14ac:dyDescent="0.25">
      <c r="A4614" s="170" t="s">
        <v>7523</v>
      </c>
      <c r="B4614" s="170" t="s">
        <v>20403</v>
      </c>
      <c r="C4614" s="170" t="s">
        <v>205</v>
      </c>
      <c r="D4614" s="170" t="s">
        <v>1947</v>
      </c>
      <c r="E4614" s="171" t="s">
        <v>17360</v>
      </c>
      <c r="F4614" s="171" t="s">
        <v>22072</v>
      </c>
      <c r="G4614" s="82"/>
      <c r="H4614" s="96">
        <f t="shared" si="284"/>
        <v>20.12</v>
      </c>
      <c r="I4614" s="96">
        <f t="shared" si="284"/>
        <v>20.65</v>
      </c>
      <c r="J4614" s="91" t="str">
        <f t="shared" si="285"/>
        <v>Sinapi 96833</v>
      </c>
      <c r="K4614" s="91" t="str">
        <f t="shared" si="286"/>
        <v>UN</v>
      </c>
      <c r="L4614" s="166" t="str">
        <f t="shared" si="287"/>
        <v>02/2023</v>
      </c>
      <c r="M4614" s="82"/>
      <c r="N4614" s="82"/>
    </row>
    <row r="4615" spans="1:14" x14ac:dyDescent="0.25">
      <c r="A4615" s="170" t="s">
        <v>7524</v>
      </c>
      <c r="B4615" s="170" t="s">
        <v>20404</v>
      </c>
      <c r="C4615" s="170" t="s">
        <v>205</v>
      </c>
      <c r="D4615" s="170" t="s">
        <v>1947</v>
      </c>
      <c r="E4615" s="171" t="s">
        <v>19812</v>
      </c>
      <c r="F4615" s="171" t="s">
        <v>15709</v>
      </c>
      <c r="G4615" s="82"/>
      <c r="H4615" s="96">
        <f t="shared" si="284"/>
        <v>23.88</v>
      </c>
      <c r="I4615" s="96">
        <f t="shared" si="284"/>
        <v>24.63</v>
      </c>
      <c r="J4615" s="91" t="str">
        <f t="shared" si="285"/>
        <v>Sinapi 96834</v>
      </c>
      <c r="K4615" s="91" t="str">
        <f t="shared" si="286"/>
        <v>UN</v>
      </c>
      <c r="L4615" s="166" t="str">
        <f t="shared" si="287"/>
        <v>02/2023</v>
      </c>
      <c r="M4615" s="82"/>
      <c r="N4615" s="82"/>
    </row>
    <row r="4616" spans="1:14" x14ac:dyDescent="0.25">
      <c r="A4616" s="170" t="s">
        <v>7525</v>
      </c>
      <c r="B4616" s="170" t="s">
        <v>20405</v>
      </c>
      <c r="C4616" s="170" t="s">
        <v>205</v>
      </c>
      <c r="D4616" s="170" t="s">
        <v>1947</v>
      </c>
      <c r="E4616" s="171" t="s">
        <v>19411</v>
      </c>
      <c r="F4616" s="171" t="s">
        <v>29334</v>
      </c>
      <c r="G4616" s="82"/>
      <c r="H4616" s="96">
        <f t="shared" ref="H4616:I4679" si="288">IF(E4616="","",E4616+0)</f>
        <v>28.88</v>
      </c>
      <c r="I4616" s="96">
        <f t="shared" si="288"/>
        <v>29.56</v>
      </c>
      <c r="J4616" s="91" t="str">
        <f t="shared" ref="J4616:J4679" si="289">IF(OR(H4616="",I4616=""),"",TRIM(CONCATENATE("Sinapi ",A4616)))</f>
        <v>Sinapi 96836</v>
      </c>
      <c r="K4616" s="91" t="str">
        <f t="shared" ref="K4616:K4679" si="290">TRIM(C4616)</f>
        <v>UN</v>
      </c>
      <c r="L4616" s="166" t="str">
        <f t="shared" ref="L4616:L4679" si="291">IF(OR(RIGHT(IF(AND(K4616&lt;&gt;"H",K4616&lt;&gt;"MES"),RIGHT(B4616,7),""),2)="PS",RIGHT(IF(AND(K4616&lt;&gt;"H",K4616&lt;&gt;"MES"),RIGHT(B4616,7),""),2)="PA",RIGHT(IF(AND(K4616&lt;&gt;"H",K4616&lt;&gt;"MES"),RIGHT(B4616,7),""),2)="PE"),LEFT(IF(AND(K4616&lt;&gt;"H",K4616&lt;&gt;"MES"),RIGHT(B4616,10),""),7),IF(AND(K4616&lt;&gt;"H",K4616&lt;&gt;"MES"),RIGHT(B4616,7),""))</f>
        <v>02/2023</v>
      </c>
      <c r="M4616" s="82"/>
      <c r="N4616" s="82"/>
    </row>
    <row r="4617" spans="1:14" x14ac:dyDescent="0.25">
      <c r="A4617" s="170" t="s">
        <v>7526</v>
      </c>
      <c r="B4617" s="170" t="s">
        <v>20406</v>
      </c>
      <c r="C4617" s="170" t="s">
        <v>205</v>
      </c>
      <c r="D4617" s="170" t="s">
        <v>1947</v>
      </c>
      <c r="E4617" s="171" t="s">
        <v>20487</v>
      </c>
      <c r="F4617" s="171" t="s">
        <v>6598</v>
      </c>
      <c r="G4617" s="82"/>
      <c r="H4617" s="96">
        <f t="shared" si="288"/>
        <v>17.45</v>
      </c>
      <c r="I4617" s="96">
        <f t="shared" si="288"/>
        <v>18.39</v>
      </c>
      <c r="J4617" s="91" t="str">
        <f t="shared" si="289"/>
        <v>Sinapi 96837</v>
      </c>
      <c r="K4617" s="91" t="str">
        <f t="shared" si="290"/>
        <v>UN</v>
      </c>
      <c r="L4617" s="166" t="str">
        <f t="shared" si="291"/>
        <v>02/2023</v>
      </c>
      <c r="M4617" s="82"/>
      <c r="N4617" s="82"/>
    </row>
    <row r="4618" spans="1:14" x14ac:dyDescent="0.25">
      <c r="A4618" s="170" t="s">
        <v>7527</v>
      </c>
      <c r="B4618" s="170" t="s">
        <v>20407</v>
      </c>
      <c r="C4618" s="170" t="s">
        <v>205</v>
      </c>
      <c r="D4618" s="170" t="s">
        <v>1947</v>
      </c>
      <c r="E4618" s="171" t="s">
        <v>22001</v>
      </c>
      <c r="F4618" s="171" t="s">
        <v>30831</v>
      </c>
      <c r="G4618" s="82"/>
      <c r="H4618" s="96">
        <f t="shared" si="288"/>
        <v>20.87</v>
      </c>
      <c r="I4618" s="96">
        <f t="shared" si="288"/>
        <v>22.12</v>
      </c>
      <c r="J4618" s="91" t="str">
        <f t="shared" si="289"/>
        <v>Sinapi 96838</v>
      </c>
      <c r="K4618" s="91" t="str">
        <f t="shared" si="290"/>
        <v>UN</v>
      </c>
      <c r="L4618" s="166" t="str">
        <f t="shared" si="291"/>
        <v>02/2023</v>
      </c>
      <c r="M4618" s="82"/>
      <c r="N4618" s="82"/>
    </row>
    <row r="4619" spans="1:14" x14ac:dyDescent="0.25">
      <c r="A4619" s="170" t="s">
        <v>7528</v>
      </c>
      <c r="B4619" s="170" t="s">
        <v>20408</v>
      </c>
      <c r="C4619" s="170" t="s">
        <v>205</v>
      </c>
      <c r="D4619" s="170" t="s">
        <v>1947</v>
      </c>
      <c r="E4619" s="171" t="s">
        <v>33058</v>
      </c>
      <c r="F4619" s="171" t="s">
        <v>23039</v>
      </c>
      <c r="G4619" s="82"/>
      <c r="H4619" s="96">
        <f t="shared" si="288"/>
        <v>21.63</v>
      </c>
      <c r="I4619" s="96">
        <f t="shared" si="288"/>
        <v>22.88</v>
      </c>
      <c r="J4619" s="91" t="str">
        <f t="shared" si="289"/>
        <v>Sinapi 96839</v>
      </c>
      <c r="K4619" s="91" t="str">
        <f t="shared" si="290"/>
        <v>UN</v>
      </c>
      <c r="L4619" s="166" t="str">
        <f t="shared" si="291"/>
        <v>02/2023</v>
      </c>
      <c r="M4619" s="82"/>
      <c r="N4619" s="82"/>
    </row>
    <row r="4620" spans="1:14" x14ac:dyDescent="0.25">
      <c r="A4620" s="170" t="s">
        <v>7529</v>
      </c>
      <c r="B4620" s="170" t="s">
        <v>20409</v>
      </c>
      <c r="C4620" s="170" t="s">
        <v>205</v>
      </c>
      <c r="D4620" s="170" t="s">
        <v>1947</v>
      </c>
      <c r="E4620" s="171" t="s">
        <v>18632</v>
      </c>
      <c r="F4620" s="171" t="s">
        <v>20463</v>
      </c>
      <c r="G4620" s="82"/>
      <c r="H4620" s="96">
        <f t="shared" si="288"/>
        <v>21.1</v>
      </c>
      <c r="I4620" s="96">
        <f t="shared" si="288"/>
        <v>22.2</v>
      </c>
      <c r="J4620" s="91" t="str">
        <f t="shared" si="289"/>
        <v>Sinapi 96840</v>
      </c>
      <c r="K4620" s="91" t="str">
        <f t="shared" si="290"/>
        <v>UN</v>
      </c>
      <c r="L4620" s="166" t="str">
        <f t="shared" si="291"/>
        <v>02/2023</v>
      </c>
      <c r="M4620" s="82"/>
      <c r="N4620" s="82"/>
    </row>
    <row r="4621" spans="1:14" x14ac:dyDescent="0.25">
      <c r="A4621" s="170" t="s">
        <v>7530</v>
      </c>
      <c r="B4621" s="170" t="s">
        <v>20410</v>
      </c>
      <c r="C4621" s="170" t="s">
        <v>205</v>
      </c>
      <c r="D4621" s="170" t="s">
        <v>1947</v>
      </c>
      <c r="E4621" s="171" t="s">
        <v>19383</v>
      </c>
      <c r="F4621" s="171" t="s">
        <v>19416</v>
      </c>
      <c r="G4621" s="82"/>
      <c r="H4621" s="96">
        <f t="shared" si="288"/>
        <v>23.23</v>
      </c>
      <c r="I4621" s="96">
        <f t="shared" si="288"/>
        <v>24.57</v>
      </c>
      <c r="J4621" s="91" t="str">
        <f t="shared" si="289"/>
        <v>Sinapi 96841</v>
      </c>
      <c r="K4621" s="91" t="str">
        <f t="shared" si="290"/>
        <v>UN</v>
      </c>
      <c r="L4621" s="166" t="str">
        <f t="shared" si="291"/>
        <v>02/2023</v>
      </c>
      <c r="M4621" s="82"/>
      <c r="N4621" s="82"/>
    </row>
    <row r="4622" spans="1:14" x14ac:dyDescent="0.25">
      <c r="A4622" s="170" t="s">
        <v>7531</v>
      </c>
      <c r="B4622" s="170" t="s">
        <v>20411</v>
      </c>
      <c r="C4622" s="170" t="s">
        <v>205</v>
      </c>
      <c r="D4622" s="170" t="s">
        <v>1947</v>
      </c>
      <c r="E4622" s="171" t="s">
        <v>21050</v>
      </c>
      <c r="F4622" s="171" t="s">
        <v>20061</v>
      </c>
      <c r="G4622" s="82"/>
      <c r="H4622" s="96">
        <f t="shared" si="288"/>
        <v>26.66</v>
      </c>
      <c r="I4622" s="96">
        <f t="shared" si="288"/>
        <v>28.15</v>
      </c>
      <c r="J4622" s="91" t="str">
        <f t="shared" si="289"/>
        <v>Sinapi 96842</v>
      </c>
      <c r="K4622" s="91" t="str">
        <f t="shared" si="290"/>
        <v>UN</v>
      </c>
      <c r="L4622" s="166" t="str">
        <f t="shared" si="291"/>
        <v>02/2023</v>
      </c>
      <c r="M4622" s="82"/>
      <c r="N4622" s="82"/>
    </row>
    <row r="4623" spans="1:14" x14ac:dyDescent="0.25">
      <c r="A4623" s="170" t="s">
        <v>7532</v>
      </c>
      <c r="B4623" s="170" t="s">
        <v>20412</v>
      </c>
      <c r="C4623" s="170" t="s">
        <v>205</v>
      </c>
      <c r="D4623" s="170" t="s">
        <v>1947</v>
      </c>
      <c r="E4623" s="171" t="s">
        <v>31971</v>
      </c>
      <c r="F4623" s="171" t="s">
        <v>33541</v>
      </c>
      <c r="G4623" s="82"/>
      <c r="H4623" s="96">
        <f t="shared" si="288"/>
        <v>24.25</v>
      </c>
      <c r="I4623" s="96">
        <f t="shared" si="288"/>
        <v>25.59</v>
      </c>
      <c r="J4623" s="91" t="str">
        <f t="shared" si="289"/>
        <v>Sinapi 96843</v>
      </c>
      <c r="K4623" s="91" t="str">
        <f t="shared" si="290"/>
        <v>UN</v>
      </c>
      <c r="L4623" s="166" t="str">
        <f t="shared" si="291"/>
        <v>02/2023</v>
      </c>
      <c r="M4623" s="82"/>
      <c r="N4623" s="82"/>
    </row>
    <row r="4624" spans="1:14" x14ac:dyDescent="0.25">
      <c r="A4624" s="170" t="s">
        <v>7533</v>
      </c>
      <c r="B4624" s="170" t="s">
        <v>20413</v>
      </c>
      <c r="C4624" s="170" t="s">
        <v>205</v>
      </c>
      <c r="D4624" s="170" t="s">
        <v>1947</v>
      </c>
      <c r="E4624" s="171" t="s">
        <v>19976</v>
      </c>
      <c r="F4624" s="171" t="s">
        <v>17292</v>
      </c>
      <c r="G4624" s="82"/>
      <c r="H4624" s="96">
        <f t="shared" si="288"/>
        <v>27.99</v>
      </c>
      <c r="I4624" s="96">
        <f t="shared" si="288"/>
        <v>29.48</v>
      </c>
      <c r="J4624" s="91" t="str">
        <f t="shared" si="289"/>
        <v>Sinapi 96844</v>
      </c>
      <c r="K4624" s="91" t="str">
        <f t="shared" si="290"/>
        <v>UN</v>
      </c>
      <c r="L4624" s="166" t="str">
        <f t="shared" si="291"/>
        <v>02/2023</v>
      </c>
      <c r="M4624" s="82"/>
      <c r="N4624" s="82"/>
    </row>
    <row r="4625" spans="1:14" x14ac:dyDescent="0.25">
      <c r="A4625" s="170" t="s">
        <v>7534</v>
      </c>
      <c r="B4625" s="170" t="s">
        <v>20414</v>
      </c>
      <c r="C4625" s="170" t="s">
        <v>205</v>
      </c>
      <c r="D4625" s="170" t="s">
        <v>1947</v>
      </c>
      <c r="E4625" s="171" t="s">
        <v>21125</v>
      </c>
      <c r="F4625" s="171" t="s">
        <v>29294</v>
      </c>
      <c r="G4625" s="82"/>
      <c r="H4625" s="96">
        <f t="shared" si="288"/>
        <v>33.67</v>
      </c>
      <c r="I4625" s="96">
        <f t="shared" si="288"/>
        <v>34.99</v>
      </c>
      <c r="J4625" s="91" t="str">
        <f t="shared" si="289"/>
        <v>Sinapi 96845</v>
      </c>
      <c r="K4625" s="91" t="str">
        <f t="shared" si="290"/>
        <v>UN</v>
      </c>
      <c r="L4625" s="166" t="str">
        <f t="shared" si="291"/>
        <v>02/2023</v>
      </c>
      <c r="M4625" s="82"/>
      <c r="N4625" s="82"/>
    </row>
    <row r="4626" spans="1:14" x14ac:dyDescent="0.25">
      <c r="A4626" s="170" t="s">
        <v>7535</v>
      </c>
      <c r="B4626" s="170" t="s">
        <v>20416</v>
      </c>
      <c r="C4626" s="170" t="s">
        <v>205</v>
      </c>
      <c r="D4626" s="170" t="s">
        <v>1947</v>
      </c>
      <c r="E4626" s="171" t="s">
        <v>33800</v>
      </c>
      <c r="F4626" s="171" t="s">
        <v>27354</v>
      </c>
      <c r="G4626" s="82"/>
      <c r="H4626" s="96">
        <f t="shared" si="288"/>
        <v>31.24</v>
      </c>
      <c r="I4626" s="96">
        <f t="shared" si="288"/>
        <v>32.840000000000003</v>
      </c>
      <c r="J4626" s="91" t="str">
        <f t="shared" si="289"/>
        <v>Sinapi 96846</v>
      </c>
      <c r="K4626" s="91" t="str">
        <f t="shared" si="290"/>
        <v>UN</v>
      </c>
      <c r="L4626" s="166" t="str">
        <f t="shared" si="291"/>
        <v>02/2023</v>
      </c>
      <c r="M4626" s="82"/>
      <c r="N4626" s="82"/>
    </row>
    <row r="4627" spans="1:14" x14ac:dyDescent="0.25">
      <c r="A4627" s="170" t="s">
        <v>7536</v>
      </c>
      <c r="B4627" s="170" t="s">
        <v>20417</v>
      </c>
      <c r="C4627" s="170" t="s">
        <v>205</v>
      </c>
      <c r="D4627" s="170" t="s">
        <v>1947</v>
      </c>
      <c r="E4627" s="171" t="s">
        <v>23313</v>
      </c>
      <c r="F4627" s="171" t="s">
        <v>17886</v>
      </c>
      <c r="G4627" s="82"/>
      <c r="H4627" s="96">
        <f t="shared" si="288"/>
        <v>30.79</v>
      </c>
      <c r="I4627" s="96">
        <f t="shared" si="288"/>
        <v>32.39</v>
      </c>
      <c r="J4627" s="91" t="str">
        <f t="shared" si="289"/>
        <v>Sinapi 96847</v>
      </c>
      <c r="K4627" s="91" t="str">
        <f t="shared" si="290"/>
        <v>UN</v>
      </c>
      <c r="L4627" s="166" t="str">
        <f t="shared" si="291"/>
        <v>02/2023</v>
      </c>
      <c r="M4627" s="82"/>
      <c r="N4627" s="82"/>
    </row>
    <row r="4628" spans="1:14" x14ac:dyDescent="0.25">
      <c r="A4628" s="170" t="s">
        <v>7537</v>
      </c>
      <c r="B4628" s="170" t="s">
        <v>20418</v>
      </c>
      <c r="C4628" s="170" t="s">
        <v>205</v>
      </c>
      <c r="D4628" s="170" t="s">
        <v>1947</v>
      </c>
      <c r="E4628" s="171" t="s">
        <v>33801</v>
      </c>
      <c r="F4628" s="171" t="s">
        <v>33155</v>
      </c>
      <c r="G4628" s="82"/>
      <c r="H4628" s="96">
        <f t="shared" si="288"/>
        <v>44.85</v>
      </c>
      <c r="I4628" s="96">
        <f t="shared" si="288"/>
        <v>46.47</v>
      </c>
      <c r="J4628" s="91" t="str">
        <f t="shared" si="289"/>
        <v>Sinapi 96848</v>
      </c>
      <c r="K4628" s="91" t="str">
        <f t="shared" si="290"/>
        <v>UN</v>
      </c>
      <c r="L4628" s="166" t="str">
        <f t="shared" si="291"/>
        <v>02/2023</v>
      </c>
      <c r="M4628" s="82"/>
      <c r="N4628" s="82"/>
    </row>
    <row r="4629" spans="1:14" x14ac:dyDescent="0.25">
      <c r="A4629" s="170" t="s">
        <v>7538</v>
      </c>
      <c r="B4629" s="170" t="s">
        <v>20419</v>
      </c>
      <c r="C4629" s="170" t="s">
        <v>205</v>
      </c>
      <c r="D4629" s="170" t="s">
        <v>1947</v>
      </c>
      <c r="E4629" s="171" t="s">
        <v>16381</v>
      </c>
      <c r="F4629" s="171" t="s">
        <v>20359</v>
      </c>
      <c r="G4629" s="82"/>
      <c r="H4629" s="96">
        <f t="shared" si="288"/>
        <v>14.02</v>
      </c>
      <c r="I4629" s="96">
        <f t="shared" si="288"/>
        <v>14.67</v>
      </c>
      <c r="J4629" s="91" t="str">
        <f t="shared" si="289"/>
        <v>Sinapi 96849</v>
      </c>
      <c r="K4629" s="91" t="str">
        <f t="shared" si="290"/>
        <v>UN</v>
      </c>
      <c r="L4629" s="166" t="str">
        <f t="shared" si="291"/>
        <v>02/2023</v>
      </c>
      <c r="M4629" s="82"/>
      <c r="N4629" s="82"/>
    </row>
    <row r="4630" spans="1:14" x14ac:dyDescent="0.25">
      <c r="A4630" s="170" t="s">
        <v>7539</v>
      </c>
      <c r="B4630" s="170" t="s">
        <v>20420</v>
      </c>
      <c r="C4630" s="170" t="s">
        <v>205</v>
      </c>
      <c r="D4630" s="170" t="s">
        <v>1947</v>
      </c>
      <c r="E4630" s="171" t="s">
        <v>19288</v>
      </c>
      <c r="F4630" s="171" t="s">
        <v>17356</v>
      </c>
      <c r="G4630" s="82"/>
      <c r="H4630" s="96">
        <f t="shared" si="288"/>
        <v>19.53</v>
      </c>
      <c r="I4630" s="96">
        <f t="shared" si="288"/>
        <v>20.63</v>
      </c>
      <c r="J4630" s="91" t="str">
        <f t="shared" si="289"/>
        <v>Sinapi 96850</v>
      </c>
      <c r="K4630" s="91" t="str">
        <f t="shared" si="290"/>
        <v>UN</v>
      </c>
      <c r="L4630" s="166" t="str">
        <f t="shared" si="291"/>
        <v>02/2023</v>
      </c>
      <c r="M4630" s="82"/>
      <c r="N4630" s="82"/>
    </row>
    <row r="4631" spans="1:14" x14ac:dyDescent="0.25">
      <c r="A4631" s="170" t="s">
        <v>7540</v>
      </c>
      <c r="B4631" s="170" t="s">
        <v>20421</v>
      </c>
      <c r="C4631" s="170" t="s">
        <v>205</v>
      </c>
      <c r="D4631" s="170" t="s">
        <v>1947</v>
      </c>
      <c r="E4631" s="171" t="s">
        <v>15568</v>
      </c>
      <c r="F4631" s="171" t="s">
        <v>18353</v>
      </c>
      <c r="G4631" s="82"/>
      <c r="H4631" s="96">
        <f t="shared" si="288"/>
        <v>17.899999999999999</v>
      </c>
      <c r="I4631" s="96">
        <f t="shared" si="288"/>
        <v>18.670000000000002</v>
      </c>
      <c r="J4631" s="91" t="str">
        <f t="shared" si="289"/>
        <v>Sinapi 96852</v>
      </c>
      <c r="K4631" s="91" t="str">
        <f t="shared" si="290"/>
        <v>UN</v>
      </c>
      <c r="L4631" s="166" t="str">
        <f t="shared" si="291"/>
        <v>02/2023</v>
      </c>
      <c r="M4631" s="82"/>
      <c r="N4631" s="82"/>
    </row>
    <row r="4632" spans="1:14" x14ac:dyDescent="0.25">
      <c r="A4632" s="170" t="s">
        <v>7541</v>
      </c>
      <c r="B4632" s="170" t="s">
        <v>20422</v>
      </c>
      <c r="C4632" s="170" t="s">
        <v>205</v>
      </c>
      <c r="D4632" s="170" t="s">
        <v>1947</v>
      </c>
      <c r="E4632" s="171" t="s">
        <v>23129</v>
      </c>
      <c r="F4632" s="171" t="s">
        <v>15640</v>
      </c>
      <c r="G4632" s="82"/>
      <c r="H4632" s="96">
        <f t="shared" si="288"/>
        <v>21.01</v>
      </c>
      <c r="I4632" s="96">
        <f t="shared" si="288"/>
        <v>22.17</v>
      </c>
      <c r="J4632" s="91" t="str">
        <f t="shared" si="289"/>
        <v>Sinapi 96853</v>
      </c>
      <c r="K4632" s="91" t="str">
        <f t="shared" si="290"/>
        <v>UN</v>
      </c>
      <c r="L4632" s="166" t="str">
        <f t="shared" si="291"/>
        <v>02/2023</v>
      </c>
      <c r="M4632" s="82"/>
      <c r="N4632" s="82"/>
    </row>
    <row r="4633" spans="1:14" x14ac:dyDescent="0.25">
      <c r="A4633" s="170" t="s">
        <v>7542</v>
      </c>
      <c r="B4633" s="170" t="s">
        <v>20423</v>
      </c>
      <c r="C4633" s="170" t="s">
        <v>205</v>
      </c>
      <c r="D4633" s="170" t="s">
        <v>1947</v>
      </c>
      <c r="E4633" s="171" t="s">
        <v>22717</v>
      </c>
      <c r="F4633" s="171" t="s">
        <v>21495</v>
      </c>
      <c r="G4633" s="82"/>
      <c r="H4633" s="96">
        <f t="shared" si="288"/>
        <v>26.03</v>
      </c>
      <c r="I4633" s="96">
        <f t="shared" si="288"/>
        <v>27.34</v>
      </c>
      <c r="J4633" s="91" t="str">
        <f t="shared" si="289"/>
        <v>Sinapi 96854</v>
      </c>
      <c r="K4633" s="91" t="str">
        <f t="shared" si="290"/>
        <v>UN</v>
      </c>
      <c r="L4633" s="166" t="str">
        <f t="shared" si="291"/>
        <v>02/2023</v>
      </c>
      <c r="M4633" s="82"/>
      <c r="N4633" s="82"/>
    </row>
    <row r="4634" spans="1:14" x14ac:dyDescent="0.25">
      <c r="A4634" s="170" t="s">
        <v>7543</v>
      </c>
      <c r="B4634" s="170" t="s">
        <v>20424</v>
      </c>
      <c r="C4634" s="170" t="s">
        <v>205</v>
      </c>
      <c r="D4634" s="170" t="s">
        <v>1947</v>
      </c>
      <c r="E4634" s="171" t="s">
        <v>22034</v>
      </c>
      <c r="F4634" s="171" t="s">
        <v>28850</v>
      </c>
      <c r="G4634" s="82"/>
      <c r="H4634" s="96">
        <f t="shared" si="288"/>
        <v>28.42</v>
      </c>
      <c r="I4634" s="96">
        <f t="shared" si="288"/>
        <v>29.34</v>
      </c>
      <c r="J4634" s="91" t="str">
        <f t="shared" si="289"/>
        <v>Sinapi 96855</v>
      </c>
      <c r="K4634" s="91" t="str">
        <f t="shared" si="290"/>
        <v>UN</v>
      </c>
      <c r="L4634" s="166" t="str">
        <f t="shared" si="291"/>
        <v>02/2023</v>
      </c>
      <c r="M4634" s="82"/>
      <c r="N4634" s="82"/>
    </row>
    <row r="4635" spans="1:14" x14ac:dyDescent="0.25">
      <c r="A4635" s="170" t="s">
        <v>7544</v>
      </c>
      <c r="B4635" s="170" t="s">
        <v>20425</v>
      </c>
      <c r="C4635" s="170" t="s">
        <v>205</v>
      </c>
      <c r="D4635" s="170" t="s">
        <v>1947</v>
      </c>
      <c r="E4635" s="171" t="s">
        <v>33802</v>
      </c>
      <c r="F4635" s="171" t="s">
        <v>36485</v>
      </c>
      <c r="G4635" s="82"/>
      <c r="H4635" s="96">
        <f t="shared" si="288"/>
        <v>30.14</v>
      </c>
      <c r="I4635" s="96">
        <f t="shared" si="288"/>
        <v>31.38</v>
      </c>
      <c r="J4635" s="91" t="str">
        <f t="shared" si="289"/>
        <v>Sinapi 96856</v>
      </c>
      <c r="K4635" s="91" t="str">
        <f t="shared" si="290"/>
        <v>UN</v>
      </c>
      <c r="L4635" s="166" t="str">
        <f t="shared" si="291"/>
        <v>02/2023</v>
      </c>
      <c r="M4635" s="82"/>
      <c r="N4635" s="82"/>
    </row>
    <row r="4636" spans="1:14" x14ac:dyDescent="0.25">
      <c r="A4636" s="170" t="s">
        <v>7545</v>
      </c>
      <c r="B4636" s="170" t="s">
        <v>20426</v>
      </c>
      <c r="C4636" s="170" t="s">
        <v>205</v>
      </c>
      <c r="D4636" s="170" t="s">
        <v>1947</v>
      </c>
      <c r="E4636" s="171" t="s">
        <v>17973</v>
      </c>
      <c r="F4636" s="171" t="s">
        <v>23076</v>
      </c>
      <c r="G4636" s="82"/>
      <c r="H4636" s="96">
        <f t="shared" si="288"/>
        <v>25.07</v>
      </c>
      <c r="I4636" s="96">
        <f t="shared" si="288"/>
        <v>26.31</v>
      </c>
      <c r="J4636" s="91" t="str">
        <f t="shared" si="289"/>
        <v>Sinapi 96860</v>
      </c>
      <c r="K4636" s="91" t="str">
        <f t="shared" si="290"/>
        <v>UN</v>
      </c>
      <c r="L4636" s="166" t="str">
        <f t="shared" si="291"/>
        <v>02/2023</v>
      </c>
      <c r="M4636" s="82"/>
      <c r="N4636" s="82"/>
    </row>
    <row r="4637" spans="1:14" x14ac:dyDescent="0.25">
      <c r="A4637" s="170" t="s">
        <v>7546</v>
      </c>
      <c r="B4637" s="170" t="s">
        <v>20427</v>
      </c>
      <c r="C4637" s="170" t="s">
        <v>205</v>
      </c>
      <c r="D4637" s="170" t="s">
        <v>1947</v>
      </c>
      <c r="E4637" s="171" t="s">
        <v>28690</v>
      </c>
      <c r="F4637" s="171" t="s">
        <v>21375</v>
      </c>
      <c r="G4637" s="82"/>
      <c r="H4637" s="96">
        <f t="shared" si="288"/>
        <v>31.74</v>
      </c>
      <c r="I4637" s="96">
        <f t="shared" si="288"/>
        <v>33.26</v>
      </c>
      <c r="J4637" s="91" t="str">
        <f t="shared" si="289"/>
        <v>Sinapi 96861</v>
      </c>
      <c r="K4637" s="91" t="str">
        <f t="shared" si="290"/>
        <v>UN</v>
      </c>
      <c r="L4637" s="166" t="str">
        <f t="shared" si="291"/>
        <v>02/2023</v>
      </c>
      <c r="M4637" s="82"/>
      <c r="N4637" s="82"/>
    </row>
    <row r="4638" spans="1:14" x14ac:dyDescent="0.25">
      <c r="A4638" s="170" t="s">
        <v>7547</v>
      </c>
      <c r="B4638" s="170" t="s">
        <v>20428</v>
      </c>
      <c r="C4638" s="170" t="s">
        <v>205</v>
      </c>
      <c r="D4638" s="170" t="s">
        <v>1947</v>
      </c>
      <c r="E4638" s="171" t="s">
        <v>23114</v>
      </c>
      <c r="F4638" s="171" t="s">
        <v>21888</v>
      </c>
      <c r="G4638" s="82"/>
      <c r="H4638" s="96">
        <f t="shared" si="288"/>
        <v>30.87</v>
      </c>
      <c r="I4638" s="96">
        <f t="shared" si="288"/>
        <v>32.35</v>
      </c>
      <c r="J4638" s="91" t="str">
        <f t="shared" si="289"/>
        <v>Sinapi 96862</v>
      </c>
      <c r="K4638" s="91" t="str">
        <f t="shared" si="290"/>
        <v>UN</v>
      </c>
      <c r="L4638" s="166" t="str">
        <f t="shared" si="291"/>
        <v>02/2023</v>
      </c>
      <c r="M4638" s="82"/>
      <c r="N4638" s="82"/>
    </row>
    <row r="4639" spans="1:14" x14ac:dyDescent="0.25">
      <c r="A4639" s="170" t="s">
        <v>7548</v>
      </c>
      <c r="B4639" s="170" t="s">
        <v>20429</v>
      </c>
      <c r="C4639" s="170" t="s">
        <v>205</v>
      </c>
      <c r="D4639" s="170" t="s">
        <v>1947</v>
      </c>
      <c r="E4639" s="171" t="s">
        <v>17886</v>
      </c>
      <c r="F4639" s="171" t="s">
        <v>30935</v>
      </c>
      <c r="G4639" s="82"/>
      <c r="H4639" s="96">
        <f t="shared" si="288"/>
        <v>32.39</v>
      </c>
      <c r="I4639" s="96">
        <f t="shared" si="288"/>
        <v>34.07</v>
      </c>
      <c r="J4639" s="91" t="str">
        <f t="shared" si="289"/>
        <v>Sinapi 96863</v>
      </c>
      <c r="K4639" s="91" t="str">
        <f t="shared" si="290"/>
        <v>UN</v>
      </c>
      <c r="L4639" s="166" t="str">
        <f t="shared" si="291"/>
        <v>02/2023</v>
      </c>
      <c r="M4639" s="82"/>
      <c r="N4639" s="82"/>
    </row>
    <row r="4640" spans="1:14" x14ac:dyDescent="0.25">
      <c r="A4640" s="170" t="s">
        <v>7549</v>
      </c>
      <c r="B4640" s="170" t="s">
        <v>20430</v>
      </c>
      <c r="C4640" s="170" t="s">
        <v>205</v>
      </c>
      <c r="D4640" s="170" t="s">
        <v>1947</v>
      </c>
      <c r="E4640" s="171" t="s">
        <v>22073</v>
      </c>
      <c r="F4640" s="171" t="s">
        <v>36976</v>
      </c>
      <c r="G4640" s="82"/>
      <c r="H4640" s="96">
        <f t="shared" si="288"/>
        <v>43.99</v>
      </c>
      <c r="I4640" s="96">
        <f t="shared" si="288"/>
        <v>45.74</v>
      </c>
      <c r="J4640" s="91" t="str">
        <f t="shared" si="289"/>
        <v>Sinapi 96864</v>
      </c>
      <c r="K4640" s="91" t="str">
        <f t="shared" si="290"/>
        <v>UN</v>
      </c>
      <c r="L4640" s="166" t="str">
        <f t="shared" si="291"/>
        <v>02/2023</v>
      </c>
      <c r="M4640" s="82"/>
      <c r="N4640" s="82"/>
    </row>
    <row r="4641" spans="1:14" x14ac:dyDescent="0.25">
      <c r="A4641" s="170" t="s">
        <v>7550</v>
      </c>
      <c r="B4641" s="170" t="s">
        <v>20431</v>
      </c>
      <c r="C4641" s="170" t="s">
        <v>205</v>
      </c>
      <c r="D4641" s="170" t="s">
        <v>1947</v>
      </c>
      <c r="E4641" s="171" t="s">
        <v>28719</v>
      </c>
      <c r="F4641" s="171" t="s">
        <v>19937</v>
      </c>
      <c r="G4641" s="82"/>
      <c r="H4641" s="96">
        <f t="shared" si="288"/>
        <v>38.21</v>
      </c>
      <c r="I4641" s="96">
        <f t="shared" si="288"/>
        <v>40.21</v>
      </c>
      <c r="J4641" s="91" t="str">
        <f t="shared" si="289"/>
        <v>Sinapi 96865</v>
      </c>
      <c r="K4641" s="91" t="str">
        <f t="shared" si="290"/>
        <v>UN</v>
      </c>
      <c r="L4641" s="166" t="str">
        <f t="shared" si="291"/>
        <v>02/2023</v>
      </c>
      <c r="M4641" s="82"/>
      <c r="N4641" s="82"/>
    </row>
    <row r="4642" spans="1:14" x14ac:dyDescent="0.25">
      <c r="A4642" s="170" t="s">
        <v>7551</v>
      </c>
      <c r="B4642" s="170" t="s">
        <v>20432</v>
      </c>
      <c r="C4642" s="170" t="s">
        <v>205</v>
      </c>
      <c r="D4642" s="170" t="s">
        <v>1947</v>
      </c>
      <c r="E4642" s="171" t="s">
        <v>21093</v>
      </c>
      <c r="F4642" s="171" t="s">
        <v>36977</v>
      </c>
      <c r="G4642" s="82"/>
      <c r="H4642" s="96">
        <f t="shared" si="288"/>
        <v>57.36</v>
      </c>
      <c r="I4642" s="96">
        <f t="shared" si="288"/>
        <v>59.53</v>
      </c>
      <c r="J4642" s="91" t="str">
        <f t="shared" si="289"/>
        <v>Sinapi 96866</v>
      </c>
      <c r="K4642" s="91" t="str">
        <f t="shared" si="290"/>
        <v>UN</v>
      </c>
      <c r="L4642" s="166" t="str">
        <f t="shared" si="291"/>
        <v>02/2023</v>
      </c>
      <c r="M4642" s="82"/>
      <c r="N4642" s="82"/>
    </row>
    <row r="4643" spans="1:14" x14ac:dyDescent="0.25">
      <c r="A4643" s="170" t="s">
        <v>7552</v>
      </c>
      <c r="B4643" s="170" t="s">
        <v>20433</v>
      </c>
      <c r="C4643" s="170" t="s">
        <v>205</v>
      </c>
      <c r="D4643" s="170" t="s">
        <v>1947</v>
      </c>
      <c r="E4643" s="171" t="s">
        <v>15583</v>
      </c>
      <c r="F4643" s="171" t="s">
        <v>36978</v>
      </c>
      <c r="G4643" s="82"/>
      <c r="H4643" s="96">
        <f t="shared" si="288"/>
        <v>16.3</v>
      </c>
      <c r="I4643" s="96">
        <f t="shared" si="288"/>
        <v>17.170000000000002</v>
      </c>
      <c r="J4643" s="91" t="str">
        <f t="shared" si="289"/>
        <v>Sinapi 96868</v>
      </c>
      <c r="K4643" s="91" t="str">
        <f t="shared" si="290"/>
        <v>UN</v>
      </c>
      <c r="L4643" s="166" t="str">
        <f t="shared" si="291"/>
        <v>02/2023</v>
      </c>
      <c r="M4643" s="82"/>
      <c r="N4643" s="82"/>
    </row>
    <row r="4644" spans="1:14" x14ac:dyDescent="0.25">
      <c r="A4644" s="170" t="s">
        <v>7553</v>
      </c>
      <c r="B4644" s="170" t="s">
        <v>20434</v>
      </c>
      <c r="C4644" s="170" t="s">
        <v>205</v>
      </c>
      <c r="D4644" s="170" t="s">
        <v>1947</v>
      </c>
      <c r="E4644" s="171" t="s">
        <v>15654</v>
      </c>
      <c r="F4644" s="171" t="s">
        <v>36924</v>
      </c>
      <c r="G4644" s="82"/>
      <c r="H4644" s="96">
        <f t="shared" si="288"/>
        <v>25.33</v>
      </c>
      <c r="I4644" s="96">
        <f t="shared" si="288"/>
        <v>26.36</v>
      </c>
      <c r="J4644" s="91" t="str">
        <f t="shared" si="289"/>
        <v>Sinapi 96869</v>
      </c>
      <c r="K4644" s="91" t="str">
        <f t="shared" si="290"/>
        <v>UN</v>
      </c>
      <c r="L4644" s="166" t="str">
        <f t="shared" si="291"/>
        <v>02/2023</v>
      </c>
      <c r="M4644" s="82"/>
      <c r="N4644" s="82"/>
    </row>
    <row r="4645" spans="1:14" x14ac:dyDescent="0.25">
      <c r="A4645" s="170" t="s">
        <v>7554</v>
      </c>
      <c r="B4645" s="170" t="s">
        <v>20435</v>
      </c>
      <c r="C4645" s="170" t="s">
        <v>205</v>
      </c>
      <c r="D4645" s="170" t="s">
        <v>1947</v>
      </c>
      <c r="E4645" s="171" t="s">
        <v>21852</v>
      </c>
      <c r="F4645" s="171" t="s">
        <v>28221</v>
      </c>
      <c r="G4645" s="82"/>
      <c r="H4645" s="96">
        <f t="shared" si="288"/>
        <v>38.4</v>
      </c>
      <c r="I4645" s="96">
        <f t="shared" si="288"/>
        <v>39.630000000000003</v>
      </c>
      <c r="J4645" s="91" t="str">
        <f t="shared" si="289"/>
        <v>Sinapi 96870</v>
      </c>
      <c r="K4645" s="91" t="str">
        <f t="shared" si="290"/>
        <v>UN</v>
      </c>
      <c r="L4645" s="166" t="str">
        <f t="shared" si="291"/>
        <v>02/2023</v>
      </c>
      <c r="M4645" s="82"/>
      <c r="N4645" s="82"/>
    </row>
    <row r="4646" spans="1:14" x14ac:dyDescent="0.25">
      <c r="A4646" s="170" t="s">
        <v>7555</v>
      </c>
      <c r="B4646" s="170" t="s">
        <v>20436</v>
      </c>
      <c r="C4646" s="170" t="s">
        <v>205</v>
      </c>
      <c r="D4646" s="170" t="s">
        <v>1947</v>
      </c>
      <c r="E4646" s="171" t="s">
        <v>21060</v>
      </c>
      <c r="F4646" s="171" t="s">
        <v>36979</v>
      </c>
      <c r="G4646" s="82"/>
      <c r="H4646" s="96">
        <f t="shared" si="288"/>
        <v>43.76</v>
      </c>
      <c r="I4646" s="96">
        <f t="shared" si="288"/>
        <v>45.28</v>
      </c>
      <c r="J4646" s="91" t="str">
        <f t="shared" si="289"/>
        <v>Sinapi 96871</v>
      </c>
      <c r="K4646" s="91" t="str">
        <f t="shared" si="290"/>
        <v>UN</v>
      </c>
      <c r="L4646" s="166" t="str">
        <f t="shared" si="291"/>
        <v>02/2023</v>
      </c>
      <c r="M4646" s="82"/>
      <c r="N4646" s="82"/>
    </row>
    <row r="4647" spans="1:14" x14ac:dyDescent="0.25">
      <c r="A4647" s="170" t="s">
        <v>7556</v>
      </c>
      <c r="B4647" s="170" t="s">
        <v>20437</v>
      </c>
      <c r="C4647" s="170" t="s">
        <v>205</v>
      </c>
      <c r="D4647" s="170" t="s">
        <v>1947</v>
      </c>
      <c r="E4647" s="171" t="s">
        <v>33062</v>
      </c>
      <c r="F4647" s="171" t="s">
        <v>33964</v>
      </c>
      <c r="G4647" s="82"/>
      <c r="H4647" s="96">
        <f t="shared" si="288"/>
        <v>40.22</v>
      </c>
      <c r="I4647" s="96">
        <f t="shared" si="288"/>
        <v>41.95</v>
      </c>
      <c r="J4647" s="91" t="str">
        <f t="shared" si="289"/>
        <v>Sinapi 96872</v>
      </c>
      <c r="K4647" s="91" t="str">
        <f t="shared" si="290"/>
        <v>UN</v>
      </c>
      <c r="L4647" s="166" t="str">
        <f t="shared" si="291"/>
        <v>02/2023</v>
      </c>
      <c r="M4647" s="82"/>
      <c r="N4647" s="82"/>
    </row>
    <row r="4648" spans="1:14" x14ac:dyDescent="0.25">
      <c r="A4648" s="170" t="s">
        <v>7557</v>
      </c>
      <c r="B4648" s="170" t="s">
        <v>20438</v>
      </c>
      <c r="C4648" s="170" t="s">
        <v>205</v>
      </c>
      <c r="D4648" s="170" t="s">
        <v>1947</v>
      </c>
      <c r="E4648" s="171" t="s">
        <v>33803</v>
      </c>
      <c r="F4648" s="171" t="s">
        <v>23080</v>
      </c>
      <c r="G4648" s="82"/>
      <c r="H4648" s="96">
        <f t="shared" si="288"/>
        <v>53.99</v>
      </c>
      <c r="I4648" s="96">
        <f t="shared" si="288"/>
        <v>55.93</v>
      </c>
      <c r="J4648" s="91" t="str">
        <f t="shared" si="289"/>
        <v>Sinapi 96873</v>
      </c>
      <c r="K4648" s="91" t="str">
        <f t="shared" si="290"/>
        <v>UN</v>
      </c>
      <c r="L4648" s="166" t="str">
        <f t="shared" si="291"/>
        <v>02/2023</v>
      </c>
      <c r="M4648" s="82"/>
      <c r="N4648" s="82"/>
    </row>
    <row r="4649" spans="1:14" x14ac:dyDescent="0.25">
      <c r="A4649" s="170" t="s">
        <v>7558</v>
      </c>
      <c r="B4649" s="170" t="s">
        <v>20439</v>
      </c>
      <c r="C4649" s="170" t="s">
        <v>205</v>
      </c>
      <c r="D4649" s="170" t="s">
        <v>1947</v>
      </c>
      <c r="E4649" s="171" t="s">
        <v>29049</v>
      </c>
      <c r="F4649" s="171" t="s">
        <v>21848</v>
      </c>
      <c r="G4649" s="82"/>
      <c r="H4649" s="96">
        <f t="shared" si="288"/>
        <v>48.98</v>
      </c>
      <c r="I4649" s="96">
        <f t="shared" si="288"/>
        <v>51.03</v>
      </c>
      <c r="J4649" s="91" t="str">
        <f t="shared" si="289"/>
        <v>Sinapi 96874</v>
      </c>
      <c r="K4649" s="91" t="str">
        <f t="shared" si="290"/>
        <v>UN</v>
      </c>
      <c r="L4649" s="166" t="str">
        <f t="shared" si="291"/>
        <v>02/2023</v>
      </c>
      <c r="M4649" s="82"/>
      <c r="N4649" s="82"/>
    </row>
    <row r="4650" spans="1:14" x14ac:dyDescent="0.25">
      <c r="A4650" s="170" t="s">
        <v>7559</v>
      </c>
      <c r="B4650" s="170" t="s">
        <v>20440</v>
      </c>
      <c r="C4650" s="170" t="s">
        <v>205</v>
      </c>
      <c r="D4650" s="170" t="s">
        <v>1947</v>
      </c>
      <c r="E4650" s="171" t="s">
        <v>22759</v>
      </c>
      <c r="F4650" s="171" t="s">
        <v>28535</v>
      </c>
      <c r="G4650" s="82"/>
      <c r="H4650" s="96">
        <f t="shared" si="288"/>
        <v>64.75</v>
      </c>
      <c r="I4650" s="96">
        <f t="shared" si="288"/>
        <v>67.010000000000005</v>
      </c>
      <c r="J4650" s="91" t="str">
        <f t="shared" si="289"/>
        <v>Sinapi 96875</v>
      </c>
      <c r="K4650" s="91" t="str">
        <f t="shared" si="290"/>
        <v>UN</v>
      </c>
      <c r="L4650" s="166" t="str">
        <f t="shared" si="291"/>
        <v>02/2023</v>
      </c>
      <c r="M4650" s="82"/>
      <c r="N4650" s="82"/>
    </row>
    <row r="4651" spans="1:14" x14ac:dyDescent="0.25">
      <c r="A4651" s="170" t="s">
        <v>7560</v>
      </c>
      <c r="B4651" s="170" t="s">
        <v>20441</v>
      </c>
      <c r="C4651" s="170" t="s">
        <v>205</v>
      </c>
      <c r="D4651" s="170" t="s">
        <v>1947</v>
      </c>
      <c r="E4651" s="171" t="s">
        <v>33804</v>
      </c>
      <c r="F4651" s="171" t="s">
        <v>36980</v>
      </c>
      <c r="G4651" s="82"/>
      <c r="H4651" s="96">
        <f t="shared" si="288"/>
        <v>155.19999999999999</v>
      </c>
      <c r="I4651" s="96">
        <f t="shared" si="288"/>
        <v>157.27000000000001</v>
      </c>
      <c r="J4651" s="91" t="str">
        <f t="shared" si="289"/>
        <v>Sinapi 96876</v>
      </c>
      <c r="K4651" s="91" t="str">
        <f t="shared" si="290"/>
        <v>UN</v>
      </c>
      <c r="L4651" s="166" t="str">
        <f t="shared" si="291"/>
        <v>02/2023</v>
      </c>
      <c r="M4651" s="82"/>
      <c r="N4651" s="82"/>
    </row>
    <row r="4652" spans="1:14" x14ac:dyDescent="0.25">
      <c r="A4652" s="170" t="s">
        <v>7561</v>
      </c>
      <c r="B4652" s="170" t="s">
        <v>20442</v>
      </c>
      <c r="C4652" s="170" t="s">
        <v>205</v>
      </c>
      <c r="D4652" s="170" t="s">
        <v>1947</v>
      </c>
      <c r="E4652" s="171" t="s">
        <v>33805</v>
      </c>
      <c r="F4652" s="171" t="s">
        <v>36981</v>
      </c>
      <c r="G4652" s="82"/>
      <c r="H4652" s="96">
        <f t="shared" si="288"/>
        <v>174.17</v>
      </c>
      <c r="I4652" s="96">
        <f t="shared" si="288"/>
        <v>176.41</v>
      </c>
      <c r="J4652" s="91" t="str">
        <f t="shared" si="289"/>
        <v>Sinapi 96878</v>
      </c>
      <c r="K4652" s="91" t="str">
        <f t="shared" si="290"/>
        <v>UN</v>
      </c>
      <c r="L4652" s="166" t="str">
        <f t="shared" si="291"/>
        <v>02/2023</v>
      </c>
      <c r="M4652" s="82"/>
      <c r="N4652" s="82"/>
    </row>
    <row r="4653" spans="1:14" x14ac:dyDescent="0.25">
      <c r="A4653" s="170" t="s">
        <v>7562</v>
      </c>
      <c r="B4653" s="170" t="s">
        <v>20443</v>
      </c>
      <c r="C4653" s="170" t="s">
        <v>205</v>
      </c>
      <c r="D4653" s="170" t="s">
        <v>1947</v>
      </c>
      <c r="E4653" s="171" t="s">
        <v>33806</v>
      </c>
      <c r="F4653" s="171" t="s">
        <v>29326</v>
      </c>
      <c r="G4653" s="82"/>
      <c r="H4653" s="96">
        <f t="shared" si="288"/>
        <v>168.69</v>
      </c>
      <c r="I4653" s="96">
        <f t="shared" si="288"/>
        <v>170.97</v>
      </c>
      <c r="J4653" s="91" t="str">
        <f t="shared" si="289"/>
        <v>Sinapi 96879</v>
      </c>
      <c r="K4653" s="91" t="str">
        <f t="shared" si="290"/>
        <v>UN</v>
      </c>
      <c r="L4653" s="166" t="str">
        <f t="shared" si="291"/>
        <v>02/2023</v>
      </c>
      <c r="M4653" s="82"/>
      <c r="N4653" s="82"/>
    </row>
    <row r="4654" spans="1:14" x14ac:dyDescent="0.25">
      <c r="A4654" s="170" t="s">
        <v>7563</v>
      </c>
      <c r="B4654" s="170" t="s">
        <v>20444</v>
      </c>
      <c r="C4654" s="170" t="s">
        <v>205</v>
      </c>
      <c r="D4654" s="170" t="s">
        <v>1947</v>
      </c>
      <c r="E4654" s="171" t="s">
        <v>33807</v>
      </c>
      <c r="F4654" s="171" t="s">
        <v>36706</v>
      </c>
      <c r="G4654" s="82"/>
      <c r="H4654" s="96">
        <f t="shared" si="288"/>
        <v>200</v>
      </c>
      <c r="I4654" s="96">
        <f t="shared" si="288"/>
        <v>202.55</v>
      </c>
      <c r="J4654" s="91" t="str">
        <f t="shared" si="289"/>
        <v>Sinapi 96881</v>
      </c>
      <c r="K4654" s="91" t="str">
        <f t="shared" si="290"/>
        <v>UN</v>
      </c>
      <c r="L4654" s="166" t="str">
        <f t="shared" si="291"/>
        <v>02/2023</v>
      </c>
      <c r="M4654" s="82"/>
      <c r="N4654" s="82"/>
    </row>
    <row r="4655" spans="1:14" x14ac:dyDescent="0.25">
      <c r="A4655" s="170" t="s">
        <v>7564</v>
      </c>
      <c r="B4655" s="170" t="s">
        <v>7565</v>
      </c>
      <c r="C4655" s="170" t="s">
        <v>205</v>
      </c>
      <c r="D4655" s="170" t="s">
        <v>2067</v>
      </c>
      <c r="E4655" s="171" t="s">
        <v>30178</v>
      </c>
      <c r="F4655" s="171" t="s">
        <v>22943</v>
      </c>
      <c r="G4655" s="82"/>
      <c r="H4655" s="96">
        <f t="shared" si="288"/>
        <v>29.36</v>
      </c>
      <c r="I4655" s="96">
        <f t="shared" si="288"/>
        <v>30.59</v>
      </c>
      <c r="J4655" s="91" t="str">
        <f t="shared" si="289"/>
        <v>Sinapi 97425</v>
      </c>
      <c r="K4655" s="91" t="str">
        <f t="shared" si="290"/>
        <v>UN</v>
      </c>
      <c r="L4655" s="166" t="str">
        <f t="shared" si="291"/>
        <v>06/2016</v>
      </c>
      <c r="M4655" s="82"/>
      <c r="N4655" s="82"/>
    </row>
    <row r="4656" spans="1:14" x14ac:dyDescent="0.25">
      <c r="A4656" s="170" t="s">
        <v>7566</v>
      </c>
      <c r="B4656" s="170" t="s">
        <v>7567</v>
      </c>
      <c r="C4656" s="170" t="s">
        <v>205</v>
      </c>
      <c r="D4656" s="170" t="s">
        <v>2067</v>
      </c>
      <c r="E4656" s="171" t="s">
        <v>32033</v>
      </c>
      <c r="F4656" s="171" t="s">
        <v>29800</v>
      </c>
      <c r="G4656" s="82"/>
      <c r="H4656" s="96">
        <f t="shared" si="288"/>
        <v>36.049999999999997</v>
      </c>
      <c r="I4656" s="96">
        <f t="shared" si="288"/>
        <v>37.28</v>
      </c>
      <c r="J4656" s="91" t="str">
        <f t="shared" si="289"/>
        <v>Sinapi 97426</v>
      </c>
      <c r="K4656" s="91" t="str">
        <f t="shared" si="290"/>
        <v>UN</v>
      </c>
      <c r="L4656" s="166" t="str">
        <f t="shared" si="291"/>
        <v>06/2016</v>
      </c>
      <c r="M4656" s="82"/>
      <c r="N4656" s="82"/>
    </row>
    <row r="4657" spans="1:14" x14ac:dyDescent="0.25">
      <c r="A4657" s="170" t="s">
        <v>7568</v>
      </c>
      <c r="B4657" s="170" t="s">
        <v>7569</v>
      </c>
      <c r="C4657" s="170" t="s">
        <v>205</v>
      </c>
      <c r="D4657" s="170" t="s">
        <v>2067</v>
      </c>
      <c r="E4657" s="171" t="s">
        <v>28861</v>
      </c>
      <c r="F4657" s="171" t="s">
        <v>22858</v>
      </c>
      <c r="G4657" s="82"/>
      <c r="H4657" s="96">
        <f t="shared" si="288"/>
        <v>41.11</v>
      </c>
      <c r="I4657" s="96">
        <f t="shared" si="288"/>
        <v>42.34</v>
      </c>
      <c r="J4657" s="91" t="str">
        <f t="shared" si="289"/>
        <v>Sinapi 97427</v>
      </c>
      <c r="K4657" s="91" t="str">
        <f t="shared" si="290"/>
        <v>UN</v>
      </c>
      <c r="L4657" s="166" t="str">
        <f t="shared" si="291"/>
        <v>06/2016</v>
      </c>
      <c r="M4657" s="82"/>
      <c r="N4657" s="82"/>
    </row>
    <row r="4658" spans="1:14" x14ac:dyDescent="0.25">
      <c r="A4658" s="170" t="s">
        <v>7570</v>
      </c>
      <c r="B4658" s="170" t="s">
        <v>7571</v>
      </c>
      <c r="C4658" s="170" t="s">
        <v>205</v>
      </c>
      <c r="D4658" s="170" t="s">
        <v>2067</v>
      </c>
      <c r="E4658" s="171" t="s">
        <v>29191</v>
      </c>
      <c r="F4658" s="171" t="s">
        <v>32008</v>
      </c>
      <c r="G4658" s="82"/>
      <c r="H4658" s="96">
        <f t="shared" si="288"/>
        <v>52.84</v>
      </c>
      <c r="I4658" s="96">
        <f t="shared" si="288"/>
        <v>54.07</v>
      </c>
      <c r="J4658" s="91" t="str">
        <f t="shared" si="289"/>
        <v>Sinapi 97428</v>
      </c>
      <c r="K4658" s="91" t="str">
        <f t="shared" si="290"/>
        <v>UN</v>
      </c>
      <c r="L4658" s="166" t="str">
        <f t="shared" si="291"/>
        <v>06/2016</v>
      </c>
      <c r="M4658" s="82"/>
      <c r="N4658" s="82"/>
    </row>
    <row r="4659" spans="1:14" x14ac:dyDescent="0.25">
      <c r="A4659" s="170" t="s">
        <v>7572</v>
      </c>
      <c r="B4659" s="170" t="s">
        <v>7573</v>
      </c>
      <c r="C4659" s="170" t="s">
        <v>205</v>
      </c>
      <c r="D4659" s="170" t="s">
        <v>2067</v>
      </c>
      <c r="E4659" s="171" t="s">
        <v>21127</v>
      </c>
      <c r="F4659" s="171" t="s">
        <v>36982</v>
      </c>
      <c r="G4659" s="82"/>
      <c r="H4659" s="96">
        <f t="shared" si="288"/>
        <v>63.65</v>
      </c>
      <c r="I4659" s="96">
        <f t="shared" si="288"/>
        <v>64.88</v>
      </c>
      <c r="J4659" s="91" t="str">
        <f t="shared" si="289"/>
        <v>Sinapi 97429</v>
      </c>
      <c r="K4659" s="91" t="str">
        <f t="shared" si="290"/>
        <v>UN</v>
      </c>
      <c r="L4659" s="166" t="str">
        <f t="shared" si="291"/>
        <v>06/2016</v>
      </c>
      <c r="M4659" s="82"/>
      <c r="N4659" s="82"/>
    </row>
    <row r="4660" spans="1:14" x14ac:dyDescent="0.25">
      <c r="A4660" s="170" t="s">
        <v>7574</v>
      </c>
      <c r="B4660" s="170" t="s">
        <v>11982</v>
      </c>
      <c r="C4660" s="170" t="s">
        <v>205</v>
      </c>
      <c r="D4660" s="170" t="s">
        <v>1947</v>
      </c>
      <c r="E4660" s="171" t="s">
        <v>21602</v>
      </c>
      <c r="F4660" s="171" t="s">
        <v>28840</v>
      </c>
      <c r="G4660" s="82"/>
      <c r="H4660" s="96">
        <f t="shared" si="288"/>
        <v>38.64</v>
      </c>
      <c r="I4660" s="96">
        <f t="shared" si="288"/>
        <v>40.33</v>
      </c>
      <c r="J4660" s="91" t="str">
        <f t="shared" si="289"/>
        <v>Sinapi 97430</v>
      </c>
      <c r="K4660" s="91" t="str">
        <f t="shared" si="290"/>
        <v>UN</v>
      </c>
      <c r="L4660" s="166" t="str">
        <f t="shared" si="291"/>
        <v>10/2020</v>
      </c>
      <c r="M4660" s="82"/>
      <c r="N4660" s="82"/>
    </row>
    <row r="4661" spans="1:14" x14ac:dyDescent="0.25">
      <c r="A4661" s="170" t="s">
        <v>7575</v>
      </c>
      <c r="B4661" s="170" t="s">
        <v>11983</v>
      </c>
      <c r="C4661" s="170" t="s">
        <v>205</v>
      </c>
      <c r="D4661" s="170" t="s">
        <v>1947</v>
      </c>
      <c r="E4661" s="171" t="s">
        <v>33808</v>
      </c>
      <c r="F4661" s="171" t="s">
        <v>23109</v>
      </c>
      <c r="G4661" s="82"/>
      <c r="H4661" s="96">
        <f t="shared" si="288"/>
        <v>42.99</v>
      </c>
      <c r="I4661" s="96">
        <f t="shared" si="288"/>
        <v>44.94</v>
      </c>
      <c r="J4661" s="91" t="str">
        <f t="shared" si="289"/>
        <v>Sinapi 97431</v>
      </c>
      <c r="K4661" s="91" t="str">
        <f t="shared" si="290"/>
        <v>UN</v>
      </c>
      <c r="L4661" s="166" t="str">
        <f t="shared" si="291"/>
        <v>10/2020</v>
      </c>
      <c r="M4661" s="82"/>
      <c r="N4661" s="82"/>
    </row>
    <row r="4662" spans="1:14" x14ac:dyDescent="0.25">
      <c r="A4662" s="170" t="s">
        <v>7576</v>
      </c>
      <c r="B4662" s="170" t="s">
        <v>11984</v>
      </c>
      <c r="C4662" s="170" t="s">
        <v>205</v>
      </c>
      <c r="D4662" s="170" t="s">
        <v>1947</v>
      </c>
      <c r="E4662" s="171" t="s">
        <v>23243</v>
      </c>
      <c r="F4662" s="171" t="s">
        <v>28285</v>
      </c>
      <c r="G4662" s="82"/>
      <c r="H4662" s="96">
        <f t="shared" si="288"/>
        <v>48.51</v>
      </c>
      <c r="I4662" s="96">
        <f t="shared" si="288"/>
        <v>50.7</v>
      </c>
      <c r="J4662" s="91" t="str">
        <f t="shared" si="289"/>
        <v>Sinapi 97432</v>
      </c>
      <c r="K4662" s="91" t="str">
        <f t="shared" si="290"/>
        <v>UN</v>
      </c>
      <c r="L4662" s="166" t="str">
        <f t="shared" si="291"/>
        <v>10/2020</v>
      </c>
      <c r="M4662" s="82"/>
      <c r="N4662" s="82"/>
    </row>
    <row r="4663" spans="1:14" x14ac:dyDescent="0.25">
      <c r="A4663" s="170" t="s">
        <v>7577</v>
      </c>
      <c r="B4663" s="170" t="s">
        <v>11985</v>
      </c>
      <c r="C4663" s="170" t="s">
        <v>205</v>
      </c>
      <c r="D4663" s="170" t="s">
        <v>1947</v>
      </c>
      <c r="E4663" s="171" t="s">
        <v>33809</v>
      </c>
      <c r="F4663" s="171" t="s">
        <v>28447</v>
      </c>
      <c r="G4663" s="82"/>
      <c r="H4663" s="96">
        <f t="shared" si="288"/>
        <v>90.69</v>
      </c>
      <c r="I4663" s="96">
        <f t="shared" si="288"/>
        <v>93.22</v>
      </c>
      <c r="J4663" s="91" t="str">
        <f t="shared" si="289"/>
        <v>Sinapi 97433</v>
      </c>
      <c r="K4663" s="91" t="str">
        <f t="shared" si="290"/>
        <v>UN</v>
      </c>
      <c r="L4663" s="166" t="str">
        <f t="shared" si="291"/>
        <v>10/2020</v>
      </c>
      <c r="M4663" s="82"/>
      <c r="N4663" s="82"/>
    </row>
    <row r="4664" spans="1:14" x14ac:dyDescent="0.25">
      <c r="A4664" s="170" t="s">
        <v>7578</v>
      </c>
      <c r="B4664" s="170" t="s">
        <v>11986</v>
      </c>
      <c r="C4664" s="170" t="s">
        <v>205</v>
      </c>
      <c r="D4664" s="170" t="s">
        <v>1947</v>
      </c>
      <c r="E4664" s="171" t="s">
        <v>33810</v>
      </c>
      <c r="F4664" s="171" t="s">
        <v>29005</v>
      </c>
      <c r="G4664" s="82"/>
      <c r="H4664" s="96">
        <f t="shared" si="288"/>
        <v>92.48</v>
      </c>
      <c r="I4664" s="96">
        <f t="shared" si="288"/>
        <v>95.01</v>
      </c>
      <c r="J4664" s="91" t="str">
        <f t="shared" si="289"/>
        <v>Sinapi 97434</v>
      </c>
      <c r="K4664" s="91" t="str">
        <f t="shared" si="290"/>
        <v>UN</v>
      </c>
      <c r="L4664" s="166" t="str">
        <f t="shared" si="291"/>
        <v>10/2020</v>
      </c>
      <c r="M4664" s="82"/>
      <c r="N4664" s="82"/>
    </row>
    <row r="4665" spans="1:14" x14ac:dyDescent="0.25">
      <c r="A4665" s="170" t="s">
        <v>7579</v>
      </c>
      <c r="B4665" s="170" t="s">
        <v>11987</v>
      </c>
      <c r="C4665" s="170" t="s">
        <v>205</v>
      </c>
      <c r="D4665" s="170" t="s">
        <v>1947</v>
      </c>
      <c r="E4665" s="171" t="s">
        <v>33811</v>
      </c>
      <c r="F4665" s="171" t="s">
        <v>36983</v>
      </c>
      <c r="G4665" s="82"/>
      <c r="H4665" s="96">
        <f t="shared" si="288"/>
        <v>106.18</v>
      </c>
      <c r="I4665" s="96">
        <f t="shared" si="288"/>
        <v>109.09</v>
      </c>
      <c r="J4665" s="91" t="str">
        <f t="shared" si="289"/>
        <v>Sinapi 97435</v>
      </c>
      <c r="K4665" s="91" t="str">
        <f t="shared" si="290"/>
        <v>UN</v>
      </c>
      <c r="L4665" s="166" t="str">
        <f t="shared" si="291"/>
        <v>10/2020</v>
      </c>
      <c r="M4665" s="82"/>
      <c r="N4665" s="82"/>
    </row>
    <row r="4666" spans="1:14" x14ac:dyDescent="0.25">
      <c r="A4666" s="170" t="s">
        <v>7580</v>
      </c>
      <c r="B4666" s="170" t="s">
        <v>11988</v>
      </c>
      <c r="C4666" s="170" t="s">
        <v>205</v>
      </c>
      <c r="D4666" s="170" t="s">
        <v>1947</v>
      </c>
      <c r="E4666" s="171" t="s">
        <v>33812</v>
      </c>
      <c r="F4666" s="171" t="s">
        <v>36984</v>
      </c>
      <c r="G4666" s="82"/>
      <c r="H4666" s="96">
        <f t="shared" si="288"/>
        <v>109.62</v>
      </c>
      <c r="I4666" s="96">
        <f t="shared" si="288"/>
        <v>112.53</v>
      </c>
      <c r="J4666" s="91" t="str">
        <f t="shared" si="289"/>
        <v>Sinapi 97436</v>
      </c>
      <c r="K4666" s="91" t="str">
        <f t="shared" si="290"/>
        <v>UN</v>
      </c>
      <c r="L4666" s="166" t="str">
        <f t="shared" si="291"/>
        <v>10/2020</v>
      </c>
      <c r="M4666" s="82"/>
      <c r="N4666" s="82"/>
    </row>
    <row r="4667" spans="1:14" x14ac:dyDescent="0.25">
      <c r="A4667" s="170" t="s">
        <v>7581</v>
      </c>
      <c r="B4667" s="170" t="s">
        <v>11989</v>
      </c>
      <c r="C4667" s="170" t="s">
        <v>205</v>
      </c>
      <c r="D4667" s="170" t="s">
        <v>1947</v>
      </c>
      <c r="E4667" s="171" t="s">
        <v>33813</v>
      </c>
      <c r="F4667" s="171" t="s">
        <v>36985</v>
      </c>
      <c r="G4667" s="82"/>
      <c r="H4667" s="96">
        <f t="shared" si="288"/>
        <v>121.59</v>
      </c>
      <c r="I4667" s="96">
        <f t="shared" si="288"/>
        <v>124.9</v>
      </c>
      <c r="J4667" s="91" t="str">
        <f t="shared" si="289"/>
        <v>Sinapi 97437</v>
      </c>
      <c r="K4667" s="91" t="str">
        <f t="shared" si="290"/>
        <v>UN</v>
      </c>
      <c r="L4667" s="166" t="str">
        <f t="shared" si="291"/>
        <v>10/2020</v>
      </c>
      <c r="M4667" s="82"/>
      <c r="N4667" s="82"/>
    </row>
    <row r="4668" spans="1:14" x14ac:dyDescent="0.25">
      <c r="A4668" s="170" t="s">
        <v>7582</v>
      </c>
      <c r="B4668" s="170" t="s">
        <v>11990</v>
      </c>
      <c r="C4668" s="170" t="s">
        <v>205</v>
      </c>
      <c r="D4668" s="170" t="s">
        <v>1947</v>
      </c>
      <c r="E4668" s="171" t="s">
        <v>33814</v>
      </c>
      <c r="F4668" s="171" t="s">
        <v>36986</v>
      </c>
      <c r="G4668" s="82"/>
      <c r="H4668" s="96">
        <f t="shared" si="288"/>
        <v>125.27</v>
      </c>
      <c r="I4668" s="96">
        <f t="shared" si="288"/>
        <v>128.58000000000001</v>
      </c>
      <c r="J4668" s="91" t="str">
        <f t="shared" si="289"/>
        <v>Sinapi 97438</v>
      </c>
      <c r="K4668" s="91" t="str">
        <f t="shared" si="290"/>
        <v>UN</v>
      </c>
      <c r="L4668" s="166" t="str">
        <f t="shared" si="291"/>
        <v>10/2020</v>
      </c>
      <c r="M4668" s="82"/>
      <c r="N4668" s="82"/>
    </row>
    <row r="4669" spans="1:14" x14ac:dyDescent="0.25">
      <c r="A4669" s="170" t="s">
        <v>7583</v>
      </c>
      <c r="B4669" s="170" t="s">
        <v>11991</v>
      </c>
      <c r="C4669" s="170" t="s">
        <v>205</v>
      </c>
      <c r="D4669" s="170" t="s">
        <v>1947</v>
      </c>
      <c r="E4669" s="171" t="s">
        <v>22084</v>
      </c>
      <c r="F4669" s="171" t="s">
        <v>36987</v>
      </c>
      <c r="G4669" s="82"/>
      <c r="H4669" s="96">
        <f t="shared" si="288"/>
        <v>138.08000000000001</v>
      </c>
      <c r="I4669" s="96">
        <f t="shared" si="288"/>
        <v>141.46</v>
      </c>
      <c r="J4669" s="91" t="str">
        <f t="shared" si="289"/>
        <v>Sinapi 97439</v>
      </c>
      <c r="K4669" s="91" t="str">
        <f t="shared" si="290"/>
        <v>UN</v>
      </c>
      <c r="L4669" s="166" t="str">
        <f t="shared" si="291"/>
        <v>10/2020</v>
      </c>
      <c r="M4669" s="82"/>
      <c r="N4669" s="82"/>
    </row>
    <row r="4670" spans="1:14" x14ac:dyDescent="0.25">
      <c r="A4670" s="170" t="s">
        <v>7584</v>
      </c>
      <c r="B4670" s="170" t="s">
        <v>11992</v>
      </c>
      <c r="C4670" s="170" t="s">
        <v>205</v>
      </c>
      <c r="D4670" s="170" t="s">
        <v>1947</v>
      </c>
      <c r="E4670" s="171" t="s">
        <v>33815</v>
      </c>
      <c r="F4670" s="171" t="s">
        <v>36988</v>
      </c>
      <c r="G4670" s="82"/>
      <c r="H4670" s="96">
        <f t="shared" si="288"/>
        <v>165.85</v>
      </c>
      <c r="I4670" s="96">
        <f t="shared" si="288"/>
        <v>169.74</v>
      </c>
      <c r="J4670" s="91" t="str">
        <f t="shared" si="289"/>
        <v>Sinapi 97440</v>
      </c>
      <c r="K4670" s="91" t="str">
        <f t="shared" si="290"/>
        <v>UN</v>
      </c>
      <c r="L4670" s="166" t="str">
        <f t="shared" si="291"/>
        <v>10/2020</v>
      </c>
      <c r="M4670" s="82"/>
      <c r="N4670" s="82"/>
    </row>
    <row r="4671" spans="1:14" x14ac:dyDescent="0.25">
      <c r="A4671" s="170" t="s">
        <v>7585</v>
      </c>
      <c r="B4671" s="170" t="s">
        <v>11993</v>
      </c>
      <c r="C4671" s="170" t="s">
        <v>205</v>
      </c>
      <c r="D4671" s="170" t="s">
        <v>1947</v>
      </c>
      <c r="E4671" s="171" t="s">
        <v>33816</v>
      </c>
      <c r="F4671" s="171" t="s">
        <v>36989</v>
      </c>
      <c r="G4671" s="82"/>
      <c r="H4671" s="96">
        <f t="shared" si="288"/>
        <v>182.96</v>
      </c>
      <c r="I4671" s="96">
        <f t="shared" si="288"/>
        <v>187.36</v>
      </c>
      <c r="J4671" s="91" t="str">
        <f t="shared" si="289"/>
        <v>Sinapi 97442</v>
      </c>
      <c r="K4671" s="91" t="str">
        <f t="shared" si="290"/>
        <v>UN</v>
      </c>
      <c r="L4671" s="166" t="str">
        <f t="shared" si="291"/>
        <v>10/2020</v>
      </c>
      <c r="M4671" s="82"/>
      <c r="N4671" s="82"/>
    </row>
    <row r="4672" spans="1:14" x14ac:dyDescent="0.25">
      <c r="A4672" s="170" t="s">
        <v>7586</v>
      </c>
      <c r="B4672" s="170" t="s">
        <v>11994</v>
      </c>
      <c r="C4672" s="170" t="s">
        <v>205</v>
      </c>
      <c r="D4672" s="170" t="s">
        <v>1947</v>
      </c>
      <c r="E4672" s="171" t="s">
        <v>33817</v>
      </c>
      <c r="F4672" s="171" t="s">
        <v>23266</v>
      </c>
      <c r="G4672" s="82"/>
      <c r="H4672" s="96">
        <f t="shared" si="288"/>
        <v>108.07</v>
      </c>
      <c r="I4672" s="96">
        <f t="shared" si="288"/>
        <v>111.93</v>
      </c>
      <c r="J4672" s="91" t="str">
        <f t="shared" si="289"/>
        <v>Sinapi 97443</v>
      </c>
      <c r="K4672" s="91" t="str">
        <f t="shared" si="290"/>
        <v>UN</v>
      </c>
      <c r="L4672" s="166" t="str">
        <f t="shared" si="291"/>
        <v>10/2020</v>
      </c>
      <c r="M4672" s="82"/>
      <c r="N4672" s="82"/>
    </row>
    <row r="4673" spans="1:14" x14ac:dyDescent="0.25">
      <c r="A4673" s="170" t="s">
        <v>7587</v>
      </c>
      <c r="B4673" s="170" t="s">
        <v>11995</v>
      </c>
      <c r="C4673" s="170" t="s">
        <v>205</v>
      </c>
      <c r="D4673" s="170" t="s">
        <v>1947</v>
      </c>
      <c r="E4673" s="171" t="s">
        <v>33818</v>
      </c>
      <c r="F4673" s="171" t="s">
        <v>36990</v>
      </c>
      <c r="G4673" s="82"/>
      <c r="H4673" s="96">
        <f t="shared" si="288"/>
        <v>128.80000000000001</v>
      </c>
      <c r="I4673" s="96">
        <f t="shared" si="288"/>
        <v>132.66</v>
      </c>
      <c r="J4673" s="91" t="str">
        <f t="shared" si="289"/>
        <v>Sinapi 97444</v>
      </c>
      <c r="K4673" s="91" t="str">
        <f t="shared" si="290"/>
        <v>UN</v>
      </c>
      <c r="L4673" s="166" t="str">
        <f t="shared" si="291"/>
        <v>10/2020</v>
      </c>
      <c r="M4673" s="82"/>
      <c r="N4673" s="82"/>
    </row>
    <row r="4674" spans="1:14" x14ac:dyDescent="0.25">
      <c r="A4674" s="170" t="s">
        <v>7588</v>
      </c>
      <c r="B4674" s="170" t="s">
        <v>11996</v>
      </c>
      <c r="C4674" s="170" t="s">
        <v>205</v>
      </c>
      <c r="D4674" s="170" t="s">
        <v>1947</v>
      </c>
      <c r="E4674" s="171" t="s">
        <v>33819</v>
      </c>
      <c r="F4674" s="171" t="s">
        <v>36991</v>
      </c>
      <c r="G4674" s="82"/>
      <c r="H4674" s="96">
        <f t="shared" si="288"/>
        <v>228.28</v>
      </c>
      <c r="I4674" s="96">
        <f t="shared" si="288"/>
        <v>232.54</v>
      </c>
      <c r="J4674" s="91" t="str">
        <f t="shared" si="289"/>
        <v>Sinapi 97446</v>
      </c>
      <c r="K4674" s="91" t="str">
        <f t="shared" si="290"/>
        <v>UN</v>
      </c>
      <c r="L4674" s="166" t="str">
        <f t="shared" si="291"/>
        <v>10/2020</v>
      </c>
      <c r="M4674" s="82"/>
      <c r="N4674" s="82"/>
    </row>
    <row r="4675" spans="1:14" x14ac:dyDescent="0.25">
      <c r="A4675" s="170" t="s">
        <v>7589</v>
      </c>
      <c r="B4675" s="170" t="s">
        <v>11997</v>
      </c>
      <c r="C4675" s="170" t="s">
        <v>205</v>
      </c>
      <c r="D4675" s="170" t="s">
        <v>1947</v>
      </c>
      <c r="E4675" s="171" t="s">
        <v>33819</v>
      </c>
      <c r="F4675" s="171" t="s">
        <v>36991</v>
      </c>
      <c r="G4675" s="82"/>
      <c r="H4675" s="96">
        <f t="shared" si="288"/>
        <v>228.28</v>
      </c>
      <c r="I4675" s="96">
        <f t="shared" si="288"/>
        <v>232.54</v>
      </c>
      <c r="J4675" s="91" t="str">
        <f t="shared" si="289"/>
        <v>Sinapi 97447</v>
      </c>
      <c r="K4675" s="91" t="str">
        <f t="shared" si="290"/>
        <v>UN</v>
      </c>
      <c r="L4675" s="166" t="str">
        <f t="shared" si="291"/>
        <v>10/2020</v>
      </c>
      <c r="M4675" s="82"/>
      <c r="N4675" s="82"/>
    </row>
    <row r="4676" spans="1:14" x14ac:dyDescent="0.25">
      <c r="A4676" s="170" t="s">
        <v>7590</v>
      </c>
      <c r="B4676" s="170" t="s">
        <v>11998</v>
      </c>
      <c r="C4676" s="170" t="s">
        <v>205</v>
      </c>
      <c r="D4676" s="170" t="s">
        <v>1947</v>
      </c>
      <c r="E4676" s="171" t="s">
        <v>33820</v>
      </c>
      <c r="F4676" s="171" t="s">
        <v>36992</v>
      </c>
      <c r="G4676" s="82"/>
      <c r="H4676" s="96">
        <f t="shared" si="288"/>
        <v>242.74</v>
      </c>
      <c r="I4676" s="96">
        <f t="shared" si="288"/>
        <v>247.4</v>
      </c>
      <c r="J4676" s="91" t="str">
        <f t="shared" si="289"/>
        <v>Sinapi 97449</v>
      </c>
      <c r="K4676" s="91" t="str">
        <f t="shared" si="290"/>
        <v>UN</v>
      </c>
      <c r="L4676" s="166" t="str">
        <f t="shared" si="291"/>
        <v>10/2020</v>
      </c>
      <c r="M4676" s="82"/>
      <c r="N4676" s="82"/>
    </row>
    <row r="4677" spans="1:14" x14ac:dyDescent="0.25">
      <c r="A4677" s="170" t="s">
        <v>7591</v>
      </c>
      <c r="B4677" s="170" t="s">
        <v>11999</v>
      </c>
      <c r="C4677" s="170" t="s">
        <v>205</v>
      </c>
      <c r="D4677" s="170" t="s">
        <v>1947</v>
      </c>
      <c r="E4677" s="171" t="s">
        <v>33821</v>
      </c>
      <c r="F4677" s="171" t="s">
        <v>36993</v>
      </c>
      <c r="G4677" s="82"/>
      <c r="H4677" s="96">
        <f t="shared" si="288"/>
        <v>299.18</v>
      </c>
      <c r="I4677" s="96">
        <f t="shared" si="288"/>
        <v>303.83999999999997</v>
      </c>
      <c r="J4677" s="91" t="str">
        <f t="shared" si="289"/>
        <v>Sinapi 97450</v>
      </c>
      <c r="K4677" s="91" t="str">
        <f t="shared" si="290"/>
        <v>UN</v>
      </c>
      <c r="L4677" s="166" t="str">
        <f t="shared" si="291"/>
        <v>10/2020</v>
      </c>
      <c r="M4677" s="82"/>
      <c r="N4677" s="82"/>
    </row>
    <row r="4678" spans="1:14" x14ac:dyDescent="0.25">
      <c r="A4678" s="170" t="s">
        <v>7592</v>
      </c>
      <c r="B4678" s="170" t="s">
        <v>12000</v>
      </c>
      <c r="C4678" s="170" t="s">
        <v>205</v>
      </c>
      <c r="D4678" s="170" t="s">
        <v>1947</v>
      </c>
      <c r="E4678" s="171" t="s">
        <v>33822</v>
      </c>
      <c r="F4678" s="171" t="s">
        <v>36994</v>
      </c>
      <c r="G4678" s="82"/>
      <c r="H4678" s="96">
        <f t="shared" si="288"/>
        <v>179.21</v>
      </c>
      <c r="I4678" s="96">
        <f t="shared" si="288"/>
        <v>184.99</v>
      </c>
      <c r="J4678" s="91" t="str">
        <f t="shared" si="289"/>
        <v>Sinapi 97452</v>
      </c>
      <c r="K4678" s="91" t="str">
        <f t="shared" si="290"/>
        <v>UN</v>
      </c>
      <c r="L4678" s="166" t="str">
        <f t="shared" si="291"/>
        <v>10/2020</v>
      </c>
      <c r="M4678" s="82"/>
      <c r="N4678" s="82"/>
    </row>
    <row r="4679" spans="1:14" x14ac:dyDescent="0.25">
      <c r="A4679" s="170" t="s">
        <v>7593</v>
      </c>
      <c r="B4679" s="170" t="s">
        <v>12001</v>
      </c>
      <c r="C4679" s="170" t="s">
        <v>205</v>
      </c>
      <c r="D4679" s="170" t="s">
        <v>1947</v>
      </c>
      <c r="E4679" s="171" t="s">
        <v>33823</v>
      </c>
      <c r="F4679" s="171" t="s">
        <v>36995</v>
      </c>
      <c r="G4679" s="82"/>
      <c r="H4679" s="96">
        <f t="shared" si="288"/>
        <v>191.04</v>
      </c>
      <c r="I4679" s="96">
        <f t="shared" si="288"/>
        <v>196.82</v>
      </c>
      <c r="J4679" s="91" t="str">
        <f t="shared" si="289"/>
        <v>Sinapi 97453</v>
      </c>
      <c r="K4679" s="91" t="str">
        <f t="shared" si="290"/>
        <v>UN</v>
      </c>
      <c r="L4679" s="166" t="str">
        <f t="shared" si="291"/>
        <v>10/2020</v>
      </c>
      <c r="M4679" s="82"/>
      <c r="N4679" s="82"/>
    </row>
    <row r="4680" spans="1:14" x14ac:dyDescent="0.25">
      <c r="A4680" s="170" t="s">
        <v>7594</v>
      </c>
      <c r="B4680" s="170" t="s">
        <v>12002</v>
      </c>
      <c r="C4680" s="170" t="s">
        <v>205</v>
      </c>
      <c r="D4680" s="170" t="s">
        <v>1947</v>
      </c>
      <c r="E4680" s="171" t="s">
        <v>29345</v>
      </c>
      <c r="F4680" s="171" t="s">
        <v>36996</v>
      </c>
      <c r="G4680" s="82"/>
      <c r="H4680" s="96">
        <f t="shared" ref="H4680:I4743" si="292">IF(E4680="","",E4680+0)</f>
        <v>312.73</v>
      </c>
      <c r="I4680" s="96">
        <f t="shared" si="292"/>
        <v>319.12</v>
      </c>
      <c r="J4680" s="91" t="str">
        <f t="shared" ref="J4680:J4743" si="293">IF(OR(H4680="",I4680=""),"",TRIM(CONCATENATE("Sinapi ",A4680)))</f>
        <v>Sinapi 97454</v>
      </c>
      <c r="K4680" s="91" t="str">
        <f t="shared" ref="K4680:K4743" si="294">TRIM(C4680)</f>
        <v>UN</v>
      </c>
      <c r="L4680" s="166" t="str">
        <f t="shared" ref="L4680:L4743" si="295">IF(OR(RIGHT(IF(AND(K4680&lt;&gt;"H",K4680&lt;&gt;"MES"),RIGHT(B4680,7),""),2)="PS",RIGHT(IF(AND(K4680&lt;&gt;"H",K4680&lt;&gt;"MES"),RIGHT(B4680,7),""),2)="PA",RIGHT(IF(AND(K4680&lt;&gt;"H",K4680&lt;&gt;"MES"),RIGHT(B4680,7),""),2)="PE"),LEFT(IF(AND(K4680&lt;&gt;"H",K4680&lt;&gt;"MES"),RIGHT(B4680,10),""),7),IF(AND(K4680&lt;&gt;"H",K4680&lt;&gt;"MES"),RIGHT(B4680,7),""))</f>
        <v>10/2020</v>
      </c>
      <c r="M4680" s="82"/>
      <c r="N4680" s="82"/>
    </row>
    <row r="4681" spans="1:14" x14ac:dyDescent="0.25">
      <c r="A4681" s="170" t="s">
        <v>7595</v>
      </c>
      <c r="B4681" s="170" t="s">
        <v>12003</v>
      </c>
      <c r="C4681" s="170" t="s">
        <v>205</v>
      </c>
      <c r="D4681" s="170" t="s">
        <v>1947</v>
      </c>
      <c r="E4681" s="171" t="s">
        <v>33824</v>
      </c>
      <c r="F4681" s="171" t="s">
        <v>36997</v>
      </c>
      <c r="G4681" s="82"/>
      <c r="H4681" s="96">
        <f t="shared" si="292"/>
        <v>331.65</v>
      </c>
      <c r="I4681" s="96">
        <f t="shared" si="292"/>
        <v>338.04</v>
      </c>
      <c r="J4681" s="91" t="str">
        <f t="shared" si="293"/>
        <v>Sinapi 97455</v>
      </c>
      <c r="K4681" s="91" t="str">
        <f t="shared" si="294"/>
        <v>UN</v>
      </c>
      <c r="L4681" s="166" t="str">
        <f t="shared" si="295"/>
        <v>10/2020</v>
      </c>
      <c r="M4681" s="82"/>
      <c r="N4681" s="82"/>
    </row>
    <row r="4682" spans="1:14" x14ac:dyDescent="0.25">
      <c r="A4682" s="170" t="s">
        <v>7596</v>
      </c>
      <c r="B4682" s="170" t="s">
        <v>12004</v>
      </c>
      <c r="C4682" s="170" t="s">
        <v>205</v>
      </c>
      <c r="D4682" s="170" t="s">
        <v>1947</v>
      </c>
      <c r="E4682" s="171" t="s">
        <v>33825</v>
      </c>
      <c r="F4682" s="171" t="s">
        <v>36998</v>
      </c>
      <c r="G4682" s="82"/>
      <c r="H4682" s="96">
        <f t="shared" si="292"/>
        <v>725.45</v>
      </c>
      <c r="I4682" s="96">
        <f t="shared" si="292"/>
        <v>732.45</v>
      </c>
      <c r="J4682" s="91" t="str">
        <f t="shared" si="293"/>
        <v>Sinapi 97456</v>
      </c>
      <c r="K4682" s="91" t="str">
        <f t="shared" si="294"/>
        <v>UN</v>
      </c>
      <c r="L4682" s="166" t="str">
        <f t="shared" si="295"/>
        <v>10/2020</v>
      </c>
      <c r="M4682" s="82"/>
      <c r="N4682" s="82"/>
    </row>
    <row r="4683" spans="1:14" x14ac:dyDescent="0.25">
      <c r="A4683" s="170" t="s">
        <v>7597</v>
      </c>
      <c r="B4683" s="170" t="s">
        <v>12005</v>
      </c>
      <c r="C4683" s="170" t="s">
        <v>205</v>
      </c>
      <c r="D4683" s="170" t="s">
        <v>1947</v>
      </c>
      <c r="E4683" s="171" t="s">
        <v>33826</v>
      </c>
      <c r="F4683" s="171" t="s">
        <v>36999</v>
      </c>
      <c r="G4683" s="82"/>
      <c r="H4683" s="96">
        <f t="shared" si="292"/>
        <v>640.55999999999995</v>
      </c>
      <c r="I4683" s="96">
        <f t="shared" si="292"/>
        <v>647.55999999999995</v>
      </c>
      <c r="J4683" s="91" t="str">
        <f t="shared" si="293"/>
        <v>Sinapi 97457</v>
      </c>
      <c r="K4683" s="91" t="str">
        <f t="shared" si="294"/>
        <v>UN</v>
      </c>
      <c r="L4683" s="166" t="str">
        <f t="shared" si="295"/>
        <v>10/2020</v>
      </c>
      <c r="M4683" s="82"/>
      <c r="N4683" s="82"/>
    </row>
    <row r="4684" spans="1:14" x14ac:dyDescent="0.25">
      <c r="A4684" s="170" t="s">
        <v>7598</v>
      </c>
      <c r="B4684" s="170" t="s">
        <v>12006</v>
      </c>
      <c r="C4684" s="170" t="s">
        <v>205</v>
      </c>
      <c r="D4684" s="170" t="s">
        <v>1947</v>
      </c>
      <c r="E4684" s="171" t="s">
        <v>33827</v>
      </c>
      <c r="F4684" s="171" t="s">
        <v>37000</v>
      </c>
      <c r="G4684" s="82"/>
      <c r="H4684" s="96">
        <f t="shared" si="292"/>
        <v>286.44</v>
      </c>
      <c r="I4684" s="96">
        <f t="shared" si="292"/>
        <v>294.14</v>
      </c>
      <c r="J4684" s="91" t="str">
        <f t="shared" si="293"/>
        <v>Sinapi 97458</v>
      </c>
      <c r="K4684" s="91" t="str">
        <f t="shared" si="294"/>
        <v>UN</v>
      </c>
      <c r="L4684" s="166" t="str">
        <f t="shared" si="295"/>
        <v>10/2020</v>
      </c>
      <c r="M4684" s="82"/>
      <c r="N4684" s="82"/>
    </row>
    <row r="4685" spans="1:14" x14ac:dyDescent="0.25">
      <c r="A4685" s="170" t="s">
        <v>7599</v>
      </c>
      <c r="B4685" s="170" t="s">
        <v>12007</v>
      </c>
      <c r="C4685" s="170" t="s">
        <v>205</v>
      </c>
      <c r="D4685" s="170" t="s">
        <v>1947</v>
      </c>
      <c r="E4685" s="171" t="s">
        <v>28660</v>
      </c>
      <c r="F4685" s="171" t="s">
        <v>37001</v>
      </c>
      <c r="G4685" s="82"/>
      <c r="H4685" s="96">
        <f t="shared" si="292"/>
        <v>501.9</v>
      </c>
      <c r="I4685" s="96">
        <f t="shared" si="292"/>
        <v>510.41</v>
      </c>
      <c r="J4685" s="91" t="str">
        <f t="shared" si="293"/>
        <v>Sinapi 97459</v>
      </c>
      <c r="K4685" s="91" t="str">
        <f t="shared" si="294"/>
        <v>UN</v>
      </c>
      <c r="L4685" s="166" t="str">
        <f t="shared" si="295"/>
        <v>10/2020</v>
      </c>
      <c r="M4685" s="82"/>
      <c r="N4685" s="82"/>
    </row>
    <row r="4686" spans="1:14" x14ac:dyDescent="0.25">
      <c r="A4686" s="170" t="s">
        <v>7600</v>
      </c>
      <c r="B4686" s="170" t="s">
        <v>12008</v>
      </c>
      <c r="C4686" s="170" t="s">
        <v>205</v>
      </c>
      <c r="D4686" s="170" t="s">
        <v>1947</v>
      </c>
      <c r="E4686" s="171" t="s">
        <v>33828</v>
      </c>
      <c r="F4686" s="171" t="s">
        <v>37002</v>
      </c>
      <c r="G4686" s="82"/>
      <c r="H4686" s="96">
        <f t="shared" si="292"/>
        <v>779.93</v>
      </c>
      <c r="I4686" s="96">
        <f t="shared" si="292"/>
        <v>789.27</v>
      </c>
      <c r="J4686" s="91" t="str">
        <f t="shared" si="293"/>
        <v>Sinapi 97460</v>
      </c>
      <c r="K4686" s="91" t="str">
        <f t="shared" si="294"/>
        <v>UN</v>
      </c>
      <c r="L4686" s="166" t="str">
        <f t="shared" si="295"/>
        <v>10/2020</v>
      </c>
      <c r="M4686" s="82"/>
      <c r="N4686" s="82"/>
    </row>
    <row r="4687" spans="1:14" x14ac:dyDescent="0.25">
      <c r="A4687" s="170" t="s">
        <v>7601</v>
      </c>
      <c r="B4687" s="170" t="s">
        <v>12009</v>
      </c>
      <c r="C4687" s="170" t="s">
        <v>205</v>
      </c>
      <c r="D4687" s="170" t="s">
        <v>1947</v>
      </c>
      <c r="E4687" s="171" t="s">
        <v>28770</v>
      </c>
      <c r="F4687" s="171" t="s">
        <v>33484</v>
      </c>
      <c r="G4687" s="82"/>
      <c r="H4687" s="96">
        <f t="shared" si="292"/>
        <v>34.24</v>
      </c>
      <c r="I4687" s="96">
        <f t="shared" si="292"/>
        <v>35.369999999999997</v>
      </c>
      <c r="J4687" s="91" t="str">
        <f t="shared" si="293"/>
        <v>Sinapi 97461</v>
      </c>
      <c r="K4687" s="91" t="str">
        <f t="shared" si="294"/>
        <v>UN</v>
      </c>
      <c r="L4687" s="166" t="str">
        <f t="shared" si="295"/>
        <v>10/2020</v>
      </c>
      <c r="M4687" s="82"/>
      <c r="N4687" s="82"/>
    </row>
    <row r="4688" spans="1:14" x14ac:dyDescent="0.25">
      <c r="A4688" s="170" t="s">
        <v>7602</v>
      </c>
      <c r="B4688" s="170" t="s">
        <v>12010</v>
      </c>
      <c r="C4688" s="170" t="s">
        <v>205</v>
      </c>
      <c r="D4688" s="170" t="s">
        <v>1947</v>
      </c>
      <c r="E4688" s="171" t="s">
        <v>32011</v>
      </c>
      <c r="F4688" s="171" t="s">
        <v>37003</v>
      </c>
      <c r="G4688" s="82"/>
      <c r="H4688" s="96">
        <f t="shared" si="292"/>
        <v>28.16</v>
      </c>
      <c r="I4688" s="96">
        <f t="shared" si="292"/>
        <v>29.29</v>
      </c>
      <c r="J4688" s="91" t="str">
        <f t="shared" si="293"/>
        <v>Sinapi 97462</v>
      </c>
      <c r="K4688" s="91" t="str">
        <f t="shared" si="294"/>
        <v>UN</v>
      </c>
      <c r="L4688" s="166" t="str">
        <f t="shared" si="295"/>
        <v>10/2020</v>
      </c>
      <c r="M4688" s="82"/>
      <c r="N4688" s="82"/>
    </row>
    <row r="4689" spans="1:14" x14ac:dyDescent="0.25">
      <c r="A4689" s="170" t="s">
        <v>7603</v>
      </c>
      <c r="B4689" s="170" t="s">
        <v>12011</v>
      </c>
      <c r="C4689" s="170" t="s">
        <v>205</v>
      </c>
      <c r="D4689" s="170" t="s">
        <v>1947</v>
      </c>
      <c r="E4689" s="171" t="s">
        <v>33829</v>
      </c>
      <c r="F4689" s="171" t="s">
        <v>37004</v>
      </c>
      <c r="G4689" s="82"/>
      <c r="H4689" s="96">
        <f t="shared" si="292"/>
        <v>49.7</v>
      </c>
      <c r="I4689" s="96">
        <f t="shared" si="292"/>
        <v>51.15</v>
      </c>
      <c r="J4689" s="91" t="str">
        <f t="shared" si="293"/>
        <v>Sinapi 97464</v>
      </c>
      <c r="K4689" s="91" t="str">
        <f t="shared" si="294"/>
        <v>UN</v>
      </c>
      <c r="L4689" s="166" t="str">
        <f t="shared" si="295"/>
        <v>10/2020</v>
      </c>
      <c r="M4689" s="82"/>
      <c r="N4689" s="82"/>
    </row>
    <row r="4690" spans="1:14" x14ac:dyDescent="0.25">
      <c r="A4690" s="170" t="s">
        <v>7604</v>
      </c>
      <c r="B4690" s="170" t="s">
        <v>12012</v>
      </c>
      <c r="C4690" s="170" t="s">
        <v>205</v>
      </c>
      <c r="D4690" s="170" t="s">
        <v>1947</v>
      </c>
      <c r="E4690" s="171" t="s">
        <v>32435</v>
      </c>
      <c r="F4690" s="171" t="s">
        <v>34982</v>
      </c>
      <c r="G4690" s="82"/>
      <c r="H4690" s="96">
        <f t="shared" si="292"/>
        <v>59.94</v>
      </c>
      <c r="I4690" s="96">
        <f t="shared" si="292"/>
        <v>61.39</v>
      </c>
      <c r="J4690" s="91" t="str">
        <f t="shared" si="293"/>
        <v>Sinapi 97465</v>
      </c>
      <c r="K4690" s="91" t="str">
        <f t="shared" si="294"/>
        <v>UN</v>
      </c>
      <c r="L4690" s="166" t="str">
        <f t="shared" si="295"/>
        <v>10/2020</v>
      </c>
      <c r="M4690" s="82"/>
      <c r="N4690" s="82"/>
    </row>
    <row r="4691" spans="1:14" x14ac:dyDescent="0.25">
      <c r="A4691" s="170" t="s">
        <v>7605</v>
      </c>
      <c r="B4691" s="170" t="s">
        <v>12013</v>
      </c>
      <c r="C4691" s="170" t="s">
        <v>205</v>
      </c>
      <c r="D4691" s="170" t="s">
        <v>1947</v>
      </c>
      <c r="E4691" s="171" t="s">
        <v>23899</v>
      </c>
      <c r="F4691" s="171" t="s">
        <v>28612</v>
      </c>
      <c r="G4691" s="82"/>
      <c r="H4691" s="96">
        <f t="shared" si="292"/>
        <v>63.14</v>
      </c>
      <c r="I4691" s="96">
        <f t="shared" si="292"/>
        <v>64.95</v>
      </c>
      <c r="J4691" s="91" t="str">
        <f t="shared" si="293"/>
        <v>Sinapi 97467</v>
      </c>
      <c r="K4691" s="91" t="str">
        <f t="shared" si="294"/>
        <v>UN</v>
      </c>
      <c r="L4691" s="166" t="str">
        <f t="shared" si="295"/>
        <v>10/2020</v>
      </c>
      <c r="M4691" s="82"/>
      <c r="N4691" s="82"/>
    </row>
    <row r="4692" spans="1:14" x14ac:dyDescent="0.25">
      <c r="A4692" s="170" t="s">
        <v>7606</v>
      </c>
      <c r="B4692" s="170" t="s">
        <v>12014</v>
      </c>
      <c r="C4692" s="170" t="s">
        <v>205</v>
      </c>
      <c r="D4692" s="170" t="s">
        <v>1947</v>
      </c>
      <c r="E4692" s="171" t="s">
        <v>33830</v>
      </c>
      <c r="F4692" s="171" t="s">
        <v>35804</v>
      </c>
      <c r="G4692" s="82"/>
      <c r="H4692" s="96">
        <f t="shared" si="292"/>
        <v>76.25</v>
      </c>
      <c r="I4692" s="96">
        <f t="shared" si="292"/>
        <v>78.06</v>
      </c>
      <c r="J4692" s="91" t="str">
        <f t="shared" si="293"/>
        <v>Sinapi 97468</v>
      </c>
      <c r="K4692" s="91" t="str">
        <f t="shared" si="294"/>
        <v>UN</v>
      </c>
      <c r="L4692" s="166" t="str">
        <f t="shared" si="295"/>
        <v>10/2020</v>
      </c>
      <c r="M4692" s="82"/>
      <c r="N4692" s="82"/>
    </row>
    <row r="4693" spans="1:14" x14ac:dyDescent="0.25">
      <c r="A4693" s="170" t="s">
        <v>7607</v>
      </c>
      <c r="B4693" s="170" t="s">
        <v>12015</v>
      </c>
      <c r="C4693" s="170" t="s">
        <v>205</v>
      </c>
      <c r="D4693" s="170" t="s">
        <v>1947</v>
      </c>
      <c r="E4693" s="171" t="s">
        <v>33831</v>
      </c>
      <c r="F4693" s="171" t="s">
        <v>37005</v>
      </c>
      <c r="G4693" s="82"/>
      <c r="H4693" s="96">
        <f t="shared" si="292"/>
        <v>94.15</v>
      </c>
      <c r="I4693" s="96">
        <f t="shared" si="292"/>
        <v>96.42</v>
      </c>
      <c r="J4693" s="91" t="str">
        <f t="shared" si="293"/>
        <v>Sinapi 97470</v>
      </c>
      <c r="K4693" s="91" t="str">
        <f t="shared" si="294"/>
        <v>UN</v>
      </c>
      <c r="L4693" s="166" t="str">
        <f t="shared" si="295"/>
        <v>10/2020</v>
      </c>
      <c r="M4693" s="82"/>
      <c r="N4693" s="82"/>
    </row>
    <row r="4694" spans="1:14" x14ac:dyDescent="0.25">
      <c r="A4694" s="170" t="s">
        <v>7608</v>
      </c>
      <c r="B4694" s="170" t="s">
        <v>12016</v>
      </c>
      <c r="C4694" s="170" t="s">
        <v>205</v>
      </c>
      <c r="D4694" s="170" t="s">
        <v>1947</v>
      </c>
      <c r="E4694" s="171" t="s">
        <v>33832</v>
      </c>
      <c r="F4694" s="171" t="s">
        <v>37006</v>
      </c>
      <c r="G4694" s="82"/>
      <c r="H4694" s="96">
        <f t="shared" si="292"/>
        <v>114.88</v>
      </c>
      <c r="I4694" s="96">
        <f t="shared" si="292"/>
        <v>117.15</v>
      </c>
      <c r="J4694" s="91" t="str">
        <f t="shared" si="293"/>
        <v>Sinapi 97471</v>
      </c>
      <c r="K4694" s="91" t="str">
        <f t="shared" si="294"/>
        <v>UN</v>
      </c>
      <c r="L4694" s="166" t="str">
        <f t="shared" si="295"/>
        <v>10/2020</v>
      </c>
      <c r="M4694" s="82"/>
      <c r="N4694" s="82"/>
    </row>
    <row r="4695" spans="1:14" x14ac:dyDescent="0.25">
      <c r="A4695" s="170" t="s">
        <v>7609</v>
      </c>
      <c r="B4695" s="170" t="s">
        <v>12017</v>
      </c>
      <c r="C4695" s="170" t="s">
        <v>205</v>
      </c>
      <c r="D4695" s="170" t="s">
        <v>1947</v>
      </c>
      <c r="E4695" s="171" t="s">
        <v>33833</v>
      </c>
      <c r="F4695" s="171" t="s">
        <v>37007</v>
      </c>
      <c r="G4695" s="82"/>
      <c r="H4695" s="96">
        <f t="shared" si="292"/>
        <v>174.84</v>
      </c>
      <c r="I4695" s="96">
        <f t="shared" si="292"/>
        <v>177.77</v>
      </c>
      <c r="J4695" s="91" t="str">
        <f t="shared" si="293"/>
        <v>Sinapi 97474</v>
      </c>
      <c r="K4695" s="91" t="str">
        <f t="shared" si="294"/>
        <v>UN</v>
      </c>
      <c r="L4695" s="166" t="str">
        <f t="shared" si="295"/>
        <v>10/2020</v>
      </c>
      <c r="M4695" s="82"/>
      <c r="N4695" s="82"/>
    </row>
    <row r="4696" spans="1:14" x14ac:dyDescent="0.25">
      <c r="A4696" s="170" t="s">
        <v>7610</v>
      </c>
      <c r="B4696" s="170" t="s">
        <v>12018</v>
      </c>
      <c r="C4696" s="170" t="s">
        <v>205</v>
      </c>
      <c r="D4696" s="170" t="s">
        <v>1947</v>
      </c>
      <c r="E4696" s="171" t="s">
        <v>33834</v>
      </c>
      <c r="F4696" s="171" t="s">
        <v>37008</v>
      </c>
      <c r="G4696" s="82"/>
      <c r="H4696" s="96">
        <f t="shared" si="292"/>
        <v>216.74</v>
      </c>
      <c r="I4696" s="96">
        <f t="shared" si="292"/>
        <v>219.67</v>
      </c>
      <c r="J4696" s="91" t="str">
        <f t="shared" si="293"/>
        <v>Sinapi 97475</v>
      </c>
      <c r="K4696" s="91" t="str">
        <f t="shared" si="294"/>
        <v>UN</v>
      </c>
      <c r="L4696" s="166" t="str">
        <f t="shared" si="295"/>
        <v>10/2020</v>
      </c>
      <c r="M4696" s="82"/>
      <c r="N4696" s="82"/>
    </row>
    <row r="4697" spans="1:14" x14ac:dyDescent="0.25">
      <c r="A4697" s="170" t="s">
        <v>7611</v>
      </c>
      <c r="B4697" s="170" t="s">
        <v>12019</v>
      </c>
      <c r="C4697" s="170" t="s">
        <v>205</v>
      </c>
      <c r="D4697" s="170" t="s">
        <v>1947</v>
      </c>
      <c r="E4697" s="171" t="s">
        <v>33835</v>
      </c>
      <c r="F4697" s="171" t="s">
        <v>37009</v>
      </c>
      <c r="G4697" s="82"/>
      <c r="H4697" s="96">
        <f t="shared" si="292"/>
        <v>233.56</v>
      </c>
      <c r="I4697" s="96">
        <f t="shared" si="292"/>
        <v>237.19</v>
      </c>
      <c r="J4697" s="91" t="str">
        <f t="shared" si="293"/>
        <v>Sinapi 97477</v>
      </c>
      <c r="K4697" s="91" t="str">
        <f t="shared" si="294"/>
        <v>UN</v>
      </c>
      <c r="L4697" s="166" t="str">
        <f t="shared" si="295"/>
        <v>10/2020</v>
      </c>
      <c r="M4697" s="82"/>
      <c r="N4697" s="82"/>
    </row>
    <row r="4698" spans="1:14" x14ac:dyDescent="0.25">
      <c r="A4698" s="170" t="s">
        <v>7612</v>
      </c>
      <c r="B4698" s="170" t="s">
        <v>12020</v>
      </c>
      <c r="C4698" s="170" t="s">
        <v>205</v>
      </c>
      <c r="D4698" s="170" t="s">
        <v>1947</v>
      </c>
      <c r="E4698" s="171" t="s">
        <v>24249</v>
      </c>
      <c r="F4698" s="171" t="s">
        <v>37010</v>
      </c>
      <c r="G4698" s="82"/>
      <c r="H4698" s="96">
        <f t="shared" si="292"/>
        <v>290</v>
      </c>
      <c r="I4698" s="96">
        <f t="shared" si="292"/>
        <v>293.63</v>
      </c>
      <c r="J4698" s="91" t="str">
        <f t="shared" si="293"/>
        <v>Sinapi 97478</v>
      </c>
      <c r="K4698" s="91" t="str">
        <f t="shared" si="294"/>
        <v>UN</v>
      </c>
      <c r="L4698" s="166" t="str">
        <f t="shared" si="295"/>
        <v>10/2020</v>
      </c>
      <c r="M4698" s="82"/>
      <c r="N4698" s="82"/>
    </row>
    <row r="4699" spans="1:14" x14ac:dyDescent="0.25">
      <c r="A4699" s="170" t="s">
        <v>7613</v>
      </c>
      <c r="B4699" s="170" t="s">
        <v>12021</v>
      </c>
      <c r="C4699" s="170" t="s">
        <v>205</v>
      </c>
      <c r="D4699" s="170" t="s">
        <v>1947</v>
      </c>
      <c r="E4699" s="171" t="s">
        <v>19820</v>
      </c>
      <c r="F4699" s="171" t="s">
        <v>21533</v>
      </c>
      <c r="G4699" s="82"/>
      <c r="H4699" s="96">
        <f t="shared" si="292"/>
        <v>55.54</v>
      </c>
      <c r="I4699" s="96">
        <f t="shared" si="292"/>
        <v>57.23</v>
      </c>
      <c r="J4699" s="91" t="str">
        <f t="shared" si="293"/>
        <v>Sinapi 97479</v>
      </c>
      <c r="K4699" s="91" t="str">
        <f t="shared" si="294"/>
        <v>UN</v>
      </c>
      <c r="L4699" s="166" t="str">
        <f t="shared" si="295"/>
        <v>10/2020</v>
      </c>
      <c r="M4699" s="82"/>
      <c r="N4699" s="82"/>
    </row>
    <row r="4700" spans="1:14" x14ac:dyDescent="0.25">
      <c r="A4700" s="170" t="s">
        <v>7614</v>
      </c>
      <c r="B4700" s="170" t="s">
        <v>12022</v>
      </c>
      <c r="C4700" s="170" t="s">
        <v>205</v>
      </c>
      <c r="D4700" s="170" t="s">
        <v>1947</v>
      </c>
      <c r="E4700" s="171" t="s">
        <v>19820</v>
      </c>
      <c r="F4700" s="171" t="s">
        <v>21533</v>
      </c>
      <c r="G4700" s="82"/>
      <c r="H4700" s="96">
        <f t="shared" si="292"/>
        <v>55.54</v>
      </c>
      <c r="I4700" s="96">
        <f t="shared" si="292"/>
        <v>57.23</v>
      </c>
      <c r="J4700" s="91" t="str">
        <f t="shared" si="293"/>
        <v>Sinapi 97480</v>
      </c>
      <c r="K4700" s="91" t="str">
        <f t="shared" si="294"/>
        <v>UN</v>
      </c>
      <c r="L4700" s="166" t="str">
        <f t="shared" si="295"/>
        <v>10/2020</v>
      </c>
      <c r="M4700" s="82"/>
      <c r="N4700" s="82"/>
    </row>
    <row r="4701" spans="1:14" x14ac:dyDescent="0.25">
      <c r="A4701" s="170" t="s">
        <v>7615</v>
      </c>
      <c r="B4701" s="170" t="s">
        <v>12023</v>
      </c>
      <c r="C4701" s="170" t="s">
        <v>205</v>
      </c>
      <c r="D4701" s="170" t="s">
        <v>1947</v>
      </c>
      <c r="E4701" s="171" t="s">
        <v>23187</v>
      </c>
      <c r="F4701" s="171" t="s">
        <v>34984</v>
      </c>
      <c r="G4701" s="82"/>
      <c r="H4701" s="96">
        <f t="shared" si="292"/>
        <v>81.11</v>
      </c>
      <c r="I4701" s="96">
        <f t="shared" si="292"/>
        <v>83.28</v>
      </c>
      <c r="J4701" s="91" t="str">
        <f t="shared" si="293"/>
        <v>Sinapi 97481</v>
      </c>
      <c r="K4701" s="91" t="str">
        <f t="shared" si="294"/>
        <v>UN</v>
      </c>
      <c r="L4701" s="166" t="str">
        <f t="shared" si="295"/>
        <v>10/2020</v>
      </c>
      <c r="M4701" s="82"/>
      <c r="N4701" s="82"/>
    </row>
    <row r="4702" spans="1:14" x14ac:dyDescent="0.25">
      <c r="A4702" s="170" t="s">
        <v>7616</v>
      </c>
      <c r="B4702" s="170" t="s">
        <v>12024</v>
      </c>
      <c r="C4702" s="170" t="s">
        <v>205</v>
      </c>
      <c r="D4702" s="170" t="s">
        <v>1947</v>
      </c>
      <c r="E4702" s="171" t="s">
        <v>23187</v>
      </c>
      <c r="F4702" s="171" t="s">
        <v>34984</v>
      </c>
      <c r="G4702" s="82"/>
      <c r="H4702" s="96">
        <f t="shared" si="292"/>
        <v>81.11</v>
      </c>
      <c r="I4702" s="96">
        <f t="shared" si="292"/>
        <v>83.28</v>
      </c>
      <c r="J4702" s="91" t="str">
        <f t="shared" si="293"/>
        <v>Sinapi 97482</v>
      </c>
      <c r="K4702" s="91" t="str">
        <f t="shared" si="294"/>
        <v>UN</v>
      </c>
      <c r="L4702" s="166" t="str">
        <f t="shared" si="295"/>
        <v>10/2020</v>
      </c>
      <c r="M4702" s="82"/>
      <c r="N4702" s="82"/>
    </row>
    <row r="4703" spans="1:14" x14ac:dyDescent="0.25">
      <c r="A4703" s="170" t="s">
        <v>7617</v>
      </c>
      <c r="B4703" s="170" t="s">
        <v>12025</v>
      </c>
      <c r="C4703" s="170" t="s">
        <v>205</v>
      </c>
      <c r="D4703" s="170" t="s">
        <v>1947</v>
      </c>
      <c r="E4703" s="171" t="s">
        <v>33836</v>
      </c>
      <c r="F4703" s="171" t="s">
        <v>37011</v>
      </c>
      <c r="G4703" s="82"/>
      <c r="H4703" s="96">
        <f t="shared" si="292"/>
        <v>114.29</v>
      </c>
      <c r="I4703" s="96">
        <f t="shared" si="292"/>
        <v>117.01</v>
      </c>
      <c r="J4703" s="91" t="str">
        <f t="shared" si="293"/>
        <v>Sinapi 97483</v>
      </c>
      <c r="K4703" s="91" t="str">
        <f t="shared" si="294"/>
        <v>UN</v>
      </c>
      <c r="L4703" s="166" t="str">
        <f t="shared" si="295"/>
        <v>10/2020</v>
      </c>
      <c r="M4703" s="82"/>
      <c r="N4703" s="82"/>
    </row>
    <row r="4704" spans="1:14" x14ac:dyDescent="0.25">
      <c r="A4704" s="170" t="s">
        <v>7618</v>
      </c>
      <c r="B4704" s="170" t="s">
        <v>12026</v>
      </c>
      <c r="C4704" s="170" t="s">
        <v>205</v>
      </c>
      <c r="D4704" s="170" t="s">
        <v>1947</v>
      </c>
      <c r="E4704" s="171" t="s">
        <v>33836</v>
      </c>
      <c r="F4704" s="171" t="s">
        <v>37011</v>
      </c>
      <c r="G4704" s="82"/>
      <c r="H4704" s="96">
        <f t="shared" si="292"/>
        <v>114.29</v>
      </c>
      <c r="I4704" s="96">
        <f t="shared" si="292"/>
        <v>117.01</v>
      </c>
      <c r="J4704" s="91" t="str">
        <f t="shared" si="293"/>
        <v>Sinapi 97484</v>
      </c>
      <c r="K4704" s="91" t="str">
        <f t="shared" si="294"/>
        <v>UN</v>
      </c>
      <c r="L4704" s="166" t="str">
        <f t="shared" si="295"/>
        <v>10/2020</v>
      </c>
      <c r="M4704" s="82"/>
      <c r="N4704" s="82"/>
    </row>
    <row r="4705" spans="1:14" x14ac:dyDescent="0.25">
      <c r="A4705" s="170" t="s">
        <v>7619</v>
      </c>
      <c r="B4705" s="170" t="s">
        <v>12027</v>
      </c>
      <c r="C4705" s="170" t="s">
        <v>205</v>
      </c>
      <c r="D4705" s="170" t="s">
        <v>1947</v>
      </c>
      <c r="E4705" s="171" t="s">
        <v>33837</v>
      </c>
      <c r="F4705" s="171" t="s">
        <v>37012</v>
      </c>
      <c r="G4705" s="82"/>
      <c r="H4705" s="96">
        <f t="shared" si="292"/>
        <v>158.37</v>
      </c>
      <c r="I4705" s="96">
        <f t="shared" si="292"/>
        <v>161.76</v>
      </c>
      <c r="J4705" s="91" t="str">
        <f t="shared" si="293"/>
        <v>Sinapi 97485</v>
      </c>
      <c r="K4705" s="91" t="str">
        <f t="shared" si="294"/>
        <v>UN</v>
      </c>
      <c r="L4705" s="166" t="str">
        <f t="shared" si="295"/>
        <v>10/2020</v>
      </c>
      <c r="M4705" s="82"/>
      <c r="N4705" s="82"/>
    </row>
    <row r="4706" spans="1:14" x14ac:dyDescent="0.25">
      <c r="A4706" s="170" t="s">
        <v>7620</v>
      </c>
      <c r="B4706" s="170" t="s">
        <v>12028</v>
      </c>
      <c r="C4706" s="170" t="s">
        <v>205</v>
      </c>
      <c r="D4706" s="170" t="s">
        <v>1947</v>
      </c>
      <c r="E4706" s="171" t="s">
        <v>33838</v>
      </c>
      <c r="F4706" s="171" t="s">
        <v>37013</v>
      </c>
      <c r="G4706" s="82"/>
      <c r="H4706" s="96">
        <f t="shared" si="292"/>
        <v>170.2</v>
      </c>
      <c r="I4706" s="96">
        <f t="shared" si="292"/>
        <v>173.59</v>
      </c>
      <c r="J4706" s="91" t="str">
        <f t="shared" si="293"/>
        <v>Sinapi 97486</v>
      </c>
      <c r="K4706" s="91" t="str">
        <f t="shared" si="294"/>
        <v>UN</v>
      </c>
      <c r="L4706" s="166" t="str">
        <f t="shared" si="295"/>
        <v>10/2020</v>
      </c>
      <c r="M4706" s="82"/>
      <c r="N4706" s="82"/>
    </row>
    <row r="4707" spans="1:14" x14ac:dyDescent="0.25">
      <c r="A4707" s="170" t="s">
        <v>7621</v>
      </c>
      <c r="B4707" s="170" t="s">
        <v>12029</v>
      </c>
      <c r="C4707" s="170" t="s">
        <v>205</v>
      </c>
      <c r="D4707" s="170" t="s">
        <v>1947</v>
      </c>
      <c r="E4707" s="171" t="s">
        <v>33839</v>
      </c>
      <c r="F4707" s="171" t="s">
        <v>37014</v>
      </c>
      <c r="G4707" s="82"/>
      <c r="H4707" s="96">
        <f t="shared" si="292"/>
        <v>295.45</v>
      </c>
      <c r="I4707" s="96">
        <f t="shared" si="292"/>
        <v>299.87</v>
      </c>
      <c r="J4707" s="91" t="str">
        <f t="shared" si="293"/>
        <v>Sinapi 97487</v>
      </c>
      <c r="K4707" s="91" t="str">
        <f t="shared" si="294"/>
        <v>UN</v>
      </c>
      <c r="L4707" s="166" t="str">
        <f t="shared" si="295"/>
        <v>10/2020</v>
      </c>
      <c r="M4707" s="82"/>
      <c r="N4707" s="82"/>
    </row>
    <row r="4708" spans="1:14" x14ac:dyDescent="0.25">
      <c r="A4708" s="170" t="s">
        <v>7622</v>
      </c>
      <c r="B4708" s="170" t="s">
        <v>12030</v>
      </c>
      <c r="C4708" s="170" t="s">
        <v>205</v>
      </c>
      <c r="D4708" s="170" t="s">
        <v>1947</v>
      </c>
      <c r="E4708" s="171" t="s">
        <v>33840</v>
      </c>
      <c r="F4708" s="171" t="s">
        <v>37015</v>
      </c>
      <c r="G4708" s="82"/>
      <c r="H4708" s="96">
        <f t="shared" si="292"/>
        <v>314.37</v>
      </c>
      <c r="I4708" s="96">
        <f t="shared" si="292"/>
        <v>318.79000000000002</v>
      </c>
      <c r="J4708" s="91" t="str">
        <f t="shared" si="293"/>
        <v>Sinapi 97488</v>
      </c>
      <c r="K4708" s="91" t="str">
        <f t="shared" si="294"/>
        <v>UN</v>
      </c>
      <c r="L4708" s="166" t="str">
        <f t="shared" si="295"/>
        <v>10/2020</v>
      </c>
      <c r="M4708" s="82"/>
      <c r="N4708" s="82"/>
    </row>
    <row r="4709" spans="1:14" x14ac:dyDescent="0.25">
      <c r="A4709" s="170" t="s">
        <v>7623</v>
      </c>
      <c r="B4709" s="170" t="s">
        <v>12031</v>
      </c>
      <c r="C4709" s="170" t="s">
        <v>205</v>
      </c>
      <c r="D4709" s="170" t="s">
        <v>1947</v>
      </c>
      <c r="E4709" s="171" t="s">
        <v>33841</v>
      </c>
      <c r="F4709" s="171" t="s">
        <v>37016</v>
      </c>
      <c r="G4709" s="82"/>
      <c r="H4709" s="96">
        <f t="shared" si="292"/>
        <v>711.66</v>
      </c>
      <c r="I4709" s="96">
        <f t="shared" si="292"/>
        <v>717.08</v>
      </c>
      <c r="J4709" s="91" t="str">
        <f t="shared" si="293"/>
        <v>Sinapi 97489</v>
      </c>
      <c r="K4709" s="91" t="str">
        <f t="shared" si="294"/>
        <v>UN</v>
      </c>
      <c r="L4709" s="166" t="str">
        <f t="shared" si="295"/>
        <v>10/2020</v>
      </c>
      <c r="M4709" s="82"/>
      <c r="N4709" s="82"/>
    </row>
    <row r="4710" spans="1:14" x14ac:dyDescent="0.25">
      <c r="A4710" s="170" t="s">
        <v>7624</v>
      </c>
      <c r="B4710" s="170" t="s">
        <v>12032</v>
      </c>
      <c r="C4710" s="170" t="s">
        <v>205</v>
      </c>
      <c r="D4710" s="170" t="s">
        <v>1947</v>
      </c>
      <c r="E4710" s="171" t="s">
        <v>33842</v>
      </c>
      <c r="F4710" s="171" t="s">
        <v>37017</v>
      </c>
      <c r="G4710" s="82"/>
      <c r="H4710" s="96">
        <f t="shared" si="292"/>
        <v>626.77</v>
      </c>
      <c r="I4710" s="96">
        <f t="shared" si="292"/>
        <v>632.19000000000005</v>
      </c>
      <c r="J4710" s="91" t="str">
        <f t="shared" si="293"/>
        <v>Sinapi 97490</v>
      </c>
      <c r="K4710" s="91" t="str">
        <f t="shared" si="294"/>
        <v>UN</v>
      </c>
      <c r="L4710" s="166" t="str">
        <f t="shared" si="295"/>
        <v>10/2020</v>
      </c>
      <c r="M4710" s="82"/>
      <c r="N4710" s="82"/>
    </row>
    <row r="4711" spans="1:14" x14ac:dyDescent="0.25">
      <c r="A4711" s="170" t="s">
        <v>7625</v>
      </c>
      <c r="B4711" s="170" t="s">
        <v>12033</v>
      </c>
      <c r="C4711" s="170" t="s">
        <v>205</v>
      </c>
      <c r="D4711" s="170" t="s">
        <v>1947</v>
      </c>
      <c r="E4711" s="171" t="s">
        <v>33843</v>
      </c>
      <c r="F4711" s="171" t="s">
        <v>28584</v>
      </c>
      <c r="G4711" s="82"/>
      <c r="H4711" s="96">
        <f t="shared" si="292"/>
        <v>86.58</v>
      </c>
      <c r="I4711" s="96">
        <f t="shared" si="292"/>
        <v>88.83</v>
      </c>
      <c r="J4711" s="91" t="str">
        <f t="shared" si="293"/>
        <v>Sinapi 97491</v>
      </c>
      <c r="K4711" s="91" t="str">
        <f t="shared" si="294"/>
        <v>UN</v>
      </c>
      <c r="L4711" s="166" t="str">
        <f t="shared" si="295"/>
        <v>10/2020</v>
      </c>
      <c r="M4711" s="82"/>
      <c r="N4711" s="82"/>
    </row>
    <row r="4712" spans="1:14" x14ac:dyDescent="0.25">
      <c r="A4712" s="170" t="s">
        <v>7626</v>
      </c>
      <c r="B4712" s="170" t="s">
        <v>12034</v>
      </c>
      <c r="C4712" s="170" t="s">
        <v>205</v>
      </c>
      <c r="D4712" s="170" t="s">
        <v>1947</v>
      </c>
      <c r="E4712" s="171" t="s">
        <v>29039</v>
      </c>
      <c r="F4712" s="171" t="s">
        <v>37018</v>
      </c>
      <c r="G4712" s="82"/>
      <c r="H4712" s="96">
        <f t="shared" si="292"/>
        <v>127.9</v>
      </c>
      <c r="I4712" s="96">
        <f t="shared" si="292"/>
        <v>130.80000000000001</v>
      </c>
      <c r="J4712" s="91" t="str">
        <f t="shared" si="293"/>
        <v>Sinapi 97492</v>
      </c>
      <c r="K4712" s="91" t="str">
        <f t="shared" si="294"/>
        <v>UN</v>
      </c>
      <c r="L4712" s="166" t="str">
        <f t="shared" si="295"/>
        <v>10/2020</v>
      </c>
      <c r="M4712" s="82"/>
      <c r="N4712" s="82"/>
    </row>
    <row r="4713" spans="1:14" x14ac:dyDescent="0.25">
      <c r="A4713" s="170" t="s">
        <v>7627</v>
      </c>
      <c r="B4713" s="170" t="s">
        <v>12035</v>
      </c>
      <c r="C4713" s="170" t="s">
        <v>205</v>
      </c>
      <c r="D4713" s="170" t="s">
        <v>1947</v>
      </c>
      <c r="E4713" s="171" t="s">
        <v>33844</v>
      </c>
      <c r="F4713" s="171" t="s">
        <v>37019</v>
      </c>
      <c r="G4713" s="82"/>
      <c r="H4713" s="96">
        <f t="shared" si="292"/>
        <v>165.2</v>
      </c>
      <c r="I4713" s="96">
        <f t="shared" si="292"/>
        <v>168.82</v>
      </c>
      <c r="J4713" s="91" t="str">
        <f t="shared" si="293"/>
        <v>Sinapi 97493</v>
      </c>
      <c r="K4713" s="91" t="str">
        <f t="shared" si="294"/>
        <v>UN</v>
      </c>
      <c r="L4713" s="166" t="str">
        <f t="shared" si="295"/>
        <v>10/2020</v>
      </c>
      <c r="M4713" s="82"/>
      <c r="N4713" s="82"/>
    </row>
    <row r="4714" spans="1:14" x14ac:dyDescent="0.25">
      <c r="A4714" s="170" t="s">
        <v>7628</v>
      </c>
      <c r="B4714" s="170" t="s">
        <v>12036</v>
      </c>
      <c r="C4714" s="170" t="s">
        <v>205</v>
      </c>
      <c r="D4714" s="170" t="s">
        <v>1947</v>
      </c>
      <c r="E4714" s="171" t="s">
        <v>32824</v>
      </c>
      <c r="F4714" s="171" t="s">
        <v>37020</v>
      </c>
      <c r="G4714" s="82"/>
      <c r="H4714" s="96">
        <f t="shared" si="292"/>
        <v>258.60000000000002</v>
      </c>
      <c r="I4714" s="96">
        <f t="shared" si="292"/>
        <v>263.13</v>
      </c>
      <c r="J4714" s="91" t="str">
        <f t="shared" si="293"/>
        <v>Sinapi 97494</v>
      </c>
      <c r="K4714" s="91" t="str">
        <f t="shared" si="294"/>
        <v>UN</v>
      </c>
      <c r="L4714" s="166" t="str">
        <f t="shared" si="295"/>
        <v>10/2020</v>
      </c>
      <c r="M4714" s="82"/>
      <c r="N4714" s="82"/>
    </row>
    <row r="4715" spans="1:14" x14ac:dyDescent="0.25">
      <c r="A4715" s="170" t="s">
        <v>7629</v>
      </c>
      <c r="B4715" s="170" t="s">
        <v>12037</v>
      </c>
      <c r="C4715" s="170" t="s">
        <v>205</v>
      </c>
      <c r="D4715" s="170" t="s">
        <v>1947</v>
      </c>
      <c r="E4715" s="171" t="s">
        <v>33845</v>
      </c>
      <c r="F4715" s="171" t="s">
        <v>37021</v>
      </c>
      <c r="G4715" s="82"/>
      <c r="H4715" s="96">
        <f t="shared" si="292"/>
        <v>478.81</v>
      </c>
      <c r="I4715" s="96">
        <f t="shared" si="292"/>
        <v>484.69</v>
      </c>
      <c r="J4715" s="91" t="str">
        <f t="shared" si="293"/>
        <v>Sinapi 97495</v>
      </c>
      <c r="K4715" s="91" t="str">
        <f t="shared" si="294"/>
        <v>UN</v>
      </c>
      <c r="L4715" s="166" t="str">
        <f t="shared" si="295"/>
        <v>10/2020</v>
      </c>
      <c r="M4715" s="82"/>
      <c r="N4715" s="82"/>
    </row>
    <row r="4716" spans="1:14" x14ac:dyDescent="0.25">
      <c r="A4716" s="170" t="s">
        <v>7630</v>
      </c>
      <c r="B4716" s="170" t="s">
        <v>12038</v>
      </c>
      <c r="C4716" s="170" t="s">
        <v>205</v>
      </c>
      <c r="D4716" s="170" t="s">
        <v>1947</v>
      </c>
      <c r="E4716" s="171" t="s">
        <v>33846</v>
      </c>
      <c r="F4716" s="171" t="s">
        <v>28662</v>
      </c>
      <c r="G4716" s="82"/>
      <c r="H4716" s="96">
        <f t="shared" si="292"/>
        <v>761.58</v>
      </c>
      <c r="I4716" s="96">
        <f t="shared" si="292"/>
        <v>768.83</v>
      </c>
      <c r="J4716" s="91" t="str">
        <f t="shared" si="293"/>
        <v>Sinapi 97496</v>
      </c>
      <c r="K4716" s="91" t="str">
        <f t="shared" si="294"/>
        <v>UN</v>
      </c>
      <c r="L4716" s="166" t="str">
        <f t="shared" si="295"/>
        <v>10/2020</v>
      </c>
      <c r="M4716" s="82"/>
      <c r="N4716" s="82"/>
    </row>
    <row r="4717" spans="1:14" x14ac:dyDescent="0.25">
      <c r="A4717" s="170" t="s">
        <v>7631</v>
      </c>
      <c r="B4717" s="170" t="s">
        <v>12039</v>
      </c>
      <c r="C4717" s="170" t="s">
        <v>205</v>
      </c>
      <c r="D4717" s="170" t="s">
        <v>1947</v>
      </c>
      <c r="E4717" s="171" t="s">
        <v>23298</v>
      </c>
      <c r="F4717" s="171" t="s">
        <v>29821</v>
      </c>
      <c r="G4717" s="82"/>
      <c r="H4717" s="96">
        <f t="shared" si="292"/>
        <v>32</v>
      </c>
      <c r="I4717" s="96">
        <f t="shared" si="292"/>
        <v>32.869999999999997</v>
      </c>
      <c r="J4717" s="91" t="str">
        <f t="shared" si="293"/>
        <v>Sinapi 97499</v>
      </c>
      <c r="K4717" s="91" t="str">
        <f t="shared" si="294"/>
        <v>UN</v>
      </c>
      <c r="L4717" s="166" t="str">
        <f t="shared" si="295"/>
        <v>10/2020</v>
      </c>
      <c r="M4717" s="82"/>
      <c r="N4717" s="82"/>
    </row>
    <row r="4718" spans="1:14" x14ac:dyDescent="0.25">
      <c r="A4718" s="170" t="s">
        <v>7632</v>
      </c>
      <c r="B4718" s="170" t="s">
        <v>12040</v>
      </c>
      <c r="C4718" s="170" t="s">
        <v>205</v>
      </c>
      <c r="D4718" s="170" t="s">
        <v>1947</v>
      </c>
      <c r="E4718" s="171" t="s">
        <v>17934</v>
      </c>
      <c r="F4718" s="171" t="s">
        <v>14946</v>
      </c>
      <c r="G4718" s="82"/>
      <c r="H4718" s="96">
        <f t="shared" si="292"/>
        <v>25.92</v>
      </c>
      <c r="I4718" s="96">
        <f t="shared" si="292"/>
        <v>26.79</v>
      </c>
      <c r="J4718" s="91" t="str">
        <f t="shared" si="293"/>
        <v>Sinapi 97500</v>
      </c>
      <c r="K4718" s="91" t="str">
        <f t="shared" si="294"/>
        <v>UN</v>
      </c>
      <c r="L4718" s="166" t="str">
        <f t="shared" si="295"/>
        <v>10/2020</v>
      </c>
      <c r="M4718" s="82"/>
      <c r="N4718" s="82"/>
    </row>
    <row r="4719" spans="1:14" x14ac:dyDescent="0.25">
      <c r="A4719" s="170" t="s">
        <v>7633</v>
      </c>
      <c r="B4719" s="170" t="s">
        <v>12041</v>
      </c>
      <c r="C4719" s="170" t="s">
        <v>205</v>
      </c>
      <c r="D4719" s="170" t="s">
        <v>1947</v>
      </c>
      <c r="E4719" s="171" t="s">
        <v>33847</v>
      </c>
      <c r="F4719" s="171" t="s">
        <v>30684</v>
      </c>
      <c r="G4719" s="82"/>
      <c r="H4719" s="96">
        <f t="shared" si="292"/>
        <v>45.53</v>
      </c>
      <c r="I4719" s="96">
        <f t="shared" si="292"/>
        <v>46.49</v>
      </c>
      <c r="J4719" s="91" t="str">
        <f t="shared" si="293"/>
        <v>Sinapi 97502</v>
      </c>
      <c r="K4719" s="91" t="str">
        <f t="shared" si="294"/>
        <v>UN</v>
      </c>
      <c r="L4719" s="166" t="str">
        <f t="shared" si="295"/>
        <v>10/2020</v>
      </c>
      <c r="M4719" s="82"/>
      <c r="N4719" s="82"/>
    </row>
    <row r="4720" spans="1:14" x14ac:dyDescent="0.25">
      <c r="A4720" s="170" t="s">
        <v>7634</v>
      </c>
      <c r="B4720" s="170" t="s">
        <v>12042</v>
      </c>
      <c r="C4720" s="170" t="s">
        <v>205</v>
      </c>
      <c r="D4720" s="170" t="s">
        <v>1947</v>
      </c>
      <c r="E4720" s="171" t="s">
        <v>28615</v>
      </c>
      <c r="F4720" s="171" t="s">
        <v>19945</v>
      </c>
      <c r="G4720" s="82"/>
      <c r="H4720" s="96">
        <f t="shared" si="292"/>
        <v>55.98</v>
      </c>
      <c r="I4720" s="96">
        <f t="shared" si="292"/>
        <v>56.97</v>
      </c>
      <c r="J4720" s="91" t="str">
        <f t="shared" si="293"/>
        <v>Sinapi 97503</v>
      </c>
      <c r="K4720" s="91" t="str">
        <f t="shared" si="294"/>
        <v>UN</v>
      </c>
      <c r="L4720" s="166" t="str">
        <f t="shared" si="295"/>
        <v>10/2020</v>
      </c>
      <c r="M4720" s="82"/>
      <c r="N4720" s="82"/>
    </row>
    <row r="4721" spans="1:14" x14ac:dyDescent="0.25">
      <c r="A4721" s="170" t="s">
        <v>7635</v>
      </c>
      <c r="B4721" s="170" t="s">
        <v>12043</v>
      </c>
      <c r="C4721" s="170" t="s">
        <v>205</v>
      </c>
      <c r="D4721" s="170" t="s">
        <v>1947</v>
      </c>
      <c r="E4721" s="171" t="s">
        <v>33848</v>
      </c>
      <c r="F4721" s="171" t="s">
        <v>20034</v>
      </c>
      <c r="G4721" s="82"/>
      <c r="H4721" s="96">
        <f t="shared" si="292"/>
        <v>57.26</v>
      </c>
      <c r="I4721" s="96">
        <f t="shared" si="292"/>
        <v>58.41</v>
      </c>
      <c r="J4721" s="91" t="str">
        <f t="shared" si="293"/>
        <v>Sinapi 97505</v>
      </c>
      <c r="K4721" s="91" t="str">
        <f t="shared" si="294"/>
        <v>UN</v>
      </c>
      <c r="L4721" s="166" t="str">
        <f t="shared" si="295"/>
        <v>10/2020</v>
      </c>
      <c r="M4721" s="82"/>
      <c r="N4721" s="82"/>
    </row>
    <row r="4722" spans="1:14" x14ac:dyDescent="0.25">
      <c r="A4722" s="170" t="s">
        <v>7636</v>
      </c>
      <c r="B4722" s="170" t="s">
        <v>12044</v>
      </c>
      <c r="C4722" s="170" t="s">
        <v>205</v>
      </c>
      <c r="D4722" s="170" t="s">
        <v>1947</v>
      </c>
      <c r="E4722" s="171" t="s">
        <v>33451</v>
      </c>
      <c r="F4722" s="171" t="s">
        <v>29668</v>
      </c>
      <c r="G4722" s="82"/>
      <c r="H4722" s="96">
        <f t="shared" si="292"/>
        <v>70.37</v>
      </c>
      <c r="I4722" s="96">
        <f t="shared" si="292"/>
        <v>71.52</v>
      </c>
      <c r="J4722" s="91" t="str">
        <f t="shared" si="293"/>
        <v>Sinapi 97506</v>
      </c>
      <c r="K4722" s="91" t="str">
        <f t="shared" si="294"/>
        <v>UN</v>
      </c>
      <c r="L4722" s="166" t="str">
        <f t="shared" si="295"/>
        <v>10/2020</v>
      </c>
      <c r="M4722" s="82"/>
      <c r="N4722" s="82"/>
    </row>
    <row r="4723" spans="1:14" x14ac:dyDescent="0.25">
      <c r="A4723" s="170" t="s">
        <v>7637</v>
      </c>
      <c r="B4723" s="170" t="s">
        <v>12045</v>
      </c>
      <c r="C4723" s="170" t="s">
        <v>205</v>
      </c>
      <c r="D4723" s="170" t="s">
        <v>1947</v>
      </c>
      <c r="E4723" s="171" t="s">
        <v>31286</v>
      </c>
      <c r="F4723" s="171" t="s">
        <v>31267</v>
      </c>
      <c r="G4723" s="82"/>
      <c r="H4723" s="96">
        <f t="shared" si="292"/>
        <v>85.85</v>
      </c>
      <c r="I4723" s="96">
        <f t="shared" si="292"/>
        <v>87.15</v>
      </c>
      <c r="J4723" s="91" t="str">
        <f t="shared" si="293"/>
        <v>Sinapi 97508</v>
      </c>
      <c r="K4723" s="91" t="str">
        <f t="shared" si="294"/>
        <v>UN</v>
      </c>
      <c r="L4723" s="166" t="str">
        <f t="shared" si="295"/>
        <v>10/2020</v>
      </c>
      <c r="M4723" s="82"/>
      <c r="N4723" s="82"/>
    </row>
    <row r="4724" spans="1:14" x14ac:dyDescent="0.25">
      <c r="A4724" s="170" t="s">
        <v>7638</v>
      </c>
      <c r="B4724" s="170" t="s">
        <v>12046</v>
      </c>
      <c r="C4724" s="170" t="s">
        <v>205</v>
      </c>
      <c r="D4724" s="170" t="s">
        <v>1947</v>
      </c>
      <c r="E4724" s="171" t="s">
        <v>33849</v>
      </c>
      <c r="F4724" s="171" t="s">
        <v>36846</v>
      </c>
      <c r="G4724" s="82"/>
      <c r="H4724" s="96">
        <f t="shared" si="292"/>
        <v>106.58</v>
      </c>
      <c r="I4724" s="96">
        <f t="shared" si="292"/>
        <v>107.88</v>
      </c>
      <c r="J4724" s="91" t="str">
        <f t="shared" si="293"/>
        <v>Sinapi 97509</v>
      </c>
      <c r="K4724" s="91" t="str">
        <f t="shared" si="294"/>
        <v>UN</v>
      </c>
      <c r="L4724" s="166" t="str">
        <f t="shared" si="295"/>
        <v>10/2020</v>
      </c>
      <c r="M4724" s="82"/>
      <c r="N4724" s="82"/>
    </row>
    <row r="4725" spans="1:14" x14ac:dyDescent="0.25">
      <c r="A4725" s="170" t="s">
        <v>7639</v>
      </c>
      <c r="B4725" s="170" t="s">
        <v>12047</v>
      </c>
      <c r="C4725" s="170" t="s">
        <v>205</v>
      </c>
      <c r="D4725" s="170" t="s">
        <v>1947</v>
      </c>
      <c r="E4725" s="171" t="s">
        <v>33850</v>
      </c>
      <c r="F4725" s="171" t="s">
        <v>23601</v>
      </c>
      <c r="G4725" s="82"/>
      <c r="H4725" s="96">
        <f t="shared" si="292"/>
        <v>162.9</v>
      </c>
      <c r="I4725" s="96">
        <f t="shared" si="292"/>
        <v>164.47</v>
      </c>
      <c r="J4725" s="91" t="str">
        <f t="shared" si="293"/>
        <v>Sinapi 97511</v>
      </c>
      <c r="K4725" s="91" t="str">
        <f t="shared" si="294"/>
        <v>UN</v>
      </c>
      <c r="L4725" s="166" t="str">
        <f t="shared" si="295"/>
        <v>10/2020</v>
      </c>
      <c r="M4725" s="82"/>
      <c r="N4725" s="82"/>
    </row>
    <row r="4726" spans="1:14" x14ac:dyDescent="0.25">
      <c r="A4726" s="170" t="s">
        <v>7640</v>
      </c>
      <c r="B4726" s="170" t="s">
        <v>12048</v>
      </c>
      <c r="C4726" s="170" t="s">
        <v>205</v>
      </c>
      <c r="D4726" s="170" t="s">
        <v>1947</v>
      </c>
      <c r="E4726" s="171" t="s">
        <v>33851</v>
      </c>
      <c r="F4726" s="171" t="s">
        <v>37022</v>
      </c>
      <c r="G4726" s="82"/>
      <c r="H4726" s="96">
        <f t="shared" si="292"/>
        <v>204.8</v>
      </c>
      <c r="I4726" s="96">
        <f t="shared" si="292"/>
        <v>206.37</v>
      </c>
      <c r="J4726" s="91" t="str">
        <f t="shared" si="293"/>
        <v>Sinapi 97512</v>
      </c>
      <c r="K4726" s="91" t="str">
        <f t="shared" si="294"/>
        <v>UN</v>
      </c>
      <c r="L4726" s="166" t="str">
        <f t="shared" si="295"/>
        <v>10/2020</v>
      </c>
      <c r="M4726" s="82"/>
      <c r="N4726" s="82"/>
    </row>
    <row r="4727" spans="1:14" x14ac:dyDescent="0.25">
      <c r="A4727" s="170" t="s">
        <v>7641</v>
      </c>
      <c r="B4727" s="170" t="s">
        <v>12049</v>
      </c>
      <c r="C4727" s="170" t="s">
        <v>205</v>
      </c>
      <c r="D4727" s="170" t="s">
        <v>1947</v>
      </c>
      <c r="E4727" s="171" t="s">
        <v>33852</v>
      </c>
      <c r="F4727" s="171" t="s">
        <v>37023</v>
      </c>
      <c r="G4727" s="82"/>
      <c r="H4727" s="96">
        <f t="shared" si="292"/>
        <v>217.87</v>
      </c>
      <c r="I4727" s="96">
        <f t="shared" si="292"/>
        <v>219.69</v>
      </c>
      <c r="J4727" s="91" t="str">
        <f t="shared" si="293"/>
        <v>Sinapi 97514</v>
      </c>
      <c r="K4727" s="91" t="str">
        <f t="shared" si="294"/>
        <v>UN</v>
      </c>
      <c r="L4727" s="166" t="str">
        <f t="shared" si="295"/>
        <v>10/2020</v>
      </c>
      <c r="M4727" s="82"/>
      <c r="N4727" s="82"/>
    </row>
    <row r="4728" spans="1:14" x14ac:dyDescent="0.25">
      <c r="A4728" s="170" t="s">
        <v>7642</v>
      </c>
      <c r="B4728" s="170" t="s">
        <v>12050</v>
      </c>
      <c r="C4728" s="170" t="s">
        <v>205</v>
      </c>
      <c r="D4728" s="170" t="s">
        <v>1947</v>
      </c>
      <c r="E4728" s="171" t="s">
        <v>33853</v>
      </c>
      <c r="F4728" s="171" t="s">
        <v>37024</v>
      </c>
      <c r="G4728" s="82"/>
      <c r="H4728" s="96">
        <f t="shared" si="292"/>
        <v>274.31</v>
      </c>
      <c r="I4728" s="96">
        <f t="shared" si="292"/>
        <v>276.13</v>
      </c>
      <c r="J4728" s="91" t="str">
        <f t="shared" si="293"/>
        <v>Sinapi 97515</v>
      </c>
      <c r="K4728" s="91" t="str">
        <f t="shared" si="294"/>
        <v>UN</v>
      </c>
      <c r="L4728" s="166" t="str">
        <f t="shared" si="295"/>
        <v>10/2020</v>
      </c>
      <c r="M4728" s="82"/>
      <c r="N4728" s="82"/>
    </row>
    <row r="4729" spans="1:14" x14ac:dyDescent="0.25">
      <c r="A4729" s="170" t="s">
        <v>7643</v>
      </c>
      <c r="B4729" s="170" t="s">
        <v>12051</v>
      </c>
      <c r="C4729" s="170" t="s">
        <v>205</v>
      </c>
      <c r="D4729" s="170" t="s">
        <v>1947</v>
      </c>
      <c r="E4729" s="171" t="s">
        <v>28571</v>
      </c>
      <c r="F4729" s="171" t="s">
        <v>37025</v>
      </c>
      <c r="G4729" s="82"/>
      <c r="H4729" s="96">
        <f t="shared" si="292"/>
        <v>52.18</v>
      </c>
      <c r="I4729" s="96">
        <f t="shared" si="292"/>
        <v>53.48</v>
      </c>
      <c r="J4729" s="91" t="str">
        <f t="shared" si="293"/>
        <v>Sinapi 97517</v>
      </c>
      <c r="K4729" s="91" t="str">
        <f t="shared" si="294"/>
        <v>UN</v>
      </c>
      <c r="L4729" s="166" t="str">
        <f t="shared" si="295"/>
        <v>10/2020</v>
      </c>
      <c r="M4729" s="82"/>
      <c r="N4729" s="82"/>
    </row>
    <row r="4730" spans="1:14" x14ac:dyDescent="0.25">
      <c r="A4730" s="170" t="s">
        <v>7644</v>
      </c>
      <c r="B4730" s="170" t="s">
        <v>12052</v>
      </c>
      <c r="C4730" s="170" t="s">
        <v>205</v>
      </c>
      <c r="D4730" s="170" t="s">
        <v>1947</v>
      </c>
      <c r="E4730" s="171" t="s">
        <v>28571</v>
      </c>
      <c r="F4730" s="171" t="s">
        <v>37025</v>
      </c>
      <c r="G4730" s="82"/>
      <c r="H4730" s="96">
        <f t="shared" si="292"/>
        <v>52.18</v>
      </c>
      <c r="I4730" s="96">
        <f t="shared" si="292"/>
        <v>53.48</v>
      </c>
      <c r="J4730" s="91" t="str">
        <f t="shared" si="293"/>
        <v>Sinapi 97518</v>
      </c>
      <c r="K4730" s="91" t="str">
        <f t="shared" si="294"/>
        <v>UN</v>
      </c>
      <c r="L4730" s="166" t="str">
        <f t="shared" si="295"/>
        <v>10/2020</v>
      </c>
      <c r="M4730" s="82"/>
      <c r="N4730" s="82"/>
    </row>
    <row r="4731" spans="1:14" x14ac:dyDescent="0.25">
      <c r="A4731" s="170" t="s">
        <v>7645</v>
      </c>
      <c r="B4731" s="170" t="s">
        <v>12053</v>
      </c>
      <c r="C4731" s="170" t="s">
        <v>205</v>
      </c>
      <c r="D4731" s="170" t="s">
        <v>1947</v>
      </c>
      <c r="E4731" s="171" t="s">
        <v>28772</v>
      </c>
      <c r="F4731" s="171" t="s">
        <v>29106</v>
      </c>
      <c r="G4731" s="82"/>
      <c r="H4731" s="96">
        <f t="shared" si="292"/>
        <v>75.16</v>
      </c>
      <c r="I4731" s="96">
        <f t="shared" si="292"/>
        <v>76.66</v>
      </c>
      <c r="J4731" s="91" t="str">
        <f t="shared" si="293"/>
        <v>Sinapi 97519</v>
      </c>
      <c r="K4731" s="91" t="str">
        <f t="shared" si="294"/>
        <v>UN</v>
      </c>
      <c r="L4731" s="166" t="str">
        <f t="shared" si="295"/>
        <v>10/2020</v>
      </c>
      <c r="M4731" s="82"/>
      <c r="N4731" s="82"/>
    </row>
    <row r="4732" spans="1:14" x14ac:dyDescent="0.25">
      <c r="A4732" s="170" t="s">
        <v>7646</v>
      </c>
      <c r="B4732" s="170" t="s">
        <v>12054</v>
      </c>
      <c r="C4732" s="170" t="s">
        <v>205</v>
      </c>
      <c r="D4732" s="170" t="s">
        <v>1947</v>
      </c>
      <c r="E4732" s="171" t="s">
        <v>28772</v>
      </c>
      <c r="F4732" s="171" t="s">
        <v>29106</v>
      </c>
      <c r="G4732" s="82"/>
      <c r="H4732" s="96">
        <f t="shared" si="292"/>
        <v>75.16</v>
      </c>
      <c r="I4732" s="96">
        <f t="shared" si="292"/>
        <v>76.66</v>
      </c>
      <c r="J4732" s="91" t="str">
        <f t="shared" si="293"/>
        <v>Sinapi 97520</v>
      </c>
      <c r="K4732" s="91" t="str">
        <f t="shared" si="294"/>
        <v>UN</v>
      </c>
      <c r="L4732" s="166" t="str">
        <f t="shared" si="295"/>
        <v>10/2020</v>
      </c>
      <c r="M4732" s="82"/>
      <c r="N4732" s="82"/>
    </row>
    <row r="4733" spans="1:14" x14ac:dyDescent="0.25">
      <c r="A4733" s="170" t="s">
        <v>7647</v>
      </c>
      <c r="B4733" s="170" t="s">
        <v>12055</v>
      </c>
      <c r="C4733" s="170" t="s">
        <v>205</v>
      </c>
      <c r="D4733" s="170" t="s">
        <v>1947</v>
      </c>
      <c r="E4733" s="171" t="s">
        <v>33854</v>
      </c>
      <c r="F4733" s="171" t="s">
        <v>37026</v>
      </c>
      <c r="G4733" s="82"/>
      <c r="H4733" s="96">
        <f t="shared" si="292"/>
        <v>105.46</v>
      </c>
      <c r="I4733" s="96">
        <f t="shared" si="292"/>
        <v>107.16</v>
      </c>
      <c r="J4733" s="91" t="str">
        <f t="shared" si="293"/>
        <v>Sinapi 97521</v>
      </c>
      <c r="K4733" s="91" t="str">
        <f t="shared" si="294"/>
        <v>UN</v>
      </c>
      <c r="L4733" s="166" t="str">
        <f t="shared" si="295"/>
        <v>10/2020</v>
      </c>
      <c r="M4733" s="82"/>
      <c r="N4733" s="82"/>
    </row>
    <row r="4734" spans="1:14" x14ac:dyDescent="0.25">
      <c r="A4734" s="170" t="s">
        <v>7648</v>
      </c>
      <c r="B4734" s="170" t="s">
        <v>12056</v>
      </c>
      <c r="C4734" s="170" t="s">
        <v>205</v>
      </c>
      <c r="D4734" s="170" t="s">
        <v>1947</v>
      </c>
      <c r="E4734" s="171" t="s">
        <v>33854</v>
      </c>
      <c r="F4734" s="171" t="s">
        <v>37026</v>
      </c>
      <c r="G4734" s="82"/>
      <c r="H4734" s="96">
        <f t="shared" si="292"/>
        <v>105.46</v>
      </c>
      <c r="I4734" s="96">
        <f t="shared" si="292"/>
        <v>107.16</v>
      </c>
      <c r="J4734" s="91" t="str">
        <f t="shared" si="293"/>
        <v>Sinapi 97522</v>
      </c>
      <c r="K4734" s="91" t="str">
        <f t="shared" si="294"/>
        <v>UN</v>
      </c>
      <c r="L4734" s="166" t="str">
        <f t="shared" si="295"/>
        <v>10/2020</v>
      </c>
      <c r="M4734" s="82"/>
      <c r="N4734" s="82"/>
    </row>
    <row r="4735" spans="1:14" x14ac:dyDescent="0.25">
      <c r="A4735" s="170" t="s">
        <v>7649</v>
      </c>
      <c r="B4735" s="170" t="s">
        <v>12057</v>
      </c>
      <c r="C4735" s="170" t="s">
        <v>205</v>
      </c>
      <c r="D4735" s="170" t="s">
        <v>1947</v>
      </c>
      <c r="E4735" s="171" t="s">
        <v>33855</v>
      </c>
      <c r="F4735" s="171" t="s">
        <v>29077</v>
      </c>
      <c r="G4735" s="82"/>
      <c r="H4735" s="96">
        <f t="shared" si="292"/>
        <v>145.91</v>
      </c>
      <c r="I4735" s="96">
        <f t="shared" si="292"/>
        <v>147.87</v>
      </c>
      <c r="J4735" s="91" t="str">
        <f t="shared" si="293"/>
        <v>Sinapi 97523</v>
      </c>
      <c r="K4735" s="91" t="str">
        <f t="shared" si="294"/>
        <v>UN</v>
      </c>
      <c r="L4735" s="166" t="str">
        <f t="shared" si="295"/>
        <v>10/2020</v>
      </c>
      <c r="M4735" s="82"/>
      <c r="N4735" s="82"/>
    </row>
    <row r="4736" spans="1:14" x14ac:dyDescent="0.25">
      <c r="A4736" s="170" t="s">
        <v>7650</v>
      </c>
      <c r="B4736" s="170" t="s">
        <v>12058</v>
      </c>
      <c r="C4736" s="170" t="s">
        <v>205</v>
      </c>
      <c r="D4736" s="170" t="s">
        <v>1947</v>
      </c>
      <c r="E4736" s="171" t="s">
        <v>33856</v>
      </c>
      <c r="F4736" s="171" t="s">
        <v>37027</v>
      </c>
      <c r="G4736" s="82"/>
      <c r="H4736" s="96">
        <f t="shared" si="292"/>
        <v>157.74</v>
      </c>
      <c r="I4736" s="96">
        <f t="shared" si="292"/>
        <v>159.69999999999999</v>
      </c>
      <c r="J4736" s="91" t="str">
        <f t="shared" si="293"/>
        <v>Sinapi 97524</v>
      </c>
      <c r="K4736" s="91" t="str">
        <f t="shared" si="294"/>
        <v>UN</v>
      </c>
      <c r="L4736" s="166" t="str">
        <f t="shared" si="295"/>
        <v>10/2020</v>
      </c>
      <c r="M4736" s="82"/>
      <c r="N4736" s="82"/>
    </row>
    <row r="4737" spans="1:14" x14ac:dyDescent="0.25">
      <c r="A4737" s="170" t="s">
        <v>7651</v>
      </c>
      <c r="B4737" s="170" t="s">
        <v>12059</v>
      </c>
      <c r="C4737" s="170" t="s">
        <v>205</v>
      </c>
      <c r="D4737" s="170" t="s">
        <v>1947</v>
      </c>
      <c r="E4737" s="171" t="s">
        <v>23312</v>
      </c>
      <c r="F4737" s="171" t="s">
        <v>37028</v>
      </c>
      <c r="G4737" s="82"/>
      <c r="H4737" s="96">
        <f t="shared" si="292"/>
        <v>277.45</v>
      </c>
      <c r="I4737" s="96">
        <f t="shared" si="292"/>
        <v>279.8</v>
      </c>
      <c r="J4737" s="91" t="str">
        <f t="shared" si="293"/>
        <v>Sinapi 97525</v>
      </c>
      <c r="K4737" s="91" t="str">
        <f t="shared" si="294"/>
        <v>UN</v>
      </c>
      <c r="L4737" s="166" t="str">
        <f t="shared" si="295"/>
        <v>10/2020</v>
      </c>
      <c r="M4737" s="82"/>
      <c r="N4737" s="82"/>
    </row>
    <row r="4738" spans="1:14" x14ac:dyDescent="0.25">
      <c r="A4738" s="170" t="s">
        <v>7652</v>
      </c>
      <c r="B4738" s="170" t="s">
        <v>12060</v>
      </c>
      <c r="C4738" s="170" t="s">
        <v>205</v>
      </c>
      <c r="D4738" s="170" t="s">
        <v>1947</v>
      </c>
      <c r="E4738" s="171" t="s">
        <v>33857</v>
      </c>
      <c r="F4738" s="171" t="s">
        <v>37029</v>
      </c>
      <c r="G4738" s="82"/>
      <c r="H4738" s="96">
        <f t="shared" si="292"/>
        <v>296.37</v>
      </c>
      <c r="I4738" s="96">
        <f t="shared" si="292"/>
        <v>298.72000000000003</v>
      </c>
      <c r="J4738" s="91" t="str">
        <f t="shared" si="293"/>
        <v>Sinapi 97526</v>
      </c>
      <c r="K4738" s="91" t="str">
        <f t="shared" si="294"/>
        <v>UN</v>
      </c>
      <c r="L4738" s="166" t="str">
        <f t="shared" si="295"/>
        <v>10/2020</v>
      </c>
      <c r="M4738" s="82"/>
      <c r="N4738" s="82"/>
    </row>
    <row r="4739" spans="1:14" x14ac:dyDescent="0.25">
      <c r="A4739" s="170" t="s">
        <v>7653</v>
      </c>
      <c r="B4739" s="170" t="s">
        <v>12061</v>
      </c>
      <c r="C4739" s="170" t="s">
        <v>205</v>
      </c>
      <c r="D4739" s="170" t="s">
        <v>1947</v>
      </c>
      <c r="E4739" s="171" t="s">
        <v>33858</v>
      </c>
      <c r="F4739" s="171" t="s">
        <v>37030</v>
      </c>
      <c r="G4739" s="82"/>
      <c r="H4739" s="96">
        <f t="shared" si="292"/>
        <v>688.18</v>
      </c>
      <c r="I4739" s="96">
        <f t="shared" si="292"/>
        <v>690.92</v>
      </c>
      <c r="J4739" s="91" t="str">
        <f t="shared" si="293"/>
        <v>Sinapi 97527</v>
      </c>
      <c r="K4739" s="91" t="str">
        <f t="shared" si="294"/>
        <v>UN</v>
      </c>
      <c r="L4739" s="166" t="str">
        <f t="shared" si="295"/>
        <v>10/2020</v>
      </c>
      <c r="M4739" s="82"/>
      <c r="N4739" s="82"/>
    </row>
    <row r="4740" spans="1:14" x14ac:dyDescent="0.25">
      <c r="A4740" s="170" t="s">
        <v>7654</v>
      </c>
      <c r="B4740" s="170" t="s">
        <v>12062</v>
      </c>
      <c r="C4740" s="170" t="s">
        <v>205</v>
      </c>
      <c r="D4740" s="170" t="s">
        <v>1947</v>
      </c>
      <c r="E4740" s="171" t="s">
        <v>33859</v>
      </c>
      <c r="F4740" s="171" t="s">
        <v>37031</v>
      </c>
      <c r="G4740" s="82"/>
      <c r="H4740" s="96">
        <f t="shared" si="292"/>
        <v>603.29</v>
      </c>
      <c r="I4740" s="96">
        <f t="shared" si="292"/>
        <v>606.03</v>
      </c>
      <c r="J4740" s="91" t="str">
        <f t="shared" si="293"/>
        <v>Sinapi 97528</v>
      </c>
      <c r="K4740" s="91" t="str">
        <f t="shared" si="294"/>
        <v>UN</v>
      </c>
      <c r="L4740" s="166" t="str">
        <f t="shared" si="295"/>
        <v>10/2020</v>
      </c>
      <c r="M4740" s="82"/>
      <c r="N4740" s="82"/>
    </row>
    <row r="4741" spans="1:14" x14ac:dyDescent="0.25">
      <c r="A4741" s="170" t="s">
        <v>7655</v>
      </c>
      <c r="B4741" s="170" t="s">
        <v>12063</v>
      </c>
      <c r="C4741" s="170" t="s">
        <v>205</v>
      </c>
      <c r="D4741" s="170" t="s">
        <v>1947</v>
      </c>
      <c r="E4741" s="171" t="s">
        <v>28924</v>
      </c>
      <c r="F4741" s="171" t="s">
        <v>25111</v>
      </c>
      <c r="G4741" s="82"/>
      <c r="H4741" s="96">
        <f t="shared" si="292"/>
        <v>82.16</v>
      </c>
      <c r="I4741" s="96">
        <f t="shared" si="292"/>
        <v>83.91</v>
      </c>
      <c r="J4741" s="91" t="str">
        <f t="shared" si="293"/>
        <v>Sinapi 97529</v>
      </c>
      <c r="K4741" s="91" t="str">
        <f t="shared" si="294"/>
        <v>UN</v>
      </c>
      <c r="L4741" s="166" t="str">
        <f t="shared" si="295"/>
        <v>10/2020</v>
      </c>
      <c r="M4741" s="82"/>
      <c r="N4741" s="82"/>
    </row>
    <row r="4742" spans="1:14" x14ac:dyDescent="0.25">
      <c r="A4742" s="170" t="s">
        <v>7656</v>
      </c>
      <c r="B4742" s="170" t="s">
        <v>12064</v>
      </c>
      <c r="C4742" s="170" t="s">
        <v>205</v>
      </c>
      <c r="D4742" s="170" t="s">
        <v>1947</v>
      </c>
      <c r="E4742" s="171" t="s">
        <v>33860</v>
      </c>
      <c r="F4742" s="171" t="s">
        <v>37032</v>
      </c>
      <c r="G4742" s="82"/>
      <c r="H4742" s="96">
        <f t="shared" si="292"/>
        <v>119.98</v>
      </c>
      <c r="I4742" s="96">
        <f t="shared" si="292"/>
        <v>121.97</v>
      </c>
      <c r="J4742" s="91" t="str">
        <f t="shared" si="293"/>
        <v>Sinapi 97530</v>
      </c>
      <c r="K4742" s="91" t="str">
        <f t="shared" si="294"/>
        <v>UN</v>
      </c>
      <c r="L4742" s="166" t="str">
        <f t="shared" si="295"/>
        <v>10/2020</v>
      </c>
      <c r="M4742" s="82"/>
      <c r="N4742" s="82"/>
    </row>
    <row r="4743" spans="1:14" x14ac:dyDescent="0.25">
      <c r="A4743" s="170" t="s">
        <v>7657</v>
      </c>
      <c r="B4743" s="170" t="s">
        <v>12065</v>
      </c>
      <c r="C4743" s="170" t="s">
        <v>205</v>
      </c>
      <c r="D4743" s="170" t="s">
        <v>1947</v>
      </c>
      <c r="E4743" s="171" t="s">
        <v>33861</v>
      </c>
      <c r="F4743" s="171" t="s">
        <v>37033</v>
      </c>
      <c r="G4743" s="82"/>
      <c r="H4743" s="96">
        <f t="shared" si="292"/>
        <v>153.4</v>
      </c>
      <c r="I4743" s="96">
        <f t="shared" si="292"/>
        <v>155.66</v>
      </c>
      <c r="J4743" s="91" t="str">
        <f t="shared" si="293"/>
        <v>Sinapi 97531</v>
      </c>
      <c r="K4743" s="91" t="str">
        <f t="shared" si="294"/>
        <v>UN</v>
      </c>
      <c r="L4743" s="166" t="str">
        <f t="shared" si="295"/>
        <v>10/2020</v>
      </c>
      <c r="M4743" s="82"/>
      <c r="N4743" s="82"/>
    </row>
    <row r="4744" spans="1:14" x14ac:dyDescent="0.25">
      <c r="A4744" s="170" t="s">
        <v>7658</v>
      </c>
      <c r="B4744" s="170" t="s">
        <v>12066</v>
      </c>
      <c r="C4744" s="170" t="s">
        <v>205</v>
      </c>
      <c r="D4744" s="170" t="s">
        <v>1947</v>
      </c>
      <c r="E4744" s="171" t="s">
        <v>33862</v>
      </c>
      <c r="F4744" s="171" t="s">
        <v>37034</v>
      </c>
      <c r="G4744" s="82"/>
      <c r="H4744" s="96">
        <f t="shared" ref="H4744:I4807" si="296">IF(E4744="","",E4744+0)</f>
        <v>241.99</v>
      </c>
      <c r="I4744" s="96">
        <f t="shared" si="296"/>
        <v>244.6</v>
      </c>
      <c r="J4744" s="91" t="str">
        <f t="shared" ref="J4744:J4807" si="297">IF(OR(H4744="",I4744=""),"",TRIM(CONCATENATE("Sinapi ",A4744)))</f>
        <v>Sinapi 97532</v>
      </c>
      <c r="K4744" s="91" t="str">
        <f t="shared" ref="K4744:K4807" si="298">TRIM(C4744)</f>
        <v>UN</v>
      </c>
      <c r="L4744" s="166" t="str">
        <f t="shared" ref="L4744:L4807" si="299">IF(OR(RIGHT(IF(AND(K4744&lt;&gt;"H",K4744&lt;&gt;"MES"),RIGHT(B4744,7),""),2)="PS",RIGHT(IF(AND(K4744&lt;&gt;"H",K4744&lt;&gt;"MES"),RIGHT(B4744,7),""),2)="PA",RIGHT(IF(AND(K4744&lt;&gt;"H",K4744&lt;&gt;"MES"),RIGHT(B4744,7),""),2)="PE"),LEFT(IF(AND(K4744&lt;&gt;"H",K4744&lt;&gt;"MES"),RIGHT(B4744,10),""),7),IF(AND(K4744&lt;&gt;"H",K4744&lt;&gt;"MES"),RIGHT(B4744,7),""))</f>
        <v>10/2020</v>
      </c>
      <c r="M4744" s="82"/>
      <c r="N4744" s="82"/>
    </row>
    <row r="4745" spans="1:14" x14ac:dyDescent="0.25">
      <c r="A4745" s="170" t="s">
        <v>7659</v>
      </c>
      <c r="B4745" s="170" t="s">
        <v>12067</v>
      </c>
      <c r="C4745" s="170" t="s">
        <v>205</v>
      </c>
      <c r="D4745" s="170" t="s">
        <v>1947</v>
      </c>
      <c r="E4745" s="171" t="s">
        <v>33863</v>
      </c>
      <c r="F4745" s="171" t="s">
        <v>37035</v>
      </c>
      <c r="G4745" s="82"/>
      <c r="H4745" s="96">
        <f t="shared" si="296"/>
        <v>458.36</v>
      </c>
      <c r="I4745" s="96">
        <f t="shared" si="296"/>
        <v>461.9</v>
      </c>
      <c r="J4745" s="91" t="str">
        <f t="shared" si="297"/>
        <v>Sinapi 97533</v>
      </c>
      <c r="K4745" s="91" t="str">
        <f t="shared" si="298"/>
        <v>UN</v>
      </c>
      <c r="L4745" s="166" t="str">
        <f t="shared" si="299"/>
        <v>10/2020</v>
      </c>
      <c r="M4745" s="82"/>
      <c r="N4745" s="82"/>
    </row>
    <row r="4746" spans="1:14" x14ac:dyDescent="0.25">
      <c r="A4746" s="170" t="s">
        <v>7660</v>
      </c>
      <c r="B4746" s="170" t="s">
        <v>12068</v>
      </c>
      <c r="C4746" s="170" t="s">
        <v>205</v>
      </c>
      <c r="D4746" s="170" t="s">
        <v>1947</v>
      </c>
      <c r="E4746" s="171" t="s">
        <v>33864</v>
      </c>
      <c r="F4746" s="171" t="s">
        <v>37036</v>
      </c>
      <c r="G4746" s="82"/>
      <c r="H4746" s="96">
        <f t="shared" si="296"/>
        <v>730.26</v>
      </c>
      <c r="I4746" s="96">
        <f t="shared" si="296"/>
        <v>733.93</v>
      </c>
      <c r="J4746" s="91" t="str">
        <f t="shared" si="297"/>
        <v>Sinapi 97534</v>
      </c>
      <c r="K4746" s="91" t="str">
        <f t="shared" si="298"/>
        <v>UN</v>
      </c>
      <c r="L4746" s="166" t="str">
        <f t="shared" si="299"/>
        <v>10/2020</v>
      </c>
      <c r="M4746" s="82"/>
      <c r="N4746" s="82"/>
    </row>
    <row r="4747" spans="1:14" x14ac:dyDescent="0.25">
      <c r="A4747" s="170" t="s">
        <v>7661</v>
      </c>
      <c r="B4747" s="170" t="s">
        <v>12069</v>
      </c>
      <c r="C4747" s="170" t="s">
        <v>205</v>
      </c>
      <c r="D4747" s="170" t="s">
        <v>1947</v>
      </c>
      <c r="E4747" s="171" t="s">
        <v>17950</v>
      </c>
      <c r="F4747" s="171" t="s">
        <v>37037</v>
      </c>
      <c r="G4747" s="82"/>
      <c r="H4747" s="96">
        <f t="shared" si="296"/>
        <v>23.6</v>
      </c>
      <c r="I4747" s="96">
        <f t="shared" si="296"/>
        <v>24.46</v>
      </c>
      <c r="J4747" s="91" t="str">
        <f t="shared" si="297"/>
        <v>Sinapi 97537</v>
      </c>
      <c r="K4747" s="91" t="str">
        <f t="shared" si="298"/>
        <v>UN</v>
      </c>
      <c r="L4747" s="166" t="str">
        <f t="shared" si="299"/>
        <v>10/2020</v>
      </c>
      <c r="M4747" s="82"/>
      <c r="N4747" s="82"/>
    </row>
    <row r="4748" spans="1:14" x14ac:dyDescent="0.25">
      <c r="A4748" s="170" t="s">
        <v>7662</v>
      </c>
      <c r="B4748" s="170" t="s">
        <v>12070</v>
      </c>
      <c r="C4748" s="170" t="s">
        <v>205</v>
      </c>
      <c r="D4748" s="170" t="s">
        <v>1947</v>
      </c>
      <c r="E4748" s="171" t="s">
        <v>20661</v>
      </c>
      <c r="F4748" s="171" t="s">
        <v>20102</v>
      </c>
      <c r="G4748" s="82"/>
      <c r="H4748" s="96">
        <f t="shared" si="296"/>
        <v>31.02</v>
      </c>
      <c r="I4748" s="96">
        <f t="shared" si="296"/>
        <v>32.49</v>
      </c>
      <c r="J4748" s="91" t="str">
        <f t="shared" si="297"/>
        <v>Sinapi 97540</v>
      </c>
      <c r="K4748" s="91" t="str">
        <f t="shared" si="298"/>
        <v>UN</v>
      </c>
      <c r="L4748" s="166" t="str">
        <f t="shared" si="299"/>
        <v>10/2020</v>
      </c>
      <c r="M4748" s="82"/>
      <c r="N4748" s="82"/>
    </row>
    <row r="4749" spans="1:14" x14ac:dyDescent="0.25">
      <c r="A4749" s="170" t="s">
        <v>7663</v>
      </c>
      <c r="B4749" s="170" t="s">
        <v>12071</v>
      </c>
      <c r="C4749" s="170" t="s">
        <v>205</v>
      </c>
      <c r="D4749" s="170" t="s">
        <v>1947</v>
      </c>
      <c r="E4749" s="171" t="s">
        <v>23068</v>
      </c>
      <c r="F4749" s="171" t="s">
        <v>19409</v>
      </c>
      <c r="G4749" s="82"/>
      <c r="H4749" s="96">
        <f t="shared" si="296"/>
        <v>25.98</v>
      </c>
      <c r="I4749" s="96">
        <f t="shared" si="296"/>
        <v>27.45</v>
      </c>
      <c r="J4749" s="91" t="str">
        <f t="shared" si="297"/>
        <v>Sinapi 97541</v>
      </c>
      <c r="K4749" s="91" t="str">
        <f t="shared" si="298"/>
        <v>UN</v>
      </c>
      <c r="L4749" s="166" t="str">
        <f t="shared" si="299"/>
        <v>10/2020</v>
      </c>
      <c r="M4749" s="82"/>
      <c r="N4749" s="82"/>
    </row>
    <row r="4750" spans="1:14" x14ac:dyDescent="0.25">
      <c r="A4750" s="170" t="s">
        <v>7664</v>
      </c>
      <c r="B4750" s="170" t="s">
        <v>12072</v>
      </c>
      <c r="C4750" s="170" t="s">
        <v>205</v>
      </c>
      <c r="D4750" s="170" t="s">
        <v>1947</v>
      </c>
      <c r="E4750" s="171" t="s">
        <v>22030</v>
      </c>
      <c r="F4750" s="171" t="s">
        <v>29355</v>
      </c>
      <c r="G4750" s="82"/>
      <c r="H4750" s="96">
        <f t="shared" si="296"/>
        <v>49.48</v>
      </c>
      <c r="I4750" s="96">
        <f t="shared" si="296"/>
        <v>52.36</v>
      </c>
      <c r="J4750" s="91" t="str">
        <f t="shared" si="297"/>
        <v>Sinapi 97543</v>
      </c>
      <c r="K4750" s="91" t="str">
        <f t="shared" si="298"/>
        <v>UN</v>
      </c>
      <c r="L4750" s="166" t="str">
        <f t="shared" si="299"/>
        <v>10/2020</v>
      </c>
      <c r="M4750" s="82"/>
      <c r="N4750" s="82"/>
    </row>
    <row r="4751" spans="1:14" x14ac:dyDescent="0.25">
      <c r="A4751" s="170" t="s">
        <v>7665</v>
      </c>
      <c r="B4751" s="170" t="s">
        <v>12073</v>
      </c>
      <c r="C4751" s="170" t="s">
        <v>205</v>
      </c>
      <c r="D4751" s="170" t="s">
        <v>1947</v>
      </c>
      <c r="E4751" s="171" t="s">
        <v>23189</v>
      </c>
      <c r="F4751" s="171" t="s">
        <v>37038</v>
      </c>
      <c r="G4751" s="82"/>
      <c r="H4751" s="96">
        <f t="shared" si="296"/>
        <v>43.4</v>
      </c>
      <c r="I4751" s="96">
        <f t="shared" si="296"/>
        <v>46.28</v>
      </c>
      <c r="J4751" s="91" t="str">
        <f t="shared" si="297"/>
        <v>Sinapi 97544</v>
      </c>
      <c r="K4751" s="91" t="str">
        <f t="shared" si="298"/>
        <v>UN</v>
      </c>
      <c r="L4751" s="166" t="str">
        <f t="shared" si="299"/>
        <v>10/2020</v>
      </c>
      <c r="M4751" s="82"/>
      <c r="N4751" s="82"/>
    </row>
    <row r="4752" spans="1:14" x14ac:dyDescent="0.25">
      <c r="A4752" s="170" t="s">
        <v>7666</v>
      </c>
      <c r="B4752" s="170" t="s">
        <v>12074</v>
      </c>
      <c r="C4752" s="170" t="s">
        <v>205</v>
      </c>
      <c r="D4752" s="170" t="s">
        <v>1947</v>
      </c>
      <c r="E4752" s="171" t="s">
        <v>27842</v>
      </c>
      <c r="F4752" s="171" t="s">
        <v>28422</v>
      </c>
      <c r="G4752" s="82"/>
      <c r="H4752" s="96">
        <f t="shared" si="296"/>
        <v>32.83</v>
      </c>
      <c r="I4752" s="96">
        <f t="shared" si="296"/>
        <v>34.130000000000003</v>
      </c>
      <c r="J4752" s="91" t="str">
        <f t="shared" si="297"/>
        <v>Sinapi 97546</v>
      </c>
      <c r="K4752" s="91" t="str">
        <f t="shared" si="298"/>
        <v>UN</v>
      </c>
      <c r="L4752" s="166" t="str">
        <f t="shared" si="299"/>
        <v>10/2020</v>
      </c>
      <c r="M4752" s="82"/>
      <c r="N4752" s="82"/>
    </row>
    <row r="4753" spans="1:14" x14ac:dyDescent="0.25">
      <c r="A4753" s="170" t="s">
        <v>7667</v>
      </c>
      <c r="B4753" s="170" t="s">
        <v>12075</v>
      </c>
      <c r="C4753" s="170" t="s">
        <v>205</v>
      </c>
      <c r="D4753" s="170" t="s">
        <v>1947</v>
      </c>
      <c r="E4753" s="171" t="s">
        <v>27842</v>
      </c>
      <c r="F4753" s="171" t="s">
        <v>28422</v>
      </c>
      <c r="G4753" s="82"/>
      <c r="H4753" s="96">
        <f t="shared" si="296"/>
        <v>32.83</v>
      </c>
      <c r="I4753" s="96">
        <f t="shared" si="296"/>
        <v>34.130000000000003</v>
      </c>
      <c r="J4753" s="91" t="str">
        <f t="shared" si="297"/>
        <v>Sinapi 97547</v>
      </c>
      <c r="K4753" s="91" t="str">
        <f t="shared" si="298"/>
        <v>UN</v>
      </c>
      <c r="L4753" s="166" t="str">
        <f t="shared" si="299"/>
        <v>10/2020</v>
      </c>
      <c r="M4753" s="82"/>
      <c r="N4753" s="82"/>
    </row>
    <row r="4754" spans="1:14" x14ac:dyDescent="0.25">
      <c r="A4754" s="170" t="s">
        <v>7668</v>
      </c>
      <c r="B4754" s="170" t="s">
        <v>12076</v>
      </c>
      <c r="C4754" s="170" t="s">
        <v>205</v>
      </c>
      <c r="D4754" s="170" t="s">
        <v>1947</v>
      </c>
      <c r="E4754" s="171" t="s">
        <v>33671</v>
      </c>
      <c r="F4754" s="171" t="s">
        <v>28587</v>
      </c>
      <c r="G4754" s="82"/>
      <c r="H4754" s="96">
        <f t="shared" si="296"/>
        <v>48.04</v>
      </c>
      <c r="I4754" s="96">
        <f t="shared" si="296"/>
        <v>50.25</v>
      </c>
      <c r="J4754" s="91" t="str">
        <f t="shared" si="297"/>
        <v>Sinapi 97548</v>
      </c>
      <c r="K4754" s="91" t="str">
        <f t="shared" si="298"/>
        <v>UN</v>
      </c>
      <c r="L4754" s="166" t="str">
        <f t="shared" si="299"/>
        <v>10/2020</v>
      </c>
      <c r="M4754" s="82"/>
      <c r="N4754" s="82"/>
    </row>
    <row r="4755" spans="1:14" x14ac:dyDescent="0.25">
      <c r="A4755" s="170" t="s">
        <v>7669</v>
      </c>
      <c r="B4755" s="170" t="s">
        <v>12077</v>
      </c>
      <c r="C4755" s="170" t="s">
        <v>205</v>
      </c>
      <c r="D4755" s="170" t="s">
        <v>1947</v>
      </c>
      <c r="E4755" s="171" t="s">
        <v>33671</v>
      </c>
      <c r="F4755" s="171" t="s">
        <v>28587</v>
      </c>
      <c r="G4755" s="82"/>
      <c r="H4755" s="96">
        <f t="shared" si="296"/>
        <v>48.04</v>
      </c>
      <c r="I4755" s="96">
        <f t="shared" si="296"/>
        <v>50.25</v>
      </c>
      <c r="J4755" s="91" t="str">
        <f t="shared" si="297"/>
        <v>Sinapi 97549</v>
      </c>
      <c r="K4755" s="91" t="str">
        <f t="shared" si="298"/>
        <v>UN</v>
      </c>
      <c r="L4755" s="166" t="str">
        <f t="shared" si="299"/>
        <v>10/2020</v>
      </c>
      <c r="M4755" s="82"/>
      <c r="N4755" s="82"/>
    </row>
    <row r="4756" spans="1:14" x14ac:dyDescent="0.25">
      <c r="A4756" s="170" t="s">
        <v>7670</v>
      </c>
      <c r="B4756" s="170" t="s">
        <v>12078</v>
      </c>
      <c r="C4756" s="170" t="s">
        <v>205</v>
      </c>
      <c r="D4756" s="170" t="s">
        <v>1947</v>
      </c>
      <c r="E4756" s="171" t="s">
        <v>33865</v>
      </c>
      <c r="F4756" s="171" t="s">
        <v>29439</v>
      </c>
      <c r="G4756" s="82"/>
      <c r="H4756" s="96">
        <f t="shared" si="296"/>
        <v>78.44</v>
      </c>
      <c r="I4756" s="96">
        <f t="shared" si="296"/>
        <v>82.74</v>
      </c>
      <c r="J4756" s="91" t="str">
        <f t="shared" si="297"/>
        <v>Sinapi 97550</v>
      </c>
      <c r="K4756" s="91" t="str">
        <f t="shared" si="298"/>
        <v>UN</v>
      </c>
      <c r="L4756" s="166" t="str">
        <f t="shared" si="299"/>
        <v>10/2020</v>
      </c>
      <c r="M4756" s="82"/>
      <c r="N4756" s="82"/>
    </row>
    <row r="4757" spans="1:14" x14ac:dyDescent="0.25">
      <c r="A4757" s="170" t="s">
        <v>7671</v>
      </c>
      <c r="B4757" s="170" t="s">
        <v>12079</v>
      </c>
      <c r="C4757" s="170" t="s">
        <v>205</v>
      </c>
      <c r="D4757" s="170" t="s">
        <v>1947</v>
      </c>
      <c r="E4757" s="171" t="s">
        <v>33865</v>
      </c>
      <c r="F4757" s="171" t="s">
        <v>29439</v>
      </c>
      <c r="G4757" s="82"/>
      <c r="H4757" s="96">
        <f t="shared" si="296"/>
        <v>78.44</v>
      </c>
      <c r="I4757" s="96">
        <f t="shared" si="296"/>
        <v>82.74</v>
      </c>
      <c r="J4757" s="91" t="str">
        <f t="shared" si="297"/>
        <v>Sinapi 97551</v>
      </c>
      <c r="K4757" s="91" t="str">
        <f t="shared" si="298"/>
        <v>UN</v>
      </c>
      <c r="L4757" s="166" t="str">
        <f t="shared" si="299"/>
        <v>10/2020</v>
      </c>
      <c r="M4757" s="82"/>
      <c r="N4757" s="82"/>
    </row>
    <row r="4758" spans="1:14" x14ac:dyDescent="0.25">
      <c r="A4758" s="170" t="s">
        <v>7672</v>
      </c>
      <c r="B4758" s="170" t="s">
        <v>12080</v>
      </c>
      <c r="C4758" s="170" t="s">
        <v>205</v>
      </c>
      <c r="D4758" s="170" t="s">
        <v>1947</v>
      </c>
      <c r="E4758" s="171" t="s">
        <v>33866</v>
      </c>
      <c r="F4758" s="171" t="s">
        <v>21459</v>
      </c>
      <c r="G4758" s="82"/>
      <c r="H4758" s="96">
        <f t="shared" si="296"/>
        <v>48.15</v>
      </c>
      <c r="I4758" s="96">
        <f t="shared" si="296"/>
        <v>49.88</v>
      </c>
      <c r="J4758" s="91" t="str">
        <f t="shared" si="297"/>
        <v>Sinapi 97552</v>
      </c>
      <c r="K4758" s="91" t="str">
        <f t="shared" si="298"/>
        <v>UN</v>
      </c>
      <c r="L4758" s="166" t="str">
        <f t="shared" si="299"/>
        <v>10/2020</v>
      </c>
      <c r="M4758" s="82"/>
      <c r="N4758" s="82"/>
    </row>
    <row r="4759" spans="1:14" x14ac:dyDescent="0.25">
      <c r="A4759" s="170" t="s">
        <v>7673</v>
      </c>
      <c r="B4759" s="170" t="s">
        <v>12081</v>
      </c>
      <c r="C4759" s="170" t="s">
        <v>205</v>
      </c>
      <c r="D4759" s="170" t="s">
        <v>1947</v>
      </c>
      <c r="E4759" s="171" t="s">
        <v>21624</v>
      </c>
      <c r="F4759" s="171" t="s">
        <v>29755</v>
      </c>
      <c r="G4759" s="82"/>
      <c r="H4759" s="96">
        <f t="shared" si="296"/>
        <v>68.44</v>
      </c>
      <c r="I4759" s="96">
        <f t="shared" si="296"/>
        <v>71.39</v>
      </c>
      <c r="J4759" s="91" t="str">
        <f t="shared" si="297"/>
        <v>Sinapi 97553</v>
      </c>
      <c r="K4759" s="91" t="str">
        <f t="shared" si="298"/>
        <v>UN</v>
      </c>
      <c r="L4759" s="166" t="str">
        <f t="shared" si="299"/>
        <v>10/2020</v>
      </c>
      <c r="M4759" s="82"/>
      <c r="N4759" s="82"/>
    </row>
    <row r="4760" spans="1:14" x14ac:dyDescent="0.25">
      <c r="A4760" s="170" t="s">
        <v>7674</v>
      </c>
      <c r="B4760" s="170" t="s">
        <v>12082</v>
      </c>
      <c r="C4760" s="170" t="s">
        <v>205</v>
      </c>
      <c r="D4760" s="170" t="s">
        <v>1947</v>
      </c>
      <c r="E4760" s="171" t="s">
        <v>23323</v>
      </c>
      <c r="F4760" s="171" t="s">
        <v>23175</v>
      </c>
      <c r="G4760" s="82"/>
      <c r="H4760" s="96">
        <f t="shared" si="296"/>
        <v>117.19</v>
      </c>
      <c r="I4760" s="96">
        <f t="shared" si="296"/>
        <v>122.93</v>
      </c>
      <c r="J4760" s="91" t="str">
        <f t="shared" si="297"/>
        <v>Sinapi 97554</v>
      </c>
      <c r="K4760" s="91" t="str">
        <f t="shared" si="298"/>
        <v>UN</v>
      </c>
      <c r="L4760" s="166" t="str">
        <f t="shared" si="299"/>
        <v>10/2020</v>
      </c>
      <c r="M4760" s="82"/>
      <c r="N4760" s="82"/>
    </row>
    <row r="4761" spans="1:14" x14ac:dyDescent="0.25">
      <c r="A4761" s="170" t="s">
        <v>7675</v>
      </c>
      <c r="B4761" s="170" t="s">
        <v>15967</v>
      </c>
      <c r="C4761" s="170" t="s">
        <v>205</v>
      </c>
      <c r="D4761" s="170" t="s">
        <v>1947</v>
      </c>
      <c r="E4761" s="171" t="s">
        <v>18605</v>
      </c>
      <c r="F4761" s="171" t="s">
        <v>22768</v>
      </c>
      <c r="G4761" s="82"/>
      <c r="H4761" s="96">
        <f t="shared" si="296"/>
        <v>16.420000000000002</v>
      </c>
      <c r="I4761" s="96">
        <f t="shared" si="296"/>
        <v>16.73</v>
      </c>
      <c r="J4761" s="91" t="str">
        <f t="shared" si="297"/>
        <v>Sinapi 98602</v>
      </c>
      <c r="K4761" s="91" t="str">
        <f t="shared" si="298"/>
        <v>UN</v>
      </c>
      <c r="L4761" s="166" t="str">
        <f t="shared" si="299"/>
        <v>04/2022</v>
      </c>
      <c r="M4761" s="82"/>
      <c r="N4761" s="82"/>
    </row>
    <row r="4762" spans="1:14" x14ac:dyDescent="0.25">
      <c r="A4762" s="170" t="s">
        <v>15968</v>
      </c>
      <c r="B4762" s="170" t="s">
        <v>15969</v>
      </c>
      <c r="C4762" s="170" t="s">
        <v>205</v>
      </c>
      <c r="D4762" s="170" t="s">
        <v>1947</v>
      </c>
      <c r="E4762" s="171" t="s">
        <v>28742</v>
      </c>
      <c r="F4762" s="171" t="s">
        <v>19940</v>
      </c>
      <c r="G4762" s="82"/>
      <c r="H4762" s="96">
        <f t="shared" si="296"/>
        <v>15.67</v>
      </c>
      <c r="I4762" s="96">
        <f t="shared" si="296"/>
        <v>16.829999999999998</v>
      </c>
      <c r="J4762" s="91" t="str">
        <f t="shared" si="297"/>
        <v>Sinapi 103805</v>
      </c>
      <c r="K4762" s="91" t="str">
        <f t="shared" si="298"/>
        <v>UN</v>
      </c>
      <c r="L4762" s="166" t="str">
        <f t="shared" si="299"/>
        <v>04/2022</v>
      </c>
      <c r="M4762" s="82"/>
      <c r="N4762" s="82"/>
    </row>
    <row r="4763" spans="1:14" x14ac:dyDescent="0.25">
      <c r="A4763" s="170" t="s">
        <v>15970</v>
      </c>
      <c r="B4763" s="170" t="s">
        <v>15971</v>
      </c>
      <c r="C4763" s="170" t="s">
        <v>205</v>
      </c>
      <c r="D4763" s="170" t="s">
        <v>1947</v>
      </c>
      <c r="E4763" s="171" t="s">
        <v>20488</v>
      </c>
      <c r="F4763" s="171" t="s">
        <v>18569</v>
      </c>
      <c r="G4763" s="82"/>
      <c r="H4763" s="96">
        <f t="shared" si="296"/>
        <v>15.64</v>
      </c>
      <c r="I4763" s="96">
        <f t="shared" si="296"/>
        <v>16.8</v>
      </c>
      <c r="J4763" s="91" t="str">
        <f t="shared" si="297"/>
        <v>Sinapi 103806</v>
      </c>
      <c r="K4763" s="91" t="str">
        <f t="shared" si="298"/>
        <v>UN</v>
      </c>
      <c r="L4763" s="166" t="str">
        <f t="shared" si="299"/>
        <v>04/2022</v>
      </c>
      <c r="M4763" s="82"/>
      <c r="N4763" s="82"/>
    </row>
    <row r="4764" spans="1:14" x14ac:dyDescent="0.25">
      <c r="A4764" s="170" t="s">
        <v>15972</v>
      </c>
      <c r="B4764" s="170" t="s">
        <v>15973</v>
      </c>
      <c r="C4764" s="170" t="s">
        <v>205</v>
      </c>
      <c r="D4764" s="170" t="s">
        <v>1947</v>
      </c>
      <c r="E4764" s="171" t="s">
        <v>30251</v>
      </c>
      <c r="F4764" s="171" t="s">
        <v>5587</v>
      </c>
      <c r="G4764" s="82"/>
      <c r="H4764" s="96">
        <f t="shared" si="296"/>
        <v>19.690000000000001</v>
      </c>
      <c r="I4764" s="96">
        <f t="shared" si="296"/>
        <v>20.440000000000001</v>
      </c>
      <c r="J4764" s="91" t="str">
        <f t="shared" si="297"/>
        <v>Sinapi 103807</v>
      </c>
      <c r="K4764" s="91" t="str">
        <f t="shared" si="298"/>
        <v>UN</v>
      </c>
      <c r="L4764" s="166" t="str">
        <f t="shared" si="299"/>
        <v>04/2022</v>
      </c>
      <c r="M4764" s="82"/>
      <c r="N4764" s="82"/>
    </row>
    <row r="4765" spans="1:14" x14ac:dyDescent="0.25">
      <c r="A4765" s="170" t="s">
        <v>15974</v>
      </c>
      <c r="B4765" s="170" t="s">
        <v>15975</v>
      </c>
      <c r="C4765" s="170" t="s">
        <v>205</v>
      </c>
      <c r="D4765" s="170" t="s">
        <v>1947</v>
      </c>
      <c r="E4765" s="171" t="s">
        <v>20014</v>
      </c>
      <c r="F4765" s="171" t="s">
        <v>24912</v>
      </c>
      <c r="G4765" s="82"/>
      <c r="H4765" s="96">
        <f t="shared" si="296"/>
        <v>29.49</v>
      </c>
      <c r="I4765" s="96">
        <f t="shared" si="296"/>
        <v>31.45</v>
      </c>
      <c r="J4765" s="91" t="str">
        <f t="shared" si="297"/>
        <v>Sinapi 103808</v>
      </c>
      <c r="K4765" s="91" t="str">
        <f t="shared" si="298"/>
        <v>UN</v>
      </c>
      <c r="L4765" s="166" t="str">
        <f t="shared" si="299"/>
        <v>04/2022</v>
      </c>
      <c r="M4765" s="82"/>
      <c r="N4765" s="82"/>
    </row>
    <row r="4766" spans="1:14" x14ac:dyDescent="0.25">
      <c r="A4766" s="170" t="s">
        <v>15976</v>
      </c>
      <c r="B4766" s="170" t="s">
        <v>15977</v>
      </c>
      <c r="C4766" s="170" t="s">
        <v>205</v>
      </c>
      <c r="D4766" s="170" t="s">
        <v>1947</v>
      </c>
      <c r="E4766" s="171" t="s">
        <v>15690</v>
      </c>
      <c r="F4766" s="171" t="s">
        <v>33228</v>
      </c>
      <c r="G4766" s="82"/>
      <c r="H4766" s="96">
        <f t="shared" si="296"/>
        <v>29.22</v>
      </c>
      <c r="I4766" s="96">
        <f t="shared" si="296"/>
        <v>31.18</v>
      </c>
      <c r="J4766" s="91" t="str">
        <f t="shared" si="297"/>
        <v>Sinapi 103809</v>
      </c>
      <c r="K4766" s="91" t="str">
        <f t="shared" si="298"/>
        <v>UN</v>
      </c>
      <c r="L4766" s="166" t="str">
        <f t="shared" si="299"/>
        <v>04/2022</v>
      </c>
      <c r="M4766" s="82"/>
      <c r="N4766" s="82"/>
    </row>
    <row r="4767" spans="1:14" x14ac:dyDescent="0.25">
      <c r="A4767" s="170" t="s">
        <v>15978</v>
      </c>
      <c r="B4767" s="170" t="s">
        <v>15979</v>
      </c>
      <c r="C4767" s="170" t="s">
        <v>205</v>
      </c>
      <c r="D4767" s="170" t="s">
        <v>1947</v>
      </c>
      <c r="E4767" s="171" t="s">
        <v>19980</v>
      </c>
      <c r="F4767" s="171" t="s">
        <v>35078</v>
      </c>
      <c r="G4767" s="82"/>
      <c r="H4767" s="96">
        <f t="shared" si="296"/>
        <v>30.33</v>
      </c>
      <c r="I4767" s="96">
        <f t="shared" si="296"/>
        <v>31.48</v>
      </c>
      <c r="J4767" s="91" t="str">
        <f t="shared" si="297"/>
        <v>Sinapi 103810</v>
      </c>
      <c r="K4767" s="91" t="str">
        <f t="shared" si="298"/>
        <v>UN</v>
      </c>
      <c r="L4767" s="166" t="str">
        <f t="shared" si="299"/>
        <v>04/2022</v>
      </c>
      <c r="M4767" s="82"/>
      <c r="N4767" s="82"/>
    </row>
    <row r="4768" spans="1:14" x14ac:dyDescent="0.25">
      <c r="A4768" s="170" t="s">
        <v>15980</v>
      </c>
      <c r="B4768" s="170" t="s">
        <v>15981</v>
      </c>
      <c r="C4768" s="170" t="s">
        <v>205</v>
      </c>
      <c r="D4768" s="170" t="s">
        <v>1947</v>
      </c>
      <c r="E4768" s="171" t="s">
        <v>31325</v>
      </c>
      <c r="F4768" s="171" t="s">
        <v>21979</v>
      </c>
      <c r="G4768" s="82"/>
      <c r="H4768" s="96">
        <f t="shared" si="296"/>
        <v>33.49</v>
      </c>
      <c r="I4768" s="96">
        <f t="shared" si="296"/>
        <v>34.74</v>
      </c>
      <c r="J4768" s="91" t="str">
        <f t="shared" si="297"/>
        <v>Sinapi 103811</v>
      </c>
      <c r="K4768" s="91" t="str">
        <f t="shared" si="298"/>
        <v>UN</v>
      </c>
      <c r="L4768" s="166" t="str">
        <f t="shared" si="299"/>
        <v>04/2022</v>
      </c>
      <c r="M4768" s="82"/>
      <c r="N4768" s="82"/>
    </row>
    <row r="4769" spans="1:14" x14ac:dyDescent="0.25">
      <c r="A4769" s="170" t="s">
        <v>15982</v>
      </c>
      <c r="B4769" s="170" t="s">
        <v>15983</v>
      </c>
      <c r="C4769" s="170" t="s">
        <v>205</v>
      </c>
      <c r="D4769" s="170" t="s">
        <v>1947</v>
      </c>
      <c r="E4769" s="171" t="s">
        <v>30321</v>
      </c>
      <c r="F4769" s="171" t="s">
        <v>22836</v>
      </c>
      <c r="G4769" s="82"/>
      <c r="H4769" s="96">
        <f t="shared" si="296"/>
        <v>43.87</v>
      </c>
      <c r="I4769" s="96">
        <f t="shared" si="296"/>
        <v>46.53</v>
      </c>
      <c r="J4769" s="91" t="str">
        <f t="shared" si="297"/>
        <v>Sinapi 103812</v>
      </c>
      <c r="K4769" s="91" t="str">
        <f t="shared" si="298"/>
        <v>UN</v>
      </c>
      <c r="L4769" s="166" t="str">
        <f t="shared" si="299"/>
        <v>04/2022</v>
      </c>
      <c r="M4769" s="82"/>
      <c r="N4769" s="82"/>
    </row>
    <row r="4770" spans="1:14" x14ac:dyDescent="0.25">
      <c r="A4770" s="170" t="s">
        <v>15984</v>
      </c>
      <c r="B4770" s="170" t="s">
        <v>15985</v>
      </c>
      <c r="C4770" s="170" t="s">
        <v>205</v>
      </c>
      <c r="D4770" s="170" t="s">
        <v>1947</v>
      </c>
      <c r="E4770" s="171" t="s">
        <v>33867</v>
      </c>
      <c r="F4770" s="171" t="s">
        <v>37039</v>
      </c>
      <c r="G4770" s="82"/>
      <c r="H4770" s="96">
        <f t="shared" si="296"/>
        <v>42.24</v>
      </c>
      <c r="I4770" s="96">
        <f t="shared" si="296"/>
        <v>44.9</v>
      </c>
      <c r="J4770" s="91" t="str">
        <f t="shared" si="297"/>
        <v>Sinapi 103813</v>
      </c>
      <c r="K4770" s="91" t="str">
        <f t="shared" si="298"/>
        <v>UN</v>
      </c>
      <c r="L4770" s="166" t="str">
        <f t="shared" si="299"/>
        <v>04/2022</v>
      </c>
      <c r="M4770" s="82"/>
      <c r="N4770" s="82"/>
    </row>
    <row r="4771" spans="1:14" x14ac:dyDescent="0.25">
      <c r="A4771" s="170" t="s">
        <v>15986</v>
      </c>
      <c r="B4771" s="170" t="s">
        <v>15987</v>
      </c>
      <c r="C4771" s="170" t="s">
        <v>205</v>
      </c>
      <c r="D4771" s="170" t="s">
        <v>1947</v>
      </c>
      <c r="E4771" s="171" t="s">
        <v>13744</v>
      </c>
      <c r="F4771" s="171" t="s">
        <v>14932</v>
      </c>
      <c r="G4771" s="82"/>
      <c r="H4771" s="96">
        <f t="shared" si="296"/>
        <v>10.24</v>
      </c>
      <c r="I4771" s="96">
        <f t="shared" si="296"/>
        <v>11</v>
      </c>
      <c r="J4771" s="91" t="str">
        <f t="shared" si="297"/>
        <v>Sinapi 103814</v>
      </c>
      <c r="K4771" s="91" t="str">
        <f t="shared" si="298"/>
        <v>UN</v>
      </c>
      <c r="L4771" s="166" t="str">
        <f t="shared" si="299"/>
        <v>04/2022</v>
      </c>
      <c r="M4771" s="82"/>
      <c r="N4771" s="82"/>
    </row>
    <row r="4772" spans="1:14" x14ac:dyDescent="0.25">
      <c r="A4772" s="170" t="s">
        <v>15988</v>
      </c>
      <c r="B4772" s="170" t="s">
        <v>15989</v>
      </c>
      <c r="C4772" s="170" t="s">
        <v>205</v>
      </c>
      <c r="D4772" s="170" t="s">
        <v>1947</v>
      </c>
      <c r="E4772" s="171" t="s">
        <v>15540</v>
      </c>
      <c r="F4772" s="171" t="s">
        <v>10266</v>
      </c>
      <c r="G4772" s="82"/>
      <c r="H4772" s="96">
        <f t="shared" si="296"/>
        <v>10.27</v>
      </c>
      <c r="I4772" s="96">
        <f t="shared" si="296"/>
        <v>11.03</v>
      </c>
      <c r="J4772" s="91" t="str">
        <f t="shared" si="297"/>
        <v>Sinapi 103815</v>
      </c>
      <c r="K4772" s="91" t="str">
        <f t="shared" si="298"/>
        <v>UN</v>
      </c>
      <c r="L4772" s="166" t="str">
        <f t="shared" si="299"/>
        <v>04/2022</v>
      </c>
      <c r="M4772" s="82"/>
      <c r="N4772" s="82"/>
    </row>
    <row r="4773" spans="1:14" x14ac:dyDescent="0.25">
      <c r="A4773" s="170" t="s">
        <v>15990</v>
      </c>
      <c r="B4773" s="170" t="s">
        <v>15991</v>
      </c>
      <c r="C4773" s="170" t="s">
        <v>205</v>
      </c>
      <c r="D4773" s="170" t="s">
        <v>1947</v>
      </c>
      <c r="E4773" s="171" t="s">
        <v>19935</v>
      </c>
      <c r="F4773" s="171" t="s">
        <v>22857</v>
      </c>
      <c r="G4773" s="82"/>
      <c r="H4773" s="96">
        <f t="shared" si="296"/>
        <v>24.41</v>
      </c>
      <c r="I4773" s="96">
        <f t="shared" si="296"/>
        <v>25.17</v>
      </c>
      <c r="J4773" s="91" t="str">
        <f t="shared" si="297"/>
        <v>Sinapi 103816</v>
      </c>
      <c r="K4773" s="91" t="str">
        <f t="shared" si="298"/>
        <v>UN</v>
      </c>
      <c r="L4773" s="166" t="str">
        <f t="shared" si="299"/>
        <v>04/2022</v>
      </c>
      <c r="M4773" s="82"/>
      <c r="N4773" s="82"/>
    </row>
    <row r="4774" spans="1:14" x14ac:dyDescent="0.25">
      <c r="A4774" s="170" t="s">
        <v>15992</v>
      </c>
      <c r="B4774" s="170" t="s">
        <v>15993</v>
      </c>
      <c r="C4774" s="170" t="s">
        <v>205</v>
      </c>
      <c r="D4774" s="170" t="s">
        <v>1947</v>
      </c>
      <c r="E4774" s="171" t="s">
        <v>33868</v>
      </c>
      <c r="F4774" s="171" t="s">
        <v>37040</v>
      </c>
      <c r="G4774" s="82"/>
      <c r="H4774" s="96">
        <f t="shared" si="296"/>
        <v>417.61</v>
      </c>
      <c r="I4774" s="96">
        <f t="shared" si="296"/>
        <v>418.37</v>
      </c>
      <c r="J4774" s="91" t="str">
        <f t="shared" si="297"/>
        <v>Sinapi 103817</v>
      </c>
      <c r="K4774" s="91" t="str">
        <f t="shared" si="298"/>
        <v>UN</v>
      </c>
      <c r="L4774" s="166" t="str">
        <f t="shared" si="299"/>
        <v>04/2022</v>
      </c>
      <c r="M4774" s="82"/>
      <c r="N4774" s="82"/>
    </row>
    <row r="4775" spans="1:14" x14ac:dyDescent="0.25">
      <c r="A4775" s="170" t="s">
        <v>15994</v>
      </c>
      <c r="B4775" s="170" t="s">
        <v>15995</v>
      </c>
      <c r="C4775" s="170" t="s">
        <v>205</v>
      </c>
      <c r="D4775" s="170" t="s">
        <v>1947</v>
      </c>
      <c r="E4775" s="171" t="s">
        <v>31893</v>
      </c>
      <c r="F4775" s="171" t="s">
        <v>18353</v>
      </c>
      <c r="G4775" s="82"/>
      <c r="H4775" s="96">
        <f t="shared" si="296"/>
        <v>18.12</v>
      </c>
      <c r="I4775" s="96">
        <f t="shared" si="296"/>
        <v>18.670000000000002</v>
      </c>
      <c r="J4775" s="91" t="str">
        <f t="shared" si="297"/>
        <v>Sinapi 103818</v>
      </c>
      <c r="K4775" s="91" t="str">
        <f t="shared" si="298"/>
        <v>UN</v>
      </c>
      <c r="L4775" s="166" t="str">
        <f t="shared" si="299"/>
        <v>04/2022</v>
      </c>
      <c r="M4775" s="82"/>
      <c r="N4775" s="82"/>
    </row>
    <row r="4776" spans="1:14" x14ac:dyDescent="0.25">
      <c r="A4776" s="170" t="s">
        <v>15996</v>
      </c>
      <c r="B4776" s="170" t="s">
        <v>15997</v>
      </c>
      <c r="C4776" s="170" t="s">
        <v>205</v>
      </c>
      <c r="D4776" s="170" t="s">
        <v>1947</v>
      </c>
      <c r="E4776" s="171" t="s">
        <v>25622</v>
      </c>
      <c r="F4776" s="171" t="s">
        <v>15569</v>
      </c>
      <c r="G4776" s="82"/>
      <c r="H4776" s="96">
        <f t="shared" si="296"/>
        <v>18.13</v>
      </c>
      <c r="I4776" s="96">
        <f t="shared" si="296"/>
        <v>19.440000000000001</v>
      </c>
      <c r="J4776" s="91" t="str">
        <f t="shared" si="297"/>
        <v>Sinapi 103819</v>
      </c>
      <c r="K4776" s="91" t="str">
        <f t="shared" si="298"/>
        <v>UN</v>
      </c>
      <c r="L4776" s="166" t="str">
        <f t="shared" si="299"/>
        <v>04/2022</v>
      </c>
      <c r="M4776" s="82"/>
      <c r="N4776" s="82"/>
    </row>
    <row r="4777" spans="1:14" x14ac:dyDescent="0.25">
      <c r="A4777" s="170" t="s">
        <v>15998</v>
      </c>
      <c r="B4777" s="170" t="s">
        <v>15999</v>
      </c>
      <c r="C4777" s="170" t="s">
        <v>205</v>
      </c>
      <c r="D4777" s="170" t="s">
        <v>1947</v>
      </c>
      <c r="E4777" s="171" t="s">
        <v>29344</v>
      </c>
      <c r="F4777" s="171" t="s">
        <v>20023</v>
      </c>
      <c r="G4777" s="82"/>
      <c r="H4777" s="96">
        <f t="shared" si="296"/>
        <v>19.350000000000001</v>
      </c>
      <c r="I4777" s="96">
        <f t="shared" si="296"/>
        <v>20.66</v>
      </c>
      <c r="J4777" s="91" t="str">
        <f t="shared" si="297"/>
        <v>Sinapi 103820</v>
      </c>
      <c r="K4777" s="91" t="str">
        <f t="shared" si="298"/>
        <v>UN</v>
      </c>
      <c r="L4777" s="166" t="str">
        <f t="shared" si="299"/>
        <v>04/2022</v>
      </c>
      <c r="M4777" s="82"/>
      <c r="N4777" s="82"/>
    </row>
    <row r="4778" spans="1:14" x14ac:dyDescent="0.25">
      <c r="A4778" s="170" t="s">
        <v>16000</v>
      </c>
      <c r="B4778" s="170" t="s">
        <v>16001</v>
      </c>
      <c r="C4778" s="170" t="s">
        <v>205</v>
      </c>
      <c r="D4778" s="170" t="s">
        <v>1947</v>
      </c>
      <c r="E4778" s="171" t="s">
        <v>33869</v>
      </c>
      <c r="F4778" s="171" t="s">
        <v>37041</v>
      </c>
      <c r="G4778" s="82"/>
      <c r="H4778" s="96">
        <f t="shared" si="296"/>
        <v>488.64</v>
      </c>
      <c r="I4778" s="96">
        <f t="shared" si="296"/>
        <v>489.95</v>
      </c>
      <c r="J4778" s="91" t="str">
        <f t="shared" si="297"/>
        <v>Sinapi 103821</v>
      </c>
      <c r="K4778" s="91" t="str">
        <f t="shared" si="298"/>
        <v>UN</v>
      </c>
      <c r="L4778" s="166" t="str">
        <f t="shared" si="299"/>
        <v>04/2022</v>
      </c>
      <c r="M4778" s="82"/>
      <c r="N4778" s="82"/>
    </row>
    <row r="4779" spans="1:14" x14ac:dyDescent="0.25">
      <c r="A4779" s="170" t="s">
        <v>16002</v>
      </c>
      <c r="B4779" s="170" t="s">
        <v>16003</v>
      </c>
      <c r="C4779" s="170" t="s">
        <v>205</v>
      </c>
      <c r="D4779" s="170" t="s">
        <v>1947</v>
      </c>
      <c r="E4779" s="171" t="s">
        <v>29353</v>
      </c>
      <c r="F4779" s="171" t="s">
        <v>37042</v>
      </c>
      <c r="G4779" s="82"/>
      <c r="H4779" s="96">
        <f t="shared" si="296"/>
        <v>50.43</v>
      </c>
      <c r="I4779" s="96">
        <f t="shared" si="296"/>
        <v>51.74</v>
      </c>
      <c r="J4779" s="91" t="str">
        <f t="shared" si="297"/>
        <v>Sinapi 103822</v>
      </c>
      <c r="K4779" s="91" t="str">
        <f t="shared" si="298"/>
        <v>UN</v>
      </c>
      <c r="L4779" s="166" t="str">
        <f t="shared" si="299"/>
        <v>04/2022</v>
      </c>
      <c r="M4779" s="82"/>
      <c r="N4779" s="82"/>
    </row>
    <row r="4780" spans="1:14" x14ac:dyDescent="0.25">
      <c r="A4780" s="170" t="s">
        <v>16004</v>
      </c>
      <c r="B4780" s="170" t="s">
        <v>16005</v>
      </c>
      <c r="C4780" s="170" t="s">
        <v>205</v>
      </c>
      <c r="D4780" s="170" t="s">
        <v>1947</v>
      </c>
      <c r="E4780" s="171" t="s">
        <v>21213</v>
      </c>
      <c r="F4780" s="171" t="s">
        <v>19940</v>
      </c>
      <c r="G4780" s="82"/>
      <c r="H4780" s="96">
        <f t="shared" si="296"/>
        <v>15.8</v>
      </c>
      <c r="I4780" s="96">
        <f t="shared" si="296"/>
        <v>16.829999999999998</v>
      </c>
      <c r="J4780" s="91" t="str">
        <f t="shared" si="297"/>
        <v>Sinapi 103823</v>
      </c>
      <c r="K4780" s="91" t="str">
        <f t="shared" si="298"/>
        <v>UN</v>
      </c>
      <c r="L4780" s="166" t="str">
        <f t="shared" si="299"/>
        <v>04/2022</v>
      </c>
      <c r="M4780" s="82"/>
      <c r="N4780" s="82"/>
    </row>
    <row r="4781" spans="1:14" x14ac:dyDescent="0.25">
      <c r="A4781" s="170" t="s">
        <v>16006</v>
      </c>
      <c r="B4781" s="170" t="s">
        <v>16007</v>
      </c>
      <c r="C4781" s="170" t="s">
        <v>205</v>
      </c>
      <c r="D4781" s="170" t="s">
        <v>1947</v>
      </c>
      <c r="E4781" s="171" t="s">
        <v>22074</v>
      </c>
      <c r="F4781" s="171" t="s">
        <v>16422</v>
      </c>
      <c r="G4781" s="82"/>
      <c r="H4781" s="96">
        <f t="shared" si="296"/>
        <v>21.02</v>
      </c>
      <c r="I4781" s="96">
        <f t="shared" si="296"/>
        <v>21.84</v>
      </c>
      <c r="J4781" s="91" t="str">
        <f t="shared" si="297"/>
        <v>Sinapi 103824</v>
      </c>
      <c r="K4781" s="91" t="str">
        <f t="shared" si="298"/>
        <v>UN</v>
      </c>
      <c r="L4781" s="166" t="str">
        <f t="shared" si="299"/>
        <v>04/2022</v>
      </c>
      <c r="M4781" s="82"/>
      <c r="N4781" s="82"/>
    </row>
    <row r="4782" spans="1:14" x14ac:dyDescent="0.25">
      <c r="A4782" s="170" t="s">
        <v>16008</v>
      </c>
      <c r="B4782" s="170" t="s">
        <v>16009</v>
      </c>
      <c r="C4782" s="170" t="s">
        <v>205</v>
      </c>
      <c r="D4782" s="170" t="s">
        <v>1947</v>
      </c>
      <c r="E4782" s="171" t="s">
        <v>21331</v>
      </c>
      <c r="F4782" s="171" t="s">
        <v>21840</v>
      </c>
      <c r="G4782" s="82"/>
      <c r="H4782" s="96">
        <f t="shared" si="296"/>
        <v>24.95</v>
      </c>
      <c r="I4782" s="96">
        <f t="shared" si="296"/>
        <v>25.86</v>
      </c>
      <c r="J4782" s="91" t="str">
        <f t="shared" si="297"/>
        <v>Sinapi 103825</v>
      </c>
      <c r="K4782" s="91" t="str">
        <f t="shared" si="298"/>
        <v>UN</v>
      </c>
      <c r="L4782" s="166" t="str">
        <f t="shared" si="299"/>
        <v>04/2022</v>
      </c>
      <c r="M4782" s="82"/>
      <c r="N4782" s="82"/>
    </row>
    <row r="4783" spans="1:14" x14ac:dyDescent="0.25">
      <c r="A4783" s="170" t="s">
        <v>16010</v>
      </c>
      <c r="B4783" s="170" t="s">
        <v>16011</v>
      </c>
      <c r="C4783" s="170" t="s">
        <v>205</v>
      </c>
      <c r="D4783" s="170" t="s">
        <v>1947</v>
      </c>
      <c r="E4783" s="171" t="s">
        <v>30800</v>
      </c>
      <c r="F4783" s="171" t="s">
        <v>15690</v>
      </c>
      <c r="G4783" s="82"/>
      <c r="H4783" s="96">
        <f t="shared" si="296"/>
        <v>27.44</v>
      </c>
      <c r="I4783" s="96">
        <f t="shared" si="296"/>
        <v>29.22</v>
      </c>
      <c r="J4783" s="91" t="str">
        <f t="shared" si="297"/>
        <v>Sinapi 103826</v>
      </c>
      <c r="K4783" s="91" t="str">
        <f t="shared" si="298"/>
        <v>UN</v>
      </c>
      <c r="L4783" s="166" t="str">
        <f t="shared" si="299"/>
        <v>04/2022</v>
      </c>
      <c r="M4783" s="82"/>
      <c r="N4783" s="82"/>
    </row>
    <row r="4784" spans="1:14" x14ac:dyDescent="0.25">
      <c r="A4784" s="170" t="s">
        <v>16012</v>
      </c>
      <c r="B4784" s="170" t="s">
        <v>16013</v>
      </c>
      <c r="C4784" s="170" t="s">
        <v>205</v>
      </c>
      <c r="D4784" s="170" t="s">
        <v>1947</v>
      </c>
      <c r="E4784" s="171" t="s">
        <v>30800</v>
      </c>
      <c r="F4784" s="171" t="s">
        <v>15690</v>
      </c>
      <c r="G4784" s="82"/>
      <c r="H4784" s="96">
        <f t="shared" si="296"/>
        <v>27.44</v>
      </c>
      <c r="I4784" s="96">
        <f t="shared" si="296"/>
        <v>29.22</v>
      </c>
      <c r="J4784" s="91" t="str">
        <f t="shared" si="297"/>
        <v>Sinapi 103827</v>
      </c>
      <c r="K4784" s="91" t="str">
        <f t="shared" si="298"/>
        <v>UN</v>
      </c>
      <c r="L4784" s="166" t="str">
        <f t="shared" si="299"/>
        <v>04/2022</v>
      </c>
      <c r="M4784" s="82"/>
      <c r="N4784" s="82"/>
    </row>
    <row r="4785" spans="1:14" x14ac:dyDescent="0.25">
      <c r="A4785" s="170" t="s">
        <v>16014</v>
      </c>
      <c r="B4785" s="170" t="s">
        <v>16015</v>
      </c>
      <c r="C4785" s="170" t="s">
        <v>205</v>
      </c>
      <c r="D4785" s="170" t="s">
        <v>1947</v>
      </c>
      <c r="E4785" s="171" t="s">
        <v>33870</v>
      </c>
      <c r="F4785" s="171" t="s">
        <v>21918</v>
      </c>
      <c r="G4785" s="82"/>
      <c r="H4785" s="96">
        <f t="shared" si="296"/>
        <v>84.58</v>
      </c>
      <c r="I4785" s="96">
        <f t="shared" si="296"/>
        <v>86.36</v>
      </c>
      <c r="J4785" s="91" t="str">
        <f t="shared" si="297"/>
        <v>Sinapi 103828</v>
      </c>
      <c r="K4785" s="91" t="str">
        <f t="shared" si="298"/>
        <v>UN</v>
      </c>
      <c r="L4785" s="166" t="str">
        <f t="shared" si="299"/>
        <v>04/2022</v>
      </c>
      <c r="M4785" s="82"/>
      <c r="N4785" s="82"/>
    </row>
    <row r="4786" spans="1:14" x14ac:dyDescent="0.25">
      <c r="A4786" s="170" t="s">
        <v>16016</v>
      </c>
      <c r="B4786" s="170" t="s">
        <v>16017</v>
      </c>
      <c r="C4786" s="170" t="s">
        <v>205</v>
      </c>
      <c r="D4786" s="170" t="s">
        <v>1947</v>
      </c>
      <c r="E4786" s="171" t="s">
        <v>33871</v>
      </c>
      <c r="F4786" s="171" t="s">
        <v>37043</v>
      </c>
      <c r="G4786" s="82"/>
      <c r="H4786" s="96">
        <f t="shared" si="296"/>
        <v>539.61</v>
      </c>
      <c r="I4786" s="96">
        <f t="shared" si="296"/>
        <v>541.39</v>
      </c>
      <c r="J4786" s="91" t="str">
        <f t="shared" si="297"/>
        <v>Sinapi 103829</v>
      </c>
      <c r="K4786" s="91" t="str">
        <f t="shared" si="298"/>
        <v>UN</v>
      </c>
      <c r="L4786" s="166" t="str">
        <f t="shared" si="299"/>
        <v>04/2022</v>
      </c>
      <c r="M4786" s="82"/>
      <c r="N4786" s="82"/>
    </row>
    <row r="4787" spans="1:14" x14ac:dyDescent="0.25">
      <c r="A4787" s="170" t="s">
        <v>16018</v>
      </c>
      <c r="B4787" s="170" t="s">
        <v>16019</v>
      </c>
      <c r="C4787" s="170" t="s">
        <v>205</v>
      </c>
      <c r="D4787" s="170" t="s">
        <v>1947</v>
      </c>
      <c r="E4787" s="171" t="s">
        <v>27842</v>
      </c>
      <c r="F4787" s="171" t="s">
        <v>19390</v>
      </c>
      <c r="G4787" s="82"/>
      <c r="H4787" s="96">
        <f t="shared" si="296"/>
        <v>32.83</v>
      </c>
      <c r="I4787" s="96">
        <f t="shared" si="296"/>
        <v>33.880000000000003</v>
      </c>
      <c r="J4787" s="91" t="str">
        <f t="shared" si="297"/>
        <v>Sinapi 103830</v>
      </c>
      <c r="K4787" s="91" t="str">
        <f t="shared" si="298"/>
        <v>UN</v>
      </c>
      <c r="L4787" s="166" t="str">
        <f t="shared" si="299"/>
        <v>04/2022</v>
      </c>
      <c r="M4787" s="82"/>
      <c r="N4787" s="82"/>
    </row>
    <row r="4788" spans="1:14" x14ac:dyDescent="0.25">
      <c r="A4788" s="170" t="s">
        <v>16020</v>
      </c>
      <c r="B4788" s="170" t="s">
        <v>16021</v>
      </c>
      <c r="C4788" s="170" t="s">
        <v>205</v>
      </c>
      <c r="D4788" s="170" t="s">
        <v>1947</v>
      </c>
      <c r="E4788" s="171" t="s">
        <v>19382</v>
      </c>
      <c r="F4788" s="171" t="s">
        <v>15782</v>
      </c>
      <c r="G4788" s="82"/>
      <c r="H4788" s="96">
        <f t="shared" si="296"/>
        <v>23.57</v>
      </c>
      <c r="I4788" s="96">
        <f t="shared" si="296"/>
        <v>25.11</v>
      </c>
      <c r="J4788" s="91" t="str">
        <f t="shared" si="297"/>
        <v>Sinapi 103831</v>
      </c>
      <c r="K4788" s="91" t="str">
        <f t="shared" si="298"/>
        <v>UN</v>
      </c>
      <c r="L4788" s="166" t="str">
        <f t="shared" si="299"/>
        <v>04/2022</v>
      </c>
      <c r="M4788" s="82"/>
      <c r="N4788" s="82"/>
    </row>
    <row r="4789" spans="1:14" x14ac:dyDescent="0.25">
      <c r="A4789" s="170" t="s">
        <v>16022</v>
      </c>
      <c r="B4789" s="170" t="s">
        <v>16023</v>
      </c>
      <c r="C4789" s="170" t="s">
        <v>205</v>
      </c>
      <c r="D4789" s="170" t="s">
        <v>1947</v>
      </c>
      <c r="E4789" s="171" t="s">
        <v>20011</v>
      </c>
      <c r="F4789" s="171" t="s">
        <v>20626</v>
      </c>
      <c r="G4789" s="82"/>
      <c r="H4789" s="96">
        <f t="shared" si="296"/>
        <v>21.21</v>
      </c>
      <c r="I4789" s="96">
        <f t="shared" si="296"/>
        <v>22.73</v>
      </c>
      <c r="J4789" s="91" t="str">
        <f t="shared" si="297"/>
        <v>Sinapi 103832</v>
      </c>
      <c r="K4789" s="91" t="str">
        <f t="shared" si="298"/>
        <v>UN</v>
      </c>
      <c r="L4789" s="166" t="str">
        <f t="shared" si="299"/>
        <v>04/2022</v>
      </c>
      <c r="M4789" s="82"/>
      <c r="N4789" s="82"/>
    </row>
    <row r="4790" spans="1:14" x14ac:dyDescent="0.25">
      <c r="A4790" s="170" t="s">
        <v>16024</v>
      </c>
      <c r="B4790" s="170" t="s">
        <v>16025</v>
      </c>
      <c r="C4790" s="170" t="s">
        <v>205</v>
      </c>
      <c r="D4790" s="170" t="s">
        <v>1947</v>
      </c>
      <c r="E4790" s="171" t="s">
        <v>33872</v>
      </c>
      <c r="F4790" s="171" t="s">
        <v>23083</v>
      </c>
      <c r="G4790" s="82"/>
      <c r="H4790" s="96">
        <f t="shared" si="296"/>
        <v>39.07</v>
      </c>
      <c r="I4790" s="96">
        <f t="shared" si="296"/>
        <v>41.69</v>
      </c>
      <c r="J4790" s="91" t="str">
        <f t="shared" si="297"/>
        <v>Sinapi 103833</v>
      </c>
      <c r="K4790" s="91" t="str">
        <f t="shared" si="298"/>
        <v>UN</v>
      </c>
      <c r="L4790" s="166" t="str">
        <f t="shared" si="299"/>
        <v>04/2022</v>
      </c>
      <c r="M4790" s="82"/>
      <c r="N4790" s="82"/>
    </row>
    <row r="4791" spans="1:14" x14ac:dyDescent="0.25">
      <c r="A4791" s="170" t="s">
        <v>16026</v>
      </c>
      <c r="B4791" s="170" t="s">
        <v>16027</v>
      </c>
      <c r="C4791" s="170" t="s">
        <v>205</v>
      </c>
      <c r="D4791" s="170" t="s">
        <v>1947</v>
      </c>
      <c r="E4791" s="171" t="s">
        <v>30814</v>
      </c>
      <c r="F4791" s="171" t="s">
        <v>30855</v>
      </c>
      <c r="G4791" s="82"/>
      <c r="H4791" s="96">
        <f t="shared" si="296"/>
        <v>56.95</v>
      </c>
      <c r="I4791" s="96">
        <f t="shared" si="296"/>
        <v>60.52</v>
      </c>
      <c r="J4791" s="91" t="str">
        <f t="shared" si="297"/>
        <v>Sinapi 103834</v>
      </c>
      <c r="K4791" s="91" t="str">
        <f t="shared" si="298"/>
        <v>UN</v>
      </c>
      <c r="L4791" s="166" t="str">
        <f t="shared" si="299"/>
        <v>04/2022</v>
      </c>
      <c r="M4791" s="82"/>
      <c r="N4791" s="82"/>
    </row>
    <row r="4792" spans="1:14" x14ac:dyDescent="0.25">
      <c r="A4792" s="170" t="s">
        <v>16028</v>
      </c>
      <c r="B4792" s="170" t="s">
        <v>16029</v>
      </c>
      <c r="C4792" s="170" t="s">
        <v>205</v>
      </c>
      <c r="D4792" s="170" t="s">
        <v>1947</v>
      </c>
      <c r="E4792" s="171" t="s">
        <v>7284</v>
      </c>
      <c r="F4792" s="171" t="s">
        <v>17945</v>
      </c>
      <c r="G4792" s="82"/>
      <c r="H4792" s="96">
        <f t="shared" si="296"/>
        <v>15.08</v>
      </c>
      <c r="I4792" s="96">
        <f t="shared" si="296"/>
        <v>16.170000000000002</v>
      </c>
      <c r="J4792" s="91" t="str">
        <f t="shared" si="297"/>
        <v>Sinapi 103838</v>
      </c>
      <c r="K4792" s="91" t="str">
        <f t="shared" si="298"/>
        <v>UN</v>
      </c>
      <c r="L4792" s="166" t="str">
        <f t="shared" si="299"/>
        <v>04/2022</v>
      </c>
      <c r="M4792" s="82"/>
      <c r="N4792" s="82"/>
    </row>
    <row r="4793" spans="1:14" x14ac:dyDescent="0.25">
      <c r="A4793" s="170" t="s">
        <v>16030</v>
      </c>
      <c r="B4793" s="170" t="s">
        <v>16031</v>
      </c>
      <c r="C4793" s="170" t="s">
        <v>205</v>
      </c>
      <c r="D4793" s="170" t="s">
        <v>1947</v>
      </c>
      <c r="E4793" s="171" t="s">
        <v>18689</v>
      </c>
      <c r="F4793" s="171" t="s">
        <v>36296</v>
      </c>
      <c r="G4793" s="82"/>
      <c r="H4793" s="96">
        <f t="shared" si="296"/>
        <v>15.05</v>
      </c>
      <c r="I4793" s="96">
        <f t="shared" si="296"/>
        <v>16.14</v>
      </c>
      <c r="J4793" s="91" t="str">
        <f t="shared" si="297"/>
        <v>Sinapi 103839</v>
      </c>
      <c r="K4793" s="91" t="str">
        <f t="shared" si="298"/>
        <v>UN</v>
      </c>
      <c r="L4793" s="166" t="str">
        <f t="shared" si="299"/>
        <v>04/2022</v>
      </c>
      <c r="M4793" s="82"/>
      <c r="N4793" s="82"/>
    </row>
    <row r="4794" spans="1:14" x14ac:dyDescent="0.25">
      <c r="A4794" s="170" t="s">
        <v>16032</v>
      </c>
      <c r="B4794" s="170" t="s">
        <v>16033</v>
      </c>
      <c r="C4794" s="170" t="s">
        <v>205</v>
      </c>
      <c r="D4794" s="170" t="s">
        <v>1947</v>
      </c>
      <c r="E4794" s="171" t="s">
        <v>17143</v>
      </c>
      <c r="F4794" s="171" t="s">
        <v>15717</v>
      </c>
      <c r="G4794" s="82"/>
      <c r="H4794" s="96">
        <f t="shared" si="296"/>
        <v>19.399999999999999</v>
      </c>
      <c r="I4794" s="96">
        <f t="shared" si="296"/>
        <v>20.100000000000001</v>
      </c>
      <c r="J4794" s="91" t="str">
        <f t="shared" si="297"/>
        <v>Sinapi 103840</v>
      </c>
      <c r="K4794" s="91" t="str">
        <f t="shared" si="298"/>
        <v>UN</v>
      </c>
      <c r="L4794" s="166" t="str">
        <f t="shared" si="299"/>
        <v>04/2022</v>
      </c>
      <c r="M4794" s="82"/>
      <c r="N4794" s="82"/>
    </row>
    <row r="4795" spans="1:14" x14ac:dyDescent="0.25">
      <c r="A4795" s="170" t="s">
        <v>16034</v>
      </c>
      <c r="B4795" s="170" t="s">
        <v>16035</v>
      </c>
      <c r="C4795" s="170" t="s">
        <v>205</v>
      </c>
      <c r="D4795" s="170" t="s">
        <v>1947</v>
      </c>
      <c r="E4795" s="171" t="s">
        <v>17919</v>
      </c>
      <c r="F4795" s="171" t="s">
        <v>19385</v>
      </c>
      <c r="G4795" s="82"/>
      <c r="H4795" s="96">
        <f t="shared" si="296"/>
        <v>24.81</v>
      </c>
      <c r="I4795" s="96">
        <f t="shared" si="296"/>
        <v>26.25</v>
      </c>
      <c r="J4795" s="91" t="str">
        <f t="shared" si="297"/>
        <v>Sinapi 103841</v>
      </c>
      <c r="K4795" s="91" t="str">
        <f t="shared" si="298"/>
        <v>UN</v>
      </c>
      <c r="L4795" s="166" t="str">
        <f t="shared" si="299"/>
        <v>04/2022</v>
      </c>
      <c r="M4795" s="82"/>
      <c r="N4795" s="82"/>
    </row>
    <row r="4796" spans="1:14" x14ac:dyDescent="0.25">
      <c r="A4796" s="170" t="s">
        <v>16036</v>
      </c>
      <c r="B4796" s="170" t="s">
        <v>16037</v>
      </c>
      <c r="C4796" s="170" t="s">
        <v>205</v>
      </c>
      <c r="D4796" s="170" t="s">
        <v>1947</v>
      </c>
      <c r="E4796" s="171" t="s">
        <v>21196</v>
      </c>
      <c r="F4796" s="171" t="s">
        <v>23068</v>
      </c>
      <c r="G4796" s="82"/>
      <c r="H4796" s="96">
        <f t="shared" si="296"/>
        <v>24.54</v>
      </c>
      <c r="I4796" s="96">
        <f t="shared" si="296"/>
        <v>25.98</v>
      </c>
      <c r="J4796" s="91" t="str">
        <f t="shared" si="297"/>
        <v>Sinapi 103842</v>
      </c>
      <c r="K4796" s="91" t="str">
        <f t="shared" si="298"/>
        <v>UN</v>
      </c>
      <c r="L4796" s="166" t="str">
        <f t="shared" si="299"/>
        <v>04/2022</v>
      </c>
      <c r="M4796" s="82"/>
      <c r="N4796" s="82"/>
    </row>
    <row r="4797" spans="1:14" x14ac:dyDescent="0.25">
      <c r="A4797" s="170" t="s">
        <v>16038</v>
      </c>
      <c r="B4797" s="170" t="s">
        <v>16039</v>
      </c>
      <c r="C4797" s="170" t="s">
        <v>205</v>
      </c>
      <c r="D4797" s="170" t="s">
        <v>1947</v>
      </c>
      <c r="E4797" s="171" t="s">
        <v>17951</v>
      </c>
      <c r="F4797" s="171" t="s">
        <v>18612</v>
      </c>
      <c r="G4797" s="82"/>
      <c r="H4797" s="96">
        <f t="shared" si="296"/>
        <v>28</v>
      </c>
      <c r="I4797" s="96">
        <f t="shared" si="296"/>
        <v>28.89</v>
      </c>
      <c r="J4797" s="91" t="str">
        <f t="shared" si="297"/>
        <v>Sinapi 103843</v>
      </c>
      <c r="K4797" s="91" t="str">
        <f t="shared" si="298"/>
        <v>UN</v>
      </c>
      <c r="L4797" s="166" t="str">
        <f t="shared" si="299"/>
        <v>04/2022</v>
      </c>
      <c r="M4797" s="82"/>
      <c r="N4797" s="82"/>
    </row>
    <row r="4798" spans="1:14" x14ac:dyDescent="0.25">
      <c r="A4798" s="170" t="s">
        <v>16040</v>
      </c>
      <c r="B4798" s="170" t="s">
        <v>16041</v>
      </c>
      <c r="C4798" s="170" t="s">
        <v>205</v>
      </c>
      <c r="D4798" s="170" t="s">
        <v>1947</v>
      </c>
      <c r="E4798" s="171" t="s">
        <v>33873</v>
      </c>
      <c r="F4798" s="171" t="s">
        <v>19818</v>
      </c>
      <c r="G4798" s="82"/>
      <c r="H4798" s="96">
        <f t="shared" si="296"/>
        <v>31.15</v>
      </c>
      <c r="I4798" s="96">
        <f t="shared" si="296"/>
        <v>32.130000000000003</v>
      </c>
      <c r="J4798" s="91" t="str">
        <f t="shared" si="297"/>
        <v>Sinapi 103844</v>
      </c>
      <c r="K4798" s="91" t="str">
        <f t="shared" si="298"/>
        <v>UN</v>
      </c>
      <c r="L4798" s="166" t="str">
        <f t="shared" si="299"/>
        <v>04/2022</v>
      </c>
      <c r="M4798" s="82"/>
      <c r="N4798" s="82"/>
    </row>
    <row r="4799" spans="1:14" x14ac:dyDescent="0.25">
      <c r="A4799" s="170" t="s">
        <v>16042</v>
      </c>
      <c r="B4799" s="170" t="s">
        <v>16043</v>
      </c>
      <c r="C4799" s="170" t="s">
        <v>205</v>
      </c>
      <c r="D4799" s="170" t="s">
        <v>1947</v>
      </c>
      <c r="E4799" s="171" t="s">
        <v>30192</v>
      </c>
      <c r="F4799" s="171" t="s">
        <v>37044</v>
      </c>
      <c r="G4799" s="82"/>
      <c r="H4799" s="96">
        <f t="shared" si="296"/>
        <v>35.69</v>
      </c>
      <c r="I4799" s="96">
        <f t="shared" si="296"/>
        <v>37.43</v>
      </c>
      <c r="J4799" s="91" t="str">
        <f t="shared" si="297"/>
        <v>Sinapi 103845</v>
      </c>
      <c r="K4799" s="91" t="str">
        <f t="shared" si="298"/>
        <v>UN</v>
      </c>
      <c r="L4799" s="166" t="str">
        <f t="shared" si="299"/>
        <v>04/2022</v>
      </c>
      <c r="M4799" s="82"/>
      <c r="N4799" s="82"/>
    </row>
    <row r="4800" spans="1:14" x14ac:dyDescent="0.25">
      <c r="A4800" s="170" t="s">
        <v>16044</v>
      </c>
      <c r="B4800" s="170" t="s">
        <v>16045</v>
      </c>
      <c r="C4800" s="170" t="s">
        <v>205</v>
      </c>
      <c r="D4800" s="170" t="s">
        <v>1947</v>
      </c>
      <c r="E4800" s="171" t="s">
        <v>29104</v>
      </c>
      <c r="F4800" s="171" t="s">
        <v>31362</v>
      </c>
      <c r="G4800" s="82"/>
      <c r="H4800" s="96">
        <f t="shared" si="296"/>
        <v>34.06</v>
      </c>
      <c r="I4800" s="96">
        <f t="shared" si="296"/>
        <v>35.799999999999997</v>
      </c>
      <c r="J4800" s="91" t="str">
        <f t="shared" si="297"/>
        <v>Sinapi 103846</v>
      </c>
      <c r="K4800" s="91" t="str">
        <f t="shared" si="298"/>
        <v>UN</v>
      </c>
      <c r="L4800" s="166" t="str">
        <f t="shared" si="299"/>
        <v>04/2022</v>
      </c>
      <c r="M4800" s="82"/>
      <c r="N4800" s="82"/>
    </row>
    <row r="4801" spans="1:14" x14ac:dyDescent="0.25">
      <c r="A4801" s="170" t="s">
        <v>16046</v>
      </c>
      <c r="B4801" s="170" t="s">
        <v>16047</v>
      </c>
      <c r="C4801" s="170" t="s">
        <v>205</v>
      </c>
      <c r="D4801" s="170" t="s">
        <v>1947</v>
      </c>
      <c r="E4801" s="171" t="s">
        <v>16286</v>
      </c>
      <c r="F4801" s="171" t="s">
        <v>6550</v>
      </c>
      <c r="G4801" s="82"/>
      <c r="H4801" s="96">
        <f t="shared" si="296"/>
        <v>9.84</v>
      </c>
      <c r="I4801" s="96">
        <f t="shared" si="296"/>
        <v>10.56</v>
      </c>
      <c r="J4801" s="91" t="str">
        <f t="shared" si="297"/>
        <v>Sinapi 103847</v>
      </c>
      <c r="K4801" s="91" t="str">
        <f t="shared" si="298"/>
        <v>UN</v>
      </c>
      <c r="L4801" s="166" t="str">
        <f t="shared" si="299"/>
        <v>04/2022</v>
      </c>
      <c r="M4801" s="82"/>
      <c r="N4801" s="82"/>
    </row>
    <row r="4802" spans="1:14" x14ac:dyDescent="0.25">
      <c r="A4802" s="170" t="s">
        <v>16048</v>
      </c>
      <c r="B4802" s="170" t="s">
        <v>16049</v>
      </c>
      <c r="C4802" s="170" t="s">
        <v>205</v>
      </c>
      <c r="D4802" s="170" t="s">
        <v>1947</v>
      </c>
      <c r="E4802" s="171" t="s">
        <v>28560</v>
      </c>
      <c r="F4802" s="171" t="s">
        <v>18566</v>
      </c>
      <c r="G4802" s="82"/>
      <c r="H4802" s="96">
        <f t="shared" si="296"/>
        <v>9.8699999999999992</v>
      </c>
      <c r="I4802" s="96">
        <f t="shared" si="296"/>
        <v>10.59</v>
      </c>
      <c r="J4802" s="91" t="str">
        <f t="shared" si="297"/>
        <v>Sinapi 103848</v>
      </c>
      <c r="K4802" s="91" t="str">
        <f t="shared" si="298"/>
        <v>UN</v>
      </c>
      <c r="L4802" s="166" t="str">
        <f t="shared" si="299"/>
        <v>04/2022</v>
      </c>
      <c r="M4802" s="82"/>
      <c r="N4802" s="82"/>
    </row>
    <row r="4803" spans="1:14" x14ac:dyDescent="0.25">
      <c r="A4803" s="170" t="s">
        <v>16050</v>
      </c>
      <c r="B4803" s="170" t="s">
        <v>16051</v>
      </c>
      <c r="C4803" s="170" t="s">
        <v>205</v>
      </c>
      <c r="D4803" s="170" t="s">
        <v>1947</v>
      </c>
      <c r="E4803" s="171" t="s">
        <v>19975</v>
      </c>
      <c r="F4803" s="171" t="s">
        <v>21519</v>
      </c>
      <c r="G4803" s="82"/>
      <c r="H4803" s="96">
        <f t="shared" si="296"/>
        <v>24.01</v>
      </c>
      <c r="I4803" s="96">
        <f t="shared" si="296"/>
        <v>24.73</v>
      </c>
      <c r="J4803" s="91" t="str">
        <f t="shared" si="297"/>
        <v>Sinapi 103849</v>
      </c>
      <c r="K4803" s="91" t="str">
        <f t="shared" si="298"/>
        <v>UN</v>
      </c>
      <c r="L4803" s="166" t="str">
        <f t="shared" si="299"/>
        <v>04/2022</v>
      </c>
      <c r="M4803" s="82"/>
      <c r="N4803" s="82"/>
    </row>
    <row r="4804" spans="1:14" x14ac:dyDescent="0.25">
      <c r="A4804" s="170" t="s">
        <v>16052</v>
      </c>
      <c r="B4804" s="170" t="s">
        <v>16053</v>
      </c>
      <c r="C4804" s="170" t="s">
        <v>205</v>
      </c>
      <c r="D4804" s="170" t="s">
        <v>1947</v>
      </c>
      <c r="E4804" s="171" t="s">
        <v>33874</v>
      </c>
      <c r="F4804" s="171" t="s">
        <v>37045</v>
      </c>
      <c r="G4804" s="82"/>
      <c r="H4804" s="96">
        <f t="shared" si="296"/>
        <v>417.21</v>
      </c>
      <c r="I4804" s="96">
        <f t="shared" si="296"/>
        <v>417.93</v>
      </c>
      <c r="J4804" s="91" t="str">
        <f t="shared" si="297"/>
        <v>Sinapi 103850</v>
      </c>
      <c r="K4804" s="91" t="str">
        <f t="shared" si="298"/>
        <v>UN</v>
      </c>
      <c r="L4804" s="166" t="str">
        <f t="shared" si="299"/>
        <v>04/2022</v>
      </c>
      <c r="M4804" s="82"/>
      <c r="N4804" s="82"/>
    </row>
    <row r="4805" spans="1:14" x14ac:dyDescent="0.25">
      <c r="A4805" s="170" t="s">
        <v>16054</v>
      </c>
      <c r="B4805" s="170" t="s">
        <v>16055</v>
      </c>
      <c r="C4805" s="170" t="s">
        <v>205</v>
      </c>
      <c r="D4805" s="170" t="s">
        <v>1947</v>
      </c>
      <c r="E4805" s="171" t="s">
        <v>16372</v>
      </c>
      <c r="F4805" s="171" t="s">
        <v>23142</v>
      </c>
      <c r="G4805" s="82"/>
      <c r="H4805" s="96">
        <f t="shared" si="296"/>
        <v>17.91</v>
      </c>
      <c r="I4805" s="96">
        <f t="shared" si="296"/>
        <v>18.45</v>
      </c>
      <c r="J4805" s="91" t="str">
        <f t="shared" si="297"/>
        <v>Sinapi 103851</v>
      </c>
      <c r="K4805" s="91" t="str">
        <f t="shared" si="298"/>
        <v>UN</v>
      </c>
      <c r="L4805" s="166" t="str">
        <f t="shared" si="299"/>
        <v>04/2022</v>
      </c>
      <c r="M4805" s="82"/>
      <c r="N4805" s="82"/>
    </row>
    <row r="4806" spans="1:14" x14ac:dyDescent="0.25">
      <c r="A4806" s="170" t="s">
        <v>16056</v>
      </c>
      <c r="B4806" s="170" t="s">
        <v>16057</v>
      </c>
      <c r="C4806" s="170" t="s">
        <v>205</v>
      </c>
      <c r="D4806" s="170" t="s">
        <v>1947</v>
      </c>
      <c r="E4806" s="171" t="s">
        <v>13833</v>
      </c>
      <c r="F4806" s="171" t="s">
        <v>6169</v>
      </c>
      <c r="G4806" s="82"/>
      <c r="H4806" s="96">
        <f t="shared" si="296"/>
        <v>14.98</v>
      </c>
      <c r="I4806" s="96">
        <f t="shared" si="296"/>
        <v>15.95</v>
      </c>
      <c r="J4806" s="91" t="str">
        <f t="shared" si="297"/>
        <v>Sinapi 103852</v>
      </c>
      <c r="K4806" s="91" t="str">
        <f t="shared" si="298"/>
        <v>UN</v>
      </c>
      <c r="L4806" s="166" t="str">
        <f t="shared" si="299"/>
        <v>04/2022</v>
      </c>
      <c r="M4806" s="82"/>
      <c r="N4806" s="82"/>
    </row>
    <row r="4807" spans="1:14" x14ac:dyDescent="0.25">
      <c r="A4807" s="170" t="s">
        <v>16058</v>
      </c>
      <c r="B4807" s="170" t="s">
        <v>16059</v>
      </c>
      <c r="C4807" s="170" t="s">
        <v>205</v>
      </c>
      <c r="D4807" s="170" t="s">
        <v>1947</v>
      </c>
      <c r="E4807" s="171" t="s">
        <v>30451</v>
      </c>
      <c r="F4807" s="171" t="s">
        <v>36978</v>
      </c>
      <c r="G4807" s="82"/>
      <c r="H4807" s="96">
        <f t="shared" si="296"/>
        <v>16.2</v>
      </c>
      <c r="I4807" s="96">
        <f t="shared" si="296"/>
        <v>17.170000000000002</v>
      </c>
      <c r="J4807" s="91" t="str">
        <f t="shared" si="297"/>
        <v>Sinapi 103853</v>
      </c>
      <c r="K4807" s="91" t="str">
        <f t="shared" si="298"/>
        <v>UN</v>
      </c>
      <c r="L4807" s="166" t="str">
        <f t="shared" si="299"/>
        <v>04/2022</v>
      </c>
      <c r="M4807" s="82"/>
      <c r="N4807" s="82"/>
    </row>
    <row r="4808" spans="1:14" x14ac:dyDescent="0.25">
      <c r="A4808" s="170" t="s">
        <v>16060</v>
      </c>
      <c r="B4808" s="170" t="s">
        <v>16061</v>
      </c>
      <c r="C4808" s="170" t="s">
        <v>205</v>
      </c>
      <c r="D4808" s="170" t="s">
        <v>1947</v>
      </c>
      <c r="E4808" s="171" t="s">
        <v>33875</v>
      </c>
      <c r="F4808" s="171" t="s">
        <v>37046</v>
      </c>
      <c r="G4808" s="82"/>
      <c r="H4808" s="96">
        <f t="shared" ref="H4808:I4871" si="300">IF(E4808="","",E4808+0)</f>
        <v>485.49</v>
      </c>
      <c r="I4808" s="96">
        <f t="shared" si="300"/>
        <v>486.46</v>
      </c>
      <c r="J4808" s="91" t="str">
        <f t="shared" ref="J4808:J4871" si="301">IF(OR(H4808="",I4808=""),"",TRIM(CONCATENATE("Sinapi ",A4808)))</f>
        <v>Sinapi 103854</v>
      </c>
      <c r="K4808" s="91" t="str">
        <f t="shared" ref="K4808:K4871" si="302">TRIM(C4808)</f>
        <v>UN</v>
      </c>
      <c r="L4808" s="166" t="str">
        <f t="shared" ref="L4808:L4871" si="303">IF(OR(RIGHT(IF(AND(K4808&lt;&gt;"H",K4808&lt;&gt;"MES"),RIGHT(B4808,7),""),2)="PS",RIGHT(IF(AND(K4808&lt;&gt;"H",K4808&lt;&gt;"MES"),RIGHT(B4808,7),""),2)="PA",RIGHT(IF(AND(K4808&lt;&gt;"H",K4808&lt;&gt;"MES"),RIGHT(B4808,7),""),2)="PE"),LEFT(IF(AND(K4808&lt;&gt;"H",K4808&lt;&gt;"MES"),RIGHT(B4808,10),""),7),IF(AND(K4808&lt;&gt;"H",K4808&lt;&gt;"MES"),RIGHT(B4808,7),""))</f>
        <v>04/2022</v>
      </c>
      <c r="M4808" s="82"/>
      <c r="N4808" s="82"/>
    </row>
    <row r="4809" spans="1:14" x14ac:dyDescent="0.25">
      <c r="A4809" s="170" t="s">
        <v>16062</v>
      </c>
      <c r="B4809" s="170" t="s">
        <v>16063</v>
      </c>
      <c r="C4809" s="170" t="s">
        <v>205</v>
      </c>
      <c r="D4809" s="170" t="s">
        <v>1947</v>
      </c>
      <c r="E4809" s="171" t="s">
        <v>33876</v>
      </c>
      <c r="F4809" s="171" t="s">
        <v>22973</v>
      </c>
      <c r="G4809" s="82"/>
      <c r="H4809" s="96">
        <f t="shared" si="300"/>
        <v>47.28</v>
      </c>
      <c r="I4809" s="96">
        <f t="shared" si="300"/>
        <v>48.25</v>
      </c>
      <c r="J4809" s="91" t="str">
        <f t="shared" si="301"/>
        <v>Sinapi 103855</v>
      </c>
      <c r="K4809" s="91" t="str">
        <f t="shared" si="302"/>
        <v>UN</v>
      </c>
      <c r="L4809" s="166" t="str">
        <f t="shared" si="303"/>
        <v>04/2022</v>
      </c>
      <c r="M4809" s="82"/>
      <c r="N4809" s="82"/>
    </row>
    <row r="4810" spans="1:14" x14ac:dyDescent="0.25">
      <c r="A4810" s="170" t="s">
        <v>16064</v>
      </c>
      <c r="B4810" s="170" t="s">
        <v>16065</v>
      </c>
      <c r="C4810" s="170" t="s">
        <v>205</v>
      </c>
      <c r="D4810" s="170" t="s">
        <v>1947</v>
      </c>
      <c r="E4810" s="171" t="s">
        <v>21478</v>
      </c>
      <c r="F4810" s="171" t="s">
        <v>15083</v>
      </c>
      <c r="G4810" s="82"/>
      <c r="H4810" s="96">
        <f t="shared" si="300"/>
        <v>14.12</v>
      </c>
      <c r="I4810" s="96">
        <f t="shared" si="300"/>
        <v>14.96</v>
      </c>
      <c r="J4810" s="91" t="str">
        <f t="shared" si="301"/>
        <v>Sinapi 103856</v>
      </c>
      <c r="K4810" s="91" t="str">
        <f t="shared" si="302"/>
        <v>UN</v>
      </c>
      <c r="L4810" s="166" t="str">
        <f t="shared" si="303"/>
        <v>04/2022</v>
      </c>
      <c r="M4810" s="82"/>
      <c r="N4810" s="82"/>
    </row>
    <row r="4811" spans="1:14" x14ac:dyDescent="0.25">
      <c r="A4811" s="170" t="s">
        <v>16066</v>
      </c>
      <c r="B4811" s="170" t="s">
        <v>16067</v>
      </c>
      <c r="C4811" s="170" t="s">
        <v>205</v>
      </c>
      <c r="D4811" s="170" t="s">
        <v>1947</v>
      </c>
      <c r="E4811" s="171" t="s">
        <v>21447</v>
      </c>
      <c r="F4811" s="171" t="s">
        <v>19825</v>
      </c>
      <c r="G4811" s="82"/>
      <c r="H4811" s="96">
        <f t="shared" si="300"/>
        <v>19.45</v>
      </c>
      <c r="I4811" s="96">
        <f t="shared" si="300"/>
        <v>20.09</v>
      </c>
      <c r="J4811" s="91" t="str">
        <f t="shared" si="301"/>
        <v>Sinapi 103857</v>
      </c>
      <c r="K4811" s="91" t="str">
        <f t="shared" si="302"/>
        <v>UN</v>
      </c>
      <c r="L4811" s="166" t="str">
        <f t="shared" si="303"/>
        <v>04/2022</v>
      </c>
      <c r="M4811" s="82"/>
      <c r="N4811" s="82"/>
    </row>
    <row r="4812" spans="1:14" x14ac:dyDescent="0.25">
      <c r="A4812" s="170" t="s">
        <v>16068</v>
      </c>
      <c r="B4812" s="170" t="s">
        <v>16069</v>
      </c>
      <c r="C4812" s="170" t="s">
        <v>205</v>
      </c>
      <c r="D4812" s="170" t="s">
        <v>1947</v>
      </c>
      <c r="E4812" s="171" t="s">
        <v>27533</v>
      </c>
      <c r="F4812" s="171" t="s">
        <v>23020</v>
      </c>
      <c r="G4812" s="82"/>
      <c r="H4812" s="96">
        <f t="shared" si="300"/>
        <v>23.38</v>
      </c>
      <c r="I4812" s="96">
        <f t="shared" si="300"/>
        <v>24.12</v>
      </c>
      <c r="J4812" s="91" t="str">
        <f t="shared" si="301"/>
        <v>Sinapi 103858</v>
      </c>
      <c r="K4812" s="91" t="str">
        <f t="shared" si="302"/>
        <v>UN</v>
      </c>
      <c r="L4812" s="166" t="str">
        <f t="shared" si="303"/>
        <v>04/2022</v>
      </c>
      <c r="M4812" s="82"/>
      <c r="N4812" s="82"/>
    </row>
    <row r="4813" spans="1:14" x14ac:dyDescent="0.25">
      <c r="A4813" s="170" t="s">
        <v>16070</v>
      </c>
      <c r="B4813" s="170" t="s">
        <v>16071</v>
      </c>
      <c r="C4813" s="170" t="s">
        <v>205</v>
      </c>
      <c r="D4813" s="170" t="s">
        <v>1947</v>
      </c>
      <c r="E4813" s="171" t="s">
        <v>15701</v>
      </c>
      <c r="F4813" s="171" t="s">
        <v>21589</v>
      </c>
      <c r="G4813" s="82"/>
      <c r="H4813" s="96">
        <f t="shared" si="300"/>
        <v>22.39</v>
      </c>
      <c r="I4813" s="96">
        <f t="shared" si="300"/>
        <v>23.56</v>
      </c>
      <c r="J4813" s="91" t="str">
        <f t="shared" si="301"/>
        <v>Sinapi 103859</v>
      </c>
      <c r="K4813" s="91" t="str">
        <f t="shared" si="302"/>
        <v>UN</v>
      </c>
      <c r="L4813" s="166" t="str">
        <f t="shared" si="303"/>
        <v>04/2022</v>
      </c>
      <c r="M4813" s="82"/>
      <c r="N4813" s="82"/>
    </row>
    <row r="4814" spans="1:14" x14ac:dyDescent="0.25">
      <c r="A4814" s="170" t="s">
        <v>16072</v>
      </c>
      <c r="B4814" s="170" t="s">
        <v>16073</v>
      </c>
      <c r="C4814" s="170" t="s">
        <v>205</v>
      </c>
      <c r="D4814" s="170" t="s">
        <v>1947</v>
      </c>
      <c r="E4814" s="171" t="s">
        <v>15701</v>
      </c>
      <c r="F4814" s="171" t="s">
        <v>21589</v>
      </c>
      <c r="G4814" s="82"/>
      <c r="H4814" s="96">
        <f t="shared" si="300"/>
        <v>22.39</v>
      </c>
      <c r="I4814" s="96">
        <f t="shared" si="300"/>
        <v>23.56</v>
      </c>
      <c r="J4814" s="91" t="str">
        <f t="shared" si="301"/>
        <v>Sinapi 103860</v>
      </c>
      <c r="K4814" s="91" t="str">
        <f t="shared" si="302"/>
        <v>UN</v>
      </c>
      <c r="L4814" s="166" t="str">
        <f t="shared" si="303"/>
        <v>04/2022</v>
      </c>
      <c r="M4814" s="82"/>
      <c r="N4814" s="82"/>
    </row>
    <row r="4815" spans="1:14" x14ac:dyDescent="0.25">
      <c r="A4815" s="170" t="s">
        <v>16074</v>
      </c>
      <c r="B4815" s="170" t="s">
        <v>16075</v>
      </c>
      <c r="C4815" s="170" t="s">
        <v>205</v>
      </c>
      <c r="D4815" s="170" t="s">
        <v>1947</v>
      </c>
      <c r="E4815" s="171" t="s">
        <v>33877</v>
      </c>
      <c r="F4815" s="171" t="s">
        <v>28638</v>
      </c>
      <c r="G4815" s="82"/>
      <c r="H4815" s="96">
        <f t="shared" si="300"/>
        <v>79.53</v>
      </c>
      <c r="I4815" s="96">
        <f t="shared" si="300"/>
        <v>80.7</v>
      </c>
      <c r="J4815" s="91" t="str">
        <f t="shared" si="301"/>
        <v>Sinapi 103861</v>
      </c>
      <c r="K4815" s="91" t="str">
        <f t="shared" si="302"/>
        <v>UN</v>
      </c>
      <c r="L4815" s="166" t="str">
        <f t="shared" si="303"/>
        <v>04/2022</v>
      </c>
      <c r="M4815" s="82"/>
      <c r="N4815" s="82"/>
    </row>
    <row r="4816" spans="1:14" x14ac:dyDescent="0.25">
      <c r="A4816" s="170" t="s">
        <v>16076</v>
      </c>
      <c r="B4816" s="170" t="s">
        <v>16077</v>
      </c>
      <c r="C4816" s="170" t="s">
        <v>205</v>
      </c>
      <c r="D4816" s="170" t="s">
        <v>1947</v>
      </c>
      <c r="E4816" s="171" t="s">
        <v>33878</v>
      </c>
      <c r="F4816" s="171" t="s">
        <v>37047</v>
      </c>
      <c r="G4816" s="82"/>
      <c r="H4816" s="96">
        <f t="shared" si="300"/>
        <v>534.55999999999995</v>
      </c>
      <c r="I4816" s="96">
        <f t="shared" si="300"/>
        <v>535.73</v>
      </c>
      <c r="J4816" s="91" t="str">
        <f t="shared" si="301"/>
        <v>Sinapi 103862</v>
      </c>
      <c r="K4816" s="91" t="str">
        <f t="shared" si="302"/>
        <v>UN</v>
      </c>
      <c r="L4816" s="166" t="str">
        <f t="shared" si="303"/>
        <v>04/2022</v>
      </c>
      <c r="M4816" s="82"/>
      <c r="N4816" s="82"/>
    </row>
    <row r="4817" spans="1:14" x14ac:dyDescent="0.25">
      <c r="A4817" s="170" t="s">
        <v>16078</v>
      </c>
      <c r="B4817" s="170" t="s">
        <v>16079</v>
      </c>
      <c r="C4817" s="170" t="s">
        <v>205</v>
      </c>
      <c r="D4817" s="170" t="s">
        <v>1947</v>
      </c>
      <c r="E4817" s="171" t="s">
        <v>20623</v>
      </c>
      <c r="F4817" s="171" t="s">
        <v>37048</v>
      </c>
      <c r="G4817" s="82"/>
      <c r="H4817" s="96">
        <f t="shared" si="300"/>
        <v>30.3</v>
      </c>
      <c r="I4817" s="96">
        <f t="shared" si="300"/>
        <v>31.05</v>
      </c>
      <c r="J4817" s="91" t="str">
        <f t="shared" si="301"/>
        <v>Sinapi 103863</v>
      </c>
      <c r="K4817" s="91" t="str">
        <f t="shared" si="302"/>
        <v>UN</v>
      </c>
      <c r="L4817" s="166" t="str">
        <f t="shared" si="303"/>
        <v>04/2022</v>
      </c>
      <c r="M4817" s="82"/>
      <c r="N4817" s="82"/>
    </row>
    <row r="4818" spans="1:14" x14ac:dyDescent="0.25">
      <c r="A4818" s="170" t="s">
        <v>16080</v>
      </c>
      <c r="B4818" s="170" t="s">
        <v>16081</v>
      </c>
      <c r="C4818" s="170" t="s">
        <v>205</v>
      </c>
      <c r="D4818" s="170" t="s">
        <v>1947</v>
      </c>
      <c r="E4818" s="171" t="s">
        <v>22711</v>
      </c>
      <c r="F4818" s="171" t="s">
        <v>19305</v>
      </c>
      <c r="G4818" s="82"/>
      <c r="H4818" s="96">
        <f t="shared" si="300"/>
        <v>19.37</v>
      </c>
      <c r="I4818" s="96">
        <f t="shared" si="300"/>
        <v>20.43</v>
      </c>
      <c r="J4818" s="91" t="str">
        <f t="shared" si="301"/>
        <v>Sinapi 103864</v>
      </c>
      <c r="K4818" s="91" t="str">
        <f t="shared" si="302"/>
        <v>UN</v>
      </c>
      <c r="L4818" s="166" t="str">
        <f t="shared" si="303"/>
        <v>04/2022</v>
      </c>
      <c r="M4818" s="82"/>
      <c r="N4818" s="82"/>
    </row>
    <row r="4819" spans="1:14" x14ac:dyDescent="0.25">
      <c r="A4819" s="170" t="s">
        <v>16082</v>
      </c>
      <c r="B4819" s="170" t="s">
        <v>16083</v>
      </c>
      <c r="C4819" s="170" t="s">
        <v>205</v>
      </c>
      <c r="D4819" s="170" t="s">
        <v>1947</v>
      </c>
      <c r="E4819" s="171" t="s">
        <v>21880</v>
      </c>
      <c r="F4819" s="171" t="s">
        <v>15786</v>
      </c>
      <c r="G4819" s="82"/>
      <c r="H4819" s="96">
        <f t="shared" si="300"/>
        <v>20.41</v>
      </c>
      <c r="I4819" s="96">
        <f t="shared" si="300"/>
        <v>21.85</v>
      </c>
      <c r="J4819" s="91" t="str">
        <f t="shared" si="301"/>
        <v>Sinapi 103865</v>
      </c>
      <c r="K4819" s="91" t="str">
        <f t="shared" si="302"/>
        <v>UN</v>
      </c>
      <c r="L4819" s="166" t="str">
        <f t="shared" si="303"/>
        <v>04/2022</v>
      </c>
      <c r="M4819" s="82"/>
      <c r="N4819" s="82"/>
    </row>
    <row r="4820" spans="1:14" x14ac:dyDescent="0.25">
      <c r="A4820" s="170" t="s">
        <v>16084</v>
      </c>
      <c r="B4820" s="170" t="s">
        <v>16085</v>
      </c>
      <c r="C4820" s="170" t="s">
        <v>205</v>
      </c>
      <c r="D4820" s="170" t="s">
        <v>1947</v>
      </c>
      <c r="E4820" s="171" t="s">
        <v>27842</v>
      </c>
      <c r="F4820" s="171" t="s">
        <v>19413</v>
      </c>
      <c r="G4820" s="82"/>
      <c r="H4820" s="96">
        <f t="shared" si="300"/>
        <v>32.83</v>
      </c>
      <c r="I4820" s="96">
        <f t="shared" si="300"/>
        <v>34.75</v>
      </c>
      <c r="J4820" s="91" t="str">
        <f t="shared" si="301"/>
        <v>Sinapi 103866</v>
      </c>
      <c r="K4820" s="91" t="str">
        <f t="shared" si="302"/>
        <v>UN</v>
      </c>
      <c r="L4820" s="166" t="str">
        <f t="shared" si="303"/>
        <v>04/2022</v>
      </c>
      <c r="M4820" s="82"/>
      <c r="N4820" s="82"/>
    </row>
    <row r="4821" spans="1:14" x14ac:dyDescent="0.25">
      <c r="A4821" s="170" t="s">
        <v>16086</v>
      </c>
      <c r="B4821" s="170" t="s">
        <v>16087</v>
      </c>
      <c r="C4821" s="170" t="s">
        <v>205</v>
      </c>
      <c r="D4821" s="170" t="s">
        <v>1947</v>
      </c>
      <c r="E4821" s="171" t="s">
        <v>33879</v>
      </c>
      <c r="F4821" s="171" t="s">
        <v>37049</v>
      </c>
      <c r="G4821" s="82"/>
      <c r="H4821" s="96">
        <f t="shared" si="300"/>
        <v>46.04</v>
      </c>
      <c r="I4821" s="96">
        <f t="shared" si="300"/>
        <v>48.36</v>
      </c>
      <c r="J4821" s="91" t="str">
        <f t="shared" si="301"/>
        <v>Sinapi 103867</v>
      </c>
      <c r="K4821" s="91" t="str">
        <f t="shared" si="302"/>
        <v>UN</v>
      </c>
      <c r="L4821" s="166" t="str">
        <f t="shared" si="303"/>
        <v>04/2022</v>
      </c>
      <c r="M4821" s="82"/>
      <c r="N4821" s="82"/>
    </row>
    <row r="4822" spans="1:14" x14ac:dyDescent="0.25">
      <c r="A4822" s="170" t="s">
        <v>16088</v>
      </c>
      <c r="B4822" s="170" t="s">
        <v>16089</v>
      </c>
      <c r="C4822" s="170" t="s">
        <v>205</v>
      </c>
      <c r="D4822" s="170" t="s">
        <v>1947</v>
      </c>
      <c r="E4822" s="171" t="s">
        <v>21102</v>
      </c>
      <c r="F4822" s="171" t="s">
        <v>15715</v>
      </c>
      <c r="G4822" s="82"/>
      <c r="H4822" s="96">
        <f t="shared" si="300"/>
        <v>15.72</v>
      </c>
      <c r="I4822" s="96">
        <f t="shared" si="300"/>
        <v>16.87</v>
      </c>
      <c r="J4822" s="91" t="str">
        <f t="shared" si="301"/>
        <v>Sinapi 103874</v>
      </c>
      <c r="K4822" s="91" t="str">
        <f t="shared" si="302"/>
        <v>UN</v>
      </c>
      <c r="L4822" s="166" t="str">
        <f t="shared" si="303"/>
        <v>04/2022</v>
      </c>
      <c r="M4822" s="82"/>
      <c r="N4822" s="82"/>
    </row>
    <row r="4823" spans="1:14" x14ac:dyDescent="0.25">
      <c r="A4823" s="170" t="s">
        <v>16090</v>
      </c>
      <c r="B4823" s="170" t="s">
        <v>16091</v>
      </c>
      <c r="C4823" s="170" t="s">
        <v>205</v>
      </c>
      <c r="D4823" s="170" t="s">
        <v>1947</v>
      </c>
      <c r="E4823" s="171" t="s">
        <v>29573</v>
      </c>
      <c r="F4823" s="171" t="s">
        <v>15524</v>
      </c>
      <c r="G4823" s="82"/>
      <c r="H4823" s="96">
        <f t="shared" si="300"/>
        <v>15.69</v>
      </c>
      <c r="I4823" s="96">
        <f t="shared" si="300"/>
        <v>16.84</v>
      </c>
      <c r="J4823" s="91" t="str">
        <f t="shared" si="301"/>
        <v>Sinapi 103875</v>
      </c>
      <c r="K4823" s="91" t="str">
        <f t="shared" si="302"/>
        <v>UN</v>
      </c>
      <c r="L4823" s="166" t="str">
        <f t="shared" si="303"/>
        <v>04/2022</v>
      </c>
      <c r="M4823" s="82"/>
      <c r="N4823" s="82"/>
    </row>
    <row r="4824" spans="1:14" x14ac:dyDescent="0.25">
      <c r="A4824" s="170" t="s">
        <v>16092</v>
      </c>
      <c r="B4824" s="170" t="s">
        <v>16093</v>
      </c>
      <c r="C4824" s="170" t="s">
        <v>205</v>
      </c>
      <c r="D4824" s="170" t="s">
        <v>1947</v>
      </c>
      <c r="E4824" s="171" t="s">
        <v>22758</v>
      </c>
      <c r="F4824" s="171" t="s">
        <v>21126</v>
      </c>
      <c r="G4824" s="82"/>
      <c r="H4824" s="96">
        <f t="shared" si="300"/>
        <v>19.71</v>
      </c>
      <c r="I4824" s="96">
        <f t="shared" si="300"/>
        <v>20.47</v>
      </c>
      <c r="J4824" s="91" t="str">
        <f t="shared" si="301"/>
        <v>Sinapi 103876</v>
      </c>
      <c r="K4824" s="91" t="str">
        <f t="shared" si="302"/>
        <v>UN</v>
      </c>
      <c r="L4824" s="166" t="str">
        <f t="shared" si="303"/>
        <v>04/2022</v>
      </c>
      <c r="M4824" s="82"/>
      <c r="N4824" s="82"/>
    </row>
    <row r="4825" spans="1:14" x14ac:dyDescent="0.25">
      <c r="A4825" s="170" t="s">
        <v>16094</v>
      </c>
      <c r="B4825" s="170" t="s">
        <v>16095</v>
      </c>
      <c r="C4825" s="170" t="s">
        <v>205</v>
      </c>
      <c r="D4825" s="170" t="s">
        <v>1947</v>
      </c>
      <c r="E4825" s="171" t="s">
        <v>16872</v>
      </c>
      <c r="F4825" s="171" t="s">
        <v>37050</v>
      </c>
      <c r="G4825" s="82"/>
      <c r="H4825" s="96">
        <f t="shared" si="300"/>
        <v>24.1</v>
      </c>
      <c r="I4825" s="96">
        <f t="shared" si="300"/>
        <v>25.47</v>
      </c>
      <c r="J4825" s="91" t="str">
        <f t="shared" si="301"/>
        <v>Sinapi 103877</v>
      </c>
      <c r="K4825" s="91" t="str">
        <f t="shared" si="302"/>
        <v>UN</v>
      </c>
      <c r="L4825" s="166" t="str">
        <f t="shared" si="303"/>
        <v>04/2022</v>
      </c>
      <c r="M4825" s="82"/>
      <c r="N4825" s="82"/>
    </row>
    <row r="4826" spans="1:14" x14ac:dyDescent="0.25">
      <c r="A4826" s="170" t="s">
        <v>16096</v>
      </c>
      <c r="B4826" s="170" t="s">
        <v>16097</v>
      </c>
      <c r="C4826" s="170" t="s">
        <v>205</v>
      </c>
      <c r="D4826" s="170" t="s">
        <v>1947</v>
      </c>
      <c r="E4826" s="171" t="s">
        <v>21349</v>
      </c>
      <c r="F4826" s="171" t="s">
        <v>20646</v>
      </c>
      <c r="G4826" s="82"/>
      <c r="H4826" s="96">
        <f t="shared" si="300"/>
        <v>23.83</v>
      </c>
      <c r="I4826" s="96">
        <f t="shared" si="300"/>
        <v>25.2</v>
      </c>
      <c r="J4826" s="91" t="str">
        <f t="shared" si="301"/>
        <v>Sinapi 103878</v>
      </c>
      <c r="K4826" s="91" t="str">
        <f t="shared" si="302"/>
        <v>UN</v>
      </c>
      <c r="L4826" s="166" t="str">
        <f t="shared" si="303"/>
        <v>04/2022</v>
      </c>
      <c r="M4826" s="82"/>
      <c r="N4826" s="82"/>
    </row>
    <row r="4827" spans="1:14" x14ac:dyDescent="0.25">
      <c r="A4827" s="170" t="s">
        <v>16098</v>
      </c>
      <c r="B4827" s="170" t="s">
        <v>16099</v>
      </c>
      <c r="C4827" s="170" t="s">
        <v>205</v>
      </c>
      <c r="D4827" s="170" t="s">
        <v>1947</v>
      </c>
      <c r="E4827" s="171" t="s">
        <v>33880</v>
      </c>
      <c r="F4827" s="171" t="s">
        <v>30725</v>
      </c>
      <c r="G4827" s="82"/>
      <c r="H4827" s="96">
        <f t="shared" si="300"/>
        <v>27.65</v>
      </c>
      <c r="I4827" s="96">
        <f t="shared" si="300"/>
        <v>28.5</v>
      </c>
      <c r="J4827" s="91" t="str">
        <f t="shared" si="301"/>
        <v>Sinapi 103879</v>
      </c>
      <c r="K4827" s="91" t="str">
        <f t="shared" si="302"/>
        <v>UN</v>
      </c>
      <c r="L4827" s="166" t="str">
        <f t="shared" si="303"/>
        <v>04/2022</v>
      </c>
      <c r="M4827" s="82"/>
      <c r="N4827" s="82"/>
    </row>
    <row r="4828" spans="1:14" x14ac:dyDescent="0.25">
      <c r="A4828" s="170" t="s">
        <v>16100</v>
      </c>
      <c r="B4828" s="170" t="s">
        <v>16101</v>
      </c>
      <c r="C4828" s="170" t="s">
        <v>205</v>
      </c>
      <c r="D4828" s="170" t="s">
        <v>1947</v>
      </c>
      <c r="E4828" s="171" t="s">
        <v>29543</v>
      </c>
      <c r="F4828" s="171" t="s">
        <v>33377</v>
      </c>
      <c r="G4828" s="82"/>
      <c r="H4828" s="96">
        <f t="shared" si="300"/>
        <v>30.81</v>
      </c>
      <c r="I4828" s="96">
        <f t="shared" si="300"/>
        <v>31.75</v>
      </c>
      <c r="J4828" s="91" t="str">
        <f t="shared" si="301"/>
        <v>Sinapi 103880</v>
      </c>
      <c r="K4828" s="91" t="str">
        <f t="shared" si="302"/>
        <v>UN</v>
      </c>
      <c r="L4828" s="166" t="str">
        <f t="shared" si="303"/>
        <v>04/2022</v>
      </c>
      <c r="M4828" s="82"/>
      <c r="N4828" s="82"/>
    </row>
    <row r="4829" spans="1:14" x14ac:dyDescent="0.25">
      <c r="A4829" s="170" t="s">
        <v>16102</v>
      </c>
      <c r="B4829" s="170" t="s">
        <v>16103</v>
      </c>
      <c r="C4829" s="170" t="s">
        <v>205</v>
      </c>
      <c r="D4829" s="170" t="s">
        <v>1947</v>
      </c>
      <c r="E4829" s="171" t="s">
        <v>28068</v>
      </c>
      <c r="F4829" s="171" t="s">
        <v>33558</v>
      </c>
      <c r="G4829" s="82"/>
      <c r="H4829" s="96">
        <f t="shared" si="300"/>
        <v>33.840000000000003</v>
      </c>
      <c r="I4829" s="96">
        <f t="shared" si="300"/>
        <v>35.39</v>
      </c>
      <c r="J4829" s="91" t="str">
        <f t="shared" si="301"/>
        <v>Sinapi 103881</v>
      </c>
      <c r="K4829" s="91" t="str">
        <f t="shared" si="302"/>
        <v>UN</v>
      </c>
      <c r="L4829" s="166" t="str">
        <f t="shared" si="303"/>
        <v>04/2022</v>
      </c>
      <c r="M4829" s="82"/>
      <c r="N4829" s="82"/>
    </row>
    <row r="4830" spans="1:14" x14ac:dyDescent="0.25">
      <c r="A4830" s="170" t="s">
        <v>16104</v>
      </c>
      <c r="B4830" s="170" t="s">
        <v>16105</v>
      </c>
      <c r="C4830" s="170" t="s">
        <v>205</v>
      </c>
      <c r="D4830" s="170" t="s">
        <v>1947</v>
      </c>
      <c r="E4830" s="171" t="s">
        <v>29215</v>
      </c>
      <c r="F4830" s="171" t="s">
        <v>22779</v>
      </c>
      <c r="G4830" s="82"/>
      <c r="H4830" s="96">
        <f t="shared" si="300"/>
        <v>32.21</v>
      </c>
      <c r="I4830" s="96">
        <f t="shared" si="300"/>
        <v>33.76</v>
      </c>
      <c r="J4830" s="91" t="str">
        <f t="shared" si="301"/>
        <v>Sinapi 103882</v>
      </c>
      <c r="K4830" s="91" t="str">
        <f t="shared" si="302"/>
        <v>UN</v>
      </c>
      <c r="L4830" s="166" t="str">
        <f t="shared" si="303"/>
        <v>04/2022</v>
      </c>
      <c r="M4830" s="82"/>
      <c r="N4830" s="82"/>
    </row>
    <row r="4831" spans="1:14" x14ac:dyDescent="0.25">
      <c r="A4831" s="170" t="s">
        <v>16106</v>
      </c>
      <c r="B4831" s="170" t="s">
        <v>16107</v>
      </c>
      <c r="C4831" s="170" t="s">
        <v>205</v>
      </c>
      <c r="D4831" s="170" t="s">
        <v>1947</v>
      </c>
      <c r="E4831" s="171" t="s">
        <v>33881</v>
      </c>
      <c r="F4831" s="171" t="s">
        <v>15700</v>
      </c>
      <c r="G4831" s="82"/>
      <c r="H4831" s="96">
        <f t="shared" si="300"/>
        <v>10.25</v>
      </c>
      <c r="I4831" s="96">
        <f t="shared" si="300"/>
        <v>11.02</v>
      </c>
      <c r="J4831" s="91" t="str">
        <f t="shared" si="301"/>
        <v>Sinapi 103883</v>
      </c>
      <c r="K4831" s="91" t="str">
        <f t="shared" si="302"/>
        <v>UN</v>
      </c>
      <c r="L4831" s="166" t="str">
        <f t="shared" si="303"/>
        <v>04/2022</v>
      </c>
      <c r="M4831" s="82"/>
      <c r="N4831" s="82"/>
    </row>
    <row r="4832" spans="1:14" x14ac:dyDescent="0.25">
      <c r="A4832" s="170" t="s">
        <v>16108</v>
      </c>
      <c r="B4832" s="170" t="s">
        <v>16109</v>
      </c>
      <c r="C4832" s="170" t="s">
        <v>205</v>
      </c>
      <c r="D4832" s="170" t="s">
        <v>1947</v>
      </c>
      <c r="E4832" s="171" t="s">
        <v>5688</v>
      </c>
      <c r="F4832" s="171" t="s">
        <v>21024</v>
      </c>
      <c r="G4832" s="82"/>
      <c r="H4832" s="96">
        <f t="shared" si="300"/>
        <v>10.28</v>
      </c>
      <c r="I4832" s="96">
        <f t="shared" si="300"/>
        <v>11.05</v>
      </c>
      <c r="J4832" s="91" t="str">
        <f t="shared" si="301"/>
        <v>Sinapi 103884</v>
      </c>
      <c r="K4832" s="91" t="str">
        <f t="shared" si="302"/>
        <v>UN</v>
      </c>
      <c r="L4832" s="166" t="str">
        <f t="shared" si="303"/>
        <v>04/2022</v>
      </c>
      <c r="M4832" s="82"/>
      <c r="N4832" s="82"/>
    </row>
    <row r="4833" spans="1:14" x14ac:dyDescent="0.25">
      <c r="A4833" s="170" t="s">
        <v>16111</v>
      </c>
      <c r="B4833" s="170" t="s">
        <v>16112</v>
      </c>
      <c r="C4833" s="170" t="s">
        <v>205</v>
      </c>
      <c r="D4833" s="170" t="s">
        <v>1947</v>
      </c>
      <c r="E4833" s="171" t="s">
        <v>20070</v>
      </c>
      <c r="F4833" s="171" t="s">
        <v>23102</v>
      </c>
      <c r="G4833" s="82"/>
      <c r="H4833" s="96">
        <f t="shared" si="300"/>
        <v>24.42</v>
      </c>
      <c r="I4833" s="96">
        <f t="shared" si="300"/>
        <v>25.19</v>
      </c>
      <c r="J4833" s="91" t="str">
        <f t="shared" si="301"/>
        <v>Sinapi 103885</v>
      </c>
      <c r="K4833" s="91" t="str">
        <f t="shared" si="302"/>
        <v>UN</v>
      </c>
      <c r="L4833" s="166" t="str">
        <f t="shared" si="303"/>
        <v>04/2022</v>
      </c>
      <c r="M4833" s="82"/>
      <c r="N4833" s="82"/>
    </row>
    <row r="4834" spans="1:14" x14ac:dyDescent="0.25">
      <c r="A4834" s="170" t="s">
        <v>16113</v>
      </c>
      <c r="B4834" s="170" t="s">
        <v>16114</v>
      </c>
      <c r="C4834" s="170" t="s">
        <v>205</v>
      </c>
      <c r="D4834" s="170" t="s">
        <v>1947</v>
      </c>
      <c r="E4834" s="171" t="s">
        <v>33882</v>
      </c>
      <c r="F4834" s="171" t="s">
        <v>37051</v>
      </c>
      <c r="G4834" s="82"/>
      <c r="H4834" s="96">
        <f t="shared" si="300"/>
        <v>417.62</v>
      </c>
      <c r="I4834" s="96">
        <f t="shared" si="300"/>
        <v>418.39</v>
      </c>
      <c r="J4834" s="91" t="str">
        <f t="shared" si="301"/>
        <v>Sinapi 103886</v>
      </c>
      <c r="K4834" s="91" t="str">
        <f t="shared" si="302"/>
        <v>UN</v>
      </c>
      <c r="L4834" s="166" t="str">
        <f t="shared" si="303"/>
        <v>04/2022</v>
      </c>
      <c r="M4834" s="82"/>
      <c r="N4834" s="82"/>
    </row>
    <row r="4835" spans="1:14" x14ac:dyDescent="0.25">
      <c r="A4835" s="170" t="s">
        <v>16115</v>
      </c>
      <c r="B4835" s="170" t="s">
        <v>16116</v>
      </c>
      <c r="C4835" s="170" t="s">
        <v>205</v>
      </c>
      <c r="D4835" s="170" t="s">
        <v>1947</v>
      </c>
      <c r="E4835" s="171" t="s">
        <v>31893</v>
      </c>
      <c r="F4835" s="171" t="s">
        <v>18353</v>
      </c>
      <c r="G4835" s="82"/>
      <c r="H4835" s="96">
        <f t="shared" si="300"/>
        <v>18.12</v>
      </c>
      <c r="I4835" s="96">
        <f t="shared" si="300"/>
        <v>18.670000000000002</v>
      </c>
      <c r="J4835" s="91" t="str">
        <f t="shared" si="301"/>
        <v>Sinapi 103887</v>
      </c>
      <c r="K4835" s="91" t="str">
        <f t="shared" si="302"/>
        <v>UN</v>
      </c>
      <c r="L4835" s="166" t="str">
        <f t="shared" si="303"/>
        <v>04/2022</v>
      </c>
      <c r="M4835" s="82"/>
      <c r="N4835" s="82"/>
    </row>
    <row r="4836" spans="1:14" x14ac:dyDescent="0.25">
      <c r="A4836" s="170" t="s">
        <v>16117</v>
      </c>
      <c r="B4836" s="170" t="s">
        <v>16118</v>
      </c>
      <c r="C4836" s="170" t="s">
        <v>205</v>
      </c>
      <c r="D4836" s="170" t="s">
        <v>1947</v>
      </c>
      <c r="E4836" s="171" t="s">
        <v>11274</v>
      </c>
      <c r="F4836" s="171" t="s">
        <v>10255</v>
      </c>
      <c r="G4836" s="82"/>
      <c r="H4836" s="96">
        <f t="shared" si="300"/>
        <v>14.48</v>
      </c>
      <c r="I4836" s="96">
        <f t="shared" si="300"/>
        <v>15.39</v>
      </c>
      <c r="J4836" s="91" t="str">
        <f t="shared" si="301"/>
        <v>Sinapi 103888</v>
      </c>
      <c r="K4836" s="91" t="str">
        <f t="shared" si="302"/>
        <v>UN</v>
      </c>
      <c r="L4836" s="166" t="str">
        <f t="shared" si="303"/>
        <v>04/2022</v>
      </c>
      <c r="M4836" s="82"/>
      <c r="N4836" s="82"/>
    </row>
    <row r="4837" spans="1:14" x14ac:dyDescent="0.25">
      <c r="A4837" s="170" t="s">
        <v>16119</v>
      </c>
      <c r="B4837" s="170" t="s">
        <v>16120</v>
      </c>
      <c r="C4837" s="170" t="s">
        <v>205</v>
      </c>
      <c r="D4837" s="170" t="s">
        <v>1947</v>
      </c>
      <c r="E4837" s="171" t="s">
        <v>33883</v>
      </c>
      <c r="F4837" s="171" t="s">
        <v>15535</v>
      </c>
      <c r="G4837" s="82"/>
      <c r="H4837" s="96">
        <f t="shared" si="300"/>
        <v>15.7</v>
      </c>
      <c r="I4837" s="96">
        <f t="shared" si="300"/>
        <v>16.61</v>
      </c>
      <c r="J4837" s="91" t="str">
        <f t="shared" si="301"/>
        <v>Sinapi 103889</v>
      </c>
      <c r="K4837" s="91" t="str">
        <f t="shared" si="302"/>
        <v>UN</v>
      </c>
      <c r="L4837" s="166" t="str">
        <f t="shared" si="303"/>
        <v>04/2022</v>
      </c>
      <c r="M4837" s="82"/>
      <c r="N4837" s="82"/>
    </row>
    <row r="4838" spans="1:14" x14ac:dyDescent="0.25">
      <c r="A4838" s="170" t="s">
        <v>16121</v>
      </c>
      <c r="B4838" s="170" t="s">
        <v>16122</v>
      </c>
      <c r="C4838" s="170" t="s">
        <v>205</v>
      </c>
      <c r="D4838" s="170" t="s">
        <v>1947</v>
      </c>
      <c r="E4838" s="171" t="s">
        <v>33884</v>
      </c>
      <c r="F4838" s="171" t="s">
        <v>37052</v>
      </c>
      <c r="G4838" s="82"/>
      <c r="H4838" s="96">
        <f t="shared" si="300"/>
        <v>484.99</v>
      </c>
      <c r="I4838" s="96">
        <f t="shared" si="300"/>
        <v>485.9</v>
      </c>
      <c r="J4838" s="91" t="str">
        <f t="shared" si="301"/>
        <v>Sinapi 103890</v>
      </c>
      <c r="K4838" s="91" t="str">
        <f t="shared" si="302"/>
        <v>UN</v>
      </c>
      <c r="L4838" s="166" t="str">
        <f t="shared" si="303"/>
        <v>04/2022</v>
      </c>
      <c r="M4838" s="82"/>
      <c r="N4838" s="82"/>
    </row>
    <row r="4839" spans="1:14" x14ac:dyDescent="0.25">
      <c r="A4839" s="170" t="s">
        <v>16123</v>
      </c>
      <c r="B4839" s="170" t="s">
        <v>16124</v>
      </c>
      <c r="C4839" s="170" t="s">
        <v>205</v>
      </c>
      <c r="D4839" s="170" t="s">
        <v>1947</v>
      </c>
      <c r="E4839" s="171" t="s">
        <v>33885</v>
      </c>
      <c r="F4839" s="171" t="s">
        <v>37053</v>
      </c>
      <c r="G4839" s="82"/>
      <c r="H4839" s="96">
        <f t="shared" si="300"/>
        <v>46.78</v>
      </c>
      <c r="I4839" s="96">
        <f t="shared" si="300"/>
        <v>47.69</v>
      </c>
      <c r="J4839" s="91" t="str">
        <f t="shared" si="301"/>
        <v>Sinapi 103891</v>
      </c>
      <c r="K4839" s="91" t="str">
        <f t="shared" si="302"/>
        <v>UN</v>
      </c>
      <c r="L4839" s="166" t="str">
        <f t="shared" si="303"/>
        <v>04/2022</v>
      </c>
      <c r="M4839" s="82"/>
      <c r="N4839" s="82"/>
    </row>
    <row r="4840" spans="1:14" x14ac:dyDescent="0.25">
      <c r="A4840" s="170" t="s">
        <v>16125</v>
      </c>
      <c r="B4840" s="170" t="s">
        <v>16126</v>
      </c>
      <c r="C4840" s="170" t="s">
        <v>205</v>
      </c>
      <c r="D4840" s="170" t="s">
        <v>1947</v>
      </c>
      <c r="E4840" s="171" t="s">
        <v>6826</v>
      </c>
      <c r="F4840" s="171" t="s">
        <v>15083</v>
      </c>
      <c r="G4840" s="82"/>
      <c r="H4840" s="96">
        <f t="shared" si="300"/>
        <v>14.11</v>
      </c>
      <c r="I4840" s="96">
        <f t="shared" si="300"/>
        <v>14.96</v>
      </c>
      <c r="J4840" s="91" t="str">
        <f t="shared" si="301"/>
        <v>Sinapi 103892</v>
      </c>
      <c r="K4840" s="91" t="str">
        <f t="shared" si="302"/>
        <v>UN</v>
      </c>
      <c r="L4840" s="166" t="str">
        <f t="shared" si="303"/>
        <v>04/2022</v>
      </c>
      <c r="M4840" s="82"/>
      <c r="N4840" s="82"/>
    </row>
    <row r="4841" spans="1:14" x14ac:dyDescent="0.25">
      <c r="A4841" s="170" t="s">
        <v>16127</v>
      </c>
      <c r="B4841" s="170" t="s">
        <v>16128</v>
      </c>
      <c r="C4841" s="170" t="s">
        <v>205</v>
      </c>
      <c r="D4841" s="170" t="s">
        <v>1947</v>
      </c>
      <c r="E4841" s="171" t="s">
        <v>20636</v>
      </c>
      <c r="F4841" s="171" t="s">
        <v>29271</v>
      </c>
      <c r="G4841" s="82"/>
      <c r="H4841" s="96">
        <f t="shared" si="300"/>
        <v>19.2</v>
      </c>
      <c r="I4841" s="96">
        <f t="shared" si="300"/>
        <v>19.82</v>
      </c>
      <c r="J4841" s="91" t="str">
        <f t="shared" si="301"/>
        <v>Sinapi 103893</v>
      </c>
      <c r="K4841" s="91" t="str">
        <f t="shared" si="302"/>
        <v>UN</v>
      </c>
      <c r="L4841" s="166" t="str">
        <f t="shared" si="303"/>
        <v>04/2022</v>
      </c>
      <c r="M4841" s="82"/>
      <c r="N4841" s="82"/>
    </row>
    <row r="4842" spans="1:14" x14ac:dyDescent="0.25">
      <c r="A4842" s="170" t="s">
        <v>16129</v>
      </c>
      <c r="B4842" s="170" t="s">
        <v>16130</v>
      </c>
      <c r="C4842" s="170" t="s">
        <v>205</v>
      </c>
      <c r="D4842" s="170" t="s">
        <v>1947</v>
      </c>
      <c r="E4842" s="171" t="s">
        <v>15550</v>
      </c>
      <c r="F4842" s="171" t="s">
        <v>23232</v>
      </c>
      <c r="G4842" s="82"/>
      <c r="H4842" s="96">
        <f t="shared" si="300"/>
        <v>23.13</v>
      </c>
      <c r="I4842" s="96">
        <f t="shared" si="300"/>
        <v>23.85</v>
      </c>
      <c r="J4842" s="91" t="str">
        <f t="shared" si="301"/>
        <v>Sinapi 103894</v>
      </c>
      <c r="K4842" s="91" t="str">
        <f t="shared" si="302"/>
        <v>UN</v>
      </c>
      <c r="L4842" s="166" t="str">
        <f t="shared" si="303"/>
        <v>04/2022</v>
      </c>
      <c r="M4842" s="82"/>
      <c r="N4842" s="82"/>
    </row>
    <row r="4843" spans="1:14" x14ac:dyDescent="0.25">
      <c r="A4843" s="170" t="s">
        <v>16131</v>
      </c>
      <c r="B4843" s="170" t="s">
        <v>16132</v>
      </c>
      <c r="C4843" s="170" t="s">
        <v>205</v>
      </c>
      <c r="D4843" s="170" t="s">
        <v>1947</v>
      </c>
      <c r="E4843" s="171" t="s">
        <v>20138</v>
      </c>
      <c r="F4843" s="171" t="s">
        <v>37054</v>
      </c>
      <c r="G4843" s="82"/>
      <c r="H4843" s="96">
        <f t="shared" si="300"/>
        <v>21.11</v>
      </c>
      <c r="I4843" s="96">
        <f t="shared" si="300"/>
        <v>22.15</v>
      </c>
      <c r="J4843" s="91" t="str">
        <f t="shared" si="301"/>
        <v>Sinapi 103895</v>
      </c>
      <c r="K4843" s="91" t="str">
        <f t="shared" si="302"/>
        <v>UN</v>
      </c>
      <c r="L4843" s="166" t="str">
        <f t="shared" si="303"/>
        <v>04/2022</v>
      </c>
      <c r="M4843" s="82"/>
      <c r="N4843" s="82"/>
    </row>
    <row r="4844" spans="1:14" x14ac:dyDescent="0.25">
      <c r="A4844" s="170" t="s">
        <v>16133</v>
      </c>
      <c r="B4844" s="170" t="s">
        <v>16134</v>
      </c>
      <c r="C4844" s="170" t="s">
        <v>205</v>
      </c>
      <c r="D4844" s="170" t="s">
        <v>1947</v>
      </c>
      <c r="E4844" s="171" t="s">
        <v>20138</v>
      </c>
      <c r="F4844" s="171" t="s">
        <v>37054</v>
      </c>
      <c r="G4844" s="82"/>
      <c r="H4844" s="96">
        <f t="shared" si="300"/>
        <v>21.11</v>
      </c>
      <c r="I4844" s="96">
        <f t="shared" si="300"/>
        <v>22.15</v>
      </c>
      <c r="J4844" s="91" t="str">
        <f t="shared" si="301"/>
        <v>Sinapi 103896</v>
      </c>
      <c r="K4844" s="91" t="str">
        <f t="shared" si="302"/>
        <v>UN</v>
      </c>
      <c r="L4844" s="166" t="str">
        <f t="shared" si="303"/>
        <v>04/2022</v>
      </c>
      <c r="M4844" s="82"/>
      <c r="N4844" s="82"/>
    </row>
    <row r="4845" spans="1:14" x14ac:dyDescent="0.25">
      <c r="A4845" s="170" t="s">
        <v>16135</v>
      </c>
      <c r="B4845" s="170" t="s">
        <v>16136</v>
      </c>
      <c r="C4845" s="170" t="s">
        <v>205</v>
      </c>
      <c r="D4845" s="170" t="s">
        <v>1947</v>
      </c>
      <c r="E4845" s="171" t="s">
        <v>33886</v>
      </c>
      <c r="F4845" s="171" t="s">
        <v>37055</v>
      </c>
      <c r="G4845" s="82"/>
      <c r="H4845" s="96">
        <f t="shared" si="300"/>
        <v>78.25</v>
      </c>
      <c r="I4845" s="96">
        <f t="shared" si="300"/>
        <v>79.290000000000006</v>
      </c>
      <c r="J4845" s="91" t="str">
        <f t="shared" si="301"/>
        <v>Sinapi 103897</v>
      </c>
      <c r="K4845" s="91" t="str">
        <f t="shared" si="302"/>
        <v>UN</v>
      </c>
      <c r="L4845" s="166" t="str">
        <f t="shared" si="303"/>
        <v>04/2022</v>
      </c>
      <c r="M4845" s="82"/>
      <c r="N4845" s="82"/>
    </row>
    <row r="4846" spans="1:14" x14ac:dyDescent="0.25">
      <c r="A4846" s="170" t="s">
        <v>16137</v>
      </c>
      <c r="B4846" s="170" t="s">
        <v>16138</v>
      </c>
      <c r="C4846" s="170" t="s">
        <v>205</v>
      </c>
      <c r="D4846" s="170" t="s">
        <v>1947</v>
      </c>
      <c r="E4846" s="171" t="s">
        <v>33887</v>
      </c>
      <c r="F4846" s="171" t="s">
        <v>28651</v>
      </c>
      <c r="G4846" s="82"/>
      <c r="H4846" s="96">
        <f t="shared" si="300"/>
        <v>533.28</v>
      </c>
      <c r="I4846" s="96">
        <f t="shared" si="300"/>
        <v>534.32000000000005</v>
      </c>
      <c r="J4846" s="91" t="str">
        <f t="shared" si="301"/>
        <v>Sinapi 103898</v>
      </c>
      <c r="K4846" s="91" t="str">
        <f t="shared" si="302"/>
        <v>UN</v>
      </c>
      <c r="L4846" s="166" t="str">
        <f t="shared" si="303"/>
        <v>04/2022</v>
      </c>
      <c r="M4846" s="82"/>
      <c r="N4846" s="82"/>
    </row>
    <row r="4847" spans="1:14" x14ac:dyDescent="0.25">
      <c r="A4847" s="170" t="s">
        <v>16139</v>
      </c>
      <c r="B4847" s="170" t="s">
        <v>16140</v>
      </c>
      <c r="C4847" s="170" t="s">
        <v>205</v>
      </c>
      <c r="D4847" s="170" t="s">
        <v>1947</v>
      </c>
      <c r="E4847" s="171" t="s">
        <v>33709</v>
      </c>
      <c r="F4847" s="171" t="s">
        <v>37056</v>
      </c>
      <c r="G4847" s="82"/>
      <c r="H4847" s="96">
        <f t="shared" si="300"/>
        <v>29.67</v>
      </c>
      <c r="I4847" s="96">
        <f t="shared" si="300"/>
        <v>30.35</v>
      </c>
      <c r="J4847" s="91" t="str">
        <f t="shared" si="301"/>
        <v>Sinapi 103899</v>
      </c>
      <c r="K4847" s="91" t="str">
        <f t="shared" si="302"/>
        <v>UN</v>
      </c>
      <c r="L4847" s="166" t="str">
        <f t="shared" si="303"/>
        <v>04/2022</v>
      </c>
      <c r="M4847" s="82"/>
      <c r="N4847" s="82"/>
    </row>
    <row r="4848" spans="1:14" x14ac:dyDescent="0.25">
      <c r="A4848" s="170" t="s">
        <v>16141</v>
      </c>
      <c r="B4848" s="170" t="s">
        <v>16142</v>
      </c>
      <c r="C4848" s="170" t="s">
        <v>205</v>
      </c>
      <c r="D4848" s="170" t="s">
        <v>1947</v>
      </c>
      <c r="E4848" s="171" t="s">
        <v>16373</v>
      </c>
      <c r="F4848" s="171" t="s">
        <v>18613</v>
      </c>
      <c r="G4848" s="82"/>
      <c r="H4848" s="96">
        <f t="shared" si="300"/>
        <v>18.36</v>
      </c>
      <c r="I4848" s="96">
        <f t="shared" si="300"/>
        <v>19.329999999999998</v>
      </c>
      <c r="J4848" s="91" t="str">
        <f t="shared" si="301"/>
        <v>Sinapi 103900</v>
      </c>
      <c r="K4848" s="91" t="str">
        <f t="shared" si="302"/>
        <v>UN</v>
      </c>
      <c r="L4848" s="166" t="str">
        <f t="shared" si="303"/>
        <v>04/2022</v>
      </c>
      <c r="M4848" s="82"/>
      <c r="N4848" s="82"/>
    </row>
    <row r="4849" spans="1:14" x14ac:dyDescent="0.25">
      <c r="A4849" s="170" t="s">
        <v>16143</v>
      </c>
      <c r="B4849" s="170" t="s">
        <v>16144</v>
      </c>
      <c r="C4849" s="170" t="s">
        <v>205</v>
      </c>
      <c r="D4849" s="170" t="s">
        <v>1947</v>
      </c>
      <c r="E4849" s="171" t="s">
        <v>20037</v>
      </c>
      <c r="F4849" s="171" t="s">
        <v>28749</v>
      </c>
      <c r="G4849" s="82"/>
      <c r="H4849" s="96">
        <f t="shared" si="300"/>
        <v>21.24</v>
      </c>
      <c r="I4849" s="96">
        <f t="shared" si="300"/>
        <v>22.8</v>
      </c>
      <c r="J4849" s="91" t="str">
        <f t="shared" si="301"/>
        <v>Sinapi 103901</v>
      </c>
      <c r="K4849" s="91" t="str">
        <f t="shared" si="302"/>
        <v>UN</v>
      </c>
      <c r="L4849" s="166" t="str">
        <f t="shared" si="303"/>
        <v>04/2022</v>
      </c>
      <c r="M4849" s="82"/>
      <c r="N4849" s="82"/>
    </row>
    <row r="4850" spans="1:14" x14ac:dyDescent="0.25">
      <c r="A4850" s="170" t="s">
        <v>16145</v>
      </c>
      <c r="B4850" s="170" t="s">
        <v>16146</v>
      </c>
      <c r="C4850" s="170" t="s">
        <v>205</v>
      </c>
      <c r="D4850" s="170" t="s">
        <v>1947</v>
      </c>
      <c r="E4850" s="171" t="s">
        <v>33136</v>
      </c>
      <c r="F4850" s="171" t="s">
        <v>34571</v>
      </c>
      <c r="G4850" s="82"/>
      <c r="H4850" s="96">
        <f t="shared" si="300"/>
        <v>31.87</v>
      </c>
      <c r="I4850" s="96">
        <f t="shared" si="300"/>
        <v>33.700000000000003</v>
      </c>
      <c r="J4850" s="91" t="str">
        <f t="shared" si="301"/>
        <v>Sinapi 103902</v>
      </c>
      <c r="K4850" s="91" t="str">
        <f t="shared" si="302"/>
        <v>UN</v>
      </c>
      <c r="L4850" s="166" t="str">
        <f t="shared" si="303"/>
        <v>04/2022</v>
      </c>
      <c r="M4850" s="82"/>
      <c r="N4850" s="82"/>
    </row>
    <row r="4851" spans="1:14" x14ac:dyDescent="0.25">
      <c r="A4851" s="170" t="s">
        <v>16147</v>
      </c>
      <c r="B4851" s="170" t="s">
        <v>16148</v>
      </c>
      <c r="C4851" s="170" t="s">
        <v>205</v>
      </c>
      <c r="D4851" s="170" t="s">
        <v>1947</v>
      </c>
      <c r="E4851" s="171" t="s">
        <v>33888</v>
      </c>
      <c r="F4851" s="171" t="s">
        <v>20656</v>
      </c>
      <c r="G4851" s="82"/>
      <c r="H4851" s="96">
        <f t="shared" si="300"/>
        <v>43.55</v>
      </c>
      <c r="I4851" s="96">
        <f t="shared" si="300"/>
        <v>45.61</v>
      </c>
      <c r="J4851" s="91" t="str">
        <f t="shared" si="301"/>
        <v>Sinapi 103903</v>
      </c>
      <c r="K4851" s="91" t="str">
        <f t="shared" si="302"/>
        <v>UN</v>
      </c>
      <c r="L4851" s="166" t="str">
        <f t="shared" si="303"/>
        <v>04/2022</v>
      </c>
      <c r="M4851" s="82"/>
      <c r="N4851" s="82"/>
    </row>
    <row r="4852" spans="1:14" x14ac:dyDescent="0.25">
      <c r="A4852" s="170" t="s">
        <v>16874</v>
      </c>
      <c r="B4852" s="170" t="s">
        <v>16875</v>
      </c>
      <c r="C4852" s="170" t="s">
        <v>205</v>
      </c>
      <c r="D4852" s="170" t="s">
        <v>2067</v>
      </c>
      <c r="E4852" s="171" t="s">
        <v>21868</v>
      </c>
      <c r="F4852" s="171" t="s">
        <v>6447</v>
      </c>
      <c r="G4852" s="82"/>
      <c r="H4852" s="96">
        <f t="shared" si="300"/>
        <v>5.71</v>
      </c>
      <c r="I4852" s="96">
        <f t="shared" si="300"/>
        <v>6.15</v>
      </c>
      <c r="J4852" s="91" t="str">
        <f t="shared" si="301"/>
        <v>Sinapi 103947</v>
      </c>
      <c r="K4852" s="91" t="str">
        <f t="shared" si="302"/>
        <v>UN</v>
      </c>
      <c r="L4852" s="166" t="str">
        <f t="shared" si="303"/>
        <v>06/2022</v>
      </c>
      <c r="M4852" s="82"/>
      <c r="N4852" s="82"/>
    </row>
    <row r="4853" spans="1:14" x14ac:dyDescent="0.25">
      <c r="A4853" s="170" t="s">
        <v>16876</v>
      </c>
      <c r="B4853" s="170" t="s">
        <v>16877</v>
      </c>
      <c r="C4853" s="170" t="s">
        <v>205</v>
      </c>
      <c r="D4853" s="170" t="s">
        <v>2067</v>
      </c>
      <c r="E4853" s="171" t="s">
        <v>4997</v>
      </c>
      <c r="F4853" s="171" t="s">
        <v>23345</v>
      </c>
      <c r="G4853" s="82"/>
      <c r="H4853" s="96">
        <f t="shared" si="300"/>
        <v>7.22</v>
      </c>
      <c r="I4853" s="96">
        <f t="shared" si="300"/>
        <v>7.74</v>
      </c>
      <c r="J4853" s="91" t="str">
        <f t="shared" si="301"/>
        <v>Sinapi 103948</v>
      </c>
      <c r="K4853" s="91" t="str">
        <f t="shared" si="302"/>
        <v>UN</v>
      </c>
      <c r="L4853" s="166" t="str">
        <f t="shared" si="303"/>
        <v>06/2022</v>
      </c>
      <c r="M4853" s="82"/>
      <c r="N4853" s="82"/>
    </row>
    <row r="4854" spans="1:14" x14ac:dyDescent="0.25">
      <c r="A4854" s="170" t="s">
        <v>16878</v>
      </c>
      <c r="B4854" s="170" t="s">
        <v>16879</v>
      </c>
      <c r="C4854" s="170" t="s">
        <v>205</v>
      </c>
      <c r="D4854" s="170" t="s">
        <v>2067</v>
      </c>
      <c r="E4854" s="171" t="s">
        <v>15580</v>
      </c>
      <c r="F4854" s="171" t="s">
        <v>5604</v>
      </c>
      <c r="G4854" s="82"/>
      <c r="H4854" s="96">
        <f t="shared" si="300"/>
        <v>8.93</v>
      </c>
      <c r="I4854" s="96">
        <f t="shared" si="300"/>
        <v>9.43</v>
      </c>
      <c r="J4854" s="91" t="str">
        <f t="shared" si="301"/>
        <v>Sinapi 103949</v>
      </c>
      <c r="K4854" s="91" t="str">
        <f t="shared" si="302"/>
        <v>UN</v>
      </c>
      <c r="L4854" s="166" t="str">
        <f t="shared" si="303"/>
        <v>06/2022</v>
      </c>
      <c r="M4854" s="82"/>
      <c r="N4854" s="82"/>
    </row>
    <row r="4855" spans="1:14" x14ac:dyDescent="0.25">
      <c r="A4855" s="170" t="s">
        <v>16880</v>
      </c>
      <c r="B4855" s="170" t="s">
        <v>16881</v>
      </c>
      <c r="C4855" s="170" t="s">
        <v>205</v>
      </c>
      <c r="D4855" s="170" t="s">
        <v>2067</v>
      </c>
      <c r="E4855" s="171" t="s">
        <v>21560</v>
      </c>
      <c r="F4855" s="171" t="s">
        <v>16410</v>
      </c>
      <c r="G4855" s="82"/>
      <c r="H4855" s="96">
        <f t="shared" si="300"/>
        <v>10.15</v>
      </c>
      <c r="I4855" s="96">
        <f t="shared" si="300"/>
        <v>10.82</v>
      </c>
      <c r="J4855" s="91" t="str">
        <f t="shared" si="301"/>
        <v>Sinapi 103950</v>
      </c>
      <c r="K4855" s="91" t="str">
        <f t="shared" si="302"/>
        <v>UN</v>
      </c>
      <c r="L4855" s="166" t="str">
        <f t="shared" si="303"/>
        <v>06/2022</v>
      </c>
      <c r="M4855" s="82"/>
      <c r="N4855" s="82"/>
    </row>
    <row r="4856" spans="1:14" x14ac:dyDescent="0.25">
      <c r="A4856" s="170" t="s">
        <v>16882</v>
      </c>
      <c r="B4856" s="170" t="s">
        <v>16883</v>
      </c>
      <c r="C4856" s="170" t="s">
        <v>205</v>
      </c>
      <c r="D4856" s="170" t="s">
        <v>2067</v>
      </c>
      <c r="E4856" s="171" t="s">
        <v>18630</v>
      </c>
      <c r="F4856" s="171" t="s">
        <v>18722</v>
      </c>
      <c r="G4856" s="82"/>
      <c r="H4856" s="96">
        <f t="shared" si="300"/>
        <v>14.47</v>
      </c>
      <c r="I4856" s="96">
        <f t="shared" si="300"/>
        <v>15.25</v>
      </c>
      <c r="J4856" s="91" t="str">
        <f t="shared" si="301"/>
        <v>Sinapi 103951</v>
      </c>
      <c r="K4856" s="91" t="str">
        <f t="shared" si="302"/>
        <v>UN</v>
      </c>
      <c r="L4856" s="166" t="str">
        <f t="shared" si="303"/>
        <v>06/2022</v>
      </c>
      <c r="M4856" s="82"/>
      <c r="N4856" s="82"/>
    </row>
    <row r="4857" spans="1:14" x14ac:dyDescent="0.25">
      <c r="A4857" s="170" t="s">
        <v>16884</v>
      </c>
      <c r="B4857" s="170" t="s">
        <v>16885</v>
      </c>
      <c r="C4857" s="170" t="s">
        <v>205</v>
      </c>
      <c r="D4857" s="170" t="s">
        <v>2067</v>
      </c>
      <c r="E4857" s="171" t="s">
        <v>13574</v>
      </c>
      <c r="F4857" s="171" t="s">
        <v>15718</v>
      </c>
      <c r="G4857" s="82"/>
      <c r="H4857" s="96">
        <f t="shared" si="300"/>
        <v>5.28</v>
      </c>
      <c r="I4857" s="96">
        <f t="shared" si="300"/>
        <v>5.68</v>
      </c>
      <c r="J4857" s="91" t="str">
        <f t="shared" si="301"/>
        <v>Sinapi 103952</v>
      </c>
      <c r="K4857" s="91" t="str">
        <f t="shared" si="302"/>
        <v>UN</v>
      </c>
      <c r="L4857" s="166" t="str">
        <f t="shared" si="303"/>
        <v>06/2022</v>
      </c>
      <c r="M4857" s="82"/>
      <c r="N4857" s="82"/>
    </row>
    <row r="4858" spans="1:14" x14ac:dyDescent="0.25">
      <c r="A4858" s="170" t="s">
        <v>16886</v>
      </c>
      <c r="B4858" s="170" t="s">
        <v>16887</v>
      </c>
      <c r="C4858" s="170" t="s">
        <v>205</v>
      </c>
      <c r="D4858" s="170" t="s">
        <v>2067</v>
      </c>
      <c r="E4858" s="171" t="s">
        <v>21486</v>
      </c>
      <c r="F4858" s="171" t="s">
        <v>18572</v>
      </c>
      <c r="G4858" s="82"/>
      <c r="H4858" s="96">
        <f t="shared" si="300"/>
        <v>6.73</v>
      </c>
      <c r="I4858" s="96">
        <f t="shared" si="300"/>
        <v>7.19</v>
      </c>
      <c r="J4858" s="91" t="str">
        <f t="shared" si="301"/>
        <v>Sinapi 103953</v>
      </c>
      <c r="K4858" s="91" t="str">
        <f t="shared" si="302"/>
        <v>UN</v>
      </c>
      <c r="L4858" s="166" t="str">
        <f t="shared" si="303"/>
        <v>06/2022</v>
      </c>
      <c r="M4858" s="82"/>
      <c r="N4858" s="82"/>
    </row>
    <row r="4859" spans="1:14" x14ac:dyDescent="0.25">
      <c r="A4859" s="170" t="s">
        <v>16888</v>
      </c>
      <c r="B4859" s="170" t="s">
        <v>16889</v>
      </c>
      <c r="C4859" s="170" t="s">
        <v>205</v>
      </c>
      <c r="D4859" s="170" t="s">
        <v>2067</v>
      </c>
      <c r="E4859" s="171" t="s">
        <v>13843</v>
      </c>
      <c r="F4859" s="171" t="s">
        <v>15757</v>
      </c>
      <c r="G4859" s="82"/>
      <c r="H4859" s="96">
        <f t="shared" si="300"/>
        <v>8.4700000000000006</v>
      </c>
      <c r="I4859" s="96">
        <f t="shared" si="300"/>
        <v>8.91</v>
      </c>
      <c r="J4859" s="91" t="str">
        <f t="shared" si="301"/>
        <v>Sinapi 103954</v>
      </c>
      <c r="K4859" s="91" t="str">
        <f t="shared" si="302"/>
        <v>UN</v>
      </c>
      <c r="L4859" s="166" t="str">
        <f t="shared" si="303"/>
        <v>06/2022</v>
      </c>
      <c r="M4859" s="82"/>
      <c r="N4859" s="82"/>
    </row>
    <row r="4860" spans="1:14" x14ac:dyDescent="0.25">
      <c r="A4860" s="170" t="s">
        <v>16890</v>
      </c>
      <c r="B4860" s="170" t="s">
        <v>16891</v>
      </c>
      <c r="C4860" s="170" t="s">
        <v>205</v>
      </c>
      <c r="D4860" s="170" t="s">
        <v>2067</v>
      </c>
      <c r="E4860" s="171" t="s">
        <v>5618</v>
      </c>
      <c r="F4860" s="171" t="s">
        <v>21476</v>
      </c>
      <c r="G4860" s="82"/>
      <c r="H4860" s="96">
        <f t="shared" si="300"/>
        <v>9.5299999999999994</v>
      </c>
      <c r="I4860" s="96">
        <f t="shared" si="300"/>
        <v>10.130000000000001</v>
      </c>
      <c r="J4860" s="91" t="str">
        <f t="shared" si="301"/>
        <v>Sinapi 103955</v>
      </c>
      <c r="K4860" s="91" t="str">
        <f t="shared" si="302"/>
        <v>UN</v>
      </c>
      <c r="L4860" s="166" t="str">
        <f t="shared" si="303"/>
        <v>06/2022</v>
      </c>
      <c r="M4860" s="82"/>
      <c r="N4860" s="82"/>
    </row>
    <row r="4861" spans="1:14" x14ac:dyDescent="0.25">
      <c r="A4861" s="170" t="s">
        <v>16892</v>
      </c>
      <c r="B4861" s="170" t="s">
        <v>16893</v>
      </c>
      <c r="C4861" s="170" t="s">
        <v>205</v>
      </c>
      <c r="D4861" s="170" t="s">
        <v>2067</v>
      </c>
      <c r="E4861" s="171" t="s">
        <v>17941</v>
      </c>
      <c r="F4861" s="171" t="s">
        <v>16202</v>
      </c>
      <c r="G4861" s="82"/>
      <c r="H4861" s="96">
        <f t="shared" si="300"/>
        <v>13.73</v>
      </c>
      <c r="I4861" s="96">
        <f t="shared" si="300"/>
        <v>14.44</v>
      </c>
      <c r="J4861" s="91" t="str">
        <f t="shared" si="301"/>
        <v>Sinapi 103956</v>
      </c>
      <c r="K4861" s="91" t="str">
        <f t="shared" si="302"/>
        <v>UN</v>
      </c>
      <c r="L4861" s="166" t="str">
        <f t="shared" si="303"/>
        <v>06/2022</v>
      </c>
      <c r="M4861" s="82"/>
      <c r="N4861" s="82"/>
    </row>
    <row r="4862" spans="1:14" x14ac:dyDescent="0.25">
      <c r="A4862" s="170" t="s">
        <v>16894</v>
      </c>
      <c r="B4862" s="170" t="s">
        <v>16895</v>
      </c>
      <c r="C4862" s="170" t="s">
        <v>205</v>
      </c>
      <c r="D4862" s="170" t="s">
        <v>2067</v>
      </c>
      <c r="E4862" s="171" t="s">
        <v>17937</v>
      </c>
      <c r="F4862" s="171" t="s">
        <v>13408</v>
      </c>
      <c r="G4862" s="82"/>
      <c r="H4862" s="96">
        <f t="shared" si="300"/>
        <v>4.74</v>
      </c>
      <c r="I4862" s="96">
        <f t="shared" si="300"/>
        <v>4.99</v>
      </c>
      <c r="J4862" s="91" t="str">
        <f t="shared" si="301"/>
        <v>Sinapi 103957</v>
      </c>
      <c r="K4862" s="91" t="str">
        <f t="shared" si="302"/>
        <v>UN</v>
      </c>
      <c r="L4862" s="166" t="str">
        <f t="shared" si="303"/>
        <v>06/2022</v>
      </c>
      <c r="M4862" s="82"/>
      <c r="N4862" s="82"/>
    </row>
    <row r="4863" spans="1:14" x14ac:dyDescent="0.25">
      <c r="A4863" s="170" t="s">
        <v>16896</v>
      </c>
      <c r="B4863" s="170" t="s">
        <v>16897</v>
      </c>
      <c r="C4863" s="170" t="s">
        <v>205</v>
      </c>
      <c r="D4863" s="170" t="s">
        <v>2067</v>
      </c>
      <c r="E4863" s="171" t="s">
        <v>33889</v>
      </c>
      <c r="F4863" s="171" t="s">
        <v>13582</v>
      </c>
      <c r="G4863" s="82"/>
      <c r="H4863" s="96">
        <f t="shared" si="300"/>
        <v>10.14</v>
      </c>
      <c r="I4863" s="96">
        <f t="shared" si="300"/>
        <v>10.51</v>
      </c>
      <c r="J4863" s="91" t="str">
        <f t="shared" si="301"/>
        <v>Sinapi 103958</v>
      </c>
      <c r="K4863" s="91" t="str">
        <f t="shared" si="302"/>
        <v>UN</v>
      </c>
      <c r="L4863" s="166" t="str">
        <f t="shared" si="303"/>
        <v>06/2022</v>
      </c>
      <c r="M4863" s="82"/>
      <c r="N4863" s="82"/>
    </row>
    <row r="4864" spans="1:14" x14ac:dyDescent="0.25">
      <c r="A4864" s="170" t="s">
        <v>16898</v>
      </c>
      <c r="B4864" s="170" t="s">
        <v>16899</v>
      </c>
      <c r="C4864" s="170" t="s">
        <v>205</v>
      </c>
      <c r="D4864" s="170" t="s">
        <v>2067</v>
      </c>
      <c r="E4864" s="171" t="s">
        <v>6178</v>
      </c>
      <c r="F4864" s="171" t="s">
        <v>14803</v>
      </c>
      <c r="G4864" s="82"/>
      <c r="H4864" s="96">
        <f t="shared" si="300"/>
        <v>15.56</v>
      </c>
      <c r="I4864" s="96">
        <f t="shared" si="300"/>
        <v>16</v>
      </c>
      <c r="J4864" s="91" t="str">
        <f t="shared" si="301"/>
        <v>Sinapi 103959</v>
      </c>
      <c r="K4864" s="91" t="str">
        <f t="shared" si="302"/>
        <v>UN</v>
      </c>
      <c r="L4864" s="166" t="str">
        <f t="shared" si="303"/>
        <v>06/2022</v>
      </c>
      <c r="M4864" s="82"/>
      <c r="N4864" s="82"/>
    </row>
    <row r="4865" spans="1:14" x14ac:dyDescent="0.25">
      <c r="A4865" s="170" t="s">
        <v>16900</v>
      </c>
      <c r="B4865" s="170" t="s">
        <v>16901</v>
      </c>
      <c r="C4865" s="170" t="s">
        <v>205</v>
      </c>
      <c r="D4865" s="170" t="s">
        <v>2067</v>
      </c>
      <c r="E4865" s="171" t="s">
        <v>18558</v>
      </c>
      <c r="F4865" s="171" t="s">
        <v>20139</v>
      </c>
      <c r="G4865" s="82"/>
      <c r="H4865" s="96">
        <f t="shared" si="300"/>
        <v>6.57</v>
      </c>
      <c r="I4865" s="96">
        <f t="shared" si="300"/>
        <v>6.79</v>
      </c>
      <c r="J4865" s="91" t="str">
        <f t="shared" si="301"/>
        <v>Sinapi 103962</v>
      </c>
      <c r="K4865" s="91" t="str">
        <f t="shared" si="302"/>
        <v>UN</v>
      </c>
      <c r="L4865" s="166" t="str">
        <f t="shared" si="303"/>
        <v>06/2022</v>
      </c>
      <c r="M4865" s="82"/>
      <c r="N4865" s="82"/>
    </row>
    <row r="4866" spans="1:14" x14ac:dyDescent="0.25">
      <c r="A4866" s="170" t="s">
        <v>16902</v>
      </c>
      <c r="B4866" s="170" t="s">
        <v>16903</v>
      </c>
      <c r="C4866" s="170" t="s">
        <v>205</v>
      </c>
      <c r="D4866" s="170" t="s">
        <v>2067</v>
      </c>
      <c r="E4866" s="171" t="s">
        <v>29875</v>
      </c>
      <c r="F4866" s="171" t="s">
        <v>21990</v>
      </c>
      <c r="G4866" s="82"/>
      <c r="H4866" s="96">
        <f t="shared" si="300"/>
        <v>8.3800000000000008</v>
      </c>
      <c r="I4866" s="96">
        <f t="shared" si="300"/>
        <v>8.65</v>
      </c>
      <c r="J4866" s="91" t="str">
        <f t="shared" si="301"/>
        <v>Sinapi 103964</v>
      </c>
      <c r="K4866" s="91" t="str">
        <f t="shared" si="302"/>
        <v>UN</v>
      </c>
      <c r="L4866" s="166" t="str">
        <f t="shared" si="303"/>
        <v>06/2022</v>
      </c>
      <c r="M4866" s="82"/>
      <c r="N4866" s="82"/>
    </row>
    <row r="4867" spans="1:14" x14ac:dyDescent="0.25">
      <c r="A4867" s="170" t="s">
        <v>16904</v>
      </c>
      <c r="B4867" s="170" t="s">
        <v>16905</v>
      </c>
      <c r="C4867" s="170" t="s">
        <v>205</v>
      </c>
      <c r="D4867" s="170" t="s">
        <v>2067</v>
      </c>
      <c r="E4867" s="171" t="s">
        <v>22811</v>
      </c>
      <c r="F4867" s="171" t="s">
        <v>13744</v>
      </c>
      <c r="G4867" s="82"/>
      <c r="H4867" s="96">
        <f t="shared" si="300"/>
        <v>9.93</v>
      </c>
      <c r="I4867" s="96">
        <f t="shared" si="300"/>
        <v>10.24</v>
      </c>
      <c r="J4867" s="91" t="str">
        <f t="shared" si="301"/>
        <v>Sinapi 103966</v>
      </c>
      <c r="K4867" s="91" t="str">
        <f t="shared" si="302"/>
        <v>UN</v>
      </c>
      <c r="L4867" s="166" t="str">
        <f t="shared" si="303"/>
        <v>06/2022</v>
      </c>
      <c r="M4867" s="82"/>
      <c r="N4867" s="82"/>
    </row>
    <row r="4868" spans="1:14" x14ac:dyDescent="0.25">
      <c r="A4868" s="170" t="s">
        <v>16906</v>
      </c>
      <c r="B4868" s="170" t="s">
        <v>16907</v>
      </c>
      <c r="C4868" s="170" t="s">
        <v>205</v>
      </c>
      <c r="D4868" s="170" t="s">
        <v>2067</v>
      </c>
      <c r="E4868" s="171" t="s">
        <v>21523</v>
      </c>
      <c r="F4868" s="171" t="s">
        <v>14898</v>
      </c>
      <c r="G4868" s="82"/>
      <c r="H4868" s="96">
        <f t="shared" si="300"/>
        <v>12.09</v>
      </c>
      <c r="I4868" s="96">
        <f t="shared" si="300"/>
        <v>12.42</v>
      </c>
      <c r="J4868" s="91" t="str">
        <f t="shared" si="301"/>
        <v>Sinapi 103967</v>
      </c>
      <c r="K4868" s="91" t="str">
        <f t="shared" si="302"/>
        <v>UN</v>
      </c>
      <c r="L4868" s="166" t="str">
        <f t="shared" si="303"/>
        <v>06/2022</v>
      </c>
      <c r="M4868" s="82"/>
      <c r="N4868" s="82"/>
    </row>
    <row r="4869" spans="1:14" x14ac:dyDescent="0.25">
      <c r="A4869" s="170" t="s">
        <v>16908</v>
      </c>
      <c r="B4869" s="170" t="s">
        <v>16909</v>
      </c>
      <c r="C4869" s="170" t="s">
        <v>205</v>
      </c>
      <c r="D4869" s="170" t="s">
        <v>2067</v>
      </c>
      <c r="E4869" s="171" t="s">
        <v>19343</v>
      </c>
      <c r="F4869" s="171" t="s">
        <v>17380</v>
      </c>
      <c r="G4869" s="82"/>
      <c r="H4869" s="96">
        <f t="shared" si="300"/>
        <v>17.75</v>
      </c>
      <c r="I4869" s="96">
        <f t="shared" si="300"/>
        <v>18.09</v>
      </c>
      <c r="J4869" s="91" t="str">
        <f t="shared" si="301"/>
        <v>Sinapi 103968</v>
      </c>
      <c r="K4869" s="91" t="str">
        <f t="shared" si="302"/>
        <v>UN</v>
      </c>
      <c r="L4869" s="166" t="str">
        <f t="shared" si="303"/>
        <v>06/2022</v>
      </c>
      <c r="M4869" s="82"/>
      <c r="N4869" s="82"/>
    </row>
    <row r="4870" spans="1:14" x14ac:dyDescent="0.25">
      <c r="A4870" s="170" t="s">
        <v>16910</v>
      </c>
      <c r="B4870" s="170" t="s">
        <v>16911</v>
      </c>
      <c r="C4870" s="170" t="s">
        <v>205</v>
      </c>
      <c r="D4870" s="170" t="s">
        <v>2067</v>
      </c>
      <c r="E4870" s="171" t="s">
        <v>20368</v>
      </c>
      <c r="F4870" s="171" t="s">
        <v>14321</v>
      </c>
      <c r="G4870" s="82"/>
      <c r="H4870" s="96">
        <f t="shared" si="300"/>
        <v>21.09</v>
      </c>
      <c r="I4870" s="96">
        <f t="shared" si="300"/>
        <v>21.46</v>
      </c>
      <c r="J4870" s="91" t="str">
        <f t="shared" si="301"/>
        <v>Sinapi 103969</v>
      </c>
      <c r="K4870" s="91" t="str">
        <f t="shared" si="302"/>
        <v>UN</v>
      </c>
      <c r="L4870" s="166" t="str">
        <f t="shared" si="303"/>
        <v>06/2022</v>
      </c>
      <c r="M4870" s="82"/>
      <c r="N4870" s="82"/>
    </row>
    <row r="4871" spans="1:14" x14ac:dyDescent="0.25">
      <c r="A4871" s="170" t="s">
        <v>16912</v>
      </c>
      <c r="B4871" s="170" t="s">
        <v>16913</v>
      </c>
      <c r="C4871" s="170" t="s">
        <v>205</v>
      </c>
      <c r="D4871" s="170" t="s">
        <v>2067</v>
      </c>
      <c r="E4871" s="171" t="s">
        <v>21098</v>
      </c>
      <c r="F4871" s="171" t="s">
        <v>22709</v>
      </c>
      <c r="G4871" s="82"/>
      <c r="H4871" s="96">
        <f t="shared" si="300"/>
        <v>26.94</v>
      </c>
      <c r="I4871" s="96">
        <f t="shared" si="300"/>
        <v>27.38</v>
      </c>
      <c r="J4871" s="91" t="str">
        <f t="shared" si="301"/>
        <v>Sinapi 103971</v>
      </c>
      <c r="K4871" s="91" t="str">
        <f t="shared" si="302"/>
        <v>UN</v>
      </c>
      <c r="L4871" s="166" t="str">
        <f t="shared" si="303"/>
        <v>06/2022</v>
      </c>
      <c r="M4871" s="82"/>
      <c r="N4871" s="82"/>
    </row>
    <row r="4872" spans="1:14" x14ac:dyDescent="0.25">
      <c r="A4872" s="170" t="s">
        <v>16914</v>
      </c>
      <c r="B4872" s="170" t="s">
        <v>16915</v>
      </c>
      <c r="C4872" s="170" t="s">
        <v>205</v>
      </c>
      <c r="D4872" s="170" t="s">
        <v>2067</v>
      </c>
      <c r="E4872" s="171" t="s">
        <v>33890</v>
      </c>
      <c r="F4872" s="171" t="s">
        <v>37057</v>
      </c>
      <c r="G4872" s="82"/>
      <c r="H4872" s="96">
        <f t="shared" ref="H4872:I4935" si="304">IF(E4872="","",E4872+0)</f>
        <v>31.25</v>
      </c>
      <c r="I4872" s="96">
        <f t="shared" si="304"/>
        <v>31.73</v>
      </c>
      <c r="J4872" s="91" t="str">
        <f t="shared" ref="J4872:J4935" si="305">IF(OR(H4872="",I4872=""),"",TRIM(CONCATENATE("Sinapi ",A4872)))</f>
        <v>Sinapi 103972</v>
      </c>
      <c r="K4872" s="91" t="str">
        <f t="shared" ref="K4872:K4935" si="306">TRIM(C4872)</f>
        <v>UN</v>
      </c>
      <c r="L4872" s="166" t="str">
        <f t="shared" ref="L4872:L4935" si="307">IF(OR(RIGHT(IF(AND(K4872&lt;&gt;"H",K4872&lt;&gt;"MES"),RIGHT(B4872,7),""),2)="PS",RIGHT(IF(AND(K4872&lt;&gt;"H",K4872&lt;&gt;"MES"),RIGHT(B4872,7),""),2)="PA",RIGHT(IF(AND(K4872&lt;&gt;"H",K4872&lt;&gt;"MES"),RIGHT(B4872,7),""),2)="PE"),LEFT(IF(AND(K4872&lt;&gt;"H",K4872&lt;&gt;"MES"),RIGHT(B4872,10),""),7),IF(AND(K4872&lt;&gt;"H",K4872&lt;&gt;"MES"),RIGHT(B4872,7),""))</f>
        <v>06/2022</v>
      </c>
      <c r="M4872" s="82"/>
      <c r="N4872" s="82"/>
    </row>
    <row r="4873" spans="1:14" x14ac:dyDescent="0.25">
      <c r="A4873" s="170" t="s">
        <v>16916</v>
      </c>
      <c r="B4873" s="170" t="s">
        <v>16917</v>
      </c>
      <c r="C4873" s="170" t="s">
        <v>205</v>
      </c>
      <c r="D4873" s="170" t="s">
        <v>2067</v>
      </c>
      <c r="E4873" s="171" t="s">
        <v>26161</v>
      </c>
      <c r="F4873" s="171" t="s">
        <v>20009</v>
      </c>
      <c r="G4873" s="82"/>
      <c r="H4873" s="96">
        <f t="shared" si="304"/>
        <v>10.77</v>
      </c>
      <c r="I4873" s="96">
        <f t="shared" si="304"/>
        <v>11.14</v>
      </c>
      <c r="J4873" s="91" t="str">
        <f t="shared" si="305"/>
        <v>Sinapi 103974</v>
      </c>
      <c r="K4873" s="91" t="str">
        <f t="shared" si="306"/>
        <v>UN</v>
      </c>
      <c r="L4873" s="166" t="str">
        <f t="shared" si="307"/>
        <v>06/2022</v>
      </c>
      <c r="M4873" s="82"/>
      <c r="N4873" s="82"/>
    </row>
    <row r="4874" spans="1:14" x14ac:dyDescent="0.25">
      <c r="A4874" s="170" t="s">
        <v>16918</v>
      </c>
      <c r="B4874" s="170" t="s">
        <v>16919</v>
      </c>
      <c r="C4874" s="170" t="s">
        <v>205</v>
      </c>
      <c r="D4874" s="170" t="s">
        <v>2067</v>
      </c>
      <c r="E4874" s="171" t="s">
        <v>19388</v>
      </c>
      <c r="F4874" s="171" t="s">
        <v>21516</v>
      </c>
      <c r="G4874" s="82"/>
      <c r="H4874" s="96">
        <f t="shared" si="304"/>
        <v>18.27</v>
      </c>
      <c r="I4874" s="96">
        <f t="shared" si="304"/>
        <v>18.850000000000001</v>
      </c>
      <c r="J4874" s="91" t="str">
        <f t="shared" si="305"/>
        <v>Sinapi 103975</v>
      </c>
      <c r="K4874" s="91" t="str">
        <f t="shared" si="306"/>
        <v>UN</v>
      </c>
      <c r="L4874" s="166" t="str">
        <f t="shared" si="307"/>
        <v>06/2022</v>
      </c>
      <c r="M4874" s="82"/>
      <c r="N4874" s="82"/>
    </row>
    <row r="4875" spans="1:14" x14ac:dyDescent="0.25">
      <c r="A4875" s="170" t="s">
        <v>16920</v>
      </c>
      <c r="B4875" s="170" t="s">
        <v>16921</v>
      </c>
      <c r="C4875" s="170" t="s">
        <v>205</v>
      </c>
      <c r="D4875" s="170" t="s">
        <v>2067</v>
      </c>
      <c r="E4875" s="171" t="s">
        <v>21510</v>
      </c>
      <c r="F4875" s="171" t="s">
        <v>36345</v>
      </c>
      <c r="G4875" s="82"/>
      <c r="H4875" s="96">
        <f t="shared" si="304"/>
        <v>26.93</v>
      </c>
      <c r="I4875" s="96">
        <f t="shared" si="304"/>
        <v>27.6</v>
      </c>
      <c r="J4875" s="91" t="str">
        <f t="shared" si="305"/>
        <v>Sinapi 103976</v>
      </c>
      <c r="K4875" s="91" t="str">
        <f t="shared" si="306"/>
        <v>UN</v>
      </c>
      <c r="L4875" s="166" t="str">
        <f t="shared" si="307"/>
        <v>06/2022</v>
      </c>
      <c r="M4875" s="82"/>
      <c r="N4875" s="82"/>
    </row>
    <row r="4876" spans="1:14" x14ac:dyDescent="0.25">
      <c r="A4876" s="170" t="s">
        <v>16922</v>
      </c>
      <c r="B4876" s="170" t="s">
        <v>16923</v>
      </c>
      <c r="C4876" s="170" t="s">
        <v>205</v>
      </c>
      <c r="D4876" s="170" t="s">
        <v>2067</v>
      </c>
      <c r="E4876" s="171" t="s">
        <v>20975</v>
      </c>
      <c r="F4876" s="171" t="s">
        <v>23204</v>
      </c>
      <c r="G4876" s="82"/>
      <c r="H4876" s="96">
        <f t="shared" si="304"/>
        <v>7</v>
      </c>
      <c r="I4876" s="96">
        <f t="shared" si="304"/>
        <v>7.3</v>
      </c>
      <c r="J4876" s="91" t="str">
        <f t="shared" si="305"/>
        <v>Sinapi 103977</v>
      </c>
      <c r="K4876" s="91" t="str">
        <f t="shared" si="306"/>
        <v>UN</v>
      </c>
      <c r="L4876" s="166" t="str">
        <f t="shared" si="307"/>
        <v>06/2022</v>
      </c>
      <c r="M4876" s="82"/>
      <c r="N4876" s="82"/>
    </row>
    <row r="4877" spans="1:14" x14ac:dyDescent="0.25">
      <c r="A4877" s="170" t="s">
        <v>16924</v>
      </c>
      <c r="B4877" s="170" t="s">
        <v>16925</v>
      </c>
      <c r="C4877" s="170" t="s">
        <v>205</v>
      </c>
      <c r="D4877" s="170" t="s">
        <v>2067</v>
      </c>
      <c r="E4877" s="171" t="s">
        <v>23344</v>
      </c>
      <c r="F4877" s="171" t="s">
        <v>15787</v>
      </c>
      <c r="G4877" s="82"/>
      <c r="H4877" s="96">
        <f t="shared" si="304"/>
        <v>17.05</v>
      </c>
      <c r="I4877" s="96">
        <f t="shared" si="304"/>
        <v>17.96</v>
      </c>
      <c r="J4877" s="91" t="str">
        <f t="shared" si="305"/>
        <v>Sinapi 103980</v>
      </c>
      <c r="K4877" s="91" t="str">
        <f t="shared" si="306"/>
        <v>UN</v>
      </c>
      <c r="L4877" s="166" t="str">
        <f t="shared" si="307"/>
        <v>06/2022</v>
      </c>
      <c r="M4877" s="82"/>
      <c r="N4877" s="82"/>
    </row>
    <row r="4878" spans="1:14" x14ac:dyDescent="0.25">
      <c r="A4878" s="170" t="s">
        <v>16926</v>
      </c>
      <c r="B4878" s="170" t="s">
        <v>16927</v>
      </c>
      <c r="C4878" s="170" t="s">
        <v>205</v>
      </c>
      <c r="D4878" s="170" t="s">
        <v>2067</v>
      </c>
      <c r="E4878" s="171" t="s">
        <v>5575</v>
      </c>
      <c r="F4878" s="171" t="s">
        <v>19324</v>
      </c>
      <c r="G4878" s="82"/>
      <c r="H4878" s="96">
        <f t="shared" si="304"/>
        <v>17.11</v>
      </c>
      <c r="I4878" s="96">
        <f t="shared" si="304"/>
        <v>18.02</v>
      </c>
      <c r="J4878" s="91" t="str">
        <f t="shared" si="305"/>
        <v>Sinapi 103981</v>
      </c>
      <c r="K4878" s="91" t="str">
        <f t="shared" si="306"/>
        <v>UN</v>
      </c>
      <c r="L4878" s="166" t="str">
        <f t="shared" si="307"/>
        <v>06/2022</v>
      </c>
      <c r="M4878" s="82"/>
      <c r="N4878" s="82"/>
    </row>
    <row r="4879" spans="1:14" x14ac:dyDescent="0.25">
      <c r="A4879" s="170" t="s">
        <v>16928</v>
      </c>
      <c r="B4879" s="170" t="s">
        <v>16929</v>
      </c>
      <c r="C4879" s="170" t="s">
        <v>205</v>
      </c>
      <c r="D4879" s="170" t="s">
        <v>2067</v>
      </c>
      <c r="E4879" s="171" t="s">
        <v>20010</v>
      </c>
      <c r="F4879" s="171" t="s">
        <v>22861</v>
      </c>
      <c r="G4879" s="82"/>
      <c r="H4879" s="96">
        <f t="shared" si="304"/>
        <v>24.24</v>
      </c>
      <c r="I4879" s="96">
        <f t="shared" si="304"/>
        <v>25.15</v>
      </c>
      <c r="J4879" s="91" t="str">
        <f t="shared" si="305"/>
        <v>Sinapi 103982</v>
      </c>
      <c r="K4879" s="91" t="str">
        <f t="shared" si="306"/>
        <v>UN</v>
      </c>
      <c r="L4879" s="166" t="str">
        <f t="shared" si="307"/>
        <v>06/2022</v>
      </c>
      <c r="M4879" s="82"/>
      <c r="N4879" s="82"/>
    </row>
    <row r="4880" spans="1:14" x14ac:dyDescent="0.25">
      <c r="A4880" s="170" t="s">
        <v>16930</v>
      </c>
      <c r="B4880" s="170" t="s">
        <v>16931</v>
      </c>
      <c r="C4880" s="170" t="s">
        <v>205</v>
      </c>
      <c r="D4880" s="170" t="s">
        <v>2067</v>
      </c>
      <c r="E4880" s="171" t="s">
        <v>6050</v>
      </c>
      <c r="F4880" s="171" t="s">
        <v>21194</v>
      </c>
      <c r="G4880" s="82"/>
      <c r="H4880" s="96">
        <f t="shared" si="304"/>
        <v>16.48</v>
      </c>
      <c r="I4880" s="96">
        <f t="shared" si="304"/>
        <v>17.39</v>
      </c>
      <c r="J4880" s="91" t="str">
        <f t="shared" si="305"/>
        <v>Sinapi 103983</v>
      </c>
      <c r="K4880" s="91" t="str">
        <f t="shared" si="306"/>
        <v>UN</v>
      </c>
      <c r="L4880" s="166" t="str">
        <f t="shared" si="307"/>
        <v>06/2022</v>
      </c>
      <c r="M4880" s="82"/>
      <c r="N4880" s="82"/>
    </row>
    <row r="4881" spans="1:14" x14ac:dyDescent="0.25">
      <c r="A4881" s="170" t="s">
        <v>16932</v>
      </c>
      <c r="B4881" s="170" t="s">
        <v>16933</v>
      </c>
      <c r="C4881" s="170" t="s">
        <v>205</v>
      </c>
      <c r="D4881" s="170" t="s">
        <v>2067</v>
      </c>
      <c r="E4881" s="171" t="s">
        <v>15671</v>
      </c>
      <c r="F4881" s="171" t="s">
        <v>17706</v>
      </c>
      <c r="G4881" s="82"/>
      <c r="H4881" s="96">
        <f t="shared" si="304"/>
        <v>18.600000000000001</v>
      </c>
      <c r="I4881" s="96">
        <f t="shared" si="304"/>
        <v>19.68</v>
      </c>
      <c r="J4881" s="91" t="str">
        <f t="shared" si="305"/>
        <v>Sinapi 103984</v>
      </c>
      <c r="K4881" s="91" t="str">
        <f t="shared" si="306"/>
        <v>UN</v>
      </c>
      <c r="L4881" s="166" t="str">
        <f t="shared" si="307"/>
        <v>06/2022</v>
      </c>
      <c r="M4881" s="82"/>
      <c r="N4881" s="82"/>
    </row>
    <row r="4882" spans="1:14" x14ac:dyDescent="0.25">
      <c r="A4882" s="170" t="s">
        <v>16934</v>
      </c>
      <c r="B4882" s="170" t="s">
        <v>16935</v>
      </c>
      <c r="C4882" s="170" t="s">
        <v>205</v>
      </c>
      <c r="D4882" s="170" t="s">
        <v>2067</v>
      </c>
      <c r="E4882" s="171" t="s">
        <v>33891</v>
      </c>
      <c r="F4882" s="171" t="s">
        <v>27979</v>
      </c>
      <c r="G4882" s="82"/>
      <c r="H4882" s="96">
        <f t="shared" si="304"/>
        <v>21.53</v>
      </c>
      <c r="I4882" s="96">
        <f t="shared" si="304"/>
        <v>22.61</v>
      </c>
      <c r="J4882" s="91" t="str">
        <f t="shared" si="305"/>
        <v>Sinapi 103985</v>
      </c>
      <c r="K4882" s="91" t="str">
        <f t="shared" si="306"/>
        <v>UN</v>
      </c>
      <c r="L4882" s="166" t="str">
        <f t="shared" si="307"/>
        <v>06/2022</v>
      </c>
      <c r="M4882" s="82"/>
      <c r="N4882" s="82"/>
    </row>
    <row r="4883" spans="1:14" x14ac:dyDescent="0.25">
      <c r="A4883" s="170" t="s">
        <v>16936</v>
      </c>
      <c r="B4883" s="170" t="s">
        <v>16937</v>
      </c>
      <c r="C4883" s="170" t="s">
        <v>205</v>
      </c>
      <c r="D4883" s="170" t="s">
        <v>2067</v>
      </c>
      <c r="E4883" s="171" t="s">
        <v>21327</v>
      </c>
      <c r="F4883" s="171" t="s">
        <v>18726</v>
      </c>
      <c r="G4883" s="82"/>
      <c r="H4883" s="96">
        <f t="shared" si="304"/>
        <v>28.06</v>
      </c>
      <c r="I4883" s="96">
        <f t="shared" si="304"/>
        <v>29.14</v>
      </c>
      <c r="J4883" s="91" t="str">
        <f t="shared" si="305"/>
        <v>Sinapi 103986</v>
      </c>
      <c r="K4883" s="91" t="str">
        <f t="shared" si="306"/>
        <v>UN</v>
      </c>
      <c r="L4883" s="166" t="str">
        <f t="shared" si="307"/>
        <v>06/2022</v>
      </c>
      <c r="M4883" s="82"/>
      <c r="N4883" s="82"/>
    </row>
    <row r="4884" spans="1:14" x14ac:dyDescent="0.25">
      <c r="A4884" s="170" t="s">
        <v>16938</v>
      </c>
      <c r="B4884" s="170" t="s">
        <v>16939</v>
      </c>
      <c r="C4884" s="170" t="s">
        <v>205</v>
      </c>
      <c r="D4884" s="170" t="s">
        <v>2067</v>
      </c>
      <c r="E4884" s="171" t="s">
        <v>19386</v>
      </c>
      <c r="F4884" s="171" t="s">
        <v>20997</v>
      </c>
      <c r="G4884" s="82"/>
      <c r="H4884" s="96">
        <f t="shared" si="304"/>
        <v>23.63</v>
      </c>
      <c r="I4884" s="96">
        <f t="shared" si="304"/>
        <v>24.71</v>
      </c>
      <c r="J4884" s="91" t="str">
        <f t="shared" si="305"/>
        <v>Sinapi 103987</v>
      </c>
      <c r="K4884" s="91" t="str">
        <f t="shared" si="306"/>
        <v>UN</v>
      </c>
      <c r="L4884" s="166" t="str">
        <f t="shared" si="307"/>
        <v>06/2022</v>
      </c>
      <c r="M4884" s="82"/>
      <c r="N4884" s="82"/>
    </row>
    <row r="4885" spans="1:14" x14ac:dyDescent="0.25">
      <c r="A4885" s="170" t="s">
        <v>16940</v>
      </c>
      <c r="B4885" s="170" t="s">
        <v>16941</v>
      </c>
      <c r="C4885" s="170" t="s">
        <v>205</v>
      </c>
      <c r="D4885" s="170" t="s">
        <v>2067</v>
      </c>
      <c r="E4885" s="171" t="s">
        <v>15631</v>
      </c>
      <c r="F4885" s="171" t="s">
        <v>7233</v>
      </c>
      <c r="G4885" s="82"/>
      <c r="H4885" s="96">
        <f t="shared" si="304"/>
        <v>12.47</v>
      </c>
      <c r="I4885" s="96">
        <f t="shared" si="304"/>
        <v>13.09</v>
      </c>
      <c r="J4885" s="91" t="str">
        <f t="shared" si="305"/>
        <v>Sinapi 103988</v>
      </c>
      <c r="K4885" s="91" t="str">
        <f t="shared" si="306"/>
        <v>UN</v>
      </c>
      <c r="L4885" s="166" t="str">
        <f t="shared" si="307"/>
        <v>06/2022</v>
      </c>
      <c r="M4885" s="82"/>
      <c r="N4885" s="82"/>
    </row>
    <row r="4886" spans="1:14" x14ac:dyDescent="0.25">
      <c r="A4886" s="170" t="s">
        <v>16942</v>
      </c>
      <c r="B4886" s="170" t="s">
        <v>16943</v>
      </c>
      <c r="C4886" s="170" t="s">
        <v>205</v>
      </c>
      <c r="D4886" s="170" t="s">
        <v>2067</v>
      </c>
      <c r="E4886" s="171" t="s">
        <v>33892</v>
      </c>
      <c r="F4886" s="171" t="s">
        <v>31172</v>
      </c>
      <c r="G4886" s="82"/>
      <c r="H4886" s="96">
        <f t="shared" si="304"/>
        <v>37.880000000000003</v>
      </c>
      <c r="I4886" s="96">
        <f t="shared" si="304"/>
        <v>38.5</v>
      </c>
      <c r="J4886" s="91" t="str">
        <f t="shared" si="305"/>
        <v>Sinapi 103990</v>
      </c>
      <c r="K4886" s="91" t="str">
        <f t="shared" si="306"/>
        <v>UN</v>
      </c>
      <c r="L4886" s="166" t="str">
        <f t="shared" si="307"/>
        <v>06/2022</v>
      </c>
      <c r="M4886" s="82"/>
      <c r="N4886" s="82"/>
    </row>
    <row r="4887" spans="1:14" x14ac:dyDescent="0.25">
      <c r="A4887" s="170" t="s">
        <v>16944</v>
      </c>
      <c r="B4887" s="170" t="s">
        <v>16945</v>
      </c>
      <c r="C4887" s="170" t="s">
        <v>205</v>
      </c>
      <c r="D4887" s="170" t="s">
        <v>2067</v>
      </c>
      <c r="E4887" s="171" t="s">
        <v>23055</v>
      </c>
      <c r="F4887" s="171" t="s">
        <v>19288</v>
      </c>
      <c r="G4887" s="82"/>
      <c r="H4887" s="96">
        <f t="shared" si="304"/>
        <v>18.97</v>
      </c>
      <c r="I4887" s="96">
        <f t="shared" si="304"/>
        <v>19.53</v>
      </c>
      <c r="J4887" s="91" t="str">
        <f t="shared" si="305"/>
        <v>Sinapi 103991</v>
      </c>
      <c r="K4887" s="91" t="str">
        <f t="shared" si="306"/>
        <v>UN</v>
      </c>
      <c r="L4887" s="166" t="str">
        <f t="shared" si="307"/>
        <v>06/2022</v>
      </c>
      <c r="M4887" s="82"/>
      <c r="N4887" s="82"/>
    </row>
    <row r="4888" spans="1:14" x14ac:dyDescent="0.25">
      <c r="A4888" s="170" t="s">
        <v>16946</v>
      </c>
      <c r="B4888" s="170" t="s">
        <v>16947</v>
      </c>
      <c r="C4888" s="170" t="s">
        <v>205</v>
      </c>
      <c r="D4888" s="170" t="s">
        <v>2067</v>
      </c>
      <c r="E4888" s="171" t="s">
        <v>11607</v>
      </c>
      <c r="F4888" s="171" t="s">
        <v>5568</v>
      </c>
      <c r="G4888" s="82"/>
      <c r="H4888" s="96">
        <f t="shared" si="304"/>
        <v>11.19</v>
      </c>
      <c r="I4888" s="96">
        <f t="shared" si="304"/>
        <v>11.75</v>
      </c>
      <c r="J4888" s="91" t="str">
        <f t="shared" si="305"/>
        <v>Sinapi 103992</v>
      </c>
      <c r="K4888" s="91" t="str">
        <f t="shared" si="306"/>
        <v>UN</v>
      </c>
      <c r="L4888" s="166" t="str">
        <f t="shared" si="307"/>
        <v>06/2022</v>
      </c>
      <c r="M4888" s="82"/>
      <c r="N4888" s="82"/>
    </row>
    <row r="4889" spans="1:14" x14ac:dyDescent="0.25">
      <c r="A4889" s="170" t="s">
        <v>16948</v>
      </c>
      <c r="B4889" s="170" t="s">
        <v>16949</v>
      </c>
      <c r="C4889" s="170" t="s">
        <v>205</v>
      </c>
      <c r="D4889" s="170" t="s">
        <v>2067</v>
      </c>
      <c r="E4889" s="171" t="s">
        <v>14316</v>
      </c>
      <c r="F4889" s="171" t="s">
        <v>28560</v>
      </c>
      <c r="G4889" s="82"/>
      <c r="H4889" s="96">
        <f t="shared" si="304"/>
        <v>9.31</v>
      </c>
      <c r="I4889" s="96">
        <f t="shared" si="304"/>
        <v>9.8699999999999992</v>
      </c>
      <c r="J4889" s="91" t="str">
        <f t="shared" si="305"/>
        <v>Sinapi 103993</v>
      </c>
      <c r="K4889" s="91" t="str">
        <f t="shared" si="306"/>
        <v>UN</v>
      </c>
      <c r="L4889" s="166" t="str">
        <f t="shared" si="307"/>
        <v>06/2022</v>
      </c>
      <c r="M4889" s="82"/>
      <c r="N4889" s="82"/>
    </row>
    <row r="4890" spans="1:14" x14ac:dyDescent="0.25">
      <c r="A4890" s="170" t="s">
        <v>16950</v>
      </c>
      <c r="B4890" s="170" t="s">
        <v>16951</v>
      </c>
      <c r="C4890" s="170" t="s">
        <v>205</v>
      </c>
      <c r="D4890" s="170" t="s">
        <v>2067</v>
      </c>
      <c r="E4890" s="171" t="s">
        <v>21249</v>
      </c>
      <c r="F4890" s="171" t="s">
        <v>19960</v>
      </c>
      <c r="G4890" s="82"/>
      <c r="H4890" s="96">
        <f t="shared" si="304"/>
        <v>14.27</v>
      </c>
      <c r="I4890" s="96">
        <f t="shared" si="304"/>
        <v>14.82</v>
      </c>
      <c r="J4890" s="91" t="str">
        <f t="shared" si="305"/>
        <v>Sinapi 103994</v>
      </c>
      <c r="K4890" s="91" t="str">
        <f t="shared" si="306"/>
        <v>UN</v>
      </c>
      <c r="L4890" s="166" t="str">
        <f t="shared" si="307"/>
        <v>06/2022</v>
      </c>
      <c r="M4890" s="82"/>
      <c r="N4890" s="82"/>
    </row>
    <row r="4891" spans="1:14" x14ac:dyDescent="0.25">
      <c r="A4891" s="170" t="s">
        <v>16952</v>
      </c>
      <c r="B4891" s="170" t="s">
        <v>16953</v>
      </c>
      <c r="C4891" s="170" t="s">
        <v>205</v>
      </c>
      <c r="D4891" s="170" t="s">
        <v>2067</v>
      </c>
      <c r="E4891" s="171" t="s">
        <v>22956</v>
      </c>
      <c r="F4891" s="171" t="s">
        <v>12302</v>
      </c>
      <c r="G4891" s="82"/>
      <c r="H4891" s="96">
        <f t="shared" si="304"/>
        <v>14.71</v>
      </c>
      <c r="I4891" s="96">
        <f t="shared" si="304"/>
        <v>15.44</v>
      </c>
      <c r="J4891" s="91" t="str">
        <f t="shared" si="305"/>
        <v>Sinapi 103995</v>
      </c>
      <c r="K4891" s="91" t="str">
        <f t="shared" si="306"/>
        <v>UN</v>
      </c>
      <c r="L4891" s="166" t="str">
        <f t="shared" si="307"/>
        <v>06/2022</v>
      </c>
      <c r="M4891" s="82"/>
      <c r="N4891" s="82"/>
    </row>
    <row r="4892" spans="1:14" x14ac:dyDescent="0.25">
      <c r="A4892" s="170" t="s">
        <v>16954</v>
      </c>
      <c r="B4892" s="170" t="s">
        <v>16955</v>
      </c>
      <c r="C4892" s="170" t="s">
        <v>205</v>
      </c>
      <c r="D4892" s="170" t="s">
        <v>2067</v>
      </c>
      <c r="E4892" s="171" t="s">
        <v>33893</v>
      </c>
      <c r="F4892" s="171" t="s">
        <v>30321</v>
      </c>
      <c r="G4892" s="82"/>
      <c r="H4892" s="96">
        <f t="shared" si="304"/>
        <v>43.14</v>
      </c>
      <c r="I4892" s="96">
        <f t="shared" si="304"/>
        <v>43.87</v>
      </c>
      <c r="J4892" s="91" t="str">
        <f t="shared" si="305"/>
        <v>Sinapi 103996</v>
      </c>
      <c r="K4892" s="91" t="str">
        <f t="shared" si="306"/>
        <v>UN</v>
      </c>
      <c r="L4892" s="166" t="str">
        <f t="shared" si="307"/>
        <v>06/2022</v>
      </c>
      <c r="M4892" s="82"/>
      <c r="N4892" s="82"/>
    </row>
    <row r="4893" spans="1:14" x14ac:dyDescent="0.25">
      <c r="A4893" s="170" t="s">
        <v>16956</v>
      </c>
      <c r="B4893" s="170" t="s">
        <v>16957</v>
      </c>
      <c r="C4893" s="170" t="s">
        <v>205</v>
      </c>
      <c r="D4893" s="170" t="s">
        <v>2067</v>
      </c>
      <c r="E4893" s="171" t="s">
        <v>25142</v>
      </c>
      <c r="F4893" s="171" t="s">
        <v>21665</v>
      </c>
      <c r="G4893" s="82"/>
      <c r="H4893" s="96">
        <f t="shared" si="304"/>
        <v>42.05</v>
      </c>
      <c r="I4893" s="96">
        <f t="shared" si="304"/>
        <v>42.78</v>
      </c>
      <c r="J4893" s="91" t="str">
        <f t="shared" si="305"/>
        <v>Sinapi 103997</v>
      </c>
      <c r="K4893" s="91" t="str">
        <f t="shared" si="306"/>
        <v>UN</v>
      </c>
      <c r="L4893" s="166" t="str">
        <f t="shared" si="307"/>
        <v>06/2022</v>
      </c>
      <c r="M4893" s="82"/>
      <c r="N4893" s="82"/>
    </row>
    <row r="4894" spans="1:14" x14ac:dyDescent="0.25">
      <c r="A4894" s="170" t="s">
        <v>16958</v>
      </c>
      <c r="B4894" s="170" t="s">
        <v>16959</v>
      </c>
      <c r="C4894" s="170" t="s">
        <v>205</v>
      </c>
      <c r="D4894" s="170" t="s">
        <v>2067</v>
      </c>
      <c r="E4894" s="171" t="s">
        <v>19934</v>
      </c>
      <c r="F4894" s="171" t="s">
        <v>19299</v>
      </c>
      <c r="G4894" s="82"/>
      <c r="H4894" s="96">
        <f t="shared" si="304"/>
        <v>14.62</v>
      </c>
      <c r="I4894" s="96">
        <f t="shared" si="304"/>
        <v>15.19</v>
      </c>
      <c r="J4894" s="91" t="str">
        <f t="shared" si="305"/>
        <v>Sinapi 103998</v>
      </c>
      <c r="K4894" s="91" t="str">
        <f t="shared" si="306"/>
        <v>UN</v>
      </c>
      <c r="L4894" s="166" t="str">
        <f t="shared" si="307"/>
        <v>06/2022</v>
      </c>
      <c r="M4894" s="82"/>
      <c r="N4894" s="82"/>
    </row>
    <row r="4895" spans="1:14" x14ac:dyDescent="0.25">
      <c r="A4895" s="170" t="s">
        <v>16960</v>
      </c>
      <c r="B4895" s="170" t="s">
        <v>16961</v>
      </c>
      <c r="C4895" s="170" t="s">
        <v>205</v>
      </c>
      <c r="D4895" s="170" t="s">
        <v>2067</v>
      </c>
      <c r="E4895" s="171" t="s">
        <v>15788</v>
      </c>
      <c r="F4895" s="171" t="s">
        <v>16301</v>
      </c>
      <c r="G4895" s="82"/>
      <c r="H4895" s="96">
        <f t="shared" si="304"/>
        <v>12.29</v>
      </c>
      <c r="I4895" s="96">
        <f t="shared" si="304"/>
        <v>12.86</v>
      </c>
      <c r="J4895" s="91" t="str">
        <f t="shared" si="305"/>
        <v>Sinapi 103999</v>
      </c>
      <c r="K4895" s="91" t="str">
        <f t="shared" si="306"/>
        <v>UN</v>
      </c>
      <c r="L4895" s="166" t="str">
        <f t="shared" si="307"/>
        <v>06/2022</v>
      </c>
      <c r="M4895" s="82"/>
      <c r="N4895" s="82"/>
    </row>
    <row r="4896" spans="1:14" x14ac:dyDescent="0.25">
      <c r="A4896" s="170" t="s">
        <v>16962</v>
      </c>
      <c r="B4896" s="170" t="s">
        <v>16963</v>
      </c>
      <c r="C4896" s="170" t="s">
        <v>205</v>
      </c>
      <c r="D4896" s="170" t="s">
        <v>2067</v>
      </c>
      <c r="E4896" s="171" t="s">
        <v>21500</v>
      </c>
      <c r="F4896" s="171" t="s">
        <v>18247</v>
      </c>
      <c r="G4896" s="82"/>
      <c r="H4896" s="96">
        <f t="shared" si="304"/>
        <v>29.73</v>
      </c>
      <c r="I4896" s="96">
        <f t="shared" si="304"/>
        <v>30.37</v>
      </c>
      <c r="J4896" s="91" t="str">
        <f t="shared" si="305"/>
        <v>Sinapi 104000</v>
      </c>
      <c r="K4896" s="91" t="str">
        <f t="shared" si="306"/>
        <v>UN</v>
      </c>
      <c r="L4896" s="166" t="str">
        <f t="shared" si="307"/>
        <v>06/2022</v>
      </c>
      <c r="M4896" s="82"/>
      <c r="N4896" s="82"/>
    </row>
    <row r="4897" spans="1:14" x14ac:dyDescent="0.25">
      <c r="A4897" s="170" t="s">
        <v>16964</v>
      </c>
      <c r="B4897" s="170" t="s">
        <v>16965</v>
      </c>
      <c r="C4897" s="170" t="s">
        <v>205</v>
      </c>
      <c r="D4897" s="170" t="s">
        <v>2067</v>
      </c>
      <c r="E4897" s="171" t="s">
        <v>19870</v>
      </c>
      <c r="F4897" s="171" t="s">
        <v>21440</v>
      </c>
      <c r="G4897" s="82"/>
      <c r="H4897" s="96">
        <f t="shared" si="304"/>
        <v>13.5</v>
      </c>
      <c r="I4897" s="96">
        <f t="shared" si="304"/>
        <v>14.14</v>
      </c>
      <c r="J4897" s="91" t="str">
        <f t="shared" si="305"/>
        <v>Sinapi 104001</v>
      </c>
      <c r="K4897" s="91" t="str">
        <f t="shared" si="306"/>
        <v>UN</v>
      </c>
      <c r="L4897" s="166" t="str">
        <f t="shared" si="307"/>
        <v>06/2022</v>
      </c>
      <c r="M4897" s="82"/>
      <c r="N4897" s="82"/>
    </row>
    <row r="4898" spans="1:14" x14ac:dyDescent="0.25">
      <c r="A4898" s="170" t="s">
        <v>16966</v>
      </c>
      <c r="B4898" s="170" t="s">
        <v>16967</v>
      </c>
      <c r="C4898" s="170" t="s">
        <v>205</v>
      </c>
      <c r="D4898" s="170" t="s">
        <v>2067</v>
      </c>
      <c r="E4898" s="171" t="s">
        <v>17444</v>
      </c>
      <c r="F4898" s="171" t="s">
        <v>20369</v>
      </c>
      <c r="G4898" s="82"/>
      <c r="H4898" s="96">
        <f t="shared" si="304"/>
        <v>17.78</v>
      </c>
      <c r="I4898" s="96">
        <f t="shared" si="304"/>
        <v>18.399999999999999</v>
      </c>
      <c r="J4898" s="91" t="str">
        <f t="shared" si="305"/>
        <v>Sinapi 104002</v>
      </c>
      <c r="K4898" s="91" t="str">
        <f t="shared" si="306"/>
        <v>UN</v>
      </c>
      <c r="L4898" s="166" t="str">
        <f t="shared" si="307"/>
        <v>06/2022</v>
      </c>
      <c r="M4898" s="82"/>
      <c r="N4898" s="82"/>
    </row>
    <row r="4899" spans="1:14" x14ac:dyDescent="0.25">
      <c r="A4899" s="170" t="s">
        <v>16968</v>
      </c>
      <c r="B4899" s="170" t="s">
        <v>16969</v>
      </c>
      <c r="C4899" s="170" t="s">
        <v>205</v>
      </c>
      <c r="D4899" s="170" t="s">
        <v>2067</v>
      </c>
      <c r="E4899" s="171" t="s">
        <v>29987</v>
      </c>
      <c r="F4899" s="171" t="s">
        <v>14899</v>
      </c>
      <c r="G4899" s="82"/>
      <c r="H4899" s="96">
        <f t="shared" si="304"/>
        <v>14.6</v>
      </c>
      <c r="I4899" s="96">
        <f t="shared" si="304"/>
        <v>15.22</v>
      </c>
      <c r="J4899" s="91" t="str">
        <f t="shared" si="305"/>
        <v>Sinapi 104003</v>
      </c>
      <c r="K4899" s="91" t="str">
        <f t="shared" si="306"/>
        <v>UN</v>
      </c>
      <c r="L4899" s="166" t="str">
        <f t="shared" si="307"/>
        <v>06/2022</v>
      </c>
      <c r="M4899" s="82"/>
      <c r="N4899" s="82"/>
    </row>
    <row r="4900" spans="1:14" x14ac:dyDescent="0.25">
      <c r="A4900" s="170" t="s">
        <v>16970</v>
      </c>
      <c r="B4900" s="170" t="s">
        <v>16971</v>
      </c>
      <c r="C4900" s="170" t="s">
        <v>205</v>
      </c>
      <c r="D4900" s="170" t="s">
        <v>2067</v>
      </c>
      <c r="E4900" s="171" t="s">
        <v>19914</v>
      </c>
      <c r="F4900" s="171" t="s">
        <v>22732</v>
      </c>
      <c r="G4900" s="82"/>
      <c r="H4900" s="96">
        <f t="shared" si="304"/>
        <v>28.85</v>
      </c>
      <c r="I4900" s="96">
        <f t="shared" si="304"/>
        <v>30.29</v>
      </c>
      <c r="J4900" s="91" t="str">
        <f t="shared" si="305"/>
        <v>Sinapi 104004</v>
      </c>
      <c r="K4900" s="91" t="str">
        <f t="shared" si="306"/>
        <v>UN</v>
      </c>
      <c r="L4900" s="166" t="str">
        <f t="shared" si="307"/>
        <v>06/2022</v>
      </c>
      <c r="M4900" s="82"/>
      <c r="N4900" s="82"/>
    </row>
    <row r="4901" spans="1:14" x14ac:dyDescent="0.25">
      <c r="A4901" s="170" t="s">
        <v>16972</v>
      </c>
      <c r="B4901" s="170" t="s">
        <v>16973</v>
      </c>
      <c r="C4901" s="170" t="s">
        <v>205</v>
      </c>
      <c r="D4901" s="170" t="s">
        <v>2067</v>
      </c>
      <c r="E4901" s="171" t="s">
        <v>20992</v>
      </c>
      <c r="F4901" s="171" t="s">
        <v>33552</v>
      </c>
      <c r="G4901" s="82"/>
      <c r="H4901" s="96">
        <f t="shared" si="304"/>
        <v>36.950000000000003</v>
      </c>
      <c r="I4901" s="96">
        <f t="shared" si="304"/>
        <v>38.28</v>
      </c>
      <c r="J4901" s="91" t="str">
        <f t="shared" si="305"/>
        <v>Sinapi 104005</v>
      </c>
      <c r="K4901" s="91" t="str">
        <f t="shared" si="306"/>
        <v>UN</v>
      </c>
      <c r="L4901" s="166" t="str">
        <f t="shared" si="307"/>
        <v>06/2022</v>
      </c>
      <c r="M4901" s="82"/>
      <c r="N4901" s="82"/>
    </row>
    <row r="4902" spans="1:14" x14ac:dyDescent="0.25">
      <c r="A4902" s="170" t="s">
        <v>16974</v>
      </c>
      <c r="B4902" s="170" t="s">
        <v>16975</v>
      </c>
      <c r="C4902" s="170" t="s">
        <v>205</v>
      </c>
      <c r="D4902" s="170" t="s">
        <v>2067</v>
      </c>
      <c r="E4902" s="171" t="s">
        <v>21036</v>
      </c>
      <c r="F4902" s="171" t="s">
        <v>21054</v>
      </c>
      <c r="G4902" s="82"/>
      <c r="H4902" s="96">
        <f t="shared" si="304"/>
        <v>24.92</v>
      </c>
      <c r="I4902" s="96">
        <f t="shared" si="304"/>
        <v>26.01</v>
      </c>
      <c r="J4902" s="91" t="str">
        <f t="shared" si="305"/>
        <v>Sinapi 104006</v>
      </c>
      <c r="K4902" s="91" t="str">
        <f t="shared" si="306"/>
        <v>UN</v>
      </c>
      <c r="L4902" s="166" t="str">
        <f t="shared" si="307"/>
        <v>06/2022</v>
      </c>
      <c r="M4902" s="82"/>
      <c r="N4902" s="82"/>
    </row>
    <row r="4903" spans="1:14" x14ac:dyDescent="0.25">
      <c r="A4903" s="170" t="s">
        <v>16976</v>
      </c>
      <c r="B4903" s="170" t="s">
        <v>16977</v>
      </c>
      <c r="C4903" s="170" t="s">
        <v>205</v>
      </c>
      <c r="D4903" s="170" t="s">
        <v>2067</v>
      </c>
      <c r="E4903" s="171" t="s">
        <v>21014</v>
      </c>
      <c r="F4903" s="171" t="s">
        <v>20626</v>
      </c>
      <c r="G4903" s="82"/>
      <c r="H4903" s="96">
        <f t="shared" si="304"/>
        <v>21.76</v>
      </c>
      <c r="I4903" s="96">
        <f t="shared" si="304"/>
        <v>22.73</v>
      </c>
      <c r="J4903" s="91" t="str">
        <f t="shared" si="305"/>
        <v>Sinapi 104007</v>
      </c>
      <c r="K4903" s="91" t="str">
        <f t="shared" si="306"/>
        <v>UN</v>
      </c>
      <c r="L4903" s="166" t="str">
        <f t="shared" si="307"/>
        <v>06/2022</v>
      </c>
      <c r="M4903" s="82"/>
      <c r="N4903" s="82"/>
    </row>
    <row r="4904" spans="1:14" x14ac:dyDescent="0.25">
      <c r="A4904" s="170" t="s">
        <v>16978</v>
      </c>
      <c r="B4904" s="170" t="s">
        <v>16979</v>
      </c>
      <c r="C4904" s="170" t="s">
        <v>205</v>
      </c>
      <c r="D4904" s="170" t="s">
        <v>2067</v>
      </c>
      <c r="E4904" s="171" t="s">
        <v>19403</v>
      </c>
      <c r="F4904" s="171" t="s">
        <v>23350</v>
      </c>
      <c r="G4904" s="82"/>
      <c r="H4904" s="96">
        <f t="shared" si="304"/>
        <v>31.91</v>
      </c>
      <c r="I4904" s="96">
        <f t="shared" si="304"/>
        <v>33.14</v>
      </c>
      <c r="J4904" s="91" t="str">
        <f t="shared" si="305"/>
        <v>Sinapi 104008</v>
      </c>
      <c r="K4904" s="91" t="str">
        <f t="shared" si="306"/>
        <v>UN</v>
      </c>
      <c r="L4904" s="166" t="str">
        <f t="shared" si="307"/>
        <v>06/2022</v>
      </c>
      <c r="M4904" s="82"/>
      <c r="N4904" s="82"/>
    </row>
    <row r="4905" spans="1:14" x14ac:dyDescent="0.25">
      <c r="A4905" s="170" t="s">
        <v>16980</v>
      </c>
      <c r="B4905" s="170" t="s">
        <v>16981</v>
      </c>
      <c r="C4905" s="170" t="s">
        <v>205</v>
      </c>
      <c r="D4905" s="170" t="s">
        <v>2067</v>
      </c>
      <c r="E4905" s="171" t="s">
        <v>15634</v>
      </c>
      <c r="F4905" s="171" t="s">
        <v>17374</v>
      </c>
      <c r="G4905" s="82"/>
      <c r="H4905" s="96">
        <f t="shared" si="304"/>
        <v>12.81</v>
      </c>
      <c r="I4905" s="96">
        <f t="shared" si="304"/>
        <v>13.47</v>
      </c>
      <c r="J4905" s="91" t="str">
        <f t="shared" si="305"/>
        <v>Sinapi 104009</v>
      </c>
      <c r="K4905" s="91" t="str">
        <f t="shared" si="306"/>
        <v>UN</v>
      </c>
      <c r="L4905" s="166" t="str">
        <f t="shared" si="307"/>
        <v>06/2022</v>
      </c>
      <c r="M4905" s="82"/>
      <c r="N4905" s="82"/>
    </row>
    <row r="4906" spans="1:14" x14ac:dyDescent="0.25">
      <c r="A4906" s="170" t="s">
        <v>16982</v>
      </c>
      <c r="B4906" s="170" t="s">
        <v>16983</v>
      </c>
      <c r="C4906" s="170" t="s">
        <v>205</v>
      </c>
      <c r="D4906" s="170" t="s">
        <v>2067</v>
      </c>
      <c r="E4906" s="171" t="s">
        <v>28836</v>
      </c>
      <c r="F4906" s="171" t="s">
        <v>17350</v>
      </c>
      <c r="G4906" s="82"/>
      <c r="H4906" s="96">
        <f t="shared" si="304"/>
        <v>24.68</v>
      </c>
      <c r="I4906" s="96">
        <f t="shared" si="304"/>
        <v>25.9</v>
      </c>
      <c r="J4906" s="91" t="str">
        <f t="shared" si="305"/>
        <v>Sinapi 104011</v>
      </c>
      <c r="K4906" s="91" t="str">
        <f t="shared" si="306"/>
        <v>UN</v>
      </c>
      <c r="L4906" s="166" t="str">
        <f t="shared" si="307"/>
        <v>06/2022</v>
      </c>
      <c r="M4906" s="82"/>
      <c r="N4906" s="82"/>
    </row>
    <row r="4907" spans="1:14" x14ac:dyDescent="0.25">
      <c r="A4907" s="170" t="s">
        <v>16984</v>
      </c>
      <c r="B4907" s="170" t="s">
        <v>16985</v>
      </c>
      <c r="C4907" s="170" t="s">
        <v>205</v>
      </c>
      <c r="D4907" s="170" t="s">
        <v>2067</v>
      </c>
      <c r="E4907" s="171" t="s">
        <v>29962</v>
      </c>
      <c r="F4907" s="171" t="s">
        <v>19356</v>
      </c>
      <c r="G4907" s="82"/>
      <c r="H4907" s="96">
        <f t="shared" si="304"/>
        <v>22.89</v>
      </c>
      <c r="I4907" s="96">
        <f t="shared" si="304"/>
        <v>23.99</v>
      </c>
      <c r="J4907" s="91" t="str">
        <f t="shared" si="305"/>
        <v>Sinapi 104012</v>
      </c>
      <c r="K4907" s="91" t="str">
        <f t="shared" si="306"/>
        <v>UN</v>
      </c>
      <c r="L4907" s="166" t="str">
        <f t="shared" si="307"/>
        <v>06/2022</v>
      </c>
      <c r="M4907" s="82"/>
      <c r="N4907" s="82"/>
    </row>
    <row r="4908" spans="1:14" x14ac:dyDescent="0.25">
      <c r="A4908" s="170" t="s">
        <v>16986</v>
      </c>
      <c r="B4908" s="170" t="s">
        <v>16987</v>
      </c>
      <c r="C4908" s="170" t="s">
        <v>205</v>
      </c>
      <c r="D4908" s="170" t="s">
        <v>2067</v>
      </c>
      <c r="E4908" s="171" t="s">
        <v>11178</v>
      </c>
      <c r="F4908" s="171" t="s">
        <v>17363</v>
      </c>
      <c r="G4908" s="82"/>
      <c r="H4908" s="96">
        <f t="shared" si="304"/>
        <v>10.53</v>
      </c>
      <c r="I4908" s="96">
        <f t="shared" si="304"/>
        <v>11.04</v>
      </c>
      <c r="J4908" s="91" t="str">
        <f t="shared" si="305"/>
        <v>Sinapi 104014</v>
      </c>
      <c r="K4908" s="91" t="str">
        <f t="shared" si="306"/>
        <v>UN</v>
      </c>
      <c r="L4908" s="166" t="str">
        <f t="shared" si="307"/>
        <v>06/2022</v>
      </c>
      <c r="M4908" s="82"/>
      <c r="N4908" s="82"/>
    </row>
    <row r="4909" spans="1:14" x14ac:dyDescent="0.25">
      <c r="A4909" s="170" t="s">
        <v>16988</v>
      </c>
      <c r="B4909" s="170" t="s">
        <v>16989</v>
      </c>
      <c r="C4909" s="170" t="s">
        <v>205</v>
      </c>
      <c r="D4909" s="170" t="s">
        <v>2067</v>
      </c>
      <c r="E4909" s="171" t="s">
        <v>29375</v>
      </c>
      <c r="F4909" s="171" t="s">
        <v>6619</v>
      </c>
      <c r="G4909" s="82"/>
      <c r="H4909" s="96">
        <f t="shared" si="304"/>
        <v>16.809999999999999</v>
      </c>
      <c r="I4909" s="96">
        <f t="shared" si="304"/>
        <v>17.600000000000001</v>
      </c>
      <c r="J4909" s="91" t="str">
        <f t="shared" si="305"/>
        <v>Sinapi 104015</v>
      </c>
      <c r="K4909" s="91" t="str">
        <f t="shared" si="306"/>
        <v>UN</v>
      </c>
      <c r="L4909" s="166" t="str">
        <f t="shared" si="307"/>
        <v>06/2022</v>
      </c>
      <c r="M4909" s="82"/>
      <c r="N4909" s="82"/>
    </row>
    <row r="4910" spans="1:14" x14ac:dyDescent="0.25">
      <c r="A4910" s="170" t="s">
        <v>16990</v>
      </c>
      <c r="B4910" s="170" t="s">
        <v>16991</v>
      </c>
      <c r="C4910" s="170" t="s">
        <v>205</v>
      </c>
      <c r="D4910" s="170" t="s">
        <v>2067</v>
      </c>
      <c r="E4910" s="171" t="s">
        <v>18622</v>
      </c>
      <c r="F4910" s="171" t="s">
        <v>24816</v>
      </c>
      <c r="G4910" s="82"/>
      <c r="H4910" s="96">
        <f t="shared" si="304"/>
        <v>22.93</v>
      </c>
      <c r="I4910" s="96">
        <f t="shared" si="304"/>
        <v>23.9</v>
      </c>
      <c r="J4910" s="91" t="str">
        <f t="shared" si="305"/>
        <v>Sinapi 104016</v>
      </c>
      <c r="K4910" s="91" t="str">
        <f t="shared" si="306"/>
        <v>UN</v>
      </c>
      <c r="L4910" s="166" t="str">
        <f t="shared" si="307"/>
        <v>06/2022</v>
      </c>
      <c r="M4910" s="82"/>
      <c r="N4910" s="82"/>
    </row>
    <row r="4911" spans="1:14" x14ac:dyDescent="0.25">
      <c r="A4911" s="170" t="s">
        <v>16992</v>
      </c>
      <c r="B4911" s="170" t="s">
        <v>16993</v>
      </c>
      <c r="C4911" s="170" t="s">
        <v>205</v>
      </c>
      <c r="D4911" s="170" t="s">
        <v>2067</v>
      </c>
      <c r="E4911" s="171" t="s">
        <v>33894</v>
      </c>
      <c r="F4911" s="171" t="s">
        <v>28499</v>
      </c>
      <c r="G4911" s="82"/>
      <c r="H4911" s="96">
        <f t="shared" si="304"/>
        <v>49.51</v>
      </c>
      <c r="I4911" s="96">
        <f t="shared" si="304"/>
        <v>50.64</v>
      </c>
      <c r="J4911" s="91" t="str">
        <f t="shared" si="305"/>
        <v>Sinapi 104017</v>
      </c>
      <c r="K4911" s="91" t="str">
        <f t="shared" si="306"/>
        <v>UN</v>
      </c>
      <c r="L4911" s="166" t="str">
        <f t="shared" si="307"/>
        <v>06/2022</v>
      </c>
      <c r="M4911" s="82"/>
      <c r="N4911" s="82"/>
    </row>
    <row r="4912" spans="1:14" x14ac:dyDescent="0.25">
      <c r="A4912" s="170" t="s">
        <v>16994</v>
      </c>
      <c r="B4912" s="170" t="s">
        <v>16993</v>
      </c>
      <c r="C4912" s="170" t="s">
        <v>205</v>
      </c>
      <c r="D4912" s="170" t="s">
        <v>2067</v>
      </c>
      <c r="E4912" s="171" t="s">
        <v>16296</v>
      </c>
      <c r="F4912" s="171" t="s">
        <v>27098</v>
      </c>
      <c r="G4912" s="82"/>
      <c r="H4912" s="96">
        <f t="shared" si="304"/>
        <v>22.05</v>
      </c>
      <c r="I4912" s="96">
        <f t="shared" si="304"/>
        <v>22.91</v>
      </c>
      <c r="J4912" s="91" t="str">
        <f t="shared" si="305"/>
        <v>Sinapi 104018</v>
      </c>
      <c r="K4912" s="91" t="str">
        <f t="shared" si="306"/>
        <v>UN</v>
      </c>
      <c r="L4912" s="166" t="str">
        <f t="shared" si="307"/>
        <v>06/2022</v>
      </c>
      <c r="M4912" s="82"/>
      <c r="N4912" s="82"/>
    </row>
    <row r="4913" spans="1:14" x14ac:dyDescent="0.25">
      <c r="A4913" s="170" t="s">
        <v>16995</v>
      </c>
      <c r="B4913" s="170" t="s">
        <v>16996</v>
      </c>
      <c r="C4913" s="170" t="s">
        <v>205</v>
      </c>
      <c r="D4913" s="170" t="s">
        <v>2067</v>
      </c>
      <c r="E4913" s="171" t="s">
        <v>29133</v>
      </c>
      <c r="F4913" s="171" t="s">
        <v>29292</v>
      </c>
      <c r="G4913" s="82"/>
      <c r="H4913" s="96">
        <f t="shared" si="304"/>
        <v>48.48</v>
      </c>
      <c r="I4913" s="96">
        <f t="shared" si="304"/>
        <v>49.49</v>
      </c>
      <c r="J4913" s="91" t="str">
        <f t="shared" si="305"/>
        <v>Sinapi 104019</v>
      </c>
      <c r="K4913" s="91" t="str">
        <f t="shared" si="306"/>
        <v>UN</v>
      </c>
      <c r="L4913" s="166" t="str">
        <f t="shared" si="307"/>
        <v>06/2022</v>
      </c>
      <c r="M4913" s="82"/>
      <c r="N4913" s="82"/>
    </row>
    <row r="4914" spans="1:14" x14ac:dyDescent="0.25">
      <c r="A4914" s="170" t="s">
        <v>16997</v>
      </c>
      <c r="B4914" s="170" t="s">
        <v>16998</v>
      </c>
      <c r="C4914" s="170" t="s">
        <v>205</v>
      </c>
      <c r="D4914" s="170" t="s">
        <v>2067</v>
      </c>
      <c r="E4914" s="171" t="s">
        <v>32166</v>
      </c>
      <c r="F4914" s="171" t="s">
        <v>29435</v>
      </c>
      <c r="G4914" s="82"/>
      <c r="H4914" s="96">
        <f t="shared" si="304"/>
        <v>63.41</v>
      </c>
      <c r="I4914" s="96">
        <f t="shared" si="304"/>
        <v>64.05</v>
      </c>
      <c r="J4914" s="91" t="str">
        <f t="shared" si="305"/>
        <v>Sinapi 104020</v>
      </c>
      <c r="K4914" s="91" t="str">
        <f t="shared" si="306"/>
        <v>UN</v>
      </c>
      <c r="L4914" s="166" t="str">
        <f t="shared" si="307"/>
        <v>06/2022</v>
      </c>
      <c r="M4914" s="82"/>
      <c r="N4914" s="82"/>
    </row>
    <row r="4915" spans="1:14" x14ac:dyDescent="0.25">
      <c r="A4915" s="170" t="s">
        <v>16999</v>
      </c>
      <c r="B4915" s="170" t="s">
        <v>17000</v>
      </c>
      <c r="C4915" s="170" t="s">
        <v>205</v>
      </c>
      <c r="D4915" s="170" t="s">
        <v>2067</v>
      </c>
      <c r="E4915" s="171" t="s">
        <v>33895</v>
      </c>
      <c r="F4915" s="171" t="s">
        <v>26450</v>
      </c>
      <c r="G4915" s="82"/>
      <c r="H4915" s="96">
        <f t="shared" si="304"/>
        <v>77.02</v>
      </c>
      <c r="I4915" s="96">
        <f t="shared" si="304"/>
        <v>78.27</v>
      </c>
      <c r="J4915" s="91" t="str">
        <f t="shared" si="305"/>
        <v>Sinapi 104022</v>
      </c>
      <c r="K4915" s="91" t="str">
        <f t="shared" si="306"/>
        <v>UN</v>
      </c>
      <c r="L4915" s="166" t="str">
        <f t="shared" si="307"/>
        <v>06/2022</v>
      </c>
      <c r="M4915" s="82"/>
      <c r="N4915" s="82"/>
    </row>
    <row r="4916" spans="1:14" x14ac:dyDescent="0.25">
      <c r="A4916" s="170" t="s">
        <v>17001</v>
      </c>
      <c r="B4916" s="170" t="s">
        <v>17002</v>
      </c>
      <c r="C4916" s="170" t="s">
        <v>205</v>
      </c>
      <c r="D4916" s="170" t="s">
        <v>2067</v>
      </c>
      <c r="E4916" s="171" t="s">
        <v>22980</v>
      </c>
      <c r="F4916" s="171" t="s">
        <v>22862</v>
      </c>
      <c r="G4916" s="82"/>
      <c r="H4916" s="96">
        <f t="shared" si="304"/>
        <v>44.78</v>
      </c>
      <c r="I4916" s="96">
        <f t="shared" si="304"/>
        <v>45.72</v>
      </c>
      <c r="J4916" s="91" t="str">
        <f t="shared" si="305"/>
        <v>Sinapi 104023</v>
      </c>
      <c r="K4916" s="91" t="str">
        <f t="shared" si="306"/>
        <v>UN</v>
      </c>
      <c r="L4916" s="166" t="str">
        <f t="shared" si="307"/>
        <v>06/2022</v>
      </c>
      <c r="M4916" s="82"/>
      <c r="N4916" s="82"/>
    </row>
    <row r="4917" spans="1:14" x14ac:dyDescent="0.25">
      <c r="A4917" s="170" t="s">
        <v>17003</v>
      </c>
      <c r="B4917" s="170" t="s">
        <v>17004</v>
      </c>
      <c r="C4917" s="170" t="s">
        <v>205</v>
      </c>
      <c r="D4917" s="170" t="s">
        <v>2067</v>
      </c>
      <c r="E4917" s="171" t="s">
        <v>33896</v>
      </c>
      <c r="F4917" s="171" t="s">
        <v>37058</v>
      </c>
      <c r="G4917" s="82"/>
      <c r="H4917" s="96">
        <f t="shared" si="304"/>
        <v>44.3</v>
      </c>
      <c r="I4917" s="96">
        <f t="shared" si="304"/>
        <v>45.24</v>
      </c>
      <c r="J4917" s="91" t="str">
        <f t="shared" si="305"/>
        <v>Sinapi 104024</v>
      </c>
      <c r="K4917" s="91" t="str">
        <f t="shared" si="306"/>
        <v>UN</v>
      </c>
      <c r="L4917" s="166" t="str">
        <f t="shared" si="307"/>
        <v>06/2022</v>
      </c>
      <c r="M4917" s="82"/>
      <c r="N4917" s="82"/>
    </row>
    <row r="4918" spans="1:14" x14ac:dyDescent="0.25">
      <c r="A4918" s="170" t="s">
        <v>17005</v>
      </c>
      <c r="B4918" s="170" t="s">
        <v>17006</v>
      </c>
      <c r="C4918" s="170" t="s">
        <v>205</v>
      </c>
      <c r="D4918" s="170" t="s">
        <v>2067</v>
      </c>
      <c r="E4918" s="171" t="s">
        <v>33710</v>
      </c>
      <c r="F4918" s="171" t="s">
        <v>25559</v>
      </c>
      <c r="G4918" s="82"/>
      <c r="H4918" s="96">
        <f t="shared" si="304"/>
        <v>31.22</v>
      </c>
      <c r="I4918" s="96">
        <f t="shared" si="304"/>
        <v>31.85</v>
      </c>
      <c r="J4918" s="91" t="str">
        <f t="shared" si="305"/>
        <v>Sinapi 104025</v>
      </c>
      <c r="K4918" s="91" t="str">
        <f t="shared" si="306"/>
        <v>UN</v>
      </c>
      <c r="L4918" s="166" t="str">
        <f t="shared" si="307"/>
        <v>06/2022</v>
      </c>
      <c r="M4918" s="82"/>
      <c r="N4918" s="82"/>
    </row>
    <row r="4919" spans="1:14" x14ac:dyDescent="0.25">
      <c r="A4919" s="170" t="s">
        <v>17007</v>
      </c>
      <c r="B4919" s="170" t="s">
        <v>17008</v>
      </c>
      <c r="C4919" s="170" t="s">
        <v>205</v>
      </c>
      <c r="D4919" s="170" t="s">
        <v>2067</v>
      </c>
      <c r="E4919" s="171" t="s">
        <v>33897</v>
      </c>
      <c r="F4919" s="171" t="s">
        <v>37059</v>
      </c>
      <c r="G4919" s="82"/>
      <c r="H4919" s="96">
        <f t="shared" si="304"/>
        <v>46.83</v>
      </c>
      <c r="I4919" s="96">
        <f t="shared" si="304"/>
        <v>47.46</v>
      </c>
      <c r="J4919" s="91" t="str">
        <f t="shared" si="305"/>
        <v>Sinapi 104026</v>
      </c>
      <c r="K4919" s="91" t="str">
        <f t="shared" si="306"/>
        <v>UN</v>
      </c>
      <c r="L4919" s="166" t="str">
        <f t="shared" si="307"/>
        <v>06/2022</v>
      </c>
      <c r="M4919" s="82"/>
      <c r="N4919" s="82"/>
    </row>
    <row r="4920" spans="1:14" x14ac:dyDescent="0.25">
      <c r="A4920" s="170" t="s">
        <v>17009</v>
      </c>
      <c r="B4920" s="170" t="s">
        <v>17010</v>
      </c>
      <c r="C4920" s="170" t="s">
        <v>205</v>
      </c>
      <c r="D4920" s="170" t="s">
        <v>2067</v>
      </c>
      <c r="E4920" s="171" t="s">
        <v>33898</v>
      </c>
      <c r="F4920" s="171" t="s">
        <v>36096</v>
      </c>
      <c r="G4920" s="82"/>
      <c r="H4920" s="96">
        <f t="shared" si="304"/>
        <v>72.260000000000005</v>
      </c>
      <c r="I4920" s="96">
        <f t="shared" si="304"/>
        <v>72.89</v>
      </c>
      <c r="J4920" s="91" t="str">
        <f t="shared" si="305"/>
        <v>Sinapi 104027</v>
      </c>
      <c r="K4920" s="91" t="str">
        <f t="shared" si="306"/>
        <v>UN</v>
      </c>
      <c r="L4920" s="166" t="str">
        <f t="shared" si="307"/>
        <v>06/2022</v>
      </c>
      <c r="M4920" s="82"/>
      <c r="N4920" s="82"/>
    </row>
    <row r="4921" spans="1:14" x14ac:dyDescent="0.25">
      <c r="A4921" s="170" t="s">
        <v>17011</v>
      </c>
      <c r="B4921" s="170" t="s">
        <v>17012</v>
      </c>
      <c r="C4921" s="170" t="s">
        <v>205</v>
      </c>
      <c r="D4921" s="170" t="s">
        <v>2067</v>
      </c>
      <c r="E4921" s="171" t="s">
        <v>33899</v>
      </c>
      <c r="F4921" s="171" t="s">
        <v>22804</v>
      </c>
      <c r="G4921" s="82"/>
      <c r="H4921" s="96">
        <f t="shared" si="304"/>
        <v>150.27000000000001</v>
      </c>
      <c r="I4921" s="96">
        <f t="shared" si="304"/>
        <v>150.85</v>
      </c>
      <c r="J4921" s="91" t="str">
        <f t="shared" si="305"/>
        <v>Sinapi 104028</v>
      </c>
      <c r="K4921" s="91" t="str">
        <f t="shared" si="306"/>
        <v>UN</v>
      </c>
      <c r="L4921" s="166" t="str">
        <f t="shared" si="307"/>
        <v>06/2022</v>
      </c>
      <c r="M4921" s="82"/>
      <c r="N4921" s="82"/>
    </row>
    <row r="4922" spans="1:14" x14ac:dyDescent="0.25">
      <c r="A4922" s="170" t="s">
        <v>17013</v>
      </c>
      <c r="B4922" s="170" t="s">
        <v>17014</v>
      </c>
      <c r="C4922" s="170" t="s">
        <v>205</v>
      </c>
      <c r="D4922" s="170" t="s">
        <v>2067</v>
      </c>
      <c r="E4922" s="171" t="s">
        <v>31940</v>
      </c>
      <c r="F4922" s="171" t="s">
        <v>30185</v>
      </c>
      <c r="G4922" s="82"/>
      <c r="H4922" s="96">
        <f t="shared" si="304"/>
        <v>77.13</v>
      </c>
      <c r="I4922" s="96">
        <f t="shared" si="304"/>
        <v>77.709999999999994</v>
      </c>
      <c r="J4922" s="91" t="str">
        <f t="shared" si="305"/>
        <v>Sinapi 104029</v>
      </c>
      <c r="K4922" s="91" t="str">
        <f t="shared" si="306"/>
        <v>UN</v>
      </c>
      <c r="L4922" s="166" t="str">
        <f t="shared" si="307"/>
        <v>06/2022</v>
      </c>
      <c r="M4922" s="82"/>
      <c r="N4922" s="82"/>
    </row>
    <row r="4923" spans="1:14" x14ac:dyDescent="0.25">
      <c r="A4923" s="170" t="s">
        <v>17015</v>
      </c>
      <c r="B4923" s="170" t="s">
        <v>17016</v>
      </c>
      <c r="C4923" s="170" t="s">
        <v>205</v>
      </c>
      <c r="D4923" s="170" t="s">
        <v>2067</v>
      </c>
      <c r="E4923" s="171" t="s">
        <v>33320</v>
      </c>
      <c r="F4923" s="171" t="s">
        <v>31330</v>
      </c>
      <c r="G4923" s="82"/>
      <c r="H4923" s="96">
        <f t="shared" si="304"/>
        <v>68.069999999999993</v>
      </c>
      <c r="I4923" s="96">
        <f t="shared" si="304"/>
        <v>69.239999999999995</v>
      </c>
      <c r="J4923" s="91" t="str">
        <f t="shared" si="305"/>
        <v>Sinapi 104030</v>
      </c>
      <c r="K4923" s="91" t="str">
        <f t="shared" si="306"/>
        <v>UN</v>
      </c>
      <c r="L4923" s="166" t="str">
        <f t="shared" si="307"/>
        <v>06/2022</v>
      </c>
      <c r="M4923" s="82"/>
      <c r="N4923" s="82"/>
    </row>
    <row r="4924" spans="1:14" x14ac:dyDescent="0.25">
      <c r="A4924" s="170" t="s">
        <v>18354</v>
      </c>
      <c r="B4924" s="170" t="s">
        <v>18355</v>
      </c>
      <c r="C4924" s="170" t="s">
        <v>205</v>
      </c>
      <c r="D4924" s="170" t="s">
        <v>2067</v>
      </c>
      <c r="E4924" s="171" t="s">
        <v>29024</v>
      </c>
      <c r="F4924" s="171" t="s">
        <v>23267</v>
      </c>
      <c r="G4924" s="82"/>
      <c r="H4924" s="96">
        <f t="shared" si="304"/>
        <v>40.75</v>
      </c>
      <c r="I4924" s="96">
        <f t="shared" si="304"/>
        <v>41.37</v>
      </c>
      <c r="J4924" s="91" t="str">
        <f t="shared" si="305"/>
        <v>Sinapi 104159</v>
      </c>
      <c r="K4924" s="91" t="str">
        <f t="shared" si="306"/>
        <v>UN</v>
      </c>
      <c r="L4924" s="166" t="str">
        <f t="shared" si="307"/>
        <v>06/2022</v>
      </c>
      <c r="M4924" s="82"/>
      <c r="N4924" s="82"/>
    </row>
    <row r="4925" spans="1:14" x14ac:dyDescent="0.25">
      <c r="A4925" s="170" t="s">
        <v>17017</v>
      </c>
      <c r="B4925" s="170" t="s">
        <v>17018</v>
      </c>
      <c r="C4925" s="170" t="s">
        <v>205</v>
      </c>
      <c r="D4925" s="170" t="s">
        <v>2067</v>
      </c>
      <c r="E4925" s="171" t="s">
        <v>33900</v>
      </c>
      <c r="F4925" s="171" t="s">
        <v>37060</v>
      </c>
      <c r="G4925" s="82"/>
      <c r="H4925" s="96">
        <f t="shared" si="304"/>
        <v>134.09</v>
      </c>
      <c r="I4925" s="96">
        <f t="shared" si="304"/>
        <v>135.32</v>
      </c>
      <c r="J4925" s="91" t="str">
        <f t="shared" si="305"/>
        <v>Sinapi 104167</v>
      </c>
      <c r="K4925" s="91" t="str">
        <f t="shared" si="306"/>
        <v>UN</v>
      </c>
      <c r="L4925" s="166" t="str">
        <f t="shared" si="307"/>
        <v>06/2022</v>
      </c>
      <c r="M4925" s="82"/>
      <c r="N4925" s="82"/>
    </row>
    <row r="4926" spans="1:14" x14ac:dyDescent="0.25">
      <c r="A4926" s="170" t="s">
        <v>17019</v>
      </c>
      <c r="B4926" s="170" t="s">
        <v>17020</v>
      </c>
      <c r="C4926" s="170" t="s">
        <v>205</v>
      </c>
      <c r="D4926" s="170" t="s">
        <v>2067</v>
      </c>
      <c r="E4926" s="171" t="s">
        <v>21718</v>
      </c>
      <c r="F4926" s="171" t="s">
        <v>37061</v>
      </c>
      <c r="G4926" s="82"/>
      <c r="H4926" s="96">
        <f t="shared" si="304"/>
        <v>130.93</v>
      </c>
      <c r="I4926" s="96">
        <f t="shared" si="304"/>
        <v>132.16</v>
      </c>
      <c r="J4926" s="91" t="str">
        <f t="shared" si="305"/>
        <v>Sinapi 104168</v>
      </c>
      <c r="K4926" s="91" t="str">
        <f t="shared" si="306"/>
        <v>UN</v>
      </c>
      <c r="L4926" s="166" t="str">
        <f t="shared" si="307"/>
        <v>06/2022</v>
      </c>
      <c r="M4926" s="82"/>
      <c r="N4926" s="82"/>
    </row>
    <row r="4927" spans="1:14" x14ac:dyDescent="0.25">
      <c r="A4927" s="170" t="s">
        <v>17021</v>
      </c>
      <c r="B4927" s="170" t="s">
        <v>17022</v>
      </c>
      <c r="C4927" s="170" t="s">
        <v>205</v>
      </c>
      <c r="D4927" s="170" t="s">
        <v>2067</v>
      </c>
      <c r="E4927" s="171" t="s">
        <v>29317</v>
      </c>
      <c r="F4927" s="171" t="s">
        <v>37062</v>
      </c>
      <c r="G4927" s="82"/>
      <c r="H4927" s="96">
        <f t="shared" si="304"/>
        <v>158.66999999999999</v>
      </c>
      <c r="I4927" s="96">
        <f t="shared" si="304"/>
        <v>159.9</v>
      </c>
      <c r="J4927" s="91" t="str">
        <f t="shared" si="305"/>
        <v>Sinapi 104169</v>
      </c>
      <c r="K4927" s="91" t="str">
        <f t="shared" si="306"/>
        <v>UN</v>
      </c>
      <c r="L4927" s="166" t="str">
        <f t="shared" si="307"/>
        <v>06/2022</v>
      </c>
      <c r="M4927" s="82"/>
      <c r="N4927" s="82"/>
    </row>
    <row r="4928" spans="1:14" x14ac:dyDescent="0.25">
      <c r="A4928" s="170" t="s">
        <v>17023</v>
      </c>
      <c r="B4928" s="170" t="s">
        <v>17024</v>
      </c>
      <c r="C4928" s="170" t="s">
        <v>205</v>
      </c>
      <c r="D4928" s="170" t="s">
        <v>2067</v>
      </c>
      <c r="E4928" s="171" t="s">
        <v>33901</v>
      </c>
      <c r="F4928" s="171" t="s">
        <v>37063</v>
      </c>
      <c r="G4928" s="82"/>
      <c r="H4928" s="96">
        <f t="shared" si="304"/>
        <v>76.16</v>
      </c>
      <c r="I4928" s="96">
        <f t="shared" si="304"/>
        <v>76.98</v>
      </c>
      <c r="J4928" s="91" t="str">
        <f t="shared" si="305"/>
        <v>Sinapi 104170</v>
      </c>
      <c r="K4928" s="91" t="str">
        <f t="shared" si="306"/>
        <v>UN</v>
      </c>
      <c r="L4928" s="166" t="str">
        <f t="shared" si="307"/>
        <v>06/2022</v>
      </c>
      <c r="M4928" s="82"/>
      <c r="N4928" s="82"/>
    </row>
    <row r="4929" spans="1:14" x14ac:dyDescent="0.25">
      <c r="A4929" s="170" t="s">
        <v>17025</v>
      </c>
      <c r="B4929" s="170" t="s">
        <v>17026</v>
      </c>
      <c r="C4929" s="170" t="s">
        <v>205</v>
      </c>
      <c r="D4929" s="170" t="s">
        <v>2067</v>
      </c>
      <c r="E4929" s="171" t="s">
        <v>28610</v>
      </c>
      <c r="F4929" s="171" t="s">
        <v>37064</v>
      </c>
      <c r="G4929" s="82"/>
      <c r="H4929" s="96">
        <f t="shared" si="304"/>
        <v>97.75</v>
      </c>
      <c r="I4929" s="96">
        <f t="shared" si="304"/>
        <v>98.57</v>
      </c>
      <c r="J4929" s="91" t="str">
        <f t="shared" si="305"/>
        <v>Sinapi 104171</v>
      </c>
      <c r="K4929" s="91" t="str">
        <f t="shared" si="306"/>
        <v>UN</v>
      </c>
      <c r="L4929" s="166" t="str">
        <f t="shared" si="307"/>
        <v>06/2022</v>
      </c>
      <c r="M4929" s="82"/>
      <c r="N4929" s="82"/>
    </row>
    <row r="4930" spans="1:14" x14ac:dyDescent="0.25">
      <c r="A4930" s="170" t="s">
        <v>17027</v>
      </c>
      <c r="B4930" s="170" t="s">
        <v>17028</v>
      </c>
      <c r="C4930" s="170" t="s">
        <v>205</v>
      </c>
      <c r="D4930" s="170" t="s">
        <v>2067</v>
      </c>
      <c r="E4930" s="171" t="s">
        <v>33902</v>
      </c>
      <c r="F4930" s="171" t="s">
        <v>37065</v>
      </c>
      <c r="G4930" s="82"/>
      <c r="H4930" s="96">
        <f t="shared" si="304"/>
        <v>283.88</v>
      </c>
      <c r="I4930" s="96">
        <f t="shared" si="304"/>
        <v>284.7</v>
      </c>
      <c r="J4930" s="91" t="str">
        <f t="shared" si="305"/>
        <v>Sinapi 104172</v>
      </c>
      <c r="K4930" s="91" t="str">
        <f t="shared" si="306"/>
        <v>UN</v>
      </c>
      <c r="L4930" s="166" t="str">
        <f t="shared" si="307"/>
        <v>06/2022</v>
      </c>
      <c r="M4930" s="82"/>
      <c r="N4930" s="82"/>
    </row>
    <row r="4931" spans="1:14" x14ac:dyDescent="0.25">
      <c r="A4931" s="170" t="s">
        <v>17029</v>
      </c>
      <c r="B4931" s="170" t="s">
        <v>17030</v>
      </c>
      <c r="C4931" s="170" t="s">
        <v>205</v>
      </c>
      <c r="D4931" s="170" t="s">
        <v>2067</v>
      </c>
      <c r="E4931" s="171" t="s">
        <v>33903</v>
      </c>
      <c r="F4931" s="171" t="s">
        <v>37066</v>
      </c>
      <c r="G4931" s="82"/>
      <c r="H4931" s="96">
        <f t="shared" si="304"/>
        <v>92.4</v>
      </c>
      <c r="I4931" s="96">
        <f t="shared" si="304"/>
        <v>93.12</v>
      </c>
      <c r="J4931" s="91" t="str">
        <f t="shared" si="305"/>
        <v>Sinapi 104173</v>
      </c>
      <c r="K4931" s="91" t="str">
        <f t="shared" si="306"/>
        <v>UN</v>
      </c>
      <c r="L4931" s="166" t="str">
        <f t="shared" si="307"/>
        <v>06/2022</v>
      </c>
      <c r="M4931" s="82"/>
      <c r="N4931" s="82"/>
    </row>
    <row r="4932" spans="1:14" x14ac:dyDescent="0.25">
      <c r="A4932" s="170" t="s">
        <v>17031</v>
      </c>
      <c r="B4932" s="170" t="s">
        <v>17032</v>
      </c>
      <c r="C4932" s="170" t="s">
        <v>205</v>
      </c>
      <c r="D4932" s="170" t="s">
        <v>2067</v>
      </c>
      <c r="E4932" s="171" t="s">
        <v>33904</v>
      </c>
      <c r="F4932" s="171" t="s">
        <v>37067</v>
      </c>
      <c r="G4932" s="82"/>
      <c r="H4932" s="96">
        <f t="shared" si="304"/>
        <v>201.11</v>
      </c>
      <c r="I4932" s="96">
        <f t="shared" si="304"/>
        <v>202.61</v>
      </c>
      <c r="J4932" s="91" t="str">
        <f t="shared" si="305"/>
        <v>Sinapi 104174</v>
      </c>
      <c r="K4932" s="91" t="str">
        <f t="shared" si="306"/>
        <v>UN</v>
      </c>
      <c r="L4932" s="166" t="str">
        <f t="shared" si="307"/>
        <v>06/2022</v>
      </c>
      <c r="M4932" s="82"/>
      <c r="N4932" s="82"/>
    </row>
    <row r="4933" spans="1:14" x14ac:dyDescent="0.25">
      <c r="A4933" s="170" t="s">
        <v>17033</v>
      </c>
      <c r="B4933" s="170" t="s">
        <v>17034</v>
      </c>
      <c r="C4933" s="170" t="s">
        <v>205</v>
      </c>
      <c r="D4933" s="170" t="s">
        <v>2067</v>
      </c>
      <c r="E4933" s="171" t="s">
        <v>33905</v>
      </c>
      <c r="F4933" s="171" t="s">
        <v>33804</v>
      </c>
      <c r="G4933" s="82"/>
      <c r="H4933" s="96">
        <f t="shared" si="304"/>
        <v>153.69999999999999</v>
      </c>
      <c r="I4933" s="96">
        <f t="shared" si="304"/>
        <v>155.19999999999999</v>
      </c>
      <c r="J4933" s="91" t="str">
        <f t="shared" si="305"/>
        <v>Sinapi 104175</v>
      </c>
      <c r="K4933" s="91" t="str">
        <f t="shared" si="306"/>
        <v>UN</v>
      </c>
      <c r="L4933" s="166" t="str">
        <f t="shared" si="307"/>
        <v>06/2022</v>
      </c>
      <c r="M4933" s="82"/>
      <c r="N4933" s="82"/>
    </row>
    <row r="4934" spans="1:14" x14ac:dyDescent="0.25">
      <c r="A4934" s="170" t="s">
        <v>17035</v>
      </c>
      <c r="B4934" s="170" t="s">
        <v>17036</v>
      </c>
      <c r="C4934" s="170" t="s">
        <v>205</v>
      </c>
      <c r="D4934" s="170" t="s">
        <v>2067</v>
      </c>
      <c r="E4934" s="171" t="s">
        <v>33906</v>
      </c>
      <c r="F4934" s="171" t="s">
        <v>37068</v>
      </c>
      <c r="G4934" s="82"/>
      <c r="H4934" s="96">
        <f t="shared" si="304"/>
        <v>266.95999999999998</v>
      </c>
      <c r="I4934" s="96">
        <f t="shared" si="304"/>
        <v>268.60000000000002</v>
      </c>
      <c r="J4934" s="91" t="str">
        <f t="shared" si="305"/>
        <v>Sinapi 104176</v>
      </c>
      <c r="K4934" s="91" t="str">
        <f t="shared" si="306"/>
        <v>UN</v>
      </c>
      <c r="L4934" s="166" t="str">
        <f t="shared" si="307"/>
        <v>06/2022</v>
      </c>
      <c r="M4934" s="82"/>
      <c r="N4934" s="82"/>
    </row>
    <row r="4935" spans="1:14" x14ac:dyDescent="0.25">
      <c r="A4935" s="170" t="s">
        <v>17037</v>
      </c>
      <c r="B4935" s="170" t="s">
        <v>17038</v>
      </c>
      <c r="C4935" s="170" t="s">
        <v>205</v>
      </c>
      <c r="D4935" s="170" t="s">
        <v>2067</v>
      </c>
      <c r="E4935" s="171" t="s">
        <v>33907</v>
      </c>
      <c r="F4935" s="171" t="s">
        <v>37069</v>
      </c>
      <c r="G4935" s="82"/>
      <c r="H4935" s="96">
        <f t="shared" si="304"/>
        <v>199.7</v>
      </c>
      <c r="I4935" s="96">
        <f t="shared" si="304"/>
        <v>201.34</v>
      </c>
      <c r="J4935" s="91" t="str">
        <f t="shared" si="305"/>
        <v>Sinapi 104177</v>
      </c>
      <c r="K4935" s="91" t="str">
        <f t="shared" si="306"/>
        <v>UN</v>
      </c>
      <c r="L4935" s="166" t="str">
        <f t="shared" si="307"/>
        <v>06/2022</v>
      </c>
      <c r="M4935" s="82"/>
      <c r="N4935" s="82"/>
    </row>
    <row r="4936" spans="1:14" x14ac:dyDescent="0.25">
      <c r="A4936" s="170" t="s">
        <v>17039</v>
      </c>
      <c r="B4936" s="170" t="s">
        <v>17040</v>
      </c>
      <c r="C4936" s="170" t="s">
        <v>205</v>
      </c>
      <c r="D4936" s="170" t="s">
        <v>2067</v>
      </c>
      <c r="E4936" s="171" t="s">
        <v>13756</v>
      </c>
      <c r="F4936" s="171" t="s">
        <v>15641</v>
      </c>
      <c r="G4936" s="82"/>
      <c r="H4936" s="96">
        <f t="shared" ref="H4936:I4999" si="308">IF(E4936="","",E4936+0)</f>
        <v>23.25</v>
      </c>
      <c r="I4936" s="96">
        <f t="shared" si="308"/>
        <v>23.55</v>
      </c>
      <c r="J4936" s="91" t="str">
        <f t="shared" ref="J4936:J4999" si="309">IF(OR(H4936="",I4936=""),"",TRIM(CONCATENATE("Sinapi ",A4936)))</f>
        <v>Sinapi 104178</v>
      </c>
      <c r="K4936" s="91" t="str">
        <f t="shared" ref="K4936:K4999" si="310">TRIM(C4936)</f>
        <v>UN</v>
      </c>
      <c r="L4936" s="166" t="str">
        <f t="shared" ref="L4936:L4999" si="311">IF(OR(RIGHT(IF(AND(K4936&lt;&gt;"H",K4936&lt;&gt;"MES"),RIGHT(B4936,7),""),2)="PS",RIGHT(IF(AND(K4936&lt;&gt;"H",K4936&lt;&gt;"MES"),RIGHT(B4936,7),""),2)="PA",RIGHT(IF(AND(K4936&lt;&gt;"H",K4936&lt;&gt;"MES"),RIGHT(B4936,7),""),2)="PE"),LEFT(IF(AND(K4936&lt;&gt;"H",K4936&lt;&gt;"MES"),RIGHT(B4936,10),""),7),IF(AND(K4936&lt;&gt;"H",K4936&lt;&gt;"MES"),RIGHT(B4936,7),""))</f>
        <v>06/2022</v>
      </c>
      <c r="M4936" s="82"/>
      <c r="N4936" s="82"/>
    </row>
    <row r="4937" spans="1:14" x14ac:dyDescent="0.25">
      <c r="A4937" s="170" t="s">
        <v>17041</v>
      </c>
      <c r="B4937" s="170" t="s">
        <v>17042</v>
      </c>
      <c r="C4937" s="170" t="s">
        <v>205</v>
      </c>
      <c r="D4937" s="170" t="s">
        <v>2067</v>
      </c>
      <c r="E4937" s="171" t="s">
        <v>33908</v>
      </c>
      <c r="F4937" s="171" t="s">
        <v>33045</v>
      </c>
      <c r="G4937" s="82"/>
      <c r="H4937" s="96">
        <f t="shared" si="308"/>
        <v>88.91</v>
      </c>
      <c r="I4937" s="96">
        <f t="shared" si="308"/>
        <v>89.32</v>
      </c>
      <c r="J4937" s="91" t="str">
        <f t="shared" si="309"/>
        <v>Sinapi 104179</v>
      </c>
      <c r="K4937" s="91" t="str">
        <f t="shared" si="310"/>
        <v>UN</v>
      </c>
      <c r="L4937" s="166" t="str">
        <f t="shared" si="311"/>
        <v>06/2022</v>
      </c>
      <c r="M4937" s="82"/>
      <c r="N4937" s="82"/>
    </row>
    <row r="4938" spans="1:14" x14ac:dyDescent="0.25">
      <c r="A4938" s="170" t="s">
        <v>17626</v>
      </c>
      <c r="B4938" s="170" t="s">
        <v>17627</v>
      </c>
      <c r="C4938" s="170" t="s">
        <v>205</v>
      </c>
      <c r="D4938" s="170" t="s">
        <v>1947</v>
      </c>
      <c r="E4938" s="171" t="s">
        <v>3766</v>
      </c>
      <c r="F4938" s="171" t="s">
        <v>18542</v>
      </c>
      <c r="G4938" s="82"/>
      <c r="H4938" s="96">
        <f t="shared" si="308"/>
        <v>8.8800000000000008</v>
      </c>
      <c r="I4938" s="96">
        <f t="shared" si="308"/>
        <v>9.4600000000000009</v>
      </c>
      <c r="J4938" s="91" t="str">
        <f t="shared" si="309"/>
        <v>Sinapi 104191</v>
      </c>
      <c r="K4938" s="91" t="str">
        <f t="shared" si="310"/>
        <v>UN</v>
      </c>
      <c r="L4938" s="166" t="str">
        <f t="shared" si="311"/>
        <v>08/2022</v>
      </c>
      <c r="M4938" s="82"/>
      <c r="N4938" s="82"/>
    </row>
    <row r="4939" spans="1:14" x14ac:dyDescent="0.25">
      <c r="A4939" s="170" t="s">
        <v>17628</v>
      </c>
      <c r="B4939" s="170" t="s">
        <v>17629</v>
      </c>
      <c r="C4939" s="170" t="s">
        <v>205</v>
      </c>
      <c r="D4939" s="170" t="s">
        <v>1947</v>
      </c>
      <c r="E4939" s="171" t="s">
        <v>30924</v>
      </c>
      <c r="F4939" s="171" t="s">
        <v>18568</v>
      </c>
      <c r="G4939" s="82"/>
      <c r="H4939" s="96">
        <f t="shared" si="308"/>
        <v>25.22</v>
      </c>
      <c r="I4939" s="96">
        <f t="shared" si="308"/>
        <v>26.39</v>
      </c>
      <c r="J4939" s="91" t="str">
        <f t="shared" si="309"/>
        <v>Sinapi 104192</v>
      </c>
      <c r="K4939" s="91" t="str">
        <f t="shared" si="310"/>
        <v>UN</v>
      </c>
      <c r="L4939" s="166" t="str">
        <f t="shared" si="311"/>
        <v>08/2022</v>
      </c>
      <c r="M4939" s="82"/>
      <c r="N4939" s="82"/>
    </row>
    <row r="4940" spans="1:14" x14ac:dyDescent="0.25">
      <c r="A4940" s="170" t="s">
        <v>17630</v>
      </c>
      <c r="B4940" s="170" t="s">
        <v>17631</v>
      </c>
      <c r="C4940" s="170" t="s">
        <v>205</v>
      </c>
      <c r="D4940" s="170" t="s">
        <v>1947</v>
      </c>
      <c r="E4940" s="171" t="s">
        <v>33909</v>
      </c>
      <c r="F4940" s="171" t="s">
        <v>37070</v>
      </c>
      <c r="G4940" s="82"/>
      <c r="H4940" s="96">
        <f t="shared" si="308"/>
        <v>150.06</v>
      </c>
      <c r="I4940" s="96">
        <f t="shared" si="308"/>
        <v>152.54</v>
      </c>
      <c r="J4940" s="91" t="str">
        <f t="shared" si="309"/>
        <v>Sinapi 104193</v>
      </c>
      <c r="K4940" s="91" t="str">
        <f t="shared" si="310"/>
        <v>UN</v>
      </c>
      <c r="L4940" s="166" t="str">
        <f t="shared" si="311"/>
        <v>08/2022</v>
      </c>
      <c r="M4940" s="82"/>
      <c r="N4940" s="82"/>
    </row>
    <row r="4941" spans="1:14" x14ac:dyDescent="0.25">
      <c r="A4941" s="170" t="s">
        <v>17632</v>
      </c>
      <c r="B4941" s="170" t="s">
        <v>17633</v>
      </c>
      <c r="C4941" s="170" t="s">
        <v>205</v>
      </c>
      <c r="D4941" s="170" t="s">
        <v>1947</v>
      </c>
      <c r="E4941" s="171" t="s">
        <v>21193</v>
      </c>
      <c r="F4941" s="171" t="s">
        <v>19328</v>
      </c>
      <c r="G4941" s="82"/>
      <c r="H4941" s="96">
        <f t="shared" si="308"/>
        <v>14.01</v>
      </c>
      <c r="I4941" s="96">
        <f t="shared" si="308"/>
        <v>14.52</v>
      </c>
      <c r="J4941" s="91" t="str">
        <f t="shared" si="309"/>
        <v>Sinapi 104196</v>
      </c>
      <c r="K4941" s="91" t="str">
        <f t="shared" si="310"/>
        <v>UN</v>
      </c>
      <c r="L4941" s="166" t="str">
        <f t="shared" si="311"/>
        <v>08/2022</v>
      </c>
      <c r="M4941" s="82"/>
      <c r="N4941" s="82"/>
    </row>
    <row r="4942" spans="1:14" x14ac:dyDescent="0.25">
      <c r="A4942" s="170" t="s">
        <v>17634</v>
      </c>
      <c r="B4942" s="170" t="s">
        <v>17635</v>
      </c>
      <c r="C4942" s="170" t="s">
        <v>205</v>
      </c>
      <c r="D4942" s="170" t="s">
        <v>1947</v>
      </c>
      <c r="E4942" s="171" t="s">
        <v>29189</v>
      </c>
      <c r="F4942" s="171" t="s">
        <v>15774</v>
      </c>
      <c r="G4942" s="82"/>
      <c r="H4942" s="96">
        <f t="shared" si="308"/>
        <v>26.06</v>
      </c>
      <c r="I4942" s="96">
        <f t="shared" si="308"/>
        <v>27.3</v>
      </c>
      <c r="J4942" s="91" t="str">
        <f t="shared" si="309"/>
        <v>Sinapi 104197</v>
      </c>
      <c r="K4942" s="91" t="str">
        <f t="shared" si="310"/>
        <v>UN</v>
      </c>
      <c r="L4942" s="166" t="str">
        <f t="shared" si="311"/>
        <v>08/2022</v>
      </c>
      <c r="M4942" s="82"/>
      <c r="N4942" s="82"/>
    </row>
    <row r="4943" spans="1:14" x14ac:dyDescent="0.25">
      <c r="A4943" s="170" t="s">
        <v>17636</v>
      </c>
      <c r="B4943" s="170" t="s">
        <v>17637</v>
      </c>
      <c r="C4943" s="170" t="s">
        <v>205</v>
      </c>
      <c r="D4943" s="170" t="s">
        <v>1947</v>
      </c>
      <c r="E4943" s="171" t="s">
        <v>15526</v>
      </c>
      <c r="F4943" s="171" t="s">
        <v>22714</v>
      </c>
      <c r="G4943" s="82"/>
      <c r="H4943" s="96">
        <f t="shared" si="308"/>
        <v>6.51</v>
      </c>
      <c r="I4943" s="96">
        <f t="shared" si="308"/>
        <v>7.02</v>
      </c>
      <c r="J4943" s="91" t="str">
        <f t="shared" si="309"/>
        <v>Sinapi 104198</v>
      </c>
      <c r="K4943" s="91" t="str">
        <f t="shared" si="310"/>
        <v>UN</v>
      </c>
      <c r="L4943" s="166" t="str">
        <f t="shared" si="311"/>
        <v>08/2022</v>
      </c>
      <c r="M4943" s="82"/>
      <c r="N4943" s="82"/>
    </row>
    <row r="4944" spans="1:14" x14ac:dyDescent="0.25">
      <c r="A4944" s="170" t="s">
        <v>17638</v>
      </c>
      <c r="B4944" s="170" t="s">
        <v>17639</v>
      </c>
      <c r="C4944" s="170" t="s">
        <v>205</v>
      </c>
      <c r="D4944" s="170" t="s">
        <v>1947</v>
      </c>
      <c r="E4944" s="171" t="s">
        <v>5582</v>
      </c>
      <c r="F4944" s="171" t="s">
        <v>15562</v>
      </c>
      <c r="G4944" s="82"/>
      <c r="H4944" s="96">
        <f t="shared" si="308"/>
        <v>6.29</v>
      </c>
      <c r="I4944" s="96">
        <f t="shared" si="308"/>
        <v>6.8</v>
      </c>
      <c r="J4944" s="91" t="str">
        <f t="shared" si="309"/>
        <v>Sinapi 104199</v>
      </c>
      <c r="K4944" s="91" t="str">
        <f t="shared" si="310"/>
        <v>UN</v>
      </c>
      <c r="L4944" s="166" t="str">
        <f t="shared" si="311"/>
        <v>08/2022</v>
      </c>
      <c r="M4944" s="82"/>
      <c r="N4944" s="82"/>
    </row>
    <row r="4945" spans="1:14" x14ac:dyDescent="0.25">
      <c r="A4945" s="170" t="s">
        <v>17640</v>
      </c>
      <c r="B4945" s="170" t="s">
        <v>17641</v>
      </c>
      <c r="C4945" s="170" t="s">
        <v>205</v>
      </c>
      <c r="D4945" s="170" t="s">
        <v>1947</v>
      </c>
      <c r="E4945" s="171" t="s">
        <v>15515</v>
      </c>
      <c r="F4945" s="171" t="s">
        <v>13584</v>
      </c>
      <c r="G4945" s="82"/>
      <c r="H4945" s="96">
        <f t="shared" si="308"/>
        <v>5.22</v>
      </c>
      <c r="I4945" s="96">
        <f t="shared" si="308"/>
        <v>5.56</v>
      </c>
      <c r="J4945" s="91" t="str">
        <f t="shared" si="309"/>
        <v>Sinapi 104200</v>
      </c>
      <c r="K4945" s="91" t="str">
        <f t="shared" si="310"/>
        <v>UN</v>
      </c>
      <c r="L4945" s="166" t="str">
        <f t="shared" si="311"/>
        <v>08/2022</v>
      </c>
      <c r="M4945" s="82"/>
      <c r="N4945" s="82"/>
    </row>
    <row r="4946" spans="1:14" x14ac:dyDescent="0.25">
      <c r="A4946" s="170" t="s">
        <v>17642</v>
      </c>
      <c r="B4946" s="170" t="s">
        <v>17643</v>
      </c>
      <c r="C4946" s="170" t="s">
        <v>205</v>
      </c>
      <c r="D4946" s="170" t="s">
        <v>1947</v>
      </c>
      <c r="E4946" s="171" t="s">
        <v>17381</v>
      </c>
      <c r="F4946" s="171" t="s">
        <v>21600</v>
      </c>
      <c r="G4946" s="82"/>
      <c r="H4946" s="96">
        <f t="shared" si="308"/>
        <v>17.239999999999998</v>
      </c>
      <c r="I4946" s="96">
        <f t="shared" si="308"/>
        <v>17.920000000000002</v>
      </c>
      <c r="J4946" s="91" t="str">
        <f t="shared" si="309"/>
        <v>Sinapi 104201</v>
      </c>
      <c r="K4946" s="91" t="str">
        <f t="shared" si="310"/>
        <v>UN</v>
      </c>
      <c r="L4946" s="166" t="str">
        <f t="shared" si="311"/>
        <v>08/2022</v>
      </c>
      <c r="M4946" s="82"/>
      <c r="N4946" s="82"/>
    </row>
    <row r="4947" spans="1:14" x14ac:dyDescent="0.25">
      <c r="A4947" s="170" t="s">
        <v>17644</v>
      </c>
      <c r="B4947" s="170" t="s">
        <v>17645</v>
      </c>
      <c r="C4947" s="170" t="s">
        <v>205</v>
      </c>
      <c r="D4947" s="170" t="s">
        <v>1947</v>
      </c>
      <c r="E4947" s="171" t="s">
        <v>17135</v>
      </c>
      <c r="F4947" s="171" t="s">
        <v>17144</v>
      </c>
      <c r="G4947" s="82"/>
      <c r="H4947" s="96">
        <f t="shared" si="308"/>
        <v>9.4</v>
      </c>
      <c r="I4947" s="96">
        <f t="shared" si="308"/>
        <v>10.08</v>
      </c>
      <c r="J4947" s="91" t="str">
        <f t="shared" si="309"/>
        <v>Sinapi 104202</v>
      </c>
      <c r="K4947" s="91" t="str">
        <f t="shared" si="310"/>
        <v>UN</v>
      </c>
      <c r="L4947" s="166" t="str">
        <f t="shared" si="311"/>
        <v>08/2022</v>
      </c>
      <c r="M4947" s="82"/>
      <c r="N4947" s="82"/>
    </row>
    <row r="4948" spans="1:14" x14ac:dyDescent="0.25">
      <c r="A4948" s="170" t="s">
        <v>17646</v>
      </c>
      <c r="B4948" s="170" t="s">
        <v>17647</v>
      </c>
      <c r="C4948" s="170" t="s">
        <v>205</v>
      </c>
      <c r="D4948" s="170" t="s">
        <v>2067</v>
      </c>
      <c r="E4948" s="171" t="s">
        <v>18544</v>
      </c>
      <c r="F4948" s="171" t="s">
        <v>19404</v>
      </c>
      <c r="G4948" s="82"/>
      <c r="H4948" s="96">
        <f t="shared" si="308"/>
        <v>6</v>
      </c>
      <c r="I4948" s="96">
        <f t="shared" si="308"/>
        <v>6.49</v>
      </c>
      <c r="J4948" s="91" t="str">
        <f t="shared" si="309"/>
        <v>Sinapi 104317</v>
      </c>
      <c r="K4948" s="91" t="str">
        <f t="shared" si="310"/>
        <v>UN</v>
      </c>
      <c r="L4948" s="166" t="str">
        <f t="shared" si="311"/>
        <v>08/2022</v>
      </c>
      <c r="M4948" s="82"/>
      <c r="N4948" s="82"/>
    </row>
    <row r="4949" spans="1:14" x14ac:dyDescent="0.25">
      <c r="A4949" s="170" t="s">
        <v>17648</v>
      </c>
      <c r="B4949" s="170" t="s">
        <v>17649</v>
      </c>
      <c r="C4949" s="170" t="s">
        <v>205</v>
      </c>
      <c r="D4949" s="170" t="s">
        <v>2067</v>
      </c>
      <c r="E4949" s="171" t="s">
        <v>16362</v>
      </c>
      <c r="F4949" s="171" t="s">
        <v>19412</v>
      </c>
      <c r="G4949" s="82"/>
      <c r="H4949" s="96">
        <f t="shared" si="308"/>
        <v>6.63</v>
      </c>
      <c r="I4949" s="96">
        <f t="shared" si="308"/>
        <v>7.12</v>
      </c>
      <c r="J4949" s="91" t="str">
        <f t="shared" si="309"/>
        <v>Sinapi 104318</v>
      </c>
      <c r="K4949" s="91" t="str">
        <f t="shared" si="310"/>
        <v>UN</v>
      </c>
      <c r="L4949" s="166" t="str">
        <f t="shared" si="311"/>
        <v>08/2022</v>
      </c>
      <c r="M4949" s="82"/>
      <c r="N4949" s="82"/>
    </row>
    <row r="4950" spans="1:14" x14ac:dyDescent="0.25">
      <c r="A4950" s="170" t="s">
        <v>17650</v>
      </c>
      <c r="B4950" s="170" t="s">
        <v>17651</v>
      </c>
      <c r="C4950" s="170" t="s">
        <v>205</v>
      </c>
      <c r="D4950" s="170" t="s">
        <v>2067</v>
      </c>
      <c r="E4950" s="171" t="s">
        <v>23314</v>
      </c>
      <c r="F4950" s="171" t="s">
        <v>16345</v>
      </c>
      <c r="G4950" s="82"/>
      <c r="H4950" s="96">
        <f t="shared" si="308"/>
        <v>9.39</v>
      </c>
      <c r="I4950" s="96">
        <f t="shared" si="308"/>
        <v>9.9499999999999993</v>
      </c>
      <c r="J4950" s="91" t="str">
        <f t="shared" si="309"/>
        <v>Sinapi 104319</v>
      </c>
      <c r="K4950" s="91" t="str">
        <f t="shared" si="310"/>
        <v>UN</v>
      </c>
      <c r="L4950" s="166" t="str">
        <f t="shared" si="311"/>
        <v>08/2022</v>
      </c>
      <c r="M4950" s="82"/>
      <c r="N4950" s="82"/>
    </row>
    <row r="4951" spans="1:14" x14ac:dyDescent="0.25">
      <c r="A4951" s="170" t="s">
        <v>17652</v>
      </c>
      <c r="B4951" s="170" t="s">
        <v>17653</v>
      </c>
      <c r="C4951" s="170" t="s">
        <v>205</v>
      </c>
      <c r="D4951" s="170" t="s">
        <v>2067</v>
      </c>
      <c r="E4951" s="171" t="s">
        <v>33910</v>
      </c>
      <c r="F4951" s="171" t="s">
        <v>15564</v>
      </c>
      <c r="G4951" s="82"/>
      <c r="H4951" s="96">
        <f t="shared" si="308"/>
        <v>11.41</v>
      </c>
      <c r="I4951" s="96">
        <f t="shared" si="308"/>
        <v>11.97</v>
      </c>
      <c r="J4951" s="91" t="str">
        <f t="shared" si="309"/>
        <v>Sinapi 104320</v>
      </c>
      <c r="K4951" s="91" t="str">
        <f t="shared" si="310"/>
        <v>UN</v>
      </c>
      <c r="L4951" s="166" t="str">
        <f t="shared" si="311"/>
        <v>08/2022</v>
      </c>
      <c r="M4951" s="82"/>
      <c r="N4951" s="82"/>
    </row>
    <row r="4952" spans="1:14" x14ac:dyDescent="0.25">
      <c r="A4952" s="170" t="s">
        <v>17654</v>
      </c>
      <c r="B4952" s="170" t="s">
        <v>17655</v>
      </c>
      <c r="C4952" s="170" t="s">
        <v>205</v>
      </c>
      <c r="D4952" s="170" t="s">
        <v>2067</v>
      </c>
      <c r="E4952" s="171" t="s">
        <v>13655</v>
      </c>
      <c r="F4952" s="171" t="s">
        <v>19281</v>
      </c>
      <c r="G4952" s="82"/>
      <c r="H4952" s="96">
        <f t="shared" si="308"/>
        <v>4.76</v>
      </c>
      <c r="I4952" s="96">
        <f t="shared" si="308"/>
        <v>5.09</v>
      </c>
      <c r="J4952" s="91" t="str">
        <f t="shared" si="309"/>
        <v>Sinapi 104321</v>
      </c>
      <c r="K4952" s="91" t="str">
        <f t="shared" si="310"/>
        <v>UN</v>
      </c>
      <c r="L4952" s="166" t="str">
        <f t="shared" si="311"/>
        <v>08/2022</v>
      </c>
      <c r="M4952" s="82"/>
      <c r="N4952" s="82"/>
    </row>
    <row r="4953" spans="1:14" x14ac:dyDescent="0.25">
      <c r="A4953" s="170" t="s">
        <v>17656</v>
      </c>
      <c r="B4953" s="170" t="s">
        <v>17657</v>
      </c>
      <c r="C4953" s="170" t="s">
        <v>205</v>
      </c>
      <c r="D4953" s="170" t="s">
        <v>2067</v>
      </c>
      <c r="E4953" s="171" t="s">
        <v>15576</v>
      </c>
      <c r="F4953" s="171" t="s">
        <v>10410</v>
      </c>
      <c r="G4953" s="82"/>
      <c r="H4953" s="96">
        <f t="shared" si="308"/>
        <v>7.27</v>
      </c>
      <c r="I4953" s="96">
        <f t="shared" si="308"/>
        <v>7.64</v>
      </c>
      <c r="J4953" s="91" t="str">
        <f t="shared" si="309"/>
        <v>Sinapi 104322</v>
      </c>
      <c r="K4953" s="91" t="str">
        <f t="shared" si="310"/>
        <v>UN</v>
      </c>
      <c r="L4953" s="166" t="str">
        <f t="shared" si="311"/>
        <v>08/2022</v>
      </c>
      <c r="M4953" s="82"/>
      <c r="N4953" s="82"/>
    </row>
    <row r="4954" spans="1:14" x14ac:dyDescent="0.25">
      <c r="A4954" s="170" t="s">
        <v>17658</v>
      </c>
      <c r="B4954" s="170" t="s">
        <v>17659</v>
      </c>
      <c r="C4954" s="170" t="s">
        <v>205</v>
      </c>
      <c r="D4954" s="170" t="s">
        <v>2067</v>
      </c>
      <c r="E4954" s="171" t="s">
        <v>17384</v>
      </c>
      <c r="F4954" s="171" t="s">
        <v>23273</v>
      </c>
      <c r="G4954" s="82"/>
      <c r="H4954" s="96">
        <f t="shared" si="308"/>
        <v>8.48</v>
      </c>
      <c r="I4954" s="96">
        <f t="shared" si="308"/>
        <v>9.1300000000000008</v>
      </c>
      <c r="J4954" s="91" t="str">
        <f t="shared" si="309"/>
        <v>Sinapi 104323</v>
      </c>
      <c r="K4954" s="91" t="str">
        <f t="shared" si="310"/>
        <v>UN</v>
      </c>
      <c r="L4954" s="166" t="str">
        <f t="shared" si="311"/>
        <v>08/2022</v>
      </c>
      <c r="M4954" s="82"/>
      <c r="N4954" s="82"/>
    </row>
    <row r="4955" spans="1:14" x14ac:dyDescent="0.25">
      <c r="A4955" s="170" t="s">
        <v>17660</v>
      </c>
      <c r="B4955" s="170" t="s">
        <v>17661</v>
      </c>
      <c r="C4955" s="170" t="s">
        <v>205</v>
      </c>
      <c r="D4955" s="170" t="s">
        <v>2067</v>
      </c>
      <c r="E4955" s="171" t="s">
        <v>15547</v>
      </c>
      <c r="F4955" s="171" t="s">
        <v>28935</v>
      </c>
      <c r="G4955" s="82"/>
      <c r="H4955" s="96">
        <f t="shared" si="308"/>
        <v>13.45</v>
      </c>
      <c r="I4955" s="96">
        <f t="shared" si="308"/>
        <v>14.19</v>
      </c>
      <c r="J4955" s="91" t="str">
        <f t="shared" si="309"/>
        <v>Sinapi 104324</v>
      </c>
      <c r="K4955" s="91" t="str">
        <f t="shared" si="310"/>
        <v>UN</v>
      </c>
      <c r="L4955" s="166" t="str">
        <f t="shared" si="311"/>
        <v>08/2022</v>
      </c>
      <c r="M4955" s="82"/>
      <c r="N4955" s="82"/>
    </row>
    <row r="4956" spans="1:14" x14ac:dyDescent="0.25">
      <c r="A4956" s="170" t="s">
        <v>17662</v>
      </c>
      <c r="B4956" s="170" t="s">
        <v>17663</v>
      </c>
      <c r="C4956" s="170" t="s">
        <v>205</v>
      </c>
      <c r="D4956" s="170" t="s">
        <v>2067</v>
      </c>
      <c r="E4956" s="171" t="s">
        <v>17562</v>
      </c>
      <c r="F4956" s="171" t="s">
        <v>11614</v>
      </c>
      <c r="G4956" s="82"/>
      <c r="H4956" s="96">
        <f t="shared" si="308"/>
        <v>11.34</v>
      </c>
      <c r="I4956" s="96">
        <f t="shared" si="308"/>
        <v>11.76</v>
      </c>
      <c r="J4956" s="91" t="str">
        <f t="shared" si="309"/>
        <v>Sinapi 104341</v>
      </c>
      <c r="K4956" s="91" t="str">
        <f t="shared" si="310"/>
        <v>UN</v>
      </c>
      <c r="L4956" s="166" t="str">
        <f t="shared" si="311"/>
        <v>08/2022</v>
      </c>
      <c r="M4956" s="82"/>
      <c r="N4956" s="82"/>
    </row>
    <row r="4957" spans="1:14" x14ac:dyDescent="0.25">
      <c r="A4957" s="170" t="s">
        <v>17664</v>
      </c>
      <c r="B4957" s="170" t="s">
        <v>17665</v>
      </c>
      <c r="C4957" s="170" t="s">
        <v>205</v>
      </c>
      <c r="D4957" s="170" t="s">
        <v>2067</v>
      </c>
      <c r="E4957" s="171" t="s">
        <v>23303</v>
      </c>
      <c r="F4957" s="171" t="s">
        <v>19373</v>
      </c>
      <c r="G4957" s="82"/>
      <c r="H4957" s="96">
        <f t="shared" si="308"/>
        <v>36.49</v>
      </c>
      <c r="I4957" s="96">
        <f t="shared" si="308"/>
        <v>37.479999999999997</v>
      </c>
      <c r="J4957" s="91" t="str">
        <f t="shared" si="309"/>
        <v>Sinapi 104343</v>
      </c>
      <c r="K4957" s="91" t="str">
        <f t="shared" si="310"/>
        <v>UN</v>
      </c>
      <c r="L4957" s="166" t="str">
        <f t="shared" si="311"/>
        <v>08/2022</v>
      </c>
      <c r="M4957" s="82"/>
      <c r="N4957" s="82"/>
    </row>
    <row r="4958" spans="1:14" x14ac:dyDescent="0.25">
      <c r="A4958" s="170" t="s">
        <v>17666</v>
      </c>
      <c r="B4958" s="170" t="s">
        <v>17667</v>
      </c>
      <c r="C4958" s="170" t="s">
        <v>205</v>
      </c>
      <c r="D4958" s="170" t="s">
        <v>2067</v>
      </c>
      <c r="E4958" s="171" t="s">
        <v>33911</v>
      </c>
      <c r="F4958" s="171" t="s">
        <v>23109</v>
      </c>
      <c r="G4958" s="82"/>
      <c r="H4958" s="96">
        <f t="shared" si="308"/>
        <v>43.84</v>
      </c>
      <c r="I4958" s="96">
        <f t="shared" si="308"/>
        <v>44.94</v>
      </c>
      <c r="J4958" s="91" t="str">
        <f t="shared" si="309"/>
        <v>Sinapi 104344</v>
      </c>
      <c r="K4958" s="91" t="str">
        <f t="shared" si="310"/>
        <v>UN</v>
      </c>
      <c r="L4958" s="166" t="str">
        <f t="shared" si="311"/>
        <v>08/2022</v>
      </c>
      <c r="M4958" s="82"/>
      <c r="N4958" s="82"/>
    </row>
    <row r="4959" spans="1:14" x14ac:dyDescent="0.25">
      <c r="A4959" s="170" t="s">
        <v>17668</v>
      </c>
      <c r="B4959" s="170" t="s">
        <v>17669</v>
      </c>
      <c r="C4959" s="170" t="s">
        <v>205</v>
      </c>
      <c r="D4959" s="170" t="s">
        <v>2067</v>
      </c>
      <c r="E4959" s="171" t="s">
        <v>31649</v>
      </c>
      <c r="F4959" s="171" t="s">
        <v>24028</v>
      </c>
      <c r="G4959" s="82"/>
      <c r="H4959" s="96">
        <f t="shared" si="308"/>
        <v>45.92</v>
      </c>
      <c r="I4959" s="96">
        <f t="shared" si="308"/>
        <v>47.02</v>
      </c>
      <c r="J4959" s="91" t="str">
        <f t="shared" si="309"/>
        <v>Sinapi 104345</v>
      </c>
      <c r="K4959" s="91" t="str">
        <f t="shared" si="310"/>
        <v>UN</v>
      </c>
      <c r="L4959" s="166" t="str">
        <f t="shared" si="311"/>
        <v>08/2022</v>
      </c>
      <c r="M4959" s="82"/>
      <c r="N4959" s="82"/>
    </row>
    <row r="4960" spans="1:14" x14ac:dyDescent="0.25">
      <c r="A4960" s="170" t="s">
        <v>17670</v>
      </c>
      <c r="B4960" s="170" t="s">
        <v>17671</v>
      </c>
      <c r="C4960" s="170" t="s">
        <v>205</v>
      </c>
      <c r="D4960" s="170" t="s">
        <v>2067</v>
      </c>
      <c r="E4960" s="171" t="s">
        <v>32988</v>
      </c>
      <c r="F4960" s="171" t="s">
        <v>37071</v>
      </c>
      <c r="G4960" s="82"/>
      <c r="H4960" s="96">
        <f t="shared" si="308"/>
        <v>48.6</v>
      </c>
      <c r="I4960" s="96">
        <f t="shared" si="308"/>
        <v>49.75</v>
      </c>
      <c r="J4960" s="91" t="str">
        <f t="shared" si="309"/>
        <v>Sinapi 104346</v>
      </c>
      <c r="K4960" s="91" t="str">
        <f t="shared" si="310"/>
        <v>UN</v>
      </c>
      <c r="L4960" s="166" t="str">
        <f t="shared" si="311"/>
        <v>08/2022</v>
      </c>
      <c r="M4960" s="82"/>
      <c r="N4960" s="82"/>
    </row>
    <row r="4961" spans="1:14" x14ac:dyDescent="0.25">
      <c r="A4961" s="170" t="s">
        <v>17672</v>
      </c>
      <c r="B4961" s="170" t="s">
        <v>17673</v>
      </c>
      <c r="C4961" s="170" t="s">
        <v>205</v>
      </c>
      <c r="D4961" s="170" t="s">
        <v>2067</v>
      </c>
      <c r="E4961" s="171" t="s">
        <v>23328</v>
      </c>
      <c r="F4961" s="171" t="s">
        <v>30671</v>
      </c>
      <c r="G4961" s="82"/>
      <c r="H4961" s="96">
        <f t="shared" si="308"/>
        <v>51.29</v>
      </c>
      <c r="I4961" s="96">
        <f t="shared" si="308"/>
        <v>52.44</v>
      </c>
      <c r="J4961" s="91" t="str">
        <f t="shared" si="309"/>
        <v>Sinapi 104347</v>
      </c>
      <c r="K4961" s="91" t="str">
        <f t="shared" si="310"/>
        <v>UN</v>
      </c>
      <c r="L4961" s="166" t="str">
        <f t="shared" si="311"/>
        <v>08/2022</v>
      </c>
      <c r="M4961" s="82"/>
      <c r="N4961" s="82"/>
    </row>
    <row r="4962" spans="1:14" x14ac:dyDescent="0.25">
      <c r="A4962" s="170" t="s">
        <v>17674</v>
      </c>
      <c r="B4962" s="170" t="s">
        <v>17675</v>
      </c>
      <c r="C4962" s="170" t="s">
        <v>205</v>
      </c>
      <c r="D4962" s="170" t="s">
        <v>2067</v>
      </c>
      <c r="E4962" s="171" t="s">
        <v>2164</v>
      </c>
      <c r="F4962" s="171" t="s">
        <v>15519</v>
      </c>
      <c r="G4962" s="82"/>
      <c r="H4962" s="96">
        <f t="shared" si="308"/>
        <v>11.17</v>
      </c>
      <c r="I4962" s="96">
        <f t="shared" si="308"/>
        <v>11.22</v>
      </c>
      <c r="J4962" s="91" t="str">
        <f t="shared" si="309"/>
        <v>Sinapi 104348</v>
      </c>
      <c r="K4962" s="91" t="str">
        <f t="shared" si="310"/>
        <v>UN</v>
      </c>
      <c r="L4962" s="166" t="str">
        <f t="shared" si="311"/>
        <v>08/2022</v>
      </c>
      <c r="M4962" s="82"/>
      <c r="N4962" s="82"/>
    </row>
    <row r="4963" spans="1:14" x14ac:dyDescent="0.25">
      <c r="A4963" s="170" t="s">
        <v>17676</v>
      </c>
      <c r="B4963" s="170" t="s">
        <v>17677</v>
      </c>
      <c r="C4963" s="170" t="s">
        <v>205</v>
      </c>
      <c r="D4963" s="170" t="s">
        <v>2067</v>
      </c>
      <c r="E4963" s="171" t="s">
        <v>28736</v>
      </c>
      <c r="F4963" s="171" t="s">
        <v>22779</v>
      </c>
      <c r="G4963" s="82"/>
      <c r="H4963" s="96">
        <f t="shared" si="308"/>
        <v>33.15</v>
      </c>
      <c r="I4963" s="96">
        <f t="shared" si="308"/>
        <v>33.76</v>
      </c>
      <c r="J4963" s="91" t="str">
        <f t="shared" si="309"/>
        <v>Sinapi 104350</v>
      </c>
      <c r="K4963" s="91" t="str">
        <f t="shared" si="310"/>
        <v>UN</v>
      </c>
      <c r="L4963" s="166" t="str">
        <f t="shared" si="311"/>
        <v>08/2022</v>
      </c>
      <c r="M4963" s="82"/>
      <c r="N4963" s="82"/>
    </row>
    <row r="4964" spans="1:14" x14ac:dyDescent="0.25">
      <c r="A4964" s="170" t="s">
        <v>17678</v>
      </c>
      <c r="B4964" s="170" t="s">
        <v>17679</v>
      </c>
      <c r="C4964" s="170" t="s">
        <v>205</v>
      </c>
      <c r="D4964" s="170" t="s">
        <v>2067</v>
      </c>
      <c r="E4964" s="171" t="s">
        <v>20132</v>
      </c>
      <c r="F4964" s="171" t="s">
        <v>15520</v>
      </c>
      <c r="G4964" s="82"/>
      <c r="H4964" s="96">
        <f t="shared" si="308"/>
        <v>23</v>
      </c>
      <c r="I4964" s="96">
        <f t="shared" si="308"/>
        <v>23.19</v>
      </c>
      <c r="J4964" s="91" t="str">
        <f t="shared" si="309"/>
        <v>Sinapi 104351</v>
      </c>
      <c r="K4964" s="91" t="str">
        <f t="shared" si="310"/>
        <v>UN</v>
      </c>
      <c r="L4964" s="166" t="str">
        <f t="shared" si="311"/>
        <v>08/2022</v>
      </c>
      <c r="M4964" s="82"/>
      <c r="N4964" s="82"/>
    </row>
    <row r="4965" spans="1:14" x14ac:dyDescent="0.25">
      <c r="A4965" s="170" t="s">
        <v>17680</v>
      </c>
      <c r="B4965" s="170" t="s">
        <v>17681</v>
      </c>
      <c r="C4965" s="170" t="s">
        <v>205</v>
      </c>
      <c r="D4965" s="170" t="s">
        <v>2067</v>
      </c>
      <c r="E4965" s="171" t="s">
        <v>24734</v>
      </c>
      <c r="F4965" s="171" t="s">
        <v>29170</v>
      </c>
      <c r="G4965" s="82"/>
      <c r="H4965" s="96">
        <f t="shared" si="308"/>
        <v>42.85</v>
      </c>
      <c r="I4965" s="96">
        <f t="shared" si="308"/>
        <v>43.83</v>
      </c>
      <c r="J4965" s="91" t="str">
        <f t="shared" si="309"/>
        <v>Sinapi 104352</v>
      </c>
      <c r="K4965" s="91" t="str">
        <f t="shared" si="310"/>
        <v>UN</v>
      </c>
      <c r="L4965" s="166" t="str">
        <f t="shared" si="311"/>
        <v>08/2022</v>
      </c>
      <c r="M4965" s="82"/>
      <c r="N4965" s="82"/>
    </row>
    <row r="4966" spans="1:14" x14ac:dyDescent="0.25">
      <c r="A4966" s="170" t="s">
        <v>17682</v>
      </c>
      <c r="B4966" s="170" t="s">
        <v>17683</v>
      </c>
      <c r="C4966" s="170" t="s">
        <v>205</v>
      </c>
      <c r="D4966" s="170" t="s">
        <v>2067</v>
      </c>
      <c r="E4966" s="171" t="s">
        <v>27711</v>
      </c>
      <c r="F4966" s="171" t="s">
        <v>29240</v>
      </c>
      <c r="G4966" s="82"/>
      <c r="H4966" s="96">
        <f t="shared" si="308"/>
        <v>44.93</v>
      </c>
      <c r="I4966" s="96">
        <f t="shared" si="308"/>
        <v>45.91</v>
      </c>
      <c r="J4966" s="91" t="str">
        <f t="shared" si="309"/>
        <v>Sinapi 104353</v>
      </c>
      <c r="K4966" s="91" t="str">
        <f t="shared" si="310"/>
        <v>UN</v>
      </c>
      <c r="L4966" s="166" t="str">
        <f t="shared" si="311"/>
        <v>08/2022</v>
      </c>
      <c r="M4966" s="82"/>
      <c r="N4966" s="82"/>
    </row>
    <row r="4967" spans="1:14" x14ac:dyDescent="0.25">
      <c r="A4967" s="170" t="s">
        <v>17684</v>
      </c>
      <c r="B4967" s="170" t="s">
        <v>17685</v>
      </c>
      <c r="C4967" s="170" t="s">
        <v>205</v>
      </c>
      <c r="D4967" s="170" t="s">
        <v>2067</v>
      </c>
      <c r="E4967" s="171" t="s">
        <v>29279</v>
      </c>
      <c r="F4967" s="171" t="s">
        <v>29817</v>
      </c>
      <c r="G4967" s="82"/>
      <c r="H4967" s="96">
        <f t="shared" si="308"/>
        <v>48.77</v>
      </c>
      <c r="I4967" s="96">
        <f t="shared" si="308"/>
        <v>49.95</v>
      </c>
      <c r="J4967" s="91" t="str">
        <f t="shared" si="309"/>
        <v>Sinapi 104354</v>
      </c>
      <c r="K4967" s="91" t="str">
        <f t="shared" si="310"/>
        <v>UN</v>
      </c>
      <c r="L4967" s="166" t="str">
        <f t="shared" si="311"/>
        <v>08/2022</v>
      </c>
      <c r="M4967" s="82"/>
      <c r="N4967" s="82"/>
    </row>
    <row r="4968" spans="1:14" x14ac:dyDescent="0.25">
      <c r="A4968" s="170" t="s">
        <v>17686</v>
      </c>
      <c r="B4968" s="170" t="s">
        <v>17687</v>
      </c>
      <c r="C4968" s="170" t="s">
        <v>205</v>
      </c>
      <c r="D4968" s="170" t="s">
        <v>2067</v>
      </c>
      <c r="E4968" s="171" t="s">
        <v>23106</v>
      </c>
      <c r="F4968" s="171" t="s">
        <v>26927</v>
      </c>
      <c r="G4968" s="82"/>
      <c r="H4968" s="96">
        <f t="shared" si="308"/>
        <v>51.46</v>
      </c>
      <c r="I4968" s="96">
        <f t="shared" si="308"/>
        <v>52.64</v>
      </c>
      <c r="J4968" s="91" t="str">
        <f t="shared" si="309"/>
        <v>Sinapi 104355</v>
      </c>
      <c r="K4968" s="91" t="str">
        <f t="shared" si="310"/>
        <v>UN</v>
      </c>
      <c r="L4968" s="166" t="str">
        <f t="shared" si="311"/>
        <v>08/2022</v>
      </c>
      <c r="M4968" s="82"/>
      <c r="N4968" s="82"/>
    </row>
    <row r="4969" spans="1:14" x14ac:dyDescent="0.25">
      <c r="A4969" s="170" t="s">
        <v>17688</v>
      </c>
      <c r="B4969" s="170" t="s">
        <v>17689</v>
      </c>
      <c r="C4969" s="170" t="s">
        <v>205</v>
      </c>
      <c r="D4969" s="170" t="s">
        <v>2067</v>
      </c>
      <c r="E4969" s="171" t="s">
        <v>33912</v>
      </c>
      <c r="F4969" s="171" t="s">
        <v>20131</v>
      </c>
      <c r="G4969" s="82"/>
      <c r="H4969" s="96">
        <f t="shared" si="308"/>
        <v>30.43</v>
      </c>
      <c r="I4969" s="96">
        <f t="shared" si="308"/>
        <v>30.77</v>
      </c>
      <c r="J4969" s="91" t="str">
        <f t="shared" si="309"/>
        <v>Sinapi 104356</v>
      </c>
      <c r="K4969" s="91" t="str">
        <f t="shared" si="310"/>
        <v>UN</v>
      </c>
      <c r="L4969" s="166" t="str">
        <f t="shared" si="311"/>
        <v>08/2022</v>
      </c>
      <c r="M4969" s="82"/>
      <c r="N4969" s="82"/>
    </row>
    <row r="4970" spans="1:14" x14ac:dyDescent="0.25">
      <c r="A4970" s="170" t="s">
        <v>17690</v>
      </c>
      <c r="B4970" s="170" t="s">
        <v>17691</v>
      </c>
      <c r="C4970" s="170" t="s">
        <v>205</v>
      </c>
      <c r="D4970" s="170" t="s">
        <v>2067</v>
      </c>
      <c r="E4970" s="171" t="s">
        <v>21529</v>
      </c>
      <c r="F4970" s="171" t="s">
        <v>16406</v>
      </c>
      <c r="G4970" s="82"/>
      <c r="H4970" s="96">
        <f t="shared" si="308"/>
        <v>20.3</v>
      </c>
      <c r="I4970" s="96">
        <f t="shared" si="308"/>
        <v>20.74</v>
      </c>
      <c r="J4970" s="91" t="str">
        <f t="shared" si="309"/>
        <v>Sinapi 104357</v>
      </c>
      <c r="K4970" s="91" t="str">
        <f t="shared" si="310"/>
        <v>UN</v>
      </c>
      <c r="L4970" s="166" t="str">
        <f t="shared" si="311"/>
        <v>08/2022</v>
      </c>
      <c r="M4970" s="82"/>
      <c r="N4970" s="82"/>
    </row>
    <row r="4971" spans="1:14" x14ac:dyDescent="0.25">
      <c r="A4971" s="170" t="s">
        <v>28862</v>
      </c>
      <c r="B4971" s="170" t="s">
        <v>28863</v>
      </c>
      <c r="C4971" s="170" t="s">
        <v>205</v>
      </c>
      <c r="D4971" s="170" t="s">
        <v>1947</v>
      </c>
      <c r="E4971" s="171" t="s">
        <v>19963</v>
      </c>
      <c r="F4971" s="171" t="s">
        <v>6826</v>
      </c>
      <c r="G4971" s="82"/>
      <c r="H4971" s="96">
        <f t="shared" si="308"/>
        <v>13.43</v>
      </c>
      <c r="I4971" s="96">
        <f t="shared" si="308"/>
        <v>14.11</v>
      </c>
      <c r="J4971" s="91" t="str">
        <f t="shared" si="309"/>
        <v>Sinapi 104576</v>
      </c>
      <c r="K4971" s="91" t="str">
        <f t="shared" si="310"/>
        <v>UN</v>
      </c>
      <c r="L4971" s="166" t="str">
        <f t="shared" si="311"/>
        <v>02/2023</v>
      </c>
      <c r="M4971" s="82"/>
      <c r="N4971" s="82"/>
    </row>
    <row r="4972" spans="1:14" x14ac:dyDescent="0.25">
      <c r="A4972" s="170" t="s">
        <v>28864</v>
      </c>
      <c r="B4972" s="170" t="s">
        <v>28865</v>
      </c>
      <c r="C4972" s="170" t="s">
        <v>205</v>
      </c>
      <c r="D4972" s="170" t="s">
        <v>1947</v>
      </c>
      <c r="E4972" s="171" t="s">
        <v>15545</v>
      </c>
      <c r="F4972" s="171" t="s">
        <v>15775</v>
      </c>
      <c r="G4972" s="82"/>
      <c r="H4972" s="96">
        <f t="shared" si="308"/>
        <v>18.25</v>
      </c>
      <c r="I4972" s="96">
        <f t="shared" si="308"/>
        <v>19</v>
      </c>
      <c r="J4972" s="91" t="str">
        <f t="shared" si="309"/>
        <v>Sinapi 104577</v>
      </c>
      <c r="K4972" s="91" t="str">
        <f t="shared" si="310"/>
        <v>UN</v>
      </c>
      <c r="L4972" s="166" t="str">
        <f t="shared" si="311"/>
        <v>02/2023</v>
      </c>
      <c r="M4972" s="82"/>
      <c r="N4972" s="82"/>
    </row>
    <row r="4973" spans="1:14" x14ac:dyDescent="0.25">
      <c r="A4973" s="170" t="s">
        <v>28866</v>
      </c>
      <c r="B4973" s="170" t="s">
        <v>28867</v>
      </c>
      <c r="C4973" s="170" t="s">
        <v>205</v>
      </c>
      <c r="D4973" s="170" t="s">
        <v>1947</v>
      </c>
      <c r="E4973" s="171" t="s">
        <v>15543</v>
      </c>
      <c r="F4973" s="171" t="s">
        <v>21180</v>
      </c>
      <c r="G4973" s="82"/>
      <c r="H4973" s="96">
        <f t="shared" si="308"/>
        <v>19.55</v>
      </c>
      <c r="I4973" s="96">
        <f t="shared" si="308"/>
        <v>20.36</v>
      </c>
      <c r="J4973" s="91" t="str">
        <f t="shared" si="309"/>
        <v>Sinapi 104578</v>
      </c>
      <c r="K4973" s="91" t="str">
        <f t="shared" si="310"/>
        <v>UN</v>
      </c>
      <c r="L4973" s="166" t="str">
        <f t="shared" si="311"/>
        <v>02/2023</v>
      </c>
      <c r="M4973" s="82"/>
      <c r="N4973" s="82"/>
    </row>
    <row r="4974" spans="1:14" x14ac:dyDescent="0.25">
      <c r="A4974" s="170" t="s">
        <v>28868</v>
      </c>
      <c r="B4974" s="170" t="s">
        <v>28869</v>
      </c>
      <c r="C4974" s="170" t="s">
        <v>205</v>
      </c>
      <c r="D4974" s="170" t="s">
        <v>1947</v>
      </c>
      <c r="E4974" s="171" t="s">
        <v>19275</v>
      </c>
      <c r="F4974" s="171" t="s">
        <v>21037</v>
      </c>
      <c r="G4974" s="82"/>
      <c r="H4974" s="96">
        <f t="shared" si="308"/>
        <v>25.78</v>
      </c>
      <c r="I4974" s="96">
        <f t="shared" si="308"/>
        <v>26.76</v>
      </c>
      <c r="J4974" s="91" t="str">
        <f t="shared" si="309"/>
        <v>Sinapi 104579</v>
      </c>
      <c r="K4974" s="91" t="str">
        <f t="shared" si="310"/>
        <v>UN</v>
      </c>
      <c r="L4974" s="166" t="str">
        <f t="shared" si="311"/>
        <v>02/2023</v>
      </c>
      <c r="M4974" s="82"/>
      <c r="N4974" s="82"/>
    </row>
    <row r="4975" spans="1:14" x14ac:dyDescent="0.25">
      <c r="A4975" s="170" t="s">
        <v>28870</v>
      </c>
      <c r="B4975" s="170" t="s">
        <v>28871</v>
      </c>
      <c r="C4975" s="170" t="s">
        <v>205</v>
      </c>
      <c r="D4975" s="170" t="s">
        <v>1947</v>
      </c>
      <c r="E4975" s="171" t="s">
        <v>16722</v>
      </c>
      <c r="F4975" s="171" t="s">
        <v>16445</v>
      </c>
      <c r="G4975" s="82"/>
      <c r="H4975" s="96">
        <f t="shared" si="308"/>
        <v>12.26</v>
      </c>
      <c r="I4975" s="96">
        <f t="shared" si="308"/>
        <v>12.89</v>
      </c>
      <c r="J4975" s="91" t="str">
        <f t="shared" si="309"/>
        <v>Sinapi 104581</v>
      </c>
      <c r="K4975" s="91" t="str">
        <f t="shared" si="310"/>
        <v>UN</v>
      </c>
      <c r="L4975" s="166" t="str">
        <f t="shared" si="311"/>
        <v>02/2023</v>
      </c>
      <c r="M4975" s="82"/>
      <c r="N4975" s="82"/>
    </row>
    <row r="4976" spans="1:14" x14ac:dyDescent="0.25">
      <c r="A4976" s="170" t="s">
        <v>28872</v>
      </c>
      <c r="B4976" s="170" t="s">
        <v>28873</v>
      </c>
      <c r="C4976" s="170" t="s">
        <v>205</v>
      </c>
      <c r="D4976" s="170" t="s">
        <v>1947</v>
      </c>
      <c r="E4976" s="171" t="s">
        <v>21102</v>
      </c>
      <c r="F4976" s="171" t="s">
        <v>15080</v>
      </c>
      <c r="G4976" s="82"/>
      <c r="H4976" s="96">
        <f t="shared" si="308"/>
        <v>15.72</v>
      </c>
      <c r="I4976" s="96">
        <f t="shared" si="308"/>
        <v>16.45</v>
      </c>
      <c r="J4976" s="91" t="str">
        <f t="shared" si="309"/>
        <v>Sinapi 104582</v>
      </c>
      <c r="K4976" s="91" t="str">
        <f t="shared" si="310"/>
        <v>UN</v>
      </c>
      <c r="L4976" s="166" t="str">
        <f t="shared" si="311"/>
        <v>02/2023</v>
      </c>
      <c r="M4976" s="82"/>
      <c r="N4976" s="82"/>
    </row>
    <row r="4977" spans="1:14" x14ac:dyDescent="0.25">
      <c r="A4977" s="170" t="s">
        <v>28874</v>
      </c>
      <c r="B4977" s="170" t="s">
        <v>28875</v>
      </c>
      <c r="C4977" s="170" t="s">
        <v>205</v>
      </c>
      <c r="D4977" s="170" t="s">
        <v>1947</v>
      </c>
      <c r="E4977" s="171" t="s">
        <v>31684</v>
      </c>
      <c r="F4977" s="171" t="s">
        <v>17443</v>
      </c>
      <c r="G4977" s="82"/>
      <c r="H4977" s="96">
        <f t="shared" si="308"/>
        <v>25.58</v>
      </c>
      <c r="I4977" s="96">
        <f t="shared" si="308"/>
        <v>26.45</v>
      </c>
      <c r="J4977" s="91" t="str">
        <f t="shared" si="309"/>
        <v>Sinapi 104583</v>
      </c>
      <c r="K4977" s="91" t="str">
        <f t="shared" si="310"/>
        <v>UN</v>
      </c>
      <c r="L4977" s="166" t="str">
        <f t="shared" si="311"/>
        <v>02/2023</v>
      </c>
      <c r="M4977" s="82"/>
      <c r="N4977" s="82"/>
    </row>
    <row r="4978" spans="1:14" x14ac:dyDescent="0.25">
      <c r="A4978" s="170" t="s">
        <v>28876</v>
      </c>
      <c r="B4978" s="170" t="s">
        <v>28877</v>
      </c>
      <c r="C4978" s="170" t="s">
        <v>205</v>
      </c>
      <c r="D4978" s="170" t="s">
        <v>1947</v>
      </c>
      <c r="E4978" s="171" t="s">
        <v>22082</v>
      </c>
      <c r="F4978" s="171" t="s">
        <v>37057</v>
      </c>
      <c r="G4978" s="82"/>
      <c r="H4978" s="96">
        <f t="shared" si="308"/>
        <v>30.64</v>
      </c>
      <c r="I4978" s="96">
        <f t="shared" si="308"/>
        <v>31.73</v>
      </c>
      <c r="J4978" s="91" t="str">
        <f t="shared" si="309"/>
        <v>Sinapi 104584</v>
      </c>
      <c r="K4978" s="91" t="str">
        <f t="shared" si="310"/>
        <v>UN</v>
      </c>
      <c r="L4978" s="166" t="str">
        <f t="shared" si="311"/>
        <v>02/2023</v>
      </c>
      <c r="M4978" s="82"/>
      <c r="N4978" s="82"/>
    </row>
    <row r="4979" spans="1:14" x14ac:dyDescent="0.25">
      <c r="A4979" s="170" t="s">
        <v>12083</v>
      </c>
      <c r="B4979" s="170" t="s">
        <v>12621</v>
      </c>
      <c r="C4979" s="170" t="s">
        <v>205</v>
      </c>
      <c r="D4979" s="170" t="s">
        <v>1947</v>
      </c>
      <c r="E4979" s="171" t="s">
        <v>25785</v>
      </c>
      <c r="F4979" s="171" t="s">
        <v>37072</v>
      </c>
      <c r="G4979" s="82"/>
      <c r="H4979" s="96">
        <f t="shared" si="308"/>
        <v>191.64</v>
      </c>
      <c r="I4979" s="96">
        <f t="shared" si="308"/>
        <v>191.96</v>
      </c>
      <c r="J4979" s="91" t="str">
        <f t="shared" si="309"/>
        <v>Sinapi 97895</v>
      </c>
      <c r="K4979" s="91" t="str">
        <f t="shared" si="310"/>
        <v>UN</v>
      </c>
      <c r="L4979" s="166" t="str">
        <f t="shared" si="311"/>
        <v>12/2020</v>
      </c>
      <c r="M4979" s="82"/>
      <c r="N4979" s="82"/>
    </row>
    <row r="4980" spans="1:14" x14ac:dyDescent="0.25">
      <c r="A4980" s="170" t="s">
        <v>12084</v>
      </c>
      <c r="B4980" s="170" t="s">
        <v>12622</v>
      </c>
      <c r="C4980" s="170" t="s">
        <v>205</v>
      </c>
      <c r="D4980" s="170" t="s">
        <v>1947</v>
      </c>
      <c r="E4980" s="171" t="s">
        <v>33913</v>
      </c>
      <c r="F4980" s="171" t="s">
        <v>37073</v>
      </c>
      <c r="G4980" s="82"/>
      <c r="H4980" s="96">
        <f t="shared" si="308"/>
        <v>355.31</v>
      </c>
      <c r="I4980" s="96">
        <f t="shared" si="308"/>
        <v>356</v>
      </c>
      <c r="J4980" s="91" t="str">
        <f t="shared" si="309"/>
        <v>Sinapi 97896</v>
      </c>
      <c r="K4980" s="91" t="str">
        <f t="shared" si="310"/>
        <v>UN</v>
      </c>
      <c r="L4980" s="166" t="str">
        <f t="shared" si="311"/>
        <v>12/2020</v>
      </c>
      <c r="M4980" s="82"/>
      <c r="N4980" s="82"/>
    </row>
    <row r="4981" spans="1:14" x14ac:dyDescent="0.25">
      <c r="A4981" s="170" t="s">
        <v>12085</v>
      </c>
      <c r="B4981" s="170" t="s">
        <v>12623</v>
      </c>
      <c r="C4981" s="170" t="s">
        <v>205</v>
      </c>
      <c r="D4981" s="170" t="s">
        <v>1947</v>
      </c>
      <c r="E4981" s="171" t="s">
        <v>29242</v>
      </c>
      <c r="F4981" s="171" t="s">
        <v>37074</v>
      </c>
      <c r="G4981" s="82"/>
      <c r="H4981" s="96">
        <f t="shared" si="308"/>
        <v>459.41</v>
      </c>
      <c r="I4981" s="96">
        <f t="shared" si="308"/>
        <v>460.71</v>
      </c>
      <c r="J4981" s="91" t="str">
        <f t="shared" si="309"/>
        <v>Sinapi 97897</v>
      </c>
      <c r="K4981" s="91" t="str">
        <f t="shared" si="310"/>
        <v>UN</v>
      </c>
      <c r="L4981" s="166" t="str">
        <f t="shared" si="311"/>
        <v>12/2020</v>
      </c>
      <c r="M4981" s="82"/>
      <c r="N4981" s="82"/>
    </row>
    <row r="4982" spans="1:14" x14ac:dyDescent="0.25">
      <c r="A4982" s="170" t="s">
        <v>12086</v>
      </c>
      <c r="B4982" s="170" t="s">
        <v>12624</v>
      </c>
      <c r="C4982" s="170" t="s">
        <v>205</v>
      </c>
      <c r="D4982" s="170" t="s">
        <v>1947</v>
      </c>
      <c r="E4982" s="171" t="s">
        <v>33914</v>
      </c>
      <c r="F4982" s="171" t="s">
        <v>37075</v>
      </c>
      <c r="G4982" s="82"/>
      <c r="H4982" s="96">
        <f t="shared" si="308"/>
        <v>892.33</v>
      </c>
      <c r="I4982" s="96">
        <f t="shared" si="308"/>
        <v>902.84</v>
      </c>
      <c r="J4982" s="91" t="str">
        <f t="shared" si="309"/>
        <v>Sinapi 97898</v>
      </c>
      <c r="K4982" s="91" t="str">
        <f t="shared" si="310"/>
        <v>UN</v>
      </c>
      <c r="L4982" s="166" t="str">
        <f t="shared" si="311"/>
        <v>12/2020</v>
      </c>
      <c r="M4982" s="82"/>
      <c r="N4982" s="82"/>
    </row>
    <row r="4983" spans="1:14" x14ac:dyDescent="0.25">
      <c r="A4983" s="170" t="s">
        <v>7676</v>
      </c>
      <c r="B4983" s="170" t="s">
        <v>12625</v>
      </c>
      <c r="C4983" s="170" t="s">
        <v>205</v>
      </c>
      <c r="D4983" s="170" t="s">
        <v>1947</v>
      </c>
      <c r="E4983" s="171" t="s">
        <v>29293</v>
      </c>
      <c r="F4983" s="171" t="s">
        <v>35342</v>
      </c>
      <c r="G4983" s="82"/>
      <c r="H4983" s="96">
        <f t="shared" si="308"/>
        <v>191.37</v>
      </c>
      <c r="I4983" s="96">
        <f t="shared" si="308"/>
        <v>201.71</v>
      </c>
      <c r="J4983" s="91" t="str">
        <f t="shared" si="309"/>
        <v>Sinapi 97900</v>
      </c>
      <c r="K4983" s="91" t="str">
        <f t="shared" si="310"/>
        <v>UN</v>
      </c>
      <c r="L4983" s="166" t="str">
        <f t="shared" si="311"/>
        <v>12/2020</v>
      </c>
      <c r="M4983" s="82"/>
      <c r="N4983" s="82"/>
    </row>
    <row r="4984" spans="1:14" x14ac:dyDescent="0.25">
      <c r="A4984" s="170" t="s">
        <v>7677</v>
      </c>
      <c r="B4984" s="170" t="s">
        <v>12626</v>
      </c>
      <c r="C4984" s="170" t="s">
        <v>205</v>
      </c>
      <c r="D4984" s="170" t="s">
        <v>1947</v>
      </c>
      <c r="E4984" s="171" t="s">
        <v>33915</v>
      </c>
      <c r="F4984" s="171" t="s">
        <v>28981</v>
      </c>
      <c r="G4984" s="82"/>
      <c r="H4984" s="96">
        <f t="shared" si="308"/>
        <v>300.20999999999998</v>
      </c>
      <c r="I4984" s="96">
        <f t="shared" si="308"/>
        <v>316.52999999999997</v>
      </c>
      <c r="J4984" s="91" t="str">
        <f t="shared" si="309"/>
        <v>Sinapi 97901</v>
      </c>
      <c r="K4984" s="91" t="str">
        <f t="shared" si="310"/>
        <v>UN</v>
      </c>
      <c r="L4984" s="166" t="str">
        <f t="shared" si="311"/>
        <v>12/2020</v>
      </c>
      <c r="M4984" s="82"/>
      <c r="N4984" s="82"/>
    </row>
    <row r="4985" spans="1:14" x14ac:dyDescent="0.25">
      <c r="A4985" s="170" t="s">
        <v>7678</v>
      </c>
      <c r="B4985" s="170" t="s">
        <v>12627</v>
      </c>
      <c r="C4985" s="170" t="s">
        <v>205</v>
      </c>
      <c r="D4985" s="170" t="s">
        <v>1947</v>
      </c>
      <c r="E4985" s="171" t="s">
        <v>33916</v>
      </c>
      <c r="F4985" s="171" t="s">
        <v>37076</v>
      </c>
      <c r="G4985" s="82"/>
      <c r="H4985" s="96">
        <f t="shared" si="308"/>
        <v>586.37</v>
      </c>
      <c r="I4985" s="96">
        <f t="shared" si="308"/>
        <v>617.35</v>
      </c>
      <c r="J4985" s="91" t="str">
        <f t="shared" si="309"/>
        <v>Sinapi 97902</v>
      </c>
      <c r="K4985" s="91" t="str">
        <f t="shared" si="310"/>
        <v>UN</v>
      </c>
      <c r="L4985" s="166" t="str">
        <f t="shared" si="311"/>
        <v>12/2020</v>
      </c>
      <c r="M4985" s="82"/>
      <c r="N4985" s="82"/>
    </row>
    <row r="4986" spans="1:14" x14ac:dyDescent="0.25">
      <c r="A4986" s="170" t="s">
        <v>7679</v>
      </c>
      <c r="B4986" s="170" t="s">
        <v>12628</v>
      </c>
      <c r="C4986" s="170" t="s">
        <v>205</v>
      </c>
      <c r="D4986" s="170" t="s">
        <v>1947</v>
      </c>
      <c r="E4986" s="171" t="s">
        <v>33917</v>
      </c>
      <c r="F4986" s="171" t="s">
        <v>37077</v>
      </c>
      <c r="G4986" s="82"/>
      <c r="H4986" s="96">
        <f t="shared" si="308"/>
        <v>821.45</v>
      </c>
      <c r="I4986" s="96">
        <f t="shared" si="308"/>
        <v>864.63</v>
      </c>
      <c r="J4986" s="91" t="str">
        <f t="shared" si="309"/>
        <v>Sinapi 97903</v>
      </c>
      <c r="K4986" s="91" t="str">
        <f t="shared" si="310"/>
        <v>UN</v>
      </c>
      <c r="L4986" s="166" t="str">
        <f t="shared" si="311"/>
        <v>12/2020</v>
      </c>
      <c r="M4986" s="82"/>
      <c r="N4986" s="82"/>
    </row>
    <row r="4987" spans="1:14" x14ac:dyDescent="0.25">
      <c r="A4987" s="170" t="s">
        <v>7680</v>
      </c>
      <c r="B4987" s="170" t="s">
        <v>12629</v>
      </c>
      <c r="C4987" s="170" t="s">
        <v>205</v>
      </c>
      <c r="D4987" s="170" t="s">
        <v>1947</v>
      </c>
      <c r="E4987" s="171" t="s">
        <v>33918</v>
      </c>
      <c r="F4987" s="171" t="s">
        <v>37078</v>
      </c>
      <c r="G4987" s="82"/>
      <c r="H4987" s="96">
        <f t="shared" si="308"/>
        <v>993.81</v>
      </c>
      <c r="I4987" s="96">
        <f t="shared" si="308"/>
        <v>1040.69</v>
      </c>
      <c r="J4987" s="91" t="str">
        <f t="shared" si="309"/>
        <v>Sinapi 97904</v>
      </c>
      <c r="K4987" s="91" t="str">
        <f t="shared" si="310"/>
        <v>UN</v>
      </c>
      <c r="L4987" s="166" t="str">
        <f t="shared" si="311"/>
        <v>12/2020</v>
      </c>
      <c r="M4987" s="82"/>
      <c r="N4987" s="82"/>
    </row>
    <row r="4988" spans="1:14" x14ac:dyDescent="0.25">
      <c r="A4988" s="170" t="s">
        <v>7681</v>
      </c>
      <c r="B4988" s="170" t="s">
        <v>12630</v>
      </c>
      <c r="C4988" s="170" t="s">
        <v>205</v>
      </c>
      <c r="D4988" s="170" t="s">
        <v>1947</v>
      </c>
      <c r="E4988" s="171" t="s">
        <v>33919</v>
      </c>
      <c r="F4988" s="171" t="s">
        <v>37079</v>
      </c>
      <c r="G4988" s="82"/>
      <c r="H4988" s="96">
        <f t="shared" si="308"/>
        <v>267.69</v>
      </c>
      <c r="I4988" s="96">
        <f t="shared" si="308"/>
        <v>281.01</v>
      </c>
      <c r="J4988" s="91" t="str">
        <f t="shared" si="309"/>
        <v>Sinapi 97905</v>
      </c>
      <c r="K4988" s="91" t="str">
        <f t="shared" si="310"/>
        <v>UN</v>
      </c>
      <c r="L4988" s="166" t="str">
        <f t="shared" si="311"/>
        <v>12/2020</v>
      </c>
      <c r="M4988" s="82"/>
      <c r="N4988" s="82"/>
    </row>
    <row r="4989" spans="1:14" x14ac:dyDescent="0.25">
      <c r="A4989" s="170" t="s">
        <v>7682</v>
      </c>
      <c r="B4989" s="170" t="s">
        <v>12631</v>
      </c>
      <c r="C4989" s="170" t="s">
        <v>205</v>
      </c>
      <c r="D4989" s="170" t="s">
        <v>1947</v>
      </c>
      <c r="E4989" s="171" t="s">
        <v>33920</v>
      </c>
      <c r="F4989" s="171" t="s">
        <v>37080</v>
      </c>
      <c r="G4989" s="82"/>
      <c r="H4989" s="96">
        <f t="shared" si="308"/>
        <v>505.62</v>
      </c>
      <c r="I4989" s="96">
        <f t="shared" si="308"/>
        <v>529.62</v>
      </c>
      <c r="J4989" s="91" t="str">
        <f t="shared" si="309"/>
        <v>Sinapi 97906</v>
      </c>
      <c r="K4989" s="91" t="str">
        <f t="shared" si="310"/>
        <v>UN</v>
      </c>
      <c r="L4989" s="166" t="str">
        <f t="shared" si="311"/>
        <v>12/2020</v>
      </c>
      <c r="M4989" s="82"/>
      <c r="N4989" s="82"/>
    </row>
    <row r="4990" spans="1:14" x14ac:dyDescent="0.25">
      <c r="A4990" s="170" t="s">
        <v>7683</v>
      </c>
      <c r="B4990" s="170" t="s">
        <v>12632</v>
      </c>
      <c r="C4990" s="170" t="s">
        <v>205</v>
      </c>
      <c r="D4990" s="170" t="s">
        <v>1947</v>
      </c>
      <c r="E4990" s="171" t="s">
        <v>33921</v>
      </c>
      <c r="F4990" s="171" t="s">
        <v>37081</v>
      </c>
      <c r="G4990" s="82"/>
      <c r="H4990" s="96">
        <f t="shared" si="308"/>
        <v>718.46</v>
      </c>
      <c r="I4990" s="96">
        <f t="shared" si="308"/>
        <v>752.7</v>
      </c>
      <c r="J4990" s="91" t="str">
        <f t="shared" si="309"/>
        <v>Sinapi 97907</v>
      </c>
      <c r="K4990" s="91" t="str">
        <f t="shared" si="310"/>
        <v>UN</v>
      </c>
      <c r="L4990" s="166" t="str">
        <f t="shared" si="311"/>
        <v>12/2020</v>
      </c>
      <c r="M4990" s="82"/>
      <c r="N4990" s="82"/>
    </row>
    <row r="4991" spans="1:14" x14ac:dyDescent="0.25">
      <c r="A4991" s="170" t="s">
        <v>7684</v>
      </c>
      <c r="B4991" s="170" t="s">
        <v>12633</v>
      </c>
      <c r="C4991" s="170" t="s">
        <v>205</v>
      </c>
      <c r="D4991" s="170" t="s">
        <v>1947</v>
      </c>
      <c r="E4991" s="171" t="s">
        <v>33922</v>
      </c>
      <c r="F4991" s="171" t="s">
        <v>37082</v>
      </c>
      <c r="G4991" s="82"/>
      <c r="H4991" s="96">
        <f t="shared" si="308"/>
        <v>871.94</v>
      </c>
      <c r="I4991" s="96">
        <f t="shared" si="308"/>
        <v>908.25</v>
      </c>
      <c r="J4991" s="91" t="str">
        <f t="shared" si="309"/>
        <v>Sinapi 97908</v>
      </c>
      <c r="K4991" s="91" t="str">
        <f t="shared" si="310"/>
        <v>UN</v>
      </c>
      <c r="L4991" s="166" t="str">
        <f t="shared" si="311"/>
        <v>12/2020</v>
      </c>
      <c r="M4991" s="82"/>
      <c r="N4991" s="82"/>
    </row>
    <row r="4992" spans="1:14" x14ac:dyDescent="0.25">
      <c r="A4992" s="170" t="s">
        <v>7685</v>
      </c>
      <c r="B4992" s="170" t="s">
        <v>12634</v>
      </c>
      <c r="C4992" s="170" t="s">
        <v>205</v>
      </c>
      <c r="D4992" s="170" t="s">
        <v>1947</v>
      </c>
      <c r="E4992" s="171" t="s">
        <v>33923</v>
      </c>
      <c r="F4992" s="171" t="s">
        <v>37083</v>
      </c>
      <c r="G4992" s="82"/>
      <c r="H4992" s="96">
        <f t="shared" si="308"/>
        <v>181.24</v>
      </c>
      <c r="I4992" s="96">
        <f t="shared" si="308"/>
        <v>181.81</v>
      </c>
      <c r="J4992" s="91" t="str">
        <f t="shared" si="309"/>
        <v>Sinapi 98102</v>
      </c>
      <c r="K4992" s="91" t="str">
        <f t="shared" si="310"/>
        <v>UN</v>
      </c>
      <c r="L4992" s="166" t="str">
        <f t="shared" si="311"/>
        <v>12/2020</v>
      </c>
      <c r="M4992" s="82"/>
      <c r="N4992" s="82"/>
    </row>
    <row r="4993" spans="1:14" x14ac:dyDescent="0.25">
      <c r="A4993" s="170" t="s">
        <v>7686</v>
      </c>
      <c r="B4993" s="170" t="s">
        <v>12635</v>
      </c>
      <c r="C4993" s="170" t="s">
        <v>205</v>
      </c>
      <c r="D4993" s="170" t="s">
        <v>1947</v>
      </c>
      <c r="E4993" s="171" t="s">
        <v>33924</v>
      </c>
      <c r="F4993" s="171" t="s">
        <v>37084</v>
      </c>
      <c r="G4993" s="82"/>
      <c r="H4993" s="96">
        <f t="shared" si="308"/>
        <v>369.91</v>
      </c>
      <c r="I4993" s="96">
        <f t="shared" si="308"/>
        <v>390.56</v>
      </c>
      <c r="J4993" s="91" t="str">
        <f t="shared" si="309"/>
        <v>Sinapi 98104</v>
      </c>
      <c r="K4993" s="91" t="str">
        <f t="shared" si="310"/>
        <v>UN</v>
      </c>
      <c r="L4993" s="166" t="str">
        <f t="shared" si="311"/>
        <v>12/2020</v>
      </c>
      <c r="M4993" s="82"/>
      <c r="N4993" s="82"/>
    </row>
    <row r="4994" spans="1:14" x14ac:dyDescent="0.25">
      <c r="A4994" s="170" t="s">
        <v>7687</v>
      </c>
      <c r="B4994" s="170" t="s">
        <v>12636</v>
      </c>
      <c r="C4994" s="170" t="s">
        <v>205</v>
      </c>
      <c r="D4994" s="170" t="s">
        <v>1947</v>
      </c>
      <c r="E4994" s="171" t="s">
        <v>33925</v>
      </c>
      <c r="F4994" s="171" t="s">
        <v>37085</v>
      </c>
      <c r="G4994" s="82"/>
      <c r="H4994" s="96">
        <f t="shared" si="308"/>
        <v>647.35</v>
      </c>
      <c r="I4994" s="96">
        <f t="shared" si="308"/>
        <v>683.77</v>
      </c>
      <c r="J4994" s="91" t="str">
        <f t="shared" si="309"/>
        <v>Sinapi 98105</v>
      </c>
      <c r="K4994" s="91" t="str">
        <f t="shared" si="310"/>
        <v>UN</v>
      </c>
      <c r="L4994" s="166" t="str">
        <f t="shared" si="311"/>
        <v>12/2020</v>
      </c>
      <c r="M4994" s="82"/>
      <c r="N4994" s="82"/>
    </row>
    <row r="4995" spans="1:14" x14ac:dyDescent="0.25">
      <c r="A4995" s="170" t="s">
        <v>7688</v>
      </c>
      <c r="B4995" s="170" t="s">
        <v>12637</v>
      </c>
      <c r="C4995" s="170" t="s">
        <v>205</v>
      </c>
      <c r="D4995" s="170" t="s">
        <v>1947</v>
      </c>
      <c r="E4995" s="171" t="s">
        <v>33926</v>
      </c>
      <c r="F4995" s="171" t="s">
        <v>37086</v>
      </c>
      <c r="G4995" s="82"/>
      <c r="H4995" s="96">
        <f t="shared" si="308"/>
        <v>1067.1300000000001</v>
      </c>
      <c r="I4995" s="96">
        <f t="shared" si="308"/>
        <v>1126.8900000000001</v>
      </c>
      <c r="J4995" s="91" t="str">
        <f t="shared" si="309"/>
        <v>Sinapi 98106</v>
      </c>
      <c r="K4995" s="91" t="str">
        <f t="shared" si="310"/>
        <v>UN</v>
      </c>
      <c r="L4995" s="166" t="str">
        <f t="shared" si="311"/>
        <v>12/2020</v>
      </c>
      <c r="M4995" s="82"/>
      <c r="N4995" s="82"/>
    </row>
    <row r="4996" spans="1:14" x14ac:dyDescent="0.25">
      <c r="A4996" s="170" t="s">
        <v>7689</v>
      </c>
      <c r="B4996" s="170" t="s">
        <v>12638</v>
      </c>
      <c r="C4996" s="170" t="s">
        <v>205</v>
      </c>
      <c r="D4996" s="170" t="s">
        <v>1947</v>
      </c>
      <c r="E4996" s="171" t="s">
        <v>33927</v>
      </c>
      <c r="F4996" s="171" t="s">
        <v>37087</v>
      </c>
      <c r="G4996" s="82"/>
      <c r="H4996" s="96">
        <f t="shared" si="308"/>
        <v>307.85000000000002</v>
      </c>
      <c r="I4996" s="96">
        <f t="shared" si="308"/>
        <v>323.07</v>
      </c>
      <c r="J4996" s="91" t="str">
        <f t="shared" si="309"/>
        <v>Sinapi 98107</v>
      </c>
      <c r="K4996" s="91" t="str">
        <f t="shared" si="310"/>
        <v>UN</v>
      </c>
      <c r="L4996" s="166" t="str">
        <f t="shared" si="311"/>
        <v>12/2020</v>
      </c>
      <c r="M4996" s="82"/>
      <c r="N4996" s="82"/>
    </row>
    <row r="4997" spans="1:14" x14ac:dyDescent="0.25">
      <c r="A4997" s="170" t="s">
        <v>7690</v>
      </c>
      <c r="B4997" s="170" t="s">
        <v>12639</v>
      </c>
      <c r="C4997" s="170" t="s">
        <v>205</v>
      </c>
      <c r="D4997" s="170" t="s">
        <v>1947</v>
      </c>
      <c r="E4997" s="171" t="s">
        <v>33928</v>
      </c>
      <c r="F4997" s="171" t="s">
        <v>37088</v>
      </c>
      <c r="G4997" s="82"/>
      <c r="H4997" s="96">
        <f t="shared" si="308"/>
        <v>546.95000000000005</v>
      </c>
      <c r="I4997" s="96">
        <f t="shared" si="308"/>
        <v>574.61</v>
      </c>
      <c r="J4997" s="91" t="str">
        <f t="shared" si="309"/>
        <v>Sinapi 98108</v>
      </c>
      <c r="K4997" s="91" t="str">
        <f t="shared" si="310"/>
        <v>UN</v>
      </c>
      <c r="L4997" s="166" t="str">
        <f t="shared" si="311"/>
        <v>12/2020</v>
      </c>
      <c r="M4997" s="82"/>
      <c r="N4997" s="82"/>
    </row>
    <row r="4998" spans="1:14" x14ac:dyDescent="0.25">
      <c r="A4998" s="170" t="s">
        <v>7691</v>
      </c>
      <c r="B4998" s="170" t="s">
        <v>12640</v>
      </c>
      <c r="C4998" s="170" t="s">
        <v>205</v>
      </c>
      <c r="D4998" s="170" t="s">
        <v>1947</v>
      </c>
      <c r="E4998" s="171" t="s">
        <v>33929</v>
      </c>
      <c r="F4998" s="171" t="s">
        <v>37089</v>
      </c>
      <c r="G4998" s="82"/>
      <c r="H4998" s="96">
        <f t="shared" si="308"/>
        <v>186.03</v>
      </c>
      <c r="I4998" s="96">
        <f t="shared" si="308"/>
        <v>196.34</v>
      </c>
      <c r="J4998" s="91" t="str">
        <f t="shared" si="309"/>
        <v>Sinapi 99250</v>
      </c>
      <c r="K4998" s="91" t="str">
        <f t="shared" si="310"/>
        <v>UN</v>
      </c>
      <c r="L4998" s="166" t="str">
        <f t="shared" si="311"/>
        <v>12/2020</v>
      </c>
      <c r="M4998" s="82"/>
      <c r="N4998" s="82"/>
    </row>
    <row r="4999" spans="1:14" x14ac:dyDescent="0.25">
      <c r="A4999" s="170" t="s">
        <v>7692</v>
      </c>
      <c r="B4999" s="170" t="s">
        <v>12641</v>
      </c>
      <c r="C4999" s="170" t="s">
        <v>205</v>
      </c>
      <c r="D4999" s="170" t="s">
        <v>1947</v>
      </c>
      <c r="E4999" s="171" t="s">
        <v>33930</v>
      </c>
      <c r="F4999" s="171" t="s">
        <v>37090</v>
      </c>
      <c r="G4999" s="82"/>
      <c r="H4999" s="96">
        <f t="shared" si="308"/>
        <v>291.02999999999997</v>
      </c>
      <c r="I4999" s="96">
        <f t="shared" si="308"/>
        <v>307.31</v>
      </c>
      <c r="J4999" s="91" t="str">
        <f t="shared" si="309"/>
        <v>Sinapi 99251</v>
      </c>
      <c r="K4999" s="91" t="str">
        <f t="shared" si="310"/>
        <v>UN</v>
      </c>
      <c r="L4999" s="166" t="str">
        <f t="shared" si="311"/>
        <v>12/2020</v>
      </c>
      <c r="M4999" s="82"/>
      <c r="N4999" s="82"/>
    </row>
    <row r="5000" spans="1:14" x14ac:dyDescent="0.25">
      <c r="A5000" s="170" t="s">
        <v>7693</v>
      </c>
      <c r="B5000" s="170" t="s">
        <v>12642</v>
      </c>
      <c r="C5000" s="170" t="s">
        <v>205</v>
      </c>
      <c r="D5000" s="170" t="s">
        <v>1947</v>
      </c>
      <c r="E5000" s="171" t="s">
        <v>33931</v>
      </c>
      <c r="F5000" s="171" t="s">
        <v>37091</v>
      </c>
      <c r="G5000" s="82"/>
      <c r="H5000" s="96">
        <f t="shared" ref="H5000:I5063" si="312">IF(E5000="","",E5000+0)</f>
        <v>565.76</v>
      </c>
      <c r="I5000" s="96">
        <f t="shared" si="312"/>
        <v>596.64</v>
      </c>
      <c r="J5000" s="91" t="str">
        <f t="shared" ref="J5000:J5063" si="313">IF(OR(H5000="",I5000=""),"",TRIM(CONCATENATE("Sinapi ",A5000)))</f>
        <v>Sinapi 99253</v>
      </c>
      <c r="K5000" s="91" t="str">
        <f t="shared" ref="K5000:K5063" si="314">TRIM(C5000)</f>
        <v>UN</v>
      </c>
      <c r="L5000" s="166" t="str">
        <f t="shared" ref="L5000:L5063" si="315">IF(OR(RIGHT(IF(AND(K5000&lt;&gt;"H",K5000&lt;&gt;"MES"),RIGHT(B5000,7),""),2)="PS",RIGHT(IF(AND(K5000&lt;&gt;"H",K5000&lt;&gt;"MES"),RIGHT(B5000,7),""),2)="PA",RIGHT(IF(AND(K5000&lt;&gt;"H",K5000&lt;&gt;"MES"),RIGHT(B5000,7),""),2)="PE"),LEFT(IF(AND(K5000&lt;&gt;"H",K5000&lt;&gt;"MES"),RIGHT(B5000,10),""),7),IF(AND(K5000&lt;&gt;"H",K5000&lt;&gt;"MES"),RIGHT(B5000,7),""))</f>
        <v>12/2020</v>
      </c>
      <c r="M5000" s="82"/>
      <c r="N5000" s="82"/>
    </row>
    <row r="5001" spans="1:14" x14ac:dyDescent="0.25">
      <c r="A5001" s="170" t="s">
        <v>7694</v>
      </c>
      <c r="B5001" s="170" t="s">
        <v>12643</v>
      </c>
      <c r="C5001" s="170" t="s">
        <v>205</v>
      </c>
      <c r="D5001" s="170" t="s">
        <v>1947</v>
      </c>
      <c r="E5001" s="171" t="s">
        <v>33932</v>
      </c>
      <c r="F5001" s="171" t="s">
        <v>35857</v>
      </c>
      <c r="G5001" s="82"/>
      <c r="H5001" s="96">
        <f t="shared" si="312"/>
        <v>793.2</v>
      </c>
      <c r="I5001" s="96">
        <f t="shared" si="312"/>
        <v>836.24</v>
      </c>
      <c r="J5001" s="91" t="str">
        <f t="shared" si="313"/>
        <v>Sinapi 99255</v>
      </c>
      <c r="K5001" s="91" t="str">
        <f t="shared" si="314"/>
        <v>UN</v>
      </c>
      <c r="L5001" s="166" t="str">
        <f t="shared" si="315"/>
        <v>12/2020</v>
      </c>
      <c r="M5001" s="82"/>
      <c r="N5001" s="82"/>
    </row>
    <row r="5002" spans="1:14" x14ac:dyDescent="0.25">
      <c r="A5002" s="170" t="s">
        <v>7695</v>
      </c>
      <c r="B5002" s="170" t="s">
        <v>12644</v>
      </c>
      <c r="C5002" s="170" t="s">
        <v>205</v>
      </c>
      <c r="D5002" s="170" t="s">
        <v>1947</v>
      </c>
      <c r="E5002" s="171" t="s">
        <v>33933</v>
      </c>
      <c r="F5002" s="171" t="s">
        <v>37092</v>
      </c>
      <c r="G5002" s="82"/>
      <c r="H5002" s="96">
        <f t="shared" si="312"/>
        <v>957.27</v>
      </c>
      <c r="I5002" s="96">
        <f t="shared" si="312"/>
        <v>1003.97</v>
      </c>
      <c r="J5002" s="91" t="str">
        <f t="shared" si="313"/>
        <v>Sinapi 99257</v>
      </c>
      <c r="K5002" s="91" t="str">
        <f t="shared" si="314"/>
        <v>UN</v>
      </c>
      <c r="L5002" s="166" t="str">
        <f t="shared" si="315"/>
        <v>12/2020</v>
      </c>
      <c r="M5002" s="82"/>
      <c r="N5002" s="82"/>
    </row>
    <row r="5003" spans="1:14" x14ac:dyDescent="0.25">
      <c r="A5003" s="170" t="s">
        <v>7696</v>
      </c>
      <c r="B5003" s="170" t="s">
        <v>12645</v>
      </c>
      <c r="C5003" s="170" t="s">
        <v>205</v>
      </c>
      <c r="D5003" s="170" t="s">
        <v>1947</v>
      </c>
      <c r="E5003" s="171" t="s">
        <v>33934</v>
      </c>
      <c r="F5003" s="171" t="s">
        <v>37093</v>
      </c>
      <c r="G5003" s="82"/>
      <c r="H5003" s="96">
        <f t="shared" si="312"/>
        <v>261.86</v>
      </c>
      <c r="I5003" s="96">
        <f t="shared" si="312"/>
        <v>275.14999999999998</v>
      </c>
      <c r="J5003" s="91" t="str">
        <f t="shared" si="313"/>
        <v>Sinapi 99258</v>
      </c>
      <c r="K5003" s="91" t="str">
        <f t="shared" si="314"/>
        <v>UN</v>
      </c>
      <c r="L5003" s="166" t="str">
        <f t="shared" si="315"/>
        <v>12/2020</v>
      </c>
      <c r="M5003" s="82"/>
      <c r="N5003" s="82"/>
    </row>
    <row r="5004" spans="1:14" x14ac:dyDescent="0.25">
      <c r="A5004" s="170" t="s">
        <v>7697</v>
      </c>
      <c r="B5004" s="170" t="s">
        <v>12646</v>
      </c>
      <c r="C5004" s="170" t="s">
        <v>205</v>
      </c>
      <c r="D5004" s="170" t="s">
        <v>1947</v>
      </c>
      <c r="E5004" s="171" t="s">
        <v>33935</v>
      </c>
      <c r="F5004" s="171" t="s">
        <v>37094</v>
      </c>
      <c r="G5004" s="82"/>
      <c r="H5004" s="96">
        <f t="shared" si="312"/>
        <v>492.65</v>
      </c>
      <c r="I5004" s="96">
        <f t="shared" si="312"/>
        <v>516.59</v>
      </c>
      <c r="J5004" s="91" t="str">
        <f t="shared" si="313"/>
        <v>Sinapi 99260</v>
      </c>
      <c r="K5004" s="91" t="str">
        <f t="shared" si="314"/>
        <v>UN</v>
      </c>
      <c r="L5004" s="166" t="str">
        <f t="shared" si="315"/>
        <v>12/2020</v>
      </c>
      <c r="M5004" s="82"/>
      <c r="N5004" s="82"/>
    </row>
    <row r="5005" spans="1:14" x14ac:dyDescent="0.25">
      <c r="A5005" s="170" t="s">
        <v>7698</v>
      </c>
      <c r="B5005" s="170" t="s">
        <v>12647</v>
      </c>
      <c r="C5005" s="170" t="s">
        <v>205</v>
      </c>
      <c r="D5005" s="170" t="s">
        <v>1947</v>
      </c>
      <c r="E5005" s="171" t="s">
        <v>32914</v>
      </c>
      <c r="F5005" s="171" t="s">
        <v>37095</v>
      </c>
      <c r="G5005" s="82"/>
      <c r="H5005" s="96">
        <f t="shared" si="312"/>
        <v>699.93</v>
      </c>
      <c r="I5005" s="96">
        <f t="shared" si="312"/>
        <v>734.09</v>
      </c>
      <c r="J5005" s="91" t="str">
        <f t="shared" si="313"/>
        <v>Sinapi 99262</v>
      </c>
      <c r="K5005" s="91" t="str">
        <f t="shared" si="314"/>
        <v>UN</v>
      </c>
      <c r="L5005" s="166" t="str">
        <f t="shared" si="315"/>
        <v>12/2020</v>
      </c>
      <c r="M5005" s="82"/>
      <c r="N5005" s="82"/>
    </row>
    <row r="5006" spans="1:14" x14ac:dyDescent="0.25">
      <c r="A5006" s="170" t="s">
        <v>7699</v>
      </c>
      <c r="B5006" s="170" t="s">
        <v>12648</v>
      </c>
      <c r="C5006" s="170" t="s">
        <v>205</v>
      </c>
      <c r="D5006" s="170" t="s">
        <v>1947</v>
      </c>
      <c r="E5006" s="171" t="s">
        <v>33936</v>
      </c>
      <c r="F5006" s="171" t="s">
        <v>37096</v>
      </c>
      <c r="G5006" s="82"/>
      <c r="H5006" s="96">
        <f t="shared" si="312"/>
        <v>846.91</v>
      </c>
      <c r="I5006" s="96">
        <f t="shared" si="312"/>
        <v>883.11</v>
      </c>
      <c r="J5006" s="91" t="str">
        <f t="shared" si="313"/>
        <v>Sinapi 99264</v>
      </c>
      <c r="K5006" s="91" t="str">
        <f t="shared" si="314"/>
        <v>UN</v>
      </c>
      <c r="L5006" s="166" t="str">
        <f t="shared" si="315"/>
        <v>12/2020</v>
      </c>
      <c r="M5006" s="82"/>
      <c r="N5006" s="82"/>
    </row>
    <row r="5007" spans="1:14" x14ac:dyDescent="0.25">
      <c r="A5007" s="170" t="s">
        <v>13769</v>
      </c>
      <c r="B5007" s="170" t="s">
        <v>13770</v>
      </c>
      <c r="C5007" s="170" t="s">
        <v>205</v>
      </c>
      <c r="D5007" s="170" t="s">
        <v>2067</v>
      </c>
      <c r="E5007" s="171" t="s">
        <v>21692</v>
      </c>
      <c r="F5007" s="171" t="s">
        <v>15759</v>
      </c>
      <c r="G5007" s="82"/>
      <c r="H5007" s="96">
        <f t="shared" si="312"/>
        <v>2.87</v>
      </c>
      <c r="I5007" s="96">
        <f t="shared" si="312"/>
        <v>3.2</v>
      </c>
      <c r="J5007" s="91" t="str">
        <f t="shared" si="313"/>
        <v>Sinapi 102587</v>
      </c>
      <c r="K5007" s="91" t="str">
        <f t="shared" si="314"/>
        <v>UN</v>
      </c>
      <c r="L5007" s="166" t="str">
        <f t="shared" si="315"/>
        <v>06/2021</v>
      </c>
      <c r="M5007" s="82"/>
      <c r="N5007" s="82"/>
    </row>
    <row r="5008" spans="1:14" x14ac:dyDescent="0.25">
      <c r="A5008" s="170" t="s">
        <v>13771</v>
      </c>
      <c r="B5008" s="170" t="s">
        <v>13772</v>
      </c>
      <c r="C5008" s="170" t="s">
        <v>205</v>
      </c>
      <c r="D5008" s="170" t="s">
        <v>2067</v>
      </c>
      <c r="E5008" s="171" t="s">
        <v>29661</v>
      </c>
      <c r="F5008" s="171" t="s">
        <v>22785</v>
      </c>
      <c r="G5008" s="82"/>
      <c r="H5008" s="96">
        <f t="shared" si="312"/>
        <v>4.16</v>
      </c>
      <c r="I5008" s="96">
        <f t="shared" si="312"/>
        <v>4.63</v>
      </c>
      <c r="J5008" s="91" t="str">
        <f t="shared" si="313"/>
        <v>Sinapi 102588</v>
      </c>
      <c r="K5008" s="91" t="str">
        <f t="shared" si="314"/>
        <v>UN</v>
      </c>
      <c r="L5008" s="166" t="str">
        <f t="shared" si="315"/>
        <v>06/2021</v>
      </c>
      <c r="M5008" s="82"/>
      <c r="N5008" s="82"/>
    </row>
    <row r="5009" spans="1:14" x14ac:dyDescent="0.25">
      <c r="A5009" s="170" t="s">
        <v>13773</v>
      </c>
      <c r="B5009" s="170" t="s">
        <v>13774</v>
      </c>
      <c r="C5009" s="170" t="s">
        <v>205</v>
      </c>
      <c r="D5009" s="170" t="s">
        <v>2067</v>
      </c>
      <c r="E5009" s="171" t="s">
        <v>28546</v>
      </c>
      <c r="F5009" s="171" t="s">
        <v>24900</v>
      </c>
      <c r="G5009" s="82"/>
      <c r="H5009" s="96">
        <f t="shared" si="312"/>
        <v>3.19</v>
      </c>
      <c r="I5009" s="96">
        <f t="shared" si="312"/>
        <v>3.56</v>
      </c>
      <c r="J5009" s="91" t="str">
        <f t="shared" si="313"/>
        <v>Sinapi 102589</v>
      </c>
      <c r="K5009" s="91" t="str">
        <f t="shared" si="314"/>
        <v>UN</v>
      </c>
      <c r="L5009" s="166" t="str">
        <f t="shared" si="315"/>
        <v>06/2021</v>
      </c>
      <c r="M5009" s="82"/>
      <c r="N5009" s="82"/>
    </row>
    <row r="5010" spans="1:14" x14ac:dyDescent="0.25">
      <c r="A5010" s="170" t="s">
        <v>13775</v>
      </c>
      <c r="B5010" s="170" t="s">
        <v>13776</v>
      </c>
      <c r="C5010" s="170" t="s">
        <v>205</v>
      </c>
      <c r="D5010" s="170" t="s">
        <v>2067</v>
      </c>
      <c r="E5010" s="171" t="s">
        <v>6674</v>
      </c>
      <c r="F5010" s="171" t="s">
        <v>13408</v>
      </c>
      <c r="G5010" s="82"/>
      <c r="H5010" s="96">
        <f t="shared" si="312"/>
        <v>4.4800000000000004</v>
      </c>
      <c r="I5010" s="96">
        <f t="shared" si="312"/>
        <v>4.99</v>
      </c>
      <c r="J5010" s="91" t="str">
        <f t="shared" si="313"/>
        <v>Sinapi 102590</v>
      </c>
      <c r="K5010" s="91" t="str">
        <f t="shared" si="314"/>
        <v>UN</v>
      </c>
      <c r="L5010" s="166" t="str">
        <f t="shared" si="315"/>
        <v>06/2021</v>
      </c>
      <c r="M5010" s="82"/>
      <c r="N5010" s="82"/>
    </row>
    <row r="5011" spans="1:14" x14ac:dyDescent="0.25">
      <c r="A5011" s="170" t="s">
        <v>13777</v>
      </c>
      <c r="B5011" s="170" t="s">
        <v>13778</v>
      </c>
      <c r="C5011" s="170" t="s">
        <v>205</v>
      </c>
      <c r="D5011" s="170" t="s">
        <v>2067</v>
      </c>
      <c r="E5011" s="171" t="s">
        <v>17283</v>
      </c>
      <c r="F5011" s="171" t="s">
        <v>19287</v>
      </c>
      <c r="G5011" s="82"/>
      <c r="H5011" s="96">
        <f t="shared" si="312"/>
        <v>3.51</v>
      </c>
      <c r="I5011" s="96">
        <f t="shared" si="312"/>
        <v>3.92</v>
      </c>
      <c r="J5011" s="91" t="str">
        <f t="shared" si="313"/>
        <v>Sinapi 102591</v>
      </c>
      <c r="K5011" s="91" t="str">
        <f t="shared" si="314"/>
        <v>UN</v>
      </c>
      <c r="L5011" s="166" t="str">
        <f t="shared" si="315"/>
        <v>06/2021</v>
      </c>
      <c r="M5011" s="82"/>
      <c r="N5011" s="82"/>
    </row>
    <row r="5012" spans="1:14" x14ac:dyDescent="0.25">
      <c r="A5012" s="170" t="s">
        <v>13779</v>
      </c>
      <c r="B5012" s="170" t="s">
        <v>13780</v>
      </c>
      <c r="C5012" s="170" t="s">
        <v>205</v>
      </c>
      <c r="D5012" s="170" t="s">
        <v>2067</v>
      </c>
      <c r="E5012" s="171" t="s">
        <v>22059</v>
      </c>
      <c r="F5012" s="171" t="s">
        <v>20125</v>
      </c>
      <c r="G5012" s="82"/>
      <c r="H5012" s="96">
        <f t="shared" si="312"/>
        <v>4.8</v>
      </c>
      <c r="I5012" s="96">
        <f t="shared" si="312"/>
        <v>5.35</v>
      </c>
      <c r="J5012" s="91" t="str">
        <f t="shared" si="313"/>
        <v>Sinapi 102592</v>
      </c>
      <c r="K5012" s="91" t="str">
        <f t="shared" si="314"/>
        <v>UN</v>
      </c>
      <c r="L5012" s="166" t="str">
        <f t="shared" si="315"/>
        <v>06/2021</v>
      </c>
      <c r="M5012" s="82"/>
      <c r="N5012" s="82"/>
    </row>
    <row r="5013" spans="1:14" x14ac:dyDescent="0.25">
      <c r="A5013" s="170" t="s">
        <v>13781</v>
      </c>
      <c r="B5013" s="170" t="s">
        <v>13782</v>
      </c>
      <c r="C5013" s="170" t="s">
        <v>205</v>
      </c>
      <c r="D5013" s="170" t="s">
        <v>2067</v>
      </c>
      <c r="E5013" s="171" t="s">
        <v>21559</v>
      </c>
      <c r="F5013" s="171" t="s">
        <v>19395</v>
      </c>
      <c r="G5013" s="82"/>
      <c r="H5013" s="96">
        <f t="shared" si="312"/>
        <v>3.97</v>
      </c>
      <c r="I5013" s="96">
        <f t="shared" si="312"/>
        <v>4.42</v>
      </c>
      <c r="J5013" s="91" t="str">
        <f t="shared" si="313"/>
        <v>Sinapi 102593</v>
      </c>
      <c r="K5013" s="91" t="str">
        <f t="shared" si="314"/>
        <v>UN</v>
      </c>
      <c r="L5013" s="166" t="str">
        <f t="shared" si="315"/>
        <v>06/2021</v>
      </c>
      <c r="M5013" s="82"/>
      <c r="N5013" s="82"/>
    </row>
    <row r="5014" spans="1:14" x14ac:dyDescent="0.25">
      <c r="A5014" s="170" t="s">
        <v>13783</v>
      </c>
      <c r="B5014" s="170" t="s">
        <v>13784</v>
      </c>
      <c r="C5014" s="170" t="s">
        <v>205</v>
      </c>
      <c r="D5014" s="170" t="s">
        <v>2067</v>
      </c>
      <c r="E5014" s="171" t="s">
        <v>12327</v>
      </c>
      <c r="F5014" s="171" t="s">
        <v>17928</v>
      </c>
      <c r="G5014" s="82"/>
      <c r="H5014" s="96">
        <f t="shared" si="312"/>
        <v>5.25</v>
      </c>
      <c r="I5014" s="96">
        <f t="shared" si="312"/>
        <v>5.87</v>
      </c>
      <c r="J5014" s="91" t="str">
        <f t="shared" si="313"/>
        <v>Sinapi 102594</v>
      </c>
      <c r="K5014" s="91" t="str">
        <f t="shared" si="314"/>
        <v>UN</v>
      </c>
      <c r="L5014" s="166" t="str">
        <f t="shared" si="315"/>
        <v>06/2021</v>
      </c>
      <c r="M5014" s="82"/>
      <c r="N5014" s="82"/>
    </row>
    <row r="5015" spans="1:14" x14ac:dyDescent="0.25">
      <c r="A5015" s="170" t="s">
        <v>13785</v>
      </c>
      <c r="B5015" s="170" t="s">
        <v>13786</v>
      </c>
      <c r="C5015" s="170" t="s">
        <v>205</v>
      </c>
      <c r="D5015" s="170" t="s">
        <v>2067</v>
      </c>
      <c r="E5015" s="171" t="s">
        <v>5912</v>
      </c>
      <c r="F5015" s="171" t="s">
        <v>14355</v>
      </c>
      <c r="G5015" s="82"/>
      <c r="H5015" s="96">
        <f t="shared" si="312"/>
        <v>4.49</v>
      </c>
      <c r="I5015" s="96">
        <f t="shared" si="312"/>
        <v>5</v>
      </c>
      <c r="J5015" s="91" t="str">
        <f t="shared" si="313"/>
        <v>Sinapi 102595</v>
      </c>
      <c r="K5015" s="91" t="str">
        <f t="shared" si="314"/>
        <v>UN</v>
      </c>
      <c r="L5015" s="166" t="str">
        <f t="shared" si="315"/>
        <v>06/2021</v>
      </c>
      <c r="M5015" s="82"/>
      <c r="N5015" s="82"/>
    </row>
    <row r="5016" spans="1:14" x14ac:dyDescent="0.25">
      <c r="A5016" s="170" t="s">
        <v>13787</v>
      </c>
      <c r="B5016" s="170" t="s">
        <v>13788</v>
      </c>
      <c r="C5016" s="170" t="s">
        <v>205</v>
      </c>
      <c r="D5016" s="170" t="s">
        <v>2067</v>
      </c>
      <c r="E5016" s="171" t="s">
        <v>15661</v>
      </c>
      <c r="F5016" s="171" t="s">
        <v>15664</v>
      </c>
      <c r="G5016" s="82"/>
      <c r="H5016" s="96">
        <f t="shared" si="312"/>
        <v>5.78</v>
      </c>
      <c r="I5016" s="96">
        <f t="shared" si="312"/>
        <v>6.44</v>
      </c>
      <c r="J5016" s="91" t="str">
        <f t="shared" si="313"/>
        <v>Sinapi 102596</v>
      </c>
      <c r="K5016" s="91" t="str">
        <f t="shared" si="314"/>
        <v>UN</v>
      </c>
      <c r="L5016" s="166" t="str">
        <f t="shared" si="315"/>
        <v>06/2021</v>
      </c>
      <c r="M5016" s="82"/>
      <c r="N5016" s="82"/>
    </row>
    <row r="5017" spans="1:14" x14ac:dyDescent="0.25">
      <c r="A5017" s="170" t="s">
        <v>13789</v>
      </c>
      <c r="B5017" s="170" t="s">
        <v>13790</v>
      </c>
      <c r="C5017" s="170" t="s">
        <v>205</v>
      </c>
      <c r="D5017" s="170" t="s">
        <v>2067</v>
      </c>
      <c r="E5017" s="171" t="s">
        <v>8155</v>
      </c>
      <c r="F5017" s="171" t="s">
        <v>15657</v>
      </c>
      <c r="G5017" s="82"/>
      <c r="H5017" s="96">
        <f t="shared" si="312"/>
        <v>5.14</v>
      </c>
      <c r="I5017" s="96">
        <f t="shared" si="312"/>
        <v>5.73</v>
      </c>
      <c r="J5017" s="91" t="str">
        <f t="shared" si="313"/>
        <v>Sinapi 102597</v>
      </c>
      <c r="K5017" s="91" t="str">
        <f t="shared" si="314"/>
        <v>UN</v>
      </c>
      <c r="L5017" s="166" t="str">
        <f t="shared" si="315"/>
        <v>06/2021</v>
      </c>
      <c r="M5017" s="82"/>
      <c r="N5017" s="82"/>
    </row>
    <row r="5018" spans="1:14" x14ac:dyDescent="0.25">
      <c r="A5018" s="170" t="s">
        <v>13791</v>
      </c>
      <c r="B5018" s="170" t="s">
        <v>13792</v>
      </c>
      <c r="C5018" s="170" t="s">
        <v>205</v>
      </c>
      <c r="D5018" s="170" t="s">
        <v>2067</v>
      </c>
      <c r="E5018" s="171" t="s">
        <v>13841</v>
      </c>
      <c r="F5018" s="171" t="s">
        <v>33592</v>
      </c>
      <c r="G5018" s="82"/>
      <c r="H5018" s="96">
        <f t="shared" si="312"/>
        <v>6.42</v>
      </c>
      <c r="I5018" s="96">
        <f t="shared" si="312"/>
        <v>7.16</v>
      </c>
      <c r="J5018" s="91" t="str">
        <f t="shared" si="313"/>
        <v>Sinapi 102598</v>
      </c>
      <c r="K5018" s="91" t="str">
        <f t="shared" si="314"/>
        <v>UN</v>
      </c>
      <c r="L5018" s="166" t="str">
        <f t="shared" si="315"/>
        <v>06/2021</v>
      </c>
      <c r="M5018" s="82"/>
      <c r="N5018" s="82"/>
    </row>
    <row r="5019" spans="1:14" x14ac:dyDescent="0.25">
      <c r="A5019" s="170" t="s">
        <v>13793</v>
      </c>
      <c r="B5019" s="170" t="s">
        <v>13794</v>
      </c>
      <c r="C5019" s="170" t="s">
        <v>205</v>
      </c>
      <c r="D5019" s="170" t="s">
        <v>2067</v>
      </c>
      <c r="E5019" s="171" t="s">
        <v>15661</v>
      </c>
      <c r="F5019" s="171" t="s">
        <v>13576</v>
      </c>
      <c r="G5019" s="82"/>
      <c r="H5019" s="96">
        <f t="shared" si="312"/>
        <v>5.78</v>
      </c>
      <c r="I5019" s="96">
        <f t="shared" si="312"/>
        <v>6.45</v>
      </c>
      <c r="J5019" s="91" t="str">
        <f t="shared" si="313"/>
        <v>Sinapi 102599</v>
      </c>
      <c r="K5019" s="91" t="str">
        <f t="shared" si="314"/>
        <v>UN</v>
      </c>
      <c r="L5019" s="166" t="str">
        <f t="shared" si="315"/>
        <v>06/2021</v>
      </c>
      <c r="M5019" s="82"/>
      <c r="N5019" s="82"/>
    </row>
    <row r="5020" spans="1:14" x14ac:dyDescent="0.25">
      <c r="A5020" s="170" t="s">
        <v>13795</v>
      </c>
      <c r="B5020" s="170" t="s">
        <v>13796</v>
      </c>
      <c r="C5020" s="170" t="s">
        <v>205</v>
      </c>
      <c r="D5020" s="170" t="s">
        <v>2067</v>
      </c>
      <c r="E5020" s="171" t="s">
        <v>17402</v>
      </c>
      <c r="F5020" s="171" t="s">
        <v>34569</v>
      </c>
      <c r="G5020" s="82"/>
      <c r="H5020" s="96">
        <f t="shared" si="312"/>
        <v>7.07</v>
      </c>
      <c r="I5020" s="96">
        <f t="shared" si="312"/>
        <v>7.88</v>
      </c>
      <c r="J5020" s="91" t="str">
        <f t="shared" si="313"/>
        <v>Sinapi 102600</v>
      </c>
      <c r="K5020" s="91" t="str">
        <f t="shared" si="314"/>
        <v>UN</v>
      </c>
      <c r="L5020" s="166" t="str">
        <f t="shared" si="315"/>
        <v>06/2021</v>
      </c>
      <c r="M5020" s="82"/>
      <c r="N5020" s="82"/>
    </row>
    <row r="5021" spans="1:14" x14ac:dyDescent="0.25">
      <c r="A5021" s="170" t="s">
        <v>13797</v>
      </c>
      <c r="B5021" s="170" t="s">
        <v>13798</v>
      </c>
      <c r="C5021" s="170" t="s">
        <v>205</v>
      </c>
      <c r="D5021" s="170" t="s">
        <v>2067</v>
      </c>
      <c r="E5021" s="171" t="s">
        <v>20108</v>
      </c>
      <c r="F5021" s="171" t="s">
        <v>17378</v>
      </c>
      <c r="G5021" s="82"/>
      <c r="H5021" s="96">
        <f t="shared" si="312"/>
        <v>6.76</v>
      </c>
      <c r="I5021" s="96">
        <f t="shared" si="312"/>
        <v>7.53</v>
      </c>
      <c r="J5021" s="91" t="str">
        <f t="shared" si="313"/>
        <v>Sinapi 102601</v>
      </c>
      <c r="K5021" s="91" t="str">
        <f t="shared" si="314"/>
        <v>UN</v>
      </c>
      <c r="L5021" s="166" t="str">
        <f t="shared" si="315"/>
        <v>06/2021</v>
      </c>
      <c r="M5021" s="82"/>
      <c r="N5021" s="82"/>
    </row>
    <row r="5022" spans="1:14" x14ac:dyDescent="0.25">
      <c r="A5022" s="170" t="s">
        <v>13799</v>
      </c>
      <c r="B5022" s="170" t="s">
        <v>13800</v>
      </c>
      <c r="C5022" s="170" t="s">
        <v>205</v>
      </c>
      <c r="D5022" s="170" t="s">
        <v>2067</v>
      </c>
      <c r="E5022" s="171" t="s">
        <v>28936</v>
      </c>
      <c r="F5022" s="171" t="s">
        <v>15785</v>
      </c>
      <c r="G5022" s="82"/>
      <c r="H5022" s="96">
        <f t="shared" si="312"/>
        <v>8.0399999999999991</v>
      </c>
      <c r="I5022" s="96">
        <f t="shared" si="312"/>
        <v>8.9600000000000009</v>
      </c>
      <c r="J5022" s="91" t="str">
        <f t="shared" si="313"/>
        <v>Sinapi 102602</v>
      </c>
      <c r="K5022" s="91" t="str">
        <f t="shared" si="314"/>
        <v>UN</v>
      </c>
      <c r="L5022" s="166" t="str">
        <f t="shared" si="315"/>
        <v>06/2021</v>
      </c>
      <c r="M5022" s="82"/>
      <c r="N5022" s="82"/>
    </row>
    <row r="5023" spans="1:14" x14ac:dyDescent="0.25">
      <c r="A5023" s="170" t="s">
        <v>13801</v>
      </c>
      <c r="B5023" s="170" t="s">
        <v>13802</v>
      </c>
      <c r="C5023" s="170" t="s">
        <v>205</v>
      </c>
      <c r="D5023" s="170" t="s">
        <v>2067</v>
      </c>
      <c r="E5023" s="171" t="s">
        <v>29875</v>
      </c>
      <c r="F5023" s="171" t="s">
        <v>3942</v>
      </c>
      <c r="G5023" s="82"/>
      <c r="H5023" s="96">
        <f t="shared" si="312"/>
        <v>8.3800000000000008</v>
      </c>
      <c r="I5023" s="96">
        <f t="shared" si="312"/>
        <v>9.34</v>
      </c>
      <c r="J5023" s="91" t="str">
        <f t="shared" si="313"/>
        <v>Sinapi 102603</v>
      </c>
      <c r="K5023" s="91" t="str">
        <f t="shared" si="314"/>
        <v>UN</v>
      </c>
      <c r="L5023" s="166" t="str">
        <f t="shared" si="315"/>
        <v>06/2021</v>
      </c>
      <c r="M5023" s="82"/>
      <c r="N5023" s="82"/>
    </row>
    <row r="5024" spans="1:14" x14ac:dyDescent="0.25">
      <c r="A5024" s="170" t="s">
        <v>13803</v>
      </c>
      <c r="B5024" s="170" t="s">
        <v>13804</v>
      </c>
      <c r="C5024" s="170" t="s">
        <v>205</v>
      </c>
      <c r="D5024" s="170" t="s">
        <v>2067</v>
      </c>
      <c r="E5024" s="171" t="s">
        <v>33937</v>
      </c>
      <c r="F5024" s="171" t="s">
        <v>16284</v>
      </c>
      <c r="G5024" s="82"/>
      <c r="H5024" s="96">
        <f t="shared" si="312"/>
        <v>9.66</v>
      </c>
      <c r="I5024" s="96">
        <f t="shared" si="312"/>
        <v>10.78</v>
      </c>
      <c r="J5024" s="91" t="str">
        <f t="shared" si="313"/>
        <v>Sinapi 102604</v>
      </c>
      <c r="K5024" s="91" t="str">
        <f t="shared" si="314"/>
        <v>UN</v>
      </c>
      <c r="L5024" s="166" t="str">
        <f t="shared" si="315"/>
        <v>06/2021</v>
      </c>
      <c r="M5024" s="82"/>
      <c r="N5024" s="82"/>
    </row>
    <row r="5025" spans="1:14" x14ac:dyDescent="0.25">
      <c r="A5025" s="170" t="s">
        <v>13805</v>
      </c>
      <c r="B5025" s="170" t="s">
        <v>13806</v>
      </c>
      <c r="C5025" s="170" t="s">
        <v>205</v>
      </c>
      <c r="D5025" s="170" t="s">
        <v>2067</v>
      </c>
      <c r="E5025" s="171" t="s">
        <v>33938</v>
      </c>
      <c r="F5025" s="171" t="s">
        <v>37097</v>
      </c>
      <c r="G5025" s="82"/>
      <c r="H5025" s="96">
        <f t="shared" si="312"/>
        <v>274.19</v>
      </c>
      <c r="I5025" s="96">
        <f t="shared" si="312"/>
        <v>274.69</v>
      </c>
      <c r="J5025" s="91" t="str">
        <f t="shared" si="313"/>
        <v>Sinapi 102605</v>
      </c>
      <c r="K5025" s="91" t="str">
        <f t="shared" si="314"/>
        <v>UN</v>
      </c>
      <c r="L5025" s="166" t="str">
        <f t="shared" si="315"/>
        <v>06/2021</v>
      </c>
      <c r="M5025" s="82"/>
      <c r="N5025" s="82"/>
    </row>
    <row r="5026" spans="1:14" x14ac:dyDescent="0.25">
      <c r="A5026" s="170" t="s">
        <v>13807</v>
      </c>
      <c r="B5026" s="170" t="s">
        <v>13808</v>
      </c>
      <c r="C5026" s="170" t="s">
        <v>205</v>
      </c>
      <c r="D5026" s="170" t="s">
        <v>2067</v>
      </c>
      <c r="E5026" s="171" t="s">
        <v>33939</v>
      </c>
      <c r="F5026" s="171" t="s">
        <v>37098</v>
      </c>
      <c r="G5026" s="82"/>
      <c r="H5026" s="96">
        <f t="shared" si="312"/>
        <v>422.75</v>
      </c>
      <c r="I5026" s="96">
        <f t="shared" si="312"/>
        <v>423.37</v>
      </c>
      <c r="J5026" s="91" t="str">
        <f t="shared" si="313"/>
        <v>Sinapi 102606</v>
      </c>
      <c r="K5026" s="91" t="str">
        <f t="shared" si="314"/>
        <v>UN</v>
      </c>
      <c r="L5026" s="166" t="str">
        <f t="shared" si="315"/>
        <v>06/2021</v>
      </c>
      <c r="M5026" s="82"/>
      <c r="N5026" s="82"/>
    </row>
    <row r="5027" spans="1:14" x14ac:dyDescent="0.25">
      <c r="A5027" s="170" t="s">
        <v>13809</v>
      </c>
      <c r="B5027" s="170" t="s">
        <v>13810</v>
      </c>
      <c r="C5027" s="170" t="s">
        <v>205</v>
      </c>
      <c r="D5027" s="170" t="s">
        <v>2067</v>
      </c>
      <c r="E5027" s="171" t="s">
        <v>33940</v>
      </c>
      <c r="F5027" s="171" t="s">
        <v>37099</v>
      </c>
      <c r="G5027" s="82"/>
      <c r="H5027" s="96">
        <f t="shared" si="312"/>
        <v>452.45</v>
      </c>
      <c r="I5027" s="96">
        <f t="shared" si="312"/>
        <v>453.17</v>
      </c>
      <c r="J5027" s="91" t="str">
        <f t="shared" si="313"/>
        <v>Sinapi 102607</v>
      </c>
      <c r="K5027" s="91" t="str">
        <f t="shared" si="314"/>
        <v>UN</v>
      </c>
      <c r="L5027" s="166" t="str">
        <f t="shared" si="315"/>
        <v>06/2021</v>
      </c>
      <c r="M5027" s="82"/>
      <c r="N5027" s="82"/>
    </row>
    <row r="5028" spans="1:14" x14ac:dyDescent="0.25">
      <c r="A5028" s="170" t="s">
        <v>13811</v>
      </c>
      <c r="B5028" s="170" t="s">
        <v>13812</v>
      </c>
      <c r="C5028" s="170" t="s">
        <v>205</v>
      </c>
      <c r="D5028" s="170" t="s">
        <v>2067</v>
      </c>
      <c r="E5028" s="171" t="s">
        <v>33941</v>
      </c>
      <c r="F5028" s="171" t="s">
        <v>37100</v>
      </c>
      <c r="G5028" s="82"/>
      <c r="H5028" s="96">
        <f t="shared" si="312"/>
        <v>1038.27</v>
      </c>
      <c r="I5028" s="96">
        <f t="shared" si="312"/>
        <v>1039.22</v>
      </c>
      <c r="J5028" s="91" t="str">
        <f t="shared" si="313"/>
        <v>Sinapi 102608</v>
      </c>
      <c r="K5028" s="91" t="str">
        <f t="shared" si="314"/>
        <v>UN</v>
      </c>
      <c r="L5028" s="166" t="str">
        <f t="shared" si="315"/>
        <v>06/2021</v>
      </c>
      <c r="M5028" s="82"/>
      <c r="N5028" s="82"/>
    </row>
    <row r="5029" spans="1:14" x14ac:dyDescent="0.25">
      <c r="A5029" s="170" t="s">
        <v>13813</v>
      </c>
      <c r="B5029" s="170" t="s">
        <v>13814</v>
      </c>
      <c r="C5029" s="170" t="s">
        <v>205</v>
      </c>
      <c r="D5029" s="170" t="s">
        <v>2067</v>
      </c>
      <c r="E5029" s="171" t="s">
        <v>33942</v>
      </c>
      <c r="F5029" s="171" t="s">
        <v>37101</v>
      </c>
      <c r="G5029" s="82"/>
      <c r="H5029" s="96">
        <f t="shared" si="312"/>
        <v>1179.44</v>
      </c>
      <c r="I5029" s="96">
        <f t="shared" si="312"/>
        <v>1180.71</v>
      </c>
      <c r="J5029" s="91" t="str">
        <f t="shared" si="313"/>
        <v>Sinapi 102609</v>
      </c>
      <c r="K5029" s="91" t="str">
        <f t="shared" si="314"/>
        <v>UN</v>
      </c>
      <c r="L5029" s="166" t="str">
        <f t="shared" si="315"/>
        <v>06/2021</v>
      </c>
      <c r="M5029" s="82"/>
      <c r="N5029" s="82"/>
    </row>
    <row r="5030" spans="1:14" x14ac:dyDescent="0.25">
      <c r="A5030" s="170" t="s">
        <v>20451</v>
      </c>
      <c r="B5030" s="170" t="s">
        <v>20452</v>
      </c>
      <c r="C5030" s="170" t="s">
        <v>205</v>
      </c>
      <c r="D5030" s="170" t="s">
        <v>2067</v>
      </c>
      <c r="E5030" s="171" t="s">
        <v>33943</v>
      </c>
      <c r="F5030" s="171" t="s">
        <v>37102</v>
      </c>
      <c r="G5030" s="82"/>
      <c r="H5030" s="96">
        <f t="shared" si="312"/>
        <v>2028.1</v>
      </c>
      <c r="I5030" s="96">
        <f t="shared" si="312"/>
        <v>2029.69</v>
      </c>
      <c r="J5030" s="91" t="str">
        <f t="shared" si="313"/>
        <v>Sinapi 102610</v>
      </c>
      <c r="K5030" s="91" t="str">
        <f t="shared" si="314"/>
        <v>UN</v>
      </c>
      <c r="L5030" s="166" t="str">
        <f t="shared" si="315"/>
        <v>06/2021</v>
      </c>
      <c r="M5030" s="82"/>
      <c r="N5030" s="82"/>
    </row>
    <row r="5031" spans="1:14" x14ac:dyDescent="0.25">
      <c r="A5031" s="170" t="s">
        <v>13815</v>
      </c>
      <c r="B5031" s="170" t="s">
        <v>13816</v>
      </c>
      <c r="C5031" s="170" t="s">
        <v>205</v>
      </c>
      <c r="D5031" s="170" t="s">
        <v>2067</v>
      </c>
      <c r="E5031" s="171" t="s">
        <v>33944</v>
      </c>
      <c r="F5031" s="171" t="s">
        <v>37103</v>
      </c>
      <c r="G5031" s="82"/>
      <c r="H5031" s="96">
        <f t="shared" si="312"/>
        <v>456.03</v>
      </c>
      <c r="I5031" s="96">
        <f t="shared" si="312"/>
        <v>456.58</v>
      </c>
      <c r="J5031" s="91" t="str">
        <f t="shared" si="313"/>
        <v>Sinapi 102611</v>
      </c>
      <c r="K5031" s="91" t="str">
        <f t="shared" si="314"/>
        <v>UN</v>
      </c>
      <c r="L5031" s="166" t="str">
        <f t="shared" si="315"/>
        <v>06/2021</v>
      </c>
      <c r="M5031" s="82"/>
      <c r="N5031" s="82"/>
    </row>
    <row r="5032" spans="1:14" x14ac:dyDescent="0.25">
      <c r="A5032" s="170" t="s">
        <v>20453</v>
      </c>
      <c r="B5032" s="170" t="s">
        <v>20454</v>
      </c>
      <c r="C5032" s="170" t="s">
        <v>205</v>
      </c>
      <c r="D5032" s="170" t="s">
        <v>2067</v>
      </c>
      <c r="E5032" s="171" t="s">
        <v>33945</v>
      </c>
      <c r="F5032" s="171" t="s">
        <v>37104</v>
      </c>
      <c r="G5032" s="82"/>
      <c r="H5032" s="96">
        <f t="shared" si="312"/>
        <v>655.03</v>
      </c>
      <c r="I5032" s="96">
        <f t="shared" si="312"/>
        <v>655.63</v>
      </c>
      <c r="J5032" s="91" t="str">
        <f t="shared" si="313"/>
        <v>Sinapi 102612</v>
      </c>
      <c r="K5032" s="91" t="str">
        <f t="shared" si="314"/>
        <v>UN</v>
      </c>
      <c r="L5032" s="166" t="str">
        <f t="shared" si="315"/>
        <v>06/2021</v>
      </c>
      <c r="M5032" s="82"/>
      <c r="N5032" s="82"/>
    </row>
    <row r="5033" spans="1:14" x14ac:dyDescent="0.25">
      <c r="A5033" s="170" t="s">
        <v>13817</v>
      </c>
      <c r="B5033" s="170" t="s">
        <v>13818</v>
      </c>
      <c r="C5033" s="170" t="s">
        <v>205</v>
      </c>
      <c r="D5033" s="170" t="s">
        <v>2067</v>
      </c>
      <c r="E5033" s="171" t="s">
        <v>25773</v>
      </c>
      <c r="F5033" s="171" t="s">
        <v>37105</v>
      </c>
      <c r="G5033" s="82"/>
      <c r="H5033" s="96">
        <f t="shared" si="312"/>
        <v>634.72</v>
      </c>
      <c r="I5033" s="96">
        <f t="shared" si="312"/>
        <v>635.44000000000005</v>
      </c>
      <c r="J5033" s="91" t="str">
        <f t="shared" si="313"/>
        <v>Sinapi 102613</v>
      </c>
      <c r="K5033" s="91" t="str">
        <f t="shared" si="314"/>
        <v>UN</v>
      </c>
      <c r="L5033" s="166" t="str">
        <f t="shared" si="315"/>
        <v>06/2021</v>
      </c>
      <c r="M5033" s="82"/>
      <c r="N5033" s="82"/>
    </row>
    <row r="5034" spans="1:14" x14ac:dyDescent="0.25">
      <c r="A5034" s="170" t="s">
        <v>13819</v>
      </c>
      <c r="B5034" s="170" t="s">
        <v>13820</v>
      </c>
      <c r="C5034" s="170" t="s">
        <v>205</v>
      </c>
      <c r="D5034" s="170" t="s">
        <v>2067</v>
      </c>
      <c r="E5034" s="171" t="s">
        <v>33946</v>
      </c>
      <c r="F5034" s="171" t="s">
        <v>37106</v>
      </c>
      <c r="G5034" s="82"/>
      <c r="H5034" s="96">
        <f t="shared" si="312"/>
        <v>976.27</v>
      </c>
      <c r="I5034" s="96">
        <f t="shared" si="312"/>
        <v>977.21</v>
      </c>
      <c r="J5034" s="91" t="str">
        <f t="shared" si="313"/>
        <v>Sinapi 102614</v>
      </c>
      <c r="K5034" s="91" t="str">
        <f t="shared" si="314"/>
        <v>UN</v>
      </c>
      <c r="L5034" s="166" t="str">
        <f t="shared" si="315"/>
        <v>06/2021</v>
      </c>
      <c r="M5034" s="82"/>
      <c r="N5034" s="82"/>
    </row>
    <row r="5035" spans="1:14" x14ac:dyDescent="0.25">
      <c r="A5035" s="170" t="s">
        <v>13821</v>
      </c>
      <c r="B5035" s="170" t="s">
        <v>13822</v>
      </c>
      <c r="C5035" s="170" t="s">
        <v>205</v>
      </c>
      <c r="D5035" s="170" t="s">
        <v>2067</v>
      </c>
      <c r="E5035" s="171" t="s">
        <v>33947</v>
      </c>
      <c r="F5035" s="171" t="s">
        <v>37107</v>
      </c>
      <c r="G5035" s="82"/>
      <c r="H5035" s="96">
        <f t="shared" si="312"/>
        <v>1225.22</v>
      </c>
      <c r="I5035" s="96">
        <f t="shared" si="312"/>
        <v>1226.3900000000001</v>
      </c>
      <c r="J5035" s="91" t="str">
        <f t="shared" si="313"/>
        <v>Sinapi 102615</v>
      </c>
      <c r="K5035" s="91" t="str">
        <f t="shared" si="314"/>
        <v>UN</v>
      </c>
      <c r="L5035" s="166" t="str">
        <f t="shared" si="315"/>
        <v>06/2021</v>
      </c>
      <c r="M5035" s="82"/>
      <c r="N5035" s="82"/>
    </row>
    <row r="5036" spans="1:14" x14ac:dyDescent="0.25">
      <c r="A5036" s="170" t="s">
        <v>20455</v>
      </c>
      <c r="B5036" s="170" t="s">
        <v>20456</v>
      </c>
      <c r="C5036" s="170" t="s">
        <v>205</v>
      </c>
      <c r="D5036" s="170" t="s">
        <v>2067</v>
      </c>
      <c r="E5036" s="171" t="s">
        <v>33948</v>
      </c>
      <c r="F5036" s="171" t="s">
        <v>37108</v>
      </c>
      <c r="G5036" s="82"/>
      <c r="H5036" s="96">
        <f t="shared" si="312"/>
        <v>1814.06</v>
      </c>
      <c r="I5036" s="96">
        <f t="shared" si="312"/>
        <v>1815.6</v>
      </c>
      <c r="J5036" s="91" t="str">
        <f t="shared" si="313"/>
        <v>Sinapi 102616</v>
      </c>
      <c r="K5036" s="91" t="str">
        <f t="shared" si="314"/>
        <v>UN</v>
      </c>
      <c r="L5036" s="166" t="str">
        <f t="shared" si="315"/>
        <v>06/2021</v>
      </c>
      <c r="M5036" s="82"/>
      <c r="N5036" s="82"/>
    </row>
    <row r="5037" spans="1:14" x14ac:dyDescent="0.25">
      <c r="A5037" s="170" t="s">
        <v>13823</v>
      </c>
      <c r="B5037" s="170" t="s">
        <v>13824</v>
      </c>
      <c r="C5037" s="170" t="s">
        <v>205</v>
      </c>
      <c r="D5037" s="170" t="s">
        <v>1947</v>
      </c>
      <c r="E5037" s="171" t="s">
        <v>33949</v>
      </c>
      <c r="F5037" s="171" t="s">
        <v>37109</v>
      </c>
      <c r="G5037" s="82"/>
      <c r="H5037" s="96">
        <f t="shared" si="312"/>
        <v>3316.42</v>
      </c>
      <c r="I5037" s="96">
        <f t="shared" si="312"/>
        <v>3331.67</v>
      </c>
      <c r="J5037" s="91" t="str">
        <f t="shared" si="313"/>
        <v>Sinapi 102617</v>
      </c>
      <c r="K5037" s="91" t="str">
        <f t="shared" si="314"/>
        <v>UN</v>
      </c>
      <c r="L5037" s="166" t="str">
        <f t="shared" si="315"/>
        <v>06/2021</v>
      </c>
      <c r="M5037" s="82"/>
      <c r="N5037" s="82"/>
    </row>
    <row r="5038" spans="1:14" x14ac:dyDescent="0.25">
      <c r="A5038" s="170" t="s">
        <v>20457</v>
      </c>
      <c r="B5038" s="170" t="s">
        <v>20458</v>
      </c>
      <c r="C5038" s="170" t="s">
        <v>205</v>
      </c>
      <c r="D5038" s="170" t="s">
        <v>1947</v>
      </c>
      <c r="E5038" s="171" t="s">
        <v>33950</v>
      </c>
      <c r="F5038" s="171" t="s">
        <v>37110</v>
      </c>
      <c r="G5038" s="82"/>
      <c r="H5038" s="96">
        <f t="shared" si="312"/>
        <v>3997.86</v>
      </c>
      <c r="I5038" s="96">
        <f t="shared" si="312"/>
        <v>4013.11</v>
      </c>
      <c r="J5038" s="91" t="str">
        <f t="shared" si="313"/>
        <v>Sinapi 102618</v>
      </c>
      <c r="K5038" s="91" t="str">
        <f t="shared" si="314"/>
        <v>UN</v>
      </c>
      <c r="L5038" s="166" t="str">
        <f t="shared" si="315"/>
        <v>06/2021</v>
      </c>
      <c r="M5038" s="82"/>
      <c r="N5038" s="82"/>
    </row>
    <row r="5039" spans="1:14" x14ac:dyDescent="0.25">
      <c r="A5039" s="170" t="s">
        <v>13825</v>
      </c>
      <c r="B5039" s="170" t="s">
        <v>13826</v>
      </c>
      <c r="C5039" s="170" t="s">
        <v>205</v>
      </c>
      <c r="D5039" s="170" t="s">
        <v>1947</v>
      </c>
      <c r="E5039" s="171" t="s">
        <v>33951</v>
      </c>
      <c r="F5039" s="171" t="s">
        <v>37111</v>
      </c>
      <c r="G5039" s="82"/>
      <c r="H5039" s="96">
        <f t="shared" si="312"/>
        <v>5380.36</v>
      </c>
      <c r="I5039" s="96">
        <f t="shared" si="312"/>
        <v>5395.61</v>
      </c>
      <c r="J5039" s="91" t="str">
        <f t="shared" si="313"/>
        <v>Sinapi 102619</v>
      </c>
      <c r="K5039" s="91" t="str">
        <f t="shared" si="314"/>
        <v>UN</v>
      </c>
      <c r="L5039" s="166" t="str">
        <f t="shared" si="315"/>
        <v>06/2021</v>
      </c>
      <c r="M5039" s="82"/>
      <c r="N5039" s="82"/>
    </row>
    <row r="5040" spans="1:14" x14ac:dyDescent="0.25">
      <c r="A5040" s="170" t="s">
        <v>20459</v>
      </c>
      <c r="B5040" s="170" t="s">
        <v>20460</v>
      </c>
      <c r="C5040" s="170" t="s">
        <v>205</v>
      </c>
      <c r="D5040" s="170" t="s">
        <v>1947</v>
      </c>
      <c r="E5040" s="171" t="s">
        <v>33952</v>
      </c>
      <c r="F5040" s="171" t="s">
        <v>37112</v>
      </c>
      <c r="G5040" s="82"/>
      <c r="H5040" s="96">
        <f t="shared" si="312"/>
        <v>7834.6</v>
      </c>
      <c r="I5040" s="96">
        <f t="shared" si="312"/>
        <v>7849.85</v>
      </c>
      <c r="J5040" s="91" t="str">
        <f t="shared" si="313"/>
        <v>Sinapi 102620</v>
      </c>
      <c r="K5040" s="91" t="str">
        <f t="shared" si="314"/>
        <v>UN</v>
      </c>
      <c r="L5040" s="166" t="str">
        <f t="shared" si="315"/>
        <v>06/2021</v>
      </c>
      <c r="M5040" s="82"/>
      <c r="N5040" s="82"/>
    </row>
    <row r="5041" spans="1:14" x14ac:dyDescent="0.25">
      <c r="A5041" s="170" t="s">
        <v>20461</v>
      </c>
      <c r="B5041" s="170" t="s">
        <v>20462</v>
      </c>
      <c r="C5041" s="170" t="s">
        <v>205</v>
      </c>
      <c r="D5041" s="170" t="s">
        <v>1947</v>
      </c>
      <c r="E5041" s="171" t="s">
        <v>33953</v>
      </c>
      <c r="F5041" s="171" t="s">
        <v>37113</v>
      </c>
      <c r="G5041" s="82"/>
      <c r="H5041" s="96">
        <f t="shared" si="312"/>
        <v>12063.91</v>
      </c>
      <c r="I5041" s="96">
        <f t="shared" si="312"/>
        <v>12079.16</v>
      </c>
      <c r="J5041" s="91" t="str">
        <f t="shared" si="313"/>
        <v>Sinapi 102621</v>
      </c>
      <c r="K5041" s="91" t="str">
        <f t="shared" si="314"/>
        <v>UN</v>
      </c>
      <c r="L5041" s="166" t="str">
        <f t="shared" si="315"/>
        <v>06/2021</v>
      </c>
      <c r="M5041" s="82"/>
      <c r="N5041" s="82"/>
    </row>
    <row r="5042" spans="1:14" x14ac:dyDescent="0.25">
      <c r="A5042" s="170" t="s">
        <v>13827</v>
      </c>
      <c r="B5042" s="170" t="s">
        <v>13828</v>
      </c>
      <c r="C5042" s="170" t="s">
        <v>205</v>
      </c>
      <c r="D5042" s="170" t="s">
        <v>2067</v>
      </c>
      <c r="E5042" s="171" t="s">
        <v>33954</v>
      </c>
      <c r="F5042" s="171" t="s">
        <v>37114</v>
      </c>
      <c r="G5042" s="82"/>
      <c r="H5042" s="96">
        <f t="shared" si="312"/>
        <v>592.39</v>
      </c>
      <c r="I5042" s="96">
        <f t="shared" si="312"/>
        <v>603.79</v>
      </c>
      <c r="J5042" s="91" t="str">
        <f t="shared" si="313"/>
        <v>Sinapi 102622</v>
      </c>
      <c r="K5042" s="91" t="str">
        <f t="shared" si="314"/>
        <v>UN</v>
      </c>
      <c r="L5042" s="166" t="str">
        <f t="shared" si="315"/>
        <v>06/2021</v>
      </c>
      <c r="M5042" s="82"/>
      <c r="N5042" s="82"/>
    </row>
    <row r="5043" spans="1:14" x14ac:dyDescent="0.25">
      <c r="A5043" s="170" t="s">
        <v>13829</v>
      </c>
      <c r="B5043" s="170" t="s">
        <v>13830</v>
      </c>
      <c r="C5043" s="170" t="s">
        <v>205</v>
      </c>
      <c r="D5043" s="170" t="s">
        <v>2067</v>
      </c>
      <c r="E5043" s="171" t="s">
        <v>33955</v>
      </c>
      <c r="F5043" s="171" t="s">
        <v>37115</v>
      </c>
      <c r="G5043" s="82"/>
      <c r="H5043" s="96">
        <f t="shared" si="312"/>
        <v>828.58</v>
      </c>
      <c r="I5043" s="96">
        <f t="shared" si="312"/>
        <v>841.56</v>
      </c>
      <c r="J5043" s="91" t="str">
        <f t="shared" si="313"/>
        <v>Sinapi 102623</v>
      </c>
      <c r="K5043" s="91" t="str">
        <f t="shared" si="314"/>
        <v>UN</v>
      </c>
      <c r="L5043" s="166" t="str">
        <f t="shared" si="315"/>
        <v>06/2021</v>
      </c>
      <c r="M5043" s="82"/>
      <c r="N5043" s="82"/>
    </row>
    <row r="5044" spans="1:14" x14ac:dyDescent="0.25">
      <c r="A5044" s="170" t="s">
        <v>7700</v>
      </c>
      <c r="B5044" s="170" t="s">
        <v>17043</v>
      </c>
      <c r="C5044" s="170" t="s">
        <v>205</v>
      </c>
      <c r="D5044" s="170" t="s">
        <v>2067</v>
      </c>
      <c r="E5044" s="171" t="s">
        <v>33956</v>
      </c>
      <c r="F5044" s="171" t="s">
        <v>37116</v>
      </c>
      <c r="G5044" s="82"/>
      <c r="H5044" s="96">
        <f t="shared" si="312"/>
        <v>37.93</v>
      </c>
      <c r="I5044" s="96">
        <f t="shared" si="312"/>
        <v>38.950000000000003</v>
      </c>
      <c r="J5044" s="91" t="str">
        <f t="shared" si="313"/>
        <v>Sinapi 89482</v>
      </c>
      <c r="K5044" s="91" t="str">
        <f t="shared" si="314"/>
        <v>UN</v>
      </c>
      <c r="L5044" s="166" t="str">
        <f t="shared" si="315"/>
        <v>06/2022</v>
      </c>
      <c r="M5044" s="82"/>
      <c r="N5044" s="82"/>
    </row>
    <row r="5045" spans="1:14" x14ac:dyDescent="0.25">
      <c r="A5045" s="170" t="s">
        <v>7701</v>
      </c>
      <c r="B5045" s="170" t="s">
        <v>17044</v>
      </c>
      <c r="C5045" s="170" t="s">
        <v>205</v>
      </c>
      <c r="D5045" s="170" t="s">
        <v>2067</v>
      </c>
      <c r="E5045" s="171" t="s">
        <v>33957</v>
      </c>
      <c r="F5045" s="171" t="s">
        <v>21573</v>
      </c>
      <c r="G5045" s="82"/>
      <c r="H5045" s="96">
        <f t="shared" si="312"/>
        <v>99.13</v>
      </c>
      <c r="I5045" s="96">
        <f t="shared" si="312"/>
        <v>100.72</v>
      </c>
      <c r="J5045" s="91" t="str">
        <f t="shared" si="313"/>
        <v>Sinapi 89491</v>
      </c>
      <c r="K5045" s="91" t="str">
        <f t="shared" si="314"/>
        <v>UN</v>
      </c>
      <c r="L5045" s="166" t="str">
        <f t="shared" si="315"/>
        <v>06/2022</v>
      </c>
      <c r="M5045" s="82"/>
      <c r="N5045" s="82"/>
    </row>
    <row r="5046" spans="1:14" x14ac:dyDescent="0.25">
      <c r="A5046" s="170" t="s">
        <v>7702</v>
      </c>
      <c r="B5046" s="170" t="s">
        <v>17045</v>
      </c>
      <c r="C5046" s="170" t="s">
        <v>205</v>
      </c>
      <c r="D5046" s="170" t="s">
        <v>2067</v>
      </c>
      <c r="E5046" s="171" t="s">
        <v>19318</v>
      </c>
      <c r="F5046" s="171" t="s">
        <v>12330</v>
      </c>
      <c r="G5046" s="82"/>
      <c r="H5046" s="96">
        <f t="shared" si="312"/>
        <v>17.12</v>
      </c>
      <c r="I5046" s="96">
        <f t="shared" si="312"/>
        <v>17.64</v>
      </c>
      <c r="J5046" s="91" t="str">
        <f t="shared" si="313"/>
        <v>Sinapi 89495</v>
      </c>
      <c r="K5046" s="91" t="str">
        <f t="shared" si="314"/>
        <v>UN</v>
      </c>
      <c r="L5046" s="166" t="str">
        <f t="shared" si="315"/>
        <v>06/2022</v>
      </c>
      <c r="M5046" s="82"/>
      <c r="N5046" s="82"/>
    </row>
    <row r="5047" spans="1:14" x14ac:dyDescent="0.25">
      <c r="A5047" s="170" t="s">
        <v>7703</v>
      </c>
      <c r="B5047" s="170" t="s">
        <v>17692</v>
      </c>
      <c r="C5047" s="170" t="s">
        <v>205</v>
      </c>
      <c r="D5047" s="170" t="s">
        <v>2067</v>
      </c>
      <c r="E5047" s="171" t="s">
        <v>29083</v>
      </c>
      <c r="F5047" s="171" t="s">
        <v>33876</v>
      </c>
      <c r="G5047" s="82"/>
      <c r="H5047" s="96">
        <f t="shared" si="312"/>
        <v>45.41</v>
      </c>
      <c r="I5047" s="96">
        <f t="shared" si="312"/>
        <v>47.28</v>
      </c>
      <c r="J5047" s="91" t="str">
        <f t="shared" si="313"/>
        <v>Sinapi 89707</v>
      </c>
      <c r="K5047" s="91" t="str">
        <f t="shared" si="314"/>
        <v>UN</v>
      </c>
      <c r="L5047" s="166" t="str">
        <f t="shared" si="315"/>
        <v>08/2022</v>
      </c>
      <c r="M5047" s="82"/>
      <c r="N5047" s="82"/>
    </row>
    <row r="5048" spans="1:14" x14ac:dyDescent="0.25">
      <c r="A5048" s="170" t="s">
        <v>7704</v>
      </c>
      <c r="B5048" s="170" t="s">
        <v>17693</v>
      </c>
      <c r="C5048" s="170" t="s">
        <v>205</v>
      </c>
      <c r="D5048" s="170" t="s">
        <v>2067</v>
      </c>
      <c r="E5048" s="171" t="s">
        <v>33958</v>
      </c>
      <c r="F5048" s="171" t="s">
        <v>28639</v>
      </c>
      <c r="G5048" s="82"/>
      <c r="H5048" s="96">
        <f t="shared" si="312"/>
        <v>99.53</v>
      </c>
      <c r="I5048" s="96">
        <f t="shared" si="312"/>
        <v>101.77</v>
      </c>
      <c r="J5048" s="91" t="str">
        <f t="shared" si="313"/>
        <v>Sinapi 89708</v>
      </c>
      <c r="K5048" s="91" t="str">
        <f t="shared" si="314"/>
        <v>UN</v>
      </c>
      <c r="L5048" s="166" t="str">
        <f t="shared" si="315"/>
        <v>08/2022</v>
      </c>
      <c r="M5048" s="82"/>
      <c r="N5048" s="82"/>
    </row>
    <row r="5049" spans="1:14" x14ac:dyDescent="0.25">
      <c r="A5049" s="170" t="s">
        <v>7705</v>
      </c>
      <c r="B5049" s="170" t="s">
        <v>17694</v>
      </c>
      <c r="C5049" s="170" t="s">
        <v>205</v>
      </c>
      <c r="D5049" s="170" t="s">
        <v>2067</v>
      </c>
      <c r="E5049" s="171" t="s">
        <v>22711</v>
      </c>
      <c r="F5049" s="171" t="s">
        <v>29254</v>
      </c>
      <c r="G5049" s="82"/>
      <c r="H5049" s="96">
        <f t="shared" si="312"/>
        <v>19.37</v>
      </c>
      <c r="I5049" s="96">
        <f t="shared" si="312"/>
        <v>20.14</v>
      </c>
      <c r="J5049" s="91" t="str">
        <f t="shared" si="313"/>
        <v>Sinapi 89709</v>
      </c>
      <c r="K5049" s="91" t="str">
        <f t="shared" si="314"/>
        <v>UN</v>
      </c>
      <c r="L5049" s="166" t="str">
        <f t="shared" si="315"/>
        <v>08/2022</v>
      </c>
      <c r="M5049" s="82"/>
      <c r="N5049" s="82"/>
    </row>
    <row r="5050" spans="1:14" x14ac:dyDescent="0.25">
      <c r="A5050" s="170" t="s">
        <v>7706</v>
      </c>
      <c r="B5050" s="170" t="s">
        <v>17695</v>
      </c>
      <c r="C5050" s="170" t="s">
        <v>205</v>
      </c>
      <c r="D5050" s="170" t="s">
        <v>2067</v>
      </c>
      <c r="E5050" s="171" t="s">
        <v>29368</v>
      </c>
      <c r="F5050" s="171" t="s">
        <v>10427</v>
      </c>
      <c r="G5050" s="82"/>
      <c r="H5050" s="96">
        <f t="shared" si="312"/>
        <v>16.91</v>
      </c>
      <c r="I5050" s="96">
        <f t="shared" si="312"/>
        <v>17.68</v>
      </c>
      <c r="J5050" s="91" t="str">
        <f t="shared" si="313"/>
        <v>Sinapi 89710</v>
      </c>
      <c r="K5050" s="91" t="str">
        <f t="shared" si="314"/>
        <v>UN</v>
      </c>
      <c r="L5050" s="166" t="str">
        <f t="shared" si="315"/>
        <v>08/2022</v>
      </c>
      <c r="M5050" s="82"/>
      <c r="N5050" s="82"/>
    </row>
    <row r="5051" spans="1:14" x14ac:dyDescent="0.25">
      <c r="A5051" s="170" t="s">
        <v>17696</v>
      </c>
      <c r="B5051" s="170" t="s">
        <v>17697</v>
      </c>
      <c r="C5051" s="170" t="s">
        <v>205</v>
      </c>
      <c r="D5051" s="170" t="s">
        <v>2067</v>
      </c>
      <c r="E5051" s="171" t="s">
        <v>16212</v>
      </c>
      <c r="F5051" s="171" t="s">
        <v>20636</v>
      </c>
      <c r="G5051" s="82"/>
      <c r="H5051" s="96">
        <f t="shared" si="312"/>
        <v>18.43</v>
      </c>
      <c r="I5051" s="96">
        <f t="shared" si="312"/>
        <v>19.2</v>
      </c>
      <c r="J5051" s="91" t="str">
        <f t="shared" si="313"/>
        <v>Sinapi 104326</v>
      </c>
      <c r="K5051" s="91" t="str">
        <f t="shared" si="314"/>
        <v>UN</v>
      </c>
      <c r="L5051" s="166" t="str">
        <f t="shared" si="315"/>
        <v>08/2022</v>
      </c>
      <c r="M5051" s="82"/>
      <c r="N5051" s="82"/>
    </row>
    <row r="5052" spans="1:14" x14ac:dyDescent="0.25">
      <c r="A5052" s="170" t="s">
        <v>17698</v>
      </c>
      <c r="B5052" s="170" t="s">
        <v>17699</v>
      </c>
      <c r="C5052" s="170" t="s">
        <v>205</v>
      </c>
      <c r="D5052" s="170" t="s">
        <v>2067</v>
      </c>
      <c r="E5052" s="171" t="s">
        <v>4969</v>
      </c>
      <c r="F5052" s="171" t="s">
        <v>30331</v>
      </c>
      <c r="G5052" s="82"/>
      <c r="H5052" s="96">
        <f t="shared" si="312"/>
        <v>17.53</v>
      </c>
      <c r="I5052" s="96">
        <f t="shared" si="312"/>
        <v>18.3</v>
      </c>
      <c r="J5052" s="91" t="str">
        <f t="shared" si="313"/>
        <v>Sinapi 104327</v>
      </c>
      <c r="K5052" s="91" t="str">
        <f t="shared" si="314"/>
        <v>UN</v>
      </c>
      <c r="L5052" s="166" t="str">
        <f t="shared" si="315"/>
        <v>08/2022</v>
      </c>
      <c r="M5052" s="82"/>
      <c r="N5052" s="82"/>
    </row>
    <row r="5053" spans="1:14" x14ac:dyDescent="0.25">
      <c r="A5053" s="170" t="s">
        <v>17700</v>
      </c>
      <c r="B5053" s="170" t="s">
        <v>17701</v>
      </c>
      <c r="C5053" s="170" t="s">
        <v>205</v>
      </c>
      <c r="D5053" s="170" t="s">
        <v>2067</v>
      </c>
      <c r="E5053" s="171" t="s">
        <v>32987</v>
      </c>
      <c r="F5053" s="171" t="s">
        <v>28681</v>
      </c>
      <c r="G5053" s="82"/>
      <c r="H5053" s="96">
        <f t="shared" si="312"/>
        <v>66.36</v>
      </c>
      <c r="I5053" s="96">
        <f t="shared" si="312"/>
        <v>68.349999999999994</v>
      </c>
      <c r="J5053" s="91" t="str">
        <f t="shared" si="313"/>
        <v>Sinapi 104328</v>
      </c>
      <c r="K5053" s="91" t="str">
        <f t="shared" si="314"/>
        <v>UN</v>
      </c>
      <c r="L5053" s="166" t="str">
        <f t="shared" si="315"/>
        <v>08/2022</v>
      </c>
      <c r="M5053" s="82"/>
      <c r="N5053" s="82"/>
    </row>
    <row r="5054" spans="1:14" x14ac:dyDescent="0.25">
      <c r="A5054" s="170" t="s">
        <v>17702</v>
      </c>
      <c r="B5054" s="170" t="s">
        <v>17703</v>
      </c>
      <c r="C5054" s="170" t="s">
        <v>205</v>
      </c>
      <c r="D5054" s="170" t="s">
        <v>2067</v>
      </c>
      <c r="E5054" s="171" t="s">
        <v>28772</v>
      </c>
      <c r="F5054" s="171" t="s">
        <v>37117</v>
      </c>
      <c r="G5054" s="82"/>
      <c r="H5054" s="96">
        <f t="shared" si="312"/>
        <v>75.16</v>
      </c>
      <c r="I5054" s="96">
        <f t="shared" si="312"/>
        <v>77.150000000000006</v>
      </c>
      <c r="J5054" s="91" t="str">
        <f t="shared" si="313"/>
        <v>Sinapi 104329</v>
      </c>
      <c r="K5054" s="91" t="str">
        <f t="shared" si="314"/>
        <v>UN</v>
      </c>
      <c r="L5054" s="166" t="str">
        <f t="shared" si="315"/>
        <v>08/2022</v>
      </c>
      <c r="M5054" s="82"/>
      <c r="N5054" s="82"/>
    </row>
    <row r="5055" spans="1:14" x14ac:dyDescent="0.25">
      <c r="A5055" s="170" t="s">
        <v>7707</v>
      </c>
      <c r="B5055" s="170" t="s">
        <v>7708</v>
      </c>
      <c r="C5055" s="170" t="s">
        <v>205</v>
      </c>
      <c r="D5055" s="170" t="s">
        <v>1947</v>
      </c>
      <c r="E5055" s="171" t="s">
        <v>33959</v>
      </c>
      <c r="F5055" s="171" t="s">
        <v>37118</v>
      </c>
      <c r="G5055" s="82"/>
      <c r="H5055" s="96">
        <f t="shared" si="312"/>
        <v>699.36</v>
      </c>
      <c r="I5055" s="96">
        <f t="shared" si="312"/>
        <v>705.7</v>
      </c>
      <c r="J5055" s="91" t="str">
        <f t="shared" si="313"/>
        <v>Sinapi 86872</v>
      </c>
      <c r="K5055" s="91" t="str">
        <f t="shared" si="314"/>
        <v>UN</v>
      </c>
      <c r="L5055" s="166" t="str">
        <f t="shared" si="315"/>
        <v>01/2020</v>
      </c>
      <c r="M5055" s="82"/>
      <c r="N5055" s="82"/>
    </row>
    <row r="5056" spans="1:14" x14ac:dyDescent="0.25">
      <c r="A5056" s="170" t="s">
        <v>7709</v>
      </c>
      <c r="B5056" s="170" t="s">
        <v>7710</v>
      </c>
      <c r="C5056" s="170" t="s">
        <v>205</v>
      </c>
      <c r="D5056" s="170" t="s">
        <v>1947</v>
      </c>
      <c r="E5056" s="171" t="s">
        <v>33960</v>
      </c>
      <c r="F5056" s="171" t="s">
        <v>37119</v>
      </c>
      <c r="G5056" s="82"/>
      <c r="H5056" s="96">
        <f t="shared" si="312"/>
        <v>489.45</v>
      </c>
      <c r="I5056" s="96">
        <f t="shared" si="312"/>
        <v>492.43</v>
      </c>
      <c r="J5056" s="91" t="str">
        <f t="shared" si="313"/>
        <v>Sinapi 86874</v>
      </c>
      <c r="K5056" s="91" t="str">
        <f t="shared" si="314"/>
        <v>UN</v>
      </c>
      <c r="L5056" s="166" t="str">
        <f t="shared" si="315"/>
        <v>01/2020</v>
      </c>
      <c r="M5056" s="82"/>
      <c r="N5056" s="82"/>
    </row>
    <row r="5057" spans="1:14" x14ac:dyDescent="0.25">
      <c r="A5057" s="170" t="s">
        <v>7711</v>
      </c>
      <c r="B5057" s="170" t="s">
        <v>7712</v>
      </c>
      <c r="C5057" s="170" t="s">
        <v>205</v>
      </c>
      <c r="D5057" s="170" t="s">
        <v>1947</v>
      </c>
      <c r="E5057" s="171" t="s">
        <v>33961</v>
      </c>
      <c r="F5057" s="171" t="s">
        <v>37120</v>
      </c>
      <c r="G5057" s="82"/>
      <c r="H5057" s="96">
        <f t="shared" si="312"/>
        <v>633.58000000000004</v>
      </c>
      <c r="I5057" s="96">
        <f t="shared" si="312"/>
        <v>637.17999999999995</v>
      </c>
      <c r="J5057" s="91" t="str">
        <f t="shared" si="313"/>
        <v>Sinapi 86875</v>
      </c>
      <c r="K5057" s="91" t="str">
        <f t="shared" si="314"/>
        <v>UN</v>
      </c>
      <c r="L5057" s="166" t="str">
        <f t="shared" si="315"/>
        <v>01/2020</v>
      </c>
      <c r="M5057" s="82"/>
      <c r="N5057" s="82"/>
    </row>
    <row r="5058" spans="1:14" x14ac:dyDescent="0.25">
      <c r="A5058" s="170" t="s">
        <v>7713</v>
      </c>
      <c r="B5058" s="170" t="s">
        <v>7714</v>
      </c>
      <c r="C5058" s="170" t="s">
        <v>205</v>
      </c>
      <c r="D5058" s="170" t="s">
        <v>1947</v>
      </c>
      <c r="E5058" s="171" t="s">
        <v>33962</v>
      </c>
      <c r="F5058" s="171" t="s">
        <v>37121</v>
      </c>
      <c r="G5058" s="82"/>
      <c r="H5058" s="96">
        <f t="shared" si="312"/>
        <v>359.18</v>
      </c>
      <c r="I5058" s="96">
        <f t="shared" si="312"/>
        <v>361.79</v>
      </c>
      <c r="J5058" s="91" t="str">
        <f t="shared" si="313"/>
        <v>Sinapi 86876</v>
      </c>
      <c r="K5058" s="91" t="str">
        <f t="shared" si="314"/>
        <v>UN</v>
      </c>
      <c r="L5058" s="166" t="str">
        <f t="shared" si="315"/>
        <v>01/2020</v>
      </c>
      <c r="M5058" s="82"/>
      <c r="N5058" s="82"/>
    </row>
    <row r="5059" spans="1:14" x14ac:dyDescent="0.25">
      <c r="A5059" s="170" t="s">
        <v>7715</v>
      </c>
      <c r="B5059" s="170" t="s">
        <v>7716</v>
      </c>
      <c r="C5059" s="170" t="s">
        <v>205</v>
      </c>
      <c r="D5059" s="170" t="s">
        <v>2067</v>
      </c>
      <c r="E5059" s="171" t="s">
        <v>33963</v>
      </c>
      <c r="F5059" s="171" t="s">
        <v>21861</v>
      </c>
      <c r="G5059" s="82"/>
      <c r="H5059" s="96">
        <f t="shared" si="312"/>
        <v>52.17</v>
      </c>
      <c r="I5059" s="96">
        <f t="shared" si="312"/>
        <v>52.76</v>
      </c>
      <c r="J5059" s="91" t="str">
        <f t="shared" si="313"/>
        <v>Sinapi 86877</v>
      </c>
      <c r="K5059" s="91" t="str">
        <f t="shared" si="314"/>
        <v>UN</v>
      </c>
      <c r="L5059" s="166" t="str">
        <f t="shared" si="315"/>
        <v>01/2020</v>
      </c>
      <c r="M5059" s="82"/>
      <c r="N5059" s="82"/>
    </row>
    <row r="5060" spans="1:14" x14ac:dyDescent="0.25">
      <c r="A5060" s="170" t="s">
        <v>7717</v>
      </c>
      <c r="B5060" s="170" t="s">
        <v>7718</v>
      </c>
      <c r="C5060" s="170" t="s">
        <v>205</v>
      </c>
      <c r="D5060" s="170" t="s">
        <v>2067</v>
      </c>
      <c r="E5060" s="171" t="s">
        <v>29310</v>
      </c>
      <c r="F5060" s="171" t="s">
        <v>28405</v>
      </c>
      <c r="G5060" s="82"/>
      <c r="H5060" s="96">
        <f t="shared" si="312"/>
        <v>56.18</v>
      </c>
      <c r="I5060" s="96">
        <f t="shared" si="312"/>
        <v>56.77</v>
      </c>
      <c r="J5060" s="91" t="str">
        <f t="shared" si="313"/>
        <v>Sinapi 86878</v>
      </c>
      <c r="K5060" s="91" t="str">
        <f t="shared" si="314"/>
        <v>UN</v>
      </c>
      <c r="L5060" s="166" t="str">
        <f t="shared" si="315"/>
        <v>01/2020</v>
      </c>
      <c r="M5060" s="82"/>
      <c r="N5060" s="82"/>
    </row>
    <row r="5061" spans="1:14" x14ac:dyDescent="0.25">
      <c r="A5061" s="170" t="s">
        <v>7719</v>
      </c>
      <c r="B5061" s="170" t="s">
        <v>7720</v>
      </c>
      <c r="C5061" s="170" t="s">
        <v>205</v>
      </c>
      <c r="D5061" s="170" t="s">
        <v>2067</v>
      </c>
      <c r="E5061" s="171" t="s">
        <v>19283</v>
      </c>
      <c r="F5061" s="171" t="s">
        <v>16209</v>
      </c>
      <c r="G5061" s="82"/>
      <c r="H5061" s="96">
        <f t="shared" si="312"/>
        <v>8.4499999999999993</v>
      </c>
      <c r="I5061" s="96">
        <f t="shared" si="312"/>
        <v>8.8699999999999992</v>
      </c>
      <c r="J5061" s="91" t="str">
        <f t="shared" si="313"/>
        <v>Sinapi 86879</v>
      </c>
      <c r="K5061" s="91" t="str">
        <f t="shared" si="314"/>
        <v>UN</v>
      </c>
      <c r="L5061" s="166" t="str">
        <f t="shared" si="315"/>
        <v>01/2020</v>
      </c>
      <c r="M5061" s="82"/>
      <c r="N5061" s="82"/>
    </row>
    <row r="5062" spans="1:14" x14ac:dyDescent="0.25">
      <c r="A5062" s="170" t="s">
        <v>7721</v>
      </c>
      <c r="B5062" s="170" t="s">
        <v>7722</v>
      </c>
      <c r="C5062" s="170" t="s">
        <v>205</v>
      </c>
      <c r="D5062" s="170" t="s">
        <v>2067</v>
      </c>
      <c r="E5062" s="171" t="s">
        <v>21514</v>
      </c>
      <c r="F5062" s="171" t="s">
        <v>28881</v>
      </c>
      <c r="G5062" s="82"/>
      <c r="H5062" s="96">
        <f t="shared" si="312"/>
        <v>23.06</v>
      </c>
      <c r="I5062" s="96">
        <f t="shared" si="312"/>
        <v>23.48</v>
      </c>
      <c r="J5062" s="91" t="str">
        <f t="shared" si="313"/>
        <v>Sinapi 86880</v>
      </c>
      <c r="K5062" s="91" t="str">
        <f t="shared" si="314"/>
        <v>UN</v>
      </c>
      <c r="L5062" s="166" t="str">
        <f t="shared" si="315"/>
        <v>01/2020</v>
      </c>
      <c r="M5062" s="82"/>
      <c r="N5062" s="82"/>
    </row>
    <row r="5063" spans="1:14" x14ac:dyDescent="0.25">
      <c r="A5063" s="170" t="s">
        <v>7723</v>
      </c>
      <c r="B5063" s="170" t="s">
        <v>7724</v>
      </c>
      <c r="C5063" s="170" t="s">
        <v>205</v>
      </c>
      <c r="D5063" s="170" t="s">
        <v>2710</v>
      </c>
      <c r="E5063" s="171" t="s">
        <v>29159</v>
      </c>
      <c r="F5063" s="171" t="s">
        <v>37122</v>
      </c>
      <c r="G5063" s="82"/>
      <c r="H5063" s="96">
        <f t="shared" si="312"/>
        <v>157.13</v>
      </c>
      <c r="I5063" s="96">
        <f t="shared" si="312"/>
        <v>158.07</v>
      </c>
      <c r="J5063" s="91" t="str">
        <f t="shared" si="313"/>
        <v>Sinapi 86881</v>
      </c>
      <c r="K5063" s="91" t="str">
        <f t="shared" si="314"/>
        <v>UN</v>
      </c>
      <c r="L5063" s="166" t="str">
        <f t="shared" si="315"/>
        <v>01/2020</v>
      </c>
      <c r="M5063" s="82"/>
      <c r="N5063" s="82"/>
    </row>
    <row r="5064" spans="1:14" x14ac:dyDescent="0.25">
      <c r="A5064" s="170" t="s">
        <v>7725</v>
      </c>
      <c r="B5064" s="170" t="s">
        <v>7726</v>
      </c>
      <c r="C5064" s="170" t="s">
        <v>205</v>
      </c>
      <c r="D5064" s="170" t="s">
        <v>2067</v>
      </c>
      <c r="E5064" s="171" t="s">
        <v>19288</v>
      </c>
      <c r="F5064" s="171" t="s">
        <v>15716</v>
      </c>
      <c r="G5064" s="82"/>
      <c r="H5064" s="96">
        <f t="shared" ref="H5064:I5127" si="316">IF(E5064="","",E5064+0)</f>
        <v>19.53</v>
      </c>
      <c r="I5064" s="96">
        <f t="shared" si="316"/>
        <v>19.989999999999998</v>
      </c>
      <c r="J5064" s="91" t="str">
        <f t="shared" ref="J5064:J5127" si="317">IF(OR(H5064="",I5064=""),"",TRIM(CONCATENATE("Sinapi ",A5064)))</f>
        <v>Sinapi 86882</v>
      </c>
      <c r="K5064" s="91" t="str">
        <f t="shared" ref="K5064:K5127" si="318">TRIM(C5064)</f>
        <v>UN</v>
      </c>
      <c r="L5064" s="166" t="str">
        <f t="shared" ref="L5064:L5127" si="319">IF(OR(RIGHT(IF(AND(K5064&lt;&gt;"H",K5064&lt;&gt;"MES"),RIGHT(B5064,7),""),2)="PS",RIGHT(IF(AND(K5064&lt;&gt;"H",K5064&lt;&gt;"MES"),RIGHT(B5064,7),""),2)="PA",RIGHT(IF(AND(K5064&lt;&gt;"H",K5064&lt;&gt;"MES"),RIGHT(B5064,7),""),2)="PE"),LEFT(IF(AND(K5064&lt;&gt;"H",K5064&lt;&gt;"MES"),RIGHT(B5064,10),""),7),IF(AND(K5064&lt;&gt;"H",K5064&lt;&gt;"MES"),RIGHT(B5064,7),""))</f>
        <v>01/2020</v>
      </c>
      <c r="M5064" s="82"/>
      <c r="N5064" s="82"/>
    </row>
    <row r="5065" spans="1:14" x14ac:dyDescent="0.25">
      <c r="A5065" s="170" t="s">
        <v>7727</v>
      </c>
      <c r="B5065" s="170" t="s">
        <v>7728</v>
      </c>
      <c r="C5065" s="170" t="s">
        <v>205</v>
      </c>
      <c r="D5065" s="170" t="s">
        <v>2710</v>
      </c>
      <c r="E5065" s="171" t="s">
        <v>16382</v>
      </c>
      <c r="F5065" s="171" t="s">
        <v>15699</v>
      </c>
      <c r="G5065" s="82"/>
      <c r="H5065" s="96">
        <f t="shared" si="316"/>
        <v>10.61</v>
      </c>
      <c r="I5065" s="96">
        <f t="shared" si="316"/>
        <v>10.9</v>
      </c>
      <c r="J5065" s="91" t="str">
        <f t="shared" si="317"/>
        <v>Sinapi 86883</v>
      </c>
      <c r="K5065" s="91" t="str">
        <f t="shared" si="318"/>
        <v>UN</v>
      </c>
      <c r="L5065" s="166" t="str">
        <f t="shared" si="319"/>
        <v>01/2020</v>
      </c>
      <c r="M5065" s="82"/>
      <c r="N5065" s="82"/>
    </row>
    <row r="5066" spans="1:14" x14ac:dyDescent="0.25">
      <c r="A5066" s="170" t="s">
        <v>7729</v>
      </c>
      <c r="B5066" s="170" t="s">
        <v>7730</v>
      </c>
      <c r="C5066" s="170" t="s">
        <v>205</v>
      </c>
      <c r="D5066" s="170" t="s">
        <v>2067</v>
      </c>
      <c r="E5066" s="171" t="s">
        <v>23314</v>
      </c>
      <c r="F5066" s="171" t="s">
        <v>18134</v>
      </c>
      <c r="G5066" s="82"/>
      <c r="H5066" s="96">
        <f t="shared" si="316"/>
        <v>9.39</v>
      </c>
      <c r="I5066" s="96">
        <f t="shared" si="316"/>
        <v>9.91</v>
      </c>
      <c r="J5066" s="91" t="str">
        <f t="shared" si="317"/>
        <v>Sinapi 86884</v>
      </c>
      <c r="K5066" s="91" t="str">
        <f t="shared" si="318"/>
        <v>UN</v>
      </c>
      <c r="L5066" s="166" t="str">
        <f t="shared" si="319"/>
        <v>01/2020</v>
      </c>
      <c r="M5066" s="82"/>
      <c r="N5066" s="82"/>
    </row>
    <row r="5067" spans="1:14" x14ac:dyDescent="0.25">
      <c r="A5067" s="170" t="s">
        <v>7731</v>
      </c>
      <c r="B5067" s="170" t="s">
        <v>7732</v>
      </c>
      <c r="C5067" s="170" t="s">
        <v>205</v>
      </c>
      <c r="D5067" s="170" t="s">
        <v>2067</v>
      </c>
      <c r="E5067" s="171" t="s">
        <v>23251</v>
      </c>
      <c r="F5067" s="171" t="s">
        <v>2164</v>
      </c>
      <c r="G5067" s="82"/>
      <c r="H5067" s="96">
        <f t="shared" si="316"/>
        <v>10.65</v>
      </c>
      <c r="I5067" s="96">
        <f t="shared" si="316"/>
        <v>11.17</v>
      </c>
      <c r="J5067" s="91" t="str">
        <f t="shared" si="317"/>
        <v>Sinapi 86885</v>
      </c>
      <c r="K5067" s="91" t="str">
        <f t="shared" si="318"/>
        <v>UN</v>
      </c>
      <c r="L5067" s="166" t="str">
        <f t="shared" si="319"/>
        <v>01/2020</v>
      </c>
      <c r="M5067" s="82"/>
      <c r="N5067" s="82"/>
    </row>
    <row r="5068" spans="1:14" x14ac:dyDescent="0.25">
      <c r="A5068" s="170" t="s">
        <v>7733</v>
      </c>
      <c r="B5068" s="170" t="s">
        <v>7734</v>
      </c>
      <c r="C5068" s="170" t="s">
        <v>205</v>
      </c>
      <c r="D5068" s="170" t="s">
        <v>2067</v>
      </c>
      <c r="E5068" s="171" t="s">
        <v>28707</v>
      </c>
      <c r="F5068" s="171" t="s">
        <v>18550</v>
      </c>
      <c r="G5068" s="82"/>
      <c r="H5068" s="96">
        <f t="shared" si="316"/>
        <v>38.72</v>
      </c>
      <c r="I5068" s="96">
        <f t="shared" si="316"/>
        <v>39.24</v>
      </c>
      <c r="J5068" s="91" t="str">
        <f t="shared" si="317"/>
        <v>Sinapi 86886</v>
      </c>
      <c r="K5068" s="91" t="str">
        <f t="shared" si="318"/>
        <v>UN</v>
      </c>
      <c r="L5068" s="166" t="str">
        <f t="shared" si="319"/>
        <v>01/2020</v>
      </c>
      <c r="M5068" s="82"/>
      <c r="N5068" s="82"/>
    </row>
    <row r="5069" spans="1:14" x14ac:dyDescent="0.25">
      <c r="A5069" s="170" t="s">
        <v>7735</v>
      </c>
      <c r="B5069" s="170" t="s">
        <v>7736</v>
      </c>
      <c r="C5069" s="170" t="s">
        <v>205</v>
      </c>
      <c r="D5069" s="170" t="s">
        <v>2067</v>
      </c>
      <c r="E5069" s="171" t="s">
        <v>33964</v>
      </c>
      <c r="F5069" s="171" t="s">
        <v>20044</v>
      </c>
      <c r="G5069" s="82"/>
      <c r="H5069" s="96">
        <f t="shared" si="316"/>
        <v>41.95</v>
      </c>
      <c r="I5069" s="96">
        <f t="shared" si="316"/>
        <v>42.47</v>
      </c>
      <c r="J5069" s="91" t="str">
        <f t="shared" si="317"/>
        <v>Sinapi 86887</v>
      </c>
      <c r="K5069" s="91" t="str">
        <f t="shared" si="318"/>
        <v>UN</v>
      </c>
      <c r="L5069" s="166" t="str">
        <f t="shared" si="319"/>
        <v>01/2020</v>
      </c>
      <c r="M5069" s="82"/>
      <c r="N5069" s="82"/>
    </row>
    <row r="5070" spans="1:14" x14ac:dyDescent="0.25">
      <c r="A5070" s="170" t="s">
        <v>7737</v>
      </c>
      <c r="B5070" s="170" t="s">
        <v>7738</v>
      </c>
      <c r="C5070" s="170" t="s">
        <v>205</v>
      </c>
      <c r="D5070" s="170" t="s">
        <v>1947</v>
      </c>
      <c r="E5070" s="171" t="s">
        <v>33965</v>
      </c>
      <c r="F5070" s="171" t="s">
        <v>37123</v>
      </c>
      <c r="G5070" s="82"/>
      <c r="H5070" s="96">
        <f t="shared" si="316"/>
        <v>474.05</v>
      </c>
      <c r="I5070" s="96">
        <f t="shared" si="316"/>
        <v>477.08</v>
      </c>
      <c r="J5070" s="91" t="str">
        <f t="shared" si="317"/>
        <v>Sinapi 86888</v>
      </c>
      <c r="K5070" s="91" t="str">
        <f t="shared" si="318"/>
        <v>UN</v>
      </c>
      <c r="L5070" s="166" t="str">
        <f t="shared" si="319"/>
        <v>01/2020</v>
      </c>
      <c r="M5070" s="82"/>
      <c r="N5070" s="82"/>
    </row>
    <row r="5071" spans="1:14" x14ac:dyDescent="0.25">
      <c r="A5071" s="170" t="s">
        <v>7739</v>
      </c>
      <c r="B5071" s="170" t="s">
        <v>7740</v>
      </c>
      <c r="C5071" s="170" t="s">
        <v>205</v>
      </c>
      <c r="D5071" s="170" t="s">
        <v>1947</v>
      </c>
      <c r="E5071" s="171" t="s">
        <v>33966</v>
      </c>
      <c r="F5071" s="171" t="s">
        <v>37124</v>
      </c>
      <c r="G5071" s="82"/>
      <c r="H5071" s="96">
        <f t="shared" si="316"/>
        <v>1348.63</v>
      </c>
      <c r="I5071" s="96">
        <f t="shared" si="316"/>
        <v>1354.69</v>
      </c>
      <c r="J5071" s="91" t="str">
        <f t="shared" si="317"/>
        <v>Sinapi 86889</v>
      </c>
      <c r="K5071" s="91" t="str">
        <f t="shared" si="318"/>
        <v>UN</v>
      </c>
      <c r="L5071" s="166" t="str">
        <f t="shared" si="319"/>
        <v>01/2020</v>
      </c>
      <c r="M5071" s="82"/>
      <c r="N5071" s="82"/>
    </row>
    <row r="5072" spans="1:14" x14ac:dyDescent="0.25">
      <c r="A5072" s="170" t="s">
        <v>7741</v>
      </c>
      <c r="B5072" s="170" t="s">
        <v>7742</v>
      </c>
      <c r="C5072" s="170" t="s">
        <v>205</v>
      </c>
      <c r="D5072" s="170" t="s">
        <v>1947</v>
      </c>
      <c r="E5072" s="171" t="s">
        <v>33967</v>
      </c>
      <c r="F5072" s="171" t="s">
        <v>37125</v>
      </c>
      <c r="G5072" s="82"/>
      <c r="H5072" s="96">
        <f t="shared" si="316"/>
        <v>1041.7</v>
      </c>
      <c r="I5072" s="96">
        <f t="shared" si="316"/>
        <v>1047.76</v>
      </c>
      <c r="J5072" s="91" t="str">
        <f t="shared" si="317"/>
        <v>Sinapi 86893</v>
      </c>
      <c r="K5072" s="91" t="str">
        <f t="shared" si="318"/>
        <v>UN</v>
      </c>
      <c r="L5072" s="166" t="str">
        <f t="shared" si="319"/>
        <v>01/2020</v>
      </c>
      <c r="M5072" s="82"/>
      <c r="N5072" s="82"/>
    </row>
    <row r="5073" spans="1:14" x14ac:dyDescent="0.25">
      <c r="A5073" s="170" t="s">
        <v>7743</v>
      </c>
      <c r="B5073" s="170" t="s">
        <v>7744</v>
      </c>
      <c r="C5073" s="170" t="s">
        <v>205</v>
      </c>
      <c r="D5073" s="170" t="s">
        <v>1947</v>
      </c>
      <c r="E5073" s="171" t="s">
        <v>33968</v>
      </c>
      <c r="F5073" s="171" t="s">
        <v>37126</v>
      </c>
      <c r="G5073" s="82"/>
      <c r="H5073" s="96">
        <f t="shared" si="316"/>
        <v>360.69</v>
      </c>
      <c r="I5073" s="96">
        <f t="shared" si="316"/>
        <v>364.23</v>
      </c>
      <c r="J5073" s="91" t="str">
        <f t="shared" si="317"/>
        <v>Sinapi 86894</v>
      </c>
      <c r="K5073" s="91" t="str">
        <f t="shared" si="318"/>
        <v>UN</v>
      </c>
      <c r="L5073" s="166" t="str">
        <f t="shared" si="319"/>
        <v>01/2020</v>
      </c>
      <c r="M5073" s="82"/>
      <c r="N5073" s="82"/>
    </row>
    <row r="5074" spans="1:14" x14ac:dyDescent="0.25">
      <c r="A5074" s="170" t="s">
        <v>7745</v>
      </c>
      <c r="B5074" s="170" t="s">
        <v>7746</v>
      </c>
      <c r="C5074" s="170" t="s">
        <v>205</v>
      </c>
      <c r="D5074" s="170" t="s">
        <v>1947</v>
      </c>
      <c r="E5074" s="171" t="s">
        <v>33969</v>
      </c>
      <c r="F5074" s="171" t="s">
        <v>37127</v>
      </c>
      <c r="G5074" s="82"/>
      <c r="H5074" s="96">
        <f t="shared" si="316"/>
        <v>585.08000000000004</v>
      </c>
      <c r="I5074" s="96">
        <f t="shared" si="316"/>
        <v>592.34</v>
      </c>
      <c r="J5074" s="91" t="str">
        <f t="shared" si="317"/>
        <v>Sinapi 86895</v>
      </c>
      <c r="K5074" s="91" t="str">
        <f t="shared" si="318"/>
        <v>UN</v>
      </c>
      <c r="L5074" s="166" t="str">
        <f t="shared" si="319"/>
        <v>01/2020</v>
      </c>
      <c r="M5074" s="82"/>
      <c r="N5074" s="82"/>
    </row>
    <row r="5075" spans="1:14" x14ac:dyDescent="0.25">
      <c r="A5075" s="170" t="s">
        <v>7747</v>
      </c>
      <c r="B5075" s="170" t="s">
        <v>7748</v>
      </c>
      <c r="C5075" s="170" t="s">
        <v>205</v>
      </c>
      <c r="D5075" s="170" t="s">
        <v>1947</v>
      </c>
      <c r="E5075" s="171" t="s">
        <v>33970</v>
      </c>
      <c r="F5075" s="171" t="s">
        <v>37128</v>
      </c>
      <c r="G5075" s="82"/>
      <c r="H5075" s="96">
        <f t="shared" si="316"/>
        <v>469.94</v>
      </c>
      <c r="I5075" s="96">
        <f t="shared" si="316"/>
        <v>477.2</v>
      </c>
      <c r="J5075" s="91" t="str">
        <f t="shared" si="317"/>
        <v>Sinapi 86899</v>
      </c>
      <c r="K5075" s="91" t="str">
        <f t="shared" si="318"/>
        <v>UN</v>
      </c>
      <c r="L5075" s="166" t="str">
        <f t="shared" si="319"/>
        <v>01/2020</v>
      </c>
      <c r="M5075" s="82"/>
      <c r="N5075" s="82"/>
    </row>
    <row r="5076" spans="1:14" x14ac:dyDescent="0.25">
      <c r="A5076" s="170" t="s">
        <v>7749</v>
      </c>
      <c r="B5076" s="170" t="s">
        <v>7750</v>
      </c>
      <c r="C5076" s="170" t="s">
        <v>205</v>
      </c>
      <c r="D5076" s="170" t="s">
        <v>2067</v>
      </c>
      <c r="E5076" s="171" t="s">
        <v>33971</v>
      </c>
      <c r="F5076" s="171" t="s">
        <v>37129</v>
      </c>
      <c r="G5076" s="82"/>
      <c r="H5076" s="96">
        <f t="shared" si="316"/>
        <v>219.39</v>
      </c>
      <c r="I5076" s="96">
        <f t="shared" si="316"/>
        <v>221.01</v>
      </c>
      <c r="J5076" s="91" t="str">
        <f t="shared" si="317"/>
        <v>Sinapi 86900</v>
      </c>
      <c r="K5076" s="91" t="str">
        <f t="shared" si="318"/>
        <v>UN</v>
      </c>
      <c r="L5076" s="166" t="str">
        <f t="shared" si="319"/>
        <v>01/2020</v>
      </c>
      <c r="M5076" s="82"/>
      <c r="N5076" s="82"/>
    </row>
    <row r="5077" spans="1:14" x14ac:dyDescent="0.25">
      <c r="A5077" s="170" t="s">
        <v>7751</v>
      </c>
      <c r="B5077" s="170" t="s">
        <v>7752</v>
      </c>
      <c r="C5077" s="170" t="s">
        <v>205</v>
      </c>
      <c r="D5077" s="170" t="s">
        <v>2067</v>
      </c>
      <c r="E5077" s="171" t="s">
        <v>33972</v>
      </c>
      <c r="F5077" s="171" t="s">
        <v>37130</v>
      </c>
      <c r="G5077" s="82"/>
      <c r="H5077" s="96">
        <f t="shared" si="316"/>
        <v>140.71</v>
      </c>
      <c r="I5077" s="96">
        <f t="shared" si="316"/>
        <v>143.59</v>
      </c>
      <c r="J5077" s="91" t="str">
        <f t="shared" si="317"/>
        <v>Sinapi 86901</v>
      </c>
      <c r="K5077" s="91" t="str">
        <f t="shared" si="318"/>
        <v>UN</v>
      </c>
      <c r="L5077" s="166" t="str">
        <f t="shared" si="319"/>
        <v>01/2020</v>
      </c>
      <c r="M5077" s="82"/>
      <c r="N5077" s="82"/>
    </row>
    <row r="5078" spans="1:14" x14ac:dyDescent="0.25">
      <c r="A5078" s="170" t="s">
        <v>7753</v>
      </c>
      <c r="B5078" s="170" t="s">
        <v>7754</v>
      </c>
      <c r="C5078" s="170" t="s">
        <v>205</v>
      </c>
      <c r="D5078" s="170" t="s">
        <v>1947</v>
      </c>
      <c r="E5078" s="171" t="s">
        <v>33973</v>
      </c>
      <c r="F5078" s="171" t="s">
        <v>37131</v>
      </c>
      <c r="G5078" s="82"/>
      <c r="H5078" s="96">
        <f t="shared" si="316"/>
        <v>314.02999999999997</v>
      </c>
      <c r="I5078" s="96">
        <f t="shared" si="316"/>
        <v>317.33999999999997</v>
      </c>
      <c r="J5078" s="91" t="str">
        <f t="shared" si="317"/>
        <v>Sinapi 86902</v>
      </c>
      <c r="K5078" s="91" t="str">
        <f t="shared" si="318"/>
        <v>UN</v>
      </c>
      <c r="L5078" s="166" t="str">
        <f t="shared" si="319"/>
        <v>01/2020</v>
      </c>
      <c r="M5078" s="82"/>
      <c r="N5078" s="82"/>
    </row>
    <row r="5079" spans="1:14" x14ac:dyDescent="0.25">
      <c r="A5079" s="170" t="s">
        <v>7755</v>
      </c>
      <c r="B5079" s="170" t="s">
        <v>7756</v>
      </c>
      <c r="C5079" s="170" t="s">
        <v>205</v>
      </c>
      <c r="D5079" s="170" t="s">
        <v>1947</v>
      </c>
      <c r="E5079" s="171" t="s">
        <v>33974</v>
      </c>
      <c r="F5079" s="171" t="s">
        <v>29349</v>
      </c>
      <c r="G5079" s="82"/>
      <c r="H5079" s="96">
        <f t="shared" si="316"/>
        <v>352.06</v>
      </c>
      <c r="I5079" s="96">
        <f t="shared" si="316"/>
        <v>357.44</v>
      </c>
      <c r="J5079" s="91" t="str">
        <f t="shared" si="317"/>
        <v>Sinapi 86903</v>
      </c>
      <c r="K5079" s="91" t="str">
        <f t="shared" si="318"/>
        <v>UN</v>
      </c>
      <c r="L5079" s="166" t="str">
        <f t="shared" si="319"/>
        <v>01/2020</v>
      </c>
      <c r="M5079" s="82"/>
      <c r="N5079" s="82"/>
    </row>
    <row r="5080" spans="1:14" x14ac:dyDescent="0.25">
      <c r="A5080" s="170" t="s">
        <v>7757</v>
      </c>
      <c r="B5080" s="170" t="s">
        <v>7758</v>
      </c>
      <c r="C5080" s="170" t="s">
        <v>205</v>
      </c>
      <c r="D5080" s="170" t="s">
        <v>1947</v>
      </c>
      <c r="E5080" s="171" t="s">
        <v>33975</v>
      </c>
      <c r="F5080" s="171" t="s">
        <v>37132</v>
      </c>
      <c r="G5080" s="82"/>
      <c r="H5080" s="96">
        <f t="shared" si="316"/>
        <v>145.55000000000001</v>
      </c>
      <c r="I5080" s="96">
        <f t="shared" si="316"/>
        <v>146.99</v>
      </c>
      <c r="J5080" s="91" t="str">
        <f t="shared" si="317"/>
        <v>Sinapi 86904</v>
      </c>
      <c r="K5080" s="91" t="str">
        <f t="shared" si="318"/>
        <v>UN</v>
      </c>
      <c r="L5080" s="166" t="str">
        <f t="shared" si="319"/>
        <v>01/2020</v>
      </c>
      <c r="M5080" s="82"/>
      <c r="N5080" s="82"/>
    </row>
    <row r="5081" spans="1:14" x14ac:dyDescent="0.25">
      <c r="A5081" s="170" t="s">
        <v>7759</v>
      </c>
      <c r="B5081" s="170" t="s">
        <v>7760</v>
      </c>
      <c r="C5081" s="170" t="s">
        <v>205</v>
      </c>
      <c r="D5081" s="170" t="s">
        <v>2067</v>
      </c>
      <c r="E5081" s="171" t="s">
        <v>33976</v>
      </c>
      <c r="F5081" s="171" t="s">
        <v>37133</v>
      </c>
      <c r="G5081" s="82"/>
      <c r="H5081" s="96">
        <f t="shared" si="316"/>
        <v>256.5</v>
      </c>
      <c r="I5081" s="96">
        <f t="shared" si="316"/>
        <v>258.08</v>
      </c>
      <c r="J5081" s="91" t="str">
        <f t="shared" si="317"/>
        <v>Sinapi 86905</v>
      </c>
      <c r="K5081" s="91" t="str">
        <f t="shared" si="318"/>
        <v>UN</v>
      </c>
      <c r="L5081" s="166" t="str">
        <f t="shared" si="319"/>
        <v>01/2020</v>
      </c>
      <c r="M5081" s="82"/>
      <c r="N5081" s="82"/>
    </row>
    <row r="5082" spans="1:14" x14ac:dyDescent="0.25">
      <c r="A5082" s="170" t="s">
        <v>7761</v>
      </c>
      <c r="B5082" s="170" t="s">
        <v>7762</v>
      </c>
      <c r="C5082" s="170" t="s">
        <v>205</v>
      </c>
      <c r="D5082" s="170" t="s">
        <v>2710</v>
      </c>
      <c r="E5082" s="171" t="s">
        <v>29076</v>
      </c>
      <c r="F5082" s="171" t="s">
        <v>37134</v>
      </c>
      <c r="G5082" s="82"/>
      <c r="H5082" s="96">
        <f t="shared" si="316"/>
        <v>47.57</v>
      </c>
      <c r="I5082" s="96">
        <f t="shared" si="316"/>
        <v>47.91</v>
      </c>
      <c r="J5082" s="91" t="str">
        <f t="shared" si="317"/>
        <v>Sinapi 86906</v>
      </c>
      <c r="K5082" s="91" t="str">
        <f t="shared" si="318"/>
        <v>UN</v>
      </c>
      <c r="L5082" s="166" t="str">
        <f t="shared" si="319"/>
        <v>01/2020</v>
      </c>
      <c r="M5082" s="82"/>
      <c r="N5082" s="82"/>
    </row>
    <row r="5083" spans="1:14" x14ac:dyDescent="0.25">
      <c r="A5083" s="170" t="s">
        <v>7763</v>
      </c>
      <c r="B5083" s="170" t="s">
        <v>7764</v>
      </c>
      <c r="C5083" s="170" t="s">
        <v>205</v>
      </c>
      <c r="D5083" s="170" t="s">
        <v>2067</v>
      </c>
      <c r="E5083" s="171" t="s">
        <v>24964</v>
      </c>
      <c r="F5083" s="171" t="s">
        <v>28585</v>
      </c>
      <c r="G5083" s="82"/>
      <c r="H5083" s="96">
        <f t="shared" si="316"/>
        <v>304.17</v>
      </c>
      <c r="I5083" s="96">
        <f t="shared" si="316"/>
        <v>304.95</v>
      </c>
      <c r="J5083" s="91" t="str">
        <f t="shared" si="317"/>
        <v>Sinapi 86908</v>
      </c>
      <c r="K5083" s="91" t="str">
        <f t="shared" si="318"/>
        <v>UN</v>
      </c>
      <c r="L5083" s="166" t="str">
        <f t="shared" si="319"/>
        <v>01/2020</v>
      </c>
      <c r="M5083" s="82"/>
      <c r="N5083" s="82"/>
    </row>
    <row r="5084" spans="1:14" x14ac:dyDescent="0.25">
      <c r="A5084" s="170" t="s">
        <v>7765</v>
      </c>
      <c r="B5084" s="170" t="s">
        <v>7766</v>
      </c>
      <c r="C5084" s="170" t="s">
        <v>205</v>
      </c>
      <c r="D5084" s="170" t="s">
        <v>2067</v>
      </c>
      <c r="E5084" s="171" t="s">
        <v>29100</v>
      </c>
      <c r="F5084" s="171" t="s">
        <v>37135</v>
      </c>
      <c r="G5084" s="82"/>
      <c r="H5084" s="96">
        <f t="shared" si="316"/>
        <v>82.58</v>
      </c>
      <c r="I5084" s="96">
        <f t="shared" si="316"/>
        <v>83.15</v>
      </c>
      <c r="J5084" s="91" t="str">
        <f t="shared" si="317"/>
        <v>Sinapi 86909</v>
      </c>
      <c r="K5084" s="91" t="str">
        <f t="shared" si="318"/>
        <v>UN</v>
      </c>
      <c r="L5084" s="166" t="str">
        <f t="shared" si="319"/>
        <v>01/2020</v>
      </c>
      <c r="M5084" s="82"/>
      <c r="N5084" s="82"/>
    </row>
    <row r="5085" spans="1:14" x14ac:dyDescent="0.25">
      <c r="A5085" s="170" t="s">
        <v>7767</v>
      </c>
      <c r="B5085" s="170" t="s">
        <v>7768</v>
      </c>
      <c r="C5085" s="170" t="s">
        <v>205</v>
      </c>
      <c r="D5085" s="170" t="s">
        <v>2067</v>
      </c>
      <c r="E5085" s="171" t="s">
        <v>23168</v>
      </c>
      <c r="F5085" s="171" t="s">
        <v>37136</v>
      </c>
      <c r="G5085" s="82"/>
      <c r="H5085" s="96">
        <f t="shared" si="316"/>
        <v>80.87</v>
      </c>
      <c r="I5085" s="96">
        <f t="shared" si="316"/>
        <v>81.27</v>
      </c>
      <c r="J5085" s="91" t="str">
        <f t="shared" si="317"/>
        <v>Sinapi 86910</v>
      </c>
      <c r="K5085" s="91" t="str">
        <f t="shared" si="318"/>
        <v>UN</v>
      </c>
      <c r="L5085" s="166" t="str">
        <f t="shared" si="319"/>
        <v>01/2020</v>
      </c>
      <c r="M5085" s="82"/>
      <c r="N5085" s="82"/>
    </row>
    <row r="5086" spans="1:14" x14ac:dyDescent="0.25">
      <c r="A5086" s="170" t="s">
        <v>7769</v>
      </c>
      <c r="B5086" s="170" t="s">
        <v>7770</v>
      </c>
      <c r="C5086" s="170" t="s">
        <v>205</v>
      </c>
      <c r="D5086" s="170" t="s">
        <v>2067</v>
      </c>
      <c r="E5086" s="171" t="s">
        <v>23118</v>
      </c>
      <c r="F5086" s="171" t="s">
        <v>22941</v>
      </c>
      <c r="G5086" s="82"/>
      <c r="H5086" s="96">
        <f t="shared" si="316"/>
        <v>55.7</v>
      </c>
      <c r="I5086" s="96">
        <f t="shared" si="316"/>
        <v>56.1</v>
      </c>
      <c r="J5086" s="91" t="str">
        <f t="shared" si="317"/>
        <v>Sinapi 86911</v>
      </c>
      <c r="K5086" s="91" t="str">
        <f t="shared" si="318"/>
        <v>UN</v>
      </c>
      <c r="L5086" s="166" t="str">
        <f t="shared" si="319"/>
        <v>01/2020</v>
      </c>
      <c r="M5086" s="82"/>
      <c r="N5086" s="82"/>
    </row>
    <row r="5087" spans="1:14" x14ac:dyDescent="0.25">
      <c r="A5087" s="170" t="s">
        <v>7771</v>
      </c>
      <c r="B5087" s="170" t="s">
        <v>7772</v>
      </c>
      <c r="C5087" s="170" t="s">
        <v>205</v>
      </c>
      <c r="D5087" s="170" t="s">
        <v>2067</v>
      </c>
      <c r="E5087" s="171" t="s">
        <v>21670</v>
      </c>
      <c r="F5087" s="171" t="s">
        <v>33485</v>
      </c>
      <c r="G5087" s="82"/>
      <c r="H5087" s="96">
        <f t="shared" si="316"/>
        <v>35.619999999999997</v>
      </c>
      <c r="I5087" s="96">
        <f t="shared" si="316"/>
        <v>36.14</v>
      </c>
      <c r="J5087" s="91" t="str">
        <f t="shared" si="317"/>
        <v>Sinapi 86913</v>
      </c>
      <c r="K5087" s="91" t="str">
        <f t="shared" si="318"/>
        <v>UN</v>
      </c>
      <c r="L5087" s="166" t="str">
        <f t="shared" si="319"/>
        <v>01/2020</v>
      </c>
      <c r="M5087" s="82"/>
      <c r="N5087" s="82"/>
    </row>
    <row r="5088" spans="1:14" x14ac:dyDescent="0.25">
      <c r="A5088" s="170" t="s">
        <v>7773</v>
      </c>
      <c r="B5088" s="170" t="s">
        <v>7774</v>
      </c>
      <c r="C5088" s="170" t="s">
        <v>205</v>
      </c>
      <c r="D5088" s="170" t="s">
        <v>2067</v>
      </c>
      <c r="E5088" s="171" t="s">
        <v>29428</v>
      </c>
      <c r="F5088" s="171" t="s">
        <v>30226</v>
      </c>
      <c r="G5088" s="82"/>
      <c r="H5088" s="96">
        <f t="shared" si="316"/>
        <v>62.74</v>
      </c>
      <c r="I5088" s="96">
        <f t="shared" si="316"/>
        <v>63.26</v>
      </c>
      <c r="J5088" s="91" t="str">
        <f t="shared" si="317"/>
        <v>Sinapi 86914</v>
      </c>
      <c r="K5088" s="91" t="str">
        <f t="shared" si="318"/>
        <v>UN</v>
      </c>
      <c r="L5088" s="166" t="str">
        <f t="shared" si="319"/>
        <v>01/2020</v>
      </c>
      <c r="M5088" s="82"/>
      <c r="N5088" s="82"/>
    </row>
    <row r="5089" spans="1:14" x14ac:dyDescent="0.25">
      <c r="A5089" s="170" t="s">
        <v>7775</v>
      </c>
      <c r="B5089" s="170" t="s">
        <v>7776</v>
      </c>
      <c r="C5089" s="170" t="s">
        <v>205</v>
      </c>
      <c r="D5089" s="170" t="s">
        <v>2067</v>
      </c>
      <c r="E5089" s="171" t="s">
        <v>29084</v>
      </c>
      <c r="F5089" s="171" t="s">
        <v>32752</v>
      </c>
      <c r="G5089" s="82"/>
      <c r="H5089" s="96">
        <f t="shared" si="316"/>
        <v>90.22</v>
      </c>
      <c r="I5089" s="96">
        <f t="shared" si="316"/>
        <v>90.56</v>
      </c>
      <c r="J5089" s="91" t="str">
        <f t="shared" si="317"/>
        <v>Sinapi 86915</v>
      </c>
      <c r="K5089" s="91" t="str">
        <f t="shared" si="318"/>
        <v>UN</v>
      </c>
      <c r="L5089" s="166" t="str">
        <f t="shared" si="319"/>
        <v>01/2020</v>
      </c>
      <c r="M5089" s="82"/>
      <c r="N5089" s="82"/>
    </row>
    <row r="5090" spans="1:14" x14ac:dyDescent="0.25">
      <c r="A5090" s="170" t="s">
        <v>7777</v>
      </c>
      <c r="B5090" s="170" t="s">
        <v>7778</v>
      </c>
      <c r="C5090" s="170" t="s">
        <v>205</v>
      </c>
      <c r="D5090" s="170" t="s">
        <v>2067</v>
      </c>
      <c r="E5090" s="171" t="s">
        <v>15772</v>
      </c>
      <c r="F5090" s="171" t="s">
        <v>5587</v>
      </c>
      <c r="G5090" s="82"/>
      <c r="H5090" s="96">
        <f t="shared" si="316"/>
        <v>19.920000000000002</v>
      </c>
      <c r="I5090" s="96">
        <f t="shared" si="316"/>
        <v>20.440000000000001</v>
      </c>
      <c r="J5090" s="91" t="str">
        <f t="shared" si="317"/>
        <v>Sinapi 86916</v>
      </c>
      <c r="K5090" s="91" t="str">
        <f t="shared" si="318"/>
        <v>UN</v>
      </c>
      <c r="L5090" s="166" t="str">
        <f t="shared" si="319"/>
        <v>01/2020</v>
      </c>
      <c r="M5090" s="82"/>
      <c r="N5090" s="82"/>
    </row>
    <row r="5091" spans="1:14" x14ac:dyDescent="0.25">
      <c r="A5091" s="170" t="s">
        <v>7779</v>
      </c>
      <c r="B5091" s="170" t="s">
        <v>7780</v>
      </c>
      <c r="C5091" s="170" t="s">
        <v>205</v>
      </c>
      <c r="D5091" s="170" t="s">
        <v>1947</v>
      </c>
      <c r="E5091" s="171" t="s">
        <v>33977</v>
      </c>
      <c r="F5091" s="171" t="s">
        <v>28661</v>
      </c>
      <c r="G5091" s="82"/>
      <c r="H5091" s="96">
        <f t="shared" si="316"/>
        <v>824.88</v>
      </c>
      <c r="I5091" s="96">
        <f t="shared" si="316"/>
        <v>832.62</v>
      </c>
      <c r="J5091" s="91" t="str">
        <f t="shared" si="317"/>
        <v>Sinapi 86919</v>
      </c>
      <c r="K5091" s="91" t="str">
        <f t="shared" si="318"/>
        <v>UN</v>
      </c>
      <c r="L5091" s="166" t="str">
        <f t="shared" si="319"/>
        <v>01/2020</v>
      </c>
      <c r="M5091" s="82"/>
      <c r="N5091" s="82"/>
    </row>
    <row r="5092" spans="1:14" x14ac:dyDescent="0.25">
      <c r="A5092" s="170" t="s">
        <v>7781</v>
      </c>
      <c r="B5092" s="170" t="s">
        <v>7782</v>
      </c>
      <c r="C5092" s="170" t="s">
        <v>205</v>
      </c>
      <c r="D5092" s="170" t="s">
        <v>1947</v>
      </c>
      <c r="E5092" s="171" t="s">
        <v>33978</v>
      </c>
      <c r="F5092" s="171" t="s">
        <v>37137</v>
      </c>
      <c r="G5092" s="82"/>
      <c r="H5092" s="96">
        <f t="shared" si="316"/>
        <v>754.04</v>
      </c>
      <c r="I5092" s="96">
        <f t="shared" si="316"/>
        <v>761.61</v>
      </c>
      <c r="J5092" s="91" t="str">
        <f t="shared" si="317"/>
        <v>Sinapi 86920</v>
      </c>
      <c r="K5092" s="91" t="str">
        <f t="shared" si="318"/>
        <v>UN</v>
      </c>
      <c r="L5092" s="166" t="str">
        <f t="shared" si="319"/>
        <v>01/2020</v>
      </c>
      <c r="M5092" s="82"/>
      <c r="N5092" s="82"/>
    </row>
    <row r="5093" spans="1:14" x14ac:dyDescent="0.25">
      <c r="A5093" s="170" t="s">
        <v>7783</v>
      </c>
      <c r="B5093" s="170" t="s">
        <v>7784</v>
      </c>
      <c r="C5093" s="170" t="s">
        <v>205</v>
      </c>
      <c r="D5093" s="170" t="s">
        <v>1947</v>
      </c>
      <c r="E5093" s="171" t="s">
        <v>33979</v>
      </c>
      <c r="F5093" s="171" t="s">
        <v>37138</v>
      </c>
      <c r="G5093" s="82"/>
      <c r="H5093" s="96">
        <f t="shared" si="316"/>
        <v>738.34</v>
      </c>
      <c r="I5093" s="96">
        <f t="shared" si="316"/>
        <v>745.91</v>
      </c>
      <c r="J5093" s="91" t="str">
        <f t="shared" si="317"/>
        <v>Sinapi 86921</v>
      </c>
      <c r="K5093" s="91" t="str">
        <f t="shared" si="318"/>
        <v>UN</v>
      </c>
      <c r="L5093" s="166" t="str">
        <f t="shared" si="319"/>
        <v>01/2020</v>
      </c>
      <c r="M5093" s="82"/>
      <c r="N5093" s="82"/>
    </row>
    <row r="5094" spans="1:14" x14ac:dyDescent="0.25">
      <c r="A5094" s="170" t="s">
        <v>7785</v>
      </c>
      <c r="B5094" s="170" t="s">
        <v>7786</v>
      </c>
      <c r="C5094" s="170" t="s">
        <v>205</v>
      </c>
      <c r="D5094" s="170" t="s">
        <v>1947</v>
      </c>
      <c r="E5094" s="171" t="s">
        <v>33980</v>
      </c>
      <c r="F5094" s="171" t="s">
        <v>37139</v>
      </c>
      <c r="G5094" s="82"/>
      <c r="H5094" s="96">
        <f t="shared" si="316"/>
        <v>761.49</v>
      </c>
      <c r="I5094" s="96">
        <f t="shared" si="316"/>
        <v>766.52</v>
      </c>
      <c r="J5094" s="91" t="str">
        <f t="shared" si="317"/>
        <v>Sinapi 86922</v>
      </c>
      <c r="K5094" s="91" t="str">
        <f t="shared" si="318"/>
        <v>UN</v>
      </c>
      <c r="L5094" s="166" t="str">
        <f t="shared" si="319"/>
        <v>01/2020</v>
      </c>
      <c r="M5094" s="82"/>
      <c r="N5094" s="82"/>
    </row>
    <row r="5095" spans="1:14" x14ac:dyDescent="0.25">
      <c r="A5095" s="170" t="s">
        <v>7787</v>
      </c>
      <c r="B5095" s="170" t="s">
        <v>7788</v>
      </c>
      <c r="C5095" s="170" t="s">
        <v>205</v>
      </c>
      <c r="D5095" s="170" t="s">
        <v>1947</v>
      </c>
      <c r="E5095" s="171" t="s">
        <v>33981</v>
      </c>
      <c r="F5095" s="171" t="s">
        <v>37140</v>
      </c>
      <c r="G5095" s="82"/>
      <c r="H5095" s="96">
        <f t="shared" si="316"/>
        <v>553.04999999999995</v>
      </c>
      <c r="I5095" s="96">
        <f t="shared" si="316"/>
        <v>557.42999999999995</v>
      </c>
      <c r="J5095" s="91" t="str">
        <f t="shared" si="317"/>
        <v>Sinapi 86923</v>
      </c>
      <c r="K5095" s="91" t="str">
        <f t="shared" si="318"/>
        <v>UN</v>
      </c>
      <c r="L5095" s="166" t="str">
        <f t="shared" si="319"/>
        <v>01/2020</v>
      </c>
      <c r="M5095" s="82"/>
      <c r="N5095" s="82"/>
    </row>
    <row r="5096" spans="1:14" x14ac:dyDescent="0.25">
      <c r="A5096" s="170" t="s">
        <v>7789</v>
      </c>
      <c r="B5096" s="170" t="s">
        <v>7790</v>
      </c>
      <c r="C5096" s="170" t="s">
        <v>205</v>
      </c>
      <c r="D5096" s="170" t="s">
        <v>1947</v>
      </c>
      <c r="E5096" s="171" t="s">
        <v>33982</v>
      </c>
      <c r="F5096" s="171" t="s">
        <v>37141</v>
      </c>
      <c r="G5096" s="82"/>
      <c r="H5096" s="96">
        <f t="shared" si="316"/>
        <v>537.35</v>
      </c>
      <c r="I5096" s="96">
        <f t="shared" si="316"/>
        <v>541.73</v>
      </c>
      <c r="J5096" s="91" t="str">
        <f t="shared" si="317"/>
        <v>Sinapi 86924</v>
      </c>
      <c r="K5096" s="91" t="str">
        <f t="shared" si="318"/>
        <v>UN</v>
      </c>
      <c r="L5096" s="166" t="str">
        <f t="shared" si="319"/>
        <v>01/2020</v>
      </c>
      <c r="M5096" s="82"/>
      <c r="N5096" s="82"/>
    </row>
    <row r="5097" spans="1:14" x14ac:dyDescent="0.25">
      <c r="A5097" s="170" t="s">
        <v>7791</v>
      </c>
      <c r="B5097" s="170" t="s">
        <v>7792</v>
      </c>
      <c r="C5097" s="170" t="s">
        <v>205</v>
      </c>
      <c r="D5097" s="170" t="s">
        <v>1947</v>
      </c>
      <c r="E5097" s="171" t="s">
        <v>33983</v>
      </c>
      <c r="F5097" s="171" t="s">
        <v>37142</v>
      </c>
      <c r="G5097" s="82"/>
      <c r="H5097" s="96">
        <f t="shared" si="316"/>
        <v>688.26</v>
      </c>
      <c r="I5097" s="96">
        <f t="shared" si="316"/>
        <v>693.09</v>
      </c>
      <c r="J5097" s="91" t="str">
        <f t="shared" si="317"/>
        <v>Sinapi 86925</v>
      </c>
      <c r="K5097" s="91" t="str">
        <f t="shared" si="318"/>
        <v>UN</v>
      </c>
      <c r="L5097" s="166" t="str">
        <f t="shared" si="319"/>
        <v>01/2020</v>
      </c>
      <c r="M5097" s="82"/>
      <c r="N5097" s="82"/>
    </row>
    <row r="5098" spans="1:14" x14ac:dyDescent="0.25">
      <c r="A5098" s="170" t="s">
        <v>7793</v>
      </c>
      <c r="B5098" s="170" t="s">
        <v>7794</v>
      </c>
      <c r="C5098" s="170" t="s">
        <v>205</v>
      </c>
      <c r="D5098" s="170" t="s">
        <v>1947</v>
      </c>
      <c r="E5098" s="171" t="s">
        <v>33984</v>
      </c>
      <c r="F5098" s="171" t="s">
        <v>37143</v>
      </c>
      <c r="G5098" s="82"/>
      <c r="H5098" s="96">
        <f t="shared" si="316"/>
        <v>672.56</v>
      </c>
      <c r="I5098" s="96">
        <f t="shared" si="316"/>
        <v>677.39</v>
      </c>
      <c r="J5098" s="91" t="str">
        <f t="shared" si="317"/>
        <v>Sinapi 86926</v>
      </c>
      <c r="K5098" s="91" t="str">
        <f t="shared" si="318"/>
        <v>UN</v>
      </c>
      <c r="L5098" s="166" t="str">
        <f t="shared" si="319"/>
        <v>01/2020</v>
      </c>
      <c r="M5098" s="82"/>
      <c r="N5098" s="82"/>
    </row>
    <row r="5099" spans="1:14" x14ac:dyDescent="0.25">
      <c r="A5099" s="170" t="s">
        <v>7795</v>
      </c>
      <c r="B5099" s="170" t="s">
        <v>7796</v>
      </c>
      <c r="C5099" s="170" t="s">
        <v>205</v>
      </c>
      <c r="D5099" s="170" t="s">
        <v>1947</v>
      </c>
      <c r="E5099" s="171" t="s">
        <v>33985</v>
      </c>
      <c r="F5099" s="171" t="s">
        <v>37144</v>
      </c>
      <c r="G5099" s="82"/>
      <c r="H5099" s="96">
        <f t="shared" si="316"/>
        <v>422.78</v>
      </c>
      <c r="I5099" s="96">
        <f t="shared" si="316"/>
        <v>426.79</v>
      </c>
      <c r="J5099" s="91" t="str">
        <f t="shared" si="317"/>
        <v>Sinapi 86927</v>
      </c>
      <c r="K5099" s="91" t="str">
        <f t="shared" si="318"/>
        <v>UN</v>
      </c>
      <c r="L5099" s="166" t="str">
        <f t="shared" si="319"/>
        <v>01/2020</v>
      </c>
      <c r="M5099" s="82"/>
      <c r="N5099" s="82"/>
    </row>
    <row r="5100" spans="1:14" x14ac:dyDescent="0.25">
      <c r="A5100" s="170" t="s">
        <v>7797</v>
      </c>
      <c r="B5100" s="170" t="s">
        <v>7798</v>
      </c>
      <c r="C5100" s="170" t="s">
        <v>205</v>
      </c>
      <c r="D5100" s="170" t="s">
        <v>1947</v>
      </c>
      <c r="E5100" s="171" t="s">
        <v>33986</v>
      </c>
      <c r="F5100" s="171" t="s">
        <v>37145</v>
      </c>
      <c r="G5100" s="82"/>
      <c r="H5100" s="96">
        <f t="shared" si="316"/>
        <v>407.08</v>
      </c>
      <c r="I5100" s="96">
        <f t="shared" si="316"/>
        <v>411.09</v>
      </c>
      <c r="J5100" s="91" t="str">
        <f t="shared" si="317"/>
        <v>Sinapi 86928</v>
      </c>
      <c r="K5100" s="91" t="str">
        <f t="shared" si="318"/>
        <v>UN</v>
      </c>
      <c r="L5100" s="166" t="str">
        <f t="shared" si="319"/>
        <v>01/2020</v>
      </c>
      <c r="M5100" s="82"/>
      <c r="N5100" s="82"/>
    </row>
    <row r="5101" spans="1:14" x14ac:dyDescent="0.25">
      <c r="A5101" s="170" t="s">
        <v>7799</v>
      </c>
      <c r="B5101" s="170" t="s">
        <v>7800</v>
      </c>
      <c r="C5101" s="170" t="s">
        <v>205</v>
      </c>
      <c r="D5101" s="170" t="s">
        <v>1947</v>
      </c>
      <c r="E5101" s="171" t="s">
        <v>33987</v>
      </c>
      <c r="F5101" s="171" t="s">
        <v>37146</v>
      </c>
      <c r="G5101" s="82"/>
      <c r="H5101" s="96">
        <f t="shared" si="316"/>
        <v>413.86</v>
      </c>
      <c r="I5101" s="96">
        <f t="shared" si="316"/>
        <v>417.7</v>
      </c>
      <c r="J5101" s="91" t="str">
        <f t="shared" si="317"/>
        <v>Sinapi 86929</v>
      </c>
      <c r="K5101" s="91" t="str">
        <f t="shared" si="318"/>
        <v>UN</v>
      </c>
      <c r="L5101" s="166" t="str">
        <f t="shared" si="319"/>
        <v>01/2020</v>
      </c>
      <c r="M5101" s="82"/>
      <c r="N5101" s="82"/>
    </row>
    <row r="5102" spans="1:14" x14ac:dyDescent="0.25">
      <c r="A5102" s="170" t="s">
        <v>7801</v>
      </c>
      <c r="B5102" s="170" t="s">
        <v>7802</v>
      </c>
      <c r="C5102" s="170" t="s">
        <v>205</v>
      </c>
      <c r="D5102" s="170" t="s">
        <v>1947</v>
      </c>
      <c r="E5102" s="171" t="s">
        <v>33988</v>
      </c>
      <c r="F5102" s="171" t="s">
        <v>37147</v>
      </c>
      <c r="G5102" s="82"/>
      <c r="H5102" s="96">
        <f t="shared" si="316"/>
        <v>398.16</v>
      </c>
      <c r="I5102" s="96">
        <f t="shared" si="316"/>
        <v>402</v>
      </c>
      <c r="J5102" s="91" t="str">
        <f t="shared" si="317"/>
        <v>Sinapi 86930</v>
      </c>
      <c r="K5102" s="91" t="str">
        <f t="shared" si="318"/>
        <v>UN</v>
      </c>
      <c r="L5102" s="166" t="str">
        <f t="shared" si="319"/>
        <v>01/2020</v>
      </c>
      <c r="M5102" s="82"/>
      <c r="N5102" s="82"/>
    </row>
    <row r="5103" spans="1:14" x14ac:dyDescent="0.25">
      <c r="A5103" s="170" t="s">
        <v>7803</v>
      </c>
      <c r="B5103" s="170" t="s">
        <v>7804</v>
      </c>
      <c r="C5103" s="170" t="s">
        <v>205</v>
      </c>
      <c r="D5103" s="170" t="s">
        <v>1947</v>
      </c>
      <c r="E5103" s="171" t="s">
        <v>33989</v>
      </c>
      <c r="F5103" s="171" t="s">
        <v>37148</v>
      </c>
      <c r="G5103" s="82"/>
      <c r="H5103" s="96">
        <f t="shared" si="316"/>
        <v>484.7</v>
      </c>
      <c r="I5103" s="96">
        <f t="shared" si="316"/>
        <v>488.25</v>
      </c>
      <c r="J5103" s="91" t="str">
        <f t="shared" si="317"/>
        <v>Sinapi 86931</v>
      </c>
      <c r="K5103" s="91" t="str">
        <f t="shared" si="318"/>
        <v>UN</v>
      </c>
      <c r="L5103" s="166" t="str">
        <f t="shared" si="319"/>
        <v>01/2020</v>
      </c>
      <c r="M5103" s="82"/>
      <c r="N5103" s="82"/>
    </row>
    <row r="5104" spans="1:14" x14ac:dyDescent="0.25">
      <c r="A5104" s="170" t="s">
        <v>7805</v>
      </c>
      <c r="B5104" s="170" t="s">
        <v>7806</v>
      </c>
      <c r="C5104" s="170" t="s">
        <v>205</v>
      </c>
      <c r="D5104" s="170" t="s">
        <v>1947</v>
      </c>
      <c r="E5104" s="171" t="s">
        <v>28893</v>
      </c>
      <c r="F5104" s="171" t="s">
        <v>30448</v>
      </c>
      <c r="G5104" s="82"/>
      <c r="H5104" s="96">
        <f t="shared" si="316"/>
        <v>516</v>
      </c>
      <c r="I5104" s="96">
        <f t="shared" si="316"/>
        <v>519.54999999999995</v>
      </c>
      <c r="J5104" s="91" t="str">
        <f t="shared" si="317"/>
        <v>Sinapi 86932</v>
      </c>
      <c r="K5104" s="91" t="str">
        <f t="shared" si="318"/>
        <v>UN</v>
      </c>
      <c r="L5104" s="166" t="str">
        <f t="shared" si="319"/>
        <v>01/2020</v>
      </c>
      <c r="M5104" s="82"/>
      <c r="N5104" s="82"/>
    </row>
    <row r="5105" spans="1:14" x14ac:dyDescent="0.25">
      <c r="A5105" s="170" t="s">
        <v>7807</v>
      </c>
      <c r="B5105" s="170" t="s">
        <v>7808</v>
      </c>
      <c r="C5105" s="170" t="s">
        <v>205</v>
      </c>
      <c r="D5105" s="170" t="s">
        <v>1947</v>
      </c>
      <c r="E5105" s="171" t="s">
        <v>33990</v>
      </c>
      <c r="F5105" s="171" t="s">
        <v>37149</v>
      </c>
      <c r="G5105" s="82"/>
      <c r="H5105" s="96">
        <f t="shared" si="316"/>
        <v>458.98</v>
      </c>
      <c r="I5105" s="96">
        <f t="shared" si="316"/>
        <v>463.8</v>
      </c>
      <c r="J5105" s="91" t="str">
        <f t="shared" si="317"/>
        <v>Sinapi 86933</v>
      </c>
      <c r="K5105" s="91" t="str">
        <f t="shared" si="318"/>
        <v>UN</v>
      </c>
      <c r="L5105" s="166" t="str">
        <f t="shared" si="319"/>
        <v>01/2020</v>
      </c>
      <c r="M5105" s="82"/>
      <c r="N5105" s="82"/>
    </row>
    <row r="5106" spans="1:14" x14ac:dyDescent="0.25">
      <c r="A5106" s="170" t="s">
        <v>7809</v>
      </c>
      <c r="B5106" s="170" t="s">
        <v>7810</v>
      </c>
      <c r="C5106" s="170" t="s">
        <v>205</v>
      </c>
      <c r="D5106" s="170" t="s">
        <v>1947</v>
      </c>
      <c r="E5106" s="171" t="s">
        <v>33991</v>
      </c>
      <c r="F5106" s="171" t="s">
        <v>37150</v>
      </c>
      <c r="G5106" s="82"/>
      <c r="H5106" s="96">
        <f t="shared" si="316"/>
        <v>450.06</v>
      </c>
      <c r="I5106" s="96">
        <f t="shared" si="316"/>
        <v>454.71</v>
      </c>
      <c r="J5106" s="91" t="str">
        <f t="shared" si="317"/>
        <v>Sinapi 86934</v>
      </c>
      <c r="K5106" s="91" t="str">
        <f t="shared" si="318"/>
        <v>UN</v>
      </c>
      <c r="L5106" s="166" t="str">
        <f t="shared" si="319"/>
        <v>01/2020</v>
      </c>
      <c r="M5106" s="82"/>
      <c r="N5106" s="82"/>
    </row>
    <row r="5107" spans="1:14" x14ac:dyDescent="0.25">
      <c r="A5107" s="170" t="s">
        <v>7811</v>
      </c>
      <c r="B5107" s="170" t="s">
        <v>7812</v>
      </c>
      <c r="C5107" s="170" t="s">
        <v>205</v>
      </c>
      <c r="D5107" s="170" t="s">
        <v>2067</v>
      </c>
      <c r="E5107" s="171" t="s">
        <v>31865</v>
      </c>
      <c r="F5107" s="171" t="s">
        <v>37151</v>
      </c>
      <c r="G5107" s="82"/>
      <c r="H5107" s="96">
        <f t="shared" si="316"/>
        <v>286.18</v>
      </c>
      <c r="I5107" s="96">
        <f t="shared" si="316"/>
        <v>288.68</v>
      </c>
      <c r="J5107" s="91" t="str">
        <f t="shared" si="317"/>
        <v>Sinapi 86935</v>
      </c>
      <c r="K5107" s="91" t="str">
        <f t="shared" si="318"/>
        <v>UN</v>
      </c>
      <c r="L5107" s="166" t="str">
        <f t="shared" si="319"/>
        <v>01/2020</v>
      </c>
      <c r="M5107" s="82"/>
      <c r="N5107" s="82"/>
    </row>
    <row r="5108" spans="1:14" x14ac:dyDescent="0.25">
      <c r="A5108" s="170" t="s">
        <v>7813</v>
      </c>
      <c r="B5108" s="170" t="s">
        <v>7814</v>
      </c>
      <c r="C5108" s="170" t="s">
        <v>205</v>
      </c>
      <c r="D5108" s="170" t="s">
        <v>2067</v>
      </c>
      <c r="E5108" s="171" t="s">
        <v>33992</v>
      </c>
      <c r="F5108" s="171" t="s">
        <v>37152</v>
      </c>
      <c r="G5108" s="82"/>
      <c r="H5108" s="96">
        <f t="shared" si="316"/>
        <v>432.7</v>
      </c>
      <c r="I5108" s="96">
        <f t="shared" si="316"/>
        <v>435.85</v>
      </c>
      <c r="J5108" s="91" t="str">
        <f t="shared" si="317"/>
        <v>Sinapi 86936</v>
      </c>
      <c r="K5108" s="91" t="str">
        <f t="shared" si="318"/>
        <v>UN</v>
      </c>
      <c r="L5108" s="166" t="str">
        <f t="shared" si="319"/>
        <v>01/2020</v>
      </c>
      <c r="M5108" s="82"/>
      <c r="N5108" s="82"/>
    </row>
    <row r="5109" spans="1:14" x14ac:dyDescent="0.25">
      <c r="A5109" s="170" t="s">
        <v>7815</v>
      </c>
      <c r="B5109" s="170" t="s">
        <v>7816</v>
      </c>
      <c r="C5109" s="170" t="s">
        <v>205</v>
      </c>
      <c r="D5109" s="170" t="s">
        <v>2067</v>
      </c>
      <c r="E5109" s="171" t="s">
        <v>33993</v>
      </c>
      <c r="F5109" s="171" t="s">
        <v>37153</v>
      </c>
      <c r="G5109" s="82"/>
      <c r="H5109" s="96">
        <f t="shared" si="316"/>
        <v>203.49</v>
      </c>
      <c r="I5109" s="96">
        <f t="shared" si="316"/>
        <v>207.25</v>
      </c>
      <c r="J5109" s="91" t="str">
        <f t="shared" si="317"/>
        <v>Sinapi 86937</v>
      </c>
      <c r="K5109" s="91" t="str">
        <f t="shared" si="318"/>
        <v>UN</v>
      </c>
      <c r="L5109" s="166" t="str">
        <f t="shared" si="319"/>
        <v>01/2020</v>
      </c>
      <c r="M5109" s="82"/>
      <c r="N5109" s="82"/>
    </row>
    <row r="5110" spans="1:14" x14ac:dyDescent="0.25">
      <c r="A5110" s="170" t="s">
        <v>7817</v>
      </c>
      <c r="B5110" s="170" t="s">
        <v>7818</v>
      </c>
      <c r="C5110" s="170" t="s">
        <v>205</v>
      </c>
      <c r="D5110" s="170" t="s">
        <v>2067</v>
      </c>
      <c r="E5110" s="171" t="s">
        <v>28619</v>
      </c>
      <c r="F5110" s="171" t="s">
        <v>37154</v>
      </c>
      <c r="G5110" s="82"/>
      <c r="H5110" s="96">
        <f t="shared" si="316"/>
        <v>350.01</v>
      </c>
      <c r="I5110" s="96">
        <f t="shared" si="316"/>
        <v>354.42</v>
      </c>
      <c r="J5110" s="91" t="str">
        <f t="shared" si="317"/>
        <v>Sinapi 86938</v>
      </c>
      <c r="K5110" s="91" t="str">
        <f t="shared" si="318"/>
        <v>UN</v>
      </c>
      <c r="L5110" s="166" t="str">
        <f t="shared" si="319"/>
        <v>01/2020</v>
      </c>
      <c r="M5110" s="82"/>
      <c r="N5110" s="82"/>
    </row>
    <row r="5111" spans="1:14" x14ac:dyDescent="0.25">
      <c r="A5111" s="170" t="s">
        <v>7819</v>
      </c>
      <c r="B5111" s="170" t="s">
        <v>7820</v>
      </c>
      <c r="C5111" s="170" t="s">
        <v>205</v>
      </c>
      <c r="D5111" s="170" t="s">
        <v>1947</v>
      </c>
      <c r="E5111" s="171" t="s">
        <v>33994</v>
      </c>
      <c r="F5111" s="171" t="s">
        <v>37155</v>
      </c>
      <c r="G5111" s="82"/>
      <c r="H5111" s="96">
        <f t="shared" si="316"/>
        <v>390.05</v>
      </c>
      <c r="I5111" s="96">
        <f t="shared" si="316"/>
        <v>394.93</v>
      </c>
      <c r="J5111" s="91" t="str">
        <f t="shared" si="317"/>
        <v>Sinapi 86939</v>
      </c>
      <c r="K5111" s="91" t="str">
        <f t="shared" si="318"/>
        <v>UN</v>
      </c>
      <c r="L5111" s="166" t="str">
        <f t="shared" si="319"/>
        <v>01/2020</v>
      </c>
      <c r="M5111" s="82"/>
      <c r="N5111" s="82"/>
    </row>
    <row r="5112" spans="1:14" x14ac:dyDescent="0.25">
      <c r="A5112" s="170" t="s">
        <v>7821</v>
      </c>
      <c r="B5112" s="170" t="s">
        <v>7822</v>
      </c>
      <c r="C5112" s="170" t="s">
        <v>205</v>
      </c>
      <c r="D5112" s="170" t="s">
        <v>1947</v>
      </c>
      <c r="E5112" s="171" t="s">
        <v>33995</v>
      </c>
      <c r="F5112" s="171" t="s">
        <v>37156</v>
      </c>
      <c r="G5112" s="82"/>
      <c r="H5112" s="96">
        <f t="shared" si="316"/>
        <v>901.76</v>
      </c>
      <c r="I5112" s="96">
        <f t="shared" si="316"/>
        <v>911.29</v>
      </c>
      <c r="J5112" s="91" t="str">
        <f t="shared" si="317"/>
        <v>Sinapi 86940</v>
      </c>
      <c r="K5112" s="91" t="str">
        <f t="shared" si="318"/>
        <v>UN</v>
      </c>
      <c r="L5112" s="166" t="str">
        <f t="shared" si="319"/>
        <v>01/2020</v>
      </c>
      <c r="M5112" s="82"/>
      <c r="N5112" s="82"/>
    </row>
    <row r="5113" spans="1:14" x14ac:dyDescent="0.25">
      <c r="A5113" s="170" t="s">
        <v>7823</v>
      </c>
      <c r="B5113" s="170" t="s">
        <v>7824</v>
      </c>
      <c r="C5113" s="170" t="s">
        <v>205</v>
      </c>
      <c r="D5113" s="170" t="s">
        <v>1947</v>
      </c>
      <c r="E5113" s="171" t="s">
        <v>33996</v>
      </c>
      <c r="F5113" s="171" t="s">
        <v>37157</v>
      </c>
      <c r="G5113" s="82"/>
      <c r="H5113" s="96">
        <f t="shared" si="316"/>
        <v>693.53</v>
      </c>
      <c r="I5113" s="96">
        <f t="shared" si="316"/>
        <v>701.3</v>
      </c>
      <c r="J5113" s="91" t="str">
        <f t="shared" si="317"/>
        <v>Sinapi 86941</v>
      </c>
      <c r="K5113" s="91" t="str">
        <f t="shared" si="318"/>
        <v>UN</v>
      </c>
      <c r="L5113" s="166" t="str">
        <f t="shared" si="319"/>
        <v>01/2020</v>
      </c>
      <c r="M5113" s="82"/>
      <c r="N5113" s="82"/>
    </row>
    <row r="5114" spans="1:14" x14ac:dyDescent="0.25">
      <c r="A5114" s="170" t="s">
        <v>7825</v>
      </c>
      <c r="B5114" s="170" t="s">
        <v>7826</v>
      </c>
      <c r="C5114" s="170" t="s">
        <v>205</v>
      </c>
      <c r="D5114" s="170" t="s">
        <v>1947</v>
      </c>
      <c r="E5114" s="171" t="s">
        <v>33997</v>
      </c>
      <c r="F5114" s="171" t="s">
        <v>37158</v>
      </c>
      <c r="G5114" s="82"/>
      <c r="H5114" s="96">
        <f t="shared" si="316"/>
        <v>230.49</v>
      </c>
      <c r="I5114" s="96">
        <f t="shared" si="316"/>
        <v>233.67</v>
      </c>
      <c r="J5114" s="91" t="str">
        <f t="shared" si="317"/>
        <v>Sinapi 86942</v>
      </c>
      <c r="K5114" s="91" t="str">
        <f t="shared" si="318"/>
        <v>UN</v>
      </c>
      <c r="L5114" s="166" t="str">
        <f t="shared" si="319"/>
        <v>01/2020</v>
      </c>
      <c r="M5114" s="82"/>
      <c r="N5114" s="82"/>
    </row>
    <row r="5115" spans="1:14" x14ac:dyDescent="0.25">
      <c r="A5115" s="170" t="s">
        <v>7827</v>
      </c>
      <c r="B5115" s="170" t="s">
        <v>7828</v>
      </c>
      <c r="C5115" s="170" t="s">
        <v>205</v>
      </c>
      <c r="D5115" s="170" t="s">
        <v>1947</v>
      </c>
      <c r="E5115" s="171" t="s">
        <v>33998</v>
      </c>
      <c r="F5115" s="171" t="s">
        <v>23038</v>
      </c>
      <c r="G5115" s="82"/>
      <c r="H5115" s="96">
        <f t="shared" si="316"/>
        <v>221.57</v>
      </c>
      <c r="I5115" s="96">
        <f t="shared" si="316"/>
        <v>224.58</v>
      </c>
      <c r="J5115" s="91" t="str">
        <f t="shared" si="317"/>
        <v>Sinapi 86943</v>
      </c>
      <c r="K5115" s="91" t="str">
        <f t="shared" si="318"/>
        <v>UN</v>
      </c>
      <c r="L5115" s="166" t="str">
        <f t="shared" si="319"/>
        <v>01/2020</v>
      </c>
      <c r="M5115" s="82"/>
      <c r="N5115" s="82"/>
    </row>
    <row r="5116" spans="1:14" x14ac:dyDescent="0.25">
      <c r="A5116" s="170" t="s">
        <v>7829</v>
      </c>
      <c r="B5116" s="170" t="s">
        <v>7830</v>
      </c>
      <c r="C5116" s="170" t="s">
        <v>205</v>
      </c>
      <c r="D5116" s="170" t="s">
        <v>1947</v>
      </c>
      <c r="E5116" s="171" t="s">
        <v>33999</v>
      </c>
      <c r="F5116" s="171" t="s">
        <v>37159</v>
      </c>
      <c r="G5116" s="82"/>
      <c r="H5116" s="96">
        <f t="shared" si="316"/>
        <v>1160.3499999999999</v>
      </c>
      <c r="I5116" s="96">
        <f t="shared" si="316"/>
        <v>1174.6400000000001</v>
      </c>
      <c r="J5116" s="91" t="str">
        <f t="shared" si="317"/>
        <v>Sinapi 86947</v>
      </c>
      <c r="K5116" s="91" t="str">
        <f t="shared" si="318"/>
        <v>UN</v>
      </c>
      <c r="L5116" s="166" t="str">
        <f t="shared" si="319"/>
        <v>01/2020</v>
      </c>
      <c r="M5116" s="82"/>
      <c r="N5116" s="82"/>
    </row>
    <row r="5117" spans="1:14" x14ac:dyDescent="0.25">
      <c r="A5117" s="170" t="s">
        <v>7831</v>
      </c>
      <c r="B5117" s="170" t="s">
        <v>7832</v>
      </c>
      <c r="C5117" s="170" t="s">
        <v>205</v>
      </c>
      <c r="D5117" s="170" t="s">
        <v>1947</v>
      </c>
      <c r="E5117" s="171" t="s">
        <v>34000</v>
      </c>
      <c r="F5117" s="171" t="s">
        <v>37160</v>
      </c>
      <c r="G5117" s="82"/>
      <c r="H5117" s="96">
        <f t="shared" si="316"/>
        <v>845.53</v>
      </c>
      <c r="I5117" s="96">
        <f t="shared" si="316"/>
        <v>857.41</v>
      </c>
      <c r="J5117" s="91" t="str">
        <f t="shared" si="317"/>
        <v>Sinapi 93396</v>
      </c>
      <c r="K5117" s="91" t="str">
        <f t="shared" si="318"/>
        <v>UN</v>
      </c>
      <c r="L5117" s="166" t="str">
        <f t="shared" si="319"/>
        <v>01/2020</v>
      </c>
      <c r="M5117" s="82"/>
      <c r="N5117" s="82"/>
    </row>
    <row r="5118" spans="1:14" x14ac:dyDescent="0.25">
      <c r="A5118" s="170" t="s">
        <v>7833</v>
      </c>
      <c r="B5118" s="170" t="s">
        <v>7834</v>
      </c>
      <c r="C5118" s="170" t="s">
        <v>205</v>
      </c>
      <c r="D5118" s="170" t="s">
        <v>1947</v>
      </c>
      <c r="E5118" s="171" t="s">
        <v>34001</v>
      </c>
      <c r="F5118" s="171" t="s">
        <v>37161</v>
      </c>
      <c r="G5118" s="82"/>
      <c r="H5118" s="96">
        <f t="shared" si="316"/>
        <v>1699.9</v>
      </c>
      <c r="I5118" s="96">
        <f t="shared" si="316"/>
        <v>1709.38</v>
      </c>
      <c r="J5118" s="91" t="str">
        <f t="shared" si="317"/>
        <v>Sinapi 93441</v>
      </c>
      <c r="K5118" s="91" t="str">
        <f t="shared" si="318"/>
        <v>UN</v>
      </c>
      <c r="L5118" s="166" t="str">
        <f t="shared" si="319"/>
        <v>01/2020</v>
      </c>
      <c r="M5118" s="82"/>
      <c r="N5118" s="82"/>
    </row>
    <row r="5119" spans="1:14" x14ac:dyDescent="0.25">
      <c r="A5119" s="170" t="s">
        <v>7835</v>
      </c>
      <c r="B5119" s="170" t="s">
        <v>7836</v>
      </c>
      <c r="C5119" s="170" t="s">
        <v>205</v>
      </c>
      <c r="D5119" s="170" t="s">
        <v>1947</v>
      </c>
      <c r="E5119" s="171" t="s">
        <v>34002</v>
      </c>
      <c r="F5119" s="171" t="s">
        <v>37162</v>
      </c>
      <c r="G5119" s="82"/>
      <c r="H5119" s="96">
        <f t="shared" si="316"/>
        <v>1566.37</v>
      </c>
      <c r="I5119" s="96">
        <f t="shared" si="316"/>
        <v>1576.67</v>
      </c>
      <c r="J5119" s="91" t="str">
        <f t="shared" si="317"/>
        <v>Sinapi 93442</v>
      </c>
      <c r="K5119" s="91" t="str">
        <f t="shared" si="318"/>
        <v>UN</v>
      </c>
      <c r="L5119" s="166" t="str">
        <f t="shared" si="319"/>
        <v>01/2020</v>
      </c>
      <c r="M5119" s="82"/>
      <c r="N5119" s="82"/>
    </row>
    <row r="5120" spans="1:14" x14ac:dyDescent="0.25">
      <c r="A5120" s="170" t="s">
        <v>7837</v>
      </c>
      <c r="B5120" s="170" t="s">
        <v>7838</v>
      </c>
      <c r="C5120" s="170" t="s">
        <v>205</v>
      </c>
      <c r="D5120" s="170" t="s">
        <v>1947</v>
      </c>
      <c r="E5120" s="171" t="s">
        <v>34003</v>
      </c>
      <c r="F5120" s="171" t="s">
        <v>37163</v>
      </c>
      <c r="G5120" s="82"/>
      <c r="H5120" s="96">
        <f t="shared" si="316"/>
        <v>292.83999999999997</v>
      </c>
      <c r="I5120" s="96">
        <f t="shared" si="316"/>
        <v>294.89999999999998</v>
      </c>
      <c r="J5120" s="91" t="str">
        <f t="shared" si="317"/>
        <v>Sinapi 95469</v>
      </c>
      <c r="K5120" s="91" t="str">
        <f t="shared" si="318"/>
        <v>UN</v>
      </c>
      <c r="L5120" s="166" t="str">
        <f t="shared" si="319"/>
        <v>01/2020</v>
      </c>
      <c r="M5120" s="82"/>
      <c r="N5120" s="82"/>
    </row>
    <row r="5121" spans="1:14" x14ac:dyDescent="0.25">
      <c r="A5121" s="170" t="s">
        <v>7839</v>
      </c>
      <c r="B5121" s="170" t="s">
        <v>7840</v>
      </c>
      <c r="C5121" s="170" t="s">
        <v>205</v>
      </c>
      <c r="D5121" s="170" t="s">
        <v>1947</v>
      </c>
      <c r="E5121" s="171" t="s">
        <v>34004</v>
      </c>
      <c r="F5121" s="171" t="s">
        <v>37164</v>
      </c>
      <c r="G5121" s="82"/>
      <c r="H5121" s="96">
        <f t="shared" si="316"/>
        <v>301.74</v>
      </c>
      <c r="I5121" s="96">
        <f t="shared" si="316"/>
        <v>303.8</v>
      </c>
      <c r="J5121" s="91" t="str">
        <f t="shared" si="317"/>
        <v>Sinapi 95470</v>
      </c>
      <c r="K5121" s="91" t="str">
        <f t="shared" si="318"/>
        <v>UN</v>
      </c>
      <c r="L5121" s="166" t="str">
        <f t="shared" si="319"/>
        <v>10/2016</v>
      </c>
      <c r="M5121" s="82"/>
      <c r="N5121" s="82"/>
    </row>
    <row r="5122" spans="1:14" x14ac:dyDescent="0.25">
      <c r="A5122" s="170" t="s">
        <v>7841</v>
      </c>
      <c r="B5122" s="170" t="s">
        <v>7842</v>
      </c>
      <c r="C5122" s="170" t="s">
        <v>205</v>
      </c>
      <c r="D5122" s="170" t="s">
        <v>1947</v>
      </c>
      <c r="E5122" s="171" t="s">
        <v>34005</v>
      </c>
      <c r="F5122" s="171" t="s">
        <v>37165</v>
      </c>
      <c r="G5122" s="82"/>
      <c r="H5122" s="96">
        <f t="shared" si="316"/>
        <v>739.08</v>
      </c>
      <c r="I5122" s="96">
        <f t="shared" si="316"/>
        <v>743.4</v>
      </c>
      <c r="J5122" s="91" t="str">
        <f t="shared" si="317"/>
        <v>Sinapi 95471</v>
      </c>
      <c r="K5122" s="91" t="str">
        <f t="shared" si="318"/>
        <v>UN</v>
      </c>
      <c r="L5122" s="166" t="str">
        <f t="shared" si="319"/>
        <v>01/2020</v>
      </c>
      <c r="M5122" s="82"/>
      <c r="N5122" s="82"/>
    </row>
    <row r="5123" spans="1:14" x14ac:dyDescent="0.25">
      <c r="A5123" s="170" t="s">
        <v>7843</v>
      </c>
      <c r="B5123" s="170" t="s">
        <v>7844</v>
      </c>
      <c r="C5123" s="170" t="s">
        <v>205</v>
      </c>
      <c r="D5123" s="170" t="s">
        <v>1947</v>
      </c>
      <c r="E5123" s="171" t="s">
        <v>34006</v>
      </c>
      <c r="F5123" s="171" t="s">
        <v>37166</v>
      </c>
      <c r="G5123" s="82"/>
      <c r="H5123" s="96">
        <f t="shared" si="316"/>
        <v>747.98</v>
      </c>
      <c r="I5123" s="96">
        <f t="shared" si="316"/>
        <v>752.3</v>
      </c>
      <c r="J5123" s="91" t="str">
        <f t="shared" si="317"/>
        <v>Sinapi 95472</v>
      </c>
      <c r="K5123" s="91" t="str">
        <f t="shared" si="318"/>
        <v>UN</v>
      </c>
      <c r="L5123" s="166" t="str">
        <f t="shared" si="319"/>
        <v>01/2020</v>
      </c>
      <c r="M5123" s="82"/>
      <c r="N5123" s="82"/>
    </row>
    <row r="5124" spans="1:14" x14ac:dyDescent="0.25">
      <c r="A5124" s="170" t="s">
        <v>7845</v>
      </c>
      <c r="B5124" s="170" t="s">
        <v>7846</v>
      </c>
      <c r="C5124" s="170" t="s">
        <v>205</v>
      </c>
      <c r="D5124" s="170" t="s">
        <v>2067</v>
      </c>
      <c r="E5124" s="171" t="s">
        <v>34007</v>
      </c>
      <c r="F5124" s="171" t="s">
        <v>28604</v>
      </c>
      <c r="G5124" s="82"/>
      <c r="H5124" s="96">
        <f t="shared" si="316"/>
        <v>55.45</v>
      </c>
      <c r="I5124" s="96">
        <f t="shared" si="316"/>
        <v>56.54</v>
      </c>
      <c r="J5124" s="91" t="str">
        <f t="shared" si="317"/>
        <v>Sinapi 95542</v>
      </c>
      <c r="K5124" s="91" t="str">
        <f t="shared" si="318"/>
        <v>UN</v>
      </c>
      <c r="L5124" s="166" t="str">
        <f t="shared" si="319"/>
        <v>01/2020</v>
      </c>
      <c r="M5124" s="82"/>
      <c r="N5124" s="82"/>
    </row>
    <row r="5125" spans="1:14" x14ac:dyDescent="0.25">
      <c r="A5125" s="170" t="s">
        <v>7847</v>
      </c>
      <c r="B5125" s="170" t="s">
        <v>7848</v>
      </c>
      <c r="C5125" s="170" t="s">
        <v>205</v>
      </c>
      <c r="D5125" s="170" t="s">
        <v>2067</v>
      </c>
      <c r="E5125" s="171" t="s">
        <v>34008</v>
      </c>
      <c r="F5125" s="171" t="s">
        <v>37167</v>
      </c>
      <c r="G5125" s="82"/>
      <c r="H5125" s="96">
        <f t="shared" si="316"/>
        <v>90.45</v>
      </c>
      <c r="I5125" s="96">
        <f t="shared" si="316"/>
        <v>92.61</v>
      </c>
      <c r="J5125" s="91" t="str">
        <f t="shared" si="317"/>
        <v>Sinapi 95543</v>
      </c>
      <c r="K5125" s="91" t="str">
        <f t="shared" si="318"/>
        <v>UN</v>
      </c>
      <c r="L5125" s="166" t="str">
        <f t="shared" si="319"/>
        <v>01/2020</v>
      </c>
      <c r="M5125" s="82"/>
      <c r="N5125" s="82"/>
    </row>
    <row r="5126" spans="1:14" x14ac:dyDescent="0.25">
      <c r="A5126" s="170" t="s">
        <v>7849</v>
      </c>
      <c r="B5126" s="170" t="s">
        <v>7850</v>
      </c>
      <c r="C5126" s="170" t="s">
        <v>205</v>
      </c>
      <c r="D5126" s="170" t="s">
        <v>2067</v>
      </c>
      <c r="E5126" s="171" t="s">
        <v>34009</v>
      </c>
      <c r="F5126" s="171" t="s">
        <v>22830</v>
      </c>
      <c r="G5126" s="82"/>
      <c r="H5126" s="96">
        <f t="shared" si="316"/>
        <v>69.739999999999995</v>
      </c>
      <c r="I5126" s="96">
        <f t="shared" si="316"/>
        <v>70.83</v>
      </c>
      <c r="J5126" s="91" t="str">
        <f t="shared" si="317"/>
        <v>Sinapi 95544</v>
      </c>
      <c r="K5126" s="91" t="str">
        <f t="shared" si="318"/>
        <v>UN</v>
      </c>
      <c r="L5126" s="166" t="str">
        <f t="shared" si="319"/>
        <v>01/2020</v>
      </c>
      <c r="M5126" s="82"/>
      <c r="N5126" s="82"/>
    </row>
    <row r="5127" spans="1:14" x14ac:dyDescent="0.25">
      <c r="A5127" s="170" t="s">
        <v>7851</v>
      </c>
      <c r="B5127" s="170" t="s">
        <v>7852</v>
      </c>
      <c r="C5127" s="170" t="s">
        <v>205</v>
      </c>
      <c r="D5127" s="170" t="s">
        <v>2710</v>
      </c>
      <c r="E5127" s="171" t="s">
        <v>29471</v>
      </c>
      <c r="F5127" s="171" t="s">
        <v>29250</v>
      </c>
      <c r="G5127" s="82"/>
      <c r="H5127" s="96">
        <f t="shared" si="316"/>
        <v>68.22</v>
      </c>
      <c r="I5127" s="96">
        <f t="shared" si="316"/>
        <v>69.31</v>
      </c>
      <c r="J5127" s="91" t="str">
        <f t="shared" si="317"/>
        <v>Sinapi 95545</v>
      </c>
      <c r="K5127" s="91" t="str">
        <f t="shared" si="318"/>
        <v>UN</v>
      </c>
      <c r="L5127" s="166" t="str">
        <f t="shared" si="319"/>
        <v>01/2020</v>
      </c>
      <c r="M5127" s="82"/>
      <c r="N5127" s="82"/>
    </row>
    <row r="5128" spans="1:14" x14ac:dyDescent="0.25">
      <c r="A5128" s="170" t="s">
        <v>7853</v>
      </c>
      <c r="B5128" s="170" t="s">
        <v>7854</v>
      </c>
      <c r="C5128" s="170" t="s">
        <v>205</v>
      </c>
      <c r="D5128" s="170" t="s">
        <v>2067</v>
      </c>
      <c r="E5128" s="171" t="s">
        <v>34010</v>
      </c>
      <c r="F5128" s="171" t="s">
        <v>37168</v>
      </c>
      <c r="G5128" s="82"/>
      <c r="H5128" s="96">
        <f t="shared" ref="H5128:I5191" si="320">IF(E5128="","",E5128+0)</f>
        <v>210.91</v>
      </c>
      <c r="I5128" s="96">
        <f t="shared" si="320"/>
        <v>217.4</v>
      </c>
      <c r="J5128" s="91" t="str">
        <f t="shared" ref="J5128:J5191" si="321">IF(OR(H5128="",I5128=""),"",TRIM(CONCATENATE("Sinapi ",A5128)))</f>
        <v>Sinapi 95546</v>
      </c>
      <c r="K5128" s="91" t="str">
        <f t="shared" ref="K5128:K5191" si="322">TRIM(C5128)</f>
        <v>UN</v>
      </c>
      <c r="L5128" s="166" t="str">
        <f t="shared" ref="L5128:L5191" si="323">IF(OR(RIGHT(IF(AND(K5128&lt;&gt;"H",K5128&lt;&gt;"MES"),RIGHT(B5128,7),""),2)="PS",RIGHT(IF(AND(K5128&lt;&gt;"H",K5128&lt;&gt;"MES"),RIGHT(B5128,7),""),2)="PA",RIGHT(IF(AND(K5128&lt;&gt;"H",K5128&lt;&gt;"MES"),RIGHT(B5128,7),""),2)="PE"),LEFT(IF(AND(K5128&lt;&gt;"H",K5128&lt;&gt;"MES"),RIGHT(B5128,10),""),7),IF(AND(K5128&lt;&gt;"H",K5128&lt;&gt;"MES"),RIGHT(B5128,7),""))</f>
        <v>01/2020</v>
      </c>
      <c r="M5128" s="82"/>
      <c r="N5128" s="82"/>
    </row>
    <row r="5129" spans="1:14" x14ac:dyDescent="0.25">
      <c r="A5129" s="170" t="s">
        <v>7855</v>
      </c>
      <c r="B5129" s="170" t="s">
        <v>7856</v>
      </c>
      <c r="C5129" s="170" t="s">
        <v>205</v>
      </c>
      <c r="D5129" s="170" t="s">
        <v>2710</v>
      </c>
      <c r="E5129" s="171" t="s">
        <v>29373</v>
      </c>
      <c r="F5129" s="171" t="s">
        <v>37169</v>
      </c>
      <c r="G5129" s="82"/>
      <c r="H5129" s="96">
        <f t="shared" si="320"/>
        <v>96.72</v>
      </c>
      <c r="I5129" s="96">
        <f t="shared" si="320"/>
        <v>97.81</v>
      </c>
      <c r="J5129" s="91" t="str">
        <f t="shared" si="321"/>
        <v>Sinapi 95547</v>
      </c>
      <c r="K5129" s="91" t="str">
        <f t="shared" si="322"/>
        <v>UN</v>
      </c>
      <c r="L5129" s="166" t="str">
        <f t="shared" si="323"/>
        <v>01/2020</v>
      </c>
      <c r="M5129" s="82"/>
      <c r="N5129" s="82"/>
    </row>
    <row r="5130" spans="1:14" x14ac:dyDescent="0.25">
      <c r="A5130" s="170" t="s">
        <v>7857</v>
      </c>
      <c r="B5130" s="170" t="s">
        <v>7858</v>
      </c>
      <c r="C5130" s="170" t="s">
        <v>205</v>
      </c>
      <c r="D5130" s="170" t="s">
        <v>1947</v>
      </c>
      <c r="E5130" s="171" t="s">
        <v>34011</v>
      </c>
      <c r="F5130" s="171" t="s">
        <v>37170</v>
      </c>
      <c r="G5130" s="82"/>
      <c r="H5130" s="96">
        <f t="shared" si="320"/>
        <v>534.77</v>
      </c>
      <c r="I5130" s="96">
        <f t="shared" si="320"/>
        <v>536.83000000000004</v>
      </c>
      <c r="J5130" s="91" t="str">
        <f t="shared" si="321"/>
        <v>Sinapi 100848</v>
      </c>
      <c r="K5130" s="91" t="str">
        <f t="shared" si="322"/>
        <v>UN</v>
      </c>
      <c r="L5130" s="166" t="str">
        <f t="shared" si="323"/>
        <v>01/2020</v>
      </c>
      <c r="M5130" s="82"/>
      <c r="N5130" s="82"/>
    </row>
    <row r="5131" spans="1:14" x14ac:dyDescent="0.25">
      <c r="A5131" s="170" t="s">
        <v>7859</v>
      </c>
      <c r="B5131" s="170" t="s">
        <v>7860</v>
      </c>
      <c r="C5131" s="170" t="s">
        <v>205</v>
      </c>
      <c r="D5131" s="170" t="s">
        <v>2710</v>
      </c>
      <c r="E5131" s="171" t="s">
        <v>33590</v>
      </c>
      <c r="F5131" s="171" t="s">
        <v>37171</v>
      </c>
      <c r="G5131" s="82"/>
      <c r="H5131" s="96">
        <f t="shared" si="320"/>
        <v>44.97</v>
      </c>
      <c r="I5131" s="96">
        <f t="shared" si="320"/>
        <v>45.5</v>
      </c>
      <c r="J5131" s="91" t="str">
        <f t="shared" si="321"/>
        <v>Sinapi 100849</v>
      </c>
      <c r="K5131" s="91" t="str">
        <f t="shared" si="322"/>
        <v>UN</v>
      </c>
      <c r="L5131" s="166" t="str">
        <f t="shared" si="323"/>
        <v>01/2020</v>
      </c>
      <c r="M5131" s="82"/>
      <c r="N5131" s="82"/>
    </row>
    <row r="5132" spans="1:14" x14ac:dyDescent="0.25">
      <c r="A5132" s="170" t="s">
        <v>7861</v>
      </c>
      <c r="B5132" s="170" t="s">
        <v>7862</v>
      </c>
      <c r="C5132" s="170" t="s">
        <v>205</v>
      </c>
      <c r="D5132" s="170" t="s">
        <v>2067</v>
      </c>
      <c r="E5132" s="171" t="s">
        <v>34012</v>
      </c>
      <c r="F5132" s="171" t="s">
        <v>37172</v>
      </c>
      <c r="G5132" s="82"/>
      <c r="H5132" s="96">
        <f t="shared" si="320"/>
        <v>90.65</v>
      </c>
      <c r="I5132" s="96">
        <f t="shared" si="320"/>
        <v>91.18</v>
      </c>
      <c r="J5132" s="91" t="str">
        <f t="shared" si="321"/>
        <v>Sinapi 100851</v>
      </c>
      <c r="K5132" s="91" t="str">
        <f t="shared" si="322"/>
        <v>UN</v>
      </c>
      <c r="L5132" s="166" t="str">
        <f t="shared" si="323"/>
        <v>01/2020</v>
      </c>
      <c r="M5132" s="82"/>
      <c r="N5132" s="82"/>
    </row>
    <row r="5133" spans="1:14" x14ac:dyDescent="0.25">
      <c r="A5133" s="170" t="s">
        <v>7863</v>
      </c>
      <c r="B5133" s="170" t="s">
        <v>7864</v>
      </c>
      <c r="C5133" s="170" t="s">
        <v>205</v>
      </c>
      <c r="D5133" s="170" t="s">
        <v>2067</v>
      </c>
      <c r="E5133" s="171" t="s">
        <v>34013</v>
      </c>
      <c r="F5133" s="171" t="s">
        <v>37173</v>
      </c>
      <c r="G5133" s="82"/>
      <c r="H5133" s="96">
        <f t="shared" si="320"/>
        <v>240.58</v>
      </c>
      <c r="I5133" s="96">
        <f t="shared" si="320"/>
        <v>242.2</v>
      </c>
      <c r="J5133" s="91" t="str">
        <f t="shared" si="321"/>
        <v>Sinapi 100852</v>
      </c>
      <c r="K5133" s="91" t="str">
        <f t="shared" si="322"/>
        <v>UN</v>
      </c>
      <c r="L5133" s="166" t="str">
        <f t="shared" si="323"/>
        <v>01/2020</v>
      </c>
      <c r="M5133" s="82"/>
      <c r="N5133" s="82"/>
    </row>
    <row r="5134" spans="1:14" x14ac:dyDescent="0.25">
      <c r="A5134" s="170" t="s">
        <v>14559</v>
      </c>
      <c r="B5134" s="170" t="s">
        <v>14560</v>
      </c>
      <c r="C5134" s="170" t="s">
        <v>205</v>
      </c>
      <c r="D5134" s="170" t="s">
        <v>2067</v>
      </c>
      <c r="E5134" s="171" t="s">
        <v>34014</v>
      </c>
      <c r="F5134" s="171" t="s">
        <v>37174</v>
      </c>
      <c r="G5134" s="82"/>
      <c r="H5134" s="96">
        <f t="shared" si="320"/>
        <v>218.61</v>
      </c>
      <c r="I5134" s="96">
        <f t="shared" si="320"/>
        <v>220.2</v>
      </c>
      <c r="J5134" s="91" t="str">
        <f t="shared" si="321"/>
        <v>Sinapi 100853</v>
      </c>
      <c r="K5134" s="91" t="str">
        <f t="shared" si="322"/>
        <v>UN</v>
      </c>
      <c r="L5134" s="166" t="str">
        <f t="shared" si="323"/>
        <v>01/2020</v>
      </c>
      <c r="M5134" s="82"/>
      <c r="N5134" s="82"/>
    </row>
    <row r="5135" spans="1:14" x14ac:dyDescent="0.25">
      <c r="A5135" s="170" t="s">
        <v>7865</v>
      </c>
      <c r="B5135" s="170" t="s">
        <v>7866</v>
      </c>
      <c r="C5135" s="170" t="s">
        <v>205</v>
      </c>
      <c r="D5135" s="170" t="s">
        <v>2067</v>
      </c>
      <c r="E5135" s="171" t="s">
        <v>34015</v>
      </c>
      <c r="F5135" s="171" t="s">
        <v>37175</v>
      </c>
      <c r="G5135" s="82"/>
      <c r="H5135" s="96">
        <f t="shared" si="320"/>
        <v>1123.19</v>
      </c>
      <c r="I5135" s="96">
        <f t="shared" si="320"/>
        <v>1125.3900000000001</v>
      </c>
      <c r="J5135" s="91" t="str">
        <f t="shared" si="321"/>
        <v>Sinapi 100854</v>
      </c>
      <c r="K5135" s="91" t="str">
        <f t="shared" si="322"/>
        <v>UN</v>
      </c>
      <c r="L5135" s="166" t="str">
        <f t="shared" si="323"/>
        <v>01/2020</v>
      </c>
      <c r="M5135" s="82"/>
      <c r="N5135" s="82"/>
    </row>
    <row r="5136" spans="1:14" x14ac:dyDescent="0.25">
      <c r="A5136" s="170" t="s">
        <v>7867</v>
      </c>
      <c r="B5136" s="170" t="s">
        <v>7868</v>
      </c>
      <c r="C5136" s="170" t="s">
        <v>205</v>
      </c>
      <c r="D5136" s="170" t="s">
        <v>2067</v>
      </c>
      <c r="E5136" s="171" t="s">
        <v>19875</v>
      </c>
      <c r="F5136" s="171" t="s">
        <v>21178</v>
      </c>
      <c r="G5136" s="82"/>
      <c r="H5136" s="96">
        <f t="shared" si="320"/>
        <v>24.53</v>
      </c>
      <c r="I5136" s="96">
        <f t="shared" si="320"/>
        <v>24.87</v>
      </c>
      <c r="J5136" s="91" t="str">
        <f t="shared" si="321"/>
        <v>Sinapi 100856</v>
      </c>
      <c r="K5136" s="91" t="str">
        <f t="shared" si="322"/>
        <v>UN</v>
      </c>
      <c r="L5136" s="166" t="str">
        <f t="shared" si="323"/>
        <v>01/2020</v>
      </c>
      <c r="M5136" s="82"/>
      <c r="N5136" s="82"/>
    </row>
    <row r="5137" spans="1:14" x14ac:dyDescent="0.25">
      <c r="A5137" s="170" t="s">
        <v>7869</v>
      </c>
      <c r="B5137" s="170" t="s">
        <v>7870</v>
      </c>
      <c r="C5137" s="170" t="s">
        <v>205</v>
      </c>
      <c r="D5137" s="170" t="s">
        <v>2067</v>
      </c>
      <c r="E5137" s="171" t="s">
        <v>34016</v>
      </c>
      <c r="F5137" s="171" t="s">
        <v>37176</v>
      </c>
      <c r="G5137" s="82"/>
      <c r="H5137" s="96">
        <f t="shared" si="320"/>
        <v>330.55</v>
      </c>
      <c r="I5137" s="96">
        <f t="shared" si="320"/>
        <v>331.73</v>
      </c>
      <c r="J5137" s="91" t="str">
        <f t="shared" si="321"/>
        <v>Sinapi 100857</v>
      </c>
      <c r="K5137" s="91" t="str">
        <f t="shared" si="322"/>
        <v>UN</v>
      </c>
      <c r="L5137" s="166" t="str">
        <f t="shared" si="323"/>
        <v>01/2020</v>
      </c>
      <c r="M5137" s="82"/>
      <c r="N5137" s="82"/>
    </row>
    <row r="5138" spans="1:14" x14ac:dyDescent="0.25">
      <c r="A5138" s="170" t="s">
        <v>7871</v>
      </c>
      <c r="B5138" s="170" t="s">
        <v>7872</v>
      </c>
      <c r="C5138" s="170" t="s">
        <v>205</v>
      </c>
      <c r="D5138" s="170" t="s">
        <v>1947</v>
      </c>
      <c r="E5138" s="171" t="s">
        <v>34017</v>
      </c>
      <c r="F5138" s="171" t="s">
        <v>37177</v>
      </c>
      <c r="G5138" s="82"/>
      <c r="H5138" s="96">
        <f t="shared" si="320"/>
        <v>664.02</v>
      </c>
      <c r="I5138" s="96">
        <f t="shared" si="320"/>
        <v>667.47</v>
      </c>
      <c r="J5138" s="91" t="str">
        <f t="shared" si="321"/>
        <v>Sinapi 100858</v>
      </c>
      <c r="K5138" s="91" t="str">
        <f t="shared" si="322"/>
        <v>UN</v>
      </c>
      <c r="L5138" s="166" t="str">
        <f t="shared" si="323"/>
        <v>01/2020</v>
      </c>
      <c r="M5138" s="82"/>
      <c r="N5138" s="82"/>
    </row>
    <row r="5139" spans="1:14" x14ac:dyDescent="0.25">
      <c r="A5139" s="170" t="s">
        <v>14127</v>
      </c>
      <c r="B5139" s="170" t="s">
        <v>14128</v>
      </c>
      <c r="C5139" s="170" t="s">
        <v>205</v>
      </c>
      <c r="D5139" s="170" t="s">
        <v>1947</v>
      </c>
      <c r="E5139" s="171" t="s">
        <v>34018</v>
      </c>
      <c r="F5139" s="171" t="s">
        <v>37178</v>
      </c>
      <c r="G5139" s="82"/>
      <c r="H5139" s="96">
        <f t="shared" si="320"/>
        <v>963.96</v>
      </c>
      <c r="I5139" s="96">
        <f t="shared" si="320"/>
        <v>971.19</v>
      </c>
      <c r="J5139" s="91" t="str">
        <f t="shared" si="321"/>
        <v>Sinapi 100859</v>
      </c>
      <c r="K5139" s="91" t="str">
        <f t="shared" si="322"/>
        <v>UN</v>
      </c>
      <c r="L5139" s="166" t="str">
        <f t="shared" si="323"/>
        <v>01/2020</v>
      </c>
      <c r="M5139" s="82"/>
      <c r="N5139" s="82"/>
    </row>
    <row r="5140" spans="1:14" x14ac:dyDescent="0.25">
      <c r="A5140" s="170" t="s">
        <v>7873</v>
      </c>
      <c r="B5140" s="170" t="s">
        <v>7874</v>
      </c>
      <c r="C5140" s="170" t="s">
        <v>205</v>
      </c>
      <c r="D5140" s="170" t="s">
        <v>2710</v>
      </c>
      <c r="E5140" s="171" t="s">
        <v>34019</v>
      </c>
      <c r="F5140" s="171" t="s">
        <v>37179</v>
      </c>
      <c r="G5140" s="82"/>
      <c r="H5140" s="96">
        <f t="shared" si="320"/>
        <v>92.63</v>
      </c>
      <c r="I5140" s="96">
        <f t="shared" si="320"/>
        <v>94.16</v>
      </c>
      <c r="J5140" s="91" t="str">
        <f t="shared" si="321"/>
        <v>Sinapi 100860</v>
      </c>
      <c r="K5140" s="91" t="str">
        <f t="shared" si="322"/>
        <v>UN</v>
      </c>
      <c r="L5140" s="166" t="str">
        <f t="shared" si="323"/>
        <v>01/2020</v>
      </c>
      <c r="M5140" s="82"/>
      <c r="N5140" s="82"/>
    </row>
    <row r="5141" spans="1:14" x14ac:dyDescent="0.25">
      <c r="A5141" s="170" t="s">
        <v>7875</v>
      </c>
      <c r="B5141" s="170" t="s">
        <v>7876</v>
      </c>
      <c r="C5141" s="170" t="s">
        <v>205</v>
      </c>
      <c r="D5141" s="170" t="s">
        <v>1947</v>
      </c>
      <c r="E5141" s="171" t="s">
        <v>20482</v>
      </c>
      <c r="F5141" s="171" t="s">
        <v>21446</v>
      </c>
      <c r="G5141" s="82"/>
      <c r="H5141" s="96">
        <f t="shared" si="320"/>
        <v>37.590000000000003</v>
      </c>
      <c r="I5141" s="96">
        <f t="shared" si="320"/>
        <v>39.21</v>
      </c>
      <c r="J5141" s="91" t="str">
        <f t="shared" si="321"/>
        <v>Sinapi 100861</v>
      </c>
      <c r="K5141" s="91" t="str">
        <f t="shared" si="322"/>
        <v>UN</v>
      </c>
      <c r="L5141" s="166" t="str">
        <f t="shared" si="323"/>
        <v>01/2020</v>
      </c>
      <c r="M5141" s="82"/>
      <c r="N5141" s="82"/>
    </row>
    <row r="5142" spans="1:14" x14ac:dyDescent="0.25">
      <c r="A5142" s="170" t="s">
        <v>7877</v>
      </c>
      <c r="B5142" s="170" t="s">
        <v>7878</v>
      </c>
      <c r="C5142" s="170" t="s">
        <v>205</v>
      </c>
      <c r="D5142" s="170" t="s">
        <v>1947</v>
      </c>
      <c r="E5142" s="171" t="s">
        <v>34020</v>
      </c>
      <c r="F5142" s="171" t="s">
        <v>37180</v>
      </c>
      <c r="G5142" s="82"/>
      <c r="H5142" s="96">
        <f t="shared" si="320"/>
        <v>42.02</v>
      </c>
      <c r="I5142" s="96">
        <f t="shared" si="320"/>
        <v>43.64</v>
      </c>
      <c r="J5142" s="91" t="str">
        <f t="shared" si="321"/>
        <v>Sinapi 100862</v>
      </c>
      <c r="K5142" s="91" t="str">
        <f t="shared" si="322"/>
        <v>UN</v>
      </c>
      <c r="L5142" s="166" t="str">
        <f t="shared" si="323"/>
        <v>01/2020</v>
      </c>
      <c r="M5142" s="82"/>
      <c r="N5142" s="82"/>
    </row>
    <row r="5143" spans="1:14" x14ac:dyDescent="0.25">
      <c r="A5143" s="170" t="s">
        <v>7879</v>
      </c>
      <c r="B5143" s="170" t="s">
        <v>7880</v>
      </c>
      <c r="C5143" s="170" t="s">
        <v>205</v>
      </c>
      <c r="D5143" s="170" t="s">
        <v>1947</v>
      </c>
      <c r="E5143" s="171" t="s">
        <v>34021</v>
      </c>
      <c r="F5143" s="171" t="s">
        <v>37181</v>
      </c>
      <c r="G5143" s="82"/>
      <c r="H5143" s="96">
        <f t="shared" si="320"/>
        <v>538.17999999999995</v>
      </c>
      <c r="I5143" s="96">
        <f t="shared" si="320"/>
        <v>543.04</v>
      </c>
      <c r="J5143" s="91" t="str">
        <f t="shared" si="321"/>
        <v>Sinapi 100863</v>
      </c>
      <c r="K5143" s="91" t="str">
        <f t="shared" si="322"/>
        <v>UN</v>
      </c>
      <c r="L5143" s="166" t="str">
        <f t="shared" si="323"/>
        <v>01/2020</v>
      </c>
      <c r="M5143" s="82"/>
      <c r="N5143" s="82"/>
    </row>
    <row r="5144" spans="1:14" x14ac:dyDescent="0.25">
      <c r="A5144" s="170" t="s">
        <v>7881</v>
      </c>
      <c r="B5144" s="170" t="s">
        <v>7882</v>
      </c>
      <c r="C5144" s="170" t="s">
        <v>205</v>
      </c>
      <c r="D5144" s="170" t="s">
        <v>1947</v>
      </c>
      <c r="E5144" s="171" t="s">
        <v>34022</v>
      </c>
      <c r="F5144" s="171" t="s">
        <v>37182</v>
      </c>
      <c r="G5144" s="82"/>
      <c r="H5144" s="96">
        <f t="shared" si="320"/>
        <v>585.91999999999996</v>
      </c>
      <c r="I5144" s="96">
        <f t="shared" si="320"/>
        <v>590.78</v>
      </c>
      <c r="J5144" s="91" t="str">
        <f t="shared" si="321"/>
        <v>Sinapi 100864</v>
      </c>
      <c r="K5144" s="91" t="str">
        <f t="shared" si="322"/>
        <v>UN</v>
      </c>
      <c r="L5144" s="166" t="str">
        <f t="shared" si="323"/>
        <v>01/2020</v>
      </c>
      <c r="M5144" s="82"/>
      <c r="N5144" s="82"/>
    </row>
    <row r="5145" spans="1:14" x14ac:dyDescent="0.25">
      <c r="A5145" s="170" t="s">
        <v>7883</v>
      </c>
      <c r="B5145" s="170" t="s">
        <v>7884</v>
      </c>
      <c r="C5145" s="170" t="s">
        <v>205</v>
      </c>
      <c r="D5145" s="170" t="s">
        <v>1947</v>
      </c>
      <c r="E5145" s="171" t="s">
        <v>34023</v>
      </c>
      <c r="F5145" s="171" t="s">
        <v>37183</v>
      </c>
      <c r="G5145" s="82"/>
      <c r="H5145" s="96">
        <f t="shared" si="320"/>
        <v>496.95</v>
      </c>
      <c r="I5145" s="96">
        <f t="shared" si="320"/>
        <v>499.11</v>
      </c>
      <c r="J5145" s="91" t="str">
        <f t="shared" si="321"/>
        <v>Sinapi 100865</v>
      </c>
      <c r="K5145" s="91" t="str">
        <f t="shared" si="322"/>
        <v>UN</v>
      </c>
      <c r="L5145" s="166" t="str">
        <f t="shared" si="323"/>
        <v>01/2020</v>
      </c>
      <c r="M5145" s="82"/>
      <c r="N5145" s="82"/>
    </row>
    <row r="5146" spans="1:14" x14ac:dyDescent="0.25">
      <c r="A5146" s="170" t="s">
        <v>7885</v>
      </c>
      <c r="B5146" s="170" t="s">
        <v>7886</v>
      </c>
      <c r="C5146" s="170" t="s">
        <v>205</v>
      </c>
      <c r="D5146" s="170" t="s">
        <v>1947</v>
      </c>
      <c r="E5146" s="171" t="s">
        <v>34024</v>
      </c>
      <c r="F5146" s="171" t="s">
        <v>37184</v>
      </c>
      <c r="G5146" s="82"/>
      <c r="H5146" s="96">
        <f t="shared" si="320"/>
        <v>285.58</v>
      </c>
      <c r="I5146" s="96">
        <f t="shared" si="320"/>
        <v>288.82</v>
      </c>
      <c r="J5146" s="91" t="str">
        <f t="shared" si="321"/>
        <v>Sinapi 100866</v>
      </c>
      <c r="K5146" s="91" t="str">
        <f t="shared" si="322"/>
        <v>UN</v>
      </c>
      <c r="L5146" s="166" t="str">
        <f t="shared" si="323"/>
        <v>01/2020</v>
      </c>
      <c r="M5146" s="82"/>
      <c r="N5146" s="82"/>
    </row>
    <row r="5147" spans="1:14" x14ac:dyDescent="0.25">
      <c r="A5147" s="170" t="s">
        <v>7887</v>
      </c>
      <c r="B5147" s="170" t="s">
        <v>7888</v>
      </c>
      <c r="C5147" s="170" t="s">
        <v>205</v>
      </c>
      <c r="D5147" s="170" t="s">
        <v>1947</v>
      </c>
      <c r="E5147" s="171" t="s">
        <v>34025</v>
      </c>
      <c r="F5147" s="171" t="s">
        <v>37185</v>
      </c>
      <c r="G5147" s="82"/>
      <c r="H5147" s="96">
        <f t="shared" si="320"/>
        <v>301.32</v>
      </c>
      <c r="I5147" s="96">
        <f t="shared" si="320"/>
        <v>304.56</v>
      </c>
      <c r="J5147" s="91" t="str">
        <f t="shared" si="321"/>
        <v>Sinapi 100867</v>
      </c>
      <c r="K5147" s="91" t="str">
        <f t="shared" si="322"/>
        <v>UN</v>
      </c>
      <c r="L5147" s="166" t="str">
        <f t="shared" si="323"/>
        <v>01/2020</v>
      </c>
      <c r="M5147" s="82"/>
      <c r="N5147" s="82"/>
    </row>
    <row r="5148" spans="1:14" x14ac:dyDescent="0.25">
      <c r="A5148" s="170" t="s">
        <v>7889</v>
      </c>
      <c r="B5148" s="170" t="s">
        <v>7890</v>
      </c>
      <c r="C5148" s="170" t="s">
        <v>205</v>
      </c>
      <c r="D5148" s="170" t="s">
        <v>1947</v>
      </c>
      <c r="E5148" s="171" t="s">
        <v>34026</v>
      </c>
      <c r="F5148" s="171" t="s">
        <v>37186</v>
      </c>
      <c r="G5148" s="82"/>
      <c r="H5148" s="96">
        <f t="shared" si="320"/>
        <v>311.8</v>
      </c>
      <c r="I5148" s="96">
        <f t="shared" si="320"/>
        <v>315.04000000000002</v>
      </c>
      <c r="J5148" s="91" t="str">
        <f t="shared" si="321"/>
        <v>Sinapi 100868</v>
      </c>
      <c r="K5148" s="91" t="str">
        <f t="shared" si="322"/>
        <v>UN</v>
      </c>
      <c r="L5148" s="166" t="str">
        <f t="shared" si="323"/>
        <v>01/2020</v>
      </c>
      <c r="M5148" s="82"/>
      <c r="N5148" s="82"/>
    </row>
    <row r="5149" spans="1:14" x14ac:dyDescent="0.25">
      <c r="A5149" s="170" t="s">
        <v>7891</v>
      </c>
      <c r="B5149" s="170" t="s">
        <v>7892</v>
      </c>
      <c r="C5149" s="170" t="s">
        <v>205</v>
      </c>
      <c r="D5149" s="170" t="s">
        <v>1947</v>
      </c>
      <c r="E5149" s="171" t="s">
        <v>34027</v>
      </c>
      <c r="F5149" s="171" t="s">
        <v>37087</v>
      </c>
      <c r="G5149" s="82"/>
      <c r="H5149" s="96">
        <f t="shared" si="320"/>
        <v>319.83</v>
      </c>
      <c r="I5149" s="96">
        <f t="shared" si="320"/>
        <v>323.07</v>
      </c>
      <c r="J5149" s="91" t="str">
        <f t="shared" si="321"/>
        <v>Sinapi 100869</v>
      </c>
      <c r="K5149" s="91" t="str">
        <f t="shared" si="322"/>
        <v>UN</v>
      </c>
      <c r="L5149" s="166" t="str">
        <f t="shared" si="323"/>
        <v>01/2020</v>
      </c>
      <c r="M5149" s="82"/>
      <c r="N5149" s="82"/>
    </row>
    <row r="5150" spans="1:14" x14ac:dyDescent="0.25">
      <c r="A5150" s="170" t="s">
        <v>7893</v>
      </c>
      <c r="B5150" s="170" t="s">
        <v>7894</v>
      </c>
      <c r="C5150" s="170" t="s">
        <v>205</v>
      </c>
      <c r="D5150" s="170" t="s">
        <v>1947</v>
      </c>
      <c r="E5150" s="171" t="s">
        <v>34028</v>
      </c>
      <c r="F5150" s="171" t="s">
        <v>37187</v>
      </c>
      <c r="G5150" s="82"/>
      <c r="H5150" s="96">
        <f t="shared" si="320"/>
        <v>304.48</v>
      </c>
      <c r="I5150" s="96">
        <f t="shared" si="320"/>
        <v>307.72000000000003</v>
      </c>
      <c r="J5150" s="91" t="str">
        <f t="shared" si="321"/>
        <v>Sinapi 100870</v>
      </c>
      <c r="K5150" s="91" t="str">
        <f t="shared" si="322"/>
        <v>UN</v>
      </c>
      <c r="L5150" s="166" t="str">
        <f t="shared" si="323"/>
        <v>01/2020</v>
      </c>
      <c r="M5150" s="82"/>
      <c r="N5150" s="82"/>
    </row>
    <row r="5151" spans="1:14" x14ac:dyDescent="0.25">
      <c r="A5151" s="170" t="s">
        <v>7895</v>
      </c>
      <c r="B5151" s="170" t="s">
        <v>7896</v>
      </c>
      <c r="C5151" s="170" t="s">
        <v>205</v>
      </c>
      <c r="D5151" s="170" t="s">
        <v>1947</v>
      </c>
      <c r="E5151" s="171" t="s">
        <v>34029</v>
      </c>
      <c r="F5151" s="171" t="s">
        <v>37188</v>
      </c>
      <c r="G5151" s="82"/>
      <c r="H5151" s="96">
        <f t="shared" si="320"/>
        <v>328.13</v>
      </c>
      <c r="I5151" s="96">
        <f t="shared" si="320"/>
        <v>331.37</v>
      </c>
      <c r="J5151" s="91" t="str">
        <f t="shared" si="321"/>
        <v>Sinapi 100871</v>
      </c>
      <c r="K5151" s="91" t="str">
        <f t="shared" si="322"/>
        <v>UN</v>
      </c>
      <c r="L5151" s="166" t="str">
        <f t="shared" si="323"/>
        <v>01/2020</v>
      </c>
      <c r="M5151" s="82"/>
      <c r="N5151" s="82"/>
    </row>
    <row r="5152" spans="1:14" x14ac:dyDescent="0.25">
      <c r="A5152" s="170" t="s">
        <v>7897</v>
      </c>
      <c r="B5152" s="170" t="s">
        <v>7898</v>
      </c>
      <c r="C5152" s="170" t="s">
        <v>205</v>
      </c>
      <c r="D5152" s="170" t="s">
        <v>1947</v>
      </c>
      <c r="E5152" s="171" t="s">
        <v>34030</v>
      </c>
      <c r="F5152" s="171" t="s">
        <v>30764</v>
      </c>
      <c r="G5152" s="82"/>
      <c r="H5152" s="96">
        <f t="shared" si="320"/>
        <v>343.23</v>
      </c>
      <c r="I5152" s="96">
        <f t="shared" si="320"/>
        <v>346.47</v>
      </c>
      <c r="J5152" s="91" t="str">
        <f t="shared" si="321"/>
        <v>Sinapi 100872</v>
      </c>
      <c r="K5152" s="91" t="str">
        <f t="shared" si="322"/>
        <v>UN</v>
      </c>
      <c r="L5152" s="166" t="str">
        <f t="shared" si="323"/>
        <v>01/2020</v>
      </c>
      <c r="M5152" s="82"/>
      <c r="N5152" s="82"/>
    </row>
    <row r="5153" spans="1:14" x14ac:dyDescent="0.25">
      <c r="A5153" s="170" t="s">
        <v>7899</v>
      </c>
      <c r="B5153" s="170" t="s">
        <v>7900</v>
      </c>
      <c r="C5153" s="170" t="s">
        <v>205</v>
      </c>
      <c r="D5153" s="170" t="s">
        <v>1947</v>
      </c>
      <c r="E5153" s="171" t="s">
        <v>34031</v>
      </c>
      <c r="F5153" s="171" t="s">
        <v>37189</v>
      </c>
      <c r="G5153" s="82"/>
      <c r="H5153" s="96">
        <f t="shared" si="320"/>
        <v>352.66</v>
      </c>
      <c r="I5153" s="96">
        <f t="shared" si="320"/>
        <v>355.9</v>
      </c>
      <c r="J5153" s="91" t="str">
        <f t="shared" si="321"/>
        <v>Sinapi 100873</v>
      </c>
      <c r="K5153" s="91" t="str">
        <f t="shared" si="322"/>
        <v>UN</v>
      </c>
      <c r="L5153" s="166" t="str">
        <f t="shared" si="323"/>
        <v>01/2020</v>
      </c>
      <c r="M5153" s="82"/>
      <c r="N5153" s="82"/>
    </row>
    <row r="5154" spans="1:14" x14ac:dyDescent="0.25">
      <c r="A5154" s="170" t="s">
        <v>7901</v>
      </c>
      <c r="B5154" s="170" t="s">
        <v>7902</v>
      </c>
      <c r="C5154" s="170" t="s">
        <v>205</v>
      </c>
      <c r="D5154" s="170" t="s">
        <v>1947</v>
      </c>
      <c r="E5154" s="171" t="s">
        <v>34024</v>
      </c>
      <c r="F5154" s="171" t="s">
        <v>37184</v>
      </c>
      <c r="G5154" s="82"/>
      <c r="H5154" s="96">
        <f t="shared" si="320"/>
        <v>285.58</v>
      </c>
      <c r="I5154" s="96">
        <f t="shared" si="320"/>
        <v>288.82</v>
      </c>
      <c r="J5154" s="91" t="str">
        <f t="shared" si="321"/>
        <v>Sinapi 100874</v>
      </c>
      <c r="K5154" s="91" t="str">
        <f t="shared" si="322"/>
        <v>UN</v>
      </c>
      <c r="L5154" s="166" t="str">
        <f t="shared" si="323"/>
        <v>01/2020</v>
      </c>
      <c r="M5154" s="82"/>
      <c r="N5154" s="82"/>
    </row>
    <row r="5155" spans="1:14" x14ac:dyDescent="0.25">
      <c r="A5155" s="170" t="s">
        <v>7903</v>
      </c>
      <c r="B5155" s="170" t="s">
        <v>7904</v>
      </c>
      <c r="C5155" s="170" t="s">
        <v>205</v>
      </c>
      <c r="D5155" s="170" t="s">
        <v>1947</v>
      </c>
      <c r="E5155" s="171" t="s">
        <v>34032</v>
      </c>
      <c r="F5155" s="171" t="s">
        <v>37190</v>
      </c>
      <c r="G5155" s="82"/>
      <c r="H5155" s="96">
        <f t="shared" si="320"/>
        <v>920.94</v>
      </c>
      <c r="I5155" s="96">
        <f t="shared" si="320"/>
        <v>925.25</v>
      </c>
      <c r="J5155" s="91" t="str">
        <f t="shared" si="321"/>
        <v>Sinapi 100875</v>
      </c>
      <c r="K5155" s="91" t="str">
        <f t="shared" si="322"/>
        <v>UN</v>
      </c>
      <c r="L5155" s="166" t="str">
        <f t="shared" si="323"/>
        <v>01/2020</v>
      </c>
      <c r="M5155" s="82"/>
      <c r="N5155" s="82"/>
    </row>
    <row r="5156" spans="1:14" x14ac:dyDescent="0.25">
      <c r="A5156" s="170" t="s">
        <v>14129</v>
      </c>
      <c r="B5156" s="170" t="s">
        <v>14130</v>
      </c>
      <c r="C5156" s="170" t="s">
        <v>205</v>
      </c>
      <c r="D5156" s="170" t="s">
        <v>1947</v>
      </c>
      <c r="E5156" s="171" t="s">
        <v>34033</v>
      </c>
      <c r="F5156" s="171" t="s">
        <v>37191</v>
      </c>
      <c r="G5156" s="82"/>
      <c r="H5156" s="96">
        <f t="shared" si="320"/>
        <v>632.54</v>
      </c>
      <c r="I5156" s="96">
        <f t="shared" si="320"/>
        <v>637.39</v>
      </c>
      <c r="J5156" s="91" t="str">
        <f t="shared" si="321"/>
        <v>Sinapi 100878</v>
      </c>
      <c r="K5156" s="91" t="str">
        <f t="shared" si="322"/>
        <v>UN</v>
      </c>
      <c r="L5156" s="166" t="str">
        <f t="shared" si="323"/>
        <v>01/2020</v>
      </c>
      <c r="M5156" s="82"/>
      <c r="N5156" s="82"/>
    </row>
    <row r="5157" spans="1:14" x14ac:dyDescent="0.25">
      <c r="A5157" s="170" t="s">
        <v>7905</v>
      </c>
      <c r="B5157" s="170" t="s">
        <v>18357</v>
      </c>
      <c r="C5157" s="170" t="s">
        <v>205</v>
      </c>
      <c r="D5157" s="170" t="s">
        <v>1947</v>
      </c>
      <c r="E5157" s="171" t="s">
        <v>34034</v>
      </c>
      <c r="F5157" s="171" t="s">
        <v>37192</v>
      </c>
      <c r="G5157" s="82"/>
      <c r="H5157" s="96">
        <f t="shared" si="320"/>
        <v>2177.16</v>
      </c>
      <c r="I5157" s="96">
        <f t="shared" si="320"/>
        <v>2205.35</v>
      </c>
      <c r="J5157" s="91" t="str">
        <f t="shared" si="321"/>
        <v>Sinapi 98052</v>
      </c>
      <c r="K5157" s="91" t="str">
        <f t="shared" si="322"/>
        <v>UN</v>
      </c>
      <c r="L5157" s="166" t="str">
        <f t="shared" si="323"/>
        <v>12/2020</v>
      </c>
      <c r="M5157" s="82"/>
      <c r="N5157" s="82"/>
    </row>
    <row r="5158" spans="1:14" x14ac:dyDescent="0.25">
      <c r="A5158" s="170" t="s">
        <v>7906</v>
      </c>
      <c r="B5158" s="170" t="s">
        <v>18358</v>
      </c>
      <c r="C5158" s="170" t="s">
        <v>205</v>
      </c>
      <c r="D5158" s="170" t="s">
        <v>1947</v>
      </c>
      <c r="E5158" s="171" t="s">
        <v>34035</v>
      </c>
      <c r="F5158" s="171" t="s">
        <v>37193</v>
      </c>
      <c r="G5158" s="82"/>
      <c r="H5158" s="96">
        <f t="shared" si="320"/>
        <v>2999.4</v>
      </c>
      <c r="I5158" s="96">
        <f t="shared" si="320"/>
        <v>3037.32</v>
      </c>
      <c r="J5158" s="91" t="str">
        <f t="shared" si="321"/>
        <v>Sinapi 98053</v>
      </c>
      <c r="K5158" s="91" t="str">
        <f t="shared" si="322"/>
        <v>UN</v>
      </c>
      <c r="L5158" s="166" t="str">
        <f t="shared" si="323"/>
        <v>12/2020</v>
      </c>
      <c r="M5158" s="82"/>
      <c r="N5158" s="82"/>
    </row>
    <row r="5159" spans="1:14" x14ac:dyDescent="0.25">
      <c r="A5159" s="170" t="s">
        <v>7907</v>
      </c>
      <c r="B5159" s="170" t="s">
        <v>18359</v>
      </c>
      <c r="C5159" s="170" t="s">
        <v>205</v>
      </c>
      <c r="D5159" s="170" t="s">
        <v>1947</v>
      </c>
      <c r="E5159" s="171" t="s">
        <v>34036</v>
      </c>
      <c r="F5159" s="171" t="s">
        <v>37194</v>
      </c>
      <c r="G5159" s="82"/>
      <c r="H5159" s="96">
        <f t="shared" si="320"/>
        <v>4907.1899999999996</v>
      </c>
      <c r="I5159" s="96">
        <f t="shared" si="320"/>
        <v>4947.41</v>
      </c>
      <c r="J5159" s="91" t="str">
        <f t="shared" si="321"/>
        <v>Sinapi 98054</v>
      </c>
      <c r="K5159" s="91" t="str">
        <f t="shared" si="322"/>
        <v>UN</v>
      </c>
      <c r="L5159" s="166" t="str">
        <f t="shared" si="323"/>
        <v>12/2020</v>
      </c>
      <c r="M5159" s="82"/>
      <c r="N5159" s="82"/>
    </row>
    <row r="5160" spans="1:14" x14ac:dyDescent="0.25">
      <c r="A5160" s="170" t="s">
        <v>7908</v>
      </c>
      <c r="B5160" s="170" t="s">
        <v>18360</v>
      </c>
      <c r="C5160" s="170" t="s">
        <v>205</v>
      </c>
      <c r="D5160" s="170" t="s">
        <v>1947</v>
      </c>
      <c r="E5160" s="171" t="s">
        <v>34037</v>
      </c>
      <c r="F5160" s="171" t="s">
        <v>37195</v>
      </c>
      <c r="G5160" s="82"/>
      <c r="H5160" s="96">
        <f t="shared" si="320"/>
        <v>6695.42</v>
      </c>
      <c r="I5160" s="96">
        <f t="shared" si="320"/>
        <v>6750.81</v>
      </c>
      <c r="J5160" s="91" t="str">
        <f t="shared" si="321"/>
        <v>Sinapi 98055</v>
      </c>
      <c r="K5160" s="91" t="str">
        <f t="shared" si="322"/>
        <v>UN</v>
      </c>
      <c r="L5160" s="166" t="str">
        <f t="shared" si="323"/>
        <v>12/2020</v>
      </c>
      <c r="M5160" s="82"/>
      <c r="N5160" s="82"/>
    </row>
    <row r="5161" spans="1:14" x14ac:dyDescent="0.25">
      <c r="A5161" s="170" t="s">
        <v>7909</v>
      </c>
      <c r="B5161" s="170" t="s">
        <v>18361</v>
      </c>
      <c r="C5161" s="170" t="s">
        <v>205</v>
      </c>
      <c r="D5161" s="170" t="s">
        <v>1947</v>
      </c>
      <c r="E5161" s="171" t="s">
        <v>34038</v>
      </c>
      <c r="F5161" s="171" t="s">
        <v>37196</v>
      </c>
      <c r="G5161" s="82"/>
      <c r="H5161" s="96">
        <f t="shared" si="320"/>
        <v>7776.17</v>
      </c>
      <c r="I5161" s="96">
        <f t="shared" si="320"/>
        <v>7835.43</v>
      </c>
      <c r="J5161" s="91" t="str">
        <f t="shared" si="321"/>
        <v>Sinapi 98056</v>
      </c>
      <c r="K5161" s="91" t="str">
        <f t="shared" si="322"/>
        <v>UN</v>
      </c>
      <c r="L5161" s="166" t="str">
        <f t="shared" si="323"/>
        <v>12/2020</v>
      </c>
      <c r="M5161" s="82"/>
      <c r="N5161" s="82"/>
    </row>
    <row r="5162" spans="1:14" x14ac:dyDescent="0.25">
      <c r="A5162" s="170" t="s">
        <v>7910</v>
      </c>
      <c r="B5162" s="170" t="s">
        <v>18362</v>
      </c>
      <c r="C5162" s="170" t="s">
        <v>205</v>
      </c>
      <c r="D5162" s="170" t="s">
        <v>1947</v>
      </c>
      <c r="E5162" s="171" t="s">
        <v>34039</v>
      </c>
      <c r="F5162" s="171" t="s">
        <v>37197</v>
      </c>
      <c r="G5162" s="82"/>
      <c r="H5162" s="96">
        <f t="shared" si="320"/>
        <v>9312.4599999999991</v>
      </c>
      <c r="I5162" s="96">
        <f t="shared" si="320"/>
        <v>9385.7099999999991</v>
      </c>
      <c r="J5162" s="91" t="str">
        <f t="shared" si="321"/>
        <v>Sinapi 98057</v>
      </c>
      <c r="K5162" s="91" t="str">
        <f t="shared" si="322"/>
        <v>UN</v>
      </c>
      <c r="L5162" s="166" t="str">
        <f t="shared" si="323"/>
        <v>12/2020</v>
      </c>
      <c r="M5162" s="82"/>
      <c r="N5162" s="82"/>
    </row>
    <row r="5163" spans="1:14" x14ac:dyDescent="0.25">
      <c r="A5163" s="170" t="s">
        <v>12087</v>
      </c>
      <c r="B5163" s="170" t="s">
        <v>18363</v>
      </c>
      <c r="C5163" s="170" t="s">
        <v>205</v>
      </c>
      <c r="D5163" s="170" t="s">
        <v>1947</v>
      </c>
      <c r="E5163" s="171" t="s">
        <v>34040</v>
      </c>
      <c r="F5163" s="171" t="s">
        <v>37198</v>
      </c>
      <c r="G5163" s="82"/>
      <c r="H5163" s="96">
        <f t="shared" si="320"/>
        <v>1991.82</v>
      </c>
      <c r="I5163" s="96">
        <f t="shared" si="320"/>
        <v>2024.8</v>
      </c>
      <c r="J5163" s="91" t="str">
        <f t="shared" si="321"/>
        <v>Sinapi 98058</v>
      </c>
      <c r="K5163" s="91" t="str">
        <f t="shared" si="322"/>
        <v>UN</v>
      </c>
      <c r="L5163" s="166" t="str">
        <f t="shared" si="323"/>
        <v>12/2020</v>
      </c>
      <c r="M5163" s="82"/>
      <c r="N5163" s="82"/>
    </row>
    <row r="5164" spans="1:14" x14ac:dyDescent="0.25">
      <c r="A5164" s="170" t="s">
        <v>10527</v>
      </c>
      <c r="B5164" s="170" t="s">
        <v>18364</v>
      </c>
      <c r="C5164" s="170" t="s">
        <v>205</v>
      </c>
      <c r="D5164" s="170" t="s">
        <v>1947</v>
      </c>
      <c r="E5164" s="171" t="s">
        <v>34041</v>
      </c>
      <c r="F5164" s="171" t="s">
        <v>37199</v>
      </c>
      <c r="G5164" s="82"/>
      <c r="H5164" s="96">
        <f t="shared" si="320"/>
        <v>4429.74</v>
      </c>
      <c r="I5164" s="96">
        <f t="shared" si="320"/>
        <v>4478.96</v>
      </c>
      <c r="J5164" s="91" t="str">
        <f t="shared" si="321"/>
        <v>Sinapi 98059</v>
      </c>
      <c r="K5164" s="91" t="str">
        <f t="shared" si="322"/>
        <v>UN</v>
      </c>
      <c r="L5164" s="166" t="str">
        <f t="shared" si="323"/>
        <v>12/2020</v>
      </c>
      <c r="M5164" s="82"/>
      <c r="N5164" s="82"/>
    </row>
    <row r="5165" spans="1:14" x14ac:dyDescent="0.25">
      <c r="A5165" s="170" t="s">
        <v>10528</v>
      </c>
      <c r="B5165" s="170" t="s">
        <v>18365</v>
      </c>
      <c r="C5165" s="170" t="s">
        <v>205</v>
      </c>
      <c r="D5165" s="170" t="s">
        <v>1947</v>
      </c>
      <c r="E5165" s="171" t="s">
        <v>34042</v>
      </c>
      <c r="F5165" s="171" t="s">
        <v>37200</v>
      </c>
      <c r="G5165" s="82"/>
      <c r="H5165" s="96">
        <f t="shared" si="320"/>
        <v>6274.72</v>
      </c>
      <c r="I5165" s="96">
        <f t="shared" si="320"/>
        <v>6346.42</v>
      </c>
      <c r="J5165" s="91" t="str">
        <f t="shared" si="321"/>
        <v>Sinapi 98060</v>
      </c>
      <c r="K5165" s="91" t="str">
        <f t="shared" si="322"/>
        <v>UN</v>
      </c>
      <c r="L5165" s="166" t="str">
        <f t="shared" si="323"/>
        <v>12/2020</v>
      </c>
      <c r="M5165" s="82"/>
      <c r="N5165" s="82"/>
    </row>
    <row r="5166" spans="1:14" x14ac:dyDescent="0.25">
      <c r="A5166" s="170" t="s">
        <v>10529</v>
      </c>
      <c r="B5166" s="170" t="s">
        <v>18366</v>
      </c>
      <c r="C5166" s="170" t="s">
        <v>205</v>
      </c>
      <c r="D5166" s="170" t="s">
        <v>1947</v>
      </c>
      <c r="E5166" s="171" t="s">
        <v>34043</v>
      </c>
      <c r="F5166" s="171" t="s">
        <v>37201</v>
      </c>
      <c r="G5166" s="82"/>
      <c r="H5166" s="96">
        <f t="shared" si="320"/>
        <v>8794.98</v>
      </c>
      <c r="I5166" s="96">
        <f t="shared" si="320"/>
        <v>8893.7800000000007</v>
      </c>
      <c r="J5166" s="91" t="str">
        <f t="shared" si="321"/>
        <v>Sinapi 98061</v>
      </c>
      <c r="K5166" s="91" t="str">
        <f t="shared" si="322"/>
        <v>UN</v>
      </c>
      <c r="L5166" s="166" t="str">
        <f t="shared" si="323"/>
        <v>12/2020</v>
      </c>
      <c r="M5166" s="82"/>
      <c r="N5166" s="82"/>
    </row>
    <row r="5167" spans="1:14" x14ac:dyDescent="0.25">
      <c r="A5167" s="170" t="s">
        <v>12088</v>
      </c>
      <c r="B5167" s="170" t="s">
        <v>18367</v>
      </c>
      <c r="C5167" s="170" t="s">
        <v>205</v>
      </c>
      <c r="D5167" s="170" t="s">
        <v>1947</v>
      </c>
      <c r="E5167" s="171" t="s">
        <v>34044</v>
      </c>
      <c r="F5167" s="171" t="s">
        <v>37202</v>
      </c>
      <c r="G5167" s="82"/>
      <c r="H5167" s="96">
        <f t="shared" si="320"/>
        <v>3304.48</v>
      </c>
      <c r="I5167" s="96">
        <f t="shared" si="320"/>
        <v>3336.69</v>
      </c>
      <c r="J5167" s="91" t="str">
        <f t="shared" si="321"/>
        <v>Sinapi 98062</v>
      </c>
      <c r="K5167" s="91" t="str">
        <f t="shared" si="322"/>
        <v>UN</v>
      </c>
      <c r="L5167" s="166" t="str">
        <f t="shared" si="323"/>
        <v>12/2020</v>
      </c>
      <c r="M5167" s="82"/>
      <c r="N5167" s="82"/>
    </row>
    <row r="5168" spans="1:14" x14ac:dyDescent="0.25">
      <c r="A5168" s="170" t="s">
        <v>12089</v>
      </c>
      <c r="B5168" s="170" t="s">
        <v>18368</v>
      </c>
      <c r="C5168" s="170" t="s">
        <v>205</v>
      </c>
      <c r="D5168" s="170" t="s">
        <v>1947</v>
      </c>
      <c r="E5168" s="171" t="s">
        <v>34045</v>
      </c>
      <c r="F5168" s="171" t="s">
        <v>37203</v>
      </c>
      <c r="G5168" s="82"/>
      <c r="H5168" s="96">
        <f t="shared" si="320"/>
        <v>5039</v>
      </c>
      <c r="I5168" s="96">
        <f t="shared" si="320"/>
        <v>5086.71</v>
      </c>
      <c r="J5168" s="91" t="str">
        <f t="shared" si="321"/>
        <v>Sinapi 98063</v>
      </c>
      <c r="K5168" s="91" t="str">
        <f t="shared" si="322"/>
        <v>UN</v>
      </c>
      <c r="L5168" s="166" t="str">
        <f t="shared" si="323"/>
        <v>12/2020</v>
      </c>
      <c r="M5168" s="82"/>
      <c r="N5168" s="82"/>
    </row>
    <row r="5169" spans="1:14" x14ac:dyDescent="0.25">
      <c r="A5169" s="170" t="s">
        <v>12090</v>
      </c>
      <c r="B5169" s="170" t="s">
        <v>18369</v>
      </c>
      <c r="C5169" s="170" t="s">
        <v>205</v>
      </c>
      <c r="D5169" s="170" t="s">
        <v>1947</v>
      </c>
      <c r="E5169" s="171" t="s">
        <v>34046</v>
      </c>
      <c r="F5169" s="171" t="s">
        <v>37204</v>
      </c>
      <c r="G5169" s="82"/>
      <c r="H5169" s="96">
        <f t="shared" si="320"/>
        <v>5789.63</v>
      </c>
      <c r="I5169" s="96">
        <f t="shared" si="320"/>
        <v>5839.74</v>
      </c>
      <c r="J5169" s="91" t="str">
        <f t="shared" si="321"/>
        <v>Sinapi 98064</v>
      </c>
      <c r="K5169" s="91" t="str">
        <f t="shared" si="322"/>
        <v>UN</v>
      </c>
      <c r="L5169" s="166" t="str">
        <f t="shared" si="323"/>
        <v>12/2020</v>
      </c>
      <c r="M5169" s="82"/>
      <c r="N5169" s="82"/>
    </row>
    <row r="5170" spans="1:14" x14ac:dyDescent="0.25">
      <c r="A5170" s="170" t="s">
        <v>12091</v>
      </c>
      <c r="B5170" s="170" t="s">
        <v>18370</v>
      </c>
      <c r="C5170" s="170" t="s">
        <v>205</v>
      </c>
      <c r="D5170" s="170" t="s">
        <v>1947</v>
      </c>
      <c r="E5170" s="171" t="s">
        <v>34047</v>
      </c>
      <c r="F5170" s="171" t="s">
        <v>37205</v>
      </c>
      <c r="G5170" s="82"/>
      <c r="H5170" s="96">
        <f t="shared" si="320"/>
        <v>8055.12</v>
      </c>
      <c r="I5170" s="96">
        <f t="shared" si="320"/>
        <v>8121.64</v>
      </c>
      <c r="J5170" s="91" t="str">
        <f t="shared" si="321"/>
        <v>Sinapi 98065</v>
      </c>
      <c r="K5170" s="91" t="str">
        <f t="shared" si="322"/>
        <v>UN</v>
      </c>
      <c r="L5170" s="166" t="str">
        <f t="shared" si="323"/>
        <v>12/2020</v>
      </c>
      <c r="M5170" s="82"/>
      <c r="N5170" s="82"/>
    </row>
    <row r="5171" spans="1:14" x14ac:dyDescent="0.25">
      <c r="A5171" s="170" t="s">
        <v>7911</v>
      </c>
      <c r="B5171" s="170" t="s">
        <v>17313</v>
      </c>
      <c r="C5171" s="170" t="s">
        <v>205</v>
      </c>
      <c r="D5171" s="170" t="s">
        <v>1947</v>
      </c>
      <c r="E5171" s="171" t="s">
        <v>34048</v>
      </c>
      <c r="F5171" s="171" t="s">
        <v>37206</v>
      </c>
      <c r="G5171" s="82"/>
      <c r="H5171" s="96">
        <f t="shared" si="320"/>
        <v>5005.05</v>
      </c>
      <c r="I5171" s="96">
        <f t="shared" si="320"/>
        <v>5214.92</v>
      </c>
      <c r="J5171" s="91" t="str">
        <f t="shared" si="321"/>
        <v>Sinapi 98066</v>
      </c>
      <c r="K5171" s="91" t="str">
        <f t="shared" si="322"/>
        <v>UN</v>
      </c>
      <c r="L5171" s="166" t="str">
        <f t="shared" si="323"/>
        <v>12/2020</v>
      </c>
      <c r="M5171" s="82"/>
      <c r="N5171" s="82"/>
    </row>
    <row r="5172" spans="1:14" x14ac:dyDescent="0.25">
      <c r="A5172" s="170" t="s">
        <v>7912</v>
      </c>
      <c r="B5172" s="170" t="s">
        <v>17314</v>
      </c>
      <c r="C5172" s="170" t="s">
        <v>205</v>
      </c>
      <c r="D5172" s="170" t="s">
        <v>1947</v>
      </c>
      <c r="E5172" s="171" t="s">
        <v>34049</v>
      </c>
      <c r="F5172" s="171" t="s">
        <v>37207</v>
      </c>
      <c r="G5172" s="82"/>
      <c r="H5172" s="96">
        <f t="shared" si="320"/>
        <v>6658.5</v>
      </c>
      <c r="I5172" s="96">
        <f t="shared" si="320"/>
        <v>6939.23</v>
      </c>
      <c r="J5172" s="91" t="str">
        <f t="shared" si="321"/>
        <v>Sinapi 98067</v>
      </c>
      <c r="K5172" s="91" t="str">
        <f t="shared" si="322"/>
        <v>UN</v>
      </c>
      <c r="L5172" s="166" t="str">
        <f t="shared" si="323"/>
        <v>12/2020</v>
      </c>
      <c r="M5172" s="82"/>
      <c r="N5172" s="82"/>
    </row>
    <row r="5173" spans="1:14" x14ac:dyDescent="0.25">
      <c r="A5173" s="170" t="s">
        <v>7913</v>
      </c>
      <c r="B5173" s="170" t="s">
        <v>17315</v>
      </c>
      <c r="C5173" s="170" t="s">
        <v>205</v>
      </c>
      <c r="D5173" s="170" t="s">
        <v>1947</v>
      </c>
      <c r="E5173" s="171" t="s">
        <v>34050</v>
      </c>
      <c r="F5173" s="171" t="s">
        <v>37208</v>
      </c>
      <c r="G5173" s="82"/>
      <c r="H5173" s="96">
        <f t="shared" si="320"/>
        <v>9399.61</v>
      </c>
      <c r="I5173" s="96">
        <f t="shared" si="320"/>
        <v>9797.82</v>
      </c>
      <c r="J5173" s="91" t="str">
        <f t="shared" si="321"/>
        <v>Sinapi 98068</v>
      </c>
      <c r="K5173" s="91" t="str">
        <f t="shared" si="322"/>
        <v>UN</v>
      </c>
      <c r="L5173" s="166" t="str">
        <f t="shared" si="323"/>
        <v>12/2020</v>
      </c>
      <c r="M5173" s="82"/>
      <c r="N5173" s="82"/>
    </row>
    <row r="5174" spans="1:14" x14ac:dyDescent="0.25">
      <c r="A5174" s="170" t="s">
        <v>7914</v>
      </c>
      <c r="B5174" s="170" t="s">
        <v>17316</v>
      </c>
      <c r="C5174" s="170" t="s">
        <v>205</v>
      </c>
      <c r="D5174" s="170" t="s">
        <v>1947</v>
      </c>
      <c r="E5174" s="171" t="s">
        <v>34051</v>
      </c>
      <c r="F5174" s="171" t="s">
        <v>37209</v>
      </c>
      <c r="G5174" s="82"/>
      <c r="H5174" s="96">
        <f t="shared" si="320"/>
        <v>12689.19</v>
      </c>
      <c r="I5174" s="96">
        <f t="shared" si="320"/>
        <v>13228.08</v>
      </c>
      <c r="J5174" s="91" t="str">
        <f t="shared" si="321"/>
        <v>Sinapi 98069</v>
      </c>
      <c r="K5174" s="91" t="str">
        <f t="shared" si="322"/>
        <v>UN</v>
      </c>
      <c r="L5174" s="166" t="str">
        <f t="shared" si="323"/>
        <v>12/2020</v>
      </c>
      <c r="M5174" s="82"/>
      <c r="N5174" s="82"/>
    </row>
    <row r="5175" spans="1:14" x14ac:dyDescent="0.25">
      <c r="A5175" s="170" t="s">
        <v>7915</v>
      </c>
      <c r="B5175" s="170" t="s">
        <v>17317</v>
      </c>
      <c r="C5175" s="170" t="s">
        <v>205</v>
      </c>
      <c r="D5175" s="170" t="s">
        <v>1947</v>
      </c>
      <c r="E5175" s="171" t="s">
        <v>34052</v>
      </c>
      <c r="F5175" s="171" t="s">
        <v>37210</v>
      </c>
      <c r="G5175" s="82"/>
      <c r="H5175" s="96">
        <f t="shared" si="320"/>
        <v>14448.41</v>
      </c>
      <c r="I5175" s="96">
        <f t="shared" si="320"/>
        <v>15063.23</v>
      </c>
      <c r="J5175" s="91" t="str">
        <f t="shared" si="321"/>
        <v>Sinapi 98070</v>
      </c>
      <c r="K5175" s="91" t="str">
        <f t="shared" si="322"/>
        <v>UN</v>
      </c>
      <c r="L5175" s="166" t="str">
        <f t="shared" si="323"/>
        <v>12/2020</v>
      </c>
      <c r="M5175" s="82"/>
      <c r="N5175" s="82"/>
    </row>
    <row r="5176" spans="1:14" x14ac:dyDescent="0.25">
      <c r="A5176" s="170" t="s">
        <v>7916</v>
      </c>
      <c r="B5176" s="170" t="s">
        <v>17318</v>
      </c>
      <c r="C5176" s="170" t="s">
        <v>205</v>
      </c>
      <c r="D5176" s="170" t="s">
        <v>1947</v>
      </c>
      <c r="E5176" s="171" t="s">
        <v>34053</v>
      </c>
      <c r="F5176" s="171" t="s">
        <v>37211</v>
      </c>
      <c r="G5176" s="82"/>
      <c r="H5176" s="96">
        <f t="shared" si="320"/>
        <v>15656.14</v>
      </c>
      <c r="I5176" s="96">
        <f t="shared" si="320"/>
        <v>16324.01</v>
      </c>
      <c r="J5176" s="91" t="str">
        <f t="shared" si="321"/>
        <v>Sinapi 98071</v>
      </c>
      <c r="K5176" s="91" t="str">
        <f t="shared" si="322"/>
        <v>UN</v>
      </c>
      <c r="L5176" s="166" t="str">
        <f t="shared" si="323"/>
        <v>12/2020</v>
      </c>
      <c r="M5176" s="82"/>
      <c r="N5176" s="82"/>
    </row>
    <row r="5177" spans="1:14" x14ac:dyDescent="0.25">
      <c r="A5177" s="170" t="s">
        <v>7917</v>
      </c>
      <c r="B5177" s="170" t="s">
        <v>17319</v>
      </c>
      <c r="C5177" s="170" t="s">
        <v>205</v>
      </c>
      <c r="D5177" s="170" t="s">
        <v>1947</v>
      </c>
      <c r="E5177" s="171" t="s">
        <v>34054</v>
      </c>
      <c r="F5177" s="171" t="s">
        <v>37212</v>
      </c>
      <c r="G5177" s="82"/>
      <c r="H5177" s="96">
        <f t="shared" si="320"/>
        <v>4270.24</v>
      </c>
      <c r="I5177" s="96">
        <f t="shared" si="320"/>
        <v>4448.41</v>
      </c>
      <c r="J5177" s="91" t="str">
        <f t="shared" si="321"/>
        <v>Sinapi 98072</v>
      </c>
      <c r="K5177" s="91" t="str">
        <f t="shared" si="322"/>
        <v>UN</v>
      </c>
      <c r="L5177" s="166" t="str">
        <f t="shared" si="323"/>
        <v>12/2020</v>
      </c>
      <c r="M5177" s="82"/>
      <c r="N5177" s="82"/>
    </row>
    <row r="5178" spans="1:14" x14ac:dyDescent="0.25">
      <c r="A5178" s="170" t="s">
        <v>7918</v>
      </c>
      <c r="B5178" s="170" t="s">
        <v>17320</v>
      </c>
      <c r="C5178" s="170" t="s">
        <v>205</v>
      </c>
      <c r="D5178" s="170" t="s">
        <v>1947</v>
      </c>
      <c r="E5178" s="171" t="s">
        <v>34055</v>
      </c>
      <c r="F5178" s="171" t="s">
        <v>37213</v>
      </c>
      <c r="G5178" s="82"/>
      <c r="H5178" s="96">
        <f t="shared" si="320"/>
        <v>6806.74</v>
      </c>
      <c r="I5178" s="96">
        <f t="shared" si="320"/>
        <v>7087.54</v>
      </c>
      <c r="J5178" s="91" t="str">
        <f t="shared" si="321"/>
        <v>Sinapi 98073</v>
      </c>
      <c r="K5178" s="91" t="str">
        <f t="shared" si="322"/>
        <v>UN</v>
      </c>
      <c r="L5178" s="166" t="str">
        <f t="shared" si="323"/>
        <v>12/2020</v>
      </c>
      <c r="M5178" s="82"/>
      <c r="N5178" s="82"/>
    </row>
    <row r="5179" spans="1:14" x14ac:dyDescent="0.25">
      <c r="A5179" s="170" t="s">
        <v>7919</v>
      </c>
      <c r="B5179" s="170" t="s">
        <v>17321</v>
      </c>
      <c r="C5179" s="170" t="s">
        <v>205</v>
      </c>
      <c r="D5179" s="170" t="s">
        <v>1947</v>
      </c>
      <c r="E5179" s="171" t="s">
        <v>34056</v>
      </c>
      <c r="F5179" s="171" t="s">
        <v>37214</v>
      </c>
      <c r="G5179" s="82"/>
      <c r="H5179" s="96">
        <f t="shared" si="320"/>
        <v>10750.46</v>
      </c>
      <c r="I5179" s="96">
        <f t="shared" si="320"/>
        <v>11188.31</v>
      </c>
      <c r="J5179" s="91" t="str">
        <f t="shared" si="321"/>
        <v>Sinapi 98074</v>
      </c>
      <c r="K5179" s="91" t="str">
        <f t="shared" si="322"/>
        <v>UN</v>
      </c>
      <c r="L5179" s="166" t="str">
        <f t="shared" si="323"/>
        <v>12/2020</v>
      </c>
      <c r="M5179" s="82"/>
      <c r="N5179" s="82"/>
    </row>
    <row r="5180" spans="1:14" x14ac:dyDescent="0.25">
      <c r="A5180" s="170" t="s">
        <v>7920</v>
      </c>
      <c r="B5180" s="170" t="s">
        <v>17322</v>
      </c>
      <c r="C5180" s="170" t="s">
        <v>205</v>
      </c>
      <c r="D5180" s="170" t="s">
        <v>1947</v>
      </c>
      <c r="E5180" s="171" t="s">
        <v>34057</v>
      </c>
      <c r="F5180" s="171" t="s">
        <v>37215</v>
      </c>
      <c r="G5180" s="82"/>
      <c r="H5180" s="96">
        <f t="shared" si="320"/>
        <v>14078.64</v>
      </c>
      <c r="I5180" s="96">
        <f t="shared" si="320"/>
        <v>14648.59</v>
      </c>
      <c r="J5180" s="91" t="str">
        <f t="shared" si="321"/>
        <v>Sinapi 98075</v>
      </c>
      <c r="K5180" s="91" t="str">
        <f t="shared" si="322"/>
        <v>UN</v>
      </c>
      <c r="L5180" s="166" t="str">
        <f t="shared" si="323"/>
        <v>12/2020</v>
      </c>
      <c r="M5180" s="82"/>
      <c r="N5180" s="82"/>
    </row>
    <row r="5181" spans="1:14" x14ac:dyDescent="0.25">
      <c r="A5181" s="170" t="s">
        <v>7921</v>
      </c>
      <c r="B5181" s="170" t="s">
        <v>17323</v>
      </c>
      <c r="C5181" s="170" t="s">
        <v>205</v>
      </c>
      <c r="D5181" s="170" t="s">
        <v>1947</v>
      </c>
      <c r="E5181" s="171" t="s">
        <v>34058</v>
      </c>
      <c r="F5181" s="171" t="s">
        <v>37216</v>
      </c>
      <c r="G5181" s="82"/>
      <c r="H5181" s="96">
        <f t="shared" si="320"/>
        <v>16335.46</v>
      </c>
      <c r="I5181" s="96">
        <f t="shared" si="320"/>
        <v>16993.45</v>
      </c>
      <c r="J5181" s="91" t="str">
        <f t="shared" si="321"/>
        <v>Sinapi 98076</v>
      </c>
      <c r="K5181" s="91" t="str">
        <f t="shared" si="322"/>
        <v>UN</v>
      </c>
      <c r="L5181" s="166" t="str">
        <f t="shared" si="323"/>
        <v>12/2020</v>
      </c>
      <c r="M5181" s="82"/>
      <c r="N5181" s="82"/>
    </row>
    <row r="5182" spans="1:14" x14ac:dyDescent="0.25">
      <c r="A5182" s="170" t="s">
        <v>7922</v>
      </c>
      <c r="B5182" s="170" t="s">
        <v>17324</v>
      </c>
      <c r="C5182" s="170" t="s">
        <v>205</v>
      </c>
      <c r="D5182" s="170" t="s">
        <v>1947</v>
      </c>
      <c r="E5182" s="171" t="s">
        <v>34059</v>
      </c>
      <c r="F5182" s="171" t="s">
        <v>37217</v>
      </c>
      <c r="G5182" s="82"/>
      <c r="H5182" s="96">
        <f t="shared" si="320"/>
        <v>19301.11</v>
      </c>
      <c r="I5182" s="96">
        <f t="shared" si="320"/>
        <v>20076.16</v>
      </c>
      <c r="J5182" s="91" t="str">
        <f t="shared" si="321"/>
        <v>Sinapi 98077</v>
      </c>
      <c r="K5182" s="91" t="str">
        <f t="shared" si="322"/>
        <v>UN</v>
      </c>
      <c r="L5182" s="166" t="str">
        <f t="shared" si="323"/>
        <v>12/2020</v>
      </c>
      <c r="M5182" s="82"/>
      <c r="N5182" s="82"/>
    </row>
    <row r="5183" spans="1:14" x14ac:dyDescent="0.25">
      <c r="A5183" s="170" t="s">
        <v>7923</v>
      </c>
      <c r="B5183" s="170" t="s">
        <v>17325</v>
      </c>
      <c r="C5183" s="170" t="s">
        <v>205</v>
      </c>
      <c r="D5183" s="170" t="s">
        <v>1947</v>
      </c>
      <c r="E5183" s="171" t="s">
        <v>34060</v>
      </c>
      <c r="F5183" s="171" t="s">
        <v>37218</v>
      </c>
      <c r="G5183" s="82"/>
      <c r="H5183" s="96">
        <f t="shared" si="320"/>
        <v>4405.5200000000004</v>
      </c>
      <c r="I5183" s="96">
        <f t="shared" si="320"/>
        <v>4584.8500000000004</v>
      </c>
      <c r="J5183" s="91" t="str">
        <f t="shared" si="321"/>
        <v>Sinapi 98078</v>
      </c>
      <c r="K5183" s="91" t="str">
        <f t="shared" si="322"/>
        <v>UN</v>
      </c>
      <c r="L5183" s="166" t="str">
        <f t="shared" si="323"/>
        <v>12/2020</v>
      </c>
      <c r="M5183" s="82"/>
      <c r="N5183" s="82"/>
    </row>
    <row r="5184" spans="1:14" x14ac:dyDescent="0.25">
      <c r="A5184" s="170" t="s">
        <v>7924</v>
      </c>
      <c r="B5184" s="170" t="s">
        <v>17326</v>
      </c>
      <c r="C5184" s="170" t="s">
        <v>205</v>
      </c>
      <c r="D5184" s="170" t="s">
        <v>1947</v>
      </c>
      <c r="E5184" s="171" t="s">
        <v>34061</v>
      </c>
      <c r="F5184" s="171" t="s">
        <v>37219</v>
      </c>
      <c r="G5184" s="82"/>
      <c r="H5184" s="96">
        <f t="shared" si="320"/>
        <v>7781.96</v>
      </c>
      <c r="I5184" s="96">
        <f t="shared" si="320"/>
        <v>8096.54</v>
      </c>
      <c r="J5184" s="91" t="str">
        <f t="shared" si="321"/>
        <v>Sinapi 98079</v>
      </c>
      <c r="K5184" s="91" t="str">
        <f t="shared" si="322"/>
        <v>UN</v>
      </c>
      <c r="L5184" s="166" t="str">
        <f t="shared" si="323"/>
        <v>12/2020</v>
      </c>
      <c r="M5184" s="82"/>
      <c r="N5184" s="82"/>
    </row>
    <row r="5185" spans="1:14" x14ac:dyDescent="0.25">
      <c r="A5185" s="170" t="s">
        <v>7925</v>
      </c>
      <c r="B5185" s="170" t="s">
        <v>17327</v>
      </c>
      <c r="C5185" s="170" t="s">
        <v>205</v>
      </c>
      <c r="D5185" s="170" t="s">
        <v>1947</v>
      </c>
      <c r="E5185" s="171" t="s">
        <v>34062</v>
      </c>
      <c r="F5185" s="171" t="s">
        <v>37220</v>
      </c>
      <c r="G5185" s="82"/>
      <c r="H5185" s="96">
        <f t="shared" si="320"/>
        <v>10097.49</v>
      </c>
      <c r="I5185" s="96">
        <f t="shared" si="320"/>
        <v>10504.43</v>
      </c>
      <c r="J5185" s="91" t="str">
        <f t="shared" si="321"/>
        <v>Sinapi 98080</v>
      </c>
      <c r="K5185" s="91" t="str">
        <f t="shared" si="322"/>
        <v>UN</v>
      </c>
      <c r="L5185" s="166" t="str">
        <f t="shared" si="323"/>
        <v>12/2020</v>
      </c>
      <c r="M5185" s="82"/>
      <c r="N5185" s="82"/>
    </row>
    <row r="5186" spans="1:14" x14ac:dyDescent="0.25">
      <c r="A5186" s="170" t="s">
        <v>7926</v>
      </c>
      <c r="B5186" s="170" t="s">
        <v>17328</v>
      </c>
      <c r="C5186" s="170" t="s">
        <v>205</v>
      </c>
      <c r="D5186" s="170" t="s">
        <v>1947</v>
      </c>
      <c r="E5186" s="171" t="s">
        <v>34063</v>
      </c>
      <c r="F5186" s="171" t="s">
        <v>37221</v>
      </c>
      <c r="G5186" s="82"/>
      <c r="H5186" s="96">
        <f t="shared" si="320"/>
        <v>15029.11</v>
      </c>
      <c r="I5186" s="96">
        <f t="shared" si="320"/>
        <v>15633.8</v>
      </c>
      <c r="J5186" s="91" t="str">
        <f t="shared" si="321"/>
        <v>Sinapi 98081</v>
      </c>
      <c r="K5186" s="91" t="str">
        <f t="shared" si="322"/>
        <v>UN</v>
      </c>
      <c r="L5186" s="166" t="str">
        <f t="shared" si="323"/>
        <v>12/2020</v>
      </c>
      <c r="M5186" s="82"/>
      <c r="N5186" s="82"/>
    </row>
    <row r="5187" spans="1:14" x14ac:dyDescent="0.25">
      <c r="A5187" s="170" t="s">
        <v>7927</v>
      </c>
      <c r="B5187" s="170" t="s">
        <v>17329</v>
      </c>
      <c r="C5187" s="170" t="s">
        <v>205</v>
      </c>
      <c r="D5187" s="170" t="s">
        <v>1947</v>
      </c>
      <c r="E5187" s="171" t="s">
        <v>34064</v>
      </c>
      <c r="F5187" s="171" t="s">
        <v>37222</v>
      </c>
      <c r="G5187" s="82"/>
      <c r="H5187" s="96">
        <f t="shared" si="320"/>
        <v>4442.9799999999996</v>
      </c>
      <c r="I5187" s="96">
        <f t="shared" si="320"/>
        <v>4608.41</v>
      </c>
      <c r="J5187" s="91" t="str">
        <f t="shared" si="321"/>
        <v>Sinapi 98082</v>
      </c>
      <c r="K5187" s="91" t="str">
        <f t="shared" si="322"/>
        <v>UN</v>
      </c>
      <c r="L5187" s="166" t="str">
        <f t="shared" si="323"/>
        <v>12/2020</v>
      </c>
      <c r="M5187" s="82"/>
      <c r="N5187" s="82"/>
    </row>
    <row r="5188" spans="1:14" x14ac:dyDescent="0.25">
      <c r="A5188" s="170" t="s">
        <v>7928</v>
      </c>
      <c r="B5188" s="170" t="s">
        <v>17330</v>
      </c>
      <c r="C5188" s="170" t="s">
        <v>205</v>
      </c>
      <c r="D5188" s="170" t="s">
        <v>1947</v>
      </c>
      <c r="E5188" s="171" t="s">
        <v>34065</v>
      </c>
      <c r="F5188" s="171" t="s">
        <v>37223</v>
      </c>
      <c r="G5188" s="82"/>
      <c r="H5188" s="96">
        <f t="shared" si="320"/>
        <v>5851.53</v>
      </c>
      <c r="I5188" s="96">
        <f t="shared" si="320"/>
        <v>6071.5</v>
      </c>
      <c r="J5188" s="91" t="str">
        <f t="shared" si="321"/>
        <v>Sinapi 98083</v>
      </c>
      <c r="K5188" s="91" t="str">
        <f t="shared" si="322"/>
        <v>UN</v>
      </c>
      <c r="L5188" s="166" t="str">
        <f t="shared" si="323"/>
        <v>12/2020</v>
      </c>
      <c r="M5188" s="82"/>
      <c r="N5188" s="82"/>
    </row>
    <row r="5189" spans="1:14" x14ac:dyDescent="0.25">
      <c r="A5189" s="170" t="s">
        <v>7929</v>
      </c>
      <c r="B5189" s="170" t="s">
        <v>17331</v>
      </c>
      <c r="C5189" s="170" t="s">
        <v>205</v>
      </c>
      <c r="D5189" s="170" t="s">
        <v>1947</v>
      </c>
      <c r="E5189" s="171" t="s">
        <v>34066</v>
      </c>
      <c r="F5189" s="171" t="s">
        <v>37224</v>
      </c>
      <c r="G5189" s="82"/>
      <c r="H5189" s="96">
        <f t="shared" si="320"/>
        <v>8189.75</v>
      </c>
      <c r="I5189" s="96">
        <f t="shared" si="320"/>
        <v>8500.86</v>
      </c>
      <c r="J5189" s="91" t="str">
        <f t="shared" si="321"/>
        <v>Sinapi 98084</v>
      </c>
      <c r="K5189" s="91" t="str">
        <f t="shared" si="322"/>
        <v>UN</v>
      </c>
      <c r="L5189" s="166" t="str">
        <f t="shared" si="323"/>
        <v>12/2020</v>
      </c>
      <c r="M5189" s="82"/>
      <c r="N5189" s="82"/>
    </row>
    <row r="5190" spans="1:14" x14ac:dyDescent="0.25">
      <c r="A5190" s="170" t="s">
        <v>7930</v>
      </c>
      <c r="B5190" s="170" t="s">
        <v>17332</v>
      </c>
      <c r="C5190" s="170" t="s">
        <v>205</v>
      </c>
      <c r="D5190" s="170" t="s">
        <v>1947</v>
      </c>
      <c r="E5190" s="171" t="s">
        <v>34067</v>
      </c>
      <c r="F5190" s="171" t="s">
        <v>37225</v>
      </c>
      <c r="G5190" s="82"/>
      <c r="H5190" s="96">
        <f t="shared" si="320"/>
        <v>11073.92</v>
      </c>
      <c r="I5190" s="96">
        <f t="shared" si="320"/>
        <v>11499.33</v>
      </c>
      <c r="J5190" s="91" t="str">
        <f t="shared" si="321"/>
        <v>Sinapi 98085</v>
      </c>
      <c r="K5190" s="91" t="str">
        <f t="shared" si="322"/>
        <v>UN</v>
      </c>
      <c r="L5190" s="166" t="str">
        <f t="shared" si="323"/>
        <v>12/2020</v>
      </c>
      <c r="M5190" s="82"/>
      <c r="N5190" s="82"/>
    </row>
    <row r="5191" spans="1:14" x14ac:dyDescent="0.25">
      <c r="A5191" s="170" t="s">
        <v>7931</v>
      </c>
      <c r="B5191" s="170" t="s">
        <v>17333</v>
      </c>
      <c r="C5191" s="170" t="s">
        <v>205</v>
      </c>
      <c r="D5191" s="170" t="s">
        <v>1947</v>
      </c>
      <c r="E5191" s="171" t="s">
        <v>34068</v>
      </c>
      <c r="F5191" s="171" t="s">
        <v>37226</v>
      </c>
      <c r="G5191" s="82"/>
      <c r="H5191" s="96">
        <f t="shared" si="320"/>
        <v>12506.63</v>
      </c>
      <c r="I5191" s="96">
        <f t="shared" si="320"/>
        <v>12987.15</v>
      </c>
      <c r="J5191" s="91" t="str">
        <f t="shared" si="321"/>
        <v>Sinapi 98086</v>
      </c>
      <c r="K5191" s="91" t="str">
        <f t="shared" si="322"/>
        <v>UN</v>
      </c>
      <c r="L5191" s="166" t="str">
        <f t="shared" si="323"/>
        <v>12/2020</v>
      </c>
      <c r="M5191" s="82"/>
      <c r="N5191" s="82"/>
    </row>
    <row r="5192" spans="1:14" x14ac:dyDescent="0.25">
      <c r="A5192" s="170" t="s">
        <v>7932</v>
      </c>
      <c r="B5192" s="170" t="s">
        <v>17334</v>
      </c>
      <c r="C5192" s="170" t="s">
        <v>205</v>
      </c>
      <c r="D5192" s="170" t="s">
        <v>1947</v>
      </c>
      <c r="E5192" s="171" t="s">
        <v>34069</v>
      </c>
      <c r="F5192" s="171" t="s">
        <v>37227</v>
      </c>
      <c r="G5192" s="82"/>
      <c r="H5192" s="96">
        <f t="shared" ref="H5192:I5255" si="324">IF(E5192="","",E5192+0)</f>
        <v>13371.69</v>
      </c>
      <c r="I5192" s="96">
        <f t="shared" si="324"/>
        <v>13883.73</v>
      </c>
      <c r="J5192" s="91" t="str">
        <f t="shared" ref="J5192:J5255" si="325">IF(OR(H5192="",I5192=""),"",TRIM(CONCATENATE("Sinapi ",A5192)))</f>
        <v>Sinapi 98087</v>
      </c>
      <c r="K5192" s="91" t="str">
        <f t="shared" ref="K5192:K5255" si="326">TRIM(C5192)</f>
        <v>UN</v>
      </c>
      <c r="L5192" s="166" t="str">
        <f t="shared" ref="L5192:L5255" si="327">IF(OR(RIGHT(IF(AND(K5192&lt;&gt;"H",K5192&lt;&gt;"MES"),RIGHT(B5192,7),""),2)="PS",RIGHT(IF(AND(K5192&lt;&gt;"H",K5192&lt;&gt;"MES"),RIGHT(B5192,7),""),2)="PA",RIGHT(IF(AND(K5192&lt;&gt;"H",K5192&lt;&gt;"MES"),RIGHT(B5192,7),""),2)="PE"),LEFT(IF(AND(K5192&lt;&gt;"H",K5192&lt;&gt;"MES"),RIGHT(B5192,10),""),7),IF(AND(K5192&lt;&gt;"H",K5192&lt;&gt;"MES"),RIGHT(B5192,7),""))</f>
        <v>12/2020</v>
      </c>
      <c r="M5192" s="82"/>
      <c r="N5192" s="82"/>
    </row>
    <row r="5193" spans="1:14" x14ac:dyDescent="0.25">
      <c r="A5193" s="170" t="s">
        <v>7933</v>
      </c>
      <c r="B5193" s="170" t="s">
        <v>17335</v>
      </c>
      <c r="C5193" s="170" t="s">
        <v>205</v>
      </c>
      <c r="D5193" s="170" t="s">
        <v>1947</v>
      </c>
      <c r="E5193" s="171" t="s">
        <v>34070</v>
      </c>
      <c r="F5193" s="171" t="s">
        <v>37228</v>
      </c>
      <c r="G5193" s="82"/>
      <c r="H5193" s="96">
        <f t="shared" si="324"/>
        <v>3893.45</v>
      </c>
      <c r="I5193" s="96">
        <f t="shared" si="324"/>
        <v>4035.11</v>
      </c>
      <c r="J5193" s="91" t="str">
        <f t="shared" si="325"/>
        <v>Sinapi 98088</v>
      </c>
      <c r="K5193" s="91" t="str">
        <f t="shared" si="326"/>
        <v>UN</v>
      </c>
      <c r="L5193" s="166" t="str">
        <f t="shared" si="327"/>
        <v>12/2020</v>
      </c>
      <c r="M5193" s="82"/>
      <c r="N5193" s="82"/>
    </row>
    <row r="5194" spans="1:14" x14ac:dyDescent="0.25">
      <c r="A5194" s="170" t="s">
        <v>7934</v>
      </c>
      <c r="B5194" s="170" t="s">
        <v>17336</v>
      </c>
      <c r="C5194" s="170" t="s">
        <v>205</v>
      </c>
      <c r="D5194" s="170" t="s">
        <v>1947</v>
      </c>
      <c r="E5194" s="171" t="s">
        <v>34071</v>
      </c>
      <c r="F5194" s="171" t="s">
        <v>37229</v>
      </c>
      <c r="G5194" s="82"/>
      <c r="H5194" s="96">
        <f t="shared" si="324"/>
        <v>6181.87</v>
      </c>
      <c r="I5194" s="96">
        <f t="shared" si="324"/>
        <v>6408.15</v>
      </c>
      <c r="J5194" s="91" t="str">
        <f t="shared" si="325"/>
        <v>Sinapi 98089</v>
      </c>
      <c r="K5194" s="91" t="str">
        <f t="shared" si="326"/>
        <v>UN</v>
      </c>
      <c r="L5194" s="166" t="str">
        <f t="shared" si="327"/>
        <v>12/2020</v>
      </c>
      <c r="M5194" s="82"/>
      <c r="N5194" s="82"/>
    </row>
    <row r="5195" spans="1:14" x14ac:dyDescent="0.25">
      <c r="A5195" s="170" t="s">
        <v>7935</v>
      </c>
      <c r="B5195" s="170" t="s">
        <v>17337</v>
      </c>
      <c r="C5195" s="170" t="s">
        <v>205</v>
      </c>
      <c r="D5195" s="170" t="s">
        <v>1947</v>
      </c>
      <c r="E5195" s="171" t="s">
        <v>34072</v>
      </c>
      <c r="F5195" s="171" t="s">
        <v>37230</v>
      </c>
      <c r="G5195" s="82"/>
      <c r="H5195" s="96">
        <f t="shared" si="324"/>
        <v>9763.2900000000009</v>
      </c>
      <c r="I5195" s="96">
        <f t="shared" si="324"/>
        <v>10120.530000000001</v>
      </c>
      <c r="J5195" s="91" t="str">
        <f t="shared" si="325"/>
        <v>Sinapi 98090</v>
      </c>
      <c r="K5195" s="91" t="str">
        <f t="shared" si="326"/>
        <v>UN</v>
      </c>
      <c r="L5195" s="166" t="str">
        <f t="shared" si="327"/>
        <v>12/2020</v>
      </c>
      <c r="M5195" s="82"/>
      <c r="N5195" s="82"/>
    </row>
    <row r="5196" spans="1:14" x14ac:dyDescent="0.25">
      <c r="A5196" s="170" t="s">
        <v>7936</v>
      </c>
      <c r="B5196" s="170" t="s">
        <v>17338</v>
      </c>
      <c r="C5196" s="170" t="s">
        <v>205</v>
      </c>
      <c r="D5196" s="170" t="s">
        <v>1947</v>
      </c>
      <c r="E5196" s="171" t="s">
        <v>34073</v>
      </c>
      <c r="F5196" s="171" t="s">
        <v>37231</v>
      </c>
      <c r="G5196" s="82"/>
      <c r="H5196" s="96">
        <f t="shared" si="324"/>
        <v>12786.16</v>
      </c>
      <c r="I5196" s="96">
        <f t="shared" si="324"/>
        <v>13253.4</v>
      </c>
      <c r="J5196" s="91" t="str">
        <f t="shared" si="325"/>
        <v>Sinapi 98091</v>
      </c>
      <c r="K5196" s="91" t="str">
        <f t="shared" si="326"/>
        <v>UN</v>
      </c>
      <c r="L5196" s="166" t="str">
        <f t="shared" si="327"/>
        <v>12/2020</v>
      </c>
      <c r="M5196" s="82"/>
      <c r="N5196" s="82"/>
    </row>
    <row r="5197" spans="1:14" x14ac:dyDescent="0.25">
      <c r="A5197" s="170" t="s">
        <v>7937</v>
      </c>
      <c r="B5197" s="170" t="s">
        <v>17339</v>
      </c>
      <c r="C5197" s="170" t="s">
        <v>205</v>
      </c>
      <c r="D5197" s="170" t="s">
        <v>1947</v>
      </c>
      <c r="E5197" s="171" t="s">
        <v>34074</v>
      </c>
      <c r="F5197" s="171" t="s">
        <v>37232</v>
      </c>
      <c r="G5197" s="82"/>
      <c r="H5197" s="96">
        <f t="shared" si="324"/>
        <v>14878.48</v>
      </c>
      <c r="I5197" s="96">
        <f t="shared" si="324"/>
        <v>15422.05</v>
      </c>
      <c r="J5197" s="91" t="str">
        <f t="shared" si="325"/>
        <v>Sinapi 98092</v>
      </c>
      <c r="K5197" s="91" t="str">
        <f t="shared" si="326"/>
        <v>UN</v>
      </c>
      <c r="L5197" s="166" t="str">
        <f t="shared" si="327"/>
        <v>12/2020</v>
      </c>
      <c r="M5197" s="82"/>
      <c r="N5197" s="82"/>
    </row>
    <row r="5198" spans="1:14" x14ac:dyDescent="0.25">
      <c r="A5198" s="170" t="s">
        <v>7938</v>
      </c>
      <c r="B5198" s="170" t="s">
        <v>17340</v>
      </c>
      <c r="C5198" s="170" t="s">
        <v>205</v>
      </c>
      <c r="D5198" s="170" t="s">
        <v>1947</v>
      </c>
      <c r="E5198" s="171" t="s">
        <v>34075</v>
      </c>
      <c r="F5198" s="171" t="s">
        <v>37233</v>
      </c>
      <c r="G5198" s="82"/>
      <c r="H5198" s="96">
        <f t="shared" si="324"/>
        <v>17585.66</v>
      </c>
      <c r="I5198" s="96">
        <f t="shared" si="324"/>
        <v>18227.669999999998</v>
      </c>
      <c r="J5198" s="91" t="str">
        <f t="shared" si="325"/>
        <v>Sinapi 98093</v>
      </c>
      <c r="K5198" s="91" t="str">
        <f t="shared" si="326"/>
        <v>UN</v>
      </c>
      <c r="L5198" s="166" t="str">
        <f t="shared" si="327"/>
        <v>12/2020</v>
      </c>
      <c r="M5198" s="82"/>
      <c r="N5198" s="82"/>
    </row>
    <row r="5199" spans="1:14" x14ac:dyDescent="0.25">
      <c r="A5199" s="170" t="s">
        <v>7939</v>
      </c>
      <c r="B5199" s="170" t="s">
        <v>17341</v>
      </c>
      <c r="C5199" s="170" t="s">
        <v>205</v>
      </c>
      <c r="D5199" s="170" t="s">
        <v>1947</v>
      </c>
      <c r="E5199" s="171" t="s">
        <v>34076</v>
      </c>
      <c r="F5199" s="171" t="s">
        <v>37234</v>
      </c>
      <c r="G5199" s="82"/>
      <c r="H5199" s="96">
        <f t="shared" si="324"/>
        <v>3310.92</v>
      </c>
      <c r="I5199" s="96">
        <f t="shared" si="324"/>
        <v>3423.49</v>
      </c>
      <c r="J5199" s="91" t="str">
        <f t="shared" si="325"/>
        <v>Sinapi 98094</v>
      </c>
      <c r="K5199" s="91" t="str">
        <f t="shared" si="326"/>
        <v>UN</v>
      </c>
      <c r="L5199" s="166" t="str">
        <f t="shared" si="327"/>
        <v>12/2020</v>
      </c>
      <c r="M5199" s="82"/>
      <c r="N5199" s="82"/>
    </row>
    <row r="5200" spans="1:14" x14ac:dyDescent="0.25">
      <c r="A5200" s="170" t="s">
        <v>7940</v>
      </c>
      <c r="B5200" s="170" t="s">
        <v>17342</v>
      </c>
      <c r="C5200" s="170" t="s">
        <v>205</v>
      </c>
      <c r="D5200" s="170" t="s">
        <v>1947</v>
      </c>
      <c r="E5200" s="171" t="s">
        <v>34077</v>
      </c>
      <c r="F5200" s="171" t="s">
        <v>37235</v>
      </c>
      <c r="G5200" s="82"/>
      <c r="H5200" s="96">
        <f t="shared" si="324"/>
        <v>5656.12</v>
      </c>
      <c r="I5200" s="96">
        <f t="shared" si="324"/>
        <v>5849.58</v>
      </c>
      <c r="J5200" s="91" t="str">
        <f t="shared" si="325"/>
        <v>Sinapi 98099</v>
      </c>
      <c r="K5200" s="91" t="str">
        <f t="shared" si="326"/>
        <v>UN</v>
      </c>
      <c r="L5200" s="166" t="str">
        <f t="shared" si="327"/>
        <v>12/2020</v>
      </c>
      <c r="M5200" s="82"/>
      <c r="N5200" s="82"/>
    </row>
    <row r="5201" spans="1:14" x14ac:dyDescent="0.25">
      <c r="A5201" s="170" t="s">
        <v>7941</v>
      </c>
      <c r="B5201" s="170" t="s">
        <v>17343</v>
      </c>
      <c r="C5201" s="170" t="s">
        <v>205</v>
      </c>
      <c r="D5201" s="170" t="s">
        <v>1947</v>
      </c>
      <c r="E5201" s="171" t="s">
        <v>34078</v>
      </c>
      <c r="F5201" s="171" t="s">
        <v>37236</v>
      </c>
      <c r="G5201" s="82"/>
      <c r="H5201" s="96">
        <f t="shared" si="324"/>
        <v>7398.65</v>
      </c>
      <c r="I5201" s="96">
        <f t="shared" si="324"/>
        <v>7654.25</v>
      </c>
      <c r="J5201" s="91" t="str">
        <f t="shared" si="325"/>
        <v>Sinapi 98100</v>
      </c>
      <c r="K5201" s="91" t="str">
        <f t="shared" si="326"/>
        <v>UN</v>
      </c>
      <c r="L5201" s="166" t="str">
        <f t="shared" si="327"/>
        <v>12/2020</v>
      </c>
      <c r="M5201" s="82"/>
      <c r="N5201" s="82"/>
    </row>
    <row r="5202" spans="1:14" x14ac:dyDescent="0.25">
      <c r="A5202" s="170" t="s">
        <v>7942</v>
      </c>
      <c r="B5202" s="170" t="s">
        <v>17344</v>
      </c>
      <c r="C5202" s="170" t="s">
        <v>205</v>
      </c>
      <c r="D5202" s="170" t="s">
        <v>1947</v>
      </c>
      <c r="E5202" s="171" t="s">
        <v>34079</v>
      </c>
      <c r="F5202" s="171" t="s">
        <v>37237</v>
      </c>
      <c r="G5202" s="82"/>
      <c r="H5202" s="96">
        <f t="shared" si="324"/>
        <v>10923.21</v>
      </c>
      <c r="I5202" s="96">
        <f t="shared" si="324"/>
        <v>11303.47</v>
      </c>
      <c r="J5202" s="91" t="str">
        <f t="shared" si="325"/>
        <v>Sinapi 98101</v>
      </c>
      <c r="K5202" s="91" t="str">
        <f t="shared" si="326"/>
        <v>UN</v>
      </c>
      <c r="L5202" s="166" t="str">
        <f t="shared" si="327"/>
        <v>12/2020</v>
      </c>
      <c r="M5202" s="82"/>
      <c r="N5202" s="82"/>
    </row>
    <row r="5203" spans="1:14" x14ac:dyDescent="0.25">
      <c r="A5203" s="170" t="s">
        <v>7943</v>
      </c>
      <c r="B5203" s="170" t="s">
        <v>12649</v>
      </c>
      <c r="C5203" s="170" t="s">
        <v>205</v>
      </c>
      <c r="D5203" s="170" t="s">
        <v>1947</v>
      </c>
      <c r="E5203" s="171" t="s">
        <v>34080</v>
      </c>
      <c r="F5203" s="171" t="s">
        <v>37238</v>
      </c>
      <c r="G5203" s="82"/>
      <c r="H5203" s="96">
        <f t="shared" si="324"/>
        <v>892.34</v>
      </c>
      <c r="I5203" s="96">
        <f t="shared" si="324"/>
        <v>936.95</v>
      </c>
      <c r="J5203" s="91" t="str">
        <f t="shared" si="325"/>
        <v>Sinapi 98109</v>
      </c>
      <c r="K5203" s="91" t="str">
        <f t="shared" si="326"/>
        <v>UN</v>
      </c>
      <c r="L5203" s="166" t="str">
        <f t="shared" si="327"/>
        <v>12/2020</v>
      </c>
      <c r="M5203" s="82"/>
      <c r="N5203" s="82"/>
    </row>
    <row r="5204" spans="1:14" x14ac:dyDescent="0.25">
      <c r="A5204" s="170" t="s">
        <v>7944</v>
      </c>
      <c r="B5204" s="170" t="s">
        <v>12650</v>
      </c>
      <c r="C5204" s="170" t="s">
        <v>205</v>
      </c>
      <c r="D5204" s="170" t="s">
        <v>1947</v>
      </c>
      <c r="E5204" s="171" t="s">
        <v>34081</v>
      </c>
      <c r="F5204" s="171" t="s">
        <v>37239</v>
      </c>
      <c r="G5204" s="82"/>
      <c r="H5204" s="96">
        <f t="shared" si="324"/>
        <v>375.21</v>
      </c>
      <c r="I5204" s="96">
        <f t="shared" si="324"/>
        <v>376.6</v>
      </c>
      <c r="J5204" s="91" t="str">
        <f t="shared" si="325"/>
        <v>Sinapi 98110</v>
      </c>
      <c r="K5204" s="91" t="str">
        <f t="shared" si="326"/>
        <v>UN</v>
      </c>
      <c r="L5204" s="166" t="str">
        <f t="shared" si="327"/>
        <v>12/2020</v>
      </c>
      <c r="M5204" s="82"/>
      <c r="N5204" s="82"/>
    </row>
    <row r="5205" spans="1:14" x14ac:dyDescent="0.25">
      <c r="A5205" s="170" t="s">
        <v>7945</v>
      </c>
      <c r="B5205" s="170" t="s">
        <v>12651</v>
      </c>
      <c r="C5205" s="170" t="s">
        <v>205</v>
      </c>
      <c r="D5205" s="170" t="s">
        <v>1947</v>
      </c>
      <c r="E5205" s="171" t="s">
        <v>21901</v>
      </c>
      <c r="F5205" s="171" t="s">
        <v>29301</v>
      </c>
      <c r="G5205" s="82"/>
      <c r="H5205" s="96">
        <f t="shared" si="324"/>
        <v>49.58</v>
      </c>
      <c r="I5205" s="96">
        <f t="shared" si="324"/>
        <v>50.34</v>
      </c>
      <c r="J5205" s="91" t="str">
        <f t="shared" si="325"/>
        <v>Sinapi 98111</v>
      </c>
      <c r="K5205" s="91" t="str">
        <f t="shared" si="326"/>
        <v>UN</v>
      </c>
      <c r="L5205" s="166" t="str">
        <f t="shared" si="327"/>
        <v>12/2020</v>
      </c>
      <c r="M5205" s="82"/>
      <c r="N5205" s="82"/>
    </row>
    <row r="5206" spans="1:14" x14ac:dyDescent="0.25">
      <c r="A5206" s="170" t="s">
        <v>12092</v>
      </c>
      <c r="B5206" s="170" t="s">
        <v>12652</v>
      </c>
      <c r="C5206" s="170" t="s">
        <v>205</v>
      </c>
      <c r="D5206" s="170" t="s">
        <v>1947</v>
      </c>
      <c r="E5206" s="171" t="s">
        <v>32563</v>
      </c>
      <c r="F5206" s="171" t="s">
        <v>37240</v>
      </c>
      <c r="G5206" s="82"/>
      <c r="H5206" s="96">
        <f t="shared" si="324"/>
        <v>91.66</v>
      </c>
      <c r="I5206" s="96">
        <f t="shared" si="324"/>
        <v>93.78</v>
      </c>
      <c r="J5206" s="91" t="str">
        <f t="shared" si="325"/>
        <v>Sinapi 98112</v>
      </c>
      <c r="K5206" s="91" t="str">
        <f t="shared" si="326"/>
        <v>UN</v>
      </c>
      <c r="L5206" s="166" t="str">
        <f t="shared" si="327"/>
        <v>12/2020</v>
      </c>
      <c r="M5206" s="82"/>
      <c r="N5206" s="82"/>
    </row>
    <row r="5207" spans="1:14" x14ac:dyDescent="0.25">
      <c r="A5207" s="170" t="s">
        <v>7946</v>
      </c>
      <c r="B5207" s="170" t="s">
        <v>12653</v>
      </c>
      <c r="C5207" s="170" t="s">
        <v>205</v>
      </c>
      <c r="D5207" s="170" t="s">
        <v>1947</v>
      </c>
      <c r="E5207" s="171" t="s">
        <v>34082</v>
      </c>
      <c r="F5207" s="171" t="s">
        <v>37241</v>
      </c>
      <c r="G5207" s="82"/>
      <c r="H5207" s="96">
        <f t="shared" si="324"/>
        <v>692.77</v>
      </c>
      <c r="I5207" s="96">
        <f t="shared" si="324"/>
        <v>697.92</v>
      </c>
      <c r="J5207" s="91" t="str">
        <f t="shared" si="325"/>
        <v>Sinapi 98114</v>
      </c>
      <c r="K5207" s="91" t="str">
        <f t="shared" si="326"/>
        <v>UN</v>
      </c>
      <c r="L5207" s="166" t="str">
        <f t="shared" si="327"/>
        <v>12/2020</v>
      </c>
      <c r="M5207" s="82"/>
      <c r="N5207" s="82"/>
    </row>
    <row r="5208" spans="1:14" x14ac:dyDescent="0.25">
      <c r="A5208" s="170" t="s">
        <v>7947</v>
      </c>
      <c r="B5208" s="170" t="s">
        <v>16360</v>
      </c>
      <c r="C5208" s="170" t="s">
        <v>205</v>
      </c>
      <c r="D5208" s="170" t="s">
        <v>1947</v>
      </c>
      <c r="E5208" s="171" t="s">
        <v>27244</v>
      </c>
      <c r="F5208" s="171" t="s">
        <v>37242</v>
      </c>
      <c r="G5208" s="82"/>
      <c r="H5208" s="96">
        <f t="shared" si="324"/>
        <v>105.65</v>
      </c>
      <c r="I5208" s="96">
        <f t="shared" si="324"/>
        <v>111.77</v>
      </c>
      <c r="J5208" s="91" t="str">
        <f t="shared" si="325"/>
        <v>Sinapi 98115</v>
      </c>
      <c r="K5208" s="91" t="str">
        <f t="shared" si="326"/>
        <v>UN</v>
      </c>
      <c r="L5208" s="166" t="str">
        <f t="shared" si="327"/>
        <v>12/2020</v>
      </c>
      <c r="M5208" s="82"/>
      <c r="N5208" s="82"/>
    </row>
    <row r="5209" spans="1:14" x14ac:dyDescent="0.25">
      <c r="A5209" s="170" t="s">
        <v>7948</v>
      </c>
      <c r="B5209" s="170" t="s">
        <v>7949</v>
      </c>
      <c r="C5209" s="170" t="s">
        <v>205</v>
      </c>
      <c r="D5209" s="170" t="s">
        <v>2067</v>
      </c>
      <c r="E5209" s="171" t="s">
        <v>34083</v>
      </c>
      <c r="F5209" s="171" t="s">
        <v>29148</v>
      </c>
      <c r="G5209" s="82"/>
      <c r="H5209" s="96">
        <f t="shared" si="324"/>
        <v>133.91</v>
      </c>
      <c r="I5209" s="96">
        <f t="shared" si="324"/>
        <v>145.80000000000001</v>
      </c>
      <c r="J5209" s="91" t="str">
        <f t="shared" si="325"/>
        <v>Sinapi 89957</v>
      </c>
      <c r="K5209" s="91" t="str">
        <f t="shared" si="326"/>
        <v>UN</v>
      </c>
      <c r="L5209" s="166" t="str">
        <f t="shared" si="327"/>
        <v>12/2014</v>
      </c>
      <c r="M5209" s="82"/>
      <c r="N5209" s="82"/>
    </row>
    <row r="5210" spans="1:14" x14ac:dyDescent="0.25">
      <c r="A5210" s="170" t="s">
        <v>7950</v>
      </c>
      <c r="B5210" s="170" t="s">
        <v>7951</v>
      </c>
      <c r="C5210" s="170" t="s">
        <v>205</v>
      </c>
      <c r="D5210" s="170" t="s">
        <v>2067</v>
      </c>
      <c r="E5210" s="171" t="s">
        <v>29149</v>
      </c>
      <c r="F5210" s="171" t="s">
        <v>37243</v>
      </c>
      <c r="G5210" s="82"/>
      <c r="H5210" s="96">
        <f t="shared" si="324"/>
        <v>242.56</v>
      </c>
      <c r="I5210" s="96">
        <f t="shared" si="324"/>
        <v>256.94</v>
      </c>
      <c r="J5210" s="91" t="str">
        <f t="shared" si="325"/>
        <v>Sinapi 89959</v>
      </c>
      <c r="K5210" s="91" t="str">
        <f t="shared" si="326"/>
        <v>UN</v>
      </c>
      <c r="L5210" s="166" t="str">
        <f t="shared" si="327"/>
        <v>12/2014</v>
      </c>
      <c r="M5210" s="82"/>
      <c r="N5210" s="82"/>
    </row>
    <row r="5211" spans="1:14" x14ac:dyDescent="0.25">
      <c r="A5211" s="170" t="s">
        <v>7952</v>
      </c>
      <c r="B5211" s="170" t="s">
        <v>14131</v>
      </c>
      <c r="C5211" s="170" t="s">
        <v>205</v>
      </c>
      <c r="D5211" s="170" t="s">
        <v>2067</v>
      </c>
      <c r="E5211" s="171" t="s">
        <v>21600</v>
      </c>
      <c r="F5211" s="171" t="s">
        <v>15545</v>
      </c>
      <c r="G5211" s="82"/>
      <c r="H5211" s="96">
        <f t="shared" si="324"/>
        <v>17.920000000000002</v>
      </c>
      <c r="I5211" s="96">
        <f t="shared" si="324"/>
        <v>18.25</v>
      </c>
      <c r="J5211" s="91" t="str">
        <f t="shared" si="325"/>
        <v>Sinapi 89349</v>
      </c>
      <c r="K5211" s="91" t="str">
        <f t="shared" si="326"/>
        <v>UN</v>
      </c>
      <c r="L5211" s="166" t="str">
        <f t="shared" si="327"/>
        <v>08/2021</v>
      </c>
      <c r="M5211" s="82"/>
      <c r="N5211" s="82"/>
    </row>
    <row r="5212" spans="1:14" x14ac:dyDescent="0.25">
      <c r="A5212" s="170" t="s">
        <v>7953</v>
      </c>
      <c r="B5212" s="170" t="s">
        <v>14132</v>
      </c>
      <c r="C5212" s="170" t="s">
        <v>205</v>
      </c>
      <c r="D5212" s="170" t="s">
        <v>2067</v>
      </c>
      <c r="E5212" s="171" t="s">
        <v>15639</v>
      </c>
      <c r="F5212" s="171" t="s">
        <v>18622</v>
      </c>
      <c r="G5212" s="82"/>
      <c r="H5212" s="96">
        <f t="shared" si="324"/>
        <v>22.41</v>
      </c>
      <c r="I5212" s="96">
        <f t="shared" si="324"/>
        <v>22.93</v>
      </c>
      <c r="J5212" s="91" t="str">
        <f t="shared" si="325"/>
        <v>Sinapi 89351</v>
      </c>
      <c r="K5212" s="91" t="str">
        <f t="shared" si="326"/>
        <v>UN</v>
      </c>
      <c r="L5212" s="166" t="str">
        <f t="shared" si="327"/>
        <v>08/2021</v>
      </c>
      <c r="M5212" s="82"/>
      <c r="N5212" s="82"/>
    </row>
    <row r="5213" spans="1:14" x14ac:dyDescent="0.25">
      <c r="A5213" s="170" t="s">
        <v>7954</v>
      </c>
      <c r="B5213" s="170" t="s">
        <v>14133</v>
      </c>
      <c r="C5213" s="170" t="s">
        <v>205</v>
      </c>
      <c r="D5213" s="170" t="s">
        <v>2067</v>
      </c>
      <c r="E5213" s="171" t="s">
        <v>19975</v>
      </c>
      <c r="F5213" s="171" t="s">
        <v>17939</v>
      </c>
      <c r="G5213" s="82"/>
      <c r="H5213" s="96">
        <f t="shared" si="324"/>
        <v>24.01</v>
      </c>
      <c r="I5213" s="96">
        <f t="shared" si="324"/>
        <v>24.34</v>
      </c>
      <c r="J5213" s="91" t="str">
        <f t="shared" si="325"/>
        <v>Sinapi 89352</v>
      </c>
      <c r="K5213" s="91" t="str">
        <f t="shared" si="326"/>
        <v>UN</v>
      </c>
      <c r="L5213" s="166" t="str">
        <f t="shared" si="327"/>
        <v>08/2021</v>
      </c>
      <c r="M5213" s="82"/>
      <c r="N5213" s="82"/>
    </row>
    <row r="5214" spans="1:14" x14ac:dyDescent="0.25">
      <c r="A5214" s="170" t="s">
        <v>7955</v>
      </c>
      <c r="B5214" s="170" t="s">
        <v>14134</v>
      </c>
      <c r="C5214" s="170" t="s">
        <v>205</v>
      </c>
      <c r="D5214" s="170" t="s">
        <v>2067</v>
      </c>
      <c r="E5214" s="171" t="s">
        <v>19894</v>
      </c>
      <c r="F5214" s="171" t="s">
        <v>36765</v>
      </c>
      <c r="G5214" s="82"/>
      <c r="H5214" s="96">
        <f t="shared" si="324"/>
        <v>26.77</v>
      </c>
      <c r="I5214" s="96">
        <f t="shared" si="324"/>
        <v>27.29</v>
      </c>
      <c r="J5214" s="91" t="str">
        <f t="shared" si="325"/>
        <v>Sinapi 89353</v>
      </c>
      <c r="K5214" s="91" t="str">
        <f t="shared" si="326"/>
        <v>UN</v>
      </c>
      <c r="L5214" s="166" t="str">
        <f t="shared" si="327"/>
        <v>08/2021</v>
      </c>
      <c r="M5214" s="82"/>
      <c r="N5214" s="82"/>
    </row>
    <row r="5215" spans="1:14" x14ac:dyDescent="0.25">
      <c r="A5215" s="170" t="s">
        <v>7956</v>
      </c>
      <c r="B5215" s="170" t="s">
        <v>14135</v>
      </c>
      <c r="C5215" s="170" t="s">
        <v>205</v>
      </c>
      <c r="D5215" s="170" t="s">
        <v>2067</v>
      </c>
      <c r="E5215" s="171" t="s">
        <v>34084</v>
      </c>
      <c r="F5215" s="171" t="s">
        <v>37244</v>
      </c>
      <c r="G5215" s="82"/>
      <c r="H5215" s="96">
        <f t="shared" si="324"/>
        <v>346.32</v>
      </c>
      <c r="I5215" s="96">
        <f t="shared" si="324"/>
        <v>349.25</v>
      </c>
      <c r="J5215" s="91" t="str">
        <f t="shared" si="325"/>
        <v>Sinapi 89354</v>
      </c>
      <c r="K5215" s="91" t="str">
        <f t="shared" si="326"/>
        <v>UN</v>
      </c>
      <c r="L5215" s="166" t="str">
        <f t="shared" si="327"/>
        <v>08/2021</v>
      </c>
      <c r="M5215" s="82"/>
      <c r="N5215" s="82"/>
    </row>
    <row r="5216" spans="1:14" x14ac:dyDescent="0.25">
      <c r="A5216" s="170" t="s">
        <v>7957</v>
      </c>
      <c r="B5216" s="170" t="s">
        <v>7958</v>
      </c>
      <c r="C5216" s="170" t="s">
        <v>205</v>
      </c>
      <c r="D5216" s="170" t="s">
        <v>2067</v>
      </c>
      <c r="E5216" s="171" t="s">
        <v>34085</v>
      </c>
      <c r="F5216" s="171" t="s">
        <v>37245</v>
      </c>
      <c r="G5216" s="82"/>
      <c r="H5216" s="96">
        <f t="shared" si="324"/>
        <v>33.42</v>
      </c>
      <c r="I5216" s="96">
        <f t="shared" si="324"/>
        <v>34.51</v>
      </c>
      <c r="J5216" s="91" t="str">
        <f t="shared" si="325"/>
        <v>Sinapi 89969</v>
      </c>
      <c r="K5216" s="91" t="str">
        <f t="shared" si="326"/>
        <v>UN</v>
      </c>
      <c r="L5216" s="166" t="str">
        <f t="shared" si="327"/>
        <v>12/2014</v>
      </c>
      <c r="M5216" s="82"/>
      <c r="N5216" s="82"/>
    </row>
    <row r="5217" spans="1:14" x14ac:dyDescent="0.25">
      <c r="A5217" s="170" t="s">
        <v>7959</v>
      </c>
      <c r="B5217" s="170" t="s">
        <v>7960</v>
      </c>
      <c r="C5217" s="170" t="s">
        <v>205</v>
      </c>
      <c r="D5217" s="170" t="s">
        <v>2067</v>
      </c>
      <c r="E5217" s="171" t="s">
        <v>29331</v>
      </c>
      <c r="F5217" s="171" t="s">
        <v>37246</v>
      </c>
      <c r="G5217" s="82"/>
      <c r="H5217" s="96">
        <f t="shared" si="324"/>
        <v>35.26</v>
      </c>
      <c r="I5217" s="96">
        <f t="shared" si="324"/>
        <v>36.659999999999997</v>
      </c>
      <c r="J5217" s="91" t="str">
        <f t="shared" si="325"/>
        <v>Sinapi 89970</v>
      </c>
      <c r="K5217" s="91" t="str">
        <f t="shared" si="326"/>
        <v>UN</v>
      </c>
      <c r="L5217" s="166" t="str">
        <f t="shared" si="327"/>
        <v>12/2014</v>
      </c>
      <c r="M5217" s="82"/>
      <c r="N5217" s="82"/>
    </row>
    <row r="5218" spans="1:14" x14ac:dyDescent="0.25">
      <c r="A5218" s="170" t="s">
        <v>7961</v>
      </c>
      <c r="B5218" s="170" t="s">
        <v>7962</v>
      </c>
      <c r="C5218" s="170" t="s">
        <v>205</v>
      </c>
      <c r="D5218" s="170" t="s">
        <v>2067</v>
      </c>
      <c r="E5218" s="171" t="s">
        <v>23151</v>
      </c>
      <c r="F5218" s="171" t="s">
        <v>29211</v>
      </c>
      <c r="G5218" s="82"/>
      <c r="H5218" s="96">
        <f t="shared" si="324"/>
        <v>34.39</v>
      </c>
      <c r="I5218" s="96">
        <f t="shared" si="324"/>
        <v>35.479999999999997</v>
      </c>
      <c r="J5218" s="91" t="str">
        <f t="shared" si="325"/>
        <v>Sinapi 89971</v>
      </c>
      <c r="K5218" s="91" t="str">
        <f t="shared" si="326"/>
        <v>UN</v>
      </c>
      <c r="L5218" s="166" t="str">
        <f t="shared" si="327"/>
        <v>12/2014</v>
      </c>
      <c r="M5218" s="82"/>
      <c r="N5218" s="82"/>
    </row>
    <row r="5219" spans="1:14" x14ac:dyDescent="0.25">
      <c r="A5219" s="170" t="s">
        <v>7963</v>
      </c>
      <c r="B5219" s="170" t="s">
        <v>7964</v>
      </c>
      <c r="C5219" s="170" t="s">
        <v>205</v>
      </c>
      <c r="D5219" s="170" t="s">
        <v>2067</v>
      </c>
      <c r="E5219" s="171" t="s">
        <v>27094</v>
      </c>
      <c r="F5219" s="171" t="s">
        <v>37247</v>
      </c>
      <c r="G5219" s="82"/>
      <c r="H5219" s="96">
        <f t="shared" si="324"/>
        <v>38.89</v>
      </c>
      <c r="I5219" s="96">
        <f t="shared" si="324"/>
        <v>40.29</v>
      </c>
      <c r="J5219" s="91" t="str">
        <f t="shared" si="325"/>
        <v>Sinapi 89972</v>
      </c>
      <c r="K5219" s="91" t="str">
        <f t="shared" si="326"/>
        <v>UN</v>
      </c>
      <c r="L5219" s="166" t="str">
        <f t="shared" si="327"/>
        <v>12/2014</v>
      </c>
      <c r="M5219" s="82"/>
      <c r="N5219" s="82"/>
    </row>
    <row r="5220" spans="1:14" x14ac:dyDescent="0.25">
      <c r="A5220" s="170" t="s">
        <v>7965</v>
      </c>
      <c r="B5220" s="170" t="s">
        <v>7966</v>
      </c>
      <c r="C5220" s="170" t="s">
        <v>205</v>
      </c>
      <c r="D5220" s="170" t="s">
        <v>2067</v>
      </c>
      <c r="E5220" s="171" t="s">
        <v>34086</v>
      </c>
      <c r="F5220" s="171" t="s">
        <v>37248</v>
      </c>
      <c r="G5220" s="82"/>
      <c r="H5220" s="96">
        <f t="shared" si="324"/>
        <v>581.29999999999995</v>
      </c>
      <c r="I5220" s="96">
        <f t="shared" si="324"/>
        <v>590.53</v>
      </c>
      <c r="J5220" s="91" t="str">
        <f t="shared" si="325"/>
        <v>Sinapi 89973</v>
      </c>
      <c r="K5220" s="91" t="str">
        <f t="shared" si="326"/>
        <v>UN</v>
      </c>
      <c r="L5220" s="166" t="str">
        <f t="shared" si="327"/>
        <v>12/2014</v>
      </c>
      <c r="M5220" s="82"/>
      <c r="N5220" s="82"/>
    </row>
    <row r="5221" spans="1:14" x14ac:dyDescent="0.25">
      <c r="A5221" s="170" t="s">
        <v>7967</v>
      </c>
      <c r="B5221" s="170" t="s">
        <v>7968</v>
      </c>
      <c r="C5221" s="170" t="s">
        <v>205</v>
      </c>
      <c r="D5221" s="170" t="s">
        <v>2067</v>
      </c>
      <c r="E5221" s="171" t="s">
        <v>34087</v>
      </c>
      <c r="F5221" s="171" t="s">
        <v>32857</v>
      </c>
      <c r="G5221" s="82"/>
      <c r="H5221" s="96">
        <f t="shared" si="324"/>
        <v>300.29000000000002</v>
      </c>
      <c r="I5221" s="96">
        <f t="shared" si="324"/>
        <v>308.06</v>
      </c>
      <c r="J5221" s="91" t="str">
        <f t="shared" si="325"/>
        <v>Sinapi 89974</v>
      </c>
      <c r="K5221" s="91" t="str">
        <f t="shared" si="326"/>
        <v>UN</v>
      </c>
      <c r="L5221" s="166" t="str">
        <f t="shared" si="327"/>
        <v>12/2014</v>
      </c>
      <c r="M5221" s="82"/>
      <c r="N5221" s="82"/>
    </row>
    <row r="5222" spans="1:14" x14ac:dyDescent="0.25">
      <c r="A5222" s="170" t="s">
        <v>7969</v>
      </c>
      <c r="B5222" s="170" t="s">
        <v>14136</v>
      </c>
      <c r="C5222" s="170" t="s">
        <v>205</v>
      </c>
      <c r="D5222" s="170" t="s">
        <v>2067</v>
      </c>
      <c r="E5222" s="171" t="s">
        <v>28581</v>
      </c>
      <c r="F5222" s="171" t="s">
        <v>29418</v>
      </c>
      <c r="G5222" s="82"/>
      <c r="H5222" s="96">
        <f t="shared" si="324"/>
        <v>56.75</v>
      </c>
      <c r="I5222" s="96">
        <f t="shared" si="324"/>
        <v>57.62</v>
      </c>
      <c r="J5222" s="91" t="str">
        <f t="shared" si="325"/>
        <v>Sinapi 89984</v>
      </c>
      <c r="K5222" s="91" t="str">
        <f t="shared" si="326"/>
        <v>UN</v>
      </c>
      <c r="L5222" s="166" t="str">
        <f t="shared" si="327"/>
        <v>08/2021</v>
      </c>
      <c r="M5222" s="82"/>
      <c r="N5222" s="82"/>
    </row>
    <row r="5223" spans="1:14" x14ac:dyDescent="0.25">
      <c r="A5223" s="170" t="s">
        <v>7970</v>
      </c>
      <c r="B5223" s="170" t="s">
        <v>14137</v>
      </c>
      <c r="C5223" s="170" t="s">
        <v>205</v>
      </c>
      <c r="D5223" s="170" t="s">
        <v>2067</v>
      </c>
      <c r="E5223" s="171" t="s">
        <v>28777</v>
      </c>
      <c r="F5223" s="171" t="s">
        <v>31201</v>
      </c>
      <c r="G5223" s="82"/>
      <c r="H5223" s="96">
        <f t="shared" si="324"/>
        <v>60.03</v>
      </c>
      <c r="I5223" s="96">
        <f t="shared" si="324"/>
        <v>61.07</v>
      </c>
      <c r="J5223" s="91" t="str">
        <f t="shared" si="325"/>
        <v>Sinapi 89985</v>
      </c>
      <c r="K5223" s="91" t="str">
        <f t="shared" si="326"/>
        <v>UN</v>
      </c>
      <c r="L5223" s="166" t="str">
        <f t="shared" si="327"/>
        <v>08/2021</v>
      </c>
      <c r="M5223" s="82"/>
      <c r="N5223" s="82"/>
    </row>
    <row r="5224" spans="1:14" x14ac:dyDescent="0.25">
      <c r="A5224" s="170" t="s">
        <v>7971</v>
      </c>
      <c r="B5224" s="170" t="s">
        <v>14138</v>
      </c>
      <c r="C5224" s="170" t="s">
        <v>205</v>
      </c>
      <c r="D5224" s="170" t="s">
        <v>2067</v>
      </c>
      <c r="E5224" s="171" t="s">
        <v>31944</v>
      </c>
      <c r="F5224" s="171" t="s">
        <v>33450</v>
      </c>
      <c r="G5224" s="82"/>
      <c r="H5224" s="96">
        <f t="shared" si="324"/>
        <v>55.36</v>
      </c>
      <c r="I5224" s="96">
        <f t="shared" si="324"/>
        <v>56.23</v>
      </c>
      <c r="J5224" s="91" t="str">
        <f t="shared" si="325"/>
        <v>Sinapi 89986</v>
      </c>
      <c r="K5224" s="91" t="str">
        <f t="shared" si="326"/>
        <v>UN</v>
      </c>
      <c r="L5224" s="166" t="str">
        <f t="shared" si="327"/>
        <v>08/2021</v>
      </c>
      <c r="M5224" s="82"/>
      <c r="N5224" s="82"/>
    </row>
    <row r="5225" spans="1:14" x14ac:dyDescent="0.25">
      <c r="A5225" s="170" t="s">
        <v>7972</v>
      </c>
      <c r="B5225" s="170" t="s">
        <v>14139</v>
      </c>
      <c r="C5225" s="170" t="s">
        <v>205</v>
      </c>
      <c r="D5225" s="170" t="s">
        <v>2067</v>
      </c>
      <c r="E5225" s="171" t="s">
        <v>19925</v>
      </c>
      <c r="F5225" s="171" t="s">
        <v>37249</v>
      </c>
      <c r="G5225" s="82"/>
      <c r="H5225" s="96">
        <f t="shared" si="324"/>
        <v>63.09</v>
      </c>
      <c r="I5225" s="96">
        <f t="shared" si="324"/>
        <v>64.13</v>
      </c>
      <c r="J5225" s="91" t="str">
        <f t="shared" si="325"/>
        <v>Sinapi 89987</v>
      </c>
      <c r="K5225" s="91" t="str">
        <f t="shared" si="326"/>
        <v>UN</v>
      </c>
      <c r="L5225" s="166" t="str">
        <f t="shared" si="327"/>
        <v>08/2021</v>
      </c>
      <c r="M5225" s="82"/>
      <c r="N5225" s="82"/>
    </row>
    <row r="5226" spans="1:14" x14ac:dyDescent="0.25">
      <c r="A5226" s="170" t="s">
        <v>7973</v>
      </c>
      <c r="B5226" s="170" t="s">
        <v>14140</v>
      </c>
      <c r="C5226" s="170" t="s">
        <v>205</v>
      </c>
      <c r="D5226" s="170" t="s">
        <v>2067</v>
      </c>
      <c r="E5226" s="171" t="s">
        <v>21199</v>
      </c>
      <c r="F5226" s="171" t="s">
        <v>21178</v>
      </c>
      <c r="G5226" s="82"/>
      <c r="H5226" s="96">
        <f t="shared" si="324"/>
        <v>24.35</v>
      </c>
      <c r="I5226" s="96">
        <f t="shared" si="324"/>
        <v>24.87</v>
      </c>
      <c r="J5226" s="91" t="str">
        <f t="shared" si="325"/>
        <v>Sinapi 90371</v>
      </c>
      <c r="K5226" s="91" t="str">
        <f t="shared" si="326"/>
        <v>UN</v>
      </c>
      <c r="L5226" s="166" t="str">
        <f t="shared" si="327"/>
        <v>08/2021</v>
      </c>
      <c r="M5226" s="82"/>
      <c r="N5226" s="82"/>
    </row>
    <row r="5227" spans="1:14" x14ac:dyDescent="0.25">
      <c r="A5227" s="170" t="s">
        <v>7974</v>
      </c>
      <c r="B5227" s="170" t="s">
        <v>14141</v>
      </c>
      <c r="C5227" s="170" t="s">
        <v>205</v>
      </c>
      <c r="D5227" s="170" t="s">
        <v>2067</v>
      </c>
      <c r="E5227" s="171" t="s">
        <v>34088</v>
      </c>
      <c r="F5227" s="171" t="s">
        <v>37250</v>
      </c>
      <c r="G5227" s="82"/>
      <c r="H5227" s="96">
        <f t="shared" si="324"/>
        <v>25.01</v>
      </c>
      <c r="I5227" s="96">
        <f t="shared" si="324"/>
        <v>25.38</v>
      </c>
      <c r="J5227" s="91" t="str">
        <f t="shared" si="325"/>
        <v>Sinapi 94489</v>
      </c>
      <c r="K5227" s="91" t="str">
        <f t="shared" si="326"/>
        <v>UN</v>
      </c>
      <c r="L5227" s="166" t="str">
        <f t="shared" si="327"/>
        <v>08/2021</v>
      </c>
      <c r="M5227" s="82"/>
      <c r="N5227" s="82"/>
    </row>
    <row r="5228" spans="1:14" x14ac:dyDescent="0.25">
      <c r="A5228" s="170" t="s">
        <v>7975</v>
      </c>
      <c r="B5228" s="170" t="s">
        <v>14142</v>
      </c>
      <c r="C5228" s="170" t="s">
        <v>205</v>
      </c>
      <c r="D5228" s="170" t="s">
        <v>2067</v>
      </c>
      <c r="E5228" s="171" t="s">
        <v>19370</v>
      </c>
      <c r="F5228" s="171" t="s">
        <v>28813</v>
      </c>
      <c r="G5228" s="82"/>
      <c r="H5228" s="96">
        <f t="shared" si="324"/>
        <v>36.700000000000003</v>
      </c>
      <c r="I5228" s="96">
        <f t="shared" si="324"/>
        <v>37.07</v>
      </c>
      <c r="J5228" s="91" t="str">
        <f t="shared" si="325"/>
        <v>Sinapi 94490</v>
      </c>
      <c r="K5228" s="91" t="str">
        <f t="shared" si="326"/>
        <v>UN</v>
      </c>
      <c r="L5228" s="166" t="str">
        <f t="shared" si="327"/>
        <v>08/2021</v>
      </c>
      <c r="M5228" s="82"/>
      <c r="N5228" s="82"/>
    </row>
    <row r="5229" spans="1:14" x14ac:dyDescent="0.25">
      <c r="A5229" s="170" t="s">
        <v>7976</v>
      </c>
      <c r="B5229" s="170" t="s">
        <v>14143</v>
      </c>
      <c r="C5229" s="170" t="s">
        <v>205</v>
      </c>
      <c r="D5229" s="170" t="s">
        <v>2067</v>
      </c>
      <c r="E5229" s="171" t="s">
        <v>29212</v>
      </c>
      <c r="F5229" s="171" t="s">
        <v>32428</v>
      </c>
      <c r="G5229" s="82"/>
      <c r="H5229" s="96">
        <f t="shared" si="324"/>
        <v>50.3</v>
      </c>
      <c r="I5229" s="96">
        <f t="shared" si="324"/>
        <v>50.84</v>
      </c>
      <c r="J5229" s="91" t="str">
        <f t="shared" si="325"/>
        <v>Sinapi 94491</v>
      </c>
      <c r="K5229" s="91" t="str">
        <f t="shared" si="326"/>
        <v>UN</v>
      </c>
      <c r="L5229" s="166" t="str">
        <f t="shared" si="327"/>
        <v>08/2021</v>
      </c>
      <c r="M5229" s="82"/>
      <c r="N5229" s="82"/>
    </row>
    <row r="5230" spans="1:14" x14ac:dyDescent="0.25">
      <c r="A5230" s="170" t="s">
        <v>7977</v>
      </c>
      <c r="B5230" s="170" t="s">
        <v>14144</v>
      </c>
      <c r="C5230" s="170" t="s">
        <v>205</v>
      </c>
      <c r="D5230" s="170" t="s">
        <v>2067</v>
      </c>
      <c r="E5230" s="171" t="s">
        <v>31945</v>
      </c>
      <c r="F5230" s="171" t="s">
        <v>28784</v>
      </c>
      <c r="G5230" s="82"/>
      <c r="H5230" s="96">
        <f t="shared" si="324"/>
        <v>51.68</v>
      </c>
      <c r="I5230" s="96">
        <f t="shared" si="324"/>
        <v>52.22</v>
      </c>
      <c r="J5230" s="91" t="str">
        <f t="shared" si="325"/>
        <v>Sinapi 94492</v>
      </c>
      <c r="K5230" s="91" t="str">
        <f t="shared" si="326"/>
        <v>UN</v>
      </c>
      <c r="L5230" s="166" t="str">
        <f t="shared" si="327"/>
        <v>08/2021</v>
      </c>
      <c r="M5230" s="82"/>
      <c r="N5230" s="82"/>
    </row>
    <row r="5231" spans="1:14" x14ac:dyDescent="0.25">
      <c r="A5231" s="170" t="s">
        <v>7978</v>
      </c>
      <c r="B5231" s="170" t="s">
        <v>14145</v>
      </c>
      <c r="C5231" s="170" t="s">
        <v>205</v>
      </c>
      <c r="D5231" s="170" t="s">
        <v>2067</v>
      </c>
      <c r="E5231" s="171" t="s">
        <v>34089</v>
      </c>
      <c r="F5231" s="171" t="s">
        <v>21055</v>
      </c>
      <c r="G5231" s="82"/>
      <c r="H5231" s="96">
        <f t="shared" si="324"/>
        <v>95</v>
      </c>
      <c r="I5231" s="96">
        <f t="shared" si="324"/>
        <v>95.87</v>
      </c>
      <c r="J5231" s="91" t="str">
        <f t="shared" si="325"/>
        <v>Sinapi 94493</v>
      </c>
      <c r="K5231" s="91" t="str">
        <f t="shared" si="326"/>
        <v>UN</v>
      </c>
      <c r="L5231" s="166" t="str">
        <f t="shared" si="327"/>
        <v>08/2021</v>
      </c>
      <c r="M5231" s="82"/>
      <c r="N5231" s="82"/>
    </row>
    <row r="5232" spans="1:14" x14ac:dyDescent="0.25">
      <c r="A5232" s="170" t="s">
        <v>7979</v>
      </c>
      <c r="B5232" s="170" t="s">
        <v>14146</v>
      </c>
      <c r="C5232" s="170" t="s">
        <v>205</v>
      </c>
      <c r="D5232" s="170" t="s">
        <v>2067</v>
      </c>
      <c r="E5232" s="171" t="s">
        <v>34090</v>
      </c>
      <c r="F5232" s="171" t="s">
        <v>33519</v>
      </c>
      <c r="G5232" s="82"/>
      <c r="H5232" s="96">
        <f t="shared" si="324"/>
        <v>41.13</v>
      </c>
      <c r="I5232" s="96">
        <f t="shared" si="324"/>
        <v>41.84</v>
      </c>
      <c r="J5232" s="91" t="str">
        <f t="shared" si="325"/>
        <v>Sinapi 94495</v>
      </c>
      <c r="K5232" s="91" t="str">
        <f t="shared" si="326"/>
        <v>UN</v>
      </c>
      <c r="L5232" s="166" t="str">
        <f t="shared" si="327"/>
        <v>08/2021</v>
      </c>
      <c r="M5232" s="82"/>
      <c r="N5232" s="82"/>
    </row>
    <row r="5233" spans="1:14" x14ac:dyDescent="0.25">
      <c r="A5233" s="170" t="s">
        <v>7980</v>
      </c>
      <c r="B5233" s="170" t="s">
        <v>14147</v>
      </c>
      <c r="C5233" s="170" t="s">
        <v>205</v>
      </c>
      <c r="D5233" s="170" t="s">
        <v>2067</v>
      </c>
      <c r="E5233" s="171" t="s">
        <v>34091</v>
      </c>
      <c r="F5233" s="171" t="s">
        <v>20633</v>
      </c>
      <c r="G5233" s="82"/>
      <c r="H5233" s="96">
        <f t="shared" si="324"/>
        <v>56.05</v>
      </c>
      <c r="I5233" s="96">
        <f t="shared" si="324"/>
        <v>57.01</v>
      </c>
      <c r="J5233" s="91" t="str">
        <f t="shared" si="325"/>
        <v>Sinapi 94496</v>
      </c>
      <c r="K5233" s="91" t="str">
        <f t="shared" si="326"/>
        <v>UN</v>
      </c>
      <c r="L5233" s="166" t="str">
        <f t="shared" si="327"/>
        <v>08/2021</v>
      </c>
      <c r="M5233" s="82"/>
      <c r="N5233" s="82"/>
    </row>
    <row r="5234" spans="1:14" x14ac:dyDescent="0.25">
      <c r="A5234" s="170" t="s">
        <v>7981</v>
      </c>
      <c r="B5234" s="170" t="s">
        <v>14148</v>
      </c>
      <c r="C5234" s="170" t="s">
        <v>205</v>
      </c>
      <c r="D5234" s="170" t="s">
        <v>2067</v>
      </c>
      <c r="E5234" s="171" t="s">
        <v>29206</v>
      </c>
      <c r="F5234" s="171" t="s">
        <v>35349</v>
      </c>
      <c r="G5234" s="82"/>
      <c r="H5234" s="96">
        <f t="shared" si="324"/>
        <v>71.06</v>
      </c>
      <c r="I5234" s="96">
        <f t="shared" si="324"/>
        <v>72.31</v>
      </c>
      <c r="J5234" s="91" t="str">
        <f t="shared" si="325"/>
        <v>Sinapi 94497</v>
      </c>
      <c r="K5234" s="91" t="str">
        <f t="shared" si="326"/>
        <v>UN</v>
      </c>
      <c r="L5234" s="166" t="str">
        <f t="shared" si="327"/>
        <v>08/2021</v>
      </c>
      <c r="M5234" s="82"/>
      <c r="N5234" s="82"/>
    </row>
    <row r="5235" spans="1:14" x14ac:dyDescent="0.25">
      <c r="A5235" s="170" t="s">
        <v>7982</v>
      </c>
      <c r="B5235" s="170" t="s">
        <v>14149</v>
      </c>
      <c r="C5235" s="170" t="s">
        <v>205</v>
      </c>
      <c r="D5235" s="170" t="s">
        <v>2067</v>
      </c>
      <c r="E5235" s="171" t="s">
        <v>34092</v>
      </c>
      <c r="F5235" s="171" t="s">
        <v>37251</v>
      </c>
      <c r="G5235" s="82"/>
      <c r="H5235" s="96">
        <f t="shared" si="324"/>
        <v>97.84</v>
      </c>
      <c r="I5235" s="96">
        <f t="shared" si="324"/>
        <v>99.44</v>
      </c>
      <c r="J5235" s="91" t="str">
        <f t="shared" si="325"/>
        <v>Sinapi 94498</v>
      </c>
      <c r="K5235" s="91" t="str">
        <f t="shared" si="326"/>
        <v>UN</v>
      </c>
      <c r="L5235" s="166" t="str">
        <f t="shared" si="327"/>
        <v>08/2021</v>
      </c>
      <c r="M5235" s="82"/>
      <c r="N5235" s="82"/>
    </row>
    <row r="5236" spans="1:14" x14ac:dyDescent="0.25">
      <c r="A5236" s="170" t="s">
        <v>7983</v>
      </c>
      <c r="B5236" s="170" t="s">
        <v>14150</v>
      </c>
      <c r="C5236" s="170" t="s">
        <v>205</v>
      </c>
      <c r="D5236" s="170" t="s">
        <v>2067</v>
      </c>
      <c r="E5236" s="171" t="s">
        <v>34093</v>
      </c>
      <c r="F5236" s="171" t="s">
        <v>29458</v>
      </c>
      <c r="G5236" s="82"/>
      <c r="H5236" s="96">
        <f t="shared" si="324"/>
        <v>192.28</v>
      </c>
      <c r="I5236" s="96">
        <f t="shared" si="324"/>
        <v>194.42</v>
      </c>
      <c r="J5236" s="91" t="str">
        <f t="shared" si="325"/>
        <v>Sinapi 94499</v>
      </c>
      <c r="K5236" s="91" t="str">
        <f t="shared" si="326"/>
        <v>UN</v>
      </c>
      <c r="L5236" s="166" t="str">
        <f t="shared" si="327"/>
        <v>08/2021</v>
      </c>
      <c r="M5236" s="82"/>
      <c r="N5236" s="82"/>
    </row>
    <row r="5237" spans="1:14" x14ac:dyDescent="0.25">
      <c r="A5237" s="170" t="s">
        <v>7984</v>
      </c>
      <c r="B5237" s="170" t="s">
        <v>14151</v>
      </c>
      <c r="C5237" s="170" t="s">
        <v>205</v>
      </c>
      <c r="D5237" s="170" t="s">
        <v>2067</v>
      </c>
      <c r="E5237" s="171" t="s">
        <v>34094</v>
      </c>
      <c r="F5237" s="171" t="s">
        <v>29199</v>
      </c>
      <c r="G5237" s="82"/>
      <c r="H5237" s="96">
        <f t="shared" si="324"/>
        <v>233.55</v>
      </c>
      <c r="I5237" s="96">
        <f t="shared" si="324"/>
        <v>236.23</v>
      </c>
      <c r="J5237" s="91" t="str">
        <f t="shared" si="325"/>
        <v>Sinapi 94500</v>
      </c>
      <c r="K5237" s="91" t="str">
        <f t="shared" si="326"/>
        <v>UN</v>
      </c>
      <c r="L5237" s="166" t="str">
        <f t="shared" si="327"/>
        <v>08/2021</v>
      </c>
      <c r="M5237" s="82"/>
      <c r="N5237" s="82"/>
    </row>
    <row r="5238" spans="1:14" x14ac:dyDescent="0.25">
      <c r="A5238" s="170" t="s">
        <v>7985</v>
      </c>
      <c r="B5238" s="170" t="s">
        <v>14152</v>
      </c>
      <c r="C5238" s="170" t="s">
        <v>205</v>
      </c>
      <c r="D5238" s="170" t="s">
        <v>2067</v>
      </c>
      <c r="E5238" s="171" t="s">
        <v>34095</v>
      </c>
      <c r="F5238" s="171" t="s">
        <v>37252</v>
      </c>
      <c r="G5238" s="82"/>
      <c r="H5238" s="96">
        <f t="shared" si="324"/>
        <v>467.04</v>
      </c>
      <c r="I5238" s="96">
        <f t="shared" si="324"/>
        <v>470.45</v>
      </c>
      <c r="J5238" s="91" t="str">
        <f t="shared" si="325"/>
        <v>Sinapi 94501</v>
      </c>
      <c r="K5238" s="91" t="str">
        <f t="shared" si="326"/>
        <v>UN</v>
      </c>
      <c r="L5238" s="166" t="str">
        <f t="shared" si="327"/>
        <v>08/2021</v>
      </c>
      <c r="M5238" s="82"/>
      <c r="N5238" s="82"/>
    </row>
    <row r="5239" spans="1:14" x14ac:dyDescent="0.25">
      <c r="A5239" s="170" t="s">
        <v>7986</v>
      </c>
      <c r="B5239" s="170" t="s">
        <v>14153</v>
      </c>
      <c r="C5239" s="170" t="s">
        <v>205</v>
      </c>
      <c r="D5239" s="170" t="s">
        <v>2067</v>
      </c>
      <c r="E5239" s="171" t="s">
        <v>34096</v>
      </c>
      <c r="F5239" s="171" t="s">
        <v>37253</v>
      </c>
      <c r="G5239" s="82"/>
      <c r="H5239" s="96">
        <f t="shared" si="324"/>
        <v>76.77</v>
      </c>
      <c r="I5239" s="96">
        <f t="shared" si="324"/>
        <v>77.989999999999995</v>
      </c>
      <c r="J5239" s="91" t="str">
        <f t="shared" si="325"/>
        <v>Sinapi 94792</v>
      </c>
      <c r="K5239" s="91" t="str">
        <f t="shared" si="326"/>
        <v>UN</v>
      </c>
      <c r="L5239" s="166" t="str">
        <f t="shared" si="327"/>
        <v>08/2021</v>
      </c>
      <c r="M5239" s="82"/>
      <c r="N5239" s="82"/>
    </row>
    <row r="5240" spans="1:14" x14ac:dyDescent="0.25">
      <c r="A5240" s="170" t="s">
        <v>7987</v>
      </c>
      <c r="B5240" s="170" t="s">
        <v>14154</v>
      </c>
      <c r="C5240" s="170" t="s">
        <v>205</v>
      </c>
      <c r="D5240" s="170" t="s">
        <v>2067</v>
      </c>
      <c r="E5240" s="171" t="s">
        <v>34097</v>
      </c>
      <c r="F5240" s="171" t="s">
        <v>37254</v>
      </c>
      <c r="G5240" s="82"/>
      <c r="H5240" s="96">
        <f t="shared" si="324"/>
        <v>104.75</v>
      </c>
      <c r="I5240" s="96">
        <f t="shared" si="324"/>
        <v>106.22</v>
      </c>
      <c r="J5240" s="91" t="str">
        <f t="shared" si="325"/>
        <v>Sinapi 94793</v>
      </c>
      <c r="K5240" s="91" t="str">
        <f t="shared" si="326"/>
        <v>UN</v>
      </c>
      <c r="L5240" s="166" t="str">
        <f t="shared" si="327"/>
        <v>08/2021</v>
      </c>
      <c r="M5240" s="82"/>
      <c r="N5240" s="82"/>
    </row>
    <row r="5241" spans="1:14" x14ac:dyDescent="0.25">
      <c r="A5241" s="170" t="s">
        <v>7988</v>
      </c>
      <c r="B5241" s="170" t="s">
        <v>14155</v>
      </c>
      <c r="C5241" s="170" t="s">
        <v>205</v>
      </c>
      <c r="D5241" s="170" t="s">
        <v>2067</v>
      </c>
      <c r="E5241" s="171" t="s">
        <v>34098</v>
      </c>
      <c r="F5241" s="171" t="s">
        <v>37255</v>
      </c>
      <c r="G5241" s="82"/>
      <c r="H5241" s="96">
        <f t="shared" si="324"/>
        <v>111.51</v>
      </c>
      <c r="I5241" s="96">
        <f t="shared" si="324"/>
        <v>113.29</v>
      </c>
      <c r="J5241" s="91" t="str">
        <f t="shared" si="325"/>
        <v>Sinapi 94794</v>
      </c>
      <c r="K5241" s="91" t="str">
        <f t="shared" si="326"/>
        <v>UN</v>
      </c>
      <c r="L5241" s="166" t="str">
        <f t="shared" si="327"/>
        <v>08/2021</v>
      </c>
      <c r="M5241" s="82"/>
      <c r="N5241" s="82"/>
    </row>
    <row r="5242" spans="1:14" x14ac:dyDescent="0.25">
      <c r="A5242" s="170" t="s">
        <v>7989</v>
      </c>
      <c r="B5242" s="170" t="s">
        <v>14156</v>
      </c>
      <c r="C5242" s="170" t="s">
        <v>205</v>
      </c>
      <c r="D5242" s="170" t="s">
        <v>2067</v>
      </c>
      <c r="E5242" s="171" t="s">
        <v>21125</v>
      </c>
      <c r="F5242" s="171" t="s">
        <v>37256</v>
      </c>
      <c r="G5242" s="82"/>
      <c r="H5242" s="96">
        <f t="shared" si="324"/>
        <v>33.67</v>
      </c>
      <c r="I5242" s="96">
        <f t="shared" si="324"/>
        <v>34.26</v>
      </c>
      <c r="J5242" s="91" t="str">
        <f t="shared" si="325"/>
        <v>Sinapi 94795</v>
      </c>
      <c r="K5242" s="91" t="str">
        <f t="shared" si="326"/>
        <v>UN</v>
      </c>
      <c r="L5242" s="166" t="str">
        <f t="shared" si="327"/>
        <v>08/2021</v>
      </c>
      <c r="M5242" s="82"/>
      <c r="N5242" s="82"/>
    </row>
    <row r="5243" spans="1:14" x14ac:dyDescent="0.25">
      <c r="A5243" s="170" t="s">
        <v>7990</v>
      </c>
      <c r="B5243" s="170" t="s">
        <v>14157</v>
      </c>
      <c r="C5243" s="170" t="s">
        <v>205</v>
      </c>
      <c r="D5243" s="170" t="s">
        <v>2067</v>
      </c>
      <c r="E5243" s="171" t="s">
        <v>30033</v>
      </c>
      <c r="F5243" s="171" t="s">
        <v>21040</v>
      </c>
      <c r="G5243" s="82"/>
      <c r="H5243" s="96">
        <f t="shared" si="324"/>
        <v>38.69</v>
      </c>
      <c r="I5243" s="96">
        <f t="shared" si="324"/>
        <v>39.58</v>
      </c>
      <c r="J5243" s="91" t="str">
        <f t="shared" si="325"/>
        <v>Sinapi 94796</v>
      </c>
      <c r="K5243" s="91" t="str">
        <f t="shared" si="326"/>
        <v>UN</v>
      </c>
      <c r="L5243" s="166" t="str">
        <f t="shared" si="327"/>
        <v>08/2021</v>
      </c>
      <c r="M5243" s="82"/>
      <c r="N5243" s="82"/>
    </row>
    <row r="5244" spans="1:14" x14ac:dyDescent="0.25">
      <c r="A5244" s="170" t="s">
        <v>7991</v>
      </c>
      <c r="B5244" s="170" t="s">
        <v>14158</v>
      </c>
      <c r="C5244" s="170" t="s">
        <v>205</v>
      </c>
      <c r="D5244" s="170" t="s">
        <v>2067</v>
      </c>
      <c r="E5244" s="171" t="s">
        <v>29406</v>
      </c>
      <c r="F5244" s="171" t="s">
        <v>37257</v>
      </c>
      <c r="G5244" s="82"/>
      <c r="H5244" s="96">
        <f t="shared" si="324"/>
        <v>79.89</v>
      </c>
      <c r="I5244" s="96">
        <f t="shared" si="324"/>
        <v>81.099999999999994</v>
      </c>
      <c r="J5244" s="91" t="str">
        <f t="shared" si="325"/>
        <v>Sinapi 94797</v>
      </c>
      <c r="K5244" s="91" t="str">
        <f t="shared" si="326"/>
        <v>UN</v>
      </c>
      <c r="L5244" s="166" t="str">
        <f t="shared" si="327"/>
        <v>08/2021</v>
      </c>
      <c r="M5244" s="82"/>
      <c r="N5244" s="82"/>
    </row>
    <row r="5245" spans="1:14" x14ac:dyDescent="0.25">
      <c r="A5245" s="170" t="s">
        <v>7992</v>
      </c>
      <c r="B5245" s="170" t="s">
        <v>14159</v>
      </c>
      <c r="C5245" s="170" t="s">
        <v>205</v>
      </c>
      <c r="D5245" s="170" t="s">
        <v>2067</v>
      </c>
      <c r="E5245" s="171" t="s">
        <v>34099</v>
      </c>
      <c r="F5245" s="171" t="s">
        <v>29237</v>
      </c>
      <c r="G5245" s="82"/>
      <c r="H5245" s="96">
        <f t="shared" si="324"/>
        <v>132.41999999999999</v>
      </c>
      <c r="I5245" s="96">
        <f t="shared" si="324"/>
        <v>134.07</v>
      </c>
      <c r="J5245" s="91" t="str">
        <f t="shared" si="325"/>
        <v>Sinapi 94798</v>
      </c>
      <c r="K5245" s="91" t="str">
        <f t="shared" si="326"/>
        <v>UN</v>
      </c>
      <c r="L5245" s="166" t="str">
        <f t="shared" si="327"/>
        <v>08/2021</v>
      </c>
      <c r="M5245" s="82"/>
      <c r="N5245" s="82"/>
    </row>
    <row r="5246" spans="1:14" x14ac:dyDescent="0.25">
      <c r="A5246" s="170" t="s">
        <v>7993</v>
      </c>
      <c r="B5246" s="170" t="s">
        <v>14160</v>
      </c>
      <c r="C5246" s="170" t="s">
        <v>205</v>
      </c>
      <c r="D5246" s="170" t="s">
        <v>2067</v>
      </c>
      <c r="E5246" s="171" t="s">
        <v>32225</v>
      </c>
      <c r="F5246" s="171" t="s">
        <v>37258</v>
      </c>
      <c r="G5246" s="82"/>
      <c r="H5246" s="96">
        <f t="shared" si="324"/>
        <v>162.6</v>
      </c>
      <c r="I5246" s="96">
        <f t="shared" si="324"/>
        <v>164.74</v>
      </c>
      <c r="J5246" s="91" t="str">
        <f t="shared" si="325"/>
        <v>Sinapi 94799</v>
      </c>
      <c r="K5246" s="91" t="str">
        <f t="shared" si="326"/>
        <v>UN</v>
      </c>
      <c r="L5246" s="166" t="str">
        <f t="shared" si="327"/>
        <v>08/2021</v>
      </c>
      <c r="M5246" s="82"/>
      <c r="N5246" s="82"/>
    </row>
    <row r="5247" spans="1:14" x14ac:dyDescent="0.25">
      <c r="A5247" s="170" t="s">
        <v>7994</v>
      </c>
      <c r="B5247" s="170" t="s">
        <v>14161</v>
      </c>
      <c r="C5247" s="170" t="s">
        <v>205</v>
      </c>
      <c r="D5247" s="170" t="s">
        <v>2067</v>
      </c>
      <c r="E5247" s="171" t="s">
        <v>34100</v>
      </c>
      <c r="F5247" s="171" t="s">
        <v>37259</v>
      </c>
      <c r="G5247" s="82"/>
      <c r="H5247" s="96">
        <f t="shared" si="324"/>
        <v>208.76</v>
      </c>
      <c r="I5247" s="96">
        <f t="shared" si="324"/>
        <v>211.53</v>
      </c>
      <c r="J5247" s="91" t="str">
        <f t="shared" si="325"/>
        <v>Sinapi 94800</v>
      </c>
      <c r="K5247" s="91" t="str">
        <f t="shared" si="326"/>
        <v>UN</v>
      </c>
      <c r="L5247" s="166" t="str">
        <f t="shared" si="327"/>
        <v>08/2021</v>
      </c>
      <c r="M5247" s="82"/>
      <c r="N5247" s="82"/>
    </row>
    <row r="5248" spans="1:14" x14ac:dyDescent="0.25">
      <c r="A5248" s="170" t="s">
        <v>7995</v>
      </c>
      <c r="B5248" s="170" t="s">
        <v>14162</v>
      </c>
      <c r="C5248" s="170" t="s">
        <v>205</v>
      </c>
      <c r="D5248" s="170" t="s">
        <v>2067</v>
      </c>
      <c r="E5248" s="171" t="s">
        <v>15720</v>
      </c>
      <c r="F5248" s="171" t="s">
        <v>22976</v>
      </c>
      <c r="G5248" s="82"/>
      <c r="H5248" s="96">
        <f t="shared" si="324"/>
        <v>34.44</v>
      </c>
      <c r="I5248" s="96">
        <f t="shared" si="324"/>
        <v>34.770000000000003</v>
      </c>
      <c r="J5248" s="91" t="str">
        <f t="shared" si="325"/>
        <v>Sinapi 95248</v>
      </c>
      <c r="K5248" s="91" t="str">
        <f t="shared" si="326"/>
        <v>UN</v>
      </c>
      <c r="L5248" s="166" t="str">
        <f t="shared" si="327"/>
        <v>08/2021</v>
      </c>
      <c r="M5248" s="82"/>
      <c r="N5248" s="82"/>
    </row>
    <row r="5249" spans="1:14" x14ac:dyDescent="0.25">
      <c r="A5249" s="170" t="s">
        <v>7996</v>
      </c>
      <c r="B5249" s="170" t="s">
        <v>14163</v>
      </c>
      <c r="C5249" s="170" t="s">
        <v>205</v>
      </c>
      <c r="D5249" s="170" t="s">
        <v>2067</v>
      </c>
      <c r="E5249" s="171" t="s">
        <v>34101</v>
      </c>
      <c r="F5249" s="171" t="s">
        <v>37260</v>
      </c>
      <c r="G5249" s="82"/>
      <c r="H5249" s="96">
        <f t="shared" si="324"/>
        <v>40.9</v>
      </c>
      <c r="I5249" s="96">
        <f t="shared" si="324"/>
        <v>41.42</v>
      </c>
      <c r="J5249" s="91" t="str">
        <f t="shared" si="325"/>
        <v>Sinapi 95249</v>
      </c>
      <c r="K5249" s="91" t="str">
        <f t="shared" si="326"/>
        <v>UN</v>
      </c>
      <c r="L5249" s="166" t="str">
        <f t="shared" si="327"/>
        <v>08/2021</v>
      </c>
      <c r="M5249" s="82"/>
      <c r="N5249" s="82"/>
    </row>
    <row r="5250" spans="1:14" x14ac:dyDescent="0.25">
      <c r="A5250" s="170" t="s">
        <v>7997</v>
      </c>
      <c r="B5250" s="170" t="s">
        <v>14164</v>
      </c>
      <c r="C5250" s="170" t="s">
        <v>205</v>
      </c>
      <c r="D5250" s="170" t="s">
        <v>2067</v>
      </c>
      <c r="E5250" s="171" t="s">
        <v>34102</v>
      </c>
      <c r="F5250" s="171" t="s">
        <v>36859</v>
      </c>
      <c r="G5250" s="82"/>
      <c r="H5250" s="96">
        <f t="shared" si="324"/>
        <v>55.16</v>
      </c>
      <c r="I5250" s="96">
        <f t="shared" si="324"/>
        <v>55.87</v>
      </c>
      <c r="J5250" s="91" t="str">
        <f t="shared" si="325"/>
        <v>Sinapi 95250</v>
      </c>
      <c r="K5250" s="91" t="str">
        <f t="shared" si="326"/>
        <v>UN</v>
      </c>
      <c r="L5250" s="166" t="str">
        <f t="shared" si="327"/>
        <v>08/2021</v>
      </c>
      <c r="M5250" s="82"/>
      <c r="N5250" s="82"/>
    </row>
    <row r="5251" spans="1:14" x14ac:dyDescent="0.25">
      <c r="A5251" s="170" t="s">
        <v>7998</v>
      </c>
      <c r="B5251" s="170" t="s">
        <v>14165</v>
      </c>
      <c r="C5251" s="170" t="s">
        <v>205</v>
      </c>
      <c r="D5251" s="170" t="s">
        <v>2067</v>
      </c>
      <c r="E5251" s="171" t="s">
        <v>29408</v>
      </c>
      <c r="F5251" s="171" t="s">
        <v>29233</v>
      </c>
      <c r="G5251" s="82"/>
      <c r="H5251" s="96">
        <f t="shared" si="324"/>
        <v>81.400000000000006</v>
      </c>
      <c r="I5251" s="96">
        <f t="shared" si="324"/>
        <v>82.36</v>
      </c>
      <c r="J5251" s="91" t="str">
        <f t="shared" si="325"/>
        <v>Sinapi 95251</v>
      </c>
      <c r="K5251" s="91" t="str">
        <f t="shared" si="326"/>
        <v>UN</v>
      </c>
      <c r="L5251" s="166" t="str">
        <f t="shared" si="327"/>
        <v>08/2021</v>
      </c>
      <c r="M5251" s="82"/>
      <c r="N5251" s="82"/>
    </row>
    <row r="5252" spans="1:14" x14ac:dyDescent="0.25">
      <c r="A5252" s="170" t="s">
        <v>7999</v>
      </c>
      <c r="B5252" s="170" t="s">
        <v>14166</v>
      </c>
      <c r="C5252" s="170" t="s">
        <v>205</v>
      </c>
      <c r="D5252" s="170" t="s">
        <v>2067</v>
      </c>
      <c r="E5252" s="171" t="s">
        <v>34103</v>
      </c>
      <c r="F5252" s="171" t="s">
        <v>37261</v>
      </c>
      <c r="G5252" s="82"/>
      <c r="H5252" s="96">
        <f t="shared" si="324"/>
        <v>98.89</v>
      </c>
      <c r="I5252" s="96">
        <f t="shared" si="324"/>
        <v>100.14</v>
      </c>
      <c r="J5252" s="91" t="str">
        <f t="shared" si="325"/>
        <v>Sinapi 95252</v>
      </c>
      <c r="K5252" s="91" t="str">
        <f t="shared" si="326"/>
        <v>UN</v>
      </c>
      <c r="L5252" s="166" t="str">
        <f t="shared" si="327"/>
        <v>08/2021</v>
      </c>
      <c r="M5252" s="82"/>
      <c r="N5252" s="82"/>
    </row>
    <row r="5253" spans="1:14" x14ac:dyDescent="0.25">
      <c r="A5253" s="170" t="s">
        <v>8000</v>
      </c>
      <c r="B5253" s="170" t="s">
        <v>14167</v>
      </c>
      <c r="C5253" s="170" t="s">
        <v>205</v>
      </c>
      <c r="D5253" s="170" t="s">
        <v>2067</v>
      </c>
      <c r="E5253" s="171" t="s">
        <v>31288</v>
      </c>
      <c r="F5253" s="171" t="s">
        <v>37262</v>
      </c>
      <c r="G5253" s="82"/>
      <c r="H5253" s="96">
        <f t="shared" si="324"/>
        <v>149.68</v>
      </c>
      <c r="I5253" s="96">
        <f t="shared" si="324"/>
        <v>151.28</v>
      </c>
      <c r="J5253" s="91" t="str">
        <f t="shared" si="325"/>
        <v>Sinapi 95253</v>
      </c>
      <c r="K5253" s="91" t="str">
        <f t="shared" si="326"/>
        <v>UN</v>
      </c>
      <c r="L5253" s="166" t="str">
        <f t="shared" si="327"/>
        <v>08/2021</v>
      </c>
      <c r="M5253" s="82"/>
      <c r="N5253" s="82"/>
    </row>
    <row r="5254" spans="1:14" x14ac:dyDescent="0.25">
      <c r="A5254" s="170" t="s">
        <v>8001</v>
      </c>
      <c r="B5254" s="170" t="s">
        <v>14168</v>
      </c>
      <c r="C5254" s="170" t="s">
        <v>205</v>
      </c>
      <c r="D5254" s="170" t="s">
        <v>2067</v>
      </c>
      <c r="E5254" s="171" t="s">
        <v>34104</v>
      </c>
      <c r="F5254" s="171" t="s">
        <v>37263</v>
      </c>
      <c r="G5254" s="82"/>
      <c r="H5254" s="96">
        <f t="shared" si="324"/>
        <v>100.17</v>
      </c>
      <c r="I5254" s="96">
        <f t="shared" si="324"/>
        <v>100.69</v>
      </c>
      <c r="J5254" s="91" t="str">
        <f t="shared" si="325"/>
        <v>Sinapi 99619</v>
      </c>
      <c r="K5254" s="91" t="str">
        <f t="shared" si="326"/>
        <v>UN</v>
      </c>
      <c r="L5254" s="166" t="str">
        <f t="shared" si="327"/>
        <v>08/2021</v>
      </c>
      <c r="M5254" s="82"/>
      <c r="N5254" s="82"/>
    </row>
    <row r="5255" spans="1:14" x14ac:dyDescent="0.25">
      <c r="A5255" s="170" t="s">
        <v>8002</v>
      </c>
      <c r="B5255" s="170" t="s">
        <v>14169</v>
      </c>
      <c r="C5255" s="170" t="s">
        <v>205</v>
      </c>
      <c r="D5255" s="170" t="s">
        <v>2067</v>
      </c>
      <c r="E5255" s="171" t="s">
        <v>34105</v>
      </c>
      <c r="F5255" s="171" t="s">
        <v>37264</v>
      </c>
      <c r="G5255" s="82"/>
      <c r="H5255" s="96">
        <f t="shared" si="324"/>
        <v>136.05000000000001</v>
      </c>
      <c r="I5255" s="96">
        <f t="shared" si="324"/>
        <v>136.76</v>
      </c>
      <c r="J5255" s="91" t="str">
        <f t="shared" si="325"/>
        <v>Sinapi 99620</v>
      </c>
      <c r="K5255" s="91" t="str">
        <f t="shared" si="326"/>
        <v>UN</v>
      </c>
      <c r="L5255" s="166" t="str">
        <f t="shared" si="327"/>
        <v>08/2021</v>
      </c>
      <c r="M5255" s="82"/>
      <c r="N5255" s="82"/>
    </row>
    <row r="5256" spans="1:14" x14ac:dyDescent="0.25">
      <c r="A5256" s="170" t="s">
        <v>8003</v>
      </c>
      <c r="B5256" s="170" t="s">
        <v>14170</v>
      </c>
      <c r="C5256" s="170" t="s">
        <v>205</v>
      </c>
      <c r="D5256" s="170" t="s">
        <v>2067</v>
      </c>
      <c r="E5256" s="171" t="s">
        <v>34106</v>
      </c>
      <c r="F5256" s="171" t="s">
        <v>37265</v>
      </c>
      <c r="G5256" s="82"/>
      <c r="H5256" s="96">
        <f t="shared" ref="H5256:I5319" si="328">IF(E5256="","",E5256+0)</f>
        <v>202.81</v>
      </c>
      <c r="I5256" s="96">
        <f t="shared" si="328"/>
        <v>203.77</v>
      </c>
      <c r="J5256" s="91" t="str">
        <f t="shared" ref="J5256:J5319" si="329">IF(OR(H5256="",I5256=""),"",TRIM(CONCATENATE("Sinapi ",A5256)))</f>
        <v>Sinapi 99621</v>
      </c>
      <c r="K5256" s="91" t="str">
        <f t="shared" ref="K5256:K5319" si="330">TRIM(C5256)</f>
        <v>UN</v>
      </c>
      <c r="L5256" s="166" t="str">
        <f t="shared" ref="L5256:L5319" si="331">IF(OR(RIGHT(IF(AND(K5256&lt;&gt;"H",K5256&lt;&gt;"MES"),RIGHT(B5256,7),""),2)="PS",RIGHT(IF(AND(K5256&lt;&gt;"H",K5256&lt;&gt;"MES"),RIGHT(B5256,7),""),2)="PA",RIGHT(IF(AND(K5256&lt;&gt;"H",K5256&lt;&gt;"MES"),RIGHT(B5256,7),""),2)="PE"),LEFT(IF(AND(K5256&lt;&gt;"H",K5256&lt;&gt;"MES"),RIGHT(B5256,10),""),7),IF(AND(K5256&lt;&gt;"H",K5256&lt;&gt;"MES"),RIGHT(B5256,7),""))</f>
        <v>08/2021</v>
      </c>
      <c r="M5256" s="82"/>
      <c r="N5256" s="82"/>
    </row>
    <row r="5257" spans="1:14" x14ac:dyDescent="0.25">
      <c r="A5257" s="170" t="s">
        <v>8004</v>
      </c>
      <c r="B5257" s="170" t="s">
        <v>14171</v>
      </c>
      <c r="C5257" s="170" t="s">
        <v>205</v>
      </c>
      <c r="D5257" s="170" t="s">
        <v>2067</v>
      </c>
      <c r="E5257" s="171" t="s">
        <v>32814</v>
      </c>
      <c r="F5257" s="171" t="s">
        <v>37266</v>
      </c>
      <c r="G5257" s="82"/>
      <c r="H5257" s="96">
        <f t="shared" si="328"/>
        <v>228.21</v>
      </c>
      <c r="I5257" s="96">
        <f t="shared" si="328"/>
        <v>229.46</v>
      </c>
      <c r="J5257" s="91" t="str">
        <f t="shared" si="329"/>
        <v>Sinapi 99622</v>
      </c>
      <c r="K5257" s="91" t="str">
        <f t="shared" si="330"/>
        <v>UN</v>
      </c>
      <c r="L5257" s="166" t="str">
        <f t="shared" si="331"/>
        <v>08/2021</v>
      </c>
      <c r="M5257" s="82"/>
      <c r="N5257" s="82"/>
    </row>
    <row r="5258" spans="1:14" x14ac:dyDescent="0.25">
      <c r="A5258" s="170" t="s">
        <v>8005</v>
      </c>
      <c r="B5258" s="170" t="s">
        <v>14172</v>
      </c>
      <c r="C5258" s="170" t="s">
        <v>205</v>
      </c>
      <c r="D5258" s="170" t="s">
        <v>2067</v>
      </c>
      <c r="E5258" s="171" t="s">
        <v>34107</v>
      </c>
      <c r="F5258" s="171" t="s">
        <v>37267</v>
      </c>
      <c r="G5258" s="82"/>
      <c r="H5258" s="96">
        <f t="shared" si="328"/>
        <v>318.48</v>
      </c>
      <c r="I5258" s="96">
        <f t="shared" si="328"/>
        <v>320.08</v>
      </c>
      <c r="J5258" s="91" t="str">
        <f t="shared" si="329"/>
        <v>Sinapi 99623</v>
      </c>
      <c r="K5258" s="91" t="str">
        <f t="shared" si="330"/>
        <v>UN</v>
      </c>
      <c r="L5258" s="166" t="str">
        <f t="shared" si="331"/>
        <v>08/2021</v>
      </c>
      <c r="M5258" s="82"/>
      <c r="N5258" s="82"/>
    </row>
    <row r="5259" spans="1:14" x14ac:dyDescent="0.25">
      <c r="A5259" s="170" t="s">
        <v>8006</v>
      </c>
      <c r="B5259" s="170" t="s">
        <v>14173</v>
      </c>
      <c r="C5259" s="170" t="s">
        <v>205</v>
      </c>
      <c r="D5259" s="170" t="s">
        <v>2067</v>
      </c>
      <c r="E5259" s="171" t="s">
        <v>34108</v>
      </c>
      <c r="F5259" s="171" t="s">
        <v>37268</v>
      </c>
      <c r="G5259" s="82"/>
      <c r="H5259" s="96">
        <f t="shared" si="328"/>
        <v>454.09</v>
      </c>
      <c r="I5259" s="96">
        <f t="shared" si="328"/>
        <v>456.23</v>
      </c>
      <c r="J5259" s="91" t="str">
        <f t="shared" si="329"/>
        <v>Sinapi 99624</v>
      </c>
      <c r="K5259" s="91" t="str">
        <f t="shared" si="330"/>
        <v>UN</v>
      </c>
      <c r="L5259" s="166" t="str">
        <f t="shared" si="331"/>
        <v>08/2021</v>
      </c>
      <c r="M5259" s="82"/>
      <c r="N5259" s="82"/>
    </row>
    <row r="5260" spans="1:14" x14ac:dyDescent="0.25">
      <c r="A5260" s="170" t="s">
        <v>8007</v>
      </c>
      <c r="B5260" s="170" t="s">
        <v>14174</v>
      </c>
      <c r="C5260" s="170" t="s">
        <v>205</v>
      </c>
      <c r="D5260" s="170" t="s">
        <v>2067</v>
      </c>
      <c r="E5260" s="171" t="s">
        <v>34109</v>
      </c>
      <c r="F5260" s="171" t="s">
        <v>37269</v>
      </c>
      <c r="G5260" s="82"/>
      <c r="H5260" s="96">
        <f t="shared" si="328"/>
        <v>624.66999999999996</v>
      </c>
      <c r="I5260" s="96">
        <f t="shared" si="328"/>
        <v>627.35</v>
      </c>
      <c r="J5260" s="91" t="str">
        <f t="shared" si="329"/>
        <v>Sinapi 99625</v>
      </c>
      <c r="K5260" s="91" t="str">
        <f t="shared" si="330"/>
        <v>UN</v>
      </c>
      <c r="L5260" s="166" t="str">
        <f t="shared" si="331"/>
        <v>08/2021</v>
      </c>
      <c r="M5260" s="82"/>
      <c r="N5260" s="82"/>
    </row>
    <row r="5261" spans="1:14" x14ac:dyDescent="0.25">
      <c r="A5261" s="170" t="s">
        <v>8008</v>
      </c>
      <c r="B5261" s="170" t="s">
        <v>14175</v>
      </c>
      <c r="C5261" s="170" t="s">
        <v>205</v>
      </c>
      <c r="D5261" s="170" t="s">
        <v>2067</v>
      </c>
      <c r="E5261" s="171" t="s">
        <v>34110</v>
      </c>
      <c r="F5261" s="171" t="s">
        <v>37270</v>
      </c>
      <c r="G5261" s="82"/>
      <c r="H5261" s="96">
        <f t="shared" si="328"/>
        <v>962.09</v>
      </c>
      <c r="I5261" s="96">
        <f t="shared" si="328"/>
        <v>965.5</v>
      </c>
      <c r="J5261" s="91" t="str">
        <f t="shared" si="329"/>
        <v>Sinapi 99626</v>
      </c>
      <c r="K5261" s="91" t="str">
        <f t="shared" si="330"/>
        <v>UN</v>
      </c>
      <c r="L5261" s="166" t="str">
        <f t="shared" si="331"/>
        <v>08/2021</v>
      </c>
      <c r="M5261" s="82"/>
      <c r="N5261" s="82"/>
    </row>
    <row r="5262" spans="1:14" x14ac:dyDescent="0.25">
      <c r="A5262" s="170" t="s">
        <v>8009</v>
      </c>
      <c r="B5262" s="170" t="s">
        <v>14176</v>
      </c>
      <c r="C5262" s="170" t="s">
        <v>205</v>
      </c>
      <c r="D5262" s="170" t="s">
        <v>2067</v>
      </c>
      <c r="E5262" s="171" t="s">
        <v>29042</v>
      </c>
      <c r="F5262" s="171" t="s">
        <v>36702</v>
      </c>
      <c r="G5262" s="82"/>
      <c r="H5262" s="96">
        <f t="shared" si="328"/>
        <v>60.44</v>
      </c>
      <c r="I5262" s="96">
        <f t="shared" si="328"/>
        <v>60.77</v>
      </c>
      <c r="J5262" s="91" t="str">
        <f t="shared" si="329"/>
        <v>Sinapi 99627</v>
      </c>
      <c r="K5262" s="91" t="str">
        <f t="shared" si="330"/>
        <v>UN</v>
      </c>
      <c r="L5262" s="166" t="str">
        <f t="shared" si="331"/>
        <v>08/2021</v>
      </c>
      <c r="M5262" s="82"/>
      <c r="N5262" s="82"/>
    </row>
    <row r="5263" spans="1:14" x14ac:dyDescent="0.25">
      <c r="A5263" s="170" t="s">
        <v>8010</v>
      </c>
      <c r="B5263" s="170" t="s">
        <v>14177</v>
      </c>
      <c r="C5263" s="170" t="s">
        <v>205</v>
      </c>
      <c r="D5263" s="170" t="s">
        <v>2067</v>
      </c>
      <c r="E5263" s="171" t="s">
        <v>29015</v>
      </c>
      <c r="F5263" s="171" t="s">
        <v>37271</v>
      </c>
      <c r="G5263" s="82"/>
      <c r="H5263" s="96">
        <f t="shared" si="328"/>
        <v>65.91</v>
      </c>
      <c r="I5263" s="96">
        <f t="shared" si="328"/>
        <v>66.430000000000007</v>
      </c>
      <c r="J5263" s="91" t="str">
        <f t="shared" si="329"/>
        <v>Sinapi 99628</v>
      </c>
      <c r="K5263" s="91" t="str">
        <f t="shared" si="330"/>
        <v>UN</v>
      </c>
      <c r="L5263" s="166" t="str">
        <f t="shared" si="331"/>
        <v>08/2021</v>
      </c>
      <c r="M5263" s="82"/>
      <c r="N5263" s="82"/>
    </row>
    <row r="5264" spans="1:14" x14ac:dyDescent="0.25">
      <c r="A5264" s="170" t="s">
        <v>8011</v>
      </c>
      <c r="B5264" s="170" t="s">
        <v>14178</v>
      </c>
      <c r="C5264" s="170" t="s">
        <v>205</v>
      </c>
      <c r="D5264" s="170" t="s">
        <v>2067</v>
      </c>
      <c r="E5264" s="171" t="s">
        <v>34111</v>
      </c>
      <c r="F5264" s="171" t="s">
        <v>35912</v>
      </c>
      <c r="G5264" s="82"/>
      <c r="H5264" s="96">
        <f t="shared" si="328"/>
        <v>73.17</v>
      </c>
      <c r="I5264" s="96">
        <f t="shared" si="328"/>
        <v>73.88</v>
      </c>
      <c r="J5264" s="91" t="str">
        <f t="shared" si="329"/>
        <v>Sinapi 99629</v>
      </c>
      <c r="K5264" s="91" t="str">
        <f t="shared" si="330"/>
        <v>UN</v>
      </c>
      <c r="L5264" s="166" t="str">
        <f t="shared" si="331"/>
        <v>08/2021</v>
      </c>
      <c r="M5264" s="82"/>
      <c r="N5264" s="82"/>
    </row>
    <row r="5265" spans="1:14" x14ac:dyDescent="0.25">
      <c r="A5265" s="170" t="s">
        <v>8012</v>
      </c>
      <c r="B5265" s="170" t="s">
        <v>14179</v>
      </c>
      <c r="C5265" s="170" t="s">
        <v>205</v>
      </c>
      <c r="D5265" s="170" t="s">
        <v>2067</v>
      </c>
      <c r="E5265" s="171" t="s">
        <v>34112</v>
      </c>
      <c r="F5265" s="171" t="s">
        <v>37272</v>
      </c>
      <c r="G5265" s="82"/>
      <c r="H5265" s="96">
        <f t="shared" si="328"/>
        <v>108.9</v>
      </c>
      <c r="I5265" s="96">
        <f t="shared" si="328"/>
        <v>109.86</v>
      </c>
      <c r="J5265" s="91" t="str">
        <f t="shared" si="329"/>
        <v>Sinapi 99630</v>
      </c>
      <c r="K5265" s="91" t="str">
        <f t="shared" si="330"/>
        <v>UN</v>
      </c>
      <c r="L5265" s="166" t="str">
        <f t="shared" si="331"/>
        <v>08/2021</v>
      </c>
      <c r="M5265" s="82"/>
      <c r="N5265" s="82"/>
    </row>
    <row r="5266" spans="1:14" x14ac:dyDescent="0.25">
      <c r="A5266" s="170" t="s">
        <v>8013</v>
      </c>
      <c r="B5266" s="170" t="s">
        <v>14180</v>
      </c>
      <c r="C5266" s="170" t="s">
        <v>205</v>
      </c>
      <c r="D5266" s="170" t="s">
        <v>2067</v>
      </c>
      <c r="E5266" s="171" t="s">
        <v>34113</v>
      </c>
      <c r="F5266" s="171" t="s">
        <v>37273</v>
      </c>
      <c r="G5266" s="82"/>
      <c r="H5266" s="96">
        <f t="shared" si="328"/>
        <v>126.71</v>
      </c>
      <c r="I5266" s="96">
        <f t="shared" si="328"/>
        <v>127.96</v>
      </c>
      <c r="J5266" s="91" t="str">
        <f t="shared" si="329"/>
        <v>Sinapi 99631</v>
      </c>
      <c r="K5266" s="91" t="str">
        <f t="shared" si="330"/>
        <v>UN</v>
      </c>
      <c r="L5266" s="166" t="str">
        <f t="shared" si="331"/>
        <v>08/2021</v>
      </c>
      <c r="M5266" s="82"/>
      <c r="N5266" s="82"/>
    </row>
    <row r="5267" spans="1:14" x14ac:dyDescent="0.25">
      <c r="A5267" s="170" t="s">
        <v>8014</v>
      </c>
      <c r="B5267" s="170" t="s">
        <v>14181</v>
      </c>
      <c r="C5267" s="170" t="s">
        <v>205</v>
      </c>
      <c r="D5267" s="170" t="s">
        <v>2067</v>
      </c>
      <c r="E5267" s="171" t="s">
        <v>34114</v>
      </c>
      <c r="F5267" s="171" t="s">
        <v>37274</v>
      </c>
      <c r="G5267" s="82"/>
      <c r="H5267" s="96">
        <f t="shared" si="328"/>
        <v>182.76</v>
      </c>
      <c r="I5267" s="96">
        <f t="shared" si="328"/>
        <v>184.36</v>
      </c>
      <c r="J5267" s="91" t="str">
        <f t="shared" si="329"/>
        <v>Sinapi 99632</v>
      </c>
      <c r="K5267" s="91" t="str">
        <f t="shared" si="330"/>
        <v>UN</v>
      </c>
      <c r="L5267" s="166" t="str">
        <f t="shared" si="331"/>
        <v>08/2021</v>
      </c>
      <c r="M5267" s="82"/>
      <c r="N5267" s="82"/>
    </row>
    <row r="5268" spans="1:14" x14ac:dyDescent="0.25">
      <c r="A5268" s="170" t="s">
        <v>8015</v>
      </c>
      <c r="B5268" s="170" t="s">
        <v>14182</v>
      </c>
      <c r="C5268" s="170" t="s">
        <v>205</v>
      </c>
      <c r="D5268" s="170" t="s">
        <v>2067</v>
      </c>
      <c r="E5268" s="171" t="s">
        <v>34115</v>
      </c>
      <c r="F5268" s="171" t="s">
        <v>37275</v>
      </c>
      <c r="G5268" s="82"/>
      <c r="H5268" s="96">
        <f t="shared" si="328"/>
        <v>392.46</v>
      </c>
      <c r="I5268" s="96">
        <f t="shared" si="328"/>
        <v>395.14</v>
      </c>
      <c r="J5268" s="91" t="str">
        <f t="shared" si="329"/>
        <v>Sinapi 99633</v>
      </c>
      <c r="K5268" s="91" t="str">
        <f t="shared" si="330"/>
        <v>UN</v>
      </c>
      <c r="L5268" s="166" t="str">
        <f t="shared" si="331"/>
        <v>08/2021</v>
      </c>
      <c r="M5268" s="82"/>
      <c r="N5268" s="82"/>
    </row>
    <row r="5269" spans="1:14" x14ac:dyDescent="0.25">
      <c r="A5269" s="170" t="s">
        <v>8016</v>
      </c>
      <c r="B5269" s="170" t="s">
        <v>14183</v>
      </c>
      <c r="C5269" s="170" t="s">
        <v>205</v>
      </c>
      <c r="D5269" s="170" t="s">
        <v>2067</v>
      </c>
      <c r="E5269" s="171" t="s">
        <v>34116</v>
      </c>
      <c r="F5269" s="171" t="s">
        <v>37276</v>
      </c>
      <c r="G5269" s="82"/>
      <c r="H5269" s="96">
        <f t="shared" si="328"/>
        <v>669.92</v>
      </c>
      <c r="I5269" s="96">
        <f t="shared" si="328"/>
        <v>673.33</v>
      </c>
      <c r="J5269" s="91" t="str">
        <f t="shared" si="329"/>
        <v>Sinapi 99634</v>
      </c>
      <c r="K5269" s="91" t="str">
        <f t="shared" si="330"/>
        <v>UN</v>
      </c>
      <c r="L5269" s="166" t="str">
        <f t="shared" si="331"/>
        <v>08/2021</v>
      </c>
      <c r="M5269" s="82"/>
      <c r="N5269" s="82"/>
    </row>
    <row r="5270" spans="1:14" x14ac:dyDescent="0.25">
      <c r="A5270" s="170" t="s">
        <v>8017</v>
      </c>
      <c r="B5270" s="170" t="s">
        <v>14184</v>
      </c>
      <c r="C5270" s="170" t="s">
        <v>205</v>
      </c>
      <c r="D5270" s="170" t="s">
        <v>2067</v>
      </c>
      <c r="E5270" s="171" t="s">
        <v>34117</v>
      </c>
      <c r="F5270" s="171" t="s">
        <v>37277</v>
      </c>
      <c r="G5270" s="82"/>
      <c r="H5270" s="96">
        <f t="shared" si="328"/>
        <v>317.77999999999997</v>
      </c>
      <c r="I5270" s="96">
        <f t="shared" si="328"/>
        <v>322.14</v>
      </c>
      <c r="J5270" s="91" t="str">
        <f t="shared" si="329"/>
        <v>Sinapi 99635</v>
      </c>
      <c r="K5270" s="91" t="str">
        <f t="shared" si="330"/>
        <v>UN</v>
      </c>
      <c r="L5270" s="166" t="str">
        <f t="shared" si="331"/>
        <v>08/2021</v>
      </c>
      <c r="M5270" s="82"/>
      <c r="N5270" s="82"/>
    </row>
    <row r="5271" spans="1:14" x14ac:dyDescent="0.25">
      <c r="A5271" s="170" t="s">
        <v>14185</v>
      </c>
      <c r="B5271" s="170" t="s">
        <v>14186</v>
      </c>
      <c r="C5271" s="170" t="s">
        <v>205</v>
      </c>
      <c r="D5271" s="170" t="s">
        <v>2067</v>
      </c>
      <c r="E5271" s="171" t="s">
        <v>21711</v>
      </c>
      <c r="F5271" s="171" t="s">
        <v>37278</v>
      </c>
      <c r="G5271" s="82"/>
      <c r="H5271" s="96">
        <f t="shared" si="328"/>
        <v>81.86</v>
      </c>
      <c r="I5271" s="96">
        <f t="shared" si="328"/>
        <v>82.19</v>
      </c>
      <c r="J5271" s="91" t="str">
        <f t="shared" si="329"/>
        <v>Sinapi 103008</v>
      </c>
      <c r="K5271" s="91" t="str">
        <f t="shared" si="330"/>
        <v>UN</v>
      </c>
      <c r="L5271" s="166" t="str">
        <f t="shared" si="331"/>
        <v>08/2021</v>
      </c>
      <c r="M5271" s="82"/>
      <c r="N5271" s="82"/>
    </row>
    <row r="5272" spans="1:14" x14ac:dyDescent="0.25">
      <c r="A5272" s="170" t="s">
        <v>14187</v>
      </c>
      <c r="B5272" s="170" t="s">
        <v>14188</v>
      </c>
      <c r="C5272" s="170" t="s">
        <v>205</v>
      </c>
      <c r="D5272" s="170" t="s">
        <v>2067</v>
      </c>
      <c r="E5272" s="171" t="s">
        <v>29346</v>
      </c>
      <c r="F5272" s="171" t="s">
        <v>37279</v>
      </c>
      <c r="G5272" s="82"/>
      <c r="H5272" s="96">
        <f t="shared" si="328"/>
        <v>289.02</v>
      </c>
      <c r="I5272" s="96">
        <f t="shared" si="328"/>
        <v>291.16000000000003</v>
      </c>
      <c r="J5272" s="91" t="str">
        <f t="shared" si="329"/>
        <v>Sinapi 103009</v>
      </c>
      <c r="K5272" s="91" t="str">
        <f t="shared" si="330"/>
        <v>UN</v>
      </c>
      <c r="L5272" s="166" t="str">
        <f t="shared" si="331"/>
        <v>08/2021</v>
      </c>
      <c r="M5272" s="82"/>
      <c r="N5272" s="82"/>
    </row>
    <row r="5273" spans="1:14" x14ac:dyDescent="0.25">
      <c r="A5273" s="170" t="s">
        <v>14189</v>
      </c>
      <c r="B5273" s="170" t="s">
        <v>14190</v>
      </c>
      <c r="C5273" s="170" t="s">
        <v>205</v>
      </c>
      <c r="D5273" s="170" t="s">
        <v>2067</v>
      </c>
      <c r="E5273" s="171" t="s">
        <v>29044</v>
      </c>
      <c r="F5273" s="171" t="s">
        <v>37280</v>
      </c>
      <c r="G5273" s="82"/>
      <c r="H5273" s="96">
        <f t="shared" si="328"/>
        <v>62.07</v>
      </c>
      <c r="I5273" s="96">
        <f t="shared" si="328"/>
        <v>62.33</v>
      </c>
      <c r="J5273" s="91" t="str">
        <f t="shared" si="329"/>
        <v>Sinapi 103010</v>
      </c>
      <c r="K5273" s="91" t="str">
        <f t="shared" si="330"/>
        <v>UN</v>
      </c>
      <c r="L5273" s="166" t="str">
        <f t="shared" si="331"/>
        <v>08/2021</v>
      </c>
      <c r="M5273" s="82"/>
      <c r="N5273" s="82"/>
    </row>
    <row r="5274" spans="1:14" x14ac:dyDescent="0.25">
      <c r="A5274" s="170" t="s">
        <v>14191</v>
      </c>
      <c r="B5274" s="170" t="s">
        <v>14192</v>
      </c>
      <c r="C5274" s="170" t="s">
        <v>205</v>
      </c>
      <c r="D5274" s="170" t="s">
        <v>2067</v>
      </c>
      <c r="E5274" s="171" t="s">
        <v>34118</v>
      </c>
      <c r="F5274" s="171" t="s">
        <v>37281</v>
      </c>
      <c r="G5274" s="82"/>
      <c r="H5274" s="96">
        <f t="shared" si="328"/>
        <v>69.180000000000007</v>
      </c>
      <c r="I5274" s="96">
        <f t="shared" si="328"/>
        <v>69.53</v>
      </c>
      <c r="J5274" s="91" t="str">
        <f t="shared" si="329"/>
        <v>Sinapi 103011</v>
      </c>
      <c r="K5274" s="91" t="str">
        <f t="shared" si="330"/>
        <v>UN</v>
      </c>
      <c r="L5274" s="166" t="str">
        <f t="shared" si="331"/>
        <v>08/2021</v>
      </c>
      <c r="M5274" s="82"/>
      <c r="N5274" s="82"/>
    </row>
    <row r="5275" spans="1:14" x14ac:dyDescent="0.25">
      <c r="A5275" s="170" t="s">
        <v>14193</v>
      </c>
      <c r="B5275" s="170" t="s">
        <v>14194</v>
      </c>
      <c r="C5275" s="170" t="s">
        <v>205</v>
      </c>
      <c r="D5275" s="170" t="s">
        <v>2067</v>
      </c>
      <c r="E5275" s="171" t="s">
        <v>28589</v>
      </c>
      <c r="F5275" s="171" t="s">
        <v>33467</v>
      </c>
      <c r="G5275" s="82"/>
      <c r="H5275" s="96">
        <f t="shared" si="328"/>
        <v>109.12</v>
      </c>
      <c r="I5275" s="96">
        <f t="shared" si="328"/>
        <v>109.61</v>
      </c>
      <c r="J5275" s="91" t="str">
        <f t="shared" si="329"/>
        <v>Sinapi 103012</v>
      </c>
      <c r="K5275" s="91" t="str">
        <f t="shared" si="330"/>
        <v>UN</v>
      </c>
      <c r="L5275" s="166" t="str">
        <f t="shared" si="331"/>
        <v>08/2021</v>
      </c>
      <c r="M5275" s="82"/>
      <c r="N5275" s="82"/>
    </row>
    <row r="5276" spans="1:14" x14ac:dyDescent="0.25">
      <c r="A5276" s="170" t="s">
        <v>14195</v>
      </c>
      <c r="B5276" s="170" t="s">
        <v>14196</v>
      </c>
      <c r="C5276" s="170" t="s">
        <v>205</v>
      </c>
      <c r="D5276" s="170" t="s">
        <v>2067</v>
      </c>
      <c r="E5276" s="171" t="s">
        <v>34119</v>
      </c>
      <c r="F5276" s="171" t="s">
        <v>37282</v>
      </c>
      <c r="G5276" s="82"/>
      <c r="H5276" s="96">
        <f t="shared" si="328"/>
        <v>117.44</v>
      </c>
      <c r="I5276" s="96">
        <f t="shared" si="328"/>
        <v>118.06</v>
      </c>
      <c r="J5276" s="91" t="str">
        <f t="shared" si="329"/>
        <v>Sinapi 103013</v>
      </c>
      <c r="K5276" s="91" t="str">
        <f t="shared" si="330"/>
        <v>UN</v>
      </c>
      <c r="L5276" s="166" t="str">
        <f t="shared" si="331"/>
        <v>08/2021</v>
      </c>
      <c r="M5276" s="82"/>
      <c r="N5276" s="82"/>
    </row>
    <row r="5277" spans="1:14" x14ac:dyDescent="0.25">
      <c r="A5277" s="170" t="s">
        <v>14197</v>
      </c>
      <c r="B5277" s="170" t="s">
        <v>14198</v>
      </c>
      <c r="C5277" s="170" t="s">
        <v>205</v>
      </c>
      <c r="D5277" s="170" t="s">
        <v>2067</v>
      </c>
      <c r="E5277" s="171" t="s">
        <v>28879</v>
      </c>
      <c r="F5277" s="171" t="s">
        <v>37283</v>
      </c>
      <c r="G5277" s="82"/>
      <c r="H5277" s="96">
        <f t="shared" si="328"/>
        <v>176.64</v>
      </c>
      <c r="I5277" s="96">
        <f t="shared" si="328"/>
        <v>177.44</v>
      </c>
      <c r="J5277" s="91" t="str">
        <f t="shared" si="329"/>
        <v>Sinapi 103014</v>
      </c>
      <c r="K5277" s="91" t="str">
        <f t="shared" si="330"/>
        <v>UN</v>
      </c>
      <c r="L5277" s="166" t="str">
        <f t="shared" si="331"/>
        <v>08/2021</v>
      </c>
      <c r="M5277" s="82"/>
      <c r="N5277" s="82"/>
    </row>
    <row r="5278" spans="1:14" x14ac:dyDescent="0.25">
      <c r="A5278" s="170" t="s">
        <v>14199</v>
      </c>
      <c r="B5278" s="170" t="s">
        <v>14200</v>
      </c>
      <c r="C5278" s="170" t="s">
        <v>205</v>
      </c>
      <c r="D5278" s="170" t="s">
        <v>2067</v>
      </c>
      <c r="E5278" s="171" t="s">
        <v>34120</v>
      </c>
      <c r="F5278" s="171" t="s">
        <v>37284</v>
      </c>
      <c r="G5278" s="82"/>
      <c r="H5278" s="96">
        <f t="shared" si="328"/>
        <v>312.42</v>
      </c>
      <c r="I5278" s="96">
        <f t="shared" si="328"/>
        <v>313.49</v>
      </c>
      <c r="J5278" s="91" t="str">
        <f t="shared" si="329"/>
        <v>Sinapi 103015</v>
      </c>
      <c r="K5278" s="91" t="str">
        <f t="shared" si="330"/>
        <v>UN</v>
      </c>
      <c r="L5278" s="166" t="str">
        <f t="shared" si="331"/>
        <v>08/2021</v>
      </c>
      <c r="M5278" s="82"/>
      <c r="N5278" s="82"/>
    </row>
    <row r="5279" spans="1:14" x14ac:dyDescent="0.25">
      <c r="A5279" s="170" t="s">
        <v>14201</v>
      </c>
      <c r="B5279" s="170" t="s">
        <v>14202</v>
      </c>
      <c r="C5279" s="170" t="s">
        <v>205</v>
      </c>
      <c r="D5279" s="170" t="s">
        <v>2067</v>
      </c>
      <c r="E5279" s="171" t="s">
        <v>34121</v>
      </c>
      <c r="F5279" s="171" t="s">
        <v>37285</v>
      </c>
      <c r="G5279" s="82"/>
      <c r="H5279" s="96">
        <f t="shared" si="328"/>
        <v>427.14</v>
      </c>
      <c r="I5279" s="96">
        <f t="shared" si="328"/>
        <v>428.48</v>
      </c>
      <c r="J5279" s="91" t="str">
        <f t="shared" si="329"/>
        <v>Sinapi 103016</v>
      </c>
      <c r="K5279" s="91" t="str">
        <f t="shared" si="330"/>
        <v>UN</v>
      </c>
      <c r="L5279" s="166" t="str">
        <f t="shared" si="331"/>
        <v>08/2021</v>
      </c>
      <c r="M5279" s="82"/>
      <c r="N5279" s="82"/>
    </row>
    <row r="5280" spans="1:14" x14ac:dyDescent="0.25">
      <c r="A5280" s="170" t="s">
        <v>14203</v>
      </c>
      <c r="B5280" s="170" t="s">
        <v>14204</v>
      </c>
      <c r="C5280" s="170" t="s">
        <v>205</v>
      </c>
      <c r="D5280" s="170" t="s">
        <v>2067</v>
      </c>
      <c r="E5280" s="171" t="s">
        <v>34122</v>
      </c>
      <c r="F5280" s="171" t="s">
        <v>37286</v>
      </c>
      <c r="G5280" s="82"/>
      <c r="H5280" s="96">
        <f t="shared" si="328"/>
        <v>745.83</v>
      </c>
      <c r="I5280" s="96">
        <f t="shared" si="328"/>
        <v>747.54</v>
      </c>
      <c r="J5280" s="91" t="str">
        <f t="shared" si="329"/>
        <v>Sinapi 103017</v>
      </c>
      <c r="K5280" s="91" t="str">
        <f t="shared" si="330"/>
        <v>UN</v>
      </c>
      <c r="L5280" s="166" t="str">
        <f t="shared" si="331"/>
        <v>08/2021</v>
      </c>
      <c r="M5280" s="82"/>
      <c r="N5280" s="82"/>
    </row>
    <row r="5281" spans="1:14" x14ac:dyDescent="0.25">
      <c r="A5281" s="170" t="s">
        <v>14205</v>
      </c>
      <c r="B5281" s="170" t="s">
        <v>14206</v>
      </c>
      <c r="C5281" s="170" t="s">
        <v>205</v>
      </c>
      <c r="D5281" s="170" t="s">
        <v>2067</v>
      </c>
      <c r="E5281" s="171" t="s">
        <v>34123</v>
      </c>
      <c r="F5281" s="171" t="s">
        <v>37287</v>
      </c>
      <c r="G5281" s="82"/>
      <c r="H5281" s="96">
        <f t="shared" si="328"/>
        <v>259.66000000000003</v>
      </c>
      <c r="I5281" s="96">
        <f t="shared" si="328"/>
        <v>263.44</v>
      </c>
      <c r="J5281" s="91" t="str">
        <f t="shared" si="329"/>
        <v>Sinapi 103018</v>
      </c>
      <c r="K5281" s="91" t="str">
        <f t="shared" si="330"/>
        <v>UN</v>
      </c>
      <c r="L5281" s="166" t="str">
        <f t="shared" si="331"/>
        <v>08/2021</v>
      </c>
      <c r="M5281" s="82"/>
      <c r="N5281" s="82"/>
    </row>
    <row r="5282" spans="1:14" x14ac:dyDescent="0.25">
      <c r="A5282" s="170" t="s">
        <v>14207</v>
      </c>
      <c r="B5282" s="170" t="s">
        <v>14208</v>
      </c>
      <c r="C5282" s="170" t="s">
        <v>205</v>
      </c>
      <c r="D5282" s="170" t="s">
        <v>2067</v>
      </c>
      <c r="E5282" s="171" t="s">
        <v>34124</v>
      </c>
      <c r="F5282" s="171" t="s">
        <v>37288</v>
      </c>
      <c r="G5282" s="82"/>
      <c r="H5282" s="96">
        <f t="shared" si="328"/>
        <v>175.64</v>
      </c>
      <c r="I5282" s="96">
        <f t="shared" si="328"/>
        <v>177.78</v>
      </c>
      <c r="J5282" s="91" t="str">
        <f t="shared" si="329"/>
        <v>Sinapi 103019</v>
      </c>
      <c r="K5282" s="91" t="str">
        <f t="shared" si="330"/>
        <v>UN</v>
      </c>
      <c r="L5282" s="166" t="str">
        <f t="shared" si="331"/>
        <v>08/2021</v>
      </c>
      <c r="M5282" s="82"/>
      <c r="N5282" s="82"/>
    </row>
    <row r="5283" spans="1:14" x14ac:dyDescent="0.25">
      <c r="A5283" s="170" t="s">
        <v>14209</v>
      </c>
      <c r="B5283" s="170" t="s">
        <v>14210</v>
      </c>
      <c r="C5283" s="170" t="s">
        <v>205</v>
      </c>
      <c r="D5283" s="170" t="s">
        <v>2067</v>
      </c>
      <c r="E5283" s="171" t="s">
        <v>28471</v>
      </c>
      <c r="F5283" s="171" t="s">
        <v>24377</v>
      </c>
      <c r="G5283" s="82"/>
      <c r="H5283" s="96">
        <f t="shared" si="328"/>
        <v>30.42</v>
      </c>
      <c r="I5283" s="96">
        <f t="shared" si="328"/>
        <v>30.94</v>
      </c>
      <c r="J5283" s="91" t="str">
        <f t="shared" si="329"/>
        <v>Sinapi 103029</v>
      </c>
      <c r="K5283" s="91" t="str">
        <f t="shared" si="330"/>
        <v>UN</v>
      </c>
      <c r="L5283" s="166" t="str">
        <f t="shared" si="331"/>
        <v>08/2021</v>
      </c>
      <c r="M5283" s="82"/>
      <c r="N5283" s="82"/>
    </row>
    <row r="5284" spans="1:14" x14ac:dyDescent="0.25">
      <c r="A5284" s="170" t="s">
        <v>14211</v>
      </c>
      <c r="B5284" s="170" t="s">
        <v>14212</v>
      </c>
      <c r="C5284" s="170" t="s">
        <v>205</v>
      </c>
      <c r="D5284" s="170" t="s">
        <v>2067</v>
      </c>
      <c r="E5284" s="171" t="s">
        <v>6533</v>
      </c>
      <c r="F5284" s="171" t="s">
        <v>23042</v>
      </c>
      <c r="G5284" s="82"/>
      <c r="H5284" s="96">
        <f t="shared" si="328"/>
        <v>19.48</v>
      </c>
      <c r="I5284" s="96">
        <f t="shared" si="328"/>
        <v>19.809999999999999</v>
      </c>
      <c r="J5284" s="91" t="str">
        <f t="shared" si="329"/>
        <v>Sinapi 103036</v>
      </c>
      <c r="K5284" s="91" t="str">
        <f t="shared" si="330"/>
        <v>UN</v>
      </c>
      <c r="L5284" s="166" t="str">
        <f t="shared" si="331"/>
        <v>08/2021</v>
      </c>
      <c r="M5284" s="82"/>
      <c r="N5284" s="82"/>
    </row>
    <row r="5285" spans="1:14" x14ac:dyDescent="0.25">
      <c r="A5285" s="170" t="s">
        <v>14213</v>
      </c>
      <c r="B5285" s="170" t="s">
        <v>14214</v>
      </c>
      <c r="C5285" s="170" t="s">
        <v>205</v>
      </c>
      <c r="D5285" s="170" t="s">
        <v>2067</v>
      </c>
      <c r="E5285" s="171" t="s">
        <v>34125</v>
      </c>
      <c r="F5285" s="171" t="s">
        <v>36341</v>
      </c>
      <c r="G5285" s="82"/>
      <c r="H5285" s="96">
        <f t="shared" si="328"/>
        <v>38.35</v>
      </c>
      <c r="I5285" s="96">
        <f t="shared" si="328"/>
        <v>39.06</v>
      </c>
      <c r="J5285" s="91" t="str">
        <f t="shared" si="329"/>
        <v>Sinapi 103037</v>
      </c>
      <c r="K5285" s="91" t="str">
        <f t="shared" si="330"/>
        <v>UN</v>
      </c>
      <c r="L5285" s="166" t="str">
        <f t="shared" si="331"/>
        <v>08/2021</v>
      </c>
      <c r="M5285" s="82"/>
      <c r="N5285" s="82"/>
    </row>
    <row r="5286" spans="1:14" x14ac:dyDescent="0.25">
      <c r="A5286" s="170" t="s">
        <v>14215</v>
      </c>
      <c r="B5286" s="170" t="s">
        <v>14216</v>
      </c>
      <c r="C5286" s="170" t="s">
        <v>205</v>
      </c>
      <c r="D5286" s="170" t="s">
        <v>2067</v>
      </c>
      <c r="E5286" s="171" t="s">
        <v>34126</v>
      </c>
      <c r="F5286" s="171" t="s">
        <v>24333</v>
      </c>
      <c r="G5286" s="82"/>
      <c r="H5286" s="96">
        <f t="shared" si="328"/>
        <v>51.37</v>
      </c>
      <c r="I5286" s="96">
        <f t="shared" si="328"/>
        <v>52.33</v>
      </c>
      <c r="J5286" s="91" t="str">
        <f t="shared" si="329"/>
        <v>Sinapi 103038</v>
      </c>
      <c r="K5286" s="91" t="str">
        <f t="shared" si="330"/>
        <v>UN</v>
      </c>
      <c r="L5286" s="166" t="str">
        <f t="shared" si="331"/>
        <v>08/2021</v>
      </c>
      <c r="M5286" s="82"/>
      <c r="N5286" s="82"/>
    </row>
    <row r="5287" spans="1:14" x14ac:dyDescent="0.25">
      <c r="A5287" s="170" t="s">
        <v>14217</v>
      </c>
      <c r="B5287" s="170" t="s">
        <v>14218</v>
      </c>
      <c r="C5287" s="170" t="s">
        <v>205</v>
      </c>
      <c r="D5287" s="170" t="s">
        <v>2067</v>
      </c>
      <c r="E5287" s="171" t="s">
        <v>23202</v>
      </c>
      <c r="F5287" s="171" t="s">
        <v>37289</v>
      </c>
      <c r="G5287" s="82"/>
      <c r="H5287" s="96">
        <f t="shared" si="328"/>
        <v>56.07</v>
      </c>
      <c r="I5287" s="96">
        <f t="shared" si="328"/>
        <v>57.32</v>
      </c>
      <c r="J5287" s="91" t="str">
        <f t="shared" si="329"/>
        <v>Sinapi 103039</v>
      </c>
      <c r="K5287" s="91" t="str">
        <f t="shared" si="330"/>
        <v>UN</v>
      </c>
      <c r="L5287" s="166" t="str">
        <f t="shared" si="331"/>
        <v>08/2021</v>
      </c>
      <c r="M5287" s="82"/>
      <c r="N5287" s="82"/>
    </row>
    <row r="5288" spans="1:14" x14ac:dyDescent="0.25">
      <c r="A5288" s="170" t="s">
        <v>14219</v>
      </c>
      <c r="B5288" s="170" t="s">
        <v>14220</v>
      </c>
      <c r="C5288" s="170" t="s">
        <v>205</v>
      </c>
      <c r="D5288" s="170" t="s">
        <v>2067</v>
      </c>
      <c r="E5288" s="171" t="s">
        <v>28847</v>
      </c>
      <c r="F5288" s="171" t="s">
        <v>37290</v>
      </c>
      <c r="G5288" s="82"/>
      <c r="H5288" s="96">
        <f t="shared" si="328"/>
        <v>83.13</v>
      </c>
      <c r="I5288" s="96">
        <f t="shared" si="328"/>
        <v>84.73</v>
      </c>
      <c r="J5288" s="91" t="str">
        <f t="shared" si="329"/>
        <v>Sinapi 103040</v>
      </c>
      <c r="K5288" s="91" t="str">
        <f t="shared" si="330"/>
        <v>UN</v>
      </c>
      <c r="L5288" s="166" t="str">
        <f t="shared" si="331"/>
        <v>08/2021</v>
      </c>
      <c r="M5288" s="82"/>
      <c r="N5288" s="82"/>
    </row>
    <row r="5289" spans="1:14" x14ac:dyDescent="0.25">
      <c r="A5289" s="170" t="s">
        <v>14221</v>
      </c>
      <c r="B5289" s="170" t="s">
        <v>14222</v>
      </c>
      <c r="C5289" s="170" t="s">
        <v>205</v>
      </c>
      <c r="D5289" s="170" t="s">
        <v>2067</v>
      </c>
      <c r="E5289" s="171" t="s">
        <v>16392</v>
      </c>
      <c r="F5289" s="171" t="s">
        <v>20990</v>
      </c>
      <c r="G5289" s="82"/>
      <c r="H5289" s="96">
        <f t="shared" si="328"/>
        <v>16.29</v>
      </c>
      <c r="I5289" s="96">
        <f t="shared" si="328"/>
        <v>16.62</v>
      </c>
      <c r="J5289" s="91" t="str">
        <f t="shared" si="329"/>
        <v>Sinapi 103041</v>
      </c>
      <c r="K5289" s="91" t="str">
        <f t="shared" si="330"/>
        <v>UN</v>
      </c>
      <c r="L5289" s="166" t="str">
        <f t="shared" si="331"/>
        <v>08/2021</v>
      </c>
      <c r="M5289" s="82"/>
      <c r="N5289" s="82"/>
    </row>
    <row r="5290" spans="1:14" x14ac:dyDescent="0.25">
      <c r="A5290" s="170" t="s">
        <v>14223</v>
      </c>
      <c r="B5290" s="170" t="s">
        <v>14224</v>
      </c>
      <c r="C5290" s="170" t="s">
        <v>205</v>
      </c>
      <c r="D5290" s="170" t="s">
        <v>2067</v>
      </c>
      <c r="E5290" s="171" t="s">
        <v>34127</v>
      </c>
      <c r="F5290" s="171" t="s">
        <v>16406</v>
      </c>
      <c r="G5290" s="82"/>
      <c r="H5290" s="96">
        <f t="shared" si="328"/>
        <v>20.22</v>
      </c>
      <c r="I5290" s="96">
        <f t="shared" si="328"/>
        <v>20.74</v>
      </c>
      <c r="J5290" s="91" t="str">
        <f t="shared" si="329"/>
        <v>Sinapi 103042</v>
      </c>
      <c r="K5290" s="91" t="str">
        <f t="shared" si="330"/>
        <v>UN</v>
      </c>
      <c r="L5290" s="166" t="str">
        <f t="shared" si="331"/>
        <v>08/2021</v>
      </c>
      <c r="M5290" s="82"/>
      <c r="N5290" s="82"/>
    </row>
    <row r="5291" spans="1:14" x14ac:dyDescent="0.25">
      <c r="A5291" s="170" t="s">
        <v>14225</v>
      </c>
      <c r="B5291" s="170" t="s">
        <v>14226</v>
      </c>
      <c r="C5291" s="170" t="s">
        <v>205</v>
      </c>
      <c r="D5291" s="170" t="s">
        <v>2067</v>
      </c>
      <c r="E5291" s="171" t="s">
        <v>15696</v>
      </c>
      <c r="F5291" s="171" t="s">
        <v>21875</v>
      </c>
      <c r="G5291" s="82"/>
      <c r="H5291" s="96">
        <f t="shared" si="328"/>
        <v>18.760000000000002</v>
      </c>
      <c r="I5291" s="96">
        <f t="shared" si="328"/>
        <v>19.09</v>
      </c>
      <c r="J5291" s="91" t="str">
        <f t="shared" si="329"/>
        <v>Sinapi 103043</v>
      </c>
      <c r="K5291" s="91" t="str">
        <f t="shared" si="330"/>
        <v>UN</v>
      </c>
      <c r="L5291" s="166" t="str">
        <f t="shared" si="331"/>
        <v>08/2021</v>
      </c>
      <c r="M5291" s="82"/>
      <c r="N5291" s="82"/>
    </row>
    <row r="5292" spans="1:14" x14ac:dyDescent="0.25">
      <c r="A5292" s="170" t="s">
        <v>14227</v>
      </c>
      <c r="B5292" s="170" t="s">
        <v>14228</v>
      </c>
      <c r="C5292" s="170" t="s">
        <v>205</v>
      </c>
      <c r="D5292" s="170" t="s">
        <v>2067</v>
      </c>
      <c r="E5292" s="171" t="s">
        <v>28689</v>
      </c>
      <c r="F5292" s="171" t="s">
        <v>17276</v>
      </c>
      <c r="G5292" s="82"/>
      <c r="H5292" s="96">
        <f t="shared" si="328"/>
        <v>25.36</v>
      </c>
      <c r="I5292" s="96">
        <f t="shared" si="328"/>
        <v>25.88</v>
      </c>
      <c r="J5292" s="91" t="str">
        <f t="shared" si="329"/>
        <v>Sinapi 103044</v>
      </c>
      <c r="K5292" s="91" t="str">
        <f t="shared" si="330"/>
        <v>UN</v>
      </c>
      <c r="L5292" s="166" t="str">
        <f t="shared" si="331"/>
        <v>08/2021</v>
      </c>
      <c r="M5292" s="82"/>
      <c r="N5292" s="82"/>
    </row>
    <row r="5293" spans="1:14" x14ac:dyDescent="0.25">
      <c r="A5293" s="170" t="s">
        <v>14229</v>
      </c>
      <c r="B5293" s="170" t="s">
        <v>14230</v>
      </c>
      <c r="C5293" s="170" t="s">
        <v>205</v>
      </c>
      <c r="D5293" s="170" t="s">
        <v>2067</v>
      </c>
      <c r="E5293" s="171" t="s">
        <v>17404</v>
      </c>
      <c r="F5293" s="171" t="s">
        <v>23422</v>
      </c>
      <c r="G5293" s="82"/>
      <c r="H5293" s="96">
        <f t="shared" si="328"/>
        <v>8.17</v>
      </c>
      <c r="I5293" s="96">
        <f t="shared" si="328"/>
        <v>8.5</v>
      </c>
      <c r="J5293" s="91" t="str">
        <f t="shared" si="329"/>
        <v>Sinapi 103045</v>
      </c>
      <c r="K5293" s="91" t="str">
        <f t="shared" si="330"/>
        <v>UN</v>
      </c>
      <c r="L5293" s="166" t="str">
        <f t="shared" si="331"/>
        <v>08/2021</v>
      </c>
      <c r="M5293" s="82"/>
      <c r="N5293" s="82"/>
    </row>
    <row r="5294" spans="1:14" x14ac:dyDescent="0.25">
      <c r="A5294" s="170" t="s">
        <v>14231</v>
      </c>
      <c r="B5294" s="170" t="s">
        <v>14232</v>
      </c>
      <c r="C5294" s="170" t="s">
        <v>205</v>
      </c>
      <c r="D5294" s="170" t="s">
        <v>2067</v>
      </c>
      <c r="E5294" s="171" t="s">
        <v>17925</v>
      </c>
      <c r="F5294" s="171" t="s">
        <v>34968</v>
      </c>
      <c r="G5294" s="82"/>
      <c r="H5294" s="96">
        <f t="shared" si="328"/>
        <v>19.18</v>
      </c>
      <c r="I5294" s="96">
        <f t="shared" si="328"/>
        <v>19.7</v>
      </c>
      <c r="J5294" s="91" t="str">
        <f t="shared" si="329"/>
        <v>Sinapi 103046</v>
      </c>
      <c r="K5294" s="91" t="str">
        <f t="shared" si="330"/>
        <v>UN</v>
      </c>
      <c r="L5294" s="166" t="str">
        <f t="shared" si="331"/>
        <v>08/2021</v>
      </c>
      <c r="M5294" s="82"/>
      <c r="N5294" s="82"/>
    </row>
    <row r="5295" spans="1:14" x14ac:dyDescent="0.25">
      <c r="A5295" s="170" t="s">
        <v>14233</v>
      </c>
      <c r="B5295" s="170" t="s">
        <v>14234</v>
      </c>
      <c r="C5295" s="170" t="s">
        <v>205</v>
      </c>
      <c r="D5295" s="170" t="s">
        <v>2067</v>
      </c>
      <c r="E5295" s="171" t="s">
        <v>21027</v>
      </c>
      <c r="F5295" s="171" t="s">
        <v>27109</v>
      </c>
      <c r="G5295" s="82"/>
      <c r="H5295" s="96">
        <f t="shared" si="328"/>
        <v>20.32</v>
      </c>
      <c r="I5295" s="96">
        <f t="shared" si="328"/>
        <v>20.72</v>
      </c>
      <c r="J5295" s="91" t="str">
        <f t="shared" si="329"/>
        <v>Sinapi 103047</v>
      </c>
      <c r="K5295" s="91" t="str">
        <f t="shared" si="330"/>
        <v>UN</v>
      </c>
      <c r="L5295" s="166" t="str">
        <f t="shared" si="331"/>
        <v>08/2021</v>
      </c>
      <c r="M5295" s="82"/>
      <c r="N5295" s="82"/>
    </row>
    <row r="5296" spans="1:14" x14ac:dyDescent="0.25">
      <c r="A5296" s="170" t="s">
        <v>14235</v>
      </c>
      <c r="B5296" s="170" t="s">
        <v>14236</v>
      </c>
      <c r="C5296" s="170" t="s">
        <v>205</v>
      </c>
      <c r="D5296" s="170" t="s">
        <v>2067</v>
      </c>
      <c r="E5296" s="171" t="s">
        <v>17922</v>
      </c>
      <c r="F5296" s="171" t="s">
        <v>23472</v>
      </c>
      <c r="G5296" s="82"/>
      <c r="H5296" s="96">
        <f t="shared" si="328"/>
        <v>15.41</v>
      </c>
      <c r="I5296" s="96">
        <f t="shared" si="328"/>
        <v>15.81</v>
      </c>
      <c r="J5296" s="91" t="str">
        <f t="shared" si="329"/>
        <v>Sinapi 103048</v>
      </c>
      <c r="K5296" s="91" t="str">
        <f t="shared" si="330"/>
        <v>UN</v>
      </c>
      <c r="L5296" s="166" t="str">
        <f t="shared" si="331"/>
        <v>08/2021</v>
      </c>
      <c r="M5296" s="82"/>
      <c r="N5296" s="82"/>
    </row>
    <row r="5297" spans="1:14" x14ac:dyDescent="0.25">
      <c r="A5297" s="170" t="s">
        <v>14237</v>
      </c>
      <c r="B5297" s="170" t="s">
        <v>14238</v>
      </c>
      <c r="C5297" s="170" t="s">
        <v>205</v>
      </c>
      <c r="D5297" s="170" t="s">
        <v>2067</v>
      </c>
      <c r="E5297" s="171" t="s">
        <v>19940</v>
      </c>
      <c r="F5297" s="171" t="s">
        <v>14797</v>
      </c>
      <c r="G5297" s="82"/>
      <c r="H5297" s="96">
        <f t="shared" si="328"/>
        <v>16.829999999999998</v>
      </c>
      <c r="I5297" s="96">
        <f t="shared" si="328"/>
        <v>17.2</v>
      </c>
      <c r="J5297" s="91" t="str">
        <f t="shared" si="329"/>
        <v>Sinapi 103049</v>
      </c>
      <c r="K5297" s="91" t="str">
        <f t="shared" si="330"/>
        <v>UN</v>
      </c>
      <c r="L5297" s="166" t="str">
        <f t="shared" si="331"/>
        <v>08/2021</v>
      </c>
      <c r="M5297" s="82"/>
      <c r="N5297" s="82"/>
    </row>
    <row r="5298" spans="1:14" x14ac:dyDescent="0.25">
      <c r="A5298" s="170" t="s">
        <v>14239</v>
      </c>
      <c r="B5298" s="170" t="s">
        <v>14240</v>
      </c>
      <c r="C5298" s="170" t="s">
        <v>205</v>
      </c>
      <c r="D5298" s="170" t="s">
        <v>2067</v>
      </c>
      <c r="E5298" s="171" t="s">
        <v>14319</v>
      </c>
      <c r="F5298" s="171" t="s">
        <v>18422</v>
      </c>
      <c r="G5298" s="82"/>
      <c r="H5298" s="96">
        <f t="shared" si="328"/>
        <v>22.33</v>
      </c>
      <c r="I5298" s="96">
        <f t="shared" si="328"/>
        <v>24.19</v>
      </c>
      <c r="J5298" s="91" t="str">
        <f t="shared" si="329"/>
        <v>Sinapi 103050</v>
      </c>
      <c r="K5298" s="91" t="str">
        <f t="shared" si="330"/>
        <v>UN</v>
      </c>
      <c r="L5298" s="166" t="str">
        <f t="shared" si="331"/>
        <v>08/2021</v>
      </c>
      <c r="M5298" s="82"/>
      <c r="N5298" s="82"/>
    </row>
    <row r="5299" spans="1:14" x14ac:dyDescent="0.25">
      <c r="A5299" s="170" t="s">
        <v>14241</v>
      </c>
      <c r="B5299" s="170" t="s">
        <v>14242</v>
      </c>
      <c r="C5299" s="170" t="s">
        <v>205</v>
      </c>
      <c r="D5299" s="170" t="s">
        <v>2067</v>
      </c>
      <c r="E5299" s="171" t="s">
        <v>23005</v>
      </c>
      <c r="F5299" s="171" t="s">
        <v>18604</v>
      </c>
      <c r="G5299" s="82"/>
      <c r="H5299" s="96">
        <f t="shared" si="328"/>
        <v>26.95</v>
      </c>
      <c r="I5299" s="96">
        <f t="shared" si="328"/>
        <v>29.19</v>
      </c>
      <c r="J5299" s="91" t="str">
        <f t="shared" si="329"/>
        <v>Sinapi 103051</v>
      </c>
      <c r="K5299" s="91" t="str">
        <f t="shared" si="330"/>
        <v>UN</v>
      </c>
      <c r="L5299" s="166" t="str">
        <f t="shared" si="331"/>
        <v>08/2021</v>
      </c>
      <c r="M5299" s="82"/>
      <c r="N5299" s="82"/>
    </row>
    <row r="5300" spans="1:14" x14ac:dyDescent="0.25">
      <c r="A5300" s="170" t="s">
        <v>14243</v>
      </c>
      <c r="B5300" s="170" t="s">
        <v>14244</v>
      </c>
      <c r="C5300" s="170" t="s">
        <v>205</v>
      </c>
      <c r="D5300" s="170" t="s">
        <v>2067</v>
      </c>
      <c r="E5300" s="171" t="s">
        <v>23121</v>
      </c>
      <c r="F5300" s="171" t="s">
        <v>31983</v>
      </c>
      <c r="G5300" s="82"/>
      <c r="H5300" s="96">
        <f t="shared" si="328"/>
        <v>37.090000000000003</v>
      </c>
      <c r="I5300" s="96">
        <f t="shared" si="328"/>
        <v>39.869999999999997</v>
      </c>
      <c r="J5300" s="91" t="str">
        <f t="shared" si="329"/>
        <v>Sinapi 103052</v>
      </c>
      <c r="K5300" s="91" t="str">
        <f t="shared" si="330"/>
        <v>UN</v>
      </c>
      <c r="L5300" s="166" t="str">
        <f t="shared" si="331"/>
        <v>08/2021</v>
      </c>
      <c r="M5300" s="82"/>
      <c r="N5300" s="82"/>
    </row>
    <row r="5301" spans="1:14" x14ac:dyDescent="0.25">
      <c r="A5301" s="170" t="s">
        <v>8018</v>
      </c>
      <c r="B5301" s="170" t="s">
        <v>8019</v>
      </c>
      <c r="C5301" s="170" t="s">
        <v>205</v>
      </c>
      <c r="D5301" s="170" t="s">
        <v>2067</v>
      </c>
      <c r="E5301" s="171" t="s">
        <v>34128</v>
      </c>
      <c r="F5301" s="171" t="s">
        <v>37291</v>
      </c>
      <c r="G5301" s="82"/>
      <c r="H5301" s="96">
        <f t="shared" si="328"/>
        <v>235.53</v>
      </c>
      <c r="I5301" s="96">
        <f t="shared" si="328"/>
        <v>242.48</v>
      </c>
      <c r="J5301" s="91" t="str">
        <f t="shared" si="329"/>
        <v>Sinapi 95634</v>
      </c>
      <c r="K5301" s="91" t="str">
        <f t="shared" si="330"/>
        <v>UN</v>
      </c>
      <c r="L5301" s="166" t="str">
        <f t="shared" si="331"/>
        <v>11/2016</v>
      </c>
      <c r="M5301" s="82"/>
      <c r="N5301" s="82"/>
    </row>
    <row r="5302" spans="1:14" x14ac:dyDescent="0.25">
      <c r="A5302" s="170" t="s">
        <v>8020</v>
      </c>
      <c r="B5302" s="170" t="s">
        <v>8021</v>
      </c>
      <c r="C5302" s="170" t="s">
        <v>205</v>
      </c>
      <c r="D5302" s="170" t="s">
        <v>2067</v>
      </c>
      <c r="E5302" s="171" t="s">
        <v>34129</v>
      </c>
      <c r="F5302" s="171" t="s">
        <v>37292</v>
      </c>
      <c r="G5302" s="82"/>
      <c r="H5302" s="96">
        <f t="shared" si="328"/>
        <v>247.88</v>
      </c>
      <c r="I5302" s="96">
        <f t="shared" si="328"/>
        <v>255.92</v>
      </c>
      <c r="J5302" s="91" t="str">
        <f t="shared" si="329"/>
        <v>Sinapi 95635</v>
      </c>
      <c r="K5302" s="91" t="str">
        <f t="shared" si="330"/>
        <v>UN</v>
      </c>
      <c r="L5302" s="166" t="str">
        <f t="shared" si="331"/>
        <v>11/2016</v>
      </c>
      <c r="M5302" s="82"/>
      <c r="N5302" s="82"/>
    </row>
    <row r="5303" spans="1:14" x14ac:dyDescent="0.25">
      <c r="A5303" s="170" t="s">
        <v>13429</v>
      </c>
      <c r="B5303" s="170" t="s">
        <v>13430</v>
      </c>
      <c r="C5303" s="170" t="s">
        <v>205</v>
      </c>
      <c r="D5303" s="170" t="s">
        <v>1947</v>
      </c>
      <c r="E5303" s="171" t="s">
        <v>34130</v>
      </c>
      <c r="F5303" s="171" t="s">
        <v>37293</v>
      </c>
      <c r="G5303" s="82"/>
      <c r="H5303" s="96">
        <f t="shared" si="328"/>
        <v>318.77999999999997</v>
      </c>
      <c r="I5303" s="96">
        <f t="shared" si="328"/>
        <v>334.26</v>
      </c>
      <c r="J5303" s="91" t="str">
        <f t="shared" si="329"/>
        <v>Sinapi 95636</v>
      </c>
      <c r="K5303" s="91" t="str">
        <f t="shared" si="330"/>
        <v>UN</v>
      </c>
      <c r="L5303" s="166" t="str">
        <f t="shared" si="331"/>
        <v>11/2016</v>
      </c>
      <c r="M5303" s="82"/>
      <c r="N5303" s="82"/>
    </row>
    <row r="5304" spans="1:14" x14ac:dyDescent="0.25">
      <c r="A5304" s="170" t="s">
        <v>8022</v>
      </c>
      <c r="B5304" s="170" t="s">
        <v>8023</v>
      </c>
      <c r="C5304" s="170" t="s">
        <v>205</v>
      </c>
      <c r="D5304" s="170" t="s">
        <v>1947</v>
      </c>
      <c r="E5304" s="171" t="s">
        <v>34131</v>
      </c>
      <c r="F5304" s="171" t="s">
        <v>37294</v>
      </c>
      <c r="G5304" s="82"/>
      <c r="H5304" s="96">
        <f t="shared" si="328"/>
        <v>496.07</v>
      </c>
      <c r="I5304" s="96">
        <f t="shared" si="328"/>
        <v>522.58000000000004</v>
      </c>
      <c r="J5304" s="91" t="str">
        <f t="shared" si="329"/>
        <v>Sinapi 95637</v>
      </c>
      <c r="K5304" s="91" t="str">
        <f t="shared" si="330"/>
        <v>UN</v>
      </c>
      <c r="L5304" s="166" t="str">
        <f t="shared" si="331"/>
        <v>11/2016</v>
      </c>
      <c r="M5304" s="82"/>
      <c r="N5304" s="82"/>
    </row>
    <row r="5305" spans="1:14" x14ac:dyDescent="0.25">
      <c r="A5305" s="170" t="s">
        <v>8024</v>
      </c>
      <c r="B5305" s="170" t="s">
        <v>8025</v>
      </c>
      <c r="C5305" s="170" t="s">
        <v>205</v>
      </c>
      <c r="D5305" s="170" t="s">
        <v>1947</v>
      </c>
      <c r="E5305" s="171" t="s">
        <v>34132</v>
      </c>
      <c r="F5305" s="171" t="s">
        <v>37295</v>
      </c>
      <c r="G5305" s="82"/>
      <c r="H5305" s="96">
        <f t="shared" si="328"/>
        <v>604.63</v>
      </c>
      <c r="I5305" s="96">
        <f t="shared" si="328"/>
        <v>635.19000000000005</v>
      </c>
      <c r="J5305" s="91" t="str">
        <f t="shared" si="329"/>
        <v>Sinapi 95638</v>
      </c>
      <c r="K5305" s="91" t="str">
        <f t="shared" si="330"/>
        <v>UN</v>
      </c>
      <c r="L5305" s="166" t="str">
        <f t="shared" si="331"/>
        <v>11/2016</v>
      </c>
      <c r="M5305" s="82"/>
      <c r="N5305" s="82"/>
    </row>
    <row r="5306" spans="1:14" x14ac:dyDescent="0.25">
      <c r="A5306" s="170" t="s">
        <v>8026</v>
      </c>
      <c r="B5306" s="170" t="s">
        <v>8027</v>
      </c>
      <c r="C5306" s="170" t="s">
        <v>205</v>
      </c>
      <c r="D5306" s="170" t="s">
        <v>1947</v>
      </c>
      <c r="E5306" s="171" t="s">
        <v>34133</v>
      </c>
      <c r="F5306" s="171" t="s">
        <v>37296</v>
      </c>
      <c r="G5306" s="82"/>
      <c r="H5306" s="96">
        <f t="shared" si="328"/>
        <v>781.06</v>
      </c>
      <c r="I5306" s="96">
        <f t="shared" si="328"/>
        <v>812.52</v>
      </c>
      <c r="J5306" s="91" t="str">
        <f t="shared" si="329"/>
        <v>Sinapi 95639</v>
      </c>
      <c r="K5306" s="91" t="str">
        <f t="shared" si="330"/>
        <v>UN</v>
      </c>
      <c r="L5306" s="166" t="str">
        <f t="shared" si="331"/>
        <v>11/2016</v>
      </c>
      <c r="M5306" s="82"/>
      <c r="N5306" s="82"/>
    </row>
    <row r="5307" spans="1:14" x14ac:dyDescent="0.25">
      <c r="A5307" s="170" t="s">
        <v>8028</v>
      </c>
      <c r="B5307" s="170" t="s">
        <v>8029</v>
      </c>
      <c r="C5307" s="170" t="s">
        <v>205</v>
      </c>
      <c r="D5307" s="170" t="s">
        <v>2067</v>
      </c>
      <c r="E5307" s="171" t="s">
        <v>34134</v>
      </c>
      <c r="F5307" s="171" t="s">
        <v>37297</v>
      </c>
      <c r="G5307" s="82"/>
      <c r="H5307" s="96">
        <f t="shared" si="328"/>
        <v>277.11</v>
      </c>
      <c r="I5307" s="96">
        <f t="shared" si="328"/>
        <v>289.12</v>
      </c>
      <c r="J5307" s="91" t="str">
        <f t="shared" si="329"/>
        <v>Sinapi 95641</v>
      </c>
      <c r="K5307" s="91" t="str">
        <f t="shared" si="330"/>
        <v>UN</v>
      </c>
      <c r="L5307" s="166" t="str">
        <f t="shared" si="331"/>
        <v>11/2016</v>
      </c>
      <c r="M5307" s="82"/>
      <c r="N5307" s="82"/>
    </row>
    <row r="5308" spans="1:14" x14ac:dyDescent="0.25">
      <c r="A5308" s="170" t="s">
        <v>8030</v>
      </c>
      <c r="B5308" s="170" t="s">
        <v>8031</v>
      </c>
      <c r="C5308" s="170" t="s">
        <v>205</v>
      </c>
      <c r="D5308" s="170" t="s">
        <v>2067</v>
      </c>
      <c r="E5308" s="171" t="s">
        <v>34135</v>
      </c>
      <c r="F5308" s="171" t="s">
        <v>28243</v>
      </c>
      <c r="G5308" s="82"/>
      <c r="H5308" s="96">
        <f t="shared" si="328"/>
        <v>409.3</v>
      </c>
      <c r="I5308" s="96">
        <f t="shared" si="328"/>
        <v>427.06</v>
      </c>
      <c r="J5308" s="91" t="str">
        <f t="shared" si="329"/>
        <v>Sinapi 95642</v>
      </c>
      <c r="K5308" s="91" t="str">
        <f t="shared" si="330"/>
        <v>UN</v>
      </c>
      <c r="L5308" s="166" t="str">
        <f t="shared" si="331"/>
        <v>11/2016</v>
      </c>
      <c r="M5308" s="82"/>
      <c r="N5308" s="82"/>
    </row>
    <row r="5309" spans="1:14" x14ac:dyDescent="0.25">
      <c r="A5309" s="170" t="s">
        <v>8032</v>
      </c>
      <c r="B5309" s="170" t="s">
        <v>8033</v>
      </c>
      <c r="C5309" s="170" t="s">
        <v>205</v>
      </c>
      <c r="D5309" s="170" t="s">
        <v>2067</v>
      </c>
      <c r="E5309" s="171" t="s">
        <v>34136</v>
      </c>
      <c r="F5309" s="171" t="s">
        <v>37298</v>
      </c>
      <c r="G5309" s="82"/>
      <c r="H5309" s="96">
        <f t="shared" si="328"/>
        <v>535.1</v>
      </c>
      <c r="I5309" s="96">
        <f t="shared" si="328"/>
        <v>558.22</v>
      </c>
      <c r="J5309" s="91" t="str">
        <f t="shared" si="329"/>
        <v>Sinapi 95643</v>
      </c>
      <c r="K5309" s="91" t="str">
        <f t="shared" si="330"/>
        <v>UN</v>
      </c>
      <c r="L5309" s="166" t="str">
        <f t="shared" si="331"/>
        <v>11/2016</v>
      </c>
      <c r="M5309" s="82"/>
      <c r="N5309" s="82"/>
    </row>
    <row r="5310" spans="1:14" x14ac:dyDescent="0.25">
      <c r="A5310" s="170" t="s">
        <v>8034</v>
      </c>
      <c r="B5310" s="170" t="s">
        <v>8035</v>
      </c>
      <c r="C5310" s="170" t="s">
        <v>205</v>
      </c>
      <c r="D5310" s="170" t="s">
        <v>2067</v>
      </c>
      <c r="E5310" s="171" t="s">
        <v>34137</v>
      </c>
      <c r="F5310" s="171" t="s">
        <v>37299</v>
      </c>
      <c r="G5310" s="82"/>
      <c r="H5310" s="96">
        <f t="shared" si="328"/>
        <v>203.7</v>
      </c>
      <c r="I5310" s="96">
        <f t="shared" si="328"/>
        <v>211.3</v>
      </c>
      <c r="J5310" s="91" t="str">
        <f t="shared" si="329"/>
        <v>Sinapi 95644</v>
      </c>
      <c r="K5310" s="91" t="str">
        <f t="shared" si="330"/>
        <v>UN</v>
      </c>
      <c r="L5310" s="166" t="str">
        <f t="shared" si="331"/>
        <v>11/2016</v>
      </c>
      <c r="M5310" s="82"/>
      <c r="N5310" s="82"/>
    </row>
    <row r="5311" spans="1:14" x14ac:dyDescent="0.25">
      <c r="A5311" s="170" t="s">
        <v>8036</v>
      </c>
      <c r="B5311" s="170" t="s">
        <v>8037</v>
      </c>
      <c r="C5311" s="170" t="s">
        <v>205</v>
      </c>
      <c r="D5311" s="170" t="s">
        <v>2067</v>
      </c>
      <c r="E5311" s="171" t="s">
        <v>34138</v>
      </c>
      <c r="F5311" s="171" t="s">
        <v>37300</v>
      </c>
      <c r="G5311" s="82"/>
      <c r="H5311" s="96">
        <f t="shared" si="328"/>
        <v>371.1</v>
      </c>
      <c r="I5311" s="96">
        <f t="shared" si="328"/>
        <v>384.61</v>
      </c>
      <c r="J5311" s="91" t="str">
        <f t="shared" si="329"/>
        <v>Sinapi 95645</v>
      </c>
      <c r="K5311" s="91" t="str">
        <f t="shared" si="330"/>
        <v>UN</v>
      </c>
      <c r="L5311" s="166" t="str">
        <f t="shared" si="331"/>
        <v>11/2016</v>
      </c>
      <c r="M5311" s="82"/>
      <c r="N5311" s="82"/>
    </row>
    <row r="5312" spans="1:14" x14ac:dyDescent="0.25">
      <c r="A5312" s="170" t="s">
        <v>8038</v>
      </c>
      <c r="B5312" s="170" t="s">
        <v>8039</v>
      </c>
      <c r="C5312" s="170" t="s">
        <v>205</v>
      </c>
      <c r="D5312" s="170" t="s">
        <v>2067</v>
      </c>
      <c r="E5312" s="171" t="s">
        <v>34139</v>
      </c>
      <c r="F5312" s="171" t="s">
        <v>37301</v>
      </c>
      <c r="G5312" s="82"/>
      <c r="H5312" s="96">
        <f t="shared" si="328"/>
        <v>553</v>
      </c>
      <c r="I5312" s="96">
        <f t="shared" si="328"/>
        <v>573.07000000000005</v>
      </c>
      <c r="J5312" s="91" t="str">
        <f t="shared" si="329"/>
        <v>Sinapi 95646</v>
      </c>
      <c r="K5312" s="91" t="str">
        <f t="shared" si="330"/>
        <v>UN</v>
      </c>
      <c r="L5312" s="166" t="str">
        <f t="shared" si="331"/>
        <v>11/2016</v>
      </c>
      <c r="M5312" s="82"/>
      <c r="N5312" s="82"/>
    </row>
    <row r="5313" spans="1:14" x14ac:dyDescent="0.25">
      <c r="A5313" s="170" t="s">
        <v>8040</v>
      </c>
      <c r="B5313" s="170" t="s">
        <v>8041</v>
      </c>
      <c r="C5313" s="170" t="s">
        <v>205</v>
      </c>
      <c r="D5313" s="170" t="s">
        <v>2067</v>
      </c>
      <c r="E5313" s="171" t="s">
        <v>34140</v>
      </c>
      <c r="F5313" s="171" t="s">
        <v>37302</v>
      </c>
      <c r="G5313" s="82"/>
      <c r="H5313" s="96">
        <f t="shared" si="328"/>
        <v>724.54</v>
      </c>
      <c r="I5313" s="96">
        <f t="shared" si="328"/>
        <v>750.67</v>
      </c>
      <c r="J5313" s="91" t="str">
        <f t="shared" si="329"/>
        <v>Sinapi 95647</v>
      </c>
      <c r="K5313" s="91" t="str">
        <f t="shared" si="330"/>
        <v>UN</v>
      </c>
      <c r="L5313" s="166" t="str">
        <f t="shared" si="331"/>
        <v>11/2016</v>
      </c>
      <c r="M5313" s="82"/>
      <c r="N5313" s="82"/>
    </row>
    <row r="5314" spans="1:14" x14ac:dyDescent="0.25">
      <c r="A5314" s="170" t="s">
        <v>18371</v>
      </c>
      <c r="B5314" s="170" t="s">
        <v>18372</v>
      </c>
      <c r="C5314" s="170" t="s">
        <v>205</v>
      </c>
      <c r="D5314" s="170" t="s">
        <v>2067</v>
      </c>
      <c r="E5314" s="171" t="s">
        <v>34141</v>
      </c>
      <c r="F5314" s="171" t="s">
        <v>37303</v>
      </c>
      <c r="G5314" s="82"/>
      <c r="H5314" s="96">
        <f t="shared" si="328"/>
        <v>598.14</v>
      </c>
      <c r="I5314" s="96">
        <f t="shared" si="328"/>
        <v>605.49</v>
      </c>
      <c r="J5314" s="91" t="str">
        <f t="shared" si="329"/>
        <v>Sinapi 95648</v>
      </c>
      <c r="K5314" s="91" t="str">
        <f t="shared" si="330"/>
        <v>UN</v>
      </c>
      <c r="L5314" s="166" t="str">
        <f t="shared" si="331"/>
        <v>11/2016</v>
      </c>
      <c r="M5314" s="82"/>
      <c r="N5314" s="82"/>
    </row>
    <row r="5315" spans="1:14" x14ac:dyDescent="0.25">
      <c r="A5315" s="170" t="s">
        <v>18373</v>
      </c>
      <c r="B5315" s="170" t="s">
        <v>18374</v>
      </c>
      <c r="C5315" s="170" t="s">
        <v>205</v>
      </c>
      <c r="D5315" s="170" t="s">
        <v>2067</v>
      </c>
      <c r="E5315" s="171" t="s">
        <v>34142</v>
      </c>
      <c r="F5315" s="171" t="s">
        <v>37304</v>
      </c>
      <c r="G5315" s="82"/>
      <c r="H5315" s="96">
        <f t="shared" si="328"/>
        <v>1019.81</v>
      </c>
      <c r="I5315" s="96">
        <f t="shared" si="328"/>
        <v>1032.69</v>
      </c>
      <c r="J5315" s="91" t="str">
        <f t="shared" si="329"/>
        <v>Sinapi 95649</v>
      </c>
      <c r="K5315" s="91" t="str">
        <f t="shared" si="330"/>
        <v>UN</v>
      </c>
      <c r="L5315" s="166" t="str">
        <f t="shared" si="331"/>
        <v>11/2016</v>
      </c>
      <c r="M5315" s="82"/>
      <c r="N5315" s="82"/>
    </row>
    <row r="5316" spans="1:14" x14ac:dyDescent="0.25">
      <c r="A5316" s="170" t="s">
        <v>18375</v>
      </c>
      <c r="B5316" s="170" t="s">
        <v>18376</v>
      </c>
      <c r="C5316" s="170" t="s">
        <v>205</v>
      </c>
      <c r="D5316" s="170" t="s">
        <v>2067</v>
      </c>
      <c r="E5316" s="171" t="s">
        <v>34143</v>
      </c>
      <c r="F5316" s="171" t="s">
        <v>37305</v>
      </c>
      <c r="G5316" s="82"/>
      <c r="H5316" s="96">
        <f t="shared" si="328"/>
        <v>1486.16</v>
      </c>
      <c r="I5316" s="96">
        <f t="shared" si="328"/>
        <v>1505.21</v>
      </c>
      <c r="J5316" s="91" t="str">
        <f t="shared" si="329"/>
        <v>Sinapi 95650</v>
      </c>
      <c r="K5316" s="91" t="str">
        <f t="shared" si="330"/>
        <v>UN</v>
      </c>
      <c r="L5316" s="166" t="str">
        <f t="shared" si="331"/>
        <v>11/2016</v>
      </c>
      <c r="M5316" s="82"/>
      <c r="N5316" s="82"/>
    </row>
    <row r="5317" spans="1:14" x14ac:dyDescent="0.25">
      <c r="A5317" s="170" t="s">
        <v>18377</v>
      </c>
      <c r="B5317" s="170" t="s">
        <v>18378</v>
      </c>
      <c r="C5317" s="170" t="s">
        <v>205</v>
      </c>
      <c r="D5317" s="170" t="s">
        <v>2067</v>
      </c>
      <c r="E5317" s="171" t="s">
        <v>34144</v>
      </c>
      <c r="F5317" s="171" t="s">
        <v>37306</v>
      </c>
      <c r="G5317" s="82"/>
      <c r="H5317" s="96">
        <f t="shared" si="328"/>
        <v>1926.24</v>
      </c>
      <c r="I5317" s="96">
        <f t="shared" si="328"/>
        <v>1951.03</v>
      </c>
      <c r="J5317" s="91" t="str">
        <f t="shared" si="329"/>
        <v>Sinapi 95651</v>
      </c>
      <c r="K5317" s="91" t="str">
        <f t="shared" si="330"/>
        <v>UN</v>
      </c>
      <c r="L5317" s="166" t="str">
        <f t="shared" si="331"/>
        <v>11/2016</v>
      </c>
      <c r="M5317" s="82"/>
      <c r="N5317" s="82"/>
    </row>
    <row r="5318" spans="1:14" x14ac:dyDescent="0.25">
      <c r="A5318" s="170" t="s">
        <v>18379</v>
      </c>
      <c r="B5318" s="170" t="s">
        <v>18380</v>
      </c>
      <c r="C5318" s="170" t="s">
        <v>205</v>
      </c>
      <c r="D5318" s="170" t="s">
        <v>2067</v>
      </c>
      <c r="E5318" s="171" t="s">
        <v>34145</v>
      </c>
      <c r="F5318" s="171" t="s">
        <v>37307</v>
      </c>
      <c r="G5318" s="82"/>
      <c r="H5318" s="96">
        <f t="shared" si="328"/>
        <v>743.42</v>
      </c>
      <c r="I5318" s="96">
        <f t="shared" si="328"/>
        <v>751.58</v>
      </c>
      <c r="J5318" s="91" t="str">
        <f t="shared" si="329"/>
        <v>Sinapi 95652</v>
      </c>
      <c r="K5318" s="91" t="str">
        <f t="shared" si="330"/>
        <v>UN</v>
      </c>
      <c r="L5318" s="166" t="str">
        <f t="shared" si="331"/>
        <v>11/2016</v>
      </c>
      <c r="M5318" s="82"/>
      <c r="N5318" s="82"/>
    </row>
    <row r="5319" spans="1:14" x14ac:dyDescent="0.25">
      <c r="A5319" s="170" t="s">
        <v>18381</v>
      </c>
      <c r="B5319" s="170" t="s">
        <v>18382</v>
      </c>
      <c r="C5319" s="170" t="s">
        <v>205</v>
      </c>
      <c r="D5319" s="170" t="s">
        <v>2067</v>
      </c>
      <c r="E5319" s="171" t="s">
        <v>34146</v>
      </c>
      <c r="F5319" s="171" t="s">
        <v>37308</v>
      </c>
      <c r="G5319" s="82"/>
      <c r="H5319" s="96">
        <f t="shared" si="328"/>
        <v>1308.28</v>
      </c>
      <c r="I5319" s="96">
        <f t="shared" si="328"/>
        <v>1322.78</v>
      </c>
      <c r="J5319" s="91" t="str">
        <f t="shared" si="329"/>
        <v>Sinapi 95653</v>
      </c>
      <c r="K5319" s="91" t="str">
        <f t="shared" si="330"/>
        <v>UN</v>
      </c>
      <c r="L5319" s="166" t="str">
        <f t="shared" si="331"/>
        <v>11/2016</v>
      </c>
      <c r="M5319" s="82"/>
      <c r="N5319" s="82"/>
    </row>
    <row r="5320" spans="1:14" x14ac:dyDescent="0.25">
      <c r="A5320" s="170" t="s">
        <v>18383</v>
      </c>
      <c r="B5320" s="170" t="s">
        <v>18384</v>
      </c>
      <c r="C5320" s="170" t="s">
        <v>205</v>
      </c>
      <c r="D5320" s="170" t="s">
        <v>2067</v>
      </c>
      <c r="E5320" s="171" t="s">
        <v>34147</v>
      </c>
      <c r="F5320" s="171" t="s">
        <v>37309</v>
      </c>
      <c r="G5320" s="82"/>
      <c r="H5320" s="96">
        <f t="shared" ref="H5320:I5383" si="332">IF(E5320="","",E5320+0)</f>
        <v>1924.04</v>
      </c>
      <c r="I5320" s="96">
        <f t="shared" si="332"/>
        <v>1945.56</v>
      </c>
      <c r="J5320" s="91" t="str">
        <f t="shared" ref="J5320:J5383" si="333">IF(OR(H5320="",I5320=""),"",TRIM(CONCATENATE("Sinapi ",A5320)))</f>
        <v>Sinapi 95654</v>
      </c>
      <c r="K5320" s="91" t="str">
        <f t="shared" ref="K5320:K5383" si="334">TRIM(C5320)</f>
        <v>UN</v>
      </c>
      <c r="L5320" s="166" t="str">
        <f t="shared" ref="L5320:L5383" si="335">IF(OR(RIGHT(IF(AND(K5320&lt;&gt;"H",K5320&lt;&gt;"MES"),RIGHT(B5320,7),""),2)="PS",RIGHT(IF(AND(K5320&lt;&gt;"H",K5320&lt;&gt;"MES"),RIGHT(B5320,7),""),2)="PA",RIGHT(IF(AND(K5320&lt;&gt;"H",K5320&lt;&gt;"MES"),RIGHT(B5320,7),""),2)="PE"),LEFT(IF(AND(K5320&lt;&gt;"H",K5320&lt;&gt;"MES"),RIGHT(B5320,10),""),7),IF(AND(K5320&lt;&gt;"H",K5320&lt;&gt;"MES"),RIGHT(B5320,7),""))</f>
        <v>11/2016</v>
      </c>
      <c r="M5320" s="82"/>
      <c r="N5320" s="82"/>
    </row>
    <row r="5321" spans="1:14" x14ac:dyDescent="0.25">
      <c r="A5321" s="170" t="s">
        <v>18385</v>
      </c>
      <c r="B5321" s="170" t="s">
        <v>18386</v>
      </c>
      <c r="C5321" s="170" t="s">
        <v>205</v>
      </c>
      <c r="D5321" s="170" t="s">
        <v>2067</v>
      </c>
      <c r="E5321" s="171" t="s">
        <v>34148</v>
      </c>
      <c r="F5321" s="171" t="s">
        <v>37310</v>
      </c>
      <c r="G5321" s="82"/>
      <c r="H5321" s="96">
        <f t="shared" si="332"/>
        <v>2505.9699999999998</v>
      </c>
      <c r="I5321" s="96">
        <f t="shared" si="332"/>
        <v>2533.9899999999998</v>
      </c>
      <c r="J5321" s="91" t="str">
        <f t="shared" si="333"/>
        <v>Sinapi 95655</v>
      </c>
      <c r="K5321" s="91" t="str">
        <f t="shared" si="334"/>
        <v>UN</v>
      </c>
      <c r="L5321" s="166" t="str">
        <f t="shared" si="335"/>
        <v>11/2016</v>
      </c>
      <c r="M5321" s="82"/>
      <c r="N5321" s="82"/>
    </row>
    <row r="5322" spans="1:14" x14ac:dyDescent="0.25">
      <c r="A5322" s="170" t="s">
        <v>18387</v>
      </c>
      <c r="B5322" s="170" t="s">
        <v>18388</v>
      </c>
      <c r="C5322" s="170" t="s">
        <v>205</v>
      </c>
      <c r="D5322" s="170" t="s">
        <v>1947</v>
      </c>
      <c r="E5322" s="171" t="s">
        <v>22927</v>
      </c>
      <c r="F5322" s="171" t="s">
        <v>37311</v>
      </c>
      <c r="G5322" s="82"/>
      <c r="H5322" s="96">
        <f t="shared" si="332"/>
        <v>224.3</v>
      </c>
      <c r="I5322" s="96">
        <f t="shared" si="332"/>
        <v>230.91</v>
      </c>
      <c r="J5322" s="91" t="str">
        <f t="shared" si="333"/>
        <v>Sinapi 95657</v>
      </c>
      <c r="K5322" s="91" t="str">
        <f t="shared" si="334"/>
        <v>UN</v>
      </c>
      <c r="L5322" s="166" t="str">
        <f t="shared" si="335"/>
        <v>11/2016</v>
      </c>
      <c r="M5322" s="82"/>
      <c r="N5322" s="82"/>
    </row>
    <row r="5323" spans="1:14" x14ac:dyDescent="0.25">
      <c r="A5323" s="170" t="s">
        <v>18389</v>
      </c>
      <c r="B5323" s="170" t="s">
        <v>18390</v>
      </c>
      <c r="C5323" s="170" t="s">
        <v>205</v>
      </c>
      <c r="D5323" s="170" t="s">
        <v>1947</v>
      </c>
      <c r="E5323" s="171" t="s">
        <v>34149</v>
      </c>
      <c r="F5323" s="171" t="s">
        <v>37312</v>
      </c>
      <c r="G5323" s="82"/>
      <c r="H5323" s="96">
        <f t="shared" si="332"/>
        <v>420.08</v>
      </c>
      <c r="I5323" s="96">
        <f t="shared" si="332"/>
        <v>432.9</v>
      </c>
      <c r="J5323" s="91" t="str">
        <f t="shared" si="333"/>
        <v>Sinapi 95658</v>
      </c>
      <c r="K5323" s="91" t="str">
        <f t="shared" si="334"/>
        <v>UN</v>
      </c>
      <c r="L5323" s="166" t="str">
        <f t="shared" si="335"/>
        <v>11/2016</v>
      </c>
      <c r="M5323" s="82"/>
      <c r="N5323" s="82"/>
    </row>
    <row r="5324" spans="1:14" x14ac:dyDescent="0.25">
      <c r="A5324" s="170" t="s">
        <v>18391</v>
      </c>
      <c r="B5324" s="170" t="s">
        <v>18392</v>
      </c>
      <c r="C5324" s="170" t="s">
        <v>205</v>
      </c>
      <c r="D5324" s="170" t="s">
        <v>1947</v>
      </c>
      <c r="E5324" s="171" t="s">
        <v>34150</v>
      </c>
      <c r="F5324" s="171" t="s">
        <v>37303</v>
      </c>
      <c r="G5324" s="82"/>
      <c r="H5324" s="96">
        <f t="shared" si="332"/>
        <v>585.47</v>
      </c>
      <c r="I5324" s="96">
        <f t="shared" si="332"/>
        <v>605.49</v>
      </c>
      <c r="J5324" s="91" t="str">
        <f t="shared" si="333"/>
        <v>Sinapi 95659</v>
      </c>
      <c r="K5324" s="91" t="str">
        <f t="shared" si="334"/>
        <v>UN</v>
      </c>
      <c r="L5324" s="166" t="str">
        <f t="shared" si="335"/>
        <v>11/2016</v>
      </c>
      <c r="M5324" s="82"/>
      <c r="N5324" s="82"/>
    </row>
    <row r="5325" spans="1:14" x14ac:dyDescent="0.25">
      <c r="A5325" s="170" t="s">
        <v>18393</v>
      </c>
      <c r="B5325" s="170" t="s">
        <v>18394</v>
      </c>
      <c r="C5325" s="170" t="s">
        <v>205</v>
      </c>
      <c r="D5325" s="170" t="s">
        <v>1947</v>
      </c>
      <c r="E5325" s="171" t="s">
        <v>34151</v>
      </c>
      <c r="F5325" s="171" t="s">
        <v>37313</v>
      </c>
      <c r="G5325" s="82"/>
      <c r="H5325" s="96">
        <f t="shared" si="332"/>
        <v>835.91</v>
      </c>
      <c r="I5325" s="96">
        <f t="shared" si="332"/>
        <v>862.24</v>
      </c>
      <c r="J5325" s="91" t="str">
        <f t="shared" si="333"/>
        <v>Sinapi 95660</v>
      </c>
      <c r="K5325" s="91" t="str">
        <f t="shared" si="334"/>
        <v>UN</v>
      </c>
      <c r="L5325" s="166" t="str">
        <f t="shared" si="335"/>
        <v>11/2016</v>
      </c>
      <c r="M5325" s="82"/>
      <c r="N5325" s="82"/>
    </row>
    <row r="5326" spans="1:14" x14ac:dyDescent="0.25">
      <c r="A5326" s="170" t="s">
        <v>18395</v>
      </c>
      <c r="B5326" s="170" t="s">
        <v>18396</v>
      </c>
      <c r="C5326" s="170" t="s">
        <v>205</v>
      </c>
      <c r="D5326" s="170" t="s">
        <v>1947</v>
      </c>
      <c r="E5326" s="171" t="s">
        <v>34152</v>
      </c>
      <c r="F5326" s="171" t="s">
        <v>37314</v>
      </c>
      <c r="G5326" s="82"/>
      <c r="H5326" s="96">
        <f t="shared" si="332"/>
        <v>286.02</v>
      </c>
      <c r="I5326" s="96">
        <f t="shared" si="332"/>
        <v>293.91000000000003</v>
      </c>
      <c r="J5326" s="91" t="str">
        <f t="shared" si="333"/>
        <v>Sinapi 95661</v>
      </c>
      <c r="K5326" s="91" t="str">
        <f t="shared" si="334"/>
        <v>UN</v>
      </c>
      <c r="L5326" s="166" t="str">
        <f t="shared" si="335"/>
        <v>11/2016</v>
      </c>
      <c r="M5326" s="82"/>
      <c r="N5326" s="82"/>
    </row>
    <row r="5327" spans="1:14" x14ac:dyDescent="0.25">
      <c r="A5327" s="170" t="s">
        <v>18397</v>
      </c>
      <c r="B5327" s="170" t="s">
        <v>18398</v>
      </c>
      <c r="C5327" s="170" t="s">
        <v>205</v>
      </c>
      <c r="D5327" s="170" t="s">
        <v>1947</v>
      </c>
      <c r="E5327" s="171" t="s">
        <v>34153</v>
      </c>
      <c r="F5327" s="171" t="s">
        <v>37315</v>
      </c>
      <c r="G5327" s="82"/>
      <c r="H5327" s="96">
        <f t="shared" si="332"/>
        <v>544.46</v>
      </c>
      <c r="I5327" s="96">
        <f t="shared" si="332"/>
        <v>560.02</v>
      </c>
      <c r="J5327" s="91" t="str">
        <f t="shared" si="333"/>
        <v>Sinapi 95662</v>
      </c>
      <c r="K5327" s="91" t="str">
        <f t="shared" si="334"/>
        <v>UN</v>
      </c>
      <c r="L5327" s="166" t="str">
        <f t="shared" si="335"/>
        <v>11/2016</v>
      </c>
      <c r="M5327" s="82"/>
      <c r="N5327" s="82"/>
    </row>
    <row r="5328" spans="1:14" x14ac:dyDescent="0.25">
      <c r="A5328" s="170" t="s">
        <v>18399</v>
      </c>
      <c r="B5328" s="170" t="s">
        <v>18400</v>
      </c>
      <c r="C5328" s="170" t="s">
        <v>205</v>
      </c>
      <c r="D5328" s="170" t="s">
        <v>1947</v>
      </c>
      <c r="E5328" s="171" t="s">
        <v>34154</v>
      </c>
      <c r="F5328" s="171" t="s">
        <v>37316</v>
      </c>
      <c r="G5328" s="82"/>
      <c r="H5328" s="96">
        <f t="shared" si="332"/>
        <v>821.93</v>
      </c>
      <c r="I5328" s="96">
        <f t="shared" si="332"/>
        <v>845.8</v>
      </c>
      <c r="J5328" s="91" t="str">
        <f t="shared" si="333"/>
        <v>Sinapi 95663</v>
      </c>
      <c r="K5328" s="91" t="str">
        <f t="shared" si="334"/>
        <v>UN</v>
      </c>
      <c r="L5328" s="166" t="str">
        <f t="shared" si="335"/>
        <v>11/2016</v>
      </c>
      <c r="M5328" s="82"/>
      <c r="N5328" s="82"/>
    </row>
    <row r="5329" spans="1:14" x14ac:dyDescent="0.25">
      <c r="A5329" s="170" t="s">
        <v>18401</v>
      </c>
      <c r="B5329" s="170" t="s">
        <v>18402</v>
      </c>
      <c r="C5329" s="170" t="s">
        <v>205</v>
      </c>
      <c r="D5329" s="170" t="s">
        <v>1947</v>
      </c>
      <c r="E5329" s="171" t="s">
        <v>34155</v>
      </c>
      <c r="F5329" s="171" t="s">
        <v>37317</v>
      </c>
      <c r="G5329" s="82"/>
      <c r="H5329" s="96">
        <f t="shared" si="332"/>
        <v>1081.92</v>
      </c>
      <c r="I5329" s="96">
        <f t="shared" si="332"/>
        <v>1113.32</v>
      </c>
      <c r="J5329" s="91" t="str">
        <f t="shared" si="333"/>
        <v>Sinapi 95664</v>
      </c>
      <c r="K5329" s="91" t="str">
        <f t="shared" si="334"/>
        <v>UN</v>
      </c>
      <c r="L5329" s="166" t="str">
        <f t="shared" si="335"/>
        <v>11/2016</v>
      </c>
      <c r="M5329" s="82"/>
      <c r="N5329" s="82"/>
    </row>
    <row r="5330" spans="1:14" x14ac:dyDescent="0.25">
      <c r="A5330" s="170" t="s">
        <v>18403</v>
      </c>
      <c r="B5330" s="170" t="s">
        <v>18404</v>
      </c>
      <c r="C5330" s="170" t="s">
        <v>205</v>
      </c>
      <c r="D5330" s="170" t="s">
        <v>1947</v>
      </c>
      <c r="E5330" s="171" t="s">
        <v>32012</v>
      </c>
      <c r="F5330" s="171" t="s">
        <v>37318</v>
      </c>
      <c r="G5330" s="82"/>
      <c r="H5330" s="96">
        <f t="shared" si="332"/>
        <v>235.32</v>
      </c>
      <c r="I5330" s="96">
        <f t="shared" si="332"/>
        <v>242.23</v>
      </c>
      <c r="J5330" s="91" t="str">
        <f t="shared" si="333"/>
        <v>Sinapi 95665</v>
      </c>
      <c r="K5330" s="91" t="str">
        <f t="shared" si="334"/>
        <v>UN</v>
      </c>
      <c r="L5330" s="166" t="str">
        <f t="shared" si="335"/>
        <v>11/2016</v>
      </c>
      <c r="M5330" s="82"/>
      <c r="N5330" s="82"/>
    </row>
    <row r="5331" spans="1:14" x14ac:dyDescent="0.25">
      <c r="A5331" s="170" t="s">
        <v>18405</v>
      </c>
      <c r="B5331" s="170" t="s">
        <v>18406</v>
      </c>
      <c r="C5331" s="170" t="s">
        <v>205</v>
      </c>
      <c r="D5331" s="170" t="s">
        <v>1947</v>
      </c>
      <c r="E5331" s="171" t="s">
        <v>34156</v>
      </c>
      <c r="F5331" s="171" t="s">
        <v>37319</v>
      </c>
      <c r="G5331" s="82"/>
      <c r="H5331" s="96">
        <f t="shared" si="332"/>
        <v>445.95</v>
      </c>
      <c r="I5331" s="96">
        <f t="shared" si="332"/>
        <v>459.59</v>
      </c>
      <c r="J5331" s="91" t="str">
        <f t="shared" si="333"/>
        <v>Sinapi 95666</v>
      </c>
      <c r="K5331" s="91" t="str">
        <f t="shared" si="334"/>
        <v>UN</v>
      </c>
      <c r="L5331" s="166" t="str">
        <f t="shared" si="335"/>
        <v>11/2016</v>
      </c>
      <c r="M5331" s="82"/>
      <c r="N5331" s="82"/>
    </row>
    <row r="5332" spans="1:14" x14ac:dyDescent="0.25">
      <c r="A5332" s="170" t="s">
        <v>18407</v>
      </c>
      <c r="B5332" s="170" t="s">
        <v>18408</v>
      </c>
      <c r="C5332" s="170" t="s">
        <v>205</v>
      </c>
      <c r="D5332" s="170" t="s">
        <v>1947</v>
      </c>
      <c r="E5332" s="171" t="s">
        <v>34157</v>
      </c>
      <c r="F5332" s="171" t="s">
        <v>37320</v>
      </c>
      <c r="G5332" s="82"/>
      <c r="H5332" s="96">
        <f t="shared" si="332"/>
        <v>666.19</v>
      </c>
      <c r="I5332" s="96">
        <f t="shared" si="332"/>
        <v>687.14</v>
      </c>
      <c r="J5332" s="91" t="str">
        <f t="shared" si="333"/>
        <v>Sinapi 95667</v>
      </c>
      <c r="K5332" s="91" t="str">
        <f t="shared" si="334"/>
        <v>UN</v>
      </c>
      <c r="L5332" s="166" t="str">
        <f t="shared" si="335"/>
        <v>11/2016</v>
      </c>
      <c r="M5332" s="82"/>
      <c r="N5332" s="82"/>
    </row>
    <row r="5333" spans="1:14" x14ac:dyDescent="0.25">
      <c r="A5333" s="170" t="s">
        <v>18409</v>
      </c>
      <c r="B5333" s="170" t="s">
        <v>18410</v>
      </c>
      <c r="C5333" s="170" t="s">
        <v>205</v>
      </c>
      <c r="D5333" s="170" t="s">
        <v>1947</v>
      </c>
      <c r="E5333" s="171" t="s">
        <v>34158</v>
      </c>
      <c r="F5333" s="171" t="s">
        <v>37321</v>
      </c>
      <c r="G5333" s="82"/>
      <c r="H5333" s="96">
        <f t="shared" si="332"/>
        <v>873.11</v>
      </c>
      <c r="I5333" s="96">
        <f t="shared" si="332"/>
        <v>900.66</v>
      </c>
      <c r="J5333" s="91" t="str">
        <f t="shared" si="333"/>
        <v>Sinapi 95668</v>
      </c>
      <c r="K5333" s="91" t="str">
        <f t="shared" si="334"/>
        <v>UN</v>
      </c>
      <c r="L5333" s="166" t="str">
        <f t="shared" si="335"/>
        <v>11/2016</v>
      </c>
      <c r="M5333" s="82"/>
      <c r="N5333" s="82"/>
    </row>
    <row r="5334" spans="1:14" x14ac:dyDescent="0.25">
      <c r="A5334" s="170" t="s">
        <v>18411</v>
      </c>
      <c r="B5334" s="170" t="s">
        <v>18412</v>
      </c>
      <c r="C5334" s="170" t="s">
        <v>205</v>
      </c>
      <c r="D5334" s="170" t="s">
        <v>1947</v>
      </c>
      <c r="E5334" s="171" t="s">
        <v>34159</v>
      </c>
      <c r="F5334" s="171" t="s">
        <v>37322</v>
      </c>
      <c r="G5334" s="82"/>
      <c r="H5334" s="96">
        <f t="shared" si="332"/>
        <v>307.67</v>
      </c>
      <c r="I5334" s="96">
        <f t="shared" si="332"/>
        <v>315.91000000000003</v>
      </c>
      <c r="J5334" s="91" t="str">
        <f t="shared" si="333"/>
        <v>Sinapi 95669</v>
      </c>
      <c r="K5334" s="91" t="str">
        <f t="shared" si="334"/>
        <v>UN</v>
      </c>
      <c r="L5334" s="166" t="str">
        <f t="shared" si="335"/>
        <v>11/2016</v>
      </c>
      <c r="M5334" s="82"/>
      <c r="N5334" s="82"/>
    </row>
    <row r="5335" spans="1:14" x14ac:dyDescent="0.25">
      <c r="A5335" s="170" t="s">
        <v>18413</v>
      </c>
      <c r="B5335" s="170" t="s">
        <v>18414</v>
      </c>
      <c r="C5335" s="170" t="s">
        <v>205</v>
      </c>
      <c r="D5335" s="170" t="s">
        <v>1947</v>
      </c>
      <c r="E5335" s="171" t="s">
        <v>34160</v>
      </c>
      <c r="F5335" s="171" t="s">
        <v>37323</v>
      </c>
      <c r="G5335" s="82"/>
      <c r="H5335" s="96">
        <f t="shared" si="332"/>
        <v>569.1</v>
      </c>
      <c r="I5335" s="96">
        <f t="shared" si="332"/>
        <v>585.37</v>
      </c>
      <c r="J5335" s="91" t="str">
        <f t="shared" si="333"/>
        <v>Sinapi 95670</v>
      </c>
      <c r="K5335" s="91" t="str">
        <f t="shared" si="334"/>
        <v>UN</v>
      </c>
      <c r="L5335" s="166" t="str">
        <f t="shared" si="335"/>
        <v>11/2016</v>
      </c>
      <c r="M5335" s="82"/>
      <c r="N5335" s="82"/>
    </row>
    <row r="5336" spans="1:14" x14ac:dyDescent="0.25">
      <c r="A5336" s="170" t="s">
        <v>18415</v>
      </c>
      <c r="B5336" s="170" t="s">
        <v>18416</v>
      </c>
      <c r="C5336" s="170" t="s">
        <v>205</v>
      </c>
      <c r="D5336" s="170" t="s">
        <v>1947</v>
      </c>
      <c r="E5336" s="171" t="s">
        <v>34161</v>
      </c>
      <c r="F5336" s="171" t="s">
        <v>37324</v>
      </c>
      <c r="G5336" s="82"/>
      <c r="H5336" s="96">
        <f t="shared" si="332"/>
        <v>854.17</v>
      </c>
      <c r="I5336" s="96">
        <f t="shared" si="332"/>
        <v>879.15</v>
      </c>
      <c r="J5336" s="91" t="str">
        <f t="shared" si="333"/>
        <v>Sinapi 95671</v>
      </c>
      <c r="K5336" s="91" t="str">
        <f t="shared" si="334"/>
        <v>UN</v>
      </c>
      <c r="L5336" s="166" t="str">
        <f t="shared" si="335"/>
        <v>11/2016</v>
      </c>
      <c r="M5336" s="82"/>
      <c r="N5336" s="82"/>
    </row>
    <row r="5337" spans="1:14" x14ac:dyDescent="0.25">
      <c r="A5337" s="170" t="s">
        <v>18417</v>
      </c>
      <c r="B5337" s="170" t="s">
        <v>18418</v>
      </c>
      <c r="C5337" s="170" t="s">
        <v>205</v>
      </c>
      <c r="D5337" s="170" t="s">
        <v>1947</v>
      </c>
      <c r="E5337" s="171" t="s">
        <v>34162</v>
      </c>
      <c r="F5337" s="171" t="s">
        <v>37325</v>
      </c>
      <c r="G5337" s="82"/>
      <c r="H5337" s="96">
        <f t="shared" si="332"/>
        <v>1142.07</v>
      </c>
      <c r="I5337" s="96">
        <f t="shared" si="332"/>
        <v>1174.9000000000001</v>
      </c>
      <c r="J5337" s="91" t="str">
        <f t="shared" si="333"/>
        <v>Sinapi 95672</v>
      </c>
      <c r="K5337" s="91" t="str">
        <f t="shared" si="334"/>
        <v>UN</v>
      </c>
      <c r="L5337" s="166" t="str">
        <f t="shared" si="335"/>
        <v>11/2016</v>
      </c>
      <c r="M5337" s="82"/>
      <c r="N5337" s="82"/>
    </row>
    <row r="5338" spans="1:14" x14ac:dyDescent="0.25">
      <c r="A5338" s="170" t="s">
        <v>8042</v>
      </c>
      <c r="B5338" s="170" t="s">
        <v>8043</v>
      </c>
      <c r="C5338" s="170" t="s">
        <v>205</v>
      </c>
      <c r="D5338" s="170" t="s">
        <v>1947</v>
      </c>
      <c r="E5338" s="171" t="s">
        <v>34163</v>
      </c>
      <c r="F5338" s="171" t="s">
        <v>37326</v>
      </c>
      <c r="G5338" s="82"/>
      <c r="H5338" s="96">
        <f t="shared" si="332"/>
        <v>111.18</v>
      </c>
      <c r="I5338" s="96">
        <f t="shared" si="332"/>
        <v>113.32</v>
      </c>
      <c r="J5338" s="91" t="str">
        <f t="shared" si="333"/>
        <v>Sinapi 95673</v>
      </c>
      <c r="K5338" s="91" t="str">
        <f t="shared" si="334"/>
        <v>UN</v>
      </c>
      <c r="L5338" s="166" t="str">
        <f t="shared" si="335"/>
        <v>11/2016</v>
      </c>
      <c r="M5338" s="82"/>
      <c r="N5338" s="82"/>
    </row>
    <row r="5339" spans="1:14" x14ac:dyDescent="0.25">
      <c r="A5339" s="170" t="s">
        <v>8044</v>
      </c>
      <c r="B5339" s="170" t="s">
        <v>8045</v>
      </c>
      <c r="C5339" s="170" t="s">
        <v>205</v>
      </c>
      <c r="D5339" s="170" t="s">
        <v>1947</v>
      </c>
      <c r="E5339" s="171" t="s">
        <v>34164</v>
      </c>
      <c r="F5339" s="171" t="s">
        <v>37327</v>
      </c>
      <c r="G5339" s="82"/>
      <c r="H5339" s="96">
        <f t="shared" si="332"/>
        <v>117.95</v>
      </c>
      <c r="I5339" s="96">
        <f t="shared" si="332"/>
        <v>120.09</v>
      </c>
      <c r="J5339" s="91" t="str">
        <f t="shared" si="333"/>
        <v>Sinapi 95674</v>
      </c>
      <c r="K5339" s="91" t="str">
        <f t="shared" si="334"/>
        <v>UN</v>
      </c>
      <c r="L5339" s="166" t="str">
        <f t="shared" si="335"/>
        <v>11/2016</v>
      </c>
      <c r="M5339" s="82"/>
      <c r="N5339" s="82"/>
    </row>
    <row r="5340" spans="1:14" x14ac:dyDescent="0.25">
      <c r="A5340" s="170" t="s">
        <v>8046</v>
      </c>
      <c r="B5340" s="170" t="s">
        <v>8047</v>
      </c>
      <c r="C5340" s="170" t="s">
        <v>205</v>
      </c>
      <c r="D5340" s="170" t="s">
        <v>1947</v>
      </c>
      <c r="E5340" s="171" t="s">
        <v>28794</v>
      </c>
      <c r="F5340" s="171" t="s">
        <v>31164</v>
      </c>
      <c r="G5340" s="82"/>
      <c r="H5340" s="96">
        <f t="shared" si="332"/>
        <v>144</v>
      </c>
      <c r="I5340" s="96">
        <f t="shared" si="332"/>
        <v>146.47999999999999</v>
      </c>
      <c r="J5340" s="91" t="str">
        <f t="shared" si="333"/>
        <v>Sinapi 95675</v>
      </c>
      <c r="K5340" s="91" t="str">
        <f t="shared" si="334"/>
        <v>UN</v>
      </c>
      <c r="L5340" s="166" t="str">
        <f t="shared" si="335"/>
        <v>11/2016</v>
      </c>
      <c r="M5340" s="82"/>
      <c r="N5340" s="82"/>
    </row>
    <row r="5341" spans="1:14" x14ac:dyDescent="0.25">
      <c r="A5341" s="170" t="s">
        <v>8048</v>
      </c>
      <c r="B5341" s="170" t="s">
        <v>8049</v>
      </c>
      <c r="C5341" s="170" t="s">
        <v>205</v>
      </c>
      <c r="D5341" s="170" t="s">
        <v>2067</v>
      </c>
      <c r="E5341" s="171" t="s">
        <v>28826</v>
      </c>
      <c r="F5341" s="171" t="s">
        <v>37328</v>
      </c>
      <c r="G5341" s="82"/>
      <c r="H5341" s="96">
        <f t="shared" si="332"/>
        <v>132.44999999999999</v>
      </c>
      <c r="I5341" s="96">
        <f t="shared" si="332"/>
        <v>133.47</v>
      </c>
      <c r="J5341" s="91" t="str">
        <f t="shared" si="333"/>
        <v>Sinapi 95676</v>
      </c>
      <c r="K5341" s="91" t="str">
        <f t="shared" si="334"/>
        <v>UN</v>
      </c>
      <c r="L5341" s="166" t="str">
        <f t="shared" si="335"/>
        <v>11/2016</v>
      </c>
      <c r="M5341" s="82"/>
      <c r="N5341" s="82"/>
    </row>
    <row r="5342" spans="1:14" x14ac:dyDescent="0.25">
      <c r="A5342" s="170" t="s">
        <v>8050</v>
      </c>
      <c r="B5342" s="170" t="s">
        <v>8051</v>
      </c>
      <c r="C5342" s="170" t="s">
        <v>205</v>
      </c>
      <c r="D5342" s="170" t="s">
        <v>2067</v>
      </c>
      <c r="E5342" s="171" t="s">
        <v>34165</v>
      </c>
      <c r="F5342" s="171" t="s">
        <v>34317</v>
      </c>
      <c r="G5342" s="82"/>
      <c r="H5342" s="96">
        <f t="shared" si="332"/>
        <v>156.16999999999999</v>
      </c>
      <c r="I5342" s="96">
        <f t="shared" si="332"/>
        <v>163.01</v>
      </c>
      <c r="J5342" s="91" t="str">
        <f t="shared" si="333"/>
        <v>Sinapi 97741</v>
      </c>
      <c r="K5342" s="91" t="str">
        <f t="shared" si="334"/>
        <v>UN</v>
      </c>
      <c r="L5342" s="166" t="str">
        <f t="shared" si="335"/>
        <v>11/2016</v>
      </c>
      <c r="M5342" s="82"/>
      <c r="N5342" s="82"/>
    </row>
    <row r="5343" spans="1:14" x14ac:dyDescent="0.25">
      <c r="A5343" s="170" t="s">
        <v>8052</v>
      </c>
      <c r="B5343" s="170" t="s">
        <v>8053</v>
      </c>
      <c r="C5343" s="170" t="s">
        <v>205</v>
      </c>
      <c r="D5343" s="170" t="s">
        <v>2067</v>
      </c>
      <c r="E5343" s="171" t="s">
        <v>14121</v>
      </c>
      <c r="F5343" s="171" t="s">
        <v>19895</v>
      </c>
      <c r="G5343" s="82"/>
      <c r="H5343" s="96">
        <f t="shared" si="332"/>
        <v>12.93</v>
      </c>
      <c r="I5343" s="96">
        <f t="shared" si="332"/>
        <v>14.46</v>
      </c>
      <c r="J5343" s="91" t="str">
        <f t="shared" si="333"/>
        <v>Sinapi 90436</v>
      </c>
      <c r="K5343" s="91" t="str">
        <f t="shared" si="334"/>
        <v>UN</v>
      </c>
      <c r="L5343" s="166" t="str">
        <f t="shared" si="335"/>
        <v>05/2015</v>
      </c>
      <c r="M5343" s="82"/>
      <c r="N5343" s="82"/>
    </row>
    <row r="5344" spans="1:14" x14ac:dyDescent="0.25">
      <c r="A5344" s="170" t="s">
        <v>8054</v>
      </c>
      <c r="B5344" s="170" t="s">
        <v>8055</v>
      </c>
      <c r="C5344" s="170" t="s">
        <v>205</v>
      </c>
      <c r="D5344" s="170" t="s">
        <v>2067</v>
      </c>
      <c r="E5344" s="171" t="s">
        <v>21096</v>
      </c>
      <c r="F5344" s="171" t="s">
        <v>20360</v>
      </c>
      <c r="G5344" s="82"/>
      <c r="H5344" s="96">
        <f t="shared" si="332"/>
        <v>31.42</v>
      </c>
      <c r="I5344" s="96">
        <f t="shared" si="332"/>
        <v>35.159999999999997</v>
      </c>
      <c r="J5344" s="91" t="str">
        <f t="shared" si="333"/>
        <v>Sinapi 90437</v>
      </c>
      <c r="K5344" s="91" t="str">
        <f t="shared" si="334"/>
        <v>UN</v>
      </c>
      <c r="L5344" s="166" t="str">
        <f t="shared" si="335"/>
        <v>05/2015</v>
      </c>
      <c r="M5344" s="82"/>
      <c r="N5344" s="82"/>
    </row>
    <row r="5345" spans="1:14" x14ac:dyDescent="0.25">
      <c r="A5345" s="170" t="s">
        <v>8056</v>
      </c>
      <c r="B5345" s="170" t="s">
        <v>8057</v>
      </c>
      <c r="C5345" s="170" t="s">
        <v>205</v>
      </c>
      <c r="D5345" s="170" t="s">
        <v>2067</v>
      </c>
      <c r="E5345" s="171" t="s">
        <v>19408</v>
      </c>
      <c r="F5345" s="171" t="s">
        <v>37329</v>
      </c>
      <c r="G5345" s="82"/>
      <c r="H5345" s="96">
        <f t="shared" si="332"/>
        <v>45.03</v>
      </c>
      <c r="I5345" s="96">
        <f t="shared" si="332"/>
        <v>50.39</v>
      </c>
      <c r="J5345" s="91" t="str">
        <f t="shared" si="333"/>
        <v>Sinapi 90438</v>
      </c>
      <c r="K5345" s="91" t="str">
        <f t="shared" si="334"/>
        <v>UN</v>
      </c>
      <c r="L5345" s="166" t="str">
        <f t="shared" si="335"/>
        <v>05/2015</v>
      </c>
      <c r="M5345" s="82"/>
      <c r="N5345" s="82"/>
    </row>
    <row r="5346" spans="1:14" x14ac:dyDescent="0.25">
      <c r="A5346" s="170" t="s">
        <v>8058</v>
      </c>
      <c r="B5346" s="170" t="s">
        <v>8059</v>
      </c>
      <c r="C5346" s="170" t="s">
        <v>205</v>
      </c>
      <c r="D5346" s="170" t="s">
        <v>1947</v>
      </c>
      <c r="E5346" s="171" t="s">
        <v>34166</v>
      </c>
      <c r="F5346" s="171" t="s">
        <v>29403</v>
      </c>
      <c r="G5346" s="82"/>
      <c r="H5346" s="96">
        <f t="shared" si="332"/>
        <v>57.02</v>
      </c>
      <c r="I5346" s="96">
        <f t="shared" si="332"/>
        <v>63.48</v>
      </c>
      <c r="J5346" s="91" t="str">
        <f t="shared" si="333"/>
        <v>Sinapi 90439</v>
      </c>
      <c r="K5346" s="91" t="str">
        <f t="shared" si="334"/>
        <v>UN</v>
      </c>
      <c r="L5346" s="166" t="str">
        <f t="shared" si="335"/>
        <v>05/2015</v>
      </c>
      <c r="M5346" s="82"/>
      <c r="N5346" s="82"/>
    </row>
    <row r="5347" spans="1:14" x14ac:dyDescent="0.25">
      <c r="A5347" s="170" t="s">
        <v>8060</v>
      </c>
      <c r="B5347" s="170" t="s">
        <v>8061</v>
      </c>
      <c r="C5347" s="170" t="s">
        <v>205</v>
      </c>
      <c r="D5347" s="170" t="s">
        <v>1947</v>
      </c>
      <c r="E5347" s="171" t="s">
        <v>34167</v>
      </c>
      <c r="F5347" s="171" t="s">
        <v>37330</v>
      </c>
      <c r="G5347" s="82"/>
      <c r="H5347" s="96">
        <f t="shared" si="332"/>
        <v>91.34</v>
      </c>
      <c r="I5347" s="96">
        <f t="shared" si="332"/>
        <v>101.68</v>
      </c>
      <c r="J5347" s="91" t="str">
        <f t="shared" si="333"/>
        <v>Sinapi 90440</v>
      </c>
      <c r="K5347" s="91" t="str">
        <f t="shared" si="334"/>
        <v>UN</v>
      </c>
      <c r="L5347" s="166" t="str">
        <f t="shared" si="335"/>
        <v>05/2015</v>
      </c>
      <c r="M5347" s="82"/>
      <c r="N5347" s="82"/>
    </row>
    <row r="5348" spans="1:14" x14ac:dyDescent="0.25">
      <c r="A5348" s="170" t="s">
        <v>8062</v>
      </c>
      <c r="B5348" s="170" t="s">
        <v>8063</v>
      </c>
      <c r="C5348" s="170" t="s">
        <v>205</v>
      </c>
      <c r="D5348" s="170" t="s">
        <v>1947</v>
      </c>
      <c r="E5348" s="171" t="s">
        <v>28509</v>
      </c>
      <c r="F5348" s="171" t="s">
        <v>31850</v>
      </c>
      <c r="G5348" s="82"/>
      <c r="H5348" s="96">
        <f t="shared" si="332"/>
        <v>116.68</v>
      </c>
      <c r="I5348" s="96">
        <f t="shared" si="332"/>
        <v>129.88</v>
      </c>
      <c r="J5348" s="91" t="str">
        <f t="shared" si="333"/>
        <v>Sinapi 90441</v>
      </c>
      <c r="K5348" s="91" t="str">
        <f t="shared" si="334"/>
        <v>UN</v>
      </c>
      <c r="L5348" s="166" t="str">
        <f t="shared" si="335"/>
        <v>05/2015</v>
      </c>
      <c r="M5348" s="82"/>
      <c r="N5348" s="82"/>
    </row>
    <row r="5349" spans="1:14" x14ac:dyDescent="0.25">
      <c r="A5349" s="170" t="s">
        <v>8064</v>
      </c>
      <c r="B5349" s="170" t="s">
        <v>8065</v>
      </c>
      <c r="C5349" s="170" t="s">
        <v>385</v>
      </c>
      <c r="D5349" s="170" t="s">
        <v>2067</v>
      </c>
      <c r="E5349" s="171" t="s">
        <v>5568</v>
      </c>
      <c r="F5349" s="171" t="s">
        <v>29582</v>
      </c>
      <c r="G5349" s="82"/>
      <c r="H5349" s="96">
        <f t="shared" si="332"/>
        <v>11.75</v>
      </c>
      <c r="I5349" s="96">
        <f t="shared" si="332"/>
        <v>13.15</v>
      </c>
      <c r="J5349" s="91" t="str">
        <f t="shared" si="333"/>
        <v>Sinapi 90443</v>
      </c>
      <c r="K5349" s="91" t="str">
        <f t="shared" si="334"/>
        <v>M</v>
      </c>
      <c r="L5349" s="166" t="str">
        <f t="shared" si="335"/>
        <v>05/2015</v>
      </c>
      <c r="M5349" s="82"/>
      <c r="N5349" s="82"/>
    </row>
    <row r="5350" spans="1:14" x14ac:dyDescent="0.25">
      <c r="A5350" s="170" t="s">
        <v>8066</v>
      </c>
      <c r="B5350" s="170" t="s">
        <v>8067</v>
      </c>
      <c r="C5350" s="170" t="s">
        <v>385</v>
      </c>
      <c r="D5350" s="170" t="s">
        <v>1947</v>
      </c>
      <c r="E5350" s="171" t="s">
        <v>20988</v>
      </c>
      <c r="F5350" s="171" t="s">
        <v>16402</v>
      </c>
      <c r="G5350" s="82"/>
      <c r="H5350" s="96">
        <f t="shared" si="332"/>
        <v>24.47</v>
      </c>
      <c r="I5350" s="96">
        <f t="shared" si="332"/>
        <v>27.24</v>
      </c>
      <c r="J5350" s="91" t="str">
        <f t="shared" si="333"/>
        <v>Sinapi 90444</v>
      </c>
      <c r="K5350" s="91" t="str">
        <f t="shared" si="334"/>
        <v>M</v>
      </c>
      <c r="L5350" s="166" t="str">
        <f t="shared" si="335"/>
        <v>05/2015</v>
      </c>
      <c r="M5350" s="82"/>
      <c r="N5350" s="82"/>
    </row>
    <row r="5351" spans="1:14" x14ac:dyDescent="0.25">
      <c r="A5351" s="170" t="s">
        <v>8068</v>
      </c>
      <c r="B5351" s="170" t="s">
        <v>8069</v>
      </c>
      <c r="C5351" s="170" t="s">
        <v>385</v>
      </c>
      <c r="D5351" s="170" t="s">
        <v>1947</v>
      </c>
      <c r="E5351" s="171" t="s">
        <v>29198</v>
      </c>
      <c r="F5351" s="171" t="s">
        <v>21351</v>
      </c>
      <c r="G5351" s="82"/>
      <c r="H5351" s="96">
        <f t="shared" si="332"/>
        <v>26.12</v>
      </c>
      <c r="I5351" s="96">
        <f t="shared" si="332"/>
        <v>29.08</v>
      </c>
      <c r="J5351" s="91" t="str">
        <f t="shared" si="333"/>
        <v>Sinapi 90445</v>
      </c>
      <c r="K5351" s="91" t="str">
        <f t="shared" si="334"/>
        <v>M</v>
      </c>
      <c r="L5351" s="166" t="str">
        <f t="shared" si="335"/>
        <v>05/2015</v>
      </c>
      <c r="M5351" s="82"/>
      <c r="N5351" s="82"/>
    </row>
    <row r="5352" spans="1:14" x14ac:dyDescent="0.25">
      <c r="A5352" s="170" t="s">
        <v>8070</v>
      </c>
      <c r="B5352" s="170" t="s">
        <v>8071</v>
      </c>
      <c r="C5352" s="170" t="s">
        <v>385</v>
      </c>
      <c r="D5352" s="170" t="s">
        <v>1947</v>
      </c>
      <c r="E5352" s="171" t="s">
        <v>21909</v>
      </c>
      <c r="F5352" s="171" t="s">
        <v>31112</v>
      </c>
      <c r="G5352" s="82"/>
      <c r="H5352" s="96">
        <f t="shared" si="332"/>
        <v>28.38</v>
      </c>
      <c r="I5352" s="96">
        <f t="shared" si="332"/>
        <v>31.6</v>
      </c>
      <c r="J5352" s="91" t="str">
        <f t="shared" si="333"/>
        <v>Sinapi 90446</v>
      </c>
      <c r="K5352" s="91" t="str">
        <f t="shared" si="334"/>
        <v>M</v>
      </c>
      <c r="L5352" s="166" t="str">
        <f t="shared" si="335"/>
        <v>05/2015</v>
      </c>
      <c r="M5352" s="82"/>
      <c r="N5352" s="82"/>
    </row>
    <row r="5353" spans="1:14" x14ac:dyDescent="0.25">
      <c r="A5353" s="170" t="s">
        <v>8072</v>
      </c>
      <c r="B5353" s="170" t="s">
        <v>8073</v>
      </c>
      <c r="C5353" s="170" t="s">
        <v>385</v>
      </c>
      <c r="D5353" s="170" t="s">
        <v>2067</v>
      </c>
      <c r="E5353" s="171" t="s">
        <v>6045</v>
      </c>
      <c r="F5353" s="171" t="s">
        <v>30207</v>
      </c>
      <c r="G5353" s="82"/>
      <c r="H5353" s="96">
        <f t="shared" si="332"/>
        <v>5.9</v>
      </c>
      <c r="I5353" s="96">
        <f t="shared" si="332"/>
        <v>6.59</v>
      </c>
      <c r="J5353" s="91" t="str">
        <f t="shared" si="333"/>
        <v>Sinapi 90447</v>
      </c>
      <c r="K5353" s="91" t="str">
        <f t="shared" si="334"/>
        <v>M</v>
      </c>
      <c r="L5353" s="166" t="str">
        <f t="shared" si="335"/>
        <v>05/2015</v>
      </c>
      <c r="M5353" s="82"/>
      <c r="N5353" s="82"/>
    </row>
    <row r="5354" spans="1:14" x14ac:dyDescent="0.25">
      <c r="A5354" s="170" t="s">
        <v>8074</v>
      </c>
      <c r="B5354" s="170" t="s">
        <v>8075</v>
      </c>
      <c r="C5354" s="170" t="s">
        <v>205</v>
      </c>
      <c r="D5354" s="170" t="s">
        <v>1947</v>
      </c>
      <c r="E5354" s="171" t="s">
        <v>22734</v>
      </c>
      <c r="F5354" s="171" t="s">
        <v>22059</v>
      </c>
      <c r="G5354" s="82"/>
      <c r="H5354" s="96">
        <f t="shared" si="332"/>
        <v>4.43</v>
      </c>
      <c r="I5354" s="96">
        <f t="shared" si="332"/>
        <v>4.8</v>
      </c>
      <c r="J5354" s="91" t="str">
        <f t="shared" si="333"/>
        <v>Sinapi 90451</v>
      </c>
      <c r="K5354" s="91" t="str">
        <f t="shared" si="334"/>
        <v>UN</v>
      </c>
      <c r="L5354" s="166" t="str">
        <f t="shared" si="335"/>
        <v>05/2015</v>
      </c>
      <c r="M5354" s="82"/>
      <c r="N5354" s="82"/>
    </row>
    <row r="5355" spans="1:14" x14ac:dyDescent="0.25">
      <c r="A5355" s="170" t="s">
        <v>8076</v>
      </c>
      <c r="B5355" s="170" t="s">
        <v>8077</v>
      </c>
      <c r="C5355" s="170" t="s">
        <v>205</v>
      </c>
      <c r="D5355" s="170" t="s">
        <v>1947</v>
      </c>
      <c r="E5355" s="171" t="s">
        <v>23150</v>
      </c>
      <c r="F5355" s="171" t="s">
        <v>15641</v>
      </c>
      <c r="G5355" s="82"/>
      <c r="H5355" s="96">
        <f t="shared" si="332"/>
        <v>22.99</v>
      </c>
      <c r="I5355" s="96">
        <f t="shared" si="332"/>
        <v>23.55</v>
      </c>
      <c r="J5355" s="91" t="str">
        <f t="shared" si="333"/>
        <v>Sinapi 90452</v>
      </c>
      <c r="K5355" s="91" t="str">
        <f t="shared" si="334"/>
        <v>UN</v>
      </c>
      <c r="L5355" s="166" t="str">
        <f t="shared" si="335"/>
        <v>05/2015</v>
      </c>
      <c r="M5355" s="82"/>
      <c r="N5355" s="82"/>
    </row>
    <row r="5356" spans="1:14" x14ac:dyDescent="0.25">
      <c r="A5356" s="170" t="s">
        <v>8078</v>
      </c>
      <c r="B5356" s="170" t="s">
        <v>8079</v>
      </c>
      <c r="C5356" s="170" t="s">
        <v>205</v>
      </c>
      <c r="D5356" s="170" t="s">
        <v>2067</v>
      </c>
      <c r="E5356" s="171" t="s">
        <v>10386</v>
      </c>
      <c r="F5356" s="171" t="s">
        <v>24917</v>
      </c>
      <c r="G5356" s="82"/>
      <c r="H5356" s="96">
        <f t="shared" si="332"/>
        <v>2.82</v>
      </c>
      <c r="I5356" s="96">
        <f t="shared" si="332"/>
        <v>3.03</v>
      </c>
      <c r="J5356" s="91" t="str">
        <f t="shared" si="333"/>
        <v>Sinapi 90453</v>
      </c>
      <c r="K5356" s="91" t="str">
        <f t="shared" si="334"/>
        <v>UN</v>
      </c>
      <c r="L5356" s="166" t="str">
        <f t="shared" si="335"/>
        <v>05/2015</v>
      </c>
      <c r="M5356" s="82"/>
      <c r="N5356" s="82"/>
    </row>
    <row r="5357" spans="1:14" x14ac:dyDescent="0.25">
      <c r="A5357" s="170" t="s">
        <v>8080</v>
      </c>
      <c r="B5357" s="170" t="s">
        <v>8081</v>
      </c>
      <c r="C5357" s="170" t="s">
        <v>205</v>
      </c>
      <c r="D5357" s="170" t="s">
        <v>2067</v>
      </c>
      <c r="E5357" s="171" t="s">
        <v>21015</v>
      </c>
      <c r="F5357" s="171" t="s">
        <v>15515</v>
      </c>
      <c r="G5357" s="82"/>
      <c r="H5357" s="96">
        <f t="shared" si="332"/>
        <v>4.9000000000000004</v>
      </c>
      <c r="I5357" s="96">
        <f t="shared" si="332"/>
        <v>5.22</v>
      </c>
      <c r="J5357" s="91" t="str">
        <f t="shared" si="333"/>
        <v>Sinapi 90454</v>
      </c>
      <c r="K5357" s="91" t="str">
        <f t="shared" si="334"/>
        <v>UN</v>
      </c>
      <c r="L5357" s="166" t="str">
        <f t="shared" si="335"/>
        <v>05/2015</v>
      </c>
      <c r="M5357" s="82"/>
      <c r="N5357" s="82"/>
    </row>
    <row r="5358" spans="1:14" x14ac:dyDescent="0.25">
      <c r="A5358" s="170" t="s">
        <v>8082</v>
      </c>
      <c r="B5358" s="170" t="s">
        <v>8083</v>
      </c>
      <c r="C5358" s="170" t="s">
        <v>205</v>
      </c>
      <c r="D5358" s="170" t="s">
        <v>2067</v>
      </c>
      <c r="E5358" s="171" t="s">
        <v>6080</v>
      </c>
      <c r="F5358" s="171" t="s">
        <v>22793</v>
      </c>
      <c r="G5358" s="82"/>
      <c r="H5358" s="96">
        <f t="shared" si="332"/>
        <v>6.22</v>
      </c>
      <c r="I5358" s="96">
        <f t="shared" si="332"/>
        <v>6.68</v>
      </c>
      <c r="J5358" s="91" t="str">
        <f t="shared" si="333"/>
        <v>Sinapi 90455</v>
      </c>
      <c r="K5358" s="91" t="str">
        <f t="shared" si="334"/>
        <v>UN</v>
      </c>
      <c r="L5358" s="166" t="str">
        <f t="shared" si="335"/>
        <v>05/2015</v>
      </c>
      <c r="M5358" s="82"/>
      <c r="N5358" s="82"/>
    </row>
    <row r="5359" spans="1:14" x14ac:dyDescent="0.25">
      <c r="A5359" s="170" t="s">
        <v>8084</v>
      </c>
      <c r="B5359" s="170" t="s">
        <v>8085</v>
      </c>
      <c r="C5359" s="170" t="s">
        <v>205</v>
      </c>
      <c r="D5359" s="170" t="s">
        <v>2067</v>
      </c>
      <c r="E5359" s="171" t="s">
        <v>21206</v>
      </c>
      <c r="F5359" s="171" t="s">
        <v>20126</v>
      </c>
      <c r="G5359" s="82"/>
      <c r="H5359" s="96">
        <f t="shared" si="332"/>
        <v>3.77</v>
      </c>
      <c r="I5359" s="96">
        <f t="shared" si="332"/>
        <v>4.2300000000000004</v>
      </c>
      <c r="J5359" s="91" t="str">
        <f t="shared" si="333"/>
        <v>Sinapi 90456</v>
      </c>
      <c r="K5359" s="91" t="str">
        <f t="shared" si="334"/>
        <v>UN</v>
      </c>
      <c r="L5359" s="166" t="str">
        <f t="shared" si="335"/>
        <v>05/2015</v>
      </c>
      <c r="M5359" s="82"/>
      <c r="N5359" s="82"/>
    </row>
    <row r="5360" spans="1:14" x14ac:dyDescent="0.25">
      <c r="A5360" s="170" t="s">
        <v>8086</v>
      </c>
      <c r="B5360" s="170" t="s">
        <v>8087</v>
      </c>
      <c r="C5360" s="170" t="s">
        <v>205</v>
      </c>
      <c r="D5360" s="170" t="s">
        <v>2067</v>
      </c>
      <c r="E5360" s="171" t="s">
        <v>15666</v>
      </c>
      <c r="F5360" s="171" t="s">
        <v>19906</v>
      </c>
      <c r="G5360" s="82"/>
      <c r="H5360" s="96">
        <f t="shared" si="332"/>
        <v>8.6</v>
      </c>
      <c r="I5360" s="96">
        <f t="shared" si="332"/>
        <v>9.6300000000000008</v>
      </c>
      <c r="J5360" s="91" t="str">
        <f t="shared" si="333"/>
        <v>Sinapi 90457</v>
      </c>
      <c r="K5360" s="91" t="str">
        <f t="shared" si="334"/>
        <v>UN</v>
      </c>
      <c r="L5360" s="166" t="str">
        <f t="shared" si="335"/>
        <v>05/2015</v>
      </c>
      <c r="M5360" s="82"/>
      <c r="N5360" s="82"/>
    </row>
    <row r="5361" spans="1:14" x14ac:dyDescent="0.25">
      <c r="A5361" s="170" t="s">
        <v>8088</v>
      </c>
      <c r="B5361" s="170" t="s">
        <v>8089</v>
      </c>
      <c r="C5361" s="170" t="s">
        <v>205</v>
      </c>
      <c r="D5361" s="170" t="s">
        <v>2067</v>
      </c>
      <c r="E5361" s="171" t="s">
        <v>19935</v>
      </c>
      <c r="F5361" s="171" t="s">
        <v>30252</v>
      </c>
      <c r="G5361" s="82"/>
      <c r="H5361" s="96">
        <f t="shared" si="332"/>
        <v>24.41</v>
      </c>
      <c r="I5361" s="96">
        <f t="shared" si="332"/>
        <v>27.32</v>
      </c>
      <c r="J5361" s="91" t="str">
        <f t="shared" si="333"/>
        <v>Sinapi 90458</v>
      </c>
      <c r="K5361" s="91" t="str">
        <f t="shared" si="334"/>
        <v>UN</v>
      </c>
      <c r="L5361" s="166" t="str">
        <f t="shared" si="335"/>
        <v>05/2015</v>
      </c>
      <c r="M5361" s="82"/>
      <c r="N5361" s="82"/>
    </row>
    <row r="5362" spans="1:14" x14ac:dyDescent="0.25">
      <c r="A5362" s="170" t="s">
        <v>8090</v>
      </c>
      <c r="B5362" s="170" t="s">
        <v>8091</v>
      </c>
      <c r="C5362" s="170" t="s">
        <v>205</v>
      </c>
      <c r="D5362" s="170" t="s">
        <v>2067</v>
      </c>
      <c r="E5362" s="171" t="s">
        <v>15720</v>
      </c>
      <c r="F5362" s="171" t="s">
        <v>37331</v>
      </c>
      <c r="G5362" s="82"/>
      <c r="H5362" s="96">
        <f t="shared" si="332"/>
        <v>34.44</v>
      </c>
      <c r="I5362" s="96">
        <f t="shared" si="332"/>
        <v>38.53</v>
      </c>
      <c r="J5362" s="91" t="str">
        <f t="shared" si="333"/>
        <v>Sinapi 90459</v>
      </c>
      <c r="K5362" s="91" t="str">
        <f t="shared" si="334"/>
        <v>UN</v>
      </c>
      <c r="L5362" s="166" t="str">
        <f t="shared" si="335"/>
        <v>05/2015</v>
      </c>
      <c r="M5362" s="82"/>
      <c r="N5362" s="82"/>
    </row>
    <row r="5363" spans="1:14" x14ac:dyDescent="0.25">
      <c r="A5363" s="170" t="s">
        <v>8092</v>
      </c>
      <c r="B5363" s="170" t="s">
        <v>8093</v>
      </c>
      <c r="C5363" s="170" t="s">
        <v>385</v>
      </c>
      <c r="D5363" s="170" t="s">
        <v>1947</v>
      </c>
      <c r="E5363" s="171" t="s">
        <v>11117</v>
      </c>
      <c r="F5363" s="171" t="s">
        <v>11545</v>
      </c>
      <c r="G5363" s="82"/>
      <c r="H5363" s="96">
        <f t="shared" si="332"/>
        <v>14.05</v>
      </c>
      <c r="I5363" s="96">
        <f t="shared" si="332"/>
        <v>14.21</v>
      </c>
      <c r="J5363" s="91" t="str">
        <f t="shared" si="333"/>
        <v>Sinapi 90460</v>
      </c>
      <c r="K5363" s="91" t="str">
        <f t="shared" si="334"/>
        <v>M</v>
      </c>
      <c r="L5363" s="166" t="str">
        <f t="shared" si="335"/>
        <v>05/2015</v>
      </c>
      <c r="M5363" s="82"/>
      <c r="N5363" s="82"/>
    </row>
    <row r="5364" spans="1:14" x14ac:dyDescent="0.25">
      <c r="A5364" s="170" t="s">
        <v>8094</v>
      </c>
      <c r="B5364" s="170" t="s">
        <v>8095</v>
      </c>
      <c r="C5364" s="170" t="s">
        <v>385</v>
      </c>
      <c r="D5364" s="170" t="s">
        <v>1947</v>
      </c>
      <c r="E5364" s="171" t="s">
        <v>14785</v>
      </c>
      <c r="F5364" s="171" t="s">
        <v>15785</v>
      </c>
      <c r="G5364" s="82"/>
      <c r="H5364" s="96">
        <f t="shared" si="332"/>
        <v>8.76</v>
      </c>
      <c r="I5364" s="96">
        <f t="shared" si="332"/>
        <v>8.9600000000000009</v>
      </c>
      <c r="J5364" s="91" t="str">
        <f t="shared" si="333"/>
        <v>Sinapi 90461</v>
      </c>
      <c r="K5364" s="91" t="str">
        <f t="shared" si="334"/>
        <v>M</v>
      </c>
      <c r="L5364" s="166" t="str">
        <f t="shared" si="335"/>
        <v>05/2015</v>
      </c>
      <c r="M5364" s="82"/>
      <c r="N5364" s="82"/>
    </row>
    <row r="5365" spans="1:14" x14ac:dyDescent="0.25">
      <c r="A5365" s="170" t="s">
        <v>8096</v>
      </c>
      <c r="B5365" s="170" t="s">
        <v>8097</v>
      </c>
      <c r="C5365" s="170" t="s">
        <v>385</v>
      </c>
      <c r="D5365" s="170" t="s">
        <v>1947</v>
      </c>
      <c r="E5365" s="171" t="s">
        <v>18702</v>
      </c>
      <c r="F5365" s="171" t="s">
        <v>15672</v>
      </c>
      <c r="G5365" s="82"/>
      <c r="H5365" s="96">
        <f t="shared" si="332"/>
        <v>1.82</v>
      </c>
      <c r="I5365" s="96">
        <f t="shared" si="332"/>
        <v>1.86</v>
      </c>
      <c r="J5365" s="91" t="str">
        <f t="shared" si="333"/>
        <v>Sinapi 90462</v>
      </c>
      <c r="K5365" s="91" t="str">
        <f t="shared" si="334"/>
        <v>M</v>
      </c>
      <c r="L5365" s="166" t="str">
        <f t="shared" si="335"/>
        <v>05/2015</v>
      </c>
      <c r="M5365" s="82"/>
      <c r="N5365" s="82"/>
    </row>
    <row r="5366" spans="1:14" x14ac:dyDescent="0.25">
      <c r="A5366" s="170" t="s">
        <v>8098</v>
      </c>
      <c r="B5366" s="170" t="s">
        <v>8099</v>
      </c>
      <c r="C5366" s="170" t="s">
        <v>385</v>
      </c>
      <c r="D5366" s="170" t="s">
        <v>1947</v>
      </c>
      <c r="E5366" s="171" t="s">
        <v>9316</v>
      </c>
      <c r="F5366" s="171" t="s">
        <v>10244</v>
      </c>
      <c r="G5366" s="82"/>
      <c r="H5366" s="96">
        <f t="shared" si="332"/>
        <v>1.53</v>
      </c>
      <c r="I5366" s="96">
        <f t="shared" si="332"/>
        <v>1.58</v>
      </c>
      <c r="J5366" s="91" t="str">
        <f t="shared" si="333"/>
        <v>Sinapi 90463</v>
      </c>
      <c r="K5366" s="91" t="str">
        <f t="shared" si="334"/>
        <v>M</v>
      </c>
      <c r="L5366" s="166" t="str">
        <f t="shared" si="335"/>
        <v>05/2015</v>
      </c>
      <c r="M5366" s="82"/>
      <c r="N5366" s="82"/>
    </row>
    <row r="5367" spans="1:14" x14ac:dyDescent="0.25">
      <c r="A5367" s="170" t="s">
        <v>8100</v>
      </c>
      <c r="B5367" s="170" t="s">
        <v>8101</v>
      </c>
      <c r="C5367" s="170" t="s">
        <v>385</v>
      </c>
      <c r="D5367" s="170" t="s">
        <v>2067</v>
      </c>
      <c r="E5367" s="171" t="s">
        <v>20054</v>
      </c>
      <c r="F5367" s="171" t="s">
        <v>12104</v>
      </c>
      <c r="G5367" s="82"/>
      <c r="H5367" s="96">
        <f t="shared" si="332"/>
        <v>12.73</v>
      </c>
      <c r="I5367" s="96">
        <f t="shared" si="332"/>
        <v>13.98</v>
      </c>
      <c r="J5367" s="91" t="str">
        <f t="shared" si="333"/>
        <v>Sinapi 90466</v>
      </c>
      <c r="K5367" s="91" t="str">
        <f t="shared" si="334"/>
        <v>M</v>
      </c>
      <c r="L5367" s="166" t="str">
        <f t="shared" si="335"/>
        <v>05/2015</v>
      </c>
      <c r="M5367" s="82"/>
      <c r="N5367" s="82"/>
    </row>
    <row r="5368" spans="1:14" x14ac:dyDescent="0.25">
      <c r="A5368" s="170" t="s">
        <v>8102</v>
      </c>
      <c r="B5368" s="170" t="s">
        <v>8103</v>
      </c>
      <c r="C5368" s="170" t="s">
        <v>385</v>
      </c>
      <c r="D5368" s="170" t="s">
        <v>2067</v>
      </c>
      <c r="E5368" s="171" t="s">
        <v>34127</v>
      </c>
      <c r="F5368" s="171" t="s">
        <v>20445</v>
      </c>
      <c r="G5368" s="82"/>
      <c r="H5368" s="96">
        <f t="shared" si="332"/>
        <v>20.22</v>
      </c>
      <c r="I5368" s="96">
        <f t="shared" si="332"/>
        <v>22.19</v>
      </c>
      <c r="J5368" s="91" t="str">
        <f t="shared" si="333"/>
        <v>Sinapi 90467</v>
      </c>
      <c r="K5368" s="91" t="str">
        <f t="shared" si="334"/>
        <v>M</v>
      </c>
      <c r="L5368" s="166" t="str">
        <f t="shared" si="335"/>
        <v>05/2015</v>
      </c>
      <c r="M5368" s="82"/>
      <c r="N5368" s="82"/>
    </row>
    <row r="5369" spans="1:14" x14ac:dyDescent="0.25">
      <c r="A5369" s="170" t="s">
        <v>8104</v>
      </c>
      <c r="B5369" s="170" t="s">
        <v>8105</v>
      </c>
      <c r="C5369" s="170" t="s">
        <v>385</v>
      </c>
      <c r="D5369" s="170" t="s">
        <v>2067</v>
      </c>
      <c r="E5369" s="171" t="s">
        <v>29699</v>
      </c>
      <c r="F5369" s="171" t="s">
        <v>4819</v>
      </c>
      <c r="G5369" s="82"/>
      <c r="H5369" s="96">
        <f t="shared" si="332"/>
        <v>6.13</v>
      </c>
      <c r="I5369" s="96">
        <f t="shared" si="332"/>
        <v>6.61</v>
      </c>
      <c r="J5369" s="91" t="str">
        <f t="shared" si="333"/>
        <v>Sinapi 90468</v>
      </c>
      <c r="K5369" s="91" t="str">
        <f t="shared" si="334"/>
        <v>M</v>
      </c>
      <c r="L5369" s="166" t="str">
        <f t="shared" si="335"/>
        <v>05/2015</v>
      </c>
      <c r="M5369" s="82"/>
      <c r="N5369" s="82"/>
    </row>
    <row r="5370" spans="1:14" x14ac:dyDescent="0.25">
      <c r="A5370" s="170" t="s">
        <v>8106</v>
      </c>
      <c r="B5370" s="170" t="s">
        <v>8107</v>
      </c>
      <c r="C5370" s="170" t="s">
        <v>385</v>
      </c>
      <c r="D5370" s="170" t="s">
        <v>2067</v>
      </c>
      <c r="E5370" s="171" t="s">
        <v>13854</v>
      </c>
      <c r="F5370" s="171" t="s">
        <v>14345</v>
      </c>
      <c r="G5370" s="82"/>
      <c r="H5370" s="96">
        <f t="shared" si="332"/>
        <v>9.9</v>
      </c>
      <c r="I5370" s="96">
        <f t="shared" si="332"/>
        <v>10.64</v>
      </c>
      <c r="J5370" s="91" t="str">
        <f t="shared" si="333"/>
        <v>Sinapi 90469</v>
      </c>
      <c r="K5370" s="91" t="str">
        <f t="shared" si="334"/>
        <v>M</v>
      </c>
      <c r="L5370" s="166" t="str">
        <f t="shared" si="335"/>
        <v>05/2015</v>
      </c>
      <c r="M5370" s="82"/>
      <c r="N5370" s="82"/>
    </row>
    <row r="5371" spans="1:14" x14ac:dyDescent="0.25">
      <c r="A5371" s="170" t="s">
        <v>8108</v>
      </c>
      <c r="B5371" s="170" t="s">
        <v>8109</v>
      </c>
      <c r="C5371" s="170" t="s">
        <v>385</v>
      </c>
      <c r="D5371" s="170" t="s">
        <v>2067</v>
      </c>
      <c r="E5371" s="171" t="s">
        <v>11606</v>
      </c>
      <c r="F5371" s="171" t="s">
        <v>15083</v>
      </c>
      <c r="G5371" s="82"/>
      <c r="H5371" s="96">
        <f t="shared" si="332"/>
        <v>13.99</v>
      </c>
      <c r="I5371" s="96">
        <f t="shared" si="332"/>
        <v>14.96</v>
      </c>
      <c r="J5371" s="91" t="str">
        <f t="shared" si="333"/>
        <v>Sinapi 90470</v>
      </c>
      <c r="K5371" s="91" t="str">
        <f t="shared" si="334"/>
        <v>M</v>
      </c>
      <c r="L5371" s="166" t="str">
        <f t="shared" si="335"/>
        <v>05/2015</v>
      </c>
      <c r="M5371" s="82"/>
      <c r="N5371" s="82"/>
    </row>
    <row r="5372" spans="1:14" x14ac:dyDescent="0.25">
      <c r="A5372" s="170" t="s">
        <v>8110</v>
      </c>
      <c r="B5372" s="170" t="s">
        <v>8111</v>
      </c>
      <c r="C5372" s="170" t="s">
        <v>385</v>
      </c>
      <c r="D5372" s="170" t="s">
        <v>2067</v>
      </c>
      <c r="E5372" s="171" t="s">
        <v>15651</v>
      </c>
      <c r="F5372" s="171" t="s">
        <v>17930</v>
      </c>
      <c r="G5372" s="82"/>
      <c r="H5372" s="96">
        <f t="shared" si="332"/>
        <v>3.45</v>
      </c>
      <c r="I5372" s="96">
        <f t="shared" si="332"/>
        <v>3.67</v>
      </c>
      <c r="J5372" s="91" t="str">
        <f t="shared" si="333"/>
        <v>Sinapi 91166</v>
      </c>
      <c r="K5372" s="91" t="str">
        <f t="shared" si="334"/>
        <v>M</v>
      </c>
      <c r="L5372" s="166" t="str">
        <f t="shared" si="335"/>
        <v>05/2015</v>
      </c>
      <c r="M5372" s="82"/>
      <c r="N5372" s="82"/>
    </row>
    <row r="5373" spans="1:14" x14ac:dyDescent="0.25">
      <c r="A5373" s="170" t="s">
        <v>8112</v>
      </c>
      <c r="B5373" s="170" t="s">
        <v>8113</v>
      </c>
      <c r="C5373" s="170" t="s">
        <v>385</v>
      </c>
      <c r="D5373" s="170" t="s">
        <v>2067</v>
      </c>
      <c r="E5373" s="171" t="s">
        <v>28630</v>
      </c>
      <c r="F5373" s="171" t="s">
        <v>11606</v>
      </c>
      <c r="G5373" s="82"/>
      <c r="H5373" s="96">
        <f t="shared" si="332"/>
        <v>13.16</v>
      </c>
      <c r="I5373" s="96">
        <f t="shared" si="332"/>
        <v>13.99</v>
      </c>
      <c r="J5373" s="91" t="str">
        <f t="shared" si="333"/>
        <v>Sinapi 91167</v>
      </c>
      <c r="K5373" s="91" t="str">
        <f t="shared" si="334"/>
        <v>M</v>
      </c>
      <c r="L5373" s="166" t="str">
        <f t="shared" si="335"/>
        <v>05/2015</v>
      </c>
      <c r="M5373" s="82"/>
      <c r="N5373" s="82"/>
    </row>
    <row r="5374" spans="1:14" x14ac:dyDescent="0.25">
      <c r="A5374" s="170" t="s">
        <v>8114</v>
      </c>
      <c r="B5374" s="170" t="s">
        <v>8115</v>
      </c>
      <c r="C5374" s="170" t="s">
        <v>385</v>
      </c>
      <c r="D5374" s="170" t="s">
        <v>2067</v>
      </c>
      <c r="E5374" s="171" t="s">
        <v>14349</v>
      </c>
      <c r="F5374" s="171" t="s">
        <v>19399</v>
      </c>
      <c r="G5374" s="82"/>
      <c r="H5374" s="96">
        <f t="shared" si="332"/>
        <v>10.050000000000001</v>
      </c>
      <c r="I5374" s="96">
        <f t="shared" si="332"/>
        <v>10.66</v>
      </c>
      <c r="J5374" s="91" t="str">
        <f t="shared" si="333"/>
        <v>Sinapi 91168</v>
      </c>
      <c r="K5374" s="91" t="str">
        <f t="shared" si="334"/>
        <v>M</v>
      </c>
      <c r="L5374" s="166" t="str">
        <f t="shared" si="335"/>
        <v>05/2015</v>
      </c>
      <c r="M5374" s="82"/>
      <c r="N5374" s="82"/>
    </row>
    <row r="5375" spans="1:14" x14ac:dyDescent="0.25">
      <c r="A5375" s="170" t="s">
        <v>8116</v>
      </c>
      <c r="B5375" s="170" t="s">
        <v>8117</v>
      </c>
      <c r="C5375" s="170" t="s">
        <v>385</v>
      </c>
      <c r="D5375" s="170" t="s">
        <v>2067</v>
      </c>
      <c r="E5375" s="171" t="s">
        <v>16203</v>
      </c>
      <c r="F5375" s="171" t="s">
        <v>19326</v>
      </c>
      <c r="G5375" s="82"/>
      <c r="H5375" s="96">
        <f t="shared" si="332"/>
        <v>11.87</v>
      </c>
      <c r="I5375" s="96">
        <f t="shared" si="332"/>
        <v>12.6</v>
      </c>
      <c r="J5375" s="91" t="str">
        <f t="shared" si="333"/>
        <v>Sinapi 91169</v>
      </c>
      <c r="K5375" s="91" t="str">
        <f t="shared" si="334"/>
        <v>M</v>
      </c>
      <c r="L5375" s="166" t="str">
        <f t="shared" si="335"/>
        <v>05/2015</v>
      </c>
      <c r="M5375" s="82"/>
      <c r="N5375" s="82"/>
    </row>
    <row r="5376" spans="1:14" x14ac:dyDescent="0.25">
      <c r="A5376" s="170" t="s">
        <v>8118</v>
      </c>
      <c r="B5376" s="170" t="s">
        <v>8119</v>
      </c>
      <c r="C5376" s="170" t="s">
        <v>385</v>
      </c>
      <c r="D5376" s="170" t="s">
        <v>2067</v>
      </c>
      <c r="E5376" s="171" t="s">
        <v>17947</v>
      </c>
      <c r="F5376" s="171" t="s">
        <v>19938</v>
      </c>
      <c r="G5376" s="82"/>
      <c r="H5376" s="96">
        <f t="shared" si="332"/>
        <v>3.38</v>
      </c>
      <c r="I5376" s="96">
        <f t="shared" si="332"/>
        <v>3.6</v>
      </c>
      <c r="J5376" s="91" t="str">
        <f t="shared" si="333"/>
        <v>Sinapi 91170</v>
      </c>
      <c r="K5376" s="91" t="str">
        <f t="shared" si="334"/>
        <v>M</v>
      </c>
      <c r="L5376" s="166" t="str">
        <f t="shared" si="335"/>
        <v>05/2015</v>
      </c>
      <c r="M5376" s="82"/>
      <c r="N5376" s="82"/>
    </row>
    <row r="5377" spans="1:14" x14ac:dyDescent="0.25">
      <c r="A5377" s="170" t="s">
        <v>8120</v>
      </c>
      <c r="B5377" s="170" t="s">
        <v>8121</v>
      </c>
      <c r="C5377" s="170" t="s">
        <v>385</v>
      </c>
      <c r="D5377" s="170" t="s">
        <v>2067</v>
      </c>
      <c r="E5377" s="171" t="s">
        <v>11278</v>
      </c>
      <c r="F5377" s="171" t="s">
        <v>22871</v>
      </c>
      <c r="G5377" s="82"/>
      <c r="H5377" s="96">
        <f t="shared" si="332"/>
        <v>4.28</v>
      </c>
      <c r="I5377" s="96">
        <f t="shared" si="332"/>
        <v>4.54</v>
      </c>
      <c r="J5377" s="91" t="str">
        <f t="shared" si="333"/>
        <v>Sinapi 91171</v>
      </c>
      <c r="K5377" s="91" t="str">
        <f t="shared" si="334"/>
        <v>M</v>
      </c>
      <c r="L5377" s="166" t="str">
        <f t="shared" si="335"/>
        <v>05/2015</v>
      </c>
      <c r="M5377" s="82"/>
      <c r="N5377" s="82"/>
    </row>
    <row r="5378" spans="1:14" x14ac:dyDescent="0.25">
      <c r="A5378" s="170" t="s">
        <v>8122</v>
      </c>
      <c r="B5378" s="170" t="s">
        <v>8123</v>
      </c>
      <c r="C5378" s="170" t="s">
        <v>385</v>
      </c>
      <c r="D5378" s="170" t="s">
        <v>2067</v>
      </c>
      <c r="E5378" s="171" t="s">
        <v>29470</v>
      </c>
      <c r="F5378" s="171" t="s">
        <v>17288</v>
      </c>
      <c r="G5378" s="82"/>
      <c r="H5378" s="96">
        <f t="shared" si="332"/>
        <v>6.27</v>
      </c>
      <c r="I5378" s="96">
        <f t="shared" si="332"/>
        <v>6.66</v>
      </c>
      <c r="J5378" s="91" t="str">
        <f t="shared" si="333"/>
        <v>Sinapi 91172</v>
      </c>
      <c r="K5378" s="91" t="str">
        <f t="shared" si="334"/>
        <v>M</v>
      </c>
      <c r="L5378" s="166" t="str">
        <f t="shared" si="335"/>
        <v>05/2015</v>
      </c>
      <c r="M5378" s="82"/>
      <c r="N5378" s="82"/>
    </row>
    <row r="5379" spans="1:14" x14ac:dyDescent="0.25">
      <c r="A5379" s="170" t="s">
        <v>8124</v>
      </c>
      <c r="B5379" s="170" t="s">
        <v>8125</v>
      </c>
      <c r="C5379" s="170" t="s">
        <v>385</v>
      </c>
      <c r="D5379" s="170" t="s">
        <v>2067</v>
      </c>
      <c r="E5379" s="171" t="s">
        <v>29416</v>
      </c>
      <c r="F5379" s="171" t="s">
        <v>18702</v>
      </c>
      <c r="G5379" s="82"/>
      <c r="H5379" s="96">
        <f t="shared" si="332"/>
        <v>1.72</v>
      </c>
      <c r="I5379" s="96">
        <f t="shared" si="332"/>
        <v>1.82</v>
      </c>
      <c r="J5379" s="91" t="str">
        <f t="shared" si="333"/>
        <v>Sinapi 91173</v>
      </c>
      <c r="K5379" s="91" t="str">
        <f t="shared" si="334"/>
        <v>M</v>
      </c>
      <c r="L5379" s="166" t="str">
        <f t="shared" si="335"/>
        <v>05/2015</v>
      </c>
      <c r="M5379" s="82"/>
      <c r="N5379" s="82"/>
    </row>
    <row r="5380" spans="1:14" x14ac:dyDescent="0.25">
      <c r="A5380" s="170" t="s">
        <v>8126</v>
      </c>
      <c r="B5380" s="170" t="s">
        <v>8127</v>
      </c>
      <c r="C5380" s="170" t="s">
        <v>385</v>
      </c>
      <c r="D5380" s="170" t="s">
        <v>2067</v>
      </c>
      <c r="E5380" s="171" t="s">
        <v>17938</v>
      </c>
      <c r="F5380" s="171" t="s">
        <v>19938</v>
      </c>
      <c r="G5380" s="82"/>
      <c r="H5380" s="96">
        <f t="shared" si="332"/>
        <v>3.39</v>
      </c>
      <c r="I5380" s="96">
        <f t="shared" si="332"/>
        <v>3.6</v>
      </c>
      <c r="J5380" s="91" t="str">
        <f t="shared" si="333"/>
        <v>Sinapi 91174</v>
      </c>
      <c r="K5380" s="91" t="str">
        <f t="shared" si="334"/>
        <v>M</v>
      </c>
      <c r="L5380" s="166" t="str">
        <f t="shared" si="335"/>
        <v>05/2015</v>
      </c>
      <c r="M5380" s="82"/>
      <c r="N5380" s="82"/>
    </row>
    <row r="5381" spans="1:14" x14ac:dyDescent="0.25">
      <c r="A5381" s="170" t="s">
        <v>8129</v>
      </c>
      <c r="B5381" s="170" t="s">
        <v>8130</v>
      </c>
      <c r="C5381" s="170" t="s">
        <v>385</v>
      </c>
      <c r="D5381" s="170" t="s">
        <v>2067</v>
      </c>
      <c r="E5381" s="171" t="s">
        <v>13837</v>
      </c>
      <c r="F5381" s="171" t="s">
        <v>21869</v>
      </c>
      <c r="G5381" s="82"/>
      <c r="H5381" s="96">
        <f t="shared" si="332"/>
        <v>5.51</v>
      </c>
      <c r="I5381" s="96">
        <f t="shared" si="332"/>
        <v>5.85</v>
      </c>
      <c r="J5381" s="91" t="str">
        <f t="shared" si="333"/>
        <v>Sinapi 91175</v>
      </c>
      <c r="K5381" s="91" t="str">
        <f t="shared" si="334"/>
        <v>M</v>
      </c>
      <c r="L5381" s="166" t="str">
        <f t="shared" si="335"/>
        <v>05/2015</v>
      </c>
      <c r="M5381" s="82"/>
      <c r="N5381" s="82"/>
    </row>
    <row r="5382" spans="1:14" x14ac:dyDescent="0.25">
      <c r="A5382" s="170" t="s">
        <v>8131</v>
      </c>
      <c r="B5382" s="170" t="s">
        <v>8132</v>
      </c>
      <c r="C5382" s="170" t="s">
        <v>385</v>
      </c>
      <c r="D5382" s="170" t="s">
        <v>1947</v>
      </c>
      <c r="E5382" s="171" t="s">
        <v>34168</v>
      </c>
      <c r="F5382" s="171" t="s">
        <v>23098</v>
      </c>
      <c r="G5382" s="82"/>
      <c r="H5382" s="96">
        <f t="shared" si="332"/>
        <v>30.15</v>
      </c>
      <c r="I5382" s="96">
        <f t="shared" si="332"/>
        <v>31.83</v>
      </c>
      <c r="J5382" s="91" t="str">
        <f t="shared" si="333"/>
        <v>Sinapi 91176</v>
      </c>
      <c r="K5382" s="91" t="str">
        <f t="shared" si="334"/>
        <v>M</v>
      </c>
      <c r="L5382" s="166" t="str">
        <f t="shared" si="335"/>
        <v>05/2015</v>
      </c>
      <c r="M5382" s="82"/>
      <c r="N5382" s="82"/>
    </row>
    <row r="5383" spans="1:14" x14ac:dyDescent="0.25">
      <c r="A5383" s="170" t="s">
        <v>8133</v>
      </c>
      <c r="B5383" s="170" t="s">
        <v>8134</v>
      </c>
      <c r="C5383" s="170" t="s">
        <v>385</v>
      </c>
      <c r="D5383" s="170" t="s">
        <v>1947</v>
      </c>
      <c r="E5383" s="171" t="s">
        <v>15780</v>
      </c>
      <c r="F5383" s="171" t="s">
        <v>21358</v>
      </c>
      <c r="G5383" s="82"/>
      <c r="H5383" s="96">
        <f t="shared" si="332"/>
        <v>14.09</v>
      </c>
      <c r="I5383" s="96">
        <f t="shared" si="332"/>
        <v>15.04</v>
      </c>
      <c r="J5383" s="91" t="str">
        <f t="shared" si="333"/>
        <v>Sinapi 91177</v>
      </c>
      <c r="K5383" s="91" t="str">
        <f t="shared" si="334"/>
        <v>M</v>
      </c>
      <c r="L5383" s="166" t="str">
        <f t="shared" si="335"/>
        <v>05/2015</v>
      </c>
      <c r="M5383" s="82"/>
      <c r="N5383" s="82"/>
    </row>
    <row r="5384" spans="1:14" x14ac:dyDescent="0.25">
      <c r="A5384" s="170" t="s">
        <v>8135</v>
      </c>
      <c r="B5384" s="170" t="s">
        <v>8136</v>
      </c>
      <c r="C5384" s="170" t="s">
        <v>385</v>
      </c>
      <c r="D5384" s="170" t="s">
        <v>1947</v>
      </c>
      <c r="E5384" s="171" t="s">
        <v>15201</v>
      </c>
      <c r="F5384" s="171" t="s">
        <v>19985</v>
      </c>
      <c r="G5384" s="82"/>
      <c r="H5384" s="96">
        <f t="shared" ref="H5384:I5447" si="336">IF(E5384="","",E5384+0)</f>
        <v>16.66</v>
      </c>
      <c r="I5384" s="96">
        <f t="shared" si="336"/>
        <v>17.63</v>
      </c>
      <c r="J5384" s="91" t="str">
        <f t="shared" ref="J5384:J5447" si="337">IF(OR(H5384="",I5384=""),"",TRIM(CONCATENATE("Sinapi ",A5384)))</f>
        <v>Sinapi 91178</v>
      </c>
      <c r="K5384" s="91" t="str">
        <f t="shared" ref="K5384:K5447" si="338">TRIM(C5384)</f>
        <v>M</v>
      </c>
      <c r="L5384" s="166" t="str">
        <f t="shared" ref="L5384:L5447" si="339">IF(OR(RIGHT(IF(AND(K5384&lt;&gt;"H",K5384&lt;&gt;"MES"),RIGHT(B5384,7),""),2)="PS",RIGHT(IF(AND(K5384&lt;&gt;"H",K5384&lt;&gt;"MES"),RIGHT(B5384,7),""),2)="PA",RIGHT(IF(AND(K5384&lt;&gt;"H",K5384&lt;&gt;"MES"),RIGHT(B5384,7),""),2)="PE"),LEFT(IF(AND(K5384&lt;&gt;"H",K5384&lt;&gt;"MES"),RIGHT(B5384,10),""),7),IF(AND(K5384&lt;&gt;"H",K5384&lt;&gt;"MES"),RIGHT(B5384,7),""))</f>
        <v>05/2015</v>
      </c>
      <c r="M5384" s="82"/>
      <c r="N5384" s="82"/>
    </row>
    <row r="5385" spans="1:14" x14ac:dyDescent="0.25">
      <c r="A5385" s="170" t="s">
        <v>8137</v>
      </c>
      <c r="B5385" s="170" t="s">
        <v>8138</v>
      </c>
      <c r="C5385" s="170" t="s">
        <v>385</v>
      </c>
      <c r="D5385" s="170" t="s">
        <v>1947</v>
      </c>
      <c r="E5385" s="171" t="s">
        <v>23345</v>
      </c>
      <c r="F5385" s="171" t="s">
        <v>17147</v>
      </c>
      <c r="G5385" s="82"/>
      <c r="H5385" s="96">
        <f t="shared" si="336"/>
        <v>7.74</v>
      </c>
      <c r="I5385" s="96">
        <f t="shared" si="336"/>
        <v>8.18</v>
      </c>
      <c r="J5385" s="91" t="str">
        <f t="shared" si="337"/>
        <v>Sinapi 91179</v>
      </c>
      <c r="K5385" s="91" t="str">
        <f t="shared" si="338"/>
        <v>M</v>
      </c>
      <c r="L5385" s="166" t="str">
        <f t="shared" si="339"/>
        <v>05/2015</v>
      </c>
      <c r="M5385" s="82"/>
      <c r="N5385" s="82"/>
    </row>
    <row r="5386" spans="1:14" x14ac:dyDescent="0.25">
      <c r="A5386" s="170" t="s">
        <v>8139</v>
      </c>
      <c r="B5386" s="170" t="s">
        <v>8140</v>
      </c>
      <c r="C5386" s="170" t="s">
        <v>385</v>
      </c>
      <c r="D5386" s="170" t="s">
        <v>1947</v>
      </c>
      <c r="E5386" s="171" t="s">
        <v>13748</v>
      </c>
      <c r="F5386" s="171" t="s">
        <v>17956</v>
      </c>
      <c r="G5386" s="82"/>
      <c r="H5386" s="96">
        <f t="shared" si="336"/>
        <v>7.06</v>
      </c>
      <c r="I5386" s="96">
        <f t="shared" si="336"/>
        <v>7.47</v>
      </c>
      <c r="J5386" s="91" t="str">
        <f t="shared" si="337"/>
        <v>Sinapi 91180</v>
      </c>
      <c r="K5386" s="91" t="str">
        <f t="shared" si="338"/>
        <v>M</v>
      </c>
      <c r="L5386" s="166" t="str">
        <f t="shared" si="339"/>
        <v>05/2015</v>
      </c>
      <c r="M5386" s="82"/>
      <c r="N5386" s="82"/>
    </row>
    <row r="5387" spans="1:14" x14ac:dyDescent="0.25">
      <c r="A5387" s="170" t="s">
        <v>8141</v>
      </c>
      <c r="B5387" s="170" t="s">
        <v>8142</v>
      </c>
      <c r="C5387" s="170" t="s">
        <v>385</v>
      </c>
      <c r="D5387" s="170" t="s">
        <v>1947</v>
      </c>
      <c r="E5387" s="171" t="s">
        <v>15777</v>
      </c>
      <c r="F5387" s="171" t="s">
        <v>17148</v>
      </c>
      <c r="G5387" s="82"/>
      <c r="H5387" s="96">
        <f t="shared" si="336"/>
        <v>7.67</v>
      </c>
      <c r="I5387" s="96">
        <f t="shared" si="336"/>
        <v>8.19</v>
      </c>
      <c r="J5387" s="91" t="str">
        <f t="shared" si="337"/>
        <v>Sinapi 91181</v>
      </c>
      <c r="K5387" s="91" t="str">
        <f t="shared" si="338"/>
        <v>M</v>
      </c>
      <c r="L5387" s="166" t="str">
        <f t="shared" si="339"/>
        <v>05/2015</v>
      </c>
      <c r="M5387" s="82"/>
      <c r="N5387" s="82"/>
    </row>
    <row r="5388" spans="1:14" x14ac:dyDescent="0.25">
      <c r="A5388" s="170" t="s">
        <v>8143</v>
      </c>
      <c r="B5388" s="170" t="s">
        <v>8144</v>
      </c>
      <c r="C5388" s="170" t="s">
        <v>385</v>
      </c>
      <c r="D5388" s="170" t="s">
        <v>1947</v>
      </c>
      <c r="E5388" s="171" t="s">
        <v>20046</v>
      </c>
      <c r="F5388" s="171" t="s">
        <v>34411</v>
      </c>
      <c r="G5388" s="82"/>
      <c r="H5388" s="96">
        <f t="shared" si="336"/>
        <v>25.94</v>
      </c>
      <c r="I5388" s="96">
        <f t="shared" si="336"/>
        <v>28.47</v>
      </c>
      <c r="J5388" s="91" t="str">
        <f t="shared" si="337"/>
        <v>Sinapi 91182</v>
      </c>
      <c r="K5388" s="91" t="str">
        <f t="shared" si="338"/>
        <v>M</v>
      </c>
      <c r="L5388" s="166" t="str">
        <f t="shared" si="339"/>
        <v>05/2015</v>
      </c>
      <c r="M5388" s="82"/>
      <c r="N5388" s="82"/>
    </row>
    <row r="5389" spans="1:14" x14ac:dyDescent="0.25">
      <c r="A5389" s="170" t="s">
        <v>8145</v>
      </c>
      <c r="B5389" s="170" t="s">
        <v>8146</v>
      </c>
      <c r="C5389" s="170" t="s">
        <v>385</v>
      </c>
      <c r="D5389" s="170" t="s">
        <v>1947</v>
      </c>
      <c r="E5389" s="171" t="s">
        <v>28656</v>
      </c>
      <c r="F5389" s="171" t="s">
        <v>14781</v>
      </c>
      <c r="G5389" s="82"/>
      <c r="H5389" s="96">
        <f t="shared" si="336"/>
        <v>12.65</v>
      </c>
      <c r="I5389" s="96">
        <f t="shared" si="336"/>
        <v>13.92</v>
      </c>
      <c r="J5389" s="91" t="str">
        <f t="shared" si="337"/>
        <v>Sinapi 91183</v>
      </c>
      <c r="K5389" s="91" t="str">
        <f t="shared" si="338"/>
        <v>M</v>
      </c>
      <c r="L5389" s="166" t="str">
        <f t="shared" si="339"/>
        <v>05/2015</v>
      </c>
      <c r="M5389" s="82"/>
      <c r="N5389" s="82"/>
    </row>
    <row r="5390" spans="1:14" x14ac:dyDescent="0.25">
      <c r="A5390" s="170" t="s">
        <v>8147</v>
      </c>
      <c r="B5390" s="170" t="s">
        <v>8148</v>
      </c>
      <c r="C5390" s="170" t="s">
        <v>385</v>
      </c>
      <c r="D5390" s="170" t="s">
        <v>1947</v>
      </c>
      <c r="E5390" s="171" t="s">
        <v>19974</v>
      </c>
      <c r="F5390" s="171" t="s">
        <v>14121</v>
      </c>
      <c r="G5390" s="82"/>
      <c r="H5390" s="96">
        <f t="shared" si="336"/>
        <v>11.72</v>
      </c>
      <c r="I5390" s="96">
        <f t="shared" si="336"/>
        <v>12.93</v>
      </c>
      <c r="J5390" s="91" t="str">
        <f t="shared" si="337"/>
        <v>Sinapi 91184</v>
      </c>
      <c r="K5390" s="91" t="str">
        <f t="shared" si="338"/>
        <v>M</v>
      </c>
      <c r="L5390" s="166" t="str">
        <f t="shared" si="339"/>
        <v>05/2015</v>
      </c>
      <c r="M5390" s="82"/>
      <c r="N5390" s="82"/>
    </row>
    <row r="5391" spans="1:14" x14ac:dyDescent="0.25">
      <c r="A5391" s="170" t="s">
        <v>8149</v>
      </c>
      <c r="B5391" s="170" t="s">
        <v>8150</v>
      </c>
      <c r="C5391" s="170" t="s">
        <v>385</v>
      </c>
      <c r="D5391" s="170" t="s">
        <v>1947</v>
      </c>
      <c r="E5391" s="171" t="s">
        <v>19946</v>
      </c>
      <c r="F5391" s="171" t="s">
        <v>24627</v>
      </c>
      <c r="G5391" s="82"/>
      <c r="H5391" s="96">
        <f t="shared" si="336"/>
        <v>6.65</v>
      </c>
      <c r="I5391" s="96">
        <f t="shared" si="336"/>
        <v>7.29</v>
      </c>
      <c r="J5391" s="91" t="str">
        <f t="shared" si="337"/>
        <v>Sinapi 91185</v>
      </c>
      <c r="K5391" s="91" t="str">
        <f t="shared" si="338"/>
        <v>M</v>
      </c>
      <c r="L5391" s="166" t="str">
        <f t="shared" si="339"/>
        <v>05/2015</v>
      </c>
      <c r="M5391" s="82"/>
      <c r="N5391" s="82"/>
    </row>
    <row r="5392" spans="1:14" x14ac:dyDescent="0.25">
      <c r="A5392" s="170" t="s">
        <v>8151</v>
      </c>
      <c r="B5392" s="170" t="s">
        <v>8152</v>
      </c>
      <c r="C5392" s="170" t="s">
        <v>385</v>
      </c>
      <c r="D5392" s="170" t="s">
        <v>1947</v>
      </c>
      <c r="E5392" s="171" t="s">
        <v>5225</v>
      </c>
      <c r="F5392" s="171" t="s">
        <v>18699</v>
      </c>
      <c r="G5392" s="82"/>
      <c r="H5392" s="96">
        <f t="shared" si="336"/>
        <v>5.41</v>
      </c>
      <c r="I5392" s="96">
        <f t="shared" si="336"/>
        <v>5.95</v>
      </c>
      <c r="J5392" s="91" t="str">
        <f t="shared" si="337"/>
        <v>Sinapi 91186</v>
      </c>
      <c r="K5392" s="91" t="str">
        <f t="shared" si="338"/>
        <v>M</v>
      </c>
      <c r="L5392" s="166" t="str">
        <f t="shared" si="339"/>
        <v>05/2015</v>
      </c>
      <c r="M5392" s="82"/>
      <c r="N5392" s="82"/>
    </row>
    <row r="5393" spans="1:14" x14ac:dyDescent="0.25">
      <c r="A5393" s="170" t="s">
        <v>8153</v>
      </c>
      <c r="B5393" s="170" t="s">
        <v>8154</v>
      </c>
      <c r="C5393" s="170" t="s">
        <v>385</v>
      </c>
      <c r="D5393" s="170" t="s">
        <v>1947</v>
      </c>
      <c r="E5393" s="171" t="s">
        <v>5262</v>
      </c>
      <c r="F5393" s="171" t="s">
        <v>27130</v>
      </c>
      <c r="G5393" s="82"/>
      <c r="H5393" s="96">
        <f t="shared" si="336"/>
        <v>6.19</v>
      </c>
      <c r="I5393" s="96">
        <f t="shared" si="336"/>
        <v>6.83</v>
      </c>
      <c r="J5393" s="91" t="str">
        <f t="shared" si="337"/>
        <v>Sinapi 91187</v>
      </c>
      <c r="K5393" s="91" t="str">
        <f t="shared" si="338"/>
        <v>M</v>
      </c>
      <c r="L5393" s="166" t="str">
        <f t="shared" si="339"/>
        <v>05/2015</v>
      </c>
      <c r="M5393" s="82"/>
      <c r="N5393" s="82"/>
    </row>
    <row r="5394" spans="1:14" x14ac:dyDescent="0.25">
      <c r="A5394" s="170" t="s">
        <v>8156</v>
      </c>
      <c r="B5394" s="170" t="s">
        <v>8157</v>
      </c>
      <c r="C5394" s="170" t="s">
        <v>205</v>
      </c>
      <c r="D5394" s="170" t="s">
        <v>2067</v>
      </c>
      <c r="E5394" s="171" t="s">
        <v>29201</v>
      </c>
      <c r="F5394" s="171" t="s">
        <v>17972</v>
      </c>
      <c r="G5394" s="82"/>
      <c r="H5394" s="96">
        <f t="shared" si="336"/>
        <v>7.65</v>
      </c>
      <c r="I5394" s="96">
        <f t="shared" si="336"/>
        <v>8.25</v>
      </c>
      <c r="J5394" s="91" t="str">
        <f t="shared" si="337"/>
        <v>Sinapi 91188</v>
      </c>
      <c r="K5394" s="91" t="str">
        <f t="shared" si="338"/>
        <v>UN</v>
      </c>
      <c r="L5394" s="166" t="str">
        <f t="shared" si="339"/>
        <v>05/2015</v>
      </c>
      <c r="M5394" s="82"/>
      <c r="N5394" s="82"/>
    </row>
    <row r="5395" spans="1:14" x14ac:dyDescent="0.25">
      <c r="A5395" s="170" t="s">
        <v>8158</v>
      </c>
      <c r="B5395" s="170" t="s">
        <v>8159</v>
      </c>
      <c r="C5395" s="170" t="s">
        <v>205</v>
      </c>
      <c r="D5395" s="170" t="s">
        <v>2067</v>
      </c>
      <c r="E5395" s="171" t="s">
        <v>28712</v>
      </c>
      <c r="F5395" s="171" t="s">
        <v>22874</v>
      </c>
      <c r="G5395" s="82"/>
      <c r="H5395" s="96">
        <f t="shared" si="336"/>
        <v>63.58</v>
      </c>
      <c r="I5395" s="96">
        <f t="shared" si="336"/>
        <v>66.260000000000005</v>
      </c>
      <c r="J5395" s="91" t="str">
        <f t="shared" si="337"/>
        <v>Sinapi 91189</v>
      </c>
      <c r="K5395" s="91" t="str">
        <f t="shared" si="338"/>
        <v>UN</v>
      </c>
      <c r="L5395" s="166" t="str">
        <f t="shared" si="339"/>
        <v>05/2015</v>
      </c>
      <c r="M5395" s="82"/>
      <c r="N5395" s="82"/>
    </row>
    <row r="5396" spans="1:14" x14ac:dyDescent="0.25">
      <c r="A5396" s="170" t="s">
        <v>8160</v>
      </c>
      <c r="B5396" s="170" t="s">
        <v>8161</v>
      </c>
      <c r="C5396" s="170" t="s">
        <v>205</v>
      </c>
      <c r="D5396" s="170" t="s">
        <v>2067</v>
      </c>
      <c r="E5396" s="171" t="s">
        <v>10384</v>
      </c>
      <c r="F5396" s="171" t="s">
        <v>19327</v>
      </c>
      <c r="G5396" s="82"/>
      <c r="H5396" s="96">
        <f t="shared" si="336"/>
        <v>4.87</v>
      </c>
      <c r="I5396" s="96">
        <f t="shared" si="336"/>
        <v>5.37</v>
      </c>
      <c r="J5396" s="91" t="str">
        <f t="shared" si="337"/>
        <v>Sinapi 91190</v>
      </c>
      <c r="K5396" s="91" t="str">
        <f t="shared" si="338"/>
        <v>UN</v>
      </c>
      <c r="L5396" s="166" t="str">
        <f t="shared" si="339"/>
        <v>05/2015</v>
      </c>
      <c r="M5396" s="82"/>
      <c r="N5396" s="82"/>
    </row>
    <row r="5397" spans="1:14" x14ac:dyDescent="0.25">
      <c r="A5397" s="170" t="s">
        <v>8162</v>
      </c>
      <c r="B5397" s="170" t="s">
        <v>8163</v>
      </c>
      <c r="C5397" s="170" t="s">
        <v>205</v>
      </c>
      <c r="D5397" s="170" t="s">
        <v>2067</v>
      </c>
      <c r="E5397" s="171" t="s">
        <v>8155</v>
      </c>
      <c r="F5397" s="171" t="s">
        <v>15718</v>
      </c>
      <c r="G5397" s="82"/>
      <c r="H5397" s="96">
        <f t="shared" si="336"/>
        <v>5.14</v>
      </c>
      <c r="I5397" s="96">
        <f t="shared" si="336"/>
        <v>5.68</v>
      </c>
      <c r="J5397" s="91" t="str">
        <f t="shared" si="337"/>
        <v>Sinapi 91191</v>
      </c>
      <c r="K5397" s="91" t="str">
        <f t="shared" si="338"/>
        <v>UN</v>
      </c>
      <c r="L5397" s="166" t="str">
        <f t="shared" si="339"/>
        <v>05/2015</v>
      </c>
      <c r="M5397" s="82"/>
      <c r="N5397" s="82"/>
    </row>
    <row r="5398" spans="1:14" x14ac:dyDescent="0.25">
      <c r="A5398" s="170" t="s">
        <v>8164</v>
      </c>
      <c r="B5398" s="170" t="s">
        <v>8165</v>
      </c>
      <c r="C5398" s="170" t="s">
        <v>205</v>
      </c>
      <c r="D5398" s="170" t="s">
        <v>2067</v>
      </c>
      <c r="E5398" s="171" t="s">
        <v>6077</v>
      </c>
      <c r="F5398" s="171" t="s">
        <v>17297</v>
      </c>
      <c r="G5398" s="82"/>
      <c r="H5398" s="96">
        <f t="shared" si="336"/>
        <v>5.67</v>
      </c>
      <c r="I5398" s="96">
        <f t="shared" si="336"/>
        <v>6.26</v>
      </c>
      <c r="J5398" s="91" t="str">
        <f t="shared" si="337"/>
        <v>Sinapi 91192</v>
      </c>
      <c r="K5398" s="91" t="str">
        <f t="shared" si="338"/>
        <v>UN</v>
      </c>
      <c r="L5398" s="166" t="str">
        <f t="shared" si="339"/>
        <v>05/2015</v>
      </c>
      <c r="M5398" s="82"/>
      <c r="N5398" s="82"/>
    </row>
    <row r="5399" spans="1:14" x14ac:dyDescent="0.25">
      <c r="A5399" s="170" t="s">
        <v>8166</v>
      </c>
      <c r="B5399" s="170" t="s">
        <v>8167</v>
      </c>
      <c r="C5399" s="170" t="s">
        <v>385</v>
      </c>
      <c r="D5399" s="170" t="s">
        <v>2067</v>
      </c>
      <c r="E5399" s="171" t="s">
        <v>28656</v>
      </c>
      <c r="F5399" s="171" t="s">
        <v>14347</v>
      </c>
      <c r="G5399" s="82"/>
      <c r="H5399" s="96">
        <f t="shared" si="336"/>
        <v>12.65</v>
      </c>
      <c r="I5399" s="96">
        <f t="shared" si="336"/>
        <v>14.16</v>
      </c>
      <c r="J5399" s="91" t="str">
        <f t="shared" si="337"/>
        <v>Sinapi 91222</v>
      </c>
      <c r="K5399" s="91" t="str">
        <f t="shared" si="338"/>
        <v>M</v>
      </c>
      <c r="L5399" s="166" t="str">
        <f t="shared" si="339"/>
        <v>05/2015</v>
      </c>
      <c r="M5399" s="82"/>
      <c r="N5399" s="82"/>
    </row>
    <row r="5400" spans="1:14" x14ac:dyDescent="0.25">
      <c r="A5400" s="170" t="s">
        <v>8168</v>
      </c>
      <c r="B5400" s="170" t="s">
        <v>8169</v>
      </c>
      <c r="C5400" s="170" t="s">
        <v>205</v>
      </c>
      <c r="D5400" s="170" t="s">
        <v>1947</v>
      </c>
      <c r="E5400" s="171" t="s">
        <v>34169</v>
      </c>
      <c r="F5400" s="171" t="s">
        <v>37332</v>
      </c>
      <c r="G5400" s="82"/>
      <c r="H5400" s="96">
        <f t="shared" si="336"/>
        <v>2446.94</v>
      </c>
      <c r="I5400" s="96">
        <f t="shared" si="336"/>
        <v>2530.5100000000002</v>
      </c>
      <c r="J5400" s="91" t="str">
        <f t="shared" si="337"/>
        <v>Sinapi 94480</v>
      </c>
      <c r="K5400" s="91" t="str">
        <f t="shared" si="338"/>
        <v>UN</v>
      </c>
      <c r="L5400" s="166" t="str">
        <f t="shared" si="339"/>
        <v>06/2016</v>
      </c>
      <c r="M5400" s="82"/>
      <c r="N5400" s="82"/>
    </row>
    <row r="5401" spans="1:14" x14ac:dyDescent="0.25">
      <c r="A5401" s="170" t="s">
        <v>8170</v>
      </c>
      <c r="B5401" s="170" t="s">
        <v>8171</v>
      </c>
      <c r="C5401" s="170" t="s">
        <v>205</v>
      </c>
      <c r="D5401" s="170" t="s">
        <v>1947</v>
      </c>
      <c r="E5401" s="171" t="s">
        <v>34170</v>
      </c>
      <c r="F5401" s="171" t="s">
        <v>37333</v>
      </c>
      <c r="G5401" s="82"/>
      <c r="H5401" s="96">
        <f t="shared" si="336"/>
        <v>1718.72</v>
      </c>
      <c r="I5401" s="96">
        <f t="shared" si="336"/>
        <v>1793.03</v>
      </c>
      <c r="J5401" s="91" t="str">
        <f t="shared" si="337"/>
        <v>Sinapi 94481</v>
      </c>
      <c r="K5401" s="91" t="str">
        <f t="shared" si="338"/>
        <v>UN</v>
      </c>
      <c r="L5401" s="166" t="str">
        <f t="shared" si="339"/>
        <v>06/2016</v>
      </c>
      <c r="M5401" s="82"/>
      <c r="N5401" s="82"/>
    </row>
    <row r="5402" spans="1:14" x14ac:dyDescent="0.25">
      <c r="A5402" s="170" t="s">
        <v>8172</v>
      </c>
      <c r="B5402" s="170" t="s">
        <v>8173</v>
      </c>
      <c r="C5402" s="170" t="s">
        <v>205</v>
      </c>
      <c r="D5402" s="170" t="s">
        <v>1947</v>
      </c>
      <c r="E5402" s="171" t="s">
        <v>34171</v>
      </c>
      <c r="F5402" s="171" t="s">
        <v>37334</v>
      </c>
      <c r="G5402" s="82"/>
      <c r="H5402" s="96">
        <f t="shared" si="336"/>
        <v>1349.7</v>
      </c>
      <c r="I5402" s="96">
        <f t="shared" si="336"/>
        <v>1417.36</v>
      </c>
      <c r="J5402" s="91" t="str">
        <f t="shared" si="337"/>
        <v>Sinapi 94482</v>
      </c>
      <c r="K5402" s="91" t="str">
        <f t="shared" si="338"/>
        <v>UN</v>
      </c>
      <c r="L5402" s="166" t="str">
        <f t="shared" si="339"/>
        <v>06/2016</v>
      </c>
      <c r="M5402" s="82"/>
      <c r="N5402" s="82"/>
    </row>
    <row r="5403" spans="1:14" x14ac:dyDescent="0.25">
      <c r="A5403" s="170" t="s">
        <v>8174</v>
      </c>
      <c r="B5403" s="170" t="s">
        <v>8175</v>
      </c>
      <c r="C5403" s="170" t="s">
        <v>205</v>
      </c>
      <c r="D5403" s="170" t="s">
        <v>1947</v>
      </c>
      <c r="E5403" s="171" t="s">
        <v>34172</v>
      </c>
      <c r="F5403" s="171" t="s">
        <v>37335</v>
      </c>
      <c r="G5403" s="82"/>
      <c r="H5403" s="96">
        <f t="shared" si="336"/>
        <v>1133.44</v>
      </c>
      <c r="I5403" s="96">
        <f t="shared" si="336"/>
        <v>1195.6400000000001</v>
      </c>
      <c r="J5403" s="91" t="str">
        <f t="shared" si="337"/>
        <v>Sinapi 94483</v>
      </c>
      <c r="K5403" s="91" t="str">
        <f t="shared" si="338"/>
        <v>UN</v>
      </c>
      <c r="L5403" s="166" t="str">
        <f t="shared" si="339"/>
        <v>06/2016</v>
      </c>
      <c r="M5403" s="82"/>
      <c r="N5403" s="82"/>
    </row>
    <row r="5404" spans="1:14" x14ac:dyDescent="0.25">
      <c r="A5404" s="170" t="s">
        <v>8176</v>
      </c>
      <c r="B5404" s="170" t="s">
        <v>8177</v>
      </c>
      <c r="C5404" s="170" t="s">
        <v>205</v>
      </c>
      <c r="D5404" s="170" t="s">
        <v>2067</v>
      </c>
      <c r="E5404" s="171" t="s">
        <v>14317</v>
      </c>
      <c r="F5404" s="171" t="s">
        <v>6540</v>
      </c>
      <c r="G5404" s="82"/>
      <c r="H5404" s="96">
        <f t="shared" si="336"/>
        <v>4.1900000000000004</v>
      </c>
      <c r="I5404" s="96">
        <f t="shared" si="336"/>
        <v>4.6900000000000004</v>
      </c>
      <c r="J5404" s="91" t="str">
        <f t="shared" si="337"/>
        <v>Sinapi 95541</v>
      </c>
      <c r="K5404" s="91" t="str">
        <f t="shared" si="338"/>
        <v>UN</v>
      </c>
      <c r="L5404" s="166" t="str">
        <f t="shared" si="339"/>
        <v>10/2016</v>
      </c>
      <c r="M5404" s="82"/>
      <c r="N5404" s="82"/>
    </row>
    <row r="5405" spans="1:14" x14ac:dyDescent="0.25">
      <c r="A5405" s="170" t="s">
        <v>8178</v>
      </c>
      <c r="B5405" s="170" t="s">
        <v>8179</v>
      </c>
      <c r="C5405" s="170" t="s">
        <v>870</v>
      </c>
      <c r="D5405" s="170" t="s">
        <v>1947</v>
      </c>
      <c r="E5405" s="171" t="s">
        <v>20981</v>
      </c>
      <c r="F5405" s="171" t="s">
        <v>37336</v>
      </c>
      <c r="G5405" s="82"/>
      <c r="H5405" s="96">
        <f t="shared" si="336"/>
        <v>39</v>
      </c>
      <c r="I5405" s="96">
        <f t="shared" si="336"/>
        <v>39.479999999999997</v>
      </c>
      <c r="J5405" s="91" t="str">
        <f t="shared" si="337"/>
        <v>Sinapi 96559</v>
      </c>
      <c r="K5405" s="91" t="str">
        <f t="shared" si="338"/>
        <v>M2</v>
      </c>
      <c r="L5405" s="166" t="str">
        <f t="shared" si="339"/>
        <v>07/2017</v>
      </c>
      <c r="M5405" s="82"/>
      <c r="N5405" s="82"/>
    </row>
    <row r="5406" spans="1:14" x14ac:dyDescent="0.25">
      <c r="A5406" s="170" t="s">
        <v>8180</v>
      </c>
      <c r="B5406" s="170" t="s">
        <v>8181</v>
      </c>
      <c r="C5406" s="170" t="s">
        <v>870</v>
      </c>
      <c r="D5406" s="170" t="s">
        <v>1947</v>
      </c>
      <c r="E5406" s="171" t="s">
        <v>17884</v>
      </c>
      <c r="F5406" s="171" t="s">
        <v>21091</v>
      </c>
      <c r="G5406" s="82"/>
      <c r="H5406" s="96">
        <f t="shared" si="336"/>
        <v>25.68</v>
      </c>
      <c r="I5406" s="96">
        <f t="shared" si="336"/>
        <v>26.16</v>
      </c>
      <c r="J5406" s="91" t="str">
        <f t="shared" si="337"/>
        <v>Sinapi 96560</v>
      </c>
      <c r="K5406" s="91" t="str">
        <f t="shared" si="338"/>
        <v>M2</v>
      </c>
      <c r="L5406" s="166" t="str">
        <f t="shared" si="339"/>
        <v>07/2017</v>
      </c>
      <c r="M5406" s="82"/>
      <c r="N5406" s="82"/>
    </row>
    <row r="5407" spans="1:14" x14ac:dyDescent="0.25">
      <c r="A5407" s="170" t="s">
        <v>8182</v>
      </c>
      <c r="B5407" s="170" t="s">
        <v>8183</v>
      </c>
      <c r="C5407" s="170" t="s">
        <v>870</v>
      </c>
      <c r="D5407" s="170" t="s">
        <v>1947</v>
      </c>
      <c r="E5407" s="171" t="s">
        <v>16340</v>
      </c>
      <c r="F5407" s="171" t="s">
        <v>6533</v>
      </c>
      <c r="G5407" s="82"/>
      <c r="H5407" s="96">
        <f t="shared" si="336"/>
        <v>19.22</v>
      </c>
      <c r="I5407" s="96">
        <f t="shared" si="336"/>
        <v>19.48</v>
      </c>
      <c r="J5407" s="91" t="str">
        <f t="shared" si="337"/>
        <v>Sinapi 96561</v>
      </c>
      <c r="K5407" s="91" t="str">
        <f t="shared" si="338"/>
        <v>M2</v>
      </c>
      <c r="L5407" s="166" t="str">
        <f t="shared" si="339"/>
        <v>07/2017</v>
      </c>
      <c r="M5407" s="82"/>
      <c r="N5407" s="82"/>
    </row>
    <row r="5408" spans="1:14" x14ac:dyDescent="0.25">
      <c r="A5408" s="170" t="s">
        <v>8184</v>
      </c>
      <c r="B5408" s="170" t="s">
        <v>8185</v>
      </c>
      <c r="C5408" s="170" t="s">
        <v>385</v>
      </c>
      <c r="D5408" s="170" t="s">
        <v>1947</v>
      </c>
      <c r="E5408" s="171" t="s">
        <v>19386</v>
      </c>
      <c r="F5408" s="171" t="s">
        <v>37337</v>
      </c>
      <c r="G5408" s="82"/>
      <c r="H5408" s="96">
        <f t="shared" si="336"/>
        <v>23.63</v>
      </c>
      <c r="I5408" s="96">
        <f t="shared" si="336"/>
        <v>24.13</v>
      </c>
      <c r="J5408" s="91" t="str">
        <f t="shared" si="337"/>
        <v>Sinapi 96562</v>
      </c>
      <c r="K5408" s="91" t="str">
        <f t="shared" si="338"/>
        <v>M</v>
      </c>
      <c r="L5408" s="166" t="str">
        <f t="shared" si="339"/>
        <v>07/2017</v>
      </c>
      <c r="M5408" s="82"/>
      <c r="N5408" s="82"/>
    </row>
    <row r="5409" spans="1:14" x14ac:dyDescent="0.25">
      <c r="A5409" s="170" t="s">
        <v>8186</v>
      </c>
      <c r="B5409" s="170" t="s">
        <v>14245</v>
      </c>
      <c r="C5409" s="170" t="s">
        <v>385</v>
      </c>
      <c r="D5409" s="170" t="s">
        <v>1947</v>
      </c>
      <c r="E5409" s="171" t="s">
        <v>19980</v>
      </c>
      <c r="F5409" s="171" t="s">
        <v>23135</v>
      </c>
      <c r="G5409" s="82"/>
      <c r="H5409" s="96">
        <f t="shared" si="336"/>
        <v>30.33</v>
      </c>
      <c r="I5409" s="96">
        <f t="shared" si="336"/>
        <v>30.83</v>
      </c>
      <c r="J5409" s="91" t="str">
        <f t="shared" si="337"/>
        <v>Sinapi 96563</v>
      </c>
      <c r="K5409" s="91" t="str">
        <f t="shared" si="338"/>
        <v>M</v>
      </c>
      <c r="L5409" s="166" t="str">
        <f t="shared" si="339"/>
        <v>07/2017</v>
      </c>
      <c r="M5409" s="82"/>
      <c r="N5409" s="82"/>
    </row>
    <row r="5410" spans="1:14" x14ac:dyDescent="0.25">
      <c r="A5410" s="170" t="s">
        <v>18420</v>
      </c>
      <c r="B5410" s="170" t="s">
        <v>18421</v>
      </c>
      <c r="C5410" s="170" t="s">
        <v>205</v>
      </c>
      <c r="D5410" s="170" t="s">
        <v>1947</v>
      </c>
      <c r="E5410" s="171" t="s">
        <v>34173</v>
      </c>
      <c r="F5410" s="171" t="s">
        <v>37338</v>
      </c>
      <c r="G5410" s="82"/>
      <c r="H5410" s="96">
        <f t="shared" si="336"/>
        <v>1566.56</v>
      </c>
      <c r="I5410" s="96">
        <f t="shared" si="336"/>
        <v>1569.59</v>
      </c>
      <c r="J5410" s="91" t="str">
        <f t="shared" si="337"/>
        <v>Sinapi 100128</v>
      </c>
      <c r="K5410" s="91" t="str">
        <f t="shared" si="338"/>
        <v>UN</v>
      </c>
      <c r="L5410" s="166" t="str">
        <f t="shared" si="339"/>
        <v>12/2020</v>
      </c>
      <c r="M5410" s="82"/>
      <c r="N5410" s="82"/>
    </row>
    <row r="5411" spans="1:14" x14ac:dyDescent="0.25">
      <c r="A5411" s="170" t="s">
        <v>12654</v>
      </c>
      <c r="B5411" s="170" t="s">
        <v>12655</v>
      </c>
      <c r="C5411" s="170" t="s">
        <v>205</v>
      </c>
      <c r="D5411" s="170" t="s">
        <v>1947</v>
      </c>
      <c r="E5411" s="171" t="s">
        <v>34174</v>
      </c>
      <c r="F5411" s="171" t="s">
        <v>37339</v>
      </c>
      <c r="G5411" s="82"/>
      <c r="H5411" s="96">
        <f t="shared" si="336"/>
        <v>2106.37</v>
      </c>
      <c r="I5411" s="96">
        <f t="shared" si="336"/>
        <v>2180.84</v>
      </c>
      <c r="J5411" s="91" t="str">
        <f t="shared" si="337"/>
        <v>Sinapi 101802</v>
      </c>
      <c r="K5411" s="91" t="str">
        <f t="shared" si="338"/>
        <v>UN</v>
      </c>
      <c r="L5411" s="166" t="str">
        <f t="shared" si="339"/>
        <v>12/2020</v>
      </c>
      <c r="M5411" s="82"/>
      <c r="N5411" s="82"/>
    </row>
    <row r="5412" spans="1:14" x14ac:dyDescent="0.25">
      <c r="A5412" s="170" t="s">
        <v>12656</v>
      </c>
      <c r="B5412" s="170" t="s">
        <v>12657</v>
      </c>
      <c r="C5412" s="170" t="s">
        <v>205</v>
      </c>
      <c r="D5412" s="170" t="s">
        <v>1947</v>
      </c>
      <c r="E5412" s="171" t="s">
        <v>34175</v>
      </c>
      <c r="F5412" s="171" t="s">
        <v>37340</v>
      </c>
      <c r="G5412" s="82"/>
      <c r="H5412" s="96">
        <f t="shared" si="336"/>
        <v>1298.48</v>
      </c>
      <c r="I5412" s="96">
        <f t="shared" si="336"/>
        <v>1350.3</v>
      </c>
      <c r="J5412" s="91" t="str">
        <f t="shared" si="337"/>
        <v>Sinapi 101803</v>
      </c>
      <c r="K5412" s="91" t="str">
        <f t="shared" si="338"/>
        <v>UN</v>
      </c>
      <c r="L5412" s="166" t="str">
        <f t="shared" si="339"/>
        <v>12/2020</v>
      </c>
      <c r="M5412" s="82"/>
      <c r="N5412" s="82"/>
    </row>
    <row r="5413" spans="1:14" x14ac:dyDescent="0.25">
      <c r="A5413" s="170" t="s">
        <v>12658</v>
      </c>
      <c r="B5413" s="170" t="s">
        <v>12659</v>
      </c>
      <c r="C5413" s="170" t="s">
        <v>205</v>
      </c>
      <c r="D5413" s="170" t="s">
        <v>1947</v>
      </c>
      <c r="E5413" s="171" t="s">
        <v>34176</v>
      </c>
      <c r="F5413" s="171" t="s">
        <v>37341</v>
      </c>
      <c r="G5413" s="82"/>
      <c r="H5413" s="96">
        <f t="shared" si="336"/>
        <v>1658.07</v>
      </c>
      <c r="I5413" s="96">
        <f t="shared" si="336"/>
        <v>1719.22</v>
      </c>
      <c r="J5413" s="91" t="str">
        <f t="shared" si="337"/>
        <v>Sinapi 101804</v>
      </c>
      <c r="K5413" s="91" t="str">
        <f t="shared" si="338"/>
        <v>UN</v>
      </c>
      <c r="L5413" s="166" t="str">
        <f t="shared" si="339"/>
        <v>12/2020</v>
      </c>
      <c r="M5413" s="82"/>
      <c r="N5413" s="82"/>
    </row>
    <row r="5414" spans="1:14" x14ac:dyDescent="0.25">
      <c r="A5414" s="170" t="s">
        <v>12660</v>
      </c>
      <c r="B5414" s="170" t="s">
        <v>12661</v>
      </c>
      <c r="C5414" s="170" t="s">
        <v>205</v>
      </c>
      <c r="D5414" s="170" t="s">
        <v>1947</v>
      </c>
      <c r="E5414" s="171" t="s">
        <v>34177</v>
      </c>
      <c r="F5414" s="171" t="s">
        <v>37342</v>
      </c>
      <c r="G5414" s="82"/>
      <c r="H5414" s="96">
        <f t="shared" si="336"/>
        <v>2107.15</v>
      </c>
      <c r="I5414" s="96">
        <f t="shared" si="336"/>
        <v>2185.13</v>
      </c>
      <c r="J5414" s="91" t="str">
        <f t="shared" si="337"/>
        <v>Sinapi 101805</v>
      </c>
      <c r="K5414" s="91" t="str">
        <f t="shared" si="338"/>
        <v>UN</v>
      </c>
      <c r="L5414" s="166" t="str">
        <f t="shared" si="339"/>
        <v>12/2020</v>
      </c>
      <c r="M5414" s="82"/>
      <c r="N5414" s="82"/>
    </row>
    <row r="5415" spans="1:14" x14ac:dyDescent="0.25">
      <c r="A5415" s="170" t="s">
        <v>12662</v>
      </c>
      <c r="B5415" s="170" t="s">
        <v>12663</v>
      </c>
      <c r="C5415" s="170" t="s">
        <v>205</v>
      </c>
      <c r="D5415" s="170" t="s">
        <v>1947</v>
      </c>
      <c r="E5415" s="171" t="s">
        <v>34178</v>
      </c>
      <c r="F5415" s="171" t="s">
        <v>32371</v>
      </c>
      <c r="G5415" s="82"/>
      <c r="H5415" s="96">
        <f t="shared" si="336"/>
        <v>1253.58</v>
      </c>
      <c r="I5415" s="96">
        <f t="shared" si="336"/>
        <v>1266.26</v>
      </c>
      <c r="J5415" s="91" t="str">
        <f t="shared" si="337"/>
        <v>Sinapi 102111</v>
      </c>
      <c r="K5415" s="91" t="str">
        <f t="shared" si="338"/>
        <v>UN</v>
      </c>
      <c r="L5415" s="166" t="str">
        <f t="shared" si="339"/>
        <v>12/2020</v>
      </c>
      <c r="M5415" s="82"/>
      <c r="N5415" s="82"/>
    </row>
    <row r="5416" spans="1:14" x14ac:dyDescent="0.25">
      <c r="A5416" s="170" t="s">
        <v>12664</v>
      </c>
      <c r="B5416" s="170" t="s">
        <v>12665</v>
      </c>
      <c r="C5416" s="170" t="s">
        <v>205</v>
      </c>
      <c r="D5416" s="170" t="s">
        <v>1947</v>
      </c>
      <c r="E5416" s="171" t="s">
        <v>21315</v>
      </c>
      <c r="F5416" s="171" t="s">
        <v>36065</v>
      </c>
      <c r="G5416" s="82"/>
      <c r="H5416" s="96">
        <f t="shared" si="336"/>
        <v>120.03</v>
      </c>
      <c r="I5416" s="96">
        <f t="shared" si="336"/>
        <v>132.71</v>
      </c>
      <c r="J5416" s="91" t="str">
        <f t="shared" si="337"/>
        <v>Sinapi 102112</v>
      </c>
      <c r="K5416" s="91" t="str">
        <f t="shared" si="338"/>
        <v>UN</v>
      </c>
      <c r="L5416" s="166" t="str">
        <f t="shared" si="339"/>
        <v>12/2020</v>
      </c>
      <c r="M5416" s="82"/>
      <c r="N5416" s="82"/>
    </row>
    <row r="5417" spans="1:14" x14ac:dyDescent="0.25">
      <c r="A5417" s="170" t="s">
        <v>12666</v>
      </c>
      <c r="B5417" s="170" t="s">
        <v>12667</v>
      </c>
      <c r="C5417" s="170" t="s">
        <v>205</v>
      </c>
      <c r="D5417" s="170" t="s">
        <v>1947</v>
      </c>
      <c r="E5417" s="171" t="s">
        <v>34179</v>
      </c>
      <c r="F5417" s="171" t="s">
        <v>37343</v>
      </c>
      <c r="G5417" s="82"/>
      <c r="H5417" s="96">
        <f t="shared" si="336"/>
        <v>2033.78</v>
      </c>
      <c r="I5417" s="96">
        <f t="shared" si="336"/>
        <v>2046.8</v>
      </c>
      <c r="J5417" s="91" t="str">
        <f t="shared" si="337"/>
        <v>Sinapi 102113</v>
      </c>
      <c r="K5417" s="91" t="str">
        <f t="shared" si="338"/>
        <v>UN</v>
      </c>
      <c r="L5417" s="166" t="str">
        <f t="shared" si="339"/>
        <v>12/2020</v>
      </c>
      <c r="M5417" s="82"/>
      <c r="N5417" s="82"/>
    </row>
    <row r="5418" spans="1:14" x14ac:dyDescent="0.25">
      <c r="A5418" s="170" t="s">
        <v>12668</v>
      </c>
      <c r="B5418" s="170" t="s">
        <v>12669</v>
      </c>
      <c r="C5418" s="170" t="s">
        <v>205</v>
      </c>
      <c r="D5418" s="170" t="s">
        <v>1947</v>
      </c>
      <c r="E5418" s="171" t="s">
        <v>34180</v>
      </c>
      <c r="F5418" s="171" t="s">
        <v>37344</v>
      </c>
      <c r="G5418" s="82"/>
      <c r="H5418" s="96">
        <f t="shared" si="336"/>
        <v>122.99</v>
      </c>
      <c r="I5418" s="96">
        <f t="shared" si="336"/>
        <v>136.01</v>
      </c>
      <c r="J5418" s="91" t="str">
        <f t="shared" si="337"/>
        <v>Sinapi 102114</v>
      </c>
      <c r="K5418" s="91" t="str">
        <f t="shared" si="338"/>
        <v>UN</v>
      </c>
      <c r="L5418" s="166" t="str">
        <f t="shared" si="339"/>
        <v>12/2020</v>
      </c>
      <c r="M5418" s="82"/>
      <c r="N5418" s="82"/>
    </row>
    <row r="5419" spans="1:14" x14ac:dyDescent="0.25">
      <c r="A5419" s="170" t="s">
        <v>12670</v>
      </c>
      <c r="B5419" s="170" t="s">
        <v>12671</v>
      </c>
      <c r="C5419" s="170" t="s">
        <v>205</v>
      </c>
      <c r="D5419" s="170" t="s">
        <v>1947</v>
      </c>
      <c r="E5419" s="171" t="s">
        <v>34181</v>
      </c>
      <c r="F5419" s="171" t="s">
        <v>37345</v>
      </c>
      <c r="G5419" s="82"/>
      <c r="H5419" s="96">
        <f t="shared" si="336"/>
        <v>3570.5</v>
      </c>
      <c r="I5419" s="96">
        <f t="shared" si="336"/>
        <v>3589.06</v>
      </c>
      <c r="J5419" s="91" t="str">
        <f t="shared" si="337"/>
        <v>Sinapi 102115</v>
      </c>
      <c r="K5419" s="91" t="str">
        <f t="shared" si="338"/>
        <v>UN</v>
      </c>
      <c r="L5419" s="166" t="str">
        <f t="shared" si="339"/>
        <v>12/2020</v>
      </c>
      <c r="M5419" s="82"/>
      <c r="N5419" s="82"/>
    </row>
    <row r="5420" spans="1:14" x14ac:dyDescent="0.25">
      <c r="A5420" s="170" t="s">
        <v>12672</v>
      </c>
      <c r="B5420" s="170" t="s">
        <v>12673</v>
      </c>
      <c r="C5420" s="170" t="s">
        <v>205</v>
      </c>
      <c r="D5420" s="170" t="s">
        <v>1947</v>
      </c>
      <c r="E5420" s="171" t="s">
        <v>34182</v>
      </c>
      <c r="F5420" s="171" t="s">
        <v>37346</v>
      </c>
      <c r="G5420" s="82"/>
      <c r="H5420" s="96">
        <f t="shared" si="336"/>
        <v>2174.9499999999998</v>
      </c>
      <c r="I5420" s="96">
        <f t="shared" si="336"/>
        <v>2188.39</v>
      </c>
      <c r="J5420" s="91" t="str">
        <f t="shared" si="337"/>
        <v>Sinapi 102116</v>
      </c>
      <c r="K5420" s="91" t="str">
        <f t="shared" si="338"/>
        <v>UN</v>
      </c>
      <c r="L5420" s="166" t="str">
        <f t="shared" si="339"/>
        <v>12/2020</v>
      </c>
      <c r="M5420" s="82"/>
      <c r="N5420" s="82"/>
    </row>
    <row r="5421" spans="1:14" x14ac:dyDescent="0.25">
      <c r="A5421" s="170" t="s">
        <v>12674</v>
      </c>
      <c r="B5421" s="170" t="s">
        <v>12675</v>
      </c>
      <c r="C5421" s="170" t="s">
        <v>205</v>
      </c>
      <c r="D5421" s="170" t="s">
        <v>1947</v>
      </c>
      <c r="E5421" s="171" t="s">
        <v>34183</v>
      </c>
      <c r="F5421" s="171" t="s">
        <v>37347</v>
      </c>
      <c r="G5421" s="82"/>
      <c r="H5421" s="96">
        <f t="shared" si="336"/>
        <v>126.59</v>
      </c>
      <c r="I5421" s="96">
        <f t="shared" si="336"/>
        <v>140.03</v>
      </c>
      <c r="J5421" s="91" t="str">
        <f t="shared" si="337"/>
        <v>Sinapi 102117</v>
      </c>
      <c r="K5421" s="91" t="str">
        <f t="shared" si="338"/>
        <v>UN</v>
      </c>
      <c r="L5421" s="166" t="str">
        <f t="shared" si="339"/>
        <v>12/2020</v>
      </c>
      <c r="M5421" s="82"/>
      <c r="N5421" s="82"/>
    </row>
    <row r="5422" spans="1:14" x14ac:dyDescent="0.25">
      <c r="A5422" s="170" t="s">
        <v>12676</v>
      </c>
      <c r="B5422" s="170" t="s">
        <v>12677</v>
      </c>
      <c r="C5422" s="170" t="s">
        <v>205</v>
      </c>
      <c r="D5422" s="170" t="s">
        <v>1947</v>
      </c>
      <c r="E5422" s="171" t="s">
        <v>34184</v>
      </c>
      <c r="F5422" s="171" t="s">
        <v>37348</v>
      </c>
      <c r="G5422" s="82"/>
      <c r="H5422" s="96">
        <f t="shared" si="336"/>
        <v>2987.8</v>
      </c>
      <c r="I5422" s="96">
        <f t="shared" si="336"/>
        <v>3001.59</v>
      </c>
      <c r="J5422" s="91" t="str">
        <f t="shared" si="337"/>
        <v>Sinapi 102118</v>
      </c>
      <c r="K5422" s="91" t="str">
        <f t="shared" si="338"/>
        <v>UN</v>
      </c>
      <c r="L5422" s="166" t="str">
        <f t="shared" si="339"/>
        <v>12/2020</v>
      </c>
      <c r="M5422" s="82"/>
      <c r="N5422" s="82"/>
    </row>
    <row r="5423" spans="1:14" x14ac:dyDescent="0.25">
      <c r="A5423" s="170" t="s">
        <v>12678</v>
      </c>
      <c r="B5423" s="170" t="s">
        <v>12679</v>
      </c>
      <c r="C5423" s="170" t="s">
        <v>205</v>
      </c>
      <c r="D5423" s="170" t="s">
        <v>1947</v>
      </c>
      <c r="E5423" s="171" t="s">
        <v>34185</v>
      </c>
      <c r="F5423" s="171" t="s">
        <v>37349</v>
      </c>
      <c r="G5423" s="82"/>
      <c r="H5423" s="96">
        <f t="shared" si="336"/>
        <v>129.69</v>
      </c>
      <c r="I5423" s="96">
        <f t="shared" si="336"/>
        <v>143.47999999999999</v>
      </c>
      <c r="J5423" s="91" t="str">
        <f t="shared" si="337"/>
        <v>Sinapi 102119</v>
      </c>
      <c r="K5423" s="91" t="str">
        <f t="shared" si="338"/>
        <v>UN</v>
      </c>
      <c r="L5423" s="166" t="str">
        <f t="shared" si="339"/>
        <v>12/2020</v>
      </c>
      <c r="M5423" s="82"/>
      <c r="N5423" s="82"/>
    </row>
    <row r="5424" spans="1:14" x14ac:dyDescent="0.25">
      <c r="A5424" s="170" t="s">
        <v>12680</v>
      </c>
      <c r="B5424" s="170" t="s">
        <v>12681</v>
      </c>
      <c r="C5424" s="170" t="s">
        <v>205</v>
      </c>
      <c r="D5424" s="170" t="s">
        <v>1947</v>
      </c>
      <c r="E5424" s="171" t="s">
        <v>34186</v>
      </c>
      <c r="F5424" s="171" t="s">
        <v>29120</v>
      </c>
      <c r="G5424" s="82"/>
      <c r="H5424" s="96">
        <f t="shared" si="336"/>
        <v>162.08000000000001</v>
      </c>
      <c r="I5424" s="96">
        <f t="shared" si="336"/>
        <v>179.58</v>
      </c>
      <c r="J5424" s="91" t="str">
        <f t="shared" si="337"/>
        <v>Sinapi 102121</v>
      </c>
      <c r="K5424" s="91" t="str">
        <f t="shared" si="338"/>
        <v>UN</v>
      </c>
      <c r="L5424" s="166" t="str">
        <f t="shared" si="339"/>
        <v>12/2020</v>
      </c>
      <c r="M5424" s="82"/>
      <c r="N5424" s="82"/>
    </row>
    <row r="5425" spans="1:14" x14ac:dyDescent="0.25">
      <c r="A5425" s="170" t="s">
        <v>12682</v>
      </c>
      <c r="B5425" s="170" t="s">
        <v>12683</v>
      </c>
      <c r="C5425" s="170" t="s">
        <v>205</v>
      </c>
      <c r="D5425" s="170" t="s">
        <v>1947</v>
      </c>
      <c r="E5425" s="171" t="s">
        <v>34187</v>
      </c>
      <c r="F5425" s="171" t="s">
        <v>37350</v>
      </c>
      <c r="G5425" s="82"/>
      <c r="H5425" s="96">
        <f t="shared" si="336"/>
        <v>10251.44</v>
      </c>
      <c r="I5425" s="96">
        <f t="shared" si="336"/>
        <v>10270</v>
      </c>
      <c r="J5425" s="91" t="str">
        <f t="shared" si="337"/>
        <v>Sinapi 102122</v>
      </c>
      <c r="K5425" s="91" t="str">
        <f t="shared" si="338"/>
        <v>UN</v>
      </c>
      <c r="L5425" s="166" t="str">
        <f t="shared" si="339"/>
        <v>12/2020</v>
      </c>
      <c r="M5425" s="82"/>
      <c r="N5425" s="82"/>
    </row>
    <row r="5426" spans="1:14" x14ac:dyDescent="0.25">
      <c r="A5426" s="170" t="s">
        <v>12684</v>
      </c>
      <c r="B5426" s="170" t="s">
        <v>12685</v>
      </c>
      <c r="C5426" s="170" t="s">
        <v>205</v>
      </c>
      <c r="D5426" s="170" t="s">
        <v>1947</v>
      </c>
      <c r="E5426" s="171" t="s">
        <v>30342</v>
      </c>
      <c r="F5426" s="171" t="s">
        <v>37351</v>
      </c>
      <c r="G5426" s="82"/>
      <c r="H5426" s="96">
        <f t="shared" si="336"/>
        <v>171.31</v>
      </c>
      <c r="I5426" s="96">
        <f t="shared" si="336"/>
        <v>189.87</v>
      </c>
      <c r="J5426" s="91" t="str">
        <f t="shared" si="337"/>
        <v>Sinapi 102123</v>
      </c>
      <c r="K5426" s="91" t="str">
        <f t="shared" si="338"/>
        <v>UN</v>
      </c>
      <c r="L5426" s="166" t="str">
        <f t="shared" si="339"/>
        <v>12/2020</v>
      </c>
      <c r="M5426" s="82"/>
      <c r="N5426" s="82"/>
    </row>
    <row r="5427" spans="1:14" x14ac:dyDescent="0.25">
      <c r="A5427" s="170" t="s">
        <v>12686</v>
      </c>
      <c r="B5427" s="170" t="s">
        <v>12687</v>
      </c>
      <c r="C5427" s="170" t="s">
        <v>205</v>
      </c>
      <c r="D5427" s="170" t="s">
        <v>2067</v>
      </c>
      <c r="E5427" s="171" t="s">
        <v>34188</v>
      </c>
      <c r="F5427" s="171" t="s">
        <v>37352</v>
      </c>
      <c r="G5427" s="82"/>
      <c r="H5427" s="96">
        <f t="shared" si="336"/>
        <v>61.22</v>
      </c>
      <c r="I5427" s="96">
        <f t="shared" si="336"/>
        <v>67.98</v>
      </c>
      <c r="J5427" s="91" t="str">
        <f t="shared" si="337"/>
        <v>Sinapi 102136</v>
      </c>
      <c r="K5427" s="91" t="str">
        <f t="shared" si="338"/>
        <v>UN</v>
      </c>
      <c r="L5427" s="166" t="str">
        <f t="shared" si="339"/>
        <v>12/2020</v>
      </c>
      <c r="M5427" s="82"/>
      <c r="N5427" s="82"/>
    </row>
    <row r="5428" spans="1:14" x14ac:dyDescent="0.25">
      <c r="A5428" s="170" t="s">
        <v>12688</v>
      </c>
      <c r="B5428" s="170" t="s">
        <v>12689</v>
      </c>
      <c r="C5428" s="170" t="s">
        <v>205</v>
      </c>
      <c r="D5428" s="170" t="s">
        <v>2067</v>
      </c>
      <c r="E5428" s="171" t="s">
        <v>34189</v>
      </c>
      <c r="F5428" s="171" t="s">
        <v>37353</v>
      </c>
      <c r="G5428" s="82"/>
      <c r="H5428" s="96">
        <f t="shared" si="336"/>
        <v>94.51</v>
      </c>
      <c r="I5428" s="96">
        <f t="shared" si="336"/>
        <v>97.55</v>
      </c>
      <c r="J5428" s="91" t="str">
        <f t="shared" si="337"/>
        <v>Sinapi 102137</v>
      </c>
      <c r="K5428" s="91" t="str">
        <f t="shared" si="338"/>
        <v>UN</v>
      </c>
      <c r="L5428" s="166" t="str">
        <f t="shared" si="339"/>
        <v>12/2020</v>
      </c>
      <c r="M5428" s="82"/>
      <c r="N5428" s="82"/>
    </row>
    <row r="5429" spans="1:14" x14ac:dyDescent="0.25">
      <c r="A5429" s="170" t="s">
        <v>12690</v>
      </c>
      <c r="B5429" s="170" t="s">
        <v>12691</v>
      </c>
      <c r="C5429" s="170" t="s">
        <v>205</v>
      </c>
      <c r="D5429" s="170" t="s">
        <v>1947</v>
      </c>
      <c r="E5429" s="171" t="s">
        <v>34190</v>
      </c>
      <c r="F5429" s="171" t="s">
        <v>37354</v>
      </c>
      <c r="G5429" s="82"/>
      <c r="H5429" s="96">
        <f t="shared" si="336"/>
        <v>186.33</v>
      </c>
      <c r="I5429" s="96">
        <f t="shared" si="336"/>
        <v>206.62</v>
      </c>
      <c r="J5429" s="91" t="str">
        <f t="shared" si="337"/>
        <v>Sinapi 102138</v>
      </c>
      <c r="K5429" s="91" t="str">
        <f t="shared" si="338"/>
        <v>UN</v>
      </c>
      <c r="L5429" s="166" t="str">
        <f t="shared" si="339"/>
        <v>12/2020</v>
      </c>
      <c r="M5429" s="82"/>
      <c r="N5429" s="82"/>
    </row>
    <row r="5430" spans="1:14" x14ac:dyDescent="0.25">
      <c r="A5430" s="170" t="s">
        <v>15119</v>
      </c>
      <c r="B5430" s="170" t="s">
        <v>15120</v>
      </c>
      <c r="C5430" s="170" t="s">
        <v>205</v>
      </c>
      <c r="D5430" s="170" t="s">
        <v>1947</v>
      </c>
      <c r="E5430" s="171" t="s">
        <v>34191</v>
      </c>
      <c r="F5430" s="171" t="s">
        <v>37355</v>
      </c>
      <c r="G5430" s="82"/>
      <c r="H5430" s="96">
        <f t="shared" si="336"/>
        <v>3284.06</v>
      </c>
      <c r="I5430" s="96">
        <f t="shared" si="336"/>
        <v>3294.72</v>
      </c>
      <c r="J5430" s="91" t="str">
        <f t="shared" si="337"/>
        <v>Sinapi 103517</v>
      </c>
      <c r="K5430" s="91" t="str">
        <f t="shared" si="338"/>
        <v>UN</v>
      </c>
      <c r="L5430" s="166" t="str">
        <f t="shared" si="339"/>
        <v>12/2021</v>
      </c>
      <c r="M5430" s="82"/>
      <c r="N5430" s="82"/>
    </row>
    <row r="5431" spans="1:14" x14ac:dyDescent="0.25">
      <c r="A5431" s="170" t="s">
        <v>15121</v>
      </c>
      <c r="B5431" s="170" t="s">
        <v>15122</v>
      </c>
      <c r="C5431" s="170" t="s">
        <v>205</v>
      </c>
      <c r="D5431" s="170" t="s">
        <v>1947</v>
      </c>
      <c r="E5431" s="171" t="s">
        <v>16722</v>
      </c>
      <c r="F5431" s="171" t="s">
        <v>16289</v>
      </c>
      <c r="G5431" s="82"/>
      <c r="H5431" s="96">
        <f t="shared" si="336"/>
        <v>12.26</v>
      </c>
      <c r="I5431" s="96">
        <f t="shared" si="336"/>
        <v>12.74</v>
      </c>
      <c r="J5431" s="91" t="str">
        <f t="shared" si="337"/>
        <v>Sinapi 103519</v>
      </c>
      <c r="K5431" s="91" t="str">
        <f t="shared" si="338"/>
        <v>UN</v>
      </c>
      <c r="L5431" s="166" t="str">
        <f t="shared" si="339"/>
        <v>12/2021</v>
      </c>
      <c r="M5431" s="82"/>
      <c r="N5431" s="82"/>
    </row>
    <row r="5432" spans="1:14" x14ac:dyDescent="0.25">
      <c r="A5432" s="170" t="s">
        <v>15123</v>
      </c>
      <c r="B5432" s="170" t="s">
        <v>15124</v>
      </c>
      <c r="C5432" s="170" t="s">
        <v>205</v>
      </c>
      <c r="D5432" s="170" t="s">
        <v>1947</v>
      </c>
      <c r="E5432" s="171" t="s">
        <v>34192</v>
      </c>
      <c r="F5432" s="171" t="s">
        <v>37356</v>
      </c>
      <c r="G5432" s="82"/>
      <c r="H5432" s="96">
        <f t="shared" si="336"/>
        <v>5435.03</v>
      </c>
      <c r="I5432" s="96">
        <f t="shared" si="336"/>
        <v>5437.96</v>
      </c>
      <c r="J5432" s="91" t="str">
        <f t="shared" si="337"/>
        <v>Sinapi 103520</v>
      </c>
      <c r="K5432" s="91" t="str">
        <f t="shared" si="338"/>
        <v>UN</v>
      </c>
      <c r="L5432" s="166" t="str">
        <f t="shared" si="339"/>
        <v>12/2021</v>
      </c>
      <c r="M5432" s="82"/>
      <c r="N5432" s="82"/>
    </row>
    <row r="5433" spans="1:14" x14ac:dyDescent="0.25">
      <c r="A5433" s="170" t="s">
        <v>15125</v>
      </c>
      <c r="B5433" s="170" t="s">
        <v>15126</v>
      </c>
      <c r="C5433" s="170" t="s">
        <v>205</v>
      </c>
      <c r="D5433" s="170" t="s">
        <v>1947</v>
      </c>
      <c r="E5433" s="171" t="s">
        <v>34193</v>
      </c>
      <c r="F5433" s="171" t="s">
        <v>37357</v>
      </c>
      <c r="G5433" s="82"/>
      <c r="H5433" s="96">
        <f t="shared" si="336"/>
        <v>7216.16</v>
      </c>
      <c r="I5433" s="96">
        <f t="shared" si="336"/>
        <v>7220.38</v>
      </c>
      <c r="J5433" s="91" t="str">
        <f t="shared" si="337"/>
        <v>Sinapi 103521</v>
      </c>
      <c r="K5433" s="91" t="str">
        <f t="shared" si="338"/>
        <v>UN</v>
      </c>
      <c r="L5433" s="166" t="str">
        <f t="shared" si="339"/>
        <v>12/2021</v>
      </c>
      <c r="M5433" s="82"/>
      <c r="N5433" s="82"/>
    </row>
    <row r="5434" spans="1:14" x14ac:dyDescent="0.25">
      <c r="A5434" s="170" t="s">
        <v>15127</v>
      </c>
      <c r="B5434" s="170" t="s">
        <v>15128</v>
      </c>
      <c r="C5434" s="170" t="s">
        <v>205</v>
      </c>
      <c r="D5434" s="170" t="s">
        <v>1947</v>
      </c>
      <c r="E5434" s="171" t="s">
        <v>34194</v>
      </c>
      <c r="F5434" s="171" t="s">
        <v>37358</v>
      </c>
      <c r="G5434" s="82"/>
      <c r="H5434" s="96">
        <f t="shared" si="336"/>
        <v>7285.18</v>
      </c>
      <c r="I5434" s="96">
        <f t="shared" si="336"/>
        <v>7305.06</v>
      </c>
      <c r="J5434" s="91" t="str">
        <f t="shared" si="337"/>
        <v>Sinapi 103522</v>
      </c>
      <c r="K5434" s="91" t="str">
        <f t="shared" si="338"/>
        <v>UN</v>
      </c>
      <c r="L5434" s="166" t="str">
        <f t="shared" si="339"/>
        <v>12/2021</v>
      </c>
      <c r="M5434" s="82"/>
      <c r="N5434" s="82"/>
    </row>
    <row r="5435" spans="1:14" x14ac:dyDescent="0.25">
      <c r="A5435" s="170" t="s">
        <v>15129</v>
      </c>
      <c r="B5435" s="170" t="s">
        <v>15130</v>
      </c>
      <c r="C5435" s="170" t="s">
        <v>205</v>
      </c>
      <c r="D5435" s="170" t="s">
        <v>1947</v>
      </c>
      <c r="E5435" s="171" t="s">
        <v>34195</v>
      </c>
      <c r="F5435" s="171" t="s">
        <v>37359</v>
      </c>
      <c r="G5435" s="82"/>
      <c r="H5435" s="96">
        <f t="shared" si="336"/>
        <v>10959.18</v>
      </c>
      <c r="I5435" s="96">
        <f t="shared" si="336"/>
        <v>10979.86</v>
      </c>
      <c r="J5435" s="91" t="str">
        <f t="shared" si="337"/>
        <v>Sinapi 103523</v>
      </c>
      <c r="K5435" s="91" t="str">
        <f t="shared" si="338"/>
        <v>UN</v>
      </c>
      <c r="L5435" s="166" t="str">
        <f t="shared" si="339"/>
        <v>12/2021</v>
      </c>
      <c r="M5435" s="82"/>
      <c r="N5435" s="82"/>
    </row>
    <row r="5436" spans="1:14" x14ac:dyDescent="0.25">
      <c r="A5436" s="170" t="s">
        <v>21919</v>
      </c>
      <c r="B5436" s="170" t="s">
        <v>21920</v>
      </c>
      <c r="C5436" s="170" t="s">
        <v>205</v>
      </c>
      <c r="D5436" s="170" t="s">
        <v>1947</v>
      </c>
      <c r="E5436" s="171" t="s">
        <v>34196</v>
      </c>
      <c r="F5436" s="171" t="s">
        <v>37360</v>
      </c>
      <c r="G5436" s="82"/>
      <c r="H5436" s="96">
        <f t="shared" si="336"/>
        <v>1042.93</v>
      </c>
      <c r="I5436" s="96">
        <f t="shared" si="336"/>
        <v>1106.9100000000001</v>
      </c>
      <c r="J5436" s="91" t="str">
        <f t="shared" si="337"/>
        <v>Sinapi 104660</v>
      </c>
      <c r="K5436" s="91" t="str">
        <f t="shared" si="338"/>
        <v>UN</v>
      </c>
      <c r="L5436" s="166" t="str">
        <f t="shared" si="339"/>
        <v>05/2023</v>
      </c>
      <c r="M5436" s="82"/>
      <c r="N5436" s="82"/>
    </row>
    <row r="5437" spans="1:14" x14ac:dyDescent="0.25">
      <c r="A5437" s="170" t="s">
        <v>21921</v>
      </c>
      <c r="B5437" s="170" t="s">
        <v>21922</v>
      </c>
      <c r="C5437" s="170" t="s">
        <v>205</v>
      </c>
      <c r="D5437" s="170" t="s">
        <v>1947</v>
      </c>
      <c r="E5437" s="171" t="s">
        <v>34197</v>
      </c>
      <c r="F5437" s="171" t="s">
        <v>37361</v>
      </c>
      <c r="G5437" s="82"/>
      <c r="H5437" s="96">
        <f t="shared" si="336"/>
        <v>472.27</v>
      </c>
      <c r="I5437" s="96">
        <f t="shared" si="336"/>
        <v>506.81</v>
      </c>
      <c r="J5437" s="91" t="str">
        <f t="shared" si="337"/>
        <v>Sinapi 104661</v>
      </c>
      <c r="K5437" s="91" t="str">
        <f t="shared" si="338"/>
        <v>UN</v>
      </c>
      <c r="L5437" s="166" t="str">
        <f t="shared" si="339"/>
        <v>05/2023</v>
      </c>
      <c r="M5437" s="82"/>
      <c r="N5437" s="82"/>
    </row>
    <row r="5438" spans="1:14" x14ac:dyDescent="0.25">
      <c r="A5438" s="170" t="s">
        <v>21923</v>
      </c>
      <c r="B5438" s="170" t="s">
        <v>21924</v>
      </c>
      <c r="C5438" s="170" t="s">
        <v>205</v>
      </c>
      <c r="D5438" s="170" t="s">
        <v>1947</v>
      </c>
      <c r="E5438" s="171" t="s">
        <v>34198</v>
      </c>
      <c r="F5438" s="171" t="s">
        <v>37362</v>
      </c>
      <c r="G5438" s="82"/>
      <c r="H5438" s="96">
        <f t="shared" si="336"/>
        <v>341.43</v>
      </c>
      <c r="I5438" s="96">
        <f t="shared" si="336"/>
        <v>363.71</v>
      </c>
      <c r="J5438" s="91" t="str">
        <f t="shared" si="337"/>
        <v>Sinapi 104662</v>
      </c>
      <c r="K5438" s="91" t="str">
        <f t="shared" si="338"/>
        <v>UN</v>
      </c>
      <c r="L5438" s="166" t="str">
        <f t="shared" si="339"/>
        <v>05/2023</v>
      </c>
      <c r="M5438" s="82"/>
      <c r="N5438" s="82"/>
    </row>
    <row r="5439" spans="1:14" x14ac:dyDescent="0.25">
      <c r="A5439" s="170" t="s">
        <v>21925</v>
      </c>
      <c r="B5439" s="170" t="s">
        <v>21926</v>
      </c>
      <c r="C5439" s="170" t="s">
        <v>205</v>
      </c>
      <c r="D5439" s="170" t="s">
        <v>1947</v>
      </c>
      <c r="E5439" s="171" t="s">
        <v>34199</v>
      </c>
      <c r="F5439" s="171" t="s">
        <v>37363</v>
      </c>
      <c r="G5439" s="82"/>
      <c r="H5439" s="96">
        <f t="shared" si="336"/>
        <v>373.5</v>
      </c>
      <c r="I5439" s="96">
        <f t="shared" si="336"/>
        <v>397.71</v>
      </c>
      <c r="J5439" s="91" t="str">
        <f t="shared" si="337"/>
        <v>Sinapi 104663</v>
      </c>
      <c r="K5439" s="91" t="str">
        <f t="shared" si="338"/>
        <v>UN</v>
      </c>
      <c r="L5439" s="166" t="str">
        <f t="shared" si="339"/>
        <v>05/2023</v>
      </c>
      <c r="M5439" s="82"/>
      <c r="N5439" s="82"/>
    </row>
    <row r="5440" spans="1:14" x14ac:dyDescent="0.25">
      <c r="A5440" s="170" t="s">
        <v>21927</v>
      </c>
      <c r="B5440" s="170" t="s">
        <v>21928</v>
      </c>
      <c r="C5440" s="170" t="s">
        <v>205</v>
      </c>
      <c r="D5440" s="170" t="s">
        <v>1947</v>
      </c>
      <c r="E5440" s="171" t="s">
        <v>34200</v>
      </c>
      <c r="F5440" s="171" t="s">
        <v>23175</v>
      </c>
      <c r="G5440" s="82"/>
      <c r="H5440" s="96">
        <f t="shared" si="336"/>
        <v>115.88</v>
      </c>
      <c r="I5440" s="96">
        <f t="shared" si="336"/>
        <v>122.93</v>
      </c>
      <c r="J5440" s="91" t="str">
        <f t="shared" si="337"/>
        <v>Sinapi 104664</v>
      </c>
      <c r="K5440" s="91" t="str">
        <f t="shared" si="338"/>
        <v>UN</v>
      </c>
      <c r="L5440" s="166" t="str">
        <f t="shared" si="339"/>
        <v>05/2023</v>
      </c>
      <c r="M5440" s="82"/>
      <c r="N5440" s="82"/>
    </row>
    <row r="5441" spans="1:14" x14ac:dyDescent="0.25">
      <c r="A5441" s="170" t="s">
        <v>21929</v>
      </c>
      <c r="B5441" s="170" t="s">
        <v>21930</v>
      </c>
      <c r="C5441" s="170" t="s">
        <v>205</v>
      </c>
      <c r="D5441" s="170" t="s">
        <v>1947</v>
      </c>
      <c r="E5441" s="171" t="s">
        <v>34201</v>
      </c>
      <c r="F5441" s="171" t="s">
        <v>37364</v>
      </c>
      <c r="G5441" s="82"/>
      <c r="H5441" s="96">
        <f t="shared" si="336"/>
        <v>479.91</v>
      </c>
      <c r="I5441" s="96">
        <f t="shared" si="336"/>
        <v>509.48</v>
      </c>
      <c r="J5441" s="91" t="str">
        <f t="shared" si="337"/>
        <v>Sinapi 104665</v>
      </c>
      <c r="K5441" s="91" t="str">
        <f t="shared" si="338"/>
        <v>UN</v>
      </c>
      <c r="L5441" s="166" t="str">
        <f t="shared" si="339"/>
        <v>05/2023</v>
      </c>
      <c r="M5441" s="82"/>
      <c r="N5441" s="82"/>
    </row>
    <row r="5442" spans="1:14" x14ac:dyDescent="0.25">
      <c r="A5442" s="170" t="s">
        <v>21931</v>
      </c>
      <c r="B5442" s="170" t="s">
        <v>21932</v>
      </c>
      <c r="C5442" s="170" t="s">
        <v>205</v>
      </c>
      <c r="D5442" s="170" t="s">
        <v>1947</v>
      </c>
      <c r="E5442" s="171" t="s">
        <v>34202</v>
      </c>
      <c r="F5442" s="171" t="s">
        <v>37365</v>
      </c>
      <c r="G5442" s="82"/>
      <c r="H5442" s="96">
        <f t="shared" si="336"/>
        <v>229.94</v>
      </c>
      <c r="I5442" s="96">
        <f t="shared" si="336"/>
        <v>242.88</v>
      </c>
      <c r="J5442" s="91" t="str">
        <f t="shared" si="337"/>
        <v>Sinapi 104666</v>
      </c>
      <c r="K5442" s="91" t="str">
        <f t="shared" si="338"/>
        <v>UN</v>
      </c>
      <c r="L5442" s="166" t="str">
        <f t="shared" si="339"/>
        <v>05/2023</v>
      </c>
      <c r="M5442" s="82"/>
      <c r="N5442" s="82"/>
    </row>
    <row r="5443" spans="1:14" x14ac:dyDescent="0.25">
      <c r="A5443" s="170" t="s">
        <v>21933</v>
      </c>
      <c r="B5443" s="170" t="s">
        <v>21934</v>
      </c>
      <c r="C5443" s="170" t="s">
        <v>205</v>
      </c>
      <c r="D5443" s="170" t="s">
        <v>2067</v>
      </c>
      <c r="E5443" s="171" t="s">
        <v>34203</v>
      </c>
      <c r="F5443" s="171" t="s">
        <v>29938</v>
      </c>
      <c r="G5443" s="82"/>
      <c r="H5443" s="96">
        <f t="shared" si="336"/>
        <v>113.53</v>
      </c>
      <c r="I5443" s="96">
        <f t="shared" si="336"/>
        <v>115.65</v>
      </c>
      <c r="J5443" s="91" t="str">
        <f t="shared" si="337"/>
        <v>Sinapi 104667</v>
      </c>
      <c r="K5443" s="91" t="str">
        <f t="shared" si="338"/>
        <v>UN</v>
      </c>
      <c r="L5443" s="166" t="str">
        <f t="shared" si="339"/>
        <v>05/2023</v>
      </c>
      <c r="M5443" s="82"/>
      <c r="N5443" s="82"/>
    </row>
    <row r="5444" spans="1:14" x14ac:dyDescent="0.25">
      <c r="A5444" s="170" t="s">
        <v>28905</v>
      </c>
      <c r="B5444" s="170" t="s">
        <v>28906</v>
      </c>
      <c r="C5444" s="170" t="s">
        <v>28907</v>
      </c>
      <c r="D5444" s="170" t="s">
        <v>2067</v>
      </c>
      <c r="E5444" s="171" t="s">
        <v>29139</v>
      </c>
      <c r="F5444" s="171" t="s">
        <v>37366</v>
      </c>
      <c r="G5444" s="82"/>
      <c r="H5444" s="96">
        <f t="shared" si="336"/>
        <v>137.77000000000001</v>
      </c>
      <c r="I5444" s="96">
        <f t="shared" si="336"/>
        <v>141.47</v>
      </c>
      <c r="J5444" s="91" t="str">
        <f t="shared" si="337"/>
        <v>Sinapi 104668</v>
      </c>
      <c r="K5444" s="91" t="str">
        <f t="shared" si="338"/>
        <v>UNXPAV</v>
      </c>
      <c r="L5444" s="166" t="str">
        <f t="shared" si="339"/>
        <v>05/2023</v>
      </c>
      <c r="M5444" s="82"/>
      <c r="N5444" s="82"/>
    </row>
    <row r="5445" spans="1:14" x14ac:dyDescent="0.25">
      <c r="A5445" s="170" t="s">
        <v>28908</v>
      </c>
      <c r="B5445" s="170" t="s">
        <v>28909</v>
      </c>
      <c r="C5445" s="170" t="s">
        <v>28907</v>
      </c>
      <c r="D5445" s="170" t="s">
        <v>2067</v>
      </c>
      <c r="E5445" s="171" t="s">
        <v>34204</v>
      </c>
      <c r="F5445" s="171" t="s">
        <v>37367</v>
      </c>
      <c r="G5445" s="82"/>
      <c r="H5445" s="96">
        <f t="shared" si="336"/>
        <v>160.02000000000001</v>
      </c>
      <c r="I5445" s="96">
        <f t="shared" si="336"/>
        <v>164.05</v>
      </c>
      <c r="J5445" s="91" t="str">
        <f t="shared" si="337"/>
        <v>Sinapi 104669</v>
      </c>
      <c r="K5445" s="91" t="str">
        <f t="shared" si="338"/>
        <v>UNXPAV</v>
      </c>
      <c r="L5445" s="166" t="str">
        <f t="shared" si="339"/>
        <v>05/2023</v>
      </c>
      <c r="M5445" s="82"/>
      <c r="N5445" s="82"/>
    </row>
    <row r="5446" spans="1:14" x14ac:dyDescent="0.25">
      <c r="A5446" s="170" t="s">
        <v>28910</v>
      </c>
      <c r="B5446" s="170" t="s">
        <v>28911</v>
      </c>
      <c r="C5446" s="170" t="s">
        <v>28907</v>
      </c>
      <c r="D5446" s="170" t="s">
        <v>2067</v>
      </c>
      <c r="E5446" s="171" t="s">
        <v>34205</v>
      </c>
      <c r="F5446" s="171" t="s">
        <v>37368</v>
      </c>
      <c r="G5446" s="82"/>
      <c r="H5446" s="96">
        <f t="shared" si="336"/>
        <v>240.45</v>
      </c>
      <c r="I5446" s="96">
        <f t="shared" si="336"/>
        <v>245.44</v>
      </c>
      <c r="J5446" s="91" t="str">
        <f t="shared" si="337"/>
        <v>Sinapi 104670</v>
      </c>
      <c r="K5446" s="91" t="str">
        <f t="shared" si="338"/>
        <v>UNXPAV</v>
      </c>
      <c r="L5446" s="166" t="str">
        <f t="shared" si="339"/>
        <v>05/2023</v>
      </c>
      <c r="M5446" s="82"/>
      <c r="N5446" s="82"/>
    </row>
    <row r="5447" spans="1:14" x14ac:dyDescent="0.25">
      <c r="A5447" s="170" t="s">
        <v>21935</v>
      </c>
      <c r="B5447" s="170" t="s">
        <v>21936</v>
      </c>
      <c r="C5447" s="170" t="s">
        <v>205</v>
      </c>
      <c r="D5447" s="170" t="s">
        <v>1947</v>
      </c>
      <c r="E5447" s="171" t="s">
        <v>34206</v>
      </c>
      <c r="F5447" s="171" t="s">
        <v>37369</v>
      </c>
      <c r="G5447" s="82"/>
      <c r="H5447" s="96">
        <f t="shared" si="336"/>
        <v>1077.3800000000001</v>
      </c>
      <c r="I5447" s="96">
        <f t="shared" si="336"/>
        <v>1120.53</v>
      </c>
      <c r="J5447" s="91" t="str">
        <f t="shared" si="337"/>
        <v>Sinapi 104671</v>
      </c>
      <c r="K5447" s="91" t="str">
        <f t="shared" si="338"/>
        <v>UN</v>
      </c>
      <c r="L5447" s="166" t="str">
        <f t="shared" si="339"/>
        <v>05/2023</v>
      </c>
      <c r="M5447" s="82"/>
      <c r="N5447" s="82"/>
    </row>
    <row r="5448" spans="1:14" x14ac:dyDescent="0.25">
      <c r="A5448" s="170" t="s">
        <v>21937</v>
      </c>
      <c r="B5448" s="170" t="s">
        <v>21938</v>
      </c>
      <c r="C5448" s="170" t="s">
        <v>205</v>
      </c>
      <c r="D5448" s="170" t="s">
        <v>1947</v>
      </c>
      <c r="E5448" s="171" t="s">
        <v>34207</v>
      </c>
      <c r="F5448" s="171" t="s">
        <v>37370</v>
      </c>
      <c r="G5448" s="82"/>
      <c r="H5448" s="96">
        <f t="shared" ref="H5448:I5511" si="340">IF(E5448="","",E5448+0)</f>
        <v>395.28</v>
      </c>
      <c r="I5448" s="96">
        <f t="shared" si="340"/>
        <v>414.08</v>
      </c>
      <c r="J5448" s="91" t="str">
        <f t="shared" ref="J5448:J5511" si="341">IF(OR(H5448="",I5448=""),"",TRIM(CONCATENATE("Sinapi ",A5448)))</f>
        <v>Sinapi 104672</v>
      </c>
      <c r="K5448" s="91" t="str">
        <f t="shared" ref="K5448:K5511" si="342">TRIM(C5448)</f>
        <v>UN</v>
      </c>
      <c r="L5448" s="166" t="str">
        <f t="shared" ref="L5448:L5511" si="343">IF(OR(RIGHT(IF(AND(K5448&lt;&gt;"H",K5448&lt;&gt;"MES"),RIGHT(B5448,7),""),2)="PS",RIGHT(IF(AND(K5448&lt;&gt;"H",K5448&lt;&gt;"MES"),RIGHT(B5448,7),""),2)="PA",RIGHT(IF(AND(K5448&lt;&gt;"H",K5448&lt;&gt;"MES"),RIGHT(B5448,7),""),2)="PE"),LEFT(IF(AND(K5448&lt;&gt;"H",K5448&lt;&gt;"MES"),RIGHT(B5448,10),""),7),IF(AND(K5448&lt;&gt;"H",K5448&lt;&gt;"MES"),RIGHT(B5448,7),""))</f>
        <v>05/2023</v>
      </c>
      <c r="M5448" s="82"/>
      <c r="N5448" s="82"/>
    </row>
    <row r="5449" spans="1:14" x14ac:dyDescent="0.25">
      <c r="A5449" s="170" t="s">
        <v>21939</v>
      </c>
      <c r="B5449" s="170" t="s">
        <v>21940</v>
      </c>
      <c r="C5449" s="170" t="s">
        <v>205</v>
      </c>
      <c r="D5449" s="170" t="s">
        <v>1947</v>
      </c>
      <c r="E5449" s="171" t="s">
        <v>34208</v>
      </c>
      <c r="F5449" s="171" t="s">
        <v>37371</v>
      </c>
      <c r="G5449" s="82"/>
      <c r="H5449" s="96">
        <f t="shared" si="340"/>
        <v>628.51</v>
      </c>
      <c r="I5449" s="96">
        <f t="shared" si="340"/>
        <v>652.04</v>
      </c>
      <c r="J5449" s="91" t="str">
        <f t="shared" si="341"/>
        <v>Sinapi 104673</v>
      </c>
      <c r="K5449" s="91" t="str">
        <f t="shared" si="342"/>
        <v>UN</v>
      </c>
      <c r="L5449" s="166" t="str">
        <f t="shared" si="343"/>
        <v>05/2023</v>
      </c>
      <c r="M5449" s="82"/>
      <c r="N5449" s="82"/>
    </row>
    <row r="5450" spans="1:14" x14ac:dyDescent="0.25">
      <c r="A5450" s="170" t="s">
        <v>21941</v>
      </c>
      <c r="B5450" s="170" t="s">
        <v>21942</v>
      </c>
      <c r="C5450" s="170" t="s">
        <v>205</v>
      </c>
      <c r="D5450" s="170" t="s">
        <v>1947</v>
      </c>
      <c r="E5450" s="171" t="s">
        <v>29116</v>
      </c>
      <c r="F5450" s="171" t="s">
        <v>37372</v>
      </c>
      <c r="G5450" s="82"/>
      <c r="H5450" s="96">
        <f t="shared" si="340"/>
        <v>210.18</v>
      </c>
      <c r="I5450" s="96">
        <f t="shared" si="340"/>
        <v>213.85</v>
      </c>
      <c r="J5450" s="91" t="str">
        <f t="shared" si="341"/>
        <v>Sinapi 104674</v>
      </c>
      <c r="K5450" s="91" t="str">
        <f t="shared" si="342"/>
        <v>UN</v>
      </c>
      <c r="L5450" s="166" t="str">
        <f t="shared" si="343"/>
        <v>05/2023</v>
      </c>
      <c r="M5450" s="82"/>
      <c r="N5450" s="82"/>
    </row>
    <row r="5451" spans="1:14" x14ac:dyDescent="0.25">
      <c r="A5451" s="170" t="s">
        <v>28912</v>
      </c>
      <c r="B5451" s="170" t="s">
        <v>28913</v>
      </c>
      <c r="C5451" s="170" t="s">
        <v>28914</v>
      </c>
      <c r="D5451" s="170" t="s">
        <v>2067</v>
      </c>
      <c r="E5451" s="171" t="s">
        <v>14790</v>
      </c>
      <c r="F5451" s="171" t="s">
        <v>17969</v>
      </c>
      <c r="G5451" s="82"/>
      <c r="H5451" s="96">
        <f t="shared" si="340"/>
        <v>1.62</v>
      </c>
      <c r="I5451" s="96">
        <f t="shared" si="340"/>
        <v>1.64</v>
      </c>
      <c r="J5451" s="91" t="str">
        <f t="shared" si="341"/>
        <v>Sinapi 104675</v>
      </c>
      <c r="K5451" s="91" t="str">
        <f t="shared" si="342"/>
        <v>M2XPAV</v>
      </c>
      <c r="L5451" s="166" t="str">
        <f t="shared" si="343"/>
        <v>05/2023</v>
      </c>
      <c r="M5451" s="82"/>
      <c r="N5451" s="82"/>
    </row>
    <row r="5452" spans="1:14" x14ac:dyDescent="0.25">
      <c r="A5452" s="170" t="s">
        <v>21943</v>
      </c>
      <c r="B5452" s="170" t="s">
        <v>21944</v>
      </c>
      <c r="C5452" s="170" t="s">
        <v>205</v>
      </c>
      <c r="D5452" s="170" t="s">
        <v>1947</v>
      </c>
      <c r="E5452" s="171" t="s">
        <v>34209</v>
      </c>
      <c r="F5452" s="171" t="s">
        <v>37373</v>
      </c>
      <c r="G5452" s="82"/>
      <c r="H5452" s="96">
        <f t="shared" si="340"/>
        <v>310.44</v>
      </c>
      <c r="I5452" s="96">
        <f t="shared" si="340"/>
        <v>326.35000000000002</v>
      </c>
      <c r="J5452" s="91" t="str">
        <f t="shared" si="341"/>
        <v>Sinapi 104676</v>
      </c>
      <c r="K5452" s="91" t="str">
        <f t="shared" si="342"/>
        <v>UN</v>
      </c>
      <c r="L5452" s="166" t="str">
        <f t="shared" si="343"/>
        <v>05/2023</v>
      </c>
      <c r="M5452" s="82"/>
      <c r="N5452" s="82"/>
    </row>
    <row r="5453" spans="1:14" x14ac:dyDescent="0.25">
      <c r="A5453" s="170" t="s">
        <v>21945</v>
      </c>
      <c r="B5453" s="170" t="s">
        <v>21946</v>
      </c>
      <c r="C5453" s="170" t="s">
        <v>205</v>
      </c>
      <c r="D5453" s="170" t="s">
        <v>1947</v>
      </c>
      <c r="E5453" s="171" t="s">
        <v>34210</v>
      </c>
      <c r="F5453" s="171" t="s">
        <v>37374</v>
      </c>
      <c r="G5453" s="82"/>
      <c r="H5453" s="96">
        <f t="shared" si="340"/>
        <v>526.87</v>
      </c>
      <c r="I5453" s="96">
        <f t="shared" si="340"/>
        <v>552.45000000000005</v>
      </c>
      <c r="J5453" s="91" t="str">
        <f t="shared" si="341"/>
        <v>Sinapi 104677</v>
      </c>
      <c r="K5453" s="91" t="str">
        <f t="shared" si="342"/>
        <v>UN</v>
      </c>
      <c r="L5453" s="166" t="str">
        <f t="shared" si="343"/>
        <v>05/2023</v>
      </c>
      <c r="M5453" s="82"/>
      <c r="N5453" s="82"/>
    </row>
    <row r="5454" spans="1:14" x14ac:dyDescent="0.25">
      <c r="A5454" s="170" t="s">
        <v>21947</v>
      </c>
      <c r="B5454" s="170" t="s">
        <v>21948</v>
      </c>
      <c r="C5454" s="170" t="s">
        <v>205</v>
      </c>
      <c r="D5454" s="170" t="s">
        <v>1947</v>
      </c>
      <c r="E5454" s="171" t="s">
        <v>34211</v>
      </c>
      <c r="F5454" s="171" t="s">
        <v>37375</v>
      </c>
      <c r="G5454" s="82"/>
      <c r="H5454" s="96">
        <f t="shared" si="340"/>
        <v>107.09</v>
      </c>
      <c r="I5454" s="96">
        <f t="shared" si="340"/>
        <v>113.38</v>
      </c>
      <c r="J5454" s="91" t="str">
        <f t="shared" si="341"/>
        <v>Sinapi 104678</v>
      </c>
      <c r="K5454" s="91" t="str">
        <f t="shared" si="342"/>
        <v>UN</v>
      </c>
      <c r="L5454" s="166" t="str">
        <f t="shared" si="343"/>
        <v>05/2023</v>
      </c>
      <c r="M5454" s="82"/>
      <c r="N5454" s="82"/>
    </row>
    <row r="5455" spans="1:14" x14ac:dyDescent="0.25">
      <c r="A5455" s="170" t="s">
        <v>21949</v>
      </c>
      <c r="B5455" s="170" t="s">
        <v>21950</v>
      </c>
      <c r="C5455" s="170" t="s">
        <v>205</v>
      </c>
      <c r="D5455" s="170" t="s">
        <v>1947</v>
      </c>
      <c r="E5455" s="171" t="s">
        <v>34212</v>
      </c>
      <c r="F5455" s="171" t="s">
        <v>37376</v>
      </c>
      <c r="G5455" s="82"/>
      <c r="H5455" s="96">
        <f t="shared" si="340"/>
        <v>132.47</v>
      </c>
      <c r="I5455" s="96">
        <f t="shared" si="340"/>
        <v>139.26</v>
      </c>
      <c r="J5455" s="91" t="str">
        <f t="shared" si="341"/>
        <v>Sinapi 104679</v>
      </c>
      <c r="K5455" s="91" t="str">
        <f t="shared" si="342"/>
        <v>UN</v>
      </c>
      <c r="L5455" s="166" t="str">
        <f t="shared" si="343"/>
        <v>05/2023</v>
      </c>
      <c r="M5455" s="82"/>
      <c r="N5455" s="82"/>
    </row>
    <row r="5456" spans="1:14" x14ac:dyDescent="0.25">
      <c r="A5456" s="170" t="s">
        <v>21951</v>
      </c>
      <c r="B5456" s="170" t="s">
        <v>21952</v>
      </c>
      <c r="C5456" s="170" t="s">
        <v>205</v>
      </c>
      <c r="D5456" s="170" t="s">
        <v>2067</v>
      </c>
      <c r="E5456" s="171" t="s">
        <v>34213</v>
      </c>
      <c r="F5456" s="171" t="s">
        <v>37377</v>
      </c>
      <c r="G5456" s="82"/>
      <c r="H5456" s="96">
        <f t="shared" si="340"/>
        <v>139.75</v>
      </c>
      <c r="I5456" s="96">
        <f t="shared" si="340"/>
        <v>145.32</v>
      </c>
      <c r="J5456" s="91" t="str">
        <f t="shared" si="341"/>
        <v>Sinapi 104680</v>
      </c>
      <c r="K5456" s="91" t="str">
        <f t="shared" si="342"/>
        <v>UN</v>
      </c>
      <c r="L5456" s="166" t="str">
        <f t="shared" si="343"/>
        <v>05/2023</v>
      </c>
      <c r="M5456" s="82"/>
      <c r="N5456" s="82"/>
    </row>
    <row r="5457" spans="1:14" x14ac:dyDescent="0.25">
      <c r="A5457" s="170" t="s">
        <v>21953</v>
      </c>
      <c r="B5457" s="170" t="s">
        <v>21954</v>
      </c>
      <c r="C5457" s="170" t="s">
        <v>205</v>
      </c>
      <c r="D5457" s="170" t="s">
        <v>2067</v>
      </c>
      <c r="E5457" s="171" t="s">
        <v>34214</v>
      </c>
      <c r="F5457" s="171" t="s">
        <v>22004</v>
      </c>
      <c r="G5457" s="82"/>
      <c r="H5457" s="96">
        <f t="shared" si="340"/>
        <v>102.11</v>
      </c>
      <c r="I5457" s="96">
        <f t="shared" si="340"/>
        <v>105.32</v>
      </c>
      <c r="J5457" s="91" t="str">
        <f t="shared" si="341"/>
        <v>Sinapi 104681</v>
      </c>
      <c r="K5457" s="91" t="str">
        <f t="shared" si="342"/>
        <v>UN</v>
      </c>
      <c r="L5457" s="166" t="str">
        <f t="shared" si="343"/>
        <v>05/2023</v>
      </c>
      <c r="M5457" s="82"/>
      <c r="N5457" s="82"/>
    </row>
    <row r="5458" spans="1:14" x14ac:dyDescent="0.25">
      <c r="A5458" s="170" t="s">
        <v>21955</v>
      </c>
      <c r="B5458" s="170" t="s">
        <v>21956</v>
      </c>
      <c r="C5458" s="170" t="s">
        <v>205</v>
      </c>
      <c r="D5458" s="170" t="s">
        <v>2067</v>
      </c>
      <c r="E5458" s="171" t="s">
        <v>34215</v>
      </c>
      <c r="F5458" s="171" t="s">
        <v>37378</v>
      </c>
      <c r="G5458" s="82"/>
      <c r="H5458" s="96">
        <f t="shared" si="340"/>
        <v>561.55999999999995</v>
      </c>
      <c r="I5458" s="96">
        <f t="shared" si="340"/>
        <v>579.57000000000005</v>
      </c>
      <c r="J5458" s="91" t="str">
        <f t="shared" si="341"/>
        <v>Sinapi 104682</v>
      </c>
      <c r="K5458" s="91" t="str">
        <f t="shared" si="342"/>
        <v>UN</v>
      </c>
      <c r="L5458" s="166" t="str">
        <f t="shared" si="343"/>
        <v>05/2023</v>
      </c>
      <c r="M5458" s="82"/>
      <c r="N5458" s="82"/>
    </row>
    <row r="5459" spans="1:14" x14ac:dyDescent="0.25">
      <c r="A5459" s="170" t="s">
        <v>21957</v>
      </c>
      <c r="B5459" s="170" t="s">
        <v>21958</v>
      </c>
      <c r="C5459" s="170" t="s">
        <v>205</v>
      </c>
      <c r="D5459" s="170" t="s">
        <v>2067</v>
      </c>
      <c r="E5459" s="171" t="s">
        <v>33648</v>
      </c>
      <c r="F5459" s="171" t="s">
        <v>36038</v>
      </c>
      <c r="G5459" s="82"/>
      <c r="H5459" s="96">
        <f t="shared" si="340"/>
        <v>89.95</v>
      </c>
      <c r="I5459" s="96">
        <f t="shared" si="340"/>
        <v>92.28</v>
      </c>
      <c r="J5459" s="91" t="str">
        <f t="shared" si="341"/>
        <v>Sinapi 104683</v>
      </c>
      <c r="K5459" s="91" t="str">
        <f t="shared" si="342"/>
        <v>UN</v>
      </c>
      <c r="L5459" s="166" t="str">
        <f t="shared" si="343"/>
        <v>05/2023</v>
      </c>
      <c r="M5459" s="82"/>
      <c r="N5459" s="82"/>
    </row>
    <row r="5460" spans="1:14" x14ac:dyDescent="0.25">
      <c r="A5460" s="170" t="s">
        <v>17046</v>
      </c>
      <c r="B5460" s="170" t="s">
        <v>17047</v>
      </c>
      <c r="C5460" s="170" t="s">
        <v>205</v>
      </c>
      <c r="D5460" s="170" t="s">
        <v>2067</v>
      </c>
      <c r="E5460" s="171" t="s">
        <v>22857</v>
      </c>
      <c r="F5460" s="171" t="s">
        <v>23324</v>
      </c>
      <c r="G5460" s="82"/>
      <c r="H5460" s="96">
        <f t="shared" si="340"/>
        <v>25.17</v>
      </c>
      <c r="I5460" s="96">
        <f t="shared" si="340"/>
        <v>26.27</v>
      </c>
      <c r="J5460" s="91" t="str">
        <f t="shared" si="341"/>
        <v>Sinapi 104031</v>
      </c>
      <c r="K5460" s="91" t="str">
        <f t="shared" si="342"/>
        <v>UN</v>
      </c>
      <c r="L5460" s="166" t="str">
        <f t="shared" si="343"/>
        <v>06/2022</v>
      </c>
      <c r="M5460" s="82"/>
      <c r="N5460" s="82"/>
    </row>
    <row r="5461" spans="1:14" x14ac:dyDescent="0.25">
      <c r="A5461" s="170" t="s">
        <v>17048</v>
      </c>
      <c r="B5461" s="170" t="s">
        <v>17049</v>
      </c>
      <c r="C5461" s="170" t="s">
        <v>205</v>
      </c>
      <c r="D5461" s="170" t="s">
        <v>2067</v>
      </c>
      <c r="E5461" s="171" t="s">
        <v>34216</v>
      </c>
      <c r="F5461" s="171" t="s">
        <v>33619</v>
      </c>
      <c r="G5461" s="82"/>
      <c r="H5461" s="96">
        <f t="shared" si="340"/>
        <v>33.07</v>
      </c>
      <c r="I5461" s="96">
        <f t="shared" si="340"/>
        <v>34.18</v>
      </c>
      <c r="J5461" s="91" t="str">
        <f t="shared" si="341"/>
        <v>Sinapi 104032</v>
      </c>
      <c r="K5461" s="91" t="str">
        <f t="shared" si="342"/>
        <v>UN</v>
      </c>
      <c r="L5461" s="166" t="str">
        <f t="shared" si="343"/>
        <v>06/2022</v>
      </c>
      <c r="M5461" s="82"/>
      <c r="N5461" s="82"/>
    </row>
    <row r="5462" spans="1:14" x14ac:dyDescent="0.25">
      <c r="A5462" s="170" t="s">
        <v>17050</v>
      </c>
      <c r="B5462" s="170" t="s">
        <v>17051</v>
      </c>
      <c r="C5462" s="170" t="s">
        <v>205</v>
      </c>
      <c r="D5462" s="170" t="s">
        <v>2067</v>
      </c>
      <c r="E5462" s="171" t="s">
        <v>22737</v>
      </c>
      <c r="F5462" s="171" t="s">
        <v>22872</v>
      </c>
      <c r="G5462" s="82"/>
      <c r="H5462" s="96">
        <f t="shared" si="340"/>
        <v>29.55</v>
      </c>
      <c r="I5462" s="96">
        <f t="shared" si="340"/>
        <v>30.68</v>
      </c>
      <c r="J5462" s="91" t="str">
        <f t="shared" si="341"/>
        <v>Sinapi 104033</v>
      </c>
      <c r="K5462" s="91" t="str">
        <f t="shared" si="342"/>
        <v>UN</v>
      </c>
      <c r="L5462" s="166" t="str">
        <f t="shared" si="343"/>
        <v>06/2022</v>
      </c>
      <c r="M5462" s="82"/>
      <c r="N5462" s="82"/>
    </row>
    <row r="5463" spans="1:14" x14ac:dyDescent="0.25">
      <c r="A5463" s="170" t="s">
        <v>17052</v>
      </c>
      <c r="B5463" s="170" t="s">
        <v>17053</v>
      </c>
      <c r="C5463" s="170" t="s">
        <v>205</v>
      </c>
      <c r="D5463" s="170" t="s">
        <v>2067</v>
      </c>
      <c r="E5463" s="171" t="s">
        <v>28767</v>
      </c>
      <c r="F5463" s="171" t="s">
        <v>28204</v>
      </c>
      <c r="G5463" s="82"/>
      <c r="H5463" s="96">
        <f t="shared" si="340"/>
        <v>40.25</v>
      </c>
      <c r="I5463" s="96">
        <f t="shared" si="340"/>
        <v>41.41</v>
      </c>
      <c r="J5463" s="91" t="str">
        <f t="shared" si="341"/>
        <v>Sinapi 104034</v>
      </c>
      <c r="K5463" s="91" t="str">
        <f t="shared" si="342"/>
        <v>UN</v>
      </c>
      <c r="L5463" s="166" t="str">
        <f t="shared" si="343"/>
        <v>06/2022</v>
      </c>
      <c r="M5463" s="82"/>
      <c r="N5463" s="82"/>
    </row>
    <row r="5464" spans="1:14" x14ac:dyDescent="0.25">
      <c r="A5464" s="170" t="s">
        <v>17054</v>
      </c>
      <c r="B5464" s="170" t="s">
        <v>17055</v>
      </c>
      <c r="C5464" s="170" t="s">
        <v>205</v>
      </c>
      <c r="D5464" s="170" t="s">
        <v>1947</v>
      </c>
      <c r="E5464" s="171" t="s">
        <v>32033</v>
      </c>
      <c r="F5464" s="171" t="s">
        <v>31797</v>
      </c>
      <c r="G5464" s="82"/>
      <c r="H5464" s="96">
        <f t="shared" si="340"/>
        <v>36.049999999999997</v>
      </c>
      <c r="I5464" s="96">
        <f t="shared" si="340"/>
        <v>38.47</v>
      </c>
      <c r="J5464" s="91" t="str">
        <f t="shared" si="341"/>
        <v>Sinapi 104035</v>
      </c>
      <c r="K5464" s="91" t="str">
        <f t="shared" si="342"/>
        <v>UN</v>
      </c>
      <c r="L5464" s="166" t="str">
        <f t="shared" si="343"/>
        <v>06/2022</v>
      </c>
      <c r="M5464" s="82"/>
      <c r="N5464" s="82"/>
    </row>
    <row r="5465" spans="1:14" x14ac:dyDescent="0.25">
      <c r="A5465" s="170" t="s">
        <v>17056</v>
      </c>
      <c r="B5465" s="170" t="s">
        <v>17057</v>
      </c>
      <c r="C5465" s="170" t="s">
        <v>205</v>
      </c>
      <c r="D5465" s="170" t="s">
        <v>1947</v>
      </c>
      <c r="E5465" s="171" t="s">
        <v>34217</v>
      </c>
      <c r="F5465" s="171" t="s">
        <v>37379</v>
      </c>
      <c r="G5465" s="82"/>
      <c r="H5465" s="96">
        <f t="shared" si="340"/>
        <v>37.200000000000003</v>
      </c>
      <c r="I5465" s="96">
        <f t="shared" si="340"/>
        <v>39.700000000000003</v>
      </c>
      <c r="J5465" s="91" t="str">
        <f t="shared" si="341"/>
        <v>Sinapi 104036</v>
      </c>
      <c r="K5465" s="91" t="str">
        <f t="shared" si="342"/>
        <v>UN</v>
      </c>
      <c r="L5465" s="166" t="str">
        <f t="shared" si="343"/>
        <v>06/2022</v>
      </c>
      <c r="M5465" s="82"/>
      <c r="N5465" s="82"/>
    </row>
    <row r="5466" spans="1:14" x14ac:dyDescent="0.25">
      <c r="A5466" s="170" t="s">
        <v>17058</v>
      </c>
      <c r="B5466" s="170" t="s">
        <v>17059</v>
      </c>
      <c r="C5466" s="170" t="s">
        <v>205</v>
      </c>
      <c r="D5466" s="170" t="s">
        <v>1947</v>
      </c>
      <c r="E5466" s="171" t="s">
        <v>23199</v>
      </c>
      <c r="F5466" s="171" t="s">
        <v>29164</v>
      </c>
      <c r="G5466" s="82"/>
      <c r="H5466" s="96">
        <f t="shared" si="340"/>
        <v>69.05</v>
      </c>
      <c r="I5466" s="96">
        <f t="shared" si="340"/>
        <v>71.45</v>
      </c>
      <c r="J5466" s="91" t="str">
        <f t="shared" si="341"/>
        <v>Sinapi 104039</v>
      </c>
      <c r="K5466" s="91" t="str">
        <f t="shared" si="342"/>
        <v>UN</v>
      </c>
      <c r="L5466" s="166" t="str">
        <f t="shared" si="343"/>
        <v>06/2022</v>
      </c>
      <c r="M5466" s="82"/>
      <c r="N5466" s="82"/>
    </row>
    <row r="5467" spans="1:14" x14ac:dyDescent="0.25">
      <c r="A5467" s="170" t="s">
        <v>17060</v>
      </c>
      <c r="B5467" s="170" t="s">
        <v>17061</v>
      </c>
      <c r="C5467" s="170" t="s">
        <v>205</v>
      </c>
      <c r="D5467" s="170" t="s">
        <v>1947</v>
      </c>
      <c r="E5467" s="171" t="s">
        <v>28932</v>
      </c>
      <c r="F5467" s="171" t="s">
        <v>17384</v>
      </c>
      <c r="G5467" s="82"/>
      <c r="H5467" s="96">
        <f t="shared" si="340"/>
        <v>8.01</v>
      </c>
      <c r="I5467" s="96">
        <f t="shared" si="340"/>
        <v>8.48</v>
      </c>
      <c r="J5467" s="91" t="str">
        <f t="shared" si="341"/>
        <v>Sinapi 104043</v>
      </c>
      <c r="K5467" s="91" t="str">
        <f t="shared" si="342"/>
        <v>UN</v>
      </c>
      <c r="L5467" s="166" t="str">
        <f t="shared" si="343"/>
        <v>06/2022</v>
      </c>
      <c r="M5467" s="82"/>
      <c r="N5467" s="82"/>
    </row>
    <row r="5468" spans="1:14" x14ac:dyDescent="0.25">
      <c r="A5468" s="170" t="s">
        <v>17062</v>
      </c>
      <c r="B5468" s="170" t="s">
        <v>17063</v>
      </c>
      <c r="C5468" s="170" t="s">
        <v>205</v>
      </c>
      <c r="D5468" s="170" t="s">
        <v>1947</v>
      </c>
      <c r="E5468" s="171" t="s">
        <v>14638</v>
      </c>
      <c r="F5468" s="171" t="s">
        <v>31995</v>
      </c>
      <c r="G5468" s="82"/>
      <c r="H5468" s="96">
        <f t="shared" si="340"/>
        <v>8.5299999999999994</v>
      </c>
      <c r="I5468" s="96">
        <f t="shared" si="340"/>
        <v>9.1</v>
      </c>
      <c r="J5468" s="91" t="str">
        <f t="shared" si="341"/>
        <v>Sinapi 104044</v>
      </c>
      <c r="K5468" s="91" t="str">
        <f t="shared" si="342"/>
        <v>UN</v>
      </c>
      <c r="L5468" s="166" t="str">
        <f t="shared" si="343"/>
        <v>06/2022</v>
      </c>
      <c r="M5468" s="82"/>
      <c r="N5468" s="82"/>
    </row>
    <row r="5469" spans="1:14" x14ac:dyDescent="0.25">
      <c r="A5469" s="170" t="s">
        <v>17064</v>
      </c>
      <c r="B5469" s="170" t="s">
        <v>17065</v>
      </c>
      <c r="C5469" s="170" t="s">
        <v>205</v>
      </c>
      <c r="D5469" s="170" t="s">
        <v>1947</v>
      </c>
      <c r="E5469" s="171" t="s">
        <v>13848</v>
      </c>
      <c r="F5469" s="171" t="s">
        <v>29382</v>
      </c>
      <c r="G5469" s="82"/>
      <c r="H5469" s="96">
        <f t="shared" si="340"/>
        <v>13.32</v>
      </c>
      <c r="I5469" s="96">
        <f t="shared" si="340"/>
        <v>13.97</v>
      </c>
      <c r="J5469" s="91" t="str">
        <f t="shared" si="341"/>
        <v>Sinapi 104045</v>
      </c>
      <c r="K5469" s="91" t="str">
        <f t="shared" si="342"/>
        <v>UN</v>
      </c>
      <c r="L5469" s="166" t="str">
        <f t="shared" si="343"/>
        <v>06/2022</v>
      </c>
      <c r="M5469" s="82"/>
      <c r="N5469" s="82"/>
    </row>
    <row r="5470" spans="1:14" x14ac:dyDescent="0.25">
      <c r="A5470" s="170" t="s">
        <v>17066</v>
      </c>
      <c r="B5470" s="170" t="s">
        <v>17067</v>
      </c>
      <c r="C5470" s="170" t="s">
        <v>205</v>
      </c>
      <c r="D5470" s="170" t="s">
        <v>1947</v>
      </c>
      <c r="E5470" s="171" t="s">
        <v>16208</v>
      </c>
      <c r="F5470" s="171" t="s">
        <v>13745</v>
      </c>
      <c r="G5470" s="82"/>
      <c r="H5470" s="96">
        <f t="shared" si="340"/>
        <v>7.66</v>
      </c>
      <c r="I5470" s="96">
        <f t="shared" si="340"/>
        <v>8.1300000000000008</v>
      </c>
      <c r="J5470" s="91" t="str">
        <f t="shared" si="341"/>
        <v>Sinapi 104046</v>
      </c>
      <c r="K5470" s="91" t="str">
        <f t="shared" si="342"/>
        <v>UN</v>
      </c>
      <c r="L5470" s="166" t="str">
        <f t="shared" si="343"/>
        <v>06/2022</v>
      </c>
      <c r="M5470" s="82"/>
      <c r="N5470" s="82"/>
    </row>
    <row r="5471" spans="1:14" x14ac:dyDescent="0.25">
      <c r="A5471" s="170" t="s">
        <v>17068</v>
      </c>
      <c r="B5471" s="170" t="s">
        <v>17069</v>
      </c>
      <c r="C5471" s="170" t="s">
        <v>205</v>
      </c>
      <c r="D5471" s="170" t="s">
        <v>1947</v>
      </c>
      <c r="E5471" s="171" t="s">
        <v>28858</v>
      </c>
      <c r="F5471" s="171" t="s">
        <v>18542</v>
      </c>
      <c r="G5471" s="82"/>
      <c r="H5471" s="96">
        <f t="shared" si="340"/>
        <v>8.89</v>
      </c>
      <c r="I5471" s="96">
        <f t="shared" si="340"/>
        <v>9.4600000000000009</v>
      </c>
      <c r="J5471" s="91" t="str">
        <f t="shared" si="341"/>
        <v>Sinapi 104047</v>
      </c>
      <c r="K5471" s="91" t="str">
        <f t="shared" si="342"/>
        <v>UN</v>
      </c>
      <c r="L5471" s="166" t="str">
        <f t="shared" si="343"/>
        <v>06/2022</v>
      </c>
      <c r="M5471" s="82"/>
      <c r="N5471" s="82"/>
    </row>
    <row r="5472" spans="1:14" x14ac:dyDescent="0.25">
      <c r="A5472" s="170" t="s">
        <v>17070</v>
      </c>
      <c r="B5472" s="170" t="s">
        <v>17071</v>
      </c>
      <c r="C5472" s="170" t="s">
        <v>205</v>
      </c>
      <c r="D5472" s="170" t="s">
        <v>1947</v>
      </c>
      <c r="E5472" s="171" t="s">
        <v>16304</v>
      </c>
      <c r="F5472" s="171" t="s">
        <v>23407</v>
      </c>
      <c r="G5472" s="82"/>
      <c r="H5472" s="96">
        <f t="shared" si="340"/>
        <v>13</v>
      </c>
      <c r="I5472" s="96">
        <f t="shared" si="340"/>
        <v>13.65</v>
      </c>
      <c r="J5472" s="91" t="str">
        <f t="shared" si="341"/>
        <v>Sinapi 104048</v>
      </c>
      <c r="K5472" s="91" t="str">
        <f t="shared" si="342"/>
        <v>UN</v>
      </c>
      <c r="L5472" s="166" t="str">
        <f t="shared" si="343"/>
        <v>06/2022</v>
      </c>
      <c r="M5472" s="82"/>
      <c r="N5472" s="82"/>
    </row>
    <row r="5473" spans="1:14" x14ac:dyDescent="0.25">
      <c r="A5473" s="170" t="s">
        <v>17072</v>
      </c>
      <c r="B5473" s="170" t="s">
        <v>17073</v>
      </c>
      <c r="C5473" s="170" t="s">
        <v>205</v>
      </c>
      <c r="D5473" s="170" t="s">
        <v>2067</v>
      </c>
      <c r="E5473" s="171" t="s">
        <v>23000</v>
      </c>
      <c r="F5473" s="171" t="s">
        <v>17713</v>
      </c>
      <c r="G5473" s="82"/>
      <c r="H5473" s="96">
        <f t="shared" si="340"/>
        <v>5.77</v>
      </c>
      <c r="I5473" s="96">
        <f t="shared" si="340"/>
        <v>6.31</v>
      </c>
      <c r="J5473" s="91" t="str">
        <f t="shared" si="341"/>
        <v>Sinapi 104049</v>
      </c>
      <c r="K5473" s="91" t="str">
        <f t="shared" si="342"/>
        <v>UN</v>
      </c>
      <c r="L5473" s="166" t="str">
        <f t="shared" si="343"/>
        <v>06/2022</v>
      </c>
      <c r="M5473" s="82"/>
      <c r="N5473" s="82"/>
    </row>
    <row r="5474" spans="1:14" x14ac:dyDescent="0.25">
      <c r="A5474" s="170" t="s">
        <v>17074</v>
      </c>
      <c r="B5474" s="170" t="s">
        <v>17075</v>
      </c>
      <c r="C5474" s="170" t="s">
        <v>205</v>
      </c>
      <c r="D5474" s="170" t="s">
        <v>2067</v>
      </c>
      <c r="E5474" s="171" t="s">
        <v>22710</v>
      </c>
      <c r="F5474" s="171" t="s">
        <v>5618</v>
      </c>
      <c r="G5474" s="82"/>
      <c r="H5474" s="96">
        <f t="shared" si="340"/>
        <v>8.8000000000000007</v>
      </c>
      <c r="I5474" s="96">
        <f t="shared" si="340"/>
        <v>9.5299999999999994</v>
      </c>
      <c r="J5474" s="91" t="str">
        <f t="shared" si="341"/>
        <v>Sinapi 104050</v>
      </c>
      <c r="K5474" s="91" t="str">
        <f t="shared" si="342"/>
        <v>UN</v>
      </c>
      <c r="L5474" s="166" t="str">
        <f t="shared" si="343"/>
        <v>06/2022</v>
      </c>
      <c r="M5474" s="82"/>
      <c r="N5474" s="82"/>
    </row>
    <row r="5475" spans="1:14" x14ac:dyDescent="0.25">
      <c r="A5475" s="170" t="s">
        <v>17076</v>
      </c>
      <c r="B5475" s="170" t="s">
        <v>17077</v>
      </c>
      <c r="C5475" s="170" t="s">
        <v>205</v>
      </c>
      <c r="D5475" s="170" t="s">
        <v>1947</v>
      </c>
      <c r="E5475" s="171" t="s">
        <v>15658</v>
      </c>
      <c r="F5475" s="171" t="s">
        <v>22739</v>
      </c>
      <c r="G5475" s="82"/>
      <c r="H5475" s="96">
        <f t="shared" si="340"/>
        <v>7.14</v>
      </c>
      <c r="I5475" s="96">
        <f t="shared" si="340"/>
        <v>7.58</v>
      </c>
      <c r="J5475" s="91" t="str">
        <f t="shared" si="341"/>
        <v>Sinapi 104051</v>
      </c>
      <c r="K5475" s="91" t="str">
        <f t="shared" si="342"/>
        <v>UN</v>
      </c>
      <c r="L5475" s="166" t="str">
        <f t="shared" si="343"/>
        <v>06/2022</v>
      </c>
      <c r="M5475" s="82"/>
      <c r="N5475" s="82"/>
    </row>
    <row r="5476" spans="1:14" x14ac:dyDescent="0.25">
      <c r="A5476" s="170" t="s">
        <v>17078</v>
      </c>
      <c r="B5476" s="170" t="s">
        <v>17079</v>
      </c>
      <c r="C5476" s="170" t="s">
        <v>205</v>
      </c>
      <c r="D5476" s="170" t="s">
        <v>1947</v>
      </c>
      <c r="E5476" s="171" t="s">
        <v>20468</v>
      </c>
      <c r="F5476" s="171" t="s">
        <v>15660</v>
      </c>
      <c r="G5476" s="82"/>
      <c r="H5476" s="96">
        <f t="shared" si="340"/>
        <v>9.99</v>
      </c>
      <c r="I5476" s="96">
        <f t="shared" si="340"/>
        <v>10.6</v>
      </c>
      <c r="J5476" s="91" t="str">
        <f t="shared" si="341"/>
        <v>Sinapi 104052</v>
      </c>
      <c r="K5476" s="91" t="str">
        <f t="shared" si="342"/>
        <v>UN</v>
      </c>
      <c r="L5476" s="166" t="str">
        <f t="shared" si="343"/>
        <v>06/2022</v>
      </c>
      <c r="M5476" s="82"/>
      <c r="N5476" s="82"/>
    </row>
    <row r="5477" spans="1:14" x14ac:dyDescent="0.25">
      <c r="A5477" s="170" t="s">
        <v>17080</v>
      </c>
      <c r="B5477" s="170" t="s">
        <v>17081</v>
      </c>
      <c r="C5477" s="170" t="s">
        <v>205</v>
      </c>
      <c r="D5477" s="170" t="s">
        <v>1947</v>
      </c>
      <c r="E5477" s="171" t="s">
        <v>24634</v>
      </c>
      <c r="F5477" s="171" t="s">
        <v>26595</v>
      </c>
      <c r="G5477" s="82"/>
      <c r="H5477" s="96">
        <f t="shared" si="340"/>
        <v>8.3000000000000007</v>
      </c>
      <c r="I5477" s="96">
        <f t="shared" si="340"/>
        <v>8.74</v>
      </c>
      <c r="J5477" s="91" t="str">
        <f t="shared" si="341"/>
        <v>Sinapi 104053</v>
      </c>
      <c r="K5477" s="91" t="str">
        <f t="shared" si="342"/>
        <v>UN</v>
      </c>
      <c r="L5477" s="166" t="str">
        <f t="shared" si="343"/>
        <v>06/2022</v>
      </c>
      <c r="M5477" s="82"/>
      <c r="N5477" s="82"/>
    </row>
    <row r="5478" spans="1:14" x14ac:dyDescent="0.25">
      <c r="A5478" s="170" t="s">
        <v>17082</v>
      </c>
      <c r="B5478" s="170" t="s">
        <v>17083</v>
      </c>
      <c r="C5478" s="170" t="s">
        <v>205</v>
      </c>
      <c r="D5478" s="170" t="s">
        <v>1947</v>
      </c>
      <c r="E5478" s="171" t="s">
        <v>19959</v>
      </c>
      <c r="F5478" s="171" t="s">
        <v>19957</v>
      </c>
      <c r="G5478" s="82"/>
      <c r="H5478" s="96">
        <f t="shared" si="340"/>
        <v>16.37</v>
      </c>
      <c r="I5478" s="96">
        <f t="shared" si="340"/>
        <v>16.98</v>
      </c>
      <c r="J5478" s="91" t="str">
        <f t="shared" si="341"/>
        <v>Sinapi 104054</v>
      </c>
      <c r="K5478" s="91" t="str">
        <f t="shared" si="342"/>
        <v>UN</v>
      </c>
      <c r="L5478" s="166" t="str">
        <f t="shared" si="343"/>
        <v>06/2022</v>
      </c>
      <c r="M5478" s="82"/>
      <c r="N5478" s="82"/>
    </row>
    <row r="5479" spans="1:14" x14ac:dyDescent="0.25">
      <c r="A5479" s="170" t="s">
        <v>17084</v>
      </c>
      <c r="B5479" s="170" t="s">
        <v>17085</v>
      </c>
      <c r="C5479" s="170" t="s">
        <v>205</v>
      </c>
      <c r="D5479" s="170" t="s">
        <v>2067</v>
      </c>
      <c r="E5479" s="171" t="s">
        <v>14937</v>
      </c>
      <c r="F5479" s="171" t="s">
        <v>17959</v>
      </c>
      <c r="G5479" s="82"/>
      <c r="H5479" s="96">
        <f t="shared" si="340"/>
        <v>13.41</v>
      </c>
      <c r="I5479" s="96">
        <f t="shared" si="340"/>
        <v>13.85</v>
      </c>
      <c r="J5479" s="91" t="str">
        <f t="shared" si="341"/>
        <v>Sinapi 104055</v>
      </c>
      <c r="K5479" s="91" t="str">
        <f t="shared" si="342"/>
        <v>UN</v>
      </c>
      <c r="L5479" s="166" t="str">
        <f t="shared" si="343"/>
        <v>06/2022</v>
      </c>
      <c r="M5479" s="82"/>
      <c r="N5479" s="82"/>
    </row>
    <row r="5480" spans="1:14" x14ac:dyDescent="0.25">
      <c r="A5480" s="170" t="s">
        <v>17086</v>
      </c>
      <c r="B5480" s="170" t="s">
        <v>17087</v>
      </c>
      <c r="C5480" s="170" t="s">
        <v>205</v>
      </c>
      <c r="D5480" s="170" t="s">
        <v>2067</v>
      </c>
      <c r="E5480" s="171" t="s">
        <v>28684</v>
      </c>
      <c r="F5480" s="171" t="s">
        <v>21126</v>
      </c>
      <c r="G5480" s="82"/>
      <c r="H5480" s="96">
        <f t="shared" si="340"/>
        <v>19.96</v>
      </c>
      <c r="I5480" s="96">
        <f t="shared" si="340"/>
        <v>20.47</v>
      </c>
      <c r="J5480" s="91" t="str">
        <f t="shared" si="341"/>
        <v>Sinapi 104056</v>
      </c>
      <c r="K5480" s="91" t="str">
        <f t="shared" si="342"/>
        <v>UN</v>
      </c>
      <c r="L5480" s="166" t="str">
        <f t="shared" si="343"/>
        <v>06/2022</v>
      </c>
      <c r="M5480" s="82"/>
      <c r="N5480" s="82"/>
    </row>
    <row r="5481" spans="1:14" x14ac:dyDescent="0.25">
      <c r="A5481" s="170" t="s">
        <v>17088</v>
      </c>
      <c r="B5481" s="170" t="s">
        <v>17089</v>
      </c>
      <c r="C5481" s="170" t="s">
        <v>205</v>
      </c>
      <c r="D5481" s="170" t="s">
        <v>2067</v>
      </c>
      <c r="E5481" s="171" t="s">
        <v>10394</v>
      </c>
      <c r="F5481" s="171" t="s">
        <v>15526</v>
      </c>
      <c r="G5481" s="82"/>
      <c r="H5481" s="96">
        <f t="shared" si="340"/>
        <v>6.01</v>
      </c>
      <c r="I5481" s="96">
        <f t="shared" si="340"/>
        <v>6.51</v>
      </c>
      <c r="J5481" s="91" t="str">
        <f t="shared" si="341"/>
        <v>Sinapi 104058</v>
      </c>
      <c r="K5481" s="91" t="str">
        <f t="shared" si="342"/>
        <v>UN</v>
      </c>
      <c r="L5481" s="166" t="str">
        <f t="shared" si="343"/>
        <v>06/2022</v>
      </c>
      <c r="M5481" s="82"/>
      <c r="N5481" s="82"/>
    </row>
    <row r="5482" spans="1:14" x14ac:dyDescent="0.25">
      <c r="A5482" s="170" t="s">
        <v>17090</v>
      </c>
      <c r="B5482" s="170" t="s">
        <v>17091</v>
      </c>
      <c r="C5482" s="170" t="s">
        <v>205</v>
      </c>
      <c r="D5482" s="170" t="s">
        <v>2067</v>
      </c>
      <c r="E5482" s="171" t="s">
        <v>14929</v>
      </c>
      <c r="F5482" s="171" t="s">
        <v>14793</v>
      </c>
      <c r="G5482" s="82"/>
      <c r="H5482" s="96">
        <f t="shared" si="340"/>
        <v>11.25</v>
      </c>
      <c r="I5482" s="96">
        <f t="shared" si="340"/>
        <v>11.92</v>
      </c>
      <c r="J5482" s="91" t="str">
        <f t="shared" si="341"/>
        <v>Sinapi 104059</v>
      </c>
      <c r="K5482" s="91" t="str">
        <f t="shared" si="342"/>
        <v>UN</v>
      </c>
      <c r="L5482" s="166" t="str">
        <f t="shared" si="343"/>
        <v>06/2022</v>
      </c>
      <c r="M5482" s="82"/>
      <c r="N5482" s="82"/>
    </row>
    <row r="5483" spans="1:14" x14ac:dyDescent="0.25">
      <c r="A5483" s="170" t="s">
        <v>17092</v>
      </c>
      <c r="B5483" s="170" t="s">
        <v>17093</v>
      </c>
      <c r="C5483" s="170" t="s">
        <v>385</v>
      </c>
      <c r="D5483" s="170" t="s">
        <v>1947</v>
      </c>
      <c r="E5483" s="171" t="s">
        <v>29566</v>
      </c>
      <c r="F5483" s="171" t="s">
        <v>23784</v>
      </c>
      <c r="G5483" s="82"/>
      <c r="H5483" s="96">
        <f t="shared" si="340"/>
        <v>8.94</v>
      </c>
      <c r="I5483" s="96">
        <f t="shared" si="340"/>
        <v>9.35</v>
      </c>
      <c r="J5483" s="91" t="str">
        <f t="shared" si="341"/>
        <v>Sinapi 104060</v>
      </c>
      <c r="K5483" s="91" t="str">
        <f t="shared" si="342"/>
        <v>M</v>
      </c>
      <c r="L5483" s="166" t="str">
        <f t="shared" si="343"/>
        <v>06/2022</v>
      </c>
      <c r="M5483" s="82"/>
      <c r="N5483" s="82"/>
    </row>
    <row r="5484" spans="1:14" x14ac:dyDescent="0.25">
      <c r="A5484" s="170" t="s">
        <v>17094</v>
      </c>
      <c r="B5484" s="170" t="s">
        <v>17095</v>
      </c>
      <c r="C5484" s="170" t="s">
        <v>385</v>
      </c>
      <c r="D5484" s="170" t="s">
        <v>1947</v>
      </c>
      <c r="E5484" s="171" t="s">
        <v>19836</v>
      </c>
      <c r="F5484" s="171" t="s">
        <v>37380</v>
      </c>
      <c r="G5484" s="82"/>
      <c r="H5484" s="96">
        <f t="shared" si="340"/>
        <v>16.09</v>
      </c>
      <c r="I5484" s="96">
        <f t="shared" si="340"/>
        <v>16.7</v>
      </c>
      <c r="J5484" s="91" t="str">
        <f t="shared" si="341"/>
        <v>Sinapi 104061</v>
      </c>
      <c r="K5484" s="91" t="str">
        <f t="shared" si="342"/>
        <v>M</v>
      </c>
      <c r="L5484" s="166" t="str">
        <f t="shared" si="343"/>
        <v>06/2022</v>
      </c>
      <c r="M5484" s="82"/>
      <c r="N5484" s="82"/>
    </row>
    <row r="5485" spans="1:14" x14ac:dyDescent="0.25">
      <c r="A5485" s="170" t="s">
        <v>17096</v>
      </c>
      <c r="B5485" s="170" t="s">
        <v>28917</v>
      </c>
      <c r="C5485" s="170" t="s">
        <v>205</v>
      </c>
      <c r="D5485" s="170" t="s">
        <v>1947</v>
      </c>
      <c r="E5485" s="171" t="s">
        <v>22008</v>
      </c>
      <c r="F5485" s="171" t="s">
        <v>37381</v>
      </c>
      <c r="G5485" s="82"/>
      <c r="H5485" s="96">
        <f t="shared" si="340"/>
        <v>138.72</v>
      </c>
      <c r="I5485" s="96">
        <f t="shared" si="340"/>
        <v>146.28</v>
      </c>
      <c r="J5485" s="91" t="str">
        <f t="shared" si="341"/>
        <v>Sinapi 104112</v>
      </c>
      <c r="K5485" s="91" t="str">
        <f t="shared" si="342"/>
        <v>UN</v>
      </c>
      <c r="L5485" s="166" t="str">
        <f t="shared" si="343"/>
        <v>06/2022</v>
      </c>
      <c r="M5485" s="82"/>
      <c r="N5485" s="82"/>
    </row>
    <row r="5486" spans="1:14" x14ac:dyDescent="0.25">
      <c r="A5486" s="170" t="s">
        <v>17097</v>
      </c>
      <c r="B5486" s="170" t="s">
        <v>28918</v>
      </c>
      <c r="C5486" s="170" t="s">
        <v>205</v>
      </c>
      <c r="D5486" s="170" t="s">
        <v>1947</v>
      </c>
      <c r="E5486" s="171" t="s">
        <v>34218</v>
      </c>
      <c r="F5486" s="171" t="s">
        <v>37382</v>
      </c>
      <c r="G5486" s="82"/>
      <c r="H5486" s="96">
        <f t="shared" si="340"/>
        <v>202.22</v>
      </c>
      <c r="I5486" s="96">
        <f t="shared" si="340"/>
        <v>213.56</v>
      </c>
      <c r="J5486" s="91" t="str">
        <f t="shared" si="341"/>
        <v>Sinapi 104114</v>
      </c>
      <c r="K5486" s="91" t="str">
        <f t="shared" si="342"/>
        <v>UN</v>
      </c>
      <c r="L5486" s="166" t="str">
        <f t="shared" si="343"/>
        <v>06/2022</v>
      </c>
      <c r="M5486" s="82"/>
      <c r="N5486" s="82"/>
    </row>
    <row r="5487" spans="1:14" x14ac:dyDescent="0.25">
      <c r="A5487" s="170" t="s">
        <v>17098</v>
      </c>
      <c r="B5487" s="170" t="s">
        <v>28919</v>
      </c>
      <c r="C5487" s="170" t="s">
        <v>205</v>
      </c>
      <c r="D5487" s="170" t="s">
        <v>1947</v>
      </c>
      <c r="E5487" s="171" t="s">
        <v>34219</v>
      </c>
      <c r="F5487" s="171" t="s">
        <v>37383</v>
      </c>
      <c r="G5487" s="82"/>
      <c r="H5487" s="96">
        <f t="shared" si="340"/>
        <v>265.72000000000003</v>
      </c>
      <c r="I5487" s="96">
        <f t="shared" si="340"/>
        <v>280.85000000000002</v>
      </c>
      <c r="J5487" s="91" t="str">
        <f t="shared" si="341"/>
        <v>Sinapi 104116</v>
      </c>
      <c r="K5487" s="91" t="str">
        <f t="shared" si="342"/>
        <v>UN</v>
      </c>
      <c r="L5487" s="166" t="str">
        <f t="shared" si="343"/>
        <v>06/2022</v>
      </c>
      <c r="M5487" s="82"/>
      <c r="N5487" s="82"/>
    </row>
    <row r="5488" spans="1:14" x14ac:dyDescent="0.25">
      <c r="A5488" s="170" t="s">
        <v>17099</v>
      </c>
      <c r="B5488" s="170" t="s">
        <v>28920</v>
      </c>
      <c r="C5488" s="170" t="s">
        <v>205</v>
      </c>
      <c r="D5488" s="170" t="s">
        <v>1947</v>
      </c>
      <c r="E5488" s="171" t="s">
        <v>34220</v>
      </c>
      <c r="F5488" s="171" t="s">
        <v>31677</v>
      </c>
      <c r="G5488" s="82"/>
      <c r="H5488" s="96">
        <f t="shared" si="340"/>
        <v>223.86</v>
      </c>
      <c r="I5488" s="96">
        <f t="shared" si="340"/>
        <v>241.64</v>
      </c>
      <c r="J5488" s="91" t="str">
        <f t="shared" si="341"/>
        <v>Sinapi 104118</v>
      </c>
      <c r="K5488" s="91" t="str">
        <f t="shared" si="342"/>
        <v>UN</v>
      </c>
      <c r="L5488" s="166" t="str">
        <f t="shared" si="343"/>
        <v>06/2022</v>
      </c>
      <c r="M5488" s="82"/>
      <c r="N5488" s="82"/>
    </row>
    <row r="5489" spans="1:14" x14ac:dyDescent="0.25">
      <c r="A5489" s="170" t="s">
        <v>17100</v>
      </c>
      <c r="B5489" s="170" t="s">
        <v>28921</v>
      </c>
      <c r="C5489" s="170" t="s">
        <v>205</v>
      </c>
      <c r="D5489" s="170" t="s">
        <v>1947</v>
      </c>
      <c r="E5489" s="171" t="s">
        <v>34221</v>
      </c>
      <c r="F5489" s="171" t="s">
        <v>37384</v>
      </c>
      <c r="G5489" s="82"/>
      <c r="H5489" s="96">
        <f t="shared" si="340"/>
        <v>346.51</v>
      </c>
      <c r="I5489" s="96">
        <f t="shared" si="340"/>
        <v>375.22</v>
      </c>
      <c r="J5489" s="91" t="str">
        <f t="shared" si="341"/>
        <v>Sinapi 104120</v>
      </c>
      <c r="K5489" s="91" t="str">
        <f t="shared" si="342"/>
        <v>UN</v>
      </c>
      <c r="L5489" s="166" t="str">
        <f t="shared" si="343"/>
        <v>06/2022</v>
      </c>
      <c r="M5489" s="82"/>
      <c r="N5489" s="82"/>
    </row>
    <row r="5490" spans="1:14" x14ac:dyDescent="0.25">
      <c r="A5490" s="170" t="s">
        <v>17101</v>
      </c>
      <c r="B5490" s="170" t="s">
        <v>28922</v>
      </c>
      <c r="C5490" s="170" t="s">
        <v>205</v>
      </c>
      <c r="D5490" s="170" t="s">
        <v>1947</v>
      </c>
      <c r="E5490" s="171" t="s">
        <v>34222</v>
      </c>
      <c r="F5490" s="171" t="s">
        <v>37385</v>
      </c>
      <c r="G5490" s="82"/>
      <c r="H5490" s="96">
        <f t="shared" si="340"/>
        <v>469.17</v>
      </c>
      <c r="I5490" s="96">
        <f t="shared" si="340"/>
        <v>508.8</v>
      </c>
      <c r="J5490" s="91" t="str">
        <f t="shared" si="341"/>
        <v>Sinapi 104122</v>
      </c>
      <c r="K5490" s="91" t="str">
        <f t="shared" si="342"/>
        <v>UN</v>
      </c>
      <c r="L5490" s="166" t="str">
        <f t="shared" si="343"/>
        <v>06/2022</v>
      </c>
      <c r="M5490" s="82"/>
      <c r="N5490" s="82"/>
    </row>
    <row r="5491" spans="1:14" x14ac:dyDescent="0.25">
      <c r="A5491" s="170" t="s">
        <v>17102</v>
      </c>
      <c r="B5491" s="170" t="s">
        <v>17103</v>
      </c>
      <c r="C5491" s="170" t="s">
        <v>205</v>
      </c>
      <c r="D5491" s="170" t="s">
        <v>2067</v>
      </c>
      <c r="E5491" s="171" t="s">
        <v>34223</v>
      </c>
      <c r="F5491" s="171" t="s">
        <v>33149</v>
      </c>
      <c r="G5491" s="82"/>
      <c r="H5491" s="96">
        <f t="shared" si="340"/>
        <v>73.849999999999994</v>
      </c>
      <c r="I5491" s="96">
        <f t="shared" si="340"/>
        <v>74.760000000000005</v>
      </c>
      <c r="J5491" s="91" t="str">
        <f t="shared" si="341"/>
        <v>Sinapi 104062</v>
      </c>
      <c r="K5491" s="91" t="str">
        <f t="shared" si="342"/>
        <v>UN</v>
      </c>
      <c r="L5491" s="166" t="str">
        <f t="shared" si="343"/>
        <v>06/2022</v>
      </c>
      <c r="M5491" s="82"/>
      <c r="N5491" s="82"/>
    </row>
    <row r="5492" spans="1:14" x14ac:dyDescent="0.25">
      <c r="A5492" s="170" t="s">
        <v>17104</v>
      </c>
      <c r="B5492" s="170" t="s">
        <v>17105</v>
      </c>
      <c r="C5492" s="170" t="s">
        <v>205</v>
      </c>
      <c r="D5492" s="170" t="s">
        <v>2067</v>
      </c>
      <c r="E5492" s="171" t="s">
        <v>34224</v>
      </c>
      <c r="F5492" s="171" t="s">
        <v>21661</v>
      </c>
      <c r="G5492" s="82"/>
      <c r="H5492" s="96">
        <f t="shared" si="340"/>
        <v>70.3</v>
      </c>
      <c r="I5492" s="96">
        <f t="shared" si="340"/>
        <v>71.209999999999994</v>
      </c>
      <c r="J5492" s="91" t="str">
        <f t="shared" si="341"/>
        <v>Sinapi 104063</v>
      </c>
      <c r="K5492" s="91" t="str">
        <f t="shared" si="342"/>
        <v>UN</v>
      </c>
      <c r="L5492" s="166" t="str">
        <f t="shared" si="343"/>
        <v>06/2022</v>
      </c>
      <c r="M5492" s="82"/>
      <c r="N5492" s="82"/>
    </row>
    <row r="5493" spans="1:14" x14ac:dyDescent="0.25">
      <c r="A5493" s="170" t="s">
        <v>17106</v>
      </c>
      <c r="B5493" s="170" t="s">
        <v>17107</v>
      </c>
      <c r="C5493" s="170" t="s">
        <v>205</v>
      </c>
      <c r="D5493" s="170" t="s">
        <v>2067</v>
      </c>
      <c r="E5493" s="171" t="s">
        <v>34225</v>
      </c>
      <c r="F5493" s="171" t="s">
        <v>37386</v>
      </c>
      <c r="G5493" s="82"/>
      <c r="H5493" s="96">
        <f t="shared" si="340"/>
        <v>181.25</v>
      </c>
      <c r="I5493" s="96">
        <f t="shared" si="340"/>
        <v>182.19</v>
      </c>
      <c r="J5493" s="91" t="str">
        <f t="shared" si="341"/>
        <v>Sinapi 104064</v>
      </c>
      <c r="K5493" s="91" t="str">
        <f t="shared" si="342"/>
        <v>UN</v>
      </c>
      <c r="L5493" s="166" t="str">
        <f t="shared" si="343"/>
        <v>06/2022</v>
      </c>
      <c r="M5493" s="82"/>
      <c r="N5493" s="82"/>
    </row>
    <row r="5494" spans="1:14" x14ac:dyDescent="0.25">
      <c r="A5494" s="170" t="s">
        <v>17108</v>
      </c>
      <c r="B5494" s="170" t="s">
        <v>17109</v>
      </c>
      <c r="C5494" s="170" t="s">
        <v>205</v>
      </c>
      <c r="D5494" s="170" t="s">
        <v>2067</v>
      </c>
      <c r="E5494" s="171" t="s">
        <v>34226</v>
      </c>
      <c r="F5494" s="171" t="s">
        <v>37387</v>
      </c>
      <c r="G5494" s="82"/>
      <c r="H5494" s="96">
        <f t="shared" si="340"/>
        <v>154.57</v>
      </c>
      <c r="I5494" s="96">
        <f t="shared" si="340"/>
        <v>155.51</v>
      </c>
      <c r="J5494" s="91" t="str">
        <f t="shared" si="341"/>
        <v>Sinapi 104065</v>
      </c>
      <c r="K5494" s="91" t="str">
        <f t="shared" si="342"/>
        <v>UN</v>
      </c>
      <c r="L5494" s="166" t="str">
        <f t="shared" si="343"/>
        <v>06/2022</v>
      </c>
      <c r="M5494" s="82"/>
      <c r="N5494" s="82"/>
    </row>
    <row r="5495" spans="1:14" x14ac:dyDescent="0.25">
      <c r="A5495" s="170" t="s">
        <v>17110</v>
      </c>
      <c r="B5495" s="170" t="s">
        <v>17111</v>
      </c>
      <c r="C5495" s="170" t="s">
        <v>205</v>
      </c>
      <c r="D5495" s="170" t="s">
        <v>2067</v>
      </c>
      <c r="E5495" s="171" t="s">
        <v>34227</v>
      </c>
      <c r="F5495" s="171" t="s">
        <v>37388</v>
      </c>
      <c r="G5495" s="82"/>
      <c r="H5495" s="96">
        <f t="shared" si="340"/>
        <v>302.63</v>
      </c>
      <c r="I5495" s="96">
        <f t="shared" si="340"/>
        <v>304.08999999999997</v>
      </c>
      <c r="J5495" s="91" t="str">
        <f t="shared" si="341"/>
        <v>Sinapi 104072</v>
      </c>
      <c r="K5495" s="91" t="str">
        <f t="shared" si="342"/>
        <v>UN</v>
      </c>
      <c r="L5495" s="166" t="str">
        <f t="shared" si="343"/>
        <v>06/2022</v>
      </c>
      <c r="M5495" s="82"/>
      <c r="N5495" s="82"/>
    </row>
    <row r="5496" spans="1:14" x14ac:dyDescent="0.25">
      <c r="A5496" s="170" t="s">
        <v>17112</v>
      </c>
      <c r="B5496" s="170" t="s">
        <v>17113</v>
      </c>
      <c r="C5496" s="170" t="s">
        <v>205</v>
      </c>
      <c r="D5496" s="170" t="s">
        <v>2067</v>
      </c>
      <c r="E5496" s="171" t="s">
        <v>29723</v>
      </c>
      <c r="F5496" s="171" t="s">
        <v>29079</v>
      </c>
      <c r="G5496" s="82"/>
      <c r="H5496" s="96">
        <f t="shared" si="340"/>
        <v>45.25</v>
      </c>
      <c r="I5496" s="96">
        <f t="shared" si="340"/>
        <v>46.67</v>
      </c>
      <c r="J5496" s="91" t="str">
        <f t="shared" si="341"/>
        <v>Sinapi 104076</v>
      </c>
      <c r="K5496" s="91" t="str">
        <f t="shared" si="342"/>
        <v>UN</v>
      </c>
      <c r="L5496" s="166" t="str">
        <f t="shared" si="343"/>
        <v>06/2022</v>
      </c>
      <c r="M5496" s="82"/>
      <c r="N5496" s="82"/>
    </row>
    <row r="5497" spans="1:14" x14ac:dyDescent="0.25">
      <c r="A5497" s="170" t="s">
        <v>17114</v>
      </c>
      <c r="B5497" s="170" t="s">
        <v>17115</v>
      </c>
      <c r="C5497" s="170" t="s">
        <v>205</v>
      </c>
      <c r="D5497" s="170" t="s">
        <v>2067</v>
      </c>
      <c r="E5497" s="171" t="s">
        <v>33249</v>
      </c>
      <c r="F5497" s="171" t="s">
        <v>19818</v>
      </c>
      <c r="G5497" s="82"/>
      <c r="H5497" s="96">
        <f t="shared" si="340"/>
        <v>31.67</v>
      </c>
      <c r="I5497" s="96">
        <f t="shared" si="340"/>
        <v>32.130000000000003</v>
      </c>
      <c r="J5497" s="91" t="str">
        <f t="shared" si="341"/>
        <v>Sinapi 104082</v>
      </c>
      <c r="K5497" s="91" t="str">
        <f t="shared" si="342"/>
        <v>UN</v>
      </c>
      <c r="L5497" s="166" t="str">
        <f t="shared" si="343"/>
        <v>06/2022</v>
      </c>
      <c r="M5497" s="82"/>
      <c r="N5497" s="82"/>
    </row>
    <row r="5498" spans="1:14" x14ac:dyDescent="0.25">
      <c r="A5498" s="170" t="s">
        <v>17116</v>
      </c>
      <c r="B5498" s="170" t="s">
        <v>17117</v>
      </c>
      <c r="C5498" s="170" t="s">
        <v>205</v>
      </c>
      <c r="D5498" s="170" t="s">
        <v>2067</v>
      </c>
      <c r="E5498" s="171" t="s">
        <v>34228</v>
      </c>
      <c r="F5498" s="171" t="s">
        <v>23242</v>
      </c>
      <c r="G5498" s="82"/>
      <c r="H5498" s="96">
        <f t="shared" si="340"/>
        <v>78.22</v>
      </c>
      <c r="I5498" s="96">
        <f t="shared" si="340"/>
        <v>78.69</v>
      </c>
      <c r="J5498" s="91" t="str">
        <f t="shared" si="341"/>
        <v>Sinapi 104083</v>
      </c>
      <c r="K5498" s="91" t="str">
        <f t="shared" si="342"/>
        <v>UN</v>
      </c>
      <c r="L5498" s="166" t="str">
        <f t="shared" si="343"/>
        <v>06/2022</v>
      </c>
      <c r="M5498" s="82"/>
      <c r="N5498" s="82"/>
    </row>
    <row r="5499" spans="1:14" x14ac:dyDescent="0.25">
      <c r="A5499" s="170" t="s">
        <v>17118</v>
      </c>
      <c r="B5499" s="170" t="s">
        <v>17119</v>
      </c>
      <c r="C5499" s="170" t="s">
        <v>205</v>
      </c>
      <c r="D5499" s="170" t="s">
        <v>2067</v>
      </c>
      <c r="E5499" s="171" t="s">
        <v>30155</v>
      </c>
      <c r="F5499" s="171" t="s">
        <v>34509</v>
      </c>
      <c r="G5499" s="82"/>
      <c r="H5499" s="96">
        <f t="shared" si="340"/>
        <v>88.28</v>
      </c>
      <c r="I5499" s="96">
        <f t="shared" si="340"/>
        <v>88.75</v>
      </c>
      <c r="J5499" s="91" t="str">
        <f t="shared" si="341"/>
        <v>Sinapi 104084</v>
      </c>
      <c r="K5499" s="91" t="str">
        <f t="shared" si="342"/>
        <v>UN</v>
      </c>
      <c r="L5499" s="166" t="str">
        <f t="shared" si="343"/>
        <v>06/2022</v>
      </c>
      <c r="M5499" s="82"/>
      <c r="N5499" s="82"/>
    </row>
    <row r="5500" spans="1:14" x14ac:dyDescent="0.25">
      <c r="A5500" s="170" t="s">
        <v>17120</v>
      </c>
      <c r="B5500" s="170" t="s">
        <v>17121</v>
      </c>
      <c r="C5500" s="170" t="s">
        <v>385</v>
      </c>
      <c r="D5500" s="170" t="s">
        <v>2067</v>
      </c>
      <c r="E5500" s="171" t="s">
        <v>30689</v>
      </c>
      <c r="F5500" s="171" t="s">
        <v>23125</v>
      </c>
      <c r="G5500" s="82"/>
      <c r="H5500" s="96">
        <f t="shared" si="340"/>
        <v>53.53</v>
      </c>
      <c r="I5500" s="96">
        <f t="shared" si="340"/>
        <v>54.76</v>
      </c>
      <c r="J5500" s="91" t="str">
        <f t="shared" si="341"/>
        <v>Sinapi 104085</v>
      </c>
      <c r="K5500" s="91" t="str">
        <f t="shared" si="342"/>
        <v>M</v>
      </c>
      <c r="L5500" s="166" t="str">
        <f t="shared" si="343"/>
        <v>06/2022</v>
      </c>
      <c r="M5500" s="82"/>
      <c r="N5500" s="82"/>
    </row>
    <row r="5501" spans="1:14" x14ac:dyDescent="0.25">
      <c r="A5501" s="170" t="s">
        <v>17122</v>
      </c>
      <c r="B5501" s="170" t="s">
        <v>17123</v>
      </c>
      <c r="C5501" s="170" t="s">
        <v>385</v>
      </c>
      <c r="D5501" s="170" t="s">
        <v>2067</v>
      </c>
      <c r="E5501" s="171" t="s">
        <v>34229</v>
      </c>
      <c r="F5501" s="171" t="s">
        <v>36687</v>
      </c>
      <c r="G5501" s="82"/>
      <c r="H5501" s="96">
        <f t="shared" si="340"/>
        <v>95.88</v>
      </c>
      <c r="I5501" s="96">
        <f t="shared" si="340"/>
        <v>97.25</v>
      </c>
      <c r="J5501" s="91" t="str">
        <f t="shared" si="341"/>
        <v>Sinapi 104086</v>
      </c>
      <c r="K5501" s="91" t="str">
        <f t="shared" si="342"/>
        <v>M</v>
      </c>
      <c r="L5501" s="166" t="str">
        <f t="shared" si="343"/>
        <v>06/2022</v>
      </c>
      <c r="M5501" s="82"/>
      <c r="N5501" s="82"/>
    </row>
    <row r="5502" spans="1:14" x14ac:dyDescent="0.25">
      <c r="A5502" s="170" t="s">
        <v>17124</v>
      </c>
      <c r="B5502" s="170" t="s">
        <v>28925</v>
      </c>
      <c r="C5502" s="170" t="s">
        <v>205</v>
      </c>
      <c r="D5502" s="170" t="s">
        <v>1947</v>
      </c>
      <c r="E5502" s="171" t="s">
        <v>34230</v>
      </c>
      <c r="F5502" s="171" t="s">
        <v>37389</v>
      </c>
      <c r="G5502" s="82"/>
      <c r="H5502" s="96">
        <f t="shared" si="340"/>
        <v>323.47000000000003</v>
      </c>
      <c r="I5502" s="96">
        <f t="shared" si="340"/>
        <v>334.46</v>
      </c>
      <c r="J5502" s="91" t="str">
        <f t="shared" si="341"/>
        <v>Sinapi 104124</v>
      </c>
      <c r="K5502" s="91" t="str">
        <f t="shared" si="342"/>
        <v>UN</v>
      </c>
      <c r="L5502" s="166" t="str">
        <f t="shared" si="343"/>
        <v>06/2022</v>
      </c>
      <c r="M5502" s="82"/>
      <c r="N5502" s="82"/>
    </row>
    <row r="5503" spans="1:14" x14ac:dyDescent="0.25">
      <c r="A5503" s="170" t="s">
        <v>17125</v>
      </c>
      <c r="B5503" s="170" t="s">
        <v>28926</v>
      </c>
      <c r="C5503" s="170" t="s">
        <v>205</v>
      </c>
      <c r="D5503" s="170" t="s">
        <v>1947</v>
      </c>
      <c r="E5503" s="171" t="s">
        <v>34231</v>
      </c>
      <c r="F5503" s="171" t="s">
        <v>37390</v>
      </c>
      <c r="G5503" s="82"/>
      <c r="H5503" s="96">
        <f t="shared" si="340"/>
        <v>490.83</v>
      </c>
      <c r="I5503" s="96">
        <f t="shared" si="340"/>
        <v>508.29</v>
      </c>
      <c r="J5503" s="91" t="str">
        <f t="shared" si="341"/>
        <v>Sinapi 104130</v>
      </c>
      <c r="K5503" s="91" t="str">
        <f t="shared" si="342"/>
        <v>UN</v>
      </c>
      <c r="L5503" s="166" t="str">
        <f t="shared" si="343"/>
        <v>06/2022</v>
      </c>
      <c r="M5503" s="82"/>
      <c r="N5503" s="82"/>
    </row>
    <row r="5504" spans="1:14" x14ac:dyDescent="0.25">
      <c r="A5504" s="170" t="s">
        <v>17126</v>
      </c>
      <c r="B5504" s="170" t="s">
        <v>28927</v>
      </c>
      <c r="C5504" s="170" t="s">
        <v>205</v>
      </c>
      <c r="D5504" s="170" t="s">
        <v>1947</v>
      </c>
      <c r="E5504" s="171" t="s">
        <v>34232</v>
      </c>
      <c r="F5504" s="171" t="s">
        <v>37391</v>
      </c>
      <c r="G5504" s="82"/>
      <c r="H5504" s="96">
        <f t="shared" si="340"/>
        <v>659.11</v>
      </c>
      <c r="I5504" s="96">
        <f t="shared" si="340"/>
        <v>683.14</v>
      </c>
      <c r="J5504" s="91" t="str">
        <f t="shared" si="341"/>
        <v>Sinapi 104136</v>
      </c>
      <c r="K5504" s="91" t="str">
        <f t="shared" si="342"/>
        <v>UN</v>
      </c>
      <c r="L5504" s="166" t="str">
        <f t="shared" si="343"/>
        <v>06/2022</v>
      </c>
      <c r="M5504" s="82"/>
      <c r="N5504" s="82"/>
    </row>
    <row r="5505" spans="1:14" x14ac:dyDescent="0.25">
      <c r="A5505" s="170" t="s">
        <v>17127</v>
      </c>
      <c r="B5505" s="170" t="s">
        <v>28928</v>
      </c>
      <c r="C5505" s="170" t="s">
        <v>205</v>
      </c>
      <c r="D5505" s="170" t="s">
        <v>1947</v>
      </c>
      <c r="E5505" s="171" t="s">
        <v>34233</v>
      </c>
      <c r="F5505" s="171" t="s">
        <v>31298</v>
      </c>
      <c r="G5505" s="82"/>
      <c r="H5505" s="96">
        <f t="shared" si="340"/>
        <v>448.04</v>
      </c>
      <c r="I5505" s="96">
        <f t="shared" si="340"/>
        <v>473.9</v>
      </c>
      <c r="J5505" s="91" t="str">
        <f t="shared" si="341"/>
        <v>Sinapi 104142</v>
      </c>
      <c r="K5505" s="91" t="str">
        <f t="shared" si="342"/>
        <v>UN</v>
      </c>
      <c r="L5505" s="166" t="str">
        <f t="shared" si="343"/>
        <v>06/2022</v>
      </c>
      <c r="M5505" s="82"/>
      <c r="N5505" s="82"/>
    </row>
    <row r="5506" spans="1:14" x14ac:dyDescent="0.25">
      <c r="A5506" s="170" t="s">
        <v>17128</v>
      </c>
      <c r="B5506" s="170" t="s">
        <v>28929</v>
      </c>
      <c r="C5506" s="170" t="s">
        <v>205</v>
      </c>
      <c r="D5506" s="170" t="s">
        <v>1947</v>
      </c>
      <c r="E5506" s="171" t="s">
        <v>34234</v>
      </c>
      <c r="F5506" s="171" t="s">
        <v>31517</v>
      </c>
      <c r="G5506" s="82"/>
      <c r="H5506" s="96">
        <f t="shared" si="340"/>
        <v>698.28</v>
      </c>
      <c r="I5506" s="96">
        <f t="shared" si="340"/>
        <v>740.56</v>
      </c>
      <c r="J5506" s="91" t="str">
        <f t="shared" si="341"/>
        <v>Sinapi 104148</v>
      </c>
      <c r="K5506" s="91" t="str">
        <f t="shared" si="342"/>
        <v>UN</v>
      </c>
      <c r="L5506" s="166" t="str">
        <f t="shared" si="343"/>
        <v>06/2022</v>
      </c>
      <c r="M5506" s="82"/>
      <c r="N5506" s="82"/>
    </row>
    <row r="5507" spans="1:14" x14ac:dyDescent="0.25">
      <c r="A5507" s="170" t="s">
        <v>17129</v>
      </c>
      <c r="B5507" s="170" t="s">
        <v>28930</v>
      </c>
      <c r="C5507" s="170" t="s">
        <v>205</v>
      </c>
      <c r="D5507" s="170" t="s">
        <v>1947</v>
      </c>
      <c r="E5507" s="171" t="s">
        <v>34235</v>
      </c>
      <c r="F5507" s="171" t="s">
        <v>37392</v>
      </c>
      <c r="G5507" s="82"/>
      <c r="H5507" s="96">
        <f t="shared" si="340"/>
        <v>950.94</v>
      </c>
      <c r="I5507" s="96">
        <f t="shared" si="340"/>
        <v>1009.91</v>
      </c>
      <c r="J5507" s="91" t="str">
        <f t="shared" si="341"/>
        <v>Sinapi 104154</v>
      </c>
      <c r="K5507" s="91" t="str">
        <f t="shared" si="342"/>
        <v>UN</v>
      </c>
      <c r="L5507" s="166" t="str">
        <f t="shared" si="343"/>
        <v>06/2022</v>
      </c>
      <c r="M5507" s="82"/>
      <c r="N5507" s="82"/>
    </row>
    <row r="5508" spans="1:14" x14ac:dyDescent="0.25">
      <c r="A5508" s="170" t="s">
        <v>8189</v>
      </c>
      <c r="B5508" s="170" t="s">
        <v>14246</v>
      </c>
      <c r="C5508" s="170" t="s">
        <v>85</v>
      </c>
      <c r="D5508" s="170" t="s">
        <v>1947</v>
      </c>
      <c r="E5508" s="171" t="s">
        <v>34236</v>
      </c>
      <c r="F5508" s="171" t="s">
        <v>27651</v>
      </c>
      <c r="G5508" s="82"/>
      <c r="H5508" s="96">
        <f t="shared" si="340"/>
        <v>94.71</v>
      </c>
      <c r="I5508" s="96">
        <f t="shared" si="340"/>
        <v>101.47</v>
      </c>
      <c r="J5508" s="91" t="str">
        <f t="shared" si="341"/>
        <v>Sinapi 96520</v>
      </c>
      <c r="K5508" s="91" t="str">
        <f t="shared" si="342"/>
        <v>M3</v>
      </c>
      <c r="L5508" s="166" t="str">
        <f t="shared" si="343"/>
        <v>06/2017</v>
      </c>
      <c r="M5508" s="82"/>
      <c r="N5508" s="82"/>
    </row>
    <row r="5509" spans="1:14" x14ac:dyDescent="0.25">
      <c r="A5509" s="170" t="s">
        <v>8190</v>
      </c>
      <c r="B5509" s="170" t="s">
        <v>14247</v>
      </c>
      <c r="C5509" s="170" t="s">
        <v>85</v>
      </c>
      <c r="D5509" s="170" t="s">
        <v>1947</v>
      </c>
      <c r="E5509" s="171" t="s">
        <v>28828</v>
      </c>
      <c r="F5509" s="171" t="s">
        <v>20092</v>
      </c>
      <c r="G5509" s="82"/>
      <c r="H5509" s="96">
        <f t="shared" si="340"/>
        <v>42.72</v>
      </c>
      <c r="I5509" s="96">
        <f t="shared" si="340"/>
        <v>44.68</v>
      </c>
      <c r="J5509" s="91" t="str">
        <f t="shared" si="341"/>
        <v>Sinapi 96521</v>
      </c>
      <c r="K5509" s="91" t="str">
        <f t="shared" si="342"/>
        <v>M3</v>
      </c>
      <c r="L5509" s="166" t="str">
        <f t="shared" si="343"/>
        <v>06/2017</v>
      </c>
      <c r="M5509" s="82"/>
      <c r="N5509" s="82"/>
    </row>
    <row r="5510" spans="1:14" x14ac:dyDescent="0.25">
      <c r="A5510" s="170" t="s">
        <v>8191</v>
      </c>
      <c r="B5510" s="170" t="s">
        <v>14248</v>
      </c>
      <c r="C5510" s="170" t="s">
        <v>85</v>
      </c>
      <c r="D5510" s="170" t="s">
        <v>2710</v>
      </c>
      <c r="E5510" s="171" t="s">
        <v>34237</v>
      </c>
      <c r="F5510" s="171" t="s">
        <v>37393</v>
      </c>
      <c r="G5510" s="82"/>
      <c r="H5510" s="96">
        <f t="shared" si="340"/>
        <v>132.94999999999999</v>
      </c>
      <c r="I5510" s="96">
        <f t="shared" si="340"/>
        <v>147.5</v>
      </c>
      <c r="J5510" s="91" t="str">
        <f t="shared" si="341"/>
        <v>Sinapi 96522</v>
      </c>
      <c r="K5510" s="91" t="str">
        <f t="shared" si="342"/>
        <v>M3</v>
      </c>
      <c r="L5510" s="166" t="str">
        <f t="shared" si="343"/>
        <v>06/2017</v>
      </c>
      <c r="M5510" s="82"/>
      <c r="N5510" s="82"/>
    </row>
    <row r="5511" spans="1:14" x14ac:dyDescent="0.25">
      <c r="A5511" s="170" t="s">
        <v>8192</v>
      </c>
      <c r="B5511" s="170" t="s">
        <v>14249</v>
      </c>
      <c r="C5511" s="170" t="s">
        <v>85</v>
      </c>
      <c r="D5511" s="170" t="s">
        <v>2710</v>
      </c>
      <c r="E5511" s="171" t="s">
        <v>34238</v>
      </c>
      <c r="F5511" s="171" t="s">
        <v>28540</v>
      </c>
      <c r="G5511" s="82"/>
      <c r="H5511" s="96">
        <f t="shared" si="340"/>
        <v>84.59</v>
      </c>
      <c r="I5511" s="96">
        <f t="shared" si="340"/>
        <v>93.77</v>
      </c>
      <c r="J5511" s="91" t="str">
        <f t="shared" si="341"/>
        <v>Sinapi 96523</v>
      </c>
      <c r="K5511" s="91" t="str">
        <f t="shared" si="342"/>
        <v>M3</v>
      </c>
      <c r="L5511" s="166" t="str">
        <f t="shared" si="343"/>
        <v>06/2017</v>
      </c>
      <c r="M5511" s="82"/>
      <c r="N5511" s="82"/>
    </row>
    <row r="5512" spans="1:14" x14ac:dyDescent="0.25">
      <c r="A5512" s="170" t="s">
        <v>8193</v>
      </c>
      <c r="B5512" s="170" t="s">
        <v>14250</v>
      </c>
      <c r="C5512" s="170" t="s">
        <v>85</v>
      </c>
      <c r="D5512" s="170" t="s">
        <v>1947</v>
      </c>
      <c r="E5512" s="171" t="s">
        <v>23057</v>
      </c>
      <c r="F5512" s="171" t="s">
        <v>36973</v>
      </c>
      <c r="G5512" s="82"/>
      <c r="H5512" s="96">
        <f t="shared" ref="H5512:I5575" si="344">IF(E5512="","",E5512+0)</f>
        <v>175.31</v>
      </c>
      <c r="I5512" s="96">
        <f t="shared" si="344"/>
        <v>190.8</v>
      </c>
      <c r="J5512" s="91" t="str">
        <f t="shared" ref="J5512:J5575" si="345">IF(OR(H5512="",I5512=""),"",TRIM(CONCATENATE("Sinapi ",A5512)))</f>
        <v>Sinapi 96524</v>
      </c>
      <c r="K5512" s="91" t="str">
        <f t="shared" ref="K5512:K5575" si="346">TRIM(C5512)</f>
        <v>M3</v>
      </c>
      <c r="L5512" s="166" t="str">
        <f t="shared" ref="L5512:L5575" si="347">IF(OR(RIGHT(IF(AND(K5512&lt;&gt;"H",K5512&lt;&gt;"MES"),RIGHT(B5512,7),""),2)="PS",RIGHT(IF(AND(K5512&lt;&gt;"H",K5512&lt;&gt;"MES"),RIGHT(B5512,7),""),2)="PA",RIGHT(IF(AND(K5512&lt;&gt;"H",K5512&lt;&gt;"MES"),RIGHT(B5512,7),""),2)="PE"),LEFT(IF(AND(K5512&lt;&gt;"H",K5512&lt;&gt;"MES"),RIGHT(B5512,10),""),7),IF(AND(K5512&lt;&gt;"H",K5512&lt;&gt;"MES"),RIGHT(B5512,7),""))</f>
        <v>06/2017</v>
      </c>
      <c r="M5512" s="82"/>
      <c r="N5512" s="82"/>
    </row>
    <row r="5513" spans="1:14" x14ac:dyDescent="0.25">
      <c r="A5513" s="170" t="s">
        <v>8194</v>
      </c>
      <c r="B5513" s="170" t="s">
        <v>14251</v>
      </c>
      <c r="C5513" s="170" t="s">
        <v>85</v>
      </c>
      <c r="D5513" s="170" t="s">
        <v>1947</v>
      </c>
      <c r="E5513" s="171" t="s">
        <v>30111</v>
      </c>
      <c r="F5513" s="171" t="s">
        <v>23234</v>
      </c>
      <c r="G5513" s="82"/>
      <c r="H5513" s="96">
        <f t="shared" si="344"/>
        <v>46.42</v>
      </c>
      <c r="I5513" s="96">
        <f t="shared" si="344"/>
        <v>48.35</v>
      </c>
      <c r="J5513" s="91" t="str">
        <f t="shared" si="345"/>
        <v>Sinapi 96525</v>
      </c>
      <c r="K5513" s="91" t="str">
        <f t="shared" si="346"/>
        <v>M3</v>
      </c>
      <c r="L5513" s="166" t="str">
        <f t="shared" si="347"/>
        <v>06/2017</v>
      </c>
      <c r="M5513" s="82"/>
      <c r="N5513" s="82"/>
    </row>
    <row r="5514" spans="1:14" x14ac:dyDescent="0.25">
      <c r="A5514" s="170" t="s">
        <v>8195</v>
      </c>
      <c r="B5514" s="170" t="s">
        <v>14252</v>
      </c>
      <c r="C5514" s="170" t="s">
        <v>85</v>
      </c>
      <c r="D5514" s="170" t="s">
        <v>2710</v>
      </c>
      <c r="E5514" s="171" t="s">
        <v>34239</v>
      </c>
      <c r="F5514" s="171" t="s">
        <v>37394</v>
      </c>
      <c r="G5514" s="82"/>
      <c r="H5514" s="96">
        <f t="shared" si="344"/>
        <v>268.72000000000003</v>
      </c>
      <c r="I5514" s="96">
        <f t="shared" si="344"/>
        <v>298.26</v>
      </c>
      <c r="J5514" s="91" t="str">
        <f t="shared" si="345"/>
        <v>Sinapi 96526</v>
      </c>
      <c r="K5514" s="91" t="str">
        <f t="shared" si="346"/>
        <v>M3</v>
      </c>
      <c r="L5514" s="166" t="str">
        <f t="shared" si="347"/>
        <v>06/2017</v>
      </c>
      <c r="M5514" s="82"/>
      <c r="N5514" s="82"/>
    </row>
    <row r="5515" spans="1:14" x14ac:dyDescent="0.25">
      <c r="A5515" s="170" t="s">
        <v>8196</v>
      </c>
      <c r="B5515" s="170" t="s">
        <v>14253</v>
      </c>
      <c r="C5515" s="170" t="s">
        <v>85</v>
      </c>
      <c r="D5515" s="170" t="s">
        <v>2710</v>
      </c>
      <c r="E5515" s="171" t="s">
        <v>34240</v>
      </c>
      <c r="F5515" s="171" t="s">
        <v>37395</v>
      </c>
      <c r="G5515" s="82"/>
      <c r="H5515" s="96">
        <f t="shared" si="344"/>
        <v>110.98</v>
      </c>
      <c r="I5515" s="96">
        <f t="shared" si="344"/>
        <v>122.97</v>
      </c>
      <c r="J5515" s="91" t="str">
        <f t="shared" si="345"/>
        <v>Sinapi 96527</v>
      </c>
      <c r="K5515" s="91" t="str">
        <f t="shared" si="346"/>
        <v>M3</v>
      </c>
      <c r="L5515" s="166" t="str">
        <f t="shared" si="347"/>
        <v>06/2017</v>
      </c>
      <c r="M5515" s="82"/>
      <c r="N5515" s="82"/>
    </row>
    <row r="5516" spans="1:14" x14ac:dyDescent="0.25">
      <c r="A5516" s="170" t="s">
        <v>8197</v>
      </c>
      <c r="B5516" s="170" t="s">
        <v>8198</v>
      </c>
      <c r="C5516" s="170" t="s">
        <v>870</v>
      </c>
      <c r="D5516" s="170" t="s">
        <v>2067</v>
      </c>
      <c r="E5516" s="171" t="s">
        <v>34241</v>
      </c>
      <c r="F5516" s="171" t="s">
        <v>37396</v>
      </c>
      <c r="G5516" s="82"/>
      <c r="H5516" s="96">
        <f t="shared" si="344"/>
        <v>175.91</v>
      </c>
      <c r="I5516" s="96">
        <f t="shared" si="344"/>
        <v>183.17</v>
      </c>
      <c r="J5516" s="91" t="str">
        <f t="shared" si="345"/>
        <v>Sinapi 96528</v>
      </c>
      <c r="K5516" s="91" t="str">
        <f t="shared" si="346"/>
        <v>M2</v>
      </c>
      <c r="L5516" s="166" t="str">
        <f t="shared" si="347"/>
        <v>06/2017</v>
      </c>
      <c r="M5516" s="82"/>
      <c r="N5516" s="82"/>
    </row>
    <row r="5517" spans="1:14" x14ac:dyDescent="0.25">
      <c r="A5517" s="170" t="s">
        <v>10530</v>
      </c>
      <c r="B5517" s="170" t="s">
        <v>11141</v>
      </c>
      <c r="C5517" s="170" t="s">
        <v>85</v>
      </c>
      <c r="D5517" s="170" t="s">
        <v>1947</v>
      </c>
      <c r="E5517" s="171" t="s">
        <v>21559</v>
      </c>
      <c r="F5517" s="171" t="s">
        <v>22757</v>
      </c>
      <c r="G5517" s="82"/>
      <c r="H5517" s="96">
        <f t="shared" si="344"/>
        <v>3.97</v>
      </c>
      <c r="I5517" s="96">
        <f t="shared" si="344"/>
        <v>4.1100000000000003</v>
      </c>
      <c r="J5517" s="91" t="str">
        <f t="shared" si="345"/>
        <v>Sinapi 101114</v>
      </c>
      <c r="K5517" s="91" t="str">
        <f t="shared" si="346"/>
        <v>M3</v>
      </c>
      <c r="L5517" s="166" t="str">
        <f t="shared" si="347"/>
        <v>07/2020</v>
      </c>
      <c r="M5517" s="82"/>
      <c r="N5517" s="82"/>
    </row>
    <row r="5518" spans="1:14" x14ac:dyDescent="0.25">
      <c r="A5518" s="170" t="s">
        <v>10531</v>
      </c>
      <c r="B5518" s="170" t="s">
        <v>11142</v>
      </c>
      <c r="C5518" s="170" t="s">
        <v>85</v>
      </c>
      <c r="D5518" s="170" t="s">
        <v>1947</v>
      </c>
      <c r="E5518" s="171" t="s">
        <v>17947</v>
      </c>
      <c r="F5518" s="171" t="s">
        <v>28158</v>
      </c>
      <c r="G5518" s="82"/>
      <c r="H5518" s="96">
        <f t="shared" si="344"/>
        <v>3.38</v>
      </c>
      <c r="I5518" s="96">
        <f t="shared" si="344"/>
        <v>3.5</v>
      </c>
      <c r="J5518" s="91" t="str">
        <f t="shared" si="345"/>
        <v>Sinapi 101115</v>
      </c>
      <c r="K5518" s="91" t="str">
        <f t="shared" si="346"/>
        <v>M3</v>
      </c>
      <c r="L5518" s="166" t="str">
        <f t="shared" si="347"/>
        <v>07/2020</v>
      </c>
      <c r="M5518" s="82"/>
      <c r="N5518" s="82"/>
    </row>
    <row r="5519" spans="1:14" x14ac:dyDescent="0.25">
      <c r="A5519" s="170" t="s">
        <v>10532</v>
      </c>
      <c r="B5519" s="170" t="s">
        <v>11143</v>
      </c>
      <c r="C5519" s="170" t="s">
        <v>85</v>
      </c>
      <c r="D5519" s="170" t="s">
        <v>1947</v>
      </c>
      <c r="E5519" s="171" t="s">
        <v>13577</v>
      </c>
      <c r="F5519" s="171" t="s">
        <v>10238</v>
      </c>
      <c r="G5519" s="82"/>
      <c r="H5519" s="96">
        <f t="shared" si="344"/>
        <v>2.12</v>
      </c>
      <c r="I5519" s="96">
        <f t="shared" si="344"/>
        <v>2.1800000000000002</v>
      </c>
      <c r="J5519" s="91" t="str">
        <f t="shared" si="345"/>
        <v>Sinapi 101116</v>
      </c>
      <c r="K5519" s="91" t="str">
        <f t="shared" si="346"/>
        <v>M3</v>
      </c>
      <c r="L5519" s="166" t="str">
        <f t="shared" si="347"/>
        <v>07/2020</v>
      </c>
      <c r="M5519" s="82"/>
      <c r="N5519" s="82"/>
    </row>
    <row r="5520" spans="1:14" x14ac:dyDescent="0.25">
      <c r="A5520" s="170" t="s">
        <v>10533</v>
      </c>
      <c r="B5520" s="170" t="s">
        <v>11144</v>
      </c>
      <c r="C5520" s="170" t="s">
        <v>85</v>
      </c>
      <c r="D5520" s="170" t="s">
        <v>1947</v>
      </c>
      <c r="E5520" s="171" t="s">
        <v>13393</v>
      </c>
      <c r="F5520" s="171" t="s">
        <v>20104</v>
      </c>
      <c r="G5520" s="82"/>
      <c r="H5520" s="96">
        <f t="shared" si="344"/>
        <v>3.07</v>
      </c>
      <c r="I5520" s="96">
        <f t="shared" si="344"/>
        <v>3.11</v>
      </c>
      <c r="J5520" s="91" t="str">
        <f t="shared" si="345"/>
        <v>Sinapi 101117</v>
      </c>
      <c r="K5520" s="91" t="str">
        <f t="shared" si="346"/>
        <v>M3</v>
      </c>
      <c r="L5520" s="166" t="str">
        <f t="shared" si="347"/>
        <v>07/2020</v>
      </c>
      <c r="M5520" s="82"/>
      <c r="N5520" s="82"/>
    </row>
    <row r="5521" spans="1:14" x14ac:dyDescent="0.25">
      <c r="A5521" s="170" t="s">
        <v>10534</v>
      </c>
      <c r="B5521" s="170" t="s">
        <v>11145</v>
      </c>
      <c r="C5521" s="170" t="s">
        <v>85</v>
      </c>
      <c r="D5521" s="170" t="s">
        <v>1947</v>
      </c>
      <c r="E5521" s="171" t="s">
        <v>13747</v>
      </c>
      <c r="F5521" s="171" t="s">
        <v>24900</v>
      </c>
      <c r="G5521" s="82"/>
      <c r="H5521" s="96">
        <f t="shared" si="344"/>
        <v>3.44</v>
      </c>
      <c r="I5521" s="96">
        <f t="shared" si="344"/>
        <v>3.56</v>
      </c>
      <c r="J5521" s="91" t="str">
        <f t="shared" si="345"/>
        <v>Sinapi 101118</v>
      </c>
      <c r="K5521" s="91" t="str">
        <f t="shared" si="346"/>
        <v>M3</v>
      </c>
      <c r="L5521" s="166" t="str">
        <f t="shared" si="347"/>
        <v>07/2020</v>
      </c>
      <c r="M5521" s="82"/>
      <c r="N5521" s="82"/>
    </row>
    <row r="5522" spans="1:14" x14ac:dyDescent="0.25">
      <c r="A5522" s="170" t="s">
        <v>10535</v>
      </c>
      <c r="B5522" s="170" t="s">
        <v>11146</v>
      </c>
      <c r="C5522" s="170" t="s">
        <v>85</v>
      </c>
      <c r="D5522" s="170" t="s">
        <v>1947</v>
      </c>
      <c r="E5522" s="171" t="s">
        <v>22739</v>
      </c>
      <c r="F5522" s="171" t="s">
        <v>30194</v>
      </c>
      <c r="G5522" s="82"/>
      <c r="H5522" s="96">
        <f t="shared" si="344"/>
        <v>7.58</v>
      </c>
      <c r="I5522" s="96">
        <f t="shared" si="344"/>
        <v>7.85</v>
      </c>
      <c r="J5522" s="91" t="str">
        <f t="shared" si="345"/>
        <v>Sinapi 101119</v>
      </c>
      <c r="K5522" s="91" t="str">
        <f t="shared" si="346"/>
        <v>M3</v>
      </c>
      <c r="L5522" s="166" t="str">
        <f t="shared" si="347"/>
        <v>07/2020</v>
      </c>
      <c r="M5522" s="82"/>
      <c r="N5522" s="82"/>
    </row>
    <row r="5523" spans="1:14" x14ac:dyDescent="0.25">
      <c r="A5523" s="170" t="s">
        <v>10536</v>
      </c>
      <c r="B5523" s="170" t="s">
        <v>11147</v>
      </c>
      <c r="C5523" s="170" t="s">
        <v>85</v>
      </c>
      <c r="D5523" s="170" t="s">
        <v>1947</v>
      </c>
      <c r="E5523" s="171" t="s">
        <v>20008</v>
      </c>
      <c r="F5523" s="171" t="s">
        <v>3792</v>
      </c>
      <c r="G5523" s="82"/>
      <c r="H5523" s="96">
        <f t="shared" si="344"/>
        <v>6.5</v>
      </c>
      <c r="I5523" s="96">
        <f t="shared" si="344"/>
        <v>6.69</v>
      </c>
      <c r="J5523" s="91" t="str">
        <f t="shared" si="345"/>
        <v>Sinapi 101120</v>
      </c>
      <c r="K5523" s="91" t="str">
        <f t="shared" si="346"/>
        <v>M3</v>
      </c>
      <c r="L5523" s="166" t="str">
        <f t="shared" si="347"/>
        <v>07/2020</v>
      </c>
      <c r="M5523" s="82"/>
      <c r="N5523" s="82"/>
    </row>
    <row r="5524" spans="1:14" x14ac:dyDescent="0.25">
      <c r="A5524" s="170" t="s">
        <v>10537</v>
      </c>
      <c r="B5524" s="170" t="s">
        <v>11148</v>
      </c>
      <c r="C5524" s="170" t="s">
        <v>85</v>
      </c>
      <c r="D5524" s="170" t="s">
        <v>1947</v>
      </c>
      <c r="E5524" s="171" t="s">
        <v>15513</v>
      </c>
      <c r="F5524" s="171" t="s">
        <v>20032</v>
      </c>
      <c r="G5524" s="82"/>
      <c r="H5524" s="96">
        <f t="shared" si="344"/>
        <v>4.08</v>
      </c>
      <c r="I5524" s="96">
        <f t="shared" si="344"/>
        <v>4.2</v>
      </c>
      <c r="J5524" s="91" t="str">
        <f t="shared" si="345"/>
        <v>Sinapi 101121</v>
      </c>
      <c r="K5524" s="91" t="str">
        <f t="shared" si="346"/>
        <v>M3</v>
      </c>
      <c r="L5524" s="166" t="str">
        <f t="shared" si="347"/>
        <v>07/2020</v>
      </c>
      <c r="M5524" s="82"/>
      <c r="N5524" s="82"/>
    </row>
    <row r="5525" spans="1:14" x14ac:dyDescent="0.25">
      <c r="A5525" s="170" t="s">
        <v>10538</v>
      </c>
      <c r="B5525" s="170" t="s">
        <v>11149</v>
      </c>
      <c r="C5525" s="170" t="s">
        <v>85</v>
      </c>
      <c r="D5525" s="170" t="s">
        <v>1947</v>
      </c>
      <c r="E5525" s="171" t="s">
        <v>20019</v>
      </c>
      <c r="F5525" s="171" t="s">
        <v>2098</v>
      </c>
      <c r="G5525" s="82"/>
      <c r="H5525" s="96">
        <f t="shared" si="344"/>
        <v>5.86</v>
      </c>
      <c r="I5525" s="96">
        <f t="shared" si="344"/>
        <v>5.94</v>
      </c>
      <c r="J5525" s="91" t="str">
        <f t="shared" si="345"/>
        <v>Sinapi 101122</v>
      </c>
      <c r="K5525" s="91" t="str">
        <f t="shared" si="346"/>
        <v>M3</v>
      </c>
      <c r="L5525" s="166" t="str">
        <f t="shared" si="347"/>
        <v>07/2020</v>
      </c>
      <c r="M5525" s="82"/>
      <c r="N5525" s="82"/>
    </row>
    <row r="5526" spans="1:14" x14ac:dyDescent="0.25">
      <c r="A5526" s="170" t="s">
        <v>10539</v>
      </c>
      <c r="B5526" s="170" t="s">
        <v>11150</v>
      </c>
      <c r="C5526" s="170" t="s">
        <v>85</v>
      </c>
      <c r="D5526" s="170" t="s">
        <v>1947</v>
      </c>
      <c r="E5526" s="171" t="s">
        <v>4246</v>
      </c>
      <c r="F5526" s="171" t="s">
        <v>15562</v>
      </c>
      <c r="G5526" s="82"/>
      <c r="H5526" s="96">
        <f t="shared" si="344"/>
        <v>6.58</v>
      </c>
      <c r="I5526" s="96">
        <f t="shared" si="344"/>
        <v>6.8</v>
      </c>
      <c r="J5526" s="91" t="str">
        <f t="shared" si="345"/>
        <v>Sinapi 101123</v>
      </c>
      <c r="K5526" s="91" t="str">
        <f t="shared" si="346"/>
        <v>M3</v>
      </c>
      <c r="L5526" s="166" t="str">
        <f t="shared" si="347"/>
        <v>07/2020</v>
      </c>
      <c r="M5526" s="82"/>
      <c r="N5526" s="82"/>
    </row>
    <row r="5527" spans="1:14" x14ac:dyDescent="0.25">
      <c r="A5527" s="170" t="s">
        <v>10540</v>
      </c>
      <c r="B5527" s="170" t="s">
        <v>11151</v>
      </c>
      <c r="C5527" s="170" t="s">
        <v>85</v>
      </c>
      <c r="D5527" s="170" t="s">
        <v>1947</v>
      </c>
      <c r="E5527" s="171" t="s">
        <v>19896</v>
      </c>
      <c r="F5527" s="171" t="s">
        <v>14899</v>
      </c>
      <c r="G5527" s="82"/>
      <c r="H5527" s="96">
        <f t="shared" si="344"/>
        <v>14.89</v>
      </c>
      <c r="I5527" s="96">
        <f t="shared" si="344"/>
        <v>15.22</v>
      </c>
      <c r="J5527" s="91" t="str">
        <f t="shared" si="345"/>
        <v>Sinapi 101124</v>
      </c>
      <c r="K5527" s="91" t="str">
        <f t="shared" si="346"/>
        <v>M3</v>
      </c>
      <c r="L5527" s="166" t="str">
        <f t="shared" si="347"/>
        <v>07/2020</v>
      </c>
      <c r="M5527" s="82"/>
      <c r="N5527" s="82"/>
    </row>
    <row r="5528" spans="1:14" x14ac:dyDescent="0.25">
      <c r="A5528" s="170" t="s">
        <v>10541</v>
      </c>
      <c r="B5528" s="170" t="s">
        <v>11152</v>
      </c>
      <c r="C5528" s="170" t="s">
        <v>85</v>
      </c>
      <c r="D5528" s="170" t="s">
        <v>1947</v>
      </c>
      <c r="E5528" s="171" t="s">
        <v>6070</v>
      </c>
      <c r="F5528" s="171" t="s">
        <v>30894</v>
      </c>
      <c r="G5528" s="82"/>
      <c r="H5528" s="96">
        <f t="shared" si="344"/>
        <v>14.3</v>
      </c>
      <c r="I5528" s="96">
        <f t="shared" si="344"/>
        <v>14.61</v>
      </c>
      <c r="J5528" s="91" t="str">
        <f t="shared" si="345"/>
        <v>Sinapi 101125</v>
      </c>
      <c r="K5528" s="91" t="str">
        <f t="shared" si="346"/>
        <v>M3</v>
      </c>
      <c r="L5528" s="166" t="str">
        <f t="shared" si="347"/>
        <v>07/2020</v>
      </c>
      <c r="M5528" s="82"/>
      <c r="N5528" s="82"/>
    </row>
    <row r="5529" spans="1:14" x14ac:dyDescent="0.25">
      <c r="A5529" s="170" t="s">
        <v>10542</v>
      </c>
      <c r="B5529" s="170" t="s">
        <v>11153</v>
      </c>
      <c r="C5529" s="170" t="s">
        <v>85</v>
      </c>
      <c r="D5529" s="170" t="s">
        <v>1947</v>
      </c>
      <c r="E5529" s="171" t="s">
        <v>13652</v>
      </c>
      <c r="F5529" s="171" t="s">
        <v>25202</v>
      </c>
      <c r="G5529" s="82"/>
      <c r="H5529" s="96">
        <f t="shared" si="344"/>
        <v>13.04</v>
      </c>
      <c r="I5529" s="96">
        <f t="shared" si="344"/>
        <v>13.29</v>
      </c>
      <c r="J5529" s="91" t="str">
        <f t="shared" si="345"/>
        <v>Sinapi 101126</v>
      </c>
      <c r="K5529" s="91" t="str">
        <f t="shared" si="346"/>
        <v>M3</v>
      </c>
      <c r="L5529" s="166" t="str">
        <f t="shared" si="347"/>
        <v>07/2020</v>
      </c>
      <c r="M5529" s="82"/>
      <c r="N5529" s="82"/>
    </row>
    <row r="5530" spans="1:14" x14ac:dyDescent="0.25">
      <c r="A5530" s="170" t="s">
        <v>10543</v>
      </c>
      <c r="B5530" s="170" t="s">
        <v>11154</v>
      </c>
      <c r="C5530" s="170" t="s">
        <v>85</v>
      </c>
      <c r="D5530" s="170" t="s">
        <v>1947</v>
      </c>
      <c r="E5530" s="171" t="s">
        <v>11606</v>
      </c>
      <c r="F5530" s="171" t="s">
        <v>16354</v>
      </c>
      <c r="G5530" s="82"/>
      <c r="H5530" s="96">
        <f t="shared" si="344"/>
        <v>13.99</v>
      </c>
      <c r="I5530" s="96">
        <f t="shared" si="344"/>
        <v>14.22</v>
      </c>
      <c r="J5530" s="91" t="str">
        <f t="shared" si="345"/>
        <v>Sinapi 101127</v>
      </c>
      <c r="K5530" s="91" t="str">
        <f t="shared" si="346"/>
        <v>M3</v>
      </c>
      <c r="L5530" s="166" t="str">
        <f t="shared" si="347"/>
        <v>07/2020</v>
      </c>
      <c r="M5530" s="82"/>
      <c r="N5530" s="82"/>
    </row>
    <row r="5531" spans="1:14" x14ac:dyDescent="0.25">
      <c r="A5531" s="170" t="s">
        <v>10544</v>
      </c>
      <c r="B5531" s="170" t="s">
        <v>11155</v>
      </c>
      <c r="C5531" s="170" t="s">
        <v>85</v>
      </c>
      <c r="D5531" s="170" t="s">
        <v>1947</v>
      </c>
      <c r="E5531" s="171" t="s">
        <v>19367</v>
      </c>
      <c r="F5531" s="171" t="s">
        <v>20359</v>
      </c>
      <c r="G5531" s="82"/>
      <c r="H5531" s="96">
        <f t="shared" si="344"/>
        <v>14.36</v>
      </c>
      <c r="I5531" s="96">
        <f t="shared" si="344"/>
        <v>14.67</v>
      </c>
      <c r="J5531" s="91" t="str">
        <f t="shared" si="345"/>
        <v>Sinapi 101128</v>
      </c>
      <c r="K5531" s="91" t="str">
        <f t="shared" si="346"/>
        <v>M3</v>
      </c>
      <c r="L5531" s="166" t="str">
        <f t="shared" si="347"/>
        <v>07/2020</v>
      </c>
      <c r="M5531" s="82"/>
      <c r="N5531" s="82"/>
    </row>
    <row r="5532" spans="1:14" x14ac:dyDescent="0.25">
      <c r="A5532" s="170" t="s">
        <v>10545</v>
      </c>
      <c r="B5532" s="170" t="s">
        <v>11156</v>
      </c>
      <c r="C5532" s="170" t="s">
        <v>85</v>
      </c>
      <c r="D5532" s="170" t="s">
        <v>1947</v>
      </c>
      <c r="E5532" s="171" t="s">
        <v>21471</v>
      </c>
      <c r="F5532" s="171" t="s">
        <v>17143</v>
      </c>
      <c r="G5532" s="82"/>
      <c r="H5532" s="96">
        <f t="shared" si="344"/>
        <v>18.940000000000001</v>
      </c>
      <c r="I5532" s="96">
        <f t="shared" si="344"/>
        <v>19.399999999999999</v>
      </c>
      <c r="J5532" s="91" t="str">
        <f t="shared" si="345"/>
        <v>Sinapi 101129</v>
      </c>
      <c r="K5532" s="91" t="str">
        <f t="shared" si="346"/>
        <v>M3</v>
      </c>
      <c r="L5532" s="166" t="str">
        <f t="shared" si="347"/>
        <v>07/2020</v>
      </c>
      <c r="M5532" s="82"/>
      <c r="N5532" s="82"/>
    </row>
    <row r="5533" spans="1:14" x14ac:dyDescent="0.25">
      <c r="A5533" s="170" t="s">
        <v>10546</v>
      </c>
      <c r="B5533" s="170" t="s">
        <v>11157</v>
      </c>
      <c r="C5533" s="170" t="s">
        <v>85</v>
      </c>
      <c r="D5533" s="170" t="s">
        <v>1947</v>
      </c>
      <c r="E5533" s="171" t="s">
        <v>21097</v>
      </c>
      <c r="F5533" s="171" t="s">
        <v>20021</v>
      </c>
      <c r="G5533" s="82"/>
      <c r="H5533" s="96">
        <f t="shared" si="344"/>
        <v>17.86</v>
      </c>
      <c r="I5533" s="96">
        <f t="shared" si="344"/>
        <v>18.239999999999998</v>
      </c>
      <c r="J5533" s="91" t="str">
        <f t="shared" si="345"/>
        <v>Sinapi 101130</v>
      </c>
      <c r="K5533" s="91" t="str">
        <f t="shared" si="346"/>
        <v>M3</v>
      </c>
      <c r="L5533" s="166" t="str">
        <f t="shared" si="347"/>
        <v>07/2020</v>
      </c>
      <c r="M5533" s="82"/>
      <c r="N5533" s="82"/>
    </row>
    <row r="5534" spans="1:14" x14ac:dyDescent="0.25">
      <c r="A5534" s="170" t="s">
        <v>10547</v>
      </c>
      <c r="B5534" s="170" t="s">
        <v>11158</v>
      </c>
      <c r="C5534" s="170" t="s">
        <v>85</v>
      </c>
      <c r="D5534" s="170" t="s">
        <v>1947</v>
      </c>
      <c r="E5534" s="171" t="s">
        <v>12302</v>
      </c>
      <c r="F5534" s="171" t="s">
        <v>5638</v>
      </c>
      <c r="G5534" s="82"/>
      <c r="H5534" s="96">
        <f t="shared" si="344"/>
        <v>15.44</v>
      </c>
      <c r="I5534" s="96">
        <f t="shared" si="344"/>
        <v>15.75</v>
      </c>
      <c r="J5534" s="91" t="str">
        <f t="shared" si="345"/>
        <v>Sinapi 101131</v>
      </c>
      <c r="K5534" s="91" t="str">
        <f t="shared" si="346"/>
        <v>M3</v>
      </c>
      <c r="L5534" s="166" t="str">
        <f t="shared" si="347"/>
        <v>07/2020</v>
      </c>
      <c r="M5534" s="82"/>
      <c r="N5534" s="82"/>
    </row>
    <row r="5535" spans="1:14" x14ac:dyDescent="0.25">
      <c r="A5535" s="170" t="s">
        <v>10548</v>
      </c>
      <c r="B5535" s="170" t="s">
        <v>11159</v>
      </c>
      <c r="C5535" s="170" t="s">
        <v>85</v>
      </c>
      <c r="D5535" s="170" t="s">
        <v>1947</v>
      </c>
      <c r="E5535" s="171" t="s">
        <v>19380</v>
      </c>
      <c r="F5535" s="171" t="s">
        <v>4685</v>
      </c>
      <c r="G5535" s="82"/>
      <c r="H5535" s="96">
        <f t="shared" si="344"/>
        <v>17.22</v>
      </c>
      <c r="I5535" s="96">
        <f t="shared" si="344"/>
        <v>17.489999999999998</v>
      </c>
      <c r="J5535" s="91" t="str">
        <f t="shared" si="345"/>
        <v>Sinapi 101132</v>
      </c>
      <c r="K5535" s="91" t="str">
        <f t="shared" si="346"/>
        <v>M3</v>
      </c>
      <c r="L5535" s="166" t="str">
        <f t="shared" si="347"/>
        <v>07/2020</v>
      </c>
      <c r="M5535" s="82"/>
      <c r="N5535" s="82"/>
    </row>
    <row r="5536" spans="1:14" x14ac:dyDescent="0.25">
      <c r="A5536" s="170" t="s">
        <v>10549</v>
      </c>
      <c r="B5536" s="170" t="s">
        <v>11160</v>
      </c>
      <c r="C5536" s="170" t="s">
        <v>85</v>
      </c>
      <c r="D5536" s="170" t="s">
        <v>1947</v>
      </c>
      <c r="E5536" s="171" t="s">
        <v>23253</v>
      </c>
      <c r="F5536" s="171" t="s">
        <v>16491</v>
      </c>
      <c r="G5536" s="82"/>
      <c r="H5536" s="96">
        <f t="shared" si="344"/>
        <v>17.940000000000001</v>
      </c>
      <c r="I5536" s="96">
        <f t="shared" si="344"/>
        <v>18.350000000000001</v>
      </c>
      <c r="J5536" s="91" t="str">
        <f t="shared" si="345"/>
        <v>Sinapi 101133</v>
      </c>
      <c r="K5536" s="91" t="str">
        <f t="shared" si="346"/>
        <v>M3</v>
      </c>
      <c r="L5536" s="166" t="str">
        <f t="shared" si="347"/>
        <v>07/2020</v>
      </c>
      <c r="M5536" s="82"/>
      <c r="N5536" s="82"/>
    </row>
    <row r="5537" spans="1:14" x14ac:dyDescent="0.25">
      <c r="A5537" s="170" t="s">
        <v>10550</v>
      </c>
      <c r="B5537" s="170" t="s">
        <v>11161</v>
      </c>
      <c r="C5537" s="170" t="s">
        <v>85</v>
      </c>
      <c r="D5537" s="170" t="s">
        <v>1947</v>
      </c>
      <c r="E5537" s="171" t="s">
        <v>18629</v>
      </c>
      <c r="F5537" s="171" t="s">
        <v>19344</v>
      </c>
      <c r="G5537" s="82"/>
      <c r="H5537" s="96">
        <f t="shared" si="344"/>
        <v>15.58</v>
      </c>
      <c r="I5537" s="96">
        <f t="shared" si="344"/>
        <v>15.92</v>
      </c>
      <c r="J5537" s="91" t="str">
        <f t="shared" si="345"/>
        <v>Sinapi 101134</v>
      </c>
      <c r="K5537" s="91" t="str">
        <f t="shared" si="346"/>
        <v>M3</v>
      </c>
      <c r="L5537" s="166" t="str">
        <f t="shared" si="347"/>
        <v>07/2020</v>
      </c>
      <c r="M5537" s="82"/>
      <c r="N5537" s="82"/>
    </row>
    <row r="5538" spans="1:14" x14ac:dyDescent="0.25">
      <c r="A5538" s="170" t="s">
        <v>10551</v>
      </c>
      <c r="B5538" s="170" t="s">
        <v>11162</v>
      </c>
      <c r="C5538" s="170" t="s">
        <v>85</v>
      </c>
      <c r="D5538" s="170" t="s">
        <v>1947</v>
      </c>
      <c r="E5538" s="171" t="s">
        <v>18595</v>
      </c>
      <c r="F5538" s="171" t="s">
        <v>19300</v>
      </c>
      <c r="G5538" s="82"/>
      <c r="H5538" s="96">
        <f t="shared" si="344"/>
        <v>14.99</v>
      </c>
      <c r="I5538" s="96">
        <f t="shared" si="344"/>
        <v>15.31</v>
      </c>
      <c r="J5538" s="91" t="str">
        <f t="shared" si="345"/>
        <v>Sinapi 101135</v>
      </c>
      <c r="K5538" s="91" t="str">
        <f t="shared" si="346"/>
        <v>M3</v>
      </c>
      <c r="L5538" s="166" t="str">
        <f t="shared" si="347"/>
        <v>07/2020</v>
      </c>
      <c r="M5538" s="82"/>
      <c r="N5538" s="82"/>
    </row>
    <row r="5539" spans="1:14" x14ac:dyDescent="0.25">
      <c r="A5539" s="170" t="s">
        <v>10552</v>
      </c>
      <c r="B5539" s="170" t="s">
        <v>11163</v>
      </c>
      <c r="C5539" s="170" t="s">
        <v>85</v>
      </c>
      <c r="D5539" s="170" t="s">
        <v>1947</v>
      </c>
      <c r="E5539" s="171" t="s">
        <v>17941</v>
      </c>
      <c r="F5539" s="171" t="s">
        <v>11606</v>
      </c>
      <c r="G5539" s="82"/>
      <c r="H5539" s="96">
        <f t="shared" si="344"/>
        <v>13.73</v>
      </c>
      <c r="I5539" s="96">
        <f t="shared" si="344"/>
        <v>13.99</v>
      </c>
      <c r="J5539" s="91" t="str">
        <f t="shared" si="345"/>
        <v>Sinapi 101136</v>
      </c>
      <c r="K5539" s="91" t="str">
        <f t="shared" si="346"/>
        <v>M3</v>
      </c>
      <c r="L5539" s="166" t="str">
        <f t="shared" si="347"/>
        <v>07/2020</v>
      </c>
      <c r="M5539" s="82"/>
      <c r="N5539" s="82"/>
    </row>
    <row r="5540" spans="1:14" x14ac:dyDescent="0.25">
      <c r="A5540" s="170" t="s">
        <v>10553</v>
      </c>
      <c r="B5540" s="170" t="s">
        <v>11164</v>
      </c>
      <c r="C5540" s="170" t="s">
        <v>85</v>
      </c>
      <c r="D5540" s="170" t="s">
        <v>1947</v>
      </c>
      <c r="E5540" s="171" t="s">
        <v>34242</v>
      </c>
      <c r="F5540" s="171" t="s">
        <v>15546</v>
      </c>
      <c r="G5540" s="82"/>
      <c r="H5540" s="96">
        <f t="shared" si="344"/>
        <v>14.68</v>
      </c>
      <c r="I5540" s="96">
        <f t="shared" si="344"/>
        <v>14.92</v>
      </c>
      <c r="J5540" s="91" t="str">
        <f t="shared" si="345"/>
        <v>Sinapi 101137</v>
      </c>
      <c r="K5540" s="91" t="str">
        <f t="shared" si="346"/>
        <v>M3</v>
      </c>
      <c r="L5540" s="166" t="str">
        <f t="shared" si="347"/>
        <v>07/2020</v>
      </c>
      <c r="M5540" s="82"/>
      <c r="N5540" s="82"/>
    </row>
    <row r="5541" spans="1:14" x14ac:dyDescent="0.25">
      <c r="A5541" s="170" t="s">
        <v>10554</v>
      </c>
      <c r="B5541" s="170" t="s">
        <v>11165</v>
      </c>
      <c r="C5541" s="170" t="s">
        <v>85</v>
      </c>
      <c r="D5541" s="170" t="s">
        <v>1947</v>
      </c>
      <c r="E5541" s="171" t="s">
        <v>18689</v>
      </c>
      <c r="F5541" s="171" t="s">
        <v>6783</v>
      </c>
      <c r="G5541" s="82"/>
      <c r="H5541" s="96">
        <f t="shared" si="344"/>
        <v>15.05</v>
      </c>
      <c r="I5541" s="96">
        <f t="shared" si="344"/>
        <v>15.37</v>
      </c>
      <c r="J5541" s="91" t="str">
        <f t="shared" si="345"/>
        <v>Sinapi 101138</v>
      </c>
      <c r="K5541" s="91" t="str">
        <f t="shared" si="346"/>
        <v>M3</v>
      </c>
      <c r="L5541" s="166" t="str">
        <f t="shared" si="347"/>
        <v>07/2020</v>
      </c>
      <c r="M5541" s="82"/>
      <c r="N5541" s="82"/>
    </row>
    <row r="5542" spans="1:14" x14ac:dyDescent="0.25">
      <c r="A5542" s="170" t="s">
        <v>10555</v>
      </c>
      <c r="B5542" s="170" t="s">
        <v>11166</v>
      </c>
      <c r="C5542" s="170" t="s">
        <v>85</v>
      </c>
      <c r="D5542" s="170" t="s">
        <v>1947</v>
      </c>
      <c r="E5542" s="171" t="s">
        <v>34243</v>
      </c>
      <c r="F5542" s="171" t="s">
        <v>18307</v>
      </c>
      <c r="G5542" s="82"/>
      <c r="H5542" s="96">
        <f t="shared" si="344"/>
        <v>19.66</v>
      </c>
      <c r="I5542" s="96">
        <f t="shared" si="344"/>
        <v>20.13</v>
      </c>
      <c r="J5542" s="91" t="str">
        <f t="shared" si="345"/>
        <v>Sinapi 101139</v>
      </c>
      <c r="K5542" s="91" t="str">
        <f t="shared" si="346"/>
        <v>M3</v>
      </c>
      <c r="L5542" s="166" t="str">
        <f t="shared" si="347"/>
        <v>07/2020</v>
      </c>
      <c r="M5542" s="82"/>
      <c r="N5542" s="82"/>
    </row>
    <row r="5543" spans="1:14" x14ac:dyDescent="0.25">
      <c r="A5543" s="170" t="s">
        <v>10556</v>
      </c>
      <c r="B5543" s="170" t="s">
        <v>11167</v>
      </c>
      <c r="C5543" s="170" t="s">
        <v>85</v>
      </c>
      <c r="D5543" s="170" t="s">
        <v>1947</v>
      </c>
      <c r="E5543" s="171" t="s">
        <v>21185</v>
      </c>
      <c r="F5543" s="171" t="s">
        <v>23055</v>
      </c>
      <c r="G5543" s="82"/>
      <c r="H5543" s="96">
        <f t="shared" si="344"/>
        <v>18.579999999999998</v>
      </c>
      <c r="I5543" s="96">
        <f t="shared" si="344"/>
        <v>18.97</v>
      </c>
      <c r="J5543" s="91" t="str">
        <f t="shared" si="345"/>
        <v>Sinapi 101140</v>
      </c>
      <c r="K5543" s="91" t="str">
        <f t="shared" si="346"/>
        <v>M3</v>
      </c>
      <c r="L5543" s="166" t="str">
        <f t="shared" si="347"/>
        <v>07/2020</v>
      </c>
      <c r="M5543" s="82"/>
      <c r="N5543" s="82"/>
    </row>
    <row r="5544" spans="1:14" x14ac:dyDescent="0.25">
      <c r="A5544" s="170" t="s">
        <v>10557</v>
      </c>
      <c r="B5544" s="170" t="s">
        <v>11168</v>
      </c>
      <c r="C5544" s="170" t="s">
        <v>85</v>
      </c>
      <c r="D5544" s="170" t="s">
        <v>1947</v>
      </c>
      <c r="E5544" s="171" t="s">
        <v>23100</v>
      </c>
      <c r="F5544" s="171" t="s">
        <v>6050</v>
      </c>
      <c r="G5544" s="82"/>
      <c r="H5544" s="96">
        <f t="shared" si="344"/>
        <v>16.16</v>
      </c>
      <c r="I5544" s="96">
        <f t="shared" si="344"/>
        <v>16.48</v>
      </c>
      <c r="J5544" s="91" t="str">
        <f t="shared" si="345"/>
        <v>Sinapi 101141</v>
      </c>
      <c r="K5544" s="91" t="str">
        <f t="shared" si="346"/>
        <v>M3</v>
      </c>
      <c r="L5544" s="166" t="str">
        <f t="shared" si="347"/>
        <v>07/2020</v>
      </c>
      <c r="M5544" s="82"/>
      <c r="N5544" s="82"/>
    </row>
    <row r="5545" spans="1:14" x14ac:dyDescent="0.25">
      <c r="A5545" s="170" t="s">
        <v>10558</v>
      </c>
      <c r="B5545" s="170" t="s">
        <v>11169</v>
      </c>
      <c r="C5545" s="170" t="s">
        <v>85</v>
      </c>
      <c r="D5545" s="170" t="s">
        <v>1947</v>
      </c>
      <c r="E5545" s="171" t="s">
        <v>23253</v>
      </c>
      <c r="F5545" s="171" t="s">
        <v>15554</v>
      </c>
      <c r="G5545" s="82"/>
      <c r="H5545" s="96">
        <f t="shared" si="344"/>
        <v>17.940000000000001</v>
      </c>
      <c r="I5545" s="96">
        <f t="shared" si="344"/>
        <v>18.22</v>
      </c>
      <c r="J5545" s="91" t="str">
        <f t="shared" si="345"/>
        <v>Sinapi 101142</v>
      </c>
      <c r="K5545" s="91" t="str">
        <f t="shared" si="346"/>
        <v>M3</v>
      </c>
      <c r="L5545" s="166" t="str">
        <f t="shared" si="347"/>
        <v>07/2020</v>
      </c>
      <c r="M5545" s="82"/>
      <c r="N5545" s="82"/>
    </row>
    <row r="5546" spans="1:14" x14ac:dyDescent="0.25">
      <c r="A5546" s="170" t="s">
        <v>10559</v>
      </c>
      <c r="B5546" s="170" t="s">
        <v>11170</v>
      </c>
      <c r="C5546" s="170" t="s">
        <v>85</v>
      </c>
      <c r="D5546" s="170" t="s">
        <v>1947</v>
      </c>
      <c r="E5546" s="171" t="s">
        <v>23070</v>
      </c>
      <c r="F5546" s="171" t="s">
        <v>15528</v>
      </c>
      <c r="G5546" s="82"/>
      <c r="H5546" s="96">
        <f t="shared" si="344"/>
        <v>18.66</v>
      </c>
      <c r="I5546" s="96">
        <f t="shared" si="344"/>
        <v>19.079999999999998</v>
      </c>
      <c r="J5546" s="91" t="str">
        <f t="shared" si="345"/>
        <v>Sinapi 101143</v>
      </c>
      <c r="K5546" s="91" t="str">
        <f t="shared" si="346"/>
        <v>M3</v>
      </c>
      <c r="L5546" s="166" t="str">
        <f t="shared" si="347"/>
        <v>07/2020</v>
      </c>
      <c r="M5546" s="82"/>
      <c r="N5546" s="82"/>
    </row>
    <row r="5547" spans="1:14" x14ac:dyDescent="0.25">
      <c r="A5547" s="170" t="s">
        <v>10560</v>
      </c>
      <c r="B5547" s="170" t="s">
        <v>11171</v>
      </c>
      <c r="C5547" s="170" t="s">
        <v>85</v>
      </c>
      <c r="D5547" s="170" t="s">
        <v>1947</v>
      </c>
      <c r="E5547" s="171" t="s">
        <v>14791</v>
      </c>
      <c r="F5547" s="171" t="s">
        <v>22735</v>
      </c>
      <c r="G5547" s="82"/>
      <c r="H5547" s="96">
        <f t="shared" si="344"/>
        <v>15.54</v>
      </c>
      <c r="I5547" s="96">
        <f t="shared" si="344"/>
        <v>15.83</v>
      </c>
      <c r="J5547" s="91" t="str">
        <f t="shared" si="345"/>
        <v>Sinapi 101144</v>
      </c>
      <c r="K5547" s="91" t="str">
        <f t="shared" si="346"/>
        <v>M3</v>
      </c>
      <c r="L5547" s="166" t="str">
        <f t="shared" si="347"/>
        <v>07/2020</v>
      </c>
      <c r="M5547" s="82"/>
      <c r="N5547" s="82"/>
    </row>
    <row r="5548" spans="1:14" x14ac:dyDescent="0.25">
      <c r="A5548" s="170" t="s">
        <v>10561</v>
      </c>
      <c r="B5548" s="170" t="s">
        <v>11172</v>
      </c>
      <c r="C5548" s="170" t="s">
        <v>85</v>
      </c>
      <c r="D5548" s="170" t="s">
        <v>1947</v>
      </c>
      <c r="E5548" s="171" t="s">
        <v>16379</v>
      </c>
      <c r="F5548" s="171" t="s">
        <v>14899</v>
      </c>
      <c r="G5548" s="82"/>
      <c r="H5548" s="96">
        <f t="shared" si="344"/>
        <v>14.95</v>
      </c>
      <c r="I5548" s="96">
        <f t="shared" si="344"/>
        <v>15.22</v>
      </c>
      <c r="J5548" s="91" t="str">
        <f t="shared" si="345"/>
        <v>Sinapi 101145</v>
      </c>
      <c r="K5548" s="91" t="str">
        <f t="shared" si="346"/>
        <v>M3</v>
      </c>
      <c r="L5548" s="166" t="str">
        <f t="shared" si="347"/>
        <v>07/2020</v>
      </c>
      <c r="M5548" s="82"/>
      <c r="N5548" s="82"/>
    </row>
    <row r="5549" spans="1:14" x14ac:dyDescent="0.25">
      <c r="A5549" s="170" t="s">
        <v>10562</v>
      </c>
      <c r="B5549" s="170" t="s">
        <v>11173</v>
      </c>
      <c r="C5549" s="170" t="s">
        <v>85</v>
      </c>
      <c r="D5549" s="170" t="s">
        <v>1947</v>
      </c>
      <c r="E5549" s="171" t="s">
        <v>15628</v>
      </c>
      <c r="F5549" s="171" t="s">
        <v>11130</v>
      </c>
      <c r="G5549" s="82"/>
      <c r="H5549" s="96">
        <f t="shared" si="344"/>
        <v>13.69</v>
      </c>
      <c r="I5549" s="96">
        <f t="shared" si="344"/>
        <v>13.9</v>
      </c>
      <c r="J5549" s="91" t="str">
        <f t="shared" si="345"/>
        <v>Sinapi 101146</v>
      </c>
      <c r="K5549" s="91" t="str">
        <f t="shared" si="346"/>
        <v>M3</v>
      </c>
      <c r="L5549" s="166" t="str">
        <f t="shared" si="347"/>
        <v>07/2020</v>
      </c>
      <c r="M5549" s="82"/>
      <c r="N5549" s="82"/>
    </row>
    <row r="5550" spans="1:14" x14ac:dyDescent="0.25">
      <c r="A5550" s="170" t="s">
        <v>10563</v>
      </c>
      <c r="B5550" s="170" t="s">
        <v>11174</v>
      </c>
      <c r="C5550" s="170" t="s">
        <v>85</v>
      </c>
      <c r="D5550" s="170" t="s">
        <v>1947</v>
      </c>
      <c r="E5550" s="171" t="s">
        <v>21153</v>
      </c>
      <c r="F5550" s="171" t="s">
        <v>21535</v>
      </c>
      <c r="G5550" s="82"/>
      <c r="H5550" s="96">
        <f t="shared" si="344"/>
        <v>14.64</v>
      </c>
      <c r="I5550" s="96">
        <f t="shared" si="344"/>
        <v>14.83</v>
      </c>
      <c r="J5550" s="91" t="str">
        <f t="shared" si="345"/>
        <v>Sinapi 101147</v>
      </c>
      <c r="K5550" s="91" t="str">
        <f t="shared" si="346"/>
        <v>M3</v>
      </c>
      <c r="L5550" s="166" t="str">
        <f t="shared" si="347"/>
        <v>07/2020</v>
      </c>
      <c r="M5550" s="82"/>
      <c r="N5550" s="82"/>
    </row>
    <row r="5551" spans="1:14" x14ac:dyDescent="0.25">
      <c r="A5551" s="170" t="s">
        <v>10564</v>
      </c>
      <c r="B5551" s="170" t="s">
        <v>11175</v>
      </c>
      <c r="C5551" s="170" t="s">
        <v>85</v>
      </c>
      <c r="D5551" s="170" t="s">
        <v>1947</v>
      </c>
      <c r="E5551" s="171" t="s">
        <v>20647</v>
      </c>
      <c r="F5551" s="171" t="s">
        <v>28501</v>
      </c>
      <c r="G5551" s="82"/>
      <c r="H5551" s="96">
        <f t="shared" si="344"/>
        <v>15.01</v>
      </c>
      <c r="I5551" s="96">
        <f t="shared" si="344"/>
        <v>15.28</v>
      </c>
      <c r="J5551" s="91" t="str">
        <f t="shared" si="345"/>
        <v>Sinapi 101148</v>
      </c>
      <c r="K5551" s="91" t="str">
        <f t="shared" si="346"/>
        <v>M3</v>
      </c>
      <c r="L5551" s="166" t="str">
        <f t="shared" si="347"/>
        <v>07/2020</v>
      </c>
      <c r="M5551" s="82"/>
      <c r="N5551" s="82"/>
    </row>
    <row r="5552" spans="1:14" x14ac:dyDescent="0.25">
      <c r="A5552" s="170" t="s">
        <v>10565</v>
      </c>
      <c r="B5552" s="170" t="s">
        <v>11176</v>
      </c>
      <c r="C5552" s="170" t="s">
        <v>85</v>
      </c>
      <c r="D5552" s="170" t="s">
        <v>1947</v>
      </c>
      <c r="E5552" s="171" t="s">
        <v>15768</v>
      </c>
      <c r="F5552" s="171" t="s">
        <v>29256</v>
      </c>
      <c r="G5552" s="82"/>
      <c r="H5552" s="96">
        <f t="shared" si="344"/>
        <v>19.61</v>
      </c>
      <c r="I5552" s="96">
        <f t="shared" si="344"/>
        <v>20.04</v>
      </c>
      <c r="J5552" s="91" t="str">
        <f t="shared" si="345"/>
        <v>Sinapi 101149</v>
      </c>
      <c r="K5552" s="91" t="str">
        <f t="shared" si="346"/>
        <v>M3</v>
      </c>
      <c r="L5552" s="166" t="str">
        <f t="shared" si="347"/>
        <v>07/2020</v>
      </c>
      <c r="M5552" s="82"/>
      <c r="N5552" s="82"/>
    </row>
    <row r="5553" spans="1:14" x14ac:dyDescent="0.25">
      <c r="A5553" s="170" t="s">
        <v>10566</v>
      </c>
      <c r="B5553" s="170" t="s">
        <v>11177</v>
      </c>
      <c r="C5553" s="170" t="s">
        <v>85</v>
      </c>
      <c r="D5553" s="170" t="s">
        <v>1947</v>
      </c>
      <c r="E5553" s="171" t="s">
        <v>33016</v>
      </c>
      <c r="F5553" s="171" t="s">
        <v>19407</v>
      </c>
      <c r="G5553" s="82"/>
      <c r="H5553" s="96">
        <f t="shared" si="344"/>
        <v>18.53</v>
      </c>
      <c r="I5553" s="96">
        <f t="shared" si="344"/>
        <v>18.88</v>
      </c>
      <c r="J5553" s="91" t="str">
        <f t="shared" si="345"/>
        <v>Sinapi 101150</v>
      </c>
      <c r="K5553" s="91" t="str">
        <f t="shared" si="346"/>
        <v>M3</v>
      </c>
      <c r="L5553" s="166" t="str">
        <f t="shared" si="347"/>
        <v>07/2020</v>
      </c>
      <c r="M5553" s="82"/>
      <c r="N5553" s="82"/>
    </row>
    <row r="5554" spans="1:14" x14ac:dyDescent="0.25">
      <c r="A5554" s="170" t="s">
        <v>10567</v>
      </c>
      <c r="B5554" s="170" t="s">
        <v>11179</v>
      </c>
      <c r="C5554" s="170" t="s">
        <v>85</v>
      </c>
      <c r="D5554" s="170" t="s">
        <v>1947</v>
      </c>
      <c r="E5554" s="171" t="s">
        <v>19311</v>
      </c>
      <c r="F5554" s="171" t="s">
        <v>17138</v>
      </c>
      <c r="G5554" s="82"/>
      <c r="H5554" s="96">
        <f t="shared" si="344"/>
        <v>16.11</v>
      </c>
      <c r="I5554" s="96">
        <f t="shared" si="344"/>
        <v>16.39</v>
      </c>
      <c r="J5554" s="91" t="str">
        <f t="shared" si="345"/>
        <v>Sinapi 101151</v>
      </c>
      <c r="K5554" s="91" t="str">
        <f t="shared" si="346"/>
        <v>M3</v>
      </c>
      <c r="L5554" s="166" t="str">
        <f t="shared" si="347"/>
        <v>07/2020</v>
      </c>
      <c r="M5554" s="82"/>
      <c r="N5554" s="82"/>
    </row>
    <row r="5555" spans="1:14" x14ac:dyDescent="0.25">
      <c r="A5555" s="170" t="s">
        <v>10568</v>
      </c>
      <c r="B5555" s="170" t="s">
        <v>11180</v>
      </c>
      <c r="C5555" s="170" t="s">
        <v>85</v>
      </c>
      <c r="D5555" s="170" t="s">
        <v>1947</v>
      </c>
      <c r="E5555" s="171" t="s">
        <v>30213</v>
      </c>
      <c r="F5555" s="171" t="s">
        <v>25622</v>
      </c>
      <c r="G5555" s="82"/>
      <c r="H5555" s="96">
        <f t="shared" si="344"/>
        <v>17.89</v>
      </c>
      <c r="I5555" s="96">
        <f t="shared" si="344"/>
        <v>18.13</v>
      </c>
      <c r="J5555" s="91" t="str">
        <f t="shared" si="345"/>
        <v>Sinapi 101152</v>
      </c>
      <c r="K5555" s="91" t="str">
        <f t="shared" si="346"/>
        <v>M3</v>
      </c>
      <c r="L5555" s="166" t="str">
        <f t="shared" si="347"/>
        <v>07/2020</v>
      </c>
      <c r="M5555" s="82"/>
      <c r="N5555" s="82"/>
    </row>
    <row r="5556" spans="1:14" x14ac:dyDescent="0.25">
      <c r="A5556" s="170" t="s">
        <v>10569</v>
      </c>
      <c r="B5556" s="170" t="s">
        <v>11181</v>
      </c>
      <c r="C5556" s="170" t="s">
        <v>85</v>
      </c>
      <c r="D5556" s="170" t="s">
        <v>1947</v>
      </c>
      <c r="E5556" s="171" t="s">
        <v>22841</v>
      </c>
      <c r="F5556" s="171" t="s">
        <v>23170</v>
      </c>
      <c r="G5556" s="82"/>
      <c r="H5556" s="96">
        <f t="shared" si="344"/>
        <v>18.61</v>
      </c>
      <c r="I5556" s="96">
        <f t="shared" si="344"/>
        <v>18.989999999999998</v>
      </c>
      <c r="J5556" s="91" t="str">
        <f t="shared" si="345"/>
        <v>Sinapi 101153</v>
      </c>
      <c r="K5556" s="91" t="str">
        <f t="shared" si="346"/>
        <v>M3</v>
      </c>
      <c r="L5556" s="166" t="str">
        <f t="shared" si="347"/>
        <v>07/2020</v>
      </c>
      <c r="M5556" s="82"/>
      <c r="N5556" s="82"/>
    </row>
    <row r="5557" spans="1:14" x14ac:dyDescent="0.25">
      <c r="A5557" s="170" t="s">
        <v>8199</v>
      </c>
      <c r="B5557" s="170" t="s">
        <v>21208</v>
      </c>
      <c r="C5557" s="170" t="s">
        <v>85</v>
      </c>
      <c r="D5557" s="170" t="s">
        <v>1947</v>
      </c>
      <c r="E5557" s="171" t="s">
        <v>21908</v>
      </c>
      <c r="F5557" s="171" t="s">
        <v>17893</v>
      </c>
      <c r="G5557" s="82"/>
      <c r="H5557" s="96">
        <f t="shared" si="344"/>
        <v>12.83</v>
      </c>
      <c r="I5557" s="96">
        <f t="shared" si="344"/>
        <v>13.02</v>
      </c>
      <c r="J5557" s="91" t="str">
        <f t="shared" si="345"/>
        <v>Sinapi 101206</v>
      </c>
      <c r="K5557" s="91" t="str">
        <f t="shared" si="346"/>
        <v>M3</v>
      </c>
      <c r="L5557" s="166" t="str">
        <f t="shared" si="347"/>
        <v>05/2020</v>
      </c>
      <c r="M5557" s="82"/>
      <c r="N5557" s="82"/>
    </row>
    <row r="5558" spans="1:14" x14ac:dyDescent="0.25">
      <c r="A5558" s="170" t="s">
        <v>8200</v>
      </c>
      <c r="B5558" s="170" t="s">
        <v>21209</v>
      </c>
      <c r="C5558" s="170" t="s">
        <v>85</v>
      </c>
      <c r="D5558" s="170" t="s">
        <v>1947</v>
      </c>
      <c r="E5558" s="171" t="s">
        <v>2164</v>
      </c>
      <c r="F5558" s="171" t="s">
        <v>23148</v>
      </c>
      <c r="G5558" s="82"/>
      <c r="H5558" s="96">
        <f t="shared" si="344"/>
        <v>11.17</v>
      </c>
      <c r="I5558" s="96">
        <f t="shared" si="344"/>
        <v>11.32</v>
      </c>
      <c r="J5558" s="91" t="str">
        <f t="shared" si="345"/>
        <v>Sinapi 101207</v>
      </c>
      <c r="K5558" s="91" t="str">
        <f t="shared" si="346"/>
        <v>M3</v>
      </c>
      <c r="L5558" s="166" t="str">
        <f t="shared" si="347"/>
        <v>05/2020</v>
      </c>
      <c r="M5558" s="82"/>
      <c r="N5558" s="82"/>
    </row>
    <row r="5559" spans="1:14" x14ac:dyDescent="0.25">
      <c r="A5559" s="170" t="s">
        <v>8201</v>
      </c>
      <c r="B5559" s="170" t="s">
        <v>21210</v>
      </c>
      <c r="C5559" s="170" t="s">
        <v>85</v>
      </c>
      <c r="D5559" s="170" t="s">
        <v>1947</v>
      </c>
      <c r="E5559" s="171" t="s">
        <v>16110</v>
      </c>
      <c r="F5559" s="171" t="s">
        <v>17363</v>
      </c>
      <c r="G5559" s="82"/>
      <c r="H5559" s="96">
        <f t="shared" si="344"/>
        <v>10.89</v>
      </c>
      <c r="I5559" s="96">
        <f t="shared" si="344"/>
        <v>11.04</v>
      </c>
      <c r="J5559" s="91" t="str">
        <f t="shared" si="345"/>
        <v>Sinapi 101208</v>
      </c>
      <c r="K5559" s="91" t="str">
        <f t="shared" si="346"/>
        <v>M3</v>
      </c>
      <c r="L5559" s="166" t="str">
        <f t="shared" si="347"/>
        <v>05/2020</v>
      </c>
      <c r="M5559" s="82"/>
      <c r="N5559" s="82"/>
    </row>
    <row r="5560" spans="1:14" x14ac:dyDescent="0.25">
      <c r="A5560" s="170" t="s">
        <v>8202</v>
      </c>
      <c r="B5560" s="170" t="s">
        <v>21211</v>
      </c>
      <c r="C5560" s="170" t="s">
        <v>85</v>
      </c>
      <c r="D5560" s="170" t="s">
        <v>1947</v>
      </c>
      <c r="E5560" s="171" t="s">
        <v>32899</v>
      </c>
      <c r="F5560" s="171" t="s">
        <v>33881</v>
      </c>
      <c r="G5560" s="82"/>
      <c r="H5560" s="96">
        <f t="shared" si="344"/>
        <v>10.11</v>
      </c>
      <c r="I5560" s="96">
        <f t="shared" si="344"/>
        <v>10.25</v>
      </c>
      <c r="J5560" s="91" t="str">
        <f t="shared" si="345"/>
        <v>Sinapi 101209</v>
      </c>
      <c r="K5560" s="91" t="str">
        <f t="shared" si="346"/>
        <v>M3</v>
      </c>
      <c r="L5560" s="166" t="str">
        <f t="shared" si="347"/>
        <v>05/2020</v>
      </c>
      <c r="M5560" s="82"/>
      <c r="N5560" s="82"/>
    </row>
    <row r="5561" spans="1:14" x14ac:dyDescent="0.25">
      <c r="A5561" s="170" t="s">
        <v>8204</v>
      </c>
      <c r="B5561" s="170" t="s">
        <v>21212</v>
      </c>
      <c r="C5561" s="170" t="s">
        <v>85</v>
      </c>
      <c r="D5561" s="170" t="s">
        <v>1947</v>
      </c>
      <c r="E5561" s="171" t="s">
        <v>31893</v>
      </c>
      <c r="F5561" s="171" t="s">
        <v>32100</v>
      </c>
      <c r="G5561" s="82"/>
      <c r="H5561" s="96">
        <f t="shared" si="344"/>
        <v>18.12</v>
      </c>
      <c r="I5561" s="96">
        <f t="shared" si="344"/>
        <v>18.34</v>
      </c>
      <c r="J5561" s="91" t="str">
        <f t="shared" si="345"/>
        <v>Sinapi 101210</v>
      </c>
      <c r="K5561" s="91" t="str">
        <f t="shared" si="346"/>
        <v>M3</v>
      </c>
      <c r="L5561" s="166" t="str">
        <f t="shared" si="347"/>
        <v>05/2020</v>
      </c>
      <c r="M5561" s="82"/>
      <c r="N5561" s="82"/>
    </row>
    <row r="5562" spans="1:14" x14ac:dyDescent="0.25">
      <c r="A5562" s="170" t="s">
        <v>8205</v>
      </c>
      <c r="B5562" s="170" t="s">
        <v>21214</v>
      </c>
      <c r="C5562" s="170" t="s">
        <v>85</v>
      </c>
      <c r="D5562" s="170" t="s">
        <v>1947</v>
      </c>
      <c r="E5562" s="171" t="s">
        <v>20133</v>
      </c>
      <c r="F5562" s="171" t="s">
        <v>34968</v>
      </c>
      <c r="G5562" s="82"/>
      <c r="H5562" s="96">
        <f t="shared" si="344"/>
        <v>19.47</v>
      </c>
      <c r="I5562" s="96">
        <f t="shared" si="344"/>
        <v>19.7</v>
      </c>
      <c r="J5562" s="91" t="str">
        <f t="shared" si="345"/>
        <v>Sinapi 101211</v>
      </c>
      <c r="K5562" s="91" t="str">
        <f t="shared" si="346"/>
        <v>M3</v>
      </c>
      <c r="L5562" s="166" t="str">
        <f t="shared" si="347"/>
        <v>05/2020</v>
      </c>
      <c r="M5562" s="82"/>
      <c r="N5562" s="82"/>
    </row>
    <row r="5563" spans="1:14" x14ac:dyDescent="0.25">
      <c r="A5563" s="170" t="s">
        <v>8206</v>
      </c>
      <c r="B5563" s="170" t="s">
        <v>21215</v>
      </c>
      <c r="C5563" s="170" t="s">
        <v>85</v>
      </c>
      <c r="D5563" s="170" t="s">
        <v>1947</v>
      </c>
      <c r="E5563" s="171" t="s">
        <v>34244</v>
      </c>
      <c r="F5563" s="171" t="s">
        <v>23150</v>
      </c>
      <c r="G5563" s="82"/>
      <c r="H5563" s="96">
        <f t="shared" si="344"/>
        <v>22.72</v>
      </c>
      <c r="I5563" s="96">
        <f t="shared" si="344"/>
        <v>22.99</v>
      </c>
      <c r="J5563" s="91" t="str">
        <f t="shared" si="345"/>
        <v>Sinapi 101212</v>
      </c>
      <c r="K5563" s="91" t="str">
        <f t="shared" si="346"/>
        <v>M3</v>
      </c>
      <c r="L5563" s="166" t="str">
        <f t="shared" si="347"/>
        <v>05/2020</v>
      </c>
      <c r="M5563" s="82"/>
      <c r="N5563" s="82"/>
    </row>
    <row r="5564" spans="1:14" x14ac:dyDescent="0.25">
      <c r="A5564" s="170" t="s">
        <v>8207</v>
      </c>
      <c r="B5564" s="170" t="s">
        <v>21216</v>
      </c>
      <c r="C5564" s="170" t="s">
        <v>85</v>
      </c>
      <c r="D5564" s="170" t="s">
        <v>1947</v>
      </c>
      <c r="E5564" s="171" t="s">
        <v>28689</v>
      </c>
      <c r="F5564" s="171" t="s">
        <v>17884</v>
      </c>
      <c r="G5564" s="82"/>
      <c r="H5564" s="96">
        <f t="shared" si="344"/>
        <v>25.36</v>
      </c>
      <c r="I5564" s="96">
        <f t="shared" si="344"/>
        <v>25.68</v>
      </c>
      <c r="J5564" s="91" t="str">
        <f t="shared" si="345"/>
        <v>Sinapi 101213</v>
      </c>
      <c r="K5564" s="91" t="str">
        <f t="shared" si="346"/>
        <v>M3</v>
      </c>
      <c r="L5564" s="166" t="str">
        <f t="shared" si="347"/>
        <v>05/2020</v>
      </c>
      <c r="M5564" s="82"/>
      <c r="N5564" s="82"/>
    </row>
    <row r="5565" spans="1:14" x14ac:dyDescent="0.25">
      <c r="A5565" s="170" t="s">
        <v>8208</v>
      </c>
      <c r="B5565" s="170" t="s">
        <v>21217</v>
      </c>
      <c r="C5565" s="170" t="s">
        <v>85</v>
      </c>
      <c r="D5565" s="170" t="s">
        <v>1947</v>
      </c>
      <c r="E5565" s="171" t="s">
        <v>23250</v>
      </c>
      <c r="F5565" s="171" t="s">
        <v>19381</v>
      </c>
      <c r="G5565" s="82"/>
      <c r="H5565" s="96">
        <f t="shared" si="344"/>
        <v>30.76</v>
      </c>
      <c r="I5565" s="96">
        <f t="shared" si="344"/>
        <v>31.12</v>
      </c>
      <c r="J5565" s="91" t="str">
        <f t="shared" si="345"/>
        <v>Sinapi 101214</v>
      </c>
      <c r="K5565" s="91" t="str">
        <f t="shared" si="346"/>
        <v>M3</v>
      </c>
      <c r="L5565" s="166" t="str">
        <f t="shared" si="347"/>
        <v>05/2020</v>
      </c>
      <c r="M5565" s="82"/>
      <c r="N5565" s="82"/>
    </row>
    <row r="5566" spans="1:14" x14ac:dyDescent="0.25">
      <c r="A5566" s="170" t="s">
        <v>8209</v>
      </c>
      <c r="B5566" s="170" t="s">
        <v>21218</v>
      </c>
      <c r="C5566" s="170" t="s">
        <v>85</v>
      </c>
      <c r="D5566" s="170" t="s">
        <v>1947</v>
      </c>
      <c r="E5566" s="171" t="s">
        <v>11446</v>
      </c>
      <c r="F5566" s="171" t="s">
        <v>6619</v>
      </c>
      <c r="G5566" s="82"/>
      <c r="H5566" s="96">
        <f t="shared" si="344"/>
        <v>17.37</v>
      </c>
      <c r="I5566" s="96">
        <f t="shared" si="344"/>
        <v>17.600000000000001</v>
      </c>
      <c r="J5566" s="91" t="str">
        <f t="shared" si="345"/>
        <v>Sinapi 101215</v>
      </c>
      <c r="K5566" s="91" t="str">
        <f t="shared" si="346"/>
        <v>M3</v>
      </c>
      <c r="L5566" s="166" t="str">
        <f t="shared" si="347"/>
        <v>05/2020</v>
      </c>
      <c r="M5566" s="82"/>
      <c r="N5566" s="82"/>
    </row>
    <row r="5567" spans="1:14" x14ac:dyDescent="0.25">
      <c r="A5567" s="170" t="s">
        <v>8210</v>
      </c>
      <c r="B5567" s="170" t="s">
        <v>21219</v>
      </c>
      <c r="C5567" s="170" t="s">
        <v>85</v>
      </c>
      <c r="D5567" s="170" t="s">
        <v>1947</v>
      </c>
      <c r="E5567" s="171" t="s">
        <v>22110</v>
      </c>
      <c r="F5567" s="171" t="s">
        <v>14800</v>
      </c>
      <c r="G5567" s="82"/>
      <c r="H5567" s="96">
        <f t="shared" si="344"/>
        <v>18.260000000000002</v>
      </c>
      <c r="I5567" s="96">
        <f t="shared" si="344"/>
        <v>18.489999999999998</v>
      </c>
      <c r="J5567" s="91" t="str">
        <f t="shared" si="345"/>
        <v>Sinapi 101216</v>
      </c>
      <c r="K5567" s="91" t="str">
        <f t="shared" si="346"/>
        <v>M3</v>
      </c>
      <c r="L5567" s="166" t="str">
        <f t="shared" si="347"/>
        <v>05/2020</v>
      </c>
      <c r="M5567" s="82"/>
      <c r="N5567" s="82"/>
    </row>
    <row r="5568" spans="1:14" x14ac:dyDescent="0.25">
      <c r="A5568" s="170" t="s">
        <v>8211</v>
      </c>
      <c r="B5568" s="170" t="s">
        <v>21220</v>
      </c>
      <c r="C5568" s="170" t="s">
        <v>85</v>
      </c>
      <c r="D5568" s="170" t="s">
        <v>1947</v>
      </c>
      <c r="E5568" s="171" t="s">
        <v>18454</v>
      </c>
      <c r="F5568" s="171" t="s">
        <v>33891</v>
      </c>
      <c r="G5568" s="82"/>
      <c r="H5568" s="96">
        <f t="shared" si="344"/>
        <v>21.26</v>
      </c>
      <c r="I5568" s="96">
        <f t="shared" si="344"/>
        <v>21.53</v>
      </c>
      <c r="J5568" s="91" t="str">
        <f t="shared" si="345"/>
        <v>Sinapi 101217</v>
      </c>
      <c r="K5568" s="91" t="str">
        <f t="shared" si="346"/>
        <v>M3</v>
      </c>
      <c r="L5568" s="166" t="str">
        <f t="shared" si="347"/>
        <v>05/2020</v>
      </c>
      <c r="M5568" s="82"/>
      <c r="N5568" s="82"/>
    </row>
    <row r="5569" spans="1:14" x14ac:dyDescent="0.25">
      <c r="A5569" s="170" t="s">
        <v>8212</v>
      </c>
      <c r="B5569" s="170" t="s">
        <v>21222</v>
      </c>
      <c r="C5569" s="170" t="s">
        <v>85</v>
      </c>
      <c r="D5569" s="170" t="s">
        <v>1947</v>
      </c>
      <c r="E5569" s="171" t="s">
        <v>22829</v>
      </c>
      <c r="F5569" s="171" t="s">
        <v>28729</v>
      </c>
      <c r="G5569" s="82"/>
      <c r="H5569" s="96">
        <f t="shared" si="344"/>
        <v>22.56</v>
      </c>
      <c r="I5569" s="96">
        <f t="shared" si="344"/>
        <v>22.84</v>
      </c>
      <c r="J5569" s="91" t="str">
        <f t="shared" si="345"/>
        <v>Sinapi 101218</v>
      </c>
      <c r="K5569" s="91" t="str">
        <f t="shared" si="346"/>
        <v>M3</v>
      </c>
      <c r="L5569" s="166" t="str">
        <f t="shared" si="347"/>
        <v>05/2020</v>
      </c>
      <c r="M5569" s="82"/>
      <c r="N5569" s="82"/>
    </row>
    <row r="5570" spans="1:14" x14ac:dyDescent="0.25">
      <c r="A5570" s="170" t="s">
        <v>8213</v>
      </c>
      <c r="B5570" s="170" t="s">
        <v>21223</v>
      </c>
      <c r="C5570" s="170" t="s">
        <v>85</v>
      </c>
      <c r="D5570" s="170" t="s">
        <v>1947</v>
      </c>
      <c r="E5570" s="171" t="s">
        <v>34245</v>
      </c>
      <c r="F5570" s="171" t="s">
        <v>18691</v>
      </c>
      <c r="G5570" s="82"/>
      <c r="H5570" s="96">
        <f t="shared" si="344"/>
        <v>27.43</v>
      </c>
      <c r="I5570" s="96">
        <f t="shared" si="344"/>
        <v>27.74</v>
      </c>
      <c r="J5570" s="91" t="str">
        <f t="shared" si="345"/>
        <v>Sinapi 101219</v>
      </c>
      <c r="K5570" s="91" t="str">
        <f t="shared" si="346"/>
        <v>M3</v>
      </c>
      <c r="L5570" s="166" t="str">
        <f t="shared" si="347"/>
        <v>05/2020</v>
      </c>
      <c r="M5570" s="82"/>
      <c r="N5570" s="82"/>
    </row>
    <row r="5571" spans="1:14" x14ac:dyDescent="0.25">
      <c r="A5571" s="170" t="s">
        <v>8214</v>
      </c>
      <c r="B5571" s="170" t="s">
        <v>21224</v>
      </c>
      <c r="C5571" s="170" t="s">
        <v>85</v>
      </c>
      <c r="D5571" s="170" t="s">
        <v>1947</v>
      </c>
      <c r="E5571" s="171" t="s">
        <v>34246</v>
      </c>
      <c r="F5571" s="171" t="s">
        <v>29130</v>
      </c>
      <c r="G5571" s="82"/>
      <c r="H5571" s="96">
        <f t="shared" si="344"/>
        <v>17.079999999999998</v>
      </c>
      <c r="I5571" s="96">
        <f t="shared" si="344"/>
        <v>17.29</v>
      </c>
      <c r="J5571" s="91" t="str">
        <f t="shared" si="345"/>
        <v>Sinapi 101220</v>
      </c>
      <c r="K5571" s="91" t="str">
        <f t="shared" si="346"/>
        <v>M3</v>
      </c>
      <c r="L5571" s="166" t="str">
        <f t="shared" si="347"/>
        <v>05/2020</v>
      </c>
      <c r="M5571" s="82"/>
      <c r="N5571" s="82"/>
    </row>
    <row r="5572" spans="1:14" x14ac:dyDescent="0.25">
      <c r="A5572" s="170" t="s">
        <v>8215</v>
      </c>
      <c r="B5572" s="170" t="s">
        <v>21225</v>
      </c>
      <c r="C5572" s="170" t="s">
        <v>85</v>
      </c>
      <c r="D5572" s="170" t="s">
        <v>1947</v>
      </c>
      <c r="E5572" s="171" t="s">
        <v>29267</v>
      </c>
      <c r="F5572" s="171" t="s">
        <v>22020</v>
      </c>
      <c r="G5572" s="82"/>
      <c r="H5572" s="96">
        <f t="shared" si="344"/>
        <v>18.100000000000001</v>
      </c>
      <c r="I5572" s="96">
        <f t="shared" si="344"/>
        <v>18.32</v>
      </c>
      <c r="J5572" s="91" t="str">
        <f t="shared" si="345"/>
        <v>Sinapi 101221</v>
      </c>
      <c r="K5572" s="91" t="str">
        <f t="shared" si="346"/>
        <v>M3</v>
      </c>
      <c r="L5572" s="166" t="str">
        <f t="shared" si="347"/>
        <v>05/2020</v>
      </c>
      <c r="M5572" s="82"/>
      <c r="N5572" s="82"/>
    </row>
    <row r="5573" spans="1:14" x14ac:dyDescent="0.25">
      <c r="A5573" s="170" t="s">
        <v>8216</v>
      </c>
      <c r="B5573" s="170" t="s">
        <v>21226</v>
      </c>
      <c r="C5573" s="170" t="s">
        <v>85</v>
      </c>
      <c r="D5573" s="170" t="s">
        <v>1947</v>
      </c>
      <c r="E5573" s="171" t="s">
        <v>18306</v>
      </c>
      <c r="F5573" s="171" t="s">
        <v>22962</v>
      </c>
      <c r="G5573" s="82"/>
      <c r="H5573" s="96">
        <f t="shared" si="344"/>
        <v>21.06</v>
      </c>
      <c r="I5573" s="96">
        <f t="shared" si="344"/>
        <v>21.31</v>
      </c>
      <c r="J5573" s="91" t="str">
        <f t="shared" si="345"/>
        <v>Sinapi 101222</v>
      </c>
      <c r="K5573" s="91" t="str">
        <f t="shared" si="346"/>
        <v>M3</v>
      </c>
      <c r="L5573" s="166" t="str">
        <f t="shared" si="347"/>
        <v>05/2020</v>
      </c>
      <c r="M5573" s="82"/>
      <c r="N5573" s="82"/>
    </row>
    <row r="5574" spans="1:14" x14ac:dyDescent="0.25">
      <c r="A5574" s="170" t="s">
        <v>8217</v>
      </c>
      <c r="B5574" s="170" t="s">
        <v>21227</v>
      </c>
      <c r="C5574" s="170" t="s">
        <v>85</v>
      </c>
      <c r="D5574" s="170" t="s">
        <v>1947</v>
      </c>
      <c r="E5574" s="171" t="s">
        <v>22798</v>
      </c>
      <c r="F5574" s="171" t="s">
        <v>17312</v>
      </c>
      <c r="G5574" s="82"/>
      <c r="H5574" s="96">
        <f t="shared" si="344"/>
        <v>23.44</v>
      </c>
      <c r="I5574" s="96">
        <f t="shared" si="344"/>
        <v>23.71</v>
      </c>
      <c r="J5574" s="91" t="str">
        <f t="shared" si="345"/>
        <v>Sinapi 101223</v>
      </c>
      <c r="K5574" s="91" t="str">
        <f t="shared" si="346"/>
        <v>M3</v>
      </c>
      <c r="L5574" s="166" t="str">
        <f t="shared" si="347"/>
        <v>05/2020</v>
      </c>
      <c r="M5574" s="82"/>
      <c r="N5574" s="82"/>
    </row>
    <row r="5575" spans="1:14" x14ac:dyDescent="0.25">
      <c r="A5575" s="170" t="s">
        <v>8218</v>
      </c>
      <c r="B5575" s="170" t="s">
        <v>21228</v>
      </c>
      <c r="C5575" s="170" t="s">
        <v>85</v>
      </c>
      <c r="D5575" s="170" t="s">
        <v>1947</v>
      </c>
      <c r="E5575" s="171" t="s">
        <v>21570</v>
      </c>
      <c r="F5575" s="171" t="s">
        <v>23212</v>
      </c>
      <c r="G5575" s="82"/>
      <c r="H5575" s="96">
        <f t="shared" si="344"/>
        <v>29.43</v>
      </c>
      <c r="I5575" s="96">
        <f t="shared" si="344"/>
        <v>29.77</v>
      </c>
      <c r="J5575" s="91" t="str">
        <f t="shared" si="345"/>
        <v>Sinapi 101224</v>
      </c>
      <c r="K5575" s="91" t="str">
        <f t="shared" si="346"/>
        <v>M3</v>
      </c>
      <c r="L5575" s="166" t="str">
        <f t="shared" si="347"/>
        <v>05/2020</v>
      </c>
      <c r="M5575" s="82"/>
      <c r="N5575" s="82"/>
    </row>
    <row r="5576" spans="1:14" x14ac:dyDescent="0.25">
      <c r="A5576" s="170" t="s">
        <v>8219</v>
      </c>
      <c r="B5576" s="170" t="s">
        <v>21229</v>
      </c>
      <c r="C5576" s="170" t="s">
        <v>85</v>
      </c>
      <c r="D5576" s="170" t="s">
        <v>1947</v>
      </c>
      <c r="E5576" s="171" t="s">
        <v>29573</v>
      </c>
      <c r="F5576" s="171" t="s">
        <v>15509</v>
      </c>
      <c r="G5576" s="82"/>
      <c r="H5576" s="96">
        <f t="shared" ref="H5576:I5639" si="348">IF(E5576="","",E5576+0)</f>
        <v>15.69</v>
      </c>
      <c r="I5576" s="96">
        <f t="shared" si="348"/>
        <v>15.88</v>
      </c>
      <c r="J5576" s="91" t="str">
        <f t="shared" ref="J5576:J5639" si="349">IF(OR(H5576="",I5576=""),"",TRIM(CONCATENATE("Sinapi ",A5576)))</f>
        <v>Sinapi 101225</v>
      </c>
      <c r="K5576" s="91" t="str">
        <f t="shared" ref="K5576:K5639" si="350">TRIM(C5576)</f>
        <v>M3</v>
      </c>
      <c r="L5576" s="166" t="str">
        <f t="shared" ref="L5576:L5639" si="351">IF(OR(RIGHT(IF(AND(K5576&lt;&gt;"H",K5576&lt;&gt;"MES"),RIGHT(B5576,7),""),2)="PS",RIGHT(IF(AND(K5576&lt;&gt;"H",K5576&lt;&gt;"MES"),RIGHT(B5576,7),""),2)="PA",RIGHT(IF(AND(K5576&lt;&gt;"H",K5576&lt;&gt;"MES"),RIGHT(B5576,7),""),2)="PE"),LEFT(IF(AND(K5576&lt;&gt;"H",K5576&lt;&gt;"MES"),RIGHT(B5576,10),""),7),IF(AND(K5576&lt;&gt;"H",K5576&lt;&gt;"MES"),RIGHT(B5576,7),""))</f>
        <v>05/2020</v>
      </c>
      <c r="M5576" s="82"/>
      <c r="N5576" s="82"/>
    </row>
    <row r="5577" spans="1:14" x14ac:dyDescent="0.25">
      <c r="A5577" s="170" t="s">
        <v>8220</v>
      </c>
      <c r="B5577" s="170" t="s">
        <v>21230</v>
      </c>
      <c r="C5577" s="170" t="s">
        <v>85</v>
      </c>
      <c r="D5577" s="170" t="s">
        <v>1947</v>
      </c>
      <c r="E5577" s="171" t="s">
        <v>20129</v>
      </c>
      <c r="F5577" s="171" t="s">
        <v>17968</v>
      </c>
      <c r="G5577" s="82"/>
      <c r="H5577" s="96">
        <f t="shared" si="348"/>
        <v>16.57</v>
      </c>
      <c r="I5577" s="96">
        <f t="shared" si="348"/>
        <v>16.77</v>
      </c>
      <c r="J5577" s="91" t="str">
        <f t="shared" si="349"/>
        <v>Sinapi 101226</v>
      </c>
      <c r="K5577" s="91" t="str">
        <f t="shared" si="350"/>
        <v>M3</v>
      </c>
      <c r="L5577" s="166" t="str">
        <f t="shared" si="351"/>
        <v>05/2020</v>
      </c>
      <c r="M5577" s="82"/>
      <c r="N5577" s="82"/>
    </row>
    <row r="5578" spans="1:14" x14ac:dyDescent="0.25">
      <c r="A5578" s="170" t="s">
        <v>8221</v>
      </c>
      <c r="B5578" s="170" t="s">
        <v>21231</v>
      </c>
      <c r="C5578" s="170" t="s">
        <v>85</v>
      </c>
      <c r="D5578" s="170" t="s">
        <v>1947</v>
      </c>
      <c r="E5578" s="171" t="s">
        <v>15521</v>
      </c>
      <c r="F5578" s="171" t="s">
        <v>21447</v>
      </c>
      <c r="G5578" s="82"/>
      <c r="H5578" s="96">
        <f t="shared" si="348"/>
        <v>19.23</v>
      </c>
      <c r="I5578" s="96">
        <f t="shared" si="348"/>
        <v>19.45</v>
      </c>
      <c r="J5578" s="91" t="str">
        <f t="shared" si="349"/>
        <v>Sinapi 101227</v>
      </c>
      <c r="K5578" s="91" t="str">
        <f t="shared" si="350"/>
        <v>M3</v>
      </c>
      <c r="L5578" s="166" t="str">
        <f t="shared" si="351"/>
        <v>05/2020</v>
      </c>
      <c r="M5578" s="82"/>
      <c r="N5578" s="82"/>
    </row>
    <row r="5579" spans="1:14" x14ac:dyDescent="0.25">
      <c r="A5579" s="170" t="s">
        <v>8222</v>
      </c>
      <c r="B5579" s="170" t="s">
        <v>21232</v>
      </c>
      <c r="C5579" s="170" t="s">
        <v>85</v>
      </c>
      <c r="D5579" s="170" t="s">
        <v>1947</v>
      </c>
      <c r="E5579" s="171" t="s">
        <v>23153</v>
      </c>
      <c r="F5579" s="171" t="s">
        <v>21493</v>
      </c>
      <c r="G5579" s="82"/>
      <c r="H5579" s="96">
        <f t="shared" si="348"/>
        <v>20.58</v>
      </c>
      <c r="I5579" s="96">
        <f t="shared" si="348"/>
        <v>20.8</v>
      </c>
      <c r="J5579" s="91" t="str">
        <f t="shared" si="349"/>
        <v>Sinapi 101228</v>
      </c>
      <c r="K5579" s="91" t="str">
        <f t="shared" si="350"/>
        <v>M3</v>
      </c>
      <c r="L5579" s="166" t="str">
        <f t="shared" si="351"/>
        <v>05/2020</v>
      </c>
      <c r="M5579" s="82"/>
      <c r="N5579" s="82"/>
    </row>
    <row r="5580" spans="1:14" x14ac:dyDescent="0.25">
      <c r="A5580" s="170" t="s">
        <v>8223</v>
      </c>
      <c r="B5580" s="170" t="s">
        <v>21233</v>
      </c>
      <c r="C5580" s="170" t="s">
        <v>85</v>
      </c>
      <c r="D5580" s="170" t="s">
        <v>1947</v>
      </c>
      <c r="E5580" s="171" t="s">
        <v>29263</v>
      </c>
      <c r="F5580" s="171" t="s">
        <v>21561</v>
      </c>
      <c r="G5580" s="82"/>
      <c r="H5580" s="96">
        <f t="shared" si="348"/>
        <v>25.95</v>
      </c>
      <c r="I5580" s="96">
        <f t="shared" si="348"/>
        <v>26.23</v>
      </c>
      <c r="J5580" s="91" t="str">
        <f t="shared" si="349"/>
        <v>Sinapi 101229</v>
      </c>
      <c r="K5580" s="91" t="str">
        <f t="shared" si="350"/>
        <v>M3</v>
      </c>
      <c r="L5580" s="166" t="str">
        <f t="shared" si="351"/>
        <v>05/2020</v>
      </c>
      <c r="M5580" s="82"/>
      <c r="N5580" s="82"/>
    </row>
    <row r="5581" spans="1:14" x14ac:dyDescent="0.25">
      <c r="A5581" s="170" t="s">
        <v>8224</v>
      </c>
      <c r="B5581" s="170" t="s">
        <v>21234</v>
      </c>
      <c r="C5581" s="170" t="s">
        <v>85</v>
      </c>
      <c r="D5581" s="170" t="s">
        <v>1947</v>
      </c>
      <c r="E5581" s="171" t="s">
        <v>31251</v>
      </c>
      <c r="F5581" s="171" t="s">
        <v>20977</v>
      </c>
      <c r="G5581" s="82"/>
      <c r="H5581" s="96">
        <f t="shared" si="348"/>
        <v>11.33</v>
      </c>
      <c r="I5581" s="96">
        <f t="shared" si="348"/>
        <v>11.51</v>
      </c>
      <c r="J5581" s="91" t="str">
        <f t="shared" si="349"/>
        <v>Sinapi 101230</v>
      </c>
      <c r="K5581" s="91" t="str">
        <f t="shared" si="350"/>
        <v>M3</v>
      </c>
      <c r="L5581" s="166" t="str">
        <f t="shared" si="351"/>
        <v>05/2020</v>
      </c>
      <c r="M5581" s="82"/>
      <c r="N5581" s="82"/>
    </row>
    <row r="5582" spans="1:14" x14ac:dyDescent="0.25">
      <c r="A5582" s="170" t="s">
        <v>8225</v>
      </c>
      <c r="B5582" s="170" t="s">
        <v>21235</v>
      </c>
      <c r="C5582" s="170" t="s">
        <v>85</v>
      </c>
      <c r="D5582" s="170" t="s">
        <v>1947</v>
      </c>
      <c r="E5582" s="171" t="s">
        <v>16284</v>
      </c>
      <c r="F5582" s="171" t="s">
        <v>22047</v>
      </c>
      <c r="G5582" s="82"/>
      <c r="H5582" s="96">
        <f t="shared" si="348"/>
        <v>10.78</v>
      </c>
      <c r="I5582" s="96">
        <f t="shared" si="348"/>
        <v>10.95</v>
      </c>
      <c r="J5582" s="91" t="str">
        <f t="shared" si="349"/>
        <v>Sinapi 101231</v>
      </c>
      <c r="K5582" s="91" t="str">
        <f t="shared" si="350"/>
        <v>M3</v>
      </c>
      <c r="L5582" s="166" t="str">
        <f t="shared" si="351"/>
        <v>05/2020</v>
      </c>
      <c r="M5582" s="82"/>
      <c r="N5582" s="82"/>
    </row>
    <row r="5583" spans="1:14" x14ac:dyDescent="0.25">
      <c r="A5583" s="170" t="s">
        <v>8226</v>
      </c>
      <c r="B5583" s="170" t="s">
        <v>21236</v>
      </c>
      <c r="C5583" s="170" t="s">
        <v>85</v>
      </c>
      <c r="D5583" s="170" t="s">
        <v>1947</v>
      </c>
      <c r="E5583" s="171" t="s">
        <v>21906</v>
      </c>
      <c r="F5583" s="171" t="s">
        <v>28560</v>
      </c>
      <c r="G5583" s="82"/>
      <c r="H5583" s="96">
        <f t="shared" si="348"/>
        <v>9.75</v>
      </c>
      <c r="I5583" s="96">
        <f t="shared" si="348"/>
        <v>9.8699999999999992</v>
      </c>
      <c r="J5583" s="91" t="str">
        <f t="shared" si="349"/>
        <v>Sinapi 101232</v>
      </c>
      <c r="K5583" s="91" t="str">
        <f t="shared" si="350"/>
        <v>M3</v>
      </c>
      <c r="L5583" s="166" t="str">
        <f t="shared" si="351"/>
        <v>05/2020</v>
      </c>
      <c r="M5583" s="82"/>
      <c r="N5583" s="82"/>
    </row>
    <row r="5584" spans="1:14" x14ac:dyDescent="0.25">
      <c r="A5584" s="170" t="s">
        <v>8227</v>
      </c>
      <c r="B5584" s="170" t="s">
        <v>21237</v>
      </c>
      <c r="C5584" s="170" t="s">
        <v>85</v>
      </c>
      <c r="D5584" s="170" t="s">
        <v>1947</v>
      </c>
      <c r="E5584" s="171" t="s">
        <v>19264</v>
      </c>
      <c r="F5584" s="171" t="s">
        <v>16369</v>
      </c>
      <c r="G5584" s="82"/>
      <c r="H5584" s="96">
        <f t="shared" si="348"/>
        <v>9</v>
      </c>
      <c r="I5584" s="96">
        <f t="shared" si="348"/>
        <v>9.1199999999999992</v>
      </c>
      <c r="J5584" s="91" t="str">
        <f t="shared" si="349"/>
        <v>Sinapi 101233</v>
      </c>
      <c r="K5584" s="91" t="str">
        <f t="shared" si="350"/>
        <v>M3</v>
      </c>
      <c r="L5584" s="166" t="str">
        <f t="shared" si="351"/>
        <v>05/2020</v>
      </c>
      <c r="M5584" s="82"/>
      <c r="N5584" s="82"/>
    </row>
    <row r="5585" spans="1:14" x14ac:dyDescent="0.25">
      <c r="A5585" s="170" t="s">
        <v>8228</v>
      </c>
      <c r="B5585" s="170" t="s">
        <v>21238</v>
      </c>
      <c r="C5585" s="170" t="s">
        <v>85</v>
      </c>
      <c r="D5585" s="170" t="s">
        <v>1947</v>
      </c>
      <c r="E5585" s="171" t="s">
        <v>12106</v>
      </c>
      <c r="F5585" s="171" t="s">
        <v>21845</v>
      </c>
      <c r="G5585" s="82"/>
      <c r="H5585" s="96">
        <f t="shared" si="348"/>
        <v>17.72</v>
      </c>
      <c r="I5585" s="96">
        <f t="shared" si="348"/>
        <v>17.97</v>
      </c>
      <c r="J5585" s="91" t="str">
        <f t="shared" si="349"/>
        <v>Sinapi 101234</v>
      </c>
      <c r="K5585" s="91" t="str">
        <f t="shared" si="350"/>
        <v>M3</v>
      </c>
      <c r="L5585" s="166" t="str">
        <f t="shared" si="351"/>
        <v>05/2020</v>
      </c>
      <c r="M5585" s="82"/>
      <c r="N5585" s="82"/>
    </row>
    <row r="5586" spans="1:14" x14ac:dyDescent="0.25">
      <c r="A5586" s="170" t="s">
        <v>8229</v>
      </c>
      <c r="B5586" s="170" t="s">
        <v>21239</v>
      </c>
      <c r="C5586" s="170" t="s">
        <v>85</v>
      </c>
      <c r="D5586" s="170" t="s">
        <v>1947</v>
      </c>
      <c r="E5586" s="171" t="s">
        <v>21104</v>
      </c>
      <c r="F5586" s="171" t="s">
        <v>23055</v>
      </c>
      <c r="G5586" s="82"/>
      <c r="H5586" s="96">
        <f t="shared" si="348"/>
        <v>18.72</v>
      </c>
      <c r="I5586" s="96">
        <f t="shared" si="348"/>
        <v>18.97</v>
      </c>
      <c r="J5586" s="91" t="str">
        <f t="shared" si="349"/>
        <v>Sinapi 101235</v>
      </c>
      <c r="K5586" s="91" t="str">
        <f t="shared" si="350"/>
        <v>M3</v>
      </c>
      <c r="L5586" s="166" t="str">
        <f t="shared" si="351"/>
        <v>05/2020</v>
      </c>
      <c r="M5586" s="82"/>
      <c r="N5586" s="82"/>
    </row>
    <row r="5587" spans="1:14" x14ac:dyDescent="0.25">
      <c r="A5587" s="170" t="s">
        <v>8230</v>
      </c>
      <c r="B5587" s="170" t="s">
        <v>21240</v>
      </c>
      <c r="C5587" s="170" t="s">
        <v>85</v>
      </c>
      <c r="D5587" s="170" t="s">
        <v>1947</v>
      </c>
      <c r="E5587" s="171" t="s">
        <v>15586</v>
      </c>
      <c r="F5587" s="171" t="s">
        <v>28779</v>
      </c>
      <c r="G5587" s="82"/>
      <c r="H5587" s="96">
        <f t="shared" si="348"/>
        <v>21.82</v>
      </c>
      <c r="I5587" s="96">
        <f t="shared" si="348"/>
        <v>22.1</v>
      </c>
      <c r="J5587" s="91" t="str">
        <f t="shared" si="349"/>
        <v>Sinapi 101236</v>
      </c>
      <c r="K5587" s="91" t="str">
        <f t="shared" si="350"/>
        <v>M3</v>
      </c>
      <c r="L5587" s="166" t="str">
        <f t="shared" si="351"/>
        <v>05/2020</v>
      </c>
      <c r="M5587" s="82"/>
      <c r="N5587" s="82"/>
    </row>
    <row r="5588" spans="1:14" x14ac:dyDescent="0.25">
      <c r="A5588" s="170" t="s">
        <v>8231</v>
      </c>
      <c r="B5588" s="170" t="s">
        <v>21241</v>
      </c>
      <c r="C5588" s="170" t="s">
        <v>85</v>
      </c>
      <c r="D5588" s="170" t="s">
        <v>1947</v>
      </c>
      <c r="E5588" s="171" t="s">
        <v>16207</v>
      </c>
      <c r="F5588" s="171" t="s">
        <v>21205</v>
      </c>
      <c r="G5588" s="82"/>
      <c r="H5588" s="96">
        <f t="shared" si="348"/>
        <v>23.31</v>
      </c>
      <c r="I5588" s="96">
        <f t="shared" si="348"/>
        <v>23.59</v>
      </c>
      <c r="J5588" s="91" t="str">
        <f t="shared" si="349"/>
        <v>Sinapi 101237</v>
      </c>
      <c r="K5588" s="91" t="str">
        <f t="shared" si="350"/>
        <v>M3</v>
      </c>
      <c r="L5588" s="166" t="str">
        <f t="shared" si="351"/>
        <v>05/2020</v>
      </c>
      <c r="M5588" s="82"/>
      <c r="N5588" s="82"/>
    </row>
    <row r="5589" spans="1:14" x14ac:dyDescent="0.25">
      <c r="A5589" s="170" t="s">
        <v>8232</v>
      </c>
      <c r="B5589" s="170" t="s">
        <v>21242</v>
      </c>
      <c r="C5589" s="170" t="s">
        <v>85</v>
      </c>
      <c r="D5589" s="170" t="s">
        <v>1947</v>
      </c>
      <c r="E5589" s="171" t="s">
        <v>30753</v>
      </c>
      <c r="F5589" s="171" t="s">
        <v>23179</v>
      </c>
      <c r="G5589" s="82"/>
      <c r="H5589" s="96">
        <f t="shared" si="348"/>
        <v>29.5</v>
      </c>
      <c r="I5589" s="96">
        <f t="shared" si="348"/>
        <v>29.86</v>
      </c>
      <c r="J5589" s="91" t="str">
        <f t="shared" si="349"/>
        <v>Sinapi 101238</v>
      </c>
      <c r="K5589" s="91" t="str">
        <f t="shared" si="350"/>
        <v>M3</v>
      </c>
      <c r="L5589" s="166" t="str">
        <f t="shared" si="351"/>
        <v>05/2020</v>
      </c>
      <c r="M5589" s="82"/>
      <c r="N5589" s="82"/>
    </row>
    <row r="5590" spans="1:14" x14ac:dyDescent="0.25">
      <c r="A5590" s="170" t="s">
        <v>8233</v>
      </c>
      <c r="B5590" s="170" t="s">
        <v>21243</v>
      </c>
      <c r="C5590" s="170" t="s">
        <v>85</v>
      </c>
      <c r="D5590" s="170" t="s">
        <v>1947</v>
      </c>
      <c r="E5590" s="171" t="s">
        <v>20488</v>
      </c>
      <c r="F5590" s="171" t="s">
        <v>14634</v>
      </c>
      <c r="G5590" s="82"/>
      <c r="H5590" s="96">
        <f t="shared" si="348"/>
        <v>15.64</v>
      </c>
      <c r="I5590" s="96">
        <f t="shared" si="348"/>
        <v>15.82</v>
      </c>
      <c r="J5590" s="91" t="str">
        <f t="shared" si="349"/>
        <v>Sinapi 101239</v>
      </c>
      <c r="K5590" s="91" t="str">
        <f t="shared" si="350"/>
        <v>M3</v>
      </c>
      <c r="L5590" s="166" t="str">
        <f t="shared" si="351"/>
        <v>05/2020</v>
      </c>
      <c r="M5590" s="82"/>
      <c r="N5590" s="82"/>
    </row>
    <row r="5591" spans="1:14" x14ac:dyDescent="0.25">
      <c r="A5591" s="170" t="s">
        <v>8234</v>
      </c>
      <c r="B5591" s="170" t="s">
        <v>21244</v>
      </c>
      <c r="C5591" s="170" t="s">
        <v>85</v>
      </c>
      <c r="D5591" s="170" t="s">
        <v>1947</v>
      </c>
      <c r="E5591" s="171" t="s">
        <v>28647</v>
      </c>
      <c r="F5591" s="171" t="s">
        <v>22768</v>
      </c>
      <c r="G5591" s="82"/>
      <c r="H5591" s="96">
        <f t="shared" si="348"/>
        <v>16.54</v>
      </c>
      <c r="I5591" s="96">
        <f t="shared" si="348"/>
        <v>16.73</v>
      </c>
      <c r="J5591" s="91" t="str">
        <f t="shared" si="349"/>
        <v>Sinapi 101240</v>
      </c>
      <c r="K5591" s="91" t="str">
        <f t="shared" si="350"/>
        <v>M3</v>
      </c>
      <c r="L5591" s="166" t="str">
        <f t="shared" si="351"/>
        <v>05/2020</v>
      </c>
      <c r="M5591" s="82"/>
      <c r="N5591" s="82"/>
    </row>
    <row r="5592" spans="1:14" x14ac:dyDescent="0.25">
      <c r="A5592" s="170" t="s">
        <v>8235</v>
      </c>
      <c r="B5592" s="170" t="s">
        <v>21245</v>
      </c>
      <c r="C5592" s="170" t="s">
        <v>85</v>
      </c>
      <c r="D5592" s="170" t="s">
        <v>1947</v>
      </c>
      <c r="E5592" s="171" t="s">
        <v>30696</v>
      </c>
      <c r="F5592" s="171" t="s">
        <v>17932</v>
      </c>
      <c r="G5592" s="82"/>
      <c r="H5592" s="96">
        <f t="shared" si="348"/>
        <v>19.34</v>
      </c>
      <c r="I5592" s="96">
        <f t="shared" si="348"/>
        <v>19.559999999999999</v>
      </c>
      <c r="J5592" s="91" t="str">
        <f t="shared" si="349"/>
        <v>Sinapi 101241</v>
      </c>
      <c r="K5592" s="91" t="str">
        <f t="shared" si="350"/>
        <v>M3</v>
      </c>
      <c r="L5592" s="166" t="str">
        <f t="shared" si="351"/>
        <v>05/2020</v>
      </c>
      <c r="M5592" s="82"/>
      <c r="N5592" s="82"/>
    </row>
    <row r="5593" spans="1:14" x14ac:dyDescent="0.25">
      <c r="A5593" s="170" t="s">
        <v>8236</v>
      </c>
      <c r="B5593" s="170" t="s">
        <v>21246</v>
      </c>
      <c r="C5593" s="170" t="s">
        <v>85</v>
      </c>
      <c r="D5593" s="170" t="s">
        <v>1947</v>
      </c>
      <c r="E5593" s="171" t="s">
        <v>21462</v>
      </c>
      <c r="F5593" s="171" t="s">
        <v>16422</v>
      </c>
      <c r="G5593" s="82"/>
      <c r="H5593" s="96">
        <f t="shared" si="348"/>
        <v>21.59</v>
      </c>
      <c r="I5593" s="96">
        <f t="shared" si="348"/>
        <v>21.84</v>
      </c>
      <c r="J5593" s="91" t="str">
        <f t="shared" si="349"/>
        <v>Sinapi 101242</v>
      </c>
      <c r="K5593" s="91" t="str">
        <f t="shared" si="350"/>
        <v>M3</v>
      </c>
      <c r="L5593" s="166" t="str">
        <f t="shared" si="351"/>
        <v>05/2020</v>
      </c>
      <c r="M5593" s="82"/>
      <c r="N5593" s="82"/>
    </row>
    <row r="5594" spans="1:14" x14ac:dyDescent="0.25">
      <c r="A5594" s="170" t="s">
        <v>8237</v>
      </c>
      <c r="B5594" s="170" t="s">
        <v>21247</v>
      </c>
      <c r="C5594" s="170" t="s">
        <v>85</v>
      </c>
      <c r="D5594" s="170" t="s">
        <v>1947</v>
      </c>
      <c r="E5594" s="171" t="s">
        <v>19385</v>
      </c>
      <c r="F5594" s="171" t="s">
        <v>16356</v>
      </c>
      <c r="G5594" s="82"/>
      <c r="H5594" s="96">
        <f t="shared" si="348"/>
        <v>26.25</v>
      </c>
      <c r="I5594" s="96">
        <f t="shared" si="348"/>
        <v>26.54</v>
      </c>
      <c r="J5594" s="91" t="str">
        <f t="shared" si="349"/>
        <v>Sinapi 101243</v>
      </c>
      <c r="K5594" s="91" t="str">
        <f t="shared" si="350"/>
        <v>M3</v>
      </c>
      <c r="L5594" s="166" t="str">
        <f t="shared" si="351"/>
        <v>05/2020</v>
      </c>
      <c r="M5594" s="82"/>
      <c r="N5594" s="82"/>
    </row>
    <row r="5595" spans="1:14" x14ac:dyDescent="0.25">
      <c r="A5595" s="170" t="s">
        <v>8238</v>
      </c>
      <c r="B5595" s="170" t="s">
        <v>21248</v>
      </c>
      <c r="C5595" s="170" t="s">
        <v>85</v>
      </c>
      <c r="D5595" s="170" t="s">
        <v>1947</v>
      </c>
      <c r="E5595" s="171" t="s">
        <v>18605</v>
      </c>
      <c r="F5595" s="171" t="s">
        <v>20990</v>
      </c>
      <c r="G5595" s="82"/>
      <c r="H5595" s="96">
        <f t="shared" si="348"/>
        <v>16.420000000000002</v>
      </c>
      <c r="I5595" s="96">
        <f t="shared" si="348"/>
        <v>16.62</v>
      </c>
      <c r="J5595" s="91" t="str">
        <f t="shared" si="349"/>
        <v>Sinapi 101244</v>
      </c>
      <c r="K5595" s="91" t="str">
        <f t="shared" si="350"/>
        <v>M3</v>
      </c>
      <c r="L5595" s="166" t="str">
        <f t="shared" si="351"/>
        <v>05/2020</v>
      </c>
      <c r="M5595" s="82"/>
      <c r="N5595" s="82"/>
    </row>
    <row r="5596" spans="1:14" x14ac:dyDescent="0.25">
      <c r="A5596" s="170" t="s">
        <v>8239</v>
      </c>
      <c r="B5596" s="170" t="s">
        <v>21250</v>
      </c>
      <c r="C5596" s="170" t="s">
        <v>85</v>
      </c>
      <c r="D5596" s="170" t="s">
        <v>1947</v>
      </c>
      <c r="E5596" s="171" t="s">
        <v>18593</v>
      </c>
      <c r="F5596" s="171" t="s">
        <v>16417</v>
      </c>
      <c r="G5596" s="82"/>
      <c r="H5596" s="96">
        <f t="shared" si="348"/>
        <v>17.43</v>
      </c>
      <c r="I5596" s="96">
        <f t="shared" si="348"/>
        <v>17.62</v>
      </c>
      <c r="J5596" s="91" t="str">
        <f t="shared" si="349"/>
        <v>Sinapi 101245</v>
      </c>
      <c r="K5596" s="91" t="str">
        <f t="shared" si="350"/>
        <v>M3</v>
      </c>
      <c r="L5596" s="166" t="str">
        <f t="shared" si="351"/>
        <v>05/2020</v>
      </c>
      <c r="M5596" s="82"/>
      <c r="N5596" s="82"/>
    </row>
    <row r="5597" spans="1:14" x14ac:dyDescent="0.25">
      <c r="A5597" s="170" t="s">
        <v>8240</v>
      </c>
      <c r="B5597" s="170" t="s">
        <v>21251</v>
      </c>
      <c r="C5597" s="170" t="s">
        <v>85</v>
      </c>
      <c r="D5597" s="170" t="s">
        <v>1947</v>
      </c>
      <c r="E5597" s="171" t="s">
        <v>28933</v>
      </c>
      <c r="F5597" s="171" t="s">
        <v>16358</v>
      </c>
      <c r="G5597" s="82"/>
      <c r="H5597" s="96">
        <f t="shared" si="348"/>
        <v>20.28</v>
      </c>
      <c r="I5597" s="96">
        <f t="shared" si="348"/>
        <v>20.5</v>
      </c>
      <c r="J5597" s="91" t="str">
        <f t="shared" si="349"/>
        <v>Sinapi 101246</v>
      </c>
      <c r="K5597" s="91" t="str">
        <f t="shared" si="350"/>
        <v>M3</v>
      </c>
      <c r="L5597" s="166" t="str">
        <f t="shared" si="351"/>
        <v>05/2020</v>
      </c>
      <c r="M5597" s="82"/>
      <c r="N5597" s="82"/>
    </row>
    <row r="5598" spans="1:14" x14ac:dyDescent="0.25">
      <c r="A5598" s="170" t="s">
        <v>8241</v>
      </c>
      <c r="B5598" s="170" t="s">
        <v>21252</v>
      </c>
      <c r="C5598" s="170" t="s">
        <v>85</v>
      </c>
      <c r="D5598" s="170" t="s">
        <v>1947</v>
      </c>
      <c r="E5598" s="171" t="s">
        <v>18696</v>
      </c>
      <c r="F5598" s="171" t="s">
        <v>32900</v>
      </c>
      <c r="G5598" s="82"/>
      <c r="H5598" s="96">
        <f t="shared" si="348"/>
        <v>22.51</v>
      </c>
      <c r="I5598" s="96">
        <f t="shared" si="348"/>
        <v>22.76</v>
      </c>
      <c r="J5598" s="91" t="str">
        <f t="shared" si="349"/>
        <v>Sinapi 101247</v>
      </c>
      <c r="K5598" s="91" t="str">
        <f t="shared" si="350"/>
        <v>M3</v>
      </c>
      <c r="L5598" s="166" t="str">
        <f t="shared" si="351"/>
        <v>05/2020</v>
      </c>
      <c r="M5598" s="82"/>
      <c r="N5598" s="82"/>
    </row>
    <row r="5599" spans="1:14" x14ac:dyDescent="0.25">
      <c r="A5599" s="170" t="s">
        <v>8242</v>
      </c>
      <c r="B5599" s="170" t="s">
        <v>21253</v>
      </c>
      <c r="C5599" s="170" t="s">
        <v>85</v>
      </c>
      <c r="D5599" s="170" t="s">
        <v>1947</v>
      </c>
      <c r="E5599" s="171" t="s">
        <v>20357</v>
      </c>
      <c r="F5599" s="171" t="s">
        <v>37397</v>
      </c>
      <c r="G5599" s="82"/>
      <c r="H5599" s="96">
        <f t="shared" si="348"/>
        <v>28.23</v>
      </c>
      <c r="I5599" s="96">
        <f t="shared" si="348"/>
        <v>28.54</v>
      </c>
      <c r="J5599" s="91" t="str">
        <f t="shared" si="349"/>
        <v>Sinapi 101248</v>
      </c>
      <c r="K5599" s="91" t="str">
        <f t="shared" si="350"/>
        <v>M3</v>
      </c>
      <c r="L5599" s="166" t="str">
        <f t="shared" si="351"/>
        <v>05/2020</v>
      </c>
      <c r="M5599" s="82"/>
      <c r="N5599" s="82"/>
    </row>
    <row r="5600" spans="1:14" x14ac:dyDescent="0.25">
      <c r="A5600" s="170" t="s">
        <v>8243</v>
      </c>
      <c r="B5600" s="170" t="s">
        <v>21254</v>
      </c>
      <c r="C5600" s="170" t="s">
        <v>85</v>
      </c>
      <c r="D5600" s="170" t="s">
        <v>1947</v>
      </c>
      <c r="E5600" s="171" t="s">
        <v>13767</v>
      </c>
      <c r="F5600" s="171" t="s">
        <v>21498</v>
      </c>
      <c r="G5600" s="82"/>
      <c r="H5600" s="96">
        <f t="shared" si="348"/>
        <v>14.34</v>
      </c>
      <c r="I5600" s="96">
        <f t="shared" si="348"/>
        <v>14.5</v>
      </c>
      <c r="J5600" s="91" t="str">
        <f t="shared" si="349"/>
        <v>Sinapi 101249</v>
      </c>
      <c r="K5600" s="91" t="str">
        <f t="shared" si="350"/>
        <v>M3</v>
      </c>
      <c r="L5600" s="166" t="str">
        <f t="shared" si="351"/>
        <v>05/2020</v>
      </c>
      <c r="M5600" s="82"/>
      <c r="N5600" s="82"/>
    </row>
    <row r="5601" spans="1:14" x14ac:dyDescent="0.25">
      <c r="A5601" s="170" t="s">
        <v>8244</v>
      </c>
      <c r="B5601" s="170" t="s">
        <v>21255</v>
      </c>
      <c r="C5601" s="170" t="s">
        <v>85</v>
      </c>
      <c r="D5601" s="170" t="s">
        <v>1947</v>
      </c>
      <c r="E5601" s="171" t="s">
        <v>23052</v>
      </c>
      <c r="F5601" s="171" t="s">
        <v>19836</v>
      </c>
      <c r="G5601" s="82"/>
      <c r="H5601" s="96">
        <f t="shared" si="348"/>
        <v>15.91</v>
      </c>
      <c r="I5601" s="96">
        <f t="shared" si="348"/>
        <v>16.09</v>
      </c>
      <c r="J5601" s="91" t="str">
        <f t="shared" si="349"/>
        <v>Sinapi 101250</v>
      </c>
      <c r="K5601" s="91" t="str">
        <f t="shared" si="350"/>
        <v>M3</v>
      </c>
      <c r="L5601" s="166" t="str">
        <f t="shared" si="351"/>
        <v>05/2020</v>
      </c>
      <c r="M5601" s="82"/>
      <c r="N5601" s="82"/>
    </row>
    <row r="5602" spans="1:14" x14ac:dyDescent="0.25">
      <c r="A5602" s="170" t="s">
        <v>8245</v>
      </c>
      <c r="B5602" s="170" t="s">
        <v>21256</v>
      </c>
      <c r="C5602" s="170" t="s">
        <v>85</v>
      </c>
      <c r="D5602" s="170" t="s">
        <v>1947</v>
      </c>
      <c r="E5602" s="171" t="s">
        <v>15765</v>
      </c>
      <c r="F5602" s="171" t="s">
        <v>32100</v>
      </c>
      <c r="G5602" s="82"/>
      <c r="H5602" s="96">
        <f t="shared" si="348"/>
        <v>18.149999999999999</v>
      </c>
      <c r="I5602" s="96">
        <f t="shared" si="348"/>
        <v>18.34</v>
      </c>
      <c r="J5602" s="91" t="str">
        <f t="shared" si="349"/>
        <v>Sinapi 101251</v>
      </c>
      <c r="K5602" s="91" t="str">
        <f t="shared" si="350"/>
        <v>M3</v>
      </c>
      <c r="L5602" s="166" t="str">
        <f t="shared" si="351"/>
        <v>05/2020</v>
      </c>
      <c r="M5602" s="82"/>
      <c r="N5602" s="82"/>
    </row>
    <row r="5603" spans="1:14" x14ac:dyDescent="0.25">
      <c r="A5603" s="170" t="s">
        <v>8246</v>
      </c>
      <c r="B5603" s="170" t="s">
        <v>21257</v>
      </c>
      <c r="C5603" s="170" t="s">
        <v>85</v>
      </c>
      <c r="D5603" s="170" t="s">
        <v>1947</v>
      </c>
      <c r="E5603" s="171" t="s">
        <v>20119</v>
      </c>
      <c r="F5603" s="171" t="s">
        <v>21599</v>
      </c>
      <c r="G5603" s="82"/>
      <c r="H5603" s="96">
        <f t="shared" si="348"/>
        <v>19.739999999999998</v>
      </c>
      <c r="I5603" s="96">
        <f t="shared" si="348"/>
        <v>19.95</v>
      </c>
      <c r="J5603" s="91" t="str">
        <f t="shared" si="349"/>
        <v>Sinapi 101252</v>
      </c>
      <c r="K5603" s="91" t="str">
        <f t="shared" si="350"/>
        <v>M3</v>
      </c>
      <c r="L5603" s="166" t="str">
        <f t="shared" si="351"/>
        <v>05/2020</v>
      </c>
      <c r="M5603" s="82"/>
      <c r="N5603" s="82"/>
    </row>
    <row r="5604" spans="1:14" x14ac:dyDescent="0.25">
      <c r="A5604" s="170" t="s">
        <v>8247</v>
      </c>
      <c r="B5604" s="170" t="s">
        <v>21259</v>
      </c>
      <c r="C5604" s="170" t="s">
        <v>85</v>
      </c>
      <c r="D5604" s="170" t="s">
        <v>1947</v>
      </c>
      <c r="E5604" s="171" t="s">
        <v>19965</v>
      </c>
      <c r="F5604" s="171" t="s">
        <v>21181</v>
      </c>
      <c r="G5604" s="82"/>
      <c r="H5604" s="96">
        <f t="shared" si="348"/>
        <v>24.91</v>
      </c>
      <c r="I5604" s="96">
        <f t="shared" si="348"/>
        <v>25.16</v>
      </c>
      <c r="J5604" s="91" t="str">
        <f t="shared" si="349"/>
        <v>Sinapi 101253</v>
      </c>
      <c r="K5604" s="91" t="str">
        <f t="shared" si="350"/>
        <v>M3</v>
      </c>
      <c r="L5604" s="166" t="str">
        <f t="shared" si="351"/>
        <v>05/2020</v>
      </c>
      <c r="M5604" s="82"/>
      <c r="N5604" s="82"/>
    </row>
    <row r="5605" spans="1:14" x14ac:dyDescent="0.25">
      <c r="A5605" s="170" t="s">
        <v>8248</v>
      </c>
      <c r="B5605" s="170" t="s">
        <v>21260</v>
      </c>
      <c r="C5605" s="170" t="s">
        <v>85</v>
      </c>
      <c r="D5605" s="170" t="s">
        <v>1947</v>
      </c>
      <c r="E5605" s="171" t="s">
        <v>19883</v>
      </c>
      <c r="F5605" s="171" t="s">
        <v>19899</v>
      </c>
      <c r="G5605" s="82"/>
      <c r="H5605" s="96">
        <f t="shared" si="348"/>
        <v>13.12</v>
      </c>
      <c r="I5605" s="96">
        <f t="shared" si="348"/>
        <v>13.35</v>
      </c>
      <c r="J5605" s="91" t="str">
        <f t="shared" si="349"/>
        <v>Sinapi 101254</v>
      </c>
      <c r="K5605" s="91" t="str">
        <f t="shared" si="350"/>
        <v>M3</v>
      </c>
      <c r="L5605" s="166" t="str">
        <f t="shared" si="351"/>
        <v>05/2020</v>
      </c>
      <c r="M5605" s="82"/>
      <c r="N5605" s="82"/>
    </row>
    <row r="5606" spans="1:14" x14ac:dyDescent="0.25">
      <c r="A5606" s="170" t="s">
        <v>8249</v>
      </c>
      <c r="B5606" s="170" t="s">
        <v>21261</v>
      </c>
      <c r="C5606" s="170" t="s">
        <v>85</v>
      </c>
      <c r="D5606" s="170" t="s">
        <v>1947</v>
      </c>
      <c r="E5606" s="171" t="s">
        <v>15527</v>
      </c>
      <c r="F5606" s="171" t="s">
        <v>7328</v>
      </c>
      <c r="G5606" s="82"/>
      <c r="H5606" s="96">
        <f t="shared" si="348"/>
        <v>11.65</v>
      </c>
      <c r="I5606" s="96">
        <f t="shared" si="348"/>
        <v>11.82</v>
      </c>
      <c r="J5606" s="91" t="str">
        <f t="shared" si="349"/>
        <v>Sinapi 101255</v>
      </c>
      <c r="K5606" s="91" t="str">
        <f t="shared" si="350"/>
        <v>M3</v>
      </c>
      <c r="L5606" s="166" t="str">
        <f t="shared" si="351"/>
        <v>05/2020</v>
      </c>
      <c r="M5606" s="82"/>
      <c r="N5606" s="82"/>
    </row>
    <row r="5607" spans="1:14" x14ac:dyDescent="0.25">
      <c r="A5607" s="170" t="s">
        <v>8250</v>
      </c>
      <c r="B5607" s="170" t="s">
        <v>21262</v>
      </c>
      <c r="C5607" s="170" t="s">
        <v>85</v>
      </c>
      <c r="D5607" s="170" t="s">
        <v>1947</v>
      </c>
      <c r="E5607" s="171" t="s">
        <v>22818</v>
      </c>
      <c r="F5607" s="171" t="s">
        <v>17942</v>
      </c>
      <c r="G5607" s="82"/>
      <c r="H5607" s="96">
        <f t="shared" si="348"/>
        <v>20.39</v>
      </c>
      <c r="I5607" s="96">
        <f t="shared" si="348"/>
        <v>20.71</v>
      </c>
      <c r="J5607" s="91" t="str">
        <f t="shared" si="349"/>
        <v>Sinapi 101256</v>
      </c>
      <c r="K5607" s="91" t="str">
        <f t="shared" si="350"/>
        <v>M3</v>
      </c>
      <c r="L5607" s="166" t="str">
        <f t="shared" si="351"/>
        <v>05/2020</v>
      </c>
      <c r="M5607" s="82"/>
      <c r="N5607" s="82"/>
    </row>
    <row r="5608" spans="1:14" x14ac:dyDescent="0.25">
      <c r="A5608" s="170" t="s">
        <v>8251</v>
      </c>
      <c r="B5608" s="170" t="s">
        <v>21263</v>
      </c>
      <c r="C5608" s="170" t="s">
        <v>85</v>
      </c>
      <c r="D5608" s="170" t="s">
        <v>1947</v>
      </c>
      <c r="E5608" s="171" t="s">
        <v>27824</v>
      </c>
      <c r="F5608" s="171" t="s">
        <v>34483</v>
      </c>
      <c r="G5608" s="82"/>
      <c r="H5608" s="96">
        <f t="shared" si="348"/>
        <v>21.55</v>
      </c>
      <c r="I5608" s="96">
        <f t="shared" si="348"/>
        <v>21.87</v>
      </c>
      <c r="J5608" s="91" t="str">
        <f t="shared" si="349"/>
        <v>Sinapi 101257</v>
      </c>
      <c r="K5608" s="91" t="str">
        <f t="shared" si="350"/>
        <v>M3</v>
      </c>
      <c r="L5608" s="166" t="str">
        <f t="shared" si="351"/>
        <v>05/2020</v>
      </c>
      <c r="M5608" s="82"/>
      <c r="N5608" s="82"/>
    </row>
    <row r="5609" spans="1:14" x14ac:dyDescent="0.25">
      <c r="A5609" s="170" t="s">
        <v>8252</v>
      </c>
      <c r="B5609" s="170" t="s">
        <v>21264</v>
      </c>
      <c r="C5609" s="170" t="s">
        <v>85</v>
      </c>
      <c r="D5609" s="170" t="s">
        <v>1947</v>
      </c>
      <c r="E5609" s="171" t="s">
        <v>20469</v>
      </c>
      <c r="F5609" s="171" t="s">
        <v>30047</v>
      </c>
      <c r="G5609" s="82"/>
      <c r="H5609" s="96">
        <f t="shared" si="348"/>
        <v>25.02</v>
      </c>
      <c r="I5609" s="96">
        <f t="shared" si="348"/>
        <v>25.39</v>
      </c>
      <c r="J5609" s="91" t="str">
        <f t="shared" si="349"/>
        <v>Sinapi 101258</v>
      </c>
      <c r="K5609" s="91" t="str">
        <f t="shared" si="350"/>
        <v>M3</v>
      </c>
      <c r="L5609" s="166" t="str">
        <f t="shared" si="351"/>
        <v>05/2020</v>
      </c>
      <c r="M5609" s="82"/>
      <c r="N5609" s="82"/>
    </row>
    <row r="5610" spans="1:14" x14ac:dyDescent="0.25">
      <c r="A5610" s="170" t="s">
        <v>8253</v>
      </c>
      <c r="B5610" s="170" t="s">
        <v>21265</v>
      </c>
      <c r="C5610" s="170" t="s">
        <v>85</v>
      </c>
      <c r="D5610" s="170" t="s">
        <v>1947</v>
      </c>
      <c r="E5610" s="171" t="s">
        <v>23144</v>
      </c>
      <c r="F5610" s="171" t="s">
        <v>21438</v>
      </c>
      <c r="G5610" s="82"/>
      <c r="H5610" s="96">
        <f t="shared" si="348"/>
        <v>27.79</v>
      </c>
      <c r="I5610" s="96">
        <f t="shared" si="348"/>
        <v>28.2</v>
      </c>
      <c r="J5610" s="91" t="str">
        <f t="shared" si="349"/>
        <v>Sinapi 101259</v>
      </c>
      <c r="K5610" s="91" t="str">
        <f t="shared" si="350"/>
        <v>M3</v>
      </c>
      <c r="L5610" s="166" t="str">
        <f t="shared" si="351"/>
        <v>05/2020</v>
      </c>
      <c r="M5610" s="82"/>
      <c r="N5610" s="82"/>
    </row>
    <row r="5611" spans="1:14" x14ac:dyDescent="0.25">
      <c r="A5611" s="170" t="s">
        <v>8254</v>
      </c>
      <c r="B5611" s="170" t="s">
        <v>21266</v>
      </c>
      <c r="C5611" s="170" t="s">
        <v>85</v>
      </c>
      <c r="D5611" s="170" t="s">
        <v>1947</v>
      </c>
      <c r="E5611" s="171" t="s">
        <v>34247</v>
      </c>
      <c r="F5611" s="171" t="s">
        <v>20648</v>
      </c>
      <c r="G5611" s="82"/>
      <c r="H5611" s="96">
        <f t="shared" si="348"/>
        <v>34.799999999999997</v>
      </c>
      <c r="I5611" s="96">
        <f t="shared" si="348"/>
        <v>35.29</v>
      </c>
      <c r="J5611" s="91" t="str">
        <f t="shared" si="349"/>
        <v>Sinapi 101260</v>
      </c>
      <c r="K5611" s="91" t="str">
        <f t="shared" si="350"/>
        <v>M3</v>
      </c>
      <c r="L5611" s="166" t="str">
        <f t="shared" si="351"/>
        <v>05/2020</v>
      </c>
      <c r="M5611" s="82"/>
      <c r="N5611" s="82"/>
    </row>
    <row r="5612" spans="1:14" x14ac:dyDescent="0.25">
      <c r="A5612" s="170" t="s">
        <v>8255</v>
      </c>
      <c r="B5612" s="170" t="s">
        <v>21267</v>
      </c>
      <c r="C5612" s="170" t="s">
        <v>85</v>
      </c>
      <c r="D5612" s="170" t="s">
        <v>1947</v>
      </c>
      <c r="E5612" s="171" t="s">
        <v>30696</v>
      </c>
      <c r="F5612" s="171" t="s">
        <v>15768</v>
      </c>
      <c r="G5612" s="82"/>
      <c r="H5612" s="96">
        <f t="shared" si="348"/>
        <v>19.34</v>
      </c>
      <c r="I5612" s="96">
        <f t="shared" si="348"/>
        <v>19.61</v>
      </c>
      <c r="J5612" s="91" t="str">
        <f t="shared" si="349"/>
        <v>Sinapi 101261</v>
      </c>
      <c r="K5612" s="91" t="str">
        <f t="shared" si="350"/>
        <v>M3</v>
      </c>
      <c r="L5612" s="166" t="str">
        <f t="shared" si="351"/>
        <v>05/2020</v>
      </c>
      <c r="M5612" s="82"/>
      <c r="N5612" s="82"/>
    </row>
    <row r="5613" spans="1:14" x14ac:dyDescent="0.25">
      <c r="A5613" s="170" t="s">
        <v>8256</v>
      </c>
      <c r="B5613" s="170" t="s">
        <v>21268</v>
      </c>
      <c r="C5613" s="170" t="s">
        <v>85</v>
      </c>
      <c r="D5613" s="170" t="s">
        <v>1947</v>
      </c>
      <c r="E5613" s="171" t="s">
        <v>19872</v>
      </c>
      <c r="F5613" s="171" t="s">
        <v>16406</v>
      </c>
      <c r="G5613" s="82"/>
      <c r="H5613" s="96">
        <f t="shared" si="348"/>
        <v>20.46</v>
      </c>
      <c r="I5613" s="96">
        <f t="shared" si="348"/>
        <v>20.74</v>
      </c>
      <c r="J5613" s="91" t="str">
        <f t="shared" si="349"/>
        <v>Sinapi 101262</v>
      </c>
      <c r="K5613" s="91" t="str">
        <f t="shared" si="350"/>
        <v>M3</v>
      </c>
      <c r="L5613" s="166" t="str">
        <f t="shared" si="351"/>
        <v>05/2020</v>
      </c>
      <c r="M5613" s="82"/>
      <c r="N5613" s="82"/>
    </row>
    <row r="5614" spans="1:14" x14ac:dyDescent="0.25">
      <c r="A5614" s="170" t="s">
        <v>8257</v>
      </c>
      <c r="B5614" s="170" t="s">
        <v>21269</v>
      </c>
      <c r="C5614" s="170" t="s">
        <v>85</v>
      </c>
      <c r="D5614" s="170" t="s">
        <v>1947</v>
      </c>
      <c r="E5614" s="171" t="s">
        <v>17312</v>
      </c>
      <c r="F5614" s="171" t="s">
        <v>37398</v>
      </c>
      <c r="G5614" s="82"/>
      <c r="H5614" s="96">
        <f t="shared" si="348"/>
        <v>23.71</v>
      </c>
      <c r="I5614" s="96">
        <f t="shared" si="348"/>
        <v>24.03</v>
      </c>
      <c r="J5614" s="91" t="str">
        <f t="shared" si="349"/>
        <v>Sinapi 101263</v>
      </c>
      <c r="K5614" s="91" t="str">
        <f t="shared" si="350"/>
        <v>M3</v>
      </c>
      <c r="L5614" s="166" t="str">
        <f t="shared" si="351"/>
        <v>05/2020</v>
      </c>
      <c r="M5614" s="82"/>
      <c r="N5614" s="82"/>
    </row>
    <row r="5615" spans="1:14" x14ac:dyDescent="0.25">
      <c r="A5615" s="170" t="s">
        <v>8258</v>
      </c>
      <c r="B5615" s="170" t="s">
        <v>21270</v>
      </c>
      <c r="C5615" s="170" t="s">
        <v>85</v>
      </c>
      <c r="D5615" s="170" t="s">
        <v>1947</v>
      </c>
      <c r="E5615" s="171" t="s">
        <v>23006</v>
      </c>
      <c r="F5615" s="171" t="s">
        <v>33604</v>
      </c>
      <c r="G5615" s="82"/>
      <c r="H5615" s="96">
        <f t="shared" si="348"/>
        <v>26.29</v>
      </c>
      <c r="I5615" s="96">
        <f t="shared" si="348"/>
        <v>26.64</v>
      </c>
      <c r="J5615" s="91" t="str">
        <f t="shared" si="349"/>
        <v>Sinapi 101264</v>
      </c>
      <c r="K5615" s="91" t="str">
        <f t="shared" si="350"/>
        <v>M3</v>
      </c>
      <c r="L5615" s="166" t="str">
        <f t="shared" si="351"/>
        <v>05/2020</v>
      </c>
      <c r="M5615" s="82"/>
      <c r="N5615" s="82"/>
    </row>
    <row r="5616" spans="1:14" x14ac:dyDescent="0.25">
      <c r="A5616" s="170" t="s">
        <v>8259</v>
      </c>
      <c r="B5616" s="170" t="s">
        <v>21271</v>
      </c>
      <c r="C5616" s="170" t="s">
        <v>85</v>
      </c>
      <c r="D5616" s="170" t="s">
        <v>1947</v>
      </c>
      <c r="E5616" s="171" t="s">
        <v>34248</v>
      </c>
      <c r="F5616" s="171" t="s">
        <v>36340</v>
      </c>
      <c r="G5616" s="82"/>
      <c r="H5616" s="96">
        <f t="shared" si="348"/>
        <v>32.82</v>
      </c>
      <c r="I5616" s="96">
        <f t="shared" si="348"/>
        <v>33.25</v>
      </c>
      <c r="J5616" s="91" t="str">
        <f t="shared" si="349"/>
        <v>Sinapi 101265</v>
      </c>
      <c r="K5616" s="91" t="str">
        <f t="shared" si="350"/>
        <v>M3</v>
      </c>
      <c r="L5616" s="166" t="str">
        <f t="shared" si="351"/>
        <v>05/2020</v>
      </c>
      <c r="M5616" s="82"/>
      <c r="N5616" s="82"/>
    </row>
    <row r="5617" spans="1:14" x14ac:dyDescent="0.25">
      <c r="A5617" s="170" t="s">
        <v>8260</v>
      </c>
      <c r="B5617" s="170" t="s">
        <v>21272</v>
      </c>
      <c r="C5617" s="170" t="s">
        <v>85</v>
      </c>
      <c r="D5617" s="170" t="s">
        <v>1947</v>
      </c>
      <c r="E5617" s="171" t="s">
        <v>17278</v>
      </c>
      <c r="F5617" s="171" t="s">
        <v>22095</v>
      </c>
      <c r="G5617" s="82"/>
      <c r="H5617" s="96">
        <f t="shared" si="348"/>
        <v>11.7</v>
      </c>
      <c r="I5617" s="96">
        <f t="shared" si="348"/>
        <v>11.89</v>
      </c>
      <c r="J5617" s="91" t="str">
        <f t="shared" si="349"/>
        <v>Sinapi 101266</v>
      </c>
      <c r="K5617" s="91" t="str">
        <f t="shared" si="350"/>
        <v>M3</v>
      </c>
      <c r="L5617" s="166" t="str">
        <f t="shared" si="351"/>
        <v>05/2020</v>
      </c>
      <c r="M5617" s="82"/>
      <c r="N5617" s="82"/>
    </row>
    <row r="5618" spans="1:14" x14ac:dyDescent="0.25">
      <c r="A5618" s="170" t="s">
        <v>8261</v>
      </c>
      <c r="B5618" s="170" t="s">
        <v>21273</v>
      </c>
      <c r="C5618" s="170" t="s">
        <v>85</v>
      </c>
      <c r="D5618" s="170" t="s">
        <v>1947</v>
      </c>
      <c r="E5618" s="171" t="s">
        <v>15587</v>
      </c>
      <c r="F5618" s="171" t="s">
        <v>18546</v>
      </c>
      <c r="G5618" s="82"/>
      <c r="H5618" s="96">
        <f t="shared" si="348"/>
        <v>11.24</v>
      </c>
      <c r="I5618" s="96">
        <f t="shared" si="348"/>
        <v>11.42</v>
      </c>
      <c r="J5618" s="91" t="str">
        <f t="shared" si="349"/>
        <v>Sinapi 101267</v>
      </c>
      <c r="K5618" s="91" t="str">
        <f t="shared" si="350"/>
        <v>M3</v>
      </c>
      <c r="L5618" s="166" t="str">
        <f t="shared" si="351"/>
        <v>05/2020</v>
      </c>
      <c r="M5618" s="82"/>
      <c r="N5618" s="82"/>
    </row>
    <row r="5619" spans="1:14" x14ac:dyDescent="0.25">
      <c r="A5619" s="170" t="s">
        <v>8262</v>
      </c>
      <c r="B5619" s="170" t="s">
        <v>21274</v>
      </c>
      <c r="C5619" s="170" t="s">
        <v>85</v>
      </c>
      <c r="D5619" s="170" t="s">
        <v>1947</v>
      </c>
      <c r="E5619" s="171" t="s">
        <v>21185</v>
      </c>
      <c r="F5619" s="171" t="s">
        <v>29244</v>
      </c>
      <c r="G5619" s="82"/>
      <c r="H5619" s="96">
        <f t="shared" si="348"/>
        <v>18.579999999999998</v>
      </c>
      <c r="I5619" s="96">
        <f t="shared" si="348"/>
        <v>18.86</v>
      </c>
      <c r="J5619" s="91" t="str">
        <f t="shared" si="349"/>
        <v>Sinapi 101268</v>
      </c>
      <c r="K5619" s="91" t="str">
        <f t="shared" si="350"/>
        <v>M3</v>
      </c>
      <c r="L5619" s="166" t="str">
        <f t="shared" si="351"/>
        <v>05/2020</v>
      </c>
      <c r="M5619" s="82"/>
      <c r="N5619" s="82"/>
    </row>
    <row r="5620" spans="1:14" x14ac:dyDescent="0.25">
      <c r="A5620" s="170" t="s">
        <v>8263</v>
      </c>
      <c r="B5620" s="170" t="s">
        <v>21275</v>
      </c>
      <c r="C5620" s="170" t="s">
        <v>85</v>
      </c>
      <c r="D5620" s="170" t="s">
        <v>1947</v>
      </c>
      <c r="E5620" s="171" t="s">
        <v>23244</v>
      </c>
      <c r="F5620" s="171" t="s">
        <v>28774</v>
      </c>
      <c r="G5620" s="82"/>
      <c r="H5620" s="96">
        <f t="shared" si="348"/>
        <v>20.68</v>
      </c>
      <c r="I5620" s="96">
        <f t="shared" si="348"/>
        <v>20.99</v>
      </c>
      <c r="J5620" s="91" t="str">
        <f t="shared" si="349"/>
        <v>Sinapi 101269</v>
      </c>
      <c r="K5620" s="91" t="str">
        <f t="shared" si="350"/>
        <v>M3</v>
      </c>
      <c r="L5620" s="166" t="str">
        <f t="shared" si="351"/>
        <v>05/2020</v>
      </c>
      <c r="M5620" s="82"/>
      <c r="N5620" s="82"/>
    </row>
    <row r="5621" spans="1:14" x14ac:dyDescent="0.25">
      <c r="A5621" s="170" t="s">
        <v>8264</v>
      </c>
      <c r="B5621" s="170" t="s">
        <v>21276</v>
      </c>
      <c r="C5621" s="170" t="s">
        <v>85</v>
      </c>
      <c r="D5621" s="170" t="s">
        <v>1947</v>
      </c>
      <c r="E5621" s="171" t="s">
        <v>19356</v>
      </c>
      <c r="F5621" s="171" t="s">
        <v>17939</v>
      </c>
      <c r="G5621" s="82"/>
      <c r="H5621" s="96">
        <f t="shared" si="348"/>
        <v>23.99</v>
      </c>
      <c r="I5621" s="96">
        <f t="shared" si="348"/>
        <v>24.34</v>
      </c>
      <c r="J5621" s="91" t="str">
        <f t="shared" si="349"/>
        <v>Sinapi 101270</v>
      </c>
      <c r="K5621" s="91" t="str">
        <f t="shared" si="350"/>
        <v>M3</v>
      </c>
      <c r="L5621" s="166" t="str">
        <f t="shared" si="351"/>
        <v>05/2020</v>
      </c>
      <c r="M5621" s="82"/>
      <c r="N5621" s="82"/>
    </row>
    <row r="5622" spans="1:14" x14ac:dyDescent="0.25">
      <c r="A5622" s="170" t="s">
        <v>8266</v>
      </c>
      <c r="B5622" s="170" t="s">
        <v>21277</v>
      </c>
      <c r="C5622" s="170" t="s">
        <v>85</v>
      </c>
      <c r="D5622" s="170" t="s">
        <v>1947</v>
      </c>
      <c r="E5622" s="171" t="s">
        <v>20041</v>
      </c>
      <c r="F5622" s="171" t="s">
        <v>21321</v>
      </c>
      <c r="G5622" s="82"/>
      <c r="H5622" s="96">
        <f t="shared" si="348"/>
        <v>26.61</v>
      </c>
      <c r="I5622" s="96">
        <f t="shared" si="348"/>
        <v>27</v>
      </c>
      <c r="J5622" s="91" t="str">
        <f t="shared" si="349"/>
        <v>Sinapi 101271</v>
      </c>
      <c r="K5622" s="91" t="str">
        <f t="shared" si="350"/>
        <v>M3</v>
      </c>
      <c r="L5622" s="166" t="str">
        <f t="shared" si="351"/>
        <v>05/2020</v>
      </c>
      <c r="M5622" s="82"/>
      <c r="N5622" s="82"/>
    </row>
    <row r="5623" spans="1:14" x14ac:dyDescent="0.25">
      <c r="A5623" s="170" t="s">
        <v>8267</v>
      </c>
      <c r="B5623" s="170" t="s">
        <v>21278</v>
      </c>
      <c r="C5623" s="170" t="s">
        <v>85</v>
      </c>
      <c r="D5623" s="170" t="s">
        <v>1947</v>
      </c>
      <c r="E5623" s="171" t="s">
        <v>30666</v>
      </c>
      <c r="F5623" s="171" t="s">
        <v>28811</v>
      </c>
      <c r="G5623" s="82"/>
      <c r="H5623" s="96">
        <f t="shared" si="348"/>
        <v>33.28</v>
      </c>
      <c r="I5623" s="96">
        <f t="shared" si="348"/>
        <v>33.75</v>
      </c>
      <c r="J5623" s="91" t="str">
        <f t="shared" si="349"/>
        <v>Sinapi 101272</v>
      </c>
      <c r="K5623" s="91" t="str">
        <f t="shared" si="350"/>
        <v>M3</v>
      </c>
      <c r="L5623" s="166" t="str">
        <f t="shared" si="351"/>
        <v>05/2020</v>
      </c>
      <c r="M5623" s="82"/>
      <c r="N5623" s="82"/>
    </row>
    <row r="5624" spans="1:14" x14ac:dyDescent="0.25">
      <c r="A5624" s="170" t="s">
        <v>8268</v>
      </c>
      <c r="B5624" s="170" t="s">
        <v>21279</v>
      </c>
      <c r="C5624" s="170" t="s">
        <v>85</v>
      </c>
      <c r="D5624" s="170" t="s">
        <v>1947</v>
      </c>
      <c r="E5624" s="171" t="s">
        <v>15669</v>
      </c>
      <c r="F5624" s="171" t="s">
        <v>23059</v>
      </c>
      <c r="G5624" s="82"/>
      <c r="H5624" s="96">
        <f t="shared" si="348"/>
        <v>17.79</v>
      </c>
      <c r="I5624" s="96">
        <f t="shared" si="348"/>
        <v>18.04</v>
      </c>
      <c r="J5624" s="91" t="str">
        <f t="shared" si="349"/>
        <v>Sinapi 101273</v>
      </c>
      <c r="K5624" s="91" t="str">
        <f t="shared" si="350"/>
        <v>M3</v>
      </c>
      <c r="L5624" s="166" t="str">
        <f t="shared" si="351"/>
        <v>05/2020</v>
      </c>
      <c r="M5624" s="82"/>
      <c r="N5624" s="82"/>
    </row>
    <row r="5625" spans="1:14" x14ac:dyDescent="0.25">
      <c r="A5625" s="170" t="s">
        <v>8269</v>
      </c>
      <c r="B5625" s="170" t="s">
        <v>21280</v>
      </c>
      <c r="C5625" s="170" t="s">
        <v>85</v>
      </c>
      <c r="D5625" s="170" t="s">
        <v>1947</v>
      </c>
      <c r="E5625" s="171" t="s">
        <v>34243</v>
      </c>
      <c r="F5625" s="171" t="s">
        <v>21599</v>
      </c>
      <c r="G5625" s="82"/>
      <c r="H5625" s="96">
        <f t="shared" si="348"/>
        <v>19.66</v>
      </c>
      <c r="I5625" s="96">
        <f t="shared" si="348"/>
        <v>19.95</v>
      </c>
      <c r="J5625" s="91" t="str">
        <f t="shared" si="349"/>
        <v>Sinapi 101274</v>
      </c>
      <c r="K5625" s="91" t="str">
        <f t="shared" si="350"/>
        <v>M3</v>
      </c>
      <c r="L5625" s="166" t="str">
        <f t="shared" si="351"/>
        <v>05/2020</v>
      </c>
      <c r="M5625" s="82"/>
      <c r="N5625" s="82"/>
    </row>
    <row r="5626" spans="1:14" x14ac:dyDescent="0.25">
      <c r="A5626" s="170" t="s">
        <v>8270</v>
      </c>
      <c r="B5626" s="170" t="s">
        <v>21281</v>
      </c>
      <c r="C5626" s="170" t="s">
        <v>85</v>
      </c>
      <c r="D5626" s="170" t="s">
        <v>1947</v>
      </c>
      <c r="E5626" s="171" t="s">
        <v>16423</v>
      </c>
      <c r="F5626" s="171" t="s">
        <v>15550</v>
      </c>
      <c r="G5626" s="82"/>
      <c r="H5626" s="96">
        <f t="shared" si="348"/>
        <v>22.82</v>
      </c>
      <c r="I5626" s="96">
        <f t="shared" si="348"/>
        <v>23.13</v>
      </c>
      <c r="J5626" s="91" t="str">
        <f t="shared" si="349"/>
        <v>Sinapi 101275</v>
      </c>
      <c r="K5626" s="91" t="str">
        <f t="shared" si="350"/>
        <v>M3</v>
      </c>
      <c r="L5626" s="166" t="str">
        <f t="shared" si="351"/>
        <v>05/2020</v>
      </c>
      <c r="M5626" s="82"/>
      <c r="N5626" s="82"/>
    </row>
    <row r="5627" spans="1:14" x14ac:dyDescent="0.25">
      <c r="A5627" s="170" t="s">
        <v>8271</v>
      </c>
      <c r="B5627" s="170" t="s">
        <v>21282</v>
      </c>
      <c r="C5627" s="170" t="s">
        <v>85</v>
      </c>
      <c r="D5627" s="170" t="s">
        <v>1947</v>
      </c>
      <c r="E5627" s="171" t="s">
        <v>19376</v>
      </c>
      <c r="F5627" s="171" t="s">
        <v>35101</v>
      </c>
      <c r="G5627" s="82"/>
      <c r="H5627" s="96">
        <f t="shared" si="348"/>
        <v>25.24</v>
      </c>
      <c r="I5627" s="96">
        <f t="shared" si="348"/>
        <v>25.57</v>
      </c>
      <c r="J5627" s="91" t="str">
        <f t="shared" si="349"/>
        <v>Sinapi 101276</v>
      </c>
      <c r="K5627" s="91" t="str">
        <f t="shared" si="350"/>
        <v>M3</v>
      </c>
      <c r="L5627" s="166" t="str">
        <f t="shared" si="351"/>
        <v>05/2020</v>
      </c>
      <c r="M5627" s="82"/>
      <c r="N5627" s="82"/>
    </row>
    <row r="5628" spans="1:14" x14ac:dyDescent="0.25">
      <c r="A5628" s="170" t="s">
        <v>8272</v>
      </c>
      <c r="B5628" s="170" t="s">
        <v>21283</v>
      </c>
      <c r="C5628" s="170" t="s">
        <v>85</v>
      </c>
      <c r="D5628" s="170" t="s">
        <v>1947</v>
      </c>
      <c r="E5628" s="171" t="s">
        <v>30335</v>
      </c>
      <c r="F5628" s="171" t="s">
        <v>19958</v>
      </c>
      <c r="G5628" s="82"/>
      <c r="H5628" s="96">
        <f t="shared" si="348"/>
        <v>32.270000000000003</v>
      </c>
      <c r="I5628" s="96">
        <f t="shared" si="348"/>
        <v>32.700000000000003</v>
      </c>
      <c r="J5628" s="91" t="str">
        <f t="shared" si="349"/>
        <v>Sinapi 101277</v>
      </c>
      <c r="K5628" s="91" t="str">
        <f t="shared" si="350"/>
        <v>M3</v>
      </c>
      <c r="L5628" s="166" t="str">
        <f t="shared" si="351"/>
        <v>05/2020</v>
      </c>
      <c r="M5628" s="82"/>
      <c r="N5628" s="82"/>
    </row>
    <row r="5629" spans="1:14" x14ac:dyDescent="0.25">
      <c r="A5629" s="170" t="s">
        <v>12692</v>
      </c>
      <c r="B5629" s="170" t="s">
        <v>12693</v>
      </c>
      <c r="C5629" s="170" t="s">
        <v>85</v>
      </c>
      <c r="D5629" s="170" t="s">
        <v>1947</v>
      </c>
      <c r="E5629" s="171" t="s">
        <v>34249</v>
      </c>
      <c r="F5629" s="171" t="s">
        <v>37399</v>
      </c>
      <c r="G5629" s="82"/>
      <c r="H5629" s="96">
        <f t="shared" si="348"/>
        <v>151.9</v>
      </c>
      <c r="I5629" s="96">
        <f t="shared" si="348"/>
        <v>157.91</v>
      </c>
      <c r="J5629" s="91" t="str">
        <f t="shared" si="349"/>
        <v>Sinapi 102354</v>
      </c>
      <c r="K5629" s="91" t="str">
        <f t="shared" si="350"/>
        <v>M3</v>
      </c>
      <c r="L5629" s="166" t="str">
        <f t="shared" si="351"/>
        <v>03/2021</v>
      </c>
      <c r="M5629" s="82"/>
      <c r="N5629" s="82"/>
    </row>
    <row r="5630" spans="1:14" x14ac:dyDescent="0.25">
      <c r="A5630" s="170" t="s">
        <v>12694</v>
      </c>
      <c r="B5630" s="170" t="s">
        <v>12695</v>
      </c>
      <c r="C5630" s="170" t="s">
        <v>85</v>
      </c>
      <c r="D5630" s="170" t="s">
        <v>1947</v>
      </c>
      <c r="E5630" s="171" t="s">
        <v>32835</v>
      </c>
      <c r="F5630" s="171" t="s">
        <v>29151</v>
      </c>
      <c r="G5630" s="82"/>
      <c r="H5630" s="96">
        <f t="shared" si="348"/>
        <v>175.66</v>
      </c>
      <c r="I5630" s="96">
        <f t="shared" si="348"/>
        <v>183.68</v>
      </c>
      <c r="J5630" s="91" t="str">
        <f t="shared" si="349"/>
        <v>Sinapi 102355</v>
      </c>
      <c r="K5630" s="91" t="str">
        <f t="shared" si="350"/>
        <v>M3</v>
      </c>
      <c r="L5630" s="166" t="str">
        <f t="shared" si="351"/>
        <v>03/2021</v>
      </c>
      <c r="M5630" s="82"/>
      <c r="N5630" s="82"/>
    </row>
    <row r="5631" spans="1:14" x14ac:dyDescent="0.25">
      <c r="A5631" s="170" t="s">
        <v>12696</v>
      </c>
      <c r="B5631" s="170" t="s">
        <v>12697</v>
      </c>
      <c r="C5631" s="170" t="s">
        <v>85</v>
      </c>
      <c r="D5631" s="170" t="s">
        <v>1947</v>
      </c>
      <c r="E5631" s="171" t="s">
        <v>27559</v>
      </c>
      <c r="F5631" s="171" t="s">
        <v>17406</v>
      </c>
      <c r="G5631" s="82"/>
      <c r="H5631" s="96">
        <f t="shared" si="348"/>
        <v>23.39</v>
      </c>
      <c r="I5631" s="96">
        <f t="shared" si="348"/>
        <v>24.22</v>
      </c>
      <c r="J5631" s="91" t="str">
        <f t="shared" si="349"/>
        <v>Sinapi 102360</v>
      </c>
      <c r="K5631" s="91" t="str">
        <f t="shared" si="350"/>
        <v>M3</v>
      </c>
      <c r="L5631" s="166" t="str">
        <f t="shared" si="351"/>
        <v>03/2021</v>
      </c>
      <c r="M5631" s="82"/>
      <c r="N5631" s="82"/>
    </row>
    <row r="5632" spans="1:14" x14ac:dyDescent="0.25">
      <c r="A5632" s="170" t="s">
        <v>12698</v>
      </c>
      <c r="B5632" s="170" t="s">
        <v>12699</v>
      </c>
      <c r="C5632" s="170" t="s">
        <v>85</v>
      </c>
      <c r="D5632" s="170" t="s">
        <v>1947</v>
      </c>
      <c r="E5632" s="171" t="s">
        <v>30868</v>
      </c>
      <c r="F5632" s="171" t="s">
        <v>23009</v>
      </c>
      <c r="G5632" s="82"/>
      <c r="H5632" s="96">
        <f t="shared" si="348"/>
        <v>33.299999999999997</v>
      </c>
      <c r="I5632" s="96">
        <f t="shared" si="348"/>
        <v>35.090000000000003</v>
      </c>
      <c r="J5632" s="91" t="str">
        <f t="shared" si="349"/>
        <v>Sinapi 102361</v>
      </c>
      <c r="K5632" s="91" t="str">
        <f t="shared" si="350"/>
        <v>M3</v>
      </c>
      <c r="L5632" s="166" t="str">
        <f t="shared" si="351"/>
        <v>03/2021</v>
      </c>
      <c r="M5632" s="82"/>
      <c r="N5632" s="82"/>
    </row>
    <row r="5633" spans="1:14" x14ac:dyDescent="0.25">
      <c r="A5633" s="170" t="s">
        <v>8273</v>
      </c>
      <c r="B5633" s="170" t="s">
        <v>14663</v>
      </c>
      <c r="C5633" s="170" t="s">
        <v>85</v>
      </c>
      <c r="D5633" s="170" t="s">
        <v>1947</v>
      </c>
      <c r="E5633" s="171" t="s">
        <v>17624</v>
      </c>
      <c r="F5633" s="171" t="s">
        <v>20027</v>
      </c>
      <c r="G5633" s="82"/>
      <c r="H5633" s="96">
        <f t="shared" si="348"/>
        <v>11.01</v>
      </c>
      <c r="I5633" s="96">
        <f t="shared" si="348"/>
        <v>11.37</v>
      </c>
      <c r="J5633" s="91" t="str">
        <f t="shared" si="349"/>
        <v>Sinapi 90082</v>
      </c>
      <c r="K5633" s="91" t="str">
        <f t="shared" si="350"/>
        <v>M3</v>
      </c>
      <c r="L5633" s="166" t="str">
        <f t="shared" si="351"/>
        <v>02/2021</v>
      </c>
      <c r="M5633" s="82"/>
      <c r="N5633" s="82"/>
    </row>
    <row r="5634" spans="1:14" x14ac:dyDescent="0.25">
      <c r="A5634" s="170" t="s">
        <v>8274</v>
      </c>
      <c r="B5634" s="170" t="s">
        <v>14664</v>
      </c>
      <c r="C5634" s="170" t="s">
        <v>85</v>
      </c>
      <c r="D5634" s="170" t="s">
        <v>1947</v>
      </c>
      <c r="E5634" s="171" t="s">
        <v>19399</v>
      </c>
      <c r="F5634" s="171" t="s">
        <v>15700</v>
      </c>
      <c r="G5634" s="82"/>
      <c r="H5634" s="96">
        <f t="shared" si="348"/>
        <v>10.66</v>
      </c>
      <c r="I5634" s="96">
        <f t="shared" si="348"/>
        <v>11.02</v>
      </c>
      <c r="J5634" s="91" t="str">
        <f t="shared" si="349"/>
        <v>Sinapi 90084</v>
      </c>
      <c r="K5634" s="91" t="str">
        <f t="shared" si="350"/>
        <v>M3</v>
      </c>
      <c r="L5634" s="166" t="str">
        <f t="shared" si="351"/>
        <v>02/2021</v>
      </c>
      <c r="M5634" s="82"/>
      <c r="N5634" s="82"/>
    </row>
    <row r="5635" spans="1:14" x14ac:dyDescent="0.25">
      <c r="A5635" s="170" t="s">
        <v>8276</v>
      </c>
      <c r="B5635" s="170" t="s">
        <v>14665</v>
      </c>
      <c r="C5635" s="170" t="s">
        <v>85</v>
      </c>
      <c r="D5635" s="170" t="s">
        <v>1947</v>
      </c>
      <c r="E5635" s="171" t="s">
        <v>17144</v>
      </c>
      <c r="F5635" s="171" t="s">
        <v>15518</v>
      </c>
      <c r="G5635" s="82"/>
      <c r="H5635" s="96">
        <f t="shared" si="348"/>
        <v>10.08</v>
      </c>
      <c r="I5635" s="96">
        <f t="shared" si="348"/>
        <v>10.42</v>
      </c>
      <c r="J5635" s="91" t="str">
        <f t="shared" si="349"/>
        <v>Sinapi 90086</v>
      </c>
      <c r="K5635" s="91" t="str">
        <f t="shared" si="350"/>
        <v>M3</v>
      </c>
      <c r="L5635" s="166" t="str">
        <f t="shared" si="351"/>
        <v>02/2021</v>
      </c>
      <c r="M5635" s="82"/>
      <c r="N5635" s="82"/>
    </row>
    <row r="5636" spans="1:14" x14ac:dyDescent="0.25">
      <c r="A5636" s="170" t="s">
        <v>8277</v>
      </c>
      <c r="B5636" s="170" t="s">
        <v>14666</v>
      </c>
      <c r="C5636" s="170" t="s">
        <v>85</v>
      </c>
      <c r="D5636" s="170" t="s">
        <v>1947</v>
      </c>
      <c r="E5636" s="171" t="s">
        <v>18625</v>
      </c>
      <c r="F5636" s="171" t="s">
        <v>6475</v>
      </c>
      <c r="G5636" s="82"/>
      <c r="H5636" s="96">
        <f t="shared" si="348"/>
        <v>9.2799999999999994</v>
      </c>
      <c r="I5636" s="96">
        <f t="shared" si="348"/>
        <v>9.56</v>
      </c>
      <c r="J5636" s="91" t="str">
        <f t="shared" si="349"/>
        <v>Sinapi 90087</v>
      </c>
      <c r="K5636" s="91" t="str">
        <f t="shared" si="350"/>
        <v>M3</v>
      </c>
      <c r="L5636" s="166" t="str">
        <f t="shared" si="351"/>
        <v>02/2021</v>
      </c>
      <c r="M5636" s="82"/>
      <c r="N5636" s="82"/>
    </row>
    <row r="5637" spans="1:14" x14ac:dyDescent="0.25">
      <c r="A5637" s="170" t="s">
        <v>8278</v>
      </c>
      <c r="B5637" s="170" t="s">
        <v>14667</v>
      </c>
      <c r="C5637" s="170" t="s">
        <v>85</v>
      </c>
      <c r="D5637" s="170" t="s">
        <v>1947</v>
      </c>
      <c r="E5637" s="171" t="s">
        <v>12105</v>
      </c>
      <c r="F5637" s="171" t="s">
        <v>23784</v>
      </c>
      <c r="G5637" s="82"/>
      <c r="H5637" s="96">
        <f t="shared" si="348"/>
        <v>9.08</v>
      </c>
      <c r="I5637" s="96">
        <f t="shared" si="348"/>
        <v>9.35</v>
      </c>
      <c r="J5637" s="91" t="str">
        <f t="shared" si="349"/>
        <v>Sinapi 90090</v>
      </c>
      <c r="K5637" s="91" t="str">
        <f t="shared" si="350"/>
        <v>M3</v>
      </c>
      <c r="L5637" s="166" t="str">
        <f t="shared" si="351"/>
        <v>02/2021</v>
      </c>
      <c r="M5637" s="82"/>
      <c r="N5637" s="82"/>
    </row>
    <row r="5638" spans="1:14" x14ac:dyDescent="0.25">
      <c r="A5638" s="170" t="s">
        <v>8279</v>
      </c>
      <c r="B5638" s="170" t="s">
        <v>14668</v>
      </c>
      <c r="C5638" s="170" t="s">
        <v>85</v>
      </c>
      <c r="D5638" s="170" t="s">
        <v>1947</v>
      </c>
      <c r="E5638" s="171" t="s">
        <v>2098</v>
      </c>
      <c r="F5638" s="171" t="s">
        <v>17373</v>
      </c>
      <c r="G5638" s="82"/>
      <c r="H5638" s="96">
        <f t="shared" si="348"/>
        <v>5.94</v>
      </c>
      <c r="I5638" s="96">
        <f t="shared" si="348"/>
        <v>6.14</v>
      </c>
      <c r="J5638" s="91" t="str">
        <f t="shared" si="349"/>
        <v>Sinapi 90091</v>
      </c>
      <c r="K5638" s="91" t="str">
        <f t="shared" si="350"/>
        <v>M3</v>
      </c>
      <c r="L5638" s="166" t="str">
        <f t="shared" si="351"/>
        <v>02/2021</v>
      </c>
      <c r="M5638" s="82"/>
      <c r="N5638" s="82"/>
    </row>
    <row r="5639" spans="1:14" x14ac:dyDescent="0.25">
      <c r="A5639" s="170" t="s">
        <v>8280</v>
      </c>
      <c r="B5639" s="170" t="s">
        <v>14669</v>
      </c>
      <c r="C5639" s="170" t="s">
        <v>85</v>
      </c>
      <c r="D5639" s="170" t="s">
        <v>1947</v>
      </c>
      <c r="E5639" s="171" t="s">
        <v>17928</v>
      </c>
      <c r="F5639" s="171" t="s">
        <v>30695</v>
      </c>
      <c r="G5639" s="82"/>
      <c r="H5639" s="96">
        <f t="shared" si="348"/>
        <v>5.87</v>
      </c>
      <c r="I5639" s="96">
        <f t="shared" si="348"/>
        <v>6.07</v>
      </c>
      <c r="J5639" s="91" t="str">
        <f t="shared" si="349"/>
        <v>Sinapi 90092</v>
      </c>
      <c r="K5639" s="91" t="str">
        <f t="shared" si="350"/>
        <v>M3</v>
      </c>
      <c r="L5639" s="166" t="str">
        <f t="shared" si="351"/>
        <v>02/2021</v>
      </c>
      <c r="M5639" s="82"/>
      <c r="N5639" s="82"/>
    </row>
    <row r="5640" spans="1:14" x14ac:dyDescent="0.25">
      <c r="A5640" s="170" t="s">
        <v>8281</v>
      </c>
      <c r="B5640" s="170" t="s">
        <v>14670</v>
      </c>
      <c r="C5640" s="170" t="s">
        <v>85</v>
      </c>
      <c r="D5640" s="170" t="s">
        <v>1947</v>
      </c>
      <c r="E5640" s="171" t="s">
        <v>3919</v>
      </c>
      <c r="F5640" s="171" t="s">
        <v>14354</v>
      </c>
      <c r="G5640" s="82"/>
      <c r="H5640" s="96">
        <f t="shared" ref="H5640:I5703" si="352">IF(E5640="","",E5640+0)</f>
        <v>5.57</v>
      </c>
      <c r="I5640" s="96">
        <f t="shared" si="352"/>
        <v>5.75</v>
      </c>
      <c r="J5640" s="91" t="str">
        <f t="shared" ref="J5640:J5703" si="353">IF(OR(H5640="",I5640=""),"",TRIM(CONCATENATE("Sinapi ",A5640)))</f>
        <v>Sinapi 90094</v>
      </c>
      <c r="K5640" s="91" t="str">
        <f t="shared" ref="K5640:K5703" si="354">TRIM(C5640)</f>
        <v>M3</v>
      </c>
      <c r="L5640" s="166" t="str">
        <f t="shared" ref="L5640:L5703" si="355">IF(OR(RIGHT(IF(AND(K5640&lt;&gt;"H",K5640&lt;&gt;"MES"),RIGHT(B5640,7),""),2)="PS",RIGHT(IF(AND(K5640&lt;&gt;"H",K5640&lt;&gt;"MES"),RIGHT(B5640,7),""),2)="PA",RIGHT(IF(AND(K5640&lt;&gt;"H",K5640&lt;&gt;"MES"),RIGHT(B5640,7),""),2)="PE"),LEFT(IF(AND(K5640&lt;&gt;"H",K5640&lt;&gt;"MES"),RIGHT(B5640,10),""),7),IF(AND(K5640&lt;&gt;"H",K5640&lt;&gt;"MES"),RIGHT(B5640,7),""))</f>
        <v>02/2021</v>
      </c>
      <c r="M5640" s="82"/>
      <c r="N5640" s="82"/>
    </row>
    <row r="5641" spans="1:14" x14ac:dyDescent="0.25">
      <c r="A5641" s="170" t="s">
        <v>8282</v>
      </c>
      <c r="B5641" s="170" t="s">
        <v>14671</v>
      </c>
      <c r="C5641" s="170" t="s">
        <v>85</v>
      </c>
      <c r="D5641" s="170" t="s">
        <v>1947</v>
      </c>
      <c r="E5641" s="171" t="s">
        <v>8203</v>
      </c>
      <c r="F5641" s="171" t="s">
        <v>15758</v>
      </c>
      <c r="G5641" s="82"/>
      <c r="H5641" s="96">
        <f t="shared" si="352"/>
        <v>5.1100000000000003</v>
      </c>
      <c r="I5641" s="96">
        <f t="shared" si="352"/>
        <v>5.26</v>
      </c>
      <c r="J5641" s="91" t="str">
        <f t="shared" si="353"/>
        <v>Sinapi 90095</v>
      </c>
      <c r="K5641" s="91" t="str">
        <f t="shared" si="354"/>
        <v>M3</v>
      </c>
      <c r="L5641" s="166" t="str">
        <f t="shared" si="355"/>
        <v>02/2021</v>
      </c>
      <c r="M5641" s="82"/>
      <c r="N5641" s="82"/>
    </row>
    <row r="5642" spans="1:14" x14ac:dyDescent="0.25">
      <c r="A5642" s="170" t="s">
        <v>8283</v>
      </c>
      <c r="B5642" s="170" t="s">
        <v>14672</v>
      </c>
      <c r="C5642" s="170" t="s">
        <v>85</v>
      </c>
      <c r="D5642" s="170" t="s">
        <v>1947</v>
      </c>
      <c r="E5642" s="171" t="s">
        <v>16386</v>
      </c>
      <c r="F5642" s="171" t="s">
        <v>14944</v>
      </c>
      <c r="G5642" s="82"/>
      <c r="H5642" s="96">
        <f t="shared" si="352"/>
        <v>5.03</v>
      </c>
      <c r="I5642" s="96">
        <f t="shared" si="352"/>
        <v>5.17</v>
      </c>
      <c r="J5642" s="91" t="str">
        <f t="shared" si="353"/>
        <v>Sinapi 90098</v>
      </c>
      <c r="K5642" s="91" t="str">
        <f t="shared" si="354"/>
        <v>M3</v>
      </c>
      <c r="L5642" s="166" t="str">
        <f t="shared" si="355"/>
        <v>02/2021</v>
      </c>
      <c r="M5642" s="82"/>
      <c r="N5642" s="82"/>
    </row>
    <row r="5643" spans="1:14" x14ac:dyDescent="0.25">
      <c r="A5643" s="170" t="s">
        <v>8284</v>
      </c>
      <c r="B5643" s="170" t="s">
        <v>14673</v>
      </c>
      <c r="C5643" s="170" t="s">
        <v>85</v>
      </c>
      <c r="D5643" s="170" t="s">
        <v>1947</v>
      </c>
      <c r="E5643" s="171" t="s">
        <v>15510</v>
      </c>
      <c r="F5643" s="171" t="s">
        <v>20364</v>
      </c>
      <c r="G5643" s="82"/>
      <c r="H5643" s="96">
        <f t="shared" si="352"/>
        <v>14.72</v>
      </c>
      <c r="I5643" s="96">
        <f t="shared" si="352"/>
        <v>15.43</v>
      </c>
      <c r="J5643" s="91" t="str">
        <f t="shared" si="353"/>
        <v>Sinapi 90099</v>
      </c>
      <c r="K5643" s="91" t="str">
        <f t="shared" si="354"/>
        <v>M3</v>
      </c>
      <c r="L5643" s="166" t="str">
        <f t="shared" si="355"/>
        <v>02/2021</v>
      </c>
      <c r="M5643" s="82"/>
      <c r="N5643" s="82"/>
    </row>
    <row r="5644" spans="1:14" x14ac:dyDescent="0.25">
      <c r="A5644" s="170" t="s">
        <v>8286</v>
      </c>
      <c r="B5644" s="170" t="s">
        <v>14674</v>
      </c>
      <c r="C5644" s="170" t="s">
        <v>85</v>
      </c>
      <c r="D5644" s="170" t="s">
        <v>1947</v>
      </c>
      <c r="E5644" s="171" t="s">
        <v>20176</v>
      </c>
      <c r="F5644" s="171" t="s">
        <v>7233</v>
      </c>
      <c r="G5644" s="82"/>
      <c r="H5644" s="96">
        <f t="shared" si="352"/>
        <v>12.49</v>
      </c>
      <c r="I5644" s="96">
        <f t="shared" si="352"/>
        <v>13.09</v>
      </c>
      <c r="J5644" s="91" t="str">
        <f t="shared" si="353"/>
        <v>Sinapi 90100</v>
      </c>
      <c r="K5644" s="91" t="str">
        <f t="shared" si="354"/>
        <v>M3</v>
      </c>
      <c r="L5644" s="166" t="str">
        <f t="shared" si="355"/>
        <v>02/2021</v>
      </c>
      <c r="M5644" s="82"/>
      <c r="N5644" s="82"/>
    </row>
    <row r="5645" spans="1:14" x14ac:dyDescent="0.25">
      <c r="A5645" s="170" t="s">
        <v>8287</v>
      </c>
      <c r="B5645" s="170" t="s">
        <v>14676</v>
      </c>
      <c r="C5645" s="170" t="s">
        <v>85</v>
      </c>
      <c r="D5645" s="170" t="s">
        <v>1947</v>
      </c>
      <c r="E5645" s="171" t="s">
        <v>22023</v>
      </c>
      <c r="F5645" s="171" t="s">
        <v>16395</v>
      </c>
      <c r="G5645" s="82"/>
      <c r="H5645" s="96">
        <f t="shared" si="352"/>
        <v>12.35</v>
      </c>
      <c r="I5645" s="96">
        <f t="shared" si="352"/>
        <v>12.92</v>
      </c>
      <c r="J5645" s="91" t="str">
        <f t="shared" si="353"/>
        <v>Sinapi 90101</v>
      </c>
      <c r="K5645" s="91" t="str">
        <f t="shared" si="354"/>
        <v>M3</v>
      </c>
      <c r="L5645" s="166" t="str">
        <f t="shared" si="355"/>
        <v>02/2021</v>
      </c>
      <c r="M5645" s="82"/>
      <c r="N5645" s="82"/>
    </row>
    <row r="5646" spans="1:14" x14ac:dyDescent="0.25">
      <c r="A5646" s="170" t="s">
        <v>8288</v>
      </c>
      <c r="B5646" s="170" t="s">
        <v>14677</v>
      </c>
      <c r="C5646" s="170" t="s">
        <v>85</v>
      </c>
      <c r="D5646" s="170" t="s">
        <v>1947</v>
      </c>
      <c r="E5646" s="171" t="s">
        <v>15587</v>
      </c>
      <c r="F5646" s="171" t="s">
        <v>19835</v>
      </c>
      <c r="G5646" s="82"/>
      <c r="H5646" s="96">
        <f t="shared" si="352"/>
        <v>11.24</v>
      </c>
      <c r="I5646" s="96">
        <f t="shared" si="352"/>
        <v>11.77</v>
      </c>
      <c r="J5646" s="91" t="str">
        <f t="shared" si="353"/>
        <v>Sinapi 90102</v>
      </c>
      <c r="K5646" s="91" t="str">
        <f t="shared" si="354"/>
        <v>M3</v>
      </c>
      <c r="L5646" s="166" t="str">
        <f t="shared" si="355"/>
        <v>02/2021</v>
      </c>
      <c r="M5646" s="82"/>
      <c r="N5646" s="82"/>
    </row>
    <row r="5647" spans="1:14" x14ac:dyDescent="0.25">
      <c r="A5647" s="170" t="s">
        <v>8289</v>
      </c>
      <c r="B5647" s="170" t="s">
        <v>14678</v>
      </c>
      <c r="C5647" s="170" t="s">
        <v>85</v>
      </c>
      <c r="D5647" s="170" t="s">
        <v>1947</v>
      </c>
      <c r="E5647" s="171" t="s">
        <v>5267</v>
      </c>
      <c r="F5647" s="171" t="s">
        <v>17961</v>
      </c>
      <c r="G5647" s="82"/>
      <c r="H5647" s="96">
        <f t="shared" si="352"/>
        <v>8.1199999999999992</v>
      </c>
      <c r="I5647" s="96">
        <f t="shared" si="352"/>
        <v>8.49</v>
      </c>
      <c r="J5647" s="91" t="str">
        <f t="shared" si="353"/>
        <v>Sinapi 90105</v>
      </c>
      <c r="K5647" s="91" t="str">
        <f t="shared" si="354"/>
        <v>M3</v>
      </c>
      <c r="L5647" s="166" t="str">
        <f t="shared" si="355"/>
        <v>02/2021</v>
      </c>
      <c r="M5647" s="82"/>
      <c r="N5647" s="82"/>
    </row>
    <row r="5648" spans="1:14" x14ac:dyDescent="0.25">
      <c r="A5648" s="170" t="s">
        <v>8290</v>
      </c>
      <c r="B5648" s="170" t="s">
        <v>14679</v>
      </c>
      <c r="C5648" s="170" t="s">
        <v>85</v>
      </c>
      <c r="D5648" s="170" t="s">
        <v>1947</v>
      </c>
      <c r="E5648" s="171" t="s">
        <v>5261</v>
      </c>
      <c r="F5648" s="171" t="s">
        <v>13750</v>
      </c>
      <c r="G5648" s="82"/>
      <c r="H5648" s="96">
        <f t="shared" si="352"/>
        <v>6.9</v>
      </c>
      <c r="I5648" s="96">
        <f t="shared" si="352"/>
        <v>7.23</v>
      </c>
      <c r="J5648" s="91" t="str">
        <f t="shared" si="353"/>
        <v>Sinapi 90106</v>
      </c>
      <c r="K5648" s="91" t="str">
        <f t="shared" si="354"/>
        <v>M3</v>
      </c>
      <c r="L5648" s="166" t="str">
        <f t="shared" si="355"/>
        <v>02/2021</v>
      </c>
      <c r="M5648" s="82"/>
      <c r="N5648" s="82"/>
    </row>
    <row r="5649" spans="1:14" x14ac:dyDescent="0.25">
      <c r="A5649" s="170" t="s">
        <v>8291</v>
      </c>
      <c r="B5649" s="170" t="s">
        <v>14680</v>
      </c>
      <c r="C5649" s="170" t="s">
        <v>85</v>
      </c>
      <c r="D5649" s="170" t="s">
        <v>1947</v>
      </c>
      <c r="E5649" s="171" t="s">
        <v>15562</v>
      </c>
      <c r="F5649" s="171" t="s">
        <v>22877</v>
      </c>
      <c r="G5649" s="82"/>
      <c r="H5649" s="96">
        <f t="shared" si="352"/>
        <v>6.8</v>
      </c>
      <c r="I5649" s="96">
        <f t="shared" si="352"/>
        <v>7.13</v>
      </c>
      <c r="J5649" s="91" t="str">
        <f t="shared" si="353"/>
        <v>Sinapi 90107</v>
      </c>
      <c r="K5649" s="91" t="str">
        <f t="shared" si="354"/>
        <v>M3</v>
      </c>
      <c r="L5649" s="166" t="str">
        <f t="shared" si="355"/>
        <v>02/2021</v>
      </c>
      <c r="M5649" s="82"/>
      <c r="N5649" s="82"/>
    </row>
    <row r="5650" spans="1:14" x14ac:dyDescent="0.25">
      <c r="A5650" s="170" t="s">
        <v>8293</v>
      </c>
      <c r="B5650" s="170" t="s">
        <v>14681</v>
      </c>
      <c r="C5650" s="170" t="s">
        <v>85</v>
      </c>
      <c r="D5650" s="170" t="s">
        <v>1947</v>
      </c>
      <c r="E5650" s="171" t="s">
        <v>8275</v>
      </c>
      <c r="F5650" s="171" t="s">
        <v>20008</v>
      </c>
      <c r="G5650" s="82"/>
      <c r="H5650" s="96">
        <f t="shared" si="352"/>
        <v>6.2</v>
      </c>
      <c r="I5650" s="96">
        <f t="shared" si="352"/>
        <v>6.5</v>
      </c>
      <c r="J5650" s="91" t="str">
        <f t="shared" si="353"/>
        <v>Sinapi 90108</v>
      </c>
      <c r="K5650" s="91" t="str">
        <f t="shared" si="354"/>
        <v>M3</v>
      </c>
      <c r="L5650" s="166" t="str">
        <f t="shared" si="355"/>
        <v>02/2021</v>
      </c>
      <c r="M5650" s="82"/>
      <c r="N5650" s="82"/>
    </row>
    <row r="5651" spans="1:14" x14ac:dyDescent="0.25">
      <c r="A5651" s="170" t="s">
        <v>8294</v>
      </c>
      <c r="B5651" s="170" t="s">
        <v>12700</v>
      </c>
      <c r="C5651" s="170" t="s">
        <v>85</v>
      </c>
      <c r="D5651" s="170" t="s">
        <v>2710</v>
      </c>
      <c r="E5651" s="171" t="s">
        <v>19391</v>
      </c>
      <c r="F5651" s="171" t="s">
        <v>37400</v>
      </c>
      <c r="G5651" s="82"/>
      <c r="H5651" s="96">
        <f t="shared" si="352"/>
        <v>72.39</v>
      </c>
      <c r="I5651" s="96">
        <f t="shared" si="352"/>
        <v>79.91</v>
      </c>
      <c r="J5651" s="91" t="str">
        <f t="shared" si="353"/>
        <v>Sinapi 93358</v>
      </c>
      <c r="K5651" s="91" t="str">
        <f t="shared" si="354"/>
        <v>M3</v>
      </c>
      <c r="L5651" s="166" t="str">
        <f t="shared" si="355"/>
        <v>02/2021</v>
      </c>
      <c r="M5651" s="82"/>
      <c r="N5651" s="82"/>
    </row>
    <row r="5652" spans="1:14" x14ac:dyDescent="0.25">
      <c r="A5652" s="170" t="s">
        <v>12701</v>
      </c>
      <c r="B5652" s="170" t="s">
        <v>14682</v>
      </c>
      <c r="C5652" s="170" t="s">
        <v>85</v>
      </c>
      <c r="D5652" s="170" t="s">
        <v>1947</v>
      </c>
      <c r="E5652" s="171" t="s">
        <v>15506</v>
      </c>
      <c r="F5652" s="171" t="s">
        <v>14798</v>
      </c>
      <c r="G5652" s="82"/>
      <c r="H5652" s="96">
        <f t="shared" si="352"/>
        <v>12.39</v>
      </c>
      <c r="I5652" s="96">
        <f t="shared" si="352"/>
        <v>12.8</v>
      </c>
      <c r="J5652" s="91" t="str">
        <f t="shared" si="353"/>
        <v>Sinapi 102276</v>
      </c>
      <c r="K5652" s="91" t="str">
        <f t="shared" si="354"/>
        <v>M3</v>
      </c>
      <c r="L5652" s="166" t="str">
        <f t="shared" si="355"/>
        <v>02/2021</v>
      </c>
      <c r="M5652" s="82"/>
      <c r="N5652" s="82"/>
    </row>
    <row r="5653" spans="1:14" x14ac:dyDescent="0.25">
      <c r="A5653" s="170" t="s">
        <v>12702</v>
      </c>
      <c r="B5653" s="170" t="s">
        <v>14683</v>
      </c>
      <c r="C5653" s="170" t="s">
        <v>85</v>
      </c>
      <c r="D5653" s="170" t="s">
        <v>1947</v>
      </c>
      <c r="E5653" s="171" t="s">
        <v>34250</v>
      </c>
      <c r="F5653" s="171" t="s">
        <v>32899</v>
      </c>
      <c r="G5653" s="82"/>
      <c r="H5653" s="96">
        <f t="shared" si="352"/>
        <v>9.7899999999999991</v>
      </c>
      <c r="I5653" s="96">
        <f t="shared" si="352"/>
        <v>10.11</v>
      </c>
      <c r="J5653" s="91" t="str">
        <f t="shared" si="353"/>
        <v>Sinapi 102277</v>
      </c>
      <c r="K5653" s="91" t="str">
        <f t="shared" si="354"/>
        <v>M3</v>
      </c>
      <c r="L5653" s="166" t="str">
        <f t="shared" si="355"/>
        <v>02/2021</v>
      </c>
      <c r="M5653" s="82"/>
      <c r="N5653" s="82"/>
    </row>
    <row r="5654" spans="1:14" x14ac:dyDescent="0.25">
      <c r="A5654" s="170" t="s">
        <v>12703</v>
      </c>
      <c r="B5654" s="170" t="s">
        <v>14684</v>
      </c>
      <c r="C5654" s="170" t="s">
        <v>85</v>
      </c>
      <c r="D5654" s="170" t="s">
        <v>1947</v>
      </c>
      <c r="E5654" s="171" t="s">
        <v>24625</v>
      </c>
      <c r="F5654" s="171" t="s">
        <v>28766</v>
      </c>
      <c r="G5654" s="82"/>
      <c r="H5654" s="96">
        <f t="shared" si="352"/>
        <v>9.68</v>
      </c>
      <c r="I5654" s="96">
        <f t="shared" si="352"/>
        <v>9.9600000000000009</v>
      </c>
      <c r="J5654" s="91" t="str">
        <f t="shared" si="353"/>
        <v>Sinapi 102278</v>
      </c>
      <c r="K5654" s="91" t="str">
        <f t="shared" si="354"/>
        <v>M3</v>
      </c>
      <c r="L5654" s="166" t="str">
        <f t="shared" si="355"/>
        <v>02/2021</v>
      </c>
      <c r="M5654" s="82"/>
      <c r="N5654" s="82"/>
    </row>
    <row r="5655" spans="1:14" x14ac:dyDescent="0.25">
      <c r="A5655" s="170" t="s">
        <v>12704</v>
      </c>
      <c r="B5655" s="170" t="s">
        <v>14685</v>
      </c>
      <c r="C5655" s="170" t="s">
        <v>85</v>
      </c>
      <c r="D5655" s="170" t="s">
        <v>1947</v>
      </c>
      <c r="E5655" s="171" t="s">
        <v>2480</v>
      </c>
      <c r="F5655" s="171" t="s">
        <v>13748</v>
      </c>
      <c r="G5655" s="82"/>
      <c r="H5655" s="96">
        <f t="shared" si="352"/>
        <v>6.84</v>
      </c>
      <c r="I5655" s="96">
        <f t="shared" si="352"/>
        <v>7.06</v>
      </c>
      <c r="J5655" s="91" t="str">
        <f t="shared" si="353"/>
        <v>Sinapi 102279</v>
      </c>
      <c r="K5655" s="91" t="str">
        <f t="shared" si="354"/>
        <v>M3</v>
      </c>
      <c r="L5655" s="166" t="str">
        <f t="shared" si="355"/>
        <v>02/2021</v>
      </c>
      <c r="M5655" s="82"/>
      <c r="N5655" s="82"/>
    </row>
    <row r="5656" spans="1:14" x14ac:dyDescent="0.25">
      <c r="A5656" s="170" t="s">
        <v>12705</v>
      </c>
      <c r="B5656" s="170" t="s">
        <v>14686</v>
      </c>
      <c r="C5656" s="170" t="s">
        <v>85</v>
      </c>
      <c r="D5656" s="170" t="s">
        <v>1947</v>
      </c>
      <c r="E5656" s="171" t="s">
        <v>16319</v>
      </c>
      <c r="F5656" s="171" t="s">
        <v>37401</v>
      </c>
      <c r="G5656" s="82"/>
      <c r="H5656" s="96">
        <f t="shared" si="352"/>
        <v>5.4</v>
      </c>
      <c r="I5656" s="96">
        <f t="shared" si="352"/>
        <v>5.58</v>
      </c>
      <c r="J5656" s="91" t="str">
        <f t="shared" si="353"/>
        <v>Sinapi 102280</v>
      </c>
      <c r="K5656" s="91" t="str">
        <f t="shared" si="354"/>
        <v>M3</v>
      </c>
      <c r="L5656" s="166" t="str">
        <f t="shared" si="355"/>
        <v>02/2021</v>
      </c>
      <c r="M5656" s="82"/>
      <c r="N5656" s="82"/>
    </row>
    <row r="5657" spans="1:14" x14ac:dyDescent="0.25">
      <c r="A5657" s="170" t="s">
        <v>12706</v>
      </c>
      <c r="B5657" s="170" t="s">
        <v>14687</v>
      </c>
      <c r="C5657" s="170" t="s">
        <v>85</v>
      </c>
      <c r="D5657" s="170" t="s">
        <v>1947</v>
      </c>
      <c r="E5657" s="171" t="s">
        <v>18623</v>
      </c>
      <c r="F5657" s="171" t="s">
        <v>15965</v>
      </c>
      <c r="G5657" s="82"/>
      <c r="H5657" s="96">
        <f t="shared" si="352"/>
        <v>5.34</v>
      </c>
      <c r="I5657" s="96">
        <f t="shared" si="352"/>
        <v>5.49</v>
      </c>
      <c r="J5657" s="91" t="str">
        <f t="shared" si="353"/>
        <v>Sinapi 102281</v>
      </c>
      <c r="K5657" s="91" t="str">
        <f t="shared" si="354"/>
        <v>M3</v>
      </c>
      <c r="L5657" s="166" t="str">
        <f t="shared" si="355"/>
        <v>02/2021</v>
      </c>
      <c r="M5657" s="82"/>
      <c r="N5657" s="82"/>
    </row>
    <row r="5658" spans="1:14" x14ac:dyDescent="0.25">
      <c r="A5658" s="170" t="s">
        <v>12707</v>
      </c>
      <c r="B5658" s="170" t="s">
        <v>14688</v>
      </c>
      <c r="C5658" s="170" t="s">
        <v>85</v>
      </c>
      <c r="D5658" s="170" t="s">
        <v>1947</v>
      </c>
      <c r="E5658" s="171" t="s">
        <v>34251</v>
      </c>
      <c r="F5658" s="171" t="s">
        <v>22765</v>
      </c>
      <c r="G5658" s="82"/>
      <c r="H5658" s="96">
        <f t="shared" si="352"/>
        <v>13.75</v>
      </c>
      <c r="I5658" s="96">
        <f t="shared" si="352"/>
        <v>14.2</v>
      </c>
      <c r="J5658" s="91" t="str">
        <f t="shared" si="353"/>
        <v>Sinapi 102282</v>
      </c>
      <c r="K5658" s="91" t="str">
        <f t="shared" si="354"/>
        <v>M3</v>
      </c>
      <c r="L5658" s="166" t="str">
        <f t="shared" si="355"/>
        <v>02/2021</v>
      </c>
      <c r="M5658" s="82"/>
      <c r="N5658" s="82"/>
    </row>
    <row r="5659" spans="1:14" x14ac:dyDescent="0.25">
      <c r="A5659" s="170" t="s">
        <v>12708</v>
      </c>
      <c r="B5659" s="170" t="s">
        <v>14689</v>
      </c>
      <c r="C5659" s="170" t="s">
        <v>85</v>
      </c>
      <c r="D5659" s="170" t="s">
        <v>1947</v>
      </c>
      <c r="E5659" s="171" t="s">
        <v>19295</v>
      </c>
      <c r="F5659" s="171" t="s">
        <v>19824</v>
      </c>
      <c r="G5659" s="82"/>
      <c r="H5659" s="96">
        <f t="shared" si="352"/>
        <v>12.23</v>
      </c>
      <c r="I5659" s="96">
        <f t="shared" si="352"/>
        <v>12.62</v>
      </c>
      <c r="J5659" s="91" t="str">
        <f t="shared" si="353"/>
        <v>Sinapi 102283</v>
      </c>
      <c r="K5659" s="91" t="str">
        <f t="shared" si="354"/>
        <v>M3</v>
      </c>
      <c r="L5659" s="166" t="str">
        <f t="shared" si="355"/>
        <v>02/2021</v>
      </c>
      <c r="M5659" s="82"/>
      <c r="N5659" s="82"/>
    </row>
    <row r="5660" spans="1:14" x14ac:dyDescent="0.25">
      <c r="A5660" s="170" t="s">
        <v>12709</v>
      </c>
      <c r="B5660" s="170" t="s">
        <v>14690</v>
      </c>
      <c r="C5660" s="170" t="s">
        <v>85</v>
      </c>
      <c r="D5660" s="170" t="s">
        <v>1947</v>
      </c>
      <c r="E5660" s="171" t="s">
        <v>17139</v>
      </c>
      <c r="F5660" s="171" t="s">
        <v>19295</v>
      </c>
      <c r="G5660" s="82"/>
      <c r="H5660" s="96">
        <f t="shared" si="352"/>
        <v>11.84</v>
      </c>
      <c r="I5660" s="96">
        <f t="shared" si="352"/>
        <v>12.23</v>
      </c>
      <c r="J5660" s="91" t="str">
        <f t="shared" si="353"/>
        <v>Sinapi 102284</v>
      </c>
      <c r="K5660" s="91" t="str">
        <f t="shared" si="354"/>
        <v>M3</v>
      </c>
      <c r="L5660" s="166" t="str">
        <f t="shared" si="355"/>
        <v>02/2021</v>
      </c>
      <c r="M5660" s="82"/>
      <c r="N5660" s="82"/>
    </row>
    <row r="5661" spans="1:14" x14ac:dyDescent="0.25">
      <c r="A5661" s="170" t="s">
        <v>12710</v>
      </c>
      <c r="B5661" s="170" t="s">
        <v>14691</v>
      </c>
      <c r="C5661" s="170" t="s">
        <v>85</v>
      </c>
      <c r="D5661" s="170" t="s">
        <v>1947</v>
      </c>
      <c r="E5661" s="171" t="s">
        <v>11607</v>
      </c>
      <c r="F5661" s="171" t="s">
        <v>22848</v>
      </c>
      <c r="G5661" s="82"/>
      <c r="H5661" s="96">
        <f t="shared" si="352"/>
        <v>11.19</v>
      </c>
      <c r="I5661" s="96">
        <f t="shared" si="352"/>
        <v>11.55</v>
      </c>
      <c r="J5661" s="91" t="str">
        <f t="shared" si="353"/>
        <v>Sinapi 102285</v>
      </c>
      <c r="K5661" s="91" t="str">
        <f t="shared" si="354"/>
        <v>M3</v>
      </c>
      <c r="L5661" s="166" t="str">
        <f t="shared" si="355"/>
        <v>02/2021</v>
      </c>
      <c r="M5661" s="82"/>
      <c r="N5661" s="82"/>
    </row>
    <row r="5662" spans="1:14" x14ac:dyDescent="0.25">
      <c r="A5662" s="170" t="s">
        <v>12711</v>
      </c>
      <c r="B5662" s="170" t="s">
        <v>14692</v>
      </c>
      <c r="C5662" s="170" t="s">
        <v>85</v>
      </c>
      <c r="D5662" s="170" t="s">
        <v>1947</v>
      </c>
      <c r="E5662" s="171" t="s">
        <v>23099</v>
      </c>
      <c r="F5662" s="171" t="s">
        <v>15587</v>
      </c>
      <c r="G5662" s="82"/>
      <c r="H5662" s="96">
        <f t="shared" si="352"/>
        <v>10.88</v>
      </c>
      <c r="I5662" s="96">
        <f t="shared" si="352"/>
        <v>11.24</v>
      </c>
      <c r="J5662" s="91" t="str">
        <f t="shared" si="353"/>
        <v>Sinapi 102286</v>
      </c>
      <c r="K5662" s="91" t="str">
        <f t="shared" si="354"/>
        <v>M3</v>
      </c>
      <c r="L5662" s="166" t="str">
        <f t="shared" si="355"/>
        <v>02/2021</v>
      </c>
      <c r="M5662" s="82"/>
      <c r="N5662" s="82"/>
    </row>
    <row r="5663" spans="1:14" x14ac:dyDescent="0.25">
      <c r="A5663" s="170" t="s">
        <v>12712</v>
      </c>
      <c r="B5663" s="170" t="s">
        <v>14693</v>
      </c>
      <c r="C5663" s="170" t="s">
        <v>85</v>
      </c>
      <c r="D5663" s="170" t="s">
        <v>1947</v>
      </c>
      <c r="E5663" s="171" t="s">
        <v>26161</v>
      </c>
      <c r="F5663" s="171" t="s">
        <v>14801</v>
      </c>
      <c r="G5663" s="82"/>
      <c r="H5663" s="96">
        <f t="shared" si="352"/>
        <v>10.77</v>
      </c>
      <c r="I5663" s="96">
        <f t="shared" si="352"/>
        <v>11.08</v>
      </c>
      <c r="J5663" s="91" t="str">
        <f t="shared" si="353"/>
        <v>Sinapi 102287</v>
      </c>
      <c r="K5663" s="91" t="str">
        <f t="shared" si="354"/>
        <v>M3</v>
      </c>
      <c r="L5663" s="166" t="str">
        <f t="shared" si="355"/>
        <v>02/2021</v>
      </c>
      <c r="M5663" s="82"/>
      <c r="N5663" s="82"/>
    </row>
    <row r="5664" spans="1:14" x14ac:dyDescent="0.25">
      <c r="A5664" s="170" t="s">
        <v>12713</v>
      </c>
      <c r="B5664" s="170" t="s">
        <v>14694</v>
      </c>
      <c r="C5664" s="170" t="s">
        <v>85</v>
      </c>
      <c r="D5664" s="170" t="s">
        <v>1947</v>
      </c>
      <c r="E5664" s="171" t="s">
        <v>13840</v>
      </c>
      <c r="F5664" s="171" t="s">
        <v>12323</v>
      </c>
      <c r="G5664" s="82"/>
      <c r="H5664" s="96">
        <f t="shared" si="352"/>
        <v>10.34</v>
      </c>
      <c r="I5664" s="96">
        <f t="shared" si="352"/>
        <v>10.63</v>
      </c>
      <c r="J5664" s="91" t="str">
        <f t="shared" si="353"/>
        <v>Sinapi 102288</v>
      </c>
      <c r="K5664" s="91" t="str">
        <f t="shared" si="354"/>
        <v>M3</v>
      </c>
      <c r="L5664" s="166" t="str">
        <f t="shared" si="355"/>
        <v>02/2021</v>
      </c>
      <c r="M5664" s="82"/>
      <c r="N5664" s="82"/>
    </row>
    <row r="5665" spans="1:14" x14ac:dyDescent="0.25">
      <c r="A5665" s="170" t="s">
        <v>12714</v>
      </c>
      <c r="B5665" s="170" t="s">
        <v>14695</v>
      </c>
      <c r="C5665" s="170" t="s">
        <v>85</v>
      </c>
      <c r="D5665" s="170" t="s">
        <v>1947</v>
      </c>
      <c r="E5665" s="171" t="s">
        <v>20077</v>
      </c>
      <c r="F5665" s="171" t="s">
        <v>18356</v>
      </c>
      <c r="G5665" s="82"/>
      <c r="H5665" s="96">
        <f t="shared" si="352"/>
        <v>10.1</v>
      </c>
      <c r="I5665" s="96">
        <f t="shared" si="352"/>
        <v>10.39</v>
      </c>
      <c r="J5665" s="91" t="str">
        <f t="shared" si="353"/>
        <v>Sinapi 102289</v>
      </c>
      <c r="K5665" s="91" t="str">
        <f t="shared" si="354"/>
        <v>M3</v>
      </c>
      <c r="L5665" s="166" t="str">
        <f t="shared" si="355"/>
        <v>02/2021</v>
      </c>
      <c r="M5665" s="82"/>
      <c r="N5665" s="82"/>
    </row>
    <row r="5666" spans="1:14" x14ac:dyDescent="0.25">
      <c r="A5666" s="170" t="s">
        <v>12715</v>
      </c>
      <c r="B5666" s="170" t="s">
        <v>14696</v>
      </c>
      <c r="C5666" s="170" t="s">
        <v>85</v>
      </c>
      <c r="D5666" s="170" t="s">
        <v>1947</v>
      </c>
      <c r="E5666" s="171" t="s">
        <v>19314</v>
      </c>
      <c r="F5666" s="171" t="s">
        <v>14124</v>
      </c>
      <c r="G5666" s="82"/>
      <c r="H5666" s="96">
        <f t="shared" si="352"/>
        <v>7.59</v>
      </c>
      <c r="I5666" s="96">
        <f t="shared" si="352"/>
        <v>7.83</v>
      </c>
      <c r="J5666" s="91" t="str">
        <f t="shared" si="353"/>
        <v>Sinapi 102290</v>
      </c>
      <c r="K5666" s="91" t="str">
        <f t="shared" si="354"/>
        <v>M3</v>
      </c>
      <c r="L5666" s="166" t="str">
        <f t="shared" si="355"/>
        <v>02/2021</v>
      </c>
      <c r="M5666" s="82"/>
      <c r="N5666" s="82"/>
    </row>
    <row r="5667" spans="1:14" x14ac:dyDescent="0.25">
      <c r="A5667" s="170" t="s">
        <v>12716</v>
      </c>
      <c r="B5667" s="170" t="s">
        <v>14697</v>
      </c>
      <c r="C5667" s="170" t="s">
        <v>85</v>
      </c>
      <c r="D5667" s="170" t="s">
        <v>1947</v>
      </c>
      <c r="E5667" s="171" t="s">
        <v>14662</v>
      </c>
      <c r="F5667" s="171" t="s">
        <v>13647</v>
      </c>
      <c r="G5667" s="82"/>
      <c r="H5667" s="96">
        <f t="shared" si="352"/>
        <v>6.74</v>
      </c>
      <c r="I5667" s="96">
        <f t="shared" si="352"/>
        <v>6.96</v>
      </c>
      <c r="J5667" s="91" t="str">
        <f t="shared" si="353"/>
        <v>Sinapi 102291</v>
      </c>
      <c r="K5667" s="91" t="str">
        <f t="shared" si="354"/>
        <v>M3</v>
      </c>
      <c r="L5667" s="166" t="str">
        <f t="shared" si="355"/>
        <v>02/2021</v>
      </c>
      <c r="M5667" s="82"/>
      <c r="N5667" s="82"/>
    </row>
    <row r="5668" spans="1:14" x14ac:dyDescent="0.25">
      <c r="A5668" s="170" t="s">
        <v>12717</v>
      </c>
      <c r="B5668" s="170" t="s">
        <v>14698</v>
      </c>
      <c r="C5668" s="170" t="s">
        <v>85</v>
      </c>
      <c r="D5668" s="170" t="s">
        <v>1947</v>
      </c>
      <c r="E5668" s="171" t="s">
        <v>13855</v>
      </c>
      <c r="F5668" s="171" t="s">
        <v>14662</v>
      </c>
      <c r="G5668" s="82"/>
      <c r="H5668" s="96">
        <f t="shared" si="352"/>
        <v>6.54</v>
      </c>
      <c r="I5668" s="96">
        <f t="shared" si="352"/>
        <v>6.74</v>
      </c>
      <c r="J5668" s="91" t="str">
        <f t="shared" si="353"/>
        <v>Sinapi 102292</v>
      </c>
      <c r="K5668" s="91" t="str">
        <f t="shared" si="354"/>
        <v>M3</v>
      </c>
      <c r="L5668" s="166" t="str">
        <f t="shared" si="355"/>
        <v>02/2021</v>
      </c>
      <c r="M5668" s="82"/>
      <c r="N5668" s="82"/>
    </row>
    <row r="5669" spans="1:14" x14ac:dyDescent="0.25">
      <c r="A5669" s="170" t="s">
        <v>12718</v>
      </c>
      <c r="B5669" s="170" t="s">
        <v>14699</v>
      </c>
      <c r="C5669" s="170" t="s">
        <v>85</v>
      </c>
      <c r="D5669" s="170" t="s">
        <v>1947</v>
      </c>
      <c r="E5669" s="171" t="s">
        <v>34252</v>
      </c>
      <c r="F5669" s="171" t="s">
        <v>14938</v>
      </c>
      <c r="G5669" s="82"/>
      <c r="H5669" s="96">
        <f t="shared" si="352"/>
        <v>6.18</v>
      </c>
      <c r="I5669" s="96">
        <f t="shared" si="352"/>
        <v>6.4</v>
      </c>
      <c r="J5669" s="91" t="str">
        <f t="shared" si="353"/>
        <v>Sinapi 102293</v>
      </c>
      <c r="K5669" s="91" t="str">
        <f t="shared" si="354"/>
        <v>M3</v>
      </c>
      <c r="L5669" s="166" t="str">
        <f t="shared" si="355"/>
        <v>02/2021</v>
      </c>
      <c r="M5669" s="82"/>
      <c r="N5669" s="82"/>
    </row>
    <row r="5670" spans="1:14" x14ac:dyDescent="0.25">
      <c r="A5670" s="170" t="s">
        <v>12719</v>
      </c>
      <c r="B5670" s="170" t="s">
        <v>14700</v>
      </c>
      <c r="C5670" s="170" t="s">
        <v>85</v>
      </c>
      <c r="D5670" s="170" t="s">
        <v>1947</v>
      </c>
      <c r="E5670" s="171" t="s">
        <v>19261</v>
      </c>
      <c r="F5670" s="171" t="s">
        <v>21056</v>
      </c>
      <c r="G5670" s="82"/>
      <c r="H5670" s="96">
        <f t="shared" si="352"/>
        <v>6.02</v>
      </c>
      <c r="I5670" s="96">
        <f t="shared" si="352"/>
        <v>6.21</v>
      </c>
      <c r="J5670" s="91" t="str">
        <f t="shared" si="353"/>
        <v>Sinapi 102294</v>
      </c>
      <c r="K5670" s="91" t="str">
        <f t="shared" si="354"/>
        <v>M3</v>
      </c>
      <c r="L5670" s="166" t="str">
        <f t="shared" si="355"/>
        <v>02/2021</v>
      </c>
      <c r="M5670" s="82"/>
      <c r="N5670" s="82"/>
    </row>
    <row r="5671" spans="1:14" x14ac:dyDescent="0.25">
      <c r="A5671" s="170" t="s">
        <v>12720</v>
      </c>
      <c r="B5671" s="170" t="s">
        <v>14701</v>
      </c>
      <c r="C5671" s="170" t="s">
        <v>85</v>
      </c>
      <c r="D5671" s="170" t="s">
        <v>1947</v>
      </c>
      <c r="E5671" s="171" t="s">
        <v>28856</v>
      </c>
      <c r="F5671" s="171" t="s">
        <v>5176</v>
      </c>
      <c r="G5671" s="82"/>
      <c r="H5671" s="96">
        <f t="shared" si="352"/>
        <v>5.93</v>
      </c>
      <c r="I5671" s="96">
        <f t="shared" si="352"/>
        <v>6.11</v>
      </c>
      <c r="J5671" s="91" t="str">
        <f t="shared" si="353"/>
        <v>Sinapi 102295</v>
      </c>
      <c r="K5671" s="91" t="str">
        <f t="shared" si="354"/>
        <v>M3</v>
      </c>
      <c r="L5671" s="166" t="str">
        <f t="shared" si="355"/>
        <v>02/2021</v>
      </c>
      <c r="M5671" s="82"/>
      <c r="N5671" s="82"/>
    </row>
    <row r="5672" spans="1:14" x14ac:dyDescent="0.25">
      <c r="A5672" s="170" t="s">
        <v>12721</v>
      </c>
      <c r="B5672" s="170" t="s">
        <v>14702</v>
      </c>
      <c r="C5672" s="170" t="s">
        <v>85</v>
      </c>
      <c r="D5672" s="170" t="s">
        <v>1947</v>
      </c>
      <c r="E5672" s="171" t="s">
        <v>17293</v>
      </c>
      <c r="F5672" s="171" t="s">
        <v>21869</v>
      </c>
      <c r="G5672" s="82"/>
      <c r="H5672" s="96">
        <f t="shared" si="352"/>
        <v>5.69</v>
      </c>
      <c r="I5672" s="96">
        <f t="shared" si="352"/>
        <v>5.85</v>
      </c>
      <c r="J5672" s="91" t="str">
        <f t="shared" si="353"/>
        <v>Sinapi 102296</v>
      </c>
      <c r="K5672" s="91" t="str">
        <f t="shared" si="354"/>
        <v>M3</v>
      </c>
      <c r="L5672" s="166" t="str">
        <f t="shared" si="355"/>
        <v>02/2021</v>
      </c>
      <c r="M5672" s="82"/>
      <c r="N5672" s="82"/>
    </row>
    <row r="5673" spans="1:14" x14ac:dyDescent="0.25">
      <c r="A5673" s="170" t="s">
        <v>12722</v>
      </c>
      <c r="B5673" s="170" t="s">
        <v>14703</v>
      </c>
      <c r="C5673" s="170" t="s">
        <v>85</v>
      </c>
      <c r="D5673" s="170" t="s">
        <v>1947</v>
      </c>
      <c r="E5673" s="171" t="s">
        <v>13584</v>
      </c>
      <c r="F5673" s="171" t="s">
        <v>15657</v>
      </c>
      <c r="G5673" s="82"/>
      <c r="H5673" s="96">
        <f t="shared" si="352"/>
        <v>5.56</v>
      </c>
      <c r="I5673" s="96">
        <f t="shared" si="352"/>
        <v>5.73</v>
      </c>
      <c r="J5673" s="91" t="str">
        <f t="shared" si="353"/>
        <v>Sinapi 102297</v>
      </c>
      <c r="K5673" s="91" t="str">
        <f t="shared" si="354"/>
        <v>M3</v>
      </c>
      <c r="L5673" s="166" t="str">
        <f t="shared" si="355"/>
        <v>02/2021</v>
      </c>
      <c r="M5673" s="82"/>
      <c r="N5673" s="82"/>
    </row>
    <row r="5674" spans="1:14" x14ac:dyDescent="0.25">
      <c r="A5674" s="170" t="s">
        <v>12723</v>
      </c>
      <c r="B5674" s="170" t="s">
        <v>14704</v>
      </c>
      <c r="C5674" s="170" t="s">
        <v>85</v>
      </c>
      <c r="D5674" s="170" t="s">
        <v>1947</v>
      </c>
      <c r="E5674" s="171" t="s">
        <v>28686</v>
      </c>
      <c r="F5674" s="171" t="s">
        <v>31912</v>
      </c>
      <c r="G5674" s="82"/>
      <c r="H5674" s="96">
        <f t="shared" si="352"/>
        <v>16.350000000000001</v>
      </c>
      <c r="I5674" s="96">
        <f t="shared" si="352"/>
        <v>17.13</v>
      </c>
      <c r="J5674" s="91" t="str">
        <f t="shared" si="353"/>
        <v>Sinapi 102298</v>
      </c>
      <c r="K5674" s="91" t="str">
        <f t="shared" si="354"/>
        <v>M3</v>
      </c>
      <c r="L5674" s="166" t="str">
        <f t="shared" si="355"/>
        <v>02/2021</v>
      </c>
      <c r="M5674" s="82"/>
      <c r="N5674" s="82"/>
    </row>
    <row r="5675" spans="1:14" x14ac:dyDescent="0.25">
      <c r="A5675" s="170" t="s">
        <v>12724</v>
      </c>
      <c r="B5675" s="170" t="s">
        <v>14705</v>
      </c>
      <c r="C5675" s="170" t="s">
        <v>85</v>
      </c>
      <c r="D5675" s="170" t="s">
        <v>1947</v>
      </c>
      <c r="E5675" s="171" t="s">
        <v>10258</v>
      </c>
      <c r="F5675" s="171" t="s">
        <v>19362</v>
      </c>
      <c r="G5675" s="82"/>
      <c r="H5675" s="96">
        <f t="shared" si="352"/>
        <v>13.89</v>
      </c>
      <c r="I5675" s="96">
        <f t="shared" si="352"/>
        <v>14.56</v>
      </c>
      <c r="J5675" s="91" t="str">
        <f t="shared" si="353"/>
        <v>Sinapi 102299</v>
      </c>
      <c r="K5675" s="91" t="str">
        <f t="shared" si="354"/>
        <v>M3</v>
      </c>
      <c r="L5675" s="166" t="str">
        <f t="shared" si="355"/>
        <v>02/2021</v>
      </c>
      <c r="M5675" s="82"/>
      <c r="N5675" s="82"/>
    </row>
    <row r="5676" spans="1:14" x14ac:dyDescent="0.25">
      <c r="A5676" s="170" t="s">
        <v>12725</v>
      </c>
      <c r="B5676" s="170" t="s">
        <v>14706</v>
      </c>
      <c r="C5676" s="170" t="s">
        <v>85</v>
      </c>
      <c r="D5676" s="170" t="s">
        <v>1947</v>
      </c>
      <c r="E5676" s="171" t="s">
        <v>30561</v>
      </c>
      <c r="F5676" s="171" t="s">
        <v>21354</v>
      </c>
      <c r="G5676" s="82"/>
      <c r="H5676" s="96">
        <f t="shared" si="352"/>
        <v>13.72</v>
      </c>
      <c r="I5676" s="96">
        <f t="shared" si="352"/>
        <v>14.37</v>
      </c>
      <c r="J5676" s="91" t="str">
        <f t="shared" si="353"/>
        <v>Sinapi 102300</v>
      </c>
      <c r="K5676" s="91" t="str">
        <f t="shared" si="354"/>
        <v>M3</v>
      </c>
      <c r="L5676" s="166" t="str">
        <f t="shared" si="355"/>
        <v>02/2021</v>
      </c>
      <c r="M5676" s="82"/>
      <c r="N5676" s="82"/>
    </row>
    <row r="5677" spans="1:14" x14ac:dyDescent="0.25">
      <c r="A5677" s="170" t="s">
        <v>12726</v>
      </c>
      <c r="B5677" s="170" t="s">
        <v>14707</v>
      </c>
      <c r="C5677" s="170" t="s">
        <v>85</v>
      </c>
      <c r="D5677" s="170" t="s">
        <v>1947</v>
      </c>
      <c r="E5677" s="171" t="s">
        <v>15631</v>
      </c>
      <c r="F5677" s="171" t="s">
        <v>21151</v>
      </c>
      <c r="G5677" s="82"/>
      <c r="H5677" s="96">
        <f t="shared" si="352"/>
        <v>12.47</v>
      </c>
      <c r="I5677" s="96">
        <f t="shared" si="352"/>
        <v>13.07</v>
      </c>
      <c r="J5677" s="91" t="str">
        <f t="shared" si="353"/>
        <v>Sinapi 102301</v>
      </c>
      <c r="K5677" s="91" t="str">
        <f t="shared" si="354"/>
        <v>M3</v>
      </c>
      <c r="L5677" s="166" t="str">
        <f t="shared" si="355"/>
        <v>02/2021</v>
      </c>
      <c r="M5677" s="82"/>
      <c r="N5677" s="82"/>
    </row>
    <row r="5678" spans="1:14" x14ac:dyDescent="0.25">
      <c r="A5678" s="170" t="s">
        <v>12727</v>
      </c>
      <c r="B5678" s="170" t="s">
        <v>14708</v>
      </c>
      <c r="C5678" s="170" t="s">
        <v>85</v>
      </c>
      <c r="D5678" s="170" t="s">
        <v>1947</v>
      </c>
      <c r="E5678" s="171" t="s">
        <v>30209</v>
      </c>
      <c r="F5678" s="171" t="s">
        <v>17289</v>
      </c>
      <c r="G5678" s="82"/>
      <c r="H5678" s="96">
        <f t="shared" si="352"/>
        <v>9.01</v>
      </c>
      <c r="I5678" s="96">
        <f t="shared" si="352"/>
        <v>9.4499999999999993</v>
      </c>
      <c r="J5678" s="91" t="str">
        <f t="shared" si="353"/>
        <v>Sinapi 102302</v>
      </c>
      <c r="K5678" s="91" t="str">
        <f t="shared" si="354"/>
        <v>M3</v>
      </c>
      <c r="L5678" s="166" t="str">
        <f t="shared" si="355"/>
        <v>02/2021</v>
      </c>
      <c r="M5678" s="82"/>
      <c r="N5678" s="82"/>
    </row>
    <row r="5679" spans="1:14" x14ac:dyDescent="0.25">
      <c r="A5679" s="170" t="s">
        <v>12728</v>
      </c>
      <c r="B5679" s="170" t="s">
        <v>14709</v>
      </c>
      <c r="C5679" s="170" t="s">
        <v>85</v>
      </c>
      <c r="D5679" s="170" t="s">
        <v>1947</v>
      </c>
      <c r="E5679" s="171" t="s">
        <v>29201</v>
      </c>
      <c r="F5679" s="171" t="s">
        <v>19858</v>
      </c>
      <c r="G5679" s="82"/>
      <c r="H5679" s="96">
        <f t="shared" si="352"/>
        <v>7.65</v>
      </c>
      <c r="I5679" s="96">
        <f t="shared" si="352"/>
        <v>8.02</v>
      </c>
      <c r="J5679" s="91" t="str">
        <f t="shared" si="353"/>
        <v>Sinapi 102303</v>
      </c>
      <c r="K5679" s="91" t="str">
        <f t="shared" si="354"/>
        <v>M3</v>
      </c>
      <c r="L5679" s="166" t="str">
        <f t="shared" si="355"/>
        <v>02/2021</v>
      </c>
      <c r="M5679" s="82"/>
      <c r="N5679" s="82"/>
    </row>
    <row r="5680" spans="1:14" x14ac:dyDescent="0.25">
      <c r="A5680" s="170" t="s">
        <v>12729</v>
      </c>
      <c r="B5680" s="170" t="s">
        <v>14710</v>
      </c>
      <c r="C5680" s="170" t="s">
        <v>85</v>
      </c>
      <c r="D5680" s="170" t="s">
        <v>1947</v>
      </c>
      <c r="E5680" s="171" t="s">
        <v>21706</v>
      </c>
      <c r="F5680" s="171" t="s">
        <v>17907</v>
      </c>
      <c r="G5680" s="82"/>
      <c r="H5680" s="96">
        <f t="shared" si="352"/>
        <v>7.56</v>
      </c>
      <c r="I5680" s="96">
        <f t="shared" si="352"/>
        <v>7.91</v>
      </c>
      <c r="J5680" s="91" t="str">
        <f t="shared" si="353"/>
        <v>Sinapi 102304</v>
      </c>
      <c r="K5680" s="91" t="str">
        <f t="shared" si="354"/>
        <v>M3</v>
      </c>
      <c r="L5680" s="166" t="str">
        <f t="shared" si="355"/>
        <v>02/2021</v>
      </c>
      <c r="M5680" s="82"/>
      <c r="N5680" s="82"/>
    </row>
    <row r="5681" spans="1:14" x14ac:dyDescent="0.25">
      <c r="A5681" s="170" t="s">
        <v>12730</v>
      </c>
      <c r="B5681" s="170" t="s">
        <v>14711</v>
      </c>
      <c r="C5681" s="170" t="s">
        <v>85</v>
      </c>
      <c r="D5681" s="170" t="s">
        <v>1947</v>
      </c>
      <c r="E5681" s="171" t="s">
        <v>21105</v>
      </c>
      <c r="F5681" s="171" t="s">
        <v>23182</v>
      </c>
      <c r="G5681" s="82"/>
      <c r="H5681" s="96">
        <f t="shared" si="352"/>
        <v>6.88</v>
      </c>
      <c r="I5681" s="96">
        <f t="shared" si="352"/>
        <v>7.21</v>
      </c>
      <c r="J5681" s="91" t="str">
        <f t="shared" si="353"/>
        <v>Sinapi 102305</v>
      </c>
      <c r="K5681" s="91" t="str">
        <f t="shared" si="354"/>
        <v>M3</v>
      </c>
      <c r="L5681" s="166" t="str">
        <f t="shared" si="355"/>
        <v>02/2021</v>
      </c>
      <c r="M5681" s="82"/>
      <c r="N5681" s="82"/>
    </row>
    <row r="5682" spans="1:14" x14ac:dyDescent="0.25">
      <c r="A5682" s="170" t="s">
        <v>12731</v>
      </c>
      <c r="B5682" s="170" t="s">
        <v>14712</v>
      </c>
      <c r="C5682" s="170" t="s">
        <v>85</v>
      </c>
      <c r="D5682" s="170" t="s">
        <v>1947</v>
      </c>
      <c r="E5682" s="171" t="s">
        <v>8527</v>
      </c>
      <c r="F5682" s="171" t="s">
        <v>20358</v>
      </c>
      <c r="G5682" s="82"/>
      <c r="H5682" s="96">
        <f t="shared" si="352"/>
        <v>15.5</v>
      </c>
      <c r="I5682" s="96">
        <f t="shared" si="352"/>
        <v>16.010000000000002</v>
      </c>
      <c r="J5682" s="91" t="str">
        <f t="shared" si="353"/>
        <v>Sinapi 102306</v>
      </c>
      <c r="K5682" s="91" t="str">
        <f t="shared" si="354"/>
        <v>M3</v>
      </c>
      <c r="L5682" s="166" t="str">
        <f t="shared" si="355"/>
        <v>02/2021</v>
      </c>
      <c r="M5682" s="82"/>
      <c r="N5682" s="82"/>
    </row>
    <row r="5683" spans="1:14" x14ac:dyDescent="0.25">
      <c r="A5683" s="170" t="s">
        <v>12732</v>
      </c>
      <c r="B5683" s="170" t="s">
        <v>14713</v>
      </c>
      <c r="C5683" s="170" t="s">
        <v>85</v>
      </c>
      <c r="D5683" s="170" t="s">
        <v>1947</v>
      </c>
      <c r="E5683" s="171" t="s">
        <v>34251</v>
      </c>
      <c r="F5683" s="171" t="s">
        <v>22765</v>
      </c>
      <c r="G5683" s="82"/>
      <c r="H5683" s="96">
        <f t="shared" si="352"/>
        <v>13.75</v>
      </c>
      <c r="I5683" s="96">
        <f t="shared" si="352"/>
        <v>14.2</v>
      </c>
      <c r="J5683" s="91" t="str">
        <f t="shared" si="353"/>
        <v>Sinapi 102307</v>
      </c>
      <c r="K5683" s="91" t="str">
        <f t="shared" si="354"/>
        <v>M3</v>
      </c>
      <c r="L5683" s="166" t="str">
        <f t="shared" si="355"/>
        <v>02/2021</v>
      </c>
      <c r="M5683" s="82"/>
      <c r="N5683" s="82"/>
    </row>
    <row r="5684" spans="1:14" x14ac:dyDescent="0.25">
      <c r="A5684" s="170" t="s">
        <v>12733</v>
      </c>
      <c r="B5684" s="170" t="s">
        <v>14714</v>
      </c>
      <c r="C5684" s="170" t="s">
        <v>85</v>
      </c>
      <c r="D5684" s="170" t="s">
        <v>1947</v>
      </c>
      <c r="E5684" s="171" t="s">
        <v>19962</v>
      </c>
      <c r="F5684" s="171" t="s">
        <v>30197</v>
      </c>
      <c r="G5684" s="82"/>
      <c r="H5684" s="96">
        <f t="shared" si="352"/>
        <v>13.33</v>
      </c>
      <c r="I5684" s="96">
        <f t="shared" si="352"/>
        <v>13.77</v>
      </c>
      <c r="J5684" s="91" t="str">
        <f t="shared" si="353"/>
        <v>Sinapi 102308</v>
      </c>
      <c r="K5684" s="91" t="str">
        <f t="shared" si="354"/>
        <v>M3</v>
      </c>
      <c r="L5684" s="166" t="str">
        <f t="shared" si="355"/>
        <v>02/2021</v>
      </c>
      <c r="M5684" s="82"/>
      <c r="N5684" s="82"/>
    </row>
    <row r="5685" spans="1:14" x14ac:dyDescent="0.25">
      <c r="A5685" s="170" t="s">
        <v>12734</v>
      </c>
      <c r="B5685" s="170" t="s">
        <v>14715</v>
      </c>
      <c r="C5685" s="170" t="s">
        <v>85</v>
      </c>
      <c r="D5685" s="170" t="s">
        <v>1947</v>
      </c>
      <c r="E5685" s="171" t="s">
        <v>19824</v>
      </c>
      <c r="F5685" s="171" t="s">
        <v>13652</v>
      </c>
      <c r="G5685" s="82"/>
      <c r="H5685" s="96">
        <f t="shared" si="352"/>
        <v>12.62</v>
      </c>
      <c r="I5685" s="96">
        <f t="shared" si="352"/>
        <v>13.04</v>
      </c>
      <c r="J5685" s="91" t="str">
        <f t="shared" si="353"/>
        <v>Sinapi 102309</v>
      </c>
      <c r="K5685" s="91" t="str">
        <f t="shared" si="354"/>
        <v>M3</v>
      </c>
      <c r="L5685" s="166" t="str">
        <f t="shared" si="355"/>
        <v>02/2021</v>
      </c>
      <c r="M5685" s="82"/>
      <c r="N5685" s="82"/>
    </row>
    <row r="5686" spans="1:14" x14ac:dyDescent="0.25">
      <c r="A5686" s="170" t="s">
        <v>12735</v>
      </c>
      <c r="B5686" s="170" t="s">
        <v>14716</v>
      </c>
      <c r="C5686" s="170" t="s">
        <v>85</v>
      </c>
      <c r="D5686" s="170" t="s">
        <v>1947</v>
      </c>
      <c r="E5686" s="171" t="s">
        <v>19856</v>
      </c>
      <c r="F5686" s="171" t="s">
        <v>22015</v>
      </c>
      <c r="G5686" s="82"/>
      <c r="H5686" s="96">
        <f t="shared" si="352"/>
        <v>12.25</v>
      </c>
      <c r="I5686" s="96">
        <f t="shared" si="352"/>
        <v>12.64</v>
      </c>
      <c r="J5686" s="91" t="str">
        <f t="shared" si="353"/>
        <v>Sinapi 102310</v>
      </c>
      <c r="K5686" s="91" t="str">
        <f t="shared" si="354"/>
        <v>M3</v>
      </c>
      <c r="L5686" s="166" t="str">
        <f t="shared" si="355"/>
        <v>02/2021</v>
      </c>
      <c r="M5686" s="82"/>
      <c r="N5686" s="82"/>
    </row>
    <row r="5687" spans="1:14" x14ac:dyDescent="0.25">
      <c r="A5687" s="170" t="s">
        <v>12736</v>
      </c>
      <c r="B5687" s="170" t="s">
        <v>14717</v>
      </c>
      <c r="C5687" s="170" t="s">
        <v>85</v>
      </c>
      <c r="D5687" s="170" t="s">
        <v>1947</v>
      </c>
      <c r="E5687" s="171" t="s">
        <v>21523</v>
      </c>
      <c r="F5687" s="171" t="s">
        <v>19384</v>
      </c>
      <c r="G5687" s="82"/>
      <c r="H5687" s="96">
        <f t="shared" si="352"/>
        <v>12.09</v>
      </c>
      <c r="I5687" s="96">
        <f t="shared" si="352"/>
        <v>12.44</v>
      </c>
      <c r="J5687" s="91" t="str">
        <f t="shared" si="353"/>
        <v>Sinapi 102311</v>
      </c>
      <c r="K5687" s="91" t="str">
        <f t="shared" si="354"/>
        <v>M3</v>
      </c>
      <c r="L5687" s="166" t="str">
        <f t="shared" si="355"/>
        <v>02/2021</v>
      </c>
      <c r="M5687" s="82"/>
      <c r="N5687" s="82"/>
    </row>
    <row r="5688" spans="1:14" x14ac:dyDescent="0.25">
      <c r="A5688" s="170" t="s">
        <v>12737</v>
      </c>
      <c r="B5688" s="170" t="s">
        <v>14718</v>
      </c>
      <c r="C5688" s="170" t="s">
        <v>85</v>
      </c>
      <c r="D5688" s="170" t="s">
        <v>1947</v>
      </c>
      <c r="E5688" s="171" t="s">
        <v>12888</v>
      </c>
      <c r="F5688" s="171" t="s">
        <v>27343</v>
      </c>
      <c r="G5688" s="82"/>
      <c r="H5688" s="96">
        <f t="shared" si="352"/>
        <v>11.63</v>
      </c>
      <c r="I5688" s="96">
        <f t="shared" si="352"/>
        <v>11.96</v>
      </c>
      <c r="J5688" s="91" t="str">
        <f t="shared" si="353"/>
        <v>Sinapi 102312</v>
      </c>
      <c r="K5688" s="91" t="str">
        <f t="shared" si="354"/>
        <v>M3</v>
      </c>
      <c r="L5688" s="166" t="str">
        <f t="shared" si="355"/>
        <v>02/2021</v>
      </c>
      <c r="M5688" s="82"/>
      <c r="N5688" s="82"/>
    </row>
    <row r="5689" spans="1:14" x14ac:dyDescent="0.25">
      <c r="A5689" s="170" t="s">
        <v>12738</v>
      </c>
      <c r="B5689" s="170" t="s">
        <v>14719</v>
      </c>
      <c r="C5689" s="170" t="s">
        <v>85</v>
      </c>
      <c r="D5689" s="170" t="s">
        <v>1947</v>
      </c>
      <c r="E5689" s="171" t="s">
        <v>21325</v>
      </c>
      <c r="F5689" s="171" t="s">
        <v>17920</v>
      </c>
      <c r="G5689" s="82"/>
      <c r="H5689" s="96">
        <f t="shared" si="352"/>
        <v>11.36</v>
      </c>
      <c r="I5689" s="96">
        <f t="shared" si="352"/>
        <v>11.68</v>
      </c>
      <c r="J5689" s="91" t="str">
        <f t="shared" si="353"/>
        <v>Sinapi 102313</v>
      </c>
      <c r="K5689" s="91" t="str">
        <f t="shared" si="354"/>
        <v>M3</v>
      </c>
      <c r="L5689" s="166" t="str">
        <f t="shared" si="355"/>
        <v>02/2021</v>
      </c>
      <c r="M5689" s="82"/>
      <c r="N5689" s="82"/>
    </row>
    <row r="5690" spans="1:14" x14ac:dyDescent="0.25">
      <c r="A5690" s="170" t="s">
        <v>12739</v>
      </c>
      <c r="B5690" s="170" t="s">
        <v>14720</v>
      </c>
      <c r="C5690" s="170" t="s">
        <v>85</v>
      </c>
      <c r="D5690" s="170" t="s">
        <v>1947</v>
      </c>
      <c r="E5690" s="171" t="s">
        <v>13849</v>
      </c>
      <c r="F5690" s="171" t="s">
        <v>14897</v>
      </c>
      <c r="G5690" s="82"/>
      <c r="H5690" s="96">
        <f t="shared" si="352"/>
        <v>8.5500000000000007</v>
      </c>
      <c r="I5690" s="96">
        <f t="shared" si="352"/>
        <v>8.83</v>
      </c>
      <c r="J5690" s="91" t="str">
        <f t="shared" si="353"/>
        <v>Sinapi 102314</v>
      </c>
      <c r="K5690" s="91" t="str">
        <f t="shared" si="354"/>
        <v>M3</v>
      </c>
      <c r="L5690" s="166" t="str">
        <f t="shared" si="355"/>
        <v>02/2021</v>
      </c>
      <c r="M5690" s="82"/>
      <c r="N5690" s="82"/>
    </row>
    <row r="5691" spans="1:14" x14ac:dyDescent="0.25">
      <c r="A5691" s="170" t="s">
        <v>12740</v>
      </c>
      <c r="B5691" s="170" t="s">
        <v>14721</v>
      </c>
      <c r="C5691" s="170" t="s">
        <v>85</v>
      </c>
      <c r="D5691" s="170" t="s">
        <v>1947</v>
      </c>
      <c r="E5691" s="171" t="s">
        <v>19314</v>
      </c>
      <c r="F5691" s="171" t="s">
        <v>14124</v>
      </c>
      <c r="G5691" s="82"/>
      <c r="H5691" s="96">
        <f t="shared" si="352"/>
        <v>7.59</v>
      </c>
      <c r="I5691" s="96">
        <f t="shared" si="352"/>
        <v>7.83</v>
      </c>
      <c r="J5691" s="91" t="str">
        <f t="shared" si="353"/>
        <v>Sinapi 102315</v>
      </c>
      <c r="K5691" s="91" t="str">
        <f t="shared" si="354"/>
        <v>M3</v>
      </c>
      <c r="L5691" s="166" t="str">
        <f t="shared" si="355"/>
        <v>02/2021</v>
      </c>
      <c r="M5691" s="82"/>
      <c r="N5691" s="82"/>
    </row>
    <row r="5692" spans="1:14" x14ac:dyDescent="0.25">
      <c r="A5692" s="170" t="s">
        <v>12741</v>
      </c>
      <c r="B5692" s="170" t="s">
        <v>14722</v>
      </c>
      <c r="C5692" s="170" t="s">
        <v>85</v>
      </c>
      <c r="D5692" s="170" t="s">
        <v>1947</v>
      </c>
      <c r="E5692" s="171" t="s">
        <v>22769</v>
      </c>
      <c r="F5692" s="171" t="s">
        <v>19314</v>
      </c>
      <c r="G5692" s="82"/>
      <c r="H5692" s="96">
        <f t="shared" si="352"/>
        <v>7.36</v>
      </c>
      <c r="I5692" s="96">
        <f t="shared" si="352"/>
        <v>7.59</v>
      </c>
      <c r="J5692" s="91" t="str">
        <f t="shared" si="353"/>
        <v>Sinapi 102316</v>
      </c>
      <c r="K5692" s="91" t="str">
        <f t="shared" si="354"/>
        <v>M3</v>
      </c>
      <c r="L5692" s="166" t="str">
        <f t="shared" si="355"/>
        <v>02/2021</v>
      </c>
      <c r="M5692" s="82"/>
      <c r="N5692" s="82"/>
    </row>
    <row r="5693" spans="1:14" x14ac:dyDescent="0.25">
      <c r="A5693" s="170" t="s">
        <v>12742</v>
      </c>
      <c r="B5693" s="170" t="s">
        <v>14723</v>
      </c>
      <c r="C5693" s="170" t="s">
        <v>85</v>
      </c>
      <c r="D5693" s="170" t="s">
        <v>1947</v>
      </c>
      <c r="E5693" s="171" t="s">
        <v>5224</v>
      </c>
      <c r="F5693" s="171" t="s">
        <v>14783</v>
      </c>
      <c r="G5693" s="82"/>
      <c r="H5693" s="96">
        <f t="shared" si="352"/>
        <v>6.94</v>
      </c>
      <c r="I5693" s="96">
        <f t="shared" si="352"/>
        <v>7.17</v>
      </c>
      <c r="J5693" s="91" t="str">
        <f t="shared" si="353"/>
        <v>Sinapi 102317</v>
      </c>
      <c r="K5693" s="91" t="str">
        <f t="shared" si="354"/>
        <v>M3</v>
      </c>
      <c r="L5693" s="166" t="str">
        <f t="shared" si="355"/>
        <v>02/2021</v>
      </c>
      <c r="M5693" s="82"/>
      <c r="N5693" s="82"/>
    </row>
    <row r="5694" spans="1:14" x14ac:dyDescent="0.25">
      <c r="A5694" s="170" t="s">
        <v>12743</v>
      </c>
      <c r="B5694" s="170" t="s">
        <v>14724</v>
      </c>
      <c r="C5694" s="170" t="s">
        <v>85</v>
      </c>
      <c r="D5694" s="170" t="s">
        <v>1947</v>
      </c>
      <c r="E5694" s="171" t="s">
        <v>22832</v>
      </c>
      <c r="F5694" s="171" t="s">
        <v>18564</v>
      </c>
      <c r="G5694" s="82"/>
      <c r="H5694" s="96">
        <f t="shared" si="352"/>
        <v>6.77</v>
      </c>
      <c r="I5694" s="96">
        <f t="shared" si="352"/>
        <v>6.98</v>
      </c>
      <c r="J5694" s="91" t="str">
        <f t="shared" si="353"/>
        <v>Sinapi 102318</v>
      </c>
      <c r="K5694" s="91" t="str">
        <f t="shared" si="354"/>
        <v>M3</v>
      </c>
      <c r="L5694" s="166" t="str">
        <f t="shared" si="355"/>
        <v>02/2021</v>
      </c>
      <c r="M5694" s="82"/>
      <c r="N5694" s="82"/>
    </row>
    <row r="5695" spans="1:14" x14ac:dyDescent="0.25">
      <c r="A5695" s="170" t="s">
        <v>12744</v>
      </c>
      <c r="B5695" s="170" t="s">
        <v>14725</v>
      </c>
      <c r="C5695" s="170" t="s">
        <v>85</v>
      </c>
      <c r="D5695" s="170" t="s">
        <v>1947</v>
      </c>
      <c r="E5695" s="171" t="s">
        <v>17288</v>
      </c>
      <c r="F5695" s="171" t="s">
        <v>20043</v>
      </c>
      <c r="G5695" s="82"/>
      <c r="H5695" s="96">
        <f t="shared" si="352"/>
        <v>6.66</v>
      </c>
      <c r="I5695" s="96">
        <f t="shared" si="352"/>
        <v>6.86</v>
      </c>
      <c r="J5695" s="91" t="str">
        <f t="shared" si="353"/>
        <v>Sinapi 102319</v>
      </c>
      <c r="K5695" s="91" t="str">
        <f t="shared" si="354"/>
        <v>M3</v>
      </c>
      <c r="L5695" s="166" t="str">
        <f t="shared" si="355"/>
        <v>02/2021</v>
      </c>
      <c r="M5695" s="82"/>
      <c r="N5695" s="82"/>
    </row>
    <row r="5696" spans="1:14" x14ac:dyDescent="0.25">
      <c r="A5696" s="170" t="s">
        <v>12745</v>
      </c>
      <c r="B5696" s="170" t="s">
        <v>14726</v>
      </c>
      <c r="C5696" s="170" t="s">
        <v>85</v>
      </c>
      <c r="D5696" s="170" t="s">
        <v>1947</v>
      </c>
      <c r="E5696" s="171" t="s">
        <v>14938</v>
      </c>
      <c r="F5696" s="171" t="s">
        <v>4246</v>
      </c>
      <c r="G5696" s="82"/>
      <c r="H5696" s="96">
        <f t="shared" si="352"/>
        <v>6.4</v>
      </c>
      <c r="I5696" s="96">
        <f t="shared" si="352"/>
        <v>6.58</v>
      </c>
      <c r="J5696" s="91" t="str">
        <f t="shared" si="353"/>
        <v>Sinapi 102320</v>
      </c>
      <c r="K5696" s="91" t="str">
        <f t="shared" si="354"/>
        <v>M3</v>
      </c>
      <c r="L5696" s="166" t="str">
        <f t="shared" si="355"/>
        <v>02/2021</v>
      </c>
      <c r="M5696" s="82"/>
      <c r="N5696" s="82"/>
    </row>
    <row r="5697" spans="1:14" x14ac:dyDescent="0.25">
      <c r="A5697" s="170" t="s">
        <v>12746</v>
      </c>
      <c r="B5697" s="170" t="s">
        <v>14727</v>
      </c>
      <c r="C5697" s="170" t="s">
        <v>85</v>
      </c>
      <c r="D5697" s="170" t="s">
        <v>1947</v>
      </c>
      <c r="E5697" s="171" t="s">
        <v>29470</v>
      </c>
      <c r="F5697" s="171" t="s">
        <v>29336</v>
      </c>
      <c r="G5697" s="82"/>
      <c r="H5697" s="96">
        <f t="shared" si="352"/>
        <v>6.27</v>
      </c>
      <c r="I5697" s="96">
        <f t="shared" si="352"/>
        <v>6.46</v>
      </c>
      <c r="J5697" s="91" t="str">
        <f t="shared" si="353"/>
        <v>Sinapi 102321</v>
      </c>
      <c r="K5697" s="91" t="str">
        <f t="shared" si="354"/>
        <v>M3</v>
      </c>
      <c r="L5697" s="166" t="str">
        <f t="shared" si="355"/>
        <v>02/2021</v>
      </c>
      <c r="M5697" s="82"/>
      <c r="N5697" s="82"/>
    </row>
    <row r="5698" spans="1:14" x14ac:dyDescent="0.25">
      <c r="A5698" s="170" t="s">
        <v>12747</v>
      </c>
      <c r="B5698" s="170" t="s">
        <v>14728</v>
      </c>
      <c r="C5698" s="170" t="s">
        <v>85</v>
      </c>
      <c r="D5698" s="170" t="s">
        <v>1947</v>
      </c>
      <c r="E5698" s="171" t="s">
        <v>20369</v>
      </c>
      <c r="F5698" s="171" t="s">
        <v>13583</v>
      </c>
      <c r="G5698" s="82"/>
      <c r="H5698" s="96">
        <f t="shared" si="352"/>
        <v>18.399999999999999</v>
      </c>
      <c r="I5698" s="96">
        <f t="shared" si="352"/>
        <v>19.28</v>
      </c>
      <c r="J5698" s="91" t="str">
        <f t="shared" si="353"/>
        <v>Sinapi 102322</v>
      </c>
      <c r="K5698" s="91" t="str">
        <f t="shared" si="354"/>
        <v>M3</v>
      </c>
      <c r="L5698" s="166" t="str">
        <f t="shared" si="355"/>
        <v>02/2021</v>
      </c>
      <c r="M5698" s="82"/>
      <c r="N5698" s="82"/>
    </row>
    <row r="5699" spans="1:14" x14ac:dyDescent="0.25">
      <c r="A5699" s="170" t="s">
        <v>12748</v>
      </c>
      <c r="B5699" s="170" t="s">
        <v>14729</v>
      </c>
      <c r="C5699" s="170" t="s">
        <v>85</v>
      </c>
      <c r="D5699" s="170" t="s">
        <v>1947</v>
      </c>
      <c r="E5699" s="171" t="s">
        <v>20666</v>
      </c>
      <c r="F5699" s="171" t="s">
        <v>19959</v>
      </c>
      <c r="G5699" s="82"/>
      <c r="H5699" s="96">
        <f t="shared" si="352"/>
        <v>15.63</v>
      </c>
      <c r="I5699" s="96">
        <f t="shared" si="352"/>
        <v>16.37</v>
      </c>
      <c r="J5699" s="91" t="str">
        <f t="shared" si="353"/>
        <v>Sinapi 102323</v>
      </c>
      <c r="K5699" s="91" t="str">
        <f t="shared" si="354"/>
        <v>M3</v>
      </c>
      <c r="L5699" s="166" t="str">
        <f t="shared" si="355"/>
        <v>02/2021</v>
      </c>
      <c r="M5699" s="82"/>
      <c r="N5699" s="82"/>
    </row>
    <row r="5700" spans="1:14" x14ac:dyDescent="0.25">
      <c r="A5700" s="170" t="s">
        <v>12749</v>
      </c>
      <c r="B5700" s="170" t="s">
        <v>14730</v>
      </c>
      <c r="C5700" s="170" t="s">
        <v>85</v>
      </c>
      <c r="D5700" s="170" t="s">
        <v>1947</v>
      </c>
      <c r="E5700" s="171" t="s">
        <v>12302</v>
      </c>
      <c r="F5700" s="171" t="s">
        <v>23100</v>
      </c>
      <c r="G5700" s="82"/>
      <c r="H5700" s="96">
        <f t="shared" si="352"/>
        <v>15.44</v>
      </c>
      <c r="I5700" s="96">
        <f t="shared" si="352"/>
        <v>16.16</v>
      </c>
      <c r="J5700" s="91" t="str">
        <f t="shared" si="353"/>
        <v>Sinapi 102324</v>
      </c>
      <c r="K5700" s="91" t="str">
        <f t="shared" si="354"/>
        <v>M3</v>
      </c>
      <c r="L5700" s="166" t="str">
        <f t="shared" si="355"/>
        <v>02/2021</v>
      </c>
      <c r="M5700" s="82"/>
      <c r="N5700" s="82"/>
    </row>
    <row r="5701" spans="1:14" x14ac:dyDescent="0.25">
      <c r="A5701" s="170" t="s">
        <v>12750</v>
      </c>
      <c r="B5701" s="170" t="s">
        <v>14731</v>
      </c>
      <c r="C5701" s="170" t="s">
        <v>85</v>
      </c>
      <c r="D5701" s="170" t="s">
        <v>1947</v>
      </c>
      <c r="E5701" s="171" t="s">
        <v>11117</v>
      </c>
      <c r="F5701" s="171" t="s">
        <v>22956</v>
      </c>
      <c r="G5701" s="82"/>
      <c r="H5701" s="96">
        <f t="shared" si="352"/>
        <v>14.05</v>
      </c>
      <c r="I5701" s="96">
        <f t="shared" si="352"/>
        <v>14.71</v>
      </c>
      <c r="J5701" s="91" t="str">
        <f t="shared" si="353"/>
        <v>Sinapi 102325</v>
      </c>
      <c r="K5701" s="91" t="str">
        <f t="shared" si="354"/>
        <v>M3</v>
      </c>
      <c r="L5701" s="166" t="str">
        <f t="shared" si="355"/>
        <v>02/2021</v>
      </c>
      <c r="M5701" s="82"/>
      <c r="N5701" s="82"/>
    </row>
    <row r="5702" spans="1:14" x14ac:dyDescent="0.25">
      <c r="A5702" s="170" t="s">
        <v>12751</v>
      </c>
      <c r="B5702" s="170" t="s">
        <v>14732</v>
      </c>
      <c r="C5702" s="170" t="s">
        <v>85</v>
      </c>
      <c r="D5702" s="170" t="s">
        <v>1947</v>
      </c>
      <c r="E5702" s="171" t="s">
        <v>14786</v>
      </c>
      <c r="F5702" s="171" t="s">
        <v>14345</v>
      </c>
      <c r="G5702" s="82"/>
      <c r="H5702" s="96">
        <f t="shared" si="352"/>
        <v>10.16</v>
      </c>
      <c r="I5702" s="96">
        <f t="shared" si="352"/>
        <v>10.64</v>
      </c>
      <c r="J5702" s="91" t="str">
        <f t="shared" si="353"/>
        <v>Sinapi 102326</v>
      </c>
      <c r="K5702" s="91" t="str">
        <f t="shared" si="354"/>
        <v>M3</v>
      </c>
      <c r="L5702" s="166" t="str">
        <f t="shared" si="355"/>
        <v>02/2021</v>
      </c>
      <c r="M5702" s="82"/>
      <c r="N5702" s="82"/>
    </row>
    <row r="5703" spans="1:14" x14ac:dyDescent="0.25">
      <c r="A5703" s="170" t="s">
        <v>12752</v>
      </c>
      <c r="B5703" s="170" t="s">
        <v>14733</v>
      </c>
      <c r="C5703" s="170" t="s">
        <v>85</v>
      </c>
      <c r="D5703" s="170" t="s">
        <v>1947</v>
      </c>
      <c r="E5703" s="171" t="s">
        <v>23132</v>
      </c>
      <c r="F5703" s="171" t="s">
        <v>21318</v>
      </c>
      <c r="G5703" s="82"/>
      <c r="H5703" s="96">
        <f t="shared" si="352"/>
        <v>8.6300000000000008</v>
      </c>
      <c r="I5703" s="96">
        <f t="shared" si="352"/>
        <v>9.0399999999999991</v>
      </c>
      <c r="J5703" s="91" t="str">
        <f t="shared" si="353"/>
        <v>Sinapi 102327</v>
      </c>
      <c r="K5703" s="91" t="str">
        <f t="shared" si="354"/>
        <v>M3</v>
      </c>
      <c r="L5703" s="166" t="str">
        <f t="shared" si="355"/>
        <v>02/2021</v>
      </c>
      <c r="M5703" s="82"/>
      <c r="N5703" s="82"/>
    </row>
    <row r="5704" spans="1:14" x14ac:dyDescent="0.25">
      <c r="A5704" s="170" t="s">
        <v>12753</v>
      </c>
      <c r="B5704" s="170" t="s">
        <v>14734</v>
      </c>
      <c r="C5704" s="170" t="s">
        <v>85</v>
      </c>
      <c r="D5704" s="170" t="s">
        <v>1947</v>
      </c>
      <c r="E5704" s="171" t="s">
        <v>18565</v>
      </c>
      <c r="F5704" s="171" t="s">
        <v>13580</v>
      </c>
      <c r="G5704" s="82"/>
      <c r="H5704" s="96">
        <f t="shared" ref="H5704:I5767" si="356">IF(E5704="","",E5704+0)</f>
        <v>8.51</v>
      </c>
      <c r="I5704" s="96">
        <f t="shared" si="356"/>
        <v>8.92</v>
      </c>
      <c r="J5704" s="91" t="str">
        <f t="shared" ref="J5704:J5767" si="357">IF(OR(H5704="",I5704=""),"",TRIM(CONCATENATE("Sinapi ",A5704)))</f>
        <v>Sinapi 102328</v>
      </c>
      <c r="K5704" s="91" t="str">
        <f t="shared" ref="K5704:K5767" si="358">TRIM(C5704)</f>
        <v>M3</v>
      </c>
      <c r="L5704" s="166" t="str">
        <f t="shared" ref="L5704:L5767" si="359">IF(OR(RIGHT(IF(AND(K5704&lt;&gt;"H",K5704&lt;&gt;"MES"),RIGHT(B5704,7),""),2)="PS",RIGHT(IF(AND(K5704&lt;&gt;"H",K5704&lt;&gt;"MES"),RIGHT(B5704,7),""),2)="PA",RIGHT(IF(AND(K5704&lt;&gt;"H",K5704&lt;&gt;"MES"),RIGHT(B5704,7),""),2)="PE"),LEFT(IF(AND(K5704&lt;&gt;"H",K5704&lt;&gt;"MES"),RIGHT(B5704,10),""),7),IF(AND(K5704&lt;&gt;"H",K5704&lt;&gt;"MES"),RIGHT(B5704,7),""))</f>
        <v>02/2021</v>
      </c>
      <c r="M5704" s="82"/>
      <c r="N5704" s="82"/>
    </row>
    <row r="5705" spans="1:14" x14ac:dyDescent="0.25">
      <c r="A5705" s="170" t="s">
        <v>12754</v>
      </c>
      <c r="B5705" s="170" t="s">
        <v>14735</v>
      </c>
      <c r="C5705" s="170" t="s">
        <v>85</v>
      </c>
      <c r="D5705" s="170" t="s">
        <v>1947</v>
      </c>
      <c r="E5705" s="171" t="s">
        <v>16347</v>
      </c>
      <c r="F5705" s="171" t="s">
        <v>5267</v>
      </c>
      <c r="G5705" s="82"/>
      <c r="H5705" s="96">
        <f t="shared" si="356"/>
        <v>7.75</v>
      </c>
      <c r="I5705" s="96">
        <f t="shared" si="356"/>
        <v>8.1199999999999992</v>
      </c>
      <c r="J5705" s="91" t="str">
        <f t="shared" si="357"/>
        <v>Sinapi 102329</v>
      </c>
      <c r="K5705" s="91" t="str">
        <f t="shared" si="358"/>
        <v>M3</v>
      </c>
      <c r="L5705" s="166" t="str">
        <f t="shared" si="359"/>
        <v>02/2021</v>
      </c>
      <c r="M5705" s="82"/>
      <c r="N5705" s="82"/>
    </row>
    <row r="5706" spans="1:14" x14ac:dyDescent="0.25">
      <c r="A5706" s="170" t="s">
        <v>8295</v>
      </c>
      <c r="B5706" s="170" t="s">
        <v>34253</v>
      </c>
      <c r="C5706" s="170" t="s">
        <v>85</v>
      </c>
      <c r="D5706" s="170" t="s">
        <v>1947</v>
      </c>
      <c r="E5706" s="171" t="s">
        <v>34254</v>
      </c>
      <c r="F5706" s="171" t="s">
        <v>37402</v>
      </c>
      <c r="G5706" s="82"/>
      <c r="H5706" s="96">
        <f t="shared" si="356"/>
        <v>72.22</v>
      </c>
      <c r="I5706" s="96">
        <f t="shared" si="356"/>
        <v>73.040000000000006</v>
      </c>
      <c r="J5706" s="91" t="str">
        <f t="shared" si="357"/>
        <v>Sinapi 94304</v>
      </c>
      <c r="K5706" s="91" t="str">
        <f t="shared" si="358"/>
        <v>M3</v>
      </c>
      <c r="L5706" s="166" t="str">
        <f t="shared" si="359"/>
        <v>08/2023</v>
      </c>
      <c r="M5706" s="82"/>
      <c r="N5706" s="82"/>
    </row>
    <row r="5707" spans="1:14" x14ac:dyDescent="0.25">
      <c r="A5707" s="170" t="s">
        <v>8296</v>
      </c>
      <c r="B5707" s="170" t="s">
        <v>34255</v>
      </c>
      <c r="C5707" s="170" t="s">
        <v>85</v>
      </c>
      <c r="D5707" s="170" t="s">
        <v>1947</v>
      </c>
      <c r="E5707" s="171" t="s">
        <v>31566</v>
      </c>
      <c r="F5707" s="171" t="s">
        <v>37403</v>
      </c>
      <c r="G5707" s="82"/>
      <c r="H5707" s="96">
        <f t="shared" si="356"/>
        <v>66.03</v>
      </c>
      <c r="I5707" s="96">
        <f t="shared" si="356"/>
        <v>66.62</v>
      </c>
      <c r="J5707" s="91" t="str">
        <f t="shared" si="357"/>
        <v>Sinapi 94306</v>
      </c>
      <c r="K5707" s="91" t="str">
        <f t="shared" si="358"/>
        <v>M3</v>
      </c>
      <c r="L5707" s="166" t="str">
        <f t="shared" si="359"/>
        <v>08/2023</v>
      </c>
      <c r="M5707" s="82"/>
      <c r="N5707" s="82"/>
    </row>
    <row r="5708" spans="1:14" x14ac:dyDescent="0.25">
      <c r="A5708" s="170" t="s">
        <v>8297</v>
      </c>
      <c r="B5708" s="170" t="s">
        <v>34256</v>
      </c>
      <c r="C5708" s="170" t="s">
        <v>85</v>
      </c>
      <c r="D5708" s="170" t="s">
        <v>1947</v>
      </c>
      <c r="E5708" s="171" t="s">
        <v>34257</v>
      </c>
      <c r="F5708" s="171" t="s">
        <v>27989</v>
      </c>
      <c r="G5708" s="82"/>
      <c r="H5708" s="96">
        <f t="shared" si="356"/>
        <v>63.18</v>
      </c>
      <c r="I5708" s="96">
        <f t="shared" si="356"/>
        <v>63.71</v>
      </c>
      <c r="J5708" s="91" t="str">
        <f t="shared" si="357"/>
        <v>Sinapi 94310</v>
      </c>
      <c r="K5708" s="91" t="str">
        <f t="shared" si="358"/>
        <v>M3</v>
      </c>
      <c r="L5708" s="166" t="str">
        <f t="shared" si="359"/>
        <v>08/2023</v>
      </c>
      <c r="M5708" s="82"/>
      <c r="N5708" s="82"/>
    </row>
    <row r="5709" spans="1:14" x14ac:dyDescent="0.25">
      <c r="A5709" s="170" t="s">
        <v>8298</v>
      </c>
      <c r="B5709" s="170" t="s">
        <v>34258</v>
      </c>
      <c r="C5709" s="170" t="s">
        <v>85</v>
      </c>
      <c r="D5709" s="170" t="s">
        <v>1947</v>
      </c>
      <c r="E5709" s="171" t="s">
        <v>34259</v>
      </c>
      <c r="F5709" s="171" t="s">
        <v>37404</v>
      </c>
      <c r="G5709" s="82"/>
      <c r="H5709" s="96">
        <f t="shared" si="356"/>
        <v>66.569999999999993</v>
      </c>
      <c r="I5709" s="96">
        <f t="shared" si="356"/>
        <v>67.38</v>
      </c>
      <c r="J5709" s="91" t="str">
        <f t="shared" si="357"/>
        <v>Sinapi 94316</v>
      </c>
      <c r="K5709" s="91" t="str">
        <f t="shared" si="358"/>
        <v>M3</v>
      </c>
      <c r="L5709" s="166" t="str">
        <f t="shared" si="359"/>
        <v>08/2023</v>
      </c>
      <c r="M5709" s="82"/>
      <c r="N5709" s="82"/>
    </row>
    <row r="5710" spans="1:14" x14ac:dyDescent="0.25">
      <c r="A5710" s="170" t="s">
        <v>8299</v>
      </c>
      <c r="B5710" s="170" t="s">
        <v>34260</v>
      </c>
      <c r="C5710" s="170" t="s">
        <v>85</v>
      </c>
      <c r="D5710" s="170" t="s">
        <v>1947</v>
      </c>
      <c r="E5710" s="171" t="s">
        <v>34261</v>
      </c>
      <c r="F5710" s="171" t="s">
        <v>27765</v>
      </c>
      <c r="G5710" s="82"/>
      <c r="H5710" s="96">
        <f t="shared" si="356"/>
        <v>61.63</v>
      </c>
      <c r="I5710" s="96">
        <f t="shared" si="356"/>
        <v>62.19</v>
      </c>
      <c r="J5710" s="91" t="str">
        <f t="shared" si="357"/>
        <v>Sinapi 94318</v>
      </c>
      <c r="K5710" s="91" t="str">
        <f t="shared" si="358"/>
        <v>M3</v>
      </c>
      <c r="L5710" s="166" t="str">
        <f t="shared" si="359"/>
        <v>08/2023</v>
      </c>
      <c r="M5710" s="82"/>
      <c r="N5710" s="82"/>
    </row>
    <row r="5711" spans="1:14" x14ac:dyDescent="0.25">
      <c r="A5711" s="170" t="s">
        <v>8300</v>
      </c>
      <c r="B5711" s="170" t="s">
        <v>34262</v>
      </c>
      <c r="C5711" s="170" t="s">
        <v>85</v>
      </c>
      <c r="D5711" s="170" t="s">
        <v>1947</v>
      </c>
      <c r="E5711" s="171" t="s">
        <v>34263</v>
      </c>
      <c r="F5711" s="171" t="s">
        <v>35461</v>
      </c>
      <c r="G5711" s="82"/>
      <c r="H5711" s="96">
        <f t="shared" si="356"/>
        <v>72.41</v>
      </c>
      <c r="I5711" s="96">
        <f t="shared" si="356"/>
        <v>74.349999999999994</v>
      </c>
      <c r="J5711" s="91" t="str">
        <f t="shared" si="357"/>
        <v>Sinapi 94319</v>
      </c>
      <c r="K5711" s="91" t="str">
        <f t="shared" si="358"/>
        <v>M3</v>
      </c>
      <c r="L5711" s="166" t="str">
        <f t="shared" si="359"/>
        <v>08/2023</v>
      </c>
      <c r="M5711" s="82"/>
      <c r="N5711" s="82"/>
    </row>
    <row r="5712" spans="1:14" x14ac:dyDescent="0.25">
      <c r="A5712" s="170" t="s">
        <v>8301</v>
      </c>
      <c r="B5712" s="170" t="s">
        <v>34264</v>
      </c>
      <c r="C5712" s="170" t="s">
        <v>85</v>
      </c>
      <c r="D5712" s="170" t="s">
        <v>1947</v>
      </c>
      <c r="E5712" s="171" t="s">
        <v>34265</v>
      </c>
      <c r="F5712" s="171" t="s">
        <v>32009</v>
      </c>
      <c r="G5712" s="82"/>
      <c r="H5712" s="96">
        <f t="shared" si="356"/>
        <v>70.13</v>
      </c>
      <c r="I5712" s="96">
        <f t="shared" si="356"/>
        <v>70.95</v>
      </c>
      <c r="J5712" s="91" t="str">
        <f t="shared" si="357"/>
        <v>Sinapi 94327</v>
      </c>
      <c r="K5712" s="91" t="str">
        <f t="shared" si="358"/>
        <v>M3</v>
      </c>
      <c r="L5712" s="166" t="str">
        <f t="shared" si="359"/>
        <v>08/2023</v>
      </c>
      <c r="M5712" s="82"/>
      <c r="N5712" s="82"/>
    </row>
    <row r="5713" spans="1:14" x14ac:dyDescent="0.25">
      <c r="A5713" s="170" t="s">
        <v>8302</v>
      </c>
      <c r="B5713" s="170" t="s">
        <v>34266</v>
      </c>
      <c r="C5713" s="170" t="s">
        <v>85</v>
      </c>
      <c r="D5713" s="170" t="s">
        <v>1947</v>
      </c>
      <c r="E5713" s="171" t="s">
        <v>33596</v>
      </c>
      <c r="F5713" s="171" t="s">
        <v>23134</v>
      </c>
      <c r="G5713" s="82"/>
      <c r="H5713" s="96">
        <f t="shared" si="356"/>
        <v>63.94</v>
      </c>
      <c r="I5713" s="96">
        <f t="shared" si="356"/>
        <v>64.53</v>
      </c>
      <c r="J5713" s="91" t="str">
        <f t="shared" si="357"/>
        <v>Sinapi 94329</v>
      </c>
      <c r="K5713" s="91" t="str">
        <f t="shared" si="358"/>
        <v>M3</v>
      </c>
      <c r="L5713" s="166" t="str">
        <f t="shared" si="359"/>
        <v>08/2023</v>
      </c>
      <c r="M5713" s="82"/>
      <c r="N5713" s="82"/>
    </row>
    <row r="5714" spans="1:14" x14ac:dyDescent="0.25">
      <c r="A5714" s="170" t="s">
        <v>8303</v>
      </c>
      <c r="B5714" s="170" t="s">
        <v>34267</v>
      </c>
      <c r="C5714" s="170" t="s">
        <v>85</v>
      </c>
      <c r="D5714" s="170" t="s">
        <v>1947</v>
      </c>
      <c r="E5714" s="171" t="s">
        <v>34268</v>
      </c>
      <c r="F5714" s="171" t="s">
        <v>37405</v>
      </c>
      <c r="G5714" s="82"/>
      <c r="H5714" s="96">
        <f t="shared" si="356"/>
        <v>61.09</v>
      </c>
      <c r="I5714" s="96">
        <f t="shared" si="356"/>
        <v>61.62</v>
      </c>
      <c r="J5714" s="91" t="str">
        <f t="shared" si="357"/>
        <v>Sinapi 94333</v>
      </c>
      <c r="K5714" s="91" t="str">
        <f t="shared" si="358"/>
        <v>M3</v>
      </c>
      <c r="L5714" s="166" t="str">
        <f t="shared" si="359"/>
        <v>08/2023</v>
      </c>
      <c r="M5714" s="82"/>
      <c r="N5714" s="82"/>
    </row>
    <row r="5715" spans="1:14" x14ac:dyDescent="0.25">
      <c r="A5715" s="170" t="s">
        <v>8304</v>
      </c>
      <c r="B5715" s="170" t="s">
        <v>34269</v>
      </c>
      <c r="C5715" s="170" t="s">
        <v>85</v>
      </c>
      <c r="D5715" s="170" t="s">
        <v>1947</v>
      </c>
      <c r="E5715" s="171" t="s">
        <v>34270</v>
      </c>
      <c r="F5715" s="171" t="s">
        <v>24272</v>
      </c>
      <c r="G5715" s="82"/>
      <c r="H5715" s="96">
        <f t="shared" si="356"/>
        <v>64.48</v>
      </c>
      <c r="I5715" s="96">
        <f t="shared" si="356"/>
        <v>65.290000000000006</v>
      </c>
      <c r="J5715" s="91" t="str">
        <f t="shared" si="357"/>
        <v>Sinapi 94339</v>
      </c>
      <c r="K5715" s="91" t="str">
        <f t="shared" si="358"/>
        <v>M3</v>
      </c>
      <c r="L5715" s="166" t="str">
        <f t="shared" si="359"/>
        <v>08/2023</v>
      </c>
      <c r="M5715" s="82"/>
      <c r="N5715" s="82"/>
    </row>
    <row r="5716" spans="1:14" x14ac:dyDescent="0.25">
      <c r="A5716" s="170" t="s">
        <v>8305</v>
      </c>
      <c r="B5716" s="170" t="s">
        <v>34271</v>
      </c>
      <c r="C5716" s="170" t="s">
        <v>85</v>
      </c>
      <c r="D5716" s="170" t="s">
        <v>1947</v>
      </c>
      <c r="E5716" s="171" t="s">
        <v>34272</v>
      </c>
      <c r="F5716" s="171" t="s">
        <v>37406</v>
      </c>
      <c r="G5716" s="82"/>
      <c r="H5716" s="96">
        <f t="shared" si="356"/>
        <v>59.54</v>
      </c>
      <c r="I5716" s="96">
        <f t="shared" si="356"/>
        <v>60.1</v>
      </c>
      <c r="J5716" s="91" t="str">
        <f t="shared" si="357"/>
        <v>Sinapi 94341</v>
      </c>
      <c r="K5716" s="91" t="str">
        <f t="shared" si="358"/>
        <v>M3</v>
      </c>
      <c r="L5716" s="166" t="str">
        <f t="shared" si="359"/>
        <v>08/2023</v>
      </c>
      <c r="M5716" s="82"/>
      <c r="N5716" s="82"/>
    </row>
    <row r="5717" spans="1:14" x14ac:dyDescent="0.25">
      <c r="A5717" s="170" t="s">
        <v>8306</v>
      </c>
      <c r="B5717" s="170" t="s">
        <v>34273</v>
      </c>
      <c r="C5717" s="170" t="s">
        <v>85</v>
      </c>
      <c r="D5717" s="170" t="s">
        <v>1947</v>
      </c>
      <c r="E5717" s="171" t="s">
        <v>29037</v>
      </c>
      <c r="F5717" s="171" t="s">
        <v>33898</v>
      </c>
      <c r="G5717" s="82"/>
      <c r="H5717" s="96">
        <f t="shared" si="356"/>
        <v>70.319999999999993</v>
      </c>
      <c r="I5717" s="96">
        <f t="shared" si="356"/>
        <v>72.260000000000005</v>
      </c>
      <c r="J5717" s="91" t="str">
        <f t="shared" si="357"/>
        <v>Sinapi 94342</v>
      </c>
      <c r="K5717" s="91" t="str">
        <f t="shared" si="358"/>
        <v>M3</v>
      </c>
      <c r="L5717" s="166" t="str">
        <f t="shared" si="359"/>
        <v>08/2023</v>
      </c>
      <c r="M5717" s="82"/>
      <c r="N5717" s="82"/>
    </row>
    <row r="5718" spans="1:14" x14ac:dyDescent="0.25">
      <c r="A5718" s="170" t="s">
        <v>8307</v>
      </c>
      <c r="B5718" s="170" t="s">
        <v>8308</v>
      </c>
      <c r="C5718" s="170" t="s">
        <v>85</v>
      </c>
      <c r="D5718" s="170" t="s">
        <v>1947</v>
      </c>
      <c r="E5718" s="171" t="s">
        <v>21024</v>
      </c>
      <c r="F5718" s="171" t="s">
        <v>33910</v>
      </c>
      <c r="G5718" s="82"/>
      <c r="H5718" s="96">
        <f t="shared" si="356"/>
        <v>11.05</v>
      </c>
      <c r="I5718" s="96">
        <f t="shared" si="356"/>
        <v>11.41</v>
      </c>
      <c r="J5718" s="91" t="str">
        <f t="shared" si="357"/>
        <v>Sinapi 96385</v>
      </c>
      <c r="K5718" s="91" t="str">
        <f t="shared" si="358"/>
        <v>M3</v>
      </c>
      <c r="L5718" s="166" t="str">
        <f t="shared" si="359"/>
        <v>11/2019</v>
      </c>
      <c r="M5718" s="82"/>
      <c r="N5718" s="82"/>
    </row>
    <row r="5719" spans="1:14" x14ac:dyDescent="0.25">
      <c r="A5719" s="170" t="s">
        <v>8309</v>
      </c>
      <c r="B5719" s="170" t="s">
        <v>8310</v>
      </c>
      <c r="C5719" s="170" t="s">
        <v>85</v>
      </c>
      <c r="D5719" s="170" t="s">
        <v>1947</v>
      </c>
      <c r="E5719" s="171" t="s">
        <v>5535</v>
      </c>
      <c r="F5719" s="171" t="s">
        <v>18596</v>
      </c>
      <c r="G5719" s="82"/>
      <c r="H5719" s="96">
        <f t="shared" si="356"/>
        <v>8.34</v>
      </c>
      <c r="I5719" s="96">
        <f t="shared" si="356"/>
        <v>8.58</v>
      </c>
      <c r="J5719" s="91" t="str">
        <f t="shared" si="357"/>
        <v>Sinapi 96386</v>
      </c>
      <c r="K5719" s="91" t="str">
        <f t="shared" si="358"/>
        <v>M3</v>
      </c>
      <c r="L5719" s="166" t="str">
        <f t="shared" si="359"/>
        <v>11/2019</v>
      </c>
      <c r="M5719" s="82"/>
      <c r="N5719" s="82"/>
    </row>
    <row r="5720" spans="1:14" x14ac:dyDescent="0.25">
      <c r="A5720" s="170" t="s">
        <v>8311</v>
      </c>
      <c r="B5720" s="170" t="s">
        <v>34274</v>
      </c>
      <c r="C5720" s="170" t="s">
        <v>85</v>
      </c>
      <c r="D5720" s="170" t="s">
        <v>1947</v>
      </c>
      <c r="E5720" s="171" t="s">
        <v>29377</v>
      </c>
      <c r="F5720" s="171" t="s">
        <v>19325</v>
      </c>
      <c r="G5720" s="82"/>
      <c r="H5720" s="96">
        <f t="shared" si="356"/>
        <v>21.52</v>
      </c>
      <c r="I5720" s="96">
        <f t="shared" si="356"/>
        <v>22.34</v>
      </c>
      <c r="J5720" s="91" t="str">
        <f t="shared" si="357"/>
        <v>Sinapi 93367</v>
      </c>
      <c r="K5720" s="91" t="str">
        <f t="shared" si="358"/>
        <v>M3</v>
      </c>
      <c r="L5720" s="166" t="str">
        <f t="shared" si="359"/>
        <v>08/2023</v>
      </c>
      <c r="M5720" s="82"/>
      <c r="N5720" s="82"/>
    </row>
    <row r="5721" spans="1:14" x14ac:dyDescent="0.25">
      <c r="A5721" s="170" t="s">
        <v>8312</v>
      </c>
      <c r="B5721" s="170" t="s">
        <v>34275</v>
      </c>
      <c r="C5721" s="170" t="s">
        <v>85</v>
      </c>
      <c r="D5721" s="170" t="s">
        <v>1947</v>
      </c>
      <c r="E5721" s="171" t="s">
        <v>20067</v>
      </c>
      <c r="F5721" s="171" t="s">
        <v>15637</v>
      </c>
      <c r="G5721" s="82"/>
      <c r="H5721" s="96">
        <f t="shared" si="356"/>
        <v>18.78</v>
      </c>
      <c r="I5721" s="96">
        <f t="shared" si="356"/>
        <v>19.5</v>
      </c>
      <c r="J5721" s="91" t="str">
        <f t="shared" si="357"/>
        <v>Sinapi 93368</v>
      </c>
      <c r="K5721" s="91" t="str">
        <f t="shared" si="358"/>
        <v>M3</v>
      </c>
      <c r="L5721" s="166" t="str">
        <f t="shared" si="359"/>
        <v>08/2023</v>
      </c>
      <c r="M5721" s="82"/>
      <c r="N5721" s="82"/>
    </row>
    <row r="5722" spans="1:14" x14ac:dyDescent="0.25">
      <c r="A5722" s="170" t="s">
        <v>8313</v>
      </c>
      <c r="B5722" s="170" t="s">
        <v>34276</v>
      </c>
      <c r="C5722" s="170" t="s">
        <v>85</v>
      </c>
      <c r="D5722" s="170" t="s">
        <v>1947</v>
      </c>
      <c r="E5722" s="171" t="s">
        <v>20367</v>
      </c>
      <c r="F5722" s="171" t="s">
        <v>19344</v>
      </c>
      <c r="G5722" s="82"/>
      <c r="H5722" s="96">
        <f t="shared" si="356"/>
        <v>15.33</v>
      </c>
      <c r="I5722" s="96">
        <f t="shared" si="356"/>
        <v>15.92</v>
      </c>
      <c r="J5722" s="91" t="str">
        <f t="shared" si="357"/>
        <v>Sinapi 93369</v>
      </c>
      <c r="K5722" s="91" t="str">
        <f t="shared" si="358"/>
        <v>M3</v>
      </c>
      <c r="L5722" s="166" t="str">
        <f t="shared" si="359"/>
        <v>08/2023</v>
      </c>
      <c r="M5722" s="82"/>
      <c r="N5722" s="82"/>
    </row>
    <row r="5723" spans="1:14" x14ac:dyDescent="0.25">
      <c r="A5723" s="170" t="s">
        <v>8314</v>
      </c>
      <c r="B5723" s="170" t="s">
        <v>34277</v>
      </c>
      <c r="C5723" s="170" t="s">
        <v>85</v>
      </c>
      <c r="D5723" s="170" t="s">
        <v>1947</v>
      </c>
      <c r="E5723" s="171" t="s">
        <v>18309</v>
      </c>
      <c r="F5723" s="171" t="s">
        <v>25817</v>
      </c>
      <c r="G5723" s="82"/>
      <c r="H5723" s="96">
        <f t="shared" si="356"/>
        <v>14.69</v>
      </c>
      <c r="I5723" s="96">
        <f t="shared" si="356"/>
        <v>15.29</v>
      </c>
      <c r="J5723" s="91" t="str">
        <f t="shared" si="357"/>
        <v>Sinapi 93372</v>
      </c>
      <c r="K5723" s="91" t="str">
        <f t="shared" si="358"/>
        <v>M3</v>
      </c>
      <c r="L5723" s="166" t="str">
        <f t="shared" si="359"/>
        <v>08/2023</v>
      </c>
      <c r="M5723" s="82"/>
      <c r="N5723" s="82"/>
    </row>
    <row r="5724" spans="1:14" x14ac:dyDescent="0.25">
      <c r="A5724" s="170" t="s">
        <v>8315</v>
      </c>
      <c r="B5724" s="170" t="s">
        <v>34278</v>
      </c>
      <c r="C5724" s="170" t="s">
        <v>85</v>
      </c>
      <c r="D5724" s="170" t="s">
        <v>1947</v>
      </c>
      <c r="E5724" s="171" t="s">
        <v>15629</v>
      </c>
      <c r="F5724" s="171" t="s">
        <v>21019</v>
      </c>
      <c r="G5724" s="82"/>
      <c r="H5724" s="96">
        <f t="shared" si="356"/>
        <v>12.48</v>
      </c>
      <c r="I5724" s="96">
        <f t="shared" si="356"/>
        <v>13.01</v>
      </c>
      <c r="J5724" s="91" t="str">
        <f t="shared" si="357"/>
        <v>Sinapi 93373</v>
      </c>
      <c r="K5724" s="91" t="str">
        <f t="shared" si="358"/>
        <v>M3</v>
      </c>
      <c r="L5724" s="166" t="str">
        <f t="shared" si="359"/>
        <v>08/2023</v>
      </c>
      <c r="M5724" s="82"/>
      <c r="N5724" s="82"/>
    </row>
    <row r="5725" spans="1:14" x14ac:dyDescent="0.25">
      <c r="A5725" s="170" t="s">
        <v>8317</v>
      </c>
      <c r="B5725" s="170" t="s">
        <v>34279</v>
      </c>
      <c r="C5725" s="170" t="s">
        <v>85</v>
      </c>
      <c r="D5725" s="170" t="s">
        <v>1947</v>
      </c>
      <c r="E5725" s="171" t="s">
        <v>23244</v>
      </c>
      <c r="F5725" s="171" t="s">
        <v>23891</v>
      </c>
      <c r="G5725" s="82"/>
      <c r="H5725" s="96">
        <f t="shared" si="356"/>
        <v>20.68</v>
      </c>
      <c r="I5725" s="96">
        <f t="shared" si="356"/>
        <v>21.73</v>
      </c>
      <c r="J5725" s="91" t="str">
        <f t="shared" si="357"/>
        <v>Sinapi 93378</v>
      </c>
      <c r="K5725" s="91" t="str">
        <f t="shared" si="358"/>
        <v>M3</v>
      </c>
      <c r="L5725" s="166" t="str">
        <f t="shared" si="359"/>
        <v>08/2023</v>
      </c>
      <c r="M5725" s="82"/>
      <c r="N5725" s="82"/>
    </row>
    <row r="5726" spans="1:14" x14ac:dyDescent="0.25">
      <c r="A5726" s="170" t="s">
        <v>8318</v>
      </c>
      <c r="B5726" s="170" t="s">
        <v>34280</v>
      </c>
      <c r="C5726" s="170" t="s">
        <v>85</v>
      </c>
      <c r="D5726" s="170" t="s">
        <v>1947</v>
      </c>
      <c r="E5726" s="171" t="s">
        <v>27134</v>
      </c>
      <c r="F5726" s="171" t="s">
        <v>21457</v>
      </c>
      <c r="G5726" s="82"/>
      <c r="H5726" s="96">
        <f t="shared" si="356"/>
        <v>15.87</v>
      </c>
      <c r="I5726" s="96">
        <f t="shared" si="356"/>
        <v>16.68</v>
      </c>
      <c r="J5726" s="91" t="str">
        <f t="shared" si="357"/>
        <v>Sinapi 93379</v>
      </c>
      <c r="K5726" s="91" t="str">
        <f t="shared" si="358"/>
        <v>M3</v>
      </c>
      <c r="L5726" s="166" t="str">
        <f t="shared" si="359"/>
        <v>08/2023</v>
      </c>
      <c r="M5726" s="82"/>
      <c r="N5726" s="82"/>
    </row>
    <row r="5727" spans="1:14" x14ac:dyDescent="0.25">
      <c r="A5727" s="170" t="s">
        <v>8319</v>
      </c>
      <c r="B5727" s="170" t="s">
        <v>34281</v>
      </c>
      <c r="C5727" s="170" t="s">
        <v>85</v>
      </c>
      <c r="D5727" s="170" t="s">
        <v>1947</v>
      </c>
      <c r="E5727" s="171" t="s">
        <v>8806</v>
      </c>
      <c r="F5727" s="171" t="s">
        <v>6890</v>
      </c>
      <c r="G5727" s="82"/>
      <c r="H5727" s="96">
        <f t="shared" si="356"/>
        <v>13.53</v>
      </c>
      <c r="I5727" s="96">
        <f t="shared" si="356"/>
        <v>14.23</v>
      </c>
      <c r="J5727" s="91" t="str">
        <f t="shared" si="357"/>
        <v>Sinapi 93380</v>
      </c>
      <c r="K5727" s="91" t="str">
        <f t="shared" si="358"/>
        <v>M3</v>
      </c>
      <c r="L5727" s="166" t="str">
        <f t="shared" si="359"/>
        <v>08/2023</v>
      </c>
      <c r="M5727" s="82"/>
      <c r="N5727" s="82"/>
    </row>
    <row r="5728" spans="1:14" x14ac:dyDescent="0.25">
      <c r="A5728" s="170" t="s">
        <v>8320</v>
      </c>
      <c r="B5728" s="170" t="s">
        <v>34282</v>
      </c>
      <c r="C5728" s="170" t="s">
        <v>85</v>
      </c>
      <c r="D5728" s="170" t="s">
        <v>1947</v>
      </c>
      <c r="E5728" s="171" t="s">
        <v>12325</v>
      </c>
      <c r="F5728" s="171" t="s">
        <v>12581</v>
      </c>
      <c r="G5728" s="82"/>
      <c r="H5728" s="96">
        <f t="shared" si="356"/>
        <v>10.93</v>
      </c>
      <c r="I5728" s="96">
        <f t="shared" si="356"/>
        <v>11.49</v>
      </c>
      <c r="J5728" s="91" t="str">
        <f t="shared" si="357"/>
        <v>Sinapi 93381</v>
      </c>
      <c r="K5728" s="91" t="str">
        <f t="shared" si="358"/>
        <v>M3</v>
      </c>
      <c r="L5728" s="166" t="str">
        <f t="shared" si="359"/>
        <v>08/2023</v>
      </c>
      <c r="M5728" s="82"/>
      <c r="N5728" s="82"/>
    </row>
    <row r="5729" spans="1:14" x14ac:dyDescent="0.25">
      <c r="A5729" s="170" t="s">
        <v>8321</v>
      </c>
      <c r="B5729" s="170" t="s">
        <v>34283</v>
      </c>
      <c r="C5729" s="170" t="s">
        <v>85</v>
      </c>
      <c r="D5729" s="170" t="s">
        <v>1947</v>
      </c>
      <c r="E5729" s="171" t="s">
        <v>21067</v>
      </c>
      <c r="F5729" s="171" t="s">
        <v>20127</v>
      </c>
      <c r="G5729" s="82"/>
      <c r="H5729" s="96">
        <f t="shared" si="356"/>
        <v>21.71</v>
      </c>
      <c r="I5729" s="96">
        <f t="shared" si="356"/>
        <v>23.65</v>
      </c>
      <c r="J5729" s="91" t="str">
        <f t="shared" si="357"/>
        <v>Sinapi 93382</v>
      </c>
      <c r="K5729" s="91" t="str">
        <f t="shared" si="358"/>
        <v>M3</v>
      </c>
      <c r="L5729" s="166" t="str">
        <f t="shared" si="359"/>
        <v>08/2023</v>
      </c>
      <c r="M5729" s="82"/>
      <c r="N5729" s="82"/>
    </row>
    <row r="5730" spans="1:14" x14ac:dyDescent="0.25">
      <c r="A5730" s="170" t="s">
        <v>34284</v>
      </c>
      <c r="B5730" s="170" t="s">
        <v>34285</v>
      </c>
      <c r="C5730" s="170" t="s">
        <v>85</v>
      </c>
      <c r="D5730" s="170" t="s">
        <v>1947</v>
      </c>
      <c r="E5730" s="171" t="s">
        <v>21104</v>
      </c>
      <c r="F5730" s="171" t="s">
        <v>14778</v>
      </c>
      <c r="G5730" s="82"/>
      <c r="H5730" s="96">
        <f t="shared" si="356"/>
        <v>18.72</v>
      </c>
      <c r="I5730" s="96">
        <f t="shared" si="356"/>
        <v>19.29</v>
      </c>
      <c r="J5730" s="91" t="str">
        <f t="shared" si="357"/>
        <v>Sinapi 104728</v>
      </c>
      <c r="K5730" s="91" t="str">
        <f t="shared" si="358"/>
        <v>M3</v>
      </c>
      <c r="L5730" s="166" t="str">
        <f t="shared" si="359"/>
        <v>08/2023</v>
      </c>
      <c r="M5730" s="82"/>
      <c r="N5730" s="82"/>
    </row>
    <row r="5731" spans="1:14" x14ac:dyDescent="0.25">
      <c r="A5731" s="170" t="s">
        <v>34286</v>
      </c>
      <c r="B5731" s="170" t="s">
        <v>34287</v>
      </c>
      <c r="C5731" s="170" t="s">
        <v>85</v>
      </c>
      <c r="D5731" s="170" t="s">
        <v>1947</v>
      </c>
      <c r="E5731" s="171" t="s">
        <v>19907</v>
      </c>
      <c r="F5731" s="171" t="s">
        <v>15080</v>
      </c>
      <c r="G5731" s="82"/>
      <c r="H5731" s="96">
        <f t="shared" si="356"/>
        <v>15.97</v>
      </c>
      <c r="I5731" s="96">
        <f t="shared" si="356"/>
        <v>16.45</v>
      </c>
      <c r="J5731" s="91" t="str">
        <f t="shared" si="357"/>
        <v>Sinapi 104729</v>
      </c>
      <c r="K5731" s="91" t="str">
        <f t="shared" si="358"/>
        <v>M3</v>
      </c>
      <c r="L5731" s="166" t="str">
        <f t="shared" si="359"/>
        <v>08/2023</v>
      </c>
      <c r="M5731" s="82"/>
      <c r="N5731" s="82"/>
    </row>
    <row r="5732" spans="1:14" x14ac:dyDescent="0.25">
      <c r="A5732" s="170" t="s">
        <v>34288</v>
      </c>
      <c r="B5732" s="170" t="s">
        <v>34289</v>
      </c>
      <c r="C5732" s="170" t="s">
        <v>85</v>
      </c>
      <c r="D5732" s="170" t="s">
        <v>1947</v>
      </c>
      <c r="E5732" s="171" t="s">
        <v>14342</v>
      </c>
      <c r="F5732" s="171" t="s">
        <v>21163</v>
      </c>
      <c r="G5732" s="82"/>
      <c r="H5732" s="96">
        <f t="shared" si="356"/>
        <v>12.5</v>
      </c>
      <c r="I5732" s="96">
        <f t="shared" si="356"/>
        <v>12.87</v>
      </c>
      <c r="J5732" s="91" t="str">
        <f t="shared" si="357"/>
        <v>Sinapi 104730</v>
      </c>
      <c r="K5732" s="91" t="str">
        <f t="shared" si="358"/>
        <v>M3</v>
      </c>
      <c r="L5732" s="166" t="str">
        <f t="shared" si="359"/>
        <v>08/2023</v>
      </c>
      <c r="M5732" s="82"/>
      <c r="N5732" s="82"/>
    </row>
    <row r="5733" spans="1:14" x14ac:dyDescent="0.25">
      <c r="A5733" s="170" t="s">
        <v>34290</v>
      </c>
      <c r="B5733" s="170" t="s">
        <v>34291</v>
      </c>
      <c r="C5733" s="170" t="s">
        <v>85</v>
      </c>
      <c r="D5733" s="170" t="s">
        <v>1947</v>
      </c>
      <c r="E5733" s="171" t="s">
        <v>16203</v>
      </c>
      <c r="F5733" s="171" t="s">
        <v>14350</v>
      </c>
      <c r="G5733" s="82"/>
      <c r="H5733" s="96">
        <f t="shared" si="356"/>
        <v>11.87</v>
      </c>
      <c r="I5733" s="96">
        <f t="shared" si="356"/>
        <v>12.24</v>
      </c>
      <c r="J5733" s="91" t="str">
        <f t="shared" si="357"/>
        <v>Sinapi 104731</v>
      </c>
      <c r="K5733" s="91" t="str">
        <f t="shared" si="358"/>
        <v>M3</v>
      </c>
      <c r="L5733" s="166" t="str">
        <f t="shared" si="359"/>
        <v>08/2023</v>
      </c>
      <c r="M5733" s="82"/>
      <c r="N5733" s="82"/>
    </row>
    <row r="5734" spans="1:14" x14ac:dyDescent="0.25">
      <c r="A5734" s="170" t="s">
        <v>34292</v>
      </c>
      <c r="B5734" s="170" t="s">
        <v>34293</v>
      </c>
      <c r="C5734" s="170" t="s">
        <v>85</v>
      </c>
      <c r="D5734" s="170" t="s">
        <v>1947</v>
      </c>
      <c r="E5734" s="171" t="s">
        <v>33937</v>
      </c>
      <c r="F5734" s="171" t="s">
        <v>16345</v>
      </c>
      <c r="G5734" s="82"/>
      <c r="H5734" s="96">
        <f t="shared" si="356"/>
        <v>9.66</v>
      </c>
      <c r="I5734" s="96">
        <f t="shared" si="356"/>
        <v>9.9499999999999993</v>
      </c>
      <c r="J5734" s="91" t="str">
        <f t="shared" si="357"/>
        <v>Sinapi 104732</v>
      </c>
      <c r="K5734" s="91" t="str">
        <f t="shared" si="358"/>
        <v>M3</v>
      </c>
      <c r="L5734" s="166" t="str">
        <f t="shared" si="359"/>
        <v>08/2023</v>
      </c>
      <c r="M5734" s="82"/>
      <c r="N5734" s="82"/>
    </row>
    <row r="5735" spans="1:14" x14ac:dyDescent="0.25">
      <c r="A5735" s="170" t="s">
        <v>34294</v>
      </c>
      <c r="B5735" s="170" t="s">
        <v>34295</v>
      </c>
      <c r="C5735" s="170" t="s">
        <v>85</v>
      </c>
      <c r="D5735" s="170" t="s">
        <v>1947</v>
      </c>
      <c r="E5735" s="171" t="s">
        <v>23101</v>
      </c>
      <c r="F5735" s="171" t="s">
        <v>2005</v>
      </c>
      <c r="G5735" s="82"/>
      <c r="H5735" s="96">
        <f t="shared" si="356"/>
        <v>17.93</v>
      </c>
      <c r="I5735" s="96">
        <f t="shared" si="356"/>
        <v>18.73</v>
      </c>
      <c r="J5735" s="91" t="str">
        <f t="shared" si="357"/>
        <v>Sinapi 104733</v>
      </c>
      <c r="K5735" s="91" t="str">
        <f t="shared" si="358"/>
        <v>M3</v>
      </c>
      <c r="L5735" s="166" t="str">
        <f t="shared" si="359"/>
        <v>08/2023</v>
      </c>
      <c r="M5735" s="82"/>
      <c r="N5735" s="82"/>
    </row>
    <row r="5736" spans="1:14" x14ac:dyDescent="0.25">
      <c r="A5736" s="170" t="s">
        <v>34296</v>
      </c>
      <c r="B5736" s="170" t="s">
        <v>34297</v>
      </c>
      <c r="C5736" s="170" t="s">
        <v>85</v>
      </c>
      <c r="D5736" s="170" t="s">
        <v>1947</v>
      </c>
      <c r="E5736" s="171" t="s">
        <v>7233</v>
      </c>
      <c r="F5736" s="171" t="s">
        <v>16344</v>
      </c>
      <c r="G5736" s="82"/>
      <c r="H5736" s="96">
        <f t="shared" si="356"/>
        <v>13.09</v>
      </c>
      <c r="I5736" s="96">
        <f t="shared" si="356"/>
        <v>13.66</v>
      </c>
      <c r="J5736" s="91" t="str">
        <f t="shared" si="357"/>
        <v>Sinapi 104734</v>
      </c>
      <c r="K5736" s="91" t="str">
        <f t="shared" si="358"/>
        <v>M3</v>
      </c>
      <c r="L5736" s="166" t="str">
        <f t="shared" si="359"/>
        <v>08/2023</v>
      </c>
      <c r="M5736" s="82"/>
      <c r="N5736" s="82"/>
    </row>
    <row r="5737" spans="1:14" x14ac:dyDescent="0.25">
      <c r="A5737" s="170" t="s">
        <v>34298</v>
      </c>
      <c r="B5737" s="170" t="s">
        <v>34299</v>
      </c>
      <c r="C5737" s="170" t="s">
        <v>85</v>
      </c>
      <c r="D5737" s="170" t="s">
        <v>1947</v>
      </c>
      <c r="E5737" s="171" t="s">
        <v>18548</v>
      </c>
      <c r="F5737" s="171" t="s">
        <v>11607</v>
      </c>
      <c r="G5737" s="82"/>
      <c r="H5737" s="96">
        <f t="shared" si="356"/>
        <v>10.74</v>
      </c>
      <c r="I5737" s="96">
        <f t="shared" si="356"/>
        <v>11.19</v>
      </c>
      <c r="J5737" s="91" t="str">
        <f t="shared" si="357"/>
        <v>Sinapi 104735</v>
      </c>
      <c r="K5737" s="91" t="str">
        <f t="shared" si="358"/>
        <v>M3</v>
      </c>
      <c r="L5737" s="166" t="str">
        <f t="shared" si="359"/>
        <v>08/2023</v>
      </c>
      <c r="M5737" s="82"/>
      <c r="N5737" s="82"/>
    </row>
    <row r="5738" spans="1:14" x14ac:dyDescent="0.25">
      <c r="A5738" s="170" t="s">
        <v>34300</v>
      </c>
      <c r="B5738" s="170" t="s">
        <v>34301</v>
      </c>
      <c r="C5738" s="170" t="s">
        <v>85</v>
      </c>
      <c r="D5738" s="170" t="s">
        <v>1947</v>
      </c>
      <c r="E5738" s="171" t="s">
        <v>16411</v>
      </c>
      <c r="F5738" s="171" t="s">
        <v>14360</v>
      </c>
      <c r="G5738" s="82"/>
      <c r="H5738" s="96">
        <f t="shared" si="356"/>
        <v>8.11</v>
      </c>
      <c r="I5738" s="96">
        <f t="shared" si="356"/>
        <v>8.44</v>
      </c>
      <c r="J5738" s="91" t="str">
        <f t="shared" si="357"/>
        <v>Sinapi 104736</v>
      </c>
      <c r="K5738" s="91" t="str">
        <f t="shared" si="358"/>
        <v>M3</v>
      </c>
      <c r="L5738" s="166" t="str">
        <f t="shared" si="359"/>
        <v>08/2023</v>
      </c>
      <c r="M5738" s="82"/>
      <c r="N5738" s="82"/>
    </row>
    <row r="5739" spans="1:14" x14ac:dyDescent="0.25">
      <c r="A5739" s="170" t="s">
        <v>34302</v>
      </c>
      <c r="B5739" s="170" t="s">
        <v>34303</v>
      </c>
      <c r="C5739" s="170" t="s">
        <v>85</v>
      </c>
      <c r="D5739" s="170" t="s">
        <v>1947</v>
      </c>
      <c r="E5739" s="171" t="s">
        <v>23055</v>
      </c>
      <c r="F5739" s="171" t="s">
        <v>20023</v>
      </c>
      <c r="G5739" s="82"/>
      <c r="H5739" s="96">
        <f t="shared" si="356"/>
        <v>18.97</v>
      </c>
      <c r="I5739" s="96">
        <f t="shared" si="356"/>
        <v>20.66</v>
      </c>
      <c r="J5739" s="91" t="str">
        <f t="shared" si="357"/>
        <v>Sinapi 104737</v>
      </c>
      <c r="K5739" s="91" t="str">
        <f t="shared" si="358"/>
        <v>M3</v>
      </c>
      <c r="L5739" s="166" t="str">
        <f t="shared" si="359"/>
        <v>08/2023</v>
      </c>
      <c r="M5739" s="82"/>
      <c r="N5739" s="82"/>
    </row>
    <row r="5740" spans="1:14" x14ac:dyDescent="0.25">
      <c r="A5740" s="170" t="s">
        <v>34304</v>
      </c>
      <c r="B5740" s="170" t="s">
        <v>34305</v>
      </c>
      <c r="C5740" s="170" t="s">
        <v>85</v>
      </c>
      <c r="D5740" s="170" t="s">
        <v>1947</v>
      </c>
      <c r="E5740" s="171" t="s">
        <v>26123</v>
      </c>
      <c r="F5740" s="171" t="s">
        <v>30557</v>
      </c>
      <c r="G5740" s="82"/>
      <c r="H5740" s="96">
        <f t="shared" si="356"/>
        <v>75.44</v>
      </c>
      <c r="I5740" s="96">
        <f t="shared" si="356"/>
        <v>76.63</v>
      </c>
      <c r="J5740" s="91" t="str">
        <f t="shared" si="357"/>
        <v>Sinapi 104738</v>
      </c>
      <c r="K5740" s="91" t="str">
        <f t="shared" si="358"/>
        <v>M3</v>
      </c>
      <c r="L5740" s="166" t="str">
        <f t="shared" si="359"/>
        <v>08/2023</v>
      </c>
      <c r="M5740" s="82"/>
      <c r="N5740" s="82"/>
    </row>
    <row r="5741" spans="1:14" x14ac:dyDescent="0.25">
      <c r="A5741" s="170" t="s">
        <v>34306</v>
      </c>
      <c r="B5741" s="170" t="s">
        <v>34307</v>
      </c>
      <c r="C5741" s="170" t="s">
        <v>85</v>
      </c>
      <c r="D5741" s="170" t="s">
        <v>1947</v>
      </c>
      <c r="E5741" s="171" t="s">
        <v>34308</v>
      </c>
      <c r="F5741" s="171" t="s">
        <v>32050</v>
      </c>
      <c r="G5741" s="82"/>
      <c r="H5741" s="96">
        <f t="shared" si="356"/>
        <v>73.349999999999994</v>
      </c>
      <c r="I5741" s="96">
        <f t="shared" si="356"/>
        <v>74.540000000000006</v>
      </c>
      <c r="J5741" s="91" t="str">
        <f t="shared" si="357"/>
        <v>Sinapi 104739</v>
      </c>
      <c r="K5741" s="91" t="str">
        <f t="shared" si="358"/>
        <v>M3</v>
      </c>
      <c r="L5741" s="166" t="str">
        <f t="shared" si="359"/>
        <v>08/2023</v>
      </c>
      <c r="M5741" s="82"/>
      <c r="N5741" s="82"/>
    </row>
    <row r="5742" spans="1:14" x14ac:dyDescent="0.25">
      <c r="A5742" s="170" t="s">
        <v>34309</v>
      </c>
      <c r="B5742" s="170" t="s">
        <v>34310</v>
      </c>
      <c r="C5742" s="170" t="s">
        <v>85</v>
      </c>
      <c r="D5742" s="170" t="s">
        <v>1947</v>
      </c>
      <c r="E5742" s="171" t="s">
        <v>21174</v>
      </c>
      <c r="F5742" s="171" t="s">
        <v>15202</v>
      </c>
      <c r="G5742" s="82"/>
      <c r="H5742" s="96">
        <f t="shared" si="356"/>
        <v>24.74</v>
      </c>
      <c r="I5742" s="96">
        <f t="shared" si="356"/>
        <v>25.93</v>
      </c>
      <c r="J5742" s="91" t="str">
        <f t="shared" si="357"/>
        <v>Sinapi 104740</v>
      </c>
      <c r="K5742" s="91" t="str">
        <f t="shared" si="358"/>
        <v>M3</v>
      </c>
      <c r="L5742" s="166" t="str">
        <f t="shared" si="359"/>
        <v>08/2023</v>
      </c>
      <c r="M5742" s="82"/>
      <c r="N5742" s="82"/>
    </row>
    <row r="5743" spans="1:14" x14ac:dyDescent="0.25">
      <c r="A5743" s="170" t="s">
        <v>34311</v>
      </c>
      <c r="B5743" s="170" t="s">
        <v>34312</v>
      </c>
      <c r="C5743" s="170" t="s">
        <v>85</v>
      </c>
      <c r="D5743" s="170" t="s">
        <v>1947</v>
      </c>
      <c r="E5743" s="171" t="s">
        <v>14118</v>
      </c>
      <c r="F5743" s="171" t="s">
        <v>18622</v>
      </c>
      <c r="G5743" s="82"/>
      <c r="H5743" s="96">
        <f t="shared" si="356"/>
        <v>21.99</v>
      </c>
      <c r="I5743" s="96">
        <f t="shared" si="356"/>
        <v>22.93</v>
      </c>
      <c r="J5743" s="91" t="str">
        <f t="shared" si="357"/>
        <v>Sinapi 104741</v>
      </c>
      <c r="K5743" s="91" t="str">
        <f t="shared" si="358"/>
        <v>M3</v>
      </c>
      <c r="L5743" s="166" t="str">
        <f t="shared" si="359"/>
        <v>08/2023</v>
      </c>
      <c r="M5743" s="82"/>
      <c r="N5743" s="82"/>
    </row>
    <row r="5744" spans="1:14" x14ac:dyDescent="0.25">
      <c r="A5744" s="170" t="s">
        <v>34313</v>
      </c>
      <c r="B5744" s="170" t="s">
        <v>34314</v>
      </c>
      <c r="C5744" s="170" t="s">
        <v>870</v>
      </c>
      <c r="D5744" s="170" t="s">
        <v>1947</v>
      </c>
      <c r="E5744" s="171" t="s">
        <v>28765</v>
      </c>
      <c r="F5744" s="171" t="s">
        <v>20356</v>
      </c>
      <c r="G5744" s="82"/>
      <c r="H5744" s="96">
        <f t="shared" si="356"/>
        <v>8.2100000000000009</v>
      </c>
      <c r="I5744" s="96">
        <f t="shared" si="356"/>
        <v>8.36</v>
      </c>
      <c r="J5744" s="91" t="str">
        <f t="shared" si="357"/>
        <v>Sinapi 104742</v>
      </c>
      <c r="K5744" s="91" t="str">
        <f t="shared" si="358"/>
        <v>M2</v>
      </c>
      <c r="L5744" s="166" t="str">
        <f t="shared" si="359"/>
        <v>08/2023</v>
      </c>
      <c r="M5744" s="82"/>
      <c r="N5744" s="82"/>
    </row>
    <row r="5745" spans="1:14" x14ac:dyDescent="0.25">
      <c r="A5745" s="170" t="s">
        <v>8325</v>
      </c>
      <c r="B5745" s="170" t="s">
        <v>10570</v>
      </c>
      <c r="C5745" s="170" t="s">
        <v>1293</v>
      </c>
      <c r="D5745" s="170" t="s">
        <v>1947</v>
      </c>
      <c r="E5745" s="171" t="s">
        <v>14802</v>
      </c>
      <c r="F5745" s="171" t="s">
        <v>17403</v>
      </c>
      <c r="G5745" s="82"/>
      <c r="H5745" s="96">
        <f t="shared" si="356"/>
        <v>2.54</v>
      </c>
      <c r="I5745" s="96">
        <f t="shared" si="356"/>
        <v>2.59</v>
      </c>
      <c r="J5745" s="91" t="str">
        <f t="shared" si="357"/>
        <v>Sinapi 97916</v>
      </c>
      <c r="K5745" s="91" t="str">
        <f t="shared" si="358"/>
        <v>TXKM</v>
      </c>
      <c r="L5745" s="166" t="str">
        <f t="shared" si="359"/>
        <v>07/2020</v>
      </c>
      <c r="M5745" s="82"/>
      <c r="N5745" s="82"/>
    </row>
    <row r="5746" spans="1:14" x14ac:dyDescent="0.25">
      <c r="A5746" s="170" t="s">
        <v>8327</v>
      </c>
      <c r="B5746" s="170" t="s">
        <v>10571</v>
      </c>
      <c r="C5746" s="170" t="s">
        <v>1293</v>
      </c>
      <c r="D5746" s="170" t="s">
        <v>1947</v>
      </c>
      <c r="E5746" s="171" t="s">
        <v>21001</v>
      </c>
      <c r="F5746" s="171" t="s">
        <v>17957</v>
      </c>
      <c r="G5746" s="82"/>
      <c r="H5746" s="96">
        <f t="shared" si="356"/>
        <v>2.19</v>
      </c>
      <c r="I5746" s="96">
        <f t="shared" si="356"/>
        <v>2.23</v>
      </c>
      <c r="J5746" s="91" t="str">
        <f t="shared" si="357"/>
        <v>Sinapi 97917</v>
      </c>
      <c r="K5746" s="91" t="str">
        <f t="shared" si="358"/>
        <v>TXKM</v>
      </c>
      <c r="L5746" s="166" t="str">
        <f t="shared" si="359"/>
        <v>07/2020</v>
      </c>
      <c r="M5746" s="82"/>
      <c r="N5746" s="82"/>
    </row>
    <row r="5747" spans="1:14" x14ac:dyDescent="0.25">
      <c r="A5747" s="170" t="s">
        <v>8328</v>
      </c>
      <c r="B5747" s="170" t="s">
        <v>10572</v>
      </c>
      <c r="C5747" s="170" t="s">
        <v>1293</v>
      </c>
      <c r="D5747" s="170" t="s">
        <v>1947</v>
      </c>
      <c r="E5747" s="171" t="s">
        <v>22828</v>
      </c>
      <c r="F5747" s="171" t="s">
        <v>16400</v>
      </c>
      <c r="G5747" s="82"/>
      <c r="H5747" s="96">
        <f t="shared" si="356"/>
        <v>2.02</v>
      </c>
      <c r="I5747" s="96">
        <f t="shared" si="356"/>
        <v>2.06</v>
      </c>
      <c r="J5747" s="91" t="str">
        <f t="shared" si="357"/>
        <v>Sinapi 97918</v>
      </c>
      <c r="K5747" s="91" t="str">
        <f t="shared" si="358"/>
        <v>TXKM</v>
      </c>
      <c r="L5747" s="166" t="str">
        <f t="shared" si="359"/>
        <v>07/2020</v>
      </c>
      <c r="M5747" s="82"/>
      <c r="N5747" s="82"/>
    </row>
    <row r="5748" spans="1:14" x14ac:dyDescent="0.25">
      <c r="A5748" s="170" t="s">
        <v>8329</v>
      </c>
      <c r="B5748" s="170" t="s">
        <v>10573</v>
      </c>
      <c r="C5748" s="170" t="s">
        <v>1293</v>
      </c>
      <c r="D5748" s="170" t="s">
        <v>1947</v>
      </c>
      <c r="E5748" s="171" t="s">
        <v>3121</v>
      </c>
      <c r="F5748" s="171" t="s">
        <v>9636</v>
      </c>
      <c r="G5748" s="82"/>
      <c r="H5748" s="96">
        <f t="shared" si="356"/>
        <v>0.8</v>
      </c>
      <c r="I5748" s="96">
        <f t="shared" si="356"/>
        <v>0.82</v>
      </c>
      <c r="J5748" s="91" t="str">
        <f t="shared" si="357"/>
        <v>Sinapi 97919</v>
      </c>
      <c r="K5748" s="91" t="str">
        <f t="shared" si="358"/>
        <v>TXKM</v>
      </c>
      <c r="L5748" s="166" t="str">
        <f t="shared" si="359"/>
        <v>07/2020</v>
      </c>
      <c r="M5748" s="82"/>
      <c r="N5748" s="82"/>
    </row>
    <row r="5749" spans="1:14" x14ac:dyDescent="0.25">
      <c r="A5749" s="170" t="s">
        <v>11521</v>
      </c>
      <c r="B5749" s="170" t="s">
        <v>11522</v>
      </c>
      <c r="C5749" s="170" t="s">
        <v>870</v>
      </c>
      <c r="D5749" s="170" t="s">
        <v>1947</v>
      </c>
      <c r="E5749" s="171" t="s">
        <v>2650</v>
      </c>
      <c r="F5749" s="171" t="s">
        <v>19261</v>
      </c>
      <c r="G5749" s="82"/>
      <c r="H5749" s="96">
        <f t="shared" si="356"/>
        <v>5.43</v>
      </c>
      <c r="I5749" s="96">
        <f t="shared" si="356"/>
        <v>6.02</v>
      </c>
      <c r="J5749" s="91" t="str">
        <f t="shared" si="357"/>
        <v>Sinapi 101616</v>
      </c>
      <c r="K5749" s="91" t="str">
        <f t="shared" si="358"/>
        <v>M2</v>
      </c>
      <c r="L5749" s="166" t="str">
        <f t="shared" si="359"/>
        <v>08/2020</v>
      </c>
      <c r="M5749" s="82"/>
      <c r="N5749" s="82"/>
    </row>
    <row r="5750" spans="1:14" x14ac:dyDescent="0.25">
      <c r="A5750" s="170" t="s">
        <v>11523</v>
      </c>
      <c r="B5750" s="170" t="s">
        <v>11524</v>
      </c>
      <c r="C5750" s="170" t="s">
        <v>870</v>
      </c>
      <c r="D5750" s="170" t="s">
        <v>1947</v>
      </c>
      <c r="E5750" s="171" t="s">
        <v>13391</v>
      </c>
      <c r="F5750" s="171" t="s">
        <v>23874</v>
      </c>
      <c r="G5750" s="82"/>
      <c r="H5750" s="96">
        <f t="shared" si="356"/>
        <v>2.68</v>
      </c>
      <c r="I5750" s="96">
        <f t="shared" si="356"/>
        <v>2.96</v>
      </c>
      <c r="J5750" s="91" t="str">
        <f t="shared" si="357"/>
        <v>Sinapi 101617</v>
      </c>
      <c r="K5750" s="91" t="str">
        <f t="shared" si="358"/>
        <v>M2</v>
      </c>
      <c r="L5750" s="166" t="str">
        <f t="shared" si="359"/>
        <v>08/2020</v>
      </c>
      <c r="M5750" s="82"/>
      <c r="N5750" s="82"/>
    </row>
    <row r="5751" spans="1:14" x14ac:dyDescent="0.25">
      <c r="A5751" s="170" t="s">
        <v>11525</v>
      </c>
      <c r="B5751" s="170" t="s">
        <v>11526</v>
      </c>
      <c r="C5751" s="170" t="s">
        <v>85</v>
      </c>
      <c r="D5751" s="170" t="s">
        <v>1947</v>
      </c>
      <c r="E5751" s="171" t="s">
        <v>34315</v>
      </c>
      <c r="F5751" s="171" t="s">
        <v>37407</v>
      </c>
      <c r="G5751" s="82"/>
      <c r="H5751" s="96">
        <f t="shared" si="356"/>
        <v>184.7</v>
      </c>
      <c r="I5751" s="96">
        <f t="shared" si="356"/>
        <v>196.5</v>
      </c>
      <c r="J5751" s="91" t="str">
        <f t="shared" si="357"/>
        <v>Sinapi 101618</v>
      </c>
      <c r="K5751" s="91" t="str">
        <f t="shared" si="358"/>
        <v>M3</v>
      </c>
      <c r="L5751" s="166" t="str">
        <f t="shared" si="359"/>
        <v>08/2020</v>
      </c>
      <c r="M5751" s="82"/>
      <c r="N5751" s="82"/>
    </row>
    <row r="5752" spans="1:14" x14ac:dyDescent="0.25">
      <c r="A5752" s="170" t="s">
        <v>11527</v>
      </c>
      <c r="B5752" s="170" t="s">
        <v>11528</v>
      </c>
      <c r="C5752" s="170" t="s">
        <v>85</v>
      </c>
      <c r="D5752" s="170" t="s">
        <v>1947</v>
      </c>
      <c r="E5752" s="171" t="s">
        <v>34316</v>
      </c>
      <c r="F5752" s="171" t="s">
        <v>37408</v>
      </c>
      <c r="G5752" s="82"/>
      <c r="H5752" s="96">
        <f t="shared" si="356"/>
        <v>432.09</v>
      </c>
      <c r="I5752" s="96">
        <f t="shared" si="356"/>
        <v>446.57</v>
      </c>
      <c r="J5752" s="91" t="str">
        <f t="shared" si="357"/>
        <v>Sinapi 101619</v>
      </c>
      <c r="K5752" s="91" t="str">
        <f t="shared" si="358"/>
        <v>M3</v>
      </c>
      <c r="L5752" s="166" t="str">
        <f t="shared" si="359"/>
        <v>08/2020</v>
      </c>
      <c r="M5752" s="82"/>
      <c r="N5752" s="82"/>
    </row>
    <row r="5753" spans="1:14" x14ac:dyDescent="0.25">
      <c r="A5753" s="170" t="s">
        <v>11529</v>
      </c>
      <c r="B5753" s="170" t="s">
        <v>11530</v>
      </c>
      <c r="C5753" s="170" t="s">
        <v>85</v>
      </c>
      <c r="D5753" s="170" t="s">
        <v>1947</v>
      </c>
      <c r="E5753" s="171" t="s">
        <v>34317</v>
      </c>
      <c r="F5753" s="171" t="s">
        <v>37409</v>
      </c>
      <c r="G5753" s="82"/>
      <c r="H5753" s="96">
        <f t="shared" si="356"/>
        <v>163.01</v>
      </c>
      <c r="I5753" s="96">
        <f t="shared" si="356"/>
        <v>172.45</v>
      </c>
      <c r="J5753" s="91" t="str">
        <f t="shared" si="357"/>
        <v>Sinapi 101620</v>
      </c>
      <c r="K5753" s="91" t="str">
        <f t="shared" si="358"/>
        <v>M3</v>
      </c>
      <c r="L5753" s="166" t="str">
        <f t="shared" si="359"/>
        <v>08/2020</v>
      </c>
      <c r="M5753" s="82"/>
      <c r="N5753" s="82"/>
    </row>
    <row r="5754" spans="1:14" x14ac:dyDescent="0.25">
      <c r="A5754" s="170" t="s">
        <v>11531</v>
      </c>
      <c r="B5754" s="170" t="s">
        <v>11532</v>
      </c>
      <c r="C5754" s="170" t="s">
        <v>85</v>
      </c>
      <c r="D5754" s="170" t="s">
        <v>1947</v>
      </c>
      <c r="E5754" s="171" t="s">
        <v>34318</v>
      </c>
      <c r="F5754" s="171" t="s">
        <v>37410</v>
      </c>
      <c r="G5754" s="82"/>
      <c r="H5754" s="96">
        <f t="shared" si="356"/>
        <v>410.39</v>
      </c>
      <c r="I5754" s="96">
        <f t="shared" si="356"/>
        <v>422.51</v>
      </c>
      <c r="J5754" s="91" t="str">
        <f t="shared" si="357"/>
        <v>Sinapi 101621</v>
      </c>
      <c r="K5754" s="91" t="str">
        <f t="shared" si="358"/>
        <v>M3</v>
      </c>
      <c r="L5754" s="166" t="str">
        <f t="shared" si="359"/>
        <v>08/2020</v>
      </c>
      <c r="M5754" s="82"/>
      <c r="N5754" s="82"/>
    </row>
    <row r="5755" spans="1:14" x14ac:dyDescent="0.25">
      <c r="A5755" s="170" t="s">
        <v>11533</v>
      </c>
      <c r="B5755" s="170" t="s">
        <v>11534</v>
      </c>
      <c r="C5755" s="170" t="s">
        <v>85</v>
      </c>
      <c r="D5755" s="170" t="s">
        <v>1947</v>
      </c>
      <c r="E5755" s="171" t="s">
        <v>29210</v>
      </c>
      <c r="F5755" s="171" t="s">
        <v>37411</v>
      </c>
      <c r="G5755" s="82"/>
      <c r="H5755" s="96">
        <f t="shared" si="356"/>
        <v>162.86000000000001</v>
      </c>
      <c r="I5755" s="96">
        <f t="shared" si="356"/>
        <v>169.58</v>
      </c>
      <c r="J5755" s="91" t="str">
        <f t="shared" si="357"/>
        <v>Sinapi 101622</v>
      </c>
      <c r="K5755" s="91" t="str">
        <f t="shared" si="358"/>
        <v>M3</v>
      </c>
      <c r="L5755" s="166" t="str">
        <f t="shared" si="359"/>
        <v>08/2020</v>
      </c>
      <c r="M5755" s="82"/>
      <c r="N5755" s="82"/>
    </row>
    <row r="5756" spans="1:14" x14ac:dyDescent="0.25">
      <c r="A5756" s="170" t="s">
        <v>11535</v>
      </c>
      <c r="B5756" s="170" t="s">
        <v>11536</v>
      </c>
      <c r="C5756" s="170" t="s">
        <v>85</v>
      </c>
      <c r="D5756" s="170" t="s">
        <v>1947</v>
      </c>
      <c r="E5756" s="171" t="s">
        <v>34319</v>
      </c>
      <c r="F5756" s="171" t="s">
        <v>37412</v>
      </c>
      <c r="G5756" s="82"/>
      <c r="H5756" s="96">
        <f t="shared" si="356"/>
        <v>405.17</v>
      </c>
      <c r="I5756" s="96">
        <f t="shared" si="356"/>
        <v>413.39</v>
      </c>
      <c r="J5756" s="91" t="str">
        <f t="shared" si="357"/>
        <v>Sinapi 101623</v>
      </c>
      <c r="K5756" s="91" t="str">
        <f t="shared" si="358"/>
        <v>M3</v>
      </c>
      <c r="L5756" s="166" t="str">
        <f t="shared" si="359"/>
        <v>08/2020</v>
      </c>
      <c r="M5756" s="82"/>
      <c r="N5756" s="82"/>
    </row>
    <row r="5757" spans="1:14" x14ac:dyDescent="0.25">
      <c r="A5757" s="170" t="s">
        <v>11537</v>
      </c>
      <c r="B5757" s="170" t="s">
        <v>11538</v>
      </c>
      <c r="C5757" s="170" t="s">
        <v>85</v>
      </c>
      <c r="D5757" s="170" t="s">
        <v>1947</v>
      </c>
      <c r="E5757" s="171" t="s">
        <v>34320</v>
      </c>
      <c r="F5757" s="171" t="s">
        <v>37413</v>
      </c>
      <c r="G5757" s="82"/>
      <c r="H5757" s="96">
        <f t="shared" si="356"/>
        <v>364.71</v>
      </c>
      <c r="I5757" s="96">
        <f t="shared" si="356"/>
        <v>369.77</v>
      </c>
      <c r="J5757" s="91" t="str">
        <f t="shared" si="357"/>
        <v>Sinapi 101624</v>
      </c>
      <c r="K5757" s="91" t="str">
        <f t="shared" si="358"/>
        <v>M3</v>
      </c>
      <c r="L5757" s="166" t="str">
        <f t="shared" si="359"/>
        <v>08/2020</v>
      </c>
      <c r="M5757" s="82"/>
      <c r="N5757" s="82"/>
    </row>
    <row r="5758" spans="1:14" x14ac:dyDescent="0.25">
      <c r="A5758" s="170" t="s">
        <v>11539</v>
      </c>
      <c r="B5758" s="170" t="s">
        <v>11540</v>
      </c>
      <c r="C5758" s="170" t="s">
        <v>85</v>
      </c>
      <c r="D5758" s="170" t="s">
        <v>1947</v>
      </c>
      <c r="E5758" s="171" t="s">
        <v>28718</v>
      </c>
      <c r="F5758" s="171" t="s">
        <v>28785</v>
      </c>
      <c r="G5758" s="82"/>
      <c r="H5758" s="96">
        <f t="shared" si="356"/>
        <v>127.55</v>
      </c>
      <c r="I5758" s="96">
        <f t="shared" si="356"/>
        <v>131.5</v>
      </c>
      <c r="J5758" s="91" t="str">
        <f t="shared" si="357"/>
        <v>Sinapi 101625</v>
      </c>
      <c r="K5758" s="91" t="str">
        <f t="shared" si="358"/>
        <v>M3</v>
      </c>
      <c r="L5758" s="166" t="str">
        <f t="shared" si="359"/>
        <v>08/2020</v>
      </c>
      <c r="M5758" s="82"/>
      <c r="N5758" s="82"/>
    </row>
    <row r="5759" spans="1:14" x14ac:dyDescent="0.25">
      <c r="A5759" s="170" t="s">
        <v>8330</v>
      </c>
      <c r="B5759" s="170" t="s">
        <v>8331</v>
      </c>
      <c r="C5759" s="170" t="s">
        <v>870</v>
      </c>
      <c r="D5759" s="170" t="s">
        <v>2067</v>
      </c>
      <c r="E5759" s="171" t="s">
        <v>21371</v>
      </c>
      <c r="F5759" s="171" t="s">
        <v>37414</v>
      </c>
      <c r="G5759" s="82"/>
      <c r="H5759" s="96">
        <f t="shared" si="356"/>
        <v>132.51</v>
      </c>
      <c r="I5759" s="96">
        <f t="shared" si="356"/>
        <v>140.16</v>
      </c>
      <c r="J5759" s="91" t="str">
        <f t="shared" si="357"/>
        <v>Sinapi 101159</v>
      </c>
      <c r="K5759" s="91" t="str">
        <f t="shared" si="358"/>
        <v>M2</v>
      </c>
      <c r="L5759" s="166" t="str">
        <f t="shared" si="359"/>
        <v>05/2020</v>
      </c>
      <c r="M5759" s="82"/>
      <c r="N5759" s="82"/>
    </row>
    <row r="5760" spans="1:14" x14ac:dyDescent="0.25">
      <c r="A5760" s="170" t="s">
        <v>15134</v>
      </c>
      <c r="B5760" s="170" t="s">
        <v>15135</v>
      </c>
      <c r="C5760" s="170" t="s">
        <v>870</v>
      </c>
      <c r="D5760" s="170" t="s">
        <v>1947</v>
      </c>
      <c r="E5760" s="171" t="s">
        <v>21587</v>
      </c>
      <c r="F5760" s="171" t="s">
        <v>29000</v>
      </c>
      <c r="G5760" s="82"/>
      <c r="H5760" s="96">
        <f t="shared" si="356"/>
        <v>54.85</v>
      </c>
      <c r="I5760" s="96">
        <f t="shared" si="356"/>
        <v>57.2</v>
      </c>
      <c r="J5760" s="91" t="str">
        <f t="shared" si="357"/>
        <v>Sinapi 103322</v>
      </c>
      <c r="K5760" s="91" t="str">
        <f t="shared" si="358"/>
        <v>M2</v>
      </c>
      <c r="L5760" s="166" t="str">
        <f t="shared" si="359"/>
        <v>12/2021</v>
      </c>
      <c r="M5760" s="82"/>
      <c r="N5760" s="82"/>
    </row>
    <row r="5761" spans="1:14" x14ac:dyDescent="0.25">
      <c r="A5761" s="170" t="s">
        <v>15136</v>
      </c>
      <c r="B5761" s="170" t="s">
        <v>15137</v>
      </c>
      <c r="C5761" s="170" t="s">
        <v>870</v>
      </c>
      <c r="D5761" s="170" t="s">
        <v>1947</v>
      </c>
      <c r="E5761" s="171" t="s">
        <v>34321</v>
      </c>
      <c r="F5761" s="171" t="s">
        <v>35727</v>
      </c>
      <c r="G5761" s="82"/>
      <c r="H5761" s="96">
        <f t="shared" si="356"/>
        <v>55.83</v>
      </c>
      <c r="I5761" s="96">
        <f t="shared" si="356"/>
        <v>58.28</v>
      </c>
      <c r="J5761" s="91" t="str">
        <f t="shared" si="357"/>
        <v>Sinapi 103323</v>
      </c>
      <c r="K5761" s="91" t="str">
        <f t="shared" si="358"/>
        <v>M2</v>
      </c>
      <c r="L5761" s="166" t="str">
        <f t="shared" si="359"/>
        <v>12/2021</v>
      </c>
      <c r="M5761" s="82"/>
      <c r="N5761" s="82"/>
    </row>
    <row r="5762" spans="1:14" x14ac:dyDescent="0.25">
      <c r="A5762" s="170" t="s">
        <v>15138</v>
      </c>
      <c r="B5762" s="170" t="s">
        <v>15139</v>
      </c>
      <c r="C5762" s="170" t="s">
        <v>870</v>
      </c>
      <c r="D5762" s="170" t="s">
        <v>1947</v>
      </c>
      <c r="E5762" s="171" t="s">
        <v>33453</v>
      </c>
      <c r="F5762" s="171" t="s">
        <v>37415</v>
      </c>
      <c r="G5762" s="82"/>
      <c r="H5762" s="96">
        <f t="shared" si="356"/>
        <v>72.650000000000006</v>
      </c>
      <c r="I5762" s="96">
        <f t="shared" si="356"/>
        <v>76.05</v>
      </c>
      <c r="J5762" s="91" t="str">
        <f t="shared" si="357"/>
        <v>Sinapi 103324</v>
      </c>
      <c r="K5762" s="91" t="str">
        <f t="shared" si="358"/>
        <v>M2</v>
      </c>
      <c r="L5762" s="166" t="str">
        <f t="shared" si="359"/>
        <v>12/2021</v>
      </c>
      <c r="M5762" s="82"/>
      <c r="N5762" s="82"/>
    </row>
    <row r="5763" spans="1:14" x14ac:dyDescent="0.25">
      <c r="A5763" s="170" t="s">
        <v>15140</v>
      </c>
      <c r="B5763" s="170" t="s">
        <v>15141</v>
      </c>
      <c r="C5763" s="170" t="s">
        <v>870</v>
      </c>
      <c r="D5763" s="170" t="s">
        <v>1947</v>
      </c>
      <c r="E5763" s="171" t="s">
        <v>23852</v>
      </c>
      <c r="F5763" s="171" t="s">
        <v>30544</v>
      </c>
      <c r="G5763" s="82"/>
      <c r="H5763" s="96">
        <f t="shared" si="356"/>
        <v>73.77</v>
      </c>
      <c r="I5763" s="96">
        <f t="shared" si="356"/>
        <v>77.28</v>
      </c>
      <c r="J5763" s="91" t="str">
        <f t="shared" si="357"/>
        <v>Sinapi 103325</v>
      </c>
      <c r="K5763" s="91" t="str">
        <f t="shared" si="358"/>
        <v>M2</v>
      </c>
      <c r="L5763" s="166" t="str">
        <f t="shared" si="359"/>
        <v>12/2021</v>
      </c>
      <c r="M5763" s="82"/>
      <c r="N5763" s="82"/>
    </row>
    <row r="5764" spans="1:14" x14ac:dyDescent="0.25">
      <c r="A5764" s="170" t="s">
        <v>15142</v>
      </c>
      <c r="B5764" s="170" t="s">
        <v>15143</v>
      </c>
      <c r="C5764" s="170" t="s">
        <v>870</v>
      </c>
      <c r="D5764" s="170" t="s">
        <v>1947</v>
      </c>
      <c r="E5764" s="171" t="s">
        <v>21528</v>
      </c>
      <c r="F5764" s="171" t="s">
        <v>36793</v>
      </c>
      <c r="G5764" s="82"/>
      <c r="H5764" s="96">
        <f t="shared" si="356"/>
        <v>87.53</v>
      </c>
      <c r="I5764" s="96">
        <f t="shared" si="356"/>
        <v>91.44</v>
      </c>
      <c r="J5764" s="91" t="str">
        <f t="shared" si="357"/>
        <v>Sinapi 103326</v>
      </c>
      <c r="K5764" s="91" t="str">
        <f t="shared" si="358"/>
        <v>M2</v>
      </c>
      <c r="L5764" s="166" t="str">
        <f t="shared" si="359"/>
        <v>12/2021</v>
      </c>
      <c r="M5764" s="82"/>
      <c r="N5764" s="82"/>
    </row>
    <row r="5765" spans="1:14" x14ac:dyDescent="0.25">
      <c r="A5765" s="170" t="s">
        <v>15144</v>
      </c>
      <c r="B5765" s="170" t="s">
        <v>15145</v>
      </c>
      <c r="C5765" s="170" t="s">
        <v>870</v>
      </c>
      <c r="D5765" s="170" t="s">
        <v>1947</v>
      </c>
      <c r="E5765" s="171" t="s">
        <v>29134</v>
      </c>
      <c r="F5765" s="171" t="s">
        <v>37416</v>
      </c>
      <c r="G5765" s="82"/>
      <c r="H5765" s="96">
        <f t="shared" si="356"/>
        <v>88.84</v>
      </c>
      <c r="I5765" s="96">
        <f t="shared" si="356"/>
        <v>92.88</v>
      </c>
      <c r="J5765" s="91" t="str">
        <f t="shared" si="357"/>
        <v>Sinapi 103327</v>
      </c>
      <c r="K5765" s="91" t="str">
        <f t="shared" si="358"/>
        <v>M2</v>
      </c>
      <c r="L5765" s="166" t="str">
        <f t="shared" si="359"/>
        <v>12/2021</v>
      </c>
      <c r="M5765" s="82"/>
      <c r="N5765" s="82"/>
    </row>
    <row r="5766" spans="1:14" x14ac:dyDescent="0.25">
      <c r="A5766" s="170" t="s">
        <v>15146</v>
      </c>
      <c r="B5766" s="170" t="s">
        <v>15147</v>
      </c>
      <c r="C5766" s="170" t="s">
        <v>870</v>
      </c>
      <c r="D5766" s="170" t="s">
        <v>1947</v>
      </c>
      <c r="E5766" s="171" t="s">
        <v>34322</v>
      </c>
      <c r="F5766" s="171" t="s">
        <v>33908</v>
      </c>
      <c r="G5766" s="82"/>
      <c r="H5766" s="96">
        <f t="shared" si="356"/>
        <v>82.72</v>
      </c>
      <c r="I5766" s="96">
        <f t="shared" si="356"/>
        <v>88.91</v>
      </c>
      <c r="J5766" s="91" t="str">
        <f t="shared" si="357"/>
        <v>Sinapi 103328</v>
      </c>
      <c r="K5766" s="91" t="str">
        <f t="shared" si="358"/>
        <v>M2</v>
      </c>
      <c r="L5766" s="166" t="str">
        <f t="shared" si="359"/>
        <v>12/2021</v>
      </c>
      <c r="M5766" s="82"/>
      <c r="N5766" s="82"/>
    </row>
    <row r="5767" spans="1:14" x14ac:dyDescent="0.25">
      <c r="A5767" s="170" t="s">
        <v>15148</v>
      </c>
      <c r="B5767" s="170" t="s">
        <v>15149</v>
      </c>
      <c r="C5767" s="170" t="s">
        <v>870</v>
      </c>
      <c r="D5767" s="170" t="s">
        <v>1947</v>
      </c>
      <c r="E5767" s="171" t="s">
        <v>29192</v>
      </c>
      <c r="F5767" s="171" t="s">
        <v>37417</v>
      </c>
      <c r="G5767" s="82"/>
      <c r="H5767" s="96">
        <f t="shared" si="356"/>
        <v>83.58</v>
      </c>
      <c r="I5767" s="96">
        <f t="shared" si="356"/>
        <v>89.86</v>
      </c>
      <c r="J5767" s="91" t="str">
        <f t="shared" si="357"/>
        <v>Sinapi 103329</v>
      </c>
      <c r="K5767" s="91" t="str">
        <f t="shared" si="358"/>
        <v>M2</v>
      </c>
      <c r="L5767" s="166" t="str">
        <f t="shared" si="359"/>
        <v>12/2021</v>
      </c>
      <c r="M5767" s="82"/>
      <c r="N5767" s="82"/>
    </row>
    <row r="5768" spans="1:14" x14ac:dyDescent="0.25">
      <c r="A5768" s="170" t="s">
        <v>15150</v>
      </c>
      <c r="B5768" s="170" t="s">
        <v>15151</v>
      </c>
      <c r="C5768" s="170" t="s">
        <v>870</v>
      </c>
      <c r="D5768" s="170" t="s">
        <v>1947</v>
      </c>
      <c r="E5768" s="171" t="s">
        <v>34323</v>
      </c>
      <c r="F5768" s="171" t="s">
        <v>37418</v>
      </c>
      <c r="G5768" s="82"/>
      <c r="H5768" s="96">
        <f t="shared" ref="H5768:I5831" si="360">IF(E5768="","",E5768+0)</f>
        <v>77.099999999999994</v>
      </c>
      <c r="I5768" s="96">
        <f t="shared" si="360"/>
        <v>81.75</v>
      </c>
      <c r="J5768" s="91" t="str">
        <f t="shared" ref="J5768:J5831" si="361">IF(OR(H5768="",I5768=""),"",TRIM(CONCATENATE("Sinapi ",A5768)))</f>
        <v>Sinapi 103330</v>
      </c>
      <c r="K5768" s="91" t="str">
        <f t="shared" ref="K5768:K5831" si="362">TRIM(C5768)</f>
        <v>M2</v>
      </c>
      <c r="L5768" s="166" t="str">
        <f t="shared" ref="L5768:L5831" si="363">IF(OR(RIGHT(IF(AND(K5768&lt;&gt;"H",K5768&lt;&gt;"MES"),RIGHT(B5768,7),""),2)="PS",RIGHT(IF(AND(K5768&lt;&gt;"H",K5768&lt;&gt;"MES"),RIGHT(B5768,7),""),2)="PA",RIGHT(IF(AND(K5768&lt;&gt;"H",K5768&lt;&gt;"MES"),RIGHT(B5768,7),""),2)="PE"),LEFT(IF(AND(K5768&lt;&gt;"H",K5768&lt;&gt;"MES"),RIGHT(B5768,10),""),7),IF(AND(K5768&lt;&gt;"H",K5768&lt;&gt;"MES"),RIGHT(B5768,7),""))</f>
        <v>12/2021</v>
      </c>
      <c r="M5768" s="82"/>
      <c r="N5768" s="82"/>
    </row>
    <row r="5769" spans="1:14" x14ac:dyDescent="0.25">
      <c r="A5769" s="170" t="s">
        <v>15152</v>
      </c>
      <c r="B5769" s="170" t="s">
        <v>15153</v>
      </c>
      <c r="C5769" s="170" t="s">
        <v>870</v>
      </c>
      <c r="D5769" s="170" t="s">
        <v>1947</v>
      </c>
      <c r="E5769" s="171" t="s">
        <v>29474</v>
      </c>
      <c r="F5769" s="171" t="s">
        <v>37419</v>
      </c>
      <c r="G5769" s="82"/>
      <c r="H5769" s="96">
        <f t="shared" si="360"/>
        <v>78.03</v>
      </c>
      <c r="I5769" s="96">
        <f t="shared" si="360"/>
        <v>82.77</v>
      </c>
      <c r="J5769" s="91" t="str">
        <f t="shared" si="361"/>
        <v>Sinapi 103331</v>
      </c>
      <c r="K5769" s="91" t="str">
        <f t="shared" si="362"/>
        <v>M2</v>
      </c>
      <c r="L5769" s="166" t="str">
        <f t="shared" si="363"/>
        <v>12/2021</v>
      </c>
      <c r="M5769" s="82"/>
      <c r="N5769" s="82"/>
    </row>
    <row r="5770" spans="1:14" x14ac:dyDescent="0.25">
      <c r="A5770" s="170" t="s">
        <v>15154</v>
      </c>
      <c r="B5770" s="170" t="s">
        <v>15155</v>
      </c>
      <c r="C5770" s="170" t="s">
        <v>870</v>
      </c>
      <c r="D5770" s="170" t="s">
        <v>1947</v>
      </c>
      <c r="E5770" s="171" t="s">
        <v>30318</v>
      </c>
      <c r="F5770" s="171" t="s">
        <v>37420</v>
      </c>
      <c r="G5770" s="82"/>
      <c r="H5770" s="96">
        <f t="shared" si="360"/>
        <v>108.26</v>
      </c>
      <c r="I5770" s="96">
        <f t="shared" si="360"/>
        <v>116.7</v>
      </c>
      <c r="J5770" s="91" t="str">
        <f t="shared" si="361"/>
        <v>Sinapi 103332</v>
      </c>
      <c r="K5770" s="91" t="str">
        <f t="shared" si="362"/>
        <v>M2</v>
      </c>
      <c r="L5770" s="166" t="str">
        <f t="shared" si="363"/>
        <v>12/2021</v>
      </c>
      <c r="M5770" s="82"/>
      <c r="N5770" s="82"/>
    </row>
    <row r="5771" spans="1:14" x14ac:dyDescent="0.25">
      <c r="A5771" s="170" t="s">
        <v>15156</v>
      </c>
      <c r="B5771" s="170" t="s">
        <v>15157</v>
      </c>
      <c r="C5771" s="170" t="s">
        <v>870</v>
      </c>
      <c r="D5771" s="170" t="s">
        <v>1947</v>
      </c>
      <c r="E5771" s="171" t="s">
        <v>34324</v>
      </c>
      <c r="F5771" s="171" t="s">
        <v>28946</v>
      </c>
      <c r="G5771" s="82"/>
      <c r="H5771" s="96">
        <f t="shared" si="360"/>
        <v>109.25</v>
      </c>
      <c r="I5771" s="96">
        <f t="shared" si="360"/>
        <v>117.8</v>
      </c>
      <c r="J5771" s="91" t="str">
        <f t="shared" si="361"/>
        <v>Sinapi 103333</v>
      </c>
      <c r="K5771" s="91" t="str">
        <f t="shared" si="362"/>
        <v>M2</v>
      </c>
      <c r="L5771" s="166" t="str">
        <f t="shared" si="363"/>
        <v>12/2021</v>
      </c>
      <c r="M5771" s="82"/>
      <c r="N5771" s="82"/>
    </row>
    <row r="5772" spans="1:14" x14ac:dyDescent="0.25">
      <c r="A5772" s="170" t="s">
        <v>15158</v>
      </c>
      <c r="B5772" s="170" t="s">
        <v>15159</v>
      </c>
      <c r="C5772" s="170" t="s">
        <v>870</v>
      </c>
      <c r="D5772" s="170" t="s">
        <v>1947</v>
      </c>
      <c r="E5772" s="171" t="s">
        <v>34325</v>
      </c>
      <c r="F5772" s="171" t="s">
        <v>21900</v>
      </c>
      <c r="G5772" s="82"/>
      <c r="H5772" s="96">
        <f t="shared" si="360"/>
        <v>132.85</v>
      </c>
      <c r="I5772" s="96">
        <f t="shared" si="360"/>
        <v>141.83000000000001</v>
      </c>
      <c r="J5772" s="91" t="str">
        <f t="shared" si="361"/>
        <v>Sinapi 103334</v>
      </c>
      <c r="K5772" s="91" t="str">
        <f t="shared" si="362"/>
        <v>M2</v>
      </c>
      <c r="L5772" s="166" t="str">
        <f t="shared" si="363"/>
        <v>12/2021</v>
      </c>
      <c r="M5772" s="82"/>
      <c r="N5772" s="82"/>
    </row>
    <row r="5773" spans="1:14" x14ac:dyDescent="0.25">
      <c r="A5773" s="170" t="s">
        <v>15160</v>
      </c>
      <c r="B5773" s="170" t="s">
        <v>15161</v>
      </c>
      <c r="C5773" s="170" t="s">
        <v>870</v>
      </c>
      <c r="D5773" s="170" t="s">
        <v>1947</v>
      </c>
      <c r="E5773" s="171" t="s">
        <v>34326</v>
      </c>
      <c r="F5773" s="171" t="s">
        <v>37421</v>
      </c>
      <c r="G5773" s="82"/>
      <c r="H5773" s="96">
        <f t="shared" si="360"/>
        <v>134.58000000000001</v>
      </c>
      <c r="I5773" s="96">
        <f t="shared" si="360"/>
        <v>143.74</v>
      </c>
      <c r="J5773" s="91" t="str">
        <f t="shared" si="361"/>
        <v>Sinapi 103335</v>
      </c>
      <c r="K5773" s="91" t="str">
        <f t="shared" si="362"/>
        <v>M2</v>
      </c>
      <c r="L5773" s="166" t="str">
        <f t="shared" si="363"/>
        <v>12/2021</v>
      </c>
      <c r="M5773" s="82"/>
      <c r="N5773" s="82"/>
    </row>
    <row r="5774" spans="1:14" x14ac:dyDescent="0.25">
      <c r="A5774" s="170" t="s">
        <v>15162</v>
      </c>
      <c r="B5774" s="170" t="s">
        <v>15163</v>
      </c>
      <c r="C5774" s="170" t="s">
        <v>870</v>
      </c>
      <c r="D5774" s="170" t="s">
        <v>1947</v>
      </c>
      <c r="E5774" s="171" t="s">
        <v>34327</v>
      </c>
      <c r="F5774" s="171" t="s">
        <v>21992</v>
      </c>
      <c r="G5774" s="82"/>
      <c r="H5774" s="96">
        <f t="shared" si="360"/>
        <v>162.25</v>
      </c>
      <c r="I5774" s="96">
        <f t="shared" si="360"/>
        <v>173.86</v>
      </c>
      <c r="J5774" s="91" t="str">
        <f t="shared" si="361"/>
        <v>Sinapi 103350</v>
      </c>
      <c r="K5774" s="91" t="str">
        <f t="shared" si="362"/>
        <v>M2</v>
      </c>
      <c r="L5774" s="166" t="str">
        <f t="shared" si="363"/>
        <v>12/2021</v>
      </c>
      <c r="M5774" s="82"/>
      <c r="N5774" s="82"/>
    </row>
    <row r="5775" spans="1:14" x14ac:dyDescent="0.25">
      <c r="A5775" s="170" t="s">
        <v>15164</v>
      </c>
      <c r="B5775" s="170" t="s">
        <v>15165</v>
      </c>
      <c r="C5775" s="170" t="s">
        <v>870</v>
      </c>
      <c r="D5775" s="170" t="s">
        <v>1947</v>
      </c>
      <c r="E5775" s="171" t="s">
        <v>34328</v>
      </c>
      <c r="F5775" s="171" t="s">
        <v>37422</v>
      </c>
      <c r="G5775" s="82"/>
      <c r="H5775" s="96">
        <f t="shared" si="360"/>
        <v>163.51</v>
      </c>
      <c r="I5775" s="96">
        <f t="shared" si="360"/>
        <v>175.25</v>
      </c>
      <c r="J5775" s="91" t="str">
        <f t="shared" si="361"/>
        <v>Sinapi 103351</v>
      </c>
      <c r="K5775" s="91" t="str">
        <f t="shared" si="362"/>
        <v>M2</v>
      </c>
      <c r="L5775" s="166" t="str">
        <f t="shared" si="363"/>
        <v>12/2021</v>
      </c>
      <c r="M5775" s="82"/>
      <c r="N5775" s="82"/>
    </row>
    <row r="5776" spans="1:14" x14ac:dyDescent="0.25">
      <c r="A5776" s="170" t="s">
        <v>15166</v>
      </c>
      <c r="B5776" s="170" t="s">
        <v>15167</v>
      </c>
      <c r="C5776" s="170" t="s">
        <v>870</v>
      </c>
      <c r="D5776" s="170" t="s">
        <v>1947</v>
      </c>
      <c r="E5776" s="171" t="s">
        <v>21978</v>
      </c>
      <c r="F5776" s="171" t="s">
        <v>34552</v>
      </c>
      <c r="G5776" s="82"/>
      <c r="H5776" s="96">
        <f t="shared" si="360"/>
        <v>52.08</v>
      </c>
      <c r="I5776" s="96">
        <f t="shared" si="360"/>
        <v>55.07</v>
      </c>
      <c r="J5776" s="91" t="str">
        <f t="shared" si="361"/>
        <v>Sinapi 103356</v>
      </c>
      <c r="K5776" s="91" t="str">
        <f t="shared" si="362"/>
        <v>M2</v>
      </c>
      <c r="L5776" s="166" t="str">
        <f t="shared" si="363"/>
        <v>12/2021</v>
      </c>
      <c r="M5776" s="82"/>
      <c r="N5776" s="82"/>
    </row>
    <row r="5777" spans="1:14" x14ac:dyDescent="0.25">
      <c r="A5777" s="170" t="s">
        <v>15168</v>
      </c>
      <c r="B5777" s="170" t="s">
        <v>15169</v>
      </c>
      <c r="C5777" s="170" t="s">
        <v>870</v>
      </c>
      <c r="D5777" s="170" t="s">
        <v>1947</v>
      </c>
      <c r="E5777" s="171" t="s">
        <v>31266</v>
      </c>
      <c r="F5777" s="171" t="s">
        <v>28783</v>
      </c>
      <c r="G5777" s="82"/>
      <c r="H5777" s="96">
        <f t="shared" si="360"/>
        <v>52.8</v>
      </c>
      <c r="I5777" s="96">
        <f t="shared" si="360"/>
        <v>55.88</v>
      </c>
      <c r="J5777" s="91" t="str">
        <f t="shared" si="361"/>
        <v>Sinapi 103357</v>
      </c>
      <c r="K5777" s="91" t="str">
        <f t="shared" si="362"/>
        <v>M2</v>
      </c>
      <c r="L5777" s="166" t="str">
        <f t="shared" si="363"/>
        <v>12/2021</v>
      </c>
      <c r="M5777" s="82"/>
      <c r="N5777" s="82"/>
    </row>
    <row r="5778" spans="1:14" x14ac:dyDescent="0.25">
      <c r="A5778" s="170" t="s">
        <v>8332</v>
      </c>
      <c r="B5778" s="170" t="s">
        <v>20474</v>
      </c>
      <c r="C5778" s="170" t="s">
        <v>870</v>
      </c>
      <c r="D5778" s="170" t="s">
        <v>2067</v>
      </c>
      <c r="E5778" s="171" t="s">
        <v>34329</v>
      </c>
      <c r="F5778" s="171" t="s">
        <v>37423</v>
      </c>
      <c r="G5778" s="82"/>
      <c r="H5778" s="96">
        <f t="shared" si="360"/>
        <v>68.13</v>
      </c>
      <c r="I5778" s="96">
        <f t="shared" si="360"/>
        <v>70.77</v>
      </c>
      <c r="J5778" s="91" t="str">
        <f t="shared" si="361"/>
        <v>Sinapi 89282</v>
      </c>
      <c r="K5778" s="91" t="str">
        <f t="shared" si="362"/>
        <v>M2</v>
      </c>
      <c r="L5778" s="166" t="str">
        <f t="shared" si="363"/>
        <v>03/2023</v>
      </c>
      <c r="M5778" s="82"/>
      <c r="N5778" s="82"/>
    </row>
    <row r="5779" spans="1:14" x14ac:dyDescent="0.25">
      <c r="A5779" s="170" t="s">
        <v>8333</v>
      </c>
      <c r="B5779" s="170" t="s">
        <v>20475</v>
      </c>
      <c r="C5779" s="170" t="s">
        <v>870</v>
      </c>
      <c r="D5779" s="170" t="s">
        <v>2067</v>
      </c>
      <c r="E5779" s="171" t="s">
        <v>34330</v>
      </c>
      <c r="F5779" s="171" t="s">
        <v>33646</v>
      </c>
      <c r="G5779" s="82"/>
      <c r="H5779" s="96">
        <f t="shared" si="360"/>
        <v>69.28</v>
      </c>
      <c r="I5779" s="96">
        <f t="shared" si="360"/>
        <v>72.03</v>
      </c>
      <c r="J5779" s="91" t="str">
        <f t="shared" si="361"/>
        <v>Sinapi 89283</v>
      </c>
      <c r="K5779" s="91" t="str">
        <f t="shared" si="362"/>
        <v>M2</v>
      </c>
      <c r="L5779" s="166" t="str">
        <f t="shared" si="363"/>
        <v>03/2023</v>
      </c>
      <c r="M5779" s="82"/>
      <c r="N5779" s="82"/>
    </row>
    <row r="5780" spans="1:14" x14ac:dyDescent="0.25">
      <c r="A5780" s="170" t="s">
        <v>8334</v>
      </c>
      <c r="B5780" s="170" t="s">
        <v>20476</v>
      </c>
      <c r="C5780" s="170" t="s">
        <v>870</v>
      </c>
      <c r="D5780" s="170" t="s">
        <v>2067</v>
      </c>
      <c r="E5780" s="171" t="s">
        <v>21991</v>
      </c>
      <c r="F5780" s="171" t="s">
        <v>22993</v>
      </c>
      <c r="G5780" s="82"/>
      <c r="H5780" s="96">
        <f t="shared" si="360"/>
        <v>76.69</v>
      </c>
      <c r="I5780" s="96">
        <f t="shared" si="360"/>
        <v>80.14</v>
      </c>
      <c r="J5780" s="91" t="str">
        <f t="shared" si="361"/>
        <v>Sinapi 89290</v>
      </c>
      <c r="K5780" s="91" t="str">
        <f t="shared" si="362"/>
        <v>M2</v>
      </c>
      <c r="L5780" s="166" t="str">
        <f t="shared" si="363"/>
        <v>03/2023</v>
      </c>
      <c r="M5780" s="82"/>
      <c r="N5780" s="82"/>
    </row>
    <row r="5781" spans="1:14" x14ac:dyDescent="0.25">
      <c r="A5781" s="170" t="s">
        <v>8335</v>
      </c>
      <c r="B5781" s="170" t="s">
        <v>20477</v>
      </c>
      <c r="C5781" s="170" t="s">
        <v>870</v>
      </c>
      <c r="D5781" s="170" t="s">
        <v>2067</v>
      </c>
      <c r="E5781" s="171" t="s">
        <v>29195</v>
      </c>
      <c r="F5781" s="171" t="s">
        <v>37424</v>
      </c>
      <c r="G5781" s="82"/>
      <c r="H5781" s="96">
        <f t="shared" si="360"/>
        <v>77.959999999999994</v>
      </c>
      <c r="I5781" s="96">
        <f t="shared" si="360"/>
        <v>81.53</v>
      </c>
      <c r="J5781" s="91" t="str">
        <f t="shared" si="361"/>
        <v>Sinapi 89291</v>
      </c>
      <c r="K5781" s="91" t="str">
        <f t="shared" si="362"/>
        <v>M2</v>
      </c>
      <c r="L5781" s="166" t="str">
        <f t="shared" si="363"/>
        <v>03/2023</v>
      </c>
      <c r="M5781" s="82"/>
      <c r="N5781" s="82"/>
    </row>
    <row r="5782" spans="1:14" x14ac:dyDescent="0.25">
      <c r="A5782" s="170" t="s">
        <v>8336</v>
      </c>
      <c r="B5782" s="170" t="s">
        <v>20478</v>
      </c>
      <c r="C5782" s="170" t="s">
        <v>870</v>
      </c>
      <c r="D5782" s="170" t="s">
        <v>2067</v>
      </c>
      <c r="E5782" s="171" t="s">
        <v>23279</v>
      </c>
      <c r="F5782" s="171" t="s">
        <v>29010</v>
      </c>
      <c r="G5782" s="82"/>
      <c r="H5782" s="96">
        <f t="shared" si="360"/>
        <v>78.930000000000007</v>
      </c>
      <c r="I5782" s="96">
        <f t="shared" si="360"/>
        <v>82.48</v>
      </c>
      <c r="J5782" s="91" t="str">
        <f t="shared" si="361"/>
        <v>Sinapi 89298</v>
      </c>
      <c r="K5782" s="91" t="str">
        <f t="shared" si="362"/>
        <v>M2</v>
      </c>
      <c r="L5782" s="166" t="str">
        <f t="shared" si="363"/>
        <v>03/2023</v>
      </c>
      <c r="M5782" s="82"/>
      <c r="N5782" s="82"/>
    </row>
    <row r="5783" spans="1:14" x14ac:dyDescent="0.25">
      <c r="A5783" s="170" t="s">
        <v>8337</v>
      </c>
      <c r="B5783" s="170" t="s">
        <v>20479</v>
      </c>
      <c r="C5783" s="170" t="s">
        <v>870</v>
      </c>
      <c r="D5783" s="170" t="s">
        <v>2067</v>
      </c>
      <c r="E5783" s="171" t="s">
        <v>34331</v>
      </c>
      <c r="F5783" s="171" t="s">
        <v>37425</v>
      </c>
      <c r="G5783" s="82"/>
      <c r="H5783" s="96">
        <f t="shared" si="360"/>
        <v>80.459999999999994</v>
      </c>
      <c r="I5783" s="96">
        <f t="shared" si="360"/>
        <v>84.15</v>
      </c>
      <c r="J5783" s="91" t="str">
        <f t="shared" si="361"/>
        <v>Sinapi 89299</v>
      </c>
      <c r="K5783" s="91" t="str">
        <f t="shared" si="362"/>
        <v>M2</v>
      </c>
      <c r="L5783" s="166" t="str">
        <f t="shared" si="363"/>
        <v>03/2023</v>
      </c>
      <c r="M5783" s="82"/>
      <c r="N5783" s="82"/>
    </row>
    <row r="5784" spans="1:14" x14ac:dyDescent="0.25">
      <c r="A5784" s="170" t="s">
        <v>8338</v>
      </c>
      <c r="B5784" s="170" t="s">
        <v>20480</v>
      </c>
      <c r="C5784" s="170" t="s">
        <v>870</v>
      </c>
      <c r="D5784" s="170" t="s">
        <v>2067</v>
      </c>
      <c r="E5784" s="171" t="s">
        <v>34332</v>
      </c>
      <c r="F5784" s="171" t="s">
        <v>34589</v>
      </c>
      <c r="G5784" s="82"/>
      <c r="H5784" s="96">
        <f t="shared" si="360"/>
        <v>91.71</v>
      </c>
      <c r="I5784" s="96">
        <f t="shared" si="360"/>
        <v>96.49</v>
      </c>
      <c r="J5784" s="91" t="str">
        <f t="shared" si="361"/>
        <v>Sinapi 89306</v>
      </c>
      <c r="K5784" s="91" t="str">
        <f t="shared" si="362"/>
        <v>M2</v>
      </c>
      <c r="L5784" s="166" t="str">
        <f t="shared" si="363"/>
        <v>03/2023</v>
      </c>
      <c r="M5784" s="82"/>
      <c r="N5784" s="82"/>
    </row>
    <row r="5785" spans="1:14" x14ac:dyDescent="0.25">
      <c r="A5785" s="170" t="s">
        <v>8339</v>
      </c>
      <c r="B5785" s="170" t="s">
        <v>20481</v>
      </c>
      <c r="C5785" s="170" t="s">
        <v>870</v>
      </c>
      <c r="D5785" s="170" t="s">
        <v>2067</v>
      </c>
      <c r="E5785" s="171" t="s">
        <v>34333</v>
      </c>
      <c r="F5785" s="171" t="s">
        <v>21604</v>
      </c>
      <c r="G5785" s="82"/>
      <c r="H5785" s="96">
        <f t="shared" si="360"/>
        <v>93.41</v>
      </c>
      <c r="I5785" s="96">
        <f t="shared" si="360"/>
        <v>98.36</v>
      </c>
      <c r="J5785" s="91" t="str">
        <f t="shared" si="361"/>
        <v>Sinapi 89307</v>
      </c>
      <c r="K5785" s="91" t="str">
        <f t="shared" si="362"/>
        <v>M2</v>
      </c>
      <c r="L5785" s="166" t="str">
        <f t="shared" si="363"/>
        <v>03/2023</v>
      </c>
      <c r="M5785" s="82"/>
      <c r="N5785" s="82"/>
    </row>
    <row r="5786" spans="1:14" x14ac:dyDescent="0.25">
      <c r="A5786" s="170" t="s">
        <v>14736</v>
      </c>
      <c r="B5786" s="170" t="s">
        <v>14737</v>
      </c>
      <c r="C5786" s="170" t="s">
        <v>870</v>
      </c>
      <c r="D5786" s="170" t="s">
        <v>2067</v>
      </c>
      <c r="E5786" s="171" t="s">
        <v>34334</v>
      </c>
      <c r="F5786" s="171" t="s">
        <v>37426</v>
      </c>
      <c r="G5786" s="82"/>
      <c r="H5786" s="96">
        <f t="shared" si="360"/>
        <v>89.46</v>
      </c>
      <c r="I5786" s="96">
        <f t="shared" si="360"/>
        <v>91.29</v>
      </c>
      <c r="J5786" s="91" t="str">
        <f t="shared" si="361"/>
        <v>Sinapi 101157</v>
      </c>
      <c r="K5786" s="91" t="str">
        <f t="shared" si="362"/>
        <v>M2</v>
      </c>
      <c r="L5786" s="166" t="str">
        <f t="shared" si="363"/>
        <v>05/2020</v>
      </c>
      <c r="M5786" s="82"/>
      <c r="N5786" s="82"/>
    </row>
    <row r="5787" spans="1:14" x14ac:dyDescent="0.25">
      <c r="A5787" s="170" t="s">
        <v>14738</v>
      </c>
      <c r="B5787" s="170" t="s">
        <v>14739</v>
      </c>
      <c r="C5787" s="170" t="s">
        <v>870</v>
      </c>
      <c r="D5787" s="170" t="s">
        <v>2067</v>
      </c>
      <c r="E5787" s="171" t="s">
        <v>31431</v>
      </c>
      <c r="F5787" s="171" t="s">
        <v>37427</v>
      </c>
      <c r="G5787" s="82"/>
      <c r="H5787" s="96">
        <f t="shared" si="360"/>
        <v>118.9</v>
      </c>
      <c r="I5787" s="96">
        <f t="shared" si="360"/>
        <v>121.04</v>
      </c>
      <c r="J5787" s="91" t="str">
        <f t="shared" si="361"/>
        <v>Sinapi 101158</v>
      </c>
      <c r="K5787" s="91" t="str">
        <f t="shared" si="362"/>
        <v>M2</v>
      </c>
      <c r="L5787" s="166" t="str">
        <f t="shared" si="363"/>
        <v>05/2020</v>
      </c>
      <c r="M5787" s="82"/>
      <c r="N5787" s="82"/>
    </row>
    <row r="5788" spans="1:14" x14ac:dyDescent="0.25">
      <c r="A5788" s="170" t="s">
        <v>8340</v>
      </c>
      <c r="B5788" s="170" t="s">
        <v>8341</v>
      </c>
      <c r="C5788" s="170" t="s">
        <v>870</v>
      </c>
      <c r="D5788" s="170" t="s">
        <v>2067</v>
      </c>
      <c r="E5788" s="171" t="s">
        <v>29369</v>
      </c>
      <c r="F5788" s="171" t="s">
        <v>37428</v>
      </c>
      <c r="G5788" s="82"/>
      <c r="H5788" s="96">
        <f t="shared" si="360"/>
        <v>146.97</v>
      </c>
      <c r="I5788" s="96">
        <f t="shared" si="360"/>
        <v>155.55000000000001</v>
      </c>
      <c r="J5788" s="91" t="str">
        <f t="shared" si="361"/>
        <v>Sinapi 101162</v>
      </c>
      <c r="K5788" s="91" t="str">
        <f t="shared" si="362"/>
        <v>M2</v>
      </c>
      <c r="L5788" s="166" t="str">
        <f t="shared" si="363"/>
        <v>05/2020</v>
      </c>
      <c r="M5788" s="82"/>
      <c r="N5788" s="82"/>
    </row>
    <row r="5789" spans="1:14" x14ac:dyDescent="0.25">
      <c r="A5789" s="170" t="s">
        <v>15170</v>
      </c>
      <c r="B5789" s="170" t="s">
        <v>15171</v>
      </c>
      <c r="C5789" s="170" t="s">
        <v>870</v>
      </c>
      <c r="D5789" s="170" t="s">
        <v>1947</v>
      </c>
      <c r="E5789" s="171" t="s">
        <v>34335</v>
      </c>
      <c r="F5789" s="171" t="s">
        <v>23260</v>
      </c>
      <c r="G5789" s="82"/>
      <c r="H5789" s="96">
        <f t="shared" si="360"/>
        <v>99.86</v>
      </c>
      <c r="I5789" s="96">
        <f t="shared" si="360"/>
        <v>102.73</v>
      </c>
      <c r="J5789" s="91" t="str">
        <f t="shared" si="361"/>
        <v>Sinapi 103316</v>
      </c>
      <c r="K5789" s="91" t="str">
        <f t="shared" si="362"/>
        <v>M2</v>
      </c>
      <c r="L5789" s="166" t="str">
        <f t="shared" si="363"/>
        <v>12/2021</v>
      </c>
      <c r="M5789" s="82"/>
      <c r="N5789" s="82"/>
    </row>
    <row r="5790" spans="1:14" x14ac:dyDescent="0.25">
      <c r="A5790" s="170" t="s">
        <v>15172</v>
      </c>
      <c r="B5790" s="170" t="s">
        <v>15173</v>
      </c>
      <c r="C5790" s="170" t="s">
        <v>870</v>
      </c>
      <c r="D5790" s="170" t="s">
        <v>1947</v>
      </c>
      <c r="E5790" s="171" t="s">
        <v>34336</v>
      </c>
      <c r="F5790" s="171" t="s">
        <v>37429</v>
      </c>
      <c r="G5790" s="82"/>
      <c r="H5790" s="96">
        <f t="shared" si="360"/>
        <v>100.68</v>
      </c>
      <c r="I5790" s="96">
        <f t="shared" si="360"/>
        <v>103.64</v>
      </c>
      <c r="J5790" s="91" t="str">
        <f t="shared" si="361"/>
        <v>Sinapi 103317</v>
      </c>
      <c r="K5790" s="91" t="str">
        <f t="shared" si="362"/>
        <v>M2</v>
      </c>
      <c r="L5790" s="166" t="str">
        <f t="shared" si="363"/>
        <v>12/2021</v>
      </c>
      <c r="M5790" s="82"/>
      <c r="N5790" s="82"/>
    </row>
    <row r="5791" spans="1:14" x14ac:dyDescent="0.25">
      <c r="A5791" s="170" t="s">
        <v>15174</v>
      </c>
      <c r="B5791" s="170" t="s">
        <v>15175</v>
      </c>
      <c r="C5791" s="170" t="s">
        <v>870</v>
      </c>
      <c r="D5791" s="170" t="s">
        <v>1947</v>
      </c>
      <c r="E5791" s="171" t="s">
        <v>34337</v>
      </c>
      <c r="F5791" s="171" t="s">
        <v>37430</v>
      </c>
      <c r="G5791" s="82"/>
      <c r="H5791" s="96">
        <f t="shared" si="360"/>
        <v>127.69</v>
      </c>
      <c r="I5791" s="96">
        <f t="shared" si="360"/>
        <v>131.58000000000001</v>
      </c>
      <c r="J5791" s="91" t="str">
        <f t="shared" si="361"/>
        <v>Sinapi 103318</v>
      </c>
      <c r="K5791" s="91" t="str">
        <f t="shared" si="362"/>
        <v>M2</v>
      </c>
      <c r="L5791" s="166" t="str">
        <f t="shared" si="363"/>
        <v>12/2021</v>
      </c>
      <c r="M5791" s="82"/>
      <c r="N5791" s="82"/>
    </row>
    <row r="5792" spans="1:14" x14ac:dyDescent="0.25">
      <c r="A5792" s="170" t="s">
        <v>15176</v>
      </c>
      <c r="B5792" s="170" t="s">
        <v>15177</v>
      </c>
      <c r="C5792" s="170" t="s">
        <v>870</v>
      </c>
      <c r="D5792" s="170" t="s">
        <v>1947</v>
      </c>
      <c r="E5792" s="171" t="s">
        <v>34338</v>
      </c>
      <c r="F5792" s="171" t="s">
        <v>37431</v>
      </c>
      <c r="G5792" s="82"/>
      <c r="H5792" s="96">
        <f t="shared" si="360"/>
        <v>128.65</v>
      </c>
      <c r="I5792" s="96">
        <f t="shared" si="360"/>
        <v>132.65</v>
      </c>
      <c r="J5792" s="91" t="str">
        <f t="shared" si="361"/>
        <v>Sinapi 103319</v>
      </c>
      <c r="K5792" s="91" t="str">
        <f t="shared" si="362"/>
        <v>M2</v>
      </c>
      <c r="L5792" s="166" t="str">
        <f t="shared" si="363"/>
        <v>12/2021</v>
      </c>
      <c r="M5792" s="82"/>
      <c r="N5792" s="82"/>
    </row>
    <row r="5793" spans="1:14" x14ac:dyDescent="0.25">
      <c r="A5793" s="170" t="s">
        <v>15178</v>
      </c>
      <c r="B5793" s="170" t="s">
        <v>15179</v>
      </c>
      <c r="C5793" s="170" t="s">
        <v>870</v>
      </c>
      <c r="D5793" s="170" t="s">
        <v>1947</v>
      </c>
      <c r="E5793" s="171" t="s">
        <v>34339</v>
      </c>
      <c r="F5793" s="171" t="s">
        <v>30349</v>
      </c>
      <c r="G5793" s="82"/>
      <c r="H5793" s="96">
        <f t="shared" si="360"/>
        <v>155.25</v>
      </c>
      <c r="I5793" s="96">
        <f t="shared" si="360"/>
        <v>159.66999999999999</v>
      </c>
      <c r="J5793" s="91" t="str">
        <f t="shared" si="361"/>
        <v>Sinapi 103320</v>
      </c>
      <c r="K5793" s="91" t="str">
        <f t="shared" si="362"/>
        <v>M2</v>
      </c>
      <c r="L5793" s="166" t="str">
        <f t="shared" si="363"/>
        <v>12/2021</v>
      </c>
      <c r="M5793" s="82"/>
      <c r="N5793" s="82"/>
    </row>
    <row r="5794" spans="1:14" x14ac:dyDescent="0.25">
      <c r="A5794" s="170" t="s">
        <v>15180</v>
      </c>
      <c r="B5794" s="170" t="s">
        <v>15181</v>
      </c>
      <c r="C5794" s="170" t="s">
        <v>870</v>
      </c>
      <c r="D5794" s="170" t="s">
        <v>1947</v>
      </c>
      <c r="E5794" s="171" t="s">
        <v>34340</v>
      </c>
      <c r="F5794" s="171" t="s">
        <v>37432</v>
      </c>
      <c r="G5794" s="82"/>
      <c r="H5794" s="96">
        <f t="shared" si="360"/>
        <v>156.46</v>
      </c>
      <c r="I5794" s="96">
        <f t="shared" si="360"/>
        <v>161.01</v>
      </c>
      <c r="J5794" s="91" t="str">
        <f t="shared" si="361"/>
        <v>Sinapi 103321</v>
      </c>
      <c r="K5794" s="91" t="str">
        <f t="shared" si="362"/>
        <v>M2</v>
      </c>
      <c r="L5794" s="166" t="str">
        <f t="shared" si="363"/>
        <v>12/2021</v>
      </c>
      <c r="M5794" s="82"/>
      <c r="N5794" s="82"/>
    </row>
    <row r="5795" spans="1:14" x14ac:dyDescent="0.25">
      <c r="A5795" s="170" t="s">
        <v>15182</v>
      </c>
      <c r="B5795" s="170" t="s">
        <v>15183</v>
      </c>
      <c r="C5795" s="170" t="s">
        <v>870</v>
      </c>
      <c r="D5795" s="170" t="s">
        <v>1947</v>
      </c>
      <c r="E5795" s="171" t="s">
        <v>34341</v>
      </c>
      <c r="F5795" s="171" t="s">
        <v>29285</v>
      </c>
      <c r="G5795" s="82"/>
      <c r="H5795" s="96">
        <f t="shared" si="360"/>
        <v>108.56</v>
      </c>
      <c r="I5795" s="96">
        <f t="shared" si="360"/>
        <v>112.25</v>
      </c>
      <c r="J5795" s="91" t="str">
        <f t="shared" si="361"/>
        <v>Sinapi 103336</v>
      </c>
      <c r="K5795" s="91" t="str">
        <f t="shared" si="362"/>
        <v>M2</v>
      </c>
      <c r="L5795" s="166" t="str">
        <f t="shared" si="363"/>
        <v>12/2021</v>
      </c>
      <c r="M5795" s="82"/>
      <c r="N5795" s="82"/>
    </row>
    <row r="5796" spans="1:14" x14ac:dyDescent="0.25">
      <c r="A5796" s="170" t="s">
        <v>15184</v>
      </c>
      <c r="B5796" s="170" t="s">
        <v>15185</v>
      </c>
      <c r="C5796" s="170" t="s">
        <v>870</v>
      </c>
      <c r="D5796" s="170" t="s">
        <v>1947</v>
      </c>
      <c r="E5796" s="171" t="s">
        <v>34342</v>
      </c>
      <c r="F5796" s="171" t="s">
        <v>37433</v>
      </c>
      <c r="G5796" s="82"/>
      <c r="H5796" s="96">
        <f t="shared" si="360"/>
        <v>109.38</v>
      </c>
      <c r="I5796" s="96">
        <f t="shared" si="360"/>
        <v>113.16</v>
      </c>
      <c r="J5796" s="91" t="str">
        <f t="shared" si="361"/>
        <v>Sinapi 103337</v>
      </c>
      <c r="K5796" s="91" t="str">
        <f t="shared" si="362"/>
        <v>M2</v>
      </c>
      <c r="L5796" s="166" t="str">
        <f t="shared" si="363"/>
        <v>12/2021</v>
      </c>
      <c r="M5796" s="82"/>
      <c r="N5796" s="82"/>
    </row>
    <row r="5797" spans="1:14" x14ac:dyDescent="0.25">
      <c r="A5797" s="170" t="s">
        <v>15186</v>
      </c>
      <c r="B5797" s="170" t="s">
        <v>15187</v>
      </c>
      <c r="C5797" s="170" t="s">
        <v>870</v>
      </c>
      <c r="D5797" s="170" t="s">
        <v>1947</v>
      </c>
      <c r="E5797" s="171" t="s">
        <v>34343</v>
      </c>
      <c r="F5797" s="171" t="s">
        <v>37434</v>
      </c>
      <c r="G5797" s="82"/>
      <c r="H5797" s="96">
        <f t="shared" si="360"/>
        <v>140.94</v>
      </c>
      <c r="I5797" s="96">
        <f t="shared" si="360"/>
        <v>145.97</v>
      </c>
      <c r="J5797" s="91" t="str">
        <f t="shared" si="361"/>
        <v>Sinapi 103338</v>
      </c>
      <c r="K5797" s="91" t="str">
        <f t="shared" si="362"/>
        <v>M2</v>
      </c>
      <c r="L5797" s="166" t="str">
        <f t="shared" si="363"/>
        <v>12/2021</v>
      </c>
      <c r="M5797" s="82"/>
      <c r="N5797" s="82"/>
    </row>
    <row r="5798" spans="1:14" x14ac:dyDescent="0.25">
      <c r="A5798" s="170" t="s">
        <v>15188</v>
      </c>
      <c r="B5798" s="170" t="s">
        <v>15189</v>
      </c>
      <c r="C5798" s="170" t="s">
        <v>870</v>
      </c>
      <c r="D5798" s="170" t="s">
        <v>1947</v>
      </c>
      <c r="E5798" s="171" t="s">
        <v>29762</v>
      </c>
      <c r="F5798" s="171" t="s">
        <v>37435</v>
      </c>
      <c r="G5798" s="82"/>
      <c r="H5798" s="96">
        <f t="shared" si="360"/>
        <v>141.9</v>
      </c>
      <c r="I5798" s="96">
        <f t="shared" si="360"/>
        <v>147.04</v>
      </c>
      <c r="J5798" s="91" t="str">
        <f t="shared" si="361"/>
        <v>Sinapi 103339</v>
      </c>
      <c r="K5798" s="91" t="str">
        <f t="shared" si="362"/>
        <v>M2</v>
      </c>
      <c r="L5798" s="166" t="str">
        <f t="shared" si="363"/>
        <v>12/2021</v>
      </c>
      <c r="M5798" s="82"/>
      <c r="N5798" s="82"/>
    </row>
    <row r="5799" spans="1:14" x14ac:dyDescent="0.25">
      <c r="A5799" s="170" t="s">
        <v>15190</v>
      </c>
      <c r="B5799" s="170" t="s">
        <v>15191</v>
      </c>
      <c r="C5799" s="170" t="s">
        <v>870</v>
      </c>
      <c r="D5799" s="170" t="s">
        <v>1947</v>
      </c>
      <c r="E5799" s="171" t="s">
        <v>34344</v>
      </c>
      <c r="F5799" s="171" t="s">
        <v>37436</v>
      </c>
      <c r="G5799" s="82"/>
      <c r="H5799" s="96">
        <f t="shared" si="360"/>
        <v>173.24</v>
      </c>
      <c r="I5799" s="96">
        <f t="shared" si="360"/>
        <v>178.94</v>
      </c>
      <c r="J5799" s="91" t="str">
        <f t="shared" si="361"/>
        <v>Sinapi 103340</v>
      </c>
      <c r="K5799" s="91" t="str">
        <f t="shared" si="362"/>
        <v>M2</v>
      </c>
      <c r="L5799" s="166" t="str">
        <f t="shared" si="363"/>
        <v>12/2021</v>
      </c>
      <c r="M5799" s="82"/>
      <c r="N5799" s="82"/>
    </row>
    <row r="5800" spans="1:14" x14ac:dyDescent="0.25">
      <c r="A5800" s="170" t="s">
        <v>15192</v>
      </c>
      <c r="B5800" s="170" t="s">
        <v>15193</v>
      </c>
      <c r="C5800" s="170" t="s">
        <v>870</v>
      </c>
      <c r="D5800" s="170" t="s">
        <v>1947</v>
      </c>
      <c r="E5800" s="171" t="s">
        <v>34345</v>
      </c>
      <c r="F5800" s="171" t="s">
        <v>37437</v>
      </c>
      <c r="G5800" s="82"/>
      <c r="H5800" s="96">
        <f t="shared" si="360"/>
        <v>174.45</v>
      </c>
      <c r="I5800" s="96">
        <f t="shared" si="360"/>
        <v>180.28</v>
      </c>
      <c r="J5800" s="91" t="str">
        <f t="shared" si="361"/>
        <v>Sinapi 103341</v>
      </c>
      <c r="K5800" s="91" t="str">
        <f t="shared" si="362"/>
        <v>M2</v>
      </c>
      <c r="L5800" s="166" t="str">
        <f t="shared" si="363"/>
        <v>12/2021</v>
      </c>
      <c r="M5800" s="82"/>
      <c r="N5800" s="82"/>
    </row>
    <row r="5801" spans="1:14" x14ac:dyDescent="0.25">
      <c r="A5801" s="170" t="s">
        <v>15194</v>
      </c>
      <c r="B5801" s="170" t="s">
        <v>15195</v>
      </c>
      <c r="C5801" s="170" t="s">
        <v>870</v>
      </c>
      <c r="D5801" s="170" t="s">
        <v>1947</v>
      </c>
      <c r="E5801" s="171" t="s">
        <v>34346</v>
      </c>
      <c r="F5801" s="171" t="s">
        <v>37438</v>
      </c>
      <c r="G5801" s="82"/>
      <c r="H5801" s="96">
        <f t="shared" si="360"/>
        <v>150.86000000000001</v>
      </c>
      <c r="I5801" s="96">
        <f t="shared" si="360"/>
        <v>155.27000000000001</v>
      </c>
      <c r="J5801" s="91" t="str">
        <f t="shared" si="361"/>
        <v>Sinapi 103342</v>
      </c>
      <c r="K5801" s="91" t="str">
        <f t="shared" si="362"/>
        <v>M2</v>
      </c>
      <c r="L5801" s="166" t="str">
        <f t="shared" si="363"/>
        <v>12/2021</v>
      </c>
      <c r="M5801" s="82"/>
      <c r="N5801" s="82"/>
    </row>
    <row r="5802" spans="1:14" x14ac:dyDescent="0.25">
      <c r="A5802" s="170" t="s">
        <v>15196</v>
      </c>
      <c r="B5802" s="170" t="s">
        <v>15197</v>
      </c>
      <c r="C5802" s="170" t="s">
        <v>870</v>
      </c>
      <c r="D5802" s="170" t="s">
        <v>1947</v>
      </c>
      <c r="E5802" s="171" t="s">
        <v>26616</v>
      </c>
      <c r="F5802" s="171" t="s">
        <v>37439</v>
      </c>
      <c r="G5802" s="82"/>
      <c r="H5802" s="96">
        <f t="shared" si="360"/>
        <v>151.93</v>
      </c>
      <c r="I5802" s="96">
        <f t="shared" si="360"/>
        <v>156.44</v>
      </c>
      <c r="J5802" s="91" t="str">
        <f t="shared" si="361"/>
        <v>Sinapi 103343</v>
      </c>
      <c r="K5802" s="91" t="str">
        <f t="shared" si="362"/>
        <v>M2</v>
      </c>
      <c r="L5802" s="166" t="str">
        <f t="shared" si="363"/>
        <v>12/2021</v>
      </c>
      <c r="M5802" s="82"/>
      <c r="N5802" s="82"/>
    </row>
    <row r="5803" spans="1:14" x14ac:dyDescent="0.25">
      <c r="A5803" s="170" t="s">
        <v>8342</v>
      </c>
      <c r="B5803" s="170" t="s">
        <v>18427</v>
      </c>
      <c r="C5803" s="170" t="s">
        <v>870</v>
      </c>
      <c r="D5803" s="170" t="s">
        <v>2067</v>
      </c>
      <c r="E5803" s="171" t="s">
        <v>34347</v>
      </c>
      <c r="F5803" s="171" t="s">
        <v>24267</v>
      </c>
      <c r="G5803" s="82"/>
      <c r="H5803" s="96">
        <f t="shared" si="360"/>
        <v>123.05</v>
      </c>
      <c r="I5803" s="96">
        <f t="shared" si="360"/>
        <v>125.31</v>
      </c>
      <c r="J5803" s="91" t="str">
        <f t="shared" si="361"/>
        <v>Sinapi 89453</v>
      </c>
      <c r="K5803" s="91" t="str">
        <f t="shared" si="362"/>
        <v>M2</v>
      </c>
      <c r="L5803" s="166" t="str">
        <f t="shared" si="363"/>
        <v>10/2022</v>
      </c>
      <c r="M5803" s="82"/>
      <c r="N5803" s="82"/>
    </row>
    <row r="5804" spans="1:14" x14ac:dyDescent="0.25">
      <c r="A5804" s="170" t="s">
        <v>8343</v>
      </c>
      <c r="B5804" s="170" t="s">
        <v>18428</v>
      </c>
      <c r="C5804" s="170" t="s">
        <v>870</v>
      </c>
      <c r="D5804" s="170" t="s">
        <v>2067</v>
      </c>
      <c r="E5804" s="171" t="s">
        <v>34348</v>
      </c>
      <c r="F5804" s="171" t="s">
        <v>29182</v>
      </c>
      <c r="G5804" s="82"/>
      <c r="H5804" s="96">
        <f t="shared" si="360"/>
        <v>152.94999999999999</v>
      </c>
      <c r="I5804" s="96">
        <f t="shared" si="360"/>
        <v>155.33000000000001</v>
      </c>
      <c r="J5804" s="91" t="str">
        <f t="shared" si="361"/>
        <v>Sinapi 89455</v>
      </c>
      <c r="K5804" s="91" t="str">
        <f t="shared" si="362"/>
        <v>M2</v>
      </c>
      <c r="L5804" s="166" t="str">
        <f t="shared" si="363"/>
        <v>10/2022</v>
      </c>
      <c r="M5804" s="82"/>
      <c r="N5804" s="82"/>
    </row>
    <row r="5805" spans="1:14" x14ac:dyDescent="0.25">
      <c r="A5805" s="170" t="s">
        <v>8344</v>
      </c>
      <c r="B5805" s="170" t="s">
        <v>18429</v>
      </c>
      <c r="C5805" s="170" t="s">
        <v>870</v>
      </c>
      <c r="D5805" s="170" t="s">
        <v>2067</v>
      </c>
      <c r="E5805" s="171" t="s">
        <v>34349</v>
      </c>
      <c r="F5805" s="171" t="s">
        <v>37440</v>
      </c>
      <c r="G5805" s="82"/>
      <c r="H5805" s="96">
        <f t="shared" si="360"/>
        <v>156.59</v>
      </c>
      <c r="I5805" s="96">
        <f t="shared" si="360"/>
        <v>160.22</v>
      </c>
      <c r="J5805" s="91" t="str">
        <f t="shared" si="361"/>
        <v>Sinapi 89462</v>
      </c>
      <c r="K5805" s="91" t="str">
        <f t="shared" si="362"/>
        <v>M2</v>
      </c>
      <c r="L5805" s="166" t="str">
        <f t="shared" si="363"/>
        <v>10/2022</v>
      </c>
      <c r="M5805" s="82"/>
      <c r="N5805" s="82"/>
    </row>
    <row r="5806" spans="1:14" x14ac:dyDescent="0.25">
      <c r="A5806" s="170" t="s">
        <v>8345</v>
      </c>
      <c r="B5806" s="170" t="s">
        <v>21967</v>
      </c>
      <c r="C5806" s="170" t="s">
        <v>870</v>
      </c>
      <c r="D5806" s="170" t="s">
        <v>2067</v>
      </c>
      <c r="E5806" s="171" t="s">
        <v>34350</v>
      </c>
      <c r="F5806" s="171" t="s">
        <v>37441</v>
      </c>
      <c r="G5806" s="82"/>
      <c r="H5806" s="96">
        <f t="shared" si="360"/>
        <v>188.33</v>
      </c>
      <c r="I5806" s="96">
        <f t="shared" si="360"/>
        <v>192.24</v>
      </c>
      <c r="J5806" s="91" t="str">
        <f t="shared" si="361"/>
        <v>Sinapi 89464</v>
      </c>
      <c r="K5806" s="91" t="str">
        <f t="shared" si="362"/>
        <v>M2</v>
      </c>
      <c r="L5806" s="166" t="str">
        <f t="shared" si="363"/>
        <v>10/2022</v>
      </c>
      <c r="M5806" s="82"/>
      <c r="N5806" s="82"/>
    </row>
    <row r="5807" spans="1:14" x14ac:dyDescent="0.25">
      <c r="A5807" s="170" t="s">
        <v>8346</v>
      </c>
      <c r="B5807" s="170" t="s">
        <v>18430</v>
      </c>
      <c r="C5807" s="170" t="s">
        <v>870</v>
      </c>
      <c r="D5807" s="170" t="s">
        <v>2067</v>
      </c>
      <c r="E5807" s="171" t="s">
        <v>34351</v>
      </c>
      <c r="F5807" s="171" t="s">
        <v>37442</v>
      </c>
      <c r="G5807" s="82"/>
      <c r="H5807" s="96">
        <f t="shared" si="360"/>
        <v>134.08000000000001</v>
      </c>
      <c r="I5807" s="96">
        <f t="shared" si="360"/>
        <v>137.19999999999999</v>
      </c>
      <c r="J5807" s="91" t="str">
        <f t="shared" si="361"/>
        <v>Sinapi 89470</v>
      </c>
      <c r="K5807" s="91" t="str">
        <f t="shared" si="362"/>
        <v>M2</v>
      </c>
      <c r="L5807" s="166" t="str">
        <f t="shared" si="363"/>
        <v>10/2022</v>
      </c>
      <c r="M5807" s="82"/>
      <c r="N5807" s="82"/>
    </row>
    <row r="5808" spans="1:14" x14ac:dyDescent="0.25">
      <c r="A5808" s="170" t="s">
        <v>8347</v>
      </c>
      <c r="B5808" s="170" t="s">
        <v>18431</v>
      </c>
      <c r="C5808" s="170" t="s">
        <v>870</v>
      </c>
      <c r="D5808" s="170" t="s">
        <v>2067</v>
      </c>
      <c r="E5808" s="171" t="s">
        <v>34352</v>
      </c>
      <c r="F5808" s="171" t="s">
        <v>37443</v>
      </c>
      <c r="G5808" s="82"/>
      <c r="H5808" s="96">
        <f t="shared" si="360"/>
        <v>165.11</v>
      </c>
      <c r="I5808" s="96">
        <f t="shared" si="360"/>
        <v>168.45</v>
      </c>
      <c r="J5808" s="91" t="str">
        <f t="shared" si="361"/>
        <v>Sinapi 89472</v>
      </c>
      <c r="K5808" s="91" t="str">
        <f t="shared" si="362"/>
        <v>M2</v>
      </c>
      <c r="L5808" s="166" t="str">
        <f t="shared" si="363"/>
        <v>10/2022</v>
      </c>
      <c r="M5808" s="82"/>
      <c r="N5808" s="82"/>
    </row>
    <row r="5809" spans="1:14" x14ac:dyDescent="0.25">
      <c r="A5809" s="170" t="s">
        <v>8348</v>
      </c>
      <c r="B5809" s="170" t="s">
        <v>18432</v>
      </c>
      <c r="C5809" s="170" t="s">
        <v>870</v>
      </c>
      <c r="D5809" s="170" t="s">
        <v>2067</v>
      </c>
      <c r="E5809" s="171" t="s">
        <v>34353</v>
      </c>
      <c r="F5809" s="171" t="s">
        <v>37444</v>
      </c>
      <c r="G5809" s="82"/>
      <c r="H5809" s="96">
        <f t="shared" si="360"/>
        <v>174.05</v>
      </c>
      <c r="I5809" s="96">
        <f t="shared" si="360"/>
        <v>179.23</v>
      </c>
      <c r="J5809" s="91" t="str">
        <f t="shared" si="361"/>
        <v>Sinapi 89478</v>
      </c>
      <c r="K5809" s="91" t="str">
        <f t="shared" si="362"/>
        <v>M2</v>
      </c>
      <c r="L5809" s="166" t="str">
        <f t="shared" si="363"/>
        <v>10/2022</v>
      </c>
      <c r="M5809" s="82"/>
      <c r="N5809" s="82"/>
    </row>
    <row r="5810" spans="1:14" x14ac:dyDescent="0.25">
      <c r="A5810" s="170" t="s">
        <v>8349</v>
      </c>
      <c r="B5810" s="170" t="s">
        <v>18433</v>
      </c>
      <c r="C5810" s="170" t="s">
        <v>870</v>
      </c>
      <c r="D5810" s="170" t="s">
        <v>2067</v>
      </c>
      <c r="E5810" s="171" t="s">
        <v>34354</v>
      </c>
      <c r="F5810" s="171" t="s">
        <v>37445</v>
      </c>
      <c r="G5810" s="82"/>
      <c r="H5810" s="96">
        <f t="shared" si="360"/>
        <v>206.96</v>
      </c>
      <c r="I5810" s="96">
        <f t="shared" si="360"/>
        <v>212.49</v>
      </c>
      <c r="J5810" s="91" t="str">
        <f t="shared" si="361"/>
        <v>Sinapi 89480</v>
      </c>
      <c r="K5810" s="91" t="str">
        <f t="shared" si="362"/>
        <v>M2</v>
      </c>
      <c r="L5810" s="166" t="str">
        <f t="shared" si="363"/>
        <v>10/2022</v>
      </c>
      <c r="M5810" s="82"/>
      <c r="N5810" s="82"/>
    </row>
    <row r="5811" spans="1:14" x14ac:dyDescent="0.25">
      <c r="A5811" s="170" t="s">
        <v>8350</v>
      </c>
      <c r="B5811" s="170" t="s">
        <v>8351</v>
      </c>
      <c r="C5811" s="170" t="s">
        <v>870</v>
      </c>
      <c r="D5811" s="170" t="s">
        <v>2067</v>
      </c>
      <c r="E5811" s="171" t="s">
        <v>34347</v>
      </c>
      <c r="F5811" s="171" t="s">
        <v>24267</v>
      </c>
      <c r="G5811" s="82"/>
      <c r="H5811" s="96">
        <f t="shared" si="360"/>
        <v>123.05</v>
      </c>
      <c r="I5811" s="96">
        <f t="shared" si="360"/>
        <v>125.31</v>
      </c>
      <c r="J5811" s="91" t="str">
        <f t="shared" si="361"/>
        <v>Sinapi 91815</v>
      </c>
      <c r="K5811" s="91" t="str">
        <f t="shared" si="362"/>
        <v>M2</v>
      </c>
      <c r="L5811" s="166" t="str">
        <f t="shared" si="363"/>
        <v>10/2015</v>
      </c>
      <c r="M5811" s="82"/>
      <c r="N5811" s="82"/>
    </row>
    <row r="5812" spans="1:14" x14ac:dyDescent="0.25">
      <c r="A5812" s="170" t="s">
        <v>8352</v>
      </c>
      <c r="B5812" s="170" t="s">
        <v>8353</v>
      </c>
      <c r="C5812" s="170" t="s">
        <v>870</v>
      </c>
      <c r="D5812" s="170" t="s">
        <v>2067</v>
      </c>
      <c r="E5812" s="171" t="s">
        <v>34349</v>
      </c>
      <c r="F5812" s="171" t="s">
        <v>37440</v>
      </c>
      <c r="G5812" s="82"/>
      <c r="H5812" s="96">
        <f t="shared" si="360"/>
        <v>156.59</v>
      </c>
      <c r="I5812" s="96">
        <f t="shared" si="360"/>
        <v>160.22</v>
      </c>
      <c r="J5812" s="91" t="str">
        <f t="shared" si="361"/>
        <v>Sinapi 91816</v>
      </c>
      <c r="K5812" s="91" t="str">
        <f t="shared" si="362"/>
        <v>M2</v>
      </c>
      <c r="L5812" s="166" t="str">
        <f t="shared" si="363"/>
        <v>10/2015</v>
      </c>
      <c r="M5812" s="82"/>
      <c r="N5812" s="82"/>
    </row>
    <row r="5813" spans="1:14" x14ac:dyDescent="0.25">
      <c r="A5813" s="170" t="s">
        <v>8354</v>
      </c>
      <c r="B5813" s="170" t="s">
        <v>8355</v>
      </c>
      <c r="C5813" s="170" t="s">
        <v>870</v>
      </c>
      <c r="D5813" s="170" t="s">
        <v>2067</v>
      </c>
      <c r="E5813" s="171" t="s">
        <v>32857</v>
      </c>
      <c r="F5813" s="171" t="s">
        <v>37446</v>
      </c>
      <c r="G5813" s="82"/>
      <c r="H5813" s="96">
        <f t="shared" si="360"/>
        <v>308.06</v>
      </c>
      <c r="I5813" s="96">
        <f t="shared" si="360"/>
        <v>315.89999999999998</v>
      </c>
      <c r="J5813" s="91" t="str">
        <f t="shared" si="361"/>
        <v>Sinapi 101161</v>
      </c>
      <c r="K5813" s="91" t="str">
        <f t="shared" si="362"/>
        <v>M2</v>
      </c>
      <c r="L5813" s="166" t="str">
        <f t="shared" si="363"/>
        <v>05/2020</v>
      </c>
      <c r="M5813" s="82"/>
      <c r="N5813" s="82"/>
    </row>
    <row r="5814" spans="1:14" x14ac:dyDescent="0.25">
      <c r="A5814" s="170" t="s">
        <v>8356</v>
      </c>
      <c r="B5814" s="170" t="s">
        <v>8357</v>
      </c>
      <c r="C5814" s="170" t="s">
        <v>870</v>
      </c>
      <c r="D5814" s="170" t="s">
        <v>2067</v>
      </c>
      <c r="E5814" s="171" t="s">
        <v>34355</v>
      </c>
      <c r="F5814" s="171" t="s">
        <v>37447</v>
      </c>
      <c r="G5814" s="82"/>
      <c r="H5814" s="96">
        <f t="shared" si="360"/>
        <v>880.73</v>
      </c>
      <c r="I5814" s="96">
        <f t="shared" si="360"/>
        <v>896.72</v>
      </c>
      <c r="J5814" s="91" t="str">
        <f t="shared" si="361"/>
        <v>Sinapi 101163</v>
      </c>
      <c r="K5814" s="91" t="str">
        <f t="shared" si="362"/>
        <v>M2</v>
      </c>
      <c r="L5814" s="166" t="str">
        <f t="shared" si="363"/>
        <v>05/2020</v>
      </c>
      <c r="M5814" s="82"/>
      <c r="N5814" s="82"/>
    </row>
    <row r="5815" spans="1:14" x14ac:dyDescent="0.25">
      <c r="A5815" s="170" t="s">
        <v>8358</v>
      </c>
      <c r="B5815" s="170" t="s">
        <v>8359</v>
      </c>
      <c r="C5815" s="170" t="s">
        <v>870</v>
      </c>
      <c r="D5815" s="170" t="s">
        <v>2067</v>
      </c>
      <c r="E5815" s="171" t="s">
        <v>34356</v>
      </c>
      <c r="F5815" s="171" t="s">
        <v>37448</v>
      </c>
      <c r="G5815" s="82"/>
      <c r="H5815" s="96">
        <f t="shared" si="360"/>
        <v>894.68</v>
      </c>
      <c r="I5815" s="96">
        <f t="shared" si="360"/>
        <v>910.75</v>
      </c>
      <c r="J5815" s="91" t="str">
        <f t="shared" si="361"/>
        <v>Sinapi 101164</v>
      </c>
      <c r="K5815" s="91" t="str">
        <f t="shared" si="362"/>
        <v>M2</v>
      </c>
      <c r="L5815" s="166" t="str">
        <f t="shared" si="363"/>
        <v>05/2020</v>
      </c>
      <c r="M5815" s="82"/>
      <c r="N5815" s="82"/>
    </row>
    <row r="5816" spans="1:14" x14ac:dyDescent="0.25">
      <c r="A5816" s="170" t="s">
        <v>8360</v>
      </c>
      <c r="B5816" s="170" t="s">
        <v>28947</v>
      </c>
      <c r="C5816" s="170" t="s">
        <v>870</v>
      </c>
      <c r="D5816" s="170" t="s">
        <v>1947</v>
      </c>
      <c r="E5816" s="171" t="s">
        <v>34357</v>
      </c>
      <c r="F5816" s="171" t="s">
        <v>37449</v>
      </c>
      <c r="G5816" s="82"/>
      <c r="H5816" s="96">
        <f t="shared" si="360"/>
        <v>136.81</v>
      </c>
      <c r="I5816" s="96">
        <f t="shared" si="360"/>
        <v>138.38999999999999</v>
      </c>
      <c r="J5816" s="91" t="str">
        <f t="shared" si="361"/>
        <v>Sinapi 96358</v>
      </c>
      <c r="K5816" s="91" t="str">
        <f t="shared" si="362"/>
        <v>M2</v>
      </c>
      <c r="L5816" s="166" t="str">
        <f t="shared" si="363"/>
        <v>07/2023</v>
      </c>
      <c r="M5816" s="82"/>
      <c r="N5816" s="82"/>
    </row>
    <row r="5817" spans="1:14" x14ac:dyDescent="0.25">
      <c r="A5817" s="170" t="s">
        <v>8361</v>
      </c>
      <c r="B5817" s="170" t="s">
        <v>28948</v>
      </c>
      <c r="C5817" s="170" t="s">
        <v>870</v>
      </c>
      <c r="D5817" s="170" t="s">
        <v>1947</v>
      </c>
      <c r="E5817" s="171" t="s">
        <v>28486</v>
      </c>
      <c r="F5817" s="171" t="s">
        <v>34339</v>
      </c>
      <c r="G5817" s="82"/>
      <c r="H5817" s="96">
        <f t="shared" si="360"/>
        <v>153.44999999999999</v>
      </c>
      <c r="I5817" s="96">
        <f t="shared" si="360"/>
        <v>155.25</v>
      </c>
      <c r="J5817" s="91" t="str">
        <f t="shared" si="361"/>
        <v>Sinapi 96359</v>
      </c>
      <c r="K5817" s="91" t="str">
        <f t="shared" si="362"/>
        <v>M2</v>
      </c>
      <c r="L5817" s="166" t="str">
        <f t="shared" si="363"/>
        <v>07/2023</v>
      </c>
      <c r="M5817" s="82"/>
      <c r="N5817" s="82"/>
    </row>
    <row r="5818" spans="1:14" x14ac:dyDescent="0.25">
      <c r="A5818" s="170" t="s">
        <v>8362</v>
      </c>
      <c r="B5818" s="170" t="s">
        <v>28950</v>
      </c>
      <c r="C5818" s="170" t="s">
        <v>870</v>
      </c>
      <c r="D5818" s="170" t="s">
        <v>1947</v>
      </c>
      <c r="E5818" s="171" t="s">
        <v>34358</v>
      </c>
      <c r="F5818" s="171" t="s">
        <v>37450</v>
      </c>
      <c r="G5818" s="82"/>
      <c r="H5818" s="96">
        <f t="shared" si="360"/>
        <v>180.27</v>
      </c>
      <c r="I5818" s="96">
        <f t="shared" si="360"/>
        <v>182.13</v>
      </c>
      <c r="J5818" s="91" t="str">
        <f t="shared" si="361"/>
        <v>Sinapi 96360</v>
      </c>
      <c r="K5818" s="91" t="str">
        <f t="shared" si="362"/>
        <v>M2</v>
      </c>
      <c r="L5818" s="166" t="str">
        <f t="shared" si="363"/>
        <v>07/2023</v>
      </c>
      <c r="M5818" s="82"/>
      <c r="N5818" s="82"/>
    </row>
    <row r="5819" spans="1:14" x14ac:dyDescent="0.25">
      <c r="A5819" s="170" t="s">
        <v>8363</v>
      </c>
      <c r="B5819" s="170" t="s">
        <v>28951</v>
      </c>
      <c r="C5819" s="170" t="s">
        <v>870</v>
      </c>
      <c r="D5819" s="170" t="s">
        <v>1947</v>
      </c>
      <c r="E5819" s="171" t="s">
        <v>34359</v>
      </c>
      <c r="F5819" s="171" t="s">
        <v>37451</v>
      </c>
      <c r="G5819" s="82"/>
      <c r="H5819" s="96">
        <f t="shared" si="360"/>
        <v>212.59</v>
      </c>
      <c r="I5819" s="96">
        <f t="shared" si="360"/>
        <v>214.79</v>
      </c>
      <c r="J5819" s="91" t="str">
        <f t="shared" si="361"/>
        <v>Sinapi 96361</v>
      </c>
      <c r="K5819" s="91" t="str">
        <f t="shared" si="362"/>
        <v>M2</v>
      </c>
      <c r="L5819" s="166" t="str">
        <f t="shared" si="363"/>
        <v>07/2023</v>
      </c>
      <c r="M5819" s="82"/>
      <c r="N5819" s="82"/>
    </row>
    <row r="5820" spans="1:14" x14ac:dyDescent="0.25">
      <c r="A5820" s="170" t="s">
        <v>8364</v>
      </c>
      <c r="B5820" s="170" t="s">
        <v>28952</v>
      </c>
      <c r="C5820" s="170" t="s">
        <v>870</v>
      </c>
      <c r="D5820" s="170" t="s">
        <v>1947</v>
      </c>
      <c r="E5820" s="171" t="s">
        <v>34360</v>
      </c>
      <c r="F5820" s="171" t="s">
        <v>37452</v>
      </c>
      <c r="G5820" s="82"/>
      <c r="H5820" s="96">
        <f t="shared" si="360"/>
        <v>177.74</v>
      </c>
      <c r="I5820" s="96">
        <f t="shared" si="360"/>
        <v>179.6</v>
      </c>
      <c r="J5820" s="91" t="str">
        <f t="shared" si="361"/>
        <v>Sinapi 96362</v>
      </c>
      <c r="K5820" s="91" t="str">
        <f t="shared" si="362"/>
        <v>M2</v>
      </c>
      <c r="L5820" s="166" t="str">
        <f t="shared" si="363"/>
        <v>07/2023</v>
      </c>
      <c r="M5820" s="82"/>
      <c r="N5820" s="82"/>
    </row>
    <row r="5821" spans="1:14" x14ac:dyDescent="0.25">
      <c r="A5821" s="170" t="s">
        <v>8365</v>
      </c>
      <c r="B5821" s="170" t="s">
        <v>28953</v>
      </c>
      <c r="C5821" s="170" t="s">
        <v>870</v>
      </c>
      <c r="D5821" s="170" t="s">
        <v>1947</v>
      </c>
      <c r="E5821" s="171" t="s">
        <v>29018</v>
      </c>
      <c r="F5821" s="171" t="s">
        <v>37453</v>
      </c>
      <c r="G5821" s="82"/>
      <c r="H5821" s="96">
        <f t="shared" si="360"/>
        <v>194.86</v>
      </c>
      <c r="I5821" s="96">
        <f t="shared" si="360"/>
        <v>196.99</v>
      </c>
      <c r="J5821" s="91" t="str">
        <f t="shared" si="361"/>
        <v>Sinapi 96363</v>
      </c>
      <c r="K5821" s="91" t="str">
        <f t="shared" si="362"/>
        <v>M2</v>
      </c>
      <c r="L5821" s="166" t="str">
        <f t="shared" si="363"/>
        <v>07/2023</v>
      </c>
      <c r="M5821" s="82"/>
      <c r="N5821" s="82"/>
    </row>
    <row r="5822" spans="1:14" x14ac:dyDescent="0.25">
      <c r="A5822" s="170" t="s">
        <v>8366</v>
      </c>
      <c r="B5822" s="170" t="s">
        <v>28954</v>
      </c>
      <c r="C5822" s="170" t="s">
        <v>870</v>
      </c>
      <c r="D5822" s="170" t="s">
        <v>1947</v>
      </c>
      <c r="E5822" s="171" t="s">
        <v>23603</v>
      </c>
      <c r="F5822" s="171" t="s">
        <v>37454</v>
      </c>
      <c r="G5822" s="82"/>
      <c r="H5822" s="96">
        <f t="shared" si="360"/>
        <v>221.2</v>
      </c>
      <c r="I5822" s="96">
        <f t="shared" si="360"/>
        <v>223.34</v>
      </c>
      <c r="J5822" s="91" t="str">
        <f t="shared" si="361"/>
        <v>Sinapi 96364</v>
      </c>
      <c r="K5822" s="91" t="str">
        <f t="shared" si="362"/>
        <v>M2</v>
      </c>
      <c r="L5822" s="166" t="str">
        <f t="shared" si="363"/>
        <v>07/2023</v>
      </c>
      <c r="M5822" s="82"/>
      <c r="N5822" s="82"/>
    </row>
    <row r="5823" spans="1:14" x14ac:dyDescent="0.25">
      <c r="A5823" s="170" t="s">
        <v>8367</v>
      </c>
      <c r="B5823" s="170" t="s">
        <v>28955</v>
      </c>
      <c r="C5823" s="170" t="s">
        <v>870</v>
      </c>
      <c r="D5823" s="170" t="s">
        <v>1947</v>
      </c>
      <c r="E5823" s="171" t="s">
        <v>34361</v>
      </c>
      <c r="F5823" s="171" t="s">
        <v>37455</v>
      </c>
      <c r="G5823" s="82"/>
      <c r="H5823" s="96">
        <f t="shared" si="360"/>
        <v>254.02</v>
      </c>
      <c r="I5823" s="96">
        <f t="shared" si="360"/>
        <v>256.55</v>
      </c>
      <c r="J5823" s="91" t="str">
        <f t="shared" si="361"/>
        <v>Sinapi 96365</v>
      </c>
      <c r="K5823" s="91" t="str">
        <f t="shared" si="362"/>
        <v>M2</v>
      </c>
      <c r="L5823" s="166" t="str">
        <f t="shared" si="363"/>
        <v>07/2023</v>
      </c>
      <c r="M5823" s="82"/>
      <c r="N5823" s="82"/>
    </row>
    <row r="5824" spans="1:14" x14ac:dyDescent="0.25">
      <c r="A5824" s="170" t="s">
        <v>8368</v>
      </c>
      <c r="B5824" s="170" t="s">
        <v>28956</v>
      </c>
      <c r="C5824" s="170" t="s">
        <v>870</v>
      </c>
      <c r="D5824" s="170" t="s">
        <v>1947</v>
      </c>
      <c r="E5824" s="171" t="s">
        <v>34362</v>
      </c>
      <c r="F5824" s="171" t="s">
        <v>37456</v>
      </c>
      <c r="G5824" s="82"/>
      <c r="H5824" s="96">
        <f t="shared" si="360"/>
        <v>218.68</v>
      </c>
      <c r="I5824" s="96">
        <f t="shared" si="360"/>
        <v>220.82</v>
      </c>
      <c r="J5824" s="91" t="str">
        <f t="shared" si="361"/>
        <v>Sinapi 96366</v>
      </c>
      <c r="K5824" s="91" t="str">
        <f t="shared" si="362"/>
        <v>M2</v>
      </c>
      <c r="L5824" s="166" t="str">
        <f t="shared" si="363"/>
        <v>07/2023</v>
      </c>
      <c r="M5824" s="82"/>
      <c r="N5824" s="82"/>
    </row>
    <row r="5825" spans="1:14" x14ac:dyDescent="0.25">
      <c r="A5825" s="170" t="s">
        <v>8369</v>
      </c>
      <c r="B5825" s="170" t="s">
        <v>28957</v>
      </c>
      <c r="C5825" s="170" t="s">
        <v>870</v>
      </c>
      <c r="D5825" s="170" t="s">
        <v>1947</v>
      </c>
      <c r="E5825" s="171" t="s">
        <v>34363</v>
      </c>
      <c r="F5825" s="171" t="s">
        <v>29547</v>
      </c>
      <c r="G5825" s="82"/>
      <c r="H5825" s="96">
        <f t="shared" si="360"/>
        <v>236.27</v>
      </c>
      <c r="I5825" s="96">
        <f t="shared" si="360"/>
        <v>238.75</v>
      </c>
      <c r="J5825" s="91" t="str">
        <f t="shared" si="361"/>
        <v>Sinapi 96367</v>
      </c>
      <c r="K5825" s="91" t="str">
        <f t="shared" si="362"/>
        <v>M2</v>
      </c>
      <c r="L5825" s="166" t="str">
        <f t="shared" si="363"/>
        <v>07/2023</v>
      </c>
      <c r="M5825" s="82"/>
      <c r="N5825" s="82"/>
    </row>
    <row r="5826" spans="1:14" x14ac:dyDescent="0.25">
      <c r="A5826" s="170" t="s">
        <v>8370</v>
      </c>
      <c r="B5826" s="170" t="s">
        <v>28959</v>
      </c>
      <c r="C5826" s="170" t="s">
        <v>870</v>
      </c>
      <c r="D5826" s="170" t="s">
        <v>1947</v>
      </c>
      <c r="E5826" s="171" t="s">
        <v>34364</v>
      </c>
      <c r="F5826" s="171" t="s">
        <v>37457</v>
      </c>
      <c r="G5826" s="82"/>
      <c r="H5826" s="96">
        <f t="shared" si="360"/>
        <v>262.16000000000003</v>
      </c>
      <c r="I5826" s="96">
        <f t="shared" si="360"/>
        <v>264.58</v>
      </c>
      <c r="J5826" s="91" t="str">
        <f t="shared" si="361"/>
        <v>Sinapi 96368</v>
      </c>
      <c r="K5826" s="91" t="str">
        <f t="shared" si="362"/>
        <v>M2</v>
      </c>
      <c r="L5826" s="166" t="str">
        <f t="shared" si="363"/>
        <v>07/2023</v>
      </c>
      <c r="M5826" s="82"/>
      <c r="N5826" s="82"/>
    </row>
    <row r="5827" spans="1:14" x14ac:dyDescent="0.25">
      <c r="A5827" s="170" t="s">
        <v>8371</v>
      </c>
      <c r="B5827" s="170" t="s">
        <v>28960</v>
      </c>
      <c r="C5827" s="170" t="s">
        <v>870</v>
      </c>
      <c r="D5827" s="170" t="s">
        <v>1947</v>
      </c>
      <c r="E5827" s="171" t="s">
        <v>34365</v>
      </c>
      <c r="F5827" s="171" t="s">
        <v>37458</v>
      </c>
      <c r="G5827" s="82"/>
      <c r="H5827" s="96">
        <f t="shared" si="360"/>
        <v>295.44</v>
      </c>
      <c r="I5827" s="96">
        <f t="shared" si="360"/>
        <v>298.3</v>
      </c>
      <c r="J5827" s="91" t="str">
        <f t="shared" si="361"/>
        <v>Sinapi 96369</v>
      </c>
      <c r="K5827" s="91" t="str">
        <f t="shared" si="362"/>
        <v>M2</v>
      </c>
      <c r="L5827" s="166" t="str">
        <f t="shared" si="363"/>
        <v>07/2023</v>
      </c>
      <c r="M5827" s="82"/>
      <c r="N5827" s="82"/>
    </row>
    <row r="5828" spans="1:14" x14ac:dyDescent="0.25">
      <c r="A5828" s="170" t="s">
        <v>8372</v>
      </c>
      <c r="B5828" s="170" t="s">
        <v>28961</v>
      </c>
      <c r="C5828" s="170" t="s">
        <v>870</v>
      </c>
      <c r="D5828" s="170" t="s">
        <v>1947</v>
      </c>
      <c r="E5828" s="171" t="s">
        <v>34366</v>
      </c>
      <c r="F5828" s="171" t="s">
        <v>26624</v>
      </c>
      <c r="G5828" s="82"/>
      <c r="H5828" s="96">
        <f t="shared" si="360"/>
        <v>91.12</v>
      </c>
      <c r="I5828" s="96">
        <f t="shared" si="360"/>
        <v>92.16</v>
      </c>
      <c r="J5828" s="91" t="str">
        <f t="shared" si="361"/>
        <v>Sinapi 96370</v>
      </c>
      <c r="K5828" s="91" t="str">
        <f t="shared" si="362"/>
        <v>M2</v>
      </c>
      <c r="L5828" s="166" t="str">
        <f t="shared" si="363"/>
        <v>07/2023</v>
      </c>
      <c r="M5828" s="82"/>
      <c r="N5828" s="82"/>
    </row>
    <row r="5829" spans="1:14" x14ac:dyDescent="0.25">
      <c r="A5829" s="170" t="s">
        <v>8373</v>
      </c>
      <c r="B5829" s="170" t="s">
        <v>28962</v>
      </c>
      <c r="C5829" s="170" t="s">
        <v>870</v>
      </c>
      <c r="D5829" s="170" t="s">
        <v>1947</v>
      </c>
      <c r="E5829" s="171" t="s">
        <v>34367</v>
      </c>
      <c r="F5829" s="171" t="s">
        <v>37459</v>
      </c>
      <c r="G5829" s="82"/>
      <c r="H5829" s="96">
        <f t="shared" si="360"/>
        <v>107.27</v>
      </c>
      <c r="I5829" s="96">
        <f t="shared" si="360"/>
        <v>108.47</v>
      </c>
      <c r="J5829" s="91" t="str">
        <f t="shared" si="361"/>
        <v>Sinapi 96371</v>
      </c>
      <c r="K5829" s="91" t="str">
        <f t="shared" si="362"/>
        <v>M2</v>
      </c>
      <c r="L5829" s="166" t="str">
        <f t="shared" si="363"/>
        <v>07/2023</v>
      </c>
      <c r="M5829" s="82"/>
      <c r="N5829" s="82"/>
    </row>
    <row r="5830" spans="1:14" x14ac:dyDescent="0.25">
      <c r="A5830" s="170" t="s">
        <v>8374</v>
      </c>
      <c r="B5830" s="170" t="s">
        <v>28963</v>
      </c>
      <c r="C5830" s="170" t="s">
        <v>385</v>
      </c>
      <c r="D5830" s="170" t="s">
        <v>1947</v>
      </c>
      <c r="E5830" s="171" t="s">
        <v>22767</v>
      </c>
      <c r="F5830" s="171" t="s">
        <v>15638</v>
      </c>
      <c r="G5830" s="82"/>
      <c r="H5830" s="96">
        <f t="shared" si="360"/>
        <v>16.23</v>
      </c>
      <c r="I5830" s="96">
        <f t="shared" si="360"/>
        <v>16.43</v>
      </c>
      <c r="J5830" s="91" t="str">
        <f t="shared" si="361"/>
        <v>Sinapi 96373</v>
      </c>
      <c r="K5830" s="91" t="str">
        <f t="shared" si="362"/>
        <v>M</v>
      </c>
      <c r="L5830" s="166" t="str">
        <f t="shared" si="363"/>
        <v>07/2023</v>
      </c>
      <c r="M5830" s="82"/>
      <c r="N5830" s="82"/>
    </row>
    <row r="5831" spans="1:14" x14ac:dyDescent="0.25">
      <c r="A5831" s="170" t="s">
        <v>8375</v>
      </c>
      <c r="B5831" s="170" t="s">
        <v>28964</v>
      </c>
      <c r="C5831" s="170" t="s">
        <v>385</v>
      </c>
      <c r="D5831" s="170" t="s">
        <v>1947</v>
      </c>
      <c r="E5831" s="171" t="s">
        <v>28812</v>
      </c>
      <c r="F5831" s="171" t="s">
        <v>19368</v>
      </c>
      <c r="G5831" s="82"/>
      <c r="H5831" s="96">
        <f t="shared" si="360"/>
        <v>25.54</v>
      </c>
      <c r="I5831" s="96">
        <f t="shared" si="360"/>
        <v>25.79</v>
      </c>
      <c r="J5831" s="91" t="str">
        <f t="shared" si="361"/>
        <v>Sinapi 96374</v>
      </c>
      <c r="K5831" s="91" t="str">
        <f t="shared" si="362"/>
        <v>M</v>
      </c>
      <c r="L5831" s="166" t="str">
        <f t="shared" si="363"/>
        <v>07/2023</v>
      </c>
      <c r="M5831" s="82"/>
      <c r="N5831" s="82"/>
    </row>
    <row r="5832" spans="1:14" x14ac:dyDescent="0.25">
      <c r="A5832" s="170" t="s">
        <v>12755</v>
      </c>
      <c r="B5832" s="170" t="s">
        <v>21288</v>
      </c>
      <c r="C5832" s="170" t="s">
        <v>870</v>
      </c>
      <c r="D5832" s="170" t="s">
        <v>1947</v>
      </c>
      <c r="E5832" s="171" t="s">
        <v>34368</v>
      </c>
      <c r="F5832" s="171" t="s">
        <v>30243</v>
      </c>
      <c r="G5832" s="82"/>
      <c r="H5832" s="96">
        <f t="shared" ref="H5832:I5895" si="364">IF(E5832="","",E5832+0)</f>
        <v>700.32</v>
      </c>
      <c r="I5832" s="96">
        <f t="shared" si="364"/>
        <v>706.48</v>
      </c>
      <c r="J5832" s="91" t="str">
        <f t="shared" ref="J5832:J5895" si="365">IF(OR(H5832="",I5832=""),"",TRIM(CONCATENATE("Sinapi ",A5832)))</f>
        <v>Sinapi 102235</v>
      </c>
      <c r="K5832" s="91" t="str">
        <f t="shared" ref="K5832:K5895" si="366">TRIM(C5832)</f>
        <v>M2</v>
      </c>
      <c r="L5832" s="166" t="str">
        <f t="shared" ref="L5832:L5895" si="367">IF(OR(RIGHT(IF(AND(K5832&lt;&gt;"H",K5832&lt;&gt;"MES"),RIGHT(B5832,7),""),2)="PS",RIGHT(IF(AND(K5832&lt;&gt;"H",K5832&lt;&gt;"MES"),RIGHT(B5832,7),""),2)="PA",RIGHT(IF(AND(K5832&lt;&gt;"H",K5832&lt;&gt;"MES"),RIGHT(B5832,7),""),2)="PE"),LEFT(IF(AND(K5832&lt;&gt;"H",K5832&lt;&gt;"MES"),RIGHT(B5832,10),""),7),IF(AND(K5832&lt;&gt;"H",K5832&lt;&gt;"MES"),RIGHT(B5832,7),""))</f>
        <v>01/2021</v>
      </c>
      <c r="M5832" s="82"/>
      <c r="N5832" s="82"/>
    </row>
    <row r="5833" spans="1:14" x14ac:dyDescent="0.25">
      <c r="A5833" s="170" t="s">
        <v>12756</v>
      </c>
      <c r="B5833" s="170" t="s">
        <v>12757</v>
      </c>
      <c r="C5833" s="170" t="s">
        <v>870</v>
      </c>
      <c r="D5833" s="170" t="s">
        <v>2067</v>
      </c>
      <c r="E5833" s="171" t="s">
        <v>34369</v>
      </c>
      <c r="F5833" s="171" t="s">
        <v>37460</v>
      </c>
      <c r="G5833" s="82"/>
      <c r="H5833" s="96">
        <f t="shared" si="364"/>
        <v>1512.27</v>
      </c>
      <c r="I5833" s="96">
        <f t="shared" si="364"/>
        <v>1520.69</v>
      </c>
      <c r="J5833" s="91" t="str">
        <f t="shared" si="365"/>
        <v>Sinapi 102253</v>
      </c>
      <c r="K5833" s="91" t="str">
        <f t="shared" si="366"/>
        <v>M2</v>
      </c>
      <c r="L5833" s="166" t="str">
        <f t="shared" si="367"/>
        <v>01/2021</v>
      </c>
      <c r="M5833" s="82"/>
      <c r="N5833" s="82"/>
    </row>
    <row r="5834" spans="1:14" x14ac:dyDescent="0.25">
      <c r="A5834" s="170" t="s">
        <v>12758</v>
      </c>
      <c r="B5834" s="170" t="s">
        <v>12759</v>
      </c>
      <c r="C5834" s="170" t="s">
        <v>870</v>
      </c>
      <c r="D5834" s="170" t="s">
        <v>2067</v>
      </c>
      <c r="E5834" s="171" t="s">
        <v>34370</v>
      </c>
      <c r="F5834" s="171" t="s">
        <v>37461</v>
      </c>
      <c r="G5834" s="82"/>
      <c r="H5834" s="96">
        <f t="shared" si="364"/>
        <v>1307.3800000000001</v>
      </c>
      <c r="I5834" s="96">
        <f t="shared" si="364"/>
        <v>1315.8</v>
      </c>
      <c r="J5834" s="91" t="str">
        <f t="shared" si="365"/>
        <v>Sinapi 102254</v>
      </c>
      <c r="K5834" s="91" t="str">
        <f t="shared" si="366"/>
        <v>M2</v>
      </c>
      <c r="L5834" s="166" t="str">
        <f t="shared" si="367"/>
        <v>01/2021</v>
      </c>
      <c r="M5834" s="82"/>
      <c r="N5834" s="82"/>
    </row>
    <row r="5835" spans="1:14" x14ac:dyDescent="0.25">
      <c r="A5835" s="170" t="s">
        <v>12760</v>
      </c>
      <c r="B5835" s="170" t="s">
        <v>12761</v>
      </c>
      <c r="C5835" s="170" t="s">
        <v>870</v>
      </c>
      <c r="D5835" s="170" t="s">
        <v>2067</v>
      </c>
      <c r="E5835" s="171" t="s">
        <v>34371</v>
      </c>
      <c r="F5835" s="171" t="s">
        <v>37462</v>
      </c>
      <c r="G5835" s="82"/>
      <c r="H5835" s="96">
        <f t="shared" si="364"/>
        <v>1485.43</v>
      </c>
      <c r="I5835" s="96">
        <f t="shared" si="364"/>
        <v>1501.68</v>
      </c>
      <c r="J5835" s="91" t="str">
        <f t="shared" si="365"/>
        <v>Sinapi 102255</v>
      </c>
      <c r="K5835" s="91" t="str">
        <f t="shared" si="366"/>
        <v>M2</v>
      </c>
      <c r="L5835" s="166" t="str">
        <f t="shared" si="367"/>
        <v>01/2021</v>
      </c>
      <c r="M5835" s="82"/>
      <c r="N5835" s="82"/>
    </row>
    <row r="5836" spans="1:14" x14ac:dyDescent="0.25">
      <c r="A5836" s="170" t="s">
        <v>12762</v>
      </c>
      <c r="B5836" s="170" t="s">
        <v>12763</v>
      </c>
      <c r="C5836" s="170" t="s">
        <v>870</v>
      </c>
      <c r="D5836" s="170" t="s">
        <v>2067</v>
      </c>
      <c r="E5836" s="171" t="s">
        <v>34372</v>
      </c>
      <c r="F5836" s="171" t="s">
        <v>35994</v>
      </c>
      <c r="G5836" s="82"/>
      <c r="H5836" s="96">
        <f t="shared" si="364"/>
        <v>1290.29</v>
      </c>
      <c r="I5836" s="96">
        <f t="shared" si="364"/>
        <v>1306.54</v>
      </c>
      <c r="J5836" s="91" t="str">
        <f t="shared" si="365"/>
        <v>Sinapi 102256</v>
      </c>
      <c r="K5836" s="91" t="str">
        <f t="shared" si="366"/>
        <v>M2</v>
      </c>
      <c r="L5836" s="166" t="str">
        <f t="shared" si="367"/>
        <v>01/2021</v>
      </c>
      <c r="M5836" s="82"/>
      <c r="N5836" s="82"/>
    </row>
    <row r="5837" spans="1:14" x14ac:dyDescent="0.25">
      <c r="A5837" s="170" t="s">
        <v>12764</v>
      </c>
      <c r="B5837" s="170" t="s">
        <v>12765</v>
      </c>
      <c r="C5837" s="170" t="s">
        <v>870</v>
      </c>
      <c r="D5837" s="170" t="s">
        <v>1947</v>
      </c>
      <c r="E5837" s="171" t="s">
        <v>34373</v>
      </c>
      <c r="F5837" s="171" t="s">
        <v>37463</v>
      </c>
      <c r="G5837" s="82"/>
      <c r="H5837" s="96">
        <f t="shared" si="364"/>
        <v>317.51</v>
      </c>
      <c r="I5837" s="96">
        <f t="shared" si="364"/>
        <v>325.08999999999997</v>
      </c>
      <c r="J5837" s="91" t="str">
        <f t="shared" si="365"/>
        <v>Sinapi 102257</v>
      </c>
      <c r="K5837" s="91" t="str">
        <f t="shared" si="366"/>
        <v>M2</v>
      </c>
      <c r="L5837" s="166" t="str">
        <f t="shared" si="367"/>
        <v>01/2021</v>
      </c>
      <c r="M5837" s="82"/>
      <c r="N5837" s="82"/>
    </row>
    <row r="5838" spans="1:14" x14ac:dyDescent="0.25">
      <c r="A5838" s="170" t="s">
        <v>12766</v>
      </c>
      <c r="B5838" s="170" t="s">
        <v>12767</v>
      </c>
      <c r="C5838" s="170" t="s">
        <v>870</v>
      </c>
      <c r="D5838" s="170" t="s">
        <v>1947</v>
      </c>
      <c r="E5838" s="171" t="s">
        <v>34374</v>
      </c>
      <c r="F5838" s="171" t="s">
        <v>37464</v>
      </c>
      <c r="G5838" s="82"/>
      <c r="H5838" s="96">
        <f t="shared" si="364"/>
        <v>341.42</v>
      </c>
      <c r="I5838" s="96">
        <f t="shared" si="364"/>
        <v>356.2</v>
      </c>
      <c r="J5838" s="91" t="str">
        <f t="shared" si="365"/>
        <v>Sinapi 102258</v>
      </c>
      <c r="K5838" s="91" t="str">
        <f t="shared" si="366"/>
        <v>M2</v>
      </c>
      <c r="L5838" s="166" t="str">
        <f t="shared" si="367"/>
        <v>01/2021</v>
      </c>
      <c r="M5838" s="82"/>
      <c r="N5838" s="82"/>
    </row>
    <row r="5839" spans="1:14" x14ac:dyDescent="0.25">
      <c r="A5839" s="170" t="s">
        <v>28965</v>
      </c>
      <c r="B5839" s="170" t="s">
        <v>28966</v>
      </c>
      <c r="C5839" s="170" t="s">
        <v>870</v>
      </c>
      <c r="D5839" s="170" t="s">
        <v>1947</v>
      </c>
      <c r="E5839" s="171" t="s">
        <v>34375</v>
      </c>
      <c r="F5839" s="171" t="s">
        <v>37465</v>
      </c>
      <c r="G5839" s="82"/>
      <c r="H5839" s="96">
        <f t="shared" si="364"/>
        <v>182.55</v>
      </c>
      <c r="I5839" s="96">
        <f t="shared" si="364"/>
        <v>184.82</v>
      </c>
      <c r="J5839" s="91" t="str">
        <f t="shared" si="365"/>
        <v>Sinapi 104718</v>
      </c>
      <c r="K5839" s="91" t="str">
        <f t="shared" si="366"/>
        <v>M2</v>
      </c>
      <c r="L5839" s="166" t="str">
        <f t="shared" si="367"/>
        <v>07/2023</v>
      </c>
      <c r="M5839" s="82"/>
      <c r="N5839" s="82"/>
    </row>
    <row r="5840" spans="1:14" x14ac:dyDescent="0.25">
      <c r="A5840" s="170" t="s">
        <v>28967</v>
      </c>
      <c r="B5840" s="170" t="s">
        <v>28968</v>
      </c>
      <c r="C5840" s="170" t="s">
        <v>870</v>
      </c>
      <c r="D5840" s="170" t="s">
        <v>1947</v>
      </c>
      <c r="E5840" s="171" t="s">
        <v>34376</v>
      </c>
      <c r="F5840" s="171" t="s">
        <v>37466</v>
      </c>
      <c r="G5840" s="82"/>
      <c r="H5840" s="96">
        <f t="shared" si="364"/>
        <v>268.31</v>
      </c>
      <c r="I5840" s="96">
        <f t="shared" si="364"/>
        <v>271.20999999999998</v>
      </c>
      <c r="J5840" s="91" t="str">
        <f t="shared" si="365"/>
        <v>Sinapi 104719</v>
      </c>
      <c r="K5840" s="91" t="str">
        <f t="shared" si="366"/>
        <v>M2</v>
      </c>
      <c r="L5840" s="166" t="str">
        <f t="shared" si="367"/>
        <v>07/2023</v>
      </c>
      <c r="M5840" s="82"/>
      <c r="N5840" s="82"/>
    </row>
    <row r="5841" spans="1:14" x14ac:dyDescent="0.25">
      <c r="A5841" s="170" t="s">
        <v>28969</v>
      </c>
      <c r="B5841" s="170" t="s">
        <v>28970</v>
      </c>
      <c r="C5841" s="170" t="s">
        <v>870</v>
      </c>
      <c r="D5841" s="170" t="s">
        <v>1947</v>
      </c>
      <c r="E5841" s="171" t="s">
        <v>34377</v>
      </c>
      <c r="F5841" s="171" t="s">
        <v>37467</v>
      </c>
      <c r="G5841" s="82"/>
      <c r="H5841" s="96">
        <f t="shared" si="364"/>
        <v>224.9</v>
      </c>
      <c r="I5841" s="96">
        <f t="shared" si="364"/>
        <v>227.62</v>
      </c>
      <c r="J5841" s="91" t="str">
        <f t="shared" si="365"/>
        <v>Sinapi 104720</v>
      </c>
      <c r="K5841" s="91" t="str">
        <f t="shared" si="366"/>
        <v>M2</v>
      </c>
      <c r="L5841" s="166" t="str">
        <f t="shared" si="367"/>
        <v>07/2023</v>
      </c>
      <c r="M5841" s="82"/>
      <c r="N5841" s="82"/>
    </row>
    <row r="5842" spans="1:14" x14ac:dyDescent="0.25">
      <c r="A5842" s="170" t="s">
        <v>28971</v>
      </c>
      <c r="B5842" s="170" t="s">
        <v>28972</v>
      </c>
      <c r="C5842" s="170" t="s">
        <v>870</v>
      </c>
      <c r="D5842" s="170" t="s">
        <v>1947</v>
      </c>
      <c r="E5842" s="171" t="s">
        <v>34378</v>
      </c>
      <c r="F5842" s="171" t="s">
        <v>37468</v>
      </c>
      <c r="G5842" s="82"/>
      <c r="H5842" s="96">
        <f t="shared" si="364"/>
        <v>310.67</v>
      </c>
      <c r="I5842" s="96">
        <f t="shared" si="364"/>
        <v>314.01</v>
      </c>
      <c r="J5842" s="91" t="str">
        <f t="shared" si="365"/>
        <v>Sinapi 104721</v>
      </c>
      <c r="K5842" s="91" t="str">
        <f t="shared" si="366"/>
        <v>M2</v>
      </c>
      <c r="L5842" s="166" t="str">
        <f t="shared" si="367"/>
        <v>07/2023</v>
      </c>
      <c r="M5842" s="82"/>
      <c r="N5842" s="82"/>
    </row>
    <row r="5843" spans="1:14" x14ac:dyDescent="0.25">
      <c r="A5843" s="170" t="s">
        <v>28973</v>
      </c>
      <c r="B5843" s="170" t="s">
        <v>28974</v>
      </c>
      <c r="C5843" s="170" t="s">
        <v>870</v>
      </c>
      <c r="D5843" s="170" t="s">
        <v>1947</v>
      </c>
      <c r="E5843" s="171" t="s">
        <v>34379</v>
      </c>
      <c r="F5843" s="171" t="s">
        <v>36338</v>
      </c>
      <c r="G5843" s="82"/>
      <c r="H5843" s="96">
        <f t="shared" si="364"/>
        <v>267.27</v>
      </c>
      <c r="I5843" s="96">
        <f t="shared" si="364"/>
        <v>270.44</v>
      </c>
      <c r="J5843" s="91" t="str">
        <f t="shared" si="365"/>
        <v>Sinapi 104722</v>
      </c>
      <c r="K5843" s="91" t="str">
        <f t="shared" si="366"/>
        <v>M2</v>
      </c>
      <c r="L5843" s="166" t="str">
        <f t="shared" si="367"/>
        <v>07/2023</v>
      </c>
      <c r="M5843" s="82"/>
      <c r="N5843" s="82"/>
    </row>
    <row r="5844" spans="1:14" x14ac:dyDescent="0.25">
      <c r="A5844" s="170" t="s">
        <v>28975</v>
      </c>
      <c r="B5844" s="170" t="s">
        <v>28976</v>
      </c>
      <c r="C5844" s="170" t="s">
        <v>870</v>
      </c>
      <c r="D5844" s="170" t="s">
        <v>1947</v>
      </c>
      <c r="E5844" s="171" t="s">
        <v>23310</v>
      </c>
      <c r="F5844" s="171" t="s">
        <v>37469</v>
      </c>
      <c r="G5844" s="82"/>
      <c r="H5844" s="96">
        <f t="shared" si="364"/>
        <v>353.04</v>
      </c>
      <c r="I5844" s="96">
        <f t="shared" si="364"/>
        <v>356.82</v>
      </c>
      <c r="J5844" s="91" t="str">
        <f t="shared" si="365"/>
        <v>Sinapi 104723</v>
      </c>
      <c r="K5844" s="91" t="str">
        <f t="shared" si="366"/>
        <v>M2</v>
      </c>
      <c r="L5844" s="166" t="str">
        <f t="shared" si="367"/>
        <v>07/2023</v>
      </c>
      <c r="M5844" s="82"/>
      <c r="N5844" s="82"/>
    </row>
    <row r="5845" spans="1:14" x14ac:dyDescent="0.25">
      <c r="A5845" s="170" t="s">
        <v>28977</v>
      </c>
      <c r="B5845" s="170" t="s">
        <v>28978</v>
      </c>
      <c r="C5845" s="170" t="s">
        <v>870</v>
      </c>
      <c r="D5845" s="170" t="s">
        <v>1947</v>
      </c>
      <c r="E5845" s="171" t="s">
        <v>34380</v>
      </c>
      <c r="F5845" s="171" t="s">
        <v>37470</v>
      </c>
      <c r="G5845" s="82"/>
      <c r="H5845" s="96">
        <f t="shared" si="364"/>
        <v>135.41999999999999</v>
      </c>
      <c r="I5845" s="96">
        <f t="shared" si="364"/>
        <v>136.99</v>
      </c>
      <c r="J5845" s="91" t="str">
        <f t="shared" si="365"/>
        <v>Sinapi 104724</v>
      </c>
      <c r="K5845" s="91" t="str">
        <f t="shared" si="366"/>
        <v>M2</v>
      </c>
      <c r="L5845" s="166" t="str">
        <f t="shared" si="367"/>
        <v>07/2023</v>
      </c>
      <c r="M5845" s="82"/>
      <c r="N5845" s="82"/>
    </row>
    <row r="5846" spans="1:14" x14ac:dyDescent="0.25">
      <c r="A5846" s="170" t="s">
        <v>8376</v>
      </c>
      <c r="B5846" s="170" t="s">
        <v>8377</v>
      </c>
      <c r="C5846" s="170" t="s">
        <v>870</v>
      </c>
      <c r="D5846" s="170" t="s">
        <v>1947</v>
      </c>
      <c r="E5846" s="171" t="s">
        <v>34381</v>
      </c>
      <c r="F5846" s="171" t="s">
        <v>37471</v>
      </c>
      <c r="G5846" s="82"/>
      <c r="H5846" s="96">
        <f t="shared" si="364"/>
        <v>132.69999999999999</v>
      </c>
      <c r="I5846" s="96">
        <f t="shared" si="364"/>
        <v>135.93</v>
      </c>
      <c r="J5846" s="91" t="str">
        <f t="shared" si="365"/>
        <v>Sinapi 101154</v>
      </c>
      <c r="K5846" s="91" t="str">
        <f t="shared" si="366"/>
        <v>M2</v>
      </c>
      <c r="L5846" s="166" t="str">
        <f t="shared" si="367"/>
        <v>05/2020</v>
      </c>
      <c r="M5846" s="82"/>
      <c r="N5846" s="82"/>
    </row>
    <row r="5847" spans="1:14" x14ac:dyDescent="0.25">
      <c r="A5847" s="170" t="s">
        <v>8378</v>
      </c>
      <c r="B5847" s="170" t="s">
        <v>8379</v>
      </c>
      <c r="C5847" s="170" t="s">
        <v>870</v>
      </c>
      <c r="D5847" s="170" t="s">
        <v>1947</v>
      </c>
      <c r="E5847" s="171" t="s">
        <v>34382</v>
      </c>
      <c r="F5847" s="171" t="s">
        <v>37472</v>
      </c>
      <c r="G5847" s="82"/>
      <c r="H5847" s="96">
        <f t="shared" si="364"/>
        <v>185.96</v>
      </c>
      <c r="I5847" s="96">
        <f t="shared" si="364"/>
        <v>190.2</v>
      </c>
      <c r="J5847" s="91" t="str">
        <f t="shared" si="365"/>
        <v>Sinapi 101155</v>
      </c>
      <c r="K5847" s="91" t="str">
        <f t="shared" si="366"/>
        <v>M2</v>
      </c>
      <c r="L5847" s="166" t="str">
        <f t="shared" si="367"/>
        <v>05/2020</v>
      </c>
      <c r="M5847" s="82"/>
      <c r="N5847" s="82"/>
    </row>
    <row r="5848" spans="1:14" x14ac:dyDescent="0.25">
      <c r="A5848" s="170" t="s">
        <v>8380</v>
      </c>
      <c r="B5848" s="170" t="s">
        <v>8381</v>
      </c>
      <c r="C5848" s="170" t="s">
        <v>870</v>
      </c>
      <c r="D5848" s="170" t="s">
        <v>1947</v>
      </c>
      <c r="E5848" s="171" t="s">
        <v>34383</v>
      </c>
      <c r="F5848" s="171" t="s">
        <v>37473</v>
      </c>
      <c r="G5848" s="82"/>
      <c r="H5848" s="96">
        <f t="shared" si="364"/>
        <v>272.98</v>
      </c>
      <c r="I5848" s="96">
        <f t="shared" si="364"/>
        <v>278.77999999999997</v>
      </c>
      <c r="J5848" s="91" t="str">
        <f t="shared" si="365"/>
        <v>Sinapi 101156</v>
      </c>
      <c r="K5848" s="91" t="str">
        <f t="shared" si="366"/>
        <v>M2</v>
      </c>
      <c r="L5848" s="166" t="str">
        <f t="shared" si="367"/>
        <v>05/2020</v>
      </c>
      <c r="M5848" s="82"/>
      <c r="N5848" s="82"/>
    </row>
    <row r="5849" spans="1:14" x14ac:dyDescent="0.25">
      <c r="A5849" s="170" t="s">
        <v>12768</v>
      </c>
      <c r="B5849" s="170" t="s">
        <v>13656</v>
      </c>
      <c r="C5849" s="170" t="s">
        <v>870</v>
      </c>
      <c r="D5849" s="170" t="s">
        <v>1947</v>
      </c>
      <c r="E5849" s="171" t="s">
        <v>34384</v>
      </c>
      <c r="F5849" s="171" t="s">
        <v>37474</v>
      </c>
      <c r="G5849" s="82"/>
      <c r="H5849" s="96">
        <f t="shared" si="364"/>
        <v>43.73</v>
      </c>
      <c r="I5849" s="96">
        <f t="shared" si="364"/>
        <v>46.38</v>
      </c>
      <c r="J5849" s="91" t="str">
        <f t="shared" si="365"/>
        <v>Sinapi 101814</v>
      </c>
      <c r="K5849" s="91" t="str">
        <f t="shared" si="366"/>
        <v>M2</v>
      </c>
      <c r="L5849" s="166" t="str">
        <f t="shared" si="367"/>
        <v>12/2020</v>
      </c>
      <c r="M5849" s="82"/>
      <c r="N5849" s="82"/>
    </row>
    <row r="5850" spans="1:14" x14ac:dyDescent="0.25">
      <c r="A5850" s="170" t="s">
        <v>12769</v>
      </c>
      <c r="B5850" s="170" t="s">
        <v>13657</v>
      </c>
      <c r="C5850" s="170" t="s">
        <v>870</v>
      </c>
      <c r="D5850" s="170" t="s">
        <v>1947</v>
      </c>
      <c r="E5850" s="171" t="s">
        <v>34385</v>
      </c>
      <c r="F5850" s="171" t="s">
        <v>37475</v>
      </c>
      <c r="G5850" s="82"/>
      <c r="H5850" s="96">
        <f t="shared" si="364"/>
        <v>72.319999999999993</v>
      </c>
      <c r="I5850" s="96">
        <f t="shared" si="364"/>
        <v>75.739999999999995</v>
      </c>
      <c r="J5850" s="91" t="str">
        <f t="shared" si="365"/>
        <v>Sinapi 101816</v>
      </c>
      <c r="K5850" s="91" t="str">
        <f t="shared" si="366"/>
        <v>M2</v>
      </c>
      <c r="L5850" s="166" t="str">
        <f t="shared" si="367"/>
        <v>12/2020</v>
      </c>
      <c r="M5850" s="82"/>
      <c r="N5850" s="82"/>
    </row>
    <row r="5851" spans="1:14" x14ac:dyDescent="0.25">
      <c r="A5851" s="170" t="s">
        <v>12770</v>
      </c>
      <c r="B5851" s="170" t="s">
        <v>13658</v>
      </c>
      <c r="C5851" s="170" t="s">
        <v>870</v>
      </c>
      <c r="D5851" s="170" t="s">
        <v>1947</v>
      </c>
      <c r="E5851" s="171" t="s">
        <v>31220</v>
      </c>
      <c r="F5851" s="171" t="s">
        <v>33876</v>
      </c>
      <c r="G5851" s="82"/>
      <c r="H5851" s="96">
        <f t="shared" si="364"/>
        <v>44.05</v>
      </c>
      <c r="I5851" s="96">
        <f t="shared" si="364"/>
        <v>47.28</v>
      </c>
      <c r="J5851" s="91" t="str">
        <f t="shared" si="365"/>
        <v>Sinapi 101817</v>
      </c>
      <c r="K5851" s="91" t="str">
        <f t="shared" si="366"/>
        <v>M2</v>
      </c>
      <c r="L5851" s="166" t="str">
        <f t="shared" si="367"/>
        <v>12/2020</v>
      </c>
      <c r="M5851" s="82"/>
      <c r="N5851" s="82"/>
    </row>
    <row r="5852" spans="1:14" x14ac:dyDescent="0.25">
      <c r="A5852" s="170" t="s">
        <v>12771</v>
      </c>
      <c r="B5852" s="170" t="s">
        <v>13659</v>
      </c>
      <c r="C5852" s="170" t="s">
        <v>870</v>
      </c>
      <c r="D5852" s="170" t="s">
        <v>1947</v>
      </c>
      <c r="E5852" s="171" t="s">
        <v>28523</v>
      </c>
      <c r="F5852" s="171" t="s">
        <v>21513</v>
      </c>
      <c r="G5852" s="82"/>
      <c r="H5852" s="96">
        <f t="shared" si="364"/>
        <v>59.32</v>
      </c>
      <c r="I5852" s="96">
        <f t="shared" si="364"/>
        <v>63.11</v>
      </c>
      <c r="J5852" s="91" t="str">
        <f t="shared" si="365"/>
        <v>Sinapi 101819</v>
      </c>
      <c r="K5852" s="91" t="str">
        <f t="shared" si="366"/>
        <v>M2</v>
      </c>
      <c r="L5852" s="166" t="str">
        <f t="shared" si="367"/>
        <v>12/2020</v>
      </c>
      <c r="M5852" s="82"/>
      <c r="N5852" s="82"/>
    </row>
    <row r="5853" spans="1:14" x14ac:dyDescent="0.25">
      <c r="A5853" s="170" t="s">
        <v>12772</v>
      </c>
      <c r="B5853" s="170" t="s">
        <v>13660</v>
      </c>
      <c r="C5853" s="170" t="s">
        <v>870</v>
      </c>
      <c r="D5853" s="170" t="s">
        <v>1947</v>
      </c>
      <c r="E5853" s="171" t="s">
        <v>28808</v>
      </c>
      <c r="F5853" s="171" t="s">
        <v>32023</v>
      </c>
      <c r="G5853" s="82"/>
      <c r="H5853" s="96">
        <f t="shared" si="364"/>
        <v>35.33</v>
      </c>
      <c r="I5853" s="96">
        <f t="shared" si="364"/>
        <v>38.51</v>
      </c>
      <c r="J5853" s="91" t="str">
        <f t="shared" si="365"/>
        <v>Sinapi 101820</v>
      </c>
      <c r="K5853" s="91" t="str">
        <f t="shared" si="366"/>
        <v>M2</v>
      </c>
      <c r="L5853" s="166" t="str">
        <f t="shared" si="367"/>
        <v>12/2020</v>
      </c>
      <c r="M5853" s="82"/>
      <c r="N5853" s="82"/>
    </row>
    <row r="5854" spans="1:14" x14ac:dyDescent="0.25">
      <c r="A5854" s="170" t="s">
        <v>12773</v>
      </c>
      <c r="B5854" s="170" t="s">
        <v>13661</v>
      </c>
      <c r="C5854" s="170" t="s">
        <v>85</v>
      </c>
      <c r="D5854" s="170" t="s">
        <v>1947</v>
      </c>
      <c r="E5854" s="171" t="s">
        <v>34386</v>
      </c>
      <c r="F5854" s="171" t="s">
        <v>37476</v>
      </c>
      <c r="G5854" s="82"/>
      <c r="H5854" s="96">
        <f t="shared" si="364"/>
        <v>99.62</v>
      </c>
      <c r="I5854" s="96">
        <f t="shared" si="364"/>
        <v>109.94</v>
      </c>
      <c r="J5854" s="91" t="str">
        <f t="shared" si="365"/>
        <v>Sinapi 101822</v>
      </c>
      <c r="K5854" s="91" t="str">
        <f t="shared" si="366"/>
        <v>M3</v>
      </c>
      <c r="L5854" s="166" t="str">
        <f t="shared" si="367"/>
        <v>12/2020</v>
      </c>
      <c r="M5854" s="82"/>
      <c r="N5854" s="82"/>
    </row>
    <row r="5855" spans="1:14" x14ac:dyDescent="0.25">
      <c r="A5855" s="170" t="s">
        <v>12774</v>
      </c>
      <c r="B5855" s="170" t="s">
        <v>13662</v>
      </c>
      <c r="C5855" s="170" t="s">
        <v>85</v>
      </c>
      <c r="D5855" s="170" t="s">
        <v>1947</v>
      </c>
      <c r="E5855" s="171" t="s">
        <v>34387</v>
      </c>
      <c r="F5855" s="171" t="s">
        <v>37477</v>
      </c>
      <c r="G5855" s="82"/>
      <c r="H5855" s="96">
        <f t="shared" si="364"/>
        <v>163.19999999999999</v>
      </c>
      <c r="I5855" s="96">
        <f t="shared" si="364"/>
        <v>173.52</v>
      </c>
      <c r="J5855" s="91" t="str">
        <f t="shared" si="365"/>
        <v>Sinapi 101823</v>
      </c>
      <c r="K5855" s="91" t="str">
        <f t="shared" si="366"/>
        <v>M3</v>
      </c>
      <c r="L5855" s="166" t="str">
        <f t="shared" si="367"/>
        <v>12/2020</v>
      </c>
      <c r="M5855" s="82"/>
      <c r="N5855" s="82"/>
    </row>
    <row r="5856" spans="1:14" x14ac:dyDescent="0.25">
      <c r="A5856" s="170" t="s">
        <v>12775</v>
      </c>
      <c r="B5856" s="170" t="s">
        <v>13663</v>
      </c>
      <c r="C5856" s="170" t="s">
        <v>85</v>
      </c>
      <c r="D5856" s="170" t="s">
        <v>1947</v>
      </c>
      <c r="E5856" s="171" t="s">
        <v>28599</v>
      </c>
      <c r="F5856" s="171" t="s">
        <v>37478</v>
      </c>
      <c r="G5856" s="82"/>
      <c r="H5856" s="96">
        <f t="shared" si="364"/>
        <v>222.41</v>
      </c>
      <c r="I5856" s="96">
        <f t="shared" si="364"/>
        <v>232.73</v>
      </c>
      <c r="J5856" s="91" t="str">
        <f t="shared" si="365"/>
        <v>Sinapi 101824</v>
      </c>
      <c r="K5856" s="91" t="str">
        <f t="shared" si="366"/>
        <v>M3</v>
      </c>
      <c r="L5856" s="166" t="str">
        <f t="shared" si="367"/>
        <v>12/2020</v>
      </c>
      <c r="M5856" s="82"/>
      <c r="N5856" s="82"/>
    </row>
    <row r="5857" spans="1:14" x14ac:dyDescent="0.25">
      <c r="A5857" s="170" t="s">
        <v>12776</v>
      </c>
      <c r="B5857" s="170" t="s">
        <v>13664</v>
      </c>
      <c r="C5857" s="170" t="s">
        <v>85</v>
      </c>
      <c r="D5857" s="170" t="s">
        <v>1947</v>
      </c>
      <c r="E5857" s="171" t="s">
        <v>29259</v>
      </c>
      <c r="F5857" s="171" t="s">
        <v>37479</v>
      </c>
      <c r="G5857" s="82"/>
      <c r="H5857" s="96">
        <f t="shared" si="364"/>
        <v>280.01</v>
      </c>
      <c r="I5857" s="96">
        <f t="shared" si="364"/>
        <v>290.33</v>
      </c>
      <c r="J5857" s="91" t="str">
        <f t="shared" si="365"/>
        <v>Sinapi 101825</v>
      </c>
      <c r="K5857" s="91" t="str">
        <f t="shared" si="366"/>
        <v>M3</v>
      </c>
      <c r="L5857" s="166" t="str">
        <f t="shared" si="367"/>
        <v>12/2020</v>
      </c>
      <c r="M5857" s="82"/>
      <c r="N5857" s="82"/>
    </row>
    <row r="5858" spans="1:14" x14ac:dyDescent="0.25">
      <c r="A5858" s="170" t="s">
        <v>12777</v>
      </c>
      <c r="B5858" s="170" t="s">
        <v>13665</v>
      </c>
      <c r="C5858" s="170" t="s">
        <v>85</v>
      </c>
      <c r="D5858" s="170" t="s">
        <v>1947</v>
      </c>
      <c r="E5858" s="171" t="s">
        <v>34388</v>
      </c>
      <c r="F5858" s="171" t="s">
        <v>37480</v>
      </c>
      <c r="G5858" s="82"/>
      <c r="H5858" s="96">
        <f t="shared" si="364"/>
        <v>336.86</v>
      </c>
      <c r="I5858" s="96">
        <f t="shared" si="364"/>
        <v>347.18</v>
      </c>
      <c r="J5858" s="91" t="str">
        <f t="shared" si="365"/>
        <v>Sinapi 101826</v>
      </c>
      <c r="K5858" s="91" t="str">
        <f t="shared" si="366"/>
        <v>M3</v>
      </c>
      <c r="L5858" s="166" t="str">
        <f t="shared" si="367"/>
        <v>12/2020</v>
      </c>
      <c r="M5858" s="82"/>
      <c r="N5858" s="82"/>
    </row>
    <row r="5859" spans="1:14" x14ac:dyDescent="0.25">
      <c r="A5859" s="170" t="s">
        <v>12778</v>
      </c>
      <c r="B5859" s="170" t="s">
        <v>13666</v>
      </c>
      <c r="C5859" s="170" t="s">
        <v>85</v>
      </c>
      <c r="D5859" s="170" t="s">
        <v>1947</v>
      </c>
      <c r="E5859" s="171" t="s">
        <v>33680</v>
      </c>
      <c r="F5859" s="171" t="s">
        <v>37481</v>
      </c>
      <c r="G5859" s="82"/>
      <c r="H5859" s="96">
        <f t="shared" si="364"/>
        <v>294.58</v>
      </c>
      <c r="I5859" s="96">
        <f t="shared" si="364"/>
        <v>304.89999999999998</v>
      </c>
      <c r="J5859" s="91" t="str">
        <f t="shared" si="365"/>
        <v>Sinapi 101827</v>
      </c>
      <c r="K5859" s="91" t="str">
        <f t="shared" si="366"/>
        <v>M3</v>
      </c>
      <c r="L5859" s="166" t="str">
        <f t="shared" si="367"/>
        <v>12/2020</v>
      </c>
      <c r="M5859" s="82"/>
      <c r="N5859" s="82"/>
    </row>
    <row r="5860" spans="1:14" x14ac:dyDescent="0.25">
      <c r="A5860" s="170" t="s">
        <v>12779</v>
      </c>
      <c r="B5860" s="170" t="s">
        <v>13667</v>
      </c>
      <c r="C5860" s="170" t="s">
        <v>85</v>
      </c>
      <c r="D5860" s="170" t="s">
        <v>1947</v>
      </c>
      <c r="E5860" s="171" t="s">
        <v>28595</v>
      </c>
      <c r="F5860" s="171" t="s">
        <v>37482</v>
      </c>
      <c r="G5860" s="82"/>
      <c r="H5860" s="96">
        <f t="shared" si="364"/>
        <v>262.08999999999997</v>
      </c>
      <c r="I5860" s="96">
        <f t="shared" si="364"/>
        <v>272.41000000000003</v>
      </c>
      <c r="J5860" s="91" t="str">
        <f t="shared" si="365"/>
        <v>Sinapi 101828</v>
      </c>
      <c r="K5860" s="91" t="str">
        <f t="shared" si="366"/>
        <v>M3</v>
      </c>
      <c r="L5860" s="166" t="str">
        <f t="shared" si="367"/>
        <v>12/2020</v>
      </c>
      <c r="M5860" s="82"/>
      <c r="N5860" s="82"/>
    </row>
    <row r="5861" spans="1:14" x14ac:dyDescent="0.25">
      <c r="A5861" s="170" t="s">
        <v>12780</v>
      </c>
      <c r="B5861" s="170" t="s">
        <v>14900</v>
      </c>
      <c r="C5861" s="170" t="s">
        <v>85</v>
      </c>
      <c r="D5861" s="170" t="s">
        <v>1947</v>
      </c>
      <c r="E5861" s="171" t="s">
        <v>34389</v>
      </c>
      <c r="F5861" s="171" t="s">
        <v>37483</v>
      </c>
      <c r="G5861" s="82"/>
      <c r="H5861" s="96">
        <f t="shared" si="364"/>
        <v>409.57</v>
      </c>
      <c r="I5861" s="96">
        <f t="shared" si="364"/>
        <v>419.89</v>
      </c>
      <c r="J5861" s="91" t="str">
        <f t="shared" si="365"/>
        <v>Sinapi 101829</v>
      </c>
      <c r="K5861" s="91" t="str">
        <f t="shared" si="366"/>
        <v>M3</v>
      </c>
      <c r="L5861" s="166" t="str">
        <f t="shared" si="367"/>
        <v>12/2020</v>
      </c>
      <c r="M5861" s="82"/>
      <c r="N5861" s="82"/>
    </row>
    <row r="5862" spans="1:14" x14ac:dyDescent="0.25">
      <c r="A5862" s="170" t="s">
        <v>12781</v>
      </c>
      <c r="B5862" s="170" t="s">
        <v>14901</v>
      </c>
      <c r="C5862" s="170" t="s">
        <v>85</v>
      </c>
      <c r="D5862" s="170" t="s">
        <v>1947</v>
      </c>
      <c r="E5862" s="171" t="s">
        <v>34390</v>
      </c>
      <c r="F5862" s="171" t="s">
        <v>37484</v>
      </c>
      <c r="G5862" s="82"/>
      <c r="H5862" s="96">
        <f t="shared" si="364"/>
        <v>463.27</v>
      </c>
      <c r="I5862" s="96">
        <f t="shared" si="364"/>
        <v>473.59</v>
      </c>
      <c r="J5862" s="91" t="str">
        <f t="shared" si="365"/>
        <v>Sinapi 101830</v>
      </c>
      <c r="K5862" s="91" t="str">
        <f t="shared" si="366"/>
        <v>M3</v>
      </c>
      <c r="L5862" s="166" t="str">
        <f t="shared" si="367"/>
        <v>12/2020</v>
      </c>
      <c r="M5862" s="82"/>
      <c r="N5862" s="82"/>
    </row>
    <row r="5863" spans="1:14" x14ac:dyDescent="0.25">
      <c r="A5863" s="170" t="s">
        <v>12782</v>
      </c>
      <c r="B5863" s="170" t="s">
        <v>14902</v>
      </c>
      <c r="C5863" s="170" t="s">
        <v>85</v>
      </c>
      <c r="D5863" s="170" t="s">
        <v>1947</v>
      </c>
      <c r="E5863" s="171" t="s">
        <v>34391</v>
      </c>
      <c r="F5863" s="171" t="s">
        <v>37485</v>
      </c>
      <c r="G5863" s="82"/>
      <c r="H5863" s="96">
        <f t="shared" si="364"/>
        <v>516.22</v>
      </c>
      <c r="I5863" s="96">
        <f t="shared" si="364"/>
        <v>526.54</v>
      </c>
      <c r="J5863" s="91" t="str">
        <f t="shared" si="365"/>
        <v>Sinapi 101831</v>
      </c>
      <c r="K5863" s="91" t="str">
        <f t="shared" si="366"/>
        <v>M3</v>
      </c>
      <c r="L5863" s="166" t="str">
        <f t="shared" si="367"/>
        <v>12/2020</v>
      </c>
      <c r="M5863" s="82"/>
      <c r="N5863" s="82"/>
    </row>
    <row r="5864" spans="1:14" x14ac:dyDescent="0.25">
      <c r="A5864" s="170" t="s">
        <v>12783</v>
      </c>
      <c r="B5864" s="170" t="s">
        <v>13668</v>
      </c>
      <c r="C5864" s="170" t="s">
        <v>85</v>
      </c>
      <c r="D5864" s="170" t="s">
        <v>1947</v>
      </c>
      <c r="E5864" s="171" t="s">
        <v>34392</v>
      </c>
      <c r="F5864" s="171" t="s">
        <v>37486</v>
      </c>
      <c r="G5864" s="82"/>
      <c r="H5864" s="96">
        <f t="shared" si="364"/>
        <v>378.38</v>
      </c>
      <c r="I5864" s="96">
        <f t="shared" si="364"/>
        <v>388.7</v>
      </c>
      <c r="J5864" s="91" t="str">
        <f t="shared" si="365"/>
        <v>Sinapi 101832</v>
      </c>
      <c r="K5864" s="91" t="str">
        <f t="shared" si="366"/>
        <v>M3</v>
      </c>
      <c r="L5864" s="166" t="str">
        <f t="shared" si="367"/>
        <v>12/2020</v>
      </c>
      <c r="M5864" s="82"/>
      <c r="N5864" s="82"/>
    </row>
    <row r="5865" spans="1:14" x14ac:dyDescent="0.25">
      <c r="A5865" s="170" t="s">
        <v>12784</v>
      </c>
      <c r="B5865" s="170" t="s">
        <v>13669</v>
      </c>
      <c r="C5865" s="170" t="s">
        <v>85</v>
      </c>
      <c r="D5865" s="170" t="s">
        <v>1947</v>
      </c>
      <c r="E5865" s="171" t="s">
        <v>34393</v>
      </c>
      <c r="F5865" s="171" t="s">
        <v>37487</v>
      </c>
      <c r="G5865" s="82"/>
      <c r="H5865" s="96">
        <f t="shared" si="364"/>
        <v>432.72</v>
      </c>
      <c r="I5865" s="96">
        <f t="shared" si="364"/>
        <v>443.04</v>
      </c>
      <c r="J5865" s="91" t="str">
        <f t="shared" si="365"/>
        <v>Sinapi 101833</v>
      </c>
      <c r="K5865" s="91" t="str">
        <f t="shared" si="366"/>
        <v>M3</v>
      </c>
      <c r="L5865" s="166" t="str">
        <f t="shared" si="367"/>
        <v>12/2020</v>
      </c>
      <c r="M5865" s="82"/>
      <c r="N5865" s="82"/>
    </row>
    <row r="5866" spans="1:14" x14ac:dyDescent="0.25">
      <c r="A5866" s="170" t="s">
        <v>12785</v>
      </c>
      <c r="B5866" s="170" t="s">
        <v>13670</v>
      </c>
      <c r="C5866" s="170" t="s">
        <v>85</v>
      </c>
      <c r="D5866" s="170" t="s">
        <v>1947</v>
      </c>
      <c r="E5866" s="171" t="s">
        <v>34394</v>
      </c>
      <c r="F5866" s="171" t="s">
        <v>37488</v>
      </c>
      <c r="G5866" s="82"/>
      <c r="H5866" s="96">
        <f t="shared" si="364"/>
        <v>486.34</v>
      </c>
      <c r="I5866" s="96">
        <f t="shared" si="364"/>
        <v>496.66</v>
      </c>
      <c r="J5866" s="91" t="str">
        <f t="shared" si="365"/>
        <v>Sinapi 101834</v>
      </c>
      <c r="K5866" s="91" t="str">
        <f t="shared" si="366"/>
        <v>M3</v>
      </c>
      <c r="L5866" s="166" t="str">
        <f t="shared" si="367"/>
        <v>12/2020</v>
      </c>
      <c r="M5866" s="82"/>
      <c r="N5866" s="82"/>
    </row>
    <row r="5867" spans="1:14" x14ac:dyDescent="0.25">
      <c r="A5867" s="170" t="s">
        <v>12786</v>
      </c>
      <c r="B5867" s="170" t="s">
        <v>13671</v>
      </c>
      <c r="C5867" s="170" t="s">
        <v>85</v>
      </c>
      <c r="D5867" s="170" t="s">
        <v>1947</v>
      </c>
      <c r="E5867" s="171" t="s">
        <v>34395</v>
      </c>
      <c r="F5867" s="171" t="s">
        <v>37489</v>
      </c>
      <c r="G5867" s="82"/>
      <c r="H5867" s="96">
        <f t="shared" si="364"/>
        <v>465.24</v>
      </c>
      <c r="I5867" s="96">
        <f t="shared" si="364"/>
        <v>475.77</v>
      </c>
      <c r="J5867" s="91" t="str">
        <f t="shared" si="365"/>
        <v>Sinapi 101835</v>
      </c>
      <c r="K5867" s="91" t="str">
        <f t="shared" si="366"/>
        <v>M3</v>
      </c>
      <c r="L5867" s="166" t="str">
        <f t="shared" si="367"/>
        <v>12/2020</v>
      </c>
      <c r="M5867" s="82"/>
      <c r="N5867" s="82"/>
    </row>
    <row r="5868" spans="1:14" x14ac:dyDescent="0.25">
      <c r="A5868" s="170" t="s">
        <v>12787</v>
      </c>
      <c r="B5868" s="170" t="s">
        <v>13672</v>
      </c>
      <c r="C5868" s="170" t="s">
        <v>85</v>
      </c>
      <c r="D5868" s="170" t="s">
        <v>1947</v>
      </c>
      <c r="E5868" s="171" t="s">
        <v>21905</v>
      </c>
      <c r="F5868" s="171" t="s">
        <v>21360</v>
      </c>
      <c r="G5868" s="82"/>
      <c r="H5868" s="96">
        <f t="shared" si="364"/>
        <v>24.77</v>
      </c>
      <c r="I5868" s="96">
        <f t="shared" si="364"/>
        <v>25.82</v>
      </c>
      <c r="J5868" s="91" t="str">
        <f t="shared" si="365"/>
        <v>Sinapi 101836</v>
      </c>
      <c r="K5868" s="91" t="str">
        <f t="shared" si="366"/>
        <v>M3</v>
      </c>
      <c r="L5868" s="166" t="str">
        <f t="shared" si="367"/>
        <v>12/2020</v>
      </c>
      <c r="M5868" s="82"/>
      <c r="N5868" s="82"/>
    </row>
    <row r="5869" spans="1:14" x14ac:dyDescent="0.25">
      <c r="A5869" s="170" t="s">
        <v>12788</v>
      </c>
      <c r="B5869" s="170" t="s">
        <v>13673</v>
      </c>
      <c r="C5869" s="170" t="s">
        <v>85</v>
      </c>
      <c r="D5869" s="170" t="s">
        <v>1947</v>
      </c>
      <c r="E5869" s="171" t="s">
        <v>32047</v>
      </c>
      <c r="F5869" s="171" t="s">
        <v>37490</v>
      </c>
      <c r="G5869" s="82"/>
      <c r="H5869" s="96">
        <f t="shared" si="364"/>
        <v>88.35</v>
      </c>
      <c r="I5869" s="96">
        <f t="shared" si="364"/>
        <v>89.4</v>
      </c>
      <c r="J5869" s="91" t="str">
        <f t="shared" si="365"/>
        <v>Sinapi 101837</v>
      </c>
      <c r="K5869" s="91" t="str">
        <f t="shared" si="366"/>
        <v>M3</v>
      </c>
      <c r="L5869" s="166" t="str">
        <f t="shared" si="367"/>
        <v>12/2020</v>
      </c>
      <c r="M5869" s="82"/>
      <c r="N5869" s="82"/>
    </row>
    <row r="5870" spans="1:14" x14ac:dyDescent="0.25">
      <c r="A5870" s="170" t="s">
        <v>12789</v>
      </c>
      <c r="B5870" s="170" t="s">
        <v>13674</v>
      </c>
      <c r="C5870" s="170" t="s">
        <v>85</v>
      </c>
      <c r="D5870" s="170" t="s">
        <v>1947</v>
      </c>
      <c r="E5870" s="171" t="s">
        <v>28717</v>
      </c>
      <c r="F5870" s="171" t="s">
        <v>37491</v>
      </c>
      <c r="G5870" s="82"/>
      <c r="H5870" s="96">
        <f t="shared" si="364"/>
        <v>147.56</v>
      </c>
      <c r="I5870" s="96">
        <f t="shared" si="364"/>
        <v>148.61000000000001</v>
      </c>
      <c r="J5870" s="91" t="str">
        <f t="shared" si="365"/>
        <v>Sinapi 101838</v>
      </c>
      <c r="K5870" s="91" t="str">
        <f t="shared" si="366"/>
        <v>M3</v>
      </c>
      <c r="L5870" s="166" t="str">
        <f t="shared" si="367"/>
        <v>12/2020</v>
      </c>
      <c r="M5870" s="82"/>
      <c r="N5870" s="82"/>
    </row>
    <row r="5871" spans="1:14" x14ac:dyDescent="0.25">
      <c r="A5871" s="170" t="s">
        <v>12790</v>
      </c>
      <c r="B5871" s="170" t="s">
        <v>13675</v>
      </c>
      <c r="C5871" s="170" t="s">
        <v>85</v>
      </c>
      <c r="D5871" s="170" t="s">
        <v>1947</v>
      </c>
      <c r="E5871" s="171" t="s">
        <v>34396</v>
      </c>
      <c r="F5871" s="171" t="s">
        <v>37492</v>
      </c>
      <c r="G5871" s="82"/>
      <c r="H5871" s="96">
        <f t="shared" si="364"/>
        <v>205.16</v>
      </c>
      <c r="I5871" s="96">
        <f t="shared" si="364"/>
        <v>206.2</v>
      </c>
      <c r="J5871" s="91" t="str">
        <f t="shared" si="365"/>
        <v>Sinapi 101839</v>
      </c>
      <c r="K5871" s="91" t="str">
        <f t="shared" si="366"/>
        <v>M3</v>
      </c>
      <c r="L5871" s="166" t="str">
        <f t="shared" si="367"/>
        <v>12/2020</v>
      </c>
      <c r="M5871" s="82"/>
      <c r="N5871" s="82"/>
    </row>
    <row r="5872" spans="1:14" x14ac:dyDescent="0.25">
      <c r="A5872" s="170" t="s">
        <v>12791</v>
      </c>
      <c r="B5872" s="170" t="s">
        <v>13676</v>
      </c>
      <c r="C5872" s="170" t="s">
        <v>85</v>
      </c>
      <c r="D5872" s="170" t="s">
        <v>1947</v>
      </c>
      <c r="E5872" s="171" t="s">
        <v>34397</v>
      </c>
      <c r="F5872" s="171" t="s">
        <v>37493</v>
      </c>
      <c r="G5872" s="82"/>
      <c r="H5872" s="96">
        <f t="shared" si="364"/>
        <v>305.3</v>
      </c>
      <c r="I5872" s="96">
        <f t="shared" si="364"/>
        <v>309.02</v>
      </c>
      <c r="J5872" s="91" t="str">
        <f t="shared" si="365"/>
        <v>Sinapi 101840</v>
      </c>
      <c r="K5872" s="91" t="str">
        <f t="shared" si="366"/>
        <v>M3</v>
      </c>
      <c r="L5872" s="166" t="str">
        <f t="shared" si="367"/>
        <v>12/2020</v>
      </c>
      <c r="M5872" s="82"/>
      <c r="N5872" s="82"/>
    </row>
    <row r="5873" spans="1:14" x14ac:dyDescent="0.25">
      <c r="A5873" s="170" t="s">
        <v>12792</v>
      </c>
      <c r="B5873" s="170" t="s">
        <v>13677</v>
      </c>
      <c r="C5873" s="170" t="s">
        <v>85</v>
      </c>
      <c r="D5873" s="170" t="s">
        <v>1947</v>
      </c>
      <c r="E5873" s="171" t="s">
        <v>34398</v>
      </c>
      <c r="F5873" s="171" t="s">
        <v>37494</v>
      </c>
      <c r="G5873" s="82"/>
      <c r="H5873" s="96">
        <f t="shared" si="364"/>
        <v>219.73</v>
      </c>
      <c r="I5873" s="96">
        <f t="shared" si="364"/>
        <v>220.78</v>
      </c>
      <c r="J5873" s="91" t="str">
        <f t="shared" si="365"/>
        <v>Sinapi 101841</v>
      </c>
      <c r="K5873" s="91" t="str">
        <f t="shared" si="366"/>
        <v>M3</v>
      </c>
      <c r="L5873" s="166" t="str">
        <f t="shared" si="367"/>
        <v>12/2020</v>
      </c>
      <c r="M5873" s="82"/>
      <c r="N5873" s="82"/>
    </row>
    <row r="5874" spans="1:14" x14ac:dyDescent="0.25">
      <c r="A5874" s="170" t="s">
        <v>12793</v>
      </c>
      <c r="B5874" s="170" t="s">
        <v>13678</v>
      </c>
      <c r="C5874" s="170" t="s">
        <v>85</v>
      </c>
      <c r="D5874" s="170" t="s">
        <v>1947</v>
      </c>
      <c r="E5874" s="171" t="s">
        <v>34399</v>
      </c>
      <c r="F5874" s="171" t="s">
        <v>33797</v>
      </c>
      <c r="G5874" s="82"/>
      <c r="H5874" s="96">
        <f t="shared" si="364"/>
        <v>187.24</v>
      </c>
      <c r="I5874" s="96">
        <f t="shared" si="364"/>
        <v>188.29</v>
      </c>
      <c r="J5874" s="91" t="str">
        <f t="shared" si="365"/>
        <v>Sinapi 101842</v>
      </c>
      <c r="K5874" s="91" t="str">
        <f t="shared" si="366"/>
        <v>M3</v>
      </c>
      <c r="L5874" s="166" t="str">
        <f t="shared" si="367"/>
        <v>12/2020</v>
      </c>
      <c r="M5874" s="82"/>
      <c r="N5874" s="82"/>
    </row>
    <row r="5875" spans="1:14" x14ac:dyDescent="0.25">
      <c r="A5875" s="170" t="s">
        <v>12794</v>
      </c>
      <c r="B5875" s="170" t="s">
        <v>14903</v>
      </c>
      <c r="C5875" s="170" t="s">
        <v>85</v>
      </c>
      <c r="D5875" s="170" t="s">
        <v>1947</v>
      </c>
      <c r="E5875" s="171" t="s">
        <v>34400</v>
      </c>
      <c r="F5875" s="171" t="s">
        <v>37495</v>
      </c>
      <c r="G5875" s="82"/>
      <c r="H5875" s="96">
        <f t="shared" si="364"/>
        <v>334.72</v>
      </c>
      <c r="I5875" s="96">
        <f t="shared" si="364"/>
        <v>335.77</v>
      </c>
      <c r="J5875" s="91" t="str">
        <f t="shared" si="365"/>
        <v>Sinapi 101843</v>
      </c>
      <c r="K5875" s="91" t="str">
        <f t="shared" si="366"/>
        <v>M3</v>
      </c>
      <c r="L5875" s="166" t="str">
        <f t="shared" si="367"/>
        <v>12/2020</v>
      </c>
      <c r="M5875" s="82"/>
      <c r="N5875" s="82"/>
    </row>
    <row r="5876" spans="1:14" x14ac:dyDescent="0.25">
      <c r="A5876" s="170" t="s">
        <v>12795</v>
      </c>
      <c r="B5876" s="170" t="s">
        <v>14904</v>
      </c>
      <c r="C5876" s="170" t="s">
        <v>85</v>
      </c>
      <c r="D5876" s="170" t="s">
        <v>1947</v>
      </c>
      <c r="E5876" s="171" t="s">
        <v>34401</v>
      </c>
      <c r="F5876" s="171" t="s">
        <v>37496</v>
      </c>
      <c r="G5876" s="82"/>
      <c r="H5876" s="96">
        <f t="shared" si="364"/>
        <v>388.42</v>
      </c>
      <c r="I5876" s="96">
        <f t="shared" si="364"/>
        <v>389.47</v>
      </c>
      <c r="J5876" s="91" t="str">
        <f t="shared" si="365"/>
        <v>Sinapi 101844</v>
      </c>
      <c r="K5876" s="91" t="str">
        <f t="shared" si="366"/>
        <v>M3</v>
      </c>
      <c r="L5876" s="166" t="str">
        <f t="shared" si="367"/>
        <v>12/2020</v>
      </c>
      <c r="M5876" s="82"/>
      <c r="N5876" s="82"/>
    </row>
    <row r="5877" spans="1:14" x14ac:dyDescent="0.25">
      <c r="A5877" s="170" t="s">
        <v>12796</v>
      </c>
      <c r="B5877" s="170" t="s">
        <v>14905</v>
      </c>
      <c r="C5877" s="170" t="s">
        <v>85</v>
      </c>
      <c r="D5877" s="170" t="s">
        <v>1947</v>
      </c>
      <c r="E5877" s="171" t="s">
        <v>34402</v>
      </c>
      <c r="F5877" s="171" t="s">
        <v>37497</v>
      </c>
      <c r="G5877" s="82"/>
      <c r="H5877" s="96">
        <f t="shared" si="364"/>
        <v>441.37</v>
      </c>
      <c r="I5877" s="96">
        <f t="shared" si="364"/>
        <v>442.42</v>
      </c>
      <c r="J5877" s="91" t="str">
        <f t="shared" si="365"/>
        <v>Sinapi 101845</v>
      </c>
      <c r="K5877" s="91" t="str">
        <f t="shared" si="366"/>
        <v>M3</v>
      </c>
      <c r="L5877" s="166" t="str">
        <f t="shared" si="367"/>
        <v>12/2020</v>
      </c>
      <c r="M5877" s="82"/>
      <c r="N5877" s="82"/>
    </row>
    <row r="5878" spans="1:14" x14ac:dyDescent="0.25">
      <c r="A5878" s="170" t="s">
        <v>12797</v>
      </c>
      <c r="B5878" s="170" t="s">
        <v>13679</v>
      </c>
      <c r="C5878" s="170" t="s">
        <v>85</v>
      </c>
      <c r="D5878" s="170" t="s">
        <v>1947</v>
      </c>
      <c r="E5878" s="171" t="s">
        <v>34403</v>
      </c>
      <c r="F5878" s="171" t="s">
        <v>37498</v>
      </c>
      <c r="G5878" s="82"/>
      <c r="H5878" s="96">
        <f t="shared" si="364"/>
        <v>303.52999999999997</v>
      </c>
      <c r="I5878" s="96">
        <f t="shared" si="364"/>
        <v>304.58</v>
      </c>
      <c r="J5878" s="91" t="str">
        <f t="shared" si="365"/>
        <v>Sinapi 101846</v>
      </c>
      <c r="K5878" s="91" t="str">
        <f t="shared" si="366"/>
        <v>M3</v>
      </c>
      <c r="L5878" s="166" t="str">
        <f t="shared" si="367"/>
        <v>12/2020</v>
      </c>
      <c r="M5878" s="82"/>
      <c r="N5878" s="82"/>
    </row>
    <row r="5879" spans="1:14" x14ac:dyDescent="0.25">
      <c r="A5879" s="170" t="s">
        <v>12798</v>
      </c>
      <c r="B5879" s="170" t="s">
        <v>13680</v>
      </c>
      <c r="C5879" s="170" t="s">
        <v>85</v>
      </c>
      <c r="D5879" s="170" t="s">
        <v>1947</v>
      </c>
      <c r="E5879" s="171" t="s">
        <v>34404</v>
      </c>
      <c r="F5879" s="171" t="s">
        <v>37499</v>
      </c>
      <c r="G5879" s="82"/>
      <c r="H5879" s="96">
        <f t="shared" si="364"/>
        <v>357.87</v>
      </c>
      <c r="I5879" s="96">
        <f t="shared" si="364"/>
        <v>358.92</v>
      </c>
      <c r="J5879" s="91" t="str">
        <f t="shared" si="365"/>
        <v>Sinapi 101847</v>
      </c>
      <c r="K5879" s="91" t="str">
        <f t="shared" si="366"/>
        <v>M3</v>
      </c>
      <c r="L5879" s="166" t="str">
        <f t="shared" si="367"/>
        <v>12/2020</v>
      </c>
      <c r="M5879" s="82"/>
      <c r="N5879" s="82"/>
    </row>
    <row r="5880" spans="1:14" x14ac:dyDescent="0.25">
      <c r="A5880" s="170" t="s">
        <v>12799</v>
      </c>
      <c r="B5880" s="170" t="s">
        <v>13681</v>
      </c>
      <c r="C5880" s="170" t="s">
        <v>85</v>
      </c>
      <c r="D5880" s="170" t="s">
        <v>1947</v>
      </c>
      <c r="E5880" s="171" t="s">
        <v>34405</v>
      </c>
      <c r="F5880" s="171" t="s">
        <v>37500</v>
      </c>
      <c r="G5880" s="82"/>
      <c r="H5880" s="96">
        <f t="shared" si="364"/>
        <v>411.49</v>
      </c>
      <c r="I5880" s="96">
        <f t="shared" si="364"/>
        <v>412.54</v>
      </c>
      <c r="J5880" s="91" t="str">
        <f t="shared" si="365"/>
        <v>Sinapi 101848</v>
      </c>
      <c r="K5880" s="91" t="str">
        <f t="shared" si="366"/>
        <v>M3</v>
      </c>
      <c r="L5880" s="166" t="str">
        <f t="shared" si="367"/>
        <v>12/2020</v>
      </c>
      <c r="M5880" s="82"/>
      <c r="N5880" s="82"/>
    </row>
    <row r="5881" spans="1:14" x14ac:dyDescent="0.25">
      <c r="A5881" s="170" t="s">
        <v>12800</v>
      </c>
      <c r="B5881" s="170" t="s">
        <v>13682</v>
      </c>
      <c r="C5881" s="170" t="s">
        <v>85</v>
      </c>
      <c r="D5881" s="170" t="s">
        <v>1947</v>
      </c>
      <c r="E5881" s="171" t="s">
        <v>34406</v>
      </c>
      <c r="F5881" s="171" t="s">
        <v>37501</v>
      </c>
      <c r="G5881" s="82"/>
      <c r="H5881" s="96">
        <f t="shared" si="364"/>
        <v>390.39</v>
      </c>
      <c r="I5881" s="96">
        <f t="shared" si="364"/>
        <v>391.65</v>
      </c>
      <c r="J5881" s="91" t="str">
        <f t="shared" si="365"/>
        <v>Sinapi 101849</v>
      </c>
      <c r="K5881" s="91" t="str">
        <f t="shared" si="366"/>
        <v>M3</v>
      </c>
      <c r="L5881" s="166" t="str">
        <f t="shared" si="367"/>
        <v>12/2020</v>
      </c>
      <c r="M5881" s="82"/>
      <c r="N5881" s="82"/>
    </row>
    <row r="5882" spans="1:14" x14ac:dyDescent="0.25">
      <c r="A5882" s="170" t="s">
        <v>12801</v>
      </c>
      <c r="B5882" s="170" t="s">
        <v>13683</v>
      </c>
      <c r="C5882" s="170" t="s">
        <v>870</v>
      </c>
      <c r="D5882" s="170" t="s">
        <v>1947</v>
      </c>
      <c r="E5882" s="171" t="s">
        <v>29432</v>
      </c>
      <c r="F5882" s="171" t="s">
        <v>22978</v>
      </c>
      <c r="G5882" s="82"/>
      <c r="H5882" s="96">
        <f t="shared" si="364"/>
        <v>53.92</v>
      </c>
      <c r="I5882" s="96">
        <f t="shared" si="364"/>
        <v>57.47</v>
      </c>
      <c r="J5882" s="91" t="str">
        <f t="shared" si="365"/>
        <v>Sinapi 101850</v>
      </c>
      <c r="K5882" s="91" t="str">
        <f t="shared" si="366"/>
        <v>M2</v>
      </c>
      <c r="L5882" s="166" t="str">
        <f t="shared" si="367"/>
        <v>12/2020</v>
      </c>
      <c r="M5882" s="82"/>
      <c r="N5882" s="82"/>
    </row>
    <row r="5883" spans="1:14" x14ac:dyDescent="0.25">
      <c r="A5883" s="170" t="s">
        <v>12802</v>
      </c>
      <c r="B5883" s="170" t="s">
        <v>13684</v>
      </c>
      <c r="C5883" s="170" t="s">
        <v>870</v>
      </c>
      <c r="D5883" s="170" t="s">
        <v>1947</v>
      </c>
      <c r="E5883" s="171" t="s">
        <v>21863</v>
      </c>
      <c r="F5883" s="171" t="s">
        <v>28489</v>
      </c>
      <c r="G5883" s="82"/>
      <c r="H5883" s="96">
        <f t="shared" si="364"/>
        <v>69.73</v>
      </c>
      <c r="I5883" s="96">
        <f t="shared" si="364"/>
        <v>73.84</v>
      </c>
      <c r="J5883" s="91" t="str">
        <f t="shared" si="365"/>
        <v>Sinapi 101852</v>
      </c>
      <c r="K5883" s="91" t="str">
        <f t="shared" si="366"/>
        <v>M2</v>
      </c>
      <c r="L5883" s="166" t="str">
        <f t="shared" si="367"/>
        <v>12/2020</v>
      </c>
      <c r="M5883" s="82"/>
      <c r="N5883" s="82"/>
    </row>
    <row r="5884" spans="1:14" x14ac:dyDescent="0.25">
      <c r="A5884" s="170" t="s">
        <v>12803</v>
      </c>
      <c r="B5884" s="170" t="s">
        <v>13685</v>
      </c>
      <c r="C5884" s="170" t="s">
        <v>870</v>
      </c>
      <c r="D5884" s="170" t="s">
        <v>1947</v>
      </c>
      <c r="E5884" s="171" t="s">
        <v>34407</v>
      </c>
      <c r="F5884" s="171" t="s">
        <v>37502</v>
      </c>
      <c r="G5884" s="82"/>
      <c r="H5884" s="96">
        <f t="shared" si="364"/>
        <v>51.6</v>
      </c>
      <c r="I5884" s="96">
        <f t="shared" si="364"/>
        <v>54.5</v>
      </c>
      <c r="J5884" s="91" t="str">
        <f t="shared" si="365"/>
        <v>Sinapi 101853</v>
      </c>
      <c r="K5884" s="91" t="str">
        <f t="shared" si="366"/>
        <v>M2</v>
      </c>
      <c r="L5884" s="166" t="str">
        <f t="shared" si="367"/>
        <v>12/2020</v>
      </c>
      <c r="M5884" s="82"/>
      <c r="N5884" s="82"/>
    </row>
    <row r="5885" spans="1:14" x14ac:dyDescent="0.25">
      <c r="A5885" s="170" t="s">
        <v>12804</v>
      </c>
      <c r="B5885" s="170" t="s">
        <v>13686</v>
      </c>
      <c r="C5885" s="170" t="s">
        <v>870</v>
      </c>
      <c r="D5885" s="170" t="s">
        <v>1947</v>
      </c>
      <c r="E5885" s="171" t="s">
        <v>34408</v>
      </c>
      <c r="F5885" s="171" t="s">
        <v>22719</v>
      </c>
      <c r="G5885" s="82"/>
      <c r="H5885" s="96">
        <f t="shared" si="364"/>
        <v>80.62</v>
      </c>
      <c r="I5885" s="96">
        <f t="shared" si="364"/>
        <v>84.26</v>
      </c>
      <c r="J5885" s="91" t="str">
        <f t="shared" si="365"/>
        <v>Sinapi 101855</v>
      </c>
      <c r="K5885" s="91" t="str">
        <f t="shared" si="366"/>
        <v>M2</v>
      </c>
      <c r="L5885" s="166" t="str">
        <f t="shared" si="367"/>
        <v>12/2020</v>
      </c>
      <c r="M5885" s="82"/>
      <c r="N5885" s="82"/>
    </row>
    <row r="5886" spans="1:14" x14ac:dyDescent="0.25">
      <c r="A5886" s="170" t="s">
        <v>12805</v>
      </c>
      <c r="B5886" s="170" t="s">
        <v>13687</v>
      </c>
      <c r="C5886" s="170" t="s">
        <v>870</v>
      </c>
      <c r="D5886" s="170" t="s">
        <v>1947</v>
      </c>
      <c r="E5886" s="171" t="s">
        <v>34409</v>
      </c>
      <c r="F5886" s="171" t="s">
        <v>37337</v>
      </c>
      <c r="G5886" s="82"/>
      <c r="H5886" s="96">
        <f t="shared" si="364"/>
        <v>22.27</v>
      </c>
      <c r="I5886" s="96">
        <f t="shared" si="364"/>
        <v>24.13</v>
      </c>
      <c r="J5886" s="91" t="str">
        <f t="shared" si="365"/>
        <v>Sinapi 101856</v>
      </c>
      <c r="K5886" s="91" t="str">
        <f t="shared" si="366"/>
        <v>M2</v>
      </c>
      <c r="L5886" s="166" t="str">
        <f t="shared" si="367"/>
        <v>12/2020</v>
      </c>
      <c r="M5886" s="82"/>
      <c r="N5886" s="82"/>
    </row>
    <row r="5887" spans="1:14" x14ac:dyDescent="0.25">
      <c r="A5887" s="170" t="s">
        <v>12806</v>
      </c>
      <c r="B5887" s="170" t="s">
        <v>13688</v>
      </c>
      <c r="C5887" s="170" t="s">
        <v>870</v>
      </c>
      <c r="D5887" s="170" t="s">
        <v>1947</v>
      </c>
      <c r="E5887" s="171" t="s">
        <v>15856</v>
      </c>
      <c r="F5887" s="171" t="s">
        <v>33912</v>
      </c>
      <c r="G5887" s="82"/>
      <c r="H5887" s="96">
        <f t="shared" si="364"/>
        <v>27.95</v>
      </c>
      <c r="I5887" s="96">
        <f t="shared" si="364"/>
        <v>30.43</v>
      </c>
      <c r="J5887" s="91" t="str">
        <f t="shared" si="365"/>
        <v>Sinapi 101857</v>
      </c>
      <c r="K5887" s="91" t="str">
        <f t="shared" si="366"/>
        <v>M2</v>
      </c>
      <c r="L5887" s="166" t="str">
        <f t="shared" si="367"/>
        <v>12/2020</v>
      </c>
      <c r="M5887" s="82"/>
      <c r="N5887" s="82"/>
    </row>
    <row r="5888" spans="1:14" x14ac:dyDescent="0.25">
      <c r="A5888" s="170" t="s">
        <v>12807</v>
      </c>
      <c r="B5888" s="170" t="s">
        <v>13689</v>
      </c>
      <c r="C5888" s="170" t="s">
        <v>870</v>
      </c>
      <c r="D5888" s="170" t="s">
        <v>1947</v>
      </c>
      <c r="E5888" s="171" t="s">
        <v>15555</v>
      </c>
      <c r="F5888" s="171" t="s">
        <v>21291</v>
      </c>
      <c r="G5888" s="82"/>
      <c r="H5888" s="96">
        <f t="shared" si="364"/>
        <v>22.75</v>
      </c>
      <c r="I5888" s="96">
        <f t="shared" si="364"/>
        <v>24.66</v>
      </c>
      <c r="J5888" s="91" t="str">
        <f t="shared" si="365"/>
        <v>Sinapi 101858</v>
      </c>
      <c r="K5888" s="91" t="str">
        <f t="shared" si="366"/>
        <v>M2</v>
      </c>
      <c r="L5888" s="166" t="str">
        <f t="shared" si="367"/>
        <v>12/2020</v>
      </c>
      <c r="M5888" s="82"/>
      <c r="N5888" s="82"/>
    </row>
    <row r="5889" spans="1:14" x14ac:dyDescent="0.25">
      <c r="A5889" s="170" t="s">
        <v>12808</v>
      </c>
      <c r="B5889" s="170" t="s">
        <v>13690</v>
      </c>
      <c r="C5889" s="170" t="s">
        <v>870</v>
      </c>
      <c r="D5889" s="170" t="s">
        <v>1947</v>
      </c>
      <c r="E5889" s="171" t="s">
        <v>23102</v>
      </c>
      <c r="F5889" s="171" t="s">
        <v>28694</v>
      </c>
      <c r="G5889" s="82"/>
      <c r="H5889" s="96">
        <f t="shared" si="364"/>
        <v>25.19</v>
      </c>
      <c r="I5889" s="96">
        <f t="shared" si="364"/>
        <v>27.37</v>
      </c>
      <c r="J5889" s="91" t="str">
        <f t="shared" si="365"/>
        <v>Sinapi 101859</v>
      </c>
      <c r="K5889" s="91" t="str">
        <f t="shared" si="366"/>
        <v>M2</v>
      </c>
      <c r="L5889" s="166" t="str">
        <f t="shared" si="367"/>
        <v>12/2020</v>
      </c>
      <c r="M5889" s="82"/>
      <c r="N5889" s="82"/>
    </row>
    <row r="5890" spans="1:14" x14ac:dyDescent="0.25">
      <c r="A5890" s="170" t="s">
        <v>12809</v>
      </c>
      <c r="B5890" s="170" t="s">
        <v>13691</v>
      </c>
      <c r="C5890" s="170" t="s">
        <v>870</v>
      </c>
      <c r="D5890" s="170" t="s">
        <v>1947</v>
      </c>
      <c r="E5890" s="171" t="s">
        <v>28992</v>
      </c>
      <c r="F5890" s="171" t="s">
        <v>22986</v>
      </c>
      <c r="G5890" s="82"/>
      <c r="H5890" s="96">
        <f t="shared" si="364"/>
        <v>29.05</v>
      </c>
      <c r="I5890" s="96">
        <f t="shared" si="364"/>
        <v>31.64</v>
      </c>
      <c r="J5890" s="91" t="str">
        <f t="shared" si="365"/>
        <v>Sinapi 101860</v>
      </c>
      <c r="K5890" s="91" t="str">
        <f t="shared" si="366"/>
        <v>M2</v>
      </c>
      <c r="L5890" s="166" t="str">
        <f t="shared" si="367"/>
        <v>12/2020</v>
      </c>
      <c r="M5890" s="82"/>
      <c r="N5890" s="82"/>
    </row>
    <row r="5891" spans="1:14" x14ac:dyDescent="0.25">
      <c r="A5891" s="170" t="s">
        <v>12810</v>
      </c>
      <c r="B5891" s="170" t="s">
        <v>13692</v>
      </c>
      <c r="C5891" s="170" t="s">
        <v>870</v>
      </c>
      <c r="D5891" s="170" t="s">
        <v>1947</v>
      </c>
      <c r="E5891" s="171" t="s">
        <v>22041</v>
      </c>
      <c r="F5891" s="171" t="s">
        <v>22942</v>
      </c>
      <c r="G5891" s="82"/>
      <c r="H5891" s="96">
        <f t="shared" si="364"/>
        <v>27.13</v>
      </c>
      <c r="I5891" s="96">
        <f t="shared" si="364"/>
        <v>29.51</v>
      </c>
      <c r="J5891" s="91" t="str">
        <f t="shared" si="365"/>
        <v>Sinapi 101861</v>
      </c>
      <c r="K5891" s="91" t="str">
        <f t="shared" si="366"/>
        <v>M2</v>
      </c>
      <c r="L5891" s="166" t="str">
        <f t="shared" si="367"/>
        <v>12/2020</v>
      </c>
      <c r="M5891" s="82"/>
      <c r="N5891" s="82"/>
    </row>
    <row r="5892" spans="1:14" x14ac:dyDescent="0.25">
      <c r="A5892" s="170" t="s">
        <v>12811</v>
      </c>
      <c r="B5892" s="170" t="s">
        <v>13693</v>
      </c>
      <c r="C5892" s="170" t="s">
        <v>870</v>
      </c>
      <c r="D5892" s="170" t="s">
        <v>1947</v>
      </c>
      <c r="E5892" s="171" t="s">
        <v>21574</v>
      </c>
      <c r="F5892" s="171" t="s">
        <v>30335</v>
      </c>
      <c r="G5892" s="82"/>
      <c r="H5892" s="96">
        <f t="shared" si="364"/>
        <v>29.61</v>
      </c>
      <c r="I5892" s="96">
        <f t="shared" si="364"/>
        <v>32.270000000000003</v>
      </c>
      <c r="J5892" s="91" t="str">
        <f t="shared" si="365"/>
        <v>Sinapi 101862</v>
      </c>
      <c r="K5892" s="91" t="str">
        <f t="shared" si="366"/>
        <v>M2</v>
      </c>
      <c r="L5892" s="166" t="str">
        <f t="shared" si="367"/>
        <v>12/2020</v>
      </c>
      <c r="M5892" s="82"/>
      <c r="N5892" s="82"/>
    </row>
    <row r="5893" spans="1:14" x14ac:dyDescent="0.25">
      <c r="A5893" s="170" t="s">
        <v>12812</v>
      </c>
      <c r="B5893" s="170" t="s">
        <v>13694</v>
      </c>
      <c r="C5893" s="170" t="s">
        <v>870</v>
      </c>
      <c r="D5893" s="170" t="s">
        <v>1947</v>
      </c>
      <c r="E5893" s="171" t="s">
        <v>18707</v>
      </c>
      <c r="F5893" s="171" t="s">
        <v>23277</v>
      </c>
      <c r="G5893" s="82"/>
      <c r="H5893" s="96">
        <f t="shared" si="364"/>
        <v>23.09</v>
      </c>
      <c r="I5893" s="96">
        <f t="shared" si="364"/>
        <v>25.05</v>
      </c>
      <c r="J5893" s="91" t="str">
        <f t="shared" si="365"/>
        <v>Sinapi 101863</v>
      </c>
      <c r="K5893" s="91" t="str">
        <f t="shared" si="366"/>
        <v>M2</v>
      </c>
      <c r="L5893" s="166" t="str">
        <f t="shared" si="367"/>
        <v>12/2020</v>
      </c>
      <c r="M5893" s="82"/>
      <c r="N5893" s="82"/>
    </row>
    <row r="5894" spans="1:14" x14ac:dyDescent="0.25">
      <c r="A5894" s="170" t="s">
        <v>12813</v>
      </c>
      <c r="B5894" s="170" t="s">
        <v>13695</v>
      </c>
      <c r="C5894" s="170" t="s">
        <v>870</v>
      </c>
      <c r="D5894" s="170" t="s">
        <v>1947</v>
      </c>
      <c r="E5894" s="171" t="s">
        <v>21510</v>
      </c>
      <c r="F5894" s="171" t="s">
        <v>20446</v>
      </c>
      <c r="G5894" s="82"/>
      <c r="H5894" s="96">
        <f t="shared" si="364"/>
        <v>26.93</v>
      </c>
      <c r="I5894" s="96">
        <f t="shared" si="364"/>
        <v>29.3</v>
      </c>
      <c r="J5894" s="91" t="str">
        <f t="shared" si="365"/>
        <v>Sinapi 101864</v>
      </c>
      <c r="K5894" s="91" t="str">
        <f t="shared" si="366"/>
        <v>M2</v>
      </c>
      <c r="L5894" s="166" t="str">
        <f t="shared" si="367"/>
        <v>12/2020</v>
      </c>
      <c r="M5894" s="82"/>
      <c r="N5894" s="82"/>
    </row>
    <row r="5895" spans="1:14" x14ac:dyDescent="0.25">
      <c r="A5895" s="170" t="s">
        <v>12814</v>
      </c>
      <c r="B5895" s="170" t="s">
        <v>13696</v>
      </c>
      <c r="C5895" s="170" t="s">
        <v>870</v>
      </c>
      <c r="D5895" s="170" t="s">
        <v>1947</v>
      </c>
      <c r="E5895" s="171" t="s">
        <v>34410</v>
      </c>
      <c r="F5895" s="171" t="s">
        <v>30667</v>
      </c>
      <c r="G5895" s="82"/>
      <c r="H5895" s="96">
        <f t="shared" si="364"/>
        <v>30.78</v>
      </c>
      <c r="I5895" s="96">
        <f t="shared" si="364"/>
        <v>33.56</v>
      </c>
      <c r="J5895" s="91" t="str">
        <f t="shared" si="365"/>
        <v>Sinapi 101865</v>
      </c>
      <c r="K5895" s="91" t="str">
        <f t="shared" si="366"/>
        <v>M2</v>
      </c>
      <c r="L5895" s="166" t="str">
        <f t="shared" si="367"/>
        <v>12/2020</v>
      </c>
      <c r="M5895" s="82"/>
      <c r="N5895" s="82"/>
    </row>
    <row r="5896" spans="1:14" x14ac:dyDescent="0.25">
      <c r="A5896" s="170" t="s">
        <v>12815</v>
      </c>
      <c r="B5896" s="170" t="s">
        <v>13697</v>
      </c>
      <c r="C5896" s="170" t="s">
        <v>870</v>
      </c>
      <c r="D5896" s="170" t="s">
        <v>1947</v>
      </c>
      <c r="E5896" s="171" t="s">
        <v>23069</v>
      </c>
      <c r="F5896" s="171" t="s">
        <v>31632</v>
      </c>
      <c r="G5896" s="82"/>
      <c r="H5896" s="96">
        <f t="shared" ref="H5896:I5959" si="368">IF(E5896="","",E5896+0)</f>
        <v>27.31</v>
      </c>
      <c r="I5896" s="96">
        <f t="shared" si="368"/>
        <v>29.72</v>
      </c>
      <c r="J5896" s="91" t="str">
        <f t="shared" ref="J5896:J5959" si="369">IF(OR(H5896="",I5896=""),"",TRIM(CONCATENATE("Sinapi ",A5896)))</f>
        <v>Sinapi 101866</v>
      </c>
      <c r="K5896" s="91" t="str">
        <f t="shared" ref="K5896:K5959" si="370">TRIM(C5896)</f>
        <v>M2</v>
      </c>
      <c r="L5896" s="166" t="str">
        <f t="shared" ref="L5896:L5959" si="371">IF(OR(RIGHT(IF(AND(K5896&lt;&gt;"H",K5896&lt;&gt;"MES"),RIGHT(B5896,7),""),2)="PS",RIGHT(IF(AND(K5896&lt;&gt;"H",K5896&lt;&gt;"MES"),RIGHT(B5896,7),""),2)="PA",RIGHT(IF(AND(K5896&lt;&gt;"H",K5896&lt;&gt;"MES"),RIGHT(B5896,7),""),2)="PE"),LEFT(IF(AND(K5896&lt;&gt;"H",K5896&lt;&gt;"MES"),RIGHT(B5896,10),""),7),IF(AND(K5896&lt;&gt;"H",K5896&lt;&gt;"MES"),RIGHT(B5896,7),""))</f>
        <v>12/2020</v>
      </c>
      <c r="M5896" s="82"/>
      <c r="N5896" s="82"/>
    </row>
    <row r="5897" spans="1:14" x14ac:dyDescent="0.25">
      <c r="A5897" s="170" t="s">
        <v>12816</v>
      </c>
      <c r="B5897" s="170" t="s">
        <v>13698</v>
      </c>
      <c r="C5897" s="170" t="s">
        <v>870</v>
      </c>
      <c r="D5897" s="170" t="s">
        <v>1947</v>
      </c>
      <c r="E5897" s="171" t="s">
        <v>33873</v>
      </c>
      <c r="F5897" s="171" t="s">
        <v>21101</v>
      </c>
      <c r="G5897" s="82"/>
      <c r="H5897" s="96">
        <f t="shared" si="368"/>
        <v>31.15</v>
      </c>
      <c r="I5897" s="96">
        <f t="shared" si="368"/>
        <v>33.979999999999997</v>
      </c>
      <c r="J5897" s="91" t="str">
        <f t="shared" si="369"/>
        <v>Sinapi 101867</v>
      </c>
      <c r="K5897" s="91" t="str">
        <f t="shared" si="370"/>
        <v>M2</v>
      </c>
      <c r="L5897" s="166" t="str">
        <f t="shared" si="371"/>
        <v>12/2020</v>
      </c>
      <c r="M5897" s="82"/>
      <c r="N5897" s="82"/>
    </row>
    <row r="5898" spans="1:14" x14ac:dyDescent="0.25">
      <c r="A5898" s="170" t="s">
        <v>12817</v>
      </c>
      <c r="B5898" s="170" t="s">
        <v>13699</v>
      </c>
      <c r="C5898" s="170" t="s">
        <v>870</v>
      </c>
      <c r="D5898" s="170" t="s">
        <v>1947</v>
      </c>
      <c r="E5898" s="171" t="s">
        <v>33585</v>
      </c>
      <c r="F5898" s="171" t="s">
        <v>20489</v>
      </c>
      <c r="G5898" s="82"/>
      <c r="H5898" s="96">
        <f t="shared" si="368"/>
        <v>24.64</v>
      </c>
      <c r="I5898" s="96">
        <f t="shared" si="368"/>
        <v>26.75</v>
      </c>
      <c r="J5898" s="91" t="str">
        <f t="shared" si="369"/>
        <v>Sinapi 101868</v>
      </c>
      <c r="K5898" s="91" t="str">
        <f t="shared" si="370"/>
        <v>M2</v>
      </c>
      <c r="L5898" s="166" t="str">
        <f t="shared" si="371"/>
        <v>12/2020</v>
      </c>
      <c r="M5898" s="82"/>
      <c r="N5898" s="82"/>
    </row>
    <row r="5899" spans="1:14" x14ac:dyDescent="0.25">
      <c r="A5899" s="170" t="s">
        <v>12818</v>
      </c>
      <c r="B5899" s="170" t="s">
        <v>13700</v>
      </c>
      <c r="C5899" s="170" t="s">
        <v>870</v>
      </c>
      <c r="D5899" s="170" t="s">
        <v>1947</v>
      </c>
      <c r="E5899" s="171" t="s">
        <v>34411</v>
      </c>
      <c r="F5899" s="171" t="s">
        <v>29343</v>
      </c>
      <c r="G5899" s="82"/>
      <c r="H5899" s="96">
        <f t="shared" si="368"/>
        <v>28.47</v>
      </c>
      <c r="I5899" s="96">
        <f t="shared" si="368"/>
        <v>31</v>
      </c>
      <c r="J5899" s="91" t="str">
        <f t="shared" si="369"/>
        <v>Sinapi 101869</v>
      </c>
      <c r="K5899" s="91" t="str">
        <f t="shared" si="370"/>
        <v>M2</v>
      </c>
      <c r="L5899" s="166" t="str">
        <f t="shared" si="371"/>
        <v>12/2020</v>
      </c>
      <c r="M5899" s="82"/>
      <c r="N5899" s="82"/>
    </row>
    <row r="5900" spans="1:14" x14ac:dyDescent="0.25">
      <c r="A5900" s="170" t="s">
        <v>12819</v>
      </c>
      <c r="B5900" s="170" t="s">
        <v>13701</v>
      </c>
      <c r="C5900" s="170" t="s">
        <v>870</v>
      </c>
      <c r="D5900" s="170" t="s">
        <v>1947</v>
      </c>
      <c r="E5900" s="171" t="s">
        <v>34412</v>
      </c>
      <c r="F5900" s="171" t="s">
        <v>28420</v>
      </c>
      <c r="G5900" s="82"/>
      <c r="H5900" s="96">
        <f t="shared" si="368"/>
        <v>32.32</v>
      </c>
      <c r="I5900" s="96">
        <f t="shared" si="368"/>
        <v>35.270000000000003</v>
      </c>
      <c r="J5900" s="91" t="str">
        <f t="shared" si="369"/>
        <v>Sinapi 101870</v>
      </c>
      <c r="K5900" s="91" t="str">
        <f t="shared" si="370"/>
        <v>M2</v>
      </c>
      <c r="L5900" s="166" t="str">
        <f t="shared" si="371"/>
        <v>12/2020</v>
      </c>
      <c r="M5900" s="82"/>
      <c r="N5900" s="82"/>
    </row>
    <row r="5901" spans="1:14" x14ac:dyDescent="0.25">
      <c r="A5901" s="170" t="s">
        <v>12820</v>
      </c>
      <c r="B5901" s="170" t="s">
        <v>13702</v>
      </c>
      <c r="C5901" s="170" t="s">
        <v>85</v>
      </c>
      <c r="D5901" s="170" t="s">
        <v>1947</v>
      </c>
      <c r="E5901" s="171" t="s">
        <v>34413</v>
      </c>
      <c r="F5901" s="171" t="s">
        <v>37503</v>
      </c>
      <c r="G5901" s="82"/>
      <c r="H5901" s="96">
        <f t="shared" si="368"/>
        <v>3609.4</v>
      </c>
      <c r="I5901" s="96">
        <f t="shared" si="368"/>
        <v>3631.93</v>
      </c>
      <c r="J5901" s="91" t="str">
        <f t="shared" si="369"/>
        <v>Sinapi 102098</v>
      </c>
      <c r="K5901" s="91" t="str">
        <f t="shared" si="370"/>
        <v>M3</v>
      </c>
      <c r="L5901" s="166" t="str">
        <f t="shared" si="371"/>
        <v>12/2020</v>
      </c>
      <c r="M5901" s="82"/>
      <c r="N5901" s="82"/>
    </row>
    <row r="5902" spans="1:14" x14ac:dyDescent="0.25">
      <c r="A5902" s="170" t="s">
        <v>14255</v>
      </c>
      <c r="B5902" s="170" t="s">
        <v>14256</v>
      </c>
      <c r="C5902" s="170" t="s">
        <v>870</v>
      </c>
      <c r="D5902" s="170" t="s">
        <v>1947</v>
      </c>
      <c r="E5902" s="171" t="s">
        <v>27833</v>
      </c>
      <c r="F5902" s="171" t="s">
        <v>30580</v>
      </c>
      <c r="G5902" s="82"/>
      <c r="H5902" s="96">
        <f t="shared" si="368"/>
        <v>47.12</v>
      </c>
      <c r="I5902" s="96">
        <f t="shared" si="368"/>
        <v>51.52</v>
      </c>
      <c r="J5902" s="91" t="str">
        <f t="shared" si="369"/>
        <v>Sinapi 102988</v>
      </c>
      <c r="K5902" s="91" t="str">
        <f t="shared" si="370"/>
        <v>M2</v>
      </c>
      <c r="L5902" s="166" t="str">
        <f t="shared" si="371"/>
        <v>12/2020</v>
      </c>
      <c r="M5902" s="82"/>
      <c r="N5902" s="82"/>
    </row>
    <row r="5903" spans="1:14" x14ac:dyDescent="0.25">
      <c r="A5903" s="170" t="s">
        <v>8382</v>
      </c>
      <c r="B5903" s="170" t="s">
        <v>8383</v>
      </c>
      <c r="C5903" s="170" t="s">
        <v>870</v>
      </c>
      <c r="D5903" s="170" t="s">
        <v>1947</v>
      </c>
      <c r="E5903" s="171" t="s">
        <v>34414</v>
      </c>
      <c r="F5903" s="171" t="s">
        <v>21323</v>
      </c>
      <c r="G5903" s="82"/>
      <c r="H5903" s="96">
        <f t="shared" si="368"/>
        <v>2.39</v>
      </c>
      <c r="I5903" s="96">
        <f t="shared" si="368"/>
        <v>2.4700000000000002</v>
      </c>
      <c r="J5903" s="91" t="str">
        <f t="shared" si="369"/>
        <v>Sinapi 100576</v>
      </c>
      <c r="K5903" s="91" t="str">
        <f t="shared" si="370"/>
        <v>M2</v>
      </c>
      <c r="L5903" s="166" t="str">
        <f t="shared" si="371"/>
        <v>11/2019</v>
      </c>
      <c r="M5903" s="82"/>
      <c r="N5903" s="82"/>
    </row>
    <row r="5904" spans="1:14" x14ac:dyDescent="0.25">
      <c r="A5904" s="170" t="s">
        <v>8385</v>
      </c>
      <c r="B5904" s="170" t="s">
        <v>8386</v>
      </c>
      <c r="C5904" s="170" t="s">
        <v>870</v>
      </c>
      <c r="D5904" s="170" t="s">
        <v>1947</v>
      </c>
      <c r="E5904" s="171" t="s">
        <v>17948</v>
      </c>
      <c r="F5904" s="171" t="s">
        <v>3955</v>
      </c>
      <c r="G5904" s="82"/>
      <c r="H5904" s="96">
        <f t="shared" si="368"/>
        <v>1.19</v>
      </c>
      <c r="I5904" s="96">
        <f t="shared" si="368"/>
        <v>1.22</v>
      </c>
      <c r="J5904" s="91" t="str">
        <f t="shared" si="369"/>
        <v>Sinapi 100577</v>
      </c>
      <c r="K5904" s="91" t="str">
        <f t="shared" si="370"/>
        <v>M2</v>
      </c>
      <c r="L5904" s="166" t="str">
        <f t="shared" si="371"/>
        <v>11/2019</v>
      </c>
      <c r="M5904" s="82"/>
      <c r="N5904" s="82"/>
    </row>
    <row r="5905" spans="1:14" x14ac:dyDescent="0.25">
      <c r="A5905" s="170" t="s">
        <v>8388</v>
      </c>
      <c r="B5905" s="170" t="s">
        <v>8389</v>
      </c>
      <c r="C5905" s="170" t="s">
        <v>85</v>
      </c>
      <c r="D5905" s="170" t="s">
        <v>1947</v>
      </c>
      <c r="E5905" s="171" t="s">
        <v>33702</v>
      </c>
      <c r="F5905" s="171" t="s">
        <v>12097</v>
      </c>
      <c r="G5905" s="82"/>
      <c r="H5905" s="96">
        <f t="shared" si="368"/>
        <v>11.74</v>
      </c>
      <c r="I5905" s="96">
        <f t="shared" si="368"/>
        <v>12.08</v>
      </c>
      <c r="J5905" s="91" t="str">
        <f t="shared" si="369"/>
        <v>Sinapi 96388</v>
      </c>
      <c r="K5905" s="91" t="str">
        <f t="shared" si="370"/>
        <v>M3</v>
      </c>
      <c r="L5905" s="166" t="str">
        <f t="shared" si="371"/>
        <v>11/2019</v>
      </c>
      <c r="M5905" s="82"/>
      <c r="N5905" s="82"/>
    </row>
    <row r="5906" spans="1:14" x14ac:dyDescent="0.25">
      <c r="A5906" s="170" t="s">
        <v>8390</v>
      </c>
      <c r="B5906" s="170" t="s">
        <v>8391</v>
      </c>
      <c r="C5906" s="170" t="s">
        <v>85</v>
      </c>
      <c r="D5906" s="170" t="s">
        <v>1947</v>
      </c>
      <c r="E5906" s="171" t="s">
        <v>34415</v>
      </c>
      <c r="F5906" s="171" t="s">
        <v>37504</v>
      </c>
      <c r="G5906" s="82"/>
      <c r="H5906" s="96">
        <f t="shared" si="368"/>
        <v>79.97</v>
      </c>
      <c r="I5906" s="96">
        <f t="shared" si="368"/>
        <v>80.510000000000005</v>
      </c>
      <c r="J5906" s="91" t="str">
        <f t="shared" si="369"/>
        <v>Sinapi 96389</v>
      </c>
      <c r="K5906" s="91" t="str">
        <f t="shared" si="370"/>
        <v>M3</v>
      </c>
      <c r="L5906" s="166" t="str">
        <f t="shared" si="371"/>
        <v>11/2019</v>
      </c>
      <c r="M5906" s="82"/>
      <c r="N5906" s="82"/>
    </row>
    <row r="5907" spans="1:14" x14ac:dyDescent="0.25">
      <c r="A5907" s="170" t="s">
        <v>8392</v>
      </c>
      <c r="B5907" s="170" t="s">
        <v>8393</v>
      </c>
      <c r="C5907" s="170" t="s">
        <v>85</v>
      </c>
      <c r="D5907" s="170" t="s">
        <v>1947</v>
      </c>
      <c r="E5907" s="171" t="s">
        <v>34416</v>
      </c>
      <c r="F5907" s="171" t="s">
        <v>37505</v>
      </c>
      <c r="G5907" s="82"/>
      <c r="H5907" s="96">
        <f t="shared" si="368"/>
        <v>137.35</v>
      </c>
      <c r="I5907" s="96">
        <f t="shared" si="368"/>
        <v>137.88999999999999</v>
      </c>
      <c r="J5907" s="91" t="str">
        <f t="shared" si="369"/>
        <v>Sinapi 96390</v>
      </c>
      <c r="K5907" s="91" t="str">
        <f t="shared" si="370"/>
        <v>M3</v>
      </c>
      <c r="L5907" s="166" t="str">
        <f t="shared" si="371"/>
        <v>11/2019</v>
      </c>
      <c r="M5907" s="82"/>
      <c r="N5907" s="82"/>
    </row>
    <row r="5908" spans="1:14" x14ac:dyDescent="0.25">
      <c r="A5908" s="170" t="s">
        <v>8394</v>
      </c>
      <c r="B5908" s="170" t="s">
        <v>8395</v>
      </c>
      <c r="C5908" s="170" t="s">
        <v>85</v>
      </c>
      <c r="D5908" s="170" t="s">
        <v>1947</v>
      </c>
      <c r="E5908" s="171" t="s">
        <v>34417</v>
      </c>
      <c r="F5908" s="171" t="s">
        <v>37506</v>
      </c>
      <c r="G5908" s="82"/>
      <c r="H5908" s="96">
        <f t="shared" si="368"/>
        <v>195.68</v>
      </c>
      <c r="I5908" s="96">
        <f t="shared" si="368"/>
        <v>196.25</v>
      </c>
      <c r="J5908" s="91" t="str">
        <f t="shared" si="369"/>
        <v>Sinapi 96391</v>
      </c>
      <c r="K5908" s="91" t="str">
        <f t="shared" si="370"/>
        <v>M3</v>
      </c>
      <c r="L5908" s="166" t="str">
        <f t="shared" si="371"/>
        <v>11/2019</v>
      </c>
      <c r="M5908" s="82"/>
      <c r="N5908" s="82"/>
    </row>
    <row r="5909" spans="1:14" x14ac:dyDescent="0.25">
      <c r="A5909" s="170" t="s">
        <v>8396</v>
      </c>
      <c r="B5909" s="170" t="s">
        <v>8397</v>
      </c>
      <c r="C5909" s="170" t="s">
        <v>85</v>
      </c>
      <c r="D5909" s="170" t="s">
        <v>1947</v>
      </c>
      <c r="E5909" s="171" t="s">
        <v>34418</v>
      </c>
      <c r="F5909" s="171" t="s">
        <v>37507</v>
      </c>
      <c r="G5909" s="82"/>
      <c r="H5909" s="96">
        <f t="shared" si="368"/>
        <v>252.53</v>
      </c>
      <c r="I5909" s="96">
        <f t="shared" si="368"/>
        <v>253.1</v>
      </c>
      <c r="J5909" s="91" t="str">
        <f t="shared" si="369"/>
        <v>Sinapi 96392</v>
      </c>
      <c r="K5909" s="91" t="str">
        <f t="shared" si="370"/>
        <v>M3</v>
      </c>
      <c r="L5909" s="166" t="str">
        <f t="shared" si="371"/>
        <v>11/2019</v>
      </c>
      <c r="M5909" s="82"/>
      <c r="N5909" s="82"/>
    </row>
    <row r="5910" spans="1:14" x14ac:dyDescent="0.25">
      <c r="A5910" s="170" t="s">
        <v>8398</v>
      </c>
      <c r="B5910" s="170" t="s">
        <v>8399</v>
      </c>
      <c r="C5910" s="170" t="s">
        <v>85</v>
      </c>
      <c r="D5910" s="170" t="s">
        <v>1947</v>
      </c>
      <c r="E5910" s="171" t="s">
        <v>34419</v>
      </c>
      <c r="F5910" s="171" t="s">
        <v>37508</v>
      </c>
      <c r="G5910" s="82"/>
      <c r="H5910" s="96">
        <f t="shared" si="368"/>
        <v>378.65</v>
      </c>
      <c r="I5910" s="96">
        <f t="shared" si="368"/>
        <v>379.26</v>
      </c>
      <c r="J5910" s="91" t="str">
        <f t="shared" si="369"/>
        <v>Sinapi 96396</v>
      </c>
      <c r="K5910" s="91" t="str">
        <f t="shared" si="370"/>
        <v>M3</v>
      </c>
      <c r="L5910" s="166" t="str">
        <f t="shared" si="371"/>
        <v>11/2019</v>
      </c>
      <c r="M5910" s="82"/>
      <c r="N5910" s="82"/>
    </row>
    <row r="5911" spans="1:14" x14ac:dyDescent="0.25">
      <c r="A5911" s="170" t="s">
        <v>8400</v>
      </c>
      <c r="B5911" s="170" t="s">
        <v>8401</v>
      </c>
      <c r="C5911" s="170" t="s">
        <v>85</v>
      </c>
      <c r="D5911" s="170" t="s">
        <v>1947</v>
      </c>
      <c r="E5911" s="171" t="s">
        <v>34420</v>
      </c>
      <c r="F5911" s="171" t="s">
        <v>31086</v>
      </c>
      <c r="G5911" s="82"/>
      <c r="H5911" s="96">
        <f t="shared" si="368"/>
        <v>488.91</v>
      </c>
      <c r="I5911" s="96">
        <f t="shared" si="368"/>
        <v>489.56</v>
      </c>
      <c r="J5911" s="91" t="str">
        <f t="shared" si="369"/>
        <v>Sinapi 96397</v>
      </c>
      <c r="K5911" s="91" t="str">
        <f t="shared" si="370"/>
        <v>M3</v>
      </c>
      <c r="L5911" s="166" t="str">
        <f t="shared" si="371"/>
        <v>11/2019</v>
      </c>
      <c r="M5911" s="82"/>
      <c r="N5911" s="82"/>
    </row>
    <row r="5912" spans="1:14" x14ac:dyDescent="0.25">
      <c r="A5912" s="170" t="s">
        <v>8402</v>
      </c>
      <c r="B5912" s="170" t="s">
        <v>8403</v>
      </c>
      <c r="C5912" s="170" t="s">
        <v>85</v>
      </c>
      <c r="D5912" s="170" t="s">
        <v>1947</v>
      </c>
      <c r="E5912" s="171" t="s">
        <v>34421</v>
      </c>
      <c r="F5912" s="171" t="s">
        <v>37509</v>
      </c>
      <c r="G5912" s="82"/>
      <c r="H5912" s="96">
        <f t="shared" si="368"/>
        <v>637.4</v>
      </c>
      <c r="I5912" s="96">
        <f t="shared" si="368"/>
        <v>638.13</v>
      </c>
      <c r="J5912" s="91" t="str">
        <f t="shared" si="369"/>
        <v>Sinapi 96398</v>
      </c>
      <c r="K5912" s="91" t="str">
        <f t="shared" si="370"/>
        <v>M3</v>
      </c>
      <c r="L5912" s="166" t="str">
        <f t="shared" si="371"/>
        <v>11/2019</v>
      </c>
      <c r="M5912" s="82"/>
      <c r="N5912" s="82"/>
    </row>
    <row r="5913" spans="1:14" x14ac:dyDescent="0.25">
      <c r="A5913" s="170" t="s">
        <v>8404</v>
      </c>
      <c r="B5913" s="170" t="s">
        <v>8405</v>
      </c>
      <c r="C5913" s="170" t="s">
        <v>85</v>
      </c>
      <c r="D5913" s="170" t="s">
        <v>1947</v>
      </c>
      <c r="E5913" s="171" t="s">
        <v>34422</v>
      </c>
      <c r="F5913" s="171" t="s">
        <v>37510</v>
      </c>
      <c r="G5913" s="82"/>
      <c r="H5913" s="96">
        <f t="shared" si="368"/>
        <v>258.38</v>
      </c>
      <c r="I5913" s="96">
        <f t="shared" si="368"/>
        <v>258.91000000000003</v>
      </c>
      <c r="J5913" s="91" t="str">
        <f t="shared" si="369"/>
        <v>Sinapi 96399</v>
      </c>
      <c r="K5913" s="91" t="str">
        <f t="shared" si="370"/>
        <v>M3</v>
      </c>
      <c r="L5913" s="166" t="str">
        <f t="shared" si="371"/>
        <v>11/2019</v>
      </c>
      <c r="M5913" s="82"/>
      <c r="N5913" s="82"/>
    </row>
    <row r="5914" spans="1:14" x14ac:dyDescent="0.25">
      <c r="A5914" s="170" t="s">
        <v>8406</v>
      </c>
      <c r="B5914" s="170" t="s">
        <v>8407</v>
      </c>
      <c r="C5914" s="170" t="s">
        <v>85</v>
      </c>
      <c r="D5914" s="170" t="s">
        <v>1947</v>
      </c>
      <c r="E5914" s="171" t="s">
        <v>34423</v>
      </c>
      <c r="F5914" s="171" t="s">
        <v>37511</v>
      </c>
      <c r="G5914" s="82"/>
      <c r="H5914" s="96">
        <f t="shared" si="368"/>
        <v>332.58</v>
      </c>
      <c r="I5914" s="96">
        <f t="shared" si="368"/>
        <v>333.32</v>
      </c>
      <c r="J5914" s="91" t="str">
        <f t="shared" si="369"/>
        <v>Sinapi 96400</v>
      </c>
      <c r="K5914" s="91" t="str">
        <f t="shared" si="370"/>
        <v>M3</v>
      </c>
      <c r="L5914" s="166" t="str">
        <f t="shared" si="371"/>
        <v>11/2019</v>
      </c>
      <c r="M5914" s="82"/>
      <c r="N5914" s="82"/>
    </row>
    <row r="5915" spans="1:14" x14ac:dyDescent="0.25">
      <c r="A5915" s="170" t="s">
        <v>8408</v>
      </c>
      <c r="B5915" s="170" t="s">
        <v>8409</v>
      </c>
      <c r="C5915" s="170" t="s">
        <v>85</v>
      </c>
      <c r="D5915" s="170" t="s">
        <v>1947</v>
      </c>
      <c r="E5915" s="171" t="s">
        <v>34424</v>
      </c>
      <c r="F5915" s="171" t="s">
        <v>37512</v>
      </c>
      <c r="G5915" s="82"/>
      <c r="H5915" s="96">
        <f t="shared" si="368"/>
        <v>216.8</v>
      </c>
      <c r="I5915" s="96">
        <f t="shared" si="368"/>
        <v>217.67</v>
      </c>
      <c r="J5915" s="91" t="str">
        <f t="shared" si="369"/>
        <v>Sinapi 100564</v>
      </c>
      <c r="K5915" s="91" t="str">
        <f t="shared" si="370"/>
        <v>M3</v>
      </c>
      <c r="L5915" s="166" t="str">
        <f t="shared" si="371"/>
        <v>11/2019</v>
      </c>
      <c r="M5915" s="82"/>
      <c r="N5915" s="82"/>
    </row>
    <row r="5916" spans="1:14" x14ac:dyDescent="0.25">
      <c r="A5916" s="170" t="s">
        <v>8410</v>
      </c>
      <c r="B5916" s="170" t="s">
        <v>8411</v>
      </c>
      <c r="C5916" s="170" t="s">
        <v>85</v>
      </c>
      <c r="D5916" s="170" t="s">
        <v>1947</v>
      </c>
      <c r="E5916" s="171" t="s">
        <v>34425</v>
      </c>
      <c r="F5916" s="171" t="s">
        <v>37513</v>
      </c>
      <c r="G5916" s="82"/>
      <c r="H5916" s="96">
        <f t="shared" si="368"/>
        <v>184.43</v>
      </c>
      <c r="I5916" s="96">
        <f t="shared" si="368"/>
        <v>185.3</v>
      </c>
      <c r="J5916" s="91" t="str">
        <f t="shared" si="369"/>
        <v>Sinapi 100565</v>
      </c>
      <c r="K5916" s="91" t="str">
        <f t="shared" si="370"/>
        <v>M3</v>
      </c>
      <c r="L5916" s="166" t="str">
        <f t="shared" si="371"/>
        <v>11/2019</v>
      </c>
      <c r="M5916" s="82"/>
      <c r="N5916" s="82"/>
    </row>
    <row r="5917" spans="1:14" x14ac:dyDescent="0.25">
      <c r="A5917" s="170" t="s">
        <v>8412</v>
      </c>
      <c r="B5917" s="170" t="s">
        <v>8413</v>
      </c>
      <c r="C5917" s="170" t="s">
        <v>85</v>
      </c>
      <c r="D5917" s="170" t="s">
        <v>1947</v>
      </c>
      <c r="E5917" s="171" t="s">
        <v>34426</v>
      </c>
      <c r="F5917" s="171" t="s">
        <v>37514</v>
      </c>
      <c r="G5917" s="82"/>
      <c r="H5917" s="96">
        <f t="shared" si="368"/>
        <v>331.79</v>
      </c>
      <c r="I5917" s="96">
        <f t="shared" si="368"/>
        <v>332.66</v>
      </c>
      <c r="J5917" s="91" t="str">
        <f t="shared" si="369"/>
        <v>Sinapi 100566</v>
      </c>
      <c r="K5917" s="91" t="str">
        <f t="shared" si="370"/>
        <v>M3</v>
      </c>
      <c r="L5917" s="166" t="str">
        <f t="shared" si="371"/>
        <v>11/2019</v>
      </c>
      <c r="M5917" s="82"/>
      <c r="N5917" s="82"/>
    </row>
    <row r="5918" spans="1:14" x14ac:dyDescent="0.25">
      <c r="A5918" s="170" t="s">
        <v>8414</v>
      </c>
      <c r="B5918" s="170" t="s">
        <v>8415</v>
      </c>
      <c r="C5918" s="170" t="s">
        <v>85</v>
      </c>
      <c r="D5918" s="170" t="s">
        <v>1947</v>
      </c>
      <c r="E5918" s="171" t="s">
        <v>34427</v>
      </c>
      <c r="F5918" s="171" t="s">
        <v>37515</v>
      </c>
      <c r="G5918" s="82"/>
      <c r="H5918" s="96">
        <f t="shared" si="368"/>
        <v>385.61</v>
      </c>
      <c r="I5918" s="96">
        <f t="shared" si="368"/>
        <v>386.48</v>
      </c>
      <c r="J5918" s="91" t="str">
        <f t="shared" si="369"/>
        <v>Sinapi 100567</v>
      </c>
      <c r="K5918" s="91" t="str">
        <f t="shared" si="370"/>
        <v>M3</v>
      </c>
      <c r="L5918" s="166" t="str">
        <f t="shared" si="371"/>
        <v>11/2019</v>
      </c>
      <c r="M5918" s="82"/>
      <c r="N5918" s="82"/>
    </row>
    <row r="5919" spans="1:14" x14ac:dyDescent="0.25">
      <c r="A5919" s="170" t="s">
        <v>8416</v>
      </c>
      <c r="B5919" s="170" t="s">
        <v>8417</v>
      </c>
      <c r="C5919" s="170" t="s">
        <v>85</v>
      </c>
      <c r="D5919" s="170" t="s">
        <v>1947</v>
      </c>
      <c r="E5919" s="171" t="s">
        <v>34428</v>
      </c>
      <c r="F5919" s="171" t="s">
        <v>37516</v>
      </c>
      <c r="G5919" s="82"/>
      <c r="H5919" s="96">
        <f t="shared" si="368"/>
        <v>438.45</v>
      </c>
      <c r="I5919" s="96">
        <f t="shared" si="368"/>
        <v>439.32</v>
      </c>
      <c r="J5919" s="91" t="str">
        <f t="shared" si="369"/>
        <v>Sinapi 100568</v>
      </c>
      <c r="K5919" s="91" t="str">
        <f t="shared" si="370"/>
        <v>M3</v>
      </c>
      <c r="L5919" s="166" t="str">
        <f t="shared" si="371"/>
        <v>11/2019</v>
      </c>
      <c r="M5919" s="82"/>
      <c r="N5919" s="82"/>
    </row>
    <row r="5920" spans="1:14" x14ac:dyDescent="0.25">
      <c r="A5920" s="170" t="s">
        <v>8418</v>
      </c>
      <c r="B5920" s="170" t="s">
        <v>8419</v>
      </c>
      <c r="C5920" s="170" t="s">
        <v>85</v>
      </c>
      <c r="D5920" s="170" t="s">
        <v>1947</v>
      </c>
      <c r="E5920" s="171" t="s">
        <v>34429</v>
      </c>
      <c r="F5920" s="171" t="s">
        <v>37517</v>
      </c>
      <c r="G5920" s="82"/>
      <c r="H5920" s="96">
        <f t="shared" si="368"/>
        <v>300.61</v>
      </c>
      <c r="I5920" s="96">
        <f t="shared" si="368"/>
        <v>301.48</v>
      </c>
      <c r="J5920" s="91" t="str">
        <f t="shared" si="369"/>
        <v>Sinapi 100569</v>
      </c>
      <c r="K5920" s="91" t="str">
        <f t="shared" si="370"/>
        <v>M3</v>
      </c>
      <c r="L5920" s="166" t="str">
        <f t="shared" si="371"/>
        <v>11/2019</v>
      </c>
      <c r="M5920" s="82"/>
      <c r="N5920" s="82"/>
    </row>
    <row r="5921" spans="1:14" x14ac:dyDescent="0.25">
      <c r="A5921" s="170" t="s">
        <v>8420</v>
      </c>
      <c r="B5921" s="170" t="s">
        <v>8421</v>
      </c>
      <c r="C5921" s="170" t="s">
        <v>85</v>
      </c>
      <c r="D5921" s="170" t="s">
        <v>1947</v>
      </c>
      <c r="E5921" s="171" t="s">
        <v>34430</v>
      </c>
      <c r="F5921" s="171" t="s">
        <v>37518</v>
      </c>
      <c r="G5921" s="82"/>
      <c r="H5921" s="96">
        <f t="shared" si="368"/>
        <v>357.24</v>
      </c>
      <c r="I5921" s="96">
        <f t="shared" si="368"/>
        <v>358.13</v>
      </c>
      <c r="J5921" s="91" t="str">
        <f t="shared" si="369"/>
        <v>Sinapi 100570</v>
      </c>
      <c r="K5921" s="91" t="str">
        <f t="shared" si="370"/>
        <v>M3</v>
      </c>
      <c r="L5921" s="166" t="str">
        <f t="shared" si="371"/>
        <v>11/2019</v>
      </c>
      <c r="M5921" s="82"/>
      <c r="N5921" s="82"/>
    </row>
    <row r="5922" spans="1:14" x14ac:dyDescent="0.25">
      <c r="A5922" s="170" t="s">
        <v>8422</v>
      </c>
      <c r="B5922" s="170" t="s">
        <v>8423</v>
      </c>
      <c r="C5922" s="170" t="s">
        <v>85</v>
      </c>
      <c r="D5922" s="170" t="s">
        <v>1947</v>
      </c>
      <c r="E5922" s="171" t="s">
        <v>34431</v>
      </c>
      <c r="F5922" s="171" t="s">
        <v>37519</v>
      </c>
      <c r="G5922" s="82"/>
      <c r="H5922" s="96">
        <f t="shared" si="368"/>
        <v>408.68</v>
      </c>
      <c r="I5922" s="96">
        <f t="shared" si="368"/>
        <v>409.55</v>
      </c>
      <c r="J5922" s="91" t="str">
        <f t="shared" si="369"/>
        <v>Sinapi 100571</v>
      </c>
      <c r="K5922" s="91" t="str">
        <f t="shared" si="370"/>
        <v>M3</v>
      </c>
      <c r="L5922" s="166" t="str">
        <f t="shared" si="371"/>
        <v>11/2019</v>
      </c>
      <c r="M5922" s="82"/>
      <c r="N5922" s="82"/>
    </row>
    <row r="5923" spans="1:14" x14ac:dyDescent="0.25">
      <c r="A5923" s="170" t="s">
        <v>8424</v>
      </c>
      <c r="B5923" s="170" t="s">
        <v>8425</v>
      </c>
      <c r="C5923" s="170" t="s">
        <v>85</v>
      </c>
      <c r="D5923" s="170" t="s">
        <v>1947</v>
      </c>
      <c r="E5923" s="171" t="s">
        <v>34432</v>
      </c>
      <c r="F5923" s="171" t="s">
        <v>28636</v>
      </c>
      <c r="G5923" s="82"/>
      <c r="H5923" s="96">
        <f t="shared" si="368"/>
        <v>221.3</v>
      </c>
      <c r="I5923" s="96">
        <f t="shared" si="368"/>
        <v>222.39</v>
      </c>
      <c r="J5923" s="91" t="str">
        <f t="shared" si="369"/>
        <v>Sinapi 100572</v>
      </c>
      <c r="K5923" s="91" t="str">
        <f t="shared" si="370"/>
        <v>M3</v>
      </c>
      <c r="L5923" s="166" t="str">
        <f t="shared" si="371"/>
        <v>11/2019</v>
      </c>
      <c r="M5923" s="82"/>
      <c r="N5923" s="82"/>
    </row>
    <row r="5924" spans="1:14" x14ac:dyDescent="0.25">
      <c r="A5924" s="170" t="s">
        <v>8426</v>
      </c>
      <c r="B5924" s="170" t="s">
        <v>8427</v>
      </c>
      <c r="C5924" s="170" t="s">
        <v>85</v>
      </c>
      <c r="D5924" s="170" t="s">
        <v>1947</v>
      </c>
      <c r="E5924" s="171" t="s">
        <v>34433</v>
      </c>
      <c r="F5924" s="171" t="s">
        <v>28518</v>
      </c>
      <c r="G5924" s="82"/>
      <c r="H5924" s="96">
        <f t="shared" si="368"/>
        <v>188.93</v>
      </c>
      <c r="I5924" s="96">
        <f t="shared" si="368"/>
        <v>190.02</v>
      </c>
      <c r="J5924" s="91" t="str">
        <f t="shared" si="369"/>
        <v>Sinapi 100573</v>
      </c>
      <c r="K5924" s="91" t="str">
        <f t="shared" si="370"/>
        <v>M3</v>
      </c>
      <c r="L5924" s="166" t="str">
        <f t="shared" si="371"/>
        <v>11/2019</v>
      </c>
      <c r="M5924" s="82"/>
      <c r="N5924" s="82"/>
    </row>
    <row r="5925" spans="1:14" x14ac:dyDescent="0.25">
      <c r="A5925" s="170" t="s">
        <v>8428</v>
      </c>
      <c r="B5925" s="170" t="s">
        <v>8429</v>
      </c>
      <c r="C5925" s="170" t="s">
        <v>85</v>
      </c>
      <c r="D5925" s="170" t="s">
        <v>1947</v>
      </c>
      <c r="E5925" s="171" t="s">
        <v>8384</v>
      </c>
      <c r="F5925" s="171" t="s">
        <v>10275</v>
      </c>
      <c r="G5925" s="82"/>
      <c r="H5925" s="96">
        <f t="shared" si="368"/>
        <v>1.37</v>
      </c>
      <c r="I5925" s="96">
        <f t="shared" si="368"/>
        <v>1.41</v>
      </c>
      <c r="J5925" s="91" t="str">
        <f t="shared" si="369"/>
        <v>Sinapi 100574</v>
      </c>
      <c r="K5925" s="91" t="str">
        <f t="shared" si="370"/>
        <v>M3</v>
      </c>
      <c r="L5925" s="166" t="str">
        <f t="shared" si="371"/>
        <v>11/2019</v>
      </c>
      <c r="M5925" s="82"/>
      <c r="N5925" s="82"/>
    </row>
    <row r="5926" spans="1:14" x14ac:dyDescent="0.25">
      <c r="A5926" s="170" t="s">
        <v>8430</v>
      </c>
      <c r="B5926" s="170" t="s">
        <v>8431</v>
      </c>
      <c r="C5926" s="170" t="s">
        <v>870</v>
      </c>
      <c r="D5926" s="170" t="s">
        <v>1947</v>
      </c>
      <c r="E5926" s="171" t="s">
        <v>2883</v>
      </c>
      <c r="F5926" s="171" t="s">
        <v>2888</v>
      </c>
      <c r="G5926" s="82"/>
      <c r="H5926" s="96">
        <f t="shared" si="368"/>
        <v>0.12</v>
      </c>
      <c r="I5926" s="96">
        <f t="shared" si="368"/>
        <v>0.13</v>
      </c>
      <c r="J5926" s="91" t="str">
        <f t="shared" si="369"/>
        <v>Sinapi 100575</v>
      </c>
      <c r="K5926" s="91" t="str">
        <f t="shared" si="370"/>
        <v>M2</v>
      </c>
      <c r="L5926" s="166" t="str">
        <f t="shared" si="371"/>
        <v>11/2019</v>
      </c>
      <c r="M5926" s="82"/>
      <c r="N5926" s="82"/>
    </row>
    <row r="5927" spans="1:14" x14ac:dyDescent="0.25">
      <c r="A5927" s="170" t="s">
        <v>11541</v>
      </c>
      <c r="B5927" s="170" t="s">
        <v>11542</v>
      </c>
      <c r="C5927" s="170" t="s">
        <v>85</v>
      </c>
      <c r="D5927" s="170" t="s">
        <v>1947</v>
      </c>
      <c r="E5927" s="171" t="s">
        <v>21169</v>
      </c>
      <c r="F5927" s="171" t="s">
        <v>19409</v>
      </c>
      <c r="G5927" s="82"/>
      <c r="H5927" s="96">
        <f t="shared" si="368"/>
        <v>26.37</v>
      </c>
      <c r="I5927" s="96">
        <f t="shared" si="368"/>
        <v>27.45</v>
      </c>
      <c r="J5927" s="91" t="str">
        <f t="shared" si="369"/>
        <v>Sinapi 101767</v>
      </c>
      <c r="K5927" s="91" t="str">
        <f t="shared" si="370"/>
        <v>M3</v>
      </c>
      <c r="L5927" s="166" t="str">
        <f t="shared" si="371"/>
        <v>11/2019</v>
      </c>
      <c r="M5927" s="82"/>
      <c r="N5927" s="82"/>
    </row>
    <row r="5928" spans="1:14" x14ac:dyDescent="0.25">
      <c r="A5928" s="170" t="s">
        <v>11543</v>
      </c>
      <c r="B5928" s="170" t="s">
        <v>11544</v>
      </c>
      <c r="C5928" s="170" t="s">
        <v>85</v>
      </c>
      <c r="D5928" s="170" t="s">
        <v>1947</v>
      </c>
      <c r="E5928" s="171" t="s">
        <v>28666</v>
      </c>
      <c r="F5928" s="171" t="s">
        <v>17879</v>
      </c>
      <c r="G5928" s="82"/>
      <c r="H5928" s="96">
        <f t="shared" si="368"/>
        <v>42.11</v>
      </c>
      <c r="I5928" s="96">
        <f t="shared" si="368"/>
        <v>43.02</v>
      </c>
      <c r="J5928" s="91" t="str">
        <f t="shared" si="369"/>
        <v>Sinapi 101768</v>
      </c>
      <c r="K5928" s="91" t="str">
        <f t="shared" si="370"/>
        <v>M3</v>
      </c>
      <c r="L5928" s="166" t="str">
        <f t="shared" si="371"/>
        <v>11/2019</v>
      </c>
      <c r="M5928" s="82"/>
      <c r="N5928" s="82"/>
    </row>
    <row r="5929" spans="1:14" x14ac:dyDescent="0.25">
      <c r="A5929" s="170" t="s">
        <v>8432</v>
      </c>
      <c r="B5929" s="170" t="s">
        <v>18434</v>
      </c>
      <c r="C5929" s="170" t="s">
        <v>870</v>
      </c>
      <c r="D5929" s="170" t="s">
        <v>1947</v>
      </c>
      <c r="E5929" s="171" t="s">
        <v>33812</v>
      </c>
      <c r="F5929" s="171" t="s">
        <v>33299</v>
      </c>
      <c r="G5929" s="82"/>
      <c r="H5929" s="96">
        <f t="shared" si="368"/>
        <v>109.62</v>
      </c>
      <c r="I5929" s="96">
        <f t="shared" si="368"/>
        <v>110.04</v>
      </c>
      <c r="J5929" s="91" t="str">
        <f t="shared" si="369"/>
        <v>Sinapi 92391</v>
      </c>
      <c r="K5929" s="91" t="str">
        <f t="shared" si="370"/>
        <v>M2</v>
      </c>
      <c r="L5929" s="166" t="str">
        <f t="shared" si="371"/>
        <v>10/2022</v>
      </c>
      <c r="M5929" s="82"/>
      <c r="N5929" s="82"/>
    </row>
    <row r="5930" spans="1:14" x14ac:dyDescent="0.25">
      <c r="A5930" s="170" t="s">
        <v>8433</v>
      </c>
      <c r="B5930" s="170" t="s">
        <v>18435</v>
      </c>
      <c r="C5930" s="170" t="s">
        <v>870</v>
      </c>
      <c r="D5930" s="170" t="s">
        <v>1947</v>
      </c>
      <c r="E5930" s="171" t="s">
        <v>34434</v>
      </c>
      <c r="F5930" s="171" t="s">
        <v>37520</v>
      </c>
      <c r="G5930" s="82"/>
      <c r="H5930" s="96">
        <f t="shared" si="368"/>
        <v>236.82</v>
      </c>
      <c r="I5930" s="96">
        <f t="shared" si="368"/>
        <v>237.31</v>
      </c>
      <c r="J5930" s="91" t="str">
        <f t="shared" si="369"/>
        <v>Sinapi 92392</v>
      </c>
      <c r="K5930" s="91" t="str">
        <f t="shared" si="370"/>
        <v>M2</v>
      </c>
      <c r="L5930" s="166" t="str">
        <f t="shared" si="371"/>
        <v>10/2022</v>
      </c>
      <c r="M5930" s="82"/>
      <c r="N5930" s="82"/>
    </row>
    <row r="5931" spans="1:14" x14ac:dyDescent="0.25">
      <c r="A5931" s="170" t="s">
        <v>8434</v>
      </c>
      <c r="B5931" s="170" t="s">
        <v>18436</v>
      </c>
      <c r="C5931" s="170" t="s">
        <v>870</v>
      </c>
      <c r="D5931" s="170" t="s">
        <v>1947</v>
      </c>
      <c r="E5931" s="171" t="s">
        <v>34435</v>
      </c>
      <c r="F5931" s="171" t="s">
        <v>37521</v>
      </c>
      <c r="G5931" s="82"/>
      <c r="H5931" s="96">
        <f t="shared" si="368"/>
        <v>106.95</v>
      </c>
      <c r="I5931" s="96">
        <f t="shared" si="368"/>
        <v>107.51</v>
      </c>
      <c r="J5931" s="91" t="str">
        <f t="shared" si="369"/>
        <v>Sinapi 92393</v>
      </c>
      <c r="K5931" s="91" t="str">
        <f t="shared" si="370"/>
        <v>M2</v>
      </c>
      <c r="L5931" s="166" t="str">
        <f t="shared" si="371"/>
        <v>10/2022</v>
      </c>
      <c r="M5931" s="82"/>
      <c r="N5931" s="82"/>
    </row>
    <row r="5932" spans="1:14" x14ac:dyDescent="0.25">
      <c r="A5932" s="170" t="s">
        <v>8435</v>
      </c>
      <c r="B5932" s="170" t="s">
        <v>18437</v>
      </c>
      <c r="C5932" s="170" t="s">
        <v>870</v>
      </c>
      <c r="D5932" s="170" t="s">
        <v>1947</v>
      </c>
      <c r="E5932" s="171" t="s">
        <v>34436</v>
      </c>
      <c r="F5932" s="171" t="s">
        <v>31395</v>
      </c>
      <c r="G5932" s="82"/>
      <c r="H5932" s="96">
        <f t="shared" si="368"/>
        <v>133.81</v>
      </c>
      <c r="I5932" s="96">
        <f t="shared" si="368"/>
        <v>134.55000000000001</v>
      </c>
      <c r="J5932" s="91" t="str">
        <f t="shared" si="369"/>
        <v>Sinapi 92394</v>
      </c>
      <c r="K5932" s="91" t="str">
        <f t="shared" si="370"/>
        <v>M2</v>
      </c>
      <c r="L5932" s="166" t="str">
        <f t="shared" si="371"/>
        <v>10/2022</v>
      </c>
      <c r="M5932" s="82"/>
      <c r="N5932" s="82"/>
    </row>
    <row r="5933" spans="1:14" x14ac:dyDescent="0.25">
      <c r="A5933" s="170" t="s">
        <v>8436</v>
      </c>
      <c r="B5933" s="170" t="s">
        <v>18438</v>
      </c>
      <c r="C5933" s="170" t="s">
        <v>870</v>
      </c>
      <c r="D5933" s="170" t="s">
        <v>1947</v>
      </c>
      <c r="E5933" s="171" t="s">
        <v>34437</v>
      </c>
      <c r="F5933" s="171" t="s">
        <v>28782</v>
      </c>
      <c r="G5933" s="82"/>
      <c r="H5933" s="96">
        <f t="shared" si="368"/>
        <v>160.68</v>
      </c>
      <c r="I5933" s="96">
        <f t="shared" si="368"/>
        <v>161.69999999999999</v>
      </c>
      <c r="J5933" s="91" t="str">
        <f t="shared" si="369"/>
        <v>Sinapi 92395</v>
      </c>
      <c r="K5933" s="91" t="str">
        <f t="shared" si="370"/>
        <v>M2</v>
      </c>
      <c r="L5933" s="166" t="str">
        <f t="shared" si="371"/>
        <v>10/2022</v>
      </c>
      <c r="M5933" s="82"/>
      <c r="N5933" s="82"/>
    </row>
    <row r="5934" spans="1:14" x14ac:dyDescent="0.25">
      <c r="A5934" s="170" t="s">
        <v>8437</v>
      </c>
      <c r="B5934" s="170" t="s">
        <v>18439</v>
      </c>
      <c r="C5934" s="170" t="s">
        <v>870</v>
      </c>
      <c r="D5934" s="170" t="s">
        <v>1947</v>
      </c>
      <c r="E5934" s="171" t="s">
        <v>34438</v>
      </c>
      <c r="F5934" s="171" t="s">
        <v>37522</v>
      </c>
      <c r="G5934" s="82"/>
      <c r="H5934" s="96">
        <f t="shared" si="368"/>
        <v>120.3</v>
      </c>
      <c r="I5934" s="96">
        <f t="shared" si="368"/>
        <v>121.96</v>
      </c>
      <c r="J5934" s="91" t="str">
        <f t="shared" si="369"/>
        <v>Sinapi 92396</v>
      </c>
      <c r="K5934" s="91" t="str">
        <f t="shared" si="370"/>
        <v>M2</v>
      </c>
      <c r="L5934" s="166" t="str">
        <f t="shared" si="371"/>
        <v>10/2022</v>
      </c>
      <c r="M5934" s="82"/>
      <c r="N5934" s="82"/>
    </row>
    <row r="5935" spans="1:14" x14ac:dyDescent="0.25">
      <c r="A5935" s="170" t="s">
        <v>8438</v>
      </c>
      <c r="B5935" s="170" t="s">
        <v>18440</v>
      </c>
      <c r="C5935" s="170" t="s">
        <v>870</v>
      </c>
      <c r="D5935" s="170" t="s">
        <v>1947</v>
      </c>
      <c r="E5935" s="171" t="s">
        <v>29235</v>
      </c>
      <c r="F5935" s="171" t="s">
        <v>37523</v>
      </c>
      <c r="G5935" s="82"/>
      <c r="H5935" s="96">
        <f t="shared" si="368"/>
        <v>110.24</v>
      </c>
      <c r="I5935" s="96">
        <f t="shared" si="368"/>
        <v>111.14</v>
      </c>
      <c r="J5935" s="91" t="str">
        <f t="shared" si="369"/>
        <v>Sinapi 92397</v>
      </c>
      <c r="K5935" s="91" t="str">
        <f t="shared" si="370"/>
        <v>M2</v>
      </c>
      <c r="L5935" s="166" t="str">
        <f t="shared" si="371"/>
        <v>10/2022</v>
      </c>
      <c r="M5935" s="82"/>
      <c r="N5935" s="82"/>
    </row>
    <row r="5936" spans="1:14" x14ac:dyDescent="0.25">
      <c r="A5936" s="170" t="s">
        <v>8439</v>
      </c>
      <c r="B5936" s="170" t="s">
        <v>18441</v>
      </c>
      <c r="C5936" s="170" t="s">
        <v>870</v>
      </c>
      <c r="D5936" s="170" t="s">
        <v>1947</v>
      </c>
      <c r="E5936" s="171" t="s">
        <v>34439</v>
      </c>
      <c r="F5936" s="171" t="s">
        <v>25191</v>
      </c>
      <c r="G5936" s="82"/>
      <c r="H5936" s="96">
        <f t="shared" si="368"/>
        <v>137.99</v>
      </c>
      <c r="I5936" s="96">
        <f t="shared" si="368"/>
        <v>139.16</v>
      </c>
      <c r="J5936" s="91" t="str">
        <f t="shared" si="369"/>
        <v>Sinapi 92398</v>
      </c>
      <c r="K5936" s="91" t="str">
        <f t="shared" si="370"/>
        <v>M2</v>
      </c>
      <c r="L5936" s="166" t="str">
        <f t="shared" si="371"/>
        <v>10/2022</v>
      </c>
      <c r="M5936" s="82"/>
      <c r="N5936" s="82"/>
    </row>
    <row r="5937" spans="1:14" x14ac:dyDescent="0.25">
      <c r="A5937" s="170" t="s">
        <v>8440</v>
      </c>
      <c r="B5937" s="170" t="s">
        <v>18442</v>
      </c>
      <c r="C5937" s="170" t="s">
        <v>870</v>
      </c>
      <c r="D5937" s="170" t="s">
        <v>1947</v>
      </c>
      <c r="E5937" s="171" t="s">
        <v>34440</v>
      </c>
      <c r="F5937" s="171" t="s">
        <v>37524</v>
      </c>
      <c r="G5937" s="82"/>
      <c r="H5937" s="96">
        <f t="shared" si="368"/>
        <v>162.22</v>
      </c>
      <c r="I5937" s="96">
        <f t="shared" si="368"/>
        <v>163.66</v>
      </c>
      <c r="J5937" s="91" t="str">
        <f t="shared" si="369"/>
        <v>Sinapi 92400</v>
      </c>
      <c r="K5937" s="91" t="str">
        <f t="shared" si="370"/>
        <v>M2</v>
      </c>
      <c r="L5937" s="166" t="str">
        <f t="shared" si="371"/>
        <v>10/2022</v>
      </c>
      <c r="M5937" s="82"/>
      <c r="N5937" s="82"/>
    </row>
    <row r="5938" spans="1:14" x14ac:dyDescent="0.25">
      <c r="A5938" s="170" t="s">
        <v>8441</v>
      </c>
      <c r="B5938" s="170" t="s">
        <v>18443</v>
      </c>
      <c r="C5938" s="170" t="s">
        <v>870</v>
      </c>
      <c r="D5938" s="170" t="s">
        <v>1947</v>
      </c>
      <c r="E5938" s="171" t="s">
        <v>28798</v>
      </c>
      <c r="F5938" s="171" t="s">
        <v>37525</v>
      </c>
      <c r="G5938" s="82"/>
      <c r="H5938" s="96">
        <f t="shared" si="368"/>
        <v>118.79</v>
      </c>
      <c r="I5938" s="96">
        <f t="shared" si="368"/>
        <v>120.21</v>
      </c>
      <c r="J5938" s="91" t="str">
        <f t="shared" si="369"/>
        <v>Sinapi 92402</v>
      </c>
      <c r="K5938" s="91" t="str">
        <f t="shared" si="370"/>
        <v>M2</v>
      </c>
      <c r="L5938" s="166" t="str">
        <f t="shared" si="371"/>
        <v>10/2022</v>
      </c>
      <c r="M5938" s="82"/>
      <c r="N5938" s="82"/>
    </row>
    <row r="5939" spans="1:14" x14ac:dyDescent="0.25">
      <c r="A5939" s="170" t="s">
        <v>8442</v>
      </c>
      <c r="B5939" s="170" t="s">
        <v>18444</v>
      </c>
      <c r="C5939" s="170" t="s">
        <v>870</v>
      </c>
      <c r="D5939" s="170" t="s">
        <v>1947</v>
      </c>
      <c r="E5939" s="171" t="s">
        <v>24512</v>
      </c>
      <c r="F5939" s="171" t="s">
        <v>37526</v>
      </c>
      <c r="G5939" s="82"/>
      <c r="H5939" s="96">
        <f t="shared" si="368"/>
        <v>108.14</v>
      </c>
      <c r="I5939" s="96">
        <f t="shared" si="368"/>
        <v>108.82</v>
      </c>
      <c r="J5939" s="91" t="str">
        <f t="shared" si="369"/>
        <v>Sinapi 92403</v>
      </c>
      <c r="K5939" s="91" t="str">
        <f t="shared" si="370"/>
        <v>M2</v>
      </c>
      <c r="L5939" s="166" t="str">
        <f t="shared" si="371"/>
        <v>10/2022</v>
      </c>
      <c r="M5939" s="82"/>
      <c r="N5939" s="82"/>
    </row>
    <row r="5940" spans="1:14" x14ac:dyDescent="0.25">
      <c r="A5940" s="170" t="s">
        <v>8443</v>
      </c>
      <c r="B5940" s="170" t="s">
        <v>18445</v>
      </c>
      <c r="C5940" s="170" t="s">
        <v>870</v>
      </c>
      <c r="D5940" s="170" t="s">
        <v>1947</v>
      </c>
      <c r="E5940" s="171" t="s">
        <v>34441</v>
      </c>
      <c r="F5940" s="171" t="s">
        <v>37527</v>
      </c>
      <c r="G5940" s="82"/>
      <c r="H5940" s="96">
        <f t="shared" si="368"/>
        <v>135.88</v>
      </c>
      <c r="I5940" s="96">
        <f t="shared" si="368"/>
        <v>136.83000000000001</v>
      </c>
      <c r="J5940" s="91" t="str">
        <f t="shared" si="369"/>
        <v>Sinapi 92404</v>
      </c>
      <c r="K5940" s="91" t="str">
        <f t="shared" si="370"/>
        <v>M2</v>
      </c>
      <c r="L5940" s="166" t="str">
        <f t="shared" si="371"/>
        <v>10/2022</v>
      </c>
      <c r="M5940" s="82"/>
      <c r="N5940" s="82"/>
    </row>
    <row r="5941" spans="1:14" x14ac:dyDescent="0.25">
      <c r="A5941" s="170" t="s">
        <v>8444</v>
      </c>
      <c r="B5941" s="170" t="s">
        <v>18446</v>
      </c>
      <c r="C5941" s="170" t="s">
        <v>870</v>
      </c>
      <c r="D5941" s="170" t="s">
        <v>1947</v>
      </c>
      <c r="E5941" s="171" t="s">
        <v>28896</v>
      </c>
      <c r="F5941" s="171" t="s">
        <v>37528</v>
      </c>
      <c r="G5941" s="82"/>
      <c r="H5941" s="96">
        <f t="shared" si="368"/>
        <v>163.27000000000001</v>
      </c>
      <c r="I5941" s="96">
        <f t="shared" si="368"/>
        <v>164.49</v>
      </c>
      <c r="J5941" s="91" t="str">
        <f t="shared" si="369"/>
        <v>Sinapi 92406</v>
      </c>
      <c r="K5941" s="91" t="str">
        <f t="shared" si="370"/>
        <v>M2</v>
      </c>
      <c r="L5941" s="166" t="str">
        <f t="shared" si="371"/>
        <v>10/2022</v>
      </c>
      <c r="M5941" s="82"/>
      <c r="N5941" s="82"/>
    </row>
    <row r="5942" spans="1:14" x14ac:dyDescent="0.25">
      <c r="A5942" s="170" t="s">
        <v>8445</v>
      </c>
      <c r="B5942" s="170" t="s">
        <v>18447</v>
      </c>
      <c r="C5942" s="170" t="s">
        <v>870</v>
      </c>
      <c r="D5942" s="170" t="s">
        <v>1947</v>
      </c>
      <c r="E5942" s="171" t="s">
        <v>34442</v>
      </c>
      <c r="F5942" s="171" t="s">
        <v>37529</v>
      </c>
      <c r="G5942" s="82"/>
      <c r="H5942" s="96">
        <f t="shared" si="368"/>
        <v>135.84</v>
      </c>
      <c r="I5942" s="96">
        <f t="shared" si="368"/>
        <v>137.5</v>
      </c>
      <c r="J5942" s="91" t="str">
        <f t="shared" si="369"/>
        <v>Sinapi 93679</v>
      </c>
      <c r="K5942" s="91" t="str">
        <f t="shared" si="370"/>
        <v>M2</v>
      </c>
      <c r="L5942" s="166" t="str">
        <f t="shared" si="371"/>
        <v>10/2022</v>
      </c>
      <c r="M5942" s="82"/>
      <c r="N5942" s="82"/>
    </row>
    <row r="5943" spans="1:14" x14ac:dyDescent="0.25">
      <c r="A5943" s="170" t="s">
        <v>8446</v>
      </c>
      <c r="B5943" s="170" t="s">
        <v>18448</v>
      </c>
      <c r="C5943" s="170" t="s">
        <v>870</v>
      </c>
      <c r="D5943" s="170" t="s">
        <v>1947</v>
      </c>
      <c r="E5943" s="171" t="s">
        <v>34443</v>
      </c>
      <c r="F5943" s="171" t="s">
        <v>23127</v>
      </c>
      <c r="G5943" s="82"/>
      <c r="H5943" s="96">
        <f t="shared" si="368"/>
        <v>125.38</v>
      </c>
      <c r="I5943" s="96">
        <f t="shared" si="368"/>
        <v>126.28</v>
      </c>
      <c r="J5943" s="91" t="str">
        <f t="shared" si="369"/>
        <v>Sinapi 93680</v>
      </c>
      <c r="K5943" s="91" t="str">
        <f t="shared" si="370"/>
        <v>M2</v>
      </c>
      <c r="L5943" s="166" t="str">
        <f t="shared" si="371"/>
        <v>10/2022</v>
      </c>
      <c r="M5943" s="82"/>
      <c r="N5943" s="82"/>
    </row>
    <row r="5944" spans="1:14" x14ac:dyDescent="0.25">
      <c r="A5944" s="170" t="s">
        <v>8447</v>
      </c>
      <c r="B5944" s="170" t="s">
        <v>18449</v>
      </c>
      <c r="C5944" s="170" t="s">
        <v>870</v>
      </c>
      <c r="D5944" s="170" t="s">
        <v>1947</v>
      </c>
      <c r="E5944" s="171" t="s">
        <v>22007</v>
      </c>
      <c r="F5944" s="171" t="s">
        <v>37530</v>
      </c>
      <c r="G5944" s="82"/>
      <c r="H5944" s="96">
        <f t="shared" si="368"/>
        <v>150.13</v>
      </c>
      <c r="I5944" s="96">
        <f t="shared" si="368"/>
        <v>151.30000000000001</v>
      </c>
      <c r="J5944" s="91" t="str">
        <f t="shared" si="369"/>
        <v>Sinapi 93681</v>
      </c>
      <c r="K5944" s="91" t="str">
        <f t="shared" si="370"/>
        <v>M2</v>
      </c>
      <c r="L5944" s="166" t="str">
        <f t="shared" si="371"/>
        <v>10/2022</v>
      </c>
      <c r="M5944" s="82"/>
      <c r="N5944" s="82"/>
    </row>
    <row r="5945" spans="1:14" x14ac:dyDescent="0.25">
      <c r="A5945" s="170" t="s">
        <v>12303</v>
      </c>
      <c r="B5945" s="170" t="s">
        <v>16152</v>
      </c>
      <c r="C5945" s="170" t="s">
        <v>870</v>
      </c>
      <c r="D5945" s="170" t="s">
        <v>1947</v>
      </c>
      <c r="E5945" s="171" t="s">
        <v>34444</v>
      </c>
      <c r="F5945" s="171" t="s">
        <v>37531</v>
      </c>
      <c r="G5945" s="82"/>
      <c r="H5945" s="96">
        <f t="shared" si="368"/>
        <v>243.76</v>
      </c>
      <c r="I5945" s="96">
        <f t="shared" si="368"/>
        <v>245.4</v>
      </c>
      <c r="J5945" s="91" t="str">
        <f t="shared" si="369"/>
        <v>Sinapi 97104</v>
      </c>
      <c r="K5945" s="91" t="str">
        <f t="shared" si="370"/>
        <v>M2</v>
      </c>
      <c r="L5945" s="166" t="str">
        <f t="shared" si="371"/>
        <v>04/2022</v>
      </c>
      <c r="M5945" s="82"/>
      <c r="N5945" s="82"/>
    </row>
    <row r="5946" spans="1:14" x14ac:dyDescent="0.25">
      <c r="A5946" s="170" t="s">
        <v>12304</v>
      </c>
      <c r="B5946" s="170" t="s">
        <v>16153</v>
      </c>
      <c r="C5946" s="170" t="s">
        <v>870</v>
      </c>
      <c r="D5946" s="170" t="s">
        <v>1947</v>
      </c>
      <c r="E5946" s="171" t="s">
        <v>34445</v>
      </c>
      <c r="F5946" s="171" t="s">
        <v>37532</v>
      </c>
      <c r="G5946" s="82"/>
      <c r="H5946" s="96">
        <f t="shared" si="368"/>
        <v>279.48</v>
      </c>
      <c r="I5946" s="96">
        <f t="shared" si="368"/>
        <v>281.23</v>
      </c>
      <c r="J5946" s="91" t="str">
        <f t="shared" si="369"/>
        <v>Sinapi 97105</v>
      </c>
      <c r="K5946" s="91" t="str">
        <f t="shared" si="370"/>
        <v>M2</v>
      </c>
      <c r="L5946" s="166" t="str">
        <f t="shared" si="371"/>
        <v>04/2022</v>
      </c>
      <c r="M5946" s="82"/>
      <c r="N5946" s="82"/>
    </row>
    <row r="5947" spans="1:14" x14ac:dyDescent="0.25">
      <c r="A5947" s="170" t="s">
        <v>12305</v>
      </c>
      <c r="B5947" s="170" t="s">
        <v>16154</v>
      </c>
      <c r="C5947" s="170" t="s">
        <v>870</v>
      </c>
      <c r="D5947" s="170" t="s">
        <v>1947</v>
      </c>
      <c r="E5947" s="171" t="s">
        <v>34446</v>
      </c>
      <c r="F5947" s="171" t="s">
        <v>37533</v>
      </c>
      <c r="G5947" s="82"/>
      <c r="H5947" s="96">
        <f t="shared" si="368"/>
        <v>314.48</v>
      </c>
      <c r="I5947" s="96">
        <f t="shared" si="368"/>
        <v>316.33999999999997</v>
      </c>
      <c r="J5947" s="91" t="str">
        <f t="shared" si="369"/>
        <v>Sinapi 97106</v>
      </c>
      <c r="K5947" s="91" t="str">
        <f t="shared" si="370"/>
        <v>M2</v>
      </c>
      <c r="L5947" s="166" t="str">
        <f t="shared" si="371"/>
        <v>04/2022</v>
      </c>
      <c r="M5947" s="82"/>
      <c r="N5947" s="82"/>
    </row>
    <row r="5948" spans="1:14" x14ac:dyDescent="0.25">
      <c r="A5948" s="170" t="s">
        <v>12306</v>
      </c>
      <c r="B5948" s="170" t="s">
        <v>16155</v>
      </c>
      <c r="C5948" s="170" t="s">
        <v>870</v>
      </c>
      <c r="D5948" s="170" t="s">
        <v>1947</v>
      </c>
      <c r="E5948" s="171" t="s">
        <v>34447</v>
      </c>
      <c r="F5948" s="171" t="s">
        <v>37534</v>
      </c>
      <c r="G5948" s="82"/>
      <c r="H5948" s="96">
        <f t="shared" si="368"/>
        <v>356.99</v>
      </c>
      <c r="I5948" s="96">
        <f t="shared" si="368"/>
        <v>358.95</v>
      </c>
      <c r="J5948" s="91" t="str">
        <f t="shared" si="369"/>
        <v>Sinapi 97107</v>
      </c>
      <c r="K5948" s="91" t="str">
        <f t="shared" si="370"/>
        <v>M2</v>
      </c>
      <c r="L5948" s="166" t="str">
        <f t="shared" si="371"/>
        <v>04/2022</v>
      </c>
      <c r="M5948" s="82"/>
      <c r="N5948" s="82"/>
    </row>
    <row r="5949" spans="1:14" x14ac:dyDescent="0.25">
      <c r="A5949" s="170" t="s">
        <v>12307</v>
      </c>
      <c r="B5949" s="170" t="s">
        <v>16156</v>
      </c>
      <c r="C5949" s="170" t="s">
        <v>870</v>
      </c>
      <c r="D5949" s="170" t="s">
        <v>1947</v>
      </c>
      <c r="E5949" s="171" t="s">
        <v>34448</v>
      </c>
      <c r="F5949" s="171" t="s">
        <v>37535</v>
      </c>
      <c r="G5949" s="82"/>
      <c r="H5949" s="96">
        <f t="shared" si="368"/>
        <v>404.52</v>
      </c>
      <c r="I5949" s="96">
        <f t="shared" si="368"/>
        <v>406.58</v>
      </c>
      <c r="J5949" s="91" t="str">
        <f t="shared" si="369"/>
        <v>Sinapi 97108</v>
      </c>
      <c r="K5949" s="91" t="str">
        <f t="shared" si="370"/>
        <v>M2</v>
      </c>
      <c r="L5949" s="166" t="str">
        <f t="shared" si="371"/>
        <v>04/2022</v>
      </c>
      <c r="M5949" s="82"/>
      <c r="N5949" s="82"/>
    </row>
    <row r="5950" spans="1:14" x14ac:dyDescent="0.25">
      <c r="A5950" s="170" t="s">
        <v>12308</v>
      </c>
      <c r="B5950" s="170" t="s">
        <v>16157</v>
      </c>
      <c r="C5950" s="170" t="s">
        <v>870</v>
      </c>
      <c r="D5950" s="170" t="s">
        <v>1947</v>
      </c>
      <c r="E5950" s="171" t="s">
        <v>34449</v>
      </c>
      <c r="F5950" s="171" t="s">
        <v>37536</v>
      </c>
      <c r="G5950" s="82"/>
      <c r="H5950" s="96">
        <f t="shared" si="368"/>
        <v>446.65</v>
      </c>
      <c r="I5950" s="96">
        <f t="shared" si="368"/>
        <v>448.9</v>
      </c>
      <c r="J5950" s="91" t="str">
        <f t="shared" si="369"/>
        <v>Sinapi 97109</v>
      </c>
      <c r="K5950" s="91" t="str">
        <f t="shared" si="370"/>
        <v>M2</v>
      </c>
      <c r="L5950" s="166" t="str">
        <f t="shared" si="371"/>
        <v>04/2022</v>
      </c>
      <c r="M5950" s="82"/>
      <c r="N5950" s="82"/>
    </row>
    <row r="5951" spans="1:14" x14ac:dyDescent="0.25">
      <c r="A5951" s="170" t="s">
        <v>12309</v>
      </c>
      <c r="B5951" s="170" t="s">
        <v>16158</v>
      </c>
      <c r="C5951" s="170" t="s">
        <v>870</v>
      </c>
      <c r="D5951" s="170" t="s">
        <v>1947</v>
      </c>
      <c r="E5951" s="171" t="s">
        <v>34450</v>
      </c>
      <c r="F5951" s="171" t="s">
        <v>37537</v>
      </c>
      <c r="G5951" s="82"/>
      <c r="H5951" s="96">
        <f t="shared" si="368"/>
        <v>335.55</v>
      </c>
      <c r="I5951" s="96">
        <f t="shared" si="368"/>
        <v>337.67</v>
      </c>
      <c r="J5951" s="91" t="str">
        <f t="shared" si="369"/>
        <v>Sinapi 97111</v>
      </c>
      <c r="K5951" s="91" t="str">
        <f t="shared" si="370"/>
        <v>M2</v>
      </c>
      <c r="L5951" s="166" t="str">
        <f t="shared" si="371"/>
        <v>04/2022</v>
      </c>
      <c r="M5951" s="82"/>
      <c r="N5951" s="82"/>
    </row>
    <row r="5952" spans="1:14" x14ac:dyDescent="0.25">
      <c r="A5952" s="170" t="s">
        <v>12310</v>
      </c>
      <c r="B5952" s="170" t="s">
        <v>16159</v>
      </c>
      <c r="C5952" s="170" t="s">
        <v>870</v>
      </c>
      <c r="D5952" s="170" t="s">
        <v>1947</v>
      </c>
      <c r="E5952" s="171" t="s">
        <v>34451</v>
      </c>
      <c r="F5952" s="171" t="s">
        <v>37538</v>
      </c>
      <c r="G5952" s="82"/>
      <c r="H5952" s="96">
        <f t="shared" si="368"/>
        <v>328.82</v>
      </c>
      <c r="I5952" s="96">
        <f t="shared" si="368"/>
        <v>330.87</v>
      </c>
      <c r="J5952" s="91" t="str">
        <f t="shared" si="369"/>
        <v>Sinapi 97112</v>
      </c>
      <c r="K5952" s="91" t="str">
        <f t="shared" si="370"/>
        <v>M2</v>
      </c>
      <c r="L5952" s="166" t="str">
        <f t="shared" si="371"/>
        <v>04/2022</v>
      </c>
      <c r="M5952" s="82"/>
      <c r="N5952" s="82"/>
    </row>
    <row r="5953" spans="1:14" x14ac:dyDescent="0.25">
      <c r="A5953" s="170" t="s">
        <v>12311</v>
      </c>
      <c r="B5953" s="170" t="s">
        <v>16160</v>
      </c>
      <c r="C5953" s="170" t="s">
        <v>870</v>
      </c>
      <c r="D5953" s="170" t="s">
        <v>2067</v>
      </c>
      <c r="E5953" s="171" t="s">
        <v>17916</v>
      </c>
      <c r="F5953" s="171" t="s">
        <v>10392</v>
      </c>
      <c r="G5953" s="82"/>
      <c r="H5953" s="96">
        <f t="shared" si="368"/>
        <v>2.5499999999999998</v>
      </c>
      <c r="I5953" s="96">
        <f t="shared" si="368"/>
        <v>2.58</v>
      </c>
      <c r="J5953" s="91" t="str">
        <f t="shared" si="369"/>
        <v>Sinapi 97113</v>
      </c>
      <c r="K5953" s="91" t="str">
        <f t="shared" si="370"/>
        <v>M2</v>
      </c>
      <c r="L5953" s="166" t="str">
        <f t="shared" si="371"/>
        <v>04/2022</v>
      </c>
      <c r="M5953" s="82"/>
      <c r="N5953" s="82"/>
    </row>
    <row r="5954" spans="1:14" x14ac:dyDescent="0.25">
      <c r="A5954" s="170" t="s">
        <v>8448</v>
      </c>
      <c r="B5954" s="170" t="s">
        <v>16161</v>
      </c>
      <c r="C5954" s="170" t="s">
        <v>385</v>
      </c>
      <c r="D5954" s="170" t="s">
        <v>2067</v>
      </c>
      <c r="E5954" s="171" t="s">
        <v>2816</v>
      </c>
      <c r="F5954" s="171" t="s">
        <v>2700</v>
      </c>
      <c r="G5954" s="82"/>
      <c r="H5954" s="96">
        <f t="shared" si="368"/>
        <v>0.33</v>
      </c>
      <c r="I5954" s="96">
        <f t="shared" si="368"/>
        <v>0.36</v>
      </c>
      <c r="J5954" s="91" t="str">
        <f t="shared" si="369"/>
        <v>Sinapi 97114</v>
      </c>
      <c r="K5954" s="91" t="str">
        <f t="shared" si="370"/>
        <v>M</v>
      </c>
      <c r="L5954" s="166" t="str">
        <f t="shared" si="371"/>
        <v>04/2022</v>
      </c>
      <c r="M5954" s="82"/>
      <c r="N5954" s="82"/>
    </row>
    <row r="5955" spans="1:14" x14ac:dyDescent="0.25">
      <c r="A5955" s="170" t="s">
        <v>8450</v>
      </c>
      <c r="B5955" s="170" t="s">
        <v>16162</v>
      </c>
      <c r="C5955" s="170" t="s">
        <v>774</v>
      </c>
      <c r="D5955" s="170" t="s">
        <v>2067</v>
      </c>
      <c r="E5955" s="171" t="s">
        <v>28478</v>
      </c>
      <c r="F5955" s="171" t="s">
        <v>30861</v>
      </c>
      <c r="G5955" s="82"/>
      <c r="H5955" s="96">
        <f t="shared" si="368"/>
        <v>52.88</v>
      </c>
      <c r="I5955" s="96">
        <f t="shared" si="368"/>
        <v>54.11</v>
      </c>
      <c r="J5955" s="91" t="str">
        <f t="shared" si="369"/>
        <v>Sinapi 97115</v>
      </c>
      <c r="K5955" s="91" t="str">
        <f t="shared" si="370"/>
        <v>KG</v>
      </c>
      <c r="L5955" s="166" t="str">
        <f t="shared" si="371"/>
        <v>04/2022</v>
      </c>
      <c r="M5955" s="82"/>
      <c r="N5955" s="82"/>
    </row>
    <row r="5956" spans="1:14" x14ac:dyDescent="0.25">
      <c r="A5956" s="170" t="s">
        <v>12312</v>
      </c>
      <c r="B5956" s="170" t="s">
        <v>16163</v>
      </c>
      <c r="C5956" s="170" t="s">
        <v>774</v>
      </c>
      <c r="D5956" s="170" t="s">
        <v>1947</v>
      </c>
      <c r="E5956" s="171" t="s">
        <v>17399</v>
      </c>
      <c r="F5956" s="171" t="s">
        <v>23131</v>
      </c>
      <c r="G5956" s="82"/>
      <c r="H5956" s="96">
        <f t="shared" si="368"/>
        <v>23.18</v>
      </c>
      <c r="I5956" s="96">
        <f t="shared" si="368"/>
        <v>24.16</v>
      </c>
      <c r="J5956" s="91" t="str">
        <f t="shared" si="369"/>
        <v>Sinapi 97116</v>
      </c>
      <c r="K5956" s="91" t="str">
        <f t="shared" si="370"/>
        <v>KG</v>
      </c>
      <c r="L5956" s="166" t="str">
        <f t="shared" si="371"/>
        <v>04/2022</v>
      </c>
      <c r="M5956" s="82"/>
      <c r="N5956" s="82"/>
    </row>
    <row r="5957" spans="1:14" x14ac:dyDescent="0.25">
      <c r="A5957" s="170" t="s">
        <v>12313</v>
      </c>
      <c r="B5957" s="170" t="s">
        <v>16164</v>
      </c>
      <c r="C5957" s="170" t="s">
        <v>774</v>
      </c>
      <c r="D5957" s="170" t="s">
        <v>1947</v>
      </c>
      <c r="E5957" s="171" t="s">
        <v>21080</v>
      </c>
      <c r="F5957" s="171" t="s">
        <v>16714</v>
      </c>
      <c r="G5957" s="82"/>
      <c r="H5957" s="96">
        <f t="shared" si="368"/>
        <v>21.69</v>
      </c>
      <c r="I5957" s="96">
        <f t="shared" si="368"/>
        <v>22.32</v>
      </c>
      <c r="J5957" s="91" t="str">
        <f t="shared" si="369"/>
        <v>Sinapi 97117</v>
      </c>
      <c r="K5957" s="91" t="str">
        <f t="shared" si="370"/>
        <v>KG</v>
      </c>
      <c r="L5957" s="166" t="str">
        <f t="shared" si="371"/>
        <v>04/2022</v>
      </c>
      <c r="M5957" s="82"/>
      <c r="N5957" s="82"/>
    </row>
    <row r="5958" spans="1:14" x14ac:dyDescent="0.25">
      <c r="A5958" s="170" t="s">
        <v>12314</v>
      </c>
      <c r="B5958" s="170" t="s">
        <v>16165</v>
      </c>
      <c r="C5958" s="170" t="s">
        <v>774</v>
      </c>
      <c r="D5958" s="170" t="s">
        <v>1947</v>
      </c>
      <c r="E5958" s="171" t="s">
        <v>2005</v>
      </c>
      <c r="F5958" s="171" t="s">
        <v>23029</v>
      </c>
      <c r="G5958" s="82"/>
      <c r="H5958" s="96">
        <f t="shared" si="368"/>
        <v>18.73</v>
      </c>
      <c r="I5958" s="96">
        <f t="shared" si="368"/>
        <v>19.13</v>
      </c>
      <c r="J5958" s="91" t="str">
        <f t="shared" si="369"/>
        <v>Sinapi 97118</v>
      </c>
      <c r="K5958" s="91" t="str">
        <f t="shared" si="370"/>
        <v>KG</v>
      </c>
      <c r="L5958" s="166" t="str">
        <f t="shared" si="371"/>
        <v>04/2022</v>
      </c>
      <c r="M5958" s="82"/>
      <c r="N5958" s="82"/>
    </row>
    <row r="5959" spans="1:14" x14ac:dyDescent="0.25">
      <c r="A5959" s="170" t="s">
        <v>12315</v>
      </c>
      <c r="B5959" s="170" t="s">
        <v>16166</v>
      </c>
      <c r="C5959" s="170" t="s">
        <v>774</v>
      </c>
      <c r="D5959" s="170" t="s">
        <v>1947</v>
      </c>
      <c r="E5959" s="171" t="s">
        <v>16417</v>
      </c>
      <c r="F5959" s="171" t="s">
        <v>16149</v>
      </c>
      <c r="G5959" s="82"/>
      <c r="H5959" s="96">
        <f t="shared" si="368"/>
        <v>17.62</v>
      </c>
      <c r="I5959" s="96">
        <f t="shared" si="368"/>
        <v>17.87</v>
      </c>
      <c r="J5959" s="91" t="str">
        <f t="shared" si="369"/>
        <v>Sinapi 97119</v>
      </c>
      <c r="K5959" s="91" t="str">
        <f t="shared" si="370"/>
        <v>KG</v>
      </c>
      <c r="L5959" s="166" t="str">
        <f t="shared" si="371"/>
        <v>04/2022</v>
      </c>
      <c r="M5959" s="82"/>
      <c r="N5959" s="82"/>
    </row>
    <row r="5960" spans="1:14" x14ac:dyDescent="0.25">
      <c r="A5960" s="170" t="s">
        <v>8451</v>
      </c>
      <c r="B5960" s="170" t="s">
        <v>16167</v>
      </c>
      <c r="C5960" s="170" t="s">
        <v>774</v>
      </c>
      <c r="D5960" s="170" t="s">
        <v>2067</v>
      </c>
      <c r="E5960" s="171" t="s">
        <v>14640</v>
      </c>
      <c r="F5960" s="171" t="s">
        <v>15564</v>
      </c>
      <c r="G5960" s="82"/>
      <c r="H5960" s="96">
        <f t="shared" ref="H5960:I6023" si="372">IF(E5960="","",E5960+0)</f>
        <v>11.81</v>
      </c>
      <c r="I5960" s="96">
        <f t="shared" si="372"/>
        <v>11.97</v>
      </c>
      <c r="J5960" s="91" t="str">
        <f t="shared" ref="J5960:J6023" si="373">IF(OR(H5960="",I5960=""),"",TRIM(CONCATENATE("Sinapi ",A5960)))</f>
        <v>Sinapi 97120</v>
      </c>
      <c r="K5960" s="91" t="str">
        <f t="shared" ref="K5960:K6023" si="374">TRIM(C5960)</f>
        <v>KG</v>
      </c>
      <c r="L5960" s="166" t="str">
        <f t="shared" ref="L5960:L6023" si="375">IF(OR(RIGHT(IF(AND(K5960&lt;&gt;"H",K5960&lt;&gt;"MES"),RIGHT(B5960,7),""),2)="PS",RIGHT(IF(AND(K5960&lt;&gt;"H",K5960&lt;&gt;"MES"),RIGHT(B5960,7),""),2)="PA",RIGHT(IF(AND(K5960&lt;&gt;"H",K5960&lt;&gt;"MES"),RIGHT(B5960,7),""),2)="PE"),LEFT(IF(AND(K5960&lt;&gt;"H",K5960&lt;&gt;"MES"),RIGHT(B5960,10),""),7),IF(AND(K5960&lt;&gt;"H",K5960&lt;&gt;"MES"),RIGHT(B5960,7),""))</f>
        <v>04/2022</v>
      </c>
      <c r="M5960" s="82"/>
      <c r="N5960" s="82"/>
    </row>
    <row r="5961" spans="1:14" x14ac:dyDescent="0.25">
      <c r="A5961" s="170" t="s">
        <v>8452</v>
      </c>
      <c r="B5961" s="170" t="s">
        <v>8453</v>
      </c>
      <c r="C5961" s="170" t="s">
        <v>870</v>
      </c>
      <c r="D5961" s="170" t="s">
        <v>1947</v>
      </c>
      <c r="E5961" s="171" t="s">
        <v>34452</v>
      </c>
      <c r="F5961" s="171" t="s">
        <v>37539</v>
      </c>
      <c r="G5961" s="82"/>
      <c r="H5961" s="96">
        <f t="shared" si="372"/>
        <v>272.42</v>
      </c>
      <c r="I5961" s="96">
        <f t="shared" si="372"/>
        <v>274.16000000000003</v>
      </c>
      <c r="J5961" s="91" t="str">
        <f t="shared" si="373"/>
        <v>Sinapi 101167</v>
      </c>
      <c r="K5961" s="91" t="str">
        <f t="shared" si="374"/>
        <v>M2</v>
      </c>
      <c r="L5961" s="166" t="str">
        <f t="shared" si="375"/>
        <v>05/2020</v>
      </c>
      <c r="M5961" s="82"/>
      <c r="N5961" s="82"/>
    </row>
    <row r="5962" spans="1:14" x14ac:dyDescent="0.25">
      <c r="A5962" s="170" t="s">
        <v>8454</v>
      </c>
      <c r="B5962" s="170" t="s">
        <v>8455</v>
      </c>
      <c r="C5962" s="170" t="s">
        <v>870</v>
      </c>
      <c r="D5962" s="170" t="s">
        <v>1947</v>
      </c>
      <c r="E5962" s="171" t="s">
        <v>34453</v>
      </c>
      <c r="F5962" s="171" t="s">
        <v>37540</v>
      </c>
      <c r="G5962" s="82"/>
      <c r="H5962" s="96">
        <f t="shared" si="372"/>
        <v>288.27999999999997</v>
      </c>
      <c r="I5962" s="96">
        <f t="shared" si="372"/>
        <v>290.58999999999997</v>
      </c>
      <c r="J5962" s="91" t="str">
        <f t="shared" si="373"/>
        <v>Sinapi 101169</v>
      </c>
      <c r="K5962" s="91" t="str">
        <f t="shared" si="374"/>
        <v>M2</v>
      </c>
      <c r="L5962" s="166" t="str">
        <f t="shared" si="375"/>
        <v>05/2020</v>
      </c>
      <c r="M5962" s="82"/>
      <c r="N5962" s="82"/>
    </row>
    <row r="5963" spans="1:14" x14ac:dyDescent="0.25">
      <c r="A5963" s="170" t="s">
        <v>8456</v>
      </c>
      <c r="B5963" s="170" t="s">
        <v>8457</v>
      </c>
      <c r="C5963" s="170" t="s">
        <v>870</v>
      </c>
      <c r="D5963" s="170" t="s">
        <v>1947</v>
      </c>
      <c r="E5963" s="171" t="s">
        <v>34454</v>
      </c>
      <c r="F5963" s="171" t="s">
        <v>34882</v>
      </c>
      <c r="G5963" s="82"/>
      <c r="H5963" s="96">
        <f t="shared" si="372"/>
        <v>64.56</v>
      </c>
      <c r="I5963" s="96">
        <f t="shared" si="372"/>
        <v>65.930000000000007</v>
      </c>
      <c r="J5963" s="91" t="str">
        <f t="shared" si="373"/>
        <v>Sinapi 101170</v>
      </c>
      <c r="K5963" s="91" t="str">
        <f t="shared" si="374"/>
        <v>M2</v>
      </c>
      <c r="L5963" s="166" t="str">
        <f t="shared" si="375"/>
        <v>05/2020</v>
      </c>
      <c r="M5963" s="82"/>
      <c r="N5963" s="82"/>
    </row>
    <row r="5964" spans="1:14" x14ac:dyDescent="0.25">
      <c r="A5964" s="170" t="s">
        <v>8458</v>
      </c>
      <c r="B5964" s="170" t="s">
        <v>8459</v>
      </c>
      <c r="C5964" s="170" t="s">
        <v>870</v>
      </c>
      <c r="D5964" s="170" t="s">
        <v>1947</v>
      </c>
      <c r="E5964" s="171" t="s">
        <v>29177</v>
      </c>
      <c r="F5964" s="171" t="s">
        <v>21055</v>
      </c>
      <c r="G5964" s="82"/>
      <c r="H5964" s="96">
        <f t="shared" si="372"/>
        <v>93.75</v>
      </c>
      <c r="I5964" s="96">
        <f t="shared" si="372"/>
        <v>95.87</v>
      </c>
      <c r="J5964" s="91" t="str">
        <f t="shared" si="373"/>
        <v>Sinapi 101172</v>
      </c>
      <c r="K5964" s="91" t="str">
        <f t="shared" si="374"/>
        <v>M2</v>
      </c>
      <c r="L5964" s="166" t="str">
        <f t="shared" si="375"/>
        <v>05/2020</v>
      </c>
      <c r="M5964" s="82"/>
      <c r="N5964" s="82"/>
    </row>
    <row r="5965" spans="1:14" x14ac:dyDescent="0.25">
      <c r="A5965" s="170" t="s">
        <v>16168</v>
      </c>
      <c r="B5965" s="170" t="s">
        <v>16169</v>
      </c>
      <c r="C5965" s="170" t="s">
        <v>870</v>
      </c>
      <c r="D5965" s="170" t="s">
        <v>1947</v>
      </c>
      <c r="E5965" s="171" t="s">
        <v>34455</v>
      </c>
      <c r="F5965" s="171" t="s">
        <v>37541</v>
      </c>
      <c r="G5965" s="82"/>
      <c r="H5965" s="96">
        <f t="shared" si="372"/>
        <v>235.44</v>
      </c>
      <c r="I5965" s="96">
        <f t="shared" si="372"/>
        <v>237.08</v>
      </c>
      <c r="J5965" s="91" t="str">
        <f t="shared" si="373"/>
        <v>Sinapi 103904</v>
      </c>
      <c r="K5965" s="91" t="str">
        <f t="shared" si="374"/>
        <v>M2</v>
      </c>
      <c r="L5965" s="166" t="str">
        <f t="shared" si="375"/>
        <v>04/2022</v>
      </c>
      <c r="M5965" s="82"/>
      <c r="N5965" s="82"/>
    </row>
    <row r="5966" spans="1:14" x14ac:dyDescent="0.25">
      <c r="A5966" s="170" t="s">
        <v>16170</v>
      </c>
      <c r="B5966" s="170" t="s">
        <v>16171</v>
      </c>
      <c r="C5966" s="170" t="s">
        <v>870</v>
      </c>
      <c r="D5966" s="170" t="s">
        <v>1947</v>
      </c>
      <c r="E5966" s="171" t="s">
        <v>34456</v>
      </c>
      <c r="F5966" s="171" t="s">
        <v>37542</v>
      </c>
      <c r="G5966" s="82"/>
      <c r="H5966" s="96">
        <f t="shared" si="372"/>
        <v>249.56</v>
      </c>
      <c r="I5966" s="96">
        <f t="shared" si="372"/>
        <v>251.23</v>
      </c>
      <c r="J5966" s="91" t="str">
        <f t="shared" si="373"/>
        <v>Sinapi 103905</v>
      </c>
      <c r="K5966" s="91" t="str">
        <f t="shared" si="374"/>
        <v>M2</v>
      </c>
      <c r="L5966" s="166" t="str">
        <f t="shared" si="375"/>
        <v>04/2022</v>
      </c>
      <c r="M5966" s="82"/>
      <c r="N5966" s="82"/>
    </row>
    <row r="5967" spans="1:14" x14ac:dyDescent="0.25">
      <c r="A5967" s="170" t="s">
        <v>16172</v>
      </c>
      <c r="B5967" s="170" t="s">
        <v>16173</v>
      </c>
      <c r="C5967" s="170" t="s">
        <v>870</v>
      </c>
      <c r="D5967" s="170" t="s">
        <v>1947</v>
      </c>
      <c r="E5967" s="171" t="s">
        <v>34457</v>
      </c>
      <c r="F5967" s="171" t="s">
        <v>37543</v>
      </c>
      <c r="G5967" s="82"/>
      <c r="H5967" s="96">
        <f t="shared" si="372"/>
        <v>281.08</v>
      </c>
      <c r="I5967" s="96">
        <f t="shared" si="372"/>
        <v>283.27999999999997</v>
      </c>
      <c r="J5967" s="91" t="str">
        <f t="shared" si="373"/>
        <v>Sinapi 103906</v>
      </c>
      <c r="K5967" s="91" t="str">
        <f t="shared" si="374"/>
        <v>M2</v>
      </c>
      <c r="L5967" s="166" t="str">
        <f t="shared" si="375"/>
        <v>04/2022</v>
      </c>
      <c r="M5967" s="82"/>
      <c r="N5967" s="82"/>
    </row>
    <row r="5968" spans="1:14" x14ac:dyDescent="0.25">
      <c r="A5968" s="170" t="s">
        <v>16174</v>
      </c>
      <c r="B5968" s="170" t="s">
        <v>16175</v>
      </c>
      <c r="C5968" s="170" t="s">
        <v>870</v>
      </c>
      <c r="D5968" s="170" t="s">
        <v>1947</v>
      </c>
      <c r="E5968" s="171" t="s">
        <v>34458</v>
      </c>
      <c r="F5968" s="171" t="s">
        <v>37544</v>
      </c>
      <c r="G5968" s="82"/>
      <c r="H5968" s="96">
        <f t="shared" si="372"/>
        <v>267.33999999999997</v>
      </c>
      <c r="I5968" s="96">
        <f t="shared" si="372"/>
        <v>269.06</v>
      </c>
      <c r="J5968" s="91" t="str">
        <f t="shared" si="373"/>
        <v>Sinapi 103907</v>
      </c>
      <c r="K5968" s="91" t="str">
        <f t="shared" si="374"/>
        <v>M2</v>
      </c>
      <c r="L5968" s="166" t="str">
        <f t="shared" si="375"/>
        <v>04/2022</v>
      </c>
      <c r="M5968" s="82"/>
      <c r="N5968" s="82"/>
    </row>
    <row r="5969" spans="1:14" x14ac:dyDescent="0.25">
      <c r="A5969" s="170" t="s">
        <v>16176</v>
      </c>
      <c r="B5969" s="170" t="s">
        <v>16177</v>
      </c>
      <c r="C5969" s="170" t="s">
        <v>870</v>
      </c>
      <c r="D5969" s="170" t="s">
        <v>1947</v>
      </c>
      <c r="E5969" s="171" t="s">
        <v>34459</v>
      </c>
      <c r="F5969" s="171" t="s">
        <v>37545</v>
      </c>
      <c r="G5969" s="82"/>
      <c r="H5969" s="96">
        <f t="shared" si="372"/>
        <v>303.39</v>
      </c>
      <c r="I5969" s="96">
        <f t="shared" si="372"/>
        <v>305.25</v>
      </c>
      <c r="J5969" s="91" t="str">
        <f t="shared" si="373"/>
        <v>Sinapi 103908</v>
      </c>
      <c r="K5969" s="91" t="str">
        <f t="shared" si="374"/>
        <v>M2</v>
      </c>
      <c r="L5969" s="166" t="str">
        <f t="shared" si="375"/>
        <v>04/2022</v>
      </c>
      <c r="M5969" s="82"/>
      <c r="N5969" s="82"/>
    </row>
    <row r="5970" spans="1:14" x14ac:dyDescent="0.25">
      <c r="A5970" s="170" t="s">
        <v>16178</v>
      </c>
      <c r="B5970" s="170" t="s">
        <v>16179</v>
      </c>
      <c r="C5970" s="170" t="s">
        <v>870</v>
      </c>
      <c r="D5970" s="170" t="s">
        <v>1947</v>
      </c>
      <c r="E5970" s="171" t="s">
        <v>34460</v>
      </c>
      <c r="F5970" s="171" t="s">
        <v>30764</v>
      </c>
      <c r="G5970" s="82"/>
      <c r="H5970" s="96">
        <f t="shared" si="372"/>
        <v>344.51</v>
      </c>
      <c r="I5970" s="96">
        <f t="shared" si="372"/>
        <v>346.47</v>
      </c>
      <c r="J5970" s="91" t="str">
        <f t="shared" si="373"/>
        <v>Sinapi 103909</v>
      </c>
      <c r="K5970" s="91" t="str">
        <f t="shared" si="374"/>
        <v>M2</v>
      </c>
      <c r="L5970" s="166" t="str">
        <f t="shared" si="375"/>
        <v>04/2022</v>
      </c>
      <c r="M5970" s="82"/>
      <c r="N5970" s="82"/>
    </row>
    <row r="5971" spans="1:14" x14ac:dyDescent="0.25">
      <c r="A5971" s="170" t="s">
        <v>16180</v>
      </c>
      <c r="B5971" s="170" t="s">
        <v>16181</v>
      </c>
      <c r="C5971" s="170" t="s">
        <v>870</v>
      </c>
      <c r="D5971" s="170" t="s">
        <v>1947</v>
      </c>
      <c r="E5971" s="171" t="s">
        <v>34461</v>
      </c>
      <c r="F5971" s="171" t="s">
        <v>37546</v>
      </c>
      <c r="G5971" s="82"/>
      <c r="H5971" s="96">
        <f t="shared" si="372"/>
        <v>390.65</v>
      </c>
      <c r="I5971" s="96">
        <f t="shared" si="372"/>
        <v>392.72</v>
      </c>
      <c r="J5971" s="91" t="str">
        <f t="shared" si="373"/>
        <v>Sinapi 103911</v>
      </c>
      <c r="K5971" s="91" t="str">
        <f t="shared" si="374"/>
        <v>M2</v>
      </c>
      <c r="L5971" s="166" t="str">
        <f t="shared" si="375"/>
        <v>04/2022</v>
      </c>
      <c r="M5971" s="82"/>
      <c r="N5971" s="82"/>
    </row>
    <row r="5972" spans="1:14" x14ac:dyDescent="0.25">
      <c r="A5972" s="170" t="s">
        <v>16182</v>
      </c>
      <c r="B5972" s="170" t="s">
        <v>16183</v>
      </c>
      <c r="C5972" s="170" t="s">
        <v>870</v>
      </c>
      <c r="D5972" s="170" t="s">
        <v>1947</v>
      </c>
      <c r="E5972" s="171" t="s">
        <v>34462</v>
      </c>
      <c r="F5972" s="171" t="s">
        <v>37547</v>
      </c>
      <c r="G5972" s="82"/>
      <c r="H5972" s="96">
        <f t="shared" si="372"/>
        <v>113.57</v>
      </c>
      <c r="I5972" s="96">
        <f t="shared" si="372"/>
        <v>115.82</v>
      </c>
      <c r="J5972" s="91" t="str">
        <f t="shared" si="373"/>
        <v>Sinapi 103912</v>
      </c>
      <c r="K5972" s="91" t="str">
        <f t="shared" si="374"/>
        <v>M2</v>
      </c>
      <c r="L5972" s="166" t="str">
        <f t="shared" si="375"/>
        <v>04/2022</v>
      </c>
      <c r="M5972" s="82"/>
      <c r="N5972" s="82"/>
    </row>
    <row r="5973" spans="1:14" x14ac:dyDescent="0.25">
      <c r="A5973" s="170" t="s">
        <v>16184</v>
      </c>
      <c r="B5973" s="170" t="s">
        <v>16185</v>
      </c>
      <c r="C5973" s="170" t="s">
        <v>870</v>
      </c>
      <c r="D5973" s="170" t="s">
        <v>1947</v>
      </c>
      <c r="E5973" s="171" t="s">
        <v>34463</v>
      </c>
      <c r="F5973" s="171" t="s">
        <v>37548</v>
      </c>
      <c r="G5973" s="82"/>
      <c r="H5973" s="96">
        <f t="shared" si="372"/>
        <v>195.53</v>
      </c>
      <c r="I5973" s="96">
        <f t="shared" si="372"/>
        <v>196.8</v>
      </c>
      <c r="J5973" s="91" t="str">
        <f t="shared" si="373"/>
        <v>Sinapi 103913</v>
      </c>
      <c r="K5973" s="91" t="str">
        <f t="shared" si="374"/>
        <v>M2</v>
      </c>
      <c r="L5973" s="166" t="str">
        <f t="shared" si="375"/>
        <v>04/2022</v>
      </c>
      <c r="M5973" s="82"/>
      <c r="N5973" s="82"/>
    </row>
    <row r="5974" spans="1:14" x14ac:dyDescent="0.25">
      <c r="A5974" s="170" t="s">
        <v>16186</v>
      </c>
      <c r="B5974" s="170" t="s">
        <v>16187</v>
      </c>
      <c r="C5974" s="170" t="s">
        <v>870</v>
      </c>
      <c r="D5974" s="170" t="s">
        <v>1947</v>
      </c>
      <c r="E5974" s="171" t="s">
        <v>34464</v>
      </c>
      <c r="F5974" s="171" t="s">
        <v>37549</v>
      </c>
      <c r="G5974" s="82"/>
      <c r="H5974" s="96">
        <f t="shared" si="372"/>
        <v>229.23</v>
      </c>
      <c r="I5974" s="96">
        <f t="shared" si="372"/>
        <v>230.66</v>
      </c>
      <c r="J5974" s="91" t="str">
        <f t="shared" si="373"/>
        <v>Sinapi 103914</v>
      </c>
      <c r="K5974" s="91" t="str">
        <f t="shared" si="374"/>
        <v>M2</v>
      </c>
      <c r="L5974" s="166" t="str">
        <f t="shared" si="375"/>
        <v>04/2022</v>
      </c>
      <c r="M5974" s="82"/>
      <c r="N5974" s="82"/>
    </row>
    <row r="5975" spans="1:14" x14ac:dyDescent="0.25">
      <c r="A5975" s="170" t="s">
        <v>16188</v>
      </c>
      <c r="B5975" s="170" t="s">
        <v>16189</v>
      </c>
      <c r="C5975" s="170" t="s">
        <v>870</v>
      </c>
      <c r="D5975" s="170" t="s">
        <v>1947</v>
      </c>
      <c r="E5975" s="171" t="s">
        <v>34465</v>
      </c>
      <c r="F5975" s="171" t="s">
        <v>29147</v>
      </c>
      <c r="G5975" s="82"/>
      <c r="H5975" s="96">
        <f t="shared" si="372"/>
        <v>247.52</v>
      </c>
      <c r="I5975" s="96">
        <f t="shared" si="372"/>
        <v>249.04</v>
      </c>
      <c r="J5975" s="91" t="str">
        <f t="shared" si="373"/>
        <v>Sinapi 103915</v>
      </c>
      <c r="K5975" s="91" t="str">
        <f t="shared" si="374"/>
        <v>M2</v>
      </c>
      <c r="L5975" s="166" t="str">
        <f t="shared" si="375"/>
        <v>04/2022</v>
      </c>
      <c r="M5975" s="82"/>
      <c r="N5975" s="82"/>
    </row>
    <row r="5976" spans="1:14" x14ac:dyDescent="0.25">
      <c r="A5976" s="170" t="s">
        <v>16190</v>
      </c>
      <c r="B5976" s="170" t="s">
        <v>16191</v>
      </c>
      <c r="C5976" s="170" t="s">
        <v>870</v>
      </c>
      <c r="D5976" s="170" t="s">
        <v>1947</v>
      </c>
      <c r="E5976" s="171" t="s">
        <v>34466</v>
      </c>
      <c r="F5976" s="171" t="s">
        <v>37550</v>
      </c>
      <c r="G5976" s="82"/>
      <c r="H5976" s="96">
        <f t="shared" si="372"/>
        <v>290.91000000000003</v>
      </c>
      <c r="I5976" s="96">
        <f t="shared" si="372"/>
        <v>292.58</v>
      </c>
      <c r="J5976" s="91" t="str">
        <f t="shared" si="373"/>
        <v>Sinapi 103916</v>
      </c>
      <c r="K5976" s="91" t="str">
        <f t="shared" si="374"/>
        <v>M2</v>
      </c>
      <c r="L5976" s="166" t="str">
        <f t="shared" si="375"/>
        <v>04/2022</v>
      </c>
      <c r="M5976" s="82"/>
      <c r="N5976" s="82"/>
    </row>
    <row r="5977" spans="1:14" x14ac:dyDescent="0.25">
      <c r="A5977" s="170" t="s">
        <v>16192</v>
      </c>
      <c r="B5977" s="170" t="s">
        <v>16193</v>
      </c>
      <c r="C5977" s="170" t="s">
        <v>870</v>
      </c>
      <c r="D5977" s="170" t="s">
        <v>1947</v>
      </c>
      <c r="E5977" s="171" t="s">
        <v>34467</v>
      </c>
      <c r="F5977" s="171" t="s">
        <v>37551</v>
      </c>
      <c r="G5977" s="82"/>
      <c r="H5977" s="96">
        <f t="shared" si="372"/>
        <v>328.34</v>
      </c>
      <c r="I5977" s="96">
        <f t="shared" si="372"/>
        <v>330.1</v>
      </c>
      <c r="J5977" s="91" t="str">
        <f t="shared" si="373"/>
        <v>Sinapi 103917</v>
      </c>
      <c r="K5977" s="91" t="str">
        <f t="shared" si="374"/>
        <v>M2</v>
      </c>
      <c r="L5977" s="166" t="str">
        <f t="shared" si="375"/>
        <v>04/2022</v>
      </c>
      <c r="M5977" s="82"/>
      <c r="N5977" s="82"/>
    </row>
    <row r="5978" spans="1:14" x14ac:dyDescent="0.25">
      <c r="A5978" s="170" t="s">
        <v>16194</v>
      </c>
      <c r="B5978" s="170" t="s">
        <v>16195</v>
      </c>
      <c r="C5978" s="170" t="s">
        <v>870</v>
      </c>
      <c r="D5978" s="170" t="s">
        <v>1947</v>
      </c>
      <c r="E5978" s="171" t="s">
        <v>34468</v>
      </c>
      <c r="F5978" s="171" t="s">
        <v>37552</v>
      </c>
      <c r="G5978" s="82"/>
      <c r="H5978" s="96">
        <f t="shared" si="372"/>
        <v>352.99</v>
      </c>
      <c r="I5978" s="96">
        <f t="shared" si="372"/>
        <v>354.82</v>
      </c>
      <c r="J5978" s="91" t="str">
        <f t="shared" si="373"/>
        <v>Sinapi 103918</v>
      </c>
      <c r="K5978" s="91" t="str">
        <f t="shared" si="374"/>
        <v>M2</v>
      </c>
      <c r="L5978" s="166" t="str">
        <f t="shared" si="375"/>
        <v>04/2022</v>
      </c>
      <c r="M5978" s="82"/>
      <c r="N5978" s="82"/>
    </row>
    <row r="5979" spans="1:14" x14ac:dyDescent="0.25">
      <c r="A5979" s="170" t="s">
        <v>18450</v>
      </c>
      <c r="B5979" s="170" t="s">
        <v>18451</v>
      </c>
      <c r="C5979" s="170" t="s">
        <v>870</v>
      </c>
      <c r="D5979" s="170" t="s">
        <v>1947</v>
      </c>
      <c r="E5979" s="171" t="s">
        <v>34469</v>
      </c>
      <c r="F5979" s="171" t="s">
        <v>37553</v>
      </c>
      <c r="G5979" s="82"/>
      <c r="H5979" s="96">
        <f t="shared" si="372"/>
        <v>125.23</v>
      </c>
      <c r="I5979" s="96">
        <f t="shared" si="372"/>
        <v>127.16</v>
      </c>
      <c r="J5979" s="91" t="str">
        <f t="shared" si="373"/>
        <v>Sinapi 104432</v>
      </c>
      <c r="K5979" s="91" t="str">
        <f t="shared" si="374"/>
        <v>M2</v>
      </c>
      <c r="L5979" s="166" t="str">
        <f t="shared" si="375"/>
        <v>10/2022</v>
      </c>
      <c r="M5979" s="82"/>
      <c r="N5979" s="82"/>
    </row>
    <row r="5980" spans="1:14" x14ac:dyDescent="0.25">
      <c r="A5980" s="170" t="s">
        <v>18452</v>
      </c>
      <c r="B5980" s="170" t="s">
        <v>18453</v>
      </c>
      <c r="C5980" s="170" t="s">
        <v>870</v>
      </c>
      <c r="D5980" s="170" t="s">
        <v>1947</v>
      </c>
      <c r="E5980" s="171" t="s">
        <v>34470</v>
      </c>
      <c r="F5980" s="171" t="s">
        <v>23237</v>
      </c>
      <c r="G5980" s="82"/>
      <c r="H5980" s="96">
        <f t="shared" si="372"/>
        <v>113.95</v>
      </c>
      <c r="I5980" s="96">
        <f t="shared" si="372"/>
        <v>115.03</v>
      </c>
      <c r="J5980" s="91" t="str">
        <f t="shared" si="373"/>
        <v>Sinapi 104433</v>
      </c>
      <c r="K5980" s="91" t="str">
        <f t="shared" si="374"/>
        <v>M2</v>
      </c>
      <c r="L5980" s="166" t="str">
        <f t="shared" si="375"/>
        <v>10/2022</v>
      </c>
      <c r="M5980" s="82"/>
      <c r="N5980" s="82"/>
    </row>
    <row r="5981" spans="1:14" x14ac:dyDescent="0.25">
      <c r="A5981" s="170" t="s">
        <v>21292</v>
      </c>
      <c r="B5981" s="170" t="s">
        <v>21293</v>
      </c>
      <c r="C5981" s="170" t="s">
        <v>870</v>
      </c>
      <c r="D5981" s="170" t="s">
        <v>1947</v>
      </c>
      <c r="E5981" s="171" t="s">
        <v>34471</v>
      </c>
      <c r="F5981" s="171" t="s">
        <v>37554</v>
      </c>
      <c r="G5981" s="82"/>
      <c r="H5981" s="96">
        <f t="shared" si="372"/>
        <v>300.74</v>
      </c>
      <c r="I5981" s="96">
        <f t="shared" si="372"/>
        <v>304.55</v>
      </c>
      <c r="J5981" s="91" t="str">
        <f t="shared" si="373"/>
        <v>Sinapi 103689</v>
      </c>
      <c r="K5981" s="91" t="str">
        <f t="shared" si="374"/>
        <v>M2</v>
      </c>
      <c r="L5981" s="166" t="str">
        <f t="shared" si="375"/>
        <v>03/2022</v>
      </c>
      <c r="M5981" s="82"/>
      <c r="N5981" s="82"/>
    </row>
    <row r="5982" spans="1:14" x14ac:dyDescent="0.25">
      <c r="A5982" s="170" t="s">
        <v>15703</v>
      </c>
      <c r="B5982" s="170" t="s">
        <v>15704</v>
      </c>
      <c r="C5982" s="170" t="s">
        <v>205</v>
      </c>
      <c r="D5982" s="170" t="s">
        <v>2067</v>
      </c>
      <c r="E5982" s="171" t="s">
        <v>34472</v>
      </c>
      <c r="F5982" s="171" t="s">
        <v>37555</v>
      </c>
      <c r="G5982" s="82"/>
      <c r="H5982" s="96">
        <f t="shared" si="372"/>
        <v>100.79</v>
      </c>
      <c r="I5982" s="96">
        <f t="shared" si="372"/>
        <v>104.72</v>
      </c>
      <c r="J5982" s="91" t="str">
        <f t="shared" si="373"/>
        <v>Sinapi 103694</v>
      </c>
      <c r="K5982" s="91" t="str">
        <f t="shared" si="374"/>
        <v>UN</v>
      </c>
      <c r="L5982" s="166" t="str">
        <f t="shared" si="375"/>
        <v>03/2022</v>
      </c>
      <c r="M5982" s="82"/>
      <c r="N5982" s="82"/>
    </row>
    <row r="5983" spans="1:14" x14ac:dyDescent="0.25">
      <c r="A5983" s="170" t="s">
        <v>15705</v>
      </c>
      <c r="B5983" s="170" t="s">
        <v>16196</v>
      </c>
      <c r="C5983" s="170" t="s">
        <v>205</v>
      </c>
      <c r="D5983" s="170" t="s">
        <v>2067</v>
      </c>
      <c r="E5983" s="171" t="s">
        <v>29234</v>
      </c>
      <c r="F5983" s="171" t="s">
        <v>28668</v>
      </c>
      <c r="G5983" s="82"/>
      <c r="H5983" s="96">
        <f t="shared" si="372"/>
        <v>91.49</v>
      </c>
      <c r="I5983" s="96">
        <f t="shared" si="372"/>
        <v>95.14</v>
      </c>
      <c r="J5983" s="91" t="str">
        <f t="shared" si="373"/>
        <v>Sinapi 103695</v>
      </c>
      <c r="K5983" s="91" t="str">
        <f t="shared" si="374"/>
        <v>UN</v>
      </c>
      <c r="L5983" s="166" t="str">
        <f t="shared" si="375"/>
        <v>03/2022</v>
      </c>
      <c r="M5983" s="82"/>
      <c r="N5983" s="82"/>
    </row>
    <row r="5984" spans="1:14" x14ac:dyDescent="0.25">
      <c r="A5984" s="170" t="s">
        <v>15706</v>
      </c>
      <c r="B5984" s="170" t="s">
        <v>15707</v>
      </c>
      <c r="C5984" s="170" t="s">
        <v>205</v>
      </c>
      <c r="D5984" s="170" t="s">
        <v>2067</v>
      </c>
      <c r="E5984" s="171" t="s">
        <v>29033</v>
      </c>
      <c r="F5984" s="171" t="s">
        <v>37556</v>
      </c>
      <c r="G5984" s="82"/>
      <c r="H5984" s="96">
        <f t="shared" si="372"/>
        <v>124.51</v>
      </c>
      <c r="I5984" s="96">
        <f t="shared" si="372"/>
        <v>131</v>
      </c>
      <c r="J5984" s="91" t="str">
        <f t="shared" si="373"/>
        <v>Sinapi 103696</v>
      </c>
      <c r="K5984" s="91" t="str">
        <f t="shared" si="374"/>
        <v>UN</v>
      </c>
      <c r="L5984" s="166" t="str">
        <f t="shared" si="375"/>
        <v>03/2022</v>
      </c>
      <c r="M5984" s="82"/>
      <c r="N5984" s="82"/>
    </row>
    <row r="5985" spans="1:14" x14ac:dyDescent="0.25">
      <c r="A5985" s="170" t="s">
        <v>15708</v>
      </c>
      <c r="B5985" s="170" t="s">
        <v>16197</v>
      </c>
      <c r="C5985" s="170" t="s">
        <v>205</v>
      </c>
      <c r="D5985" s="170" t="s">
        <v>2067</v>
      </c>
      <c r="E5985" s="171" t="s">
        <v>34473</v>
      </c>
      <c r="F5985" s="171" t="s">
        <v>37557</v>
      </c>
      <c r="G5985" s="82"/>
      <c r="H5985" s="96">
        <f t="shared" si="372"/>
        <v>115.21</v>
      </c>
      <c r="I5985" s="96">
        <f t="shared" si="372"/>
        <v>121.42</v>
      </c>
      <c r="J5985" s="91" t="str">
        <f t="shared" si="373"/>
        <v>Sinapi 103697</v>
      </c>
      <c r="K5985" s="91" t="str">
        <f t="shared" si="374"/>
        <v>UN</v>
      </c>
      <c r="L5985" s="166" t="str">
        <f t="shared" si="375"/>
        <v>03/2022</v>
      </c>
      <c r="M5985" s="82"/>
      <c r="N5985" s="82"/>
    </row>
    <row r="5986" spans="1:14" x14ac:dyDescent="0.25">
      <c r="A5986" s="170" t="s">
        <v>8461</v>
      </c>
      <c r="B5986" s="170" t="s">
        <v>8462</v>
      </c>
      <c r="C5986" s="170" t="s">
        <v>85</v>
      </c>
      <c r="D5986" s="170" t="s">
        <v>1947</v>
      </c>
      <c r="E5986" s="171" t="s">
        <v>34474</v>
      </c>
      <c r="F5986" s="171" t="s">
        <v>37558</v>
      </c>
      <c r="G5986" s="82"/>
      <c r="H5986" s="96">
        <f t="shared" si="372"/>
        <v>3249.43</v>
      </c>
      <c r="I5986" s="96">
        <f t="shared" si="372"/>
        <v>3253.65</v>
      </c>
      <c r="J5986" s="91" t="str">
        <f t="shared" si="373"/>
        <v>Sinapi 95995</v>
      </c>
      <c r="K5986" s="91" t="str">
        <f t="shared" si="374"/>
        <v>M3</v>
      </c>
      <c r="L5986" s="166" t="str">
        <f t="shared" si="375"/>
        <v>11/2019</v>
      </c>
      <c r="M5986" s="82"/>
      <c r="N5986" s="82"/>
    </row>
    <row r="5987" spans="1:14" x14ac:dyDescent="0.25">
      <c r="A5987" s="170" t="s">
        <v>8463</v>
      </c>
      <c r="B5987" s="170" t="s">
        <v>8464</v>
      </c>
      <c r="C5987" s="170" t="s">
        <v>85</v>
      </c>
      <c r="D5987" s="170" t="s">
        <v>1947</v>
      </c>
      <c r="E5987" s="171" t="s">
        <v>34475</v>
      </c>
      <c r="F5987" s="171" t="s">
        <v>37559</v>
      </c>
      <c r="G5987" s="82"/>
      <c r="H5987" s="96">
        <f t="shared" si="372"/>
        <v>2830.63</v>
      </c>
      <c r="I5987" s="96">
        <f t="shared" si="372"/>
        <v>2833.65</v>
      </c>
      <c r="J5987" s="91" t="str">
        <f t="shared" si="373"/>
        <v>Sinapi 95996</v>
      </c>
      <c r="K5987" s="91" t="str">
        <f t="shared" si="374"/>
        <v>M3</v>
      </c>
      <c r="L5987" s="166" t="str">
        <f t="shared" si="375"/>
        <v>11/2019</v>
      </c>
      <c r="M5987" s="82"/>
      <c r="N5987" s="82"/>
    </row>
    <row r="5988" spans="1:14" x14ac:dyDescent="0.25">
      <c r="A5988" s="170" t="s">
        <v>8465</v>
      </c>
      <c r="B5988" s="170" t="s">
        <v>8466</v>
      </c>
      <c r="C5988" s="170" t="s">
        <v>870</v>
      </c>
      <c r="D5988" s="170" t="s">
        <v>1947</v>
      </c>
      <c r="E5988" s="171" t="s">
        <v>14124</v>
      </c>
      <c r="F5988" s="171" t="s">
        <v>20122</v>
      </c>
      <c r="G5988" s="82"/>
      <c r="H5988" s="96">
        <f t="shared" si="372"/>
        <v>7.83</v>
      </c>
      <c r="I5988" s="96">
        <f t="shared" si="372"/>
        <v>7.95</v>
      </c>
      <c r="J5988" s="91" t="str">
        <f t="shared" si="373"/>
        <v>Sinapi 96001</v>
      </c>
      <c r="K5988" s="91" t="str">
        <f t="shared" si="374"/>
        <v>M2</v>
      </c>
      <c r="L5988" s="166" t="str">
        <f t="shared" si="375"/>
        <v>11/2019</v>
      </c>
      <c r="M5988" s="82"/>
      <c r="N5988" s="82"/>
    </row>
    <row r="5989" spans="1:14" x14ac:dyDescent="0.25">
      <c r="A5989" s="170" t="s">
        <v>8467</v>
      </c>
      <c r="B5989" s="170" t="s">
        <v>8468</v>
      </c>
      <c r="C5989" s="170" t="s">
        <v>85</v>
      </c>
      <c r="D5989" s="170" t="s">
        <v>1947</v>
      </c>
      <c r="E5989" s="171" t="s">
        <v>34476</v>
      </c>
      <c r="F5989" s="171" t="s">
        <v>37560</v>
      </c>
      <c r="G5989" s="82"/>
      <c r="H5989" s="96">
        <f t="shared" si="372"/>
        <v>365.62</v>
      </c>
      <c r="I5989" s="96">
        <f t="shared" si="372"/>
        <v>365.83</v>
      </c>
      <c r="J5989" s="91" t="str">
        <f t="shared" si="373"/>
        <v>Sinapi 96393</v>
      </c>
      <c r="K5989" s="91" t="str">
        <f t="shared" si="374"/>
        <v>M3</v>
      </c>
      <c r="L5989" s="166" t="str">
        <f t="shared" si="375"/>
        <v>03/2020</v>
      </c>
      <c r="M5989" s="82"/>
      <c r="N5989" s="82"/>
    </row>
    <row r="5990" spans="1:14" x14ac:dyDescent="0.25">
      <c r="A5990" s="170" t="s">
        <v>8469</v>
      </c>
      <c r="B5990" s="170" t="s">
        <v>8470</v>
      </c>
      <c r="C5990" s="170" t="s">
        <v>85</v>
      </c>
      <c r="D5990" s="170" t="s">
        <v>1947</v>
      </c>
      <c r="E5990" s="171" t="s">
        <v>34477</v>
      </c>
      <c r="F5990" s="171" t="s">
        <v>37561</v>
      </c>
      <c r="G5990" s="82"/>
      <c r="H5990" s="96">
        <f t="shared" si="372"/>
        <v>474.15</v>
      </c>
      <c r="I5990" s="96">
        <f t="shared" si="372"/>
        <v>474.35</v>
      </c>
      <c r="J5990" s="91" t="str">
        <f t="shared" si="373"/>
        <v>Sinapi 96394</v>
      </c>
      <c r="K5990" s="91" t="str">
        <f t="shared" si="374"/>
        <v>M3</v>
      </c>
      <c r="L5990" s="166" t="str">
        <f t="shared" si="375"/>
        <v>03/2020</v>
      </c>
      <c r="M5990" s="82"/>
      <c r="N5990" s="82"/>
    </row>
    <row r="5991" spans="1:14" x14ac:dyDescent="0.25">
      <c r="A5991" s="170" t="s">
        <v>8471</v>
      </c>
      <c r="B5991" s="170" t="s">
        <v>8472</v>
      </c>
      <c r="C5991" s="170" t="s">
        <v>85</v>
      </c>
      <c r="D5991" s="170" t="s">
        <v>1947</v>
      </c>
      <c r="E5991" s="171" t="s">
        <v>34478</v>
      </c>
      <c r="F5991" s="171" t="s">
        <v>37562</v>
      </c>
      <c r="G5991" s="82"/>
      <c r="H5991" s="96">
        <f t="shared" si="372"/>
        <v>624.37</v>
      </c>
      <c r="I5991" s="96">
        <f t="shared" si="372"/>
        <v>624.70000000000005</v>
      </c>
      <c r="J5991" s="91" t="str">
        <f t="shared" si="373"/>
        <v>Sinapi 96395</v>
      </c>
      <c r="K5991" s="91" t="str">
        <f t="shared" si="374"/>
        <v>M3</v>
      </c>
      <c r="L5991" s="166" t="str">
        <f t="shared" si="375"/>
        <v>03/2020</v>
      </c>
      <c r="M5991" s="82"/>
      <c r="N5991" s="82"/>
    </row>
    <row r="5992" spans="1:14" x14ac:dyDescent="0.25">
      <c r="A5992" s="170" t="s">
        <v>8473</v>
      </c>
      <c r="B5992" s="170" t="s">
        <v>8474</v>
      </c>
      <c r="C5992" s="170" t="s">
        <v>870</v>
      </c>
      <c r="D5992" s="170" t="s">
        <v>2710</v>
      </c>
      <c r="E5992" s="171" t="s">
        <v>23225</v>
      </c>
      <c r="F5992" s="171" t="s">
        <v>3423</v>
      </c>
      <c r="G5992" s="82"/>
      <c r="H5992" s="96">
        <f t="shared" si="372"/>
        <v>3.08</v>
      </c>
      <c r="I5992" s="96">
        <f t="shared" si="372"/>
        <v>3.24</v>
      </c>
      <c r="J5992" s="91" t="str">
        <f t="shared" si="373"/>
        <v>Sinapi 88411</v>
      </c>
      <c r="K5992" s="91" t="str">
        <f t="shared" si="374"/>
        <v>M2</v>
      </c>
      <c r="L5992" s="166" t="str">
        <f t="shared" si="375"/>
        <v>06/2014</v>
      </c>
      <c r="M5992" s="82"/>
      <c r="N5992" s="82"/>
    </row>
    <row r="5993" spans="1:14" x14ac:dyDescent="0.25">
      <c r="A5993" s="170" t="s">
        <v>8475</v>
      </c>
      <c r="B5993" s="170" t="s">
        <v>8476</v>
      </c>
      <c r="C5993" s="170" t="s">
        <v>870</v>
      </c>
      <c r="D5993" s="170" t="s">
        <v>2710</v>
      </c>
      <c r="E5993" s="171" t="s">
        <v>29662</v>
      </c>
      <c r="F5993" s="171" t="s">
        <v>19840</v>
      </c>
      <c r="G5993" s="82"/>
      <c r="H5993" s="96">
        <f t="shared" si="372"/>
        <v>2.41</v>
      </c>
      <c r="I5993" s="96">
        <f t="shared" si="372"/>
        <v>2.5</v>
      </c>
      <c r="J5993" s="91" t="str">
        <f t="shared" si="373"/>
        <v>Sinapi 88412</v>
      </c>
      <c r="K5993" s="91" t="str">
        <f t="shared" si="374"/>
        <v>M2</v>
      </c>
      <c r="L5993" s="166" t="str">
        <f t="shared" si="375"/>
        <v>06/2014</v>
      </c>
      <c r="M5993" s="82"/>
      <c r="N5993" s="82"/>
    </row>
    <row r="5994" spans="1:14" x14ac:dyDescent="0.25">
      <c r="A5994" s="170" t="s">
        <v>8477</v>
      </c>
      <c r="B5994" s="170" t="s">
        <v>8478</v>
      </c>
      <c r="C5994" s="170" t="s">
        <v>870</v>
      </c>
      <c r="D5994" s="170" t="s">
        <v>2710</v>
      </c>
      <c r="E5994" s="171" t="s">
        <v>22734</v>
      </c>
      <c r="F5994" s="171" t="s">
        <v>28555</v>
      </c>
      <c r="G5994" s="82"/>
      <c r="H5994" s="96">
        <f t="shared" si="372"/>
        <v>4.43</v>
      </c>
      <c r="I5994" s="96">
        <f t="shared" si="372"/>
        <v>4.7300000000000004</v>
      </c>
      <c r="J5994" s="91" t="str">
        <f t="shared" si="373"/>
        <v>Sinapi 88413</v>
      </c>
      <c r="K5994" s="91" t="str">
        <f t="shared" si="374"/>
        <v>M2</v>
      </c>
      <c r="L5994" s="166" t="str">
        <f t="shared" si="375"/>
        <v>06/2014</v>
      </c>
      <c r="M5994" s="82"/>
      <c r="N5994" s="82"/>
    </row>
    <row r="5995" spans="1:14" x14ac:dyDescent="0.25">
      <c r="A5995" s="170" t="s">
        <v>8479</v>
      </c>
      <c r="B5995" s="170" t="s">
        <v>8480</v>
      </c>
      <c r="C5995" s="170" t="s">
        <v>870</v>
      </c>
      <c r="D5995" s="170" t="s">
        <v>2710</v>
      </c>
      <c r="E5995" s="171" t="s">
        <v>8292</v>
      </c>
      <c r="F5995" s="171" t="s">
        <v>8958</v>
      </c>
      <c r="G5995" s="82"/>
      <c r="H5995" s="96">
        <f t="shared" si="372"/>
        <v>4.8600000000000003</v>
      </c>
      <c r="I5995" s="96">
        <f t="shared" si="372"/>
        <v>5.21</v>
      </c>
      <c r="J5995" s="91" t="str">
        <f t="shared" si="373"/>
        <v>Sinapi 88414</v>
      </c>
      <c r="K5995" s="91" t="str">
        <f t="shared" si="374"/>
        <v>M2</v>
      </c>
      <c r="L5995" s="166" t="str">
        <f t="shared" si="375"/>
        <v>06/2014</v>
      </c>
      <c r="M5995" s="82"/>
      <c r="N5995" s="82"/>
    </row>
    <row r="5996" spans="1:14" x14ac:dyDescent="0.25">
      <c r="A5996" s="170" t="s">
        <v>8481</v>
      </c>
      <c r="B5996" s="170" t="s">
        <v>8482</v>
      </c>
      <c r="C5996" s="170" t="s">
        <v>870</v>
      </c>
      <c r="D5996" s="170" t="s">
        <v>2710</v>
      </c>
      <c r="E5996" s="171" t="s">
        <v>7398</v>
      </c>
      <c r="F5996" s="171" t="s">
        <v>15516</v>
      </c>
      <c r="G5996" s="82"/>
      <c r="H5996" s="96">
        <f t="shared" si="372"/>
        <v>3.3</v>
      </c>
      <c r="I5996" s="96">
        <f t="shared" si="372"/>
        <v>3.48</v>
      </c>
      <c r="J5996" s="91" t="str">
        <f t="shared" si="373"/>
        <v>Sinapi 88415</v>
      </c>
      <c r="K5996" s="91" t="str">
        <f t="shared" si="374"/>
        <v>M2</v>
      </c>
      <c r="L5996" s="166" t="str">
        <f t="shared" si="375"/>
        <v>06/2014</v>
      </c>
      <c r="M5996" s="82"/>
      <c r="N5996" s="82"/>
    </row>
    <row r="5997" spans="1:14" x14ac:dyDescent="0.25">
      <c r="A5997" s="170" t="s">
        <v>8483</v>
      </c>
      <c r="B5997" s="170" t="s">
        <v>8484</v>
      </c>
      <c r="C5997" s="170" t="s">
        <v>870</v>
      </c>
      <c r="D5997" s="170" t="s">
        <v>2067</v>
      </c>
      <c r="E5997" s="171" t="s">
        <v>6362</v>
      </c>
      <c r="F5997" s="171" t="s">
        <v>36344</v>
      </c>
      <c r="G5997" s="82"/>
      <c r="H5997" s="96">
        <f t="shared" si="372"/>
        <v>20</v>
      </c>
      <c r="I5997" s="96">
        <f t="shared" si="372"/>
        <v>20.49</v>
      </c>
      <c r="J5997" s="91" t="str">
        <f t="shared" si="373"/>
        <v>Sinapi 88416</v>
      </c>
      <c r="K5997" s="91" t="str">
        <f t="shared" si="374"/>
        <v>M2</v>
      </c>
      <c r="L5997" s="166" t="str">
        <f t="shared" si="375"/>
        <v>06/2014</v>
      </c>
      <c r="M5997" s="82"/>
      <c r="N5997" s="82"/>
    </row>
    <row r="5998" spans="1:14" x14ac:dyDescent="0.25">
      <c r="A5998" s="170" t="s">
        <v>8485</v>
      </c>
      <c r="B5998" s="170" t="s">
        <v>8486</v>
      </c>
      <c r="C5998" s="170" t="s">
        <v>870</v>
      </c>
      <c r="D5998" s="170" t="s">
        <v>2067</v>
      </c>
      <c r="E5998" s="171" t="s">
        <v>16417</v>
      </c>
      <c r="F5998" s="171" t="s">
        <v>16149</v>
      </c>
      <c r="G5998" s="82"/>
      <c r="H5998" s="96">
        <f t="shared" si="372"/>
        <v>17.62</v>
      </c>
      <c r="I5998" s="96">
        <f t="shared" si="372"/>
        <v>17.87</v>
      </c>
      <c r="J5998" s="91" t="str">
        <f t="shared" si="373"/>
        <v>Sinapi 88417</v>
      </c>
      <c r="K5998" s="91" t="str">
        <f t="shared" si="374"/>
        <v>M2</v>
      </c>
      <c r="L5998" s="166" t="str">
        <f t="shared" si="375"/>
        <v>06/2014</v>
      </c>
      <c r="M5998" s="82"/>
      <c r="N5998" s="82"/>
    </row>
    <row r="5999" spans="1:14" x14ac:dyDescent="0.25">
      <c r="A5999" s="170" t="s">
        <v>8487</v>
      </c>
      <c r="B5999" s="170" t="s">
        <v>8488</v>
      </c>
      <c r="C5999" s="170" t="s">
        <v>870</v>
      </c>
      <c r="D5999" s="170" t="s">
        <v>2067</v>
      </c>
      <c r="E5999" s="171" t="s">
        <v>28997</v>
      </c>
      <c r="F5999" s="171" t="s">
        <v>21360</v>
      </c>
      <c r="G5999" s="82"/>
      <c r="H5999" s="96">
        <f t="shared" si="372"/>
        <v>24.79</v>
      </c>
      <c r="I5999" s="96">
        <f t="shared" si="372"/>
        <v>25.82</v>
      </c>
      <c r="J5999" s="91" t="str">
        <f t="shared" si="373"/>
        <v>Sinapi 88420</v>
      </c>
      <c r="K5999" s="91" t="str">
        <f t="shared" si="374"/>
        <v>M2</v>
      </c>
      <c r="L5999" s="166" t="str">
        <f t="shared" si="375"/>
        <v>06/2014</v>
      </c>
      <c r="M5999" s="82"/>
      <c r="N5999" s="82"/>
    </row>
    <row r="6000" spans="1:14" x14ac:dyDescent="0.25">
      <c r="A6000" s="170" t="s">
        <v>8489</v>
      </c>
      <c r="B6000" s="170" t="s">
        <v>8490</v>
      </c>
      <c r="C6000" s="170" t="s">
        <v>870</v>
      </c>
      <c r="D6000" s="170" t="s">
        <v>2067</v>
      </c>
      <c r="E6000" s="171" t="s">
        <v>23076</v>
      </c>
      <c r="F6000" s="171" t="s">
        <v>20098</v>
      </c>
      <c r="G6000" s="82"/>
      <c r="H6000" s="96">
        <f t="shared" si="372"/>
        <v>26.31</v>
      </c>
      <c r="I6000" s="96">
        <f t="shared" si="372"/>
        <v>27.5</v>
      </c>
      <c r="J6000" s="91" t="str">
        <f t="shared" si="373"/>
        <v>Sinapi 88421</v>
      </c>
      <c r="K6000" s="91" t="str">
        <f t="shared" si="374"/>
        <v>M2</v>
      </c>
      <c r="L6000" s="166" t="str">
        <f t="shared" si="375"/>
        <v>06/2014</v>
      </c>
      <c r="M6000" s="82"/>
      <c r="N6000" s="82"/>
    </row>
    <row r="6001" spans="1:14" x14ac:dyDescent="0.25">
      <c r="A6001" s="170" t="s">
        <v>8491</v>
      </c>
      <c r="B6001" s="170" t="s">
        <v>8492</v>
      </c>
      <c r="C6001" s="170" t="s">
        <v>870</v>
      </c>
      <c r="D6001" s="170" t="s">
        <v>2067</v>
      </c>
      <c r="E6001" s="171" t="s">
        <v>15643</v>
      </c>
      <c r="F6001" s="171" t="s">
        <v>22827</v>
      </c>
      <c r="G6001" s="82"/>
      <c r="H6001" s="96">
        <f t="shared" si="372"/>
        <v>20.75</v>
      </c>
      <c r="I6001" s="96">
        <f t="shared" si="372"/>
        <v>21.32</v>
      </c>
      <c r="J6001" s="91" t="str">
        <f t="shared" si="373"/>
        <v>Sinapi 88423</v>
      </c>
      <c r="K6001" s="91" t="str">
        <f t="shared" si="374"/>
        <v>M2</v>
      </c>
      <c r="L6001" s="166" t="str">
        <f t="shared" si="375"/>
        <v>06/2014</v>
      </c>
      <c r="M6001" s="82"/>
      <c r="N6001" s="82"/>
    </row>
    <row r="6002" spans="1:14" x14ac:dyDescent="0.25">
      <c r="A6002" s="170" t="s">
        <v>8493</v>
      </c>
      <c r="B6002" s="170" t="s">
        <v>8494</v>
      </c>
      <c r="C6002" s="170" t="s">
        <v>870</v>
      </c>
      <c r="D6002" s="170" t="s">
        <v>2067</v>
      </c>
      <c r="E6002" s="171" t="s">
        <v>19971</v>
      </c>
      <c r="F6002" s="171" t="s">
        <v>23020</v>
      </c>
      <c r="G6002" s="82"/>
      <c r="H6002" s="96">
        <f t="shared" si="372"/>
        <v>23.26</v>
      </c>
      <c r="I6002" s="96">
        <f t="shared" si="372"/>
        <v>24.12</v>
      </c>
      <c r="J6002" s="91" t="str">
        <f t="shared" si="373"/>
        <v>Sinapi 88424</v>
      </c>
      <c r="K6002" s="91" t="str">
        <f t="shared" si="374"/>
        <v>M2</v>
      </c>
      <c r="L6002" s="166" t="str">
        <f t="shared" si="375"/>
        <v>06/2014</v>
      </c>
      <c r="M6002" s="82"/>
      <c r="N6002" s="82"/>
    </row>
    <row r="6003" spans="1:14" x14ac:dyDescent="0.25">
      <c r="A6003" s="170" t="s">
        <v>8495</v>
      </c>
      <c r="B6003" s="170" t="s">
        <v>8496</v>
      </c>
      <c r="C6003" s="170" t="s">
        <v>870</v>
      </c>
      <c r="D6003" s="170" t="s">
        <v>2067</v>
      </c>
      <c r="E6003" s="171" t="s">
        <v>34479</v>
      </c>
      <c r="F6003" s="171" t="s">
        <v>17932</v>
      </c>
      <c r="G6003" s="82"/>
      <c r="H6003" s="96">
        <f t="shared" si="372"/>
        <v>19.16</v>
      </c>
      <c r="I6003" s="96">
        <f t="shared" si="372"/>
        <v>19.559999999999999</v>
      </c>
      <c r="J6003" s="91" t="str">
        <f t="shared" si="373"/>
        <v>Sinapi 88426</v>
      </c>
      <c r="K6003" s="91" t="str">
        <f t="shared" si="374"/>
        <v>M2</v>
      </c>
      <c r="L6003" s="166" t="str">
        <f t="shared" si="375"/>
        <v>06/2014</v>
      </c>
      <c r="M6003" s="82"/>
      <c r="N6003" s="82"/>
    </row>
    <row r="6004" spans="1:14" x14ac:dyDescent="0.25">
      <c r="A6004" s="170" t="s">
        <v>8497</v>
      </c>
      <c r="B6004" s="170" t="s">
        <v>8498</v>
      </c>
      <c r="C6004" s="170" t="s">
        <v>870</v>
      </c>
      <c r="D6004" s="170" t="s">
        <v>2067</v>
      </c>
      <c r="E6004" s="171" t="s">
        <v>30934</v>
      </c>
      <c r="F6004" s="171" t="s">
        <v>37563</v>
      </c>
      <c r="G6004" s="82"/>
      <c r="H6004" s="96">
        <f t="shared" si="372"/>
        <v>31.51</v>
      </c>
      <c r="I6004" s="96">
        <f t="shared" si="372"/>
        <v>33.270000000000003</v>
      </c>
      <c r="J6004" s="91" t="str">
        <f t="shared" si="373"/>
        <v>Sinapi 88428</v>
      </c>
      <c r="K6004" s="91" t="str">
        <f t="shared" si="374"/>
        <v>M2</v>
      </c>
      <c r="L6004" s="166" t="str">
        <f t="shared" si="375"/>
        <v>06/2014</v>
      </c>
      <c r="M6004" s="82"/>
      <c r="N6004" s="82"/>
    </row>
    <row r="6005" spans="1:14" x14ac:dyDescent="0.25">
      <c r="A6005" s="170" t="s">
        <v>8499</v>
      </c>
      <c r="B6005" s="170" t="s">
        <v>8500</v>
      </c>
      <c r="C6005" s="170" t="s">
        <v>870</v>
      </c>
      <c r="D6005" s="170" t="s">
        <v>2067</v>
      </c>
      <c r="E6005" s="171" t="s">
        <v>21472</v>
      </c>
      <c r="F6005" s="171" t="s">
        <v>21480</v>
      </c>
      <c r="G6005" s="82"/>
      <c r="H6005" s="96">
        <f t="shared" si="372"/>
        <v>34.15</v>
      </c>
      <c r="I6005" s="96">
        <f t="shared" si="372"/>
        <v>36.200000000000003</v>
      </c>
      <c r="J6005" s="91" t="str">
        <f t="shared" si="373"/>
        <v>Sinapi 88429</v>
      </c>
      <c r="K6005" s="91" t="str">
        <f t="shared" si="374"/>
        <v>M2</v>
      </c>
      <c r="L6005" s="166" t="str">
        <f t="shared" si="375"/>
        <v>06/2014</v>
      </c>
      <c r="M6005" s="82"/>
      <c r="N6005" s="82"/>
    </row>
    <row r="6006" spans="1:14" x14ac:dyDescent="0.25">
      <c r="A6006" s="170" t="s">
        <v>8501</v>
      </c>
      <c r="B6006" s="170" t="s">
        <v>8502</v>
      </c>
      <c r="C6006" s="170" t="s">
        <v>870</v>
      </c>
      <c r="D6006" s="170" t="s">
        <v>2067</v>
      </c>
      <c r="E6006" s="171" t="s">
        <v>29243</v>
      </c>
      <c r="F6006" s="171" t="s">
        <v>37564</v>
      </c>
      <c r="G6006" s="82"/>
      <c r="H6006" s="96">
        <f t="shared" si="372"/>
        <v>24.56</v>
      </c>
      <c r="I6006" s="96">
        <f t="shared" si="372"/>
        <v>25.55</v>
      </c>
      <c r="J6006" s="91" t="str">
        <f t="shared" si="373"/>
        <v>Sinapi 88431</v>
      </c>
      <c r="K6006" s="91" t="str">
        <f t="shared" si="374"/>
        <v>M2</v>
      </c>
      <c r="L6006" s="166" t="str">
        <f t="shared" si="375"/>
        <v>06/2014</v>
      </c>
      <c r="M6006" s="82"/>
      <c r="N6006" s="82"/>
    </row>
    <row r="6007" spans="1:14" x14ac:dyDescent="0.25">
      <c r="A6007" s="170" t="s">
        <v>8503</v>
      </c>
      <c r="B6007" s="170" t="s">
        <v>8504</v>
      </c>
      <c r="C6007" s="170" t="s">
        <v>870</v>
      </c>
      <c r="D6007" s="170" t="s">
        <v>2067</v>
      </c>
      <c r="E6007" s="171" t="s">
        <v>18593</v>
      </c>
      <c r="F6007" s="171" t="s">
        <v>23070</v>
      </c>
      <c r="G6007" s="82"/>
      <c r="H6007" s="96">
        <f t="shared" si="372"/>
        <v>17.43</v>
      </c>
      <c r="I6007" s="96">
        <f t="shared" si="372"/>
        <v>18.66</v>
      </c>
      <c r="J6007" s="91" t="str">
        <f t="shared" si="373"/>
        <v>Sinapi 88432</v>
      </c>
      <c r="K6007" s="91" t="str">
        <f t="shared" si="374"/>
        <v>M2</v>
      </c>
      <c r="L6007" s="166" t="str">
        <f t="shared" si="375"/>
        <v>06/2014</v>
      </c>
      <c r="M6007" s="82"/>
      <c r="N6007" s="82"/>
    </row>
    <row r="6008" spans="1:14" x14ac:dyDescent="0.25">
      <c r="A6008" s="170" t="s">
        <v>8505</v>
      </c>
      <c r="B6008" s="170" t="s">
        <v>21294</v>
      </c>
      <c r="C6008" s="170" t="s">
        <v>870</v>
      </c>
      <c r="D6008" s="170" t="s">
        <v>2710</v>
      </c>
      <c r="E6008" s="171" t="s">
        <v>10257</v>
      </c>
      <c r="F6008" s="171" t="s">
        <v>11612</v>
      </c>
      <c r="G6008" s="82"/>
      <c r="H6008" s="96">
        <f t="shared" si="372"/>
        <v>4.66</v>
      </c>
      <c r="I6008" s="96">
        <f t="shared" si="372"/>
        <v>4.9800000000000004</v>
      </c>
      <c r="J6008" s="91" t="str">
        <f t="shared" si="373"/>
        <v>Sinapi 88484</v>
      </c>
      <c r="K6008" s="91" t="str">
        <f t="shared" si="374"/>
        <v>M2</v>
      </c>
      <c r="L6008" s="166" t="str">
        <f t="shared" si="375"/>
        <v>04/2023</v>
      </c>
      <c r="M6008" s="82"/>
      <c r="N6008" s="82"/>
    </row>
    <row r="6009" spans="1:14" x14ac:dyDescent="0.25">
      <c r="A6009" s="170" t="s">
        <v>8506</v>
      </c>
      <c r="B6009" s="170" t="s">
        <v>21295</v>
      </c>
      <c r="C6009" s="170" t="s">
        <v>870</v>
      </c>
      <c r="D6009" s="170" t="s">
        <v>2710</v>
      </c>
      <c r="E6009" s="171" t="s">
        <v>13755</v>
      </c>
      <c r="F6009" s="171" t="s">
        <v>16385</v>
      </c>
      <c r="G6009" s="82"/>
      <c r="H6009" s="96">
        <f t="shared" si="372"/>
        <v>3.84</v>
      </c>
      <c r="I6009" s="96">
        <f t="shared" si="372"/>
        <v>4.0599999999999996</v>
      </c>
      <c r="J6009" s="91" t="str">
        <f t="shared" si="373"/>
        <v>Sinapi 88485</v>
      </c>
      <c r="K6009" s="91" t="str">
        <f t="shared" si="374"/>
        <v>M2</v>
      </c>
      <c r="L6009" s="166" t="str">
        <f t="shared" si="375"/>
        <v>04/2023</v>
      </c>
      <c r="M6009" s="82"/>
      <c r="N6009" s="82"/>
    </row>
    <row r="6010" spans="1:14" x14ac:dyDescent="0.25">
      <c r="A6010" s="170" t="s">
        <v>8507</v>
      </c>
      <c r="B6010" s="170" t="s">
        <v>21296</v>
      </c>
      <c r="C6010" s="170" t="s">
        <v>870</v>
      </c>
      <c r="D6010" s="170" t="s">
        <v>2710</v>
      </c>
      <c r="E6010" s="171" t="s">
        <v>21042</v>
      </c>
      <c r="F6010" s="171" t="s">
        <v>20466</v>
      </c>
      <c r="G6010" s="82"/>
      <c r="H6010" s="96">
        <f t="shared" si="372"/>
        <v>14.79</v>
      </c>
      <c r="I6010" s="96">
        <f t="shared" si="372"/>
        <v>15.57</v>
      </c>
      <c r="J6010" s="91" t="str">
        <f t="shared" si="373"/>
        <v>Sinapi 88488</v>
      </c>
      <c r="K6010" s="91" t="str">
        <f t="shared" si="374"/>
        <v>M2</v>
      </c>
      <c r="L6010" s="166" t="str">
        <f t="shared" si="375"/>
        <v>04/2023</v>
      </c>
      <c r="M6010" s="82"/>
      <c r="N6010" s="82"/>
    </row>
    <row r="6011" spans="1:14" x14ac:dyDescent="0.25">
      <c r="A6011" s="170" t="s">
        <v>8508</v>
      </c>
      <c r="B6011" s="170" t="s">
        <v>21297</v>
      </c>
      <c r="C6011" s="170" t="s">
        <v>870</v>
      </c>
      <c r="D6011" s="170" t="s">
        <v>2710</v>
      </c>
      <c r="E6011" s="171" t="s">
        <v>17918</v>
      </c>
      <c r="F6011" s="171" t="s">
        <v>24472</v>
      </c>
      <c r="G6011" s="82"/>
      <c r="H6011" s="96">
        <f t="shared" si="372"/>
        <v>12.78</v>
      </c>
      <c r="I6011" s="96">
        <f t="shared" si="372"/>
        <v>13.34</v>
      </c>
      <c r="J6011" s="91" t="str">
        <f t="shared" si="373"/>
        <v>Sinapi 88489</v>
      </c>
      <c r="K6011" s="91" t="str">
        <f t="shared" si="374"/>
        <v>M2</v>
      </c>
      <c r="L6011" s="166" t="str">
        <f t="shared" si="375"/>
        <v>04/2023</v>
      </c>
      <c r="M6011" s="82"/>
      <c r="N6011" s="82"/>
    </row>
    <row r="6012" spans="1:14" x14ac:dyDescent="0.25">
      <c r="A6012" s="170" t="s">
        <v>8509</v>
      </c>
      <c r="B6012" s="170" t="s">
        <v>21298</v>
      </c>
      <c r="C6012" s="170" t="s">
        <v>870</v>
      </c>
      <c r="D6012" s="170" t="s">
        <v>2067</v>
      </c>
      <c r="E6012" s="171" t="s">
        <v>23126</v>
      </c>
      <c r="F6012" s="171" t="s">
        <v>22818</v>
      </c>
      <c r="G6012" s="82"/>
      <c r="H6012" s="96">
        <f t="shared" si="372"/>
        <v>18.649999999999999</v>
      </c>
      <c r="I6012" s="96">
        <f t="shared" si="372"/>
        <v>20.39</v>
      </c>
      <c r="J6012" s="91" t="str">
        <f t="shared" si="373"/>
        <v>Sinapi 88494</v>
      </c>
      <c r="K6012" s="91" t="str">
        <f t="shared" si="374"/>
        <v>M2</v>
      </c>
      <c r="L6012" s="166" t="str">
        <f t="shared" si="375"/>
        <v>04/2023</v>
      </c>
      <c r="M6012" s="82"/>
      <c r="N6012" s="82"/>
    </row>
    <row r="6013" spans="1:14" x14ac:dyDescent="0.25">
      <c r="A6013" s="170" t="s">
        <v>8510</v>
      </c>
      <c r="B6013" s="170" t="s">
        <v>21299</v>
      </c>
      <c r="C6013" s="170" t="s">
        <v>870</v>
      </c>
      <c r="D6013" s="170" t="s">
        <v>2067</v>
      </c>
      <c r="E6013" s="171" t="s">
        <v>21032</v>
      </c>
      <c r="F6013" s="171" t="s">
        <v>23148</v>
      </c>
      <c r="G6013" s="82"/>
      <c r="H6013" s="96">
        <f t="shared" si="372"/>
        <v>10.48</v>
      </c>
      <c r="I6013" s="96">
        <f t="shared" si="372"/>
        <v>11.32</v>
      </c>
      <c r="J6013" s="91" t="str">
        <f t="shared" si="373"/>
        <v>Sinapi 88495</v>
      </c>
      <c r="K6013" s="91" t="str">
        <f t="shared" si="374"/>
        <v>M2</v>
      </c>
      <c r="L6013" s="166" t="str">
        <f t="shared" si="375"/>
        <v>04/2023</v>
      </c>
      <c r="M6013" s="82"/>
      <c r="N6013" s="82"/>
    </row>
    <row r="6014" spans="1:14" x14ac:dyDescent="0.25">
      <c r="A6014" s="170" t="s">
        <v>8511</v>
      </c>
      <c r="B6014" s="170" t="s">
        <v>21300</v>
      </c>
      <c r="C6014" s="170" t="s">
        <v>870</v>
      </c>
      <c r="D6014" s="170" t="s">
        <v>2067</v>
      </c>
      <c r="E6014" s="171" t="s">
        <v>34480</v>
      </c>
      <c r="F6014" s="171" t="s">
        <v>37565</v>
      </c>
      <c r="G6014" s="82"/>
      <c r="H6014" s="96">
        <f t="shared" si="372"/>
        <v>28.41</v>
      </c>
      <c r="I6014" s="96">
        <f t="shared" si="372"/>
        <v>30.96</v>
      </c>
      <c r="J6014" s="91" t="str">
        <f t="shared" si="373"/>
        <v>Sinapi 88496</v>
      </c>
      <c r="K6014" s="91" t="str">
        <f t="shared" si="374"/>
        <v>M2</v>
      </c>
      <c r="L6014" s="166" t="str">
        <f t="shared" si="375"/>
        <v>04/2023</v>
      </c>
      <c r="M6014" s="82"/>
      <c r="N6014" s="82"/>
    </row>
    <row r="6015" spans="1:14" x14ac:dyDescent="0.25">
      <c r="A6015" s="170" t="s">
        <v>8512</v>
      </c>
      <c r="B6015" s="170" t="s">
        <v>21301</v>
      </c>
      <c r="C6015" s="170" t="s">
        <v>870</v>
      </c>
      <c r="D6015" s="170" t="s">
        <v>2067</v>
      </c>
      <c r="E6015" s="171" t="s">
        <v>23272</v>
      </c>
      <c r="F6015" s="171" t="s">
        <v>29747</v>
      </c>
      <c r="G6015" s="82"/>
      <c r="H6015" s="96">
        <f t="shared" si="372"/>
        <v>16.41</v>
      </c>
      <c r="I6015" s="96">
        <f t="shared" si="372"/>
        <v>17.66</v>
      </c>
      <c r="J6015" s="91" t="str">
        <f t="shared" si="373"/>
        <v>Sinapi 88497</v>
      </c>
      <c r="K6015" s="91" t="str">
        <f t="shared" si="374"/>
        <v>M2</v>
      </c>
      <c r="L6015" s="166" t="str">
        <f t="shared" si="375"/>
        <v>04/2023</v>
      </c>
      <c r="M6015" s="82"/>
      <c r="N6015" s="82"/>
    </row>
    <row r="6016" spans="1:14" x14ac:dyDescent="0.25">
      <c r="A6016" s="170" t="s">
        <v>8513</v>
      </c>
      <c r="B6016" s="170" t="s">
        <v>21302</v>
      </c>
      <c r="C6016" s="170" t="s">
        <v>870</v>
      </c>
      <c r="D6016" s="170" t="s">
        <v>2067</v>
      </c>
      <c r="E6016" s="171" t="s">
        <v>15628</v>
      </c>
      <c r="F6016" s="171" t="s">
        <v>11545</v>
      </c>
      <c r="G6016" s="82"/>
      <c r="H6016" s="96">
        <f t="shared" si="372"/>
        <v>13.69</v>
      </c>
      <c r="I6016" s="96">
        <f t="shared" si="372"/>
        <v>14.21</v>
      </c>
      <c r="J6016" s="91" t="str">
        <f t="shared" si="373"/>
        <v>Sinapi 95305</v>
      </c>
      <c r="K6016" s="91" t="str">
        <f t="shared" si="374"/>
        <v>M2</v>
      </c>
      <c r="L6016" s="166" t="str">
        <f t="shared" si="375"/>
        <v>04/2023</v>
      </c>
      <c r="M6016" s="82"/>
      <c r="N6016" s="82"/>
    </row>
    <row r="6017" spans="1:14" x14ac:dyDescent="0.25">
      <c r="A6017" s="170" t="s">
        <v>8514</v>
      </c>
      <c r="B6017" s="170" t="s">
        <v>21303</v>
      </c>
      <c r="C6017" s="170" t="s">
        <v>870</v>
      </c>
      <c r="D6017" s="170" t="s">
        <v>2067</v>
      </c>
      <c r="E6017" s="171" t="s">
        <v>18629</v>
      </c>
      <c r="F6017" s="171" t="s">
        <v>21475</v>
      </c>
      <c r="G6017" s="82"/>
      <c r="H6017" s="96">
        <f t="shared" si="372"/>
        <v>15.58</v>
      </c>
      <c r="I6017" s="96">
        <f t="shared" si="372"/>
        <v>16.32</v>
      </c>
      <c r="J6017" s="91" t="str">
        <f t="shared" si="373"/>
        <v>Sinapi 95306</v>
      </c>
      <c r="K6017" s="91" t="str">
        <f t="shared" si="374"/>
        <v>M2</v>
      </c>
      <c r="L6017" s="166" t="str">
        <f t="shared" si="375"/>
        <v>04/2023</v>
      </c>
      <c r="M6017" s="82"/>
      <c r="N6017" s="82"/>
    </row>
    <row r="6018" spans="1:14" x14ac:dyDescent="0.25">
      <c r="A6018" s="170" t="s">
        <v>8515</v>
      </c>
      <c r="B6018" s="170" t="s">
        <v>8516</v>
      </c>
      <c r="C6018" s="170" t="s">
        <v>870</v>
      </c>
      <c r="D6018" s="170" t="s">
        <v>2710</v>
      </c>
      <c r="E6018" s="171" t="s">
        <v>18698</v>
      </c>
      <c r="F6018" s="171" t="s">
        <v>16873</v>
      </c>
      <c r="G6018" s="82"/>
      <c r="H6018" s="96">
        <f t="shared" si="372"/>
        <v>15.93</v>
      </c>
      <c r="I6018" s="96">
        <f t="shared" si="372"/>
        <v>16.95</v>
      </c>
      <c r="J6018" s="91" t="str">
        <f t="shared" si="373"/>
        <v>Sinapi 95622</v>
      </c>
      <c r="K6018" s="91" t="str">
        <f t="shared" si="374"/>
        <v>M2</v>
      </c>
      <c r="L6018" s="166" t="str">
        <f t="shared" si="375"/>
        <v>11/2016</v>
      </c>
      <c r="M6018" s="82"/>
      <c r="N6018" s="82"/>
    </row>
    <row r="6019" spans="1:14" x14ac:dyDescent="0.25">
      <c r="A6019" s="170" t="s">
        <v>8517</v>
      </c>
      <c r="B6019" s="170" t="s">
        <v>8518</v>
      </c>
      <c r="C6019" s="170" t="s">
        <v>870</v>
      </c>
      <c r="D6019" s="170" t="s">
        <v>2710</v>
      </c>
      <c r="E6019" s="171" t="s">
        <v>15652</v>
      </c>
      <c r="F6019" s="171" t="s">
        <v>22865</v>
      </c>
      <c r="G6019" s="82"/>
      <c r="H6019" s="96">
        <f t="shared" si="372"/>
        <v>12.7</v>
      </c>
      <c r="I6019" s="96">
        <f t="shared" si="372"/>
        <v>13.37</v>
      </c>
      <c r="J6019" s="91" t="str">
        <f t="shared" si="373"/>
        <v>Sinapi 95623</v>
      </c>
      <c r="K6019" s="91" t="str">
        <f t="shared" si="374"/>
        <v>M2</v>
      </c>
      <c r="L6019" s="166" t="str">
        <f t="shared" si="375"/>
        <v>11/2016</v>
      </c>
      <c r="M6019" s="82"/>
      <c r="N6019" s="82"/>
    </row>
    <row r="6020" spans="1:14" x14ac:dyDescent="0.25">
      <c r="A6020" s="170" t="s">
        <v>8519</v>
      </c>
      <c r="B6020" s="170" t="s">
        <v>8520</v>
      </c>
      <c r="C6020" s="170" t="s">
        <v>870</v>
      </c>
      <c r="D6020" s="170" t="s">
        <v>2710</v>
      </c>
      <c r="E6020" s="171" t="s">
        <v>17345</v>
      </c>
      <c r="F6020" s="171" t="s">
        <v>23171</v>
      </c>
      <c r="G6020" s="82"/>
      <c r="H6020" s="96">
        <f t="shared" si="372"/>
        <v>22.53</v>
      </c>
      <c r="I6020" s="96">
        <f t="shared" si="372"/>
        <v>24.27</v>
      </c>
      <c r="J6020" s="91" t="str">
        <f t="shared" si="373"/>
        <v>Sinapi 95624</v>
      </c>
      <c r="K6020" s="91" t="str">
        <f t="shared" si="374"/>
        <v>M2</v>
      </c>
      <c r="L6020" s="166" t="str">
        <f t="shared" si="375"/>
        <v>11/2016</v>
      </c>
      <c r="M6020" s="82"/>
      <c r="N6020" s="82"/>
    </row>
    <row r="6021" spans="1:14" x14ac:dyDescent="0.25">
      <c r="A6021" s="170" t="s">
        <v>8521</v>
      </c>
      <c r="B6021" s="170" t="s">
        <v>8522</v>
      </c>
      <c r="C6021" s="170" t="s">
        <v>870</v>
      </c>
      <c r="D6021" s="170" t="s">
        <v>2710</v>
      </c>
      <c r="E6021" s="171" t="s">
        <v>25914</v>
      </c>
      <c r="F6021" s="171" t="s">
        <v>33091</v>
      </c>
      <c r="G6021" s="82"/>
      <c r="H6021" s="96">
        <f t="shared" si="372"/>
        <v>24.61</v>
      </c>
      <c r="I6021" s="96">
        <f t="shared" si="372"/>
        <v>26.58</v>
      </c>
      <c r="J6021" s="91" t="str">
        <f t="shared" si="373"/>
        <v>Sinapi 95625</v>
      </c>
      <c r="K6021" s="91" t="str">
        <f t="shared" si="374"/>
        <v>M2</v>
      </c>
      <c r="L6021" s="166" t="str">
        <f t="shared" si="375"/>
        <v>11/2016</v>
      </c>
      <c r="M6021" s="82"/>
      <c r="N6021" s="82"/>
    </row>
    <row r="6022" spans="1:14" x14ac:dyDescent="0.25">
      <c r="A6022" s="170" t="s">
        <v>8523</v>
      </c>
      <c r="B6022" s="170" t="s">
        <v>8524</v>
      </c>
      <c r="C6022" s="170" t="s">
        <v>870</v>
      </c>
      <c r="D6022" s="170" t="s">
        <v>2710</v>
      </c>
      <c r="E6022" s="171" t="s">
        <v>19272</v>
      </c>
      <c r="F6022" s="171" t="s">
        <v>31893</v>
      </c>
      <c r="G6022" s="82"/>
      <c r="H6022" s="96">
        <f t="shared" si="372"/>
        <v>16.989999999999998</v>
      </c>
      <c r="I6022" s="96">
        <f t="shared" si="372"/>
        <v>18.12</v>
      </c>
      <c r="J6022" s="91" t="str">
        <f t="shared" si="373"/>
        <v>Sinapi 95626</v>
      </c>
      <c r="K6022" s="91" t="str">
        <f t="shared" si="374"/>
        <v>M2</v>
      </c>
      <c r="L6022" s="166" t="str">
        <f t="shared" si="375"/>
        <v>11/2016</v>
      </c>
      <c r="M6022" s="82"/>
      <c r="N6022" s="82"/>
    </row>
    <row r="6023" spans="1:14" x14ac:dyDescent="0.25">
      <c r="A6023" s="170" t="s">
        <v>8525</v>
      </c>
      <c r="B6023" s="170" t="s">
        <v>8526</v>
      </c>
      <c r="C6023" s="170" t="s">
        <v>870</v>
      </c>
      <c r="D6023" s="170" t="s">
        <v>2067</v>
      </c>
      <c r="E6023" s="171" t="s">
        <v>27630</v>
      </c>
      <c r="F6023" s="171" t="s">
        <v>29337</v>
      </c>
      <c r="G6023" s="82"/>
      <c r="H6023" s="96">
        <f t="shared" si="372"/>
        <v>18.57</v>
      </c>
      <c r="I6023" s="96">
        <f t="shared" si="372"/>
        <v>19.829999999999998</v>
      </c>
      <c r="J6023" s="91" t="str">
        <f t="shared" si="373"/>
        <v>Sinapi 96126</v>
      </c>
      <c r="K6023" s="91" t="str">
        <f t="shared" si="374"/>
        <v>M2</v>
      </c>
      <c r="L6023" s="166" t="str">
        <f t="shared" si="375"/>
        <v>05/2017</v>
      </c>
      <c r="M6023" s="82"/>
      <c r="N6023" s="82"/>
    </row>
    <row r="6024" spans="1:14" x14ac:dyDescent="0.25">
      <c r="A6024" s="170" t="s">
        <v>8528</v>
      </c>
      <c r="B6024" s="170" t="s">
        <v>8529</v>
      </c>
      <c r="C6024" s="170" t="s">
        <v>870</v>
      </c>
      <c r="D6024" s="170" t="s">
        <v>2067</v>
      </c>
      <c r="E6024" s="171" t="s">
        <v>19328</v>
      </c>
      <c r="F6024" s="171" t="s">
        <v>10284</v>
      </c>
      <c r="G6024" s="82"/>
      <c r="H6024" s="96">
        <f t="shared" ref="H6024:I6087" si="376">IF(E6024="","",E6024+0)</f>
        <v>14.52</v>
      </c>
      <c r="I6024" s="96">
        <f t="shared" si="376"/>
        <v>15.35</v>
      </c>
      <c r="J6024" s="91" t="str">
        <f t="shared" ref="J6024:J6087" si="377">IF(OR(H6024="",I6024=""),"",TRIM(CONCATENATE("Sinapi ",A6024)))</f>
        <v>Sinapi 96127</v>
      </c>
      <c r="K6024" s="91" t="str">
        <f t="shared" ref="K6024:K6087" si="378">TRIM(C6024)</f>
        <v>M2</v>
      </c>
      <c r="L6024" s="166" t="str">
        <f t="shared" ref="L6024:L6087" si="379">IF(OR(RIGHT(IF(AND(K6024&lt;&gt;"H",K6024&lt;&gt;"MES"),RIGHT(B6024,7),""),2)="PS",RIGHT(IF(AND(K6024&lt;&gt;"H",K6024&lt;&gt;"MES"),RIGHT(B6024,7),""),2)="PA",RIGHT(IF(AND(K6024&lt;&gt;"H",K6024&lt;&gt;"MES"),RIGHT(B6024,7),""),2)="PE"),LEFT(IF(AND(K6024&lt;&gt;"H",K6024&lt;&gt;"MES"),RIGHT(B6024,10),""),7),IF(AND(K6024&lt;&gt;"H",K6024&lt;&gt;"MES"),RIGHT(B6024,7),""))</f>
        <v>05/2017</v>
      </c>
      <c r="M6024" s="82"/>
      <c r="N6024" s="82"/>
    </row>
    <row r="6025" spans="1:14" x14ac:dyDescent="0.25">
      <c r="A6025" s="170" t="s">
        <v>8530</v>
      </c>
      <c r="B6025" s="170" t="s">
        <v>8531</v>
      </c>
      <c r="C6025" s="170" t="s">
        <v>870</v>
      </c>
      <c r="D6025" s="170" t="s">
        <v>2067</v>
      </c>
      <c r="E6025" s="171" t="s">
        <v>19894</v>
      </c>
      <c r="F6025" s="171" t="s">
        <v>22925</v>
      </c>
      <c r="G6025" s="82"/>
      <c r="H6025" s="96">
        <f t="shared" si="376"/>
        <v>26.77</v>
      </c>
      <c r="I6025" s="96">
        <f t="shared" si="376"/>
        <v>28.94</v>
      </c>
      <c r="J6025" s="91" t="str">
        <f t="shared" si="377"/>
        <v>Sinapi 96128</v>
      </c>
      <c r="K6025" s="91" t="str">
        <f t="shared" si="378"/>
        <v>M2</v>
      </c>
      <c r="L6025" s="166" t="str">
        <f t="shared" si="379"/>
        <v>05/2017</v>
      </c>
      <c r="M6025" s="82"/>
      <c r="N6025" s="82"/>
    </row>
    <row r="6026" spans="1:14" x14ac:dyDescent="0.25">
      <c r="A6026" s="170" t="s">
        <v>8532</v>
      </c>
      <c r="B6026" s="170" t="s">
        <v>8533</v>
      </c>
      <c r="C6026" s="170" t="s">
        <v>870</v>
      </c>
      <c r="D6026" s="170" t="s">
        <v>2067</v>
      </c>
      <c r="E6026" s="171" t="s">
        <v>21904</v>
      </c>
      <c r="F6026" s="171" t="s">
        <v>20101</v>
      </c>
      <c r="G6026" s="82"/>
      <c r="H6026" s="96">
        <f t="shared" si="376"/>
        <v>29.39</v>
      </c>
      <c r="I6026" s="96">
        <f t="shared" si="376"/>
        <v>31.84</v>
      </c>
      <c r="J6026" s="91" t="str">
        <f t="shared" si="377"/>
        <v>Sinapi 96129</v>
      </c>
      <c r="K6026" s="91" t="str">
        <f t="shared" si="378"/>
        <v>M2</v>
      </c>
      <c r="L6026" s="166" t="str">
        <f t="shared" si="379"/>
        <v>05/2017</v>
      </c>
      <c r="M6026" s="82"/>
      <c r="N6026" s="82"/>
    </row>
    <row r="6027" spans="1:14" x14ac:dyDescent="0.25">
      <c r="A6027" s="170" t="s">
        <v>8534</v>
      </c>
      <c r="B6027" s="170" t="s">
        <v>8535</v>
      </c>
      <c r="C6027" s="170" t="s">
        <v>870</v>
      </c>
      <c r="D6027" s="170" t="s">
        <v>2067</v>
      </c>
      <c r="E6027" s="171" t="s">
        <v>16318</v>
      </c>
      <c r="F6027" s="171" t="s">
        <v>18454</v>
      </c>
      <c r="G6027" s="82"/>
      <c r="H6027" s="96">
        <f t="shared" si="376"/>
        <v>19.84</v>
      </c>
      <c r="I6027" s="96">
        <f t="shared" si="376"/>
        <v>21.26</v>
      </c>
      <c r="J6027" s="91" t="str">
        <f t="shared" si="377"/>
        <v>Sinapi 96130</v>
      </c>
      <c r="K6027" s="91" t="str">
        <f t="shared" si="378"/>
        <v>M2</v>
      </c>
      <c r="L6027" s="166" t="str">
        <f t="shared" si="379"/>
        <v>05/2017</v>
      </c>
      <c r="M6027" s="82"/>
      <c r="N6027" s="82"/>
    </row>
    <row r="6028" spans="1:14" x14ac:dyDescent="0.25">
      <c r="A6028" s="170" t="s">
        <v>8536</v>
      </c>
      <c r="B6028" s="170" t="s">
        <v>8537</v>
      </c>
      <c r="C6028" s="170" t="s">
        <v>870</v>
      </c>
      <c r="D6028" s="170" t="s">
        <v>2067</v>
      </c>
      <c r="E6028" s="171" t="s">
        <v>21360</v>
      </c>
      <c r="F6028" s="171" t="s">
        <v>20098</v>
      </c>
      <c r="G6028" s="82"/>
      <c r="H6028" s="96">
        <f t="shared" si="376"/>
        <v>25.82</v>
      </c>
      <c r="I6028" s="96">
        <f t="shared" si="376"/>
        <v>27.5</v>
      </c>
      <c r="J6028" s="91" t="str">
        <f t="shared" si="377"/>
        <v>Sinapi 96131</v>
      </c>
      <c r="K6028" s="91" t="str">
        <f t="shared" si="378"/>
        <v>M2</v>
      </c>
      <c r="L6028" s="166" t="str">
        <f t="shared" si="379"/>
        <v>05/2017</v>
      </c>
      <c r="M6028" s="82"/>
      <c r="N6028" s="82"/>
    </row>
    <row r="6029" spans="1:14" x14ac:dyDescent="0.25">
      <c r="A6029" s="170" t="s">
        <v>8538</v>
      </c>
      <c r="B6029" s="170" t="s">
        <v>8539</v>
      </c>
      <c r="C6029" s="170" t="s">
        <v>870</v>
      </c>
      <c r="D6029" s="170" t="s">
        <v>2067</v>
      </c>
      <c r="E6029" s="171" t="s">
        <v>19379</v>
      </c>
      <c r="F6029" s="171" t="s">
        <v>29377</v>
      </c>
      <c r="G6029" s="82"/>
      <c r="H6029" s="96">
        <f t="shared" si="376"/>
        <v>20.420000000000002</v>
      </c>
      <c r="I6029" s="96">
        <f t="shared" si="376"/>
        <v>21.52</v>
      </c>
      <c r="J6029" s="91" t="str">
        <f t="shared" si="377"/>
        <v>Sinapi 96132</v>
      </c>
      <c r="K6029" s="91" t="str">
        <f t="shared" si="378"/>
        <v>M2</v>
      </c>
      <c r="L6029" s="166" t="str">
        <f t="shared" si="379"/>
        <v>05/2017</v>
      </c>
      <c r="M6029" s="82"/>
      <c r="N6029" s="82"/>
    </row>
    <row r="6030" spans="1:14" x14ac:dyDescent="0.25">
      <c r="A6030" s="170" t="s">
        <v>8540</v>
      </c>
      <c r="B6030" s="170" t="s">
        <v>8541</v>
      </c>
      <c r="C6030" s="170" t="s">
        <v>870</v>
      </c>
      <c r="D6030" s="170" t="s">
        <v>2067</v>
      </c>
      <c r="E6030" s="171" t="s">
        <v>28472</v>
      </c>
      <c r="F6030" s="171" t="s">
        <v>26118</v>
      </c>
      <c r="G6030" s="82"/>
      <c r="H6030" s="96">
        <f t="shared" si="376"/>
        <v>36.729999999999997</v>
      </c>
      <c r="I6030" s="96">
        <f t="shared" si="376"/>
        <v>39.61</v>
      </c>
      <c r="J6030" s="91" t="str">
        <f t="shared" si="377"/>
        <v>Sinapi 96133</v>
      </c>
      <c r="K6030" s="91" t="str">
        <f t="shared" si="378"/>
        <v>M2</v>
      </c>
      <c r="L6030" s="166" t="str">
        <f t="shared" si="379"/>
        <v>05/2017</v>
      </c>
      <c r="M6030" s="82"/>
      <c r="N6030" s="82"/>
    </row>
    <row r="6031" spans="1:14" x14ac:dyDescent="0.25">
      <c r="A6031" s="170" t="s">
        <v>8542</v>
      </c>
      <c r="B6031" s="170" t="s">
        <v>8543</v>
      </c>
      <c r="C6031" s="170" t="s">
        <v>870</v>
      </c>
      <c r="D6031" s="170" t="s">
        <v>2067</v>
      </c>
      <c r="E6031" s="171" t="s">
        <v>29036</v>
      </c>
      <c r="F6031" s="171" t="s">
        <v>34485</v>
      </c>
      <c r="G6031" s="82"/>
      <c r="H6031" s="96">
        <f t="shared" si="376"/>
        <v>40.200000000000003</v>
      </c>
      <c r="I6031" s="96">
        <f t="shared" si="376"/>
        <v>43.47</v>
      </c>
      <c r="J6031" s="91" t="str">
        <f t="shared" si="377"/>
        <v>Sinapi 96134</v>
      </c>
      <c r="K6031" s="91" t="str">
        <f t="shared" si="378"/>
        <v>M2</v>
      </c>
      <c r="L6031" s="166" t="str">
        <f t="shared" si="379"/>
        <v>05/2017</v>
      </c>
      <c r="M6031" s="82"/>
      <c r="N6031" s="82"/>
    </row>
    <row r="6032" spans="1:14" x14ac:dyDescent="0.25">
      <c r="A6032" s="170" t="s">
        <v>8544</v>
      </c>
      <c r="B6032" s="170" t="s">
        <v>8545</v>
      </c>
      <c r="C6032" s="170" t="s">
        <v>870</v>
      </c>
      <c r="D6032" s="170" t="s">
        <v>2067</v>
      </c>
      <c r="E6032" s="171" t="s">
        <v>28848</v>
      </c>
      <c r="F6032" s="171" t="s">
        <v>23258</v>
      </c>
      <c r="G6032" s="82"/>
      <c r="H6032" s="96">
        <f t="shared" si="376"/>
        <v>27.54</v>
      </c>
      <c r="I6032" s="96">
        <f t="shared" si="376"/>
        <v>29.41</v>
      </c>
      <c r="J6032" s="91" t="str">
        <f t="shared" si="377"/>
        <v>Sinapi 96135</v>
      </c>
      <c r="K6032" s="91" t="str">
        <f t="shared" si="378"/>
        <v>M2</v>
      </c>
      <c r="L6032" s="166" t="str">
        <f t="shared" si="379"/>
        <v>05/2017</v>
      </c>
      <c r="M6032" s="82"/>
      <c r="N6032" s="82"/>
    </row>
    <row r="6033" spans="1:14" x14ac:dyDescent="0.25">
      <c r="A6033" s="170" t="s">
        <v>21304</v>
      </c>
      <c r="B6033" s="170" t="s">
        <v>21305</v>
      </c>
      <c r="C6033" s="170" t="s">
        <v>870</v>
      </c>
      <c r="D6033" s="170" t="s">
        <v>2067</v>
      </c>
      <c r="E6033" s="171" t="s">
        <v>23099</v>
      </c>
      <c r="F6033" s="171" t="s">
        <v>18708</v>
      </c>
      <c r="G6033" s="82"/>
      <c r="H6033" s="96">
        <f t="shared" si="376"/>
        <v>10.88</v>
      </c>
      <c r="I6033" s="96">
        <f t="shared" si="376"/>
        <v>11.66</v>
      </c>
      <c r="J6033" s="91" t="str">
        <f t="shared" si="377"/>
        <v>Sinapi 104639</v>
      </c>
      <c r="K6033" s="91" t="str">
        <f t="shared" si="378"/>
        <v>M2</v>
      </c>
      <c r="L6033" s="166" t="str">
        <f t="shared" si="379"/>
        <v>04/2023</v>
      </c>
      <c r="M6033" s="82"/>
      <c r="N6033" s="82"/>
    </row>
    <row r="6034" spans="1:14" x14ac:dyDescent="0.25">
      <c r="A6034" s="170" t="s">
        <v>21306</v>
      </c>
      <c r="B6034" s="170" t="s">
        <v>21307</v>
      </c>
      <c r="C6034" s="170" t="s">
        <v>870</v>
      </c>
      <c r="D6034" s="170" t="s">
        <v>2067</v>
      </c>
      <c r="E6034" s="171" t="s">
        <v>29559</v>
      </c>
      <c r="F6034" s="171" t="s">
        <v>13394</v>
      </c>
      <c r="G6034" s="82"/>
      <c r="H6034" s="96">
        <f t="shared" si="376"/>
        <v>12.32</v>
      </c>
      <c r="I6034" s="96">
        <f t="shared" si="376"/>
        <v>13.1</v>
      </c>
      <c r="J6034" s="91" t="str">
        <f t="shared" si="377"/>
        <v>Sinapi 104640</v>
      </c>
      <c r="K6034" s="91" t="str">
        <f t="shared" si="378"/>
        <v>M2</v>
      </c>
      <c r="L6034" s="166" t="str">
        <f t="shared" si="379"/>
        <v>04/2023</v>
      </c>
      <c r="M6034" s="82"/>
      <c r="N6034" s="82"/>
    </row>
    <row r="6035" spans="1:14" x14ac:dyDescent="0.25">
      <c r="A6035" s="170" t="s">
        <v>21308</v>
      </c>
      <c r="B6035" s="170" t="s">
        <v>21309</v>
      </c>
      <c r="C6035" s="170" t="s">
        <v>870</v>
      </c>
      <c r="D6035" s="170" t="s">
        <v>2067</v>
      </c>
      <c r="E6035" s="171" t="s">
        <v>16209</v>
      </c>
      <c r="F6035" s="171" t="s">
        <v>5604</v>
      </c>
      <c r="G6035" s="82"/>
      <c r="H6035" s="96">
        <f t="shared" si="376"/>
        <v>8.8699999999999992</v>
      </c>
      <c r="I6035" s="96">
        <f t="shared" si="376"/>
        <v>9.43</v>
      </c>
      <c r="J6035" s="91" t="str">
        <f t="shared" si="377"/>
        <v>Sinapi 104641</v>
      </c>
      <c r="K6035" s="91" t="str">
        <f t="shared" si="378"/>
        <v>M2</v>
      </c>
      <c r="L6035" s="166" t="str">
        <f t="shared" si="379"/>
        <v>04/2023</v>
      </c>
      <c r="M6035" s="82"/>
      <c r="N6035" s="82"/>
    </row>
    <row r="6036" spans="1:14" x14ac:dyDescent="0.25">
      <c r="A6036" s="170" t="s">
        <v>21310</v>
      </c>
      <c r="B6036" s="170" t="s">
        <v>21311</v>
      </c>
      <c r="C6036" s="170" t="s">
        <v>870</v>
      </c>
      <c r="D6036" s="170" t="s">
        <v>2067</v>
      </c>
      <c r="E6036" s="171" t="s">
        <v>6899</v>
      </c>
      <c r="F6036" s="171" t="s">
        <v>16398</v>
      </c>
      <c r="G6036" s="82"/>
      <c r="H6036" s="96">
        <f t="shared" si="376"/>
        <v>10.31</v>
      </c>
      <c r="I6036" s="96">
        <f t="shared" si="376"/>
        <v>10.87</v>
      </c>
      <c r="J6036" s="91" t="str">
        <f t="shared" si="377"/>
        <v>Sinapi 104642</v>
      </c>
      <c r="K6036" s="91" t="str">
        <f t="shared" si="378"/>
        <v>M2</v>
      </c>
      <c r="L6036" s="166" t="str">
        <f t="shared" si="379"/>
        <v>04/2023</v>
      </c>
      <c r="M6036" s="82"/>
      <c r="N6036" s="82"/>
    </row>
    <row r="6037" spans="1:14" x14ac:dyDescent="0.25">
      <c r="A6037" s="170" t="s">
        <v>12821</v>
      </c>
      <c r="B6037" s="170" t="s">
        <v>12822</v>
      </c>
      <c r="C6037" s="170" t="s">
        <v>870</v>
      </c>
      <c r="D6037" s="170" t="s">
        <v>2067</v>
      </c>
      <c r="E6037" s="171" t="s">
        <v>17372</v>
      </c>
      <c r="F6037" s="171" t="s">
        <v>22828</v>
      </c>
      <c r="G6037" s="82"/>
      <c r="H6037" s="96">
        <f t="shared" si="376"/>
        <v>1.87</v>
      </c>
      <c r="I6037" s="96">
        <f t="shared" si="376"/>
        <v>2.02</v>
      </c>
      <c r="J6037" s="91" t="str">
        <f t="shared" si="377"/>
        <v>Sinapi 102193</v>
      </c>
      <c r="K6037" s="91" t="str">
        <f t="shared" si="378"/>
        <v>M2</v>
      </c>
      <c r="L6037" s="166" t="str">
        <f t="shared" si="379"/>
        <v>01/2021</v>
      </c>
      <c r="M6037" s="82"/>
      <c r="N6037" s="82"/>
    </row>
    <row r="6038" spans="1:14" x14ac:dyDescent="0.25">
      <c r="A6038" s="170" t="s">
        <v>12823</v>
      </c>
      <c r="B6038" s="170" t="s">
        <v>12824</v>
      </c>
      <c r="C6038" s="170" t="s">
        <v>870</v>
      </c>
      <c r="D6038" s="170" t="s">
        <v>2067</v>
      </c>
      <c r="E6038" s="171" t="s">
        <v>13750</v>
      </c>
      <c r="F6038" s="171" t="s">
        <v>18724</v>
      </c>
      <c r="G6038" s="82"/>
      <c r="H6038" s="96">
        <f t="shared" si="376"/>
        <v>7.23</v>
      </c>
      <c r="I6038" s="96">
        <f t="shared" si="376"/>
        <v>7.97</v>
      </c>
      <c r="J6038" s="91" t="str">
        <f t="shared" si="377"/>
        <v>Sinapi 102194</v>
      </c>
      <c r="K6038" s="91" t="str">
        <f t="shared" si="378"/>
        <v>M2</v>
      </c>
      <c r="L6038" s="166" t="str">
        <f t="shared" si="379"/>
        <v>01/2021</v>
      </c>
      <c r="M6038" s="82"/>
      <c r="N6038" s="82"/>
    </row>
    <row r="6039" spans="1:14" x14ac:dyDescent="0.25">
      <c r="A6039" s="170" t="s">
        <v>12825</v>
      </c>
      <c r="B6039" s="170" t="s">
        <v>12826</v>
      </c>
      <c r="C6039" s="170" t="s">
        <v>870</v>
      </c>
      <c r="D6039" s="170" t="s">
        <v>2067</v>
      </c>
      <c r="E6039" s="171" t="s">
        <v>28994</v>
      </c>
      <c r="F6039" s="171" t="s">
        <v>17952</v>
      </c>
      <c r="G6039" s="82"/>
      <c r="H6039" s="96">
        <f t="shared" si="376"/>
        <v>26.28</v>
      </c>
      <c r="I6039" s="96">
        <f t="shared" si="376"/>
        <v>27.07</v>
      </c>
      <c r="J6039" s="91" t="str">
        <f t="shared" si="377"/>
        <v>Sinapi 102197</v>
      </c>
      <c r="K6039" s="91" t="str">
        <f t="shared" si="378"/>
        <v>M2</v>
      </c>
      <c r="L6039" s="166" t="str">
        <f t="shared" si="379"/>
        <v>01/2021</v>
      </c>
      <c r="M6039" s="82"/>
      <c r="N6039" s="82"/>
    </row>
    <row r="6040" spans="1:14" x14ac:dyDescent="0.25">
      <c r="A6040" s="170" t="s">
        <v>12827</v>
      </c>
      <c r="B6040" s="170" t="s">
        <v>12828</v>
      </c>
      <c r="C6040" s="170" t="s">
        <v>870</v>
      </c>
      <c r="D6040" s="170" t="s">
        <v>2067</v>
      </c>
      <c r="E6040" s="171" t="s">
        <v>17954</v>
      </c>
      <c r="F6040" s="171" t="s">
        <v>16353</v>
      </c>
      <c r="G6040" s="82"/>
      <c r="H6040" s="96">
        <f t="shared" si="376"/>
        <v>19.850000000000001</v>
      </c>
      <c r="I6040" s="96">
        <f t="shared" si="376"/>
        <v>20.88</v>
      </c>
      <c r="J6040" s="91" t="str">
        <f t="shared" si="377"/>
        <v>Sinapi 102200</v>
      </c>
      <c r="K6040" s="91" t="str">
        <f t="shared" si="378"/>
        <v>M2</v>
      </c>
      <c r="L6040" s="166" t="str">
        <f t="shared" si="379"/>
        <v>01/2021</v>
      </c>
      <c r="M6040" s="82"/>
      <c r="N6040" s="82"/>
    </row>
    <row r="6041" spans="1:14" x14ac:dyDescent="0.25">
      <c r="A6041" s="170" t="s">
        <v>15548</v>
      </c>
      <c r="B6041" s="170" t="s">
        <v>15549</v>
      </c>
      <c r="C6041" s="170" t="s">
        <v>870</v>
      </c>
      <c r="D6041" s="170" t="s">
        <v>2067</v>
      </c>
      <c r="E6041" s="171" t="s">
        <v>19874</v>
      </c>
      <c r="F6041" s="171" t="s">
        <v>17923</v>
      </c>
      <c r="G6041" s="82"/>
      <c r="H6041" s="96">
        <f t="shared" si="376"/>
        <v>17.690000000000001</v>
      </c>
      <c r="I6041" s="96">
        <f t="shared" si="376"/>
        <v>18.96</v>
      </c>
      <c r="J6041" s="91" t="str">
        <f t="shared" si="377"/>
        <v>Sinapi 102201</v>
      </c>
      <c r="K6041" s="91" t="str">
        <f t="shared" si="378"/>
        <v>M2</v>
      </c>
      <c r="L6041" s="166" t="str">
        <f t="shared" si="379"/>
        <v>01/2021</v>
      </c>
      <c r="M6041" s="82"/>
      <c r="N6041" s="82"/>
    </row>
    <row r="6042" spans="1:14" x14ac:dyDescent="0.25">
      <c r="A6042" s="170" t="s">
        <v>12829</v>
      </c>
      <c r="B6042" s="170" t="s">
        <v>12830</v>
      </c>
      <c r="C6042" s="170" t="s">
        <v>870</v>
      </c>
      <c r="D6042" s="170" t="s">
        <v>2067</v>
      </c>
      <c r="E6042" s="171" t="s">
        <v>31586</v>
      </c>
      <c r="F6042" s="171" t="s">
        <v>28245</v>
      </c>
      <c r="G6042" s="82"/>
      <c r="H6042" s="96">
        <f t="shared" si="376"/>
        <v>50.88</v>
      </c>
      <c r="I6042" s="96">
        <f t="shared" si="376"/>
        <v>51.91</v>
      </c>
      <c r="J6042" s="91" t="str">
        <f t="shared" si="377"/>
        <v>Sinapi 102202</v>
      </c>
      <c r="K6042" s="91" t="str">
        <f t="shared" si="378"/>
        <v>M2</v>
      </c>
      <c r="L6042" s="166" t="str">
        <f t="shared" si="379"/>
        <v>01/2021</v>
      </c>
      <c r="M6042" s="82"/>
      <c r="N6042" s="82"/>
    </row>
    <row r="6043" spans="1:14" x14ac:dyDescent="0.25">
      <c r="A6043" s="170" t="s">
        <v>12831</v>
      </c>
      <c r="B6043" s="170" t="s">
        <v>12832</v>
      </c>
      <c r="C6043" s="170" t="s">
        <v>870</v>
      </c>
      <c r="D6043" s="170" t="s">
        <v>2067</v>
      </c>
      <c r="E6043" s="171" t="s">
        <v>6475</v>
      </c>
      <c r="F6043" s="171" t="s">
        <v>21997</v>
      </c>
      <c r="G6043" s="82"/>
      <c r="H6043" s="96">
        <f t="shared" si="376"/>
        <v>9.56</v>
      </c>
      <c r="I6043" s="96">
        <f t="shared" si="376"/>
        <v>10.220000000000001</v>
      </c>
      <c r="J6043" s="91" t="str">
        <f t="shared" si="377"/>
        <v>Sinapi 102203</v>
      </c>
      <c r="K6043" s="91" t="str">
        <f t="shared" si="378"/>
        <v>M2</v>
      </c>
      <c r="L6043" s="166" t="str">
        <f t="shared" si="379"/>
        <v>01/2021</v>
      </c>
      <c r="M6043" s="82"/>
      <c r="N6043" s="82"/>
    </row>
    <row r="6044" spans="1:14" x14ac:dyDescent="0.25">
      <c r="A6044" s="170" t="s">
        <v>12833</v>
      </c>
      <c r="B6044" s="170" t="s">
        <v>12834</v>
      </c>
      <c r="C6044" s="170" t="s">
        <v>870</v>
      </c>
      <c r="D6044" s="170" t="s">
        <v>2067</v>
      </c>
      <c r="E6044" s="171" t="s">
        <v>14125</v>
      </c>
      <c r="F6044" s="171" t="s">
        <v>23163</v>
      </c>
      <c r="G6044" s="82"/>
      <c r="H6044" s="96">
        <f t="shared" si="376"/>
        <v>9.89</v>
      </c>
      <c r="I6044" s="96">
        <f t="shared" si="376"/>
        <v>10.55</v>
      </c>
      <c r="J6044" s="91" t="str">
        <f t="shared" si="377"/>
        <v>Sinapi 102204</v>
      </c>
      <c r="K6044" s="91" t="str">
        <f t="shared" si="378"/>
        <v>M2</v>
      </c>
      <c r="L6044" s="166" t="str">
        <f t="shared" si="379"/>
        <v>01/2021</v>
      </c>
      <c r="M6044" s="82"/>
      <c r="N6044" s="82"/>
    </row>
    <row r="6045" spans="1:14" x14ac:dyDescent="0.25">
      <c r="A6045" s="170" t="s">
        <v>12835</v>
      </c>
      <c r="B6045" s="170" t="s">
        <v>12836</v>
      </c>
      <c r="C6045" s="170" t="s">
        <v>870</v>
      </c>
      <c r="D6045" s="170" t="s">
        <v>2710</v>
      </c>
      <c r="E6045" s="171" t="s">
        <v>18721</v>
      </c>
      <c r="F6045" s="171" t="s">
        <v>22713</v>
      </c>
      <c r="G6045" s="82"/>
      <c r="H6045" s="96">
        <f t="shared" si="376"/>
        <v>8.84</v>
      </c>
      <c r="I6045" s="96">
        <f t="shared" si="376"/>
        <v>9.5</v>
      </c>
      <c r="J6045" s="91" t="str">
        <f t="shared" si="377"/>
        <v>Sinapi 102205</v>
      </c>
      <c r="K6045" s="91" t="str">
        <f t="shared" si="378"/>
        <v>M2</v>
      </c>
      <c r="L6045" s="166" t="str">
        <f t="shared" si="379"/>
        <v>01/2021</v>
      </c>
      <c r="M6045" s="82"/>
      <c r="N6045" s="82"/>
    </row>
    <row r="6046" spans="1:14" x14ac:dyDescent="0.25">
      <c r="A6046" s="170" t="s">
        <v>12837</v>
      </c>
      <c r="B6046" s="170" t="s">
        <v>12838</v>
      </c>
      <c r="C6046" s="170" t="s">
        <v>870</v>
      </c>
      <c r="D6046" s="170" t="s">
        <v>2067</v>
      </c>
      <c r="E6046" s="171" t="s">
        <v>22097</v>
      </c>
      <c r="F6046" s="171" t="s">
        <v>12890</v>
      </c>
      <c r="G6046" s="82"/>
      <c r="H6046" s="96">
        <f t="shared" si="376"/>
        <v>7.52</v>
      </c>
      <c r="I6046" s="96">
        <f t="shared" si="376"/>
        <v>8.0500000000000007</v>
      </c>
      <c r="J6046" s="91" t="str">
        <f t="shared" si="377"/>
        <v>Sinapi 102207</v>
      </c>
      <c r="K6046" s="91" t="str">
        <f t="shared" si="378"/>
        <v>M2</v>
      </c>
      <c r="L6046" s="166" t="str">
        <f t="shared" si="379"/>
        <v>01/2021</v>
      </c>
      <c r="M6046" s="82"/>
      <c r="N6046" s="82"/>
    </row>
    <row r="6047" spans="1:14" x14ac:dyDescent="0.25">
      <c r="A6047" s="170" t="s">
        <v>12839</v>
      </c>
      <c r="B6047" s="170" t="s">
        <v>12840</v>
      </c>
      <c r="C6047" s="170" t="s">
        <v>870</v>
      </c>
      <c r="D6047" s="170" t="s">
        <v>2067</v>
      </c>
      <c r="E6047" s="171" t="s">
        <v>33592</v>
      </c>
      <c r="F6047" s="171" t="s">
        <v>18694</v>
      </c>
      <c r="G6047" s="82"/>
      <c r="H6047" s="96">
        <f t="shared" si="376"/>
        <v>7.16</v>
      </c>
      <c r="I6047" s="96">
        <f t="shared" si="376"/>
        <v>7.69</v>
      </c>
      <c r="J6047" s="91" t="str">
        <f t="shared" si="377"/>
        <v>Sinapi 102208</v>
      </c>
      <c r="K6047" s="91" t="str">
        <f t="shared" si="378"/>
        <v>M2</v>
      </c>
      <c r="L6047" s="166" t="str">
        <f t="shared" si="379"/>
        <v>01/2021</v>
      </c>
      <c r="M6047" s="82"/>
      <c r="N6047" s="82"/>
    </row>
    <row r="6048" spans="1:14" x14ac:dyDescent="0.25">
      <c r="A6048" s="170" t="s">
        <v>12841</v>
      </c>
      <c r="B6048" s="170" t="s">
        <v>12842</v>
      </c>
      <c r="C6048" s="170" t="s">
        <v>870</v>
      </c>
      <c r="D6048" s="170" t="s">
        <v>2067</v>
      </c>
      <c r="E6048" s="171" t="s">
        <v>17946</v>
      </c>
      <c r="F6048" s="171" t="s">
        <v>14357</v>
      </c>
      <c r="G6048" s="82"/>
      <c r="H6048" s="96">
        <f t="shared" si="376"/>
        <v>7.39</v>
      </c>
      <c r="I6048" s="96">
        <f t="shared" si="376"/>
        <v>7.92</v>
      </c>
      <c r="J6048" s="91" t="str">
        <f t="shared" si="377"/>
        <v>Sinapi 102209</v>
      </c>
      <c r="K6048" s="91" t="str">
        <f t="shared" si="378"/>
        <v>M2</v>
      </c>
      <c r="L6048" s="166" t="str">
        <f t="shared" si="379"/>
        <v>01/2021</v>
      </c>
      <c r="M6048" s="82"/>
      <c r="N6048" s="82"/>
    </row>
    <row r="6049" spans="1:14" x14ac:dyDescent="0.25">
      <c r="A6049" s="170" t="s">
        <v>12843</v>
      </c>
      <c r="B6049" s="170" t="s">
        <v>12844</v>
      </c>
      <c r="C6049" s="170" t="s">
        <v>870</v>
      </c>
      <c r="D6049" s="170" t="s">
        <v>2710</v>
      </c>
      <c r="E6049" s="171" t="s">
        <v>28150</v>
      </c>
      <c r="F6049" s="171" t="s">
        <v>22739</v>
      </c>
      <c r="G6049" s="82"/>
      <c r="H6049" s="96">
        <f t="shared" si="376"/>
        <v>7.05</v>
      </c>
      <c r="I6049" s="96">
        <f t="shared" si="376"/>
        <v>7.58</v>
      </c>
      <c r="J6049" s="91" t="str">
        <f t="shared" si="377"/>
        <v>Sinapi 102210</v>
      </c>
      <c r="K6049" s="91" t="str">
        <f t="shared" si="378"/>
        <v>M2</v>
      </c>
      <c r="L6049" s="166" t="str">
        <f t="shared" si="379"/>
        <v>01/2021</v>
      </c>
      <c r="M6049" s="82"/>
      <c r="N6049" s="82"/>
    </row>
    <row r="6050" spans="1:14" x14ac:dyDescent="0.25">
      <c r="A6050" s="170" t="s">
        <v>12845</v>
      </c>
      <c r="B6050" s="170" t="s">
        <v>12846</v>
      </c>
      <c r="C6050" s="170" t="s">
        <v>870</v>
      </c>
      <c r="D6050" s="170" t="s">
        <v>2067</v>
      </c>
      <c r="E6050" s="171" t="s">
        <v>23029</v>
      </c>
      <c r="F6050" s="171" t="s">
        <v>16368</v>
      </c>
      <c r="G6050" s="82"/>
      <c r="H6050" s="96">
        <f t="shared" si="376"/>
        <v>19.13</v>
      </c>
      <c r="I6050" s="96">
        <f t="shared" si="376"/>
        <v>20.45</v>
      </c>
      <c r="J6050" s="91" t="str">
        <f t="shared" si="377"/>
        <v>Sinapi 102213</v>
      </c>
      <c r="K6050" s="91" t="str">
        <f t="shared" si="378"/>
        <v>M2</v>
      </c>
      <c r="L6050" s="166" t="str">
        <f t="shared" si="379"/>
        <v>01/2021</v>
      </c>
      <c r="M6050" s="82"/>
      <c r="N6050" s="82"/>
    </row>
    <row r="6051" spans="1:14" x14ac:dyDescent="0.25">
      <c r="A6051" s="170" t="s">
        <v>12847</v>
      </c>
      <c r="B6051" s="170" t="s">
        <v>12848</v>
      </c>
      <c r="C6051" s="170" t="s">
        <v>870</v>
      </c>
      <c r="D6051" s="170" t="s">
        <v>2067</v>
      </c>
      <c r="E6051" s="171" t="s">
        <v>34481</v>
      </c>
      <c r="F6051" s="171" t="s">
        <v>20138</v>
      </c>
      <c r="G6051" s="82"/>
      <c r="H6051" s="96">
        <f t="shared" si="376"/>
        <v>19.79</v>
      </c>
      <c r="I6051" s="96">
        <f t="shared" si="376"/>
        <v>21.11</v>
      </c>
      <c r="J6051" s="91" t="str">
        <f t="shared" si="377"/>
        <v>Sinapi 102214</v>
      </c>
      <c r="K6051" s="91" t="str">
        <f t="shared" si="378"/>
        <v>M2</v>
      </c>
      <c r="L6051" s="166" t="str">
        <f t="shared" si="379"/>
        <v>01/2021</v>
      </c>
      <c r="M6051" s="82"/>
      <c r="N6051" s="82"/>
    </row>
    <row r="6052" spans="1:14" x14ac:dyDescent="0.25">
      <c r="A6052" s="170" t="s">
        <v>12849</v>
      </c>
      <c r="B6052" s="170" t="s">
        <v>12850</v>
      </c>
      <c r="C6052" s="170" t="s">
        <v>870</v>
      </c>
      <c r="D6052" s="170" t="s">
        <v>2710</v>
      </c>
      <c r="E6052" s="171" t="s">
        <v>19874</v>
      </c>
      <c r="F6052" s="171" t="s">
        <v>20106</v>
      </c>
      <c r="G6052" s="82"/>
      <c r="H6052" s="96">
        <f t="shared" si="376"/>
        <v>17.690000000000001</v>
      </c>
      <c r="I6052" s="96">
        <f t="shared" si="376"/>
        <v>19.010000000000002</v>
      </c>
      <c r="J6052" s="91" t="str">
        <f t="shared" si="377"/>
        <v>Sinapi 102215</v>
      </c>
      <c r="K6052" s="91" t="str">
        <f t="shared" si="378"/>
        <v>M2</v>
      </c>
      <c r="L6052" s="166" t="str">
        <f t="shared" si="379"/>
        <v>01/2021</v>
      </c>
      <c r="M6052" s="82"/>
      <c r="N6052" s="82"/>
    </row>
    <row r="6053" spans="1:14" x14ac:dyDescent="0.25">
      <c r="A6053" s="170" t="s">
        <v>12851</v>
      </c>
      <c r="B6053" s="170" t="s">
        <v>12852</v>
      </c>
      <c r="C6053" s="170" t="s">
        <v>870</v>
      </c>
      <c r="D6053" s="170" t="s">
        <v>2067</v>
      </c>
      <c r="E6053" s="171" t="s">
        <v>16397</v>
      </c>
      <c r="F6053" s="171" t="s">
        <v>18574</v>
      </c>
      <c r="G6053" s="82"/>
      <c r="H6053" s="96">
        <f t="shared" si="376"/>
        <v>15.06</v>
      </c>
      <c r="I6053" s="96">
        <f t="shared" si="376"/>
        <v>16.13</v>
      </c>
      <c r="J6053" s="91" t="str">
        <f t="shared" si="377"/>
        <v>Sinapi 102217</v>
      </c>
      <c r="K6053" s="91" t="str">
        <f t="shared" si="378"/>
        <v>M2</v>
      </c>
      <c r="L6053" s="166" t="str">
        <f t="shared" si="379"/>
        <v>01/2021</v>
      </c>
      <c r="M6053" s="82"/>
      <c r="N6053" s="82"/>
    </row>
    <row r="6054" spans="1:14" x14ac:dyDescent="0.25">
      <c r="A6054" s="170" t="s">
        <v>12853</v>
      </c>
      <c r="B6054" s="170" t="s">
        <v>12854</v>
      </c>
      <c r="C6054" s="170" t="s">
        <v>870</v>
      </c>
      <c r="D6054" s="170" t="s">
        <v>2067</v>
      </c>
      <c r="E6054" s="171" t="s">
        <v>13767</v>
      </c>
      <c r="F6054" s="171" t="s">
        <v>17922</v>
      </c>
      <c r="G6054" s="82"/>
      <c r="H6054" s="96">
        <f t="shared" si="376"/>
        <v>14.34</v>
      </c>
      <c r="I6054" s="96">
        <f t="shared" si="376"/>
        <v>15.41</v>
      </c>
      <c r="J6054" s="91" t="str">
        <f t="shared" si="377"/>
        <v>Sinapi 102218</v>
      </c>
      <c r="K6054" s="91" t="str">
        <f t="shared" si="378"/>
        <v>M2</v>
      </c>
      <c r="L6054" s="166" t="str">
        <f t="shared" si="379"/>
        <v>01/2021</v>
      </c>
      <c r="M6054" s="82"/>
      <c r="N6054" s="82"/>
    </row>
    <row r="6055" spans="1:14" x14ac:dyDescent="0.25">
      <c r="A6055" s="170" t="s">
        <v>12855</v>
      </c>
      <c r="B6055" s="170" t="s">
        <v>12856</v>
      </c>
      <c r="C6055" s="170" t="s">
        <v>870</v>
      </c>
      <c r="D6055" s="170" t="s">
        <v>2067</v>
      </c>
      <c r="E6055" s="171" t="s">
        <v>21042</v>
      </c>
      <c r="F6055" s="171" t="s">
        <v>21362</v>
      </c>
      <c r="G6055" s="82"/>
      <c r="H6055" s="96">
        <f t="shared" si="376"/>
        <v>14.79</v>
      </c>
      <c r="I6055" s="96">
        <f t="shared" si="376"/>
        <v>15.86</v>
      </c>
      <c r="J6055" s="91" t="str">
        <f t="shared" si="377"/>
        <v>Sinapi 102219</v>
      </c>
      <c r="K6055" s="91" t="str">
        <f t="shared" si="378"/>
        <v>M2</v>
      </c>
      <c r="L6055" s="166" t="str">
        <f t="shared" si="379"/>
        <v>01/2021</v>
      </c>
      <c r="M6055" s="82"/>
      <c r="N6055" s="82"/>
    </row>
    <row r="6056" spans="1:14" x14ac:dyDescent="0.25">
      <c r="A6056" s="170" t="s">
        <v>12857</v>
      </c>
      <c r="B6056" s="170" t="s">
        <v>12858</v>
      </c>
      <c r="C6056" s="170" t="s">
        <v>870</v>
      </c>
      <c r="D6056" s="170" t="s">
        <v>2710</v>
      </c>
      <c r="E6056" s="171" t="s">
        <v>21461</v>
      </c>
      <c r="F6056" s="171" t="s">
        <v>31415</v>
      </c>
      <c r="G6056" s="82"/>
      <c r="H6056" s="96">
        <f t="shared" si="376"/>
        <v>14.1</v>
      </c>
      <c r="I6056" s="96">
        <f t="shared" si="376"/>
        <v>15.17</v>
      </c>
      <c r="J6056" s="91" t="str">
        <f t="shared" si="377"/>
        <v>Sinapi 102220</v>
      </c>
      <c r="K6056" s="91" t="str">
        <f t="shared" si="378"/>
        <v>M2</v>
      </c>
      <c r="L6056" s="166" t="str">
        <f t="shared" si="379"/>
        <v>01/2021</v>
      </c>
      <c r="M6056" s="82"/>
      <c r="N6056" s="82"/>
    </row>
    <row r="6057" spans="1:14" x14ac:dyDescent="0.25">
      <c r="A6057" s="170" t="s">
        <v>12859</v>
      </c>
      <c r="B6057" s="170" t="s">
        <v>12860</v>
      </c>
      <c r="C6057" s="170" t="s">
        <v>870</v>
      </c>
      <c r="D6057" s="170" t="s">
        <v>2067</v>
      </c>
      <c r="E6057" s="171" t="s">
        <v>18545</v>
      </c>
      <c r="F6057" s="171" t="s">
        <v>24704</v>
      </c>
      <c r="G6057" s="82"/>
      <c r="H6057" s="96">
        <f t="shared" si="376"/>
        <v>28.7</v>
      </c>
      <c r="I6057" s="96">
        <f t="shared" si="376"/>
        <v>30.69</v>
      </c>
      <c r="J6057" s="91" t="str">
        <f t="shared" si="377"/>
        <v>Sinapi 102223</v>
      </c>
      <c r="K6057" s="91" t="str">
        <f t="shared" si="378"/>
        <v>M2</v>
      </c>
      <c r="L6057" s="166" t="str">
        <f t="shared" si="379"/>
        <v>01/2021</v>
      </c>
      <c r="M6057" s="82"/>
      <c r="N6057" s="82"/>
    </row>
    <row r="6058" spans="1:14" x14ac:dyDescent="0.25">
      <c r="A6058" s="170" t="s">
        <v>12861</v>
      </c>
      <c r="B6058" s="170" t="s">
        <v>12862</v>
      </c>
      <c r="C6058" s="170" t="s">
        <v>870</v>
      </c>
      <c r="D6058" s="170" t="s">
        <v>2067</v>
      </c>
      <c r="E6058" s="171" t="s">
        <v>28835</v>
      </c>
      <c r="F6058" s="171" t="s">
        <v>27844</v>
      </c>
      <c r="G6058" s="82"/>
      <c r="H6058" s="96">
        <f t="shared" si="376"/>
        <v>29.69</v>
      </c>
      <c r="I6058" s="96">
        <f t="shared" si="376"/>
        <v>31.68</v>
      </c>
      <c r="J6058" s="91" t="str">
        <f t="shared" si="377"/>
        <v>Sinapi 102224</v>
      </c>
      <c r="K6058" s="91" t="str">
        <f t="shared" si="378"/>
        <v>M2</v>
      </c>
      <c r="L6058" s="166" t="str">
        <f t="shared" si="379"/>
        <v>01/2021</v>
      </c>
      <c r="M6058" s="82"/>
      <c r="N6058" s="82"/>
    </row>
    <row r="6059" spans="1:14" x14ac:dyDescent="0.25">
      <c r="A6059" s="170" t="s">
        <v>12863</v>
      </c>
      <c r="B6059" s="170" t="s">
        <v>12864</v>
      </c>
      <c r="C6059" s="170" t="s">
        <v>870</v>
      </c>
      <c r="D6059" s="170" t="s">
        <v>2710</v>
      </c>
      <c r="E6059" s="171" t="s">
        <v>21889</v>
      </c>
      <c r="F6059" s="171" t="s">
        <v>37397</v>
      </c>
      <c r="G6059" s="82"/>
      <c r="H6059" s="96">
        <f t="shared" si="376"/>
        <v>26.55</v>
      </c>
      <c r="I6059" s="96">
        <f t="shared" si="376"/>
        <v>28.54</v>
      </c>
      <c r="J6059" s="91" t="str">
        <f t="shared" si="377"/>
        <v>Sinapi 102225</v>
      </c>
      <c r="K6059" s="91" t="str">
        <f t="shared" si="378"/>
        <v>M2</v>
      </c>
      <c r="L6059" s="166" t="str">
        <f t="shared" si="379"/>
        <v>01/2021</v>
      </c>
      <c r="M6059" s="82"/>
      <c r="N6059" s="82"/>
    </row>
    <row r="6060" spans="1:14" x14ac:dyDescent="0.25">
      <c r="A6060" s="170" t="s">
        <v>12865</v>
      </c>
      <c r="B6060" s="170" t="s">
        <v>12866</v>
      </c>
      <c r="C6060" s="170" t="s">
        <v>870</v>
      </c>
      <c r="D6060" s="170" t="s">
        <v>2067</v>
      </c>
      <c r="E6060" s="171" t="s">
        <v>17142</v>
      </c>
      <c r="F6060" s="171" t="s">
        <v>30698</v>
      </c>
      <c r="G6060" s="82"/>
      <c r="H6060" s="96">
        <f t="shared" si="376"/>
        <v>22.6</v>
      </c>
      <c r="I6060" s="96">
        <f t="shared" si="376"/>
        <v>24.21</v>
      </c>
      <c r="J6060" s="91" t="str">
        <f t="shared" si="377"/>
        <v>Sinapi 102227</v>
      </c>
      <c r="K6060" s="91" t="str">
        <f t="shared" si="378"/>
        <v>M2</v>
      </c>
      <c r="L6060" s="166" t="str">
        <f t="shared" si="379"/>
        <v>01/2021</v>
      </c>
      <c r="M6060" s="82"/>
      <c r="N6060" s="82"/>
    </row>
    <row r="6061" spans="1:14" x14ac:dyDescent="0.25">
      <c r="A6061" s="170" t="s">
        <v>12867</v>
      </c>
      <c r="B6061" s="170" t="s">
        <v>12868</v>
      </c>
      <c r="C6061" s="170" t="s">
        <v>870</v>
      </c>
      <c r="D6061" s="170" t="s">
        <v>2067</v>
      </c>
      <c r="E6061" s="171" t="s">
        <v>29377</v>
      </c>
      <c r="F6061" s="171" t="s">
        <v>15550</v>
      </c>
      <c r="G6061" s="82"/>
      <c r="H6061" s="96">
        <f t="shared" si="376"/>
        <v>21.52</v>
      </c>
      <c r="I6061" s="96">
        <f t="shared" si="376"/>
        <v>23.13</v>
      </c>
      <c r="J6061" s="91" t="str">
        <f t="shared" si="377"/>
        <v>Sinapi 102228</v>
      </c>
      <c r="K6061" s="91" t="str">
        <f t="shared" si="378"/>
        <v>M2</v>
      </c>
      <c r="L6061" s="166" t="str">
        <f t="shared" si="379"/>
        <v>01/2021</v>
      </c>
      <c r="M6061" s="82"/>
      <c r="N6061" s="82"/>
    </row>
    <row r="6062" spans="1:14" x14ac:dyDescent="0.25">
      <c r="A6062" s="170" t="s">
        <v>12869</v>
      </c>
      <c r="B6062" s="170" t="s">
        <v>12870</v>
      </c>
      <c r="C6062" s="170" t="s">
        <v>870</v>
      </c>
      <c r="D6062" s="170" t="s">
        <v>2067</v>
      </c>
      <c r="E6062" s="171" t="s">
        <v>20445</v>
      </c>
      <c r="F6062" s="171" t="s">
        <v>30323</v>
      </c>
      <c r="G6062" s="82"/>
      <c r="H6062" s="96">
        <f t="shared" si="376"/>
        <v>22.19</v>
      </c>
      <c r="I6062" s="96">
        <f t="shared" si="376"/>
        <v>23.8</v>
      </c>
      <c r="J6062" s="91" t="str">
        <f t="shared" si="377"/>
        <v>Sinapi 102229</v>
      </c>
      <c r="K6062" s="91" t="str">
        <f t="shared" si="378"/>
        <v>M2</v>
      </c>
      <c r="L6062" s="166" t="str">
        <f t="shared" si="379"/>
        <v>01/2021</v>
      </c>
      <c r="M6062" s="82"/>
      <c r="N6062" s="82"/>
    </row>
    <row r="6063" spans="1:14" x14ac:dyDescent="0.25">
      <c r="A6063" s="170" t="s">
        <v>12871</v>
      </c>
      <c r="B6063" s="170" t="s">
        <v>12872</v>
      </c>
      <c r="C6063" s="170" t="s">
        <v>870</v>
      </c>
      <c r="D6063" s="170" t="s">
        <v>2710</v>
      </c>
      <c r="E6063" s="171" t="s">
        <v>15668</v>
      </c>
      <c r="F6063" s="171" t="s">
        <v>19879</v>
      </c>
      <c r="G6063" s="82"/>
      <c r="H6063" s="96">
        <f t="shared" si="376"/>
        <v>21.16</v>
      </c>
      <c r="I6063" s="96">
        <f t="shared" si="376"/>
        <v>22.77</v>
      </c>
      <c r="J6063" s="91" t="str">
        <f t="shared" si="377"/>
        <v>Sinapi 102230</v>
      </c>
      <c r="K6063" s="91" t="str">
        <f t="shared" si="378"/>
        <v>M2</v>
      </c>
      <c r="L6063" s="166" t="str">
        <f t="shared" si="379"/>
        <v>01/2021</v>
      </c>
      <c r="M6063" s="82"/>
      <c r="N6063" s="82"/>
    </row>
    <row r="6064" spans="1:14" x14ac:dyDescent="0.25">
      <c r="A6064" s="170" t="s">
        <v>12873</v>
      </c>
      <c r="B6064" s="170" t="s">
        <v>12874</v>
      </c>
      <c r="C6064" s="170" t="s">
        <v>870</v>
      </c>
      <c r="D6064" s="170" t="s">
        <v>2067</v>
      </c>
      <c r="E6064" s="171" t="s">
        <v>15074</v>
      </c>
      <c r="F6064" s="171" t="s">
        <v>14640</v>
      </c>
      <c r="G6064" s="82"/>
      <c r="H6064" s="96">
        <f t="shared" si="376"/>
        <v>11.18</v>
      </c>
      <c r="I6064" s="96">
        <f t="shared" si="376"/>
        <v>11.81</v>
      </c>
      <c r="J6064" s="91" t="str">
        <f t="shared" si="377"/>
        <v>Sinapi 102233</v>
      </c>
      <c r="K6064" s="91" t="str">
        <f t="shared" si="378"/>
        <v>M2</v>
      </c>
      <c r="L6064" s="166" t="str">
        <f t="shared" si="379"/>
        <v>01/2021</v>
      </c>
      <c r="M6064" s="82"/>
      <c r="N6064" s="82"/>
    </row>
    <row r="6065" spans="1:14" x14ac:dyDescent="0.25">
      <c r="A6065" s="170" t="s">
        <v>12875</v>
      </c>
      <c r="B6065" s="170" t="s">
        <v>12876</v>
      </c>
      <c r="C6065" s="170" t="s">
        <v>870</v>
      </c>
      <c r="D6065" s="170" t="s">
        <v>2067</v>
      </c>
      <c r="E6065" s="171" t="s">
        <v>17885</v>
      </c>
      <c r="F6065" s="171" t="s">
        <v>15691</v>
      </c>
      <c r="G6065" s="82"/>
      <c r="H6065" s="96">
        <f t="shared" si="376"/>
        <v>22.37</v>
      </c>
      <c r="I6065" s="96">
        <f t="shared" si="376"/>
        <v>23.64</v>
      </c>
      <c r="J6065" s="91" t="str">
        <f t="shared" si="377"/>
        <v>Sinapi 102234</v>
      </c>
      <c r="K6065" s="91" t="str">
        <f t="shared" si="378"/>
        <v>M2</v>
      </c>
      <c r="L6065" s="166" t="str">
        <f t="shared" si="379"/>
        <v>01/2021</v>
      </c>
      <c r="M6065" s="82"/>
      <c r="N6065" s="82"/>
    </row>
    <row r="6066" spans="1:14" x14ac:dyDescent="0.25">
      <c r="A6066" s="170" t="s">
        <v>8546</v>
      </c>
      <c r="B6066" s="170" t="s">
        <v>8547</v>
      </c>
      <c r="C6066" s="170" t="s">
        <v>870</v>
      </c>
      <c r="D6066" s="170" t="s">
        <v>1947</v>
      </c>
      <c r="E6066" s="171" t="s">
        <v>28695</v>
      </c>
      <c r="F6066" s="171" t="s">
        <v>20643</v>
      </c>
      <c r="G6066" s="82"/>
      <c r="H6066" s="96">
        <f t="shared" si="376"/>
        <v>27.08</v>
      </c>
      <c r="I6066" s="96">
        <f t="shared" si="376"/>
        <v>27.52</v>
      </c>
      <c r="J6066" s="91" t="str">
        <f t="shared" si="377"/>
        <v>Sinapi 100716</v>
      </c>
      <c r="K6066" s="91" t="str">
        <f t="shared" si="378"/>
        <v>M2</v>
      </c>
      <c r="L6066" s="166" t="str">
        <f t="shared" si="379"/>
        <v>01/2020</v>
      </c>
      <c r="M6066" s="82"/>
      <c r="N6066" s="82"/>
    </row>
    <row r="6067" spans="1:14" x14ac:dyDescent="0.25">
      <c r="A6067" s="170" t="s">
        <v>8548</v>
      </c>
      <c r="B6067" s="170" t="s">
        <v>8549</v>
      </c>
      <c r="C6067" s="170" t="s">
        <v>870</v>
      </c>
      <c r="D6067" s="170" t="s">
        <v>2067</v>
      </c>
      <c r="E6067" s="171" t="s">
        <v>29168</v>
      </c>
      <c r="F6067" s="171" t="s">
        <v>5618</v>
      </c>
      <c r="G6067" s="82"/>
      <c r="H6067" s="96">
        <f t="shared" si="376"/>
        <v>8.69</v>
      </c>
      <c r="I6067" s="96">
        <f t="shared" si="376"/>
        <v>9.5299999999999994</v>
      </c>
      <c r="J6067" s="91" t="str">
        <f t="shared" si="377"/>
        <v>Sinapi 100717</v>
      </c>
      <c r="K6067" s="91" t="str">
        <f t="shared" si="378"/>
        <v>M2</v>
      </c>
      <c r="L6067" s="166" t="str">
        <f t="shared" si="379"/>
        <v>01/2020</v>
      </c>
      <c r="M6067" s="82"/>
      <c r="N6067" s="82"/>
    </row>
    <row r="6068" spans="1:14" x14ac:dyDescent="0.25">
      <c r="A6068" s="170" t="s">
        <v>8550</v>
      </c>
      <c r="B6068" s="170" t="s">
        <v>8551</v>
      </c>
      <c r="C6068" s="170" t="s">
        <v>385</v>
      </c>
      <c r="D6068" s="170" t="s">
        <v>2067</v>
      </c>
      <c r="E6068" s="171" t="s">
        <v>3955</v>
      </c>
      <c r="F6068" s="171" t="s">
        <v>2738</v>
      </c>
      <c r="G6068" s="82"/>
      <c r="H6068" s="96">
        <f t="shared" si="376"/>
        <v>1.22</v>
      </c>
      <c r="I6068" s="96">
        <f t="shared" si="376"/>
        <v>1.34</v>
      </c>
      <c r="J6068" s="91" t="str">
        <f t="shared" si="377"/>
        <v>Sinapi 100718</v>
      </c>
      <c r="K6068" s="91" t="str">
        <f t="shared" si="378"/>
        <v>M</v>
      </c>
      <c r="L6068" s="166" t="str">
        <f t="shared" si="379"/>
        <v>01/2020</v>
      </c>
      <c r="M6068" s="82"/>
      <c r="N6068" s="82"/>
    </row>
    <row r="6069" spans="1:14" x14ac:dyDescent="0.25">
      <c r="A6069" s="170" t="s">
        <v>8552</v>
      </c>
      <c r="B6069" s="170" t="s">
        <v>18455</v>
      </c>
      <c r="C6069" s="170" t="s">
        <v>870</v>
      </c>
      <c r="D6069" s="170" t="s">
        <v>2067</v>
      </c>
      <c r="E6069" s="171" t="s">
        <v>18607</v>
      </c>
      <c r="F6069" s="171" t="s">
        <v>30567</v>
      </c>
      <c r="G6069" s="82"/>
      <c r="H6069" s="96">
        <f t="shared" si="376"/>
        <v>9.74</v>
      </c>
      <c r="I6069" s="96">
        <f t="shared" si="376"/>
        <v>9.92</v>
      </c>
      <c r="J6069" s="91" t="str">
        <f t="shared" si="377"/>
        <v>Sinapi 100719</v>
      </c>
      <c r="K6069" s="91" t="str">
        <f t="shared" si="378"/>
        <v>M2</v>
      </c>
      <c r="L6069" s="166" t="str">
        <f t="shared" si="379"/>
        <v>01/2020</v>
      </c>
      <c r="M6069" s="82"/>
      <c r="N6069" s="82"/>
    </row>
    <row r="6070" spans="1:14" x14ac:dyDescent="0.25">
      <c r="A6070" s="170" t="s">
        <v>8553</v>
      </c>
      <c r="B6070" s="170" t="s">
        <v>8554</v>
      </c>
      <c r="C6070" s="170" t="s">
        <v>870</v>
      </c>
      <c r="D6070" s="170" t="s">
        <v>2067</v>
      </c>
      <c r="E6070" s="171" t="s">
        <v>23143</v>
      </c>
      <c r="F6070" s="171" t="s">
        <v>20077</v>
      </c>
      <c r="G6070" s="82"/>
      <c r="H6070" s="96">
        <f t="shared" si="376"/>
        <v>9.49</v>
      </c>
      <c r="I6070" s="96">
        <f t="shared" si="376"/>
        <v>10.1</v>
      </c>
      <c r="J6070" s="91" t="str">
        <f t="shared" si="377"/>
        <v>Sinapi 100720</v>
      </c>
      <c r="K6070" s="91" t="str">
        <f t="shared" si="378"/>
        <v>M2</v>
      </c>
      <c r="L6070" s="166" t="str">
        <f t="shared" si="379"/>
        <v>01/2020</v>
      </c>
      <c r="M6070" s="82"/>
      <c r="N6070" s="82"/>
    </row>
    <row r="6071" spans="1:14" x14ac:dyDescent="0.25">
      <c r="A6071" s="170" t="s">
        <v>8555</v>
      </c>
      <c r="B6071" s="170" t="s">
        <v>18456</v>
      </c>
      <c r="C6071" s="170" t="s">
        <v>870</v>
      </c>
      <c r="D6071" s="170" t="s">
        <v>2067</v>
      </c>
      <c r="E6071" s="171" t="s">
        <v>17311</v>
      </c>
      <c r="F6071" s="171" t="s">
        <v>14639</v>
      </c>
      <c r="G6071" s="82"/>
      <c r="H6071" s="96">
        <f t="shared" si="376"/>
        <v>22.18</v>
      </c>
      <c r="I6071" s="96">
        <f t="shared" si="376"/>
        <v>23.66</v>
      </c>
      <c r="J6071" s="91" t="str">
        <f t="shared" si="377"/>
        <v>Sinapi 100721</v>
      </c>
      <c r="K6071" s="91" t="str">
        <f t="shared" si="378"/>
        <v>M2</v>
      </c>
      <c r="L6071" s="166" t="str">
        <f t="shared" si="379"/>
        <v>01/2020</v>
      </c>
      <c r="M6071" s="82"/>
      <c r="N6071" s="82"/>
    </row>
    <row r="6072" spans="1:14" x14ac:dyDescent="0.25">
      <c r="A6072" s="170" t="s">
        <v>8556</v>
      </c>
      <c r="B6072" s="170" t="s">
        <v>8557</v>
      </c>
      <c r="C6072" s="170" t="s">
        <v>870</v>
      </c>
      <c r="D6072" s="170" t="s">
        <v>2067</v>
      </c>
      <c r="E6072" s="171" t="s">
        <v>18710</v>
      </c>
      <c r="F6072" s="171" t="s">
        <v>17976</v>
      </c>
      <c r="G6072" s="82"/>
      <c r="H6072" s="96">
        <f t="shared" si="376"/>
        <v>21.39</v>
      </c>
      <c r="I6072" s="96">
        <f t="shared" si="376"/>
        <v>23.3</v>
      </c>
      <c r="J6072" s="91" t="str">
        <f t="shared" si="377"/>
        <v>Sinapi 100722</v>
      </c>
      <c r="K6072" s="91" t="str">
        <f t="shared" si="378"/>
        <v>M2</v>
      </c>
      <c r="L6072" s="166" t="str">
        <f t="shared" si="379"/>
        <v>01/2020</v>
      </c>
      <c r="M6072" s="82"/>
      <c r="N6072" s="82"/>
    </row>
    <row r="6073" spans="1:14" x14ac:dyDescent="0.25">
      <c r="A6073" s="170" t="s">
        <v>13832</v>
      </c>
      <c r="B6073" s="170" t="s">
        <v>18457</v>
      </c>
      <c r="C6073" s="170" t="s">
        <v>870</v>
      </c>
      <c r="D6073" s="170" t="s">
        <v>2067</v>
      </c>
      <c r="E6073" s="171" t="s">
        <v>14942</v>
      </c>
      <c r="F6073" s="171" t="s">
        <v>12323</v>
      </c>
      <c r="G6073" s="82"/>
      <c r="H6073" s="96">
        <f t="shared" si="376"/>
        <v>10.45</v>
      </c>
      <c r="I6073" s="96">
        <f t="shared" si="376"/>
        <v>10.63</v>
      </c>
      <c r="J6073" s="91" t="str">
        <f t="shared" si="377"/>
        <v>Sinapi 100723</v>
      </c>
      <c r="K6073" s="91" t="str">
        <f t="shared" si="378"/>
        <v>M2</v>
      </c>
      <c r="L6073" s="166" t="str">
        <f t="shared" si="379"/>
        <v>01/2020</v>
      </c>
      <c r="M6073" s="82"/>
      <c r="N6073" s="82"/>
    </row>
    <row r="6074" spans="1:14" x14ac:dyDescent="0.25">
      <c r="A6074" s="170" t="s">
        <v>8558</v>
      </c>
      <c r="B6074" s="170" t="s">
        <v>8559</v>
      </c>
      <c r="C6074" s="170" t="s">
        <v>870</v>
      </c>
      <c r="D6074" s="170" t="s">
        <v>2067</v>
      </c>
      <c r="E6074" s="171" t="s">
        <v>34482</v>
      </c>
      <c r="F6074" s="171" t="s">
        <v>24856</v>
      </c>
      <c r="G6074" s="82"/>
      <c r="H6074" s="96">
        <f t="shared" si="376"/>
        <v>12.33</v>
      </c>
      <c r="I6074" s="96">
        <f t="shared" si="376"/>
        <v>12.94</v>
      </c>
      <c r="J6074" s="91" t="str">
        <f t="shared" si="377"/>
        <v>Sinapi 100724</v>
      </c>
      <c r="K6074" s="91" t="str">
        <f t="shared" si="378"/>
        <v>M2</v>
      </c>
      <c r="L6074" s="166" t="str">
        <f t="shared" si="379"/>
        <v>01/2020</v>
      </c>
      <c r="M6074" s="82"/>
      <c r="N6074" s="82"/>
    </row>
    <row r="6075" spans="1:14" x14ac:dyDescent="0.25">
      <c r="A6075" s="170" t="s">
        <v>8560</v>
      </c>
      <c r="B6075" s="170" t="s">
        <v>18458</v>
      </c>
      <c r="C6075" s="170" t="s">
        <v>870</v>
      </c>
      <c r="D6075" s="170" t="s">
        <v>2067</v>
      </c>
      <c r="E6075" s="171" t="s">
        <v>15639</v>
      </c>
      <c r="F6075" s="171" t="s">
        <v>22021</v>
      </c>
      <c r="G6075" s="82"/>
      <c r="H6075" s="96">
        <f t="shared" si="376"/>
        <v>22.41</v>
      </c>
      <c r="I6075" s="96">
        <f t="shared" si="376"/>
        <v>23.89</v>
      </c>
      <c r="J6075" s="91" t="str">
        <f t="shared" si="377"/>
        <v>Sinapi 100725</v>
      </c>
      <c r="K6075" s="91" t="str">
        <f t="shared" si="378"/>
        <v>M2</v>
      </c>
      <c r="L6075" s="166" t="str">
        <f t="shared" si="379"/>
        <v>01/2020</v>
      </c>
      <c r="M6075" s="82"/>
      <c r="N6075" s="82"/>
    </row>
    <row r="6076" spans="1:14" x14ac:dyDescent="0.25">
      <c r="A6076" s="170" t="s">
        <v>8561</v>
      </c>
      <c r="B6076" s="170" t="s">
        <v>8562</v>
      </c>
      <c r="C6076" s="170" t="s">
        <v>870</v>
      </c>
      <c r="D6076" s="170" t="s">
        <v>2067</v>
      </c>
      <c r="E6076" s="171" t="s">
        <v>21107</v>
      </c>
      <c r="F6076" s="171" t="s">
        <v>28480</v>
      </c>
      <c r="G6076" s="82"/>
      <c r="H6076" s="96">
        <f t="shared" si="376"/>
        <v>24.14</v>
      </c>
      <c r="I6076" s="96">
        <f t="shared" si="376"/>
        <v>26.05</v>
      </c>
      <c r="J6076" s="91" t="str">
        <f t="shared" si="377"/>
        <v>Sinapi 100726</v>
      </c>
      <c r="K6076" s="91" t="str">
        <f t="shared" si="378"/>
        <v>M2</v>
      </c>
      <c r="L6076" s="166" t="str">
        <f t="shared" si="379"/>
        <v>01/2020</v>
      </c>
      <c r="M6076" s="82"/>
      <c r="N6076" s="82"/>
    </row>
    <row r="6077" spans="1:14" x14ac:dyDescent="0.25">
      <c r="A6077" s="170" t="s">
        <v>8563</v>
      </c>
      <c r="B6077" s="170" t="s">
        <v>18459</v>
      </c>
      <c r="C6077" s="170" t="s">
        <v>870</v>
      </c>
      <c r="D6077" s="170" t="s">
        <v>2067</v>
      </c>
      <c r="E6077" s="171" t="s">
        <v>22087</v>
      </c>
      <c r="F6077" s="171" t="s">
        <v>16408</v>
      </c>
      <c r="G6077" s="82"/>
      <c r="H6077" s="96">
        <f t="shared" si="376"/>
        <v>23.52</v>
      </c>
      <c r="I6077" s="96">
        <f t="shared" si="376"/>
        <v>23.7</v>
      </c>
      <c r="J6077" s="91" t="str">
        <f t="shared" si="377"/>
        <v>Sinapi 100727</v>
      </c>
      <c r="K6077" s="91" t="str">
        <f t="shared" si="378"/>
        <v>M2</v>
      </c>
      <c r="L6077" s="166" t="str">
        <f t="shared" si="379"/>
        <v>01/2020</v>
      </c>
      <c r="M6077" s="82"/>
      <c r="N6077" s="82"/>
    </row>
    <row r="6078" spans="1:14" x14ac:dyDescent="0.25">
      <c r="A6078" s="170" t="s">
        <v>8564</v>
      </c>
      <c r="B6078" s="170" t="s">
        <v>8565</v>
      </c>
      <c r="C6078" s="170" t="s">
        <v>870</v>
      </c>
      <c r="D6078" s="170" t="s">
        <v>2067</v>
      </c>
      <c r="E6078" s="171" t="s">
        <v>19881</v>
      </c>
      <c r="F6078" s="171" t="s">
        <v>23891</v>
      </c>
      <c r="G6078" s="82"/>
      <c r="H6078" s="96">
        <f t="shared" si="376"/>
        <v>21.12</v>
      </c>
      <c r="I6078" s="96">
        <f t="shared" si="376"/>
        <v>21.73</v>
      </c>
      <c r="J6078" s="91" t="str">
        <f t="shared" si="377"/>
        <v>Sinapi 100728</v>
      </c>
      <c r="K6078" s="91" t="str">
        <f t="shared" si="378"/>
        <v>M2</v>
      </c>
      <c r="L6078" s="166" t="str">
        <f t="shared" si="379"/>
        <v>01/2020</v>
      </c>
      <c r="M6078" s="82"/>
      <c r="N6078" s="82"/>
    </row>
    <row r="6079" spans="1:14" x14ac:dyDescent="0.25">
      <c r="A6079" s="170" t="s">
        <v>8566</v>
      </c>
      <c r="B6079" s="170" t="s">
        <v>18460</v>
      </c>
      <c r="C6079" s="170" t="s">
        <v>870</v>
      </c>
      <c r="D6079" s="170" t="s">
        <v>2067</v>
      </c>
      <c r="E6079" s="171" t="s">
        <v>22928</v>
      </c>
      <c r="F6079" s="171" t="s">
        <v>14947</v>
      </c>
      <c r="G6079" s="82"/>
      <c r="H6079" s="96">
        <f t="shared" si="376"/>
        <v>17.98</v>
      </c>
      <c r="I6079" s="96">
        <f t="shared" si="376"/>
        <v>18.16</v>
      </c>
      <c r="J6079" s="91" t="str">
        <f t="shared" si="377"/>
        <v>Sinapi 100729</v>
      </c>
      <c r="K6079" s="91" t="str">
        <f t="shared" si="378"/>
        <v>M2</v>
      </c>
      <c r="L6079" s="166" t="str">
        <f t="shared" si="379"/>
        <v>01/2020</v>
      </c>
      <c r="M6079" s="82"/>
      <c r="N6079" s="82"/>
    </row>
    <row r="6080" spans="1:14" x14ac:dyDescent="0.25">
      <c r="A6080" s="170" t="s">
        <v>8567</v>
      </c>
      <c r="B6080" s="170" t="s">
        <v>8568</v>
      </c>
      <c r="C6080" s="170" t="s">
        <v>870</v>
      </c>
      <c r="D6080" s="170" t="s">
        <v>2067</v>
      </c>
      <c r="E6080" s="171" t="s">
        <v>22001</v>
      </c>
      <c r="F6080" s="171" t="s">
        <v>30509</v>
      </c>
      <c r="G6080" s="82"/>
      <c r="H6080" s="96">
        <f t="shared" si="376"/>
        <v>20.87</v>
      </c>
      <c r="I6080" s="96">
        <f t="shared" si="376"/>
        <v>21.48</v>
      </c>
      <c r="J6080" s="91" t="str">
        <f t="shared" si="377"/>
        <v>Sinapi 100730</v>
      </c>
      <c r="K6080" s="91" t="str">
        <f t="shared" si="378"/>
        <v>M2</v>
      </c>
      <c r="L6080" s="166" t="str">
        <f t="shared" si="379"/>
        <v>01/2020</v>
      </c>
      <c r="M6080" s="82"/>
      <c r="N6080" s="82"/>
    </row>
    <row r="6081" spans="1:14" x14ac:dyDescent="0.25">
      <c r="A6081" s="170" t="s">
        <v>8569</v>
      </c>
      <c r="B6081" s="170" t="s">
        <v>18461</v>
      </c>
      <c r="C6081" s="170" t="s">
        <v>870</v>
      </c>
      <c r="D6081" s="170" t="s">
        <v>2067</v>
      </c>
      <c r="E6081" s="171" t="s">
        <v>18666</v>
      </c>
      <c r="F6081" s="171" t="s">
        <v>20035</v>
      </c>
      <c r="G6081" s="82"/>
      <c r="H6081" s="96">
        <f t="shared" si="376"/>
        <v>11.61</v>
      </c>
      <c r="I6081" s="96">
        <f t="shared" si="376"/>
        <v>12.46</v>
      </c>
      <c r="J6081" s="91" t="str">
        <f t="shared" si="377"/>
        <v>Sinapi 100733</v>
      </c>
      <c r="K6081" s="91" t="str">
        <f t="shared" si="378"/>
        <v>M2</v>
      </c>
      <c r="L6081" s="166" t="str">
        <f t="shared" si="379"/>
        <v>01/2020</v>
      </c>
      <c r="M6081" s="82"/>
      <c r="N6081" s="82"/>
    </row>
    <row r="6082" spans="1:14" x14ac:dyDescent="0.25">
      <c r="A6082" s="170" t="s">
        <v>8570</v>
      </c>
      <c r="B6082" s="170" t="s">
        <v>8571</v>
      </c>
      <c r="C6082" s="170" t="s">
        <v>870</v>
      </c>
      <c r="D6082" s="170" t="s">
        <v>2067</v>
      </c>
      <c r="E6082" s="171" t="s">
        <v>18630</v>
      </c>
      <c r="F6082" s="171" t="s">
        <v>11279</v>
      </c>
      <c r="G6082" s="82"/>
      <c r="H6082" s="96">
        <f t="shared" si="376"/>
        <v>14.47</v>
      </c>
      <c r="I6082" s="96">
        <f t="shared" si="376"/>
        <v>15.74</v>
      </c>
      <c r="J6082" s="91" t="str">
        <f t="shared" si="377"/>
        <v>Sinapi 100734</v>
      </c>
      <c r="K6082" s="91" t="str">
        <f t="shared" si="378"/>
        <v>M2</v>
      </c>
      <c r="L6082" s="166" t="str">
        <f t="shared" si="379"/>
        <v>01/2020</v>
      </c>
      <c r="M6082" s="82"/>
      <c r="N6082" s="82"/>
    </row>
    <row r="6083" spans="1:14" x14ac:dyDescent="0.25">
      <c r="A6083" s="170" t="s">
        <v>8572</v>
      </c>
      <c r="B6083" s="170" t="s">
        <v>18462</v>
      </c>
      <c r="C6083" s="170" t="s">
        <v>870</v>
      </c>
      <c r="D6083" s="170" t="s">
        <v>2067</v>
      </c>
      <c r="E6083" s="171" t="s">
        <v>18607</v>
      </c>
      <c r="F6083" s="171" t="s">
        <v>18566</v>
      </c>
      <c r="G6083" s="82"/>
      <c r="H6083" s="96">
        <f t="shared" si="376"/>
        <v>9.74</v>
      </c>
      <c r="I6083" s="96">
        <f t="shared" si="376"/>
        <v>10.59</v>
      </c>
      <c r="J6083" s="91" t="str">
        <f t="shared" si="377"/>
        <v>Sinapi 100735</v>
      </c>
      <c r="K6083" s="91" t="str">
        <f t="shared" si="378"/>
        <v>M2</v>
      </c>
      <c r="L6083" s="166" t="str">
        <f t="shared" si="379"/>
        <v>01/2020</v>
      </c>
      <c r="M6083" s="82"/>
      <c r="N6083" s="82"/>
    </row>
    <row r="6084" spans="1:14" x14ac:dyDescent="0.25">
      <c r="A6084" s="170" t="s">
        <v>8573</v>
      </c>
      <c r="B6084" s="170" t="s">
        <v>8574</v>
      </c>
      <c r="C6084" s="170" t="s">
        <v>870</v>
      </c>
      <c r="D6084" s="170" t="s">
        <v>2067</v>
      </c>
      <c r="E6084" s="171" t="s">
        <v>21064</v>
      </c>
      <c r="F6084" s="171" t="s">
        <v>16354</v>
      </c>
      <c r="G6084" s="82"/>
      <c r="H6084" s="96">
        <f t="shared" si="376"/>
        <v>12.95</v>
      </c>
      <c r="I6084" s="96">
        <f t="shared" si="376"/>
        <v>14.22</v>
      </c>
      <c r="J6084" s="91" t="str">
        <f t="shared" si="377"/>
        <v>Sinapi 100736</v>
      </c>
      <c r="K6084" s="91" t="str">
        <f t="shared" si="378"/>
        <v>M2</v>
      </c>
      <c r="L6084" s="166" t="str">
        <f t="shared" si="379"/>
        <v>01/2020</v>
      </c>
      <c r="M6084" s="82"/>
      <c r="N6084" s="82"/>
    </row>
    <row r="6085" spans="1:14" x14ac:dyDescent="0.25">
      <c r="A6085" s="170" t="s">
        <v>8575</v>
      </c>
      <c r="B6085" s="170" t="s">
        <v>18463</v>
      </c>
      <c r="C6085" s="170" t="s">
        <v>870</v>
      </c>
      <c r="D6085" s="170" t="s">
        <v>2067</v>
      </c>
      <c r="E6085" s="171" t="s">
        <v>3571</v>
      </c>
      <c r="F6085" s="171" t="s">
        <v>30456</v>
      </c>
      <c r="G6085" s="82"/>
      <c r="H6085" s="96">
        <f t="shared" si="376"/>
        <v>9.6</v>
      </c>
      <c r="I6085" s="96">
        <f t="shared" si="376"/>
        <v>9.7799999999999994</v>
      </c>
      <c r="J6085" s="91" t="str">
        <f t="shared" si="377"/>
        <v>Sinapi 100739</v>
      </c>
      <c r="K6085" s="91" t="str">
        <f t="shared" si="378"/>
        <v>M2</v>
      </c>
      <c r="L6085" s="166" t="str">
        <f t="shared" si="379"/>
        <v>01/2020</v>
      </c>
      <c r="M6085" s="82"/>
      <c r="N6085" s="82"/>
    </row>
    <row r="6086" spans="1:14" x14ac:dyDescent="0.25">
      <c r="A6086" s="170" t="s">
        <v>8576</v>
      </c>
      <c r="B6086" s="170" t="s">
        <v>8577</v>
      </c>
      <c r="C6086" s="170" t="s">
        <v>870</v>
      </c>
      <c r="D6086" s="170" t="s">
        <v>2067</v>
      </c>
      <c r="E6086" s="171" t="s">
        <v>20468</v>
      </c>
      <c r="F6086" s="171" t="s">
        <v>15660</v>
      </c>
      <c r="G6086" s="82"/>
      <c r="H6086" s="96">
        <f t="shared" si="376"/>
        <v>9.99</v>
      </c>
      <c r="I6086" s="96">
        <f t="shared" si="376"/>
        <v>10.6</v>
      </c>
      <c r="J6086" s="91" t="str">
        <f t="shared" si="377"/>
        <v>Sinapi 100740</v>
      </c>
      <c r="K6086" s="91" t="str">
        <f t="shared" si="378"/>
        <v>M2</v>
      </c>
      <c r="L6086" s="166" t="str">
        <f t="shared" si="379"/>
        <v>01/2020</v>
      </c>
      <c r="M6086" s="82"/>
      <c r="N6086" s="82"/>
    </row>
    <row r="6087" spans="1:14" x14ac:dyDescent="0.25">
      <c r="A6087" s="170" t="s">
        <v>8578</v>
      </c>
      <c r="B6087" s="170" t="s">
        <v>18464</v>
      </c>
      <c r="C6087" s="170" t="s">
        <v>870</v>
      </c>
      <c r="D6087" s="170" t="s">
        <v>2067</v>
      </c>
      <c r="E6087" s="171" t="s">
        <v>30236</v>
      </c>
      <c r="F6087" s="171" t="s">
        <v>29318</v>
      </c>
      <c r="G6087" s="82"/>
      <c r="H6087" s="96">
        <f t="shared" si="376"/>
        <v>21.86</v>
      </c>
      <c r="I6087" s="96">
        <f t="shared" si="376"/>
        <v>23.34</v>
      </c>
      <c r="J6087" s="91" t="str">
        <f t="shared" si="377"/>
        <v>Sinapi 100741</v>
      </c>
      <c r="K6087" s="91" t="str">
        <f t="shared" si="378"/>
        <v>M2</v>
      </c>
      <c r="L6087" s="166" t="str">
        <f t="shared" si="379"/>
        <v>01/2020</v>
      </c>
      <c r="M6087" s="82"/>
      <c r="N6087" s="82"/>
    </row>
    <row r="6088" spans="1:14" x14ac:dyDescent="0.25">
      <c r="A6088" s="170" t="s">
        <v>8579</v>
      </c>
      <c r="B6088" s="170" t="s">
        <v>8580</v>
      </c>
      <c r="C6088" s="170" t="s">
        <v>870</v>
      </c>
      <c r="D6088" s="170" t="s">
        <v>2067</v>
      </c>
      <c r="E6088" s="171" t="s">
        <v>34483</v>
      </c>
      <c r="F6088" s="171" t="s">
        <v>21106</v>
      </c>
      <c r="G6088" s="82"/>
      <c r="H6088" s="96">
        <f t="shared" ref="H6088:I6151" si="380">IF(E6088="","",E6088+0)</f>
        <v>21.87</v>
      </c>
      <c r="I6088" s="96">
        <f t="shared" si="380"/>
        <v>23.78</v>
      </c>
      <c r="J6088" s="91" t="str">
        <f t="shared" ref="J6088:J6151" si="381">IF(OR(H6088="",I6088=""),"",TRIM(CONCATENATE("Sinapi ",A6088)))</f>
        <v>Sinapi 100742</v>
      </c>
      <c r="K6088" s="91" t="str">
        <f t="shared" ref="K6088:K6151" si="382">TRIM(C6088)</f>
        <v>M2</v>
      </c>
      <c r="L6088" s="166" t="str">
        <f t="shared" ref="L6088:L6151" si="383">IF(OR(RIGHT(IF(AND(K6088&lt;&gt;"H",K6088&lt;&gt;"MES"),RIGHT(B6088,7),""),2)="PS",RIGHT(IF(AND(K6088&lt;&gt;"H",K6088&lt;&gt;"MES"),RIGHT(B6088,7),""),2)="PA",RIGHT(IF(AND(K6088&lt;&gt;"H",K6088&lt;&gt;"MES"),RIGHT(B6088,7),""),2)="PE"),LEFT(IF(AND(K6088&lt;&gt;"H",K6088&lt;&gt;"MES"),RIGHT(B6088,10),""),7),IF(AND(K6088&lt;&gt;"H",K6088&lt;&gt;"MES"),RIGHT(B6088,7),""))</f>
        <v>01/2020</v>
      </c>
      <c r="M6088" s="82"/>
      <c r="N6088" s="82"/>
    </row>
    <row r="6089" spans="1:14" x14ac:dyDescent="0.25">
      <c r="A6089" s="170" t="s">
        <v>8581</v>
      </c>
      <c r="B6089" s="170" t="s">
        <v>18465</v>
      </c>
      <c r="C6089" s="170" t="s">
        <v>870</v>
      </c>
      <c r="D6089" s="170" t="s">
        <v>2710</v>
      </c>
      <c r="E6089" s="171" t="s">
        <v>23314</v>
      </c>
      <c r="F6089" s="171" t="s">
        <v>19968</v>
      </c>
      <c r="G6089" s="82"/>
      <c r="H6089" s="96">
        <f t="shared" si="380"/>
        <v>9.39</v>
      </c>
      <c r="I6089" s="96">
        <f t="shared" si="380"/>
        <v>9.57</v>
      </c>
      <c r="J6089" s="91" t="str">
        <f t="shared" si="381"/>
        <v>Sinapi 100743</v>
      </c>
      <c r="K6089" s="91" t="str">
        <f t="shared" si="382"/>
        <v>M2</v>
      </c>
      <c r="L6089" s="166" t="str">
        <f t="shared" si="383"/>
        <v>01/2020</v>
      </c>
      <c r="M6089" s="82"/>
      <c r="N6089" s="82"/>
    </row>
    <row r="6090" spans="1:14" x14ac:dyDescent="0.25">
      <c r="A6090" s="170" t="s">
        <v>8582</v>
      </c>
      <c r="B6090" s="170" t="s">
        <v>8583</v>
      </c>
      <c r="C6090" s="170" t="s">
        <v>870</v>
      </c>
      <c r="D6090" s="170" t="s">
        <v>2710</v>
      </c>
      <c r="E6090" s="171" t="s">
        <v>12101</v>
      </c>
      <c r="F6090" s="171" t="s">
        <v>14933</v>
      </c>
      <c r="G6090" s="82"/>
      <c r="H6090" s="96">
        <f t="shared" si="380"/>
        <v>9.85</v>
      </c>
      <c r="I6090" s="96">
        <f t="shared" si="380"/>
        <v>10.46</v>
      </c>
      <c r="J6090" s="91" t="str">
        <f t="shared" si="381"/>
        <v>Sinapi 100744</v>
      </c>
      <c r="K6090" s="91" t="str">
        <f t="shared" si="382"/>
        <v>M2</v>
      </c>
      <c r="L6090" s="166" t="str">
        <f t="shared" si="383"/>
        <v>01/2020</v>
      </c>
      <c r="M6090" s="82"/>
      <c r="N6090" s="82"/>
    </row>
    <row r="6091" spans="1:14" x14ac:dyDescent="0.25">
      <c r="A6091" s="170" t="s">
        <v>8584</v>
      </c>
      <c r="B6091" s="170" t="s">
        <v>18466</v>
      </c>
      <c r="C6091" s="170" t="s">
        <v>870</v>
      </c>
      <c r="D6091" s="170" t="s">
        <v>2710</v>
      </c>
      <c r="E6091" s="171" t="s">
        <v>33058</v>
      </c>
      <c r="F6091" s="171" t="s">
        <v>17965</v>
      </c>
      <c r="G6091" s="82"/>
      <c r="H6091" s="96">
        <f t="shared" si="380"/>
        <v>21.63</v>
      </c>
      <c r="I6091" s="96">
        <f t="shared" si="380"/>
        <v>23.11</v>
      </c>
      <c r="J6091" s="91" t="str">
        <f t="shared" si="381"/>
        <v>Sinapi 100745</v>
      </c>
      <c r="K6091" s="91" t="str">
        <f t="shared" si="382"/>
        <v>M2</v>
      </c>
      <c r="L6091" s="166" t="str">
        <f t="shared" si="383"/>
        <v>01/2020</v>
      </c>
      <c r="M6091" s="82"/>
      <c r="N6091" s="82"/>
    </row>
    <row r="6092" spans="1:14" x14ac:dyDescent="0.25">
      <c r="A6092" s="170" t="s">
        <v>8585</v>
      </c>
      <c r="B6092" s="170" t="s">
        <v>8586</v>
      </c>
      <c r="C6092" s="170" t="s">
        <v>870</v>
      </c>
      <c r="D6092" s="170" t="s">
        <v>2710</v>
      </c>
      <c r="E6092" s="171" t="s">
        <v>23891</v>
      </c>
      <c r="F6092" s="171" t="s">
        <v>15691</v>
      </c>
      <c r="G6092" s="82"/>
      <c r="H6092" s="96">
        <f t="shared" si="380"/>
        <v>21.73</v>
      </c>
      <c r="I6092" s="96">
        <f t="shared" si="380"/>
        <v>23.64</v>
      </c>
      <c r="J6092" s="91" t="str">
        <f t="shared" si="381"/>
        <v>Sinapi 100746</v>
      </c>
      <c r="K6092" s="91" t="str">
        <f t="shared" si="382"/>
        <v>M2</v>
      </c>
      <c r="L6092" s="166" t="str">
        <f t="shared" si="383"/>
        <v>01/2020</v>
      </c>
      <c r="M6092" s="82"/>
      <c r="N6092" s="82"/>
    </row>
    <row r="6093" spans="1:14" x14ac:dyDescent="0.25">
      <c r="A6093" s="170" t="s">
        <v>8587</v>
      </c>
      <c r="B6093" s="170" t="s">
        <v>18467</v>
      </c>
      <c r="C6093" s="170" t="s">
        <v>870</v>
      </c>
      <c r="D6093" s="170" t="s">
        <v>2067</v>
      </c>
      <c r="E6093" s="171" t="s">
        <v>17287</v>
      </c>
      <c r="F6093" s="171" t="s">
        <v>33937</v>
      </c>
      <c r="G6093" s="82"/>
      <c r="H6093" s="96">
        <f t="shared" si="380"/>
        <v>9.48</v>
      </c>
      <c r="I6093" s="96">
        <f t="shared" si="380"/>
        <v>9.66</v>
      </c>
      <c r="J6093" s="91" t="str">
        <f t="shared" si="381"/>
        <v>Sinapi 100747</v>
      </c>
      <c r="K6093" s="91" t="str">
        <f t="shared" si="382"/>
        <v>M2</v>
      </c>
      <c r="L6093" s="166" t="str">
        <f t="shared" si="383"/>
        <v>01/2020</v>
      </c>
      <c r="M6093" s="82"/>
      <c r="N6093" s="82"/>
    </row>
    <row r="6094" spans="1:14" x14ac:dyDescent="0.25">
      <c r="A6094" s="170" t="s">
        <v>8588</v>
      </c>
      <c r="B6094" s="170" t="s">
        <v>8589</v>
      </c>
      <c r="C6094" s="170" t="s">
        <v>870</v>
      </c>
      <c r="D6094" s="170" t="s">
        <v>2067</v>
      </c>
      <c r="E6094" s="171" t="s">
        <v>18134</v>
      </c>
      <c r="F6094" s="171" t="s">
        <v>15630</v>
      </c>
      <c r="G6094" s="82"/>
      <c r="H6094" s="96">
        <f t="shared" si="380"/>
        <v>9.91</v>
      </c>
      <c r="I6094" s="96">
        <f t="shared" si="380"/>
        <v>10.52</v>
      </c>
      <c r="J6094" s="91" t="str">
        <f t="shared" si="381"/>
        <v>Sinapi 100748</v>
      </c>
      <c r="K6094" s="91" t="str">
        <f t="shared" si="382"/>
        <v>M2</v>
      </c>
      <c r="L6094" s="166" t="str">
        <f t="shared" si="383"/>
        <v>01/2020</v>
      </c>
      <c r="M6094" s="82"/>
      <c r="N6094" s="82"/>
    </row>
    <row r="6095" spans="1:14" x14ac:dyDescent="0.25">
      <c r="A6095" s="170" t="s">
        <v>8590</v>
      </c>
      <c r="B6095" s="170" t="s">
        <v>18468</v>
      </c>
      <c r="C6095" s="170" t="s">
        <v>870</v>
      </c>
      <c r="D6095" s="170" t="s">
        <v>2067</v>
      </c>
      <c r="E6095" s="171" t="s">
        <v>23891</v>
      </c>
      <c r="F6095" s="171" t="s">
        <v>20486</v>
      </c>
      <c r="G6095" s="82"/>
      <c r="H6095" s="96">
        <f t="shared" si="380"/>
        <v>21.73</v>
      </c>
      <c r="I6095" s="96">
        <f t="shared" si="380"/>
        <v>23.21</v>
      </c>
      <c r="J6095" s="91" t="str">
        <f t="shared" si="381"/>
        <v>Sinapi 100749</v>
      </c>
      <c r="K6095" s="91" t="str">
        <f t="shared" si="382"/>
        <v>M2</v>
      </c>
      <c r="L6095" s="166" t="str">
        <f t="shared" si="383"/>
        <v>01/2020</v>
      </c>
      <c r="M6095" s="82"/>
      <c r="N6095" s="82"/>
    </row>
    <row r="6096" spans="1:14" x14ac:dyDescent="0.25">
      <c r="A6096" s="170" t="s">
        <v>8591</v>
      </c>
      <c r="B6096" s="170" t="s">
        <v>8592</v>
      </c>
      <c r="C6096" s="170" t="s">
        <v>870</v>
      </c>
      <c r="D6096" s="170" t="s">
        <v>2067</v>
      </c>
      <c r="E6096" s="171" t="s">
        <v>23117</v>
      </c>
      <c r="F6096" s="171" t="s">
        <v>16408</v>
      </c>
      <c r="G6096" s="82"/>
      <c r="H6096" s="96">
        <f t="shared" si="380"/>
        <v>21.79</v>
      </c>
      <c r="I6096" s="96">
        <f t="shared" si="380"/>
        <v>23.7</v>
      </c>
      <c r="J6096" s="91" t="str">
        <f t="shared" si="381"/>
        <v>Sinapi 100750</v>
      </c>
      <c r="K6096" s="91" t="str">
        <f t="shared" si="382"/>
        <v>M2</v>
      </c>
      <c r="L6096" s="166" t="str">
        <f t="shared" si="383"/>
        <v>01/2020</v>
      </c>
      <c r="M6096" s="82"/>
      <c r="N6096" s="82"/>
    </row>
    <row r="6097" spans="1:14" x14ac:dyDescent="0.25">
      <c r="A6097" s="170" t="s">
        <v>8593</v>
      </c>
      <c r="B6097" s="170" t="s">
        <v>18469</v>
      </c>
      <c r="C6097" s="170" t="s">
        <v>870</v>
      </c>
      <c r="D6097" s="170" t="s">
        <v>2067</v>
      </c>
      <c r="E6097" s="171" t="s">
        <v>33235</v>
      </c>
      <c r="F6097" s="171" t="s">
        <v>37566</v>
      </c>
      <c r="G6097" s="82"/>
      <c r="H6097" s="96">
        <f t="shared" si="380"/>
        <v>35.96</v>
      </c>
      <c r="I6097" s="96">
        <f t="shared" si="380"/>
        <v>36.32</v>
      </c>
      <c r="J6097" s="91" t="str">
        <f t="shared" si="381"/>
        <v>Sinapi 100751</v>
      </c>
      <c r="K6097" s="91" t="str">
        <f t="shared" si="382"/>
        <v>M2</v>
      </c>
      <c r="L6097" s="166" t="str">
        <f t="shared" si="383"/>
        <v>01/2020</v>
      </c>
      <c r="M6097" s="82"/>
      <c r="N6097" s="82"/>
    </row>
    <row r="6098" spans="1:14" x14ac:dyDescent="0.25">
      <c r="A6098" s="170" t="s">
        <v>8594</v>
      </c>
      <c r="B6098" s="170" t="s">
        <v>8595</v>
      </c>
      <c r="C6098" s="170" t="s">
        <v>870</v>
      </c>
      <c r="D6098" s="170" t="s">
        <v>2067</v>
      </c>
      <c r="E6098" s="171" t="s">
        <v>28797</v>
      </c>
      <c r="F6098" s="171" t="s">
        <v>28611</v>
      </c>
      <c r="G6098" s="82"/>
      <c r="H6098" s="96">
        <f t="shared" si="380"/>
        <v>41.75</v>
      </c>
      <c r="I6098" s="96">
        <f t="shared" si="380"/>
        <v>42.96</v>
      </c>
      <c r="J6098" s="91" t="str">
        <f t="shared" si="381"/>
        <v>Sinapi 100752</v>
      </c>
      <c r="K6098" s="91" t="str">
        <f t="shared" si="382"/>
        <v>M2</v>
      </c>
      <c r="L6098" s="166" t="str">
        <f t="shared" si="383"/>
        <v>01/2020</v>
      </c>
      <c r="M6098" s="82"/>
      <c r="N6098" s="82"/>
    </row>
    <row r="6099" spans="1:14" x14ac:dyDescent="0.25">
      <c r="A6099" s="170" t="s">
        <v>8596</v>
      </c>
      <c r="B6099" s="170" t="s">
        <v>18470</v>
      </c>
      <c r="C6099" s="170" t="s">
        <v>870</v>
      </c>
      <c r="D6099" s="170" t="s">
        <v>2067</v>
      </c>
      <c r="E6099" s="171" t="s">
        <v>2858</v>
      </c>
      <c r="F6099" s="171" t="s">
        <v>16394</v>
      </c>
      <c r="G6099" s="82"/>
      <c r="H6099" s="96">
        <f t="shared" si="380"/>
        <v>19.489999999999998</v>
      </c>
      <c r="I6099" s="96">
        <f t="shared" si="380"/>
        <v>21.2</v>
      </c>
      <c r="J6099" s="91" t="str">
        <f t="shared" si="381"/>
        <v>Sinapi 100753</v>
      </c>
      <c r="K6099" s="91" t="str">
        <f t="shared" si="382"/>
        <v>M2</v>
      </c>
      <c r="L6099" s="166" t="str">
        <f t="shared" si="383"/>
        <v>01/2020</v>
      </c>
      <c r="M6099" s="82"/>
      <c r="N6099" s="82"/>
    </row>
    <row r="6100" spans="1:14" x14ac:dyDescent="0.25">
      <c r="A6100" s="170" t="s">
        <v>8597</v>
      </c>
      <c r="B6100" s="170" t="s">
        <v>8598</v>
      </c>
      <c r="C6100" s="170" t="s">
        <v>870</v>
      </c>
      <c r="D6100" s="170" t="s">
        <v>2067</v>
      </c>
      <c r="E6100" s="171" t="s">
        <v>34484</v>
      </c>
      <c r="F6100" s="171" t="s">
        <v>34411</v>
      </c>
      <c r="G6100" s="82"/>
      <c r="H6100" s="96">
        <f t="shared" si="380"/>
        <v>25.91</v>
      </c>
      <c r="I6100" s="96">
        <f t="shared" si="380"/>
        <v>28.47</v>
      </c>
      <c r="J6100" s="91" t="str">
        <f t="shared" si="381"/>
        <v>Sinapi 100754</v>
      </c>
      <c r="K6100" s="91" t="str">
        <f t="shared" si="382"/>
        <v>M2</v>
      </c>
      <c r="L6100" s="166" t="str">
        <f t="shared" si="383"/>
        <v>01/2020</v>
      </c>
      <c r="M6100" s="82"/>
      <c r="N6100" s="82"/>
    </row>
    <row r="6101" spans="1:14" x14ac:dyDescent="0.25">
      <c r="A6101" s="170" t="s">
        <v>8599</v>
      </c>
      <c r="B6101" s="170" t="s">
        <v>18471</v>
      </c>
      <c r="C6101" s="170" t="s">
        <v>870</v>
      </c>
      <c r="D6101" s="170" t="s">
        <v>2067</v>
      </c>
      <c r="E6101" s="171" t="s">
        <v>34384</v>
      </c>
      <c r="F6101" s="171" t="s">
        <v>28554</v>
      </c>
      <c r="G6101" s="82"/>
      <c r="H6101" s="96">
        <f t="shared" si="380"/>
        <v>43.73</v>
      </c>
      <c r="I6101" s="96">
        <f t="shared" si="380"/>
        <v>46.69</v>
      </c>
      <c r="J6101" s="91" t="str">
        <f t="shared" si="381"/>
        <v>Sinapi 100757</v>
      </c>
      <c r="K6101" s="91" t="str">
        <f t="shared" si="382"/>
        <v>M2</v>
      </c>
      <c r="L6101" s="166" t="str">
        <f t="shared" si="383"/>
        <v>01/2020</v>
      </c>
      <c r="M6101" s="82"/>
      <c r="N6101" s="82"/>
    </row>
    <row r="6102" spans="1:14" x14ac:dyDescent="0.25">
      <c r="A6102" s="170" t="s">
        <v>8600</v>
      </c>
      <c r="B6102" s="170" t="s">
        <v>8601</v>
      </c>
      <c r="C6102" s="170" t="s">
        <v>870</v>
      </c>
      <c r="D6102" s="170" t="s">
        <v>2067</v>
      </c>
      <c r="E6102" s="171" t="s">
        <v>21060</v>
      </c>
      <c r="F6102" s="171" t="s">
        <v>29076</v>
      </c>
      <c r="G6102" s="82"/>
      <c r="H6102" s="96">
        <f t="shared" si="380"/>
        <v>43.76</v>
      </c>
      <c r="I6102" s="96">
        <f t="shared" si="380"/>
        <v>47.57</v>
      </c>
      <c r="J6102" s="91" t="str">
        <f t="shared" si="381"/>
        <v>Sinapi 100758</v>
      </c>
      <c r="K6102" s="91" t="str">
        <f t="shared" si="382"/>
        <v>M2</v>
      </c>
      <c r="L6102" s="166" t="str">
        <f t="shared" si="383"/>
        <v>01/2020</v>
      </c>
      <c r="M6102" s="82"/>
      <c r="N6102" s="82"/>
    </row>
    <row r="6103" spans="1:14" x14ac:dyDescent="0.25">
      <c r="A6103" s="170" t="s">
        <v>8602</v>
      </c>
      <c r="B6103" s="170" t="s">
        <v>18472</v>
      </c>
      <c r="C6103" s="170" t="s">
        <v>870</v>
      </c>
      <c r="D6103" s="170" t="s">
        <v>2710</v>
      </c>
      <c r="E6103" s="171" t="s">
        <v>23186</v>
      </c>
      <c r="F6103" s="171" t="s">
        <v>37567</v>
      </c>
      <c r="G6103" s="82"/>
      <c r="H6103" s="96">
        <f t="shared" si="380"/>
        <v>43.28</v>
      </c>
      <c r="I6103" s="96">
        <f t="shared" si="380"/>
        <v>46.24</v>
      </c>
      <c r="J6103" s="91" t="str">
        <f t="shared" si="381"/>
        <v>Sinapi 100759</v>
      </c>
      <c r="K6103" s="91" t="str">
        <f t="shared" si="382"/>
        <v>M2</v>
      </c>
      <c r="L6103" s="166" t="str">
        <f t="shared" si="383"/>
        <v>01/2020</v>
      </c>
      <c r="M6103" s="82"/>
      <c r="N6103" s="82"/>
    </row>
    <row r="6104" spans="1:14" x14ac:dyDescent="0.25">
      <c r="A6104" s="170" t="s">
        <v>8603</v>
      </c>
      <c r="B6104" s="170" t="s">
        <v>8604</v>
      </c>
      <c r="C6104" s="170" t="s">
        <v>870</v>
      </c>
      <c r="D6104" s="170" t="s">
        <v>2710</v>
      </c>
      <c r="E6104" s="171" t="s">
        <v>33551</v>
      </c>
      <c r="F6104" s="171" t="s">
        <v>37568</v>
      </c>
      <c r="G6104" s="82"/>
      <c r="H6104" s="96">
        <f t="shared" si="380"/>
        <v>43.48</v>
      </c>
      <c r="I6104" s="96">
        <f t="shared" si="380"/>
        <v>47.29</v>
      </c>
      <c r="J6104" s="91" t="str">
        <f t="shared" si="381"/>
        <v>Sinapi 100760</v>
      </c>
      <c r="K6104" s="91" t="str">
        <f t="shared" si="382"/>
        <v>M2</v>
      </c>
      <c r="L6104" s="166" t="str">
        <f t="shared" si="383"/>
        <v>01/2020</v>
      </c>
      <c r="M6104" s="82"/>
      <c r="N6104" s="82"/>
    </row>
    <row r="6105" spans="1:14" x14ac:dyDescent="0.25">
      <c r="A6105" s="170" t="s">
        <v>8605</v>
      </c>
      <c r="B6105" s="170" t="s">
        <v>18473</v>
      </c>
      <c r="C6105" s="170" t="s">
        <v>870</v>
      </c>
      <c r="D6105" s="170" t="s">
        <v>2067</v>
      </c>
      <c r="E6105" s="171" t="s">
        <v>34485</v>
      </c>
      <c r="F6105" s="171" t="s">
        <v>25407</v>
      </c>
      <c r="G6105" s="82"/>
      <c r="H6105" s="96">
        <f t="shared" si="380"/>
        <v>43.47</v>
      </c>
      <c r="I6105" s="96">
        <f t="shared" si="380"/>
        <v>46.43</v>
      </c>
      <c r="J6105" s="91" t="str">
        <f t="shared" si="381"/>
        <v>Sinapi 100761</v>
      </c>
      <c r="K6105" s="91" t="str">
        <f t="shared" si="382"/>
        <v>M2</v>
      </c>
      <c r="L6105" s="166" t="str">
        <f t="shared" si="383"/>
        <v>01/2020</v>
      </c>
      <c r="M6105" s="82"/>
      <c r="N6105" s="82"/>
    </row>
    <row r="6106" spans="1:14" x14ac:dyDescent="0.25">
      <c r="A6106" s="170" t="s">
        <v>8606</v>
      </c>
      <c r="B6106" s="170" t="s">
        <v>8607</v>
      </c>
      <c r="C6106" s="170" t="s">
        <v>870</v>
      </c>
      <c r="D6106" s="170" t="s">
        <v>2067</v>
      </c>
      <c r="E6106" s="171" t="s">
        <v>28533</v>
      </c>
      <c r="F6106" s="171" t="s">
        <v>37569</v>
      </c>
      <c r="G6106" s="82"/>
      <c r="H6106" s="96">
        <f t="shared" si="380"/>
        <v>43.6</v>
      </c>
      <c r="I6106" s="96">
        <f t="shared" si="380"/>
        <v>47.41</v>
      </c>
      <c r="J6106" s="91" t="str">
        <f t="shared" si="381"/>
        <v>Sinapi 100762</v>
      </c>
      <c r="K6106" s="91" t="str">
        <f t="shared" si="382"/>
        <v>M2</v>
      </c>
      <c r="L6106" s="166" t="str">
        <f t="shared" si="383"/>
        <v>01/2020</v>
      </c>
      <c r="M6106" s="82"/>
      <c r="N6106" s="82"/>
    </row>
    <row r="6107" spans="1:14" x14ac:dyDescent="0.25">
      <c r="A6107" s="170" t="s">
        <v>13704</v>
      </c>
      <c r="B6107" s="170" t="s">
        <v>13705</v>
      </c>
      <c r="C6107" s="170" t="s">
        <v>870</v>
      </c>
      <c r="D6107" s="170" t="s">
        <v>1947</v>
      </c>
      <c r="E6107" s="171" t="s">
        <v>30496</v>
      </c>
      <c r="F6107" s="171" t="s">
        <v>17974</v>
      </c>
      <c r="G6107" s="82"/>
      <c r="H6107" s="96">
        <f t="shared" si="380"/>
        <v>3.13</v>
      </c>
      <c r="I6107" s="96">
        <f t="shared" si="380"/>
        <v>3.47</v>
      </c>
      <c r="J6107" s="91" t="str">
        <f t="shared" si="381"/>
        <v>Sinapi 102488</v>
      </c>
      <c r="K6107" s="91" t="str">
        <f t="shared" si="382"/>
        <v>M2</v>
      </c>
      <c r="L6107" s="166" t="str">
        <f t="shared" si="383"/>
        <v>05/2021</v>
      </c>
      <c r="M6107" s="82"/>
      <c r="N6107" s="82"/>
    </row>
    <row r="6108" spans="1:14" x14ac:dyDescent="0.25">
      <c r="A6108" s="170" t="s">
        <v>13706</v>
      </c>
      <c r="B6108" s="170" t="s">
        <v>13707</v>
      </c>
      <c r="C6108" s="170" t="s">
        <v>870</v>
      </c>
      <c r="D6108" s="170" t="s">
        <v>2067</v>
      </c>
      <c r="E6108" s="171" t="s">
        <v>19927</v>
      </c>
      <c r="F6108" s="171" t="s">
        <v>22969</v>
      </c>
      <c r="G6108" s="82"/>
      <c r="H6108" s="96">
        <f t="shared" si="380"/>
        <v>28.71</v>
      </c>
      <c r="I6108" s="96">
        <f t="shared" si="380"/>
        <v>30.01</v>
      </c>
      <c r="J6108" s="91" t="str">
        <f t="shared" si="381"/>
        <v>Sinapi 102489</v>
      </c>
      <c r="K6108" s="91" t="str">
        <f t="shared" si="382"/>
        <v>M2</v>
      </c>
      <c r="L6108" s="166" t="str">
        <f t="shared" si="383"/>
        <v>05/2021</v>
      </c>
      <c r="M6108" s="82"/>
      <c r="N6108" s="82"/>
    </row>
    <row r="6109" spans="1:14" x14ac:dyDescent="0.25">
      <c r="A6109" s="170" t="s">
        <v>13708</v>
      </c>
      <c r="B6109" s="170" t="s">
        <v>13709</v>
      </c>
      <c r="C6109" s="170" t="s">
        <v>870</v>
      </c>
      <c r="D6109" s="170" t="s">
        <v>2067</v>
      </c>
      <c r="E6109" s="171" t="s">
        <v>5587</v>
      </c>
      <c r="F6109" s="171" t="s">
        <v>20214</v>
      </c>
      <c r="G6109" s="82"/>
      <c r="H6109" s="96">
        <f t="shared" si="380"/>
        <v>20.440000000000001</v>
      </c>
      <c r="I6109" s="96">
        <f t="shared" si="380"/>
        <v>21.43</v>
      </c>
      <c r="J6109" s="91" t="str">
        <f t="shared" si="381"/>
        <v>Sinapi 102491</v>
      </c>
      <c r="K6109" s="91" t="str">
        <f t="shared" si="382"/>
        <v>M2</v>
      </c>
      <c r="L6109" s="166" t="str">
        <f t="shared" si="383"/>
        <v>05/2021</v>
      </c>
      <c r="M6109" s="82"/>
      <c r="N6109" s="82"/>
    </row>
    <row r="6110" spans="1:14" x14ac:dyDescent="0.25">
      <c r="A6110" s="170" t="s">
        <v>13710</v>
      </c>
      <c r="B6110" s="170" t="s">
        <v>13711</v>
      </c>
      <c r="C6110" s="170" t="s">
        <v>870</v>
      </c>
      <c r="D6110" s="170" t="s">
        <v>2067</v>
      </c>
      <c r="E6110" s="171" t="s">
        <v>22958</v>
      </c>
      <c r="F6110" s="171" t="s">
        <v>21342</v>
      </c>
      <c r="G6110" s="82"/>
      <c r="H6110" s="96">
        <f t="shared" si="380"/>
        <v>25.81</v>
      </c>
      <c r="I6110" s="96">
        <f t="shared" si="380"/>
        <v>27.12</v>
      </c>
      <c r="J6110" s="91" t="str">
        <f t="shared" si="381"/>
        <v>Sinapi 102492</v>
      </c>
      <c r="K6110" s="91" t="str">
        <f t="shared" si="382"/>
        <v>M2</v>
      </c>
      <c r="L6110" s="166" t="str">
        <f t="shared" si="383"/>
        <v>05/2021</v>
      </c>
      <c r="M6110" s="82"/>
      <c r="N6110" s="82"/>
    </row>
    <row r="6111" spans="1:14" x14ac:dyDescent="0.25">
      <c r="A6111" s="170" t="s">
        <v>13712</v>
      </c>
      <c r="B6111" s="170" t="s">
        <v>13713</v>
      </c>
      <c r="C6111" s="170" t="s">
        <v>870</v>
      </c>
      <c r="D6111" s="170" t="s">
        <v>2067</v>
      </c>
      <c r="E6111" s="171" t="s">
        <v>21883</v>
      </c>
      <c r="F6111" s="171" t="s">
        <v>28882</v>
      </c>
      <c r="G6111" s="82"/>
      <c r="H6111" s="96">
        <f t="shared" si="380"/>
        <v>55.41</v>
      </c>
      <c r="I6111" s="96">
        <f t="shared" si="380"/>
        <v>56.4</v>
      </c>
      <c r="J6111" s="91" t="str">
        <f t="shared" si="381"/>
        <v>Sinapi 102494</v>
      </c>
      <c r="K6111" s="91" t="str">
        <f t="shared" si="382"/>
        <v>M2</v>
      </c>
      <c r="L6111" s="166" t="str">
        <f t="shared" si="383"/>
        <v>05/2021</v>
      </c>
      <c r="M6111" s="82"/>
      <c r="N6111" s="82"/>
    </row>
    <row r="6112" spans="1:14" x14ac:dyDescent="0.25">
      <c r="A6112" s="170" t="s">
        <v>13714</v>
      </c>
      <c r="B6112" s="170" t="s">
        <v>13715</v>
      </c>
      <c r="C6112" s="170" t="s">
        <v>385</v>
      </c>
      <c r="D6112" s="170" t="s">
        <v>2067</v>
      </c>
      <c r="E6112" s="171" t="s">
        <v>23316</v>
      </c>
      <c r="F6112" s="171" t="s">
        <v>32517</v>
      </c>
      <c r="G6112" s="82"/>
      <c r="H6112" s="96">
        <f t="shared" si="380"/>
        <v>11.64</v>
      </c>
      <c r="I6112" s="96">
        <f t="shared" si="380"/>
        <v>12.11</v>
      </c>
      <c r="J6112" s="91" t="str">
        <f t="shared" si="381"/>
        <v>Sinapi 102496</v>
      </c>
      <c r="K6112" s="91" t="str">
        <f t="shared" si="382"/>
        <v>M</v>
      </c>
      <c r="L6112" s="166" t="str">
        <f t="shared" si="383"/>
        <v>05/2021</v>
      </c>
      <c r="M6112" s="82"/>
      <c r="N6112" s="82"/>
    </row>
    <row r="6113" spans="1:14" x14ac:dyDescent="0.25">
      <c r="A6113" s="170" t="s">
        <v>13716</v>
      </c>
      <c r="B6113" s="170" t="s">
        <v>13717</v>
      </c>
      <c r="C6113" s="170" t="s">
        <v>385</v>
      </c>
      <c r="D6113" s="170" t="s">
        <v>2067</v>
      </c>
      <c r="E6113" s="171" t="s">
        <v>2795</v>
      </c>
      <c r="F6113" s="171" t="s">
        <v>10384</v>
      </c>
      <c r="G6113" s="82"/>
      <c r="H6113" s="96">
        <f t="shared" si="380"/>
        <v>4.5599999999999996</v>
      </c>
      <c r="I6113" s="96">
        <f t="shared" si="380"/>
        <v>4.87</v>
      </c>
      <c r="J6113" s="91" t="str">
        <f t="shared" si="381"/>
        <v>Sinapi 102497</v>
      </c>
      <c r="K6113" s="91" t="str">
        <f t="shared" si="382"/>
        <v>M</v>
      </c>
      <c r="L6113" s="166" t="str">
        <f t="shared" si="383"/>
        <v>05/2021</v>
      </c>
      <c r="M6113" s="82"/>
      <c r="N6113" s="82"/>
    </row>
    <row r="6114" spans="1:14" x14ac:dyDescent="0.25">
      <c r="A6114" s="170" t="s">
        <v>13718</v>
      </c>
      <c r="B6114" s="170" t="s">
        <v>13719</v>
      </c>
      <c r="C6114" s="170" t="s">
        <v>385</v>
      </c>
      <c r="D6114" s="170" t="s">
        <v>2067</v>
      </c>
      <c r="E6114" s="171" t="s">
        <v>9316</v>
      </c>
      <c r="F6114" s="171" t="s">
        <v>17291</v>
      </c>
      <c r="G6114" s="82"/>
      <c r="H6114" s="96">
        <f t="shared" si="380"/>
        <v>1.53</v>
      </c>
      <c r="I6114" s="96">
        <f t="shared" si="380"/>
        <v>1.67</v>
      </c>
      <c r="J6114" s="91" t="str">
        <f t="shared" si="381"/>
        <v>Sinapi 102498</v>
      </c>
      <c r="K6114" s="91" t="str">
        <f t="shared" si="382"/>
        <v>M</v>
      </c>
      <c r="L6114" s="166" t="str">
        <f t="shared" si="383"/>
        <v>05/2021</v>
      </c>
      <c r="M6114" s="82"/>
      <c r="N6114" s="82"/>
    </row>
    <row r="6115" spans="1:14" x14ac:dyDescent="0.25">
      <c r="A6115" s="170" t="s">
        <v>13720</v>
      </c>
      <c r="B6115" s="170" t="s">
        <v>13721</v>
      </c>
      <c r="C6115" s="170" t="s">
        <v>870</v>
      </c>
      <c r="D6115" s="170" t="s">
        <v>2067</v>
      </c>
      <c r="E6115" s="171" t="s">
        <v>15796</v>
      </c>
      <c r="F6115" s="171" t="s">
        <v>3883</v>
      </c>
      <c r="G6115" s="82"/>
      <c r="H6115" s="96">
        <f t="shared" si="380"/>
        <v>3.14</v>
      </c>
      <c r="I6115" s="96">
        <f t="shared" si="380"/>
        <v>3.27</v>
      </c>
      <c r="J6115" s="91" t="str">
        <f t="shared" si="381"/>
        <v>Sinapi 102499</v>
      </c>
      <c r="K6115" s="91" t="str">
        <f t="shared" si="382"/>
        <v>M2</v>
      </c>
      <c r="L6115" s="166" t="str">
        <f t="shared" si="383"/>
        <v>05/2021</v>
      </c>
      <c r="M6115" s="82"/>
      <c r="N6115" s="82"/>
    </row>
    <row r="6116" spans="1:14" x14ac:dyDescent="0.25">
      <c r="A6116" s="170" t="s">
        <v>13722</v>
      </c>
      <c r="B6116" s="170" t="s">
        <v>13723</v>
      </c>
      <c r="C6116" s="170" t="s">
        <v>385</v>
      </c>
      <c r="D6116" s="170" t="s">
        <v>2067</v>
      </c>
      <c r="E6116" s="171" t="s">
        <v>29824</v>
      </c>
      <c r="F6116" s="171" t="s">
        <v>12103</v>
      </c>
      <c r="G6116" s="82"/>
      <c r="H6116" s="96">
        <f t="shared" si="380"/>
        <v>4.07</v>
      </c>
      <c r="I6116" s="96">
        <f t="shared" si="380"/>
        <v>4.37</v>
      </c>
      <c r="J6116" s="91" t="str">
        <f t="shared" si="381"/>
        <v>Sinapi 102500</v>
      </c>
      <c r="K6116" s="91" t="str">
        <f t="shared" si="382"/>
        <v>M</v>
      </c>
      <c r="L6116" s="166" t="str">
        <f t="shared" si="383"/>
        <v>05/2021</v>
      </c>
      <c r="M6116" s="82"/>
      <c r="N6116" s="82"/>
    </row>
    <row r="6117" spans="1:14" x14ac:dyDescent="0.25">
      <c r="A6117" s="170" t="s">
        <v>13724</v>
      </c>
      <c r="B6117" s="170" t="s">
        <v>13725</v>
      </c>
      <c r="C6117" s="170" t="s">
        <v>870</v>
      </c>
      <c r="D6117" s="170" t="s">
        <v>2067</v>
      </c>
      <c r="E6117" s="171" t="s">
        <v>21870</v>
      </c>
      <c r="F6117" s="171" t="s">
        <v>21326</v>
      </c>
      <c r="G6117" s="82"/>
      <c r="H6117" s="96">
        <f t="shared" si="380"/>
        <v>23.96</v>
      </c>
      <c r="I6117" s="96">
        <f t="shared" si="380"/>
        <v>25.51</v>
      </c>
      <c r="J6117" s="91" t="str">
        <f t="shared" si="381"/>
        <v>Sinapi 102501</v>
      </c>
      <c r="K6117" s="91" t="str">
        <f t="shared" si="382"/>
        <v>M2</v>
      </c>
      <c r="L6117" s="166" t="str">
        <f t="shared" si="383"/>
        <v>05/2021</v>
      </c>
      <c r="M6117" s="82"/>
      <c r="N6117" s="82"/>
    </row>
    <row r="6118" spans="1:14" x14ac:dyDescent="0.25">
      <c r="A6118" s="170" t="s">
        <v>13726</v>
      </c>
      <c r="B6118" s="170" t="s">
        <v>13727</v>
      </c>
      <c r="C6118" s="170" t="s">
        <v>385</v>
      </c>
      <c r="D6118" s="170" t="s">
        <v>2067</v>
      </c>
      <c r="E6118" s="171" t="s">
        <v>26595</v>
      </c>
      <c r="F6118" s="171" t="s">
        <v>3571</v>
      </c>
      <c r="G6118" s="82"/>
      <c r="H6118" s="96">
        <f t="shared" si="380"/>
        <v>8.74</v>
      </c>
      <c r="I6118" s="96">
        <f t="shared" si="380"/>
        <v>9.6</v>
      </c>
      <c r="J6118" s="91" t="str">
        <f t="shared" si="381"/>
        <v>Sinapi 102504</v>
      </c>
      <c r="K6118" s="91" t="str">
        <f t="shared" si="382"/>
        <v>M</v>
      </c>
      <c r="L6118" s="166" t="str">
        <f t="shared" si="383"/>
        <v>05/2021</v>
      </c>
      <c r="M6118" s="82"/>
      <c r="N6118" s="82"/>
    </row>
    <row r="6119" spans="1:14" x14ac:dyDescent="0.25">
      <c r="A6119" s="170" t="s">
        <v>13728</v>
      </c>
      <c r="B6119" s="170" t="s">
        <v>13729</v>
      </c>
      <c r="C6119" s="170" t="s">
        <v>385</v>
      </c>
      <c r="D6119" s="170" t="s">
        <v>2067</v>
      </c>
      <c r="E6119" s="171" t="s">
        <v>33055</v>
      </c>
      <c r="F6119" s="171" t="s">
        <v>14349</v>
      </c>
      <c r="G6119" s="82"/>
      <c r="H6119" s="96">
        <f t="shared" si="380"/>
        <v>9.19</v>
      </c>
      <c r="I6119" s="96">
        <f t="shared" si="380"/>
        <v>10.050000000000001</v>
      </c>
      <c r="J6119" s="91" t="str">
        <f t="shared" si="381"/>
        <v>Sinapi 102505</v>
      </c>
      <c r="K6119" s="91" t="str">
        <f t="shared" si="382"/>
        <v>M</v>
      </c>
      <c r="L6119" s="166" t="str">
        <f t="shared" si="383"/>
        <v>05/2021</v>
      </c>
      <c r="M6119" s="82"/>
      <c r="N6119" s="82"/>
    </row>
    <row r="6120" spans="1:14" x14ac:dyDescent="0.25">
      <c r="A6120" s="170" t="s">
        <v>13730</v>
      </c>
      <c r="B6120" s="170" t="s">
        <v>13731</v>
      </c>
      <c r="C6120" s="170" t="s">
        <v>385</v>
      </c>
      <c r="D6120" s="170" t="s">
        <v>2067</v>
      </c>
      <c r="E6120" s="171" t="s">
        <v>20028</v>
      </c>
      <c r="F6120" s="171" t="s">
        <v>18608</v>
      </c>
      <c r="G6120" s="82"/>
      <c r="H6120" s="96">
        <f t="shared" si="380"/>
        <v>9.51</v>
      </c>
      <c r="I6120" s="96">
        <f t="shared" si="380"/>
        <v>10.37</v>
      </c>
      <c r="J6120" s="91" t="str">
        <f t="shared" si="381"/>
        <v>Sinapi 102506</v>
      </c>
      <c r="K6120" s="91" t="str">
        <f t="shared" si="382"/>
        <v>M</v>
      </c>
      <c r="L6120" s="166" t="str">
        <f t="shared" si="383"/>
        <v>05/2021</v>
      </c>
      <c r="M6120" s="82"/>
      <c r="N6120" s="82"/>
    </row>
    <row r="6121" spans="1:14" x14ac:dyDescent="0.25">
      <c r="A6121" s="170" t="s">
        <v>13732</v>
      </c>
      <c r="B6121" s="170" t="s">
        <v>13733</v>
      </c>
      <c r="C6121" s="170" t="s">
        <v>385</v>
      </c>
      <c r="D6121" s="170" t="s">
        <v>2067</v>
      </c>
      <c r="E6121" s="171" t="s">
        <v>6477</v>
      </c>
      <c r="F6121" s="171" t="s">
        <v>6045</v>
      </c>
      <c r="G6121" s="82"/>
      <c r="H6121" s="96">
        <f t="shared" si="380"/>
        <v>5.6</v>
      </c>
      <c r="I6121" s="96">
        <f t="shared" si="380"/>
        <v>5.9</v>
      </c>
      <c r="J6121" s="91" t="str">
        <f t="shared" si="381"/>
        <v>Sinapi 102507</v>
      </c>
      <c r="K6121" s="91" t="str">
        <f t="shared" si="382"/>
        <v>M</v>
      </c>
      <c r="L6121" s="166" t="str">
        <f t="shared" si="383"/>
        <v>05/2021</v>
      </c>
      <c r="M6121" s="82"/>
      <c r="N6121" s="82"/>
    </row>
    <row r="6122" spans="1:14" x14ac:dyDescent="0.25">
      <c r="A6122" s="170" t="s">
        <v>13734</v>
      </c>
      <c r="B6122" s="170" t="s">
        <v>13735</v>
      </c>
      <c r="C6122" s="170" t="s">
        <v>870</v>
      </c>
      <c r="D6122" s="170" t="s">
        <v>2067</v>
      </c>
      <c r="E6122" s="171" t="s">
        <v>21913</v>
      </c>
      <c r="F6122" s="171" t="s">
        <v>16211</v>
      </c>
      <c r="G6122" s="82"/>
      <c r="H6122" s="96">
        <f t="shared" si="380"/>
        <v>39.75</v>
      </c>
      <c r="I6122" s="96">
        <f t="shared" si="380"/>
        <v>41.3</v>
      </c>
      <c r="J6122" s="91" t="str">
        <f t="shared" si="381"/>
        <v>Sinapi 102508</v>
      </c>
      <c r="K6122" s="91" t="str">
        <f t="shared" si="382"/>
        <v>M2</v>
      </c>
      <c r="L6122" s="166" t="str">
        <f t="shared" si="383"/>
        <v>05/2021</v>
      </c>
      <c r="M6122" s="82"/>
      <c r="N6122" s="82"/>
    </row>
    <row r="6123" spans="1:14" x14ac:dyDescent="0.25">
      <c r="A6123" s="170" t="s">
        <v>13736</v>
      </c>
      <c r="B6123" s="170" t="s">
        <v>13737</v>
      </c>
      <c r="C6123" s="170" t="s">
        <v>870</v>
      </c>
      <c r="D6123" s="170" t="s">
        <v>2067</v>
      </c>
      <c r="E6123" s="171" t="s">
        <v>28838</v>
      </c>
      <c r="F6123" s="171" t="s">
        <v>23120</v>
      </c>
      <c r="G6123" s="82"/>
      <c r="H6123" s="96">
        <f t="shared" si="380"/>
        <v>27.42</v>
      </c>
      <c r="I6123" s="96">
        <f t="shared" si="380"/>
        <v>28.73</v>
      </c>
      <c r="J6123" s="91" t="str">
        <f t="shared" si="381"/>
        <v>Sinapi 102509</v>
      </c>
      <c r="K6123" s="91" t="str">
        <f t="shared" si="382"/>
        <v>M2</v>
      </c>
      <c r="L6123" s="166" t="str">
        <f t="shared" si="383"/>
        <v>05/2021</v>
      </c>
      <c r="M6123" s="82"/>
      <c r="N6123" s="82"/>
    </row>
    <row r="6124" spans="1:14" x14ac:dyDescent="0.25">
      <c r="A6124" s="170" t="s">
        <v>13738</v>
      </c>
      <c r="B6124" s="170" t="s">
        <v>13739</v>
      </c>
      <c r="C6124" s="170" t="s">
        <v>385</v>
      </c>
      <c r="D6124" s="170" t="s">
        <v>1947</v>
      </c>
      <c r="E6124" s="171" t="s">
        <v>17293</v>
      </c>
      <c r="F6124" s="171" t="s">
        <v>2092</v>
      </c>
      <c r="G6124" s="82"/>
      <c r="H6124" s="96">
        <f t="shared" si="380"/>
        <v>5.69</v>
      </c>
      <c r="I6124" s="96">
        <f t="shared" si="380"/>
        <v>5.92</v>
      </c>
      <c r="J6124" s="91" t="str">
        <f t="shared" si="381"/>
        <v>Sinapi 102512</v>
      </c>
      <c r="K6124" s="91" t="str">
        <f t="shared" si="382"/>
        <v>M</v>
      </c>
      <c r="L6124" s="166" t="str">
        <f t="shared" si="383"/>
        <v>05/2021</v>
      </c>
      <c r="M6124" s="82"/>
      <c r="N6124" s="82"/>
    </row>
    <row r="6125" spans="1:14" x14ac:dyDescent="0.25">
      <c r="A6125" s="170" t="s">
        <v>13740</v>
      </c>
      <c r="B6125" s="170" t="s">
        <v>13741</v>
      </c>
      <c r="C6125" s="170" t="s">
        <v>870</v>
      </c>
      <c r="D6125" s="170" t="s">
        <v>2067</v>
      </c>
      <c r="E6125" s="171" t="s">
        <v>32120</v>
      </c>
      <c r="F6125" s="171" t="s">
        <v>37570</v>
      </c>
      <c r="G6125" s="82"/>
      <c r="H6125" s="96">
        <f t="shared" si="380"/>
        <v>43.45</v>
      </c>
      <c r="I6125" s="96">
        <f t="shared" si="380"/>
        <v>46.91</v>
      </c>
      <c r="J6125" s="91" t="str">
        <f t="shared" si="381"/>
        <v>Sinapi 102513</v>
      </c>
      <c r="K6125" s="91" t="str">
        <f t="shared" si="382"/>
        <v>M2</v>
      </c>
      <c r="L6125" s="166" t="str">
        <f t="shared" si="383"/>
        <v>05/2021</v>
      </c>
      <c r="M6125" s="82"/>
      <c r="N6125" s="82"/>
    </row>
    <row r="6126" spans="1:14" x14ac:dyDescent="0.25">
      <c r="A6126" s="170" t="s">
        <v>13742</v>
      </c>
      <c r="B6126" s="170" t="s">
        <v>13743</v>
      </c>
      <c r="C6126" s="170" t="s">
        <v>870</v>
      </c>
      <c r="D6126" s="170" t="s">
        <v>2067</v>
      </c>
      <c r="E6126" s="171" t="s">
        <v>34486</v>
      </c>
      <c r="F6126" s="171" t="s">
        <v>23196</v>
      </c>
      <c r="G6126" s="82"/>
      <c r="H6126" s="96">
        <f t="shared" si="380"/>
        <v>74.75</v>
      </c>
      <c r="I6126" s="96">
        <f t="shared" si="380"/>
        <v>80.97</v>
      </c>
      <c r="J6126" s="91" t="str">
        <f t="shared" si="381"/>
        <v>Sinapi 102520</v>
      </c>
      <c r="K6126" s="91" t="str">
        <f t="shared" si="382"/>
        <v>M2</v>
      </c>
      <c r="L6126" s="166" t="str">
        <f t="shared" si="383"/>
        <v>05/2021</v>
      </c>
      <c r="M6126" s="82"/>
      <c r="N6126" s="82"/>
    </row>
    <row r="6127" spans="1:14" x14ac:dyDescent="0.25">
      <c r="A6127" s="170" t="s">
        <v>11546</v>
      </c>
      <c r="B6127" s="170" t="s">
        <v>11547</v>
      </c>
      <c r="C6127" s="170" t="s">
        <v>870</v>
      </c>
      <c r="D6127" s="170" t="s">
        <v>2067</v>
      </c>
      <c r="E6127" s="171" t="s">
        <v>34487</v>
      </c>
      <c r="F6127" s="171" t="s">
        <v>37571</v>
      </c>
      <c r="G6127" s="82"/>
      <c r="H6127" s="96">
        <f t="shared" si="380"/>
        <v>67.92</v>
      </c>
      <c r="I6127" s="96">
        <f t="shared" si="380"/>
        <v>70.09</v>
      </c>
      <c r="J6127" s="91" t="str">
        <f t="shared" si="381"/>
        <v>Sinapi 101749</v>
      </c>
      <c r="K6127" s="91" t="str">
        <f t="shared" si="382"/>
        <v>M2</v>
      </c>
      <c r="L6127" s="166" t="str">
        <f t="shared" si="383"/>
        <v>09/2020</v>
      </c>
      <c r="M6127" s="82"/>
      <c r="N6127" s="82"/>
    </row>
    <row r="6128" spans="1:14" x14ac:dyDescent="0.25">
      <c r="A6128" s="170" t="s">
        <v>11548</v>
      </c>
      <c r="B6128" s="170" t="s">
        <v>11549</v>
      </c>
      <c r="C6128" s="170" t="s">
        <v>870</v>
      </c>
      <c r="D6128" s="170" t="s">
        <v>2067</v>
      </c>
      <c r="E6128" s="171" t="s">
        <v>22099</v>
      </c>
      <c r="F6128" s="171" t="s">
        <v>30754</v>
      </c>
      <c r="G6128" s="82"/>
      <c r="H6128" s="96">
        <f t="shared" si="380"/>
        <v>65.39</v>
      </c>
      <c r="I6128" s="96">
        <f t="shared" si="380"/>
        <v>67.349999999999994</v>
      </c>
      <c r="J6128" s="91" t="str">
        <f t="shared" si="381"/>
        <v>Sinapi 101750</v>
      </c>
      <c r="K6128" s="91" t="str">
        <f t="shared" si="382"/>
        <v>M2</v>
      </c>
      <c r="L6128" s="166" t="str">
        <f t="shared" si="383"/>
        <v>09/2020</v>
      </c>
      <c r="M6128" s="82"/>
      <c r="N6128" s="82"/>
    </row>
    <row r="6129" spans="1:14" x14ac:dyDescent="0.25">
      <c r="A6129" s="170" t="s">
        <v>11550</v>
      </c>
      <c r="B6129" s="170" t="s">
        <v>11551</v>
      </c>
      <c r="C6129" s="170" t="s">
        <v>870</v>
      </c>
      <c r="D6129" s="170" t="s">
        <v>2067</v>
      </c>
      <c r="E6129" s="171" t="s">
        <v>29938</v>
      </c>
      <c r="F6129" s="171" t="s">
        <v>37572</v>
      </c>
      <c r="G6129" s="82"/>
      <c r="H6129" s="96">
        <f t="shared" si="380"/>
        <v>115.65</v>
      </c>
      <c r="I6129" s="96">
        <f t="shared" si="380"/>
        <v>117.08</v>
      </c>
      <c r="J6129" s="91" t="str">
        <f t="shared" si="381"/>
        <v>Sinapi 101729</v>
      </c>
      <c r="K6129" s="91" t="str">
        <f t="shared" si="382"/>
        <v>M2</v>
      </c>
      <c r="L6129" s="166" t="str">
        <f t="shared" si="383"/>
        <v>09/2020</v>
      </c>
      <c r="M6129" s="82"/>
      <c r="N6129" s="82"/>
    </row>
    <row r="6130" spans="1:14" x14ac:dyDescent="0.25">
      <c r="A6130" s="170" t="s">
        <v>11552</v>
      </c>
      <c r="B6130" s="170" t="s">
        <v>11553</v>
      </c>
      <c r="C6130" s="170" t="s">
        <v>870</v>
      </c>
      <c r="D6130" s="170" t="s">
        <v>2067</v>
      </c>
      <c r="E6130" s="171" t="s">
        <v>29357</v>
      </c>
      <c r="F6130" s="171" t="s">
        <v>33838</v>
      </c>
      <c r="G6130" s="82"/>
      <c r="H6130" s="96">
        <f t="shared" si="380"/>
        <v>168.53</v>
      </c>
      <c r="I6130" s="96">
        <f t="shared" si="380"/>
        <v>170.2</v>
      </c>
      <c r="J6130" s="91" t="str">
        <f t="shared" si="381"/>
        <v>Sinapi 101746</v>
      </c>
      <c r="K6130" s="91" t="str">
        <f t="shared" si="382"/>
        <v>M2</v>
      </c>
      <c r="L6130" s="166" t="str">
        <f t="shared" si="383"/>
        <v>09/2020</v>
      </c>
      <c r="M6130" s="82"/>
      <c r="N6130" s="82"/>
    </row>
    <row r="6131" spans="1:14" x14ac:dyDescent="0.25">
      <c r="A6131" s="170" t="s">
        <v>11554</v>
      </c>
      <c r="B6131" s="170" t="s">
        <v>11555</v>
      </c>
      <c r="C6131" s="170" t="s">
        <v>870</v>
      </c>
      <c r="D6131" s="170" t="s">
        <v>2067</v>
      </c>
      <c r="E6131" s="171" t="s">
        <v>34488</v>
      </c>
      <c r="F6131" s="171" t="s">
        <v>37573</v>
      </c>
      <c r="G6131" s="82"/>
      <c r="H6131" s="96">
        <f t="shared" si="380"/>
        <v>121.29</v>
      </c>
      <c r="I6131" s="96">
        <f t="shared" si="380"/>
        <v>123.36</v>
      </c>
      <c r="J6131" s="91" t="str">
        <f t="shared" si="381"/>
        <v>Sinapi 101751</v>
      </c>
      <c r="K6131" s="91" t="str">
        <f t="shared" si="382"/>
        <v>M2</v>
      </c>
      <c r="L6131" s="166" t="str">
        <f t="shared" si="383"/>
        <v>09/2020</v>
      </c>
      <c r="M6131" s="82"/>
      <c r="N6131" s="82"/>
    </row>
    <row r="6132" spans="1:14" x14ac:dyDescent="0.25">
      <c r="A6132" s="170" t="s">
        <v>8608</v>
      </c>
      <c r="B6132" s="170" t="s">
        <v>20490</v>
      </c>
      <c r="C6132" s="170" t="s">
        <v>870</v>
      </c>
      <c r="D6132" s="170" t="s">
        <v>2067</v>
      </c>
      <c r="E6132" s="171" t="s">
        <v>20473</v>
      </c>
      <c r="F6132" s="171" t="s">
        <v>37574</v>
      </c>
      <c r="G6132" s="82"/>
      <c r="H6132" s="96">
        <f t="shared" si="380"/>
        <v>86.17</v>
      </c>
      <c r="I6132" s="96">
        <f t="shared" si="380"/>
        <v>88.44</v>
      </c>
      <c r="J6132" s="91" t="str">
        <f t="shared" si="381"/>
        <v>Sinapi 87246</v>
      </c>
      <c r="K6132" s="91" t="str">
        <f t="shared" si="382"/>
        <v>M2</v>
      </c>
      <c r="L6132" s="166" t="str">
        <f t="shared" si="383"/>
        <v>02/2023</v>
      </c>
      <c r="M6132" s="82"/>
      <c r="N6132" s="82"/>
    </row>
    <row r="6133" spans="1:14" x14ac:dyDescent="0.25">
      <c r="A6133" s="170" t="s">
        <v>8609</v>
      </c>
      <c r="B6133" s="170" t="s">
        <v>20491</v>
      </c>
      <c r="C6133" s="170" t="s">
        <v>870</v>
      </c>
      <c r="D6133" s="170" t="s">
        <v>2067</v>
      </c>
      <c r="E6133" s="171" t="s">
        <v>34489</v>
      </c>
      <c r="F6133" s="171" t="s">
        <v>18475</v>
      </c>
      <c r="G6133" s="82"/>
      <c r="H6133" s="96">
        <f t="shared" si="380"/>
        <v>79.73</v>
      </c>
      <c r="I6133" s="96">
        <f t="shared" si="380"/>
        <v>81.37</v>
      </c>
      <c r="J6133" s="91" t="str">
        <f t="shared" si="381"/>
        <v>Sinapi 87247</v>
      </c>
      <c r="K6133" s="91" t="str">
        <f t="shared" si="382"/>
        <v>M2</v>
      </c>
      <c r="L6133" s="166" t="str">
        <f t="shared" si="383"/>
        <v>02/2023</v>
      </c>
      <c r="M6133" s="82"/>
      <c r="N6133" s="82"/>
    </row>
    <row r="6134" spans="1:14" x14ac:dyDescent="0.25">
      <c r="A6134" s="170" t="s">
        <v>8610</v>
      </c>
      <c r="B6134" s="170" t="s">
        <v>20492</v>
      </c>
      <c r="C6134" s="170" t="s">
        <v>870</v>
      </c>
      <c r="D6134" s="170" t="s">
        <v>2067</v>
      </c>
      <c r="E6134" s="171" t="s">
        <v>34490</v>
      </c>
      <c r="F6134" s="171" t="s">
        <v>24269</v>
      </c>
      <c r="G6134" s="82"/>
      <c r="H6134" s="96">
        <f t="shared" si="380"/>
        <v>73.319999999999993</v>
      </c>
      <c r="I6134" s="96">
        <f t="shared" si="380"/>
        <v>74.239999999999995</v>
      </c>
      <c r="J6134" s="91" t="str">
        <f t="shared" si="381"/>
        <v>Sinapi 87248</v>
      </c>
      <c r="K6134" s="91" t="str">
        <f t="shared" si="382"/>
        <v>M2</v>
      </c>
      <c r="L6134" s="166" t="str">
        <f t="shared" si="383"/>
        <v>02/2023</v>
      </c>
      <c r="M6134" s="82"/>
      <c r="N6134" s="82"/>
    </row>
    <row r="6135" spans="1:14" x14ac:dyDescent="0.25">
      <c r="A6135" s="170" t="s">
        <v>8611</v>
      </c>
      <c r="B6135" s="170" t="s">
        <v>20493</v>
      </c>
      <c r="C6135" s="170" t="s">
        <v>870</v>
      </c>
      <c r="D6135" s="170" t="s">
        <v>2067</v>
      </c>
      <c r="E6135" s="171" t="s">
        <v>29314</v>
      </c>
      <c r="F6135" s="171" t="s">
        <v>37575</v>
      </c>
      <c r="G6135" s="82"/>
      <c r="H6135" s="96">
        <f t="shared" si="380"/>
        <v>90.8</v>
      </c>
      <c r="I6135" s="96">
        <f t="shared" si="380"/>
        <v>93.45</v>
      </c>
      <c r="J6135" s="91" t="str">
        <f t="shared" si="381"/>
        <v>Sinapi 87249</v>
      </c>
      <c r="K6135" s="91" t="str">
        <f t="shared" si="382"/>
        <v>M2</v>
      </c>
      <c r="L6135" s="166" t="str">
        <f t="shared" si="383"/>
        <v>02/2023</v>
      </c>
      <c r="M6135" s="82"/>
      <c r="N6135" s="82"/>
    </row>
    <row r="6136" spans="1:14" x14ac:dyDescent="0.25">
      <c r="A6136" s="170" t="s">
        <v>8612</v>
      </c>
      <c r="B6136" s="170" t="s">
        <v>20494</v>
      </c>
      <c r="C6136" s="170" t="s">
        <v>870</v>
      </c>
      <c r="D6136" s="170" t="s">
        <v>2067</v>
      </c>
      <c r="E6136" s="171" t="s">
        <v>34491</v>
      </c>
      <c r="F6136" s="171" t="s">
        <v>37576</v>
      </c>
      <c r="G6136" s="82"/>
      <c r="H6136" s="96">
        <f t="shared" si="380"/>
        <v>80.91</v>
      </c>
      <c r="I6136" s="96">
        <f t="shared" si="380"/>
        <v>82.68</v>
      </c>
      <c r="J6136" s="91" t="str">
        <f t="shared" si="381"/>
        <v>Sinapi 87250</v>
      </c>
      <c r="K6136" s="91" t="str">
        <f t="shared" si="382"/>
        <v>M2</v>
      </c>
      <c r="L6136" s="166" t="str">
        <f t="shared" si="383"/>
        <v>02/2023</v>
      </c>
      <c r="M6136" s="82"/>
      <c r="N6136" s="82"/>
    </row>
    <row r="6137" spans="1:14" x14ac:dyDescent="0.25">
      <c r="A6137" s="170" t="s">
        <v>8613</v>
      </c>
      <c r="B6137" s="170" t="s">
        <v>20495</v>
      </c>
      <c r="C6137" s="170" t="s">
        <v>870</v>
      </c>
      <c r="D6137" s="170" t="s">
        <v>2067</v>
      </c>
      <c r="E6137" s="171" t="s">
        <v>21499</v>
      </c>
      <c r="F6137" s="171" t="s">
        <v>30554</v>
      </c>
      <c r="G6137" s="82"/>
      <c r="H6137" s="96">
        <f t="shared" si="380"/>
        <v>73.45</v>
      </c>
      <c r="I6137" s="96">
        <f t="shared" si="380"/>
        <v>74.41</v>
      </c>
      <c r="J6137" s="91" t="str">
        <f t="shared" si="381"/>
        <v>Sinapi 87251</v>
      </c>
      <c r="K6137" s="91" t="str">
        <f t="shared" si="382"/>
        <v>M2</v>
      </c>
      <c r="L6137" s="166" t="str">
        <f t="shared" si="383"/>
        <v>02/2023</v>
      </c>
      <c r="M6137" s="82"/>
      <c r="N6137" s="82"/>
    </row>
    <row r="6138" spans="1:14" x14ac:dyDescent="0.25">
      <c r="A6138" s="170" t="s">
        <v>8614</v>
      </c>
      <c r="B6138" s="170" t="s">
        <v>20496</v>
      </c>
      <c r="C6138" s="170" t="s">
        <v>870</v>
      </c>
      <c r="D6138" s="170" t="s">
        <v>2067</v>
      </c>
      <c r="E6138" s="171" t="s">
        <v>29304</v>
      </c>
      <c r="F6138" s="171" t="s">
        <v>37577</v>
      </c>
      <c r="G6138" s="82"/>
      <c r="H6138" s="96">
        <f t="shared" si="380"/>
        <v>152.13999999999999</v>
      </c>
      <c r="I6138" s="96">
        <f t="shared" si="380"/>
        <v>155.03</v>
      </c>
      <c r="J6138" s="91" t="str">
        <f t="shared" si="381"/>
        <v>Sinapi 87255</v>
      </c>
      <c r="K6138" s="91" t="str">
        <f t="shared" si="382"/>
        <v>M2</v>
      </c>
      <c r="L6138" s="166" t="str">
        <f t="shared" si="383"/>
        <v>02/2023</v>
      </c>
      <c r="M6138" s="82"/>
      <c r="N6138" s="82"/>
    </row>
    <row r="6139" spans="1:14" x14ac:dyDescent="0.25">
      <c r="A6139" s="170" t="s">
        <v>8615</v>
      </c>
      <c r="B6139" s="170" t="s">
        <v>20497</v>
      </c>
      <c r="C6139" s="170" t="s">
        <v>870</v>
      </c>
      <c r="D6139" s="170" t="s">
        <v>2067</v>
      </c>
      <c r="E6139" s="171" t="s">
        <v>34492</v>
      </c>
      <c r="F6139" s="171" t="s">
        <v>28800</v>
      </c>
      <c r="G6139" s="82"/>
      <c r="H6139" s="96">
        <f t="shared" si="380"/>
        <v>139.19999999999999</v>
      </c>
      <c r="I6139" s="96">
        <f t="shared" si="380"/>
        <v>141.13999999999999</v>
      </c>
      <c r="J6139" s="91" t="str">
        <f t="shared" si="381"/>
        <v>Sinapi 87256</v>
      </c>
      <c r="K6139" s="91" t="str">
        <f t="shared" si="382"/>
        <v>M2</v>
      </c>
      <c r="L6139" s="166" t="str">
        <f t="shared" si="383"/>
        <v>02/2023</v>
      </c>
      <c r="M6139" s="82"/>
      <c r="N6139" s="82"/>
    </row>
    <row r="6140" spans="1:14" x14ac:dyDescent="0.25">
      <c r="A6140" s="170" t="s">
        <v>8616</v>
      </c>
      <c r="B6140" s="170" t="s">
        <v>20498</v>
      </c>
      <c r="C6140" s="170" t="s">
        <v>870</v>
      </c>
      <c r="D6140" s="170" t="s">
        <v>2067</v>
      </c>
      <c r="E6140" s="171" t="s">
        <v>25571</v>
      </c>
      <c r="F6140" s="171" t="s">
        <v>37578</v>
      </c>
      <c r="G6140" s="82"/>
      <c r="H6140" s="96">
        <f t="shared" si="380"/>
        <v>129.91</v>
      </c>
      <c r="I6140" s="96">
        <f t="shared" si="380"/>
        <v>130.97</v>
      </c>
      <c r="J6140" s="91" t="str">
        <f t="shared" si="381"/>
        <v>Sinapi 87257</v>
      </c>
      <c r="K6140" s="91" t="str">
        <f t="shared" si="382"/>
        <v>M2</v>
      </c>
      <c r="L6140" s="166" t="str">
        <f t="shared" si="383"/>
        <v>02/2023</v>
      </c>
      <c r="M6140" s="82"/>
      <c r="N6140" s="82"/>
    </row>
    <row r="6141" spans="1:14" x14ac:dyDescent="0.25">
      <c r="A6141" s="170" t="s">
        <v>8617</v>
      </c>
      <c r="B6141" s="170" t="s">
        <v>20499</v>
      </c>
      <c r="C6141" s="170" t="s">
        <v>870</v>
      </c>
      <c r="D6141" s="170" t="s">
        <v>2067</v>
      </c>
      <c r="E6141" s="171" t="s">
        <v>34493</v>
      </c>
      <c r="F6141" s="171" t="s">
        <v>36929</v>
      </c>
      <c r="G6141" s="82"/>
      <c r="H6141" s="96">
        <f t="shared" si="380"/>
        <v>214.64</v>
      </c>
      <c r="I6141" s="96">
        <f t="shared" si="380"/>
        <v>218</v>
      </c>
      <c r="J6141" s="91" t="str">
        <f t="shared" si="381"/>
        <v>Sinapi 87258</v>
      </c>
      <c r="K6141" s="91" t="str">
        <f t="shared" si="382"/>
        <v>M2</v>
      </c>
      <c r="L6141" s="166" t="str">
        <f t="shared" si="383"/>
        <v>02/2023</v>
      </c>
      <c r="M6141" s="82"/>
      <c r="N6141" s="82"/>
    </row>
    <row r="6142" spans="1:14" x14ac:dyDescent="0.25">
      <c r="A6142" s="170" t="s">
        <v>8618</v>
      </c>
      <c r="B6142" s="170" t="s">
        <v>20500</v>
      </c>
      <c r="C6142" s="170" t="s">
        <v>870</v>
      </c>
      <c r="D6142" s="170" t="s">
        <v>2067</v>
      </c>
      <c r="E6142" s="171" t="s">
        <v>34494</v>
      </c>
      <c r="F6142" s="171" t="s">
        <v>37579</v>
      </c>
      <c r="G6142" s="82"/>
      <c r="H6142" s="96">
        <f t="shared" si="380"/>
        <v>201.2</v>
      </c>
      <c r="I6142" s="96">
        <f t="shared" si="380"/>
        <v>203.67</v>
      </c>
      <c r="J6142" s="91" t="str">
        <f t="shared" si="381"/>
        <v>Sinapi 87259</v>
      </c>
      <c r="K6142" s="91" t="str">
        <f t="shared" si="382"/>
        <v>M2</v>
      </c>
      <c r="L6142" s="166" t="str">
        <f t="shared" si="383"/>
        <v>02/2023</v>
      </c>
      <c r="M6142" s="82"/>
      <c r="N6142" s="82"/>
    </row>
    <row r="6143" spans="1:14" x14ac:dyDescent="0.25">
      <c r="A6143" s="170" t="s">
        <v>8619</v>
      </c>
      <c r="B6143" s="170" t="s">
        <v>20501</v>
      </c>
      <c r="C6143" s="170" t="s">
        <v>870</v>
      </c>
      <c r="D6143" s="170" t="s">
        <v>2067</v>
      </c>
      <c r="E6143" s="171" t="s">
        <v>34495</v>
      </c>
      <c r="F6143" s="171" t="s">
        <v>37580</v>
      </c>
      <c r="G6143" s="82"/>
      <c r="H6143" s="96">
        <f t="shared" si="380"/>
        <v>192.71</v>
      </c>
      <c r="I6143" s="96">
        <f t="shared" si="380"/>
        <v>194.39</v>
      </c>
      <c r="J6143" s="91" t="str">
        <f t="shared" si="381"/>
        <v>Sinapi 87260</v>
      </c>
      <c r="K6143" s="91" t="str">
        <f t="shared" si="382"/>
        <v>M2</v>
      </c>
      <c r="L6143" s="166" t="str">
        <f t="shared" si="383"/>
        <v>02/2023</v>
      </c>
      <c r="M6143" s="82"/>
      <c r="N6143" s="82"/>
    </row>
    <row r="6144" spans="1:14" x14ac:dyDescent="0.25">
      <c r="A6144" s="170" t="s">
        <v>8620</v>
      </c>
      <c r="B6144" s="170" t="s">
        <v>20502</v>
      </c>
      <c r="C6144" s="170" t="s">
        <v>870</v>
      </c>
      <c r="D6144" s="170" t="s">
        <v>2067</v>
      </c>
      <c r="E6144" s="171" t="s">
        <v>34496</v>
      </c>
      <c r="F6144" s="171" t="s">
        <v>37581</v>
      </c>
      <c r="G6144" s="82"/>
      <c r="H6144" s="96">
        <f t="shared" si="380"/>
        <v>246.7</v>
      </c>
      <c r="I6144" s="96">
        <f t="shared" si="380"/>
        <v>250.3</v>
      </c>
      <c r="J6144" s="91" t="str">
        <f t="shared" si="381"/>
        <v>Sinapi 87261</v>
      </c>
      <c r="K6144" s="91" t="str">
        <f t="shared" si="382"/>
        <v>M2</v>
      </c>
      <c r="L6144" s="166" t="str">
        <f t="shared" si="383"/>
        <v>02/2023</v>
      </c>
      <c r="M6144" s="82"/>
      <c r="N6144" s="82"/>
    </row>
    <row r="6145" spans="1:14" x14ac:dyDescent="0.25">
      <c r="A6145" s="170" t="s">
        <v>8621</v>
      </c>
      <c r="B6145" s="170" t="s">
        <v>20503</v>
      </c>
      <c r="C6145" s="170" t="s">
        <v>870</v>
      </c>
      <c r="D6145" s="170" t="s">
        <v>2067</v>
      </c>
      <c r="E6145" s="171" t="s">
        <v>34497</v>
      </c>
      <c r="F6145" s="171" t="s">
        <v>37582</v>
      </c>
      <c r="G6145" s="82"/>
      <c r="H6145" s="96">
        <f t="shared" si="380"/>
        <v>231.07</v>
      </c>
      <c r="I6145" s="96">
        <f t="shared" si="380"/>
        <v>233.72</v>
      </c>
      <c r="J6145" s="91" t="str">
        <f t="shared" si="381"/>
        <v>Sinapi 87262</v>
      </c>
      <c r="K6145" s="91" t="str">
        <f t="shared" si="382"/>
        <v>M2</v>
      </c>
      <c r="L6145" s="166" t="str">
        <f t="shared" si="383"/>
        <v>02/2023</v>
      </c>
      <c r="M6145" s="82"/>
      <c r="N6145" s="82"/>
    </row>
    <row r="6146" spans="1:14" x14ac:dyDescent="0.25">
      <c r="A6146" s="170" t="s">
        <v>8622</v>
      </c>
      <c r="B6146" s="170" t="s">
        <v>20504</v>
      </c>
      <c r="C6146" s="170" t="s">
        <v>870</v>
      </c>
      <c r="D6146" s="170" t="s">
        <v>2067</v>
      </c>
      <c r="E6146" s="171" t="s">
        <v>18582</v>
      </c>
      <c r="F6146" s="171" t="s">
        <v>37583</v>
      </c>
      <c r="G6146" s="82"/>
      <c r="H6146" s="96">
        <f t="shared" si="380"/>
        <v>220.75</v>
      </c>
      <c r="I6146" s="96">
        <f t="shared" si="380"/>
        <v>222.53</v>
      </c>
      <c r="J6146" s="91" t="str">
        <f t="shared" si="381"/>
        <v>Sinapi 87263</v>
      </c>
      <c r="K6146" s="91" t="str">
        <f t="shared" si="382"/>
        <v>M2</v>
      </c>
      <c r="L6146" s="166" t="str">
        <f t="shared" si="383"/>
        <v>02/2023</v>
      </c>
      <c r="M6146" s="82"/>
      <c r="N6146" s="82"/>
    </row>
    <row r="6147" spans="1:14" x14ac:dyDescent="0.25">
      <c r="A6147" s="170" t="s">
        <v>8623</v>
      </c>
      <c r="B6147" s="170" t="s">
        <v>12093</v>
      </c>
      <c r="C6147" s="170" t="s">
        <v>870</v>
      </c>
      <c r="D6147" s="170" t="s">
        <v>2067</v>
      </c>
      <c r="E6147" s="171" t="s">
        <v>34498</v>
      </c>
      <c r="F6147" s="171" t="s">
        <v>37584</v>
      </c>
      <c r="G6147" s="82"/>
      <c r="H6147" s="96">
        <f t="shared" si="380"/>
        <v>79.08</v>
      </c>
      <c r="I6147" s="96">
        <f t="shared" si="380"/>
        <v>80.63</v>
      </c>
      <c r="J6147" s="91" t="str">
        <f t="shared" si="381"/>
        <v>Sinapi 89046</v>
      </c>
      <c r="K6147" s="91" t="str">
        <f t="shared" si="382"/>
        <v>M2</v>
      </c>
      <c r="L6147" s="166" t="str">
        <f t="shared" si="383"/>
        <v>11/2014</v>
      </c>
      <c r="M6147" s="82"/>
      <c r="N6147" s="82"/>
    </row>
    <row r="6148" spans="1:14" x14ac:dyDescent="0.25">
      <c r="A6148" s="170" t="s">
        <v>8624</v>
      </c>
      <c r="B6148" s="170" t="s">
        <v>12094</v>
      </c>
      <c r="C6148" s="170" t="s">
        <v>870</v>
      </c>
      <c r="D6148" s="170" t="s">
        <v>2067</v>
      </c>
      <c r="E6148" s="171" t="s">
        <v>33901</v>
      </c>
      <c r="F6148" s="171" t="s">
        <v>22107</v>
      </c>
      <c r="G6148" s="82"/>
      <c r="H6148" s="96">
        <f t="shared" si="380"/>
        <v>76.16</v>
      </c>
      <c r="I6148" s="96">
        <f t="shared" si="380"/>
        <v>77.400000000000006</v>
      </c>
      <c r="J6148" s="91" t="str">
        <f t="shared" si="381"/>
        <v>Sinapi 89171</v>
      </c>
      <c r="K6148" s="91" t="str">
        <f t="shared" si="382"/>
        <v>M2</v>
      </c>
      <c r="L6148" s="166" t="str">
        <f t="shared" si="383"/>
        <v>11/2014</v>
      </c>
      <c r="M6148" s="82"/>
      <c r="N6148" s="82"/>
    </row>
    <row r="6149" spans="1:14" x14ac:dyDescent="0.25">
      <c r="A6149" s="170" t="s">
        <v>8625</v>
      </c>
      <c r="B6149" s="170" t="s">
        <v>20505</v>
      </c>
      <c r="C6149" s="170" t="s">
        <v>870</v>
      </c>
      <c r="D6149" s="170" t="s">
        <v>2067</v>
      </c>
      <c r="E6149" s="171" t="s">
        <v>24567</v>
      </c>
      <c r="F6149" s="171" t="s">
        <v>37585</v>
      </c>
      <c r="G6149" s="82"/>
      <c r="H6149" s="96">
        <f t="shared" si="380"/>
        <v>77</v>
      </c>
      <c r="I6149" s="96">
        <f t="shared" si="380"/>
        <v>79.27</v>
      </c>
      <c r="J6149" s="91" t="str">
        <f t="shared" si="381"/>
        <v>Sinapi 93389</v>
      </c>
      <c r="K6149" s="91" t="str">
        <f t="shared" si="382"/>
        <v>M2</v>
      </c>
      <c r="L6149" s="166" t="str">
        <f t="shared" si="383"/>
        <v>02/2023</v>
      </c>
      <c r="M6149" s="82"/>
      <c r="N6149" s="82"/>
    </row>
    <row r="6150" spans="1:14" x14ac:dyDescent="0.25">
      <c r="A6150" s="170" t="s">
        <v>8626</v>
      </c>
      <c r="B6150" s="170" t="s">
        <v>20506</v>
      </c>
      <c r="C6150" s="170" t="s">
        <v>870</v>
      </c>
      <c r="D6150" s="170" t="s">
        <v>2067</v>
      </c>
      <c r="E6150" s="171" t="s">
        <v>34499</v>
      </c>
      <c r="F6150" s="171" t="s">
        <v>22912</v>
      </c>
      <c r="G6150" s="82"/>
      <c r="H6150" s="96">
        <f t="shared" si="380"/>
        <v>70.69</v>
      </c>
      <c r="I6150" s="96">
        <f t="shared" si="380"/>
        <v>72.33</v>
      </c>
      <c r="J6150" s="91" t="str">
        <f t="shared" si="381"/>
        <v>Sinapi 93390</v>
      </c>
      <c r="K6150" s="91" t="str">
        <f t="shared" si="382"/>
        <v>M2</v>
      </c>
      <c r="L6150" s="166" t="str">
        <f t="shared" si="383"/>
        <v>02/2023</v>
      </c>
      <c r="M6150" s="82"/>
      <c r="N6150" s="82"/>
    </row>
    <row r="6151" spans="1:14" x14ac:dyDescent="0.25">
      <c r="A6151" s="170" t="s">
        <v>8627</v>
      </c>
      <c r="B6151" s="170" t="s">
        <v>20507</v>
      </c>
      <c r="C6151" s="170" t="s">
        <v>870</v>
      </c>
      <c r="D6151" s="170" t="s">
        <v>2067</v>
      </c>
      <c r="E6151" s="171" t="s">
        <v>29305</v>
      </c>
      <c r="F6151" s="171" t="s">
        <v>20022</v>
      </c>
      <c r="G6151" s="82"/>
      <c r="H6151" s="96">
        <f t="shared" si="380"/>
        <v>64.33</v>
      </c>
      <c r="I6151" s="96">
        <f t="shared" si="380"/>
        <v>65.25</v>
      </c>
      <c r="J6151" s="91" t="str">
        <f t="shared" si="381"/>
        <v>Sinapi 93391</v>
      </c>
      <c r="K6151" s="91" t="str">
        <f t="shared" si="382"/>
        <v>M2</v>
      </c>
      <c r="L6151" s="166" t="str">
        <f t="shared" si="383"/>
        <v>02/2023</v>
      </c>
      <c r="M6151" s="82"/>
      <c r="N6151" s="82"/>
    </row>
    <row r="6152" spans="1:14" x14ac:dyDescent="0.25">
      <c r="A6152" s="170" t="s">
        <v>20508</v>
      </c>
      <c r="B6152" s="170" t="s">
        <v>20509</v>
      </c>
      <c r="C6152" s="170" t="s">
        <v>870</v>
      </c>
      <c r="D6152" s="170" t="s">
        <v>2067</v>
      </c>
      <c r="E6152" s="171" t="s">
        <v>34500</v>
      </c>
      <c r="F6152" s="171" t="s">
        <v>37586</v>
      </c>
      <c r="G6152" s="82"/>
      <c r="H6152" s="96">
        <f t="shared" ref="H6152:I6215" si="384">IF(E6152="","",E6152+0)</f>
        <v>156.41999999999999</v>
      </c>
      <c r="I6152" s="96">
        <f t="shared" si="384"/>
        <v>159.57</v>
      </c>
      <c r="J6152" s="91" t="str">
        <f t="shared" ref="J6152:J6215" si="385">IF(OR(H6152="",I6152=""),"",TRIM(CONCATENATE("Sinapi ",A6152)))</f>
        <v>Sinapi 104593</v>
      </c>
      <c r="K6152" s="91" t="str">
        <f t="shared" ref="K6152:K6215" si="386">TRIM(C6152)</f>
        <v>M2</v>
      </c>
      <c r="L6152" s="166" t="str">
        <f t="shared" ref="L6152:L6215" si="387">IF(OR(RIGHT(IF(AND(K6152&lt;&gt;"H",K6152&lt;&gt;"MES"),RIGHT(B6152,7),""),2)="PS",RIGHT(IF(AND(K6152&lt;&gt;"H",K6152&lt;&gt;"MES"),RIGHT(B6152,7),""),2)="PA",RIGHT(IF(AND(K6152&lt;&gt;"H",K6152&lt;&gt;"MES"),RIGHT(B6152,7),""),2)="PE"),LEFT(IF(AND(K6152&lt;&gt;"H",K6152&lt;&gt;"MES"),RIGHT(B6152,10),""),7),IF(AND(K6152&lt;&gt;"H",K6152&lt;&gt;"MES"),RIGHT(B6152,7),""))</f>
        <v>02/2023</v>
      </c>
      <c r="M6152" s="82"/>
      <c r="N6152" s="82"/>
    </row>
    <row r="6153" spans="1:14" x14ac:dyDescent="0.25">
      <c r="A6153" s="170" t="s">
        <v>20510</v>
      </c>
      <c r="B6153" s="170" t="s">
        <v>20511</v>
      </c>
      <c r="C6153" s="170" t="s">
        <v>870</v>
      </c>
      <c r="D6153" s="170" t="s">
        <v>2067</v>
      </c>
      <c r="E6153" s="171" t="s">
        <v>34501</v>
      </c>
      <c r="F6153" s="171" t="s">
        <v>37587</v>
      </c>
      <c r="G6153" s="82"/>
      <c r="H6153" s="96">
        <f t="shared" si="384"/>
        <v>141.79</v>
      </c>
      <c r="I6153" s="96">
        <f t="shared" si="384"/>
        <v>143.88999999999999</v>
      </c>
      <c r="J6153" s="91" t="str">
        <f t="shared" si="385"/>
        <v>Sinapi 104594</v>
      </c>
      <c r="K6153" s="91" t="str">
        <f t="shared" si="386"/>
        <v>M2</v>
      </c>
      <c r="L6153" s="166" t="str">
        <f t="shared" si="387"/>
        <v>02/2023</v>
      </c>
      <c r="M6153" s="82"/>
      <c r="N6153" s="82"/>
    </row>
    <row r="6154" spans="1:14" x14ac:dyDescent="0.25">
      <c r="A6154" s="170" t="s">
        <v>20512</v>
      </c>
      <c r="B6154" s="170" t="s">
        <v>20513</v>
      </c>
      <c r="C6154" s="170" t="s">
        <v>870</v>
      </c>
      <c r="D6154" s="170" t="s">
        <v>2067</v>
      </c>
      <c r="E6154" s="171" t="s">
        <v>28508</v>
      </c>
      <c r="F6154" s="171" t="s">
        <v>28479</v>
      </c>
      <c r="G6154" s="82"/>
      <c r="H6154" s="96">
        <f t="shared" si="384"/>
        <v>130.43</v>
      </c>
      <c r="I6154" s="96">
        <f t="shared" si="384"/>
        <v>131.54</v>
      </c>
      <c r="J6154" s="91" t="str">
        <f t="shared" si="385"/>
        <v>Sinapi 104595</v>
      </c>
      <c r="K6154" s="91" t="str">
        <f t="shared" si="386"/>
        <v>M2</v>
      </c>
      <c r="L6154" s="166" t="str">
        <f t="shared" si="387"/>
        <v>02/2023</v>
      </c>
      <c r="M6154" s="82"/>
      <c r="N6154" s="82"/>
    </row>
    <row r="6155" spans="1:14" x14ac:dyDescent="0.25">
      <c r="A6155" s="170" t="s">
        <v>20514</v>
      </c>
      <c r="B6155" s="170" t="s">
        <v>20515</v>
      </c>
      <c r="C6155" s="170" t="s">
        <v>870</v>
      </c>
      <c r="D6155" s="170" t="s">
        <v>2067</v>
      </c>
      <c r="E6155" s="171" t="s">
        <v>34502</v>
      </c>
      <c r="F6155" s="171" t="s">
        <v>37588</v>
      </c>
      <c r="G6155" s="82"/>
      <c r="H6155" s="96">
        <f t="shared" si="384"/>
        <v>252.26</v>
      </c>
      <c r="I6155" s="96">
        <f t="shared" si="384"/>
        <v>256.13</v>
      </c>
      <c r="J6155" s="91" t="str">
        <f t="shared" si="385"/>
        <v>Sinapi 104596</v>
      </c>
      <c r="K6155" s="91" t="str">
        <f t="shared" si="386"/>
        <v>M2</v>
      </c>
      <c r="L6155" s="166" t="str">
        <f t="shared" si="387"/>
        <v>02/2023</v>
      </c>
      <c r="M6155" s="82"/>
      <c r="N6155" s="82"/>
    </row>
    <row r="6156" spans="1:14" x14ac:dyDescent="0.25">
      <c r="A6156" s="170" t="s">
        <v>20516</v>
      </c>
      <c r="B6156" s="170" t="s">
        <v>20517</v>
      </c>
      <c r="C6156" s="170" t="s">
        <v>870</v>
      </c>
      <c r="D6156" s="170" t="s">
        <v>2067</v>
      </c>
      <c r="E6156" s="171" t="s">
        <v>34503</v>
      </c>
      <c r="F6156" s="171" t="s">
        <v>37589</v>
      </c>
      <c r="G6156" s="82"/>
      <c r="H6156" s="96">
        <f t="shared" si="384"/>
        <v>234.45</v>
      </c>
      <c r="I6156" s="96">
        <f t="shared" si="384"/>
        <v>237.27</v>
      </c>
      <c r="J6156" s="91" t="str">
        <f t="shared" si="385"/>
        <v>Sinapi 104597</v>
      </c>
      <c r="K6156" s="91" t="str">
        <f t="shared" si="386"/>
        <v>M2</v>
      </c>
      <c r="L6156" s="166" t="str">
        <f t="shared" si="387"/>
        <v>02/2023</v>
      </c>
      <c r="M6156" s="82"/>
      <c r="N6156" s="82"/>
    </row>
    <row r="6157" spans="1:14" x14ac:dyDescent="0.25">
      <c r="A6157" s="170" t="s">
        <v>20518</v>
      </c>
      <c r="B6157" s="170" t="s">
        <v>20519</v>
      </c>
      <c r="C6157" s="170" t="s">
        <v>870</v>
      </c>
      <c r="D6157" s="170" t="s">
        <v>2067</v>
      </c>
      <c r="E6157" s="171" t="s">
        <v>18580</v>
      </c>
      <c r="F6157" s="171" t="s">
        <v>37590</v>
      </c>
      <c r="G6157" s="82"/>
      <c r="H6157" s="96">
        <f t="shared" si="384"/>
        <v>221.51</v>
      </c>
      <c r="I6157" s="96">
        <f t="shared" si="384"/>
        <v>223.33</v>
      </c>
      <c r="J6157" s="91" t="str">
        <f t="shared" si="385"/>
        <v>Sinapi 104598</v>
      </c>
      <c r="K6157" s="91" t="str">
        <f t="shared" si="386"/>
        <v>M2</v>
      </c>
      <c r="L6157" s="166" t="str">
        <f t="shared" si="387"/>
        <v>02/2023</v>
      </c>
      <c r="M6157" s="82"/>
      <c r="N6157" s="82"/>
    </row>
    <row r="6158" spans="1:14" x14ac:dyDescent="0.25">
      <c r="A6158" s="170" t="s">
        <v>20520</v>
      </c>
      <c r="B6158" s="170" t="s">
        <v>20521</v>
      </c>
      <c r="C6158" s="170" t="s">
        <v>870</v>
      </c>
      <c r="D6158" s="170" t="s">
        <v>2067</v>
      </c>
      <c r="E6158" s="171" t="s">
        <v>34504</v>
      </c>
      <c r="F6158" s="171" t="s">
        <v>37591</v>
      </c>
      <c r="G6158" s="82"/>
      <c r="H6158" s="96">
        <f t="shared" si="384"/>
        <v>99.22</v>
      </c>
      <c r="I6158" s="96">
        <f t="shared" si="384"/>
        <v>102.51</v>
      </c>
      <c r="J6158" s="91" t="str">
        <f t="shared" si="385"/>
        <v>Sinapi 104599</v>
      </c>
      <c r="K6158" s="91" t="str">
        <f t="shared" si="386"/>
        <v>M2</v>
      </c>
      <c r="L6158" s="166" t="str">
        <f t="shared" si="387"/>
        <v>02/2023</v>
      </c>
      <c r="M6158" s="82"/>
      <c r="N6158" s="82"/>
    </row>
    <row r="6159" spans="1:14" x14ac:dyDescent="0.25">
      <c r="A6159" s="170" t="s">
        <v>20522</v>
      </c>
      <c r="B6159" s="170" t="s">
        <v>20523</v>
      </c>
      <c r="C6159" s="170" t="s">
        <v>870</v>
      </c>
      <c r="D6159" s="170" t="s">
        <v>2067</v>
      </c>
      <c r="E6159" s="171" t="s">
        <v>34505</v>
      </c>
      <c r="F6159" s="171" t="s">
        <v>37592</v>
      </c>
      <c r="G6159" s="82"/>
      <c r="H6159" s="96">
        <f t="shared" si="384"/>
        <v>89.3</v>
      </c>
      <c r="I6159" s="96">
        <f t="shared" si="384"/>
        <v>92.59</v>
      </c>
      <c r="J6159" s="91" t="str">
        <f t="shared" si="385"/>
        <v>Sinapi 104600</v>
      </c>
      <c r="K6159" s="91" t="str">
        <f t="shared" si="386"/>
        <v>M2</v>
      </c>
      <c r="L6159" s="166" t="str">
        <f t="shared" si="387"/>
        <v>02/2023</v>
      </c>
      <c r="M6159" s="82"/>
      <c r="N6159" s="82"/>
    </row>
    <row r="6160" spans="1:14" x14ac:dyDescent="0.25">
      <c r="A6160" s="170" t="s">
        <v>20524</v>
      </c>
      <c r="B6160" s="170" t="s">
        <v>20525</v>
      </c>
      <c r="C6160" s="170" t="s">
        <v>870</v>
      </c>
      <c r="D6160" s="170" t="s">
        <v>2067</v>
      </c>
      <c r="E6160" s="171" t="s">
        <v>34506</v>
      </c>
      <c r="F6160" s="171" t="s">
        <v>24714</v>
      </c>
      <c r="G6160" s="82"/>
      <c r="H6160" s="96">
        <f t="shared" si="384"/>
        <v>84.66</v>
      </c>
      <c r="I6160" s="96">
        <f t="shared" si="384"/>
        <v>86.69</v>
      </c>
      <c r="J6160" s="91" t="str">
        <f t="shared" si="385"/>
        <v>Sinapi 104601</v>
      </c>
      <c r="K6160" s="91" t="str">
        <f t="shared" si="386"/>
        <v>M2</v>
      </c>
      <c r="L6160" s="166" t="str">
        <f t="shared" si="387"/>
        <v>02/2023</v>
      </c>
      <c r="M6160" s="82"/>
      <c r="N6160" s="82"/>
    </row>
    <row r="6161" spans="1:14" x14ac:dyDescent="0.25">
      <c r="A6161" s="170" t="s">
        <v>20526</v>
      </c>
      <c r="B6161" s="170" t="s">
        <v>20527</v>
      </c>
      <c r="C6161" s="170" t="s">
        <v>870</v>
      </c>
      <c r="D6161" s="170" t="s">
        <v>2067</v>
      </c>
      <c r="E6161" s="171" t="s">
        <v>34507</v>
      </c>
      <c r="F6161" s="171" t="s">
        <v>28778</v>
      </c>
      <c r="G6161" s="82"/>
      <c r="H6161" s="96">
        <f t="shared" si="384"/>
        <v>75.349999999999994</v>
      </c>
      <c r="I6161" s="96">
        <f t="shared" si="384"/>
        <v>77.38</v>
      </c>
      <c r="J6161" s="91" t="str">
        <f t="shared" si="385"/>
        <v>Sinapi 104602</v>
      </c>
      <c r="K6161" s="91" t="str">
        <f t="shared" si="386"/>
        <v>M2</v>
      </c>
      <c r="L6161" s="166" t="str">
        <f t="shared" si="387"/>
        <v>02/2023</v>
      </c>
      <c r="M6161" s="82"/>
      <c r="N6161" s="82"/>
    </row>
    <row r="6162" spans="1:14" x14ac:dyDescent="0.25">
      <c r="A6162" s="170" t="s">
        <v>20528</v>
      </c>
      <c r="B6162" s="170" t="s">
        <v>20529</v>
      </c>
      <c r="C6162" s="170" t="s">
        <v>870</v>
      </c>
      <c r="D6162" s="170" t="s">
        <v>2067</v>
      </c>
      <c r="E6162" s="171" t="s">
        <v>23322</v>
      </c>
      <c r="F6162" s="171" t="s">
        <v>37593</v>
      </c>
      <c r="G6162" s="82"/>
      <c r="H6162" s="96">
        <f t="shared" si="384"/>
        <v>75.77</v>
      </c>
      <c r="I6162" s="96">
        <f t="shared" si="384"/>
        <v>76.88</v>
      </c>
      <c r="J6162" s="91" t="str">
        <f t="shared" si="385"/>
        <v>Sinapi 104603</v>
      </c>
      <c r="K6162" s="91" t="str">
        <f t="shared" si="386"/>
        <v>M2</v>
      </c>
      <c r="L6162" s="166" t="str">
        <f t="shared" si="387"/>
        <v>02/2023</v>
      </c>
      <c r="M6162" s="82"/>
      <c r="N6162" s="82"/>
    </row>
    <row r="6163" spans="1:14" x14ac:dyDescent="0.25">
      <c r="A6163" s="170" t="s">
        <v>20531</v>
      </c>
      <c r="B6163" s="170" t="s">
        <v>20532</v>
      </c>
      <c r="C6163" s="170" t="s">
        <v>870</v>
      </c>
      <c r="D6163" s="170" t="s">
        <v>2067</v>
      </c>
      <c r="E6163" s="171" t="s">
        <v>34508</v>
      </c>
      <c r="F6163" s="171" t="s">
        <v>37594</v>
      </c>
      <c r="G6163" s="82"/>
      <c r="H6163" s="96">
        <f t="shared" si="384"/>
        <v>66.64</v>
      </c>
      <c r="I6163" s="96">
        <f t="shared" si="384"/>
        <v>67.75</v>
      </c>
      <c r="J6163" s="91" t="str">
        <f t="shared" si="385"/>
        <v>Sinapi 104604</v>
      </c>
      <c r="K6163" s="91" t="str">
        <f t="shared" si="386"/>
        <v>M2</v>
      </c>
      <c r="L6163" s="166" t="str">
        <f t="shared" si="387"/>
        <v>02/2023</v>
      </c>
      <c r="M6163" s="82"/>
      <c r="N6163" s="82"/>
    </row>
    <row r="6164" spans="1:14" x14ac:dyDescent="0.25">
      <c r="A6164" s="170" t="s">
        <v>20533</v>
      </c>
      <c r="B6164" s="170" t="s">
        <v>20534</v>
      </c>
      <c r="C6164" s="170" t="s">
        <v>870</v>
      </c>
      <c r="D6164" s="170" t="s">
        <v>2067</v>
      </c>
      <c r="E6164" s="171" t="s">
        <v>27743</v>
      </c>
      <c r="F6164" s="171" t="s">
        <v>29155</v>
      </c>
      <c r="G6164" s="82"/>
      <c r="H6164" s="96">
        <f t="shared" si="384"/>
        <v>118.39</v>
      </c>
      <c r="I6164" s="96">
        <f t="shared" si="384"/>
        <v>123.21</v>
      </c>
      <c r="J6164" s="91" t="str">
        <f t="shared" si="385"/>
        <v>Sinapi 104605</v>
      </c>
      <c r="K6164" s="91" t="str">
        <f t="shared" si="386"/>
        <v>M2</v>
      </c>
      <c r="L6164" s="166" t="str">
        <f t="shared" si="387"/>
        <v>02/2023</v>
      </c>
      <c r="M6164" s="82"/>
      <c r="N6164" s="82"/>
    </row>
    <row r="6165" spans="1:14" x14ac:dyDescent="0.25">
      <c r="A6165" s="170" t="s">
        <v>20535</v>
      </c>
      <c r="B6165" s="170" t="s">
        <v>20536</v>
      </c>
      <c r="C6165" s="170" t="s">
        <v>870</v>
      </c>
      <c r="D6165" s="170" t="s">
        <v>2067</v>
      </c>
      <c r="E6165" s="171" t="s">
        <v>34509</v>
      </c>
      <c r="F6165" s="171" t="s">
        <v>34366</v>
      </c>
      <c r="G6165" s="82"/>
      <c r="H6165" s="96">
        <f t="shared" si="384"/>
        <v>88.75</v>
      </c>
      <c r="I6165" s="96">
        <f t="shared" si="384"/>
        <v>91.12</v>
      </c>
      <c r="J6165" s="91" t="str">
        <f t="shared" si="385"/>
        <v>Sinapi 104606</v>
      </c>
      <c r="K6165" s="91" t="str">
        <f t="shared" si="386"/>
        <v>M2</v>
      </c>
      <c r="L6165" s="166" t="str">
        <f t="shared" si="387"/>
        <v>02/2023</v>
      </c>
      <c r="M6165" s="82"/>
      <c r="N6165" s="82"/>
    </row>
    <row r="6166" spans="1:14" x14ac:dyDescent="0.25">
      <c r="A6166" s="170" t="s">
        <v>20537</v>
      </c>
      <c r="B6166" s="170" t="s">
        <v>20538</v>
      </c>
      <c r="C6166" s="170" t="s">
        <v>870</v>
      </c>
      <c r="D6166" s="170" t="s">
        <v>2067</v>
      </c>
      <c r="E6166" s="171" t="s">
        <v>24369</v>
      </c>
      <c r="F6166" s="171" t="s">
        <v>32107</v>
      </c>
      <c r="G6166" s="82"/>
      <c r="H6166" s="96">
        <f t="shared" si="384"/>
        <v>76.930000000000007</v>
      </c>
      <c r="I6166" s="96">
        <f t="shared" si="384"/>
        <v>78.16</v>
      </c>
      <c r="J6166" s="91" t="str">
        <f t="shared" si="385"/>
        <v>Sinapi 104607</v>
      </c>
      <c r="K6166" s="91" t="str">
        <f t="shared" si="386"/>
        <v>M2</v>
      </c>
      <c r="L6166" s="166" t="str">
        <f t="shared" si="387"/>
        <v>02/2023</v>
      </c>
      <c r="M6166" s="82"/>
      <c r="N6166" s="82"/>
    </row>
    <row r="6167" spans="1:14" x14ac:dyDescent="0.25">
      <c r="A6167" s="170" t="s">
        <v>20539</v>
      </c>
      <c r="B6167" s="170" t="s">
        <v>20540</v>
      </c>
      <c r="C6167" s="170" t="s">
        <v>870</v>
      </c>
      <c r="D6167" s="170" t="s">
        <v>2067</v>
      </c>
      <c r="E6167" s="171" t="s">
        <v>34510</v>
      </c>
      <c r="F6167" s="171" t="s">
        <v>37595</v>
      </c>
      <c r="G6167" s="82"/>
      <c r="H6167" s="96">
        <f t="shared" si="384"/>
        <v>257.37</v>
      </c>
      <c r="I6167" s="96">
        <f t="shared" si="384"/>
        <v>262.89999999999998</v>
      </c>
      <c r="J6167" s="91" t="str">
        <f t="shared" si="385"/>
        <v>Sinapi 104608</v>
      </c>
      <c r="K6167" s="91" t="str">
        <f t="shared" si="386"/>
        <v>M2</v>
      </c>
      <c r="L6167" s="166" t="str">
        <f t="shared" si="387"/>
        <v>02/2023</v>
      </c>
      <c r="M6167" s="82"/>
      <c r="N6167" s="82"/>
    </row>
    <row r="6168" spans="1:14" x14ac:dyDescent="0.25">
      <c r="A6168" s="170" t="s">
        <v>20541</v>
      </c>
      <c r="B6168" s="170" t="s">
        <v>20542</v>
      </c>
      <c r="C6168" s="170" t="s">
        <v>870</v>
      </c>
      <c r="D6168" s="170" t="s">
        <v>2067</v>
      </c>
      <c r="E6168" s="171" t="s">
        <v>28485</v>
      </c>
      <c r="F6168" s="171" t="s">
        <v>37596</v>
      </c>
      <c r="G6168" s="82"/>
      <c r="H6168" s="96">
        <f t="shared" si="384"/>
        <v>213.28</v>
      </c>
      <c r="I6168" s="96">
        <f t="shared" si="384"/>
        <v>216.37</v>
      </c>
      <c r="J6168" s="91" t="str">
        <f t="shared" si="385"/>
        <v>Sinapi 104609</v>
      </c>
      <c r="K6168" s="91" t="str">
        <f t="shared" si="386"/>
        <v>M2</v>
      </c>
      <c r="L6168" s="166" t="str">
        <f t="shared" si="387"/>
        <v>02/2023</v>
      </c>
      <c r="M6168" s="82"/>
      <c r="N6168" s="82"/>
    </row>
    <row r="6169" spans="1:14" x14ac:dyDescent="0.25">
      <c r="A6169" s="170" t="s">
        <v>20543</v>
      </c>
      <c r="B6169" s="170" t="s">
        <v>20544</v>
      </c>
      <c r="C6169" s="170" t="s">
        <v>870</v>
      </c>
      <c r="D6169" s="170" t="s">
        <v>2067</v>
      </c>
      <c r="E6169" s="171" t="s">
        <v>29181</v>
      </c>
      <c r="F6169" s="171" t="s">
        <v>37597</v>
      </c>
      <c r="G6169" s="82"/>
      <c r="H6169" s="96">
        <f t="shared" si="384"/>
        <v>198.1</v>
      </c>
      <c r="I6169" s="96">
        <f t="shared" si="384"/>
        <v>200.05</v>
      </c>
      <c r="J6169" s="91" t="str">
        <f t="shared" si="385"/>
        <v>Sinapi 104610</v>
      </c>
      <c r="K6169" s="91" t="str">
        <f t="shared" si="386"/>
        <v>M2</v>
      </c>
      <c r="L6169" s="166" t="str">
        <f t="shared" si="387"/>
        <v>02/2023</v>
      </c>
      <c r="M6169" s="82"/>
      <c r="N6169" s="82"/>
    </row>
    <row r="6170" spans="1:14" x14ac:dyDescent="0.25">
      <c r="A6170" s="170" t="s">
        <v>8628</v>
      </c>
      <c r="B6170" s="170" t="s">
        <v>11556</v>
      </c>
      <c r="C6170" s="170" t="s">
        <v>870</v>
      </c>
      <c r="D6170" s="170" t="s">
        <v>2067</v>
      </c>
      <c r="E6170" s="171" t="s">
        <v>34511</v>
      </c>
      <c r="F6170" s="171" t="s">
        <v>37598</v>
      </c>
      <c r="G6170" s="82"/>
      <c r="H6170" s="96">
        <f t="shared" si="384"/>
        <v>771.97</v>
      </c>
      <c r="I6170" s="96">
        <f t="shared" si="384"/>
        <v>776.42</v>
      </c>
      <c r="J6170" s="91" t="str">
        <f t="shared" si="385"/>
        <v>Sinapi 98671</v>
      </c>
      <c r="K6170" s="91" t="str">
        <f t="shared" si="386"/>
        <v>M2</v>
      </c>
      <c r="L6170" s="166" t="str">
        <f t="shared" si="387"/>
        <v>09/2020</v>
      </c>
      <c r="M6170" s="82"/>
      <c r="N6170" s="82"/>
    </row>
    <row r="6171" spans="1:14" x14ac:dyDescent="0.25">
      <c r="A6171" s="170" t="s">
        <v>8629</v>
      </c>
      <c r="B6171" s="170" t="s">
        <v>11557</v>
      </c>
      <c r="C6171" s="170" t="s">
        <v>870</v>
      </c>
      <c r="D6171" s="170" t="s">
        <v>2067</v>
      </c>
      <c r="E6171" s="171" t="s">
        <v>34512</v>
      </c>
      <c r="F6171" s="171" t="s">
        <v>37599</v>
      </c>
      <c r="G6171" s="82"/>
      <c r="H6171" s="96">
        <f t="shared" si="384"/>
        <v>941.6</v>
      </c>
      <c r="I6171" s="96">
        <f t="shared" si="384"/>
        <v>946.05</v>
      </c>
      <c r="J6171" s="91" t="str">
        <f t="shared" si="385"/>
        <v>Sinapi 98672</v>
      </c>
      <c r="K6171" s="91" t="str">
        <f t="shared" si="386"/>
        <v>M2</v>
      </c>
      <c r="L6171" s="166" t="str">
        <f t="shared" si="387"/>
        <v>09/2020</v>
      </c>
      <c r="M6171" s="82"/>
      <c r="N6171" s="82"/>
    </row>
    <row r="6172" spans="1:14" x14ac:dyDescent="0.25">
      <c r="A6172" s="170" t="s">
        <v>11558</v>
      </c>
      <c r="B6172" s="170" t="s">
        <v>11559</v>
      </c>
      <c r="C6172" s="170" t="s">
        <v>870</v>
      </c>
      <c r="D6172" s="170" t="s">
        <v>2067</v>
      </c>
      <c r="E6172" s="171" t="s">
        <v>34513</v>
      </c>
      <c r="F6172" s="171" t="s">
        <v>37600</v>
      </c>
      <c r="G6172" s="82"/>
      <c r="H6172" s="96">
        <f t="shared" si="384"/>
        <v>368.26</v>
      </c>
      <c r="I6172" s="96">
        <f t="shared" si="384"/>
        <v>369.81</v>
      </c>
      <c r="J6172" s="91" t="str">
        <f t="shared" si="385"/>
        <v>Sinapi 98678</v>
      </c>
      <c r="K6172" s="91" t="str">
        <f t="shared" si="386"/>
        <v>M2</v>
      </c>
      <c r="L6172" s="166" t="str">
        <f t="shared" si="387"/>
        <v>09/2020</v>
      </c>
      <c r="M6172" s="82"/>
      <c r="N6172" s="82"/>
    </row>
    <row r="6173" spans="1:14" x14ac:dyDescent="0.25">
      <c r="A6173" s="170" t="s">
        <v>8630</v>
      </c>
      <c r="B6173" s="170" t="s">
        <v>11560</v>
      </c>
      <c r="C6173" s="170" t="s">
        <v>870</v>
      </c>
      <c r="D6173" s="170" t="s">
        <v>2067</v>
      </c>
      <c r="E6173" s="171" t="s">
        <v>29073</v>
      </c>
      <c r="F6173" s="171" t="s">
        <v>28789</v>
      </c>
      <c r="G6173" s="82"/>
      <c r="H6173" s="96">
        <f t="shared" si="384"/>
        <v>45.06</v>
      </c>
      <c r="I6173" s="96">
        <f t="shared" si="384"/>
        <v>46.74</v>
      </c>
      <c r="J6173" s="91" t="str">
        <f t="shared" si="385"/>
        <v>Sinapi 98679</v>
      </c>
      <c r="K6173" s="91" t="str">
        <f t="shared" si="386"/>
        <v>M2</v>
      </c>
      <c r="L6173" s="166" t="str">
        <f t="shared" si="387"/>
        <v>09/2020</v>
      </c>
      <c r="M6173" s="82"/>
      <c r="N6173" s="82"/>
    </row>
    <row r="6174" spans="1:14" x14ac:dyDescent="0.25">
      <c r="A6174" s="170" t="s">
        <v>8631</v>
      </c>
      <c r="B6174" s="170" t="s">
        <v>11561</v>
      </c>
      <c r="C6174" s="170" t="s">
        <v>870</v>
      </c>
      <c r="D6174" s="170" t="s">
        <v>2067</v>
      </c>
      <c r="E6174" s="171" t="s">
        <v>21878</v>
      </c>
      <c r="F6174" s="171" t="s">
        <v>37601</v>
      </c>
      <c r="G6174" s="82"/>
      <c r="H6174" s="96">
        <f t="shared" si="384"/>
        <v>57.64</v>
      </c>
      <c r="I6174" s="96">
        <f t="shared" si="384"/>
        <v>59.58</v>
      </c>
      <c r="J6174" s="91" t="str">
        <f t="shared" si="385"/>
        <v>Sinapi 98680</v>
      </c>
      <c r="K6174" s="91" t="str">
        <f t="shared" si="386"/>
        <v>M2</v>
      </c>
      <c r="L6174" s="166" t="str">
        <f t="shared" si="387"/>
        <v>09/2020</v>
      </c>
      <c r="M6174" s="82"/>
      <c r="N6174" s="82"/>
    </row>
    <row r="6175" spans="1:14" x14ac:dyDescent="0.25">
      <c r="A6175" s="170" t="s">
        <v>8632</v>
      </c>
      <c r="B6175" s="170" t="s">
        <v>11562</v>
      </c>
      <c r="C6175" s="170" t="s">
        <v>870</v>
      </c>
      <c r="D6175" s="170" t="s">
        <v>2067</v>
      </c>
      <c r="E6175" s="171" t="s">
        <v>28473</v>
      </c>
      <c r="F6175" s="171" t="s">
        <v>20641</v>
      </c>
      <c r="G6175" s="82"/>
      <c r="H6175" s="96">
        <f t="shared" si="384"/>
        <v>42.54</v>
      </c>
      <c r="I6175" s="96">
        <f t="shared" si="384"/>
        <v>44</v>
      </c>
      <c r="J6175" s="91" t="str">
        <f t="shared" si="385"/>
        <v>Sinapi 98681</v>
      </c>
      <c r="K6175" s="91" t="str">
        <f t="shared" si="386"/>
        <v>M2</v>
      </c>
      <c r="L6175" s="166" t="str">
        <f t="shared" si="387"/>
        <v>09/2020</v>
      </c>
      <c r="M6175" s="82"/>
      <c r="N6175" s="82"/>
    </row>
    <row r="6176" spans="1:14" x14ac:dyDescent="0.25">
      <c r="A6176" s="170" t="s">
        <v>8633</v>
      </c>
      <c r="B6176" s="170" t="s">
        <v>11563</v>
      </c>
      <c r="C6176" s="170" t="s">
        <v>870</v>
      </c>
      <c r="D6176" s="170" t="s">
        <v>2067</v>
      </c>
      <c r="E6176" s="171" t="s">
        <v>25916</v>
      </c>
      <c r="F6176" s="171" t="s">
        <v>37602</v>
      </c>
      <c r="G6176" s="82"/>
      <c r="H6176" s="96">
        <f t="shared" si="384"/>
        <v>55.11</v>
      </c>
      <c r="I6176" s="96">
        <f t="shared" si="384"/>
        <v>56.85</v>
      </c>
      <c r="J6176" s="91" t="str">
        <f t="shared" si="385"/>
        <v>Sinapi 98682</v>
      </c>
      <c r="K6176" s="91" t="str">
        <f t="shared" si="386"/>
        <v>M2</v>
      </c>
      <c r="L6176" s="166" t="str">
        <f t="shared" si="387"/>
        <v>09/2020</v>
      </c>
      <c r="M6176" s="82"/>
      <c r="N6176" s="82"/>
    </row>
    <row r="6177" spans="1:14" x14ac:dyDescent="0.25">
      <c r="A6177" s="170" t="s">
        <v>8634</v>
      </c>
      <c r="B6177" s="170" t="s">
        <v>11564</v>
      </c>
      <c r="C6177" s="170" t="s">
        <v>385</v>
      </c>
      <c r="D6177" s="170" t="s">
        <v>2067</v>
      </c>
      <c r="E6177" s="171" t="s">
        <v>34514</v>
      </c>
      <c r="F6177" s="171" t="s">
        <v>37603</v>
      </c>
      <c r="G6177" s="82"/>
      <c r="H6177" s="96">
        <f t="shared" si="384"/>
        <v>137.69999999999999</v>
      </c>
      <c r="I6177" s="96">
        <f t="shared" si="384"/>
        <v>138.83000000000001</v>
      </c>
      <c r="J6177" s="91" t="str">
        <f t="shared" si="385"/>
        <v>Sinapi 98685</v>
      </c>
      <c r="K6177" s="91" t="str">
        <f t="shared" si="386"/>
        <v>M</v>
      </c>
      <c r="L6177" s="166" t="str">
        <f t="shared" si="387"/>
        <v>09/2020</v>
      </c>
      <c r="M6177" s="82"/>
      <c r="N6177" s="82"/>
    </row>
    <row r="6178" spans="1:14" x14ac:dyDescent="0.25">
      <c r="A6178" s="170" t="s">
        <v>8635</v>
      </c>
      <c r="B6178" s="170" t="s">
        <v>11565</v>
      </c>
      <c r="C6178" s="170" t="s">
        <v>385</v>
      </c>
      <c r="D6178" s="170" t="s">
        <v>1947</v>
      </c>
      <c r="E6178" s="171" t="s">
        <v>23286</v>
      </c>
      <c r="F6178" s="171" t="s">
        <v>22091</v>
      </c>
      <c r="G6178" s="82"/>
      <c r="H6178" s="96">
        <f t="shared" si="384"/>
        <v>39.96</v>
      </c>
      <c r="I6178" s="96">
        <f t="shared" si="384"/>
        <v>43.05</v>
      </c>
      <c r="J6178" s="91" t="str">
        <f t="shared" si="385"/>
        <v>Sinapi 98686</v>
      </c>
      <c r="K6178" s="91" t="str">
        <f t="shared" si="386"/>
        <v>M</v>
      </c>
      <c r="L6178" s="166" t="str">
        <f t="shared" si="387"/>
        <v>09/2020</v>
      </c>
      <c r="M6178" s="82"/>
      <c r="N6178" s="82"/>
    </row>
    <row r="6179" spans="1:14" x14ac:dyDescent="0.25">
      <c r="A6179" s="170" t="s">
        <v>8636</v>
      </c>
      <c r="B6179" s="170" t="s">
        <v>11566</v>
      </c>
      <c r="C6179" s="170" t="s">
        <v>385</v>
      </c>
      <c r="D6179" s="170" t="s">
        <v>1947</v>
      </c>
      <c r="E6179" s="171" t="s">
        <v>28923</v>
      </c>
      <c r="F6179" s="171" t="s">
        <v>37604</v>
      </c>
      <c r="G6179" s="82"/>
      <c r="H6179" s="96">
        <f t="shared" si="384"/>
        <v>68.02</v>
      </c>
      <c r="I6179" s="96">
        <f t="shared" si="384"/>
        <v>68.42</v>
      </c>
      <c r="J6179" s="91" t="str">
        <f t="shared" si="385"/>
        <v>Sinapi 98688</v>
      </c>
      <c r="K6179" s="91" t="str">
        <f t="shared" si="386"/>
        <v>M</v>
      </c>
      <c r="L6179" s="166" t="str">
        <f t="shared" si="387"/>
        <v>09/2020</v>
      </c>
      <c r="M6179" s="82"/>
      <c r="N6179" s="82"/>
    </row>
    <row r="6180" spans="1:14" x14ac:dyDescent="0.25">
      <c r="A6180" s="170" t="s">
        <v>8637</v>
      </c>
      <c r="B6180" s="170" t="s">
        <v>11567</v>
      </c>
      <c r="C6180" s="170" t="s">
        <v>385</v>
      </c>
      <c r="D6180" s="170" t="s">
        <v>2067</v>
      </c>
      <c r="E6180" s="171" t="s">
        <v>34515</v>
      </c>
      <c r="F6180" s="171" t="s">
        <v>37605</v>
      </c>
      <c r="G6180" s="82"/>
      <c r="H6180" s="96">
        <f t="shared" si="384"/>
        <v>191.35</v>
      </c>
      <c r="I6180" s="96">
        <f t="shared" si="384"/>
        <v>193.41</v>
      </c>
      <c r="J6180" s="91" t="str">
        <f t="shared" si="385"/>
        <v>Sinapi 98689</v>
      </c>
      <c r="K6180" s="91" t="str">
        <f t="shared" si="386"/>
        <v>M</v>
      </c>
      <c r="L6180" s="166" t="str">
        <f t="shared" si="387"/>
        <v>09/2020</v>
      </c>
      <c r="M6180" s="82"/>
      <c r="N6180" s="82"/>
    </row>
    <row r="6181" spans="1:14" x14ac:dyDescent="0.25">
      <c r="A6181" s="170" t="s">
        <v>8638</v>
      </c>
      <c r="B6181" s="170" t="s">
        <v>8639</v>
      </c>
      <c r="C6181" s="170" t="s">
        <v>870</v>
      </c>
      <c r="D6181" s="170" t="s">
        <v>1947</v>
      </c>
      <c r="E6181" s="171" t="s">
        <v>29121</v>
      </c>
      <c r="F6181" s="171" t="s">
        <v>37606</v>
      </c>
      <c r="G6181" s="82"/>
      <c r="H6181" s="96">
        <f t="shared" si="384"/>
        <v>207.81</v>
      </c>
      <c r="I6181" s="96">
        <f t="shared" si="384"/>
        <v>210.75</v>
      </c>
      <c r="J6181" s="91" t="str">
        <f t="shared" si="385"/>
        <v>Sinapi 101090</v>
      </c>
      <c r="K6181" s="91" t="str">
        <f t="shared" si="386"/>
        <v>M2</v>
      </c>
      <c r="L6181" s="166" t="str">
        <f t="shared" si="387"/>
        <v>05/2020</v>
      </c>
      <c r="M6181" s="82"/>
      <c r="N6181" s="82"/>
    </row>
    <row r="6182" spans="1:14" x14ac:dyDescent="0.25">
      <c r="A6182" s="170" t="s">
        <v>8640</v>
      </c>
      <c r="B6182" s="170" t="s">
        <v>8641</v>
      </c>
      <c r="C6182" s="170" t="s">
        <v>870</v>
      </c>
      <c r="D6182" s="170" t="s">
        <v>1947</v>
      </c>
      <c r="E6182" s="171" t="s">
        <v>34516</v>
      </c>
      <c r="F6182" s="171" t="s">
        <v>37607</v>
      </c>
      <c r="G6182" s="82"/>
      <c r="H6182" s="96">
        <f t="shared" si="384"/>
        <v>153.41</v>
      </c>
      <c r="I6182" s="96">
        <f t="shared" si="384"/>
        <v>158.06</v>
      </c>
      <c r="J6182" s="91" t="str">
        <f t="shared" si="385"/>
        <v>Sinapi 101091</v>
      </c>
      <c r="K6182" s="91" t="str">
        <f t="shared" si="386"/>
        <v>M2</v>
      </c>
      <c r="L6182" s="166" t="str">
        <f t="shared" si="387"/>
        <v>05/2020</v>
      </c>
      <c r="M6182" s="82"/>
      <c r="N6182" s="82"/>
    </row>
    <row r="6183" spans="1:14" x14ac:dyDescent="0.25">
      <c r="A6183" s="170" t="s">
        <v>11568</v>
      </c>
      <c r="B6183" s="170" t="s">
        <v>11569</v>
      </c>
      <c r="C6183" s="170" t="s">
        <v>870</v>
      </c>
      <c r="D6183" s="170" t="s">
        <v>1947</v>
      </c>
      <c r="E6183" s="171" t="s">
        <v>32871</v>
      </c>
      <c r="F6183" s="171" t="s">
        <v>26150</v>
      </c>
      <c r="G6183" s="82"/>
      <c r="H6183" s="96">
        <f t="shared" si="384"/>
        <v>270.7</v>
      </c>
      <c r="I6183" s="96">
        <f t="shared" si="384"/>
        <v>287.97000000000003</v>
      </c>
      <c r="J6183" s="91" t="str">
        <f t="shared" si="385"/>
        <v>Sinapi 101725</v>
      </c>
      <c r="K6183" s="91" t="str">
        <f t="shared" si="386"/>
        <v>M2</v>
      </c>
      <c r="L6183" s="166" t="str">
        <f t="shared" si="387"/>
        <v>09/2020</v>
      </c>
      <c r="M6183" s="82"/>
      <c r="N6183" s="82"/>
    </row>
    <row r="6184" spans="1:14" x14ac:dyDescent="0.25">
      <c r="A6184" s="170" t="s">
        <v>11570</v>
      </c>
      <c r="B6184" s="170" t="s">
        <v>11571</v>
      </c>
      <c r="C6184" s="170" t="s">
        <v>870</v>
      </c>
      <c r="D6184" s="170" t="s">
        <v>1947</v>
      </c>
      <c r="E6184" s="171" t="s">
        <v>34517</v>
      </c>
      <c r="F6184" s="171" t="s">
        <v>37608</v>
      </c>
      <c r="G6184" s="82"/>
      <c r="H6184" s="96">
        <f t="shared" si="384"/>
        <v>191.2</v>
      </c>
      <c r="I6184" s="96">
        <f t="shared" si="384"/>
        <v>199.47</v>
      </c>
      <c r="J6184" s="91" t="str">
        <f t="shared" si="385"/>
        <v>Sinapi 101726</v>
      </c>
      <c r="K6184" s="91" t="str">
        <f t="shared" si="386"/>
        <v>M2</v>
      </c>
      <c r="L6184" s="166" t="str">
        <f t="shared" si="387"/>
        <v>09/2020</v>
      </c>
      <c r="M6184" s="82"/>
      <c r="N6184" s="82"/>
    </row>
    <row r="6185" spans="1:14" x14ac:dyDescent="0.25">
      <c r="A6185" s="170" t="s">
        <v>11572</v>
      </c>
      <c r="B6185" s="170" t="s">
        <v>11573</v>
      </c>
      <c r="C6185" s="170" t="s">
        <v>870</v>
      </c>
      <c r="D6185" s="170" t="s">
        <v>1947</v>
      </c>
      <c r="E6185" s="171" t="s">
        <v>34518</v>
      </c>
      <c r="F6185" s="171" t="s">
        <v>37609</v>
      </c>
      <c r="G6185" s="82"/>
      <c r="H6185" s="96">
        <f t="shared" si="384"/>
        <v>283.75</v>
      </c>
      <c r="I6185" s="96">
        <f t="shared" si="384"/>
        <v>288.81</v>
      </c>
      <c r="J6185" s="91" t="str">
        <f t="shared" si="385"/>
        <v>Sinapi 101731</v>
      </c>
      <c r="K6185" s="91" t="str">
        <f t="shared" si="386"/>
        <v>M2</v>
      </c>
      <c r="L6185" s="166" t="str">
        <f t="shared" si="387"/>
        <v>09/2020</v>
      </c>
      <c r="M6185" s="82"/>
      <c r="N6185" s="82"/>
    </row>
    <row r="6186" spans="1:14" x14ac:dyDescent="0.25">
      <c r="A6186" s="170" t="s">
        <v>11574</v>
      </c>
      <c r="B6186" s="170" t="s">
        <v>11575</v>
      </c>
      <c r="C6186" s="170" t="s">
        <v>870</v>
      </c>
      <c r="D6186" s="170" t="s">
        <v>1947</v>
      </c>
      <c r="E6186" s="171" t="s">
        <v>22738</v>
      </c>
      <c r="F6186" s="171" t="s">
        <v>37610</v>
      </c>
      <c r="G6186" s="82"/>
      <c r="H6186" s="96">
        <f t="shared" si="384"/>
        <v>94.81</v>
      </c>
      <c r="I6186" s="96">
        <f t="shared" si="384"/>
        <v>98.27</v>
      </c>
      <c r="J6186" s="91" t="str">
        <f t="shared" si="385"/>
        <v>Sinapi 101732</v>
      </c>
      <c r="K6186" s="91" t="str">
        <f t="shared" si="386"/>
        <v>M2</v>
      </c>
      <c r="L6186" s="166" t="str">
        <f t="shared" si="387"/>
        <v>09/2020</v>
      </c>
      <c r="M6186" s="82"/>
      <c r="N6186" s="82"/>
    </row>
    <row r="6187" spans="1:14" x14ac:dyDescent="0.25">
      <c r="A6187" s="170" t="s">
        <v>8642</v>
      </c>
      <c r="B6187" s="170" t="s">
        <v>18474</v>
      </c>
      <c r="C6187" s="170" t="s">
        <v>385</v>
      </c>
      <c r="D6187" s="170" t="s">
        <v>2067</v>
      </c>
      <c r="E6187" s="171" t="s">
        <v>34519</v>
      </c>
      <c r="F6187" s="171" t="s">
        <v>37611</v>
      </c>
      <c r="G6187" s="82"/>
      <c r="H6187" s="96">
        <f t="shared" si="384"/>
        <v>199.25</v>
      </c>
      <c r="I6187" s="96">
        <f t="shared" si="384"/>
        <v>200.9</v>
      </c>
      <c r="J6187" s="91" t="str">
        <f t="shared" si="385"/>
        <v>Sinapi 101094</v>
      </c>
      <c r="K6187" s="91" t="str">
        <f t="shared" si="386"/>
        <v>M</v>
      </c>
      <c r="L6187" s="166" t="str">
        <f t="shared" si="387"/>
        <v>05/2020</v>
      </c>
      <c r="M6187" s="82"/>
      <c r="N6187" s="82"/>
    </row>
    <row r="6188" spans="1:14" x14ac:dyDescent="0.25">
      <c r="A6188" s="170" t="s">
        <v>11576</v>
      </c>
      <c r="B6188" s="170" t="s">
        <v>11577</v>
      </c>
      <c r="C6188" s="170" t="s">
        <v>870</v>
      </c>
      <c r="D6188" s="170" t="s">
        <v>2067</v>
      </c>
      <c r="E6188" s="171" t="s">
        <v>34520</v>
      </c>
      <c r="F6188" s="171" t="s">
        <v>37612</v>
      </c>
      <c r="G6188" s="82"/>
      <c r="H6188" s="96">
        <f t="shared" si="384"/>
        <v>236.98</v>
      </c>
      <c r="I6188" s="96">
        <f t="shared" si="384"/>
        <v>237.62</v>
      </c>
      <c r="J6188" s="91" t="str">
        <f t="shared" si="385"/>
        <v>Sinapi 101727</v>
      </c>
      <c r="K6188" s="91" t="str">
        <f t="shared" si="386"/>
        <v>M2</v>
      </c>
      <c r="L6188" s="166" t="str">
        <f t="shared" si="387"/>
        <v>09/2020</v>
      </c>
      <c r="M6188" s="82"/>
      <c r="N6188" s="82"/>
    </row>
    <row r="6189" spans="1:14" x14ac:dyDescent="0.25">
      <c r="A6189" s="170" t="s">
        <v>11578</v>
      </c>
      <c r="B6189" s="170" t="s">
        <v>11579</v>
      </c>
      <c r="C6189" s="170" t="s">
        <v>870</v>
      </c>
      <c r="D6189" s="170" t="s">
        <v>2067</v>
      </c>
      <c r="E6189" s="171" t="s">
        <v>34521</v>
      </c>
      <c r="F6189" s="171" t="s">
        <v>37613</v>
      </c>
      <c r="G6189" s="82"/>
      <c r="H6189" s="96">
        <f t="shared" si="384"/>
        <v>319.52999999999997</v>
      </c>
      <c r="I6189" s="96">
        <f t="shared" si="384"/>
        <v>322.26</v>
      </c>
      <c r="J6189" s="91" t="str">
        <f t="shared" si="385"/>
        <v>Sinapi 101733</v>
      </c>
      <c r="K6189" s="91" t="str">
        <f t="shared" si="386"/>
        <v>M2</v>
      </c>
      <c r="L6189" s="166" t="str">
        <f t="shared" si="387"/>
        <v>09/2020</v>
      </c>
      <c r="M6189" s="82"/>
      <c r="N6189" s="82"/>
    </row>
    <row r="6190" spans="1:14" x14ac:dyDescent="0.25">
      <c r="A6190" s="170" t="s">
        <v>11580</v>
      </c>
      <c r="B6190" s="170" t="s">
        <v>11581</v>
      </c>
      <c r="C6190" s="170" t="s">
        <v>870</v>
      </c>
      <c r="D6190" s="170" t="s">
        <v>2067</v>
      </c>
      <c r="E6190" s="171" t="s">
        <v>34522</v>
      </c>
      <c r="F6190" s="171" t="s">
        <v>37614</v>
      </c>
      <c r="G6190" s="82"/>
      <c r="H6190" s="96">
        <f t="shared" si="384"/>
        <v>488.56</v>
      </c>
      <c r="I6190" s="96">
        <f t="shared" si="384"/>
        <v>491.29</v>
      </c>
      <c r="J6190" s="91" t="str">
        <f t="shared" si="385"/>
        <v>Sinapi 101734</v>
      </c>
      <c r="K6190" s="91" t="str">
        <f t="shared" si="386"/>
        <v>M2</v>
      </c>
      <c r="L6190" s="166" t="str">
        <f t="shared" si="387"/>
        <v>09/2020</v>
      </c>
      <c r="M6190" s="82"/>
      <c r="N6190" s="82"/>
    </row>
    <row r="6191" spans="1:14" x14ac:dyDescent="0.25">
      <c r="A6191" s="170" t="s">
        <v>11582</v>
      </c>
      <c r="B6191" s="170" t="s">
        <v>11583</v>
      </c>
      <c r="C6191" s="170" t="s">
        <v>870</v>
      </c>
      <c r="D6191" s="170" t="s">
        <v>2067</v>
      </c>
      <c r="E6191" s="171" t="s">
        <v>34523</v>
      </c>
      <c r="F6191" s="171" t="s">
        <v>37615</v>
      </c>
      <c r="G6191" s="82"/>
      <c r="H6191" s="96">
        <f t="shared" si="384"/>
        <v>500.81</v>
      </c>
      <c r="I6191" s="96">
        <f t="shared" si="384"/>
        <v>503.54</v>
      </c>
      <c r="J6191" s="91" t="str">
        <f t="shared" si="385"/>
        <v>Sinapi 101735</v>
      </c>
      <c r="K6191" s="91" t="str">
        <f t="shared" si="386"/>
        <v>M2</v>
      </c>
      <c r="L6191" s="166" t="str">
        <f t="shared" si="387"/>
        <v>09/2020</v>
      </c>
      <c r="M6191" s="82"/>
      <c r="N6191" s="82"/>
    </row>
    <row r="6192" spans="1:14" x14ac:dyDescent="0.25">
      <c r="A6192" s="170" t="s">
        <v>11584</v>
      </c>
      <c r="B6192" s="170" t="s">
        <v>11585</v>
      </c>
      <c r="C6192" s="170" t="s">
        <v>870</v>
      </c>
      <c r="D6192" s="170" t="s">
        <v>2067</v>
      </c>
      <c r="E6192" s="171" t="s">
        <v>27200</v>
      </c>
      <c r="F6192" s="171" t="s">
        <v>33653</v>
      </c>
      <c r="G6192" s="82"/>
      <c r="H6192" s="96">
        <f t="shared" si="384"/>
        <v>118.12</v>
      </c>
      <c r="I6192" s="96">
        <f t="shared" si="384"/>
        <v>119.88</v>
      </c>
      <c r="J6192" s="91" t="str">
        <f t="shared" si="385"/>
        <v>Sinapi 101736</v>
      </c>
      <c r="K6192" s="91" t="str">
        <f t="shared" si="386"/>
        <v>M2</v>
      </c>
      <c r="L6192" s="166" t="str">
        <f t="shared" si="387"/>
        <v>09/2020</v>
      </c>
      <c r="M6192" s="82"/>
      <c r="N6192" s="82"/>
    </row>
    <row r="6193" spans="1:14" x14ac:dyDescent="0.25">
      <c r="A6193" s="170" t="s">
        <v>11586</v>
      </c>
      <c r="B6193" s="170" t="s">
        <v>11587</v>
      </c>
      <c r="C6193" s="170" t="s">
        <v>870</v>
      </c>
      <c r="D6193" s="170" t="s">
        <v>2067</v>
      </c>
      <c r="E6193" s="171" t="s">
        <v>34524</v>
      </c>
      <c r="F6193" s="171" t="s">
        <v>36424</v>
      </c>
      <c r="G6193" s="82"/>
      <c r="H6193" s="96">
        <f t="shared" si="384"/>
        <v>142.38</v>
      </c>
      <c r="I6193" s="96">
        <f t="shared" si="384"/>
        <v>144.13999999999999</v>
      </c>
      <c r="J6193" s="91" t="str">
        <f t="shared" si="385"/>
        <v>Sinapi 101737</v>
      </c>
      <c r="K6193" s="91" t="str">
        <f t="shared" si="386"/>
        <v>M2</v>
      </c>
      <c r="L6193" s="166" t="str">
        <f t="shared" si="387"/>
        <v>09/2020</v>
      </c>
      <c r="M6193" s="82"/>
      <c r="N6193" s="82"/>
    </row>
    <row r="6194" spans="1:14" x14ac:dyDescent="0.25">
      <c r="A6194" s="170" t="s">
        <v>11588</v>
      </c>
      <c r="B6194" s="170" t="s">
        <v>11589</v>
      </c>
      <c r="C6194" s="170" t="s">
        <v>870</v>
      </c>
      <c r="D6194" s="170" t="s">
        <v>1947</v>
      </c>
      <c r="E6194" s="171" t="s">
        <v>15796</v>
      </c>
      <c r="F6194" s="171" t="s">
        <v>15516</v>
      </c>
      <c r="G6194" s="82"/>
      <c r="H6194" s="96">
        <f t="shared" si="384"/>
        <v>3.14</v>
      </c>
      <c r="I6194" s="96">
        <f t="shared" si="384"/>
        <v>3.48</v>
      </c>
      <c r="J6194" s="91" t="str">
        <f t="shared" si="385"/>
        <v>Sinapi 101748</v>
      </c>
      <c r="K6194" s="91" t="str">
        <f t="shared" si="386"/>
        <v>M2</v>
      </c>
      <c r="L6194" s="166" t="str">
        <f t="shared" si="387"/>
        <v>09/2020</v>
      </c>
      <c r="M6194" s="82"/>
      <c r="N6194" s="82"/>
    </row>
    <row r="6195" spans="1:14" x14ac:dyDescent="0.25">
      <c r="A6195" s="170" t="s">
        <v>17136</v>
      </c>
      <c r="B6195" s="170" t="s">
        <v>17137</v>
      </c>
      <c r="C6195" s="170" t="s">
        <v>870</v>
      </c>
      <c r="D6195" s="170" t="s">
        <v>1947</v>
      </c>
      <c r="E6195" s="171" t="s">
        <v>34525</v>
      </c>
      <c r="F6195" s="171" t="s">
        <v>37616</v>
      </c>
      <c r="G6195" s="82"/>
      <c r="H6195" s="96">
        <f t="shared" si="384"/>
        <v>131.76</v>
      </c>
      <c r="I6195" s="96">
        <f t="shared" si="384"/>
        <v>135.79</v>
      </c>
      <c r="J6195" s="91" t="str">
        <f t="shared" si="385"/>
        <v>Sinapi 104162</v>
      </c>
      <c r="K6195" s="91" t="str">
        <f t="shared" si="386"/>
        <v>M2</v>
      </c>
      <c r="L6195" s="166" t="str">
        <f t="shared" si="387"/>
        <v>06/2022</v>
      </c>
      <c r="M6195" s="82"/>
      <c r="N6195" s="82"/>
    </row>
    <row r="6196" spans="1:14" x14ac:dyDescent="0.25">
      <c r="A6196" s="170" t="s">
        <v>8643</v>
      </c>
      <c r="B6196" s="170" t="s">
        <v>8644</v>
      </c>
      <c r="C6196" s="170" t="s">
        <v>870</v>
      </c>
      <c r="D6196" s="170" t="s">
        <v>2067</v>
      </c>
      <c r="E6196" s="171" t="s">
        <v>34526</v>
      </c>
      <c r="F6196" s="171" t="s">
        <v>37617</v>
      </c>
      <c r="G6196" s="82"/>
      <c r="H6196" s="96">
        <f t="shared" si="384"/>
        <v>781.5</v>
      </c>
      <c r="I6196" s="96">
        <f t="shared" si="384"/>
        <v>787.04</v>
      </c>
      <c r="J6196" s="91" t="str">
        <f t="shared" si="385"/>
        <v>Sinapi 101092</v>
      </c>
      <c r="K6196" s="91" t="str">
        <f t="shared" si="386"/>
        <v>M2</v>
      </c>
      <c r="L6196" s="166" t="str">
        <f t="shared" si="387"/>
        <v>05/2020</v>
      </c>
      <c r="M6196" s="82"/>
      <c r="N6196" s="82"/>
    </row>
    <row r="6197" spans="1:14" x14ac:dyDescent="0.25">
      <c r="A6197" s="170" t="s">
        <v>8645</v>
      </c>
      <c r="B6197" s="170" t="s">
        <v>8646</v>
      </c>
      <c r="C6197" s="170" t="s">
        <v>870</v>
      </c>
      <c r="D6197" s="170" t="s">
        <v>2067</v>
      </c>
      <c r="E6197" s="171" t="s">
        <v>34527</v>
      </c>
      <c r="F6197" s="171" t="s">
        <v>37618</v>
      </c>
      <c r="G6197" s="82"/>
      <c r="H6197" s="96">
        <f t="shared" si="384"/>
        <v>951.13</v>
      </c>
      <c r="I6197" s="96">
        <f t="shared" si="384"/>
        <v>956.67</v>
      </c>
      <c r="J6197" s="91" t="str">
        <f t="shared" si="385"/>
        <v>Sinapi 101093</v>
      </c>
      <c r="K6197" s="91" t="str">
        <f t="shared" si="386"/>
        <v>M2</v>
      </c>
      <c r="L6197" s="166" t="str">
        <f t="shared" si="387"/>
        <v>05/2020</v>
      </c>
      <c r="M6197" s="82"/>
      <c r="N6197" s="82"/>
    </row>
    <row r="6198" spans="1:14" x14ac:dyDescent="0.25">
      <c r="A6198" s="170" t="s">
        <v>8647</v>
      </c>
      <c r="B6198" s="170" t="s">
        <v>11590</v>
      </c>
      <c r="C6198" s="170" t="s">
        <v>385</v>
      </c>
      <c r="D6198" s="170" t="s">
        <v>2067</v>
      </c>
      <c r="E6198" s="171" t="s">
        <v>29082</v>
      </c>
      <c r="F6198" s="171" t="s">
        <v>30910</v>
      </c>
      <c r="G6198" s="82"/>
      <c r="H6198" s="96">
        <f t="shared" si="384"/>
        <v>156.07</v>
      </c>
      <c r="I6198" s="96">
        <f t="shared" si="384"/>
        <v>158.13</v>
      </c>
      <c r="J6198" s="91" t="str">
        <f t="shared" si="385"/>
        <v>Sinapi 98695</v>
      </c>
      <c r="K6198" s="91" t="str">
        <f t="shared" si="386"/>
        <v>M</v>
      </c>
      <c r="L6198" s="166" t="str">
        <f t="shared" si="387"/>
        <v>09/2020</v>
      </c>
      <c r="M6198" s="82"/>
      <c r="N6198" s="82"/>
    </row>
    <row r="6199" spans="1:14" x14ac:dyDescent="0.25">
      <c r="A6199" s="170" t="s">
        <v>8648</v>
      </c>
      <c r="B6199" s="170" t="s">
        <v>11591</v>
      </c>
      <c r="C6199" s="170" t="s">
        <v>385</v>
      </c>
      <c r="D6199" s="170" t="s">
        <v>2067</v>
      </c>
      <c r="E6199" s="171" t="s">
        <v>34528</v>
      </c>
      <c r="F6199" s="171" t="s">
        <v>37619</v>
      </c>
      <c r="G6199" s="82"/>
      <c r="H6199" s="96">
        <f t="shared" si="384"/>
        <v>105.55</v>
      </c>
      <c r="I6199" s="96">
        <f t="shared" si="384"/>
        <v>106.68</v>
      </c>
      <c r="J6199" s="91" t="str">
        <f t="shared" si="385"/>
        <v>Sinapi 98697</v>
      </c>
      <c r="K6199" s="91" t="str">
        <f t="shared" si="386"/>
        <v>M</v>
      </c>
      <c r="L6199" s="166" t="str">
        <f t="shared" si="387"/>
        <v>09/2020</v>
      </c>
      <c r="M6199" s="82"/>
      <c r="N6199" s="82"/>
    </row>
    <row r="6200" spans="1:14" x14ac:dyDescent="0.25">
      <c r="A6200" s="170" t="s">
        <v>11592</v>
      </c>
      <c r="B6200" s="170" t="s">
        <v>11593</v>
      </c>
      <c r="C6200" s="170" t="s">
        <v>385</v>
      </c>
      <c r="D6200" s="170" t="s">
        <v>2067</v>
      </c>
      <c r="E6200" s="171" t="s">
        <v>34529</v>
      </c>
      <c r="F6200" s="171" t="s">
        <v>34483</v>
      </c>
      <c r="G6200" s="82"/>
      <c r="H6200" s="96">
        <f t="shared" si="384"/>
        <v>20.57</v>
      </c>
      <c r="I6200" s="96">
        <f t="shared" si="384"/>
        <v>21.87</v>
      </c>
      <c r="J6200" s="91" t="str">
        <f t="shared" si="385"/>
        <v>Sinapi 101738</v>
      </c>
      <c r="K6200" s="91" t="str">
        <f t="shared" si="386"/>
        <v>M</v>
      </c>
      <c r="L6200" s="166" t="str">
        <f t="shared" si="387"/>
        <v>09/2020</v>
      </c>
      <c r="M6200" s="82"/>
      <c r="N6200" s="82"/>
    </row>
    <row r="6201" spans="1:14" x14ac:dyDescent="0.25">
      <c r="A6201" s="170" t="s">
        <v>11594</v>
      </c>
      <c r="B6201" s="170" t="s">
        <v>11595</v>
      </c>
      <c r="C6201" s="170" t="s">
        <v>385</v>
      </c>
      <c r="D6201" s="170" t="s">
        <v>2067</v>
      </c>
      <c r="E6201" s="171" t="s">
        <v>33017</v>
      </c>
      <c r="F6201" s="171" t="s">
        <v>28836</v>
      </c>
      <c r="G6201" s="82"/>
      <c r="H6201" s="96">
        <f t="shared" si="384"/>
        <v>23.15</v>
      </c>
      <c r="I6201" s="96">
        <f t="shared" si="384"/>
        <v>24.68</v>
      </c>
      <c r="J6201" s="91" t="str">
        <f t="shared" si="385"/>
        <v>Sinapi 101739</v>
      </c>
      <c r="K6201" s="91" t="str">
        <f t="shared" si="386"/>
        <v>M</v>
      </c>
      <c r="L6201" s="166" t="str">
        <f t="shared" si="387"/>
        <v>09/2020</v>
      </c>
      <c r="M6201" s="82"/>
      <c r="N6201" s="82"/>
    </row>
    <row r="6202" spans="1:14" x14ac:dyDescent="0.25">
      <c r="A6202" s="170" t="s">
        <v>8649</v>
      </c>
      <c r="B6202" s="170" t="s">
        <v>20545</v>
      </c>
      <c r="C6202" s="170" t="s">
        <v>385</v>
      </c>
      <c r="D6202" s="170" t="s">
        <v>2067</v>
      </c>
      <c r="E6202" s="171" t="s">
        <v>21906</v>
      </c>
      <c r="F6202" s="171" t="s">
        <v>22766</v>
      </c>
      <c r="G6202" s="82"/>
      <c r="H6202" s="96">
        <f t="shared" si="384"/>
        <v>9.75</v>
      </c>
      <c r="I6202" s="96">
        <f t="shared" si="384"/>
        <v>10.01</v>
      </c>
      <c r="J6202" s="91" t="str">
        <f t="shared" si="385"/>
        <v>Sinapi 88648</v>
      </c>
      <c r="K6202" s="91" t="str">
        <f t="shared" si="386"/>
        <v>M</v>
      </c>
      <c r="L6202" s="166" t="str">
        <f t="shared" si="387"/>
        <v>02/2023</v>
      </c>
      <c r="M6202" s="82"/>
      <c r="N6202" s="82"/>
    </row>
    <row r="6203" spans="1:14" x14ac:dyDescent="0.25">
      <c r="A6203" s="170" t="s">
        <v>8650</v>
      </c>
      <c r="B6203" s="170" t="s">
        <v>20546</v>
      </c>
      <c r="C6203" s="170" t="s">
        <v>385</v>
      </c>
      <c r="D6203" s="170" t="s">
        <v>2067</v>
      </c>
      <c r="E6203" s="171" t="s">
        <v>15519</v>
      </c>
      <c r="F6203" s="171" t="s">
        <v>12581</v>
      </c>
      <c r="G6203" s="82"/>
      <c r="H6203" s="96">
        <f t="shared" si="384"/>
        <v>11.22</v>
      </c>
      <c r="I6203" s="96">
        <f t="shared" si="384"/>
        <v>11.49</v>
      </c>
      <c r="J6203" s="91" t="str">
        <f t="shared" si="385"/>
        <v>Sinapi 88649</v>
      </c>
      <c r="K6203" s="91" t="str">
        <f t="shared" si="386"/>
        <v>M</v>
      </c>
      <c r="L6203" s="166" t="str">
        <f t="shared" si="387"/>
        <v>02/2023</v>
      </c>
      <c r="M6203" s="82"/>
      <c r="N6203" s="82"/>
    </row>
    <row r="6204" spans="1:14" x14ac:dyDescent="0.25">
      <c r="A6204" s="170" t="s">
        <v>8651</v>
      </c>
      <c r="B6204" s="170" t="s">
        <v>20547</v>
      </c>
      <c r="C6204" s="170" t="s">
        <v>385</v>
      </c>
      <c r="D6204" s="170" t="s">
        <v>2067</v>
      </c>
      <c r="E6204" s="171" t="s">
        <v>17965</v>
      </c>
      <c r="F6204" s="171" t="s">
        <v>21517</v>
      </c>
      <c r="G6204" s="82"/>
      <c r="H6204" s="96">
        <f t="shared" si="384"/>
        <v>23.11</v>
      </c>
      <c r="I6204" s="96">
        <f t="shared" si="384"/>
        <v>23.41</v>
      </c>
      <c r="J6204" s="91" t="str">
        <f t="shared" si="385"/>
        <v>Sinapi 88650</v>
      </c>
      <c r="K6204" s="91" t="str">
        <f t="shared" si="386"/>
        <v>M</v>
      </c>
      <c r="L6204" s="166" t="str">
        <f t="shared" si="387"/>
        <v>02/2023</v>
      </c>
      <c r="M6204" s="82"/>
      <c r="N6204" s="82"/>
    </row>
    <row r="6205" spans="1:14" x14ac:dyDescent="0.25">
      <c r="A6205" s="170" t="s">
        <v>8652</v>
      </c>
      <c r="B6205" s="170" t="s">
        <v>20548</v>
      </c>
      <c r="C6205" s="170" t="s">
        <v>385</v>
      </c>
      <c r="D6205" s="170" t="s">
        <v>2067</v>
      </c>
      <c r="E6205" s="171" t="s">
        <v>6687</v>
      </c>
      <c r="F6205" s="171" t="s">
        <v>6790</v>
      </c>
      <c r="G6205" s="82"/>
      <c r="H6205" s="96">
        <f t="shared" si="384"/>
        <v>8.7100000000000009</v>
      </c>
      <c r="I6205" s="96">
        <f t="shared" si="384"/>
        <v>8.9700000000000006</v>
      </c>
      <c r="J6205" s="91" t="str">
        <f t="shared" si="385"/>
        <v>Sinapi 96467</v>
      </c>
      <c r="K6205" s="91" t="str">
        <f t="shared" si="386"/>
        <v>M</v>
      </c>
      <c r="L6205" s="166" t="str">
        <f t="shared" si="387"/>
        <v>02/2023</v>
      </c>
      <c r="M6205" s="82"/>
      <c r="N6205" s="82"/>
    </row>
    <row r="6206" spans="1:14" x14ac:dyDescent="0.25">
      <c r="A6206" s="170" t="s">
        <v>11596</v>
      </c>
      <c r="B6206" s="170" t="s">
        <v>11597</v>
      </c>
      <c r="C6206" s="170" t="s">
        <v>385</v>
      </c>
      <c r="D6206" s="170" t="s">
        <v>1947</v>
      </c>
      <c r="E6206" s="171" t="s">
        <v>28464</v>
      </c>
      <c r="F6206" s="171" t="s">
        <v>37620</v>
      </c>
      <c r="G6206" s="82"/>
      <c r="H6206" s="96">
        <f t="shared" si="384"/>
        <v>43.37</v>
      </c>
      <c r="I6206" s="96">
        <f t="shared" si="384"/>
        <v>46.46</v>
      </c>
      <c r="J6206" s="91" t="str">
        <f t="shared" si="385"/>
        <v>Sinapi 101740</v>
      </c>
      <c r="K6206" s="91" t="str">
        <f t="shared" si="386"/>
        <v>M</v>
      </c>
      <c r="L6206" s="166" t="str">
        <f t="shared" si="387"/>
        <v>09/2020</v>
      </c>
      <c r="M6206" s="82"/>
      <c r="N6206" s="82"/>
    </row>
    <row r="6207" spans="1:14" x14ac:dyDescent="0.25">
      <c r="A6207" s="170" t="s">
        <v>11598</v>
      </c>
      <c r="B6207" s="170" t="s">
        <v>11599</v>
      </c>
      <c r="C6207" s="170" t="s">
        <v>385</v>
      </c>
      <c r="D6207" s="170" t="s">
        <v>2067</v>
      </c>
      <c r="E6207" s="171" t="s">
        <v>21364</v>
      </c>
      <c r="F6207" s="171" t="s">
        <v>30828</v>
      </c>
      <c r="G6207" s="82"/>
      <c r="H6207" s="96">
        <f t="shared" si="384"/>
        <v>22.59</v>
      </c>
      <c r="I6207" s="96">
        <f t="shared" si="384"/>
        <v>24.72</v>
      </c>
      <c r="J6207" s="91" t="str">
        <f t="shared" si="385"/>
        <v>Sinapi 101741</v>
      </c>
      <c r="K6207" s="91" t="str">
        <f t="shared" si="386"/>
        <v>M</v>
      </c>
      <c r="L6207" s="166" t="str">
        <f t="shared" si="387"/>
        <v>09/2020</v>
      </c>
      <c r="M6207" s="82"/>
      <c r="N6207" s="82"/>
    </row>
    <row r="6208" spans="1:14" x14ac:dyDescent="0.25">
      <c r="A6208" s="170" t="s">
        <v>8653</v>
      </c>
      <c r="B6208" s="170" t="s">
        <v>17708</v>
      </c>
      <c r="C6208" s="170" t="s">
        <v>85</v>
      </c>
      <c r="D6208" s="170" t="s">
        <v>2067</v>
      </c>
      <c r="E6208" s="171" t="s">
        <v>34530</v>
      </c>
      <c r="F6208" s="171" t="s">
        <v>37621</v>
      </c>
      <c r="G6208" s="82"/>
      <c r="H6208" s="96">
        <f t="shared" si="384"/>
        <v>1011.45</v>
      </c>
      <c r="I6208" s="96">
        <f t="shared" si="384"/>
        <v>1036.6600000000001</v>
      </c>
      <c r="J6208" s="91" t="str">
        <f t="shared" si="385"/>
        <v>Sinapi 94990</v>
      </c>
      <c r="K6208" s="91" t="str">
        <f t="shared" si="386"/>
        <v>M3</v>
      </c>
      <c r="L6208" s="166" t="str">
        <f t="shared" si="387"/>
        <v>08/2022</v>
      </c>
      <c r="M6208" s="82"/>
      <c r="N6208" s="82"/>
    </row>
    <row r="6209" spans="1:14" x14ac:dyDescent="0.25">
      <c r="A6209" s="170" t="s">
        <v>8654</v>
      </c>
      <c r="B6209" s="170" t="s">
        <v>20549</v>
      </c>
      <c r="C6209" s="170" t="s">
        <v>85</v>
      </c>
      <c r="D6209" s="170" t="s">
        <v>2067</v>
      </c>
      <c r="E6209" s="171" t="s">
        <v>34531</v>
      </c>
      <c r="F6209" s="171" t="s">
        <v>37622</v>
      </c>
      <c r="G6209" s="82"/>
      <c r="H6209" s="96">
        <f t="shared" si="384"/>
        <v>1456.83</v>
      </c>
      <c r="I6209" s="96">
        <f t="shared" si="384"/>
        <v>1465.23</v>
      </c>
      <c r="J6209" s="91" t="str">
        <f t="shared" si="385"/>
        <v>Sinapi 94991</v>
      </c>
      <c r="K6209" s="91" t="str">
        <f t="shared" si="386"/>
        <v>M3</v>
      </c>
      <c r="L6209" s="166" t="str">
        <f t="shared" si="387"/>
        <v>08/2022</v>
      </c>
      <c r="M6209" s="82"/>
      <c r="N6209" s="82"/>
    </row>
    <row r="6210" spans="1:14" x14ac:dyDescent="0.25">
      <c r="A6210" s="170" t="s">
        <v>8655</v>
      </c>
      <c r="B6210" s="170" t="s">
        <v>17709</v>
      </c>
      <c r="C6210" s="170" t="s">
        <v>870</v>
      </c>
      <c r="D6210" s="170" t="s">
        <v>1947</v>
      </c>
      <c r="E6210" s="171" t="s">
        <v>34532</v>
      </c>
      <c r="F6210" s="171" t="s">
        <v>37623</v>
      </c>
      <c r="G6210" s="82"/>
      <c r="H6210" s="96">
        <f t="shared" si="384"/>
        <v>89.28</v>
      </c>
      <c r="I6210" s="96">
        <f t="shared" si="384"/>
        <v>91.09</v>
      </c>
      <c r="J6210" s="91" t="str">
        <f t="shared" si="385"/>
        <v>Sinapi 94992</v>
      </c>
      <c r="K6210" s="91" t="str">
        <f t="shared" si="386"/>
        <v>M2</v>
      </c>
      <c r="L6210" s="166" t="str">
        <f t="shared" si="387"/>
        <v>08/2022</v>
      </c>
      <c r="M6210" s="82"/>
      <c r="N6210" s="82"/>
    </row>
    <row r="6211" spans="1:14" x14ac:dyDescent="0.25">
      <c r="A6211" s="170" t="s">
        <v>8656</v>
      </c>
      <c r="B6211" s="170" t="s">
        <v>17710</v>
      </c>
      <c r="C6211" s="170" t="s">
        <v>870</v>
      </c>
      <c r="D6211" s="170" t="s">
        <v>1947</v>
      </c>
      <c r="E6211" s="171" t="s">
        <v>34533</v>
      </c>
      <c r="F6211" s="171" t="s">
        <v>33682</v>
      </c>
      <c r="G6211" s="82"/>
      <c r="H6211" s="96">
        <f t="shared" si="384"/>
        <v>116</v>
      </c>
      <c r="I6211" s="96">
        <f t="shared" si="384"/>
        <v>116.81</v>
      </c>
      <c r="J6211" s="91" t="str">
        <f t="shared" si="385"/>
        <v>Sinapi 94993</v>
      </c>
      <c r="K6211" s="91" t="str">
        <f t="shared" si="386"/>
        <v>M2</v>
      </c>
      <c r="L6211" s="166" t="str">
        <f t="shared" si="387"/>
        <v>08/2022</v>
      </c>
      <c r="M6211" s="82"/>
      <c r="N6211" s="82"/>
    </row>
    <row r="6212" spans="1:14" x14ac:dyDescent="0.25">
      <c r="A6212" s="170" t="s">
        <v>8657</v>
      </c>
      <c r="B6212" s="170" t="s">
        <v>17711</v>
      </c>
      <c r="C6212" s="170" t="s">
        <v>870</v>
      </c>
      <c r="D6212" s="170" t="s">
        <v>1947</v>
      </c>
      <c r="E6212" s="171" t="s">
        <v>24667</v>
      </c>
      <c r="F6212" s="171" t="s">
        <v>37624</v>
      </c>
      <c r="G6212" s="82"/>
      <c r="H6212" s="96">
        <f t="shared" si="384"/>
        <v>109.8</v>
      </c>
      <c r="I6212" s="96">
        <f t="shared" si="384"/>
        <v>112.18</v>
      </c>
      <c r="J6212" s="91" t="str">
        <f t="shared" si="385"/>
        <v>Sinapi 94994</v>
      </c>
      <c r="K6212" s="91" t="str">
        <f t="shared" si="386"/>
        <v>M2</v>
      </c>
      <c r="L6212" s="166" t="str">
        <f t="shared" si="387"/>
        <v>08/2022</v>
      </c>
      <c r="M6212" s="82"/>
      <c r="N6212" s="82"/>
    </row>
    <row r="6213" spans="1:14" x14ac:dyDescent="0.25">
      <c r="A6213" s="170" t="s">
        <v>8658</v>
      </c>
      <c r="B6213" s="170" t="s">
        <v>17712</v>
      </c>
      <c r="C6213" s="170" t="s">
        <v>870</v>
      </c>
      <c r="D6213" s="170" t="s">
        <v>1947</v>
      </c>
      <c r="E6213" s="171" t="s">
        <v>28680</v>
      </c>
      <c r="F6213" s="171" t="s">
        <v>37625</v>
      </c>
      <c r="G6213" s="82"/>
      <c r="H6213" s="96">
        <f t="shared" si="384"/>
        <v>145.43</v>
      </c>
      <c r="I6213" s="96">
        <f t="shared" si="384"/>
        <v>146.44999999999999</v>
      </c>
      <c r="J6213" s="91" t="str">
        <f t="shared" si="385"/>
        <v>Sinapi 94995</v>
      </c>
      <c r="K6213" s="91" t="str">
        <f t="shared" si="386"/>
        <v>M2</v>
      </c>
      <c r="L6213" s="166" t="str">
        <f t="shared" si="387"/>
        <v>08/2022</v>
      </c>
      <c r="M6213" s="82"/>
      <c r="N6213" s="82"/>
    </row>
    <row r="6214" spans="1:14" x14ac:dyDescent="0.25">
      <c r="A6214" s="170" t="s">
        <v>11600</v>
      </c>
      <c r="B6214" s="170" t="s">
        <v>11601</v>
      </c>
      <c r="C6214" s="170" t="s">
        <v>870</v>
      </c>
      <c r="D6214" s="170" t="s">
        <v>1947</v>
      </c>
      <c r="E6214" s="171" t="s">
        <v>34534</v>
      </c>
      <c r="F6214" s="171" t="s">
        <v>37626</v>
      </c>
      <c r="G6214" s="82"/>
      <c r="H6214" s="96">
        <f t="shared" si="384"/>
        <v>135.96</v>
      </c>
      <c r="I6214" s="96">
        <f t="shared" si="384"/>
        <v>136.37</v>
      </c>
      <c r="J6214" s="91" t="str">
        <f t="shared" si="385"/>
        <v>Sinapi 101747</v>
      </c>
      <c r="K6214" s="91" t="str">
        <f t="shared" si="386"/>
        <v>M2</v>
      </c>
      <c r="L6214" s="166" t="str">
        <f t="shared" si="387"/>
        <v>09/2020</v>
      </c>
      <c r="M6214" s="82"/>
      <c r="N6214" s="82"/>
    </row>
    <row r="6215" spans="1:14" x14ac:dyDescent="0.25">
      <c r="A6215" s="170" t="s">
        <v>20550</v>
      </c>
      <c r="B6215" s="170" t="s">
        <v>20551</v>
      </c>
      <c r="C6215" s="170" t="s">
        <v>85</v>
      </c>
      <c r="D6215" s="170" t="s">
        <v>2067</v>
      </c>
      <c r="E6215" s="171" t="s">
        <v>34535</v>
      </c>
      <c r="F6215" s="171" t="s">
        <v>37627</v>
      </c>
      <c r="G6215" s="82"/>
      <c r="H6215" s="96">
        <f t="shared" si="384"/>
        <v>1495.18</v>
      </c>
      <c r="I6215" s="96">
        <f t="shared" si="384"/>
        <v>1503.58</v>
      </c>
      <c r="J6215" s="91" t="str">
        <f t="shared" si="385"/>
        <v>Sinapi 104626</v>
      </c>
      <c r="K6215" s="91" t="str">
        <f t="shared" si="386"/>
        <v>M3</v>
      </c>
      <c r="L6215" s="166" t="str">
        <f t="shared" si="387"/>
        <v>03/2023</v>
      </c>
      <c r="M6215" s="82"/>
      <c r="N6215" s="82"/>
    </row>
    <row r="6216" spans="1:14" x14ac:dyDescent="0.25">
      <c r="A6216" s="170" t="s">
        <v>21974</v>
      </c>
      <c r="B6216" s="170" t="s">
        <v>21975</v>
      </c>
      <c r="C6216" s="170" t="s">
        <v>870</v>
      </c>
      <c r="D6216" s="170" t="s">
        <v>2067</v>
      </c>
      <c r="E6216" s="171" t="s">
        <v>34536</v>
      </c>
      <c r="F6216" s="171" t="s">
        <v>37628</v>
      </c>
      <c r="G6216" s="82"/>
      <c r="H6216" s="96">
        <f t="shared" ref="H6216:I6279" si="388">IF(E6216="","",E6216+0)</f>
        <v>257.22000000000003</v>
      </c>
      <c r="I6216" s="96">
        <f t="shared" si="388"/>
        <v>265.7</v>
      </c>
      <c r="J6216" s="91" t="str">
        <f t="shared" ref="J6216:J6279" si="389">IF(OR(H6216="",I6216=""),"",TRIM(CONCATENATE("Sinapi ",A6216)))</f>
        <v>Sinapi 104658</v>
      </c>
      <c r="K6216" s="91" t="str">
        <f t="shared" ref="K6216:K6279" si="390">TRIM(C6216)</f>
        <v>M2</v>
      </c>
      <c r="L6216" s="166" t="str">
        <f t="shared" ref="L6216:L6279" si="391">IF(OR(RIGHT(IF(AND(K6216&lt;&gt;"H",K6216&lt;&gt;"MES"),RIGHT(B6216,7),""),2)="PS",RIGHT(IF(AND(K6216&lt;&gt;"H",K6216&lt;&gt;"MES"),RIGHT(B6216,7),""),2)="PA",RIGHT(IF(AND(K6216&lt;&gt;"H",K6216&lt;&gt;"MES"),RIGHT(B6216,7),""),2)="PE"),LEFT(IF(AND(K6216&lt;&gt;"H",K6216&lt;&gt;"MES"),RIGHT(B6216,10),""),7),IF(AND(K6216&lt;&gt;"H",K6216&lt;&gt;"MES"),RIGHT(B6216,7),""))</f>
        <v>05/2023</v>
      </c>
      <c r="M6216" s="82"/>
      <c r="N6216" s="82"/>
    </row>
    <row r="6217" spans="1:14" x14ac:dyDescent="0.25">
      <c r="A6217" s="170" t="s">
        <v>8659</v>
      </c>
      <c r="B6217" s="170" t="s">
        <v>14257</v>
      </c>
      <c r="C6217" s="170" t="s">
        <v>870</v>
      </c>
      <c r="D6217" s="170" t="s">
        <v>2067</v>
      </c>
      <c r="E6217" s="171" t="s">
        <v>29332</v>
      </c>
      <c r="F6217" s="171" t="s">
        <v>20642</v>
      </c>
      <c r="G6217" s="82"/>
      <c r="H6217" s="96">
        <f t="shared" si="388"/>
        <v>36.56</v>
      </c>
      <c r="I6217" s="96">
        <f t="shared" si="388"/>
        <v>37.74</v>
      </c>
      <c r="J6217" s="91" t="str">
        <f t="shared" si="389"/>
        <v>Sinapi 87620</v>
      </c>
      <c r="K6217" s="91" t="str">
        <f t="shared" si="390"/>
        <v>M2</v>
      </c>
      <c r="L6217" s="166" t="str">
        <f t="shared" si="391"/>
        <v>07/2021</v>
      </c>
      <c r="M6217" s="82"/>
      <c r="N6217" s="82"/>
    </row>
    <row r="6218" spans="1:14" x14ac:dyDescent="0.25">
      <c r="A6218" s="170" t="s">
        <v>8660</v>
      </c>
      <c r="B6218" s="170" t="s">
        <v>14258</v>
      </c>
      <c r="C6218" s="170" t="s">
        <v>870</v>
      </c>
      <c r="D6218" s="170" t="s">
        <v>2067</v>
      </c>
      <c r="E6218" s="171" t="s">
        <v>20650</v>
      </c>
      <c r="F6218" s="171" t="s">
        <v>37629</v>
      </c>
      <c r="G6218" s="82"/>
      <c r="H6218" s="96">
        <f t="shared" si="388"/>
        <v>39.31</v>
      </c>
      <c r="I6218" s="96">
        <f t="shared" si="388"/>
        <v>40.770000000000003</v>
      </c>
      <c r="J6218" s="91" t="str">
        <f t="shared" si="389"/>
        <v>Sinapi 87622</v>
      </c>
      <c r="K6218" s="91" t="str">
        <f t="shared" si="390"/>
        <v>M2</v>
      </c>
      <c r="L6218" s="166" t="str">
        <f t="shared" si="391"/>
        <v>07/2021</v>
      </c>
      <c r="M6218" s="82"/>
      <c r="N6218" s="82"/>
    </row>
    <row r="6219" spans="1:14" x14ac:dyDescent="0.25">
      <c r="A6219" s="170" t="s">
        <v>8661</v>
      </c>
      <c r="B6219" s="170" t="s">
        <v>14259</v>
      </c>
      <c r="C6219" s="170" t="s">
        <v>870</v>
      </c>
      <c r="D6219" s="170" t="s">
        <v>2067</v>
      </c>
      <c r="E6219" s="171" t="s">
        <v>21189</v>
      </c>
      <c r="F6219" s="171" t="s">
        <v>37630</v>
      </c>
      <c r="G6219" s="82"/>
      <c r="H6219" s="96">
        <f t="shared" si="388"/>
        <v>100.48</v>
      </c>
      <c r="I6219" s="96">
        <f t="shared" si="388"/>
        <v>101.6</v>
      </c>
      <c r="J6219" s="91" t="str">
        <f t="shared" si="389"/>
        <v>Sinapi 87623</v>
      </c>
      <c r="K6219" s="91" t="str">
        <f t="shared" si="390"/>
        <v>M2</v>
      </c>
      <c r="L6219" s="166" t="str">
        <f t="shared" si="391"/>
        <v>07/2021</v>
      </c>
      <c r="M6219" s="82"/>
      <c r="N6219" s="82"/>
    </row>
    <row r="6220" spans="1:14" x14ac:dyDescent="0.25">
      <c r="A6220" s="170" t="s">
        <v>8662</v>
      </c>
      <c r="B6220" s="170" t="s">
        <v>14259</v>
      </c>
      <c r="C6220" s="170" t="s">
        <v>870</v>
      </c>
      <c r="D6220" s="170" t="s">
        <v>2067</v>
      </c>
      <c r="E6220" s="171" t="s">
        <v>34537</v>
      </c>
      <c r="F6220" s="171" t="s">
        <v>37631</v>
      </c>
      <c r="G6220" s="82"/>
      <c r="H6220" s="96">
        <f t="shared" si="388"/>
        <v>106.56</v>
      </c>
      <c r="I6220" s="96">
        <f t="shared" si="388"/>
        <v>108.17</v>
      </c>
      <c r="J6220" s="91" t="str">
        <f t="shared" si="389"/>
        <v>Sinapi 87624</v>
      </c>
      <c r="K6220" s="91" t="str">
        <f t="shared" si="390"/>
        <v>M2</v>
      </c>
      <c r="L6220" s="166" t="str">
        <f t="shared" si="391"/>
        <v>07/2021</v>
      </c>
      <c r="M6220" s="82"/>
      <c r="N6220" s="82"/>
    </row>
    <row r="6221" spans="1:14" x14ac:dyDescent="0.25">
      <c r="A6221" s="170" t="s">
        <v>8663</v>
      </c>
      <c r="B6221" s="170" t="s">
        <v>14260</v>
      </c>
      <c r="C6221" s="170" t="s">
        <v>870</v>
      </c>
      <c r="D6221" s="170" t="s">
        <v>2067</v>
      </c>
      <c r="E6221" s="171" t="s">
        <v>26157</v>
      </c>
      <c r="F6221" s="171" t="s">
        <v>22780</v>
      </c>
      <c r="G6221" s="82"/>
      <c r="H6221" s="96">
        <f t="shared" si="388"/>
        <v>47.38</v>
      </c>
      <c r="I6221" s="96">
        <f t="shared" si="388"/>
        <v>48.82</v>
      </c>
      <c r="J6221" s="91" t="str">
        <f t="shared" si="389"/>
        <v>Sinapi 87630</v>
      </c>
      <c r="K6221" s="91" t="str">
        <f t="shared" si="390"/>
        <v>M2</v>
      </c>
      <c r="L6221" s="166" t="str">
        <f t="shared" si="391"/>
        <v>07/2021</v>
      </c>
      <c r="M6221" s="82"/>
      <c r="N6221" s="82"/>
    </row>
    <row r="6222" spans="1:14" x14ac:dyDescent="0.25">
      <c r="A6222" s="170" t="s">
        <v>8664</v>
      </c>
      <c r="B6222" s="170" t="s">
        <v>14261</v>
      </c>
      <c r="C6222" s="170" t="s">
        <v>870</v>
      </c>
      <c r="D6222" s="170" t="s">
        <v>2067</v>
      </c>
      <c r="E6222" s="171" t="s">
        <v>20632</v>
      </c>
      <c r="F6222" s="171" t="s">
        <v>23307</v>
      </c>
      <c r="G6222" s="82"/>
      <c r="H6222" s="96">
        <f t="shared" si="388"/>
        <v>51.2</v>
      </c>
      <c r="I6222" s="96">
        <f t="shared" si="388"/>
        <v>53.02</v>
      </c>
      <c r="J6222" s="91" t="str">
        <f t="shared" si="389"/>
        <v>Sinapi 87632</v>
      </c>
      <c r="K6222" s="91" t="str">
        <f t="shared" si="390"/>
        <v>M2</v>
      </c>
      <c r="L6222" s="166" t="str">
        <f t="shared" si="391"/>
        <v>07/2021</v>
      </c>
      <c r="M6222" s="82"/>
      <c r="N6222" s="82"/>
    </row>
    <row r="6223" spans="1:14" x14ac:dyDescent="0.25">
      <c r="A6223" s="170" t="s">
        <v>8665</v>
      </c>
      <c r="B6223" s="170" t="s">
        <v>14262</v>
      </c>
      <c r="C6223" s="170" t="s">
        <v>870</v>
      </c>
      <c r="D6223" s="170" t="s">
        <v>2067</v>
      </c>
      <c r="E6223" s="171" t="s">
        <v>23813</v>
      </c>
      <c r="F6223" s="171" t="s">
        <v>37632</v>
      </c>
      <c r="G6223" s="82"/>
      <c r="H6223" s="96">
        <f t="shared" si="388"/>
        <v>136.26</v>
      </c>
      <c r="I6223" s="96">
        <f t="shared" si="388"/>
        <v>137.61000000000001</v>
      </c>
      <c r="J6223" s="91" t="str">
        <f t="shared" si="389"/>
        <v>Sinapi 87633</v>
      </c>
      <c r="K6223" s="91" t="str">
        <f t="shared" si="390"/>
        <v>M2</v>
      </c>
      <c r="L6223" s="166" t="str">
        <f t="shared" si="391"/>
        <v>07/2021</v>
      </c>
      <c r="M6223" s="82"/>
      <c r="N6223" s="82"/>
    </row>
    <row r="6224" spans="1:14" x14ac:dyDescent="0.25">
      <c r="A6224" s="170" t="s">
        <v>8666</v>
      </c>
      <c r="B6224" s="170" t="s">
        <v>14263</v>
      </c>
      <c r="C6224" s="170" t="s">
        <v>870</v>
      </c>
      <c r="D6224" s="170" t="s">
        <v>2067</v>
      </c>
      <c r="E6224" s="171" t="s">
        <v>34538</v>
      </c>
      <c r="F6224" s="171" t="s">
        <v>37633</v>
      </c>
      <c r="G6224" s="82"/>
      <c r="H6224" s="96">
        <f t="shared" si="388"/>
        <v>144.71</v>
      </c>
      <c r="I6224" s="96">
        <f t="shared" si="388"/>
        <v>146.74</v>
      </c>
      <c r="J6224" s="91" t="str">
        <f t="shared" si="389"/>
        <v>Sinapi 87634</v>
      </c>
      <c r="K6224" s="91" t="str">
        <f t="shared" si="390"/>
        <v>M2</v>
      </c>
      <c r="L6224" s="166" t="str">
        <f t="shared" si="391"/>
        <v>07/2021</v>
      </c>
      <c r="M6224" s="82"/>
      <c r="N6224" s="82"/>
    </row>
    <row r="6225" spans="1:14" x14ac:dyDescent="0.25">
      <c r="A6225" s="170" t="s">
        <v>8667</v>
      </c>
      <c r="B6225" s="170" t="s">
        <v>14264</v>
      </c>
      <c r="C6225" s="170" t="s">
        <v>870</v>
      </c>
      <c r="D6225" s="170" t="s">
        <v>2067</v>
      </c>
      <c r="E6225" s="171" t="s">
        <v>23695</v>
      </c>
      <c r="F6225" s="171" t="s">
        <v>28939</v>
      </c>
      <c r="G6225" s="82"/>
      <c r="H6225" s="96">
        <f t="shared" si="388"/>
        <v>56.24</v>
      </c>
      <c r="I6225" s="96">
        <f t="shared" si="388"/>
        <v>57.89</v>
      </c>
      <c r="J6225" s="91" t="str">
        <f t="shared" si="389"/>
        <v>Sinapi 87640</v>
      </c>
      <c r="K6225" s="91" t="str">
        <f t="shared" si="390"/>
        <v>M2</v>
      </c>
      <c r="L6225" s="166" t="str">
        <f t="shared" si="391"/>
        <v>07/2021</v>
      </c>
      <c r="M6225" s="82"/>
      <c r="N6225" s="82"/>
    </row>
    <row r="6226" spans="1:14" x14ac:dyDescent="0.25">
      <c r="A6226" s="170" t="s">
        <v>8668</v>
      </c>
      <c r="B6226" s="170" t="s">
        <v>14265</v>
      </c>
      <c r="C6226" s="170" t="s">
        <v>870</v>
      </c>
      <c r="D6226" s="170" t="s">
        <v>2067</v>
      </c>
      <c r="E6226" s="171" t="s">
        <v>34539</v>
      </c>
      <c r="F6226" s="171" t="s">
        <v>37634</v>
      </c>
      <c r="G6226" s="82"/>
      <c r="H6226" s="96">
        <f t="shared" si="388"/>
        <v>60.93</v>
      </c>
      <c r="I6226" s="96">
        <f t="shared" si="388"/>
        <v>63.06</v>
      </c>
      <c r="J6226" s="91" t="str">
        <f t="shared" si="389"/>
        <v>Sinapi 87642</v>
      </c>
      <c r="K6226" s="91" t="str">
        <f t="shared" si="390"/>
        <v>M2</v>
      </c>
      <c r="L6226" s="166" t="str">
        <f t="shared" si="391"/>
        <v>07/2021</v>
      </c>
      <c r="M6226" s="82"/>
      <c r="N6226" s="82"/>
    </row>
    <row r="6227" spans="1:14" x14ac:dyDescent="0.25">
      <c r="A6227" s="170" t="s">
        <v>8669</v>
      </c>
      <c r="B6227" s="170" t="s">
        <v>14266</v>
      </c>
      <c r="C6227" s="170" t="s">
        <v>870</v>
      </c>
      <c r="D6227" s="170" t="s">
        <v>2067</v>
      </c>
      <c r="E6227" s="171" t="s">
        <v>34540</v>
      </c>
      <c r="F6227" s="171" t="s">
        <v>37635</v>
      </c>
      <c r="G6227" s="82"/>
      <c r="H6227" s="96">
        <f t="shared" si="388"/>
        <v>165.53</v>
      </c>
      <c r="I6227" s="96">
        <f t="shared" si="388"/>
        <v>167.08</v>
      </c>
      <c r="J6227" s="91" t="str">
        <f t="shared" si="389"/>
        <v>Sinapi 87643</v>
      </c>
      <c r="K6227" s="91" t="str">
        <f t="shared" si="390"/>
        <v>M2</v>
      </c>
      <c r="L6227" s="166" t="str">
        <f t="shared" si="391"/>
        <v>07/2021</v>
      </c>
      <c r="M6227" s="82"/>
      <c r="N6227" s="82"/>
    </row>
    <row r="6228" spans="1:14" x14ac:dyDescent="0.25">
      <c r="A6228" s="170" t="s">
        <v>8670</v>
      </c>
      <c r="B6228" s="170" t="s">
        <v>14267</v>
      </c>
      <c r="C6228" s="170" t="s">
        <v>870</v>
      </c>
      <c r="D6228" s="170" t="s">
        <v>2067</v>
      </c>
      <c r="E6228" s="171" t="s">
        <v>34541</v>
      </c>
      <c r="F6228" s="171" t="s">
        <v>28527</v>
      </c>
      <c r="G6228" s="82"/>
      <c r="H6228" s="96">
        <f t="shared" si="388"/>
        <v>175.92</v>
      </c>
      <c r="I6228" s="96">
        <f t="shared" si="388"/>
        <v>178.3</v>
      </c>
      <c r="J6228" s="91" t="str">
        <f t="shared" si="389"/>
        <v>Sinapi 87644</v>
      </c>
      <c r="K6228" s="91" t="str">
        <f t="shared" si="390"/>
        <v>M2</v>
      </c>
      <c r="L6228" s="166" t="str">
        <f t="shared" si="391"/>
        <v>07/2021</v>
      </c>
      <c r="M6228" s="82"/>
      <c r="N6228" s="82"/>
    </row>
    <row r="6229" spans="1:14" x14ac:dyDescent="0.25">
      <c r="A6229" s="170" t="s">
        <v>8671</v>
      </c>
      <c r="B6229" s="170" t="s">
        <v>14268</v>
      </c>
      <c r="C6229" s="170" t="s">
        <v>870</v>
      </c>
      <c r="D6229" s="170" t="s">
        <v>2067</v>
      </c>
      <c r="E6229" s="171" t="s">
        <v>30693</v>
      </c>
      <c r="F6229" s="171" t="s">
        <v>37636</v>
      </c>
      <c r="G6229" s="82"/>
      <c r="H6229" s="96">
        <f t="shared" si="388"/>
        <v>51.05</v>
      </c>
      <c r="I6229" s="96">
        <f t="shared" si="388"/>
        <v>52.62</v>
      </c>
      <c r="J6229" s="91" t="str">
        <f t="shared" si="389"/>
        <v>Sinapi 87680</v>
      </c>
      <c r="K6229" s="91" t="str">
        <f t="shared" si="390"/>
        <v>M2</v>
      </c>
      <c r="L6229" s="166" t="str">
        <f t="shared" si="391"/>
        <v>07/2021</v>
      </c>
      <c r="M6229" s="82"/>
      <c r="N6229" s="82"/>
    </row>
    <row r="6230" spans="1:14" x14ac:dyDescent="0.25">
      <c r="A6230" s="170" t="s">
        <v>8672</v>
      </c>
      <c r="B6230" s="170" t="s">
        <v>14269</v>
      </c>
      <c r="C6230" s="170" t="s">
        <v>870</v>
      </c>
      <c r="D6230" s="170" t="s">
        <v>2067</v>
      </c>
      <c r="E6230" s="171" t="s">
        <v>17892</v>
      </c>
      <c r="F6230" s="171" t="s">
        <v>37637</v>
      </c>
      <c r="G6230" s="82"/>
      <c r="H6230" s="96">
        <f t="shared" si="388"/>
        <v>55.74</v>
      </c>
      <c r="I6230" s="96">
        <f t="shared" si="388"/>
        <v>57.79</v>
      </c>
      <c r="J6230" s="91" t="str">
        <f t="shared" si="389"/>
        <v>Sinapi 87682</v>
      </c>
      <c r="K6230" s="91" t="str">
        <f t="shared" si="390"/>
        <v>M2</v>
      </c>
      <c r="L6230" s="166" t="str">
        <f t="shared" si="391"/>
        <v>07/2021</v>
      </c>
      <c r="M6230" s="82"/>
      <c r="N6230" s="82"/>
    </row>
    <row r="6231" spans="1:14" x14ac:dyDescent="0.25">
      <c r="A6231" s="170" t="s">
        <v>8673</v>
      </c>
      <c r="B6231" s="170" t="s">
        <v>14270</v>
      </c>
      <c r="C6231" s="170" t="s">
        <v>870</v>
      </c>
      <c r="D6231" s="170" t="s">
        <v>2067</v>
      </c>
      <c r="E6231" s="171" t="s">
        <v>34542</v>
      </c>
      <c r="F6231" s="171" t="s">
        <v>29143</v>
      </c>
      <c r="G6231" s="82"/>
      <c r="H6231" s="96">
        <f t="shared" si="388"/>
        <v>160.34</v>
      </c>
      <c r="I6231" s="96">
        <f t="shared" si="388"/>
        <v>161.81</v>
      </c>
      <c r="J6231" s="91" t="str">
        <f t="shared" si="389"/>
        <v>Sinapi 87683</v>
      </c>
      <c r="K6231" s="91" t="str">
        <f t="shared" si="390"/>
        <v>M2</v>
      </c>
      <c r="L6231" s="166" t="str">
        <f t="shared" si="391"/>
        <v>07/2021</v>
      </c>
      <c r="M6231" s="82"/>
      <c r="N6231" s="82"/>
    </row>
    <row r="6232" spans="1:14" x14ac:dyDescent="0.25">
      <c r="A6232" s="170" t="s">
        <v>8674</v>
      </c>
      <c r="B6232" s="170" t="s">
        <v>14271</v>
      </c>
      <c r="C6232" s="170" t="s">
        <v>870</v>
      </c>
      <c r="D6232" s="170" t="s">
        <v>2067</v>
      </c>
      <c r="E6232" s="171" t="s">
        <v>34543</v>
      </c>
      <c r="F6232" s="171" t="s">
        <v>37638</v>
      </c>
      <c r="G6232" s="82"/>
      <c r="H6232" s="96">
        <f t="shared" si="388"/>
        <v>170.73</v>
      </c>
      <c r="I6232" s="96">
        <f t="shared" si="388"/>
        <v>173.03</v>
      </c>
      <c r="J6232" s="91" t="str">
        <f t="shared" si="389"/>
        <v>Sinapi 87684</v>
      </c>
      <c r="K6232" s="91" t="str">
        <f t="shared" si="390"/>
        <v>M2</v>
      </c>
      <c r="L6232" s="166" t="str">
        <f t="shared" si="391"/>
        <v>07/2021</v>
      </c>
      <c r="M6232" s="82"/>
      <c r="N6232" s="82"/>
    </row>
    <row r="6233" spans="1:14" x14ac:dyDescent="0.25">
      <c r="A6233" s="170" t="s">
        <v>8675</v>
      </c>
      <c r="B6233" s="170" t="s">
        <v>14272</v>
      </c>
      <c r="C6233" s="170" t="s">
        <v>870</v>
      </c>
      <c r="D6233" s="170" t="s">
        <v>2067</v>
      </c>
      <c r="E6233" s="171" t="s">
        <v>20662</v>
      </c>
      <c r="F6233" s="171" t="s">
        <v>28267</v>
      </c>
      <c r="G6233" s="82"/>
      <c r="H6233" s="96">
        <f t="shared" si="388"/>
        <v>58.48</v>
      </c>
      <c r="I6233" s="96">
        <f t="shared" si="388"/>
        <v>60.3</v>
      </c>
      <c r="J6233" s="91" t="str">
        <f t="shared" si="389"/>
        <v>Sinapi 87690</v>
      </c>
      <c r="K6233" s="91" t="str">
        <f t="shared" si="390"/>
        <v>M2</v>
      </c>
      <c r="L6233" s="166" t="str">
        <f t="shared" si="391"/>
        <v>07/2021</v>
      </c>
      <c r="M6233" s="82"/>
      <c r="N6233" s="82"/>
    </row>
    <row r="6234" spans="1:14" x14ac:dyDescent="0.25">
      <c r="A6234" s="170" t="s">
        <v>8676</v>
      </c>
      <c r="B6234" s="170" t="s">
        <v>14273</v>
      </c>
      <c r="C6234" s="170" t="s">
        <v>870</v>
      </c>
      <c r="D6234" s="170" t="s">
        <v>2067</v>
      </c>
      <c r="E6234" s="171" t="s">
        <v>34544</v>
      </c>
      <c r="F6234" s="171" t="s">
        <v>30117</v>
      </c>
      <c r="G6234" s="82"/>
      <c r="H6234" s="96">
        <f t="shared" si="388"/>
        <v>63.86</v>
      </c>
      <c r="I6234" s="96">
        <f t="shared" si="388"/>
        <v>66.22</v>
      </c>
      <c r="J6234" s="91" t="str">
        <f t="shared" si="389"/>
        <v>Sinapi 87692</v>
      </c>
      <c r="K6234" s="91" t="str">
        <f t="shared" si="390"/>
        <v>M2</v>
      </c>
      <c r="L6234" s="166" t="str">
        <f t="shared" si="391"/>
        <v>07/2021</v>
      </c>
      <c r="M6234" s="82"/>
      <c r="N6234" s="82"/>
    </row>
    <row r="6235" spans="1:14" x14ac:dyDescent="0.25">
      <c r="A6235" s="170" t="s">
        <v>8677</v>
      </c>
      <c r="B6235" s="170" t="s">
        <v>14274</v>
      </c>
      <c r="C6235" s="170" t="s">
        <v>870</v>
      </c>
      <c r="D6235" s="170" t="s">
        <v>2067</v>
      </c>
      <c r="E6235" s="171" t="s">
        <v>34545</v>
      </c>
      <c r="F6235" s="171" t="s">
        <v>37639</v>
      </c>
      <c r="G6235" s="82"/>
      <c r="H6235" s="96">
        <f t="shared" si="388"/>
        <v>183.65</v>
      </c>
      <c r="I6235" s="96">
        <f t="shared" si="388"/>
        <v>185.34</v>
      </c>
      <c r="J6235" s="91" t="str">
        <f t="shared" si="389"/>
        <v>Sinapi 87693</v>
      </c>
      <c r="K6235" s="91" t="str">
        <f t="shared" si="390"/>
        <v>M2</v>
      </c>
      <c r="L6235" s="166" t="str">
        <f t="shared" si="391"/>
        <v>07/2021</v>
      </c>
      <c r="M6235" s="82"/>
      <c r="N6235" s="82"/>
    </row>
    <row r="6236" spans="1:14" x14ac:dyDescent="0.25">
      <c r="A6236" s="170" t="s">
        <v>8678</v>
      </c>
      <c r="B6236" s="170" t="s">
        <v>14275</v>
      </c>
      <c r="C6236" s="170" t="s">
        <v>870</v>
      </c>
      <c r="D6236" s="170" t="s">
        <v>2067</v>
      </c>
      <c r="E6236" s="171" t="s">
        <v>34546</v>
      </c>
      <c r="F6236" s="171" t="s">
        <v>37640</v>
      </c>
      <c r="G6236" s="82"/>
      <c r="H6236" s="96">
        <f t="shared" si="388"/>
        <v>195.56</v>
      </c>
      <c r="I6236" s="96">
        <f t="shared" si="388"/>
        <v>198.2</v>
      </c>
      <c r="J6236" s="91" t="str">
        <f t="shared" si="389"/>
        <v>Sinapi 87694</v>
      </c>
      <c r="K6236" s="91" t="str">
        <f t="shared" si="390"/>
        <v>M2</v>
      </c>
      <c r="L6236" s="166" t="str">
        <f t="shared" si="391"/>
        <v>07/2021</v>
      </c>
      <c r="M6236" s="82"/>
      <c r="N6236" s="82"/>
    </row>
    <row r="6237" spans="1:14" x14ac:dyDescent="0.25">
      <c r="A6237" s="170" t="s">
        <v>8679</v>
      </c>
      <c r="B6237" s="170" t="s">
        <v>14276</v>
      </c>
      <c r="C6237" s="170" t="s">
        <v>870</v>
      </c>
      <c r="D6237" s="170" t="s">
        <v>2067</v>
      </c>
      <c r="E6237" s="171" t="s">
        <v>34547</v>
      </c>
      <c r="F6237" s="171" t="s">
        <v>28741</v>
      </c>
      <c r="G6237" s="82"/>
      <c r="H6237" s="96">
        <f t="shared" si="388"/>
        <v>63.31</v>
      </c>
      <c r="I6237" s="96">
        <f t="shared" si="388"/>
        <v>65.239999999999995</v>
      </c>
      <c r="J6237" s="91" t="str">
        <f t="shared" si="389"/>
        <v>Sinapi 87700</v>
      </c>
      <c r="K6237" s="91" t="str">
        <f t="shared" si="390"/>
        <v>M2</v>
      </c>
      <c r="L6237" s="166" t="str">
        <f t="shared" si="391"/>
        <v>07/2021</v>
      </c>
      <c r="M6237" s="82"/>
      <c r="N6237" s="82"/>
    </row>
    <row r="6238" spans="1:14" x14ac:dyDescent="0.25">
      <c r="A6238" s="170" t="s">
        <v>8680</v>
      </c>
      <c r="B6238" s="170" t="s">
        <v>14277</v>
      </c>
      <c r="C6238" s="170" t="s">
        <v>870</v>
      </c>
      <c r="D6238" s="170" t="s">
        <v>2067</v>
      </c>
      <c r="E6238" s="171" t="s">
        <v>23488</v>
      </c>
      <c r="F6238" s="171" t="s">
        <v>21038</v>
      </c>
      <c r="G6238" s="82"/>
      <c r="H6238" s="96">
        <f t="shared" si="388"/>
        <v>69.17</v>
      </c>
      <c r="I6238" s="96">
        <f t="shared" si="388"/>
        <v>71.69</v>
      </c>
      <c r="J6238" s="91" t="str">
        <f t="shared" si="389"/>
        <v>Sinapi 87702</v>
      </c>
      <c r="K6238" s="91" t="str">
        <f t="shared" si="390"/>
        <v>M2</v>
      </c>
      <c r="L6238" s="166" t="str">
        <f t="shared" si="391"/>
        <v>07/2021</v>
      </c>
      <c r="M6238" s="82"/>
      <c r="N6238" s="82"/>
    </row>
    <row r="6239" spans="1:14" x14ac:dyDescent="0.25">
      <c r="A6239" s="170" t="s">
        <v>8681</v>
      </c>
      <c r="B6239" s="170" t="s">
        <v>14278</v>
      </c>
      <c r="C6239" s="170" t="s">
        <v>870</v>
      </c>
      <c r="D6239" s="170" t="s">
        <v>2067</v>
      </c>
      <c r="E6239" s="171" t="s">
        <v>28236</v>
      </c>
      <c r="F6239" s="171" t="s">
        <v>29150</v>
      </c>
      <c r="G6239" s="82"/>
      <c r="H6239" s="96">
        <f t="shared" si="388"/>
        <v>199.62</v>
      </c>
      <c r="I6239" s="96">
        <f t="shared" si="388"/>
        <v>201.41</v>
      </c>
      <c r="J6239" s="91" t="str">
        <f t="shared" si="389"/>
        <v>Sinapi 87703</v>
      </c>
      <c r="K6239" s="91" t="str">
        <f t="shared" si="390"/>
        <v>M2</v>
      </c>
      <c r="L6239" s="166" t="str">
        <f t="shared" si="391"/>
        <v>07/2021</v>
      </c>
      <c r="M6239" s="82"/>
      <c r="N6239" s="82"/>
    </row>
    <row r="6240" spans="1:14" x14ac:dyDescent="0.25">
      <c r="A6240" s="170" t="s">
        <v>8682</v>
      </c>
      <c r="B6240" s="170" t="s">
        <v>14279</v>
      </c>
      <c r="C6240" s="170" t="s">
        <v>870</v>
      </c>
      <c r="D6240" s="170" t="s">
        <v>2067</v>
      </c>
      <c r="E6240" s="171" t="s">
        <v>34548</v>
      </c>
      <c r="F6240" s="171" t="s">
        <v>37641</v>
      </c>
      <c r="G6240" s="82"/>
      <c r="H6240" s="96">
        <f t="shared" si="388"/>
        <v>212.58</v>
      </c>
      <c r="I6240" s="96">
        <f t="shared" si="388"/>
        <v>215.41</v>
      </c>
      <c r="J6240" s="91" t="str">
        <f t="shared" si="389"/>
        <v>Sinapi 87704</v>
      </c>
      <c r="K6240" s="91" t="str">
        <f t="shared" si="390"/>
        <v>M2</v>
      </c>
      <c r="L6240" s="166" t="str">
        <f t="shared" si="391"/>
        <v>07/2021</v>
      </c>
      <c r="M6240" s="82"/>
      <c r="N6240" s="82"/>
    </row>
    <row r="6241" spans="1:14" x14ac:dyDescent="0.25">
      <c r="A6241" s="170" t="s">
        <v>8683</v>
      </c>
      <c r="B6241" s="170" t="s">
        <v>14280</v>
      </c>
      <c r="C6241" s="170" t="s">
        <v>870</v>
      </c>
      <c r="D6241" s="170" t="s">
        <v>2067</v>
      </c>
      <c r="E6241" s="171" t="s">
        <v>28679</v>
      </c>
      <c r="F6241" s="171" t="s">
        <v>23027</v>
      </c>
      <c r="G6241" s="82"/>
      <c r="H6241" s="96">
        <f t="shared" si="388"/>
        <v>47.06</v>
      </c>
      <c r="I6241" s="96">
        <f t="shared" si="388"/>
        <v>49.44</v>
      </c>
      <c r="J6241" s="91" t="str">
        <f t="shared" si="389"/>
        <v>Sinapi 87735</v>
      </c>
      <c r="K6241" s="91" t="str">
        <f t="shared" si="390"/>
        <v>M2</v>
      </c>
      <c r="L6241" s="166" t="str">
        <f t="shared" si="391"/>
        <v>07/2021</v>
      </c>
      <c r="M6241" s="82"/>
      <c r="N6241" s="82"/>
    </row>
    <row r="6242" spans="1:14" x14ac:dyDescent="0.25">
      <c r="A6242" s="170" t="s">
        <v>8684</v>
      </c>
      <c r="B6242" s="170" t="s">
        <v>14281</v>
      </c>
      <c r="C6242" s="170" t="s">
        <v>870</v>
      </c>
      <c r="D6242" s="170" t="s">
        <v>2067</v>
      </c>
      <c r="E6242" s="171" t="s">
        <v>28998</v>
      </c>
      <c r="F6242" s="171" t="s">
        <v>20991</v>
      </c>
      <c r="G6242" s="82"/>
      <c r="H6242" s="96">
        <f t="shared" si="388"/>
        <v>49.81</v>
      </c>
      <c r="I6242" s="96">
        <f t="shared" si="388"/>
        <v>52.47</v>
      </c>
      <c r="J6242" s="91" t="str">
        <f t="shared" si="389"/>
        <v>Sinapi 87737</v>
      </c>
      <c r="K6242" s="91" t="str">
        <f t="shared" si="390"/>
        <v>M2</v>
      </c>
      <c r="L6242" s="166" t="str">
        <f t="shared" si="391"/>
        <v>07/2021</v>
      </c>
      <c r="M6242" s="82"/>
      <c r="N6242" s="82"/>
    </row>
    <row r="6243" spans="1:14" x14ac:dyDescent="0.25">
      <c r="A6243" s="170" t="s">
        <v>8685</v>
      </c>
      <c r="B6243" s="170" t="s">
        <v>14282</v>
      </c>
      <c r="C6243" s="170" t="s">
        <v>870</v>
      </c>
      <c r="D6243" s="170" t="s">
        <v>2067</v>
      </c>
      <c r="E6243" s="171" t="s">
        <v>34240</v>
      </c>
      <c r="F6243" s="171" t="s">
        <v>37642</v>
      </c>
      <c r="G6243" s="82"/>
      <c r="H6243" s="96">
        <f t="shared" si="388"/>
        <v>110.98</v>
      </c>
      <c r="I6243" s="96">
        <f t="shared" si="388"/>
        <v>113.3</v>
      </c>
      <c r="J6243" s="91" t="str">
        <f t="shared" si="389"/>
        <v>Sinapi 87738</v>
      </c>
      <c r="K6243" s="91" t="str">
        <f t="shared" si="390"/>
        <v>M2</v>
      </c>
      <c r="L6243" s="166" t="str">
        <f t="shared" si="391"/>
        <v>07/2021</v>
      </c>
      <c r="M6243" s="82"/>
      <c r="N6243" s="82"/>
    </row>
    <row r="6244" spans="1:14" x14ac:dyDescent="0.25">
      <c r="A6244" s="170" t="s">
        <v>8686</v>
      </c>
      <c r="B6244" s="170" t="s">
        <v>14283</v>
      </c>
      <c r="C6244" s="170" t="s">
        <v>870</v>
      </c>
      <c r="D6244" s="170" t="s">
        <v>2067</v>
      </c>
      <c r="E6244" s="171" t="s">
        <v>34549</v>
      </c>
      <c r="F6244" s="171" t="s">
        <v>37643</v>
      </c>
      <c r="G6244" s="82"/>
      <c r="H6244" s="96">
        <f t="shared" si="388"/>
        <v>117.06</v>
      </c>
      <c r="I6244" s="96">
        <f t="shared" si="388"/>
        <v>119.87</v>
      </c>
      <c r="J6244" s="91" t="str">
        <f t="shared" si="389"/>
        <v>Sinapi 87739</v>
      </c>
      <c r="K6244" s="91" t="str">
        <f t="shared" si="390"/>
        <v>M2</v>
      </c>
      <c r="L6244" s="166" t="str">
        <f t="shared" si="391"/>
        <v>07/2021</v>
      </c>
      <c r="M6244" s="82"/>
      <c r="N6244" s="82"/>
    </row>
    <row r="6245" spans="1:14" x14ac:dyDescent="0.25">
      <c r="A6245" s="170" t="s">
        <v>8687</v>
      </c>
      <c r="B6245" s="170" t="s">
        <v>14284</v>
      </c>
      <c r="C6245" s="170" t="s">
        <v>870</v>
      </c>
      <c r="D6245" s="170" t="s">
        <v>2067</v>
      </c>
      <c r="E6245" s="171" t="s">
        <v>21890</v>
      </c>
      <c r="F6245" s="171" t="s">
        <v>30855</v>
      </c>
      <c r="G6245" s="82"/>
      <c r="H6245" s="96">
        <f t="shared" si="388"/>
        <v>57.88</v>
      </c>
      <c r="I6245" s="96">
        <f t="shared" si="388"/>
        <v>60.52</v>
      </c>
      <c r="J6245" s="91" t="str">
        <f t="shared" si="389"/>
        <v>Sinapi 87745</v>
      </c>
      <c r="K6245" s="91" t="str">
        <f t="shared" si="390"/>
        <v>M2</v>
      </c>
      <c r="L6245" s="166" t="str">
        <f t="shared" si="391"/>
        <v>07/2021</v>
      </c>
      <c r="M6245" s="82"/>
      <c r="N6245" s="82"/>
    </row>
    <row r="6246" spans="1:14" x14ac:dyDescent="0.25">
      <c r="A6246" s="170" t="s">
        <v>8688</v>
      </c>
      <c r="B6246" s="170" t="s">
        <v>14285</v>
      </c>
      <c r="C6246" s="170" t="s">
        <v>870</v>
      </c>
      <c r="D6246" s="170" t="s">
        <v>2067</v>
      </c>
      <c r="E6246" s="171" t="s">
        <v>33673</v>
      </c>
      <c r="F6246" s="171" t="s">
        <v>37644</v>
      </c>
      <c r="G6246" s="82"/>
      <c r="H6246" s="96">
        <f t="shared" si="388"/>
        <v>61.7</v>
      </c>
      <c r="I6246" s="96">
        <f t="shared" si="388"/>
        <v>64.72</v>
      </c>
      <c r="J6246" s="91" t="str">
        <f t="shared" si="389"/>
        <v>Sinapi 87747</v>
      </c>
      <c r="K6246" s="91" t="str">
        <f t="shared" si="390"/>
        <v>M2</v>
      </c>
      <c r="L6246" s="166" t="str">
        <f t="shared" si="391"/>
        <v>07/2021</v>
      </c>
      <c r="M6246" s="82"/>
      <c r="N6246" s="82"/>
    </row>
    <row r="6247" spans="1:14" x14ac:dyDescent="0.25">
      <c r="A6247" s="170" t="s">
        <v>8689</v>
      </c>
      <c r="B6247" s="170" t="s">
        <v>14286</v>
      </c>
      <c r="C6247" s="170" t="s">
        <v>870</v>
      </c>
      <c r="D6247" s="170" t="s">
        <v>2067</v>
      </c>
      <c r="E6247" s="171" t="s">
        <v>34550</v>
      </c>
      <c r="F6247" s="171" t="s">
        <v>29202</v>
      </c>
      <c r="G6247" s="82"/>
      <c r="H6247" s="96">
        <f t="shared" si="388"/>
        <v>146.76</v>
      </c>
      <c r="I6247" s="96">
        <f t="shared" si="388"/>
        <v>149.31</v>
      </c>
      <c r="J6247" s="91" t="str">
        <f t="shared" si="389"/>
        <v>Sinapi 87748</v>
      </c>
      <c r="K6247" s="91" t="str">
        <f t="shared" si="390"/>
        <v>M2</v>
      </c>
      <c r="L6247" s="166" t="str">
        <f t="shared" si="391"/>
        <v>07/2021</v>
      </c>
      <c r="M6247" s="82"/>
      <c r="N6247" s="82"/>
    </row>
    <row r="6248" spans="1:14" x14ac:dyDescent="0.25">
      <c r="A6248" s="170" t="s">
        <v>8690</v>
      </c>
      <c r="B6248" s="170" t="s">
        <v>14287</v>
      </c>
      <c r="C6248" s="170" t="s">
        <v>870</v>
      </c>
      <c r="D6248" s="170" t="s">
        <v>2067</v>
      </c>
      <c r="E6248" s="171" t="s">
        <v>34551</v>
      </c>
      <c r="F6248" s="171" t="s">
        <v>21515</v>
      </c>
      <c r="G6248" s="82"/>
      <c r="H6248" s="96">
        <f t="shared" si="388"/>
        <v>155.21</v>
      </c>
      <c r="I6248" s="96">
        <f t="shared" si="388"/>
        <v>158.44</v>
      </c>
      <c r="J6248" s="91" t="str">
        <f t="shared" si="389"/>
        <v>Sinapi 87749</v>
      </c>
      <c r="K6248" s="91" t="str">
        <f t="shared" si="390"/>
        <v>M2</v>
      </c>
      <c r="L6248" s="166" t="str">
        <f t="shared" si="391"/>
        <v>07/2021</v>
      </c>
      <c r="M6248" s="82"/>
      <c r="N6248" s="82"/>
    </row>
    <row r="6249" spans="1:14" x14ac:dyDescent="0.25">
      <c r="A6249" s="170" t="s">
        <v>8691</v>
      </c>
      <c r="B6249" s="170" t="s">
        <v>14288</v>
      </c>
      <c r="C6249" s="170" t="s">
        <v>870</v>
      </c>
      <c r="D6249" s="170" t="s">
        <v>2067</v>
      </c>
      <c r="E6249" s="171" t="s">
        <v>34552</v>
      </c>
      <c r="F6249" s="171" t="s">
        <v>25678</v>
      </c>
      <c r="G6249" s="82"/>
      <c r="H6249" s="96">
        <f t="shared" si="388"/>
        <v>55.07</v>
      </c>
      <c r="I6249" s="96">
        <f t="shared" si="388"/>
        <v>57.81</v>
      </c>
      <c r="J6249" s="91" t="str">
        <f t="shared" si="389"/>
        <v>Sinapi 87755</v>
      </c>
      <c r="K6249" s="91" t="str">
        <f t="shared" si="390"/>
        <v>M2</v>
      </c>
      <c r="L6249" s="166" t="str">
        <f t="shared" si="391"/>
        <v>07/2021</v>
      </c>
      <c r="M6249" s="82"/>
      <c r="N6249" s="82"/>
    </row>
    <row r="6250" spans="1:14" x14ac:dyDescent="0.25">
      <c r="A6250" s="170" t="s">
        <v>8692</v>
      </c>
      <c r="B6250" s="170" t="s">
        <v>14289</v>
      </c>
      <c r="C6250" s="170" t="s">
        <v>870</v>
      </c>
      <c r="D6250" s="170" t="s">
        <v>2067</v>
      </c>
      <c r="E6250" s="171" t="s">
        <v>29095</v>
      </c>
      <c r="F6250" s="171" t="s">
        <v>29052</v>
      </c>
      <c r="G6250" s="82"/>
      <c r="H6250" s="96">
        <f t="shared" si="388"/>
        <v>58.89</v>
      </c>
      <c r="I6250" s="96">
        <f t="shared" si="388"/>
        <v>62.01</v>
      </c>
      <c r="J6250" s="91" t="str">
        <f t="shared" si="389"/>
        <v>Sinapi 87757</v>
      </c>
      <c r="K6250" s="91" t="str">
        <f t="shared" si="390"/>
        <v>M2</v>
      </c>
      <c r="L6250" s="166" t="str">
        <f t="shared" si="391"/>
        <v>07/2021</v>
      </c>
      <c r="M6250" s="82"/>
      <c r="N6250" s="82"/>
    </row>
    <row r="6251" spans="1:14" x14ac:dyDescent="0.25">
      <c r="A6251" s="170" t="s">
        <v>8693</v>
      </c>
      <c r="B6251" s="170" t="s">
        <v>14290</v>
      </c>
      <c r="C6251" s="170" t="s">
        <v>870</v>
      </c>
      <c r="D6251" s="170" t="s">
        <v>2067</v>
      </c>
      <c r="E6251" s="171" t="s">
        <v>29002</v>
      </c>
      <c r="F6251" s="171" t="s">
        <v>37645</v>
      </c>
      <c r="G6251" s="82"/>
      <c r="H6251" s="96">
        <f t="shared" si="388"/>
        <v>143.94999999999999</v>
      </c>
      <c r="I6251" s="96">
        <f t="shared" si="388"/>
        <v>146.6</v>
      </c>
      <c r="J6251" s="91" t="str">
        <f t="shared" si="389"/>
        <v>Sinapi 87758</v>
      </c>
      <c r="K6251" s="91" t="str">
        <f t="shared" si="390"/>
        <v>M2</v>
      </c>
      <c r="L6251" s="166" t="str">
        <f t="shared" si="391"/>
        <v>07/2021</v>
      </c>
      <c r="M6251" s="82"/>
      <c r="N6251" s="82"/>
    </row>
    <row r="6252" spans="1:14" x14ac:dyDescent="0.25">
      <c r="A6252" s="170" t="s">
        <v>8694</v>
      </c>
      <c r="B6252" s="170" t="s">
        <v>14291</v>
      </c>
      <c r="C6252" s="170" t="s">
        <v>870</v>
      </c>
      <c r="D6252" s="170" t="s">
        <v>2067</v>
      </c>
      <c r="E6252" s="171" t="s">
        <v>28653</v>
      </c>
      <c r="F6252" s="171" t="s">
        <v>37646</v>
      </c>
      <c r="G6252" s="82"/>
      <c r="H6252" s="96">
        <f t="shared" si="388"/>
        <v>152.4</v>
      </c>
      <c r="I6252" s="96">
        <f t="shared" si="388"/>
        <v>155.72999999999999</v>
      </c>
      <c r="J6252" s="91" t="str">
        <f t="shared" si="389"/>
        <v>Sinapi 87759</v>
      </c>
      <c r="K6252" s="91" t="str">
        <f t="shared" si="390"/>
        <v>M2</v>
      </c>
      <c r="L6252" s="166" t="str">
        <f t="shared" si="391"/>
        <v>07/2021</v>
      </c>
      <c r="M6252" s="82"/>
      <c r="N6252" s="82"/>
    </row>
    <row r="6253" spans="1:14" x14ac:dyDescent="0.25">
      <c r="A6253" s="170" t="s">
        <v>8695</v>
      </c>
      <c r="B6253" s="170" t="s">
        <v>14292</v>
      </c>
      <c r="C6253" s="170" t="s">
        <v>870</v>
      </c>
      <c r="D6253" s="170" t="s">
        <v>2067</v>
      </c>
      <c r="E6253" s="171" t="s">
        <v>32056</v>
      </c>
      <c r="F6253" s="171" t="s">
        <v>23222</v>
      </c>
      <c r="G6253" s="82"/>
      <c r="H6253" s="96">
        <f t="shared" si="388"/>
        <v>63.97</v>
      </c>
      <c r="I6253" s="96">
        <f t="shared" si="388"/>
        <v>66.94</v>
      </c>
      <c r="J6253" s="91" t="str">
        <f t="shared" si="389"/>
        <v>Sinapi 87765</v>
      </c>
      <c r="K6253" s="91" t="str">
        <f t="shared" si="390"/>
        <v>M2</v>
      </c>
      <c r="L6253" s="166" t="str">
        <f t="shared" si="391"/>
        <v>07/2021</v>
      </c>
      <c r="M6253" s="82"/>
      <c r="N6253" s="82"/>
    </row>
    <row r="6254" spans="1:14" x14ac:dyDescent="0.25">
      <c r="A6254" s="170" t="s">
        <v>8696</v>
      </c>
      <c r="B6254" s="170" t="s">
        <v>14293</v>
      </c>
      <c r="C6254" s="170" t="s">
        <v>870</v>
      </c>
      <c r="D6254" s="170" t="s">
        <v>2067</v>
      </c>
      <c r="E6254" s="171" t="s">
        <v>28762</v>
      </c>
      <c r="F6254" s="171" t="s">
        <v>23283</v>
      </c>
      <c r="G6254" s="82"/>
      <c r="H6254" s="96">
        <f t="shared" si="388"/>
        <v>68.66</v>
      </c>
      <c r="I6254" s="96">
        <f t="shared" si="388"/>
        <v>72.11</v>
      </c>
      <c r="J6254" s="91" t="str">
        <f t="shared" si="389"/>
        <v>Sinapi 87767</v>
      </c>
      <c r="K6254" s="91" t="str">
        <f t="shared" si="390"/>
        <v>M2</v>
      </c>
      <c r="L6254" s="166" t="str">
        <f t="shared" si="391"/>
        <v>07/2021</v>
      </c>
      <c r="M6254" s="82"/>
      <c r="N6254" s="82"/>
    </row>
    <row r="6255" spans="1:14" x14ac:dyDescent="0.25">
      <c r="A6255" s="170" t="s">
        <v>8697</v>
      </c>
      <c r="B6255" s="170" t="s">
        <v>14294</v>
      </c>
      <c r="C6255" s="170" t="s">
        <v>870</v>
      </c>
      <c r="D6255" s="170" t="s">
        <v>2067</v>
      </c>
      <c r="E6255" s="171" t="s">
        <v>34553</v>
      </c>
      <c r="F6255" s="171" t="s">
        <v>37647</v>
      </c>
      <c r="G6255" s="82"/>
      <c r="H6255" s="96">
        <f t="shared" si="388"/>
        <v>173.26</v>
      </c>
      <c r="I6255" s="96">
        <f t="shared" si="388"/>
        <v>176.13</v>
      </c>
      <c r="J6255" s="91" t="str">
        <f t="shared" si="389"/>
        <v>Sinapi 87768</v>
      </c>
      <c r="K6255" s="91" t="str">
        <f t="shared" si="390"/>
        <v>M2</v>
      </c>
      <c r="L6255" s="166" t="str">
        <f t="shared" si="391"/>
        <v>07/2021</v>
      </c>
      <c r="M6255" s="82"/>
      <c r="N6255" s="82"/>
    </row>
    <row r="6256" spans="1:14" x14ac:dyDescent="0.25">
      <c r="A6256" s="170" t="s">
        <v>8698</v>
      </c>
      <c r="B6256" s="170" t="s">
        <v>14295</v>
      </c>
      <c r="C6256" s="170" t="s">
        <v>870</v>
      </c>
      <c r="D6256" s="170" t="s">
        <v>2067</v>
      </c>
      <c r="E6256" s="171" t="s">
        <v>34545</v>
      </c>
      <c r="F6256" s="171" t="s">
        <v>37648</v>
      </c>
      <c r="G6256" s="82"/>
      <c r="H6256" s="96">
        <f t="shared" si="388"/>
        <v>183.65</v>
      </c>
      <c r="I6256" s="96">
        <f t="shared" si="388"/>
        <v>187.35</v>
      </c>
      <c r="J6256" s="91" t="str">
        <f t="shared" si="389"/>
        <v>Sinapi 87769</v>
      </c>
      <c r="K6256" s="91" t="str">
        <f t="shared" si="390"/>
        <v>M2</v>
      </c>
      <c r="L6256" s="166" t="str">
        <f t="shared" si="391"/>
        <v>07/2021</v>
      </c>
      <c r="M6256" s="82"/>
      <c r="N6256" s="82"/>
    </row>
    <row r="6257" spans="1:14" x14ac:dyDescent="0.25">
      <c r="A6257" s="170" t="s">
        <v>8699</v>
      </c>
      <c r="B6257" s="170" t="s">
        <v>14296</v>
      </c>
      <c r="C6257" s="170" t="s">
        <v>870</v>
      </c>
      <c r="D6257" s="170" t="s">
        <v>2067</v>
      </c>
      <c r="E6257" s="171" t="s">
        <v>19979</v>
      </c>
      <c r="F6257" s="171" t="s">
        <v>37649</v>
      </c>
      <c r="G6257" s="82"/>
      <c r="H6257" s="96">
        <f t="shared" si="388"/>
        <v>54.6</v>
      </c>
      <c r="I6257" s="96">
        <f t="shared" si="388"/>
        <v>54.92</v>
      </c>
      <c r="J6257" s="91" t="str">
        <f t="shared" si="389"/>
        <v>Sinapi 88470</v>
      </c>
      <c r="K6257" s="91" t="str">
        <f t="shared" si="390"/>
        <v>M2</v>
      </c>
      <c r="L6257" s="166" t="str">
        <f t="shared" si="391"/>
        <v>07/2021</v>
      </c>
      <c r="M6257" s="82"/>
      <c r="N6257" s="82"/>
    </row>
    <row r="6258" spans="1:14" x14ac:dyDescent="0.25">
      <c r="A6258" s="170" t="s">
        <v>8700</v>
      </c>
      <c r="B6258" s="170" t="s">
        <v>14297</v>
      </c>
      <c r="C6258" s="170" t="s">
        <v>870</v>
      </c>
      <c r="D6258" s="170" t="s">
        <v>2067</v>
      </c>
      <c r="E6258" s="171" t="s">
        <v>34554</v>
      </c>
      <c r="F6258" s="171" t="s">
        <v>28682</v>
      </c>
      <c r="G6258" s="82"/>
      <c r="H6258" s="96">
        <f t="shared" si="388"/>
        <v>67.73</v>
      </c>
      <c r="I6258" s="96">
        <f t="shared" si="388"/>
        <v>68.17</v>
      </c>
      <c r="J6258" s="91" t="str">
        <f t="shared" si="389"/>
        <v>Sinapi 88471</v>
      </c>
      <c r="K6258" s="91" t="str">
        <f t="shared" si="390"/>
        <v>M2</v>
      </c>
      <c r="L6258" s="166" t="str">
        <f t="shared" si="391"/>
        <v>07/2021</v>
      </c>
      <c r="M6258" s="82"/>
      <c r="N6258" s="82"/>
    </row>
    <row r="6259" spans="1:14" x14ac:dyDescent="0.25">
      <c r="A6259" s="170" t="s">
        <v>8701</v>
      </c>
      <c r="B6259" s="170" t="s">
        <v>14298</v>
      </c>
      <c r="C6259" s="170" t="s">
        <v>870</v>
      </c>
      <c r="D6259" s="170" t="s">
        <v>2067</v>
      </c>
      <c r="E6259" s="171" t="s">
        <v>31992</v>
      </c>
      <c r="F6259" s="171" t="s">
        <v>29449</v>
      </c>
      <c r="G6259" s="82"/>
      <c r="H6259" s="96">
        <f t="shared" si="388"/>
        <v>78.2</v>
      </c>
      <c r="I6259" s="96">
        <f t="shared" si="388"/>
        <v>78.73</v>
      </c>
      <c r="J6259" s="91" t="str">
        <f t="shared" si="389"/>
        <v>Sinapi 88472</v>
      </c>
      <c r="K6259" s="91" t="str">
        <f t="shared" si="390"/>
        <v>M2</v>
      </c>
      <c r="L6259" s="166" t="str">
        <f t="shared" si="391"/>
        <v>07/2021</v>
      </c>
      <c r="M6259" s="82"/>
      <c r="N6259" s="82"/>
    </row>
    <row r="6260" spans="1:14" x14ac:dyDescent="0.25">
      <c r="A6260" s="170" t="s">
        <v>8702</v>
      </c>
      <c r="B6260" s="170" t="s">
        <v>14299</v>
      </c>
      <c r="C6260" s="170" t="s">
        <v>870</v>
      </c>
      <c r="D6260" s="170" t="s">
        <v>2067</v>
      </c>
      <c r="E6260" s="171" t="s">
        <v>22995</v>
      </c>
      <c r="F6260" s="171" t="s">
        <v>23197</v>
      </c>
      <c r="G6260" s="82"/>
      <c r="H6260" s="96">
        <f t="shared" si="388"/>
        <v>42.87</v>
      </c>
      <c r="I6260" s="96">
        <f t="shared" si="388"/>
        <v>43.07</v>
      </c>
      <c r="J6260" s="91" t="str">
        <f t="shared" si="389"/>
        <v>Sinapi 88476</v>
      </c>
      <c r="K6260" s="91" t="str">
        <f t="shared" si="390"/>
        <v>M2</v>
      </c>
      <c r="L6260" s="166" t="str">
        <f t="shared" si="391"/>
        <v>07/2021</v>
      </c>
      <c r="M6260" s="82"/>
      <c r="N6260" s="82"/>
    </row>
    <row r="6261" spans="1:14" x14ac:dyDescent="0.25">
      <c r="A6261" s="170" t="s">
        <v>8703</v>
      </c>
      <c r="B6261" s="170" t="s">
        <v>14300</v>
      </c>
      <c r="C6261" s="170" t="s">
        <v>870</v>
      </c>
      <c r="D6261" s="170" t="s">
        <v>2067</v>
      </c>
      <c r="E6261" s="171" t="s">
        <v>33738</v>
      </c>
      <c r="F6261" s="171" t="s">
        <v>37650</v>
      </c>
      <c r="G6261" s="82"/>
      <c r="H6261" s="96">
        <f t="shared" si="388"/>
        <v>58.91</v>
      </c>
      <c r="I6261" s="96">
        <f t="shared" si="388"/>
        <v>59.3</v>
      </c>
      <c r="J6261" s="91" t="str">
        <f t="shared" si="389"/>
        <v>Sinapi 88477</v>
      </c>
      <c r="K6261" s="91" t="str">
        <f t="shared" si="390"/>
        <v>M2</v>
      </c>
      <c r="L6261" s="166" t="str">
        <f t="shared" si="391"/>
        <v>07/2021</v>
      </c>
      <c r="M6261" s="82"/>
      <c r="N6261" s="82"/>
    </row>
    <row r="6262" spans="1:14" x14ac:dyDescent="0.25">
      <c r="A6262" s="170" t="s">
        <v>8704</v>
      </c>
      <c r="B6262" s="170" t="s">
        <v>14301</v>
      </c>
      <c r="C6262" s="170" t="s">
        <v>870</v>
      </c>
      <c r="D6262" s="170" t="s">
        <v>2067</v>
      </c>
      <c r="E6262" s="171" t="s">
        <v>29114</v>
      </c>
      <c r="F6262" s="171" t="s">
        <v>29463</v>
      </c>
      <c r="G6262" s="82"/>
      <c r="H6262" s="96">
        <f t="shared" si="388"/>
        <v>72.239999999999995</v>
      </c>
      <c r="I6262" s="96">
        <f t="shared" si="388"/>
        <v>72.760000000000005</v>
      </c>
      <c r="J6262" s="91" t="str">
        <f t="shared" si="389"/>
        <v>Sinapi 88478</v>
      </c>
      <c r="K6262" s="91" t="str">
        <f t="shared" si="390"/>
        <v>M2</v>
      </c>
      <c r="L6262" s="166" t="str">
        <f t="shared" si="391"/>
        <v>07/2021</v>
      </c>
      <c r="M6262" s="82"/>
      <c r="N6262" s="82"/>
    </row>
    <row r="6263" spans="1:14" x14ac:dyDescent="0.25">
      <c r="A6263" s="170" t="s">
        <v>8705</v>
      </c>
      <c r="B6263" s="170" t="s">
        <v>14302</v>
      </c>
      <c r="C6263" s="170" t="s">
        <v>870</v>
      </c>
      <c r="D6263" s="170" t="s">
        <v>2067</v>
      </c>
      <c r="E6263" s="171" t="s">
        <v>34555</v>
      </c>
      <c r="F6263" s="171" t="s">
        <v>29234</v>
      </c>
      <c r="G6263" s="82"/>
      <c r="H6263" s="96">
        <f t="shared" si="388"/>
        <v>89.04</v>
      </c>
      <c r="I6263" s="96">
        <f t="shared" si="388"/>
        <v>91.49</v>
      </c>
      <c r="J6263" s="91" t="str">
        <f t="shared" si="389"/>
        <v>Sinapi 90930</v>
      </c>
      <c r="K6263" s="91" t="str">
        <f t="shared" si="390"/>
        <v>M2</v>
      </c>
      <c r="L6263" s="166" t="str">
        <f t="shared" si="391"/>
        <v>07/2021</v>
      </c>
      <c r="M6263" s="82"/>
      <c r="N6263" s="82"/>
    </row>
    <row r="6264" spans="1:14" x14ac:dyDescent="0.25">
      <c r="A6264" s="170" t="s">
        <v>8706</v>
      </c>
      <c r="B6264" s="170" t="s">
        <v>14303</v>
      </c>
      <c r="C6264" s="170" t="s">
        <v>870</v>
      </c>
      <c r="D6264" s="170" t="s">
        <v>2067</v>
      </c>
      <c r="E6264" s="171" t="s">
        <v>34556</v>
      </c>
      <c r="F6264" s="171" t="s">
        <v>37651</v>
      </c>
      <c r="G6264" s="82"/>
      <c r="H6264" s="96">
        <f t="shared" si="388"/>
        <v>94.42</v>
      </c>
      <c r="I6264" s="96">
        <f t="shared" si="388"/>
        <v>97.41</v>
      </c>
      <c r="J6264" s="91" t="str">
        <f t="shared" si="389"/>
        <v>Sinapi 90932</v>
      </c>
      <c r="K6264" s="91" t="str">
        <f t="shared" si="390"/>
        <v>M2</v>
      </c>
      <c r="L6264" s="166" t="str">
        <f t="shared" si="391"/>
        <v>07/2021</v>
      </c>
      <c r="M6264" s="82"/>
      <c r="N6264" s="82"/>
    </row>
    <row r="6265" spans="1:14" x14ac:dyDescent="0.25">
      <c r="A6265" s="170" t="s">
        <v>8707</v>
      </c>
      <c r="B6265" s="170" t="s">
        <v>14304</v>
      </c>
      <c r="C6265" s="170" t="s">
        <v>870</v>
      </c>
      <c r="D6265" s="170" t="s">
        <v>2067</v>
      </c>
      <c r="E6265" s="171" t="s">
        <v>34557</v>
      </c>
      <c r="F6265" s="171" t="s">
        <v>37652</v>
      </c>
      <c r="G6265" s="82"/>
      <c r="H6265" s="96">
        <f t="shared" si="388"/>
        <v>214.21</v>
      </c>
      <c r="I6265" s="96">
        <f t="shared" si="388"/>
        <v>216.53</v>
      </c>
      <c r="J6265" s="91" t="str">
        <f t="shared" si="389"/>
        <v>Sinapi 90933</v>
      </c>
      <c r="K6265" s="91" t="str">
        <f t="shared" si="390"/>
        <v>M2</v>
      </c>
      <c r="L6265" s="166" t="str">
        <f t="shared" si="391"/>
        <v>07/2021</v>
      </c>
      <c r="M6265" s="82"/>
      <c r="N6265" s="82"/>
    </row>
    <row r="6266" spans="1:14" x14ac:dyDescent="0.25">
      <c r="A6266" s="170" t="s">
        <v>8708</v>
      </c>
      <c r="B6266" s="170" t="s">
        <v>14305</v>
      </c>
      <c r="C6266" s="170" t="s">
        <v>870</v>
      </c>
      <c r="D6266" s="170" t="s">
        <v>2067</v>
      </c>
      <c r="E6266" s="171" t="s">
        <v>34558</v>
      </c>
      <c r="F6266" s="171" t="s">
        <v>29423</v>
      </c>
      <c r="G6266" s="82"/>
      <c r="H6266" s="96">
        <f t="shared" si="388"/>
        <v>226.12</v>
      </c>
      <c r="I6266" s="96">
        <f t="shared" si="388"/>
        <v>229.39</v>
      </c>
      <c r="J6266" s="91" t="str">
        <f t="shared" si="389"/>
        <v>Sinapi 90934</v>
      </c>
      <c r="K6266" s="91" t="str">
        <f t="shared" si="390"/>
        <v>M2</v>
      </c>
      <c r="L6266" s="166" t="str">
        <f t="shared" si="391"/>
        <v>07/2021</v>
      </c>
      <c r="M6266" s="82"/>
      <c r="N6266" s="82"/>
    </row>
    <row r="6267" spans="1:14" x14ac:dyDescent="0.25">
      <c r="A6267" s="170" t="s">
        <v>8709</v>
      </c>
      <c r="B6267" s="170" t="s">
        <v>14306</v>
      </c>
      <c r="C6267" s="170" t="s">
        <v>870</v>
      </c>
      <c r="D6267" s="170" t="s">
        <v>2067</v>
      </c>
      <c r="E6267" s="171" t="s">
        <v>34089</v>
      </c>
      <c r="F6267" s="171" t="s">
        <v>26597</v>
      </c>
      <c r="G6267" s="82"/>
      <c r="H6267" s="96">
        <f t="shared" si="388"/>
        <v>95</v>
      </c>
      <c r="I6267" s="96">
        <f t="shared" si="388"/>
        <v>97.7</v>
      </c>
      <c r="J6267" s="91" t="str">
        <f t="shared" si="389"/>
        <v>Sinapi 90940</v>
      </c>
      <c r="K6267" s="91" t="str">
        <f t="shared" si="390"/>
        <v>M2</v>
      </c>
      <c r="L6267" s="166" t="str">
        <f t="shared" si="391"/>
        <v>07/2021</v>
      </c>
      <c r="M6267" s="82"/>
      <c r="N6267" s="82"/>
    </row>
    <row r="6268" spans="1:14" x14ac:dyDescent="0.25">
      <c r="A6268" s="170" t="s">
        <v>8710</v>
      </c>
      <c r="B6268" s="170" t="s">
        <v>14307</v>
      </c>
      <c r="C6268" s="170" t="s">
        <v>870</v>
      </c>
      <c r="D6268" s="170" t="s">
        <v>2067</v>
      </c>
      <c r="E6268" s="171" t="s">
        <v>34559</v>
      </c>
      <c r="F6268" s="171" t="s">
        <v>37653</v>
      </c>
      <c r="G6268" s="82"/>
      <c r="H6268" s="96">
        <f t="shared" si="388"/>
        <v>100.86</v>
      </c>
      <c r="I6268" s="96">
        <f t="shared" si="388"/>
        <v>104.15</v>
      </c>
      <c r="J6268" s="91" t="str">
        <f t="shared" si="389"/>
        <v>Sinapi 90942</v>
      </c>
      <c r="K6268" s="91" t="str">
        <f t="shared" si="390"/>
        <v>M2</v>
      </c>
      <c r="L6268" s="166" t="str">
        <f t="shared" si="391"/>
        <v>07/2021</v>
      </c>
      <c r="M6268" s="82"/>
      <c r="N6268" s="82"/>
    </row>
    <row r="6269" spans="1:14" x14ac:dyDescent="0.25">
      <c r="A6269" s="170" t="s">
        <v>8711</v>
      </c>
      <c r="B6269" s="170" t="s">
        <v>14308</v>
      </c>
      <c r="C6269" s="170" t="s">
        <v>870</v>
      </c>
      <c r="D6269" s="170" t="s">
        <v>2067</v>
      </c>
      <c r="E6269" s="171" t="s">
        <v>34560</v>
      </c>
      <c r="F6269" s="171" t="s">
        <v>37654</v>
      </c>
      <c r="G6269" s="82"/>
      <c r="H6269" s="96">
        <f t="shared" si="388"/>
        <v>231.31</v>
      </c>
      <c r="I6269" s="96">
        <f t="shared" si="388"/>
        <v>233.87</v>
      </c>
      <c r="J6269" s="91" t="str">
        <f t="shared" si="389"/>
        <v>Sinapi 90943</v>
      </c>
      <c r="K6269" s="91" t="str">
        <f t="shared" si="390"/>
        <v>M2</v>
      </c>
      <c r="L6269" s="166" t="str">
        <f t="shared" si="391"/>
        <v>07/2021</v>
      </c>
      <c r="M6269" s="82"/>
      <c r="N6269" s="82"/>
    </row>
    <row r="6270" spans="1:14" x14ac:dyDescent="0.25">
      <c r="A6270" s="170" t="s">
        <v>8712</v>
      </c>
      <c r="B6270" s="170" t="s">
        <v>14309</v>
      </c>
      <c r="C6270" s="170" t="s">
        <v>870</v>
      </c>
      <c r="D6270" s="170" t="s">
        <v>2067</v>
      </c>
      <c r="E6270" s="171" t="s">
        <v>34561</v>
      </c>
      <c r="F6270" s="171" t="s">
        <v>37655</v>
      </c>
      <c r="G6270" s="82"/>
      <c r="H6270" s="96">
        <f t="shared" si="388"/>
        <v>244.27</v>
      </c>
      <c r="I6270" s="96">
        <f t="shared" si="388"/>
        <v>247.87</v>
      </c>
      <c r="J6270" s="91" t="str">
        <f t="shared" si="389"/>
        <v>Sinapi 90944</v>
      </c>
      <c r="K6270" s="91" t="str">
        <f t="shared" si="390"/>
        <v>M2</v>
      </c>
      <c r="L6270" s="166" t="str">
        <f t="shared" si="391"/>
        <v>07/2021</v>
      </c>
      <c r="M6270" s="82"/>
      <c r="N6270" s="82"/>
    </row>
    <row r="6271" spans="1:14" x14ac:dyDescent="0.25">
      <c r="A6271" s="170" t="s">
        <v>8713</v>
      </c>
      <c r="B6271" s="170" t="s">
        <v>14310</v>
      </c>
      <c r="C6271" s="170" t="s">
        <v>870</v>
      </c>
      <c r="D6271" s="170" t="s">
        <v>2067</v>
      </c>
      <c r="E6271" s="171" t="s">
        <v>34562</v>
      </c>
      <c r="F6271" s="171" t="s">
        <v>37656</v>
      </c>
      <c r="G6271" s="82"/>
      <c r="H6271" s="96">
        <f t="shared" si="388"/>
        <v>105.9</v>
      </c>
      <c r="I6271" s="96">
        <f t="shared" si="388"/>
        <v>109.05</v>
      </c>
      <c r="J6271" s="91" t="str">
        <f t="shared" si="389"/>
        <v>Sinapi 90950</v>
      </c>
      <c r="K6271" s="91" t="str">
        <f t="shared" si="390"/>
        <v>M2</v>
      </c>
      <c r="L6271" s="166" t="str">
        <f t="shared" si="391"/>
        <v>07/2021</v>
      </c>
      <c r="M6271" s="82"/>
      <c r="N6271" s="82"/>
    </row>
    <row r="6272" spans="1:14" x14ac:dyDescent="0.25">
      <c r="A6272" s="170" t="s">
        <v>8714</v>
      </c>
      <c r="B6272" s="170" t="s">
        <v>14311</v>
      </c>
      <c r="C6272" s="170" t="s">
        <v>870</v>
      </c>
      <c r="D6272" s="170" t="s">
        <v>2067</v>
      </c>
      <c r="E6272" s="171" t="s">
        <v>34563</v>
      </c>
      <c r="F6272" s="171" t="s">
        <v>29991</v>
      </c>
      <c r="G6272" s="82"/>
      <c r="H6272" s="96">
        <f t="shared" si="388"/>
        <v>112.64</v>
      </c>
      <c r="I6272" s="96">
        <f t="shared" si="388"/>
        <v>116.46</v>
      </c>
      <c r="J6272" s="91" t="str">
        <f t="shared" si="389"/>
        <v>Sinapi 90952</v>
      </c>
      <c r="K6272" s="91" t="str">
        <f t="shared" si="390"/>
        <v>M2</v>
      </c>
      <c r="L6272" s="166" t="str">
        <f t="shared" si="391"/>
        <v>07/2021</v>
      </c>
      <c r="M6272" s="82"/>
      <c r="N6272" s="82"/>
    </row>
    <row r="6273" spans="1:14" x14ac:dyDescent="0.25">
      <c r="A6273" s="170" t="s">
        <v>8715</v>
      </c>
      <c r="B6273" s="170" t="s">
        <v>14312</v>
      </c>
      <c r="C6273" s="170" t="s">
        <v>870</v>
      </c>
      <c r="D6273" s="170" t="s">
        <v>2067</v>
      </c>
      <c r="E6273" s="171" t="s">
        <v>34564</v>
      </c>
      <c r="F6273" s="171" t="s">
        <v>37657</v>
      </c>
      <c r="G6273" s="82"/>
      <c r="H6273" s="96">
        <f t="shared" si="388"/>
        <v>262.62</v>
      </c>
      <c r="I6273" s="96">
        <f t="shared" si="388"/>
        <v>265.61</v>
      </c>
      <c r="J6273" s="91" t="str">
        <f t="shared" si="389"/>
        <v>Sinapi 90953</v>
      </c>
      <c r="K6273" s="91" t="str">
        <f t="shared" si="390"/>
        <v>M2</v>
      </c>
      <c r="L6273" s="166" t="str">
        <f t="shared" si="391"/>
        <v>07/2021</v>
      </c>
      <c r="M6273" s="82"/>
      <c r="N6273" s="82"/>
    </row>
    <row r="6274" spans="1:14" x14ac:dyDescent="0.25">
      <c r="A6274" s="170" t="s">
        <v>8716</v>
      </c>
      <c r="B6274" s="170" t="s">
        <v>14313</v>
      </c>
      <c r="C6274" s="170" t="s">
        <v>870</v>
      </c>
      <c r="D6274" s="170" t="s">
        <v>2067</v>
      </c>
      <c r="E6274" s="171" t="s">
        <v>34565</v>
      </c>
      <c r="F6274" s="171" t="s">
        <v>37658</v>
      </c>
      <c r="G6274" s="82"/>
      <c r="H6274" s="96">
        <f t="shared" si="388"/>
        <v>277.52999999999997</v>
      </c>
      <c r="I6274" s="96">
        <f t="shared" si="388"/>
        <v>281.70999999999998</v>
      </c>
      <c r="J6274" s="91" t="str">
        <f t="shared" si="389"/>
        <v>Sinapi 90954</v>
      </c>
      <c r="K6274" s="91" t="str">
        <f t="shared" si="390"/>
        <v>M2</v>
      </c>
      <c r="L6274" s="166" t="str">
        <f t="shared" si="391"/>
        <v>07/2021</v>
      </c>
      <c r="M6274" s="82"/>
      <c r="N6274" s="82"/>
    </row>
    <row r="6275" spans="1:14" x14ac:dyDescent="0.25">
      <c r="A6275" s="170" t="s">
        <v>8717</v>
      </c>
      <c r="B6275" s="170" t="s">
        <v>8718</v>
      </c>
      <c r="C6275" s="170" t="s">
        <v>870</v>
      </c>
      <c r="D6275" s="170" t="s">
        <v>2067</v>
      </c>
      <c r="E6275" s="171" t="s">
        <v>23061</v>
      </c>
      <c r="F6275" s="171" t="s">
        <v>37659</v>
      </c>
      <c r="G6275" s="82"/>
      <c r="H6275" s="96">
        <f t="shared" si="388"/>
        <v>50.71</v>
      </c>
      <c r="I6275" s="96">
        <f t="shared" si="388"/>
        <v>52.6</v>
      </c>
      <c r="J6275" s="91" t="str">
        <f t="shared" si="389"/>
        <v>Sinapi 94438</v>
      </c>
      <c r="K6275" s="91" t="str">
        <f t="shared" si="390"/>
        <v>M2</v>
      </c>
      <c r="L6275" s="166" t="str">
        <f t="shared" si="391"/>
        <v>11/2014</v>
      </c>
      <c r="M6275" s="82"/>
      <c r="N6275" s="82"/>
    </row>
    <row r="6276" spans="1:14" x14ac:dyDescent="0.25">
      <c r="A6276" s="170" t="s">
        <v>8719</v>
      </c>
      <c r="B6276" s="170" t="s">
        <v>14740</v>
      </c>
      <c r="C6276" s="170" t="s">
        <v>870</v>
      </c>
      <c r="D6276" s="170" t="s">
        <v>2067</v>
      </c>
      <c r="E6276" s="171" t="s">
        <v>25678</v>
      </c>
      <c r="F6276" s="171" t="s">
        <v>37660</v>
      </c>
      <c r="G6276" s="82"/>
      <c r="H6276" s="96">
        <f t="shared" si="388"/>
        <v>57.81</v>
      </c>
      <c r="I6276" s="96">
        <f t="shared" si="388"/>
        <v>59.86</v>
      </c>
      <c r="J6276" s="91" t="str">
        <f t="shared" si="389"/>
        <v>Sinapi 94439</v>
      </c>
      <c r="K6276" s="91" t="str">
        <f t="shared" si="390"/>
        <v>M2</v>
      </c>
      <c r="L6276" s="166" t="str">
        <f t="shared" si="391"/>
        <v>11/2014</v>
      </c>
      <c r="M6276" s="82"/>
      <c r="N6276" s="82"/>
    </row>
    <row r="6277" spans="1:14" x14ac:dyDescent="0.25">
      <c r="A6277" s="170" t="s">
        <v>8720</v>
      </c>
      <c r="B6277" s="170" t="s">
        <v>8721</v>
      </c>
      <c r="C6277" s="170" t="s">
        <v>870</v>
      </c>
      <c r="D6277" s="170" t="s">
        <v>2067</v>
      </c>
      <c r="E6277" s="171" t="s">
        <v>21079</v>
      </c>
      <c r="F6277" s="171" t="s">
        <v>28842</v>
      </c>
      <c r="G6277" s="82"/>
      <c r="H6277" s="96">
        <f t="shared" si="388"/>
        <v>49.42</v>
      </c>
      <c r="I6277" s="96">
        <f t="shared" si="388"/>
        <v>51.14</v>
      </c>
      <c r="J6277" s="91" t="str">
        <f t="shared" si="389"/>
        <v>Sinapi 94779</v>
      </c>
      <c r="K6277" s="91" t="str">
        <f t="shared" si="390"/>
        <v>M2</v>
      </c>
      <c r="L6277" s="166" t="str">
        <f t="shared" si="391"/>
        <v>11/2014</v>
      </c>
      <c r="M6277" s="82"/>
      <c r="N6277" s="82"/>
    </row>
    <row r="6278" spans="1:14" x14ac:dyDescent="0.25">
      <c r="A6278" s="170" t="s">
        <v>8722</v>
      </c>
      <c r="B6278" s="170" t="s">
        <v>14741</v>
      </c>
      <c r="C6278" s="170" t="s">
        <v>870</v>
      </c>
      <c r="D6278" s="170" t="s">
        <v>2067</v>
      </c>
      <c r="E6278" s="171" t="s">
        <v>34566</v>
      </c>
      <c r="F6278" s="171" t="s">
        <v>23198</v>
      </c>
      <c r="G6278" s="82"/>
      <c r="H6278" s="96">
        <f t="shared" si="388"/>
        <v>57.29</v>
      </c>
      <c r="I6278" s="96">
        <f t="shared" si="388"/>
        <v>59.21</v>
      </c>
      <c r="J6278" s="91" t="str">
        <f t="shared" si="389"/>
        <v>Sinapi 94782</v>
      </c>
      <c r="K6278" s="91" t="str">
        <f t="shared" si="390"/>
        <v>M2</v>
      </c>
      <c r="L6278" s="166" t="str">
        <f t="shared" si="391"/>
        <v>11/2014</v>
      </c>
      <c r="M6278" s="82"/>
      <c r="N6278" s="82"/>
    </row>
    <row r="6279" spans="1:14" x14ac:dyDescent="0.25">
      <c r="A6279" s="170" t="s">
        <v>14314</v>
      </c>
      <c r="B6279" s="170" t="s">
        <v>14315</v>
      </c>
      <c r="C6279" s="170" t="s">
        <v>870</v>
      </c>
      <c r="D6279" s="170" t="s">
        <v>2710</v>
      </c>
      <c r="E6279" s="171" t="s">
        <v>25835</v>
      </c>
      <c r="F6279" s="171" t="s">
        <v>10392</v>
      </c>
      <c r="G6279" s="82"/>
      <c r="H6279" s="96">
        <f t="shared" si="388"/>
        <v>2.38</v>
      </c>
      <c r="I6279" s="96">
        <f t="shared" si="388"/>
        <v>2.58</v>
      </c>
      <c r="J6279" s="91" t="str">
        <f t="shared" si="389"/>
        <v>Sinapi 102803</v>
      </c>
      <c r="K6279" s="91" t="str">
        <f t="shared" si="390"/>
        <v>M2</v>
      </c>
      <c r="L6279" s="166" t="str">
        <f t="shared" si="391"/>
        <v>07/2021</v>
      </c>
      <c r="M6279" s="82"/>
      <c r="N6279" s="82"/>
    </row>
    <row r="6280" spans="1:14" x14ac:dyDescent="0.25">
      <c r="A6280" s="170" t="s">
        <v>11602</v>
      </c>
      <c r="B6280" s="170" t="s">
        <v>11603</v>
      </c>
      <c r="C6280" s="170" t="s">
        <v>385</v>
      </c>
      <c r="D6280" s="170" t="s">
        <v>2067</v>
      </c>
      <c r="E6280" s="171" t="s">
        <v>34567</v>
      </c>
      <c r="F6280" s="171" t="s">
        <v>31580</v>
      </c>
      <c r="G6280" s="82"/>
      <c r="H6280" s="96">
        <f t="shared" ref="H6280:I6343" si="392">IF(E6280="","",E6280+0)</f>
        <v>64.36</v>
      </c>
      <c r="I6280" s="96">
        <f t="shared" si="392"/>
        <v>66.849999999999994</v>
      </c>
      <c r="J6280" s="91" t="str">
        <f t="shared" ref="J6280:J6343" si="393">IF(OR(H6280="",I6280=""),"",TRIM(CONCATENATE("Sinapi ",A6280)))</f>
        <v>Sinapi 101742</v>
      </c>
      <c r="K6280" s="91" t="str">
        <f t="shared" ref="K6280:K6343" si="394">TRIM(C6280)</f>
        <v>M</v>
      </c>
      <c r="L6280" s="166" t="str">
        <f t="shared" ref="L6280:L6343" si="395">IF(OR(RIGHT(IF(AND(K6280&lt;&gt;"H",K6280&lt;&gt;"MES"),RIGHT(B6280,7),""),2)="PS",RIGHT(IF(AND(K6280&lt;&gt;"H",K6280&lt;&gt;"MES"),RIGHT(B6280,7),""),2)="PA",RIGHT(IF(AND(K6280&lt;&gt;"H",K6280&lt;&gt;"MES"),RIGHT(B6280,7),""),2)="PE"),LEFT(IF(AND(K6280&lt;&gt;"H",K6280&lt;&gt;"MES"),RIGHT(B6280,10),""),7),IF(AND(K6280&lt;&gt;"H",K6280&lt;&gt;"MES"),RIGHT(B6280,7),""))</f>
        <v>09/2020</v>
      </c>
      <c r="M6280" s="82"/>
      <c r="N6280" s="82"/>
    </row>
    <row r="6281" spans="1:14" x14ac:dyDescent="0.25">
      <c r="A6281" s="170" t="s">
        <v>8724</v>
      </c>
      <c r="B6281" s="170" t="s">
        <v>18476</v>
      </c>
      <c r="C6281" s="170" t="s">
        <v>870</v>
      </c>
      <c r="D6281" s="170" t="s">
        <v>2067</v>
      </c>
      <c r="E6281" s="171" t="s">
        <v>14925</v>
      </c>
      <c r="F6281" s="171" t="s">
        <v>29801</v>
      </c>
      <c r="G6281" s="82"/>
      <c r="H6281" s="96">
        <f t="shared" si="392"/>
        <v>5.15</v>
      </c>
      <c r="I6281" s="96">
        <f t="shared" si="392"/>
        <v>5.47</v>
      </c>
      <c r="J6281" s="91" t="str">
        <f t="shared" si="393"/>
        <v>Sinapi 87878</v>
      </c>
      <c r="K6281" s="91" t="str">
        <f t="shared" si="394"/>
        <v>M2</v>
      </c>
      <c r="L6281" s="166" t="str">
        <f t="shared" si="395"/>
        <v>10/2022</v>
      </c>
      <c r="M6281" s="82"/>
      <c r="N6281" s="82"/>
    </row>
    <row r="6282" spans="1:14" x14ac:dyDescent="0.25">
      <c r="A6282" s="170" t="s">
        <v>8725</v>
      </c>
      <c r="B6282" s="170" t="s">
        <v>18477</v>
      </c>
      <c r="C6282" s="170" t="s">
        <v>870</v>
      </c>
      <c r="D6282" s="170" t="s">
        <v>2067</v>
      </c>
      <c r="E6282" s="171" t="s">
        <v>19967</v>
      </c>
      <c r="F6282" s="171" t="s">
        <v>13399</v>
      </c>
      <c r="G6282" s="82"/>
      <c r="H6282" s="96">
        <f t="shared" si="392"/>
        <v>4.7699999999999996</v>
      </c>
      <c r="I6282" s="96">
        <f t="shared" si="392"/>
        <v>5.05</v>
      </c>
      <c r="J6282" s="91" t="str">
        <f t="shared" si="393"/>
        <v>Sinapi 87879</v>
      </c>
      <c r="K6282" s="91" t="str">
        <f t="shared" si="394"/>
        <v>M2</v>
      </c>
      <c r="L6282" s="166" t="str">
        <f t="shared" si="395"/>
        <v>10/2022</v>
      </c>
      <c r="M6282" s="82"/>
      <c r="N6282" s="82"/>
    </row>
    <row r="6283" spans="1:14" x14ac:dyDescent="0.25">
      <c r="A6283" s="170" t="s">
        <v>8726</v>
      </c>
      <c r="B6283" s="170" t="s">
        <v>18478</v>
      </c>
      <c r="C6283" s="170" t="s">
        <v>870</v>
      </c>
      <c r="D6283" s="170" t="s">
        <v>2067</v>
      </c>
      <c r="E6283" s="171" t="s">
        <v>33592</v>
      </c>
      <c r="F6283" s="171" t="s">
        <v>37661</v>
      </c>
      <c r="G6283" s="82"/>
      <c r="H6283" s="96">
        <f t="shared" si="392"/>
        <v>7.16</v>
      </c>
      <c r="I6283" s="96">
        <f t="shared" si="392"/>
        <v>7.33</v>
      </c>
      <c r="J6283" s="91" t="str">
        <f t="shared" si="393"/>
        <v>Sinapi 87881</v>
      </c>
      <c r="K6283" s="91" t="str">
        <f t="shared" si="394"/>
        <v>M2</v>
      </c>
      <c r="L6283" s="166" t="str">
        <f t="shared" si="395"/>
        <v>10/2022</v>
      </c>
      <c r="M6283" s="82"/>
      <c r="N6283" s="82"/>
    </row>
    <row r="6284" spans="1:14" x14ac:dyDescent="0.25">
      <c r="A6284" s="170" t="s">
        <v>8727</v>
      </c>
      <c r="B6284" s="170" t="s">
        <v>18479</v>
      </c>
      <c r="C6284" s="170" t="s">
        <v>870</v>
      </c>
      <c r="D6284" s="170" t="s">
        <v>2067</v>
      </c>
      <c r="E6284" s="171" t="s">
        <v>14626</v>
      </c>
      <c r="F6284" s="171" t="s">
        <v>18572</v>
      </c>
      <c r="G6284" s="82"/>
      <c r="H6284" s="96">
        <f t="shared" si="392"/>
        <v>7.03</v>
      </c>
      <c r="I6284" s="96">
        <f t="shared" si="392"/>
        <v>7.19</v>
      </c>
      <c r="J6284" s="91" t="str">
        <f t="shared" si="393"/>
        <v>Sinapi 87882</v>
      </c>
      <c r="K6284" s="91" t="str">
        <f t="shared" si="394"/>
        <v>M2</v>
      </c>
      <c r="L6284" s="166" t="str">
        <f t="shared" si="395"/>
        <v>10/2022</v>
      </c>
      <c r="M6284" s="82"/>
      <c r="N6284" s="82"/>
    </row>
    <row r="6285" spans="1:14" x14ac:dyDescent="0.25">
      <c r="A6285" s="170" t="s">
        <v>8728</v>
      </c>
      <c r="B6285" s="170" t="s">
        <v>18480</v>
      </c>
      <c r="C6285" s="170" t="s">
        <v>870</v>
      </c>
      <c r="D6285" s="170" t="s">
        <v>2067</v>
      </c>
      <c r="E6285" s="171" t="s">
        <v>21494</v>
      </c>
      <c r="F6285" s="171" t="s">
        <v>19352</v>
      </c>
      <c r="G6285" s="82"/>
      <c r="H6285" s="96">
        <f t="shared" si="392"/>
        <v>13.21</v>
      </c>
      <c r="I6285" s="96">
        <f t="shared" si="392"/>
        <v>13.39</v>
      </c>
      <c r="J6285" s="91" t="str">
        <f t="shared" si="393"/>
        <v>Sinapi 87884</v>
      </c>
      <c r="K6285" s="91" t="str">
        <f t="shared" si="394"/>
        <v>M2</v>
      </c>
      <c r="L6285" s="166" t="str">
        <f t="shared" si="395"/>
        <v>10/2022</v>
      </c>
      <c r="M6285" s="82"/>
      <c r="N6285" s="82"/>
    </row>
    <row r="6286" spans="1:14" x14ac:dyDescent="0.25">
      <c r="A6286" s="170" t="s">
        <v>8729</v>
      </c>
      <c r="B6286" s="170" t="s">
        <v>18481</v>
      </c>
      <c r="C6286" s="170" t="s">
        <v>870</v>
      </c>
      <c r="D6286" s="170" t="s">
        <v>2067</v>
      </c>
      <c r="E6286" s="171" t="s">
        <v>16301</v>
      </c>
      <c r="F6286" s="171" t="s">
        <v>17893</v>
      </c>
      <c r="G6286" s="82"/>
      <c r="H6286" s="96">
        <f t="shared" si="392"/>
        <v>12.86</v>
      </c>
      <c r="I6286" s="96">
        <f t="shared" si="392"/>
        <v>13.02</v>
      </c>
      <c r="J6286" s="91" t="str">
        <f t="shared" si="393"/>
        <v>Sinapi 87885</v>
      </c>
      <c r="K6286" s="91" t="str">
        <f t="shared" si="394"/>
        <v>M2</v>
      </c>
      <c r="L6286" s="166" t="str">
        <f t="shared" si="395"/>
        <v>10/2022</v>
      </c>
      <c r="M6286" s="82"/>
      <c r="N6286" s="82"/>
    </row>
    <row r="6287" spans="1:14" x14ac:dyDescent="0.25">
      <c r="A6287" s="170" t="s">
        <v>8730</v>
      </c>
      <c r="B6287" s="170" t="s">
        <v>18482</v>
      </c>
      <c r="C6287" s="170" t="s">
        <v>870</v>
      </c>
      <c r="D6287" s="170" t="s">
        <v>2067</v>
      </c>
      <c r="E6287" s="171" t="s">
        <v>34568</v>
      </c>
      <c r="F6287" s="171" t="s">
        <v>21962</v>
      </c>
      <c r="G6287" s="82"/>
      <c r="H6287" s="96">
        <f t="shared" si="392"/>
        <v>21.33</v>
      </c>
      <c r="I6287" s="96">
        <f t="shared" si="392"/>
        <v>21.9</v>
      </c>
      <c r="J6287" s="91" t="str">
        <f t="shared" si="393"/>
        <v>Sinapi 87886</v>
      </c>
      <c r="K6287" s="91" t="str">
        <f t="shared" si="394"/>
        <v>M2</v>
      </c>
      <c r="L6287" s="166" t="str">
        <f t="shared" si="395"/>
        <v>10/2022</v>
      </c>
      <c r="M6287" s="82"/>
      <c r="N6287" s="82"/>
    </row>
    <row r="6288" spans="1:14" x14ac:dyDescent="0.25">
      <c r="A6288" s="170" t="s">
        <v>8731</v>
      </c>
      <c r="B6288" s="170" t="s">
        <v>18483</v>
      </c>
      <c r="C6288" s="170" t="s">
        <v>870</v>
      </c>
      <c r="D6288" s="170" t="s">
        <v>2067</v>
      </c>
      <c r="E6288" s="171" t="s">
        <v>19297</v>
      </c>
      <c r="F6288" s="171" t="s">
        <v>20138</v>
      </c>
      <c r="G6288" s="82"/>
      <c r="H6288" s="96">
        <f t="shared" si="392"/>
        <v>20.61</v>
      </c>
      <c r="I6288" s="96">
        <f t="shared" si="392"/>
        <v>21.11</v>
      </c>
      <c r="J6288" s="91" t="str">
        <f t="shared" si="393"/>
        <v>Sinapi 87887</v>
      </c>
      <c r="K6288" s="91" t="str">
        <f t="shared" si="394"/>
        <v>M2</v>
      </c>
      <c r="L6288" s="166" t="str">
        <f t="shared" si="395"/>
        <v>10/2022</v>
      </c>
      <c r="M6288" s="82"/>
      <c r="N6288" s="82"/>
    </row>
    <row r="6289" spans="1:14" x14ac:dyDescent="0.25">
      <c r="A6289" s="170" t="s">
        <v>8732</v>
      </c>
      <c r="B6289" s="170" t="s">
        <v>18484</v>
      </c>
      <c r="C6289" s="170" t="s">
        <v>870</v>
      </c>
      <c r="D6289" s="170" t="s">
        <v>2067</v>
      </c>
      <c r="E6289" s="171" t="s">
        <v>30892</v>
      </c>
      <c r="F6289" s="171" t="s">
        <v>15757</v>
      </c>
      <c r="G6289" s="82"/>
      <c r="H6289" s="96">
        <f t="shared" si="392"/>
        <v>8.57</v>
      </c>
      <c r="I6289" s="96">
        <f t="shared" si="392"/>
        <v>8.91</v>
      </c>
      <c r="J6289" s="91" t="str">
        <f t="shared" si="393"/>
        <v>Sinapi 87888</v>
      </c>
      <c r="K6289" s="91" t="str">
        <f t="shared" si="394"/>
        <v>M2</v>
      </c>
      <c r="L6289" s="166" t="str">
        <f t="shared" si="395"/>
        <v>10/2022</v>
      </c>
      <c r="M6289" s="82"/>
      <c r="N6289" s="82"/>
    </row>
    <row r="6290" spans="1:14" x14ac:dyDescent="0.25">
      <c r="A6290" s="170" t="s">
        <v>8733</v>
      </c>
      <c r="B6290" s="170" t="s">
        <v>18485</v>
      </c>
      <c r="C6290" s="170" t="s">
        <v>870</v>
      </c>
      <c r="D6290" s="170" t="s">
        <v>2067</v>
      </c>
      <c r="E6290" s="171" t="s">
        <v>14360</v>
      </c>
      <c r="F6290" s="171" t="s">
        <v>28556</v>
      </c>
      <c r="G6290" s="82"/>
      <c r="H6290" s="96">
        <f t="shared" si="392"/>
        <v>8.44</v>
      </c>
      <c r="I6290" s="96">
        <f t="shared" si="392"/>
        <v>8.77</v>
      </c>
      <c r="J6290" s="91" t="str">
        <f t="shared" si="393"/>
        <v>Sinapi 87889</v>
      </c>
      <c r="K6290" s="91" t="str">
        <f t="shared" si="394"/>
        <v>M2</v>
      </c>
      <c r="L6290" s="166" t="str">
        <f t="shared" si="395"/>
        <v>10/2022</v>
      </c>
      <c r="M6290" s="82"/>
      <c r="N6290" s="82"/>
    </row>
    <row r="6291" spans="1:14" x14ac:dyDescent="0.25">
      <c r="A6291" s="170" t="s">
        <v>8734</v>
      </c>
      <c r="B6291" s="170" t="s">
        <v>18486</v>
      </c>
      <c r="C6291" s="170" t="s">
        <v>870</v>
      </c>
      <c r="D6291" s="170" t="s">
        <v>2067</v>
      </c>
      <c r="E6291" s="171" t="s">
        <v>19934</v>
      </c>
      <c r="F6291" s="171" t="s">
        <v>22088</v>
      </c>
      <c r="G6291" s="82"/>
      <c r="H6291" s="96">
        <f t="shared" si="392"/>
        <v>14.62</v>
      </c>
      <c r="I6291" s="96">
        <f t="shared" si="392"/>
        <v>14.97</v>
      </c>
      <c r="J6291" s="91" t="str">
        <f t="shared" si="393"/>
        <v>Sinapi 87891</v>
      </c>
      <c r="K6291" s="91" t="str">
        <f t="shared" si="394"/>
        <v>M2</v>
      </c>
      <c r="L6291" s="166" t="str">
        <f t="shared" si="395"/>
        <v>10/2022</v>
      </c>
      <c r="M6291" s="82"/>
      <c r="N6291" s="82"/>
    </row>
    <row r="6292" spans="1:14" x14ac:dyDescent="0.25">
      <c r="A6292" s="170" t="s">
        <v>8735</v>
      </c>
      <c r="B6292" s="170" t="s">
        <v>18487</v>
      </c>
      <c r="C6292" s="170" t="s">
        <v>870</v>
      </c>
      <c r="D6292" s="170" t="s">
        <v>2067</v>
      </c>
      <c r="E6292" s="171" t="s">
        <v>21249</v>
      </c>
      <c r="F6292" s="171" t="s">
        <v>29987</v>
      </c>
      <c r="G6292" s="82"/>
      <c r="H6292" s="96">
        <f t="shared" si="392"/>
        <v>14.27</v>
      </c>
      <c r="I6292" s="96">
        <f t="shared" si="392"/>
        <v>14.6</v>
      </c>
      <c r="J6292" s="91" t="str">
        <f t="shared" si="393"/>
        <v>Sinapi 87892</v>
      </c>
      <c r="K6292" s="91" t="str">
        <f t="shared" si="394"/>
        <v>M2</v>
      </c>
      <c r="L6292" s="166" t="str">
        <f t="shared" si="395"/>
        <v>10/2022</v>
      </c>
      <c r="M6292" s="82"/>
      <c r="N6292" s="82"/>
    </row>
    <row r="6293" spans="1:14" x14ac:dyDescent="0.25">
      <c r="A6293" s="170" t="s">
        <v>8736</v>
      </c>
      <c r="B6293" s="170" t="s">
        <v>18488</v>
      </c>
      <c r="C6293" s="170" t="s">
        <v>870</v>
      </c>
      <c r="D6293" s="170" t="s">
        <v>2067</v>
      </c>
      <c r="E6293" s="171" t="s">
        <v>17346</v>
      </c>
      <c r="F6293" s="171" t="s">
        <v>13578</v>
      </c>
      <c r="G6293" s="82"/>
      <c r="H6293" s="96">
        <f t="shared" si="392"/>
        <v>7.26</v>
      </c>
      <c r="I6293" s="96">
        <f t="shared" si="392"/>
        <v>7.82</v>
      </c>
      <c r="J6293" s="91" t="str">
        <f t="shared" si="393"/>
        <v>Sinapi 87893</v>
      </c>
      <c r="K6293" s="91" t="str">
        <f t="shared" si="394"/>
        <v>M2</v>
      </c>
      <c r="L6293" s="166" t="str">
        <f t="shared" si="395"/>
        <v>10/2022</v>
      </c>
      <c r="M6293" s="82"/>
      <c r="N6293" s="82"/>
    </row>
    <row r="6294" spans="1:14" x14ac:dyDescent="0.25">
      <c r="A6294" s="170" t="s">
        <v>8737</v>
      </c>
      <c r="B6294" s="170" t="s">
        <v>18489</v>
      </c>
      <c r="C6294" s="170" t="s">
        <v>870</v>
      </c>
      <c r="D6294" s="170" t="s">
        <v>2067</v>
      </c>
      <c r="E6294" s="171" t="s">
        <v>21105</v>
      </c>
      <c r="F6294" s="171" t="s">
        <v>35077</v>
      </c>
      <c r="G6294" s="82"/>
      <c r="H6294" s="96">
        <f t="shared" si="392"/>
        <v>6.88</v>
      </c>
      <c r="I6294" s="96">
        <f t="shared" si="392"/>
        <v>7.4</v>
      </c>
      <c r="J6294" s="91" t="str">
        <f t="shared" si="393"/>
        <v>Sinapi 87894</v>
      </c>
      <c r="K6294" s="91" t="str">
        <f t="shared" si="394"/>
        <v>M2</v>
      </c>
      <c r="L6294" s="166" t="str">
        <f t="shared" si="395"/>
        <v>10/2022</v>
      </c>
      <c r="M6294" s="82"/>
      <c r="N6294" s="82"/>
    </row>
    <row r="6295" spans="1:14" x14ac:dyDescent="0.25">
      <c r="A6295" s="170" t="s">
        <v>8738</v>
      </c>
      <c r="B6295" s="170" t="s">
        <v>18490</v>
      </c>
      <c r="C6295" s="170" t="s">
        <v>870</v>
      </c>
      <c r="D6295" s="170" t="s">
        <v>1947</v>
      </c>
      <c r="E6295" s="171" t="s">
        <v>20062</v>
      </c>
      <c r="F6295" s="171" t="s">
        <v>29699</v>
      </c>
      <c r="G6295" s="82"/>
      <c r="H6295" s="96">
        <f t="shared" si="392"/>
        <v>5.81</v>
      </c>
      <c r="I6295" s="96">
        <f t="shared" si="392"/>
        <v>6.13</v>
      </c>
      <c r="J6295" s="91" t="str">
        <f t="shared" si="393"/>
        <v>Sinapi 87896</v>
      </c>
      <c r="K6295" s="91" t="str">
        <f t="shared" si="394"/>
        <v>M2</v>
      </c>
      <c r="L6295" s="166" t="str">
        <f t="shared" si="395"/>
        <v>10/2022</v>
      </c>
      <c r="M6295" s="82"/>
      <c r="N6295" s="82"/>
    </row>
    <row r="6296" spans="1:14" x14ac:dyDescent="0.25">
      <c r="A6296" s="170" t="s">
        <v>8739</v>
      </c>
      <c r="B6296" s="170" t="s">
        <v>18491</v>
      </c>
      <c r="C6296" s="170" t="s">
        <v>870</v>
      </c>
      <c r="D6296" s="170" t="s">
        <v>1947</v>
      </c>
      <c r="E6296" s="171" t="s">
        <v>2650</v>
      </c>
      <c r="F6296" s="171" t="s">
        <v>21868</v>
      </c>
      <c r="G6296" s="82"/>
      <c r="H6296" s="96">
        <f t="shared" si="392"/>
        <v>5.43</v>
      </c>
      <c r="I6296" s="96">
        <f t="shared" si="392"/>
        <v>5.71</v>
      </c>
      <c r="J6296" s="91" t="str">
        <f t="shared" si="393"/>
        <v>Sinapi 87897</v>
      </c>
      <c r="K6296" s="91" t="str">
        <f t="shared" si="394"/>
        <v>M2</v>
      </c>
      <c r="L6296" s="166" t="str">
        <f t="shared" si="395"/>
        <v>10/2022</v>
      </c>
      <c r="M6296" s="82"/>
      <c r="N6296" s="82"/>
    </row>
    <row r="6297" spans="1:14" x14ac:dyDescent="0.25">
      <c r="A6297" s="170" t="s">
        <v>8741</v>
      </c>
      <c r="B6297" s="170" t="s">
        <v>18492</v>
      </c>
      <c r="C6297" s="170" t="s">
        <v>870</v>
      </c>
      <c r="D6297" s="170" t="s">
        <v>2067</v>
      </c>
      <c r="E6297" s="171" t="s">
        <v>14936</v>
      </c>
      <c r="F6297" s="171" t="s">
        <v>3571</v>
      </c>
      <c r="G6297" s="82"/>
      <c r="H6297" s="96">
        <f t="shared" si="392"/>
        <v>9.1999999999999993</v>
      </c>
      <c r="I6297" s="96">
        <f t="shared" si="392"/>
        <v>9.6</v>
      </c>
      <c r="J6297" s="91" t="str">
        <f t="shared" si="393"/>
        <v>Sinapi 87899</v>
      </c>
      <c r="K6297" s="91" t="str">
        <f t="shared" si="394"/>
        <v>M2</v>
      </c>
      <c r="L6297" s="166" t="str">
        <f t="shared" si="395"/>
        <v>10/2022</v>
      </c>
      <c r="M6297" s="82"/>
      <c r="N6297" s="82"/>
    </row>
    <row r="6298" spans="1:14" x14ac:dyDescent="0.25">
      <c r="A6298" s="170" t="s">
        <v>8742</v>
      </c>
      <c r="B6298" s="170" t="s">
        <v>18493</v>
      </c>
      <c r="C6298" s="170" t="s">
        <v>870</v>
      </c>
      <c r="D6298" s="170" t="s">
        <v>2067</v>
      </c>
      <c r="E6298" s="171" t="s">
        <v>16198</v>
      </c>
      <c r="F6298" s="171" t="s">
        <v>18542</v>
      </c>
      <c r="G6298" s="82"/>
      <c r="H6298" s="96">
        <f t="shared" si="392"/>
        <v>9.07</v>
      </c>
      <c r="I6298" s="96">
        <f t="shared" si="392"/>
        <v>9.4600000000000009</v>
      </c>
      <c r="J6298" s="91" t="str">
        <f t="shared" si="393"/>
        <v>Sinapi 87900</v>
      </c>
      <c r="K6298" s="91" t="str">
        <f t="shared" si="394"/>
        <v>M2</v>
      </c>
      <c r="L6298" s="166" t="str">
        <f t="shared" si="395"/>
        <v>10/2022</v>
      </c>
      <c r="M6298" s="82"/>
      <c r="N6298" s="82"/>
    </row>
    <row r="6299" spans="1:14" x14ac:dyDescent="0.25">
      <c r="A6299" s="170" t="s">
        <v>8743</v>
      </c>
      <c r="B6299" s="170" t="s">
        <v>18494</v>
      </c>
      <c r="C6299" s="170" t="s">
        <v>870</v>
      </c>
      <c r="D6299" s="170" t="s">
        <v>2067</v>
      </c>
      <c r="E6299" s="171" t="s">
        <v>18722</v>
      </c>
      <c r="F6299" s="171" t="s">
        <v>5627</v>
      </c>
      <c r="G6299" s="82"/>
      <c r="H6299" s="96">
        <f t="shared" si="392"/>
        <v>15.25</v>
      </c>
      <c r="I6299" s="96">
        <f t="shared" si="392"/>
        <v>15.66</v>
      </c>
      <c r="J6299" s="91" t="str">
        <f t="shared" si="393"/>
        <v>Sinapi 87902</v>
      </c>
      <c r="K6299" s="91" t="str">
        <f t="shared" si="394"/>
        <v>M2</v>
      </c>
      <c r="L6299" s="166" t="str">
        <f t="shared" si="395"/>
        <v>10/2022</v>
      </c>
      <c r="M6299" s="82"/>
      <c r="N6299" s="82"/>
    </row>
    <row r="6300" spans="1:14" x14ac:dyDescent="0.25">
      <c r="A6300" s="170" t="s">
        <v>8744</v>
      </c>
      <c r="B6300" s="170" t="s">
        <v>18495</v>
      </c>
      <c r="C6300" s="170" t="s">
        <v>870</v>
      </c>
      <c r="D6300" s="170" t="s">
        <v>2067</v>
      </c>
      <c r="E6300" s="171" t="s">
        <v>20363</v>
      </c>
      <c r="F6300" s="171" t="s">
        <v>25817</v>
      </c>
      <c r="G6300" s="82"/>
      <c r="H6300" s="96">
        <f t="shared" si="392"/>
        <v>14.9</v>
      </c>
      <c r="I6300" s="96">
        <f t="shared" si="392"/>
        <v>15.29</v>
      </c>
      <c r="J6300" s="91" t="str">
        <f t="shared" si="393"/>
        <v>Sinapi 87903</v>
      </c>
      <c r="K6300" s="91" t="str">
        <f t="shared" si="394"/>
        <v>M2</v>
      </c>
      <c r="L6300" s="166" t="str">
        <f t="shared" si="395"/>
        <v>10/2022</v>
      </c>
      <c r="M6300" s="82"/>
      <c r="N6300" s="82"/>
    </row>
    <row r="6301" spans="1:14" x14ac:dyDescent="0.25">
      <c r="A6301" s="170" t="s">
        <v>8745</v>
      </c>
      <c r="B6301" s="170" t="s">
        <v>18496</v>
      </c>
      <c r="C6301" s="170" t="s">
        <v>870</v>
      </c>
      <c r="D6301" s="170" t="s">
        <v>2067</v>
      </c>
      <c r="E6301" s="171" t="s">
        <v>23181</v>
      </c>
      <c r="F6301" s="171" t="s">
        <v>29566</v>
      </c>
      <c r="G6301" s="82"/>
      <c r="H6301" s="96">
        <f t="shared" si="392"/>
        <v>8.26</v>
      </c>
      <c r="I6301" s="96">
        <f t="shared" si="392"/>
        <v>8.94</v>
      </c>
      <c r="J6301" s="91" t="str">
        <f t="shared" si="393"/>
        <v>Sinapi 87904</v>
      </c>
      <c r="K6301" s="91" t="str">
        <f t="shared" si="394"/>
        <v>M2</v>
      </c>
      <c r="L6301" s="166" t="str">
        <f t="shared" si="395"/>
        <v>10/2022</v>
      </c>
      <c r="M6301" s="82"/>
      <c r="N6301" s="82"/>
    </row>
    <row r="6302" spans="1:14" x14ac:dyDescent="0.25">
      <c r="A6302" s="170" t="s">
        <v>8746</v>
      </c>
      <c r="B6302" s="170" t="s">
        <v>18497</v>
      </c>
      <c r="C6302" s="170" t="s">
        <v>870</v>
      </c>
      <c r="D6302" s="170" t="s">
        <v>2067</v>
      </c>
      <c r="E6302" s="171" t="s">
        <v>34569</v>
      </c>
      <c r="F6302" s="171" t="s">
        <v>23317</v>
      </c>
      <c r="G6302" s="82"/>
      <c r="H6302" s="96">
        <f t="shared" si="392"/>
        <v>7.88</v>
      </c>
      <c r="I6302" s="96">
        <f t="shared" si="392"/>
        <v>8.52</v>
      </c>
      <c r="J6302" s="91" t="str">
        <f t="shared" si="393"/>
        <v>Sinapi 87905</v>
      </c>
      <c r="K6302" s="91" t="str">
        <f t="shared" si="394"/>
        <v>M2</v>
      </c>
      <c r="L6302" s="166" t="str">
        <f t="shared" si="395"/>
        <v>10/2022</v>
      </c>
      <c r="M6302" s="82"/>
      <c r="N6302" s="82"/>
    </row>
    <row r="6303" spans="1:14" x14ac:dyDescent="0.25">
      <c r="A6303" s="170" t="s">
        <v>8747</v>
      </c>
      <c r="B6303" s="170" t="s">
        <v>18498</v>
      </c>
      <c r="C6303" s="170" t="s">
        <v>870</v>
      </c>
      <c r="D6303" s="170" t="s">
        <v>1947</v>
      </c>
      <c r="E6303" s="171" t="s">
        <v>14930</v>
      </c>
      <c r="F6303" s="171" t="s">
        <v>18572</v>
      </c>
      <c r="G6303" s="82"/>
      <c r="H6303" s="96">
        <f t="shared" si="392"/>
        <v>6.78</v>
      </c>
      <c r="I6303" s="96">
        <f t="shared" si="392"/>
        <v>7.19</v>
      </c>
      <c r="J6303" s="91" t="str">
        <f t="shared" si="393"/>
        <v>Sinapi 87907</v>
      </c>
      <c r="K6303" s="91" t="str">
        <f t="shared" si="394"/>
        <v>M2</v>
      </c>
      <c r="L6303" s="166" t="str">
        <f t="shared" si="395"/>
        <v>10/2022</v>
      </c>
      <c r="M6303" s="82"/>
      <c r="N6303" s="82"/>
    </row>
    <row r="6304" spans="1:14" x14ac:dyDescent="0.25">
      <c r="A6304" s="170" t="s">
        <v>8748</v>
      </c>
      <c r="B6304" s="170" t="s">
        <v>18499</v>
      </c>
      <c r="C6304" s="170" t="s">
        <v>870</v>
      </c>
      <c r="D6304" s="170" t="s">
        <v>1947</v>
      </c>
      <c r="E6304" s="171" t="s">
        <v>14938</v>
      </c>
      <c r="F6304" s="171" t="s">
        <v>22832</v>
      </c>
      <c r="G6304" s="82"/>
      <c r="H6304" s="96">
        <f t="shared" si="392"/>
        <v>6.4</v>
      </c>
      <c r="I6304" s="96">
        <f t="shared" si="392"/>
        <v>6.77</v>
      </c>
      <c r="J6304" s="91" t="str">
        <f t="shared" si="393"/>
        <v>Sinapi 87908</v>
      </c>
      <c r="K6304" s="91" t="str">
        <f t="shared" si="394"/>
        <v>M2</v>
      </c>
      <c r="L6304" s="166" t="str">
        <f t="shared" si="395"/>
        <v>10/2022</v>
      </c>
      <c r="M6304" s="82"/>
      <c r="N6304" s="82"/>
    </row>
    <row r="6305" spans="1:14" x14ac:dyDescent="0.25">
      <c r="A6305" s="170" t="s">
        <v>8749</v>
      </c>
      <c r="B6305" s="170" t="s">
        <v>18500</v>
      </c>
      <c r="C6305" s="170" t="s">
        <v>870</v>
      </c>
      <c r="D6305" s="170" t="s">
        <v>2067</v>
      </c>
      <c r="E6305" s="171" t="s">
        <v>29189</v>
      </c>
      <c r="F6305" s="171" t="s">
        <v>33572</v>
      </c>
      <c r="G6305" s="82"/>
      <c r="H6305" s="96">
        <f t="shared" si="392"/>
        <v>26.06</v>
      </c>
      <c r="I6305" s="96">
        <f t="shared" si="392"/>
        <v>27.17</v>
      </c>
      <c r="J6305" s="91" t="str">
        <f t="shared" si="393"/>
        <v>Sinapi 87910</v>
      </c>
      <c r="K6305" s="91" t="str">
        <f t="shared" si="394"/>
        <v>M2</v>
      </c>
      <c r="L6305" s="166" t="str">
        <f t="shared" si="395"/>
        <v>10/2022</v>
      </c>
      <c r="M6305" s="82"/>
      <c r="N6305" s="82"/>
    </row>
    <row r="6306" spans="1:14" x14ac:dyDescent="0.25">
      <c r="A6306" s="170" t="s">
        <v>8750</v>
      </c>
      <c r="B6306" s="170" t="s">
        <v>18501</v>
      </c>
      <c r="C6306" s="170" t="s">
        <v>870</v>
      </c>
      <c r="D6306" s="170" t="s">
        <v>2067</v>
      </c>
      <c r="E6306" s="171" t="s">
        <v>34570</v>
      </c>
      <c r="F6306" s="171" t="s">
        <v>29064</v>
      </c>
      <c r="G6306" s="82"/>
      <c r="H6306" s="96">
        <f t="shared" si="392"/>
        <v>25.34</v>
      </c>
      <c r="I6306" s="96">
        <f t="shared" si="392"/>
        <v>26.38</v>
      </c>
      <c r="J6306" s="91" t="str">
        <f t="shared" si="393"/>
        <v>Sinapi 87911</v>
      </c>
      <c r="K6306" s="91" t="str">
        <f t="shared" si="394"/>
        <v>M2</v>
      </c>
      <c r="L6306" s="166" t="str">
        <f t="shared" si="395"/>
        <v>10/2022</v>
      </c>
      <c r="M6306" s="82"/>
      <c r="N6306" s="82"/>
    </row>
    <row r="6307" spans="1:14" x14ac:dyDescent="0.25">
      <c r="A6307" s="170" t="s">
        <v>18502</v>
      </c>
      <c r="B6307" s="170" t="s">
        <v>18503</v>
      </c>
      <c r="C6307" s="170" t="s">
        <v>870</v>
      </c>
      <c r="D6307" s="170" t="s">
        <v>1947</v>
      </c>
      <c r="E6307" s="171" t="s">
        <v>18606</v>
      </c>
      <c r="F6307" s="171" t="s">
        <v>13400</v>
      </c>
      <c r="G6307" s="82"/>
      <c r="H6307" s="96">
        <f t="shared" si="392"/>
        <v>5.52</v>
      </c>
      <c r="I6307" s="96">
        <f t="shared" si="392"/>
        <v>5.79</v>
      </c>
      <c r="J6307" s="91" t="str">
        <f t="shared" si="393"/>
        <v>Sinapi 104410</v>
      </c>
      <c r="K6307" s="91" t="str">
        <f t="shared" si="394"/>
        <v>M2</v>
      </c>
      <c r="L6307" s="166" t="str">
        <f t="shared" si="395"/>
        <v>10/2022</v>
      </c>
      <c r="M6307" s="82"/>
      <c r="N6307" s="82"/>
    </row>
    <row r="6308" spans="1:14" x14ac:dyDescent="0.25">
      <c r="A6308" s="170" t="s">
        <v>18504</v>
      </c>
      <c r="B6308" s="170" t="s">
        <v>18505</v>
      </c>
      <c r="C6308" s="170" t="s">
        <v>870</v>
      </c>
      <c r="D6308" s="170" t="s">
        <v>1947</v>
      </c>
      <c r="E6308" s="171" t="s">
        <v>18606</v>
      </c>
      <c r="F6308" s="171" t="s">
        <v>13400</v>
      </c>
      <c r="G6308" s="82"/>
      <c r="H6308" s="96">
        <f t="shared" si="392"/>
        <v>5.52</v>
      </c>
      <c r="I6308" s="96">
        <f t="shared" si="392"/>
        <v>5.79</v>
      </c>
      <c r="J6308" s="91" t="str">
        <f t="shared" si="393"/>
        <v>Sinapi 104411</v>
      </c>
      <c r="K6308" s="91" t="str">
        <f t="shared" si="394"/>
        <v>M2</v>
      </c>
      <c r="L6308" s="166" t="str">
        <f t="shared" si="395"/>
        <v>10/2022</v>
      </c>
      <c r="M6308" s="82"/>
      <c r="N6308" s="82"/>
    </row>
    <row r="6309" spans="1:14" x14ac:dyDescent="0.25">
      <c r="A6309" s="170" t="s">
        <v>8751</v>
      </c>
      <c r="B6309" s="170" t="s">
        <v>20553</v>
      </c>
      <c r="C6309" s="170" t="s">
        <v>870</v>
      </c>
      <c r="D6309" s="170" t="s">
        <v>2067</v>
      </c>
      <c r="E6309" s="171" t="s">
        <v>22712</v>
      </c>
      <c r="F6309" s="171" t="s">
        <v>22827</v>
      </c>
      <c r="G6309" s="82"/>
      <c r="H6309" s="96">
        <f t="shared" si="392"/>
        <v>20.48</v>
      </c>
      <c r="I6309" s="96">
        <f t="shared" si="392"/>
        <v>21.32</v>
      </c>
      <c r="J6309" s="91" t="str">
        <f t="shared" si="393"/>
        <v>Sinapi 87411</v>
      </c>
      <c r="K6309" s="91" t="str">
        <f t="shared" si="394"/>
        <v>M2</v>
      </c>
      <c r="L6309" s="166" t="str">
        <f t="shared" si="395"/>
        <v>03/2023</v>
      </c>
      <c r="M6309" s="82"/>
      <c r="N6309" s="82"/>
    </row>
    <row r="6310" spans="1:14" x14ac:dyDescent="0.25">
      <c r="A6310" s="170" t="s">
        <v>8752</v>
      </c>
      <c r="B6310" s="170" t="s">
        <v>20554</v>
      </c>
      <c r="C6310" s="170" t="s">
        <v>870</v>
      </c>
      <c r="D6310" s="170" t="s">
        <v>2067</v>
      </c>
      <c r="E6310" s="171" t="s">
        <v>20098</v>
      </c>
      <c r="F6310" s="171" t="s">
        <v>18726</v>
      </c>
      <c r="G6310" s="82"/>
      <c r="H6310" s="96">
        <f t="shared" si="392"/>
        <v>27.5</v>
      </c>
      <c r="I6310" s="96">
        <f t="shared" si="392"/>
        <v>29.14</v>
      </c>
      <c r="J6310" s="91" t="str">
        <f t="shared" si="393"/>
        <v>Sinapi 87412</v>
      </c>
      <c r="K6310" s="91" t="str">
        <f t="shared" si="394"/>
        <v>M2</v>
      </c>
      <c r="L6310" s="166" t="str">
        <f t="shared" si="395"/>
        <v>03/2023</v>
      </c>
      <c r="M6310" s="82"/>
      <c r="N6310" s="82"/>
    </row>
    <row r="6311" spans="1:14" x14ac:dyDescent="0.25">
      <c r="A6311" s="170" t="s">
        <v>8754</v>
      </c>
      <c r="B6311" s="170" t="s">
        <v>20555</v>
      </c>
      <c r="C6311" s="170" t="s">
        <v>870</v>
      </c>
      <c r="D6311" s="170" t="s">
        <v>2067</v>
      </c>
      <c r="E6311" s="171" t="s">
        <v>31067</v>
      </c>
      <c r="F6311" s="171" t="s">
        <v>37662</v>
      </c>
      <c r="G6311" s="82"/>
      <c r="H6311" s="96">
        <f t="shared" si="392"/>
        <v>31.54</v>
      </c>
      <c r="I6311" s="96">
        <f t="shared" si="392"/>
        <v>33.630000000000003</v>
      </c>
      <c r="J6311" s="91" t="str">
        <f t="shared" si="393"/>
        <v>Sinapi 87413</v>
      </c>
      <c r="K6311" s="91" t="str">
        <f t="shared" si="394"/>
        <v>M2</v>
      </c>
      <c r="L6311" s="166" t="str">
        <f t="shared" si="395"/>
        <v>03/2023</v>
      </c>
      <c r="M6311" s="82"/>
      <c r="N6311" s="82"/>
    </row>
    <row r="6312" spans="1:14" x14ac:dyDescent="0.25">
      <c r="A6312" s="170" t="s">
        <v>8755</v>
      </c>
      <c r="B6312" s="170" t="s">
        <v>20556</v>
      </c>
      <c r="C6312" s="170" t="s">
        <v>870</v>
      </c>
      <c r="D6312" s="170" t="s">
        <v>2067</v>
      </c>
      <c r="E6312" s="171" t="s">
        <v>34571</v>
      </c>
      <c r="F6312" s="171" t="s">
        <v>20117</v>
      </c>
      <c r="G6312" s="82"/>
      <c r="H6312" s="96">
        <f t="shared" si="392"/>
        <v>33.700000000000003</v>
      </c>
      <c r="I6312" s="96">
        <f t="shared" si="392"/>
        <v>34.909999999999997</v>
      </c>
      <c r="J6312" s="91" t="str">
        <f t="shared" si="393"/>
        <v>Sinapi 87414</v>
      </c>
      <c r="K6312" s="91" t="str">
        <f t="shared" si="394"/>
        <v>M2</v>
      </c>
      <c r="L6312" s="166" t="str">
        <f t="shared" si="395"/>
        <v>03/2023</v>
      </c>
      <c r="M6312" s="82"/>
      <c r="N6312" s="82"/>
    </row>
    <row r="6313" spans="1:14" x14ac:dyDescent="0.25">
      <c r="A6313" s="170" t="s">
        <v>8756</v>
      </c>
      <c r="B6313" s="170" t="s">
        <v>20557</v>
      </c>
      <c r="C6313" s="170" t="s">
        <v>870</v>
      </c>
      <c r="D6313" s="170" t="s">
        <v>2067</v>
      </c>
      <c r="E6313" s="171" t="s">
        <v>22724</v>
      </c>
      <c r="F6313" s="171" t="s">
        <v>29153</v>
      </c>
      <c r="G6313" s="82"/>
      <c r="H6313" s="96">
        <f t="shared" si="392"/>
        <v>40.729999999999997</v>
      </c>
      <c r="I6313" s="96">
        <f t="shared" si="392"/>
        <v>42.74</v>
      </c>
      <c r="J6313" s="91" t="str">
        <f t="shared" si="393"/>
        <v>Sinapi 87415</v>
      </c>
      <c r="K6313" s="91" t="str">
        <f t="shared" si="394"/>
        <v>M2</v>
      </c>
      <c r="L6313" s="166" t="str">
        <f t="shared" si="395"/>
        <v>03/2023</v>
      </c>
      <c r="M6313" s="82"/>
      <c r="N6313" s="82"/>
    </row>
    <row r="6314" spans="1:14" x14ac:dyDescent="0.25">
      <c r="A6314" s="170" t="s">
        <v>8757</v>
      </c>
      <c r="B6314" s="170" t="s">
        <v>20558</v>
      </c>
      <c r="C6314" s="170" t="s">
        <v>870</v>
      </c>
      <c r="D6314" s="170" t="s">
        <v>2067</v>
      </c>
      <c r="E6314" s="171" t="s">
        <v>21047</v>
      </c>
      <c r="F6314" s="171" t="s">
        <v>37663</v>
      </c>
      <c r="G6314" s="82"/>
      <c r="H6314" s="96">
        <f t="shared" si="392"/>
        <v>44.77</v>
      </c>
      <c r="I6314" s="96">
        <f t="shared" si="392"/>
        <v>47.24</v>
      </c>
      <c r="J6314" s="91" t="str">
        <f t="shared" si="393"/>
        <v>Sinapi 87416</v>
      </c>
      <c r="K6314" s="91" t="str">
        <f t="shared" si="394"/>
        <v>M2</v>
      </c>
      <c r="L6314" s="166" t="str">
        <f t="shared" si="395"/>
        <v>03/2023</v>
      </c>
      <c r="M6314" s="82"/>
      <c r="N6314" s="82"/>
    </row>
    <row r="6315" spans="1:14" x14ac:dyDescent="0.25">
      <c r="A6315" s="170" t="s">
        <v>8758</v>
      </c>
      <c r="B6315" s="170" t="s">
        <v>20559</v>
      </c>
      <c r="C6315" s="170" t="s">
        <v>870</v>
      </c>
      <c r="D6315" s="170" t="s">
        <v>2067</v>
      </c>
      <c r="E6315" s="171" t="s">
        <v>30428</v>
      </c>
      <c r="F6315" s="171" t="s">
        <v>18717</v>
      </c>
      <c r="G6315" s="82"/>
      <c r="H6315" s="96">
        <f t="shared" si="392"/>
        <v>22.7</v>
      </c>
      <c r="I6315" s="96">
        <f t="shared" si="392"/>
        <v>23.79</v>
      </c>
      <c r="J6315" s="91" t="str">
        <f t="shared" si="393"/>
        <v>Sinapi 87418</v>
      </c>
      <c r="K6315" s="91" t="str">
        <f t="shared" si="394"/>
        <v>M2</v>
      </c>
      <c r="L6315" s="166" t="str">
        <f t="shared" si="395"/>
        <v>03/2023</v>
      </c>
      <c r="M6315" s="82"/>
      <c r="N6315" s="82"/>
    </row>
    <row r="6316" spans="1:14" x14ac:dyDescent="0.25">
      <c r="A6316" s="170" t="s">
        <v>8759</v>
      </c>
      <c r="B6316" s="170" t="s">
        <v>20560</v>
      </c>
      <c r="C6316" s="170" t="s">
        <v>870</v>
      </c>
      <c r="D6316" s="170" t="s">
        <v>2067</v>
      </c>
      <c r="E6316" s="171" t="s">
        <v>23095</v>
      </c>
      <c r="F6316" s="171" t="s">
        <v>21563</v>
      </c>
      <c r="G6316" s="82"/>
      <c r="H6316" s="96">
        <f t="shared" si="392"/>
        <v>36.26</v>
      </c>
      <c r="I6316" s="96">
        <f t="shared" si="392"/>
        <v>37.75</v>
      </c>
      <c r="J6316" s="91" t="str">
        <f t="shared" si="393"/>
        <v>Sinapi 87421</v>
      </c>
      <c r="K6316" s="91" t="str">
        <f t="shared" si="394"/>
        <v>M2</v>
      </c>
      <c r="L6316" s="166" t="str">
        <f t="shared" si="395"/>
        <v>03/2023</v>
      </c>
      <c r="M6316" s="82"/>
      <c r="N6316" s="82"/>
    </row>
    <row r="6317" spans="1:14" x14ac:dyDescent="0.25">
      <c r="A6317" s="170" t="s">
        <v>8760</v>
      </c>
      <c r="B6317" s="170" t="s">
        <v>20561</v>
      </c>
      <c r="C6317" s="170" t="s">
        <v>870</v>
      </c>
      <c r="D6317" s="170" t="s">
        <v>2067</v>
      </c>
      <c r="E6317" s="171" t="s">
        <v>28743</v>
      </c>
      <c r="F6317" s="171" t="s">
        <v>30684</v>
      </c>
      <c r="G6317" s="82"/>
      <c r="H6317" s="96">
        <f t="shared" si="392"/>
        <v>44.11</v>
      </c>
      <c r="I6317" s="96">
        <f t="shared" si="392"/>
        <v>46.49</v>
      </c>
      <c r="J6317" s="91" t="str">
        <f t="shared" si="393"/>
        <v>Sinapi 87424</v>
      </c>
      <c r="K6317" s="91" t="str">
        <f t="shared" si="394"/>
        <v>M2</v>
      </c>
      <c r="L6317" s="166" t="str">
        <f t="shared" si="395"/>
        <v>03/2023</v>
      </c>
      <c r="M6317" s="82"/>
      <c r="N6317" s="82"/>
    </row>
    <row r="6318" spans="1:14" x14ac:dyDescent="0.25">
      <c r="A6318" s="170" t="s">
        <v>8761</v>
      </c>
      <c r="B6318" s="170" t="s">
        <v>20562</v>
      </c>
      <c r="C6318" s="170" t="s">
        <v>870</v>
      </c>
      <c r="D6318" s="170" t="s">
        <v>2067</v>
      </c>
      <c r="E6318" s="171" t="s">
        <v>22066</v>
      </c>
      <c r="F6318" s="171" t="s">
        <v>21603</v>
      </c>
      <c r="G6318" s="82"/>
      <c r="H6318" s="96">
        <f t="shared" si="392"/>
        <v>53.55</v>
      </c>
      <c r="I6318" s="96">
        <f t="shared" si="392"/>
        <v>56.21</v>
      </c>
      <c r="J6318" s="91" t="str">
        <f t="shared" si="393"/>
        <v>Sinapi 87427</v>
      </c>
      <c r="K6318" s="91" t="str">
        <f t="shared" si="394"/>
        <v>M2</v>
      </c>
      <c r="L6318" s="166" t="str">
        <f t="shared" si="395"/>
        <v>03/2023</v>
      </c>
      <c r="M6318" s="82"/>
      <c r="N6318" s="82"/>
    </row>
    <row r="6319" spans="1:14" x14ac:dyDescent="0.25">
      <c r="A6319" s="170" t="s">
        <v>8762</v>
      </c>
      <c r="B6319" s="170" t="s">
        <v>20563</v>
      </c>
      <c r="C6319" s="170" t="s">
        <v>870</v>
      </c>
      <c r="D6319" s="170" t="s">
        <v>2067</v>
      </c>
      <c r="E6319" s="171" t="s">
        <v>16387</v>
      </c>
      <c r="F6319" s="171" t="s">
        <v>15581</v>
      </c>
      <c r="G6319" s="82"/>
      <c r="H6319" s="96">
        <f t="shared" si="392"/>
        <v>21.8</v>
      </c>
      <c r="I6319" s="96">
        <f t="shared" si="392"/>
        <v>22.97</v>
      </c>
      <c r="J6319" s="91" t="str">
        <f t="shared" si="393"/>
        <v>Sinapi 87430</v>
      </c>
      <c r="K6319" s="91" t="str">
        <f t="shared" si="394"/>
        <v>M2</v>
      </c>
      <c r="L6319" s="166" t="str">
        <f t="shared" si="395"/>
        <v>03/2023</v>
      </c>
      <c r="M6319" s="82"/>
      <c r="N6319" s="82"/>
    </row>
    <row r="6320" spans="1:14" x14ac:dyDescent="0.25">
      <c r="A6320" s="170" t="s">
        <v>8763</v>
      </c>
      <c r="B6320" s="170" t="s">
        <v>20564</v>
      </c>
      <c r="C6320" s="170" t="s">
        <v>870</v>
      </c>
      <c r="D6320" s="170" t="s">
        <v>2067</v>
      </c>
      <c r="E6320" s="171" t="s">
        <v>26317</v>
      </c>
      <c r="F6320" s="171" t="s">
        <v>21175</v>
      </c>
      <c r="G6320" s="82"/>
      <c r="H6320" s="96">
        <f t="shared" si="392"/>
        <v>33.36</v>
      </c>
      <c r="I6320" s="96">
        <f t="shared" si="392"/>
        <v>34.840000000000003</v>
      </c>
      <c r="J6320" s="91" t="str">
        <f t="shared" si="393"/>
        <v>Sinapi 87433</v>
      </c>
      <c r="K6320" s="91" t="str">
        <f t="shared" si="394"/>
        <v>M2</v>
      </c>
      <c r="L6320" s="166" t="str">
        <f t="shared" si="395"/>
        <v>03/2023</v>
      </c>
      <c r="M6320" s="82"/>
      <c r="N6320" s="82"/>
    </row>
    <row r="6321" spans="1:14" x14ac:dyDescent="0.25">
      <c r="A6321" s="170" t="s">
        <v>8764</v>
      </c>
      <c r="B6321" s="170" t="s">
        <v>20565</v>
      </c>
      <c r="C6321" s="170" t="s">
        <v>870</v>
      </c>
      <c r="D6321" s="170" t="s">
        <v>2067</v>
      </c>
      <c r="E6321" s="171" t="s">
        <v>16378</v>
      </c>
      <c r="F6321" s="171" t="s">
        <v>37664</v>
      </c>
      <c r="G6321" s="82"/>
      <c r="H6321" s="96">
        <f t="shared" si="392"/>
        <v>36.549999999999997</v>
      </c>
      <c r="I6321" s="96">
        <f t="shared" si="392"/>
        <v>38.39</v>
      </c>
      <c r="J6321" s="91" t="str">
        <f t="shared" si="393"/>
        <v>Sinapi 87436</v>
      </c>
      <c r="K6321" s="91" t="str">
        <f t="shared" si="394"/>
        <v>M2</v>
      </c>
      <c r="L6321" s="166" t="str">
        <f t="shared" si="395"/>
        <v>03/2023</v>
      </c>
      <c r="M6321" s="82"/>
      <c r="N6321" s="82"/>
    </row>
    <row r="6322" spans="1:14" x14ac:dyDescent="0.25">
      <c r="A6322" s="170" t="s">
        <v>8765</v>
      </c>
      <c r="B6322" s="170" t="s">
        <v>20566</v>
      </c>
      <c r="C6322" s="170" t="s">
        <v>870</v>
      </c>
      <c r="D6322" s="170" t="s">
        <v>2067</v>
      </c>
      <c r="E6322" s="171" t="s">
        <v>22067</v>
      </c>
      <c r="F6322" s="171" t="s">
        <v>33748</v>
      </c>
      <c r="G6322" s="82"/>
      <c r="H6322" s="96">
        <f t="shared" si="392"/>
        <v>45.56</v>
      </c>
      <c r="I6322" s="96">
        <f t="shared" si="392"/>
        <v>47.71</v>
      </c>
      <c r="J6322" s="91" t="str">
        <f t="shared" si="393"/>
        <v>Sinapi 87439</v>
      </c>
      <c r="K6322" s="91" t="str">
        <f t="shared" si="394"/>
        <v>M2</v>
      </c>
      <c r="L6322" s="166" t="str">
        <f t="shared" si="395"/>
        <v>03/2023</v>
      </c>
      <c r="M6322" s="82"/>
      <c r="N6322" s="82"/>
    </row>
    <row r="6323" spans="1:14" x14ac:dyDescent="0.25">
      <c r="A6323" s="170" t="s">
        <v>8766</v>
      </c>
      <c r="B6323" s="170" t="s">
        <v>8767</v>
      </c>
      <c r="C6323" s="170" t="s">
        <v>870</v>
      </c>
      <c r="D6323" s="170" t="s">
        <v>2067</v>
      </c>
      <c r="E6323" s="171" t="s">
        <v>23145</v>
      </c>
      <c r="F6323" s="171" t="s">
        <v>33607</v>
      </c>
      <c r="G6323" s="82"/>
      <c r="H6323" s="96">
        <f t="shared" si="392"/>
        <v>45.9</v>
      </c>
      <c r="I6323" s="96">
        <f t="shared" si="392"/>
        <v>48.37</v>
      </c>
      <c r="J6323" s="91" t="str">
        <f t="shared" si="393"/>
        <v>Sinapi 87527</v>
      </c>
      <c r="K6323" s="91" t="str">
        <f t="shared" si="394"/>
        <v>M2</v>
      </c>
      <c r="L6323" s="166" t="str">
        <f t="shared" si="395"/>
        <v>06/2014</v>
      </c>
      <c r="M6323" s="82"/>
      <c r="N6323" s="82"/>
    </row>
    <row r="6324" spans="1:14" x14ac:dyDescent="0.25">
      <c r="A6324" s="170" t="s">
        <v>8768</v>
      </c>
      <c r="B6324" s="170" t="s">
        <v>8769</v>
      </c>
      <c r="C6324" s="170" t="s">
        <v>870</v>
      </c>
      <c r="D6324" s="170" t="s">
        <v>2067</v>
      </c>
      <c r="E6324" s="171" t="s">
        <v>31527</v>
      </c>
      <c r="F6324" s="171" t="s">
        <v>37665</v>
      </c>
      <c r="G6324" s="82"/>
      <c r="H6324" s="96">
        <f t="shared" si="392"/>
        <v>49.45</v>
      </c>
      <c r="I6324" s="96">
        <f t="shared" si="392"/>
        <v>52.29</v>
      </c>
      <c r="J6324" s="91" t="str">
        <f t="shared" si="393"/>
        <v>Sinapi 87528</v>
      </c>
      <c r="K6324" s="91" t="str">
        <f t="shared" si="394"/>
        <v>M2</v>
      </c>
      <c r="L6324" s="166" t="str">
        <f t="shared" si="395"/>
        <v>06/2014</v>
      </c>
      <c r="M6324" s="82"/>
      <c r="N6324" s="82"/>
    </row>
    <row r="6325" spans="1:14" x14ac:dyDescent="0.25">
      <c r="A6325" s="170" t="s">
        <v>8770</v>
      </c>
      <c r="B6325" s="170" t="s">
        <v>8771</v>
      </c>
      <c r="C6325" s="170" t="s">
        <v>870</v>
      </c>
      <c r="D6325" s="170" t="s">
        <v>2067</v>
      </c>
      <c r="E6325" s="171" t="s">
        <v>34572</v>
      </c>
      <c r="F6325" s="171" t="s">
        <v>22052</v>
      </c>
      <c r="G6325" s="82"/>
      <c r="H6325" s="96">
        <f t="shared" si="392"/>
        <v>42.5</v>
      </c>
      <c r="I6325" s="96">
        <f t="shared" si="392"/>
        <v>44.59</v>
      </c>
      <c r="J6325" s="91" t="str">
        <f t="shared" si="393"/>
        <v>Sinapi 87529</v>
      </c>
      <c r="K6325" s="91" t="str">
        <f t="shared" si="394"/>
        <v>M2</v>
      </c>
      <c r="L6325" s="166" t="str">
        <f t="shared" si="395"/>
        <v>06/2014</v>
      </c>
      <c r="M6325" s="82"/>
      <c r="N6325" s="82"/>
    </row>
    <row r="6326" spans="1:14" x14ac:dyDescent="0.25">
      <c r="A6326" s="170" t="s">
        <v>8772</v>
      </c>
      <c r="B6326" s="170" t="s">
        <v>8773</v>
      </c>
      <c r="C6326" s="170" t="s">
        <v>870</v>
      </c>
      <c r="D6326" s="170" t="s">
        <v>2067</v>
      </c>
      <c r="E6326" s="171" t="s">
        <v>18556</v>
      </c>
      <c r="F6326" s="171" t="s">
        <v>23243</v>
      </c>
      <c r="G6326" s="82"/>
      <c r="H6326" s="96">
        <f t="shared" si="392"/>
        <v>46.05</v>
      </c>
      <c r="I6326" s="96">
        <f t="shared" si="392"/>
        <v>48.51</v>
      </c>
      <c r="J6326" s="91" t="str">
        <f t="shared" si="393"/>
        <v>Sinapi 87530</v>
      </c>
      <c r="K6326" s="91" t="str">
        <f t="shared" si="394"/>
        <v>M2</v>
      </c>
      <c r="L6326" s="166" t="str">
        <f t="shared" si="395"/>
        <v>06/2014</v>
      </c>
      <c r="M6326" s="82"/>
      <c r="N6326" s="82"/>
    </row>
    <row r="6327" spans="1:14" x14ac:dyDescent="0.25">
      <c r="A6327" s="170" t="s">
        <v>8774</v>
      </c>
      <c r="B6327" s="170" t="s">
        <v>8775</v>
      </c>
      <c r="C6327" s="170" t="s">
        <v>870</v>
      </c>
      <c r="D6327" s="170" t="s">
        <v>2067</v>
      </c>
      <c r="E6327" s="171" t="s">
        <v>17878</v>
      </c>
      <c r="F6327" s="171" t="s">
        <v>32007</v>
      </c>
      <c r="G6327" s="82"/>
      <c r="H6327" s="96">
        <f t="shared" si="392"/>
        <v>41.31</v>
      </c>
      <c r="I6327" s="96">
        <f t="shared" si="392"/>
        <v>43.25</v>
      </c>
      <c r="J6327" s="91" t="str">
        <f t="shared" si="393"/>
        <v>Sinapi 87531</v>
      </c>
      <c r="K6327" s="91" t="str">
        <f t="shared" si="394"/>
        <v>M2</v>
      </c>
      <c r="L6327" s="166" t="str">
        <f t="shared" si="395"/>
        <v>06/2014</v>
      </c>
      <c r="M6327" s="82"/>
      <c r="N6327" s="82"/>
    </row>
    <row r="6328" spans="1:14" x14ac:dyDescent="0.25">
      <c r="A6328" s="170" t="s">
        <v>8776</v>
      </c>
      <c r="B6328" s="170" t="s">
        <v>8777</v>
      </c>
      <c r="C6328" s="170" t="s">
        <v>870</v>
      </c>
      <c r="D6328" s="170" t="s">
        <v>2067</v>
      </c>
      <c r="E6328" s="171" t="s">
        <v>19948</v>
      </c>
      <c r="F6328" s="171" t="s">
        <v>23265</v>
      </c>
      <c r="G6328" s="82"/>
      <c r="H6328" s="96">
        <f t="shared" si="392"/>
        <v>44.86</v>
      </c>
      <c r="I6328" s="96">
        <f t="shared" si="392"/>
        <v>47.17</v>
      </c>
      <c r="J6328" s="91" t="str">
        <f t="shared" si="393"/>
        <v>Sinapi 87532</v>
      </c>
      <c r="K6328" s="91" t="str">
        <f t="shared" si="394"/>
        <v>M2</v>
      </c>
      <c r="L6328" s="166" t="str">
        <f t="shared" si="395"/>
        <v>06/2014</v>
      </c>
      <c r="M6328" s="82"/>
      <c r="N6328" s="82"/>
    </row>
    <row r="6329" spans="1:14" x14ac:dyDescent="0.25">
      <c r="A6329" s="170" t="s">
        <v>8778</v>
      </c>
      <c r="B6329" s="170" t="s">
        <v>8779</v>
      </c>
      <c r="C6329" s="170" t="s">
        <v>870</v>
      </c>
      <c r="D6329" s="170" t="s">
        <v>2067</v>
      </c>
      <c r="E6329" s="171" t="s">
        <v>23293</v>
      </c>
      <c r="F6329" s="171" t="s">
        <v>21902</v>
      </c>
      <c r="G6329" s="82"/>
      <c r="H6329" s="96">
        <f t="shared" si="392"/>
        <v>37.909999999999997</v>
      </c>
      <c r="I6329" s="96">
        <f t="shared" si="392"/>
        <v>39.47</v>
      </c>
      <c r="J6329" s="91" t="str">
        <f t="shared" si="393"/>
        <v>Sinapi 87535</v>
      </c>
      <c r="K6329" s="91" t="str">
        <f t="shared" si="394"/>
        <v>M2</v>
      </c>
      <c r="L6329" s="166" t="str">
        <f t="shared" si="395"/>
        <v>06/2014</v>
      </c>
      <c r="M6329" s="82"/>
      <c r="N6329" s="82"/>
    </row>
    <row r="6330" spans="1:14" x14ac:dyDescent="0.25">
      <c r="A6330" s="170" t="s">
        <v>8780</v>
      </c>
      <c r="B6330" s="170" t="s">
        <v>8781</v>
      </c>
      <c r="C6330" s="170" t="s">
        <v>870</v>
      </c>
      <c r="D6330" s="170" t="s">
        <v>2067</v>
      </c>
      <c r="E6330" s="171" t="s">
        <v>30945</v>
      </c>
      <c r="F6330" s="171" t="s">
        <v>30938</v>
      </c>
      <c r="G6330" s="82"/>
      <c r="H6330" s="96">
        <f t="shared" si="392"/>
        <v>41.46</v>
      </c>
      <c r="I6330" s="96">
        <f t="shared" si="392"/>
        <v>43.39</v>
      </c>
      <c r="J6330" s="91" t="str">
        <f t="shared" si="393"/>
        <v>Sinapi 87536</v>
      </c>
      <c r="K6330" s="91" t="str">
        <f t="shared" si="394"/>
        <v>M2</v>
      </c>
      <c r="L6330" s="166" t="str">
        <f t="shared" si="395"/>
        <v>06/2014</v>
      </c>
      <c r="M6330" s="82"/>
      <c r="N6330" s="82"/>
    </row>
    <row r="6331" spans="1:14" x14ac:dyDescent="0.25">
      <c r="A6331" s="170" t="s">
        <v>8782</v>
      </c>
      <c r="B6331" s="170" t="s">
        <v>8783</v>
      </c>
      <c r="C6331" s="170" t="s">
        <v>870</v>
      </c>
      <c r="D6331" s="170" t="s">
        <v>2067</v>
      </c>
      <c r="E6331" s="171" t="s">
        <v>28985</v>
      </c>
      <c r="F6331" s="171" t="s">
        <v>22813</v>
      </c>
      <c r="G6331" s="82"/>
      <c r="H6331" s="96">
        <f t="shared" si="392"/>
        <v>109.17</v>
      </c>
      <c r="I6331" s="96">
        <f t="shared" si="392"/>
        <v>111.23</v>
      </c>
      <c r="J6331" s="91" t="str">
        <f t="shared" si="393"/>
        <v>Sinapi 87537</v>
      </c>
      <c r="K6331" s="91" t="str">
        <f t="shared" si="394"/>
        <v>M2</v>
      </c>
      <c r="L6331" s="166" t="str">
        <f t="shared" si="395"/>
        <v>06/2014</v>
      </c>
      <c r="M6331" s="82"/>
      <c r="N6331" s="82"/>
    </row>
    <row r="6332" spans="1:14" x14ac:dyDescent="0.25">
      <c r="A6332" s="170" t="s">
        <v>8784</v>
      </c>
      <c r="B6332" s="170" t="s">
        <v>8785</v>
      </c>
      <c r="C6332" s="170" t="s">
        <v>870</v>
      </c>
      <c r="D6332" s="170" t="s">
        <v>2067</v>
      </c>
      <c r="E6332" s="171" t="s">
        <v>34573</v>
      </c>
      <c r="F6332" s="171" t="s">
        <v>37666</v>
      </c>
      <c r="G6332" s="82"/>
      <c r="H6332" s="96">
        <f t="shared" si="392"/>
        <v>106.25</v>
      </c>
      <c r="I6332" s="96">
        <f t="shared" si="392"/>
        <v>107.98</v>
      </c>
      <c r="J6332" s="91" t="str">
        <f t="shared" si="393"/>
        <v>Sinapi 87538</v>
      </c>
      <c r="K6332" s="91" t="str">
        <f t="shared" si="394"/>
        <v>M2</v>
      </c>
      <c r="L6332" s="166" t="str">
        <f t="shared" si="395"/>
        <v>06/2014</v>
      </c>
      <c r="M6332" s="82"/>
      <c r="N6332" s="82"/>
    </row>
    <row r="6333" spans="1:14" x14ac:dyDescent="0.25">
      <c r="A6333" s="170" t="s">
        <v>8786</v>
      </c>
      <c r="B6333" s="170" t="s">
        <v>8787</v>
      </c>
      <c r="C6333" s="170" t="s">
        <v>870</v>
      </c>
      <c r="D6333" s="170" t="s">
        <v>2067</v>
      </c>
      <c r="E6333" s="171" t="s">
        <v>34574</v>
      </c>
      <c r="F6333" s="171" t="s">
        <v>37667</v>
      </c>
      <c r="G6333" s="82"/>
      <c r="H6333" s="96">
        <f t="shared" si="392"/>
        <v>105.21</v>
      </c>
      <c r="I6333" s="96">
        <f t="shared" si="392"/>
        <v>106.81</v>
      </c>
      <c r="J6333" s="91" t="str">
        <f t="shared" si="393"/>
        <v>Sinapi 87539</v>
      </c>
      <c r="K6333" s="91" t="str">
        <f t="shared" si="394"/>
        <v>M2</v>
      </c>
      <c r="L6333" s="166" t="str">
        <f t="shared" si="395"/>
        <v>06/2014</v>
      </c>
      <c r="M6333" s="82"/>
      <c r="N6333" s="82"/>
    </row>
    <row r="6334" spans="1:14" x14ac:dyDescent="0.25">
      <c r="A6334" s="170" t="s">
        <v>8788</v>
      </c>
      <c r="B6334" s="170" t="s">
        <v>8789</v>
      </c>
      <c r="C6334" s="170" t="s">
        <v>870</v>
      </c>
      <c r="D6334" s="170" t="s">
        <v>2067</v>
      </c>
      <c r="E6334" s="171" t="s">
        <v>34575</v>
      </c>
      <c r="F6334" s="171" t="s">
        <v>29026</v>
      </c>
      <c r="G6334" s="82"/>
      <c r="H6334" s="96">
        <f t="shared" si="392"/>
        <v>102.3</v>
      </c>
      <c r="I6334" s="96">
        <f t="shared" si="392"/>
        <v>103.56</v>
      </c>
      <c r="J6334" s="91" t="str">
        <f t="shared" si="393"/>
        <v>Sinapi 87541</v>
      </c>
      <c r="K6334" s="91" t="str">
        <f t="shared" si="394"/>
        <v>M2</v>
      </c>
      <c r="L6334" s="166" t="str">
        <f t="shared" si="395"/>
        <v>06/2014</v>
      </c>
      <c r="M6334" s="82"/>
      <c r="N6334" s="82"/>
    </row>
    <row r="6335" spans="1:14" x14ac:dyDescent="0.25">
      <c r="A6335" s="170" t="s">
        <v>8790</v>
      </c>
      <c r="B6335" s="170" t="s">
        <v>8791</v>
      </c>
      <c r="C6335" s="170" t="s">
        <v>870</v>
      </c>
      <c r="D6335" s="170" t="s">
        <v>2067</v>
      </c>
      <c r="E6335" s="171" t="s">
        <v>30115</v>
      </c>
      <c r="F6335" s="171" t="s">
        <v>33517</v>
      </c>
      <c r="G6335" s="82"/>
      <c r="H6335" s="96">
        <f t="shared" si="392"/>
        <v>33.799999999999997</v>
      </c>
      <c r="I6335" s="96">
        <f t="shared" si="392"/>
        <v>34.54</v>
      </c>
      <c r="J6335" s="91" t="str">
        <f t="shared" si="393"/>
        <v>Sinapi 87543</v>
      </c>
      <c r="K6335" s="91" t="str">
        <f t="shared" si="394"/>
        <v>M2</v>
      </c>
      <c r="L6335" s="166" t="str">
        <f t="shared" si="395"/>
        <v>06/2014</v>
      </c>
      <c r="M6335" s="82"/>
      <c r="N6335" s="82"/>
    </row>
    <row r="6336" spans="1:14" x14ac:dyDescent="0.25">
      <c r="A6336" s="170" t="s">
        <v>8792</v>
      </c>
      <c r="B6336" s="170" t="s">
        <v>8793</v>
      </c>
      <c r="C6336" s="170" t="s">
        <v>870</v>
      </c>
      <c r="D6336" s="170" t="s">
        <v>2067</v>
      </c>
      <c r="E6336" s="171" t="s">
        <v>30412</v>
      </c>
      <c r="F6336" s="171" t="s">
        <v>19403</v>
      </c>
      <c r="G6336" s="82"/>
      <c r="H6336" s="96">
        <f t="shared" si="392"/>
        <v>30.04</v>
      </c>
      <c r="I6336" s="96">
        <f t="shared" si="392"/>
        <v>31.91</v>
      </c>
      <c r="J6336" s="91" t="str">
        <f t="shared" si="393"/>
        <v>Sinapi 87545</v>
      </c>
      <c r="K6336" s="91" t="str">
        <f t="shared" si="394"/>
        <v>M2</v>
      </c>
      <c r="L6336" s="166" t="str">
        <f t="shared" si="395"/>
        <v>06/2014</v>
      </c>
      <c r="M6336" s="82"/>
      <c r="N6336" s="82"/>
    </row>
    <row r="6337" spans="1:14" x14ac:dyDescent="0.25">
      <c r="A6337" s="170" t="s">
        <v>8794</v>
      </c>
      <c r="B6337" s="170" t="s">
        <v>8795</v>
      </c>
      <c r="C6337" s="170" t="s">
        <v>870</v>
      </c>
      <c r="D6337" s="170" t="s">
        <v>2067</v>
      </c>
      <c r="E6337" s="171" t="s">
        <v>31767</v>
      </c>
      <c r="F6337" s="171" t="s">
        <v>28422</v>
      </c>
      <c r="G6337" s="82"/>
      <c r="H6337" s="96">
        <f t="shared" si="392"/>
        <v>32.049999999999997</v>
      </c>
      <c r="I6337" s="96">
        <f t="shared" si="392"/>
        <v>34.130000000000003</v>
      </c>
      <c r="J6337" s="91" t="str">
        <f t="shared" si="393"/>
        <v>Sinapi 87546</v>
      </c>
      <c r="K6337" s="91" t="str">
        <f t="shared" si="394"/>
        <v>M2</v>
      </c>
      <c r="L6337" s="166" t="str">
        <f t="shared" si="395"/>
        <v>06/2014</v>
      </c>
      <c r="M6337" s="82"/>
      <c r="N6337" s="82"/>
    </row>
    <row r="6338" spans="1:14" x14ac:dyDescent="0.25">
      <c r="A6338" s="170" t="s">
        <v>8796</v>
      </c>
      <c r="B6338" s="170" t="s">
        <v>8797</v>
      </c>
      <c r="C6338" s="170" t="s">
        <v>870</v>
      </c>
      <c r="D6338" s="170" t="s">
        <v>2067</v>
      </c>
      <c r="E6338" s="171" t="s">
        <v>28696</v>
      </c>
      <c r="F6338" s="171" t="s">
        <v>20061</v>
      </c>
      <c r="G6338" s="82"/>
      <c r="H6338" s="96">
        <f t="shared" si="392"/>
        <v>26.67</v>
      </c>
      <c r="I6338" s="96">
        <f t="shared" si="392"/>
        <v>28.15</v>
      </c>
      <c r="J6338" s="91" t="str">
        <f t="shared" si="393"/>
        <v>Sinapi 87547</v>
      </c>
      <c r="K6338" s="91" t="str">
        <f t="shared" si="394"/>
        <v>M2</v>
      </c>
      <c r="L6338" s="166" t="str">
        <f t="shared" si="395"/>
        <v>06/2014</v>
      </c>
      <c r="M6338" s="82"/>
      <c r="N6338" s="82"/>
    </row>
    <row r="6339" spans="1:14" x14ac:dyDescent="0.25">
      <c r="A6339" s="170" t="s">
        <v>8798</v>
      </c>
      <c r="B6339" s="170" t="s">
        <v>8799</v>
      </c>
      <c r="C6339" s="170" t="s">
        <v>870</v>
      </c>
      <c r="D6339" s="170" t="s">
        <v>2067</v>
      </c>
      <c r="E6339" s="171" t="s">
        <v>19905</v>
      </c>
      <c r="F6339" s="171" t="s">
        <v>18247</v>
      </c>
      <c r="G6339" s="82"/>
      <c r="H6339" s="96">
        <f t="shared" si="392"/>
        <v>28.68</v>
      </c>
      <c r="I6339" s="96">
        <f t="shared" si="392"/>
        <v>30.37</v>
      </c>
      <c r="J6339" s="91" t="str">
        <f t="shared" si="393"/>
        <v>Sinapi 87548</v>
      </c>
      <c r="K6339" s="91" t="str">
        <f t="shared" si="394"/>
        <v>M2</v>
      </c>
      <c r="L6339" s="166" t="str">
        <f t="shared" si="395"/>
        <v>06/2014</v>
      </c>
      <c r="M6339" s="82"/>
      <c r="N6339" s="82"/>
    </row>
    <row r="6340" spans="1:14" x14ac:dyDescent="0.25">
      <c r="A6340" s="170" t="s">
        <v>8800</v>
      </c>
      <c r="B6340" s="170" t="s">
        <v>8801</v>
      </c>
      <c r="C6340" s="170" t="s">
        <v>870</v>
      </c>
      <c r="D6340" s="170" t="s">
        <v>2067</v>
      </c>
      <c r="E6340" s="171" t="s">
        <v>18551</v>
      </c>
      <c r="F6340" s="171" t="s">
        <v>14946</v>
      </c>
      <c r="G6340" s="82"/>
      <c r="H6340" s="96">
        <f t="shared" si="392"/>
        <v>25.45</v>
      </c>
      <c r="I6340" s="96">
        <f t="shared" si="392"/>
        <v>26.79</v>
      </c>
      <c r="J6340" s="91" t="str">
        <f t="shared" si="393"/>
        <v>Sinapi 87549</v>
      </c>
      <c r="K6340" s="91" t="str">
        <f t="shared" si="394"/>
        <v>M2</v>
      </c>
      <c r="L6340" s="166" t="str">
        <f t="shared" si="395"/>
        <v>06/2014</v>
      </c>
      <c r="M6340" s="82"/>
      <c r="N6340" s="82"/>
    </row>
    <row r="6341" spans="1:14" x14ac:dyDescent="0.25">
      <c r="A6341" s="170" t="s">
        <v>8802</v>
      </c>
      <c r="B6341" s="170" t="s">
        <v>8803</v>
      </c>
      <c r="C6341" s="170" t="s">
        <v>870</v>
      </c>
      <c r="D6341" s="170" t="s">
        <v>2067</v>
      </c>
      <c r="E6341" s="171" t="s">
        <v>20113</v>
      </c>
      <c r="F6341" s="171" t="s">
        <v>33778</v>
      </c>
      <c r="G6341" s="82"/>
      <c r="H6341" s="96">
        <f t="shared" si="392"/>
        <v>27.46</v>
      </c>
      <c r="I6341" s="96">
        <f t="shared" si="392"/>
        <v>29.01</v>
      </c>
      <c r="J6341" s="91" t="str">
        <f t="shared" si="393"/>
        <v>Sinapi 87550</v>
      </c>
      <c r="K6341" s="91" t="str">
        <f t="shared" si="394"/>
        <v>M2</v>
      </c>
      <c r="L6341" s="166" t="str">
        <f t="shared" si="395"/>
        <v>06/2014</v>
      </c>
      <c r="M6341" s="82"/>
      <c r="N6341" s="82"/>
    </row>
    <row r="6342" spans="1:14" x14ac:dyDescent="0.25">
      <c r="A6342" s="170" t="s">
        <v>8804</v>
      </c>
      <c r="B6342" s="170" t="s">
        <v>8805</v>
      </c>
      <c r="C6342" s="170" t="s">
        <v>870</v>
      </c>
      <c r="D6342" s="170" t="s">
        <v>2067</v>
      </c>
      <c r="E6342" s="171" t="s">
        <v>17529</v>
      </c>
      <c r="F6342" s="171" t="s">
        <v>21057</v>
      </c>
      <c r="G6342" s="82"/>
      <c r="H6342" s="96">
        <f t="shared" si="392"/>
        <v>22.06</v>
      </c>
      <c r="I6342" s="96">
        <f t="shared" si="392"/>
        <v>23.01</v>
      </c>
      <c r="J6342" s="91" t="str">
        <f t="shared" si="393"/>
        <v>Sinapi 87553</v>
      </c>
      <c r="K6342" s="91" t="str">
        <f t="shared" si="394"/>
        <v>M2</v>
      </c>
      <c r="L6342" s="166" t="str">
        <f t="shared" si="395"/>
        <v>06/2014</v>
      </c>
      <c r="M6342" s="82"/>
      <c r="N6342" s="82"/>
    </row>
    <row r="6343" spans="1:14" x14ac:dyDescent="0.25">
      <c r="A6343" s="170" t="s">
        <v>8807</v>
      </c>
      <c r="B6343" s="170" t="s">
        <v>8808</v>
      </c>
      <c r="C6343" s="170" t="s">
        <v>870</v>
      </c>
      <c r="D6343" s="170" t="s">
        <v>2067</v>
      </c>
      <c r="E6343" s="171" t="s">
        <v>17388</v>
      </c>
      <c r="F6343" s="171" t="s">
        <v>23004</v>
      </c>
      <c r="G6343" s="82"/>
      <c r="H6343" s="96">
        <f t="shared" si="392"/>
        <v>24.07</v>
      </c>
      <c r="I6343" s="96">
        <f t="shared" si="392"/>
        <v>25.23</v>
      </c>
      <c r="J6343" s="91" t="str">
        <f t="shared" si="393"/>
        <v>Sinapi 87554</v>
      </c>
      <c r="K6343" s="91" t="str">
        <f t="shared" si="394"/>
        <v>M2</v>
      </c>
      <c r="L6343" s="166" t="str">
        <f t="shared" si="395"/>
        <v>06/2014</v>
      </c>
      <c r="M6343" s="82"/>
      <c r="N6343" s="82"/>
    </row>
    <row r="6344" spans="1:14" x14ac:dyDescent="0.25">
      <c r="A6344" s="170" t="s">
        <v>8809</v>
      </c>
      <c r="B6344" s="170" t="s">
        <v>8810</v>
      </c>
      <c r="C6344" s="170" t="s">
        <v>870</v>
      </c>
      <c r="D6344" s="170" t="s">
        <v>2067</v>
      </c>
      <c r="E6344" s="171" t="s">
        <v>34576</v>
      </c>
      <c r="F6344" s="171" t="s">
        <v>21289</v>
      </c>
      <c r="G6344" s="82"/>
      <c r="H6344" s="96">
        <f t="shared" ref="H6344:I6407" si="396">IF(E6344="","",E6344+0)</f>
        <v>64.86</v>
      </c>
      <c r="I6344" s="96">
        <f t="shared" si="396"/>
        <v>66.37</v>
      </c>
      <c r="J6344" s="91" t="str">
        <f t="shared" ref="J6344:J6407" si="397">IF(OR(H6344="",I6344=""),"",TRIM(CONCATENATE("Sinapi ",A6344)))</f>
        <v>Sinapi 87555</v>
      </c>
      <c r="K6344" s="91" t="str">
        <f t="shared" ref="K6344:K6407" si="398">TRIM(C6344)</f>
        <v>M2</v>
      </c>
      <c r="L6344" s="166" t="str">
        <f t="shared" ref="L6344:L6407" si="399">IF(OR(RIGHT(IF(AND(K6344&lt;&gt;"H",K6344&lt;&gt;"MES"),RIGHT(B6344,7),""),2)="PS",RIGHT(IF(AND(K6344&lt;&gt;"H",K6344&lt;&gt;"MES"),RIGHT(B6344,7),""),2)="PA",RIGHT(IF(AND(K6344&lt;&gt;"H",K6344&lt;&gt;"MES"),RIGHT(B6344,7),""),2)="PE"),LEFT(IF(AND(K6344&lt;&gt;"H",K6344&lt;&gt;"MES"),RIGHT(B6344,10),""),7),IF(AND(K6344&lt;&gt;"H",K6344&lt;&gt;"MES"),RIGHT(B6344,7),""))</f>
        <v>06/2014</v>
      </c>
      <c r="M6344" s="82"/>
      <c r="N6344" s="82"/>
    </row>
    <row r="6345" spans="1:14" x14ac:dyDescent="0.25">
      <c r="A6345" s="170" t="s">
        <v>8811</v>
      </c>
      <c r="B6345" s="170" t="s">
        <v>8812</v>
      </c>
      <c r="C6345" s="170" t="s">
        <v>870</v>
      </c>
      <c r="D6345" s="170" t="s">
        <v>2067</v>
      </c>
      <c r="E6345" s="171" t="s">
        <v>29320</v>
      </c>
      <c r="F6345" s="171" t="s">
        <v>36709</v>
      </c>
      <c r="G6345" s="82"/>
      <c r="H6345" s="96">
        <f t="shared" si="396"/>
        <v>61.96</v>
      </c>
      <c r="I6345" s="96">
        <f t="shared" si="396"/>
        <v>63.13</v>
      </c>
      <c r="J6345" s="91" t="str">
        <f t="shared" si="397"/>
        <v>Sinapi 87556</v>
      </c>
      <c r="K6345" s="91" t="str">
        <f t="shared" si="398"/>
        <v>M2</v>
      </c>
      <c r="L6345" s="166" t="str">
        <f t="shared" si="399"/>
        <v>06/2014</v>
      </c>
      <c r="M6345" s="82"/>
      <c r="N6345" s="82"/>
    </row>
    <row r="6346" spans="1:14" x14ac:dyDescent="0.25">
      <c r="A6346" s="170" t="s">
        <v>8813</v>
      </c>
      <c r="B6346" s="170" t="s">
        <v>8814</v>
      </c>
      <c r="C6346" s="170" t="s">
        <v>870</v>
      </c>
      <c r="D6346" s="170" t="s">
        <v>2067</v>
      </c>
      <c r="E6346" s="171" t="s">
        <v>28562</v>
      </c>
      <c r="F6346" s="171" t="s">
        <v>37668</v>
      </c>
      <c r="G6346" s="82"/>
      <c r="H6346" s="96">
        <f t="shared" si="396"/>
        <v>60.9</v>
      </c>
      <c r="I6346" s="96">
        <f t="shared" si="396"/>
        <v>61.95</v>
      </c>
      <c r="J6346" s="91" t="str">
        <f t="shared" si="397"/>
        <v>Sinapi 87557</v>
      </c>
      <c r="K6346" s="91" t="str">
        <f t="shared" si="398"/>
        <v>M2</v>
      </c>
      <c r="L6346" s="166" t="str">
        <f t="shared" si="399"/>
        <v>06/2014</v>
      </c>
      <c r="M6346" s="82"/>
      <c r="N6346" s="82"/>
    </row>
    <row r="6347" spans="1:14" x14ac:dyDescent="0.25">
      <c r="A6347" s="170" t="s">
        <v>8815</v>
      </c>
      <c r="B6347" s="170" t="s">
        <v>8816</v>
      </c>
      <c r="C6347" s="170" t="s">
        <v>870</v>
      </c>
      <c r="D6347" s="170" t="s">
        <v>2067</v>
      </c>
      <c r="E6347" s="171" t="s">
        <v>23173</v>
      </c>
      <c r="F6347" s="171" t="s">
        <v>36656</v>
      </c>
      <c r="G6347" s="82"/>
      <c r="H6347" s="96">
        <f t="shared" si="396"/>
        <v>57.98</v>
      </c>
      <c r="I6347" s="96">
        <f t="shared" si="396"/>
        <v>58.7</v>
      </c>
      <c r="J6347" s="91" t="str">
        <f t="shared" si="397"/>
        <v>Sinapi 87559</v>
      </c>
      <c r="K6347" s="91" t="str">
        <f t="shared" si="398"/>
        <v>M2</v>
      </c>
      <c r="L6347" s="166" t="str">
        <f t="shared" si="399"/>
        <v>06/2014</v>
      </c>
      <c r="M6347" s="82"/>
      <c r="N6347" s="82"/>
    </row>
    <row r="6348" spans="1:14" x14ac:dyDescent="0.25">
      <c r="A6348" s="170" t="s">
        <v>8817</v>
      </c>
      <c r="B6348" s="170" t="s">
        <v>8818</v>
      </c>
      <c r="C6348" s="170" t="s">
        <v>870</v>
      </c>
      <c r="D6348" s="170" t="s">
        <v>2067</v>
      </c>
      <c r="E6348" s="171" t="s">
        <v>22870</v>
      </c>
      <c r="F6348" s="171" t="s">
        <v>23228</v>
      </c>
      <c r="G6348" s="82"/>
      <c r="H6348" s="96">
        <f t="shared" si="396"/>
        <v>61.16</v>
      </c>
      <c r="I6348" s="96">
        <f t="shared" si="396"/>
        <v>62.24</v>
      </c>
      <c r="J6348" s="91" t="str">
        <f t="shared" si="397"/>
        <v>Sinapi 87561</v>
      </c>
      <c r="K6348" s="91" t="str">
        <f t="shared" si="398"/>
        <v>M2</v>
      </c>
      <c r="L6348" s="166" t="str">
        <f t="shared" si="399"/>
        <v>06/2014</v>
      </c>
      <c r="M6348" s="82"/>
      <c r="N6348" s="82"/>
    </row>
    <row r="6349" spans="1:14" x14ac:dyDescent="0.25">
      <c r="A6349" s="170" t="s">
        <v>8819</v>
      </c>
      <c r="B6349" s="170" t="s">
        <v>17714</v>
      </c>
      <c r="C6349" s="170" t="s">
        <v>870</v>
      </c>
      <c r="D6349" s="170" t="s">
        <v>1947</v>
      </c>
      <c r="E6349" s="171" t="s">
        <v>34577</v>
      </c>
      <c r="F6349" s="171" t="s">
        <v>37669</v>
      </c>
      <c r="G6349" s="82"/>
      <c r="H6349" s="96">
        <f t="shared" si="396"/>
        <v>54.38</v>
      </c>
      <c r="I6349" s="96">
        <f t="shared" si="396"/>
        <v>57.94</v>
      </c>
      <c r="J6349" s="91" t="str">
        <f t="shared" si="397"/>
        <v>Sinapi 87775</v>
      </c>
      <c r="K6349" s="91" t="str">
        <f t="shared" si="398"/>
        <v>M2</v>
      </c>
      <c r="L6349" s="166" t="str">
        <f t="shared" si="399"/>
        <v>08/2022</v>
      </c>
      <c r="M6349" s="82"/>
      <c r="N6349" s="82"/>
    </row>
    <row r="6350" spans="1:14" x14ac:dyDescent="0.25">
      <c r="A6350" s="170" t="s">
        <v>8820</v>
      </c>
      <c r="B6350" s="170" t="s">
        <v>17715</v>
      </c>
      <c r="C6350" s="170" t="s">
        <v>870</v>
      </c>
      <c r="D6350" s="170" t="s">
        <v>1947</v>
      </c>
      <c r="E6350" s="171" t="s">
        <v>28520</v>
      </c>
      <c r="F6350" s="171" t="s">
        <v>29347</v>
      </c>
      <c r="G6350" s="82"/>
      <c r="H6350" s="96">
        <f t="shared" si="396"/>
        <v>57.34</v>
      </c>
      <c r="I6350" s="96">
        <f t="shared" si="396"/>
        <v>61.21</v>
      </c>
      <c r="J6350" s="91" t="str">
        <f t="shared" si="397"/>
        <v>Sinapi 87777</v>
      </c>
      <c r="K6350" s="91" t="str">
        <f t="shared" si="398"/>
        <v>M2</v>
      </c>
      <c r="L6350" s="166" t="str">
        <f t="shared" si="399"/>
        <v>08/2022</v>
      </c>
      <c r="M6350" s="82"/>
      <c r="N6350" s="82"/>
    </row>
    <row r="6351" spans="1:14" x14ac:dyDescent="0.25">
      <c r="A6351" s="170" t="s">
        <v>8821</v>
      </c>
      <c r="B6351" s="170" t="s">
        <v>17716</v>
      </c>
      <c r="C6351" s="170" t="s">
        <v>870</v>
      </c>
      <c r="D6351" s="170" t="s">
        <v>1947</v>
      </c>
      <c r="E6351" s="171" t="s">
        <v>34578</v>
      </c>
      <c r="F6351" s="171" t="s">
        <v>37670</v>
      </c>
      <c r="G6351" s="82"/>
      <c r="H6351" s="96">
        <f t="shared" si="396"/>
        <v>107.59</v>
      </c>
      <c r="I6351" s="96">
        <f t="shared" si="396"/>
        <v>110.83</v>
      </c>
      <c r="J6351" s="91" t="str">
        <f t="shared" si="397"/>
        <v>Sinapi 87778</v>
      </c>
      <c r="K6351" s="91" t="str">
        <f t="shared" si="398"/>
        <v>M2</v>
      </c>
      <c r="L6351" s="166" t="str">
        <f t="shared" si="399"/>
        <v>08/2022</v>
      </c>
      <c r="M6351" s="82"/>
      <c r="N6351" s="82"/>
    </row>
    <row r="6352" spans="1:14" x14ac:dyDescent="0.25">
      <c r="A6352" s="170" t="s">
        <v>8822</v>
      </c>
      <c r="B6352" s="170" t="s">
        <v>17717</v>
      </c>
      <c r="C6352" s="170" t="s">
        <v>870</v>
      </c>
      <c r="D6352" s="170" t="s">
        <v>1947</v>
      </c>
      <c r="E6352" s="171" t="s">
        <v>22860</v>
      </c>
      <c r="F6352" s="171" t="s">
        <v>37671</v>
      </c>
      <c r="G6352" s="82"/>
      <c r="H6352" s="96">
        <f t="shared" si="396"/>
        <v>70.430000000000007</v>
      </c>
      <c r="I6352" s="96">
        <f t="shared" si="396"/>
        <v>75.010000000000005</v>
      </c>
      <c r="J6352" s="91" t="str">
        <f t="shared" si="397"/>
        <v>Sinapi 87779</v>
      </c>
      <c r="K6352" s="91" t="str">
        <f t="shared" si="398"/>
        <v>M2</v>
      </c>
      <c r="L6352" s="166" t="str">
        <f t="shared" si="399"/>
        <v>08/2022</v>
      </c>
      <c r="M6352" s="82"/>
      <c r="N6352" s="82"/>
    </row>
    <row r="6353" spans="1:14" x14ac:dyDescent="0.25">
      <c r="A6353" s="170" t="s">
        <v>8823</v>
      </c>
      <c r="B6353" s="170" t="s">
        <v>17718</v>
      </c>
      <c r="C6353" s="170" t="s">
        <v>870</v>
      </c>
      <c r="D6353" s="170" t="s">
        <v>1947</v>
      </c>
      <c r="E6353" s="171" t="s">
        <v>33127</v>
      </c>
      <c r="F6353" s="171" t="s">
        <v>22935</v>
      </c>
      <c r="G6353" s="82"/>
      <c r="H6353" s="96">
        <f t="shared" si="396"/>
        <v>74.400000000000006</v>
      </c>
      <c r="I6353" s="96">
        <f t="shared" si="396"/>
        <v>79.39</v>
      </c>
      <c r="J6353" s="91" t="str">
        <f t="shared" si="397"/>
        <v>Sinapi 87781</v>
      </c>
      <c r="K6353" s="91" t="str">
        <f t="shared" si="398"/>
        <v>M2</v>
      </c>
      <c r="L6353" s="166" t="str">
        <f t="shared" si="399"/>
        <v>08/2022</v>
      </c>
      <c r="M6353" s="82"/>
      <c r="N6353" s="82"/>
    </row>
    <row r="6354" spans="1:14" x14ac:dyDescent="0.25">
      <c r="A6354" s="170" t="s">
        <v>8824</v>
      </c>
      <c r="B6354" s="170" t="s">
        <v>17719</v>
      </c>
      <c r="C6354" s="170" t="s">
        <v>870</v>
      </c>
      <c r="D6354" s="170" t="s">
        <v>1947</v>
      </c>
      <c r="E6354" s="171" t="s">
        <v>30777</v>
      </c>
      <c r="F6354" s="171" t="s">
        <v>37672</v>
      </c>
      <c r="G6354" s="82"/>
      <c r="H6354" s="96">
        <f t="shared" si="396"/>
        <v>141.97999999999999</v>
      </c>
      <c r="I6354" s="96">
        <f t="shared" si="396"/>
        <v>146.16</v>
      </c>
      <c r="J6354" s="91" t="str">
        <f t="shared" si="397"/>
        <v>Sinapi 87783</v>
      </c>
      <c r="K6354" s="91" t="str">
        <f t="shared" si="398"/>
        <v>M2</v>
      </c>
      <c r="L6354" s="166" t="str">
        <f t="shared" si="399"/>
        <v>08/2022</v>
      </c>
      <c r="M6354" s="82"/>
      <c r="N6354" s="82"/>
    </row>
    <row r="6355" spans="1:14" x14ac:dyDescent="0.25">
      <c r="A6355" s="170" t="s">
        <v>8825</v>
      </c>
      <c r="B6355" s="170" t="s">
        <v>17720</v>
      </c>
      <c r="C6355" s="170" t="s">
        <v>870</v>
      </c>
      <c r="D6355" s="170" t="s">
        <v>1947</v>
      </c>
      <c r="E6355" s="171" t="s">
        <v>20976</v>
      </c>
      <c r="F6355" s="171" t="s">
        <v>37673</v>
      </c>
      <c r="G6355" s="82"/>
      <c r="H6355" s="96">
        <f t="shared" si="396"/>
        <v>78.400000000000006</v>
      </c>
      <c r="I6355" s="96">
        <f t="shared" si="396"/>
        <v>83.11</v>
      </c>
      <c r="J6355" s="91" t="str">
        <f t="shared" si="397"/>
        <v>Sinapi 87784</v>
      </c>
      <c r="K6355" s="91" t="str">
        <f t="shared" si="398"/>
        <v>M2</v>
      </c>
      <c r="L6355" s="166" t="str">
        <f t="shared" si="399"/>
        <v>08/2022</v>
      </c>
      <c r="M6355" s="82"/>
      <c r="N6355" s="82"/>
    </row>
    <row r="6356" spans="1:14" x14ac:dyDescent="0.25">
      <c r="A6356" s="170" t="s">
        <v>8826</v>
      </c>
      <c r="B6356" s="170" t="s">
        <v>17721</v>
      </c>
      <c r="C6356" s="170" t="s">
        <v>870</v>
      </c>
      <c r="D6356" s="170" t="s">
        <v>1947</v>
      </c>
      <c r="E6356" s="171" t="s">
        <v>34579</v>
      </c>
      <c r="F6356" s="171" t="s">
        <v>37674</v>
      </c>
      <c r="G6356" s="82"/>
      <c r="H6356" s="96">
        <f t="shared" si="396"/>
        <v>83.38</v>
      </c>
      <c r="I6356" s="96">
        <f t="shared" si="396"/>
        <v>88.61</v>
      </c>
      <c r="J6356" s="91" t="str">
        <f t="shared" si="397"/>
        <v>Sinapi 87786</v>
      </c>
      <c r="K6356" s="91" t="str">
        <f t="shared" si="398"/>
        <v>M2</v>
      </c>
      <c r="L6356" s="166" t="str">
        <f t="shared" si="399"/>
        <v>08/2022</v>
      </c>
      <c r="M6356" s="82"/>
      <c r="N6356" s="82"/>
    </row>
    <row r="6357" spans="1:14" x14ac:dyDescent="0.25">
      <c r="A6357" s="170" t="s">
        <v>8827</v>
      </c>
      <c r="B6357" s="170" t="s">
        <v>17722</v>
      </c>
      <c r="C6357" s="170" t="s">
        <v>870</v>
      </c>
      <c r="D6357" s="170" t="s">
        <v>1947</v>
      </c>
      <c r="E6357" s="171" t="s">
        <v>34580</v>
      </c>
      <c r="F6357" s="171" t="s">
        <v>37675</v>
      </c>
      <c r="G6357" s="82"/>
      <c r="H6357" s="96">
        <f t="shared" si="396"/>
        <v>168.99</v>
      </c>
      <c r="I6357" s="96">
        <f t="shared" si="396"/>
        <v>173.28</v>
      </c>
      <c r="J6357" s="91" t="str">
        <f t="shared" si="397"/>
        <v>Sinapi 87787</v>
      </c>
      <c r="K6357" s="91" t="str">
        <f t="shared" si="398"/>
        <v>M2</v>
      </c>
      <c r="L6357" s="166" t="str">
        <f t="shared" si="399"/>
        <v>08/2022</v>
      </c>
      <c r="M6357" s="82"/>
      <c r="N6357" s="82"/>
    </row>
    <row r="6358" spans="1:14" x14ac:dyDescent="0.25">
      <c r="A6358" s="170" t="s">
        <v>8828</v>
      </c>
      <c r="B6358" s="170" t="s">
        <v>17723</v>
      </c>
      <c r="C6358" s="170" t="s">
        <v>870</v>
      </c>
      <c r="D6358" s="170" t="s">
        <v>1947</v>
      </c>
      <c r="E6358" s="171" t="s">
        <v>34581</v>
      </c>
      <c r="F6358" s="171" t="s">
        <v>37676</v>
      </c>
      <c r="G6358" s="82"/>
      <c r="H6358" s="96">
        <f t="shared" si="396"/>
        <v>91.53</v>
      </c>
      <c r="I6358" s="96">
        <f t="shared" si="396"/>
        <v>97.31</v>
      </c>
      <c r="J6358" s="91" t="str">
        <f t="shared" si="397"/>
        <v>Sinapi 87788</v>
      </c>
      <c r="K6358" s="91" t="str">
        <f t="shared" si="398"/>
        <v>M2</v>
      </c>
      <c r="L6358" s="166" t="str">
        <f t="shared" si="399"/>
        <v>08/2022</v>
      </c>
      <c r="M6358" s="82"/>
      <c r="N6358" s="82"/>
    </row>
    <row r="6359" spans="1:14" x14ac:dyDescent="0.25">
      <c r="A6359" s="170" t="s">
        <v>8829</v>
      </c>
      <c r="B6359" s="170" t="s">
        <v>8830</v>
      </c>
      <c r="C6359" s="170" t="s">
        <v>870</v>
      </c>
      <c r="D6359" s="170" t="s">
        <v>1947</v>
      </c>
      <c r="E6359" s="171" t="s">
        <v>22056</v>
      </c>
      <c r="F6359" s="171" t="s">
        <v>37677</v>
      </c>
      <c r="G6359" s="82"/>
      <c r="H6359" s="96">
        <f t="shared" si="396"/>
        <v>97.01</v>
      </c>
      <c r="I6359" s="96">
        <f t="shared" si="396"/>
        <v>103.36</v>
      </c>
      <c r="J6359" s="91" t="str">
        <f t="shared" si="397"/>
        <v>Sinapi 87790</v>
      </c>
      <c r="K6359" s="91" t="str">
        <f t="shared" si="398"/>
        <v>M2</v>
      </c>
      <c r="L6359" s="166" t="str">
        <f t="shared" si="399"/>
        <v>06/2014</v>
      </c>
      <c r="M6359" s="82"/>
      <c r="N6359" s="82"/>
    </row>
    <row r="6360" spans="1:14" x14ac:dyDescent="0.25">
      <c r="A6360" s="170" t="s">
        <v>8831</v>
      </c>
      <c r="B6360" s="170" t="s">
        <v>17724</v>
      </c>
      <c r="C6360" s="170" t="s">
        <v>870</v>
      </c>
      <c r="D6360" s="170" t="s">
        <v>1947</v>
      </c>
      <c r="E6360" s="171" t="s">
        <v>34582</v>
      </c>
      <c r="F6360" s="171" t="s">
        <v>37678</v>
      </c>
      <c r="G6360" s="82"/>
      <c r="H6360" s="96">
        <f t="shared" si="396"/>
        <v>186.14</v>
      </c>
      <c r="I6360" s="96">
        <f t="shared" si="396"/>
        <v>190.93</v>
      </c>
      <c r="J6360" s="91" t="str">
        <f t="shared" si="397"/>
        <v>Sinapi 87791</v>
      </c>
      <c r="K6360" s="91" t="str">
        <f t="shared" si="398"/>
        <v>M2</v>
      </c>
      <c r="L6360" s="166" t="str">
        <f t="shared" si="399"/>
        <v>08/2022</v>
      </c>
      <c r="M6360" s="82"/>
      <c r="N6360" s="82"/>
    </row>
    <row r="6361" spans="1:14" x14ac:dyDescent="0.25">
      <c r="A6361" s="170" t="s">
        <v>8832</v>
      </c>
      <c r="B6361" s="170" t="s">
        <v>17725</v>
      </c>
      <c r="C6361" s="170" t="s">
        <v>870</v>
      </c>
      <c r="D6361" s="170" t="s">
        <v>1947</v>
      </c>
      <c r="E6361" s="171" t="s">
        <v>34583</v>
      </c>
      <c r="F6361" s="171" t="s">
        <v>21314</v>
      </c>
      <c r="G6361" s="82"/>
      <c r="H6361" s="96">
        <f t="shared" si="396"/>
        <v>41.63</v>
      </c>
      <c r="I6361" s="96">
        <f t="shared" si="396"/>
        <v>43.9</v>
      </c>
      <c r="J6361" s="91" t="str">
        <f t="shared" si="397"/>
        <v>Sinapi 87792</v>
      </c>
      <c r="K6361" s="91" t="str">
        <f t="shared" si="398"/>
        <v>M2</v>
      </c>
      <c r="L6361" s="166" t="str">
        <f t="shared" si="399"/>
        <v>08/2022</v>
      </c>
      <c r="M6361" s="82"/>
      <c r="N6361" s="82"/>
    </row>
    <row r="6362" spans="1:14" x14ac:dyDescent="0.25">
      <c r="A6362" s="170" t="s">
        <v>8833</v>
      </c>
      <c r="B6362" s="170" t="s">
        <v>17726</v>
      </c>
      <c r="C6362" s="170" t="s">
        <v>870</v>
      </c>
      <c r="D6362" s="170" t="s">
        <v>1947</v>
      </c>
      <c r="E6362" s="171" t="s">
        <v>22998</v>
      </c>
      <c r="F6362" s="171" t="s">
        <v>37679</v>
      </c>
      <c r="G6362" s="82"/>
      <c r="H6362" s="96">
        <f t="shared" si="396"/>
        <v>44.4</v>
      </c>
      <c r="I6362" s="96">
        <f t="shared" si="396"/>
        <v>46.95</v>
      </c>
      <c r="J6362" s="91" t="str">
        <f t="shared" si="397"/>
        <v>Sinapi 87794</v>
      </c>
      <c r="K6362" s="91" t="str">
        <f t="shared" si="398"/>
        <v>M2</v>
      </c>
      <c r="L6362" s="166" t="str">
        <f t="shared" si="399"/>
        <v>09/2022</v>
      </c>
      <c r="M6362" s="82"/>
      <c r="N6362" s="82"/>
    </row>
    <row r="6363" spans="1:14" x14ac:dyDescent="0.25">
      <c r="A6363" s="170" t="s">
        <v>8834</v>
      </c>
      <c r="B6363" s="170" t="s">
        <v>17727</v>
      </c>
      <c r="C6363" s="170" t="s">
        <v>870</v>
      </c>
      <c r="D6363" s="170" t="s">
        <v>1947</v>
      </c>
      <c r="E6363" s="171" t="s">
        <v>28723</v>
      </c>
      <c r="F6363" s="171" t="s">
        <v>31972</v>
      </c>
      <c r="G6363" s="82"/>
      <c r="H6363" s="96">
        <f t="shared" si="396"/>
        <v>92.17</v>
      </c>
      <c r="I6363" s="96">
        <f t="shared" si="396"/>
        <v>94.24</v>
      </c>
      <c r="J6363" s="91" t="str">
        <f t="shared" si="397"/>
        <v>Sinapi 87795</v>
      </c>
      <c r="K6363" s="91" t="str">
        <f t="shared" si="398"/>
        <v>M2</v>
      </c>
      <c r="L6363" s="166" t="str">
        <f t="shared" si="399"/>
        <v>08/2022</v>
      </c>
      <c r="M6363" s="82"/>
      <c r="N6363" s="82"/>
    </row>
    <row r="6364" spans="1:14" x14ac:dyDescent="0.25">
      <c r="A6364" s="170" t="s">
        <v>8835</v>
      </c>
      <c r="B6364" s="170" t="s">
        <v>17728</v>
      </c>
      <c r="C6364" s="170" t="s">
        <v>870</v>
      </c>
      <c r="D6364" s="170" t="s">
        <v>1947</v>
      </c>
      <c r="E6364" s="171" t="s">
        <v>21571</v>
      </c>
      <c r="F6364" s="171" t="s">
        <v>36641</v>
      </c>
      <c r="G6364" s="82"/>
      <c r="H6364" s="96">
        <f t="shared" si="396"/>
        <v>57.21</v>
      </c>
      <c r="I6364" s="96">
        <f t="shared" si="396"/>
        <v>60.49</v>
      </c>
      <c r="J6364" s="91" t="str">
        <f t="shared" si="397"/>
        <v>Sinapi 87797</v>
      </c>
      <c r="K6364" s="91" t="str">
        <f t="shared" si="398"/>
        <v>M2</v>
      </c>
      <c r="L6364" s="166" t="str">
        <f t="shared" si="399"/>
        <v>08/2022</v>
      </c>
      <c r="M6364" s="82"/>
      <c r="N6364" s="82"/>
    </row>
    <row r="6365" spans="1:14" x14ac:dyDescent="0.25">
      <c r="A6365" s="170" t="s">
        <v>8836</v>
      </c>
      <c r="B6365" s="170" t="s">
        <v>17729</v>
      </c>
      <c r="C6365" s="170" t="s">
        <v>870</v>
      </c>
      <c r="D6365" s="170" t="s">
        <v>1947</v>
      </c>
      <c r="E6365" s="171" t="s">
        <v>30370</v>
      </c>
      <c r="F6365" s="171" t="s">
        <v>29450</v>
      </c>
      <c r="G6365" s="82"/>
      <c r="H6365" s="96">
        <f t="shared" si="396"/>
        <v>60.92</v>
      </c>
      <c r="I6365" s="96">
        <f t="shared" si="396"/>
        <v>64.58</v>
      </c>
      <c r="J6365" s="91" t="str">
        <f t="shared" si="397"/>
        <v>Sinapi 87799</v>
      </c>
      <c r="K6365" s="91" t="str">
        <f t="shared" si="398"/>
        <v>M2</v>
      </c>
      <c r="L6365" s="166" t="str">
        <f t="shared" si="399"/>
        <v>08/2022</v>
      </c>
      <c r="M6365" s="82"/>
      <c r="N6365" s="82"/>
    </row>
    <row r="6366" spans="1:14" x14ac:dyDescent="0.25">
      <c r="A6366" s="170" t="s">
        <v>8837</v>
      </c>
      <c r="B6366" s="170" t="s">
        <v>17730</v>
      </c>
      <c r="C6366" s="170" t="s">
        <v>870</v>
      </c>
      <c r="D6366" s="170" t="s">
        <v>1947</v>
      </c>
      <c r="E6366" s="171" t="s">
        <v>34584</v>
      </c>
      <c r="F6366" s="171" t="s">
        <v>37680</v>
      </c>
      <c r="G6366" s="82"/>
      <c r="H6366" s="96">
        <f t="shared" si="396"/>
        <v>124.76</v>
      </c>
      <c r="I6366" s="96">
        <f t="shared" si="396"/>
        <v>127.75</v>
      </c>
      <c r="J6366" s="91" t="str">
        <f t="shared" si="397"/>
        <v>Sinapi 87800</v>
      </c>
      <c r="K6366" s="91" t="str">
        <f t="shared" si="398"/>
        <v>M2</v>
      </c>
      <c r="L6366" s="166" t="str">
        <f t="shared" si="399"/>
        <v>08/2022</v>
      </c>
      <c r="M6366" s="82"/>
      <c r="N6366" s="82"/>
    </row>
    <row r="6367" spans="1:14" x14ac:dyDescent="0.25">
      <c r="A6367" s="170" t="s">
        <v>8838</v>
      </c>
      <c r="B6367" s="170" t="s">
        <v>17731</v>
      </c>
      <c r="C6367" s="170" t="s">
        <v>870</v>
      </c>
      <c r="D6367" s="170" t="s">
        <v>1947</v>
      </c>
      <c r="E6367" s="171" t="s">
        <v>28623</v>
      </c>
      <c r="F6367" s="171" t="s">
        <v>37681</v>
      </c>
      <c r="G6367" s="82"/>
      <c r="H6367" s="96">
        <f t="shared" si="396"/>
        <v>64.66</v>
      </c>
      <c r="I6367" s="96">
        <f t="shared" si="396"/>
        <v>68.06</v>
      </c>
      <c r="J6367" s="91" t="str">
        <f t="shared" si="397"/>
        <v>Sinapi 87801</v>
      </c>
      <c r="K6367" s="91" t="str">
        <f t="shared" si="398"/>
        <v>M2</v>
      </c>
      <c r="L6367" s="166" t="str">
        <f t="shared" si="399"/>
        <v>08/2022</v>
      </c>
      <c r="M6367" s="82"/>
      <c r="N6367" s="82"/>
    </row>
    <row r="6368" spans="1:14" x14ac:dyDescent="0.25">
      <c r="A6368" s="170" t="s">
        <v>8839</v>
      </c>
      <c r="B6368" s="170" t="s">
        <v>17732</v>
      </c>
      <c r="C6368" s="170" t="s">
        <v>870</v>
      </c>
      <c r="D6368" s="170" t="s">
        <v>1947</v>
      </c>
      <c r="E6368" s="171" t="s">
        <v>29250</v>
      </c>
      <c r="F6368" s="171" t="s">
        <v>37682</v>
      </c>
      <c r="G6368" s="82"/>
      <c r="H6368" s="96">
        <f t="shared" si="396"/>
        <v>69.31</v>
      </c>
      <c r="I6368" s="96">
        <f t="shared" si="396"/>
        <v>73.19</v>
      </c>
      <c r="J6368" s="91" t="str">
        <f t="shared" si="397"/>
        <v>Sinapi 87803</v>
      </c>
      <c r="K6368" s="91" t="str">
        <f t="shared" si="398"/>
        <v>M2</v>
      </c>
      <c r="L6368" s="166" t="str">
        <f t="shared" si="399"/>
        <v>08/2022</v>
      </c>
      <c r="M6368" s="82"/>
      <c r="N6368" s="82"/>
    </row>
    <row r="6369" spans="1:14" x14ac:dyDescent="0.25">
      <c r="A6369" s="170" t="s">
        <v>8840</v>
      </c>
      <c r="B6369" s="170" t="s">
        <v>17733</v>
      </c>
      <c r="C6369" s="170" t="s">
        <v>870</v>
      </c>
      <c r="D6369" s="170" t="s">
        <v>1947</v>
      </c>
      <c r="E6369" s="171" t="s">
        <v>22907</v>
      </c>
      <c r="F6369" s="171" t="s">
        <v>32116</v>
      </c>
      <c r="G6369" s="82"/>
      <c r="H6369" s="96">
        <f t="shared" si="396"/>
        <v>150</v>
      </c>
      <c r="I6369" s="96">
        <f t="shared" si="396"/>
        <v>153.09</v>
      </c>
      <c r="J6369" s="91" t="str">
        <f t="shared" si="397"/>
        <v>Sinapi 87804</v>
      </c>
      <c r="K6369" s="91" t="str">
        <f t="shared" si="398"/>
        <v>M2</v>
      </c>
      <c r="L6369" s="166" t="str">
        <f t="shared" si="399"/>
        <v>08/2022</v>
      </c>
      <c r="M6369" s="82"/>
      <c r="N6369" s="82"/>
    </row>
    <row r="6370" spans="1:14" x14ac:dyDescent="0.25">
      <c r="A6370" s="170" t="s">
        <v>8841</v>
      </c>
      <c r="B6370" s="170" t="s">
        <v>17734</v>
      </c>
      <c r="C6370" s="170" t="s">
        <v>870</v>
      </c>
      <c r="D6370" s="170" t="s">
        <v>1947</v>
      </c>
      <c r="E6370" s="171" t="s">
        <v>28731</v>
      </c>
      <c r="F6370" s="171" t="s">
        <v>29219</v>
      </c>
      <c r="G6370" s="82"/>
      <c r="H6370" s="96">
        <f t="shared" si="396"/>
        <v>70.72</v>
      </c>
      <c r="I6370" s="96">
        <f t="shared" si="396"/>
        <v>74.430000000000007</v>
      </c>
      <c r="J6370" s="91" t="str">
        <f t="shared" si="397"/>
        <v>Sinapi 87805</v>
      </c>
      <c r="K6370" s="91" t="str">
        <f t="shared" si="398"/>
        <v>M2</v>
      </c>
      <c r="L6370" s="166" t="str">
        <f t="shared" si="399"/>
        <v>08/2022</v>
      </c>
      <c r="M6370" s="82"/>
      <c r="N6370" s="82"/>
    </row>
    <row r="6371" spans="1:14" x14ac:dyDescent="0.25">
      <c r="A6371" s="170" t="s">
        <v>8842</v>
      </c>
      <c r="B6371" s="170" t="s">
        <v>17735</v>
      </c>
      <c r="C6371" s="170" t="s">
        <v>870</v>
      </c>
      <c r="D6371" s="170" t="s">
        <v>1947</v>
      </c>
      <c r="E6371" s="171" t="s">
        <v>34585</v>
      </c>
      <c r="F6371" s="171" t="s">
        <v>37683</v>
      </c>
      <c r="G6371" s="82"/>
      <c r="H6371" s="96">
        <f t="shared" si="396"/>
        <v>75.84</v>
      </c>
      <c r="I6371" s="96">
        <f t="shared" si="396"/>
        <v>80.09</v>
      </c>
      <c r="J6371" s="91" t="str">
        <f t="shared" si="397"/>
        <v>Sinapi 87807</v>
      </c>
      <c r="K6371" s="91" t="str">
        <f t="shared" si="398"/>
        <v>M2</v>
      </c>
      <c r="L6371" s="166" t="str">
        <f t="shared" si="399"/>
        <v>08/2022</v>
      </c>
      <c r="M6371" s="82"/>
      <c r="N6371" s="82"/>
    </row>
    <row r="6372" spans="1:14" x14ac:dyDescent="0.25">
      <c r="A6372" s="170" t="s">
        <v>8843</v>
      </c>
      <c r="B6372" s="170" t="s">
        <v>17736</v>
      </c>
      <c r="C6372" s="170" t="s">
        <v>870</v>
      </c>
      <c r="D6372" s="170" t="s">
        <v>1947</v>
      </c>
      <c r="E6372" s="171" t="s">
        <v>29391</v>
      </c>
      <c r="F6372" s="171" t="s">
        <v>34352</v>
      </c>
      <c r="G6372" s="82"/>
      <c r="H6372" s="96">
        <f t="shared" si="396"/>
        <v>162.02000000000001</v>
      </c>
      <c r="I6372" s="96">
        <f t="shared" si="396"/>
        <v>165.11</v>
      </c>
      <c r="J6372" s="91" t="str">
        <f t="shared" si="397"/>
        <v>Sinapi 87808</v>
      </c>
      <c r="K6372" s="91" t="str">
        <f t="shared" si="398"/>
        <v>M2</v>
      </c>
      <c r="L6372" s="166" t="str">
        <f t="shared" si="399"/>
        <v>08/2022</v>
      </c>
      <c r="M6372" s="82"/>
      <c r="N6372" s="82"/>
    </row>
    <row r="6373" spans="1:14" x14ac:dyDescent="0.25">
      <c r="A6373" s="170" t="s">
        <v>8844</v>
      </c>
      <c r="B6373" s="170" t="s">
        <v>17737</v>
      </c>
      <c r="C6373" s="170" t="s">
        <v>870</v>
      </c>
      <c r="D6373" s="170" t="s">
        <v>2067</v>
      </c>
      <c r="E6373" s="171" t="s">
        <v>34586</v>
      </c>
      <c r="F6373" s="171" t="s">
        <v>37684</v>
      </c>
      <c r="G6373" s="82"/>
      <c r="H6373" s="96">
        <f t="shared" si="396"/>
        <v>73.48</v>
      </c>
      <c r="I6373" s="96">
        <f t="shared" si="396"/>
        <v>79.56</v>
      </c>
      <c r="J6373" s="91" t="str">
        <f t="shared" si="397"/>
        <v>Sinapi 87809</v>
      </c>
      <c r="K6373" s="91" t="str">
        <f t="shared" si="398"/>
        <v>M2</v>
      </c>
      <c r="L6373" s="166" t="str">
        <f t="shared" si="399"/>
        <v>08/2022</v>
      </c>
      <c r="M6373" s="82"/>
      <c r="N6373" s="82"/>
    </row>
    <row r="6374" spans="1:14" x14ac:dyDescent="0.25">
      <c r="A6374" s="170" t="s">
        <v>8845</v>
      </c>
      <c r="B6374" s="170" t="s">
        <v>17738</v>
      </c>
      <c r="C6374" s="170" t="s">
        <v>870</v>
      </c>
      <c r="D6374" s="170" t="s">
        <v>2067</v>
      </c>
      <c r="E6374" s="171" t="s">
        <v>33830</v>
      </c>
      <c r="F6374" s="171" t="s">
        <v>37685</v>
      </c>
      <c r="G6374" s="82"/>
      <c r="H6374" s="96">
        <f t="shared" si="396"/>
        <v>76.25</v>
      </c>
      <c r="I6374" s="96">
        <f t="shared" si="396"/>
        <v>82.61</v>
      </c>
      <c r="J6374" s="91" t="str">
        <f t="shared" si="397"/>
        <v>Sinapi 87811</v>
      </c>
      <c r="K6374" s="91" t="str">
        <f t="shared" si="398"/>
        <v>M2</v>
      </c>
      <c r="L6374" s="166" t="str">
        <f t="shared" si="399"/>
        <v>08/2022</v>
      </c>
      <c r="M6374" s="82"/>
      <c r="N6374" s="82"/>
    </row>
    <row r="6375" spans="1:14" x14ac:dyDescent="0.25">
      <c r="A6375" s="170" t="s">
        <v>8846</v>
      </c>
      <c r="B6375" s="170" t="s">
        <v>17739</v>
      </c>
      <c r="C6375" s="170" t="s">
        <v>870</v>
      </c>
      <c r="D6375" s="170" t="s">
        <v>2067</v>
      </c>
      <c r="E6375" s="171" t="s">
        <v>29765</v>
      </c>
      <c r="F6375" s="171" t="s">
        <v>37686</v>
      </c>
      <c r="G6375" s="82"/>
      <c r="H6375" s="96">
        <f t="shared" si="396"/>
        <v>120.87</v>
      </c>
      <c r="I6375" s="96">
        <f t="shared" si="396"/>
        <v>126.41</v>
      </c>
      <c r="J6375" s="91" t="str">
        <f t="shared" si="397"/>
        <v>Sinapi 87812</v>
      </c>
      <c r="K6375" s="91" t="str">
        <f t="shared" si="398"/>
        <v>M2</v>
      </c>
      <c r="L6375" s="166" t="str">
        <f t="shared" si="399"/>
        <v>08/2022</v>
      </c>
      <c r="M6375" s="82"/>
      <c r="N6375" s="82"/>
    </row>
    <row r="6376" spans="1:14" x14ac:dyDescent="0.25">
      <c r="A6376" s="170" t="s">
        <v>8847</v>
      </c>
      <c r="B6376" s="170" t="s">
        <v>17740</v>
      </c>
      <c r="C6376" s="170" t="s">
        <v>870</v>
      </c>
      <c r="D6376" s="170" t="s">
        <v>2067</v>
      </c>
      <c r="E6376" s="171" t="s">
        <v>34555</v>
      </c>
      <c r="F6376" s="171" t="s">
        <v>37687</v>
      </c>
      <c r="G6376" s="82"/>
      <c r="H6376" s="96">
        <f t="shared" si="396"/>
        <v>89.04</v>
      </c>
      <c r="I6376" s="96">
        <f t="shared" si="396"/>
        <v>96.14</v>
      </c>
      <c r="J6376" s="91" t="str">
        <f t="shared" si="397"/>
        <v>Sinapi 87813</v>
      </c>
      <c r="K6376" s="91" t="str">
        <f t="shared" si="398"/>
        <v>M2</v>
      </c>
      <c r="L6376" s="166" t="str">
        <f t="shared" si="399"/>
        <v>08/2022</v>
      </c>
      <c r="M6376" s="82"/>
      <c r="N6376" s="82"/>
    </row>
    <row r="6377" spans="1:14" x14ac:dyDescent="0.25">
      <c r="A6377" s="170" t="s">
        <v>8848</v>
      </c>
      <c r="B6377" s="170" t="s">
        <v>17741</v>
      </c>
      <c r="C6377" s="170" t="s">
        <v>870</v>
      </c>
      <c r="D6377" s="170" t="s">
        <v>2067</v>
      </c>
      <c r="E6377" s="171" t="s">
        <v>34587</v>
      </c>
      <c r="F6377" s="171" t="s">
        <v>29436</v>
      </c>
      <c r="G6377" s="82"/>
      <c r="H6377" s="96">
        <f t="shared" si="396"/>
        <v>92.75</v>
      </c>
      <c r="I6377" s="96">
        <f t="shared" si="396"/>
        <v>100.23</v>
      </c>
      <c r="J6377" s="91" t="str">
        <f t="shared" si="397"/>
        <v>Sinapi 87815</v>
      </c>
      <c r="K6377" s="91" t="str">
        <f t="shared" si="398"/>
        <v>M2</v>
      </c>
      <c r="L6377" s="166" t="str">
        <f t="shared" si="399"/>
        <v>08/2022</v>
      </c>
      <c r="M6377" s="82"/>
      <c r="N6377" s="82"/>
    </row>
    <row r="6378" spans="1:14" x14ac:dyDescent="0.25">
      <c r="A6378" s="170" t="s">
        <v>8849</v>
      </c>
      <c r="B6378" s="170" t="s">
        <v>17742</v>
      </c>
      <c r="C6378" s="170" t="s">
        <v>870</v>
      </c>
      <c r="D6378" s="170" t="s">
        <v>2067</v>
      </c>
      <c r="E6378" s="171" t="s">
        <v>34588</v>
      </c>
      <c r="F6378" s="171" t="s">
        <v>37688</v>
      </c>
      <c r="G6378" s="82"/>
      <c r="H6378" s="96">
        <f t="shared" si="396"/>
        <v>153.5</v>
      </c>
      <c r="I6378" s="96">
        <f t="shared" si="396"/>
        <v>159.97</v>
      </c>
      <c r="J6378" s="91" t="str">
        <f t="shared" si="397"/>
        <v>Sinapi 87816</v>
      </c>
      <c r="K6378" s="91" t="str">
        <f t="shared" si="398"/>
        <v>M2</v>
      </c>
      <c r="L6378" s="166" t="str">
        <f t="shared" si="399"/>
        <v>08/2022</v>
      </c>
      <c r="M6378" s="82"/>
      <c r="N6378" s="82"/>
    </row>
    <row r="6379" spans="1:14" x14ac:dyDescent="0.25">
      <c r="A6379" s="170" t="s">
        <v>8850</v>
      </c>
      <c r="B6379" s="170" t="s">
        <v>17743</v>
      </c>
      <c r="C6379" s="170" t="s">
        <v>870</v>
      </c>
      <c r="D6379" s="170" t="s">
        <v>2067</v>
      </c>
      <c r="E6379" s="171" t="s">
        <v>34589</v>
      </c>
      <c r="F6379" s="171" t="s">
        <v>25859</v>
      </c>
      <c r="G6379" s="82"/>
      <c r="H6379" s="96">
        <f t="shared" si="396"/>
        <v>96.49</v>
      </c>
      <c r="I6379" s="96">
        <f t="shared" si="396"/>
        <v>103.71</v>
      </c>
      <c r="J6379" s="91" t="str">
        <f t="shared" si="397"/>
        <v>Sinapi 87817</v>
      </c>
      <c r="K6379" s="91" t="str">
        <f t="shared" si="398"/>
        <v>M2</v>
      </c>
      <c r="L6379" s="166" t="str">
        <f t="shared" si="399"/>
        <v>08/2022</v>
      </c>
      <c r="M6379" s="82"/>
      <c r="N6379" s="82"/>
    </row>
    <row r="6380" spans="1:14" x14ac:dyDescent="0.25">
      <c r="A6380" s="170" t="s">
        <v>8851</v>
      </c>
      <c r="B6380" s="170" t="s">
        <v>17744</v>
      </c>
      <c r="C6380" s="170" t="s">
        <v>870</v>
      </c>
      <c r="D6380" s="170" t="s">
        <v>2067</v>
      </c>
      <c r="E6380" s="171" t="s">
        <v>34590</v>
      </c>
      <c r="F6380" s="171" t="s">
        <v>37689</v>
      </c>
      <c r="G6380" s="82"/>
      <c r="H6380" s="96">
        <f t="shared" si="396"/>
        <v>101.14</v>
      </c>
      <c r="I6380" s="96">
        <f t="shared" si="396"/>
        <v>108.84</v>
      </c>
      <c r="J6380" s="91" t="str">
        <f t="shared" si="397"/>
        <v>Sinapi 87819</v>
      </c>
      <c r="K6380" s="91" t="str">
        <f t="shared" si="398"/>
        <v>M2</v>
      </c>
      <c r="L6380" s="166" t="str">
        <f t="shared" si="399"/>
        <v>08/2022</v>
      </c>
      <c r="M6380" s="82"/>
      <c r="N6380" s="82"/>
    </row>
    <row r="6381" spans="1:14" x14ac:dyDescent="0.25">
      <c r="A6381" s="170" t="s">
        <v>8852</v>
      </c>
      <c r="B6381" s="170" t="s">
        <v>17745</v>
      </c>
      <c r="C6381" s="170" t="s">
        <v>870</v>
      </c>
      <c r="D6381" s="170" t="s">
        <v>2067</v>
      </c>
      <c r="E6381" s="171" t="s">
        <v>34591</v>
      </c>
      <c r="F6381" s="171" t="s">
        <v>37690</v>
      </c>
      <c r="G6381" s="82"/>
      <c r="H6381" s="96">
        <f t="shared" si="396"/>
        <v>178.74</v>
      </c>
      <c r="I6381" s="96">
        <f t="shared" si="396"/>
        <v>185.31</v>
      </c>
      <c r="J6381" s="91" t="str">
        <f t="shared" si="397"/>
        <v>Sinapi 87820</v>
      </c>
      <c r="K6381" s="91" t="str">
        <f t="shared" si="398"/>
        <v>M2</v>
      </c>
      <c r="L6381" s="166" t="str">
        <f t="shared" si="399"/>
        <v>08/2022</v>
      </c>
      <c r="M6381" s="82"/>
      <c r="N6381" s="82"/>
    </row>
    <row r="6382" spans="1:14" x14ac:dyDescent="0.25">
      <c r="A6382" s="170" t="s">
        <v>8853</v>
      </c>
      <c r="B6382" s="170" t="s">
        <v>17746</v>
      </c>
      <c r="C6382" s="170" t="s">
        <v>870</v>
      </c>
      <c r="D6382" s="170" t="s">
        <v>2067</v>
      </c>
      <c r="E6382" s="171" t="s">
        <v>34592</v>
      </c>
      <c r="F6382" s="171" t="s">
        <v>37691</v>
      </c>
      <c r="G6382" s="82"/>
      <c r="H6382" s="96">
        <f t="shared" si="396"/>
        <v>123.03</v>
      </c>
      <c r="I6382" s="96">
        <f t="shared" si="396"/>
        <v>132.83000000000001</v>
      </c>
      <c r="J6382" s="91" t="str">
        <f t="shared" si="397"/>
        <v>Sinapi 87821</v>
      </c>
      <c r="K6382" s="91" t="str">
        <f t="shared" si="398"/>
        <v>M2</v>
      </c>
      <c r="L6382" s="166" t="str">
        <f t="shared" si="399"/>
        <v>08/2022</v>
      </c>
      <c r="M6382" s="82"/>
      <c r="N6382" s="82"/>
    </row>
    <row r="6383" spans="1:14" x14ac:dyDescent="0.25">
      <c r="A6383" s="170" t="s">
        <v>8854</v>
      </c>
      <c r="B6383" s="170" t="s">
        <v>29032</v>
      </c>
      <c r="C6383" s="170" t="s">
        <v>870</v>
      </c>
      <c r="D6383" s="170" t="s">
        <v>2067</v>
      </c>
      <c r="E6383" s="171" t="s">
        <v>34593</v>
      </c>
      <c r="F6383" s="171" t="s">
        <v>37692</v>
      </c>
      <c r="G6383" s="82"/>
      <c r="H6383" s="96">
        <f t="shared" si="396"/>
        <v>128.15</v>
      </c>
      <c r="I6383" s="96">
        <f t="shared" si="396"/>
        <v>138.49</v>
      </c>
      <c r="J6383" s="91" t="str">
        <f t="shared" si="397"/>
        <v>Sinapi 87823</v>
      </c>
      <c r="K6383" s="91" t="str">
        <f t="shared" si="398"/>
        <v>M2</v>
      </c>
      <c r="L6383" s="166" t="str">
        <f t="shared" si="399"/>
        <v>08/2022</v>
      </c>
      <c r="M6383" s="82"/>
      <c r="N6383" s="82"/>
    </row>
    <row r="6384" spans="1:14" x14ac:dyDescent="0.25">
      <c r="A6384" s="170" t="s">
        <v>8855</v>
      </c>
      <c r="B6384" s="170" t="s">
        <v>17747</v>
      </c>
      <c r="C6384" s="170" t="s">
        <v>870</v>
      </c>
      <c r="D6384" s="170" t="s">
        <v>2067</v>
      </c>
      <c r="E6384" s="171" t="s">
        <v>22915</v>
      </c>
      <c r="F6384" s="171" t="s">
        <v>37693</v>
      </c>
      <c r="G6384" s="82"/>
      <c r="H6384" s="96">
        <f t="shared" si="396"/>
        <v>204.01</v>
      </c>
      <c r="I6384" s="96">
        <f t="shared" si="396"/>
        <v>212.05</v>
      </c>
      <c r="J6384" s="91" t="str">
        <f t="shared" si="397"/>
        <v>Sinapi 87824</v>
      </c>
      <c r="K6384" s="91" t="str">
        <f t="shared" si="398"/>
        <v>M2</v>
      </c>
      <c r="L6384" s="166" t="str">
        <f t="shared" si="399"/>
        <v>08/2022</v>
      </c>
      <c r="M6384" s="82"/>
      <c r="N6384" s="82"/>
    </row>
    <row r="6385" spans="1:14" x14ac:dyDescent="0.25">
      <c r="A6385" s="170" t="s">
        <v>8856</v>
      </c>
      <c r="B6385" s="170" t="s">
        <v>17748</v>
      </c>
      <c r="C6385" s="170" t="s">
        <v>870</v>
      </c>
      <c r="D6385" s="170" t="s">
        <v>2067</v>
      </c>
      <c r="E6385" s="171" t="s">
        <v>30065</v>
      </c>
      <c r="F6385" s="171" t="s">
        <v>23087</v>
      </c>
      <c r="G6385" s="82"/>
      <c r="H6385" s="96">
        <f t="shared" si="396"/>
        <v>70.790000000000006</v>
      </c>
      <c r="I6385" s="96">
        <f t="shared" si="396"/>
        <v>76.09</v>
      </c>
      <c r="J6385" s="91" t="str">
        <f t="shared" si="397"/>
        <v>Sinapi 87825</v>
      </c>
      <c r="K6385" s="91" t="str">
        <f t="shared" si="398"/>
        <v>M2</v>
      </c>
      <c r="L6385" s="166" t="str">
        <f t="shared" si="399"/>
        <v>08/2022</v>
      </c>
      <c r="M6385" s="82"/>
      <c r="N6385" s="82"/>
    </row>
    <row r="6386" spans="1:14" x14ac:dyDescent="0.25">
      <c r="A6386" s="170" t="s">
        <v>8857</v>
      </c>
      <c r="B6386" s="170" t="s">
        <v>17749</v>
      </c>
      <c r="C6386" s="170" t="s">
        <v>870</v>
      </c>
      <c r="D6386" s="170" t="s">
        <v>2067</v>
      </c>
      <c r="E6386" s="171" t="s">
        <v>34594</v>
      </c>
      <c r="F6386" s="171" t="s">
        <v>37694</v>
      </c>
      <c r="G6386" s="82"/>
      <c r="H6386" s="96">
        <f t="shared" si="396"/>
        <v>74.180000000000007</v>
      </c>
      <c r="I6386" s="96">
        <f t="shared" si="396"/>
        <v>79.84</v>
      </c>
      <c r="J6386" s="91" t="str">
        <f t="shared" si="397"/>
        <v>Sinapi 87827</v>
      </c>
      <c r="K6386" s="91" t="str">
        <f t="shared" si="398"/>
        <v>M2</v>
      </c>
      <c r="L6386" s="166" t="str">
        <f t="shared" si="399"/>
        <v>08/2022</v>
      </c>
      <c r="M6386" s="82"/>
      <c r="N6386" s="82"/>
    </row>
    <row r="6387" spans="1:14" x14ac:dyDescent="0.25">
      <c r="A6387" s="170" t="s">
        <v>8858</v>
      </c>
      <c r="B6387" s="170" t="s">
        <v>17750</v>
      </c>
      <c r="C6387" s="170" t="s">
        <v>870</v>
      </c>
      <c r="D6387" s="170" t="s">
        <v>2067</v>
      </c>
      <c r="E6387" s="171" t="s">
        <v>34595</v>
      </c>
      <c r="F6387" s="171" t="s">
        <v>29091</v>
      </c>
      <c r="G6387" s="82"/>
      <c r="H6387" s="96">
        <f t="shared" si="396"/>
        <v>130.69</v>
      </c>
      <c r="I6387" s="96">
        <f t="shared" si="396"/>
        <v>135.53</v>
      </c>
      <c r="J6387" s="91" t="str">
        <f t="shared" si="397"/>
        <v>Sinapi 87828</v>
      </c>
      <c r="K6387" s="91" t="str">
        <f t="shared" si="398"/>
        <v>M2</v>
      </c>
      <c r="L6387" s="166" t="str">
        <f t="shared" si="399"/>
        <v>08/2022</v>
      </c>
      <c r="M6387" s="82"/>
      <c r="N6387" s="82"/>
    </row>
    <row r="6388" spans="1:14" x14ac:dyDescent="0.25">
      <c r="A6388" s="170" t="s">
        <v>8859</v>
      </c>
      <c r="B6388" s="170" t="s">
        <v>17751</v>
      </c>
      <c r="C6388" s="170" t="s">
        <v>870</v>
      </c>
      <c r="D6388" s="170" t="s">
        <v>2067</v>
      </c>
      <c r="E6388" s="171" t="s">
        <v>29128</v>
      </c>
      <c r="F6388" s="171" t="s">
        <v>29828</v>
      </c>
      <c r="G6388" s="82"/>
      <c r="H6388" s="96">
        <f t="shared" si="396"/>
        <v>86.82</v>
      </c>
      <c r="I6388" s="96">
        <f t="shared" si="396"/>
        <v>93.04</v>
      </c>
      <c r="J6388" s="91" t="str">
        <f t="shared" si="397"/>
        <v>Sinapi 87829</v>
      </c>
      <c r="K6388" s="91" t="str">
        <f t="shared" si="398"/>
        <v>M2</v>
      </c>
      <c r="L6388" s="166" t="str">
        <f t="shared" si="399"/>
        <v>08/2022</v>
      </c>
      <c r="M6388" s="82"/>
      <c r="N6388" s="82"/>
    </row>
    <row r="6389" spans="1:14" x14ac:dyDescent="0.25">
      <c r="A6389" s="170" t="s">
        <v>8860</v>
      </c>
      <c r="B6389" s="170" t="s">
        <v>17752</v>
      </c>
      <c r="C6389" s="170" t="s">
        <v>870</v>
      </c>
      <c r="D6389" s="170" t="s">
        <v>2067</v>
      </c>
      <c r="E6389" s="171" t="s">
        <v>34596</v>
      </c>
      <c r="F6389" s="171" t="s">
        <v>37695</v>
      </c>
      <c r="G6389" s="82"/>
      <c r="H6389" s="96">
        <f t="shared" si="396"/>
        <v>91.36</v>
      </c>
      <c r="I6389" s="96">
        <f t="shared" si="396"/>
        <v>98.05</v>
      </c>
      <c r="J6389" s="91" t="str">
        <f t="shared" si="397"/>
        <v>Sinapi 87831</v>
      </c>
      <c r="K6389" s="91" t="str">
        <f t="shared" si="398"/>
        <v>M2</v>
      </c>
      <c r="L6389" s="166" t="str">
        <f t="shared" si="399"/>
        <v>08/2022</v>
      </c>
      <c r="M6389" s="82"/>
      <c r="N6389" s="82"/>
    </row>
    <row r="6390" spans="1:14" x14ac:dyDescent="0.25">
      <c r="A6390" s="170" t="s">
        <v>8861</v>
      </c>
      <c r="B6390" s="170" t="s">
        <v>17753</v>
      </c>
      <c r="C6390" s="170" t="s">
        <v>870</v>
      </c>
      <c r="D6390" s="170" t="s">
        <v>2067</v>
      </c>
      <c r="E6390" s="171" t="s">
        <v>31228</v>
      </c>
      <c r="F6390" s="171" t="s">
        <v>37696</v>
      </c>
      <c r="G6390" s="82"/>
      <c r="H6390" s="96">
        <f t="shared" si="396"/>
        <v>167.77</v>
      </c>
      <c r="I6390" s="96">
        <f t="shared" si="396"/>
        <v>173.44</v>
      </c>
      <c r="J6390" s="91" t="str">
        <f t="shared" si="397"/>
        <v>Sinapi 87832</v>
      </c>
      <c r="K6390" s="91" t="str">
        <f t="shared" si="398"/>
        <v>M2</v>
      </c>
      <c r="L6390" s="166" t="str">
        <f t="shared" si="399"/>
        <v>08/2022</v>
      </c>
      <c r="M6390" s="82"/>
      <c r="N6390" s="82"/>
    </row>
    <row r="6391" spans="1:14" x14ac:dyDescent="0.25">
      <c r="A6391" s="170" t="s">
        <v>8862</v>
      </c>
      <c r="B6391" s="170" t="s">
        <v>8863</v>
      </c>
      <c r="C6391" s="170" t="s">
        <v>870</v>
      </c>
      <c r="D6391" s="170" t="s">
        <v>2067</v>
      </c>
      <c r="E6391" s="171" t="s">
        <v>34597</v>
      </c>
      <c r="F6391" s="171" t="s">
        <v>33083</v>
      </c>
      <c r="G6391" s="82"/>
      <c r="H6391" s="96">
        <f t="shared" si="396"/>
        <v>268.10000000000002</v>
      </c>
      <c r="I6391" s="96">
        <f t="shared" si="396"/>
        <v>270.42</v>
      </c>
      <c r="J6391" s="91" t="str">
        <f t="shared" si="397"/>
        <v>Sinapi 87834</v>
      </c>
      <c r="K6391" s="91" t="str">
        <f t="shared" si="398"/>
        <v>M2</v>
      </c>
      <c r="L6391" s="166" t="str">
        <f t="shared" si="399"/>
        <v>06/2014</v>
      </c>
      <c r="M6391" s="82"/>
      <c r="N6391" s="82"/>
    </row>
    <row r="6392" spans="1:14" x14ac:dyDescent="0.25">
      <c r="A6392" s="170" t="s">
        <v>8864</v>
      </c>
      <c r="B6392" s="170" t="s">
        <v>8865</v>
      </c>
      <c r="C6392" s="170" t="s">
        <v>870</v>
      </c>
      <c r="D6392" s="170" t="s">
        <v>2067</v>
      </c>
      <c r="E6392" s="171" t="s">
        <v>34598</v>
      </c>
      <c r="F6392" s="171" t="s">
        <v>37697</v>
      </c>
      <c r="G6392" s="82"/>
      <c r="H6392" s="96">
        <f t="shared" si="396"/>
        <v>186.16</v>
      </c>
      <c r="I6392" s="96">
        <f t="shared" si="396"/>
        <v>188.05</v>
      </c>
      <c r="J6392" s="91" t="str">
        <f t="shared" si="397"/>
        <v>Sinapi 87835</v>
      </c>
      <c r="K6392" s="91" t="str">
        <f t="shared" si="398"/>
        <v>M2</v>
      </c>
      <c r="L6392" s="166" t="str">
        <f t="shared" si="399"/>
        <v>06/2014</v>
      </c>
      <c r="M6392" s="82"/>
      <c r="N6392" s="82"/>
    </row>
    <row r="6393" spans="1:14" x14ac:dyDescent="0.25">
      <c r="A6393" s="170" t="s">
        <v>8866</v>
      </c>
      <c r="B6393" s="170" t="s">
        <v>8867</v>
      </c>
      <c r="C6393" s="170" t="s">
        <v>870</v>
      </c>
      <c r="D6393" s="170" t="s">
        <v>2067</v>
      </c>
      <c r="E6393" s="171" t="s">
        <v>31923</v>
      </c>
      <c r="F6393" s="171" t="s">
        <v>37698</v>
      </c>
      <c r="G6393" s="82"/>
      <c r="H6393" s="96">
        <f t="shared" si="396"/>
        <v>260.63</v>
      </c>
      <c r="I6393" s="96">
        <f t="shared" si="396"/>
        <v>262.27</v>
      </c>
      <c r="J6393" s="91" t="str">
        <f t="shared" si="397"/>
        <v>Sinapi 87836</v>
      </c>
      <c r="K6393" s="91" t="str">
        <f t="shared" si="398"/>
        <v>M2</v>
      </c>
      <c r="L6393" s="166" t="str">
        <f t="shared" si="399"/>
        <v>06/2014</v>
      </c>
      <c r="M6393" s="82"/>
      <c r="N6393" s="82"/>
    </row>
    <row r="6394" spans="1:14" x14ac:dyDescent="0.25">
      <c r="A6394" s="170" t="s">
        <v>8868</v>
      </c>
      <c r="B6394" s="170" t="s">
        <v>8869</v>
      </c>
      <c r="C6394" s="170" t="s">
        <v>870</v>
      </c>
      <c r="D6394" s="170" t="s">
        <v>2067</v>
      </c>
      <c r="E6394" s="171" t="s">
        <v>34599</v>
      </c>
      <c r="F6394" s="171" t="s">
        <v>37699</v>
      </c>
      <c r="G6394" s="82"/>
      <c r="H6394" s="96">
        <f t="shared" si="396"/>
        <v>179.67</v>
      </c>
      <c r="I6394" s="96">
        <f t="shared" si="396"/>
        <v>180.92</v>
      </c>
      <c r="J6394" s="91" t="str">
        <f t="shared" si="397"/>
        <v>Sinapi 87837</v>
      </c>
      <c r="K6394" s="91" t="str">
        <f t="shared" si="398"/>
        <v>M2</v>
      </c>
      <c r="L6394" s="166" t="str">
        <f t="shared" si="399"/>
        <v>06/2014</v>
      </c>
      <c r="M6394" s="82"/>
      <c r="N6394" s="82"/>
    </row>
    <row r="6395" spans="1:14" x14ac:dyDescent="0.25">
      <c r="A6395" s="170" t="s">
        <v>8870</v>
      </c>
      <c r="B6395" s="170" t="s">
        <v>8871</v>
      </c>
      <c r="C6395" s="170" t="s">
        <v>870</v>
      </c>
      <c r="D6395" s="170" t="s">
        <v>2067</v>
      </c>
      <c r="E6395" s="171" t="s">
        <v>34600</v>
      </c>
      <c r="F6395" s="171" t="s">
        <v>37700</v>
      </c>
      <c r="G6395" s="82"/>
      <c r="H6395" s="96">
        <f t="shared" si="396"/>
        <v>275.01</v>
      </c>
      <c r="I6395" s="96">
        <f t="shared" si="396"/>
        <v>277.86</v>
      </c>
      <c r="J6395" s="91" t="str">
        <f t="shared" si="397"/>
        <v>Sinapi 87838</v>
      </c>
      <c r="K6395" s="91" t="str">
        <f t="shared" si="398"/>
        <v>M2</v>
      </c>
      <c r="L6395" s="166" t="str">
        <f t="shared" si="399"/>
        <v>06/2014</v>
      </c>
      <c r="M6395" s="82"/>
      <c r="N6395" s="82"/>
    </row>
    <row r="6396" spans="1:14" x14ac:dyDescent="0.25">
      <c r="A6396" s="170" t="s">
        <v>8872</v>
      </c>
      <c r="B6396" s="170" t="s">
        <v>8873</v>
      </c>
      <c r="C6396" s="170" t="s">
        <v>870</v>
      </c>
      <c r="D6396" s="170" t="s">
        <v>2067</v>
      </c>
      <c r="E6396" s="171" t="s">
        <v>34601</v>
      </c>
      <c r="F6396" s="171" t="s">
        <v>37701</v>
      </c>
      <c r="G6396" s="82"/>
      <c r="H6396" s="96">
        <f t="shared" si="396"/>
        <v>191.34</v>
      </c>
      <c r="I6396" s="96">
        <f t="shared" si="396"/>
        <v>193.76</v>
      </c>
      <c r="J6396" s="91" t="str">
        <f t="shared" si="397"/>
        <v>Sinapi 87839</v>
      </c>
      <c r="K6396" s="91" t="str">
        <f t="shared" si="398"/>
        <v>M2</v>
      </c>
      <c r="L6396" s="166" t="str">
        <f t="shared" si="399"/>
        <v>06/2014</v>
      </c>
      <c r="M6396" s="82"/>
      <c r="N6396" s="82"/>
    </row>
    <row r="6397" spans="1:14" x14ac:dyDescent="0.25">
      <c r="A6397" s="170" t="s">
        <v>8874</v>
      </c>
      <c r="B6397" s="170" t="s">
        <v>8875</v>
      </c>
      <c r="C6397" s="170" t="s">
        <v>870</v>
      </c>
      <c r="D6397" s="170" t="s">
        <v>2067</v>
      </c>
      <c r="E6397" s="171" t="s">
        <v>34602</v>
      </c>
      <c r="F6397" s="171" t="s">
        <v>37702</v>
      </c>
      <c r="G6397" s="82"/>
      <c r="H6397" s="96">
        <f t="shared" si="396"/>
        <v>265.87</v>
      </c>
      <c r="I6397" s="96">
        <f t="shared" si="396"/>
        <v>267.86</v>
      </c>
      <c r="J6397" s="91" t="str">
        <f t="shared" si="397"/>
        <v>Sinapi 87840</v>
      </c>
      <c r="K6397" s="91" t="str">
        <f t="shared" si="398"/>
        <v>M2</v>
      </c>
      <c r="L6397" s="166" t="str">
        <f t="shared" si="399"/>
        <v>06/2014</v>
      </c>
      <c r="M6397" s="82"/>
      <c r="N6397" s="82"/>
    </row>
    <row r="6398" spans="1:14" x14ac:dyDescent="0.25">
      <c r="A6398" s="170" t="s">
        <v>8876</v>
      </c>
      <c r="B6398" s="170" t="s">
        <v>8877</v>
      </c>
      <c r="C6398" s="170" t="s">
        <v>870</v>
      </c>
      <c r="D6398" s="170" t="s">
        <v>2067</v>
      </c>
      <c r="E6398" s="171" t="s">
        <v>34603</v>
      </c>
      <c r="F6398" s="171" t="s">
        <v>37703</v>
      </c>
      <c r="G6398" s="82"/>
      <c r="H6398" s="96">
        <f t="shared" si="396"/>
        <v>183.15</v>
      </c>
      <c r="I6398" s="96">
        <f t="shared" si="396"/>
        <v>184.75</v>
      </c>
      <c r="J6398" s="91" t="str">
        <f t="shared" si="397"/>
        <v>Sinapi 87841</v>
      </c>
      <c r="K6398" s="91" t="str">
        <f t="shared" si="398"/>
        <v>M2</v>
      </c>
      <c r="L6398" s="166" t="str">
        <f t="shared" si="399"/>
        <v>06/2014</v>
      </c>
      <c r="M6398" s="82"/>
      <c r="N6398" s="82"/>
    </row>
    <row r="6399" spans="1:14" x14ac:dyDescent="0.25">
      <c r="A6399" s="170" t="s">
        <v>8878</v>
      </c>
      <c r="B6399" s="170" t="s">
        <v>8879</v>
      </c>
      <c r="C6399" s="170" t="s">
        <v>870</v>
      </c>
      <c r="D6399" s="170" t="s">
        <v>2067</v>
      </c>
      <c r="E6399" s="171" t="s">
        <v>27602</v>
      </c>
      <c r="F6399" s="171" t="s">
        <v>37704</v>
      </c>
      <c r="G6399" s="82"/>
      <c r="H6399" s="96">
        <f t="shared" si="396"/>
        <v>277.22000000000003</v>
      </c>
      <c r="I6399" s="96">
        <f t="shared" si="396"/>
        <v>281.43</v>
      </c>
      <c r="J6399" s="91" t="str">
        <f t="shared" si="397"/>
        <v>Sinapi 87842</v>
      </c>
      <c r="K6399" s="91" t="str">
        <f t="shared" si="398"/>
        <v>M2</v>
      </c>
      <c r="L6399" s="166" t="str">
        <f t="shared" si="399"/>
        <v>06/2014</v>
      </c>
      <c r="M6399" s="82"/>
      <c r="N6399" s="82"/>
    </row>
    <row r="6400" spans="1:14" x14ac:dyDescent="0.25">
      <c r="A6400" s="170" t="s">
        <v>8880</v>
      </c>
      <c r="B6400" s="170" t="s">
        <v>8881</v>
      </c>
      <c r="C6400" s="170" t="s">
        <v>870</v>
      </c>
      <c r="D6400" s="170" t="s">
        <v>2067</v>
      </c>
      <c r="E6400" s="171" t="s">
        <v>34604</v>
      </c>
      <c r="F6400" s="171" t="s">
        <v>37705</v>
      </c>
      <c r="G6400" s="82"/>
      <c r="H6400" s="96">
        <f t="shared" si="396"/>
        <v>200.86</v>
      </c>
      <c r="I6400" s="96">
        <f t="shared" si="396"/>
        <v>204.65</v>
      </c>
      <c r="J6400" s="91" t="str">
        <f t="shared" si="397"/>
        <v>Sinapi 87843</v>
      </c>
      <c r="K6400" s="91" t="str">
        <f t="shared" si="398"/>
        <v>M2</v>
      </c>
      <c r="L6400" s="166" t="str">
        <f t="shared" si="399"/>
        <v>06/2014</v>
      </c>
      <c r="M6400" s="82"/>
      <c r="N6400" s="82"/>
    </row>
    <row r="6401" spans="1:14" x14ac:dyDescent="0.25">
      <c r="A6401" s="170" t="s">
        <v>8882</v>
      </c>
      <c r="B6401" s="170" t="s">
        <v>8883</v>
      </c>
      <c r="C6401" s="170" t="s">
        <v>870</v>
      </c>
      <c r="D6401" s="170" t="s">
        <v>2067</v>
      </c>
      <c r="E6401" s="171" t="s">
        <v>34605</v>
      </c>
      <c r="F6401" s="171" t="s">
        <v>37706</v>
      </c>
      <c r="G6401" s="82"/>
      <c r="H6401" s="96">
        <f t="shared" si="396"/>
        <v>263.62</v>
      </c>
      <c r="I6401" s="96">
        <f t="shared" si="396"/>
        <v>266.52</v>
      </c>
      <c r="J6401" s="91" t="str">
        <f t="shared" si="397"/>
        <v>Sinapi 87844</v>
      </c>
      <c r="K6401" s="91" t="str">
        <f t="shared" si="398"/>
        <v>M2</v>
      </c>
      <c r="L6401" s="166" t="str">
        <f t="shared" si="399"/>
        <v>06/2014</v>
      </c>
      <c r="M6401" s="82"/>
      <c r="N6401" s="82"/>
    </row>
    <row r="6402" spans="1:14" x14ac:dyDescent="0.25">
      <c r="A6402" s="170" t="s">
        <v>8884</v>
      </c>
      <c r="B6402" s="170" t="s">
        <v>8885</v>
      </c>
      <c r="C6402" s="170" t="s">
        <v>870</v>
      </c>
      <c r="D6402" s="170" t="s">
        <v>2067</v>
      </c>
      <c r="E6402" s="171" t="s">
        <v>34606</v>
      </c>
      <c r="F6402" s="171" t="s">
        <v>37707</v>
      </c>
      <c r="G6402" s="82"/>
      <c r="H6402" s="96">
        <f t="shared" si="396"/>
        <v>188.26</v>
      </c>
      <c r="I6402" s="96">
        <f t="shared" si="396"/>
        <v>190.78</v>
      </c>
      <c r="J6402" s="91" t="str">
        <f t="shared" si="397"/>
        <v>Sinapi 87845</v>
      </c>
      <c r="K6402" s="91" t="str">
        <f t="shared" si="398"/>
        <v>M2</v>
      </c>
      <c r="L6402" s="166" t="str">
        <f t="shared" si="399"/>
        <v>06/2014</v>
      </c>
      <c r="M6402" s="82"/>
      <c r="N6402" s="82"/>
    </row>
    <row r="6403" spans="1:14" x14ac:dyDescent="0.25">
      <c r="A6403" s="170" t="s">
        <v>8886</v>
      </c>
      <c r="B6403" s="170" t="s">
        <v>8887</v>
      </c>
      <c r="C6403" s="170" t="s">
        <v>870</v>
      </c>
      <c r="D6403" s="170" t="s">
        <v>2067</v>
      </c>
      <c r="E6403" s="171" t="s">
        <v>34607</v>
      </c>
      <c r="F6403" s="171" t="s">
        <v>37708</v>
      </c>
      <c r="G6403" s="82"/>
      <c r="H6403" s="96">
        <f t="shared" si="396"/>
        <v>289.3</v>
      </c>
      <c r="I6403" s="96">
        <f t="shared" si="396"/>
        <v>292.14</v>
      </c>
      <c r="J6403" s="91" t="str">
        <f t="shared" si="397"/>
        <v>Sinapi 87846</v>
      </c>
      <c r="K6403" s="91" t="str">
        <f t="shared" si="398"/>
        <v>M2</v>
      </c>
      <c r="L6403" s="166" t="str">
        <f t="shared" si="399"/>
        <v>06/2014</v>
      </c>
      <c r="M6403" s="82"/>
      <c r="N6403" s="82"/>
    </row>
    <row r="6404" spans="1:14" x14ac:dyDescent="0.25">
      <c r="A6404" s="170" t="s">
        <v>8888</v>
      </c>
      <c r="B6404" s="170" t="s">
        <v>8889</v>
      </c>
      <c r="C6404" s="170" t="s">
        <v>870</v>
      </c>
      <c r="D6404" s="170" t="s">
        <v>2067</v>
      </c>
      <c r="E6404" s="171" t="s">
        <v>28804</v>
      </c>
      <c r="F6404" s="171" t="s">
        <v>37709</v>
      </c>
      <c r="G6404" s="82"/>
      <c r="H6404" s="96">
        <f t="shared" si="396"/>
        <v>207.36</v>
      </c>
      <c r="I6404" s="96">
        <f t="shared" si="396"/>
        <v>209.77</v>
      </c>
      <c r="J6404" s="91" t="str">
        <f t="shared" si="397"/>
        <v>Sinapi 87847</v>
      </c>
      <c r="K6404" s="91" t="str">
        <f t="shared" si="398"/>
        <v>M2</v>
      </c>
      <c r="L6404" s="166" t="str">
        <f t="shared" si="399"/>
        <v>06/2014</v>
      </c>
      <c r="M6404" s="82"/>
      <c r="N6404" s="82"/>
    </row>
    <row r="6405" spans="1:14" x14ac:dyDescent="0.25">
      <c r="A6405" s="170" t="s">
        <v>8890</v>
      </c>
      <c r="B6405" s="170" t="s">
        <v>8891</v>
      </c>
      <c r="C6405" s="170" t="s">
        <v>870</v>
      </c>
      <c r="D6405" s="170" t="s">
        <v>2067</v>
      </c>
      <c r="E6405" s="171" t="s">
        <v>34608</v>
      </c>
      <c r="F6405" s="171" t="s">
        <v>37710</v>
      </c>
      <c r="G6405" s="82"/>
      <c r="H6405" s="96">
        <f t="shared" si="396"/>
        <v>280.76</v>
      </c>
      <c r="I6405" s="96">
        <f t="shared" si="396"/>
        <v>282.77</v>
      </c>
      <c r="J6405" s="91" t="str">
        <f t="shared" si="397"/>
        <v>Sinapi 87848</v>
      </c>
      <c r="K6405" s="91" t="str">
        <f t="shared" si="398"/>
        <v>M2</v>
      </c>
      <c r="L6405" s="166" t="str">
        <f t="shared" si="399"/>
        <v>06/2014</v>
      </c>
      <c r="M6405" s="82"/>
      <c r="N6405" s="82"/>
    </row>
    <row r="6406" spans="1:14" x14ac:dyDescent="0.25">
      <c r="A6406" s="170" t="s">
        <v>8892</v>
      </c>
      <c r="B6406" s="170" t="s">
        <v>8893</v>
      </c>
      <c r="C6406" s="170" t="s">
        <v>870</v>
      </c>
      <c r="D6406" s="170" t="s">
        <v>2067</v>
      </c>
      <c r="E6406" s="171" t="s">
        <v>34609</v>
      </c>
      <c r="F6406" s="171" t="s">
        <v>37711</v>
      </c>
      <c r="G6406" s="82"/>
      <c r="H6406" s="96">
        <f t="shared" si="396"/>
        <v>199.81</v>
      </c>
      <c r="I6406" s="96">
        <f t="shared" si="396"/>
        <v>201.43</v>
      </c>
      <c r="J6406" s="91" t="str">
        <f t="shared" si="397"/>
        <v>Sinapi 87849</v>
      </c>
      <c r="K6406" s="91" t="str">
        <f t="shared" si="398"/>
        <v>M2</v>
      </c>
      <c r="L6406" s="166" t="str">
        <f t="shared" si="399"/>
        <v>06/2014</v>
      </c>
      <c r="M6406" s="82"/>
      <c r="N6406" s="82"/>
    </row>
    <row r="6407" spans="1:14" x14ac:dyDescent="0.25">
      <c r="A6407" s="170" t="s">
        <v>8894</v>
      </c>
      <c r="B6407" s="170" t="s">
        <v>8895</v>
      </c>
      <c r="C6407" s="170" t="s">
        <v>870</v>
      </c>
      <c r="D6407" s="170" t="s">
        <v>2067</v>
      </c>
      <c r="E6407" s="171" t="s">
        <v>34610</v>
      </c>
      <c r="F6407" s="171" t="s">
        <v>37712</v>
      </c>
      <c r="G6407" s="82"/>
      <c r="H6407" s="96">
        <f t="shared" si="396"/>
        <v>296.24</v>
      </c>
      <c r="I6407" s="96">
        <f t="shared" si="396"/>
        <v>299.61</v>
      </c>
      <c r="J6407" s="91" t="str">
        <f t="shared" si="397"/>
        <v>Sinapi 87850</v>
      </c>
      <c r="K6407" s="91" t="str">
        <f t="shared" si="398"/>
        <v>M2</v>
      </c>
      <c r="L6407" s="166" t="str">
        <f t="shared" si="399"/>
        <v>06/2014</v>
      </c>
      <c r="M6407" s="82"/>
      <c r="N6407" s="82"/>
    </row>
    <row r="6408" spans="1:14" x14ac:dyDescent="0.25">
      <c r="A6408" s="170" t="s">
        <v>8896</v>
      </c>
      <c r="B6408" s="170" t="s">
        <v>8897</v>
      </c>
      <c r="C6408" s="170" t="s">
        <v>870</v>
      </c>
      <c r="D6408" s="170" t="s">
        <v>2067</v>
      </c>
      <c r="E6408" s="171" t="s">
        <v>34611</v>
      </c>
      <c r="F6408" s="171" t="s">
        <v>37713</v>
      </c>
      <c r="G6408" s="82"/>
      <c r="H6408" s="96">
        <f t="shared" ref="H6408:I6423" si="400">IF(E6408="","",E6408+0)</f>
        <v>212.56</v>
      </c>
      <c r="I6408" s="96">
        <f t="shared" si="400"/>
        <v>215.5</v>
      </c>
      <c r="J6408" s="91" t="str">
        <f t="shared" ref="J6408:J6471" si="401">IF(OR(H6408="",I6408=""),"",TRIM(CONCATENATE("Sinapi ",A6408)))</f>
        <v>Sinapi 87851</v>
      </c>
      <c r="K6408" s="91" t="str">
        <f t="shared" ref="K6408:K6471" si="402">TRIM(C6408)</f>
        <v>M2</v>
      </c>
      <c r="L6408" s="166" t="str">
        <f t="shared" ref="L6408:L6471" si="403">IF(OR(RIGHT(IF(AND(K6408&lt;&gt;"H",K6408&lt;&gt;"MES"),RIGHT(B6408,7),""),2)="PS",RIGHT(IF(AND(K6408&lt;&gt;"H",K6408&lt;&gt;"MES"),RIGHT(B6408,7),""),2)="PA",RIGHT(IF(AND(K6408&lt;&gt;"H",K6408&lt;&gt;"MES"),RIGHT(B6408,7),""),2)="PE"),LEFT(IF(AND(K6408&lt;&gt;"H",K6408&lt;&gt;"MES"),RIGHT(B6408,10),""),7),IF(AND(K6408&lt;&gt;"H",K6408&lt;&gt;"MES"),RIGHT(B6408,7),""))</f>
        <v>06/2014</v>
      </c>
      <c r="M6408" s="82"/>
      <c r="N6408" s="82"/>
    </row>
    <row r="6409" spans="1:14" x14ac:dyDescent="0.25">
      <c r="A6409" s="170" t="s">
        <v>8898</v>
      </c>
      <c r="B6409" s="170" t="s">
        <v>8899</v>
      </c>
      <c r="C6409" s="170" t="s">
        <v>870</v>
      </c>
      <c r="D6409" s="170" t="s">
        <v>2067</v>
      </c>
      <c r="E6409" s="171" t="s">
        <v>28750</v>
      </c>
      <c r="F6409" s="171" t="s">
        <v>37714</v>
      </c>
      <c r="G6409" s="82"/>
      <c r="H6409" s="96">
        <f t="shared" si="400"/>
        <v>285.98</v>
      </c>
      <c r="I6409" s="96">
        <f t="shared" si="400"/>
        <v>288.33</v>
      </c>
      <c r="J6409" s="91" t="str">
        <f t="shared" si="401"/>
        <v>Sinapi 87852</v>
      </c>
      <c r="K6409" s="91" t="str">
        <f t="shared" si="402"/>
        <v>M2</v>
      </c>
      <c r="L6409" s="166" t="str">
        <f t="shared" si="403"/>
        <v>06/2014</v>
      </c>
      <c r="M6409" s="82"/>
      <c r="N6409" s="82"/>
    </row>
    <row r="6410" spans="1:14" x14ac:dyDescent="0.25">
      <c r="A6410" s="170" t="s">
        <v>8900</v>
      </c>
      <c r="B6410" s="170" t="s">
        <v>8901</v>
      </c>
      <c r="C6410" s="170" t="s">
        <v>870</v>
      </c>
      <c r="D6410" s="170" t="s">
        <v>2067</v>
      </c>
      <c r="E6410" s="171" t="s">
        <v>34612</v>
      </c>
      <c r="F6410" s="171" t="s">
        <v>32227</v>
      </c>
      <c r="G6410" s="82"/>
      <c r="H6410" s="96">
        <f t="shared" si="400"/>
        <v>203.27</v>
      </c>
      <c r="I6410" s="96">
        <f t="shared" si="400"/>
        <v>205.23</v>
      </c>
      <c r="J6410" s="91" t="str">
        <f t="shared" si="401"/>
        <v>Sinapi 87853</v>
      </c>
      <c r="K6410" s="91" t="str">
        <f t="shared" si="402"/>
        <v>M2</v>
      </c>
      <c r="L6410" s="166" t="str">
        <f t="shared" si="403"/>
        <v>06/2014</v>
      </c>
      <c r="M6410" s="82"/>
      <c r="N6410" s="82"/>
    </row>
    <row r="6411" spans="1:14" x14ac:dyDescent="0.25">
      <c r="A6411" s="170" t="s">
        <v>8902</v>
      </c>
      <c r="B6411" s="170" t="s">
        <v>8903</v>
      </c>
      <c r="C6411" s="170" t="s">
        <v>870</v>
      </c>
      <c r="D6411" s="170" t="s">
        <v>2067</v>
      </c>
      <c r="E6411" s="171" t="s">
        <v>34613</v>
      </c>
      <c r="F6411" s="171" t="s">
        <v>37715</v>
      </c>
      <c r="G6411" s="82"/>
      <c r="H6411" s="96">
        <f t="shared" si="400"/>
        <v>298.42</v>
      </c>
      <c r="I6411" s="96">
        <f t="shared" si="400"/>
        <v>303.16000000000003</v>
      </c>
      <c r="J6411" s="91" t="str">
        <f t="shared" si="401"/>
        <v>Sinapi 87854</v>
      </c>
      <c r="K6411" s="91" t="str">
        <f t="shared" si="402"/>
        <v>M2</v>
      </c>
      <c r="L6411" s="166" t="str">
        <f t="shared" si="403"/>
        <v>06/2014</v>
      </c>
      <c r="M6411" s="82"/>
      <c r="N6411" s="82"/>
    </row>
    <row r="6412" spans="1:14" x14ac:dyDescent="0.25">
      <c r="A6412" s="170" t="s">
        <v>8904</v>
      </c>
      <c r="B6412" s="170" t="s">
        <v>8905</v>
      </c>
      <c r="C6412" s="170" t="s">
        <v>870</v>
      </c>
      <c r="D6412" s="170" t="s">
        <v>2067</v>
      </c>
      <c r="E6412" s="171" t="s">
        <v>34614</v>
      </c>
      <c r="F6412" s="171" t="s">
        <v>37716</v>
      </c>
      <c r="G6412" s="82"/>
      <c r="H6412" s="96">
        <f t="shared" si="400"/>
        <v>222.08</v>
      </c>
      <c r="I6412" s="96">
        <f t="shared" si="400"/>
        <v>226.4</v>
      </c>
      <c r="J6412" s="91" t="str">
        <f t="shared" si="401"/>
        <v>Sinapi 87855</v>
      </c>
      <c r="K6412" s="91" t="str">
        <f t="shared" si="402"/>
        <v>M2</v>
      </c>
      <c r="L6412" s="166" t="str">
        <f t="shared" si="403"/>
        <v>06/2014</v>
      </c>
      <c r="M6412" s="82"/>
      <c r="N6412" s="82"/>
    </row>
    <row r="6413" spans="1:14" x14ac:dyDescent="0.25">
      <c r="A6413" s="170" t="s">
        <v>8906</v>
      </c>
      <c r="B6413" s="170" t="s">
        <v>8907</v>
      </c>
      <c r="C6413" s="170" t="s">
        <v>870</v>
      </c>
      <c r="D6413" s="170" t="s">
        <v>2067</v>
      </c>
      <c r="E6413" s="171" t="s">
        <v>34518</v>
      </c>
      <c r="F6413" s="171" t="s">
        <v>37717</v>
      </c>
      <c r="G6413" s="82"/>
      <c r="H6413" s="96">
        <f t="shared" si="400"/>
        <v>283.75</v>
      </c>
      <c r="I6413" s="96">
        <f t="shared" si="400"/>
        <v>287.02</v>
      </c>
      <c r="J6413" s="91" t="str">
        <f t="shared" si="401"/>
        <v>Sinapi 87856</v>
      </c>
      <c r="K6413" s="91" t="str">
        <f t="shared" si="402"/>
        <v>M2</v>
      </c>
      <c r="L6413" s="166" t="str">
        <f t="shared" si="403"/>
        <v>06/2014</v>
      </c>
      <c r="M6413" s="82"/>
      <c r="N6413" s="82"/>
    </row>
    <row r="6414" spans="1:14" x14ac:dyDescent="0.25">
      <c r="A6414" s="170" t="s">
        <v>8908</v>
      </c>
      <c r="B6414" s="170" t="s">
        <v>8909</v>
      </c>
      <c r="C6414" s="170" t="s">
        <v>870</v>
      </c>
      <c r="D6414" s="170" t="s">
        <v>2067</v>
      </c>
      <c r="E6414" s="171" t="s">
        <v>30234</v>
      </c>
      <c r="F6414" s="171" t="s">
        <v>37718</v>
      </c>
      <c r="G6414" s="82"/>
      <c r="H6414" s="96">
        <f t="shared" si="400"/>
        <v>208.38</v>
      </c>
      <c r="I6414" s="96">
        <f t="shared" si="400"/>
        <v>211.26</v>
      </c>
      <c r="J6414" s="91" t="str">
        <f t="shared" si="401"/>
        <v>Sinapi 87857</v>
      </c>
      <c r="K6414" s="91" t="str">
        <f t="shared" si="402"/>
        <v>M2</v>
      </c>
      <c r="L6414" s="166" t="str">
        <f t="shared" si="403"/>
        <v>06/2014</v>
      </c>
      <c r="M6414" s="82"/>
      <c r="N6414" s="82"/>
    </row>
    <row r="6415" spans="1:14" x14ac:dyDescent="0.25">
      <c r="A6415" s="170" t="s">
        <v>8910</v>
      </c>
      <c r="B6415" s="170" t="s">
        <v>8911</v>
      </c>
      <c r="C6415" s="170" t="s">
        <v>870</v>
      </c>
      <c r="D6415" s="170" t="s">
        <v>2067</v>
      </c>
      <c r="E6415" s="171" t="s">
        <v>34615</v>
      </c>
      <c r="F6415" s="171" t="s">
        <v>37719</v>
      </c>
      <c r="G6415" s="82"/>
      <c r="H6415" s="96">
        <f t="shared" si="400"/>
        <v>195.73</v>
      </c>
      <c r="I6415" s="96">
        <f t="shared" si="400"/>
        <v>198.83</v>
      </c>
      <c r="J6415" s="91" t="str">
        <f t="shared" si="401"/>
        <v>Sinapi 87858</v>
      </c>
      <c r="K6415" s="91" t="str">
        <f t="shared" si="402"/>
        <v>M2</v>
      </c>
      <c r="L6415" s="166" t="str">
        <f t="shared" si="403"/>
        <v>06/2014</v>
      </c>
      <c r="M6415" s="82"/>
      <c r="N6415" s="82"/>
    </row>
    <row r="6416" spans="1:14" x14ac:dyDescent="0.25">
      <c r="A6416" s="170" t="s">
        <v>8912</v>
      </c>
      <c r="B6416" s="170" t="s">
        <v>8913</v>
      </c>
      <c r="C6416" s="170" t="s">
        <v>870</v>
      </c>
      <c r="D6416" s="170" t="s">
        <v>2067</v>
      </c>
      <c r="E6416" s="171" t="s">
        <v>34616</v>
      </c>
      <c r="F6416" s="171" t="s">
        <v>37720</v>
      </c>
      <c r="G6416" s="82"/>
      <c r="H6416" s="96">
        <f t="shared" si="400"/>
        <v>222.49</v>
      </c>
      <c r="I6416" s="96">
        <f t="shared" si="400"/>
        <v>226.74</v>
      </c>
      <c r="J6416" s="91" t="str">
        <f t="shared" si="401"/>
        <v>Sinapi 87859</v>
      </c>
      <c r="K6416" s="91" t="str">
        <f t="shared" si="402"/>
        <v>M2</v>
      </c>
      <c r="L6416" s="166" t="str">
        <f t="shared" si="403"/>
        <v>06/2014</v>
      </c>
      <c r="M6416" s="82"/>
      <c r="N6416" s="82"/>
    </row>
    <row r="6417" spans="1:14" x14ac:dyDescent="0.25">
      <c r="A6417" s="170" t="s">
        <v>8914</v>
      </c>
      <c r="B6417" s="170" t="s">
        <v>8915</v>
      </c>
      <c r="C6417" s="170" t="s">
        <v>870</v>
      </c>
      <c r="D6417" s="170" t="s">
        <v>2067</v>
      </c>
      <c r="E6417" s="171" t="s">
        <v>34617</v>
      </c>
      <c r="F6417" s="171" t="s">
        <v>23192</v>
      </c>
      <c r="G6417" s="82"/>
      <c r="H6417" s="96">
        <f t="shared" si="400"/>
        <v>43.22</v>
      </c>
      <c r="I6417" s="96">
        <f t="shared" si="400"/>
        <v>45.39</v>
      </c>
      <c r="J6417" s="91" t="str">
        <f t="shared" si="401"/>
        <v>Sinapi 89048</v>
      </c>
      <c r="K6417" s="91" t="str">
        <f t="shared" si="402"/>
        <v>M2</v>
      </c>
      <c r="L6417" s="166" t="str">
        <f t="shared" si="403"/>
        <v>11/2014</v>
      </c>
      <c r="M6417" s="82"/>
      <c r="N6417" s="82"/>
    </row>
    <row r="6418" spans="1:14" x14ac:dyDescent="0.25">
      <c r="A6418" s="170" t="s">
        <v>8916</v>
      </c>
      <c r="B6418" s="170" t="s">
        <v>8917</v>
      </c>
      <c r="C6418" s="170" t="s">
        <v>870</v>
      </c>
      <c r="D6418" s="170" t="s">
        <v>2067</v>
      </c>
      <c r="E6418" s="171" t="s">
        <v>16352</v>
      </c>
      <c r="F6418" s="171" t="s">
        <v>21524</v>
      </c>
      <c r="G6418" s="82"/>
      <c r="H6418" s="96">
        <f t="shared" si="400"/>
        <v>26.91</v>
      </c>
      <c r="I6418" s="96">
        <f t="shared" si="400"/>
        <v>28.48</v>
      </c>
      <c r="J6418" s="91" t="str">
        <f t="shared" si="401"/>
        <v>Sinapi 89049</v>
      </c>
      <c r="K6418" s="91" t="str">
        <f t="shared" si="402"/>
        <v>M2</v>
      </c>
      <c r="L6418" s="166" t="str">
        <f t="shared" si="403"/>
        <v>11/2014</v>
      </c>
      <c r="M6418" s="82"/>
      <c r="N6418" s="82"/>
    </row>
    <row r="6419" spans="1:14" x14ac:dyDescent="0.25">
      <c r="A6419" s="170" t="s">
        <v>8918</v>
      </c>
      <c r="B6419" s="170" t="s">
        <v>8919</v>
      </c>
      <c r="C6419" s="170" t="s">
        <v>870</v>
      </c>
      <c r="D6419" s="170" t="s">
        <v>2067</v>
      </c>
      <c r="E6419" s="171" t="s">
        <v>32645</v>
      </c>
      <c r="F6419" s="171" t="s">
        <v>19329</v>
      </c>
      <c r="G6419" s="82"/>
      <c r="H6419" s="96">
        <f t="shared" si="400"/>
        <v>42.69</v>
      </c>
      <c r="I6419" s="96">
        <f t="shared" si="400"/>
        <v>44.8</v>
      </c>
      <c r="J6419" s="91" t="str">
        <f t="shared" si="401"/>
        <v>Sinapi 89173</v>
      </c>
      <c r="K6419" s="91" t="str">
        <f t="shared" si="402"/>
        <v>M2</v>
      </c>
      <c r="L6419" s="166" t="str">
        <f t="shared" si="403"/>
        <v>12/2014</v>
      </c>
      <c r="M6419" s="82"/>
      <c r="N6419" s="82"/>
    </row>
    <row r="6420" spans="1:14" x14ac:dyDescent="0.25">
      <c r="A6420" s="170" t="s">
        <v>8920</v>
      </c>
      <c r="B6420" s="170" t="s">
        <v>8921</v>
      </c>
      <c r="C6420" s="170" t="s">
        <v>870</v>
      </c>
      <c r="D6420" s="170" t="s">
        <v>2067</v>
      </c>
      <c r="E6420" s="171" t="s">
        <v>32003</v>
      </c>
      <c r="F6420" s="171" t="s">
        <v>30154</v>
      </c>
      <c r="G6420" s="82"/>
      <c r="H6420" s="96">
        <f t="shared" si="400"/>
        <v>52.4</v>
      </c>
      <c r="I6420" s="96">
        <f t="shared" si="400"/>
        <v>55.61</v>
      </c>
      <c r="J6420" s="91" t="str">
        <f t="shared" si="401"/>
        <v>Sinapi 90406</v>
      </c>
      <c r="K6420" s="91" t="str">
        <f t="shared" si="402"/>
        <v>M2</v>
      </c>
      <c r="L6420" s="166" t="str">
        <f t="shared" si="403"/>
        <v>03/2015</v>
      </c>
      <c r="M6420" s="82"/>
      <c r="N6420" s="82"/>
    </row>
    <row r="6421" spans="1:14" x14ac:dyDescent="0.25">
      <c r="A6421" s="170" t="s">
        <v>8922</v>
      </c>
      <c r="B6421" s="170" t="s">
        <v>8923</v>
      </c>
      <c r="C6421" s="170" t="s">
        <v>870</v>
      </c>
      <c r="D6421" s="170" t="s">
        <v>2067</v>
      </c>
      <c r="E6421" s="171" t="s">
        <v>22069</v>
      </c>
      <c r="F6421" s="171" t="s">
        <v>36977</v>
      </c>
      <c r="G6421" s="82"/>
      <c r="H6421" s="96">
        <f t="shared" si="400"/>
        <v>55.95</v>
      </c>
      <c r="I6421" s="96">
        <f t="shared" si="400"/>
        <v>59.53</v>
      </c>
      <c r="J6421" s="91" t="str">
        <f t="shared" si="401"/>
        <v>Sinapi 90407</v>
      </c>
      <c r="K6421" s="91" t="str">
        <f t="shared" si="402"/>
        <v>M2</v>
      </c>
      <c r="L6421" s="166" t="str">
        <f t="shared" si="403"/>
        <v>03/2015</v>
      </c>
      <c r="M6421" s="82"/>
      <c r="N6421" s="82"/>
    </row>
    <row r="6422" spans="1:14" x14ac:dyDescent="0.25">
      <c r="A6422" s="170" t="s">
        <v>8924</v>
      </c>
      <c r="B6422" s="170" t="s">
        <v>8925</v>
      </c>
      <c r="C6422" s="170" t="s">
        <v>870</v>
      </c>
      <c r="D6422" s="170" t="s">
        <v>2067</v>
      </c>
      <c r="E6422" s="171" t="s">
        <v>19947</v>
      </c>
      <c r="F6422" s="171" t="s">
        <v>29003</v>
      </c>
      <c r="G6422" s="82"/>
      <c r="H6422" s="96">
        <f t="shared" si="400"/>
        <v>36.270000000000003</v>
      </c>
      <c r="I6422" s="96">
        <f t="shared" si="400"/>
        <v>38.840000000000003</v>
      </c>
      <c r="J6422" s="91" t="str">
        <f t="shared" si="401"/>
        <v>Sinapi 90408</v>
      </c>
      <c r="K6422" s="91" t="str">
        <f t="shared" si="402"/>
        <v>M2</v>
      </c>
      <c r="L6422" s="166" t="str">
        <f t="shared" si="403"/>
        <v>03/2015</v>
      </c>
      <c r="M6422" s="82"/>
      <c r="N6422" s="82"/>
    </row>
    <row r="6423" spans="1:14" x14ac:dyDescent="0.25">
      <c r="A6423" s="170" t="s">
        <v>8926</v>
      </c>
      <c r="B6423" s="170" t="s">
        <v>8927</v>
      </c>
      <c r="C6423" s="170" t="s">
        <v>870</v>
      </c>
      <c r="D6423" s="170" t="s">
        <v>2067</v>
      </c>
      <c r="E6423" s="171" t="s">
        <v>33552</v>
      </c>
      <c r="F6423" s="171" t="s">
        <v>22018</v>
      </c>
      <c r="G6423" s="82"/>
      <c r="H6423" s="96">
        <f t="shared" si="400"/>
        <v>38.28</v>
      </c>
      <c r="I6423" s="96">
        <f t="shared" si="400"/>
        <v>41.06</v>
      </c>
      <c r="J6423" s="91" t="str">
        <f t="shared" si="401"/>
        <v>Sinapi 90409</v>
      </c>
      <c r="K6423" s="91" t="str">
        <f t="shared" si="402"/>
        <v>M2</v>
      </c>
      <c r="L6423" s="166" t="str">
        <f t="shared" si="403"/>
        <v>03/2015</v>
      </c>
      <c r="M6423" s="82"/>
      <c r="N6423" s="82"/>
    </row>
    <row r="6424" spans="1:14" x14ac:dyDescent="0.25">
      <c r="A6424" s="170" t="s">
        <v>17754</v>
      </c>
      <c r="B6424" s="170" t="s">
        <v>17755</v>
      </c>
      <c r="C6424" s="170" t="s">
        <v>870</v>
      </c>
      <c r="D6424" s="170" t="s">
        <v>1947</v>
      </c>
      <c r="E6424" s="171" t="s">
        <v>22740</v>
      </c>
      <c r="F6424" s="171" t="s">
        <v>31531</v>
      </c>
      <c r="G6424" s="82"/>
      <c r="H6424" s="96">
        <f t="shared" ref="H6424:I6487" si="404">IF(E6424="","",E6424+0)</f>
        <v>58.79</v>
      </c>
      <c r="I6424" s="96">
        <f t="shared" si="404"/>
        <v>62.05</v>
      </c>
      <c r="J6424" s="91" t="str">
        <f t="shared" si="401"/>
        <v>Sinapi 104203</v>
      </c>
      <c r="K6424" s="91" t="str">
        <f t="shared" si="402"/>
        <v>M2</v>
      </c>
      <c r="L6424" s="166" t="str">
        <f t="shared" si="403"/>
        <v>08/2022</v>
      </c>
      <c r="M6424" s="82"/>
      <c r="N6424" s="82"/>
    </row>
    <row r="6425" spans="1:14" x14ac:dyDescent="0.25">
      <c r="A6425" s="170" t="s">
        <v>17756</v>
      </c>
      <c r="B6425" s="170" t="s">
        <v>17757</v>
      </c>
      <c r="C6425" s="170" t="s">
        <v>870</v>
      </c>
      <c r="D6425" s="170" t="s">
        <v>1947</v>
      </c>
      <c r="E6425" s="171" t="s">
        <v>28549</v>
      </c>
      <c r="F6425" s="171" t="s">
        <v>37721</v>
      </c>
      <c r="G6425" s="82"/>
      <c r="H6425" s="96">
        <f t="shared" si="404"/>
        <v>76.349999999999994</v>
      </c>
      <c r="I6425" s="96">
        <f t="shared" si="404"/>
        <v>80.56</v>
      </c>
      <c r="J6425" s="91" t="str">
        <f t="shared" si="401"/>
        <v>Sinapi 104204</v>
      </c>
      <c r="K6425" s="91" t="str">
        <f t="shared" si="402"/>
        <v>M2</v>
      </c>
      <c r="L6425" s="166" t="str">
        <f t="shared" si="403"/>
        <v>08/2022</v>
      </c>
      <c r="M6425" s="82"/>
      <c r="N6425" s="82"/>
    </row>
    <row r="6426" spans="1:14" x14ac:dyDescent="0.25">
      <c r="A6426" s="170" t="s">
        <v>17758</v>
      </c>
      <c r="B6426" s="170" t="s">
        <v>17759</v>
      </c>
      <c r="C6426" s="170" t="s">
        <v>870</v>
      </c>
      <c r="D6426" s="170" t="s">
        <v>1947</v>
      </c>
      <c r="E6426" s="171" t="s">
        <v>34618</v>
      </c>
      <c r="F6426" s="171" t="s">
        <v>37490</v>
      </c>
      <c r="G6426" s="82"/>
      <c r="H6426" s="96">
        <f t="shared" si="404"/>
        <v>85.06</v>
      </c>
      <c r="I6426" s="96">
        <f t="shared" si="404"/>
        <v>89.4</v>
      </c>
      <c r="J6426" s="91" t="str">
        <f t="shared" si="401"/>
        <v>Sinapi 104205</v>
      </c>
      <c r="K6426" s="91" t="str">
        <f t="shared" si="402"/>
        <v>M2</v>
      </c>
      <c r="L6426" s="166" t="str">
        <f t="shared" si="403"/>
        <v>08/2022</v>
      </c>
      <c r="M6426" s="82"/>
      <c r="N6426" s="82"/>
    </row>
    <row r="6427" spans="1:14" x14ac:dyDescent="0.25">
      <c r="A6427" s="170" t="s">
        <v>17760</v>
      </c>
      <c r="B6427" s="170" t="s">
        <v>17761</v>
      </c>
      <c r="C6427" s="170" t="s">
        <v>870</v>
      </c>
      <c r="D6427" s="170" t="s">
        <v>1947</v>
      </c>
      <c r="E6427" s="171" t="s">
        <v>34619</v>
      </c>
      <c r="F6427" s="171" t="s">
        <v>28703</v>
      </c>
      <c r="G6427" s="82"/>
      <c r="H6427" s="96">
        <f t="shared" si="404"/>
        <v>93.92</v>
      </c>
      <c r="I6427" s="96">
        <f t="shared" si="404"/>
        <v>98.74</v>
      </c>
      <c r="J6427" s="91" t="str">
        <f t="shared" si="401"/>
        <v>Sinapi 104206</v>
      </c>
      <c r="K6427" s="91" t="str">
        <f t="shared" si="402"/>
        <v>M2</v>
      </c>
      <c r="L6427" s="166" t="str">
        <f t="shared" si="403"/>
        <v>08/2022</v>
      </c>
      <c r="M6427" s="82"/>
      <c r="N6427" s="82"/>
    </row>
    <row r="6428" spans="1:14" x14ac:dyDescent="0.25">
      <c r="A6428" s="170" t="s">
        <v>17762</v>
      </c>
      <c r="B6428" s="170" t="s">
        <v>17763</v>
      </c>
      <c r="C6428" s="170" t="s">
        <v>870</v>
      </c>
      <c r="D6428" s="170" t="s">
        <v>1947</v>
      </c>
      <c r="E6428" s="171" t="s">
        <v>19408</v>
      </c>
      <c r="F6428" s="171" t="s">
        <v>27833</v>
      </c>
      <c r="G6428" s="82"/>
      <c r="H6428" s="96">
        <f t="shared" si="404"/>
        <v>45.03</v>
      </c>
      <c r="I6428" s="96">
        <f t="shared" si="404"/>
        <v>47.12</v>
      </c>
      <c r="J6428" s="91" t="str">
        <f t="shared" si="401"/>
        <v>Sinapi 104207</v>
      </c>
      <c r="K6428" s="91" t="str">
        <f t="shared" si="402"/>
        <v>M2</v>
      </c>
      <c r="L6428" s="166" t="str">
        <f t="shared" si="403"/>
        <v>08/2022</v>
      </c>
      <c r="M6428" s="82"/>
      <c r="N6428" s="82"/>
    </row>
    <row r="6429" spans="1:14" x14ac:dyDescent="0.25">
      <c r="A6429" s="170" t="s">
        <v>17764</v>
      </c>
      <c r="B6429" s="170" t="s">
        <v>17765</v>
      </c>
      <c r="C6429" s="170" t="s">
        <v>870</v>
      </c>
      <c r="D6429" s="170" t="s">
        <v>1947</v>
      </c>
      <c r="E6429" s="171" t="s">
        <v>24517</v>
      </c>
      <c r="F6429" s="171" t="s">
        <v>37722</v>
      </c>
      <c r="G6429" s="82"/>
      <c r="H6429" s="96">
        <f t="shared" si="404"/>
        <v>62.03</v>
      </c>
      <c r="I6429" s="96">
        <f t="shared" si="404"/>
        <v>65.040000000000006</v>
      </c>
      <c r="J6429" s="91" t="str">
        <f t="shared" si="401"/>
        <v>Sinapi 104208</v>
      </c>
      <c r="K6429" s="91" t="str">
        <f t="shared" si="402"/>
        <v>M2</v>
      </c>
      <c r="L6429" s="166" t="str">
        <f t="shared" si="403"/>
        <v>08/2022</v>
      </c>
      <c r="M6429" s="82"/>
      <c r="N6429" s="82"/>
    </row>
    <row r="6430" spans="1:14" x14ac:dyDescent="0.25">
      <c r="A6430" s="170" t="s">
        <v>17766</v>
      </c>
      <c r="B6430" s="170" t="s">
        <v>17767</v>
      </c>
      <c r="C6430" s="170" t="s">
        <v>870</v>
      </c>
      <c r="D6430" s="170" t="s">
        <v>1947</v>
      </c>
      <c r="E6430" s="171" t="s">
        <v>34620</v>
      </c>
      <c r="F6430" s="171" t="s">
        <v>34308</v>
      </c>
      <c r="G6430" s="82"/>
      <c r="H6430" s="96">
        <f t="shared" si="404"/>
        <v>70.22</v>
      </c>
      <c r="I6430" s="96">
        <f t="shared" si="404"/>
        <v>73.349999999999994</v>
      </c>
      <c r="J6430" s="91" t="str">
        <f t="shared" si="401"/>
        <v>Sinapi 104209</v>
      </c>
      <c r="K6430" s="91" t="str">
        <f t="shared" si="402"/>
        <v>M2</v>
      </c>
      <c r="L6430" s="166" t="str">
        <f t="shared" si="403"/>
        <v>08/2022</v>
      </c>
      <c r="M6430" s="82"/>
      <c r="N6430" s="82"/>
    </row>
    <row r="6431" spans="1:14" x14ac:dyDescent="0.25">
      <c r="A6431" s="170" t="s">
        <v>17768</v>
      </c>
      <c r="B6431" s="170" t="s">
        <v>17769</v>
      </c>
      <c r="C6431" s="170" t="s">
        <v>870</v>
      </c>
      <c r="D6431" s="170" t="s">
        <v>1947</v>
      </c>
      <c r="E6431" s="171" t="s">
        <v>23292</v>
      </c>
      <c r="F6431" s="171" t="s">
        <v>33598</v>
      </c>
      <c r="G6431" s="82"/>
      <c r="H6431" s="96">
        <f t="shared" si="404"/>
        <v>73.599999999999994</v>
      </c>
      <c r="I6431" s="96">
        <f t="shared" si="404"/>
        <v>76.72</v>
      </c>
      <c r="J6431" s="91" t="str">
        <f t="shared" si="401"/>
        <v>Sinapi 104210</v>
      </c>
      <c r="K6431" s="91" t="str">
        <f t="shared" si="402"/>
        <v>M2</v>
      </c>
      <c r="L6431" s="166" t="str">
        <f t="shared" si="403"/>
        <v>08/2022</v>
      </c>
      <c r="M6431" s="82"/>
      <c r="N6431" s="82"/>
    </row>
    <row r="6432" spans="1:14" x14ac:dyDescent="0.25">
      <c r="A6432" s="170" t="s">
        <v>17770</v>
      </c>
      <c r="B6432" s="170" t="s">
        <v>17771</v>
      </c>
      <c r="C6432" s="170" t="s">
        <v>870</v>
      </c>
      <c r="D6432" s="170" t="s">
        <v>1947</v>
      </c>
      <c r="E6432" s="171" t="s">
        <v>34621</v>
      </c>
      <c r="F6432" s="171" t="s">
        <v>29135</v>
      </c>
      <c r="G6432" s="82"/>
      <c r="H6432" s="96">
        <f t="shared" si="404"/>
        <v>79.930000000000007</v>
      </c>
      <c r="I6432" s="96">
        <f t="shared" si="404"/>
        <v>85.49</v>
      </c>
      <c r="J6432" s="91" t="str">
        <f t="shared" si="401"/>
        <v>Sinapi 104211</v>
      </c>
      <c r="K6432" s="91" t="str">
        <f t="shared" si="402"/>
        <v>M2</v>
      </c>
      <c r="L6432" s="166" t="str">
        <f t="shared" si="403"/>
        <v>08/2022</v>
      </c>
      <c r="M6432" s="82"/>
      <c r="N6432" s="82"/>
    </row>
    <row r="6433" spans="1:14" x14ac:dyDescent="0.25">
      <c r="A6433" s="170" t="s">
        <v>17772</v>
      </c>
      <c r="B6433" s="170" t="s">
        <v>17773</v>
      </c>
      <c r="C6433" s="170" t="s">
        <v>870</v>
      </c>
      <c r="D6433" s="170" t="s">
        <v>1947</v>
      </c>
      <c r="E6433" s="171" t="s">
        <v>34622</v>
      </c>
      <c r="F6433" s="171" t="s">
        <v>21568</v>
      </c>
      <c r="G6433" s="82"/>
      <c r="H6433" s="96">
        <f t="shared" si="404"/>
        <v>96.98</v>
      </c>
      <c r="I6433" s="96">
        <f t="shared" si="404"/>
        <v>103.47</v>
      </c>
      <c r="J6433" s="91" t="str">
        <f t="shared" si="401"/>
        <v>Sinapi 104212</v>
      </c>
      <c r="K6433" s="91" t="str">
        <f t="shared" si="402"/>
        <v>M2</v>
      </c>
      <c r="L6433" s="166" t="str">
        <f t="shared" si="403"/>
        <v>08/2022</v>
      </c>
      <c r="M6433" s="82"/>
      <c r="N6433" s="82"/>
    </row>
    <row r="6434" spans="1:14" x14ac:dyDescent="0.25">
      <c r="A6434" s="170" t="s">
        <v>17774</v>
      </c>
      <c r="B6434" s="170" t="s">
        <v>17775</v>
      </c>
      <c r="C6434" s="170" t="s">
        <v>870</v>
      </c>
      <c r="D6434" s="170" t="s">
        <v>1947</v>
      </c>
      <c r="E6434" s="171" t="s">
        <v>34623</v>
      </c>
      <c r="F6434" s="171" t="s">
        <v>37723</v>
      </c>
      <c r="G6434" s="82"/>
      <c r="H6434" s="96">
        <f t="shared" si="404"/>
        <v>105.17</v>
      </c>
      <c r="I6434" s="96">
        <f t="shared" si="404"/>
        <v>111.78</v>
      </c>
      <c r="J6434" s="91" t="str">
        <f t="shared" si="401"/>
        <v>Sinapi 104213</v>
      </c>
      <c r="K6434" s="91" t="str">
        <f t="shared" si="402"/>
        <v>M2</v>
      </c>
      <c r="L6434" s="166" t="str">
        <f t="shared" si="403"/>
        <v>08/2022</v>
      </c>
      <c r="M6434" s="82"/>
      <c r="N6434" s="82"/>
    </row>
    <row r="6435" spans="1:14" x14ac:dyDescent="0.25">
      <c r="A6435" s="170" t="s">
        <v>17776</v>
      </c>
      <c r="B6435" s="170" t="s">
        <v>17777</v>
      </c>
      <c r="C6435" s="170" t="s">
        <v>870</v>
      </c>
      <c r="D6435" s="170" t="s">
        <v>1947</v>
      </c>
      <c r="E6435" s="171" t="s">
        <v>34624</v>
      </c>
      <c r="F6435" s="171" t="s">
        <v>21371</v>
      </c>
      <c r="G6435" s="82"/>
      <c r="H6435" s="96">
        <f t="shared" si="404"/>
        <v>124.44</v>
      </c>
      <c r="I6435" s="96">
        <f t="shared" si="404"/>
        <v>132.51</v>
      </c>
      <c r="J6435" s="91" t="str">
        <f t="shared" si="401"/>
        <v>Sinapi 104214</v>
      </c>
      <c r="K6435" s="91" t="str">
        <f t="shared" si="402"/>
        <v>M2</v>
      </c>
      <c r="L6435" s="166" t="str">
        <f t="shared" si="403"/>
        <v>08/2022</v>
      </c>
      <c r="M6435" s="82"/>
      <c r="N6435" s="82"/>
    </row>
    <row r="6436" spans="1:14" x14ac:dyDescent="0.25">
      <c r="A6436" s="170" t="s">
        <v>17778</v>
      </c>
      <c r="B6436" s="170" t="s">
        <v>17779</v>
      </c>
      <c r="C6436" s="170" t="s">
        <v>870</v>
      </c>
      <c r="D6436" s="170" t="s">
        <v>1947</v>
      </c>
      <c r="E6436" s="171" t="s">
        <v>34625</v>
      </c>
      <c r="F6436" s="171" t="s">
        <v>37724</v>
      </c>
      <c r="G6436" s="82"/>
      <c r="H6436" s="96">
        <f t="shared" si="404"/>
        <v>76.650000000000006</v>
      </c>
      <c r="I6436" s="96">
        <f t="shared" si="404"/>
        <v>81.510000000000005</v>
      </c>
      <c r="J6436" s="91" t="str">
        <f t="shared" si="401"/>
        <v>Sinapi 104215</v>
      </c>
      <c r="K6436" s="91" t="str">
        <f t="shared" si="402"/>
        <v>M2</v>
      </c>
      <c r="L6436" s="166" t="str">
        <f t="shared" si="403"/>
        <v>08/2022</v>
      </c>
      <c r="M6436" s="82"/>
      <c r="N6436" s="82"/>
    </row>
    <row r="6437" spans="1:14" x14ac:dyDescent="0.25">
      <c r="A6437" s="170" t="s">
        <v>17780</v>
      </c>
      <c r="B6437" s="170" t="s">
        <v>17781</v>
      </c>
      <c r="C6437" s="170" t="s">
        <v>870</v>
      </c>
      <c r="D6437" s="170" t="s">
        <v>1947</v>
      </c>
      <c r="E6437" s="171" t="s">
        <v>34626</v>
      </c>
      <c r="F6437" s="171" t="s">
        <v>37725</v>
      </c>
      <c r="G6437" s="82"/>
      <c r="H6437" s="96">
        <f t="shared" si="404"/>
        <v>94.02</v>
      </c>
      <c r="I6437" s="96">
        <f t="shared" si="404"/>
        <v>99.72</v>
      </c>
      <c r="J6437" s="91" t="str">
        <f t="shared" si="401"/>
        <v>Sinapi 104216</v>
      </c>
      <c r="K6437" s="91" t="str">
        <f t="shared" si="402"/>
        <v>M2</v>
      </c>
      <c r="L6437" s="166" t="str">
        <f t="shared" si="403"/>
        <v>08/2022</v>
      </c>
      <c r="M6437" s="82"/>
      <c r="N6437" s="82"/>
    </row>
    <row r="6438" spans="1:14" x14ac:dyDescent="0.25">
      <c r="A6438" s="170" t="s">
        <v>17782</v>
      </c>
      <c r="B6438" s="170" t="s">
        <v>17783</v>
      </c>
      <c r="C6438" s="170" t="s">
        <v>870</v>
      </c>
      <c r="D6438" s="170" t="s">
        <v>1947</v>
      </c>
      <c r="E6438" s="171" t="s">
        <v>22833</v>
      </c>
      <c r="F6438" s="171" t="s">
        <v>30274</v>
      </c>
      <c r="G6438" s="82"/>
      <c r="H6438" s="96">
        <f t="shared" si="404"/>
        <v>51.06</v>
      </c>
      <c r="I6438" s="96">
        <f t="shared" si="404"/>
        <v>54.26</v>
      </c>
      <c r="J6438" s="91" t="str">
        <f t="shared" si="401"/>
        <v>Sinapi 104217</v>
      </c>
      <c r="K6438" s="91" t="str">
        <f t="shared" si="402"/>
        <v>M2</v>
      </c>
      <c r="L6438" s="166" t="str">
        <f t="shared" si="403"/>
        <v>08/2022</v>
      </c>
      <c r="M6438" s="82"/>
      <c r="N6438" s="82"/>
    </row>
    <row r="6439" spans="1:14" x14ac:dyDescent="0.25">
      <c r="A6439" s="170" t="s">
        <v>17784</v>
      </c>
      <c r="B6439" s="170" t="s">
        <v>17785</v>
      </c>
      <c r="C6439" s="170" t="s">
        <v>870</v>
      </c>
      <c r="D6439" s="170" t="s">
        <v>1947</v>
      </c>
      <c r="E6439" s="171" t="s">
        <v>21123</v>
      </c>
      <c r="F6439" s="171" t="s">
        <v>28593</v>
      </c>
      <c r="G6439" s="82"/>
      <c r="H6439" s="96">
        <f t="shared" si="404"/>
        <v>54.02</v>
      </c>
      <c r="I6439" s="96">
        <f t="shared" si="404"/>
        <v>57.53</v>
      </c>
      <c r="J6439" s="91" t="str">
        <f t="shared" si="401"/>
        <v>Sinapi 104218</v>
      </c>
      <c r="K6439" s="91" t="str">
        <f t="shared" si="402"/>
        <v>M2</v>
      </c>
      <c r="L6439" s="166" t="str">
        <f t="shared" si="403"/>
        <v>08/2022</v>
      </c>
      <c r="M6439" s="82"/>
      <c r="N6439" s="82"/>
    </row>
    <row r="6440" spans="1:14" x14ac:dyDescent="0.25">
      <c r="A6440" s="170" t="s">
        <v>17786</v>
      </c>
      <c r="B6440" s="170" t="s">
        <v>17787</v>
      </c>
      <c r="C6440" s="170" t="s">
        <v>870</v>
      </c>
      <c r="D6440" s="170" t="s">
        <v>1947</v>
      </c>
      <c r="E6440" s="171" t="s">
        <v>34627</v>
      </c>
      <c r="F6440" s="171" t="s">
        <v>37726</v>
      </c>
      <c r="G6440" s="82"/>
      <c r="H6440" s="96">
        <f t="shared" si="404"/>
        <v>104.62</v>
      </c>
      <c r="I6440" s="96">
        <f t="shared" si="404"/>
        <v>107.52</v>
      </c>
      <c r="J6440" s="91" t="str">
        <f t="shared" si="401"/>
        <v>Sinapi 104219</v>
      </c>
      <c r="K6440" s="91" t="str">
        <f t="shared" si="402"/>
        <v>M2</v>
      </c>
      <c r="L6440" s="166" t="str">
        <f t="shared" si="403"/>
        <v>08/2022</v>
      </c>
      <c r="M6440" s="82"/>
      <c r="N6440" s="82"/>
    </row>
    <row r="6441" spans="1:14" x14ac:dyDescent="0.25">
      <c r="A6441" s="170" t="s">
        <v>17788</v>
      </c>
      <c r="B6441" s="170" t="s">
        <v>17789</v>
      </c>
      <c r="C6441" s="170" t="s">
        <v>870</v>
      </c>
      <c r="D6441" s="170" t="s">
        <v>1947</v>
      </c>
      <c r="E6441" s="171" t="s">
        <v>34628</v>
      </c>
      <c r="F6441" s="171" t="s">
        <v>21316</v>
      </c>
      <c r="G6441" s="82"/>
      <c r="H6441" s="96">
        <f t="shared" si="404"/>
        <v>55.23</v>
      </c>
      <c r="I6441" s="96">
        <f t="shared" si="404"/>
        <v>58.15</v>
      </c>
      <c r="J6441" s="91" t="str">
        <f t="shared" si="401"/>
        <v>Sinapi 104220</v>
      </c>
      <c r="K6441" s="91" t="str">
        <f t="shared" si="402"/>
        <v>M2</v>
      </c>
      <c r="L6441" s="166" t="str">
        <f t="shared" si="403"/>
        <v>08/2022</v>
      </c>
      <c r="M6441" s="82"/>
      <c r="N6441" s="82"/>
    </row>
    <row r="6442" spans="1:14" x14ac:dyDescent="0.25">
      <c r="A6442" s="170" t="s">
        <v>17790</v>
      </c>
      <c r="B6442" s="170" t="s">
        <v>17791</v>
      </c>
      <c r="C6442" s="170" t="s">
        <v>870</v>
      </c>
      <c r="D6442" s="170" t="s">
        <v>1947</v>
      </c>
      <c r="E6442" s="171" t="s">
        <v>22750</v>
      </c>
      <c r="F6442" s="171" t="s">
        <v>37727</v>
      </c>
      <c r="G6442" s="82"/>
      <c r="H6442" s="96">
        <f t="shared" si="404"/>
        <v>66.180000000000007</v>
      </c>
      <c r="I6442" s="96">
        <f t="shared" si="404"/>
        <v>70.290000000000006</v>
      </c>
      <c r="J6442" s="91" t="str">
        <f t="shared" si="401"/>
        <v>Sinapi 104221</v>
      </c>
      <c r="K6442" s="91" t="str">
        <f t="shared" si="402"/>
        <v>M2</v>
      </c>
      <c r="L6442" s="166" t="str">
        <f t="shared" si="403"/>
        <v>08/2022</v>
      </c>
      <c r="M6442" s="82"/>
      <c r="N6442" s="82"/>
    </row>
    <row r="6443" spans="1:14" x14ac:dyDescent="0.25">
      <c r="A6443" s="170" t="s">
        <v>17792</v>
      </c>
      <c r="B6443" s="170" t="s">
        <v>17793</v>
      </c>
      <c r="C6443" s="170" t="s">
        <v>870</v>
      </c>
      <c r="D6443" s="170" t="s">
        <v>1947</v>
      </c>
      <c r="E6443" s="171" t="s">
        <v>34629</v>
      </c>
      <c r="F6443" s="171" t="s">
        <v>33144</v>
      </c>
      <c r="G6443" s="82"/>
      <c r="H6443" s="96">
        <f t="shared" si="404"/>
        <v>70.150000000000006</v>
      </c>
      <c r="I6443" s="96">
        <f t="shared" si="404"/>
        <v>74.67</v>
      </c>
      <c r="J6443" s="91" t="str">
        <f t="shared" si="401"/>
        <v>Sinapi 104222</v>
      </c>
      <c r="K6443" s="91" t="str">
        <f t="shared" si="402"/>
        <v>M2</v>
      </c>
      <c r="L6443" s="166" t="str">
        <f t="shared" si="403"/>
        <v>08/2022</v>
      </c>
      <c r="M6443" s="82"/>
      <c r="N6443" s="82"/>
    </row>
    <row r="6444" spans="1:14" x14ac:dyDescent="0.25">
      <c r="A6444" s="170" t="s">
        <v>17794</v>
      </c>
      <c r="B6444" s="170" t="s">
        <v>17795</v>
      </c>
      <c r="C6444" s="170" t="s">
        <v>870</v>
      </c>
      <c r="D6444" s="170" t="s">
        <v>1947</v>
      </c>
      <c r="E6444" s="171" t="s">
        <v>34630</v>
      </c>
      <c r="F6444" s="171" t="s">
        <v>37728</v>
      </c>
      <c r="G6444" s="82"/>
      <c r="H6444" s="96">
        <f t="shared" si="404"/>
        <v>138.12</v>
      </c>
      <c r="I6444" s="96">
        <f t="shared" si="404"/>
        <v>141.88</v>
      </c>
      <c r="J6444" s="91" t="str">
        <f t="shared" si="401"/>
        <v>Sinapi 104223</v>
      </c>
      <c r="K6444" s="91" t="str">
        <f t="shared" si="402"/>
        <v>M2</v>
      </c>
      <c r="L6444" s="166" t="str">
        <f t="shared" si="403"/>
        <v>08/2022</v>
      </c>
      <c r="M6444" s="82"/>
      <c r="N6444" s="82"/>
    </row>
    <row r="6445" spans="1:14" x14ac:dyDescent="0.25">
      <c r="A6445" s="170" t="s">
        <v>17796</v>
      </c>
      <c r="B6445" s="170" t="s">
        <v>17797</v>
      </c>
      <c r="C6445" s="170" t="s">
        <v>870</v>
      </c>
      <c r="D6445" s="170" t="s">
        <v>1947</v>
      </c>
      <c r="E6445" s="171" t="s">
        <v>34631</v>
      </c>
      <c r="F6445" s="171" t="s">
        <v>37729</v>
      </c>
      <c r="G6445" s="82"/>
      <c r="H6445" s="96">
        <f t="shared" si="404"/>
        <v>71.72</v>
      </c>
      <c r="I6445" s="96">
        <f t="shared" si="404"/>
        <v>75.510000000000005</v>
      </c>
      <c r="J6445" s="91" t="str">
        <f t="shared" si="401"/>
        <v>Sinapi 104224</v>
      </c>
      <c r="K6445" s="91" t="str">
        <f t="shared" si="402"/>
        <v>M2</v>
      </c>
      <c r="L6445" s="166" t="str">
        <f t="shared" si="403"/>
        <v>08/2022</v>
      </c>
      <c r="M6445" s="82"/>
      <c r="N6445" s="82"/>
    </row>
    <row r="6446" spans="1:14" x14ac:dyDescent="0.25">
      <c r="A6446" s="170" t="s">
        <v>17798</v>
      </c>
      <c r="B6446" s="170" t="s">
        <v>17799</v>
      </c>
      <c r="C6446" s="170" t="s">
        <v>870</v>
      </c>
      <c r="D6446" s="170" t="s">
        <v>1947</v>
      </c>
      <c r="E6446" s="171" t="s">
        <v>28605</v>
      </c>
      <c r="F6446" s="171" t="s">
        <v>37730</v>
      </c>
      <c r="G6446" s="82"/>
      <c r="H6446" s="96">
        <f t="shared" si="404"/>
        <v>74.150000000000006</v>
      </c>
      <c r="I6446" s="96">
        <f t="shared" si="404"/>
        <v>78.39</v>
      </c>
      <c r="J6446" s="91" t="str">
        <f t="shared" si="401"/>
        <v>Sinapi 104225</v>
      </c>
      <c r="K6446" s="91" t="str">
        <f t="shared" si="402"/>
        <v>M2</v>
      </c>
      <c r="L6446" s="166" t="str">
        <f t="shared" si="403"/>
        <v>08/2022</v>
      </c>
      <c r="M6446" s="82"/>
      <c r="N6446" s="82"/>
    </row>
    <row r="6447" spans="1:14" x14ac:dyDescent="0.25">
      <c r="A6447" s="170" t="s">
        <v>17800</v>
      </c>
      <c r="B6447" s="170" t="s">
        <v>17801</v>
      </c>
      <c r="C6447" s="170" t="s">
        <v>870</v>
      </c>
      <c r="D6447" s="170" t="s">
        <v>1947</v>
      </c>
      <c r="E6447" s="171" t="s">
        <v>21170</v>
      </c>
      <c r="F6447" s="171" t="s">
        <v>37731</v>
      </c>
      <c r="G6447" s="82"/>
      <c r="H6447" s="96">
        <f t="shared" si="404"/>
        <v>79.13</v>
      </c>
      <c r="I6447" s="96">
        <f t="shared" si="404"/>
        <v>83.89</v>
      </c>
      <c r="J6447" s="91" t="str">
        <f t="shared" si="401"/>
        <v>Sinapi 104226</v>
      </c>
      <c r="K6447" s="91" t="str">
        <f t="shared" si="402"/>
        <v>M2</v>
      </c>
      <c r="L6447" s="166" t="str">
        <f t="shared" si="403"/>
        <v>08/2022</v>
      </c>
      <c r="M6447" s="82"/>
      <c r="N6447" s="82"/>
    </row>
    <row r="6448" spans="1:14" x14ac:dyDescent="0.25">
      <c r="A6448" s="170" t="s">
        <v>17802</v>
      </c>
      <c r="B6448" s="170" t="s">
        <v>17803</v>
      </c>
      <c r="C6448" s="170" t="s">
        <v>870</v>
      </c>
      <c r="D6448" s="170" t="s">
        <v>1947</v>
      </c>
      <c r="E6448" s="171" t="s">
        <v>34632</v>
      </c>
      <c r="F6448" s="171" t="s">
        <v>23281</v>
      </c>
      <c r="G6448" s="82"/>
      <c r="H6448" s="96">
        <f t="shared" si="404"/>
        <v>165.13</v>
      </c>
      <c r="I6448" s="96">
        <f t="shared" si="404"/>
        <v>169</v>
      </c>
      <c r="J6448" s="91" t="str">
        <f t="shared" si="401"/>
        <v>Sinapi 104227</v>
      </c>
      <c r="K6448" s="91" t="str">
        <f t="shared" si="402"/>
        <v>M2</v>
      </c>
      <c r="L6448" s="166" t="str">
        <f t="shared" si="403"/>
        <v>08/2022</v>
      </c>
      <c r="M6448" s="82"/>
      <c r="N6448" s="82"/>
    </row>
    <row r="6449" spans="1:14" x14ac:dyDescent="0.25">
      <c r="A6449" s="170" t="s">
        <v>17804</v>
      </c>
      <c r="B6449" s="170" t="s">
        <v>17805</v>
      </c>
      <c r="C6449" s="170" t="s">
        <v>870</v>
      </c>
      <c r="D6449" s="170" t="s">
        <v>1947</v>
      </c>
      <c r="E6449" s="171" t="s">
        <v>34633</v>
      </c>
      <c r="F6449" s="171" t="s">
        <v>31936</v>
      </c>
      <c r="G6449" s="82"/>
      <c r="H6449" s="96">
        <f t="shared" si="404"/>
        <v>80.430000000000007</v>
      </c>
      <c r="I6449" s="96">
        <f t="shared" si="404"/>
        <v>84.35</v>
      </c>
      <c r="J6449" s="91" t="str">
        <f t="shared" si="401"/>
        <v>Sinapi 104228</v>
      </c>
      <c r="K6449" s="91" t="str">
        <f t="shared" si="402"/>
        <v>M2</v>
      </c>
      <c r="L6449" s="166" t="str">
        <f t="shared" si="403"/>
        <v>08/2022</v>
      </c>
      <c r="M6449" s="82"/>
      <c r="N6449" s="82"/>
    </row>
    <row r="6450" spans="1:14" x14ac:dyDescent="0.25">
      <c r="A6450" s="170" t="s">
        <v>17806</v>
      </c>
      <c r="B6450" s="170" t="s">
        <v>17807</v>
      </c>
      <c r="C6450" s="170" t="s">
        <v>870</v>
      </c>
      <c r="D6450" s="170" t="s">
        <v>1947</v>
      </c>
      <c r="E6450" s="171" t="s">
        <v>34634</v>
      </c>
      <c r="F6450" s="171" t="s">
        <v>29115</v>
      </c>
      <c r="G6450" s="82"/>
      <c r="H6450" s="96">
        <f t="shared" si="404"/>
        <v>86.26</v>
      </c>
      <c r="I6450" s="96">
        <f t="shared" si="404"/>
        <v>91.46</v>
      </c>
      <c r="J6450" s="91" t="str">
        <f t="shared" si="401"/>
        <v>Sinapi 104229</v>
      </c>
      <c r="K6450" s="91" t="str">
        <f t="shared" si="402"/>
        <v>M2</v>
      </c>
      <c r="L6450" s="166" t="str">
        <f t="shared" si="403"/>
        <v>08/2022</v>
      </c>
      <c r="M6450" s="82"/>
      <c r="N6450" s="82"/>
    </row>
    <row r="6451" spans="1:14" x14ac:dyDescent="0.25">
      <c r="A6451" s="170" t="s">
        <v>17808</v>
      </c>
      <c r="B6451" s="170" t="s">
        <v>17809</v>
      </c>
      <c r="C6451" s="170" t="s">
        <v>870</v>
      </c>
      <c r="D6451" s="170" t="s">
        <v>1947</v>
      </c>
      <c r="E6451" s="171" t="s">
        <v>34635</v>
      </c>
      <c r="F6451" s="171" t="s">
        <v>37732</v>
      </c>
      <c r="G6451" s="82"/>
      <c r="H6451" s="96">
        <f t="shared" si="404"/>
        <v>91.74</v>
      </c>
      <c r="I6451" s="96">
        <f t="shared" si="404"/>
        <v>97.51</v>
      </c>
      <c r="J6451" s="91" t="str">
        <f t="shared" si="401"/>
        <v>Sinapi 104230</v>
      </c>
      <c r="K6451" s="91" t="str">
        <f t="shared" si="402"/>
        <v>M2</v>
      </c>
      <c r="L6451" s="166" t="str">
        <f t="shared" si="403"/>
        <v>08/2022</v>
      </c>
      <c r="M6451" s="82"/>
      <c r="N6451" s="82"/>
    </row>
    <row r="6452" spans="1:14" x14ac:dyDescent="0.25">
      <c r="A6452" s="170" t="s">
        <v>17810</v>
      </c>
      <c r="B6452" s="170" t="s">
        <v>17811</v>
      </c>
      <c r="C6452" s="170" t="s">
        <v>870</v>
      </c>
      <c r="D6452" s="170" t="s">
        <v>1947</v>
      </c>
      <c r="E6452" s="171" t="s">
        <v>34636</v>
      </c>
      <c r="F6452" s="171" t="s">
        <v>37733</v>
      </c>
      <c r="G6452" s="82"/>
      <c r="H6452" s="96">
        <f t="shared" si="404"/>
        <v>181.9</v>
      </c>
      <c r="I6452" s="96">
        <f t="shared" si="404"/>
        <v>186.21</v>
      </c>
      <c r="J6452" s="91" t="str">
        <f t="shared" si="401"/>
        <v>Sinapi 104231</v>
      </c>
      <c r="K6452" s="91" t="str">
        <f t="shared" si="402"/>
        <v>M2</v>
      </c>
      <c r="L6452" s="166" t="str">
        <f t="shared" si="403"/>
        <v>08/2022</v>
      </c>
      <c r="M6452" s="82"/>
      <c r="N6452" s="82"/>
    </row>
    <row r="6453" spans="1:14" x14ac:dyDescent="0.25">
      <c r="A6453" s="170" t="s">
        <v>17812</v>
      </c>
      <c r="B6453" s="170" t="s">
        <v>17813</v>
      </c>
      <c r="C6453" s="170" t="s">
        <v>870</v>
      </c>
      <c r="D6453" s="170" t="s">
        <v>1947</v>
      </c>
      <c r="E6453" s="171" t="s">
        <v>28584</v>
      </c>
      <c r="F6453" s="171" t="s">
        <v>37734</v>
      </c>
      <c r="G6453" s="82"/>
      <c r="H6453" s="96">
        <f t="shared" si="404"/>
        <v>88.83</v>
      </c>
      <c r="I6453" s="96">
        <f t="shared" si="404"/>
        <v>93.17</v>
      </c>
      <c r="J6453" s="91" t="str">
        <f t="shared" si="401"/>
        <v>Sinapi 104232</v>
      </c>
      <c r="K6453" s="91" t="str">
        <f t="shared" si="402"/>
        <v>M2</v>
      </c>
      <c r="L6453" s="166" t="str">
        <f t="shared" si="403"/>
        <v>08/2022</v>
      </c>
      <c r="M6453" s="82"/>
      <c r="N6453" s="82"/>
    </row>
    <row r="6454" spans="1:14" x14ac:dyDescent="0.25">
      <c r="A6454" s="170" t="s">
        <v>17814</v>
      </c>
      <c r="B6454" s="170" t="s">
        <v>17815</v>
      </c>
      <c r="C6454" s="170" t="s">
        <v>870</v>
      </c>
      <c r="D6454" s="170" t="s">
        <v>1947</v>
      </c>
      <c r="E6454" s="171" t="s">
        <v>34637</v>
      </c>
      <c r="F6454" s="171" t="s">
        <v>33435</v>
      </c>
      <c r="G6454" s="82"/>
      <c r="H6454" s="96">
        <f t="shared" si="404"/>
        <v>39.68</v>
      </c>
      <c r="I6454" s="96">
        <f t="shared" si="404"/>
        <v>41.73</v>
      </c>
      <c r="J6454" s="91" t="str">
        <f t="shared" si="401"/>
        <v>Sinapi 104233</v>
      </c>
      <c r="K6454" s="91" t="str">
        <f t="shared" si="402"/>
        <v>M2</v>
      </c>
      <c r="L6454" s="166" t="str">
        <f t="shared" si="403"/>
        <v>08/2022</v>
      </c>
      <c r="M6454" s="82"/>
      <c r="N6454" s="82"/>
    </row>
    <row r="6455" spans="1:14" x14ac:dyDescent="0.25">
      <c r="A6455" s="170" t="s">
        <v>17816</v>
      </c>
      <c r="B6455" s="170" t="s">
        <v>17817</v>
      </c>
      <c r="C6455" s="170" t="s">
        <v>870</v>
      </c>
      <c r="D6455" s="170" t="s">
        <v>1947</v>
      </c>
      <c r="E6455" s="171" t="s">
        <v>34638</v>
      </c>
      <c r="F6455" s="171" t="s">
        <v>22980</v>
      </c>
      <c r="G6455" s="82"/>
      <c r="H6455" s="96">
        <f t="shared" si="404"/>
        <v>42.45</v>
      </c>
      <c r="I6455" s="96">
        <f t="shared" si="404"/>
        <v>44.78</v>
      </c>
      <c r="J6455" s="91" t="str">
        <f t="shared" si="401"/>
        <v>Sinapi 104234</v>
      </c>
      <c r="K6455" s="91" t="str">
        <f t="shared" si="402"/>
        <v>M2</v>
      </c>
      <c r="L6455" s="166" t="str">
        <f t="shared" si="403"/>
        <v>08/2022</v>
      </c>
      <c r="M6455" s="82"/>
      <c r="N6455" s="82"/>
    </row>
    <row r="6456" spans="1:14" x14ac:dyDescent="0.25">
      <c r="A6456" s="170" t="s">
        <v>17818</v>
      </c>
      <c r="B6456" s="170" t="s">
        <v>17819</v>
      </c>
      <c r="C6456" s="170" t="s">
        <v>870</v>
      </c>
      <c r="D6456" s="170" t="s">
        <v>1947</v>
      </c>
      <c r="E6456" s="171" t="s">
        <v>31975</v>
      </c>
      <c r="F6456" s="171" t="s">
        <v>37735</v>
      </c>
      <c r="G6456" s="82"/>
      <c r="H6456" s="96">
        <f t="shared" si="404"/>
        <v>90.35</v>
      </c>
      <c r="I6456" s="96">
        <f t="shared" si="404"/>
        <v>92.21</v>
      </c>
      <c r="J6456" s="91" t="str">
        <f t="shared" si="401"/>
        <v>Sinapi 104235</v>
      </c>
      <c r="K6456" s="91" t="str">
        <f t="shared" si="402"/>
        <v>M2</v>
      </c>
      <c r="L6456" s="166" t="str">
        <f t="shared" si="403"/>
        <v>08/2022</v>
      </c>
      <c r="M6456" s="82"/>
      <c r="N6456" s="82"/>
    </row>
    <row r="6457" spans="1:14" x14ac:dyDescent="0.25">
      <c r="A6457" s="170" t="s">
        <v>17820</v>
      </c>
      <c r="B6457" s="170" t="s">
        <v>17821</v>
      </c>
      <c r="C6457" s="170" t="s">
        <v>870</v>
      </c>
      <c r="D6457" s="170" t="s">
        <v>1947</v>
      </c>
      <c r="E6457" s="171" t="s">
        <v>24734</v>
      </c>
      <c r="F6457" s="171" t="s">
        <v>22963</v>
      </c>
      <c r="G6457" s="82"/>
      <c r="H6457" s="96">
        <f t="shared" si="404"/>
        <v>42.85</v>
      </c>
      <c r="I6457" s="96">
        <f t="shared" si="404"/>
        <v>44.73</v>
      </c>
      <c r="J6457" s="91" t="str">
        <f t="shared" si="401"/>
        <v>Sinapi 104236</v>
      </c>
      <c r="K6457" s="91" t="str">
        <f t="shared" si="402"/>
        <v>M2</v>
      </c>
      <c r="L6457" s="166" t="str">
        <f t="shared" si="403"/>
        <v>08/2022</v>
      </c>
      <c r="M6457" s="82"/>
      <c r="N6457" s="82"/>
    </row>
    <row r="6458" spans="1:14" x14ac:dyDescent="0.25">
      <c r="A6458" s="170" t="s">
        <v>17822</v>
      </c>
      <c r="B6458" s="170" t="s">
        <v>17823</v>
      </c>
      <c r="C6458" s="170" t="s">
        <v>870</v>
      </c>
      <c r="D6458" s="170" t="s">
        <v>1947</v>
      </c>
      <c r="E6458" s="171" t="s">
        <v>28515</v>
      </c>
      <c r="F6458" s="171" t="s">
        <v>29733</v>
      </c>
      <c r="G6458" s="82"/>
      <c r="H6458" s="96">
        <f t="shared" si="404"/>
        <v>54.31</v>
      </c>
      <c r="I6458" s="96">
        <f t="shared" si="404"/>
        <v>57.27</v>
      </c>
      <c r="J6458" s="91" t="str">
        <f t="shared" si="401"/>
        <v>Sinapi 104237</v>
      </c>
      <c r="K6458" s="91" t="str">
        <f t="shared" si="402"/>
        <v>M2</v>
      </c>
      <c r="L6458" s="166" t="str">
        <f t="shared" si="403"/>
        <v>08/2022</v>
      </c>
      <c r="M6458" s="82"/>
      <c r="N6458" s="82"/>
    </row>
    <row r="6459" spans="1:14" x14ac:dyDescent="0.25">
      <c r="A6459" s="170" t="s">
        <v>17824</v>
      </c>
      <c r="B6459" s="170" t="s">
        <v>17825</v>
      </c>
      <c r="C6459" s="170" t="s">
        <v>870</v>
      </c>
      <c r="D6459" s="170" t="s">
        <v>1947</v>
      </c>
      <c r="E6459" s="171" t="s">
        <v>34639</v>
      </c>
      <c r="F6459" s="171" t="s">
        <v>37736</v>
      </c>
      <c r="G6459" s="82"/>
      <c r="H6459" s="96">
        <f t="shared" si="404"/>
        <v>58.02</v>
      </c>
      <c r="I6459" s="96">
        <f t="shared" si="404"/>
        <v>61.36</v>
      </c>
      <c r="J6459" s="91" t="str">
        <f t="shared" si="401"/>
        <v>Sinapi 104238</v>
      </c>
      <c r="K6459" s="91" t="str">
        <f t="shared" si="402"/>
        <v>M2</v>
      </c>
      <c r="L6459" s="166" t="str">
        <f t="shared" si="403"/>
        <v>08/2022</v>
      </c>
      <c r="M6459" s="82"/>
      <c r="N6459" s="82"/>
    </row>
    <row r="6460" spans="1:14" x14ac:dyDescent="0.25">
      <c r="A6460" s="170" t="s">
        <v>17826</v>
      </c>
      <c r="B6460" s="170" t="s">
        <v>17827</v>
      </c>
      <c r="C6460" s="170" t="s">
        <v>870</v>
      </c>
      <c r="D6460" s="170" t="s">
        <v>1947</v>
      </c>
      <c r="E6460" s="171" t="s">
        <v>34640</v>
      </c>
      <c r="F6460" s="171" t="s">
        <v>37737</v>
      </c>
      <c r="G6460" s="82"/>
      <c r="H6460" s="96">
        <f t="shared" si="404"/>
        <v>122.12</v>
      </c>
      <c r="I6460" s="96">
        <f t="shared" si="404"/>
        <v>124.83</v>
      </c>
      <c r="J6460" s="91" t="str">
        <f t="shared" si="401"/>
        <v>Sinapi 104239</v>
      </c>
      <c r="K6460" s="91" t="str">
        <f t="shared" si="402"/>
        <v>M2</v>
      </c>
      <c r="L6460" s="166" t="str">
        <f t="shared" si="403"/>
        <v>08/2022</v>
      </c>
      <c r="M6460" s="82"/>
      <c r="N6460" s="82"/>
    </row>
    <row r="6461" spans="1:14" x14ac:dyDescent="0.25">
      <c r="A6461" s="170" t="s">
        <v>17828</v>
      </c>
      <c r="B6461" s="170" t="s">
        <v>17829</v>
      </c>
      <c r="C6461" s="170" t="s">
        <v>870</v>
      </c>
      <c r="D6461" s="170" t="s">
        <v>1947</v>
      </c>
      <c r="E6461" s="171" t="s">
        <v>29425</v>
      </c>
      <c r="F6461" s="171" t="s">
        <v>24490</v>
      </c>
      <c r="G6461" s="82"/>
      <c r="H6461" s="96">
        <f t="shared" si="404"/>
        <v>58.87</v>
      </c>
      <c r="I6461" s="96">
        <f t="shared" si="404"/>
        <v>61.6</v>
      </c>
      <c r="J6461" s="91" t="str">
        <f t="shared" si="401"/>
        <v>Sinapi 104240</v>
      </c>
      <c r="K6461" s="91" t="str">
        <f t="shared" si="402"/>
        <v>M2</v>
      </c>
      <c r="L6461" s="166" t="str">
        <f t="shared" si="403"/>
        <v>08/2022</v>
      </c>
      <c r="M6461" s="82"/>
      <c r="N6461" s="82"/>
    </row>
    <row r="6462" spans="1:14" x14ac:dyDescent="0.25">
      <c r="A6462" s="170" t="s">
        <v>17830</v>
      </c>
      <c r="B6462" s="170" t="s">
        <v>17831</v>
      </c>
      <c r="C6462" s="170" t="s">
        <v>870</v>
      </c>
      <c r="D6462" s="170" t="s">
        <v>1947</v>
      </c>
      <c r="E6462" s="171" t="s">
        <v>30112</v>
      </c>
      <c r="F6462" s="171" t="s">
        <v>37738</v>
      </c>
      <c r="G6462" s="82"/>
      <c r="H6462" s="96">
        <f t="shared" si="404"/>
        <v>61.76</v>
      </c>
      <c r="I6462" s="96">
        <f t="shared" si="404"/>
        <v>64.84</v>
      </c>
      <c r="J6462" s="91" t="str">
        <f t="shared" si="401"/>
        <v>Sinapi 104241</v>
      </c>
      <c r="K6462" s="91" t="str">
        <f t="shared" si="402"/>
        <v>M2</v>
      </c>
      <c r="L6462" s="166" t="str">
        <f t="shared" si="403"/>
        <v>08/2022</v>
      </c>
      <c r="M6462" s="82"/>
      <c r="N6462" s="82"/>
    </row>
    <row r="6463" spans="1:14" x14ac:dyDescent="0.25">
      <c r="A6463" s="170" t="s">
        <v>17832</v>
      </c>
      <c r="B6463" s="170" t="s">
        <v>17833</v>
      </c>
      <c r="C6463" s="170" t="s">
        <v>870</v>
      </c>
      <c r="D6463" s="170" t="s">
        <v>1947</v>
      </c>
      <c r="E6463" s="171" t="s">
        <v>34641</v>
      </c>
      <c r="F6463" s="171" t="s">
        <v>37739</v>
      </c>
      <c r="G6463" s="82"/>
      <c r="H6463" s="96">
        <f t="shared" si="404"/>
        <v>66.41</v>
      </c>
      <c r="I6463" s="96">
        <f t="shared" si="404"/>
        <v>69.97</v>
      </c>
      <c r="J6463" s="91" t="str">
        <f t="shared" si="401"/>
        <v>Sinapi 104242</v>
      </c>
      <c r="K6463" s="91" t="str">
        <f t="shared" si="402"/>
        <v>M2</v>
      </c>
      <c r="L6463" s="166" t="str">
        <f t="shared" si="403"/>
        <v>08/2022</v>
      </c>
      <c r="M6463" s="82"/>
      <c r="N6463" s="82"/>
    </row>
    <row r="6464" spans="1:14" x14ac:dyDescent="0.25">
      <c r="A6464" s="170" t="s">
        <v>17834</v>
      </c>
      <c r="B6464" s="170" t="s">
        <v>17835</v>
      </c>
      <c r="C6464" s="170" t="s">
        <v>870</v>
      </c>
      <c r="D6464" s="170" t="s">
        <v>1947</v>
      </c>
      <c r="E6464" s="171" t="s">
        <v>34642</v>
      </c>
      <c r="F6464" s="171" t="s">
        <v>28937</v>
      </c>
      <c r="G6464" s="82"/>
      <c r="H6464" s="96">
        <f t="shared" si="404"/>
        <v>147.36000000000001</v>
      </c>
      <c r="I6464" s="96">
        <f t="shared" si="404"/>
        <v>150.16999999999999</v>
      </c>
      <c r="J6464" s="91" t="str">
        <f t="shared" si="401"/>
        <v>Sinapi 104243</v>
      </c>
      <c r="K6464" s="91" t="str">
        <f t="shared" si="402"/>
        <v>M2</v>
      </c>
      <c r="L6464" s="166" t="str">
        <f t="shared" si="403"/>
        <v>08/2022</v>
      </c>
      <c r="M6464" s="82"/>
      <c r="N6464" s="82"/>
    </row>
    <row r="6465" spans="1:14" x14ac:dyDescent="0.25">
      <c r="A6465" s="170" t="s">
        <v>17836</v>
      </c>
      <c r="B6465" s="170" t="s">
        <v>17837</v>
      </c>
      <c r="C6465" s="170" t="s">
        <v>870</v>
      </c>
      <c r="D6465" s="170" t="s">
        <v>1947</v>
      </c>
      <c r="E6465" s="171" t="s">
        <v>34643</v>
      </c>
      <c r="F6465" s="171" t="s">
        <v>37740</v>
      </c>
      <c r="G6465" s="82"/>
      <c r="H6465" s="96">
        <f t="shared" si="404"/>
        <v>67.05</v>
      </c>
      <c r="I6465" s="96">
        <f t="shared" si="404"/>
        <v>69.900000000000006</v>
      </c>
      <c r="J6465" s="91" t="str">
        <f t="shared" si="401"/>
        <v>Sinapi 104244</v>
      </c>
      <c r="K6465" s="91" t="str">
        <f t="shared" si="402"/>
        <v>M2</v>
      </c>
      <c r="L6465" s="166" t="str">
        <f t="shared" si="403"/>
        <v>08/2022</v>
      </c>
      <c r="M6465" s="82"/>
      <c r="N6465" s="82"/>
    </row>
    <row r="6466" spans="1:14" x14ac:dyDescent="0.25">
      <c r="A6466" s="170" t="s">
        <v>17838</v>
      </c>
      <c r="B6466" s="170" t="s">
        <v>17839</v>
      </c>
      <c r="C6466" s="170" t="s">
        <v>870</v>
      </c>
      <c r="D6466" s="170" t="s">
        <v>1947</v>
      </c>
      <c r="E6466" s="171" t="s">
        <v>34644</v>
      </c>
      <c r="F6466" s="171" t="s">
        <v>37741</v>
      </c>
      <c r="G6466" s="82"/>
      <c r="H6466" s="96">
        <f t="shared" si="404"/>
        <v>67.53</v>
      </c>
      <c r="I6466" s="96">
        <f t="shared" si="404"/>
        <v>70.89</v>
      </c>
      <c r="J6466" s="91" t="str">
        <f t="shared" si="401"/>
        <v>Sinapi 104245</v>
      </c>
      <c r="K6466" s="91" t="str">
        <f t="shared" si="402"/>
        <v>M2</v>
      </c>
      <c r="L6466" s="166" t="str">
        <f t="shared" si="403"/>
        <v>08/2022</v>
      </c>
      <c r="M6466" s="82"/>
      <c r="N6466" s="82"/>
    </row>
    <row r="6467" spans="1:14" x14ac:dyDescent="0.25">
      <c r="A6467" s="170" t="s">
        <v>17840</v>
      </c>
      <c r="B6467" s="170" t="s">
        <v>17841</v>
      </c>
      <c r="C6467" s="170" t="s">
        <v>870</v>
      </c>
      <c r="D6467" s="170" t="s">
        <v>1947</v>
      </c>
      <c r="E6467" s="171" t="s">
        <v>33453</v>
      </c>
      <c r="F6467" s="171" t="s">
        <v>29472</v>
      </c>
      <c r="G6467" s="82"/>
      <c r="H6467" s="96">
        <f t="shared" si="404"/>
        <v>72.650000000000006</v>
      </c>
      <c r="I6467" s="96">
        <f t="shared" si="404"/>
        <v>76.55</v>
      </c>
      <c r="J6467" s="91" t="str">
        <f t="shared" si="401"/>
        <v>Sinapi 104246</v>
      </c>
      <c r="K6467" s="91" t="str">
        <f t="shared" si="402"/>
        <v>M2</v>
      </c>
      <c r="L6467" s="166" t="str">
        <f t="shared" si="403"/>
        <v>08/2022</v>
      </c>
      <c r="M6467" s="82"/>
      <c r="N6467" s="82"/>
    </row>
    <row r="6468" spans="1:14" x14ac:dyDescent="0.25">
      <c r="A6468" s="170" t="s">
        <v>17842</v>
      </c>
      <c r="B6468" s="170" t="s">
        <v>17843</v>
      </c>
      <c r="C6468" s="170" t="s">
        <v>870</v>
      </c>
      <c r="D6468" s="170" t="s">
        <v>1947</v>
      </c>
      <c r="E6468" s="171" t="s">
        <v>34645</v>
      </c>
      <c r="F6468" s="171" t="s">
        <v>37742</v>
      </c>
      <c r="G6468" s="82"/>
      <c r="H6468" s="96">
        <f t="shared" si="404"/>
        <v>159.47</v>
      </c>
      <c r="I6468" s="96">
        <f t="shared" si="404"/>
        <v>162.28</v>
      </c>
      <c r="J6468" s="91" t="str">
        <f t="shared" si="401"/>
        <v>Sinapi 104247</v>
      </c>
      <c r="K6468" s="91" t="str">
        <f t="shared" si="402"/>
        <v>M2</v>
      </c>
      <c r="L6468" s="166" t="str">
        <f t="shared" si="403"/>
        <v>08/2022</v>
      </c>
      <c r="M6468" s="82"/>
      <c r="N6468" s="82"/>
    </row>
    <row r="6469" spans="1:14" x14ac:dyDescent="0.25">
      <c r="A6469" s="170" t="s">
        <v>17844</v>
      </c>
      <c r="B6469" s="170" t="s">
        <v>17845</v>
      </c>
      <c r="C6469" s="170" t="s">
        <v>870</v>
      </c>
      <c r="D6469" s="170" t="s">
        <v>1947</v>
      </c>
      <c r="E6469" s="171" t="s">
        <v>34646</v>
      </c>
      <c r="F6469" s="171" t="s">
        <v>23475</v>
      </c>
      <c r="G6469" s="82"/>
      <c r="H6469" s="96">
        <f t="shared" si="404"/>
        <v>70.540000000000006</v>
      </c>
      <c r="I6469" s="96">
        <f t="shared" si="404"/>
        <v>73.38</v>
      </c>
      <c r="J6469" s="91" t="str">
        <f t="shared" si="401"/>
        <v>Sinapi 104248</v>
      </c>
      <c r="K6469" s="91" t="str">
        <f t="shared" si="402"/>
        <v>M2</v>
      </c>
      <c r="L6469" s="166" t="str">
        <f t="shared" si="403"/>
        <v>08/2022</v>
      </c>
      <c r="M6469" s="82"/>
      <c r="N6469" s="82"/>
    </row>
    <row r="6470" spans="1:14" x14ac:dyDescent="0.25">
      <c r="A6470" s="170" t="s">
        <v>17846</v>
      </c>
      <c r="B6470" s="170" t="s">
        <v>17847</v>
      </c>
      <c r="C6470" s="170" t="s">
        <v>870</v>
      </c>
      <c r="D6470" s="170" t="s">
        <v>2067</v>
      </c>
      <c r="E6470" s="171" t="s">
        <v>34644</v>
      </c>
      <c r="F6470" s="171" t="s">
        <v>37743</v>
      </c>
      <c r="G6470" s="82"/>
      <c r="H6470" s="96">
        <f t="shared" si="404"/>
        <v>67.53</v>
      </c>
      <c r="I6470" s="96">
        <f t="shared" si="404"/>
        <v>72.95</v>
      </c>
      <c r="J6470" s="91" t="str">
        <f t="shared" si="401"/>
        <v>Sinapi 104249</v>
      </c>
      <c r="K6470" s="91" t="str">
        <f t="shared" si="402"/>
        <v>M2</v>
      </c>
      <c r="L6470" s="166" t="str">
        <f t="shared" si="403"/>
        <v>08/2022</v>
      </c>
      <c r="M6470" s="82"/>
      <c r="N6470" s="82"/>
    </row>
    <row r="6471" spans="1:14" x14ac:dyDescent="0.25">
      <c r="A6471" s="170" t="s">
        <v>17848</v>
      </c>
      <c r="B6471" s="170" t="s">
        <v>17849</v>
      </c>
      <c r="C6471" s="170" t="s">
        <v>870</v>
      </c>
      <c r="D6471" s="170" t="s">
        <v>2067</v>
      </c>
      <c r="E6471" s="171" t="s">
        <v>34224</v>
      </c>
      <c r="F6471" s="171" t="s">
        <v>37744</v>
      </c>
      <c r="G6471" s="82"/>
      <c r="H6471" s="96">
        <f t="shared" si="404"/>
        <v>70.3</v>
      </c>
      <c r="I6471" s="96">
        <f t="shared" si="404"/>
        <v>76</v>
      </c>
      <c r="J6471" s="91" t="str">
        <f t="shared" si="401"/>
        <v>Sinapi 104250</v>
      </c>
      <c r="K6471" s="91" t="str">
        <f t="shared" si="402"/>
        <v>M2</v>
      </c>
      <c r="L6471" s="166" t="str">
        <f t="shared" si="403"/>
        <v>08/2022</v>
      </c>
      <c r="M6471" s="82"/>
      <c r="N6471" s="82"/>
    </row>
    <row r="6472" spans="1:14" x14ac:dyDescent="0.25">
      <c r="A6472" s="170" t="s">
        <v>17850</v>
      </c>
      <c r="B6472" s="170" t="s">
        <v>17851</v>
      </c>
      <c r="C6472" s="170" t="s">
        <v>870</v>
      </c>
      <c r="D6472" s="170" t="s">
        <v>2067</v>
      </c>
      <c r="E6472" s="171" t="s">
        <v>34647</v>
      </c>
      <c r="F6472" s="171" t="s">
        <v>37745</v>
      </c>
      <c r="G6472" s="82"/>
      <c r="H6472" s="96">
        <f t="shared" si="404"/>
        <v>115.52</v>
      </c>
      <c r="I6472" s="96">
        <f t="shared" si="404"/>
        <v>120.46</v>
      </c>
      <c r="J6472" s="91" t="str">
        <f t="shared" ref="J6472:J6500" si="405">IF(OR(H6472="",I6472=""),"",TRIM(CONCATENATE("Sinapi ",A6472)))</f>
        <v>Sinapi 104251</v>
      </c>
      <c r="K6472" s="91" t="str">
        <f t="shared" ref="K6472:K6500" si="406">TRIM(C6472)</f>
        <v>M2</v>
      </c>
      <c r="L6472" s="166" t="str">
        <f t="shared" ref="L6472:L6535" si="407">IF(OR(RIGHT(IF(AND(K6472&lt;&gt;"H",K6472&lt;&gt;"MES"),RIGHT(B6472,7),""),2)="PS",RIGHT(IF(AND(K6472&lt;&gt;"H",K6472&lt;&gt;"MES"),RIGHT(B6472,7),""),2)="PA",RIGHT(IF(AND(K6472&lt;&gt;"H",K6472&lt;&gt;"MES"),RIGHT(B6472,7),""),2)="PE"),LEFT(IF(AND(K6472&lt;&gt;"H",K6472&lt;&gt;"MES"),RIGHT(B6472,10),""),7),IF(AND(K6472&lt;&gt;"H",K6472&lt;&gt;"MES"),RIGHT(B6472,7),""))</f>
        <v>08/2022</v>
      </c>
      <c r="M6472" s="82"/>
      <c r="N6472" s="82"/>
    </row>
    <row r="6473" spans="1:14" x14ac:dyDescent="0.25">
      <c r="A6473" s="170" t="s">
        <v>17852</v>
      </c>
      <c r="B6473" s="170" t="s">
        <v>17853</v>
      </c>
      <c r="C6473" s="170" t="s">
        <v>870</v>
      </c>
      <c r="D6473" s="170" t="s">
        <v>1947</v>
      </c>
      <c r="E6473" s="171" t="s">
        <v>34648</v>
      </c>
      <c r="F6473" s="171" t="s">
        <v>34660</v>
      </c>
      <c r="G6473" s="82"/>
      <c r="H6473" s="96">
        <f t="shared" si="404"/>
        <v>73.52</v>
      </c>
      <c r="I6473" s="96">
        <f t="shared" si="404"/>
        <v>78.48</v>
      </c>
      <c r="J6473" s="91" t="str">
        <f t="shared" si="405"/>
        <v>Sinapi 104252</v>
      </c>
      <c r="K6473" s="91" t="str">
        <f t="shared" si="406"/>
        <v>M2</v>
      </c>
      <c r="L6473" s="166" t="str">
        <f t="shared" si="407"/>
        <v>08/2022</v>
      </c>
      <c r="M6473" s="82"/>
      <c r="N6473" s="82"/>
    </row>
    <row r="6474" spans="1:14" x14ac:dyDescent="0.25">
      <c r="A6474" s="170" t="s">
        <v>17854</v>
      </c>
      <c r="B6474" s="170" t="s">
        <v>17855</v>
      </c>
      <c r="C6474" s="170" t="s">
        <v>870</v>
      </c>
      <c r="D6474" s="170" t="s">
        <v>2067</v>
      </c>
      <c r="E6474" s="171" t="s">
        <v>21190</v>
      </c>
      <c r="F6474" s="171" t="s">
        <v>29392</v>
      </c>
      <c r="G6474" s="82"/>
      <c r="H6474" s="96">
        <f t="shared" si="404"/>
        <v>82.17</v>
      </c>
      <c r="I6474" s="96">
        <f t="shared" si="404"/>
        <v>88.49</v>
      </c>
      <c r="J6474" s="91" t="str">
        <f t="shared" si="405"/>
        <v>Sinapi 104253</v>
      </c>
      <c r="K6474" s="91" t="str">
        <f t="shared" si="406"/>
        <v>M2</v>
      </c>
      <c r="L6474" s="166" t="str">
        <f t="shared" si="407"/>
        <v>08/2022</v>
      </c>
      <c r="M6474" s="82"/>
      <c r="N6474" s="82"/>
    </row>
    <row r="6475" spans="1:14" x14ac:dyDescent="0.25">
      <c r="A6475" s="170" t="s">
        <v>17856</v>
      </c>
      <c r="B6475" s="170" t="s">
        <v>17857</v>
      </c>
      <c r="C6475" s="170" t="s">
        <v>870</v>
      </c>
      <c r="D6475" s="170" t="s">
        <v>2067</v>
      </c>
      <c r="E6475" s="171" t="s">
        <v>34649</v>
      </c>
      <c r="F6475" s="171" t="s">
        <v>22105</v>
      </c>
      <c r="G6475" s="82"/>
      <c r="H6475" s="96">
        <f t="shared" si="404"/>
        <v>85.88</v>
      </c>
      <c r="I6475" s="96">
        <f t="shared" si="404"/>
        <v>92.58</v>
      </c>
      <c r="J6475" s="91" t="str">
        <f t="shared" si="405"/>
        <v>Sinapi 104254</v>
      </c>
      <c r="K6475" s="91" t="str">
        <f t="shared" si="406"/>
        <v>M2</v>
      </c>
      <c r="L6475" s="166" t="str">
        <f t="shared" si="407"/>
        <v>08/2022</v>
      </c>
      <c r="M6475" s="82"/>
      <c r="N6475" s="82"/>
    </row>
    <row r="6476" spans="1:14" x14ac:dyDescent="0.25">
      <c r="A6476" s="170" t="s">
        <v>17858</v>
      </c>
      <c r="B6476" s="170" t="s">
        <v>17859</v>
      </c>
      <c r="C6476" s="170" t="s">
        <v>870</v>
      </c>
      <c r="D6476" s="170" t="s">
        <v>2067</v>
      </c>
      <c r="E6476" s="171" t="s">
        <v>32170</v>
      </c>
      <c r="F6476" s="171" t="s">
        <v>24955</v>
      </c>
      <c r="G6476" s="82"/>
      <c r="H6476" s="96">
        <f t="shared" si="404"/>
        <v>147.30000000000001</v>
      </c>
      <c r="I6476" s="96">
        <f t="shared" si="404"/>
        <v>153.08000000000001</v>
      </c>
      <c r="J6476" s="91" t="str">
        <f t="shared" si="405"/>
        <v>Sinapi 104255</v>
      </c>
      <c r="K6476" s="91" t="str">
        <f t="shared" si="406"/>
        <v>M2</v>
      </c>
      <c r="L6476" s="166" t="str">
        <f t="shared" si="407"/>
        <v>08/2022</v>
      </c>
      <c r="M6476" s="82"/>
      <c r="N6476" s="82"/>
    </row>
    <row r="6477" spans="1:14" x14ac:dyDescent="0.25">
      <c r="A6477" s="170" t="s">
        <v>17860</v>
      </c>
      <c r="B6477" s="170" t="s">
        <v>17861</v>
      </c>
      <c r="C6477" s="170" t="s">
        <v>870</v>
      </c>
      <c r="D6477" s="170" t="s">
        <v>1947</v>
      </c>
      <c r="E6477" s="171" t="s">
        <v>34650</v>
      </c>
      <c r="F6477" s="171" t="s">
        <v>28851</v>
      </c>
      <c r="G6477" s="82"/>
      <c r="H6477" s="96">
        <f t="shared" si="404"/>
        <v>89.55</v>
      </c>
      <c r="I6477" s="96">
        <f t="shared" si="404"/>
        <v>95.35</v>
      </c>
      <c r="J6477" s="91" t="str">
        <f t="shared" si="405"/>
        <v>Sinapi 104256</v>
      </c>
      <c r="K6477" s="91" t="str">
        <f t="shared" si="406"/>
        <v>M2</v>
      </c>
      <c r="L6477" s="166" t="str">
        <f t="shared" si="407"/>
        <v>08/2022</v>
      </c>
      <c r="M6477" s="82"/>
      <c r="N6477" s="82"/>
    </row>
    <row r="6478" spans="1:14" x14ac:dyDescent="0.25">
      <c r="A6478" s="170" t="s">
        <v>17862</v>
      </c>
      <c r="B6478" s="170" t="s">
        <v>17863</v>
      </c>
      <c r="C6478" s="170" t="s">
        <v>870</v>
      </c>
      <c r="D6478" s="170" t="s">
        <v>2067</v>
      </c>
      <c r="E6478" s="171" t="s">
        <v>33051</v>
      </c>
      <c r="F6478" s="171" t="s">
        <v>37746</v>
      </c>
      <c r="G6478" s="82"/>
      <c r="H6478" s="96">
        <f t="shared" si="404"/>
        <v>89.62</v>
      </c>
      <c r="I6478" s="96">
        <f t="shared" si="404"/>
        <v>96.06</v>
      </c>
      <c r="J6478" s="91" t="str">
        <f t="shared" si="405"/>
        <v>Sinapi 104257</v>
      </c>
      <c r="K6478" s="91" t="str">
        <f t="shared" si="406"/>
        <v>M2</v>
      </c>
      <c r="L6478" s="166" t="str">
        <f t="shared" si="407"/>
        <v>08/2022</v>
      </c>
      <c r="M6478" s="82"/>
      <c r="N6478" s="82"/>
    </row>
    <row r="6479" spans="1:14" x14ac:dyDescent="0.25">
      <c r="A6479" s="170" t="s">
        <v>17864</v>
      </c>
      <c r="B6479" s="170" t="s">
        <v>17865</v>
      </c>
      <c r="C6479" s="170" t="s">
        <v>870</v>
      </c>
      <c r="D6479" s="170" t="s">
        <v>2067</v>
      </c>
      <c r="E6479" s="171" t="s">
        <v>29074</v>
      </c>
      <c r="F6479" s="171" t="s">
        <v>22900</v>
      </c>
      <c r="G6479" s="82"/>
      <c r="H6479" s="96">
        <f t="shared" si="404"/>
        <v>94.27</v>
      </c>
      <c r="I6479" s="96">
        <f t="shared" si="404"/>
        <v>101.19</v>
      </c>
      <c r="J6479" s="91" t="str">
        <f t="shared" si="405"/>
        <v>Sinapi 104258</v>
      </c>
      <c r="K6479" s="91" t="str">
        <f t="shared" si="406"/>
        <v>M2</v>
      </c>
      <c r="L6479" s="166" t="str">
        <f t="shared" si="407"/>
        <v>08/2022</v>
      </c>
      <c r="M6479" s="82"/>
      <c r="N6479" s="82"/>
    </row>
    <row r="6480" spans="1:14" x14ac:dyDescent="0.25">
      <c r="A6480" s="170" t="s">
        <v>17866</v>
      </c>
      <c r="B6480" s="170" t="s">
        <v>17867</v>
      </c>
      <c r="C6480" s="170" t="s">
        <v>870</v>
      </c>
      <c r="D6480" s="170" t="s">
        <v>2067</v>
      </c>
      <c r="E6480" s="171" t="s">
        <v>34651</v>
      </c>
      <c r="F6480" s="171" t="s">
        <v>28844</v>
      </c>
      <c r="G6480" s="82"/>
      <c r="H6480" s="96">
        <f t="shared" si="404"/>
        <v>172.54</v>
      </c>
      <c r="I6480" s="96">
        <f t="shared" si="404"/>
        <v>178.42</v>
      </c>
      <c r="J6480" s="91" t="str">
        <f t="shared" si="405"/>
        <v>Sinapi 104259</v>
      </c>
      <c r="K6480" s="91" t="str">
        <f t="shared" si="406"/>
        <v>M2</v>
      </c>
      <c r="L6480" s="166" t="str">
        <f t="shared" si="407"/>
        <v>08/2022</v>
      </c>
      <c r="M6480" s="82"/>
      <c r="N6480" s="82"/>
    </row>
    <row r="6481" spans="1:14" x14ac:dyDescent="0.25">
      <c r="A6481" s="170" t="s">
        <v>17868</v>
      </c>
      <c r="B6481" s="170" t="s">
        <v>17869</v>
      </c>
      <c r="C6481" s="170" t="s">
        <v>870</v>
      </c>
      <c r="D6481" s="170" t="s">
        <v>1947</v>
      </c>
      <c r="E6481" s="171" t="s">
        <v>28894</v>
      </c>
      <c r="F6481" s="171" t="s">
        <v>37747</v>
      </c>
      <c r="G6481" s="82"/>
      <c r="H6481" s="96">
        <f t="shared" si="404"/>
        <v>97.73</v>
      </c>
      <c r="I6481" s="96">
        <f t="shared" si="404"/>
        <v>103.65</v>
      </c>
      <c r="J6481" s="91" t="str">
        <f t="shared" si="405"/>
        <v>Sinapi 104260</v>
      </c>
      <c r="K6481" s="91" t="str">
        <f t="shared" si="406"/>
        <v>M2</v>
      </c>
      <c r="L6481" s="166" t="str">
        <f t="shared" si="407"/>
        <v>08/2022</v>
      </c>
      <c r="M6481" s="82"/>
      <c r="N6481" s="82"/>
    </row>
    <row r="6482" spans="1:14" x14ac:dyDescent="0.25">
      <c r="A6482" s="170" t="s">
        <v>17870</v>
      </c>
      <c r="B6482" s="170" t="s">
        <v>17871</v>
      </c>
      <c r="C6482" s="170" t="s">
        <v>870</v>
      </c>
      <c r="D6482" s="170" t="s">
        <v>2067</v>
      </c>
      <c r="E6482" s="171" t="s">
        <v>28700</v>
      </c>
      <c r="F6482" s="171" t="s">
        <v>29154</v>
      </c>
      <c r="G6482" s="82"/>
      <c r="H6482" s="96">
        <f t="shared" si="404"/>
        <v>113.65</v>
      </c>
      <c r="I6482" s="96">
        <f t="shared" si="404"/>
        <v>122.41</v>
      </c>
      <c r="J6482" s="91" t="str">
        <f t="shared" si="405"/>
        <v>Sinapi 104261</v>
      </c>
      <c r="K6482" s="91" t="str">
        <f t="shared" si="406"/>
        <v>M2</v>
      </c>
      <c r="L6482" s="166" t="str">
        <f t="shared" si="407"/>
        <v>08/2022</v>
      </c>
      <c r="M6482" s="82"/>
      <c r="N6482" s="82"/>
    </row>
    <row r="6483" spans="1:14" x14ac:dyDescent="0.25">
      <c r="A6483" s="170" t="s">
        <v>17872</v>
      </c>
      <c r="B6483" s="170" t="s">
        <v>17873</v>
      </c>
      <c r="C6483" s="170" t="s">
        <v>870</v>
      </c>
      <c r="D6483" s="170" t="s">
        <v>2067</v>
      </c>
      <c r="E6483" s="171" t="s">
        <v>29455</v>
      </c>
      <c r="F6483" s="171" t="s">
        <v>37748</v>
      </c>
      <c r="G6483" s="82"/>
      <c r="H6483" s="96">
        <f t="shared" si="404"/>
        <v>118.77</v>
      </c>
      <c r="I6483" s="96">
        <f t="shared" si="404"/>
        <v>128.07</v>
      </c>
      <c r="J6483" s="91" t="str">
        <f t="shared" si="405"/>
        <v>Sinapi 104262</v>
      </c>
      <c r="K6483" s="91" t="str">
        <f t="shared" si="406"/>
        <v>M2</v>
      </c>
      <c r="L6483" s="166" t="str">
        <f t="shared" si="407"/>
        <v>08/2022</v>
      </c>
      <c r="M6483" s="82"/>
      <c r="N6483" s="82"/>
    </row>
    <row r="6484" spans="1:14" x14ac:dyDescent="0.25">
      <c r="A6484" s="170" t="s">
        <v>17874</v>
      </c>
      <c r="B6484" s="170" t="s">
        <v>17875</v>
      </c>
      <c r="C6484" s="170" t="s">
        <v>870</v>
      </c>
      <c r="D6484" s="170" t="s">
        <v>2067</v>
      </c>
      <c r="E6484" s="171" t="s">
        <v>34652</v>
      </c>
      <c r="F6484" s="171" t="s">
        <v>31730</v>
      </c>
      <c r="G6484" s="82"/>
      <c r="H6484" s="96">
        <f t="shared" si="404"/>
        <v>196.37</v>
      </c>
      <c r="I6484" s="96">
        <f t="shared" si="404"/>
        <v>203.55</v>
      </c>
      <c r="J6484" s="91" t="str">
        <f t="shared" si="405"/>
        <v>Sinapi 104263</v>
      </c>
      <c r="K6484" s="91" t="str">
        <f t="shared" si="406"/>
        <v>M2</v>
      </c>
      <c r="L6484" s="166" t="str">
        <f t="shared" si="407"/>
        <v>08/2022</v>
      </c>
      <c r="M6484" s="82"/>
      <c r="N6484" s="82"/>
    </row>
    <row r="6485" spans="1:14" x14ac:dyDescent="0.25">
      <c r="A6485" s="170" t="s">
        <v>17876</v>
      </c>
      <c r="B6485" s="170" t="s">
        <v>17877</v>
      </c>
      <c r="C6485" s="170" t="s">
        <v>870</v>
      </c>
      <c r="D6485" s="170" t="s">
        <v>1947</v>
      </c>
      <c r="E6485" s="171" t="s">
        <v>34653</v>
      </c>
      <c r="F6485" s="171" t="s">
        <v>37749</v>
      </c>
      <c r="G6485" s="82"/>
      <c r="H6485" s="96">
        <f t="shared" si="404"/>
        <v>115.27</v>
      </c>
      <c r="I6485" s="96">
        <f t="shared" si="404"/>
        <v>122.48</v>
      </c>
      <c r="J6485" s="91" t="str">
        <f t="shared" si="405"/>
        <v>Sinapi 104264</v>
      </c>
      <c r="K6485" s="91" t="str">
        <f t="shared" si="406"/>
        <v>M2</v>
      </c>
      <c r="L6485" s="166" t="str">
        <f t="shared" si="407"/>
        <v>08/2022</v>
      </c>
      <c r="M6485" s="82"/>
      <c r="N6485" s="82"/>
    </row>
    <row r="6486" spans="1:14" x14ac:dyDescent="0.25">
      <c r="A6486" s="170" t="s">
        <v>20569</v>
      </c>
      <c r="B6486" s="170" t="s">
        <v>20570</v>
      </c>
      <c r="C6486" s="170" t="s">
        <v>870</v>
      </c>
      <c r="D6486" s="170" t="s">
        <v>2067</v>
      </c>
      <c r="E6486" s="171" t="s">
        <v>15721</v>
      </c>
      <c r="F6486" s="171" t="s">
        <v>21106</v>
      </c>
      <c r="G6486" s="82"/>
      <c r="H6486" s="96">
        <f t="shared" si="404"/>
        <v>22.69</v>
      </c>
      <c r="I6486" s="96">
        <f t="shared" si="404"/>
        <v>23.78</v>
      </c>
      <c r="J6486" s="91" t="str">
        <f t="shared" si="405"/>
        <v>Sinapi 104627</v>
      </c>
      <c r="K6486" s="91" t="str">
        <f t="shared" si="406"/>
        <v>M2</v>
      </c>
      <c r="L6486" s="166" t="str">
        <f t="shared" si="407"/>
        <v>03/2023</v>
      </c>
      <c r="M6486" s="82"/>
      <c r="N6486" s="82"/>
    </row>
    <row r="6487" spans="1:14" x14ac:dyDescent="0.25">
      <c r="A6487" s="170" t="s">
        <v>20571</v>
      </c>
      <c r="B6487" s="170" t="s">
        <v>20572</v>
      </c>
      <c r="C6487" s="170" t="s">
        <v>870</v>
      </c>
      <c r="D6487" s="170" t="s">
        <v>2067</v>
      </c>
      <c r="E6487" s="171" t="s">
        <v>28878</v>
      </c>
      <c r="F6487" s="171" t="s">
        <v>37750</v>
      </c>
      <c r="G6487" s="82"/>
      <c r="H6487" s="96">
        <f t="shared" si="404"/>
        <v>31.81</v>
      </c>
      <c r="I6487" s="96">
        <f t="shared" si="404"/>
        <v>33.93</v>
      </c>
      <c r="J6487" s="91" t="str">
        <f t="shared" si="405"/>
        <v>Sinapi 104628</v>
      </c>
      <c r="K6487" s="91" t="str">
        <f t="shared" si="406"/>
        <v>M2</v>
      </c>
      <c r="L6487" s="166" t="str">
        <f t="shared" si="407"/>
        <v>03/2023</v>
      </c>
      <c r="M6487" s="82"/>
      <c r="N6487" s="82"/>
    </row>
    <row r="6488" spans="1:14" x14ac:dyDescent="0.25">
      <c r="A6488" s="170" t="s">
        <v>20573</v>
      </c>
      <c r="B6488" s="170" t="s">
        <v>20574</v>
      </c>
      <c r="C6488" s="170" t="s">
        <v>870</v>
      </c>
      <c r="D6488" s="170" t="s">
        <v>2067</v>
      </c>
      <c r="E6488" s="171" t="s">
        <v>31234</v>
      </c>
      <c r="F6488" s="171" t="s">
        <v>21484</v>
      </c>
      <c r="G6488" s="82"/>
      <c r="H6488" s="96">
        <f t="shared" ref="H6488:I6500" si="408">IF(E6488="","",E6488+0)</f>
        <v>37.049999999999997</v>
      </c>
      <c r="I6488" s="96">
        <f t="shared" si="408"/>
        <v>39.76</v>
      </c>
      <c r="J6488" s="91" t="str">
        <f t="shared" si="405"/>
        <v>Sinapi 104629</v>
      </c>
      <c r="K6488" s="91" t="str">
        <f t="shared" si="406"/>
        <v>M2</v>
      </c>
      <c r="L6488" s="166" t="str">
        <f t="shared" si="407"/>
        <v>03/2023</v>
      </c>
      <c r="M6488" s="82"/>
      <c r="N6488" s="82"/>
    </row>
    <row r="6489" spans="1:14" x14ac:dyDescent="0.25">
      <c r="A6489" s="170" t="s">
        <v>20575</v>
      </c>
      <c r="B6489" s="170" t="s">
        <v>20576</v>
      </c>
      <c r="C6489" s="170" t="s">
        <v>870</v>
      </c>
      <c r="D6489" s="170" t="s">
        <v>2067</v>
      </c>
      <c r="E6489" s="171" t="s">
        <v>27247</v>
      </c>
      <c r="F6489" s="171" t="s">
        <v>37751</v>
      </c>
      <c r="G6489" s="82"/>
      <c r="H6489" s="96">
        <f t="shared" si="408"/>
        <v>36.880000000000003</v>
      </c>
      <c r="I6489" s="96">
        <f t="shared" si="408"/>
        <v>38.46</v>
      </c>
      <c r="J6489" s="91" t="str">
        <f t="shared" si="405"/>
        <v>Sinapi 104630</v>
      </c>
      <c r="K6489" s="91" t="str">
        <f t="shared" si="406"/>
        <v>M2</v>
      </c>
      <c r="L6489" s="166" t="str">
        <f t="shared" si="407"/>
        <v>03/2023</v>
      </c>
      <c r="M6489" s="82"/>
      <c r="N6489" s="82"/>
    </row>
    <row r="6490" spans="1:14" x14ac:dyDescent="0.25">
      <c r="A6490" s="170" t="s">
        <v>20577</v>
      </c>
      <c r="B6490" s="170" t="s">
        <v>20578</v>
      </c>
      <c r="C6490" s="170" t="s">
        <v>870</v>
      </c>
      <c r="D6490" s="170" t="s">
        <v>2067</v>
      </c>
      <c r="E6490" s="171" t="s">
        <v>24928</v>
      </c>
      <c r="F6490" s="171" t="s">
        <v>22819</v>
      </c>
      <c r="G6490" s="82"/>
      <c r="H6490" s="96">
        <f t="shared" si="408"/>
        <v>46</v>
      </c>
      <c r="I6490" s="96">
        <f t="shared" si="408"/>
        <v>48.61</v>
      </c>
      <c r="J6490" s="91" t="str">
        <f t="shared" si="405"/>
        <v>Sinapi 104631</v>
      </c>
      <c r="K6490" s="91" t="str">
        <f t="shared" si="406"/>
        <v>M2</v>
      </c>
      <c r="L6490" s="166" t="str">
        <f t="shared" si="407"/>
        <v>03/2023</v>
      </c>
      <c r="M6490" s="82"/>
      <c r="N6490" s="82"/>
    </row>
    <row r="6491" spans="1:14" x14ac:dyDescent="0.25">
      <c r="A6491" s="170" t="s">
        <v>20579</v>
      </c>
      <c r="B6491" s="170" t="s">
        <v>20580</v>
      </c>
      <c r="C6491" s="170" t="s">
        <v>870</v>
      </c>
      <c r="D6491" s="170" t="s">
        <v>2067</v>
      </c>
      <c r="E6491" s="171" t="s">
        <v>34654</v>
      </c>
      <c r="F6491" s="171" t="s">
        <v>29046</v>
      </c>
      <c r="G6491" s="82"/>
      <c r="H6491" s="96">
        <f t="shared" si="408"/>
        <v>51.24</v>
      </c>
      <c r="I6491" s="96">
        <f t="shared" si="408"/>
        <v>54.44</v>
      </c>
      <c r="J6491" s="91" t="str">
        <f t="shared" si="405"/>
        <v>Sinapi 104632</v>
      </c>
      <c r="K6491" s="91" t="str">
        <f t="shared" si="406"/>
        <v>M2</v>
      </c>
      <c r="L6491" s="166" t="str">
        <f t="shared" si="407"/>
        <v>03/2023</v>
      </c>
      <c r="M6491" s="82"/>
      <c r="N6491" s="82"/>
    </row>
    <row r="6492" spans="1:14" x14ac:dyDescent="0.25">
      <c r="A6492" s="170" t="s">
        <v>20581</v>
      </c>
      <c r="B6492" s="170" t="s">
        <v>20582</v>
      </c>
      <c r="C6492" s="170" t="s">
        <v>870</v>
      </c>
      <c r="D6492" s="170" t="s">
        <v>2067</v>
      </c>
      <c r="E6492" s="171" t="s">
        <v>16291</v>
      </c>
      <c r="F6492" s="171" t="s">
        <v>21113</v>
      </c>
      <c r="G6492" s="82"/>
      <c r="H6492" s="96">
        <f t="shared" si="408"/>
        <v>28.81</v>
      </c>
      <c r="I6492" s="96">
        <f t="shared" si="408"/>
        <v>30.6</v>
      </c>
      <c r="J6492" s="91" t="str">
        <f t="shared" si="405"/>
        <v>Sinapi 104633</v>
      </c>
      <c r="K6492" s="91" t="str">
        <f t="shared" si="406"/>
        <v>M2</v>
      </c>
      <c r="L6492" s="166" t="str">
        <f t="shared" si="407"/>
        <v>03/2023</v>
      </c>
      <c r="M6492" s="82"/>
      <c r="N6492" s="82"/>
    </row>
    <row r="6493" spans="1:14" x14ac:dyDescent="0.25">
      <c r="A6493" s="170" t="s">
        <v>20583</v>
      </c>
      <c r="B6493" s="170" t="s">
        <v>20584</v>
      </c>
      <c r="C6493" s="170" t="s">
        <v>870</v>
      </c>
      <c r="D6493" s="170" t="s">
        <v>2067</v>
      </c>
      <c r="E6493" s="171" t="s">
        <v>22998</v>
      </c>
      <c r="F6493" s="171" t="s">
        <v>29667</v>
      </c>
      <c r="G6493" s="82"/>
      <c r="H6493" s="96">
        <f t="shared" si="408"/>
        <v>44.4</v>
      </c>
      <c r="I6493" s="96">
        <f t="shared" si="408"/>
        <v>46.81</v>
      </c>
      <c r="J6493" s="91" t="str">
        <f t="shared" si="405"/>
        <v>Sinapi 104634</v>
      </c>
      <c r="K6493" s="91" t="str">
        <f t="shared" si="406"/>
        <v>M2</v>
      </c>
      <c r="L6493" s="166" t="str">
        <f t="shared" si="407"/>
        <v>03/2023</v>
      </c>
      <c r="M6493" s="82"/>
      <c r="N6493" s="82"/>
    </row>
    <row r="6494" spans="1:14" x14ac:dyDescent="0.25">
      <c r="A6494" s="170" t="s">
        <v>20585</v>
      </c>
      <c r="B6494" s="170" t="s">
        <v>20586</v>
      </c>
      <c r="C6494" s="170" t="s">
        <v>870</v>
      </c>
      <c r="D6494" s="170" t="s">
        <v>2067</v>
      </c>
      <c r="E6494" s="171" t="s">
        <v>22922</v>
      </c>
      <c r="F6494" s="171" t="s">
        <v>33548</v>
      </c>
      <c r="G6494" s="82"/>
      <c r="H6494" s="96">
        <f t="shared" si="408"/>
        <v>57.09</v>
      </c>
      <c r="I6494" s="96">
        <f t="shared" si="408"/>
        <v>60.94</v>
      </c>
      <c r="J6494" s="91" t="str">
        <f t="shared" si="405"/>
        <v>Sinapi 104635</v>
      </c>
      <c r="K6494" s="91" t="str">
        <f t="shared" si="406"/>
        <v>M2</v>
      </c>
      <c r="L6494" s="166" t="str">
        <f t="shared" si="407"/>
        <v>03/2023</v>
      </c>
      <c r="M6494" s="82"/>
      <c r="N6494" s="82"/>
    </row>
    <row r="6495" spans="1:14" x14ac:dyDescent="0.25">
      <c r="A6495" s="170" t="s">
        <v>20587</v>
      </c>
      <c r="B6495" s="170" t="s">
        <v>20588</v>
      </c>
      <c r="C6495" s="170" t="s">
        <v>870</v>
      </c>
      <c r="D6495" s="170" t="s">
        <v>2067</v>
      </c>
      <c r="E6495" s="171" t="s">
        <v>34655</v>
      </c>
      <c r="F6495" s="171" t="s">
        <v>29114</v>
      </c>
      <c r="G6495" s="82"/>
      <c r="H6495" s="96">
        <f t="shared" si="408"/>
        <v>67.94</v>
      </c>
      <c r="I6495" s="96">
        <f t="shared" si="408"/>
        <v>72.239999999999995</v>
      </c>
      <c r="J6495" s="91" t="str">
        <f t="shared" si="405"/>
        <v>Sinapi 104636</v>
      </c>
      <c r="K6495" s="91" t="str">
        <f t="shared" si="406"/>
        <v>M2</v>
      </c>
      <c r="L6495" s="166" t="str">
        <f t="shared" si="407"/>
        <v>03/2023</v>
      </c>
      <c r="M6495" s="82"/>
      <c r="N6495" s="82"/>
    </row>
    <row r="6496" spans="1:14" x14ac:dyDescent="0.25">
      <c r="A6496" s="170" t="s">
        <v>8928</v>
      </c>
      <c r="B6496" s="170" t="s">
        <v>20589</v>
      </c>
      <c r="C6496" s="170" t="s">
        <v>870</v>
      </c>
      <c r="D6496" s="170" t="s">
        <v>2067</v>
      </c>
      <c r="E6496" s="171" t="s">
        <v>34656</v>
      </c>
      <c r="F6496" s="171" t="s">
        <v>37752</v>
      </c>
      <c r="G6496" s="82"/>
      <c r="H6496" s="96">
        <f t="shared" si="408"/>
        <v>262.69</v>
      </c>
      <c r="I6496" s="96">
        <f t="shared" si="408"/>
        <v>267.04000000000002</v>
      </c>
      <c r="J6496" s="91" t="str">
        <f t="shared" si="405"/>
        <v>Sinapi 87244</v>
      </c>
      <c r="K6496" s="91" t="str">
        <f t="shared" si="406"/>
        <v>M2</v>
      </c>
      <c r="L6496" s="166" t="str">
        <f t="shared" si="407"/>
        <v>02/2023</v>
      </c>
      <c r="M6496" s="82"/>
      <c r="N6496" s="82"/>
    </row>
    <row r="6497" spans="1:14" x14ac:dyDescent="0.25">
      <c r="A6497" s="170" t="s">
        <v>8929</v>
      </c>
      <c r="B6497" s="170" t="s">
        <v>20590</v>
      </c>
      <c r="C6497" s="170" t="s">
        <v>870</v>
      </c>
      <c r="D6497" s="170" t="s">
        <v>2067</v>
      </c>
      <c r="E6497" s="171" t="s">
        <v>34657</v>
      </c>
      <c r="F6497" s="171" t="s">
        <v>37753</v>
      </c>
      <c r="G6497" s="82"/>
      <c r="H6497" s="96">
        <f t="shared" si="408"/>
        <v>312.82</v>
      </c>
      <c r="I6497" s="96">
        <f t="shared" si="408"/>
        <v>317.88</v>
      </c>
      <c r="J6497" s="91" t="str">
        <f t="shared" si="405"/>
        <v>Sinapi 87245</v>
      </c>
      <c r="K6497" s="91" t="str">
        <f t="shared" si="406"/>
        <v>M2</v>
      </c>
      <c r="L6497" s="166" t="str">
        <f t="shared" si="407"/>
        <v>02/2023</v>
      </c>
      <c r="M6497" s="82"/>
      <c r="N6497" s="82"/>
    </row>
    <row r="6498" spans="1:14" x14ac:dyDescent="0.25">
      <c r="A6498" s="170" t="s">
        <v>8930</v>
      </c>
      <c r="B6498" s="170" t="s">
        <v>20591</v>
      </c>
      <c r="C6498" s="170" t="s">
        <v>870</v>
      </c>
      <c r="D6498" s="170" t="s">
        <v>2067</v>
      </c>
      <c r="E6498" s="171" t="s">
        <v>34658</v>
      </c>
      <c r="F6498" s="171" t="s">
        <v>28790</v>
      </c>
      <c r="G6498" s="82"/>
      <c r="H6498" s="96">
        <f t="shared" si="408"/>
        <v>75.260000000000005</v>
      </c>
      <c r="I6498" s="96">
        <f t="shared" si="408"/>
        <v>77.27</v>
      </c>
      <c r="J6498" s="91" t="str">
        <f t="shared" si="405"/>
        <v>Sinapi 87265</v>
      </c>
      <c r="K6498" s="91" t="str">
        <f t="shared" si="406"/>
        <v>M2</v>
      </c>
      <c r="L6498" s="166" t="str">
        <f t="shared" si="407"/>
        <v>02/2023</v>
      </c>
      <c r="M6498" s="82"/>
      <c r="N6498" s="82"/>
    </row>
    <row r="6499" spans="1:14" x14ac:dyDescent="0.25">
      <c r="A6499" s="170" t="s">
        <v>8931</v>
      </c>
      <c r="B6499" s="170" t="s">
        <v>20592</v>
      </c>
      <c r="C6499" s="170" t="s">
        <v>870</v>
      </c>
      <c r="D6499" s="170" t="s">
        <v>2067</v>
      </c>
      <c r="E6499" s="171" t="s">
        <v>34659</v>
      </c>
      <c r="F6499" s="171" t="s">
        <v>37754</v>
      </c>
      <c r="G6499" s="82"/>
      <c r="H6499" s="96">
        <f t="shared" si="408"/>
        <v>79.790000000000006</v>
      </c>
      <c r="I6499" s="96">
        <f t="shared" si="408"/>
        <v>82.28</v>
      </c>
      <c r="J6499" s="91" t="str">
        <f t="shared" si="405"/>
        <v>Sinapi 87267</v>
      </c>
      <c r="K6499" s="91" t="str">
        <f t="shared" si="406"/>
        <v>M2</v>
      </c>
      <c r="L6499" s="166" t="str">
        <f t="shared" si="407"/>
        <v>02/2023</v>
      </c>
      <c r="M6499" s="82"/>
      <c r="N6499" s="82"/>
    </row>
    <row r="6500" spans="1:14" x14ac:dyDescent="0.25">
      <c r="A6500" s="170" t="s">
        <v>8932</v>
      </c>
      <c r="B6500" s="170" t="s">
        <v>20593</v>
      </c>
      <c r="C6500" s="170" t="s">
        <v>870</v>
      </c>
      <c r="D6500" s="170" t="s">
        <v>2067</v>
      </c>
      <c r="E6500" s="171" t="s">
        <v>34660</v>
      </c>
      <c r="F6500" s="171" t="s">
        <v>23168</v>
      </c>
      <c r="G6500" s="82"/>
      <c r="H6500" s="96">
        <f t="shared" si="408"/>
        <v>78.48</v>
      </c>
      <c r="I6500" s="96">
        <f t="shared" si="408"/>
        <v>80.87</v>
      </c>
      <c r="J6500" s="91" t="str">
        <f t="shared" si="405"/>
        <v>Sinapi 87269</v>
      </c>
      <c r="K6500" s="91" t="str">
        <f t="shared" si="406"/>
        <v>M2</v>
      </c>
      <c r="L6500" s="166" t="str">
        <f t="shared" si="407"/>
        <v>02/2023</v>
      </c>
      <c r="M6500" s="82"/>
      <c r="N6500" s="82"/>
    </row>
    <row r="6501" spans="1:14" x14ac:dyDescent="0.25">
      <c r="A6501" s="170" t="s">
        <v>8933</v>
      </c>
      <c r="B6501" s="170" t="s">
        <v>20594</v>
      </c>
      <c r="C6501" s="170" t="s">
        <v>870</v>
      </c>
      <c r="D6501" s="170" t="s">
        <v>2067</v>
      </c>
      <c r="E6501" s="171" t="s">
        <v>29014</v>
      </c>
      <c r="F6501" s="171" t="s">
        <v>37755</v>
      </c>
      <c r="H6501" s="96">
        <f t="shared" ref="H6501:H6564" si="409">IF(E6501="","",E6501+0)</f>
        <v>83.07</v>
      </c>
      <c r="I6501" s="96">
        <f t="shared" ref="I6501:I6564" si="410">IF(F6501="","",F6501+0)</f>
        <v>85.96</v>
      </c>
      <c r="J6501" s="91" t="str">
        <f t="shared" ref="J6501:J6564" si="411">IF(OR(H6501="",I6501=""),"",TRIM(CONCATENATE("Sinapi ",A6501)))</f>
        <v>Sinapi 87271</v>
      </c>
      <c r="K6501" s="91" t="str">
        <f t="shared" ref="K6501:K6564" si="412">TRIM(C6501)</f>
        <v>M2</v>
      </c>
      <c r="L6501" s="166" t="str">
        <f t="shared" si="407"/>
        <v>02/2023</v>
      </c>
    </row>
    <row r="6502" spans="1:14" x14ac:dyDescent="0.25">
      <c r="A6502" s="170" t="s">
        <v>8934</v>
      </c>
      <c r="B6502" s="170" t="s">
        <v>20595</v>
      </c>
      <c r="C6502" s="170" t="s">
        <v>870</v>
      </c>
      <c r="D6502" s="170" t="s">
        <v>2067</v>
      </c>
      <c r="E6502" s="171" t="s">
        <v>34661</v>
      </c>
      <c r="F6502" s="171" t="s">
        <v>37756</v>
      </c>
      <c r="H6502" s="96">
        <f t="shared" si="409"/>
        <v>82.05</v>
      </c>
      <c r="I6502" s="96">
        <f t="shared" si="410"/>
        <v>84.6</v>
      </c>
      <c r="J6502" s="91" t="str">
        <f t="shared" si="411"/>
        <v>Sinapi 87273</v>
      </c>
      <c r="K6502" s="91" t="str">
        <f t="shared" si="412"/>
        <v>M2</v>
      </c>
      <c r="L6502" s="166" t="str">
        <f t="shared" si="407"/>
        <v>02/2023</v>
      </c>
    </row>
    <row r="6503" spans="1:14" x14ac:dyDescent="0.25">
      <c r="A6503" s="170" t="s">
        <v>8935</v>
      </c>
      <c r="B6503" s="170" t="s">
        <v>20596</v>
      </c>
      <c r="C6503" s="170" t="s">
        <v>870</v>
      </c>
      <c r="D6503" s="170" t="s">
        <v>2067</v>
      </c>
      <c r="E6503" s="171" t="s">
        <v>34662</v>
      </c>
      <c r="F6503" s="171" t="s">
        <v>37757</v>
      </c>
      <c r="H6503" s="96">
        <f t="shared" si="409"/>
        <v>88.24</v>
      </c>
      <c r="I6503" s="96">
        <f t="shared" si="410"/>
        <v>91.43</v>
      </c>
      <c r="J6503" s="91" t="str">
        <f t="shared" si="411"/>
        <v>Sinapi 87275</v>
      </c>
      <c r="K6503" s="91" t="str">
        <f t="shared" si="412"/>
        <v>M2</v>
      </c>
      <c r="L6503" s="166" t="str">
        <f t="shared" si="407"/>
        <v>02/2023</v>
      </c>
    </row>
    <row r="6504" spans="1:14" x14ac:dyDescent="0.25">
      <c r="A6504" s="170" t="s">
        <v>8936</v>
      </c>
      <c r="B6504" s="170" t="s">
        <v>20597</v>
      </c>
      <c r="C6504" s="170" t="s">
        <v>870</v>
      </c>
      <c r="D6504" s="170" t="s">
        <v>2067</v>
      </c>
      <c r="E6504" s="171" t="s">
        <v>34663</v>
      </c>
      <c r="F6504" s="171" t="s">
        <v>37758</v>
      </c>
      <c r="H6504" s="96">
        <f t="shared" si="409"/>
        <v>378.83</v>
      </c>
      <c r="I6504" s="96">
        <f t="shared" si="410"/>
        <v>383.32</v>
      </c>
      <c r="J6504" s="91" t="str">
        <f t="shared" si="411"/>
        <v>Sinapi 88788</v>
      </c>
      <c r="K6504" s="91" t="str">
        <f t="shared" si="412"/>
        <v>M2</v>
      </c>
      <c r="L6504" s="166" t="str">
        <f t="shared" si="407"/>
        <v>02/2023</v>
      </c>
    </row>
    <row r="6505" spans="1:14" x14ac:dyDescent="0.25">
      <c r="A6505" s="170" t="s">
        <v>8937</v>
      </c>
      <c r="B6505" s="170" t="s">
        <v>20598</v>
      </c>
      <c r="C6505" s="170" t="s">
        <v>870</v>
      </c>
      <c r="D6505" s="170" t="s">
        <v>2067</v>
      </c>
      <c r="E6505" s="171" t="s">
        <v>34664</v>
      </c>
      <c r="F6505" s="171" t="s">
        <v>37759</v>
      </c>
      <c r="H6505" s="96">
        <f t="shared" si="409"/>
        <v>453.2</v>
      </c>
      <c r="I6505" s="96">
        <f t="shared" si="410"/>
        <v>458.4</v>
      </c>
      <c r="J6505" s="91" t="str">
        <f t="shared" si="411"/>
        <v>Sinapi 88789</v>
      </c>
      <c r="K6505" s="91" t="str">
        <f t="shared" si="412"/>
        <v>M2</v>
      </c>
      <c r="L6505" s="166" t="str">
        <f t="shared" si="407"/>
        <v>02/2023</v>
      </c>
    </row>
    <row r="6506" spans="1:14" x14ac:dyDescent="0.25">
      <c r="A6506" s="170" t="s">
        <v>8938</v>
      </c>
      <c r="B6506" s="170" t="s">
        <v>12095</v>
      </c>
      <c r="C6506" s="170" t="s">
        <v>870</v>
      </c>
      <c r="D6506" s="170" t="s">
        <v>2067</v>
      </c>
      <c r="E6506" s="171" t="s">
        <v>26214</v>
      </c>
      <c r="F6506" s="171" t="s">
        <v>37760</v>
      </c>
      <c r="H6506" s="96">
        <f t="shared" si="409"/>
        <v>76.38</v>
      </c>
      <c r="I6506" s="96">
        <f t="shared" si="410"/>
        <v>78.52</v>
      </c>
      <c r="J6506" s="91" t="str">
        <f t="shared" si="411"/>
        <v>Sinapi 89045</v>
      </c>
      <c r="K6506" s="91" t="str">
        <f t="shared" si="412"/>
        <v>M2</v>
      </c>
      <c r="L6506" s="166" t="str">
        <f t="shared" si="407"/>
        <v>11/2014</v>
      </c>
    </row>
    <row r="6507" spans="1:14" x14ac:dyDescent="0.25">
      <c r="A6507" s="170" t="s">
        <v>8939</v>
      </c>
      <c r="B6507" s="170" t="s">
        <v>14742</v>
      </c>
      <c r="C6507" s="170" t="s">
        <v>870</v>
      </c>
      <c r="D6507" s="170" t="s">
        <v>2067</v>
      </c>
      <c r="E6507" s="171" t="s">
        <v>26214</v>
      </c>
      <c r="F6507" s="171" t="s">
        <v>37760</v>
      </c>
      <c r="H6507" s="96">
        <f t="shared" si="409"/>
        <v>76.38</v>
      </c>
      <c r="I6507" s="96">
        <f t="shared" si="410"/>
        <v>78.52</v>
      </c>
      <c r="J6507" s="91" t="str">
        <f t="shared" si="411"/>
        <v>Sinapi 89170</v>
      </c>
      <c r="K6507" s="91" t="str">
        <f t="shared" si="412"/>
        <v>M2</v>
      </c>
      <c r="L6507" s="166" t="str">
        <f t="shared" si="407"/>
        <v>11/2014</v>
      </c>
    </row>
    <row r="6508" spans="1:14" x14ac:dyDescent="0.25">
      <c r="A6508" s="170" t="s">
        <v>8940</v>
      </c>
      <c r="B6508" s="170" t="s">
        <v>20599</v>
      </c>
      <c r="C6508" s="170" t="s">
        <v>870</v>
      </c>
      <c r="D6508" s="170" t="s">
        <v>2067</v>
      </c>
      <c r="E6508" s="171" t="s">
        <v>34665</v>
      </c>
      <c r="F6508" s="171" t="s">
        <v>29058</v>
      </c>
      <c r="H6508" s="96">
        <f t="shared" si="409"/>
        <v>62.22</v>
      </c>
      <c r="I6508" s="96">
        <f t="shared" si="410"/>
        <v>64.23</v>
      </c>
      <c r="J6508" s="91" t="str">
        <f t="shared" si="411"/>
        <v>Sinapi 93393</v>
      </c>
      <c r="K6508" s="91" t="str">
        <f t="shared" si="412"/>
        <v>M2</v>
      </c>
      <c r="L6508" s="166" t="str">
        <f t="shared" si="407"/>
        <v>02/2023</v>
      </c>
    </row>
    <row r="6509" spans="1:14" x14ac:dyDescent="0.25">
      <c r="A6509" s="170" t="s">
        <v>8941</v>
      </c>
      <c r="B6509" s="170" t="s">
        <v>20600</v>
      </c>
      <c r="C6509" s="170" t="s">
        <v>870</v>
      </c>
      <c r="D6509" s="170" t="s">
        <v>2067</v>
      </c>
      <c r="E6509" s="171" t="s">
        <v>33698</v>
      </c>
      <c r="F6509" s="171" t="s">
        <v>21369</v>
      </c>
      <c r="H6509" s="96">
        <f t="shared" si="409"/>
        <v>66.67</v>
      </c>
      <c r="I6509" s="96">
        <f t="shared" si="410"/>
        <v>69.16</v>
      </c>
      <c r="J6509" s="91" t="str">
        <f t="shared" si="411"/>
        <v>Sinapi 93395</v>
      </c>
      <c r="K6509" s="91" t="str">
        <f t="shared" si="412"/>
        <v>M2</v>
      </c>
      <c r="L6509" s="166" t="str">
        <f t="shared" si="407"/>
        <v>02/2023</v>
      </c>
    </row>
    <row r="6510" spans="1:14" x14ac:dyDescent="0.25">
      <c r="A6510" s="170" t="s">
        <v>8942</v>
      </c>
      <c r="B6510" s="170" t="s">
        <v>20601</v>
      </c>
      <c r="C6510" s="170" t="s">
        <v>870</v>
      </c>
      <c r="D6510" s="170" t="s">
        <v>2067</v>
      </c>
      <c r="E6510" s="171" t="s">
        <v>21593</v>
      </c>
      <c r="F6510" s="171" t="s">
        <v>33148</v>
      </c>
      <c r="H6510" s="96">
        <f t="shared" si="409"/>
        <v>74.2</v>
      </c>
      <c r="I6510" s="96">
        <f t="shared" si="410"/>
        <v>76.209999999999994</v>
      </c>
      <c r="J6510" s="91" t="str">
        <f t="shared" si="411"/>
        <v>Sinapi 99195</v>
      </c>
      <c r="K6510" s="91" t="str">
        <f t="shared" si="412"/>
        <v>M2</v>
      </c>
      <c r="L6510" s="166" t="str">
        <f t="shared" si="407"/>
        <v>02/2023</v>
      </c>
    </row>
    <row r="6511" spans="1:14" x14ac:dyDescent="0.25">
      <c r="A6511" s="170" t="s">
        <v>8943</v>
      </c>
      <c r="B6511" s="170" t="s">
        <v>20602</v>
      </c>
      <c r="C6511" s="170" t="s">
        <v>870</v>
      </c>
      <c r="D6511" s="170" t="s">
        <v>2067</v>
      </c>
      <c r="E6511" s="171" t="s">
        <v>22773</v>
      </c>
      <c r="F6511" s="171" t="s">
        <v>37761</v>
      </c>
      <c r="H6511" s="96">
        <f t="shared" si="409"/>
        <v>78.650000000000006</v>
      </c>
      <c r="I6511" s="96">
        <f t="shared" si="410"/>
        <v>81.14</v>
      </c>
      <c r="J6511" s="91" t="str">
        <f t="shared" si="411"/>
        <v>Sinapi 99198</v>
      </c>
      <c r="K6511" s="91" t="str">
        <f t="shared" si="412"/>
        <v>M2</v>
      </c>
      <c r="L6511" s="166" t="str">
        <f t="shared" si="407"/>
        <v>02/2023</v>
      </c>
    </row>
    <row r="6512" spans="1:14" x14ac:dyDescent="0.25">
      <c r="A6512" s="170" t="s">
        <v>20603</v>
      </c>
      <c r="B6512" s="170" t="s">
        <v>20604</v>
      </c>
      <c r="C6512" s="170" t="s">
        <v>870</v>
      </c>
      <c r="D6512" s="170" t="s">
        <v>2067</v>
      </c>
      <c r="E6512" s="171" t="s">
        <v>28904</v>
      </c>
      <c r="F6512" s="171" t="s">
        <v>32981</v>
      </c>
      <c r="H6512" s="96">
        <f t="shared" si="409"/>
        <v>102.27</v>
      </c>
      <c r="I6512" s="96">
        <f t="shared" si="410"/>
        <v>104.97</v>
      </c>
      <c r="J6512" s="91" t="str">
        <f t="shared" si="411"/>
        <v>Sinapi 104611</v>
      </c>
      <c r="K6512" s="91" t="str">
        <f t="shared" si="412"/>
        <v>M2</v>
      </c>
      <c r="L6512" s="166" t="str">
        <f t="shared" si="407"/>
        <v>02/2023</v>
      </c>
    </row>
    <row r="6513" spans="1:12" x14ac:dyDescent="0.25">
      <c r="A6513" s="170" t="s">
        <v>20605</v>
      </c>
      <c r="B6513" s="170" t="s">
        <v>20606</v>
      </c>
      <c r="C6513" s="170" t="s">
        <v>870</v>
      </c>
      <c r="D6513" s="170" t="s">
        <v>2067</v>
      </c>
      <c r="E6513" s="171" t="s">
        <v>34666</v>
      </c>
      <c r="F6513" s="171" t="s">
        <v>37762</v>
      </c>
      <c r="H6513" s="96">
        <f t="shared" si="409"/>
        <v>102.66</v>
      </c>
      <c r="I6513" s="96">
        <f t="shared" si="410"/>
        <v>105.48</v>
      </c>
      <c r="J6513" s="91" t="str">
        <f t="shared" si="411"/>
        <v>Sinapi 104612</v>
      </c>
      <c r="K6513" s="91" t="str">
        <f t="shared" si="412"/>
        <v>M2</v>
      </c>
      <c r="L6513" s="166" t="str">
        <f t="shared" si="407"/>
        <v>02/2023</v>
      </c>
    </row>
    <row r="6514" spans="1:12" x14ac:dyDescent="0.25">
      <c r="A6514" s="170" t="s">
        <v>20607</v>
      </c>
      <c r="B6514" s="170" t="s">
        <v>20608</v>
      </c>
      <c r="C6514" s="170" t="s">
        <v>870</v>
      </c>
      <c r="D6514" s="170" t="s">
        <v>2067</v>
      </c>
      <c r="E6514" s="171" t="s">
        <v>23113</v>
      </c>
      <c r="F6514" s="171" t="s">
        <v>37763</v>
      </c>
      <c r="H6514" s="96">
        <f t="shared" si="409"/>
        <v>78.47</v>
      </c>
      <c r="I6514" s="96">
        <f t="shared" si="410"/>
        <v>80.78</v>
      </c>
      <c r="J6514" s="91" t="str">
        <f t="shared" si="411"/>
        <v>Sinapi 104613</v>
      </c>
      <c r="K6514" s="91" t="str">
        <f t="shared" si="412"/>
        <v>M2</v>
      </c>
      <c r="L6514" s="166" t="str">
        <f t="shared" si="407"/>
        <v>02/2023</v>
      </c>
    </row>
    <row r="6515" spans="1:12" x14ac:dyDescent="0.25">
      <c r="A6515" s="170" t="s">
        <v>20609</v>
      </c>
      <c r="B6515" s="170" t="s">
        <v>20610</v>
      </c>
      <c r="C6515" s="170" t="s">
        <v>870</v>
      </c>
      <c r="D6515" s="170" t="s">
        <v>2067</v>
      </c>
      <c r="E6515" s="171" t="s">
        <v>31550</v>
      </c>
      <c r="F6515" s="171" t="s">
        <v>23331</v>
      </c>
      <c r="H6515" s="96">
        <f t="shared" si="409"/>
        <v>84.48</v>
      </c>
      <c r="I6515" s="96">
        <f t="shared" si="410"/>
        <v>87.4</v>
      </c>
      <c r="J6515" s="91" t="str">
        <f t="shared" si="411"/>
        <v>Sinapi 104614</v>
      </c>
      <c r="K6515" s="91" t="str">
        <f t="shared" si="412"/>
        <v>M2</v>
      </c>
      <c r="L6515" s="166" t="str">
        <f t="shared" si="407"/>
        <v>02/2023</v>
      </c>
    </row>
    <row r="6516" spans="1:12" x14ac:dyDescent="0.25">
      <c r="A6516" s="170" t="s">
        <v>20611</v>
      </c>
      <c r="B6516" s="170" t="s">
        <v>20612</v>
      </c>
      <c r="C6516" s="170" t="s">
        <v>870</v>
      </c>
      <c r="D6516" s="170" t="s">
        <v>2067</v>
      </c>
      <c r="E6516" s="171" t="s">
        <v>34667</v>
      </c>
      <c r="F6516" s="171" t="s">
        <v>37764</v>
      </c>
      <c r="H6516" s="96">
        <f t="shared" si="409"/>
        <v>261.57</v>
      </c>
      <c r="I6516" s="96">
        <f t="shared" si="410"/>
        <v>265.31</v>
      </c>
      <c r="J6516" s="91" t="str">
        <f t="shared" si="411"/>
        <v>Sinapi 104615</v>
      </c>
      <c r="K6516" s="91" t="str">
        <f t="shared" si="412"/>
        <v>M2</v>
      </c>
      <c r="L6516" s="166" t="str">
        <f t="shared" si="407"/>
        <v>02/2023</v>
      </c>
    </row>
    <row r="6517" spans="1:12" x14ac:dyDescent="0.25">
      <c r="A6517" s="170" t="s">
        <v>20613</v>
      </c>
      <c r="B6517" s="170" t="s">
        <v>20614</v>
      </c>
      <c r="C6517" s="170" t="s">
        <v>870</v>
      </c>
      <c r="D6517" s="170" t="s">
        <v>2067</v>
      </c>
      <c r="E6517" s="171" t="s">
        <v>34668</v>
      </c>
      <c r="F6517" s="171" t="s">
        <v>37765</v>
      </c>
      <c r="H6517" s="96">
        <f t="shared" si="409"/>
        <v>383.51</v>
      </c>
      <c r="I6517" s="96">
        <f t="shared" si="410"/>
        <v>387.25</v>
      </c>
      <c r="J6517" s="91" t="str">
        <f t="shared" si="411"/>
        <v>Sinapi 104616</v>
      </c>
      <c r="K6517" s="91" t="str">
        <f t="shared" si="412"/>
        <v>M2</v>
      </c>
      <c r="L6517" s="166" t="str">
        <f t="shared" si="407"/>
        <v>02/2023</v>
      </c>
    </row>
    <row r="6518" spans="1:12" x14ac:dyDescent="0.25">
      <c r="A6518" s="170" t="s">
        <v>20615</v>
      </c>
      <c r="B6518" s="170" t="s">
        <v>20616</v>
      </c>
      <c r="C6518" s="170" t="s">
        <v>870</v>
      </c>
      <c r="D6518" s="170" t="s">
        <v>2067</v>
      </c>
      <c r="E6518" s="171" t="s">
        <v>29006</v>
      </c>
      <c r="F6518" s="171" t="s">
        <v>37766</v>
      </c>
      <c r="H6518" s="96">
        <f t="shared" si="409"/>
        <v>270.45</v>
      </c>
      <c r="I6518" s="96">
        <f t="shared" si="410"/>
        <v>275.2</v>
      </c>
      <c r="J6518" s="91" t="str">
        <f t="shared" si="411"/>
        <v>Sinapi 104617</v>
      </c>
      <c r="K6518" s="91" t="str">
        <f t="shared" si="412"/>
        <v>M2</v>
      </c>
      <c r="L6518" s="166" t="str">
        <f t="shared" si="407"/>
        <v>02/2023</v>
      </c>
    </row>
    <row r="6519" spans="1:12" x14ac:dyDescent="0.25">
      <c r="A6519" s="170" t="s">
        <v>20617</v>
      </c>
      <c r="B6519" s="170" t="s">
        <v>20618</v>
      </c>
      <c r="C6519" s="170" t="s">
        <v>870</v>
      </c>
      <c r="D6519" s="170" t="s">
        <v>2067</v>
      </c>
      <c r="E6519" s="171" t="s">
        <v>34669</v>
      </c>
      <c r="F6519" s="171" t="s">
        <v>37767</v>
      </c>
      <c r="H6519" s="96">
        <f t="shared" si="409"/>
        <v>392.39</v>
      </c>
      <c r="I6519" s="96">
        <f t="shared" si="410"/>
        <v>397.14</v>
      </c>
      <c r="J6519" s="91" t="str">
        <f t="shared" si="411"/>
        <v>Sinapi 104618</v>
      </c>
      <c r="K6519" s="91" t="str">
        <f t="shared" si="412"/>
        <v>M2</v>
      </c>
      <c r="L6519" s="166" t="str">
        <f t="shared" si="407"/>
        <v>02/2023</v>
      </c>
    </row>
    <row r="6520" spans="1:12" x14ac:dyDescent="0.25">
      <c r="A6520" s="170" t="s">
        <v>20619</v>
      </c>
      <c r="B6520" s="170" t="s">
        <v>20620</v>
      </c>
      <c r="C6520" s="170" t="s">
        <v>385</v>
      </c>
      <c r="D6520" s="170" t="s">
        <v>2067</v>
      </c>
      <c r="E6520" s="171" t="s">
        <v>22718</v>
      </c>
      <c r="F6520" s="171" t="s">
        <v>37768</v>
      </c>
      <c r="H6520" s="96">
        <f t="shared" si="409"/>
        <v>28.24</v>
      </c>
      <c r="I6520" s="96">
        <f t="shared" si="410"/>
        <v>28.57</v>
      </c>
      <c r="J6520" s="91" t="str">
        <f t="shared" si="411"/>
        <v>Sinapi 104619</v>
      </c>
      <c r="K6520" s="91" t="str">
        <f t="shared" si="412"/>
        <v>M</v>
      </c>
      <c r="L6520" s="166" t="str">
        <f t="shared" si="407"/>
        <v>02/2023</v>
      </c>
    </row>
    <row r="6521" spans="1:12" x14ac:dyDescent="0.25">
      <c r="A6521" s="170" t="s">
        <v>12316</v>
      </c>
      <c r="B6521" s="170" t="s">
        <v>12317</v>
      </c>
      <c r="C6521" s="170" t="s">
        <v>385</v>
      </c>
      <c r="D6521" s="170" t="s">
        <v>2067</v>
      </c>
      <c r="E6521" s="171" t="s">
        <v>34670</v>
      </c>
      <c r="F6521" s="171" t="s">
        <v>37769</v>
      </c>
      <c r="H6521" s="96">
        <f t="shared" si="409"/>
        <v>209.6</v>
      </c>
      <c r="I6521" s="96">
        <f t="shared" si="410"/>
        <v>212.18</v>
      </c>
      <c r="J6521" s="91" t="str">
        <f t="shared" si="411"/>
        <v>Sinapi 101965</v>
      </c>
      <c r="K6521" s="91" t="str">
        <f t="shared" si="412"/>
        <v>M</v>
      </c>
      <c r="L6521" s="166" t="str">
        <f t="shared" si="407"/>
        <v>11/2020</v>
      </c>
    </row>
    <row r="6522" spans="1:12" x14ac:dyDescent="0.25">
      <c r="A6522" s="170" t="s">
        <v>12318</v>
      </c>
      <c r="B6522" s="170" t="s">
        <v>12319</v>
      </c>
      <c r="C6522" s="170" t="s">
        <v>385</v>
      </c>
      <c r="D6522" s="170" t="s">
        <v>2067</v>
      </c>
      <c r="E6522" s="171" t="s">
        <v>34671</v>
      </c>
      <c r="F6522" s="171" t="s">
        <v>37770</v>
      </c>
      <c r="H6522" s="96">
        <f t="shared" si="409"/>
        <v>287.41000000000003</v>
      </c>
      <c r="I6522" s="96">
        <f t="shared" si="410"/>
        <v>288.58999999999997</v>
      </c>
      <c r="J6522" s="91" t="str">
        <f t="shared" si="411"/>
        <v>Sinapi 101966</v>
      </c>
      <c r="K6522" s="91" t="str">
        <f t="shared" si="412"/>
        <v>M</v>
      </c>
      <c r="L6522" s="166" t="str">
        <f t="shared" si="407"/>
        <v>11/2020</v>
      </c>
    </row>
    <row r="6523" spans="1:12" x14ac:dyDescent="0.25">
      <c r="A6523" s="170" t="s">
        <v>12320</v>
      </c>
      <c r="B6523" s="170" t="s">
        <v>12321</v>
      </c>
      <c r="C6523" s="170" t="s">
        <v>385</v>
      </c>
      <c r="D6523" s="170" t="s">
        <v>2067</v>
      </c>
      <c r="E6523" s="171" t="s">
        <v>23209</v>
      </c>
      <c r="F6523" s="171" t="s">
        <v>33771</v>
      </c>
      <c r="H6523" s="96">
        <f t="shared" si="409"/>
        <v>47.78</v>
      </c>
      <c r="I6523" s="96">
        <f t="shared" si="410"/>
        <v>48.46</v>
      </c>
      <c r="J6523" s="91" t="str">
        <f t="shared" si="411"/>
        <v>Sinapi 101979</v>
      </c>
      <c r="K6523" s="91" t="str">
        <f t="shared" si="412"/>
        <v>M</v>
      </c>
      <c r="L6523" s="166" t="str">
        <f t="shared" si="407"/>
        <v>11/2020</v>
      </c>
    </row>
    <row r="6524" spans="1:12" x14ac:dyDescent="0.25">
      <c r="A6524" s="170" t="s">
        <v>8944</v>
      </c>
      <c r="B6524" s="170" t="s">
        <v>34672</v>
      </c>
      <c r="C6524" s="170" t="s">
        <v>870</v>
      </c>
      <c r="D6524" s="170" t="s">
        <v>2067</v>
      </c>
      <c r="E6524" s="171" t="s">
        <v>22764</v>
      </c>
      <c r="F6524" s="171" t="s">
        <v>37771</v>
      </c>
      <c r="H6524" s="96">
        <f t="shared" si="409"/>
        <v>147.54</v>
      </c>
      <c r="I6524" s="96">
        <f t="shared" si="410"/>
        <v>153.83000000000001</v>
      </c>
      <c r="J6524" s="91" t="str">
        <f t="shared" si="411"/>
        <v>Sinapi 96112</v>
      </c>
      <c r="K6524" s="91" t="str">
        <f t="shared" si="412"/>
        <v>M2</v>
      </c>
      <c r="L6524" s="166" t="str">
        <f t="shared" si="407"/>
        <v>08/2023</v>
      </c>
    </row>
    <row r="6525" spans="1:12" x14ac:dyDescent="0.25">
      <c r="A6525" s="170" t="s">
        <v>8945</v>
      </c>
      <c r="B6525" s="170" t="s">
        <v>34673</v>
      </c>
      <c r="C6525" s="170" t="s">
        <v>385</v>
      </c>
      <c r="D6525" s="170" t="s">
        <v>2067</v>
      </c>
      <c r="E6525" s="171" t="s">
        <v>28885</v>
      </c>
      <c r="F6525" s="171" t="s">
        <v>37772</v>
      </c>
      <c r="H6525" s="96">
        <f t="shared" si="409"/>
        <v>42.19</v>
      </c>
      <c r="I6525" s="96">
        <f t="shared" si="410"/>
        <v>43.57</v>
      </c>
      <c r="J6525" s="91" t="str">
        <f t="shared" si="411"/>
        <v>Sinapi 96122</v>
      </c>
      <c r="K6525" s="91" t="str">
        <f t="shared" si="412"/>
        <v>M</v>
      </c>
      <c r="L6525" s="166" t="str">
        <f t="shared" si="407"/>
        <v>08/2023</v>
      </c>
    </row>
    <row r="6526" spans="1:12" x14ac:dyDescent="0.25">
      <c r="A6526" s="170" t="s">
        <v>34674</v>
      </c>
      <c r="B6526" s="170" t="s">
        <v>34675</v>
      </c>
      <c r="C6526" s="170" t="s">
        <v>870</v>
      </c>
      <c r="D6526" s="170" t="s">
        <v>2067</v>
      </c>
      <c r="E6526" s="171" t="s">
        <v>34676</v>
      </c>
      <c r="F6526" s="171" t="s">
        <v>37773</v>
      </c>
      <c r="H6526" s="96">
        <f t="shared" si="409"/>
        <v>187.32</v>
      </c>
      <c r="I6526" s="96">
        <f t="shared" si="410"/>
        <v>193.13</v>
      </c>
      <c r="J6526" s="91" t="str">
        <f t="shared" si="411"/>
        <v>Sinapi 104756</v>
      </c>
      <c r="K6526" s="91" t="str">
        <f t="shared" si="412"/>
        <v>M2</v>
      </c>
      <c r="L6526" s="166" t="str">
        <f t="shared" si="407"/>
        <v>08/2023</v>
      </c>
    </row>
    <row r="6527" spans="1:12" x14ac:dyDescent="0.25">
      <c r="A6527" s="170" t="s">
        <v>8946</v>
      </c>
      <c r="B6527" s="170" t="s">
        <v>34677</v>
      </c>
      <c r="C6527" s="170" t="s">
        <v>870</v>
      </c>
      <c r="D6527" s="170" t="s">
        <v>1947</v>
      </c>
      <c r="E6527" s="171" t="s">
        <v>34678</v>
      </c>
      <c r="F6527" s="171" t="s">
        <v>33063</v>
      </c>
      <c r="H6527" s="96">
        <f t="shared" si="409"/>
        <v>55.13</v>
      </c>
      <c r="I6527" s="96">
        <f t="shared" si="410"/>
        <v>58.61</v>
      </c>
      <c r="J6527" s="91" t="str">
        <f t="shared" si="411"/>
        <v>Sinapi 96109</v>
      </c>
      <c r="K6527" s="91" t="str">
        <f t="shared" si="412"/>
        <v>M2</v>
      </c>
      <c r="L6527" s="166" t="str">
        <f t="shared" si="407"/>
        <v>08/2023</v>
      </c>
    </row>
    <row r="6528" spans="1:12" x14ac:dyDescent="0.25">
      <c r="A6528" s="170" t="s">
        <v>8947</v>
      </c>
      <c r="B6528" s="170" t="s">
        <v>34679</v>
      </c>
      <c r="C6528" s="170" t="s">
        <v>870</v>
      </c>
      <c r="D6528" s="170" t="s">
        <v>1947</v>
      </c>
      <c r="E6528" s="171" t="s">
        <v>34680</v>
      </c>
      <c r="F6528" s="171" t="s">
        <v>37774</v>
      </c>
      <c r="H6528" s="96">
        <f t="shared" si="409"/>
        <v>99.55</v>
      </c>
      <c r="I6528" s="96">
        <f t="shared" si="410"/>
        <v>101.9</v>
      </c>
      <c r="J6528" s="91" t="str">
        <f t="shared" si="411"/>
        <v>Sinapi 96110</v>
      </c>
      <c r="K6528" s="91" t="str">
        <f t="shared" si="412"/>
        <v>M2</v>
      </c>
      <c r="L6528" s="166" t="str">
        <f t="shared" si="407"/>
        <v>08/2023</v>
      </c>
    </row>
    <row r="6529" spans="1:12" x14ac:dyDescent="0.25">
      <c r="A6529" s="170" t="s">
        <v>8948</v>
      </c>
      <c r="B6529" s="170" t="s">
        <v>34681</v>
      </c>
      <c r="C6529" s="170" t="s">
        <v>870</v>
      </c>
      <c r="D6529" s="170" t="s">
        <v>1947</v>
      </c>
      <c r="E6529" s="171" t="s">
        <v>34682</v>
      </c>
      <c r="F6529" s="171" t="s">
        <v>35393</v>
      </c>
      <c r="H6529" s="96">
        <f t="shared" si="409"/>
        <v>50.86</v>
      </c>
      <c r="I6529" s="96">
        <f t="shared" si="410"/>
        <v>53.86</v>
      </c>
      <c r="J6529" s="91" t="str">
        <f t="shared" si="411"/>
        <v>Sinapi 96113</v>
      </c>
      <c r="K6529" s="91" t="str">
        <f t="shared" si="412"/>
        <v>M2</v>
      </c>
      <c r="L6529" s="166" t="str">
        <f t="shared" si="407"/>
        <v>08/2023</v>
      </c>
    </row>
    <row r="6530" spans="1:12" x14ac:dyDescent="0.25">
      <c r="A6530" s="170" t="s">
        <v>8949</v>
      </c>
      <c r="B6530" s="170" t="s">
        <v>34683</v>
      </c>
      <c r="C6530" s="170" t="s">
        <v>870</v>
      </c>
      <c r="D6530" s="170" t="s">
        <v>1947</v>
      </c>
      <c r="E6530" s="171" t="s">
        <v>34684</v>
      </c>
      <c r="F6530" s="171" t="s">
        <v>37775</v>
      </c>
      <c r="H6530" s="96">
        <f t="shared" si="409"/>
        <v>104.66</v>
      </c>
      <c r="I6530" s="96">
        <f t="shared" si="410"/>
        <v>106.72</v>
      </c>
      <c r="J6530" s="91" t="str">
        <f t="shared" si="411"/>
        <v>Sinapi 96114</v>
      </c>
      <c r="K6530" s="91" t="str">
        <f t="shared" si="412"/>
        <v>M2</v>
      </c>
      <c r="L6530" s="166" t="str">
        <f t="shared" si="407"/>
        <v>08/2023</v>
      </c>
    </row>
    <row r="6531" spans="1:12" x14ac:dyDescent="0.25">
      <c r="A6531" s="170" t="s">
        <v>8950</v>
      </c>
      <c r="B6531" s="170" t="s">
        <v>34685</v>
      </c>
      <c r="C6531" s="170" t="s">
        <v>385</v>
      </c>
      <c r="D6531" s="170" t="s">
        <v>2067</v>
      </c>
      <c r="E6531" s="171" t="s">
        <v>28158</v>
      </c>
      <c r="F6531" s="171" t="s">
        <v>11610</v>
      </c>
      <c r="H6531" s="96">
        <f t="shared" si="409"/>
        <v>3.5</v>
      </c>
      <c r="I6531" s="96">
        <f t="shared" si="410"/>
        <v>3.68</v>
      </c>
      <c r="J6531" s="91" t="str">
        <f t="shared" si="411"/>
        <v>Sinapi 96120</v>
      </c>
      <c r="K6531" s="91" t="str">
        <f t="shared" si="412"/>
        <v>M</v>
      </c>
      <c r="L6531" s="166" t="str">
        <f t="shared" si="407"/>
        <v>08/2023</v>
      </c>
    </row>
    <row r="6532" spans="1:12" x14ac:dyDescent="0.25">
      <c r="A6532" s="170" t="s">
        <v>8951</v>
      </c>
      <c r="B6532" s="170" t="s">
        <v>34686</v>
      </c>
      <c r="C6532" s="170" t="s">
        <v>385</v>
      </c>
      <c r="D6532" s="170" t="s">
        <v>1947</v>
      </c>
      <c r="E6532" s="171" t="s">
        <v>22772</v>
      </c>
      <c r="F6532" s="171" t="s">
        <v>37776</v>
      </c>
      <c r="H6532" s="96">
        <f t="shared" si="409"/>
        <v>37.99</v>
      </c>
      <c r="I6532" s="96">
        <f t="shared" si="410"/>
        <v>38.92</v>
      </c>
      <c r="J6532" s="91" t="str">
        <f t="shared" si="411"/>
        <v>Sinapi 96123</v>
      </c>
      <c r="K6532" s="91" t="str">
        <f t="shared" si="412"/>
        <v>M</v>
      </c>
      <c r="L6532" s="166" t="str">
        <f t="shared" si="407"/>
        <v>08/2023</v>
      </c>
    </row>
    <row r="6533" spans="1:12" x14ac:dyDescent="0.25">
      <c r="A6533" s="170" t="s">
        <v>8952</v>
      </c>
      <c r="B6533" s="170" t="s">
        <v>34687</v>
      </c>
      <c r="C6533" s="170" t="s">
        <v>870</v>
      </c>
      <c r="D6533" s="170" t="s">
        <v>1947</v>
      </c>
      <c r="E6533" s="171" t="s">
        <v>34688</v>
      </c>
      <c r="F6533" s="171" t="s">
        <v>37777</v>
      </c>
      <c r="H6533" s="96">
        <f t="shared" si="409"/>
        <v>61.47</v>
      </c>
      <c r="I6533" s="96">
        <f t="shared" si="410"/>
        <v>65.64</v>
      </c>
      <c r="J6533" s="91" t="str">
        <f t="shared" si="411"/>
        <v>Sinapi 99054</v>
      </c>
      <c r="K6533" s="91" t="str">
        <f t="shared" si="412"/>
        <v>M2</v>
      </c>
      <c r="L6533" s="166" t="str">
        <f t="shared" si="407"/>
        <v>08/2023</v>
      </c>
    </row>
    <row r="6534" spans="1:12" x14ac:dyDescent="0.25">
      <c r="A6534" s="170" t="s">
        <v>8953</v>
      </c>
      <c r="B6534" s="170" t="s">
        <v>34689</v>
      </c>
      <c r="C6534" s="170" t="s">
        <v>870</v>
      </c>
      <c r="D6534" s="170" t="s">
        <v>1947</v>
      </c>
      <c r="E6534" s="171" t="s">
        <v>34690</v>
      </c>
      <c r="F6534" s="171" t="s">
        <v>37281</v>
      </c>
      <c r="H6534" s="96">
        <f t="shared" si="409"/>
        <v>67.86</v>
      </c>
      <c r="I6534" s="96">
        <f t="shared" si="410"/>
        <v>69.53</v>
      </c>
      <c r="J6534" s="91" t="str">
        <f t="shared" si="411"/>
        <v>Sinapi 96111</v>
      </c>
      <c r="K6534" s="91" t="str">
        <f t="shared" si="412"/>
        <v>M2</v>
      </c>
      <c r="L6534" s="166" t="str">
        <f t="shared" si="407"/>
        <v>08/2023</v>
      </c>
    </row>
    <row r="6535" spans="1:12" x14ac:dyDescent="0.25">
      <c r="A6535" s="170" t="s">
        <v>8954</v>
      </c>
      <c r="B6535" s="170" t="s">
        <v>34691</v>
      </c>
      <c r="C6535" s="170" t="s">
        <v>870</v>
      </c>
      <c r="D6535" s="170" t="s">
        <v>1947</v>
      </c>
      <c r="E6535" s="171" t="s">
        <v>34692</v>
      </c>
      <c r="F6535" s="171" t="s">
        <v>22094</v>
      </c>
      <c r="H6535" s="96">
        <f t="shared" si="409"/>
        <v>74.44</v>
      </c>
      <c r="I6535" s="96">
        <f t="shared" si="410"/>
        <v>75.88</v>
      </c>
      <c r="J6535" s="91" t="str">
        <f t="shared" si="411"/>
        <v>Sinapi 96116</v>
      </c>
      <c r="K6535" s="91" t="str">
        <f t="shared" si="412"/>
        <v>M2</v>
      </c>
      <c r="L6535" s="166" t="str">
        <f t="shared" si="407"/>
        <v>08/2023</v>
      </c>
    </row>
    <row r="6536" spans="1:12" x14ac:dyDescent="0.25">
      <c r="A6536" s="170" t="s">
        <v>8955</v>
      </c>
      <c r="B6536" s="170" t="s">
        <v>34693</v>
      </c>
      <c r="C6536" s="170" t="s">
        <v>385</v>
      </c>
      <c r="D6536" s="170" t="s">
        <v>1947</v>
      </c>
      <c r="E6536" s="171" t="s">
        <v>14942</v>
      </c>
      <c r="F6536" s="171" t="s">
        <v>5651</v>
      </c>
      <c r="H6536" s="96">
        <f t="shared" si="409"/>
        <v>10.45</v>
      </c>
      <c r="I6536" s="96">
        <f t="shared" si="410"/>
        <v>10.96</v>
      </c>
      <c r="J6536" s="91" t="str">
        <f t="shared" si="411"/>
        <v>Sinapi 96121</v>
      </c>
      <c r="K6536" s="91" t="str">
        <f t="shared" si="412"/>
        <v>M</v>
      </c>
      <c r="L6536" s="166" t="str">
        <f t="shared" ref="L6536:L6599" si="413">IF(OR(RIGHT(IF(AND(K6536&lt;&gt;"H",K6536&lt;&gt;"MES"),RIGHT(B6536,7),""),2)="PS",RIGHT(IF(AND(K6536&lt;&gt;"H",K6536&lt;&gt;"MES"),RIGHT(B6536,7),""),2)="PA",RIGHT(IF(AND(K6536&lt;&gt;"H",K6536&lt;&gt;"MES"),RIGHT(B6536,7),""),2)="PE"),LEFT(IF(AND(K6536&lt;&gt;"H",K6536&lt;&gt;"MES"),RIGHT(B6536,10),""),7),IF(AND(K6536&lt;&gt;"H",K6536&lt;&gt;"MES"),RIGHT(B6536,7),""))</f>
        <v>08/2023</v>
      </c>
    </row>
    <row r="6537" spans="1:12" x14ac:dyDescent="0.25">
      <c r="A6537" s="170" t="s">
        <v>8956</v>
      </c>
      <c r="B6537" s="170" t="s">
        <v>34694</v>
      </c>
      <c r="C6537" s="170" t="s">
        <v>870</v>
      </c>
      <c r="D6537" s="170" t="s">
        <v>1947</v>
      </c>
      <c r="E6537" s="171" t="s">
        <v>28516</v>
      </c>
      <c r="F6537" s="171" t="s">
        <v>37778</v>
      </c>
      <c r="H6537" s="96">
        <f t="shared" si="409"/>
        <v>76.84</v>
      </c>
      <c r="I6537" s="96">
        <f t="shared" si="410"/>
        <v>78.510000000000005</v>
      </c>
      <c r="J6537" s="91" t="str">
        <f t="shared" si="411"/>
        <v>Sinapi 96485</v>
      </c>
      <c r="K6537" s="91" t="str">
        <f t="shared" si="412"/>
        <v>M2</v>
      </c>
      <c r="L6537" s="166" t="str">
        <f t="shared" si="413"/>
        <v>08/2023</v>
      </c>
    </row>
    <row r="6538" spans="1:12" x14ac:dyDescent="0.25">
      <c r="A6538" s="170" t="s">
        <v>8957</v>
      </c>
      <c r="B6538" s="170" t="s">
        <v>34695</v>
      </c>
      <c r="C6538" s="170" t="s">
        <v>870</v>
      </c>
      <c r="D6538" s="170" t="s">
        <v>1947</v>
      </c>
      <c r="E6538" s="171" t="s">
        <v>34696</v>
      </c>
      <c r="F6538" s="171" t="s">
        <v>37779</v>
      </c>
      <c r="H6538" s="96">
        <f t="shared" si="409"/>
        <v>83.42</v>
      </c>
      <c r="I6538" s="96">
        <f t="shared" si="410"/>
        <v>84.86</v>
      </c>
      <c r="J6538" s="91" t="str">
        <f t="shared" si="411"/>
        <v>Sinapi 96486</v>
      </c>
      <c r="K6538" s="91" t="str">
        <f t="shared" si="412"/>
        <v>M2</v>
      </c>
      <c r="L6538" s="166" t="str">
        <f t="shared" si="413"/>
        <v>08/2023</v>
      </c>
    </row>
    <row r="6539" spans="1:12" x14ac:dyDescent="0.25">
      <c r="A6539" s="170" t="s">
        <v>8959</v>
      </c>
      <c r="B6539" s="170" t="s">
        <v>18506</v>
      </c>
      <c r="C6539" s="170" t="s">
        <v>870</v>
      </c>
      <c r="D6539" s="170" t="s">
        <v>2067</v>
      </c>
      <c r="E6539" s="171" t="s">
        <v>29062</v>
      </c>
      <c r="F6539" s="171" t="s">
        <v>8275</v>
      </c>
      <c r="H6539" s="96">
        <f t="shared" si="409"/>
        <v>5.59</v>
      </c>
      <c r="I6539" s="96">
        <f t="shared" si="410"/>
        <v>6.2</v>
      </c>
      <c r="J6539" s="91" t="str">
        <f t="shared" si="411"/>
        <v>Sinapi 91515</v>
      </c>
      <c r="K6539" s="91" t="str">
        <f t="shared" si="412"/>
        <v>M2</v>
      </c>
      <c r="L6539" s="166" t="str">
        <f t="shared" si="413"/>
        <v>10/2022</v>
      </c>
    </row>
    <row r="6540" spans="1:12" x14ac:dyDescent="0.25">
      <c r="A6540" s="170" t="s">
        <v>8960</v>
      </c>
      <c r="B6540" s="170" t="s">
        <v>18507</v>
      </c>
      <c r="C6540" s="170" t="s">
        <v>870</v>
      </c>
      <c r="D6540" s="170" t="s">
        <v>2067</v>
      </c>
      <c r="E6540" s="171" t="s">
        <v>17956</v>
      </c>
      <c r="F6540" s="171" t="s">
        <v>24634</v>
      </c>
      <c r="H6540" s="96">
        <f t="shared" si="409"/>
        <v>7.47</v>
      </c>
      <c r="I6540" s="96">
        <f t="shared" si="410"/>
        <v>8.3000000000000007</v>
      </c>
      <c r="J6540" s="91" t="str">
        <f t="shared" si="411"/>
        <v>Sinapi 91519</v>
      </c>
      <c r="K6540" s="91" t="str">
        <f t="shared" si="412"/>
        <v>M2</v>
      </c>
      <c r="L6540" s="166" t="str">
        <f t="shared" si="413"/>
        <v>10/2022</v>
      </c>
    </row>
    <row r="6541" spans="1:12" x14ac:dyDescent="0.25">
      <c r="A6541" s="170" t="s">
        <v>8961</v>
      </c>
      <c r="B6541" s="170" t="s">
        <v>18508</v>
      </c>
      <c r="C6541" s="170" t="s">
        <v>870</v>
      </c>
      <c r="D6541" s="170" t="s">
        <v>2067</v>
      </c>
      <c r="E6541" s="171" t="s">
        <v>21512</v>
      </c>
      <c r="F6541" s="171" t="s">
        <v>22822</v>
      </c>
      <c r="H6541" s="96">
        <f t="shared" si="409"/>
        <v>2.11</v>
      </c>
      <c r="I6541" s="96">
        <f t="shared" si="410"/>
        <v>2.34</v>
      </c>
      <c r="J6541" s="91" t="str">
        <f t="shared" si="411"/>
        <v>Sinapi 91520</v>
      </c>
      <c r="K6541" s="91" t="str">
        <f t="shared" si="412"/>
        <v>M2</v>
      </c>
      <c r="L6541" s="166" t="str">
        <f t="shared" si="413"/>
        <v>10/2022</v>
      </c>
    </row>
    <row r="6542" spans="1:12" x14ac:dyDescent="0.25">
      <c r="A6542" s="170" t="s">
        <v>8962</v>
      </c>
      <c r="B6542" s="170" t="s">
        <v>18509</v>
      </c>
      <c r="C6542" s="170" t="s">
        <v>870</v>
      </c>
      <c r="D6542" s="170" t="s">
        <v>2067</v>
      </c>
      <c r="E6542" s="171" t="s">
        <v>24291</v>
      </c>
      <c r="F6542" s="171" t="s">
        <v>14637</v>
      </c>
      <c r="H6542" s="96">
        <f t="shared" si="409"/>
        <v>2.9</v>
      </c>
      <c r="I6542" s="96">
        <f t="shared" si="410"/>
        <v>3.21</v>
      </c>
      <c r="J6542" s="91" t="str">
        <f t="shared" si="411"/>
        <v>Sinapi 91522</v>
      </c>
      <c r="K6542" s="91" t="str">
        <f t="shared" si="412"/>
        <v>M2</v>
      </c>
      <c r="L6542" s="166" t="str">
        <f t="shared" si="413"/>
        <v>10/2022</v>
      </c>
    </row>
    <row r="6543" spans="1:12" x14ac:dyDescent="0.25">
      <c r="A6543" s="170" t="s">
        <v>8963</v>
      </c>
      <c r="B6543" s="170" t="s">
        <v>18510</v>
      </c>
      <c r="C6543" s="170" t="s">
        <v>870</v>
      </c>
      <c r="D6543" s="170" t="s">
        <v>2067</v>
      </c>
      <c r="E6543" s="171" t="s">
        <v>17404</v>
      </c>
      <c r="F6543" s="171" t="s">
        <v>11139</v>
      </c>
      <c r="H6543" s="96">
        <f t="shared" si="409"/>
        <v>8.17</v>
      </c>
      <c r="I6543" s="96">
        <f t="shared" si="410"/>
        <v>8.67</v>
      </c>
      <c r="J6543" s="91" t="str">
        <f t="shared" si="411"/>
        <v>Sinapi 91525</v>
      </c>
      <c r="K6543" s="91" t="str">
        <f t="shared" si="412"/>
        <v>M2</v>
      </c>
      <c r="L6543" s="166" t="str">
        <f t="shared" si="413"/>
        <v>10/2022</v>
      </c>
    </row>
    <row r="6544" spans="1:12" x14ac:dyDescent="0.25">
      <c r="A6544" s="170" t="s">
        <v>18511</v>
      </c>
      <c r="B6544" s="170" t="s">
        <v>18512</v>
      </c>
      <c r="C6544" s="170" t="s">
        <v>870</v>
      </c>
      <c r="D6544" s="170" t="s">
        <v>2067</v>
      </c>
      <c r="E6544" s="171" t="s">
        <v>8323</v>
      </c>
      <c r="F6544" s="171" t="s">
        <v>19861</v>
      </c>
      <c r="H6544" s="96">
        <f t="shared" si="409"/>
        <v>2.61</v>
      </c>
      <c r="I6544" s="96">
        <f t="shared" si="410"/>
        <v>2.88</v>
      </c>
      <c r="J6544" s="91" t="str">
        <f t="shared" si="411"/>
        <v>Sinapi 104412</v>
      </c>
      <c r="K6544" s="91" t="str">
        <f t="shared" si="412"/>
        <v>M2</v>
      </c>
      <c r="L6544" s="166" t="str">
        <f t="shared" si="413"/>
        <v>10/2022</v>
      </c>
    </row>
    <row r="6545" spans="1:12" x14ac:dyDescent="0.25">
      <c r="A6545" s="170" t="s">
        <v>18513</v>
      </c>
      <c r="B6545" s="170" t="s">
        <v>18514</v>
      </c>
      <c r="C6545" s="170" t="s">
        <v>870</v>
      </c>
      <c r="D6545" s="170" t="s">
        <v>2067</v>
      </c>
      <c r="E6545" s="171" t="s">
        <v>20053</v>
      </c>
      <c r="F6545" s="171" t="s">
        <v>16386</v>
      </c>
      <c r="H6545" s="96">
        <f t="shared" si="409"/>
        <v>4.53</v>
      </c>
      <c r="I6545" s="96">
        <f t="shared" si="410"/>
        <v>5.03</v>
      </c>
      <c r="J6545" s="91" t="str">
        <f t="shared" si="411"/>
        <v>Sinapi 104413</v>
      </c>
      <c r="K6545" s="91" t="str">
        <f t="shared" si="412"/>
        <v>M2</v>
      </c>
      <c r="L6545" s="166" t="str">
        <f t="shared" si="413"/>
        <v>10/2022</v>
      </c>
    </row>
    <row r="6546" spans="1:12" x14ac:dyDescent="0.25">
      <c r="A6546" s="170" t="s">
        <v>18515</v>
      </c>
      <c r="B6546" s="170" t="s">
        <v>18516</v>
      </c>
      <c r="C6546" s="170" t="s">
        <v>870</v>
      </c>
      <c r="D6546" s="170" t="s">
        <v>2067</v>
      </c>
      <c r="E6546" s="171" t="s">
        <v>20625</v>
      </c>
      <c r="F6546" s="171" t="s">
        <v>28732</v>
      </c>
      <c r="H6546" s="96">
        <f t="shared" si="409"/>
        <v>7.51</v>
      </c>
      <c r="I6546" s="96">
        <f t="shared" si="410"/>
        <v>7.93</v>
      </c>
      <c r="J6546" s="91" t="str">
        <f t="shared" si="411"/>
        <v>Sinapi 104414</v>
      </c>
      <c r="K6546" s="91" t="str">
        <f t="shared" si="412"/>
        <v>M2</v>
      </c>
      <c r="L6546" s="166" t="str">
        <f t="shared" si="413"/>
        <v>10/2022</v>
      </c>
    </row>
    <row r="6547" spans="1:12" x14ac:dyDescent="0.25">
      <c r="A6547" s="170" t="s">
        <v>18517</v>
      </c>
      <c r="B6547" s="170" t="s">
        <v>18518</v>
      </c>
      <c r="C6547" s="170" t="s">
        <v>870</v>
      </c>
      <c r="D6547" s="170" t="s">
        <v>2067</v>
      </c>
      <c r="E6547" s="171" t="s">
        <v>7328</v>
      </c>
      <c r="F6547" s="171" t="s">
        <v>16289</v>
      </c>
      <c r="H6547" s="96">
        <f t="shared" si="409"/>
        <v>11.82</v>
      </c>
      <c r="I6547" s="96">
        <f t="shared" si="410"/>
        <v>12.74</v>
      </c>
      <c r="J6547" s="91" t="str">
        <f t="shared" si="411"/>
        <v>Sinapi 104415</v>
      </c>
      <c r="K6547" s="91" t="str">
        <f t="shared" si="412"/>
        <v>M2</v>
      </c>
      <c r="L6547" s="166" t="str">
        <f t="shared" si="413"/>
        <v>10/2022</v>
      </c>
    </row>
    <row r="6548" spans="1:12" x14ac:dyDescent="0.25">
      <c r="A6548" s="170" t="s">
        <v>18519</v>
      </c>
      <c r="B6548" s="170" t="s">
        <v>18520</v>
      </c>
      <c r="C6548" s="170" t="s">
        <v>870</v>
      </c>
      <c r="D6548" s="170" t="s">
        <v>2067</v>
      </c>
      <c r="E6548" s="171" t="s">
        <v>18702</v>
      </c>
      <c r="F6548" s="171" t="s">
        <v>15505</v>
      </c>
      <c r="H6548" s="96">
        <f t="shared" si="409"/>
        <v>1.82</v>
      </c>
      <c r="I6548" s="96">
        <f t="shared" si="410"/>
        <v>2.0099999999999998</v>
      </c>
      <c r="J6548" s="91" t="str">
        <f t="shared" si="411"/>
        <v>Sinapi 104416</v>
      </c>
      <c r="K6548" s="91" t="str">
        <f t="shared" si="412"/>
        <v>M2</v>
      </c>
      <c r="L6548" s="166" t="str">
        <f t="shared" si="413"/>
        <v>10/2022</v>
      </c>
    </row>
    <row r="6549" spans="1:12" x14ac:dyDescent="0.25">
      <c r="A6549" s="170" t="s">
        <v>18521</v>
      </c>
      <c r="B6549" s="170" t="s">
        <v>18522</v>
      </c>
      <c r="C6549" s="170" t="s">
        <v>870</v>
      </c>
      <c r="D6549" s="170" t="s">
        <v>2067</v>
      </c>
      <c r="E6549" s="171" t="s">
        <v>2686</v>
      </c>
      <c r="F6549" s="171" t="s">
        <v>29661</v>
      </c>
      <c r="H6549" s="96">
        <f t="shared" si="409"/>
        <v>3.75</v>
      </c>
      <c r="I6549" s="96">
        <f t="shared" si="410"/>
        <v>4.16</v>
      </c>
      <c r="J6549" s="91" t="str">
        <f t="shared" si="411"/>
        <v>Sinapi 104417</v>
      </c>
      <c r="K6549" s="91" t="str">
        <f t="shared" si="412"/>
        <v>M2</v>
      </c>
      <c r="L6549" s="166" t="str">
        <f t="shared" si="413"/>
        <v>10/2022</v>
      </c>
    </row>
    <row r="6550" spans="1:12" x14ac:dyDescent="0.25">
      <c r="A6550" s="170" t="s">
        <v>18523</v>
      </c>
      <c r="B6550" s="170" t="s">
        <v>18524</v>
      </c>
      <c r="C6550" s="170" t="s">
        <v>870</v>
      </c>
      <c r="D6550" s="170" t="s">
        <v>2067</v>
      </c>
      <c r="E6550" s="171" t="s">
        <v>19840</v>
      </c>
      <c r="F6550" s="171" t="s">
        <v>3769</v>
      </c>
      <c r="H6550" s="96">
        <f t="shared" si="409"/>
        <v>2.5</v>
      </c>
      <c r="I6550" s="96">
        <f t="shared" si="410"/>
        <v>2.76</v>
      </c>
      <c r="J6550" s="91" t="str">
        <f t="shared" si="411"/>
        <v>Sinapi 104418</v>
      </c>
      <c r="K6550" s="91" t="str">
        <f t="shared" si="412"/>
        <v>M2</v>
      </c>
      <c r="L6550" s="166" t="str">
        <f t="shared" si="413"/>
        <v>10/2022</v>
      </c>
    </row>
    <row r="6551" spans="1:12" x14ac:dyDescent="0.25">
      <c r="A6551" s="170" t="s">
        <v>18525</v>
      </c>
      <c r="B6551" s="170" t="s">
        <v>18526</v>
      </c>
      <c r="C6551" s="170" t="s">
        <v>870</v>
      </c>
      <c r="D6551" s="170" t="s">
        <v>2067</v>
      </c>
      <c r="E6551" s="171" t="s">
        <v>16345</v>
      </c>
      <c r="F6551" s="171" t="s">
        <v>17915</v>
      </c>
      <c r="H6551" s="96">
        <f t="shared" si="409"/>
        <v>9.9499999999999993</v>
      </c>
      <c r="I6551" s="96">
        <f t="shared" si="410"/>
        <v>11.06</v>
      </c>
      <c r="J6551" s="91" t="str">
        <f t="shared" si="411"/>
        <v>Sinapi 104419</v>
      </c>
      <c r="K6551" s="91" t="str">
        <f t="shared" si="412"/>
        <v>M2</v>
      </c>
      <c r="L6551" s="166" t="str">
        <f t="shared" si="413"/>
        <v>10/2022</v>
      </c>
    </row>
    <row r="6552" spans="1:12" x14ac:dyDescent="0.25">
      <c r="A6552" s="170" t="s">
        <v>18527</v>
      </c>
      <c r="B6552" s="170" t="s">
        <v>18528</v>
      </c>
      <c r="C6552" s="170" t="s">
        <v>870</v>
      </c>
      <c r="D6552" s="170" t="s">
        <v>2067</v>
      </c>
      <c r="E6552" s="171" t="s">
        <v>12328</v>
      </c>
      <c r="F6552" s="171" t="s">
        <v>20468</v>
      </c>
      <c r="H6552" s="96">
        <f t="shared" si="409"/>
        <v>8.99</v>
      </c>
      <c r="I6552" s="96">
        <f t="shared" si="410"/>
        <v>9.99</v>
      </c>
      <c r="J6552" s="91" t="str">
        <f t="shared" si="411"/>
        <v>Sinapi 104420</v>
      </c>
      <c r="K6552" s="91" t="str">
        <f t="shared" si="412"/>
        <v>M2</v>
      </c>
      <c r="L6552" s="166" t="str">
        <f t="shared" si="413"/>
        <v>10/2022</v>
      </c>
    </row>
    <row r="6553" spans="1:12" x14ac:dyDescent="0.25">
      <c r="A6553" s="170" t="s">
        <v>18529</v>
      </c>
      <c r="B6553" s="170" t="s">
        <v>18530</v>
      </c>
      <c r="C6553" s="170" t="s">
        <v>870</v>
      </c>
      <c r="D6553" s="170" t="s">
        <v>2067</v>
      </c>
      <c r="E6553" s="171" t="s">
        <v>14320</v>
      </c>
      <c r="F6553" s="171" t="s">
        <v>12889</v>
      </c>
      <c r="H6553" s="96">
        <f t="shared" si="409"/>
        <v>15.2</v>
      </c>
      <c r="I6553" s="96">
        <f t="shared" si="410"/>
        <v>16.21</v>
      </c>
      <c r="J6553" s="91" t="str">
        <f t="shared" si="411"/>
        <v>Sinapi 104421</v>
      </c>
      <c r="K6553" s="91" t="str">
        <f t="shared" si="412"/>
        <v>M2</v>
      </c>
      <c r="L6553" s="166" t="str">
        <f t="shared" si="413"/>
        <v>10/2022</v>
      </c>
    </row>
    <row r="6554" spans="1:12" x14ac:dyDescent="0.25">
      <c r="A6554" s="170" t="s">
        <v>18531</v>
      </c>
      <c r="B6554" s="170" t="s">
        <v>18532</v>
      </c>
      <c r="C6554" s="170" t="s">
        <v>870</v>
      </c>
      <c r="D6554" s="170" t="s">
        <v>2067</v>
      </c>
      <c r="E6554" s="171" t="s">
        <v>22766</v>
      </c>
      <c r="F6554" s="171" t="s">
        <v>17300</v>
      </c>
      <c r="H6554" s="96">
        <f t="shared" si="409"/>
        <v>10.01</v>
      </c>
      <c r="I6554" s="96">
        <f t="shared" si="410"/>
        <v>10.44</v>
      </c>
      <c r="J6554" s="91" t="str">
        <f t="shared" si="411"/>
        <v>Sinapi 104422</v>
      </c>
      <c r="K6554" s="91" t="str">
        <f t="shared" si="412"/>
        <v>M2</v>
      </c>
      <c r="L6554" s="166" t="str">
        <f t="shared" si="413"/>
        <v>10/2022</v>
      </c>
    </row>
    <row r="6555" spans="1:12" x14ac:dyDescent="0.25">
      <c r="A6555" s="170" t="s">
        <v>18533</v>
      </c>
      <c r="B6555" s="170" t="s">
        <v>18534</v>
      </c>
      <c r="C6555" s="170" t="s">
        <v>870</v>
      </c>
      <c r="D6555" s="170" t="s">
        <v>2067</v>
      </c>
      <c r="E6555" s="171" t="s">
        <v>17345</v>
      </c>
      <c r="F6555" s="171" t="s">
        <v>24945</v>
      </c>
      <c r="H6555" s="96">
        <f t="shared" si="409"/>
        <v>22.53</v>
      </c>
      <c r="I6555" s="96">
        <f t="shared" si="410"/>
        <v>24.4</v>
      </c>
      <c r="J6555" s="91" t="str">
        <f t="shared" si="411"/>
        <v>Sinapi 104423</v>
      </c>
      <c r="K6555" s="91" t="str">
        <f t="shared" si="412"/>
        <v>M2</v>
      </c>
      <c r="L6555" s="166" t="str">
        <f t="shared" si="413"/>
        <v>10/2022</v>
      </c>
    </row>
    <row r="6556" spans="1:12" x14ac:dyDescent="0.25">
      <c r="A6556" s="170" t="s">
        <v>18535</v>
      </c>
      <c r="B6556" s="170" t="s">
        <v>18536</v>
      </c>
      <c r="C6556" s="170" t="s">
        <v>870</v>
      </c>
      <c r="D6556" s="170" t="s">
        <v>2067</v>
      </c>
      <c r="E6556" s="171" t="s">
        <v>28208</v>
      </c>
      <c r="F6556" s="171" t="s">
        <v>36701</v>
      </c>
      <c r="H6556" s="96">
        <f t="shared" si="409"/>
        <v>20.98</v>
      </c>
      <c r="I6556" s="96">
        <f t="shared" si="410"/>
        <v>22.66</v>
      </c>
      <c r="J6556" s="91" t="str">
        <f t="shared" si="411"/>
        <v>Sinapi 104424</v>
      </c>
      <c r="K6556" s="91" t="str">
        <f t="shared" si="412"/>
        <v>M2</v>
      </c>
      <c r="L6556" s="166" t="str">
        <f t="shared" si="413"/>
        <v>10/2022</v>
      </c>
    </row>
    <row r="6557" spans="1:12" x14ac:dyDescent="0.25">
      <c r="A6557" s="170" t="s">
        <v>18537</v>
      </c>
      <c r="B6557" s="170" t="s">
        <v>18538</v>
      </c>
      <c r="C6557" s="170" t="s">
        <v>870</v>
      </c>
      <c r="D6557" s="170" t="s">
        <v>2067</v>
      </c>
      <c r="E6557" s="171" t="s">
        <v>17921</v>
      </c>
      <c r="F6557" s="171" t="s">
        <v>37780</v>
      </c>
      <c r="H6557" s="96">
        <f t="shared" si="409"/>
        <v>18.38</v>
      </c>
      <c r="I6557" s="96">
        <f t="shared" si="410"/>
        <v>19.77</v>
      </c>
      <c r="J6557" s="91" t="str">
        <f t="shared" si="411"/>
        <v>Sinapi 104425</v>
      </c>
      <c r="K6557" s="91" t="str">
        <f t="shared" si="412"/>
        <v>M2</v>
      </c>
      <c r="L6557" s="166" t="str">
        <f t="shared" si="413"/>
        <v>10/2022</v>
      </c>
    </row>
    <row r="6558" spans="1:12" x14ac:dyDescent="0.25">
      <c r="A6558" s="170" t="s">
        <v>8964</v>
      </c>
      <c r="B6558" s="170" t="s">
        <v>8965</v>
      </c>
      <c r="C6558" s="170" t="s">
        <v>85</v>
      </c>
      <c r="D6558" s="170" t="s">
        <v>2067</v>
      </c>
      <c r="E6558" s="171" t="s">
        <v>34697</v>
      </c>
      <c r="F6558" s="171" t="s">
        <v>37781</v>
      </c>
      <c r="H6558" s="96">
        <f t="shared" si="409"/>
        <v>523.05999999999995</v>
      </c>
      <c r="I6558" s="96">
        <f t="shared" si="410"/>
        <v>535.05999999999995</v>
      </c>
      <c r="J6558" s="91" t="str">
        <f t="shared" si="411"/>
        <v>Sinapi 87280</v>
      </c>
      <c r="K6558" s="91" t="str">
        <f t="shared" si="412"/>
        <v>M3</v>
      </c>
      <c r="L6558" s="166" t="str">
        <f t="shared" si="413"/>
        <v>08/2019</v>
      </c>
    </row>
    <row r="6559" spans="1:12" x14ac:dyDescent="0.25">
      <c r="A6559" s="170" t="s">
        <v>8966</v>
      </c>
      <c r="B6559" s="170" t="s">
        <v>8967</v>
      </c>
      <c r="C6559" s="170" t="s">
        <v>85</v>
      </c>
      <c r="D6559" s="170" t="s">
        <v>2067</v>
      </c>
      <c r="E6559" s="171" t="s">
        <v>34698</v>
      </c>
      <c r="F6559" s="171" t="s">
        <v>37782</v>
      </c>
      <c r="H6559" s="96">
        <f t="shared" si="409"/>
        <v>516.9</v>
      </c>
      <c r="I6559" s="96">
        <f t="shared" si="410"/>
        <v>527.04999999999995</v>
      </c>
      <c r="J6559" s="91" t="str">
        <f t="shared" si="411"/>
        <v>Sinapi 87281</v>
      </c>
      <c r="K6559" s="91" t="str">
        <f t="shared" si="412"/>
        <v>M3</v>
      </c>
      <c r="L6559" s="166" t="str">
        <f t="shared" si="413"/>
        <v>08/2019</v>
      </c>
    </row>
    <row r="6560" spans="1:12" x14ac:dyDescent="0.25">
      <c r="A6560" s="170" t="s">
        <v>8968</v>
      </c>
      <c r="B6560" s="170" t="s">
        <v>8969</v>
      </c>
      <c r="C6560" s="170" t="s">
        <v>85</v>
      </c>
      <c r="D6560" s="170" t="s">
        <v>2067</v>
      </c>
      <c r="E6560" s="171" t="s">
        <v>34699</v>
      </c>
      <c r="F6560" s="171" t="s">
        <v>37783</v>
      </c>
      <c r="H6560" s="96">
        <f t="shared" si="409"/>
        <v>559.17999999999995</v>
      </c>
      <c r="I6560" s="96">
        <f t="shared" si="410"/>
        <v>569.96</v>
      </c>
      <c r="J6560" s="91" t="str">
        <f t="shared" si="411"/>
        <v>Sinapi 87283</v>
      </c>
      <c r="K6560" s="91" t="str">
        <f t="shared" si="412"/>
        <v>M3</v>
      </c>
      <c r="L6560" s="166" t="str">
        <f t="shared" si="413"/>
        <v>08/2019</v>
      </c>
    </row>
    <row r="6561" spans="1:12" x14ac:dyDescent="0.25">
      <c r="A6561" s="170" t="s">
        <v>8970</v>
      </c>
      <c r="B6561" s="170" t="s">
        <v>8971</v>
      </c>
      <c r="C6561" s="170" t="s">
        <v>85</v>
      </c>
      <c r="D6561" s="170" t="s">
        <v>2067</v>
      </c>
      <c r="E6561" s="171" t="s">
        <v>34700</v>
      </c>
      <c r="F6561" s="171" t="s">
        <v>37784</v>
      </c>
      <c r="H6561" s="96">
        <f t="shared" si="409"/>
        <v>552.34</v>
      </c>
      <c r="I6561" s="96">
        <f t="shared" si="410"/>
        <v>561.42999999999995</v>
      </c>
      <c r="J6561" s="91" t="str">
        <f t="shared" si="411"/>
        <v>Sinapi 87284</v>
      </c>
      <c r="K6561" s="91" t="str">
        <f t="shared" si="412"/>
        <v>M3</v>
      </c>
      <c r="L6561" s="166" t="str">
        <f t="shared" si="413"/>
        <v>08/2019</v>
      </c>
    </row>
    <row r="6562" spans="1:12" x14ac:dyDescent="0.25">
      <c r="A6562" s="170" t="s">
        <v>8972</v>
      </c>
      <c r="B6562" s="170" t="s">
        <v>8973</v>
      </c>
      <c r="C6562" s="170" t="s">
        <v>85</v>
      </c>
      <c r="D6562" s="170" t="s">
        <v>2067</v>
      </c>
      <c r="E6562" s="171" t="s">
        <v>34701</v>
      </c>
      <c r="F6562" s="171" t="s">
        <v>37785</v>
      </c>
      <c r="H6562" s="96">
        <f t="shared" si="409"/>
        <v>749.57</v>
      </c>
      <c r="I6562" s="96">
        <f t="shared" si="410"/>
        <v>762.42</v>
      </c>
      <c r="J6562" s="91" t="str">
        <f t="shared" si="411"/>
        <v>Sinapi 87286</v>
      </c>
      <c r="K6562" s="91" t="str">
        <f t="shared" si="412"/>
        <v>M3</v>
      </c>
      <c r="L6562" s="166" t="str">
        <f t="shared" si="413"/>
        <v>08/2019</v>
      </c>
    </row>
    <row r="6563" spans="1:12" x14ac:dyDescent="0.25">
      <c r="A6563" s="170" t="s">
        <v>8974</v>
      </c>
      <c r="B6563" s="170" t="s">
        <v>8975</v>
      </c>
      <c r="C6563" s="170" t="s">
        <v>85</v>
      </c>
      <c r="D6563" s="170" t="s">
        <v>2067</v>
      </c>
      <c r="E6563" s="171" t="s">
        <v>34702</v>
      </c>
      <c r="F6563" s="171" t="s">
        <v>37786</v>
      </c>
      <c r="H6563" s="96">
        <f t="shared" si="409"/>
        <v>733.97</v>
      </c>
      <c r="I6563" s="96">
        <f t="shared" si="410"/>
        <v>743.23</v>
      </c>
      <c r="J6563" s="91" t="str">
        <f t="shared" si="411"/>
        <v>Sinapi 87287</v>
      </c>
      <c r="K6563" s="91" t="str">
        <f t="shared" si="412"/>
        <v>M3</v>
      </c>
      <c r="L6563" s="166" t="str">
        <f t="shared" si="413"/>
        <v>08/2019</v>
      </c>
    </row>
    <row r="6564" spans="1:12" x14ac:dyDescent="0.25">
      <c r="A6564" s="170" t="s">
        <v>8976</v>
      </c>
      <c r="B6564" s="170" t="s">
        <v>8977</v>
      </c>
      <c r="C6564" s="170" t="s">
        <v>85</v>
      </c>
      <c r="D6564" s="170" t="s">
        <v>2067</v>
      </c>
      <c r="E6564" s="171" t="s">
        <v>34703</v>
      </c>
      <c r="F6564" s="171" t="s">
        <v>37787</v>
      </c>
      <c r="H6564" s="96">
        <f t="shared" si="409"/>
        <v>717.38</v>
      </c>
      <c r="I6564" s="96">
        <f t="shared" si="410"/>
        <v>729.51</v>
      </c>
      <c r="J6564" s="91" t="str">
        <f t="shared" si="411"/>
        <v>Sinapi 87289</v>
      </c>
      <c r="K6564" s="91" t="str">
        <f t="shared" si="412"/>
        <v>M3</v>
      </c>
      <c r="L6564" s="166" t="str">
        <f t="shared" si="413"/>
        <v>08/2019</v>
      </c>
    </row>
    <row r="6565" spans="1:12" x14ac:dyDescent="0.25">
      <c r="A6565" s="170" t="s">
        <v>8978</v>
      </c>
      <c r="B6565" s="170" t="s">
        <v>8979</v>
      </c>
      <c r="C6565" s="170" t="s">
        <v>85</v>
      </c>
      <c r="D6565" s="170" t="s">
        <v>2067</v>
      </c>
      <c r="E6565" s="171" t="s">
        <v>34704</v>
      </c>
      <c r="F6565" s="171" t="s">
        <v>37788</v>
      </c>
      <c r="H6565" s="96">
        <f t="shared" ref="H6565:H6628" si="414">IF(E6565="","",E6565+0)</f>
        <v>708.56</v>
      </c>
      <c r="I6565" s="96">
        <f t="shared" ref="I6565:I6628" si="415">IF(F6565="","",F6565+0)</f>
        <v>718.51</v>
      </c>
      <c r="J6565" s="91" t="str">
        <f t="shared" ref="J6565:J6628" si="416">IF(OR(H6565="",I6565=""),"",TRIM(CONCATENATE("Sinapi ",A6565)))</f>
        <v>Sinapi 87290</v>
      </c>
      <c r="K6565" s="91" t="str">
        <f t="shared" ref="K6565:K6628" si="417">TRIM(C6565)</f>
        <v>M3</v>
      </c>
      <c r="L6565" s="166" t="str">
        <f t="shared" si="413"/>
        <v>08/2019</v>
      </c>
    </row>
    <row r="6566" spans="1:12" x14ac:dyDescent="0.25">
      <c r="A6566" s="170" t="s">
        <v>8980</v>
      </c>
      <c r="B6566" s="170" t="s">
        <v>101</v>
      </c>
      <c r="C6566" s="170" t="s">
        <v>85</v>
      </c>
      <c r="D6566" s="170" t="s">
        <v>2067</v>
      </c>
      <c r="E6566" s="171" t="s">
        <v>34705</v>
      </c>
      <c r="F6566" s="171" t="s">
        <v>37789</v>
      </c>
      <c r="H6566" s="96">
        <f t="shared" si="414"/>
        <v>745.62</v>
      </c>
      <c r="I6566" s="96">
        <f t="shared" si="415"/>
        <v>756.82</v>
      </c>
      <c r="J6566" s="91" t="str">
        <f t="shared" si="416"/>
        <v>Sinapi 87292</v>
      </c>
      <c r="K6566" s="91" t="str">
        <f t="shared" si="417"/>
        <v>M3</v>
      </c>
      <c r="L6566" s="166" t="str">
        <f t="shared" si="413"/>
        <v>08/2019</v>
      </c>
    </row>
    <row r="6567" spans="1:12" x14ac:dyDescent="0.25">
      <c r="A6567" s="170" t="s">
        <v>8981</v>
      </c>
      <c r="B6567" s="170" t="s">
        <v>104</v>
      </c>
      <c r="C6567" s="170" t="s">
        <v>85</v>
      </c>
      <c r="D6567" s="170" t="s">
        <v>2067</v>
      </c>
      <c r="E6567" s="171" t="s">
        <v>34706</v>
      </c>
      <c r="F6567" s="171" t="s">
        <v>37790</v>
      </c>
      <c r="H6567" s="96">
        <f t="shared" si="414"/>
        <v>696.24</v>
      </c>
      <c r="I6567" s="96">
        <f t="shared" si="415"/>
        <v>706.83</v>
      </c>
      <c r="J6567" s="91" t="str">
        <f t="shared" si="416"/>
        <v>Sinapi 87294</v>
      </c>
      <c r="K6567" s="91" t="str">
        <f t="shared" si="417"/>
        <v>M3</v>
      </c>
      <c r="L6567" s="166" t="str">
        <f t="shared" si="413"/>
        <v>08/2019</v>
      </c>
    </row>
    <row r="6568" spans="1:12" x14ac:dyDescent="0.25">
      <c r="A6568" s="170" t="s">
        <v>8982</v>
      </c>
      <c r="B6568" s="170" t="s">
        <v>8983</v>
      </c>
      <c r="C6568" s="170" t="s">
        <v>85</v>
      </c>
      <c r="D6568" s="170" t="s">
        <v>2067</v>
      </c>
      <c r="E6568" s="171" t="s">
        <v>34707</v>
      </c>
      <c r="F6568" s="171" t="s">
        <v>37791</v>
      </c>
      <c r="H6568" s="96">
        <f t="shared" si="414"/>
        <v>700.06</v>
      </c>
      <c r="I6568" s="96">
        <f t="shared" si="415"/>
        <v>713.83</v>
      </c>
      <c r="J6568" s="91" t="str">
        <f t="shared" si="416"/>
        <v>Sinapi 87295</v>
      </c>
      <c r="K6568" s="91" t="str">
        <f t="shared" si="417"/>
        <v>M3</v>
      </c>
      <c r="L6568" s="166" t="str">
        <f t="shared" si="413"/>
        <v>08/2019</v>
      </c>
    </row>
    <row r="6569" spans="1:12" x14ac:dyDescent="0.25">
      <c r="A6569" s="170" t="s">
        <v>8984</v>
      </c>
      <c r="B6569" s="170" t="s">
        <v>8985</v>
      </c>
      <c r="C6569" s="170" t="s">
        <v>85</v>
      </c>
      <c r="D6569" s="170" t="s">
        <v>2067</v>
      </c>
      <c r="E6569" s="171" t="s">
        <v>34708</v>
      </c>
      <c r="F6569" s="171" t="s">
        <v>37792</v>
      </c>
      <c r="H6569" s="96">
        <f t="shared" si="414"/>
        <v>674.01</v>
      </c>
      <c r="I6569" s="96">
        <f t="shared" si="415"/>
        <v>683.35</v>
      </c>
      <c r="J6569" s="91" t="str">
        <f t="shared" si="416"/>
        <v>Sinapi 87296</v>
      </c>
      <c r="K6569" s="91" t="str">
        <f t="shared" si="417"/>
        <v>M3</v>
      </c>
      <c r="L6569" s="166" t="str">
        <f t="shared" si="413"/>
        <v>08/2019</v>
      </c>
    </row>
    <row r="6570" spans="1:12" x14ac:dyDescent="0.25">
      <c r="A6570" s="170" t="s">
        <v>8986</v>
      </c>
      <c r="B6570" s="170" t="s">
        <v>8987</v>
      </c>
      <c r="C6570" s="170" t="s">
        <v>85</v>
      </c>
      <c r="D6570" s="170" t="s">
        <v>2067</v>
      </c>
      <c r="E6570" s="171" t="s">
        <v>34709</v>
      </c>
      <c r="F6570" s="171" t="s">
        <v>37793</v>
      </c>
      <c r="H6570" s="96">
        <f t="shared" si="414"/>
        <v>942.06</v>
      </c>
      <c r="I6570" s="96">
        <f t="shared" si="415"/>
        <v>953.06</v>
      </c>
      <c r="J6570" s="91" t="str">
        <f t="shared" si="416"/>
        <v>Sinapi 87298</v>
      </c>
      <c r="K6570" s="91" t="str">
        <f t="shared" si="417"/>
        <v>M3</v>
      </c>
      <c r="L6570" s="166" t="str">
        <f t="shared" si="413"/>
        <v>08/2019</v>
      </c>
    </row>
    <row r="6571" spans="1:12" x14ac:dyDescent="0.25">
      <c r="A6571" s="170" t="s">
        <v>8988</v>
      </c>
      <c r="B6571" s="170" t="s">
        <v>8989</v>
      </c>
      <c r="C6571" s="170" t="s">
        <v>85</v>
      </c>
      <c r="D6571" s="170" t="s">
        <v>2067</v>
      </c>
      <c r="E6571" s="171" t="s">
        <v>34710</v>
      </c>
      <c r="F6571" s="171" t="s">
        <v>37794</v>
      </c>
      <c r="H6571" s="96">
        <f t="shared" si="414"/>
        <v>542.72</v>
      </c>
      <c r="I6571" s="96">
        <f t="shared" si="415"/>
        <v>552.44000000000005</v>
      </c>
      <c r="J6571" s="91" t="str">
        <f t="shared" si="416"/>
        <v>Sinapi 87299</v>
      </c>
      <c r="K6571" s="91" t="str">
        <f t="shared" si="417"/>
        <v>M3</v>
      </c>
      <c r="L6571" s="166" t="str">
        <f t="shared" si="413"/>
        <v>08/2019</v>
      </c>
    </row>
    <row r="6572" spans="1:12" x14ac:dyDescent="0.25">
      <c r="A6572" s="170" t="s">
        <v>8990</v>
      </c>
      <c r="B6572" s="170" t="s">
        <v>1214</v>
      </c>
      <c r="C6572" s="170" t="s">
        <v>85</v>
      </c>
      <c r="D6572" s="170" t="s">
        <v>2067</v>
      </c>
      <c r="E6572" s="171" t="s">
        <v>34711</v>
      </c>
      <c r="F6572" s="171" t="s">
        <v>37795</v>
      </c>
      <c r="H6572" s="96">
        <f t="shared" si="414"/>
        <v>807.55</v>
      </c>
      <c r="I6572" s="96">
        <f t="shared" si="415"/>
        <v>819.62</v>
      </c>
      <c r="J6572" s="91" t="str">
        <f t="shared" si="416"/>
        <v>Sinapi 87301</v>
      </c>
      <c r="K6572" s="91" t="str">
        <f t="shared" si="417"/>
        <v>M3</v>
      </c>
      <c r="L6572" s="166" t="str">
        <f t="shared" si="413"/>
        <v>08/2019</v>
      </c>
    </row>
    <row r="6573" spans="1:12" x14ac:dyDescent="0.25">
      <c r="A6573" s="170" t="s">
        <v>8991</v>
      </c>
      <c r="B6573" s="170" t="s">
        <v>8992</v>
      </c>
      <c r="C6573" s="170" t="s">
        <v>85</v>
      </c>
      <c r="D6573" s="170" t="s">
        <v>2067</v>
      </c>
      <c r="E6573" s="171" t="s">
        <v>34712</v>
      </c>
      <c r="F6573" s="171" t="s">
        <v>37796</v>
      </c>
      <c r="H6573" s="96">
        <f t="shared" si="414"/>
        <v>798.23</v>
      </c>
      <c r="I6573" s="96">
        <f t="shared" si="415"/>
        <v>808.06</v>
      </c>
      <c r="J6573" s="91" t="str">
        <f t="shared" si="416"/>
        <v>Sinapi 87302</v>
      </c>
      <c r="K6573" s="91" t="str">
        <f t="shared" si="417"/>
        <v>M3</v>
      </c>
      <c r="L6573" s="166" t="str">
        <f t="shared" si="413"/>
        <v>08/2019</v>
      </c>
    </row>
    <row r="6574" spans="1:12" x14ac:dyDescent="0.25">
      <c r="A6574" s="170" t="s">
        <v>8993</v>
      </c>
      <c r="B6574" s="170" t="s">
        <v>8994</v>
      </c>
      <c r="C6574" s="170" t="s">
        <v>85</v>
      </c>
      <c r="D6574" s="170" t="s">
        <v>2067</v>
      </c>
      <c r="E6574" s="171" t="s">
        <v>34713</v>
      </c>
      <c r="F6574" s="171" t="s">
        <v>37797</v>
      </c>
      <c r="H6574" s="96">
        <f t="shared" si="414"/>
        <v>706.78</v>
      </c>
      <c r="I6574" s="96">
        <f t="shared" si="415"/>
        <v>717.74</v>
      </c>
      <c r="J6574" s="91" t="str">
        <f t="shared" si="416"/>
        <v>Sinapi 87304</v>
      </c>
      <c r="K6574" s="91" t="str">
        <f t="shared" si="417"/>
        <v>M3</v>
      </c>
      <c r="L6574" s="166" t="str">
        <f t="shared" si="413"/>
        <v>08/2019</v>
      </c>
    </row>
    <row r="6575" spans="1:12" x14ac:dyDescent="0.25">
      <c r="A6575" s="170" t="s">
        <v>8995</v>
      </c>
      <c r="B6575" s="170" t="s">
        <v>8996</v>
      </c>
      <c r="C6575" s="170" t="s">
        <v>85</v>
      </c>
      <c r="D6575" s="170" t="s">
        <v>2067</v>
      </c>
      <c r="E6575" s="171" t="s">
        <v>34714</v>
      </c>
      <c r="F6575" s="171" t="s">
        <v>37798</v>
      </c>
      <c r="H6575" s="96">
        <f t="shared" si="414"/>
        <v>708.08</v>
      </c>
      <c r="I6575" s="96">
        <f t="shared" si="415"/>
        <v>718.26</v>
      </c>
      <c r="J6575" s="91" t="str">
        <f t="shared" si="416"/>
        <v>Sinapi 87305</v>
      </c>
      <c r="K6575" s="91" t="str">
        <f t="shared" si="417"/>
        <v>M3</v>
      </c>
      <c r="L6575" s="166" t="str">
        <f t="shared" si="413"/>
        <v>08/2019</v>
      </c>
    </row>
    <row r="6576" spans="1:12" x14ac:dyDescent="0.25">
      <c r="A6576" s="170" t="s">
        <v>8997</v>
      </c>
      <c r="B6576" s="170" t="s">
        <v>8998</v>
      </c>
      <c r="C6576" s="170" t="s">
        <v>85</v>
      </c>
      <c r="D6576" s="170" t="s">
        <v>2067</v>
      </c>
      <c r="E6576" s="171" t="s">
        <v>34715</v>
      </c>
      <c r="F6576" s="171" t="s">
        <v>37799</v>
      </c>
      <c r="H6576" s="96">
        <f t="shared" si="414"/>
        <v>647.70000000000005</v>
      </c>
      <c r="I6576" s="96">
        <f t="shared" si="415"/>
        <v>659.77</v>
      </c>
      <c r="J6576" s="91" t="str">
        <f t="shared" si="416"/>
        <v>Sinapi 87307</v>
      </c>
      <c r="K6576" s="91" t="str">
        <f t="shared" si="417"/>
        <v>M3</v>
      </c>
      <c r="L6576" s="166" t="str">
        <f t="shared" si="413"/>
        <v>08/2019</v>
      </c>
    </row>
    <row r="6577" spans="1:12" x14ac:dyDescent="0.25">
      <c r="A6577" s="170" t="s">
        <v>8999</v>
      </c>
      <c r="B6577" s="170" t="s">
        <v>9000</v>
      </c>
      <c r="C6577" s="170" t="s">
        <v>85</v>
      </c>
      <c r="D6577" s="170" t="s">
        <v>2067</v>
      </c>
      <c r="E6577" s="171" t="s">
        <v>34716</v>
      </c>
      <c r="F6577" s="171" t="s">
        <v>37800</v>
      </c>
      <c r="H6577" s="96">
        <f t="shared" si="414"/>
        <v>637.25</v>
      </c>
      <c r="I6577" s="96">
        <f t="shared" si="415"/>
        <v>647.37</v>
      </c>
      <c r="J6577" s="91" t="str">
        <f t="shared" si="416"/>
        <v>Sinapi 87308</v>
      </c>
      <c r="K6577" s="91" t="str">
        <f t="shared" si="417"/>
        <v>M3</v>
      </c>
      <c r="L6577" s="166" t="str">
        <f t="shared" si="413"/>
        <v>08/2019</v>
      </c>
    </row>
    <row r="6578" spans="1:12" x14ac:dyDescent="0.25">
      <c r="A6578" s="170" t="s">
        <v>9001</v>
      </c>
      <c r="B6578" s="170" t="s">
        <v>9002</v>
      </c>
      <c r="C6578" s="170" t="s">
        <v>85</v>
      </c>
      <c r="D6578" s="170" t="s">
        <v>2067</v>
      </c>
      <c r="E6578" s="171" t="s">
        <v>34717</v>
      </c>
      <c r="F6578" s="171" t="s">
        <v>37801</v>
      </c>
      <c r="H6578" s="96">
        <f t="shared" si="414"/>
        <v>551.16999999999996</v>
      </c>
      <c r="I6578" s="96">
        <f t="shared" si="415"/>
        <v>561.88</v>
      </c>
      <c r="J6578" s="91" t="str">
        <f t="shared" si="416"/>
        <v>Sinapi 87310</v>
      </c>
      <c r="K6578" s="91" t="str">
        <f t="shared" si="417"/>
        <v>M3</v>
      </c>
      <c r="L6578" s="166" t="str">
        <f t="shared" si="413"/>
        <v>08/2019</v>
      </c>
    </row>
    <row r="6579" spans="1:12" x14ac:dyDescent="0.25">
      <c r="A6579" s="170" t="s">
        <v>9003</v>
      </c>
      <c r="B6579" s="170" t="s">
        <v>9004</v>
      </c>
      <c r="C6579" s="170" t="s">
        <v>85</v>
      </c>
      <c r="D6579" s="170" t="s">
        <v>2067</v>
      </c>
      <c r="E6579" s="171" t="s">
        <v>34718</v>
      </c>
      <c r="F6579" s="171" t="s">
        <v>37802</v>
      </c>
      <c r="H6579" s="96">
        <f t="shared" si="414"/>
        <v>540.33000000000004</v>
      </c>
      <c r="I6579" s="96">
        <f t="shared" si="415"/>
        <v>549.12</v>
      </c>
      <c r="J6579" s="91" t="str">
        <f t="shared" si="416"/>
        <v>Sinapi 87311</v>
      </c>
      <c r="K6579" s="91" t="str">
        <f t="shared" si="417"/>
        <v>M3</v>
      </c>
      <c r="L6579" s="166" t="str">
        <f t="shared" si="413"/>
        <v>08/2019</v>
      </c>
    </row>
    <row r="6580" spans="1:12" x14ac:dyDescent="0.25">
      <c r="A6580" s="170" t="s">
        <v>9005</v>
      </c>
      <c r="B6580" s="170" t="s">
        <v>9006</v>
      </c>
      <c r="C6580" s="170" t="s">
        <v>85</v>
      </c>
      <c r="D6580" s="170" t="s">
        <v>2067</v>
      </c>
      <c r="E6580" s="171" t="s">
        <v>34719</v>
      </c>
      <c r="F6580" s="171" t="s">
        <v>37803</v>
      </c>
      <c r="H6580" s="96">
        <f t="shared" si="414"/>
        <v>724.16</v>
      </c>
      <c r="I6580" s="96">
        <f t="shared" si="415"/>
        <v>734.92</v>
      </c>
      <c r="J6580" s="91" t="str">
        <f t="shared" si="416"/>
        <v>Sinapi 87313</v>
      </c>
      <c r="K6580" s="91" t="str">
        <f t="shared" si="417"/>
        <v>M3</v>
      </c>
      <c r="L6580" s="166" t="str">
        <f t="shared" si="413"/>
        <v>08/2019</v>
      </c>
    </row>
    <row r="6581" spans="1:12" x14ac:dyDescent="0.25">
      <c r="A6581" s="170" t="s">
        <v>9007</v>
      </c>
      <c r="B6581" s="170" t="s">
        <v>9008</v>
      </c>
      <c r="C6581" s="170" t="s">
        <v>85</v>
      </c>
      <c r="D6581" s="170" t="s">
        <v>2067</v>
      </c>
      <c r="E6581" s="171" t="s">
        <v>34720</v>
      </c>
      <c r="F6581" s="171" t="s">
        <v>37804</v>
      </c>
      <c r="H6581" s="96">
        <f t="shared" si="414"/>
        <v>716.48</v>
      </c>
      <c r="I6581" s="96">
        <f t="shared" si="415"/>
        <v>725.32</v>
      </c>
      <c r="J6581" s="91" t="str">
        <f t="shared" si="416"/>
        <v>Sinapi 87314</v>
      </c>
      <c r="K6581" s="91" t="str">
        <f t="shared" si="417"/>
        <v>M3</v>
      </c>
      <c r="L6581" s="166" t="str">
        <f t="shared" si="413"/>
        <v>08/2019</v>
      </c>
    </row>
    <row r="6582" spans="1:12" x14ac:dyDescent="0.25">
      <c r="A6582" s="170" t="s">
        <v>9009</v>
      </c>
      <c r="B6582" s="170" t="s">
        <v>880</v>
      </c>
      <c r="C6582" s="170" t="s">
        <v>85</v>
      </c>
      <c r="D6582" s="170" t="s">
        <v>2067</v>
      </c>
      <c r="E6582" s="171" t="s">
        <v>34721</v>
      </c>
      <c r="F6582" s="171" t="s">
        <v>37805</v>
      </c>
      <c r="H6582" s="96">
        <f t="shared" si="414"/>
        <v>626.54</v>
      </c>
      <c r="I6582" s="96">
        <f t="shared" si="415"/>
        <v>638.09</v>
      </c>
      <c r="J6582" s="91" t="str">
        <f t="shared" si="416"/>
        <v>Sinapi 87316</v>
      </c>
      <c r="K6582" s="91" t="str">
        <f t="shared" si="417"/>
        <v>M3</v>
      </c>
      <c r="L6582" s="166" t="str">
        <f t="shared" si="413"/>
        <v>08/2019</v>
      </c>
    </row>
    <row r="6583" spans="1:12" x14ac:dyDescent="0.25">
      <c r="A6583" s="170" t="s">
        <v>9010</v>
      </c>
      <c r="B6583" s="170" t="s">
        <v>9011</v>
      </c>
      <c r="C6583" s="170" t="s">
        <v>85</v>
      </c>
      <c r="D6583" s="170" t="s">
        <v>2067</v>
      </c>
      <c r="E6583" s="171" t="s">
        <v>34722</v>
      </c>
      <c r="F6583" s="171" t="s">
        <v>37806</v>
      </c>
      <c r="H6583" s="96">
        <f t="shared" si="414"/>
        <v>612.29999999999995</v>
      </c>
      <c r="I6583" s="96">
        <f t="shared" si="415"/>
        <v>621.13</v>
      </c>
      <c r="J6583" s="91" t="str">
        <f t="shared" si="416"/>
        <v>Sinapi 87317</v>
      </c>
      <c r="K6583" s="91" t="str">
        <f t="shared" si="417"/>
        <v>M3</v>
      </c>
      <c r="L6583" s="166" t="str">
        <f t="shared" si="413"/>
        <v>08/2019</v>
      </c>
    </row>
    <row r="6584" spans="1:12" x14ac:dyDescent="0.25">
      <c r="A6584" s="170" t="s">
        <v>9012</v>
      </c>
      <c r="B6584" s="170" t="s">
        <v>9013</v>
      </c>
      <c r="C6584" s="170" t="s">
        <v>85</v>
      </c>
      <c r="D6584" s="170" t="s">
        <v>2067</v>
      </c>
      <c r="E6584" s="171" t="s">
        <v>34723</v>
      </c>
      <c r="F6584" s="171" t="s">
        <v>37807</v>
      </c>
      <c r="H6584" s="96">
        <f t="shared" si="414"/>
        <v>3841.02</v>
      </c>
      <c r="I6584" s="96">
        <f t="shared" si="415"/>
        <v>3851.78</v>
      </c>
      <c r="J6584" s="91" t="str">
        <f t="shared" si="416"/>
        <v>Sinapi 87319</v>
      </c>
      <c r="K6584" s="91" t="str">
        <f t="shared" si="417"/>
        <v>M3</v>
      </c>
      <c r="L6584" s="166" t="str">
        <f t="shared" si="413"/>
        <v>08/2019</v>
      </c>
    </row>
    <row r="6585" spans="1:12" x14ac:dyDescent="0.25">
      <c r="A6585" s="170" t="s">
        <v>9014</v>
      </c>
      <c r="B6585" s="170" t="s">
        <v>9015</v>
      </c>
      <c r="C6585" s="170" t="s">
        <v>85</v>
      </c>
      <c r="D6585" s="170" t="s">
        <v>2067</v>
      </c>
      <c r="E6585" s="171" t="s">
        <v>34724</v>
      </c>
      <c r="F6585" s="171" t="s">
        <v>37808</v>
      </c>
      <c r="H6585" s="96">
        <f t="shared" si="414"/>
        <v>3847.16</v>
      </c>
      <c r="I6585" s="96">
        <f t="shared" si="415"/>
        <v>3856.1</v>
      </c>
      <c r="J6585" s="91" t="str">
        <f t="shared" si="416"/>
        <v>Sinapi 87320</v>
      </c>
      <c r="K6585" s="91" t="str">
        <f t="shared" si="417"/>
        <v>M3</v>
      </c>
      <c r="L6585" s="166" t="str">
        <f t="shared" si="413"/>
        <v>08/2019</v>
      </c>
    </row>
    <row r="6586" spans="1:12" x14ac:dyDescent="0.25">
      <c r="A6586" s="170" t="s">
        <v>9016</v>
      </c>
      <c r="B6586" s="170" t="s">
        <v>9017</v>
      </c>
      <c r="C6586" s="170" t="s">
        <v>85</v>
      </c>
      <c r="D6586" s="170" t="s">
        <v>2067</v>
      </c>
      <c r="E6586" s="171" t="s">
        <v>34725</v>
      </c>
      <c r="F6586" s="171" t="s">
        <v>37809</v>
      </c>
      <c r="H6586" s="96">
        <f t="shared" si="414"/>
        <v>4015.82</v>
      </c>
      <c r="I6586" s="96">
        <f t="shared" si="415"/>
        <v>4027.17</v>
      </c>
      <c r="J6586" s="91" t="str">
        <f t="shared" si="416"/>
        <v>Sinapi 87322</v>
      </c>
      <c r="K6586" s="91" t="str">
        <f t="shared" si="417"/>
        <v>M3</v>
      </c>
      <c r="L6586" s="166" t="str">
        <f t="shared" si="413"/>
        <v>08/2019</v>
      </c>
    </row>
    <row r="6587" spans="1:12" x14ac:dyDescent="0.25">
      <c r="A6587" s="170" t="s">
        <v>9018</v>
      </c>
      <c r="B6587" s="170" t="s">
        <v>9019</v>
      </c>
      <c r="C6587" s="170" t="s">
        <v>85</v>
      </c>
      <c r="D6587" s="170" t="s">
        <v>2067</v>
      </c>
      <c r="E6587" s="171" t="s">
        <v>34726</v>
      </c>
      <c r="F6587" s="171" t="s">
        <v>37810</v>
      </c>
      <c r="H6587" s="96">
        <f t="shared" si="414"/>
        <v>4016.46</v>
      </c>
      <c r="I6587" s="96">
        <f t="shared" si="415"/>
        <v>4025.1</v>
      </c>
      <c r="J6587" s="91" t="str">
        <f t="shared" si="416"/>
        <v>Sinapi 87323</v>
      </c>
      <c r="K6587" s="91" t="str">
        <f t="shared" si="417"/>
        <v>M3</v>
      </c>
      <c r="L6587" s="166" t="str">
        <f t="shared" si="413"/>
        <v>08/2019</v>
      </c>
    </row>
    <row r="6588" spans="1:12" x14ac:dyDescent="0.25">
      <c r="A6588" s="170" t="s">
        <v>9020</v>
      </c>
      <c r="B6588" s="170" t="s">
        <v>9021</v>
      </c>
      <c r="C6588" s="170" t="s">
        <v>85</v>
      </c>
      <c r="D6588" s="170" t="s">
        <v>2067</v>
      </c>
      <c r="E6588" s="171" t="s">
        <v>34727</v>
      </c>
      <c r="F6588" s="171" t="s">
        <v>37811</v>
      </c>
      <c r="H6588" s="96">
        <f t="shared" si="414"/>
        <v>3892.66</v>
      </c>
      <c r="I6588" s="96">
        <f t="shared" si="415"/>
        <v>3904.34</v>
      </c>
      <c r="J6588" s="91" t="str">
        <f t="shared" si="416"/>
        <v>Sinapi 87325</v>
      </c>
      <c r="K6588" s="91" t="str">
        <f t="shared" si="417"/>
        <v>M3</v>
      </c>
      <c r="L6588" s="166" t="str">
        <f t="shared" si="413"/>
        <v>08/2019</v>
      </c>
    </row>
    <row r="6589" spans="1:12" x14ac:dyDescent="0.25">
      <c r="A6589" s="170" t="s">
        <v>9022</v>
      </c>
      <c r="B6589" s="170" t="s">
        <v>9023</v>
      </c>
      <c r="C6589" s="170" t="s">
        <v>85</v>
      </c>
      <c r="D6589" s="170" t="s">
        <v>2067</v>
      </c>
      <c r="E6589" s="171" t="s">
        <v>34728</v>
      </c>
      <c r="F6589" s="171" t="s">
        <v>37812</v>
      </c>
      <c r="H6589" s="96">
        <f t="shared" si="414"/>
        <v>3905.07</v>
      </c>
      <c r="I6589" s="96">
        <f t="shared" si="415"/>
        <v>3913.23</v>
      </c>
      <c r="J6589" s="91" t="str">
        <f t="shared" si="416"/>
        <v>Sinapi 87326</v>
      </c>
      <c r="K6589" s="91" t="str">
        <f t="shared" si="417"/>
        <v>M3</v>
      </c>
      <c r="L6589" s="166" t="str">
        <f t="shared" si="413"/>
        <v>08/2019</v>
      </c>
    </row>
    <row r="6590" spans="1:12" x14ac:dyDescent="0.25">
      <c r="A6590" s="170" t="s">
        <v>9024</v>
      </c>
      <c r="B6590" s="170" t="s">
        <v>9025</v>
      </c>
      <c r="C6590" s="170" t="s">
        <v>85</v>
      </c>
      <c r="D6590" s="170" t="s">
        <v>2067</v>
      </c>
      <c r="E6590" s="171" t="s">
        <v>34729</v>
      </c>
      <c r="F6590" s="171" t="s">
        <v>37813</v>
      </c>
      <c r="H6590" s="96">
        <f t="shared" si="414"/>
        <v>544.29</v>
      </c>
      <c r="I6590" s="96">
        <f t="shared" si="415"/>
        <v>558.83000000000004</v>
      </c>
      <c r="J6590" s="91" t="str">
        <f t="shared" si="416"/>
        <v>Sinapi 87327</v>
      </c>
      <c r="K6590" s="91" t="str">
        <f t="shared" si="417"/>
        <v>M3</v>
      </c>
      <c r="L6590" s="166" t="str">
        <f t="shared" si="413"/>
        <v>08/2019</v>
      </c>
    </row>
    <row r="6591" spans="1:12" x14ac:dyDescent="0.25">
      <c r="A6591" s="170" t="s">
        <v>9026</v>
      </c>
      <c r="B6591" s="170" t="s">
        <v>9027</v>
      </c>
      <c r="C6591" s="170" t="s">
        <v>85</v>
      </c>
      <c r="D6591" s="170" t="s">
        <v>2067</v>
      </c>
      <c r="E6591" s="171" t="s">
        <v>34730</v>
      </c>
      <c r="F6591" s="171" t="s">
        <v>37814</v>
      </c>
      <c r="H6591" s="96">
        <f t="shared" si="414"/>
        <v>487.65</v>
      </c>
      <c r="I6591" s="96">
        <f t="shared" si="415"/>
        <v>495.37</v>
      </c>
      <c r="J6591" s="91" t="str">
        <f t="shared" si="416"/>
        <v>Sinapi 87328</v>
      </c>
      <c r="K6591" s="91" t="str">
        <f t="shared" si="417"/>
        <v>M3</v>
      </c>
      <c r="L6591" s="166" t="str">
        <f t="shared" si="413"/>
        <v>08/2019</v>
      </c>
    </row>
    <row r="6592" spans="1:12" x14ac:dyDescent="0.25">
      <c r="A6592" s="170" t="s">
        <v>9028</v>
      </c>
      <c r="B6592" s="170" t="s">
        <v>9029</v>
      </c>
      <c r="C6592" s="170" t="s">
        <v>85</v>
      </c>
      <c r="D6592" s="170" t="s">
        <v>2067</v>
      </c>
      <c r="E6592" s="171" t="s">
        <v>34731</v>
      </c>
      <c r="F6592" s="171" t="s">
        <v>37815</v>
      </c>
      <c r="H6592" s="96">
        <f t="shared" si="414"/>
        <v>597.44000000000005</v>
      </c>
      <c r="I6592" s="96">
        <f t="shared" si="415"/>
        <v>613.17999999999995</v>
      </c>
      <c r="J6592" s="91" t="str">
        <f t="shared" si="416"/>
        <v>Sinapi 87329</v>
      </c>
      <c r="K6592" s="91" t="str">
        <f t="shared" si="417"/>
        <v>M3</v>
      </c>
      <c r="L6592" s="166" t="str">
        <f t="shared" si="413"/>
        <v>08/2019</v>
      </c>
    </row>
    <row r="6593" spans="1:12" x14ac:dyDescent="0.25">
      <c r="A6593" s="170" t="s">
        <v>9030</v>
      </c>
      <c r="B6593" s="170" t="s">
        <v>9031</v>
      </c>
      <c r="C6593" s="170" t="s">
        <v>85</v>
      </c>
      <c r="D6593" s="170" t="s">
        <v>2067</v>
      </c>
      <c r="E6593" s="171" t="s">
        <v>34732</v>
      </c>
      <c r="F6593" s="171" t="s">
        <v>37816</v>
      </c>
      <c r="H6593" s="96">
        <f t="shared" si="414"/>
        <v>533.20000000000005</v>
      </c>
      <c r="I6593" s="96">
        <f t="shared" si="415"/>
        <v>541.29999999999995</v>
      </c>
      <c r="J6593" s="91" t="str">
        <f t="shared" si="416"/>
        <v>Sinapi 87330</v>
      </c>
      <c r="K6593" s="91" t="str">
        <f t="shared" si="417"/>
        <v>M3</v>
      </c>
      <c r="L6593" s="166" t="str">
        <f t="shared" si="413"/>
        <v>08/2019</v>
      </c>
    </row>
    <row r="6594" spans="1:12" x14ac:dyDescent="0.25">
      <c r="A6594" s="170" t="s">
        <v>9032</v>
      </c>
      <c r="B6594" s="170" t="s">
        <v>9033</v>
      </c>
      <c r="C6594" s="170" t="s">
        <v>85</v>
      </c>
      <c r="D6594" s="170" t="s">
        <v>2067</v>
      </c>
      <c r="E6594" s="171" t="s">
        <v>34733</v>
      </c>
      <c r="F6594" s="171" t="s">
        <v>37817</v>
      </c>
      <c r="H6594" s="96">
        <f t="shared" si="414"/>
        <v>767.42</v>
      </c>
      <c r="I6594" s="96">
        <f t="shared" si="415"/>
        <v>782.86</v>
      </c>
      <c r="J6594" s="91" t="str">
        <f t="shared" si="416"/>
        <v>Sinapi 87331</v>
      </c>
      <c r="K6594" s="91" t="str">
        <f t="shared" si="417"/>
        <v>M3</v>
      </c>
      <c r="L6594" s="166" t="str">
        <f t="shared" si="413"/>
        <v>08/2019</v>
      </c>
    </row>
    <row r="6595" spans="1:12" x14ac:dyDescent="0.25">
      <c r="A6595" s="170" t="s">
        <v>9034</v>
      </c>
      <c r="B6595" s="170" t="s">
        <v>9035</v>
      </c>
      <c r="C6595" s="170" t="s">
        <v>85</v>
      </c>
      <c r="D6595" s="170" t="s">
        <v>2067</v>
      </c>
      <c r="E6595" s="171" t="s">
        <v>34734</v>
      </c>
      <c r="F6595" s="171" t="s">
        <v>37818</v>
      </c>
      <c r="H6595" s="96">
        <f t="shared" si="414"/>
        <v>709.65</v>
      </c>
      <c r="I6595" s="96">
        <f t="shared" si="415"/>
        <v>717.85</v>
      </c>
      <c r="J6595" s="91" t="str">
        <f t="shared" si="416"/>
        <v>Sinapi 87332</v>
      </c>
      <c r="K6595" s="91" t="str">
        <f t="shared" si="417"/>
        <v>M3</v>
      </c>
      <c r="L6595" s="166" t="str">
        <f t="shared" si="413"/>
        <v>08/2019</v>
      </c>
    </row>
    <row r="6596" spans="1:12" x14ac:dyDescent="0.25">
      <c r="A6596" s="170" t="s">
        <v>9036</v>
      </c>
      <c r="B6596" s="170" t="s">
        <v>9037</v>
      </c>
      <c r="C6596" s="170" t="s">
        <v>85</v>
      </c>
      <c r="D6596" s="170" t="s">
        <v>2067</v>
      </c>
      <c r="E6596" s="171" t="s">
        <v>34735</v>
      </c>
      <c r="F6596" s="171" t="s">
        <v>37819</v>
      </c>
      <c r="H6596" s="96">
        <f t="shared" si="414"/>
        <v>717.53</v>
      </c>
      <c r="I6596" s="96">
        <f t="shared" si="415"/>
        <v>730.88</v>
      </c>
      <c r="J6596" s="91" t="str">
        <f t="shared" si="416"/>
        <v>Sinapi 87333</v>
      </c>
      <c r="K6596" s="91" t="str">
        <f t="shared" si="417"/>
        <v>M3</v>
      </c>
      <c r="L6596" s="166" t="str">
        <f t="shared" si="413"/>
        <v>08/2019</v>
      </c>
    </row>
    <row r="6597" spans="1:12" x14ac:dyDescent="0.25">
      <c r="A6597" s="170" t="s">
        <v>9038</v>
      </c>
      <c r="B6597" s="170" t="s">
        <v>9039</v>
      </c>
      <c r="C6597" s="170" t="s">
        <v>85</v>
      </c>
      <c r="D6597" s="170" t="s">
        <v>2067</v>
      </c>
      <c r="E6597" s="171" t="s">
        <v>34736</v>
      </c>
      <c r="F6597" s="171" t="s">
        <v>37820</v>
      </c>
      <c r="H6597" s="96">
        <f t="shared" si="414"/>
        <v>681.23</v>
      </c>
      <c r="I6597" s="96">
        <f t="shared" si="415"/>
        <v>690.05</v>
      </c>
      <c r="J6597" s="91" t="str">
        <f t="shared" si="416"/>
        <v>Sinapi 87334</v>
      </c>
      <c r="K6597" s="91" t="str">
        <f t="shared" si="417"/>
        <v>M3</v>
      </c>
      <c r="L6597" s="166" t="str">
        <f t="shared" si="413"/>
        <v>08/2019</v>
      </c>
    </row>
    <row r="6598" spans="1:12" x14ac:dyDescent="0.25">
      <c r="A6598" s="170" t="s">
        <v>9040</v>
      </c>
      <c r="B6598" s="170" t="s">
        <v>9041</v>
      </c>
      <c r="C6598" s="170" t="s">
        <v>85</v>
      </c>
      <c r="D6598" s="170" t="s">
        <v>2067</v>
      </c>
      <c r="E6598" s="171" t="s">
        <v>34737</v>
      </c>
      <c r="F6598" s="171" t="s">
        <v>37821</v>
      </c>
      <c r="H6598" s="96">
        <f t="shared" si="414"/>
        <v>711.19</v>
      </c>
      <c r="I6598" s="96">
        <f t="shared" si="415"/>
        <v>723.54</v>
      </c>
      <c r="J6598" s="91" t="str">
        <f t="shared" si="416"/>
        <v>Sinapi 87335</v>
      </c>
      <c r="K6598" s="91" t="str">
        <f t="shared" si="417"/>
        <v>M3</v>
      </c>
      <c r="L6598" s="166" t="str">
        <f t="shared" si="413"/>
        <v>08/2019</v>
      </c>
    </row>
    <row r="6599" spans="1:12" x14ac:dyDescent="0.25">
      <c r="A6599" s="170" t="s">
        <v>9042</v>
      </c>
      <c r="B6599" s="170" t="s">
        <v>9043</v>
      </c>
      <c r="C6599" s="170" t="s">
        <v>85</v>
      </c>
      <c r="D6599" s="170" t="s">
        <v>2067</v>
      </c>
      <c r="E6599" s="171" t="s">
        <v>34738</v>
      </c>
      <c r="F6599" s="171" t="s">
        <v>37822</v>
      </c>
      <c r="H6599" s="96">
        <f t="shared" si="414"/>
        <v>713.77</v>
      </c>
      <c r="I6599" s="96">
        <f t="shared" si="415"/>
        <v>722.22</v>
      </c>
      <c r="J6599" s="91" t="str">
        <f t="shared" si="416"/>
        <v>Sinapi 87336</v>
      </c>
      <c r="K6599" s="91" t="str">
        <f t="shared" si="417"/>
        <v>M3</v>
      </c>
      <c r="L6599" s="166" t="str">
        <f t="shared" si="413"/>
        <v>08/2019</v>
      </c>
    </row>
    <row r="6600" spans="1:12" x14ac:dyDescent="0.25">
      <c r="A6600" s="170" t="s">
        <v>9044</v>
      </c>
      <c r="B6600" s="170" t="s">
        <v>9045</v>
      </c>
      <c r="C6600" s="170" t="s">
        <v>85</v>
      </c>
      <c r="D6600" s="170" t="s">
        <v>2067</v>
      </c>
      <c r="E6600" s="171" t="s">
        <v>34739</v>
      </c>
      <c r="F6600" s="171" t="s">
        <v>37823</v>
      </c>
      <c r="H6600" s="96">
        <f t="shared" si="414"/>
        <v>696.76</v>
      </c>
      <c r="I6600" s="96">
        <f t="shared" si="415"/>
        <v>708.91</v>
      </c>
      <c r="J6600" s="91" t="str">
        <f t="shared" si="416"/>
        <v>Sinapi 87337</v>
      </c>
      <c r="K6600" s="91" t="str">
        <f t="shared" si="417"/>
        <v>M3</v>
      </c>
      <c r="L6600" s="166" t="str">
        <f t="shared" ref="L6600:L6663" si="418">IF(OR(RIGHT(IF(AND(K6600&lt;&gt;"H",K6600&lt;&gt;"MES"),RIGHT(B6600,7),""),2)="PS",RIGHT(IF(AND(K6600&lt;&gt;"H",K6600&lt;&gt;"MES"),RIGHT(B6600,7),""),2)="PA",RIGHT(IF(AND(K6600&lt;&gt;"H",K6600&lt;&gt;"MES"),RIGHT(B6600,7),""),2)="PE"),LEFT(IF(AND(K6600&lt;&gt;"H",K6600&lt;&gt;"MES"),RIGHT(B6600,10),""),7),IF(AND(K6600&lt;&gt;"H",K6600&lt;&gt;"MES"),RIGHT(B6600,7),""))</f>
        <v>08/2019</v>
      </c>
    </row>
    <row r="6601" spans="1:12" x14ac:dyDescent="0.25">
      <c r="A6601" s="170" t="s">
        <v>9046</v>
      </c>
      <c r="B6601" s="170" t="s">
        <v>9047</v>
      </c>
      <c r="C6601" s="170" t="s">
        <v>85</v>
      </c>
      <c r="D6601" s="170" t="s">
        <v>2067</v>
      </c>
      <c r="E6601" s="171" t="s">
        <v>34740</v>
      </c>
      <c r="F6601" s="171" t="s">
        <v>37824</v>
      </c>
      <c r="H6601" s="96">
        <f t="shared" si="414"/>
        <v>667.76</v>
      </c>
      <c r="I6601" s="96">
        <f t="shared" si="415"/>
        <v>678.18</v>
      </c>
      <c r="J6601" s="91" t="str">
        <f t="shared" si="416"/>
        <v>Sinapi 87338</v>
      </c>
      <c r="K6601" s="91" t="str">
        <f t="shared" si="417"/>
        <v>M3</v>
      </c>
      <c r="L6601" s="166" t="str">
        <f t="shared" si="418"/>
        <v>08/2019</v>
      </c>
    </row>
    <row r="6602" spans="1:12" x14ac:dyDescent="0.25">
      <c r="A6602" s="170" t="s">
        <v>9048</v>
      </c>
      <c r="B6602" s="170" t="s">
        <v>9049</v>
      </c>
      <c r="C6602" s="170" t="s">
        <v>85</v>
      </c>
      <c r="D6602" s="170" t="s">
        <v>2067</v>
      </c>
      <c r="E6602" s="171" t="s">
        <v>34741</v>
      </c>
      <c r="F6602" s="171" t="s">
        <v>37825</v>
      </c>
      <c r="H6602" s="96">
        <f t="shared" si="414"/>
        <v>1048.0999999999999</v>
      </c>
      <c r="I6602" s="96">
        <f t="shared" si="415"/>
        <v>1073.8699999999999</v>
      </c>
      <c r="J6602" s="91" t="str">
        <f t="shared" si="416"/>
        <v>Sinapi 87339</v>
      </c>
      <c r="K6602" s="91" t="str">
        <f t="shared" si="417"/>
        <v>M3</v>
      </c>
      <c r="L6602" s="166" t="str">
        <f t="shared" si="418"/>
        <v>08/2019</v>
      </c>
    </row>
    <row r="6603" spans="1:12" x14ac:dyDescent="0.25">
      <c r="A6603" s="170" t="s">
        <v>9050</v>
      </c>
      <c r="B6603" s="170" t="s">
        <v>9051</v>
      </c>
      <c r="C6603" s="170" t="s">
        <v>85</v>
      </c>
      <c r="D6603" s="170" t="s">
        <v>2067</v>
      </c>
      <c r="E6603" s="171" t="s">
        <v>34742</v>
      </c>
      <c r="F6603" s="171" t="s">
        <v>29113</v>
      </c>
      <c r="H6603" s="96">
        <f t="shared" si="414"/>
        <v>932.14</v>
      </c>
      <c r="I6603" s="96">
        <f t="shared" si="415"/>
        <v>944.04</v>
      </c>
      <c r="J6603" s="91" t="str">
        <f t="shared" si="416"/>
        <v>Sinapi 87340</v>
      </c>
      <c r="K6603" s="91" t="str">
        <f t="shared" si="417"/>
        <v>M3</v>
      </c>
      <c r="L6603" s="166" t="str">
        <f t="shared" si="418"/>
        <v>08/2019</v>
      </c>
    </row>
    <row r="6604" spans="1:12" x14ac:dyDescent="0.25">
      <c r="A6604" s="170" t="s">
        <v>9052</v>
      </c>
      <c r="B6604" s="170" t="s">
        <v>9053</v>
      </c>
      <c r="C6604" s="170" t="s">
        <v>85</v>
      </c>
      <c r="D6604" s="170" t="s">
        <v>2067</v>
      </c>
      <c r="E6604" s="171" t="s">
        <v>34743</v>
      </c>
      <c r="F6604" s="171" t="s">
        <v>37826</v>
      </c>
      <c r="H6604" s="96">
        <f t="shared" si="414"/>
        <v>902.88</v>
      </c>
      <c r="I6604" s="96">
        <f t="shared" si="415"/>
        <v>910.93</v>
      </c>
      <c r="J6604" s="91" t="str">
        <f t="shared" si="416"/>
        <v>Sinapi 87341</v>
      </c>
      <c r="K6604" s="91" t="str">
        <f t="shared" si="417"/>
        <v>M3</v>
      </c>
      <c r="L6604" s="166" t="str">
        <f t="shared" si="418"/>
        <v>08/2019</v>
      </c>
    </row>
    <row r="6605" spans="1:12" x14ac:dyDescent="0.25">
      <c r="A6605" s="170" t="s">
        <v>9054</v>
      </c>
      <c r="B6605" s="170" t="s">
        <v>9055</v>
      </c>
      <c r="C6605" s="170" t="s">
        <v>85</v>
      </c>
      <c r="D6605" s="170" t="s">
        <v>2067</v>
      </c>
      <c r="E6605" s="171" t="s">
        <v>34744</v>
      </c>
      <c r="F6605" s="171" t="s">
        <v>37827</v>
      </c>
      <c r="H6605" s="96">
        <f t="shared" si="414"/>
        <v>868.95</v>
      </c>
      <c r="I6605" s="96">
        <f t="shared" si="415"/>
        <v>889.74</v>
      </c>
      <c r="J6605" s="91" t="str">
        <f t="shared" si="416"/>
        <v>Sinapi 87342</v>
      </c>
      <c r="K6605" s="91" t="str">
        <f t="shared" si="417"/>
        <v>M3</v>
      </c>
      <c r="L6605" s="166" t="str">
        <f t="shared" si="418"/>
        <v>08/2019</v>
      </c>
    </row>
    <row r="6606" spans="1:12" x14ac:dyDescent="0.25">
      <c r="A6606" s="170" t="s">
        <v>9056</v>
      </c>
      <c r="B6606" s="170" t="s">
        <v>9057</v>
      </c>
      <c r="C6606" s="170" t="s">
        <v>85</v>
      </c>
      <c r="D6606" s="170" t="s">
        <v>2067</v>
      </c>
      <c r="E6606" s="171" t="s">
        <v>34745</v>
      </c>
      <c r="F6606" s="171" t="s">
        <v>37828</v>
      </c>
      <c r="H6606" s="96">
        <f t="shared" si="414"/>
        <v>803.31</v>
      </c>
      <c r="I6606" s="96">
        <f t="shared" si="415"/>
        <v>816.21</v>
      </c>
      <c r="J6606" s="91" t="str">
        <f t="shared" si="416"/>
        <v>Sinapi 87343</v>
      </c>
      <c r="K6606" s="91" t="str">
        <f t="shared" si="417"/>
        <v>M3</v>
      </c>
      <c r="L6606" s="166" t="str">
        <f t="shared" si="418"/>
        <v>08/2019</v>
      </c>
    </row>
    <row r="6607" spans="1:12" x14ac:dyDescent="0.25">
      <c r="A6607" s="170" t="s">
        <v>9058</v>
      </c>
      <c r="B6607" s="170" t="s">
        <v>9059</v>
      </c>
      <c r="C6607" s="170" t="s">
        <v>85</v>
      </c>
      <c r="D6607" s="170" t="s">
        <v>2067</v>
      </c>
      <c r="E6607" s="171" t="s">
        <v>28759</v>
      </c>
      <c r="F6607" s="171" t="s">
        <v>37829</v>
      </c>
      <c r="H6607" s="96">
        <f t="shared" si="414"/>
        <v>767.35</v>
      </c>
      <c r="I6607" s="96">
        <f t="shared" si="415"/>
        <v>775.36</v>
      </c>
      <c r="J6607" s="91" t="str">
        <f t="shared" si="416"/>
        <v>Sinapi 87344</v>
      </c>
      <c r="K6607" s="91" t="str">
        <f t="shared" si="417"/>
        <v>M3</v>
      </c>
      <c r="L6607" s="166" t="str">
        <f t="shared" si="418"/>
        <v>08/2019</v>
      </c>
    </row>
    <row r="6608" spans="1:12" x14ac:dyDescent="0.25">
      <c r="A6608" s="170" t="s">
        <v>9060</v>
      </c>
      <c r="B6608" s="170" t="s">
        <v>9061</v>
      </c>
      <c r="C6608" s="170" t="s">
        <v>85</v>
      </c>
      <c r="D6608" s="170" t="s">
        <v>2067</v>
      </c>
      <c r="E6608" s="171" t="s">
        <v>34746</v>
      </c>
      <c r="F6608" s="171" t="s">
        <v>29351</v>
      </c>
      <c r="H6608" s="96">
        <f t="shared" si="414"/>
        <v>758.19</v>
      </c>
      <c r="I6608" s="96">
        <f t="shared" si="415"/>
        <v>776.72</v>
      </c>
      <c r="J6608" s="91" t="str">
        <f t="shared" si="416"/>
        <v>Sinapi 87345</v>
      </c>
      <c r="K6608" s="91" t="str">
        <f t="shared" si="417"/>
        <v>M3</v>
      </c>
      <c r="L6608" s="166" t="str">
        <f t="shared" si="418"/>
        <v>08/2019</v>
      </c>
    </row>
    <row r="6609" spans="1:12" x14ac:dyDescent="0.25">
      <c r="A6609" s="170" t="s">
        <v>9062</v>
      </c>
      <c r="B6609" s="170" t="s">
        <v>9063</v>
      </c>
      <c r="C6609" s="170" t="s">
        <v>85</v>
      </c>
      <c r="D6609" s="170" t="s">
        <v>2067</v>
      </c>
      <c r="E6609" s="171" t="s">
        <v>34747</v>
      </c>
      <c r="F6609" s="171" t="s">
        <v>37830</v>
      </c>
      <c r="H6609" s="96">
        <f t="shared" si="414"/>
        <v>704.44</v>
      </c>
      <c r="I6609" s="96">
        <f t="shared" si="415"/>
        <v>716.37</v>
      </c>
      <c r="J6609" s="91" t="str">
        <f t="shared" si="416"/>
        <v>Sinapi 87346</v>
      </c>
      <c r="K6609" s="91" t="str">
        <f t="shared" si="417"/>
        <v>M3</v>
      </c>
      <c r="L6609" s="166" t="str">
        <f t="shared" si="418"/>
        <v>08/2019</v>
      </c>
    </row>
    <row r="6610" spans="1:12" x14ac:dyDescent="0.25">
      <c r="A6610" s="170" t="s">
        <v>9064</v>
      </c>
      <c r="B6610" s="170" t="s">
        <v>9065</v>
      </c>
      <c r="C6610" s="170" t="s">
        <v>85</v>
      </c>
      <c r="D6610" s="170" t="s">
        <v>2067</v>
      </c>
      <c r="E6610" s="171" t="s">
        <v>34748</v>
      </c>
      <c r="F6610" s="171" t="s">
        <v>37831</v>
      </c>
      <c r="H6610" s="96">
        <f t="shared" si="414"/>
        <v>674.54</v>
      </c>
      <c r="I6610" s="96">
        <f t="shared" si="415"/>
        <v>682.62</v>
      </c>
      <c r="J6610" s="91" t="str">
        <f t="shared" si="416"/>
        <v>Sinapi 87347</v>
      </c>
      <c r="K6610" s="91" t="str">
        <f t="shared" si="417"/>
        <v>M3</v>
      </c>
      <c r="L6610" s="166" t="str">
        <f t="shared" si="418"/>
        <v>08/2019</v>
      </c>
    </row>
    <row r="6611" spans="1:12" x14ac:dyDescent="0.25">
      <c r="A6611" s="170" t="s">
        <v>9066</v>
      </c>
      <c r="B6611" s="170" t="s">
        <v>9067</v>
      </c>
      <c r="C6611" s="170" t="s">
        <v>85</v>
      </c>
      <c r="D6611" s="170" t="s">
        <v>2067</v>
      </c>
      <c r="E6611" s="171" t="s">
        <v>34749</v>
      </c>
      <c r="F6611" s="171" t="s">
        <v>37832</v>
      </c>
      <c r="H6611" s="96">
        <f t="shared" si="414"/>
        <v>676.18</v>
      </c>
      <c r="I6611" s="96">
        <f t="shared" si="415"/>
        <v>692.86</v>
      </c>
      <c r="J6611" s="91" t="str">
        <f t="shared" si="416"/>
        <v>Sinapi 87348</v>
      </c>
      <c r="K6611" s="91" t="str">
        <f t="shared" si="417"/>
        <v>M3</v>
      </c>
      <c r="L6611" s="166" t="str">
        <f t="shared" si="418"/>
        <v>08/2019</v>
      </c>
    </row>
    <row r="6612" spans="1:12" x14ac:dyDescent="0.25">
      <c r="A6612" s="170" t="s">
        <v>9068</v>
      </c>
      <c r="B6612" s="170" t="s">
        <v>9069</v>
      </c>
      <c r="C6612" s="170" t="s">
        <v>85</v>
      </c>
      <c r="D6612" s="170" t="s">
        <v>2067</v>
      </c>
      <c r="E6612" s="171" t="s">
        <v>34750</v>
      </c>
      <c r="F6612" s="171" t="s">
        <v>37833</v>
      </c>
      <c r="H6612" s="96">
        <f t="shared" si="414"/>
        <v>605.08000000000004</v>
      </c>
      <c r="I6612" s="96">
        <f t="shared" si="415"/>
        <v>612.66</v>
      </c>
      <c r="J6612" s="91" t="str">
        <f t="shared" si="416"/>
        <v>Sinapi 87349</v>
      </c>
      <c r="K6612" s="91" t="str">
        <f t="shared" si="417"/>
        <v>M3</v>
      </c>
      <c r="L6612" s="166" t="str">
        <f t="shared" si="418"/>
        <v>08/2019</v>
      </c>
    </row>
    <row r="6613" spans="1:12" x14ac:dyDescent="0.25">
      <c r="A6613" s="170" t="s">
        <v>9070</v>
      </c>
      <c r="B6613" s="170" t="s">
        <v>9071</v>
      </c>
      <c r="C6613" s="170" t="s">
        <v>85</v>
      </c>
      <c r="D6613" s="170" t="s">
        <v>2067</v>
      </c>
      <c r="E6613" s="171" t="s">
        <v>34751</v>
      </c>
      <c r="F6613" s="171" t="s">
        <v>37834</v>
      </c>
      <c r="H6613" s="96">
        <f t="shared" si="414"/>
        <v>591.91999999999996</v>
      </c>
      <c r="I6613" s="96">
        <f t="shared" si="415"/>
        <v>607.88</v>
      </c>
      <c r="J6613" s="91" t="str">
        <f t="shared" si="416"/>
        <v>Sinapi 87350</v>
      </c>
      <c r="K6613" s="91" t="str">
        <f t="shared" si="417"/>
        <v>M3</v>
      </c>
      <c r="L6613" s="166" t="str">
        <f t="shared" si="418"/>
        <v>08/2019</v>
      </c>
    </row>
    <row r="6614" spans="1:12" x14ac:dyDescent="0.25">
      <c r="A6614" s="170" t="s">
        <v>9072</v>
      </c>
      <c r="B6614" s="170" t="s">
        <v>9073</v>
      </c>
      <c r="C6614" s="170" t="s">
        <v>85</v>
      </c>
      <c r="D6614" s="170" t="s">
        <v>2067</v>
      </c>
      <c r="E6614" s="171" t="s">
        <v>34752</v>
      </c>
      <c r="F6614" s="171" t="s">
        <v>37835</v>
      </c>
      <c r="H6614" s="96">
        <f t="shared" si="414"/>
        <v>522.70000000000005</v>
      </c>
      <c r="I6614" s="96">
        <f t="shared" si="415"/>
        <v>530.57000000000005</v>
      </c>
      <c r="J6614" s="91" t="str">
        <f t="shared" si="416"/>
        <v>Sinapi 87351</v>
      </c>
      <c r="K6614" s="91" t="str">
        <f t="shared" si="417"/>
        <v>M3</v>
      </c>
      <c r="L6614" s="166" t="str">
        <f t="shared" si="418"/>
        <v>08/2019</v>
      </c>
    </row>
    <row r="6615" spans="1:12" x14ac:dyDescent="0.25">
      <c r="A6615" s="170" t="s">
        <v>9074</v>
      </c>
      <c r="B6615" s="170" t="s">
        <v>9075</v>
      </c>
      <c r="C6615" s="170" t="s">
        <v>85</v>
      </c>
      <c r="D6615" s="170" t="s">
        <v>2067</v>
      </c>
      <c r="E6615" s="171" t="s">
        <v>34753</v>
      </c>
      <c r="F6615" s="171" t="s">
        <v>37836</v>
      </c>
      <c r="H6615" s="96">
        <f t="shared" si="414"/>
        <v>796.23</v>
      </c>
      <c r="I6615" s="96">
        <f t="shared" si="415"/>
        <v>816.47</v>
      </c>
      <c r="J6615" s="91" t="str">
        <f t="shared" si="416"/>
        <v>Sinapi 87352</v>
      </c>
      <c r="K6615" s="91" t="str">
        <f t="shared" si="417"/>
        <v>M3</v>
      </c>
      <c r="L6615" s="166" t="str">
        <f t="shared" si="418"/>
        <v>08/2019</v>
      </c>
    </row>
    <row r="6616" spans="1:12" x14ac:dyDescent="0.25">
      <c r="A6616" s="170" t="s">
        <v>9076</v>
      </c>
      <c r="B6616" s="170" t="s">
        <v>9077</v>
      </c>
      <c r="C6616" s="170" t="s">
        <v>85</v>
      </c>
      <c r="D6616" s="170" t="s">
        <v>2067</v>
      </c>
      <c r="E6616" s="171" t="s">
        <v>34754</v>
      </c>
      <c r="F6616" s="171" t="s">
        <v>37837</v>
      </c>
      <c r="H6616" s="96">
        <f t="shared" si="414"/>
        <v>723.97</v>
      </c>
      <c r="I6616" s="96">
        <f t="shared" si="415"/>
        <v>735.82</v>
      </c>
      <c r="J6616" s="91" t="str">
        <f t="shared" si="416"/>
        <v>Sinapi 87353</v>
      </c>
      <c r="K6616" s="91" t="str">
        <f t="shared" si="417"/>
        <v>M3</v>
      </c>
      <c r="L6616" s="166" t="str">
        <f t="shared" si="418"/>
        <v>08/2019</v>
      </c>
    </row>
    <row r="6617" spans="1:12" x14ac:dyDescent="0.25">
      <c r="A6617" s="170" t="s">
        <v>9078</v>
      </c>
      <c r="B6617" s="170" t="s">
        <v>9079</v>
      </c>
      <c r="C6617" s="170" t="s">
        <v>85</v>
      </c>
      <c r="D6617" s="170" t="s">
        <v>2067</v>
      </c>
      <c r="E6617" s="171" t="s">
        <v>34755</v>
      </c>
      <c r="F6617" s="171" t="s">
        <v>37838</v>
      </c>
      <c r="H6617" s="96">
        <f t="shared" si="414"/>
        <v>692.26</v>
      </c>
      <c r="I6617" s="96">
        <f t="shared" si="415"/>
        <v>699.74</v>
      </c>
      <c r="J6617" s="91" t="str">
        <f t="shared" si="416"/>
        <v>Sinapi 87354</v>
      </c>
      <c r="K6617" s="91" t="str">
        <f t="shared" si="417"/>
        <v>M3</v>
      </c>
      <c r="L6617" s="166" t="str">
        <f t="shared" si="418"/>
        <v>08/2019</v>
      </c>
    </row>
    <row r="6618" spans="1:12" x14ac:dyDescent="0.25">
      <c r="A6618" s="170" t="s">
        <v>9080</v>
      </c>
      <c r="B6618" s="170" t="s">
        <v>9081</v>
      </c>
      <c r="C6618" s="170" t="s">
        <v>85</v>
      </c>
      <c r="D6618" s="170" t="s">
        <v>2067</v>
      </c>
      <c r="E6618" s="171" t="s">
        <v>34756</v>
      </c>
      <c r="F6618" s="171" t="s">
        <v>37839</v>
      </c>
      <c r="H6618" s="96">
        <f t="shared" si="414"/>
        <v>659.02</v>
      </c>
      <c r="I6618" s="96">
        <f t="shared" si="415"/>
        <v>675.33</v>
      </c>
      <c r="J6618" s="91" t="str">
        <f t="shared" si="416"/>
        <v>Sinapi 87355</v>
      </c>
      <c r="K6618" s="91" t="str">
        <f t="shared" si="417"/>
        <v>M3</v>
      </c>
      <c r="L6618" s="166" t="str">
        <f t="shared" si="418"/>
        <v>08/2019</v>
      </c>
    </row>
    <row r="6619" spans="1:12" x14ac:dyDescent="0.25">
      <c r="A6619" s="170" t="s">
        <v>9082</v>
      </c>
      <c r="B6619" s="170" t="s">
        <v>9083</v>
      </c>
      <c r="C6619" s="170" t="s">
        <v>85</v>
      </c>
      <c r="D6619" s="170" t="s">
        <v>2067</v>
      </c>
      <c r="E6619" s="171" t="s">
        <v>34757</v>
      </c>
      <c r="F6619" s="171" t="s">
        <v>37840</v>
      </c>
      <c r="H6619" s="96">
        <f t="shared" si="414"/>
        <v>610.82000000000005</v>
      </c>
      <c r="I6619" s="96">
        <f t="shared" si="415"/>
        <v>621.23</v>
      </c>
      <c r="J6619" s="91" t="str">
        <f t="shared" si="416"/>
        <v>Sinapi 87356</v>
      </c>
      <c r="K6619" s="91" t="str">
        <f t="shared" si="417"/>
        <v>M3</v>
      </c>
      <c r="L6619" s="166" t="str">
        <f t="shared" si="418"/>
        <v>08/2019</v>
      </c>
    </row>
    <row r="6620" spans="1:12" x14ac:dyDescent="0.25">
      <c r="A6620" s="170" t="s">
        <v>9084</v>
      </c>
      <c r="B6620" s="170" t="s">
        <v>9085</v>
      </c>
      <c r="C6620" s="170" t="s">
        <v>85</v>
      </c>
      <c r="D6620" s="170" t="s">
        <v>2067</v>
      </c>
      <c r="E6620" s="171" t="s">
        <v>34758</v>
      </c>
      <c r="F6620" s="171" t="s">
        <v>37841</v>
      </c>
      <c r="H6620" s="96">
        <f t="shared" si="414"/>
        <v>586.96</v>
      </c>
      <c r="I6620" s="96">
        <f t="shared" si="415"/>
        <v>594.25</v>
      </c>
      <c r="J6620" s="91" t="str">
        <f t="shared" si="416"/>
        <v>Sinapi 87357</v>
      </c>
      <c r="K6620" s="91" t="str">
        <f t="shared" si="417"/>
        <v>M3</v>
      </c>
      <c r="L6620" s="166" t="str">
        <f t="shared" si="418"/>
        <v>08/2019</v>
      </c>
    </row>
    <row r="6621" spans="1:12" x14ac:dyDescent="0.25">
      <c r="A6621" s="170" t="s">
        <v>9086</v>
      </c>
      <c r="B6621" s="170" t="s">
        <v>9087</v>
      </c>
      <c r="C6621" s="170" t="s">
        <v>85</v>
      </c>
      <c r="D6621" s="170" t="s">
        <v>2067</v>
      </c>
      <c r="E6621" s="171" t="s">
        <v>34759</v>
      </c>
      <c r="F6621" s="171" t="s">
        <v>37842</v>
      </c>
      <c r="H6621" s="96">
        <f t="shared" si="414"/>
        <v>3795.2</v>
      </c>
      <c r="I6621" s="96">
        <f t="shared" si="415"/>
        <v>3808.57</v>
      </c>
      <c r="J6621" s="91" t="str">
        <f t="shared" si="416"/>
        <v>Sinapi 87358</v>
      </c>
      <c r="K6621" s="91" t="str">
        <f t="shared" si="417"/>
        <v>M3</v>
      </c>
      <c r="L6621" s="166" t="str">
        <f t="shared" si="418"/>
        <v>08/2019</v>
      </c>
    </row>
    <row r="6622" spans="1:12" x14ac:dyDescent="0.25">
      <c r="A6622" s="170" t="s">
        <v>9088</v>
      </c>
      <c r="B6622" s="170" t="s">
        <v>9089</v>
      </c>
      <c r="C6622" s="170" t="s">
        <v>85</v>
      </c>
      <c r="D6622" s="170" t="s">
        <v>2067</v>
      </c>
      <c r="E6622" s="171" t="s">
        <v>34760</v>
      </c>
      <c r="F6622" s="171" t="s">
        <v>37843</v>
      </c>
      <c r="H6622" s="96">
        <f t="shared" si="414"/>
        <v>3769</v>
      </c>
      <c r="I6622" s="96">
        <f t="shared" si="415"/>
        <v>3777.62</v>
      </c>
      <c r="J6622" s="91" t="str">
        <f t="shared" si="416"/>
        <v>Sinapi 87359</v>
      </c>
      <c r="K6622" s="91" t="str">
        <f t="shared" si="417"/>
        <v>M3</v>
      </c>
      <c r="L6622" s="166" t="str">
        <f t="shared" si="418"/>
        <v>08/2019</v>
      </c>
    </row>
    <row r="6623" spans="1:12" x14ac:dyDescent="0.25">
      <c r="A6623" s="170" t="s">
        <v>9090</v>
      </c>
      <c r="B6623" s="170" t="s">
        <v>9091</v>
      </c>
      <c r="C6623" s="170" t="s">
        <v>85</v>
      </c>
      <c r="D6623" s="170" t="s">
        <v>2067</v>
      </c>
      <c r="E6623" s="171" t="s">
        <v>34761</v>
      </c>
      <c r="F6623" s="171" t="s">
        <v>37844</v>
      </c>
      <c r="H6623" s="96">
        <f t="shared" si="414"/>
        <v>3961.18</v>
      </c>
      <c r="I6623" s="96">
        <f t="shared" si="415"/>
        <v>3978.34</v>
      </c>
      <c r="J6623" s="91" t="str">
        <f t="shared" si="416"/>
        <v>Sinapi 87360</v>
      </c>
      <c r="K6623" s="91" t="str">
        <f t="shared" si="417"/>
        <v>M3</v>
      </c>
      <c r="L6623" s="166" t="str">
        <f t="shared" si="418"/>
        <v>08/2019</v>
      </c>
    </row>
    <row r="6624" spans="1:12" x14ac:dyDescent="0.25">
      <c r="A6624" s="170" t="s">
        <v>9092</v>
      </c>
      <c r="B6624" s="170" t="s">
        <v>9093</v>
      </c>
      <c r="C6624" s="170" t="s">
        <v>85</v>
      </c>
      <c r="D6624" s="170" t="s">
        <v>2067</v>
      </c>
      <c r="E6624" s="171" t="s">
        <v>34762</v>
      </c>
      <c r="F6624" s="171" t="s">
        <v>37845</v>
      </c>
      <c r="H6624" s="96">
        <f t="shared" si="414"/>
        <v>3922.48</v>
      </c>
      <c r="I6624" s="96">
        <f t="shared" si="415"/>
        <v>3932.74</v>
      </c>
      <c r="J6624" s="91" t="str">
        <f t="shared" si="416"/>
        <v>Sinapi 87361</v>
      </c>
      <c r="K6624" s="91" t="str">
        <f t="shared" si="417"/>
        <v>M3</v>
      </c>
      <c r="L6624" s="166" t="str">
        <f t="shared" si="418"/>
        <v>08/2019</v>
      </c>
    </row>
    <row r="6625" spans="1:12" x14ac:dyDescent="0.25">
      <c r="A6625" s="170" t="s">
        <v>9094</v>
      </c>
      <c r="B6625" s="170" t="s">
        <v>9095</v>
      </c>
      <c r="C6625" s="170" t="s">
        <v>85</v>
      </c>
      <c r="D6625" s="170" t="s">
        <v>2067</v>
      </c>
      <c r="E6625" s="171" t="s">
        <v>34763</v>
      </c>
      <c r="F6625" s="171" t="s">
        <v>37846</v>
      </c>
      <c r="H6625" s="96">
        <f t="shared" si="414"/>
        <v>3924.6</v>
      </c>
      <c r="I6625" s="96">
        <f t="shared" si="415"/>
        <v>3931.83</v>
      </c>
      <c r="J6625" s="91" t="str">
        <f t="shared" si="416"/>
        <v>Sinapi 87362</v>
      </c>
      <c r="K6625" s="91" t="str">
        <f t="shared" si="417"/>
        <v>M3</v>
      </c>
      <c r="L6625" s="166" t="str">
        <f t="shared" si="418"/>
        <v>08/2019</v>
      </c>
    </row>
    <row r="6626" spans="1:12" x14ac:dyDescent="0.25">
      <c r="A6626" s="170" t="s">
        <v>9096</v>
      </c>
      <c r="B6626" s="170" t="s">
        <v>9097</v>
      </c>
      <c r="C6626" s="170" t="s">
        <v>85</v>
      </c>
      <c r="D6626" s="170" t="s">
        <v>2067</v>
      </c>
      <c r="E6626" s="171" t="s">
        <v>34764</v>
      </c>
      <c r="F6626" s="171" t="s">
        <v>37847</v>
      </c>
      <c r="H6626" s="96">
        <f t="shared" si="414"/>
        <v>3856.54</v>
      </c>
      <c r="I6626" s="96">
        <f t="shared" si="415"/>
        <v>3871.14</v>
      </c>
      <c r="J6626" s="91" t="str">
        <f t="shared" si="416"/>
        <v>Sinapi 87363</v>
      </c>
      <c r="K6626" s="91" t="str">
        <f t="shared" si="417"/>
        <v>M3</v>
      </c>
      <c r="L6626" s="166" t="str">
        <f t="shared" si="418"/>
        <v>08/2019</v>
      </c>
    </row>
    <row r="6627" spans="1:12" x14ac:dyDescent="0.25">
      <c r="A6627" s="170" t="s">
        <v>9098</v>
      </c>
      <c r="B6627" s="170" t="s">
        <v>9099</v>
      </c>
      <c r="C6627" s="170" t="s">
        <v>85</v>
      </c>
      <c r="D6627" s="170" t="s">
        <v>2067</v>
      </c>
      <c r="E6627" s="171" t="s">
        <v>34765</v>
      </c>
      <c r="F6627" s="171" t="s">
        <v>37848</v>
      </c>
      <c r="H6627" s="96">
        <f t="shared" si="414"/>
        <v>3833.98</v>
      </c>
      <c r="I6627" s="96">
        <f t="shared" si="415"/>
        <v>3841.58</v>
      </c>
      <c r="J6627" s="91" t="str">
        <f t="shared" si="416"/>
        <v>Sinapi 87364</v>
      </c>
      <c r="K6627" s="91" t="str">
        <f t="shared" si="417"/>
        <v>M3</v>
      </c>
      <c r="L6627" s="166" t="str">
        <f t="shared" si="418"/>
        <v>08/2019</v>
      </c>
    </row>
    <row r="6628" spans="1:12" x14ac:dyDescent="0.25">
      <c r="A6628" s="170" t="s">
        <v>9100</v>
      </c>
      <c r="B6628" s="170" t="s">
        <v>9101</v>
      </c>
      <c r="C6628" s="170" t="s">
        <v>85</v>
      </c>
      <c r="D6628" s="170" t="s">
        <v>2067</v>
      </c>
      <c r="E6628" s="171" t="s">
        <v>34766</v>
      </c>
      <c r="F6628" s="171" t="s">
        <v>37849</v>
      </c>
      <c r="H6628" s="96">
        <f t="shared" si="414"/>
        <v>613.14</v>
      </c>
      <c r="I6628" s="96">
        <f t="shared" si="415"/>
        <v>633.66</v>
      </c>
      <c r="J6628" s="91" t="str">
        <f t="shared" si="416"/>
        <v>Sinapi 87365</v>
      </c>
      <c r="K6628" s="91" t="str">
        <f t="shared" si="417"/>
        <v>M3</v>
      </c>
      <c r="L6628" s="166" t="str">
        <f t="shared" si="418"/>
        <v>08/2019</v>
      </c>
    </row>
    <row r="6629" spans="1:12" x14ac:dyDescent="0.25">
      <c r="A6629" s="170" t="s">
        <v>9102</v>
      </c>
      <c r="B6629" s="170" t="s">
        <v>9103</v>
      </c>
      <c r="C6629" s="170" t="s">
        <v>85</v>
      </c>
      <c r="D6629" s="170" t="s">
        <v>2067</v>
      </c>
      <c r="E6629" s="171" t="s">
        <v>34767</v>
      </c>
      <c r="F6629" s="171" t="s">
        <v>37850</v>
      </c>
      <c r="H6629" s="96">
        <f t="shared" ref="H6629:H6692" si="419">IF(E6629="","",E6629+0)</f>
        <v>662.71</v>
      </c>
      <c r="I6629" s="96">
        <f t="shared" ref="I6629:I6692" si="420">IF(F6629="","",F6629+0)</f>
        <v>683.87</v>
      </c>
      <c r="J6629" s="91" t="str">
        <f t="shared" ref="J6629:J6692" si="421">IF(OR(H6629="",I6629=""),"",TRIM(CONCATENATE("Sinapi ",A6629)))</f>
        <v>Sinapi 87366</v>
      </c>
      <c r="K6629" s="91" t="str">
        <f t="shared" ref="K6629:K6692" si="422">TRIM(C6629)</f>
        <v>M3</v>
      </c>
      <c r="L6629" s="166" t="str">
        <f t="shared" si="418"/>
        <v>08/2019</v>
      </c>
    </row>
    <row r="6630" spans="1:12" x14ac:dyDescent="0.25">
      <c r="A6630" s="170" t="s">
        <v>9104</v>
      </c>
      <c r="B6630" s="170" t="s">
        <v>9105</v>
      </c>
      <c r="C6630" s="170" t="s">
        <v>85</v>
      </c>
      <c r="D6630" s="170" t="s">
        <v>2067</v>
      </c>
      <c r="E6630" s="171" t="s">
        <v>34768</v>
      </c>
      <c r="F6630" s="171" t="s">
        <v>37851</v>
      </c>
      <c r="H6630" s="96">
        <f t="shared" si="419"/>
        <v>838.41</v>
      </c>
      <c r="I6630" s="96">
        <f t="shared" si="420"/>
        <v>859.75</v>
      </c>
      <c r="J6630" s="91" t="str">
        <f t="shared" si="421"/>
        <v>Sinapi 87367</v>
      </c>
      <c r="K6630" s="91" t="str">
        <f t="shared" si="422"/>
        <v>M3</v>
      </c>
      <c r="L6630" s="166" t="str">
        <f t="shared" si="418"/>
        <v>08/2019</v>
      </c>
    </row>
    <row r="6631" spans="1:12" x14ac:dyDescent="0.25">
      <c r="A6631" s="170" t="s">
        <v>9106</v>
      </c>
      <c r="B6631" s="170" t="s">
        <v>9107</v>
      </c>
      <c r="C6631" s="170" t="s">
        <v>85</v>
      </c>
      <c r="D6631" s="170" t="s">
        <v>2067</v>
      </c>
      <c r="E6631" s="171" t="s">
        <v>34769</v>
      </c>
      <c r="F6631" s="171" t="s">
        <v>37852</v>
      </c>
      <c r="H6631" s="96">
        <f t="shared" si="419"/>
        <v>808.35</v>
      </c>
      <c r="I6631" s="96">
        <f t="shared" si="420"/>
        <v>829.86</v>
      </c>
      <c r="J6631" s="91" t="str">
        <f t="shared" si="421"/>
        <v>Sinapi 87368</v>
      </c>
      <c r="K6631" s="91" t="str">
        <f t="shared" si="422"/>
        <v>M3</v>
      </c>
      <c r="L6631" s="166" t="str">
        <f t="shared" si="418"/>
        <v>08/2019</v>
      </c>
    </row>
    <row r="6632" spans="1:12" x14ac:dyDescent="0.25">
      <c r="A6632" s="170" t="s">
        <v>9108</v>
      </c>
      <c r="B6632" s="170" t="s">
        <v>9109</v>
      </c>
      <c r="C6632" s="170" t="s">
        <v>85</v>
      </c>
      <c r="D6632" s="170" t="s">
        <v>2067</v>
      </c>
      <c r="E6632" s="171" t="s">
        <v>34770</v>
      </c>
      <c r="F6632" s="171" t="s">
        <v>37853</v>
      </c>
      <c r="H6632" s="96">
        <f t="shared" si="419"/>
        <v>839.95</v>
      </c>
      <c r="I6632" s="96">
        <f t="shared" si="420"/>
        <v>861.04</v>
      </c>
      <c r="J6632" s="91" t="str">
        <f t="shared" si="421"/>
        <v>Sinapi 87369</v>
      </c>
      <c r="K6632" s="91" t="str">
        <f t="shared" si="422"/>
        <v>M3</v>
      </c>
      <c r="L6632" s="166" t="str">
        <f t="shared" si="418"/>
        <v>08/2019</v>
      </c>
    </row>
    <row r="6633" spans="1:12" x14ac:dyDescent="0.25">
      <c r="A6633" s="170" t="s">
        <v>9110</v>
      </c>
      <c r="B6633" s="170" t="s">
        <v>9111</v>
      </c>
      <c r="C6633" s="170" t="s">
        <v>85</v>
      </c>
      <c r="D6633" s="170" t="s">
        <v>2067</v>
      </c>
      <c r="E6633" s="171" t="s">
        <v>34771</v>
      </c>
      <c r="F6633" s="171" t="s">
        <v>37854</v>
      </c>
      <c r="H6633" s="96">
        <f t="shared" si="419"/>
        <v>793.62</v>
      </c>
      <c r="I6633" s="96">
        <f t="shared" si="420"/>
        <v>814.84</v>
      </c>
      <c r="J6633" s="91" t="str">
        <f t="shared" si="421"/>
        <v>Sinapi 87370</v>
      </c>
      <c r="K6633" s="91" t="str">
        <f t="shared" si="422"/>
        <v>M3</v>
      </c>
      <c r="L6633" s="166" t="str">
        <f t="shared" si="418"/>
        <v>08/2019</v>
      </c>
    </row>
    <row r="6634" spans="1:12" x14ac:dyDescent="0.25">
      <c r="A6634" s="170" t="s">
        <v>9112</v>
      </c>
      <c r="B6634" s="170" t="s">
        <v>9113</v>
      </c>
      <c r="C6634" s="170" t="s">
        <v>85</v>
      </c>
      <c r="D6634" s="170" t="s">
        <v>2067</v>
      </c>
      <c r="E6634" s="171" t="s">
        <v>34772</v>
      </c>
      <c r="F6634" s="171" t="s">
        <v>37855</v>
      </c>
      <c r="H6634" s="96">
        <f t="shared" si="419"/>
        <v>773.45</v>
      </c>
      <c r="I6634" s="96">
        <f t="shared" si="420"/>
        <v>794.12</v>
      </c>
      <c r="J6634" s="91" t="str">
        <f t="shared" si="421"/>
        <v>Sinapi 87371</v>
      </c>
      <c r="K6634" s="91" t="str">
        <f t="shared" si="422"/>
        <v>M3</v>
      </c>
      <c r="L6634" s="166" t="str">
        <f t="shared" si="418"/>
        <v>08/2019</v>
      </c>
    </row>
    <row r="6635" spans="1:12" x14ac:dyDescent="0.25">
      <c r="A6635" s="170" t="s">
        <v>9114</v>
      </c>
      <c r="B6635" s="170" t="s">
        <v>892</v>
      </c>
      <c r="C6635" s="170" t="s">
        <v>85</v>
      </c>
      <c r="D6635" s="170" t="s">
        <v>2067</v>
      </c>
      <c r="E6635" s="171" t="s">
        <v>34773</v>
      </c>
      <c r="F6635" s="171" t="s">
        <v>37856</v>
      </c>
      <c r="H6635" s="96">
        <f t="shared" si="419"/>
        <v>1044.6199999999999</v>
      </c>
      <c r="I6635" s="96">
        <f t="shared" si="420"/>
        <v>1066.76</v>
      </c>
      <c r="J6635" s="91" t="str">
        <f t="shared" si="421"/>
        <v>Sinapi 87372</v>
      </c>
      <c r="K6635" s="91" t="str">
        <f t="shared" si="422"/>
        <v>M3</v>
      </c>
      <c r="L6635" s="166" t="str">
        <f t="shared" si="418"/>
        <v>08/2019</v>
      </c>
    </row>
    <row r="6636" spans="1:12" x14ac:dyDescent="0.25">
      <c r="A6636" s="170" t="s">
        <v>9115</v>
      </c>
      <c r="B6636" s="170" t="s">
        <v>141</v>
      </c>
      <c r="C6636" s="170" t="s">
        <v>85</v>
      </c>
      <c r="D6636" s="170" t="s">
        <v>2067</v>
      </c>
      <c r="E6636" s="171" t="s">
        <v>34774</v>
      </c>
      <c r="F6636" s="171" t="s">
        <v>37857</v>
      </c>
      <c r="H6636" s="96">
        <f t="shared" si="419"/>
        <v>896.2</v>
      </c>
      <c r="I6636" s="96">
        <f t="shared" si="420"/>
        <v>917.14</v>
      </c>
      <c r="J6636" s="91" t="str">
        <f t="shared" si="421"/>
        <v>Sinapi 87373</v>
      </c>
      <c r="K6636" s="91" t="str">
        <f t="shared" si="422"/>
        <v>M3</v>
      </c>
      <c r="L6636" s="166" t="str">
        <f t="shared" si="418"/>
        <v>08/2019</v>
      </c>
    </row>
    <row r="6637" spans="1:12" x14ac:dyDescent="0.25">
      <c r="A6637" s="170" t="s">
        <v>9116</v>
      </c>
      <c r="B6637" s="170" t="s">
        <v>9117</v>
      </c>
      <c r="C6637" s="170" t="s">
        <v>85</v>
      </c>
      <c r="D6637" s="170" t="s">
        <v>2067</v>
      </c>
      <c r="E6637" s="171" t="s">
        <v>34775</v>
      </c>
      <c r="F6637" s="171" t="s">
        <v>37858</v>
      </c>
      <c r="H6637" s="96">
        <f t="shared" si="419"/>
        <v>804.61</v>
      </c>
      <c r="I6637" s="96">
        <f t="shared" si="420"/>
        <v>825.7</v>
      </c>
      <c r="J6637" s="91" t="str">
        <f t="shared" si="421"/>
        <v>Sinapi 87374</v>
      </c>
      <c r="K6637" s="91" t="str">
        <f t="shared" si="422"/>
        <v>M3</v>
      </c>
      <c r="L6637" s="166" t="str">
        <f t="shared" si="418"/>
        <v>08/2019</v>
      </c>
    </row>
    <row r="6638" spans="1:12" x14ac:dyDescent="0.25">
      <c r="A6638" s="170" t="s">
        <v>9118</v>
      </c>
      <c r="B6638" s="170" t="s">
        <v>9119</v>
      </c>
      <c r="C6638" s="170" t="s">
        <v>85</v>
      </c>
      <c r="D6638" s="170" t="s">
        <v>2067</v>
      </c>
      <c r="E6638" s="171" t="s">
        <v>34776</v>
      </c>
      <c r="F6638" s="171" t="s">
        <v>37859</v>
      </c>
      <c r="H6638" s="96">
        <f t="shared" si="419"/>
        <v>741.83</v>
      </c>
      <c r="I6638" s="96">
        <f t="shared" si="420"/>
        <v>763.32</v>
      </c>
      <c r="J6638" s="91" t="str">
        <f t="shared" si="421"/>
        <v>Sinapi 87375</v>
      </c>
      <c r="K6638" s="91" t="str">
        <f t="shared" si="422"/>
        <v>M3</v>
      </c>
      <c r="L6638" s="166" t="str">
        <f t="shared" si="418"/>
        <v>08/2019</v>
      </c>
    </row>
    <row r="6639" spans="1:12" x14ac:dyDescent="0.25">
      <c r="A6639" s="170" t="s">
        <v>9120</v>
      </c>
      <c r="B6639" s="170" t="s">
        <v>9121</v>
      </c>
      <c r="C6639" s="170" t="s">
        <v>85</v>
      </c>
      <c r="D6639" s="170" t="s">
        <v>2067</v>
      </c>
      <c r="E6639" s="171" t="s">
        <v>34777</v>
      </c>
      <c r="F6639" s="171" t="s">
        <v>37860</v>
      </c>
      <c r="H6639" s="96">
        <f t="shared" si="419"/>
        <v>648.96</v>
      </c>
      <c r="I6639" s="96">
        <f t="shared" si="420"/>
        <v>669.48</v>
      </c>
      <c r="J6639" s="91" t="str">
        <f t="shared" si="421"/>
        <v>Sinapi 87376</v>
      </c>
      <c r="K6639" s="91" t="str">
        <f t="shared" si="422"/>
        <v>M3</v>
      </c>
      <c r="L6639" s="166" t="str">
        <f t="shared" si="418"/>
        <v>08/2019</v>
      </c>
    </row>
    <row r="6640" spans="1:12" x14ac:dyDescent="0.25">
      <c r="A6640" s="170" t="s">
        <v>9122</v>
      </c>
      <c r="B6640" s="170" t="s">
        <v>111</v>
      </c>
      <c r="C6640" s="170" t="s">
        <v>85</v>
      </c>
      <c r="D6640" s="170" t="s">
        <v>2067</v>
      </c>
      <c r="E6640" s="171" t="s">
        <v>34778</v>
      </c>
      <c r="F6640" s="171" t="s">
        <v>30709</v>
      </c>
      <c r="H6640" s="96">
        <f t="shared" si="419"/>
        <v>826.18</v>
      </c>
      <c r="I6640" s="96">
        <f t="shared" si="420"/>
        <v>847.12</v>
      </c>
      <c r="J6640" s="91" t="str">
        <f t="shared" si="421"/>
        <v>Sinapi 87377</v>
      </c>
      <c r="K6640" s="91" t="str">
        <f t="shared" si="422"/>
        <v>M3</v>
      </c>
      <c r="L6640" s="166" t="str">
        <f t="shared" si="418"/>
        <v>08/2019</v>
      </c>
    </row>
    <row r="6641" spans="1:12" x14ac:dyDescent="0.25">
      <c r="A6641" s="170" t="s">
        <v>9123</v>
      </c>
      <c r="B6641" s="170" t="s">
        <v>9124</v>
      </c>
      <c r="C6641" s="170" t="s">
        <v>85</v>
      </c>
      <c r="D6641" s="170" t="s">
        <v>2067</v>
      </c>
      <c r="E6641" s="171" t="s">
        <v>34779</v>
      </c>
      <c r="F6641" s="171" t="s">
        <v>37861</v>
      </c>
      <c r="H6641" s="96">
        <f t="shared" si="419"/>
        <v>716.02</v>
      </c>
      <c r="I6641" s="96">
        <f t="shared" si="420"/>
        <v>736.28</v>
      </c>
      <c r="J6641" s="91" t="str">
        <f t="shared" si="421"/>
        <v>Sinapi 87378</v>
      </c>
      <c r="K6641" s="91" t="str">
        <f t="shared" si="422"/>
        <v>M3</v>
      </c>
      <c r="L6641" s="166" t="str">
        <f t="shared" si="418"/>
        <v>08/2019</v>
      </c>
    </row>
    <row r="6642" spans="1:12" x14ac:dyDescent="0.25">
      <c r="A6642" s="170" t="s">
        <v>9125</v>
      </c>
      <c r="B6642" s="170" t="s">
        <v>9126</v>
      </c>
      <c r="C6642" s="170" t="s">
        <v>85</v>
      </c>
      <c r="D6642" s="170" t="s">
        <v>2067</v>
      </c>
      <c r="E6642" s="171" t="s">
        <v>34780</v>
      </c>
      <c r="F6642" s="171" t="s">
        <v>37862</v>
      </c>
      <c r="H6642" s="96">
        <f t="shared" si="419"/>
        <v>3917.6</v>
      </c>
      <c r="I6642" s="96">
        <f t="shared" si="420"/>
        <v>3937.84</v>
      </c>
      <c r="J6642" s="91" t="str">
        <f t="shared" si="421"/>
        <v>Sinapi 87379</v>
      </c>
      <c r="K6642" s="91" t="str">
        <f t="shared" si="422"/>
        <v>M3</v>
      </c>
      <c r="L6642" s="166" t="str">
        <f t="shared" si="418"/>
        <v>08/2019</v>
      </c>
    </row>
    <row r="6643" spans="1:12" x14ac:dyDescent="0.25">
      <c r="A6643" s="170" t="s">
        <v>9127</v>
      </c>
      <c r="B6643" s="170" t="s">
        <v>9128</v>
      </c>
      <c r="C6643" s="170" t="s">
        <v>85</v>
      </c>
      <c r="D6643" s="170" t="s">
        <v>2067</v>
      </c>
      <c r="E6643" s="171" t="s">
        <v>34781</v>
      </c>
      <c r="F6643" s="171" t="s">
        <v>37863</v>
      </c>
      <c r="H6643" s="96">
        <f t="shared" si="419"/>
        <v>4075.28</v>
      </c>
      <c r="I6643" s="96">
        <f t="shared" si="420"/>
        <v>4095.93</v>
      </c>
      <c r="J6643" s="91" t="str">
        <f t="shared" si="421"/>
        <v>Sinapi 87380</v>
      </c>
      <c r="K6643" s="91" t="str">
        <f t="shared" si="422"/>
        <v>M3</v>
      </c>
      <c r="L6643" s="166" t="str">
        <f t="shared" si="418"/>
        <v>08/2019</v>
      </c>
    </row>
    <row r="6644" spans="1:12" x14ac:dyDescent="0.25">
      <c r="A6644" s="170" t="s">
        <v>9129</v>
      </c>
      <c r="B6644" s="170" t="s">
        <v>9130</v>
      </c>
      <c r="C6644" s="170" t="s">
        <v>85</v>
      </c>
      <c r="D6644" s="170" t="s">
        <v>2067</v>
      </c>
      <c r="E6644" s="171" t="s">
        <v>34782</v>
      </c>
      <c r="F6644" s="171" t="s">
        <v>37864</v>
      </c>
      <c r="H6644" s="96">
        <f t="shared" si="419"/>
        <v>3976.64</v>
      </c>
      <c r="I6644" s="96">
        <f t="shared" si="420"/>
        <v>3996.61</v>
      </c>
      <c r="J6644" s="91" t="str">
        <f t="shared" si="421"/>
        <v>Sinapi 87381</v>
      </c>
      <c r="K6644" s="91" t="str">
        <f t="shared" si="422"/>
        <v>M3</v>
      </c>
      <c r="L6644" s="166" t="str">
        <f t="shared" si="418"/>
        <v>08/2019</v>
      </c>
    </row>
    <row r="6645" spans="1:12" x14ac:dyDescent="0.25">
      <c r="A6645" s="170" t="s">
        <v>9131</v>
      </c>
      <c r="B6645" s="170" t="s">
        <v>9132</v>
      </c>
      <c r="C6645" s="170" t="s">
        <v>85</v>
      </c>
      <c r="D6645" s="170" t="s">
        <v>2067</v>
      </c>
      <c r="E6645" s="171" t="s">
        <v>34783</v>
      </c>
      <c r="F6645" s="171" t="s">
        <v>37865</v>
      </c>
      <c r="H6645" s="96">
        <f t="shared" si="419"/>
        <v>2474.48</v>
      </c>
      <c r="I6645" s="96">
        <f t="shared" si="420"/>
        <v>2485.59</v>
      </c>
      <c r="J6645" s="91" t="str">
        <f t="shared" si="421"/>
        <v>Sinapi 87382</v>
      </c>
      <c r="K6645" s="91" t="str">
        <f t="shared" si="422"/>
        <v>M3</v>
      </c>
      <c r="L6645" s="166" t="str">
        <f t="shared" si="418"/>
        <v>08/2019</v>
      </c>
    </row>
    <row r="6646" spans="1:12" x14ac:dyDescent="0.25">
      <c r="A6646" s="170" t="s">
        <v>9133</v>
      </c>
      <c r="B6646" s="170" t="s">
        <v>9134</v>
      </c>
      <c r="C6646" s="170" t="s">
        <v>85</v>
      </c>
      <c r="D6646" s="170" t="s">
        <v>2067</v>
      </c>
      <c r="E6646" s="171" t="s">
        <v>34784</v>
      </c>
      <c r="F6646" s="171" t="s">
        <v>37866</v>
      </c>
      <c r="H6646" s="96">
        <f t="shared" si="419"/>
        <v>2478.11</v>
      </c>
      <c r="I6646" s="96">
        <f t="shared" si="420"/>
        <v>2486.8200000000002</v>
      </c>
      <c r="J6646" s="91" t="str">
        <f t="shared" si="421"/>
        <v>Sinapi 87383</v>
      </c>
      <c r="K6646" s="91" t="str">
        <f t="shared" si="422"/>
        <v>M3</v>
      </c>
      <c r="L6646" s="166" t="str">
        <f t="shared" si="418"/>
        <v>08/2019</v>
      </c>
    </row>
    <row r="6647" spans="1:12" x14ac:dyDescent="0.25">
      <c r="A6647" s="170" t="s">
        <v>9135</v>
      </c>
      <c r="B6647" s="170" t="s">
        <v>9136</v>
      </c>
      <c r="C6647" s="170" t="s">
        <v>85</v>
      </c>
      <c r="D6647" s="170" t="s">
        <v>2067</v>
      </c>
      <c r="E6647" s="171" t="s">
        <v>34785</v>
      </c>
      <c r="F6647" s="171" t="s">
        <v>37867</v>
      </c>
      <c r="H6647" s="96">
        <f t="shared" si="419"/>
        <v>2474.35</v>
      </c>
      <c r="I6647" s="96">
        <f t="shared" si="420"/>
        <v>2480.66</v>
      </c>
      <c r="J6647" s="91" t="str">
        <f t="shared" si="421"/>
        <v>Sinapi 87384</v>
      </c>
      <c r="K6647" s="91" t="str">
        <f t="shared" si="422"/>
        <v>M3</v>
      </c>
      <c r="L6647" s="166" t="str">
        <f t="shared" si="418"/>
        <v>08/2019</v>
      </c>
    </row>
    <row r="6648" spans="1:12" x14ac:dyDescent="0.25">
      <c r="A6648" s="170" t="s">
        <v>9137</v>
      </c>
      <c r="B6648" s="170" t="s">
        <v>9138</v>
      </c>
      <c r="C6648" s="170" t="s">
        <v>85</v>
      </c>
      <c r="D6648" s="170" t="s">
        <v>2067</v>
      </c>
      <c r="E6648" s="171" t="s">
        <v>34786</v>
      </c>
      <c r="F6648" s="171" t="s">
        <v>37868</v>
      </c>
      <c r="H6648" s="96">
        <f t="shared" si="419"/>
        <v>2869.8</v>
      </c>
      <c r="I6648" s="96">
        <f t="shared" si="420"/>
        <v>2883.05</v>
      </c>
      <c r="J6648" s="91" t="str">
        <f t="shared" si="421"/>
        <v>Sinapi 87385</v>
      </c>
      <c r="K6648" s="91" t="str">
        <f t="shared" si="422"/>
        <v>M3</v>
      </c>
      <c r="L6648" s="166" t="str">
        <f t="shared" si="418"/>
        <v>08/2019</v>
      </c>
    </row>
    <row r="6649" spans="1:12" x14ac:dyDescent="0.25">
      <c r="A6649" s="170" t="s">
        <v>9139</v>
      </c>
      <c r="B6649" s="170" t="s">
        <v>9140</v>
      </c>
      <c r="C6649" s="170" t="s">
        <v>85</v>
      </c>
      <c r="D6649" s="170" t="s">
        <v>2067</v>
      </c>
      <c r="E6649" s="171" t="s">
        <v>34787</v>
      </c>
      <c r="F6649" s="171" t="s">
        <v>37869</v>
      </c>
      <c r="H6649" s="96">
        <f t="shared" si="419"/>
        <v>2869.64</v>
      </c>
      <c r="I6649" s="96">
        <f t="shared" si="420"/>
        <v>2879.65</v>
      </c>
      <c r="J6649" s="91" t="str">
        <f t="shared" si="421"/>
        <v>Sinapi 87386</v>
      </c>
      <c r="K6649" s="91" t="str">
        <f t="shared" si="422"/>
        <v>M3</v>
      </c>
      <c r="L6649" s="166" t="str">
        <f t="shared" si="418"/>
        <v>08/2019</v>
      </c>
    </row>
    <row r="6650" spans="1:12" x14ac:dyDescent="0.25">
      <c r="A6650" s="170" t="s">
        <v>9141</v>
      </c>
      <c r="B6650" s="170" t="s">
        <v>9142</v>
      </c>
      <c r="C6650" s="170" t="s">
        <v>85</v>
      </c>
      <c r="D6650" s="170" t="s">
        <v>2067</v>
      </c>
      <c r="E6650" s="171" t="s">
        <v>34788</v>
      </c>
      <c r="F6650" s="171" t="s">
        <v>37870</v>
      </c>
      <c r="H6650" s="96">
        <f t="shared" si="419"/>
        <v>2869.28</v>
      </c>
      <c r="I6650" s="96">
        <f t="shared" si="420"/>
        <v>2876.68</v>
      </c>
      <c r="J6650" s="91" t="str">
        <f t="shared" si="421"/>
        <v>Sinapi 87387</v>
      </c>
      <c r="K6650" s="91" t="str">
        <f t="shared" si="422"/>
        <v>M3</v>
      </c>
      <c r="L6650" s="166" t="str">
        <f t="shared" si="418"/>
        <v>08/2019</v>
      </c>
    </row>
    <row r="6651" spans="1:12" x14ac:dyDescent="0.25">
      <c r="A6651" s="170" t="s">
        <v>9143</v>
      </c>
      <c r="B6651" s="170" t="s">
        <v>9144</v>
      </c>
      <c r="C6651" s="170" t="s">
        <v>85</v>
      </c>
      <c r="D6651" s="170" t="s">
        <v>2067</v>
      </c>
      <c r="E6651" s="171" t="s">
        <v>34789</v>
      </c>
      <c r="F6651" s="171" t="s">
        <v>37871</v>
      </c>
      <c r="H6651" s="96">
        <f t="shared" si="419"/>
        <v>6947.57</v>
      </c>
      <c r="I6651" s="96">
        <f t="shared" si="420"/>
        <v>6958.75</v>
      </c>
      <c r="J6651" s="91" t="str">
        <f t="shared" si="421"/>
        <v>Sinapi 87388</v>
      </c>
      <c r="K6651" s="91" t="str">
        <f t="shared" si="422"/>
        <v>M3</v>
      </c>
      <c r="L6651" s="166" t="str">
        <f t="shared" si="418"/>
        <v>08/2019</v>
      </c>
    </row>
    <row r="6652" spans="1:12" x14ac:dyDescent="0.25">
      <c r="A6652" s="170" t="s">
        <v>9145</v>
      </c>
      <c r="B6652" s="170" t="s">
        <v>9146</v>
      </c>
      <c r="C6652" s="170" t="s">
        <v>85</v>
      </c>
      <c r="D6652" s="170" t="s">
        <v>2067</v>
      </c>
      <c r="E6652" s="171" t="s">
        <v>34790</v>
      </c>
      <c r="F6652" s="171" t="s">
        <v>37872</v>
      </c>
      <c r="H6652" s="96">
        <f t="shared" si="419"/>
        <v>6983.56</v>
      </c>
      <c r="I6652" s="96">
        <f t="shared" si="420"/>
        <v>6992.2</v>
      </c>
      <c r="J6652" s="91" t="str">
        <f t="shared" si="421"/>
        <v>Sinapi 87389</v>
      </c>
      <c r="K6652" s="91" t="str">
        <f t="shared" si="422"/>
        <v>M3</v>
      </c>
      <c r="L6652" s="166" t="str">
        <f t="shared" si="418"/>
        <v>08/2019</v>
      </c>
    </row>
    <row r="6653" spans="1:12" x14ac:dyDescent="0.25">
      <c r="A6653" s="170" t="s">
        <v>9147</v>
      </c>
      <c r="B6653" s="170" t="s">
        <v>9148</v>
      </c>
      <c r="C6653" s="170" t="s">
        <v>85</v>
      </c>
      <c r="D6653" s="170" t="s">
        <v>2067</v>
      </c>
      <c r="E6653" s="171" t="s">
        <v>34791</v>
      </c>
      <c r="F6653" s="171" t="s">
        <v>37873</v>
      </c>
      <c r="H6653" s="96">
        <f t="shared" si="419"/>
        <v>7025.71</v>
      </c>
      <c r="I6653" s="96">
        <f t="shared" si="420"/>
        <v>7032.02</v>
      </c>
      <c r="J6653" s="91" t="str">
        <f t="shared" si="421"/>
        <v>Sinapi 87390</v>
      </c>
      <c r="K6653" s="91" t="str">
        <f t="shared" si="422"/>
        <v>M3</v>
      </c>
      <c r="L6653" s="166" t="str">
        <f t="shared" si="418"/>
        <v>08/2019</v>
      </c>
    </row>
    <row r="6654" spans="1:12" x14ac:dyDescent="0.25">
      <c r="A6654" s="170" t="s">
        <v>9149</v>
      </c>
      <c r="B6654" s="170" t="s">
        <v>9150</v>
      </c>
      <c r="C6654" s="170" t="s">
        <v>85</v>
      </c>
      <c r="D6654" s="170" t="s">
        <v>2067</v>
      </c>
      <c r="E6654" s="171" t="s">
        <v>34792</v>
      </c>
      <c r="F6654" s="171" t="s">
        <v>37874</v>
      </c>
      <c r="H6654" s="96">
        <f t="shared" si="419"/>
        <v>7698.01</v>
      </c>
      <c r="I6654" s="96">
        <f t="shared" si="420"/>
        <v>7712.5</v>
      </c>
      <c r="J6654" s="91" t="str">
        <f t="shared" si="421"/>
        <v>Sinapi 87391</v>
      </c>
      <c r="K6654" s="91" t="str">
        <f t="shared" si="422"/>
        <v>M3</v>
      </c>
      <c r="L6654" s="166" t="str">
        <f t="shared" si="418"/>
        <v>08/2019</v>
      </c>
    </row>
    <row r="6655" spans="1:12" x14ac:dyDescent="0.25">
      <c r="A6655" s="170" t="s">
        <v>9151</v>
      </c>
      <c r="B6655" s="170" t="s">
        <v>9152</v>
      </c>
      <c r="C6655" s="170" t="s">
        <v>85</v>
      </c>
      <c r="D6655" s="170" t="s">
        <v>2067</v>
      </c>
      <c r="E6655" s="171" t="s">
        <v>34793</v>
      </c>
      <c r="F6655" s="171" t="s">
        <v>37875</v>
      </c>
      <c r="H6655" s="96">
        <f t="shared" si="419"/>
        <v>7776.45</v>
      </c>
      <c r="I6655" s="96">
        <f t="shared" si="420"/>
        <v>7788.21</v>
      </c>
      <c r="J6655" s="91" t="str">
        <f t="shared" si="421"/>
        <v>Sinapi 87393</v>
      </c>
      <c r="K6655" s="91" t="str">
        <f t="shared" si="422"/>
        <v>M3</v>
      </c>
      <c r="L6655" s="166" t="str">
        <f t="shared" si="418"/>
        <v>08/2019</v>
      </c>
    </row>
    <row r="6656" spans="1:12" x14ac:dyDescent="0.25">
      <c r="A6656" s="170" t="s">
        <v>9153</v>
      </c>
      <c r="B6656" s="170" t="s">
        <v>9154</v>
      </c>
      <c r="C6656" s="170" t="s">
        <v>85</v>
      </c>
      <c r="D6656" s="170" t="s">
        <v>2067</v>
      </c>
      <c r="E6656" s="171" t="s">
        <v>34794</v>
      </c>
      <c r="F6656" s="171" t="s">
        <v>37876</v>
      </c>
      <c r="H6656" s="96">
        <f t="shared" si="419"/>
        <v>7851.24</v>
      </c>
      <c r="I6656" s="96">
        <f t="shared" si="420"/>
        <v>7860.32</v>
      </c>
      <c r="J6656" s="91" t="str">
        <f t="shared" si="421"/>
        <v>Sinapi 87394</v>
      </c>
      <c r="K6656" s="91" t="str">
        <f t="shared" si="422"/>
        <v>M3</v>
      </c>
      <c r="L6656" s="166" t="str">
        <f t="shared" si="418"/>
        <v>08/2019</v>
      </c>
    </row>
    <row r="6657" spans="1:12" x14ac:dyDescent="0.25">
      <c r="A6657" s="170" t="s">
        <v>9155</v>
      </c>
      <c r="B6657" s="170" t="s">
        <v>9156</v>
      </c>
      <c r="C6657" s="170" t="s">
        <v>85</v>
      </c>
      <c r="D6657" s="170" t="s">
        <v>2067</v>
      </c>
      <c r="E6657" s="171" t="s">
        <v>34795</v>
      </c>
      <c r="F6657" s="171" t="s">
        <v>37877</v>
      </c>
      <c r="H6657" s="96">
        <f t="shared" si="419"/>
        <v>4843.75</v>
      </c>
      <c r="I6657" s="96">
        <f t="shared" si="420"/>
        <v>4858.24</v>
      </c>
      <c r="J6657" s="91" t="str">
        <f t="shared" si="421"/>
        <v>Sinapi 87395</v>
      </c>
      <c r="K6657" s="91" t="str">
        <f t="shared" si="422"/>
        <v>M3</v>
      </c>
      <c r="L6657" s="166" t="str">
        <f t="shared" si="418"/>
        <v>08/2019</v>
      </c>
    </row>
    <row r="6658" spans="1:12" x14ac:dyDescent="0.25">
      <c r="A6658" s="170" t="s">
        <v>9157</v>
      </c>
      <c r="B6658" s="170" t="s">
        <v>109</v>
      </c>
      <c r="C6658" s="170" t="s">
        <v>85</v>
      </c>
      <c r="D6658" s="170" t="s">
        <v>2067</v>
      </c>
      <c r="E6658" s="171" t="s">
        <v>34796</v>
      </c>
      <c r="F6658" s="171" t="s">
        <v>37878</v>
      </c>
      <c r="H6658" s="96">
        <f t="shared" si="419"/>
        <v>4883.8500000000004</v>
      </c>
      <c r="I6658" s="96">
        <f t="shared" si="420"/>
        <v>4895.6099999999997</v>
      </c>
      <c r="J6658" s="91" t="str">
        <f t="shared" si="421"/>
        <v>Sinapi 87396</v>
      </c>
      <c r="K6658" s="91" t="str">
        <f t="shared" si="422"/>
        <v>M3</v>
      </c>
      <c r="L6658" s="166" t="str">
        <f t="shared" si="418"/>
        <v>08/2019</v>
      </c>
    </row>
    <row r="6659" spans="1:12" x14ac:dyDescent="0.25">
      <c r="A6659" s="170" t="s">
        <v>9158</v>
      </c>
      <c r="B6659" s="170" t="s">
        <v>9159</v>
      </c>
      <c r="C6659" s="170" t="s">
        <v>85</v>
      </c>
      <c r="D6659" s="170" t="s">
        <v>2067</v>
      </c>
      <c r="E6659" s="171" t="s">
        <v>34797</v>
      </c>
      <c r="F6659" s="171" t="s">
        <v>37879</v>
      </c>
      <c r="H6659" s="96">
        <f t="shared" si="419"/>
        <v>4922.03</v>
      </c>
      <c r="I6659" s="96">
        <f t="shared" si="420"/>
        <v>4931.1099999999997</v>
      </c>
      <c r="J6659" s="91" t="str">
        <f t="shared" si="421"/>
        <v>Sinapi 87397</v>
      </c>
      <c r="K6659" s="91" t="str">
        <f t="shared" si="422"/>
        <v>M3</v>
      </c>
      <c r="L6659" s="166" t="str">
        <f t="shared" si="418"/>
        <v>08/2019</v>
      </c>
    </row>
    <row r="6660" spans="1:12" x14ac:dyDescent="0.25">
      <c r="A6660" s="170" t="s">
        <v>9160</v>
      </c>
      <c r="B6660" s="170" t="s">
        <v>9161</v>
      </c>
      <c r="C6660" s="170" t="s">
        <v>85</v>
      </c>
      <c r="D6660" s="170" t="s">
        <v>2067</v>
      </c>
      <c r="E6660" s="171" t="s">
        <v>34798</v>
      </c>
      <c r="F6660" s="171" t="s">
        <v>37880</v>
      </c>
      <c r="H6660" s="96">
        <f t="shared" si="419"/>
        <v>2668.49</v>
      </c>
      <c r="I6660" s="96">
        <f t="shared" si="420"/>
        <v>2692.41</v>
      </c>
      <c r="J6660" s="91" t="str">
        <f t="shared" si="421"/>
        <v>Sinapi 87398</v>
      </c>
      <c r="K6660" s="91" t="str">
        <f t="shared" si="422"/>
        <v>M3</v>
      </c>
      <c r="L6660" s="166" t="str">
        <f t="shared" si="418"/>
        <v>08/2019</v>
      </c>
    </row>
    <row r="6661" spans="1:12" x14ac:dyDescent="0.25">
      <c r="A6661" s="170" t="s">
        <v>9162</v>
      </c>
      <c r="B6661" s="170" t="s">
        <v>9163</v>
      </c>
      <c r="C6661" s="170" t="s">
        <v>85</v>
      </c>
      <c r="D6661" s="170" t="s">
        <v>2067</v>
      </c>
      <c r="E6661" s="171" t="s">
        <v>34799</v>
      </c>
      <c r="F6661" s="171" t="s">
        <v>37881</v>
      </c>
      <c r="H6661" s="96">
        <f t="shared" si="419"/>
        <v>3065.79</v>
      </c>
      <c r="I6661" s="96">
        <f t="shared" si="420"/>
        <v>3091.5</v>
      </c>
      <c r="J6661" s="91" t="str">
        <f t="shared" si="421"/>
        <v>Sinapi 87399</v>
      </c>
      <c r="K6661" s="91" t="str">
        <f t="shared" si="422"/>
        <v>M3</v>
      </c>
      <c r="L6661" s="166" t="str">
        <f t="shared" si="418"/>
        <v>08/2019</v>
      </c>
    </row>
    <row r="6662" spans="1:12" x14ac:dyDescent="0.25">
      <c r="A6662" s="170" t="s">
        <v>9164</v>
      </c>
      <c r="B6662" s="170" t="s">
        <v>9165</v>
      </c>
      <c r="C6662" s="170" t="s">
        <v>85</v>
      </c>
      <c r="D6662" s="170" t="s">
        <v>2067</v>
      </c>
      <c r="E6662" s="171" t="s">
        <v>34800</v>
      </c>
      <c r="F6662" s="171" t="s">
        <v>37882</v>
      </c>
      <c r="H6662" s="96">
        <f t="shared" si="419"/>
        <v>8009.42</v>
      </c>
      <c r="I6662" s="96">
        <f t="shared" si="420"/>
        <v>8039.4</v>
      </c>
      <c r="J6662" s="91" t="str">
        <f t="shared" si="421"/>
        <v>Sinapi 87401</v>
      </c>
      <c r="K6662" s="91" t="str">
        <f t="shared" si="422"/>
        <v>M3</v>
      </c>
      <c r="L6662" s="166" t="str">
        <f t="shared" si="418"/>
        <v>08/2019</v>
      </c>
    </row>
    <row r="6663" spans="1:12" x14ac:dyDescent="0.25">
      <c r="A6663" s="170" t="s">
        <v>9166</v>
      </c>
      <c r="B6663" s="170" t="s">
        <v>9167</v>
      </c>
      <c r="C6663" s="170" t="s">
        <v>85</v>
      </c>
      <c r="D6663" s="170" t="s">
        <v>2067</v>
      </c>
      <c r="E6663" s="171" t="s">
        <v>34801</v>
      </c>
      <c r="F6663" s="171" t="s">
        <v>37883</v>
      </c>
      <c r="H6663" s="96">
        <f t="shared" si="419"/>
        <v>5096.72</v>
      </c>
      <c r="I6663" s="96">
        <f t="shared" si="420"/>
        <v>5126.7</v>
      </c>
      <c r="J6663" s="91" t="str">
        <f t="shared" si="421"/>
        <v>Sinapi 87402</v>
      </c>
      <c r="K6663" s="91" t="str">
        <f t="shared" si="422"/>
        <v>M3</v>
      </c>
      <c r="L6663" s="166" t="str">
        <f t="shared" si="418"/>
        <v>08/2019</v>
      </c>
    </row>
    <row r="6664" spans="1:12" x14ac:dyDescent="0.25">
      <c r="A6664" s="170" t="s">
        <v>9168</v>
      </c>
      <c r="B6664" s="170" t="s">
        <v>9169</v>
      </c>
      <c r="C6664" s="170" t="s">
        <v>85</v>
      </c>
      <c r="D6664" s="170" t="s">
        <v>2067</v>
      </c>
      <c r="E6664" s="171" t="s">
        <v>34802</v>
      </c>
      <c r="F6664" s="171" t="s">
        <v>37884</v>
      </c>
      <c r="H6664" s="96">
        <f t="shared" si="419"/>
        <v>7200.39</v>
      </c>
      <c r="I6664" s="96">
        <f t="shared" si="420"/>
        <v>7216.02</v>
      </c>
      <c r="J6664" s="91" t="str">
        <f t="shared" si="421"/>
        <v>Sinapi 87404</v>
      </c>
      <c r="K6664" s="91" t="str">
        <f t="shared" si="422"/>
        <v>M3</v>
      </c>
      <c r="L6664" s="166" t="str">
        <f t="shared" ref="L6664:L6727" si="423">IF(OR(RIGHT(IF(AND(K6664&lt;&gt;"H",K6664&lt;&gt;"MES"),RIGHT(B6664,7),""),2)="PS",RIGHT(IF(AND(K6664&lt;&gt;"H",K6664&lt;&gt;"MES"),RIGHT(B6664,7),""),2)="PA",RIGHT(IF(AND(K6664&lt;&gt;"H",K6664&lt;&gt;"MES"),RIGHT(B6664,7),""),2)="PE"),LEFT(IF(AND(K6664&lt;&gt;"H",K6664&lt;&gt;"MES"),RIGHT(B6664,10),""),7),IF(AND(K6664&lt;&gt;"H",K6664&lt;&gt;"MES"),RIGHT(B6664,7),""))</f>
        <v>08/2019</v>
      </c>
    </row>
    <row r="6665" spans="1:12" x14ac:dyDescent="0.25">
      <c r="A6665" s="170" t="s">
        <v>9170</v>
      </c>
      <c r="B6665" s="170" t="s">
        <v>9171</v>
      </c>
      <c r="C6665" s="170" t="s">
        <v>85</v>
      </c>
      <c r="D6665" s="170" t="s">
        <v>2067</v>
      </c>
      <c r="E6665" s="171" t="s">
        <v>34803</v>
      </c>
      <c r="F6665" s="171" t="s">
        <v>37885</v>
      </c>
      <c r="H6665" s="96">
        <f t="shared" si="419"/>
        <v>7231.44</v>
      </c>
      <c r="I6665" s="96">
        <f t="shared" si="420"/>
        <v>7243.16</v>
      </c>
      <c r="J6665" s="91" t="str">
        <f t="shared" si="421"/>
        <v>Sinapi 87405</v>
      </c>
      <c r="K6665" s="91" t="str">
        <f t="shared" si="422"/>
        <v>M3</v>
      </c>
      <c r="L6665" s="166" t="str">
        <f t="shared" si="423"/>
        <v>06/2014</v>
      </c>
    </row>
    <row r="6666" spans="1:12" x14ac:dyDescent="0.25">
      <c r="A6666" s="170" t="s">
        <v>9172</v>
      </c>
      <c r="B6666" s="170" t="s">
        <v>9173</v>
      </c>
      <c r="C6666" s="170" t="s">
        <v>85</v>
      </c>
      <c r="D6666" s="170" t="s">
        <v>2067</v>
      </c>
      <c r="E6666" s="171" t="s">
        <v>34804</v>
      </c>
      <c r="F6666" s="171" t="s">
        <v>37886</v>
      </c>
      <c r="H6666" s="96">
        <f t="shared" si="419"/>
        <v>2524.09</v>
      </c>
      <c r="I6666" s="96">
        <f t="shared" si="420"/>
        <v>2534.65</v>
      </c>
      <c r="J6666" s="91" t="str">
        <f t="shared" si="421"/>
        <v>Sinapi 87407</v>
      </c>
      <c r="K6666" s="91" t="str">
        <f t="shared" si="422"/>
        <v>M3</v>
      </c>
      <c r="L6666" s="166" t="str">
        <f t="shared" si="423"/>
        <v>08/2019</v>
      </c>
    </row>
    <row r="6667" spans="1:12" x14ac:dyDescent="0.25">
      <c r="A6667" s="170" t="s">
        <v>9174</v>
      </c>
      <c r="B6667" s="170" t="s">
        <v>9175</v>
      </c>
      <c r="C6667" s="170" t="s">
        <v>85</v>
      </c>
      <c r="D6667" s="170" t="s">
        <v>2067</v>
      </c>
      <c r="E6667" s="171" t="s">
        <v>34805</v>
      </c>
      <c r="F6667" s="171" t="s">
        <v>37887</v>
      </c>
      <c r="H6667" s="96">
        <f t="shared" si="419"/>
        <v>2516.6</v>
      </c>
      <c r="I6667" s="96">
        <f t="shared" si="420"/>
        <v>2524.52</v>
      </c>
      <c r="J6667" s="91" t="str">
        <f t="shared" si="421"/>
        <v>Sinapi 87408</v>
      </c>
      <c r="K6667" s="91" t="str">
        <f t="shared" si="422"/>
        <v>M3</v>
      </c>
      <c r="L6667" s="166" t="str">
        <f t="shared" si="423"/>
        <v>06/2014</v>
      </c>
    </row>
    <row r="6668" spans="1:12" x14ac:dyDescent="0.25">
      <c r="A6668" s="170" t="s">
        <v>9176</v>
      </c>
      <c r="B6668" s="170" t="s">
        <v>9177</v>
      </c>
      <c r="C6668" s="170" t="s">
        <v>85</v>
      </c>
      <c r="D6668" s="170" t="s">
        <v>2067</v>
      </c>
      <c r="E6668" s="171" t="s">
        <v>34806</v>
      </c>
      <c r="F6668" s="171" t="s">
        <v>37888</v>
      </c>
      <c r="H6668" s="96">
        <f t="shared" si="419"/>
        <v>1315</v>
      </c>
      <c r="I6668" s="96">
        <f t="shared" si="420"/>
        <v>1329.71</v>
      </c>
      <c r="J6668" s="91" t="str">
        <f t="shared" si="421"/>
        <v>Sinapi 87410</v>
      </c>
      <c r="K6668" s="91" t="str">
        <f t="shared" si="422"/>
        <v>M3</v>
      </c>
      <c r="L6668" s="166" t="str">
        <f t="shared" si="423"/>
        <v>08/2019</v>
      </c>
    </row>
    <row r="6669" spans="1:12" x14ac:dyDescent="0.25">
      <c r="A6669" s="170" t="s">
        <v>9178</v>
      </c>
      <c r="B6669" s="170" t="s">
        <v>9179</v>
      </c>
      <c r="C6669" s="170" t="s">
        <v>85</v>
      </c>
      <c r="D6669" s="170" t="s">
        <v>2067</v>
      </c>
      <c r="E6669" s="171" t="s">
        <v>34807</v>
      </c>
      <c r="F6669" s="171" t="s">
        <v>37889</v>
      </c>
      <c r="H6669" s="96">
        <f t="shared" si="419"/>
        <v>745.22</v>
      </c>
      <c r="I6669" s="96">
        <f t="shared" si="420"/>
        <v>754.88</v>
      </c>
      <c r="J6669" s="91" t="str">
        <f t="shared" si="421"/>
        <v>Sinapi 88626</v>
      </c>
      <c r="K6669" s="91" t="str">
        <f t="shared" si="422"/>
        <v>M3</v>
      </c>
      <c r="L6669" s="166" t="str">
        <f t="shared" si="423"/>
        <v>08/2019</v>
      </c>
    </row>
    <row r="6670" spans="1:12" x14ac:dyDescent="0.25">
      <c r="A6670" s="170" t="s">
        <v>9180</v>
      </c>
      <c r="B6670" s="170" t="s">
        <v>1297</v>
      </c>
      <c r="C6670" s="170" t="s">
        <v>85</v>
      </c>
      <c r="D6670" s="170" t="s">
        <v>2067</v>
      </c>
      <c r="E6670" s="171" t="s">
        <v>34808</v>
      </c>
      <c r="F6670" s="171" t="s">
        <v>37890</v>
      </c>
      <c r="H6670" s="96">
        <f t="shared" si="419"/>
        <v>821.64</v>
      </c>
      <c r="I6670" s="96">
        <f t="shared" si="420"/>
        <v>838.32</v>
      </c>
      <c r="J6670" s="91" t="str">
        <f t="shared" si="421"/>
        <v>Sinapi 88627</v>
      </c>
      <c r="K6670" s="91" t="str">
        <f t="shared" si="422"/>
        <v>M3</v>
      </c>
      <c r="L6670" s="166" t="str">
        <f t="shared" si="423"/>
        <v>08/2019</v>
      </c>
    </row>
    <row r="6671" spans="1:12" x14ac:dyDescent="0.25">
      <c r="A6671" s="170" t="s">
        <v>9181</v>
      </c>
      <c r="B6671" s="170" t="s">
        <v>9182</v>
      </c>
      <c r="C6671" s="170" t="s">
        <v>85</v>
      </c>
      <c r="D6671" s="170" t="s">
        <v>2067</v>
      </c>
      <c r="E6671" s="171" t="s">
        <v>34809</v>
      </c>
      <c r="F6671" s="171" t="s">
        <v>37891</v>
      </c>
      <c r="H6671" s="96">
        <f t="shared" si="419"/>
        <v>787.67</v>
      </c>
      <c r="I6671" s="96">
        <f t="shared" si="420"/>
        <v>796.18</v>
      </c>
      <c r="J6671" s="91" t="str">
        <f t="shared" si="421"/>
        <v>Sinapi 88628</v>
      </c>
      <c r="K6671" s="91" t="str">
        <f t="shared" si="422"/>
        <v>M3</v>
      </c>
      <c r="L6671" s="166" t="str">
        <f t="shared" si="423"/>
        <v>08/2019</v>
      </c>
    </row>
    <row r="6672" spans="1:12" x14ac:dyDescent="0.25">
      <c r="A6672" s="170" t="s">
        <v>9183</v>
      </c>
      <c r="B6672" s="170" t="s">
        <v>80</v>
      </c>
      <c r="C6672" s="170" t="s">
        <v>85</v>
      </c>
      <c r="D6672" s="170" t="s">
        <v>2067</v>
      </c>
      <c r="E6672" s="171" t="s">
        <v>34810</v>
      </c>
      <c r="F6672" s="171" t="s">
        <v>37892</v>
      </c>
      <c r="H6672" s="96">
        <f t="shared" si="419"/>
        <v>869.23</v>
      </c>
      <c r="I6672" s="96">
        <f t="shared" si="420"/>
        <v>885.51</v>
      </c>
      <c r="J6672" s="91" t="str">
        <f t="shared" si="421"/>
        <v>Sinapi 88629</v>
      </c>
      <c r="K6672" s="91" t="str">
        <f t="shared" si="422"/>
        <v>M3</v>
      </c>
      <c r="L6672" s="166" t="str">
        <f t="shared" si="423"/>
        <v>08/2019</v>
      </c>
    </row>
    <row r="6673" spans="1:12" x14ac:dyDescent="0.25">
      <c r="A6673" s="170" t="s">
        <v>9184</v>
      </c>
      <c r="B6673" s="170" t="s">
        <v>9185</v>
      </c>
      <c r="C6673" s="170" t="s">
        <v>85</v>
      </c>
      <c r="D6673" s="170" t="s">
        <v>2067</v>
      </c>
      <c r="E6673" s="171" t="s">
        <v>34811</v>
      </c>
      <c r="F6673" s="171" t="s">
        <v>37893</v>
      </c>
      <c r="H6673" s="96">
        <f t="shared" si="419"/>
        <v>627.71</v>
      </c>
      <c r="I6673" s="96">
        <f t="shared" si="420"/>
        <v>636.08000000000004</v>
      </c>
      <c r="J6673" s="91" t="str">
        <f t="shared" si="421"/>
        <v>Sinapi 88630</v>
      </c>
      <c r="K6673" s="91" t="str">
        <f t="shared" si="422"/>
        <v>M3</v>
      </c>
      <c r="L6673" s="166" t="str">
        <f t="shared" si="423"/>
        <v>08/2014</v>
      </c>
    </row>
    <row r="6674" spans="1:12" x14ac:dyDescent="0.25">
      <c r="A6674" s="170" t="s">
        <v>9186</v>
      </c>
      <c r="B6674" s="170" t="s">
        <v>176</v>
      </c>
      <c r="C6674" s="170" t="s">
        <v>85</v>
      </c>
      <c r="D6674" s="170" t="s">
        <v>2067</v>
      </c>
      <c r="E6674" s="171" t="s">
        <v>34812</v>
      </c>
      <c r="F6674" s="171" t="s">
        <v>37894</v>
      </c>
      <c r="H6674" s="96">
        <f t="shared" si="419"/>
        <v>746.39</v>
      </c>
      <c r="I6674" s="96">
        <f t="shared" si="420"/>
        <v>762.14</v>
      </c>
      <c r="J6674" s="91" t="str">
        <f t="shared" si="421"/>
        <v>Sinapi 88631</v>
      </c>
      <c r="K6674" s="91" t="str">
        <f t="shared" si="422"/>
        <v>M3</v>
      </c>
      <c r="L6674" s="166" t="str">
        <f t="shared" si="423"/>
        <v>08/2019</v>
      </c>
    </row>
    <row r="6675" spans="1:12" x14ac:dyDescent="0.25">
      <c r="A6675" s="170" t="s">
        <v>9187</v>
      </c>
      <c r="B6675" s="170" t="s">
        <v>9188</v>
      </c>
      <c r="C6675" s="170" t="s">
        <v>85</v>
      </c>
      <c r="D6675" s="170" t="s">
        <v>2067</v>
      </c>
      <c r="E6675" s="171" t="s">
        <v>34813</v>
      </c>
      <c r="F6675" s="171" t="s">
        <v>37895</v>
      </c>
      <c r="H6675" s="96">
        <f t="shared" si="419"/>
        <v>693.2</v>
      </c>
      <c r="I6675" s="96">
        <f t="shared" si="420"/>
        <v>703.81</v>
      </c>
      <c r="J6675" s="91" t="str">
        <f t="shared" si="421"/>
        <v>Sinapi 88715</v>
      </c>
      <c r="K6675" s="91" t="str">
        <f t="shared" si="422"/>
        <v>M3</v>
      </c>
      <c r="L6675" s="166" t="str">
        <f t="shared" si="423"/>
        <v>08/2019</v>
      </c>
    </row>
    <row r="6676" spans="1:12" x14ac:dyDescent="0.25">
      <c r="A6676" s="170" t="s">
        <v>9189</v>
      </c>
      <c r="B6676" s="170" t="s">
        <v>9190</v>
      </c>
      <c r="C6676" s="170" t="s">
        <v>85</v>
      </c>
      <c r="D6676" s="170" t="s">
        <v>2067</v>
      </c>
      <c r="E6676" s="171" t="s">
        <v>34814</v>
      </c>
      <c r="F6676" s="171" t="s">
        <v>37896</v>
      </c>
      <c r="H6676" s="96">
        <f t="shared" si="419"/>
        <v>1152.55</v>
      </c>
      <c r="I6676" s="96">
        <f t="shared" si="420"/>
        <v>1169.8</v>
      </c>
      <c r="J6676" s="91" t="str">
        <f t="shared" si="421"/>
        <v>Sinapi 95563</v>
      </c>
      <c r="K6676" s="91" t="str">
        <f t="shared" si="422"/>
        <v>M3</v>
      </c>
      <c r="L6676" s="166" t="str">
        <f t="shared" si="423"/>
        <v>03/2020</v>
      </c>
    </row>
    <row r="6677" spans="1:12" x14ac:dyDescent="0.25">
      <c r="A6677" s="170" t="s">
        <v>9191</v>
      </c>
      <c r="B6677" s="170" t="s">
        <v>9192</v>
      </c>
      <c r="C6677" s="170" t="s">
        <v>85</v>
      </c>
      <c r="D6677" s="170" t="s">
        <v>2067</v>
      </c>
      <c r="E6677" s="171" t="s">
        <v>34815</v>
      </c>
      <c r="F6677" s="171" t="s">
        <v>37897</v>
      </c>
      <c r="H6677" s="96">
        <f t="shared" si="419"/>
        <v>764.72</v>
      </c>
      <c r="I6677" s="96">
        <f t="shared" si="420"/>
        <v>777.97</v>
      </c>
      <c r="J6677" s="91" t="str">
        <f t="shared" si="421"/>
        <v>Sinapi 100464</v>
      </c>
      <c r="K6677" s="91" t="str">
        <f t="shared" si="422"/>
        <v>M3</v>
      </c>
      <c r="L6677" s="166" t="str">
        <f t="shared" si="423"/>
        <v>08/2019</v>
      </c>
    </row>
    <row r="6678" spans="1:12" x14ac:dyDescent="0.25">
      <c r="A6678" s="170" t="s">
        <v>9193</v>
      </c>
      <c r="B6678" s="170" t="s">
        <v>9194</v>
      </c>
      <c r="C6678" s="170" t="s">
        <v>85</v>
      </c>
      <c r="D6678" s="170" t="s">
        <v>2067</v>
      </c>
      <c r="E6678" s="171" t="s">
        <v>34816</v>
      </c>
      <c r="F6678" s="171" t="s">
        <v>37898</v>
      </c>
      <c r="H6678" s="96">
        <f t="shared" si="419"/>
        <v>729.66</v>
      </c>
      <c r="I6678" s="96">
        <f t="shared" si="420"/>
        <v>738.4</v>
      </c>
      <c r="J6678" s="91" t="str">
        <f t="shared" si="421"/>
        <v>Sinapi 100465</v>
      </c>
      <c r="K6678" s="91" t="str">
        <f t="shared" si="422"/>
        <v>M3</v>
      </c>
      <c r="L6678" s="166" t="str">
        <f t="shared" si="423"/>
        <v>08/2019</v>
      </c>
    </row>
    <row r="6679" spans="1:12" x14ac:dyDescent="0.25">
      <c r="A6679" s="170" t="s">
        <v>9195</v>
      </c>
      <c r="B6679" s="170" t="s">
        <v>9196</v>
      </c>
      <c r="C6679" s="170" t="s">
        <v>85</v>
      </c>
      <c r="D6679" s="170" t="s">
        <v>2067</v>
      </c>
      <c r="E6679" s="171" t="s">
        <v>34817</v>
      </c>
      <c r="F6679" s="171" t="s">
        <v>37899</v>
      </c>
      <c r="H6679" s="96">
        <f t="shared" si="419"/>
        <v>711.08</v>
      </c>
      <c r="I6679" s="96">
        <f t="shared" si="420"/>
        <v>717.26</v>
      </c>
      <c r="J6679" s="91" t="str">
        <f t="shared" si="421"/>
        <v>Sinapi 100466</v>
      </c>
      <c r="K6679" s="91" t="str">
        <f t="shared" si="422"/>
        <v>M3</v>
      </c>
      <c r="L6679" s="166" t="str">
        <f t="shared" si="423"/>
        <v>08/2019</v>
      </c>
    </row>
    <row r="6680" spans="1:12" x14ac:dyDescent="0.25">
      <c r="A6680" s="170" t="s">
        <v>9197</v>
      </c>
      <c r="B6680" s="170" t="s">
        <v>9198</v>
      </c>
      <c r="C6680" s="170" t="s">
        <v>85</v>
      </c>
      <c r="D6680" s="170" t="s">
        <v>2067</v>
      </c>
      <c r="E6680" s="171" t="s">
        <v>34818</v>
      </c>
      <c r="F6680" s="171" t="s">
        <v>27148</v>
      </c>
      <c r="H6680" s="96">
        <f t="shared" si="419"/>
        <v>901.08</v>
      </c>
      <c r="I6680" s="96">
        <f t="shared" si="420"/>
        <v>917.99</v>
      </c>
      <c r="J6680" s="91" t="str">
        <f t="shared" si="421"/>
        <v>Sinapi 100468</v>
      </c>
      <c r="K6680" s="91" t="str">
        <f t="shared" si="422"/>
        <v>M3</v>
      </c>
      <c r="L6680" s="166" t="str">
        <f t="shared" si="423"/>
        <v>08/2019</v>
      </c>
    </row>
    <row r="6681" spans="1:12" x14ac:dyDescent="0.25">
      <c r="A6681" s="170" t="s">
        <v>9199</v>
      </c>
      <c r="B6681" s="170" t="s">
        <v>9200</v>
      </c>
      <c r="C6681" s="170" t="s">
        <v>85</v>
      </c>
      <c r="D6681" s="170" t="s">
        <v>2067</v>
      </c>
      <c r="E6681" s="171" t="s">
        <v>34819</v>
      </c>
      <c r="F6681" s="171" t="s">
        <v>37900</v>
      </c>
      <c r="H6681" s="96">
        <f t="shared" si="419"/>
        <v>773.64</v>
      </c>
      <c r="I6681" s="96">
        <f t="shared" si="420"/>
        <v>781.73</v>
      </c>
      <c r="J6681" s="91" t="str">
        <f t="shared" si="421"/>
        <v>Sinapi 100469</v>
      </c>
      <c r="K6681" s="91" t="str">
        <f t="shared" si="422"/>
        <v>M3</v>
      </c>
      <c r="L6681" s="166" t="str">
        <f t="shared" si="423"/>
        <v>08/2019</v>
      </c>
    </row>
    <row r="6682" spans="1:12" x14ac:dyDescent="0.25">
      <c r="A6682" s="170" t="s">
        <v>9201</v>
      </c>
      <c r="B6682" s="170" t="s">
        <v>9202</v>
      </c>
      <c r="C6682" s="170" t="s">
        <v>85</v>
      </c>
      <c r="D6682" s="170" t="s">
        <v>2067</v>
      </c>
      <c r="E6682" s="171" t="s">
        <v>34820</v>
      </c>
      <c r="F6682" s="171" t="s">
        <v>37901</v>
      </c>
      <c r="H6682" s="96">
        <f t="shared" si="419"/>
        <v>671.28</v>
      </c>
      <c r="I6682" s="96">
        <f t="shared" si="420"/>
        <v>679.37</v>
      </c>
      <c r="J6682" s="91" t="str">
        <f t="shared" si="421"/>
        <v>Sinapi 100470</v>
      </c>
      <c r="K6682" s="91" t="str">
        <f t="shared" si="422"/>
        <v>M3</v>
      </c>
      <c r="L6682" s="166" t="str">
        <f t="shared" si="423"/>
        <v>08/2019</v>
      </c>
    </row>
    <row r="6683" spans="1:12" x14ac:dyDescent="0.25">
      <c r="A6683" s="170" t="s">
        <v>9203</v>
      </c>
      <c r="B6683" s="170" t="s">
        <v>9204</v>
      </c>
      <c r="C6683" s="170" t="s">
        <v>85</v>
      </c>
      <c r="D6683" s="170" t="s">
        <v>2067</v>
      </c>
      <c r="E6683" s="171" t="s">
        <v>29348</v>
      </c>
      <c r="F6683" s="171" t="s">
        <v>37902</v>
      </c>
      <c r="H6683" s="96">
        <f t="shared" si="419"/>
        <v>709.09</v>
      </c>
      <c r="I6683" s="96">
        <f t="shared" si="420"/>
        <v>723.38</v>
      </c>
      <c r="J6683" s="91" t="str">
        <f t="shared" si="421"/>
        <v>Sinapi 100472</v>
      </c>
      <c r="K6683" s="91" t="str">
        <f t="shared" si="422"/>
        <v>M3</v>
      </c>
      <c r="L6683" s="166" t="str">
        <f t="shared" si="423"/>
        <v>08/2019</v>
      </c>
    </row>
    <row r="6684" spans="1:12" x14ac:dyDescent="0.25">
      <c r="A6684" s="170" t="s">
        <v>9205</v>
      </c>
      <c r="B6684" s="170" t="s">
        <v>9206</v>
      </c>
      <c r="C6684" s="170" t="s">
        <v>85</v>
      </c>
      <c r="D6684" s="170" t="s">
        <v>2067</v>
      </c>
      <c r="E6684" s="171" t="s">
        <v>34821</v>
      </c>
      <c r="F6684" s="171" t="s">
        <v>37903</v>
      </c>
      <c r="H6684" s="96">
        <f t="shared" si="419"/>
        <v>663.33</v>
      </c>
      <c r="I6684" s="96">
        <f t="shared" si="420"/>
        <v>672.12</v>
      </c>
      <c r="J6684" s="91" t="str">
        <f t="shared" si="421"/>
        <v>Sinapi 100473</v>
      </c>
      <c r="K6684" s="91" t="str">
        <f t="shared" si="422"/>
        <v>M3</v>
      </c>
      <c r="L6684" s="166" t="str">
        <f t="shared" si="423"/>
        <v>08/2019</v>
      </c>
    </row>
    <row r="6685" spans="1:12" x14ac:dyDescent="0.25">
      <c r="A6685" s="170" t="s">
        <v>9207</v>
      </c>
      <c r="B6685" s="170" t="s">
        <v>9208</v>
      </c>
      <c r="C6685" s="170" t="s">
        <v>85</v>
      </c>
      <c r="D6685" s="170" t="s">
        <v>2067</v>
      </c>
      <c r="E6685" s="171" t="s">
        <v>34822</v>
      </c>
      <c r="F6685" s="171" t="s">
        <v>37904</v>
      </c>
      <c r="H6685" s="96">
        <f t="shared" si="419"/>
        <v>643.53</v>
      </c>
      <c r="I6685" s="96">
        <f t="shared" si="420"/>
        <v>649.41999999999996</v>
      </c>
      <c r="J6685" s="91" t="str">
        <f t="shared" si="421"/>
        <v>Sinapi 100474</v>
      </c>
      <c r="K6685" s="91" t="str">
        <f t="shared" si="422"/>
        <v>M3</v>
      </c>
      <c r="L6685" s="166" t="str">
        <f t="shared" si="423"/>
        <v>08/2019</v>
      </c>
    </row>
    <row r="6686" spans="1:12" x14ac:dyDescent="0.25">
      <c r="A6686" s="170" t="s">
        <v>9209</v>
      </c>
      <c r="B6686" s="170" t="s">
        <v>9210</v>
      </c>
      <c r="C6686" s="170" t="s">
        <v>85</v>
      </c>
      <c r="D6686" s="170" t="s">
        <v>2067</v>
      </c>
      <c r="E6686" s="171" t="s">
        <v>34823</v>
      </c>
      <c r="F6686" s="171" t="s">
        <v>37905</v>
      </c>
      <c r="H6686" s="96">
        <f t="shared" si="419"/>
        <v>965.93</v>
      </c>
      <c r="I6686" s="96">
        <f t="shared" si="420"/>
        <v>975.27</v>
      </c>
      <c r="J6686" s="91" t="str">
        <f t="shared" si="421"/>
        <v>Sinapi 100475</v>
      </c>
      <c r="K6686" s="91" t="str">
        <f t="shared" si="422"/>
        <v>M3</v>
      </c>
      <c r="L6686" s="166" t="str">
        <f t="shared" si="423"/>
        <v>08/2019</v>
      </c>
    </row>
    <row r="6687" spans="1:12" x14ac:dyDescent="0.25">
      <c r="A6687" s="170" t="s">
        <v>9211</v>
      </c>
      <c r="B6687" s="170" t="s">
        <v>9212</v>
      </c>
      <c r="C6687" s="170" t="s">
        <v>85</v>
      </c>
      <c r="D6687" s="170" t="s">
        <v>2067</v>
      </c>
      <c r="E6687" s="171" t="s">
        <v>34824</v>
      </c>
      <c r="F6687" s="171" t="s">
        <v>37906</v>
      </c>
      <c r="H6687" s="96">
        <f t="shared" si="419"/>
        <v>1016.6</v>
      </c>
      <c r="I6687" s="96">
        <f t="shared" si="420"/>
        <v>1034.33</v>
      </c>
      <c r="J6687" s="91" t="str">
        <f t="shared" si="421"/>
        <v>Sinapi 100477</v>
      </c>
      <c r="K6687" s="91" t="str">
        <f t="shared" si="422"/>
        <v>M3</v>
      </c>
      <c r="L6687" s="166" t="str">
        <f t="shared" si="423"/>
        <v>08/2019</v>
      </c>
    </row>
    <row r="6688" spans="1:12" x14ac:dyDescent="0.25">
      <c r="A6688" s="170" t="s">
        <v>9213</v>
      </c>
      <c r="B6688" s="170" t="s">
        <v>9214</v>
      </c>
      <c r="C6688" s="170" t="s">
        <v>85</v>
      </c>
      <c r="D6688" s="170" t="s">
        <v>2067</v>
      </c>
      <c r="E6688" s="171" t="s">
        <v>34825</v>
      </c>
      <c r="F6688" s="171" t="s">
        <v>37907</v>
      </c>
      <c r="H6688" s="96">
        <f t="shared" si="419"/>
        <v>947.24</v>
      </c>
      <c r="I6688" s="96">
        <f t="shared" si="420"/>
        <v>956.16</v>
      </c>
      <c r="J6688" s="91" t="str">
        <f t="shared" si="421"/>
        <v>Sinapi 100478</v>
      </c>
      <c r="K6688" s="91" t="str">
        <f t="shared" si="422"/>
        <v>M3</v>
      </c>
      <c r="L6688" s="166" t="str">
        <f t="shared" si="423"/>
        <v>08/2019</v>
      </c>
    </row>
    <row r="6689" spans="1:12" x14ac:dyDescent="0.25">
      <c r="A6689" s="170" t="s">
        <v>9215</v>
      </c>
      <c r="B6689" s="170" t="s">
        <v>9216</v>
      </c>
      <c r="C6689" s="170" t="s">
        <v>85</v>
      </c>
      <c r="D6689" s="170" t="s">
        <v>2067</v>
      </c>
      <c r="E6689" s="171" t="s">
        <v>34826</v>
      </c>
      <c r="F6689" s="171" t="s">
        <v>37908</v>
      </c>
      <c r="H6689" s="96">
        <f t="shared" si="419"/>
        <v>932.38</v>
      </c>
      <c r="I6689" s="96">
        <f t="shared" si="420"/>
        <v>938.96</v>
      </c>
      <c r="J6689" s="91" t="str">
        <f t="shared" si="421"/>
        <v>Sinapi 100479</v>
      </c>
      <c r="K6689" s="91" t="str">
        <f t="shared" si="422"/>
        <v>M3</v>
      </c>
      <c r="L6689" s="166" t="str">
        <f t="shared" si="423"/>
        <v>08/2019</v>
      </c>
    </row>
    <row r="6690" spans="1:12" x14ac:dyDescent="0.25">
      <c r="A6690" s="170" t="s">
        <v>9217</v>
      </c>
      <c r="B6690" s="170" t="s">
        <v>9218</v>
      </c>
      <c r="C6690" s="170" t="s">
        <v>85</v>
      </c>
      <c r="D6690" s="170" t="s">
        <v>2067</v>
      </c>
      <c r="E6690" s="171" t="s">
        <v>34827</v>
      </c>
      <c r="F6690" s="171" t="s">
        <v>37909</v>
      </c>
      <c r="H6690" s="96">
        <f t="shared" si="419"/>
        <v>1045.17</v>
      </c>
      <c r="I6690" s="96">
        <f t="shared" si="420"/>
        <v>1062.08</v>
      </c>
      <c r="J6690" s="91" t="str">
        <f t="shared" si="421"/>
        <v>Sinapi 100480</v>
      </c>
      <c r="K6690" s="91" t="str">
        <f t="shared" si="422"/>
        <v>M3</v>
      </c>
      <c r="L6690" s="166" t="str">
        <f t="shared" si="423"/>
        <v>08/2019</v>
      </c>
    </row>
    <row r="6691" spans="1:12" x14ac:dyDescent="0.25">
      <c r="A6691" s="170" t="s">
        <v>9219</v>
      </c>
      <c r="B6691" s="170" t="s">
        <v>9220</v>
      </c>
      <c r="C6691" s="170" t="s">
        <v>85</v>
      </c>
      <c r="D6691" s="170" t="s">
        <v>2067</v>
      </c>
      <c r="E6691" s="171" t="s">
        <v>34828</v>
      </c>
      <c r="F6691" s="171" t="s">
        <v>37910</v>
      </c>
      <c r="H6691" s="96">
        <f t="shared" si="419"/>
        <v>807.38</v>
      </c>
      <c r="I6691" s="96">
        <f t="shared" si="420"/>
        <v>816.12</v>
      </c>
      <c r="J6691" s="91" t="str">
        <f t="shared" si="421"/>
        <v>Sinapi 100481</v>
      </c>
      <c r="K6691" s="91" t="str">
        <f t="shared" si="422"/>
        <v>M3</v>
      </c>
      <c r="L6691" s="166" t="str">
        <f t="shared" si="423"/>
        <v>08/2019</v>
      </c>
    </row>
    <row r="6692" spans="1:12" x14ac:dyDescent="0.25">
      <c r="A6692" s="170" t="s">
        <v>9221</v>
      </c>
      <c r="B6692" s="170" t="s">
        <v>9222</v>
      </c>
      <c r="C6692" s="170" t="s">
        <v>85</v>
      </c>
      <c r="D6692" s="170" t="s">
        <v>2067</v>
      </c>
      <c r="E6692" s="171" t="s">
        <v>34829</v>
      </c>
      <c r="F6692" s="171" t="s">
        <v>37911</v>
      </c>
      <c r="H6692" s="96">
        <f t="shared" si="419"/>
        <v>846.31</v>
      </c>
      <c r="I6692" s="96">
        <f t="shared" si="420"/>
        <v>861.28</v>
      </c>
      <c r="J6692" s="91" t="str">
        <f t="shared" si="421"/>
        <v>Sinapi 100483</v>
      </c>
      <c r="K6692" s="91" t="str">
        <f t="shared" si="422"/>
        <v>M3</v>
      </c>
      <c r="L6692" s="166" t="str">
        <f t="shared" si="423"/>
        <v>08/2019</v>
      </c>
    </row>
    <row r="6693" spans="1:12" x14ac:dyDescent="0.25">
      <c r="A6693" s="170" t="s">
        <v>9223</v>
      </c>
      <c r="B6693" s="170" t="s">
        <v>9224</v>
      </c>
      <c r="C6693" s="170" t="s">
        <v>85</v>
      </c>
      <c r="D6693" s="170" t="s">
        <v>2067</v>
      </c>
      <c r="E6693" s="171" t="s">
        <v>34830</v>
      </c>
      <c r="F6693" s="171" t="s">
        <v>37912</v>
      </c>
      <c r="H6693" s="96">
        <f t="shared" ref="H6693:H6756" si="424">IF(E6693="","",E6693+0)</f>
        <v>801.96</v>
      </c>
      <c r="I6693" s="96">
        <f t="shared" ref="I6693:I6756" si="425">IF(F6693="","",F6693+0)</f>
        <v>811.43</v>
      </c>
      <c r="J6693" s="91" t="str">
        <f t="shared" ref="J6693:J6756" si="426">IF(OR(H6693="",I6693=""),"",TRIM(CONCATENATE("Sinapi ",A6693)))</f>
        <v>Sinapi 100484</v>
      </c>
      <c r="K6693" s="91" t="str">
        <f t="shared" ref="K6693:K6756" si="427">TRIM(C6693)</f>
        <v>M3</v>
      </c>
      <c r="L6693" s="166" t="str">
        <f t="shared" si="423"/>
        <v>08/2019</v>
      </c>
    </row>
    <row r="6694" spans="1:12" x14ac:dyDescent="0.25">
      <c r="A6694" s="170" t="s">
        <v>9225</v>
      </c>
      <c r="B6694" s="170" t="s">
        <v>9226</v>
      </c>
      <c r="C6694" s="170" t="s">
        <v>85</v>
      </c>
      <c r="D6694" s="170" t="s">
        <v>2067</v>
      </c>
      <c r="E6694" s="171" t="s">
        <v>34831</v>
      </c>
      <c r="F6694" s="171" t="s">
        <v>37913</v>
      </c>
      <c r="H6694" s="96">
        <f t="shared" si="424"/>
        <v>784.51</v>
      </c>
      <c r="I6694" s="96">
        <f t="shared" si="425"/>
        <v>791.06</v>
      </c>
      <c r="J6694" s="91" t="str">
        <f t="shared" si="426"/>
        <v>Sinapi 100485</v>
      </c>
      <c r="K6694" s="91" t="str">
        <f t="shared" si="427"/>
        <v>M3</v>
      </c>
      <c r="L6694" s="166" t="str">
        <f t="shared" si="423"/>
        <v>08/2019</v>
      </c>
    </row>
    <row r="6695" spans="1:12" x14ac:dyDescent="0.25">
      <c r="A6695" s="170" t="s">
        <v>9227</v>
      </c>
      <c r="B6695" s="170" t="s">
        <v>9228</v>
      </c>
      <c r="C6695" s="170" t="s">
        <v>85</v>
      </c>
      <c r="D6695" s="170" t="s">
        <v>2067</v>
      </c>
      <c r="E6695" s="171" t="s">
        <v>34832</v>
      </c>
      <c r="F6695" s="171" t="s">
        <v>37914</v>
      </c>
      <c r="H6695" s="96">
        <f t="shared" si="424"/>
        <v>895.38</v>
      </c>
      <c r="I6695" s="96">
        <f t="shared" si="425"/>
        <v>911.63</v>
      </c>
      <c r="J6695" s="91" t="str">
        <f t="shared" si="426"/>
        <v>Sinapi 100486</v>
      </c>
      <c r="K6695" s="91" t="str">
        <f t="shared" si="427"/>
        <v>M3</v>
      </c>
      <c r="L6695" s="166" t="str">
        <f t="shared" si="423"/>
        <v>08/2019</v>
      </c>
    </row>
    <row r="6696" spans="1:12" x14ac:dyDescent="0.25">
      <c r="A6696" s="170" t="s">
        <v>9229</v>
      </c>
      <c r="B6696" s="170" t="s">
        <v>9230</v>
      </c>
      <c r="C6696" s="170" t="s">
        <v>85</v>
      </c>
      <c r="D6696" s="170" t="s">
        <v>2067</v>
      </c>
      <c r="E6696" s="171" t="s">
        <v>34833</v>
      </c>
      <c r="F6696" s="171" t="s">
        <v>37915</v>
      </c>
      <c r="H6696" s="96">
        <f t="shared" si="424"/>
        <v>664.4</v>
      </c>
      <c r="I6696" s="96">
        <f t="shared" si="425"/>
        <v>672.53</v>
      </c>
      <c r="J6696" s="91" t="str">
        <f t="shared" si="426"/>
        <v>Sinapi 100487</v>
      </c>
      <c r="K6696" s="91" t="str">
        <f t="shared" si="427"/>
        <v>M3</v>
      </c>
      <c r="L6696" s="166" t="str">
        <f t="shared" si="423"/>
        <v>08/2019</v>
      </c>
    </row>
    <row r="6697" spans="1:12" x14ac:dyDescent="0.25">
      <c r="A6697" s="170" t="s">
        <v>9231</v>
      </c>
      <c r="B6697" s="170" t="s">
        <v>9232</v>
      </c>
      <c r="C6697" s="170" t="s">
        <v>85</v>
      </c>
      <c r="D6697" s="170" t="s">
        <v>2067</v>
      </c>
      <c r="E6697" s="171" t="s">
        <v>34834</v>
      </c>
      <c r="F6697" s="171" t="s">
        <v>37916</v>
      </c>
      <c r="H6697" s="96">
        <f t="shared" si="424"/>
        <v>736.73</v>
      </c>
      <c r="I6697" s="96">
        <f t="shared" si="425"/>
        <v>744.38</v>
      </c>
      <c r="J6697" s="91" t="str">
        <f t="shared" si="426"/>
        <v>Sinapi 100488</v>
      </c>
      <c r="K6697" s="91" t="str">
        <f t="shared" si="427"/>
        <v>M3</v>
      </c>
      <c r="L6697" s="166" t="str">
        <f t="shared" si="423"/>
        <v>08/2019</v>
      </c>
    </row>
    <row r="6698" spans="1:12" x14ac:dyDescent="0.25">
      <c r="A6698" s="170" t="s">
        <v>9233</v>
      </c>
      <c r="B6698" s="170" t="s">
        <v>9234</v>
      </c>
      <c r="C6698" s="170" t="s">
        <v>85</v>
      </c>
      <c r="D6698" s="170" t="s">
        <v>2067</v>
      </c>
      <c r="E6698" s="171" t="s">
        <v>34835</v>
      </c>
      <c r="F6698" s="171" t="s">
        <v>37917</v>
      </c>
      <c r="H6698" s="96">
        <f t="shared" si="424"/>
        <v>785.11</v>
      </c>
      <c r="I6698" s="96">
        <f t="shared" si="425"/>
        <v>792.62</v>
      </c>
      <c r="J6698" s="91" t="str">
        <f t="shared" si="426"/>
        <v>Sinapi 100489</v>
      </c>
      <c r="K6698" s="91" t="str">
        <f t="shared" si="427"/>
        <v>M3</v>
      </c>
      <c r="L6698" s="166" t="str">
        <f t="shared" si="423"/>
        <v>08/2019</v>
      </c>
    </row>
    <row r="6699" spans="1:12" x14ac:dyDescent="0.25">
      <c r="A6699" s="170" t="s">
        <v>9235</v>
      </c>
      <c r="B6699" s="170" t="s">
        <v>9236</v>
      </c>
      <c r="C6699" s="170" t="s">
        <v>85</v>
      </c>
      <c r="D6699" s="170" t="s">
        <v>2067</v>
      </c>
      <c r="E6699" s="171" t="s">
        <v>34836</v>
      </c>
      <c r="F6699" s="171" t="s">
        <v>37918</v>
      </c>
      <c r="H6699" s="96">
        <f t="shared" si="424"/>
        <v>663.87</v>
      </c>
      <c r="I6699" s="96">
        <f t="shared" si="425"/>
        <v>670.95</v>
      </c>
      <c r="J6699" s="91" t="str">
        <f t="shared" si="426"/>
        <v>Sinapi 100490</v>
      </c>
      <c r="K6699" s="91" t="str">
        <f t="shared" si="427"/>
        <v>M3</v>
      </c>
      <c r="L6699" s="166" t="str">
        <f t="shared" si="423"/>
        <v>08/2019</v>
      </c>
    </row>
    <row r="6700" spans="1:12" x14ac:dyDescent="0.25">
      <c r="A6700" s="170" t="s">
        <v>9237</v>
      </c>
      <c r="B6700" s="170" t="s">
        <v>9238</v>
      </c>
      <c r="C6700" s="170" t="s">
        <v>85</v>
      </c>
      <c r="D6700" s="170" t="s">
        <v>2067</v>
      </c>
      <c r="E6700" s="171" t="s">
        <v>34837</v>
      </c>
      <c r="F6700" s="171" t="s">
        <v>37919</v>
      </c>
      <c r="H6700" s="96">
        <f t="shared" si="424"/>
        <v>964.26</v>
      </c>
      <c r="I6700" s="96">
        <f t="shared" si="425"/>
        <v>972.6</v>
      </c>
      <c r="J6700" s="91" t="str">
        <f t="shared" si="426"/>
        <v>Sinapi 100491</v>
      </c>
      <c r="K6700" s="91" t="str">
        <f t="shared" si="427"/>
        <v>M3</v>
      </c>
      <c r="L6700" s="166" t="str">
        <f t="shared" si="423"/>
        <v>08/2019</v>
      </c>
    </row>
    <row r="6701" spans="1:12" x14ac:dyDescent="0.25">
      <c r="A6701" s="170" t="s">
        <v>9239</v>
      </c>
      <c r="B6701" s="170" t="s">
        <v>9240</v>
      </c>
      <c r="C6701" s="170" t="s">
        <v>85</v>
      </c>
      <c r="D6701" s="170" t="s">
        <v>2067</v>
      </c>
      <c r="E6701" s="171" t="s">
        <v>34838</v>
      </c>
      <c r="F6701" s="171" t="s">
        <v>37854</v>
      </c>
      <c r="H6701" s="96">
        <f t="shared" si="424"/>
        <v>807.1</v>
      </c>
      <c r="I6701" s="96">
        <f t="shared" si="425"/>
        <v>814.84</v>
      </c>
      <c r="J6701" s="91" t="str">
        <f t="shared" si="426"/>
        <v>Sinapi 100492</v>
      </c>
      <c r="K6701" s="91" t="str">
        <f t="shared" si="427"/>
        <v>M3</v>
      </c>
      <c r="L6701" s="166" t="str">
        <f t="shared" si="423"/>
        <v>08/2019</v>
      </c>
    </row>
    <row r="6702" spans="1:12" x14ac:dyDescent="0.25">
      <c r="A6702" s="170" t="s">
        <v>9241</v>
      </c>
      <c r="B6702" s="170" t="s">
        <v>9242</v>
      </c>
      <c r="C6702" s="170" t="s">
        <v>85</v>
      </c>
      <c r="D6702" s="170" t="s">
        <v>2067</v>
      </c>
      <c r="E6702" s="171" t="s">
        <v>19268</v>
      </c>
      <c r="F6702" s="171" t="s">
        <v>22081</v>
      </c>
      <c r="H6702" s="96">
        <f t="shared" si="424"/>
        <v>27.11</v>
      </c>
      <c r="I6702" s="96">
        <f t="shared" si="425"/>
        <v>29.62</v>
      </c>
      <c r="J6702" s="91" t="str">
        <f t="shared" si="426"/>
        <v>Sinapi 92121</v>
      </c>
      <c r="K6702" s="91" t="str">
        <f t="shared" si="427"/>
        <v>M3</v>
      </c>
      <c r="L6702" s="166" t="str">
        <f t="shared" si="423"/>
        <v>11/2015</v>
      </c>
    </row>
    <row r="6703" spans="1:12" x14ac:dyDescent="0.25">
      <c r="A6703" s="170" t="s">
        <v>9243</v>
      </c>
      <c r="B6703" s="170" t="s">
        <v>9244</v>
      </c>
      <c r="C6703" s="170" t="s">
        <v>85</v>
      </c>
      <c r="D6703" s="170" t="s">
        <v>2710</v>
      </c>
      <c r="E6703" s="171" t="s">
        <v>34839</v>
      </c>
      <c r="F6703" s="171" t="s">
        <v>37920</v>
      </c>
      <c r="H6703" s="96">
        <f t="shared" si="424"/>
        <v>43.88</v>
      </c>
      <c r="I6703" s="96">
        <f t="shared" si="425"/>
        <v>48.43</v>
      </c>
      <c r="J6703" s="91" t="str">
        <f t="shared" si="426"/>
        <v>Sinapi 92122</v>
      </c>
      <c r="K6703" s="91" t="str">
        <f t="shared" si="427"/>
        <v>M3</v>
      </c>
      <c r="L6703" s="166" t="str">
        <f t="shared" si="423"/>
        <v>11/2015</v>
      </c>
    </row>
    <row r="6704" spans="1:12" x14ac:dyDescent="0.25">
      <c r="A6704" s="170" t="s">
        <v>9245</v>
      </c>
      <c r="B6704" s="170" t="s">
        <v>9246</v>
      </c>
      <c r="C6704" s="170" t="s">
        <v>85</v>
      </c>
      <c r="D6704" s="170" t="s">
        <v>2067</v>
      </c>
      <c r="E6704" s="171" t="s">
        <v>21833</v>
      </c>
      <c r="F6704" s="171" t="s">
        <v>28711</v>
      </c>
      <c r="H6704" s="96">
        <f t="shared" si="424"/>
        <v>55.77</v>
      </c>
      <c r="I6704" s="96">
        <f t="shared" si="425"/>
        <v>58.69</v>
      </c>
      <c r="J6704" s="91" t="str">
        <f t="shared" si="426"/>
        <v>Sinapi 92123</v>
      </c>
      <c r="K6704" s="91" t="str">
        <f t="shared" si="427"/>
        <v>M3</v>
      </c>
      <c r="L6704" s="166" t="str">
        <f t="shared" si="423"/>
        <v>11/2015</v>
      </c>
    </row>
    <row r="6705" spans="1:12" x14ac:dyDescent="0.25">
      <c r="A6705" s="170" t="s">
        <v>9247</v>
      </c>
      <c r="B6705" s="170" t="s">
        <v>9248</v>
      </c>
      <c r="C6705" s="170" t="s">
        <v>9249</v>
      </c>
      <c r="D6705" s="170" t="s">
        <v>2710</v>
      </c>
      <c r="E6705" s="171" t="s">
        <v>18575</v>
      </c>
      <c r="F6705" s="171" t="s">
        <v>9295</v>
      </c>
      <c r="H6705" s="96">
        <f t="shared" si="424"/>
        <v>0.67</v>
      </c>
      <c r="I6705" s="96">
        <f t="shared" si="425"/>
        <v>0.74</v>
      </c>
      <c r="J6705" s="91" t="str">
        <f t="shared" si="426"/>
        <v>Sinapi 100195</v>
      </c>
      <c r="K6705" s="91" t="str">
        <f t="shared" si="427"/>
        <v>KGXKM</v>
      </c>
      <c r="L6705" s="166" t="str">
        <f t="shared" si="423"/>
        <v>07/2019</v>
      </c>
    </row>
    <row r="6706" spans="1:12" x14ac:dyDescent="0.25">
      <c r="A6706" s="170" t="s">
        <v>9250</v>
      </c>
      <c r="B6706" s="170" t="s">
        <v>9251</v>
      </c>
      <c r="C6706" s="170" t="s">
        <v>9249</v>
      </c>
      <c r="D6706" s="170" t="s">
        <v>2710</v>
      </c>
      <c r="E6706" s="171" t="s">
        <v>11135</v>
      </c>
      <c r="F6706" s="171" t="s">
        <v>31935</v>
      </c>
      <c r="H6706" s="96">
        <f t="shared" si="424"/>
        <v>1.1100000000000001</v>
      </c>
      <c r="I6706" s="96">
        <f t="shared" si="425"/>
        <v>1.23</v>
      </c>
      <c r="J6706" s="91" t="str">
        <f t="shared" si="426"/>
        <v>Sinapi 100196</v>
      </c>
      <c r="K6706" s="91" t="str">
        <f t="shared" si="427"/>
        <v>KGXKM</v>
      </c>
      <c r="L6706" s="166" t="str">
        <f t="shared" si="423"/>
        <v>07/2019</v>
      </c>
    </row>
    <row r="6707" spans="1:12" x14ac:dyDescent="0.25">
      <c r="A6707" s="170" t="s">
        <v>9252</v>
      </c>
      <c r="B6707" s="170" t="s">
        <v>9253</v>
      </c>
      <c r="C6707" s="170" t="s">
        <v>9249</v>
      </c>
      <c r="D6707" s="170" t="s">
        <v>2710</v>
      </c>
      <c r="E6707" s="171" t="s">
        <v>17291</v>
      </c>
      <c r="F6707" s="171" t="s">
        <v>2077</v>
      </c>
      <c r="H6707" s="96">
        <f t="shared" si="424"/>
        <v>1.67</v>
      </c>
      <c r="I6707" s="96">
        <f t="shared" si="425"/>
        <v>1.85</v>
      </c>
      <c r="J6707" s="91" t="str">
        <f t="shared" si="426"/>
        <v>Sinapi 100197</v>
      </c>
      <c r="K6707" s="91" t="str">
        <f t="shared" si="427"/>
        <v>KGXKM</v>
      </c>
      <c r="L6707" s="166" t="str">
        <f t="shared" si="423"/>
        <v>07/2019</v>
      </c>
    </row>
    <row r="6708" spans="1:12" x14ac:dyDescent="0.25">
      <c r="A6708" s="170" t="s">
        <v>9254</v>
      </c>
      <c r="B6708" s="170" t="s">
        <v>9255</v>
      </c>
      <c r="C6708" s="170" t="s">
        <v>9249</v>
      </c>
      <c r="D6708" s="170" t="s">
        <v>2710</v>
      </c>
      <c r="E6708" s="171" t="s">
        <v>9258</v>
      </c>
      <c r="F6708" s="171" t="s">
        <v>9259</v>
      </c>
      <c r="H6708" s="96">
        <f t="shared" si="424"/>
        <v>0.23</v>
      </c>
      <c r="I6708" s="96">
        <f t="shared" si="425"/>
        <v>0.25</v>
      </c>
      <c r="J6708" s="91" t="str">
        <f t="shared" si="426"/>
        <v>Sinapi 100198</v>
      </c>
      <c r="K6708" s="91" t="str">
        <f t="shared" si="427"/>
        <v>KGXKM</v>
      </c>
      <c r="L6708" s="166" t="str">
        <f t="shared" si="423"/>
        <v>07/2019</v>
      </c>
    </row>
    <row r="6709" spans="1:12" x14ac:dyDescent="0.25">
      <c r="A6709" s="170" t="s">
        <v>9256</v>
      </c>
      <c r="B6709" s="170" t="s">
        <v>9257</v>
      </c>
      <c r="C6709" s="170" t="s">
        <v>9249</v>
      </c>
      <c r="D6709" s="170" t="s">
        <v>2710</v>
      </c>
      <c r="E6709" s="171" t="s">
        <v>3711</v>
      </c>
      <c r="F6709" s="171" t="s">
        <v>3114</v>
      </c>
      <c r="H6709" s="96">
        <f t="shared" si="424"/>
        <v>0.28000000000000003</v>
      </c>
      <c r="I6709" s="96">
        <f t="shared" si="425"/>
        <v>0.31</v>
      </c>
      <c r="J6709" s="91" t="str">
        <f t="shared" si="426"/>
        <v>Sinapi 100199</v>
      </c>
      <c r="K6709" s="91" t="str">
        <f t="shared" si="427"/>
        <v>KGXKM</v>
      </c>
      <c r="L6709" s="166" t="str">
        <f t="shared" si="423"/>
        <v>07/2019</v>
      </c>
    </row>
    <row r="6710" spans="1:12" x14ac:dyDescent="0.25">
      <c r="A6710" s="170" t="s">
        <v>9260</v>
      </c>
      <c r="B6710" s="170" t="s">
        <v>9261</v>
      </c>
      <c r="C6710" s="170" t="s">
        <v>9249</v>
      </c>
      <c r="D6710" s="170" t="s">
        <v>2710</v>
      </c>
      <c r="E6710" s="171" t="s">
        <v>8449</v>
      </c>
      <c r="F6710" s="171" t="s">
        <v>3430</v>
      </c>
      <c r="H6710" s="96">
        <f t="shared" si="424"/>
        <v>0.34</v>
      </c>
      <c r="I6710" s="96">
        <f t="shared" si="425"/>
        <v>0.37</v>
      </c>
      <c r="J6710" s="91" t="str">
        <f t="shared" si="426"/>
        <v>Sinapi 100200</v>
      </c>
      <c r="K6710" s="91" t="str">
        <f t="shared" si="427"/>
        <v>KGXKM</v>
      </c>
      <c r="L6710" s="166" t="str">
        <f t="shared" si="423"/>
        <v>07/2019</v>
      </c>
    </row>
    <row r="6711" spans="1:12" x14ac:dyDescent="0.25">
      <c r="A6711" s="170" t="s">
        <v>9262</v>
      </c>
      <c r="B6711" s="170" t="s">
        <v>9263</v>
      </c>
      <c r="C6711" s="170" t="s">
        <v>9249</v>
      </c>
      <c r="D6711" s="170" t="s">
        <v>2710</v>
      </c>
      <c r="E6711" s="171" t="s">
        <v>2103</v>
      </c>
      <c r="F6711" s="171" t="s">
        <v>15674</v>
      </c>
      <c r="H6711" s="96">
        <f t="shared" si="424"/>
        <v>0.68</v>
      </c>
      <c r="I6711" s="96">
        <f t="shared" si="425"/>
        <v>0.75</v>
      </c>
      <c r="J6711" s="91" t="str">
        <f t="shared" si="426"/>
        <v>Sinapi 100201</v>
      </c>
      <c r="K6711" s="91" t="str">
        <f t="shared" si="427"/>
        <v>KGXKM</v>
      </c>
      <c r="L6711" s="166" t="str">
        <f t="shared" si="423"/>
        <v>07/2019</v>
      </c>
    </row>
    <row r="6712" spans="1:12" x14ac:dyDescent="0.25">
      <c r="A6712" s="170" t="s">
        <v>9264</v>
      </c>
      <c r="B6712" s="170" t="s">
        <v>9265</v>
      </c>
      <c r="C6712" s="170" t="s">
        <v>9249</v>
      </c>
      <c r="D6712" s="170" t="s">
        <v>2710</v>
      </c>
      <c r="E6712" s="171" t="s">
        <v>19267</v>
      </c>
      <c r="F6712" s="171" t="s">
        <v>11182</v>
      </c>
      <c r="H6712" s="96">
        <f t="shared" si="424"/>
        <v>0.79</v>
      </c>
      <c r="I6712" s="96">
        <f t="shared" si="425"/>
        <v>0.88</v>
      </c>
      <c r="J6712" s="91" t="str">
        <f t="shared" si="426"/>
        <v>Sinapi 100202</v>
      </c>
      <c r="K6712" s="91" t="str">
        <f t="shared" si="427"/>
        <v>KGXKM</v>
      </c>
      <c r="L6712" s="166" t="str">
        <f t="shared" si="423"/>
        <v>07/2019</v>
      </c>
    </row>
    <row r="6713" spans="1:12" x14ac:dyDescent="0.25">
      <c r="A6713" s="170" t="s">
        <v>9266</v>
      </c>
      <c r="B6713" s="170" t="s">
        <v>9267</v>
      </c>
      <c r="C6713" s="170" t="s">
        <v>9249</v>
      </c>
      <c r="D6713" s="170" t="s">
        <v>2710</v>
      </c>
      <c r="E6713" s="171" t="s">
        <v>3061</v>
      </c>
      <c r="F6713" s="171" t="s">
        <v>29751</v>
      </c>
      <c r="H6713" s="96">
        <f t="shared" si="424"/>
        <v>0.94</v>
      </c>
      <c r="I6713" s="96">
        <f t="shared" si="425"/>
        <v>1.04</v>
      </c>
      <c r="J6713" s="91" t="str">
        <f t="shared" si="426"/>
        <v>Sinapi 100203</v>
      </c>
      <c r="K6713" s="91" t="str">
        <f t="shared" si="427"/>
        <v>KGXKM</v>
      </c>
      <c r="L6713" s="166" t="str">
        <f t="shared" si="423"/>
        <v>07/2019</v>
      </c>
    </row>
    <row r="6714" spans="1:12" x14ac:dyDescent="0.25">
      <c r="A6714" s="170" t="s">
        <v>9268</v>
      </c>
      <c r="B6714" s="170" t="s">
        <v>9269</v>
      </c>
      <c r="C6714" s="170" t="s">
        <v>9249</v>
      </c>
      <c r="D6714" s="170" t="s">
        <v>1947</v>
      </c>
      <c r="E6714" s="171" t="s">
        <v>3271</v>
      </c>
      <c r="F6714" s="171" t="s">
        <v>3271</v>
      </c>
      <c r="H6714" s="96">
        <f t="shared" si="424"/>
        <v>0.11</v>
      </c>
      <c r="I6714" s="96">
        <f t="shared" si="425"/>
        <v>0.11</v>
      </c>
      <c r="J6714" s="91" t="str">
        <f t="shared" si="426"/>
        <v>Sinapi 100204</v>
      </c>
      <c r="K6714" s="91" t="str">
        <f t="shared" si="427"/>
        <v>KGXKM</v>
      </c>
      <c r="L6714" s="166" t="str">
        <f t="shared" si="423"/>
        <v>07/2019</v>
      </c>
    </row>
    <row r="6715" spans="1:12" x14ac:dyDescent="0.25">
      <c r="A6715" s="170" t="s">
        <v>9270</v>
      </c>
      <c r="B6715" s="170" t="s">
        <v>9271</v>
      </c>
      <c r="C6715" s="170" t="s">
        <v>1292</v>
      </c>
      <c r="D6715" s="170" t="s">
        <v>2710</v>
      </c>
      <c r="E6715" s="171" t="s">
        <v>34840</v>
      </c>
      <c r="F6715" s="171" t="s">
        <v>37921</v>
      </c>
      <c r="H6715" s="96">
        <f t="shared" si="424"/>
        <v>1250</v>
      </c>
      <c r="I6715" s="96">
        <f t="shared" si="425"/>
        <v>1379.79</v>
      </c>
      <c r="J6715" s="91" t="str">
        <f t="shared" si="426"/>
        <v>Sinapi 100205</v>
      </c>
      <c r="K6715" s="91" t="str">
        <f t="shared" si="427"/>
        <v>M3XKM</v>
      </c>
      <c r="L6715" s="166" t="str">
        <f t="shared" si="423"/>
        <v>07/2019</v>
      </c>
    </row>
    <row r="6716" spans="1:12" x14ac:dyDescent="0.25">
      <c r="A6716" s="170" t="s">
        <v>9272</v>
      </c>
      <c r="B6716" s="170" t="s">
        <v>9273</v>
      </c>
      <c r="C6716" s="170" t="s">
        <v>1292</v>
      </c>
      <c r="D6716" s="170" t="s">
        <v>2710</v>
      </c>
      <c r="E6716" s="171" t="s">
        <v>34841</v>
      </c>
      <c r="F6716" s="171" t="s">
        <v>37922</v>
      </c>
      <c r="H6716" s="96">
        <f t="shared" si="424"/>
        <v>903.54</v>
      </c>
      <c r="I6716" s="96">
        <f t="shared" si="425"/>
        <v>997.35</v>
      </c>
      <c r="J6716" s="91" t="str">
        <f t="shared" si="426"/>
        <v>Sinapi 100206</v>
      </c>
      <c r="K6716" s="91" t="str">
        <f t="shared" si="427"/>
        <v>M3XKM</v>
      </c>
      <c r="L6716" s="166" t="str">
        <f t="shared" si="423"/>
        <v>07/2019</v>
      </c>
    </row>
    <row r="6717" spans="1:12" x14ac:dyDescent="0.25">
      <c r="A6717" s="170" t="s">
        <v>9274</v>
      </c>
      <c r="B6717" s="170" t="s">
        <v>9275</v>
      </c>
      <c r="C6717" s="170" t="s">
        <v>1292</v>
      </c>
      <c r="D6717" s="170" t="s">
        <v>1947</v>
      </c>
      <c r="E6717" s="171" t="s">
        <v>34842</v>
      </c>
      <c r="F6717" s="171" t="s">
        <v>37923</v>
      </c>
      <c r="H6717" s="96">
        <f t="shared" si="424"/>
        <v>472.47</v>
      </c>
      <c r="I6717" s="96">
        <f t="shared" si="425"/>
        <v>492.41</v>
      </c>
      <c r="J6717" s="91" t="str">
        <f t="shared" si="426"/>
        <v>Sinapi 100207</v>
      </c>
      <c r="K6717" s="91" t="str">
        <f t="shared" si="427"/>
        <v>M3XKM</v>
      </c>
      <c r="L6717" s="166" t="str">
        <f t="shared" si="423"/>
        <v>07/2019</v>
      </c>
    </row>
    <row r="6718" spans="1:12" x14ac:dyDescent="0.25">
      <c r="A6718" s="170" t="s">
        <v>9276</v>
      </c>
      <c r="B6718" s="170" t="s">
        <v>9277</v>
      </c>
      <c r="C6718" s="170" t="s">
        <v>9278</v>
      </c>
      <c r="D6718" s="170" t="s">
        <v>2710</v>
      </c>
      <c r="E6718" s="171" t="s">
        <v>33229</v>
      </c>
      <c r="F6718" s="171" t="s">
        <v>15545</v>
      </c>
      <c r="H6718" s="96">
        <f t="shared" si="424"/>
        <v>16.53</v>
      </c>
      <c r="I6718" s="96">
        <f t="shared" si="425"/>
        <v>18.25</v>
      </c>
      <c r="J6718" s="91" t="str">
        <f t="shared" si="426"/>
        <v>Sinapi 100208</v>
      </c>
      <c r="K6718" s="91" t="str">
        <f t="shared" si="427"/>
        <v>UNXKM</v>
      </c>
      <c r="L6718" s="166" t="str">
        <f t="shared" si="423"/>
        <v>07/2019</v>
      </c>
    </row>
    <row r="6719" spans="1:12" x14ac:dyDescent="0.25">
      <c r="A6719" s="170" t="s">
        <v>9279</v>
      </c>
      <c r="B6719" s="170" t="s">
        <v>9280</v>
      </c>
      <c r="C6719" s="170" t="s">
        <v>9278</v>
      </c>
      <c r="D6719" s="170" t="s">
        <v>2710</v>
      </c>
      <c r="E6719" s="171" t="s">
        <v>23181</v>
      </c>
      <c r="F6719" s="171" t="s">
        <v>16369</v>
      </c>
      <c r="H6719" s="96">
        <f t="shared" si="424"/>
        <v>8.26</v>
      </c>
      <c r="I6719" s="96">
        <f t="shared" si="425"/>
        <v>9.1199999999999992</v>
      </c>
      <c r="J6719" s="91" t="str">
        <f t="shared" si="426"/>
        <v>Sinapi 100209</v>
      </c>
      <c r="K6719" s="91" t="str">
        <f t="shared" si="427"/>
        <v>UNXKM</v>
      </c>
      <c r="L6719" s="166" t="str">
        <f t="shared" si="423"/>
        <v>07/2019</v>
      </c>
    </row>
    <row r="6720" spans="1:12" x14ac:dyDescent="0.25">
      <c r="A6720" s="170" t="s">
        <v>9281</v>
      </c>
      <c r="B6720" s="170" t="s">
        <v>9282</v>
      </c>
      <c r="C6720" s="170" t="s">
        <v>9278</v>
      </c>
      <c r="D6720" s="170" t="s">
        <v>2710</v>
      </c>
      <c r="E6720" s="171" t="s">
        <v>21197</v>
      </c>
      <c r="F6720" s="171" t="s">
        <v>29375</v>
      </c>
      <c r="H6720" s="96">
        <f t="shared" si="424"/>
        <v>15.23</v>
      </c>
      <c r="I6720" s="96">
        <f t="shared" si="425"/>
        <v>16.809999999999999</v>
      </c>
      <c r="J6720" s="91" t="str">
        <f t="shared" si="426"/>
        <v>Sinapi 100210</v>
      </c>
      <c r="K6720" s="91" t="str">
        <f t="shared" si="427"/>
        <v>UNXKM</v>
      </c>
      <c r="L6720" s="166" t="str">
        <f t="shared" si="423"/>
        <v>07/2019</v>
      </c>
    </row>
    <row r="6721" spans="1:12" x14ac:dyDescent="0.25">
      <c r="A6721" s="170" t="s">
        <v>9283</v>
      </c>
      <c r="B6721" s="170" t="s">
        <v>9284</v>
      </c>
      <c r="C6721" s="170" t="s">
        <v>9278</v>
      </c>
      <c r="D6721" s="170" t="s">
        <v>2710</v>
      </c>
      <c r="E6721" s="171" t="s">
        <v>17928</v>
      </c>
      <c r="F6721" s="171" t="s">
        <v>19404</v>
      </c>
      <c r="H6721" s="96">
        <f t="shared" si="424"/>
        <v>5.87</v>
      </c>
      <c r="I6721" s="96">
        <f t="shared" si="425"/>
        <v>6.49</v>
      </c>
      <c r="J6721" s="91" t="str">
        <f t="shared" si="426"/>
        <v>Sinapi 100211</v>
      </c>
      <c r="K6721" s="91" t="str">
        <f t="shared" si="427"/>
        <v>UNXKM</v>
      </c>
      <c r="L6721" s="166" t="str">
        <f t="shared" si="423"/>
        <v>07/2019</v>
      </c>
    </row>
    <row r="6722" spans="1:12" x14ac:dyDescent="0.25">
      <c r="A6722" s="170" t="s">
        <v>9285</v>
      </c>
      <c r="B6722" s="170" t="s">
        <v>9286</v>
      </c>
      <c r="C6722" s="170" t="s">
        <v>9278</v>
      </c>
      <c r="D6722" s="170" t="s">
        <v>2710</v>
      </c>
      <c r="E6722" s="171" t="s">
        <v>19404</v>
      </c>
      <c r="F6722" s="171" t="s">
        <v>33592</v>
      </c>
      <c r="H6722" s="96">
        <f t="shared" si="424"/>
        <v>6.49</v>
      </c>
      <c r="I6722" s="96">
        <f t="shared" si="425"/>
        <v>7.16</v>
      </c>
      <c r="J6722" s="91" t="str">
        <f t="shared" si="426"/>
        <v>Sinapi 100212</v>
      </c>
      <c r="K6722" s="91" t="str">
        <f t="shared" si="427"/>
        <v>UNXKM</v>
      </c>
      <c r="L6722" s="166" t="str">
        <f t="shared" si="423"/>
        <v>07/2019</v>
      </c>
    </row>
    <row r="6723" spans="1:12" x14ac:dyDescent="0.25">
      <c r="A6723" s="170" t="s">
        <v>9287</v>
      </c>
      <c r="B6723" s="170" t="s">
        <v>9288</v>
      </c>
      <c r="C6723" s="170" t="s">
        <v>9278</v>
      </c>
      <c r="D6723" s="170" t="s">
        <v>2710</v>
      </c>
      <c r="E6723" s="171" t="s">
        <v>13846</v>
      </c>
      <c r="F6723" s="171" t="s">
        <v>22727</v>
      </c>
      <c r="H6723" s="96">
        <f t="shared" si="424"/>
        <v>2.33</v>
      </c>
      <c r="I6723" s="96">
        <f t="shared" si="425"/>
        <v>2.57</v>
      </c>
      <c r="J6723" s="91" t="str">
        <f t="shared" si="426"/>
        <v>Sinapi 100213</v>
      </c>
      <c r="K6723" s="91" t="str">
        <f t="shared" si="427"/>
        <v>UNXKM</v>
      </c>
      <c r="L6723" s="166" t="str">
        <f t="shared" si="423"/>
        <v>07/2019</v>
      </c>
    </row>
    <row r="6724" spans="1:12" x14ac:dyDescent="0.25">
      <c r="A6724" s="170" t="s">
        <v>9289</v>
      </c>
      <c r="B6724" s="170" t="s">
        <v>9290</v>
      </c>
      <c r="C6724" s="170" t="s">
        <v>9278</v>
      </c>
      <c r="D6724" s="170" t="s">
        <v>2710</v>
      </c>
      <c r="E6724" s="171" t="s">
        <v>23898</v>
      </c>
      <c r="F6724" s="171" t="s">
        <v>29467</v>
      </c>
      <c r="H6724" s="96">
        <f t="shared" si="424"/>
        <v>3.58</v>
      </c>
      <c r="I6724" s="96">
        <f t="shared" si="425"/>
        <v>3.95</v>
      </c>
      <c r="J6724" s="91" t="str">
        <f t="shared" si="426"/>
        <v>Sinapi 100214</v>
      </c>
      <c r="K6724" s="91" t="str">
        <f t="shared" si="427"/>
        <v>UNXKM</v>
      </c>
      <c r="L6724" s="166" t="str">
        <f t="shared" si="423"/>
        <v>07/2019</v>
      </c>
    </row>
    <row r="6725" spans="1:12" x14ac:dyDescent="0.25">
      <c r="A6725" s="170" t="s">
        <v>9291</v>
      </c>
      <c r="B6725" s="170" t="s">
        <v>9292</v>
      </c>
      <c r="C6725" s="170" t="s">
        <v>9278</v>
      </c>
      <c r="D6725" s="170" t="s">
        <v>2710</v>
      </c>
      <c r="E6725" s="171" t="s">
        <v>29750</v>
      </c>
      <c r="F6725" s="171" t="s">
        <v>17947</v>
      </c>
      <c r="H6725" s="96">
        <f t="shared" si="424"/>
        <v>3.06</v>
      </c>
      <c r="I6725" s="96">
        <f t="shared" si="425"/>
        <v>3.38</v>
      </c>
      <c r="J6725" s="91" t="str">
        <f t="shared" si="426"/>
        <v>Sinapi 100215</v>
      </c>
      <c r="K6725" s="91" t="str">
        <f t="shared" si="427"/>
        <v>UNXKM</v>
      </c>
      <c r="L6725" s="166" t="str">
        <f t="shared" si="423"/>
        <v>07/2019</v>
      </c>
    </row>
    <row r="6726" spans="1:12" x14ac:dyDescent="0.25">
      <c r="A6726" s="170" t="s">
        <v>9293</v>
      </c>
      <c r="B6726" s="170" t="s">
        <v>9294</v>
      </c>
      <c r="C6726" s="170" t="s">
        <v>9278</v>
      </c>
      <c r="D6726" s="170" t="s">
        <v>2710</v>
      </c>
      <c r="E6726" s="171" t="s">
        <v>9636</v>
      </c>
      <c r="F6726" s="171" t="s">
        <v>9608</v>
      </c>
      <c r="H6726" s="96">
        <f t="shared" si="424"/>
        <v>0.82</v>
      </c>
      <c r="I6726" s="96">
        <f t="shared" si="425"/>
        <v>0.91</v>
      </c>
      <c r="J6726" s="91" t="str">
        <f t="shared" si="426"/>
        <v>Sinapi 100216</v>
      </c>
      <c r="K6726" s="91" t="str">
        <f t="shared" si="427"/>
        <v>UNXKM</v>
      </c>
      <c r="L6726" s="166" t="str">
        <f t="shared" si="423"/>
        <v>07/2019</v>
      </c>
    </row>
    <row r="6727" spans="1:12" x14ac:dyDescent="0.25">
      <c r="A6727" s="170" t="s">
        <v>9296</v>
      </c>
      <c r="B6727" s="170" t="s">
        <v>9297</v>
      </c>
      <c r="C6727" s="170" t="s">
        <v>9278</v>
      </c>
      <c r="D6727" s="170" t="s">
        <v>1947</v>
      </c>
      <c r="E6727" s="171" t="s">
        <v>14924</v>
      </c>
      <c r="F6727" s="171" t="s">
        <v>13395</v>
      </c>
      <c r="H6727" s="96">
        <f t="shared" si="424"/>
        <v>2.98</v>
      </c>
      <c r="I6727" s="96">
        <f t="shared" si="425"/>
        <v>3.09</v>
      </c>
      <c r="J6727" s="91" t="str">
        <f t="shared" si="426"/>
        <v>Sinapi 100217</v>
      </c>
      <c r="K6727" s="91" t="str">
        <f t="shared" si="427"/>
        <v>UNXKM</v>
      </c>
      <c r="L6727" s="166" t="str">
        <f t="shared" si="423"/>
        <v>07/2019</v>
      </c>
    </row>
    <row r="6728" spans="1:12" x14ac:dyDescent="0.25">
      <c r="A6728" s="170" t="s">
        <v>9298</v>
      </c>
      <c r="B6728" s="170" t="s">
        <v>9299</v>
      </c>
      <c r="C6728" s="170" t="s">
        <v>9278</v>
      </c>
      <c r="D6728" s="170" t="s">
        <v>1947</v>
      </c>
      <c r="E6728" s="171" t="s">
        <v>9359</v>
      </c>
      <c r="F6728" s="171" t="s">
        <v>13577</v>
      </c>
      <c r="H6728" s="96">
        <f t="shared" si="424"/>
        <v>2.0499999999999998</v>
      </c>
      <c r="I6728" s="96">
        <f t="shared" si="425"/>
        <v>2.12</v>
      </c>
      <c r="J6728" s="91" t="str">
        <f t="shared" si="426"/>
        <v>Sinapi 100218</v>
      </c>
      <c r="K6728" s="91" t="str">
        <f t="shared" si="427"/>
        <v>UNXKM</v>
      </c>
      <c r="L6728" s="166" t="str">
        <f t="shared" ref="L6728:L6791" si="428">IF(OR(RIGHT(IF(AND(K6728&lt;&gt;"H",K6728&lt;&gt;"MES"),RIGHT(B6728,7),""),2)="PS",RIGHT(IF(AND(K6728&lt;&gt;"H",K6728&lt;&gt;"MES"),RIGHT(B6728,7),""),2)="PA",RIGHT(IF(AND(K6728&lt;&gt;"H",K6728&lt;&gt;"MES"),RIGHT(B6728,7),""),2)="PE"),LEFT(IF(AND(K6728&lt;&gt;"H",K6728&lt;&gt;"MES"),RIGHT(B6728,10),""),7),IF(AND(K6728&lt;&gt;"H",K6728&lt;&gt;"MES"),RIGHT(B6728,7),""))</f>
        <v>07/2019</v>
      </c>
    </row>
    <row r="6729" spans="1:12" x14ac:dyDescent="0.25">
      <c r="A6729" s="170" t="s">
        <v>9300</v>
      </c>
      <c r="B6729" s="170" t="s">
        <v>9301</v>
      </c>
      <c r="C6729" s="170" t="s">
        <v>9278</v>
      </c>
      <c r="D6729" s="170" t="s">
        <v>1947</v>
      </c>
      <c r="E6729" s="171" t="s">
        <v>2851</v>
      </c>
      <c r="F6729" s="171" t="s">
        <v>3138</v>
      </c>
      <c r="H6729" s="96">
        <f t="shared" si="424"/>
        <v>0.45</v>
      </c>
      <c r="I6729" s="96">
        <f t="shared" si="425"/>
        <v>0.47</v>
      </c>
      <c r="J6729" s="91" t="str">
        <f t="shared" si="426"/>
        <v>Sinapi 100219</v>
      </c>
      <c r="K6729" s="91" t="str">
        <f t="shared" si="427"/>
        <v>UNXKM</v>
      </c>
      <c r="L6729" s="166" t="str">
        <f t="shared" si="428"/>
        <v>07/2019</v>
      </c>
    </row>
    <row r="6730" spans="1:12" x14ac:dyDescent="0.25">
      <c r="A6730" s="170" t="s">
        <v>9302</v>
      </c>
      <c r="B6730" s="170" t="s">
        <v>9303</v>
      </c>
      <c r="C6730" s="170" t="s">
        <v>9304</v>
      </c>
      <c r="D6730" s="170" t="s">
        <v>2710</v>
      </c>
      <c r="E6730" s="171" t="s">
        <v>23154</v>
      </c>
      <c r="F6730" s="171" t="s">
        <v>37924</v>
      </c>
      <c r="H6730" s="96">
        <f t="shared" si="424"/>
        <v>23.75</v>
      </c>
      <c r="I6730" s="96">
        <f t="shared" si="425"/>
        <v>26.22</v>
      </c>
      <c r="J6730" s="91" t="str">
        <f t="shared" si="426"/>
        <v>Sinapi 100220</v>
      </c>
      <c r="K6730" s="91" t="str">
        <f t="shared" si="427"/>
        <v>M2XKM</v>
      </c>
      <c r="L6730" s="166" t="str">
        <f t="shared" si="428"/>
        <v>07/2019</v>
      </c>
    </row>
    <row r="6731" spans="1:12" x14ac:dyDescent="0.25">
      <c r="A6731" s="170" t="s">
        <v>9305</v>
      </c>
      <c r="B6731" s="170" t="s">
        <v>9306</v>
      </c>
      <c r="C6731" s="170" t="s">
        <v>9304</v>
      </c>
      <c r="D6731" s="170" t="s">
        <v>2710</v>
      </c>
      <c r="E6731" s="171" t="s">
        <v>21510</v>
      </c>
      <c r="F6731" s="171" t="s">
        <v>31632</v>
      </c>
      <c r="H6731" s="96">
        <f t="shared" si="424"/>
        <v>26.93</v>
      </c>
      <c r="I6731" s="96">
        <f t="shared" si="425"/>
        <v>29.72</v>
      </c>
      <c r="J6731" s="91" t="str">
        <f t="shared" si="426"/>
        <v>Sinapi 100221</v>
      </c>
      <c r="K6731" s="91" t="str">
        <f t="shared" si="427"/>
        <v>M2XKM</v>
      </c>
      <c r="L6731" s="166" t="str">
        <f t="shared" si="428"/>
        <v>07/2019</v>
      </c>
    </row>
    <row r="6732" spans="1:12" x14ac:dyDescent="0.25">
      <c r="A6732" s="170" t="s">
        <v>9307</v>
      </c>
      <c r="B6732" s="170" t="s">
        <v>9308</v>
      </c>
      <c r="C6732" s="170" t="s">
        <v>9304</v>
      </c>
      <c r="D6732" s="170" t="s">
        <v>2710</v>
      </c>
      <c r="E6732" s="171" t="s">
        <v>15530</v>
      </c>
      <c r="F6732" s="171" t="s">
        <v>20622</v>
      </c>
      <c r="H6732" s="96">
        <f t="shared" si="424"/>
        <v>10.199999999999999</v>
      </c>
      <c r="I6732" s="96">
        <f t="shared" si="425"/>
        <v>11.26</v>
      </c>
      <c r="J6732" s="91" t="str">
        <f t="shared" si="426"/>
        <v>Sinapi 100222</v>
      </c>
      <c r="K6732" s="91" t="str">
        <f t="shared" si="427"/>
        <v>M2XKM</v>
      </c>
      <c r="L6732" s="166" t="str">
        <f t="shared" si="428"/>
        <v>07/2019</v>
      </c>
    </row>
    <row r="6733" spans="1:12" x14ac:dyDescent="0.25">
      <c r="A6733" s="170" t="s">
        <v>9309</v>
      </c>
      <c r="B6733" s="170" t="s">
        <v>9310</v>
      </c>
      <c r="C6733" s="170" t="s">
        <v>9304</v>
      </c>
      <c r="D6733" s="170" t="s">
        <v>2710</v>
      </c>
      <c r="E6733" s="171" t="s">
        <v>19967</v>
      </c>
      <c r="F6733" s="171" t="s">
        <v>20471</v>
      </c>
      <c r="H6733" s="96">
        <f t="shared" si="424"/>
        <v>4.7699999999999996</v>
      </c>
      <c r="I6733" s="96">
        <f t="shared" si="425"/>
        <v>5.27</v>
      </c>
      <c r="J6733" s="91" t="str">
        <f t="shared" si="426"/>
        <v>Sinapi 100223</v>
      </c>
      <c r="K6733" s="91" t="str">
        <f t="shared" si="427"/>
        <v>M2XKM</v>
      </c>
      <c r="L6733" s="166" t="str">
        <f t="shared" si="428"/>
        <v>07/2019</v>
      </c>
    </row>
    <row r="6734" spans="1:12" x14ac:dyDescent="0.25">
      <c r="A6734" s="170" t="s">
        <v>9311</v>
      </c>
      <c r="B6734" s="170" t="s">
        <v>9312</v>
      </c>
      <c r="C6734" s="170" t="s">
        <v>9304</v>
      </c>
      <c r="D6734" s="170" t="s">
        <v>1947</v>
      </c>
      <c r="E6734" s="171" t="s">
        <v>14924</v>
      </c>
      <c r="F6734" s="171" t="s">
        <v>13395</v>
      </c>
      <c r="H6734" s="96">
        <f t="shared" si="424"/>
        <v>2.98</v>
      </c>
      <c r="I6734" s="96">
        <f t="shared" si="425"/>
        <v>3.09</v>
      </c>
      <c r="J6734" s="91" t="str">
        <f t="shared" si="426"/>
        <v>Sinapi 100224</v>
      </c>
      <c r="K6734" s="91" t="str">
        <f t="shared" si="427"/>
        <v>M2XKM</v>
      </c>
      <c r="L6734" s="166" t="str">
        <f t="shared" si="428"/>
        <v>07/2019</v>
      </c>
    </row>
    <row r="6735" spans="1:12" x14ac:dyDescent="0.25">
      <c r="A6735" s="170" t="s">
        <v>9313</v>
      </c>
      <c r="B6735" s="170" t="s">
        <v>9314</v>
      </c>
      <c r="C6735" s="170" t="s">
        <v>9315</v>
      </c>
      <c r="D6735" s="170" t="s">
        <v>2710</v>
      </c>
      <c r="E6735" s="171" t="s">
        <v>15672</v>
      </c>
      <c r="F6735" s="171" t="s">
        <v>16400</v>
      </c>
      <c r="H6735" s="96">
        <f t="shared" si="424"/>
        <v>1.86</v>
      </c>
      <c r="I6735" s="96">
        <f t="shared" si="425"/>
        <v>2.06</v>
      </c>
      <c r="J6735" s="91" t="str">
        <f t="shared" si="426"/>
        <v>Sinapi 100225</v>
      </c>
      <c r="K6735" s="91" t="str">
        <f t="shared" si="427"/>
        <v>LXKM</v>
      </c>
      <c r="L6735" s="166" t="str">
        <f t="shared" si="428"/>
        <v>07/2019</v>
      </c>
    </row>
    <row r="6736" spans="1:12" x14ac:dyDescent="0.25">
      <c r="A6736" s="170" t="s">
        <v>9317</v>
      </c>
      <c r="B6736" s="170" t="s">
        <v>9318</v>
      </c>
      <c r="C6736" s="170" t="s">
        <v>9315</v>
      </c>
      <c r="D6736" s="170" t="s">
        <v>2710</v>
      </c>
      <c r="E6736" s="171" t="s">
        <v>9397</v>
      </c>
      <c r="F6736" s="171" t="s">
        <v>3117</v>
      </c>
      <c r="H6736" s="96">
        <f t="shared" si="424"/>
        <v>0.57999999999999996</v>
      </c>
      <c r="I6736" s="96">
        <f t="shared" si="425"/>
        <v>0.64</v>
      </c>
      <c r="J6736" s="91" t="str">
        <f t="shared" si="426"/>
        <v>Sinapi 100226</v>
      </c>
      <c r="K6736" s="91" t="str">
        <f t="shared" si="427"/>
        <v>LXKM</v>
      </c>
      <c r="L6736" s="166" t="str">
        <f t="shared" si="428"/>
        <v>07/2019</v>
      </c>
    </row>
    <row r="6737" spans="1:12" x14ac:dyDescent="0.25">
      <c r="A6737" s="170" t="s">
        <v>9319</v>
      </c>
      <c r="B6737" s="170" t="s">
        <v>9320</v>
      </c>
      <c r="C6737" s="170" t="s">
        <v>9315</v>
      </c>
      <c r="D6737" s="170" t="s">
        <v>2710</v>
      </c>
      <c r="E6737" s="171" t="s">
        <v>14927</v>
      </c>
      <c r="F6737" s="171" t="s">
        <v>16285</v>
      </c>
      <c r="H6737" s="96">
        <f t="shared" si="424"/>
        <v>0.86</v>
      </c>
      <c r="I6737" s="96">
        <f t="shared" si="425"/>
        <v>0.95</v>
      </c>
      <c r="J6737" s="91" t="str">
        <f t="shared" si="426"/>
        <v>Sinapi 100227</v>
      </c>
      <c r="K6737" s="91" t="str">
        <f t="shared" si="427"/>
        <v>LXKM</v>
      </c>
      <c r="L6737" s="166" t="str">
        <f t="shared" si="428"/>
        <v>07/2019</v>
      </c>
    </row>
    <row r="6738" spans="1:12" x14ac:dyDescent="0.25">
      <c r="A6738" s="170" t="s">
        <v>9321</v>
      </c>
      <c r="B6738" s="170" t="s">
        <v>9322</v>
      </c>
      <c r="C6738" s="170" t="s">
        <v>9315</v>
      </c>
      <c r="D6738" s="170" t="s">
        <v>1947</v>
      </c>
      <c r="E6738" s="171" t="s">
        <v>2981</v>
      </c>
      <c r="F6738" s="171" t="s">
        <v>3114</v>
      </c>
      <c r="H6738" s="96">
        <f t="shared" si="424"/>
        <v>0.28999999999999998</v>
      </c>
      <c r="I6738" s="96">
        <f t="shared" si="425"/>
        <v>0.31</v>
      </c>
      <c r="J6738" s="91" t="str">
        <f t="shared" si="426"/>
        <v>Sinapi 100228</v>
      </c>
      <c r="K6738" s="91" t="str">
        <f t="shared" si="427"/>
        <v>LXKM</v>
      </c>
      <c r="L6738" s="166" t="str">
        <f t="shared" si="428"/>
        <v>07/2019</v>
      </c>
    </row>
    <row r="6739" spans="1:12" x14ac:dyDescent="0.25">
      <c r="A6739" s="170" t="s">
        <v>9323</v>
      </c>
      <c r="B6739" s="170" t="s">
        <v>9324</v>
      </c>
      <c r="C6739" s="170" t="s">
        <v>774</v>
      </c>
      <c r="D6739" s="170" t="s">
        <v>2710</v>
      </c>
      <c r="E6739" s="171" t="s">
        <v>3187</v>
      </c>
      <c r="F6739" s="171" t="s">
        <v>3187</v>
      </c>
      <c r="H6739" s="96">
        <f t="shared" si="424"/>
        <v>0.01</v>
      </c>
      <c r="I6739" s="96">
        <f t="shared" si="425"/>
        <v>0.01</v>
      </c>
      <c r="J6739" s="91" t="str">
        <f t="shared" si="426"/>
        <v>Sinapi 100229</v>
      </c>
      <c r="K6739" s="91" t="str">
        <f t="shared" si="427"/>
        <v>KG</v>
      </c>
      <c r="L6739" s="166" t="str">
        <f t="shared" si="428"/>
        <v>07/2019</v>
      </c>
    </row>
    <row r="6740" spans="1:12" x14ac:dyDescent="0.25">
      <c r="A6740" s="170" t="s">
        <v>9325</v>
      </c>
      <c r="B6740" s="170" t="s">
        <v>9326</v>
      </c>
      <c r="C6740" s="170" t="s">
        <v>774</v>
      </c>
      <c r="D6740" s="170" t="s">
        <v>2710</v>
      </c>
      <c r="E6740" s="171" t="s">
        <v>2997</v>
      </c>
      <c r="F6740" s="171" t="s">
        <v>2997</v>
      </c>
      <c r="H6740" s="96">
        <f t="shared" si="424"/>
        <v>0.02</v>
      </c>
      <c r="I6740" s="96">
        <f t="shared" si="425"/>
        <v>0.02</v>
      </c>
      <c r="J6740" s="91" t="str">
        <f t="shared" si="426"/>
        <v>Sinapi 100230</v>
      </c>
      <c r="K6740" s="91" t="str">
        <f t="shared" si="427"/>
        <v>KG</v>
      </c>
      <c r="L6740" s="166" t="str">
        <f t="shared" si="428"/>
        <v>07/2019</v>
      </c>
    </row>
    <row r="6741" spans="1:12" x14ac:dyDescent="0.25">
      <c r="A6741" s="170" t="s">
        <v>9327</v>
      </c>
      <c r="B6741" s="170" t="s">
        <v>9328</v>
      </c>
      <c r="C6741" s="170" t="s">
        <v>774</v>
      </c>
      <c r="D6741" s="170" t="s">
        <v>2710</v>
      </c>
      <c r="E6741" s="171" t="s">
        <v>3112</v>
      </c>
      <c r="F6741" s="171" t="s">
        <v>3112</v>
      </c>
      <c r="H6741" s="96">
        <f t="shared" si="424"/>
        <v>0.03</v>
      </c>
      <c r="I6741" s="96">
        <f t="shared" si="425"/>
        <v>0.03</v>
      </c>
      <c r="J6741" s="91" t="str">
        <f t="shared" si="426"/>
        <v>Sinapi 100231</v>
      </c>
      <c r="K6741" s="91" t="str">
        <f t="shared" si="427"/>
        <v>KG</v>
      </c>
      <c r="L6741" s="166" t="str">
        <f t="shared" si="428"/>
        <v>07/2019</v>
      </c>
    </row>
    <row r="6742" spans="1:12" x14ac:dyDescent="0.25">
      <c r="A6742" s="170" t="s">
        <v>9329</v>
      </c>
      <c r="B6742" s="170" t="s">
        <v>9330</v>
      </c>
      <c r="C6742" s="170" t="s">
        <v>205</v>
      </c>
      <c r="D6742" s="170" t="s">
        <v>2710</v>
      </c>
      <c r="E6742" s="171" t="s">
        <v>3114</v>
      </c>
      <c r="F6742" s="171" t="s">
        <v>8449</v>
      </c>
      <c r="H6742" s="96">
        <f t="shared" si="424"/>
        <v>0.31</v>
      </c>
      <c r="I6742" s="96">
        <f t="shared" si="425"/>
        <v>0.34</v>
      </c>
      <c r="J6742" s="91" t="str">
        <f t="shared" si="426"/>
        <v>Sinapi 100232</v>
      </c>
      <c r="K6742" s="91" t="str">
        <f t="shared" si="427"/>
        <v>UN</v>
      </c>
      <c r="L6742" s="166" t="str">
        <f t="shared" si="428"/>
        <v>07/2019</v>
      </c>
    </row>
    <row r="6743" spans="1:12" x14ac:dyDescent="0.25">
      <c r="A6743" s="170" t="s">
        <v>9331</v>
      </c>
      <c r="B6743" s="170" t="s">
        <v>9332</v>
      </c>
      <c r="C6743" s="170" t="s">
        <v>205</v>
      </c>
      <c r="D6743" s="170" t="s">
        <v>2710</v>
      </c>
      <c r="E6743" s="171" t="s">
        <v>2632</v>
      </c>
      <c r="F6743" s="171" t="s">
        <v>2994</v>
      </c>
      <c r="H6743" s="96">
        <f t="shared" si="424"/>
        <v>0.15</v>
      </c>
      <c r="I6743" s="96">
        <f t="shared" si="425"/>
        <v>0.17</v>
      </c>
      <c r="J6743" s="91" t="str">
        <f t="shared" si="426"/>
        <v>Sinapi 100233</v>
      </c>
      <c r="K6743" s="91" t="str">
        <f t="shared" si="427"/>
        <v>UN</v>
      </c>
      <c r="L6743" s="166" t="str">
        <f t="shared" si="428"/>
        <v>07/2019</v>
      </c>
    </row>
    <row r="6744" spans="1:12" x14ac:dyDescent="0.25">
      <c r="A6744" s="170" t="s">
        <v>9333</v>
      </c>
      <c r="B6744" s="170" t="s">
        <v>9334</v>
      </c>
      <c r="C6744" s="170" t="s">
        <v>870</v>
      </c>
      <c r="D6744" s="170" t="s">
        <v>2710</v>
      </c>
      <c r="E6744" s="171" t="s">
        <v>3138</v>
      </c>
      <c r="F6744" s="171" t="s">
        <v>16317</v>
      </c>
      <c r="H6744" s="96">
        <f t="shared" si="424"/>
        <v>0.47</v>
      </c>
      <c r="I6744" s="96">
        <f t="shared" si="425"/>
        <v>0.51</v>
      </c>
      <c r="J6744" s="91" t="str">
        <f t="shared" si="426"/>
        <v>Sinapi 100234</v>
      </c>
      <c r="K6744" s="91" t="str">
        <f t="shared" si="427"/>
        <v>M2</v>
      </c>
      <c r="L6744" s="166" t="str">
        <f t="shared" si="428"/>
        <v>07/2019</v>
      </c>
    </row>
    <row r="6745" spans="1:12" x14ac:dyDescent="0.25">
      <c r="A6745" s="170" t="s">
        <v>9335</v>
      </c>
      <c r="B6745" s="170" t="s">
        <v>9336</v>
      </c>
      <c r="C6745" s="170" t="s">
        <v>76</v>
      </c>
      <c r="D6745" s="170" t="s">
        <v>2710</v>
      </c>
      <c r="E6745" s="171" t="s">
        <v>3112</v>
      </c>
      <c r="F6745" s="171" t="s">
        <v>2841</v>
      </c>
      <c r="H6745" s="96">
        <f t="shared" si="424"/>
        <v>0.03</v>
      </c>
      <c r="I6745" s="96">
        <f t="shared" si="425"/>
        <v>0.04</v>
      </c>
      <c r="J6745" s="91" t="str">
        <f t="shared" si="426"/>
        <v>Sinapi 100235</v>
      </c>
      <c r="K6745" s="91" t="str">
        <f t="shared" si="427"/>
        <v>L</v>
      </c>
      <c r="L6745" s="166" t="str">
        <f t="shared" si="428"/>
        <v>07/2019</v>
      </c>
    </row>
    <row r="6746" spans="1:12" x14ac:dyDescent="0.25">
      <c r="A6746" s="170" t="s">
        <v>9337</v>
      </c>
      <c r="B6746" s="170" t="s">
        <v>9338</v>
      </c>
      <c r="C6746" s="170" t="s">
        <v>865</v>
      </c>
      <c r="D6746" s="170" t="s">
        <v>2710</v>
      </c>
      <c r="E6746" s="171" t="s">
        <v>8128</v>
      </c>
      <c r="F6746" s="171" t="s">
        <v>8323</v>
      </c>
      <c r="H6746" s="96">
        <f t="shared" si="424"/>
        <v>2.36</v>
      </c>
      <c r="I6746" s="96">
        <f t="shared" si="425"/>
        <v>2.61</v>
      </c>
      <c r="J6746" s="91" t="str">
        <f t="shared" si="426"/>
        <v>Sinapi 100236</v>
      </c>
      <c r="K6746" s="91" t="str">
        <f t="shared" si="427"/>
        <v>MXKM</v>
      </c>
      <c r="L6746" s="166" t="str">
        <f t="shared" si="428"/>
        <v>07/2019</v>
      </c>
    </row>
    <row r="6747" spans="1:12" x14ac:dyDescent="0.25">
      <c r="A6747" s="170" t="s">
        <v>9339</v>
      </c>
      <c r="B6747" s="170" t="s">
        <v>9340</v>
      </c>
      <c r="C6747" s="170" t="s">
        <v>865</v>
      </c>
      <c r="D6747" s="170" t="s">
        <v>2710</v>
      </c>
      <c r="E6747" s="171" t="s">
        <v>10390</v>
      </c>
      <c r="F6747" s="171" t="s">
        <v>30496</v>
      </c>
      <c r="H6747" s="96">
        <f t="shared" si="424"/>
        <v>2.84</v>
      </c>
      <c r="I6747" s="96">
        <f t="shared" si="425"/>
        <v>3.13</v>
      </c>
      <c r="J6747" s="91" t="str">
        <f t="shared" si="426"/>
        <v>Sinapi 100237</v>
      </c>
      <c r="K6747" s="91" t="str">
        <f t="shared" si="427"/>
        <v>MXKM</v>
      </c>
      <c r="L6747" s="166" t="str">
        <f t="shared" si="428"/>
        <v>07/2019</v>
      </c>
    </row>
    <row r="6748" spans="1:12" x14ac:dyDescent="0.25">
      <c r="A6748" s="170" t="s">
        <v>9341</v>
      </c>
      <c r="B6748" s="170" t="s">
        <v>9342</v>
      </c>
      <c r="C6748" s="170" t="s">
        <v>865</v>
      </c>
      <c r="D6748" s="170" t="s">
        <v>2710</v>
      </c>
      <c r="E6748" s="171" t="s">
        <v>22871</v>
      </c>
      <c r="F6748" s="171" t="s">
        <v>2088</v>
      </c>
      <c r="H6748" s="96">
        <f t="shared" si="424"/>
        <v>4.54</v>
      </c>
      <c r="I6748" s="96">
        <f t="shared" si="425"/>
        <v>5.01</v>
      </c>
      <c r="J6748" s="91" t="str">
        <f t="shared" si="426"/>
        <v>Sinapi 100238</v>
      </c>
      <c r="K6748" s="91" t="str">
        <f t="shared" si="427"/>
        <v>MXKM</v>
      </c>
      <c r="L6748" s="166" t="str">
        <f t="shared" si="428"/>
        <v>07/2019</v>
      </c>
    </row>
    <row r="6749" spans="1:12" x14ac:dyDescent="0.25">
      <c r="A6749" s="170" t="s">
        <v>9343</v>
      </c>
      <c r="B6749" s="170" t="s">
        <v>9344</v>
      </c>
      <c r="C6749" s="170" t="s">
        <v>865</v>
      </c>
      <c r="D6749" s="170" t="s">
        <v>2710</v>
      </c>
      <c r="E6749" s="171" t="s">
        <v>15718</v>
      </c>
      <c r="F6749" s="171" t="s">
        <v>29470</v>
      </c>
      <c r="H6749" s="96">
        <f t="shared" si="424"/>
        <v>5.68</v>
      </c>
      <c r="I6749" s="96">
        <f t="shared" si="425"/>
        <v>6.27</v>
      </c>
      <c r="J6749" s="91" t="str">
        <f t="shared" si="426"/>
        <v>Sinapi 100239</v>
      </c>
      <c r="K6749" s="91" t="str">
        <f t="shared" si="427"/>
        <v>MXKM</v>
      </c>
      <c r="L6749" s="166" t="str">
        <f t="shared" si="428"/>
        <v>07/2019</v>
      </c>
    </row>
    <row r="6750" spans="1:12" x14ac:dyDescent="0.25">
      <c r="A6750" s="170" t="s">
        <v>9345</v>
      </c>
      <c r="B6750" s="170" t="s">
        <v>9346</v>
      </c>
      <c r="C6750" s="170" t="s">
        <v>865</v>
      </c>
      <c r="D6750" s="170" t="s">
        <v>2710</v>
      </c>
      <c r="E6750" s="171" t="s">
        <v>14343</v>
      </c>
      <c r="F6750" s="171" t="s">
        <v>18602</v>
      </c>
      <c r="H6750" s="96">
        <f t="shared" si="424"/>
        <v>3.4</v>
      </c>
      <c r="I6750" s="96">
        <f t="shared" si="425"/>
        <v>3.76</v>
      </c>
      <c r="J6750" s="91" t="str">
        <f t="shared" si="426"/>
        <v>Sinapi 100240</v>
      </c>
      <c r="K6750" s="91" t="str">
        <f t="shared" si="427"/>
        <v>MXKM</v>
      </c>
      <c r="L6750" s="166" t="str">
        <f t="shared" si="428"/>
        <v>07/2019</v>
      </c>
    </row>
    <row r="6751" spans="1:12" x14ac:dyDescent="0.25">
      <c r="A6751" s="170" t="s">
        <v>9347</v>
      </c>
      <c r="B6751" s="170" t="s">
        <v>9348</v>
      </c>
      <c r="C6751" s="170" t="s">
        <v>865</v>
      </c>
      <c r="D6751" s="170" t="s">
        <v>2710</v>
      </c>
      <c r="E6751" s="171" t="s">
        <v>15718</v>
      </c>
      <c r="F6751" s="171" t="s">
        <v>29470</v>
      </c>
      <c r="H6751" s="96">
        <f t="shared" si="424"/>
        <v>5.68</v>
      </c>
      <c r="I6751" s="96">
        <f t="shared" si="425"/>
        <v>6.27</v>
      </c>
      <c r="J6751" s="91" t="str">
        <f t="shared" si="426"/>
        <v>Sinapi 100241</v>
      </c>
      <c r="K6751" s="91" t="str">
        <f t="shared" si="427"/>
        <v>MXKM</v>
      </c>
      <c r="L6751" s="166" t="str">
        <f t="shared" si="428"/>
        <v>07/2019</v>
      </c>
    </row>
    <row r="6752" spans="1:12" x14ac:dyDescent="0.25">
      <c r="A6752" s="170" t="s">
        <v>9349</v>
      </c>
      <c r="B6752" s="170" t="s">
        <v>9350</v>
      </c>
      <c r="C6752" s="170" t="s">
        <v>865</v>
      </c>
      <c r="D6752" s="170" t="s">
        <v>2710</v>
      </c>
      <c r="E6752" s="171" t="s">
        <v>21867</v>
      </c>
      <c r="F6752" s="171" t="s">
        <v>33016</v>
      </c>
      <c r="H6752" s="96">
        <f t="shared" si="424"/>
        <v>16.79</v>
      </c>
      <c r="I6752" s="96">
        <f t="shared" si="425"/>
        <v>18.53</v>
      </c>
      <c r="J6752" s="91" t="str">
        <f t="shared" si="426"/>
        <v>Sinapi 100242</v>
      </c>
      <c r="K6752" s="91" t="str">
        <f t="shared" si="427"/>
        <v>MXKM</v>
      </c>
      <c r="L6752" s="166" t="str">
        <f t="shared" si="428"/>
        <v>07/2019</v>
      </c>
    </row>
    <row r="6753" spans="1:12" x14ac:dyDescent="0.25">
      <c r="A6753" s="170" t="s">
        <v>9351</v>
      </c>
      <c r="B6753" s="170" t="s">
        <v>9352</v>
      </c>
      <c r="C6753" s="170" t="s">
        <v>865</v>
      </c>
      <c r="D6753" s="170" t="s">
        <v>2710</v>
      </c>
      <c r="E6753" s="171" t="s">
        <v>17377</v>
      </c>
      <c r="F6753" s="171" t="s">
        <v>13653</v>
      </c>
      <c r="H6753" s="96">
        <f t="shared" si="424"/>
        <v>2.72</v>
      </c>
      <c r="I6753" s="96">
        <f t="shared" si="425"/>
        <v>3.01</v>
      </c>
      <c r="J6753" s="91" t="str">
        <f t="shared" si="426"/>
        <v>Sinapi 100243</v>
      </c>
      <c r="K6753" s="91" t="str">
        <f t="shared" si="427"/>
        <v>MXKM</v>
      </c>
      <c r="L6753" s="166" t="str">
        <f t="shared" si="428"/>
        <v>07/2019</v>
      </c>
    </row>
    <row r="6754" spans="1:12" x14ac:dyDescent="0.25">
      <c r="A6754" s="170" t="s">
        <v>9353</v>
      </c>
      <c r="B6754" s="170" t="s">
        <v>9354</v>
      </c>
      <c r="C6754" s="170" t="s">
        <v>865</v>
      </c>
      <c r="D6754" s="170" t="s">
        <v>2710</v>
      </c>
      <c r="E6754" s="171" t="s">
        <v>14343</v>
      </c>
      <c r="F6754" s="171" t="s">
        <v>18602</v>
      </c>
      <c r="H6754" s="96">
        <f t="shared" si="424"/>
        <v>3.4</v>
      </c>
      <c r="I6754" s="96">
        <f t="shared" si="425"/>
        <v>3.76</v>
      </c>
      <c r="J6754" s="91" t="str">
        <f t="shared" si="426"/>
        <v>Sinapi 100244</v>
      </c>
      <c r="K6754" s="91" t="str">
        <f t="shared" si="427"/>
        <v>MXKM</v>
      </c>
      <c r="L6754" s="166" t="str">
        <f t="shared" si="428"/>
        <v>07/2019</v>
      </c>
    </row>
    <row r="6755" spans="1:12" x14ac:dyDescent="0.25">
      <c r="A6755" s="170" t="s">
        <v>9355</v>
      </c>
      <c r="B6755" s="170" t="s">
        <v>9356</v>
      </c>
      <c r="C6755" s="170" t="s">
        <v>865</v>
      </c>
      <c r="D6755" s="170" t="s">
        <v>2710</v>
      </c>
      <c r="E6755" s="171" t="s">
        <v>25886</v>
      </c>
      <c r="F6755" s="171" t="s">
        <v>22097</v>
      </c>
      <c r="H6755" s="96">
        <f t="shared" si="424"/>
        <v>6.82</v>
      </c>
      <c r="I6755" s="96">
        <f t="shared" si="425"/>
        <v>7.52</v>
      </c>
      <c r="J6755" s="91" t="str">
        <f t="shared" si="426"/>
        <v>Sinapi 100245</v>
      </c>
      <c r="K6755" s="91" t="str">
        <f t="shared" si="427"/>
        <v>MXKM</v>
      </c>
      <c r="L6755" s="166" t="str">
        <f t="shared" si="428"/>
        <v>07/2019</v>
      </c>
    </row>
    <row r="6756" spans="1:12" x14ac:dyDescent="0.25">
      <c r="A6756" s="170" t="s">
        <v>9357</v>
      </c>
      <c r="B6756" s="170" t="s">
        <v>9358</v>
      </c>
      <c r="C6756" s="170" t="s">
        <v>865</v>
      </c>
      <c r="D6756" s="170" t="s">
        <v>2710</v>
      </c>
      <c r="E6756" s="171" t="s">
        <v>14348</v>
      </c>
      <c r="F6756" s="171" t="s">
        <v>19840</v>
      </c>
      <c r="H6756" s="96">
        <f t="shared" si="424"/>
        <v>2.27</v>
      </c>
      <c r="I6756" s="96">
        <f t="shared" si="425"/>
        <v>2.5</v>
      </c>
      <c r="J6756" s="91" t="str">
        <f t="shared" si="426"/>
        <v>Sinapi 100246</v>
      </c>
      <c r="K6756" s="91" t="str">
        <f t="shared" si="427"/>
        <v>MXKM</v>
      </c>
      <c r="L6756" s="166" t="str">
        <f t="shared" si="428"/>
        <v>07/2019</v>
      </c>
    </row>
    <row r="6757" spans="1:12" x14ac:dyDescent="0.25">
      <c r="A6757" s="170" t="s">
        <v>9360</v>
      </c>
      <c r="B6757" s="170" t="s">
        <v>9361</v>
      </c>
      <c r="C6757" s="170" t="s">
        <v>865</v>
      </c>
      <c r="D6757" s="170" t="s">
        <v>2710</v>
      </c>
      <c r="E6757" s="171" t="s">
        <v>10390</v>
      </c>
      <c r="F6757" s="171" t="s">
        <v>30496</v>
      </c>
      <c r="H6757" s="96">
        <f t="shared" ref="H6757:H6820" si="429">IF(E6757="","",E6757+0)</f>
        <v>2.84</v>
      </c>
      <c r="I6757" s="96">
        <f t="shared" ref="I6757:I6820" si="430">IF(F6757="","",F6757+0)</f>
        <v>3.13</v>
      </c>
      <c r="J6757" s="91" t="str">
        <f t="shared" ref="J6757:J6820" si="431">IF(OR(H6757="",I6757=""),"",TRIM(CONCATENATE("Sinapi ",A6757)))</f>
        <v>Sinapi 100247</v>
      </c>
      <c r="K6757" s="91" t="str">
        <f t="shared" ref="K6757:K6820" si="432">TRIM(C6757)</f>
        <v>MXKM</v>
      </c>
      <c r="L6757" s="166" t="str">
        <f t="shared" si="428"/>
        <v>07/2019</v>
      </c>
    </row>
    <row r="6758" spans="1:12" x14ac:dyDescent="0.25">
      <c r="A6758" s="170" t="s">
        <v>9362</v>
      </c>
      <c r="B6758" s="170" t="s">
        <v>9363</v>
      </c>
      <c r="C6758" s="170" t="s">
        <v>865</v>
      </c>
      <c r="D6758" s="170" t="s">
        <v>2710</v>
      </c>
      <c r="E6758" s="171" t="s">
        <v>11607</v>
      </c>
      <c r="F6758" s="171" t="s">
        <v>22023</v>
      </c>
      <c r="H6758" s="96">
        <f t="shared" si="429"/>
        <v>11.19</v>
      </c>
      <c r="I6758" s="96">
        <f t="shared" si="430"/>
        <v>12.35</v>
      </c>
      <c r="J6758" s="91" t="str">
        <f t="shared" si="431"/>
        <v>Sinapi 100248</v>
      </c>
      <c r="K6758" s="91" t="str">
        <f t="shared" si="432"/>
        <v>MXKM</v>
      </c>
      <c r="L6758" s="166" t="str">
        <f t="shared" si="428"/>
        <v>07/2019</v>
      </c>
    </row>
    <row r="6759" spans="1:12" x14ac:dyDescent="0.25">
      <c r="A6759" s="170" t="s">
        <v>9364</v>
      </c>
      <c r="B6759" s="170" t="s">
        <v>9365</v>
      </c>
      <c r="C6759" s="170" t="s">
        <v>865</v>
      </c>
      <c r="D6759" s="170" t="s">
        <v>2710</v>
      </c>
      <c r="E6759" s="171" t="s">
        <v>14348</v>
      </c>
      <c r="F6759" s="171" t="s">
        <v>19840</v>
      </c>
      <c r="H6759" s="96">
        <f t="shared" si="429"/>
        <v>2.27</v>
      </c>
      <c r="I6759" s="96">
        <f t="shared" si="430"/>
        <v>2.5</v>
      </c>
      <c r="J6759" s="91" t="str">
        <f t="shared" si="431"/>
        <v>Sinapi 100249</v>
      </c>
      <c r="K6759" s="91" t="str">
        <f t="shared" si="432"/>
        <v>MXKM</v>
      </c>
      <c r="L6759" s="166" t="str">
        <f t="shared" si="428"/>
        <v>07/2019</v>
      </c>
    </row>
    <row r="6760" spans="1:12" x14ac:dyDescent="0.25">
      <c r="A6760" s="170" t="s">
        <v>9366</v>
      </c>
      <c r="B6760" s="170" t="s">
        <v>9367</v>
      </c>
      <c r="C6760" s="170" t="s">
        <v>865</v>
      </c>
      <c r="D6760" s="170" t="s">
        <v>2710</v>
      </c>
      <c r="E6760" s="171" t="s">
        <v>24158</v>
      </c>
      <c r="F6760" s="171" t="s">
        <v>37925</v>
      </c>
      <c r="H6760" s="96">
        <f t="shared" si="429"/>
        <v>3.78</v>
      </c>
      <c r="I6760" s="96">
        <f t="shared" si="430"/>
        <v>4.18</v>
      </c>
      <c r="J6760" s="91" t="str">
        <f t="shared" si="431"/>
        <v>Sinapi 100250</v>
      </c>
      <c r="K6760" s="91" t="str">
        <f t="shared" si="432"/>
        <v>MXKM</v>
      </c>
      <c r="L6760" s="166" t="str">
        <f t="shared" si="428"/>
        <v>07/2019</v>
      </c>
    </row>
    <row r="6761" spans="1:12" x14ac:dyDescent="0.25">
      <c r="A6761" s="170" t="s">
        <v>9368</v>
      </c>
      <c r="B6761" s="170" t="s">
        <v>864</v>
      </c>
      <c r="C6761" s="170" t="s">
        <v>865</v>
      </c>
      <c r="D6761" s="170" t="s">
        <v>2710</v>
      </c>
      <c r="E6761" s="171" t="s">
        <v>11607</v>
      </c>
      <c r="F6761" s="171" t="s">
        <v>22023</v>
      </c>
      <c r="H6761" s="96">
        <f t="shared" si="429"/>
        <v>11.19</v>
      </c>
      <c r="I6761" s="96">
        <f t="shared" si="430"/>
        <v>12.35</v>
      </c>
      <c r="J6761" s="91" t="str">
        <f t="shared" si="431"/>
        <v>Sinapi 100251</v>
      </c>
      <c r="K6761" s="91" t="str">
        <f t="shared" si="432"/>
        <v>MXKM</v>
      </c>
      <c r="L6761" s="166" t="str">
        <f t="shared" si="428"/>
        <v>07/2019</v>
      </c>
    </row>
    <row r="6762" spans="1:12" x14ac:dyDescent="0.25">
      <c r="A6762" s="170" t="s">
        <v>9369</v>
      </c>
      <c r="B6762" s="170" t="s">
        <v>9370</v>
      </c>
      <c r="C6762" s="170" t="s">
        <v>865</v>
      </c>
      <c r="D6762" s="170" t="s">
        <v>2710</v>
      </c>
      <c r="E6762" s="171" t="s">
        <v>21867</v>
      </c>
      <c r="F6762" s="171" t="s">
        <v>33016</v>
      </c>
      <c r="H6762" s="96">
        <f t="shared" si="429"/>
        <v>16.79</v>
      </c>
      <c r="I6762" s="96">
        <f t="shared" si="430"/>
        <v>18.53</v>
      </c>
      <c r="J6762" s="91" t="str">
        <f t="shared" si="431"/>
        <v>Sinapi 100252</v>
      </c>
      <c r="K6762" s="91" t="str">
        <f t="shared" si="432"/>
        <v>MXKM</v>
      </c>
      <c r="L6762" s="166" t="str">
        <f t="shared" si="428"/>
        <v>07/2019</v>
      </c>
    </row>
    <row r="6763" spans="1:12" x14ac:dyDescent="0.25">
      <c r="A6763" s="170" t="s">
        <v>9371</v>
      </c>
      <c r="B6763" s="170" t="s">
        <v>9372</v>
      </c>
      <c r="C6763" s="170" t="s">
        <v>865</v>
      </c>
      <c r="D6763" s="170" t="s">
        <v>2710</v>
      </c>
      <c r="E6763" s="171" t="s">
        <v>15701</v>
      </c>
      <c r="F6763" s="171" t="s">
        <v>20997</v>
      </c>
      <c r="H6763" s="96">
        <f t="shared" si="429"/>
        <v>22.39</v>
      </c>
      <c r="I6763" s="96">
        <f t="shared" si="430"/>
        <v>24.71</v>
      </c>
      <c r="J6763" s="91" t="str">
        <f t="shared" si="431"/>
        <v>Sinapi 100253</v>
      </c>
      <c r="K6763" s="91" t="str">
        <f t="shared" si="432"/>
        <v>MXKM</v>
      </c>
      <c r="L6763" s="166" t="str">
        <f t="shared" si="428"/>
        <v>07/2019</v>
      </c>
    </row>
    <row r="6764" spans="1:12" x14ac:dyDescent="0.25">
      <c r="A6764" s="170" t="s">
        <v>9373</v>
      </c>
      <c r="B6764" s="170" t="s">
        <v>9374</v>
      </c>
      <c r="C6764" s="170" t="s">
        <v>865</v>
      </c>
      <c r="D6764" s="170" t="s">
        <v>2710</v>
      </c>
      <c r="E6764" s="171" t="s">
        <v>21873</v>
      </c>
      <c r="F6764" s="171" t="s">
        <v>28813</v>
      </c>
      <c r="H6764" s="96">
        <f t="shared" si="429"/>
        <v>33.58</v>
      </c>
      <c r="I6764" s="96">
        <f t="shared" si="430"/>
        <v>37.07</v>
      </c>
      <c r="J6764" s="91" t="str">
        <f t="shared" si="431"/>
        <v>Sinapi 100254</v>
      </c>
      <c r="K6764" s="91" t="str">
        <f t="shared" si="432"/>
        <v>MXKM</v>
      </c>
      <c r="L6764" s="166" t="str">
        <f t="shared" si="428"/>
        <v>07/2019</v>
      </c>
    </row>
    <row r="6765" spans="1:12" x14ac:dyDescent="0.25">
      <c r="A6765" s="170" t="s">
        <v>9375</v>
      </c>
      <c r="B6765" s="170" t="s">
        <v>9376</v>
      </c>
      <c r="C6765" s="170" t="s">
        <v>865</v>
      </c>
      <c r="D6765" s="170" t="s">
        <v>2710</v>
      </c>
      <c r="E6765" s="171" t="s">
        <v>21325</v>
      </c>
      <c r="F6765" s="171" t="s">
        <v>20136</v>
      </c>
      <c r="H6765" s="96">
        <f t="shared" si="429"/>
        <v>11.36</v>
      </c>
      <c r="I6765" s="96">
        <f t="shared" si="430"/>
        <v>12.54</v>
      </c>
      <c r="J6765" s="91" t="str">
        <f t="shared" si="431"/>
        <v>Sinapi 100255</v>
      </c>
      <c r="K6765" s="91" t="str">
        <f t="shared" si="432"/>
        <v>MXKM</v>
      </c>
      <c r="L6765" s="166" t="str">
        <f t="shared" si="428"/>
        <v>07/2019</v>
      </c>
    </row>
    <row r="6766" spans="1:12" x14ac:dyDescent="0.25">
      <c r="A6766" s="170" t="s">
        <v>9377</v>
      </c>
      <c r="B6766" s="170" t="s">
        <v>9378</v>
      </c>
      <c r="C6766" s="170" t="s">
        <v>865</v>
      </c>
      <c r="D6766" s="170" t="s">
        <v>2710</v>
      </c>
      <c r="E6766" s="171" t="s">
        <v>21588</v>
      </c>
      <c r="F6766" s="171" t="s">
        <v>20356</v>
      </c>
      <c r="H6766" s="96">
        <f t="shared" si="429"/>
        <v>7.57</v>
      </c>
      <c r="I6766" s="96">
        <f t="shared" si="430"/>
        <v>8.36</v>
      </c>
      <c r="J6766" s="91" t="str">
        <f t="shared" si="431"/>
        <v>Sinapi 100256</v>
      </c>
      <c r="K6766" s="91" t="str">
        <f t="shared" si="432"/>
        <v>MXKM</v>
      </c>
      <c r="L6766" s="166" t="str">
        <f t="shared" si="428"/>
        <v>07/2019</v>
      </c>
    </row>
    <row r="6767" spans="1:12" x14ac:dyDescent="0.25">
      <c r="A6767" s="170" t="s">
        <v>9379</v>
      </c>
      <c r="B6767" s="170" t="s">
        <v>9380</v>
      </c>
      <c r="C6767" s="170" t="s">
        <v>865</v>
      </c>
      <c r="D6767" s="170" t="s">
        <v>2710</v>
      </c>
      <c r="E6767" s="171" t="s">
        <v>22871</v>
      </c>
      <c r="F6767" s="171" t="s">
        <v>2088</v>
      </c>
      <c r="H6767" s="96">
        <f t="shared" si="429"/>
        <v>4.54</v>
      </c>
      <c r="I6767" s="96">
        <f t="shared" si="430"/>
        <v>5.01</v>
      </c>
      <c r="J6767" s="91" t="str">
        <f t="shared" si="431"/>
        <v>Sinapi 100257</v>
      </c>
      <c r="K6767" s="91" t="str">
        <f t="shared" si="432"/>
        <v>MXKM</v>
      </c>
      <c r="L6767" s="166" t="str">
        <f t="shared" si="428"/>
        <v>07/2019</v>
      </c>
    </row>
    <row r="6768" spans="1:12" x14ac:dyDescent="0.25">
      <c r="A6768" s="170" t="s">
        <v>9381</v>
      </c>
      <c r="B6768" s="170" t="s">
        <v>9382</v>
      </c>
      <c r="C6768" s="170" t="s">
        <v>865</v>
      </c>
      <c r="D6768" s="170" t="s">
        <v>2710</v>
      </c>
      <c r="E6768" s="171" t="s">
        <v>21325</v>
      </c>
      <c r="F6768" s="171" t="s">
        <v>20136</v>
      </c>
      <c r="H6768" s="96">
        <f t="shared" si="429"/>
        <v>11.36</v>
      </c>
      <c r="I6768" s="96">
        <f t="shared" si="430"/>
        <v>12.54</v>
      </c>
      <c r="J6768" s="91" t="str">
        <f t="shared" si="431"/>
        <v>Sinapi 100258</v>
      </c>
      <c r="K6768" s="91" t="str">
        <f t="shared" si="432"/>
        <v>MXKM</v>
      </c>
      <c r="L6768" s="166" t="str">
        <f t="shared" si="428"/>
        <v>07/2019</v>
      </c>
    </row>
    <row r="6769" spans="1:12" x14ac:dyDescent="0.25">
      <c r="A6769" s="170" t="s">
        <v>9383</v>
      </c>
      <c r="B6769" s="170" t="s">
        <v>9384</v>
      </c>
      <c r="C6769" s="170" t="s">
        <v>865</v>
      </c>
      <c r="D6769" s="170" t="s">
        <v>2710</v>
      </c>
      <c r="E6769" s="171" t="s">
        <v>15701</v>
      </c>
      <c r="F6769" s="171" t="s">
        <v>20997</v>
      </c>
      <c r="H6769" s="96">
        <f t="shared" si="429"/>
        <v>22.39</v>
      </c>
      <c r="I6769" s="96">
        <f t="shared" si="430"/>
        <v>24.71</v>
      </c>
      <c r="J6769" s="91" t="str">
        <f t="shared" si="431"/>
        <v>Sinapi 100259</v>
      </c>
      <c r="K6769" s="91" t="str">
        <f t="shared" si="432"/>
        <v>MXKM</v>
      </c>
      <c r="L6769" s="166" t="str">
        <f t="shared" si="428"/>
        <v>07/2019</v>
      </c>
    </row>
    <row r="6770" spans="1:12" x14ac:dyDescent="0.25">
      <c r="A6770" s="170" t="s">
        <v>9385</v>
      </c>
      <c r="B6770" s="170" t="s">
        <v>9386</v>
      </c>
      <c r="C6770" s="170" t="s">
        <v>9249</v>
      </c>
      <c r="D6770" s="170" t="s">
        <v>2710</v>
      </c>
      <c r="E6770" s="171" t="s">
        <v>19876</v>
      </c>
      <c r="F6770" s="171" t="s">
        <v>6731</v>
      </c>
      <c r="H6770" s="96">
        <f t="shared" si="429"/>
        <v>7.38</v>
      </c>
      <c r="I6770" s="96">
        <f t="shared" si="430"/>
        <v>8.14</v>
      </c>
      <c r="J6770" s="91" t="str">
        <f t="shared" si="431"/>
        <v>Sinapi 100260</v>
      </c>
      <c r="K6770" s="91" t="str">
        <f t="shared" si="432"/>
        <v>KGXKM</v>
      </c>
      <c r="L6770" s="166" t="str">
        <f t="shared" si="428"/>
        <v>07/2019</v>
      </c>
    </row>
    <row r="6771" spans="1:12" x14ac:dyDescent="0.25">
      <c r="A6771" s="170" t="s">
        <v>9387</v>
      </c>
      <c r="B6771" s="170" t="s">
        <v>9388</v>
      </c>
      <c r="C6771" s="170" t="s">
        <v>9249</v>
      </c>
      <c r="D6771" s="170" t="s">
        <v>2710</v>
      </c>
      <c r="E6771" s="171" t="s">
        <v>22785</v>
      </c>
      <c r="F6771" s="171" t="s">
        <v>15776</v>
      </c>
      <c r="H6771" s="96">
        <f t="shared" si="429"/>
        <v>4.63</v>
      </c>
      <c r="I6771" s="96">
        <f t="shared" si="430"/>
        <v>5.12</v>
      </c>
      <c r="J6771" s="91" t="str">
        <f t="shared" si="431"/>
        <v>Sinapi 100261</v>
      </c>
      <c r="K6771" s="91" t="str">
        <f t="shared" si="432"/>
        <v>KGXKM</v>
      </c>
      <c r="L6771" s="166" t="str">
        <f t="shared" si="428"/>
        <v>07/2019</v>
      </c>
    </row>
    <row r="6772" spans="1:12" x14ac:dyDescent="0.25">
      <c r="A6772" s="170" t="s">
        <v>9389</v>
      </c>
      <c r="B6772" s="170" t="s">
        <v>9390</v>
      </c>
      <c r="C6772" s="170" t="s">
        <v>9249</v>
      </c>
      <c r="D6772" s="170" t="s">
        <v>2710</v>
      </c>
      <c r="E6772" s="171" t="s">
        <v>21692</v>
      </c>
      <c r="F6772" s="171" t="s">
        <v>13851</v>
      </c>
      <c r="H6772" s="96">
        <f t="shared" si="429"/>
        <v>2.87</v>
      </c>
      <c r="I6772" s="96">
        <f t="shared" si="430"/>
        <v>3.17</v>
      </c>
      <c r="J6772" s="91" t="str">
        <f t="shared" si="431"/>
        <v>Sinapi 100262</v>
      </c>
      <c r="K6772" s="91" t="str">
        <f t="shared" si="432"/>
        <v>KGXKM</v>
      </c>
      <c r="L6772" s="166" t="str">
        <f t="shared" si="428"/>
        <v>07/2019</v>
      </c>
    </row>
    <row r="6773" spans="1:12" x14ac:dyDescent="0.25">
      <c r="A6773" s="170" t="s">
        <v>9391</v>
      </c>
      <c r="B6773" s="170" t="s">
        <v>9392</v>
      </c>
      <c r="C6773" s="170" t="s">
        <v>9249</v>
      </c>
      <c r="D6773" s="170" t="s">
        <v>2710</v>
      </c>
      <c r="E6773" s="171" t="s">
        <v>3333</v>
      </c>
      <c r="F6773" s="171" t="s">
        <v>19417</v>
      </c>
      <c r="H6773" s="96">
        <f t="shared" si="429"/>
        <v>1.84</v>
      </c>
      <c r="I6773" s="96">
        <f t="shared" si="430"/>
        <v>2.0299999999999998</v>
      </c>
      <c r="J6773" s="91" t="str">
        <f t="shared" si="431"/>
        <v>Sinapi 100263</v>
      </c>
      <c r="K6773" s="91" t="str">
        <f t="shared" si="432"/>
        <v>KGXKM</v>
      </c>
      <c r="L6773" s="166" t="str">
        <f t="shared" si="428"/>
        <v>07/2019</v>
      </c>
    </row>
    <row r="6774" spans="1:12" x14ac:dyDescent="0.25">
      <c r="A6774" s="170" t="s">
        <v>9393</v>
      </c>
      <c r="B6774" s="170" t="s">
        <v>9394</v>
      </c>
      <c r="C6774" s="170" t="s">
        <v>9304</v>
      </c>
      <c r="D6774" s="170" t="s">
        <v>2710</v>
      </c>
      <c r="E6774" s="171" t="s">
        <v>23255</v>
      </c>
      <c r="F6774" s="171" t="s">
        <v>28892</v>
      </c>
      <c r="H6774" s="96">
        <f t="shared" si="429"/>
        <v>33.53</v>
      </c>
      <c r="I6774" s="96">
        <f t="shared" si="430"/>
        <v>37.01</v>
      </c>
      <c r="J6774" s="91" t="str">
        <f t="shared" si="431"/>
        <v>Sinapi 100264</v>
      </c>
      <c r="K6774" s="91" t="str">
        <f t="shared" si="432"/>
        <v>M2XKM</v>
      </c>
      <c r="L6774" s="166" t="str">
        <f t="shared" si="428"/>
        <v>07/2019</v>
      </c>
    </row>
    <row r="6775" spans="1:12" x14ac:dyDescent="0.25">
      <c r="A6775" s="170" t="s">
        <v>9395</v>
      </c>
      <c r="B6775" s="170" t="s">
        <v>9396</v>
      </c>
      <c r="C6775" s="170" t="s">
        <v>870</v>
      </c>
      <c r="D6775" s="170" t="s">
        <v>2710</v>
      </c>
      <c r="E6775" s="171" t="s">
        <v>3780</v>
      </c>
      <c r="F6775" s="171" t="s">
        <v>16363</v>
      </c>
      <c r="H6775" s="96">
        <f t="shared" si="429"/>
        <v>0.7</v>
      </c>
      <c r="I6775" s="96">
        <f t="shared" si="430"/>
        <v>0.77</v>
      </c>
      <c r="J6775" s="91" t="str">
        <f t="shared" si="431"/>
        <v>Sinapi 100265</v>
      </c>
      <c r="K6775" s="91" t="str">
        <f t="shared" si="432"/>
        <v>M2</v>
      </c>
      <c r="L6775" s="166" t="str">
        <f t="shared" si="428"/>
        <v>07/2019</v>
      </c>
    </row>
    <row r="6776" spans="1:12" x14ac:dyDescent="0.25">
      <c r="A6776" s="170" t="s">
        <v>9398</v>
      </c>
      <c r="B6776" s="170" t="s">
        <v>9399</v>
      </c>
      <c r="C6776" s="170" t="s">
        <v>9278</v>
      </c>
      <c r="D6776" s="170" t="s">
        <v>2710</v>
      </c>
      <c r="E6776" s="171" t="s">
        <v>34843</v>
      </c>
      <c r="F6776" s="171" t="s">
        <v>37926</v>
      </c>
      <c r="H6776" s="96">
        <f t="shared" si="429"/>
        <v>71.27</v>
      </c>
      <c r="I6776" s="96">
        <f t="shared" si="430"/>
        <v>78.67</v>
      </c>
      <c r="J6776" s="91" t="str">
        <f t="shared" si="431"/>
        <v>Sinapi 100266</v>
      </c>
      <c r="K6776" s="91" t="str">
        <f t="shared" si="432"/>
        <v>UNXKM</v>
      </c>
      <c r="L6776" s="166" t="str">
        <f t="shared" si="428"/>
        <v>07/2019</v>
      </c>
    </row>
    <row r="6777" spans="1:12" x14ac:dyDescent="0.25">
      <c r="A6777" s="170" t="s">
        <v>9400</v>
      </c>
      <c r="B6777" s="170" t="s">
        <v>9401</v>
      </c>
      <c r="C6777" s="170" t="s">
        <v>205</v>
      </c>
      <c r="D6777" s="170" t="s">
        <v>2710</v>
      </c>
      <c r="E6777" s="171" t="s">
        <v>10275</v>
      </c>
      <c r="F6777" s="171" t="s">
        <v>2668</v>
      </c>
      <c r="H6777" s="96">
        <f t="shared" si="429"/>
        <v>1.41</v>
      </c>
      <c r="I6777" s="96">
        <f t="shared" si="430"/>
        <v>1.55</v>
      </c>
      <c r="J6777" s="91" t="str">
        <f t="shared" si="431"/>
        <v>Sinapi 100267</v>
      </c>
      <c r="K6777" s="91" t="str">
        <f t="shared" si="432"/>
        <v>UN</v>
      </c>
      <c r="L6777" s="166" t="str">
        <f t="shared" si="428"/>
        <v>07/2019</v>
      </c>
    </row>
    <row r="6778" spans="1:12" x14ac:dyDescent="0.25">
      <c r="A6778" s="170" t="s">
        <v>9402</v>
      </c>
      <c r="B6778" s="170" t="s">
        <v>9403</v>
      </c>
      <c r="C6778" s="170" t="s">
        <v>9278</v>
      </c>
      <c r="D6778" s="170" t="s">
        <v>2710</v>
      </c>
      <c r="E6778" s="171" t="s">
        <v>34843</v>
      </c>
      <c r="F6778" s="171" t="s">
        <v>37926</v>
      </c>
      <c r="H6778" s="96">
        <f t="shared" si="429"/>
        <v>71.27</v>
      </c>
      <c r="I6778" s="96">
        <f t="shared" si="430"/>
        <v>78.67</v>
      </c>
      <c r="J6778" s="91" t="str">
        <f t="shared" si="431"/>
        <v>Sinapi 100268</v>
      </c>
      <c r="K6778" s="91" t="str">
        <f t="shared" si="432"/>
        <v>UNXKM</v>
      </c>
      <c r="L6778" s="166" t="str">
        <f t="shared" si="428"/>
        <v>07/2019</v>
      </c>
    </row>
    <row r="6779" spans="1:12" x14ac:dyDescent="0.25">
      <c r="A6779" s="170" t="s">
        <v>9404</v>
      </c>
      <c r="B6779" s="170" t="s">
        <v>9405</v>
      </c>
      <c r="C6779" s="170" t="s">
        <v>205</v>
      </c>
      <c r="D6779" s="170" t="s">
        <v>2710</v>
      </c>
      <c r="E6779" s="171" t="s">
        <v>10275</v>
      </c>
      <c r="F6779" s="171" t="s">
        <v>2668</v>
      </c>
      <c r="H6779" s="96">
        <f t="shared" si="429"/>
        <v>1.41</v>
      </c>
      <c r="I6779" s="96">
        <f t="shared" si="430"/>
        <v>1.55</v>
      </c>
      <c r="J6779" s="91" t="str">
        <f t="shared" si="431"/>
        <v>Sinapi 100269</v>
      </c>
      <c r="K6779" s="91" t="str">
        <f t="shared" si="432"/>
        <v>UN</v>
      </c>
      <c r="L6779" s="166" t="str">
        <f t="shared" si="428"/>
        <v>07/2019</v>
      </c>
    </row>
    <row r="6780" spans="1:12" x14ac:dyDescent="0.25">
      <c r="A6780" s="170" t="s">
        <v>9406</v>
      </c>
      <c r="B6780" s="170" t="s">
        <v>9407</v>
      </c>
      <c r="C6780" s="170" t="s">
        <v>9278</v>
      </c>
      <c r="D6780" s="170" t="s">
        <v>2710</v>
      </c>
      <c r="E6780" s="171" t="s">
        <v>23022</v>
      </c>
      <c r="F6780" s="171" t="s">
        <v>22788</v>
      </c>
      <c r="H6780" s="96">
        <f t="shared" si="429"/>
        <v>53.42</v>
      </c>
      <c r="I6780" s="96">
        <f t="shared" si="430"/>
        <v>58.97</v>
      </c>
      <c r="J6780" s="91" t="str">
        <f t="shared" si="431"/>
        <v>Sinapi 100270</v>
      </c>
      <c r="K6780" s="91" t="str">
        <f t="shared" si="432"/>
        <v>UNXKM</v>
      </c>
      <c r="L6780" s="166" t="str">
        <f t="shared" si="428"/>
        <v>07/2019</v>
      </c>
    </row>
    <row r="6781" spans="1:12" x14ac:dyDescent="0.25">
      <c r="A6781" s="170" t="s">
        <v>9408</v>
      </c>
      <c r="B6781" s="170" t="s">
        <v>9409</v>
      </c>
      <c r="C6781" s="170" t="s">
        <v>9304</v>
      </c>
      <c r="D6781" s="170" t="s">
        <v>2710</v>
      </c>
      <c r="E6781" s="171" t="s">
        <v>29101</v>
      </c>
      <c r="F6781" s="171" t="s">
        <v>20025</v>
      </c>
      <c r="H6781" s="96">
        <f t="shared" si="429"/>
        <v>53.45</v>
      </c>
      <c r="I6781" s="96">
        <f t="shared" si="430"/>
        <v>59</v>
      </c>
      <c r="J6781" s="91" t="str">
        <f t="shared" si="431"/>
        <v>Sinapi 100271</v>
      </c>
      <c r="K6781" s="91" t="str">
        <f t="shared" si="432"/>
        <v>M2XKM</v>
      </c>
      <c r="L6781" s="166" t="str">
        <f t="shared" si="428"/>
        <v>07/2019</v>
      </c>
    </row>
    <row r="6782" spans="1:12" x14ac:dyDescent="0.25">
      <c r="A6782" s="170" t="s">
        <v>9410</v>
      </c>
      <c r="B6782" s="170" t="s">
        <v>9411</v>
      </c>
      <c r="C6782" s="170" t="s">
        <v>870</v>
      </c>
      <c r="D6782" s="170" t="s">
        <v>2710</v>
      </c>
      <c r="E6782" s="171" t="s">
        <v>3107</v>
      </c>
      <c r="F6782" s="171" t="s">
        <v>6093</v>
      </c>
      <c r="H6782" s="96">
        <f t="shared" si="429"/>
        <v>1.05</v>
      </c>
      <c r="I6782" s="96">
        <f t="shared" si="430"/>
        <v>1.1599999999999999</v>
      </c>
      <c r="J6782" s="91" t="str">
        <f t="shared" si="431"/>
        <v>Sinapi 100272</v>
      </c>
      <c r="K6782" s="91" t="str">
        <f t="shared" si="432"/>
        <v>M2</v>
      </c>
      <c r="L6782" s="166" t="str">
        <f t="shared" si="428"/>
        <v>07/2019</v>
      </c>
    </row>
    <row r="6783" spans="1:12" x14ac:dyDescent="0.25">
      <c r="A6783" s="170" t="s">
        <v>9412</v>
      </c>
      <c r="B6783" s="170" t="s">
        <v>9413</v>
      </c>
      <c r="C6783" s="170" t="s">
        <v>9249</v>
      </c>
      <c r="D6783" s="170" t="s">
        <v>2710</v>
      </c>
      <c r="E6783" s="171" t="s">
        <v>21000</v>
      </c>
      <c r="F6783" s="171" t="s">
        <v>13393</v>
      </c>
      <c r="H6783" s="96">
        <f t="shared" si="429"/>
        <v>2.78</v>
      </c>
      <c r="I6783" s="96">
        <f t="shared" si="430"/>
        <v>3.07</v>
      </c>
      <c r="J6783" s="91" t="str">
        <f t="shared" si="431"/>
        <v>Sinapi 100273</v>
      </c>
      <c r="K6783" s="91" t="str">
        <f t="shared" si="432"/>
        <v>KGXKM</v>
      </c>
      <c r="L6783" s="166" t="str">
        <f t="shared" si="428"/>
        <v>07/2019</v>
      </c>
    </row>
    <row r="6784" spans="1:12" x14ac:dyDescent="0.25">
      <c r="A6784" s="170" t="s">
        <v>9414</v>
      </c>
      <c r="B6784" s="170" t="s">
        <v>9415</v>
      </c>
      <c r="C6784" s="170" t="s">
        <v>9304</v>
      </c>
      <c r="D6784" s="170" t="s">
        <v>2710</v>
      </c>
      <c r="E6784" s="171" t="s">
        <v>21489</v>
      </c>
      <c r="F6784" s="171" t="s">
        <v>21561</v>
      </c>
      <c r="H6784" s="96">
        <f t="shared" si="429"/>
        <v>23.76</v>
      </c>
      <c r="I6784" s="96">
        <f t="shared" si="430"/>
        <v>26.23</v>
      </c>
      <c r="J6784" s="91" t="str">
        <f t="shared" si="431"/>
        <v>Sinapi 100274</v>
      </c>
      <c r="K6784" s="91" t="str">
        <f t="shared" si="432"/>
        <v>M2XKM</v>
      </c>
      <c r="L6784" s="166" t="str">
        <f t="shared" si="428"/>
        <v>07/2019</v>
      </c>
    </row>
    <row r="6785" spans="1:12" x14ac:dyDescent="0.25">
      <c r="A6785" s="170" t="s">
        <v>9416</v>
      </c>
      <c r="B6785" s="170" t="s">
        <v>9417</v>
      </c>
      <c r="C6785" s="170" t="s">
        <v>9304</v>
      </c>
      <c r="D6785" s="170" t="s">
        <v>2710</v>
      </c>
      <c r="E6785" s="171" t="s">
        <v>17281</v>
      </c>
      <c r="F6785" s="171" t="s">
        <v>20076</v>
      </c>
      <c r="H6785" s="96">
        <f t="shared" si="429"/>
        <v>15.36</v>
      </c>
      <c r="I6785" s="96">
        <f t="shared" si="430"/>
        <v>16.96</v>
      </c>
      <c r="J6785" s="91" t="str">
        <f t="shared" si="431"/>
        <v>Sinapi 100275</v>
      </c>
      <c r="K6785" s="91" t="str">
        <f t="shared" si="432"/>
        <v>M2XKM</v>
      </c>
      <c r="L6785" s="166" t="str">
        <f t="shared" si="428"/>
        <v>07/2019</v>
      </c>
    </row>
    <row r="6786" spans="1:12" x14ac:dyDescent="0.25">
      <c r="A6786" s="170" t="s">
        <v>9418</v>
      </c>
      <c r="B6786" s="170" t="s">
        <v>9419</v>
      </c>
      <c r="C6786" s="170" t="s">
        <v>9304</v>
      </c>
      <c r="D6786" s="170" t="s">
        <v>2710</v>
      </c>
      <c r="E6786" s="171" t="s">
        <v>20370</v>
      </c>
      <c r="F6786" s="171" t="s">
        <v>22050</v>
      </c>
      <c r="H6786" s="96">
        <f t="shared" si="429"/>
        <v>28.04</v>
      </c>
      <c r="I6786" s="96">
        <f t="shared" si="430"/>
        <v>30.95</v>
      </c>
      <c r="J6786" s="91" t="str">
        <f t="shared" si="431"/>
        <v>Sinapi 100276</v>
      </c>
      <c r="K6786" s="91" t="str">
        <f t="shared" si="432"/>
        <v>M2XKM</v>
      </c>
      <c r="L6786" s="166" t="str">
        <f t="shared" si="428"/>
        <v>07/2019</v>
      </c>
    </row>
    <row r="6787" spans="1:12" x14ac:dyDescent="0.25">
      <c r="A6787" s="170" t="s">
        <v>9420</v>
      </c>
      <c r="B6787" s="170" t="s">
        <v>9421</v>
      </c>
      <c r="C6787" s="170" t="s">
        <v>9304</v>
      </c>
      <c r="D6787" s="170" t="s">
        <v>1947</v>
      </c>
      <c r="E6787" s="171" t="s">
        <v>20055</v>
      </c>
      <c r="F6787" s="171" t="s">
        <v>16375</v>
      </c>
      <c r="H6787" s="96">
        <f t="shared" si="429"/>
        <v>1.9</v>
      </c>
      <c r="I6787" s="96">
        <f t="shared" si="430"/>
        <v>1.97</v>
      </c>
      <c r="J6787" s="91" t="str">
        <f t="shared" si="431"/>
        <v>Sinapi 100277</v>
      </c>
      <c r="K6787" s="91" t="str">
        <f t="shared" si="432"/>
        <v>M2XKM</v>
      </c>
      <c r="L6787" s="166" t="str">
        <f t="shared" si="428"/>
        <v>07/2019</v>
      </c>
    </row>
    <row r="6788" spans="1:12" x14ac:dyDescent="0.25">
      <c r="A6788" s="170" t="s">
        <v>9422</v>
      </c>
      <c r="B6788" s="170" t="s">
        <v>9423</v>
      </c>
      <c r="C6788" s="170" t="s">
        <v>9278</v>
      </c>
      <c r="D6788" s="170" t="s">
        <v>2710</v>
      </c>
      <c r="E6788" s="171" t="s">
        <v>22979</v>
      </c>
      <c r="F6788" s="171" t="s">
        <v>17408</v>
      </c>
      <c r="H6788" s="96">
        <f t="shared" si="429"/>
        <v>34.1</v>
      </c>
      <c r="I6788" s="96">
        <f t="shared" si="430"/>
        <v>37.64</v>
      </c>
      <c r="J6788" s="91" t="str">
        <f t="shared" si="431"/>
        <v>Sinapi 100278</v>
      </c>
      <c r="K6788" s="91" t="str">
        <f t="shared" si="432"/>
        <v>UNXKM</v>
      </c>
      <c r="L6788" s="166" t="str">
        <f t="shared" si="428"/>
        <v>07/2019</v>
      </c>
    </row>
    <row r="6789" spans="1:12" x14ac:dyDescent="0.25">
      <c r="A6789" s="170" t="s">
        <v>9424</v>
      </c>
      <c r="B6789" s="170" t="s">
        <v>9425</v>
      </c>
      <c r="C6789" s="170" t="s">
        <v>205</v>
      </c>
      <c r="D6789" s="170" t="s">
        <v>2710</v>
      </c>
      <c r="E6789" s="171" t="s">
        <v>14632</v>
      </c>
      <c r="F6789" s="171" t="s">
        <v>3540</v>
      </c>
      <c r="H6789" s="96">
        <f t="shared" si="429"/>
        <v>0.66</v>
      </c>
      <c r="I6789" s="96">
        <f t="shared" si="430"/>
        <v>0.72</v>
      </c>
      <c r="J6789" s="91" t="str">
        <f t="shared" si="431"/>
        <v>Sinapi 100279</v>
      </c>
      <c r="K6789" s="91" t="str">
        <f t="shared" si="432"/>
        <v>UN</v>
      </c>
      <c r="L6789" s="166" t="str">
        <f t="shared" si="428"/>
        <v>07/2019</v>
      </c>
    </row>
    <row r="6790" spans="1:12" x14ac:dyDescent="0.25">
      <c r="A6790" s="170" t="s">
        <v>9426</v>
      </c>
      <c r="B6790" s="170" t="s">
        <v>9427</v>
      </c>
      <c r="C6790" s="170" t="s">
        <v>9278</v>
      </c>
      <c r="D6790" s="170" t="s">
        <v>2710</v>
      </c>
      <c r="E6790" s="171" t="s">
        <v>18697</v>
      </c>
      <c r="F6790" s="171" t="s">
        <v>20029</v>
      </c>
      <c r="H6790" s="96">
        <f t="shared" si="429"/>
        <v>15.65</v>
      </c>
      <c r="I6790" s="96">
        <f t="shared" si="430"/>
        <v>17.28</v>
      </c>
      <c r="J6790" s="91" t="str">
        <f t="shared" si="431"/>
        <v>Sinapi 100280</v>
      </c>
      <c r="K6790" s="91" t="str">
        <f t="shared" si="432"/>
        <v>UNXKM</v>
      </c>
      <c r="L6790" s="166" t="str">
        <f t="shared" si="428"/>
        <v>07/2019</v>
      </c>
    </row>
    <row r="6791" spans="1:12" x14ac:dyDescent="0.25">
      <c r="A6791" s="170" t="s">
        <v>9428</v>
      </c>
      <c r="B6791" s="170" t="s">
        <v>9429</v>
      </c>
      <c r="C6791" s="170" t="s">
        <v>9278</v>
      </c>
      <c r="D6791" s="170" t="s">
        <v>1947</v>
      </c>
      <c r="E6791" s="171" t="s">
        <v>14931</v>
      </c>
      <c r="F6791" s="171" t="s">
        <v>29469</v>
      </c>
      <c r="H6791" s="96">
        <f t="shared" si="429"/>
        <v>3.66</v>
      </c>
      <c r="I6791" s="96">
        <f t="shared" si="430"/>
        <v>3.79</v>
      </c>
      <c r="J6791" s="91" t="str">
        <f t="shared" si="431"/>
        <v>Sinapi 100281</v>
      </c>
      <c r="K6791" s="91" t="str">
        <f t="shared" si="432"/>
        <v>UNXKM</v>
      </c>
      <c r="L6791" s="166" t="str">
        <f t="shared" si="428"/>
        <v>07/2019</v>
      </c>
    </row>
    <row r="6792" spans="1:12" x14ac:dyDescent="0.25">
      <c r="A6792" s="170" t="s">
        <v>9430</v>
      </c>
      <c r="B6792" s="170" t="s">
        <v>9431</v>
      </c>
      <c r="C6792" s="170" t="s">
        <v>9304</v>
      </c>
      <c r="D6792" s="170" t="s">
        <v>2710</v>
      </c>
      <c r="E6792" s="171" t="s">
        <v>27987</v>
      </c>
      <c r="F6792" s="171" t="s">
        <v>37927</v>
      </c>
      <c r="H6792" s="96">
        <f t="shared" si="429"/>
        <v>133.52000000000001</v>
      </c>
      <c r="I6792" s="96">
        <f t="shared" si="430"/>
        <v>147.38999999999999</v>
      </c>
      <c r="J6792" s="91" t="str">
        <f t="shared" si="431"/>
        <v>Sinapi 100282</v>
      </c>
      <c r="K6792" s="91" t="str">
        <f t="shared" si="432"/>
        <v>M2XKM</v>
      </c>
      <c r="L6792" s="166" t="str">
        <f t="shared" ref="L6792:L6855" si="433">IF(OR(RIGHT(IF(AND(K6792&lt;&gt;"H",K6792&lt;&gt;"MES"),RIGHT(B6792,7),""),2)="PS",RIGHT(IF(AND(K6792&lt;&gt;"H",K6792&lt;&gt;"MES"),RIGHT(B6792,7),""),2)="PA",RIGHT(IF(AND(K6792&lt;&gt;"H",K6792&lt;&gt;"MES"),RIGHT(B6792,7),""),2)="PE"),LEFT(IF(AND(K6792&lt;&gt;"H",K6792&lt;&gt;"MES"),RIGHT(B6792,10),""),7),IF(AND(K6792&lt;&gt;"H",K6792&lt;&gt;"MES"),RIGHT(B6792,7),""))</f>
        <v>07/2019</v>
      </c>
    </row>
    <row r="6793" spans="1:12" x14ac:dyDescent="0.25">
      <c r="A6793" s="170" t="s">
        <v>9432</v>
      </c>
      <c r="B6793" s="170" t="s">
        <v>9433</v>
      </c>
      <c r="C6793" s="170" t="s">
        <v>9304</v>
      </c>
      <c r="D6793" s="170" t="s">
        <v>2710</v>
      </c>
      <c r="E6793" s="171" t="s">
        <v>20071</v>
      </c>
      <c r="F6793" s="171" t="s">
        <v>16367</v>
      </c>
      <c r="H6793" s="96">
        <f t="shared" si="429"/>
        <v>21.57</v>
      </c>
      <c r="I6793" s="96">
        <f t="shared" si="430"/>
        <v>23.81</v>
      </c>
      <c r="J6793" s="91" t="str">
        <f t="shared" si="431"/>
        <v>Sinapi 100283</v>
      </c>
      <c r="K6793" s="91" t="str">
        <f t="shared" si="432"/>
        <v>M2XKM</v>
      </c>
      <c r="L6793" s="166" t="str">
        <f t="shared" si="433"/>
        <v>07/2019</v>
      </c>
    </row>
    <row r="6794" spans="1:12" x14ac:dyDescent="0.25">
      <c r="A6794" s="170" t="s">
        <v>9434</v>
      </c>
      <c r="B6794" s="170" t="s">
        <v>9435</v>
      </c>
      <c r="C6794" s="170" t="s">
        <v>9304</v>
      </c>
      <c r="D6794" s="170" t="s">
        <v>1947</v>
      </c>
      <c r="E6794" s="171" t="s">
        <v>2147</v>
      </c>
      <c r="F6794" s="171" t="s">
        <v>14633</v>
      </c>
      <c r="H6794" s="96">
        <f t="shared" si="429"/>
        <v>10.72</v>
      </c>
      <c r="I6794" s="96">
        <f t="shared" si="430"/>
        <v>11.1</v>
      </c>
      <c r="J6794" s="91" t="str">
        <f t="shared" si="431"/>
        <v>Sinapi 100284</v>
      </c>
      <c r="K6794" s="91" t="str">
        <f t="shared" si="432"/>
        <v>M2XKM</v>
      </c>
      <c r="L6794" s="166" t="str">
        <f t="shared" si="433"/>
        <v>07/2019</v>
      </c>
    </row>
    <row r="6795" spans="1:12" x14ac:dyDescent="0.25">
      <c r="A6795" s="170" t="s">
        <v>9436</v>
      </c>
      <c r="B6795" s="170" t="s">
        <v>9437</v>
      </c>
      <c r="C6795" s="170" t="s">
        <v>865</v>
      </c>
      <c r="D6795" s="170" t="s">
        <v>2710</v>
      </c>
      <c r="E6795" s="171" t="s">
        <v>34844</v>
      </c>
      <c r="F6795" s="171" t="s">
        <v>21112</v>
      </c>
      <c r="H6795" s="96">
        <f t="shared" si="429"/>
        <v>35.869999999999997</v>
      </c>
      <c r="I6795" s="96">
        <f t="shared" si="430"/>
        <v>39.6</v>
      </c>
      <c r="J6795" s="91" t="str">
        <f t="shared" si="431"/>
        <v>Sinapi 100285</v>
      </c>
      <c r="K6795" s="91" t="str">
        <f t="shared" si="432"/>
        <v>MXKM</v>
      </c>
      <c r="L6795" s="166" t="str">
        <f t="shared" si="433"/>
        <v>07/2019</v>
      </c>
    </row>
    <row r="6796" spans="1:12" x14ac:dyDescent="0.25">
      <c r="A6796" s="170" t="s">
        <v>9438</v>
      </c>
      <c r="B6796" s="170" t="s">
        <v>9439</v>
      </c>
      <c r="C6796" s="170" t="s">
        <v>865</v>
      </c>
      <c r="D6796" s="170" t="s">
        <v>2710</v>
      </c>
      <c r="E6796" s="171" t="s">
        <v>14359</v>
      </c>
      <c r="F6796" s="171" t="s">
        <v>20137</v>
      </c>
      <c r="H6796" s="96">
        <f t="shared" si="429"/>
        <v>11.69</v>
      </c>
      <c r="I6796" s="96">
        <f t="shared" si="430"/>
        <v>12.9</v>
      </c>
      <c r="J6796" s="91" t="str">
        <f t="shared" si="431"/>
        <v>Sinapi 100286</v>
      </c>
      <c r="K6796" s="91" t="str">
        <f t="shared" si="432"/>
        <v>MXKM</v>
      </c>
      <c r="L6796" s="166" t="str">
        <f t="shared" si="433"/>
        <v>07/2019</v>
      </c>
    </row>
    <row r="6797" spans="1:12" x14ac:dyDescent="0.25">
      <c r="A6797" s="170" t="s">
        <v>9440</v>
      </c>
      <c r="B6797" s="170" t="s">
        <v>9441</v>
      </c>
      <c r="C6797" s="170" t="s">
        <v>865</v>
      </c>
      <c r="D6797" s="170" t="s">
        <v>2710</v>
      </c>
      <c r="E6797" s="171" t="s">
        <v>11607</v>
      </c>
      <c r="F6797" s="171" t="s">
        <v>22023</v>
      </c>
      <c r="H6797" s="96">
        <f t="shared" si="429"/>
        <v>11.19</v>
      </c>
      <c r="I6797" s="96">
        <f t="shared" si="430"/>
        <v>12.35</v>
      </c>
      <c r="J6797" s="91" t="str">
        <f t="shared" si="431"/>
        <v>Sinapi 100287</v>
      </c>
      <c r="K6797" s="91" t="str">
        <f t="shared" si="432"/>
        <v>MXKM</v>
      </c>
      <c r="L6797" s="166" t="str">
        <f t="shared" si="433"/>
        <v>07/2019</v>
      </c>
    </row>
    <row r="6798" spans="1:12" x14ac:dyDescent="0.25">
      <c r="A6798" s="170" t="s">
        <v>9442</v>
      </c>
      <c r="B6798" s="170" t="s">
        <v>9443</v>
      </c>
      <c r="C6798" s="170" t="s">
        <v>870</v>
      </c>
      <c r="D6798" s="170" t="s">
        <v>2710</v>
      </c>
      <c r="E6798" s="171" t="s">
        <v>2851</v>
      </c>
      <c r="F6798" s="171" t="s">
        <v>15582</v>
      </c>
      <c r="H6798" s="96">
        <f t="shared" si="429"/>
        <v>0.45</v>
      </c>
      <c r="I6798" s="96">
        <f t="shared" si="430"/>
        <v>0.5</v>
      </c>
      <c r="J6798" s="91" t="str">
        <f t="shared" si="431"/>
        <v>Sinapi 99802</v>
      </c>
      <c r="K6798" s="91" t="str">
        <f t="shared" si="432"/>
        <v>M2</v>
      </c>
      <c r="L6798" s="166" t="str">
        <f t="shared" si="433"/>
        <v>04/2019</v>
      </c>
    </row>
    <row r="6799" spans="1:12" x14ac:dyDescent="0.25">
      <c r="A6799" s="170" t="s">
        <v>9444</v>
      </c>
      <c r="B6799" s="170" t="s">
        <v>9445</v>
      </c>
      <c r="C6799" s="170" t="s">
        <v>870</v>
      </c>
      <c r="D6799" s="170" t="s">
        <v>2710</v>
      </c>
      <c r="E6799" s="171" t="s">
        <v>18552</v>
      </c>
      <c r="F6799" s="171" t="s">
        <v>32006</v>
      </c>
      <c r="H6799" s="96">
        <f t="shared" si="429"/>
        <v>1.77</v>
      </c>
      <c r="I6799" s="96">
        <f t="shared" si="430"/>
        <v>1.95</v>
      </c>
      <c r="J6799" s="91" t="str">
        <f t="shared" si="431"/>
        <v>Sinapi 99803</v>
      </c>
      <c r="K6799" s="91" t="str">
        <f t="shared" si="432"/>
        <v>M2</v>
      </c>
      <c r="L6799" s="166" t="str">
        <f t="shared" si="433"/>
        <v>04/2019</v>
      </c>
    </row>
    <row r="6800" spans="1:12" x14ac:dyDescent="0.25">
      <c r="A6800" s="170" t="s">
        <v>14561</v>
      </c>
      <c r="B6800" s="170" t="s">
        <v>14562</v>
      </c>
      <c r="C6800" s="170" t="s">
        <v>870</v>
      </c>
      <c r="D6800" s="170" t="s">
        <v>2067</v>
      </c>
      <c r="E6800" s="171" t="s">
        <v>19828</v>
      </c>
      <c r="F6800" s="171" t="s">
        <v>22809</v>
      </c>
      <c r="H6800" s="96">
        <f t="shared" si="429"/>
        <v>4.6100000000000003</v>
      </c>
      <c r="I6800" s="96">
        <f t="shared" si="430"/>
        <v>5.08</v>
      </c>
      <c r="J6800" s="91" t="str">
        <f t="shared" si="431"/>
        <v>Sinapi 99804</v>
      </c>
      <c r="K6800" s="91" t="str">
        <f t="shared" si="432"/>
        <v>M2</v>
      </c>
      <c r="L6800" s="166" t="str">
        <f t="shared" si="433"/>
        <v>04/2019</v>
      </c>
    </row>
    <row r="6801" spans="1:12" x14ac:dyDescent="0.25">
      <c r="A6801" s="170" t="s">
        <v>9447</v>
      </c>
      <c r="B6801" s="170" t="s">
        <v>9448</v>
      </c>
      <c r="C6801" s="170" t="s">
        <v>870</v>
      </c>
      <c r="D6801" s="170" t="s">
        <v>2067</v>
      </c>
      <c r="E6801" s="171" t="s">
        <v>17889</v>
      </c>
      <c r="F6801" s="171" t="s">
        <v>15075</v>
      </c>
      <c r="H6801" s="96">
        <f t="shared" si="429"/>
        <v>9.76</v>
      </c>
      <c r="I6801" s="96">
        <f t="shared" si="430"/>
        <v>10.69</v>
      </c>
      <c r="J6801" s="91" t="str">
        <f t="shared" si="431"/>
        <v>Sinapi 99805</v>
      </c>
      <c r="K6801" s="91" t="str">
        <f t="shared" si="432"/>
        <v>M2</v>
      </c>
      <c r="L6801" s="166" t="str">
        <f t="shared" si="433"/>
        <v>04/2019</v>
      </c>
    </row>
    <row r="6802" spans="1:12" x14ac:dyDescent="0.25">
      <c r="A6802" s="170" t="s">
        <v>9449</v>
      </c>
      <c r="B6802" s="170" t="s">
        <v>9450</v>
      </c>
      <c r="C6802" s="170" t="s">
        <v>870</v>
      </c>
      <c r="D6802" s="170" t="s">
        <v>2710</v>
      </c>
      <c r="E6802" s="171" t="s">
        <v>2780</v>
      </c>
      <c r="F6802" s="171" t="s">
        <v>3121</v>
      </c>
      <c r="H6802" s="96">
        <f t="shared" si="429"/>
        <v>0.73</v>
      </c>
      <c r="I6802" s="96">
        <f t="shared" si="430"/>
        <v>0.8</v>
      </c>
      <c r="J6802" s="91" t="str">
        <f t="shared" si="431"/>
        <v>Sinapi 99806</v>
      </c>
      <c r="K6802" s="91" t="str">
        <f t="shared" si="432"/>
        <v>M2</v>
      </c>
      <c r="L6802" s="166" t="str">
        <f t="shared" si="433"/>
        <v>04/2019</v>
      </c>
    </row>
    <row r="6803" spans="1:12" x14ac:dyDescent="0.25">
      <c r="A6803" s="170" t="s">
        <v>14563</v>
      </c>
      <c r="B6803" s="170" t="s">
        <v>14564</v>
      </c>
      <c r="C6803" s="170" t="s">
        <v>870</v>
      </c>
      <c r="D6803" s="170" t="s">
        <v>2067</v>
      </c>
      <c r="E6803" s="171" t="s">
        <v>10275</v>
      </c>
      <c r="F6803" s="171" t="s">
        <v>2668</v>
      </c>
      <c r="H6803" s="96">
        <f t="shared" si="429"/>
        <v>1.41</v>
      </c>
      <c r="I6803" s="96">
        <f t="shared" si="430"/>
        <v>1.55</v>
      </c>
      <c r="J6803" s="91" t="str">
        <f t="shared" si="431"/>
        <v>Sinapi 99807</v>
      </c>
      <c r="K6803" s="91" t="str">
        <f t="shared" si="432"/>
        <v>M2</v>
      </c>
      <c r="L6803" s="166" t="str">
        <f t="shared" si="433"/>
        <v>04/2019</v>
      </c>
    </row>
    <row r="6804" spans="1:12" x14ac:dyDescent="0.25">
      <c r="A6804" s="170" t="s">
        <v>9451</v>
      </c>
      <c r="B6804" s="170" t="s">
        <v>9452</v>
      </c>
      <c r="C6804" s="170" t="s">
        <v>870</v>
      </c>
      <c r="D6804" s="170" t="s">
        <v>2067</v>
      </c>
      <c r="E6804" s="171" t="s">
        <v>17383</v>
      </c>
      <c r="F6804" s="171" t="s">
        <v>17446</v>
      </c>
      <c r="H6804" s="96">
        <f t="shared" si="429"/>
        <v>3.53</v>
      </c>
      <c r="I6804" s="96">
        <f t="shared" si="430"/>
        <v>3.83</v>
      </c>
      <c r="J6804" s="91" t="str">
        <f t="shared" si="431"/>
        <v>Sinapi 99808</v>
      </c>
      <c r="K6804" s="91" t="str">
        <f t="shared" si="432"/>
        <v>M2</v>
      </c>
      <c r="L6804" s="166" t="str">
        <f t="shared" si="433"/>
        <v>04/2019</v>
      </c>
    </row>
    <row r="6805" spans="1:12" x14ac:dyDescent="0.25">
      <c r="A6805" s="170" t="s">
        <v>9453</v>
      </c>
      <c r="B6805" s="170" t="s">
        <v>9454</v>
      </c>
      <c r="C6805" s="170" t="s">
        <v>870</v>
      </c>
      <c r="D6805" s="170" t="s">
        <v>2710</v>
      </c>
      <c r="E6805" s="171" t="s">
        <v>13399</v>
      </c>
      <c r="F6805" s="171" t="s">
        <v>3919</v>
      </c>
      <c r="H6805" s="96">
        <f t="shared" si="429"/>
        <v>5.05</v>
      </c>
      <c r="I6805" s="96">
        <f t="shared" si="430"/>
        <v>5.57</v>
      </c>
      <c r="J6805" s="91" t="str">
        <f t="shared" si="431"/>
        <v>Sinapi 99809</v>
      </c>
      <c r="K6805" s="91" t="str">
        <f t="shared" si="432"/>
        <v>M2</v>
      </c>
      <c r="L6805" s="166" t="str">
        <f t="shared" si="433"/>
        <v>04/2019</v>
      </c>
    </row>
    <row r="6806" spans="1:12" x14ac:dyDescent="0.25">
      <c r="A6806" s="170" t="s">
        <v>14565</v>
      </c>
      <c r="B6806" s="170" t="s">
        <v>14566</v>
      </c>
      <c r="C6806" s="170" t="s">
        <v>870</v>
      </c>
      <c r="D6806" s="170" t="s">
        <v>2067</v>
      </c>
      <c r="E6806" s="171" t="s">
        <v>15695</v>
      </c>
      <c r="F6806" s="171" t="s">
        <v>5224</v>
      </c>
      <c r="H6806" s="96">
        <f t="shared" si="429"/>
        <v>6.3</v>
      </c>
      <c r="I6806" s="96">
        <f t="shared" si="430"/>
        <v>6.94</v>
      </c>
      <c r="J6806" s="91" t="str">
        <f t="shared" si="431"/>
        <v>Sinapi 99810</v>
      </c>
      <c r="K6806" s="91" t="str">
        <f t="shared" si="432"/>
        <v>M2</v>
      </c>
      <c r="L6806" s="166" t="str">
        <f t="shared" si="433"/>
        <v>04/2019</v>
      </c>
    </row>
    <row r="6807" spans="1:12" x14ac:dyDescent="0.25">
      <c r="A6807" s="170" t="s">
        <v>9455</v>
      </c>
      <c r="B6807" s="170" t="s">
        <v>9456</v>
      </c>
      <c r="C6807" s="170" t="s">
        <v>870</v>
      </c>
      <c r="D6807" s="170" t="s">
        <v>2710</v>
      </c>
      <c r="E6807" s="171" t="s">
        <v>13653</v>
      </c>
      <c r="F6807" s="171" t="s">
        <v>17348</v>
      </c>
      <c r="H6807" s="96">
        <f t="shared" si="429"/>
        <v>3.01</v>
      </c>
      <c r="I6807" s="96">
        <f t="shared" si="430"/>
        <v>3.33</v>
      </c>
      <c r="J6807" s="91" t="str">
        <f t="shared" si="431"/>
        <v>Sinapi 99811</v>
      </c>
      <c r="K6807" s="91" t="str">
        <f t="shared" si="432"/>
        <v>M2</v>
      </c>
      <c r="L6807" s="166" t="str">
        <f t="shared" si="433"/>
        <v>04/2019</v>
      </c>
    </row>
    <row r="6808" spans="1:12" x14ac:dyDescent="0.25">
      <c r="A6808" s="170" t="s">
        <v>9457</v>
      </c>
      <c r="B6808" s="170" t="s">
        <v>9458</v>
      </c>
      <c r="C6808" s="170" t="s">
        <v>870</v>
      </c>
      <c r="D6808" s="170" t="s">
        <v>2710</v>
      </c>
      <c r="E6808" s="171" t="s">
        <v>28542</v>
      </c>
      <c r="F6808" s="171" t="s">
        <v>21993</v>
      </c>
      <c r="H6808" s="96">
        <f t="shared" si="429"/>
        <v>0.96</v>
      </c>
      <c r="I6808" s="96">
        <f t="shared" si="430"/>
        <v>1.07</v>
      </c>
      <c r="J6808" s="91" t="str">
        <f t="shared" si="431"/>
        <v>Sinapi 99812</v>
      </c>
      <c r="K6808" s="91" t="str">
        <f t="shared" si="432"/>
        <v>M2</v>
      </c>
      <c r="L6808" s="166" t="str">
        <f t="shared" si="433"/>
        <v>04/2019</v>
      </c>
    </row>
    <row r="6809" spans="1:12" x14ac:dyDescent="0.25">
      <c r="A6809" s="170" t="s">
        <v>14567</v>
      </c>
      <c r="B6809" s="170" t="s">
        <v>14568</v>
      </c>
      <c r="C6809" s="170" t="s">
        <v>870</v>
      </c>
      <c r="D6809" s="170" t="s">
        <v>2067</v>
      </c>
      <c r="E6809" s="171" t="s">
        <v>9633</v>
      </c>
      <c r="F6809" s="171" t="s">
        <v>28558</v>
      </c>
      <c r="H6809" s="96">
        <f t="shared" si="429"/>
        <v>0.84</v>
      </c>
      <c r="I6809" s="96">
        <f t="shared" si="430"/>
        <v>0.92</v>
      </c>
      <c r="J6809" s="91" t="str">
        <f t="shared" si="431"/>
        <v>Sinapi 99813</v>
      </c>
      <c r="K6809" s="91" t="str">
        <f t="shared" si="432"/>
        <v>M2</v>
      </c>
      <c r="L6809" s="166" t="str">
        <f t="shared" si="433"/>
        <v>04/2019</v>
      </c>
    </row>
    <row r="6810" spans="1:12" x14ac:dyDescent="0.25">
      <c r="A6810" s="170" t="s">
        <v>9459</v>
      </c>
      <c r="B6810" s="170" t="s">
        <v>9460</v>
      </c>
      <c r="C6810" s="170" t="s">
        <v>870</v>
      </c>
      <c r="D6810" s="170" t="s">
        <v>2067</v>
      </c>
      <c r="E6810" s="171" t="s">
        <v>11134</v>
      </c>
      <c r="F6810" s="171" t="s">
        <v>18702</v>
      </c>
      <c r="H6810" s="96">
        <f t="shared" si="429"/>
        <v>1.65</v>
      </c>
      <c r="I6810" s="96">
        <f t="shared" si="430"/>
        <v>1.82</v>
      </c>
      <c r="J6810" s="91" t="str">
        <f t="shared" si="431"/>
        <v>Sinapi 99814</v>
      </c>
      <c r="K6810" s="91" t="str">
        <f t="shared" si="432"/>
        <v>M2</v>
      </c>
      <c r="L6810" s="166" t="str">
        <f t="shared" si="433"/>
        <v>04/2019</v>
      </c>
    </row>
    <row r="6811" spans="1:12" x14ac:dyDescent="0.25">
      <c r="A6811" s="170" t="s">
        <v>14569</v>
      </c>
      <c r="B6811" s="170" t="s">
        <v>14570</v>
      </c>
      <c r="C6811" s="170" t="s">
        <v>205</v>
      </c>
      <c r="D6811" s="170" t="s">
        <v>2067</v>
      </c>
      <c r="E6811" s="171" t="s">
        <v>13745</v>
      </c>
      <c r="F6811" s="171" t="s">
        <v>21990</v>
      </c>
      <c r="H6811" s="96">
        <f t="shared" si="429"/>
        <v>8.1300000000000008</v>
      </c>
      <c r="I6811" s="96">
        <f t="shared" si="430"/>
        <v>8.65</v>
      </c>
      <c r="J6811" s="91" t="str">
        <f t="shared" si="431"/>
        <v>Sinapi 99815</v>
      </c>
      <c r="K6811" s="91" t="str">
        <f t="shared" si="432"/>
        <v>UN</v>
      </c>
      <c r="L6811" s="166" t="str">
        <f t="shared" si="433"/>
        <v>04/2019</v>
      </c>
    </row>
    <row r="6812" spans="1:12" x14ac:dyDescent="0.25">
      <c r="A6812" s="170" t="s">
        <v>14571</v>
      </c>
      <c r="B6812" s="170" t="s">
        <v>14572</v>
      </c>
      <c r="C6812" s="170" t="s">
        <v>205</v>
      </c>
      <c r="D6812" s="170" t="s">
        <v>2067</v>
      </c>
      <c r="E6812" s="171" t="s">
        <v>14782</v>
      </c>
      <c r="F6812" s="171" t="s">
        <v>5207</v>
      </c>
      <c r="H6812" s="96">
        <f t="shared" si="429"/>
        <v>8.59</v>
      </c>
      <c r="I6812" s="96">
        <f t="shared" si="430"/>
        <v>9.15</v>
      </c>
      <c r="J6812" s="91" t="str">
        <f t="shared" si="431"/>
        <v>Sinapi 99816</v>
      </c>
      <c r="K6812" s="91" t="str">
        <f t="shared" si="432"/>
        <v>UN</v>
      </c>
      <c r="L6812" s="166" t="str">
        <f t="shared" si="433"/>
        <v>04/2019</v>
      </c>
    </row>
    <row r="6813" spans="1:12" x14ac:dyDescent="0.25">
      <c r="A6813" s="170" t="s">
        <v>14573</v>
      </c>
      <c r="B6813" s="170" t="s">
        <v>14574</v>
      </c>
      <c r="C6813" s="170" t="s">
        <v>205</v>
      </c>
      <c r="D6813" s="170" t="s">
        <v>2067</v>
      </c>
      <c r="E6813" s="171" t="s">
        <v>16319</v>
      </c>
      <c r="F6813" s="171" t="s">
        <v>21916</v>
      </c>
      <c r="H6813" s="96">
        <f t="shared" si="429"/>
        <v>5.4</v>
      </c>
      <c r="I6813" s="96">
        <f t="shared" si="430"/>
        <v>5.64</v>
      </c>
      <c r="J6813" s="91" t="str">
        <f t="shared" si="431"/>
        <v>Sinapi 99817</v>
      </c>
      <c r="K6813" s="91" t="str">
        <f t="shared" si="432"/>
        <v>UN</v>
      </c>
      <c r="L6813" s="166" t="str">
        <f t="shared" si="433"/>
        <v>04/2019</v>
      </c>
    </row>
    <row r="6814" spans="1:12" x14ac:dyDescent="0.25">
      <c r="A6814" s="170" t="s">
        <v>14575</v>
      </c>
      <c r="B6814" s="170" t="s">
        <v>14576</v>
      </c>
      <c r="C6814" s="170" t="s">
        <v>205</v>
      </c>
      <c r="D6814" s="170" t="s">
        <v>2067</v>
      </c>
      <c r="E6814" s="171" t="s">
        <v>16319</v>
      </c>
      <c r="F6814" s="171" t="s">
        <v>21916</v>
      </c>
      <c r="H6814" s="96">
        <f t="shared" si="429"/>
        <v>5.4</v>
      </c>
      <c r="I6814" s="96">
        <f t="shared" si="430"/>
        <v>5.64</v>
      </c>
      <c r="J6814" s="91" t="str">
        <f t="shared" si="431"/>
        <v>Sinapi 99818</v>
      </c>
      <c r="K6814" s="91" t="str">
        <f t="shared" si="432"/>
        <v>UN</v>
      </c>
      <c r="L6814" s="166" t="str">
        <f t="shared" si="433"/>
        <v>04/2019</v>
      </c>
    </row>
    <row r="6815" spans="1:12" x14ac:dyDescent="0.25">
      <c r="A6815" s="170" t="s">
        <v>14577</v>
      </c>
      <c r="B6815" s="170" t="s">
        <v>14578</v>
      </c>
      <c r="C6815" s="170" t="s">
        <v>870</v>
      </c>
      <c r="D6815" s="170" t="s">
        <v>2067</v>
      </c>
      <c r="E6815" s="171" t="s">
        <v>23096</v>
      </c>
      <c r="F6815" s="171" t="s">
        <v>9830</v>
      </c>
      <c r="H6815" s="96">
        <f t="shared" si="429"/>
        <v>14.42</v>
      </c>
      <c r="I6815" s="96">
        <f t="shared" si="430"/>
        <v>15.9</v>
      </c>
      <c r="J6815" s="91" t="str">
        <f t="shared" si="431"/>
        <v>Sinapi 99819</v>
      </c>
      <c r="K6815" s="91" t="str">
        <f t="shared" si="432"/>
        <v>M2</v>
      </c>
      <c r="L6815" s="166" t="str">
        <f t="shared" si="433"/>
        <v>04/2019</v>
      </c>
    </row>
    <row r="6816" spans="1:12" x14ac:dyDescent="0.25">
      <c r="A6816" s="170" t="s">
        <v>14579</v>
      </c>
      <c r="B6816" s="170" t="s">
        <v>14580</v>
      </c>
      <c r="C6816" s="170" t="s">
        <v>870</v>
      </c>
      <c r="D6816" s="170" t="s">
        <v>2067</v>
      </c>
      <c r="E6816" s="171" t="s">
        <v>9550</v>
      </c>
      <c r="F6816" s="171" t="s">
        <v>32006</v>
      </c>
      <c r="H6816" s="96">
        <f t="shared" si="429"/>
        <v>1.83</v>
      </c>
      <c r="I6816" s="96">
        <f t="shared" si="430"/>
        <v>1.95</v>
      </c>
      <c r="J6816" s="91" t="str">
        <f t="shared" si="431"/>
        <v>Sinapi 99820</v>
      </c>
      <c r="K6816" s="91" t="str">
        <f t="shared" si="432"/>
        <v>M2</v>
      </c>
      <c r="L6816" s="166" t="str">
        <f t="shared" si="433"/>
        <v>04/2019</v>
      </c>
    </row>
    <row r="6817" spans="1:12" x14ac:dyDescent="0.25">
      <c r="A6817" s="170" t="s">
        <v>14581</v>
      </c>
      <c r="B6817" s="170" t="s">
        <v>14582</v>
      </c>
      <c r="C6817" s="170" t="s">
        <v>870</v>
      </c>
      <c r="D6817" s="170" t="s">
        <v>2067</v>
      </c>
      <c r="E6817" s="171" t="s">
        <v>21692</v>
      </c>
      <c r="F6817" s="171" t="s">
        <v>3006</v>
      </c>
      <c r="H6817" s="96">
        <f t="shared" si="429"/>
        <v>2.87</v>
      </c>
      <c r="I6817" s="96">
        <f t="shared" si="430"/>
        <v>3.04</v>
      </c>
      <c r="J6817" s="91" t="str">
        <f t="shared" si="431"/>
        <v>Sinapi 99821</v>
      </c>
      <c r="K6817" s="91" t="str">
        <f t="shared" si="432"/>
        <v>M2</v>
      </c>
      <c r="L6817" s="166" t="str">
        <f t="shared" si="433"/>
        <v>04/2019</v>
      </c>
    </row>
    <row r="6818" spans="1:12" x14ac:dyDescent="0.25">
      <c r="A6818" s="170" t="s">
        <v>9462</v>
      </c>
      <c r="B6818" s="170" t="s">
        <v>9463</v>
      </c>
      <c r="C6818" s="170" t="s">
        <v>870</v>
      </c>
      <c r="D6818" s="170" t="s">
        <v>2710</v>
      </c>
      <c r="E6818" s="171" t="s">
        <v>14927</v>
      </c>
      <c r="F6818" s="171" t="s">
        <v>3061</v>
      </c>
      <c r="H6818" s="96">
        <f t="shared" si="429"/>
        <v>0.86</v>
      </c>
      <c r="I6818" s="96">
        <f t="shared" si="430"/>
        <v>0.94</v>
      </c>
      <c r="J6818" s="91" t="str">
        <f t="shared" si="431"/>
        <v>Sinapi 99822</v>
      </c>
      <c r="K6818" s="91" t="str">
        <f t="shared" si="432"/>
        <v>M2</v>
      </c>
      <c r="L6818" s="166" t="str">
        <f t="shared" si="433"/>
        <v>04/2019</v>
      </c>
    </row>
    <row r="6819" spans="1:12" x14ac:dyDescent="0.25">
      <c r="A6819" s="170" t="s">
        <v>14583</v>
      </c>
      <c r="B6819" s="170" t="s">
        <v>14584</v>
      </c>
      <c r="C6819" s="170" t="s">
        <v>870</v>
      </c>
      <c r="D6819" s="170" t="s">
        <v>2067</v>
      </c>
      <c r="E6819" s="171" t="s">
        <v>13577</v>
      </c>
      <c r="F6819" s="171" t="s">
        <v>14348</v>
      </c>
      <c r="H6819" s="96">
        <f t="shared" si="429"/>
        <v>2.12</v>
      </c>
      <c r="I6819" s="96">
        <f t="shared" si="430"/>
        <v>2.27</v>
      </c>
      <c r="J6819" s="91" t="str">
        <f t="shared" si="431"/>
        <v>Sinapi 99823</v>
      </c>
      <c r="K6819" s="91" t="str">
        <f t="shared" si="432"/>
        <v>M2</v>
      </c>
      <c r="L6819" s="166" t="str">
        <f t="shared" si="433"/>
        <v>04/2019</v>
      </c>
    </row>
    <row r="6820" spans="1:12" x14ac:dyDescent="0.25">
      <c r="A6820" s="170" t="s">
        <v>14585</v>
      </c>
      <c r="B6820" s="170" t="s">
        <v>14586</v>
      </c>
      <c r="C6820" s="170" t="s">
        <v>870</v>
      </c>
      <c r="D6820" s="170" t="s">
        <v>2067</v>
      </c>
      <c r="E6820" s="171" t="s">
        <v>29383</v>
      </c>
      <c r="F6820" s="171" t="s">
        <v>20040</v>
      </c>
      <c r="H6820" s="96">
        <f t="shared" si="429"/>
        <v>2.29</v>
      </c>
      <c r="I6820" s="96">
        <f t="shared" si="430"/>
        <v>2.46</v>
      </c>
      <c r="J6820" s="91" t="str">
        <f t="shared" si="431"/>
        <v>Sinapi 99824</v>
      </c>
      <c r="K6820" s="91" t="str">
        <f t="shared" si="432"/>
        <v>M2</v>
      </c>
      <c r="L6820" s="166" t="str">
        <f t="shared" si="433"/>
        <v>04/2019</v>
      </c>
    </row>
    <row r="6821" spans="1:12" x14ac:dyDescent="0.25">
      <c r="A6821" s="170" t="s">
        <v>14587</v>
      </c>
      <c r="B6821" s="170" t="s">
        <v>14588</v>
      </c>
      <c r="C6821" s="170" t="s">
        <v>870</v>
      </c>
      <c r="D6821" s="170" t="s">
        <v>2067</v>
      </c>
      <c r="E6821" s="171" t="s">
        <v>13845</v>
      </c>
      <c r="F6821" s="171" t="s">
        <v>17383</v>
      </c>
      <c r="H6821" s="96">
        <f t="shared" ref="H6821:H6884" si="434">IF(E6821="","",E6821+0)</f>
        <v>3.31</v>
      </c>
      <c r="I6821" s="96">
        <f t="shared" ref="I6821:I6884" si="435">IF(F6821="","",F6821+0)</f>
        <v>3.53</v>
      </c>
      <c r="J6821" s="91" t="str">
        <f t="shared" ref="J6821:J6884" si="436">IF(OR(H6821="",I6821=""),"",TRIM(CONCATENATE("Sinapi ",A6821)))</f>
        <v>Sinapi 99825</v>
      </c>
      <c r="K6821" s="91" t="str">
        <f t="shared" ref="K6821:K6884" si="437">TRIM(C6821)</f>
        <v>M2</v>
      </c>
      <c r="L6821" s="166" t="str">
        <f t="shared" si="433"/>
        <v>04/2019</v>
      </c>
    </row>
    <row r="6822" spans="1:12" x14ac:dyDescent="0.25">
      <c r="A6822" s="170" t="s">
        <v>9464</v>
      </c>
      <c r="B6822" s="170" t="s">
        <v>9465</v>
      </c>
      <c r="C6822" s="170" t="s">
        <v>870</v>
      </c>
      <c r="D6822" s="170" t="s">
        <v>2710</v>
      </c>
      <c r="E6822" s="171" t="s">
        <v>14356</v>
      </c>
      <c r="F6822" s="171" t="s">
        <v>19312</v>
      </c>
      <c r="H6822" s="96">
        <f t="shared" si="434"/>
        <v>1.31</v>
      </c>
      <c r="I6822" s="96">
        <f t="shared" si="435"/>
        <v>1.45</v>
      </c>
      <c r="J6822" s="91" t="str">
        <f t="shared" si="436"/>
        <v>Sinapi 99826</v>
      </c>
      <c r="K6822" s="91" t="str">
        <f t="shared" si="437"/>
        <v>M2</v>
      </c>
      <c r="L6822" s="166" t="str">
        <f t="shared" si="433"/>
        <v>04/2019</v>
      </c>
    </row>
    <row r="6823" spans="1:12" x14ac:dyDescent="0.25">
      <c r="A6823" s="170" t="s">
        <v>9467</v>
      </c>
      <c r="B6823" s="170" t="s">
        <v>9468</v>
      </c>
      <c r="C6823" s="170" t="s">
        <v>385</v>
      </c>
      <c r="D6823" s="170" t="s">
        <v>2067</v>
      </c>
      <c r="E6823" s="171" t="s">
        <v>29227</v>
      </c>
      <c r="F6823" s="171" t="s">
        <v>37928</v>
      </c>
      <c r="H6823" s="96">
        <f t="shared" si="434"/>
        <v>58.19</v>
      </c>
      <c r="I6823" s="96">
        <f t="shared" si="435"/>
        <v>60.08</v>
      </c>
      <c r="J6823" s="91" t="str">
        <f t="shared" si="436"/>
        <v>Sinapi 97010</v>
      </c>
      <c r="K6823" s="91" t="str">
        <f t="shared" si="437"/>
        <v>M</v>
      </c>
      <c r="L6823" s="166" t="str">
        <f t="shared" si="433"/>
        <v>11/2017</v>
      </c>
    </row>
    <row r="6824" spans="1:12" x14ac:dyDescent="0.25">
      <c r="A6824" s="170" t="s">
        <v>9469</v>
      </c>
      <c r="B6824" s="170" t="s">
        <v>9470</v>
      </c>
      <c r="C6824" s="170" t="s">
        <v>385</v>
      </c>
      <c r="D6824" s="170" t="s">
        <v>2067</v>
      </c>
      <c r="E6824" s="171" t="s">
        <v>29073</v>
      </c>
      <c r="F6824" s="171" t="s">
        <v>37679</v>
      </c>
      <c r="H6824" s="96">
        <f t="shared" si="434"/>
        <v>45.06</v>
      </c>
      <c r="I6824" s="96">
        <f t="shared" si="435"/>
        <v>46.95</v>
      </c>
      <c r="J6824" s="91" t="str">
        <f t="shared" si="436"/>
        <v>Sinapi 97011</v>
      </c>
      <c r="K6824" s="91" t="str">
        <f t="shared" si="437"/>
        <v>M</v>
      </c>
      <c r="L6824" s="166" t="str">
        <f t="shared" si="433"/>
        <v>11/2017</v>
      </c>
    </row>
    <row r="6825" spans="1:12" x14ac:dyDescent="0.25">
      <c r="A6825" s="170" t="s">
        <v>9471</v>
      </c>
      <c r="B6825" s="170" t="s">
        <v>9472</v>
      </c>
      <c r="C6825" s="170" t="s">
        <v>385</v>
      </c>
      <c r="D6825" s="170" t="s">
        <v>2067</v>
      </c>
      <c r="E6825" s="171" t="s">
        <v>33139</v>
      </c>
      <c r="F6825" s="171" t="s">
        <v>21439</v>
      </c>
      <c r="H6825" s="96">
        <f t="shared" si="434"/>
        <v>38.49</v>
      </c>
      <c r="I6825" s="96">
        <f t="shared" si="435"/>
        <v>40.380000000000003</v>
      </c>
      <c r="J6825" s="91" t="str">
        <f t="shared" si="436"/>
        <v>Sinapi 97012</v>
      </c>
      <c r="K6825" s="91" t="str">
        <f t="shared" si="437"/>
        <v>M</v>
      </c>
      <c r="L6825" s="166" t="str">
        <f t="shared" si="433"/>
        <v>11/2017</v>
      </c>
    </row>
    <row r="6826" spans="1:12" x14ac:dyDescent="0.25">
      <c r="A6826" s="170" t="s">
        <v>9473</v>
      </c>
      <c r="B6826" s="170" t="s">
        <v>9474</v>
      </c>
      <c r="C6826" s="170" t="s">
        <v>385</v>
      </c>
      <c r="D6826" s="170" t="s">
        <v>2067</v>
      </c>
      <c r="E6826" s="171" t="s">
        <v>34845</v>
      </c>
      <c r="F6826" s="171" t="s">
        <v>37929</v>
      </c>
      <c r="H6826" s="96">
        <f t="shared" si="434"/>
        <v>118.46</v>
      </c>
      <c r="I6826" s="96">
        <f t="shared" si="435"/>
        <v>120.48</v>
      </c>
      <c r="J6826" s="91" t="str">
        <f t="shared" si="436"/>
        <v>Sinapi 97013</v>
      </c>
      <c r="K6826" s="91" t="str">
        <f t="shared" si="437"/>
        <v>M</v>
      </c>
      <c r="L6826" s="166" t="str">
        <f t="shared" si="433"/>
        <v>11/2017</v>
      </c>
    </row>
    <row r="6827" spans="1:12" x14ac:dyDescent="0.25">
      <c r="A6827" s="170" t="s">
        <v>9475</v>
      </c>
      <c r="B6827" s="170" t="s">
        <v>9476</v>
      </c>
      <c r="C6827" s="170" t="s">
        <v>385</v>
      </c>
      <c r="D6827" s="170" t="s">
        <v>2067</v>
      </c>
      <c r="E6827" s="171" t="s">
        <v>29135</v>
      </c>
      <c r="F6827" s="171" t="s">
        <v>31149</v>
      </c>
      <c r="H6827" s="96">
        <f t="shared" si="434"/>
        <v>85.49</v>
      </c>
      <c r="I6827" s="96">
        <f t="shared" si="435"/>
        <v>87.51</v>
      </c>
      <c r="J6827" s="91" t="str">
        <f t="shared" si="436"/>
        <v>Sinapi 97014</v>
      </c>
      <c r="K6827" s="91" t="str">
        <f t="shared" si="437"/>
        <v>M</v>
      </c>
      <c r="L6827" s="166" t="str">
        <f t="shared" si="433"/>
        <v>11/2017</v>
      </c>
    </row>
    <row r="6828" spans="1:12" x14ac:dyDescent="0.25">
      <c r="A6828" s="170" t="s">
        <v>9477</v>
      </c>
      <c r="B6828" s="170" t="s">
        <v>9478</v>
      </c>
      <c r="C6828" s="170" t="s">
        <v>385</v>
      </c>
      <c r="D6828" s="170" t="s">
        <v>2067</v>
      </c>
      <c r="E6828" s="171" t="s">
        <v>34846</v>
      </c>
      <c r="F6828" s="171" t="s">
        <v>22002</v>
      </c>
      <c r="H6828" s="96">
        <f t="shared" si="434"/>
        <v>68.91</v>
      </c>
      <c r="I6828" s="96">
        <f t="shared" si="435"/>
        <v>70.930000000000007</v>
      </c>
      <c r="J6828" s="91" t="str">
        <f t="shared" si="436"/>
        <v>Sinapi 97015</v>
      </c>
      <c r="K6828" s="91" t="str">
        <f t="shared" si="437"/>
        <v>M</v>
      </c>
      <c r="L6828" s="166" t="str">
        <f t="shared" si="433"/>
        <v>11/2017</v>
      </c>
    </row>
    <row r="6829" spans="1:12" x14ac:dyDescent="0.25">
      <c r="A6829" s="170" t="s">
        <v>9479</v>
      </c>
      <c r="B6829" s="170" t="s">
        <v>9480</v>
      </c>
      <c r="C6829" s="170" t="s">
        <v>385</v>
      </c>
      <c r="D6829" s="170" t="s">
        <v>2067</v>
      </c>
      <c r="E6829" s="171" t="s">
        <v>34847</v>
      </c>
      <c r="F6829" s="171" t="s">
        <v>20991</v>
      </c>
      <c r="H6829" s="96">
        <f t="shared" si="434"/>
        <v>51.3</v>
      </c>
      <c r="I6829" s="96">
        <f t="shared" si="435"/>
        <v>52.47</v>
      </c>
      <c r="J6829" s="91" t="str">
        <f t="shared" si="436"/>
        <v>Sinapi 97016</v>
      </c>
      <c r="K6829" s="91" t="str">
        <f t="shared" si="437"/>
        <v>M</v>
      </c>
      <c r="L6829" s="166" t="str">
        <f t="shared" si="433"/>
        <v>11/2017</v>
      </c>
    </row>
    <row r="6830" spans="1:12" x14ac:dyDescent="0.25">
      <c r="A6830" s="170" t="s">
        <v>9481</v>
      </c>
      <c r="B6830" s="170" t="s">
        <v>9482</v>
      </c>
      <c r="C6830" s="170" t="s">
        <v>385</v>
      </c>
      <c r="D6830" s="170" t="s">
        <v>2067</v>
      </c>
      <c r="E6830" s="171" t="s">
        <v>19845</v>
      </c>
      <c r="F6830" s="171" t="s">
        <v>21590</v>
      </c>
      <c r="H6830" s="96">
        <f t="shared" si="434"/>
        <v>38.78</v>
      </c>
      <c r="I6830" s="96">
        <f t="shared" si="435"/>
        <v>39.950000000000003</v>
      </c>
      <c r="J6830" s="91" t="str">
        <f t="shared" si="436"/>
        <v>Sinapi 97017</v>
      </c>
      <c r="K6830" s="91" t="str">
        <f t="shared" si="437"/>
        <v>M</v>
      </c>
      <c r="L6830" s="166" t="str">
        <f t="shared" si="433"/>
        <v>11/2017</v>
      </c>
    </row>
    <row r="6831" spans="1:12" x14ac:dyDescent="0.25">
      <c r="A6831" s="170" t="s">
        <v>9483</v>
      </c>
      <c r="B6831" s="170" t="s">
        <v>9484</v>
      </c>
      <c r="C6831" s="170" t="s">
        <v>385</v>
      </c>
      <c r="D6831" s="170" t="s">
        <v>2067</v>
      </c>
      <c r="E6831" s="171" t="s">
        <v>29273</v>
      </c>
      <c r="F6831" s="171" t="s">
        <v>19964</v>
      </c>
      <c r="H6831" s="96">
        <f t="shared" si="434"/>
        <v>32.28</v>
      </c>
      <c r="I6831" s="96">
        <f t="shared" si="435"/>
        <v>33.450000000000003</v>
      </c>
      <c r="J6831" s="91" t="str">
        <f t="shared" si="436"/>
        <v>Sinapi 97018</v>
      </c>
      <c r="K6831" s="91" t="str">
        <f t="shared" si="437"/>
        <v>M</v>
      </c>
      <c r="L6831" s="166" t="str">
        <f t="shared" si="433"/>
        <v>11/2017</v>
      </c>
    </row>
    <row r="6832" spans="1:12" x14ac:dyDescent="0.25">
      <c r="A6832" s="170" t="s">
        <v>9485</v>
      </c>
      <c r="B6832" s="170" t="s">
        <v>9486</v>
      </c>
      <c r="C6832" s="170" t="s">
        <v>385</v>
      </c>
      <c r="D6832" s="170" t="s">
        <v>2067</v>
      </c>
      <c r="E6832" s="171" t="s">
        <v>34848</v>
      </c>
      <c r="F6832" s="171" t="s">
        <v>29247</v>
      </c>
      <c r="H6832" s="96">
        <f t="shared" si="434"/>
        <v>79.59</v>
      </c>
      <c r="I6832" s="96">
        <f t="shared" si="435"/>
        <v>81.52</v>
      </c>
      <c r="J6832" s="91" t="str">
        <f t="shared" si="436"/>
        <v>Sinapi 97031</v>
      </c>
      <c r="K6832" s="91" t="str">
        <f t="shared" si="437"/>
        <v>M</v>
      </c>
      <c r="L6832" s="166" t="str">
        <f t="shared" si="433"/>
        <v>11/2017</v>
      </c>
    </row>
    <row r="6833" spans="1:12" x14ac:dyDescent="0.25">
      <c r="A6833" s="170" t="s">
        <v>9487</v>
      </c>
      <c r="B6833" s="170" t="s">
        <v>9488</v>
      </c>
      <c r="C6833" s="170" t="s">
        <v>385</v>
      </c>
      <c r="D6833" s="170" t="s">
        <v>2067</v>
      </c>
      <c r="E6833" s="171" t="s">
        <v>34849</v>
      </c>
      <c r="F6833" s="171" t="s">
        <v>30146</v>
      </c>
      <c r="H6833" s="96">
        <f t="shared" si="434"/>
        <v>49.8</v>
      </c>
      <c r="I6833" s="96">
        <f t="shared" si="435"/>
        <v>51.73</v>
      </c>
      <c r="J6833" s="91" t="str">
        <f t="shared" si="436"/>
        <v>Sinapi 97032</v>
      </c>
      <c r="K6833" s="91" t="str">
        <f t="shared" si="437"/>
        <v>M</v>
      </c>
      <c r="L6833" s="166" t="str">
        <f t="shared" si="433"/>
        <v>11/2017</v>
      </c>
    </row>
    <row r="6834" spans="1:12" x14ac:dyDescent="0.25">
      <c r="A6834" s="170" t="s">
        <v>9489</v>
      </c>
      <c r="B6834" s="170" t="s">
        <v>9490</v>
      </c>
      <c r="C6834" s="170" t="s">
        <v>385</v>
      </c>
      <c r="D6834" s="170" t="s">
        <v>2067</v>
      </c>
      <c r="E6834" s="171" t="s">
        <v>34850</v>
      </c>
      <c r="F6834" s="171" t="s">
        <v>37930</v>
      </c>
      <c r="H6834" s="96">
        <f t="shared" si="434"/>
        <v>126.69</v>
      </c>
      <c r="I6834" s="96">
        <f t="shared" si="435"/>
        <v>128.53</v>
      </c>
      <c r="J6834" s="91" t="str">
        <f t="shared" si="436"/>
        <v>Sinapi 97033</v>
      </c>
      <c r="K6834" s="91" t="str">
        <f t="shared" si="437"/>
        <v>M</v>
      </c>
      <c r="L6834" s="166" t="str">
        <f t="shared" si="433"/>
        <v>11/2017</v>
      </c>
    </row>
    <row r="6835" spans="1:12" x14ac:dyDescent="0.25">
      <c r="A6835" s="170" t="s">
        <v>9491</v>
      </c>
      <c r="B6835" s="170" t="s">
        <v>9492</v>
      </c>
      <c r="C6835" s="170" t="s">
        <v>385</v>
      </c>
      <c r="D6835" s="170" t="s">
        <v>2067</v>
      </c>
      <c r="E6835" s="171" t="s">
        <v>33694</v>
      </c>
      <c r="F6835" s="171" t="s">
        <v>37931</v>
      </c>
      <c r="H6835" s="96">
        <f t="shared" si="434"/>
        <v>72.37</v>
      </c>
      <c r="I6835" s="96">
        <f t="shared" si="435"/>
        <v>74.209999999999994</v>
      </c>
      <c r="J6835" s="91" t="str">
        <f t="shared" si="436"/>
        <v>Sinapi 97034</v>
      </c>
      <c r="K6835" s="91" t="str">
        <f t="shared" si="437"/>
        <v>M</v>
      </c>
      <c r="L6835" s="166" t="str">
        <f t="shared" si="433"/>
        <v>11/2017</v>
      </c>
    </row>
    <row r="6836" spans="1:12" x14ac:dyDescent="0.25">
      <c r="A6836" s="170" t="s">
        <v>9493</v>
      </c>
      <c r="B6836" s="170" t="s">
        <v>9494</v>
      </c>
      <c r="C6836" s="170" t="s">
        <v>870</v>
      </c>
      <c r="D6836" s="170" t="s">
        <v>2067</v>
      </c>
      <c r="E6836" s="171" t="s">
        <v>34851</v>
      </c>
      <c r="F6836" s="171" t="s">
        <v>37932</v>
      </c>
      <c r="H6836" s="96">
        <f t="shared" si="434"/>
        <v>53.82</v>
      </c>
      <c r="I6836" s="96">
        <f t="shared" si="435"/>
        <v>55.59</v>
      </c>
      <c r="J6836" s="91" t="str">
        <f t="shared" si="436"/>
        <v>Sinapi 97039</v>
      </c>
      <c r="K6836" s="91" t="str">
        <f t="shared" si="437"/>
        <v>M2</v>
      </c>
      <c r="L6836" s="166" t="str">
        <f t="shared" si="433"/>
        <v>11/2017</v>
      </c>
    </row>
    <row r="6837" spans="1:12" x14ac:dyDescent="0.25">
      <c r="A6837" s="170" t="s">
        <v>9495</v>
      </c>
      <c r="B6837" s="170" t="s">
        <v>9496</v>
      </c>
      <c r="C6837" s="170" t="s">
        <v>870</v>
      </c>
      <c r="D6837" s="170" t="s">
        <v>2067</v>
      </c>
      <c r="E6837" s="171" t="s">
        <v>19915</v>
      </c>
      <c r="F6837" s="171" t="s">
        <v>15572</v>
      </c>
      <c r="H6837" s="96">
        <f t="shared" si="434"/>
        <v>14.17</v>
      </c>
      <c r="I6837" s="96">
        <f t="shared" si="435"/>
        <v>15.24</v>
      </c>
      <c r="J6837" s="91" t="str">
        <f t="shared" si="436"/>
        <v>Sinapi 97040</v>
      </c>
      <c r="K6837" s="91" t="str">
        <f t="shared" si="437"/>
        <v>M2</v>
      </c>
      <c r="L6837" s="166" t="str">
        <f t="shared" si="433"/>
        <v>11/2017</v>
      </c>
    </row>
    <row r="6838" spans="1:12" x14ac:dyDescent="0.25">
      <c r="A6838" s="170" t="s">
        <v>9497</v>
      </c>
      <c r="B6838" s="170" t="s">
        <v>9498</v>
      </c>
      <c r="C6838" s="170" t="s">
        <v>870</v>
      </c>
      <c r="D6838" s="170" t="s">
        <v>2067</v>
      </c>
      <c r="E6838" s="171" t="s">
        <v>34852</v>
      </c>
      <c r="F6838" s="171" t="s">
        <v>37933</v>
      </c>
      <c r="H6838" s="96">
        <f t="shared" si="434"/>
        <v>221.95</v>
      </c>
      <c r="I6838" s="96">
        <f t="shared" si="435"/>
        <v>224.84</v>
      </c>
      <c r="J6838" s="91" t="str">
        <f t="shared" si="436"/>
        <v>Sinapi 97041</v>
      </c>
      <c r="K6838" s="91" t="str">
        <f t="shared" si="437"/>
        <v>M2</v>
      </c>
      <c r="L6838" s="166" t="str">
        <f t="shared" si="433"/>
        <v>11/2017</v>
      </c>
    </row>
    <row r="6839" spans="1:12" x14ac:dyDescent="0.25">
      <c r="A6839" s="170" t="s">
        <v>9499</v>
      </c>
      <c r="B6839" s="170" t="s">
        <v>9500</v>
      </c>
      <c r="C6839" s="170" t="s">
        <v>870</v>
      </c>
      <c r="D6839" s="170" t="s">
        <v>1947</v>
      </c>
      <c r="E6839" s="171" t="s">
        <v>3430</v>
      </c>
      <c r="F6839" s="171" t="s">
        <v>10177</v>
      </c>
      <c r="H6839" s="96">
        <f t="shared" si="434"/>
        <v>0.37</v>
      </c>
      <c r="I6839" s="96">
        <f t="shared" si="435"/>
        <v>0.39</v>
      </c>
      <c r="J6839" s="91" t="str">
        <f t="shared" si="436"/>
        <v>Sinapi 97046</v>
      </c>
      <c r="K6839" s="91" t="str">
        <f t="shared" si="437"/>
        <v>M2</v>
      </c>
      <c r="L6839" s="166" t="str">
        <f t="shared" si="433"/>
        <v>11/2017</v>
      </c>
    </row>
    <row r="6840" spans="1:12" x14ac:dyDescent="0.25">
      <c r="A6840" s="170" t="s">
        <v>9501</v>
      </c>
      <c r="B6840" s="170" t="s">
        <v>9502</v>
      </c>
      <c r="C6840" s="170" t="s">
        <v>870</v>
      </c>
      <c r="D6840" s="170" t="s">
        <v>1947</v>
      </c>
      <c r="E6840" s="171" t="s">
        <v>3184</v>
      </c>
      <c r="F6840" s="171" t="s">
        <v>3184</v>
      </c>
      <c r="H6840" s="96">
        <f t="shared" si="434"/>
        <v>0.14000000000000001</v>
      </c>
      <c r="I6840" s="96">
        <f t="shared" si="435"/>
        <v>0.14000000000000001</v>
      </c>
      <c r="J6840" s="91" t="str">
        <f t="shared" si="436"/>
        <v>Sinapi 97047</v>
      </c>
      <c r="K6840" s="91" t="str">
        <f t="shared" si="437"/>
        <v>M2</v>
      </c>
      <c r="L6840" s="166" t="str">
        <f t="shared" si="433"/>
        <v>11/2017</v>
      </c>
    </row>
    <row r="6841" spans="1:12" x14ac:dyDescent="0.25">
      <c r="A6841" s="170" t="s">
        <v>9503</v>
      </c>
      <c r="B6841" s="170" t="s">
        <v>9504</v>
      </c>
      <c r="C6841" s="170" t="s">
        <v>870</v>
      </c>
      <c r="D6841" s="170" t="s">
        <v>1947</v>
      </c>
      <c r="E6841" s="171" t="s">
        <v>3648</v>
      </c>
      <c r="F6841" s="171" t="s">
        <v>3271</v>
      </c>
      <c r="H6841" s="96">
        <f t="shared" si="434"/>
        <v>0.1</v>
      </c>
      <c r="I6841" s="96">
        <f t="shared" si="435"/>
        <v>0.11</v>
      </c>
      <c r="J6841" s="91" t="str">
        <f t="shared" si="436"/>
        <v>Sinapi 97048</v>
      </c>
      <c r="K6841" s="91" t="str">
        <f t="shared" si="437"/>
        <v>M2</v>
      </c>
      <c r="L6841" s="166" t="str">
        <f t="shared" si="433"/>
        <v>11/2017</v>
      </c>
    </row>
    <row r="6842" spans="1:12" x14ac:dyDescent="0.25">
      <c r="A6842" s="170" t="s">
        <v>10574</v>
      </c>
      <c r="B6842" s="170" t="s">
        <v>10575</v>
      </c>
      <c r="C6842" s="170" t="s">
        <v>205</v>
      </c>
      <c r="D6842" s="170" t="s">
        <v>2067</v>
      </c>
      <c r="E6842" s="171" t="s">
        <v>21889</v>
      </c>
      <c r="F6842" s="171" t="s">
        <v>17134</v>
      </c>
      <c r="H6842" s="96">
        <f t="shared" si="434"/>
        <v>26.55</v>
      </c>
      <c r="I6842" s="96">
        <f t="shared" si="435"/>
        <v>27.77</v>
      </c>
      <c r="J6842" s="91" t="str">
        <f t="shared" si="436"/>
        <v>Sinapi 97054</v>
      </c>
      <c r="K6842" s="91" t="str">
        <f t="shared" si="437"/>
        <v>UN</v>
      </c>
      <c r="L6842" s="166" t="str">
        <f t="shared" si="433"/>
        <v>11/2017</v>
      </c>
    </row>
    <row r="6843" spans="1:12" x14ac:dyDescent="0.25">
      <c r="A6843" s="170" t="s">
        <v>9505</v>
      </c>
      <c r="B6843" s="170" t="s">
        <v>9506</v>
      </c>
      <c r="C6843" s="170" t="s">
        <v>870</v>
      </c>
      <c r="D6843" s="170" t="s">
        <v>2067</v>
      </c>
      <c r="E6843" s="171" t="s">
        <v>14635</v>
      </c>
      <c r="F6843" s="171" t="s">
        <v>23182</v>
      </c>
      <c r="H6843" s="96">
        <f t="shared" si="434"/>
        <v>6.81</v>
      </c>
      <c r="I6843" s="96">
        <f t="shared" si="435"/>
        <v>7.21</v>
      </c>
      <c r="J6843" s="91" t="str">
        <f t="shared" si="436"/>
        <v>Sinapi 97062</v>
      </c>
      <c r="K6843" s="91" t="str">
        <f t="shared" si="437"/>
        <v>M2</v>
      </c>
      <c r="L6843" s="166" t="str">
        <f t="shared" si="433"/>
        <v>11/2017</v>
      </c>
    </row>
    <row r="6844" spans="1:12" x14ac:dyDescent="0.25">
      <c r="A6844" s="170" t="s">
        <v>9507</v>
      </c>
      <c r="B6844" s="170" t="s">
        <v>9508</v>
      </c>
      <c r="C6844" s="170" t="s">
        <v>870</v>
      </c>
      <c r="D6844" s="170" t="s">
        <v>2067</v>
      </c>
      <c r="E6844" s="171" t="s">
        <v>15580</v>
      </c>
      <c r="F6844" s="171" t="s">
        <v>16345</v>
      </c>
      <c r="H6844" s="96">
        <f t="shared" si="434"/>
        <v>8.93</v>
      </c>
      <c r="I6844" s="96">
        <f t="shared" si="435"/>
        <v>9.9499999999999993</v>
      </c>
      <c r="J6844" s="91" t="str">
        <f t="shared" si="436"/>
        <v>Sinapi 97063</v>
      </c>
      <c r="K6844" s="91" t="str">
        <f t="shared" si="437"/>
        <v>M2</v>
      </c>
      <c r="L6844" s="166" t="str">
        <f t="shared" si="433"/>
        <v>11/2017</v>
      </c>
    </row>
    <row r="6845" spans="1:12" x14ac:dyDescent="0.25">
      <c r="A6845" s="170" t="s">
        <v>9509</v>
      </c>
      <c r="B6845" s="170" t="s">
        <v>9510</v>
      </c>
      <c r="C6845" s="170" t="s">
        <v>385</v>
      </c>
      <c r="D6845" s="170" t="s">
        <v>2067</v>
      </c>
      <c r="E6845" s="171" t="s">
        <v>6050</v>
      </c>
      <c r="F6845" s="171" t="s">
        <v>32100</v>
      </c>
      <c r="H6845" s="96">
        <f t="shared" si="434"/>
        <v>16.48</v>
      </c>
      <c r="I6845" s="96">
        <f t="shared" si="435"/>
        <v>18.34</v>
      </c>
      <c r="J6845" s="91" t="str">
        <f t="shared" si="436"/>
        <v>Sinapi 97064</v>
      </c>
      <c r="K6845" s="91" t="str">
        <f t="shared" si="437"/>
        <v>M</v>
      </c>
      <c r="L6845" s="166" t="str">
        <f t="shared" si="433"/>
        <v>11/2017</v>
      </c>
    </row>
    <row r="6846" spans="1:12" x14ac:dyDescent="0.25">
      <c r="A6846" s="170" t="s">
        <v>9511</v>
      </c>
      <c r="B6846" s="170" t="s">
        <v>9512</v>
      </c>
      <c r="C6846" s="170" t="s">
        <v>85</v>
      </c>
      <c r="D6846" s="170" t="s">
        <v>2067</v>
      </c>
      <c r="E6846" s="171" t="s">
        <v>5544</v>
      </c>
      <c r="F6846" s="171" t="s">
        <v>23319</v>
      </c>
      <c r="H6846" s="96">
        <f t="shared" si="434"/>
        <v>5.72</v>
      </c>
      <c r="I6846" s="96">
        <f t="shared" si="435"/>
        <v>6.35</v>
      </c>
      <c r="J6846" s="91" t="str">
        <f t="shared" si="436"/>
        <v>Sinapi 97065</v>
      </c>
      <c r="K6846" s="91" t="str">
        <f t="shared" si="437"/>
        <v>M3</v>
      </c>
      <c r="L6846" s="166" t="str">
        <f t="shared" si="433"/>
        <v>11/2017</v>
      </c>
    </row>
    <row r="6847" spans="1:12" x14ac:dyDescent="0.25">
      <c r="A6847" s="170" t="s">
        <v>9513</v>
      </c>
      <c r="B6847" s="170" t="s">
        <v>9514</v>
      </c>
      <c r="C6847" s="170" t="s">
        <v>870</v>
      </c>
      <c r="D6847" s="170" t="s">
        <v>2067</v>
      </c>
      <c r="E6847" s="171" t="s">
        <v>34853</v>
      </c>
      <c r="F6847" s="171" t="s">
        <v>37934</v>
      </c>
      <c r="H6847" s="96">
        <f t="shared" si="434"/>
        <v>142.15</v>
      </c>
      <c r="I6847" s="96">
        <f t="shared" si="435"/>
        <v>145.04</v>
      </c>
      <c r="J6847" s="91" t="str">
        <f t="shared" si="436"/>
        <v>Sinapi 97066</v>
      </c>
      <c r="K6847" s="91" t="str">
        <f t="shared" si="437"/>
        <v>M2</v>
      </c>
      <c r="L6847" s="166" t="str">
        <f t="shared" si="433"/>
        <v>11/2017</v>
      </c>
    </row>
    <row r="6848" spans="1:12" x14ac:dyDescent="0.25">
      <c r="A6848" s="170" t="s">
        <v>9515</v>
      </c>
      <c r="B6848" s="170" t="s">
        <v>9516</v>
      </c>
      <c r="C6848" s="170" t="s">
        <v>385</v>
      </c>
      <c r="D6848" s="170" t="s">
        <v>2067</v>
      </c>
      <c r="E6848" s="171" t="s">
        <v>34854</v>
      </c>
      <c r="F6848" s="171" t="s">
        <v>37935</v>
      </c>
      <c r="H6848" s="96">
        <f t="shared" si="434"/>
        <v>615.87</v>
      </c>
      <c r="I6848" s="96">
        <f t="shared" si="435"/>
        <v>644.62</v>
      </c>
      <c r="J6848" s="91" t="str">
        <f t="shared" si="436"/>
        <v>Sinapi 97067</v>
      </c>
      <c r="K6848" s="91" t="str">
        <f t="shared" si="437"/>
        <v>M</v>
      </c>
      <c r="L6848" s="166" t="str">
        <f t="shared" si="433"/>
        <v>11/2017</v>
      </c>
    </row>
    <row r="6849" spans="1:12" x14ac:dyDescent="0.25">
      <c r="A6849" s="170" t="s">
        <v>9518</v>
      </c>
      <c r="B6849" s="170" t="s">
        <v>9519</v>
      </c>
      <c r="C6849" s="170" t="s">
        <v>85</v>
      </c>
      <c r="D6849" s="170" t="s">
        <v>2710</v>
      </c>
      <c r="E6849" s="171" t="s">
        <v>34855</v>
      </c>
      <c r="F6849" s="171" t="s">
        <v>23216</v>
      </c>
      <c r="H6849" s="96">
        <f t="shared" si="434"/>
        <v>98.43</v>
      </c>
      <c r="I6849" s="96">
        <f t="shared" si="435"/>
        <v>108.8</v>
      </c>
      <c r="J6849" s="91" t="str">
        <f t="shared" si="436"/>
        <v>Sinapi 97621</v>
      </c>
      <c r="K6849" s="91" t="str">
        <f t="shared" si="437"/>
        <v>M3</v>
      </c>
      <c r="L6849" s="166" t="str">
        <f t="shared" si="433"/>
        <v>12/2017</v>
      </c>
    </row>
    <row r="6850" spans="1:12" x14ac:dyDescent="0.25">
      <c r="A6850" s="170" t="s">
        <v>9520</v>
      </c>
      <c r="B6850" s="170" t="s">
        <v>9521</v>
      </c>
      <c r="C6850" s="170" t="s">
        <v>85</v>
      </c>
      <c r="D6850" s="170" t="s">
        <v>2710</v>
      </c>
      <c r="E6850" s="171" t="s">
        <v>21202</v>
      </c>
      <c r="F6850" s="171" t="s">
        <v>37936</v>
      </c>
      <c r="H6850" s="96">
        <f t="shared" si="434"/>
        <v>47.97</v>
      </c>
      <c r="I6850" s="96">
        <f t="shared" si="435"/>
        <v>53.03</v>
      </c>
      <c r="J6850" s="91" t="str">
        <f t="shared" si="436"/>
        <v>Sinapi 97622</v>
      </c>
      <c r="K6850" s="91" t="str">
        <f t="shared" si="437"/>
        <v>M3</v>
      </c>
      <c r="L6850" s="166" t="str">
        <f t="shared" si="433"/>
        <v>12/2017</v>
      </c>
    </row>
    <row r="6851" spans="1:12" x14ac:dyDescent="0.25">
      <c r="A6851" s="170" t="s">
        <v>9522</v>
      </c>
      <c r="B6851" s="170" t="s">
        <v>9523</v>
      </c>
      <c r="C6851" s="170" t="s">
        <v>85</v>
      </c>
      <c r="D6851" s="170" t="s">
        <v>2710</v>
      </c>
      <c r="E6851" s="171" t="s">
        <v>34856</v>
      </c>
      <c r="F6851" s="171" t="s">
        <v>37937</v>
      </c>
      <c r="H6851" s="96">
        <f t="shared" si="434"/>
        <v>146.96</v>
      </c>
      <c r="I6851" s="96">
        <f t="shared" si="435"/>
        <v>162.44</v>
      </c>
      <c r="J6851" s="91" t="str">
        <f t="shared" si="436"/>
        <v>Sinapi 97623</v>
      </c>
      <c r="K6851" s="91" t="str">
        <f t="shared" si="437"/>
        <v>M3</v>
      </c>
      <c r="L6851" s="166" t="str">
        <f t="shared" si="433"/>
        <v>12/2017</v>
      </c>
    </row>
    <row r="6852" spans="1:12" x14ac:dyDescent="0.25">
      <c r="A6852" s="170" t="s">
        <v>9524</v>
      </c>
      <c r="B6852" s="170" t="s">
        <v>9525</v>
      </c>
      <c r="C6852" s="170" t="s">
        <v>85</v>
      </c>
      <c r="D6852" s="170" t="s">
        <v>2710</v>
      </c>
      <c r="E6852" s="171" t="s">
        <v>34857</v>
      </c>
      <c r="F6852" s="171" t="s">
        <v>37938</v>
      </c>
      <c r="H6852" s="96">
        <f t="shared" si="434"/>
        <v>90.2</v>
      </c>
      <c r="I6852" s="96">
        <f t="shared" si="435"/>
        <v>99.7</v>
      </c>
      <c r="J6852" s="91" t="str">
        <f t="shared" si="436"/>
        <v>Sinapi 97624</v>
      </c>
      <c r="K6852" s="91" t="str">
        <f t="shared" si="437"/>
        <v>M3</v>
      </c>
      <c r="L6852" s="166" t="str">
        <f t="shared" si="433"/>
        <v>12/2017</v>
      </c>
    </row>
    <row r="6853" spans="1:12" x14ac:dyDescent="0.25">
      <c r="A6853" s="170" t="s">
        <v>9526</v>
      </c>
      <c r="B6853" s="170" t="s">
        <v>9527</v>
      </c>
      <c r="C6853" s="170" t="s">
        <v>85</v>
      </c>
      <c r="D6853" s="170" t="s">
        <v>1947</v>
      </c>
      <c r="E6853" s="171" t="s">
        <v>34858</v>
      </c>
      <c r="F6853" s="171" t="s">
        <v>23158</v>
      </c>
      <c r="H6853" s="96">
        <f t="shared" si="434"/>
        <v>53.34</v>
      </c>
      <c r="I6853" s="96">
        <f t="shared" si="435"/>
        <v>54.48</v>
      </c>
      <c r="J6853" s="91" t="str">
        <f t="shared" si="436"/>
        <v>Sinapi 97625</v>
      </c>
      <c r="K6853" s="91" t="str">
        <f t="shared" si="437"/>
        <v>M3</v>
      </c>
      <c r="L6853" s="166" t="str">
        <f t="shared" si="433"/>
        <v>12/2017</v>
      </c>
    </row>
    <row r="6854" spans="1:12" x14ac:dyDescent="0.25">
      <c r="A6854" s="170" t="s">
        <v>9528</v>
      </c>
      <c r="B6854" s="170" t="s">
        <v>9529</v>
      </c>
      <c r="C6854" s="170" t="s">
        <v>85</v>
      </c>
      <c r="D6854" s="170" t="s">
        <v>2067</v>
      </c>
      <c r="E6854" s="171" t="s">
        <v>34859</v>
      </c>
      <c r="F6854" s="171" t="s">
        <v>37939</v>
      </c>
      <c r="H6854" s="96">
        <f t="shared" si="434"/>
        <v>519.62</v>
      </c>
      <c r="I6854" s="96">
        <f t="shared" si="435"/>
        <v>571.72</v>
      </c>
      <c r="J6854" s="91" t="str">
        <f t="shared" si="436"/>
        <v>Sinapi 97626</v>
      </c>
      <c r="K6854" s="91" t="str">
        <f t="shared" si="437"/>
        <v>M3</v>
      </c>
      <c r="L6854" s="166" t="str">
        <f t="shared" si="433"/>
        <v>12/2017</v>
      </c>
    </row>
    <row r="6855" spans="1:12" x14ac:dyDescent="0.25">
      <c r="A6855" s="170" t="s">
        <v>9530</v>
      </c>
      <c r="B6855" s="170" t="s">
        <v>9531</v>
      </c>
      <c r="C6855" s="170" t="s">
        <v>85</v>
      </c>
      <c r="D6855" s="170" t="s">
        <v>1947</v>
      </c>
      <c r="E6855" s="171" t="s">
        <v>34860</v>
      </c>
      <c r="F6855" s="171" t="s">
        <v>37940</v>
      </c>
      <c r="H6855" s="96">
        <f t="shared" si="434"/>
        <v>257.66000000000003</v>
      </c>
      <c r="I6855" s="96">
        <f t="shared" si="435"/>
        <v>281.92</v>
      </c>
      <c r="J6855" s="91" t="str">
        <f t="shared" si="436"/>
        <v>Sinapi 97627</v>
      </c>
      <c r="K6855" s="91" t="str">
        <f t="shared" si="437"/>
        <v>M3</v>
      </c>
      <c r="L6855" s="166" t="str">
        <f t="shared" si="433"/>
        <v>12/2017</v>
      </c>
    </row>
    <row r="6856" spans="1:12" x14ac:dyDescent="0.25">
      <c r="A6856" s="170" t="s">
        <v>9532</v>
      </c>
      <c r="B6856" s="170" t="s">
        <v>9533</v>
      </c>
      <c r="C6856" s="170" t="s">
        <v>85</v>
      </c>
      <c r="D6856" s="170" t="s">
        <v>2710</v>
      </c>
      <c r="E6856" s="171" t="s">
        <v>34861</v>
      </c>
      <c r="F6856" s="171" t="s">
        <v>37941</v>
      </c>
      <c r="H6856" s="96">
        <f t="shared" si="434"/>
        <v>237.1</v>
      </c>
      <c r="I6856" s="96">
        <f t="shared" si="435"/>
        <v>262.07</v>
      </c>
      <c r="J6856" s="91" t="str">
        <f t="shared" si="436"/>
        <v>Sinapi 97628</v>
      </c>
      <c r="K6856" s="91" t="str">
        <f t="shared" si="437"/>
        <v>M3</v>
      </c>
      <c r="L6856" s="166" t="str">
        <f t="shared" ref="L6856:L6919" si="438">IF(OR(RIGHT(IF(AND(K6856&lt;&gt;"H",K6856&lt;&gt;"MES"),RIGHT(B6856,7),""),2)="PS",RIGHT(IF(AND(K6856&lt;&gt;"H",K6856&lt;&gt;"MES"),RIGHT(B6856,7),""),2)="PA",RIGHT(IF(AND(K6856&lt;&gt;"H",K6856&lt;&gt;"MES"),RIGHT(B6856,7),""),2)="PE"),LEFT(IF(AND(K6856&lt;&gt;"H",K6856&lt;&gt;"MES"),RIGHT(B6856,10),""),7),IF(AND(K6856&lt;&gt;"H",K6856&lt;&gt;"MES"),RIGHT(B6856,7),""))</f>
        <v>12/2017</v>
      </c>
    </row>
    <row r="6857" spans="1:12" x14ac:dyDescent="0.25">
      <c r="A6857" s="170" t="s">
        <v>9534</v>
      </c>
      <c r="B6857" s="170" t="s">
        <v>9535</v>
      </c>
      <c r="C6857" s="170" t="s">
        <v>85</v>
      </c>
      <c r="D6857" s="170" t="s">
        <v>1947</v>
      </c>
      <c r="E6857" s="171" t="s">
        <v>34862</v>
      </c>
      <c r="F6857" s="171" t="s">
        <v>37942</v>
      </c>
      <c r="H6857" s="96">
        <f t="shared" si="434"/>
        <v>111.54</v>
      </c>
      <c r="I6857" s="96">
        <f t="shared" si="435"/>
        <v>123.17</v>
      </c>
      <c r="J6857" s="91" t="str">
        <f t="shared" si="436"/>
        <v>Sinapi 97629</v>
      </c>
      <c r="K6857" s="91" t="str">
        <f t="shared" si="437"/>
        <v>M3</v>
      </c>
      <c r="L6857" s="166" t="str">
        <f t="shared" si="438"/>
        <v>12/2017</v>
      </c>
    </row>
    <row r="6858" spans="1:12" x14ac:dyDescent="0.25">
      <c r="A6858" s="170" t="s">
        <v>9536</v>
      </c>
      <c r="B6858" s="170" t="s">
        <v>9537</v>
      </c>
      <c r="C6858" s="170" t="s">
        <v>870</v>
      </c>
      <c r="D6858" s="170" t="s">
        <v>2710</v>
      </c>
      <c r="E6858" s="171" t="s">
        <v>10386</v>
      </c>
      <c r="F6858" s="171" t="s">
        <v>3481</v>
      </c>
      <c r="H6858" s="96">
        <f t="shared" si="434"/>
        <v>2.82</v>
      </c>
      <c r="I6858" s="96">
        <f t="shared" si="435"/>
        <v>3.12</v>
      </c>
      <c r="J6858" s="91" t="str">
        <f t="shared" si="436"/>
        <v>Sinapi 97631</v>
      </c>
      <c r="K6858" s="91" t="str">
        <f t="shared" si="437"/>
        <v>M2</v>
      </c>
      <c r="L6858" s="166" t="str">
        <f t="shared" si="438"/>
        <v>12/2017</v>
      </c>
    </row>
    <row r="6859" spans="1:12" x14ac:dyDescent="0.25">
      <c r="A6859" s="170" t="s">
        <v>9538</v>
      </c>
      <c r="B6859" s="170" t="s">
        <v>9539</v>
      </c>
      <c r="C6859" s="170" t="s">
        <v>385</v>
      </c>
      <c r="D6859" s="170" t="s">
        <v>2067</v>
      </c>
      <c r="E6859" s="171" t="s">
        <v>10264</v>
      </c>
      <c r="F6859" s="171" t="s">
        <v>15673</v>
      </c>
      <c r="H6859" s="96">
        <f t="shared" si="434"/>
        <v>2.2000000000000002</v>
      </c>
      <c r="I6859" s="96">
        <f t="shared" si="435"/>
        <v>2.44</v>
      </c>
      <c r="J6859" s="91" t="str">
        <f t="shared" si="436"/>
        <v>Sinapi 97632</v>
      </c>
      <c r="K6859" s="91" t="str">
        <f t="shared" si="437"/>
        <v>M</v>
      </c>
      <c r="L6859" s="166" t="str">
        <f t="shared" si="438"/>
        <v>12/2017</v>
      </c>
    </row>
    <row r="6860" spans="1:12" x14ac:dyDescent="0.25">
      <c r="A6860" s="170" t="s">
        <v>9540</v>
      </c>
      <c r="B6860" s="170" t="s">
        <v>9541</v>
      </c>
      <c r="C6860" s="170" t="s">
        <v>870</v>
      </c>
      <c r="D6860" s="170" t="s">
        <v>2067</v>
      </c>
      <c r="E6860" s="171" t="s">
        <v>14778</v>
      </c>
      <c r="F6860" s="171" t="s">
        <v>21092</v>
      </c>
      <c r="H6860" s="96">
        <f t="shared" si="434"/>
        <v>19.29</v>
      </c>
      <c r="I6860" s="96">
        <f t="shared" si="435"/>
        <v>21.38</v>
      </c>
      <c r="J6860" s="91" t="str">
        <f t="shared" si="436"/>
        <v>Sinapi 97633</v>
      </c>
      <c r="K6860" s="91" t="str">
        <f t="shared" si="437"/>
        <v>M2</v>
      </c>
      <c r="L6860" s="166" t="str">
        <f t="shared" si="438"/>
        <v>12/2017</v>
      </c>
    </row>
    <row r="6861" spans="1:12" x14ac:dyDescent="0.25">
      <c r="A6861" s="170" t="s">
        <v>9542</v>
      </c>
      <c r="B6861" s="170" t="s">
        <v>9543</v>
      </c>
      <c r="C6861" s="170" t="s">
        <v>870</v>
      </c>
      <c r="D6861" s="170" t="s">
        <v>1947</v>
      </c>
      <c r="E6861" s="171" t="s">
        <v>19399</v>
      </c>
      <c r="F6861" s="171" t="s">
        <v>7328</v>
      </c>
      <c r="H6861" s="96">
        <f t="shared" si="434"/>
        <v>10.66</v>
      </c>
      <c r="I6861" s="96">
        <f t="shared" si="435"/>
        <v>11.82</v>
      </c>
      <c r="J6861" s="91" t="str">
        <f t="shared" si="436"/>
        <v>Sinapi 97634</v>
      </c>
      <c r="K6861" s="91" t="str">
        <f t="shared" si="437"/>
        <v>M2</v>
      </c>
      <c r="L6861" s="166" t="str">
        <f t="shared" si="438"/>
        <v>12/2017</v>
      </c>
    </row>
    <row r="6862" spans="1:12" x14ac:dyDescent="0.25">
      <c r="A6862" s="170" t="s">
        <v>9544</v>
      </c>
      <c r="B6862" s="170" t="s">
        <v>9545</v>
      </c>
      <c r="C6862" s="170" t="s">
        <v>870</v>
      </c>
      <c r="D6862" s="170" t="s">
        <v>2067</v>
      </c>
      <c r="E6862" s="171" t="s">
        <v>29582</v>
      </c>
      <c r="F6862" s="171" t="s">
        <v>30894</v>
      </c>
      <c r="H6862" s="96">
        <f t="shared" si="434"/>
        <v>13.15</v>
      </c>
      <c r="I6862" s="96">
        <f t="shared" si="435"/>
        <v>14.61</v>
      </c>
      <c r="J6862" s="91" t="str">
        <f t="shared" si="436"/>
        <v>Sinapi 97635</v>
      </c>
      <c r="K6862" s="91" t="str">
        <f t="shared" si="437"/>
        <v>M2</v>
      </c>
      <c r="L6862" s="166" t="str">
        <f t="shared" si="438"/>
        <v>12/2017</v>
      </c>
    </row>
    <row r="6863" spans="1:12" x14ac:dyDescent="0.25">
      <c r="A6863" s="170" t="s">
        <v>9546</v>
      </c>
      <c r="B6863" s="170" t="s">
        <v>9547</v>
      </c>
      <c r="C6863" s="170" t="s">
        <v>870</v>
      </c>
      <c r="D6863" s="170" t="s">
        <v>1947</v>
      </c>
      <c r="E6863" s="171" t="s">
        <v>22761</v>
      </c>
      <c r="F6863" s="171" t="s">
        <v>23088</v>
      </c>
      <c r="H6863" s="96">
        <f t="shared" si="434"/>
        <v>17.829999999999998</v>
      </c>
      <c r="I6863" s="96">
        <f t="shared" si="435"/>
        <v>18.559999999999999</v>
      </c>
      <c r="J6863" s="91" t="str">
        <f t="shared" si="436"/>
        <v>Sinapi 97636</v>
      </c>
      <c r="K6863" s="91" t="str">
        <f t="shared" si="437"/>
        <v>M2</v>
      </c>
      <c r="L6863" s="166" t="str">
        <f t="shared" si="438"/>
        <v>12/2017</v>
      </c>
    </row>
    <row r="6864" spans="1:12" x14ac:dyDescent="0.25">
      <c r="A6864" s="170" t="s">
        <v>9548</v>
      </c>
      <c r="B6864" s="170" t="s">
        <v>9549</v>
      </c>
      <c r="C6864" s="170" t="s">
        <v>870</v>
      </c>
      <c r="D6864" s="170" t="s">
        <v>2067</v>
      </c>
      <c r="E6864" s="171" t="s">
        <v>34863</v>
      </c>
      <c r="F6864" s="171" t="s">
        <v>13847</v>
      </c>
      <c r="H6864" s="96">
        <f t="shared" si="434"/>
        <v>2.2799999999999998</v>
      </c>
      <c r="I6864" s="96">
        <f t="shared" si="435"/>
        <v>2.5299999999999998</v>
      </c>
      <c r="J6864" s="91" t="str">
        <f t="shared" si="436"/>
        <v>Sinapi 97637</v>
      </c>
      <c r="K6864" s="91" t="str">
        <f t="shared" si="437"/>
        <v>M2</v>
      </c>
      <c r="L6864" s="166" t="str">
        <f t="shared" si="438"/>
        <v>12/2017</v>
      </c>
    </row>
    <row r="6865" spans="1:12" x14ac:dyDescent="0.25">
      <c r="A6865" s="170" t="s">
        <v>9551</v>
      </c>
      <c r="B6865" s="170" t="s">
        <v>9552</v>
      </c>
      <c r="C6865" s="170" t="s">
        <v>870</v>
      </c>
      <c r="D6865" s="170" t="s">
        <v>2067</v>
      </c>
      <c r="E6865" s="171" t="s">
        <v>5242</v>
      </c>
      <c r="F6865" s="171" t="s">
        <v>17946</v>
      </c>
      <c r="H6865" s="96">
        <f t="shared" si="434"/>
        <v>6.67</v>
      </c>
      <c r="I6865" s="96">
        <f t="shared" si="435"/>
        <v>7.39</v>
      </c>
      <c r="J6865" s="91" t="str">
        <f t="shared" si="436"/>
        <v>Sinapi 97638</v>
      </c>
      <c r="K6865" s="91" t="str">
        <f t="shared" si="437"/>
        <v>M2</v>
      </c>
      <c r="L6865" s="166" t="str">
        <f t="shared" si="438"/>
        <v>12/2017</v>
      </c>
    </row>
    <row r="6866" spans="1:12" x14ac:dyDescent="0.25">
      <c r="A6866" s="170" t="s">
        <v>9553</v>
      </c>
      <c r="B6866" s="170" t="s">
        <v>9554</v>
      </c>
      <c r="C6866" s="170" t="s">
        <v>870</v>
      </c>
      <c r="D6866" s="170" t="s">
        <v>2710</v>
      </c>
      <c r="E6866" s="171" t="s">
        <v>21161</v>
      </c>
      <c r="F6866" s="171" t="s">
        <v>16374</v>
      </c>
      <c r="H6866" s="96">
        <f t="shared" si="434"/>
        <v>17.09</v>
      </c>
      <c r="I6866" s="96">
        <f t="shared" si="435"/>
        <v>18.95</v>
      </c>
      <c r="J6866" s="91" t="str">
        <f t="shared" si="436"/>
        <v>Sinapi 97639</v>
      </c>
      <c r="K6866" s="91" t="str">
        <f t="shared" si="437"/>
        <v>M2</v>
      </c>
      <c r="L6866" s="166" t="str">
        <f t="shared" si="438"/>
        <v>12/2017</v>
      </c>
    </row>
    <row r="6867" spans="1:12" x14ac:dyDescent="0.25">
      <c r="A6867" s="170" t="s">
        <v>9555</v>
      </c>
      <c r="B6867" s="170" t="s">
        <v>9556</v>
      </c>
      <c r="C6867" s="170" t="s">
        <v>870</v>
      </c>
      <c r="D6867" s="170" t="s">
        <v>2067</v>
      </c>
      <c r="E6867" s="171" t="s">
        <v>9572</v>
      </c>
      <c r="F6867" s="171" t="s">
        <v>9446</v>
      </c>
      <c r="H6867" s="96">
        <f t="shared" si="434"/>
        <v>1.44</v>
      </c>
      <c r="I6867" s="96">
        <f t="shared" si="435"/>
        <v>1.6</v>
      </c>
      <c r="J6867" s="91" t="str">
        <f t="shared" si="436"/>
        <v>Sinapi 97640</v>
      </c>
      <c r="K6867" s="91" t="str">
        <f t="shared" si="437"/>
        <v>M2</v>
      </c>
      <c r="L6867" s="166" t="str">
        <f t="shared" si="438"/>
        <v>12/2017</v>
      </c>
    </row>
    <row r="6868" spans="1:12" x14ac:dyDescent="0.25">
      <c r="A6868" s="170" t="s">
        <v>9558</v>
      </c>
      <c r="B6868" s="170" t="s">
        <v>9559</v>
      </c>
      <c r="C6868" s="170" t="s">
        <v>870</v>
      </c>
      <c r="D6868" s="170" t="s">
        <v>2067</v>
      </c>
      <c r="E6868" s="171" t="s">
        <v>20126</v>
      </c>
      <c r="F6868" s="171" t="s">
        <v>21483</v>
      </c>
      <c r="H6868" s="96">
        <f t="shared" si="434"/>
        <v>4.2300000000000004</v>
      </c>
      <c r="I6868" s="96">
        <f t="shared" si="435"/>
        <v>4.7</v>
      </c>
      <c r="J6868" s="91" t="str">
        <f t="shared" si="436"/>
        <v>Sinapi 97641</v>
      </c>
      <c r="K6868" s="91" t="str">
        <f t="shared" si="437"/>
        <v>M2</v>
      </c>
      <c r="L6868" s="166" t="str">
        <f t="shared" si="438"/>
        <v>12/2017</v>
      </c>
    </row>
    <row r="6869" spans="1:12" x14ac:dyDescent="0.25">
      <c r="A6869" s="170" t="s">
        <v>9560</v>
      </c>
      <c r="B6869" s="170" t="s">
        <v>9561</v>
      </c>
      <c r="C6869" s="170" t="s">
        <v>870</v>
      </c>
      <c r="D6869" s="170" t="s">
        <v>2067</v>
      </c>
      <c r="E6869" s="171" t="s">
        <v>10392</v>
      </c>
      <c r="F6869" s="171" t="s">
        <v>19270</v>
      </c>
      <c r="H6869" s="96">
        <f t="shared" si="434"/>
        <v>2.58</v>
      </c>
      <c r="I6869" s="96">
        <f t="shared" si="435"/>
        <v>2.86</v>
      </c>
      <c r="J6869" s="91" t="str">
        <f t="shared" si="436"/>
        <v>Sinapi 97642</v>
      </c>
      <c r="K6869" s="91" t="str">
        <f t="shared" si="437"/>
        <v>M2</v>
      </c>
      <c r="L6869" s="166" t="str">
        <f t="shared" si="438"/>
        <v>12/2017</v>
      </c>
    </row>
    <row r="6870" spans="1:12" x14ac:dyDescent="0.25">
      <c r="A6870" s="170" t="s">
        <v>9562</v>
      </c>
      <c r="B6870" s="170" t="s">
        <v>9563</v>
      </c>
      <c r="C6870" s="170" t="s">
        <v>870</v>
      </c>
      <c r="D6870" s="170" t="s">
        <v>2710</v>
      </c>
      <c r="E6870" s="171" t="s">
        <v>21647</v>
      </c>
      <c r="F6870" s="171" t="s">
        <v>20486</v>
      </c>
      <c r="H6870" s="96">
        <f t="shared" si="434"/>
        <v>20.92</v>
      </c>
      <c r="I6870" s="96">
        <f t="shared" si="435"/>
        <v>23.21</v>
      </c>
      <c r="J6870" s="91" t="str">
        <f t="shared" si="436"/>
        <v>Sinapi 97643</v>
      </c>
      <c r="K6870" s="91" t="str">
        <f t="shared" si="437"/>
        <v>M2</v>
      </c>
      <c r="L6870" s="166" t="str">
        <f t="shared" si="438"/>
        <v>12/2017</v>
      </c>
    </row>
    <row r="6871" spans="1:12" x14ac:dyDescent="0.25">
      <c r="A6871" s="170" t="s">
        <v>9564</v>
      </c>
      <c r="B6871" s="170" t="s">
        <v>9565</v>
      </c>
      <c r="C6871" s="170" t="s">
        <v>870</v>
      </c>
      <c r="D6871" s="170" t="s">
        <v>2710</v>
      </c>
      <c r="E6871" s="171" t="s">
        <v>17389</v>
      </c>
      <c r="F6871" s="171" t="s">
        <v>14785</v>
      </c>
      <c r="H6871" s="96">
        <f t="shared" si="434"/>
        <v>7.89</v>
      </c>
      <c r="I6871" s="96">
        <f t="shared" si="435"/>
        <v>8.76</v>
      </c>
      <c r="J6871" s="91" t="str">
        <f t="shared" si="436"/>
        <v>Sinapi 97644</v>
      </c>
      <c r="K6871" s="91" t="str">
        <f t="shared" si="437"/>
        <v>M2</v>
      </c>
      <c r="L6871" s="166" t="str">
        <f t="shared" si="438"/>
        <v>12/2017</v>
      </c>
    </row>
    <row r="6872" spans="1:12" x14ac:dyDescent="0.25">
      <c r="A6872" s="170" t="s">
        <v>9566</v>
      </c>
      <c r="B6872" s="170" t="s">
        <v>9567</v>
      </c>
      <c r="C6872" s="170" t="s">
        <v>870</v>
      </c>
      <c r="D6872" s="170" t="s">
        <v>2067</v>
      </c>
      <c r="E6872" s="171" t="s">
        <v>25713</v>
      </c>
      <c r="F6872" s="171" t="s">
        <v>21859</v>
      </c>
      <c r="H6872" s="96">
        <f t="shared" si="434"/>
        <v>30.54</v>
      </c>
      <c r="I6872" s="96">
        <f t="shared" si="435"/>
        <v>32.93</v>
      </c>
      <c r="J6872" s="91" t="str">
        <f t="shared" si="436"/>
        <v>Sinapi 97645</v>
      </c>
      <c r="K6872" s="91" t="str">
        <f t="shared" si="437"/>
        <v>M2</v>
      </c>
      <c r="L6872" s="166" t="str">
        <f t="shared" si="438"/>
        <v>12/2017</v>
      </c>
    </row>
    <row r="6873" spans="1:12" x14ac:dyDescent="0.25">
      <c r="A6873" s="170" t="s">
        <v>9568</v>
      </c>
      <c r="B6873" s="170" t="s">
        <v>9569</v>
      </c>
      <c r="C6873" s="170" t="s">
        <v>870</v>
      </c>
      <c r="D6873" s="170" t="s">
        <v>2067</v>
      </c>
      <c r="E6873" s="171" t="s">
        <v>20983</v>
      </c>
      <c r="F6873" s="171" t="s">
        <v>15791</v>
      </c>
      <c r="H6873" s="96">
        <f t="shared" si="434"/>
        <v>2.93</v>
      </c>
      <c r="I6873" s="96">
        <f t="shared" si="435"/>
        <v>3.26</v>
      </c>
      <c r="J6873" s="91" t="str">
        <f t="shared" si="436"/>
        <v>Sinapi 97647</v>
      </c>
      <c r="K6873" s="91" t="str">
        <f t="shared" si="437"/>
        <v>M2</v>
      </c>
      <c r="L6873" s="166" t="str">
        <f t="shared" si="438"/>
        <v>12/2017</v>
      </c>
    </row>
    <row r="6874" spans="1:12" x14ac:dyDescent="0.25">
      <c r="A6874" s="170" t="s">
        <v>9570</v>
      </c>
      <c r="B6874" s="170" t="s">
        <v>9571</v>
      </c>
      <c r="C6874" s="170" t="s">
        <v>870</v>
      </c>
      <c r="D6874" s="170" t="s">
        <v>2067</v>
      </c>
      <c r="E6874" s="171" t="s">
        <v>14624</v>
      </c>
      <c r="F6874" s="171" t="s">
        <v>17372</v>
      </c>
      <c r="H6874" s="96">
        <f t="shared" si="434"/>
        <v>1.69</v>
      </c>
      <c r="I6874" s="96">
        <f t="shared" si="435"/>
        <v>1.87</v>
      </c>
      <c r="J6874" s="91" t="str">
        <f t="shared" si="436"/>
        <v>Sinapi 97648</v>
      </c>
      <c r="K6874" s="91" t="str">
        <f t="shared" si="437"/>
        <v>M2</v>
      </c>
      <c r="L6874" s="166" t="str">
        <f t="shared" si="438"/>
        <v>12/2017</v>
      </c>
    </row>
    <row r="6875" spans="1:12" x14ac:dyDescent="0.25">
      <c r="A6875" s="170" t="s">
        <v>9574</v>
      </c>
      <c r="B6875" s="170" t="s">
        <v>9575</v>
      </c>
      <c r="C6875" s="170" t="s">
        <v>870</v>
      </c>
      <c r="D6875" s="170" t="s">
        <v>1947</v>
      </c>
      <c r="E6875" s="171" t="s">
        <v>20987</v>
      </c>
      <c r="F6875" s="171" t="s">
        <v>20050</v>
      </c>
      <c r="H6875" s="96">
        <f t="shared" si="434"/>
        <v>3.81</v>
      </c>
      <c r="I6875" s="96">
        <f t="shared" si="435"/>
        <v>4.17</v>
      </c>
      <c r="J6875" s="91" t="str">
        <f t="shared" si="436"/>
        <v>Sinapi 97649</v>
      </c>
      <c r="K6875" s="91" t="str">
        <f t="shared" si="437"/>
        <v>M2</v>
      </c>
      <c r="L6875" s="166" t="str">
        <f t="shared" si="438"/>
        <v>12/2017</v>
      </c>
    </row>
    <row r="6876" spans="1:12" x14ac:dyDescent="0.25">
      <c r="A6876" s="170" t="s">
        <v>9576</v>
      </c>
      <c r="B6876" s="170" t="s">
        <v>9577</v>
      </c>
      <c r="C6876" s="170" t="s">
        <v>870</v>
      </c>
      <c r="D6876" s="170" t="s">
        <v>2067</v>
      </c>
      <c r="E6876" s="171" t="s">
        <v>17713</v>
      </c>
      <c r="F6876" s="171" t="s">
        <v>5213</v>
      </c>
      <c r="H6876" s="96">
        <f t="shared" si="434"/>
        <v>6.31</v>
      </c>
      <c r="I6876" s="96">
        <f t="shared" si="435"/>
        <v>7.01</v>
      </c>
      <c r="J6876" s="91" t="str">
        <f t="shared" si="436"/>
        <v>Sinapi 97650</v>
      </c>
      <c r="K6876" s="91" t="str">
        <f t="shared" si="437"/>
        <v>M2</v>
      </c>
      <c r="L6876" s="166" t="str">
        <f t="shared" si="438"/>
        <v>12/2017</v>
      </c>
    </row>
    <row r="6877" spans="1:12" x14ac:dyDescent="0.25">
      <c r="A6877" s="170" t="s">
        <v>9578</v>
      </c>
      <c r="B6877" s="170" t="s">
        <v>9579</v>
      </c>
      <c r="C6877" s="170" t="s">
        <v>205</v>
      </c>
      <c r="D6877" s="170" t="s">
        <v>2067</v>
      </c>
      <c r="E6877" s="171" t="s">
        <v>34864</v>
      </c>
      <c r="F6877" s="171" t="s">
        <v>37943</v>
      </c>
      <c r="H6877" s="96">
        <f t="shared" si="434"/>
        <v>69.930000000000007</v>
      </c>
      <c r="I6877" s="96">
        <f t="shared" si="435"/>
        <v>77.56</v>
      </c>
      <c r="J6877" s="91" t="str">
        <f t="shared" si="436"/>
        <v>Sinapi 97651</v>
      </c>
      <c r="K6877" s="91" t="str">
        <f t="shared" si="437"/>
        <v>UN</v>
      </c>
      <c r="L6877" s="166" t="str">
        <f t="shared" si="438"/>
        <v>12/2017</v>
      </c>
    </row>
    <row r="6878" spans="1:12" x14ac:dyDescent="0.25">
      <c r="A6878" s="170" t="s">
        <v>9580</v>
      </c>
      <c r="B6878" s="170" t="s">
        <v>9581</v>
      </c>
      <c r="C6878" s="170" t="s">
        <v>205</v>
      </c>
      <c r="D6878" s="170" t="s">
        <v>2067</v>
      </c>
      <c r="E6878" s="171" t="s">
        <v>34865</v>
      </c>
      <c r="F6878" s="171" t="s">
        <v>37944</v>
      </c>
      <c r="H6878" s="96">
        <f t="shared" si="434"/>
        <v>158.55000000000001</v>
      </c>
      <c r="I6878" s="96">
        <f t="shared" si="435"/>
        <v>175.84</v>
      </c>
      <c r="J6878" s="91" t="str">
        <f t="shared" si="436"/>
        <v>Sinapi 97652</v>
      </c>
      <c r="K6878" s="91" t="str">
        <f t="shared" si="437"/>
        <v>UN</v>
      </c>
      <c r="L6878" s="166" t="str">
        <f t="shared" si="438"/>
        <v>12/2017</v>
      </c>
    </row>
    <row r="6879" spans="1:12" x14ac:dyDescent="0.25">
      <c r="A6879" s="170" t="s">
        <v>9582</v>
      </c>
      <c r="B6879" s="170" t="s">
        <v>9583</v>
      </c>
      <c r="C6879" s="170" t="s">
        <v>205</v>
      </c>
      <c r="D6879" s="170" t="s">
        <v>1947</v>
      </c>
      <c r="E6879" s="171" t="s">
        <v>34866</v>
      </c>
      <c r="F6879" s="171" t="s">
        <v>29297</v>
      </c>
      <c r="H6879" s="96">
        <f t="shared" si="434"/>
        <v>127.11</v>
      </c>
      <c r="I6879" s="96">
        <f t="shared" si="435"/>
        <v>130.97999999999999</v>
      </c>
      <c r="J6879" s="91" t="str">
        <f t="shared" si="436"/>
        <v>Sinapi 97653</v>
      </c>
      <c r="K6879" s="91" t="str">
        <f t="shared" si="437"/>
        <v>UN</v>
      </c>
      <c r="L6879" s="166" t="str">
        <f t="shared" si="438"/>
        <v>12/2017</v>
      </c>
    </row>
    <row r="6880" spans="1:12" x14ac:dyDescent="0.25">
      <c r="A6880" s="170" t="s">
        <v>9584</v>
      </c>
      <c r="B6880" s="170" t="s">
        <v>9585</v>
      </c>
      <c r="C6880" s="170" t="s">
        <v>205</v>
      </c>
      <c r="D6880" s="170" t="s">
        <v>1947</v>
      </c>
      <c r="E6880" s="171" t="s">
        <v>34867</v>
      </c>
      <c r="F6880" s="171" t="s">
        <v>37945</v>
      </c>
      <c r="H6880" s="96">
        <f t="shared" si="434"/>
        <v>151.38</v>
      </c>
      <c r="I6880" s="96">
        <f t="shared" si="435"/>
        <v>157.88999999999999</v>
      </c>
      <c r="J6880" s="91" t="str">
        <f t="shared" si="436"/>
        <v>Sinapi 97654</v>
      </c>
      <c r="K6880" s="91" t="str">
        <f t="shared" si="437"/>
        <v>UN</v>
      </c>
      <c r="L6880" s="166" t="str">
        <f t="shared" si="438"/>
        <v>12/2017</v>
      </c>
    </row>
    <row r="6881" spans="1:12" x14ac:dyDescent="0.25">
      <c r="A6881" s="170" t="s">
        <v>9586</v>
      </c>
      <c r="B6881" s="170" t="s">
        <v>9587</v>
      </c>
      <c r="C6881" s="170" t="s">
        <v>870</v>
      </c>
      <c r="D6881" s="170" t="s">
        <v>1947</v>
      </c>
      <c r="E6881" s="171" t="s">
        <v>21166</v>
      </c>
      <c r="F6881" s="171" t="s">
        <v>29343</v>
      </c>
      <c r="H6881" s="96">
        <f t="shared" si="434"/>
        <v>29.45</v>
      </c>
      <c r="I6881" s="96">
        <f t="shared" si="435"/>
        <v>31</v>
      </c>
      <c r="J6881" s="91" t="str">
        <f t="shared" si="436"/>
        <v>Sinapi 97655</v>
      </c>
      <c r="K6881" s="91" t="str">
        <f t="shared" si="437"/>
        <v>M2</v>
      </c>
      <c r="L6881" s="166" t="str">
        <f t="shared" si="438"/>
        <v>12/2017</v>
      </c>
    </row>
    <row r="6882" spans="1:12" x14ac:dyDescent="0.25">
      <c r="A6882" s="170" t="s">
        <v>9588</v>
      </c>
      <c r="B6882" s="170" t="s">
        <v>9589</v>
      </c>
      <c r="C6882" s="170" t="s">
        <v>205</v>
      </c>
      <c r="D6882" s="170" t="s">
        <v>1947</v>
      </c>
      <c r="E6882" s="171" t="s">
        <v>34868</v>
      </c>
      <c r="F6882" s="171" t="s">
        <v>37946</v>
      </c>
      <c r="H6882" s="96">
        <f t="shared" si="434"/>
        <v>270.75</v>
      </c>
      <c r="I6882" s="96">
        <f t="shared" si="435"/>
        <v>287.24</v>
      </c>
      <c r="J6882" s="91" t="str">
        <f t="shared" si="436"/>
        <v>Sinapi 97656</v>
      </c>
      <c r="K6882" s="91" t="str">
        <f t="shared" si="437"/>
        <v>UN</v>
      </c>
      <c r="L6882" s="166" t="str">
        <f t="shared" si="438"/>
        <v>12/2017</v>
      </c>
    </row>
    <row r="6883" spans="1:12" x14ac:dyDescent="0.25">
      <c r="A6883" s="170" t="s">
        <v>9590</v>
      </c>
      <c r="B6883" s="170" t="s">
        <v>9591</v>
      </c>
      <c r="C6883" s="170" t="s">
        <v>205</v>
      </c>
      <c r="D6883" s="170" t="s">
        <v>1947</v>
      </c>
      <c r="E6883" s="171" t="s">
        <v>34869</v>
      </c>
      <c r="F6883" s="171" t="s">
        <v>37947</v>
      </c>
      <c r="H6883" s="96">
        <f t="shared" si="434"/>
        <v>536.64</v>
      </c>
      <c r="I6883" s="96">
        <f t="shared" si="435"/>
        <v>569.32000000000005</v>
      </c>
      <c r="J6883" s="91" t="str">
        <f t="shared" si="436"/>
        <v>Sinapi 97657</v>
      </c>
      <c r="K6883" s="91" t="str">
        <f t="shared" si="437"/>
        <v>UN</v>
      </c>
      <c r="L6883" s="166" t="str">
        <f t="shared" si="438"/>
        <v>12/2017</v>
      </c>
    </row>
    <row r="6884" spans="1:12" x14ac:dyDescent="0.25">
      <c r="A6884" s="170" t="s">
        <v>9592</v>
      </c>
      <c r="B6884" s="170" t="s">
        <v>9593</v>
      </c>
      <c r="C6884" s="170" t="s">
        <v>205</v>
      </c>
      <c r="D6884" s="170" t="s">
        <v>1947</v>
      </c>
      <c r="E6884" s="171" t="s">
        <v>34870</v>
      </c>
      <c r="F6884" s="171" t="s">
        <v>29150</v>
      </c>
      <c r="H6884" s="96">
        <f t="shared" si="434"/>
        <v>193.56</v>
      </c>
      <c r="I6884" s="96">
        <f t="shared" si="435"/>
        <v>201.41</v>
      </c>
      <c r="J6884" s="91" t="str">
        <f t="shared" si="436"/>
        <v>Sinapi 97658</v>
      </c>
      <c r="K6884" s="91" t="str">
        <f t="shared" si="437"/>
        <v>UN</v>
      </c>
      <c r="L6884" s="166" t="str">
        <f t="shared" si="438"/>
        <v>12/2017</v>
      </c>
    </row>
    <row r="6885" spans="1:12" x14ac:dyDescent="0.25">
      <c r="A6885" s="170" t="s">
        <v>9594</v>
      </c>
      <c r="B6885" s="170" t="s">
        <v>9595</v>
      </c>
      <c r="C6885" s="170" t="s">
        <v>205</v>
      </c>
      <c r="D6885" s="170" t="s">
        <v>1947</v>
      </c>
      <c r="E6885" s="171" t="s">
        <v>34871</v>
      </c>
      <c r="F6885" s="171" t="s">
        <v>37948</v>
      </c>
      <c r="H6885" s="96">
        <f t="shared" ref="H6885:H6948" si="439">IF(E6885="","",E6885+0)</f>
        <v>263.01</v>
      </c>
      <c r="I6885" s="96">
        <f t="shared" ref="I6885:I6948" si="440">IF(F6885="","",F6885+0)</f>
        <v>275.76</v>
      </c>
      <c r="J6885" s="91" t="str">
        <f t="shared" ref="J6885:J6948" si="441">IF(OR(H6885="",I6885=""),"",TRIM(CONCATENATE("Sinapi ",A6885)))</f>
        <v>Sinapi 97659</v>
      </c>
      <c r="K6885" s="91" t="str">
        <f t="shared" ref="K6885:K6948" si="442">TRIM(C6885)</f>
        <v>UN</v>
      </c>
      <c r="L6885" s="166" t="str">
        <f t="shared" si="438"/>
        <v>12/2017</v>
      </c>
    </row>
    <row r="6886" spans="1:12" x14ac:dyDescent="0.25">
      <c r="A6886" s="170" t="s">
        <v>9596</v>
      </c>
      <c r="B6886" s="170" t="s">
        <v>9597</v>
      </c>
      <c r="C6886" s="170" t="s">
        <v>205</v>
      </c>
      <c r="D6886" s="170" t="s">
        <v>2710</v>
      </c>
      <c r="E6886" s="171" t="s">
        <v>10263</v>
      </c>
      <c r="F6886" s="171" t="s">
        <v>3148</v>
      </c>
      <c r="H6886" s="96">
        <f t="shared" si="439"/>
        <v>0.56999999999999995</v>
      </c>
      <c r="I6886" s="96">
        <f t="shared" si="440"/>
        <v>0.62</v>
      </c>
      <c r="J6886" s="91" t="str">
        <f t="shared" si="441"/>
        <v>Sinapi 97660</v>
      </c>
      <c r="K6886" s="91" t="str">
        <f t="shared" si="442"/>
        <v>UN</v>
      </c>
      <c r="L6886" s="166" t="str">
        <f t="shared" si="438"/>
        <v>12/2017</v>
      </c>
    </row>
    <row r="6887" spans="1:12" x14ac:dyDescent="0.25">
      <c r="A6887" s="170" t="s">
        <v>9598</v>
      </c>
      <c r="B6887" s="170" t="s">
        <v>9599</v>
      </c>
      <c r="C6887" s="170" t="s">
        <v>385</v>
      </c>
      <c r="D6887" s="170" t="s">
        <v>2710</v>
      </c>
      <c r="E6887" s="171" t="s">
        <v>10263</v>
      </c>
      <c r="F6887" s="171" t="s">
        <v>8324</v>
      </c>
      <c r="H6887" s="96">
        <f t="shared" si="439"/>
        <v>0.56999999999999995</v>
      </c>
      <c r="I6887" s="96">
        <f t="shared" si="440"/>
        <v>0.63</v>
      </c>
      <c r="J6887" s="91" t="str">
        <f t="shared" si="441"/>
        <v>Sinapi 97661</v>
      </c>
      <c r="K6887" s="91" t="str">
        <f t="shared" si="442"/>
        <v>M</v>
      </c>
      <c r="L6887" s="166" t="str">
        <f t="shared" si="438"/>
        <v>12/2017</v>
      </c>
    </row>
    <row r="6888" spans="1:12" x14ac:dyDescent="0.25">
      <c r="A6888" s="170" t="s">
        <v>9600</v>
      </c>
      <c r="B6888" s="170" t="s">
        <v>9601</v>
      </c>
      <c r="C6888" s="170" t="s">
        <v>385</v>
      </c>
      <c r="D6888" s="170" t="s">
        <v>2710</v>
      </c>
      <c r="E6888" s="171" t="s">
        <v>15563</v>
      </c>
      <c r="F6888" s="171" t="s">
        <v>2849</v>
      </c>
      <c r="H6888" s="96">
        <f t="shared" si="439"/>
        <v>0.41</v>
      </c>
      <c r="I6888" s="96">
        <f t="shared" si="440"/>
        <v>0.46</v>
      </c>
      <c r="J6888" s="91" t="str">
        <f t="shared" si="441"/>
        <v>Sinapi 97662</v>
      </c>
      <c r="K6888" s="91" t="str">
        <f t="shared" si="442"/>
        <v>M</v>
      </c>
      <c r="L6888" s="166" t="str">
        <f t="shared" si="438"/>
        <v>12/2017</v>
      </c>
    </row>
    <row r="6889" spans="1:12" x14ac:dyDescent="0.25">
      <c r="A6889" s="170" t="s">
        <v>9602</v>
      </c>
      <c r="B6889" s="170" t="s">
        <v>9603</v>
      </c>
      <c r="C6889" s="170" t="s">
        <v>205</v>
      </c>
      <c r="D6889" s="170" t="s">
        <v>2710</v>
      </c>
      <c r="E6889" s="171" t="s">
        <v>16403</v>
      </c>
      <c r="F6889" s="171" t="s">
        <v>18419</v>
      </c>
      <c r="H6889" s="96">
        <f t="shared" si="439"/>
        <v>10.41</v>
      </c>
      <c r="I6889" s="96">
        <f t="shared" si="440"/>
        <v>11.56</v>
      </c>
      <c r="J6889" s="91" t="str">
        <f t="shared" si="441"/>
        <v>Sinapi 97663</v>
      </c>
      <c r="K6889" s="91" t="str">
        <f t="shared" si="442"/>
        <v>UN</v>
      </c>
      <c r="L6889" s="166" t="str">
        <f t="shared" si="438"/>
        <v>12/2017</v>
      </c>
    </row>
    <row r="6890" spans="1:12" x14ac:dyDescent="0.25">
      <c r="A6890" s="170" t="s">
        <v>9604</v>
      </c>
      <c r="B6890" s="170" t="s">
        <v>9605</v>
      </c>
      <c r="C6890" s="170" t="s">
        <v>205</v>
      </c>
      <c r="D6890" s="170" t="s">
        <v>2710</v>
      </c>
      <c r="E6890" s="171" t="s">
        <v>14120</v>
      </c>
      <c r="F6890" s="171" t="s">
        <v>9572</v>
      </c>
      <c r="H6890" s="96">
        <f t="shared" si="439"/>
        <v>1.29</v>
      </c>
      <c r="I6890" s="96">
        <f t="shared" si="440"/>
        <v>1.44</v>
      </c>
      <c r="J6890" s="91" t="str">
        <f t="shared" si="441"/>
        <v>Sinapi 97664</v>
      </c>
      <c r="K6890" s="91" t="str">
        <f t="shared" si="442"/>
        <v>UN</v>
      </c>
      <c r="L6890" s="166" t="str">
        <f t="shared" si="438"/>
        <v>12/2017</v>
      </c>
    </row>
    <row r="6891" spans="1:12" x14ac:dyDescent="0.25">
      <c r="A6891" s="170" t="s">
        <v>9606</v>
      </c>
      <c r="B6891" s="170" t="s">
        <v>9607</v>
      </c>
      <c r="C6891" s="170" t="s">
        <v>205</v>
      </c>
      <c r="D6891" s="170" t="s">
        <v>2710</v>
      </c>
      <c r="E6891" s="171" t="s">
        <v>2726</v>
      </c>
      <c r="F6891" s="171" t="s">
        <v>20045</v>
      </c>
      <c r="H6891" s="96">
        <f t="shared" si="439"/>
        <v>1.0900000000000001</v>
      </c>
      <c r="I6891" s="96">
        <f t="shared" si="440"/>
        <v>1.21</v>
      </c>
      <c r="J6891" s="91" t="str">
        <f t="shared" si="441"/>
        <v>Sinapi 97665</v>
      </c>
      <c r="K6891" s="91" t="str">
        <f t="shared" si="442"/>
        <v>UN</v>
      </c>
      <c r="L6891" s="166" t="str">
        <f t="shared" si="438"/>
        <v>12/2017</v>
      </c>
    </row>
    <row r="6892" spans="1:12" x14ac:dyDescent="0.25">
      <c r="A6892" s="170" t="s">
        <v>9609</v>
      </c>
      <c r="B6892" s="170" t="s">
        <v>9610</v>
      </c>
      <c r="C6892" s="170" t="s">
        <v>205</v>
      </c>
      <c r="D6892" s="170" t="s">
        <v>2710</v>
      </c>
      <c r="E6892" s="171" t="s">
        <v>19314</v>
      </c>
      <c r="F6892" s="171" t="s">
        <v>17880</v>
      </c>
      <c r="H6892" s="96">
        <f t="shared" si="439"/>
        <v>7.59</v>
      </c>
      <c r="I6892" s="96">
        <f t="shared" si="440"/>
        <v>8.43</v>
      </c>
      <c r="J6892" s="91" t="str">
        <f t="shared" si="441"/>
        <v>Sinapi 97666</v>
      </c>
      <c r="K6892" s="91" t="str">
        <f t="shared" si="442"/>
        <v>UN</v>
      </c>
      <c r="L6892" s="166" t="str">
        <f t="shared" si="438"/>
        <v>12/2017</v>
      </c>
    </row>
    <row r="6893" spans="1:12" x14ac:dyDescent="0.25">
      <c r="A6893" s="170" t="s">
        <v>9611</v>
      </c>
      <c r="B6893" s="170" t="s">
        <v>9612</v>
      </c>
      <c r="C6893" s="170" t="s">
        <v>587</v>
      </c>
      <c r="D6893" s="170" t="s">
        <v>2067</v>
      </c>
      <c r="E6893" s="171" t="s">
        <v>30777</v>
      </c>
      <c r="F6893" s="171" t="s">
        <v>19936</v>
      </c>
      <c r="H6893" s="96">
        <f t="shared" si="439"/>
        <v>141.97999999999999</v>
      </c>
      <c r="I6893" s="96">
        <f t="shared" si="440"/>
        <v>164.24</v>
      </c>
      <c r="J6893" s="91" t="str">
        <f t="shared" si="441"/>
        <v>Sinapi 95967</v>
      </c>
      <c r="K6893" s="91" t="str">
        <f t="shared" si="442"/>
        <v>H</v>
      </c>
      <c r="L6893" s="166" t="str">
        <f t="shared" si="438"/>
        <v/>
      </c>
    </row>
    <row r="6894" spans="1:12" x14ac:dyDescent="0.25">
      <c r="A6894" s="170" t="s">
        <v>9613</v>
      </c>
      <c r="B6894" s="170" t="s">
        <v>9614</v>
      </c>
      <c r="C6894" s="170" t="s">
        <v>205</v>
      </c>
      <c r="D6894" s="170" t="s">
        <v>1947</v>
      </c>
      <c r="E6894" s="171" t="s">
        <v>23784</v>
      </c>
      <c r="F6894" s="171" t="s">
        <v>6550</v>
      </c>
      <c r="H6894" s="96">
        <f t="shared" si="439"/>
        <v>9.35</v>
      </c>
      <c r="I6894" s="96">
        <f t="shared" si="440"/>
        <v>10.56</v>
      </c>
      <c r="J6894" s="91" t="str">
        <f t="shared" si="441"/>
        <v>Sinapi 99058</v>
      </c>
      <c r="K6894" s="91" t="str">
        <f t="shared" si="442"/>
        <v>UN</v>
      </c>
      <c r="L6894" s="166" t="str">
        <f t="shared" si="438"/>
        <v>10/2018</v>
      </c>
    </row>
    <row r="6895" spans="1:12" x14ac:dyDescent="0.25">
      <c r="A6895" s="170" t="s">
        <v>9615</v>
      </c>
      <c r="B6895" s="170" t="s">
        <v>9616</v>
      </c>
      <c r="C6895" s="170" t="s">
        <v>385</v>
      </c>
      <c r="D6895" s="170" t="s">
        <v>2067</v>
      </c>
      <c r="E6895" s="171" t="s">
        <v>34872</v>
      </c>
      <c r="F6895" s="171" t="s">
        <v>17892</v>
      </c>
      <c r="H6895" s="96">
        <f t="shared" si="439"/>
        <v>52.31</v>
      </c>
      <c r="I6895" s="96">
        <f t="shared" si="440"/>
        <v>55.74</v>
      </c>
      <c r="J6895" s="91" t="str">
        <f t="shared" si="441"/>
        <v>Sinapi 99059</v>
      </c>
      <c r="K6895" s="91" t="str">
        <f t="shared" si="442"/>
        <v>M</v>
      </c>
      <c r="L6895" s="166" t="str">
        <f t="shared" si="438"/>
        <v>10/2018</v>
      </c>
    </row>
    <row r="6896" spans="1:12" x14ac:dyDescent="0.25">
      <c r="A6896" s="170" t="s">
        <v>9617</v>
      </c>
      <c r="B6896" s="170" t="s">
        <v>9618</v>
      </c>
      <c r="C6896" s="170" t="s">
        <v>205</v>
      </c>
      <c r="D6896" s="170" t="s">
        <v>2067</v>
      </c>
      <c r="E6896" s="171" t="s">
        <v>34873</v>
      </c>
      <c r="F6896" s="171" t="s">
        <v>37949</v>
      </c>
      <c r="H6896" s="96">
        <f t="shared" si="439"/>
        <v>138.16</v>
      </c>
      <c r="I6896" s="96">
        <f t="shared" si="440"/>
        <v>147.65</v>
      </c>
      <c r="J6896" s="91" t="str">
        <f t="shared" si="441"/>
        <v>Sinapi 99060</v>
      </c>
      <c r="K6896" s="91" t="str">
        <f t="shared" si="442"/>
        <v>UN</v>
      </c>
      <c r="L6896" s="166" t="str">
        <f t="shared" si="438"/>
        <v>10/2018</v>
      </c>
    </row>
    <row r="6897" spans="1:12" x14ac:dyDescent="0.25">
      <c r="A6897" s="170" t="s">
        <v>9619</v>
      </c>
      <c r="B6897" s="170" t="s">
        <v>9620</v>
      </c>
      <c r="C6897" s="170" t="s">
        <v>205</v>
      </c>
      <c r="D6897" s="170" t="s">
        <v>2067</v>
      </c>
      <c r="E6897" s="171" t="s">
        <v>32563</v>
      </c>
      <c r="F6897" s="171" t="s">
        <v>21989</v>
      </c>
      <c r="H6897" s="96">
        <f t="shared" si="439"/>
        <v>91.66</v>
      </c>
      <c r="I6897" s="96">
        <f t="shared" si="440"/>
        <v>98.66</v>
      </c>
      <c r="J6897" s="91" t="str">
        <f t="shared" si="441"/>
        <v>Sinapi 99061</v>
      </c>
      <c r="K6897" s="91" t="str">
        <f t="shared" si="442"/>
        <v>UN</v>
      </c>
      <c r="L6897" s="166" t="str">
        <f t="shared" si="438"/>
        <v>10/2018</v>
      </c>
    </row>
    <row r="6898" spans="1:12" x14ac:dyDescent="0.25">
      <c r="A6898" s="170" t="s">
        <v>9621</v>
      </c>
      <c r="B6898" s="170" t="s">
        <v>9622</v>
      </c>
      <c r="C6898" s="170" t="s">
        <v>205</v>
      </c>
      <c r="D6898" s="170" t="s">
        <v>2067</v>
      </c>
      <c r="E6898" s="171" t="s">
        <v>22822</v>
      </c>
      <c r="F6898" s="171" t="s">
        <v>14939</v>
      </c>
      <c r="H6898" s="96">
        <f t="shared" si="439"/>
        <v>2.34</v>
      </c>
      <c r="I6898" s="96">
        <f t="shared" si="440"/>
        <v>2.6</v>
      </c>
      <c r="J6898" s="91" t="str">
        <f t="shared" si="441"/>
        <v>Sinapi 99062</v>
      </c>
      <c r="K6898" s="91" t="str">
        <f t="shared" si="442"/>
        <v>UN</v>
      </c>
      <c r="L6898" s="166" t="str">
        <f t="shared" si="438"/>
        <v>10/2018</v>
      </c>
    </row>
    <row r="6899" spans="1:12" x14ac:dyDescent="0.25">
      <c r="A6899" s="170" t="s">
        <v>9623</v>
      </c>
      <c r="B6899" s="170" t="s">
        <v>9624</v>
      </c>
      <c r="C6899" s="170" t="s">
        <v>385</v>
      </c>
      <c r="D6899" s="170" t="s">
        <v>2067</v>
      </c>
      <c r="E6899" s="171" t="s">
        <v>22966</v>
      </c>
      <c r="F6899" s="171" t="s">
        <v>18599</v>
      </c>
      <c r="H6899" s="96">
        <f t="shared" si="439"/>
        <v>4.58</v>
      </c>
      <c r="I6899" s="96">
        <f t="shared" si="440"/>
        <v>4.93</v>
      </c>
      <c r="J6899" s="91" t="str">
        <f t="shared" si="441"/>
        <v>Sinapi 99063</v>
      </c>
      <c r="K6899" s="91" t="str">
        <f t="shared" si="442"/>
        <v>M</v>
      </c>
      <c r="L6899" s="166" t="str">
        <f t="shared" si="438"/>
        <v>10/2018</v>
      </c>
    </row>
    <row r="6900" spans="1:12" x14ac:dyDescent="0.25">
      <c r="A6900" s="170" t="s">
        <v>9625</v>
      </c>
      <c r="B6900" s="170" t="s">
        <v>9626</v>
      </c>
      <c r="C6900" s="170" t="s">
        <v>385</v>
      </c>
      <c r="D6900" s="170" t="s">
        <v>1947</v>
      </c>
      <c r="E6900" s="171" t="s">
        <v>2849</v>
      </c>
      <c r="F6900" s="171" t="s">
        <v>8322</v>
      </c>
      <c r="H6900" s="96">
        <f t="shared" si="439"/>
        <v>0.46</v>
      </c>
      <c r="I6900" s="96">
        <f t="shared" si="440"/>
        <v>0.52</v>
      </c>
      <c r="J6900" s="91" t="str">
        <f t="shared" si="441"/>
        <v>Sinapi 99064</v>
      </c>
      <c r="K6900" s="91" t="str">
        <f t="shared" si="442"/>
        <v>M</v>
      </c>
      <c r="L6900" s="166" t="str">
        <f t="shared" si="438"/>
        <v>10/2018</v>
      </c>
    </row>
    <row r="6901" spans="1:12" x14ac:dyDescent="0.25">
      <c r="A6901" s="170" t="s">
        <v>9627</v>
      </c>
      <c r="B6901" s="170" t="s">
        <v>10576</v>
      </c>
      <c r="C6901" s="170" t="s">
        <v>1292</v>
      </c>
      <c r="D6901" s="170" t="s">
        <v>1947</v>
      </c>
      <c r="E6901" s="171" t="s">
        <v>15508</v>
      </c>
      <c r="F6901" s="171" t="s">
        <v>7398</v>
      </c>
      <c r="H6901" s="96">
        <f t="shared" si="439"/>
        <v>3.25</v>
      </c>
      <c r="I6901" s="96">
        <f t="shared" si="440"/>
        <v>3.3</v>
      </c>
      <c r="J6901" s="91" t="str">
        <f t="shared" si="441"/>
        <v>Sinapi 93588</v>
      </c>
      <c r="K6901" s="91" t="str">
        <f t="shared" si="442"/>
        <v>M3XKM</v>
      </c>
      <c r="L6901" s="166" t="str">
        <f t="shared" si="438"/>
        <v>07/2020</v>
      </c>
    </row>
    <row r="6902" spans="1:12" x14ac:dyDescent="0.25">
      <c r="A6902" s="170" t="s">
        <v>9629</v>
      </c>
      <c r="B6902" s="170" t="s">
        <v>10577</v>
      </c>
      <c r="C6902" s="170" t="s">
        <v>1292</v>
      </c>
      <c r="D6902" s="170" t="s">
        <v>1947</v>
      </c>
      <c r="E6902" s="171" t="s">
        <v>6574</v>
      </c>
      <c r="F6902" s="171" t="s">
        <v>10252</v>
      </c>
      <c r="H6902" s="96">
        <f t="shared" si="439"/>
        <v>2.79</v>
      </c>
      <c r="I6902" s="96">
        <f t="shared" si="440"/>
        <v>2.83</v>
      </c>
      <c r="J6902" s="91" t="str">
        <f t="shared" si="441"/>
        <v>Sinapi 93589</v>
      </c>
      <c r="K6902" s="91" t="str">
        <f t="shared" si="442"/>
        <v>M3XKM</v>
      </c>
      <c r="L6902" s="166" t="str">
        <f t="shared" si="438"/>
        <v>07/2020</v>
      </c>
    </row>
    <row r="6903" spans="1:12" x14ac:dyDescent="0.25">
      <c r="A6903" s="170" t="s">
        <v>9630</v>
      </c>
      <c r="B6903" s="170" t="s">
        <v>10578</v>
      </c>
      <c r="C6903" s="170" t="s">
        <v>1292</v>
      </c>
      <c r="D6903" s="170" t="s">
        <v>1947</v>
      </c>
      <c r="E6903" s="171" t="s">
        <v>17294</v>
      </c>
      <c r="F6903" s="171" t="s">
        <v>16388</v>
      </c>
      <c r="H6903" s="96">
        <f t="shared" si="439"/>
        <v>1.01</v>
      </c>
      <c r="I6903" s="96">
        <f t="shared" si="440"/>
        <v>1.03</v>
      </c>
      <c r="J6903" s="91" t="str">
        <f t="shared" si="441"/>
        <v>Sinapi 93590</v>
      </c>
      <c r="K6903" s="91" t="str">
        <f t="shared" si="442"/>
        <v>M3XKM</v>
      </c>
      <c r="L6903" s="166" t="str">
        <f t="shared" si="438"/>
        <v>07/2020</v>
      </c>
    </row>
    <row r="6904" spans="1:12" x14ac:dyDescent="0.25">
      <c r="A6904" s="170" t="s">
        <v>9631</v>
      </c>
      <c r="B6904" s="170" t="s">
        <v>10579</v>
      </c>
      <c r="C6904" s="170" t="s">
        <v>1292</v>
      </c>
      <c r="D6904" s="170" t="s">
        <v>1947</v>
      </c>
      <c r="E6904" s="171" t="s">
        <v>10386</v>
      </c>
      <c r="F6904" s="171" t="s">
        <v>3143</v>
      </c>
      <c r="H6904" s="96">
        <f t="shared" si="439"/>
        <v>2.82</v>
      </c>
      <c r="I6904" s="96">
        <f t="shared" si="440"/>
        <v>2.85</v>
      </c>
      <c r="J6904" s="91" t="str">
        <f t="shared" si="441"/>
        <v>Sinapi 93591</v>
      </c>
      <c r="K6904" s="91" t="str">
        <f t="shared" si="442"/>
        <v>M3XKM</v>
      </c>
      <c r="L6904" s="166" t="str">
        <f t="shared" si="438"/>
        <v>07/2020</v>
      </c>
    </row>
    <row r="6905" spans="1:12" x14ac:dyDescent="0.25">
      <c r="A6905" s="170" t="s">
        <v>9632</v>
      </c>
      <c r="B6905" s="170" t="s">
        <v>10580</v>
      </c>
      <c r="C6905" s="170" t="s">
        <v>1292</v>
      </c>
      <c r="D6905" s="170" t="s">
        <v>1947</v>
      </c>
      <c r="E6905" s="171" t="s">
        <v>5393</v>
      </c>
      <c r="F6905" s="171" t="s">
        <v>21323</v>
      </c>
      <c r="H6905" s="96">
        <f t="shared" si="439"/>
        <v>2.4500000000000002</v>
      </c>
      <c r="I6905" s="96">
        <f t="shared" si="440"/>
        <v>2.4700000000000002</v>
      </c>
      <c r="J6905" s="91" t="str">
        <f t="shared" si="441"/>
        <v>Sinapi 93592</v>
      </c>
      <c r="K6905" s="91" t="str">
        <f t="shared" si="442"/>
        <v>M3XKM</v>
      </c>
      <c r="L6905" s="166" t="str">
        <f t="shared" si="438"/>
        <v>07/2020</v>
      </c>
    </row>
    <row r="6906" spans="1:12" x14ac:dyDescent="0.25">
      <c r="A6906" s="170" t="s">
        <v>9634</v>
      </c>
      <c r="B6906" s="170" t="s">
        <v>10581</v>
      </c>
      <c r="C6906" s="170" t="s">
        <v>1292</v>
      </c>
      <c r="D6906" s="170" t="s">
        <v>1947</v>
      </c>
      <c r="E6906" s="171" t="s">
        <v>9649</v>
      </c>
      <c r="F6906" s="171" t="s">
        <v>9608</v>
      </c>
      <c r="H6906" s="96">
        <f t="shared" si="439"/>
        <v>0.9</v>
      </c>
      <c r="I6906" s="96">
        <f t="shared" si="440"/>
        <v>0.91</v>
      </c>
      <c r="J6906" s="91" t="str">
        <f t="shared" si="441"/>
        <v>Sinapi 93593</v>
      </c>
      <c r="K6906" s="91" t="str">
        <f t="shared" si="442"/>
        <v>M3XKM</v>
      </c>
      <c r="L6906" s="166" t="str">
        <f t="shared" si="438"/>
        <v>07/2020</v>
      </c>
    </row>
    <row r="6907" spans="1:12" x14ac:dyDescent="0.25">
      <c r="A6907" s="170" t="s">
        <v>9635</v>
      </c>
      <c r="B6907" s="170" t="s">
        <v>10582</v>
      </c>
      <c r="C6907" s="170" t="s">
        <v>1293</v>
      </c>
      <c r="D6907" s="170" t="s">
        <v>1947</v>
      </c>
      <c r="E6907" s="171" t="s">
        <v>29567</v>
      </c>
      <c r="F6907" s="171" t="s">
        <v>21001</v>
      </c>
      <c r="H6907" s="96">
        <f t="shared" si="439"/>
        <v>2.16</v>
      </c>
      <c r="I6907" s="96">
        <f t="shared" si="440"/>
        <v>2.19</v>
      </c>
      <c r="J6907" s="91" t="str">
        <f t="shared" si="441"/>
        <v>Sinapi 93594</v>
      </c>
      <c r="K6907" s="91" t="str">
        <f t="shared" si="442"/>
        <v>TXKM</v>
      </c>
      <c r="L6907" s="166" t="str">
        <f t="shared" si="438"/>
        <v>07/2020</v>
      </c>
    </row>
    <row r="6908" spans="1:12" x14ac:dyDescent="0.25">
      <c r="A6908" s="170" t="s">
        <v>9637</v>
      </c>
      <c r="B6908" s="170" t="s">
        <v>10583</v>
      </c>
      <c r="C6908" s="170" t="s">
        <v>1293</v>
      </c>
      <c r="D6908" s="170" t="s">
        <v>1947</v>
      </c>
      <c r="E6908" s="171" t="s">
        <v>21443</v>
      </c>
      <c r="F6908" s="171" t="s">
        <v>20056</v>
      </c>
      <c r="H6908" s="96">
        <f t="shared" si="439"/>
        <v>1.89</v>
      </c>
      <c r="I6908" s="96">
        <f t="shared" si="440"/>
        <v>1.91</v>
      </c>
      <c r="J6908" s="91" t="str">
        <f t="shared" si="441"/>
        <v>Sinapi 93595</v>
      </c>
      <c r="K6908" s="91" t="str">
        <f t="shared" si="442"/>
        <v>TXKM</v>
      </c>
      <c r="L6908" s="166" t="str">
        <f t="shared" si="438"/>
        <v>07/2020</v>
      </c>
    </row>
    <row r="6909" spans="1:12" x14ac:dyDescent="0.25">
      <c r="A6909" s="170" t="s">
        <v>9638</v>
      </c>
      <c r="B6909" s="170" t="s">
        <v>10584</v>
      </c>
      <c r="C6909" s="170" t="s">
        <v>1293</v>
      </c>
      <c r="D6909" s="170" t="s">
        <v>1947</v>
      </c>
      <c r="E6909" s="171" t="s">
        <v>18575</v>
      </c>
      <c r="F6909" s="171" t="s">
        <v>11604</v>
      </c>
      <c r="H6909" s="96">
        <f t="shared" si="439"/>
        <v>0.67</v>
      </c>
      <c r="I6909" s="96">
        <f t="shared" si="440"/>
        <v>0.69</v>
      </c>
      <c r="J6909" s="91" t="str">
        <f t="shared" si="441"/>
        <v>Sinapi 93596</v>
      </c>
      <c r="K6909" s="91" t="str">
        <f t="shared" si="442"/>
        <v>TXKM</v>
      </c>
      <c r="L6909" s="166" t="str">
        <f t="shared" si="438"/>
        <v>07/2020</v>
      </c>
    </row>
    <row r="6910" spans="1:12" x14ac:dyDescent="0.25">
      <c r="A6910" s="170" t="s">
        <v>9639</v>
      </c>
      <c r="B6910" s="170" t="s">
        <v>10585</v>
      </c>
      <c r="C6910" s="170" t="s">
        <v>1293</v>
      </c>
      <c r="D6910" s="170" t="s">
        <v>1947</v>
      </c>
      <c r="E6910" s="171" t="s">
        <v>15566</v>
      </c>
      <c r="F6910" s="171" t="s">
        <v>20055</v>
      </c>
      <c r="H6910" s="96">
        <f t="shared" si="439"/>
        <v>1.88</v>
      </c>
      <c r="I6910" s="96">
        <f t="shared" si="440"/>
        <v>1.9</v>
      </c>
      <c r="J6910" s="91" t="str">
        <f t="shared" si="441"/>
        <v>Sinapi 93597</v>
      </c>
      <c r="K6910" s="91" t="str">
        <f t="shared" si="442"/>
        <v>TXKM</v>
      </c>
      <c r="L6910" s="166" t="str">
        <f t="shared" si="438"/>
        <v>07/2020</v>
      </c>
    </row>
    <row r="6911" spans="1:12" x14ac:dyDescent="0.25">
      <c r="A6911" s="170" t="s">
        <v>9640</v>
      </c>
      <c r="B6911" s="170" t="s">
        <v>10586</v>
      </c>
      <c r="C6911" s="170" t="s">
        <v>1293</v>
      </c>
      <c r="D6911" s="170" t="s">
        <v>1947</v>
      </c>
      <c r="E6911" s="171" t="s">
        <v>14790</v>
      </c>
      <c r="F6911" s="171" t="s">
        <v>3617</v>
      </c>
      <c r="H6911" s="96">
        <f t="shared" si="439"/>
        <v>1.62</v>
      </c>
      <c r="I6911" s="96">
        <f t="shared" si="440"/>
        <v>1.63</v>
      </c>
      <c r="J6911" s="91" t="str">
        <f t="shared" si="441"/>
        <v>Sinapi 93598</v>
      </c>
      <c r="K6911" s="91" t="str">
        <f t="shared" si="442"/>
        <v>TXKM</v>
      </c>
      <c r="L6911" s="166" t="str">
        <f t="shared" si="438"/>
        <v>07/2020</v>
      </c>
    </row>
    <row r="6912" spans="1:12" x14ac:dyDescent="0.25">
      <c r="A6912" s="170" t="s">
        <v>9641</v>
      </c>
      <c r="B6912" s="170" t="s">
        <v>10587</v>
      </c>
      <c r="C6912" s="170" t="s">
        <v>1293</v>
      </c>
      <c r="D6912" s="170" t="s">
        <v>1947</v>
      </c>
      <c r="E6912" s="171" t="s">
        <v>8387</v>
      </c>
      <c r="F6912" s="171" t="s">
        <v>15760</v>
      </c>
      <c r="H6912" s="96">
        <f t="shared" si="439"/>
        <v>0.59</v>
      </c>
      <c r="I6912" s="96">
        <f t="shared" si="440"/>
        <v>0.6</v>
      </c>
      <c r="J6912" s="91" t="str">
        <f t="shared" si="441"/>
        <v>Sinapi 93599</v>
      </c>
      <c r="K6912" s="91" t="str">
        <f t="shared" si="442"/>
        <v>TXKM</v>
      </c>
      <c r="L6912" s="166" t="str">
        <f t="shared" si="438"/>
        <v>07/2020</v>
      </c>
    </row>
    <row r="6913" spans="1:12" x14ac:dyDescent="0.25">
      <c r="A6913" s="170" t="s">
        <v>9642</v>
      </c>
      <c r="B6913" s="170" t="s">
        <v>10588</v>
      </c>
      <c r="C6913" s="170" t="s">
        <v>1292</v>
      </c>
      <c r="D6913" s="170" t="s">
        <v>1947</v>
      </c>
      <c r="E6913" s="171" t="s">
        <v>29662</v>
      </c>
      <c r="F6913" s="171" t="s">
        <v>21049</v>
      </c>
      <c r="H6913" s="96">
        <f t="shared" si="439"/>
        <v>2.41</v>
      </c>
      <c r="I6913" s="96">
        <f t="shared" si="440"/>
        <v>2.4300000000000002</v>
      </c>
      <c r="J6913" s="91" t="str">
        <f t="shared" si="441"/>
        <v>Sinapi 95425</v>
      </c>
      <c r="K6913" s="91" t="str">
        <f t="shared" si="442"/>
        <v>M3XKM</v>
      </c>
      <c r="L6913" s="166" t="str">
        <f t="shared" si="438"/>
        <v>07/2020</v>
      </c>
    </row>
    <row r="6914" spans="1:12" x14ac:dyDescent="0.25">
      <c r="A6914" s="170" t="s">
        <v>9643</v>
      </c>
      <c r="B6914" s="170" t="s">
        <v>10589</v>
      </c>
      <c r="C6914" s="170" t="s">
        <v>1292</v>
      </c>
      <c r="D6914" s="170" t="s">
        <v>1947</v>
      </c>
      <c r="E6914" s="171" t="s">
        <v>21114</v>
      </c>
      <c r="F6914" s="171" t="s">
        <v>21051</v>
      </c>
      <c r="H6914" s="96">
        <f t="shared" si="439"/>
        <v>2.08</v>
      </c>
      <c r="I6914" s="96">
        <f t="shared" si="440"/>
        <v>2.1</v>
      </c>
      <c r="J6914" s="91" t="str">
        <f t="shared" si="441"/>
        <v>Sinapi 95426</v>
      </c>
      <c r="K6914" s="91" t="str">
        <f t="shared" si="442"/>
        <v>M3XKM</v>
      </c>
      <c r="L6914" s="166" t="str">
        <f t="shared" si="438"/>
        <v>07/2020</v>
      </c>
    </row>
    <row r="6915" spans="1:12" x14ac:dyDescent="0.25">
      <c r="A6915" s="170" t="s">
        <v>9644</v>
      </c>
      <c r="B6915" s="170" t="s">
        <v>10590</v>
      </c>
      <c r="C6915" s="170" t="s">
        <v>1292</v>
      </c>
      <c r="D6915" s="170" t="s">
        <v>1947</v>
      </c>
      <c r="E6915" s="171" t="s">
        <v>2114</v>
      </c>
      <c r="F6915" s="171" t="s">
        <v>19267</v>
      </c>
      <c r="H6915" s="96">
        <f t="shared" si="439"/>
        <v>0.78</v>
      </c>
      <c r="I6915" s="96">
        <f t="shared" si="440"/>
        <v>0.79</v>
      </c>
      <c r="J6915" s="91" t="str">
        <f t="shared" si="441"/>
        <v>Sinapi 95427</v>
      </c>
      <c r="K6915" s="91" t="str">
        <f t="shared" si="442"/>
        <v>M3XKM</v>
      </c>
      <c r="L6915" s="166" t="str">
        <f t="shared" si="438"/>
        <v>07/2020</v>
      </c>
    </row>
    <row r="6916" spans="1:12" x14ac:dyDescent="0.25">
      <c r="A6916" s="170" t="s">
        <v>9645</v>
      </c>
      <c r="B6916" s="170" t="s">
        <v>10591</v>
      </c>
      <c r="C6916" s="170" t="s">
        <v>1293</v>
      </c>
      <c r="D6916" s="170" t="s">
        <v>1947</v>
      </c>
      <c r="E6916" s="171" t="s">
        <v>14790</v>
      </c>
      <c r="F6916" s="171" t="s">
        <v>3617</v>
      </c>
      <c r="H6916" s="96">
        <f t="shared" si="439"/>
        <v>1.62</v>
      </c>
      <c r="I6916" s="96">
        <f t="shared" si="440"/>
        <v>1.63</v>
      </c>
      <c r="J6916" s="91" t="str">
        <f t="shared" si="441"/>
        <v>Sinapi 95428</v>
      </c>
      <c r="K6916" s="91" t="str">
        <f t="shared" si="442"/>
        <v>TXKM</v>
      </c>
      <c r="L6916" s="166" t="str">
        <f t="shared" si="438"/>
        <v>07/2020</v>
      </c>
    </row>
    <row r="6917" spans="1:12" x14ac:dyDescent="0.25">
      <c r="A6917" s="170" t="s">
        <v>9646</v>
      </c>
      <c r="B6917" s="170" t="s">
        <v>10592</v>
      </c>
      <c r="C6917" s="170" t="s">
        <v>1293</v>
      </c>
      <c r="D6917" s="170" t="s">
        <v>1947</v>
      </c>
      <c r="E6917" s="171" t="s">
        <v>15649</v>
      </c>
      <c r="F6917" s="171" t="s">
        <v>3023</v>
      </c>
      <c r="H6917" s="96">
        <f t="shared" si="439"/>
        <v>1.4</v>
      </c>
      <c r="I6917" s="96">
        <f t="shared" si="440"/>
        <v>1.42</v>
      </c>
      <c r="J6917" s="91" t="str">
        <f t="shared" si="441"/>
        <v>Sinapi 95429</v>
      </c>
      <c r="K6917" s="91" t="str">
        <f t="shared" si="442"/>
        <v>TXKM</v>
      </c>
      <c r="L6917" s="166" t="str">
        <f t="shared" si="438"/>
        <v>07/2020</v>
      </c>
    </row>
    <row r="6918" spans="1:12" x14ac:dyDescent="0.25">
      <c r="A6918" s="170" t="s">
        <v>9647</v>
      </c>
      <c r="B6918" s="170" t="s">
        <v>10593</v>
      </c>
      <c r="C6918" s="170" t="s">
        <v>1293</v>
      </c>
      <c r="D6918" s="170" t="s">
        <v>1947</v>
      </c>
      <c r="E6918" s="171" t="s">
        <v>3408</v>
      </c>
      <c r="F6918" s="171" t="s">
        <v>15582</v>
      </c>
      <c r="H6918" s="96">
        <f t="shared" si="439"/>
        <v>0.49</v>
      </c>
      <c r="I6918" s="96">
        <f t="shared" si="440"/>
        <v>0.5</v>
      </c>
      <c r="J6918" s="91" t="str">
        <f t="shared" si="441"/>
        <v>Sinapi 95430</v>
      </c>
      <c r="K6918" s="91" t="str">
        <f t="shared" si="442"/>
        <v>TXKM</v>
      </c>
      <c r="L6918" s="166" t="str">
        <f t="shared" si="438"/>
        <v>07/2020</v>
      </c>
    </row>
    <row r="6919" spans="1:12" x14ac:dyDescent="0.25">
      <c r="A6919" s="170" t="s">
        <v>9648</v>
      </c>
      <c r="B6919" s="170" t="s">
        <v>10594</v>
      </c>
      <c r="C6919" s="170" t="s">
        <v>1292</v>
      </c>
      <c r="D6919" s="170" t="s">
        <v>1947</v>
      </c>
      <c r="E6919" s="171" t="s">
        <v>22727</v>
      </c>
      <c r="F6919" s="171" t="s">
        <v>8323</v>
      </c>
      <c r="H6919" s="96">
        <f t="shared" si="439"/>
        <v>2.57</v>
      </c>
      <c r="I6919" s="96">
        <f t="shared" si="440"/>
        <v>2.61</v>
      </c>
      <c r="J6919" s="91" t="str">
        <f t="shared" si="441"/>
        <v>Sinapi 95875</v>
      </c>
      <c r="K6919" s="91" t="str">
        <f t="shared" si="442"/>
        <v>M3XKM</v>
      </c>
      <c r="L6919" s="166" t="str">
        <f t="shared" si="438"/>
        <v>07/2020</v>
      </c>
    </row>
    <row r="6920" spans="1:12" x14ac:dyDescent="0.25">
      <c r="A6920" s="170" t="s">
        <v>9650</v>
      </c>
      <c r="B6920" s="170" t="s">
        <v>10595</v>
      </c>
      <c r="C6920" s="170" t="s">
        <v>1292</v>
      </c>
      <c r="D6920" s="170" t="s">
        <v>1947</v>
      </c>
      <c r="E6920" s="171" t="s">
        <v>18541</v>
      </c>
      <c r="F6920" s="171" t="s">
        <v>30552</v>
      </c>
      <c r="H6920" s="96">
        <f t="shared" si="439"/>
        <v>2.2200000000000002</v>
      </c>
      <c r="I6920" s="96">
        <f t="shared" si="440"/>
        <v>2.2400000000000002</v>
      </c>
      <c r="J6920" s="91" t="str">
        <f t="shared" si="441"/>
        <v>Sinapi 95876</v>
      </c>
      <c r="K6920" s="91" t="str">
        <f t="shared" si="442"/>
        <v>M3XKM</v>
      </c>
      <c r="L6920" s="166" t="str">
        <f t="shared" ref="L6920:L6983" si="443">IF(OR(RIGHT(IF(AND(K6920&lt;&gt;"H",K6920&lt;&gt;"MES"),RIGHT(B6920,7),""),2)="PS",RIGHT(IF(AND(K6920&lt;&gt;"H",K6920&lt;&gt;"MES"),RIGHT(B6920,7),""),2)="PA",RIGHT(IF(AND(K6920&lt;&gt;"H",K6920&lt;&gt;"MES"),RIGHT(B6920,7),""),2)="PE"),LEFT(IF(AND(K6920&lt;&gt;"H",K6920&lt;&gt;"MES"),RIGHT(B6920,10),""),7),IF(AND(K6920&lt;&gt;"H",K6920&lt;&gt;"MES"),RIGHT(B6920,7),""))</f>
        <v>07/2020</v>
      </c>
    </row>
    <row r="6921" spans="1:12" x14ac:dyDescent="0.25">
      <c r="A6921" s="170" t="s">
        <v>9651</v>
      </c>
      <c r="B6921" s="170" t="s">
        <v>10596</v>
      </c>
      <c r="C6921" s="170" t="s">
        <v>1292</v>
      </c>
      <c r="D6921" s="170" t="s">
        <v>1947</v>
      </c>
      <c r="E6921" s="171" t="s">
        <v>20056</v>
      </c>
      <c r="F6921" s="171" t="s">
        <v>16399</v>
      </c>
      <c r="H6921" s="96">
        <f t="shared" si="439"/>
        <v>1.91</v>
      </c>
      <c r="I6921" s="96">
        <f t="shared" si="440"/>
        <v>1.93</v>
      </c>
      <c r="J6921" s="91" t="str">
        <f t="shared" si="441"/>
        <v>Sinapi 95877</v>
      </c>
      <c r="K6921" s="91" t="str">
        <f t="shared" si="442"/>
        <v>M3XKM</v>
      </c>
      <c r="L6921" s="166" t="str">
        <f t="shared" si="443"/>
        <v>07/2020</v>
      </c>
    </row>
    <row r="6922" spans="1:12" x14ac:dyDescent="0.25">
      <c r="A6922" s="170" t="s">
        <v>9652</v>
      </c>
      <c r="B6922" s="170" t="s">
        <v>10597</v>
      </c>
      <c r="C6922" s="170" t="s">
        <v>1293</v>
      </c>
      <c r="D6922" s="170" t="s">
        <v>1947</v>
      </c>
      <c r="E6922" s="171" t="s">
        <v>13401</v>
      </c>
      <c r="F6922" s="171" t="s">
        <v>28552</v>
      </c>
      <c r="H6922" s="96">
        <f t="shared" si="439"/>
        <v>1.73</v>
      </c>
      <c r="I6922" s="96">
        <f t="shared" si="440"/>
        <v>1.75</v>
      </c>
      <c r="J6922" s="91" t="str">
        <f t="shared" si="441"/>
        <v>Sinapi 95878</v>
      </c>
      <c r="K6922" s="91" t="str">
        <f t="shared" si="442"/>
        <v>TXKM</v>
      </c>
      <c r="L6922" s="166" t="str">
        <f t="shared" si="443"/>
        <v>07/2020</v>
      </c>
    </row>
    <row r="6923" spans="1:12" x14ac:dyDescent="0.25">
      <c r="A6923" s="170" t="s">
        <v>9653</v>
      </c>
      <c r="B6923" s="170" t="s">
        <v>10598</v>
      </c>
      <c r="C6923" s="170" t="s">
        <v>1293</v>
      </c>
      <c r="D6923" s="170" t="s">
        <v>1947</v>
      </c>
      <c r="E6923" s="171" t="s">
        <v>2116</v>
      </c>
      <c r="F6923" s="171" t="s">
        <v>16421</v>
      </c>
      <c r="H6923" s="96">
        <f t="shared" si="439"/>
        <v>1.5</v>
      </c>
      <c r="I6923" s="96">
        <f t="shared" si="440"/>
        <v>1.52</v>
      </c>
      <c r="J6923" s="91" t="str">
        <f t="shared" si="441"/>
        <v>Sinapi 95879</v>
      </c>
      <c r="K6923" s="91" t="str">
        <f t="shared" si="442"/>
        <v>TXKM</v>
      </c>
      <c r="L6923" s="166" t="str">
        <f t="shared" si="443"/>
        <v>07/2020</v>
      </c>
    </row>
    <row r="6924" spans="1:12" x14ac:dyDescent="0.25">
      <c r="A6924" s="170" t="s">
        <v>9654</v>
      </c>
      <c r="B6924" s="170" t="s">
        <v>10599</v>
      </c>
      <c r="C6924" s="170" t="s">
        <v>1293</v>
      </c>
      <c r="D6924" s="170" t="s">
        <v>1947</v>
      </c>
      <c r="E6924" s="171" t="s">
        <v>9557</v>
      </c>
      <c r="F6924" s="171" t="s">
        <v>14120</v>
      </c>
      <c r="H6924" s="96">
        <f t="shared" si="439"/>
        <v>1.28</v>
      </c>
      <c r="I6924" s="96">
        <f t="shared" si="440"/>
        <v>1.29</v>
      </c>
      <c r="J6924" s="91" t="str">
        <f t="shared" si="441"/>
        <v>Sinapi 95880</v>
      </c>
      <c r="K6924" s="91" t="str">
        <f t="shared" si="442"/>
        <v>TXKM</v>
      </c>
      <c r="L6924" s="166" t="str">
        <f t="shared" si="443"/>
        <v>07/2020</v>
      </c>
    </row>
    <row r="6925" spans="1:12" x14ac:dyDescent="0.25">
      <c r="A6925" s="170" t="s">
        <v>9655</v>
      </c>
      <c r="B6925" s="170" t="s">
        <v>10600</v>
      </c>
      <c r="C6925" s="170" t="s">
        <v>1292</v>
      </c>
      <c r="D6925" s="170" t="s">
        <v>1947</v>
      </c>
      <c r="E6925" s="171" t="s">
        <v>20987</v>
      </c>
      <c r="F6925" s="171" t="s">
        <v>22786</v>
      </c>
      <c r="H6925" s="96">
        <f t="shared" si="439"/>
        <v>3.81</v>
      </c>
      <c r="I6925" s="96">
        <f t="shared" si="440"/>
        <v>3.88</v>
      </c>
      <c r="J6925" s="91" t="str">
        <f t="shared" si="441"/>
        <v>Sinapi 97912</v>
      </c>
      <c r="K6925" s="91" t="str">
        <f t="shared" si="442"/>
        <v>M3XKM</v>
      </c>
      <c r="L6925" s="166" t="str">
        <f t="shared" si="443"/>
        <v>07/2020</v>
      </c>
    </row>
    <row r="6926" spans="1:12" x14ac:dyDescent="0.25">
      <c r="A6926" s="170" t="s">
        <v>9656</v>
      </c>
      <c r="B6926" s="170" t="s">
        <v>10601</v>
      </c>
      <c r="C6926" s="170" t="s">
        <v>1292</v>
      </c>
      <c r="D6926" s="170" t="s">
        <v>1947</v>
      </c>
      <c r="E6926" s="171" t="s">
        <v>7398</v>
      </c>
      <c r="F6926" s="171" t="s">
        <v>20974</v>
      </c>
      <c r="H6926" s="96">
        <f t="shared" si="439"/>
        <v>3.3</v>
      </c>
      <c r="I6926" s="96">
        <f t="shared" si="440"/>
        <v>3.37</v>
      </c>
      <c r="J6926" s="91" t="str">
        <f t="shared" si="441"/>
        <v>Sinapi 97913</v>
      </c>
      <c r="K6926" s="91" t="str">
        <f t="shared" si="442"/>
        <v>M3XKM</v>
      </c>
      <c r="L6926" s="166" t="str">
        <f t="shared" si="443"/>
        <v>07/2020</v>
      </c>
    </row>
    <row r="6927" spans="1:12" x14ac:dyDescent="0.25">
      <c r="A6927" s="170" t="s">
        <v>9657</v>
      </c>
      <c r="B6927" s="170" t="s">
        <v>10602</v>
      </c>
      <c r="C6927" s="170" t="s">
        <v>1292</v>
      </c>
      <c r="D6927" s="170" t="s">
        <v>1947</v>
      </c>
      <c r="E6927" s="171" t="s">
        <v>22771</v>
      </c>
      <c r="F6927" s="171" t="s">
        <v>23225</v>
      </c>
      <c r="H6927" s="96">
        <f t="shared" si="439"/>
        <v>3.02</v>
      </c>
      <c r="I6927" s="96">
        <f t="shared" si="440"/>
        <v>3.08</v>
      </c>
      <c r="J6927" s="91" t="str">
        <f t="shared" si="441"/>
        <v>Sinapi 97914</v>
      </c>
      <c r="K6927" s="91" t="str">
        <f t="shared" si="442"/>
        <v>M3XKM</v>
      </c>
      <c r="L6927" s="166" t="str">
        <f t="shared" si="443"/>
        <v>07/2020</v>
      </c>
    </row>
    <row r="6928" spans="1:12" x14ac:dyDescent="0.25">
      <c r="A6928" s="170" t="s">
        <v>9658</v>
      </c>
      <c r="B6928" s="170" t="s">
        <v>10603</v>
      </c>
      <c r="C6928" s="170" t="s">
        <v>1292</v>
      </c>
      <c r="D6928" s="170" t="s">
        <v>1947</v>
      </c>
      <c r="E6928" s="171" t="s">
        <v>20045</v>
      </c>
      <c r="F6928" s="171" t="s">
        <v>14922</v>
      </c>
      <c r="H6928" s="96">
        <f t="shared" si="439"/>
        <v>1.21</v>
      </c>
      <c r="I6928" s="96">
        <f t="shared" si="440"/>
        <v>1.24</v>
      </c>
      <c r="J6928" s="91" t="str">
        <f t="shared" si="441"/>
        <v>Sinapi 97915</v>
      </c>
      <c r="K6928" s="91" t="str">
        <f t="shared" si="442"/>
        <v>M3XKM</v>
      </c>
      <c r="L6928" s="166" t="str">
        <f t="shared" si="443"/>
        <v>07/2020</v>
      </c>
    </row>
    <row r="6929" spans="1:12" x14ac:dyDescent="0.25">
      <c r="A6929" s="170" t="s">
        <v>10604</v>
      </c>
      <c r="B6929" s="170" t="s">
        <v>10605</v>
      </c>
      <c r="C6929" s="170" t="s">
        <v>1292</v>
      </c>
      <c r="D6929" s="170" t="s">
        <v>1947</v>
      </c>
      <c r="E6929" s="171" t="s">
        <v>18594</v>
      </c>
      <c r="F6929" s="171" t="s">
        <v>14353</v>
      </c>
      <c r="H6929" s="96">
        <f t="shared" si="439"/>
        <v>9.09</v>
      </c>
      <c r="I6929" s="96">
        <f t="shared" si="440"/>
        <v>9.26</v>
      </c>
      <c r="J6929" s="91" t="str">
        <f t="shared" si="441"/>
        <v>Sinapi 100937</v>
      </c>
      <c r="K6929" s="91" t="str">
        <f t="shared" si="442"/>
        <v>M3XKM</v>
      </c>
      <c r="L6929" s="166" t="str">
        <f t="shared" si="443"/>
        <v>07/2020</v>
      </c>
    </row>
    <row r="6930" spans="1:12" x14ac:dyDescent="0.25">
      <c r="A6930" s="170" t="s">
        <v>10606</v>
      </c>
      <c r="B6930" s="170" t="s">
        <v>10607</v>
      </c>
      <c r="C6930" s="170" t="s">
        <v>1292</v>
      </c>
      <c r="D6930" s="170" t="s">
        <v>1947</v>
      </c>
      <c r="E6930" s="171" t="s">
        <v>19833</v>
      </c>
      <c r="F6930" s="171" t="s">
        <v>20467</v>
      </c>
      <c r="H6930" s="96">
        <f t="shared" si="439"/>
        <v>7.76</v>
      </c>
      <c r="I6930" s="96">
        <f t="shared" si="440"/>
        <v>7.86</v>
      </c>
      <c r="J6930" s="91" t="str">
        <f t="shared" si="441"/>
        <v>Sinapi 100938</v>
      </c>
      <c r="K6930" s="91" t="str">
        <f t="shared" si="442"/>
        <v>M3XKM</v>
      </c>
      <c r="L6930" s="166" t="str">
        <f t="shared" si="443"/>
        <v>07/2020</v>
      </c>
    </row>
    <row r="6931" spans="1:12" x14ac:dyDescent="0.25">
      <c r="A6931" s="170" t="s">
        <v>10608</v>
      </c>
      <c r="B6931" s="170" t="s">
        <v>10609</v>
      </c>
      <c r="C6931" s="170" t="s">
        <v>1292</v>
      </c>
      <c r="D6931" s="170" t="s">
        <v>1947</v>
      </c>
      <c r="E6931" s="171" t="s">
        <v>20108</v>
      </c>
      <c r="F6931" s="171" t="s">
        <v>27130</v>
      </c>
      <c r="H6931" s="96">
        <f t="shared" si="439"/>
        <v>6.76</v>
      </c>
      <c r="I6931" s="96">
        <f t="shared" si="440"/>
        <v>6.83</v>
      </c>
      <c r="J6931" s="91" t="str">
        <f t="shared" si="441"/>
        <v>Sinapi 100939</v>
      </c>
      <c r="K6931" s="91" t="str">
        <f t="shared" si="442"/>
        <v>M3XKM</v>
      </c>
      <c r="L6931" s="166" t="str">
        <f t="shared" si="443"/>
        <v>07/2020</v>
      </c>
    </row>
    <row r="6932" spans="1:12" x14ac:dyDescent="0.25">
      <c r="A6932" s="170" t="s">
        <v>10610</v>
      </c>
      <c r="B6932" s="170" t="s">
        <v>10611</v>
      </c>
      <c r="C6932" s="170" t="s">
        <v>1292</v>
      </c>
      <c r="D6932" s="170" t="s">
        <v>1947</v>
      </c>
      <c r="E6932" s="171" t="s">
        <v>13400</v>
      </c>
      <c r="F6932" s="171" t="s">
        <v>21869</v>
      </c>
      <c r="H6932" s="96">
        <f t="shared" si="439"/>
        <v>5.79</v>
      </c>
      <c r="I6932" s="96">
        <f t="shared" si="440"/>
        <v>5.85</v>
      </c>
      <c r="J6932" s="91" t="str">
        <f t="shared" si="441"/>
        <v>Sinapi 100940</v>
      </c>
      <c r="K6932" s="91" t="str">
        <f t="shared" si="442"/>
        <v>M3XKM</v>
      </c>
      <c r="L6932" s="166" t="str">
        <f t="shared" si="443"/>
        <v>07/2020</v>
      </c>
    </row>
    <row r="6933" spans="1:12" x14ac:dyDescent="0.25">
      <c r="A6933" s="170" t="s">
        <v>10612</v>
      </c>
      <c r="B6933" s="170" t="s">
        <v>10613</v>
      </c>
      <c r="C6933" s="170" t="s">
        <v>1293</v>
      </c>
      <c r="D6933" s="170" t="s">
        <v>1947</v>
      </c>
      <c r="E6933" s="171" t="s">
        <v>17705</v>
      </c>
      <c r="F6933" s="171" t="s">
        <v>17894</v>
      </c>
      <c r="H6933" s="96">
        <f t="shared" si="439"/>
        <v>6.05</v>
      </c>
      <c r="I6933" s="96">
        <f t="shared" si="440"/>
        <v>6.17</v>
      </c>
      <c r="J6933" s="91" t="str">
        <f t="shared" si="441"/>
        <v>Sinapi 100941</v>
      </c>
      <c r="K6933" s="91" t="str">
        <f t="shared" si="442"/>
        <v>TXKM</v>
      </c>
      <c r="L6933" s="166" t="str">
        <f t="shared" si="443"/>
        <v>07/2020</v>
      </c>
    </row>
    <row r="6934" spans="1:12" x14ac:dyDescent="0.25">
      <c r="A6934" s="170" t="s">
        <v>10614</v>
      </c>
      <c r="B6934" s="170" t="s">
        <v>10615</v>
      </c>
      <c r="C6934" s="170" t="s">
        <v>1293</v>
      </c>
      <c r="D6934" s="170" t="s">
        <v>1947</v>
      </c>
      <c r="E6934" s="171" t="s">
        <v>17371</v>
      </c>
      <c r="F6934" s="171" t="s">
        <v>12327</v>
      </c>
      <c r="H6934" s="96">
        <f t="shared" si="439"/>
        <v>5.18</v>
      </c>
      <c r="I6934" s="96">
        <f t="shared" si="440"/>
        <v>5.25</v>
      </c>
      <c r="J6934" s="91" t="str">
        <f t="shared" si="441"/>
        <v>Sinapi 100942</v>
      </c>
      <c r="K6934" s="91" t="str">
        <f t="shared" si="442"/>
        <v>TXKM</v>
      </c>
      <c r="L6934" s="166" t="str">
        <f t="shared" si="443"/>
        <v>07/2020</v>
      </c>
    </row>
    <row r="6935" spans="1:12" x14ac:dyDescent="0.25">
      <c r="A6935" s="170" t="s">
        <v>10616</v>
      </c>
      <c r="B6935" s="170" t="s">
        <v>10617</v>
      </c>
      <c r="C6935" s="170" t="s">
        <v>1293</v>
      </c>
      <c r="D6935" s="170" t="s">
        <v>1947</v>
      </c>
      <c r="E6935" s="171" t="s">
        <v>5912</v>
      </c>
      <c r="F6935" s="171" t="s">
        <v>20053</v>
      </c>
      <c r="H6935" s="96">
        <f t="shared" si="439"/>
        <v>4.49</v>
      </c>
      <c r="I6935" s="96">
        <f t="shared" si="440"/>
        <v>4.53</v>
      </c>
      <c r="J6935" s="91" t="str">
        <f t="shared" si="441"/>
        <v>Sinapi 100943</v>
      </c>
      <c r="K6935" s="91" t="str">
        <f t="shared" si="442"/>
        <v>TXKM</v>
      </c>
      <c r="L6935" s="166" t="str">
        <f t="shared" si="443"/>
        <v>07/2020</v>
      </c>
    </row>
    <row r="6936" spans="1:12" x14ac:dyDescent="0.25">
      <c r="A6936" s="170" t="s">
        <v>10618</v>
      </c>
      <c r="B6936" s="170" t="s">
        <v>10619</v>
      </c>
      <c r="C6936" s="170" t="s">
        <v>1293</v>
      </c>
      <c r="D6936" s="170" t="s">
        <v>1947</v>
      </c>
      <c r="E6936" s="171" t="s">
        <v>21576</v>
      </c>
      <c r="F6936" s="171" t="s">
        <v>19291</v>
      </c>
      <c r="H6936" s="96">
        <f t="shared" si="439"/>
        <v>3.87</v>
      </c>
      <c r="I6936" s="96">
        <f t="shared" si="440"/>
        <v>3.91</v>
      </c>
      <c r="J6936" s="91" t="str">
        <f t="shared" si="441"/>
        <v>Sinapi 100944</v>
      </c>
      <c r="K6936" s="91" t="str">
        <f t="shared" si="442"/>
        <v>TXKM</v>
      </c>
      <c r="L6936" s="166" t="str">
        <f t="shared" si="443"/>
        <v>07/2020</v>
      </c>
    </row>
    <row r="6937" spans="1:12" x14ac:dyDescent="0.25">
      <c r="A6937" s="170" t="s">
        <v>10620</v>
      </c>
      <c r="B6937" s="170" t="s">
        <v>10621</v>
      </c>
      <c r="C6937" s="170" t="s">
        <v>1293</v>
      </c>
      <c r="D6937" s="170" t="s">
        <v>1947</v>
      </c>
      <c r="E6937" s="171" t="s">
        <v>29864</v>
      </c>
      <c r="F6937" s="171" t="s">
        <v>23874</v>
      </c>
      <c r="H6937" s="96">
        <f t="shared" si="439"/>
        <v>2.92</v>
      </c>
      <c r="I6937" s="96">
        <f t="shared" si="440"/>
        <v>2.96</v>
      </c>
      <c r="J6937" s="91" t="str">
        <f t="shared" si="441"/>
        <v>Sinapi 100945</v>
      </c>
      <c r="K6937" s="91" t="str">
        <f t="shared" si="442"/>
        <v>TXKM</v>
      </c>
      <c r="L6937" s="166" t="str">
        <f t="shared" si="443"/>
        <v>07/2020</v>
      </c>
    </row>
    <row r="6938" spans="1:12" x14ac:dyDescent="0.25">
      <c r="A6938" s="170" t="s">
        <v>10622</v>
      </c>
      <c r="B6938" s="170" t="s">
        <v>10623</v>
      </c>
      <c r="C6938" s="170" t="s">
        <v>1293</v>
      </c>
      <c r="D6938" s="170" t="s">
        <v>1947</v>
      </c>
      <c r="E6938" s="171" t="s">
        <v>26299</v>
      </c>
      <c r="F6938" s="171" t="s">
        <v>21017</v>
      </c>
      <c r="H6938" s="96">
        <f t="shared" si="439"/>
        <v>2.52</v>
      </c>
      <c r="I6938" s="96">
        <f t="shared" si="440"/>
        <v>2.56</v>
      </c>
      <c r="J6938" s="91" t="str">
        <f t="shared" si="441"/>
        <v>Sinapi 100946</v>
      </c>
      <c r="K6938" s="91" t="str">
        <f t="shared" si="442"/>
        <v>TXKM</v>
      </c>
      <c r="L6938" s="166" t="str">
        <f t="shared" si="443"/>
        <v>07/2020</v>
      </c>
    </row>
    <row r="6939" spans="1:12" x14ac:dyDescent="0.25">
      <c r="A6939" s="170" t="s">
        <v>10624</v>
      </c>
      <c r="B6939" s="170" t="s">
        <v>10625</v>
      </c>
      <c r="C6939" s="170" t="s">
        <v>1293</v>
      </c>
      <c r="D6939" s="170" t="s">
        <v>1947</v>
      </c>
      <c r="E6939" s="171" t="s">
        <v>17351</v>
      </c>
      <c r="F6939" s="171" t="s">
        <v>15577</v>
      </c>
      <c r="H6939" s="96">
        <f t="shared" si="439"/>
        <v>2.3199999999999998</v>
      </c>
      <c r="I6939" s="96">
        <f t="shared" si="440"/>
        <v>2.35</v>
      </c>
      <c r="J6939" s="91" t="str">
        <f t="shared" si="441"/>
        <v>Sinapi 100947</v>
      </c>
      <c r="K6939" s="91" t="str">
        <f t="shared" si="442"/>
        <v>TXKM</v>
      </c>
      <c r="L6939" s="166" t="str">
        <f t="shared" si="443"/>
        <v>07/2020</v>
      </c>
    </row>
    <row r="6940" spans="1:12" x14ac:dyDescent="0.25">
      <c r="A6940" s="170" t="s">
        <v>10626</v>
      </c>
      <c r="B6940" s="170" t="s">
        <v>10627</v>
      </c>
      <c r="C6940" s="170" t="s">
        <v>1293</v>
      </c>
      <c r="D6940" s="170" t="s">
        <v>1947</v>
      </c>
      <c r="E6940" s="171" t="s">
        <v>28558</v>
      </c>
      <c r="F6940" s="171" t="s">
        <v>19294</v>
      </c>
      <c r="H6940" s="96">
        <f t="shared" si="439"/>
        <v>0.92</v>
      </c>
      <c r="I6940" s="96">
        <f t="shared" si="440"/>
        <v>0.93</v>
      </c>
      <c r="J6940" s="91" t="str">
        <f t="shared" si="441"/>
        <v>Sinapi 100948</v>
      </c>
      <c r="K6940" s="91" t="str">
        <f t="shared" si="442"/>
        <v>TXKM</v>
      </c>
      <c r="L6940" s="166" t="str">
        <f t="shared" si="443"/>
        <v>07/2020</v>
      </c>
    </row>
    <row r="6941" spans="1:12" x14ac:dyDescent="0.25">
      <c r="A6941" s="170" t="s">
        <v>10628</v>
      </c>
      <c r="B6941" s="170" t="s">
        <v>10629</v>
      </c>
      <c r="C6941" s="170" t="s">
        <v>1293</v>
      </c>
      <c r="D6941" s="170" t="s">
        <v>1947</v>
      </c>
      <c r="E6941" s="171" t="s">
        <v>14346</v>
      </c>
      <c r="F6941" s="171" t="s">
        <v>13748</v>
      </c>
      <c r="H6941" s="96">
        <f t="shared" si="439"/>
        <v>6.95</v>
      </c>
      <c r="I6941" s="96">
        <f t="shared" si="440"/>
        <v>7.06</v>
      </c>
      <c r="J6941" s="91" t="str">
        <f t="shared" si="441"/>
        <v>Sinapi 100949</v>
      </c>
      <c r="K6941" s="91" t="str">
        <f t="shared" si="442"/>
        <v>TXKM</v>
      </c>
      <c r="L6941" s="166" t="str">
        <f t="shared" si="443"/>
        <v>07/2020</v>
      </c>
    </row>
    <row r="6942" spans="1:12" x14ac:dyDescent="0.25">
      <c r="A6942" s="170" t="s">
        <v>10630</v>
      </c>
      <c r="B6942" s="170" t="s">
        <v>10631</v>
      </c>
      <c r="C6942" s="170" t="s">
        <v>1293</v>
      </c>
      <c r="D6942" s="170" t="s">
        <v>1947</v>
      </c>
      <c r="E6942" s="171" t="s">
        <v>21207</v>
      </c>
      <c r="F6942" s="171" t="s">
        <v>21086</v>
      </c>
      <c r="H6942" s="96">
        <f t="shared" si="439"/>
        <v>3.65</v>
      </c>
      <c r="I6942" s="96">
        <f t="shared" si="440"/>
        <v>3.69</v>
      </c>
      <c r="J6942" s="91" t="str">
        <f t="shared" si="441"/>
        <v>Sinapi 100950</v>
      </c>
      <c r="K6942" s="91" t="str">
        <f t="shared" si="442"/>
        <v>TXKM</v>
      </c>
      <c r="L6942" s="166" t="str">
        <f t="shared" si="443"/>
        <v>07/2020</v>
      </c>
    </row>
    <row r="6943" spans="1:12" x14ac:dyDescent="0.25">
      <c r="A6943" s="170" t="s">
        <v>10632</v>
      </c>
      <c r="B6943" s="170" t="s">
        <v>10633</v>
      </c>
      <c r="C6943" s="170" t="s">
        <v>1293</v>
      </c>
      <c r="D6943" s="170" t="s">
        <v>1947</v>
      </c>
      <c r="E6943" s="171" t="s">
        <v>22794</v>
      </c>
      <c r="F6943" s="171" t="s">
        <v>28546</v>
      </c>
      <c r="H6943" s="96">
        <f t="shared" si="439"/>
        <v>3.16</v>
      </c>
      <c r="I6943" s="96">
        <f t="shared" si="440"/>
        <v>3.19</v>
      </c>
      <c r="J6943" s="91" t="str">
        <f t="shared" si="441"/>
        <v>Sinapi 100951</v>
      </c>
      <c r="K6943" s="91" t="str">
        <f t="shared" si="442"/>
        <v>TXKM</v>
      </c>
      <c r="L6943" s="166" t="str">
        <f t="shared" si="443"/>
        <v>07/2020</v>
      </c>
    </row>
    <row r="6944" spans="1:12" x14ac:dyDescent="0.25">
      <c r="A6944" s="170" t="s">
        <v>10634</v>
      </c>
      <c r="B6944" s="170" t="s">
        <v>10635</v>
      </c>
      <c r="C6944" s="170" t="s">
        <v>1293</v>
      </c>
      <c r="D6944" s="170" t="s">
        <v>1947</v>
      </c>
      <c r="E6944" s="171" t="s">
        <v>22708</v>
      </c>
      <c r="F6944" s="171" t="s">
        <v>15573</v>
      </c>
      <c r="H6944" s="96">
        <f t="shared" si="439"/>
        <v>2.91</v>
      </c>
      <c r="I6944" s="96">
        <f t="shared" si="440"/>
        <v>2.94</v>
      </c>
      <c r="J6944" s="91" t="str">
        <f t="shared" si="441"/>
        <v>Sinapi 100952</v>
      </c>
      <c r="K6944" s="91" t="str">
        <f t="shared" si="442"/>
        <v>TXKM</v>
      </c>
      <c r="L6944" s="166" t="str">
        <f t="shared" si="443"/>
        <v>07/2020</v>
      </c>
    </row>
    <row r="6945" spans="1:12" x14ac:dyDescent="0.25">
      <c r="A6945" s="170" t="s">
        <v>10636</v>
      </c>
      <c r="B6945" s="170" t="s">
        <v>10637</v>
      </c>
      <c r="C6945" s="170" t="s">
        <v>1293</v>
      </c>
      <c r="D6945" s="170" t="s">
        <v>1947</v>
      </c>
      <c r="E6945" s="171" t="s">
        <v>19811</v>
      </c>
      <c r="F6945" s="171" t="s">
        <v>6093</v>
      </c>
      <c r="H6945" s="96">
        <f t="shared" si="439"/>
        <v>1.1499999999999999</v>
      </c>
      <c r="I6945" s="96">
        <f t="shared" si="440"/>
        <v>1.1599999999999999</v>
      </c>
      <c r="J6945" s="91" t="str">
        <f t="shared" si="441"/>
        <v>Sinapi 100953</v>
      </c>
      <c r="K6945" s="91" t="str">
        <f t="shared" si="442"/>
        <v>TXKM</v>
      </c>
      <c r="L6945" s="166" t="str">
        <f t="shared" si="443"/>
        <v>07/2020</v>
      </c>
    </row>
    <row r="6946" spans="1:12" x14ac:dyDescent="0.25">
      <c r="A6946" s="170" t="s">
        <v>10638</v>
      </c>
      <c r="B6946" s="170" t="s">
        <v>10639</v>
      </c>
      <c r="C6946" s="170" t="s">
        <v>1293</v>
      </c>
      <c r="D6946" s="170" t="s">
        <v>1947</v>
      </c>
      <c r="E6946" s="171" t="s">
        <v>30801</v>
      </c>
      <c r="F6946" s="171" t="s">
        <v>22710</v>
      </c>
      <c r="H6946" s="96">
        <f t="shared" si="439"/>
        <v>8.6999999999999993</v>
      </c>
      <c r="I6946" s="96">
        <f t="shared" si="440"/>
        <v>8.8000000000000007</v>
      </c>
      <c r="J6946" s="91" t="str">
        <f t="shared" si="441"/>
        <v>Sinapi 100954</v>
      </c>
      <c r="K6946" s="91" t="str">
        <f t="shared" si="442"/>
        <v>TXKM</v>
      </c>
      <c r="L6946" s="166" t="str">
        <f t="shared" si="443"/>
        <v>07/2020</v>
      </c>
    </row>
    <row r="6947" spans="1:12" x14ac:dyDescent="0.25">
      <c r="A6947" s="170" t="s">
        <v>10640</v>
      </c>
      <c r="B6947" s="170" t="s">
        <v>10641</v>
      </c>
      <c r="C6947" s="170" t="s">
        <v>1292</v>
      </c>
      <c r="D6947" s="170" t="s">
        <v>1947</v>
      </c>
      <c r="E6947" s="171" t="s">
        <v>13433</v>
      </c>
      <c r="F6947" s="171" t="s">
        <v>8958</v>
      </c>
      <c r="H6947" s="96">
        <f t="shared" si="439"/>
        <v>5.13</v>
      </c>
      <c r="I6947" s="96">
        <f t="shared" si="440"/>
        <v>5.21</v>
      </c>
      <c r="J6947" s="91" t="str">
        <f t="shared" si="441"/>
        <v>Sinapi 100955</v>
      </c>
      <c r="K6947" s="91" t="str">
        <f t="shared" si="442"/>
        <v>M3XKM</v>
      </c>
      <c r="L6947" s="166" t="str">
        <f t="shared" si="443"/>
        <v>07/2020</v>
      </c>
    </row>
    <row r="6948" spans="1:12" x14ac:dyDescent="0.25">
      <c r="A6948" s="170" t="s">
        <v>10642</v>
      </c>
      <c r="B6948" s="170" t="s">
        <v>10643</v>
      </c>
      <c r="C6948" s="170" t="s">
        <v>1292</v>
      </c>
      <c r="D6948" s="170" t="s">
        <v>1947</v>
      </c>
      <c r="E6948" s="171" t="s">
        <v>29020</v>
      </c>
      <c r="F6948" s="171" t="s">
        <v>22756</v>
      </c>
      <c r="H6948" s="96">
        <f t="shared" si="439"/>
        <v>4.46</v>
      </c>
      <c r="I6948" s="96">
        <f t="shared" si="440"/>
        <v>4.5199999999999996</v>
      </c>
      <c r="J6948" s="91" t="str">
        <f t="shared" si="441"/>
        <v>Sinapi 100956</v>
      </c>
      <c r="K6948" s="91" t="str">
        <f t="shared" si="442"/>
        <v>M3XKM</v>
      </c>
      <c r="L6948" s="166" t="str">
        <f t="shared" si="443"/>
        <v>07/2020</v>
      </c>
    </row>
    <row r="6949" spans="1:12" x14ac:dyDescent="0.25">
      <c r="A6949" s="170" t="s">
        <v>10644</v>
      </c>
      <c r="B6949" s="170" t="s">
        <v>10645</v>
      </c>
      <c r="C6949" s="170" t="s">
        <v>1292</v>
      </c>
      <c r="D6949" s="170" t="s">
        <v>1947</v>
      </c>
      <c r="E6949" s="171" t="s">
        <v>15513</v>
      </c>
      <c r="F6949" s="171" t="s">
        <v>28561</v>
      </c>
      <c r="H6949" s="96">
        <f t="shared" ref="H6949:H7000" si="444">IF(E6949="","",E6949+0)</f>
        <v>4.08</v>
      </c>
      <c r="I6949" s="96">
        <f t="shared" ref="I6949:I7000" si="445">IF(F6949="","",F6949+0)</f>
        <v>4.13</v>
      </c>
      <c r="J6949" s="91" t="str">
        <f t="shared" ref="J6949:J7000" si="446">IF(OR(H6949="",I6949=""),"",TRIM(CONCATENATE("Sinapi ",A6949)))</f>
        <v>Sinapi 100957</v>
      </c>
      <c r="K6949" s="91" t="str">
        <f t="shared" ref="K6949:K7000" si="447">TRIM(C6949)</f>
        <v>M3XKM</v>
      </c>
      <c r="L6949" s="166" t="str">
        <f t="shared" si="443"/>
        <v>07/2020</v>
      </c>
    </row>
    <row r="6950" spans="1:12" x14ac:dyDescent="0.25">
      <c r="A6950" s="170" t="s">
        <v>10646</v>
      </c>
      <c r="B6950" s="170" t="s">
        <v>10647</v>
      </c>
      <c r="C6950" s="170" t="s">
        <v>1292</v>
      </c>
      <c r="D6950" s="170" t="s">
        <v>1947</v>
      </c>
      <c r="E6950" s="171" t="s">
        <v>17969</v>
      </c>
      <c r="F6950" s="171" t="s">
        <v>3201</v>
      </c>
      <c r="H6950" s="96">
        <f t="shared" si="444"/>
        <v>1.64</v>
      </c>
      <c r="I6950" s="96">
        <f t="shared" si="445"/>
        <v>1.66</v>
      </c>
      <c r="J6950" s="91" t="str">
        <f t="shared" si="446"/>
        <v>Sinapi 100958</v>
      </c>
      <c r="K6950" s="91" t="str">
        <f t="shared" si="447"/>
        <v>M3XKM</v>
      </c>
      <c r="L6950" s="166" t="str">
        <f t="shared" si="443"/>
        <v>07/2020</v>
      </c>
    </row>
    <row r="6951" spans="1:12" x14ac:dyDescent="0.25">
      <c r="A6951" s="170" t="s">
        <v>10648</v>
      </c>
      <c r="B6951" s="170" t="s">
        <v>10649</v>
      </c>
      <c r="C6951" s="170" t="s">
        <v>1292</v>
      </c>
      <c r="D6951" s="170" t="s">
        <v>1947</v>
      </c>
      <c r="E6951" s="171" t="s">
        <v>19856</v>
      </c>
      <c r="F6951" s="171" t="s">
        <v>5480</v>
      </c>
      <c r="H6951" s="96">
        <f t="shared" si="444"/>
        <v>12.25</v>
      </c>
      <c r="I6951" s="96">
        <f t="shared" si="445"/>
        <v>12.41</v>
      </c>
      <c r="J6951" s="91" t="str">
        <f t="shared" si="446"/>
        <v>Sinapi 100959</v>
      </c>
      <c r="K6951" s="91" t="str">
        <f t="shared" si="447"/>
        <v>M3XKM</v>
      </c>
      <c r="L6951" s="166" t="str">
        <f t="shared" si="443"/>
        <v>07/2020</v>
      </c>
    </row>
    <row r="6952" spans="1:12" x14ac:dyDescent="0.25">
      <c r="A6952" s="170" t="s">
        <v>10650</v>
      </c>
      <c r="B6952" s="170" t="s">
        <v>10651</v>
      </c>
      <c r="C6952" s="170" t="s">
        <v>1292</v>
      </c>
      <c r="D6952" s="170" t="s">
        <v>1947</v>
      </c>
      <c r="E6952" s="171" t="s">
        <v>13755</v>
      </c>
      <c r="F6952" s="171" t="s">
        <v>22786</v>
      </c>
      <c r="H6952" s="96">
        <f t="shared" si="444"/>
        <v>3.84</v>
      </c>
      <c r="I6952" s="96">
        <f t="shared" si="445"/>
        <v>3.88</v>
      </c>
      <c r="J6952" s="91" t="str">
        <f t="shared" si="446"/>
        <v>Sinapi 100960</v>
      </c>
      <c r="K6952" s="91" t="str">
        <f t="shared" si="447"/>
        <v>M3XKM</v>
      </c>
      <c r="L6952" s="166" t="str">
        <f t="shared" si="443"/>
        <v>07/2020</v>
      </c>
    </row>
    <row r="6953" spans="1:12" x14ac:dyDescent="0.25">
      <c r="A6953" s="170" t="s">
        <v>10652</v>
      </c>
      <c r="B6953" s="170" t="s">
        <v>10653</v>
      </c>
      <c r="C6953" s="170" t="s">
        <v>1292</v>
      </c>
      <c r="D6953" s="170" t="s">
        <v>1947</v>
      </c>
      <c r="E6953" s="171" t="s">
        <v>25072</v>
      </c>
      <c r="F6953" s="171" t="s">
        <v>23524</v>
      </c>
      <c r="H6953" s="96">
        <f t="shared" si="444"/>
        <v>3.32</v>
      </c>
      <c r="I6953" s="96">
        <f t="shared" si="445"/>
        <v>3.36</v>
      </c>
      <c r="J6953" s="91" t="str">
        <f t="shared" si="446"/>
        <v>Sinapi 100961</v>
      </c>
      <c r="K6953" s="91" t="str">
        <f t="shared" si="447"/>
        <v>M3XKM</v>
      </c>
      <c r="L6953" s="166" t="str">
        <f t="shared" si="443"/>
        <v>07/2020</v>
      </c>
    </row>
    <row r="6954" spans="1:12" x14ac:dyDescent="0.25">
      <c r="A6954" s="170" t="s">
        <v>10654</v>
      </c>
      <c r="B6954" s="170" t="s">
        <v>10655</v>
      </c>
      <c r="C6954" s="170" t="s">
        <v>1292</v>
      </c>
      <c r="D6954" s="170" t="s">
        <v>1947</v>
      </c>
      <c r="E6954" s="171" t="s">
        <v>24917</v>
      </c>
      <c r="F6954" s="171" t="s">
        <v>29750</v>
      </c>
      <c r="H6954" s="96">
        <f t="shared" si="444"/>
        <v>3.03</v>
      </c>
      <c r="I6954" s="96">
        <f t="shared" si="445"/>
        <v>3.06</v>
      </c>
      <c r="J6954" s="91" t="str">
        <f t="shared" si="446"/>
        <v>Sinapi 100962</v>
      </c>
      <c r="K6954" s="91" t="str">
        <f t="shared" si="447"/>
        <v>M3XKM</v>
      </c>
      <c r="L6954" s="166" t="str">
        <f t="shared" si="443"/>
        <v>07/2020</v>
      </c>
    </row>
    <row r="6955" spans="1:12" x14ac:dyDescent="0.25">
      <c r="A6955" s="170" t="s">
        <v>10656</v>
      </c>
      <c r="B6955" s="170" t="s">
        <v>10657</v>
      </c>
      <c r="C6955" s="170" t="s">
        <v>1292</v>
      </c>
      <c r="D6955" s="170" t="s">
        <v>1947</v>
      </c>
      <c r="E6955" s="171" t="s">
        <v>19878</v>
      </c>
      <c r="F6955" s="171" t="s">
        <v>20045</v>
      </c>
      <c r="H6955" s="96">
        <f t="shared" si="444"/>
        <v>1.2</v>
      </c>
      <c r="I6955" s="96">
        <f t="shared" si="445"/>
        <v>1.21</v>
      </c>
      <c r="J6955" s="91" t="str">
        <f t="shared" si="446"/>
        <v>Sinapi 100963</v>
      </c>
      <c r="K6955" s="91" t="str">
        <f t="shared" si="447"/>
        <v>M3XKM</v>
      </c>
      <c r="L6955" s="166" t="str">
        <f t="shared" si="443"/>
        <v>07/2020</v>
      </c>
    </row>
    <row r="6956" spans="1:12" x14ac:dyDescent="0.25">
      <c r="A6956" s="170" t="s">
        <v>10658</v>
      </c>
      <c r="B6956" s="170" t="s">
        <v>10659</v>
      </c>
      <c r="C6956" s="170" t="s">
        <v>1292</v>
      </c>
      <c r="D6956" s="170" t="s">
        <v>1947</v>
      </c>
      <c r="E6956" s="171" t="s">
        <v>14936</v>
      </c>
      <c r="F6956" s="171" t="s">
        <v>19279</v>
      </c>
      <c r="H6956" s="96">
        <f t="shared" si="444"/>
        <v>9.1999999999999993</v>
      </c>
      <c r="I6956" s="96">
        <f t="shared" si="445"/>
        <v>9.3000000000000007</v>
      </c>
      <c r="J6956" s="91" t="str">
        <f t="shared" si="446"/>
        <v>Sinapi 100964</v>
      </c>
      <c r="K6956" s="91" t="str">
        <f t="shared" si="447"/>
        <v>M3XKM</v>
      </c>
      <c r="L6956" s="166" t="str">
        <f t="shared" si="443"/>
        <v>07/2020</v>
      </c>
    </row>
    <row r="6957" spans="1:12" x14ac:dyDescent="0.25">
      <c r="A6957" s="170" t="s">
        <v>10660</v>
      </c>
      <c r="B6957" s="170" t="s">
        <v>10661</v>
      </c>
      <c r="C6957" s="170" t="s">
        <v>85</v>
      </c>
      <c r="D6957" s="170" t="s">
        <v>1947</v>
      </c>
      <c r="E6957" s="171" t="s">
        <v>28858</v>
      </c>
      <c r="F6957" s="171" t="s">
        <v>18594</v>
      </c>
      <c r="H6957" s="96">
        <f t="shared" si="444"/>
        <v>8.89</v>
      </c>
      <c r="I6957" s="96">
        <f t="shared" si="445"/>
        <v>9.09</v>
      </c>
      <c r="J6957" s="91" t="str">
        <f t="shared" si="446"/>
        <v>Sinapi 100973</v>
      </c>
      <c r="K6957" s="91" t="str">
        <f t="shared" si="447"/>
        <v>M3</v>
      </c>
      <c r="L6957" s="166" t="str">
        <f t="shared" si="443"/>
        <v>07/2020</v>
      </c>
    </row>
    <row r="6958" spans="1:12" x14ac:dyDescent="0.25">
      <c r="A6958" s="170" t="s">
        <v>10662</v>
      </c>
      <c r="B6958" s="170" t="s">
        <v>10663</v>
      </c>
      <c r="C6958" s="170" t="s">
        <v>85</v>
      </c>
      <c r="D6958" s="170" t="s">
        <v>1947</v>
      </c>
      <c r="E6958" s="171" t="s">
        <v>26595</v>
      </c>
      <c r="F6958" s="171" t="s">
        <v>28858</v>
      </c>
      <c r="H6958" s="96">
        <f t="shared" si="444"/>
        <v>8.74</v>
      </c>
      <c r="I6958" s="96">
        <f t="shared" si="445"/>
        <v>8.89</v>
      </c>
      <c r="J6958" s="91" t="str">
        <f t="shared" si="446"/>
        <v>Sinapi 100974</v>
      </c>
      <c r="K6958" s="91" t="str">
        <f t="shared" si="447"/>
        <v>M3</v>
      </c>
      <c r="L6958" s="166" t="str">
        <f t="shared" si="443"/>
        <v>07/2020</v>
      </c>
    </row>
    <row r="6959" spans="1:12" x14ac:dyDescent="0.25">
      <c r="A6959" s="170" t="s">
        <v>10664</v>
      </c>
      <c r="B6959" s="170" t="s">
        <v>10665</v>
      </c>
      <c r="C6959" s="170" t="s">
        <v>85</v>
      </c>
      <c r="D6959" s="170" t="s">
        <v>1947</v>
      </c>
      <c r="E6959" s="171" t="s">
        <v>28556</v>
      </c>
      <c r="F6959" s="171" t="s">
        <v>28858</v>
      </c>
      <c r="H6959" s="96">
        <f t="shared" si="444"/>
        <v>8.77</v>
      </c>
      <c r="I6959" s="96">
        <f t="shared" si="445"/>
        <v>8.89</v>
      </c>
      <c r="J6959" s="91" t="str">
        <f t="shared" si="446"/>
        <v>Sinapi 100975</v>
      </c>
      <c r="K6959" s="91" t="str">
        <f t="shared" si="447"/>
        <v>M3</v>
      </c>
      <c r="L6959" s="166" t="str">
        <f t="shared" si="443"/>
        <v>07/2020</v>
      </c>
    </row>
    <row r="6960" spans="1:12" x14ac:dyDescent="0.25">
      <c r="A6960" s="170" t="s">
        <v>10666</v>
      </c>
      <c r="B6960" s="170" t="s">
        <v>10667</v>
      </c>
      <c r="C6960" s="170" t="s">
        <v>1293</v>
      </c>
      <c r="D6960" s="170" t="s">
        <v>1947</v>
      </c>
      <c r="E6960" s="171" t="s">
        <v>17372</v>
      </c>
      <c r="F6960" s="171" t="s">
        <v>21443</v>
      </c>
      <c r="H6960" s="96">
        <f t="shared" si="444"/>
        <v>1.87</v>
      </c>
      <c r="I6960" s="96">
        <f t="shared" si="445"/>
        <v>1.89</v>
      </c>
      <c r="J6960" s="91" t="str">
        <f t="shared" si="446"/>
        <v>Sinapi 100965</v>
      </c>
      <c r="K6960" s="91" t="str">
        <f t="shared" si="447"/>
        <v>TXKM</v>
      </c>
      <c r="L6960" s="166" t="str">
        <f t="shared" si="443"/>
        <v>07/2020</v>
      </c>
    </row>
    <row r="6961" spans="1:12" x14ac:dyDescent="0.25">
      <c r="A6961" s="170" t="s">
        <v>10668</v>
      </c>
      <c r="B6961" s="170" t="s">
        <v>10669</v>
      </c>
      <c r="C6961" s="170" t="s">
        <v>1293</v>
      </c>
      <c r="D6961" s="170" t="s">
        <v>1947</v>
      </c>
      <c r="E6961" s="171" t="s">
        <v>9446</v>
      </c>
      <c r="F6961" s="171" t="s">
        <v>14790</v>
      </c>
      <c r="H6961" s="96">
        <f t="shared" si="444"/>
        <v>1.6</v>
      </c>
      <c r="I6961" s="96">
        <f t="shared" si="445"/>
        <v>1.62</v>
      </c>
      <c r="J6961" s="91" t="str">
        <f t="shared" si="446"/>
        <v>Sinapi 100966</v>
      </c>
      <c r="K6961" s="91" t="str">
        <f t="shared" si="447"/>
        <v>TXKM</v>
      </c>
      <c r="L6961" s="166" t="str">
        <f t="shared" si="443"/>
        <v>07/2020</v>
      </c>
    </row>
    <row r="6962" spans="1:12" x14ac:dyDescent="0.25">
      <c r="A6962" s="170" t="s">
        <v>10672</v>
      </c>
      <c r="B6962" s="170" t="s">
        <v>10673</v>
      </c>
      <c r="C6962" s="170" t="s">
        <v>1293</v>
      </c>
      <c r="D6962" s="170" t="s">
        <v>1947</v>
      </c>
      <c r="E6962" s="171" t="s">
        <v>5393</v>
      </c>
      <c r="F6962" s="171" t="s">
        <v>17905</v>
      </c>
      <c r="H6962" s="96">
        <f t="shared" si="444"/>
        <v>2.4500000000000002</v>
      </c>
      <c r="I6962" s="96">
        <f t="shared" si="445"/>
        <v>2.48</v>
      </c>
      <c r="J6962" s="91" t="str">
        <f t="shared" si="446"/>
        <v>Sinapi 100969</v>
      </c>
      <c r="K6962" s="91" t="str">
        <f t="shared" si="447"/>
        <v>TXKM</v>
      </c>
      <c r="L6962" s="166" t="str">
        <f t="shared" si="443"/>
        <v>07/2020</v>
      </c>
    </row>
    <row r="6963" spans="1:12" x14ac:dyDescent="0.25">
      <c r="A6963" s="170" t="s">
        <v>10674</v>
      </c>
      <c r="B6963" s="170" t="s">
        <v>10675</v>
      </c>
      <c r="C6963" s="170" t="s">
        <v>1293</v>
      </c>
      <c r="D6963" s="170" t="s">
        <v>1947</v>
      </c>
      <c r="E6963" s="171" t="s">
        <v>22893</v>
      </c>
      <c r="F6963" s="171" t="s">
        <v>21051</v>
      </c>
      <c r="H6963" s="96">
        <f t="shared" si="444"/>
        <v>2.0699999999999998</v>
      </c>
      <c r="I6963" s="96">
        <f t="shared" si="445"/>
        <v>2.1</v>
      </c>
      <c r="J6963" s="91" t="str">
        <f t="shared" si="446"/>
        <v>Sinapi 100970</v>
      </c>
      <c r="K6963" s="91" t="str">
        <f t="shared" si="447"/>
        <v>TXKM</v>
      </c>
      <c r="L6963" s="166" t="str">
        <f t="shared" si="443"/>
        <v>07/2020</v>
      </c>
    </row>
    <row r="6964" spans="1:12" x14ac:dyDescent="0.25">
      <c r="A6964" s="170" t="s">
        <v>12877</v>
      </c>
      <c r="B6964" s="170" t="s">
        <v>10670</v>
      </c>
      <c r="C6964" s="170" t="s">
        <v>1293</v>
      </c>
      <c r="D6964" s="170" t="s">
        <v>1947</v>
      </c>
      <c r="E6964" s="171" t="s">
        <v>29678</v>
      </c>
      <c r="F6964" s="171" t="s">
        <v>21598</v>
      </c>
      <c r="H6964" s="96">
        <f t="shared" si="444"/>
        <v>1.49</v>
      </c>
      <c r="I6964" s="96">
        <f t="shared" si="445"/>
        <v>1.51</v>
      </c>
      <c r="J6964" s="91" t="str">
        <f t="shared" si="446"/>
        <v>Sinapi 102330</v>
      </c>
      <c r="K6964" s="91" t="str">
        <f t="shared" si="447"/>
        <v>TXKM</v>
      </c>
      <c r="L6964" s="166" t="str">
        <f t="shared" si="443"/>
        <v>07/2020</v>
      </c>
    </row>
    <row r="6965" spans="1:12" x14ac:dyDescent="0.25">
      <c r="A6965" s="170" t="s">
        <v>12878</v>
      </c>
      <c r="B6965" s="170" t="s">
        <v>10671</v>
      </c>
      <c r="C6965" s="170" t="s">
        <v>1293</v>
      </c>
      <c r="D6965" s="170" t="s">
        <v>1947</v>
      </c>
      <c r="E6965" s="171" t="s">
        <v>9397</v>
      </c>
      <c r="F6965" s="171" t="s">
        <v>8387</v>
      </c>
      <c r="H6965" s="96">
        <f t="shared" si="444"/>
        <v>0.57999999999999996</v>
      </c>
      <c r="I6965" s="96">
        <f t="shared" si="445"/>
        <v>0.59</v>
      </c>
      <c r="J6965" s="91" t="str">
        <f t="shared" si="446"/>
        <v>Sinapi 102331</v>
      </c>
      <c r="K6965" s="91" t="str">
        <f t="shared" si="447"/>
        <v>TXKM</v>
      </c>
      <c r="L6965" s="166" t="str">
        <f t="shared" si="443"/>
        <v>07/2020</v>
      </c>
    </row>
    <row r="6966" spans="1:12" x14ac:dyDescent="0.25">
      <c r="A6966" s="170" t="s">
        <v>12879</v>
      </c>
      <c r="B6966" s="170" t="s">
        <v>10676</v>
      </c>
      <c r="C6966" s="170" t="s">
        <v>1293</v>
      </c>
      <c r="D6966" s="170" t="s">
        <v>1947</v>
      </c>
      <c r="E6966" s="171" t="s">
        <v>2121</v>
      </c>
      <c r="F6966" s="171" t="s">
        <v>8188</v>
      </c>
      <c r="H6966" s="96">
        <f t="shared" si="444"/>
        <v>1.94</v>
      </c>
      <c r="I6966" s="96">
        <f t="shared" si="445"/>
        <v>1.96</v>
      </c>
      <c r="J6966" s="91" t="str">
        <f t="shared" si="446"/>
        <v>Sinapi 102332</v>
      </c>
      <c r="K6966" s="91" t="str">
        <f t="shared" si="447"/>
        <v>TXKM</v>
      </c>
      <c r="L6966" s="166" t="str">
        <f t="shared" si="443"/>
        <v>07/2020</v>
      </c>
    </row>
    <row r="6967" spans="1:12" x14ac:dyDescent="0.25">
      <c r="A6967" s="170" t="s">
        <v>12880</v>
      </c>
      <c r="B6967" s="170" t="s">
        <v>10677</v>
      </c>
      <c r="C6967" s="170" t="s">
        <v>1293</v>
      </c>
      <c r="D6967" s="170" t="s">
        <v>1947</v>
      </c>
      <c r="E6967" s="171" t="s">
        <v>2114</v>
      </c>
      <c r="F6967" s="171" t="s">
        <v>19267</v>
      </c>
      <c r="H6967" s="96">
        <f t="shared" si="444"/>
        <v>0.78</v>
      </c>
      <c r="I6967" s="96">
        <f t="shared" si="445"/>
        <v>0.79</v>
      </c>
      <c r="J6967" s="91" t="str">
        <f t="shared" si="446"/>
        <v>Sinapi 102333</v>
      </c>
      <c r="K6967" s="91" t="str">
        <f t="shared" si="447"/>
        <v>TXKM</v>
      </c>
      <c r="L6967" s="166" t="str">
        <f t="shared" si="443"/>
        <v>07/2020</v>
      </c>
    </row>
    <row r="6968" spans="1:12" x14ac:dyDescent="0.25">
      <c r="A6968" s="170" t="s">
        <v>10678</v>
      </c>
      <c r="B6968" s="170" t="s">
        <v>10679</v>
      </c>
      <c r="C6968" s="170" t="s">
        <v>1155</v>
      </c>
      <c r="D6968" s="170" t="s">
        <v>1947</v>
      </c>
      <c r="E6968" s="171" t="s">
        <v>34874</v>
      </c>
      <c r="F6968" s="171" t="s">
        <v>37950</v>
      </c>
      <c r="H6968" s="96">
        <f t="shared" si="444"/>
        <v>564.26</v>
      </c>
      <c r="I6968" s="96">
        <f t="shared" si="445"/>
        <v>585.04</v>
      </c>
      <c r="J6968" s="91" t="str">
        <f t="shared" si="446"/>
        <v>Sinapi 101019</v>
      </c>
      <c r="K6968" s="91" t="str">
        <f t="shared" si="447"/>
        <v>T</v>
      </c>
      <c r="L6968" s="166" t="str">
        <f t="shared" si="443"/>
        <v>07/2020</v>
      </c>
    </row>
    <row r="6969" spans="1:12" x14ac:dyDescent="0.25">
      <c r="A6969" s="170" t="s">
        <v>10680</v>
      </c>
      <c r="B6969" s="170" t="s">
        <v>10681</v>
      </c>
      <c r="C6969" s="170" t="s">
        <v>1155</v>
      </c>
      <c r="D6969" s="170" t="s">
        <v>1947</v>
      </c>
      <c r="E6969" s="171" t="s">
        <v>34875</v>
      </c>
      <c r="F6969" s="171" t="s">
        <v>37951</v>
      </c>
      <c r="H6969" s="96">
        <f t="shared" si="444"/>
        <v>164.39</v>
      </c>
      <c r="I6969" s="96">
        <f t="shared" si="445"/>
        <v>170.45</v>
      </c>
      <c r="J6969" s="91" t="str">
        <f t="shared" si="446"/>
        <v>Sinapi 101479</v>
      </c>
      <c r="K6969" s="91" t="str">
        <f t="shared" si="447"/>
        <v>T</v>
      </c>
      <c r="L6969" s="166" t="str">
        <f t="shared" si="443"/>
        <v>07/2020</v>
      </c>
    </row>
    <row r="6970" spans="1:12" x14ac:dyDescent="0.25">
      <c r="A6970" s="170" t="s">
        <v>13834</v>
      </c>
      <c r="B6970" s="170" t="s">
        <v>13835</v>
      </c>
      <c r="C6970" s="170" t="s">
        <v>1155</v>
      </c>
      <c r="D6970" s="170" t="s">
        <v>1947</v>
      </c>
      <c r="E6970" s="171" t="s">
        <v>23034</v>
      </c>
      <c r="F6970" s="171" t="s">
        <v>28846</v>
      </c>
      <c r="H6970" s="96">
        <f t="shared" si="444"/>
        <v>280.06</v>
      </c>
      <c r="I6970" s="96">
        <f t="shared" si="445"/>
        <v>290.38</v>
      </c>
      <c r="J6970" s="91" t="str">
        <f t="shared" si="446"/>
        <v>Sinapi 102568</v>
      </c>
      <c r="K6970" s="91" t="str">
        <f t="shared" si="447"/>
        <v>T</v>
      </c>
      <c r="L6970" s="166" t="str">
        <f t="shared" si="443"/>
        <v>06/2021</v>
      </c>
    </row>
    <row r="6971" spans="1:12" x14ac:dyDescent="0.25">
      <c r="A6971" s="170" t="s">
        <v>10682</v>
      </c>
      <c r="B6971" s="170" t="s">
        <v>10683</v>
      </c>
      <c r="C6971" s="170" t="s">
        <v>85</v>
      </c>
      <c r="D6971" s="170" t="s">
        <v>1947</v>
      </c>
      <c r="E6971" s="171" t="s">
        <v>23132</v>
      </c>
      <c r="F6971" s="171" t="s">
        <v>22876</v>
      </c>
      <c r="H6971" s="96">
        <f t="shared" si="444"/>
        <v>8.6300000000000008</v>
      </c>
      <c r="I6971" s="96">
        <f t="shared" si="445"/>
        <v>8.75</v>
      </c>
      <c r="J6971" s="91" t="str">
        <f t="shared" si="446"/>
        <v>Sinapi 100976</v>
      </c>
      <c r="K6971" s="91" t="str">
        <f t="shared" si="447"/>
        <v>M3</v>
      </c>
      <c r="L6971" s="166" t="str">
        <f t="shared" si="443"/>
        <v>07/2020</v>
      </c>
    </row>
    <row r="6972" spans="1:12" x14ac:dyDescent="0.25">
      <c r="A6972" s="170" t="s">
        <v>10684</v>
      </c>
      <c r="B6972" s="170" t="s">
        <v>10685</v>
      </c>
      <c r="C6972" s="170" t="s">
        <v>85</v>
      </c>
      <c r="D6972" s="170" t="s">
        <v>1947</v>
      </c>
      <c r="E6972" s="171" t="s">
        <v>18694</v>
      </c>
      <c r="F6972" s="171" t="s">
        <v>34569</v>
      </c>
      <c r="H6972" s="96">
        <f t="shared" si="444"/>
        <v>7.69</v>
      </c>
      <c r="I6972" s="96">
        <f t="shared" si="445"/>
        <v>7.88</v>
      </c>
      <c r="J6972" s="91" t="str">
        <f t="shared" si="446"/>
        <v>Sinapi 100977</v>
      </c>
      <c r="K6972" s="91" t="str">
        <f t="shared" si="447"/>
        <v>M3</v>
      </c>
      <c r="L6972" s="166" t="str">
        <f t="shared" si="443"/>
        <v>07/2020</v>
      </c>
    </row>
    <row r="6973" spans="1:12" x14ac:dyDescent="0.25">
      <c r="A6973" s="170" t="s">
        <v>10686</v>
      </c>
      <c r="B6973" s="170" t="s">
        <v>10687</v>
      </c>
      <c r="C6973" s="170" t="s">
        <v>85</v>
      </c>
      <c r="D6973" s="170" t="s">
        <v>1947</v>
      </c>
      <c r="E6973" s="171" t="s">
        <v>4482</v>
      </c>
      <c r="F6973" s="171" t="s">
        <v>23182</v>
      </c>
      <c r="H6973" s="96">
        <f t="shared" si="444"/>
        <v>7.08</v>
      </c>
      <c r="I6973" s="96">
        <f t="shared" si="445"/>
        <v>7.21</v>
      </c>
      <c r="J6973" s="91" t="str">
        <f t="shared" si="446"/>
        <v>Sinapi 100978</v>
      </c>
      <c r="K6973" s="91" t="str">
        <f t="shared" si="447"/>
        <v>M3</v>
      </c>
      <c r="L6973" s="166" t="str">
        <f t="shared" si="443"/>
        <v>07/2020</v>
      </c>
    </row>
    <row r="6974" spans="1:12" x14ac:dyDescent="0.25">
      <c r="A6974" s="170" t="s">
        <v>10688</v>
      </c>
      <c r="B6974" s="170" t="s">
        <v>10689</v>
      </c>
      <c r="C6974" s="170" t="s">
        <v>85</v>
      </c>
      <c r="D6974" s="170" t="s">
        <v>1947</v>
      </c>
      <c r="E6974" s="171" t="s">
        <v>20108</v>
      </c>
      <c r="F6974" s="171" t="s">
        <v>21105</v>
      </c>
      <c r="H6974" s="96">
        <f t="shared" si="444"/>
        <v>6.76</v>
      </c>
      <c r="I6974" s="96">
        <f t="shared" si="445"/>
        <v>6.88</v>
      </c>
      <c r="J6974" s="91" t="str">
        <f t="shared" si="446"/>
        <v>Sinapi 100979</v>
      </c>
      <c r="K6974" s="91" t="str">
        <f t="shared" si="447"/>
        <v>M3</v>
      </c>
      <c r="L6974" s="166" t="str">
        <f t="shared" si="443"/>
        <v>07/2020</v>
      </c>
    </row>
    <row r="6975" spans="1:12" x14ac:dyDescent="0.25">
      <c r="A6975" s="170" t="s">
        <v>10690</v>
      </c>
      <c r="B6975" s="170" t="s">
        <v>10691</v>
      </c>
      <c r="C6975" s="170" t="s">
        <v>85</v>
      </c>
      <c r="D6975" s="170" t="s">
        <v>1947</v>
      </c>
      <c r="E6975" s="171" t="s">
        <v>20096</v>
      </c>
      <c r="F6975" s="171" t="s">
        <v>14558</v>
      </c>
      <c r="H6975" s="96">
        <f t="shared" si="444"/>
        <v>6.43</v>
      </c>
      <c r="I6975" s="96">
        <f t="shared" si="445"/>
        <v>6.52</v>
      </c>
      <c r="J6975" s="91" t="str">
        <f t="shared" si="446"/>
        <v>Sinapi 100980</v>
      </c>
      <c r="K6975" s="91" t="str">
        <f t="shared" si="447"/>
        <v>M3</v>
      </c>
      <c r="L6975" s="166" t="str">
        <f t="shared" si="443"/>
        <v>07/2020</v>
      </c>
    </row>
    <row r="6976" spans="1:12" x14ac:dyDescent="0.25">
      <c r="A6976" s="170" t="s">
        <v>10692</v>
      </c>
      <c r="B6976" s="170" t="s">
        <v>10693</v>
      </c>
      <c r="C6976" s="170" t="s">
        <v>85</v>
      </c>
      <c r="D6976" s="170" t="s">
        <v>1947</v>
      </c>
      <c r="E6976" s="171" t="s">
        <v>19389</v>
      </c>
      <c r="F6976" s="171" t="s">
        <v>14941</v>
      </c>
      <c r="H6976" s="96">
        <f t="shared" si="444"/>
        <v>9.3800000000000008</v>
      </c>
      <c r="I6976" s="96">
        <f t="shared" si="445"/>
        <v>9.59</v>
      </c>
      <c r="J6976" s="91" t="str">
        <f t="shared" si="446"/>
        <v>Sinapi 100981</v>
      </c>
      <c r="K6976" s="91" t="str">
        <f t="shared" si="447"/>
        <v>M3</v>
      </c>
      <c r="L6976" s="166" t="str">
        <f t="shared" si="443"/>
        <v>07/2020</v>
      </c>
    </row>
    <row r="6977" spans="1:12" x14ac:dyDescent="0.25">
      <c r="A6977" s="170" t="s">
        <v>10694</v>
      </c>
      <c r="B6977" s="170" t="s">
        <v>10695</v>
      </c>
      <c r="C6977" s="170" t="s">
        <v>85</v>
      </c>
      <c r="D6977" s="170" t="s">
        <v>1947</v>
      </c>
      <c r="E6977" s="171" t="s">
        <v>5207</v>
      </c>
      <c r="F6977" s="171" t="s">
        <v>19942</v>
      </c>
      <c r="H6977" s="96">
        <f t="shared" si="444"/>
        <v>9.15</v>
      </c>
      <c r="I6977" s="96">
        <f t="shared" si="445"/>
        <v>9.32</v>
      </c>
      <c r="J6977" s="91" t="str">
        <f t="shared" si="446"/>
        <v>Sinapi 100982</v>
      </c>
      <c r="K6977" s="91" t="str">
        <f t="shared" si="447"/>
        <v>M3</v>
      </c>
      <c r="L6977" s="166" t="str">
        <f t="shared" si="443"/>
        <v>07/2020</v>
      </c>
    </row>
    <row r="6978" spans="1:12" x14ac:dyDescent="0.25">
      <c r="A6978" s="170" t="s">
        <v>10696</v>
      </c>
      <c r="B6978" s="170" t="s">
        <v>10697</v>
      </c>
      <c r="C6978" s="170" t="s">
        <v>85</v>
      </c>
      <c r="D6978" s="170" t="s">
        <v>1947</v>
      </c>
      <c r="E6978" s="171" t="s">
        <v>5207</v>
      </c>
      <c r="F6978" s="171" t="s">
        <v>19323</v>
      </c>
      <c r="H6978" s="96">
        <f t="shared" si="444"/>
        <v>9.15</v>
      </c>
      <c r="I6978" s="96">
        <f t="shared" si="445"/>
        <v>9.2899999999999991</v>
      </c>
      <c r="J6978" s="91" t="str">
        <f t="shared" si="446"/>
        <v>Sinapi 100983</v>
      </c>
      <c r="K6978" s="91" t="str">
        <f t="shared" si="447"/>
        <v>M3</v>
      </c>
      <c r="L6978" s="166" t="str">
        <f t="shared" si="443"/>
        <v>07/2020</v>
      </c>
    </row>
    <row r="6979" spans="1:12" x14ac:dyDescent="0.25">
      <c r="A6979" s="170" t="s">
        <v>10698</v>
      </c>
      <c r="B6979" s="170" t="s">
        <v>10699</v>
      </c>
      <c r="C6979" s="170" t="s">
        <v>85</v>
      </c>
      <c r="D6979" s="170" t="s">
        <v>1947</v>
      </c>
      <c r="E6979" s="171" t="s">
        <v>19264</v>
      </c>
      <c r="F6979" s="171" t="s">
        <v>23273</v>
      </c>
      <c r="H6979" s="96">
        <f t="shared" si="444"/>
        <v>9</v>
      </c>
      <c r="I6979" s="96">
        <f t="shared" si="445"/>
        <v>9.1300000000000008</v>
      </c>
      <c r="J6979" s="91" t="str">
        <f t="shared" si="446"/>
        <v>Sinapi 100984</v>
      </c>
      <c r="K6979" s="91" t="str">
        <f t="shared" si="447"/>
        <v>M3</v>
      </c>
      <c r="L6979" s="166" t="str">
        <f t="shared" si="443"/>
        <v>07/2020</v>
      </c>
    </row>
    <row r="6980" spans="1:12" x14ac:dyDescent="0.25">
      <c r="A6980" s="170" t="s">
        <v>10700</v>
      </c>
      <c r="B6980" s="170" t="s">
        <v>10701</v>
      </c>
      <c r="C6980" s="170" t="s">
        <v>85</v>
      </c>
      <c r="D6980" s="170" t="s">
        <v>1947</v>
      </c>
      <c r="E6980" s="171" t="s">
        <v>4990</v>
      </c>
      <c r="F6980" s="171" t="s">
        <v>15514</v>
      </c>
      <c r="H6980" s="96">
        <f t="shared" si="444"/>
        <v>7.61</v>
      </c>
      <c r="I6980" s="96">
        <f t="shared" si="445"/>
        <v>7.77</v>
      </c>
      <c r="J6980" s="91" t="str">
        <f t="shared" si="446"/>
        <v>Sinapi 100985</v>
      </c>
      <c r="K6980" s="91" t="str">
        <f t="shared" si="447"/>
        <v>M3</v>
      </c>
      <c r="L6980" s="166" t="str">
        <f t="shared" si="443"/>
        <v>07/2020</v>
      </c>
    </row>
    <row r="6981" spans="1:12" x14ac:dyDescent="0.25">
      <c r="A6981" s="170" t="s">
        <v>10702</v>
      </c>
      <c r="B6981" s="170" t="s">
        <v>10703</v>
      </c>
      <c r="C6981" s="170" t="s">
        <v>85</v>
      </c>
      <c r="D6981" s="170" t="s">
        <v>1947</v>
      </c>
      <c r="E6981" s="171" t="s">
        <v>20659</v>
      </c>
      <c r="F6981" s="171" t="s">
        <v>22713</v>
      </c>
      <c r="H6981" s="96">
        <f t="shared" si="444"/>
        <v>9.36</v>
      </c>
      <c r="I6981" s="96">
        <f t="shared" si="445"/>
        <v>9.5</v>
      </c>
      <c r="J6981" s="91" t="str">
        <f t="shared" si="446"/>
        <v>Sinapi 100986</v>
      </c>
      <c r="K6981" s="91" t="str">
        <f t="shared" si="447"/>
        <v>M3</v>
      </c>
      <c r="L6981" s="166" t="str">
        <f t="shared" si="443"/>
        <v>07/2020</v>
      </c>
    </row>
    <row r="6982" spans="1:12" x14ac:dyDescent="0.25">
      <c r="A6982" s="170" t="s">
        <v>10704</v>
      </c>
      <c r="B6982" s="170" t="s">
        <v>10705</v>
      </c>
      <c r="C6982" s="170" t="s">
        <v>85</v>
      </c>
      <c r="D6982" s="170" t="s">
        <v>1947</v>
      </c>
      <c r="E6982" s="171" t="s">
        <v>15075</v>
      </c>
      <c r="F6982" s="171" t="s">
        <v>11276</v>
      </c>
      <c r="H6982" s="96">
        <f t="shared" si="444"/>
        <v>10.69</v>
      </c>
      <c r="I6982" s="96">
        <f t="shared" si="445"/>
        <v>10.81</v>
      </c>
      <c r="J6982" s="91" t="str">
        <f t="shared" si="446"/>
        <v>Sinapi 100987</v>
      </c>
      <c r="K6982" s="91" t="str">
        <f t="shared" si="447"/>
        <v>M3</v>
      </c>
      <c r="L6982" s="166" t="str">
        <f t="shared" si="443"/>
        <v>07/2020</v>
      </c>
    </row>
    <row r="6983" spans="1:12" x14ac:dyDescent="0.25">
      <c r="A6983" s="170" t="s">
        <v>10706</v>
      </c>
      <c r="B6983" s="170" t="s">
        <v>10707</v>
      </c>
      <c r="C6983" s="170" t="s">
        <v>85</v>
      </c>
      <c r="D6983" s="170" t="s">
        <v>1947</v>
      </c>
      <c r="E6983" s="171" t="s">
        <v>20027</v>
      </c>
      <c r="F6983" s="171" t="s">
        <v>15800</v>
      </c>
      <c r="H6983" s="96">
        <f t="shared" si="444"/>
        <v>11.37</v>
      </c>
      <c r="I6983" s="96">
        <f t="shared" si="445"/>
        <v>11.5</v>
      </c>
      <c r="J6983" s="91" t="str">
        <f t="shared" si="446"/>
        <v>Sinapi 100988</v>
      </c>
      <c r="K6983" s="91" t="str">
        <f t="shared" si="447"/>
        <v>M3</v>
      </c>
      <c r="L6983" s="166" t="str">
        <f t="shared" si="443"/>
        <v>07/2020</v>
      </c>
    </row>
    <row r="6984" spans="1:12" x14ac:dyDescent="0.25">
      <c r="A6984" s="170" t="s">
        <v>10708</v>
      </c>
      <c r="B6984" s="170" t="s">
        <v>10709</v>
      </c>
      <c r="C6984" s="170" t="s">
        <v>1155</v>
      </c>
      <c r="D6984" s="170" t="s">
        <v>1947</v>
      </c>
      <c r="E6984" s="171" t="s">
        <v>28856</v>
      </c>
      <c r="F6984" s="171" t="s">
        <v>30695</v>
      </c>
      <c r="H6984" s="96">
        <f t="shared" si="444"/>
        <v>5.93</v>
      </c>
      <c r="I6984" s="96">
        <f t="shared" si="445"/>
        <v>6.07</v>
      </c>
      <c r="J6984" s="91" t="str">
        <f t="shared" si="446"/>
        <v>Sinapi 100989</v>
      </c>
      <c r="K6984" s="91" t="str">
        <f t="shared" si="447"/>
        <v>T</v>
      </c>
      <c r="L6984" s="166" t="str">
        <f t="shared" ref="L6984:L7047" si="448">IF(OR(RIGHT(IF(AND(K6984&lt;&gt;"H",K6984&lt;&gt;"MES"),RIGHT(B6984,7),""),2)="PS",RIGHT(IF(AND(K6984&lt;&gt;"H",K6984&lt;&gt;"MES"),RIGHT(B6984,7),""),2)="PA",RIGHT(IF(AND(K6984&lt;&gt;"H",K6984&lt;&gt;"MES"),RIGHT(B6984,7),""),2)="PE"),LEFT(IF(AND(K6984&lt;&gt;"H",K6984&lt;&gt;"MES"),RIGHT(B6984,10),""),7),IF(AND(K6984&lt;&gt;"H",K6984&lt;&gt;"MES"),RIGHT(B6984,7),""))</f>
        <v>07/2020</v>
      </c>
    </row>
    <row r="6985" spans="1:12" x14ac:dyDescent="0.25">
      <c r="A6985" s="170" t="s">
        <v>10710</v>
      </c>
      <c r="B6985" s="170" t="s">
        <v>10711</v>
      </c>
      <c r="C6985" s="170" t="s">
        <v>1155</v>
      </c>
      <c r="D6985" s="170" t="s">
        <v>1947</v>
      </c>
      <c r="E6985" s="171" t="s">
        <v>14923</v>
      </c>
      <c r="F6985" s="171" t="s">
        <v>28856</v>
      </c>
      <c r="H6985" s="96">
        <f t="shared" si="444"/>
        <v>5.83</v>
      </c>
      <c r="I6985" s="96">
        <f t="shared" si="445"/>
        <v>5.93</v>
      </c>
      <c r="J6985" s="91" t="str">
        <f t="shared" si="446"/>
        <v>Sinapi 100990</v>
      </c>
      <c r="K6985" s="91" t="str">
        <f t="shared" si="447"/>
        <v>T</v>
      </c>
      <c r="L6985" s="166" t="str">
        <f t="shared" si="448"/>
        <v>07/2020</v>
      </c>
    </row>
    <row r="6986" spans="1:12" x14ac:dyDescent="0.25">
      <c r="A6986" s="170" t="s">
        <v>10712</v>
      </c>
      <c r="B6986" s="170" t="s">
        <v>10713</v>
      </c>
      <c r="C6986" s="170" t="s">
        <v>1155</v>
      </c>
      <c r="D6986" s="170" t="s">
        <v>1947</v>
      </c>
      <c r="E6986" s="171" t="s">
        <v>17928</v>
      </c>
      <c r="F6986" s="171" t="s">
        <v>19265</v>
      </c>
      <c r="H6986" s="96">
        <f t="shared" si="444"/>
        <v>5.87</v>
      </c>
      <c r="I6986" s="96">
        <f t="shared" si="445"/>
        <v>5.96</v>
      </c>
      <c r="J6986" s="91" t="str">
        <f t="shared" si="446"/>
        <v>Sinapi 100991</v>
      </c>
      <c r="K6986" s="91" t="str">
        <f t="shared" si="447"/>
        <v>T</v>
      </c>
      <c r="L6986" s="166" t="str">
        <f t="shared" si="448"/>
        <v>07/2020</v>
      </c>
    </row>
    <row r="6987" spans="1:12" x14ac:dyDescent="0.25">
      <c r="A6987" s="170" t="s">
        <v>10714</v>
      </c>
      <c r="B6987" s="170" t="s">
        <v>10715</v>
      </c>
      <c r="C6987" s="170" t="s">
        <v>1155</v>
      </c>
      <c r="D6987" s="170" t="s">
        <v>1947</v>
      </c>
      <c r="E6987" s="171" t="s">
        <v>14627</v>
      </c>
      <c r="F6987" s="171" t="s">
        <v>22060</v>
      </c>
      <c r="H6987" s="96">
        <f t="shared" si="444"/>
        <v>5.76</v>
      </c>
      <c r="I6987" s="96">
        <f t="shared" si="445"/>
        <v>5.84</v>
      </c>
      <c r="J6987" s="91" t="str">
        <f t="shared" si="446"/>
        <v>Sinapi 100992</v>
      </c>
      <c r="K6987" s="91" t="str">
        <f t="shared" si="447"/>
        <v>T</v>
      </c>
      <c r="L6987" s="166" t="str">
        <f t="shared" si="448"/>
        <v>07/2020</v>
      </c>
    </row>
    <row r="6988" spans="1:12" x14ac:dyDescent="0.25">
      <c r="A6988" s="170" t="s">
        <v>10716</v>
      </c>
      <c r="B6988" s="170" t="s">
        <v>10717</v>
      </c>
      <c r="C6988" s="170" t="s">
        <v>1155</v>
      </c>
      <c r="D6988" s="170" t="s">
        <v>1947</v>
      </c>
      <c r="E6988" s="171" t="s">
        <v>13433</v>
      </c>
      <c r="F6988" s="171" t="s">
        <v>19859</v>
      </c>
      <c r="H6988" s="96">
        <f t="shared" si="444"/>
        <v>5.13</v>
      </c>
      <c r="I6988" s="96">
        <f t="shared" si="445"/>
        <v>5.24</v>
      </c>
      <c r="J6988" s="91" t="str">
        <f t="shared" si="446"/>
        <v>Sinapi 100993</v>
      </c>
      <c r="K6988" s="91" t="str">
        <f t="shared" si="447"/>
        <v>T</v>
      </c>
      <c r="L6988" s="166" t="str">
        <f t="shared" si="448"/>
        <v>07/2020</v>
      </c>
    </row>
    <row r="6989" spans="1:12" x14ac:dyDescent="0.25">
      <c r="A6989" s="170" t="s">
        <v>10718</v>
      </c>
      <c r="B6989" s="170" t="s">
        <v>10719</v>
      </c>
      <c r="C6989" s="170" t="s">
        <v>1155</v>
      </c>
      <c r="D6989" s="170" t="s">
        <v>1947</v>
      </c>
      <c r="E6989" s="171" t="s">
        <v>21483</v>
      </c>
      <c r="F6989" s="171" t="s">
        <v>23205</v>
      </c>
      <c r="H6989" s="96">
        <f t="shared" si="444"/>
        <v>4.7</v>
      </c>
      <c r="I6989" s="96">
        <f t="shared" si="445"/>
        <v>4.78</v>
      </c>
      <c r="J6989" s="91" t="str">
        <f t="shared" si="446"/>
        <v>Sinapi 100994</v>
      </c>
      <c r="K6989" s="91" t="str">
        <f t="shared" si="447"/>
        <v>T</v>
      </c>
      <c r="L6989" s="166" t="str">
        <f t="shared" si="448"/>
        <v>07/2020</v>
      </c>
    </row>
    <row r="6990" spans="1:12" x14ac:dyDescent="0.25">
      <c r="A6990" s="170" t="s">
        <v>10720</v>
      </c>
      <c r="B6990" s="170" t="s">
        <v>10721</v>
      </c>
      <c r="C6990" s="170" t="s">
        <v>1155</v>
      </c>
      <c r="D6990" s="170" t="s">
        <v>1947</v>
      </c>
      <c r="E6990" s="171" t="s">
        <v>22756</v>
      </c>
      <c r="F6990" s="171" t="s">
        <v>8740</v>
      </c>
      <c r="H6990" s="96">
        <f t="shared" si="444"/>
        <v>4.5199999999999996</v>
      </c>
      <c r="I6990" s="96">
        <f t="shared" si="445"/>
        <v>4.5999999999999996</v>
      </c>
      <c r="J6990" s="91" t="str">
        <f t="shared" si="446"/>
        <v>Sinapi 100995</v>
      </c>
      <c r="K6990" s="91" t="str">
        <f t="shared" si="447"/>
        <v>T</v>
      </c>
      <c r="L6990" s="166" t="str">
        <f t="shared" si="448"/>
        <v>07/2020</v>
      </c>
    </row>
    <row r="6991" spans="1:12" x14ac:dyDescent="0.25">
      <c r="A6991" s="170" t="s">
        <v>10722</v>
      </c>
      <c r="B6991" s="170" t="s">
        <v>10723</v>
      </c>
      <c r="C6991" s="170" t="s">
        <v>1155</v>
      </c>
      <c r="D6991" s="170" t="s">
        <v>1947</v>
      </c>
      <c r="E6991" s="171" t="s">
        <v>11278</v>
      </c>
      <c r="F6991" s="171" t="s">
        <v>37952</v>
      </c>
      <c r="H6991" s="96">
        <f t="shared" si="444"/>
        <v>4.28</v>
      </c>
      <c r="I6991" s="96">
        <f t="shared" si="445"/>
        <v>4.33</v>
      </c>
      <c r="J6991" s="91" t="str">
        <f t="shared" si="446"/>
        <v>Sinapi 100996</v>
      </c>
      <c r="K6991" s="91" t="str">
        <f t="shared" si="447"/>
        <v>T</v>
      </c>
      <c r="L6991" s="166" t="str">
        <f t="shared" si="448"/>
        <v>07/2020</v>
      </c>
    </row>
    <row r="6992" spans="1:12" x14ac:dyDescent="0.25">
      <c r="A6992" s="170" t="s">
        <v>10724</v>
      </c>
      <c r="B6992" s="170" t="s">
        <v>10725</v>
      </c>
      <c r="C6992" s="170" t="s">
        <v>1155</v>
      </c>
      <c r="D6992" s="170" t="s">
        <v>1947</v>
      </c>
      <c r="E6992" s="171" t="s">
        <v>29470</v>
      </c>
      <c r="F6992" s="171" t="s">
        <v>2099</v>
      </c>
      <c r="H6992" s="96">
        <f t="shared" si="444"/>
        <v>6.27</v>
      </c>
      <c r="I6992" s="96">
        <f t="shared" si="445"/>
        <v>6.41</v>
      </c>
      <c r="J6992" s="91" t="str">
        <f t="shared" si="446"/>
        <v>Sinapi 100997</v>
      </c>
      <c r="K6992" s="91" t="str">
        <f t="shared" si="447"/>
        <v>T</v>
      </c>
      <c r="L6992" s="166" t="str">
        <f t="shared" si="448"/>
        <v>07/2020</v>
      </c>
    </row>
    <row r="6993" spans="1:12" x14ac:dyDescent="0.25">
      <c r="A6993" s="170" t="s">
        <v>10726</v>
      </c>
      <c r="B6993" s="170" t="s">
        <v>10727</v>
      </c>
      <c r="C6993" s="170" t="s">
        <v>1155</v>
      </c>
      <c r="D6993" s="170" t="s">
        <v>1947</v>
      </c>
      <c r="E6993" s="171" t="s">
        <v>5176</v>
      </c>
      <c r="F6993" s="171" t="s">
        <v>6080</v>
      </c>
      <c r="H6993" s="96">
        <f t="shared" si="444"/>
        <v>6.11</v>
      </c>
      <c r="I6993" s="96">
        <f t="shared" si="445"/>
        <v>6.22</v>
      </c>
      <c r="J6993" s="91" t="str">
        <f t="shared" si="446"/>
        <v>Sinapi 100998</v>
      </c>
      <c r="K6993" s="91" t="str">
        <f t="shared" si="447"/>
        <v>T</v>
      </c>
      <c r="L6993" s="166" t="str">
        <f t="shared" si="448"/>
        <v>07/2020</v>
      </c>
    </row>
    <row r="6994" spans="1:12" x14ac:dyDescent="0.25">
      <c r="A6994" s="170" t="s">
        <v>10728</v>
      </c>
      <c r="B6994" s="170" t="s">
        <v>10729</v>
      </c>
      <c r="C6994" s="170" t="s">
        <v>1155</v>
      </c>
      <c r="D6994" s="170" t="s">
        <v>1947</v>
      </c>
      <c r="E6994" s="171" t="s">
        <v>29699</v>
      </c>
      <c r="F6994" s="171" t="s">
        <v>36746</v>
      </c>
      <c r="H6994" s="96">
        <f t="shared" si="444"/>
        <v>6.13</v>
      </c>
      <c r="I6994" s="96">
        <f t="shared" si="445"/>
        <v>6.24</v>
      </c>
      <c r="J6994" s="91" t="str">
        <f t="shared" si="446"/>
        <v>Sinapi 100999</v>
      </c>
      <c r="K6994" s="91" t="str">
        <f t="shared" si="447"/>
        <v>T</v>
      </c>
      <c r="L6994" s="166" t="str">
        <f t="shared" si="448"/>
        <v>07/2020</v>
      </c>
    </row>
    <row r="6995" spans="1:12" x14ac:dyDescent="0.25">
      <c r="A6995" s="170" t="s">
        <v>10730</v>
      </c>
      <c r="B6995" s="170" t="s">
        <v>10731</v>
      </c>
      <c r="C6995" s="170" t="s">
        <v>1155</v>
      </c>
      <c r="D6995" s="170" t="s">
        <v>1947</v>
      </c>
      <c r="E6995" s="171" t="s">
        <v>10394</v>
      </c>
      <c r="F6995" s="171" t="s">
        <v>17887</v>
      </c>
      <c r="H6995" s="96">
        <f t="shared" si="444"/>
        <v>6.01</v>
      </c>
      <c r="I6995" s="96">
        <f t="shared" si="445"/>
        <v>6.1</v>
      </c>
      <c r="J6995" s="91" t="str">
        <f t="shared" si="446"/>
        <v>Sinapi 101000</v>
      </c>
      <c r="K6995" s="91" t="str">
        <f t="shared" si="447"/>
        <v>T</v>
      </c>
      <c r="L6995" s="166" t="str">
        <f t="shared" si="448"/>
        <v>07/2020</v>
      </c>
    </row>
    <row r="6996" spans="1:12" x14ac:dyDescent="0.25">
      <c r="A6996" s="170" t="s">
        <v>10732</v>
      </c>
      <c r="B6996" s="170" t="s">
        <v>10733</v>
      </c>
      <c r="C6996" s="170" t="s">
        <v>1155</v>
      </c>
      <c r="D6996" s="170" t="s">
        <v>1947</v>
      </c>
      <c r="E6996" s="171" t="s">
        <v>22809</v>
      </c>
      <c r="F6996" s="171" t="s">
        <v>21596</v>
      </c>
      <c r="H6996" s="96">
        <f t="shared" si="444"/>
        <v>5.08</v>
      </c>
      <c r="I6996" s="96">
        <f t="shared" si="445"/>
        <v>5.19</v>
      </c>
      <c r="J6996" s="91" t="str">
        <f t="shared" si="446"/>
        <v>Sinapi 101001</v>
      </c>
      <c r="K6996" s="91" t="str">
        <f t="shared" si="447"/>
        <v>T</v>
      </c>
      <c r="L6996" s="166" t="str">
        <f t="shared" si="448"/>
        <v>07/2020</v>
      </c>
    </row>
    <row r="6997" spans="1:12" x14ac:dyDescent="0.25">
      <c r="A6997" s="170" t="s">
        <v>10734</v>
      </c>
      <c r="B6997" s="170" t="s">
        <v>10735</v>
      </c>
      <c r="C6997" s="170" t="s">
        <v>1155</v>
      </c>
      <c r="D6997" s="170" t="s">
        <v>1947</v>
      </c>
      <c r="E6997" s="171" t="s">
        <v>5263</v>
      </c>
      <c r="F6997" s="171" t="s">
        <v>17975</v>
      </c>
      <c r="H6997" s="96">
        <f t="shared" si="444"/>
        <v>6.23</v>
      </c>
      <c r="I6997" s="96">
        <f t="shared" si="445"/>
        <v>6.32</v>
      </c>
      <c r="J6997" s="91" t="str">
        <f t="shared" si="446"/>
        <v>Sinapi 101002</v>
      </c>
      <c r="K6997" s="91" t="str">
        <f t="shared" si="447"/>
        <v>T</v>
      </c>
      <c r="L6997" s="166" t="str">
        <f t="shared" si="448"/>
        <v>07/2020</v>
      </c>
    </row>
    <row r="6998" spans="1:12" x14ac:dyDescent="0.25">
      <c r="A6998" s="170" t="s">
        <v>10736</v>
      </c>
      <c r="B6998" s="170" t="s">
        <v>10737</v>
      </c>
      <c r="C6998" s="170" t="s">
        <v>1155</v>
      </c>
      <c r="D6998" s="170" t="s">
        <v>1947</v>
      </c>
      <c r="E6998" s="171" t="s">
        <v>19412</v>
      </c>
      <c r="F6998" s="171" t="s">
        <v>28857</v>
      </c>
      <c r="H6998" s="96">
        <f t="shared" si="444"/>
        <v>7.12</v>
      </c>
      <c r="I6998" s="96">
        <f t="shared" si="445"/>
        <v>7.2</v>
      </c>
      <c r="J6998" s="91" t="str">
        <f t="shared" si="446"/>
        <v>Sinapi 101003</v>
      </c>
      <c r="K6998" s="91" t="str">
        <f t="shared" si="447"/>
        <v>T</v>
      </c>
      <c r="L6998" s="166" t="str">
        <f t="shared" si="448"/>
        <v>07/2020</v>
      </c>
    </row>
    <row r="6999" spans="1:12" x14ac:dyDescent="0.25">
      <c r="A6999" s="170" t="s">
        <v>10738</v>
      </c>
      <c r="B6999" s="170" t="s">
        <v>10739</v>
      </c>
      <c r="C6999" s="170" t="s">
        <v>1155</v>
      </c>
      <c r="D6999" s="170" t="s">
        <v>1947</v>
      </c>
      <c r="E6999" s="171" t="s">
        <v>22739</v>
      </c>
      <c r="F6999" s="171" t="s">
        <v>16208</v>
      </c>
      <c r="H6999" s="96">
        <f t="shared" si="444"/>
        <v>7.58</v>
      </c>
      <c r="I6999" s="96">
        <f t="shared" si="445"/>
        <v>7.66</v>
      </c>
      <c r="J6999" s="91" t="str">
        <f t="shared" si="446"/>
        <v>Sinapi 101004</v>
      </c>
      <c r="K6999" s="91" t="str">
        <f t="shared" si="447"/>
        <v>T</v>
      </c>
      <c r="L6999" s="166" t="str">
        <f t="shared" si="448"/>
        <v>07/2020</v>
      </c>
    </row>
    <row r="7000" spans="1:12" x14ac:dyDescent="0.25">
      <c r="A7000" s="170" t="s">
        <v>10740</v>
      </c>
      <c r="B7000" s="170" t="s">
        <v>10741</v>
      </c>
      <c r="C7000" s="170" t="s">
        <v>85</v>
      </c>
      <c r="D7000" s="170" t="s">
        <v>1947</v>
      </c>
      <c r="E7000" s="171" t="s">
        <v>19288</v>
      </c>
      <c r="F7000" s="171" t="s">
        <v>34481</v>
      </c>
      <c r="H7000" s="96">
        <f t="shared" si="444"/>
        <v>19.53</v>
      </c>
      <c r="I7000" s="96">
        <f t="shared" si="445"/>
        <v>19.79</v>
      </c>
      <c r="J7000" s="91" t="str">
        <f t="shared" si="446"/>
        <v>Sinapi 101005</v>
      </c>
      <c r="K7000" s="91" t="str">
        <f t="shared" si="447"/>
        <v>M3</v>
      </c>
      <c r="L7000" s="166" t="str">
        <f t="shared" si="448"/>
        <v>07/2020</v>
      </c>
    </row>
    <row r="7001" spans="1:12" x14ac:dyDescent="0.25">
      <c r="A7001" s="170" t="s">
        <v>10742</v>
      </c>
      <c r="B7001" s="170" t="s">
        <v>10743</v>
      </c>
      <c r="C7001" s="170" t="s">
        <v>85</v>
      </c>
      <c r="D7001" s="170" t="s">
        <v>1947</v>
      </c>
      <c r="E7001" s="171" t="s">
        <v>16422</v>
      </c>
      <c r="F7001" s="171" t="s">
        <v>20653</v>
      </c>
      <c r="H7001" s="96">
        <f t="shared" ref="H7001:H7064" si="449">IF(E7001="","",E7001+0)</f>
        <v>21.84</v>
      </c>
      <c r="I7001" s="96">
        <f t="shared" ref="I7001:I7064" si="450">IF(F7001="","",F7001+0)</f>
        <v>22.07</v>
      </c>
      <c r="J7001" s="91" t="str">
        <f t="shared" ref="J7001:J7064" si="451">IF(OR(H7001="",I7001=""),"",TRIM(CONCATENATE("Sinapi ",A7001)))</f>
        <v>Sinapi 101006</v>
      </c>
      <c r="K7001" s="91" t="str">
        <f t="shared" ref="K7001:K7064" si="452">TRIM(C7001)</f>
        <v>M3</v>
      </c>
      <c r="L7001" s="166" t="str">
        <f t="shared" si="448"/>
        <v>07/2020</v>
      </c>
    </row>
    <row r="7002" spans="1:12" x14ac:dyDescent="0.25">
      <c r="A7002" s="170" t="s">
        <v>10744</v>
      </c>
      <c r="B7002" s="170" t="s">
        <v>10745</v>
      </c>
      <c r="C7002" s="170" t="s">
        <v>85</v>
      </c>
      <c r="D7002" s="170" t="s">
        <v>1947</v>
      </c>
      <c r="E7002" s="171" t="s">
        <v>5190</v>
      </c>
      <c r="F7002" s="171" t="s">
        <v>17130</v>
      </c>
      <c r="H7002" s="96">
        <f t="shared" si="449"/>
        <v>5.66</v>
      </c>
      <c r="I7002" s="96">
        <f t="shared" si="450"/>
        <v>5.74</v>
      </c>
      <c r="J7002" s="91" t="str">
        <f t="shared" si="451"/>
        <v>Sinapi 101007</v>
      </c>
      <c r="K7002" s="91" t="str">
        <f t="shared" si="452"/>
        <v>M3</v>
      </c>
      <c r="L7002" s="166" t="str">
        <f t="shared" si="448"/>
        <v>07/2020</v>
      </c>
    </row>
    <row r="7003" spans="1:12" x14ac:dyDescent="0.25">
      <c r="A7003" s="170" t="s">
        <v>10746</v>
      </c>
      <c r="B7003" s="170" t="s">
        <v>10747</v>
      </c>
      <c r="C7003" s="170" t="s">
        <v>85</v>
      </c>
      <c r="D7003" s="170" t="s">
        <v>1947</v>
      </c>
      <c r="E7003" s="171" t="s">
        <v>23000</v>
      </c>
      <c r="F7003" s="171" t="s">
        <v>14923</v>
      </c>
      <c r="H7003" s="96">
        <f t="shared" si="449"/>
        <v>5.77</v>
      </c>
      <c r="I7003" s="96">
        <f t="shared" si="450"/>
        <v>5.83</v>
      </c>
      <c r="J7003" s="91" t="str">
        <f t="shared" si="451"/>
        <v>Sinapi 101008</v>
      </c>
      <c r="K7003" s="91" t="str">
        <f t="shared" si="452"/>
        <v>M3</v>
      </c>
      <c r="L7003" s="166" t="str">
        <f t="shared" si="448"/>
        <v>07/2020</v>
      </c>
    </row>
    <row r="7004" spans="1:12" x14ac:dyDescent="0.25">
      <c r="A7004" s="170" t="s">
        <v>10748</v>
      </c>
      <c r="B7004" s="170" t="s">
        <v>10749</v>
      </c>
      <c r="C7004" s="170" t="s">
        <v>1155</v>
      </c>
      <c r="D7004" s="170" t="s">
        <v>1947</v>
      </c>
      <c r="E7004" s="171" t="s">
        <v>34876</v>
      </c>
      <c r="F7004" s="171" t="s">
        <v>29157</v>
      </c>
      <c r="H7004" s="96">
        <f t="shared" si="449"/>
        <v>44.07</v>
      </c>
      <c r="I7004" s="96">
        <f t="shared" si="450"/>
        <v>44.58</v>
      </c>
      <c r="J7004" s="91" t="str">
        <f t="shared" si="451"/>
        <v>Sinapi 101009</v>
      </c>
      <c r="K7004" s="91" t="str">
        <f t="shared" si="452"/>
        <v>T</v>
      </c>
      <c r="L7004" s="166" t="str">
        <f t="shared" si="448"/>
        <v>07/2020</v>
      </c>
    </row>
    <row r="7005" spans="1:12" x14ac:dyDescent="0.25">
      <c r="A7005" s="170" t="s">
        <v>10750</v>
      </c>
      <c r="B7005" s="170" t="s">
        <v>10751</v>
      </c>
      <c r="C7005" s="170" t="s">
        <v>1155</v>
      </c>
      <c r="D7005" s="170" t="s">
        <v>1947</v>
      </c>
      <c r="E7005" s="171" t="s">
        <v>34877</v>
      </c>
      <c r="F7005" s="171" t="s">
        <v>21327</v>
      </c>
      <c r="H7005" s="96">
        <f t="shared" si="449"/>
        <v>27.75</v>
      </c>
      <c r="I7005" s="96">
        <f t="shared" si="450"/>
        <v>28.06</v>
      </c>
      <c r="J7005" s="91" t="str">
        <f t="shared" si="451"/>
        <v>Sinapi 101010</v>
      </c>
      <c r="K7005" s="91" t="str">
        <f t="shared" si="452"/>
        <v>T</v>
      </c>
      <c r="L7005" s="166" t="str">
        <f t="shared" si="448"/>
        <v>07/2020</v>
      </c>
    </row>
    <row r="7006" spans="1:12" x14ac:dyDescent="0.25">
      <c r="A7006" s="170" t="s">
        <v>10752</v>
      </c>
      <c r="B7006" s="170" t="s">
        <v>10753</v>
      </c>
      <c r="C7006" s="170" t="s">
        <v>1155</v>
      </c>
      <c r="D7006" s="170" t="s">
        <v>1947</v>
      </c>
      <c r="E7006" s="171" t="s">
        <v>34878</v>
      </c>
      <c r="F7006" s="171" t="s">
        <v>29190</v>
      </c>
      <c r="H7006" s="96">
        <f t="shared" si="449"/>
        <v>44.92</v>
      </c>
      <c r="I7006" s="96">
        <f t="shared" si="450"/>
        <v>46.03</v>
      </c>
      <c r="J7006" s="91" t="str">
        <f t="shared" si="451"/>
        <v>Sinapi 101013</v>
      </c>
      <c r="K7006" s="91" t="str">
        <f t="shared" si="452"/>
        <v>T</v>
      </c>
      <c r="L7006" s="166" t="str">
        <f t="shared" si="448"/>
        <v>07/2020</v>
      </c>
    </row>
    <row r="7007" spans="1:12" x14ac:dyDescent="0.25">
      <c r="A7007" s="170" t="s">
        <v>10754</v>
      </c>
      <c r="B7007" s="170" t="s">
        <v>10755</v>
      </c>
      <c r="C7007" s="170" t="s">
        <v>1155</v>
      </c>
      <c r="D7007" s="170" t="s">
        <v>1947</v>
      </c>
      <c r="E7007" s="171" t="s">
        <v>33550</v>
      </c>
      <c r="F7007" s="171" t="s">
        <v>30030</v>
      </c>
      <c r="H7007" s="96">
        <f t="shared" si="449"/>
        <v>41.15</v>
      </c>
      <c r="I7007" s="96">
        <f t="shared" si="450"/>
        <v>42.17</v>
      </c>
      <c r="J7007" s="91" t="str">
        <f t="shared" si="451"/>
        <v>Sinapi 101014</v>
      </c>
      <c r="K7007" s="91" t="str">
        <f t="shared" si="452"/>
        <v>T</v>
      </c>
      <c r="L7007" s="166" t="str">
        <f t="shared" si="448"/>
        <v>07/2020</v>
      </c>
    </row>
    <row r="7008" spans="1:12" x14ac:dyDescent="0.25">
      <c r="A7008" s="170" t="s">
        <v>10756</v>
      </c>
      <c r="B7008" s="170" t="s">
        <v>10757</v>
      </c>
      <c r="C7008" s="170" t="s">
        <v>1155</v>
      </c>
      <c r="D7008" s="170" t="s">
        <v>1947</v>
      </c>
      <c r="E7008" s="171" t="s">
        <v>30115</v>
      </c>
      <c r="F7008" s="171" t="s">
        <v>22940</v>
      </c>
      <c r="H7008" s="96">
        <f t="shared" si="449"/>
        <v>33.799999999999997</v>
      </c>
      <c r="I7008" s="96">
        <f t="shared" si="450"/>
        <v>34.64</v>
      </c>
      <c r="J7008" s="91" t="str">
        <f t="shared" si="451"/>
        <v>Sinapi 101015</v>
      </c>
      <c r="K7008" s="91" t="str">
        <f t="shared" si="452"/>
        <v>T</v>
      </c>
      <c r="L7008" s="166" t="str">
        <f t="shared" si="448"/>
        <v>07/2020</v>
      </c>
    </row>
    <row r="7009" spans="1:12" x14ac:dyDescent="0.25">
      <c r="A7009" s="170" t="s">
        <v>10758</v>
      </c>
      <c r="B7009" s="170" t="s">
        <v>10759</v>
      </c>
      <c r="C7009" s="170" t="s">
        <v>1155</v>
      </c>
      <c r="D7009" s="170" t="s">
        <v>1947</v>
      </c>
      <c r="E7009" s="171" t="s">
        <v>34879</v>
      </c>
      <c r="F7009" s="171" t="s">
        <v>19306</v>
      </c>
      <c r="H7009" s="96">
        <f t="shared" si="449"/>
        <v>39.130000000000003</v>
      </c>
      <c r="I7009" s="96">
        <f t="shared" si="450"/>
        <v>40.1</v>
      </c>
      <c r="J7009" s="91" t="str">
        <f t="shared" si="451"/>
        <v>Sinapi 101016</v>
      </c>
      <c r="K7009" s="91" t="str">
        <f t="shared" si="452"/>
        <v>T</v>
      </c>
      <c r="L7009" s="166" t="str">
        <f t="shared" si="448"/>
        <v>07/2020</v>
      </c>
    </row>
    <row r="7010" spans="1:12" x14ac:dyDescent="0.25">
      <c r="A7010" s="170" t="s">
        <v>10760</v>
      </c>
      <c r="B7010" s="170" t="s">
        <v>10761</v>
      </c>
      <c r="C7010" s="170" t="s">
        <v>1155</v>
      </c>
      <c r="D7010" s="170" t="s">
        <v>1947</v>
      </c>
      <c r="E7010" s="171" t="s">
        <v>34880</v>
      </c>
      <c r="F7010" s="171" t="s">
        <v>23156</v>
      </c>
      <c r="H7010" s="96">
        <f t="shared" si="449"/>
        <v>29.66</v>
      </c>
      <c r="I7010" s="96">
        <f t="shared" si="450"/>
        <v>30.4</v>
      </c>
      <c r="J7010" s="91" t="str">
        <f t="shared" si="451"/>
        <v>Sinapi 101017</v>
      </c>
      <c r="K7010" s="91" t="str">
        <f t="shared" si="452"/>
        <v>T</v>
      </c>
      <c r="L7010" s="166" t="str">
        <f t="shared" si="448"/>
        <v>07/2020</v>
      </c>
    </row>
    <row r="7011" spans="1:12" x14ac:dyDescent="0.25">
      <c r="A7011" s="170" t="s">
        <v>10762</v>
      </c>
      <c r="B7011" s="170" t="s">
        <v>10763</v>
      </c>
      <c r="C7011" s="170" t="s">
        <v>1155</v>
      </c>
      <c r="D7011" s="170" t="s">
        <v>1947</v>
      </c>
      <c r="E7011" s="171" t="s">
        <v>16351</v>
      </c>
      <c r="F7011" s="171" t="s">
        <v>21201</v>
      </c>
      <c r="H7011" s="96">
        <f t="shared" si="449"/>
        <v>24.36</v>
      </c>
      <c r="I7011" s="96">
        <f t="shared" si="450"/>
        <v>24.98</v>
      </c>
      <c r="J7011" s="91" t="str">
        <f t="shared" si="451"/>
        <v>Sinapi 101018</v>
      </c>
      <c r="K7011" s="91" t="str">
        <f t="shared" si="452"/>
        <v>T</v>
      </c>
      <c r="L7011" s="166" t="str">
        <f t="shared" si="448"/>
        <v>07/2020</v>
      </c>
    </row>
    <row r="7012" spans="1:12" x14ac:dyDescent="0.25">
      <c r="A7012" s="170" t="s">
        <v>10764</v>
      </c>
      <c r="B7012" s="170" t="s">
        <v>10765</v>
      </c>
      <c r="C7012" s="170" t="s">
        <v>1155</v>
      </c>
      <c r="D7012" s="170" t="s">
        <v>1947</v>
      </c>
      <c r="E7012" s="171" t="s">
        <v>19867</v>
      </c>
      <c r="F7012" s="171" t="s">
        <v>31505</v>
      </c>
      <c r="H7012" s="96">
        <f t="shared" si="449"/>
        <v>45.05</v>
      </c>
      <c r="I7012" s="96">
        <f t="shared" si="450"/>
        <v>46.17</v>
      </c>
      <c r="J7012" s="91" t="str">
        <f t="shared" si="451"/>
        <v>Sinapi 101463</v>
      </c>
      <c r="K7012" s="91" t="str">
        <f t="shared" si="452"/>
        <v>T</v>
      </c>
      <c r="L7012" s="166" t="str">
        <f t="shared" si="448"/>
        <v>07/2020</v>
      </c>
    </row>
    <row r="7013" spans="1:12" x14ac:dyDescent="0.25">
      <c r="A7013" s="170" t="s">
        <v>10766</v>
      </c>
      <c r="B7013" s="170" t="s">
        <v>10767</v>
      </c>
      <c r="C7013" s="170" t="s">
        <v>1155</v>
      </c>
      <c r="D7013" s="170" t="s">
        <v>1947</v>
      </c>
      <c r="E7013" s="171" t="s">
        <v>28488</v>
      </c>
      <c r="F7013" s="171" t="s">
        <v>21129</v>
      </c>
      <c r="H7013" s="96">
        <f t="shared" si="449"/>
        <v>34.61</v>
      </c>
      <c r="I7013" s="96">
        <f t="shared" si="450"/>
        <v>35.46</v>
      </c>
      <c r="J7013" s="91" t="str">
        <f t="shared" si="451"/>
        <v>Sinapi 101464</v>
      </c>
      <c r="K7013" s="91" t="str">
        <f t="shared" si="452"/>
        <v>T</v>
      </c>
      <c r="L7013" s="166" t="str">
        <f t="shared" si="448"/>
        <v>07/2020</v>
      </c>
    </row>
    <row r="7014" spans="1:12" x14ac:dyDescent="0.25">
      <c r="A7014" s="170" t="s">
        <v>10768</v>
      </c>
      <c r="B7014" s="170" t="s">
        <v>10769</v>
      </c>
      <c r="C7014" s="170" t="s">
        <v>1155</v>
      </c>
      <c r="D7014" s="170" t="s">
        <v>1947</v>
      </c>
      <c r="E7014" s="171" t="s">
        <v>17445</v>
      </c>
      <c r="F7014" s="171" t="s">
        <v>28521</v>
      </c>
      <c r="H7014" s="96">
        <f t="shared" si="449"/>
        <v>26.44</v>
      </c>
      <c r="I7014" s="96">
        <f t="shared" si="450"/>
        <v>27.1</v>
      </c>
      <c r="J7014" s="91" t="str">
        <f t="shared" si="451"/>
        <v>Sinapi 101465</v>
      </c>
      <c r="K7014" s="91" t="str">
        <f t="shared" si="452"/>
        <v>T</v>
      </c>
      <c r="L7014" s="166" t="str">
        <f t="shared" si="448"/>
        <v>07/2020</v>
      </c>
    </row>
    <row r="7015" spans="1:12" x14ac:dyDescent="0.25">
      <c r="A7015" s="170" t="s">
        <v>10770</v>
      </c>
      <c r="B7015" s="170" t="s">
        <v>10771</v>
      </c>
      <c r="C7015" s="170" t="s">
        <v>1155</v>
      </c>
      <c r="D7015" s="170" t="s">
        <v>1947</v>
      </c>
      <c r="E7015" s="171" t="s">
        <v>23058</v>
      </c>
      <c r="F7015" s="171" t="s">
        <v>16296</v>
      </c>
      <c r="H7015" s="96">
        <f t="shared" si="449"/>
        <v>21.51</v>
      </c>
      <c r="I7015" s="96">
        <f t="shared" si="450"/>
        <v>22.05</v>
      </c>
      <c r="J7015" s="91" t="str">
        <f t="shared" si="451"/>
        <v>Sinapi 101466</v>
      </c>
      <c r="K7015" s="91" t="str">
        <f t="shared" si="452"/>
        <v>T</v>
      </c>
      <c r="L7015" s="166" t="str">
        <f t="shared" si="448"/>
        <v>07/2020</v>
      </c>
    </row>
    <row r="7016" spans="1:12" x14ac:dyDescent="0.25">
      <c r="A7016" s="170" t="s">
        <v>10772</v>
      </c>
      <c r="B7016" s="170" t="s">
        <v>10773</v>
      </c>
      <c r="C7016" s="170" t="s">
        <v>1155</v>
      </c>
      <c r="D7016" s="170" t="s">
        <v>1947</v>
      </c>
      <c r="E7016" s="171" t="s">
        <v>28990</v>
      </c>
      <c r="F7016" s="171" t="s">
        <v>23142</v>
      </c>
      <c r="H7016" s="96">
        <f t="shared" si="449"/>
        <v>18.010000000000002</v>
      </c>
      <c r="I7016" s="96">
        <f t="shared" si="450"/>
        <v>18.45</v>
      </c>
      <c r="J7016" s="91" t="str">
        <f t="shared" si="451"/>
        <v>Sinapi 101467</v>
      </c>
      <c r="K7016" s="91" t="str">
        <f t="shared" si="452"/>
        <v>T</v>
      </c>
      <c r="L7016" s="166" t="str">
        <f t="shared" si="448"/>
        <v>07/2020</v>
      </c>
    </row>
    <row r="7017" spans="1:12" x14ac:dyDescent="0.25">
      <c r="A7017" s="170" t="s">
        <v>10774</v>
      </c>
      <c r="B7017" s="170" t="s">
        <v>10775</v>
      </c>
      <c r="C7017" s="170" t="s">
        <v>1155</v>
      </c>
      <c r="D7017" s="170" t="s">
        <v>1947</v>
      </c>
      <c r="E7017" s="171" t="s">
        <v>19865</v>
      </c>
      <c r="F7017" s="171" t="s">
        <v>23262</v>
      </c>
      <c r="H7017" s="96">
        <f t="shared" si="449"/>
        <v>16.46</v>
      </c>
      <c r="I7017" s="96">
        <f t="shared" si="450"/>
        <v>16.88</v>
      </c>
      <c r="J7017" s="91" t="str">
        <f t="shared" si="451"/>
        <v>Sinapi 101468</v>
      </c>
      <c r="K7017" s="91" t="str">
        <f t="shared" si="452"/>
        <v>T</v>
      </c>
      <c r="L7017" s="166" t="str">
        <f t="shared" si="448"/>
        <v>07/2020</v>
      </c>
    </row>
    <row r="7018" spans="1:12" x14ac:dyDescent="0.25">
      <c r="A7018" s="170" t="s">
        <v>10776</v>
      </c>
      <c r="B7018" s="170" t="s">
        <v>10777</v>
      </c>
      <c r="C7018" s="170" t="s">
        <v>1155</v>
      </c>
      <c r="D7018" s="170" t="s">
        <v>1947</v>
      </c>
      <c r="E7018" s="171" t="s">
        <v>34881</v>
      </c>
      <c r="F7018" s="171" t="s">
        <v>23200</v>
      </c>
      <c r="H7018" s="96">
        <f t="shared" si="449"/>
        <v>36.869999999999997</v>
      </c>
      <c r="I7018" s="96">
        <f t="shared" si="450"/>
        <v>37.78</v>
      </c>
      <c r="J7018" s="91" t="str">
        <f t="shared" si="451"/>
        <v>Sinapi 101469</v>
      </c>
      <c r="K7018" s="91" t="str">
        <f t="shared" si="452"/>
        <v>T</v>
      </c>
      <c r="L7018" s="166" t="str">
        <f t="shared" si="448"/>
        <v>07/2020</v>
      </c>
    </row>
    <row r="7019" spans="1:12" x14ac:dyDescent="0.25">
      <c r="A7019" s="170" t="s">
        <v>10778</v>
      </c>
      <c r="B7019" s="170" t="s">
        <v>10779</v>
      </c>
      <c r="C7019" s="170" t="s">
        <v>1155</v>
      </c>
      <c r="D7019" s="170" t="s">
        <v>1947</v>
      </c>
      <c r="E7019" s="171" t="s">
        <v>21095</v>
      </c>
      <c r="F7019" s="171" t="s">
        <v>33788</v>
      </c>
      <c r="H7019" s="96">
        <f t="shared" si="449"/>
        <v>29.26</v>
      </c>
      <c r="I7019" s="96">
        <f t="shared" si="450"/>
        <v>29.99</v>
      </c>
      <c r="J7019" s="91" t="str">
        <f t="shared" si="451"/>
        <v>Sinapi 101470</v>
      </c>
      <c r="K7019" s="91" t="str">
        <f t="shared" si="452"/>
        <v>T</v>
      </c>
      <c r="L7019" s="166" t="str">
        <f t="shared" si="448"/>
        <v>07/2020</v>
      </c>
    </row>
    <row r="7020" spans="1:12" x14ac:dyDescent="0.25">
      <c r="A7020" s="170" t="s">
        <v>10780</v>
      </c>
      <c r="B7020" s="170" t="s">
        <v>10781</v>
      </c>
      <c r="C7020" s="170" t="s">
        <v>1155</v>
      </c>
      <c r="D7020" s="170" t="s">
        <v>1947</v>
      </c>
      <c r="E7020" s="171" t="s">
        <v>15782</v>
      </c>
      <c r="F7020" s="171" t="s">
        <v>21340</v>
      </c>
      <c r="H7020" s="96">
        <f t="shared" si="449"/>
        <v>25.11</v>
      </c>
      <c r="I7020" s="96">
        <f t="shared" si="450"/>
        <v>25.72</v>
      </c>
      <c r="J7020" s="91" t="str">
        <f t="shared" si="451"/>
        <v>Sinapi 101471</v>
      </c>
      <c r="K7020" s="91" t="str">
        <f t="shared" si="452"/>
        <v>T</v>
      </c>
      <c r="L7020" s="166" t="str">
        <f t="shared" si="448"/>
        <v>07/2020</v>
      </c>
    </row>
    <row r="7021" spans="1:12" x14ac:dyDescent="0.25">
      <c r="A7021" s="170" t="s">
        <v>10782</v>
      </c>
      <c r="B7021" s="170" t="s">
        <v>10783</v>
      </c>
      <c r="C7021" s="170" t="s">
        <v>1155</v>
      </c>
      <c r="D7021" s="170" t="s">
        <v>1947</v>
      </c>
      <c r="E7021" s="171" t="s">
        <v>8753</v>
      </c>
      <c r="F7021" s="171" t="s">
        <v>19916</v>
      </c>
      <c r="H7021" s="96">
        <f t="shared" si="449"/>
        <v>19.54</v>
      </c>
      <c r="I7021" s="96">
        <f t="shared" si="450"/>
        <v>20.02</v>
      </c>
      <c r="J7021" s="91" t="str">
        <f t="shared" si="451"/>
        <v>Sinapi 101472</v>
      </c>
      <c r="K7021" s="91" t="str">
        <f t="shared" si="452"/>
        <v>T</v>
      </c>
      <c r="L7021" s="166" t="str">
        <f t="shared" si="448"/>
        <v>07/2020</v>
      </c>
    </row>
    <row r="7022" spans="1:12" x14ac:dyDescent="0.25">
      <c r="A7022" s="170" t="s">
        <v>10784</v>
      </c>
      <c r="B7022" s="170" t="s">
        <v>10785</v>
      </c>
      <c r="C7022" s="170" t="s">
        <v>1155</v>
      </c>
      <c r="D7022" s="170" t="s">
        <v>1947</v>
      </c>
      <c r="E7022" s="171" t="s">
        <v>29312</v>
      </c>
      <c r="F7022" s="171" t="s">
        <v>23349</v>
      </c>
      <c r="H7022" s="96">
        <f t="shared" si="449"/>
        <v>28.13</v>
      </c>
      <c r="I7022" s="96">
        <f t="shared" si="450"/>
        <v>28.83</v>
      </c>
      <c r="J7022" s="91" t="str">
        <f t="shared" si="451"/>
        <v>Sinapi 101473</v>
      </c>
      <c r="K7022" s="91" t="str">
        <f t="shared" si="452"/>
        <v>T</v>
      </c>
      <c r="L7022" s="166" t="str">
        <f t="shared" si="448"/>
        <v>07/2020</v>
      </c>
    </row>
    <row r="7023" spans="1:12" x14ac:dyDescent="0.25">
      <c r="A7023" s="170" t="s">
        <v>10786</v>
      </c>
      <c r="B7023" s="170" t="s">
        <v>10787</v>
      </c>
      <c r="C7023" s="170" t="s">
        <v>1155</v>
      </c>
      <c r="D7023" s="170" t="s">
        <v>1947</v>
      </c>
      <c r="E7023" s="171" t="s">
        <v>18307</v>
      </c>
      <c r="F7023" s="171" t="s">
        <v>17356</v>
      </c>
      <c r="H7023" s="96">
        <f t="shared" si="449"/>
        <v>20.13</v>
      </c>
      <c r="I7023" s="96">
        <f t="shared" si="450"/>
        <v>20.63</v>
      </c>
      <c r="J7023" s="91" t="str">
        <f t="shared" si="451"/>
        <v>Sinapi 101474</v>
      </c>
      <c r="K7023" s="91" t="str">
        <f t="shared" si="452"/>
        <v>T</v>
      </c>
      <c r="L7023" s="166" t="str">
        <f t="shared" si="448"/>
        <v>07/2020</v>
      </c>
    </row>
    <row r="7024" spans="1:12" x14ac:dyDescent="0.25">
      <c r="A7024" s="170" t="s">
        <v>10788</v>
      </c>
      <c r="B7024" s="170" t="s">
        <v>10789</v>
      </c>
      <c r="C7024" s="170" t="s">
        <v>1155</v>
      </c>
      <c r="D7024" s="170" t="s">
        <v>1947</v>
      </c>
      <c r="E7024" s="171" t="s">
        <v>21097</v>
      </c>
      <c r="F7024" s="171" t="s">
        <v>30411</v>
      </c>
      <c r="H7024" s="96">
        <f t="shared" si="449"/>
        <v>17.86</v>
      </c>
      <c r="I7024" s="96">
        <f t="shared" si="450"/>
        <v>18.29</v>
      </c>
      <c r="J7024" s="91" t="str">
        <f t="shared" si="451"/>
        <v>Sinapi 101475</v>
      </c>
      <c r="K7024" s="91" t="str">
        <f t="shared" si="452"/>
        <v>T</v>
      </c>
      <c r="L7024" s="166" t="str">
        <f t="shared" si="448"/>
        <v>07/2020</v>
      </c>
    </row>
    <row r="7025" spans="1:12" x14ac:dyDescent="0.25">
      <c r="A7025" s="170" t="s">
        <v>10790</v>
      </c>
      <c r="B7025" s="170" t="s">
        <v>10791</v>
      </c>
      <c r="C7025" s="170" t="s">
        <v>1155</v>
      </c>
      <c r="D7025" s="170" t="s">
        <v>1947</v>
      </c>
      <c r="E7025" s="171" t="s">
        <v>19344</v>
      </c>
      <c r="F7025" s="171" t="s">
        <v>17286</v>
      </c>
      <c r="H7025" s="96">
        <f t="shared" si="449"/>
        <v>15.92</v>
      </c>
      <c r="I7025" s="96">
        <f t="shared" si="450"/>
        <v>16.309999999999999</v>
      </c>
      <c r="J7025" s="91" t="str">
        <f t="shared" si="451"/>
        <v>Sinapi 101476</v>
      </c>
      <c r="K7025" s="91" t="str">
        <f t="shared" si="452"/>
        <v>T</v>
      </c>
      <c r="L7025" s="166" t="str">
        <f t="shared" si="448"/>
        <v>07/2020</v>
      </c>
    </row>
    <row r="7026" spans="1:12" x14ac:dyDescent="0.25">
      <c r="A7026" s="170" t="s">
        <v>10792</v>
      </c>
      <c r="B7026" s="170" t="s">
        <v>10793</v>
      </c>
      <c r="C7026" s="170" t="s">
        <v>1155</v>
      </c>
      <c r="D7026" s="170" t="s">
        <v>1947</v>
      </c>
      <c r="E7026" s="171" t="s">
        <v>17285</v>
      </c>
      <c r="F7026" s="171" t="s">
        <v>20634</v>
      </c>
      <c r="H7026" s="96">
        <f t="shared" si="449"/>
        <v>13.03</v>
      </c>
      <c r="I7026" s="96">
        <f t="shared" si="450"/>
        <v>13.36</v>
      </c>
      <c r="J7026" s="91" t="str">
        <f t="shared" si="451"/>
        <v>Sinapi 101477</v>
      </c>
      <c r="K7026" s="91" t="str">
        <f t="shared" si="452"/>
        <v>T</v>
      </c>
      <c r="L7026" s="166" t="str">
        <f t="shared" si="448"/>
        <v>07/2020</v>
      </c>
    </row>
    <row r="7027" spans="1:12" x14ac:dyDescent="0.25">
      <c r="A7027" s="170" t="s">
        <v>10794</v>
      </c>
      <c r="B7027" s="170" t="s">
        <v>10795</v>
      </c>
      <c r="C7027" s="170" t="s">
        <v>1155</v>
      </c>
      <c r="D7027" s="170" t="s">
        <v>1947</v>
      </c>
      <c r="E7027" s="171" t="s">
        <v>17141</v>
      </c>
      <c r="F7027" s="171" t="s">
        <v>20027</v>
      </c>
      <c r="H7027" s="96">
        <f t="shared" si="449"/>
        <v>11.09</v>
      </c>
      <c r="I7027" s="96">
        <f t="shared" si="450"/>
        <v>11.37</v>
      </c>
      <c r="J7027" s="91" t="str">
        <f t="shared" si="451"/>
        <v>Sinapi 101478</v>
      </c>
      <c r="K7027" s="91" t="str">
        <f t="shared" si="452"/>
        <v>T</v>
      </c>
      <c r="L7027" s="166" t="str">
        <f t="shared" si="448"/>
        <v>07/2020</v>
      </c>
    </row>
    <row r="7028" spans="1:12" x14ac:dyDescent="0.25">
      <c r="A7028" s="170" t="s">
        <v>10796</v>
      </c>
      <c r="B7028" s="170" t="s">
        <v>10797</v>
      </c>
      <c r="C7028" s="170" t="s">
        <v>1155</v>
      </c>
      <c r="D7028" s="170" t="s">
        <v>1947</v>
      </c>
      <c r="E7028" s="171" t="s">
        <v>34882</v>
      </c>
      <c r="F7028" s="171" t="s">
        <v>37953</v>
      </c>
      <c r="H7028" s="96">
        <f t="shared" si="449"/>
        <v>65.930000000000007</v>
      </c>
      <c r="I7028" s="96">
        <f t="shared" si="450"/>
        <v>67.569999999999993</v>
      </c>
      <c r="J7028" s="91" t="str">
        <f t="shared" si="451"/>
        <v>Sinapi 101480</v>
      </c>
      <c r="K7028" s="91" t="str">
        <f t="shared" si="452"/>
        <v>T</v>
      </c>
      <c r="L7028" s="166" t="str">
        <f t="shared" si="448"/>
        <v>07/2020</v>
      </c>
    </row>
    <row r="7029" spans="1:12" x14ac:dyDescent="0.25">
      <c r="A7029" s="170" t="s">
        <v>10798</v>
      </c>
      <c r="B7029" s="170" t="s">
        <v>10799</v>
      </c>
      <c r="C7029" s="170" t="s">
        <v>1155</v>
      </c>
      <c r="D7029" s="170" t="s">
        <v>1947</v>
      </c>
      <c r="E7029" s="171" t="s">
        <v>28805</v>
      </c>
      <c r="F7029" s="171" t="s">
        <v>37954</v>
      </c>
      <c r="H7029" s="96">
        <f t="shared" si="449"/>
        <v>47.62</v>
      </c>
      <c r="I7029" s="96">
        <f t="shared" si="450"/>
        <v>48.8</v>
      </c>
      <c r="J7029" s="91" t="str">
        <f t="shared" si="451"/>
        <v>Sinapi 101481</v>
      </c>
      <c r="K7029" s="91" t="str">
        <f t="shared" si="452"/>
        <v>T</v>
      </c>
      <c r="L7029" s="166" t="str">
        <f t="shared" si="448"/>
        <v>07/2020</v>
      </c>
    </row>
    <row r="7030" spans="1:12" x14ac:dyDescent="0.25">
      <c r="A7030" s="170" t="s">
        <v>10800</v>
      </c>
      <c r="B7030" s="170" t="s">
        <v>14318</v>
      </c>
      <c r="C7030" s="170" t="s">
        <v>1155</v>
      </c>
      <c r="D7030" s="170" t="s">
        <v>1947</v>
      </c>
      <c r="E7030" s="171" t="s">
        <v>23210</v>
      </c>
      <c r="F7030" s="171" t="s">
        <v>20645</v>
      </c>
      <c r="H7030" s="96">
        <f t="shared" si="449"/>
        <v>35.6</v>
      </c>
      <c r="I7030" s="96">
        <f t="shared" si="450"/>
        <v>36.479999999999997</v>
      </c>
      <c r="J7030" s="91" t="str">
        <f t="shared" si="451"/>
        <v>Sinapi 101482</v>
      </c>
      <c r="K7030" s="91" t="str">
        <f t="shared" si="452"/>
        <v>T</v>
      </c>
      <c r="L7030" s="166" t="str">
        <f t="shared" si="448"/>
        <v>07/2020</v>
      </c>
    </row>
    <row r="7031" spans="1:12" x14ac:dyDescent="0.25">
      <c r="A7031" s="170" t="s">
        <v>10801</v>
      </c>
      <c r="B7031" s="170" t="s">
        <v>10802</v>
      </c>
      <c r="C7031" s="170" t="s">
        <v>1155</v>
      </c>
      <c r="D7031" s="170" t="s">
        <v>1947</v>
      </c>
      <c r="E7031" s="171" t="s">
        <v>34883</v>
      </c>
      <c r="F7031" s="171" t="s">
        <v>21120</v>
      </c>
      <c r="H7031" s="96">
        <f t="shared" si="449"/>
        <v>36.94</v>
      </c>
      <c r="I7031" s="96">
        <f t="shared" si="450"/>
        <v>37.85</v>
      </c>
      <c r="J7031" s="91" t="str">
        <f t="shared" si="451"/>
        <v>Sinapi 101483</v>
      </c>
      <c r="K7031" s="91" t="str">
        <f t="shared" si="452"/>
        <v>T</v>
      </c>
      <c r="L7031" s="166" t="str">
        <f t="shared" si="448"/>
        <v>07/2020</v>
      </c>
    </row>
    <row r="7032" spans="1:12" x14ac:dyDescent="0.25">
      <c r="A7032" s="170" t="s">
        <v>10803</v>
      </c>
      <c r="B7032" s="170" t="s">
        <v>10804</v>
      </c>
      <c r="C7032" s="170" t="s">
        <v>1155</v>
      </c>
      <c r="D7032" s="170" t="s">
        <v>1947</v>
      </c>
      <c r="E7032" s="171" t="s">
        <v>34884</v>
      </c>
      <c r="F7032" s="171" t="s">
        <v>37955</v>
      </c>
      <c r="H7032" s="96">
        <f t="shared" si="449"/>
        <v>191.47</v>
      </c>
      <c r="I7032" s="96">
        <f t="shared" si="450"/>
        <v>196.19</v>
      </c>
      <c r="J7032" s="91" t="str">
        <f t="shared" si="451"/>
        <v>Sinapi 101484</v>
      </c>
      <c r="K7032" s="91" t="str">
        <f t="shared" si="452"/>
        <v>T</v>
      </c>
      <c r="L7032" s="166" t="str">
        <f t="shared" si="448"/>
        <v>07/2020</v>
      </c>
    </row>
    <row r="7033" spans="1:12" x14ac:dyDescent="0.25">
      <c r="A7033" s="170" t="s">
        <v>10805</v>
      </c>
      <c r="B7033" s="170" t="s">
        <v>10806</v>
      </c>
      <c r="C7033" s="170" t="s">
        <v>1155</v>
      </c>
      <c r="D7033" s="170" t="s">
        <v>1947</v>
      </c>
      <c r="E7033" s="171" t="s">
        <v>28490</v>
      </c>
      <c r="F7033" s="171" t="s">
        <v>37956</v>
      </c>
      <c r="H7033" s="96">
        <f t="shared" si="449"/>
        <v>146.97999999999999</v>
      </c>
      <c r="I7033" s="96">
        <f t="shared" si="450"/>
        <v>150.61000000000001</v>
      </c>
      <c r="J7033" s="91" t="str">
        <f t="shared" si="451"/>
        <v>Sinapi 101485</v>
      </c>
      <c r="K7033" s="91" t="str">
        <f t="shared" si="452"/>
        <v>T</v>
      </c>
      <c r="L7033" s="166" t="str">
        <f t="shared" si="448"/>
        <v>07/2020</v>
      </c>
    </row>
    <row r="7034" spans="1:12" x14ac:dyDescent="0.25">
      <c r="A7034" s="170" t="s">
        <v>10807</v>
      </c>
      <c r="B7034" s="170" t="s">
        <v>10808</v>
      </c>
      <c r="C7034" s="170" t="s">
        <v>1155</v>
      </c>
      <c r="D7034" s="170" t="s">
        <v>1947</v>
      </c>
      <c r="E7034" s="171" t="s">
        <v>29197</v>
      </c>
      <c r="F7034" s="171" t="s">
        <v>37957</v>
      </c>
      <c r="H7034" s="96">
        <f t="shared" si="449"/>
        <v>132.38999999999999</v>
      </c>
      <c r="I7034" s="96">
        <f t="shared" si="450"/>
        <v>135.66999999999999</v>
      </c>
      <c r="J7034" s="91" t="str">
        <f t="shared" si="451"/>
        <v>Sinapi 101486</v>
      </c>
      <c r="K7034" s="91" t="str">
        <f t="shared" si="452"/>
        <v>T</v>
      </c>
      <c r="L7034" s="166" t="str">
        <f t="shared" si="448"/>
        <v>07/2020</v>
      </c>
    </row>
    <row r="7035" spans="1:12" x14ac:dyDescent="0.25">
      <c r="A7035" s="170" t="s">
        <v>10809</v>
      </c>
      <c r="B7035" s="170" t="s">
        <v>10810</v>
      </c>
      <c r="C7035" s="170" t="s">
        <v>1155</v>
      </c>
      <c r="D7035" s="170" t="s">
        <v>1947</v>
      </c>
      <c r="E7035" s="171" t="s">
        <v>28672</v>
      </c>
      <c r="F7035" s="171" t="s">
        <v>37958</v>
      </c>
      <c r="H7035" s="96">
        <f t="shared" si="449"/>
        <v>96.93</v>
      </c>
      <c r="I7035" s="96">
        <f t="shared" si="450"/>
        <v>99.33</v>
      </c>
      <c r="J7035" s="91" t="str">
        <f t="shared" si="451"/>
        <v>Sinapi 101487</v>
      </c>
      <c r="K7035" s="91" t="str">
        <f t="shared" si="452"/>
        <v>T</v>
      </c>
      <c r="L7035" s="166" t="str">
        <f t="shared" si="448"/>
        <v>07/2020</v>
      </c>
    </row>
    <row r="7036" spans="1:12" x14ac:dyDescent="0.25">
      <c r="A7036" s="170" t="s">
        <v>10811</v>
      </c>
      <c r="B7036" s="170" t="s">
        <v>10812</v>
      </c>
      <c r="C7036" s="170" t="s">
        <v>1155</v>
      </c>
      <c r="D7036" s="170" t="s">
        <v>1947</v>
      </c>
      <c r="E7036" s="171" t="s">
        <v>34885</v>
      </c>
      <c r="F7036" s="171" t="s">
        <v>37959</v>
      </c>
      <c r="H7036" s="96">
        <f t="shared" si="449"/>
        <v>83.87</v>
      </c>
      <c r="I7036" s="96">
        <f t="shared" si="450"/>
        <v>85.95</v>
      </c>
      <c r="J7036" s="91" t="str">
        <f t="shared" si="451"/>
        <v>Sinapi 101488</v>
      </c>
      <c r="K7036" s="91" t="str">
        <f t="shared" si="452"/>
        <v>T</v>
      </c>
      <c r="L7036" s="166" t="str">
        <f t="shared" si="448"/>
        <v>07/2020</v>
      </c>
    </row>
    <row r="7037" spans="1:12" x14ac:dyDescent="0.25">
      <c r="A7037" s="170" t="s">
        <v>9659</v>
      </c>
      <c r="B7037" s="170" t="s">
        <v>9660</v>
      </c>
      <c r="C7037" s="170" t="s">
        <v>385</v>
      </c>
      <c r="D7037" s="170" t="s">
        <v>2067</v>
      </c>
      <c r="E7037" s="171" t="s">
        <v>10260</v>
      </c>
      <c r="F7037" s="171" t="s">
        <v>29470</v>
      </c>
      <c r="H7037" s="96">
        <f t="shared" si="449"/>
        <v>5.82</v>
      </c>
      <c r="I7037" s="96">
        <f t="shared" si="450"/>
        <v>6.27</v>
      </c>
      <c r="J7037" s="91" t="str">
        <f t="shared" si="451"/>
        <v>Sinapi 101188</v>
      </c>
      <c r="K7037" s="91" t="str">
        <f t="shared" si="452"/>
        <v>M</v>
      </c>
      <c r="L7037" s="166" t="str">
        <f t="shared" si="448"/>
        <v>05/2020</v>
      </c>
    </row>
    <row r="7038" spans="1:12" x14ac:dyDescent="0.25">
      <c r="A7038" s="170" t="s">
        <v>9661</v>
      </c>
      <c r="B7038" s="170" t="s">
        <v>9662</v>
      </c>
      <c r="C7038" s="170" t="s">
        <v>385</v>
      </c>
      <c r="D7038" s="170" t="s">
        <v>2067</v>
      </c>
      <c r="E7038" s="171" t="s">
        <v>34886</v>
      </c>
      <c r="F7038" s="171" t="s">
        <v>37960</v>
      </c>
      <c r="H7038" s="96">
        <f t="shared" si="449"/>
        <v>79.680000000000007</v>
      </c>
      <c r="I7038" s="96">
        <f t="shared" si="450"/>
        <v>82.24</v>
      </c>
      <c r="J7038" s="91" t="str">
        <f t="shared" si="451"/>
        <v>Sinapi 101189</v>
      </c>
      <c r="K7038" s="91" t="str">
        <f t="shared" si="452"/>
        <v>M</v>
      </c>
      <c r="L7038" s="166" t="str">
        <f t="shared" si="448"/>
        <v>05/2020</v>
      </c>
    </row>
    <row r="7039" spans="1:12" x14ac:dyDescent="0.25">
      <c r="A7039" s="170" t="s">
        <v>9663</v>
      </c>
      <c r="B7039" s="170" t="s">
        <v>9664</v>
      </c>
      <c r="C7039" s="170" t="s">
        <v>385</v>
      </c>
      <c r="D7039" s="170" t="s">
        <v>2067</v>
      </c>
      <c r="E7039" s="171" t="s">
        <v>34887</v>
      </c>
      <c r="F7039" s="171" t="s">
        <v>37961</v>
      </c>
      <c r="H7039" s="96">
        <f t="shared" si="449"/>
        <v>78.8</v>
      </c>
      <c r="I7039" s="96">
        <f t="shared" si="450"/>
        <v>81.36</v>
      </c>
      <c r="J7039" s="91" t="str">
        <f t="shared" si="451"/>
        <v>Sinapi 101190</v>
      </c>
      <c r="K7039" s="91" t="str">
        <f t="shared" si="452"/>
        <v>M</v>
      </c>
      <c r="L7039" s="166" t="str">
        <f t="shared" si="448"/>
        <v>05/2020</v>
      </c>
    </row>
    <row r="7040" spans="1:12" x14ac:dyDescent="0.25">
      <c r="A7040" s="170" t="s">
        <v>9665</v>
      </c>
      <c r="B7040" s="170" t="s">
        <v>9666</v>
      </c>
      <c r="C7040" s="170" t="s">
        <v>385</v>
      </c>
      <c r="D7040" s="170" t="s">
        <v>2067</v>
      </c>
      <c r="E7040" s="171" t="s">
        <v>34888</v>
      </c>
      <c r="F7040" s="171" t="s">
        <v>22812</v>
      </c>
      <c r="H7040" s="96">
        <f t="shared" si="449"/>
        <v>79.239999999999995</v>
      </c>
      <c r="I7040" s="96">
        <f t="shared" si="450"/>
        <v>81.8</v>
      </c>
      <c r="J7040" s="91" t="str">
        <f t="shared" si="451"/>
        <v>Sinapi 101191</v>
      </c>
      <c r="K7040" s="91" t="str">
        <f t="shared" si="452"/>
        <v>M</v>
      </c>
      <c r="L7040" s="166" t="str">
        <f t="shared" si="448"/>
        <v>05/2020</v>
      </c>
    </row>
    <row r="7041" spans="1:12" x14ac:dyDescent="0.25">
      <c r="A7041" s="170" t="s">
        <v>9667</v>
      </c>
      <c r="B7041" s="170" t="s">
        <v>9668</v>
      </c>
      <c r="C7041" s="170" t="s">
        <v>385</v>
      </c>
      <c r="D7041" s="170" t="s">
        <v>2067</v>
      </c>
      <c r="E7041" s="171" t="s">
        <v>34889</v>
      </c>
      <c r="F7041" s="171" t="s">
        <v>37962</v>
      </c>
      <c r="H7041" s="96">
        <f t="shared" si="449"/>
        <v>78.78</v>
      </c>
      <c r="I7041" s="96">
        <f t="shared" si="450"/>
        <v>81.34</v>
      </c>
      <c r="J7041" s="91" t="str">
        <f t="shared" si="451"/>
        <v>Sinapi 101192</v>
      </c>
      <c r="K7041" s="91" t="str">
        <f t="shared" si="452"/>
        <v>M</v>
      </c>
      <c r="L7041" s="166" t="str">
        <f t="shared" si="448"/>
        <v>05/2020</v>
      </c>
    </row>
    <row r="7042" spans="1:12" x14ac:dyDescent="0.25">
      <c r="A7042" s="170" t="s">
        <v>9669</v>
      </c>
      <c r="B7042" s="170" t="s">
        <v>9670</v>
      </c>
      <c r="C7042" s="170" t="s">
        <v>385</v>
      </c>
      <c r="D7042" s="170" t="s">
        <v>2067</v>
      </c>
      <c r="E7042" s="171" t="s">
        <v>28731</v>
      </c>
      <c r="F7042" s="171" t="s">
        <v>21585</v>
      </c>
      <c r="H7042" s="96">
        <f t="shared" si="449"/>
        <v>70.72</v>
      </c>
      <c r="I7042" s="96">
        <f t="shared" si="450"/>
        <v>73.28</v>
      </c>
      <c r="J7042" s="91" t="str">
        <f t="shared" si="451"/>
        <v>Sinapi 101193</v>
      </c>
      <c r="K7042" s="91" t="str">
        <f t="shared" si="452"/>
        <v>M</v>
      </c>
      <c r="L7042" s="166" t="str">
        <f t="shared" si="448"/>
        <v>05/2020</v>
      </c>
    </row>
    <row r="7043" spans="1:12" x14ac:dyDescent="0.25">
      <c r="A7043" s="170" t="s">
        <v>9671</v>
      </c>
      <c r="B7043" s="170" t="s">
        <v>9672</v>
      </c>
      <c r="C7043" s="170" t="s">
        <v>385</v>
      </c>
      <c r="D7043" s="170" t="s">
        <v>2067</v>
      </c>
      <c r="E7043" s="171" t="s">
        <v>28624</v>
      </c>
      <c r="F7043" s="171" t="s">
        <v>32754</v>
      </c>
      <c r="H7043" s="96">
        <f t="shared" si="449"/>
        <v>71.16</v>
      </c>
      <c r="I7043" s="96">
        <f t="shared" si="450"/>
        <v>73.72</v>
      </c>
      <c r="J7043" s="91" t="str">
        <f t="shared" si="451"/>
        <v>Sinapi 101194</v>
      </c>
      <c r="K7043" s="91" t="str">
        <f t="shared" si="452"/>
        <v>M</v>
      </c>
      <c r="L7043" s="166" t="str">
        <f t="shared" si="448"/>
        <v>05/2020</v>
      </c>
    </row>
    <row r="7044" spans="1:12" x14ac:dyDescent="0.25">
      <c r="A7044" s="170" t="s">
        <v>9673</v>
      </c>
      <c r="B7044" s="170" t="s">
        <v>9674</v>
      </c>
      <c r="C7044" s="170" t="s">
        <v>385</v>
      </c>
      <c r="D7044" s="170" t="s">
        <v>2067</v>
      </c>
      <c r="E7044" s="171" t="s">
        <v>34890</v>
      </c>
      <c r="F7044" s="171" t="s">
        <v>37963</v>
      </c>
      <c r="H7044" s="96">
        <f t="shared" si="449"/>
        <v>150.19999999999999</v>
      </c>
      <c r="I7044" s="96">
        <f t="shared" si="450"/>
        <v>154.97</v>
      </c>
      <c r="J7044" s="91" t="str">
        <f t="shared" si="451"/>
        <v>Sinapi 101197</v>
      </c>
      <c r="K7044" s="91" t="str">
        <f t="shared" si="452"/>
        <v>M</v>
      </c>
      <c r="L7044" s="166" t="str">
        <f t="shared" si="448"/>
        <v>05/2020</v>
      </c>
    </row>
    <row r="7045" spans="1:12" x14ac:dyDescent="0.25">
      <c r="A7045" s="170" t="s">
        <v>9675</v>
      </c>
      <c r="B7045" s="170" t="s">
        <v>9676</v>
      </c>
      <c r="C7045" s="170" t="s">
        <v>385</v>
      </c>
      <c r="D7045" s="170" t="s">
        <v>2067</v>
      </c>
      <c r="E7045" s="171" t="s">
        <v>34891</v>
      </c>
      <c r="F7045" s="171" t="s">
        <v>29146</v>
      </c>
      <c r="H7045" s="96">
        <f t="shared" si="449"/>
        <v>103.25</v>
      </c>
      <c r="I7045" s="96">
        <f t="shared" si="450"/>
        <v>107.35</v>
      </c>
      <c r="J7045" s="91" t="str">
        <f t="shared" si="451"/>
        <v>Sinapi 101198</v>
      </c>
      <c r="K7045" s="91" t="str">
        <f t="shared" si="452"/>
        <v>M</v>
      </c>
      <c r="L7045" s="166" t="str">
        <f t="shared" si="448"/>
        <v>05/2020</v>
      </c>
    </row>
    <row r="7046" spans="1:12" x14ac:dyDescent="0.25">
      <c r="A7046" s="170" t="s">
        <v>9677</v>
      </c>
      <c r="B7046" s="170" t="s">
        <v>9678</v>
      </c>
      <c r="C7046" s="170" t="s">
        <v>385</v>
      </c>
      <c r="D7046" s="170" t="s">
        <v>2067</v>
      </c>
      <c r="E7046" s="171" t="s">
        <v>34892</v>
      </c>
      <c r="F7046" s="171" t="s">
        <v>37964</v>
      </c>
      <c r="H7046" s="96">
        <f t="shared" si="449"/>
        <v>104.34</v>
      </c>
      <c r="I7046" s="96">
        <f t="shared" si="450"/>
        <v>108.44</v>
      </c>
      <c r="J7046" s="91" t="str">
        <f t="shared" si="451"/>
        <v>Sinapi 101199</v>
      </c>
      <c r="K7046" s="91" t="str">
        <f t="shared" si="452"/>
        <v>M</v>
      </c>
      <c r="L7046" s="166" t="str">
        <f t="shared" si="448"/>
        <v>05/2020</v>
      </c>
    </row>
    <row r="7047" spans="1:12" x14ac:dyDescent="0.25">
      <c r="A7047" s="170" t="s">
        <v>9679</v>
      </c>
      <c r="B7047" s="170" t="s">
        <v>9680</v>
      </c>
      <c r="C7047" s="170" t="s">
        <v>385</v>
      </c>
      <c r="D7047" s="170" t="s">
        <v>2067</v>
      </c>
      <c r="E7047" s="171" t="s">
        <v>29012</v>
      </c>
      <c r="F7047" s="171" t="s">
        <v>22083</v>
      </c>
      <c r="H7047" s="96">
        <f t="shared" si="449"/>
        <v>52.1</v>
      </c>
      <c r="I7047" s="96">
        <f t="shared" si="450"/>
        <v>54.8</v>
      </c>
      <c r="J7047" s="91" t="str">
        <f t="shared" si="451"/>
        <v>Sinapi 101200</v>
      </c>
      <c r="K7047" s="91" t="str">
        <f t="shared" si="452"/>
        <v>M</v>
      </c>
      <c r="L7047" s="166" t="str">
        <f t="shared" si="448"/>
        <v>05/2020</v>
      </c>
    </row>
    <row r="7048" spans="1:12" x14ac:dyDescent="0.25">
      <c r="A7048" s="170" t="s">
        <v>9681</v>
      </c>
      <c r="B7048" s="170" t="s">
        <v>9682</v>
      </c>
      <c r="C7048" s="170" t="s">
        <v>385</v>
      </c>
      <c r="D7048" s="170" t="s">
        <v>2067</v>
      </c>
      <c r="E7048" s="171" t="s">
        <v>29396</v>
      </c>
      <c r="F7048" s="171" t="s">
        <v>22803</v>
      </c>
      <c r="H7048" s="96">
        <f t="shared" si="449"/>
        <v>66</v>
      </c>
      <c r="I7048" s="96">
        <f t="shared" si="450"/>
        <v>69.510000000000005</v>
      </c>
      <c r="J7048" s="91" t="str">
        <f t="shared" si="451"/>
        <v>Sinapi 101201</v>
      </c>
      <c r="K7048" s="91" t="str">
        <f t="shared" si="452"/>
        <v>M</v>
      </c>
      <c r="L7048" s="166" t="str">
        <f t="shared" ref="L7048:L7111" si="453">IF(OR(RIGHT(IF(AND(K7048&lt;&gt;"H",K7048&lt;&gt;"MES"),RIGHT(B7048,7),""),2)="PS",RIGHT(IF(AND(K7048&lt;&gt;"H",K7048&lt;&gt;"MES"),RIGHT(B7048,7),""),2)="PA",RIGHT(IF(AND(K7048&lt;&gt;"H",K7048&lt;&gt;"MES"),RIGHT(B7048,7),""),2)="PE"),LEFT(IF(AND(K7048&lt;&gt;"H",K7048&lt;&gt;"MES"),RIGHT(B7048,10),""),7),IF(AND(K7048&lt;&gt;"H",K7048&lt;&gt;"MES"),RIGHT(B7048,7),""))</f>
        <v>05/2020</v>
      </c>
    </row>
    <row r="7049" spans="1:12" x14ac:dyDescent="0.25">
      <c r="A7049" s="170" t="s">
        <v>9683</v>
      </c>
      <c r="B7049" s="170" t="s">
        <v>9684</v>
      </c>
      <c r="C7049" s="170" t="s">
        <v>385</v>
      </c>
      <c r="D7049" s="170" t="s">
        <v>1947</v>
      </c>
      <c r="E7049" s="171" t="s">
        <v>23166</v>
      </c>
      <c r="F7049" s="171" t="s">
        <v>31494</v>
      </c>
      <c r="H7049" s="96">
        <f t="shared" si="449"/>
        <v>41.23</v>
      </c>
      <c r="I7049" s="96">
        <f t="shared" si="450"/>
        <v>44.13</v>
      </c>
      <c r="J7049" s="91" t="str">
        <f t="shared" si="451"/>
        <v>Sinapi 101202</v>
      </c>
      <c r="K7049" s="91" t="str">
        <f t="shared" si="452"/>
        <v>M</v>
      </c>
      <c r="L7049" s="166" t="str">
        <f t="shared" si="453"/>
        <v>05/2020</v>
      </c>
    </row>
    <row r="7050" spans="1:12" x14ac:dyDescent="0.25">
      <c r="A7050" s="170" t="s">
        <v>9685</v>
      </c>
      <c r="B7050" s="170" t="s">
        <v>9686</v>
      </c>
      <c r="C7050" s="170" t="s">
        <v>385</v>
      </c>
      <c r="D7050" s="170" t="s">
        <v>1947</v>
      </c>
      <c r="E7050" s="171" t="s">
        <v>22113</v>
      </c>
      <c r="F7050" s="171" t="s">
        <v>29447</v>
      </c>
      <c r="H7050" s="96">
        <f t="shared" si="449"/>
        <v>40.130000000000003</v>
      </c>
      <c r="I7050" s="96">
        <f t="shared" si="450"/>
        <v>43.03</v>
      </c>
      <c r="J7050" s="91" t="str">
        <f t="shared" si="451"/>
        <v>Sinapi 101203</v>
      </c>
      <c r="K7050" s="91" t="str">
        <f t="shared" si="452"/>
        <v>M</v>
      </c>
      <c r="L7050" s="166" t="str">
        <f t="shared" si="453"/>
        <v>05/2020</v>
      </c>
    </row>
    <row r="7051" spans="1:12" x14ac:dyDescent="0.25">
      <c r="A7051" s="170" t="s">
        <v>9687</v>
      </c>
      <c r="B7051" s="170" t="s">
        <v>9688</v>
      </c>
      <c r="C7051" s="170" t="s">
        <v>385</v>
      </c>
      <c r="D7051" s="170" t="s">
        <v>1947</v>
      </c>
      <c r="E7051" s="171" t="s">
        <v>34893</v>
      </c>
      <c r="F7051" s="171" t="s">
        <v>34485</v>
      </c>
      <c r="H7051" s="96">
        <f t="shared" si="449"/>
        <v>40.57</v>
      </c>
      <c r="I7051" s="96">
        <f t="shared" si="450"/>
        <v>43.47</v>
      </c>
      <c r="J7051" s="91" t="str">
        <f t="shared" si="451"/>
        <v>Sinapi 101204</v>
      </c>
      <c r="K7051" s="91" t="str">
        <f t="shared" si="452"/>
        <v>M</v>
      </c>
      <c r="L7051" s="166" t="str">
        <f t="shared" si="453"/>
        <v>05/2020</v>
      </c>
    </row>
    <row r="7052" spans="1:12" x14ac:dyDescent="0.25">
      <c r="A7052" s="170" t="s">
        <v>9689</v>
      </c>
      <c r="B7052" s="170" t="s">
        <v>9690</v>
      </c>
      <c r="C7052" s="170" t="s">
        <v>385</v>
      </c>
      <c r="D7052" s="170" t="s">
        <v>1947</v>
      </c>
      <c r="E7052" s="171" t="s">
        <v>23166</v>
      </c>
      <c r="F7052" s="171" t="s">
        <v>31494</v>
      </c>
      <c r="H7052" s="96">
        <f t="shared" si="449"/>
        <v>41.23</v>
      </c>
      <c r="I7052" s="96">
        <f t="shared" si="450"/>
        <v>44.13</v>
      </c>
      <c r="J7052" s="91" t="str">
        <f t="shared" si="451"/>
        <v>Sinapi 101205</v>
      </c>
      <c r="K7052" s="91" t="str">
        <f t="shared" si="452"/>
        <v>M</v>
      </c>
      <c r="L7052" s="166" t="str">
        <f t="shared" si="453"/>
        <v>05/2020</v>
      </c>
    </row>
    <row r="7053" spans="1:12" x14ac:dyDescent="0.25">
      <c r="A7053" s="170" t="s">
        <v>12882</v>
      </c>
      <c r="B7053" s="170" t="s">
        <v>12883</v>
      </c>
      <c r="C7053" s="170" t="s">
        <v>870</v>
      </c>
      <c r="D7053" s="170" t="s">
        <v>1947</v>
      </c>
      <c r="E7053" s="171" t="s">
        <v>18587</v>
      </c>
      <c r="F7053" s="171" t="s">
        <v>32893</v>
      </c>
      <c r="H7053" s="96">
        <f t="shared" si="449"/>
        <v>161.79</v>
      </c>
      <c r="I7053" s="96">
        <f t="shared" si="450"/>
        <v>166.47</v>
      </c>
      <c r="J7053" s="91" t="str">
        <f t="shared" si="451"/>
        <v>Sinapi 102362</v>
      </c>
      <c r="K7053" s="91" t="str">
        <f t="shared" si="452"/>
        <v>M2</v>
      </c>
      <c r="L7053" s="166" t="str">
        <f t="shared" si="453"/>
        <v>03/2021</v>
      </c>
    </row>
    <row r="7054" spans="1:12" x14ac:dyDescent="0.25">
      <c r="A7054" s="170" t="s">
        <v>12884</v>
      </c>
      <c r="B7054" s="170" t="s">
        <v>12885</v>
      </c>
      <c r="C7054" s="170" t="s">
        <v>870</v>
      </c>
      <c r="D7054" s="170" t="s">
        <v>1947</v>
      </c>
      <c r="E7054" s="171" t="s">
        <v>34894</v>
      </c>
      <c r="F7054" s="171" t="s">
        <v>37965</v>
      </c>
      <c r="H7054" s="96">
        <f t="shared" si="449"/>
        <v>176.95</v>
      </c>
      <c r="I7054" s="96">
        <f t="shared" si="450"/>
        <v>181.6</v>
      </c>
      <c r="J7054" s="91" t="str">
        <f t="shared" si="451"/>
        <v>Sinapi 102363</v>
      </c>
      <c r="K7054" s="91" t="str">
        <f t="shared" si="452"/>
        <v>M2</v>
      </c>
      <c r="L7054" s="166" t="str">
        <f t="shared" si="453"/>
        <v>03/2021</v>
      </c>
    </row>
    <row r="7055" spans="1:12" x14ac:dyDescent="0.25">
      <c r="A7055" s="170" t="s">
        <v>12886</v>
      </c>
      <c r="B7055" s="170" t="s">
        <v>12887</v>
      </c>
      <c r="C7055" s="170" t="s">
        <v>870</v>
      </c>
      <c r="D7055" s="170" t="s">
        <v>1947</v>
      </c>
      <c r="E7055" s="171" t="s">
        <v>34895</v>
      </c>
      <c r="F7055" s="171" t="s">
        <v>37966</v>
      </c>
      <c r="H7055" s="96">
        <f t="shared" si="449"/>
        <v>204.39</v>
      </c>
      <c r="I7055" s="96">
        <f t="shared" si="450"/>
        <v>209.04</v>
      </c>
      <c r="J7055" s="91" t="str">
        <f t="shared" si="451"/>
        <v>Sinapi 102364</v>
      </c>
      <c r="K7055" s="91" t="str">
        <f t="shared" si="452"/>
        <v>M2</v>
      </c>
      <c r="L7055" s="166" t="str">
        <f t="shared" si="453"/>
        <v>03/2021</v>
      </c>
    </row>
    <row r="7056" spans="1:12" x14ac:dyDescent="0.25">
      <c r="A7056" s="170" t="s">
        <v>9691</v>
      </c>
      <c r="B7056" s="170" t="s">
        <v>9692</v>
      </c>
      <c r="C7056" s="170" t="s">
        <v>205</v>
      </c>
      <c r="D7056" s="170" t="s">
        <v>2067</v>
      </c>
      <c r="E7056" s="171" t="s">
        <v>34896</v>
      </c>
      <c r="F7056" s="171" t="s">
        <v>37967</v>
      </c>
      <c r="H7056" s="96">
        <f t="shared" si="449"/>
        <v>180.51</v>
      </c>
      <c r="I7056" s="96">
        <f t="shared" si="450"/>
        <v>180.76</v>
      </c>
      <c r="J7056" s="91" t="str">
        <f t="shared" si="451"/>
        <v>Sinapi 98509</v>
      </c>
      <c r="K7056" s="91" t="str">
        <f t="shared" si="452"/>
        <v>UN</v>
      </c>
      <c r="L7056" s="166" t="str">
        <f t="shared" si="453"/>
        <v>05/2018</v>
      </c>
    </row>
    <row r="7057" spans="1:12" x14ac:dyDescent="0.25">
      <c r="A7057" s="170" t="s">
        <v>9693</v>
      </c>
      <c r="B7057" s="170" t="s">
        <v>9694</v>
      </c>
      <c r="C7057" s="170" t="s">
        <v>205</v>
      </c>
      <c r="D7057" s="170" t="s">
        <v>2067</v>
      </c>
      <c r="E7057" s="171" t="s">
        <v>34897</v>
      </c>
      <c r="F7057" s="171" t="s">
        <v>37968</v>
      </c>
      <c r="H7057" s="96">
        <f t="shared" si="449"/>
        <v>229.49</v>
      </c>
      <c r="I7057" s="96">
        <f t="shared" si="450"/>
        <v>231.25</v>
      </c>
      <c r="J7057" s="91" t="str">
        <f t="shared" si="451"/>
        <v>Sinapi 98510</v>
      </c>
      <c r="K7057" s="91" t="str">
        <f t="shared" si="452"/>
        <v>UN</v>
      </c>
      <c r="L7057" s="166" t="str">
        <f t="shared" si="453"/>
        <v>05/2018</v>
      </c>
    </row>
    <row r="7058" spans="1:12" x14ac:dyDescent="0.25">
      <c r="A7058" s="170" t="s">
        <v>9695</v>
      </c>
      <c r="B7058" s="170" t="s">
        <v>9696</v>
      </c>
      <c r="C7058" s="170" t="s">
        <v>205</v>
      </c>
      <c r="D7058" s="170" t="s">
        <v>2067</v>
      </c>
      <c r="E7058" s="171" t="s">
        <v>34898</v>
      </c>
      <c r="F7058" s="171" t="s">
        <v>23572</v>
      </c>
      <c r="H7058" s="96">
        <f t="shared" si="449"/>
        <v>460.9</v>
      </c>
      <c r="I7058" s="96">
        <f t="shared" si="450"/>
        <v>463.42</v>
      </c>
      <c r="J7058" s="91" t="str">
        <f t="shared" si="451"/>
        <v>Sinapi 98511</v>
      </c>
      <c r="K7058" s="91" t="str">
        <f t="shared" si="452"/>
        <v>UN</v>
      </c>
      <c r="L7058" s="166" t="str">
        <f t="shared" si="453"/>
        <v>05/2018</v>
      </c>
    </row>
    <row r="7059" spans="1:12" x14ac:dyDescent="0.25">
      <c r="A7059" s="170" t="s">
        <v>9697</v>
      </c>
      <c r="B7059" s="170" t="s">
        <v>9698</v>
      </c>
      <c r="C7059" s="170" t="s">
        <v>205</v>
      </c>
      <c r="D7059" s="170" t="s">
        <v>1947</v>
      </c>
      <c r="E7059" s="171" t="s">
        <v>34899</v>
      </c>
      <c r="F7059" s="171" t="s">
        <v>37969</v>
      </c>
      <c r="H7059" s="96">
        <f t="shared" si="449"/>
        <v>671.59</v>
      </c>
      <c r="I7059" s="96">
        <f t="shared" si="450"/>
        <v>686.01</v>
      </c>
      <c r="J7059" s="91" t="str">
        <f t="shared" si="451"/>
        <v>Sinapi 98516</v>
      </c>
      <c r="K7059" s="91" t="str">
        <f t="shared" si="452"/>
        <v>UN</v>
      </c>
      <c r="L7059" s="166" t="str">
        <f t="shared" si="453"/>
        <v>05/2018</v>
      </c>
    </row>
    <row r="7060" spans="1:12" x14ac:dyDescent="0.25">
      <c r="A7060" s="170" t="s">
        <v>9699</v>
      </c>
      <c r="B7060" s="170" t="s">
        <v>9700</v>
      </c>
      <c r="C7060" s="170" t="s">
        <v>870</v>
      </c>
      <c r="D7060" s="170" t="s">
        <v>2067</v>
      </c>
      <c r="E7060" s="171" t="s">
        <v>28552</v>
      </c>
      <c r="F7060" s="171" t="s">
        <v>2121</v>
      </c>
      <c r="H7060" s="96">
        <f t="shared" si="449"/>
        <v>1.75</v>
      </c>
      <c r="I7060" s="96">
        <f t="shared" si="450"/>
        <v>1.94</v>
      </c>
      <c r="J7060" s="91" t="str">
        <f t="shared" si="451"/>
        <v>Sinapi 98519</v>
      </c>
      <c r="K7060" s="91" t="str">
        <f t="shared" si="452"/>
        <v>M2</v>
      </c>
      <c r="L7060" s="166" t="str">
        <f t="shared" si="453"/>
        <v>05/2018</v>
      </c>
    </row>
    <row r="7061" spans="1:12" x14ac:dyDescent="0.25">
      <c r="A7061" s="170" t="s">
        <v>9701</v>
      </c>
      <c r="B7061" s="170" t="s">
        <v>9702</v>
      </c>
      <c r="C7061" s="170" t="s">
        <v>870</v>
      </c>
      <c r="D7061" s="170" t="s">
        <v>1947</v>
      </c>
      <c r="E7061" s="171" t="s">
        <v>27130</v>
      </c>
      <c r="F7061" s="171" t="s">
        <v>22911</v>
      </c>
      <c r="H7061" s="96">
        <f t="shared" si="449"/>
        <v>6.83</v>
      </c>
      <c r="I7061" s="96">
        <f t="shared" si="450"/>
        <v>6.99</v>
      </c>
      <c r="J7061" s="91" t="str">
        <f t="shared" si="451"/>
        <v>Sinapi 98520</v>
      </c>
      <c r="K7061" s="91" t="str">
        <f t="shared" si="452"/>
        <v>M2</v>
      </c>
      <c r="L7061" s="166" t="str">
        <f t="shared" si="453"/>
        <v>05/2018</v>
      </c>
    </row>
    <row r="7062" spans="1:12" x14ac:dyDescent="0.25">
      <c r="A7062" s="170" t="s">
        <v>9703</v>
      </c>
      <c r="B7062" s="170" t="s">
        <v>9704</v>
      </c>
      <c r="C7062" s="170" t="s">
        <v>870</v>
      </c>
      <c r="D7062" s="170" t="s">
        <v>2067</v>
      </c>
      <c r="E7062" s="171" t="s">
        <v>3420</v>
      </c>
      <c r="F7062" s="171" t="s">
        <v>3886</v>
      </c>
      <c r="H7062" s="96">
        <f t="shared" si="449"/>
        <v>0.35</v>
      </c>
      <c r="I7062" s="96">
        <f t="shared" si="450"/>
        <v>0.38</v>
      </c>
      <c r="J7062" s="91" t="str">
        <f t="shared" si="451"/>
        <v>Sinapi 98521</v>
      </c>
      <c r="K7062" s="91" t="str">
        <f t="shared" si="452"/>
        <v>M2</v>
      </c>
      <c r="L7062" s="166" t="str">
        <f t="shared" si="453"/>
        <v>05/2018</v>
      </c>
    </row>
    <row r="7063" spans="1:12" x14ac:dyDescent="0.25">
      <c r="A7063" s="170" t="s">
        <v>9705</v>
      </c>
      <c r="B7063" s="170" t="s">
        <v>9706</v>
      </c>
      <c r="C7063" s="170" t="s">
        <v>385</v>
      </c>
      <c r="D7063" s="170" t="s">
        <v>2067</v>
      </c>
      <c r="E7063" s="171" t="s">
        <v>23057</v>
      </c>
      <c r="F7063" s="171" t="s">
        <v>29321</v>
      </c>
      <c r="H7063" s="96">
        <f t="shared" si="449"/>
        <v>175.31</v>
      </c>
      <c r="I7063" s="96">
        <f t="shared" si="450"/>
        <v>180.79</v>
      </c>
      <c r="J7063" s="91" t="str">
        <f t="shared" si="451"/>
        <v>Sinapi 98522</v>
      </c>
      <c r="K7063" s="91" t="str">
        <f t="shared" si="452"/>
        <v>M</v>
      </c>
      <c r="L7063" s="166" t="str">
        <f t="shared" si="453"/>
        <v>05/2018</v>
      </c>
    </row>
    <row r="7064" spans="1:12" x14ac:dyDescent="0.25">
      <c r="A7064" s="170" t="s">
        <v>9707</v>
      </c>
      <c r="B7064" s="170" t="s">
        <v>9708</v>
      </c>
      <c r="C7064" s="170" t="s">
        <v>870</v>
      </c>
      <c r="D7064" s="170" t="s">
        <v>2067</v>
      </c>
      <c r="E7064" s="171" t="s">
        <v>22741</v>
      </c>
      <c r="F7064" s="171" t="s">
        <v>29533</v>
      </c>
      <c r="H7064" s="96">
        <f t="shared" si="449"/>
        <v>2.71</v>
      </c>
      <c r="I7064" s="96">
        <f t="shared" si="450"/>
        <v>3</v>
      </c>
      <c r="J7064" s="91" t="str">
        <f t="shared" si="451"/>
        <v>Sinapi 98524</v>
      </c>
      <c r="K7064" s="91" t="str">
        <f t="shared" si="452"/>
        <v>M2</v>
      </c>
      <c r="L7064" s="166" t="str">
        <f t="shared" si="453"/>
        <v>05/2018</v>
      </c>
    </row>
    <row r="7065" spans="1:12" x14ac:dyDescent="0.25">
      <c r="A7065" s="170" t="s">
        <v>9709</v>
      </c>
      <c r="B7065" s="170" t="s">
        <v>9710</v>
      </c>
      <c r="C7065" s="170" t="s">
        <v>870</v>
      </c>
      <c r="D7065" s="170" t="s">
        <v>2067</v>
      </c>
      <c r="E7065" s="171" t="s">
        <v>23318</v>
      </c>
      <c r="F7065" s="171" t="s">
        <v>30066</v>
      </c>
      <c r="H7065" s="96">
        <f t="shared" ref="H7065:H7128" si="454">IF(E7065="","",E7065+0)</f>
        <v>28.65</v>
      </c>
      <c r="I7065" s="96">
        <f t="shared" ref="I7065:I7128" si="455">IF(F7065="","",F7065+0)</f>
        <v>29.12</v>
      </c>
      <c r="J7065" s="91" t="str">
        <f t="shared" ref="J7065:J7128" si="456">IF(OR(H7065="",I7065=""),"",TRIM(CONCATENATE("Sinapi ",A7065)))</f>
        <v>Sinapi 98503</v>
      </c>
      <c r="K7065" s="91" t="str">
        <f t="shared" ref="K7065:K7128" si="457">TRIM(C7065)</f>
        <v>M2</v>
      </c>
      <c r="L7065" s="166" t="str">
        <f t="shared" si="453"/>
        <v>05/2018</v>
      </c>
    </row>
    <row r="7066" spans="1:12" x14ac:dyDescent="0.25">
      <c r="A7066" s="170" t="s">
        <v>9711</v>
      </c>
      <c r="B7066" s="170" t="s">
        <v>16364</v>
      </c>
      <c r="C7066" s="170" t="s">
        <v>870</v>
      </c>
      <c r="D7066" s="170" t="s">
        <v>2067</v>
      </c>
      <c r="E7066" s="171" t="s">
        <v>15568</v>
      </c>
      <c r="F7066" s="171" t="s">
        <v>19388</v>
      </c>
      <c r="H7066" s="96">
        <f t="shared" si="454"/>
        <v>17.899999999999999</v>
      </c>
      <c r="I7066" s="96">
        <f t="shared" si="455"/>
        <v>18.27</v>
      </c>
      <c r="J7066" s="91" t="str">
        <f t="shared" si="456"/>
        <v>Sinapi 98504</v>
      </c>
      <c r="K7066" s="91" t="str">
        <f t="shared" si="457"/>
        <v>M2</v>
      </c>
      <c r="L7066" s="166" t="str">
        <f t="shared" si="453"/>
        <v>05/2018</v>
      </c>
    </row>
    <row r="7067" spans="1:12" x14ac:dyDescent="0.25">
      <c r="A7067" s="170" t="s">
        <v>9712</v>
      </c>
      <c r="B7067" s="170" t="s">
        <v>9713</v>
      </c>
      <c r="C7067" s="170" t="s">
        <v>870</v>
      </c>
      <c r="D7067" s="170" t="s">
        <v>2067</v>
      </c>
      <c r="E7067" s="171" t="s">
        <v>34900</v>
      </c>
      <c r="F7067" s="171" t="s">
        <v>37970</v>
      </c>
      <c r="H7067" s="96">
        <f t="shared" si="454"/>
        <v>254.89</v>
      </c>
      <c r="I7067" s="96">
        <f t="shared" si="455"/>
        <v>255.4</v>
      </c>
      <c r="J7067" s="91" t="str">
        <f t="shared" si="456"/>
        <v>Sinapi 98505</v>
      </c>
      <c r="K7067" s="91" t="str">
        <f t="shared" si="457"/>
        <v>M2</v>
      </c>
      <c r="L7067" s="166" t="str">
        <f t="shared" si="453"/>
        <v>05/2018</v>
      </c>
    </row>
    <row r="7068" spans="1:12" x14ac:dyDescent="0.25">
      <c r="A7068" s="170" t="s">
        <v>16365</v>
      </c>
      <c r="B7068" s="170" t="s">
        <v>16366</v>
      </c>
      <c r="C7068" s="170" t="s">
        <v>870</v>
      </c>
      <c r="D7068" s="170" t="s">
        <v>2067</v>
      </c>
      <c r="E7068" s="171" t="s">
        <v>17409</v>
      </c>
      <c r="F7068" s="171" t="s">
        <v>19356</v>
      </c>
      <c r="H7068" s="96">
        <f t="shared" si="454"/>
        <v>23.62</v>
      </c>
      <c r="I7068" s="96">
        <f t="shared" si="455"/>
        <v>23.99</v>
      </c>
      <c r="J7068" s="91" t="str">
        <f t="shared" si="456"/>
        <v>Sinapi 103946</v>
      </c>
      <c r="K7068" s="91" t="str">
        <f t="shared" si="457"/>
        <v>M2</v>
      </c>
      <c r="L7068" s="166" t="str">
        <f t="shared" si="453"/>
        <v>05/2022</v>
      </c>
    </row>
    <row r="7069" spans="1:12" x14ac:dyDescent="0.25">
      <c r="A7069" s="170" t="s">
        <v>14743</v>
      </c>
      <c r="B7069" s="170" t="s">
        <v>14744</v>
      </c>
      <c r="C7069" s="170" t="s">
        <v>205</v>
      </c>
      <c r="D7069" s="170" t="s">
        <v>1947</v>
      </c>
      <c r="E7069" s="171" t="s">
        <v>34901</v>
      </c>
      <c r="F7069" s="171" t="s">
        <v>37971</v>
      </c>
      <c r="H7069" s="96">
        <f t="shared" si="454"/>
        <v>6136.8</v>
      </c>
      <c r="I7069" s="96">
        <f t="shared" si="455"/>
        <v>6149.48</v>
      </c>
      <c r="J7069" s="91" t="str">
        <f t="shared" si="456"/>
        <v>Sinapi 103185</v>
      </c>
      <c r="K7069" s="91" t="str">
        <f t="shared" si="457"/>
        <v>UN</v>
      </c>
      <c r="L7069" s="166" t="str">
        <f t="shared" si="453"/>
        <v>10/2021</v>
      </c>
    </row>
    <row r="7070" spans="1:12" x14ac:dyDescent="0.25">
      <c r="A7070" s="170" t="s">
        <v>14745</v>
      </c>
      <c r="B7070" s="170" t="s">
        <v>14746</v>
      </c>
      <c r="C7070" s="170" t="s">
        <v>205</v>
      </c>
      <c r="D7070" s="170" t="s">
        <v>1947</v>
      </c>
      <c r="E7070" s="171" t="s">
        <v>34902</v>
      </c>
      <c r="F7070" s="171" t="s">
        <v>37972</v>
      </c>
      <c r="H7070" s="96">
        <f t="shared" si="454"/>
        <v>6479.97</v>
      </c>
      <c r="I7070" s="96">
        <f t="shared" si="455"/>
        <v>6485.17</v>
      </c>
      <c r="J7070" s="91" t="str">
        <f t="shared" si="456"/>
        <v>Sinapi 103186</v>
      </c>
      <c r="K7070" s="91" t="str">
        <f t="shared" si="457"/>
        <v>UN</v>
      </c>
      <c r="L7070" s="166" t="str">
        <f t="shared" si="453"/>
        <v>10/2021</v>
      </c>
    </row>
    <row r="7071" spans="1:12" x14ac:dyDescent="0.25">
      <c r="A7071" s="170" t="s">
        <v>14747</v>
      </c>
      <c r="B7071" s="170" t="s">
        <v>14748</v>
      </c>
      <c r="C7071" s="170" t="s">
        <v>205</v>
      </c>
      <c r="D7071" s="170" t="s">
        <v>1947</v>
      </c>
      <c r="E7071" s="171" t="s">
        <v>34903</v>
      </c>
      <c r="F7071" s="171" t="s">
        <v>37973</v>
      </c>
      <c r="H7071" s="96">
        <f t="shared" si="454"/>
        <v>4865.59</v>
      </c>
      <c r="I7071" s="96">
        <f t="shared" si="455"/>
        <v>4874.26</v>
      </c>
      <c r="J7071" s="91" t="str">
        <f t="shared" si="456"/>
        <v>Sinapi 103187</v>
      </c>
      <c r="K7071" s="91" t="str">
        <f t="shared" si="457"/>
        <v>UN</v>
      </c>
      <c r="L7071" s="166" t="str">
        <f t="shared" si="453"/>
        <v>10/2021</v>
      </c>
    </row>
    <row r="7072" spans="1:12" x14ac:dyDescent="0.25">
      <c r="A7072" s="170" t="s">
        <v>14749</v>
      </c>
      <c r="B7072" s="170" t="s">
        <v>14750</v>
      </c>
      <c r="C7072" s="170" t="s">
        <v>205</v>
      </c>
      <c r="D7072" s="170" t="s">
        <v>1947</v>
      </c>
      <c r="E7072" s="171" t="s">
        <v>34904</v>
      </c>
      <c r="F7072" s="171" t="s">
        <v>37974</v>
      </c>
      <c r="H7072" s="96">
        <f t="shared" si="454"/>
        <v>5234.16</v>
      </c>
      <c r="I7072" s="96">
        <f t="shared" si="455"/>
        <v>5240.83</v>
      </c>
      <c r="J7072" s="91" t="str">
        <f t="shared" si="456"/>
        <v>Sinapi 103188</v>
      </c>
      <c r="K7072" s="91" t="str">
        <f t="shared" si="457"/>
        <v>UN</v>
      </c>
      <c r="L7072" s="166" t="str">
        <f t="shared" si="453"/>
        <v>10/2021</v>
      </c>
    </row>
    <row r="7073" spans="1:12" x14ac:dyDescent="0.25">
      <c r="A7073" s="170" t="s">
        <v>14751</v>
      </c>
      <c r="B7073" s="170" t="s">
        <v>14752</v>
      </c>
      <c r="C7073" s="170" t="s">
        <v>205</v>
      </c>
      <c r="D7073" s="170" t="s">
        <v>1947</v>
      </c>
      <c r="E7073" s="171" t="s">
        <v>34905</v>
      </c>
      <c r="F7073" s="171" t="s">
        <v>37975</v>
      </c>
      <c r="H7073" s="96">
        <f t="shared" si="454"/>
        <v>2621.89</v>
      </c>
      <c r="I7073" s="96">
        <f t="shared" si="455"/>
        <v>2626.56</v>
      </c>
      <c r="J7073" s="91" t="str">
        <f t="shared" si="456"/>
        <v>Sinapi 103189</v>
      </c>
      <c r="K7073" s="91" t="str">
        <f t="shared" si="457"/>
        <v>UN</v>
      </c>
      <c r="L7073" s="166" t="str">
        <f t="shared" si="453"/>
        <v>10/2021</v>
      </c>
    </row>
    <row r="7074" spans="1:12" x14ac:dyDescent="0.25">
      <c r="A7074" s="170" t="s">
        <v>14753</v>
      </c>
      <c r="B7074" s="170" t="s">
        <v>14754</v>
      </c>
      <c r="C7074" s="170" t="s">
        <v>205</v>
      </c>
      <c r="D7074" s="170" t="s">
        <v>1947</v>
      </c>
      <c r="E7074" s="171" t="s">
        <v>34906</v>
      </c>
      <c r="F7074" s="171" t="s">
        <v>37976</v>
      </c>
      <c r="H7074" s="96">
        <f t="shared" si="454"/>
        <v>4097.33</v>
      </c>
      <c r="I7074" s="96">
        <f t="shared" si="455"/>
        <v>4106.09</v>
      </c>
      <c r="J7074" s="91" t="str">
        <f t="shared" si="456"/>
        <v>Sinapi 103190</v>
      </c>
      <c r="K7074" s="91" t="str">
        <f t="shared" si="457"/>
        <v>UN</v>
      </c>
      <c r="L7074" s="166" t="str">
        <f t="shared" si="453"/>
        <v>10/2021</v>
      </c>
    </row>
    <row r="7075" spans="1:12" x14ac:dyDescent="0.25">
      <c r="A7075" s="170" t="s">
        <v>14755</v>
      </c>
      <c r="B7075" s="170" t="s">
        <v>14756</v>
      </c>
      <c r="C7075" s="170" t="s">
        <v>205</v>
      </c>
      <c r="D7075" s="170" t="s">
        <v>1947</v>
      </c>
      <c r="E7075" s="171" t="s">
        <v>34907</v>
      </c>
      <c r="F7075" s="171" t="s">
        <v>37977</v>
      </c>
      <c r="H7075" s="96">
        <f t="shared" si="454"/>
        <v>2396.54</v>
      </c>
      <c r="I7075" s="96">
        <f t="shared" si="455"/>
        <v>2403.71</v>
      </c>
      <c r="J7075" s="91" t="str">
        <f t="shared" si="456"/>
        <v>Sinapi 103191</v>
      </c>
      <c r="K7075" s="91" t="str">
        <f t="shared" si="457"/>
        <v>UN</v>
      </c>
      <c r="L7075" s="166" t="str">
        <f t="shared" si="453"/>
        <v>10/2021</v>
      </c>
    </row>
    <row r="7076" spans="1:12" x14ac:dyDescent="0.25">
      <c r="A7076" s="170" t="s">
        <v>14757</v>
      </c>
      <c r="B7076" s="170" t="s">
        <v>14758</v>
      </c>
      <c r="C7076" s="170" t="s">
        <v>205</v>
      </c>
      <c r="D7076" s="170" t="s">
        <v>1947</v>
      </c>
      <c r="E7076" s="171" t="s">
        <v>34908</v>
      </c>
      <c r="F7076" s="171" t="s">
        <v>37978</v>
      </c>
      <c r="H7076" s="96">
        <f t="shared" si="454"/>
        <v>2550.1799999999998</v>
      </c>
      <c r="I7076" s="96">
        <f t="shared" si="455"/>
        <v>2557.35</v>
      </c>
      <c r="J7076" s="91" t="str">
        <f t="shared" si="456"/>
        <v>Sinapi 103192</v>
      </c>
      <c r="K7076" s="91" t="str">
        <f t="shared" si="457"/>
        <v>UN</v>
      </c>
      <c r="L7076" s="166" t="str">
        <f t="shared" si="453"/>
        <v>10/2021</v>
      </c>
    </row>
    <row r="7077" spans="1:12" x14ac:dyDescent="0.25">
      <c r="A7077" s="170" t="s">
        <v>14759</v>
      </c>
      <c r="B7077" s="170" t="s">
        <v>14760</v>
      </c>
      <c r="C7077" s="170" t="s">
        <v>205</v>
      </c>
      <c r="D7077" s="170" t="s">
        <v>1947</v>
      </c>
      <c r="E7077" s="171" t="s">
        <v>34909</v>
      </c>
      <c r="F7077" s="171" t="s">
        <v>37979</v>
      </c>
      <c r="H7077" s="96">
        <f t="shared" si="454"/>
        <v>1968.91</v>
      </c>
      <c r="I7077" s="96">
        <f t="shared" si="455"/>
        <v>1976.08</v>
      </c>
      <c r="J7077" s="91" t="str">
        <f t="shared" si="456"/>
        <v>Sinapi 103193</v>
      </c>
      <c r="K7077" s="91" t="str">
        <f t="shared" si="457"/>
        <v>UN</v>
      </c>
      <c r="L7077" s="166" t="str">
        <f t="shared" si="453"/>
        <v>10/2021</v>
      </c>
    </row>
    <row r="7078" spans="1:12" x14ac:dyDescent="0.25">
      <c r="A7078" s="170" t="s">
        <v>14761</v>
      </c>
      <c r="B7078" s="170" t="s">
        <v>14762</v>
      </c>
      <c r="C7078" s="170" t="s">
        <v>205</v>
      </c>
      <c r="D7078" s="170" t="s">
        <v>1947</v>
      </c>
      <c r="E7078" s="171" t="s">
        <v>34910</v>
      </c>
      <c r="F7078" s="171" t="s">
        <v>37980</v>
      </c>
      <c r="H7078" s="96">
        <f t="shared" si="454"/>
        <v>2826.88</v>
      </c>
      <c r="I7078" s="96">
        <f t="shared" si="455"/>
        <v>2834.05</v>
      </c>
      <c r="J7078" s="91" t="str">
        <f t="shared" si="456"/>
        <v>Sinapi 103194</v>
      </c>
      <c r="K7078" s="91" t="str">
        <f t="shared" si="457"/>
        <v>UN</v>
      </c>
      <c r="L7078" s="166" t="str">
        <f t="shared" si="453"/>
        <v>10/2021</v>
      </c>
    </row>
    <row r="7079" spans="1:12" x14ac:dyDescent="0.25">
      <c r="A7079" s="170" t="s">
        <v>14763</v>
      </c>
      <c r="B7079" s="170" t="s">
        <v>14764</v>
      </c>
      <c r="C7079" s="170" t="s">
        <v>205</v>
      </c>
      <c r="D7079" s="170" t="s">
        <v>1947</v>
      </c>
      <c r="E7079" s="171" t="s">
        <v>34911</v>
      </c>
      <c r="F7079" s="171" t="s">
        <v>37981</v>
      </c>
      <c r="H7079" s="96">
        <f t="shared" si="454"/>
        <v>2207.7199999999998</v>
      </c>
      <c r="I7079" s="96">
        <f t="shared" si="455"/>
        <v>2215.1</v>
      </c>
      <c r="J7079" s="91" t="str">
        <f t="shared" si="456"/>
        <v>Sinapi 103195</v>
      </c>
      <c r="K7079" s="91" t="str">
        <f t="shared" si="457"/>
        <v>UN</v>
      </c>
      <c r="L7079" s="166" t="str">
        <f t="shared" si="453"/>
        <v>10/2021</v>
      </c>
    </row>
    <row r="7080" spans="1:12" x14ac:dyDescent="0.25">
      <c r="A7080" s="170" t="s">
        <v>14765</v>
      </c>
      <c r="B7080" s="170" t="s">
        <v>14766</v>
      </c>
      <c r="C7080" s="170" t="s">
        <v>205</v>
      </c>
      <c r="D7080" s="170" t="s">
        <v>1947</v>
      </c>
      <c r="E7080" s="171" t="s">
        <v>34912</v>
      </c>
      <c r="F7080" s="171" t="s">
        <v>37982</v>
      </c>
      <c r="H7080" s="96">
        <f t="shared" si="454"/>
        <v>4102.01</v>
      </c>
      <c r="I7080" s="96">
        <f t="shared" si="455"/>
        <v>4113.12</v>
      </c>
      <c r="J7080" s="91" t="str">
        <f t="shared" si="456"/>
        <v>Sinapi 103205</v>
      </c>
      <c r="K7080" s="91" t="str">
        <f t="shared" si="457"/>
        <v>UN</v>
      </c>
      <c r="L7080" s="166" t="str">
        <f t="shared" si="453"/>
        <v>10/2021</v>
      </c>
    </row>
    <row r="7081" spans="1:12" x14ac:dyDescent="0.25">
      <c r="A7081" s="170" t="s">
        <v>14767</v>
      </c>
      <c r="B7081" s="170" t="s">
        <v>14768</v>
      </c>
      <c r="C7081" s="170" t="s">
        <v>205</v>
      </c>
      <c r="D7081" s="170" t="s">
        <v>1947</v>
      </c>
      <c r="E7081" s="171" t="s">
        <v>34913</v>
      </c>
      <c r="F7081" s="171" t="s">
        <v>37983</v>
      </c>
      <c r="H7081" s="96">
        <f t="shared" si="454"/>
        <v>2401.21</v>
      </c>
      <c r="I7081" s="96">
        <f t="shared" si="455"/>
        <v>2410.7399999999998</v>
      </c>
      <c r="J7081" s="91" t="str">
        <f t="shared" si="456"/>
        <v>Sinapi 103206</v>
      </c>
      <c r="K7081" s="91" t="str">
        <f t="shared" si="457"/>
        <v>UN</v>
      </c>
      <c r="L7081" s="166" t="str">
        <f t="shared" si="453"/>
        <v>10/2021</v>
      </c>
    </row>
    <row r="7082" spans="1:12" x14ac:dyDescent="0.25">
      <c r="A7082" s="170" t="s">
        <v>14769</v>
      </c>
      <c r="B7082" s="170" t="s">
        <v>14770</v>
      </c>
      <c r="C7082" s="170" t="s">
        <v>205</v>
      </c>
      <c r="D7082" s="170" t="s">
        <v>1947</v>
      </c>
      <c r="E7082" s="171" t="s">
        <v>34914</v>
      </c>
      <c r="F7082" s="171" t="s">
        <v>37984</v>
      </c>
      <c r="H7082" s="96">
        <f t="shared" si="454"/>
        <v>2554.85</v>
      </c>
      <c r="I7082" s="96">
        <f t="shared" si="455"/>
        <v>2564.38</v>
      </c>
      <c r="J7082" s="91" t="str">
        <f t="shared" si="456"/>
        <v>Sinapi 103207</v>
      </c>
      <c r="K7082" s="91" t="str">
        <f t="shared" si="457"/>
        <v>UN</v>
      </c>
      <c r="L7082" s="166" t="str">
        <f t="shared" si="453"/>
        <v>10/2021</v>
      </c>
    </row>
    <row r="7083" spans="1:12" x14ac:dyDescent="0.25">
      <c r="A7083" s="170" t="s">
        <v>14771</v>
      </c>
      <c r="B7083" s="170" t="s">
        <v>14772</v>
      </c>
      <c r="C7083" s="170" t="s">
        <v>205</v>
      </c>
      <c r="D7083" s="170" t="s">
        <v>1947</v>
      </c>
      <c r="E7083" s="171" t="s">
        <v>34915</v>
      </c>
      <c r="F7083" s="171" t="s">
        <v>37985</v>
      </c>
      <c r="H7083" s="96">
        <f t="shared" si="454"/>
        <v>1973.58</v>
      </c>
      <c r="I7083" s="96">
        <f t="shared" si="455"/>
        <v>1983.11</v>
      </c>
      <c r="J7083" s="91" t="str">
        <f t="shared" si="456"/>
        <v>Sinapi 103208</v>
      </c>
      <c r="K7083" s="91" t="str">
        <f t="shared" si="457"/>
        <v>UN</v>
      </c>
      <c r="L7083" s="166" t="str">
        <f t="shared" si="453"/>
        <v>10/2021</v>
      </c>
    </row>
    <row r="7084" spans="1:12" x14ac:dyDescent="0.25">
      <c r="A7084" s="170" t="s">
        <v>14773</v>
      </c>
      <c r="B7084" s="170" t="s">
        <v>14774</v>
      </c>
      <c r="C7084" s="170" t="s">
        <v>205</v>
      </c>
      <c r="D7084" s="170" t="s">
        <v>1947</v>
      </c>
      <c r="E7084" s="171" t="s">
        <v>34916</v>
      </c>
      <c r="F7084" s="171" t="s">
        <v>37986</v>
      </c>
      <c r="H7084" s="96">
        <f t="shared" si="454"/>
        <v>2831.55</v>
      </c>
      <c r="I7084" s="96">
        <f t="shared" si="455"/>
        <v>2841.08</v>
      </c>
      <c r="J7084" s="91" t="str">
        <f t="shared" si="456"/>
        <v>Sinapi 103209</v>
      </c>
      <c r="K7084" s="91" t="str">
        <f t="shared" si="457"/>
        <v>UN</v>
      </c>
      <c r="L7084" s="166" t="str">
        <f t="shared" si="453"/>
        <v>10/2021</v>
      </c>
    </row>
    <row r="7085" spans="1:12" x14ac:dyDescent="0.25">
      <c r="A7085" s="170" t="s">
        <v>14775</v>
      </c>
      <c r="B7085" s="170" t="s">
        <v>14776</v>
      </c>
      <c r="C7085" s="170" t="s">
        <v>205</v>
      </c>
      <c r="D7085" s="170" t="s">
        <v>1947</v>
      </c>
      <c r="E7085" s="171" t="s">
        <v>34917</v>
      </c>
      <c r="F7085" s="171" t="s">
        <v>37987</v>
      </c>
      <c r="H7085" s="96">
        <f t="shared" si="454"/>
        <v>2298.9499999999998</v>
      </c>
      <c r="I7085" s="96">
        <f t="shared" si="455"/>
        <v>2316.1999999999998</v>
      </c>
      <c r="J7085" s="91" t="str">
        <f t="shared" si="456"/>
        <v>Sinapi 103210</v>
      </c>
      <c r="K7085" s="91" t="str">
        <f t="shared" si="457"/>
        <v>UN</v>
      </c>
      <c r="L7085" s="166" t="str">
        <f t="shared" si="453"/>
        <v>10/2021</v>
      </c>
    </row>
    <row r="7086" spans="1:12" x14ac:dyDescent="0.25">
      <c r="A7086" s="170" t="s">
        <v>14907</v>
      </c>
      <c r="B7086" s="170" t="s">
        <v>14908</v>
      </c>
      <c r="C7086" s="170" t="s">
        <v>205</v>
      </c>
      <c r="D7086" s="170" t="s">
        <v>1947</v>
      </c>
      <c r="E7086" s="171" t="s">
        <v>34918</v>
      </c>
      <c r="F7086" s="171" t="s">
        <v>37988</v>
      </c>
      <c r="H7086" s="96">
        <f t="shared" si="454"/>
        <v>1243.0999999999999</v>
      </c>
      <c r="I7086" s="96">
        <f t="shared" si="455"/>
        <v>1247.07</v>
      </c>
      <c r="J7086" s="91" t="str">
        <f t="shared" si="456"/>
        <v>Sinapi 103304</v>
      </c>
      <c r="K7086" s="91" t="str">
        <f t="shared" si="457"/>
        <v>UN</v>
      </c>
      <c r="L7086" s="166" t="str">
        <f t="shared" si="453"/>
        <v>11/2021</v>
      </c>
    </row>
    <row r="7087" spans="1:12" x14ac:dyDescent="0.25">
      <c r="A7087" s="170" t="s">
        <v>14909</v>
      </c>
      <c r="B7087" s="170" t="s">
        <v>14910</v>
      </c>
      <c r="C7087" s="170" t="s">
        <v>205</v>
      </c>
      <c r="D7087" s="170" t="s">
        <v>1947</v>
      </c>
      <c r="E7087" s="171" t="s">
        <v>34919</v>
      </c>
      <c r="F7087" s="171" t="s">
        <v>37989</v>
      </c>
      <c r="H7087" s="96">
        <f t="shared" si="454"/>
        <v>1334.69</v>
      </c>
      <c r="I7087" s="96">
        <f t="shared" si="455"/>
        <v>1343.33</v>
      </c>
      <c r="J7087" s="91" t="str">
        <f t="shared" si="456"/>
        <v>Sinapi 103307</v>
      </c>
      <c r="K7087" s="91" t="str">
        <f t="shared" si="457"/>
        <v>UN</v>
      </c>
      <c r="L7087" s="166" t="str">
        <f t="shared" si="453"/>
        <v>11/2021</v>
      </c>
    </row>
    <row r="7088" spans="1:12" x14ac:dyDescent="0.25">
      <c r="A7088" s="170" t="s">
        <v>14911</v>
      </c>
      <c r="B7088" s="170" t="s">
        <v>14912</v>
      </c>
      <c r="C7088" s="170" t="s">
        <v>205</v>
      </c>
      <c r="D7088" s="170" t="s">
        <v>1947</v>
      </c>
      <c r="E7088" s="171" t="s">
        <v>34920</v>
      </c>
      <c r="F7088" s="171" t="s">
        <v>37990</v>
      </c>
      <c r="H7088" s="96">
        <f t="shared" si="454"/>
        <v>1290.1400000000001</v>
      </c>
      <c r="I7088" s="96">
        <f t="shared" si="455"/>
        <v>1293.94</v>
      </c>
      <c r="J7088" s="91" t="str">
        <f t="shared" si="456"/>
        <v>Sinapi 103310</v>
      </c>
      <c r="K7088" s="91" t="str">
        <f t="shared" si="457"/>
        <v>UN</v>
      </c>
      <c r="L7088" s="166" t="str">
        <f t="shared" si="453"/>
        <v>11/2021</v>
      </c>
    </row>
    <row r="7089" spans="1:12" x14ac:dyDescent="0.25">
      <c r="A7089" s="170" t="s">
        <v>14913</v>
      </c>
      <c r="B7089" s="170" t="s">
        <v>14914</v>
      </c>
      <c r="C7089" s="170" t="s">
        <v>870</v>
      </c>
      <c r="D7089" s="170" t="s">
        <v>1947</v>
      </c>
      <c r="E7089" s="171" t="s">
        <v>34921</v>
      </c>
      <c r="F7089" s="171" t="s">
        <v>37991</v>
      </c>
      <c r="H7089" s="96">
        <f t="shared" si="454"/>
        <v>235.9</v>
      </c>
      <c r="I7089" s="96">
        <f t="shared" si="455"/>
        <v>239.27</v>
      </c>
      <c r="J7089" s="91" t="str">
        <f t="shared" si="456"/>
        <v>Sinapi 103314</v>
      </c>
      <c r="K7089" s="91" t="str">
        <f t="shared" si="457"/>
        <v>M2</v>
      </c>
      <c r="L7089" s="166" t="str">
        <f t="shared" si="453"/>
        <v>11/2021</v>
      </c>
    </row>
    <row r="7090" spans="1:12" x14ac:dyDescent="0.25">
      <c r="A7090" s="170" t="s">
        <v>14915</v>
      </c>
      <c r="B7090" s="170" t="s">
        <v>14916</v>
      </c>
      <c r="C7090" s="170" t="s">
        <v>870</v>
      </c>
      <c r="D7090" s="170" t="s">
        <v>2067</v>
      </c>
      <c r="E7090" s="171" t="s">
        <v>34922</v>
      </c>
      <c r="F7090" s="171" t="s">
        <v>28747</v>
      </c>
      <c r="H7090" s="96">
        <f t="shared" si="454"/>
        <v>227.75</v>
      </c>
      <c r="I7090" s="96">
        <f t="shared" si="455"/>
        <v>230.29</v>
      </c>
      <c r="J7090" s="91" t="str">
        <f t="shared" si="456"/>
        <v>Sinapi 103315</v>
      </c>
      <c r="K7090" s="91" t="str">
        <f t="shared" si="457"/>
        <v>M2</v>
      </c>
      <c r="L7090" s="166" t="str">
        <f t="shared" si="453"/>
        <v>11/2021</v>
      </c>
    </row>
    <row r="7091" spans="1:12" x14ac:dyDescent="0.25">
      <c r="A7091" s="170" t="s">
        <v>15710</v>
      </c>
      <c r="B7091" s="170" t="s">
        <v>15711</v>
      </c>
      <c r="C7091" s="170" t="s">
        <v>205</v>
      </c>
      <c r="D7091" s="170" t="s">
        <v>2067</v>
      </c>
      <c r="E7091" s="171" t="s">
        <v>34923</v>
      </c>
      <c r="F7091" s="171" t="s">
        <v>37992</v>
      </c>
      <c r="H7091" s="96">
        <f t="shared" si="454"/>
        <v>5206.1099999999997</v>
      </c>
      <c r="I7091" s="96">
        <f t="shared" si="455"/>
        <v>5247.58</v>
      </c>
      <c r="J7091" s="91" t="str">
        <f t="shared" si="456"/>
        <v>Sinapi 103769</v>
      </c>
      <c r="K7091" s="91" t="str">
        <f t="shared" si="457"/>
        <v>UN</v>
      </c>
      <c r="L7091" s="166" t="str">
        <f t="shared" si="453"/>
        <v>03/2022</v>
      </c>
    </row>
    <row r="7092" spans="1:12" x14ac:dyDescent="0.25">
      <c r="A7092" s="170" t="s">
        <v>9714</v>
      </c>
      <c r="B7092" s="170" t="s">
        <v>9715</v>
      </c>
      <c r="C7092" s="170" t="s">
        <v>870</v>
      </c>
      <c r="D7092" s="170" t="s">
        <v>1947</v>
      </c>
      <c r="E7092" s="171" t="s">
        <v>2700</v>
      </c>
      <c r="F7092" s="171" t="s">
        <v>10177</v>
      </c>
      <c r="H7092" s="96">
        <f t="shared" si="454"/>
        <v>0.36</v>
      </c>
      <c r="I7092" s="96">
        <f t="shared" si="455"/>
        <v>0.39</v>
      </c>
      <c r="J7092" s="91" t="str">
        <f t="shared" si="456"/>
        <v>Sinapi 98525</v>
      </c>
      <c r="K7092" s="91" t="str">
        <f t="shared" si="457"/>
        <v>M2</v>
      </c>
      <c r="L7092" s="166" t="str">
        <f t="shared" si="453"/>
        <v>05/2018</v>
      </c>
    </row>
    <row r="7093" spans="1:12" x14ac:dyDescent="0.25">
      <c r="A7093" s="170" t="s">
        <v>9716</v>
      </c>
      <c r="B7093" s="170" t="s">
        <v>9717</v>
      </c>
      <c r="C7093" s="170" t="s">
        <v>205</v>
      </c>
      <c r="D7093" s="170" t="s">
        <v>1947</v>
      </c>
      <c r="E7093" s="171" t="s">
        <v>18426</v>
      </c>
      <c r="F7093" s="171" t="s">
        <v>31970</v>
      </c>
      <c r="H7093" s="96">
        <f t="shared" si="454"/>
        <v>75.31</v>
      </c>
      <c r="I7093" s="96">
        <f t="shared" si="455"/>
        <v>80.37</v>
      </c>
      <c r="J7093" s="91" t="str">
        <f t="shared" si="456"/>
        <v>Sinapi 98526</v>
      </c>
      <c r="K7093" s="91" t="str">
        <f t="shared" si="457"/>
        <v>UN</v>
      </c>
      <c r="L7093" s="166" t="str">
        <f t="shared" si="453"/>
        <v>05/2018</v>
      </c>
    </row>
    <row r="7094" spans="1:12" x14ac:dyDescent="0.25">
      <c r="A7094" s="170" t="s">
        <v>9718</v>
      </c>
      <c r="B7094" s="170" t="s">
        <v>9719</v>
      </c>
      <c r="C7094" s="170" t="s">
        <v>205</v>
      </c>
      <c r="D7094" s="170" t="s">
        <v>1947</v>
      </c>
      <c r="E7094" s="171" t="s">
        <v>34924</v>
      </c>
      <c r="F7094" s="171" t="s">
        <v>31115</v>
      </c>
      <c r="H7094" s="96">
        <f t="shared" si="454"/>
        <v>162.13999999999999</v>
      </c>
      <c r="I7094" s="96">
        <f t="shared" si="455"/>
        <v>173.04</v>
      </c>
      <c r="J7094" s="91" t="str">
        <f t="shared" si="456"/>
        <v>Sinapi 98527</v>
      </c>
      <c r="K7094" s="91" t="str">
        <f t="shared" si="457"/>
        <v>UN</v>
      </c>
      <c r="L7094" s="166" t="str">
        <f t="shared" si="453"/>
        <v>05/2018</v>
      </c>
    </row>
    <row r="7095" spans="1:12" x14ac:dyDescent="0.25">
      <c r="A7095" s="170" t="s">
        <v>9720</v>
      </c>
      <c r="B7095" s="170" t="s">
        <v>9721</v>
      </c>
      <c r="C7095" s="170" t="s">
        <v>205</v>
      </c>
      <c r="D7095" s="170" t="s">
        <v>1947</v>
      </c>
      <c r="E7095" s="171" t="s">
        <v>34925</v>
      </c>
      <c r="F7095" s="171" t="s">
        <v>37993</v>
      </c>
      <c r="H7095" s="96">
        <f t="shared" si="454"/>
        <v>237.11</v>
      </c>
      <c r="I7095" s="96">
        <f t="shared" si="455"/>
        <v>253.05</v>
      </c>
      <c r="J7095" s="91" t="str">
        <f t="shared" si="456"/>
        <v>Sinapi 98528</v>
      </c>
      <c r="K7095" s="91" t="str">
        <f t="shared" si="457"/>
        <v>UN</v>
      </c>
      <c r="L7095" s="166" t="str">
        <f t="shared" si="453"/>
        <v>05/2018</v>
      </c>
    </row>
    <row r="7096" spans="1:12" x14ac:dyDescent="0.25">
      <c r="A7096" s="170" t="s">
        <v>9722</v>
      </c>
      <c r="B7096" s="170" t="s">
        <v>9723</v>
      </c>
      <c r="C7096" s="170" t="s">
        <v>205</v>
      </c>
      <c r="D7096" s="170" t="s">
        <v>2067</v>
      </c>
      <c r="E7096" s="171" t="s">
        <v>21988</v>
      </c>
      <c r="F7096" s="171" t="s">
        <v>35363</v>
      </c>
      <c r="H7096" s="96">
        <f t="shared" si="454"/>
        <v>58.49</v>
      </c>
      <c r="I7096" s="96">
        <f t="shared" si="455"/>
        <v>64.64</v>
      </c>
      <c r="J7096" s="91" t="str">
        <f t="shared" si="456"/>
        <v>Sinapi 98529</v>
      </c>
      <c r="K7096" s="91" t="str">
        <f t="shared" si="457"/>
        <v>UN</v>
      </c>
      <c r="L7096" s="166" t="str">
        <f t="shared" si="453"/>
        <v>05/2018</v>
      </c>
    </row>
    <row r="7097" spans="1:12" x14ac:dyDescent="0.25">
      <c r="A7097" s="170" t="s">
        <v>9724</v>
      </c>
      <c r="B7097" s="170" t="s">
        <v>9725</v>
      </c>
      <c r="C7097" s="170" t="s">
        <v>205</v>
      </c>
      <c r="D7097" s="170" t="s">
        <v>2067</v>
      </c>
      <c r="E7097" s="171" t="s">
        <v>31988</v>
      </c>
      <c r="F7097" s="171" t="s">
        <v>37994</v>
      </c>
      <c r="H7097" s="96">
        <f t="shared" si="454"/>
        <v>104.2</v>
      </c>
      <c r="I7097" s="96">
        <f t="shared" si="455"/>
        <v>115.15</v>
      </c>
      <c r="J7097" s="91" t="str">
        <f t="shared" si="456"/>
        <v>Sinapi 98530</v>
      </c>
      <c r="K7097" s="91" t="str">
        <f t="shared" si="457"/>
        <v>UN</v>
      </c>
      <c r="L7097" s="166" t="str">
        <f t="shared" si="453"/>
        <v>05/2018</v>
      </c>
    </row>
    <row r="7098" spans="1:12" x14ac:dyDescent="0.25">
      <c r="A7098" s="170" t="s">
        <v>9726</v>
      </c>
      <c r="B7098" s="170" t="s">
        <v>9727</v>
      </c>
      <c r="C7098" s="170" t="s">
        <v>205</v>
      </c>
      <c r="D7098" s="170" t="s">
        <v>1947</v>
      </c>
      <c r="E7098" s="171" t="s">
        <v>34926</v>
      </c>
      <c r="F7098" s="171" t="s">
        <v>37995</v>
      </c>
      <c r="H7098" s="96">
        <f t="shared" si="454"/>
        <v>256.99</v>
      </c>
      <c r="I7098" s="96">
        <f t="shared" si="455"/>
        <v>274.7</v>
      </c>
      <c r="J7098" s="91" t="str">
        <f t="shared" si="456"/>
        <v>Sinapi 98531</v>
      </c>
      <c r="K7098" s="91" t="str">
        <f t="shared" si="457"/>
        <v>UN</v>
      </c>
      <c r="L7098" s="166" t="str">
        <f t="shared" si="453"/>
        <v>05/2018</v>
      </c>
    </row>
    <row r="7099" spans="1:12" x14ac:dyDescent="0.25">
      <c r="A7099" s="170" t="s">
        <v>9728</v>
      </c>
      <c r="B7099" s="170" t="s">
        <v>9729</v>
      </c>
      <c r="C7099" s="170" t="s">
        <v>205</v>
      </c>
      <c r="D7099" s="170" t="s">
        <v>1947</v>
      </c>
      <c r="E7099" s="171" t="s">
        <v>34927</v>
      </c>
      <c r="F7099" s="171" t="s">
        <v>37996</v>
      </c>
      <c r="H7099" s="96">
        <f t="shared" si="454"/>
        <v>115.61</v>
      </c>
      <c r="I7099" s="96">
        <f t="shared" si="455"/>
        <v>120.12</v>
      </c>
      <c r="J7099" s="91" t="str">
        <f t="shared" si="456"/>
        <v>Sinapi 98532</v>
      </c>
      <c r="K7099" s="91" t="str">
        <f t="shared" si="457"/>
        <v>UN</v>
      </c>
      <c r="L7099" s="166" t="str">
        <f t="shared" si="453"/>
        <v>05/2018</v>
      </c>
    </row>
    <row r="7100" spans="1:12" x14ac:dyDescent="0.25">
      <c r="A7100" s="170" t="s">
        <v>9730</v>
      </c>
      <c r="B7100" s="170" t="s">
        <v>9731</v>
      </c>
      <c r="C7100" s="170" t="s">
        <v>205</v>
      </c>
      <c r="D7100" s="170" t="s">
        <v>1947</v>
      </c>
      <c r="E7100" s="171" t="s">
        <v>34928</v>
      </c>
      <c r="F7100" s="171" t="s">
        <v>37997</v>
      </c>
      <c r="H7100" s="96">
        <f t="shared" si="454"/>
        <v>309.64</v>
      </c>
      <c r="I7100" s="96">
        <f t="shared" si="455"/>
        <v>323.7</v>
      </c>
      <c r="J7100" s="91" t="str">
        <f t="shared" si="456"/>
        <v>Sinapi 98533</v>
      </c>
      <c r="K7100" s="91" t="str">
        <f t="shared" si="457"/>
        <v>UN</v>
      </c>
      <c r="L7100" s="166" t="str">
        <f t="shared" si="453"/>
        <v>05/2018</v>
      </c>
    </row>
    <row r="7101" spans="1:12" x14ac:dyDescent="0.25">
      <c r="A7101" s="170" t="s">
        <v>9732</v>
      </c>
      <c r="B7101" s="170" t="s">
        <v>9733</v>
      </c>
      <c r="C7101" s="170" t="s">
        <v>205</v>
      </c>
      <c r="D7101" s="170" t="s">
        <v>1947</v>
      </c>
      <c r="E7101" s="171" t="s">
        <v>34929</v>
      </c>
      <c r="F7101" s="171" t="s">
        <v>37998</v>
      </c>
      <c r="H7101" s="96">
        <f t="shared" si="454"/>
        <v>801.55</v>
      </c>
      <c r="I7101" s="96">
        <f t="shared" si="455"/>
        <v>835.53</v>
      </c>
      <c r="J7101" s="91" t="str">
        <f t="shared" si="456"/>
        <v>Sinapi 98534</v>
      </c>
      <c r="K7101" s="91" t="str">
        <f t="shared" si="457"/>
        <v>UN</v>
      </c>
      <c r="L7101" s="166" t="str">
        <f t="shared" si="453"/>
        <v>05/2018</v>
      </c>
    </row>
    <row r="7102" spans="1:12" x14ac:dyDescent="0.25">
      <c r="A7102" s="170" t="s">
        <v>9734</v>
      </c>
      <c r="B7102" s="170" t="s">
        <v>9735</v>
      </c>
      <c r="C7102" s="170" t="s">
        <v>205</v>
      </c>
      <c r="D7102" s="170" t="s">
        <v>1947</v>
      </c>
      <c r="E7102" s="171" t="s">
        <v>34930</v>
      </c>
      <c r="F7102" s="171" t="s">
        <v>37999</v>
      </c>
      <c r="H7102" s="96">
        <f t="shared" si="454"/>
        <v>1254.53</v>
      </c>
      <c r="I7102" s="96">
        <f t="shared" si="455"/>
        <v>1311.8</v>
      </c>
      <c r="J7102" s="91" t="str">
        <f t="shared" si="456"/>
        <v>Sinapi 98535</v>
      </c>
      <c r="K7102" s="91" t="str">
        <f t="shared" si="457"/>
        <v>UN</v>
      </c>
      <c r="L7102" s="166" t="str">
        <f t="shared" si="453"/>
        <v>05/2018</v>
      </c>
    </row>
    <row r="7103" spans="1:12" x14ac:dyDescent="0.25">
      <c r="A7103" s="170" t="s">
        <v>9736</v>
      </c>
      <c r="B7103" s="170" t="s">
        <v>776</v>
      </c>
      <c r="C7103" s="170" t="s">
        <v>587</v>
      </c>
      <c r="D7103" s="170" t="s">
        <v>2067</v>
      </c>
      <c r="E7103" s="171" t="s">
        <v>18593</v>
      </c>
      <c r="F7103" s="171" t="s">
        <v>34479</v>
      </c>
      <c r="H7103" s="96">
        <f t="shared" si="454"/>
        <v>17.43</v>
      </c>
      <c r="I7103" s="96">
        <f t="shared" si="455"/>
        <v>19.16</v>
      </c>
      <c r="J7103" s="91" t="str">
        <f t="shared" si="456"/>
        <v>Sinapi 88238</v>
      </c>
      <c r="K7103" s="91" t="str">
        <f t="shared" si="457"/>
        <v>H</v>
      </c>
      <c r="L7103" s="166" t="str">
        <f t="shared" si="453"/>
        <v/>
      </c>
    </row>
    <row r="7104" spans="1:12" x14ac:dyDescent="0.25">
      <c r="A7104" s="170" t="s">
        <v>9737</v>
      </c>
      <c r="B7104" s="170" t="s">
        <v>662</v>
      </c>
      <c r="C7104" s="170" t="s">
        <v>587</v>
      </c>
      <c r="D7104" s="170" t="s">
        <v>2067</v>
      </c>
      <c r="E7104" s="171" t="s">
        <v>23150</v>
      </c>
      <c r="F7104" s="171" t="s">
        <v>17359</v>
      </c>
      <c r="H7104" s="96">
        <f t="shared" si="454"/>
        <v>22.99</v>
      </c>
      <c r="I7104" s="96">
        <f t="shared" si="455"/>
        <v>25.65</v>
      </c>
      <c r="J7104" s="91" t="str">
        <f t="shared" si="456"/>
        <v>Sinapi 88239</v>
      </c>
      <c r="K7104" s="91" t="str">
        <f t="shared" si="457"/>
        <v>H</v>
      </c>
      <c r="L7104" s="166" t="str">
        <f t="shared" si="453"/>
        <v/>
      </c>
    </row>
    <row r="7105" spans="1:12" x14ac:dyDescent="0.25">
      <c r="A7105" s="170" t="s">
        <v>9738</v>
      </c>
      <c r="B7105" s="170" t="s">
        <v>9739</v>
      </c>
      <c r="C7105" s="170" t="s">
        <v>587</v>
      </c>
      <c r="D7105" s="170" t="s">
        <v>2067</v>
      </c>
      <c r="E7105" s="171" t="s">
        <v>21838</v>
      </c>
      <c r="F7105" s="171" t="s">
        <v>20023</v>
      </c>
      <c r="H7105" s="96">
        <f t="shared" si="454"/>
        <v>18.54</v>
      </c>
      <c r="I7105" s="96">
        <f t="shared" si="455"/>
        <v>20.66</v>
      </c>
      <c r="J7105" s="91" t="str">
        <f t="shared" si="456"/>
        <v>Sinapi 88240</v>
      </c>
      <c r="K7105" s="91" t="str">
        <f t="shared" si="457"/>
        <v>H</v>
      </c>
      <c r="L7105" s="166" t="str">
        <f t="shared" si="453"/>
        <v/>
      </c>
    </row>
    <row r="7106" spans="1:12" x14ac:dyDescent="0.25">
      <c r="A7106" s="170" t="s">
        <v>9740</v>
      </c>
      <c r="B7106" s="170" t="s">
        <v>9741</v>
      </c>
      <c r="C7106" s="170" t="s">
        <v>587</v>
      </c>
      <c r="D7106" s="170" t="s">
        <v>2067</v>
      </c>
      <c r="E7106" s="171" t="s">
        <v>34931</v>
      </c>
      <c r="F7106" s="171" t="s">
        <v>13758</v>
      </c>
      <c r="H7106" s="96">
        <f t="shared" si="454"/>
        <v>17.73</v>
      </c>
      <c r="I7106" s="96">
        <f t="shared" si="455"/>
        <v>19.52</v>
      </c>
      <c r="J7106" s="91" t="str">
        <f t="shared" si="456"/>
        <v>Sinapi 88241</v>
      </c>
      <c r="K7106" s="91" t="str">
        <f t="shared" si="457"/>
        <v>H</v>
      </c>
      <c r="L7106" s="166" t="str">
        <f t="shared" si="453"/>
        <v/>
      </c>
    </row>
    <row r="7107" spans="1:12" x14ac:dyDescent="0.25">
      <c r="A7107" s="170" t="s">
        <v>9742</v>
      </c>
      <c r="B7107" s="170" t="s">
        <v>9743</v>
      </c>
      <c r="C7107" s="170" t="s">
        <v>587</v>
      </c>
      <c r="D7107" s="170" t="s">
        <v>2067</v>
      </c>
      <c r="E7107" s="171" t="s">
        <v>26230</v>
      </c>
      <c r="F7107" s="171" t="s">
        <v>23491</v>
      </c>
      <c r="H7107" s="96">
        <f t="shared" si="454"/>
        <v>17.47</v>
      </c>
      <c r="I7107" s="96">
        <f t="shared" si="455"/>
        <v>19.21</v>
      </c>
      <c r="J7107" s="91" t="str">
        <f t="shared" si="456"/>
        <v>Sinapi 88242</v>
      </c>
      <c r="K7107" s="91" t="str">
        <f t="shared" si="457"/>
        <v>H</v>
      </c>
      <c r="L7107" s="166" t="str">
        <f t="shared" si="453"/>
        <v/>
      </c>
    </row>
    <row r="7108" spans="1:12" x14ac:dyDescent="0.25">
      <c r="A7108" s="170" t="s">
        <v>9744</v>
      </c>
      <c r="B7108" s="170" t="s">
        <v>1251</v>
      </c>
      <c r="C7108" s="170" t="s">
        <v>587</v>
      </c>
      <c r="D7108" s="170" t="s">
        <v>2067</v>
      </c>
      <c r="E7108" s="171" t="s">
        <v>20067</v>
      </c>
      <c r="F7108" s="171" t="s">
        <v>30650</v>
      </c>
      <c r="H7108" s="96">
        <f t="shared" si="454"/>
        <v>18.78</v>
      </c>
      <c r="I7108" s="96">
        <f t="shared" si="455"/>
        <v>20.77</v>
      </c>
      <c r="J7108" s="91" t="str">
        <f t="shared" si="456"/>
        <v>Sinapi 88243</v>
      </c>
      <c r="K7108" s="91" t="str">
        <f t="shared" si="457"/>
        <v>H</v>
      </c>
      <c r="L7108" s="166" t="str">
        <f t="shared" si="453"/>
        <v/>
      </c>
    </row>
    <row r="7109" spans="1:12" x14ac:dyDescent="0.25">
      <c r="A7109" s="170" t="s">
        <v>9745</v>
      </c>
      <c r="B7109" s="170" t="s">
        <v>777</v>
      </c>
      <c r="C7109" s="170" t="s">
        <v>587</v>
      </c>
      <c r="D7109" s="170" t="s">
        <v>2067</v>
      </c>
      <c r="E7109" s="171" t="s">
        <v>19356</v>
      </c>
      <c r="F7109" s="171" t="s">
        <v>18720</v>
      </c>
      <c r="H7109" s="96">
        <f t="shared" si="454"/>
        <v>23.99</v>
      </c>
      <c r="I7109" s="96">
        <f t="shared" si="455"/>
        <v>26.8</v>
      </c>
      <c r="J7109" s="91" t="str">
        <f t="shared" si="456"/>
        <v>Sinapi 88245</v>
      </c>
      <c r="K7109" s="91" t="str">
        <f t="shared" si="457"/>
        <v>H</v>
      </c>
      <c r="L7109" s="166" t="str">
        <f t="shared" si="453"/>
        <v/>
      </c>
    </row>
    <row r="7110" spans="1:12" x14ac:dyDescent="0.25">
      <c r="A7110" s="170" t="s">
        <v>9746</v>
      </c>
      <c r="B7110" s="170" t="s">
        <v>9747</v>
      </c>
      <c r="C7110" s="170" t="s">
        <v>587</v>
      </c>
      <c r="D7110" s="170" t="s">
        <v>2067</v>
      </c>
      <c r="E7110" s="171" t="s">
        <v>19356</v>
      </c>
      <c r="F7110" s="171" t="s">
        <v>21452</v>
      </c>
      <c r="H7110" s="96">
        <f t="shared" si="454"/>
        <v>23.99</v>
      </c>
      <c r="I7110" s="96">
        <f t="shared" si="455"/>
        <v>26.97</v>
      </c>
      <c r="J7110" s="91" t="str">
        <f t="shared" si="456"/>
        <v>Sinapi 88246</v>
      </c>
      <c r="K7110" s="91" t="str">
        <f t="shared" si="457"/>
        <v>H</v>
      </c>
      <c r="L7110" s="166" t="str">
        <f t="shared" si="453"/>
        <v/>
      </c>
    </row>
    <row r="7111" spans="1:12" x14ac:dyDescent="0.25">
      <c r="A7111" s="170" t="s">
        <v>9748</v>
      </c>
      <c r="B7111" s="170" t="s">
        <v>1022</v>
      </c>
      <c r="C7111" s="170" t="s">
        <v>587</v>
      </c>
      <c r="D7111" s="170" t="s">
        <v>2067</v>
      </c>
      <c r="E7111" s="171" t="s">
        <v>22841</v>
      </c>
      <c r="F7111" s="171" t="s">
        <v>15697</v>
      </c>
      <c r="H7111" s="96">
        <f t="shared" si="454"/>
        <v>18.61</v>
      </c>
      <c r="I7111" s="96">
        <f t="shared" si="455"/>
        <v>20.55</v>
      </c>
      <c r="J7111" s="91" t="str">
        <f t="shared" si="456"/>
        <v>Sinapi 88247</v>
      </c>
      <c r="K7111" s="91" t="str">
        <f t="shared" si="457"/>
        <v>H</v>
      </c>
      <c r="L7111" s="166" t="str">
        <f t="shared" si="453"/>
        <v/>
      </c>
    </row>
    <row r="7112" spans="1:12" x14ac:dyDescent="0.25">
      <c r="A7112" s="170" t="s">
        <v>9749</v>
      </c>
      <c r="B7112" s="170" t="s">
        <v>824</v>
      </c>
      <c r="C7112" s="170" t="s">
        <v>587</v>
      </c>
      <c r="D7112" s="170" t="s">
        <v>2067</v>
      </c>
      <c r="E7112" s="171" t="s">
        <v>16396</v>
      </c>
      <c r="F7112" s="171" t="s">
        <v>15768</v>
      </c>
      <c r="H7112" s="96">
        <f t="shared" si="454"/>
        <v>17.71</v>
      </c>
      <c r="I7112" s="96">
        <f t="shared" si="455"/>
        <v>19.61</v>
      </c>
      <c r="J7112" s="91" t="str">
        <f t="shared" si="456"/>
        <v>Sinapi 88248</v>
      </c>
      <c r="K7112" s="91" t="str">
        <f t="shared" si="457"/>
        <v>H</v>
      </c>
      <c r="L7112" s="166" t="str">
        <f t="shared" ref="L7112:L7175" si="458">IF(OR(RIGHT(IF(AND(K7112&lt;&gt;"H",K7112&lt;&gt;"MES"),RIGHT(B7112,7),""),2)="PS",RIGHT(IF(AND(K7112&lt;&gt;"H",K7112&lt;&gt;"MES"),RIGHT(B7112,7),""),2)="PA",RIGHT(IF(AND(K7112&lt;&gt;"H",K7112&lt;&gt;"MES"),RIGHT(B7112,7),""),2)="PE"),LEFT(IF(AND(K7112&lt;&gt;"H",K7112&lt;&gt;"MES"),RIGHT(B7112,10),""),7),IF(AND(K7112&lt;&gt;"H",K7112&lt;&gt;"MES"),RIGHT(B7112,7),""))</f>
        <v/>
      </c>
    </row>
    <row r="7113" spans="1:12" x14ac:dyDescent="0.25">
      <c r="A7113" s="170" t="s">
        <v>9750</v>
      </c>
      <c r="B7113" s="170" t="s">
        <v>9751</v>
      </c>
      <c r="C7113" s="170" t="s">
        <v>587</v>
      </c>
      <c r="D7113" s="170" t="s">
        <v>2067</v>
      </c>
      <c r="E7113" s="171" t="s">
        <v>15507</v>
      </c>
      <c r="F7113" s="171" t="s">
        <v>20653</v>
      </c>
      <c r="H7113" s="96">
        <f t="shared" si="454"/>
        <v>19.27</v>
      </c>
      <c r="I7113" s="96">
        <f t="shared" si="455"/>
        <v>22.07</v>
      </c>
      <c r="J7113" s="91" t="str">
        <f t="shared" si="456"/>
        <v>Sinapi 88249</v>
      </c>
      <c r="K7113" s="91" t="str">
        <f t="shared" si="457"/>
        <v>H</v>
      </c>
      <c r="L7113" s="166" t="str">
        <f t="shared" si="458"/>
        <v/>
      </c>
    </row>
    <row r="7114" spans="1:12" x14ac:dyDescent="0.25">
      <c r="A7114" s="170" t="s">
        <v>9752</v>
      </c>
      <c r="B7114" s="170" t="s">
        <v>9753</v>
      </c>
      <c r="C7114" s="170" t="s">
        <v>587</v>
      </c>
      <c r="D7114" s="170" t="s">
        <v>2067</v>
      </c>
      <c r="E7114" s="171" t="s">
        <v>16745</v>
      </c>
      <c r="F7114" s="171" t="s">
        <v>33018</v>
      </c>
      <c r="H7114" s="96">
        <f t="shared" si="454"/>
        <v>19.46</v>
      </c>
      <c r="I7114" s="96">
        <f t="shared" si="455"/>
        <v>21.72</v>
      </c>
      <c r="J7114" s="91" t="str">
        <f t="shared" si="456"/>
        <v>Sinapi 88250</v>
      </c>
      <c r="K7114" s="91" t="str">
        <f t="shared" si="457"/>
        <v>H</v>
      </c>
      <c r="L7114" s="166" t="str">
        <f t="shared" si="458"/>
        <v/>
      </c>
    </row>
    <row r="7115" spans="1:12" x14ac:dyDescent="0.25">
      <c r="A7115" s="170" t="s">
        <v>9754</v>
      </c>
      <c r="B7115" s="170" t="s">
        <v>664</v>
      </c>
      <c r="C7115" s="170" t="s">
        <v>587</v>
      </c>
      <c r="D7115" s="170" t="s">
        <v>2067</v>
      </c>
      <c r="E7115" s="171" t="s">
        <v>22762</v>
      </c>
      <c r="F7115" s="171" t="s">
        <v>12322</v>
      </c>
      <c r="H7115" s="96">
        <f t="shared" si="454"/>
        <v>18.309999999999999</v>
      </c>
      <c r="I7115" s="96">
        <f t="shared" si="455"/>
        <v>20.2</v>
      </c>
      <c r="J7115" s="91" t="str">
        <f t="shared" si="456"/>
        <v>Sinapi 88251</v>
      </c>
      <c r="K7115" s="91" t="str">
        <f t="shared" si="457"/>
        <v>H</v>
      </c>
      <c r="L7115" s="166" t="str">
        <f t="shared" si="458"/>
        <v/>
      </c>
    </row>
    <row r="7116" spans="1:12" x14ac:dyDescent="0.25">
      <c r="A7116" s="170" t="s">
        <v>9755</v>
      </c>
      <c r="B7116" s="170" t="s">
        <v>9756</v>
      </c>
      <c r="C7116" s="170" t="s">
        <v>587</v>
      </c>
      <c r="D7116" s="170" t="s">
        <v>2067</v>
      </c>
      <c r="E7116" s="171" t="s">
        <v>33427</v>
      </c>
      <c r="F7116" s="171" t="s">
        <v>30720</v>
      </c>
      <c r="H7116" s="96">
        <f t="shared" si="454"/>
        <v>18.18</v>
      </c>
      <c r="I7116" s="96">
        <f t="shared" si="455"/>
        <v>20.07</v>
      </c>
      <c r="J7116" s="91" t="str">
        <f t="shared" si="456"/>
        <v>Sinapi 88252</v>
      </c>
      <c r="K7116" s="91" t="str">
        <f t="shared" si="457"/>
        <v>H</v>
      </c>
      <c r="L7116" s="166" t="str">
        <f t="shared" si="458"/>
        <v/>
      </c>
    </row>
    <row r="7117" spans="1:12" x14ac:dyDescent="0.25">
      <c r="A7117" s="170" t="s">
        <v>9757</v>
      </c>
      <c r="B7117" s="170" t="s">
        <v>9758</v>
      </c>
      <c r="C7117" s="170" t="s">
        <v>587</v>
      </c>
      <c r="D7117" s="170" t="s">
        <v>2067</v>
      </c>
      <c r="E7117" s="171" t="s">
        <v>15719</v>
      </c>
      <c r="F7117" s="171" t="s">
        <v>6178</v>
      </c>
      <c r="H7117" s="96">
        <f t="shared" si="454"/>
        <v>13.67</v>
      </c>
      <c r="I7117" s="96">
        <f t="shared" si="455"/>
        <v>15.56</v>
      </c>
      <c r="J7117" s="91" t="str">
        <f t="shared" si="456"/>
        <v>Sinapi 88253</v>
      </c>
      <c r="K7117" s="91" t="str">
        <f t="shared" si="457"/>
        <v>H</v>
      </c>
      <c r="L7117" s="166" t="str">
        <f t="shared" si="458"/>
        <v/>
      </c>
    </row>
    <row r="7118" spans="1:12" x14ac:dyDescent="0.25">
      <c r="A7118" s="170" t="s">
        <v>9759</v>
      </c>
      <c r="B7118" s="170" t="s">
        <v>9760</v>
      </c>
      <c r="C7118" s="170" t="s">
        <v>587</v>
      </c>
      <c r="D7118" s="170" t="s">
        <v>2067</v>
      </c>
      <c r="E7118" s="171" t="s">
        <v>31794</v>
      </c>
      <c r="F7118" s="171" t="s">
        <v>29083</v>
      </c>
      <c r="H7118" s="96">
        <f t="shared" si="454"/>
        <v>39.35</v>
      </c>
      <c r="I7118" s="96">
        <f t="shared" si="455"/>
        <v>45.41</v>
      </c>
      <c r="J7118" s="91" t="str">
        <f t="shared" si="456"/>
        <v>Sinapi 88255</v>
      </c>
      <c r="K7118" s="91" t="str">
        <f t="shared" si="457"/>
        <v>H</v>
      </c>
      <c r="L7118" s="166" t="str">
        <f t="shared" si="458"/>
        <v/>
      </c>
    </row>
    <row r="7119" spans="1:12" x14ac:dyDescent="0.25">
      <c r="A7119" s="170" t="s">
        <v>9761</v>
      </c>
      <c r="B7119" s="170" t="s">
        <v>1087</v>
      </c>
      <c r="C7119" s="170" t="s">
        <v>587</v>
      </c>
      <c r="D7119" s="170" t="s">
        <v>2067</v>
      </c>
      <c r="E7119" s="171" t="s">
        <v>15517</v>
      </c>
      <c r="F7119" s="171" t="s">
        <v>23428</v>
      </c>
      <c r="H7119" s="96">
        <f t="shared" si="454"/>
        <v>24.05</v>
      </c>
      <c r="I7119" s="96">
        <f t="shared" si="455"/>
        <v>26.86</v>
      </c>
      <c r="J7119" s="91" t="str">
        <f t="shared" si="456"/>
        <v>Sinapi 88256</v>
      </c>
      <c r="K7119" s="91" t="str">
        <f t="shared" si="457"/>
        <v>H</v>
      </c>
      <c r="L7119" s="166" t="str">
        <f t="shared" si="458"/>
        <v/>
      </c>
    </row>
    <row r="7120" spans="1:12" x14ac:dyDescent="0.25">
      <c r="A7120" s="170" t="s">
        <v>9762</v>
      </c>
      <c r="B7120" s="170" t="s">
        <v>9763</v>
      </c>
      <c r="C7120" s="170" t="s">
        <v>587</v>
      </c>
      <c r="D7120" s="170" t="s">
        <v>2067</v>
      </c>
      <c r="E7120" s="171" t="s">
        <v>23213</v>
      </c>
      <c r="F7120" s="171" t="s">
        <v>19868</v>
      </c>
      <c r="H7120" s="96">
        <f t="shared" si="454"/>
        <v>21</v>
      </c>
      <c r="I7120" s="96">
        <f t="shared" si="455"/>
        <v>23.51</v>
      </c>
      <c r="J7120" s="91" t="str">
        <f t="shared" si="456"/>
        <v>Sinapi 88257</v>
      </c>
      <c r="K7120" s="91" t="str">
        <f t="shared" si="457"/>
        <v>H</v>
      </c>
      <c r="L7120" s="166" t="str">
        <f t="shared" si="458"/>
        <v/>
      </c>
    </row>
    <row r="7121" spans="1:12" x14ac:dyDescent="0.25">
      <c r="A7121" s="170" t="s">
        <v>9764</v>
      </c>
      <c r="B7121" s="170" t="s">
        <v>9765</v>
      </c>
      <c r="C7121" s="170" t="s">
        <v>587</v>
      </c>
      <c r="D7121" s="170" t="s">
        <v>2067</v>
      </c>
      <c r="E7121" s="171" t="s">
        <v>14799</v>
      </c>
      <c r="F7121" s="171" t="s">
        <v>20204</v>
      </c>
      <c r="H7121" s="96">
        <f t="shared" si="454"/>
        <v>12.68</v>
      </c>
      <c r="I7121" s="96">
        <f t="shared" si="455"/>
        <v>14.4</v>
      </c>
      <c r="J7121" s="91" t="str">
        <f t="shared" si="456"/>
        <v>Sinapi 88258</v>
      </c>
      <c r="K7121" s="91" t="str">
        <f t="shared" si="457"/>
        <v>H</v>
      </c>
      <c r="L7121" s="166" t="str">
        <f t="shared" si="458"/>
        <v/>
      </c>
    </row>
    <row r="7122" spans="1:12" x14ac:dyDescent="0.25">
      <c r="A7122" s="170" t="s">
        <v>9766</v>
      </c>
      <c r="B7122" s="170" t="s">
        <v>1138</v>
      </c>
      <c r="C7122" s="170" t="s">
        <v>587</v>
      </c>
      <c r="D7122" s="170" t="s">
        <v>2067</v>
      </c>
      <c r="E7122" s="171" t="s">
        <v>16206</v>
      </c>
      <c r="F7122" s="171" t="s">
        <v>22035</v>
      </c>
      <c r="H7122" s="96">
        <f t="shared" si="454"/>
        <v>22.35</v>
      </c>
      <c r="I7122" s="96">
        <f t="shared" si="455"/>
        <v>24.89</v>
      </c>
      <c r="J7122" s="91" t="str">
        <f t="shared" si="456"/>
        <v>Sinapi 88260</v>
      </c>
      <c r="K7122" s="91" t="str">
        <f t="shared" si="457"/>
        <v>H</v>
      </c>
      <c r="L7122" s="166" t="str">
        <f t="shared" si="458"/>
        <v/>
      </c>
    </row>
    <row r="7123" spans="1:12" x14ac:dyDescent="0.25">
      <c r="A7123" s="170" t="s">
        <v>9767</v>
      </c>
      <c r="B7123" s="170" t="s">
        <v>586</v>
      </c>
      <c r="C7123" s="170" t="s">
        <v>587</v>
      </c>
      <c r="D7123" s="170" t="s">
        <v>2067</v>
      </c>
      <c r="E7123" s="171" t="s">
        <v>14254</v>
      </c>
      <c r="F7123" s="171" t="s">
        <v>30939</v>
      </c>
      <c r="H7123" s="96">
        <f t="shared" si="454"/>
        <v>22.85</v>
      </c>
      <c r="I7123" s="96">
        <f t="shared" si="455"/>
        <v>25.49</v>
      </c>
      <c r="J7123" s="91" t="str">
        <f t="shared" si="456"/>
        <v>Sinapi 88261</v>
      </c>
      <c r="K7123" s="91" t="str">
        <f t="shared" si="457"/>
        <v>H</v>
      </c>
      <c r="L7123" s="166" t="str">
        <f t="shared" si="458"/>
        <v/>
      </c>
    </row>
    <row r="7124" spans="1:12" x14ac:dyDescent="0.25">
      <c r="A7124" s="170" t="s">
        <v>9768</v>
      </c>
      <c r="B7124" s="170" t="s">
        <v>871</v>
      </c>
      <c r="C7124" s="170" t="s">
        <v>587</v>
      </c>
      <c r="D7124" s="170" t="s">
        <v>2710</v>
      </c>
      <c r="E7124" s="171" t="s">
        <v>16367</v>
      </c>
      <c r="F7124" s="171" t="s">
        <v>33703</v>
      </c>
      <c r="H7124" s="96">
        <f t="shared" si="454"/>
        <v>23.81</v>
      </c>
      <c r="I7124" s="96">
        <f t="shared" si="455"/>
        <v>26.62</v>
      </c>
      <c r="J7124" s="91" t="str">
        <f t="shared" si="456"/>
        <v>Sinapi 88262</v>
      </c>
      <c r="K7124" s="91" t="str">
        <f t="shared" si="457"/>
        <v>H</v>
      </c>
      <c r="L7124" s="166" t="str">
        <f t="shared" si="458"/>
        <v/>
      </c>
    </row>
    <row r="7125" spans="1:12" x14ac:dyDescent="0.25">
      <c r="A7125" s="170" t="s">
        <v>9769</v>
      </c>
      <c r="B7125" s="170" t="s">
        <v>9770</v>
      </c>
      <c r="C7125" s="170" t="s">
        <v>587</v>
      </c>
      <c r="D7125" s="170" t="s">
        <v>2067</v>
      </c>
      <c r="E7125" s="171" t="s">
        <v>21838</v>
      </c>
      <c r="F7125" s="171" t="s">
        <v>20023</v>
      </c>
      <c r="H7125" s="96">
        <f t="shared" si="454"/>
        <v>18.54</v>
      </c>
      <c r="I7125" s="96">
        <f t="shared" si="455"/>
        <v>20.66</v>
      </c>
      <c r="J7125" s="91" t="str">
        <f t="shared" si="456"/>
        <v>Sinapi 88263</v>
      </c>
      <c r="K7125" s="91" t="str">
        <f t="shared" si="457"/>
        <v>H</v>
      </c>
      <c r="L7125" s="166" t="str">
        <f t="shared" si="458"/>
        <v/>
      </c>
    </row>
    <row r="7126" spans="1:12" x14ac:dyDescent="0.25">
      <c r="A7126" s="170" t="s">
        <v>9771</v>
      </c>
      <c r="B7126" s="170" t="s">
        <v>1023</v>
      </c>
      <c r="C7126" s="170" t="s">
        <v>587</v>
      </c>
      <c r="D7126" s="170" t="s">
        <v>2710</v>
      </c>
      <c r="E7126" s="171" t="s">
        <v>28691</v>
      </c>
      <c r="F7126" s="171" t="s">
        <v>30252</v>
      </c>
      <c r="H7126" s="96">
        <f t="shared" si="454"/>
        <v>24.44</v>
      </c>
      <c r="I7126" s="96">
        <f t="shared" si="455"/>
        <v>27.32</v>
      </c>
      <c r="J7126" s="91" t="str">
        <f t="shared" si="456"/>
        <v>Sinapi 88264</v>
      </c>
      <c r="K7126" s="91" t="str">
        <f t="shared" si="457"/>
        <v>H</v>
      </c>
      <c r="L7126" s="166" t="str">
        <f t="shared" si="458"/>
        <v/>
      </c>
    </row>
    <row r="7127" spans="1:12" x14ac:dyDescent="0.25">
      <c r="A7127" s="170" t="s">
        <v>9772</v>
      </c>
      <c r="B7127" s="170" t="s">
        <v>9773</v>
      </c>
      <c r="C7127" s="170" t="s">
        <v>587</v>
      </c>
      <c r="D7127" s="170" t="s">
        <v>2067</v>
      </c>
      <c r="E7127" s="171" t="s">
        <v>28691</v>
      </c>
      <c r="F7127" s="171" t="s">
        <v>30252</v>
      </c>
      <c r="H7127" s="96">
        <f t="shared" si="454"/>
        <v>24.44</v>
      </c>
      <c r="I7127" s="96">
        <f t="shared" si="455"/>
        <v>27.32</v>
      </c>
      <c r="J7127" s="91" t="str">
        <f t="shared" si="456"/>
        <v>Sinapi 88265</v>
      </c>
      <c r="K7127" s="91" t="str">
        <f t="shared" si="457"/>
        <v>H</v>
      </c>
      <c r="L7127" s="166" t="str">
        <f t="shared" si="458"/>
        <v/>
      </c>
    </row>
    <row r="7128" spans="1:12" x14ac:dyDescent="0.25">
      <c r="A7128" s="170" t="s">
        <v>9774</v>
      </c>
      <c r="B7128" s="170" t="s">
        <v>9775</v>
      </c>
      <c r="C7128" s="170" t="s">
        <v>587</v>
      </c>
      <c r="D7128" s="170" t="s">
        <v>2067</v>
      </c>
      <c r="E7128" s="171" t="s">
        <v>34932</v>
      </c>
      <c r="F7128" s="171" t="s">
        <v>18712</v>
      </c>
      <c r="H7128" s="96">
        <f t="shared" si="454"/>
        <v>26.96</v>
      </c>
      <c r="I7128" s="96">
        <f t="shared" si="455"/>
        <v>30.24</v>
      </c>
      <c r="J7128" s="91" t="str">
        <f t="shared" si="456"/>
        <v>Sinapi 88266</v>
      </c>
      <c r="K7128" s="91" t="str">
        <f t="shared" si="457"/>
        <v>H</v>
      </c>
      <c r="L7128" s="166" t="str">
        <f t="shared" si="458"/>
        <v/>
      </c>
    </row>
    <row r="7129" spans="1:12" x14ac:dyDescent="0.25">
      <c r="A7129" s="170" t="s">
        <v>9776</v>
      </c>
      <c r="B7129" s="170" t="s">
        <v>825</v>
      </c>
      <c r="C7129" s="170" t="s">
        <v>587</v>
      </c>
      <c r="D7129" s="170" t="s">
        <v>2710</v>
      </c>
      <c r="E7129" s="171" t="s">
        <v>14362</v>
      </c>
      <c r="F7129" s="171" t="s">
        <v>19385</v>
      </c>
      <c r="H7129" s="96">
        <f t="shared" ref="H7129:H7192" si="459">IF(E7129="","",E7129+0)</f>
        <v>23.43</v>
      </c>
      <c r="I7129" s="96">
        <f t="shared" ref="I7129:I7192" si="460">IF(F7129="","",F7129+0)</f>
        <v>26.25</v>
      </c>
      <c r="J7129" s="91" t="str">
        <f t="shared" ref="J7129:J7192" si="461">IF(OR(H7129="",I7129=""),"",TRIM(CONCATENATE("Sinapi ",A7129)))</f>
        <v>Sinapi 88267</v>
      </c>
      <c r="K7129" s="91" t="str">
        <f t="shared" ref="K7129:K7192" si="462">TRIM(C7129)</f>
        <v>H</v>
      </c>
      <c r="L7129" s="166" t="str">
        <f t="shared" si="458"/>
        <v/>
      </c>
    </row>
    <row r="7130" spans="1:12" x14ac:dyDescent="0.25">
      <c r="A7130" s="170" t="s">
        <v>9777</v>
      </c>
      <c r="B7130" s="170" t="s">
        <v>1114</v>
      </c>
      <c r="C7130" s="170" t="s">
        <v>587</v>
      </c>
      <c r="D7130" s="170" t="s">
        <v>2067</v>
      </c>
      <c r="E7130" s="171" t="s">
        <v>34933</v>
      </c>
      <c r="F7130" s="171" t="s">
        <v>19385</v>
      </c>
      <c r="H7130" s="96">
        <f t="shared" si="459"/>
        <v>23.53</v>
      </c>
      <c r="I7130" s="96">
        <f t="shared" si="460"/>
        <v>26.25</v>
      </c>
      <c r="J7130" s="91" t="str">
        <f t="shared" si="461"/>
        <v>Sinapi 88269</v>
      </c>
      <c r="K7130" s="91" t="str">
        <f t="shared" si="462"/>
        <v>H</v>
      </c>
      <c r="L7130" s="166" t="str">
        <f t="shared" si="458"/>
        <v/>
      </c>
    </row>
    <row r="7131" spans="1:12" x14ac:dyDescent="0.25">
      <c r="A7131" s="170" t="s">
        <v>9778</v>
      </c>
      <c r="B7131" s="170" t="s">
        <v>889</v>
      </c>
      <c r="C7131" s="170" t="s">
        <v>587</v>
      </c>
      <c r="D7131" s="170" t="s">
        <v>2067</v>
      </c>
      <c r="E7131" s="171" t="s">
        <v>16206</v>
      </c>
      <c r="F7131" s="171" t="s">
        <v>21910</v>
      </c>
      <c r="H7131" s="96">
        <f t="shared" si="459"/>
        <v>22.35</v>
      </c>
      <c r="I7131" s="96">
        <f t="shared" si="460"/>
        <v>24.88</v>
      </c>
      <c r="J7131" s="91" t="str">
        <f t="shared" si="461"/>
        <v>Sinapi 88270</v>
      </c>
      <c r="K7131" s="91" t="str">
        <f t="shared" si="462"/>
        <v>H</v>
      </c>
      <c r="L7131" s="166" t="str">
        <f t="shared" si="458"/>
        <v/>
      </c>
    </row>
    <row r="7132" spans="1:12" x14ac:dyDescent="0.25">
      <c r="A7132" s="170" t="s">
        <v>9779</v>
      </c>
      <c r="B7132" s="170" t="s">
        <v>9780</v>
      </c>
      <c r="C7132" s="170" t="s">
        <v>587</v>
      </c>
      <c r="D7132" s="170" t="s">
        <v>2067</v>
      </c>
      <c r="E7132" s="171" t="s">
        <v>22040</v>
      </c>
      <c r="F7132" s="171" t="s">
        <v>16402</v>
      </c>
      <c r="H7132" s="96">
        <f t="shared" si="459"/>
        <v>24.49</v>
      </c>
      <c r="I7132" s="96">
        <f t="shared" si="460"/>
        <v>27.24</v>
      </c>
      <c r="J7132" s="91" t="str">
        <f t="shared" si="461"/>
        <v>Sinapi 88272</v>
      </c>
      <c r="K7132" s="91" t="str">
        <f t="shared" si="462"/>
        <v>H</v>
      </c>
      <c r="L7132" s="166" t="str">
        <f t="shared" si="458"/>
        <v/>
      </c>
    </row>
    <row r="7133" spans="1:12" x14ac:dyDescent="0.25">
      <c r="A7133" s="170" t="s">
        <v>9781</v>
      </c>
      <c r="B7133" s="170" t="s">
        <v>9782</v>
      </c>
      <c r="C7133" s="170" t="s">
        <v>587</v>
      </c>
      <c r="D7133" s="170" t="s">
        <v>2067</v>
      </c>
      <c r="E7133" s="171" t="s">
        <v>21364</v>
      </c>
      <c r="F7133" s="171" t="s">
        <v>23102</v>
      </c>
      <c r="H7133" s="96">
        <f t="shared" si="459"/>
        <v>22.59</v>
      </c>
      <c r="I7133" s="96">
        <f t="shared" si="460"/>
        <v>25.19</v>
      </c>
      <c r="J7133" s="91" t="str">
        <f t="shared" si="461"/>
        <v>Sinapi 88273</v>
      </c>
      <c r="K7133" s="91" t="str">
        <f t="shared" si="462"/>
        <v>H</v>
      </c>
      <c r="L7133" s="166" t="str">
        <f t="shared" si="458"/>
        <v/>
      </c>
    </row>
    <row r="7134" spans="1:12" x14ac:dyDescent="0.25">
      <c r="A7134" s="170" t="s">
        <v>9783</v>
      </c>
      <c r="B7134" s="170" t="s">
        <v>9784</v>
      </c>
      <c r="C7134" s="170" t="s">
        <v>587</v>
      </c>
      <c r="D7134" s="170" t="s">
        <v>2067</v>
      </c>
      <c r="E7134" s="171" t="s">
        <v>15517</v>
      </c>
      <c r="F7134" s="171" t="s">
        <v>23428</v>
      </c>
      <c r="H7134" s="96">
        <f t="shared" si="459"/>
        <v>24.05</v>
      </c>
      <c r="I7134" s="96">
        <f t="shared" si="460"/>
        <v>26.86</v>
      </c>
      <c r="J7134" s="91" t="str">
        <f t="shared" si="461"/>
        <v>Sinapi 88274</v>
      </c>
      <c r="K7134" s="91" t="str">
        <f t="shared" si="462"/>
        <v>H</v>
      </c>
      <c r="L7134" s="166" t="str">
        <f t="shared" si="458"/>
        <v/>
      </c>
    </row>
    <row r="7135" spans="1:12" x14ac:dyDescent="0.25">
      <c r="A7135" s="170" t="s">
        <v>9785</v>
      </c>
      <c r="B7135" s="170" t="s">
        <v>9786</v>
      </c>
      <c r="C7135" s="170" t="s">
        <v>587</v>
      </c>
      <c r="D7135" s="170" t="s">
        <v>2067</v>
      </c>
      <c r="E7135" s="171" t="s">
        <v>18600</v>
      </c>
      <c r="F7135" s="171" t="s">
        <v>22779</v>
      </c>
      <c r="H7135" s="96">
        <f t="shared" si="459"/>
        <v>29.83</v>
      </c>
      <c r="I7135" s="96">
        <f t="shared" si="460"/>
        <v>33.76</v>
      </c>
      <c r="J7135" s="91" t="str">
        <f t="shared" si="461"/>
        <v>Sinapi 88275</v>
      </c>
      <c r="K7135" s="91" t="str">
        <f t="shared" si="462"/>
        <v>H</v>
      </c>
      <c r="L7135" s="166" t="str">
        <f t="shared" si="458"/>
        <v/>
      </c>
    </row>
    <row r="7136" spans="1:12" x14ac:dyDescent="0.25">
      <c r="A7136" s="170" t="s">
        <v>9787</v>
      </c>
      <c r="B7136" s="170" t="s">
        <v>9788</v>
      </c>
      <c r="C7136" s="170" t="s">
        <v>587</v>
      </c>
      <c r="D7136" s="170" t="s">
        <v>2067</v>
      </c>
      <c r="E7136" s="171" t="s">
        <v>30831</v>
      </c>
      <c r="F7136" s="171" t="s">
        <v>18601</v>
      </c>
      <c r="H7136" s="96">
        <f t="shared" si="459"/>
        <v>22.12</v>
      </c>
      <c r="I7136" s="96">
        <f t="shared" si="460"/>
        <v>24.8</v>
      </c>
      <c r="J7136" s="91" t="str">
        <f t="shared" si="461"/>
        <v>Sinapi 88277</v>
      </c>
      <c r="K7136" s="91" t="str">
        <f t="shared" si="462"/>
        <v>H</v>
      </c>
      <c r="L7136" s="166" t="str">
        <f t="shared" si="458"/>
        <v/>
      </c>
    </row>
    <row r="7137" spans="1:12" x14ac:dyDescent="0.25">
      <c r="A7137" s="170" t="s">
        <v>9789</v>
      </c>
      <c r="B7137" s="170" t="s">
        <v>863</v>
      </c>
      <c r="C7137" s="170" t="s">
        <v>587</v>
      </c>
      <c r="D7137" s="170" t="s">
        <v>2067</v>
      </c>
      <c r="E7137" s="171" t="s">
        <v>28991</v>
      </c>
      <c r="F7137" s="171" t="s">
        <v>20626</v>
      </c>
      <c r="H7137" s="96">
        <f t="shared" si="459"/>
        <v>20.329999999999998</v>
      </c>
      <c r="I7137" s="96">
        <f t="shared" si="460"/>
        <v>22.73</v>
      </c>
      <c r="J7137" s="91" t="str">
        <f t="shared" si="461"/>
        <v>Sinapi 88278</v>
      </c>
      <c r="K7137" s="91" t="str">
        <f t="shared" si="462"/>
        <v>H</v>
      </c>
      <c r="L7137" s="166" t="str">
        <f t="shared" si="458"/>
        <v/>
      </c>
    </row>
    <row r="7138" spans="1:12" x14ac:dyDescent="0.25">
      <c r="A7138" s="170" t="s">
        <v>9790</v>
      </c>
      <c r="B7138" s="170" t="s">
        <v>460</v>
      </c>
      <c r="C7138" s="170" t="s">
        <v>587</v>
      </c>
      <c r="D7138" s="170" t="s">
        <v>2067</v>
      </c>
      <c r="E7138" s="171" t="s">
        <v>18540</v>
      </c>
      <c r="F7138" s="171" t="s">
        <v>37397</v>
      </c>
      <c r="H7138" s="96">
        <f t="shared" si="459"/>
        <v>25.5</v>
      </c>
      <c r="I7138" s="96">
        <f t="shared" si="460"/>
        <v>28.54</v>
      </c>
      <c r="J7138" s="91" t="str">
        <f t="shared" si="461"/>
        <v>Sinapi 88279</v>
      </c>
      <c r="K7138" s="91" t="str">
        <f t="shared" si="462"/>
        <v>H</v>
      </c>
      <c r="L7138" s="166" t="str">
        <f t="shared" si="458"/>
        <v/>
      </c>
    </row>
    <row r="7139" spans="1:12" x14ac:dyDescent="0.25">
      <c r="A7139" s="170" t="s">
        <v>9791</v>
      </c>
      <c r="B7139" s="170" t="s">
        <v>9792</v>
      </c>
      <c r="C7139" s="170" t="s">
        <v>587</v>
      </c>
      <c r="D7139" s="170" t="s">
        <v>2067</v>
      </c>
      <c r="E7139" s="171" t="s">
        <v>32721</v>
      </c>
      <c r="F7139" s="171" t="s">
        <v>23324</v>
      </c>
      <c r="H7139" s="96">
        <f t="shared" si="459"/>
        <v>23.37</v>
      </c>
      <c r="I7139" s="96">
        <f t="shared" si="460"/>
        <v>26.27</v>
      </c>
      <c r="J7139" s="91" t="str">
        <f t="shared" si="461"/>
        <v>Sinapi 88281</v>
      </c>
      <c r="K7139" s="91" t="str">
        <f t="shared" si="462"/>
        <v>H</v>
      </c>
      <c r="L7139" s="166" t="str">
        <f t="shared" si="458"/>
        <v/>
      </c>
    </row>
    <row r="7140" spans="1:12" x14ac:dyDescent="0.25">
      <c r="A7140" s="170" t="s">
        <v>9793</v>
      </c>
      <c r="B7140" s="170" t="s">
        <v>9794</v>
      </c>
      <c r="C7140" s="170" t="s">
        <v>587</v>
      </c>
      <c r="D7140" s="170" t="s">
        <v>2710</v>
      </c>
      <c r="E7140" s="171" t="s">
        <v>30428</v>
      </c>
      <c r="F7140" s="171" t="s">
        <v>17308</v>
      </c>
      <c r="H7140" s="96">
        <f t="shared" si="459"/>
        <v>22.7</v>
      </c>
      <c r="I7140" s="96">
        <f t="shared" si="460"/>
        <v>25.48</v>
      </c>
      <c r="J7140" s="91" t="str">
        <f t="shared" si="461"/>
        <v>Sinapi 88282</v>
      </c>
      <c r="K7140" s="91" t="str">
        <f t="shared" si="462"/>
        <v>H</v>
      </c>
      <c r="L7140" s="166" t="str">
        <f t="shared" si="458"/>
        <v/>
      </c>
    </row>
    <row r="7141" spans="1:12" x14ac:dyDescent="0.25">
      <c r="A7141" s="170" t="s">
        <v>9795</v>
      </c>
      <c r="B7141" s="170" t="s">
        <v>9796</v>
      </c>
      <c r="C7141" s="170" t="s">
        <v>587</v>
      </c>
      <c r="D7141" s="170" t="s">
        <v>2067</v>
      </c>
      <c r="E7141" s="171" t="s">
        <v>19917</v>
      </c>
      <c r="F7141" s="171" t="s">
        <v>19396</v>
      </c>
      <c r="H7141" s="96">
        <f t="shared" si="459"/>
        <v>26.88</v>
      </c>
      <c r="I7141" s="96">
        <f t="shared" si="460"/>
        <v>30.34</v>
      </c>
      <c r="J7141" s="91" t="str">
        <f t="shared" si="461"/>
        <v>Sinapi 88283</v>
      </c>
      <c r="K7141" s="91" t="str">
        <f t="shared" si="462"/>
        <v>H</v>
      </c>
      <c r="L7141" s="166" t="str">
        <f t="shared" si="458"/>
        <v/>
      </c>
    </row>
    <row r="7142" spans="1:12" x14ac:dyDescent="0.25">
      <c r="A7142" s="170" t="s">
        <v>9797</v>
      </c>
      <c r="B7142" s="170" t="s">
        <v>34934</v>
      </c>
      <c r="C7142" s="170" t="s">
        <v>587</v>
      </c>
      <c r="D7142" s="170" t="s">
        <v>2067</v>
      </c>
      <c r="E7142" s="171" t="s">
        <v>14634</v>
      </c>
      <c r="F7142" s="171" t="s">
        <v>4685</v>
      </c>
      <c r="H7142" s="96">
        <f t="shared" si="459"/>
        <v>15.82</v>
      </c>
      <c r="I7142" s="96">
        <f t="shared" si="460"/>
        <v>17.489999999999998</v>
      </c>
      <c r="J7142" s="91" t="str">
        <f t="shared" si="461"/>
        <v>Sinapi 88284</v>
      </c>
      <c r="K7142" s="91" t="str">
        <f t="shared" si="462"/>
        <v>H</v>
      </c>
      <c r="L7142" s="166" t="str">
        <f t="shared" si="458"/>
        <v/>
      </c>
    </row>
    <row r="7143" spans="1:12" x14ac:dyDescent="0.25">
      <c r="A7143" s="170" t="s">
        <v>9798</v>
      </c>
      <c r="B7143" s="170" t="s">
        <v>9799</v>
      </c>
      <c r="C7143" s="170" t="s">
        <v>587</v>
      </c>
      <c r="D7143" s="170" t="s">
        <v>2067</v>
      </c>
      <c r="E7143" s="171" t="s">
        <v>29377</v>
      </c>
      <c r="F7143" s="171" t="s">
        <v>21378</v>
      </c>
      <c r="H7143" s="96">
        <f t="shared" si="459"/>
        <v>21.52</v>
      </c>
      <c r="I7143" s="96">
        <f t="shared" si="460"/>
        <v>24.11</v>
      </c>
      <c r="J7143" s="91" t="str">
        <f t="shared" si="461"/>
        <v>Sinapi 88285</v>
      </c>
      <c r="K7143" s="91" t="str">
        <f t="shared" si="462"/>
        <v>H</v>
      </c>
      <c r="L7143" s="166" t="str">
        <f t="shared" si="458"/>
        <v/>
      </c>
    </row>
    <row r="7144" spans="1:12" x14ac:dyDescent="0.25">
      <c r="A7144" s="170" t="s">
        <v>9800</v>
      </c>
      <c r="B7144" s="170" t="s">
        <v>9801</v>
      </c>
      <c r="C7144" s="170" t="s">
        <v>587</v>
      </c>
      <c r="D7144" s="170" t="s">
        <v>2067</v>
      </c>
      <c r="E7144" s="171" t="s">
        <v>15668</v>
      </c>
      <c r="F7144" s="171" t="s">
        <v>15542</v>
      </c>
      <c r="H7144" s="96">
        <f t="shared" si="459"/>
        <v>21.16</v>
      </c>
      <c r="I7144" s="96">
        <f t="shared" si="460"/>
        <v>23.69</v>
      </c>
      <c r="J7144" s="91" t="str">
        <f t="shared" si="461"/>
        <v>Sinapi 88286</v>
      </c>
      <c r="K7144" s="91" t="str">
        <f t="shared" si="462"/>
        <v>H</v>
      </c>
      <c r="L7144" s="166" t="str">
        <f t="shared" si="458"/>
        <v/>
      </c>
    </row>
    <row r="7145" spans="1:12" x14ac:dyDescent="0.25">
      <c r="A7145" s="170" t="s">
        <v>9802</v>
      </c>
      <c r="B7145" s="170" t="s">
        <v>9803</v>
      </c>
      <c r="C7145" s="170" t="s">
        <v>587</v>
      </c>
      <c r="D7145" s="170" t="s">
        <v>2067</v>
      </c>
      <c r="E7145" s="171" t="s">
        <v>26002</v>
      </c>
      <c r="F7145" s="171" t="s">
        <v>18613</v>
      </c>
      <c r="H7145" s="96">
        <f t="shared" si="459"/>
        <v>16.899999999999999</v>
      </c>
      <c r="I7145" s="96">
        <f t="shared" si="460"/>
        <v>19.329999999999998</v>
      </c>
      <c r="J7145" s="91" t="str">
        <f t="shared" si="461"/>
        <v>Sinapi 88288</v>
      </c>
      <c r="K7145" s="91" t="str">
        <f t="shared" si="462"/>
        <v>H</v>
      </c>
      <c r="L7145" s="166" t="str">
        <f t="shared" si="458"/>
        <v/>
      </c>
    </row>
    <row r="7146" spans="1:12" x14ac:dyDescent="0.25">
      <c r="A7146" s="170" t="s">
        <v>9804</v>
      </c>
      <c r="B7146" s="170" t="s">
        <v>9805</v>
      </c>
      <c r="C7146" s="170" t="s">
        <v>587</v>
      </c>
      <c r="D7146" s="170" t="s">
        <v>2067</v>
      </c>
      <c r="E7146" s="171" t="s">
        <v>11626</v>
      </c>
      <c r="F7146" s="171" t="s">
        <v>19356</v>
      </c>
      <c r="H7146" s="96">
        <f t="shared" si="459"/>
        <v>21.42</v>
      </c>
      <c r="I7146" s="96">
        <f t="shared" si="460"/>
        <v>23.99</v>
      </c>
      <c r="J7146" s="91" t="str">
        <f t="shared" si="461"/>
        <v>Sinapi 88291</v>
      </c>
      <c r="K7146" s="91" t="str">
        <f t="shared" si="462"/>
        <v>H</v>
      </c>
      <c r="L7146" s="166" t="str">
        <f t="shared" si="458"/>
        <v/>
      </c>
    </row>
    <row r="7147" spans="1:12" x14ac:dyDescent="0.25">
      <c r="A7147" s="170" t="s">
        <v>9806</v>
      </c>
      <c r="B7147" s="170" t="s">
        <v>9807</v>
      </c>
      <c r="C7147" s="170" t="s">
        <v>587</v>
      </c>
      <c r="D7147" s="170" t="s">
        <v>2067</v>
      </c>
      <c r="E7147" s="171" t="s">
        <v>14118</v>
      </c>
      <c r="F7147" s="171" t="s">
        <v>22031</v>
      </c>
      <c r="H7147" s="96">
        <f t="shared" si="459"/>
        <v>21.99</v>
      </c>
      <c r="I7147" s="96">
        <f t="shared" si="460"/>
        <v>24.65</v>
      </c>
      <c r="J7147" s="91" t="str">
        <f t="shared" si="461"/>
        <v>Sinapi 88292</v>
      </c>
      <c r="K7147" s="91" t="str">
        <f t="shared" si="462"/>
        <v>H</v>
      </c>
      <c r="L7147" s="166" t="str">
        <f t="shared" si="458"/>
        <v/>
      </c>
    </row>
    <row r="7148" spans="1:12" x14ac:dyDescent="0.25">
      <c r="A7148" s="170" t="s">
        <v>9808</v>
      </c>
      <c r="B7148" s="170" t="s">
        <v>9809</v>
      </c>
      <c r="C7148" s="170" t="s">
        <v>587</v>
      </c>
      <c r="D7148" s="170" t="s">
        <v>2067</v>
      </c>
      <c r="E7148" s="171" t="s">
        <v>19320</v>
      </c>
      <c r="F7148" s="171" t="s">
        <v>28902</v>
      </c>
      <c r="H7148" s="96">
        <f t="shared" si="459"/>
        <v>25.09</v>
      </c>
      <c r="I7148" s="96">
        <f t="shared" si="460"/>
        <v>28.27</v>
      </c>
      <c r="J7148" s="91" t="str">
        <f t="shared" si="461"/>
        <v>Sinapi 88293</v>
      </c>
      <c r="K7148" s="91" t="str">
        <f t="shared" si="462"/>
        <v>H</v>
      </c>
      <c r="L7148" s="166" t="str">
        <f t="shared" si="458"/>
        <v/>
      </c>
    </row>
    <row r="7149" spans="1:12" x14ac:dyDescent="0.25">
      <c r="A7149" s="170" t="s">
        <v>9810</v>
      </c>
      <c r="B7149" s="170" t="s">
        <v>9811</v>
      </c>
      <c r="C7149" s="170" t="s">
        <v>587</v>
      </c>
      <c r="D7149" s="170" t="s">
        <v>2710</v>
      </c>
      <c r="E7149" s="171" t="s">
        <v>19982</v>
      </c>
      <c r="F7149" s="171" t="s">
        <v>38000</v>
      </c>
      <c r="H7149" s="96">
        <f t="shared" si="459"/>
        <v>27.04</v>
      </c>
      <c r="I7149" s="96">
        <f t="shared" si="460"/>
        <v>30.53</v>
      </c>
      <c r="J7149" s="91" t="str">
        <f t="shared" si="461"/>
        <v>Sinapi 88294</v>
      </c>
      <c r="K7149" s="91" t="str">
        <f t="shared" si="462"/>
        <v>H</v>
      </c>
      <c r="L7149" s="166" t="str">
        <f t="shared" si="458"/>
        <v/>
      </c>
    </row>
    <row r="7150" spans="1:12" x14ac:dyDescent="0.25">
      <c r="A7150" s="170" t="s">
        <v>9812</v>
      </c>
      <c r="B7150" s="170" t="s">
        <v>9813</v>
      </c>
      <c r="C7150" s="170" t="s">
        <v>587</v>
      </c>
      <c r="D7150" s="170" t="s">
        <v>2067</v>
      </c>
      <c r="E7150" s="171" t="s">
        <v>21880</v>
      </c>
      <c r="F7150" s="171" t="s">
        <v>16423</v>
      </c>
      <c r="H7150" s="96">
        <f t="shared" si="459"/>
        <v>20.41</v>
      </c>
      <c r="I7150" s="96">
        <f t="shared" si="460"/>
        <v>22.82</v>
      </c>
      <c r="J7150" s="91" t="str">
        <f t="shared" si="461"/>
        <v>Sinapi 88295</v>
      </c>
      <c r="K7150" s="91" t="str">
        <f t="shared" si="462"/>
        <v>H</v>
      </c>
      <c r="L7150" s="166" t="str">
        <f t="shared" si="458"/>
        <v/>
      </c>
    </row>
    <row r="7151" spans="1:12" x14ac:dyDescent="0.25">
      <c r="A7151" s="170" t="s">
        <v>9814</v>
      </c>
      <c r="B7151" s="170" t="s">
        <v>9815</v>
      </c>
      <c r="C7151" s="170" t="s">
        <v>587</v>
      </c>
      <c r="D7151" s="170" t="s">
        <v>2067</v>
      </c>
      <c r="E7151" s="171" t="s">
        <v>21910</v>
      </c>
      <c r="F7151" s="171" t="s">
        <v>28588</v>
      </c>
      <c r="H7151" s="96">
        <f t="shared" si="459"/>
        <v>24.88</v>
      </c>
      <c r="I7151" s="96">
        <f t="shared" si="460"/>
        <v>28.02</v>
      </c>
      <c r="J7151" s="91" t="str">
        <f t="shared" si="461"/>
        <v>Sinapi 88296</v>
      </c>
      <c r="K7151" s="91" t="str">
        <f t="shared" si="462"/>
        <v>H</v>
      </c>
      <c r="L7151" s="166" t="str">
        <f t="shared" si="458"/>
        <v/>
      </c>
    </row>
    <row r="7152" spans="1:12" x14ac:dyDescent="0.25">
      <c r="A7152" s="170" t="s">
        <v>9816</v>
      </c>
      <c r="B7152" s="170" t="s">
        <v>9817</v>
      </c>
      <c r="C7152" s="170" t="s">
        <v>587</v>
      </c>
      <c r="D7152" s="170" t="s">
        <v>2067</v>
      </c>
      <c r="E7152" s="171" t="s">
        <v>21844</v>
      </c>
      <c r="F7152" s="171" t="s">
        <v>33891</v>
      </c>
      <c r="H7152" s="96">
        <f t="shared" si="459"/>
        <v>19.3</v>
      </c>
      <c r="I7152" s="96">
        <f t="shared" si="460"/>
        <v>21.53</v>
      </c>
      <c r="J7152" s="91" t="str">
        <f t="shared" si="461"/>
        <v>Sinapi 88297</v>
      </c>
      <c r="K7152" s="91" t="str">
        <f t="shared" si="462"/>
        <v>H</v>
      </c>
      <c r="L7152" s="166" t="str">
        <f t="shared" si="458"/>
        <v/>
      </c>
    </row>
    <row r="7153" spans="1:12" x14ac:dyDescent="0.25">
      <c r="A7153" s="170" t="s">
        <v>9818</v>
      </c>
      <c r="B7153" s="170" t="s">
        <v>9819</v>
      </c>
      <c r="C7153" s="170" t="s">
        <v>587</v>
      </c>
      <c r="D7153" s="170" t="s">
        <v>2067</v>
      </c>
      <c r="E7153" s="171" t="s">
        <v>28933</v>
      </c>
      <c r="F7153" s="171" t="s">
        <v>17891</v>
      </c>
      <c r="H7153" s="96">
        <f t="shared" si="459"/>
        <v>20.28</v>
      </c>
      <c r="I7153" s="96">
        <f t="shared" si="460"/>
        <v>22.67</v>
      </c>
      <c r="J7153" s="91" t="str">
        <f t="shared" si="461"/>
        <v>Sinapi 88298</v>
      </c>
      <c r="K7153" s="91" t="str">
        <f t="shared" si="462"/>
        <v>H</v>
      </c>
      <c r="L7153" s="166" t="str">
        <f t="shared" si="458"/>
        <v/>
      </c>
    </row>
    <row r="7154" spans="1:12" x14ac:dyDescent="0.25">
      <c r="A7154" s="170" t="s">
        <v>9820</v>
      </c>
      <c r="B7154" s="170" t="s">
        <v>9821</v>
      </c>
      <c r="C7154" s="170" t="s">
        <v>587</v>
      </c>
      <c r="D7154" s="170" t="s">
        <v>2067</v>
      </c>
      <c r="E7154" s="171" t="s">
        <v>18668</v>
      </c>
      <c r="F7154" s="171" t="s">
        <v>22790</v>
      </c>
      <c r="H7154" s="96">
        <f t="shared" si="459"/>
        <v>25.44</v>
      </c>
      <c r="I7154" s="96">
        <f t="shared" si="460"/>
        <v>28.67</v>
      </c>
      <c r="J7154" s="91" t="str">
        <f t="shared" si="461"/>
        <v>Sinapi 88299</v>
      </c>
      <c r="K7154" s="91" t="str">
        <f t="shared" si="462"/>
        <v>H</v>
      </c>
      <c r="L7154" s="166" t="str">
        <f t="shared" si="458"/>
        <v/>
      </c>
    </row>
    <row r="7155" spans="1:12" x14ac:dyDescent="0.25">
      <c r="A7155" s="170" t="s">
        <v>9822</v>
      </c>
      <c r="B7155" s="170" t="s">
        <v>9823</v>
      </c>
      <c r="C7155" s="170" t="s">
        <v>587</v>
      </c>
      <c r="D7155" s="170" t="s">
        <v>2067</v>
      </c>
      <c r="E7155" s="171" t="s">
        <v>29253</v>
      </c>
      <c r="F7155" s="171" t="s">
        <v>29720</v>
      </c>
      <c r="H7155" s="96">
        <f t="shared" si="459"/>
        <v>29.96</v>
      </c>
      <c r="I7155" s="96">
        <f t="shared" si="460"/>
        <v>33.909999999999997</v>
      </c>
      <c r="J7155" s="91" t="str">
        <f t="shared" si="461"/>
        <v>Sinapi 88300</v>
      </c>
      <c r="K7155" s="91" t="str">
        <f t="shared" si="462"/>
        <v>H</v>
      </c>
      <c r="L7155" s="166" t="str">
        <f t="shared" si="458"/>
        <v/>
      </c>
    </row>
    <row r="7156" spans="1:12" x14ac:dyDescent="0.25">
      <c r="A7156" s="170" t="s">
        <v>9824</v>
      </c>
      <c r="B7156" s="170" t="s">
        <v>9825</v>
      </c>
      <c r="C7156" s="170" t="s">
        <v>587</v>
      </c>
      <c r="D7156" s="170" t="s">
        <v>2067</v>
      </c>
      <c r="E7156" s="171" t="s">
        <v>15517</v>
      </c>
      <c r="F7156" s="171" t="s">
        <v>28822</v>
      </c>
      <c r="H7156" s="96">
        <f t="shared" si="459"/>
        <v>24.05</v>
      </c>
      <c r="I7156" s="96">
        <f t="shared" si="460"/>
        <v>27.05</v>
      </c>
      <c r="J7156" s="91" t="str">
        <f t="shared" si="461"/>
        <v>Sinapi 88301</v>
      </c>
      <c r="K7156" s="91" t="str">
        <f t="shared" si="462"/>
        <v>H</v>
      </c>
      <c r="L7156" s="166" t="str">
        <f t="shared" si="458"/>
        <v/>
      </c>
    </row>
    <row r="7157" spans="1:12" x14ac:dyDescent="0.25">
      <c r="A7157" s="170" t="s">
        <v>9826</v>
      </c>
      <c r="B7157" s="170" t="s">
        <v>9827</v>
      </c>
      <c r="C7157" s="170" t="s">
        <v>587</v>
      </c>
      <c r="D7157" s="170" t="s">
        <v>2067</v>
      </c>
      <c r="E7157" s="171" t="s">
        <v>29319</v>
      </c>
      <c r="F7157" s="171" t="s">
        <v>23169</v>
      </c>
      <c r="H7157" s="96">
        <f t="shared" si="459"/>
        <v>26.07</v>
      </c>
      <c r="I7157" s="96">
        <f t="shared" si="460"/>
        <v>29.4</v>
      </c>
      <c r="J7157" s="91" t="str">
        <f t="shared" si="461"/>
        <v>Sinapi 88302</v>
      </c>
      <c r="K7157" s="91" t="str">
        <f t="shared" si="462"/>
        <v>H</v>
      </c>
      <c r="L7157" s="166" t="str">
        <f t="shared" si="458"/>
        <v/>
      </c>
    </row>
    <row r="7158" spans="1:12" x14ac:dyDescent="0.25">
      <c r="A7158" s="170" t="s">
        <v>9828</v>
      </c>
      <c r="B7158" s="170" t="s">
        <v>9829</v>
      </c>
      <c r="C7158" s="170" t="s">
        <v>587</v>
      </c>
      <c r="D7158" s="170" t="s">
        <v>2067</v>
      </c>
      <c r="E7158" s="171" t="s">
        <v>15790</v>
      </c>
      <c r="F7158" s="171" t="s">
        <v>33017</v>
      </c>
      <c r="H7158" s="96">
        <f t="shared" si="459"/>
        <v>20.7</v>
      </c>
      <c r="I7158" s="96">
        <f t="shared" si="460"/>
        <v>23.15</v>
      </c>
      <c r="J7158" s="91" t="str">
        <f t="shared" si="461"/>
        <v>Sinapi 88303</v>
      </c>
      <c r="K7158" s="91" t="str">
        <f t="shared" si="462"/>
        <v>H</v>
      </c>
      <c r="L7158" s="166" t="str">
        <f t="shared" si="458"/>
        <v/>
      </c>
    </row>
    <row r="7159" spans="1:12" x14ac:dyDescent="0.25">
      <c r="A7159" s="170" t="s">
        <v>9831</v>
      </c>
      <c r="B7159" s="170" t="s">
        <v>9832</v>
      </c>
      <c r="C7159" s="170" t="s">
        <v>587</v>
      </c>
      <c r="D7159" s="170" t="s">
        <v>2067</v>
      </c>
      <c r="E7159" s="171" t="s">
        <v>18706</v>
      </c>
      <c r="F7159" s="171" t="s">
        <v>19922</v>
      </c>
      <c r="H7159" s="96">
        <f t="shared" si="459"/>
        <v>23.17</v>
      </c>
      <c r="I7159" s="96">
        <f t="shared" si="460"/>
        <v>26.02</v>
      </c>
      <c r="J7159" s="91" t="str">
        <f t="shared" si="461"/>
        <v>Sinapi 88304</v>
      </c>
      <c r="K7159" s="91" t="str">
        <f t="shared" si="462"/>
        <v>H</v>
      </c>
      <c r="L7159" s="166" t="str">
        <f t="shared" si="458"/>
        <v/>
      </c>
    </row>
    <row r="7160" spans="1:12" x14ac:dyDescent="0.25">
      <c r="A7160" s="170" t="s">
        <v>9833</v>
      </c>
      <c r="B7160" s="170" t="s">
        <v>9834</v>
      </c>
      <c r="C7160" s="170" t="s">
        <v>587</v>
      </c>
      <c r="D7160" s="170" t="s">
        <v>2067</v>
      </c>
      <c r="E7160" s="171" t="s">
        <v>28997</v>
      </c>
      <c r="F7160" s="171" t="s">
        <v>18311</v>
      </c>
      <c r="H7160" s="96">
        <f t="shared" si="459"/>
        <v>24.79</v>
      </c>
      <c r="I7160" s="96">
        <f t="shared" si="460"/>
        <v>27.9</v>
      </c>
      <c r="J7160" s="91" t="str">
        <f t="shared" si="461"/>
        <v>Sinapi 88306</v>
      </c>
      <c r="K7160" s="91" t="str">
        <f t="shared" si="462"/>
        <v>H</v>
      </c>
      <c r="L7160" s="166" t="str">
        <f t="shared" si="458"/>
        <v/>
      </c>
    </row>
    <row r="7161" spans="1:12" x14ac:dyDescent="0.25">
      <c r="A7161" s="170" t="s">
        <v>9835</v>
      </c>
      <c r="B7161" s="170" t="s">
        <v>9836</v>
      </c>
      <c r="C7161" s="170" t="s">
        <v>587</v>
      </c>
      <c r="D7161" s="170" t="s">
        <v>2067</v>
      </c>
      <c r="E7161" s="171" t="s">
        <v>21489</v>
      </c>
      <c r="F7161" s="171" t="s">
        <v>36426</v>
      </c>
      <c r="H7161" s="96">
        <f t="shared" si="459"/>
        <v>23.76</v>
      </c>
      <c r="I7161" s="96">
        <f t="shared" si="460"/>
        <v>26.72</v>
      </c>
      <c r="J7161" s="91" t="str">
        <f t="shared" si="461"/>
        <v>Sinapi 88307</v>
      </c>
      <c r="K7161" s="91" t="str">
        <f t="shared" si="462"/>
        <v>H</v>
      </c>
      <c r="L7161" s="166" t="str">
        <f t="shared" si="458"/>
        <v/>
      </c>
    </row>
    <row r="7162" spans="1:12" x14ac:dyDescent="0.25">
      <c r="A7162" s="170" t="s">
        <v>9837</v>
      </c>
      <c r="B7162" s="170" t="s">
        <v>9838</v>
      </c>
      <c r="C7162" s="170" t="s">
        <v>587</v>
      </c>
      <c r="D7162" s="170" t="s">
        <v>2067</v>
      </c>
      <c r="E7162" s="171" t="s">
        <v>18540</v>
      </c>
      <c r="F7162" s="171" t="s">
        <v>26767</v>
      </c>
      <c r="H7162" s="96">
        <f t="shared" si="459"/>
        <v>25.5</v>
      </c>
      <c r="I7162" s="96">
        <f t="shared" si="460"/>
        <v>28.55</v>
      </c>
      <c r="J7162" s="91" t="str">
        <f t="shared" si="461"/>
        <v>Sinapi 88308</v>
      </c>
      <c r="K7162" s="91" t="str">
        <f t="shared" si="462"/>
        <v>H</v>
      </c>
      <c r="L7162" s="166" t="str">
        <f t="shared" si="458"/>
        <v/>
      </c>
    </row>
    <row r="7163" spans="1:12" x14ac:dyDescent="0.25">
      <c r="A7163" s="170" t="s">
        <v>9839</v>
      </c>
      <c r="B7163" s="170" t="s">
        <v>595</v>
      </c>
      <c r="C7163" s="170" t="s">
        <v>587</v>
      </c>
      <c r="D7163" s="170" t="s">
        <v>2710</v>
      </c>
      <c r="E7163" s="171" t="s">
        <v>19930</v>
      </c>
      <c r="F7163" s="171" t="s">
        <v>21321</v>
      </c>
      <c r="H7163" s="96">
        <f t="shared" si="459"/>
        <v>24.17</v>
      </c>
      <c r="I7163" s="96">
        <f t="shared" si="460"/>
        <v>27</v>
      </c>
      <c r="J7163" s="91" t="str">
        <f t="shared" si="461"/>
        <v>Sinapi 88309</v>
      </c>
      <c r="K7163" s="91" t="str">
        <f t="shared" si="462"/>
        <v>H</v>
      </c>
      <c r="L7163" s="166" t="str">
        <f t="shared" si="458"/>
        <v/>
      </c>
    </row>
    <row r="7164" spans="1:12" x14ac:dyDescent="0.25">
      <c r="A7164" s="170" t="s">
        <v>9840</v>
      </c>
      <c r="B7164" s="170" t="s">
        <v>962</v>
      </c>
      <c r="C7164" s="170" t="s">
        <v>587</v>
      </c>
      <c r="D7164" s="170" t="s">
        <v>2710</v>
      </c>
      <c r="E7164" s="171" t="s">
        <v>34935</v>
      </c>
      <c r="F7164" s="171" t="s">
        <v>36405</v>
      </c>
      <c r="H7164" s="96">
        <f t="shared" si="459"/>
        <v>25.4</v>
      </c>
      <c r="I7164" s="96">
        <f t="shared" si="460"/>
        <v>28.21</v>
      </c>
      <c r="J7164" s="91" t="str">
        <f t="shared" si="461"/>
        <v>Sinapi 88310</v>
      </c>
      <c r="K7164" s="91" t="str">
        <f t="shared" si="462"/>
        <v>H</v>
      </c>
      <c r="L7164" s="166" t="str">
        <f t="shared" si="458"/>
        <v/>
      </c>
    </row>
    <row r="7165" spans="1:12" x14ac:dyDescent="0.25">
      <c r="A7165" s="170" t="s">
        <v>9841</v>
      </c>
      <c r="B7165" s="170" t="s">
        <v>9842</v>
      </c>
      <c r="C7165" s="170" t="s">
        <v>587</v>
      </c>
      <c r="D7165" s="170" t="s">
        <v>2067</v>
      </c>
      <c r="E7165" s="171" t="s">
        <v>22035</v>
      </c>
      <c r="F7165" s="171" t="s">
        <v>21959</v>
      </c>
      <c r="H7165" s="96">
        <f t="shared" si="459"/>
        <v>24.89</v>
      </c>
      <c r="I7165" s="96">
        <f t="shared" si="460"/>
        <v>27.61</v>
      </c>
      <c r="J7165" s="91" t="str">
        <f t="shared" si="461"/>
        <v>Sinapi 88311</v>
      </c>
      <c r="K7165" s="91" t="str">
        <f t="shared" si="462"/>
        <v>H</v>
      </c>
      <c r="L7165" s="166" t="str">
        <f t="shared" si="458"/>
        <v/>
      </c>
    </row>
    <row r="7166" spans="1:12" x14ac:dyDescent="0.25">
      <c r="A7166" s="170" t="s">
        <v>9843</v>
      </c>
      <c r="B7166" s="170" t="s">
        <v>9844</v>
      </c>
      <c r="C7166" s="170" t="s">
        <v>587</v>
      </c>
      <c r="D7166" s="170" t="s">
        <v>2067</v>
      </c>
      <c r="E7166" s="171" t="s">
        <v>34935</v>
      </c>
      <c r="F7166" s="171" t="s">
        <v>36405</v>
      </c>
      <c r="H7166" s="96">
        <f t="shared" si="459"/>
        <v>25.4</v>
      </c>
      <c r="I7166" s="96">
        <f t="shared" si="460"/>
        <v>28.21</v>
      </c>
      <c r="J7166" s="91" t="str">
        <f t="shared" si="461"/>
        <v>Sinapi 88312</v>
      </c>
      <c r="K7166" s="91" t="str">
        <f t="shared" si="462"/>
        <v>H</v>
      </c>
      <c r="L7166" s="166" t="str">
        <f t="shared" si="458"/>
        <v/>
      </c>
    </row>
    <row r="7167" spans="1:12" x14ac:dyDescent="0.25">
      <c r="A7167" s="170" t="s">
        <v>9845</v>
      </c>
      <c r="B7167" s="170" t="s">
        <v>9846</v>
      </c>
      <c r="C7167" s="170" t="s">
        <v>587</v>
      </c>
      <c r="D7167" s="170" t="s">
        <v>2067</v>
      </c>
      <c r="E7167" s="171" t="s">
        <v>29377</v>
      </c>
      <c r="F7167" s="171" t="s">
        <v>23020</v>
      </c>
      <c r="H7167" s="96">
        <f t="shared" si="459"/>
        <v>21.52</v>
      </c>
      <c r="I7167" s="96">
        <f t="shared" si="460"/>
        <v>24.12</v>
      </c>
      <c r="J7167" s="91" t="str">
        <f t="shared" si="461"/>
        <v>Sinapi 88313</v>
      </c>
      <c r="K7167" s="91" t="str">
        <f t="shared" si="462"/>
        <v>H</v>
      </c>
      <c r="L7167" s="166" t="str">
        <f t="shared" si="458"/>
        <v/>
      </c>
    </row>
    <row r="7168" spans="1:12" x14ac:dyDescent="0.25">
      <c r="A7168" s="170" t="s">
        <v>9847</v>
      </c>
      <c r="B7168" s="170" t="s">
        <v>9848</v>
      </c>
      <c r="C7168" s="170" t="s">
        <v>587</v>
      </c>
      <c r="D7168" s="170" t="s">
        <v>2067</v>
      </c>
      <c r="E7168" s="171" t="s">
        <v>22711</v>
      </c>
      <c r="F7168" s="171" t="s">
        <v>19402</v>
      </c>
      <c r="H7168" s="96">
        <f t="shared" si="459"/>
        <v>19.37</v>
      </c>
      <c r="I7168" s="96">
        <f t="shared" si="460"/>
        <v>21.61</v>
      </c>
      <c r="J7168" s="91" t="str">
        <f t="shared" si="461"/>
        <v>Sinapi 88314</v>
      </c>
      <c r="K7168" s="91" t="str">
        <f t="shared" si="462"/>
        <v>H</v>
      </c>
      <c r="L7168" s="166" t="str">
        <f t="shared" si="458"/>
        <v/>
      </c>
    </row>
    <row r="7169" spans="1:12" x14ac:dyDescent="0.25">
      <c r="A7169" s="170" t="s">
        <v>9849</v>
      </c>
      <c r="B7169" s="170" t="s">
        <v>1048</v>
      </c>
      <c r="C7169" s="170" t="s">
        <v>587</v>
      </c>
      <c r="D7169" s="170" t="s">
        <v>2067</v>
      </c>
      <c r="E7169" s="171" t="s">
        <v>19356</v>
      </c>
      <c r="F7169" s="171" t="s">
        <v>18720</v>
      </c>
      <c r="H7169" s="96">
        <f t="shared" si="459"/>
        <v>23.99</v>
      </c>
      <c r="I7169" s="96">
        <f t="shared" si="460"/>
        <v>26.8</v>
      </c>
      <c r="J7169" s="91" t="str">
        <f t="shared" si="461"/>
        <v>Sinapi 88315</v>
      </c>
      <c r="K7169" s="91" t="str">
        <f t="shared" si="462"/>
        <v>H</v>
      </c>
      <c r="L7169" s="166" t="str">
        <f t="shared" si="458"/>
        <v/>
      </c>
    </row>
    <row r="7170" spans="1:12" x14ac:dyDescent="0.25">
      <c r="A7170" s="170" t="s">
        <v>9850</v>
      </c>
      <c r="B7170" s="170" t="s">
        <v>588</v>
      </c>
      <c r="C7170" s="170" t="s">
        <v>587</v>
      </c>
      <c r="D7170" s="170" t="s">
        <v>2710</v>
      </c>
      <c r="E7170" s="171" t="s">
        <v>30331</v>
      </c>
      <c r="F7170" s="171" t="s">
        <v>12322</v>
      </c>
      <c r="H7170" s="96">
        <f t="shared" si="459"/>
        <v>18.3</v>
      </c>
      <c r="I7170" s="96">
        <f t="shared" si="460"/>
        <v>20.2</v>
      </c>
      <c r="J7170" s="91" t="str">
        <f t="shared" si="461"/>
        <v>Sinapi 88316</v>
      </c>
      <c r="K7170" s="91" t="str">
        <f t="shared" si="462"/>
        <v>H</v>
      </c>
      <c r="L7170" s="166" t="str">
        <f t="shared" si="458"/>
        <v/>
      </c>
    </row>
    <row r="7171" spans="1:12" x14ac:dyDescent="0.25">
      <c r="A7171" s="170" t="s">
        <v>9851</v>
      </c>
      <c r="B7171" s="170" t="s">
        <v>9852</v>
      </c>
      <c r="C7171" s="170" t="s">
        <v>587</v>
      </c>
      <c r="D7171" s="170" t="s">
        <v>2710</v>
      </c>
      <c r="E7171" s="171" t="s">
        <v>20371</v>
      </c>
      <c r="F7171" s="171" t="s">
        <v>14919</v>
      </c>
      <c r="H7171" s="96">
        <f t="shared" si="459"/>
        <v>24.83</v>
      </c>
      <c r="I7171" s="96">
        <f t="shared" si="460"/>
        <v>27.64</v>
      </c>
      <c r="J7171" s="91" t="str">
        <f t="shared" si="461"/>
        <v>Sinapi 88317</v>
      </c>
      <c r="K7171" s="91" t="str">
        <f t="shared" si="462"/>
        <v>H</v>
      </c>
      <c r="L7171" s="166" t="str">
        <f t="shared" si="458"/>
        <v/>
      </c>
    </row>
    <row r="7172" spans="1:12" x14ac:dyDescent="0.25">
      <c r="A7172" s="170" t="s">
        <v>9853</v>
      </c>
      <c r="B7172" s="170" t="s">
        <v>9854</v>
      </c>
      <c r="C7172" s="170" t="s">
        <v>587</v>
      </c>
      <c r="D7172" s="170" t="s">
        <v>2067</v>
      </c>
      <c r="E7172" s="171" t="s">
        <v>28993</v>
      </c>
      <c r="F7172" s="171" t="s">
        <v>33873</v>
      </c>
      <c r="H7172" s="96">
        <f t="shared" si="459"/>
        <v>27.86</v>
      </c>
      <c r="I7172" s="96">
        <f t="shared" si="460"/>
        <v>31.15</v>
      </c>
      <c r="J7172" s="91" t="str">
        <f t="shared" si="461"/>
        <v>Sinapi 88318</v>
      </c>
      <c r="K7172" s="91" t="str">
        <f t="shared" si="462"/>
        <v>H</v>
      </c>
      <c r="L7172" s="166" t="str">
        <f t="shared" si="458"/>
        <v/>
      </c>
    </row>
    <row r="7173" spans="1:12" x14ac:dyDescent="0.25">
      <c r="A7173" s="170" t="s">
        <v>9855</v>
      </c>
      <c r="B7173" s="170" t="s">
        <v>1078</v>
      </c>
      <c r="C7173" s="170" t="s">
        <v>587</v>
      </c>
      <c r="D7173" s="170" t="s">
        <v>2067</v>
      </c>
      <c r="E7173" s="171" t="s">
        <v>16367</v>
      </c>
      <c r="F7173" s="171" t="s">
        <v>33703</v>
      </c>
      <c r="H7173" s="96">
        <f t="shared" si="459"/>
        <v>23.81</v>
      </c>
      <c r="I7173" s="96">
        <f t="shared" si="460"/>
        <v>26.62</v>
      </c>
      <c r="J7173" s="91" t="str">
        <f t="shared" si="461"/>
        <v>Sinapi 88320</v>
      </c>
      <c r="K7173" s="91" t="str">
        <f t="shared" si="462"/>
        <v>H</v>
      </c>
      <c r="L7173" s="166" t="str">
        <f t="shared" si="458"/>
        <v/>
      </c>
    </row>
    <row r="7174" spans="1:12" x14ac:dyDescent="0.25">
      <c r="A7174" s="170" t="s">
        <v>9856</v>
      </c>
      <c r="B7174" s="170" t="s">
        <v>9857</v>
      </c>
      <c r="C7174" s="170" t="s">
        <v>587</v>
      </c>
      <c r="D7174" s="170" t="s">
        <v>2067</v>
      </c>
      <c r="E7174" s="171" t="s">
        <v>16318</v>
      </c>
      <c r="F7174" s="171" t="s">
        <v>34244</v>
      </c>
      <c r="H7174" s="96">
        <f t="shared" si="459"/>
        <v>19.84</v>
      </c>
      <c r="I7174" s="96">
        <f t="shared" si="460"/>
        <v>22.72</v>
      </c>
      <c r="J7174" s="91" t="str">
        <f t="shared" si="461"/>
        <v>Sinapi 88321</v>
      </c>
      <c r="K7174" s="91" t="str">
        <f t="shared" si="462"/>
        <v>H</v>
      </c>
      <c r="L7174" s="166" t="str">
        <f t="shared" si="458"/>
        <v/>
      </c>
    </row>
    <row r="7175" spans="1:12" x14ac:dyDescent="0.25">
      <c r="A7175" s="170" t="s">
        <v>9858</v>
      </c>
      <c r="B7175" s="170" t="s">
        <v>9859</v>
      </c>
      <c r="C7175" s="170" t="s">
        <v>587</v>
      </c>
      <c r="D7175" s="170" t="s">
        <v>2067</v>
      </c>
      <c r="E7175" s="171" t="s">
        <v>21199</v>
      </c>
      <c r="F7175" s="171" t="s">
        <v>20039</v>
      </c>
      <c r="H7175" s="96">
        <f t="shared" si="459"/>
        <v>24.35</v>
      </c>
      <c r="I7175" s="96">
        <f t="shared" si="460"/>
        <v>27.97</v>
      </c>
      <c r="J7175" s="91" t="str">
        <f t="shared" si="461"/>
        <v>Sinapi 88322</v>
      </c>
      <c r="K7175" s="91" t="str">
        <f t="shared" si="462"/>
        <v>H</v>
      </c>
      <c r="L7175" s="166" t="str">
        <f t="shared" si="458"/>
        <v/>
      </c>
    </row>
    <row r="7176" spans="1:12" x14ac:dyDescent="0.25">
      <c r="A7176" s="170" t="s">
        <v>9860</v>
      </c>
      <c r="B7176" s="170" t="s">
        <v>1170</v>
      </c>
      <c r="C7176" s="170" t="s">
        <v>587</v>
      </c>
      <c r="D7176" s="170" t="s">
        <v>2067</v>
      </c>
      <c r="E7176" s="171" t="s">
        <v>21204</v>
      </c>
      <c r="F7176" s="171" t="s">
        <v>21169</v>
      </c>
      <c r="H7176" s="96">
        <f t="shared" si="459"/>
        <v>23.61</v>
      </c>
      <c r="I7176" s="96">
        <f t="shared" si="460"/>
        <v>26.37</v>
      </c>
      <c r="J7176" s="91" t="str">
        <f t="shared" si="461"/>
        <v>Sinapi 88323</v>
      </c>
      <c r="K7176" s="91" t="str">
        <f t="shared" si="462"/>
        <v>H</v>
      </c>
      <c r="L7176" s="166" t="str">
        <f t="shared" ref="L7176:L7239" si="463">IF(OR(RIGHT(IF(AND(K7176&lt;&gt;"H",K7176&lt;&gt;"MES"),RIGHT(B7176,7),""),2)="PS",RIGHT(IF(AND(K7176&lt;&gt;"H",K7176&lt;&gt;"MES"),RIGHT(B7176,7),""),2)="PA",RIGHT(IF(AND(K7176&lt;&gt;"H",K7176&lt;&gt;"MES"),RIGHT(B7176,7),""),2)="PE"),LEFT(IF(AND(K7176&lt;&gt;"H",K7176&lt;&gt;"MES"),RIGHT(B7176,10),""),7),IF(AND(K7176&lt;&gt;"H",K7176&lt;&gt;"MES"),RIGHT(B7176,7),""))</f>
        <v/>
      </c>
    </row>
    <row r="7177" spans="1:12" x14ac:dyDescent="0.25">
      <c r="A7177" s="170" t="s">
        <v>9861</v>
      </c>
      <c r="B7177" s="170" t="s">
        <v>9862</v>
      </c>
      <c r="C7177" s="170" t="s">
        <v>587</v>
      </c>
      <c r="D7177" s="170" t="s">
        <v>2067</v>
      </c>
      <c r="E7177" s="171" t="s">
        <v>17405</v>
      </c>
      <c r="F7177" s="171" t="s">
        <v>20449</v>
      </c>
      <c r="H7177" s="96">
        <f t="shared" si="459"/>
        <v>21.93</v>
      </c>
      <c r="I7177" s="96">
        <f t="shared" si="460"/>
        <v>24.58</v>
      </c>
      <c r="J7177" s="91" t="str">
        <f t="shared" si="461"/>
        <v>Sinapi 88324</v>
      </c>
      <c r="K7177" s="91" t="str">
        <f t="shared" si="462"/>
        <v>H</v>
      </c>
      <c r="L7177" s="166" t="str">
        <f t="shared" si="463"/>
        <v/>
      </c>
    </row>
    <row r="7178" spans="1:12" x14ac:dyDescent="0.25">
      <c r="A7178" s="170" t="s">
        <v>9863</v>
      </c>
      <c r="B7178" s="170" t="s">
        <v>9864</v>
      </c>
      <c r="C7178" s="170" t="s">
        <v>587</v>
      </c>
      <c r="D7178" s="170" t="s">
        <v>2067</v>
      </c>
      <c r="E7178" s="171" t="s">
        <v>29257</v>
      </c>
      <c r="F7178" s="171" t="s">
        <v>15781</v>
      </c>
      <c r="H7178" s="96">
        <f t="shared" si="459"/>
        <v>22.01</v>
      </c>
      <c r="I7178" s="96">
        <f t="shared" si="460"/>
        <v>24.5</v>
      </c>
      <c r="J7178" s="91" t="str">
        <f t="shared" si="461"/>
        <v>Sinapi 88325</v>
      </c>
      <c r="K7178" s="91" t="str">
        <f t="shared" si="462"/>
        <v>H</v>
      </c>
      <c r="L7178" s="166" t="str">
        <f t="shared" si="463"/>
        <v/>
      </c>
    </row>
    <row r="7179" spans="1:12" x14ac:dyDescent="0.25">
      <c r="A7179" s="170" t="s">
        <v>9865</v>
      </c>
      <c r="B7179" s="170" t="s">
        <v>9866</v>
      </c>
      <c r="C7179" s="170" t="s">
        <v>587</v>
      </c>
      <c r="D7179" s="170" t="s">
        <v>2067</v>
      </c>
      <c r="E7179" s="171" t="s">
        <v>29866</v>
      </c>
      <c r="F7179" s="171" t="s">
        <v>19310</v>
      </c>
      <c r="H7179" s="96">
        <f t="shared" si="459"/>
        <v>22.4</v>
      </c>
      <c r="I7179" s="96">
        <f t="shared" si="460"/>
        <v>24.97</v>
      </c>
      <c r="J7179" s="91" t="str">
        <f t="shared" si="461"/>
        <v>Sinapi 88326</v>
      </c>
      <c r="K7179" s="91" t="str">
        <f t="shared" si="462"/>
        <v>H</v>
      </c>
      <c r="L7179" s="166" t="str">
        <f t="shared" si="463"/>
        <v/>
      </c>
    </row>
    <row r="7180" spans="1:12" x14ac:dyDescent="0.25">
      <c r="A7180" s="170" t="s">
        <v>9867</v>
      </c>
      <c r="B7180" s="170" t="s">
        <v>1294</v>
      </c>
      <c r="C7180" s="170" t="s">
        <v>587</v>
      </c>
      <c r="D7180" s="170" t="s">
        <v>2067</v>
      </c>
      <c r="E7180" s="171" t="s">
        <v>19954</v>
      </c>
      <c r="F7180" s="171" t="s">
        <v>14661</v>
      </c>
      <c r="H7180" s="96">
        <f t="shared" si="459"/>
        <v>20.86</v>
      </c>
      <c r="I7180" s="96">
        <f t="shared" si="460"/>
        <v>23.35</v>
      </c>
      <c r="J7180" s="91" t="str">
        <f t="shared" si="461"/>
        <v>Sinapi 88377</v>
      </c>
      <c r="K7180" s="91" t="str">
        <f t="shared" si="462"/>
        <v>H</v>
      </c>
      <c r="L7180" s="166" t="str">
        <f t="shared" si="463"/>
        <v/>
      </c>
    </row>
    <row r="7181" spans="1:12" x14ac:dyDescent="0.25">
      <c r="A7181" s="170" t="s">
        <v>9868</v>
      </c>
      <c r="B7181" s="170" t="s">
        <v>954</v>
      </c>
      <c r="C7181" s="170" t="s">
        <v>587</v>
      </c>
      <c r="D7181" s="170" t="s">
        <v>2067</v>
      </c>
      <c r="E7181" s="171" t="s">
        <v>17387</v>
      </c>
      <c r="F7181" s="171" t="s">
        <v>35351</v>
      </c>
      <c r="H7181" s="96">
        <f t="shared" si="459"/>
        <v>19.579999999999998</v>
      </c>
      <c r="I7181" s="96">
        <f t="shared" si="460"/>
        <v>21.66</v>
      </c>
      <c r="J7181" s="91" t="str">
        <f t="shared" si="461"/>
        <v>Sinapi 88441</v>
      </c>
      <c r="K7181" s="91" t="str">
        <f t="shared" si="462"/>
        <v>H</v>
      </c>
      <c r="L7181" s="166" t="str">
        <f t="shared" si="463"/>
        <v/>
      </c>
    </row>
    <row r="7182" spans="1:12" x14ac:dyDescent="0.25">
      <c r="A7182" s="170" t="s">
        <v>9869</v>
      </c>
      <c r="B7182" s="170" t="s">
        <v>9870</v>
      </c>
      <c r="C7182" s="170" t="s">
        <v>587</v>
      </c>
      <c r="D7182" s="170" t="s">
        <v>2067</v>
      </c>
      <c r="E7182" s="171" t="s">
        <v>33091</v>
      </c>
      <c r="F7182" s="171" t="s">
        <v>38001</v>
      </c>
      <c r="H7182" s="96">
        <f t="shared" si="459"/>
        <v>26.58</v>
      </c>
      <c r="I7182" s="96">
        <f t="shared" si="460"/>
        <v>30.56</v>
      </c>
      <c r="J7182" s="91" t="str">
        <f t="shared" si="461"/>
        <v>Sinapi 88597</v>
      </c>
      <c r="K7182" s="91" t="str">
        <f t="shared" si="462"/>
        <v>H</v>
      </c>
      <c r="L7182" s="166" t="str">
        <f t="shared" si="463"/>
        <v/>
      </c>
    </row>
    <row r="7183" spans="1:12" x14ac:dyDescent="0.25">
      <c r="A7183" s="170" t="s">
        <v>9871</v>
      </c>
      <c r="B7183" s="170" t="s">
        <v>659</v>
      </c>
      <c r="C7183" s="170" t="s">
        <v>587</v>
      </c>
      <c r="D7183" s="170" t="s">
        <v>2710</v>
      </c>
      <c r="E7183" s="171" t="s">
        <v>14340</v>
      </c>
      <c r="F7183" s="171" t="s">
        <v>15669</v>
      </c>
      <c r="H7183" s="96">
        <f t="shared" si="459"/>
        <v>15.59</v>
      </c>
      <c r="I7183" s="96">
        <f t="shared" si="460"/>
        <v>17.79</v>
      </c>
      <c r="J7183" s="91" t="str">
        <f t="shared" si="461"/>
        <v>Sinapi 90766</v>
      </c>
      <c r="K7183" s="91" t="str">
        <f t="shared" si="462"/>
        <v>H</v>
      </c>
      <c r="L7183" s="166" t="str">
        <f t="shared" si="463"/>
        <v/>
      </c>
    </row>
    <row r="7184" spans="1:12" x14ac:dyDescent="0.25">
      <c r="A7184" s="170" t="s">
        <v>9872</v>
      </c>
      <c r="B7184" s="170" t="s">
        <v>9873</v>
      </c>
      <c r="C7184" s="170" t="s">
        <v>587</v>
      </c>
      <c r="D7184" s="170" t="s">
        <v>2067</v>
      </c>
      <c r="E7184" s="171" t="s">
        <v>14634</v>
      </c>
      <c r="F7184" s="171" t="s">
        <v>14641</v>
      </c>
      <c r="H7184" s="96">
        <f t="shared" si="459"/>
        <v>15.82</v>
      </c>
      <c r="I7184" s="96">
        <f t="shared" si="460"/>
        <v>18.05</v>
      </c>
      <c r="J7184" s="91" t="str">
        <f t="shared" si="461"/>
        <v>Sinapi 90767</v>
      </c>
      <c r="K7184" s="91" t="str">
        <f t="shared" si="462"/>
        <v>H</v>
      </c>
      <c r="L7184" s="166" t="str">
        <f t="shared" si="463"/>
        <v/>
      </c>
    </row>
    <row r="7185" spans="1:12" x14ac:dyDescent="0.25">
      <c r="A7185" s="170" t="s">
        <v>9874</v>
      </c>
      <c r="B7185" s="170" t="s">
        <v>9875</v>
      </c>
      <c r="C7185" s="170" t="s">
        <v>587</v>
      </c>
      <c r="D7185" s="170" t="s">
        <v>2067</v>
      </c>
      <c r="E7185" s="171" t="s">
        <v>33694</v>
      </c>
      <c r="F7185" s="171" t="s">
        <v>36948</v>
      </c>
      <c r="H7185" s="96">
        <f t="shared" si="459"/>
        <v>72.37</v>
      </c>
      <c r="I7185" s="96">
        <f t="shared" si="460"/>
        <v>83.78</v>
      </c>
      <c r="J7185" s="91" t="str">
        <f t="shared" si="461"/>
        <v>Sinapi 90768</v>
      </c>
      <c r="K7185" s="91" t="str">
        <f t="shared" si="462"/>
        <v>H</v>
      </c>
      <c r="L7185" s="166" t="str">
        <f t="shared" si="463"/>
        <v/>
      </c>
    </row>
    <row r="7186" spans="1:12" x14ac:dyDescent="0.25">
      <c r="A7186" s="170" t="s">
        <v>9876</v>
      </c>
      <c r="B7186" s="170" t="s">
        <v>9877</v>
      </c>
      <c r="C7186" s="170" t="s">
        <v>587</v>
      </c>
      <c r="D7186" s="170" t="s">
        <v>2067</v>
      </c>
      <c r="E7186" s="171" t="s">
        <v>34936</v>
      </c>
      <c r="F7186" s="171" t="s">
        <v>21915</v>
      </c>
      <c r="H7186" s="96">
        <f t="shared" si="459"/>
        <v>101.99</v>
      </c>
      <c r="I7186" s="96">
        <f t="shared" si="460"/>
        <v>118.19</v>
      </c>
      <c r="J7186" s="91" t="str">
        <f t="shared" si="461"/>
        <v>Sinapi 90769</v>
      </c>
      <c r="K7186" s="91" t="str">
        <f t="shared" si="462"/>
        <v>H</v>
      </c>
      <c r="L7186" s="166" t="str">
        <f t="shared" si="463"/>
        <v/>
      </c>
    </row>
    <row r="7187" spans="1:12" x14ac:dyDescent="0.25">
      <c r="A7187" s="170" t="s">
        <v>9878</v>
      </c>
      <c r="B7187" s="170" t="s">
        <v>9879</v>
      </c>
      <c r="C7187" s="170" t="s">
        <v>587</v>
      </c>
      <c r="D7187" s="170" t="s">
        <v>2067</v>
      </c>
      <c r="E7187" s="171" t="s">
        <v>34937</v>
      </c>
      <c r="F7187" s="171" t="s">
        <v>38002</v>
      </c>
      <c r="H7187" s="96">
        <f t="shared" si="459"/>
        <v>134.24</v>
      </c>
      <c r="I7187" s="96">
        <f t="shared" si="460"/>
        <v>155.65</v>
      </c>
      <c r="J7187" s="91" t="str">
        <f t="shared" si="461"/>
        <v>Sinapi 90770</v>
      </c>
      <c r="K7187" s="91" t="str">
        <f t="shared" si="462"/>
        <v>H</v>
      </c>
      <c r="L7187" s="166" t="str">
        <f t="shared" si="463"/>
        <v/>
      </c>
    </row>
    <row r="7188" spans="1:12" x14ac:dyDescent="0.25">
      <c r="A7188" s="170" t="s">
        <v>9880</v>
      </c>
      <c r="B7188" s="170" t="s">
        <v>9881</v>
      </c>
      <c r="C7188" s="170" t="s">
        <v>587</v>
      </c>
      <c r="D7188" s="170" t="s">
        <v>2067</v>
      </c>
      <c r="E7188" s="171" t="s">
        <v>21891</v>
      </c>
      <c r="F7188" s="171" t="s">
        <v>21199</v>
      </c>
      <c r="H7188" s="96">
        <f t="shared" si="459"/>
        <v>21.23</v>
      </c>
      <c r="I7188" s="96">
        <f t="shared" si="460"/>
        <v>24.35</v>
      </c>
      <c r="J7188" s="91" t="str">
        <f t="shared" si="461"/>
        <v>Sinapi 90771</v>
      </c>
      <c r="K7188" s="91" t="str">
        <f t="shared" si="462"/>
        <v>H</v>
      </c>
      <c r="L7188" s="166" t="str">
        <f t="shared" si="463"/>
        <v/>
      </c>
    </row>
    <row r="7189" spans="1:12" x14ac:dyDescent="0.25">
      <c r="A7189" s="170" t="s">
        <v>9882</v>
      </c>
      <c r="B7189" s="170" t="s">
        <v>9883</v>
      </c>
      <c r="C7189" s="170" t="s">
        <v>587</v>
      </c>
      <c r="D7189" s="170" t="s">
        <v>2067</v>
      </c>
      <c r="E7189" s="171" t="s">
        <v>20647</v>
      </c>
      <c r="F7189" s="171" t="s">
        <v>19318</v>
      </c>
      <c r="H7189" s="96">
        <f t="shared" si="459"/>
        <v>15.01</v>
      </c>
      <c r="I7189" s="96">
        <f t="shared" si="460"/>
        <v>17.12</v>
      </c>
      <c r="J7189" s="91" t="str">
        <f t="shared" si="461"/>
        <v>Sinapi 90772</v>
      </c>
      <c r="K7189" s="91" t="str">
        <f t="shared" si="462"/>
        <v>H</v>
      </c>
      <c r="L7189" s="166" t="str">
        <f t="shared" si="463"/>
        <v/>
      </c>
    </row>
    <row r="7190" spans="1:12" x14ac:dyDescent="0.25">
      <c r="A7190" s="170" t="s">
        <v>9884</v>
      </c>
      <c r="B7190" s="170" t="s">
        <v>9885</v>
      </c>
      <c r="C7190" s="170" t="s">
        <v>587</v>
      </c>
      <c r="D7190" s="170" t="s">
        <v>2067</v>
      </c>
      <c r="E7190" s="171" t="s">
        <v>19864</v>
      </c>
      <c r="F7190" s="171" t="s">
        <v>21179</v>
      </c>
      <c r="H7190" s="96">
        <f t="shared" si="459"/>
        <v>17.5</v>
      </c>
      <c r="I7190" s="96">
        <f t="shared" si="460"/>
        <v>20.010000000000002</v>
      </c>
      <c r="J7190" s="91" t="str">
        <f t="shared" si="461"/>
        <v>Sinapi 90773</v>
      </c>
      <c r="K7190" s="91" t="str">
        <f t="shared" si="462"/>
        <v>H</v>
      </c>
      <c r="L7190" s="166" t="str">
        <f t="shared" si="463"/>
        <v/>
      </c>
    </row>
    <row r="7191" spans="1:12" x14ac:dyDescent="0.25">
      <c r="A7191" s="170" t="s">
        <v>9886</v>
      </c>
      <c r="B7191" s="170" t="s">
        <v>9887</v>
      </c>
      <c r="C7191" s="170" t="s">
        <v>587</v>
      </c>
      <c r="D7191" s="170" t="s">
        <v>2067</v>
      </c>
      <c r="E7191" s="171" t="s">
        <v>19984</v>
      </c>
      <c r="F7191" s="171" t="s">
        <v>21364</v>
      </c>
      <c r="H7191" s="96">
        <f t="shared" si="459"/>
        <v>19.72</v>
      </c>
      <c r="I7191" s="96">
        <f t="shared" si="460"/>
        <v>22.59</v>
      </c>
      <c r="J7191" s="91" t="str">
        <f t="shared" si="461"/>
        <v>Sinapi 90775</v>
      </c>
      <c r="K7191" s="91" t="str">
        <f t="shared" si="462"/>
        <v>H</v>
      </c>
      <c r="L7191" s="166" t="str">
        <f t="shared" si="463"/>
        <v/>
      </c>
    </row>
    <row r="7192" spans="1:12" x14ac:dyDescent="0.25">
      <c r="A7192" s="170" t="s">
        <v>9888</v>
      </c>
      <c r="B7192" s="170" t="s">
        <v>9889</v>
      </c>
      <c r="C7192" s="170" t="s">
        <v>587</v>
      </c>
      <c r="D7192" s="170" t="s">
        <v>2710</v>
      </c>
      <c r="E7192" s="171" t="s">
        <v>25713</v>
      </c>
      <c r="F7192" s="171" t="s">
        <v>38003</v>
      </c>
      <c r="H7192" s="96">
        <f t="shared" si="459"/>
        <v>30.54</v>
      </c>
      <c r="I7192" s="96">
        <f t="shared" si="460"/>
        <v>35.07</v>
      </c>
      <c r="J7192" s="91" t="str">
        <f t="shared" si="461"/>
        <v>Sinapi 90776</v>
      </c>
      <c r="K7192" s="91" t="str">
        <f t="shared" si="462"/>
        <v>H</v>
      </c>
      <c r="L7192" s="166" t="str">
        <f t="shared" si="463"/>
        <v/>
      </c>
    </row>
    <row r="7193" spans="1:12" x14ac:dyDescent="0.25">
      <c r="A7193" s="170" t="s">
        <v>9890</v>
      </c>
      <c r="B7193" s="170" t="s">
        <v>9891</v>
      </c>
      <c r="C7193" s="170" t="s">
        <v>587</v>
      </c>
      <c r="D7193" s="170" t="s">
        <v>2710</v>
      </c>
      <c r="E7193" s="171" t="s">
        <v>31955</v>
      </c>
      <c r="F7193" s="171" t="s">
        <v>29444</v>
      </c>
      <c r="H7193" s="96">
        <f t="shared" ref="H7193:H7256" si="464">IF(E7193="","",E7193+0)</f>
        <v>98.15</v>
      </c>
      <c r="I7193" s="96">
        <f t="shared" ref="I7193:I7256" si="465">IF(F7193="","",F7193+0)</f>
        <v>113.73</v>
      </c>
      <c r="J7193" s="91" t="str">
        <f t="shared" ref="J7193:J7256" si="466">IF(OR(H7193="",I7193=""),"",TRIM(CONCATENATE("Sinapi ",A7193)))</f>
        <v>Sinapi 90777</v>
      </c>
      <c r="K7193" s="91" t="str">
        <f t="shared" ref="K7193:K7256" si="467">TRIM(C7193)</f>
        <v>H</v>
      </c>
      <c r="L7193" s="166" t="str">
        <f t="shared" si="463"/>
        <v/>
      </c>
    </row>
    <row r="7194" spans="1:12" x14ac:dyDescent="0.25">
      <c r="A7194" s="170" t="s">
        <v>9892</v>
      </c>
      <c r="B7194" s="170" t="s">
        <v>656</v>
      </c>
      <c r="C7194" s="170" t="s">
        <v>587</v>
      </c>
      <c r="D7194" s="170" t="s">
        <v>2067</v>
      </c>
      <c r="E7194" s="171" t="s">
        <v>34938</v>
      </c>
      <c r="F7194" s="171" t="s">
        <v>38004</v>
      </c>
      <c r="H7194" s="96">
        <f t="shared" si="464"/>
        <v>111.44</v>
      </c>
      <c r="I7194" s="96">
        <f t="shared" si="465"/>
        <v>129.16999999999999</v>
      </c>
      <c r="J7194" s="91" t="str">
        <f t="shared" si="466"/>
        <v>Sinapi 90778</v>
      </c>
      <c r="K7194" s="91" t="str">
        <f t="shared" si="467"/>
        <v>H</v>
      </c>
      <c r="L7194" s="166" t="str">
        <f t="shared" si="463"/>
        <v/>
      </c>
    </row>
    <row r="7195" spans="1:12" x14ac:dyDescent="0.25">
      <c r="A7195" s="170" t="s">
        <v>9893</v>
      </c>
      <c r="B7195" s="170" t="s">
        <v>9894</v>
      </c>
      <c r="C7195" s="170" t="s">
        <v>587</v>
      </c>
      <c r="D7195" s="170" t="s">
        <v>2067</v>
      </c>
      <c r="E7195" s="171" t="s">
        <v>34939</v>
      </c>
      <c r="F7195" s="171" t="s">
        <v>38005</v>
      </c>
      <c r="H7195" s="96">
        <f t="shared" si="464"/>
        <v>151.65</v>
      </c>
      <c r="I7195" s="96">
        <f t="shared" si="465"/>
        <v>175.89</v>
      </c>
      <c r="J7195" s="91" t="str">
        <f t="shared" si="466"/>
        <v>Sinapi 90779</v>
      </c>
      <c r="K7195" s="91" t="str">
        <f t="shared" si="467"/>
        <v>H</v>
      </c>
      <c r="L7195" s="166" t="str">
        <f t="shared" si="463"/>
        <v/>
      </c>
    </row>
    <row r="7196" spans="1:12" x14ac:dyDescent="0.25">
      <c r="A7196" s="170" t="s">
        <v>9895</v>
      </c>
      <c r="B7196" s="170" t="s">
        <v>9896</v>
      </c>
      <c r="C7196" s="170" t="s">
        <v>587</v>
      </c>
      <c r="D7196" s="170" t="s">
        <v>2067</v>
      </c>
      <c r="E7196" s="171" t="s">
        <v>21149</v>
      </c>
      <c r="F7196" s="171" t="s">
        <v>38006</v>
      </c>
      <c r="H7196" s="96">
        <f t="shared" si="464"/>
        <v>37.299999999999997</v>
      </c>
      <c r="I7196" s="96">
        <f t="shared" si="465"/>
        <v>42.94</v>
      </c>
      <c r="J7196" s="91" t="str">
        <f t="shared" si="466"/>
        <v>Sinapi 90780</v>
      </c>
      <c r="K7196" s="91" t="str">
        <f t="shared" si="467"/>
        <v>H</v>
      </c>
      <c r="L7196" s="166" t="str">
        <f t="shared" si="463"/>
        <v/>
      </c>
    </row>
    <row r="7197" spans="1:12" x14ac:dyDescent="0.25">
      <c r="A7197" s="170" t="s">
        <v>9897</v>
      </c>
      <c r="B7197" s="170" t="s">
        <v>9898</v>
      </c>
      <c r="C7197" s="170" t="s">
        <v>587</v>
      </c>
      <c r="D7197" s="170" t="s">
        <v>2710</v>
      </c>
      <c r="E7197" s="171" t="s">
        <v>17951</v>
      </c>
      <c r="F7197" s="171" t="s">
        <v>36308</v>
      </c>
      <c r="H7197" s="96">
        <f t="shared" si="464"/>
        <v>28</v>
      </c>
      <c r="I7197" s="96">
        <f t="shared" si="465"/>
        <v>32.229999999999997</v>
      </c>
      <c r="J7197" s="91" t="str">
        <f t="shared" si="466"/>
        <v>Sinapi 90781</v>
      </c>
      <c r="K7197" s="91" t="str">
        <f t="shared" si="467"/>
        <v>H</v>
      </c>
      <c r="L7197" s="166" t="str">
        <f t="shared" si="463"/>
        <v/>
      </c>
    </row>
    <row r="7198" spans="1:12" x14ac:dyDescent="0.25">
      <c r="A7198" s="170" t="s">
        <v>9899</v>
      </c>
      <c r="B7198" s="170" t="s">
        <v>9900</v>
      </c>
      <c r="C7198" s="170" t="s">
        <v>587</v>
      </c>
      <c r="D7198" s="170" t="s">
        <v>2067</v>
      </c>
      <c r="E7198" s="171" t="s">
        <v>34940</v>
      </c>
      <c r="F7198" s="171" t="s">
        <v>31241</v>
      </c>
      <c r="H7198" s="96">
        <f t="shared" si="464"/>
        <v>144.27000000000001</v>
      </c>
      <c r="I7198" s="96">
        <f t="shared" si="465"/>
        <v>167.31</v>
      </c>
      <c r="J7198" s="91" t="str">
        <f t="shared" si="466"/>
        <v>Sinapi 91677</v>
      </c>
      <c r="K7198" s="91" t="str">
        <f t="shared" si="467"/>
        <v>H</v>
      </c>
      <c r="L7198" s="166" t="str">
        <f t="shared" si="463"/>
        <v/>
      </c>
    </row>
    <row r="7199" spans="1:12" x14ac:dyDescent="0.25">
      <c r="A7199" s="170" t="s">
        <v>9901</v>
      </c>
      <c r="B7199" s="170" t="s">
        <v>9902</v>
      </c>
      <c r="C7199" s="170" t="s">
        <v>587</v>
      </c>
      <c r="D7199" s="170" t="s">
        <v>2067</v>
      </c>
      <c r="E7199" s="171" t="s">
        <v>34941</v>
      </c>
      <c r="F7199" s="171" t="s">
        <v>38007</v>
      </c>
      <c r="H7199" s="96">
        <f t="shared" si="464"/>
        <v>136.87</v>
      </c>
      <c r="I7199" s="96">
        <f t="shared" si="465"/>
        <v>158.72</v>
      </c>
      <c r="J7199" s="91" t="str">
        <f t="shared" si="466"/>
        <v>Sinapi 91678</v>
      </c>
      <c r="K7199" s="91" t="str">
        <f t="shared" si="467"/>
        <v>H</v>
      </c>
      <c r="L7199" s="166" t="str">
        <f t="shared" si="463"/>
        <v/>
      </c>
    </row>
    <row r="7200" spans="1:12" x14ac:dyDescent="0.25">
      <c r="A7200" s="170" t="s">
        <v>9903</v>
      </c>
      <c r="B7200" s="170" t="s">
        <v>9904</v>
      </c>
      <c r="C7200" s="170" t="s">
        <v>89</v>
      </c>
      <c r="D7200" s="170" t="s">
        <v>2067</v>
      </c>
      <c r="E7200" s="171" t="s">
        <v>34942</v>
      </c>
      <c r="F7200" s="171" t="s">
        <v>38008</v>
      </c>
      <c r="H7200" s="96">
        <f t="shared" si="464"/>
        <v>4023.77</v>
      </c>
      <c r="I7200" s="96">
        <f t="shared" si="465"/>
        <v>4508.4399999999996</v>
      </c>
      <c r="J7200" s="91" t="str">
        <f t="shared" si="466"/>
        <v>Sinapi 93558</v>
      </c>
      <c r="K7200" s="91" t="str">
        <f t="shared" si="467"/>
        <v>MES</v>
      </c>
      <c r="L7200" s="166" t="str">
        <f t="shared" si="463"/>
        <v/>
      </c>
    </row>
    <row r="7201" spans="1:12" x14ac:dyDescent="0.25">
      <c r="A7201" s="170" t="s">
        <v>9905</v>
      </c>
      <c r="B7201" s="170" t="s">
        <v>9870</v>
      </c>
      <c r="C7201" s="170" t="s">
        <v>89</v>
      </c>
      <c r="D7201" s="170" t="s">
        <v>2067</v>
      </c>
      <c r="E7201" s="171" t="s">
        <v>34943</v>
      </c>
      <c r="F7201" s="171" t="s">
        <v>38009</v>
      </c>
      <c r="H7201" s="96">
        <f t="shared" si="464"/>
        <v>4647.5600000000004</v>
      </c>
      <c r="I7201" s="96">
        <f t="shared" si="465"/>
        <v>5341.99</v>
      </c>
      <c r="J7201" s="91" t="str">
        <f t="shared" si="466"/>
        <v>Sinapi 93559</v>
      </c>
      <c r="K7201" s="91" t="str">
        <f t="shared" si="467"/>
        <v>MES</v>
      </c>
      <c r="L7201" s="166" t="str">
        <f t="shared" si="463"/>
        <v/>
      </c>
    </row>
    <row r="7202" spans="1:12" x14ac:dyDescent="0.25">
      <c r="A7202" s="170" t="s">
        <v>9906</v>
      </c>
      <c r="B7202" s="170" t="s">
        <v>9885</v>
      </c>
      <c r="C7202" s="170" t="s">
        <v>89</v>
      </c>
      <c r="D7202" s="170" t="s">
        <v>2067</v>
      </c>
      <c r="E7202" s="171" t="s">
        <v>34944</v>
      </c>
      <c r="F7202" s="171" t="s">
        <v>38010</v>
      </c>
      <c r="H7202" s="96">
        <f t="shared" si="464"/>
        <v>3071.17</v>
      </c>
      <c r="I7202" s="96">
        <f t="shared" si="465"/>
        <v>3509.66</v>
      </c>
      <c r="J7202" s="91" t="str">
        <f t="shared" si="466"/>
        <v>Sinapi 93560</v>
      </c>
      <c r="K7202" s="91" t="str">
        <f t="shared" si="467"/>
        <v>MES</v>
      </c>
      <c r="L7202" s="166" t="str">
        <f t="shared" si="463"/>
        <v/>
      </c>
    </row>
    <row r="7203" spans="1:12" x14ac:dyDescent="0.25">
      <c r="A7203" s="170" t="s">
        <v>9907</v>
      </c>
      <c r="B7203" s="170" t="s">
        <v>9887</v>
      </c>
      <c r="C7203" s="170" t="s">
        <v>89</v>
      </c>
      <c r="D7203" s="170" t="s">
        <v>2067</v>
      </c>
      <c r="E7203" s="171" t="s">
        <v>34945</v>
      </c>
      <c r="F7203" s="171" t="s">
        <v>38011</v>
      </c>
      <c r="H7203" s="96">
        <f t="shared" si="464"/>
        <v>3456.2</v>
      </c>
      <c r="I7203" s="96">
        <f t="shared" si="465"/>
        <v>3957.22</v>
      </c>
      <c r="J7203" s="91" t="str">
        <f t="shared" si="466"/>
        <v>Sinapi 93561</v>
      </c>
      <c r="K7203" s="91" t="str">
        <f t="shared" si="467"/>
        <v>MES</v>
      </c>
      <c r="L7203" s="166" t="str">
        <f t="shared" si="463"/>
        <v/>
      </c>
    </row>
    <row r="7204" spans="1:12" x14ac:dyDescent="0.25">
      <c r="A7204" s="170" t="s">
        <v>9908</v>
      </c>
      <c r="B7204" s="170" t="s">
        <v>9881</v>
      </c>
      <c r="C7204" s="170" t="s">
        <v>89</v>
      </c>
      <c r="D7204" s="170" t="s">
        <v>2067</v>
      </c>
      <c r="E7204" s="171" t="s">
        <v>34946</v>
      </c>
      <c r="F7204" s="171" t="s">
        <v>38012</v>
      </c>
      <c r="H7204" s="96">
        <f t="shared" si="464"/>
        <v>3720.41</v>
      </c>
      <c r="I7204" s="96">
        <f t="shared" si="465"/>
        <v>4264.3100000000004</v>
      </c>
      <c r="J7204" s="91" t="str">
        <f t="shared" si="466"/>
        <v>Sinapi 93562</v>
      </c>
      <c r="K7204" s="91" t="str">
        <f t="shared" si="467"/>
        <v>MES</v>
      </c>
      <c r="L7204" s="166" t="str">
        <f t="shared" si="463"/>
        <v/>
      </c>
    </row>
    <row r="7205" spans="1:12" x14ac:dyDescent="0.25">
      <c r="A7205" s="170" t="s">
        <v>9909</v>
      </c>
      <c r="B7205" s="170" t="s">
        <v>659</v>
      </c>
      <c r="C7205" s="170" t="s">
        <v>89</v>
      </c>
      <c r="D7205" s="170" t="s">
        <v>2067</v>
      </c>
      <c r="E7205" s="171" t="s">
        <v>34947</v>
      </c>
      <c r="F7205" s="171" t="s">
        <v>38013</v>
      </c>
      <c r="H7205" s="96">
        <f t="shared" si="464"/>
        <v>2738.69</v>
      </c>
      <c r="I7205" s="96">
        <f t="shared" si="465"/>
        <v>3121.68</v>
      </c>
      <c r="J7205" s="91" t="str">
        <f t="shared" si="466"/>
        <v>Sinapi 93563</v>
      </c>
      <c r="K7205" s="91" t="str">
        <f t="shared" si="467"/>
        <v>MES</v>
      </c>
      <c r="L7205" s="166" t="str">
        <f t="shared" si="463"/>
        <v/>
      </c>
    </row>
    <row r="7206" spans="1:12" x14ac:dyDescent="0.25">
      <c r="A7206" s="170" t="s">
        <v>9910</v>
      </c>
      <c r="B7206" s="170" t="s">
        <v>9873</v>
      </c>
      <c r="C7206" s="170" t="s">
        <v>89</v>
      </c>
      <c r="D7206" s="170" t="s">
        <v>2067</v>
      </c>
      <c r="E7206" s="171" t="s">
        <v>34948</v>
      </c>
      <c r="F7206" s="171" t="s">
        <v>38014</v>
      </c>
      <c r="H7206" s="96">
        <f t="shared" si="464"/>
        <v>2768.6</v>
      </c>
      <c r="I7206" s="96">
        <f t="shared" si="465"/>
        <v>3156.45</v>
      </c>
      <c r="J7206" s="91" t="str">
        <f t="shared" si="466"/>
        <v>Sinapi 93564</v>
      </c>
      <c r="K7206" s="91" t="str">
        <f t="shared" si="467"/>
        <v>MES</v>
      </c>
      <c r="L7206" s="166" t="str">
        <f t="shared" si="463"/>
        <v/>
      </c>
    </row>
    <row r="7207" spans="1:12" x14ac:dyDescent="0.25">
      <c r="A7207" s="170" t="s">
        <v>9911</v>
      </c>
      <c r="B7207" s="170" t="s">
        <v>9891</v>
      </c>
      <c r="C7207" s="170" t="s">
        <v>89</v>
      </c>
      <c r="D7207" s="170" t="s">
        <v>2067</v>
      </c>
      <c r="E7207" s="171" t="s">
        <v>34949</v>
      </c>
      <c r="F7207" s="171" t="s">
        <v>38015</v>
      </c>
      <c r="H7207" s="96">
        <f t="shared" si="464"/>
        <v>17038.8</v>
      </c>
      <c r="I7207" s="96">
        <f t="shared" si="465"/>
        <v>19745.97</v>
      </c>
      <c r="J7207" s="91" t="str">
        <f t="shared" si="466"/>
        <v>Sinapi 93565</v>
      </c>
      <c r="K7207" s="91" t="str">
        <f t="shared" si="467"/>
        <v>MES</v>
      </c>
      <c r="L7207" s="166" t="str">
        <f t="shared" si="463"/>
        <v/>
      </c>
    </row>
    <row r="7208" spans="1:12" x14ac:dyDescent="0.25">
      <c r="A7208" s="170" t="s">
        <v>9912</v>
      </c>
      <c r="B7208" s="170" t="s">
        <v>9883</v>
      </c>
      <c r="C7208" s="170" t="s">
        <v>89</v>
      </c>
      <c r="D7208" s="170" t="s">
        <v>2067</v>
      </c>
      <c r="E7208" s="171" t="s">
        <v>34950</v>
      </c>
      <c r="F7208" s="171" t="s">
        <v>38016</v>
      </c>
      <c r="H7208" s="96">
        <f t="shared" si="464"/>
        <v>2640.37</v>
      </c>
      <c r="I7208" s="96">
        <f t="shared" si="465"/>
        <v>3007.39</v>
      </c>
      <c r="J7208" s="91" t="str">
        <f t="shared" si="466"/>
        <v>Sinapi 93566</v>
      </c>
      <c r="K7208" s="91" t="str">
        <f t="shared" si="467"/>
        <v>MES</v>
      </c>
      <c r="L7208" s="166" t="str">
        <f t="shared" si="463"/>
        <v/>
      </c>
    </row>
    <row r="7209" spans="1:12" x14ac:dyDescent="0.25">
      <c r="A7209" s="170" t="s">
        <v>9913</v>
      </c>
      <c r="B7209" s="170" t="s">
        <v>656</v>
      </c>
      <c r="C7209" s="170" t="s">
        <v>89</v>
      </c>
      <c r="D7209" s="170" t="s">
        <v>2067</v>
      </c>
      <c r="E7209" s="171" t="s">
        <v>34951</v>
      </c>
      <c r="F7209" s="171" t="s">
        <v>38017</v>
      </c>
      <c r="H7209" s="96">
        <f t="shared" si="464"/>
        <v>19343.29</v>
      </c>
      <c r="I7209" s="96">
        <f t="shared" si="465"/>
        <v>22424.6</v>
      </c>
      <c r="J7209" s="91" t="str">
        <f t="shared" si="466"/>
        <v>Sinapi 93567</v>
      </c>
      <c r="K7209" s="91" t="str">
        <f t="shared" si="467"/>
        <v>MES</v>
      </c>
      <c r="L7209" s="166" t="str">
        <f t="shared" si="463"/>
        <v/>
      </c>
    </row>
    <row r="7210" spans="1:12" x14ac:dyDescent="0.25">
      <c r="A7210" s="170" t="s">
        <v>9914</v>
      </c>
      <c r="B7210" s="170" t="s">
        <v>9894</v>
      </c>
      <c r="C7210" s="170" t="s">
        <v>89</v>
      </c>
      <c r="D7210" s="170" t="s">
        <v>2067</v>
      </c>
      <c r="E7210" s="171" t="s">
        <v>34952</v>
      </c>
      <c r="F7210" s="171" t="s">
        <v>38018</v>
      </c>
      <c r="H7210" s="96">
        <f t="shared" si="464"/>
        <v>26308.01</v>
      </c>
      <c r="I7210" s="96">
        <f t="shared" si="465"/>
        <v>30520.1</v>
      </c>
      <c r="J7210" s="91" t="str">
        <f t="shared" si="466"/>
        <v>Sinapi 93568</v>
      </c>
      <c r="K7210" s="91" t="str">
        <f t="shared" si="467"/>
        <v>MES</v>
      </c>
      <c r="L7210" s="166" t="str">
        <f t="shared" si="463"/>
        <v/>
      </c>
    </row>
    <row r="7211" spans="1:12" x14ac:dyDescent="0.25">
      <c r="A7211" s="170" t="s">
        <v>9915</v>
      </c>
      <c r="B7211" s="170" t="s">
        <v>9916</v>
      </c>
      <c r="C7211" s="170" t="s">
        <v>89</v>
      </c>
      <c r="D7211" s="170" t="s">
        <v>2067</v>
      </c>
      <c r="E7211" s="171" t="s">
        <v>34953</v>
      </c>
      <c r="F7211" s="171" t="s">
        <v>38019</v>
      </c>
      <c r="H7211" s="96">
        <f t="shared" si="464"/>
        <v>12593.27</v>
      </c>
      <c r="I7211" s="96">
        <f t="shared" si="465"/>
        <v>14578.69</v>
      </c>
      <c r="J7211" s="91" t="str">
        <f t="shared" si="466"/>
        <v>Sinapi 93569</v>
      </c>
      <c r="K7211" s="91" t="str">
        <f t="shared" si="467"/>
        <v>MES</v>
      </c>
      <c r="L7211" s="166" t="str">
        <f t="shared" si="463"/>
        <v/>
      </c>
    </row>
    <row r="7212" spans="1:12" x14ac:dyDescent="0.25">
      <c r="A7212" s="170" t="s">
        <v>9917</v>
      </c>
      <c r="B7212" s="170" t="s">
        <v>9918</v>
      </c>
      <c r="C7212" s="170" t="s">
        <v>89</v>
      </c>
      <c r="D7212" s="170" t="s">
        <v>2067</v>
      </c>
      <c r="E7212" s="171" t="s">
        <v>34954</v>
      </c>
      <c r="F7212" s="171" t="s">
        <v>38020</v>
      </c>
      <c r="H7212" s="96">
        <f t="shared" si="464"/>
        <v>17734.47</v>
      </c>
      <c r="I7212" s="96">
        <f t="shared" si="465"/>
        <v>20554.59</v>
      </c>
      <c r="J7212" s="91" t="str">
        <f t="shared" si="466"/>
        <v>Sinapi 93570</v>
      </c>
      <c r="K7212" s="91" t="str">
        <f t="shared" si="467"/>
        <v>MES</v>
      </c>
      <c r="L7212" s="166" t="str">
        <f t="shared" si="463"/>
        <v/>
      </c>
    </row>
    <row r="7213" spans="1:12" x14ac:dyDescent="0.25">
      <c r="A7213" s="170" t="s">
        <v>9919</v>
      </c>
      <c r="B7213" s="170" t="s">
        <v>9920</v>
      </c>
      <c r="C7213" s="170" t="s">
        <v>89</v>
      </c>
      <c r="D7213" s="170" t="s">
        <v>2067</v>
      </c>
      <c r="E7213" s="171" t="s">
        <v>34955</v>
      </c>
      <c r="F7213" s="171" t="s">
        <v>38021</v>
      </c>
      <c r="H7213" s="96">
        <f t="shared" si="464"/>
        <v>23329.17</v>
      </c>
      <c r="I7213" s="96">
        <f t="shared" si="465"/>
        <v>27057.62</v>
      </c>
      <c r="J7213" s="91" t="str">
        <f t="shared" si="466"/>
        <v>Sinapi 93571</v>
      </c>
      <c r="K7213" s="91" t="str">
        <f t="shared" si="467"/>
        <v>MES</v>
      </c>
      <c r="L7213" s="166" t="str">
        <f t="shared" si="463"/>
        <v/>
      </c>
    </row>
    <row r="7214" spans="1:12" x14ac:dyDescent="0.25">
      <c r="A7214" s="170" t="s">
        <v>9921</v>
      </c>
      <c r="B7214" s="170" t="s">
        <v>9922</v>
      </c>
      <c r="C7214" s="170" t="s">
        <v>89</v>
      </c>
      <c r="D7214" s="170" t="s">
        <v>2067</v>
      </c>
      <c r="E7214" s="171" t="s">
        <v>34956</v>
      </c>
      <c r="F7214" s="171" t="s">
        <v>38022</v>
      </c>
      <c r="H7214" s="96">
        <f t="shared" si="464"/>
        <v>5324.76</v>
      </c>
      <c r="I7214" s="96">
        <f t="shared" si="465"/>
        <v>6112.73</v>
      </c>
      <c r="J7214" s="91" t="str">
        <f t="shared" si="466"/>
        <v>Sinapi 93572</v>
      </c>
      <c r="K7214" s="91" t="str">
        <f t="shared" si="467"/>
        <v>MES</v>
      </c>
      <c r="L7214" s="166" t="str">
        <f t="shared" si="463"/>
        <v/>
      </c>
    </row>
    <row r="7215" spans="1:12" x14ac:dyDescent="0.25">
      <c r="A7215" s="170" t="s">
        <v>9923</v>
      </c>
      <c r="B7215" s="170" t="s">
        <v>9896</v>
      </c>
      <c r="C7215" s="170" t="s">
        <v>89</v>
      </c>
      <c r="D7215" s="170" t="s">
        <v>2067</v>
      </c>
      <c r="E7215" s="171" t="s">
        <v>34957</v>
      </c>
      <c r="F7215" s="171" t="s">
        <v>38023</v>
      </c>
      <c r="H7215" s="96">
        <f t="shared" si="464"/>
        <v>6497.67</v>
      </c>
      <c r="I7215" s="96">
        <f t="shared" si="465"/>
        <v>7476.07</v>
      </c>
      <c r="J7215" s="91" t="str">
        <f t="shared" si="466"/>
        <v>Sinapi 94295</v>
      </c>
      <c r="K7215" s="91" t="str">
        <f t="shared" si="467"/>
        <v>MES</v>
      </c>
      <c r="L7215" s="166" t="str">
        <f t="shared" si="463"/>
        <v/>
      </c>
    </row>
    <row r="7216" spans="1:12" x14ac:dyDescent="0.25">
      <c r="A7216" s="170" t="s">
        <v>9924</v>
      </c>
      <c r="B7216" s="170" t="s">
        <v>9898</v>
      </c>
      <c r="C7216" s="170" t="s">
        <v>89</v>
      </c>
      <c r="D7216" s="170" t="s">
        <v>2067</v>
      </c>
      <c r="E7216" s="171" t="s">
        <v>34958</v>
      </c>
      <c r="F7216" s="171" t="s">
        <v>38024</v>
      </c>
      <c r="H7216" s="96">
        <f t="shared" si="464"/>
        <v>4892.04</v>
      </c>
      <c r="I7216" s="96">
        <f t="shared" si="465"/>
        <v>5626.16</v>
      </c>
      <c r="J7216" s="91" t="str">
        <f t="shared" si="466"/>
        <v>Sinapi 94296</v>
      </c>
      <c r="K7216" s="91" t="str">
        <f t="shared" si="467"/>
        <v>MES</v>
      </c>
      <c r="L7216" s="166" t="str">
        <f t="shared" si="463"/>
        <v/>
      </c>
    </row>
    <row r="7217" spans="1:12" x14ac:dyDescent="0.25">
      <c r="A7217" s="170" t="s">
        <v>9925</v>
      </c>
      <c r="B7217" s="170" t="s">
        <v>9926</v>
      </c>
      <c r="C7217" s="170" t="s">
        <v>587</v>
      </c>
      <c r="D7217" s="170" t="s">
        <v>2067</v>
      </c>
      <c r="E7217" s="171" t="s">
        <v>2883</v>
      </c>
      <c r="F7217" s="171" t="s">
        <v>3184</v>
      </c>
      <c r="H7217" s="96">
        <f t="shared" si="464"/>
        <v>0.12</v>
      </c>
      <c r="I7217" s="96">
        <f t="shared" si="465"/>
        <v>0.14000000000000001</v>
      </c>
      <c r="J7217" s="91" t="str">
        <f t="shared" si="466"/>
        <v>Sinapi 95308</v>
      </c>
      <c r="K7217" s="91" t="str">
        <f t="shared" si="467"/>
        <v>H</v>
      </c>
      <c r="L7217" s="166" t="str">
        <f t="shared" si="463"/>
        <v/>
      </c>
    </row>
    <row r="7218" spans="1:12" x14ac:dyDescent="0.25">
      <c r="A7218" s="170" t="s">
        <v>9927</v>
      </c>
      <c r="B7218" s="170" t="s">
        <v>9928</v>
      </c>
      <c r="C7218" s="170" t="s">
        <v>587</v>
      </c>
      <c r="D7218" s="170" t="s">
        <v>2067</v>
      </c>
      <c r="E7218" s="171" t="s">
        <v>9259</v>
      </c>
      <c r="F7218" s="171" t="s">
        <v>2981</v>
      </c>
      <c r="H7218" s="96">
        <f t="shared" si="464"/>
        <v>0.25</v>
      </c>
      <c r="I7218" s="96">
        <f t="shared" si="465"/>
        <v>0.28999999999999998</v>
      </c>
      <c r="J7218" s="91" t="str">
        <f t="shared" si="466"/>
        <v>Sinapi 95309</v>
      </c>
      <c r="K7218" s="91" t="str">
        <f t="shared" si="467"/>
        <v>H</v>
      </c>
      <c r="L7218" s="166" t="str">
        <f t="shared" si="463"/>
        <v/>
      </c>
    </row>
    <row r="7219" spans="1:12" x14ac:dyDescent="0.25">
      <c r="A7219" s="170" t="s">
        <v>9929</v>
      </c>
      <c r="B7219" s="170" t="s">
        <v>9930</v>
      </c>
      <c r="C7219" s="170" t="s">
        <v>587</v>
      </c>
      <c r="D7219" s="170" t="s">
        <v>2067</v>
      </c>
      <c r="E7219" s="171" t="s">
        <v>2632</v>
      </c>
      <c r="F7219" s="171" t="s">
        <v>2537</v>
      </c>
      <c r="H7219" s="96">
        <f t="shared" si="464"/>
        <v>0.15</v>
      </c>
      <c r="I7219" s="96">
        <f t="shared" si="465"/>
        <v>0.18</v>
      </c>
      <c r="J7219" s="91" t="str">
        <f t="shared" si="466"/>
        <v>Sinapi 95310</v>
      </c>
      <c r="K7219" s="91" t="str">
        <f t="shared" si="467"/>
        <v>H</v>
      </c>
      <c r="L7219" s="166" t="str">
        <f t="shared" si="463"/>
        <v/>
      </c>
    </row>
    <row r="7220" spans="1:12" x14ac:dyDescent="0.25">
      <c r="A7220" s="170" t="s">
        <v>9931</v>
      </c>
      <c r="B7220" s="170" t="s">
        <v>9932</v>
      </c>
      <c r="C7220" s="170" t="s">
        <v>587</v>
      </c>
      <c r="D7220" s="170" t="s">
        <v>2067</v>
      </c>
      <c r="E7220" s="171" t="s">
        <v>2888</v>
      </c>
      <c r="F7220" s="171" t="s">
        <v>2632</v>
      </c>
      <c r="H7220" s="96">
        <f t="shared" si="464"/>
        <v>0.13</v>
      </c>
      <c r="I7220" s="96">
        <f t="shared" si="465"/>
        <v>0.15</v>
      </c>
      <c r="J7220" s="91" t="str">
        <f t="shared" si="466"/>
        <v>Sinapi 95311</v>
      </c>
      <c r="K7220" s="91" t="str">
        <f t="shared" si="467"/>
        <v>H</v>
      </c>
      <c r="L7220" s="166" t="str">
        <f t="shared" si="463"/>
        <v/>
      </c>
    </row>
    <row r="7221" spans="1:12" x14ac:dyDescent="0.25">
      <c r="A7221" s="170" t="s">
        <v>9933</v>
      </c>
      <c r="B7221" s="170" t="s">
        <v>9934</v>
      </c>
      <c r="C7221" s="170" t="s">
        <v>587</v>
      </c>
      <c r="D7221" s="170" t="s">
        <v>2067</v>
      </c>
      <c r="E7221" s="171" t="s">
        <v>2807</v>
      </c>
      <c r="F7221" s="171" t="s">
        <v>2689</v>
      </c>
      <c r="H7221" s="96">
        <f t="shared" si="464"/>
        <v>0.16</v>
      </c>
      <c r="I7221" s="96">
        <f t="shared" si="465"/>
        <v>0.19</v>
      </c>
      <c r="J7221" s="91" t="str">
        <f t="shared" si="466"/>
        <v>Sinapi 95312</v>
      </c>
      <c r="K7221" s="91" t="str">
        <f t="shared" si="467"/>
        <v>H</v>
      </c>
      <c r="L7221" s="166" t="str">
        <f t="shared" si="463"/>
        <v/>
      </c>
    </row>
    <row r="7222" spans="1:12" x14ac:dyDescent="0.25">
      <c r="A7222" s="170" t="s">
        <v>9935</v>
      </c>
      <c r="B7222" s="170" t="s">
        <v>9936</v>
      </c>
      <c r="C7222" s="170" t="s">
        <v>587</v>
      </c>
      <c r="D7222" s="170" t="s">
        <v>2067</v>
      </c>
      <c r="E7222" s="171" t="s">
        <v>3184</v>
      </c>
      <c r="F7222" s="171" t="s">
        <v>2994</v>
      </c>
      <c r="H7222" s="96">
        <f t="shared" si="464"/>
        <v>0.14000000000000001</v>
      </c>
      <c r="I7222" s="96">
        <f t="shared" si="465"/>
        <v>0.17</v>
      </c>
      <c r="J7222" s="91" t="str">
        <f t="shared" si="466"/>
        <v>Sinapi 95313</v>
      </c>
      <c r="K7222" s="91" t="str">
        <f t="shared" si="467"/>
        <v>H</v>
      </c>
      <c r="L7222" s="166" t="str">
        <f t="shared" si="463"/>
        <v/>
      </c>
    </row>
    <row r="7223" spans="1:12" x14ac:dyDescent="0.25">
      <c r="A7223" s="170" t="s">
        <v>9937</v>
      </c>
      <c r="B7223" s="170" t="s">
        <v>9938</v>
      </c>
      <c r="C7223" s="170" t="s">
        <v>587</v>
      </c>
      <c r="D7223" s="170" t="s">
        <v>2067</v>
      </c>
      <c r="E7223" s="171" t="s">
        <v>9963</v>
      </c>
      <c r="F7223" s="171" t="s">
        <v>2828</v>
      </c>
      <c r="H7223" s="96">
        <f t="shared" si="464"/>
        <v>0.2</v>
      </c>
      <c r="I7223" s="96">
        <f t="shared" si="465"/>
        <v>0.24</v>
      </c>
      <c r="J7223" s="91" t="str">
        <f t="shared" si="466"/>
        <v>Sinapi 95314</v>
      </c>
      <c r="K7223" s="91" t="str">
        <f t="shared" si="467"/>
        <v>H</v>
      </c>
      <c r="L7223" s="166" t="str">
        <f t="shared" si="463"/>
        <v/>
      </c>
    </row>
    <row r="7224" spans="1:12" x14ac:dyDescent="0.25">
      <c r="A7224" s="170" t="s">
        <v>9939</v>
      </c>
      <c r="B7224" s="170" t="s">
        <v>9940</v>
      </c>
      <c r="C7224" s="170" t="s">
        <v>587</v>
      </c>
      <c r="D7224" s="170" t="s">
        <v>2067</v>
      </c>
      <c r="E7224" s="171" t="s">
        <v>3711</v>
      </c>
      <c r="F7224" s="171" t="s">
        <v>2744</v>
      </c>
      <c r="H7224" s="96">
        <f t="shared" si="464"/>
        <v>0.28000000000000003</v>
      </c>
      <c r="I7224" s="96">
        <f t="shared" si="465"/>
        <v>0.32</v>
      </c>
      <c r="J7224" s="91" t="str">
        <f t="shared" si="466"/>
        <v>Sinapi 95315</v>
      </c>
      <c r="K7224" s="91" t="str">
        <f t="shared" si="467"/>
        <v>H</v>
      </c>
      <c r="L7224" s="166" t="str">
        <f t="shared" si="463"/>
        <v/>
      </c>
    </row>
    <row r="7225" spans="1:12" x14ac:dyDescent="0.25">
      <c r="A7225" s="170" t="s">
        <v>9941</v>
      </c>
      <c r="B7225" s="170" t="s">
        <v>9942</v>
      </c>
      <c r="C7225" s="170" t="s">
        <v>587</v>
      </c>
      <c r="D7225" s="170" t="s">
        <v>2067</v>
      </c>
      <c r="E7225" s="171" t="s">
        <v>3689</v>
      </c>
      <c r="F7225" s="171" t="s">
        <v>8322</v>
      </c>
      <c r="H7225" s="96">
        <f t="shared" si="464"/>
        <v>0.44</v>
      </c>
      <c r="I7225" s="96">
        <f t="shared" si="465"/>
        <v>0.52</v>
      </c>
      <c r="J7225" s="91" t="str">
        <f t="shared" si="466"/>
        <v>Sinapi 95316</v>
      </c>
      <c r="K7225" s="91" t="str">
        <f t="shared" si="467"/>
        <v>H</v>
      </c>
      <c r="L7225" s="166" t="str">
        <f t="shared" si="463"/>
        <v/>
      </c>
    </row>
    <row r="7226" spans="1:12" x14ac:dyDescent="0.25">
      <c r="A7226" s="170" t="s">
        <v>9943</v>
      </c>
      <c r="B7226" s="170" t="s">
        <v>9944</v>
      </c>
      <c r="C7226" s="170" t="s">
        <v>587</v>
      </c>
      <c r="D7226" s="170" t="s">
        <v>2067</v>
      </c>
      <c r="E7226" s="171" t="s">
        <v>3759</v>
      </c>
      <c r="F7226" s="171" t="s">
        <v>9259</v>
      </c>
      <c r="H7226" s="96">
        <f t="shared" si="464"/>
        <v>0.21</v>
      </c>
      <c r="I7226" s="96">
        <f t="shared" si="465"/>
        <v>0.25</v>
      </c>
      <c r="J7226" s="91" t="str">
        <f t="shared" si="466"/>
        <v>Sinapi 95317</v>
      </c>
      <c r="K7226" s="91" t="str">
        <f t="shared" si="467"/>
        <v>H</v>
      </c>
      <c r="L7226" s="166" t="str">
        <f t="shared" si="463"/>
        <v/>
      </c>
    </row>
    <row r="7227" spans="1:12" x14ac:dyDescent="0.25">
      <c r="A7227" s="170" t="s">
        <v>9945</v>
      </c>
      <c r="B7227" s="170" t="s">
        <v>9946</v>
      </c>
      <c r="C7227" s="170" t="s">
        <v>587</v>
      </c>
      <c r="D7227" s="170" t="s">
        <v>2067</v>
      </c>
      <c r="E7227" s="171" t="s">
        <v>3184</v>
      </c>
      <c r="F7227" s="171" t="s">
        <v>2994</v>
      </c>
      <c r="H7227" s="96">
        <f t="shared" si="464"/>
        <v>0.14000000000000001</v>
      </c>
      <c r="I7227" s="96">
        <f t="shared" si="465"/>
        <v>0.17</v>
      </c>
      <c r="J7227" s="91" t="str">
        <f t="shared" si="466"/>
        <v>Sinapi 95318</v>
      </c>
      <c r="K7227" s="91" t="str">
        <f t="shared" si="467"/>
        <v>H</v>
      </c>
      <c r="L7227" s="166" t="str">
        <f t="shared" si="463"/>
        <v/>
      </c>
    </row>
    <row r="7228" spans="1:12" x14ac:dyDescent="0.25">
      <c r="A7228" s="170" t="s">
        <v>9947</v>
      </c>
      <c r="B7228" s="170" t="s">
        <v>9948</v>
      </c>
      <c r="C7228" s="170" t="s">
        <v>587</v>
      </c>
      <c r="D7228" s="170" t="s">
        <v>2067</v>
      </c>
      <c r="E7228" s="171" t="s">
        <v>2807</v>
      </c>
      <c r="F7228" s="171" t="s">
        <v>2689</v>
      </c>
      <c r="H7228" s="96">
        <f t="shared" si="464"/>
        <v>0.16</v>
      </c>
      <c r="I7228" s="96">
        <f t="shared" si="465"/>
        <v>0.19</v>
      </c>
      <c r="J7228" s="91" t="str">
        <f t="shared" si="466"/>
        <v>Sinapi 95319</v>
      </c>
      <c r="K7228" s="91" t="str">
        <f t="shared" si="467"/>
        <v>H</v>
      </c>
      <c r="L7228" s="166" t="str">
        <f t="shared" si="463"/>
        <v/>
      </c>
    </row>
    <row r="7229" spans="1:12" x14ac:dyDescent="0.25">
      <c r="A7229" s="170" t="s">
        <v>9949</v>
      </c>
      <c r="B7229" s="170" t="s">
        <v>9950</v>
      </c>
      <c r="C7229" s="170" t="s">
        <v>587</v>
      </c>
      <c r="D7229" s="170" t="s">
        <v>2067</v>
      </c>
      <c r="E7229" s="171" t="s">
        <v>2888</v>
      </c>
      <c r="F7229" s="171" t="s">
        <v>2807</v>
      </c>
      <c r="H7229" s="96">
        <f t="shared" si="464"/>
        <v>0.13</v>
      </c>
      <c r="I7229" s="96">
        <f t="shared" si="465"/>
        <v>0.16</v>
      </c>
      <c r="J7229" s="91" t="str">
        <f t="shared" si="466"/>
        <v>Sinapi 95320</v>
      </c>
      <c r="K7229" s="91" t="str">
        <f t="shared" si="467"/>
        <v>H</v>
      </c>
      <c r="L7229" s="166" t="str">
        <f t="shared" si="463"/>
        <v/>
      </c>
    </row>
    <row r="7230" spans="1:12" x14ac:dyDescent="0.25">
      <c r="A7230" s="170" t="s">
        <v>9951</v>
      </c>
      <c r="B7230" s="170" t="s">
        <v>9952</v>
      </c>
      <c r="C7230" s="170" t="s">
        <v>587</v>
      </c>
      <c r="D7230" s="170" t="s">
        <v>2067</v>
      </c>
      <c r="E7230" s="171" t="s">
        <v>2888</v>
      </c>
      <c r="F7230" s="171" t="s">
        <v>2807</v>
      </c>
      <c r="H7230" s="96">
        <f t="shared" si="464"/>
        <v>0.13</v>
      </c>
      <c r="I7230" s="96">
        <f t="shared" si="465"/>
        <v>0.16</v>
      </c>
      <c r="J7230" s="91" t="str">
        <f t="shared" si="466"/>
        <v>Sinapi 95321</v>
      </c>
      <c r="K7230" s="91" t="str">
        <f t="shared" si="467"/>
        <v>H</v>
      </c>
      <c r="L7230" s="166" t="str">
        <f t="shared" si="463"/>
        <v/>
      </c>
    </row>
    <row r="7231" spans="1:12" x14ac:dyDescent="0.25">
      <c r="A7231" s="170" t="s">
        <v>9953</v>
      </c>
      <c r="B7231" s="170" t="s">
        <v>9954</v>
      </c>
      <c r="C7231" s="170" t="s">
        <v>587</v>
      </c>
      <c r="D7231" s="170" t="s">
        <v>2067</v>
      </c>
      <c r="E7231" s="171" t="s">
        <v>3648</v>
      </c>
      <c r="F7231" s="171" t="s">
        <v>3271</v>
      </c>
      <c r="H7231" s="96">
        <f t="shared" si="464"/>
        <v>0.1</v>
      </c>
      <c r="I7231" s="96">
        <f t="shared" si="465"/>
        <v>0.11</v>
      </c>
      <c r="J7231" s="91" t="str">
        <f t="shared" si="466"/>
        <v>Sinapi 95322</v>
      </c>
      <c r="K7231" s="91" t="str">
        <f t="shared" si="467"/>
        <v>H</v>
      </c>
      <c r="L7231" s="166" t="str">
        <f t="shared" si="463"/>
        <v/>
      </c>
    </row>
    <row r="7232" spans="1:12" x14ac:dyDescent="0.25">
      <c r="A7232" s="170" t="s">
        <v>9955</v>
      </c>
      <c r="B7232" s="170" t="s">
        <v>9956</v>
      </c>
      <c r="C7232" s="170" t="s">
        <v>587</v>
      </c>
      <c r="D7232" s="170" t="s">
        <v>2067</v>
      </c>
      <c r="E7232" s="171" t="s">
        <v>2744</v>
      </c>
      <c r="F7232" s="171" t="s">
        <v>3430</v>
      </c>
      <c r="H7232" s="96">
        <f t="shared" si="464"/>
        <v>0.32</v>
      </c>
      <c r="I7232" s="96">
        <f t="shared" si="465"/>
        <v>0.37</v>
      </c>
      <c r="J7232" s="91" t="str">
        <f t="shared" si="466"/>
        <v>Sinapi 95323</v>
      </c>
      <c r="K7232" s="91" t="str">
        <f t="shared" si="467"/>
        <v>H</v>
      </c>
      <c r="L7232" s="166" t="str">
        <f t="shared" si="463"/>
        <v/>
      </c>
    </row>
    <row r="7233" spans="1:12" x14ac:dyDescent="0.25">
      <c r="A7233" s="170" t="s">
        <v>9957</v>
      </c>
      <c r="B7233" s="170" t="s">
        <v>9958</v>
      </c>
      <c r="C7233" s="170" t="s">
        <v>587</v>
      </c>
      <c r="D7233" s="170" t="s">
        <v>2067</v>
      </c>
      <c r="E7233" s="171" t="s">
        <v>2711</v>
      </c>
      <c r="F7233" s="171" t="s">
        <v>2718</v>
      </c>
      <c r="H7233" s="96">
        <f t="shared" si="464"/>
        <v>0.26</v>
      </c>
      <c r="I7233" s="96">
        <f t="shared" si="465"/>
        <v>0.3</v>
      </c>
      <c r="J7233" s="91" t="str">
        <f t="shared" si="466"/>
        <v>Sinapi 95324</v>
      </c>
      <c r="K7233" s="91" t="str">
        <f t="shared" si="467"/>
        <v>H</v>
      </c>
      <c r="L7233" s="166" t="str">
        <f t="shared" si="463"/>
        <v/>
      </c>
    </row>
    <row r="7234" spans="1:12" x14ac:dyDescent="0.25">
      <c r="A7234" s="170" t="s">
        <v>9959</v>
      </c>
      <c r="B7234" s="170" t="s">
        <v>9960</v>
      </c>
      <c r="C7234" s="170" t="s">
        <v>587</v>
      </c>
      <c r="D7234" s="170" t="s">
        <v>2067</v>
      </c>
      <c r="E7234" s="171" t="s">
        <v>3711</v>
      </c>
      <c r="F7234" s="171" t="s">
        <v>2816</v>
      </c>
      <c r="H7234" s="96">
        <f t="shared" si="464"/>
        <v>0.28000000000000003</v>
      </c>
      <c r="I7234" s="96">
        <f t="shared" si="465"/>
        <v>0.33</v>
      </c>
      <c r="J7234" s="91" t="str">
        <f t="shared" si="466"/>
        <v>Sinapi 95325</v>
      </c>
      <c r="K7234" s="91" t="str">
        <f t="shared" si="467"/>
        <v>H</v>
      </c>
      <c r="L7234" s="166" t="str">
        <f t="shared" si="463"/>
        <v/>
      </c>
    </row>
    <row r="7235" spans="1:12" x14ac:dyDescent="0.25">
      <c r="A7235" s="170" t="s">
        <v>9961</v>
      </c>
      <c r="B7235" s="170" t="s">
        <v>9962</v>
      </c>
      <c r="C7235" s="170" t="s">
        <v>587</v>
      </c>
      <c r="D7235" s="170" t="s">
        <v>2067</v>
      </c>
      <c r="E7235" s="171" t="s">
        <v>3411</v>
      </c>
      <c r="F7235" s="171" t="s">
        <v>2575</v>
      </c>
      <c r="H7235" s="96">
        <f t="shared" si="464"/>
        <v>0.05</v>
      </c>
      <c r="I7235" s="96">
        <f t="shared" si="465"/>
        <v>0.06</v>
      </c>
      <c r="J7235" s="91" t="str">
        <f t="shared" si="466"/>
        <v>Sinapi 95326</v>
      </c>
      <c r="K7235" s="91" t="str">
        <f t="shared" si="467"/>
        <v>H</v>
      </c>
      <c r="L7235" s="166" t="str">
        <f t="shared" si="463"/>
        <v/>
      </c>
    </row>
    <row r="7236" spans="1:12" x14ac:dyDescent="0.25">
      <c r="A7236" s="170" t="s">
        <v>9964</v>
      </c>
      <c r="B7236" s="170" t="s">
        <v>9965</v>
      </c>
      <c r="C7236" s="170" t="s">
        <v>587</v>
      </c>
      <c r="D7236" s="170" t="s">
        <v>2067</v>
      </c>
      <c r="E7236" s="171" t="s">
        <v>2537</v>
      </c>
      <c r="F7236" s="171" t="s">
        <v>3759</v>
      </c>
      <c r="H7236" s="96">
        <f t="shared" si="464"/>
        <v>0.18</v>
      </c>
      <c r="I7236" s="96">
        <f t="shared" si="465"/>
        <v>0.21</v>
      </c>
      <c r="J7236" s="91" t="str">
        <f t="shared" si="466"/>
        <v>Sinapi 95328</v>
      </c>
      <c r="K7236" s="91" t="str">
        <f t="shared" si="467"/>
        <v>H</v>
      </c>
      <c r="L7236" s="166" t="str">
        <f t="shared" si="463"/>
        <v/>
      </c>
    </row>
    <row r="7237" spans="1:12" x14ac:dyDescent="0.25">
      <c r="A7237" s="170" t="s">
        <v>9966</v>
      </c>
      <c r="B7237" s="170" t="s">
        <v>9967</v>
      </c>
      <c r="C7237" s="170" t="s">
        <v>587</v>
      </c>
      <c r="D7237" s="170" t="s">
        <v>2067</v>
      </c>
      <c r="E7237" s="171" t="s">
        <v>2828</v>
      </c>
      <c r="F7237" s="171" t="s">
        <v>3711</v>
      </c>
      <c r="H7237" s="96">
        <f t="shared" si="464"/>
        <v>0.24</v>
      </c>
      <c r="I7237" s="96">
        <f t="shared" si="465"/>
        <v>0.28000000000000003</v>
      </c>
      <c r="J7237" s="91" t="str">
        <f t="shared" si="466"/>
        <v>Sinapi 95329</v>
      </c>
      <c r="K7237" s="91" t="str">
        <f t="shared" si="467"/>
        <v>H</v>
      </c>
      <c r="L7237" s="166" t="str">
        <f t="shared" si="463"/>
        <v/>
      </c>
    </row>
    <row r="7238" spans="1:12" x14ac:dyDescent="0.25">
      <c r="A7238" s="170" t="s">
        <v>9968</v>
      </c>
      <c r="B7238" s="170" t="s">
        <v>9969</v>
      </c>
      <c r="C7238" s="170" t="s">
        <v>587</v>
      </c>
      <c r="D7238" s="170" t="s">
        <v>2710</v>
      </c>
      <c r="E7238" s="171" t="s">
        <v>9963</v>
      </c>
      <c r="F7238" s="171" t="s">
        <v>2828</v>
      </c>
      <c r="H7238" s="96">
        <f t="shared" si="464"/>
        <v>0.2</v>
      </c>
      <c r="I7238" s="96">
        <f t="shared" si="465"/>
        <v>0.24</v>
      </c>
      <c r="J7238" s="91" t="str">
        <f t="shared" si="466"/>
        <v>Sinapi 95330</v>
      </c>
      <c r="K7238" s="91" t="str">
        <f t="shared" si="467"/>
        <v>H</v>
      </c>
      <c r="L7238" s="166" t="str">
        <f t="shared" si="463"/>
        <v/>
      </c>
    </row>
    <row r="7239" spans="1:12" x14ac:dyDescent="0.25">
      <c r="A7239" s="170" t="s">
        <v>9970</v>
      </c>
      <c r="B7239" s="170" t="s">
        <v>9971</v>
      </c>
      <c r="C7239" s="170" t="s">
        <v>587</v>
      </c>
      <c r="D7239" s="170" t="s">
        <v>2067</v>
      </c>
      <c r="E7239" s="171" t="s">
        <v>2632</v>
      </c>
      <c r="F7239" s="171" t="s">
        <v>2537</v>
      </c>
      <c r="H7239" s="96">
        <f t="shared" si="464"/>
        <v>0.15</v>
      </c>
      <c r="I7239" s="96">
        <f t="shared" si="465"/>
        <v>0.18</v>
      </c>
      <c r="J7239" s="91" t="str">
        <f t="shared" si="466"/>
        <v>Sinapi 95331</v>
      </c>
      <c r="K7239" s="91" t="str">
        <f t="shared" si="467"/>
        <v>H</v>
      </c>
      <c r="L7239" s="166" t="str">
        <f t="shared" si="463"/>
        <v/>
      </c>
    </row>
    <row r="7240" spans="1:12" x14ac:dyDescent="0.25">
      <c r="A7240" s="170" t="s">
        <v>9972</v>
      </c>
      <c r="B7240" s="170" t="s">
        <v>9973</v>
      </c>
      <c r="C7240" s="170" t="s">
        <v>587</v>
      </c>
      <c r="D7240" s="170" t="s">
        <v>2710</v>
      </c>
      <c r="E7240" s="171" t="s">
        <v>14632</v>
      </c>
      <c r="F7240" s="171" t="s">
        <v>16363</v>
      </c>
      <c r="H7240" s="96">
        <f t="shared" si="464"/>
        <v>0.66</v>
      </c>
      <c r="I7240" s="96">
        <f t="shared" si="465"/>
        <v>0.77</v>
      </c>
      <c r="J7240" s="91" t="str">
        <f t="shared" si="466"/>
        <v>Sinapi 95332</v>
      </c>
      <c r="K7240" s="91" t="str">
        <f t="shared" si="467"/>
        <v>H</v>
      </c>
      <c r="L7240" s="166" t="str">
        <f t="shared" ref="L7240:L7303" si="468">IF(OR(RIGHT(IF(AND(K7240&lt;&gt;"H",K7240&lt;&gt;"MES"),RIGHT(B7240,7),""),2)="PS",RIGHT(IF(AND(K7240&lt;&gt;"H",K7240&lt;&gt;"MES"),RIGHT(B7240,7),""),2)="PA",RIGHT(IF(AND(K7240&lt;&gt;"H",K7240&lt;&gt;"MES"),RIGHT(B7240,7),""),2)="PE"),LEFT(IF(AND(K7240&lt;&gt;"H",K7240&lt;&gt;"MES"),RIGHT(B7240,10),""),7),IF(AND(K7240&lt;&gt;"H",K7240&lt;&gt;"MES"),RIGHT(B7240,7),""))</f>
        <v/>
      </c>
    </row>
    <row r="7241" spans="1:12" x14ac:dyDescent="0.25">
      <c r="A7241" s="170" t="s">
        <v>9974</v>
      </c>
      <c r="B7241" s="170" t="s">
        <v>9975</v>
      </c>
      <c r="C7241" s="170" t="s">
        <v>587</v>
      </c>
      <c r="D7241" s="170" t="s">
        <v>2067</v>
      </c>
      <c r="E7241" s="171" t="s">
        <v>14632</v>
      </c>
      <c r="F7241" s="171" t="s">
        <v>16363</v>
      </c>
      <c r="H7241" s="96">
        <f t="shared" si="464"/>
        <v>0.66</v>
      </c>
      <c r="I7241" s="96">
        <f t="shared" si="465"/>
        <v>0.77</v>
      </c>
      <c r="J7241" s="91" t="str">
        <f t="shared" si="466"/>
        <v>Sinapi 95333</v>
      </c>
      <c r="K7241" s="91" t="str">
        <f t="shared" si="467"/>
        <v>H</v>
      </c>
      <c r="L7241" s="166" t="str">
        <f t="shared" si="468"/>
        <v/>
      </c>
    </row>
    <row r="7242" spans="1:12" x14ac:dyDescent="0.25">
      <c r="A7242" s="170" t="s">
        <v>9976</v>
      </c>
      <c r="B7242" s="170" t="s">
        <v>9977</v>
      </c>
      <c r="C7242" s="170" t="s">
        <v>587</v>
      </c>
      <c r="D7242" s="170" t="s">
        <v>2067</v>
      </c>
      <c r="E7242" s="171" t="s">
        <v>8324</v>
      </c>
      <c r="F7242" s="171" t="s">
        <v>2780</v>
      </c>
      <c r="H7242" s="96">
        <f t="shared" si="464"/>
        <v>0.63</v>
      </c>
      <c r="I7242" s="96">
        <f t="shared" si="465"/>
        <v>0.73</v>
      </c>
      <c r="J7242" s="91" t="str">
        <f t="shared" si="466"/>
        <v>Sinapi 95334</v>
      </c>
      <c r="K7242" s="91" t="str">
        <f t="shared" si="467"/>
        <v>H</v>
      </c>
      <c r="L7242" s="166" t="str">
        <f t="shared" si="468"/>
        <v/>
      </c>
    </row>
    <row r="7243" spans="1:12" x14ac:dyDescent="0.25">
      <c r="A7243" s="170" t="s">
        <v>9978</v>
      </c>
      <c r="B7243" s="170" t="s">
        <v>9979</v>
      </c>
      <c r="C7243" s="170" t="s">
        <v>587</v>
      </c>
      <c r="D7243" s="170" t="s">
        <v>2710</v>
      </c>
      <c r="E7243" s="171" t="s">
        <v>2744</v>
      </c>
      <c r="F7243" s="171" t="s">
        <v>3430</v>
      </c>
      <c r="H7243" s="96">
        <f t="shared" si="464"/>
        <v>0.32</v>
      </c>
      <c r="I7243" s="96">
        <f t="shared" si="465"/>
        <v>0.37</v>
      </c>
      <c r="J7243" s="91" t="str">
        <f t="shared" si="466"/>
        <v>Sinapi 95335</v>
      </c>
      <c r="K7243" s="91" t="str">
        <f t="shared" si="467"/>
        <v>H</v>
      </c>
      <c r="L7243" s="166" t="str">
        <f t="shared" si="468"/>
        <v/>
      </c>
    </row>
    <row r="7244" spans="1:12" x14ac:dyDescent="0.25">
      <c r="A7244" s="170" t="s">
        <v>9980</v>
      </c>
      <c r="B7244" s="170" t="s">
        <v>9981</v>
      </c>
      <c r="C7244" s="170" t="s">
        <v>587</v>
      </c>
      <c r="D7244" s="170" t="s">
        <v>2067</v>
      </c>
      <c r="E7244" s="171" t="s">
        <v>9963</v>
      </c>
      <c r="F7244" s="171" t="s">
        <v>9258</v>
      </c>
      <c r="H7244" s="96">
        <f t="shared" si="464"/>
        <v>0.2</v>
      </c>
      <c r="I7244" s="96">
        <f t="shared" si="465"/>
        <v>0.23</v>
      </c>
      <c r="J7244" s="91" t="str">
        <f t="shared" si="466"/>
        <v>Sinapi 95337</v>
      </c>
      <c r="K7244" s="91" t="str">
        <f t="shared" si="467"/>
        <v>H</v>
      </c>
      <c r="L7244" s="166" t="str">
        <f t="shared" si="468"/>
        <v/>
      </c>
    </row>
    <row r="7245" spans="1:12" x14ac:dyDescent="0.25">
      <c r="A7245" s="170" t="s">
        <v>9982</v>
      </c>
      <c r="B7245" s="170" t="s">
        <v>9983</v>
      </c>
      <c r="C7245" s="170" t="s">
        <v>587</v>
      </c>
      <c r="D7245" s="170" t="s">
        <v>2067</v>
      </c>
      <c r="E7245" s="171" t="s">
        <v>8449</v>
      </c>
      <c r="F7245" s="171" t="s">
        <v>10177</v>
      </c>
      <c r="H7245" s="96">
        <f t="shared" si="464"/>
        <v>0.34</v>
      </c>
      <c r="I7245" s="96">
        <f t="shared" si="465"/>
        <v>0.39</v>
      </c>
      <c r="J7245" s="91" t="str">
        <f t="shared" si="466"/>
        <v>Sinapi 95338</v>
      </c>
      <c r="K7245" s="91" t="str">
        <f t="shared" si="467"/>
        <v>H</v>
      </c>
      <c r="L7245" s="166" t="str">
        <f t="shared" si="468"/>
        <v/>
      </c>
    </row>
    <row r="7246" spans="1:12" x14ac:dyDescent="0.25">
      <c r="A7246" s="170" t="s">
        <v>9984</v>
      </c>
      <c r="B7246" s="170" t="s">
        <v>9985</v>
      </c>
      <c r="C7246" s="170" t="s">
        <v>587</v>
      </c>
      <c r="D7246" s="170" t="s">
        <v>2067</v>
      </c>
      <c r="E7246" s="171" t="s">
        <v>3114</v>
      </c>
      <c r="F7246" s="171" t="s">
        <v>2700</v>
      </c>
      <c r="H7246" s="96">
        <f t="shared" si="464"/>
        <v>0.31</v>
      </c>
      <c r="I7246" s="96">
        <f t="shared" si="465"/>
        <v>0.36</v>
      </c>
      <c r="J7246" s="91" t="str">
        <f t="shared" si="466"/>
        <v>Sinapi 95339</v>
      </c>
      <c r="K7246" s="91" t="str">
        <f t="shared" si="467"/>
        <v>H</v>
      </c>
      <c r="L7246" s="166" t="str">
        <f t="shared" si="468"/>
        <v/>
      </c>
    </row>
    <row r="7247" spans="1:12" x14ac:dyDescent="0.25">
      <c r="A7247" s="170" t="s">
        <v>9986</v>
      </c>
      <c r="B7247" s="170" t="s">
        <v>9987</v>
      </c>
      <c r="C7247" s="170" t="s">
        <v>587</v>
      </c>
      <c r="D7247" s="170" t="s">
        <v>2067</v>
      </c>
      <c r="E7247" s="171" t="s">
        <v>2828</v>
      </c>
      <c r="F7247" s="171" t="s">
        <v>3711</v>
      </c>
      <c r="H7247" s="96">
        <f t="shared" si="464"/>
        <v>0.24</v>
      </c>
      <c r="I7247" s="96">
        <f t="shared" si="465"/>
        <v>0.28000000000000003</v>
      </c>
      <c r="J7247" s="91" t="str">
        <f t="shared" si="466"/>
        <v>Sinapi 95340</v>
      </c>
      <c r="K7247" s="91" t="str">
        <f t="shared" si="467"/>
        <v>H</v>
      </c>
      <c r="L7247" s="166" t="str">
        <f t="shared" si="468"/>
        <v/>
      </c>
    </row>
    <row r="7248" spans="1:12" x14ac:dyDescent="0.25">
      <c r="A7248" s="170" t="s">
        <v>9988</v>
      </c>
      <c r="B7248" s="170" t="s">
        <v>9989</v>
      </c>
      <c r="C7248" s="170" t="s">
        <v>587</v>
      </c>
      <c r="D7248" s="170" t="s">
        <v>2067</v>
      </c>
      <c r="E7248" s="171" t="s">
        <v>2711</v>
      </c>
      <c r="F7248" s="171" t="s">
        <v>2718</v>
      </c>
      <c r="H7248" s="96">
        <f t="shared" si="464"/>
        <v>0.26</v>
      </c>
      <c r="I7248" s="96">
        <f t="shared" si="465"/>
        <v>0.3</v>
      </c>
      <c r="J7248" s="91" t="str">
        <f t="shared" si="466"/>
        <v>Sinapi 95341</v>
      </c>
      <c r="K7248" s="91" t="str">
        <f t="shared" si="467"/>
        <v>H</v>
      </c>
      <c r="L7248" s="166" t="str">
        <f t="shared" si="468"/>
        <v/>
      </c>
    </row>
    <row r="7249" spans="1:12" x14ac:dyDescent="0.25">
      <c r="A7249" s="170" t="s">
        <v>9990</v>
      </c>
      <c r="B7249" s="170" t="s">
        <v>9991</v>
      </c>
      <c r="C7249" s="170" t="s">
        <v>587</v>
      </c>
      <c r="D7249" s="170" t="s">
        <v>2067</v>
      </c>
      <c r="E7249" s="171" t="s">
        <v>3759</v>
      </c>
      <c r="F7249" s="171" t="s">
        <v>2828</v>
      </c>
      <c r="H7249" s="96">
        <f t="shared" si="464"/>
        <v>0.21</v>
      </c>
      <c r="I7249" s="96">
        <f t="shared" si="465"/>
        <v>0.24</v>
      </c>
      <c r="J7249" s="91" t="str">
        <f t="shared" si="466"/>
        <v>Sinapi 95342</v>
      </c>
      <c r="K7249" s="91" t="str">
        <f t="shared" si="467"/>
        <v>H</v>
      </c>
      <c r="L7249" s="166" t="str">
        <f t="shared" si="468"/>
        <v/>
      </c>
    </row>
    <row r="7250" spans="1:12" x14ac:dyDescent="0.25">
      <c r="A7250" s="170" t="s">
        <v>9992</v>
      </c>
      <c r="B7250" s="170" t="s">
        <v>9993</v>
      </c>
      <c r="C7250" s="170" t="s">
        <v>587</v>
      </c>
      <c r="D7250" s="170" t="s">
        <v>2067</v>
      </c>
      <c r="E7250" s="171" t="s">
        <v>9259</v>
      </c>
      <c r="F7250" s="171" t="s">
        <v>2981</v>
      </c>
      <c r="H7250" s="96">
        <f t="shared" si="464"/>
        <v>0.25</v>
      </c>
      <c r="I7250" s="96">
        <f t="shared" si="465"/>
        <v>0.28999999999999998</v>
      </c>
      <c r="J7250" s="91" t="str">
        <f t="shared" si="466"/>
        <v>Sinapi 95343</v>
      </c>
      <c r="K7250" s="91" t="str">
        <f t="shared" si="467"/>
        <v>H</v>
      </c>
      <c r="L7250" s="166" t="str">
        <f t="shared" si="468"/>
        <v/>
      </c>
    </row>
    <row r="7251" spans="1:12" x14ac:dyDescent="0.25">
      <c r="A7251" s="170" t="s">
        <v>9994</v>
      </c>
      <c r="B7251" s="170" t="s">
        <v>9995</v>
      </c>
      <c r="C7251" s="170" t="s">
        <v>587</v>
      </c>
      <c r="D7251" s="170" t="s">
        <v>2067</v>
      </c>
      <c r="E7251" s="171" t="s">
        <v>2994</v>
      </c>
      <c r="F7251" s="171" t="s">
        <v>9963</v>
      </c>
      <c r="H7251" s="96">
        <f t="shared" si="464"/>
        <v>0.17</v>
      </c>
      <c r="I7251" s="96">
        <f t="shared" si="465"/>
        <v>0.2</v>
      </c>
      <c r="J7251" s="91" t="str">
        <f t="shared" si="466"/>
        <v>Sinapi 95344</v>
      </c>
      <c r="K7251" s="91" t="str">
        <f t="shared" si="467"/>
        <v>H</v>
      </c>
      <c r="L7251" s="166" t="str">
        <f t="shared" si="468"/>
        <v/>
      </c>
    </row>
    <row r="7252" spans="1:12" x14ac:dyDescent="0.25">
      <c r="A7252" s="170" t="s">
        <v>9996</v>
      </c>
      <c r="B7252" s="170" t="s">
        <v>9997</v>
      </c>
      <c r="C7252" s="170" t="s">
        <v>587</v>
      </c>
      <c r="D7252" s="170" t="s">
        <v>2067</v>
      </c>
      <c r="E7252" s="171" t="s">
        <v>8387</v>
      </c>
      <c r="F7252" s="171" t="s">
        <v>2103</v>
      </c>
      <c r="H7252" s="96">
        <f t="shared" si="464"/>
        <v>0.59</v>
      </c>
      <c r="I7252" s="96">
        <f t="shared" si="465"/>
        <v>0.68</v>
      </c>
      <c r="J7252" s="91" t="str">
        <f t="shared" si="466"/>
        <v>Sinapi 95345</v>
      </c>
      <c r="K7252" s="91" t="str">
        <f t="shared" si="467"/>
        <v>H</v>
      </c>
      <c r="L7252" s="166" t="str">
        <f t="shared" si="468"/>
        <v/>
      </c>
    </row>
    <row r="7253" spans="1:12" x14ac:dyDescent="0.25">
      <c r="A7253" s="170" t="s">
        <v>9998</v>
      </c>
      <c r="B7253" s="170" t="s">
        <v>9999</v>
      </c>
      <c r="C7253" s="170" t="s">
        <v>587</v>
      </c>
      <c r="D7253" s="170" t="s">
        <v>2067</v>
      </c>
      <c r="E7253" s="171" t="s">
        <v>3126</v>
      </c>
      <c r="F7253" s="171" t="s">
        <v>3271</v>
      </c>
      <c r="H7253" s="96">
        <f t="shared" si="464"/>
        <v>0.09</v>
      </c>
      <c r="I7253" s="96">
        <f t="shared" si="465"/>
        <v>0.11</v>
      </c>
      <c r="J7253" s="91" t="str">
        <f t="shared" si="466"/>
        <v>Sinapi 95346</v>
      </c>
      <c r="K7253" s="91" t="str">
        <f t="shared" si="467"/>
        <v>H</v>
      </c>
      <c r="L7253" s="166" t="str">
        <f t="shared" si="468"/>
        <v/>
      </c>
    </row>
    <row r="7254" spans="1:12" x14ac:dyDescent="0.25">
      <c r="A7254" s="170" t="s">
        <v>10000</v>
      </c>
      <c r="B7254" s="170" t="s">
        <v>10001</v>
      </c>
      <c r="C7254" s="170" t="s">
        <v>587</v>
      </c>
      <c r="D7254" s="170" t="s">
        <v>2710</v>
      </c>
      <c r="E7254" s="171" t="s">
        <v>3126</v>
      </c>
      <c r="F7254" s="171" t="s">
        <v>3648</v>
      </c>
      <c r="H7254" s="96">
        <f t="shared" si="464"/>
        <v>0.09</v>
      </c>
      <c r="I7254" s="96">
        <f t="shared" si="465"/>
        <v>0.1</v>
      </c>
      <c r="J7254" s="91" t="str">
        <f t="shared" si="466"/>
        <v>Sinapi 95347</v>
      </c>
      <c r="K7254" s="91" t="str">
        <f t="shared" si="467"/>
        <v>H</v>
      </c>
      <c r="L7254" s="166" t="str">
        <f t="shared" si="468"/>
        <v/>
      </c>
    </row>
    <row r="7255" spans="1:12" x14ac:dyDescent="0.25">
      <c r="A7255" s="170" t="s">
        <v>10002</v>
      </c>
      <c r="B7255" s="170" t="s">
        <v>10003</v>
      </c>
      <c r="C7255" s="170" t="s">
        <v>587</v>
      </c>
      <c r="D7255" s="170" t="s">
        <v>2067</v>
      </c>
      <c r="E7255" s="171" t="s">
        <v>3271</v>
      </c>
      <c r="F7255" s="171" t="s">
        <v>2888</v>
      </c>
      <c r="H7255" s="96">
        <f t="shared" si="464"/>
        <v>0.11</v>
      </c>
      <c r="I7255" s="96">
        <f t="shared" si="465"/>
        <v>0.13</v>
      </c>
      <c r="J7255" s="91" t="str">
        <f t="shared" si="466"/>
        <v>Sinapi 95348</v>
      </c>
      <c r="K7255" s="91" t="str">
        <f t="shared" si="467"/>
        <v>H</v>
      </c>
      <c r="L7255" s="166" t="str">
        <f t="shared" si="468"/>
        <v/>
      </c>
    </row>
    <row r="7256" spans="1:12" x14ac:dyDescent="0.25">
      <c r="A7256" s="170" t="s">
        <v>10004</v>
      </c>
      <c r="B7256" s="170" t="s">
        <v>10005</v>
      </c>
      <c r="C7256" s="170" t="s">
        <v>587</v>
      </c>
      <c r="D7256" s="170" t="s">
        <v>2067</v>
      </c>
      <c r="E7256" s="171" t="s">
        <v>3411</v>
      </c>
      <c r="F7256" s="171" t="s">
        <v>2575</v>
      </c>
      <c r="H7256" s="96">
        <f t="shared" si="464"/>
        <v>0.05</v>
      </c>
      <c r="I7256" s="96">
        <f t="shared" si="465"/>
        <v>0.06</v>
      </c>
      <c r="J7256" s="91" t="str">
        <f t="shared" si="466"/>
        <v>Sinapi 95349</v>
      </c>
      <c r="K7256" s="91" t="str">
        <f t="shared" si="467"/>
        <v>H</v>
      </c>
      <c r="L7256" s="166" t="str">
        <f t="shared" si="468"/>
        <v/>
      </c>
    </row>
    <row r="7257" spans="1:12" x14ac:dyDescent="0.25">
      <c r="A7257" s="170" t="s">
        <v>10006</v>
      </c>
      <c r="B7257" s="170" t="s">
        <v>10007</v>
      </c>
      <c r="C7257" s="170" t="s">
        <v>587</v>
      </c>
      <c r="D7257" s="170" t="s">
        <v>2067</v>
      </c>
      <c r="E7257" s="171" t="s">
        <v>2799</v>
      </c>
      <c r="F7257" s="171" t="s">
        <v>3126</v>
      </c>
      <c r="H7257" s="96">
        <f t="shared" ref="H7257:H7320" si="469">IF(E7257="","",E7257+0)</f>
        <v>0.08</v>
      </c>
      <c r="I7257" s="96">
        <f t="shared" ref="I7257:I7320" si="470">IF(F7257="","",F7257+0)</f>
        <v>0.09</v>
      </c>
      <c r="J7257" s="91" t="str">
        <f t="shared" ref="J7257:J7320" si="471">IF(OR(H7257="",I7257=""),"",TRIM(CONCATENATE("Sinapi ",A7257)))</f>
        <v>Sinapi 95350</v>
      </c>
      <c r="K7257" s="91" t="str">
        <f t="shared" ref="K7257:K7320" si="472">TRIM(C7257)</f>
        <v>H</v>
      </c>
      <c r="L7257" s="166" t="str">
        <f t="shared" si="468"/>
        <v/>
      </c>
    </row>
    <row r="7258" spans="1:12" x14ac:dyDescent="0.25">
      <c r="A7258" s="170" t="s">
        <v>10008</v>
      </c>
      <c r="B7258" s="170" t="s">
        <v>10009</v>
      </c>
      <c r="C7258" s="170" t="s">
        <v>587</v>
      </c>
      <c r="D7258" s="170" t="s">
        <v>2067</v>
      </c>
      <c r="E7258" s="171" t="s">
        <v>2711</v>
      </c>
      <c r="F7258" s="171" t="s">
        <v>2718</v>
      </c>
      <c r="H7258" s="96">
        <f t="shared" si="469"/>
        <v>0.26</v>
      </c>
      <c r="I7258" s="96">
        <f t="shared" si="470"/>
        <v>0.3</v>
      </c>
      <c r="J7258" s="91" t="str">
        <f t="shared" si="471"/>
        <v>Sinapi 95351</v>
      </c>
      <c r="K7258" s="91" t="str">
        <f t="shared" si="472"/>
        <v>H</v>
      </c>
      <c r="L7258" s="166" t="str">
        <f t="shared" si="468"/>
        <v/>
      </c>
    </row>
    <row r="7259" spans="1:12" x14ac:dyDescent="0.25">
      <c r="A7259" s="170" t="s">
        <v>10010</v>
      </c>
      <c r="B7259" s="170" t="s">
        <v>10011</v>
      </c>
      <c r="C7259" s="170" t="s">
        <v>587</v>
      </c>
      <c r="D7259" s="170" t="s">
        <v>2067</v>
      </c>
      <c r="E7259" s="171" t="s">
        <v>2883</v>
      </c>
      <c r="F7259" s="171" t="s">
        <v>2632</v>
      </c>
      <c r="H7259" s="96">
        <f t="shared" si="469"/>
        <v>0.12</v>
      </c>
      <c r="I7259" s="96">
        <f t="shared" si="470"/>
        <v>0.15</v>
      </c>
      <c r="J7259" s="91" t="str">
        <f t="shared" si="471"/>
        <v>Sinapi 95352</v>
      </c>
      <c r="K7259" s="91" t="str">
        <f t="shared" si="472"/>
        <v>H</v>
      </c>
      <c r="L7259" s="166" t="str">
        <f t="shared" si="468"/>
        <v/>
      </c>
    </row>
    <row r="7260" spans="1:12" x14ac:dyDescent="0.25">
      <c r="A7260" s="170" t="s">
        <v>10012</v>
      </c>
      <c r="B7260" s="170" t="s">
        <v>10013</v>
      </c>
      <c r="C7260" s="170" t="s">
        <v>587</v>
      </c>
      <c r="D7260" s="170" t="s">
        <v>2067</v>
      </c>
      <c r="E7260" s="171" t="s">
        <v>2888</v>
      </c>
      <c r="F7260" s="171" t="s">
        <v>2632</v>
      </c>
      <c r="H7260" s="96">
        <f t="shared" si="469"/>
        <v>0.13</v>
      </c>
      <c r="I7260" s="96">
        <f t="shared" si="470"/>
        <v>0.15</v>
      </c>
      <c r="J7260" s="91" t="str">
        <f t="shared" si="471"/>
        <v>Sinapi 95354</v>
      </c>
      <c r="K7260" s="91" t="str">
        <f t="shared" si="472"/>
        <v>H</v>
      </c>
      <c r="L7260" s="166" t="str">
        <f t="shared" si="468"/>
        <v/>
      </c>
    </row>
    <row r="7261" spans="1:12" x14ac:dyDescent="0.25">
      <c r="A7261" s="170" t="s">
        <v>10014</v>
      </c>
      <c r="B7261" s="170" t="s">
        <v>10015</v>
      </c>
      <c r="C7261" s="170" t="s">
        <v>587</v>
      </c>
      <c r="D7261" s="170" t="s">
        <v>2067</v>
      </c>
      <c r="E7261" s="171" t="s">
        <v>3184</v>
      </c>
      <c r="F7261" s="171" t="s">
        <v>2807</v>
      </c>
      <c r="H7261" s="96">
        <f t="shared" si="469"/>
        <v>0.14000000000000001</v>
      </c>
      <c r="I7261" s="96">
        <f t="shared" si="470"/>
        <v>0.16</v>
      </c>
      <c r="J7261" s="91" t="str">
        <f t="shared" si="471"/>
        <v>Sinapi 95355</v>
      </c>
      <c r="K7261" s="91" t="str">
        <f t="shared" si="472"/>
        <v>H</v>
      </c>
      <c r="L7261" s="166" t="str">
        <f t="shared" si="468"/>
        <v/>
      </c>
    </row>
    <row r="7262" spans="1:12" x14ac:dyDescent="0.25">
      <c r="A7262" s="170" t="s">
        <v>10016</v>
      </c>
      <c r="B7262" s="170" t="s">
        <v>10017</v>
      </c>
      <c r="C7262" s="170" t="s">
        <v>587</v>
      </c>
      <c r="D7262" s="170" t="s">
        <v>2067</v>
      </c>
      <c r="E7262" s="171" t="s">
        <v>2807</v>
      </c>
      <c r="F7262" s="171" t="s">
        <v>2689</v>
      </c>
      <c r="H7262" s="96">
        <f t="shared" si="469"/>
        <v>0.16</v>
      </c>
      <c r="I7262" s="96">
        <f t="shared" si="470"/>
        <v>0.19</v>
      </c>
      <c r="J7262" s="91" t="str">
        <f t="shared" si="471"/>
        <v>Sinapi 95356</v>
      </c>
      <c r="K7262" s="91" t="str">
        <f t="shared" si="472"/>
        <v>H</v>
      </c>
      <c r="L7262" s="166" t="str">
        <f t="shared" si="468"/>
        <v/>
      </c>
    </row>
    <row r="7263" spans="1:12" x14ac:dyDescent="0.25">
      <c r="A7263" s="170" t="s">
        <v>10018</v>
      </c>
      <c r="B7263" s="170" t="s">
        <v>10019</v>
      </c>
      <c r="C7263" s="170" t="s">
        <v>587</v>
      </c>
      <c r="D7263" s="170" t="s">
        <v>2710</v>
      </c>
      <c r="E7263" s="171" t="s">
        <v>9259</v>
      </c>
      <c r="F7263" s="171" t="s">
        <v>2981</v>
      </c>
      <c r="H7263" s="96">
        <f t="shared" si="469"/>
        <v>0.25</v>
      </c>
      <c r="I7263" s="96">
        <f t="shared" si="470"/>
        <v>0.28999999999999998</v>
      </c>
      <c r="J7263" s="91" t="str">
        <f t="shared" si="471"/>
        <v>Sinapi 95357</v>
      </c>
      <c r="K7263" s="91" t="str">
        <f t="shared" si="472"/>
        <v>H</v>
      </c>
      <c r="L7263" s="166" t="str">
        <f t="shared" si="468"/>
        <v/>
      </c>
    </row>
    <row r="7264" spans="1:12" x14ac:dyDescent="0.25">
      <c r="A7264" s="170" t="s">
        <v>10020</v>
      </c>
      <c r="B7264" s="170" t="s">
        <v>10021</v>
      </c>
      <c r="C7264" s="170" t="s">
        <v>587</v>
      </c>
      <c r="D7264" s="170" t="s">
        <v>2067</v>
      </c>
      <c r="E7264" s="171" t="s">
        <v>9259</v>
      </c>
      <c r="F7264" s="171" t="s">
        <v>2981</v>
      </c>
      <c r="H7264" s="96">
        <f t="shared" si="469"/>
        <v>0.25</v>
      </c>
      <c r="I7264" s="96">
        <f t="shared" si="470"/>
        <v>0.28999999999999998</v>
      </c>
      <c r="J7264" s="91" t="str">
        <f t="shared" si="471"/>
        <v>Sinapi 95358</v>
      </c>
      <c r="K7264" s="91" t="str">
        <f t="shared" si="472"/>
        <v>H</v>
      </c>
      <c r="L7264" s="166" t="str">
        <f t="shared" si="468"/>
        <v/>
      </c>
    </row>
    <row r="7265" spans="1:12" x14ac:dyDescent="0.25">
      <c r="A7265" s="170" t="s">
        <v>10022</v>
      </c>
      <c r="B7265" s="170" t="s">
        <v>10023</v>
      </c>
      <c r="C7265" s="170" t="s">
        <v>587</v>
      </c>
      <c r="D7265" s="170" t="s">
        <v>2067</v>
      </c>
      <c r="E7265" s="171" t="s">
        <v>2744</v>
      </c>
      <c r="F7265" s="171" t="s">
        <v>3886</v>
      </c>
      <c r="H7265" s="96">
        <f t="shared" si="469"/>
        <v>0.32</v>
      </c>
      <c r="I7265" s="96">
        <f t="shared" si="470"/>
        <v>0.38</v>
      </c>
      <c r="J7265" s="91" t="str">
        <f t="shared" si="471"/>
        <v>Sinapi 95359</v>
      </c>
      <c r="K7265" s="91" t="str">
        <f t="shared" si="472"/>
        <v>H</v>
      </c>
      <c r="L7265" s="166" t="str">
        <f t="shared" si="468"/>
        <v/>
      </c>
    </row>
    <row r="7266" spans="1:12" x14ac:dyDescent="0.25">
      <c r="A7266" s="170" t="s">
        <v>10024</v>
      </c>
      <c r="B7266" s="170" t="s">
        <v>10025</v>
      </c>
      <c r="C7266" s="170" t="s">
        <v>587</v>
      </c>
      <c r="D7266" s="170" t="s">
        <v>2067</v>
      </c>
      <c r="E7266" s="171" t="s">
        <v>2807</v>
      </c>
      <c r="F7266" s="171" t="s">
        <v>2689</v>
      </c>
      <c r="H7266" s="96">
        <f t="shared" si="469"/>
        <v>0.16</v>
      </c>
      <c r="I7266" s="96">
        <f t="shared" si="470"/>
        <v>0.19</v>
      </c>
      <c r="J7266" s="91" t="str">
        <f t="shared" si="471"/>
        <v>Sinapi 95360</v>
      </c>
      <c r="K7266" s="91" t="str">
        <f t="shared" si="472"/>
        <v>H</v>
      </c>
      <c r="L7266" s="166" t="str">
        <f t="shared" si="468"/>
        <v/>
      </c>
    </row>
    <row r="7267" spans="1:12" x14ac:dyDescent="0.25">
      <c r="A7267" s="170" t="s">
        <v>10026</v>
      </c>
      <c r="B7267" s="170" t="s">
        <v>10027</v>
      </c>
      <c r="C7267" s="170" t="s">
        <v>587</v>
      </c>
      <c r="D7267" s="170" t="s">
        <v>2067</v>
      </c>
      <c r="E7267" s="171" t="s">
        <v>2883</v>
      </c>
      <c r="F7267" s="171" t="s">
        <v>3184</v>
      </c>
      <c r="H7267" s="96">
        <f t="shared" si="469"/>
        <v>0.12</v>
      </c>
      <c r="I7267" s="96">
        <f t="shared" si="470"/>
        <v>0.14000000000000001</v>
      </c>
      <c r="J7267" s="91" t="str">
        <f t="shared" si="471"/>
        <v>Sinapi 95361</v>
      </c>
      <c r="K7267" s="91" t="str">
        <f t="shared" si="472"/>
        <v>H</v>
      </c>
      <c r="L7267" s="166" t="str">
        <f t="shared" si="468"/>
        <v/>
      </c>
    </row>
    <row r="7268" spans="1:12" x14ac:dyDescent="0.25">
      <c r="A7268" s="170" t="s">
        <v>10028</v>
      </c>
      <c r="B7268" s="170" t="s">
        <v>10029</v>
      </c>
      <c r="C7268" s="170" t="s">
        <v>587</v>
      </c>
      <c r="D7268" s="170" t="s">
        <v>2067</v>
      </c>
      <c r="E7268" s="171" t="s">
        <v>2994</v>
      </c>
      <c r="F7268" s="171" t="s">
        <v>9963</v>
      </c>
      <c r="H7268" s="96">
        <f t="shared" si="469"/>
        <v>0.17</v>
      </c>
      <c r="I7268" s="96">
        <f t="shared" si="470"/>
        <v>0.2</v>
      </c>
      <c r="J7268" s="91" t="str">
        <f t="shared" si="471"/>
        <v>Sinapi 95362</v>
      </c>
      <c r="K7268" s="91" t="str">
        <f t="shared" si="472"/>
        <v>H</v>
      </c>
      <c r="L7268" s="166" t="str">
        <f t="shared" si="468"/>
        <v/>
      </c>
    </row>
    <row r="7269" spans="1:12" x14ac:dyDescent="0.25">
      <c r="A7269" s="170" t="s">
        <v>10030</v>
      </c>
      <c r="B7269" s="170" t="s">
        <v>10031</v>
      </c>
      <c r="C7269" s="170" t="s">
        <v>587</v>
      </c>
      <c r="D7269" s="170" t="s">
        <v>2067</v>
      </c>
      <c r="E7269" s="171" t="s">
        <v>3759</v>
      </c>
      <c r="F7269" s="171" t="s">
        <v>2828</v>
      </c>
      <c r="H7269" s="96">
        <f t="shared" si="469"/>
        <v>0.21</v>
      </c>
      <c r="I7269" s="96">
        <f t="shared" si="470"/>
        <v>0.24</v>
      </c>
      <c r="J7269" s="91" t="str">
        <f t="shared" si="471"/>
        <v>Sinapi 95363</v>
      </c>
      <c r="K7269" s="91" t="str">
        <f t="shared" si="472"/>
        <v>H</v>
      </c>
      <c r="L7269" s="166" t="str">
        <f t="shared" si="468"/>
        <v/>
      </c>
    </row>
    <row r="7270" spans="1:12" x14ac:dyDescent="0.25">
      <c r="A7270" s="170" t="s">
        <v>10032</v>
      </c>
      <c r="B7270" s="170" t="s">
        <v>10033</v>
      </c>
      <c r="C7270" s="170" t="s">
        <v>587</v>
      </c>
      <c r="D7270" s="170" t="s">
        <v>2067</v>
      </c>
      <c r="E7270" s="171" t="s">
        <v>2807</v>
      </c>
      <c r="F7270" s="171" t="s">
        <v>2537</v>
      </c>
      <c r="H7270" s="96">
        <f t="shared" si="469"/>
        <v>0.16</v>
      </c>
      <c r="I7270" s="96">
        <f t="shared" si="470"/>
        <v>0.18</v>
      </c>
      <c r="J7270" s="91" t="str">
        <f t="shared" si="471"/>
        <v>Sinapi 95364</v>
      </c>
      <c r="K7270" s="91" t="str">
        <f t="shared" si="472"/>
        <v>H</v>
      </c>
      <c r="L7270" s="166" t="str">
        <f t="shared" si="468"/>
        <v/>
      </c>
    </row>
    <row r="7271" spans="1:12" x14ac:dyDescent="0.25">
      <c r="A7271" s="170" t="s">
        <v>10034</v>
      </c>
      <c r="B7271" s="170" t="s">
        <v>10035</v>
      </c>
      <c r="C7271" s="170" t="s">
        <v>587</v>
      </c>
      <c r="D7271" s="170" t="s">
        <v>2067</v>
      </c>
      <c r="E7271" s="171" t="s">
        <v>2994</v>
      </c>
      <c r="F7271" s="171" t="s">
        <v>9963</v>
      </c>
      <c r="H7271" s="96">
        <f t="shared" si="469"/>
        <v>0.17</v>
      </c>
      <c r="I7271" s="96">
        <f t="shared" si="470"/>
        <v>0.2</v>
      </c>
      <c r="J7271" s="91" t="str">
        <f t="shared" si="471"/>
        <v>Sinapi 95365</v>
      </c>
      <c r="K7271" s="91" t="str">
        <f t="shared" si="472"/>
        <v>H</v>
      </c>
      <c r="L7271" s="166" t="str">
        <f t="shared" si="468"/>
        <v/>
      </c>
    </row>
    <row r="7272" spans="1:12" x14ac:dyDescent="0.25">
      <c r="A7272" s="170" t="s">
        <v>10036</v>
      </c>
      <c r="B7272" s="170" t="s">
        <v>10037</v>
      </c>
      <c r="C7272" s="170" t="s">
        <v>587</v>
      </c>
      <c r="D7272" s="170" t="s">
        <v>2067</v>
      </c>
      <c r="E7272" s="171" t="s">
        <v>2888</v>
      </c>
      <c r="F7272" s="171" t="s">
        <v>2632</v>
      </c>
      <c r="H7272" s="96">
        <f t="shared" si="469"/>
        <v>0.13</v>
      </c>
      <c r="I7272" s="96">
        <f t="shared" si="470"/>
        <v>0.15</v>
      </c>
      <c r="J7272" s="91" t="str">
        <f t="shared" si="471"/>
        <v>Sinapi 95366</v>
      </c>
      <c r="K7272" s="91" t="str">
        <f t="shared" si="472"/>
        <v>H</v>
      </c>
      <c r="L7272" s="166" t="str">
        <f t="shared" si="468"/>
        <v/>
      </c>
    </row>
    <row r="7273" spans="1:12" x14ac:dyDescent="0.25">
      <c r="A7273" s="170" t="s">
        <v>10038</v>
      </c>
      <c r="B7273" s="170" t="s">
        <v>10039</v>
      </c>
      <c r="C7273" s="170" t="s">
        <v>587</v>
      </c>
      <c r="D7273" s="170" t="s">
        <v>2067</v>
      </c>
      <c r="E7273" s="171" t="s">
        <v>2632</v>
      </c>
      <c r="F7273" s="171" t="s">
        <v>2994</v>
      </c>
      <c r="H7273" s="96">
        <f t="shared" si="469"/>
        <v>0.15</v>
      </c>
      <c r="I7273" s="96">
        <f t="shared" si="470"/>
        <v>0.17</v>
      </c>
      <c r="J7273" s="91" t="str">
        <f t="shared" si="471"/>
        <v>Sinapi 95367</v>
      </c>
      <c r="K7273" s="91" t="str">
        <f t="shared" si="472"/>
        <v>H</v>
      </c>
      <c r="L7273" s="166" t="str">
        <f t="shared" si="468"/>
        <v/>
      </c>
    </row>
    <row r="7274" spans="1:12" x14ac:dyDescent="0.25">
      <c r="A7274" s="170" t="s">
        <v>10040</v>
      </c>
      <c r="B7274" s="170" t="s">
        <v>10041</v>
      </c>
      <c r="C7274" s="170" t="s">
        <v>587</v>
      </c>
      <c r="D7274" s="170" t="s">
        <v>2067</v>
      </c>
      <c r="E7274" s="171" t="s">
        <v>9258</v>
      </c>
      <c r="F7274" s="171" t="s">
        <v>2711</v>
      </c>
      <c r="H7274" s="96">
        <f t="shared" si="469"/>
        <v>0.23</v>
      </c>
      <c r="I7274" s="96">
        <f t="shared" si="470"/>
        <v>0.26</v>
      </c>
      <c r="J7274" s="91" t="str">
        <f t="shared" si="471"/>
        <v>Sinapi 95368</v>
      </c>
      <c r="K7274" s="91" t="str">
        <f t="shared" si="472"/>
        <v>H</v>
      </c>
      <c r="L7274" s="166" t="str">
        <f t="shared" si="468"/>
        <v/>
      </c>
    </row>
    <row r="7275" spans="1:12" x14ac:dyDescent="0.25">
      <c r="A7275" s="170" t="s">
        <v>10042</v>
      </c>
      <c r="B7275" s="170" t="s">
        <v>10043</v>
      </c>
      <c r="C7275" s="170" t="s">
        <v>587</v>
      </c>
      <c r="D7275" s="170" t="s">
        <v>2067</v>
      </c>
      <c r="E7275" s="171" t="s">
        <v>2632</v>
      </c>
      <c r="F7275" s="171" t="s">
        <v>2537</v>
      </c>
      <c r="H7275" s="96">
        <f t="shared" si="469"/>
        <v>0.15</v>
      </c>
      <c r="I7275" s="96">
        <f t="shared" si="470"/>
        <v>0.18</v>
      </c>
      <c r="J7275" s="91" t="str">
        <f t="shared" si="471"/>
        <v>Sinapi 95369</v>
      </c>
      <c r="K7275" s="91" t="str">
        <f t="shared" si="472"/>
        <v>H</v>
      </c>
      <c r="L7275" s="166" t="str">
        <f t="shared" si="468"/>
        <v/>
      </c>
    </row>
    <row r="7276" spans="1:12" x14ac:dyDescent="0.25">
      <c r="A7276" s="170" t="s">
        <v>10044</v>
      </c>
      <c r="B7276" s="170" t="s">
        <v>10045</v>
      </c>
      <c r="C7276" s="170" t="s">
        <v>587</v>
      </c>
      <c r="D7276" s="170" t="s">
        <v>2067</v>
      </c>
      <c r="E7276" s="171" t="s">
        <v>3711</v>
      </c>
      <c r="F7276" s="171" t="s">
        <v>2816</v>
      </c>
      <c r="H7276" s="96">
        <f t="shared" si="469"/>
        <v>0.28000000000000003</v>
      </c>
      <c r="I7276" s="96">
        <f t="shared" si="470"/>
        <v>0.33</v>
      </c>
      <c r="J7276" s="91" t="str">
        <f t="shared" si="471"/>
        <v>Sinapi 95370</v>
      </c>
      <c r="K7276" s="91" t="str">
        <f t="shared" si="472"/>
        <v>H</v>
      </c>
      <c r="L7276" s="166" t="str">
        <f t="shared" si="468"/>
        <v/>
      </c>
    </row>
    <row r="7277" spans="1:12" x14ac:dyDescent="0.25">
      <c r="A7277" s="170" t="s">
        <v>10046</v>
      </c>
      <c r="B7277" s="170" t="s">
        <v>10047</v>
      </c>
      <c r="C7277" s="170" t="s">
        <v>587</v>
      </c>
      <c r="D7277" s="170" t="s">
        <v>2710</v>
      </c>
      <c r="E7277" s="171" t="s">
        <v>3886</v>
      </c>
      <c r="F7277" s="171" t="s">
        <v>3689</v>
      </c>
      <c r="H7277" s="96">
        <f t="shared" si="469"/>
        <v>0.38</v>
      </c>
      <c r="I7277" s="96">
        <f t="shared" si="470"/>
        <v>0.44</v>
      </c>
      <c r="J7277" s="91" t="str">
        <f t="shared" si="471"/>
        <v>Sinapi 95371</v>
      </c>
      <c r="K7277" s="91" t="str">
        <f t="shared" si="472"/>
        <v>H</v>
      </c>
      <c r="L7277" s="166" t="str">
        <f t="shared" si="468"/>
        <v/>
      </c>
    </row>
    <row r="7278" spans="1:12" x14ac:dyDescent="0.25">
      <c r="A7278" s="170" t="s">
        <v>10048</v>
      </c>
      <c r="B7278" s="170" t="s">
        <v>10049</v>
      </c>
      <c r="C7278" s="170" t="s">
        <v>587</v>
      </c>
      <c r="D7278" s="170" t="s">
        <v>2710</v>
      </c>
      <c r="E7278" s="171" t="s">
        <v>2711</v>
      </c>
      <c r="F7278" s="171" t="s">
        <v>2718</v>
      </c>
      <c r="H7278" s="96">
        <f t="shared" si="469"/>
        <v>0.26</v>
      </c>
      <c r="I7278" s="96">
        <f t="shared" si="470"/>
        <v>0.3</v>
      </c>
      <c r="J7278" s="91" t="str">
        <f t="shared" si="471"/>
        <v>Sinapi 95372</v>
      </c>
      <c r="K7278" s="91" t="str">
        <f t="shared" si="472"/>
        <v>H</v>
      </c>
      <c r="L7278" s="166" t="str">
        <f t="shared" si="468"/>
        <v/>
      </c>
    </row>
    <row r="7279" spans="1:12" x14ac:dyDescent="0.25">
      <c r="A7279" s="170" t="s">
        <v>10050</v>
      </c>
      <c r="B7279" s="170" t="s">
        <v>10051</v>
      </c>
      <c r="C7279" s="170" t="s">
        <v>587</v>
      </c>
      <c r="D7279" s="170" t="s">
        <v>2067</v>
      </c>
      <c r="E7279" s="171" t="s">
        <v>9259</v>
      </c>
      <c r="F7279" s="171" t="s">
        <v>2981</v>
      </c>
      <c r="H7279" s="96">
        <f t="shared" si="469"/>
        <v>0.25</v>
      </c>
      <c r="I7279" s="96">
        <f t="shared" si="470"/>
        <v>0.28999999999999998</v>
      </c>
      <c r="J7279" s="91" t="str">
        <f t="shared" si="471"/>
        <v>Sinapi 95373</v>
      </c>
      <c r="K7279" s="91" t="str">
        <f t="shared" si="472"/>
        <v>H</v>
      </c>
      <c r="L7279" s="166" t="str">
        <f t="shared" si="468"/>
        <v/>
      </c>
    </row>
    <row r="7280" spans="1:12" x14ac:dyDescent="0.25">
      <c r="A7280" s="170" t="s">
        <v>10052</v>
      </c>
      <c r="B7280" s="170" t="s">
        <v>10053</v>
      </c>
      <c r="C7280" s="170" t="s">
        <v>587</v>
      </c>
      <c r="D7280" s="170" t="s">
        <v>2067</v>
      </c>
      <c r="E7280" s="171" t="s">
        <v>2711</v>
      </c>
      <c r="F7280" s="171" t="s">
        <v>2718</v>
      </c>
      <c r="H7280" s="96">
        <f t="shared" si="469"/>
        <v>0.26</v>
      </c>
      <c r="I7280" s="96">
        <f t="shared" si="470"/>
        <v>0.3</v>
      </c>
      <c r="J7280" s="91" t="str">
        <f t="shared" si="471"/>
        <v>Sinapi 95374</v>
      </c>
      <c r="K7280" s="91" t="str">
        <f t="shared" si="472"/>
        <v>H</v>
      </c>
      <c r="L7280" s="166" t="str">
        <f t="shared" si="468"/>
        <v/>
      </c>
    </row>
    <row r="7281" spans="1:12" x14ac:dyDescent="0.25">
      <c r="A7281" s="170" t="s">
        <v>10054</v>
      </c>
      <c r="B7281" s="170" t="s">
        <v>10055</v>
      </c>
      <c r="C7281" s="170" t="s">
        <v>587</v>
      </c>
      <c r="D7281" s="170" t="s">
        <v>2067</v>
      </c>
      <c r="E7281" s="171" t="s">
        <v>8449</v>
      </c>
      <c r="F7281" s="171" t="s">
        <v>10237</v>
      </c>
      <c r="H7281" s="96">
        <f t="shared" si="469"/>
        <v>0.34</v>
      </c>
      <c r="I7281" s="96">
        <f t="shared" si="470"/>
        <v>0.4</v>
      </c>
      <c r="J7281" s="91" t="str">
        <f t="shared" si="471"/>
        <v>Sinapi 95375</v>
      </c>
      <c r="K7281" s="91" t="str">
        <f t="shared" si="472"/>
        <v>H</v>
      </c>
      <c r="L7281" s="166" t="str">
        <f t="shared" si="468"/>
        <v/>
      </c>
    </row>
    <row r="7282" spans="1:12" x14ac:dyDescent="0.25">
      <c r="A7282" s="170" t="s">
        <v>10056</v>
      </c>
      <c r="B7282" s="170" t="s">
        <v>10057</v>
      </c>
      <c r="C7282" s="170" t="s">
        <v>587</v>
      </c>
      <c r="D7282" s="170" t="s">
        <v>2067</v>
      </c>
      <c r="E7282" s="171" t="s">
        <v>3119</v>
      </c>
      <c r="F7282" s="171" t="s">
        <v>2799</v>
      </c>
      <c r="H7282" s="96">
        <f t="shared" si="469"/>
        <v>7.0000000000000007E-2</v>
      </c>
      <c r="I7282" s="96">
        <f t="shared" si="470"/>
        <v>0.08</v>
      </c>
      <c r="J7282" s="91" t="str">
        <f t="shared" si="471"/>
        <v>Sinapi 95376</v>
      </c>
      <c r="K7282" s="91" t="str">
        <f t="shared" si="472"/>
        <v>H</v>
      </c>
      <c r="L7282" s="166" t="str">
        <f t="shared" si="468"/>
        <v/>
      </c>
    </row>
    <row r="7283" spans="1:12" x14ac:dyDescent="0.25">
      <c r="A7283" s="170" t="s">
        <v>10058</v>
      </c>
      <c r="B7283" s="170" t="s">
        <v>10059</v>
      </c>
      <c r="C7283" s="170" t="s">
        <v>587</v>
      </c>
      <c r="D7283" s="170" t="s">
        <v>2067</v>
      </c>
      <c r="E7283" s="171" t="s">
        <v>9963</v>
      </c>
      <c r="F7283" s="171" t="s">
        <v>2828</v>
      </c>
      <c r="H7283" s="96">
        <f t="shared" si="469"/>
        <v>0.2</v>
      </c>
      <c r="I7283" s="96">
        <f t="shared" si="470"/>
        <v>0.24</v>
      </c>
      <c r="J7283" s="91" t="str">
        <f t="shared" si="471"/>
        <v>Sinapi 95377</v>
      </c>
      <c r="K7283" s="91" t="str">
        <f t="shared" si="472"/>
        <v>H</v>
      </c>
      <c r="L7283" s="166" t="str">
        <f t="shared" si="468"/>
        <v/>
      </c>
    </row>
    <row r="7284" spans="1:12" x14ac:dyDescent="0.25">
      <c r="A7284" s="170" t="s">
        <v>10060</v>
      </c>
      <c r="B7284" s="170" t="s">
        <v>10061</v>
      </c>
      <c r="C7284" s="170" t="s">
        <v>587</v>
      </c>
      <c r="D7284" s="170" t="s">
        <v>2710</v>
      </c>
      <c r="E7284" s="171" t="s">
        <v>9259</v>
      </c>
      <c r="F7284" s="171" t="s">
        <v>2981</v>
      </c>
      <c r="H7284" s="96">
        <f t="shared" si="469"/>
        <v>0.25</v>
      </c>
      <c r="I7284" s="96">
        <f t="shared" si="470"/>
        <v>0.28999999999999998</v>
      </c>
      <c r="J7284" s="91" t="str">
        <f t="shared" si="471"/>
        <v>Sinapi 95378</v>
      </c>
      <c r="K7284" s="91" t="str">
        <f t="shared" si="472"/>
        <v>H</v>
      </c>
      <c r="L7284" s="166" t="str">
        <f t="shared" si="468"/>
        <v/>
      </c>
    </row>
    <row r="7285" spans="1:12" x14ac:dyDescent="0.25">
      <c r="A7285" s="170" t="s">
        <v>10062</v>
      </c>
      <c r="B7285" s="170" t="s">
        <v>10063</v>
      </c>
      <c r="C7285" s="170" t="s">
        <v>587</v>
      </c>
      <c r="D7285" s="170" t="s">
        <v>2710</v>
      </c>
      <c r="E7285" s="171" t="s">
        <v>9963</v>
      </c>
      <c r="F7285" s="171" t="s">
        <v>2828</v>
      </c>
      <c r="H7285" s="96">
        <f t="shared" si="469"/>
        <v>0.2</v>
      </c>
      <c r="I7285" s="96">
        <f t="shared" si="470"/>
        <v>0.24</v>
      </c>
      <c r="J7285" s="91" t="str">
        <f t="shared" si="471"/>
        <v>Sinapi 95379</v>
      </c>
      <c r="K7285" s="91" t="str">
        <f t="shared" si="472"/>
        <v>H</v>
      </c>
      <c r="L7285" s="166" t="str">
        <f t="shared" si="468"/>
        <v/>
      </c>
    </row>
    <row r="7286" spans="1:12" x14ac:dyDescent="0.25">
      <c r="A7286" s="170" t="s">
        <v>10064</v>
      </c>
      <c r="B7286" s="170" t="s">
        <v>10065</v>
      </c>
      <c r="C7286" s="170" t="s">
        <v>587</v>
      </c>
      <c r="D7286" s="170" t="s">
        <v>2067</v>
      </c>
      <c r="E7286" s="171" t="s">
        <v>2828</v>
      </c>
      <c r="F7286" s="171" t="s">
        <v>3711</v>
      </c>
      <c r="H7286" s="96">
        <f t="shared" si="469"/>
        <v>0.24</v>
      </c>
      <c r="I7286" s="96">
        <f t="shared" si="470"/>
        <v>0.28000000000000003</v>
      </c>
      <c r="J7286" s="91" t="str">
        <f t="shared" si="471"/>
        <v>Sinapi 95380</v>
      </c>
      <c r="K7286" s="91" t="str">
        <f t="shared" si="472"/>
        <v>H</v>
      </c>
      <c r="L7286" s="166" t="str">
        <f t="shared" si="468"/>
        <v/>
      </c>
    </row>
    <row r="7287" spans="1:12" x14ac:dyDescent="0.25">
      <c r="A7287" s="170" t="s">
        <v>10066</v>
      </c>
      <c r="B7287" s="170" t="s">
        <v>10067</v>
      </c>
      <c r="C7287" s="170" t="s">
        <v>587</v>
      </c>
      <c r="D7287" s="170" t="s">
        <v>2067</v>
      </c>
      <c r="E7287" s="171" t="s">
        <v>9963</v>
      </c>
      <c r="F7287" s="171" t="s">
        <v>2828</v>
      </c>
      <c r="H7287" s="96">
        <f t="shared" si="469"/>
        <v>0.2</v>
      </c>
      <c r="I7287" s="96">
        <f t="shared" si="470"/>
        <v>0.24</v>
      </c>
      <c r="J7287" s="91" t="str">
        <f t="shared" si="471"/>
        <v>Sinapi 95382</v>
      </c>
      <c r="K7287" s="91" t="str">
        <f t="shared" si="472"/>
        <v>H</v>
      </c>
      <c r="L7287" s="166" t="str">
        <f t="shared" si="468"/>
        <v/>
      </c>
    </row>
    <row r="7288" spans="1:12" x14ac:dyDescent="0.25">
      <c r="A7288" s="170" t="s">
        <v>10068</v>
      </c>
      <c r="B7288" s="170" t="s">
        <v>10069</v>
      </c>
      <c r="C7288" s="170" t="s">
        <v>587</v>
      </c>
      <c r="D7288" s="170" t="s">
        <v>2067</v>
      </c>
      <c r="E7288" s="171" t="s">
        <v>2632</v>
      </c>
      <c r="F7288" s="171" t="s">
        <v>2994</v>
      </c>
      <c r="H7288" s="96">
        <f t="shared" si="469"/>
        <v>0.15</v>
      </c>
      <c r="I7288" s="96">
        <f t="shared" si="470"/>
        <v>0.17</v>
      </c>
      <c r="J7288" s="91" t="str">
        <f t="shared" si="471"/>
        <v>Sinapi 95383</v>
      </c>
      <c r="K7288" s="91" t="str">
        <f t="shared" si="472"/>
        <v>H</v>
      </c>
      <c r="L7288" s="166" t="str">
        <f t="shared" si="468"/>
        <v/>
      </c>
    </row>
    <row r="7289" spans="1:12" x14ac:dyDescent="0.25">
      <c r="A7289" s="170" t="s">
        <v>10070</v>
      </c>
      <c r="B7289" s="170" t="s">
        <v>10071</v>
      </c>
      <c r="C7289" s="170" t="s">
        <v>587</v>
      </c>
      <c r="D7289" s="170" t="s">
        <v>2067</v>
      </c>
      <c r="E7289" s="171" t="s">
        <v>2711</v>
      </c>
      <c r="F7289" s="171" t="s">
        <v>3114</v>
      </c>
      <c r="H7289" s="96">
        <f t="shared" si="469"/>
        <v>0.26</v>
      </c>
      <c r="I7289" s="96">
        <f t="shared" si="470"/>
        <v>0.31</v>
      </c>
      <c r="J7289" s="91" t="str">
        <f t="shared" si="471"/>
        <v>Sinapi 95384</v>
      </c>
      <c r="K7289" s="91" t="str">
        <f t="shared" si="472"/>
        <v>H</v>
      </c>
      <c r="L7289" s="166" t="str">
        <f t="shared" si="468"/>
        <v/>
      </c>
    </row>
    <row r="7290" spans="1:12" x14ac:dyDescent="0.25">
      <c r="A7290" s="170" t="s">
        <v>10072</v>
      </c>
      <c r="B7290" s="170" t="s">
        <v>10073</v>
      </c>
      <c r="C7290" s="170" t="s">
        <v>587</v>
      </c>
      <c r="D7290" s="170" t="s">
        <v>2067</v>
      </c>
      <c r="E7290" s="171" t="s">
        <v>9963</v>
      </c>
      <c r="F7290" s="171" t="s">
        <v>9258</v>
      </c>
      <c r="H7290" s="96">
        <f t="shared" si="469"/>
        <v>0.2</v>
      </c>
      <c r="I7290" s="96">
        <f t="shared" si="470"/>
        <v>0.23</v>
      </c>
      <c r="J7290" s="91" t="str">
        <f t="shared" si="471"/>
        <v>Sinapi 95385</v>
      </c>
      <c r="K7290" s="91" t="str">
        <f t="shared" si="472"/>
        <v>H</v>
      </c>
      <c r="L7290" s="166" t="str">
        <f t="shared" si="468"/>
        <v/>
      </c>
    </row>
    <row r="7291" spans="1:12" x14ac:dyDescent="0.25">
      <c r="A7291" s="170" t="s">
        <v>10074</v>
      </c>
      <c r="B7291" s="170" t="s">
        <v>10075</v>
      </c>
      <c r="C7291" s="170" t="s">
        <v>587</v>
      </c>
      <c r="D7291" s="170" t="s">
        <v>2067</v>
      </c>
      <c r="E7291" s="171" t="s">
        <v>2689</v>
      </c>
      <c r="F7291" s="171" t="s">
        <v>3160</v>
      </c>
      <c r="H7291" s="96">
        <f t="shared" si="469"/>
        <v>0.19</v>
      </c>
      <c r="I7291" s="96">
        <f t="shared" si="470"/>
        <v>0.22</v>
      </c>
      <c r="J7291" s="91" t="str">
        <f t="shared" si="471"/>
        <v>Sinapi 95386</v>
      </c>
      <c r="K7291" s="91" t="str">
        <f t="shared" si="472"/>
        <v>H</v>
      </c>
      <c r="L7291" s="166" t="str">
        <f t="shared" si="468"/>
        <v/>
      </c>
    </row>
    <row r="7292" spans="1:12" x14ac:dyDescent="0.25">
      <c r="A7292" s="170" t="s">
        <v>10076</v>
      </c>
      <c r="B7292" s="170" t="s">
        <v>10077</v>
      </c>
      <c r="C7292" s="170" t="s">
        <v>587</v>
      </c>
      <c r="D7292" s="170" t="s">
        <v>2067</v>
      </c>
      <c r="E7292" s="171" t="s">
        <v>9258</v>
      </c>
      <c r="F7292" s="171" t="s">
        <v>3227</v>
      </c>
      <c r="H7292" s="96">
        <f t="shared" si="469"/>
        <v>0.23</v>
      </c>
      <c r="I7292" s="96">
        <f t="shared" si="470"/>
        <v>0.27</v>
      </c>
      <c r="J7292" s="91" t="str">
        <f t="shared" si="471"/>
        <v>Sinapi 95387</v>
      </c>
      <c r="K7292" s="91" t="str">
        <f t="shared" si="472"/>
        <v>H</v>
      </c>
      <c r="L7292" s="166" t="str">
        <f t="shared" si="468"/>
        <v/>
      </c>
    </row>
    <row r="7293" spans="1:12" x14ac:dyDescent="0.25">
      <c r="A7293" s="170" t="s">
        <v>10078</v>
      </c>
      <c r="B7293" s="170" t="s">
        <v>10079</v>
      </c>
      <c r="C7293" s="170" t="s">
        <v>587</v>
      </c>
      <c r="D7293" s="170" t="s">
        <v>2067</v>
      </c>
      <c r="E7293" s="171" t="s">
        <v>2799</v>
      </c>
      <c r="F7293" s="171" t="s">
        <v>3126</v>
      </c>
      <c r="H7293" s="96">
        <f t="shared" si="469"/>
        <v>0.08</v>
      </c>
      <c r="I7293" s="96">
        <f t="shared" si="470"/>
        <v>0.09</v>
      </c>
      <c r="J7293" s="91" t="str">
        <f t="shared" si="471"/>
        <v>Sinapi 95388</v>
      </c>
      <c r="K7293" s="91" t="str">
        <f t="shared" si="472"/>
        <v>H</v>
      </c>
      <c r="L7293" s="166" t="str">
        <f t="shared" si="468"/>
        <v/>
      </c>
    </row>
    <row r="7294" spans="1:12" x14ac:dyDescent="0.25">
      <c r="A7294" s="170" t="s">
        <v>10080</v>
      </c>
      <c r="B7294" s="170" t="s">
        <v>10081</v>
      </c>
      <c r="C7294" s="170" t="s">
        <v>587</v>
      </c>
      <c r="D7294" s="170" t="s">
        <v>2067</v>
      </c>
      <c r="E7294" s="171" t="s">
        <v>2888</v>
      </c>
      <c r="F7294" s="171" t="s">
        <v>2632</v>
      </c>
      <c r="H7294" s="96">
        <f t="shared" si="469"/>
        <v>0.13</v>
      </c>
      <c r="I7294" s="96">
        <f t="shared" si="470"/>
        <v>0.15</v>
      </c>
      <c r="J7294" s="91" t="str">
        <f t="shared" si="471"/>
        <v>Sinapi 95389</v>
      </c>
      <c r="K7294" s="91" t="str">
        <f t="shared" si="472"/>
        <v>H</v>
      </c>
      <c r="L7294" s="166" t="str">
        <f t="shared" si="468"/>
        <v/>
      </c>
    </row>
    <row r="7295" spans="1:12" x14ac:dyDescent="0.25">
      <c r="A7295" s="170" t="s">
        <v>10082</v>
      </c>
      <c r="B7295" s="170" t="s">
        <v>10083</v>
      </c>
      <c r="C7295" s="170" t="s">
        <v>587</v>
      </c>
      <c r="D7295" s="170" t="s">
        <v>2067</v>
      </c>
      <c r="E7295" s="171" t="s">
        <v>2575</v>
      </c>
      <c r="F7295" s="171" t="s">
        <v>3119</v>
      </c>
      <c r="H7295" s="96">
        <f t="shared" si="469"/>
        <v>0.06</v>
      </c>
      <c r="I7295" s="96">
        <f t="shared" si="470"/>
        <v>7.0000000000000007E-2</v>
      </c>
      <c r="J7295" s="91" t="str">
        <f t="shared" si="471"/>
        <v>Sinapi 95390</v>
      </c>
      <c r="K7295" s="91" t="str">
        <f t="shared" si="472"/>
        <v>H</v>
      </c>
      <c r="L7295" s="166" t="str">
        <f t="shared" si="468"/>
        <v/>
      </c>
    </row>
    <row r="7296" spans="1:12" x14ac:dyDescent="0.25">
      <c r="A7296" s="170" t="s">
        <v>10084</v>
      </c>
      <c r="B7296" s="170" t="s">
        <v>10085</v>
      </c>
      <c r="C7296" s="170" t="s">
        <v>587</v>
      </c>
      <c r="D7296" s="170" t="s">
        <v>2067</v>
      </c>
      <c r="E7296" s="171" t="s">
        <v>2888</v>
      </c>
      <c r="F7296" s="171" t="s">
        <v>2632</v>
      </c>
      <c r="H7296" s="96">
        <f t="shared" si="469"/>
        <v>0.13</v>
      </c>
      <c r="I7296" s="96">
        <f t="shared" si="470"/>
        <v>0.15</v>
      </c>
      <c r="J7296" s="91" t="str">
        <f t="shared" si="471"/>
        <v>Sinapi 95391</v>
      </c>
      <c r="K7296" s="91" t="str">
        <f t="shared" si="472"/>
        <v>H</v>
      </c>
      <c r="L7296" s="166" t="str">
        <f t="shared" si="468"/>
        <v/>
      </c>
    </row>
    <row r="7297" spans="1:12" x14ac:dyDescent="0.25">
      <c r="A7297" s="170" t="s">
        <v>10086</v>
      </c>
      <c r="B7297" s="170" t="s">
        <v>10087</v>
      </c>
      <c r="C7297" s="170" t="s">
        <v>587</v>
      </c>
      <c r="D7297" s="170" t="s">
        <v>2710</v>
      </c>
      <c r="E7297" s="171" t="s">
        <v>3119</v>
      </c>
      <c r="F7297" s="171" t="s">
        <v>2799</v>
      </c>
      <c r="H7297" s="96">
        <f t="shared" si="469"/>
        <v>7.0000000000000007E-2</v>
      </c>
      <c r="I7297" s="96">
        <f t="shared" si="470"/>
        <v>0.08</v>
      </c>
      <c r="J7297" s="91" t="str">
        <f t="shared" si="471"/>
        <v>Sinapi 95392</v>
      </c>
      <c r="K7297" s="91" t="str">
        <f t="shared" si="472"/>
        <v>H</v>
      </c>
      <c r="L7297" s="166" t="str">
        <f t="shared" si="468"/>
        <v/>
      </c>
    </row>
    <row r="7298" spans="1:12" x14ac:dyDescent="0.25">
      <c r="A7298" s="170" t="s">
        <v>10088</v>
      </c>
      <c r="B7298" s="170" t="s">
        <v>10089</v>
      </c>
      <c r="C7298" s="170" t="s">
        <v>587</v>
      </c>
      <c r="D7298" s="170" t="s">
        <v>2067</v>
      </c>
      <c r="E7298" s="171" t="s">
        <v>2718</v>
      </c>
      <c r="F7298" s="171" t="s">
        <v>8449</v>
      </c>
      <c r="H7298" s="96">
        <f t="shared" si="469"/>
        <v>0.3</v>
      </c>
      <c r="I7298" s="96">
        <f t="shared" si="470"/>
        <v>0.34</v>
      </c>
      <c r="J7298" s="91" t="str">
        <f t="shared" si="471"/>
        <v>Sinapi 95393</v>
      </c>
      <c r="K7298" s="91" t="str">
        <f t="shared" si="472"/>
        <v>H</v>
      </c>
      <c r="L7298" s="166" t="str">
        <f t="shared" si="468"/>
        <v/>
      </c>
    </row>
    <row r="7299" spans="1:12" x14ac:dyDescent="0.25">
      <c r="A7299" s="170" t="s">
        <v>10090</v>
      </c>
      <c r="B7299" s="170" t="s">
        <v>10091</v>
      </c>
      <c r="C7299" s="170" t="s">
        <v>587</v>
      </c>
      <c r="D7299" s="170" t="s">
        <v>2067</v>
      </c>
      <c r="E7299" s="171" t="s">
        <v>15760</v>
      </c>
      <c r="F7299" s="171" t="s">
        <v>3780</v>
      </c>
      <c r="H7299" s="96">
        <f t="shared" si="469"/>
        <v>0.6</v>
      </c>
      <c r="I7299" s="96">
        <f t="shared" si="470"/>
        <v>0.7</v>
      </c>
      <c r="J7299" s="91" t="str">
        <f t="shared" si="471"/>
        <v>Sinapi 95394</v>
      </c>
      <c r="K7299" s="91" t="str">
        <f t="shared" si="472"/>
        <v>H</v>
      </c>
      <c r="L7299" s="166" t="str">
        <f t="shared" si="468"/>
        <v/>
      </c>
    </row>
    <row r="7300" spans="1:12" x14ac:dyDescent="0.25">
      <c r="A7300" s="170" t="s">
        <v>10092</v>
      </c>
      <c r="B7300" s="170" t="s">
        <v>10093</v>
      </c>
      <c r="C7300" s="170" t="s">
        <v>587</v>
      </c>
      <c r="D7300" s="170" t="s">
        <v>2067</v>
      </c>
      <c r="E7300" s="171" t="s">
        <v>14927</v>
      </c>
      <c r="F7300" s="171" t="s">
        <v>8326</v>
      </c>
      <c r="H7300" s="96">
        <f t="shared" si="469"/>
        <v>0.86</v>
      </c>
      <c r="I7300" s="96">
        <f t="shared" si="470"/>
        <v>1</v>
      </c>
      <c r="J7300" s="91" t="str">
        <f t="shared" si="471"/>
        <v>Sinapi 95395</v>
      </c>
      <c r="K7300" s="91" t="str">
        <f t="shared" si="472"/>
        <v>H</v>
      </c>
      <c r="L7300" s="166" t="str">
        <f t="shared" si="468"/>
        <v/>
      </c>
    </row>
    <row r="7301" spans="1:12" x14ac:dyDescent="0.25">
      <c r="A7301" s="170" t="s">
        <v>10094</v>
      </c>
      <c r="B7301" s="170" t="s">
        <v>10095</v>
      </c>
      <c r="C7301" s="170" t="s">
        <v>587</v>
      </c>
      <c r="D7301" s="170" t="s">
        <v>2067</v>
      </c>
      <c r="E7301" s="171" t="s">
        <v>3076</v>
      </c>
      <c r="F7301" s="171" t="s">
        <v>17447</v>
      </c>
      <c r="H7301" s="96">
        <f t="shared" si="469"/>
        <v>1.1399999999999999</v>
      </c>
      <c r="I7301" s="96">
        <f t="shared" si="470"/>
        <v>1.32</v>
      </c>
      <c r="J7301" s="91" t="str">
        <f t="shared" si="471"/>
        <v>Sinapi 95396</v>
      </c>
      <c r="K7301" s="91" t="str">
        <f t="shared" si="472"/>
        <v>H</v>
      </c>
      <c r="L7301" s="166" t="str">
        <f t="shared" si="468"/>
        <v/>
      </c>
    </row>
    <row r="7302" spans="1:12" x14ac:dyDescent="0.25">
      <c r="A7302" s="170" t="s">
        <v>10096</v>
      </c>
      <c r="B7302" s="170" t="s">
        <v>10097</v>
      </c>
      <c r="C7302" s="170" t="s">
        <v>587</v>
      </c>
      <c r="D7302" s="170" t="s">
        <v>2067</v>
      </c>
      <c r="E7302" s="171" t="s">
        <v>3648</v>
      </c>
      <c r="F7302" s="171" t="s">
        <v>3271</v>
      </c>
      <c r="H7302" s="96">
        <f t="shared" si="469"/>
        <v>0.1</v>
      </c>
      <c r="I7302" s="96">
        <f t="shared" si="470"/>
        <v>0.11</v>
      </c>
      <c r="J7302" s="91" t="str">
        <f t="shared" si="471"/>
        <v>Sinapi 95397</v>
      </c>
      <c r="K7302" s="91" t="str">
        <f t="shared" si="472"/>
        <v>H</v>
      </c>
      <c r="L7302" s="166" t="str">
        <f t="shared" si="468"/>
        <v/>
      </c>
    </row>
    <row r="7303" spans="1:12" x14ac:dyDescent="0.25">
      <c r="A7303" s="170" t="s">
        <v>10098</v>
      </c>
      <c r="B7303" s="170" t="s">
        <v>10099</v>
      </c>
      <c r="C7303" s="170" t="s">
        <v>587</v>
      </c>
      <c r="D7303" s="170" t="s">
        <v>2067</v>
      </c>
      <c r="E7303" s="171" t="s">
        <v>2575</v>
      </c>
      <c r="F7303" s="171" t="s">
        <v>2799</v>
      </c>
      <c r="H7303" s="96">
        <f t="shared" si="469"/>
        <v>0.06</v>
      </c>
      <c r="I7303" s="96">
        <f t="shared" si="470"/>
        <v>0.08</v>
      </c>
      <c r="J7303" s="91" t="str">
        <f t="shared" si="471"/>
        <v>Sinapi 95398</v>
      </c>
      <c r="K7303" s="91" t="str">
        <f t="shared" si="472"/>
        <v>H</v>
      </c>
      <c r="L7303" s="166" t="str">
        <f t="shared" si="468"/>
        <v/>
      </c>
    </row>
    <row r="7304" spans="1:12" x14ac:dyDescent="0.25">
      <c r="A7304" s="170" t="s">
        <v>10100</v>
      </c>
      <c r="B7304" s="170" t="s">
        <v>10101</v>
      </c>
      <c r="C7304" s="170" t="s">
        <v>587</v>
      </c>
      <c r="D7304" s="170" t="s">
        <v>2067</v>
      </c>
      <c r="E7304" s="171" t="s">
        <v>2799</v>
      </c>
      <c r="F7304" s="171" t="s">
        <v>3126</v>
      </c>
      <c r="H7304" s="96">
        <f t="shared" si="469"/>
        <v>0.08</v>
      </c>
      <c r="I7304" s="96">
        <f t="shared" si="470"/>
        <v>0.09</v>
      </c>
      <c r="J7304" s="91" t="str">
        <f t="shared" si="471"/>
        <v>Sinapi 95399</v>
      </c>
      <c r="K7304" s="91" t="str">
        <f t="shared" si="472"/>
        <v>H</v>
      </c>
      <c r="L7304" s="166" t="str">
        <f t="shared" ref="L7304:L7367" si="473">IF(OR(RIGHT(IF(AND(K7304&lt;&gt;"H",K7304&lt;&gt;"MES"),RIGHT(B7304,7),""),2)="PS",RIGHT(IF(AND(K7304&lt;&gt;"H",K7304&lt;&gt;"MES"),RIGHT(B7304,7),""),2)="PA",RIGHT(IF(AND(K7304&lt;&gt;"H",K7304&lt;&gt;"MES"),RIGHT(B7304,7),""),2)="PE"),LEFT(IF(AND(K7304&lt;&gt;"H",K7304&lt;&gt;"MES"),RIGHT(B7304,10),""),7),IF(AND(K7304&lt;&gt;"H",K7304&lt;&gt;"MES"),RIGHT(B7304,7),""))</f>
        <v/>
      </c>
    </row>
    <row r="7305" spans="1:12" x14ac:dyDescent="0.25">
      <c r="A7305" s="170" t="s">
        <v>10102</v>
      </c>
      <c r="B7305" s="170" t="s">
        <v>10103</v>
      </c>
      <c r="C7305" s="170" t="s">
        <v>587</v>
      </c>
      <c r="D7305" s="170" t="s">
        <v>2067</v>
      </c>
      <c r="E7305" s="171" t="s">
        <v>3126</v>
      </c>
      <c r="F7305" s="171" t="s">
        <v>3648</v>
      </c>
      <c r="H7305" s="96">
        <f t="shared" si="469"/>
        <v>0.09</v>
      </c>
      <c r="I7305" s="96">
        <f t="shared" si="470"/>
        <v>0.1</v>
      </c>
      <c r="J7305" s="91" t="str">
        <f t="shared" si="471"/>
        <v>Sinapi 95400</v>
      </c>
      <c r="K7305" s="91" t="str">
        <f t="shared" si="472"/>
        <v>H</v>
      </c>
      <c r="L7305" s="166" t="str">
        <f t="shared" si="473"/>
        <v/>
      </c>
    </row>
    <row r="7306" spans="1:12" x14ac:dyDescent="0.25">
      <c r="A7306" s="170" t="s">
        <v>10104</v>
      </c>
      <c r="B7306" s="170" t="s">
        <v>10105</v>
      </c>
      <c r="C7306" s="170" t="s">
        <v>587</v>
      </c>
      <c r="D7306" s="170" t="s">
        <v>2710</v>
      </c>
      <c r="E7306" s="171" t="s">
        <v>22890</v>
      </c>
      <c r="F7306" s="171" t="s">
        <v>3780</v>
      </c>
      <c r="H7306" s="96">
        <f t="shared" si="469"/>
        <v>0.61</v>
      </c>
      <c r="I7306" s="96">
        <f t="shared" si="470"/>
        <v>0.7</v>
      </c>
      <c r="J7306" s="91" t="str">
        <f t="shared" si="471"/>
        <v>Sinapi 95401</v>
      </c>
      <c r="K7306" s="91" t="str">
        <f t="shared" si="472"/>
        <v>H</v>
      </c>
      <c r="L7306" s="166" t="str">
        <f t="shared" si="473"/>
        <v/>
      </c>
    </row>
    <row r="7307" spans="1:12" x14ac:dyDescent="0.25">
      <c r="A7307" s="170" t="s">
        <v>10106</v>
      </c>
      <c r="B7307" s="170" t="s">
        <v>10107</v>
      </c>
      <c r="C7307" s="170" t="s">
        <v>587</v>
      </c>
      <c r="D7307" s="170" t="s">
        <v>2710</v>
      </c>
      <c r="E7307" s="171" t="s">
        <v>17927</v>
      </c>
      <c r="F7307" s="171" t="s">
        <v>29654</v>
      </c>
      <c r="H7307" s="96">
        <f t="shared" si="469"/>
        <v>1.46</v>
      </c>
      <c r="I7307" s="96">
        <f t="shared" si="470"/>
        <v>1.7</v>
      </c>
      <c r="J7307" s="91" t="str">
        <f t="shared" si="471"/>
        <v>Sinapi 95402</v>
      </c>
      <c r="K7307" s="91" t="str">
        <f t="shared" si="472"/>
        <v>H</v>
      </c>
      <c r="L7307" s="166" t="str">
        <f t="shared" si="473"/>
        <v/>
      </c>
    </row>
    <row r="7308" spans="1:12" x14ac:dyDescent="0.25">
      <c r="A7308" s="170" t="s">
        <v>10108</v>
      </c>
      <c r="B7308" s="170" t="s">
        <v>10109</v>
      </c>
      <c r="C7308" s="170" t="s">
        <v>587</v>
      </c>
      <c r="D7308" s="170" t="s">
        <v>2067</v>
      </c>
      <c r="E7308" s="171" t="s">
        <v>17291</v>
      </c>
      <c r="F7308" s="171" t="s">
        <v>2121</v>
      </c>
      <c r="H7308" s="96">
        <f t="shared" si="469"/>
        <v>1.67</v>
      </c>
      <c r="I7308" s="96">
        <f t="shared" si="470"/>
        <v>1.94</v>
      </c>
      <c r="J7308" s="91" t="str">
        <f t="shared" si="471"/>
        <v>Sinapi 95403</v>
      </c>
      <c r="K7308" s="91" t="str">
        <f t="shared" si="472"/>
        <v>H</v>
      </c>
      <c r="L7308" s="166" t="str">
        <f t="shared" si="473"/>
        <v/>
      </c>
    </row>
    <row r="7309" spans="1:12" x14ac:dyDescent="0.25">
      <c r="A7309" s="170" t="s">
        <v>10111</v>
      </c>
      <c r="B7309" s="170" t="s">
        <v>10112</v>
      </c>
      <c r="C7309" s="170" t="s">
        <v>587</v>
      </c>
      <c r="D7309" s="170" t="s">
        <v>2067</v>
      </c>
      <c r="E7309" s="171" t="s">
        <v>34863</v>
      </c>
      <c r="F7309" s="171" t="s">
        <v>15648</v>
      </c>
      <c r="H7309" s="96">
        <f t="shared" si="469"/>
        <v>2.2799999999999998</v>
      </c>
      <c r="I7309" s="96">
        <f t="shared" si="470"/>
        <v>2.65</v>
      </c>
      <c r="J7309" s="91" t="str">
        <f t="shared" si="471"/>
        <v>Sinapi 95404</v>
      </c>
      <c r="K7309" s="91" t="str">
        <f t="shared" si="472"/>
        <v>H</v>
      </c>
      <c r="L7309" s="166" t="str">
        <f t="shared" si="473"/>
        <v/>
      </c>
    </row>
    <row r="7310" spans="1:12" x14ac:dyDescent="0.25">
      <c r="A7310" s="170" t="s">
        <v>10113</v>
      </c>
      <c r="B7310" s="170" t="s">
        <v>10114</v>
      </c>
      <c r="C7310" s="170" t="s">
        <v>587</v>
      </c>
      <c r="D7310" s="170" t="s">
        <v>2067</v>
      </c>
      <c r="E7310" s="171" t="s">
        <v>15674</v>
      </c>
      <c r="F7310" s="171" t="s">
        <v>11182</v>
      </c>
      <c r="H7310" s="96">
        <f t="shared" si="469"/>
        <v>0.75</v>
      </c>
      <c r="I7310" s="96">
        <f t="shared" si="470"/>
        <v>0.88</v>
      </c>
      <c r="J7310" s="91" t="str">
        <f t="shared" si="471"/>
        <v>Sinapi 95405</v>
      </c>
      <c r="K7310" s="91" t="str">
        <f t="shared" si="472"/>
        <v>H</v>
      </c>
      <c r="L7310" s="166" t="str">
        <f t="shared" si="473"/>
        <v/>
      </c>
    </row>
    <row r="7311" spans="1:12" x14ac:dyDescent="0.25">
      <c r="A7311" s="170" t="s">
        <v>10115</v>
      </c>
      <c r="B7311" s="170" t="s">
        <v>10116</v>
      </c>
      <c r="C7311" s="170" t="s">
        <v>587</v>
      </c>
      <c r="D7311" s="170" t="s">
        <v>2710</v>
      </c>
      <c r="E7311" s="171" t="s">
        <v>3160</v>
      </c>
      <c r="F7311" s="171" t="s">
        <v>2711</v>
      </c>
      <c r="H7311" s="96">
        <f t="shared" si="469"/>
        <v>0.22</v>
      </c>
      <c r="I7311" s="96">
        <f t="shared" si="470"/>
        <v>0.26</v>
      </c>
      <c r="J7311" s="91" t="str">
        <f t="shared" si="471"/>
        <v>Sinapi 95406</v>
      </c>
      <c r="K7311" s="91" t="str">
        <f t="shared" si="472"/>
        <v>H</v>
      </c>
      <c r="L7311" s="166" t="str">
        <f t="shared" si="473"/>
        <v/>
      </c>
    </row>
    <row r="7312" spans="1:12" x14ac:dyDescent="0.25">
      <c r="A7312" s="170" t="s">
        <v>10117</v>
      </c>
      <c r="B7312" s="170" t="s">
        <v>10118</v>
      </c>
      <c r="C7312" s="170" t="s">
        <v>587</v>
      </c>
      <c r="D7312" s="170" t="s">
        <v>2067</v>
      </c>
      <c r="E7312" s="171" t="s">
        <v>21018</v>
      </c>
      <c r="F7312" s="171" t="s">
        <v>21868</v>
      </c>
      <c r="H7312" s="96">
        <f t="shared" si="469"/>
        <v>4.91</v>
      </c>
      <c r="I7312" s="96">
        <f t="shared" si="470"/>
        <v>5.71</v>
      </c>
      <c r="J7312" s="91" t="str">
        <f t="shared" si="471"/>
        <v>Sinapi 95407</v>
      </c>
      <c r="K7312" s="91" t="str">
        <f t="shared" si="472"/>
        <v>H</v>
      </c>
      <c r="L7312" s="166" t="str">
        <f t="shared" si="473"/>
        <v/>
      </c>
    </row>
    <row r="7313" spans="1:12" x14ac:dyDescent="0.25">
      <c r="A7313" s="170" t="s">
        <v>10119</v>
      </c>
      <c r="B7313" s="170" t="s">
        <v>10120</v>
      </c>
      <c r="C7313" s="170" t="s">
        <v>89</v>
      </c>
      <c r="D7313" s="170" t="s">
        <v>2067</v>
      </c>
      <c r="E7313" s="171" t="s">
        <v>8265</v>
      </c>
      <c r="F7313" s="171" t="s">
        <v>10258</v>
      </c>
      <c r="H7313" s="96">
        <f t="shared" si="469"/>
        <v>11.95</v>
      </c>
      <c r="I7313" s="96">
        <f t="shared" si="470"/>
        <v>13.89</v>
      </c>
      <c r="J7313" s="91" t="str">
        <f t="shared" si="471"/>
        <v>Sinapi 95408</v>
      </c>
      <c r="K7313" s="91" t="str">
        <f t="shared" si="472"/>
        <v>MES</v>
      </c>
      <c r="L7313" s="166" t="str">
        <f t="shared" si="473"/>
        <v/>
      </c>
    </row>
    <row r="7314" spans="1:12" x14ac:dyDescent="0.25">
      <c r="A7314" s="170" t="s">
        <v>10121</v>
      </c>
      <c r="B7314" s="170" t="s">
        <v>10122</v>
      </c>
      <c r="C7314" s="170" t="s">
        <v>89</v>
      </c>
      <c r="D7314" s="170" t="s">
        <v>2067</v>
      </c>
      <c r="E7314" s="171" t="s">
        <v>19318</v>
      </c>
      <c r="F7314" s="171" t="s">
        <v>4187</v>
      </c>
      <c r="H7314" s="96">
        <f t="shared" si="469"/>
        <v>17.12</v>
      </c>
      <c r="I7314" s="96">
        <f t="shared" si="470"/>
        <v>19.899999999999999</v>
      </c>
      <c r="J7314" s="91" t="str">
        <f t="shared" si="471"/>
        <v>Sinapi 95409</v>
      </c>
      <c r="K7314" s="91" t="str">
        <f t="shared" si="472"/>
        <v>MES</v>
      </c>
      <c r="L7314" s="166" t="str">
        <f t="shared" si="473"/>
        <v/>
      </c>
    </row>
    <row r="7315" spans="1:12" x14ac:dyDescent="0.25">
      <c r="A7315" s="170" t="s">
        <v>10123</v>
      </c>
      <c r="B7315" s="170" t="s">
        <v>10124</v>
      </c>
      <c r="C7315" s="170" t="s">
        <v>89</v>
      </c>
      <c r="D7315" s="170" t="s">
        <v>2067</v>
      </c>
      <c r="E7315" s="171" t="s">
        <v>11276</v>
      </c>
      <c r="F7315" s="171" t="s">
        <v>21200</v>
      </c>
      <c r="H7315" s="96">
        <f t="shared" si="469"/>
        <v>10.81</v>
      </c>
      <c r="I7315" s="96">
        <f t="shared" si="470"/>
        <v>12.56</v>
      </c>
      <c r="J7315" s="91" t="str">
        <f t="shared" si="471"/>
        <v>Sinapi 95410</v>
      </c>
      <c r="K7315" s="91" t="str">
        <f t="shared" si="472"/>
        <v>MES</v>
      </c>
      <c r="L7315" s="166" t="str">
        <f t="shared" si="473"/>
        <v/>
      </c>
    </row>
    <row r="7316" spans="1:12" x14ac:dyDescent="0.25">
      <c r="A7316" s="170" t="s">
        <v>10125</v>
      </c>
      <c r="B7316" s="170" t="s">
        <v>10126</v>
      </c>
      <c r="C7316" s="170" t="s">
        <v>89</v>
      </c>
      <c r="D7316" s="170" t="s">
        <v>2067</v>
      </c>
      <c r="E7316" s="171" t="s">
        <v>22023</v>
      </c>
      <c r="F7316" s="171" t="s">
        <v>19367</v>
      </c>
      <c r="H7316" s="96">
        <f t="shared" si="469"/>
        <v>12.35</v>
      </c>
      <c r="I7316" s="96">
        <f t="shared" si="470"/>
        <v>14.36</v>
      </c>
      <c r="J7316" s="91" t="str">
        <f t="shared" si="471"/>
        <v>Sinapi 95411</v>
      </c>
      <c r="K7316" s="91" t="str">
        <f t="shared" si="472"/>
        <v>MES</v>
      </c>
      <c r="L7316" s="166" t="str">
        <f t="shared" si="473"/>
        <v/>
      </c>
    </row>
    <row r="7317" spans="1:12" x14ac:dyDescent="0.25">
      <c r="A7317" s="170" t="s">
        <v>10127</v>
      </c>
      <c r="B7317" s="170" t="s">
        <v>10128</v>
      </c>
      <c r="C7317" s="170" t="s">
        <v>89</v>
      </c>
      <c r="D7317" s="170" t="s">
        <v>2067</v>
      </c>
      <c r="E7317" s="171" t="s">
        <v>14937</v>
      </c>
      <c r="F7317" s="171" t="s">
        <v>14340</v>
      </c>
      <c r="H7317" s="96">
        <f t="shared" si="469"/>
        <v>13.41</v>
      </c>
      <c r="I7317" s="96">
        <f t="shared" si="470"/>
        <v>15.59</v>
      </c>
      <c r="J7317" s="91" t="str">
        <f t="shared" si="471"/>
        <v>Sinapi 95412</v>
      </c>
      <c r="K7317" s="91" t="str">
        <f t="shared" si="472"/>
        <v>MES</v>
      </c>
      <c r="L7317" s="166" t="str">
        <f t="shared" si="473"/>
        <v/>
      </c>
    </row>
    <row r="7318" spans="1:12" x14ac:dyDescent="0.25">
      <c r="A7318" s="170" t="s">
        <v>10129</v>
      </c>
      <c r="B7318" s="170" t="s">
        <v>10130</v>
      </c>
      <c r="C7318" s="170" t="s">
        <v>89</v>
      </c>
      <c r="D7318" s="170" t="s">
        <v>2067</v>
      </c>
      <c r="E7318" s="171" t="s">
        <v>34959</v>
      </c>
      <c r="F7318" s="171" t="s">
        <v>11605</v>
      </c>
      <c r="H7318" s="96">
        <f t="shared" si="469"/>
        <v>9.44</v>
      </c>
      <c r="I7318" s="96">
        <f t="shared" si="470"/>
        <v>10.97</v>
      </c>
      <c r="J7318" s="91" t="str">
        <f t="shared" si="471"/>
        <v>Sinapi 95413</v>
      </c>
      <c r="K7318" s="91" t="str">
        <f t="shared" si="472"/>
        <v>MES</v>
      </c>
      <c r="L7318" s="166" t="str">
        <f t="shared" si="473"/>
        <v/>
      </c>
    </row>
    <row r="7319" spans="1:12" x14ac:dyDescent="0.25">
      <c r="A7319" s="170" t="s">
        <v>10131</v>
      </c>
      <c r="B7319" s="170" t="s">
        <v>10132</v>
      </c>
      <c r="C7319" s="170" t="s">
        <v>89</v>
      </c>
      <c r="D7319" s="170" t="s">
        <v>2067</v>
      </c>
      <c r="E7319" s="171" t="s">
        <v>31794</v>
      </c>
      <c r="F7319" s="171" t="s">
        <v>36976</v>
      </c>
      <c r="H7319" s="96">
        <f t="shared" si="469"/>
        <v>39.35</v>
      </c>
      <c r="I7319" s="96">
        <f t="shared" si="470"/>
        <v>45.74</v>
      </c>
      <c r="J7319" s="91" t="str">
        <f t="shared" si="471"/>
        <v>Sinapi 95414</v>
      </c>
      <c r="K7319" s="91" t="str">
        <f t="shared" si="472"/>
        <v>MES</v>
      </c>
      <c r="L7319" s="166" t="str">
        <f t="shared" si="473"/>
        <v/>
      </c>
    </row>
    <row r="7320" spans="1:12" x14ac:dyDescent="0.25">
      <c r="A7320" s="170" t="s">
        <v>10133</v>
      </c>
      <c r="B7320" s="170" t="s">
        <v>10134</v>
      </c>
      <c r="C7320" s="170" t="s">
        <v>89</v>
      </c>
      <c r="D7320" s="170" t="s">
        <v>2067</v>
      </c>
      <c r="E7320" s="171" t="s">
        <v>34960</v>
      </c>
      <c r="F7320" s="171" t="s">
        <v>38025</v>
      </c>
      <c r="H7320" s="96">
        <f t="shared" si="469"/>
        <v>192.18</v>
      </c>
      <c r="I7320" s="96">
        <f t="shared" si="470"/>
        <v>223.38</v>
      </c>
      <c r="J7320" s="91" t="str">
        <f t="shared" si="471"/>
        <v>Sinapi 95415</v>
      </c>
      <c r="K7320" s="91" t="str">
        <f t="shared" si="472"/>
        <v>MES</v>
      </c>
      <c r="L7320" s="166" t="str">
        <f t="shared" si="473"/>
        <v/>
      </c>
    </row>
    <row r="7321" spans="1:12" x14ac:dyDescent="0.25">
      <c r="A7321" s="170" t="s">
        <v>10135</v>
      </c>
      <c r="B7321" s="170" t="s">
        <v>10136</v>
      </c>
      <c r="C7321" s="170" t="s">
        <v>89</v>
      </c>
      <c r="D7321" s="170" t="s">
        <v>2067</v>
      </c>
      <c r="E7321" s="171" t="s">
        <v>16404</v>
      </c>
      <c r="F7321" s="171" t="s">
        <v>15630</v>
      </c>
      <c r="H7321" s="96">
        <f t="shared" ref="H7321:H7384" si="474">IF(E7321="","",E7321+0)</f>
        <v>9.0500000000000007</v>
      </c>
      <c r="I7321" s="96">
        <f t="shared" ref="I7321:I7384" si="475">IF(F7321="","",F7321+0)</f>
        <v>10.52</v>
      </c>
      <c r="J7321" s="91" t="str">
        <f t="shared" ref="J7321:J7384" si="476">IF(OR(H7321="",I7321=""),"",TRIM(CONCATENATE("Sinapi ",A7321)))</f>
        <v>Sinapi 95416</v>
      </c>
      <c r="K7321" s="91" t="str">
        <f t="shared" ref="K7321:K7384" si="477">TRIM(C7321)</f>
        <v>MES</v>
      </c>
      <c r="L7321" s="166" t="str">
        <f t="shared" si="473"/>
        <v/>
      </c>
    </row>
    <row r="7322" spans="1:12" x14ac:dyDescent="0.25">
      <c r="A7322" s="170" t="s">
        <v>10137</v>
      </c>
      <c r="B7322" s="170" t="s">
        <v>10138</v>
      </c>
      <c r="C7322" s="170" t="s">
        <v>89</v>
      </c>
      <c r="D7322" s="170" t="s">
        <v>2067</v>
      </c>
      <c r="E7322" s="171" t="s">
        <v>34961</v>
      </c>
      <c r="F7322" s="171" t="s">
        <v>38026</v>
      </c>
      <c r="H7322" s="96">
        <f t="shared" si="474"/>
        <v>218.74</v>
      </c>
      <c r="I7322" s="96">
        <f t="shared" si="475"/>
        <v>254.25</v>
      </c>
      <c r="J7322" s="91" t="str">
        <f t="shared" si="476"/>
        <v>Sinapi 95417</v>
      </c>
      <c r="K7322" s="91" t="str">
        <f t="shared" si="477"/>
        <v>MES</v>
      </c>
      <c r="L7322" s="166" t="str">
        <f t="shared" si="473"/>
        <v/>
      </c>
    </row>
    <row r="7323" spans="1:12" x14ac:dyDescent="0.25">
      <c r="A7323" s="170" t="s">
        <v>10139</v>
      </c>
      <c r="B7323" s="170" t="s">
        <v>10140</v>
      </c>
      <c r="C7323" s="170" t="s">
        <v>89</v>
      </c>
      <c r="D7323" s="170" t="s">
        <v>2067</v>
      </c>
      <c r="E7323" s="171" t="s">
        <v>34962</v>
      </c>
      <c r="F7323" s="171" t="s">
        <v>38027</v>
      </c>
      <c r="H7323" s="96">
        <f t="shared" si="474"/>
        <v>299.01</v>
      </c>
      <c r="I7323" s="96">
        <f t="shared" si="475"/>
        <v>347.56</v>
      </c>
      <c r="J7323" s="91" t="str">
        <f t="shared" si="476"/>
        <v>Sinapi 95418</v>
      </c>
      <c r="K7323" s="91" t="str">
        <f t="shared" si="477"/>
        <v>MES</v>
      </c>
      <c r="L7323" s="166" t="str">
        <f t="shared" si="473"/>
        <v/>
      </c>
    </row>
    <row r="7324" spans="1:12" x14ac:dyDescent="0.25">
      <c r="A7324" s="170" t="s">
        <v>10141</v>
      </c>
      <c r="B7324" s="170" t="s">
        <v>10142</v>
      </c>
      <c r="C7324" s="170" t="s">
        <v>89</v>
      </c>
      <c r="D7324" s="170" t="s">
        <v>2067</v>
      </c>
      <c r="E7324" s="171" t="s">
        <v>34963</v>
      </c>
      <c r="F7324" s="171" t="s">
        <v>29281</v>
      </c>
      <c r="H7324" s="96">
        <f t="shared" si="474"/>
        <v>79.81</v>
      </c>
      <c r="I7324" s="96">
        <f t="shared" si="475"/>
        <v>92.77</v>
      </c>
      <c r="J7324" s="91" t="str">
        <f t="shared" si="476"/>
        <v>Sinapi 95419</v>
      </c>
      <c r="K7324" s="91" t="str">
        <f t="shared" si="477"/>
        <v>MES</v>
      </c>
      <c r="L7324" s="166" t="str">
        <f t="shared" si="473"/>
        <v/>
      </c>
    </row>
    <row r="7325" spans="1:12" x14ac:dyDescent="0.25">
      <c r="A7325" s="170" t="s">
        <v>10143</v>
      </c>
      <c r="B7325" s="170" t="s">
        <v>10144</v>
      </c>
      <c r="C7325" s="170" t="s">
        <v>89</v>
      </c>
      <c r="D7325" s="170" t="s">
        <v>2067</v>
      </c>
      <c r="E7325" s="171" t="s">
        <v>34964</v>
      </c>
      <c r="F7325" s="171" t="s">
        <v>36823</v>
      </c>
      <c r="H7325" s="96">
        <f t="shared" si="474"/>
        <v>113.37</v>
      </c>
      <c r="I7325" s="96">
        <f t="shared" si="475"/>
        <v>131.78</v>
      </c>
      <c r="J7325" s="91" t="str">
        <f t="shared" si="476"/>
        <v>Sinapi 95420</v>
      </c>
      <c r="K7325" s="91" t="str">
        <f t="shared" si="477"/>
        <v>MES</v>
      </c>
      <c r="L7325" s="166" t="str">
        <f t="shared" si="473"/>
        <v/>
      </c>
    </row>
    <row r="7326" spans="1:12" x14ac:dyDescent="0.25">
      <c r="A7326" s="170" t="s">
        <v>10145</v>
      </c>
      <c r="B7326" s="170" t="s">
        <v>10146</v>
      </c>
      <c r="C7326" s="170" t="s">
        <v>89</v>
      </c>
      <c r="D7326" s="170" t="s">
        <v>2067</v>
      </c>
      <c r="E7326" s="171" t="s">
        <v>34965</v>
      </c>
      <c r="F7326" s="171" t="s">
        <v>29443</v>
      </c>
      <c r="H7326" s="96">
        <f t="shared" si="474"/>
        <v>149.88999999999999</v>
      </c>
      <c r="I7326" s="96">
        <f t="shared" si="475"/>
        <v>174.22</v>
      </c>
      <c r="J7326" s="91" t="str">
        <f t="shared" si="476"/>
        <v>Sinapi 95421</v>
      </c>
      <c r="K7326" s="91" t="str">
        <f t="shared" si="477"/>
        <v>MES</v>
      </c>
      <c r="L7326" s="166" t="str">
        <f t="shared" si="473"/>
        <v/>
      </c>
    </row>
    <row r="7327" spans="1:12" x14ac:dyDescent="0.25">
      <c r="A7327" s="170" t="s">
        <v>10147</v>
      </c>
      <c r="B7327" s="170" t="s">
        <v>10148</v>
      </c>
      <c r="C7327" s="170" t="s">
        <v>89</v>
      </c>
      <c r="D7327" s="170" t="s">
        <v>2067</v>
      </c>
      <c r="E7327" s="171" t="s">
        <v>31113</v>
      </c>
      <c r="F7327" s="171" t="s">
        <v>38028</v>
      </c>
      <c r="H7327" s="96">
        <f t="shared" si="474"/>
        <v>79.95</v>
      </c>
      <c r="I7327" s="96">
        <f t="shared" si="475"/>
        <v>92.93</v>
      </c>
      <c r="J7327" s="91" t="str">
        <f t="shared" si="476"/>
        <v>Sinapi 95422</v>
      </c>
      <c r="K7327" s="91" t="str">
        <f t="shared" si="477"/>
        <v>MES</v>
      </c>
      <c r="L7327" s="166" t="str">
        <f t="shared" si="473"/>
        <v/>
      </c>
    </row>
    <row r="7328" spans="1:12" x14ac:dyDescent="0.25">
      <c r="A7328" s="170" t="s">
        <v>10149</v>
      </c>
      <c r="B7328" s="170" t="s">
        <v>10150</v>
      </c>
      <c r="C7328" s="170" t="s">
        <v>89</v>
      </c>
      <c r="D7328" s="170" t="s">
        <v>2067</v>
      </c>
      <c r="E7328" s="171" t="s">
        <v>34966</v>
      </c>
      <c r="F7328" s="171" t="s">
        <v>21021</v>
      </c>
      <c r="H7328" s="96">
        <f t="shared" si="474"/>
        <v>99.27</v>
      </c>
      <c r="I7328" s="96">
        <f t="shared" si="475"/>
        <v>115.39</v>
      </c>
      <c r="J7328" s="91" t="str">
        <f t="shared" si="476"/>
        <v>Sinapi 95423</v>
      </c>
      <c r="K7328" s="91" t="str">
        <f t="shared" si="477"/>
        <v>MES</v>
      </c>
      <c r="L7328" s="166" t="str">
        <f t="shared" si="473"/>
        <v/>
      </c>
    </row>
    <row r="7329" spans="1:12" x14ac:dyDescent="0.25">
      <c r="A7329" s="170" t="s">
        <v>10151</v>
      </c>
      <c r="B7329" s="170" t="s">
        <v>10152</v>
      </c>
      <c r="C7329" s="170" t="s">
        <v>89</v>
      </c>
      <c r="D7329" s="170" t="s">
        <v>2067</v>
      </c>
      <c r="E7329" s="171" t="s">
        <v>22942</v>
      </c>
      <c r="F7329" s="171" t="s">
        <v>29016</v>
      </c>
      <c r="H7329" s="96">
        <f t="shared" si="474"/>
        <v>29.51</v>
      </c>
      <c r="I7329" s="96">
        <f t="shared" si="475"/>
        <v>34.299999999999997</v>
      </c>
      <c r="J7329" s="91" t="str">
        <f t="shared" si="476"/>
        <v>Sinapi 95424</v>
      </c>
      <c r="K7329" s="91" t="str">
        <f t="shared" si="477"/>
        <v>MES</v>
      </c>
      <c r="L7329" s="166" t="str">
        <f t="shared" si="473"/>
        <v/>
      </c>
    </row>
    <row r="7330" spans="1:12" x14ac:dyDescent="0.25">
      <c r="A7330" s="170" t="s">
        <v>10153</v>
      </c>
      <c r="B7330" s="170" t="s">
        <v>10154</v>
      </c>
      <c r="C7330" s="170" t="s">
        <v>587</v>
      </c>
      <c r="D7330" s="170" t="s">
        <v>2067</v>
      </c>
      <c r="E7330" s="171" t="s">
        <v>2575</v>
      </c>
      <c r="F7330" s="171" t="s">
        <v>3119</v>
      </c>
      <c r="H7330" s="96">
        <f t="shared" si="474"/>
        <v>0.06</v>
      </c>
      <c r="I7330" s="96">
        <f t="shared" si="475"/>
        <v>7.0000000000000007E-2</v>
      </c>
      <c r="J7330" s="91" t="str">
        <f t="shared" si="476"/>
        <v>Sinapi 100288</v>
      </c>
      <c r="K7330" s="91" t="str">
        <f t="shared" si="477"/>
        <v>H</v>
      </c>
      <c r="L7330" s="166" t="str">
        <f t="shared" si="473"/>
        <v/>
      </c>
    </row>
    <row r="7331" spans="1:12" x14ac:dyDescent="0.25">
      <c r="A7331" s="170" t="s">
        <v>10155</v>
      </c>
      <c r="B7331" s="170" t="s">
        <v>10156</v>
      </c>
      <c r="C7331" s="170" t="s">
        <v>587</v>
      </c>
      <c r="D7331" s="170" t="s">
        <v>2067</v>
      </c>
      <c r="E7331" s="171" t="s">
        <v>34967</v>
      </c>
      <c r="F7331" s="171" t="s">
        <v>30676</v>
      </c>
      <c r="H7331" s="96">
        <f t="shared" si="474"/>
        <v>18.11</v>
      </c>
      <c r="I7331" s="96">
        <f t="shared" si="475"/>
        <v>19.98</v>
      </c>
      <c r="J7331" s="91" t="str">
        <f t="shared" si="476"/>
        <v>Sinapi 100289</v>
      </c>
      <c r="K7331" s="91" t="str">
        <f t="shared" si="477"/>
        <v>H</v>
      </c>
      <c r="L7331" s="166" t="str">
        <f t="shared" si="473"/>
        <v/>
      </c>
    </row>
    <row r="7332" spans="1:12" x14ac:dyDescent="0.25">
      <c r="A7332" s="170" t="s">
        <v>10157</v>
      </c>
      <c r="B7332" s="170" t="s">
        <v>10158</v>
      </c>
      <c r="C7332" s="170" t="s">
        <v>587</v>
      </c>
      <c r="D7332" s="170" t="s">
        <v>2067</v>
      </c>
      <c r="E7332" s="171" t="s">
        <v>2575</v>
      </c>
      <c r="F7332" s="171" t="s">
        <v>3119</v>
      </c>
      <c r="H7332" s="96">
        <f t="shared" si="474"/>
        <v>0.06</v>
      </c>
      <c r="I7332" s="96">
        <f t="shared" si="475"/>
        <v>7.0000000000000007E-2</v>
      </c>
      <c r="J7332" s="91" t="str">
        <f t="shared" si="476"/>
        <v>Sinapi 100290</v>
      </c>
      <c r="K7332" s="91" t="str">
        <f t="shared" si="477"/>
        <v>H</v>
      </c>
      <c r="L7332" s="166" t="str">
        <f t="shared" si="473"/>
        <v/>
      </c>
    </row>
    <row r="7333" spans="1:12" x14ac:dyDescent="0.25">
      <c r="A7333" s="170" t="s">
        <v>10159</v>
      </c>
      <c r="B7333" s="170" t="s">
        <v>10160</v>
      </c>
      <c r="C7333" s="170" t="s">
        <v>587</v>
      </c>
      <c r="D7333" s="170" t="s">
        <v>2067</v>
      </c>
      <c r="E7333" s="171" t="s">
        <v>2994</v>
      </c>
      <c r="F7333" s="171" t="s">
        <v>9963</v>
      </c>
      <c r="H7333" s="96">
        <f t="shared" si="474"/>
        <v>0.17</v>
      </c>
      <c r="I7333" s="96">
        <f t="shared" si="475"/>
        <v>0.2</v>
      </c>
      <c r="J7333" s="91" t="str">
        <f t="shared" si="476"/>
        <v>Sinapi 100291</v>
      </c>
      <c r="K7333" s="91" t="str">
        <f t="shared" si="477"/>
        <v>H</v>
      </c>
      <c r="L7333" s="166" t="str">
        <f t="shared" si="473"/>
        <v/>
      </c>
    </row>
    <row r="7334" spans="1:12" x14ac:dyDescent="0.25">
      <c r="A7334" s="170" t="s">
        <v>10161</v>
      </c>
      <c r="B7334" s="170" t="s">
        <v>10162</v>
      </c>
      <c r="C7334" s="170" t="s">
        <v>587</v>
      </c>
      <c r="D7334" s="170" t="s">
        <v>2067</v>
      </c>
      <c r="E7334" s="171" t="s">
        <v>9295</v>
      </c>
      <c r="F7334" s="171" t="s">
        <v>14927</v>
      </c>
      <c r="H7334" s="96">
        <f t="shared" si="474"/>
        <v>0.74</v>
      </c>
      <c r="I7334" s="96">
        <f t="shared" si="475"/>
        <v>0.86</v>
      </c>
      <c r="J7334" s="91" t="str">
        <f t="shared" si="476"/>
        <v>Sinapi 100292</v>
      </c>
      <c r="K7334" s="91" t="str">
        <f t="shared" si="477"/>
        <v>H</v>
      </c>
      <c r="L7334" s="166" t="str">
        <f t="shared" si="473"/>
        <v/>
      </c>
    </row>
    <row r="7335" spans="1:12" x14ac:dyDescent="0.25">
      <c r="A7335" s="170" t="s">
        <v>10163</v>
      </c>
      <c r="B7335" s="170" t="s">
        <v>10164</v>
      </c>
      <c r="C7335" s="170" t="s">
        <v>587</v>
      </c>
      <c r="D7335" s="170" t="s">
        <v>2067</v>
      </c>
      <c r="E7335" s="171" t="s">
        <v>2807</v>
      </c>
      <c r="F7335" s="171" t="s">
        <v>2689</v>
      </c>
      <c r="H7335" s="96">
        <f t="shared" si="474"/>
        <v>0.16</v>
      </c>
      <c r="I7335" s="96">
        <f t="shared" si="475"/>
        <v>0.19</v>
      </c>
      <c r="J7335" s="91" t="str">
        <f t="shared" si="476"/>
        <v>Sinapi 100293</v>
      </c>
      <c r="K7335" s="91" t="str">
        <f t="shared" si="477"/>
        <v>H</v>
      </c>
      <c r="L7335" s="166" t="str">
        <f t="shared" si="473"/>
        <v/>
      </c>
    </row>
    <row r="7336" spans="1:12" x14ac:dyDescent="0.25">
      <c r="A7336" s="170" t="s">
        <v>10165</v>
      </c>
      <c r="B7336" s="170" t="s">
        <v>10166</v>
      </c>
      <c r="C7336" s="170" t="s">
        <v>587</v>
      </c>
      <c r="D7336" s="170" t="s">
        <v>2067</v>
      </c>
      <c r="E7336" s="171" t="s">
        <v>8322</v>
      </c>
      <c r="F7336" s="171" t="s">
        <v>22890</v>
      </c>
      <c r="H7336" s="96">
        <f t="shared" si="474"/>
        <v>0.52</v>
      </c>
      <c r="I7336" s="96">
        <f t="shared" si="475"/>
        <v>0.61</v>
      </c>
      <c r="J7336" s="91" t="str">
        <f t="shared" si="476"/>
        <v>Sinapi 100294</v>
      </c>
      <c r="K7336" s="91" t="str">
        <f t="shared" si="477"/>
        <v>H</v>
      </c>
      <c r="L7336" s="166" t="str">
        <f t="shared" si="473"/>
        <v/>
      </c>
    </row>
    <row r="7337" spans="1:12" x14ac:dyDescent="0.25">
      <c r="A7337" s="170" t="s">
        <v>10167</v>
      </c>
      <c r="B7337" s="170" t="s">
        <v>10168</v>
      </c>
      <c r="C7337" s="170" t="s">
        <v>587</v>
      </c>
      <c r="D7337" s="170" t="s">
        <v>2067</v>
      </c>
      <c r="E7337" s="171" t="s">
        <v>2849</v>
      </c>
      <c r="F7337" s="171" t="s">
        <v>2755</v>
      </c>
      <c r="H7337" s="96">
        <f t="shared" si="474"/>
        <v>0.46</v>
      </c>
      <c r="I7337" s="96">
        <f t="shared" si="475"/>
        <v>0.54</v>
      </c>
      <c r="J7337" s="91" t="str">
        <f t="shared" si="476"/>
        <v>Sinapi 100295</v>
      </c>
      <c r="K7337" s="91" t="str">
        <f t="shared" si="477"/>
        <v>H</v>
      </c>
      <c r="L7337" s="166" t="str">
        <f t="shared" si="473"/>
        <v/>
      </c>
    </row>
    <row r="7338" spans="1:12" x14ac:dyDescent="0.25">
      <c r="A7338" s="170" t="s">
        <v>10169</v>
      </c>
      <c r="B7338" s="170" t="s">
        <v>10170</v>
      </c>
      <c r="C7338" s="170" t="s">
        <v>587</v>
      </c>
      <c r="D7338" s="170" t="s">
        <v>2067</v>
      </c>
      <c r="E7338" s="171" t="s">
        <v>6093</v>
      </c>
      <c r="F7338" s="171" t="s">
        <v>30454</v>
      </c>
      <c r="H7338" s="96">
        <f t="shared" si="474"/>
        <v>1.1599999999999999</v>
      </c>
      <c r="I7338" s="96">
        <f t="shared" si="475"/>
        <v>1.35</v>
      </c>
      <c r="J7338" s="91" t="str">
        <f t="shared" si="476"/>
        <v>Sinapi 100296</v>
      </c>
      <c r="K7338" s="91" t="str">
        <f t="shared" si="477"/>
        <v>H</v>
      </c>
      <c r="L7338" s="166" t="str">
        <f t="shared" si="473"/>
        <v/>
      </c>
    </row>
    <row r="7339" spans="1:12" x14ac:dyDescent="0.25">
      <c r="A7339" s="170" t="s">
        <v>10171</v>
      </c>
      <c r="B7339" s="170" t="s">
        <v>10172</v>
      </c>
      <c r="C7339" s="170" t="s">
        <v>587</v>
      </c>
      <c r="D7339" s="170" t="s">
        <v>2067</v>
      </c>
      <c r="E7339" s="171" t="s">
        <v>14356</v>
      </c>
      <c r="F7339" s="171" t="s">
        <v>16421</v>
      </c>
      <c r="H7339" s="96">
        <f t="shared" si="474"/>
        <v>1.31</v>
      </c>
      <c r="I7339" s="96">
        <f t="shared" si="475"/>
        <v>1.52</v>
      </c>
      <c r="J7339" s="91" t="str">
        <f t="shared" si="476"/>
        <v>Sinapi 100297</v>
      </c>
      <c r="K7339" s="91" t="str">
        <f t="shared" si="477"/>
        <v>H</v>
      </c>
      <c r="L7339" s="166" t="str">
        <f t="shared" si="473"/>
        <v/>
      </c>
    </row>
    <row r="7340" spans="1:12" x14ac:dyDescent="0.25">
      <c r="A7340" s="170" t="s">
        <v>10173</v>
      </c>
      <c r="B7340" s="170" t="s">
        <v>10174</v>
      </c>
      <c r="C7340" s="170" t="s">
        <v>587</v>
      </c>
      <c r="D7340" s="170" t="s">
        <v>2067</v>
      </c>
      <c r="E7340" s="171" t="s">
        <v>16317</v>
      </c>
      <c r="F7340" s="171" t="s">
        <v>8387</v>
      </c>
      <c r="H7340" s="96">
        <f t="shared" si="474"/>
        <v>0.51</v>
      </c>
      <c r="I7340" s="96">
        <f t="shared" si="475"/>
        <v>0.59</v>
      </c>
      <c r="J7340" s="91" t="str">
        <f t="shared" si="476"/>
        <v>Sinapi 100298</v>
      </c>
      <c r="K7340" s="91" t="str">
        <f t="shared" si="477"/>
        <v>H</v>
      </c>
      <c r="L7340" s="166" t="str">
        <f t="shared" si="473"/>
        <v/>
      </c>
    </row>
    <row r="7341" spans="1:12" x14ac:dyDescent="0.25">
      <c r="A7341" s="170" t="s">
        <v>10175</v>
      </c>
      <c r="B7341" s="170" t="s">
        <v>10176</v>
      </c>
      <c r="C7341" s="170" t="s">
        <v>587</v>
      </c>
      <c r="D7341" s="170" t="s">
        <v>2067</v>
      </c>
      <c r="E7341" s="171" t="s">
        <v>3430</v>
      </c>
      <c r="F7341" s="171" t="s">
        <v>20018</v>
      </c>
      <c r="H7341" s="96">
        <f t="shared" si="474"/>
        <v>0.37</v>
      </c>
      <c r="I7341" s="96">
        <f t="shared" si="475"/>
        <v>0.43</v>
      </c>
      <c r="J7341" s="91" t="str">
        <f t="shared" si="476"/>
        <v>Sinapi 100299</v>
      </c>
      <c r="K7341" s="91" t="str">
        <f t="shared" si="477"/>
        <v>H</v>
      </c>
      <c r="L7341" s="166" t="str">
        <f t="shared" si="473"/>
        <v/>
      </c>
    </row>
    <row r="7342" spans="1:12" x14ac:dyDescent="0.25">
      <c r="A7342" s="170" t="s">
        <v>10178</v>
      </c>
      <c r="B7342" s="170" t="s">
        <v>10179</v>
      </c>
      <c r="C7342" s="170" t="s">
        <v>587</v>
      </c>
      <c r="D7342" s="170" t="s">
        <v>2067</v>
      </c>
      <c r="E7342" s="171" t="s">
        <v>30336</v>
      </c>
      <c r="F7342" s="171" t="s">
        <v>20076</v>
      </c>
      <c r="H7342" s="96">
        <f t="shared" si="474"/>
        <v>14.88</v>
      </c>
      <c r="I7342" s="96">
        <f t="shared" si="475"/>
        <v>16.96</v>
      </c>
      <c r="J7342" s="91" t="str">
        <f t="shared" si="476"/>
        <v>Sinapi 100300</v>
      </c>
      <c r="K7342" s="91" t="str">
        <f t="shared" si="477"/>
        <v>H</v>
      </c>
      <c r="L7342" s="166" t="str">
        <f t="shared" si="473"/>
        <v/>
      </c>
    </row>
    <row r="7343" spans="1:12" x14ac:dyDescent="0.25">
      <c r="A7343" s="170" t="s">
        <v>10180</v>
      </c>
      <c r="B7343" s="170" t="s">
        <v>10181</v>
      </c>
      <c r="C7343" s="170" t="s">
        <v>587</v>
      </c>
      <c r="D7343" s="170" t="s">
        <v>2067</v>
      </c>
      <c r="E7343" s="171" t="s">
        <v>34968</v>
      </c>
      <c r="F7343" s="171" t="s">
        <v>21462</v>
      </c>
      <c r="H7343" s="96">
        <f t="shared" si="474"/>
        <v>19.7</v>
      </c>
      <c r="I7343" s="96">
        <f t="shared" si="475"/>
        <v>21.59</v>
      </c>
      <c r="J7343" s="91" t="str">
        <f t="shared" si="476"/>
        <v>Sinapi 100301</v>
      </c>
      <c r="K7343" s="91" t="str">
        <f t="shared" si="477"/>
        <v>H</v>
      </c>
      <c r="L7343" s="166" t="str">
        <f t="shared" si="473"/>
        <v/>
      </c>
    </row>
    <row r="7344" spans="1:12" x14ac:dyDescent="0.25">
      <c r="A7344" s="170" t="s">
        <v>10182</v>
      </c>
      <c r="B7344" s="170" t="s">
        <v>10183</v>
      </c>
      <c r="C7344" s="170" t="s">
        <v>587</v>
      </c>
      <c r="D7344" s="170" t="s">
        <v>2067</v>
      </c>
      <c r="E7344" s="171" t="s">
        <v>34969</v>
      </c>
      <c r="F7344" s="171" t="s">
        <v>38029</v>
      </c>
      <c r="H7344" s="96">
        <f t="shared" si="474"/>
        <v>141.58000000000001</v>
      </c>
      <c r="I7344" s="96">
        <f t="shared" si="475"/>
        <v>164.19</v>
      </c>
      <c r="J7344" s="91" t="str">
        <f t="shared" si="476"/>
        <v>Sinapi 100302</v>
      </c>
      <c r="K7344" s="91" t="str">
        <f t="shared" si="477"/>
        <v>H</v>
      </c>
      <c r="L7344" s="166" t="str">
        <f t="shared" si="473"/>
        <v/>
      </c>
    </row>
    <row r="7345" spans="1:12" x14ac:dyDescent="0.25">
      <c r="A7345" s="170" t="s">
        <v>10184</v>
      </c>
      <c r="B7345" s="170" t="s">
        <v>10185</v>
      </c>
      <c r="C7345" s="170" t="s">
        <v>587</v>
      </c>
      <c r="D7345" s="170" t="s">
        <v>2067</v>
      </c>
      <c r="E7345" s="171" t="s">
        <v>26230</v>
      </c>
      <c r="F7345" s="171" t="s">
        <v>23491</v>
      </c>
      <c r="H7345" s="96">
        <f t="shared" si="474"/>
        <v>17.47</v>
      </c>
      <c r="I7345" s="96">
        <f t="shared" si="475"/>
        <v>19.21</v>
      </c>
      <c r="J7345" s="91" t="str">
        <f t="shared" si="476"/>
        <v>Sinapi 100303</v>
      </c>
      <c r="K7345" s="91" t="str">
        <f t="shared" si="477"/>
        <v>H</v>
      </c>
      <c r="L7345" s="166" t="str">
        <f t="shared" si="473"/>
        <v/>
      </c>
    </row>
    <row r="7346" spans="1:12" x14ac:dyDescent="0.25">
      <c r="A7346" s="170" t="s">
        <v>10186</v>
      </c>
      <c r="B7346" s="170" t="s">
        <v>10187</v>
      </c>
      <c r="C7346" s="170" t="s">
        <v>587</v>
      </c>
      <c r="D7346" s="170" t="s">
        <v>2067</v>
      </c>
      <c r="E7346" s="171" t="s">
        <v>34970</v>
      </c>
      <c r="F7346" s="171" t="s">
        <v>38030</v>
      </c>
      <c r="H7346" s="96">
        <f t="shared" si="474"/>
        <v>101.38</v>
      </c>
      <c r="I7346" s="96">
        <f t="shared" si="475"/>
        <v>117.48</v>
      </c>
      <c r="J7346" s="91" t="str">
        <f t="shared" si="476"/>
        <v>Sinapi 100304</v>
      </c>
      <c r="K7346" s="91" t="str">
        <f t="shared" si="477"/>
        <v>H</v>
      </c>
      <c r="L7346" s="166" t="str">
        <f t="shared" si="473"/>
        <v/>
      </c>
    </row>
    <row r="7347" spans="1:12" x14ac:dyDescent="0.25">
      <c r="A7347" s="170" t="s">
        <v>10188</v>
      </c>
      <c r="B7347" s="170" t="s">
        <v>10189</v>
      </c>
      <c r="C7347" s="170" t="s">
        <v>587</v>
      </c>
      <c r="D7347" s="170" t="s">
        <v>2067</v>
      </c>
      <c r="E7347" s="171" t="s">
        <v>21541</v>
      </c>
      <c r="F7347" s="171" t="s">
        <v>29087</v>
      </c>
      <c r="H7347" s="96">
        <f t="shared" si="474"/>
        <v>99.23</v>
      </c>
      <c r="I7347" s="96">
        <f t="shared" si="475"/>
        <v>114.98</v>
      </c>
      <c r="J7347" s="91" t="str">
        <f t="shared" si="476"/>
        <v>Sinapi 100305</v>
      </c>
      <c r="K7347" s="91" t="str">
        <f t="shared" si="477"/>
        <v>H</v>
      </c>
      <c r="L7347" s="166" t="str">
        <f t="shared" si="473"/>
        <v/>
      </c>
    </row>
    <row r="7348" spans="1:12" x14ac:dyDescent="0.25">
      <c r="A7348" s="170" t="s">
        <v>10190</v>
      </c>
      <c r="B7348" s="170" t="s">
        <v>1076</v>
      </c>
      <c r="C7348" s="170" t="s">
        <v>587</v>
      </c>
      <c r="D7348" s="170" t="s">
        <v>2067</v>
      </c>
      <c r="E7348" s="171" t="s">
        <v>30344</v>
      </c>
      <c r="F7348" s="171" t="s">
        <v>28510</v>
      </c>
      <c r="H7348" s="96">
        <f t="shared" si="474"/>
        <v>111.7</v>
      </c>
      <c r="I7348" s="96">
        <f t="shared" si="475"/>
        <v>129.47</v>
      </c>
      <c r="J7348" s="91" t="str">
        <f t="shared" si="476"/>
        <v>Sinapi 100306</v>
      </c>
      <c r="K7348" s="91" t="str">
        <f t="shared" si="477"/>
        <v>H</v>
      </c>
      <c r="L7348" s="166" t="str">
        <f t="shared" si="473"/>
        <v/>
      </c>
    </row>
    <row r="7349" spans="1:12" x14ac:dyDescent="0.25">
      <c r="A7349" s="170" t="s">
        <v>10191</v>
      </c>
      <c r="B7349" s="170" t="s">
        <v>10192</v>
      </c>
      <c r="C7349" s="170" t="s">
        <v>587</v>
      </c>
      <c r="D7349" s="170" t="s">
        <v>2067</v>
      </c>
      <c r="E7349" s="171" t="s">
        <v>29464</v>
      </c>
      <c r="F7349" s="171" t="s">
        <v>23183</v>
      </c>
      <c r="H7349" s="96">
        <f t="shared" si="474"/>
        <v>21.62</v>
      </c>
      <c r="I7349" s="96">
        <f t="shared" si="475"/>
        <v>24.04</v>
      </c>
      <c r="J7349" s="91" t="str">
        <f t="shared" si="476"/>
        <v>Sinapi 100307</v>
      </c>
      <c r="K7349" s="91" t="str">
        <f t="shared" si="477"/>
        <v>H</v>
      </c>
      <c r="L7349" s="166" t="str">
        <f t="shared" si="473"/>
        <v/>
      </c>
    </row>
    <row r="7350" spans="1:12" x14ac:dyDescent="0.25">
      <c r="A7350" s="170" t="s">
        <v>10193</v>
      </c>
      <c r="B7350" s="170" t="s">
        <v>10194</v>
      </c>
      <c r="C7350" s="170" t="s">
        <v>587</v>
      </c>
      <c r="D7350" s="170" t="s">
        <v>2067</v>
      </c>
      <c r="E7350" s="171" t="s">
        <v>21178</v>
      </c>
      <c r="F7350" s="171" t="s">
        <v>28693</v>
      </c>
      <c r="H7350" s="96">
        <f t="shared" si="474"/>
        <v>24.87</v>
      </c>
      <c r="I7350" s="96">
        <f t="shared" si="475"/>
        <v>27.81</v>
      </c>
      <c r="J7350" s="91" t="str">
        <f t="shared" si="476"/>
        <v>Sinapi 100308</v>
      </c>
      <c r="K7350" s="91" t="str">
        <f t="shared" si="477"/>
        <v>H</v>
      </c>
      <c r="L7350" s="166" t="str">
        <f t="shared" si="473"/>
        <v/>
      </c>
    </row>
    <row r="7351" spans="1:12" x14ac:dyDescent="0.25">
      <c r="A7351" s="170" t="s">
        <v>10195</v>
      </c>
      <c r="B7351" s="170" t="s">
        <v>988</v>
      </c>
      <c r="C7351" s="170" t="s">
        <v>587</v>
      </c>
      <c r="D7351" s="170" t="s">
        <v>2067</v>
      </c>
      <c r="E7351" s="171" t="s">
        <v>34409</v>
      </c>
      <c r="F7351" s="171" t="s">
        <v>37564</v>
      </c>
      <c r="H7351" s="96">
        <f t="shared" si="474"/>
        <v>22.27</v>
      </c>
      <c r="I7351" s="96">
        <f t="shared" si="475"/>
        <v>25.55</v>
      </c>
      <c r="J7351" s="91" t="str">
        <f t="shared" si="476"/>
        <v>Sinapi 100309</v>
      </c>
      <c r="K7351" s="91" t="str">
        <f t="shared" si="477"/>
        <v>H</v>
      </c>
      <c r="L7351" s="166" t="str">
        <f t="shared" si="473"/>
        <v/>
      </c>
    </row>
    <row r="7352" spans="1:12" x14ac:dyDescent="0.25">
      <c r="A7352" s="170" t="s">
        <v>10196</v>
      </c>
      <c r="B7352" s="170" t="s">
        <v>10197</v>
      </c>
      <c r="C7352" s="170" t="s">
        <v>89</v>
      </c>
      <c r="D7352" s="170" t="s">
        <v>2067</v>
      </c>
      <c r="E7352" s="171" t="s">
        <v>5291</v>
      </c>
      <c r="F7352" s="171" t="s">
        <v>12326</v>
      </c>
      <c r="H7352" s="96">
        <f t="shared" si="474"/>
        <v>8.9499999999999993</v>
      </c>
      <c r="I7352" s="96">
        <f t="shared" si="475"/>
        <v>10.4</v>
      </c>
      <c r="J7352" s="91" t="str">
        <f t="shared" si="476"/>
        <v>Sinapi 100310</v>
      </c>
      <c r="K7352" s="91" t="str">
        <f t="shared" si="477"/>
        <v>MES</v>
      </c>
      <c r="L7352" s="166" t="str">
        <f t="shared" si="473"/>
        <v/>
      </c>
    </row>
    <row r="7353" spans="1:12" x14ac:dyDescent="0.25">
      <c r="A7353" s="170" t="s">
        <v>10198</v>
      </c>
      <c r="B7353" s="170" t="s">
        <v>10199</v>
      </c>
      <c r="C7353" s="170" t="s">
        <v>89</v>
      </c>
      <c r="D7353" s="170" t="s">
        <v>2067</v>
      </c>
      <c r="E7353" s="171" t="s">
        <v>34971</v>
      </c>
      <c r="F7353" s="171" t="s">
        <v>33174</v>
      </c>
      <c r="H7353" s="96">
        <f t="shared" si="474"/>
        <v>97.12</v>
      </c>
      <c r="I7353" s="96">
        <f t="shared" si="475"/>
        <v>112.89</v>
      </c>
      <c r="J7353" s="91" t="str">
        <f t="shared" si="476"/>
        <v>Sinapi 100311</v>
      </c>
      <c r="K7353" s="91" t="str">
        <f t="shared" si="477"/>
        <v>MES</v>
      </c>
      <c r="L7353" s="166" t="str">
        <f t="shared" si="473"/>
        <v/>
      </c>
    </row>
    <row r="7354" spans="1:12" x14ac:dyDescent="0.25">
      <c r="A7354" s="170" t="s">
        <v>10200</v>
      </c>
      <c r="B7354" s="170" t="s">
        <v>10201</v>
      </c>
      <c r="C7354" s="170" t="s">
        <v>89</v>
      </c>
      <c r="D7354" s="170" t="s">
        <v>2067</v>
      </c>
      <c r="E7354" s="171" t="s">
        <v>34972</v>
      </c>
      <c r="F7354" s="171" t="s">
        <v>38031</v>
      </c>
      <c r="H7354" s="96">
        <f t="shared" si="474"/>
        <v>178.61</v>
      </c>
      <c r="I7354" s="96">
        <f t="shared" si="475"/>
        <v>207.61</v>
      </c>
      <c r="J7354" s="91" t="str">
        <f t="shared" si="476"/>
        <v>Sinapi 100312</v>
      </c>
      <c r="K7354" s="91" t="str">
        <f t="shared" si="477"/>
        <v>MES</v>
      </c>
      <c r="L7354" s="166" t="str">
        <f t="shared" si="473"/>
        <v/>
      </c>
    </row>
    <row r="7355" spans="1:12" x14ac:dyDescent="0.25">
      <c r="A7355" s="170" t="s">
        <v>10202</v>
      </c>
      <c r="B7355" s="170" t="s">
        <v>10203</v>
      </c>
      <c r="C7355" s="170" t="s">
        <v>89</v>
      </c>
      <c r="D7355" s="170" t="s">
        <v>2067</v>
      </c>
      <c r="E7355" s="171" t="s">
        <v>34973</v>
      </c>
      <c r="F7355" s="171" t="s">
        <v>38032</v>
      </c>
      <c r="H7355" s="96">
        <f t="shared" si="474"/>
        <v>152.34</v>
      </c>
      <c r="I7355" s="96">
        <f t="shared" si="475"/>
        <v>177.07</v>
      </c>
      <c r="J7355" s="91" t="str">
        <f t="shared" si="476"/>
        <v>Sinapi 100313</v>
      </c>
      <c r="K7355" s="91" t="str">
        <f t="shared" si="477"/>
        <v>MES</v>
      </c>
      <c r="L7355" s="166" t="str">
        <f t="shared" si="473"/>
        <v/>
      </c>
    </row>
    <row r="7356" spans="1:12" x14ac:dyDescent="0.25">
      <c r="A7356" s="170" t="s">
        <v>10204</v>
      </c>
      <c r="B7356" s="170" t="s">
        <v>10205</v>
      </c>
      <c r="C7356" s="170" t="s">
        <v>89</v>
      </c>
      <c r="D7356" s="170" t="s">
        <v>2067</v>
      </c>
      <c r="E7356" s="171" t="s">
        <v>34974</v>
      </c>
      <c r="F7356" s="171" t="s">
        <v>38033</v>
      </c>
      <c r="H7356" s="96">
        <f t="shared" si="474"/>
        <v>171.87</v>
      </c>
      <c r="I7356" s="96">
        <f t="shared" si="475"/>
        <v>199.77</v>
      </c>
      <c r="J7356" s="91" t="str">
        <f t="shared" si="476"/>
        <v>Sinapi 100314</v>
      </c>
      <c r="K7356" s="91" t="str">
        <f t="shared" si="477"/>
        <v>MES</v>
      </c>
      <c r="L7356" s="166" t="str">
        <f t="shared" si="473"/>
        <v/>
      </c>
    </row>
    <row r="7357" spans="1:12" x14ac:dyDescent="0.25">
      <c r="A7357" s="170" t="s">
        <v>10206</v>
      </c>
      <c r="B7357" s="170" t="s">
        <v>10207</v>
      </c>
      <c r="C7357" s="170" t="s">
        <v>89</v>
      </c>
      <c r="D7357" s="170" t="s">
        <v>2067</v>
      </c>
      <c r="E7357" s="171" t="s">
        <v>30616</v>
      </c>
      <c r="F7357" s="171" t="s">
        <v>28665</v>
      </c>
      <c r="H7357" s="96">
        <f t="shared" si="474"/>
        <v>49.12</v>
      </c>
      <c r="I7357" s="96">
        <f t="shared" si="475"/>
        <v>57.1</v>
      </c>
      <c r="J7357" s="91" t="str">
        <f t="shared" si="476"/>
        <v>Sinapi 100315</v>
      </c>
      <c r="K7357" s="91" t="str">
        <f t="shared" si="477"/>
        <v>MES</v>
      </c>
      <c r="L7357" s="166" t="str">
        <f t="shared" si="473"/>
        <v/>
      </c>
    </row>
    <row r="7358" spans="1:12" x14ac:dyDescent="0.25">
      <c r="A7358" s="170" t="s">
        <v>10208</v>
      </c>
      <c r="B7358" s="170" t="s">
        <v>10179</v>
      </c>
      <c r="C7358" s="170" t="s">
        <v>89</v>
      </c>
      <c r="D7358" s="170" t="s">
        <v>2067</v>
      </c>
      <c r="E7358" s="171" t="s">
        <v>34975</v>
      </c>
      <c r="F7358" s="171" t="s">
        <v>38034</v>
      </c>
      <c r="H7358" s="96">
        <f t="shared" si="474"/>
        <v>2616.12</v>
      </c>
      <c r="I7358" s="96">
        <f t="shared" si="475"/>
        <v>2979.2</v>
      </c>
      <c r="J7358" s="91" t="str">
        <f t="shared" si="476"/>
        <v>Sinapi 100316</v>
      </c>
      <c r="K7358" s="91" t="str">
        <f t="shared" si="477"/>
        <v>MES</v>
      </c>
      <c r="L7358" s="166" t="str">
        <f t="shared" si="473"/>
        <v/>
      </c>
    </row>
    <row r="7359" spans="1:12" x14ac:dyDescent="0.25">
      <c r="A7359" s="170" t="s">
        <v>10209</v>
      </c>
      <c r="B7359" s="170" t="s">
        <v>10210</v>
      </c>
      <c r="C7359" s="170" t="s">
        <v>89</v>
      </c>
      <c r="D7359" s="170" t="s">
        <v>2067</v>
      </c>
      <c r="E7359" s="171" t="s">
        <v>34976</v>
      </c>
      <c r="F7359" s="171" t="s">
        <v>38035</v>
      </c>
      <c r="H7359" s="96">
        <f t="shared" si="474"/>
        <v>24622.93</v>
      </c>
      <c r="I7359" s="96">
        <f t="shared" si="475"/>
        <v>28561.43</v>
      </c>
      <c r="J7359" s="91" t="str">
        <f t="shared" si="476"/>
        <v>Sinapi 100317</v>
      </c>
      <c r="K7359" s="91" t="str">
        <f t="shared" si="477"/>
        <v>MES</v>
      </c>
      <c r="L7359" s="166" t="str">
        <f t="shared" si="473"/>
        <v/>
      </c>
    </row>
    <row r="7360" spans="1:12" x14ac:dyDescent="0.25">
      <c r="A7360" s="170" t="s">
        <v>10211</v>
      </c>
      <c r="B7360" s="170" t="s">
        <v>10187</v>
      </c>
      <c r="C7360" s="170" t="s">
        <v>89</v>
      </c>
      <c r="D7360" s="170" t="s">
        <v>2067</v>
      </c>
      <c r="E7360" s="171" t="s">
        <v>34977</v>
      </c>
      <c r="F7360" s="171" t="s">
        <v>38036</v>
      </c>
      <c r="H7360" s="96">
        <f t="shared" si="474"/>
        <v>17750.5</v>
      </c>
      <c r="I7360" s="96">
        <f t="shared" si="475"/>
        <v>20573.22</v>
      </c>
      <c r="J7360" s="91" t="str">
        <f t="shared" si="476"/>
        <v>Sinapi 100318</v>
      </c>
      <c r="K7360" s="91" t="str">
        <f t="shared" si="477"/>
        <v>MES</v>
      </c>
      <c r="L7360" s="166" t="str">
        <f t="shared" si="473"/>
        <v/>
      </c>
    </row>
    <row r="7361" spans="1:12" x14ac:dyDescent="0.25">
      <c r="A7361" s="170" t="s">
        <v>10212</v>
      </c>
      <c r="B7361" s="170" t="s">
        <v>10189</v>
      </c>
      <c r="C7361" s="170" t="s">
        <v>89</v>
      </c>
      <c r="D7361" s="170" t="s">
        <v>2067</v>
      </c>
      <c r="E7361" s="171" t="s">
        <v>34978</v>
      </c>
      <c r="F7361" s="171" t="s">
        <v>38037</v>
      </c>
      <c r="H7361" s="96">
        <f t="shared" si="474"/>
        <v>17239.400000000001</v>
      </c>
      <c r="I7361" s="96">
        <f t="shared" si="475"/>
        <v>19979.14</v>
      </c>
      <c r="J7361" s="91" t="str">
        <f t="shared" si="476"/>
        <v>Sinapi 100319</v>
      </c>
      <c r="K7361" s="91" t="str">
        <f t="shared" si="477"/>
        <v>MES</v>
      </c>
      <c r="L7361" s="166" t="str">
        <f t="shared" si="473"/>
        <v/>
      </c>
    </row>
    <row r="7362" spans="1:12" x14ac:dyDescent="0.25">
      <c r="A7362" s="170" t="s">
        <v>10213</v>
      </c>
      <c r="B7362" s="170" t="s">
        <v>1076</v>
      </c>
      <c r="C7362" s="170" t="s">
        <v>89</v>
      </c>
      <c r="D7362" s="170" t="s">
        <v>2067</v>
      </c>
      <c r="E7362" s="171" t="s">
        <v>34979</v>
      </c>
      <c r="F7362" s="171" t="s">
        <v>38038</v>
      </c>
      <c r="H7362" s="96">
        <f t="shared" si="474"/>
        <v>19402.73</v>
      </c>
      <c r="I7362" s="96">
        <f t="shared" si="475"/>
        <v>22493.7</v>
      </c>
      <c r="J7362" s="91" t="str">
        <f t="shared" si="476"/>
        <v>Sinapi 100320</v>
      </c>
      <c r="K7362" s="91" t="str">
        <f t="shared" si="477"/>
        <v>MES</v>
      </c>
      <c r="L7362" s="166" t="str">
        <f t="shared" si="473"/>
        <v/>
      </c>
    </row>
    <row r="7363" spans="1:12" x14ac:dyDescent="0.25">
      <c r="A7363" s="170" t="s">
        <v>10214</v>
      </c>
      <c r="B7363" s="170" t="s">
        <v>988</v>
      </c>
      <c r="C7363" s="170" t="s">
        <v>89</v>
      </c>
      <c r="D7363" s="170" t="s">
        <v>2067</v>
      </c>
      <c r="E7363" s="171" t="s">
        <v>34980</v>
      </c>
      <c r="F7363" s="171" t="s">
        <v>38039</v>
      </c>
      <c r="H7363" s="96">
        <f t="shared" si="474"/>
        <v>3888.34</v>
      </c>
      <c r="I7363" s="96">
        <f t="shared" si="475"/>
        <v>4457.9799999999996</v>
      </c>
      <c r="J7363" s="91" t="str">
        <f t="shared" si="476"/>
        <v>Sinapi 100321</v>
      </c>
      <c r="K7363" s="91" t="str">
        <f t="shared" si="477"/>
        <v>MES</v>
      </c>
      <c r="L7363" s="166" t="str">
        <f t="shared" si="473"/>
        <v/>
      </c>
    </row>
    <row r="7364" spans="1:12" x14ac:dyDescent="0.25">
      <c r="A7364" s="170" t="s">
        <v>10215</v>
      </c>
      <c r="B7364" s="170" t="s">
        <v>1074</v>
      </c>
      <c r="C7364" s="170" t="s">
        <v>587</v>
      </c>
      <c r="D7364" s="170" t="s">
        <v>2067</v>
      </c>
      <c r="E7364" s="171" t="s">
        <v>16412</v>
      </c>
      <c r="F7364" s="171" t="s">
        <v>31180</v>
      </c>
      <c r="H7364" s="96">
        <f t="shared" si="474"/>
        <v>22.74</v>
      </c>
      <c r="I7364" s="96">
        <f t="shared" si="475"/>
        <v>26.1</v>
      </c>
      <c r="J7364" s="91" t="str">
        <f t="shared" si="476"/>
        <v>Sinapi 100533</v>
      </c>
      <c r="K7364" s="91" t="str">
        <f t="shared" si="477"/>
        <v>H</v>
      </c>
      <c r="L7364" s="166" t="str">
        <f t="shared" si="473"/>
        <v/>
      </c>
    </row>
    <row r="7365" spans="1:12" x14ac:dyDescent="0.25">
      <c r="A7365" s="170" t="s">
        <v>10216</v>
      </c>
      <c r="B7365" s="170" t="s">
        <v>1074</v>
      </c>
      <c r="C7365" s="170" t="s">
        <v>89</v>
      </c>
      <c r="D7365" s="170" t="s">
        <v>2067</v>
      </c>
      <c r="E7365" s="171" t="s">
        <v>34981</v>
      </c>
      <c r="F7365" s="171" t="s">
        <v>38040</v>
      </c>
      <c r="H7365" s="96">
        <f t="shared" si="474"/>
        <v>3979.53</v>
      </c>
      <c r="I7365" s="96">
        <f t="shared" si="475"/>
        <v>4563.9799999999996</v>
      </c>
      <c r="J7365" s="91" t="str">
        <f t="shared" si="476"/>
        <v>Sinapi 100534</v>
      </c>
      <c r="K7365" s="91" t="str">
        <f t="shared" si="477"/>
        <v>MES</v>
      </c>
      <c r="L7365" s="166" t="str">
        <f t="shared" si="473"/>
        <v/>
      </c>
    </row>
    <row r="7366" spans="1:12" x14ac:dyDescent="0.25">
      <c r="A7366" s="170" t="s">
        <v>10217</v>
      </c>
      <c r="B7366" s="170" t="s">
        <v>10218</v>
      </c>
      <c r="C7366" s="170" t="s">
        <v>587</v>
      </c>
      <c r="D7366" s="170" t="s">
        <v>2067</v>
      </c>
      <c r="E7366" s="171" t="s">
        <v>3886</v>
      </c>
      <c r="F7366" s="171" t="s">
        <v>3689</v>
      </c>
      <c r="H7366" s="96">
        <f t="shared" si="474"/>
        <v>0.38</v>
      </c>
      <c r="I7366" s="96">
        <f t="shared" si="475"/>
        <v>0.44</v>
      </c>
      <c r="J7366" s="91" t="str">
        <f t="shared" si="476"/>
        <v>Sinapi 100535</v>
      </c>
      <c r="K7366" s="91" t="str">
        <f t="shared" si="477"/>
        <v>H</v>
      </c>
      <c r="L7366" s="166" t="str">
        <f t="shared" si="473"/>
        <v/>
      </c>
    </row>
    <row r="7367" spans="1:12" x14ac:dyDescent="0.25">
      <c r="A7367" s="170" t="s">
        <v>10219</v>
      </c>
      <c r="B7367" s="170" t="s">
        <v>10220</v>
      </c>
      <c r="C7367" s="170" t="s">
        <v>89</v>
      </c>
      <c r="D7367" s="170" t="s">
        <v>2067</v>
      </c>
      <c r="E7367" s="171" t="s">
        <v>30773</v>
      </c>
      <c r="F7367" s="171" t="s">
        <v>38041</v>
      </c>
      <c r="H7367" s="96">
        <f t="shared" si="474"/>
        <v>50.4</v>
      </c>
      <c r="I7367" s="96">
        <f t="shared" si="475"/>
        <v>58.58</v>
      </c>
      <c r="J7367" s="91" t="str">
        <f t="shared" si="476"/>
        <v>Sinapi 100536</v>
      </c>
      <c r="K7367" s="91" t="str">
        <f t="shared" si="477"/>
        <v>MES</v>
      </c>
      <c r="L7367" s="166" t="str">
        <f t="shared" si="473"/>
        <v/>
      </c>
    </row>
    <row r="7368" spans="1:12" x14ac:dyDescent="0.25">
      <c r="A7368" s="170" t="s">
        <v>10813</v>
      </c>
      <c r="B7368" s="170" t="s">
        <v>10814</v>
      </c>
      <c r="C7368" s="170" t="s">
        <v>587</v>
      </c>
      <c r="D7368" s="170" t="s">
        <v>2067</v>
      </c>
      <c r="E7368" s="171" t="s">
        <v>3218</v>
      </c>
      <c r="F7368" s="171" t="s">
        <v>18561</v>
      </c>
      <c r="H7368" s="96">
        <f t="shared" si="474"/>
        <v>1.8</v>
      </c>
      <c r="I7368" s="96">
        <f t="shared" si="475"/>
        <v>2.09</v>
      </c>
      <c r="J7368" s="91" t="str">
        <f t="shared" si="476"/>
        <v>Sinapi 101284</v>
      </c>
      <c r="K7368" s="91" t="str">
        <f t="shared" si="477"/>
        <v>H</v>
      </c>
      <c r="L7368" s="166" t="str">
        <f t="shared" ref="L7368:L7431" si="478">IF(OR(RIGHT(IF(AND(K7368&lt;&gt;"H",K7368&lt;&gt;"MES"),RIGHT(B7368,7),""),2)="PS",RIGHT(IF(AND(K7368&lt;&gt;"H",K7368&lt;&gt;"MES"),RIGHT(B7368,7),""),2)="PA",RIGHT(IF(AND(K7368&lt;&gt;"H",K7368&lt;&gt;"MES"),RIGHT(B7368,7),""),2)="PE"),LEFT(IF(AND(K7368&lt;&gt;"H",K7368&lt;&gt;"MES"),RIGHT(B7368,10),""),7),IF(AND(K7368&lt;&gt;"H",K7368&lt;&gt;"MES"),RIGHT(B7368,7),""))</f>
        <v/>
      </c>
    </row>
    <row r="7369" spans="1:12" x14ac:dyDescent="0.25">
      <c r="A7369" s="170" t="s">
        <v>10815</v>
      </c>
      <c r="B7369" s="170" t="s">
        <v>10816</v>
      </c>
      <c r="C7369" s="170" t="s">
        <v>587</v>
      </c>
      <c r="D7369" s="170" t="s">
        <v>2067</v>
      </c>
      <c r="E7369" s="171" t="s">
        <v>14491</v>
      </c>
      <c r="F7369" s="171" t="s">
        <v>14906</v>
      </c>
      <c r="H7369" s="96">
        <f t="shared" si="474"/>
        <v>0.71</v>
      </c>
      <c r="I7369" s="96">
        <f t="shared" si="475"/>
        <v>0.83</v>
      </c>
      <c r="J7369" s="91" t="str">
        <f t="shared" si="476"/>
        <v>Sinapi 101285</v>
      </c>
      <c r="K7369" s="91" t="str">
        <f t="shared" si="477"/>
        <v>H</v>
      </c>
      <c r="L7369" s="166" t="str">
        <f t="shared" si="478"/>
        <v/>
      </c>
    </row>
    <row r="7370" spans="1:12" x14ac:dyDescent="0.25">
      <c r="A7370" s="170" t="s">
        <v>10817</v>
      </c>
      <c r="B7370" s="170" t="s">
        <v>10818</v>
      </c>
      <c r="C7370" s="170" t="s">
        <v>89</v>
      </c>
      <c r="D7370" s="170" t="s">
        <v>2067</v>
      </c>
      <c r="E7370" s="171" t="s">
        <v>19940</v>
      </c>
      <c r="F7370" s="171" t="s">
        <v>17932</v>
      </c>
      <c r="H7370" s="96">
        <f t="shared" si="474"/>
        <v>16.829999999999998</v>
      </c>
      <c r="I7370" s="96">
        <f t="shared" si="475"/>
        <v>19.559999999999999</v>
      </c>
      <c r="J7370" s="91" t="str">
        <f t="shared" si="476"/>
        <v>Sinapi 101286</v>
      </c>
      <c r="K7370" s="91" t="str">
        <f t="shared" si="477"/>
        <v>MES</v>
      </c>
      <c r="L7370" s="166" t="str">
        <f t="shared" si="478"/>
        <v/>
      </c>
    </row>
    <row r="7371" spans="1:12" x14ac:dyDescent="0.25">
      <c r="A7371" s="170" t="s">
        <v>10819</v>
      </c>
      <c r="B7371" s="170" t="s">
        <v>10820</v>
      </c>
      <c r="C7371" s="170" t="s">
        <v>89</v>
      </c>
      <c r="D7371" s="170" t="s">
        <v>2067</v>
      </c>
      <c r="E7371" s="171" t="s">
        <v>23240</v>
      </c>
      <c r="F7371" s="171" t="s">
        <v>21624</v>
      </c>
      <c r="H7371" s="96">
        <f t="shared" si="474"/>
        <v>58.88</v>
      </c>
      <c r="I7371" s="96">
        <f t="shared" si="475"/>
        <v>68.44</v>
      </c>
      <c r="J7371" s="91" t="str">
        <f t="shared" si="476"/>
        <v>Sinapi 101287</v>
      </c>
      <c r="K7371" s="91" t="str">
        <f t="shared" si="477"/>
        <v>MES</v>
      </c>
      <c r="L7371" s="166" t="str">
        <f t="shared" si="478"/>
        <v/>
      </c>
    </row>
    <row r="7372" spans="1:12" x14ac:dyDescent="0.25">
      <c r="A7372" s="170" t="s">
        <v>10821</v>
      </c>
      <c r="B7372" s="170" t="s">
        <v>10822</v>
      </c>
      <c r="C7372" s="170" t="s">
        <v>89</v>
      </c>
      <c r="D7372" s="170" t="s">
        <v>2067</v>
      </c>
      <c r="E7372" s="171" t="s">
        <v>21880</v>
      </c>
      <c r="F7372" s="171" t="s">
        <v>29063</v>
      </c>
      <c r="H7372" s="96">
        <f t="shared" si="474"/>
        <v>20.41</v>
      </c>
      <c r="I7372" s="96">
        <f t="shared" si="475"/>
        <v>23.73</v>
      </c>
      <c r="J7372" s="91" t="str">
        <f t="shared" si="476"/>
        <v>Sinapi 101288</v>
      </c>
      <c r="K7372" s="91" t="str">
        <f t="shared" si="477"/>
        <v>MES</v>
      </c>
      <c r="L7372" s="166" t="str">
        <f t="shared" si="478"/>
        <v/>
      </c>
    </row>
    <row r="7373" spans="1:12" x14ac:dyDescent="0.25">
      <c r="A7373" s="170" t="s">
        <v>10823</v>
      </c>
      <c r="B7373" s="170" t="s">
        <v>10824</v>
      </c>
      <c r="C7373" s="170" t="s">
        <v>89</v>
      </c>
      <c r="D7373" s="170" t="s">
        <v>2067</v>
      </c>
      <c r="E7373" s="171" t="s">
        <v>26068</v>
      </c>
      <c r="F7373" s="171" t="s">
        <v>16391</v>
      </c>
      <c r="H7373" s="96">
        <f t="shared" si="474"/>
        <v>17.3</v>
      </c>
      <c r="I7373" s="96">
        <f t="shared" si="475"/>
        <v>20.11</v>
      </c>
      <c r="J7373" s="91" t="str">
        <f t="shared" si="476"/>
        <v>Sinapi 101289</v>
      </c>
      <c r="K7373" s="91" t="str">
        <f t="shared" si="477"/>
        <v>MES</v>
      </c>
      <c r="L7373" s="166" t="str">
        <f t="shared" si="478"/>
        <v/>
      </c>
    </row>
    <row r="7374" spans="1:12" x14ac:dyDescent="0.25">
      <c r="A7374" s="170" t="s">
        <v>10825</v>
      </c>
      <c r="B7374" s="170" t="s">
        <v>10826</v>
      </c>
      <c r="C7374" s="170" t="s">
        <v>89</v>
      </c>
      <c r="D7374" s="170" t="s">
        <v>2067</v>
      </c>
      <c r="E7374" s="171" t="s">
        <v>19929</v>
      </c>
      <c r="F7374" s="171" t="s">
        <v>28695</v>
      </c>
      <c r="H7374" s="96">
        <f t="shared" si="474"/>
        <v>23.29</v>
      </c>
      <c r="I7374" s="96">
        <f t="shared" si="475"/>
        <v>27.08</v>
      </c>
      <c r="J7374" s="91" t="str">
        <f t="shared" si="476"/>
        <v>Sinapi 101290</v>
      </c>
      <c r="K7374" s="91" t="str">
        <f t="shared" si="477"/>
        <v>MES</v>
      </c>
      <c r="L7374" s="166" t="str">
        <f t="shared" si="478"/>
        <v/>
      </c>
    </row>
    <row r="7375" spans="1:12" x14ac:dyDescent="0.25">
      <c r="A7375" s="170" t="s">
        <v>10827</v>
      </c>
      <c r="B7375" s="170" t="s">
        <v>10828</v>
      </c>
      <c r="C7375" s="170" t="s">
        <v>89</v>
      </c>
      <c r="D7375" s="170" t="s">
        <v>2067</v>
      </c>
      <c r="E7375" s="171" t="s">
        <v>22720</v>
      </c>
      <c r="F7375" s="171" t="s">
        <v>15538</v>
      </c>
      <c r="H7375" s="96">
        <f t="shared" si="474"/>
        <v>18.2</v>
      </c>
      <c r="I7375" s="96">
        <f t="shared" si="475"/>
        <v>21.15</v>
      </c>
      <c r="J7375" s="91" t="str">
        <f t="shared" si="476"/>
        <v>Sinapi 101291</v>
      </c>
      <c r="K7375" s="91" t="str">
        <f t="shared" si="477"/>
        <v>MES</v>
      </c>
      <c r="L7375" s="166" t="str">
        <f t="shared" si="478"/>
        <v/>
      </c>
    </row>
    <row r="7376" spans="1:12" x14ac:dyDescent="0.25">
      <c r="A7376" s="170" t="s">
        <v>10829</v>
      </c>
      <c r="B7376" s="170" t="s">
        <v>10830</v>
      </c>
      <c r="C7376" s="170" t="s">
        <v>89</v>
      </c>
      <c r="D7376" s="170" t="s">
        <v>2067</v>
      </c>
      <c r="E7376" s="171" t="s">
        <v>20636</v>
      </c>
      <c r="F7376" s="171" t="s">
        <v>27788</v>
      </c>
      <c r="H7376" s="96">
        <f t="shared" si="474"/>
        <v>19.2</v>
      </c>
      <c r="I7376" s="96">
        <f t="shared" si="475"/>
        <v>22.31</v>
      </c>
      <c r="J7376" s="91" t="str">
        <f t="shared" si="476"/>
        <v>Sinapi 101292</v>
      </c>
      <c r="K7376" s="91" t="str">
        <f t="shared" si="477"/>
        <v>MES</v>
      </c>
      <c r="L7376" s="166" t="str">
        <f t="shared" si="478"/>
        <v/>
      </c>
    </row>
    <row r="7377" spans="1:12" x14ac:dyDescent="0.25">
      <c r="A7377" s="170" t="s">
        <v>10831</v>
      </c>
      <c r="B7377" s="170" t="s">
        <v>10832</v>
      </c>
      <c r="C7377" s="170" t="s">
        <v>89</v>
      </c>
      <c r="D7377" s="170" t="s">
        <v>2067</v>
      </c>
      <c r="E7377" s="171" t="s">
        <v>28695</v>
      </c>
      <c r="F7377" s="171" t="s">
        <v>35078</v>
      </c>
      <c r="H7377" s="96">
        <f t="shared" si="474"/>
        <v>27.08</v>
      </c>
      <c r="I7377" s="96">
        <f t="shared" si="475"/>
        <v>31.48</v>
      </c>
      <c r="J7377" s="91" t="str">
        <f t="shared" si="476"/>
        <v>Sinapi 101293</v>
      </c>
      <c r="K7377" s="91" t="str">
        <f t="shared" si="477"/>
        <v>MES</v>
      </c>
      <c r="L7377" s="166" t="str">
        <f t="shared" si="478"/>
        <v/>
      </c>
    </row>
    <row r="7378" spans="1:12" x14ac:dyDescent="0.25">
      <c r="A7378" s="170" t="s">
        <v>10833</v>
      </c>
      <c r="B7378" s="170" t="s">
        <v>10834</v>
      </c>
      <c r="C7378" s="170" t="s">
        <v>89</v>
      </c>
      <c r="D7378" s="170" t="s">
        <v>2067</v>
      </c>
      <c r="E7378" s="171" t="s">
        <v>21063</v>
      </c>
      <c r="F7378" s="171" t="s">
        <v>29251</v>
      </c>
      <c r="H7378" s="96">
        <f t="shared" si="474"/>
        <v>36.89</v>
      </c>
      <c r="I7378" s="96">
        <f t="shared" si="475"/>
        <v>42.88</v>
      </c>
      <c r="J7378" s="91" t="str">
        <f t="shared" si="476"/>
        <v>Sinapi 101294</v>
      </c>
      <c r="K7378" s="91" t="str">
        <f t="shared" si="477"/>
        <v>MES</v>
      </c>
      <c r="L7378" s="166" t="str">
        <f t="shared" si="478"/>
        <v/>
      </c>
    </row>
    <row r="7379" spans="1:12" x14ac:dyDescent="0.25">
      <c r="A7379" s="170" t="s">
        <v>10835</v>
      </c>
      <c r="B7379" s="170" t="s">
        <v>10836</v>
      </c>
      <c r="C7379" s="170" t="s">
        <v>89</v>
      </c>
      <c r="D7379" s="170" t="s">
        <v>2067</v>
      </c>
      <c r="E7379" s="171" t="s">
        <v>27101</v>
      </c>
      <c r="F7379" s="171" t="s">
        <v>38042</v>
      </c>
      <c r="H7379" s="96">
        <f t="shared" si="474"/>
        <v>21.54</v>
      </c>
      <c r="I7379" s="96">
        <f t="shared" si="475"/>
        <v>25.04</v>
      </c>
      <c r="J7379" s="91" t="str">
        <f t="shared" si="476"/>
        <v>Sinapi 101295</v>
      </c>
      <c r="K7379" s="91" t="str">
        <f t="shared" si="477"/>
        <v>MES</v>
      </c>
      <c r="L7379" s="166" t="str">
        <f t="shared" si="478"/>
        <v/>
      </c>
    </row>
    <row r="7380" spans="1:12" x14ac:dyDescent="0.25">
      <c r="A7380" s="170" t="s">
        <v>10837</v>
      </c>
      <c r="B7380" s="170" t="s">
        <v>10838</v>
      </c>
      <c r="C7380" s="170" t="s">
        <v>89</v>
      </c>
      <c r="D7380" s="170" t="s">
        <v>2067</v>
      </c>
      <c r="E7380" s="171" t="s">
        <v>15579</v>
      </c>
      <c r="F7380" s="171" t="s">
        <v>21379</v>
      </c>
      <c r="H7380" s="96">
        <f t="shared" si="474"/>
        <v>28.37</v>
      </c>
      <c r="I7380" s="96">
        <f t="shared" si="475"/>
        <v>32.979999999999997</v>
      </c>
      <c r="J7380" s="91" t="str">
        <f t="shared" si="476"/>
        <v>Sinapi 101296</v>
      </c>
      <c r="K7380" s="91" t="str">
        <f t="shared" si="477"/>
        <v>MES</v>
      </c>
      <c r="L7380" s="166" t="str">
        <f t="shared" si="478"/>
        <v/>
      </c>
    </row>
    <row r="7381" spans="1:12" x14ac:dyDescent="0.25">
      <c r="A7381" s="170" t="s">
        <v>10839</v>
      </c>
      <c r="B7381" s="170" t="s">
        <v>10840</v>
      </c>
      <c r="C7381" s="170" t="s">
        <v>89</v>
      </c>
      <c r="D7381" s="170" t="s">
        <v>2067</v>
      </c>
      <c r="E7381" s="171" t="s">
        <v>17365</v>
      </c>
      <c r="F7381" s="171" t="s">
        <v>16412</v>
      </c>
      <c r="H7381" s="96">
        <f t="shared" si="474"/>
        <v>19.57</v>
      </c>
      <c r="I7381" s="96">
        <f t="shared" si="475"/>
        <v>22.74</v>
      </c>
      <c r="J7381" s="91" t="str">
        <f t="shared" si="476"/>
        <v>Sinapi 101297</v>
      </c>
      <c r="K7381" s="91" t="str">
        <f t="shared" si="477"/>
        <v>MES</v>
      </c>
      <c r="L7381" s="166" t="str">
        <f t="shared" si="478"/>
        <v/>
      </c>
    </row>
    <row r="7382" spans="1:12" x14ac:dyDescent="0.25">
      <c r="A7382" s="170" t="s">
        <v>10841</v>
      </c>
      <c r="B7382" s="170" t="s">
        <v>10842</v>
      </c>
      <c r="C7382" s="170" t="s">
        <v>89</v>
      </c>
      <c r="D7382" s="170" t="s">
        <v>2067</v>
      </c>
      <c r="E7382" s="171" t="s">
        <v>15786</v>
      </c>
      <c r="F7382" s="171" t="s">
        <v>34935</v>
      </c>
      <c r="H7382" s="96">
        <f t="shared" si="474"/>
        <v>21.85</v>
      </c>
      <c r="I7382" s="96">
        <f t="shared" si="475"/>
        <v>25.4</v>
      </c>
      <c r="J7382" s="91" t="str">
        <f t="shared" si="476"/>
        <v>Sinapi 101298</v>
      </c>
      <c r="K7382" s="91" t="str">
        <f t="shared" si="477"/>
        <v>MES</v>
      </c>
      <c r="L7382" s="166" t="str">
        <f t="shared" si="478"/>
        <v/>
      </c>
    </row>
    <row r="7383" spans="1:12" x14ac:dyDescent="0.25">
      <c r="A7383" s="170" t="s">
        <v>10843</v>
      </c>
      <c r="B7383" s="170" t="s">
        <v>10844</v>
      </c>
      <c r="C7383" s="170" t="s">
        <v>89</v>
      </c>
      <c r="D7383" s="170" t="s">
        <v>2067</v>
      </c>
      <c r="E7383" s="171" t="s">
        <v>27101</v>
      </c>
      <c r="F7383" s="171" t="s">
        <v>38042</v>
      </c>
      <c r="H7383" s="96">
        <f t="shared" si="474"/>
        <v>21.54</v>
      </c>
      <c r="I7383" s="96">
        <f t="shared" si="475"/>
        <v>25.04</v>
      </c>
      <c r="J7383" s="91" t="str">
        <f t="shared" si="476"/>
        <v>Sinapi 101299</v>
      </c>
      <c r="K7383" s="91" t="str">
        <f t="shared" si="477"/>
        <v>MES</v>
      </c>
      <c r="L7383" s="166" t="str">
        <f t="shared" si="478"/>
        <v/>
      </c>
    </row>
    <row r="7384" spans="1:12" x14ac:dyDescent="0.25">
      <c r="A7384" s="170" t="s">
        <v>10845</v>
      </c>
      <c r="B7384" s="170" t="s">
        <v>10846</v>
      </c>
      <c r="C7384" s="170" t="s">
        <v>89</v>
      </c>
      <c r="D7384" s="170" t="s">
        <v>2067</v>
      </c>
      <c r="E7384" s="171" t="s">
        <v>15545</v>
      </c>
      <c r="F7384" s="171" t="s">
        <v>20011</v>
      </c>
      <c r="H7384" s="96">
        <f t="shared" si="474"/>
        <v>18.25</v>
      </c>
      <c r="I7384" s="96">
        <f t="shared" si="475"/>
        <v>21.21</v>
      </c>
      <c r="J7384" s="91" t="str">
        <f t="shared" si="476"/>
        <v>Sinapi 101300</v>
      </c>
      <c r="K7384" s="91" t="str">
        <f t="shared" si="477"/>
        <v>MES</v>
      </c>
      <c r="L7384" s="166" t="str">
        <f t="shared" si="478"/>
        <v/>
      </c>
    </row>
    <row r="7385" spans="1:12" x14ac:dyDescent="0.25">
      <c r="A7385" s="170" t="s">
        <v>10847</v>
      </c>
      <c r="B7385" s="170" t="s">
        <v>10848</v>
      </c>
      <c r="C7385" s="170" t="s">
        <v>89</v>
      </c>
      <c r="D7385" s="170" t="s">
        <v>2067</v>
      </c>
      <c r="E7385" s="171" t="s">
        <v>23023</v>
      </c>
      <c r="F7385" s="171" t="s">
        <v>20364</v>
      </c>
      <c r="H7385" s="96">
        <f t="shared" ref="H7385:H7448" si="479">IF(E7385="","",E7385+0)</f>
        <v>13.28</v>
      </c>
      <c r="I7385" s="96">
        <f t="shared" ref="I7385:I7448" si="480">IF(F7385="","",F7385+0)</f>
        <v>15.43</v>
      </c>
      <c r="J7385" s="91" t="str">
        <f t="shared" ref="J7385:J7448" si="481">IF(OR(H7385="",I7385=""),"",TRIM(CONCATENATE("Sinapi ",A7385)))</f>
        <v>Sinapi 101301</v>
      </c>
      <c r="K7385" s="91" t="str">
        <f t="shared" ref="K7385:K7448" si="482">TRIM(C7385)</f>
        <v>MES</v>
      </c>
      <c r="L7385" s="166" t="str">
        <f t="shared" si="478"/>
        <v/>
      </c>
    </row>
    <row r="7386" spans="1:12" x14ac:dyDescent="0.25">
      <c r="A7386" s="170" t="s">
        <v>10849</v>
      </c>
      <c r="B7386" s="170" t="s">
        <v>10850</v>
      </c>
      <c r="C7386" s="170" t="s">
        <v>89</v>
      </c>
      <c r="D7386" s="170" t="s">
        <v>2067</v>
      </c>
      <c r="E7386" s="171" t="s">
        <v>21835</v>
      </c>
      <c r="F7386" s="171" t="s">
        <v>29124</v>
      </c>
      <c r="H7386" s="96">
        <f t="shared" si="479"/>
        <v>42.42</v>
      </c>
      <c r="I7386" s="96">
        <f t="shared" si="480"/>
        <v>49.3</v>
      </c>
      <c r="J7386" s="91" t="str">
        <f t="shared" si="481"/>
        <v>Sinapi 101302</v>
      </c>
      <c r="K7386" s="91" t="str">
        <f t="shared" si="482"/>
        <v>MES</v>
      </c>
      <c r="L7386" s="166" t="str">
        <f t="shared" si="478"/>
        <v/>
      </c>
    </row>
    <row r="7387" spans="1:12" x14ac:dyDescent="0.25">
      <c r="A7387" s="170" t="s">
        <v>10851</v>
      </c>
      <c r="B7387" s="170" t="s">
        <v>10852</v>
      </c>
      <c r="C7387" s="170" t="s">
        <v>89</v>
      </c>
      <c r="D7387" s="170" t="s">
        <v>2067</v>
      </c>
      <c r="E7387" s="171" t="s">
        <v>34982</v>
      </c>
      <c r="F7387" s="171" t="s">
        <v>38043</v>
      </c>
      <c r="H7387" s="96">
        <f t="shared" si="479"/>
        <v>61.39</v>
      </c>
      <c r="I7387" s="96">
        <f t="shared" si="480"/>
        <v>71.349999999999994</v>
      </c>
      <c r="J7387" s="91" t="str">
        <f t="shared" si="481"/>
        <v>Sinapi 101303</v>
      </c>
      <c r="K7387" s="91" t="str">
        <f t="shared" si="482"/>
        <v>MES</v>
      </c>
      <c r="L7387" s="166" t="str">
        <f t="shared" si="478"/>
        <v/>
      </c>
    </row>
    <row r="7388" spans="1:12" x14ac:dyDescent="0.25">
      <c r="A7388" s="170" t="s">
        <v>10853</v>
      </c>
      <c r="B7388" s="170" t="s">
        <v>10854</v>
      </c>
      <c r="C7388" s="170" t="s">
        <v>89</v>
      </c>
      <c r="D7388" s="170" t="s">
        <v>2067</v>
      </c>
      <c r="E7388" s="171" t="s">
        <v>34983</v>
      </c>
      <c r="F7388" s="171" t="s">
        <v>37247</v>
      </c>
      <c r="H7388" s="96">
        <f t="shared" si="479"/>
        <v>34.659999999999997</v>
      </c>
      <c r="I7388" s="96">
        <f t="shared" si="480"/>
        <v>40.29</v>
      </c>
      <c r="J7388" s="91" t="str">
        <f t="shared" si="481"/>
        <v>Sinapi 101304</v>
      </c>
      <c r="K7388" s="91" t="str">
        <f t="shared" si="482"/>
        <v>MES</v>
      </c>
      <c r="L7388" s="166" t="str">
        <f t="shared" si="478"/>
        <v/>
      </c>
    </row>
    <row r="7389" spans="1:12" x14ac:dyDescent="0.25">
      <c r="A7389" s="170" t="s">
        <v>10855</v>
      </c>
      <c r="B7389" s="170" t="s">
        <v>10856</v>
      </c>
      <c r="C7389" s="170" t="s">
        <v>89</v>
      </c>
      <c r="D7389" s="170" t="s">
        <v>2067</v>
      </c>
      <c r="E7389" s="171" t="s">
        <v>22770</v>
      </c>
      <c r="F7389" s="171" t="s">
        <v>29035</v>
      </c>
      <c r="H7389" s="96">
        <f t="shared" si="479"/>
        <v>37.549999999999997</v>
      </c>
      <c r="I7389" s="96">
        <f t="shared" si="480"/>
        <v>43.65</v>
      </c>
      <c r="J7389" s="91" t="str">
        <f t="shared" si="481"/>
        <v>Sinapi 101305</v>
      </c>
      <c r="K7389" s="91" t="str">
        <f t="shared" si="482"/>
        <v>MES</v>
      </c>
      <c r="L7389" s="166" t="str">
        <f t="shared" si="478"/>
        <v/>
      </c>
    </row>
    <row r="7390" spans="1:12" x14ac:dyDescent="0.25">
      <c r="A7390" s="170" t="s">
        <v>10857</v>
      </c>
      <c r="B7390" s="170" t="s">
        <v>10858</v>
      </c>
      <c r="C7390" s="170" t="s">
        <v>89</v>
      </c>
      <c r="D7390" s="170" t="s">
        <v>2067</v>
      </c>
      <c r="E7390" s="171" t="s">
        <v>19875</v>
      </c>
      <c r="F7390" s="171" t="s">
        <v>28482</v>
      </c>
      <c r="H7390" s="96">
        <f t="shared" si="479"/>
        <v>24.53</v>
      </c>
      <c r="I7390" s="96">
        <f t="shared" si="480"/>
        <v>28.51</v>
      </c>
      <c r="J7390" s="91" t="str">
        <f t="shared" si="481"/>
        <v>Sinapi 101307</v>
      </c>
      <c r="K7390" s="91" t="str">
        <f t="shared" si="482"/>
        <v>MES</v>
      </c>
      <c r="L7390" s="166" t="str">
        <f t="shared" si="478"/>
        <v/>
      </c>
    </row>
    <row r="7391" spans="1:12" x14ac:dyDescent="0.25">
      <c r="A7391" s="170" t="s">
        <v>10859</v>
      </c>
      <c r="B7391" s="170" t="s">
        <v>10860</v>
      </c>
      <c r="C7391" s="170" t="s">
        <v>89</v>
      </c>
      <c r="D7391" s="170" t="s">
        <v>2067</v>
      </c>
      <c r="E7391" s="171" t="s">
        <v>22071</v>
      </c>
      <c r="F7391" s="171" t="s">
        <v>21452</v>
      </c>
      <c r="H7391" s="96">
        <f t="shared" si="479"/>
        <v>23.2</v>
      </c>
      <c r="I7391" s="96">
        <f t="shared" si="480"/>
        <v>26.97</v>
      </c>
      <c r="J7391" s="91" t="str">
        <f t="shared" si="481"/>
        <v>Sinapi 101308</v>
      </c>
      <c r="K7391" s="91" t="str">
        <f t="shared" si="482"/>
        <v>MES</v>
      </c>
      <c r="L7391" s="166" t="str">
        <f t="shared" si="478"/>
        <v/>
      </c>
    </row>
    <row r="7392" spans="1:12" x14ac:dyDescent="0.25">
      <c r="A7392" s="170" t="s">
        <v>10861</v>
      </c>
      <c r="B7392" s="170" t="s">
        <v>10862</v>
      </c>
      <c r="C7392" s="170" t="s">
        <v>89</v>
      </c>
      <c r="D7392" s="170" t="s">
        <v>2067</v>
      </c>
      <c r="E7392" s="171" t="s">
        <v>31667</v>
      </c>
      <c r="F7392" s="171" t="s">
        <v>38044</v>
      </c>
      <c r="H7392" s="96">
        <f t="shared" si="479"/>
        <v>32.92</v>
      </c>
      <c r="I7392" s="96">
        <f t="shared" si="480"/>
        <v>38.26</v>
      </c>
      <c r="J7392" s="91" t="str">
        <f t="shared" si="481"/>
        <v>Sinapi 101309</v>
      </c>
      <c r="K7392" s="91" t="str">
        <f t="shared" si="482"/>
        <v>MES</v>
      </c>
      <c r="L7392" s="166" t="str">
        <f t="shared" si="478"/>
        <v/>
      </c>
    </row>
    <row r="7393" spans="1:12" x14ac:dyDescent="0.25">
      <c r="A7393" s="170" t="s">
        <v>10863</v>
      </c>
      <c r="B7393" s="170" t="s">
        <v>10864</v>
      </c>
      <c r="C7393" s="170" t="s">
        <v>89</v>
      </c>
      <c r="D7393" s="170" t="s">
        <v>2067</v>
      </c>
      <c r="E7393" s="171" t="s">
        <v>28483</v>
      </c>
      <c r="F7393" s="171" t="s">
        <v>22982</v>
      </c>
      <c r="H7393" s="96">
        <f t="shared" si="479"/>
        <v>32.64</v>
      </c>
      <c r="I7393" s="96">
        <f t="shared" si="480"/>
        <v>37.94</v>
      </c>
      <c r="J7393" s="91" t="str">
        <f t="shared" si="481"/>
        <v>Sinapi 101310</v>
      </c>
      <c r="K7393" s="91" t="str">
        <f t="shared" si="482"/>
        <v>MES</v>
      </c>
      <c r="L7393" s="166" t="str">
        <f t="shared" si="478"/>
        <v/>
      </c>
    </row>
    <row r="7394" spans="1:12" x14ac:dyDescent="0.25">
      <c r="A7394" s="170" t="s">
        <v>10865</v>
      </c>
      <c r="B7394" s="170" t="s">
        <v>10866</v>
      </c>
      <c r="C7394" s="170" t="s">
        <v>89</v>
      </c>
      <c r="D7394" s="170" t="s">
        <v>2067</v>
      </c>
      <c r="E7394" s="171" t="s">
        <v>28695</v>
      </c>
      <c r="F7394" s="171" t="s">
        <v>35078</v>
      </c>
      <c r="H7394" s="96">
        <f t="shared" si="479"/>
        <v>27.08</v>
      </c>
      <c r="I7394" s="96">
        <f t="shared" si="480"/>
        <v>31.48</v>
      </c>
      <c r="J7394" s="91" t="str">
        <f t="shared" si="481"/>
        <v>Sinapi 101311</v>
      </c>
      <c r="K7394" s="91" t="str">
        <f t="shared" si="482"/>
        <v>MES</v>
      </c>
      <c r="L7394" s="166" t="str">
        <f t="shared" si="478"/>
        <v/>
      </c>
    </row>
    <row r="7395" spans="1:12" x14ac:dyDescent="0.25">
      <c r="A7395" s="170" t="s">
        <v>10867</v>
      </c>
      <c r="B7395" s="170" t="s">
        <v>10868</v>
      </c>
      <c r="C7395" s="170" t="s">
        <v>89</v>
      </c>
      <c r="D7395" s="170" t="s">
        <v>2067</v>
      </c>
      <c r="E7395" s="171" t="s">
        <v>19379</v>
      </c>
      <c r="F7395" s="171" t="s">
        <v>17967</v>
      </c>
      <c r="H7395" s="96">
        <f t="shared" si="479"/>
        <v>20.420000000000002</v>
      </c>
      <c r="I7395" s="96">
        <f t="shared" si="480"/>
        <v>23.74</v>
      </c>
      <c r="J7395" s="91" t="str">
        <f t="shared" si="481"/>
        <v>Sinapi 101312</v>
      </c>
      <c r="K7395" s="91" t="str">
        <f t="shared" si="482"/>
        <v>MES</v>
      </c>
      <c r="L7395" s="166" t="str">
        <f t="shared" si="478"/>
        <v/>
      </c>
    </row>
    <row r="7396" spans="1:12" x14ac:dyDescent="0.25">
      <c r="A7396" s="170" t="s">
        <v>10869</v>
      </c>
      <c r="B7396" s="170" t="s">
        <v>10870</v>
      </c>
      <c r="C7396" s="170" t="s">
        <v>89</v>
      </c>
      <c r="D7396" s="170" t="s">
        <v>2067</v>
      </c>
      <c r="E7396" s="171" t="s">
        <v>29442</v>
      </c>
      <c r="F7396" s="171" t="s">
        <v>38045</v>
      </c>
      <c r="H7396" s="96">
        <f t="shared" si="479"/>
        <v>87.62</v>
      </c>
      <c r="I7396" s="96">
        <f t="shared" si="480"/>
        <v>101.84</v>
      </c>
      <c r="J7396" s="91" t="str">
        <f t="shared" si="481"/>
        <v>Sinapi 101313</v>
      </c>
      <c r="K7396" s="91" t="str">
        <f t="shared" si="482"/>
        <v>MES</v>
      </c>
      <c r="L7396" s="166" t="str">
        <f t="shared" si="478"/>
        <v/>
      </c>
    </row>
    <row r="7397" spans="1:12" x14ac:dyDescent="0.25">
      <c r="A7397" s="170" t="s">
        <v>10871</v>
      </c>
      <c r="B7397" s="170" t="s">
        <v>10872</v>
      </c>
      <c r="C7397" s="170" t="s">
        <v>89</v>
      </c>
      <c r="D7397" s="170" t="s">
        <v>2067</v>
      </c>
      <c r="E7397" s="171" t="s">
        <v>29442</v>
      </c>
      <c r="F7397" s="171" t="s">
        <v>38045</v>
      </c>
      <c r="H7397" s="96">
        <f t="shared" si="479"/>
        <v>87.62</v>
      </c>
      <c r="I7397" s="96">
        <f t="shared" si="480"/>
        <v>101.84</v>
      </c>
      <c r="J7397" s="91" t="str">
        <f t="shared" si="481"/>
        <v>Sinapi 101314</v>
      </c>
      <c r="K7397" s="91" t="str">
        <f t="shared" si="482"/>
        <v>MES</v>
      </c>
      <c r="L7397" s="166" t="str">
        <f t="shared" si="478"/>
        <v/>
      </c>
    </row>
    <row r="7398" spans="1:12" x14ac:dyDescent="0.25">
      <c r="A7398" s="170" t="s">
        <v>10873</v>
      </c>
      <c r="B7398" s="170" t="s">
        <v>10874</v>
      </c>
      <c r="C7398" s="170" t="s">
        <v>89</v>
      </c>
      <c r="D7398" s="170" t="s">
        <v>2067</v>
      </c>
      <c r="E7398" s="171" t="s">
        <v>34984</v>
      </c>
      <c r="F7398" s="171" t="s">
        <v>29194</v>
      </c>
      <c r="H7398" s="96">
        <f t="shared" si="479"/>
        <v>83.28</v>
      </c>
      <c r="I7398" s="96">
        <f t="shared" si="480"/>
        <v>96.81</v>
      </c>
      <c r="J7398" s="91" t="str">
        <f t="shared" si="481"/>
        <v>Sinapi 101315</v>
      </c>
      <c r="K7398" s="91" t="str">
        <f t="shared" si="482"/>
        <v>MES</v>
      </c>
      <c r="L7398" s="166" t="str">
        <f t="shared" si="478"/>
        <v/>
      </c>
    </row>
    <row r="7399" spans="1:12" x14ac:dyDescent="0.25">
      <c r="A7399" s="170" t="s">
        <v>10875</v>
      </c>
      <c r="B7399" s="170" t="s">
        <v>10876</v>
      </c>
      <c r="C7399" s="170" t="s">
        <v>89</v>
      </c>
      <c r="D7399" s="170" t="s">
        <v>2067</v>
      </c>
      <c r="E7399" s="171" t="s">
        <v>21445</v>
      </c>
      <c r="F7399" s="171" t="s">
        <v>23480</v>
      </c>
      <c r="H7399" s="96">
        <f t="shared" si="479"/>
        <v>42.22</v>
      </c>
      <c r="I7399" s="96">
        <f t="shared" si="480"/>
        <v>49.07</v>
      </c>
      <c r="J7399" s="91" t="str">
        <f t="shared" si="481"/>
        <v>Sinapi 101316</v>
      </c>
      <c r="K7399" s="91" t="str">
        <f t="shared" si="482"/>
        <v>MES</v>
      </c>
      <c r="L7399" s="166" t="str">
        <f t="shared" si="478"/>
        <v/>
      </c>
    </row>
    <row r="7400" spans="1:12" x14ac:dyDescent="0.25">
      <c r="A7400" s="170" t="s">
        <v>10877</v>
      </c>
      <c r="B7400" s="170" t="s">
        <v>10878</v>
      </c>
      <c r="C7400" s="170" t="s">
        <v>89</v>
      </c>
      <c r="D7400" s="170" t="s">
        <v>2067</v>
      </c>
      <c r="E7400" s="171" t="s">
        <v>34128</v>
      </c>
      <c r="F7400" s="171" t="s">
        <v>38046</v>
      </c>
      <c r="H7400" s="96">
        <f t="shared" si="479"/>
        <v>235.53</v>
      </c>
      <c r="I7400" s="96">
        <f t="shared" si="480"/>
        <v>273.77</v>
      </c>
      <c r="J7400" s="91" t="str">
        <f t="shared" si="481"/>
        <v>Sinapi 101317</v>
      </c>
      <c r="K7400" s="91" t="str">
        <f t="shared" si="482"/>
        <v>MES</v>
      </c>
      <c r="L7400" s="166" t="str">
        <f t="shared" si="478"/>
        <v/>
      </c>
    </row>
    <row r="7401" spans="1:12" x14ac:dyDescent="0.25">
      <c r="A7401" s="170" t="s">
        <v>10879</v>
      </c>
      <c r="B7401" s="170" t="s">
        <v>10880</v>
      </c>
      <c r="C7401" s="170" t="s">
        <v>89</v>
      </c>
      <c r="D7401" s="170" t="s">
        <v>2067</v>
      </c>
      <c r="E7401" s="171" t="s">
        <v>34985</v>
      </c>
      <c r="F7401" s="171" t="s">
        <v>38047</v>
      </c>
      <c r="H7401" s="96">
        <f t="shared" si="479"/>
        <v>643.77</v>
      </c>
      <c r="I7401" s="96">
        <f t="shared" si="480"/>
        <v>748.29</v>
      </c>
      <c r="J7401" s="91" t="str">
        <f t="shared" si="481"/>
        <v>Sinapi 101318</v>
      </c>
      <c r="K7401" s="91" t="str">
        <f t="shared" si="482"/>
        <v>MES</v>
      </c>
      <c r="L7401" s="166" t="str">
        <f t="shared" si="478"/>
        <v/>
      </c>
    </row>
    <row r="7402" spans="1:12" x14ac:dyDescent="0.25">
      <c r="A7402" s="170" t="s">
        <v>10881</v>
      </c>
      <c r="B7402" s="170" t="s">
        <v>10882</v>
      </c>
      <c r="C7402" s="170" t="s">
        <v>89</v>
      </c>
      <c r="D7402" s="170" t="s">
        <v>2067</v>
      </c>
      <c r="E7402" s="171" t="s">
        <v>34986</v>
      </c>
      <c r="F7402" s="171" t="s">
        <v>38048</v>
      </c>
      <c r="H7402" s="96">
        <f t="shared" si="479"/>
        <v>93.86</v>
      </c>
      <c r="I7402" s="96">
        <f t="shared" si="480"/>
        <v>109.1</v>
      </c>
      <c r="J7402" s="91" t="str">
        <f t="shared" si="481"/>
        <v>Sinapi 101319</v>
      </c>
      <c r="K7402" s="91" t="str">
        <f t="shared" si="482"/>
        <v>MES</v>
      </c>
      <c r="L7402" s="166" t="str">
        <f t="shared" si="478"/>
        <v/>
      </c>
    </row>
    <row r="7403" spans="1:12" x14ac:dyDescent="0.25">
      <c r="A7403" s="170" t="s">
        <v>10883</v>
      </c>
      <c r="B7403" s="170" t="s">
        <v>10884</v>
      </c>
      <c r="C7403" s="170" t="s">
        <v>89</v>
      </c>
      <c r="D7403" s="170" t="s">
        <v>2067</v>
      </c>
      <c r="E7403" s="171" t="s">
        <v>30759</v>
      </c>
      <c r="F7403" s="171" t="s">
        <v>30698</v>
      </c>
      <c r="H7403" s="96">
        <f t="shared" si="479"/>
        <v>20.83</v>
      </c>
      <c r="I7403" s="96">
        <f t="shared" si="480"/>
        <v>24.21</v>
      </c>
      <c r="J7403" s="91" t="str">
        <f t="shared" si="481"/>
        <v>Sinapi 101320</v>
      </c>
      <c r="K7403" s="91" t="str">
        <f t="shared" si="482"/>
        <v>MES</v>
      </c>
      <c r="L7403" s="166" t="str">
        <f t="shared" si="478"/>
        <v/>
      </c>
    </row>
    <row r="7404" spans="1:12" x14ac:dyDescent="0.25">
      <c r="A7404" s="170" t="s">
        <v>10885</v>
      </c>
      <c r="B7404" s="170" t="s">
        <v>10886</v>
      </c>
      <c r="C7404" s="170" t="s">
        <v>89</v>
      </c>
      <c r="D7404" s="170" t="s">
        <v>2067</v>
      </c>
      <c r="E7404" s="171" t="s">
        <v>21169</v>
      </c>
      <c r="F7404" s="171" t="s">
        <v>30911</v>
      </c>
      <c r="H7404" s="96">
        <f t="shared" si="479"/>
        <v>26.37</v>
      </c>
      <c r="I7404" s="96">
        <f t="shared" si="480"/>
        <v>30.66</v>
      </c>
      <c r="J7404" s="91" t="str">
        <f t="shared" si="481"/>
        <v>Sinapi 101322</v>
      </c>
      <c r="K7404" s="91" t="str">
        <f t="shared" si="482"/>
        <v>MES</v>
      </c>
      <c r="L7404" s="166" t="str">
        <f t="shared" si="478"/>
        <v/>
      </c>
    </row>
    <row r="7405" spans="1:12" x14ac:dyDescent="0.25">
      <c r="A7405" s="170" t="s">
        <v>10887</v>
      </c>
      <c r="B7405" s="170" t="s">
        <v>10888</v>
      </c>
      <c r="C7405" s="170" t="s">
        <v>89</v>
      </c>
      <c r="D7405" s="170" t="s">
        <v>2067</v>
      </c>
      <c r="E7405" s="171" t="s">
        <v>33019</v>
      </c>
      <c r="F7405" s="171" t="s">
        <v>29827</v>
      </c>
      <c r="H7405" s="96">
        <f t="shared" si="479"/>
        <v>44.61</v>
      </c>
      <c r="I7405" s="96">
        <f t="shared" si="480"/>
        <v>51.85</v>
      </c>
      <c r="J7405" s="91" t="str">
        <f t="shared" si="481"/>
        <v>Sinapi 101323</v>
      </c>
      <c r="K7405" s="91" t="str">
        <f t="shared" si="482"/>
        <v>MES</v>
      </c>
      <c r="L7405" s="166" t="str">
        <f t="shared" si="478"/>
        <v/>
      </c>
    </row>
    <row r="7406" spans="1:12" x14ac:dyDescent="0.25">
      <c r="A7406" s="170" t="s">
        <v>10889</v>
      </c>
      <c r="B7406" s="170" t="s">
        <v>10890</v>
      </c>
      <c r="C7406" s="170" t="s">
        <v>89</v>
      </c>
      <c r="D7406" s="170" t="s">
        <v>2067</v>
      </c>
      <c r="E7406" s="171" t="s">
        <v>14898</v>
      </c>
      <c r="F7406" s="171" t="s">
        <v>11131</v>
      </c>
      <c r="H7406" s="96">
        <f t="shared" si="479"/>
        <v>12.42</v>
      </c>
      <c r="I7406" s="96">
        <f t="shared" si="480"/>
        <v>14.43</v>
      </c>
      <c r="J7406" s="91" t="str">
        <f t="shared" si="481"/>
        <v>Sinapi 101324</v>
      </c>
      <c r="K7406" s="91" t="str">
        <f t="shared" si="482"/>
        <v>MES</v>
      </c>
      <c r="L7406" s="166" t="str">
        <f t="shared" si="478"/>
        <v/>
      </c>
    </row>
    <row r="7407" spans="1:12" x14ac:dyDescent="0.25">
      <c r="A7407" s="170" t="s">
        <v>10891</v>
      </c>
      <c r="B7407" s="170" t="s">
        <v>10892</v>
      </c>
      <c r="C7407" s="170" t="s">
        <v>89</v>
      </c>
      <c r="D7407" s="170" t="s">
        <v>2067</v>
      </c>
      <c r="E7407" s="171" t="s">
        <v>22106</v>
      </c>
      <c r="F7407" s="171" t="s">
        <v>38049</v>
      </c>
      <c r="H7407" s="96">
        <f t="shared" si="479"/>
        <v>33.17</v>
      </c>
      <c r="I7407" s="96">
        <f t="shared" si="480"/>
        <v>38.549999999999997</v>
      </c>
      <c r="J7407" s="91" t="str">
        <f t="shared" si="481"/>
        <v>Sinapi 101325</v>
      </c>
      <c r="K7407" s="91" t="str">
        <f t="shared" si="482"/>
        <v>MES</v>
      </c>
      <c r="L7407" s="166" t="str">
        <f t="shared" si="478"/>
        <v/>
      </c>
    </row>
    <row r="7408" spans="1:12" x14ac:dyDescent="0.25">
      <c r="A7408" s="170" t="s">
        <v>10893</v>
      </c>
      <c r="B7408" s="170" t="s">
        <v>10894</v>
      </c>
      <c r="C7408" s="170" t="s">
        <v>89</v>
      </c>
      <c r="D7408" s="170" t="s">
        <v>2067</v>
      </c>
      <c r="E7408" s="171" t="s">
        <v>15785</v>
      </c>
      <c r="F7408" s="171" t="s">
        <v>15518</v>
      </c>
      <c r="H7408" s="96">
        <f t="shared" si="479"/>
        <v>8.9600000000000009</v>
      </c>
      <c r="I7408" s="96">
        <f t="shared" si="480"/>
        <v>10.42</v>
      </c>
      <c r="J7408" s="91" t="str">
        <f t="shared" si="481"/>
        <v>Sinapi 101326</v>
      </c>
      <c r="K7408" s="91" t="str">
        <f t="shared" si="482"/>
        <v>MES</v>
      </c>
      <c r="L7408" s="166" t="str">
        <f t="shared" si="478"/>
        <v/>
      </c>
    </row>
    <row r="7409" spans="1:12" x14ac:dyDescent="0.25">
      <c r="A7409" s="170" t="s">
        <v>10895</v>
      </c>
      <c r="B7409" s="170" t="s">
        <v>10896</v>
      </c>
      <c r="C7409" s="170" t="s">
        <v>89</v>
      </c>
      <c r="D7409" s="170" t="s">
        <v>2067</v>
      </c>
      <c r="E7409" s="171" t="s">
        <v>21994</v>
      </c>
      <c r="F7409" s="171" t="s">
        <v>23132</v>
      </c>
      <c r="H7409" s="96">
        <f t="shared" si="479"/>
        <v>7.42</v>
      </c>
      <c r="I7409" s="96">
        <f t="shared" si="480"/>
        <v>8.6300000000000008</v>
      </c>
      <c r="J7409" s="91" t="str">
        <f t="shared" si="481"/>
        <v>Sinapi 101327</v>
      </c>
      <c r="K7409" s="91" t="str">
        <f t="shared" si="482"/>
        <v>MES</v>
      </c>
      <c r="L7409" s="166" t="str">
        <f t="shared" si="478"/>
        <v/>
      </c>
    </row>
    <row r="7410" spans="1:12" x14ac:dyDescent="0.25">
      <c r="A7410" s="170" t="s">
        <v>10897</v>
      </c>
      <c r="B7410" s="170" t="s">
        <v>10898</v>
      </c>
      <c r="C7410" s="170" t="s">
        <v>89</v>
      </c>
      <c r="D7410" s="170" t="s">
        <v>2067</v>
      </c>
      <c r="E7410" s="171" t="s">
        <v>28654</v>
      </c>
      <c r="F7410" s="171" t="s">
        <v>20029</v>
      </c>
      <c r="H7410" s="96">
        <f t="shared" si="479"/>
        <v>14.86</v>
      </c>
      <c r="I7410" s="96">
        <f t="shared" si="480"/>
        <v>17.28</v>
      </c>
      <c r="J7410" s="91" t="str">
        <f t="shared" si="481"/>
        <v>Sinapi 101328</v>
      </c>
      <c r="K7410" s="91" t="str">
        <f t="shared" si="482"/>
        <v>MES</v>
      </c>
      <c r="L7410" s="166" t="str">
        <f t="shared" si="478"/>
        <v/>
      </c>
    </row>
    <row r="7411" spans="1:12" x14ac:dyDescent="0.25">
      <c r="A7411" s="170" t="s">
        <v>10899</v>
      </c>
      <c r="B7411" s="170" t="s">
        <v>10900</v>
      </c>
      <c r="C7411" s="170" t="s">
        <v>89</v>
      </c>
      <c r="D7411" s="170" t="s">
        <v>2067</v>
      </c>
      <c r="E7411" s="171" t="s">
        <v>33550</v>
      </c>
      <c r="F7411" s="171" t="s">
        <v>36935</v>
      </c>
      <c r="H7411" s="96">
        <f t="shared" si="479"/>
        <v>41.15</v>
      </c>
      <c r="I7411" s="96">
        <f t="shared" si="480"/>
        <v>47.83</v>
      </c>
      <c r="J7411" s="91" t="str">
        <f t="shared" si="481"/>
        <v>Sinapi 101329</v>
      </c>
      <c r="K7411" s="91" t="str">
        <f t="shared" si="482"/>
        <v>MES</v>
      </c>
      <c r="L7411" s="166" t="str">
        <f t="shared" si="478"/>
        <v/>
      </c>
    </row>
    <row r="7412" spans="1:12" x14ac:dyDescent="0.25">
      <c r="A7412" s="170" t="s">
        <v>10901</v>
      </c>
      <c r="B7412" s="170" t="s">
        <v>10902</v>
      </c>
      <c r="C7412" s="170" t="s">
        <v>89</v>
      </c>
      <c r="D7412" s="170" t="s">
        <v>2067</v>
      </c>
      <c r="E7412" s="171" t="s">
        <v>28781</v>
      </c>
      <c r="F7412" s="171" t="s">
        <v>21996</v>
      </c>
      <c r="H7412" s="96">
        <f t="shared" si="479"/>
        <v>32.119999999999997</v>
      </c>
      <c r="I7412" s="96">
        <f t="shared" si="480"/>
        <v>37.340000000000003</v>
      </c>
      <c r="J7412" s="91" t="str">
        <f t="shared" si="481"/>
        <v>Sinapi 101330</v>
      </c>
      <c r="K7412" s="91" t="str">
        <f t="shared" si="482"/>
        <v>MES</v>
      </c>
      <c r="L7412" s="166" t="str">
        <f t="shared" si="478"/>
        <v/>
      </c>
    </row>
    <row r="7413" spans="1:12" x14ac:dyDescent="0.25">
      <c r="A7413" s="170" t="s">
        <v>10903</v>
      </c>
      <c r="B7413" s="170" t="s">
        <v>10904</v>
      </c>
      <c r="C7413" s="170" t="s">
        <v>89</v>
      </c>
      <c r="D7413" s="170" t="s">
        <v>2067</v>
      </c>
      <c r="E7413" s="171" t="s">
        <v>34983</v>
      </c>
      <c r="F7413" s="171" t="s">
        <v>37247</v>
      </c>
      <c r="H7413" s="96">
        <f t="shared" si="479"/>
        <v>34.659999999999997</v>
      </c>
      <c r="I7413" s="96">
        <f t="shared" si="480"/>
        <v>40.29</v>
      </c>
      <c r="J7413" s="91" t="str">
        <f t="shared" si="481"/>
        <v>Sinapi 101331</v>
      </c>
      <c r="K7413" s="91" t="str">
        <f t="shared" si="482"/>
        <v>MES</v>
      </c>
      <c r="L7413" s="166" t="str">
        <f t="shared" si="478"/>
        <v/>
      </c>
    </row>
    <row r="7414" spans="1:12" x14ac:dyDescent="0.25">
      <c r="A7414" s="170" t="s">
        <v>10905</v>
      </c>
      <c r="B7414" s="170" t="s">
        <v>10906</v>
      </c>
      <c r="C7414" s="170" t="s">
        <v>89</v>
      </c>
      <c r="D7414" s="170" t="s">
        <v>2067</v>
      </c>
      <c r="E7414" s="171" t="s">
        <v>14783</v>
      </c>
      <c r="F7414" s="171" t="s">
        <v>5535</v>
      </c>
      <c r="H7414" s="96">
        <f t="shared" si="479"/>
        <v>7.17</v>
      </c>
      <c r="I7414" s="96">
        <f t="shared" si="480"/>
        <v>8.34</v>
      </c>
      <c r="J7414" s="91" t="str">
        <f t="shared" si="481"/>
        <v>Sinapi 101332</v>
      </c>
      <c r="K7414" s="91" t="str">
        <f t="shared" si="482"/>
        <v>MES</v>
      </c>
      <c r="L7414" s="166" t="str">
        <f t="shared" si="478"/>
        <v/>
      </c>
    </row>
    <row r="7415" spans="1:12" x14ac:dyDescent="0.25">
      <c r="A7415" s="170" t="s">
        <v>10907</v>
      </c>
      <c r="B7415" s="170" t="s">
        <v>10908</v>
      </c>
      <c r="C7415" s="170" t="s">
        <v>89</v>
      </c>
      <c r="D7415" s="170" t="s">
        <v>2067</v>
      </c>
      <c r="E7415" s="171" t="s">
        <v>34987</v>
      </c>
      <c r="F7415" s="171" t="s">
        <v>19401</v>
      </c>
      <c r="H7415" s="96">
        <f t="shared" si="479"/>
        <v>27.55</v>
      </c>
      <c r="I7415" s="96">
        <f t="shared" si="480"/>
        <v>32.020000000000003</v>
      </c>
      <c r="J7415" s="91" t="str">
        <f t="shared" si="481"/>
        <v>Sinapi 101333</v>
      </c>
      <c r="K7415" s="91" t="str">
        <f t="shared" si="482"/>
        <v>MES</v>
      </c>
      <c r="L7415" s="166" t="str">
        <f t="shared" si="478"/>
        <v/>
      </c>
    </row>
    <row r="7416" spans="1:12" x14ac:dyDescent="0.25">
      <c r="A7416" s="170" t="s">
        <v>10909</v>
      </c>
      <c r="B7416" s="170" t="s">
        <v>10910</v>
      </c>
      <c r="C7416" s="170" t="s">
        <v>89</v>
      </c>
      <c r="D7416" s="170" t="s">
        <v>2067</v>
      </c>
      <c r="E7416" s="171" t="s">
        <v>23241</v>
      </c>
      <c r="F7416" s="171" t="s">
        <v>38050</v>
      </c>
      <c r="H7416" s="96">
        <f t="shared" si="479"/>
        <v>67.16</v>
      </c>
      <c r="I7416" s="96">
        <f t="shared" si="480"/>
        <v>78.069999999999993</v>
      </c>
      <c r="J7416" s="91" t="str">
        <f t="shared" si="481"/>
        <v>Sinapi 101334</v>
      </c>
      <c r="K7416" s="91" t="str">
        <f t="shared" si="482"/>
        <v>MES</v>
      </c>
      <c r="L7416" s="166" t="str">
        <f t="shared" si="478"/>
        <v/>
      </c>
    </row>
    <row r="7417" spans="1:12" x14ac:dyDescent="0.25">
      <c r="A7417" s="170" t="s">
        <v>10911</v>
      </c>
      <c r="B7417" s="170" t="s">
        <v>10912</v>
      </c>
      <c r="C7417" s="170" t="s">
        <v>89</v>
      </c>
      <c r="D7417" s="170" t="s">
        <v>2067</v>
      </c>
      <c r="E7417" s="171" t="s">
        <v>20009</v>
      </c>
      <c r="F7417" s="171" t="s">
        <v>21064</v>
      </c>
      <c r="H7417" s="96">
        <f t="shared" si="479"/>
        <v>11.14</v>
      </c>
      <c r="I7417" s="96">
        <f t="shared" si="480"/>
        <v>12.95</v>
      </c>
      <c r="J7417" s="91" t="str">
        <f t="shared" si="481"/>
        <v>Sinapi 101335</v>
      </c>
      <c r="K7417" s="91" t="str">
        <f t="shared" si="482"/>
        <v>MES</v>
      </c>
      <c r="L7417" s="166" t="str">
        <f t="shared" si="478"/>
        <v/>
      </c>
    </row>
    <row r="7418" spans="1:12" x14ac:dyDescent="0.25">
      <c r="A7418" s="170" t="s">
        <v>10913</v>
      </c>
      <c r="B7418" s="170" t="s">
        <v>10914</v>
      </c>
      <c r="C7418" s="170" t="s">
        <v>89</v>
      </c>
      <c r="D7418" s="170" t="s">
        <v>2067</v>
      </c>
      <c r="E7418" s="171" t="s">
        <v>34988</v>
      </c>
      <c r="F7418" s="171" t="s">
        <v>23206</v>
      </c>
      <c r="H7418" s="96">
        <f t="shared" si="479"/>
        <v>34.630000000000003</v>
      </c>
      <c r="I7418" s="96">
        <f t="shared" si="480"/>
        <v>40.26</v>
      </c>
      <c r="J7418" s="91" t="str">
        <f t="shared" si="481"/>
        <v>Sinapi 101336</v>
      </c>
      <c r="K7418" s="91" t="str">
        <f t="shared" si="482"/>
        <v>MES</v>
      </c>
      <c r="L7418" s="166" t="str">
        <f t="shared" si="478"/>
        <v/>
      </c>
    </row>
    <row r="7419" spans="1:12" x14ac:dyDescent="0.25">
      <c r="A7419" s="170" t="s">
        <v>10915</v>
      </c>
      <c r="B7419" s="170" t="s">
        <v>10916</v>
      </c>
      <c r="C7419" s="170" t="s">
        <v>89</v>
      </c>
      <c r="D7419" s="170" t="s">
        <v>2067</v>
      </c>
      <c r="E7419" s="171" t="s">
        <v>22755</v>
      </c>
      <c r="F7419" s="171" t="s">
        <v>30251</v>
      </c>
      <c r="H7419" s="96">
        <f t="shared" si="479"/>
        <v>16.940000000000001</v>
      </c>
      <c r="I7419" s="96">
        <f t="shared" si="480"/>
        <v>19.690000000000001</v>
      </c>
      <c r="J7419" s="91" t="str">
        <f t="shared" si="481"/>
        <v>Sinapi 101337</v>
      </c>
      <c r="K7419" s="91" t="str">
        <f t="shared" si="482"/>
        <v>MES</v>
      </c>
      <c r="L7419" s="166" t="str">
        <f t="shared" si="478"/>
        <v/>
      </c>
    </row>
    <row r="7420" spans="1:12" x14ac:dyDescent="0.25">
      <c r="A7420" s="170" t="s">
        <v>10917</v>
      </c>
      <c r="B7420" s="170" t="s">
        <v>10918</v>
      </c>
      <c r="C7420" s="170" t="s">
        <v>89</v>
      </c>
      <c r="D7420" s="170" t="s">
        <v>2067</v>
      </c>
      <c r="E7420" s="171" t="s">
        <v>15790</v>
      </c>
      <c r="F7420" s="171" t="s">
        <v>20100</v>
      </c>
      <c r="H7420" s="96">
        <f t="shared" si="479"/>
        <v>20.7</v>
      </c>
      <c r="I7420" s="96">
        <f t="shared" si="480"/>
        <v>24.06</v>
      </c>
      <c r="J7420" s="91" t="str">
        <f t="shared" si="481"/>
        <v>Sinapi 101338</v>
      </c>
      <c r="K7420" s="91" t="str">
        <f t="shared" si="482"/>
        <v>MES</v>
      </c>
      <c r="L7420" s="166" t="str">
        <f t="shared" si="478"/>
        <v/>
      </c>
    </row>
    <row r="7421" spans="1:12" x14ac:dyDescent="0.25">
      <c r="A7421" s="170" t="s">
        <v>10919</v>
      </c>
      <c r="B7421" s="170" t="s">
        <v>10920</v>
      </c>
      <c r="C7421" s="170" t="s">
        <v>89</v>
      </c>
      <c r="D7421" s="170" t="s">
        <v>2067</v>
      </c>
      <c r="E7421" s="171" t="s">
        <v>20635</v>
      </c>
      <c r="F7421" s="171" t="s">
        <v>29264</v>
      </c>
      <c r="H7421" s="96">
        <f t="shared" si="479"/>
        <v>18.03</v>
      </c>
      <c r="I7421" s="96">
        <f t="shared" si="480"/>
        <v>20.95</v>
      </c>
      <c r="J7421" s="91" t="str">
        <f t="shared" si="481"/>
        <v>Sinapi 101339</v>
      </c>
      <c r="K7421" s="91" t="str">
        <f t="shared" si="482"/>
        <v>MES</v>
      </c>
      <c r="L7421" s="166" t="str">
        <f t="shared" si="478"/>
        <v/>
      </c>
    </row>
    <row r="7422" spans="1:12" x14ac:dyDescent="0.25">
      <c r="A7422" s="170" t="s">
        <v>10921</v>
      </c>
      <c r="B7422" s="170" t="s">
        <v>10922</v>
      </c>
      <c r="C7422" s="170" t="s">
        <v>89</v>
      </c>
      <c r="D7422" s="170" t="s">
        <v>2067</v>
      </c>
      <c r="E7422" s="171" t="s">
        <v>30555</v>
      </c>
      <c r="F7422" s="171" t="s">
        <v>34127</v>
      </c>
      <c r="H7422" s="96">
        <f t="shared" si="479"/>
        <v>17.399999999999999</v>
      </c>
      <c r="I7422" s="96">
        <f t="shared" si="480"/>
        <v>20.22</v>
      </c>
      <c r="J7422" s="91" t="str">
        <f t="shared" si="481"/>
        <v>Sinapi 101340</v>
      </c>
      <c r="K7422" s="91" t="str">
        <f t="shared" si="482"/>
        <v>MES</v>
      </c>
      <c r="L7422" s="166" t="str">
        <f t="shared" si="478"/>
        <v/>
      </c>
    </row>
    <row r="7423" spans="1:12" x14ac:dyDescent="0.25">
      <c r="A7423" s="170" t="s">
        <v>10923</v>
      </c>
      <c r="B7423" s="170" t="s">
        <v>10924</v>
      </c>
      <c r="C7423" s="170" t="s">
        <v>89</v>
      </c>
      <c r="D7423" s="170" t="s">
        <v>2067</v>
      </c>
      <c r="E7423" s="171" t="s">
        <v>18353</v>
      </c>
      <c r="F7423" s="171" t="s">
        <v>15771</v>
      </c>
      <c r="H7423" s="96">
        <f t="shared" si="479"/>
        <v>18.670000000000002</v>
      </c>
      <c r="I7423" s="96">
        <f t="shared" si="480"/>
        <v>21.7</v>
      </c>
      <c r="J7423" s="91" t="str">
        <f t="shared" si="481"/>
        <v>Sinapi 101341</v>
      </c>
      <c r="K7423" s="91" t="str">
        <f t="shared" si="482"/>
        <v>MES</v>
      </c>
      <c r="L7423" s="166" t="str">
        <f t="shared" si="478"/>
        <v/>
      </c>
    </row>
    <row r="7424" spans="1:12" x14ac:dyDescent="0.25">
      <c r="A7424" s="170" t="s">
        <v>10925</v>
      </c>
      <c r="B7424" s="170" t="s">
        <v>10926</v>
      </c>
      <c r="C7424" s="170" t="s">
        <v>89</v>
      </c>
      <c r="D7424" s="170" t="s">
        <v>2067</v>
      </c>
      <c r="E7424" s="171" t="s">
        <v>20445</v>
      </c>
      <c r="F7424" s="171" t="s">
        <v>19368</v>
      </c>
      <c r="H7424" s="96">
        <f t="shared" si="479"/>
        <v>22.19</v>
      </c>
      <c r="I7424" s="96">
        <f t="shared" si="480"/>
        <v>25.79</v>
      </c>
      <c r="J7424" s="91" t="str">
        <f t="shared" si="481"/>
        <v>Sinapi 101342</v>
      </c>
      <c r="K7424" s="91" t="str">
        <f t="shared" si="482"/>
        <v>MES</v>
      </c>
      <c r="L7424" s="166" t="str">
        <f t="shared" si="478"/>
        <v/>
      </c>
    </row>
    <row r="7425" spans="1:12" x14ac:dyDescent="0.25">
      <c r="A7425" s="170" t="s">
        <v>10927</v>
      </c>
      <c r="B7425" s="170" t="s">
        <v>10928</v>
      </c>
      <c r="C7425" s="170" t="s">
        <v>89</v>
      </c>
      <c r="D7425" s="170" t="s">
        <v>2067</v>
      </c>
      <c r="E7425" s="171" t="s">
        <v>34989</v>
      </c>
      <c r="F7425" s="171" t="s">
        <v>24573</v>
      </c>
      <c r="H7425" s="96">
        <f t="shared" si="479"/>
        <v>33.71</v>
      </c>
      <c r="I7425" s="96">
        <f t="shared" si="480"/>
        <v>39.18</v>
      </c>
      <c r="J7425" s="91" t="str">
        <f t="shared" si="481"/>
        <v>Sinapi 101343</v>
      </c>
      <c r="K7425" s="91" t="str">
        <f t="shared" si="482"/>
        <v>MES</v>
      </c>
      <c r="L7425" s="166" t="str">
        <f t="shared" si="478"/>
        <v/>
      </c>
    </row>
    <row r="7426" spans="1:12" x14ac:dyDescent="0.25">
      <c r="A7426" s="170" t="s">
        <v>10929</v>
      </c>
      <c r="B7426" s="170" t="s">
        <v>10930</v>
      </c>
      <c r="C7426" s="170" t="s">
        <v>89</v>
      </c>
      <c r="D7426" s="170" t="s">
        <v>2067</v>
      </c>
      <c r="E7426" s="171" t="s">
        <v>22823</v>
      </c>
      <c r="F7426" s="171" t="s">
        <v>33552</v>
      </c>
      <c r="H7426" s="96">
        <f t="shared" si="479"/>
        <v>32.94</v>
      </c>
      <c r="I7426" s="96">
        <f t="shared" si="480"/>
        <v>38.28</v>
      </c>
      <c r="J7426" s="91" t="str">
        <f t="shared" si="481"/>
        <v>Sinapi 101344</v>
      </c>
      <c r="K7426" s="91" t="str">
        <f t="shared" si="482"/>
        <v>MES</v>
      </c>
      <c r="L7426" s="166" t="str">
        <f t="shared" si="478"/>
        <v/>
      </c>
    </row>
    <row r="7427" spans="1:12" x14ac:dyDescent="0.25">
      <c r="A7427" s="170" t="s">
        <v>10931</v>
      </c>
      <c r="B7427" s="170" t="s">
        <v>10932</v>
      </c>
      <c r="C7427" s="170" t="s">
        <v>89</v>
      </c>
      <c r="D7427" s="170" t="s">
        <v>2067</v>
      </c>
      <c r="E7427" s="171" t="s">
        <v>29964</v>
      </c>
      <c r="F7427" s="171" t="s">
        <v>21335</v>
      </c>
      <c r="H7427" s="96">
        <f t="shared" si="479"/>
        <v>42.84</v>
      </c>
      <c r="I7427" s="96">
        <f t="shared" si="480"/>
        <v>49.79</v>
      </c>
      <c r="J7427" s="91" t="str">
        <f t="shared" si="481"/>
        <v>Sinapi 101345</v>
      </c>
      <c r="K7427" s="91" t="str">
        <f t="shared" si="482"/>
        <v>MES</v>
      </c>
      <c r="L7427" s="166" t="str">
        <f t="shared" si="478"/>
        <v/>
      </c>
    </row>
    <row r="7428" spans="1:12" x14ac:dyDescent="0.25">
      <c r="A7428" s="170" t="s">
        <v>10933</v>
      </c>
      <c r="B7428" s="170" t="s">
        <v>10934</v>
      </c>
      <c r="C7428" s="170" t="s">
        <v>89</v>
      </c>
      <c r="D7428" s="170" t="s">
        <v>2067</v>
      </c>
      <c r="E7428" s="171" t="s">
        <v>23306</v>
      </c>
      <c r="F7428" s="171" t="s">
        <v>38003</v>
      </c>
      <c r="H7428" s="96">
        <f t="shared" si="479"/>
        <v>30.17</v>
      </c>
      <c r="I7428" s="96">
        <f t="shared" si="480"/>
        <v>35.07</v>
      </c>
      <c r="J7428" s="91" t="str">
        <f t="shared" si="481"/>
        <v>Sinapi 101346</v>
      </c>
      <c r="K7428" s="91" t="str">
        <f t="shared" si="482"/>
        <v>MES</v>
      </c>
      <c r="L7428" s="166" t="str">
        <f t="shared" si="478"/>
        <v/>
      </c>
    </row>
    <row r="7429" spans="1:12" x14ac:dyDescent="0.25">
      <c r="A7429" s="170" t="s">
        <v>10935</v>
      </c>
      <c r="B7429" s="170" t="s">
        <v>10936</v>
      </c>
      <c r="C7429" s="170" t="s">
        <v>89</v>
      </c>
      <c r="D7429" s="170" t="s">
        <v>2067</v>
      </c>
      <c r="E7429" s="171" t="s">
        <v>21462</v>
      </c>
      <c r="F7429" s="171" t="s">
        <v>30893</v>
      </c>
      <c r="H7429" s="96">
        <f t="shared" si="479"/>
        <v>21.59</v>
      </c>
      <c r="I7429" s="96">
        <f t="shared" si="480"/>
        <v>25.1</v>
      </c>
      <c r="J7429" s="91" t="str">
        <f t="shared" si="481"/>
        <v>Sinapi 101347</v>
      </c>
      <c r="K7429" s="91" t="str">
        <f t="shared" si="482"/>
        <v>MES</v>
      </c>
      <c r="L7429" s="166" t="str">
        <f t="shared" si="478"/>
        <v/>
      </c>
    </row>
    <row r="7430" spans="1:12" x14ac:dyDescent="0.25">
      <c r="A7430" s="170" t="s">
        <v>10937</v>
      </c>
      <c r="B7430" s="170" t="s">
        <v>10938</v>
      </c>
      <c r="C7430" s="170" t="s">
        <v>89</v>
      </c>
      <c r="D7430" s="170" t="s">
        <v>2067</v>
      </c>
      <c r="E7430" s="171" t="s">
        <v>22768</v>
      </c>
      <c r="F7430" s="171" t="s">
        <v>21447</v>
      </c>
      <c r="H7430" s="96">
        <f t="shared" si="479"/>
        <v>16.73</v>
      </c>
      <c r="I7430" s="96">
        <f t="shared" si="480"/>
        <v>19.45</v>
      </c>
      <c r="J7430" s="91" t="str">
        <f t="shared" si="481"/>
        <v>Sinapi 101348</v>
      </c>
      <c r="K7430" s="91" t="str">
        <f t="shared" si="482"/>
        <v>MES</v>
      </c>
      <c r="L7430" s="166" t="str">
        <f t="shared" si="478"/>
        <v/>
      </c>
    </row>
    <row r="7431" spans="1:12" x14ac:dyDescent="0.25">
      <c r="A7431" s="170" t="s">
        <v>10939</v>
      </c>
      <c r="B7431" s="170" t="s">
        <v>10940</v>
      </c>
      <c r="C7431" s="170" t="s">
        <v>89</v>
      </c>
      <c r="D7431" s="170" t="s">
        <v>2067</v>
      </c>
      <c r="E7431" s="171" t="s">
        <v>12301</v>
      </c>
      <c r="F7431" s="171" t="s">
        <v>21561</v>
      </c>
      <c r="H7431" s="96">
        <f t="shared" si="479"/>
        <v>22.57</v>
      </c>
      <c r="I7431" s="96">
        <f t="shared" si="480"/>
        <v>26.23</v>
      </c>
      <c r="J7431" s="91" t="str">
        <f t="shared" si="481"/>
        <v>Sinapi 101349</v>
      </c>
      <c r="K7431" s="91" t="str">
        <f t="shared" si="482"/>
        <v>MES</v>
      </c>
      <c r="L7431" s="166" t="str">
        <f t="shared" si="478"/>
        <v/>
      </c>
    </row>
    <row r="7432" spans="1:12" x14ac:dyDescent="0.25">
      <c r="A7432" s="170" t="s">
        <v>10941</v>
      </c>
      <c r="B7432" s="170" t="s">
        <v>10942</v>
      </c>
      <c r="C7432" s="170" t="s">
        <v>89</v>
      </c>
      <c r="D7432" s="170" t="s">
        <v>2067</v>
      </c>
      <c r="E7432" s="171" t="s">
        <v>28550</v>
      </c>
      <c r="F7432" s="171" t="s">
        <v>38051</v>
      </c>
      <c r="H7432" s="96">
        <f t="shared" si="479"/>
        <v>27.69</v>
      </c>
      <c r="I7432" s="96">
        <f t="shared" si="480"/>
        <v>32.18</v>
      </c>
      <c r="J7432" s="91" t="str">
        <f t="shared" si="481"/>
        <v>Sinapi 101350</v>
      </c>
      <c r="K7432" s="91" t="str">
        <f t="shared" si="482"/>
        <v>MES</v>
      </c>
      <c r="L7432" s="166" t="str">
        <f t="shared" ref="L7432:L7495" si="483">IF(OR(RIGHT(IF(AND(K7432&lt;&gt;"H",K7432&lt;&gt;"MES"),RIGHT(B7432,7),""),2)="PS",RIGHT(IF(AND(K7432&lt;&gt;"H",K7432&lt;&gt;"MES"),RIGHT(B7432,7),""),2)="PA",RIGHT(IF(AND(K7432&lt;&gt;"H",K7432&lt;&gt;"MES"),RIGHT(B7432,7),""),2)="PE"),LEFT(IF(AND(K7432&lt;&gt;"H",K7432&lt;&gt;"MES"),RIGHT(B7432,10),""),7),IF(AND(K7432&lt;&gt;"H",K7432&lt;&gt;"MES"),RIGHT(B7432,7),""))</f>
        <v/>
      </c>
    </row>
    <row r="7433" spans="1:12" x14ac:dyDescent="0.25">
      <c r="A7433" s="170" t="s">
        <v>10943</v>
      </c>
      <c r="B7433" s="170" t="s">
        <v>10944</v>
      </c>
      <c r="C7433" s="170" t="s">
        <v>89</v>
      </c>
      <c r="D7433" s="170" t="s">
        <v>2067</v>
      </c>
      <c r="E7433" s="171" t="s">
        <v>23213</v>
      </c>
      <c r="F7433" s="171" t="s">
        <v>19935</v>
      </c>
      <c r="H7433" s="96">
        <f t="shared" si="479"/>
        <v>21</v>
      </c>
      <c r="I7433" s="96">
        <f t="shared" si="480"/>
        <v>24.41</v>
      </c>
      <c r="J7433" s="91" t="str">
        <f t="shared" si="481"/>
        <v>Sinapi 101351</v>
      </c>
      <c r="K7433" s="91" t="str">
        <f t="shared" si="482"/>
        <v>MES</v>
      </c>
      <c r="L7433" s="166" t="str">
        <f t="shared" si="483"/>
        <v/>
      </c>
    </row>
    <row r="7434" spans="1:12" x14ac:dyDescent="0.25">
      <c r="A7434" s="170" t="s">
        <v>10945</v>
      </c>
      <c r="B7434" s="170" t="s">
        <v>10946</v>
      </c>
      <c r="C7434" s="170" t="s">
        <v>89</v>
      </c>
      <c r="D7434" s="170" t="s">
        <v>2067</v>
      </c>
      <c r="E7434" s="171" t="s">
        <v>17976</v>
      </c>
      <c r="F7434" s="171" t="s">
        <v>28695</v>
      </c>
      <c r="H7434" s="96">
        <f t="shared" si="479"/>
        <v>23.3</v>
      </c>
      <c r="I7434" s="96">
        <f t="shared" si="480"/>
        <v>27.08</v>
      </c>
      <c r="J7434" s="91" t="str">
        <f t="shared" si="481"/>
        <v>Sinapi 101352</v>
      </c>
      <c r="K7434" s="91" t="str">
        <f t="shared" si="482"/>
        <v>MES</v>
      </c>
      <c r="L7434" s="166" t="str">
        <f t="shared" si="483"/>
        <v/>
      </c>
    </row>
    <row r="7435" spans="1:12" x14ac:dyDescent="0.25">
      <c r="A7435" s="170" t="s">
        <v>10947</v>
      </c>
      <c r="B7435" s="170" t="s">
        <v>10948</v>
      </c>
      <c r="C7435" s="170" t="s">
        <v>89</v>
      </c>
      <c r="D7435" s="170" t="s">
        <v>2067</v>
      </c>
      <c r="E7435" s="171" t="s">
        <v>15118</v>
      </c>
      <c r="F7435" s="171" t="s">
        <v>6362</v>
      </c>
      <c r="H7435" s="96">
        <f t="shared" si="479"/>
        <v>17.21</v>
      </c>
      <c r="I7435" s="96">
        <f t="shared" si="480"/>
        <v>20</v>
      </c>
      <c r="J7435" s="91" t="str">
        <f t="shared" si="481"/>
        <v>Sinapi 101353</v>
      </c>
      <c r="K7435" s="91" t="str">
        <f t="shared" si="482"/>
        <v>MES</v>
      </c>
      <c r="L7435" s="166" t="str">
        <f t="shared" si="483"/>
        <v/>
      </c>
    </row>
    <row r="7436" spans="1:12" x14ac:dyDescent="0.25">
      <c r="A7436" s="170" t="s">
        <v>10949</v>
      </c>
      <c r="B7436" s="170" t="s">
        <v>10950</v>
      </c>
      <c r="C7436" s="170" t="s">
        <v>89</v>
      </c>
      <c r="D7436" s="170" t="s">
        <v>2067</v>
      </c>
      <c r="E7436" s="171" t="s">
        <v>20130</v>
      </c>
      <c r="F7436" s="171" t="s">
        <v>22068</v>
      </c>
      <c r="H7436" s="96">
        <f t="shared" si="479"/>
        <v>25.71</v>
      </c>
      <c r="I7436" s="96">
        <f t="shared" si="480"/>
        <v>29.89</v>
      </c>
      <c r="J7436" s="91" t="str">
        <f t="shared" si="481"/>
        <v>Sinapi 101354</v>
      </c>
      <c r="K7436" s="91" t="str">
        <f t="shared" si="482"/>
        <v>MES</v>
      </c>
      <c r="L7436" s="166" t="str">
        <f t="shared" si="483"/>
        <v/>
      </c>
    </row>
    <row r="7437" spans="1:12" x14ac:dyDescent="0.25">
      <c r="A7437" s="170" t="s">
        <v>10951</v>
      </c>
      <c r="B7437" s="170" t="s">
        <v>10952</v>
      </c>
      <c r="C7437" s="170" t="s">
        <v>89</v>
      </c>
      <c r="D7437" s="170" t="s">
        <v>2067</v>
      </c>
      <c r="E7437" s="171" t="s">
        <v>21179</v>
      </c>
      <c r="F7437" s="171" t="s">
        <v>19971</v>
      </c>
      <c r="H7437" s="96">
        <f t="shared" si="479"/>
        <v>20.010000000000002</v>
      </c>
      <c r="I7437" s="96">
        <f t="shared" si="480"/>
        <v>23.26</v>
      </c>
      <c r="J7437" s="91" t="str">
        <f t="shared" si="481"/>
        <v>Sinapi 101355</v>
      </c>
      <c r="K7437" s="91" t="str">
        <f t="shared" si="482"/>
        <v>MES</v>
      </c>
      <c r="L7437" s="166" t="str">
        <f t="shared" si="483"/>
        <v/>
      </c>
    </row>
    <row r="7438" spans="1:12" x14ac:dyDescent="0.25">
      <c r="A7438" s="170" t="s">
        <v>10953</v>
      </c>
      <c r="B7438" s="170" t="s">
        <v>10954</v>
      </c>
      <c r="C7438" s="170" t="s">
        <v>89</v>
      </c>
      <c r="D7438" s="170" t="s">
        <v>2067</v>
      </c>
      <c r="E7438" s="171" t="s">
        <v>20482</v>
      </c>
      <c r="F7438" s="171" t="s">
        <v>38052</v>
      </c>
      <c r="H7438" s="96">
        <f t="shared" si="479"/>
        <v>37.590000000000003</v>
      </c>
      <c r="I7438" s="96">
        <f t="shared" si="480"/>
        <v>43.69</v>
      </c>
      <c r="J7438" s="91" t="str">
        <f t="shared" si="481"/>
        <v>Sinapi 101356</v>
      </c>
      <c r="K7438" s="91" t="str">
        <f t="shared" si="482"/>
        <v>MES</v>
      </c>
      <c r="L7438" s="166" t="str">
        <f t="shared" si="483"/>
        <v/>
      </c>
    </row>
    <row r="7439" spans="1:12" x14ac:dyDescent="0.25">
      <c r="A7439" s="170" t="s">
        <v>10955</v>
      </c>
      <c r="B7439" s="170" t="s">
        <v>10956</v>
      </c>
      <c r="C7439" s="170" t="s">
        <v>89</v>
      </c>
      <c r="D7439" s="170" t="s">
        <v>2067</v>
      </c>
      <c r="E7439" s="171" t="s">
        <v>34849</v>
      </c>
      <c r="F7439" s="171" t="s">
        <v>21890</v>
      </c>
      <c r="H7439" s="96">
        <f t="shared" si="479"/>
        <v>49.8</v>
      </c>
      <c r="I7439" s="96">
        <f t="shared" si="480"/>
        <v>57.88</v>
      </c>
      <c r="J7439" s="91" t="str">
        <f t="shared" si="481"/>
        <v>Sinapi 101357</v>
      </c>
      <c r="K7439" s="91" t="str">
        <f t="shared" si="482"/>
        <v>MES</v>
      </c>
      <c r="L7439" s="166" t="str">
        <f t="shared" si="483"/>
        <v/>
      </c>
    </row>
    <row r="7440" spans="1:12" x14ac:dyDescent="0.25">
      <c r="A7440" s="170" t="s">
        <v>10957</v>
      </c>
      <c r="B7440" s="170" t="s">
        <v>10958</v>
      </c>
      <c r="C7440" s="170" t="s">
        <v>89</v>
      </c>
      <c r="D7440" s="170" t="s">
        <v>2067</v>
      </c>
      <c r="E7440" s="171" t="s">
        <v>34983</v>
      </c>
      <c r="F7440" s="171" t="s">
        <v>37247</v>
      </c>
      <c r="H7440" s="96">
        <f t="shared" si="479"/>
        <v>34.659999999999997</v>
      </c>
      <c r="I7440" s="96">
        <f t="shared" si="480"/>
        <v>40.29</v>
      </c>
      <c r="J7440" s="91" t="str">
        <f t="shared" si="481"/>
        <v>Sinapi 101358</v>
      </c>
      <c r="K7440" s="91" t="str">
        <f t="shared" si="482"/>
        <v>MES</v>
      </c>
      <c r="L7440" s="166" t="str">
        <f t="shared" si="483"/>
        <v/>
      </c>
    </row>
    <row r="7441" spans="1:12" x14ac:dyDescent="0.25">
      <c r="A7441" s="170" t="s">
        <v>10959</v>
      </c>
      <c r="B7441" s="170" t="s">
        <v>10960</v>
      </c>
      <c r="C7441" s="170" t="s">
        <v>89</v>
      </c>
      <c r="D7441" s="170" t="s">
        <v>2067</v>
      </c>
      <c r="E7441" s="171" t="s">
        <v>33686</v>
      </c>
      <c r="F7441" s="171" t="s">
        <v>34879</v>
      </c>
      <c r="H7441" s="96">
        <f t="shared" si="479"/>
        <v>33.659999999999997</v>
      </c>
      <c r="I7441" s="96">
        <f t="shared" si="480"/>
        <v>39.130000000000003</v>
      </c>
      <c r="J7441" s="91" t="str">
        <f t="shared" si="481"/>
        <v>Sinapi 101359</v>
      </c>
      <c r="K7441" s="91" t="str">
        <f t="shared" si="482"/>
        <v>MES</v>
      </c>
      <c r="L7441" s="166" t="str">
        <f t="shared" si="483"/>
        <v/>
      </c>
    </row>
    <row r="7442" spans="1:12" x14ac:dyDescent="0.25">
      <c r="A7442" s="170" t="s">
        <v>10961</v>
      </c>
      <c r="B7442" s="170" t="s">
        <v>10962</v>
      </c>
      <c r="C7442" s="170" t="s">
        <v>89</v>
      </c>
      <c r="D7442" s="170" t="s">
        <v>2067</v>
      </c>
      <c r="E7442" s="171" t="s">
        <v>34983</v>
      </c>
      <c r="F7442" s="171" t="s">
        <v>37247</v>
      </c>
      <c r="H7442" s="96">
        <f t="shared" si="479"/>
        <v>34.659999999999997</v>
      </c>
      <c r="I7442" s="96">
        <f t="shared" si="480"/>
        <v>40.29</v>
      </c>
      <c r="J7442" s="91" t="str">
        <f t="shared" si="481"/>
        <v>Sinapi 101360</v>
      </c>
      <c r="K7442" s="91" t="str">
        <f t="shared" si="482"/>
        <v>MES</v>
      </c>
      <c r="L7442" s="166" t="str">
        <f t="shared" si="483"/>
        <v/>
      </c>
    </row>
    <row r="7443" spans="1:12" x14ac:dyDescent="0.25">
      <c r="A7443" s="170" t="s">
        <v>10963</v>
      </c>
      <c r="B7443" s="170" t="s">
        <v>10964</v>
      </c>
      <c r="C7443" s="170" t="s">
        <v>89</v>
      </c>
      <c r="D7443" s="170" t="s">
        <v>2067</v>
      </c>
      <c r="E7443" s="171" t="s">
        <v>34990</v>
      </c>
      <c r="F7443" s="171" t="s">
        <v>38053</v>
      </c>
      <c r="H7443" s="96">
        <f t="shared" si="479"/>
        <v>45.65</v>
      </c>
      <c r="I7443" s="96">
        <f t="shared" si="480"/>
        <v>53.06</v>
      </c>
      <c r="J7443" s="91" t="str">
        <f t="shared" si="481"/>
        <v>Sinapi 101361</v>
      </c>
      <c r="K7443" s="91" t="str">
        <f t="shared" si="482"/>
        <v>MES</v>
      </c>
      <c r="L7443" s="166" t="str">
        <f t="shared" si="483"/>
        <v/>
      </c>
    </row>
    <row r="7444" spans="1:12" x14ac:dyDescent="0.25">
      <c r="A7444" s="170" t="s">
        <v>10965</v>
      </c>
      <c r="B7444" s="170" t="s">
        <v>10966</v>
      </c>
      <c r="C7444" s="170" t="s">
        <v>89</v>
      </c>
      <c r="D7444" s="170" t="s">
        <v>2067</v>
      </c>
      <c r="E7444" s="171" t="s">
        <v>19304</v>
      </c>
      <c r="F7444" s="171" t="s">
        <v>15773</v>
      </c>
      <c r="H7444" s="96">
        <f t="shared" si="479"/>
        <v>9.64</v>
      </c>
      <c r="I7444" s="96">
        <f t="shared" si="480"/>
        <v>11.21</v>
      </c>
      <c r="J7444" s="91" t="str">
        <f t="shared" si="481"/>
        <v>Sinapi 101362</v>
      </c>
      <c r="K7444" s="91" t="str">
        <f t="shared" si="482"/>
        <v>MES</v>
      </c>
      <c r="L7444" s="166" t="str">
        <f t="shared" si="483"/>
        <v/>
      </c>
    </row>
    <row r="7445" spans="1:12" x14ac:dyDescent="0.25">
      <c r="A7445" s="170" t="s">
        <v>10967</v>
      </c>
      <c r="B7445" s="170" t="s">
        <v>10968</v>
      </c>
      <c r="C7445" s="170" t="s">
        <v>89</v>
      </c>
      <c r="D7445" s="170" t="s">
        <v>2067</v>
      </c>
      <c r="E7445" s="171" t="s">
        <v>28695</v>
      </c>
      <c r="F7445" s="171" t="s">
        <v>35078</v>
      </c>
      <c r="H7445" s="96">
        <f t="shared" si="479"/>
        <v>27.08</v>
      </c>
      <c r="I7445" s="96">
        <f t="shared" si="480"/>
        <v>31.48</v>
      </c>
      <c r="J7445" s="91" t="str">
        <f t="shared" si="481"/>
        <v>Sinapi 101363</v>
      </c>
      <c r="K7445" s="91" t="str">
        <f t="shared" si="482"/>
        <v>MES</v>
      </c>
      <c r="L7445" s="166" t="str">
        <f t="shared" si="483"/>
        <v/>
      </c>
    </row>
    <row r="7446" spans="1:12" x14ac:dyDescent="0.25">
      <c r="A7446" s="170" t="s">
        <v>10969</v>
      </c>
      <c r="B7446" s="170" t="s">
        <v>10970</v>
      </c>
      <c r="C7446" s="170" t="s">
        <v>89</v>
      </c>
      <c r="D7446" s="170" t="s">
        <v>2067</v>
      </c>
      <c r="E7446" s="171" t="s">
        <v>30667</v>
      </c>
      <c r="F7446" s="171" t="s">
        <v>28860</v>
      </c>
      <c r="H7446" s="96">
        <f t="shared" si="479"/>
        <v>33.56</v>
      </c>
      <c r="I7446" s="96">
        <f t="shared" si="480"/>
        <v>39.01</v>
      </c>
      <c r="J7446" s="91" t="str">
        <f t="shared" si="481"/>
        <v>Sinapi 101364</v>
      </c>
      <c r="K7446" s="91" t="str">
        <f t="shared" si="482"/>
        <v>MES</v>
      </c>
      <c r="L7446" s="166" t="str">
        <f t="shared" si="483"/>
        <v/>
      </c>
    </row>
    <row r="7447" spans="1:12" x14ac:dyDescent="0.25">
      <c r="A7447" s="170" t="s">
        <v>10971</v>
      </c>
      <c r="B7447" s="170" t="s">
        <v>10972</v>
      </c>
      <c r="C7447" s="170" t="s">
        <v>89</v>
      </c>
      <c r="D7447" s="170" t="s">
        <v>2067</v>
      </c>
      <c r="E7447" s="171" t="s">
        <v>28695</v>
      </c>
      <c r="F7447" s="171" t="s">
        <v>35078</v>
      </c>
      <c r="H7447" s="96">
        <f t="shared" si="479"/>
        <v>27.08</v>
      </c>
      <c r="I7447" s="96">
        <f t="shared" si="480"/>
        <v>31.48</v>
      </c>
      <c r="J7447" s="91" t="str">
        <f t="shared" si="481"/>
        <v>Sinapi 101365</v>
      </c>
      <c r="K7447" s="91" t="str">
        <f t="shared" si="482"/>
        <v>MES</v>
      </c>
      <c r="L7447" s="166" t="str">
        <f t="shared" si="483"/>
        <v/>
      </c>
    </row>
    <row r="7448" spans="1:12" x14ac:dyDescent="0.25">
      <c r="A7448" s="170" t="s">
        <v>10973</v>
      </c>
      <c r="B7448" s="170" t="s">
        <v>10974</v>
      </c>
      <c r="C7448" s="170" t="s">
        <v>89</v>
      </c>
      <c r="D7448" s="170" t="s">
        <v>2067</v>
      </c>
      <c r="E7448" s="171" t="s">
        <v>34991</v>
      </c>
      <c r="F7448" s="171" t="s">
        <v>22972</v>
      </c>
      <c r="H7448" s="96">
        <f t="shared" si="479"/>
        <v>31.82</v>
      </c>
      <c r="I7448" s="96">
        <f t="shared" si="480"/>
        <v>36.99</v>
      </c>
      <c r="J7448" s="91" t="str">
        <f t="shared" si="481"/>
        <v>Sinapi 101366</v>
      </c>
      <c r="K7448" s="91" t="str">
        <f t="shared" si="482"/>
        <v>MES</v>
      </c>
      <c r="L7448" s="166" t="str">
        <f t="shared" si="483"/>
        <v/>
      </c>
    </row>
    <row r="7449" spans="1:12" x14ac:dyDescent="0.25">
      <c r="A7449" s="170" t="s">
        <v>10975</v>
      </c>
      <c r="B7449" s="170" t="s">
        <v>10976</v>
      </c>
      <c r="C7449" s="170" t="s">
        <v>89</v>
      </c>
      <c r="D7449" s="170" t="s">
        <v>2067</v>
      </c>
      <c r="E7449" s="171" t="s">
        <v>28695</v>
      </c>
      <c r="F7449" s="171" t="s">
        <v>35078</v>
      </c>
      <c r="H7449" s="96">
        <f t="shared" ref="H7449:H7512" si="484">IF(E7449="","",E7449+0)</f>
        <v>27.08</v>
      </c>
      <c r="I7449" s="96">
        <f t="shared" ref="I7449:I7512" si="485">IF(F7449="","",F7449+0)</f>
        <v>31.48</v>
      </c>
      <c r="J7449" s="91" t="str">
        <f t="shared" ref="J7449:J7512" si="486">IF(OR(H7449="",I7449=""),"",TRIM(CONCATENATE("Sinapi ",A7449)))</f>
        <v>Sinapi 101367</v>
      </c>
      <c r="K7449" s="91" t="str">
        <f t="shared" ref="K7449:K7512" si="487">TRIM(C7449)</f>
        <v>MES</v>
      </c>
      <c r="L7449" s="166" t="str">
        <f t="shared" si="483"/>
        <v/>
      </c>
    </row>
    <row r="7450" spans="1:12" x14ac:dyDescent="0.25">
      <c r="A7450" s="170" t="s">
        <v>10977</v>
      </c>
      <c r="B7450" s="170" t="s">
        <v>10978</v>
      </c>
      <c r="C7450" s="170" t="s">
        <v>89</v>
      </c>
      <c r="D7450" s="170" t="s">
        <v>2067</v>
      </c>
      <c r="E7450" s="171" t="s">
        <v>15779</v>
      </c>
      <c r="F7450" s="171" t="s">
        <v>23140</v>
      </c>
      <c r="H7450" s="96">
        <f t="shared" si="484"/>
        <v>20.190000000000001</v>
      </c>
      <c r="I7450" s="96">
        <f t="shared" si="485"/>
        <v>23.47</v>
      </c>
      <c r="J7450" s="91" t="str">
        <f t="shared" si="486"/>
        <v>Sinapi 101368</v>
      </c>
      <c r="K7450" s="91" t="str">
        <f t="shared" si="487"/>
        <v>MES</v>
      </c>
      <c r="L7450" s="166" t="str">
        <f t="shared" si="483"/>
        <v/>
      </c>
    </row>
    <row r="7451" spans="1:12" x14ac:dyDescent="0.25">
      <c r="A7451" s="170" t="s">
        <v>10979</v>
      </c>
      <c r="B7451" s="170" t="s">
        <v>10980</v>
      </c>
      <c r="C7451" s="170" t="s">
        <v>89</v>
      </c>
      <c r="D7451" s="170" t="s">
        <v>2067</v>
      </c>
      <c r="E7451" s="171" t="s">
        <v>28730</v>
      </c>
      <c r="F7451" s="171" t="s">
        <v>36812</v>
      </c>
      <c r="H7451" s="96">
        <f t="shared" si="484"/>
        <v>34.950000000000003</v>
      </c>
      <c r="I7451" s="96">
        <f t="shared" si="485"/>
        <v>40.619999999999997</v>
      </c>
      <c r="J7451" s="91" t="str">
        <f t="shared" si="486"/>
        <v>Sinapi 101369</v>
      </c>
      <c r="K7451" s="91" t="str">
        <f t="shared" si="487"/>
        <v>MES</v>
      </c>
      <c r="L7451" s="166" t="str">
        <f t="shared" si="483"/>
        <v/>
      </c>
    </row>
    <row r="7452" spans="1:12" x14ac:dyDescent="0.25">
      <c r="A7452" s="170" t="s">
        <v>10981</v>
      </c>
      <c r="B7452" s="170" t="s">
        <v>10982</v>
      </c>
      <c r="C7452" s="170" t="s">
        <v>89</v>
      </c>
      <c r="D7452" s="170" t="s">
        <v>2067</v>
      </c>
      <c r="E7452" s="171" t="s">
        <v>21037</v>
      </c>
      <c r="F7452" s="171" t="s">
        <v>38054</v>
      </c>
      <c r="H7452" s="96">
        <f t="shared" si="484"/>
        <v>26.76</v>
      </c>
      <c r="I7452" s="96">
        <f t="shared" si="485"/>
        <v>31.1</v>
      </c>
      <c r="J7452" s="91" t="str">
        <f t="shared" si="486"/>
        <v>Sinapi 101370</v>
      </c>
      <c r="K7452" s="91" t="str">
        <f t="shared" si="487"/>
        <v>MES</v>
      </c>
      <c r="L7452" s="166" t="str">
        <f t="shared" si="483"/>
        <v/>
      </c>
    </row>
    <row r="7453" spans="1:12" x14ac:dyDescent="0.25">
      <c r="A7453" s="170" t="s">
        <v>10983</v>
      </c>
      <c r="B7453" s="170" t="s">
        <v>10984</v>
      </c>
      <c r="C7453" s="170" t="s">
        <v>89</v>
      </c>
      <c r="D7453" s="170" t="s">
        <v>2067</v>
      </c>
      <c r="E7453" s="171" t="s">
        <v>34992</v>
      </c>
      <c r="F7453" s="171" t="s">
        <v>38055</v>
      </c>
      <c r="H7453" s="96">
        <f t="shared" si="484"/>
        <v>30.61</v>
      </c>
      <c r="I7453" s="96">
        <f t="shared" si="485"/>
        <v>35.58</v>
      </c>
      <c r="J7453" s="91" t="str">
        <f t="shared" si="486"/>
        <v>Sinapi 101371</v>
      </c>
      <c r="K7453" s="91" t="str">
        <f t="shared" si="487"/>
        <v>MES</v>
      </c>
      <c r="L7453" s="166" t="str">
        <f t="shared" si="483"/>
        <v/>
      </c>
    </row>
    <row r="7454" spans="1:12" x14ac:dyDescent="0.25">
      <c r="A7454" s="170" t="s">
        <v>10985</v>
      </c>
      <c r="B7454" s="170" t="s">
        <v>10986</v>
      </c>
      <c r="C7454" s="170" t="s">
        <v>89</v>
      </c>
      <c r="D7454" s="170" t="s">
        <v>2067</v>
      </c>
      <c r="E7454" s="171" t="s">
        <v>12890</v>
      </c>
      <c r="F7454" s="171" t="s">
        <v>20659</v>
      </c>
      <c r="H7454" s="96">
        <f t="shared" si="484"/>
        <v>8.0500000000000007</v>
      </c>
      <c r="I7454" s="96">
        <f t="shared" si="485"/>
        <v>9.36</v>
      </c>
      <c r="J7454" s="91" t="str">
        <f t="shared" si="486"/>
        <v>Sinapi 101372</v>
      </c>
      <c r="K7454" s="91" t="str">
        <f t="shared" si="487"/>
        <v>MES</v>
      </c>
      <c r="L7454" s="166" t="str">
        <f t="shared" si="483"/>
        <v/>
      </c>
    </row>
    <row r="7455" spans="1:12" x14ac:dyDescent="0.25">
      <c r="A7455" s="170" t="s">
        <v>10987</v>
      </c>
      <c r="B7455" s="170" t="s">
        <v>10988</v>
      </c>
      <c r="C7455" s="170" t="s">
        <v>587</v>
      </c>
      <c r="D7455" s="170" t="s">
        <v>2067</v>
      </c>
      <c r="E7455" s="171" t="s">
        <v>34993</v>
      </c>
      <c r="F7455" s="171" t="s">
        <v>38056</v>
      </c>
      <c r="H7455" s="96">
        <f t="shared" si="484"/>
        <v>152.38</v>
      </c>
      <c r="I7455" s="96">
        <f t="shared" si="485"/>
        <v>176.74</v>
      </c>
      <c r="J7455" s="91" t="str">
        <f t="shared" si="486"/>
        <v>Sinapi 101373</v>
      </c>
      <c r="K7455" s="91" t="str">
        <f t="shared" si="487"/>
        <v>H</v>
      </c>
      <c r="L7455" s="166" t="str">
        <f t="shared" si="483"/>
        <v/>
      </c>
    </row>
    <row r="7456" spans="1:12" x14ac:dyDescent="0.25">
      <c r="A7456" s="170" t="s">
        <v>10989</v>
      </c>
      <c r="B7456" s="170" t="s">
        <v>776</v>
      </c>
      <c r="C7456" s="170" t="s">
        <v>89</v>
      </c>
      <c r="D7456" s="170" t="s">
        <v>2067</v>
      </c>
      <c r="E7456" s="171" t="s">
        <v>34994</v>
      </c>
      <c r="F7456" s="171" t="s">
        <v>38057</v>
      </c>
      <c r="H7456" s="96">
        <f t="shared" si="484"/>
        <v>3128.53</v>
      </c>
      <c r="I7456" s="96">
        <f t="shared" si="485"/>
        <v>3431.3</v>
      </c>
      <c r="J7456" s="91" t="str">
        <f t="shared" si="486"/>
        <v>Sinapi 101374</v>
      </c>
      <c r="K7456" s="91" t="str">
        <f t="shared" si="487"/>
        <v>MES</v>
      </c>
      <c r="L7456" s="166" t="str">
        <f t="shared" si="483"/>
        <v/>
      </c>
    </row>
    <row r="7457" spans="1:12" x14ac:dyDescent="0.25">
      <c r="A7457" s="170" t="s">
        <v>10990</v>
      </c>
      <c r="B7457" s="170" t="s">
        <v>10991</v>
      </c>
      <c r="C7457" s="170" t="s">
        <v>89</v>
      </c>
      <c r="D7457" s="170" t="s">
        <v>2067</v>
      </c>
      <c r="E7457" s="171" t="s">
        <v>34995</v>
      </c>
      <c r="F7457" s="171" t="s">
        <v>38058</v>
      </c>
      <c r="H7457" s="96">
        <f t="shared" si="484"/>
        <v>3317.32</v>
      </c>
      <c r="I7457" s="96">
        <f t="shared" si="485"/>
        <v>3651.3</v>
      </c>
      <c r="J7457" s="91" t="str">
        <f t="shared" si="486"/>
        <v>Sinapi 101375</v>
      </c>
      <c r="K7457" s="91" t="str">
        <f t="shared" si="487"/>
        <v>MES</v>
      </c>
      <c r="L7457" s="166" t="str">
        <f t="shared" si="483"/>
        <v/>
      </c>
    </row>
    <row r="7458" spans="1:12" x14ac:dyDescent="0.25">
      <c r="A7458" s="170" t="s">
        <v>10992</v>
      </c>
      <c r="B7458" s="170" t="s">
        <v>10993</v>
      </c>
      <c r="C7458" s="170" t="s">
        <v>89</v>
      </c>
      <c r="D7458" s="170" t="s">
        <v>2067</v>
      </c>
      <c r="E7458" s="171" t="s">
        <v>34996</v>
      </c>
      <c r="F7458" s="171" t="s">
        <v>38059</v>
      </c>
      <c r="H7458" s="96">
        <f t="shared" si="484"/>
        <v>3299.99</v>
      </c>
      <c r="I7458" s="96">
        <f t="shared" si="485"/>
        <v>3667.15</v>
      </c>
      <c r="J7458" s="91" t="str">
        <f t="shared" si="486"/>
        <v>Sinapi 101376</v>
      </c>
      <c r="K7458" s="91" t="str">
        <f t="shared" si="487"/>
        <v>MES</v>
      </c>
      <c r="L7458" s="166" t="str">
        <f t="shared" si="483"/>
        <v/>
      </c>
    </row>
    <row r="7459" spans="1:12" x14ac:dyDescent="0.25">
      <c r="A7459" s="170" t="s">
        <v>10994</v>
      </c>
      <c r="B7459" s="170" t="s">
        <v>9741</v>
      </c>
      <c r="C7459" s="170" t="s">
        <v>89</v>
      </c>
      <c r="D7459" s="170" t="s">
        <v>2067</v>
      </c>
      <c r="E7459" s="171" t="s">
        <v>34997</v>
      </c>
      <c r="F7459" s="171" t="s">
        <v>38060</v>
      </c>
      <c r="H7459" s="96">
        <f t="shared" si="484"/>
        <v>3180.15</v>
      </c>
      <c r="I7459" s="96">
        <f t="shared" si="485"/>
        <v>3491.31</v>
      </c>
      <c r="J7459" s="91" t="str">
        <f t="shared" si="486"/>
        <v>Sinapi 101377</v>
      </c>
      <c r="K7459" s="91" t="str">
        <f t="shared" si="487"/>
        <v>MES</v>
      </c>
      <c r="L7459" s="166" t="str">
        <f t="shared" si="483"/>
        <v/>
      </c>
    </row>
    <row r="7460" spans="1:12" x14ac:dyDescent="0.25">
      <c r="A7460" s="170" t="s">
        <v>10995</v>
      </c>
      <c r="B7460" s="170" t="s">
        <v>10181</v>
      </c>
      <c r="C7460" s="170" t="s">
        <v>89</v>
      </c>
      <c r="D7460" s="170" t="s">
        <v>2067</v>
      </c>
      <c r="E7460" s="171" t="s">
        <v>34998</v>
      </c>
      <c r="F7460" s="171" t="s">
        <v>38061</v>
      </c>
      <c r="H7460" s="96">
        <f t="shared" si="484"/>
        <v>3537.67</v>
      </c>
      <c r="I7460" s="96">
        <f t="shared" si="485"/>
        <v>3865.88</v>
      </c>
      <c r="J7460" s="91" t="str">
        <f t="shared" si="486"/>
        <v>Sinapi 101378</v>
      </c>
      <c r="K7460" s="91" t="str">
        <f t="shared" si="487"/>
        <v>MES</v>
      </c>
      <c r="L7460" s="166" t="str">
        <f t="shared" si="483"/>
        <v/>
      </c>
    </row>
    <row r="7461" spans="1:12" x14ac:dyDescent="0.25">
      <c r="A7461" s="170" t="s">
        <v>10996</v>
      </c>
      <c r="B7461" s="170" t="s">
        <v>10997</v>
      </c>
      <c r="C7461" s="170" t="s">
        <v>89</v>
      </c>
      <c r="D7461" s="170" t="s">
        <v>2067</v>
      </c>
      <c r="E7461" s="171" t="s">
        <v>34999</v>
      </c>
      <c r="F7461" s="171" t="s">
        <v>38062</v>
      </c>
      <c r="H7461" s="96">
        <f t="shared" si="484"/>
        <v>3280.08</v>
      </c>
      <c r="I7461" s="96">
        <f t="shared" si="485"/>
        <v>3607.45</v>
      </c>
      <c r="J7461" s="91" t="str">
        <f t="shared" si="486"/>
        <v>Sinapi 101379</v>
      </c>
      <c r="K7461" s="91" t="str">
        <f t="shared" si="487"/>
        <v>MES</v>
      </c>
      <c r="L7461" s="166" t="str">
        <f t="shared" si="483"/>
        <v/>
      </c>
    </row>
    <row r="7462" spans="1:12" x14ac:dyDescent="0.25">
      <c r="A7462" s="170" t="s">
        <v>10998</v>
      </c>
      <c r="B7462" s="170" t="s">
        <v>1251</v>
      </c>
      <c r="C7462" s="170" t="s">
        <v>89</v>
      </c>
      <c r="D7462" s="170" t="s">
        <v>2067</v>
      </c>
      <c r="E7462" s="171" t="s">
        <v>35000</v>
      </c>
      <c r="F7462" s="171" t="s">
        <v>38063</v>
      </c>
      <c r="H7462" s="96">
        <f t="shared" si="484"/>
        <v>3357.13</v>
      </c>
      <c r="I7462" s="96">
        <f t="shared" si="485"/>
        <v>3702.45</v>
      </c>
      <c r="J7462" s="91" t="str">
        <f t="shared" si="486"/>
        <v>Sinapi 101380</v>
      </c>
      <c r="K7462" s="91" t="str">
        <f t="shared" si="487"/>
        <v>MES</v>
      </c>
      <c r="L7462" s="166" t="str">
        <f t="shared" si="483"/>
        <v/>
      </c>
    </row>
    <row r="7463" spans="1:12" x14ac:dyDescent="0.25">
      <c r="A7463" s="170" t="s">
        <v>10999</v>
      </c>
      <c r="B7463" s="170" t="s">
        <v>777</v>
      </c>
      <c r="C7463" s="170" t="s">
        <v>89</v>
      </c>
      <c r="D7463" s="170" t="s">
        <v>2067</v>
      </c>
      <c r="E7463" s="171" t="s">
        <v>35001</v>
      </c>
      <c r="F7463" s="171" t="s">
        <v>38064</v>
      </c>
      <c r="H7463" s="96">
        <f t="shared" si="484"/>
        <v>4263.99</v>
      </c>
      <c r="I7463" s="96">
        <f t="shared" si="485"/>
        <v>4751.12</v>
      </c>
      <c r="J7463" s="91" t="str">
        <f t="shared" si="486"/>
        <v>Sinapi 101381</v>
      </c>
      <c r="K7463" s="91" t="str">
        <f t="shared" si="487"/>
        <v>MES</v>
      </c>
      <c r="L7463" s="166" t="str">
        <f t="shared" si="483"/>
        <v/>
      </c>
    </row>
    <row r="7464" spans="1:12" x14ac:dyDescent="0.25">
      <c r="A7464" s="170" t="s">
        <v>11000</v>
      </c>
      <c r="B7464" s="170" t="s">
        <v>11001</v>
      </c>
      <c r="C7464" s="170" t="s">
        <v>89</v>
      </c>
      <c r="D7464" s="170" t="s">
        <v>2067</v>
      </c>
      <c r="E7464" s="171" t="s">
        <v>35002</v>
      </c>
      <c r="F7464" s="171" t="s">
        <v>38065</v>
      </c>
      <c r="H7464" s="96">
        <f t="shared" si="484"/>
        <v>4239.58</v>
      </c>
      <c r="I7464" s="96">
        <f t="shared" si="485"/>
        <v>4759.28</v>
      </c>
      <c r="J7464" s="91" t="str">
        <f t="shared" si="486"/>
        <v>Sinapi 101382</v>
      </c>
      <c r="K7464" s="91" t="str">
        <f t="shared" si="487"/>
        <v>MES</v>
      </c>
      <c r="L7464" s="166" t="str">
        <f t="shared" si="483"/>
        <v/>
      </c>
    </row>
    <row r="7465" spans="1:12" x14ac:dyDescent="0.25">
      <c r="A7465" s="170" t="s">
        <v>11002</v>
      </c>
      <c r="B7465" s="170" t="s">
        <v>10185</v>
      </c>
      <c r="C7465" s="170" t="s">
        <v>89</v>
      </c>
      <c r="D7465" s="170" t="s">
        <v>2067</v>
      </c>
      <c r="E7465" s="171" t="s">
        <v>35003</v>
      </c>
      <c r="F7465" s="171" t="s">
        <v>38066</v>
      </c>
      <c r="H7465" s="96">
        <f t="shared" si="484"/>
        <v>3133.24</v>
      </c>
      <c r="I7465" s="96">
        <f t="shared" si="485"/>
        <v>3436.78</v>
      </c>
      <c r="J7465" s="91" t="str">
        <f t="shared" si="486"/>
        <v>Sinapi 101383</v>
      </c>
      <c r="K7465" s="91" t="str">
        <f t="shared" si="487"/>
        <v>MES</v>
      </c>
      <c r="L7465" s="166" t="str">
        <f t="shared" si="483"/>
        <v/>
      </c>
    </row>
    <row r="7466" spans="1:12" x14ac:dyDescent="0.25">
      <c r="A7466" s="170" t="s">
        <v>11003</v>
      </c>
      <c r="B7466" s="170" t="s">
        <v>824</v>
      </c>
      <c r="C7466" s="170" t="s">
        <v>89</v>
      </c>
      <c r="D7466" s="170" t="s">
        <v>2067</v>
      </c>
      <c r="E7466" s="171" t="s">
        <v>35004</v>
      </c>
      <c r="F7466" s="171" t="s">
        <v>38067</v>
      </c>
      <c r="H7466" s="96">
        <f t="shared" si="484"/>
        <v>3160.9</v>
      </c>
      <c r="I7466" s="96">
        <f t="shared" si="485"/>
        <v>3489.93</v>
      </c>
      <c r="J7466" s="91" t="str">
        <f t="shared" si="486"/>
        <v>Sinapi 101384</v>
      </c>
      <c r="K7466" s="91" t="str">
        <f t="shared" si="487"/>
        <v>MES</v>
      </c>
      <c r="L7466" s="166" t="str">
        <f t="shared" si="483"/>
        <v/>
      </c>
    </row>
    <row r="7467" spans="1:12" x14ac:dyDescent="0.25">
      <c r="A7467" s="170" t="s">
        <v>11004</v>
      </c>
      <c r="B7467" s="170" t="s">
        <v>11005</v>
      </c>
      <c r="C7467" s="170" t="s">
        <v>89</v>
      </c>
      <c r="D7467" s="170" t="s">
        <v>2067</v>
      </c>
      <c r="E7467" s="171" t="s">
        <v>35005</v>
      </c>
      <c r="F7467" s="171" t="s">
        <v>38068</v>
      </c>
      <c r="H7467" s="96">
        <f t="shared" si="484"/>
        <v>3378.32</v>
      </c>
      <c r="I7467" s="96">
        <f t="shared" si="485"/>
        <v>3865.15</v>
      </c>
      <c r="J7467" s="91" t="str">
        <f t="shared" si="486"/>
        <v>Sinapi 101385</v>
      </c>
      <c r="K7467" s="91" t="str">
        <f t="shared" si="487"/>
        <v>MES</v>
      </c>
      <c r="L7467" s="166" t="str">
        <f t="shared" si="483"/>
        <v/>
      </c>
    </row>
    <row r="7468" spans="1:12" x14ac:dyDescent="0.25">
      <c r="A7468" s="170" t="s">
        <v>11006</v>
      </c>
      <c r="B7468" s="170" t="s">
        <v>9753</v>
      </c>
      <c r="C7468" s="170" t="s">
        <v>89</v>
      </c>
      <c r="D7468" s="170" t="s">
        <v>2067</v>
      </c>
      <c r="E7468" s="171" t="s">
        <v>35006</v>
      </c>
      <c r="F7468" s="171" t="s">
        <v>38069</v>
      </c>
      <c r="H7468" s="96">
        <f t="shared" si="484"/>
        <v>3459.53</v>
      </c>
      <c r="I7468" s="96">
        <f t="shared" si="485"/>
        <v>3852.59</v>
      </c>
      <c r="J7468" s="91" t="str">
        <f t="shared" si="486"/>
        <v>Sinapi 101386</v>
      </c>
      <c r="K7468" s="91" t="str">
        <f t="shared" si="487"/>
        <v>MES</v>
      </c>
      <c r="L7468" s="166" t="str">
        <f t="shared" si="483"/>
        <v/>
      </c>
    </row>
    <row r="7469" spans="1:12" x14ac:dyDescent="0.25">
      <c r="A7469" s="170" t="s">
        <v>11007</v>
      </c>
      <c r="B7469" s="170" t="s">
        <v>11008</v>
      </c>
      <c r="C7469" s="170" t="s">
        <v>89</v>
      </c>
      <c r="D7469" s="170" t="s">
        <v>2067</v>
      </c>
      <c r="E7469" s="171" t="s">
        <v>35003</v>
      </c>
      <c r="F7469" s="171" t="s">
        <v>38066</v>
      </c>
      <c r="H7469" s="96">
        <f t="shared" si="484"/>
        <v>3133.24</v>
      </c>
      <c r="I7469" s="96">
        <f t="shared" si="485"/>
        <v>3436.78</v>
      </c>
      <c r="J7469" s="91" t="str">
        <f t="shared" si="486"/>
        <v>Sinapi 101387</v>
      </c>
      <c r="K7469" s="91" t="str">
        <f t="shared" si="487"/>
        <v>MES</v>
      </c>
      <c r="L7469" s="166" t="str">
        <f t="shared" si="483"/>
        <v/>
      </c>
    </row>
    <row r="7470" spans="1:12" x14ac:dyDescent="0.25">
      <c r="A7470" s="170" t="s">
        <v>11009</v>
      </c>
      <c r="B7470" s="170" t="s">
        <v>9756</v>
      </c>
      <c r="C7470" s="170" t="s">
        <v>89</v>
      </c>
      <c r="D7470" s="170" t="s">
        <v>2067</v>
      </c>
      <c r="E7470" s="171" t="s">
        <v>35007</v>
      </c>
      <c r="F7470" s="171" t="s">
        <v>38070</v>
      </c>
      <c r="H7470" s="96">
        <f t="shared" si="484"/>
        <v>3252.13</v>
      </c>
      <c r="I7470" s="96">
        <f t="shared" si="485"/>
        <v>3580.41</v>
      </c>
      <c r="J7470" s="91" t="str">
        <f t="shared" si="486"/>
        <v>Sinapi 101388</v>
      </c>
      <c r="K7470" s="91" t="str">
        <f t="shared" si="487"/>
        <v>MES</v>
      </c>
      <c r="L7470" s="166" t="str">
        <f t="shared" si="483"/>
        <v/>
      </c>
    </row>
    <row r="7471" spans="1:12" x14ac:dyDescent="0.25">
      <c r="A7471" s="170" t="s">
        <v>11010</v>
      </c>
      <c r="B7471" s="170" t="s">
        <v>9758</v>
      </c>
      <c r="C7471" s="170" t="s">
        <v>89</v>
      </c>
      <c r="D7471" s="170" t="s">
        <v>2067</v>
      </c>
      <c r="E7471" s="171" t="s">
        <v>35008</v>
      </c>
      <c r="F7471" s="171" t="s">
        <v>38071</v>
      </c>
      <c r="H7471" s="96">
        <f t="shared" si="484"/>
        <v>2405.23</v>
      </c>
      <c r="I7471" s="96">
        <f t="shared" si="485"/>
        <v>2735.6</v>
      </c>
      <c r="J7471" s="91" t="str">
        <f t="shared" si="486"/>
        <v>Sinapi 101389</v>
      </c>
      <c r="K7471" s="91" t="str">
        <f t="shared" si="487"/>
        <v>MES</v>
      </c>
      <c r="L7471" s="166" t="str">
        <f t="shared" si="483"/>
        <v/>
      </c>
    </row>
    <row r="7472" spans="1:12" x14ac:dyDescent="0.25">
      <c r="A7472" s="170" t="s">
        <v>11011</v>
      </c>
      <c r="B7472" s="170" t="s">
        <v>11012</v>
      </c>
      <c r="C7472" s="170" t="s">
        <v>89</v>
      </c>
      <c r="D7472" s="170" t="s">
        <v>2067</v>
      </c>
      <c r="E7472" s="171" t="s">
        <v>35009</v>
      </c>
      <c r="F7472" s="171" t="s">
        <v>38072</v>
      </c>
      <c r="H7472" s="96">
        <f t="shared" si="484"/>
        <v>6863.52</v>
      </c>
      <c r="I7472" s="96">
        <f t="shared" si="485"/>
        <v>7918.68</v>
      </c>
      <c r="J7472" s="91" t="str">
        <f t="shared" si="486"/>
        <v>Sinapi 101390</v>
      </c>
      <c r="K7472" s="91" t="str">
        <f t="shared" si="487"/>
        <v>MES</v>
      </c>
      <c r="L7472" s="166" t="str">
        <f t="shared" si="483"/>
        <v/>
      </c>
    </row>
    <row r="7473" spans="1:12" x14ac:dyDescent="0.25">
      <c r="A7473" s="170" t="s">
        <v>11013</v>
      </c>
      <c r="B7473" s="170" t="s">
        <v>11014</v>
      </c>
      <c r="C7473" s="170" t="s">
        <v>89</v>
      </c>
      <c r="D7473" s="170" t="s">
        <v>2067</v>
      </c>
      <c r="E7473" s="171" t="s">
        <v>35010</v>
      </c>
      <c r="F7473" s="171" t="s">
        <v>38073</v>
      </c>
      <c r="H7473" s="96">
        <f t="shared" si="484"/>
        <v>4271.57</v>
      </c>
      <c r="I7473" s="96">
        <f t="shared" si="485"/>
        <v>4759.93</v>
      </c>
      <c r="J7473" s="91" t="str">
        <f t="shared" si="486"/>
        <v>Sinapi 101391</v>
      </c>
      <c r="K7473" s="91" t="str">
        <f t="shared" si="487"/>
        <v>MES</v>
      </c>
      <c r="L7473" s="166" t="str">
        <f t="shared" si="483"/>
        <v/>
      </c>
    </row>
    <row r="7474" spans="1:12" x14ac:dyDescent="0.25">
      <c r="A7474" s="170" t="s">
        <v>11015</v>
      </c>
      <c r="B7474" s="170" t="s">
        <v>11016</v>
      </c>
      <c r="C7474" s="170" t="s">
        <v>89</v>
      </c>
      <c r="D7474" s="170" t="s">
        <v>2067</v>
      </c>
      <c r="E7474" s="171" t="s">
        <v>35011</v>
      </c>
      <c r="F7474" s="171" t="s">
        <v>38074</v>
      </c>
      <c r="H7474" s="96">
        <f t="shared" si="484"/>
        <v>3720.99</v>
      </c>
      <c r="I7474" s="96">
        <f t="shared" si="485"/>
        <v>4156.5</v>
      </c>
      <c r="J7474" s="91" t="str">
        <f t="shared" si="486"/>
        <v>Sinapi 101392</v>
      </c>
      <c r="K7474" s="91" t="str">
        <f t="shared" si="487"/>
        <v>MES</v>
      </c>
      <c r="L7474" s="166" t="str">
        <f t="shared" si="483"/>
        <v/>
      </c>
    </row>
    <row r="7475" spans="1:12" x14ac:dyDescent="0.25">
      <c r="A7475" s="170" t="s">
        <v>11017</v>
      </c>
      <c r="B7475" s="170" t="s">
        <v>1138</v>
      </c>
      <c r="C7475" s="170" t="s">
        <v>89</v>
      </c>
      <c r="D7475" s="170" t="s">
        <v>2067</v>
      </c>
      <c r="E7475" s="171" t="s">
        <v>35012</v>
      </c>
      <c r="F7475" s="171" t="s">
        <v>38075</v>
      </c>
      <c r="H7475" s="96">
        <f t="shared" si="484"/>
        <v>3981.17</v>
      </c>
      <c r="I7475" s="96">
        <f t="shared" si="485"/>
        <v>4422.37</v>
      </c>
      <c r="J7475" s="91" t="str">
        <f t="shared" si="486"/>
        <v>Sinapi 101394</v>
      </c>
      <c r="K7475" s="91" t="str">
        <f t="shared" si="487"/>
        <v>MES</v>
      </c>
      <c r="L7475" s="166" t="str">
        <f t="shared" si="483"/>
        <v/>
      </c>
    </row>
    <row r="7476" spans="1:12" x14ac:dyDescent="0.25">
      <c r="A7476" s="170" t="s">
        <v>11018</v>
      </c>
      <c r="B7476" s="170" t="s">
        <v>11019</v>
      </c>
      <c r="C7476" s="170" t="s">
        <v>89</v>
      </c>
      <c r="D7476" s="170" t="s">
        <v>2067</v>
      </c>
      <c r="E7476" s="171" t="s">
        <v>35013</v>
      </c>
      <c r="F7476" s="171" t="s">
        <v>38076</v>
      </c>
      <c r="H7476" s="96">
        <f t="shared" si="484"/>
        <v>4086.94</v>
      </c>
      <c r="I7476" s="96">
        <f t="shared" si="485"/>
        <v>4550.72</v>
      </c>
      <c r="J7476" s="91" t="str">
        <f t="shared" si="486"/>
        <v>Sinapi 101395</v>
      </c>
      <c r="K7476" s="91" t="str">
        <f t="shared" si="487"/>
        <v>MES</v>
      </c>
      <c r="L7476" s="166" t="str">
        <f t="shared" si="483"/>
        <v/>
      </c>
    </row>
    <row r="7477" spans="1:12" x14ac:dyDescent="0.25">
      <c r="A7477" s="170" t="s">
        <v>11020</v>
      </c>
      <c r="B7477" s="170" t="s">
        <v>11021</v>
      </c>
      <c r="C7477" s="170" t="s">
        <v>89</v>
      </c>
      <c r="D7477" s="170" t="s">
        <v>2067</v>
      </c>
      <c r="E7477" s="171" t="s">
        <v>35014</v>
      </c>
      <c r="F7477" s="171" t="s">
        <v>38077</v>
      </c>
      <c r="H7477" s="96">
        <f t="shared" si="484"/>
        <v>4062.79</v>
      </c>
      <c r="I7477" s="96">
        <f t="shared" si="485"/>
        <v>4522.6499999999996</v>
      </c>
      <c r="J7477" s="91" t="str">
        <f t="shared" si="486"/>
        <v>Sinapi 101396</v>
      </c>
      <c r="K7477" s="91" t="str">
        <f t="shared" si="487"/>
        <v>MES</v>
      </c>
      <c r="L7477" s="166" t="str">
        <f t="shared" si="483"/>
        <v/>
      </c>
    </row>
    <row r="7478" spans="1:12" x14ac:dyDescent="0.25">
      <c r="A7478" s="170" t="s">
        <v>11022</v>
      </c>
      <c r="B7478" s="170" t="s">
        <v>871</v>
      </c>
      <c r="C7478" s="170" t="s">
        <v>89</v>
      </c>
      <c r="D7478" s="170" t="s">
        <v>2067</v>
      </c>
      <c r="E7478" s="171" t="s">
        <v>35015</v>
      </c>
      <c r="F7478" s="171" t="s">
        <v>38078</v>
      </c>
      <c r="H7478" s="96">
        <f t="shared" si="484"/>
        <v>4230.72</v>
      </c>
      <c r="I7478" s="96">
        <f t="shared" si="485"/>
        <v>4717.8500000000004</v>
      </c>
      <c r="J7478" s="91" t="str">
        <f t="shared" si="486"/>
        <v>Sinapi 101397</v>
      </c>
      <c r="K7478" s="91" t="str">
        <f t="shared" si="487"/>
        <v>MES</v>
      </c>
      <c r="L7478" s="166" t="str">
        <f t="shared" si="483"/>
        <v/>
      </c>
    </row>
    <row r="7479" spans="1:12" x14ac:dyDescent="0.25">
      <c r="A7479" s="170" t="s">
        <v>11023</v>
      </c>
      <c r="B7479" s="170" t="s">
        <v>11024</v>
      </c>
      <c r="C7479" s="170" t="s">
        <v>89</v>
      </c>
      <c r="D7479" s="170" t="s">
        <v>2067</v>
      </c>
      <c r="E7479" s="171" t="s">
        <v>35016</v>
      </c>
      <c r="F7479" s="171" t="s">
        <v>38079</v>
      </c>
      <c r="H7479" s="96">
        <f t="shared" si="484"/>
        <v>3301.12</v>
      </c>
      <c r="I7479" s="96">
        <f t="shared" si="485"/>
        <v>3668.46</v>
      </c>
      <c r="J7479" s="91" t="str">
        <f t="shared" si="486"/>
        <v>Sinapi 101398</v>
      </c>
      <c r="K7479" s="91" t="str">
        <f t="shared" si="487"/>
        <v>MES</v>
      </c>
      <c r="L7479" s="166" t="str">
        <f t="shared" si="483"/>
        <v/>
      </c>
    </row>
    <row r="7480" spans="1:12" x14ac:dyDescent="0.25">
      <c r="A7480" s="170" t="s">
        <v>11025</v>
      </c>
      <c r="B7480" s="170" t="s">
        <v>1023</v>
      </c>
      <c r="C7480" s="170" t="s">
        <v>89</v>
      </c>
      <c r="D7480" s="170" t="s">
        <v>2067</v>
      </c>
      <c r="E7480" s="171" t="s">
        <v>35017</v>
      </c>
      <c r="F7480" s="171" t="s">
        <v>38080</v>
      </c>
      <c r="H7480" s="96">
        <f t="shared" si="484"/>
        <v>4321.09</v>
      </c>
      <c r="I7480" s="96">
        <f t="shared" si="485"/>
        <v>4818.04</v>
      </c>
      <c r="J7480" s="91" t="str">
        <f t="shared" si="486"/>
        <v>Sinapi 101399</v>
      </c>
      <c r="K7480" s="91" t="str">
        <f t="shared" si="487"/>
        <v>MES</v>
      </c>
      <c r="L7480" s="166" t="str">
        <f t="shared" si="483"/>
        <v/>
      </c>
    </row>
    <row r="7481" spans="1:12" x14ac:dyDescent="0.25">
      <c r="A7481" s="170" t="s">
        <v>11026</v>
      </c>
      <c r="B7481" s="170" t="s">
        <v>11027</v>
      </c>
      <c r="C7481" s="170" t="s">
        <v>89</v>
      </c>
      <c r="D7481" s="170" t="s">
        <v>2067</v>
      </c>
      <c r="E7481" s="171" t="s">
        <v>35017</v>
      </c>
      <c r="F7481" s="171" t="s">
        <v>38080</v>
      </c>
      <c r="H7481" s="96">
        <f t="shared" si="484"/>
        <v>4321.09</v>
      </c>
      <c r="I7481" s="96">
        <f t="shared" si="485"/>
        <v>4818.04</v>
      </c>
      <c r="J7481" s="91" t="str">
        <f t="shared" si="486"/>
        <v>Sinapi 101400</v>
      </c>
      <c r="K7481" s="91" t="str">
        <f t="shared" si="487"/>
        <v>MES</v>
      </c>
      <c r="L7481" s="166" t="str">
        <f t="shared" si="483"/>
        <v/>
      </c>
    </row>
    <row r="7482" spans="1:12" x14ac:dyDescent="0.25">
      <c r="A7482" s="170" t="s">
        <v>11028</v>
      </c>
      <c r="B7482" s="170" t="s">
        <v>9775</v>
      </c>
      <c r="C7482" s="170" t="s">
        <v>89</v>
      </c>
      <c r="D7482" s="170" t="s">
        <v>2067</v>
      </c>
      <c r="E7482" s="171" t="s">
        <v>35018</v>
      </c>
      <c r="F7482" s="171" t="s">
        <v>38081</v>
      </c>
      <c r="H7482" s="96">
        <f t="shared" si="484"/>
        <v>4759.82</v>
      </c>
      <c r="I7482" s="96">
        <f t="shared" si="485"/>
        <v>5328</v>
      </c>
      <c r="J7482" s="91" t="str">
        <f t="shared" si="486"/>
        <v>Sinapi 101401</v>
      </c>
      <c r="K7482" s="91" t="str">
        <f t="shared" si="487"/>
        <v>MES</v>
      </c>
      <c r="L7482" s="166" t="str">
        <f t="shared" si="483"/>
        <v/>
      </c>
    </row>
    <row r="7483" spans="1:12" x14ac:dyDescent="0.25">
      <c r="A7483" s="170" t="s">
        <v>11029</v>
      </c>
      <c r="B7483" s="170" t="s">
        <v>825</v>
      </c>
      <c r="C7483" s="170" t="s">
        <v>89</v>
      </c>
      <c r="D7483" s="170" t="s">
        <v>2067</v>
      </c>
      <c r="E7483" s="171" t="s">
        <v>35019</v>
      </c>
      <c r="F7483" s="171" t="s">
        <v>38082</v>
      </c>
      <c r="H7483" s="96">
        <f t="shared" si="484"/>
        <v>4149.78</v>
      </c>
      <c r="I7483" s="96">
        <f t="shared" si="485"/>
        <v>4639.3599999999997</v>
      </c>
      <c r="J7483" s="91" t="str">
        <f t="shared" si="486"/>
        <v>Sinapi 101402</v>
      </c>
      <c r="K7483" s="91" t="str">
        <f t="shared" si="487"/>
        <v>MES</v>
      </c>
      <c r="L7483" s="166" t="str">
        <f t="shared" si="483"/>
        <v/>
      </c>
    </row>
    <row r="7484" spans="1:12" x14ac:dyDescent="0.25">
      <c r="A7484" s="170" t="s">
        <v>11030</v>
      </c>
      <c r="B7484" s="170" t="s">
        <v>10988</v>
      </c>
      <c r="C7484" s="170" t="s">
        <v>89</v>
      </c>
      <c r="D7484" s="170" t="s">
        <v>2067</v>
      </c>
      <c r="E7484" s="171" t="s">
        <v>35020</v>
      </c>
      <c r="F7484" s="171" t="s">
        <v>38083</v>
      </c>
      <c r="H7484" s="96">
        <f t="shared" si="484"/>
        <v>26454.6</v>
      </c>
      <c r="I7484" s="96">
        <f t="shared" si="485"/>
        <v>30690.48</v>
      </c>
      <c r="J7484" s="91" t="str">
        <f t="shared" si="486"/>
        <v>Sinapi 101403</v>
      </c>
      <c r="K7484" s="91" t="str">
        <f t="shared" si="487"/>
        <v>MES</v>
      </c>
      <c r="L7484" s="166" t="str">
        <f t="shared" si="483"/>
        <v/>
      </c>
    </row>
    <row r="7485" spans="1:12" x14ac:dyDescent="0.25">
      <c r="A7485" s="170" t="s">
        <v>11031</v>
      </c>
      <c r="B7485" s="170" t="s">
        <v>9900</v>
      </c>
      <c r="C7485" s="170" t="s">
        <v>89</v>
      </c>
      <c r="D7485" s="170" t="s">
        <v>2067</v>
      </c>
      <c r="E7485" s="171" t="s">
        <v>35021</v>
      </c>
      <c r="F7485" s="171" t="s">
        <v>38084</v>
      </c>
      <c r="H7485" s="96">
        <f t="shared" si="484"/>
        <v>24913.59</v>
      </c>
      <c r="I7485" s="96">
        <f t="shared" si="485"/>
        <v>28899.279999999999</v>
      </c>
      <c r="J7485" s="91" t="str">
        <f t="shared" si="486"/>
        <v>Sinapi 101404</v>
      </c>
      <c r="K7485" s="91" t="str">
        <f t="shared" si="487"/>
        <v>MES</v>
      </c>
      <c r="L7485" s="166" t="str">
        <f t="shared" si="483"/>
        <v/>
      </c>
    </row>
    <row r="7486" spans="1:12" x14ac:dyDescent="0.25">
      <c r="A7486" s="170" t="s">
        <v>11032</v>
      </c>
      <c r="B7486" s="170" t="s">
        <v>9902</v>
      </c>
      <c r="C7486" s="170" t="s">
        <v>89</v>
      </c>
      <c r="D7486" s="170" t="s">
        <v>2067</v>
      </c>
      <c r="E7486" s="171" t="s">
        <v>35022</v>
      </c>
      <c r="F7486" s="171" t="s">
        <v>38085</v>
      </c>
      <c r="H7486" s="96">
        <f t="shared" si="484"/>
        <v>23808.04</v>
      </c>
      <c r="I7486" s="96">
        <f t="shared" si="485"/>
        <v>27614.23</v>
      </c>
      <c r="J7486" s="91" t="str">
        <f t="shared" si="486"/>
        <v>Sinapi 101405</v>
      </c>
      <c r="K7486" s="91" t="str">
        <f t="shared" si="487"/>
        <v>MES</v>
      </c>
      <c r="L7486" s="166" t="str">
        <f t="shared" si="483"/>
        <v/>
      </c>
    </row>
    <row r="7487" spans="1:12" x14ac:dyDescent="0.25">
      <c r="A7487" s="170" t="s">
        <v>11033</v>
      </c>
      <c r="B7487" s="170" t="s">
        <v>1114</v>
      </c>
      <c r="C7487" s="170" t="s">
        <v>89</v>
      </c>
      <c r="D7487" s="170" t="s">
        <v>2067</v>
      </c>
      <c r="E7487" s="171" t="s">
        <v>35023</v>
      </c>
      <c r="F7487" s="171" t="s">
        <v>38086</v>
      </c>
      <c r="H7487" s="96">
        <f t="shared" si="484"/>
        <v>4185.66</v>
      </c>
      <c r="I7487" s="96">
        <f t="shared" si="485"/>
        <v>4660.07</v>
      </c>
      <c r="J7487" s="91" t="str">
        <f t="shared" si="486"/>
        <v>Sinapi 101407</v>
      </c>
      <c r="K7487" s="91" t="str">
        <f t="shared" si="487"/>
        <v>MES</v>
      </c>
      <c r="L7487" s="166" t="str">
        <f t="shared" si="483"/>
        <v/>
      </c>
    </row>
    <row r="7488" spans="1:12" x14ac:dyDescent="0.25">
      <c r="A7488" s="170" t="s">
        <v>11034</v>
      </c>
      <c r="B7488" s="170" t="s">
        <v>889</v>
      </c>
      <c r="C7488" s="170" t="s">
        <v>89</v>
      </c>
      <c r="D7488" s="170" t="s">
        <v>2067</v>
      </c>
      <c r="E7488" s="171" t="s">
        <v>35024</v>
      </c>
      <c r="F7488" s="171" t="s">
        <v>38087</v>
      </c>
      <c r="H7488" s="96">
        <f t="shared" si="484"/>
        <v>3971.64</v>
      </c>
      <c r="I7488" s="96">
        <f t="shared" si="485"/>
        <v>4411.29</v>
      </c>
      <c r="J7488" s="91" t="str">
        <f t="shared" si="486"/>
        <v>Sinapi 101408</v>
      </c>
      <c r="K7488" s="91" t="str">
        <f t="shared" si="487"/>
        <v>MES</v>
      </c>
      <c r="L7488" s="166" t="str">
        <f t="shared" si="483"/>
        <v/>
      </c>
    </row>
    <row r="7489" spans="1:12" x14ac:dyDescent="0.25">
      <c r="A7489" s="170" t="s">
        <v>11035</v>
      </c>
      <c r="B7489" s="170" t="s">
        <v>11036</v>
      </c>
      <c r="C7489" s="170" t="s">
        <v>89</v>
      </c>
      <c r="D7489" s="170" t="s">
        <v>2067</v>
      </c>
      <c r="E7489" s="171" t="s">
        <v>35025</v>
      </c>
      <c r="F7489" s="171" t="s">
        <v>38088</v>
      </c>
      <c r="H7489" s="96">
        <f t="shared" si="484"/>
        <v>3916.85</v>
      </c>
      <c r="I7489" s="96">
        <f t="shared" si="485"/>
        <v>4384.1499999999996</v>
      </c>
      <c r="J7489" s="91" t="str">
        <f t="shared" si="486"/>
        <v>Sinapi 101409</v>
      </c>
      <c r="K7489" s="91" t="str">
        <f t="shared" si="487"/>
        <v>MES</v>
      </c>
      <c r="L7489" s="166" t="str">
        <f t="shared" si="483"/>
        <v/>
      </c>
    </row>
    <row r="7490" spans="1:12" x14ac:dyDescent="0.25">
      <c r="A7490" s="170" t="s">
        <v>11037</v>
      </c>
      <c r="B7490" s="170" t="s">
        <v>954</v>
      </c>
      <c r="C7490" s="170" t="s">
        <v>89</v>
      </c>
      <c r="D7490" s="170" t="s">
        <v>2067</v>
      </c>
      <c r="E7490" s="171" t="s">
        <v>35026</v>
      </c>
      <c r="F7490" s="171" t="s">
        <v>38089</v>
      </c>
      <c r="H7490" s="96">
        <f t="shared" si="484"/>
        <v>3503.69</v>
      </c>
      <c r="I7490" s="96">
        <f t="shared" si="485"/>
        <v>3867.37</v>
      </c>
      <c r="J7490" s="91" t="str">
        <f t="shared" si="486"/>
        <v>Sinapi 101410</v>
      </c>
      <c r="K7490" s="91" t="str">
        <f t="shared" si="487"/>
        <v>MES</v>
      </c>
      <c r="L7490" s="166" t="str">
        <f t="shared" si="483"/>
        <v/>
      </c>
    </row>
    <row r="7491" spans="1:12" x14ac:dyDescent="0.25">
      <c r="A7491" s="170" t="s">
        <v>11038</v>
      </c>
      <c r="B7491" s="170" t="s">
        <v>11039</v>
      </c>
      <c r="C7491" s="170" t="s">
        <v>89</v>
      </c>
      <c r="D7491" s="170" t="s">
        <v>2067</v>
      </c>
      <c r="E7491" s="171" t="s">
        <v>35027</v>
      </c>
      <c r="F7491" s="171" t="s">
        <v>38090</v>
      </c>
      <c r="H7491" s="96">
        <f t="shared" si="484"/>
        <v>2234.16</v>
      </c>
      <c r="I7491" s="96">
        <f t="shared" si="485"/>
        <v>2535.2399999999998</v>
      </c>
      <c r="J7491" s="91" t="str">
        <f t="shared" si="486"/>
        <v>Sinapi 101411</v>
      </c>
      <c r="K7491" s="91" t="str">
        <f t="shared" si="487"/>
        <v>MES</v>
      </c>
      <c r="L7491" s="166" t="str">
        <f t="shared" si="483"/>
        <v/>
      </c>
    </row>
    <row r="7492" spans="1:12" x14ac:dyDescent="0.25">
      <c r="A7492" s="170" t="s">
        <v>11040</v>
      </c>
      <c r="B7492" s="170" t="s">
        <v>11041</v>
      </c>
      <c r="C7492" s="170" t="s">
        <v>89</v>
      </c>
      <c r="D7492" s="170" t="s">
        <v>2067</v>
      </c>
      <c r="E7492" s="171" t="s">
        <v>35028</v>
      </c>
      <c r="F7492" s="171" t="s">
        <v>38091</v>
      </c>
      <c r="H7492" s="96">
        <f t="shared" si="484"/>
        <v>4362.03</v>
      </c>
      <c r="I7492" s="96">
        <f t="shared" si="485"/>
        <v>4839.29</v>
      </c>
      <c r="J7492" s="91" t="str">
        <f t="shared" si="486"/>
        <v>Sinapi 101412</v>
      </c>
      <c r="K7492" s="91" t="str">
        <f t="shared" si="487"/>
        <v>MES</v>
      </c>
      <c r="L7492" s="166" t="str">
        <f t="shared" si="483"/>
        <v/>
      </c>
    </row>
    <row r="7493" spans="1:12" x14ac:dyDescent="0.25">
      <c r="A7493" s="170" t="s">
        <v>11042</v>
      </c>
      <c r="B7493" s="170" t="s">
        <v>9782</v>
      </c>
      <c r="C7493" s="170" t="s">
        <v>89</v>
      </c>
      <c r="D7493" s="170" t="s">
        <v>2067</v>
      </c>
      <c r="E7493" s="171" t="s">
        <v>35029</v>
      </c>
      <c r="F7493" s="171" t="s">
        <v>38092</v>
      </c>
      <c r="H7493" s="96">
        <f t="shared" si="484"/>
        <v>4018.08</v>
      </c>
      <c r="I7493" s="96">
        <f t="shared" si="485"/>
        <v>4470.6899999999996</v>
      </c>
      <c r="J7493" s="91" t="str">
        <f t="shared" si="486"/>
        <v>Sinapi 101413</v>
      </c>
      <c r="K7493" s="91" t="str">
        <f t="shared" si="487"/>
        <v>MES</v>
      </c>
      <c r="L7493" s="166" t="str">
        <f t="shared" si="483"/>
        <v/>
      </c>
    </row>
    <row r="7494" spans="1:12" x14ac:dyDescent="0.25">
      <c r="A7494" s="170" t="s">
        <v>11043</v>
      </c>
      <c r="B7494" s="170" t="s">
        <v>11044</v>
      </c>
      <c r="C7494" s="170" t="s">
        <v>89</v>
      </c>
      <c r="D7494" s="170" t="s">
        <v>2067</v>
      </c>
      <c r="E7494" s="171" t="s">
        <v>35010</v>
      </c>
      <c r="F7494" s="171" t="s">
        <v>38073</v>
      </c>
      <c r="H7494" s="96">
        <f t="shared" si="484"/>
        <v>4271.57</v>
      </c>
      <c r="I7494" s="96">
        <f t="shared" si="485"/>
        <v>4759.93</v>
      </c>
      <c r="J7494" s="91" t="str">
        <f t="shared" si="486"/>
        <v>Sinapi 101414</v>
      </c>
      <c r="K7494" s="91" t="str">
        <f t="shared" si="487"/>
        <v>MES</v>
      </c>
      <c r="L7494" s="166" t="str">
        <f t="shared" si="483"/>
        <v/>
      </c>
    </row>
    <row r="7495" spans="1:12" x14ac:dyDescent="0.25">
      <c r="A7495" s="170" t="s">
        <v>11045</v>
      </c>
      <c r="B7495" s="170" t="s">
        <v>11046</v>
      </c>
      <c r="C7495" s="170" t="s">
        <v>89</v>
      </c>
      <c r="D7495" s="170" t="s">
        <v>2067</v>
      </c>
      <c r="E7495" s="171" t="s">
        <v>35030</v>
      </c>
      <c r="F7495" s="171" t="s">
        <v>38093</v>
      </c>
      <c r="H7495" s="96">
        <f t="shared" si="484"/>
        <v>5259.77</v>
      </c>
      <c r="I7495" s="96">
        <f t="shared" si="485"/>
        <v>5945.1</v>
      </c>
      <c r="J7495" s="91" t="str">
        <f t="shared" si="486"/>
        <v>Sinapi 101415</v>
      </c>
      <c r="K7495" s="91" t="str">
        <f t="shared" si="487"/>
        <v>MES</v>
      </c>
      <c r="L7495" s="166" t="str">
        <f t="shared" si="483"/>
        <v/>
      </c>
    </row>
    <row r="7496" spans="1:12" x14ac:dyDescent="0.25">
      <c r="A7496" s="170" t="s">
        <v>11047</v>
      </c>
      <c r="B7496" s="170" t="s">
        <v>10194</v>
      </c>
      <c r="C7496" s="170" t="s">
        <v>89</v>
      </c>
      <c r="D7496" s="170" t="s">
        <v>2067</v>
      </c>
      <c r="E7496" s="171" t="s">
        <v>35031</v>
      </c>
      <c r="F7496" s="171" t="s">
        <v>38094</v>
      </c>
      <c r="H7496" s="96">
        <f t="shared" si="484"/>
        <v>4402.92</v>
      </c>
      <c r="I7496" s="96">
        <f t="shared" si="485"/>
        <v>4913.16</v>
      </c>
      <c r="J7496" s="91" t="str">
        <f t="shared" si="486"/>
        <v>Sinapi 101416</v>
      </c>
      <c r="K7496" s="91" t="str">
        <f t="shared" si="487"/>
        <v>MES</v>
      </c>
      <c r="L7496" s="166" t="str">
        <f t="shared" ref="L7496:L7559" si="488">IF(OR(RIGHT(IF(AND(K7496&lt;&gt;"H",K7496&lt;&gt;"MES"),RIGHT(B7496,7),""),2)="PS",RIGHT(IF(AND(K7496&lt;&gt;"H",K7496&lt;&gt;"MES"),RIGHT(B7496,7),""),2)="PA",RIGHT(IF(AND(K7496&lt;&gt;"H",K7496&lt;&gt;"MES"),RIGHT(B7496,7),""),2)="PE"),LEFT(IF(AND(K7496&lt;&gt;"H",K7496&lt;&gt;"MES"),RIGHT(B7496,10),""),7),IF(AND(K7496&lt;&gt;"H",K7496&lt;&gt;"MES"),RIGHT(B7496,7),""))</f>
        <v/>
      </c>
    </row>
    <row r="7497" spans="1:12" x14ac:dyDescent="0.25">
      <c r="A7497" s="170" t="s">
        <v>11048</v>
      </c>
      <c r="B7497" s="170" t="s">
        <v>11049</v>
      </c>
      <c r="C7497" s="170" t="s">
        <v>89</v>
      </c>
      <c r="D7497" s="170" t="s">
        <v>2067</v>
      </c>
      <c r="E7497" s="171" t="s">
        <v>35032</v>
      </c>
      <c r="F7497" s="171" t="s">
        <v>38095</v>
      </c>
      <c r="H7497" s="96">
        <f t="shared" si="484"/>
        <v>3839.66</v>
      </c>
      <c r="I7497" s="96">
        <f t="shared" si="485"/>
        <v>4258.4399999999996</v>
      </c>
      <c r="J7497" s="91" t="str">
        <f t="shared" si="486"/>
        <v>Sinapi 101417</v>
      </c>
      <c r="K7497" s="91" t="str">
        <f t="shared" si="487"/>
        <v>MES</v>
      </c>
      <c r="L7497" s="166" t="str">
        <f t="shared" si="488"/>
        <v/>
      </c>
    </row>
    <row r="7498" spans="1:12" x14ac:dyDescent="0.25">
      <c r="A7498" s="170" t="s">
        <v>11050</v>
      </c>
      <c r="B7498" s="170" t="s">
        <v>11051</v>
      </c>
      <c r="C7498" s="170" t="s">
        <v>89</v>
      </c>
      <c r="D7498" s="170" t="s">
        <v>2067</v>
      </c>
      <c r="E7498" s="171" t="s">
        <v>35033</v>
      </c>
      <c r="F7498" s="171" t="s">
        <v>38096</v>
      </c>
      <c r="H7498" s="96">
        <f t="shared" si="484"/>
        <v>3609.42</v>
      </c>
      <c r="I7498" s="96">
        <f t="shared" si="485"/>
        <v>4026.82</v>
      </c>
      <c r="J7498" s="91" t="str">
        <f t="shared" si="486"/>
        <v>Sinapi 101418</v>
      </c>
      <c r="K7498" s="91" t="str">
        <f t="shared" si="487"/>
        <v>MES</v>
      </c>
      <c r="L7498" s="166" t="str">
        <f t="shared" si="488"/>
        <v/>
      </c>
    </row>
    <row r="7499" spans="1:12" x14ac:dyDescent="0.25">
      <c r="A7499" s="170" t="s">
        <v>11052</v>
      </c>
      <c r="B7499" s="170" t="s">
        <v>11053</v>
      </c>
      <c r="C7499" s="170" t="s">
        <v>89</v>
      </c>
      <c r="D7499" s="170" t="s">
        <v>2067</v>
      </c>
      <c r="E7499" s="171" t="s">
        <v>35034</v>
      </c>
      <c r="F7499" s="171" t="s">
        <v>38097</v>
      </c>
      <c r="H7499" s="96">
        <f t="shared" si="484"/>
        <v>4451.87</v>
      </c>
      <c r="I7499" s="96">
        <f t="shared" si="485"/>
        <v>4970.05</v>
      </c>
      <c r="J7499" s="91" t="str">
        <f t="shared" si="486"/>
        <v>Sinapi 101419</v>
      </c>
      <c r="K7499" s="91" t="str">
        <f t="shared" si="487"/>
        <v>MES</v>
      </c>
      <c r="L7499" s="166" t="str">
        <f t="shared" si="488"/>
        <v/>
      </c>
    </row>
    <row r="7500" spans="1:12" x14ac:dyDescent="0.25">
      <c r="A7500" s="170" t="s">
        <v>11054</v>
      </c>
      <c r="B7500" s="170" t="s">
        <v>11055</v>
      </c>
      <c r="C7500" s="170" t="s">
        <v>89</v>
      </c>
      <c r="D7500" s="170" t="s">
        <v>2067</v>
      </c>
      <c r="E7500" s="171" t="s">
        <v>35035</v>
      </c>
      <c r="F7500" s="171" t="s">
        <v>38098</v>
      </c>
      <c r="H7500" s="96">
        <f t="shared" si="484"/>
        <v>4140.8100000000004</v>
      </c>
      <c r="I7500" s="96">
        <f t="shared" si="485"/>
        <v>4644.47</v>
      </c>
      <c r="J7500" s="91" t="str">
        <f t="shared" si="486"/>
        <v>Sinapi 101420</v>
      </c>
      <c r="K7500" s="91" t="str">
        <f t="shared" si="487"/>
        <v>MES</v>
      </c>
      <c r="L7500" s="166" t="str">
        <f t="shared" si="488"/>
        <v/>
      </c>
    </row>
    <row r="7501" spans="1:12" x14ac:dyDescent="0.25">
      <c r="A7501" s="170" t="s">
        <v>11056</v>
      </c>
      <c r="B7501" s="170" t="s">
        <v>11057</v>
      </c>
      <c r="C7501" s="170" t="s">
        <v>89</v>
      </c>
      <c r="D7501" s="170" t="s">
        <v>2067</v>
      </c>
      <c r="E7501" s="171" t="s">
        <v>35036</v>
      </c>
      <c r="F7501" s="171" t="s">
        <v>38099</v>
      </c>
      <c r="H7501" s="96">
        <f t="shared" si="484"/>
        <v>4751.62</v>
      </c>
      <c r="I7501" s="96">
        <f t="shared" si="485"/>
        <v>5354.46</v>
      </c>
      <c r="J7501" s="91" t="str">
        <f t="shared" si="486"/>
        <v>Sinapi 101421</v>
      </c>
      <c r="K7501" s="91" t="str">
        <f t="shared" si="487"/>
        <v>MES</v>
      </c>
      <c r="L7501" s="166" t="str">
        <f t="shared" si="488"/>
        <v/>
      </c>
    </row>
    <row r="7502" spans="1:12" x14ac:dyDescent="0.25">
      <c r="A7502" s="170" t="s">
        <v>11058</v>
      </c>
      <c r="B7502" s="170" t="s">
        <v>11059</v>
      </c>
      <c r="C7502" s="170" t="s">
        <v>89</v>
      </c>
      <c r="D7502" s="170" t="s">
        <v>2067</v>
      </c>
      <c r="E7502" s="171" t="s">
        <v>35037</v>
      </c>
      <c r="F7502" s="171" t="s">
        <v>38100</v>
      </c>
      <c r="H7502" s="96">
        <f t="shared" si="484"/>
        <v>2831.76</v>
      </c>
      <c r="I7502" s="96">
        <f t="shared" si="485"/>
        <v>3122.9</v>
      </c>
      <c r="J7502" s="91" t="str">
        <f t="shared" si="486"/>
        <v>Sinapi 101422</v>
      </c>
      <c r="K7502" s="91" t="str">
        <f t="shared" si="487"/>
        <v>MES</v>
      </c>
      <c r="L7502" s="166" t="str">
        <f t="shared" si="488"/>
        <v/>
      </c>
    </row>
    <row r="7503" spans="1:12" x14ac:dyDescent="0.25">
      <c r="A7503" s="170" t="s">
        <v>11060</v>
      </c>
      <c r="B7503" s="170" t="s">
        <v>11061</v>
      </c>
      <c r="C7503" s="170" t="s">
        <v>89</v>
      </c>
      <c r="D7503" s="170" t="s">
        <v>2067</v>
      </c>
      <c r="E7503" s="171" t="s">
        <v>35038</v>
      </c>
      <c r="F7503" s="171" t="s">
        <v>38101</v>
      </c>
      <c r="H7503" s="96">
        <f t="shared" si="484"/>
        <v>3821.69</v>
      </c>
      <c r="I7503" s="96">
        <f t="shared" si="485"/>
        <v>4273.55</v>
      </c>
      <c r="J7503" s="91" t="str">
        <f t="shared" si="486"/>
        <v>Sinapi 101423</v>
      </c>
      <c r="K7503" s="91" t="str">
        <f t="shared" si="487"/>
        <v>MES</v>
      </c>
      <c r="L7503" s="166" t="str">
        <f t="shared" si="488"/>
        <v/>
      </c>
    </row>
    <row r="7504" spans="1:12" x14ac:dyDescent="0.25">
      <c r="A7504" s="170" t="s">
        <v>11062</v>
      </c>
      <c r="B7504" s="170" t="s">
        <v>11063</v>
      </c>
      <c r="C7504" s="170" t="s">
        <v>89</v>
      </c>
      <c r="D7504" s="170" t="s">
        <v>2067</v>
      </c>
      <c r="E7504" s="171" t="s">
        <v>35039</v>
      </c>
      <c r="F7504" s="171" t="s">
        <v>38102</v>
      </c>
      <c r="H7504" s="96">
        <f t="shared" si="484"/>
        <v>3752.24</v>
      </c>
      <c r="I7504" s="96">
        <f t="shared" si="485"/>
        <v>4192.83</v>
      </c>
      <c r="J7504" s="91" t="str">
        <f t="shared" si="486"/>
        <v>Sinapi 101424</v>
      </c>
      <c r="K7504" s="91" t="str">
        <f t="shared" si="487"/>
        <v>MES</v>
      </c>
      <c r="L7504" s="166" t="str">
        <f t="shared" si="488"/>
        <v/>
      </c>
    </row>
    <row r="7505" spans="1:12" x14ac:dyDescent="0.25">
      <c r="A7505" s="170" t="s">
        <v>11064</v>
      </c>
      <c r="B7505" s="170" t="s">
        <v>11065</v>
      </c>
      <c r="C7505" s="170" t="s">
        <v>89</v>
      </c>
      <c r="D7505" s="170" t="s">
        <v>2067</v>
      </c>
      <c r="E7505" s="171" t="s">
        <v>35040</v>
      </c>
      <c r="F7505" s="171" t="s">
        <v>38103</v>
      </c>
      <c r="H7505" s="96">
        <f t="shared" si="484"/>
        <v>2966.67</v>
      </c>
      <c r="I7505" s="96">
        <f t="shared" si="485"/>
        <v>3388.2</v>
      </c>
      <c r="J7505" s="91" t="str">
        <f t="shared" si="486"/>
        <v>Sinapi 101425</v>
      </c>
      <c r="K7505" s="91" t="str">
        <f t="shared" si="487"/>
        <v>MES</v>
      </c>
      <c r="L7505" s="166" t="str">
        <f t="shared" si="488"/>
        <v/>
      </c>
    </row>
    <row r="7506" spans="1:12" x14ac:dyDescent="0.25">
      <c r="A7506" s="170" t="s">
        <v>11066</v>
      </c>
      <c r="B7506" s="170" t="s">
        <v>11067</v>
      </c>
      <c r="C7506" s="170" t="s">
        <v>89</v>
      </c>
      <c r="D7506" s="170" t="s">
        <v>2067</v>
      </c>
      <c r="E7506" s="171" t="s">
        <v>35041</v>
      </c>
      <c r="F7506" s="171" t="s">
        <v>38104</v>
      </c>
      <c r="H7506" s="96">
        <f t="shared" si="484"/>
        <v>4209.99</v>
      </c>
      <c r="I7506" s="96">
        <f t="shared" si="485"/>
        <v>4724.8900000000003</v>
      </c>
      <c r="J7506" s="91" t="str">
        <f t="shared" si="486"/>
        <v>Sinapi 101426</v>
      </c>
      <c r="K7506" s="91" t="str">
        <f t="shared" si="487"/>
        <v>MES</v>
      </c>
      <c r="L7506" s="166" t="str">
        <f t="shared" si="488"/>
        <v/>
      </c>
    </row>
    <row r="7507" spans="1:12" x14ac:dyDescent="0.25">
      <c r="A7507" s="170" t="s">
        <v>11068</v>
      </c>
      <c r="B7507" s="170" t="s">
        <v>9805</v>
      </c>
      <c r="C7507" s="170" t="s">
        <v>89</v>
      </c>
      <c r="D7507" s="170" t="s">
        <v>2067</v>
      </c>
      <c r="E7507" s="171" t="s">
        <v>35042</v>
      </c>
      <c r="F7507" s="171" t="s">
        <v>38105</v>
      </c>
      <c r="H7507" s="96">
        <f t="shared" si="484"/>
        <v>3801.19</v>
      </c>
      <c r="I7507" s="96">
        <f t="shared" si="485"/>
        <v>4249.71</v>
      </c>
      <c r="J7507" s="91" t="str">
        <f t="shared" si="486"/>
        <v>Sinapi 101427</v>
      </c>
      <c r="K7507" s="91" t="str">
        <f t="shared" si="487"/>
        <v>MES</v>
      </c>
      <c r="L7507" s="166" t="str">
        <f t="shared" si="488"/>
        <v/>
      </c>
    </row>
    <row r="7508" spans="1:12" x14ac:dyDescent="0.25">
      <c r="A7508" s="170" t="s">
        <v>11069</v>
      </c>
      <c r="B7508" s="170" t="s">
        <v>11070</v>
      </c>
      <c r="C7508" s="170" t="s">
        <v>89</v>
      </c>
      <c r="D7508" s="170" t="s">
        <v>2067</v>
      </c>
      <c r="E7508" s="171" t="s">
        <v>35043</v>
      </c>
      <c r="F7508" s="171" t="s">
        <v>38106</v>
      </c>
      <c r="H7508" s="96">
        <f t="shared" si="484"/>
        <v>3704.59</v>
      </c>
      <c r="I7508" s="96">
        <f t="shared" si="485"/>
        <v>4137.42</v>
      </c>
      <c r="J7508" s="91" t="str">
        <f t="shared" si="486"/>
        <v>Sinapi 101428</v>
      </c>
      <c r="K7508" s="91" t="str">
        <f t="shared" si="487"/>
        <v>MES</v>
      </c>
      <c r="L7508" s="166" t="str">
        <f t="shared" si="488"/>
        <v/>
      </c>
    </row>
    <row r="7509" spans="1:12" x14ac:dyDescent="0.25">
      <c r="A7509" s="170" t="s">
        <v>11071</v>
      </c>
      <c r="B7509" s="170" t="s">
        <v>11072</v>
      </c>
      <c r="C7509" s="170" t="s">
        <v>89</v>
      </c>
      <c r="D7509" s="170" t="s">
        <v>2067</v>
      </c>
      <c r="E7509" s="171" t="s">
        <v>35044</v>
      </c>
      <c r="F7509" s="171" t="s">
        <v>38107</v>
      </c>
      <c r="H7509" s="96">
        <f t="shared" si="484"/>
        <v>3899.19</v>
      </c>
      <c r="I7509" s="96">
        <f t="shared" si="485"/>
        <v>4363.63</v>
      </c>
      <c r="J7509" s="91" t="str">
        <f t="shared" si="486"/>
        <v>Sinapi 101429</v>
      </c>
      <c r="K7509" s="91" t="str">
        <f t="shared" si="487"/>
        <v>MES</v>
      </c>
      <c r="L7509" s="166" t="str">
        <f t="shared" si="488"/>
        <v/>
      </c>
    </row>
    <row r="7510" spans="1:12" x14ac:dyDescent="0.25">
      <c r="A7510" s="170" t="s">
        <v>11073</v>
      </c>
      <c r="B7510" s="170" t="s">
        <v>11074</v>
      </c>
      <c r="C7510" s="170" t="s">
        <v>89</v>
      </c>
      <c r="D7510" s="170" t="s">
        <v>2067</v>
      </c>
      <c r="E7510" s="171" t="s">
        <v>35045</v>
      </c>
      <c r="F7510" s="171" t="s">
        <v>38108</v>
      </c>
      <c r="H7510" s="96">
        <f t="shared" si="484"/>
        <v>4438.72</v>
      </c>
      <c r="I7510" s="96">
        <f t="shared" si="485"/>
        <v>4990.75</v>
      </c>
      <c r="J7510" s="91" t="str">
        <f t="shared" si="486"/>
        <v>Sinapi 101430</v>
      </c>
      <c r="K7510" s="91" t="str">
        <f t="shared" si="487"/>
        <v>MES</v>
      </c>
      <c r="L7510" s="166" t="str">
        <f t="shared" si="488"/>
        <v/>
      </c>
    </row>
    <row r="7511" spans="1:12" x14ac:dyDescent="0.25">
      <c r="A7511" s="170" t="s">
        <v>11075</v>
      </c>
      <c r="B7511" s="170" t="s">
        <v>9811</v>
      </c>
      <c r="C7511" s="170" t="s">
        <v>89</v>
      </c>
      <c r="D7511" s="170" t="s">
        <v>2067</v>
      </c>
      <c r="E7511" s="171" t="s">
        <v>35046</v>
      </c>
      <c r="F7511" s="171" t="s">
        <v>38109</v>
      </c>
      <c r="H7511" s="96">
        <f t="shared" si="484"/>
        <v>4772.6899999999996</v>
      </c>
      <c r="I7511" s="96">
        <f t="shared" si="485"/>
        <v>5378.94</v>
      </c>
      <c r="J7511" s="91" t="str">
        <f t="shared" si="486"/>
        <v>Sinapi 101431</v>
      </c>
      <c r="K7511" s="91" t="str">
        <f t="shared" si="487"/>
        <v>MES</v>
      </c>
      <c r="L7511" s="166" t="str">
        <f t="shared" si="488"/>
        <v/>
      </c>
    </row>
    <row r="7512" spans="1:12" x14ac:dyDescent="0.25">
      <c r="A7512" s="170" t="s">
        <v>11076</v>
      </c>
      <c r="B7512" s="170" t="s">
        <v>11077</v>
      </c>
      <c r="C7512" s="170" t="s">
        <v>89</v>
      </c>
      <c r="D7512" s="170" t="s">
        <v>2067</v>
      </c>
      <c r="E7512" s="171" t="s">
        <v>35047</v>
      </c>
      <c r="F7512" s="171" t="s">
        <v>38110</v>
      </c>
      <c r="H7512" s="96">
        <f t="shared" si="484"/>
        <v>3619.15</v>
      </c>
      <c r="I7512" s="96">
        <f t="shared" si="485"/>
        <v>4038.11</v>
      </c>
      <c r="J7512" s="91" t="str">
        <f t="shared" si="486"/>
        <v>Sinapi 101432</v>
      </c>
      <c r="K7512" s="91" t="str">
        <f t="shared" si="487"/>
        <v>MES</v>
      </c>
      <c r="L7512" s="166" t="str">
        <f t="shared" si="488"/>
        <v/>
      </c>
    </row>
    <row r="7513" spans="1:12" x14ac:dyDescent="0.25">
      <c r="A7513" s="170" t="s">
        <v>11078</v>
      </c>
      <c r="B7513" s="170" t="s">
        <v>9815</v>
      </c>
      <c r="C7513" s="170" t="s">
        <v>89</v>
      </c>
      <c r="D7513" s="170" t="s">
        <v>2067</v>
      </c>
      <c r="E7513" s="171" t="s">
        <v>35048</v>
      </c>
      <c r="F7513" s="171" t="s">
        <v>38111</v>
      </c>
      <c r="H7513" s="96">
        <f t="shared" ref="H7513:H7576" si="489">IF(E7513="","",E7513+0)</f>
        <v>4394.88</v>
      </c>
      <c r="I7513" s="96">
        <f t="shared" ref="I7513:I7576" si="490">IF(F7513="","",F7513+0)</f>
        <v>4939.79</v>
      </c>
      <c r="J7513" s="91" t="str">
        <f t="shared" ref="J7513:J7576" si="491">IF(OR(H7513="",I7513=""),"",TRIM(CONCATENATE("Sinapi ",A7513)))</f>
        <v>Sinapi 101433</v>
      </c>
      <c r="K7513" s="91" t="str">
        <f t="shared" ref="K7513:K7576" si="492">TRIM(C7513)</f>
        <v>MES</v>
      </c>
      <c r="L7513" s="166" t="str">
        <f t="shared" si="488"/>
        <v/>
      </c>
    </row>
    <row r="7514" spans="1:12" x14ac:dyDescent="0.25">
      <c r="A7514" s="170" t="s">
        <v>11079</v>
      </c>
      <c r="B7514" s="170" t="s">
        <v>11080</v>
      </c>
      <c r="C7514" s="170" t="s">
        <v>89</v>
      </c>
      <c r="D7514" s="170" t="s">
        <v>2067</v>
      </c>
      <c r="E7514" s="171" t="s">
        <v>35049</v>
      </c>
      <c r="F7514" s="171" t="s">
        <v>38112</v>
      </c>
      <c r="H7514" s="96">
        <f t="shared" si="489"/>
        <v>4381.43</v>
      </c>
      <c r="I7514" s="96">
        <f t="shared" si="490"/>
        <v>4924.17</v>
      </c>
      <c r="J7514" s="91" t="str">
        <f t="shared" si="491"/>
        <v>Sinapi 101434</v>
      </c>
      <c r="K7514" s="91" t="str">
        <f t="shared" si="492"/>
        <v>MES</v>
      </c>
      <c r="L7514" s="166" t="str">
        <f t="shared" si="488"/>
        <v/>
      </c>
    </row>
    <row r="7515" spans="1:12" x14ac:dyDescent="0.25">
      <c r="A7515" s="170" t="s">
        <v>11081</v>
      </c>
      <c r="B7515" s="170" t="s">
        <v>11082</v>
      </c>
      <c r="C7515" s="170" t="s">
        <v>89</v>
      </c>
      <c r="D7515" s="170" t="s">
        <v>2067</v>
      </c>
      <c r="E7515" s="171" t="s">
        <v>35050</v>
      </c>
      <c r="F7515" s="171" t="s">
        <v>38113</v>
      </c>
      <c r="H7515" s="96">
        <f t="shared" si="489"/>
        <v>3430.9</v>
      </c>
      <c r="I7515" s="96">
        <f t="shared" si="490"/>
        <v>3819.31</v>
      </c>
      <c r="J7515" s="91" t="str">
        <f t="shared" si="491"/>
        <v>Sinapi 101435</v>
      </c>
      <c r="K7515" s="91" t="str">
        <f t="shared" si="492"/>
        <v>MES</v>
      </c>
      <c r="L7515" s="166" t="str">
        <f t="shared" si="488"/>
        <v/>
      </c>
    </row>
    <row r="7516" spans="1:12" x14ac:dyDescent="0.25">
      <c r="A7516" s="170" t="s">
        <v>11083</v>
      </c>
      <c r="B7516" s="170" t="s">
        <v>9819</v>
      </c>
      <c r="C7516" s="170" t="s">
        <v>89</v>
      </c>
      <c r="D7516" s="170" t="s">
        <v>2067</v>
      </c>
      <c r="E7516" s="171" t="s">
        <v>35051</v>
      </c>
      <c r="F7516" s="171" t="s">
        <v>38114</v>
      </c>
      <c r="H7516" s="96">
        <f t="shared" si="489"/>
        <v>3602.97</v>
      </c>
      <c r="I7516" s="96">
        <f t="shared" si="490"/>
        <v>4019.32</v>
      </c>
      <c r="J7516" s="91" t="str">
        <f t="shared" si="491"/>
        <v>Sinapi 101436</v>
      </c>
      <c r="K7516" s="91" t="str">
        <f t="shared" si="492"/>
        <v>MES</v>
      </c>
      <c r="L7516" s="166" t="str">
        <f t="shared" si="488"/>
        <v/>
      </c>
    </row>
    <row r="7517" spans="1:12" x14ac:dyDescent="0.25">
      <c r="A7517" s="170" t="s">
        <v>11084</v>
      </c>
      <c r="B7517" s="170" t="s">
        <v>11085</v>
      </c>
      <c r="C7517" s="170" t="s">
        <v>89</v>
      </c>
      <c r="D7517" s="170" t="s">
        <v>2067</v>
      </c>
      <c r="E7517" s="171" t="s">
        <v>35052</v>
      </c>
      <c r="F7517" s="171" t="s">
        <v>38115</v>
      </c>
      <c r="H7517" s="96">
        <f t="shared" si="489"/>
        <v>4496.67</v>
      </c>
      <c r="I7517" s="96">
        <f t="shared" si="490"/>
        <v>5058.1099999999997</v>
      </c>
      <c r="J7517" s="91" t="str">
        <f t="shared" si="491"/>
        <v>Sinapi 101437</v>
      </c>
      <c r="K7517" s="91" t="str">
        <f t="shared" si="492"/>
        <v>MES</v>
      </c>
      <c r="L7517" s="166" t="str">
        <f t="shared" si="488"/>
        <v/>
      </c>
    </row>
    <row r="7518" spans="1:12" x14ac:dyDescent="0.25">
      <c r="A7518" s="170" t="s">
        <v>11086</v>
      </c>
      <c r="B7518" s="170" t="s">
        <v>9823</v>
      </c>
      <c r="C7518" s="170" t="s">
        <v>89</v>
      </c>
      <c r="D7518" s="170" t="s">
        <v>2067</v>
      </c>
      <c r="E7518" s="171" t="s">
        <v>35053</v>
      </c>
      <c r="F7518" s="171" t="s">
        <v>38116</v>
      </c>
      <c r="H7518" s="96">
        <f t="shared" si="489"/>
        <v>5281.04</v>
      </c>
      <c r="I7518" s="96">
        <f t="shared" si="490"/>
        <v>5969.82</v>
      </c>
      <c r="J7518" s="91" t="str">
        <f t="shared" si="491"/>
        <v>Sinapi 101438</v>
      </c>
      <c r="K7518" s="91" t="str">
        <f t="shared" si="492"/>
        <v>MES</v>
      </c>
      <c r="L7518" s="166" t="str">
        <f t="shared" si="488"/>
        <v/>
      </c>
    </row>
    <row r="7519" spans="1:12" x14ac:dyDescent="0.25">
      <c r="A7519" s="170" t="s">
        <v>11087</v>
      </c>
      <c r="B7519" s="170" t="s">
        <v>9825</v>
      </c>
      <c r="C7519" s="170" t="s">
        <v>89</v>
      </c>
      <c r="D7519" s="170" t="s">
        <v>2067</v>
      </c>
      <c r="E7519" s="171" t="s">
        <v>35054</v>
      </c>
      <c r="F7519" s="171" t="s">
        <v>38117</v>
      </c>
      <c r="H7519" s="96">
        <f t="shared" si="489"/>
        <v>4256.87</v>
      </c>
      <c r="I7519" s="96">
        <f t="shared" si="490"/>
        <v>4779.38</v>
      </c>
      <c r="J7519" s="91" t="str">
        <f t="shared" si="491"/>
        <v>Sinapi 101439</v>
      </c>
      <c r="K7519" s="91" t="str">
        <f t="shared" si="492"/>
        <v>MES</v>
      </c>
      <c r="L7519" s="166" t="str">
        <f t="shared" si="488"/>
        <v/>
      </c>
    </row>
    <row r="7520" spans="1:12" x14ac:dyDescent="0.25">
      <c r="A7520" s="170" t="s">
        <v>11088</v>
      </c>
      <c r="B7520" s="170" t="s">
        <v>11089</v>
      </c>
      <c r="C7520" s="170" t="s">
        <v>89</v>
      </c>
      <c r="D7520" s="170" t="s">
        <v>2067</v>
      </c>
      <c r="E7520" s="171" t="s">
        <v>35055</v>
      </c>
      <c r="F7520" s="171" t="s">
        <v>38118</v>
      </c>
      <c r="H7520" s="96">
        <f t="shared" si="489"/>
        <v>4608.72</v>
      </c>
      <c r="I7520" s="96">
        <f t="shared" si="490"/>
        <v>5188.3500000000004</v>
      </c>
      <c r="J7520" s="91" t="str">
        <f t="shared" si="491"/>
        <v>Sinapi 101440</v>
      </c>
      <c r="K7520" s="91" t="str">
        <f t="shared" si="492"/>
        <v>MES</v>
      </c>
      <c r="L7520" s="166" t="str">
        <f t="shared" si="488"/>
        <v/>
      </c>
    </row>
    <row r="7521" spans="1:12" x14ac:dyDescent="0.25">
      <c r="A7521" s="170" t="s">
        <v>11090</v>
      </c>
      <c r="B7521" s="170" t="s">
        <v>9829</v>
      </c>
      <c r="C7521" s="170" t="s">
        <v>89</v>
      </c>
      <c r="D7521" s="170" t="s">
        <v>2067</v>
      </c>
      <c r="E7521" s="171" t="s">
        <v>35056</v>
      </c>
      <c r="F7521" s="171" t="s">
        <v>38119</v>
      </c>
      <c r="H7521" s="96">
        <f t="shared" si="489"/>
        <v>3675.6</v>
      </c>
      <c r="I7521" s="96">
        <f t="shared" si="490"/>
        <v>4103.74</v>
      </c>
      <c r="J7521" s="91" t="str">
        <f t="shared" si="491"/>
        <v>Sinapi 101441</v>
      </c>
      <c r="K7521" s="91" t="str">
        <f t="shared" si="492"/>
        <v>MES</v>
      </c>
      <c r="L7521" s="166" t="str">
        <f t="shared" si="488"/>
        <v/>
      </c>
    </row>
    <row r="7522" spans="1:12" x14ac:dyDescent="0.25">
      <c r="A7522" s="170" t="s">
        <v>11091</v>
      </c>
      <c r="B7522" s="170" t="s">
        <v>11092</v>
      </c>
      <c r="C7522" s="170" t="s">
        <v>89</v>
      </c>
      <c r="D7522" s="170" t="s">
        <v>2067</v>
      </c>
      <c r="E7522" s="171" t="s">
        <v>35057</v>
      </c>
      <c r="F7522" s="171" t="s">
        <v>38120</v>
      </c>
      <c r="H7522" s="96">
        <f t="shared" si="489"/>
        <v>3887.53</v>
      </c>
      <c r="I7522" s="96">
        <f t="shared" si="490"/>
        <v>4350.08</v>
      </c>
      <c r="J7522" s="91" t="str">
        <f t="shared" si="491"/>
        <v>Sinapi 101442</v>
      </c>
      <c r="K7522" s="91" t="str">
        <f t="shared" si="492"/>
        <v>MES</v>
      </c>
      <c r="L7522" s="166" t="str">
        <f t="shared" si="488"/>
        <v/>
      </c>
    </row>
    <row r="7523" spans="1:12" x14ac:dyDescent="0.25">
      <c r="A7523" s="170" t="s">
        <v>11093</v>
      </c>
      <c r="B7523" s="170" t="s">
        <v>9832</v>
      </c>
      <c r="C7523" s="170" t="s">
        <v>89</v>
      </c>
      <c r="D7523" s="170" t="s">
        <v>2067</v>
      </c>
      <c r="E7523" s="171" t="s">
        <v>35058</v>
      </c>
      <c r="F7523" s="171" t="s">
        <v>38121</v>
      </c>
      <c r="H7523" s="96">
        <f t="shared" si="489"/>
        <v>4104.5</v>
      </c>
      <c r="I7523" s="96">
        <f t="shared" si="490"/>
        <v>4602.28</v>
      </c>
      <c r="J7523" s="91" t="str">
        <f t="shared" si="491"/>
        <v>Sinapi 101443</v>
      </c>
      <c r="K7523" s="91" t="str">
        <f t="shared" si="492"/>
        <v>MES</v>
      </c>
      <c r="L7523" s="166" t="str">
        <f t="shared" si="488"/>
        <v/>
      </c>
    </row>
    <row r="7524" spans="1:12" x14ac:dyDescent="0.25">
      <c r="A7524" s="170" t="s">
        <v>11094</v>
      </c>
      <c r="B7524" s="170" t="s">
        <v>9838</v>
      </c>
      <c r="C7524" s="170" t="s">
        <v>89</v>
      </c>
      <c r="D7524" s="170" t="s">
        <v>2067</v>
      </c>
      <c r="E7524" s="171" t="s">
        <v>35059</v>
      </c>
      <c r="F7524" s="171" t="s">
        <v>38122</v>
      </c>
      <c r="H7524" s="96">
        <f t="shared" si="489"/>
        <v>4525.3</v>
      </c>
      <c r="I7524" s="96">
        <f t="shared" si="490"/>
        <v>5054.8500000000004</v>
      </c>
      <c r="J7524" s="91" t="str">
        <f t="shared" si="491"/>
        <v>Sinapi 101444</v>
      </c>
      <c r="K7524" s="91" t="str">
        <f t="shared" si="492"/>
        <v>MES</v>
      </c>
      <c r="L7524" s="166" t="str">
        <f t="shared" si="488"/>
        <v/>
      </c>
    </row>
    <row r="7525" spans="1:12" x14ac:dyDescent="0.25">
      <c r="A7525" s="170" t="s">
        <v>11095</v>
      </c>
      <c r="B7525" s="170" t="s">
        <v>595</v>
      </c>
      <c r="C7525" s="170" t="s">
        <v>89</v>
      </c>
      <c r="D7525" s="170" t="s">
        <v>2067</v>
      </c>
      <c r="E7525" s="171" t="s">
        <v>35060</v>
      </c>
      <c r="F7525" s="171" t="s">
        <v>38123</v>
      </c>
      <c r="H7525" s="96">
        <f t="shared" si="489"/>
        <v>4286.71</v>
      </c>
      <c r="I7525" s="96">
        <f t="shared" si="490"/>
        <v>4777.5200000000004</v>
      </c>
      <c r="J7525" s="91" t="str">
        <f t="shared" si="491"/>
        <v>Sinapi 101445</v>
      </c>
      <c r="K7525" s="91" t="str">
        <f t="shared" si="492"/>
        <v>MES</v>
      </c>
      <c r="L7525" s="166" t="str">
        <f t="shared" si="488"/>
        <v/>
      </c>
    </row>
    <row r="7526" spans="1:12" x14ac:dyDescent="0.25">
      <c r="A7526" s="170" t="s">
        <v>11096</v>
      </c>
      <c r="B7526" s="170" t="s">
        <v>962</v>
      </c>
      <c r="C7526" s="170" t="s">
        <v>89</v>
      </c>
      <c r="D7526" s="170" t="s">
        <v>2067</v>
      </c>
      <c r="E7526" s="171" t="s">
        <v>35061</v>
      </c>
      <c r="F7526" s="171" t="s">
        <v>38124</v>
      </c>
      <c r="H7526" s="96">
        <f t="shared" si="489"/>
        <v>4524.07</v>
      </c>
      <c r="I7526" s="96">
        <f t="shared" si="490"/>
        <v>5012.43</v>
      </c>
      <c r="J7526" s="91" t="str">
        <f t="shared" si="491"/>
        <v>Sinapi 101446</v>
      </c>
      <c r="K7526" s="91" t="str">
        <f t="shared" si="492"/>
        <v>MES</v>
      </c>
      <c r="L7526" s="166" t="str">
        <f t="shared" si="488"/>
        <v/>
      </c>
    </row>
    <row r="7527" spans="1:12" x14ac:dyDescent="0.25">
      <c r="A7527" s="170" t="s">
        <v>11097</v>
      </c>
      <c r="B7527" s="170" t="s">
        <v>9842</v>
      </c>
      <c r="C7527" s="170" t="s">
        <v>89</v>
      </c>
      <c r="D7527" s="170" t="s">
        <v>2067</v>
      </c>
      <c r="E7527" s="171" t="s">
        <v>35062</v>
      </c>
      <c r="F7527" s="171" t="s">
        <v>38125</v>
      </c>
      <c r="H7527" s="96">
        <f t="shared" si="489"/>
        <v>4437.05</v>
      </c>
      <c r="I7527" s="96">
        <f t="shared" si="490"/>
        <v>4911.2700000000004</v>
      </c>
      <c r="J7527" s="91" t="str">
        <f t="shared" si="491"/>
        <v>Sinapi 101447</v>
      </c>
      <c r="K7527" s="91" t="str">
        <f t="shared" si="492"/>
        <v>MES</v>
      </c>
      <c r="L7527" s="166" t="str">
        <f t="shared" si="488"/>
        <v/>
      </c>
    </row>
    <row r="7528" spans="1:12" x14ac:dyDescent="0.25">
      <c r="A7528" s="170" t="s">
        <v>11098</v>
      </c>
      <c r="B7528" s="170" t="s">
        <v>9844</v>
      </c>
      <c r="C7528" s="170" t="s">
        <v>89</v>
      </c>
      <c r="D7528" s="170" t="s">
        <v>2067</v>
      </c>
      <c r="E7528" s="171" t="s">
        <v>35061</v>
      </c>
      <c r="F7528" s="171" t="s">
        <v>38124</v>
      </c>
      <c r="H7528" s="96">
        <f t="shared" si="489"/>
        <v>4524.07</v>
      </c>
      <c r="I7528" s="96">
        <f t="shared" si="490"/>
        <v>5012.43</v>
      </c>
      <c r="J7528" s="91" t="str">
        <f t="shared" si="491"/>
        <v>Sinapi 101448</v>
      </c>
      <c r="K7528" s="91" t="str">
        <f t="shared" si="492"/>
        <v>MES</v>
      </c>
      <c r="L7528" s="166" t="str">
        <f t="shared" si="488"/>
        <v/>
      </c>
    </row>
    <row r="7529" spans="1:12" x14ac:dyDescent="0.25">
      <c r="A7529" s="170" t="s">
        <v>11099</v>
      </c>
      <c r="B7529" s="170" t="s">
        <v>11100</v>
      </c>
      <c r="C7529" s="170" t="s">
        <v>89</v>
      </c>
      <c r="D7529" s="170" t="s">
        <v>2067</v>
      </c>
      <c r="E7529" s="171" t="s">
        <v>35063</v>
      </c>
      <c r="F7529" s="171" t="s">
        <v>38126</v>
      </c>
      <c r="H7529" s="96">
        <f t="shared" si="489"/>
        <v>3809.86</v>
      </c>
      <c r="I7529" s="96">
        <f t="shared" si="490"/>
        <v>4259.79</v>
      </c>
      <c r="J7529" s="91" t="str">
        <f t="shared" si="491"/>
        <v>Sinapi 101449</v>
      </c>
      <c r="K7529" s="91" t="str">
        <f t="shared" si="492"/>
        <v>MES</v>
      </c>
      <c r="L7529" s="166" t="str">
        <f t="shared" si="488"/>
        <v/>
      </c>
    </row>
    <row r="7530" spans="1:12" x14ac:dyDescent="0.25">
      <c r="A7530" s="170" t="s">
        <v>11101</v>
      </c>
      <c r="B7530" s="170" t="s">
        <v>9848</v>
      </c>
      <c r="C7530" s="170" t="s">
        <v>89</v>
      </c>
      <c r="D7530" s="170" t="s">
        <v>2067</v>
      </c>
      <c r="E7530" s="171" t="s">
        <v>35064</v>
      </c>
      <c r="F7530" s="171" t="s">
        <v>38127</v>
      </c>
      <c r="H7530" s="96">
        <f t="shared" si="489"/>
        <v>3447.32</v>
      </c>
      <c r="I7530" s="96">
        <f t="shared" si="490"/>
        <v>3838.4</v>
      </c>
      <c r="J7530" s="91" t="str">
        <f t="shared" si="491"/>
        <v>Sinapi 101450</v>
      </c>
      <c r="K7530" s="91" t="str">
        <f t="shared" si="492"/>
        <v>MES</v>
      </c>
      <c r="L7530" s="166" t="str">
        <f t="shared" si="488"/>
        <v/>
      </c>
    </row>
    <row r="7531" spans="1:12" x14ac:dyDescent="0.25">
      <c r="A7531" s="170" t="s">
        <v>11102</v>
      </c>
      <c r="B7531" s="170" t="s">
        <v>1048</v>
      </c>
      <c r="C7531" s="170" t="s">
        <v>89</v>
      </c>
      <c r="D7531" s="170" t="s">
        <v>2067</v>
      </c>
      <c r="E7531" s="171" t="s">
        <v>35001</v>
      </c>
      <c r="F7531" s="171" t="s">
        <v>38064</v>
      </c>
      <c r="H7531" s="96">
        <f t="shared" si="489"/>
        <v>4263.99</v>
      </c>
      <c r="I7531" s="96">
        <f t="shared" si="490"/>
        <v>4751.12</v>
      </c>
      <c r="J7531" s="91" t="str">
        <f t="shared" si="491"/>
        <v>Sinapi 101451</v>
      </c>
      <c r="K7531" s="91" t="str">
        <f t="shared" si="492"/>
        <v>MES</v>
      </c>
      <c r="L7531" s="166" t="str">
        <f t="shared" si="488"/>
        <v/>
      </c>
    </row>
    <row r="7532" spans="1:12" x14ac:dyDescent="0.25">
      <c r="A7532" s="170" t="s">
        <v>11103</v>
      </c>
      <c r="B7532" s="170" t="s">
        <v>11104</v>
      </c>
      <c r="C7532" s="170" t="s">
        <v>89</v>
      </c>
      <c r="D7532" s="170" t="s">
        <v>2067</v>
      </c>
      <c r="E7532" s="171" t="s">
        <v>35065</v>
      </c>
      <c r="F7532" s="171" t="s">
        <v>38128</v>
      </c>
      <c r="H7532" s="96">
        <f t="shared" si="489"/>
        <v>3267.44</v>
      </c>
      <c r="I7532" s="96">
        <f t="shared" si="490"/>
        <v>3598.21</v>
      </c>
      <c r="J7532" s="91" t="str">
        <f t="shared" si="491"/>
        <v>Sinapi 101452</v>
      </c>
      <c r="K7532" s="91" t="str">
        <f t="shared" si="492"/>
        <v>MES</v>
      </c>
      <c r="L7532" s="166" t="str">
        <f t="shared" si="488"/>
        <v/>
      </c>
    </row>
    <row r="7533" spans="1:12" x14ac:dyDescent="0.25">
      <c r="A7533" s="170" t="s">
        <v>11105</v>
      </c>
      <c r="B7533" s="170" t="s">
        <v>9852</v>
      </c>
      <c r="C7533" s="170" t="s">
        <v>89</v>
      </c>
      <c r="D7533" s="170" t="s">
        <v>2067</v>
      </c>
      <c r="E7533" s="171" t="s">
        <v>35066</v>
      </c>
      <c r="F7533" s="171" t="s">
        <v>38129</v>
      </c>
      <c r="H7533" s="96">
        <f t="shared" si="489"/>
        <v>4422.78</v>
      </c>
      <c r="I7533" s="96">
        <f t="shared" si="490"/>
        <v>4909.91</v>
      </c>
      <c r="J7533" s="91" t="str">
        <f t="shared" si="491"/>
        <v>Sinapi 101453</v>
      </c>
      <c r="K7533" s="91" t="str">
        <f t="shared" si="492"/>
        <v>MES</v>
      </c>
      <c r="L7533" s="166" t="str">
        <f t="shared" si="488"/>
        <v/>
      </c>
    </row>
    <row r="7534" spans="1:12" x14ac:dyDescent="0.25">
      <c r="A7534" s="170" t="s">
        <v>11106</v>
      </c>
      <c r="B7534" s="170" t="s">
        <v>11107</v>
      </c>
      <c r="C7534" s="170" t="s">
        <v>89</v>
      </c>
      <c r="D7534" s="170" t="s">
        <v>2067</v>
      </c>
      <c r="E7534" s="171" t="s">
        <v>35067</v>
      </c>
      <c r="F7534" s="171" t="s">
        <v>38130</v>
      </c>
      <c r="H7534" s="96">
        <f t="shared" si="489"/>
        <v>4948.21</v>
      </c>
      <c r="I7534" s="96">
        <f t="shared" si="490"/>
        <v>5520.64</v>
      </c>
      <c r="J7534" s="91" t="str">
        <f t="shared" si="491"/>
        <v>Sinapi 101454</v>
      </c>
      <c r="K7534" s="91" t="str">
        <f t="shared" si="492"/>
        <v>MES</v>
      </c>
      <c r="L7534" s="166" t="str">
        <f t="shared" si="488"/>
        <v/>
      </c>
    </row>
    <row r="7535" spans="1:12" x14ac:dyDescent="0.25">
      <c r="A7535" s="170" t="s">
        <v>11108</v>
      </c>
      <c r="B7535" s="170" t="s">
        <v>1078</v>
      </c>
      <c r="C7535" s="170" t="s">
        <v>89</v>
      </c>
      <c r="D7535" s="170" t="s">
        <v>2067</v>
      </c>
      <c r="E7535" s="171" t="s">
        <v>35015</v>
      </c>
      <c r="F7535" s="171" t="s">
        <v>38078</v>
      </c>
      <c r="H7535" s="96">
        <f t="shared" si="489"/>
        <v>4230.72</v>
      </c>
      <c r="I7535" s="96">
        <f t="shared" si="490"/>
        <v>4717.8500000000004</v>
      </c>
      <c r="J7535" s="91" t="str">
        <f t="shared" si="491"/>
        <v>Sinapi 101455</v>
      </c>
      <c r="K7535" s="91" t="str">
        <f t="shared" si="492"/>
        <v>MES</v>
      </c>
      <c r="L7535" s="166" t="str">
        <f t="shared" si="488"/>
        <v/>
      </c>
    </row>
    <row r="7536" spans="1:12" x14ac:dyDescent="0.25">
      <c r="A7536" s="170" t="s">
        <v>11109</v>
      </c>
      <c r="B7536" s="170" t="s">
        <v>11110</v>
      </c>
      <c r="C7536" s="170" t="s">
        <v>89</v>
      </c>
      <c r="D7536" s="170" t="s">
        <v>2067</v>
      </c>
      <c r="E7536" s="171" t="s">
        <v>35068</v>
      </c>
      <c r="F7536" s="171" t="s">
        <v>38131</v>
      </c>
      <c r="H7536" s="96">
        <f t="shared" si="489"/>
        <v>3474.38</v>
      </c>
      <c r="I7536" s="96">
        <f t="shared" si="490"/>
        <v>3976.81</v>
      </c>
      <c r="J7536" s="91" t="str">
        <f t="shared" si="491"/>
        <v>Sinapi 101456</v>
      </c>
      <c r="K7536" s="91" t="str">
        <f t="shared" si="492"/>
        <v>MES</v>
      </c>
      <c r="L7536" s="166" t="str">
        <f t="shared" si="488"/>
        <v/>
      </c>
    </row>
    <row r="7537" spans="1:12" x14ac:dyDescent="0.25">
      <c r="A7537" s="170" t="s">
        <v>11111</v>
      </c>
      <c r="B7537" s="170" t="s">
        <v>11112</v>
      </c>
      <c r="C7537" s="170" t="s">
        <v>89</v>
      </c>
      <c r="D7537" s="170" t="s">
        <v>2067</v>
      </c>
      <c r="E7537" s="171" t="s">
        <v>35069</v>
      </c>
      <c r="F7537" s="171" t="s">
        <v>38132</v>
      </c>
      <c r="H7537" s="96">
        <f t="shared" si="489"/>
        <v>4910.1899999999996</v>
      </c>
      <c r="I7537" s="96">
        <f t="shared" si="490"/>
        <v>5538.77</v>
      </c>
      <c r="J7537" s="91" t="str">
        <f t="shared" si="491"/>
        <v>Sinapi 101457</v>
      </c>
      <c r="K7537" s="91" t="str">
        <f t="shared" si="492"/>
        <v>MES</v>
      </c>
      <c r="L7537" s="166" t="str">
        <f t="shared" si="488"/>
        <v/>
      </c>
    </row>
    <row r="7538" spans="1:12" x14ac:dyDescent="0.25">
      <c r="A7538" s="170" t="s">
        <v>11113</v>
      </c>
      <c r="B7538" s="170" t="s">
        <v>11114</v>
      </c>
      <c r="C7538" s="170" t="s">
        <v>89</v>
      </c>
      <c r="D7538" s="170" t="s">
        <v>2067</v>
      </c>
      <c r="E7538" s="171" t="s">
        <v>35070</v>
      </c>
      <c r="F7538" s="171" t="s">
        <v>38133</v>
      </c>
      <c r="H7538" s="96">
        <f t="shared" si="489"/>
        <v>4195.0600000000004</v>
      </c>
      <c r="I7538" s="96">
        <f t="shared" si="490"/>
        <v>4676.38</v>
      </c>
      <c r="J7538" s="91" t="str">
        <f t="shared" si="491"/>
        <v>Sinapi 101458</v>
      </c>
      <c r="K7538" s="91" t="str">
        <f t="shared" si="492"/>
        <v>MES</v>
      </c>
      <c r="L7538" s="166" t="str">
        <f t="shared" si="488"/>
        <v/>
      </c>
    </row>
    <row r="7539" spans="1:12" x14ac:dyDescent="0.25">
      <c r="A7539" s="170" t="s">
        <v>11115</v>
      </c>
      <c r="B7539" s="170" t="s">
        <v>9864</v>
      </c>
      <c r="C7539" s="170" t="s">
        <v>89</v>
      </c>
      <c r="D7539" s="170" t="s">
        <v>2067</v>
      </c>
      <c r="E7539" s="171" t="s">
        <v>35071</v>
      </c>
      <c r="F7539" s="171" t="s">
        <v>38134</v>
      </c>
      <c r="H7539" s="96">
        <f t="shared" si="489"/>
        <v>3919.91</v>
      </c>
      <c r="I7539" s="96">
        <f t="shared" si="490"/>
        <v>4351.17</v>
      </c>
      <c r="J7539" s="91" t="str">
        <f t="shared" si="491"/>
        <v>Sinapi 101459</v>
      </c>
      <c r="K7539" s="91" t="str">
        <f t="shared" si="492"/>
        <v>MES</v>
      </c>
      <c r="L7539" s="166" t="str">
        <f t="shared" si="488"/>
        <v/>
      </c>
    </row>
    <row r="7540" spans="1:12" x14ac:dyDescent="0.25">
      <c r="A7540" s="170" t="s">
        <v>11116</v>
      </c>
      <c r="B7540" s="170" t="s">
        <v>10156</v>
      </c>
      <c r="C7540" s="170" t="s">
        <v>89</v>
      </c>
      <c r="D7540" s="170" t="s">
        <v>2067</v>
      </c>
      <c r="E7540" s="171" t="s">
        <v>35072</v>
      </c>
      <c r="F7540" s="171" t="s">
        <v>38135</v>
      </c>
      <c r="H7540" s="96">
        <f t="shared" si="489"/>
        <v>3241.93</v>
      </c>
      <c r="I7540" s="96">
        <f t="shared" si="490"/>
        <v>3568.56</v>
      </c>
      <c r="J7540" s="91" t="str">
        <f t="shared" si="491"/>
        <v>Sinapi 101460</v>
      </c>
      <c r="K7540" s="91" t="str">
        <f t="shared" si="492"/>
        <v>MES</v>
      </c>
      <c r="L7540" s="166" t="str">
        <f t="shared" si="488"/>
        <v/>
      </c>
    </row>
    <row r="7541" spans="1:12" x14ac:dyDescent="0.25">
      <c r="H7541" s="96" t="str">
        <f t="shared" si="489"/>
        <v/>
      </c>
      <c r="I7541" s="96" t="str">
        <f t="shared" si="490"/>
        <v/>
      </c>
      <c r="J7541" s="91" t="str">
        <f t="shared" si="491"/>
        <v/>
      </c>
      <c r="K7541" s="91" t="str">
        <f t="shared" si="492"/>
        <v/>
      </c>
      <c r="L7541" s="166" t="str">
        <f t="shared" si="488"/>
        <v/>
      </c>
    </row>
    <row r="7542" spans="1:12" x14ac:dyDescent="0.25">
      <c r="H7542" s="96" t="str">
        <f t="shared" si="489"/>
        <v/>
      </c>
      <c r="I7542" s="96" t="str">
        <f t="shared" si="490"/>
        <v/>
      </c>
      <c r="J7542" s="91" t="str">
        <f t="shared" si="491"/>
        <v/>
      </c>
      <c r="K7542" s="91" t="str">
        <f t="shared" si="492"/>
        <v/>
      </c>
      <c r="L7542" s="166" t="str">
        <f t="shared" si="488"/>
        <v/>
      </c>
    </row>
    <row r="7543" spans="1:12" x14ac:dyDescent="0.25">
      <c r="H7543" s="96" t="str">
        <f t="shared" si="489"/>
        <v/>
      </c>
      <c r="I7543" s="96" t="str">
        <f t="shared" si="490"/>
        <v/>
      </c>
      <c r="J7543" s="91" t="str">
        <f t="shared" si="491"/>
        <v/>
      </c>
      <c r="K7543" s="91" t="str">
        <f t="shared" si="492"/>
        <v/>
      </c>
      <c r="L7543" s="166" t="str">
        <f t="shared" si="488"/>
        <v/>
      </c>
    </row>
    <row r="7544" spans="1:12" x14ac:dyDescent="0.25">
      <c r="H7544" s="96" t="str">
        <f t="shared" si="489"/>
        <v/>
      </c>
      <c r="I7544" s="96" t="str">
        <f t="shared" si="490"/>
        <v/>
      </c>
      <c r="J7544" s="91" t="str">
        <f t="shared" si="491"/>
        <v/>
      </c>
      <c r="K7544" s="91" t="str">
        <f t="shared" si="492"/>
        <v/>
      </c>
      <c r="L7544" s="166" t="str">
        <f t="shared" si="488"/>
        <v/>
      </c>
    </row>
    <row r="7545" spans="1:12" x14ac:dyDescent="0.25">
      <c r="H7545" s="96" t="str">
        <f t="shared" si="489"/>
        <v/>
      </c>
      <c r="I7545" s="96" t="str">
        <f t="shared" si="490"/>
        <v/>
      </c>
      <c r="J7545" s="91" t="str">
        <f t="shared" si="491"/>
        <v/>
      </c>
      <c r="K7545" s="91" t="str">
        <f t="shared" si="492"/>
        <v/>
      </c>
      <c r="L7545" s="166" t="str">
        <f t="shared" si="488"/>
        <v/>
      </c>
    </row>
    <row r="7546" spans="1:12" x14ac:dyDescent="0.25">
      <c r="H7546" s="96" t="str">
        <f t="shared" si="489"/>
        <v/>
      </c>
      <c r="I7546" s="96" t="str">
        <f t="shared" si="490"/>
        <v/>
      </c>
      <c r="J7546" s="91" t="str">
        <f t="shared" si="491"/>
        <v/>
      </c>
      <c r="K7546" s="91" t="str">
        <f t="shared" si="492"/>
        <v/>
      </c>
      <c r="L7546" s="166" t="str">
        <f t="shared" si="488"/>
        <v/>
      </c>
    </row>
    <row r="7547" spans="1:12" x14ac:dyDescent="0.25">
      <c r="H7547" s="96" t="str">
        <f t="shared" si="489"/>
        <v/>
      </c>
      <c r="I7547" s="96" t="str">
        <f t="shared" si="490"/>
        <v/>
      </c>
      <c r="J7547" s="91" t="str">
        <f t="shared" si="491"/>
        <v/>
      </c>
      <c r="K7547" s="91" t="str">
        <f t="shared" si="492"/>
        <v/>
      </c>
      <c r="L7547" s="166" t="str">
        <f t="shared" si="488"/>
        <v/>
      </c>
    </row>
    <row r="7548" spans="1:12" x14ac:dyDescent="0.25">
      <c r="H7548" s="96" t="str">
        <f t="shared" si="489"/>
        <v/>
      </c>
      <c r="I7548" s="96" t="str">
        <f t="shared" si="490"/>
        <v/>
      </c>
      <c r="J7548" s="91" t="str">
        <f t="shared" si="491"/>
        <v/>
      </c>
      <c r="K7548" s="91" t="str">
        <f t="shared" si="492"/>
        <v/>
      </c>
      <c r="L7548" s="166" t="str">
        <f t="shared" si="488"/>
        <v/>
      </c>
    </row>
    <row r="7549" spans="1:12" x14ac:dyDescent="0.25">
      <c r="H7549" s="96" t="str">
        <f t="shared" si="489"/>
        <v/>
      </c>
      <c r="I7549" s="96" t="str">
        <f t="shared" si="490"/>
        <v/>
      </c>
      <c r="J7549" s="91" t="str">
        <f t="shared" si="491"/>
        <v/>
      </c>
      <c r="K7549" s="91" t="str">
        <f t="shared" si="492"/>
        <v/>
      </c>
      <c r="L7549" s="166" t="str">
        <f t="shared" si="488"/>
        <v/>
      </c>
    </row>
    <row r="7550" spans="1:12" x14ac:dyDescent="0.25">
      <c r="H7550" s="96" t="str">
        <f t="shared" si="489"/>
        <v/>
      </c>
      <c r="I7550" s="96" t="str">
        <f t="shared" si="490"/>
        <v/>
      </c>
      <c r="J7550" s="91" t="str">
        <f t="shared" si="491"/>
        <v/>
      </c>
      <c r="K7550" s="91" t="str">
        <f t="shared" si="492"/>
        <v/>
      </c>
      <c r="L7550" s="166" t="str">
        <f t="shared" si="488"/>
        <v/>
      </c>
    </row>
    <row r="7551" spans="1:12" x14ac:dyDescent="0.25">
      <c r="H7551" s="96" t="str">
        <f t="shared" si="489"/>
        <v/>
      </c>
      <c r="I7551" s="96" t="str">
        <f t="shared" si="490"/>
        <v/>
      </c>
      <c r="J7551" s="91" t="str">
        <f t="shared" si="491"/>
        <v/>
      </c>
      <c r="K7551" s="91" t="str">
        <f t="shared" si="492"/>
        <v/>
      </c>
      <c r="L7551" s="166" t="str">
        <f t="shared" si="488"/>
        <v/>
      </c>
    </row>
    <row r="7552" spans="1:12" x14ac:dyDescent="0.25">
      <c r="H7552" s="96" t="str">
        <f t="shared" si="489"/>
        <v/>
      </c>
      <c r="I7552" s="96" t="str">
        <f t="shared" si="490"/>
        <v/>
      </c>
      <c r="J7552" s="91" t="str">
        <f t="shared" si="491"/>
        <v/>
      </c>
      <c r="K7552" s="91" t="str">
        <f t="shared" si="492"/>
        <v/>
      </c>
      <c r="L7552" s="166" t="str">
        <f t="shared" si="488"/>
        <v/>
      </c>
    </row>
    <row r="7553" spans="8:12" x14ac:dyDescent="0.25">
      <c r="H7553" s="96" t="str">
        <f t="shared" si="489"/>
        <v/>
      </c>
      <c r="I7553" s="96" t="str">
        <f t="shared" si="490"/>
        <v/>
      </c>
      <c r="J7553" s="91" t="str">
        <f t="shared" si="491"/>
        <v/>
      </c>
      <c r="K7553" s="91" t="str">
        <f t="shared" si="492"/>
        <v/>
      </c>
      <c r="L7553" s="166" t="str">
        <f t="shared" si="488"/>
        <v/>
      </c>
    </row>
    <row r="7554" spans="8:12" x14ac:dyDescent="0.25">
      <c r="H7554" s="96" t="str">
        <f t="shared" si="489"/>
        <v/>
      </c>
      <c r="I7554" s="96" t="str">
        <f t="shared" si="490"/>
        <v/>
      </c>
      <c r="J7554" s="91" t="str">
        <f t="shared" si="491"/>
        <v/>
      </c>
      <c r="K7554" s="91" t="str">
        <f t="shared" si="492"/>
        <v/>
      </c>
      <c r="L7554" s="166" t="str">
        <f t="shared" si="488"/>
        <v/>
      </c>
    </row>
    <row r="7555" spans="8:12" x14ac:dyDescent="0.25">
      <c r="H7555" s="96" t="str">
        <f t="shared" si="489"/>
        <v/>
      </c>
      <c r="I7555" s="96" t="str">
        <f t="shared" si="490"/>
        <v/>
      </c>
      <c r="J7555" s="91" t="str">
        <f t="shared" si="491"/>
        <v/>
      </c>
      <c r="K7555" s="91" t="str">
        <f t="shared" si="492"/>
        <v/>
      </c>
      <c r="L7555" s="166" t="str">
        <f t="shared" si="488"/>
        <v/>
      </c>
    </row>
    <row r="7556" spans="8:12" x14ac:dyDescent="0.25">
      <c r="H7556" s="96" t="str">
        <f t="shared" si="489"/>
        <v/>
      </c>
      <c r="I7556" s="96" t="str">
        <f t="shared" si="490"/>
        <v/>
      </c>
      <c r="J7556" s="91" t="str">
        <f t="shared" si="491"/>
        <v/>
      </c>
      <c r="K7556" s="91" t="str">
        <f t="shared" si="492"/>
        <v/>
      </c>
      <c r="L7556" s="166" t="str">
        <f t="shared" si="488"/>
        <v/>
      </c>
    </row>
    <row r="7557" spans="8:12" x14ac:dyDescent="0.25">
      <c r="H7557" s="96" t="str">
        <f t="shared" si="489"/>
        <v/>
      </c>
      <c r="I7557" s="96" t="str">
        <f t="shared" si="490"/>
        <v/>
      </c>
      <c r="J7557" s="91" t="str">
        <f t="shared" si="491"/>
        <v/>
      </c>
      <c r="K7557" s="91" t="str">
        <f t="shared" si="492"/>
        <v/>
      </c>
      <c r="L7557" s="166" t="str">
        <f t="shared" si="488"/>
        <v/>
      </c>
    </row>
    <row r="7558" spans="8:12" x14ac:dyDescent="0.25">
      <c r="H7558" s="96" t="str">
        <f t="shared" si="489"/>
        <v/>
      </c>
      <c r="I7558" s="96" t="str">
        <f t="shared" si="490"/>
        <v/>
      </c>
      <c r="J7558" s="91" t="str">
        <f t="shared" si="491"/>
        <v/>
      </c>
      <c r="K7558" s="91" t="str">
        <f t="shared" si="492"/>
        <v/>
      </c>
      <c r="L7558" s="166" t="str">
        <f t="shared" si="488"/>
        <v/>
      </c>
    </row>
    <row r="7559" spans="8:12" x14ac:dyDescent="0.25">
      <c r="H7559" s="96" t="str">
        <f t="shared" si="489"/>
        <v/>
      </c>
      <c r="I7559" s="96" t="str">
        <f t="shared" si="490"/>
        <v/>
      </c>
      <c r="J7559" s="91" t="str">
        <f t="shared" si="491"/>
        <v/>
      </c>
      <c r="K7559" s="91" t="str">
        <f t="shared" si="492"/>
        <v/>
      </c>
      <c r="L7559" s="166" t="str">
        <f t="shared" si="488"/>
        <v/>
      </c>
    </row>
    <row r="7560" spans="8:12" x14ac:dyDescent="0.25">
      <c r="H7560" s="96" t="str">
        <f t="shared" si="489"/>
        <v/>
      </c>
      <c r="I7560" s="96" t="str">
        <f t="shared" si="490"/>
        <v/>
      </c>
      <c r="J7560" s="91" t="str">
        <f t="shared" si="491"/>
        <v/>
      </c>
      <c r="K7560" s="91" t="str">
        <f t="shared" si="492"/>
        <v/>
      </c>
      <c r="L7560" s="166" t="str">
        <f t="shared" ref="L7560:L7623" si="493">IF(OR(RIGHT(IF(AND(K7560&lt;&gt;"H",K7560&lt;&gt;"MES"),RIGHT(B7560,7),""),2)="PS",RIGHT(IF(AND(K7560&lt;&gt;"H",K7560&lt;&gt;"MES"),RIGHT(B7560,7),""),2)="PA",RIGHT(IF(AND(K7560&lt;&gt;"H",K7560&lt;&gt;"MES"),RIGHT(B7560,7),""),2)="PE"),LEFT(IF(AND(K7560&lt;&gt;"H",K7560&lt;&gt;"MES"),RIGHT(B7560,10),""),7),IF(AND(K7560&lt;&gt;"H",K7560&lt;&gt;"MES"),RIGHT(B7560,7),""))</f>
        <v/>
      </c>
    </row>
    <row r="7561" spans="8:12" x14ac:dyDescent="0.25">
      <c r="H7561" s="96" t="str">
        <f t="shared" si="489"/>
        <v/>
      </c>
      <c r="I7561" s="96" t="str">
        <f t="shared" si="490"/>
        <v/>
      </c>
      <c r="J7561" s="91" t="str">
        <f t="shared" si="491"/>
        <v/>
      </c>
      <c r="K7561" s="91" t="str">
        <f t="shared" si="492"/>
        <v/>
      </c>
      <c r="L7561" s="166" t="str">
        <f t="shared" si="493"/>
        <v/>
      </c>
    </row>
    <row r="7562" spans="8:12" x14ac:dyDescent="0.25">
      <c r="H7562" s="96" t="str">
        <f t="shared" si="489"/>
        <v/>
      </c>
      <c r="I7562" s="96" t="str">
        <f t="shared" si="490"/>
        <v/>
      </c>
      <c r="J7562" s="91" t="str">
        <f t="shared" si="491"/>
        <v/>
      </c>
      <c r="K7562" s="91" t="str">
        <f t="shared" si="492"/>
        <v/>
      </c>
      <c r="L7562" s="166" t="str">
        <f t="shared" si="493"/>
        <v/>
      </c>
    </row>
    <row r="7563" spans="8:12" x14ac:dyDescent="0.25">
      <c r="H7563" s="96" t="str">
        <f t="shared" si="489"/>
        <v/>
      </c>
      <c r="I7563" s="96" t="str">
        <f t="shared" si="490"/>
        <v/>
      </c>
      <c r="J7563" s="91" t="str">
        <f t="shared" si="491"/>
        <v/>
      </c>
      <c r="K7563" s="91" t="str">
        <f t="shared" si="492"/>
        <v/>
      </c>
      <c r="L7563" s="166" t="str">
        <f t="shared" si="493"/>
        <v/>
      </c>
    </row>
    <row r="7564" spans="8:12" x14ac:dyDescent="0.25">
      <c r="H7564" s="96" t="str">
        <f t="shared" si="489"/>
        <v/>
      </c>
      <c r="I7564" s="96" t="str">
        <f t="shared" si="490"/>
        <v/>
      </c>
      <c r="J7564" s="91" t="str">
        <f t="shared" si="491"/>
        <v/>
      </c>
      <c r="K7564" s="91" t="str">
        <f t="shared" si="492"/>
        <v/>
      </c>
      <c r="L7564" s="166" t="str">
        <f t="shared" si="493"/>
        <v/>
      </c>
    </row>
    <row r="7565" spans="8:12" x14ac:dyDescent="0.25">
      <c r="H7565" s="96" t="str">
        <f t="shared" si="489"/>
        <v/>
      </c>
      <c r="I7565" s="96" t="str">
        <f t="shared" si="490"/>
        <v/>
      </c>
      <c r="J7565" s="91" t="str">
        <f t="shared" si="491"/>
        <v/>
      </c>
      <c r="K7565" s="91" t="str">
        <f t="shared" si="492"/>
        <v/>
      </c>
      <c r="L7565" s="166" t="str">
        <f t="shared" si="493"/>
        <v/>
      </c>
    </row>
    <row r="7566" spans="8:12" x14ac:dyDescent="0.25">
      <c r="H7566" s="96" t="str">
        <f t="shared" si="489"/>
        <v/>
      </c>
      <c r="I7566" s="96" t="str">
        <f t="shared" si="490"/>
        <v/>
      </c>
      <c r="J7566" s="91" t="str">
        <f t="shared" si="491"/>
        <v/>
      </c>
      <c r="K7566" s="91" t="str">
        <f t="shared" si="492"/>
        <v/>
      </c>
      <c r="L7566" s="166" t="str">
        <f t="shared" si="493"/>
        <v/>
      </c>
    </row>
    <row r="7567" spans="8:12" x14ac:dyDescent="0.25">
      <c r="H7567" s="96" t="str">
        <f t="shared" si="489"/>
        <v/>
      </c>
      <c r="I7567" s="96" t="str">
        <f t="shared" si="490"/>
        <v/>
      </c>
      <c r="J7567" s="91" t="str">
        <f t="shared" si="491"/>
        <v/>
      </c>
      <c r="K7567" s="91" t="str">
        <f t="shared" si="492"/>
        <v/>
      </c>
      <c r="L7567" s="166" t="str">
        <f t="shared" si="493"/>
        <v/>
      </c>
    </row>
    <row r="7568" spans="8:12" x14ac:dyDescent="0.25">
      <c r="H7568" s="96" t="str">
        <f t="shared" si="489"/>
        <v/>
      </c>
      <c r="I7568" s="96" t="str">
        <f t="shared" si="490"/>
        <v/>
      </c>
      <c r="J7568" s="91" t="str">
        <f t="shared" si="491"/>
        <v/>
      </c>
      <c r="K7568" s="91" t="str">
        <f t="shared" si="492"/>
        <v/>
      </c>
      <c r="L7568" s="166" t="str">
        <f t="shared" si="493"/>
        <v/>
      </c>
    </row>
    <row r="7569" spans="8:12" x14ac:dyDescent="0.25">
      <c r="H7569" s="96" t="str">
        <f t="shared" si="489"/>
        <v/>
      </c>
      <c r="I7569" s="96" t="str">
        <f t="shared" si="490"/>
        <v/>
      </c>
      <c r="J7569" s="91" t="str">
        <f t="shared" si="491"/>
        <v/>
      </c>
      <c r="K7569" s="91" t="str">
        <f t="shared" si="492"/>
        <v/>
      </c>
      <c r="L7569" s="166" t="str">
        <f t="shared" si="493"/>
        <v/>
      </c>
    </row>
    <row r="7570" spans="8:12" x14ac:dyDescent="0.25">
      <c r="H7570" s="96" t="str">
        <f t="shared" si="489"/>
        <v/>
      </c>
      <c r="I7570" s="96" t="str">
        <f t="shared" si="490"/>
        <v/>
      </c>
      <c r="J7570" s="91" t="str">
        <f t="shared" si="491"/>
        <v/>
      </c>
      <c r="K7570" s="91" t="str">
        <f t="shared" si="492"/>
        <v/>
      </c>
      <c r="L7570" s="166" t="str">
        <f t="shared" si="493"/>
        <v/>
      </c>
    </row>
    <row r="7571" spans="8:12" x14ac:dyDescent="0.25">
      <c r="H7571" s="96" t="str">
        <f t="shared" si="489"/>
        <v/>
      </c>
      <c r="I7571" s="96" t="str">
        <f t="shared" si="490"/>
        <v/>
      </c>
      <c r="J7571" s="91" t="str">
        <f t="shared" si="491"/>
        <v/>
      </c>
      <c r="K7571" s="91" t="str">
        <f t="shared" si="492"/>
        <v/>
      </c>
      <c r="L7571" s="166" t="str">
        <f t="shared" si="493"/>
        <v/>
      </c>
    </row>
    <row r="7572" spans="8:12" x14ac:dyDescent="0.25">
      <c r="H7572" s="96" t="str">
        <f t="shared" si="489"/>
        <v/>
      </c>
      <c r="I7572" s="96" t="str">
        <f t="shared" si="490"/>
        <v/>
      </c>
      <c r="J7572" s="91" t="str">
        <f t="shared" si="491"/>
        <v/>
      </c>
      <c r="K7572" s="91" t="str">
        <f t="shared" si="492"/>
        <v/>
      </c>
      <c r="L7572" s="166" t="str">
        <f t="shared" si="493"/>
        <v/>
      </c>
    </row>
    <row r="7573" spans="8:12" x14ac:dyDescent="0.25">
      <c r="H7573" s="96" t="str">
        <f t="shared" si="489"/>
        <v/>
      </c>
      <c r="I7573" s="96" t="str">
        <f t="shared" si="490"/>
        <v/>
      </c>
      <c r="J7573" s="91" t="str">
        <f t="shared" si="491"/>
        <v/>
      </c>
      <c r="K7573" s="91" t="str">
        <f t="shared" si="492"/>
        <v/>
      </c>
      <c r="L7573" s="166" t="str">
        <f t="shared" si="493"/>
        <v/>
      </c>
    </row>
    <row r="7574" spans="8:12" x14ac:dyDescent="0.25">
      <c r="H7574" s="96" t="str">
        <f t="shared" si="489"/>
        <v/>
      </c>
      <c r="I7574" s="96" t="str">
        <f t="shared" si="490"/>
        <v/>
      </c>
      <c r="J7574" s="91" t="str">
        <f t="shared" si="491"/>
        <v/>
      </c>
      <c r="K7574" s="91" t="str">
        <f t="shared" si="492"/>
        <v/>
      </c>
      <c r="L7574" s="166" t="str">
        <f t="shared" si="493"/>
        <v/>
      </c>
    </row>
    <row r="7575" spans="8:12" x14ac:dyDescent="0.25">
      <c r="H7575" s="96" t="str">
        <f t="shared" si="489"/>
        <v/>
      </c>
      <c r="I7575" s="96" t="str">
        <f t="shared" si="490"/>
        <v/>
      </c>
      <c r="J7575" s="91" t="str">
        <f t="shared" si="491"/>
        <v/>
      </c>
      <c r="K7575" s="91" t="str">
        <f t="shared" si="492"/>
        <v/>
      </c>
      <c r="L7575" s="166" t="str">
        <f t="shared" si="493"/>
        <v/>
      </c>
    </row>
    <row r="7576" spans="8:12" x14ac:dyDescent="0.25">
      <c r="H7576" s="96" t="str">
        <f t="shared" si="489"/>
        <v/>
      </c>
      <c r="I7576" s="96" t="str">
        <f t="shared" si="490"/>
        <v/>
      </c>
      <c r="J7576" s="91" t="str">
        <f t="shared" si="491"/>
        <v/>
      </c>
      <c r="K7576" s="91" t="str">
        <f t="shared" si="492"/>
        <v/>
      </c>
      <c r="L7576" s="166" t="str">
        <f t="shared" si="493"/>
        <v/>
      </c>
    </row>
    <row r="7577" spans="8:12" x14ac:dyDescent="0.25">
      <c r="H7577" s="96" t="str">
        <f t="shared" ref="H7577:H7640" si="494">IF(E7577="","",E7577+0)</f>
        <v/>
      </c>
      <c r="I7577" s="96" t="str">
        <f t="shared" ref="I7577:I7640" si="495">IF(F7577="","",F7577+0)</f>
        <v/>
      </c>
      <c r="J7577" s="91" t="str">
        <f t="shared" ref="J7577:J7640" si="496">IF(OR(H7577="",I7577=""),"",TRIM(CONCATENATE("Sinapi ",A7577)))</f>
        <v/>
      </c>
      <c r="K7577" s="91" t="str">
        <f t="shared" ref="K7577:K7640" si="497">TRIM(C7577)</f>
        <v/>
      </c>
      <c r="L7577" s="166" t="str">
        <f t="shared" si="493"/>
        <v/>
      </c>
    </row>
    <row r="7578" spans="8:12" x14ac:dyDescent="0.25">
      <c r="H7578" s="96" t="str">
        <f t="shared" si="494"/>
        <v/>
      </c>
      <c r="I7578" s="96" t="str">
        <f t="shared" si="495"/>
        <v/>
      </c>
      <c r="J7578" s="91" t="str">
        <f t="shared" si="496"/>
        <v/>
      </c>
      <c r="K7578" s="91" t="str">
        <f t="shared" si="497"/>
        <v/>
      </c>
      <c r="L7578" s="166" t="str">
        <f t="shared" si="493"/>
        <v/>
      </c>
    </row>
    <row r="7579" spans="8:12" x14ac:dyDescent="0.25">
      <c r="H7579" s="96" t="str">
        <f t="shared" si="494"/>
        <v/>
      </c>
      <c r="I7579" s="96" t="str">
        <f t="shared" si="495"/>
        <v/>
      </c>
      <c r="J7579" s="91" t="str">
        <f t="shared" si="496"/>
        <v/>
      </c>
      <c r="K7579" s="91" t="str">
        <f t="shared" si="497"/>
        <v/>
      </c>
      <c r="L7579" s="166" t="str">
        <f t="shared" si="493"/>
        <v/>
      </c>
    </row>
    <row r="7580" spans="8:12" x14ac:dyDescent="0.25">
      <c r="H7580" s="96" t="str">
        <f t="shared" si="494"/>
        <v/>
      </c>
      <c r="I7580" s="96" t="str">
        <f t="shared" si="495"/>
        <v/>
      </c>
      <c r="J7580" s="91" t="str">
        <f t="shared" si="496"/>
        <v/>
      </c>
      <c r="K7580" s="91" t="str">
        <f t="shared" si="497"/>
        <v/>
      </c>
      <c r="L7580" s="166" t="str">
        <f t="shared" si="493"/>
        <v/>
      </c>
    </row>
    <row r="7581" spans="8:12" x14ac:dyDescent="0.25">
      <c r="H7581" s="96" t="str">
        <f t="shared" si="494"/>
        <v/>
      </c>
      <c r="I7581" s="96" t="str">
        <f t="shared" si="495"/>
        <v/>
      </c>
      <c r="J7581" s="91" t="str">
        <f t="shared" si="496"/>
        <v/>
      </c>
      <c r="K7581" s="91" t="str">
        <f t="shared" si="497"/>
        <v/>
      </c>
      <c r="L7581" s="166" t="str">
        <f t="shared" si="493"/>
        <v/>
      </c>
    </row>
    <row r="7582" spans="8:12" x14ac:dyDescent="0.25">
      <c r="H7582" s="96" t="str">
        <f t="shared" si="494"/>
        <v/>
      </c>
      <c r="I7582" s="96" t="str">
        <f t="shared" si="495"/>
        <v/>
      </c>
      <c r="J7582" s="91" t="str">
        <f t="shared" si="496"/>
        <v/>
      </c>
      <c r="K7582" s="91" t="str">
        <f t="shared" si="497"/>
        <v/>
      </c>
      <c r="L7582" s="166" t="str">
        <f t="shared" si="493"/>
        <v/>
      </c>
    </row>
    <row r="7583" spans="8:12" x14ac:dyDescent="0.25">
      <c r="H7583" s="96" t="str">
        <f t="shared" si="494"/>
        <v/>
      </c>
      <c r="I7583" s="96" t="str">
        <f t="shared" si="495"/>
        <v/>
      </c>
      <c r="J7583" s="91" t="str">
        <f t="shared" si="496"/>
        <v/>
      </c>
      <c r="K7583" s="91" t="str">
        <f t="shared" si="497"/>
        <v/>
      </c>
      <c r="L7583" s="166" t="str">
        <f t="shared" si="493"/>
        <v/>
      </c>
    </row>
    <row r="7584" spans="8:12" x14ac:dyDescent="0.25">
      <c r="H7584" s="96" t="str">
        <f t="shared" si="494"/>
        <v/>
      </c>
      <c r="I7584" s="96" t="str">
        <f t="shared" si="495"/>
        <v/>
      </c>
      <c r="J7584" s="91" t="str">
        <f t="shared" si="496"/>
        <v/>
      </c>
      <c r="K7584" s="91" t="str">
        <f t="shared" si="497"/>
        <v/>
      </c>
      <c r="L7584" s="166" t="str">
        <f t="shared" si="493"/>
        <v/>
      </c>
    </row>
    <row r="7585" spans="8:12" x14ac:dyDescent="0.25">
      <c r="H7585" s="96" t="str">
        <f t="shared" si="494"/>
        <v/>
      </c>
      <c r="I7585" s="96" t="str">
        <f t="shared" si="495"/>
        <v/>
      </c>
      <c r="J7585" s="91" t="str">
        <f t="shared" si="496"/>
        <v/>
      </c>
      <c r="K7585" s="91" t="str">
        <f t="shared" si="497"/>
        <v/>
      </c>
      <c r="L7585" s="166" t="str">
        <f t="shared" si="493"/>
        <v/>
      </c>
    </row>
    <row r="7586" spans="8:12" x14ac:dyDescent="0.25">
      <c r="H7586" s="96" t="str">
        <f t="shared" si="494"/>
        <v/>
      </c>
      <c r="I7586" s="96" t="str">
        <f t="shared" si="495"/>
        <v/>
      </c>
      <c r="J7586" s="91" t="str">
        <f t="shared" si="496"/>
        <v/>
      </c>
      <c r="K7586" s="91" t="str">
        <f t="shared" si="497"/>
        <v/>
      </c>
      <c r="L7586" s="166" t="str">
        <f t="shared" si="493"/>
        <v/>
      </c>
    </row>
    <row r="7587" spans="8:12" x14ac:dyDescent="0.25">
      <c r="H7587" s="96" t="str">
        <f t="shared" si="494"/>
        <v/>
      </c>
      <c r="I7587" s="96" t="str">
        <f t="shared" si="495"/>
        <v/>
      </c>
      <c r="J7587" s="91" t="str">
        <f t="shared" si="496"/>
        <v/>
      </c>
      <c r="K7587" s="91" t="str">
        <f t="shared" si="497"/>
        <v/>
      </c>
      <c r="L7587" s="166" t="str">
        <f t="shared" si="493"/>
        <v/>
      </c>
    </row>
    <row r="7588" spans="8:12" x14ac:dyDescent="0.25">
      <c r="H7588" s="96" t="str">
        <f t="shared" si="494"/>
        <v/>
      </c>
      <c r="I7588" s="96" t="str">
        <f t="shared" si="495"/>
        <v/>
      </c>
      <c r="J7588" s="91" t="str">
        <f t="shared" si="496"/>
        <v/>
      </c>
      <c r="K7588" s="91" t="str">
        <f t="shared" si="497"/>
        <v/>
      </c>
      <c r="L7588" s="166" t="str">
        <f t="shared" si="493"/>
        <v/>
      </c>
    </row>
    <row r="7589" spans="8:12" x14ac:dyDescent="0.25">
      <c r="H7589" s="96" t="str">
        <f t="shared" si="494"/>
        <v/>
      </c>
      <c r="I7589" s="96" t="str">
        <f t="shared" si="495"/>
        <v/>
      </c>
      <c r="J7589" s="91" t="str">
        <f t="shared" si="496"/>
        <v/>
      </c>
      <c r="K7589" s="91" t="str">
        <f t="shared" si="497"/>
        <v/>
      </c>
      <c r="L7589" s="166" t="str">
        <f t="shared" si="493"/>
        <v/>
      </c>
    </row>
    <row r="7590" spans="8:12" x14ac:dyDescent="0.25">
      <c r="H7590" s="96" t="str">
        <f t="shared" si="494"/>
        <v/>
      </c>
      <c r="I7590" s="96" t="str">
        <f t="shared" si="495"/>
        <v/>
      </c>
      <c r="J7590" s="91" t="str">
        <f t="shared" si="496"/>
        <v/>
      </c>
      <c r="K7590" s="91" t="str">
        <f t="shared" si="497"/>
        <v/>
      </c>
      <c r="L7590" s="166" t="str">
        <f t="shared" si="493"/>
        <v/>
      </c>
    </row>
    <row r="7591" spans="8:12" x14ac:dyDescent="0.25">
      <c r="H7591" s="96" t="str">
        <f t="shared" si="494"/>
        <v/>
      </c>
      <c r="I7591" s="96" t="str">
        <f t="shared" si="495"/>
        <v/>
      </c>
      <c r="J7591" s="91" t="str">
        <f t="shared" si="496"/>
        <v/>
      </c>
      <c r="K7591" s="91" t="str">
        <f t="shared" si="497"/>
        <v/>
      </c>
      <c r="L7591" s="166" t="str">
        <f t="shared" si="493"/>
        <v/>
      </c>
    </row>
    <row r="7592" spans="8:12" x14ac:dyDescent="0.25">
      <c r="H7592" s="96" t="str">
        <f t="shared" si="494"/>
        <v/>
      </c>
      <c r="I7592" s="96" t="str">
        <f t="shared" si="495"/>
        <v/>
      </c>
      <c r="J7592" s="91" t="str">
        <f t="shared" si="496"/>
        <v/>
      </c>
      <c r="K7592" s="91" t="str">
        <f t="shared" si="497"/>
        <v/>
      </c>
      <c r="L7592" s="166" t="str">
        <f t="shared" si="493"/>
        <v/>
      </c>
    </row>
    <row r="7593" spans="8:12" x14ac:dyDescent="0.25">
      <c r="H7593" s="96" t="str">
        <f t="shared" si="494"/>
        <v/>
      </c>
      <c r="I7593" s="96" t="str">
        <f t="shared" si="495"/>
        <v/>
      </c>
      <c r="J7593" s="91" t="str">
        <f t="shared" si="496"/>
        <v/>
      </c>
      <c r="K7593" s="91" t="str">
        <f t="shared" si="497"/>
        <v/>
      </c>
      <c r="L7593" s="166" t="str">
        <f t="shared" si="493"/>
        <v/>
      </c>
    </row>
    <row r="7594" spans="8:12" x14ac:dyDescent="0.25">
      <c r="H7594" s="96" t="str">
        <f t="shared" si="494"/>
        <v/>
      </c>
      <c r="I7594" s="96" t="str">
        <f t="shared" si="495"/>
        <v/>
      </c>
      <c r="J7594" s="91" t="str">
        <f t="shared" si="496"/>
        <v/>
      </c>
      <c r="K7594" s="91" t="str">
        <f t="shared" si="497"/>
        <v/>
      </c>
      <c r="L7594" s="166" t="str">
        <f t="shared" si="493"/>
        <v/>
      </c>
    </row>
    <row r="7595" spans="8:12" x14ac:dyDescent="0.25">
      <c r="H7595" s="96" t="str">
        <f t="shared" si="494"/>
        <v/>
      </c>
      <c r="I7595" s="96" t="str">
        <f t="shared" si="495"/>
        <v/>
      </c>
      <c r="J7595" s="91" t="str">
        <f t="shared" si="496"/>
        <v/>
      </c>
      <c r="K7595" s="91" t="str">
        <f t="shared" si="497"/>
        <v/>
      </c>
      <c r="L7595" s="166" t="str">
        <f t="shared" si="493"/>
        <v/>
      </c>
    </row>
    <row r="7596" spans="8:12" x14ac:dyDescent="0.25">
      <c r="H7596" s="96" t="str">
        <f t="shared" si="494"/>
        <v/>
      </c>
      <c r="I7596" s="96" t="str">
        <f t="shared" si="495"/>
        <v/>
      </c>
      <c r="J7596" s="91" t="str">
        <f t="shared" si="496"/>
        <v/>
      </c>
      <c r="K7596" s="91" t="str">
        <f t="shared" si="497"/>
        <v/>
      </c>
      <c r="L7596" s="166" t="str">
        <f t="shared" si="493"/>
        <v/>
      </c>
    </row>
    <row r="7597" spans="8:12" x14ac:dyDescent="0.25">
      <c r="H7597" s="96" t="str">
        <f t="shared" si="494"/>
        <v/>
      </c>
      <c r="I7597" s="96" t="str">
        <f t="shared" si="495"/>
        <v/>
      </c>
      <c r="J7597" s="91" t="str">
        <f t="shared" si="496"/>
        <v/>
      </c>
      <c r="K7597" s="91" t="str">
        <f t="shared" si="497"/>
        <v/>
      </c>
      <c r="L7597" s="166" t="str">
        <f t="shared" si="493"/>
        <v/>
      </c>
    </row>
    <row r="7598" spans="8:12" x14ac:dyDescent="0.25">
      <c r="H7598" s="96" t="str">
        <f t="shared" si="494"/>
        <v/>
      </c>
      <c r="I7598" s="96" t="str">
        <f t="shared" si="495"/>
        <v/>
      </c>
      <c r="J7598" s="91" t="str">
        <f t="shared" si="496"/>
        <v/>
      </c>
      <c r="K7598" s="91" t="str">
        <f t="shared" si="497"/>
        <v/>
      </c>
      <c r="L7598" s="166" t="str">
        <f t="shared" si="493"/>
        <v/>
      </c>
    </row>
    <row r="7599" spans="8:12" x14ac:dyDescent="0.25">
      <c r="H7599" s="96" t="str">
        <f t="shared" si="494"/>
        <v/>
      </c>
      <c r="I7599" s="96" t="str">
        <f t="shared" si="495"/>
        <v/>
      </c>
      <c r="J7599" s="91" t="str">
        <f t="shared" si="496"/>
        <v/>
      </c>
      <c r="K7599" s="91" t="str">
        <f t="shared" si="497"/>
        <v/>
      </c>
      <c r="L7599" s="166" t="str">
        <f t="shared" si="493"/>
        <v/>
      </c>
    </row>
    <row r="7600" spans="8:12" x14ac:dyDescent="0.25">
      <c r="H7600" s="96" t="str">
        <f t="shared" si="494"/>
        <v/>
      </c>
      <c r="I7600" s="96" t="str">
        <f t="shared" si="495"/>
        <v/>
      </c>
      <c r="J7600" s="91" t="str">
        <f t="shared" si="496"/>
        <v/>
      </c>
      <c r="K7600" s="91" t="str">
        <f t="shared" si="497"/>
        <v/>
      </c>
      <c r="L7600" s="166" t="str">
        <f t="shared" si="493"/>
        <v/>
      </c>
    </row>
    <row r="7601" spans="8:12" x14ac:dyDescent="0.25">
      <c r="H7601" s="96" t="str">
        <f t="shared" si="494"/>
        <v/>
      </c>
      <c r="I7601" s="96" t="str">
        <f t="shared" si="495"/>
        <v/>
      </c>
      <c r="J7601" s="91" t="str">
        <f t="shared" si="496"/>
        <v/>
      </c>
      <c r="K7601" s="91" t="str">
        <f t="shared" si="497"/>
        <v/>
      </c>
      <c r="L7601" s="166" t="str">
        <f t="shared" si="493"/>
        <v/>
      </c>
    </row>
    <row r="7602" spans="8:12" x14ac:dyDescent="0.25">
      <c r="H7602" s="96" t="str">
        <f t="shared" si="494"/>
        <v/>
      </c>
      <c r="I7602" s="96" t="str">
        <f t="shared" si="495"/>
        <v/>
      </c>
      <c r="J7602" s="91" t="str">
        <f t="shared" si="496"/>
        <v/>
      </c>
      <c r="K7602" s="91" t="str">
        <f t="shared" si="497"/>
        <v/>
      </c>
      <c r="L7602" s="166" t="str">
        <f t="shared" si="493"/>
        <v/>
      </c>
    </row>
    <row r="7603" spans="8:12" x14ac:dyDescent="0.25">
      <c r="H7603" s="96" t="str">
        <f t="shared" si="494"/>
        <v/>
      </c>
      <c r="I7603" s="96" t="str">
        <f t="shared" si="495"/>
        <v/>
      </c>
      <c r="J7603" s="91" t="str">
        <f t="shared" si="496"/>
        <v/>
      </c>
      <c r="K7603" s="91" t="str">
        <f t="shared" si="497"/>
        <v/>
      </c>
      <c r="L7603" s="166" t="str">
        <f t="shared" si="493"/>
        <v/>
      </c>
    </row>
    <row r="7604" spans="8:12" x14ac:dyDescent="0.25">
      <c r="H7604" s="96" t="str">
        <f t="shared" si="494"/>
        <v/>
      </c>
      <c r="I7604" s="96" t="str">
        <f t="shared" si="495"/>
        <v/>
      </c>
      <c r="J7604" s="91" t="str">
        <f t="shared" si="496"/>
        <v/>
      </c>
      <c r="K7604" s="91" t="str">
        <f t="shared" si="497"/>
        <v/>
      </c>
      <c r="L7604" s="166" t="str">
        <f t="shared" si="493"/>
        <v/>
      </c>
    </row>
    <row r="7605" spans="8:12" x14ac:dyDescent="0.25">
      <c r="H7605" s="96" t="str">
        <f t="shared" si="494"/>
        <v/>
      </c>
      <c r="I7605" s="96" t="str">
        <f t="shared" si="495"/>
        <v/>
      </c>
      <c r="J7605" s="91" t="str">
        <f t="shared" si="496"/>
        <v/>
      </c>
      <c r="K7605" s="91" t="str">
        <f t="shared" si="497"/>
        <v/>
      </c>
      <c r="L7605" s="166" t="str">
        <f t="shared" si="493"/>
        <v/>
      </c>
    </row>
    <row r="7606" spans="8:12" x14ac:dyDescent="0.25">
      <c r="H7606" s="96" t="str">
        <f t="shared" si="494"/>
        <v/>
      </c>
      <c r="I7606" s="96" t="str">
        <f t="shared" si="495"/>
        <v/>
      </c>
      <c r="J7606" s="91" t="str">
        <f t="shared" si="496"/>
        <v/>
      </c>
      <c r="K7606" s="91" t="str">
        <f t="shared" si="497"/>
        <v/>
      </c>
      <c r="L7606" s="166" t="str">
        <f t="shared" si="493"/>
        <v/>
      </c>
    </row>
    <row r="7607" spans="8:12" x14ac:dyDescent="0.25">
      <c r="H7607" s="96" t="str">
        <f t="shared" si="494"/>
        <v/>
      </c>
      <c r="I7607" s="96" t="str">
        <f t="shared" si="495"/>
        <v/>
      </c>
      <c r="J7607" s="91" t="str">
        <f t="shared" si="496"/>
        <v/>
      </c>
      <c r="K7607" s="91" t="str">
        <f t="shared" si="497"/>
        <v/>
      </c>
      <c r="L7607" s="166" t="str">
        <f t="shared" si="493"/>
        <v/>
      </c>
    </row>
    <row r="7608" spans="8:12" x14ac:dyDescent="0.25">
      <c r="H7608" s="96" t="str">
        <f t="shared" si="494"/>
        <v/>
      </c>
      <c r="I7608" s="96" t="str">
        <f t="shared" si="495"/>
        <v/>
      </c>
      <c r="J7608" s="91" t="str">
        <f t="shared" si="496"/>
        <v/>
      </c>
      <c r="K7608" s="91" t="str">
        <f t="shared" si="497"/>
        <v/>
      </c>
      <c r="L7608" s="166" t="str">
        <f t="shared" si="493"/>
        <v/>
      </c>
    </row>
    <row r="7609" spans="8:12" x14ac:dyDescent="0.25">
      <c r="H7609" s="96" t="str">
        <f t="shared" si="494"/>
        <v/>
      </c>
      <c r="I7609" s="96" t="str">
        <f t="shared" si="495"/>
        <v/>
      </c>
      <c r="J7609" s="91" t="str">
        <f t="shared" si="496"/>
        <v/>
      </c>
      <c r="K7609" s="91" t="str">
        <f t="shared" si="497"/>
        <v/>
      </c>
      <c r="L7609" s="166" t="str">
        <f t="shared" si="493"/>
        <v/>
      </c>
    </row>
    <row r="7610" spans="8:12" x14ac:dyDescent="0.25">
      <c r="H7610" s="96" t="str">
        <f t="shared" si="494"/>
        <v/>
      </c>
      <c r="I7610" s="96" t="str">
        <f t="shared" si="495"/>
        <v/>
      </c>
      <c r="J7610" s="91" t="str">
        <f t="shared" si="496"/>
        <v/>
      </c>
      <c r="K7610" s="91" t="str">
        <f t="shared" si="497"/>
        <v/>
      </c>
      <c r="L7610" s="166" t="str">
        <f t="shared" si="493"/>
        <v/>
      </c>
    </row>
    <row r="7611" spans="8:12" x14ac:dyDescent="0.25">
      <c r="H7611" s="96" t="str">
        <f t="shared" si="494"/>
        <v/>
      </c>
      <c r="I7611" s="96" t="str">
        <f t="shared" si="495"/>
        <v/>
      </c>
      <c r="J7611" s="91" t="str">
        <f t="shared" si="496"/>
        <v/>
      </c>
      <c r="K7611" s="91" t="str">
        <f t="shared" si="497"/>
        <v/>
      </c>
      <c r="L7611" s="166" t="str">
        <f t="shared" si="493"/>
        <v/>
      </c>
    </row>
    <row r="7612" spans="8:12" x14ac:dyDescent="0.25">
      <c r="H7612" s="96" t="str">
        <f t="shared" si="494"/>
        <v/>
      </c>
      <c r="I7612" s="96" t="str">
        <f t="shared" si="495"/>
        <v/>
      </c>
      <c r="J7612" s="91" t="str">
        <f t="shared" si="496"/>
        <v/>
      </c>
      <c r="K7612" s="91" t="str">
        <f t="shared" si="497"/>
        <v/>
      </c>
      <c r="L7612" s="166" t="str">
        <f t="shared" si="493"/>
        <v/>
      </c>
    </row>
    <row r="7613" spans="8:12" x14ac:dyDescent="0.25">
      <c r="H7613" s="96" t="str">
        <f t="shared" si="494"/>
        <v/>
      </c>
      <c r="I7613" s="96" t="str">
        <f t="shared" si="495"/>
        <v/>
      </c>
      <c r="J7613" s="91" t="str">
        <f t="shared" si="496"/>
        <v/>
      </c>
      <c r="K7613" s="91" t="str">
        <f t="shared" si="497"/>
        <v/>
      </c>
      <c r="L7613" s="166" t="str">
        <f t="shared" si="493"/>
        <v/>
      </c>
    </row>
    <row r="7614" spans="8:12" x14ac:dyDescent="0.25">
      <c r="H7614" s="96" t="str">
        <f t="shared" si="494"/>
        <v/>
      </c>
      <c r="I7614" s="96" t="str">
        <f t="shared" si="495"/>
        <v/>
      </c>
      <c r="J7614" s="91" t="str">
        <f t="shared" si="496"/>
        <v/>
      </c>
      <c r="K7614" s="91" t="str">
        <f t="shared" si="497"/>
        <v/>
      </c>
      <c r="L7614" s="166" t="str">
        <f t="shared" si="493"/>
        <v/>
      </c>
    </row>
    <row r="7615" spans="8:12" x14ac:dyDescent="0.25">
      <c r="H7615" s="96" t="str">
        <f t="shared" si="494"/>
        <v/>
      </c>
      <c r="I7615" s="96" t="str">
        <f t="shared" si="495"/>
        <v/>
      </c>
      <c r="J7615" s="91" t="str">
        <f t="shared" si="496"/>
        <v/>
      </c>
      <c r="K7615" s="91" t="str">
        <f t="shared" si="497"/>
        <v/>
      </c>
      <c r="L7615" s="166" t="str">
        <f t="shared" si="493"/>
        <v/>
      </c>
    </row>
    <row r="7616" spans="8:12" x14ac:dyDescent="0.25">
      <c r="H7616" s="96" t="str">
        <f t="shared" si="494"/>
        <v/>
      </c>
      <c r="I7616" s="96" t="str">
        <f t="shared" si="495"/>
        <v/>
      </c>
      <c r="J7616" s="91" t="str">
        <f t="shared" si="496"/>
        <v/>
      </c>
      <c r="K7616" s="91" t="str">
        <f t="shared" si="497"/>
        <v/>
      </c>
      <c r="L7616" s="166" t="str">
        <f t="shared" si="493"/>
        <v/>
      </c>
    </row>
    <row r="7617" spans="8:12" x14ac:dyDescent="0.25">
      <c r="H7617" s="96" t="str">
        <f t="shared" si="494"/>
        <v/>
      </c>
      <c r="I7617" s="96" t="str">
        <f t="shared" si="495"/>
        <v/>
      </c>
      <c r="J7617" s="91" t="str">
        <f t="shared" si="496"/>
        <v/>
      </c>
      <c r="K7617" s="91" t="str">
        <f t="shared" si="497"/>
        <v/>
      </c>
      <c r="L7617" s="166" t="str">
        <f t="shared" si="493"/>
        <v/>
      </c>
    </row>
    <row r="7618" spans="8:12" x14ac:dyDescent="0.25">
      <c r="H7618" s="96" t="str">
        <f t="shared" si="494"/>
        <v/>
      </c>
      <c r="I7618" s="96" t="str">
        <f t="shared" si="495"/>
        <v/>
      </c>
      <c r="J7618" s="91" t="str">
        <f t="shared" si="496"/>
        <v/>
      </c>
      <c r="K7618" s="91" t="str">
        <f t="shared" si="497"/>
        <v/>
      </c>
      <c r="L7618" s="166" t="str">
        <f t="shared" si="493"/>
        <v/>
      </c>
    </row>
    <row r="7619" spans="8:12" x14ac:dyDescent="0.25">
      <c r="H7619" s="96" t="str">
        <f t="shared" si="494"/>
        <v/>
      </c>
      <c r="I7619" s="96" t="str">
        <f t="shared" si="495"/>
        <v/>
      </c>
      <c r="J7619" s="91" t="str">
        <f t="shared" si="496"/>
        <v/>
      </c>
      <c r="K7619" s="91" t="str">
        <f t="shared" si="497"/>
        <v/>
      </c>
      <c r="L7619" s="166" t="str">
        <f t="shared" si="493"/>
        <v/>
      </c>
    </row>
    <row r="7620" spans="8:12" x14ac:dyDescent="0.25">
      <c r="H7620" s="96" t="str">
        <f t="shared" si="494"/>
        <v/>
      </c>
      <c r="I7620" s="96" t="str">
        <f t="shared" si="495"/>
        <v/>
      </c>
      <c r="J7620" s="91" t="str">
        <f t="shared" si="496"/>
        <v/>
      </c>
      <c r="K7620" s="91" t="str">
        <f t="shared" si="497"/>
        <v/>
      </c>
      <c r="L7620" s="166" t="str">
        <f t="shared" si="493"/>
        <v/>
      </c>
    </row>
    <row r="7621" spans="8:12" x14ac:dyDescent="0.25">
      <c r="H7621" s="96" t="str">
        <f t="shared" si="494"/>
        <v/>
      </c>
      <c r="I7621" s="96" t="str">
        <f t="shared" si="495"/>
        <v/>
      </c>
      <c r="J7621" s="91" t="str">
        <f t="shared" si="496"/>
        <v/>
      </c>
      <c r="K7621" s="91" t="str">
        <f t="shared" si="497"/>
        <v/>
      </c>
      <c r="L7621" s="166" t="str">
        <f t="shared" si="493"/>
        <v/>
      </c>
    </row>
    <row r="7622" spans="8:12" x14ac:dyDescent="0.25">
      <c r="H7622" s="96" t="str">
        <f t="shared" si="494"/>
        <v/>
      </c>
      <c r="I7622" s="96" t="str">
        <f t="shared" si="495"/>
        <v/>
      </c>
      <c r="J7622" s="91" t="str">
        <f t="shared" si="496"/>
        <v/>
      </c>
      <c r="K7622" s="91" t="str">
        <f t="shared" si="497"/>
        <v/>
      </c>
      <c r="L7622" s="166" t="str">
        <f t="shared" si="493"/>
        <v/>
      </c>
    </row>
    <row r="7623" spans="8:12" x14ac:dyDescent="0.25">
      <c r="H7623" s="96" t="str">
        <f t="shared" si="494"/>
        <v/>
      </c>
      <c r="I7623" s="96" t="str">
        <f t="shared" si="495"/>
        <v/>
      </c>
      <c r="J7623" s="91" t="str">
        <f t="shared" si="496"/>
        <v/>
      </c>
      <c r="K7623" s="91" t="str">
        <f t="shared" si="497"/>
        <v/>
      </c>
      <c r="L7623" s="166" t="str">
        <f t="shared" si="493"/>
        <v/>
      </c>
    </row>
    <row r="7624" spans="8:12" x14ac:dyDescent="0.25">
      <c r="H7624" s="96" t="str">
        <f t="shared" si="494"/>
        <v/>
      </c>
      <c r="I7624" s="96" t="str">
        <f t="shared" si="495"/>
        <v/>
      </c>
      <c r="J7624" s="91" t="str">
        <f t="shared" si="496"/>
        <v/>
      </c>
      <c r="K7624" s="91" t="str">
        <f t="shared" si="497"/>
        <v/>
      </c>
      <c r="L7624" s="166" t="str">
        <f t="shared" ref="L7624:L7687" si="498">IF(OR(RIGHT(IF(AND(K7624&lt;&gt;"H",K7624&lt;&gt;"MES"),RIGHT(B7624,7),""),2)="PS",RIGHT(IF(AND(K7624&lt;&gt;"H",K7624&lt;&gt;"MES"),RIGHT(B7624,7),""),2)="PA",RIGHT(IF(AND(K7624&lt;&gt;"H",K7624&lt;&gt;"MES"),RIGHT(B7624,7),""),2)="PE"),LEFT(IF(AND(K7624&lt;&gt;"H",K7624&lt;&gt;"MES"),RIGHT(B7624,10),""),7),IF(AND(K7624&lt;&gt;"H",K7624&lt;&gt;"MES"),RIGHT(B7624,7),""))</f>
        <v/>
      </c>
    </row>
    <row r="7625" spans="8:12" x14ac:dyDescent="0.25">
      <c r="H7625" s="96" t="str">
        <f t="shared" si="494"/>
        <v/>
      </c>
      <c r="I7625" s="96" t="str">
        <f t="shared" si="495"/>
        <v/>
      </c>
      <c r="J7625" s="91" t="str">
        <f t="shared" si="496"/>
        <v/>
      </c>
      <c r="K7625" s="91" t="str">
        <f t="shared" si="497"/>
        <v/>
      </c>
      <c r="L7625" s="166" t="str">
        <f t="shared" si="498"/>
        <v/>
      </c>
    </row>
    <row r="7626" spans="8:12" x14ac:dyDescent="0.25">
      <c r="H7626" s="96" t="str">
        <f t="shared" si="494"/>
        <v/>
      </c>
      <c r="I7626" s="96" t="str">
        <f t="shared" si="495"/>
        <v/>
      </c>
      <c r="J7626" s="91" t="str">
        <f t="shared" si="496"/>
        <v/>
      </c>
      <c r="K7626" s="91" t="str">
        <f t="shared" si="497"/>
        <v/>
      </c>
      <c r="L7626" s="166" t="str">
        <f t="shared" si="498"/>
        <v/>
      </c>
    </row>
    <row r="7627" spans="8:12" x14ac:dyDescent="0.25">
      <c r="H7627" s="96" t="str">
        <f t="shared" si="494"/>
        <v/>
      </c>
      <c r="I7627" s="96" t="str">
        <f t="shared" si="495"/>
        <v/>
      </c>
      <c r="J7627" s="91" t="str">
        <f t="shared" si="496"/>
        <v/>
      </c>
      <c r="K7627" s="91" t="str">
        <f t="shared" si="497"/>
        <v/>
      </c>
      <c r="L7627" s="166" t="str">
        <f t="shared" si="498"/>
        <v/>
      </c>
    </row>
    <row r="7628" spans="8:12" x14ac:dyDescent="0.25">
      <c r="H7628" s="96" t="str">
        <f t="shared" si="494"/>
        <v/>
      </c>
      <c r="I7628" s="96" t="str">
        <f t="shared" si="495"/>
        <v/>
      </c>
      <c r="J7628" s="91" t="str">
        <f t="shared" si="496"/>
        <v/>
      </c>
      <c r="K7628" s="91" t="str">
        <f t="shared" si="497"/>
        <v/>
      </c>
      <c r="L7628" s="166" t="str">
        <f t="shared" si="498"/>
        <v/>
      </c>
    </row>
    <row r="7629" spans="8:12" x14ac:dyDescent="0.25">
      <c r="H7629" s="96" t="str">
        <f t="shared" si="494"/>
        <v/>
      </c>
      <c r="I7629" s="96" t="str">
        <f t="shared" si="495"/>
        <v/>
      </c>
      <c r="J7629" s="91" t="str">
        <f t="shared" si="496"/>
        <v/>
      </c>
      <c r="K7629" s="91" t="str">
        <f t="shared" si="497"/>
        <v/>
      </c>
      <c r="L7629" s="166" t="str">
        <f t="shared" si="498"/>
        <v/>
      </c>
    </row>
    <row r="7630" spans="8:12" x14ac:dyDescent="0.25">
      <c r="H7630" s="96" t="str">
        <f t="shared" si="494"/>
        <v/>
      </c>
      <c r="I7630" s="96" t="str">
        <f t="shared" si="495"/>
        <v/>
      </c>
      <c r="J7630" s="91" t="str">
        <f t="shared" si="496"/>
        <v/>
      </c>
      <c r="K7630" s="91" t="str">
        <f t="shared" si="497"/>
        <v/>
      </c>
      <c r="L7630" s="166" t="str">
        <f t="shared" si="498"/>
        <v/>
      </c>
    </row>
    <row r="7631" spans="8:12" x14ac:dyDescent="0.25">
      <c r="H7631" s="96" t="str">
        <f t="shared" si="494"/>
        <v/>
      </c>
      <c r="I7631" s="96" t="str">
        <f t="shared" si="495"/>
        <v/>
      </c>
      <c r="J7631" s="91" t="str">
        <f t="shared" si="496"/>
        <v/>
      </c>
      <c r="K7631" s="91" t="str">
        <f t="shared" si="497"/>
        <v/>
      </c>
      <c r="L7631" s="166" t="str">
        <f t="shared" si="498"/>
        <v/>
      </c>
    </row>
    <row r="7632" spans="8:12" x14ac:dyDescent="0.25">
      <c r="H7632" s="96" t="str">
        <f t="shared" si="494"/>
        <v/>
      </c>
      <c r="I7632" s="96" t="str">
        <f t="shared" si="495"/>
        <v/>
      </c>
      <c r="J7632" s="91" t="str">
        <f t="shared" si="496"/>
        <v/>
      </c>
      <c r="K7632" s="91" t="str">
        <f t="shared" si="497"/>
        <v/>
      </c>
      <c r="L7632" s="166" t="str">
        <f t="shared" si="498"/>
        <v/>
      </c>
    </row>
    <row r="7633" spans="8:12" x14ac:dyDescent="0.25">
      <c r="H7633" s="96" t="str">
        <f t="shared" si="494"/>
        <v/>
      </c>
      <c r="I7633" s="96" t="str">
        <f t="shared" si="495"/>
        <v/>
      </c>
      <c r="J7633" s="91" t="str">
        <f t="shared" si="496"/>
        <v/>
      </c>
      <c r="K7633" s="91" t="str">
        <f t="shared" si="497"/>
        <v/>
      </c>
      <c r="L7633" s="166" t="str">
        <f t="shared" si="498"/>
        <v/>
      </c>
    </row>
    <row r="7634" spans="8:12" x14ac:dyDescent="0.25">
      <c r="H7634" s="96" t="str">
        <f t="shared" si="494"/>
        <v/>
      </c>
      <c r="I7634" s="96" t="str">
        <f t="shared" si="495"/>
        <v/>
      </c>
      <c r="J7634" s="91" t="str">
        <f t="shared" si="496"/>
        <v/>
      </c>
      <c r="K7634" s="91" t="str">
        <f t="shared" si="497"/>
        <v/>
      </c>
      <c r="L7634" s="166" t="str">
        <f t="shared" si="498"/>
        <v/>
      </c>
    </row>
    <row r="7635" spans="8:12" x14ac:dyDescent="0.25">
      <c r="H7635" s="96" t="str">
        <f t="shared" si="494"/>
        <v/>
      </c>
      <c r="I7635" s="96" t="str">
        <f t="shared" si="495"/>
        <v/>
      </c>
      <c r="J7635" s="91" t="str">
        <f t="shared" si="496"/>
        <v/>
      </c>
      <c r="K7635" s="91" t="str">
        <f t="shared" si="497"/>
        <v/>
      </c>
      <c r="L7635" s="166" t="str">
        <f t="shared" si="498"/>
        <v/>
      </c>
    </row>
    <row r="7636" spans="8:12" x14ac:dyDescent="0.25">
      <c r="H7636" s="96" t="str">
        <f t="shared" si="494"/>
        <v/>
      </c>
      <c r="I7636" s="96" t="str">
        <f t="shared" si="495"/>
        <v/>
      </c>
      <c r="J7636" s="91" t="str">
        <f t="shared" si="496"/>
        <v/>
      </c>
      <c r="K7636" s="91" t="str">
        <f t="shared" si="497"/>
        <v/>
      </c>
      <c r="L7636" s="166" t="str">
        <f t="shared" si="498"/>
        <v/>
      </c>
    </row>
    <row r="7637" spans="8:12" x14ac:dyDescent="0.25">
      <c r="H7637" s="96" t="str">
        <f t="shared" si="494"/>
        <v/>
      </c>
      <c r="I7637" s="96" t="str">
        <f t="shared" si="495"/>
        <v/>
      </c>
      <c r="J7637" s="91" t="str">
        <f t="shared" si="496"/>
        <v/>
      </c>
      <c r="K7637" s="91" t="str">
        <f t="shared" si="497"/>
        <v/>
      </c>
      <c r="L7637" s="166" t="str">
        <f t="shared" si="498"/>
        <v/>
      </c>
    </row>
    <row r="7638" spans="8:12" x14ac:dyDescent="0.25">
      <c r="H7638" s="96" t="str">
        <f t="shared" si="494"/>
        <v/>
      </c>
      <c r="I7638" s="96" t="str">
        <f t="shared" si="495"/>
        <v/>
      </c>
      <c r="J7638" s="91" t="str">
        <f t="shared" si="496"/>
        <v/>
      </c>
      <c r="K7638" s="91" t="str">
        <f t="shared" si="497"/>
        <v/>
      </c>
      <c r="L7638" s="166" t="str">
        <f t="shared" si="498"/>
        <v/>
      </c>
    </row>
    <row r="7639" spans="8:12" x14ac:dyDescent="0.25">
      <c r="H7639" s="96" t="str">
        <f t="shared" si="494"/>
        <v/>
      </c>
      <c r="I7639" s="96" t="str">
        <f t="shared" si="495"/>
        <v/>
      </c>
      <c r="J7639" s="91" t="str">
        <f t="shared" si="496"/>
        <v/>
      </c>
      <c r="K7639" s="91" t="str">
        <f t="shared" si="497"/>
        <v/>
      </c>
      <c r="L7639" s="166" t="str">
        <f t="shared" si="498"/>
        <v/>
      </c>
    </row>
    <row r="7640" spans="8:12" x14ac:dyDescent="0.25">
      <c r="H7640" s="96" t="str">
        <f t="shared" si="494"/>
        <v/>
      </c>
      <c r="I7640" s="96" t="str">
        <f t="shared" si="495"/>
        <v/>
      </c>
      <c r="J7640" s="91" t="str">
        <f t="shared" si="496"/>
        <v/>
      </c>
      <c r="K7640" s="91" t="str">
        <f t="shared" si="497"/>
        <v/>
      </c>
      <c r="L7640" s="166" t="str">
        <f t="shared" si="498"/>
        <v/>
      </c>
    </row>
    <row r="7641" spans="8:12" x14ac:dyDescent="0.25">
      <c r="H7641" s="96" t="str">
        <f t="shared" ref="H7641:H7704" si="499">IF(E7641="","",E7641+0)</f>
        <v/>
      </c>
      <c r="I7641" s="96" t="str">
        <f t="shared" ref="I7641:I7704" si="500">IF(F7641="","",F7641+0)</f>
        <v/>
      </c>
      <c r="J7641" s="91" t="str">
        <f t="shared" ref="J7641:J7704" si="501">IF(OR(H7641="",I7641=""),"",TRIM(CONCATENATE("Sinapi ",A7641)))</f>
        <v/>
      </c>
      <c r="K7641" s="91" t="str">
        <f t="shared" ref="K7641:K7704" si="502">TRIM(C7641)</f>
        <v/>
      </c>
      <c r="L7641" s="166" t="str">
        <f t="shared" si="498"/>
        <v/>
      </c>
    </row>
    <row r="7642" spans="8:12" x14ac:dyDescent="0.25">
      <c r="H7642" s="96" t="str">
        <f t="shared" si="499"/>
        <v/>
      </c>
      <c r="I7642" s="96" t="str">
        <f t="shared" si="500"/>
        <v/>
      </c>
      <c r="J7642" s="91" t="str">
        <f t="shared" si="501"/>
        <v/>
      </c>
      <c r="K7642" s="91" t="str">
        <f t="shared" si="502"/>
        <v/>
      </c>
      <c r="L7642" s="166" t="str">
        <f t="shared" si="498"/>
        <v/>
      </c>
    </row>
    <row r="7643" spans="8:12" x14ac:dyDescent="0.25">
      <c r="H7643" s="96" t="str">
        <f t="shared" si="499"/>
        <v/>
      </c>
      <c r="I7643" s="96" t="str">
        <f t="shared" si="500"/>
        <v/>
      </c>
      <c r="J7643" s="91" t="str">
        <f t="shared" si="501"/>
        <v/>
      </c>
      <c r="K7643" s="91" t="str">
        <f t="shared" si="502"/>
        <v/>
      </c>
      <c r="L7643" s="166" t="str">
        <f t="shared" si="498"/>
        <v/>
      </c>
    </row>
    <row r="7644" spans="8:12" x14ac:dyDescent="0.25">
      <c r="H7644" s="96" t="str">
        <f t="shared" si="499"/>
        <v/>
      </c>
      <c r="I7644" s="96" t="str">
        <f t="shared" si="500"/>
        <v/>
      </c>
      <c r="J7644" s="91" t="str">
        <f t="shared" si="501"/>
        <v/>
      </c>
      <c r="K7644" s="91" t="str">
        <f t="shared" si="502"/>
        <v/>
      </c>
      <c r="L7644" s="166" t="str">
        <f t="shared" si="498"/>
        <v/>
      </c>
    </row>
    <row r="7645" spans="8:12" x14ac:dyDescent="0.25">
      <c r="H7645" s="96" t="str">
        <f t="shared" si="499"/>
        <v/>
      </c>
      <c r="I7645" s="96" t="str">
        <f t="shared" si="500"/>
        <v/>
      </c>
      <c r="J7645" s="91" t="str">
        <f t="shared" si="501"/>
        <v/>
      </c>
      <c r="K7645" s="91" t="str">
        <f t="shared" si="502"/>
        <v/>
      </c>
      <c r="L7645" s="166" t="str">
        <f t="shared" si="498"/>
        <v/>
      </c>
    </row>
    <row r="7646" spans="8:12" x14ac:dyDescent="0.25">
      <c r="H7646" s="96" t="str">
        <f t="shared" si="499"/>
        <v/>
      </c>
      <c r="I7646" s="96" t="str">
        <f t="shared" si="500"/>
        <v/>
      </c>
      <c r="J7646" s="91" t="str">
        <f t="shared" si="501"/>
        <v/>
      </c>
      <c r="K7646" s="91" t="str">
        <f t="shared" si="502"/>
        <v/>
      </c>
      <c r="L7646" s="166" t="str">
        <f t="shared" si="498"/>
        <v/>
      </c>
    </row>
    <row r="7647" spans="8:12" x14ac:dyDescent="0.25">
      <c r="H7647" s="96" t="str">
        <f t="shared" si="499"/>
        <v/>
      </c>
      <c r="I7647" s="96" t="str">
        <f t="shared" si="500"/>
        <v/>
      </c>
      <c r="J7647" s="91" t="str">
        <f t="shared" si="501"/>
        <v/>
      </c>
      <c r="K7647" s="91" t="str">
        <f t="shared" si="502"/>
        <v/>
      </c>
      <c r="L7647" s="166" t="str">
        <f t="shared" si="498"/>
        <v/>
      </c>
    </row>
    <row r="7648" spans="8:12" x14ac:dyDescent="0.25">
      <c r="H7648" s="96" t="str">
        <f t="shared" si="499"/>
        <v/>
      </c>
      <c r="I7648" s="96" t="str">
        <f t="shared" si="500"/>
        <v/>
      </c>
      <c r="J7648" s="91" t="str">
        <f t="shared" si="501"/>
        <v/>
      </c>
      <c r="K7648" s="91" t="str">
        <f t="shared" si="502"/>
        <v/>
      </c>
      <c r="L7648" s="166" t="str">
        <f t="shared" si="498"/>
        <v/>
      </c>
    </row>
    <row r="7649" spans="8:12" x14ac:dyDescent="0.25">
      <c r="H7649" s="96" t="str">
        <f t="shared" si="499"/>
        <v/>
      </c>
      <c r="I7649" s="96" t="str">
        <f t="shared" si="500"/>
        <v/>
      </c>
      <c r="J7649" s="91" t="str">
        <f t="shared" si="501"/>
        <v/>
      </c>
      <c r="K7649" s="91" t="str">
        <f t="shared" si="502"/>
        <v/>
      </c>
      <c r="L7649" s="166" t="str">
        <f t="shared" si="498"/>
        <v/>
      </c>
    </row>
    <row r="7650" spans="8:12" x14ac:dyDescent="0.25">
      <c r="H7650" s="96" t="str">
        <f t="shared" si="499"/>
        <v/>
      </c>
      <c r="I7650" s="96" t="str">
        <f t="shared" si="500"/>
        <v/>
      </c>
      <c r="J7650" s="91" t="str">
        <f t="shared" si="501"/>
        <v/>
      </c>
      <c r="K7650" s="91" t="str">
        <f t="shared" si="502"/>
        <v/>
      </c>
      <c r="L7650" s="166" t="str">
        <f t="shared" si="498"/>
        <v/>
      </c>
    </row>
    <row r="7651" spans="8:12" x14ac:dyDescent="0.25">
      <c r="H7651" s="96" t="str">
        <f t="shared" si="499"/>
        <v/>
      </c>
      <c r="I7651" s="96" t="str">
        <f t="shared" si="500"/>
        <v/>
      </c>
      <c r="J7651" s="91" t="str">
        <f t="shared" si="501"/>
        <v/>
      </c>
      <c r="K7651" s="91" t="str">
        <f t="shared" si="502"/>
        <v/>
      </c>
      <c r="L7651" s="166" t="str">
        <f t="shared" si="498"/>
        <v/>
      </c>
    </row>
    <row r="7652" spans="8:12" x14ac:dyDescent="0.25">
      <c r="H7652" s="96" t="str">
        <f t="shared" si="499"/>
        <v/>
      </c>
      <c r="I7652" s="96" t="str">
        <f t="shared" si="500"/>
        <v/>
      </c>
      <c r="J7652" s="91" t="str">
        <f t="shared" si="501"/>
        <v/>
      </c>
      <c r="K7652" s="91" t="str">
        <f t="shared" si="502"/>
        <v/>
      </c>
      <c r="L7652" s="166" t="str">
        <f t="shared" si="498"/>
        <v/>
      </c>
    </row>
    <row r="7653" spans="8:12" x14ac:dyDescent="0.25">
      <c r="H7653" s="96" t="str">
        <f t="shared" si="499"/>
        <v/>
      </c>
      <c r="I7653" s="96" t="str">
        <f t="shared" si="500"/>
        <v/>
      </c>
      <c r="J7653" s="91" t="str">
        <f t="shared" si="501"/>
        <v/>
      </c>
      <c r="K7653" s="91" t="str">
        <f t="shared" si="502"/>
        <v/>
      </c>
      <c r="L7653" s="166" t="str">
        <f t="shared" si="498"/>
        <v/>
      </c>
    </row>
    <row r="7654" spans="8:12" x14ac:dyDescent="0.25">
      <c r="H7654" s="96" t="str">
        <f t="shared" si="499"/>
        <v/>
      </c>
      <c r="I7654" s="96" t="str">
        <f t="shared" si="500"/>
        <v/>
      </c>
      <c r="J7654" s="91" t="str">
        <f t="shared" si="501"/>
        <v/>
      </c>
      <c r="K7654" s="91" t="str">
        <f t="shared" si="502"/>
        <v/>
      </c>
      <c r="L7654" s="166" t="str">
        <f t="shared" si="498"/>
        <v/>
      </c>
    </row>
    <row r="7655" spans="8:12" x14ac:dyDescent="0.25">
      <c r="H7655" s="96" t="str">
        <f t="shared" si="499"/>
        <v/>
      </c>
      <c r="I7655" s="96" t="str">
        <f t="shared" si="500"/>
        <v/>
      </c>
      <c r="J7655" s="91" t="str">
        <f t="shared" si="501"/>
        <v/>
      </c>
      <c r="K7655" s="91" t="str">
        <f t="shared" si="502"/>
        <v/>
      </c>
      <c r="L7655" s="166" t="str">
        <f t="shared" si="498"/>
        <v/>
      </c>
    </row>
    <row r="7656" spans="8:12" x14ac:dyDescent="0.25">
      <c r="H7656" s="96" t="str">
        <f t="shared" si="499"/>
        <v/>
      </c>
      <c r="I7656" s="96" t="str">
        <f t="shared" si="500"/>
        <v/>
      </c>
      <c r="J7656" s="91" t="str">
        <f t="shared" si="501"/>
        <v/>
      </c>
      <c r="K7656" s="91" t="str">
        <f t="shared" si="502"/>
        <v/>
      </c>
      <c r="L7656" s="166" t="str">
        <f t="shared" si="498"/>
        <v/>
      </c>
    </row>
    <row r="7657" spans="8:12" x14ac:dyDescent="0.25">
      <c r="H7657" s="96" t="str">
        <f t="shared" si="499"/>
        <v/>
      </c>
      <c r="I7657" s="96" t="str">
        <f t="shared" si="500"/>
        <v/>
      </c>
      <c r="J7657" s="91" t="str">
        <f t="shared" si="501"/>
        <v/>
      </c>
      <c r="K7657" s="91" t="str">
        <f t="shared" si="502"/>
        <v/>
      </c>
      <c r="L7657" s="166" t="str">
        <f t="shared" si="498"/>
        <v/>
      </c>
    </row>
    <row r="7658" spans="8:12" x14ac:dyDescent="0.25">
      <c r="H7658" s="96" t="str">
        <f t="shared" si="499"/>
        <v/>
      </c>
      <c r="I7658" s="96" t="str">
        <f t="shared" si="500"/>
        <v/>
      </c>
      <c r="J7658" s="91" t="str">
        <f t="shared" si="501"/>
        <v/>
      </c>
      <c r="K7658" s="91" t="str">
        <f t="shared" si="502"/>
        <v/>
      </c>
      <c r="L7658" s="166" t="str">
        <f t="shared" si="498"/>
        <v/>
      </c>
    </row>
    <row r="7659" spans="8:12" x14ac:dyDescent="0.25">
      <c r="H7659" s="96" t="str">
        <f t="shared" si="499"/>
        <v/>
      </c>
      <c r="I7659" s="96" t="str">
        <f t="shared" si="500"/>
        <v/>
      </c>
      <c r="J7659" s="91" t="str">
        <f t="shared" si="501"/>
        <v/>
      </c>
      <c r="K7659" s="91" t="str">
        <f t="shared" si="502"/>
        <v/>
      </c>
      <c r="L7659" s="166" t="str">
        <f t="shared" si="498"/>
        <v/>
      </c>
    </row>
    <row r="7660" spans="8:12" x14ac:dyDescent="0.25">
      <c r="H7660" s="96" t="str">
        <f t="shared" si="499"/>
        <v/>
      </c>
      <c r="I7660" s="96" t="str">
        <f t="shared" si="500"/>
        <v/>
      </c>
      <c r="J7660" s="91" t="str">
        <f t="shared" si="501"/>
        <v/>
      </c>
      <c r="K7660" s="91" t="str">
        <f t="shared" si="502"/>
        <v/>
      </c>
      <c r="L7660" s="166" t="str">
        <f t="shared" si="498"/>
        <v/>
      </c>
    </row>
    <row r="7661" spans="8:12" x14ac:dyDescent="0.25">
      <c r="H7661" s="96" t="str">
        <f t="shared" si="499"/>
        <v/>
      </c>
      <c r="I7661" s="96" t="str">
        <f t="shared" si="500"/>
        <v/>
      </c>
      <c r="J7661" s="91" t="str">
        <f t="shared" si="501"/>
        <v/>
      </c>
      <c r="K7661" s="91" t="str">
        <f t="shared" si="502"/>
        <v/>
      </c>
      <c r="L7661" s="166" t="str">
        <f t="shared" si="498"/>
        <v/>
      </c>
    </row>
    <row r="7662" spans="8:12" x14ac:dyDescent="0.25">
      <c r="H7662" s="96" t="str">
        <f t="shared" si="499"/>
        <v/>
      </c>
      <c r="I7662" s="96" t="str">
        <f t="shared" si="500"/>
        <v/>
      </c>
      <c r="J7662" s="91" t="str">
        <f t="shared" si="501"/>
        <v/>
      </c>
      <c r="K7662" s="91" t="str">
        <f t="shared" si="502"/>
        <v/>
      </c>
      <c r="L7662" s="166" t="str">
        <f t="shared" si="498"/>
        <v/>
      </c>
    </row>
    <row r="7663" spans="8:12" x14ac:dyDescent="0.25">
      <c r="H7663" s="96" t="str">
        <f t="shared" si="499"/>
        <v/>
      </c>
      <c r="I7663" s="96" t="str">
        <f t="shared" si="500"/>
        <v/>
      </c>
      <c r="J7663" s="91" t="str">
        <f t="shared" si="501"/>
        <v/>
      </c>
      <c r="K7663" s="91" t="str">
        <f t="shared" si="502"/>
        <v/>
      </c>
      <c r="L7663" s="166" t="str">
        <f t="shared" si="498"/>
        <v/>
      </c>
    </row>
    <row r="7664" spans="8:12" x14ac:dyDescent="0.25">
      <c r="H7664" s="96" t="str">
        <f t="shared" si="499"/>
        <v/>
      </c>
      <c r="I7664" s="96" t="str">
        <f t="shared" si="500"/>
        <v/>
      </c>
      <c r="J7664" s="91" t="str">
        <f t="shared" si="501"/>
        <v/>
      </c>
      <c r="K7664" s="91" t="str">
        <f t="shared" si="502"/>
        <v/>
      </c>
      <c r="L7664" s="166" t="str">
        <f t="shared" si="498"/>
        <v/>
      </c>
    </row>
    <row r="7665" spans="8:12" x14ac:dyDescent="0.25">
      <c r="H7665" s="96" t="str">
        <f t="shared" si="499"/>
        <v/>
      </c>
      <c r="I7665" s="96" t="str">
        <f t="shared" si="500"/>
        <v/>
      </c>
      <c r="J7665" s="91" t="str">
        <f t="shared" si="501"/>
        <v/>
      </c>
      <c r="K7665" s="91" t="str">
        <f t="shared" si="502"/>
        <v/>
      </c>
      <c r="L7665" s="166" t="str">
        <f t="shared" si="498"/>
        <v/>
      </c>
    </row>
    <row r="7666" spans="8:12" x14ac:dyDescent="0.25">
      <c r="H7666" s="96" t="str">
        <f t="shared" si="499"/>
        <v/>
      </c>
      <c r="I7666" s="96" t="str">
        <f t="shared" si="500"/>
        <v/>
      </c>
      <c r="J7666" s="91" t="str">
        <f t="shared" si="501"/>
        <v/>
      </c>
      <c r="K7666" s="91" t="str">
        <f t="shared" si="502"/>
        <v/>
      </c>
      <c r="L7666" s="166" t="str">
        <f t="shared" si="498"/>
        <v/>
      </c>
    </row>
    <row r="7667" spans="8:12" x14ac:dyDescent="0.25">
      <c r="H7667" s="96" t="str">
        <f t="shared" si="499"/>
        <v/>
      </c>
      <c r="I7667" s="96" t="str">
        <f t="shared" si="500"/>
        <v/>
      </c>
      <c r="J7667" s="91" t="str">
        <f t="shared" si="501"/>
        <v/>
      </c>
      <c r="K7667" s="91" t="str">
        <f t="shared" si="502"/>
        <v/>
      </c>
      <c r="L7667" s="166" t="str">
        <f t="shared" si="498"/>
        <v/>
      </c>
    </row>
    <row r="7668" spans="8:12" x14ac:dyDescent="0.25">
      <c r="H7668" s="96" t="str">
        <f t="shared" si="499"/>
        <v/>
      </c>
      <c r="I7668" s="96" t="str">
        <f t="shared" si="500"/>
        <v/>
      </c>
      <c r="J7668" s="91" t="str">
        <f t="shared" si="501"/>
        <v/>
      </c>
      <c r="K7668" s="91" t="str">
        <f t="shared" si="502"/>
        <v/>
      </c>
      <c r="L7668" s="166" t="str">
        <f t="shared" si="498"/>
        <v/>
      </c>
    </row>
    <row r="7669" spans="8:12" x14ac:dyDescent="0.25">
      <c r="H7669" s="96" t="str">
        <f t="shared" si="499"/>
        <v/>
      </c>
      <c r="I7669" s="96" t="str">
        <f t="shared" si="500"/>
        <v/>
      </c>
      <c r="J7669" s="91" t="str">
        <f t="shared" si="501"/>
        <v/>
      </c>
      <c r="K7669" s="91" t="str">
        <f t="shared" si="502"/>
        <v/>
      </c>
      <c r="L7669" s="166" t="str">
        <f t="shared" si="498"/>
        <v/>
      </c>
    </row>
    <row r="7670" spans="8:12" x14ac:dyDescent="0.25">
      <c r="H7670" s="96" t="str">
        <f t="shared" si="499"/>
        <v/>
      </c>
      <c r="I7670" s="96" t="str">
        <f t="shared" si="500"/>
        <v/>
      </c>
      <c r="J7670" s="91" t="str">
        <f t="shared" si="501"/>
        <v/>
      </c>
      <c r="K7670" s="91" t="str">
        <f t="shared" si="502"/>
        <v/>
      </c>
      <c r="L7670" s="166" t="str">
        <f t="shared" si="498"/>
        <v/>
      </c>
    </row>
    <row r="7671" spans="8:12" x14ac:dyDescent="0.25">
      <c r="H7671" s="96" t="str">
        <f t="shared" si="499"/>
        <v/>
      </c>
      <c r="I7671" s="96" t="str">
        <f t="shared" si="500"/>
        <v/>
      </c>
      <c r="J7671" s="91" t="str">
        <f t="shared" si="501"/>
        <v/>
      </c>
      <c r="K7671" s="91" t="str">
        <f t="shared" si="502"/>
        <v/>
      </c>
      <c r="L7671" s="166" t="str">
        <f t="shared" si="498"/>
        <v/>
      </c>
    </row>
    <row r="7672" spans="8:12" x14ac:dyDescent="0.25">
      <c r="H7672" s="96" t="str">
        <f t="shared" si="499"/>
        <v/>
      </c>
      <c r="I7672" s="96" t="str">
        <f t="shared" si="500"/>
        <v/>
      </c>
      <c r="J7672" s="91" t="str">
        <f t="shared" si="501"/>
        <v/>
      </c>
      <c r="K7672" s="91" t="str">
        <f t="shared" si="502"/>
        <v/>
      </c>
      <c r="L7672" s="166" t="str">
        <f t="shared" si="498"/>
        <v/>
      </c>
    </row>
    <row r="7673" spans="8:12" x14ac:dyDescent="0.25">
      <c r="H7673" s="96" t="str">
        <f t="shared" si="499"/>
        <v/>
      </c>
      <c r="I7673" s="96" t="str">
        <f t="shared" si="500"/>
        <v/>
      </c>
      <c r="J7673" s="91" t="str">
        <f t="shared" si="501"/>
        <v/>
      </c>
      <c r="K7673" s="91" t="str">
        <f t="shared" si="502"/>
        <v/>
      </c>
      <c r="L7673" s="166" t="str">
        <f t="shared" si="498"/>
        <v/>
      </c>
    </row>
    <row r="7674" spans="8:12" x14ac:dyDescent="0.25">
      <c r="H7674" s="96" t="str">
        <f t="shared" si="499"/>
        <v/>
      </c>
      <c r="I7674" s="96" t="str">
        <f t="shared" si="500"/>
        <v/>
      </c>
      <c r="J7674" s="91" t="str">
        <f t="shared" si="501"/>
        <v/>
      </c>
      <c r="K7674" s="91" t="str">
        <f t="shared" si="502"/>
        <v/>
      </c>
      <c r="L7674" s="166" t="str">
        <f t="shared" si="498"/>
        <v/>
      </c>
    </row>
    <row r="7675" spans="8:12" x14ac:dyDescent="0.25">
      <c r="H7675" s="96" t="str">
        <f t="shared" si="499"/>
        <v/>
      </c>
      <c r="I7675" s="96" t="str">
        <f t="shared" si="500"/>
        <v/>
      </c>
      <c r="J7675" s="91" t="str">
        <f t="shared" si="501"/>
        <v/>
      </c>
      <c r="K7675" s="91" t="str">
        <f t="shared" si="502"/>
        <v/>
      </c>
      <c r="L7675" s="166" t="str">
        <f t="shared" si="498"/>
        <v/>
      </c>
    </row>
    <row r="7676" spans="8:12" x14ac:dyDescent="0.25">
      <c r="H7676" s="96" t="str">
        <f t="shared" si="499"/>
        <v/>
      </c>
      <c r="I7676" s="96" t="str">
        <f t="shared" si="500"/>
        <v/>
      </c>
      <c r="J7676" s="91" t="str">
        <f t="shared" si="501"/>
        <v/>
      </c>
      <c r="K7676" s="91" t="str">
        <f t="shared" si="502"/>
        <v/>
      </c>
      <c r="L7676" s="166" t="str">
        <f t="shared" si="498"/>
        <v/>
      </c>
    </row>
    <row r="7677" spans="8:12" x14ac:dyDescent="0.25">
      <c r="H7677" s="96" t="str">
        <f t="shared" si="499"/>
        <v/>
      </c>
      <c r="I7677" s="96" t="str">
        <f t="shared" si="500"/>
        <v/>
      </c>
      <c r="J7677" s="91" t="str">
        <f t="shared" si="501"/>
        <v/>
      </c>
      <c r="K7677" s="91" t="str">
        <f t="shared" si="502"/>
        <v/>
      </c>
      <c r="L7677" s="166" t="str">
        <f t="shared" si="498"/>
        <v/>
      </c>
    </row>
    <row r="7678" spans="8:12" x14ac:dyDescent="0.25">
      <c r="H7678" s="96" t="str">
        <f t="shared" si="499"/>
        <v/>
      </c>
      <c r="I7678" s="96" t="str">
        <f t="shared" si="500"/>
        <v/>
      </c>
      <c r="J7678" s="91" t="str">
        <f t="shared" si="501"/>
        <v/>
      </c>
      <c r="K7678" s="91" t="str">
        <f t="shared" si="502"/>
        <v/>
      </c>
      <c r="L7678" s="166" t="str">
        <f t="shared" si="498"/>
        <v/>
      </c>
    </row>
    <row r="7679" spans="8:12" x14ac:dyDescent="0.25">
      <c r="H7679" s="96" t="str">
        <f t="shared" si="499"/>
        <v/>
      </c>
      <c r="I7679" s="96" t="str">
        <f t="shared" si="500"/>
        <v/>
      </c>
      <c r="J7679" s="91" t="str">
        <f t="shared" si="501"/>
        <v/>
      </c>
      <c r="K7679" s="91" t="str">
        <f t="shared" si="502"/>
        <v/>
      </c>
      <c r="L7679" s="166" t="str">
        <f t="shared" si="498"/>
        <v/>
      </c>
    </row>
    <row r="7680" spans="8:12" x14ac:dyDescent="0.25">
      <c r="H7680" s="96" t="str">
        <f t="shared" si="499"/>
        <v/>
      </c>
      <c r="I7680" s="96" t="str">
        <f t="shared" si="500"/>
        <v/>
      </c>
      <c r="J7680" s="91" t="str">
        <f t="shared" si="501"/>
        <v/>
      </c>
      <c r="K7680" s="91" t="str">
        <f t="shared" si="502"/>
        <v/>
      </c>
      <c r="L7680" s="166" t="str">
        <f t="shared" si="498"/>
        <v/>
      </c>
    </row>
    <row r="7681" spans="8:12" x14ac:dyDescent="0.25">
      <c r="H7681" s="96" t="str">
        <f t="shared" si="499"/>
        <v/>
      </c>
      <c r="I7681" s="96" t="str">
        <f t="shared" si="500"/>
        <v/>
      </c>
      <c r="J7681" s="91" t="str">
        <f t="shared" si="501"/>
        <v/>
      </c>
      <c r="K7681" s="91" t="str">
        <f t="shared" si="502"/>
        <v/>
      </c>
      <c r="L7681" s="166" t="str">
        <f t="shared" si="498"/>
        <v/>
      </c>
    </row>
    <row r="7682" spans="8:12" x14ac:dyDescent="0.25">
      <c r="H7682" s="96" t="str">
        <f t="shared" si="499"/>
        <v/>
      </c>
      <c r="I7682" s="96" t="str">
        <f t="shared" si="500"/>
        <v/>
      </c>
      <c r="J7682" s="91" t="str">
        <f t="shared" si="501"/>
        <v/>
      </c>
      <c r="K7682" s="91" t="str">
        <f t="shared" si="502"/>
        <v/>
      </c>
      <c r="L7682" s="166" t="str">
        <f t="shared" si="498"/>
        <v/>
      </c>
    </row>
    <row r="7683" spans="8:12" x14ac:dyDescent="0.25">
      <c r="H7683" s="96" t="str">
        <f t="shared" si="499"/>
        <v/>
      </c>
      <c r="I7683" s="96" t="str">
        <f t="shared" si="500"/>
        <v/>
      </c>
      <c r="J7683" s="91" t="str">
        <f t="shared" si="501"/>
        <v/>
      </c>
      <c r="K7683" s="91" t="str">
        <f t="shared" si="502"/>
        <v/>
      </c>
      <c r="L7683" s="166" t="str">
        <f t="shared" si="498"/>
        <v/>
      </c>
    </row>
    <row r="7684" spans="8:12" x14ac:dyDescent="0.25">
      <c r="H7684" s="96" t="str">
        <f t="shared" si="499"/>
        <v/>
      </c>
      <c r="I7684" s="96" t="str">
        <f t="shared" si="500"/>
        <v/>
      </c>
      <c r="J7684" s="91" t="str">
        <f t="shared" si="501"/>
        <v/>
      </c>
      <c r="K7684" s="91" t="str">
        <f t="shared" si="502"/>
        <v/>
      </c>
      <c r="L7684" s="166" t="str">
        <f t="shared" si="498"/>
        <v/>
      </c>
    </row>
    <row r="7685" spans="8:12" x14ac:dyDescent="0.25">
      <c r="H7685" s="96" t="str">
        <f t="shared" si="499"/>
        <v/>
      </c>
      <c r="I7685" s="96" t="str">
        <f t="shared" si="500"/>
        <v/>
      </c>
      <c r="J7685" s="91" t="str">
        <f t="shared" si="501"/>
        <v/>
      </c>
      <c r="K7685" s="91" t="str">
        <f t="shared" si="502"/>
        <v/>
      </c>
      <c r="L7685" s="166" t="str">
        <f t="shared" si="498"/>
        <v/>
      </c>
    </row>
    <row r="7686" spans="8:12" x14ac:dyDescent="0.25">
      <c r="H7686" s="96" t="str">
        <f t="shared" si="499"/>
        <v/>
      </c>
      <c r="I7686" s="96" t="str">
        <f t="shared" si="500"/>
        <v/>
      </c>
      <c r="J7686" s="91" t="str">
        <f t="shared" si="501"/>
        <v/>
      </c>
      <c r="K7686" s="91" t="str">
        <f t="shared" si="502"/>
        <v/>
      </c>
      <c r="L7686" s="166" t="str">
        <f t="shared" si="498"/>
        <v/>
      </c>
    </row>
    <row r="7687" spans="8:12" x14ac:dyDescent="0.25">
      <c r="H7687" s="96" t="str">
        <f t="shared" si="499"/>
        <v/>
      </c>
      <c r="I7687" s="96" t="str">
        <f t="shared" si="500"/>
        <v/>
      </c>
      <c r="J7687" s="91" t="str">
        <f t="shared" si="501"/>
        <v/>
      </c>
      <c r="K7687" s="91" t="str">
        <f t="shared" si="502"/>
        <v/>
      </c>
      <c r="L7687" s="166" t="str">
        <f t="shared" si="498"/>
        <v/>
      </c>
    </row>
    <row r="7688" spans="8:12" x14ac:dyDescent="0.25">
      <c r="H7688" s="96" t="str">
        <f t="shared" si="499"/>
        <v/>
      </c>
      <c r="I7688" s="96" t="str">
        <f t="shared" si="500"/>
        <v/>
      </c>
      <c r="J7688" s="91" t="str">
        <f t="shared" si="501"/>
        <v/>
      </c>
      <c r="K7688" s="91" t="str">
        <f t="shared" si="502"/>
        <v/>
      </c>
      <c r="L7688" s="166" t="str">
        <f t="shared" ref="L7688:L7751" si="503">IF(OR(RIGHT(IF(AND(K7688&lt;&gt;"H",K7688&lt;&gt;"MES"),RIGHT(B7688,7),""),2)="PS",RIGHT(IF(AND(K7688&lt;&gt;"H",K7688&lt;&gt;"MES"),RIGHT(B7688,7),""),2)="PA",RIGHT(IF(AND(K7688&lt;&gt;"H",K7688&lt;&gt;"MES"),RIGHT(B7688,7),""),2)="PE"),LEFT(IF(AND(K7688&lt;&gt;"H",K7688&lt;&gt;"MES"),RIGHT(B7688,10),""),7),IF(AND(K7688&lt;&gt;"H",K7688&lt;&gt;"MES"),RIGHT(B7688,7),""))</f>
        <v/>
      </c>
    </row>
    <row r="7689" spans="8:12" x14ac:dyDescent="0.25">
      <c r="H7689" s="96" t="str">
        <f t="shared" si="499"/>
        <v/>
      </c>
      <c r="I7689" s="96" t="str">
        <f t="shared" si="500"/>
        <v/>
      </c>
      <c r="J7689" s="91" t="str">
        <f t="shared" si="501"/>
        <v/>
      </c>
      <c r="K7689" s="91" t="str">
        <f t="shared" si="502"/>
        <v/>
      </c>
      <c r="L7689" s="166" t="str">
        <f t="shared" si="503"/>
        <v/>
      </c>
    </row>
    <row r="7690" spans="8:12" x14ac:dyDescent="0.25">
      <c r="H7690" s="96" t="str">
        <f t="shared" si="499"/>
        <v/>
      </c>
      <c r="I7690" s="96" t="str">
        <f t="shared" si="500"/>
        <v/>
      </c>
      <c r="J7690" s="91" t="str">
        <f t="shared" si="501"/>
        <v/>
      </c>
      <c r="K7690" s="91" t="str">
        <f t="shared" si="502"/>
        <v/>
      </c>
      <c r="L7690" s="166" t="str">
        <f t="shared" si="503"/>
        <v/>
      </c>
    </row>
    <row r="7691" spans="8:12" x14ac:dyDescent="0.25">
      <c r="H7691" s="96" t="str">
        <f t="shared" si="499"/>
        <v/>
      </c>
      <c r="I7691" s="96" t="str">
        <f t="shared" si="500"/>
        <v/>
      </c>
      <c r="J7691" s="91" t="str">
        <f t="shared" si="501"/>
        <v/>
      </c>
      <c r="K7691" s="91" t="str">
        <f t="shared" si="502"/>
        <v/>
      </c>
      <c r="L7691" s="166" t="str">
        <f t="shared" si="503"/>
        <v/>
      </c>
    </row>
    <row r="7692" spans="8:12" x14ac:dyDescent="0.25">
      <c r="H7692" s="96" t="str">
        <f t="shared" si="499"/>
        <v/>
      </c>
      <c r="I7692" s="96" t="str">
        <f t="shared" si="500"/>
        <v/>
      </c>
      <c r="J7692" s="91" t="str">
        <f t="shared" si="501"/>
        <v/>
      </c>
      <c r="K7692" s="91" t="str">
        <f t="shared" si="502"/>
        <v/>
      </c>
      <c r="L7692" s="166" t="str">
        <f t="shared" si="503"/>
        <v/>
      </c>
    </row>
    <row r="7693" spans="8:12" x14ac:dyDescent="0.25">
      <c r="H7693" s="96" t="str">
        <f t="shared" si="499"/>
        <v/>
      </c>
      <c r="I7693" s="96" t="str">
        <f t="shared" si="500"/>
        <v/>
      </c>
      <c r="J7693" s="91" t="str">
        <f t="shared" si="501"/>
        <v/>
      </c>
      <c r="K7693" s="91" t="str">
        <f t="shared" si="502"/>
        <v/>
      </c>
      <c r="L7693" s="166" t="str">
        <f t="shared" si="503"/>
        <v/>
      </c>
    </row>
    <row r="7694" spans="8:12" x14ac:dyDescent="0.25">
      <c r="H7694" s="96" t="str">
        <f t="shared" si="499"/>
        <v/>
      </c>
      <c r="I7694" s="96" t="str">
        <f t="shared" si="500"/>
        <v/>
      </c>
      <c r="J7694" s="91" t="str">
        <f t="shared" si="501"/>
        <v/>
      </c>
      <c r="K7694" s="91" t="str">
        <f t="shared" si="502"/>
        <v/>
      </c>
      <c r="L7694" s="166" t="str">
        <f t="shared" si="503"/>
        <v/>
      </c>
    </row>
    <row r="7695" spans="8:12" x14ac:dyDescent="0.25">
      <c r="H7695" s="96" t="str">
        <f t="shared" si="499"/>
        <v/>
      </c>
      <c r="I7695" s="96" t="str">
        <f t="shared" si="500"/>
        <v/>
      </c>
      <c r="J7695" s="91" t="str">
        <f t="shared" si="501"/>
        <v/>
      </c>
      <c r="K7695" s="91" t="str">
        <f t="shared" si="502"/>
        <v/>
      </c>
      <c r="L7695" s="166" t="str">
        <f t="shared" si="503"/>
        <v/>
      </c>
    </row>
    <row r="7696" spans="8:12" x14ac:dyDescent="0.25">
      <c r="H7696" s="96" t="str">
        <f t="shared" si="499"/>
        <v/>
      </c>
      <c r="I7696" s="96" t="str">
        <f t="shared" si="500"/>
        <v/>
      </c>
      <c r="J7696" s="91" t="str">
        <f t="shared" si="501"/>
        <v/>
      </c>
      <c r="K7696" s="91" t="str">
        <f t="shared" si="502"/>
        <v/>
      </c>
      <c r="L7696" s="166" t="str">
        <f t="shared" si="503"/>
        <v/>
      </c>
    </row>
    <row r="7697" spans="8:12" x14ac:dyDescent="0.25">
      <c r="H7697" s="96" t="str">
        <f t="shared" si="499"/>
        <v/>
      </c>
      <c r="I7697" s="96" t="str">
        <f t="shared" si="500"/>
        <v/>
      </c>
      <c r="J7697" s="91" t="str">
        <f t="shared" si="501"/>
        <v/>
      </c>
      <c r="K7697" s="91" t="str">
        <f t="shared" si="502"/>
        <v/>
      </c>
      <c r="L7697" s="166" t="str">
        <f t="shared" si="503"/>
        <v/>
      </c>
    </row>
    <row r="7698" spans="8:12" x14ac:dyDescent="0.25">
      <c r="H7698" s="96" t="str">
        <f t="shared" si="499"/>
        <v/>
      </c>
      <c r="I7698" s="96" t="str">
        <f t="shared" si="500"/>
        <v/>
      </c>
      <c r="J7698" s="91" t="str">
        <f t="shared" si="501"/>
        <v/>
      </c>
      <c r="K7698" s="91" t="str">
        <f t="shared" si="502"/>
        <v/>
      </c>
      <c r="L7698" s="166" t="str">
        <f t="shared" si="503"/>
        <v/>
      </c>
    </row>
    <row r="7699" spans="8:12" x14ac:dyDescent="0.25">
      <c r="H7699" s="96" t="str">
        <f t="shared" si="499"/>
        <v/>
      </c>
      <c r="I7699" s="96" t="str">
        <f t="shared" si="500"/>
        <v/>
      </c>
      <c r="J7699" s="91" t="str">
        <f t="shared" si="501"/>
        <v/>
      </c>
      <c r="K7699" s="91" t="str">
        <f t="shared" si="502"/>
        <v/>
      </c>
      <c r="L7699" s="166" t="str">
        <f t="shared" si="503"/>
        <v/>
      </c>
    </row>
    <row r="7700" spans="8:12" x14ac:dyDescent="0.25">
      <c r="H7700" s="96" t="str">
        <f t="shared" si="499"/>
        <v/>
      </c>
      <c r="I7700" s="96" t="str">
        <f t="shared" si="500"/>
        <v/>
      </c>
      <c r="J7700" s="91" t="str">
        <f t="shared" si="501"/>
        <v/>
      </c>
      <c r="K7700" s="91" t="str">
        <f t="shared" si="502"/>
        <v/>
      </c>
      <c r="L7700" s="166" t="str">
        <f t="shared" si="503"/>
        <v/>
      </c>
    </row>
    <row r="7701" spans="8:12" x14ac:dyDescent="0.25">
      <c r="H7701" s="96" t="str">
        <f t="shared" si="499"/>
        <v/>
      </c>
      <c r="I7701" s="96" t="str">
        <f t="shared" si="500"/>
        <v/>
      </c>
      <c r="J7701" s="91" t="str">
        <f t="shared" si="501"/>
        <v/>
      </c>
      <c r="K7701" s="91" t="str">
        <f t="shared" si="502"/>
        <v/>
      </c>
      <c r="L7701" s="166" t="str">
        <f t="shared" si="503"/>
        <v/>
      </c>
    </row>
    <row r="7702" spans="8:12" x14ac:dyDescent="0.25">
      <c r="H7702" s="96" t="str">
        <f t="shared" si="499"/>
        <v/>
      </c>
      <c r="I7702" s="96" t="str">
        <f t="shared" si="500"/>
        <v/>
      </c>
      <c r="J7702" s="91" t="str">
        <f t="shared" si="501"/>
        <v/>
      </c>
      <c r="K7702" s="91" t="str">
        <f t="shared" si="502"/>
        <v/>
      </c>
      <c r="L7702" s="166" t="str">
        <f t="shared" si="503"/>
        <v/>
      </c>
    </row>
    <row r="7703" spans="8:12" x14ac:dyDescent="0.25">
      <c r="H7703" s="96" t="str">
        <f t="shared" si="499"/>
        <v/>
      </c>
      <c r="I7703" s="96" t="str">
        <f t="shared" si="500"/>
        <v/>
      </c>
      <c r="J7703" s="91" t="str">
        <f t="shared" si="501"/>
        <v/>
      </c>
      <c r="K7703" s="91" t="str">
        <f t="shared" si="502"/>
        <v/>
      </c>
      <c r="L7703" s="166" t="str">
        <f t="shared" si="503"/>
        <v/>
      </c>
    </row>
    <row r="7704" spans="8:12" x14ac:dyDescent="0.25">
      <c r="H7704" s="96" t="str">
        <f t="shared" si="499"/>
        <v/>
      </c>
      <c r="I7704" s="96" t="str">
        <f t="shared" si="500"/>
        <v/>
      </c>
      <c r="J7704" s="91" t="str">
        <f t="shared" si="501"/>
        <v/>
      </c>
      <c r="K7704" s="91" t="str">
        <f t="shared" si="502"/>
        <v/>
      </c>
      <c r="L7704" s="166" t="str">
        <f t="shared" si="503"/>
        <v/>
      </c>
    </row>
    <row r="7705" spans="8:12" x14ac:dyDescent="0.25">
      <c r="H7705" s="96" t="str">
        <f t="shared" ref="H7705:H7768" si="504">IF(E7705="","",E7705+0)</f>
        <v/>
      </c>
      <c r="I7705" s="96" t="str">
        <f t="shared" ref="I7705:I7768" si="505">IF(F7705="","",F7705+0)</f>
        <v/>
      </c>
      <c r="J7705" s="91" t="str">
        <f t="shared" ref="J7705:J7768" si="506">IF(OR(H7705="",I7705=""),"",TRIM(CONCATENATE("Sinapi ",A7705)))</f>
        <v/>
      </c>
      <c r="K7705" s="91" t="str">
        <f t="shared" ref="K7705:K7768" si="507">TRIM(C7705)</f>
        <v/>
      </c>
      <c r="L7705" s="166" t="str">
        <f t="shared" si="503"/>
        <v/>
      </c>
    </row>
    <row r="7706" spans="8:12" x14ac:dyDescent="0.25">
      <c r="H7706" s="96" t="str">
        <f t="shared" si="504"/>
        <v/>
      </c>
      <c r="I7706" s="96" t="str">
        <f t="shared" si="505"/>
        <v/>
      </c>
      <c r="J7706" s="91" t="str">
        <f t="shared" si="506"/>
        <v/>
      </c>
      <c r="K7706" s="91" t="str">
        <f t="shared" si="507"/>
        <v/>
      </c>
      <c r="L7706" s="166" t="str">
        <f t="shared" si="503"/>
        <v/>
      </c>
    </row>
    <row r="7707" spans="8:12" x14ac:dyDescent="0.25">
      <c r="H7707" s="96" t="str">
        <f t="shared" si="504"/>
        <v/>
      </c>
      <c r="I7707" s="96" t="str">
        <f t="shared" si="505"/>
        <v/>
      </c>
      <c r="J7707" s="91" t="str">
        <f t="shared" si="506"/>
        <v/>
      </c>
      <c r="K7707" s="91" t="str">
        <f t="shared" si="507"/>
        <v/>
      </c>
      <c r="L7707" s="166" t="str">
        <f t="shared" si="503"/>
        <v/>
      </c>
    </row>
    <row r="7708" spans="8:12" x14ac:dyDescent="0.25">
      <c r="H7708" s="96" t="str">
        <f t="shared" si="504"/>
        <v/>
      </c>
      <c r="I7708" s="96" t="str">
        <f t="shared" si="505"/>
        <v/>
      </c>
      <c r="J7708" s="91" t="str">
        <f t="shared" si="506"/>
        <v/>
      </c>
      <c r="K7708" s="91" t="str">
        <f t="shared" si="507"/>
        <v/>
      </c>
      <c r="L7708" s="166" t="str">
        <f t="shared" si="503"/>
        <v/>
      </c>
    </row>
    <row r="7709" spans="8:12" x14ac:dyDescent="0.25">
      <c r="H7709" s="96" t="str">
        <f t="shared" si="504"/>
        <v/>
      </c>
      <c r="I7709" s="96" t="str">
        <f t="shared" si="505"/>
        <v/>
      </c>
      <c r="J7709" s="91" t="str">
        <f t="shared" si="506"/>
        <v/>
      </c>
      <c r="K7709" s="91" t="str">
        <f t="shared" si="507"/>
        <v/>
      </c>
      <c r="L7709" s="166" t="str">
        <f t="shared" si="503"/>
        <v/>
      </c>
    </row>
    <row r="7710" spans="8:12" x14ac:dyDescent="0.25">
      <c r="H7710" s="96" t="str">
        <f t="shared" si="504"/>
        <v/>
      </c>
      <c r="I7710" s="96" t="str">
        <f t="shared" si="505"/>
        <v/>
      </c>
      <c r="J7710" s="91" t="str">
        <f t="shared" si="506"/>
        <v/>
      </c>
      <c r="K7710" s="91" t="str">
        <f t="shared" si="507"/>
        <v/>
      </c>
      <c r="L7710" s="166" t="str">
        <f t="shared" si="503"/>
        <v/>
      </c>
    </row>
    <row r="7711" spans="8:12" x14ac:dyDescent="0.25">
      <c r="H7711" s="96" t="str">
        <f t="shared" si="504"/>
        <v/>
      </c>
      <c r="I7711" s="96" t="str">
        <f t="shared" si="505"/>
        <v/>
      </c>
      <c r="J7711" s="91" t="str">
        <f t="shared" si="506"/>
        <v/>
      </c>
      <c r="K7711" s="91" t="str">
        <f t="shared" si="507"/>
        <v/>
      </c>
      <c r="L7711" s="166" t="str">
        <f t="shared" si="503"/>
        <v/>
      </c>
    </row>
    <row r="7712" spans="8:12" x14ac:dyDescent="0.25">
      <c r="H7712" s="96" t="str">
        <f t="shared" si="504"/>
        <v/>
      </c>
      <c r="I7712" s="96" t="str">
        <f t="shared" si="505"/>
        <v/>
      </c>
      <c r="J7712" s="91" t="str">
        <f t="shared" si="506"/>
        <v/>
      </c>
      <c r="K7712" s="91" t="str">
        <f t="shared" si="507"/>
        <v/>
      </c>
      <c r="L7712" s="166" t="str">
        <f t="shared" si="503"/>
        <v/>
      </c>
    </row>
    <row r="7713" spans="8:12" x14ac:dyDescent="0.25">
      <c r="H7713" s="96" t="str">
        <f t="shared" si="504"/>
        <v/>
      </c>
      <c r="I7713" s="96" t="str">
        <f t="shared" si="505"/>
        <v/>
      </c>
      <c r="J7713" s="91" t="str">
        <f t="shared" si="506"/>
        <v/>
      </c>
      <c r="K7713" s="91" t="str">
        <f t="shared" si="507"/>
        <v/>
      </c>
      <c r="L7713" s="166" t="str">
        <f t="shared" si="503"/>
        <v/>
      </c>
    </row>
    <row r="7714" spans="8:12" x14ac:dyDescent="0.25">
      <c r="H7714" s="96" t="str">
        <f t="shared" si="504"/>
        <v/>
      </c>
      <c r="I7714" s="96" t="str">
        <f t="shared" si="505"/>
        <v/>
      </c>
      <c r="J7714" s="91" t="str">
        <f t="shared" si="506"/>
        <v/>
      </c>
      <c r="K7714" s="91" t="str">
        <f t="shared" si="507"/>
        <v/>
      </c>
      <c r="L7714" s="166" t="str">
        <f t="shared" si="503"/>
        <v/>
      </c>
    </row>
    <row r="7715" spans="8:12" x14ac:dyDescent="0.25">
      <c r="H7715" s="96" t="str">
        <f t="shared" si="504"/>
        <v/>
      </c>
      <c r="I7715" s="96" t="str">
        <f t="shared" si="505"/>
        <v/>
      </c>
      <c r="J7715" s="91" t="str">
        <f t="shared" si="506"/>
        <v/>
      </c>
      <c r="K7715" s="91" t="str">
        <f t="shared" si="507"/>
        <v/>
      </c>
      <c r="L7715" s="166" t="str">
        <f t="shared" si="503"/>
        <v/>
      </c>
    </row>
    <row r="7716" spans="8:12" x14ac:dyDescent="0.25">
      <c r="H7716" s="96" t="str">
        <f t="shared" si="504"/>
        <v/>
      </c>
      <c r="I7716" s="96" t="str">
        <f t="shared" si="505"/>
        <v/>
      </c>
      <c r="J7716" s="91" t="str">
        <f t="shared" si="506"/>
        <v/>
      </c>
      <c r="K7716" s="91" t="str">
        <f t="shared" si="507"/>
        <v/>
      </c>
      <c r="L7716" s="166" t="str">
        <f t="shared" si="503"/>
        <v/>
      </c>
    </row>
    <row r="7717" spans="8:12" x14ac:dyDescent="0.25">
      <c r="H7717" s="96" t="str">
        <f t="shared" si="504"/>
        <v/>
      </c>
      <c r="I7717" s="96" t="str">
        <f t="shared" si="505"/>
        <v/>
      </c>
      <c r="J7717" s="91" t="str">
        <f t="shared" si="506"/>
        <v/>
      </c>
      <c r="K7717" s="91" t="str">
        <f t="shared" si="507"/>
        <v/>
      </c>
      <c r="L7717" s="166" t="str">
        <f t="shared" si="503"/>
        <v/>
      </c>
    </row>
    <row r="7718" spans="8:12" x14ac:dyDescent="0.25">
      <c r="H7718" s="96" t="str">
        <f t="shared" si="504"/>
        <v/>
      </c>
      <c r="I7718" s="96" t="str">
        <f t="shared" si="505"/>
        <v/>
      </c>
      <c r="J7718" s="91" t="str">
        <f t="shared" si="506"/>
        <v/>
      </c>
      <c r="K7718" s="91" t="str">
        <f t="shared" si="507"/>
        <v/>
      </c>
      <c r="L7718" s="166" t="str">
        <f t="shared" si="503"/>
        <v/>
      </c>
    </row>
    <row r="7719" spans="8:12" x14ac:dyDescent="0.25">
      <c r="H7719" s="96" t="str">
        <f t="shared" si="504"/>
        <v/>
      </c>
      <c r="I7719" s="96" t="str">
        <f t="shared" si="505"/>
        <v/>
      </c>
      <c r="J7719" s="91" t="str">
        <f t="shared" si="506"/>
        <v/>
      </c>
      <c r="K7719" s="91" t="str">
        <f t="shared" si="507"/>
        <v/>
      </c>
      <c r="L7719" s="166" t="str">
        <f t="shared" si="503"/>
        <v/>
      </c>
    </row>
    <row r="7720" spans="8:12" x14ac:dyDescent="0.25">
      <c r="H7720" s="96" t="str">
        <f t="shared" si="504"/>
        <v/>
      </c>
      <c r="I7720" s="96" t="str">
        <f t="shared" si="505"/>
        <v/>
      </c>
      <c r="J7720" s="91" t="str">
        <f t="shared" si="506"/>
        <v/>
      </c>
      <c r="K7720" s="91" t="str">
        <f t="shared" si="507"/>
        <v/>
      </c>
      <c r="L7720" s="166" t="str">
        <f t="shared" si="503"/>
        <v/>
      </c>
    </row>
    <row r="7721" spans="8:12" x14ac:dyDescent="0.25">
      <c r="H7721" s="96" t="str">
        <f t="shared" si="504"/>
        <v/>
      </c>
      <c r="I7721" s="96" t="str">
        <f t="shared" si="505"/>
        <v/>
      </c>
      <c r="J7721" s="91" t="str">
        <f t="shared" si="506"/>
        <v/>
      </c>
      <c r="K7721" s="91" t="str">
        <f t="shared" si="507"/>
        <v/>
      </c>
      <c r="L7721" s="166" t="str">
        <f t="shared" si="503"/>
        <v/>
      </c>
    </row>
    <row r="7722" spans="8:12" x14ac:dyDescent="0.25">
      <c r="H7722" s="96" t="str">
        <f t="shared" si="504"/>
        <v/>
      </c>
      <c r="I7722" s="96" t="str">
        <f t="shared" si="505"/>
        <v/>
      </c>
      <c r="J7722" s="91" t="str">
        <f t="shared" si="506"/>
        <v/>
      </c>
      <c r="K7722" s="91" t="str">
        <f t="shared" si="507"/>
        <v/>
      </c>
      <c r="L7722" s="166" t="str">
        <f t="shared" si="503"/>
        <v/>
      </c>
    </row>
    <row r="7723" spans="8:12" x14ac:dyDescent="0.25">
      <c r="H7723" s="96" t="str">
        <f t="shared" si="504"/>
        <v/>
      </c>
      <c r="I7723" s="96" t="str">
        <f t="shared" si="505"/>
        <v/>
      </c>
      <c r="J7723" s="91" t="str">
        <f t="shared" si="506"/>
        <v/>
      </c>
      <c r="K7723" s="91" t="str">
        <f t="shared" si="507"/>
        <v/>
      </c>
      <c r="L7723" s="166" t="str">
        <f t="shared" si="503"/>
        <v/>
      </c>
    </row>
    <row r="7724" spans="8:12" x14ac:dyDescent="0.25">
      <c r="H7724" s="96" t="str">
        <f t="shared" si="504"/>
        <v/>
      </c>
      <c r="I7724" s="96" t="str">
        <f t="shared" si="505"/>
        <v/>
      </c>
      <c r="J7724" s="91" t="str">
        <f t="shared" si="506"/>
        <v/>
      </c>
      <c r="K7724" s="91" t="str">
        <f t="shared" si="507"/>
        <v/>
      </c>
      <c r="L7724" s="166" t="str">
        <f t="shared" si="503"/>
        <v/>
      </c>
    </row>
    <row r="7725" spans="8:12" x14ac:dyDescent="0.25">
      <c r="H7725" s="96" t="str">
        <f t="shared" si="504"/>
        <v/>
      </c>
      <c r="I7725" s="96" t="str">
        <f t="shared" si="505"/>
        <v/>
      </c>
      <c r="J7725" s="91" t="str">
        <f t="shared" si="506"/>
        <v/>
      </c>
      <c r="K7725" s="91" t="str">
        <f t="shared" si="507"/>
        <v/>
      </c>
      <c r="L7725" s="166" t="str">
        <f t="shared" si="503"/>
        <v/>
      </c>
    </row>
    <row r="7726" spans="8:12" x14ac:dyDescent="0.25">
      <c r="H7726" s="96" t="str">
        <f t="shared" si="504"/>
        <v/>
      </c>
      <c r="I7726" s="96" t="str">
        <f t="shared" si="505"/>
        <v/>
      </c>
      <c r="J7726" s="91" t="str">
        <f t="shared" si="506"/>
        <v/>
      </c>
      <c r="K7726" s="91" t="str">
        <f t="shared" si="507"/>
        <v/>
      </c>
      <c r="L7726" s="166" t="str">
        <f t="shared" si="503"/>
        <v/>
      </c>
    </row>
    <row r="7727" spans="8:12" x14ac:dyDescent="0.25">
      <c r="H7727" s="96" t="str">
        <f t="shared" si="504"/>
        <v/>
      </c>
      <c r="I7727" s="96" t="str">
        <f t="shared" si="505"/>
        <v/>
      </c>
      <c r="J7727" s="91" t="str">
        <f t="shared" si="506"/>
        <v/>
      </c>
      <c r="K7727" s="91" t="str">
        <f t="shared" si="507"/>
        <v/>
      </c>
      <c r="L7727" s="166" t="str">
        <f t="shared" si="503"/>
        <v/>
      </c>
    </row>
    <row r="7728" spans="8:12" x14ac:dyDescent="0.25">
      <c r="H7728" s="96" t="str">
        <f t="shared" si="504"/>
        <v/>
      </c>
      <c r="I7728" s="96" t="str">
        <f t="shared" si="505"/>
        <v/>
      </c>
      <c r="J7728" s="91" t="str">
        <f t="shared" si="506"/>
        <v/>
      </c>
      <c r="K7728" s="91" t="str">
        <f t="shared" si="507"/>
        <v/>
      </c>
      <c r="L7728" s="166" t="str">
        <f t="shared" si="503"/>
        <v/>
      </c>
    </row>
    <row r="7729" spans="8:12" x14ac:dyDescent="0.25">
      <c r="H7729" s="96" t="str">
        <f t="shared" si="504"/>
        <v/>
      </c>
      <c r="I7729" s="96" t="str">
        <f t="shared" si="505"/>
        <v/>
      </c>
      <c r="J7729" s="91" t="str">
        <f t="shared" si="506"/>
        <v/>
      </c>
      <c r="K7729" s="91" t="str">
        <f t="shared" si="507"/>
        <v/>
      </c>
      <c r="L7729" s="166" t="str">
        <f t="shared" si="503"/>
        <v/>
      </c>
    </row>
    <row r="7730" spans="8:12" x14ac:dyDescent="0.25">
      <c r="H7730" s="96" t="str">
        <f t="shared" si="504"/>
        <v/>
      </c>
      <c r="I7730" s="96" t="str">
        <f t="shared" si="505"/>
        <v/>
      </c>
      <c r="J7730" s="91" t="str">
        <f t="shared" si="506"/>
        <v/>
      </c>
      <c r="K7730" s="91" t="str">
        <f t="shared" si="507"/>
        <v/>
      </c>
      <c r="L7730" s="166" t="str">
        <f t="shared" si="503"/>
        <v/>
      </c>
    </row>
    <row r="7731" spans="8:12" x14ac:dyDescent="0.25">
      <c r="H7731" s="96" t="str">
        <f t="shared" si="504"/>
        <v/>
      </c>
      <c r="I7731" s="96" t="str">
        <f t="shared" si="505"/>
        <v/>
      </c>
      <c r="J7731" s="91" t="str">
        <f t="shared" si="506"/>
        <v/>
      </c>
      <c r="K7731" s="91" t="str">
        <f t="shared" si="507"/>
        <v/>
      </c>
      <c r="L7731" s="166" t="str">
        <f t="shared" si="503"/>
        <v/>
      </c>
    </row>
    <row r="7732" spans="8:12" x14ac:dyDescent="0.25">
      <c r="H7732" s="96" t="str">
        <f t="shared" si="504"/>
        <v/>
      </c>
      <c r="I7732" s="96" t="str">
        <f t="shared" si="505"/>
        <v/>
      </c>
      <c r="J7732" s="91" t="str">
        <f t="shared" si="506"/>
        <v/>
      </c>
      <c r="K7732" s="91" t="str">
        <f t="shared" si="507"/>
        <v/>
      </c>
      <c r="L7732" s="166" t="str">
        <f t="shared" si="503"/>
        <v/>
      </c>
    </row>
    <row r="7733" spans="8:12" x14ac:dyDescent="0.25">
      <c r="H7733" s="96" t="str">
        <f t="shared" si="504"/>
        <v/>
      </c>
      <c r="I7733" s="96" t="str">
        <f t="shared" si="505"/>
        <v/>
      </c>
      <c r="J7733" s="91" t="str">
        <f t="shared" si="506"/>
        <v/>
      </c>
      <c r="K7733" s="91" t="str">
        <f t="shared" si="507"/>
        <v/>
      </c>
      <c r="L7733" s="166" t="str">
        <f t="shared" si="503"/>
        <v/>
      </c>
    </row>
    <row r="7734" spans="8:12" x14ac:dyDescent="0.25">
      <c r="H7734" s="96" t="str">
        <f t="shared" si="504"/>
        <v/>
      </c>
      <c r="I7734" s="96" t="str">
        <f t="shared" si="505"/>
        <v/>
      </c>
      <c r="J7734" s="91" t="str">
        <f t="shared" si="506"/>
        <v/>
      </c>
      <c r="K7734" s="91" t="str">
        <f t="shared" si="507"/>
        <v/>
      </c>
      <c r="L7734" s="166" t="str">
        <f t="shared" si="503"/>
        <v/>
      </c>
    </row>
    <row r="7735" spans="8:12" x14ac:dyDescent="0.25">
      <c r="H7735" s="96" t="str">
        <f t="shared" si="504"/>
        <v/>
      </c>
      <c r="I7735" s="96" t="str">
        <f t="shared" si="505"/>
        <v/>
      </c>
      <c r="J7735" s="91" t="str">
        <f t="shared" si="506"/>
        <v/>
      </c>
      <c r="K7735" s="91" t="str">
        <f t="shared" si="507"/>
        <v/>
      </c>
      <c r="L7735" s="166" t="str">
        <f t="shared" si="503"/>
        <v/>
      </c>
    </row>
    <row r="7736" spans="8:12" x14ac:dyDescent="0.25">
      <c r="H7736" s="96" t="str">
        <f t="shared" si="504"/>
        <v/>
      </c>
      <c r="I7736" s="96" t="str">
        <f t="shared" si="505"/>
        <v/>
      </c>
      <c r="J7736" s="91" t="str">
        <f t="shared" si="506"/>
        <v/>
      </c>
      <c r="K7736" s="91" t="str">
        <f t="shared" si="507"/>
        <v/>
      </c>
      <c r="L7736" s="166" t="str">
        <f t="shared" si="503"/>
        <v/>
      </c>
    </row>
    <row r="7737" spans="8:12" x14ac:dyDescent="0.25">
      <c r="H7737" s="96" t="str">
        <f t="shared" si="504"/>
        <v/>
      </c>
      <c r="I7737" s="96" t="str">
        <f t="shared" si="505"/>
        <v/>
      </c>
      <c r="J7737" s="91" t="str">
        <f t="shared" si="506"/>
        <v/>
      </c>
      <c r="K7737" s="91" t="str">
        <f t="shared" si="507"/>
        <v/>
      </c>
      <c r="L7737" s="166" t="str">
        <f t="shared" si="503"/>
        <v/>
      </c>
    </row>
    <row r="7738" spans="8:12" x14ac:dyDescent="0.25">
      <c r="H7738" s="96" t="str">
        <f t="shared" si="504"/>
        <v/>
      </c>
      <c r="I7738" s="96" t="str">
        <f t="shared" si="505"/>
        <v/>
      </c>
      <c r="J7738" s="91" t="str">
        <f t="shared" si="506"/>
        <v/>
      </c>
      <c r="K7738" s="91" t="str">
        <f t="shared" si="507"/>
        <v/>
      </c>
      <c r="L7738" s="166" t="str">
        <f t="shared" si="503"/>
        <v/>
      </c>
    </row>
    <row r="7739" spans="8:12" x14ac:dyDescent="0.25">
      <c r="H7739" s="96" t="str">
        <f t="shared" si="504"/>
        <v/>
      </c>
      <c r="I7739" s="96" t="str">
        <f t="shared" si="505"/>
        <v/>
      </c>
      <c r="J7739" s="91" t="str">
        <f t="shared" si="506"/>
        <v/>
      </c>
      <c r="K7739" s="91" t="str">
        <f t="shared" si="507"/>
        <v/>
      </c>
      <c r="L7739" s="166" t="str">
        <f t="shared" si="503"/>
        <v/>
      </c>
    </row>
    <row r="7740" spans="8:12" x14ac:dyDescent="0.25">
      <c r="H7740" s="96" t="str">
        <f t="shared" si="504"/>
        <v/>
      </c>
      <c r="I7740" s="96" t="str">
        <f t="shared" si="505"/>
        <v/>
      </c>
      <c r="J7740" s="91" t="str">
        <f t="shared" si="506"/>
        <v/>
      </c>
      <c r="K7740" s="91" t="str">
        <f t="shared" si="507"/>
        <v/>
      </c>
      <c r="L7740" s="166" t="str">
        <f t="shared" si="503"/>
        <v/>
      </c>
    </row>
    <row r="7741" spans="8:12" x14ac:dyDescent="0.25">
      <c r="H7741" s="96" t="str">
        <f t="shared" si="504"/>
        <v/>
      </c>
      <c r="I7741" s="96" t="str">
        <f t="shared" si="505"/>
        <v/>
      </c>
      <c r="J7741" s="91" t="str">
        <f t="shared" si="506"/>
        <v/>
      </c>
      <c r="K7741" s="91" t="str">
        <f t="shared" si="507"/>
        <v/>
      </c>
      <c r="L7741" s="166" t="str">
        <f t="shared" si="503"/>
        <v/>
      </c>
    </row>
    <row r="7742" spans="8:12" x14ac:dyDescent="0.25">
      <c r="H7742" s="96" t="str">
        <f t="shared" si="504"/>
        <v/>
      </c>
      <c r="I7742" s="96" t="str">
        <f t="shared" si="505"/>
        <v/>
      </c>
      <c r="J7742" s="91" t="str">
        <f t="shared" si="506"/>
        <v/>
      </c>
      <c r="K7742" s="91" t="str">
        <f t="shared" si="507"/>
        <v/>
      </c>
      <c r="L7742" s="166" t="str">
        <f t="shared" si="503"/>
        <v/>
      </c>
    </row>
    <row r="7743" spans="8:12" x14ac:dyDescent="0.25">
      <c r="H7743" s="96" t="str">
        <f t="shared" si="504"/>
        <v/>
      </c>
      <c r="I7743" s="96" t="str">
        <f t="shared" si="505"/>
        <v/>
      </c>
      <c r="J7743" s="91" t="str">
        <f t="shared" si="506"/>
        <v/>
      </c>
      <c r="K7743" s="91" t="str">
        <f t="shared" si="507"/>
        <v/>
      </c>
      <c r="L7743" s="166" t="str">
        <f t="shared" si="503"/>
        <v/>
      </c>
    </row>
    <row r="7744" spans="8:12" x14ac:dyDescent="0.25">
      <c r="H7744" s="96" t="str">
        <f t="shared" si="504"/>
        <v/>
      </c>
      <c r="I7744" s="96" t="str">
        <f t="shared" si="505"/>
        <v/>
      </c>
      <c r="J7744" s="91" t="str">
        <f t="shared" si="506"/>
        <v/>
      </c>
      <c r="K7744" s="91" t="str">
        <f t="shared" si="507"/>
        <v/>
      </c>
      <c r="L7744" s="166" t="str">
        <f t="shared" si="503"/>
        <v/>
      </c>
    </row>
    <row r="7745" spans="8:12" x14ac:dyDescent="0.25">
      <c r="H7745" s="96" t="str">
        <f t="shared" si="504"/>
        <v/>
      </c>
      <c r="I7745" s="96" t="str">
        <f t="shared" si="505"/>
        <v/>
      </c>
      <c r="J7745" s="91" t="str">
        <f t="shared" si="506"/>
        <v/>
      </c>
      <c r="K7745" s="91" t="str">
        <f t="shared" si="507"/>
        <v/>
      </c>
      <c r="L7745" s="166" t="str">
        <f t="shared" si="503"/>
        <v/>
      </c>
    </row>
    <row r="7746" spans="8:12" x14ac:dyDescent="0.25">
      <c r="H7746" s="96" t="str">
        <f t="shared" si="504"/>
        <v/>
      </c>
      <c r="I7746" s="96" t="str">
        <f t="shared" si="505"/>
        <v/>
      </c>
      <c r="J7746" s="91" t="str">
        <f t="shared" si="506"/>
        <v/>
      </c>
      <c r="K7746" s="91" t="str">
        <f t="shared" si="507"/>
        <v/>
      </c>
      <c r="L7746" s="166" t="str">
        <f t="shared" si="503"/>
        <v/>
      </c>
    </row>
    <row r="7747" spans="8:12" x14ac:dyDescent="0.25">
      <c r="H7747" s="96" t="str">
        <f t="shared" si="504"/>
        <v/>
      </c>
      <c r="I7747" s="96" t="str">
        <f t="shared" si="505"/>
        <v/>
      </c>
      <c r="J7747" s="91" t="str">
        <f t="shared" si="506"/>
        <v/>
      </c>
      <c r="K7747" s="91" t="str">
        <f t="shared" si="507"/>
        <v/>
      </c>
      <c r="L7747" s="166" t="str">
        <f t="shared" si="503"/>
        <v/>
      </c>
    </row>
    <row r="7748" spans="8:12" x14ac:dyDescent="0.25">
      <c r="H7748" s="96" t="str">
        <f t="shared" si="504"/>
        <v/>
      </c>
      <c r="I7748" s="96" t="str">
        <f t="shared" si="505"/>
        <v/>
      </c>
      <c r="J7748" s="91" t="str">
        <f t="shared" si="506"/>
        <v/>
      </c>
      <c r="K7748" s="91" t="str">
        <f t="shared" si="507"/>
        <v/>
      </c>
      <c r="L7748" s="166" t="str">
        <f t="shared" si="503"/>
        <v/>
      </c>
    </row>
    <row r="7749" spans="8:12" x14ac:dyDescent="0.25">
      <c r="H7749" s="96" t="str">
        <f t="shared" si="504"/>
        <v/>
      </c>
      <c r="I7749" s="96" t="str">
        <f t="shared" si="505"/>
        <v/>
      </c>
      <c r="J7749" s="91" t="str">
        <f t="shared" si="506"/>
        <v/>
      </c>
      <c r="K7749" s="91" t="str">
        <f t="shared" si="507"/>
        <v/>
      </c>
      <c r="L7749" s="166" t="str">
        <f t="shared" si="503"/>
        <v/>
      </c>
    </row>
    <row r="7750" spans="8:12" x14ac:dyDescent="0.25">
      <c r="H7750" s="96" t="str">
        <f t="shared" si="504"/>
        <v/>
      </c>
      <c r="I7750" s="96" t="str">
        <f t="shared" si="505"/>
        <v/>
      </c>
      <c r="J7750" s="91" t="str">
        <f t="shared" si="506"/>
        <v/>
      </c>
      <c r="K7750" s="91" t="str">
        <f t="shared" si="507"/>
        <v/>
      </c>
      <c r="L7750" s="166" t="str">
        <f t="shared" si="503"/>
        <v/>
      </c>
    </row>
    <row r="7751" spans="8:12" x14ac:dyDescent="0.25">
      <c r="H7751" s="96" t="str">
        <f t="shared" si="504"/>
        <v/>
      </c>
      <c r="I7751" s="96" t="str">
        <f t="shared" si="505"/>
        <v/>
      </c>
      <c r="J7751" s="91" t="str">
        <f t="shared" si="506"/>
        <v/>
      </c>
      <c r="K7751" s="91" t="str">
        <f t="shared" si="507"/>
        <v/>
      </c>
      <c r="L7751" s="166" t="str">
        <f t="shared" si="503"/>
        <v/>
      </c>
    </row>
    <row r="7752" spans="8:12" x14ac:dyDescent="0.25">
      <c r="H7752" s="96" t="str">
        <f t="shared" si="504"/>
        <v/>
      </c>
      <c r="I7752" s="96" t="str">
        <f t="shared" si="505"/>
        <v/>
      </c>
      <c r="J7752" s="91" t="str">
        <f t="shared" si="506"/>
        <v/>
      </c>
      <c r="K7752" s="91" t="str">
        <f t="shared" si="507"/>
        <v/>
      </c>
      <c r="L7752" s="166" t="str">
        <f t="shared" ref="L7752:L7815" si="508">IF(OR(RIGHT(IF(AND(K7752&lt;&gt;"H",K7752&lt;&gt;"MES"),RIGHT(B7752,7),""),2)="PS",RIGHT(IF(AND(K7752&lt;&gt;"H",K7752&lt;&gt;"MES"),RIGHT(B7752,7),""),2)="PA",RIGHT(IF(AND(K7752&lt;&gt;"H",K7752&lt;&gt;"MES"),RIGHT(B7752,7),""),2)="PE"),LEFT(IF(AND(K7752&lt;&gt;"H",K7752&lt;&gt;"MES"),RIGHT(B7752,10),""),7),IF(AND(K7752&lt;&gt;"H",K7752&lt;&gt;"MES"),RIGHT(B7752,7),""))</f>
        <v/>
      </c>
    </row>
    <row r="7753" spans="8:12" x14ac:dyDescent="0.25">
      <c r="H7753" s="96" t="str">
        <f t="shared" si="504"/>
        <v/>
      </c>
      <c r="I7753" s="96" t="str">
        <f t="shared" si="505"/>
        <v/>
      </c>
      <c r="J7753" s="91" t="str">
        <f t="shared" si="506"/>
        <v/>
      </c>
      <c r="K7753" s="91" t="str">
        <f t="shared" si="507"/>
        <v/>
      </c>
      <c r="L7753" s="166" t="str">
        <f t="shared" si="508"/>
        <v/>
      </c>
    </row>
    <row r="7754" spans="8:12" x14ac:dyDescent="0.25">
      <c r="H7754" s="96" t="str">
        <f t="shared" si="504"/>
        <v/>
      </c>
      <c r="I7754" s="96" t="str">
        <f t="shared" si="505"/>
        <v/>
      </c>
      <c r="J7754" s="91" t="str">
        <f t="shared" si="506"/>
        <v/>
      </c>
      <c r="K7754" s="91" t="str">
        <f t="shared" si="507"/>
        <v/>
      </c>
      <c r="L7754" s="166" t="str">
        <f t="shared" si="508"/>
        <v/>
      </c>
    </row>
    <row r="7755" spans="8:12" x14ac:dyDescent="0.25">
      <c r="H7755" s="96" t="str">
        <f t="shared" si="504"/>
        <v/>
      </c>
      <c r="I7755" s="96" t="str">
        <f t="shared" si="505"/>
        <v/>
      </c>
      <c r="J7755" s="91" t="str">
        <f t="shared" si="506"/>
        <v/>
      </c>
      <c r="K7755" s="91" t="str">
        <f t="shared" si="507"/>
        <v/>
      </c>
      <c r="L7755" s="166" t="str">
        <f t="shared" si="508"/>
        <v/>
      </c>
    </row>
    <row r="7756" spans="8:12" x14ac:dyDescent="0.25">
      <c r="H7756" s="96" t="str">
        <f t="shared" si="504"/>
        <v/>
      </c>
      <c r="I7756" s="96" t="str">
        <f t="shared" si="505"/>
        <v/>
      </c>
      <c r="J7756" s="91" t="str">
        <f t="shared" si="506"/>
        <v/>
      </c>
      <c r="K7756" s="91" t="str">
        <f t="shared" si="507"/>
        <v/>
      </c>
      <c r="L7756" s="166" t="str">
        <f t="shared" si="508"/>
        <v/>
      </c>
    </row>
    <row r="7757" spans="8:12" x14ac:dyDescent="0.25">
      <c r="H7757" s="96" t="str">
        <f t="shared" si="504"/>
        <v/>
      </c>
      <c r="I7757" s="96" t="str">
        <f t="shared" si="505"/>
        <v/>
      </c>
      <c r="J7757" s="91" t="str">
        <f t="shared" si="506"/>
        <v/>
      </c>
      <c r="K7757" s="91" t="str">
        <f t="shared" si="507"/>
        <v/>
      </c>
      <c r="L7757" s="166" t="str">
        <f t="shared" si="508"/>
        <v/>
      </c>
    </row>
    <row r="7758" spans="8:12" x14ac:dyDescent="0.25">
      <c r="H7758" s="96" t="str">
        <f t="shared" si="504"/>
        <v/>
      </c>
      <c r="I7758" s="96" t="str">
        <f t="shared" si="505"/>
        <v/>
      </c>
      <c r="J7758" s="91" t="str">
        <f t="shared" si="506"/>
        <v/>
      </c>
      <c r="K7758" s="91" t="str">
        <f t="shared" si="507"/>
        <v/>
      </c>
      <c r="L7758" s="166" t="str">
        <f t="shared" si="508"/>
        <v/>
      </c>
    </row>
    <row r="7759" spans="8:12" x14ac:dyDescent="0.25">
      <c r="H7759" s="96" t="str">
        <f t="shared" si="504"/>
        <v/>
      </c>
      <c r="I7759" s="96" t="str">
        <f t="shared" si="505"/>
        <v/>
      </c>
      <c r="J7759" s="91" t="str">
        <f t="shared" si="506"/>
        <v/>
      </c>
      <c r="K7759" s="91" t="str">
        <f t="shared" si="507"/>
        <v/>
      </c>
      <c r="L7759" s="166" t="str">
        <f t="shared" si="508"/>
        <v/>
      </c>
    </row>
    <row r="7760" spans="8:12" x14ac:dyDescent="0.25">
      <c r="H7760" s="96" t="str">
        <f t="shared" si="504"/>
        <v/>
      </c>
      <c r="I7760" s="96" t="str">
        <f t="shared" si="505"/>
        <v/>
      </c>
      <c r="J7760" s="91" t="str">
        <f t="shared" si="506"/>
        <v/>
      </c>
      <c r="K7760" s="91" t="str">
        <f t="shared" si="507"/>
        <v/>
      </c>
      <c r="L7760" s="166" t="str">
        <f t="shared" si="508"/>
        <v/>
      </c>
    </row>
    <row r="7761" spans="8:12" x14ac:dyDescent="0.25">
      <c r="H7761" s="96" t="str">
        <f t="shared" si="504"/>
        <v/>
      </c>
      <c r="I7761" s="96" t="str">
        <f t="shared" si="505"/>
        <v/>
      </c>
      <c r="J7761" s="91" t="str">
        <f t="shared" si="506"/>
        <v/>
      </c>
      <c r="K7761" s="91" t="str">
        <f t="shared" si="507"/>
        <v/>
      </c>
      <c r="L7761" s="166" t="str">
        <f t="shared" si="508"/>
        <v/>
      </c>
    </row>
    <row r="7762" spans="8:12" x14ac:dyDescent="0.25">
      <c r="H7762" s="96" t="str">
        <f t="shared" si="504"/>
        <v/>
      </c>
      <c r="I7762" s="96" t="str">
        <f t="shared" si="505"/>
        <v/>
      </c>
      <c r="J7762" s="91" t="str">
        <f t="shared" si="506"/>
        <v/>
      </c>
      <c r="K7762" s="91" t="str">
        <f t="shared" si="507"/>
        <v/>
      </c>
      <c r="L7762" s="166" t="str">
        <f t="shared" si="508"/>
        <v/>
      </c>
    </row>
    <row r="7763" spans="8:12" x14ac:dyDescent="0.25">
      <c r="H7763" s="96" t="str">
        <f t="shared" si="504"/>
        <v/>
      </c>
      <c r="I7763" s="96" t="str">
        <f t="shared" si="505"/>
        <v/>
      </c>
      <c r="J7763" s="91" t="str">
        <f t="shared" si="506"/>
        <v/>
      </c>
      <c r="K7763" s="91" t="str">
        <f t="shared" si="507"/>
        <v/>
      </c>
      <c r="L7763" s="166" t="str">
        <f t="shared" si="508"/>
        <v/>
      </c>
    </row>
    <row r="7764" spans="8:12" x14ac:dyDescent="0.25">
      <c r="H7764" s="96" t="str">
        <f t="shared" si="504"/>
        <v/>
      </c>
      <c r="I7764" s="96" t="str">
        <f t="shared" si="505"/>
        <v/>
      </c>
      <c r="J7764" s="91" t="str">
        <f t="shared" si="506"/>
        <v/>
      </c>
      <c r="K7764" s="91" t="str">
        <f t="shared" si="507"/>
        <v/>
      </c>
      <c r="L7764" s="166" t="str">
        <f t="shared" si="508"/>
        <v/>
      </c>
    </row>
    <row r="7765" spans="8:12" x14ac:dyDescent="0.25">
      <c r="H7765" s="96" t="str">
        <f t="shared" si="504"/>
        <v/>
      </c>
      <c r="I7765" s="96" t="str">
        <f t="shared" si="505"/>
        <v/>
      </c>
      <c r="J7765" s="91" t="str">
        <f t="shared" si="506"/>
        <v/>
      </c>
      <c r="K7765" s="91" t="str">
        <f t="shared" si="507"/>
        <v/>
      </c>
      <c r="L7765" s="166" t="str">
        <f t="shared" si="508"/>
        <v/>
      </c>
    </row>
    <row r="7766" spans="8:12" x14ac:dyDescent="0.25">
      <c r="H7766" s="96" t="str">
        <f t="shared" si="504"/>
        <v/>
      </c>
      <c r="I7766" s="96" t="str">
        <f t="shared" si="505"/>
        <v/>
      </c>
      <c r="J7766" s="91" t="str">
        <f t="shared" si="506"/>
        <v/>
      </c>
      <c r="K7766" s="91" t="str">
        <f t="shared" si="507"/>
        <v/>
      </c>
      <c r="L7766" s="166" t="str">
        <f t="shared" si="508"/>
        <v/>
      </c>
    </row>
    <row r="7767" spans="8:12" x14ac:dyDescent="0.25">
      <c r="H7767" s="96" t="str">
        <f t="shared" si="504"/>
        <v/>
      </c>
      <c r="I7767" s="96" t="str">
        <f t="shared" si="505"/>
        <v/>
      </c>
      <c r="J7767" s="91" t="str">
        <f t="shared" si="506"/>
        <v/>
      </c>
      <c r="K7767" s="91" t="str">
        <f t="shared" si="507"/>
        <v/>
      </c>
      <c r="L7767" s="166" t="str">
        <f t="shared" si="508"/>
        <v/>
      </c>
    </row>
    <row r="7768" spans="8:12" x14ac:dyDescent="0.25">
      <c r="H7768" s="96" t="str">
        <f t="shared" si="504"/>
        <v/>
      </c>
      <c r="I7768" s="96" t="str">
        <f t="shared" si="505"/>
        <v/>
      </c>
      <c r="J7768" s="91" t="str">
        <f t="shared" si="506"/>
        <v/>
      </c>
      <c r="K7768" s="91" t="str">
        <f t="shared" si="507"/>
        <v/>
      </c>
      <c r="L7768" s="166" t="str">
        <f t="shared" si="508"/>
        <v/>
      </c>
    </row>
    <row r="7769" spans="8:12" x14ac:dyDescent="0.25">
      <c r="H7769" s="96" t="str">
        <f t="shared" ref="H7769:H7832" si="509">IF(E7769="","",E7769+0)</f>
        <v/>
      </c>
      <c r="I7769" s="96" t="str">
        <f t="shared" ref="I7769:I7832" si="510">IF(F7769="","",F7769+0)</f>
        <v/>
      </c>
      <c r="J7769" s="91" t="str">
        <f t="shared" ref="J7769:J7832" si="511">IF(OR(H7769="",I7769=""),"",TRIM(CONCATENATE("Sinapi ",A7769)))</f>
        <v/>
      </c>
      <c r="K7769" s="91" t="str">
        <f t="shared" ref="K7769:K7832" si="512">TRIM(C7769)</f>
        <v/>
      </c>
      <c r="L7769" s="166" t="str">
        <f t="shared" si="508"/>
        <v/>
      </c>
    </row>
    <row r="7770" spans="8:12" x14ac:dyDescent="0.25">
      <c r="H7770" s="96" t="str">
        <f t="shared" si="509"/>
        <v/>
      </c>
      <c r="I7770" s="96" t="str">
        <f t="shared" si="510"/>
        <v/>
      </c>
      <c r="J7770" s="91" t="str">
        <f t="shared" si="511"/>
        <v/>
      </c>
      <c r="K7770" s="91" t="str">
        <f t="shared" si="512"/>
        <v/>
      </c>
      <c r="L7770" s="166" t="str">
        <f t="shared" si="508"/>
        <v/>
      </c>
    </row>
    <row r="7771" spans="8:12" x14ac:dyDescent="0.25">
      <c r="H7771" s="96" t="str">
        <f t="shared" si="509"/>
        <v/>
      </c>
      <c r="I7771" s="96" t="str">
        <f t="shared" si="510"/>
        <v/>
      </c>
      <c r="J7771" s="91" t="str">
        <f t="shared" si="511"/>
        <v/>
      </c>
      <c r="K7771" s="91" t="str">
        <f t="shared" si="512"/>
        <v/>
      </c>
      <c r="L7771" s="166" t="str">
        <f t="shared" si="508"/>
        <v/>
      </c>
    </row>
    <row r="7772" spans="8:12" x14ac:dyDescent="0.25">
      <c r="H7772" s="96" t="str">
        <f t="shared" si="509"/>
        <v/>
      </c>
      <c r="I7772" s="96" t="str">
        <f t="shared" si="510"/>
        <v/>
      </c>
      <c r="J7772" s="91" t="str">
        <f t="shared" si="511"/>
        <v/>
      </c>
      <c r="K7772" s="91" t="str">
        <f t="shared" si="512"/>
        <v/>
      </c>
      <c r="L7772" s="166" t="str">
        <f t="shared" si="508"/>
        <v/>
      </c>
    </row>
    <row r="7773" spans="8:12" x14ac:dyDescent="0.25">
      <c r="H7773" s="96" t="str">
        <f t="shared" si="509"/>
        <v/>
      </c>
      <c r="I7773" s="96" t="str">
        <f t="shared" si="510"/>
        <v/>
      </c>
      <c r="J7773" s="91" t="str">
        <f t="shared" si="511"/>
        <v/>
      </c>
      <c r="K7773" s="91" t="str">
        <f t="shared" si="512"/>
        <v/>
      </c>
      <c r="L7773" s="166" t="str">
        <f t="shared" si="508"/>
        <v/>
      </c>
    </row>
    <row r="7774" spans="8:12" x14ac:dyDescent="0.25">
      <c r="H7774" s="96" t="str">
        <f t="shared" si="509"/>
        <v/>
      </c>
      <c r="I7774" s="96" t="str">
        <f t="shared" si="510"/>
        <v/>
      </c>
      <c r="J7774" s="91" t="str">
        <f t="shared" si="511"/>
        <v/>
      </c>
      <c r="K7774" s="91" t="str">
        <f t="shared" si="512"/>
        <v/>
      </c>
      <c r="L7774" s="166" t="str">
        <f t="shared" si="508"/>
        <v/>
      </c>
    </row>
    <row r="7775" spans="8:12" x14ac:dyDescent="0.25">
      <c r="H7775" s="96" t="str">
        <f t="shared" si="509"/>
        <v/>
      </c>
      <c r="I7775" s="96" t="str">
        <f t="shared" si="510"/>
        <v/>
      </c>
      <c r="J7775" s="91" t="str">
        <f t="shared" si="511"/>
        <v/>
      </c>
      <c r="K7775" s="91" t="str">
        <f t="shared" si="512"/>
        <v/>
      </c>
      <c r="L7775" s="166" t="str">
        <f t="shared" si="508"/>
        <v/>
      </c>
    </row>
    <row r="7776" spans="8:12" x14ac:dyDescent="0.25">
      <c r="H7776" s="96" t="str">
        <f t="shared" si="509"/>
        <v/>
      </c>
      <c r="I7776" s="96" t="str">
        <f t="shared" si="510"/>
        <v/>
      </c>
      <c r="J7776" s="91" t="str">
        <f t="shared" si="511"/>
        <v/>
      </c>
      <c r="K7776" s="91" t="str">
        <f t="shared" si="512"/>
        <v/>
      </c>
      <c r="L7776" s="166" t="str">
        <f t="shared" si="508"/>
        <v/>
      </c>
    </row>
    <row r="7777" spans="8:12" x14ac:dyDescent="0.25">
      <c r="H7777" s="96" t="str">
        <f t="shared" si="509"/>
        <v/>
      </c>
      <c r="I7777" s="96" t="str">
        <f t="shared" si="510"/>
        <v/>
      </c>
      <c r="J7777" s="91" t="str">
        <f t="shared" si="511"/>
        <v/>
      </c>
      <c r="K7777" s="91" t="str">
        <f t="shared" si="512"/>
        <v/>
      </c>
      <c r="L7777" s="166" t="str">
        <f t="shared" si="508"/>
        <v/>
      </c>
    </row>
    <row r="7778" spans="8:12" x14ac:dyDescent="0.25">
      <c r="H7778" s="96" t="str">
        <f t="shared" si="509"/>
        <v/>
      </c>
      <c r="I7778" s="96" t="str">
        <f t="shared" si="510"/>
        <v/>
      </c>
      <c r="J7778" s="91" t="str">
        <f t="shared" si="511"/>
        <v/>
      </c>
      <c r="K7778" s="91" t="str">
        <f t="shared" si="512"/>
        <v/>
      </c>
      <c r="L7778" s="166" t="str">
        <f t="shared" si="508"/>
        <v/>
      </c>
    </row>
    <row r="7779" spans="8:12" x14ac:dyDescent="0.25">
      <c r="H7779" s="96" t="str">
        <f t="shared" si="509"/>
        <v/>
      </c>
      <c r="I7779" s="96" t="str">
        <f t="shared" si="510"/>
        <v/>
      </c>
      <c r="J7779" s="91" t="str">
        <f t="shared" si="511"/>
        <v/>
      </c>
      <c r="K7779" s="91" t="str">
        <f t="shared" si="512"/>
        <v/>
      </c>
      <c r="L7779" s="166" t="str">
        <f t="shared" si="508"/>
        <v/>
      </c>
    </row>
    <row r="7780" spans="8:12" x14ac:dyDescent="0.25">
      <c r="H7780" s="96" t="str">
        <f t="shared" si="509"/>
        <v/>
      </c>
      <c r="I7780" s="96" t="str">
        <f t="shared" si="510"/>
        <v/>
      </c>
      <c r="J7780" s="91" t="str">
        <f t="shared" si="511"/>
        <v/>
      </c>
      <c r="K7780" s="91" t="str">
        <f t="shared" si="512"/>
        <v/>
      </c>
      <c r="L7780" s="166" t="str">
        <f t="shared" si="508"/>
        <v/>
      </c>
    </row>
    <row r="7781" spans="8:12" x14ac:dyDescent="0.25">
      <c r="H7781" s="96" t="str">
        <f t="shared" si="509"/>
        <v/>
      </c>
      <c r="I7781" s="96" t="str">
        <f t="shared" si="510"/>
        <v/>
      </c>
      <c r="J7781" s="91" t="str">
        <f t="shared" si="511"/>
        <v/>
      </c>
      <c r="K7781" s="91" t="str">
        <f t="shared" si="512"/>
        <v/>
      </c>
      <c r="L7781" s="166" t="str">
        <f t="shared" si="508"/>
        <v/>
      </c>
    </row>
    <row r="7782" spans="8:12" x14ac:dyDescent="0.25">
      <c r="H7782" s="96" t="str">
        <f t="shared" si="509"/>
        <v/>
      </c>
      <c r="I7782" s="96" t="str">
        <f t="shared" si="510"/>
        <v/>
      </c>
      <c r="J7782" s="91" t="str">
        <f t="shared" si="511"/>
        <v/>
      </c>
      <c r="K7782" s="91" t="str">
        <f t="shared" si="512"/>
        <v/>
      </c>
      <c r="L7782" s="166" t="str">
        <f t="shared" si="508"/>
        <v/>
      </c>
    </row>
    <row r="7783" spans="8:12" x14ac:dyDescent="0.25">
      <c r="H7783" s="96" t="str">
        <f t="shared" si="509"/>
        <v/>
      </c>
      <c r="I7783" s="96" t="str">
        <f t="shared" si="510"/>
        <v/>
      </c>
      <c r="J7783" s="91" t="str">
        <f t="shared" si="511"/>
        <v/>
      </c>
      <c r="K7783" s="91" t="str">
        <f t="shared" si="512"/>
        <v/>
      </c>
      <c r="L7783" s="166" t="str">
        <f t="shared" si="508"/>
        <v/>
      </c>
    </row>
    <row r="7784" spans="8:12" x14ac:dyDescent="0.25">
      <c r="H7784" s="96" t="str">
        <f t="shared" si="509"/>
        <v/>
      </c>
      <c r="I7784" s="96" t="str">
        <f t="shared" si="510"/>
        <v/>
      </c>
      <c r="J7784" s="91" t="str">
        <f t="shared" si="511"/>
        <v/>
      </c>
      <c r="K7784" s="91" t="str">
        <f t="shared" si="512"/>
        <v/>
      </c>
      <c r="L7784" s="166" t="str">
        <f t="shared" si="508"/>
        <v/>
      </c>
    </row>
    <row r="7785" spans="8:12" x14ac:dyDescent="0.25">
      <c r="H7785" s="96" t="str">
        <f t="shared" si="509"/>
        <v/>
      </c>
      <c r="I7785" s="96" t="str">
        <f t="shared" si="510"/>
        <v/>
      </c>
      <c r="J7785" s="91" t="str">
        <f t="shared" si="511"/>
        <v/>
      </c>
      <c r="K7785" s="91" t="str">
        <f t="shared" si="512"/>
        <v/>
      </c>
      <c r="L7785" s="166" t="str">
        <f t="shared" si="508"/>
        <v/>
      </c>
    </row>
    <row r="7786" spans="8:12" x14ac:dyDescent="0.25">
      <c r="H7786" s="96" t="str">
        <f t="shared" si="509"/>
        <v/>
      </c>
      <c r="I7786" s="96" t="str">
        <f t="shared" si="510"/>
        <v/>
      </c>
      <c r="J7786" s="91" t="str">
        <f t="shared" si="511"/>
        <v/>
      </c>
      <c r="K7786" s="91" t="str">
        <f t="shared" si="512"/>
        <v/>
      </c>
      <c r="L7786" s="166" t="str">
        <f t="shared" si="508"/>
        <v/>
      </c>
    </row>
    <row r="7787" spans="8:12" x14ac:dyDescent="0.25">
      <c r="H7787" s="96" t="str">
        <f t="shared" si="509"/>
        <v/>
      </c>
      <c r="I7787" s="96" t="str">
        <f t="shared" si="510"/>
        <v/>
      </c>
      <c r="J7787" s="91" t="str">
        <f t="shared" si="511"/>
        <v/>
      </c>
      <c r="K7787" s="91" t="str">
        <f t="shared" si="512"/>
        <v/>
      </c>
      <c r="L7787" s="166" t="str">
        <f t="shared" si="508"/>
        <v/>
      </c>
    </row>
    <row r="7788" spans="8:12" x14ac:dyDescent="0.25">
      <c r="H7788" s="96" t="str">
        <f t="shared" si="509"/>
        <v/>
      </c>
      <c r="I7788" s="96" t="str">
        <f t="shared" si="510"/>
        <v/>
      </c>
      <c r="J7788" s="91" t="str">
        <f t="shared" si="511"/>
        <v/>
      </c>
      <c r="K7788" s="91" t="str">
        <f t="shared" si="512"/>
        <v/>
      </c>
      <c r="L7788" s="166" t="str">
        <f t="shared" si="508"/>
        <v/>
      </c>
    </row>
    <row r="7789" spans="8:12" x14ac:dyDescent="0.25">
      <c r="H7789" s="96" t="str">
        <f t="shared" si="509"/>
        <v/>
      </c>
      <c r="I7789" s="96" t="str">
        <f t="shared" si="510"/>
        <v/>
      </c>
      <c r="J7789" s="91" t="str">
        <f t="shared" si="511"/>
        <v/>
      </c>
      <c r="K7789" s="91" t="str">
        <f t="shared" si="512"/>
        <v/>
      </c>
      <c r="L7789" s="166" t="str">
        <f t="shared" si="508"/>
        <v/>
      </c>
    </row>
    <row r="7790" spans="8:12" x14ac:dyDescent="0.25">
      <c r="H7790" s="96" t="str">
        <f t="shared" si="509"/>
        <v/>
      </c>
      <c r="I7790" s="96" t="str">
        <f t="shared" si="510"/>
        <v/>
      </c>
      <c r="J7790" s="91" t="str">
        <f t="shared" si="511"/>
        <v/>
      </c>
      <c r="K7790" s="91" t="str">
        <f t="shared" si="512"/>
        <v/>
      </c>
      <c r="L7790" s="166" t="str">
        <f t="shared" si="508"/>
        <v/>
      </c>
    </row>
    <row r="7791" spans="8:12" x14ac:dyDescent="0.25">
      <c r="H7791" s="96" t="str">
        <f t="shared" si="509"/>
        <v/>
      </c>
      <c r="I7791" s="96" t="str">
        <f t="shared" si="510"/>
        <v/>
      </c>
      <c r="J7791" s="91" t="str">
        <f t="shared" si="511"/>
        <v/>
      </c>
      <c r="K7791" s="91" t="str">
        <f t="shared" si="512"/>
        <v/>
      </c>
      <c r="L7791" s="166" t="str">
        <f t="shared" si="508"/>
        <v/>
      </c>
    </row>
    <row r="7792" spans="8:12" x14ac:dyDescent="0.25">
      <c r="H7792" s="96" t="str">
        <f t="shared" si="509"/>
        <v/>
      </c>
      <c r="I7792" s="96" t="str">
        <f t="shared" si="510"/>
        <v/>
      </c>
      <c r="J7792" s="91" t="str">
        <f t="shared" si="511"/>
        <v/>
      </c>
      <c r="K7792" s="91" t="str">
        <f t="shared" si="512"/>
        <v/>
      </c>
      <c r="L7792" s="166" t="str">
        <f t="shared" si="508"/>
        <v/>
      </c>
    </row>
    <row r="7793" spans="8:12" x14ac:dyDescent="0.25">
      <c r="H7793" s="96" t="str">
        <f t="shared" si="509"/>
        <v/>
      </c>
      <c r="I7793" s="96" t="str">
        <f t="shared" si="510"/>
        <v/>
      </c>
      <c r="J7793" s="91" t="str">
        <f t="shared" si="511"/>
        <v/>
      </c>
      <c r="K7793" s="91" t="str">
        <f t="shared" si="512"/>
        <v/>
      </c>
      <c r="L7793" s="166" t="str">
        <f t="shared" si="508"/>
        <v/>
      </c>
    </row>
    <row r="7794" spans="8:12" x14ac:dyDescent="0.25">
      <c r="H7794" s="96" t="str">
        <f t="shared" si="509"/>
        <v/>
      </c>
      <c r="I7794" s="96" t="str">
        <f t="shared" si="510"/>
        <v/>
      </c>
      <c r="J7794" s="91" t="str">
        <f t="shared" si="511"/>
        <v/>
      </c>
      <c r="K7794" s="91" t="str">
        <f t="shared" si="512"/>
        <v/>
      </c>
      <c r="L7794" s="166" t="str">
        <f t="shared" si="508"/>
        <v/>
      </c>
    </row>
    <row r="7795" spans="8:12" x14ac:dyDescent="0.25">
      <c r="H7795" s="96" t="str">
        <f t="shared" si="509"/>
        <v/>
      </c>
      <c r="I7795" s="96" t="str">
        <f t="shared" si="510"/>
        <v/>
      </c>
      <c r="J7795" s="91" t="str">
        <f t="shared" si="511"/>
        <v/>
      </c>
      <c r="K7795" s="91" t="str">
        <f t="shared" si="512"/>
        <v/>
      </c>
      <c r="L7795" s="166" t="str">
        <f t="shared" si="508"/>
        <v/>
      </c>
    </row>
    <row r="7796" spans="8:12" x14ac:dyDescent="0.25">
      <c r="H7796" s="96" t="str">
        <f t="shared" si="509"/>
        <v/>
      </c>
      <c r="I7796" s="96" t="str">
        <f t="shared" si="510"/>
        <v/>
      </c>
      <c r="J7796" s="91" t="str">
        <f t="shared" si="511"/>
        <v/>
      </c>
      <c r="K7796" s="91" t="str">
        <f t="shared" si="512"/>
        <v/>
      </c>
      <c r="L7796" s="166" t="str">
        <f t="shared" si="508"/>
        <v/>
      </c>
    </row>
    <row r="7797" spans="8:12" x14ac:dyDescent="0.25">
      <c r="H7797" s="96" t="str">
        <f t="shared" si="509"/>
        <v/>
      </c>
      <c r="I7797" s="96" t="str">
        <f t="shared" si="510"/>
        <v/>
      </c>
      <c r="J7797" s="91" t="str">
        <f t="shared" si="511"/>
        <v/>
      </c>
      <c r="K7797" s="91" t="str">
        <f t="shared" si="512"/>
        <v/>
      </c>
      <c r="L7797" s="166" t="str">
        <f t="shared" si="508"/>
        <v/>
      </c>
    </row>
    <row r="7798" spans="8:12" x14ac:dyDescent="0.25">
      <c r="H7798" s="96" t="str">
        <f t="shared" si="509"/>
        <v/>
      </c>
      <c r="I7798" s="96" t="str">
        <f t="shared" si="510"/>
        <v/>
      </c>
      <c r="J7798" s="91" t="str">
        <f t="shared" si="511"/>
        <v/>
      </c>
      <c r="K7798" s="91" t="str">
        <f t="shared" si="512"/>
        <v/>
      </c>
      <c r="L7798" s="166" t="str">
        <f t="shared" si="508"/>
        <v/>
      </c>
    </row>
    <row r="7799" spans="8:12" x14ac:dyDescent="0.25">
      <c r="H7799" s="96" t="str">
        <f t="shared" si="509"/>
        <v/>
      </c>
      <c r="I7799" s="96" t="str">
        <f t="shared" si="510"/>
        <v/>
      </c>
      <c r="J7799" s="91" t="str">
        <f t="shared" si="511"/>
        <v/>
      </c>
      <c r="K7799" s="91" t="str">
        <f t="shared" si="512"/>
        <v/>
      </c>
      <c r="L7799" s="166" t="str">
        <f t="shared" si="508"/>
        <v/>
      </c>
    </row>
    <row r="7800" spans="8:12" x14ac:dyDescent="0.25">
      <c r="H7800" s="96" t="str">
        <f t="shared" si="509"/>
        <v/>
      </c>
      <c r="I7800" s="96" t="str">
        <f t="shared" si="510"/>
        <v/>
      </c>
      <c r="J7800" s="91" t="str">
        <f t="shared" si="511"/>
        <v/>
      </c>
      <c r="K7800" s="91" t="str">
        <f t="shared" si="512"/>
        <v/>
      </c>
      <c r="L7800" s="166" t="str">
        <f t="shared" si="508"/>
        <v/>
      </c>
    </row>
    <row r="7801" spans="8:12" x14ac:dyDescent="0.25">
      <c r="H7801" s="96" t="str">
        <f t="shared" si="509"/>
        <v/>
      </c>
      <c r="I7801" s="96" t="str">
        <f t="shared" si="510"/>
        <v/>
      </c>
      <c r="J7801" s="91" t="str">
        <f t="shared" si="511"/>
        <v/>
      </c>
      <c r="K7801" s="91" t="str">
        <f t="shared" si="512"/>
        <v/>
      </c>
      <c r="L7801" s="166" t="str">
        <f t="shared" si="508"/>
        <v/>
      </c>
    </row>
    <row r="7802" spans="8:12" x14ac:dyDescent="0.25">
      <c r="H7802" s="96" t="str">
        <f t="shared" si="509"/>
        <v/>
      </c>
      <c r="I7802" s="96" t="str">
        <f t="shared" si="510"/>
        <v/>
      </c>
      <c r="J7802" s="91" t="str">
        <f t="shared" si="511"/>
        <v/>
      </c>
      <c r="K7802" s="91" t="str">
        <f t="shared" si="512"/>
        <v/>
      </c>
      <c r="L7802" s="166" t="str">
        <f t="shared" si="508"/>
        <v/>
      </c>
    </row>
    <row r="7803" spans="8:12" x14ac:dyDescent="0.25">
      <c r="H7803" s="96" t="str">
        <f t="shared" si="509"/>
        <v/>
      </c>
      <c r="I7803" s="96" t="str">
        <f t="shared" si="510"/>
        <v/>
      </c>
      <c r="J7803" s="91" t="str">
        <f t="shared" si="511"/>
        <v/>
      </c>
      <c r="K7803" s="91" t="str">
        <f t="shared" si="512"/>
        <v/>
      </c>
      <c r="L7803" s="166" t="str">
        <f t="shared" si="508"/>
        <v/>
      </c>
    </row>
    <row r="7804" spans="8:12" x14ac:dyDescent="0.25">
      <c r="H7804" s="96" t="str">
        <f t="shared" si="509"/>
        <v/>
      </c>
      <c r="I7804" s="96" t="str">
        <f t="shared" si="510"/>
        <v/>
      </c>
      <c r="J7804" s="91" t="str">
        <f t="shared" si="511"/>
        <v/>
      </c>
      <c r="K7804" s="91" t="str">
        <f t="shared" si="512"/>
        <v/>
      </c>
      <c r="L7804" s="166" t="str">
        <f t="shared" si="508"/>
        <v/>
      </c>
    </row>
    <row r="7805" spans="8:12" x14ac:dyDescent="0.25">
      <c r="H7805" s="96" t="str">
        <f t="shared" si="509"/>
        <v/>
      </c>
      <c r="I7805" s="96" t="str">
        <f t="shared" si="510"/>
        <v/>
      </c>
      <c r="J7805" s="91" t="str">
        <f t="shared" si="511"/>
        <v/>
      </c>
      <c r="K7805" s="91" t="str">
        <f t="shared" si="512"/>
        <v/>
      </c>
      <c r="L7805" s="166" t="str">
        <f t="shared" si="508"/>
        <v/>
      </c>
    </row>
    <row r="7806" spans="8:12" x14ac:dyDescent="0.25">
      <c r="H7806" s="96" t="str">
        <f t="shared" si="509"/>
        <v/>
      </c>
      <c r="I7806" s="96" t="str">
        <f t="shared" si="510"/>
        <v/>
      </c>
      <c r="J7806" s="91" t="str">
        <f t="shared" si="511"/>
        <v/>
      </c>
      <c r="K7806" s="91" t="str">
        <f t="shared" si="512"/>
        <v/>
      </c>
      <c r="L7806" s="166" t="str">
        <f t="shared" si="508"/>
        <v/>
      </c>
    </row>
    <row r="7807" spans="8:12" x14ac:dyDescent="0.25">
      <c r="H7807" s="96" t="str">
        <f t="shared" si="509"/>
        <v/>
      </c>
      <c r="I7807" s="96" t="str">
        <f t="shared" si="510"/>
        <v/>
      </c>
      <c r="J7807" s="91" t="str">
        <f t="shared" si="511"/>
        <v/>
      </c>
      <c r="K7807" s="91" t="str">
        <f t="shared" si="512"/>
        <v/>
      </c>
      <c r="L7807" s="166" t="str">
        <f t="shared" si="508"/>
        <v/>
      </c>
    </row>
    <row r="7808" spans="8:12" x14ac:dyDescent="0.25">
      <c r="H7808" s="96" t="str">
        <f t="shared" si="509"/>
        <v/>
      </c>
      <c r="I7808" s="96" t="str">
        <f t="shared" si="510"/>
        <v/>
      </c>
      <c r="J7808" s="91" t="str">
        <f t="shared" si="511"/>
        <v/>
      </c>
      <c r="K7808" s="91" t="str">
        <f t="shared" si="512"/>
        <v/>
      </c>
      <c r="L7808" s="166" t="str">
        <f t="shared" si="508"/>
        <v/>
      </c>
    </row>
    <row r="7809" spans="8:12" x14ac:dyDescent="0.25">
      <c r="H7809" s="96" t="str">
        <f t="shared" si="509"/>
        <v/>
      </c>
      <c r="I7809" s="96" t="str">
        <f t="shared" si="510"/>
        <v/>
      </c>
      <c r="J7809" s="91" t="str">
        <f t="shared" si="511"/>
        <v/>
      </c>
      <c r="K7809" s="91" t="str">
        <f t="shared" si="512"/>
        <v/>
      </c>
      <c r="L7809" s="166" t="str">
        <f t="shared" si="508"/>
        <v/>
      </c>
    </row>
    <row r="7810" spans="8:12" x14ac:dyDescent="0.25">
      <c r="H7810" s="96" t="str">
        <f t="shared" si="509"/>
        <v/>
      </c>
      <c r="I7810" s="96" t="str">
        <f t="shared" si="510"/>
        <v/>
      </c>
      <c r="J7810" s="91" t="str">
        <f t="shared" si="511"/>
        <v/>
      </c>
      <c r="K7810" s="91" t="str">
        <f t="shared" si="512"/>
        <v/>
      </c>
      <c r="L7810" s="166" t="str">
        <f t="shared" si="508"/>
        <v/>
      </c>
    </row>
    <row r="7811" spans="8:12" x14ac:dyDescent="0.25">
      <c r="H7811" s="96" t="str">
        <f t="shared" si="509"/>
        <v/>
      </c>
      <c r="I7811" s="96" t="str">
        <f t="shared" si="510"/>
        <v/>
      </c>
      <c r="J7811" s="91" t="str">
        <f t="shared" si="511"/>
        <v/>
      </c>
      <c r="K7811" s="91" t="str">
        <f t="shared" si="512"/>
        <v/>
      </c>
      <c r="L7811" s="166" t="str">
        <f t="shared" si="508"/>
        <v/>
      </c>
    </row>
    <row r="7812" spans="8:12" x14ac:dyDescent="0.25">
      <c r="H7812" s="96" t="str">
        <f t="shared" si="509"/>
        <v/>
      </c>
      <c r="I7812" s="96" t="str">
        <f t="shared" si="510"/>
        <v/>
      </c>
      <c r="J7812" s="91" t="str">
        <f t="shared" si="511"/>
        <v/>
      </c>
      <c r="K7812" s="91" t="str">
        <f t="shared" si="512"/>
        <v/>
      </c>
      <c r="L7812" s="166" t="str">
        <f t="shared" si="508"/>
        <v/>
      </c>
    </row>
    <row r="7813" spans="8:12" x14ac:dyDescent="0.25">
      <c r="H7813" s="96" t="str">
        <f t="shared" si="509"/>
        <v/>
      </c>
      <c r="I7813" s="96" t="str">
        <f t="shared" si="510"/>
        <v/>
      </c>
      <c r="J7813" s="91" t="str">
        <f t="shared" si="511"/>
        <v/>
      </c>
      <c r="K7813" s="91" t="str">
        <f t="shared" si="512"/>
        <v/>
      </c>
      <c r="L7813" s="166" t="str">
        <f t="shared" si="508"/>
        <v/>
      </c>
    </row>
    <row r="7814" spans="8:12" x14ac:dyDescent="0.25">
      <c r="H7814" s="96" t="str">
        <f t="shared" si="509"/>
        <v/>
      </c>
      <c r="I7814" s="96" t="str">
        <f t="shared" si="510"/>
        <v/>
      </c>
      <c r="J7814" s="91" t="str">
        <f t="shared" si="511"/>
        <v/>
      </c>
      <c r="K7814" s="91" t="str">
        <f t="shared" si="512"/>
        <v/>
      </c>
      <c r="L7814" s="166" t="str">
        <f t="shared" si="508"/>
        <v/>
      </c>
    </row>
    <row r="7815" spans="8:12" x14ac:dyDescent="0.25">
      <c r="H7815" s="96" t="str">
        <f t="shared" si="509"/>
        <v/>
      </c>
      <c r="I7815" s="96" t="str">
        <f t="shared" si="510"/>
        <v/>
      </c>
      <c r="J7815" s="91" t="str">
        <f t="shared" si="511"/>
        <v/>
      </c>
      <c r="K7815" s="91" t="str">
        <f t="shared" si="512"/>
        <v/>
      </c>
      <c r="L7815" s="166" t="str">
        <f t="shared" si="508"/>
        <v/>
      </c>
    </row>
    <row r="7816" spans="8:12" x14ac:dyDescent="0.25">
      <c r="H7816" s="96" t="str">
        <f t="shared" si="509"/>
        <v/>
      </c>
      <c r="I7816" s="96" t="str">
        <f t="shared" si="510"/>
        <v/>
      </c>
      <c r="J7816" s="91" t="str">
        <f t="shared" si="511"/>
        <v/>
      </c>
      <c r="K7816" s="91" t="str">
        <f t="shared" si="512"/>
        <v/>
      </c>
      <c r="L7816" s="166" t="str">
        <f t="shared" ref="L7816:L7879" si="513">IF(OR(RIGHT(IF(AND(K7816&lt;&gt;"H",K7816&lt;&gt;"MES"),RIGHT(B7816,7),""),2)="PS",RIGHT(IF(AND(K7816&lt;&gt;"H",K7816&lt;&gt;"MES"),RIGHT(B7816,7),""),2)="PA",RIGHT(IF(AND(K7816&lt;&gt;"H",K7816&lt;&gt;"MES"),RIGHT(B7816,7),""),2)="PE"),LEFT(IF(AND(K7816&lt;&gt;"H",K7816&lt;&gt;"MES"),RIGHT(B7816,10),""),7),IF(AND(K7816&lt;&gt;"H",K7816&lt;&gt;"MES"),RIGHT(B7816,7),""))</f>
        <v/>
      </c>
    </row>
    <row r="7817" spans="8:12" x14ac:dyDescent="0.25">
      <c r="H7817" s="96" t="str">
        <f t="shared" si="509"/>
        <v/>
      </c>
      <c r="I7817" s="96" t="str">
        <f t="shared" si="510"/>
        <v/>
      </c>
      <c r="J7817" s="91" t="str">
        <f t="shared" si="511"/>
        <v/>
      </c>
      <c r="K7817" s="91" t="str">
        <f t="shared" si="512"/>
        <v/>
      </c>
      <c r="L7817" s="166" t="str">
        <f t="shared" si="513"/>
        <v/>
      </c>
    </row>
    <row r="7818" spans="8:12" x14ac:dyDescent="0.25">
      <c r="H7818" s="96" t="str">
        <f t="shared" si="509"/>
        <v/>
      </c>
      <c r="I7818" s="96" t="str">
        <f t="shared" si="510"/>
        <v/>
      </c>
      <c r="J7818" s="91" t="str">
        <f t="shared" si="511"/>
        <v/>
      </c>
      <c r="K7818" s="91" t="str">
        <f t="shared" si="512"/>
        <v/>
      </c>
      <c r="L7818" s="166" t="str">
        <f t="shared" si="513"/>
        <v/>
      </c>
    </row>
    <row r="7819" spans="8:12" x14ac:dyDescent="0.25">
      <c r="H7819" s="96" t="str">
        <f t="shared" si="509"/>
        <v/>
      </c>
      <c r="I7819" s="96" t="str">
        <f t="shared" si="510"/>
        <v/>
      </c>
      <c r="J7819" s="91" t="str">
        <f t="shared" si="511"/>
        <v/>
      </c>
      <c r="K7819" s="91" t="str">
        <f t="shared" si="512"/>
        <v/>
      </c>
      <c r="L7819" s="166" t="str">
        <f t="shared" si="513"/>
        <v/>
      </c>
    </row>
    <row r="7820" spans="8:12" x14ac:dyDescent="0.25">
      <c r="H7820" s="96" t="str">
        <f t="shared" si="509"/>
        <v/>
      </c>
      <c r="I7820" s="96" t="str">
        <f t="shared" si="510"/>
        <v/>
      </c>
      <c r="J7820" s="91" t="str">
        <f t="shared" si="511"/>
        <v/>
      </c>
      <c r="K7820" s="91" t="str">
        <f t="shared" si="512"/>
        <v/>
      </c>
      <c r="L7820" s="166" t="str">
        <f t="shared" si="513"/>
        <v/>
      </c>
    </row>
    <row r="7821" spans="8:12" x14ac:dyDescent="0.25">
      <c r="H7821" s="96" t="str">
        <f t="shared" si="509"/>
        <v/>
      </c>
      <c r="I7821" s="96" t="str">
        <f t="shared" si="510"/>
        <v/>
      </c>
      <c r="J7821" s="91" t="str">
        <f t="shared" si="511"/>
        <v/>
      </c>
      <c r="K7821" s="91" t="str">
        <f t="shared" si="512"/>
        <v/>
      </c>
      <c r="L7821" s="166" t="str">
        <f t="shared" si="513"/>
        <v/>
      </c>
    </row>
    <row r="7822" spans="8:12" x14ac:dyDescent="0.25">
      <c r="H7822" s="96" t="str">
        <f t="shared" si="509"/>
        <v/>
      </c>
      <c r="I7822" s="96" t="str">
        <f t="shared" si="510"/>
        <v/>
      </c>
      <c r="J7822" s="91" t="str">
        <f t="shared" si="511"/>
        <v/>
      </c>
      <c r="K7822" s="91" t="str">
        <f t="shared" si="512"/>
        <v/>
      </c>
      <c r="L7822" s="166" t="str">
        <f t="shared" si="513"/>
        <v/>
      </c>
    </row>
    <row r="7823" spans="8:12" x14ac:dyDescent="0.25">
      <c r="H7823" s="96" t="str">
        <f t="shared" si="509"/>
        <v/>
      </c>
      <c r="I7823" s="96" t="str">
        <f t="shared" si="510"/>
        <v/>
      </c>
      <c r="J7823" s="91" t="str">
        <f t="shared" si="511"/>
        <v/>
      </c>
      <c r="K7823" s="91" t="str">
        <f t="shared" si="512"/>
        <v/>
      </c>
      <c r="L7823" s="166" t="str">
        <f t="shared" si="513"/>
        <v/>
      </c>
    </row>
    <row r="7824" spans="8:12" x14ac:dyDescent="0.25">
      <c r="H7824" s="96" t="str">
        <f t="shared" si="509"/>
        <v/>
      </c>
      <c r="I7824" s="96" t="str">
        <f t="shared" si="510"/>
        <v/>
      </c>
      <c r="J7824" s="91" t="str">
        <f t="shared" si="511"/>
        <v/>
      </c>
      <c r="K7824" s="91" t="str">
        <f t="shared" si="512"/>
        <v/>
      </c>
      <c r="L7824" s="166" t="str">
        <f t="shared" si="513"/>
        <v/>
      </c>
    </row>
    <row r="7825" spans="8:12" x14ac:dyDescent="0.25">
      <c r="H7825" s="96" t="str">
        <f t="shared" si="509"/>
        <v/>
      </c>
      <c r="I7825" s="96" t="str">
        <f t="shared" si="510"/>
        <v/>
      </c>
      <c r="J7825" s="91" t="str">
        <f t="shared" si="511"/>
        <v/>
      </c>
      <c r="K7825" s="91" t="str">
        <f t="shared" si="512"/>
        <v/>
      </c>
      <c r="L7825" s="166" t="str">
        <f t="shared" si="513"/>
        <v/>
      </c>
    </row>
    <row r="7826" spans="8:12" x14ac:dyDescent="0.25">
      <c r="H7826" s="96" t="str">
        <f t="shared" si="509"/>
        <v/>
      </c>
      <c r="I7826" s="96" t="str">
        <f t="shared" si="510"/>
        <v/>
      </c>
      <c r="J7826" s="91" t="str">
        <f t="shared" si="511"/>
        <v/>
      </c>
      <c r="K7826" s="91" t="str">
        <f t="shared" si="512"/>
        <v/>
      </c>
      <c r="L7826" s="166" t="str">
        <f t="shared" si="513"/>
        <v/>
      </c>
    </row>
    <row r="7827" spans="8:12" x14ac:dyDescent="0.25">
      <c r="H7827" s="96" t="str">
        <f t="shared" si="509"/>
        <v/>
      </c>
      <c r="I7827" s="96" t="str">
        <f t="shared" si="510"/>
        <v/>
      </c>
      <c r="J7827" s="91" t="str">
        <f t="shared" si="511"/>
        <v/>
      </c>
      <c r="K7827" s="91" t="str">
        <f t="shared" si="512"/>
        <v/>
      </c>
      <c r="L7827" s="166" t="str">
        <f t="shared" si="513"/>
        <v/>
      </c>
    </row>
    <row r="7828" spans="8:12" x14ac:dyDescent="0.25">
      <c r="H7828" s="96" t="str">
        <f t="shared" si="509"/>
        <v/>
      </c>
      <c r="I7828" s="96" t="str">
        <f t="shared" si="510"/>
        <v/>
      </c>
      <c r="J7828" s="91" t="str">
        <f t="shared" si="511"/>
        <v/>
      </c>
      <c r="K7828" s="91" t="str">
        <f t="shared" si="512"/>
        <v/>
      </c>
      <c r="L7828" s="166" t="str">
        <f t="shared" si="513"/>
        <v/>
      </c>
    </row>
    <row r="7829" spans="8:12" x14ac:dyDescent="0.25">
      <c r="H7829" s="96" t="str">
        <f t="shared" si="509"/>
        <v/>
      </c>
      <c r="I7829" s="96" t="str">
        <f t="shared" si="510"/>
        <v/>
      </c>
      <c r="J7829" s="91" t="str">
        <f t="shared" si="511"/>
        <v/>
      </c>
      <c r="K7829" s="91" t="str">
        <f t="shared" si="512"/>
        <v/>
      </c>
      <c r="L7829" s="166" t="str">
        <f t="shared" si="513"/>
        <v/>
      </c>
    </row>
    <row r="7830" spans="8:12" x14ac:dyDescent="0.25">
      <c r="H7830" s="96" t="str">
        <f t="shared" si="509"/>
        <v/>
      </c>
      <c r="I7830" s="96" t="str">
        <f t="shared" si="510"/>
        <v/>
      </c>
      <c r="J7830" s="91" t="str">
        <f t="shared" si="511"/>
        <v/>
      </c>
      <c r="K7830" s="91" t="str">
        <f t="shared" si="512"/>
        <v/>
      </c>
      <c r="L7830" s="166" t="str">
        <f t="shared" si="513"/>
        <v/>
      </c>
    </row>
    <row r="7831" spans="8:12" x14ac:dyDescent="0.25">
      <c r="H7831" s="96" t="str">
        <f t="shared" si="509"/>
        <v/>
      </c>
      <c r="I7831" s="96" t="str">
        <f t="shared" si="510"/>
        <v/>
      </c>
      <c r="J7831" s="91" t="str">
        <f t="shared" si="511"/>
        <v/>
      </c>
      <c r="K7831" s="91" t="str">
        <f t="shared" si="512"/>
        <v/>
      </c>
      <c r="L7831" s="166" t="str">
        <f t="shared" si="513"/>
        <v/>
      </c>
    </row>
    <row r="7832" spans="8:12" x14ac:dyDescent="0.25">
      <c r="H7832" s="96" t="str">
        <f t="shared" si="509"/>
        <v/>
      </c>
      <c r="I7832" s="96" t="str">
        <f t="shared" si="510"/>
        <v/>
      </c>
      <c r="J7832" s="91" t="str">
        <f t="shared" si="511"/>
        <v/>
      </c>
      <c r="K7832" s="91" t="str">
        <f t="shared" si="512"/>
        <v/>
      </c>
      <c r="L7832" s="166" t="str">
        <f t="shared" si="513"/>
        <v/>
      </c>
    </row>
    <row r="7833" spans="8:12" x14ac:dyDescent="0.25">
      <c r="H7833" s="96" t="str">
        <f t="shared" ref="H7833:H7896" si="514">IF(E7833="","",E7833+0)</f>
        <v/>
      </c>
      <c r="I7833" s="96" t="str">
        <f t="shared" ref="I7833:I7896" si="515">IF(F7833="","",F7833+0)</f>
        <v/>
      </c>
      <c r="J7833" s="91" t="str">
        <f t="shared" ref="J7833:J7896" si="516">IF(OR(H7833="",I7833=""),"",TRIM(CONCATENATE("Sinapi ",A7833)))</f>
        <v/>
      </c>
      <c r="K7833" s="91" t="str">
        <f t="shared" ref="K7833:K7896" si="517">TRIM(C7833)</f>
        <v/>
      </c>
      <c r="L7833" s="166" t="str">
        <f t="shared" si="513"/>
        <v/>
      </c>
    </row>
    <row r="7834" spans="8:12" x14ac:dyDescent="0.25">
      <c r="H7834" s="96" t="str">
        <f t="shared" si="514"/>
        <v/>
      </c>
      <c r="I7834" s="96" t="str">
        <f t="shared" si="515"/>
        <v/>
      </c>
      <c r="J7834" s="91" t="str">
        <f t="shared" si="516"/>
        <v/>
      </c>
      <c r="K7834" s="91" t="str">
        <f t="shared" si="517"/>
        <v/>
      </c>
      <c r="L7834" s="166" t="str">
        <f t="shared" si="513"/>
        <v/>
      </c>
    </row>
    <row r="7835" spans="8:12" x14ac:dyDescent="0.25">
      <c r="H7835" s="96" t="str">
        <f t="shared" si="514"/>
        <v/>
      </c>
      <c r="I7835" s="96" t="str">
        <f t="shared" si="515"/>
        <v/>
      </c>
      <c r="J7835" s="91" t="str">
        <f t="shared" si="516"/>
        <v/>
      </c>
      <c r="K7835" s="91" t="str">
        <f t="shared" si="517"/>
        <v/>
      </c>
      <c r="L7835" s="166" t="str">
        <f t="shared" si="513"/>
        <v/>
      </c>
    </row>
    <row r="7836" spans="8:12" x14ac:dyDescent="0.25">
      <c r="H7836" s="96" t="str">
        <f t="shared" si="514"/>
        <v/>
      </c>
      <c r="I7836" s="96" t="str">
        <f t="shared" si="515"/>
        <v/>
      </c>
      <c r="J7836" s="91" t="str">
        <f t="shared" si="516"/>
        <v/>
      </c>
      <c r="K7836" s="91" t="str">
        <f t="shared" si="517"/>
        <v/>
      </c>
      <c r="L7836" s="166" t="str">
        <f t="shared" si="513"/>
        <v/>
      </c>
    </row>
    <row r="7837" spans="8:12" x14ac:dyDescent="0.25">
      <c r="H7837" s="96" t="str">
        <f t="shared" si="514"/>
        <v/>
      </c>
      <c r="I7837" s="96" t="str">
        <f t="shared" si="515"/>
        <v/>
      </c>
      <c r="J7837" s="91" t="str">
        <f t="shared" si="516"/>
        <v/>
      </c>
      <c r="K7837" s="91" t="str">
        <f t="shared" si="517"/>
        <v/>
      </c>
      <c r="L7837" s="166" t="str">
        <f t="shared" si="513"/>
        <v/>
      </c>
    </row>
    <row r="7838" spans="8:12" x14ac:dyDescent="0.25">
      <c r="H7838" s="96" t="str">
        <f t="shared" si="514"/>
        <v/>
      </c>
      <c r="I7838" s="96" t="str">
        <f t="shared" si="515"/>
        <v/>
      </c>
      <c r="J7838" s="91" t="str">
        <f t="shared" si="516"/>
        <v/>
      </c>
      <c r="K7838" s="91" t="str">
        <f t="shared" si="517"/>
        <v/>
      </c>
      <c r="L7838" s="166" t="str">
        <f t="shared" si="513"/>
        <v/>
      </c>
    </row>
    <row r="7839" spans="8:12" x14ac:dyDescent="0.25">
      <c r="H7839" s="96" t="str">
        <f t="shared" si="514"/>
        <v/>
      </c>
      <c r="I7839" s="96" t="str">
        <f t="shared" si="515"/>
        <v/>
      </c>
      <c r="J7839" s="91" t="str">
        <f t="shared" si="516"/>
        <v/>
      </c>
      <c r="K7839" s="91" t="str">
        <f t="shared" si="517"/>
        <v/>
      </c>
      <c r="L7839" s="166" t="str">
        <f t="shared" si="513"/>
        <v/>
      </c>
    </row>
    <row r="7840" spans="8:12" x14ac:dyDescent="0.25">
      <c r="H7840" s="96" t="str">
        <f t="shared" si="514"/>
        <v/>
      </c>
      <c r="I7840" s="96" t="str">
        <f t="shared" si="515"/>
        <v/>
      </c>
      <c r="J7840" s="91" t="str">
        <f t="shared" si="516"/>
        <v/>
      </c>
      <c r="K7840" s="91" t="str">
        <f t="shared" si="517"/>
        <v/>
      </c>
      <c r="L7840" s="166" t="str">
        <f t="shared" si="513"/>
        <v/>
      </c>
    </row>
    <row r="7841" spans="8:12" x14ac:dyDescent="0.25">
      <c r="H7841" s="96" t="str">
        <f t="shared" si="514"/>
        <v/>
      </c>
      <c r="I7841" s="96" t="str">
        <f t="shared" si="515"/>
        <v/>
      </c>
      <c r="J7841" s="91" t="str">
        <f t="shared" si="516"/>
        <v/>
      </c>
      <c r="K7841" s="91" t="str">
        <f t="shared" si="517"/>
        <v/>
      </c>
      <c r="L7841" s="166" t="str">
        <f t="shared" si="513"/>
        <v/>
      </c>
    </row>
    <row r="7842" spans="8:12" x14ac:dyDescent="0.25">
      <c r="H7842" s="96" t="str">
        <f t="shared" si="514"/>
        <v/>
      </c>
      <c r="I7842" s="96" t="str">
        <f t="shared" si="515"/>
        <v/>
      </c>
      <c r="J7842" s="91" t="str">
        <f t="shared" si="516"/>
        <v/>
      </c>
      <c r="K7842" s="91" t="str">
        <f t="shared" si="517"/>
        <v/>
      </c>
      <c r="L7842" s="166" t="str">
        <f t="shared" si="513"/>
        <v/>
      </c>
    </row>
    <row r="7843" spans="8:12" x14ac:dyDescent="0.25">
      <c r="H7843" s="96" t="str">
        <f t="shared" si="514"/>
        <v/>
      </c>
      <c r="I7843" s="96" t="str">
        <f t="shared" si="515"/>
        <v/>
      </c>
      <c r="J7843" s="91" t="str">
        <f t="shared" si="516"/>
        <v/>
      </c>
      <c r="K7843" s="91" t="str">
        <f t="shared" si="517"/>
        <v/>
      </c>
      <c r="L7843" s="166" t="str">
        <f t="shared" si="513"/>
        <v/>
      </c>
    </row>
    <row r="7844" spans="8:12" x14ac:dyDescent="0.25">
      <c r="H7844" s="96" t="str">
        <f t="shared" si="514"/>
        <v/>
      </c>
      <c r="I7844" s="96" t="str">
        <f t="shared" si="515"/>
        <v/>
      </c>
      <c r="J7844" s="91" t="str">
        <f t="shared" si="516"/>
        <v/>
      </c>
      <c r="K7844" s="91" t="str">
        <f t="shared" si="517"/>
        <v/>
      </c>
      <c r="L7844" s="166" t="str">
        <f t="shared" si="513"/>
        <v/>
      </c>
    </row>
    <row r="7845" spans="8:12" x14ac:dyDescent="0.25">
      <c r="H7845" s="96" t="str">
        <f t="shared" si="514"/>
        <v/>
      </c>
      <c r="I7845" s="96" t="str">
        <f t="shared" si="515"/>
        <v/>
      </c>
      <c r="J7845" s="91" t="str">
        <f t="shared" si="516"/>
        <v/>
      </c>
      <c r="K7845" s="91" t="str">
        <f t="shared" si="517"/>
        <v/>
      </c>
      <c r="L7845" s="166" t="str">
        <f t="shared" si="513"/>
        <v/>
      </c>
    </row>
    <row r="7846" spans="8:12" x14ac:dyDescent="0.25">
      <c r="H7846" s="96" t="str">
        <f t="shared" si="514"/>
        <v/>
      </c>
      <c r="I7846" s="96" t="str">
        <f t="shared" si="515"/>
        <v/>
      </c>
      <c r="J7846" s="91" t="str">
        <f t="shared" si="516"/>
        <v/>
      </c>
      <c r="K7846" s="91" t="str">
        <f t="shared" si="517"/>
        <v/>
      </c>
      <c r="L7846" s="166" t="str">
        <f t="shared" si="513"/>
        <v/>
      </c>
    </row>
    <row r="7847" spans="8:12" x14ac:dyDescent="0.25">
      <c r="H7847" s="96" t="str">
        <f t="shared" si="514"/>
        <v/>
      </c>
      <c r="I7847" s="96" t="str">
        <f t="shared" si="515"/>
        <v/>
      </c>
      <c r="J7847" s="91" t="str">
        <f t="shared" si="516"/>
        <v/>
      </c>
      <c r="K7847" s="91" t="str">
        <f t="shared" si="517"/>
        <v/>
      </c>
      <c r="L7847" s="166" t="str">
        <f t="shared" si="513"/>
        <v/>
      </c>
    </row>
    <row r="7848" spans="8:12" x14ac:dyDescent="0.25">
      <c r="H7848" s="96" t="str">
        <f t="shared" si="514"/>
        <v/>
      </c>
      <c r="I7848" s="96" t="str">
        <f t="shared" si="515"/>
        <v/>
      </c>
      <c r="J7848" s="91" t="str">
        <f t="shared" si="516"/>
        <v/>
      </c>
      <c r="K7848" s="91" t="str">
        <f t="shared" si="517"/>
        <v/>
      </c>
      <c r="L7848" s="166" t="str">
        <f t="shared" si="513"/>
        <v/>
      </c>
    </row>
    <row r="7849" spans="8:12" x14ac:dyDescent="0.25">
      <c r="H7849" s="96" t="str">
        <f t="shared" si="514"/>
        <v/>
      </c>
      <c r="I7849" s="96" t="str">
        <f t="shared" si="515"/>
        <v/>
      </c>
      <c r="J7849" s="91" t="str">
        <f t="shared" si="516"/>
        <v/>
      </c>
      <c r="K7849" s="91" t="str">
        <f t="shared" si="517"/>
        <v/>
      </c>
      <c r="L7849" s="166" t="str">
        <f t="shared" si="513"/>
        <v/>
      </c>
    </row>
    <row r="7850" spans="8:12" x14ac:dyDescent="0.25">
      <c r="H7850" s="96" t="str">
        <f t="shared" si="514"/>
        <v/>
      </c>
      <c r="I7850" s="96" t="str">
        <f t="shared" si="515"/>
        <v/>
      </c>
      <c r="J7850" s="91" t="str">
        <f t="shared" si="516"/>
        <v/>
      </c>
      <c r="K7850" s="91" t="str">
        <f t="shared" si="517"/>
        <v/>
      </c>
      <c r="L7850" s="166" t="str">
        <f t="shared" si="513"/>
        <v/>
      </c>
    </row>
    <row r="7851" spans="8:12" x14ac:dyDescent="0.25">
      <c r="H7851" s="96" t="str">
        <f t="shared" si="514"/>
        <v/>
      </c>
      <c r="I7851" s="96" t="str">
        <f t="shared" si="515"/>
        <v/>
      </c>
      <c r="J7851" s="91" t="str">
        <f t="shared" si="516"/>
        <v/>
      </c>
      <c r="K7851" s="91" t="str">
        <f t="shared" si="517"/>
        <v/>
      </c>
      <c r="L7851" s="166" t="str">
        <f t="shared" si="513"/>
        <v/>
      </c>
    </row>
    <row r="7852" spans="8:12" x14ac:dyDescent="0.25">
      <c r="H7852" s="96" t="str">
        <f t="shared" si="514"/>
        <v/>
      </c>
      <c r="I7852" s="96" t="str">
        <f t="shared" si="515"/>
        <v/>
      </c>
      <c r="J7852" s="91" t="str">
        <f t="shared" si="516"/>
        <v/>
      </c>
      <c r="K7852" s="91" t="str">
        <f t="shared" si="517"/>
        <v/>
      </c>
      <c r="L7852" s="166" t="str">
        <f t="shared" si="513"/>
        <v/>
      </c>
    </row>
    <row r="7853" spans="8:12" x14ac:dyDescent="0.25">
      <c r="H7853" s="96" t="str">
        <f t="shared" si="514"/>
        <v/>
      </c>
      <c r="I7853" s="96" t="str">
        <f t="shared" si="515"/>
        <v/>
      </c>
      <c r="J7853" s="91" t="str">
        <f t="shared" si="516"/>
        <v/>
      </c>
      <c r="K7853" s="91" t="str">
        <f t="shared" si="517"/>
        <v/>
      </c>
      <c r="L7853" s="166" t="str">
        <f t="shared" si="513"/>
        <v/>
      </c>
    </row>
    <row r="7854" spans="8:12" x14ac:dyDescent="0.25">
      <c r="H7854" s="96" t="str">
        <f t="shared" si="514"/>
        <v/>
      </c>
      <c r="I7854" s="96" t="str">
        <f t="shared" si="515"/>
        <v/>
      </c>
      <c r="J7854" s="91" t="str">
        <f t="shared" si="516"/>
        <v/>
      </c>
      <c r="K7854" s="91" t="str">
        <f t="shared" si="517"/>
        <v/>
      </c>
      <c r="L7854" s="166" t="str">
        <f t="shared" si="513"/>
        <v/>
      </c>
    </row>
    <row r="7855" spans="8:12" x14ac:dyDescent="0.25">
      <c r="H7855" s="96" t="str">
        <f t="shared" si="514"/>
        <v/>
      </c>
      <c r="I7855" s="96" t="str">
        <f t="shared" si="515"/>
        <v/>
      </c>
      <c r="J7855" s="91" t="str">
        <f t="shared" si="516"/>
        <v/>
      </c>
      <c r="K7855" s="91" t="str">
        <f t="shared" si="517"/>
        <v/>
      </c>
      <c r="L7855" s="166" t="str">
        <f t="shared" si="513"/>
        <v/>
      </c>
    </row>
    <row r="7856" spans="8:12" x14ac:dyDescent="0.25">
      <c r="H7856" s="96" t="str">
        <f t="shared" si="514"/>
        <v/>
      </c>
      <c r="I7856" s="96" t="str">
        <f t="shared" si="515"/>
        <v/>
      </c>
      <c r="J7856" s="91" t="str">
        <f t="shared" si="516"/>
        <v/>
      </c>
      <c r="K7856" s="91" t="str">
        <f t="shared" si="517"/>
        <v/>
      </c>
      <c r="L7856" s="166" t="str">
        <f t="shared" si="513"/>
        <v/>
      </c>
    </row>
    <row r="7857" spans="8:12" x14ac:dyDescent="0.25">
      <c r="H7857" s="96" t="str">
        <f t="shared" si="514"/>
        <v/>
      </c>
      <c r="I7857" s="96" t="str">
        <f t="shared" si="515"/>
        <v/>
      </c>
      <c r="J7857" s="91" t="str">
        <f t="shared" si="516"/>
        <v/>
      </c>
      <c r="K7857" s="91" t="str">
        <f t="shared" si="517"/>
        <v/>
      </c>
      <c r="L7857" s="166" t="str">
        <f t="shared" si="513"/>
        <v/>
      </c>
    </row>
    <row r="7858" spans="8:12" x14ac:dyDescent="0.25">
      <c r="H7858" s="96" t="str">
        <f t="shared" si="514"/>
        <v/>
      </c>
      <c r="I7858" s="96" t="str">
        <f t="shared" si="515"/>
        <v/>
      </c>
      <c r="J7858" s="91" t="str">
        <f t="shared" si="516"/>
        <v/>
      </c>
      <c r="K7858" s="91" t="str">
        <f t="shared" si="517"/>
        <v/>
      </c>
      <c r="L7858" s="166" t="str">
        <f t="shared" si="513"/>
        <v/>
      </c>
    </row>
    <row r="7859" spans="8:12" x14ac:dyDescent="0.25">
      <c r="H7859" s="96" t="str">
        <f t="shared" si="514"/>
        <v/>
      </c>
      <c r="I7859" s="96" t="str">
        <f t="shared" si="515"/>
        <v/>
      </c>
      <c r="J7859" s="91" t="str">
        <f t="shared" si="516"/>
        <v/>
      </c>
      <c r="K7859" s="91" t="str">
        <f t="shared" si="517"/>
        <v/>
      </c>
      <c r="L7859" s="166" t="str">
        <f t="shared" si="513"/>
        <v/>
      </c>
    </row>
    <row r="7860" spans="8:12" x14ac:dyDescent="0.25">
      <c r="H7860" s="96" t="str">
        <f t="shared" si="514"/>
        <v/>
      </c>
      <c r="I7860" s="96" t="str">
        <f t="shared" si="515"/>
        <v/>
      </c>
      <c r="J7860" s="91" t="str">
        <f t="shared" si="516"/>
        <v/>
      </c>
      <c r="K7860" s="91" t="str">
        <f t="shared" si="517"/>
        <v/>
      </c>
      <c r="L7860" s="166" t="str">
        <f t="shared" si="513"/>
        <v/>
      </c>
    </row>
    <row r="7861" spans="8:12" x14ac:dyDescent="0.25">
      <c r="H7861" s="96" t="str">
        <f t="shared" si="514"/>
        <v/>
      </c>
      <c r="I7861" s="96" t="str">
        <f t="shared" si="515"/>
        <v/>
      </c>
      <c r="J7861" s="91" t="str">
        <f t="shared" si="516"/>
        <v/>
      </c>
      <c r="K7861" s="91" t="str">
        <f t="shared" si="517"/>
        <v/>
      </c>
      <c r="L7861" s="166" t="str">
        <f t="shared" si="513"/>
        <v/>
      </c>
    </row>
    <row r="7862" spans="8:12" x14ac:dyDescent="0.25">
      <c r="H7862" s="96" t="str">
        <f t="shared" si="514"/>
        <v/>
      </c>
      <c r="I7862" s="96" t="str">
        <f t="shared" si="515"/>
        <v/>
      </c>
      <c r="J7862" s="91" t="str">
        <f t="shared" si="516"/>
        <v/>
      </c>
      <c r="K7862" s="91" t="str">
        <f t="shared" si="517"/>
        <v/>
      </c>
      <c r="L7862" s="166" t="str">
        <f t="shared" si="513"/>
        <v/>
      </c>
    </row>
    <row r="7863" spans="8:12" x14ac:dyDescent="0.25">
      <c r="H7863" s="96" t="str">
        <f t="shared" si="514"/>
        <v/>
      </c>
      <c r="I7863" s="96" t="str">
        <f t="shared" si="515"/>
        <v/>
      </c>
      <c r="J7863" s="91" t="str">
        <f t="shared" si="516"/>
        <v/>
      </c>
      <c r="K7863" s="91" t="str">
        <f t="shared" si="517"/>
        <v/>
      </c>
      <c r="L7863" s="166" t="str">
        <f t="shared" si="513"/>
        <v/>
      </c>
    </row>
    <row r="7864" spans="8:12" x14ac:dyDescent="0.25">
      <c r="H7864" s="96" t="str">
        <f t="shared" si="514"/>
        <v/>
      </c>
      <c r="I7864" s="96" t="str">
        <f t="shared" si="515"/>
        <v/>
      </c>
      <c r="J7864" s="91" t="str">
        <f t="shared" si="516"/>
        <v/>
      </c>
      <c r="K7864" s="91" t="str">
        <f t="shared" si="517"/>
        <v/>
      </c>
      <c r="L7864" s="166" t="str">
        <f t="shared" si="513"/>
        <v/>
      </c>
    </row>
    <row r="7865" spans="8:12" x14ac:dyDescent="0.25">
      <c r="H7865" s="96" t="str">
        <f t="shared" si="514"/>
        <v/>
      </c>
      <c r="I7865" s="96" t="str">
        <f t="shared" si="515"/>
        <v/>
      </c>
      <c r="J7865" s="91" t="str">
        <f t="shared" si="516"/>
        <v/>
      </c>
      <c r="K7865" s="91" t="str">
        <f t="shared" si="517"/>
        <v/>
      </c>
      <c r="L7865" s="166" t="str">
        <f t="shared" si="513"/>
        <v/>
      </c>
    </row>
    <row r="7866" spans="8:12" x14ac:dyDescent="0.25">
      <c r="H7866" s="96" t="str">
        <f t="shared" si="514"/>
        <v/>
      </c>
      <c r="I7866" s="96" t="str">
        <f t="shared" si="515"/>
        <v/>
      </c>
      <c r="J7866" s="91" t="str">
        <f t="shared" si="516"/>
        <v/>
      </c>
      <c r="K7866" s="91" t="str">
        <f t="shared" si="517"/>
        <v/>
      </c>
      <c r="L7866" s="166" t="str">
        <f t="shared" si="513"/>
        <v/>
      </c>
    </row>
    <row r="7867" spans="8:12" x14ac:dyDescent="0.25">
      <c r="H7867" s="96" t="str">
        <f t="shared" si="514"/>
        <v/>
      </c>
      <c r="I7867" s="96" t="str">
        <f t="shared" si="515"/>
        <v/>
      </c>
      <c r="J7867" s="91" t="str">
        <f t="shared" si="516"/>
        <v/>
      </c>
      <c r="K7867" s="91" t="str">
        <f t="shared" si="517"/>
        <v/>
      </c>
      <c r="L7867" s="166" t="str">
        <f t="shared" si="513"/>
        <v/>
      </c>
    </row>
    <row r="7868" spans="8:12" x14ac:dyDescent="0.25">
      <c r="H7868" s="96" t="str">
        <f t="shared" si="514"/>
        <v/>
      </c>
      <c r="I7868" s="96" t="str">
        <f t="shared" si="515"/>
        <v/>
      </c>
      <c r="J7868" s="91" t="str">
        <f t="shared" si="516"/>
        <v/>
      </c>
      <c r="K7868" s="91" t="str">
        <f t="shared" si="517"/>
        <v/>
      </c>
      <c r="L7868" s="166" t="str">
        <f t="shared" si="513"/>
        <v/>
      </c>
    </row>
    <row r="7869" spans="8:12" x14ac:dyDescent="0.25">
      <c r="H7869" s="96" t="str">
        <f t="shared" si="514"/>
        <v/>
      </c>
      <c r="I7869" s="96" t="str">
        <f t="shared" si="515"/>
        <v/>
      </c>
      <c r="J7869" s="91" t="str">
        <f t="shared" si="516"/>
        <v/>
      </c>
      <c r="K7869" s="91" t="str">
        <f t="shared" si="517"/>
        <v/>
      </c>
      <c r="L7869" s="166" t="str">
        <f t="shared" si="513"/>
        <v/>
      </c>
    </row>
    <row r="7870" spans="8:12" x14ac:dyDescent="0.25">
      <c r="H7870" s="96" t="str">
        <f t="shared" si="514"/>
        <v/>
      </c>
      <c r="I7870" s="96" t="str">
        <f t="shared" si="515"/>
        <v/>
      </c>
      <c r="J7870" s="91" t="str">
        <f t="shared" si="516"/>
        <v/>
      </c>
      <c r="K7870" s="91" t="str">
        <f t="shared" si="517"/>
        <v/>
      </c>
      <c r="L7870" s="166" t="str">
        <f t="shared" si="513"/>
        <v/>
      </c>
    </row>
    <row r="7871" spans="8:12" x14ac:dyDescent="0.25">
      <c r="H7871" s="96" t="str">
        <f t="shared" si="514"/>
        <v/>
      </c>
      <c r="I7871" s="96" t="str">
        <f t="shared" si="515"/>
        <v/>
      </c>
      <c r="J7871" s="91" t="str">
        <f t="shared" si="516"/>
        <v/>
      </c>
      <c r="K7871" s="91" t="str">
        <f t="shared" si="517"/>
        <v/>
      </c>
      <c r="L7871" s="166" t="str">
        <f t="shared" si="513"/>
        <v/>
      </c>
    </row>
    <row r="7872" spans="8:12" x14ac:dyDescent="0.25">
      <c r="H7872" s="96" t="str">
        <f t="shared" si="514"/>
        <v/>
      </c>
      <c r="I7872" s="96" t="str">
        <f t="shared" si="515"/>
        <v/>
      </c>
      <c r="J7872" s="91" t="str">
        <f t="shared" si="516"/>
        <v/>
      </c>
      <c r="K7872" s="91" t="str">
        <f t="shared" si="517"/>
        <v/>
      </c>
      <c r="L7872" s="166" t="str">
        <f t="shared" si="513"/>
        <v/>
      </c>
    </row>
    <row r="7873" spans="8:12" x14ac:dyDescent="0.25">
      <c r="H7873" s="96" t="str">
        <f t="shared" si="514"/>
        <v/>
      </c>
      <c r="I7873" s="96" t="str">
        <f t="shared" si="515"/>
        <v/>
      </c>
      <c r="J7873" s="91" t="str">
        <f t="shared" si="516"/>
        <v/>
      </c>
      <c r="K7873" s="91" t="str">
        <f t="shared" si="517"/>
        <v/>
      </c>
      <c r="L7873" s="166" t="str">
        <f t="shared" si="513"/>
        <v/>
      </c>
    </row>
    <row r="7874" spans="8:12" x14ac:dyDescent="0.25">
      <c r="H7874" s="96" t="str">
        <f t="shared" si="514"/>
        <v/>
      </c>
      <c r="I7874" s="96" t="str">
        <f t="shared" si="515"/>
        <v/>
      </c>
      <c r="J7874" s="91" t="str">
        <f t="shared" si="516"/>
        <v/>
      </c>
      <c r="K7874" s="91" t="str">
        <f t="shared" si="517"/>
        <v/>
      </c>
      <c r="L7874" s="166" t="str">
        <f t="shared" si="513"/>
        <v/>
      </c>
    </row>
    <row r="7875" spans="8:12" x14ac:dyDescent="0.25">
      <c r="H7875" s="96" t="str">
        <f t="shared" si="514"/>
        <v/>
      </c>
      <c r="I7875" s="96" t="str">
        <f t="shared" si="515"/>
        <v/>
      </c>
      <c r="J7875" s="91" t="str">
        <f t="shared" si="516"/>
        <v/>
      </c>
      <c r="K7875" s="91" t="str">
        <f t="shared" si="517"/>
        <v/>
      </c>
      <c r="L7875" s="166" t="str">
        <f t="shared" si="513"/>
        <v/>
      </c>
    </row>
    <row r="7876" spans="8:12" x14ac:dyDescent="0.25">
      <c r="H7876" s="96" t="str">
        <f t="shared" si="514"/>
        <v/>
      </c>
      <c r="I7876" s="96" t="str">
        <f t="shared" si="515"/>
        <v/>
      </c>
      <c r="J7876" s="91" t="str">
        <f t="shared" si="516"/>
        <v/>
      </c>
      <c r="K7876" s="91" t="str">
        <f t="shared" si="517"/>
        <v/>
      </c>
      <c r="L7876" s="166" t="str">
        <f t="shared" si="513"/>
        <v/>
      </c>
    </row>
    <row r="7877" spans="8:12" x14ac:dyDescent="0.25">
      <c r="H7877" s="96" t="str">
        <f t="shared" si="514"/>
        <v/>
      </c>
      <c r="I7877" s="96" t="str">
        <f t="shared" si="515"/>
        <v/>
      </c>
      <c r="J7877" s="91" t="str">
        <f t="shared" si="516"/>
        <v/>
      </c>
      <c r="K7877" s="91" t="str">
        <f t="shared" si="517"/>
        <v/>
      </c>
      <c r="L7877" s="166" t="str">
        <f t="shared" si="513"/>
        <v/>
      </c>
    </row>
    <row r="7878" spans="8:12" x14ac:dyDescent="0.25">
      <c r="H7878" s="96" t="str">
        <f t="shared" si="514"/>
        <v/>
      </c>
      <c r="I7878" s="96" t="str">
        <f t="shared" si="515"/>
        <v/>
      </c>
      <c r="J7878" s="91" t="str">
        <f t="shared" si="516"/>
        <v/>
      </c>
      <c r="K7878" s="91" t="str">
        <f t="shared" si="517"/>
        <v/>
      </c>
      <c r="L7878" s="166" t="str">
        <f t="shared" si="513"/>
        <v/>
      </c>
    </row>
    <row r="7879" spans="8:12" x14ac:dyDescent="0.25">
      <c r="H7879" s="96" t="str">
        <f t="shared" si="514"/>
        <v/>
      </c>
      <c r="I7879" s="96" t="str">
        <f t="shared" si="515"/>
        <v/>
      </c>
      <c r="J7879" s="91" t="str">
        <f t="shared" si="516"/>
        <v/>
      </c>
      <c r="K7879" s="91" t="str">
        <f t="shared" si="517"/>
        <v/>
      </c>
      <c r="L7879" s="166" t="str">
        <f t="shared" si="513"/>
        <v/>
      </c>
    </row>
    <row r="7880" spans="8:12" x14ac:dyDescent="0.25">
      <c r="H7880" s="96" t="str">
        <f t="shared" si="514"/>
        <v/>
      </c>
      <c r="I7880" s="96" t="str">
        <f t="shared" si="515"/>
        <v/>
      </c>
      <c r="J7880" s="91" t="str">
        <f t="shared" si="516"/>
        <v/>
      </c>
      <c r="K7880" s="91" t="str">
        <f t="shared" si="517"/>
        <v/>
      </c>
      <c r="L7880" s="166" t="str">
        <f t="shared" ref="L7880:L7943" si="518">IF(OR(RIGHT(IF(AND(K7880&lt;&gt;"H",K7880&lt;&gt;"MES"),RIGHT(B7880,7),""),2)="PS",RIGHT(IF(AND(K7880&lt;&gt;"H",K7880&lt;&gt;"MES"),RIGHT(B7880,7),""),2)="PA",RIGHT(IF(AND(K7880&lt;&gt;"H",K7880&lt;&gt;"MES"),RIGHT(B7880,7),""),2)="PE"),LEFT(IF(AND(K7880&lt;&gt;"H",K7880&lt;&gt;"MES"),RIGHT(B7880,10),""),7),IF(AND(K7880&lt;&gt;"H",K7880&lt;&gt;"MES"),RIGHT(B7880,7),""))</f>
        <v/>
      </c>
    </row>
    <row r="7881" spans="8:12" x14ac:dyDescent="0.25">
      <c r="H7881" s="96" t="str">
        <f t="shared" si="514"/>
        <v/>
      </c>
      <c r="I7881" s="96" t="str">
        <f t="shared" si="515"/>
        <v/>
      </c>
      <c r="J7881" s="91" t="str">
        <f t="shared" si="516"/>
        <v/>
      </c>
      <c r="K7881" s="91" t="str">
        <f t="shared" si="517"/>
        <v/>
      </c>
      <c r="L7881" s="166" t="str">
        <f t="shared" si="518"/>
        <v/>
      </c>
    </row>
    <row r="7882" spans="8:12" x14ac:dyDescent="0.25">
      <c r="H7882" s="96" t="str">
        <f t="shared" si="514"/>
        <v/>
      </c>
      <c r="I7882" s="96" t="str">
        <f t="shared" si="515"/>
        <v/>
      </c>
      <c r="J7882" s="91" t="str">
        <f t="shared" si="516"/>
        <v/>
      </c>
      <c r="K7882" s="91" t="str">
        <f t="shared" si="517"/>
        <v/>
      </c>
      <c r="L7882" s="166" t="str">
        <f t="shared" si="518"/>
        <v/>
      </c>
    </row>
    <row r="7883" spans="8:12" x14ac:dyDescent="0.25">
      <c r="H7883" s="96" t="str">
        <f t="shared" si="514"/>
        <v/>
      </c>
      <c r="I7883" s="96" t="str">
        <f t="shared" si="515"/>
        <v/>
      </c>
      <c r="J7883" s="91" t="str">
        <f t="shared" si="516"/>
        <v/>
      </c>
      <c r="K7883" s="91" t="str">
        <f t="shared" si="517"/>
        <v/>
      </c>
      <c r="L7883" s="166" t="str">
        <f t="shared" si="518"/>
        <v/>
      </c>
    </row>
    <row r="7884" spans="8:12" x14ac:dyDescent="0.25">
      <c r="H7884" s="96" t="str">
        <f t="shared" si="514"/>
        <v/>
      </c>
      <c r="I7884" s="96" t="str">
        <f t="shared" si="515"/>
        <v/>
      </c>
      <c r="J7884" s="91" t="str">
        <f t="shared" si="516"/>
        <v/>
      </c>
      <c r="K7884" s="91" t="str">
        <f t="shared" si="517"/>
        <v/>
      </c>
      <c r="L7884" s="166" t="str">
        <f t="shared" si="518"/>
        <v/>
      </c>
    </row>
    <row r="7885" spans="8:12" x14ac:dyDescent="0.25">
      <c r="H7885" s="96" t="str">
        <f t="shared" si="514"/>
        <v/>
      </c>
      <c r="I7885" s="96" t="str">
        <f t="shared" si="515"/>
        <v/>
      </c>
      <c r="J7885" s="91" t="str">
        <f t="shared" si="516"/>
        <v/>
      </c>
      <c r="K7885" s="91" t="str">
        <f t="shared" si="517"/>
        <v/>
      </c>
      <c r="L7885" s="166" t="str">
        <f t="shared" si="518"/>
        <v/>
      </c>
    </row>
    <row r="7886" spans="8:12" x14ac:dyDescent="0.25">
      <c r="H7886" s="96" t="str">
        <f t="shared" si="514"/>
        <v/>
      </c>
      <c r="I7886" s="96" t="str">
        <f t="shared" si="515"/>
        <v/>
      </c>
      <c r="J7886" s="91" t="str">
        <f t="shared" si="516"/>
        <v/>
      </c>
      <c r="K7886" s="91" t="str">
        <f t="shared" si="517"/>
        <v/>
      </c>
      <c r="L7886" s="166" t="str">
        <f t="shared" si="518"/>
        <v/>
      </c>
    </row>
    <row r="7887" spans="8:12" x14ac:dyDescent="0.25">
      <c r="H7887" s="96" t="str">
        <f t="shared" si="514"/>
        <v/>
      </c>
      <c r="I7887" s="96" t="str">
        <f t="shared" si="515"/>
        <v/>
      </c>
      <c r="J7887" s="91" t="str">
        <f t="shared" si="516"/>
        <v/>
      </c>
      <c r="K7887" s="91" t="str">
        <f t="shared" si="517"/>
        <v/>
      </c>
      <c r="L7887" s="166" t="str">
        <f t="shared" si="518"/>
        <v/>
      </c>
    </row>
    <row r="7888" spans="8:12" x14ac:dyDescent="0.25">
      <c r="H7888" s="96" t="str">
        <f t="shared" si="514"/>
        <v/>
      </c>
      <c r="I7888" s="96" t="str">
        <f t="shared" si="515"/>
        <v/>
      </c>
      <c r="J7888" s="91" t="str">
        <f t="shared" si="516"/>
        <v/>
      </c>
      <c r="K7888" s="91" t="str">
        <f t="shared" si="517"/>
        <v/>
      </c>
      <c r="L7888" s="166" t="str">
        <f t="shared" si="518"/>
        <v/>
      </c>
    </row>
    <row r="7889" spans="8:12" x14ac:dyDescent="0.25">
      <c r="H7889" s="96" t="str">
        <f t="shared" si="514"/>
        <v/>
      </c>
      <c r="I7889" s="96" t="str">
        <f t="shared" si="515"/>
        <v/>
      </c>
      <c r="J7889" s="91" t="str">
        <f t="shared" si="516"/>
        <v/>
      </c>
      <c r="K7889" s="91" t="str">
        <f t="shared" si="517"/>
        <v/>
      </c>
      <c r="L7889" s="166" t="str">
        <f t="shared" si="518"/>
        <v/>
      </c>
    </row>
    <row r="7890" spans="8:12" x14ac:dyDescent="0.25">
      <c r="H7890" s="96" t="str">
        <f t="shared" si="514"/>
        <v/>
      </c>
      <c r="I7890" s="96" t="str">
        <f t="shared" si="515"/>
        <v/>
      </c>
      <c r="J7890" s="91" t="str">
        <f t="shared" si="516"/>
        <v/>
      </c>
      <c r="K7890" s="91" t="str">
        <f t="shared" si="517"/>
        <v/>
      </c>
      <c r="L7890" s="166" t="str">
        <f t="shared" si="518"/>
        <v/>
      </c>
    </row>
    <row r="7891" spans="8:12" x14ac:dyDescent="0.25">
      <c r="H7891" s="96" t="str">
        <f t="shared" si="514"/>
        <v/>
      </c>
      <c r="I7891" s="96" t="str">
        <f t="shared" si="515"/>
        <v/>
      </c>
      <c r="J7891" s="91" t="str">
        <f t="shared" si="516"/>
        <v/>
      </c>
      <c r="K7891" s="91" t="str">
        <f t="shared" si="517"/>
        <v/>
      </c>
      <c r="L7891" s="166" t="str">
        <f t="shared" si="518"/>
        <v/>
      </c>
    </row>
    <row r="7892" spans="8:12" x14ac:dyDescent="0.25">
      <c r="H7892" s="96" t="str">
        <f t="shared" si="514"/>
        <v/>
      </c>
      <c r="I7892" s="96" t="str">
        <f t="shared" si="515"/>
        <v/>
      </c>
      <c r="J7892" s="91" t="str">
        <f t="shared" si="516"/>
        <v/>
      </c>
      <c r="K7892" s="91" t="str">
        <f t="shared" si="517"/>
        <v/>
      </c>
      <c r="L7892" s="166" t="str">
        <f t="shared" si="518"/>
        <v/>
      </c>
    </row>
    <row r="7893" spans="8:12" x14ac:dyDescent="0.25">
      <c r="H7893" s="96" t="str">
        <f t="shared" si="514"/>
        <v/>
      </c>
      <c r="I7893" s="96" t="str">
        <f t="shared" si="515"/>
        <v/>
      </c>
      <c r="J7893" s="91" t="str">
        <f t="shared" si="516"/>
        <v/>
      </c>
      <c r="K7893" s="91" t="str">
        <f t="shared" si="517"/>
        <v/>
      </c>
      <c r="L7893" s="166" t="str">
        <f t="shared" si="518"/>
        <v/>
      </c>
    </row>
    <row r="7894" spans="8:12" x14ac:dyDescent="0.25">
      <c r="H7894" s="96" t="str">
        <f t="shared" si="514"/>
        <v/>
      </c>
      <c r="I7894" s="96" t="str">
        <f t="shared" si="515"/>
        <v/>
      </c>
      <c r="J7894" s="91" t="str">
        <f t="shared" si="516"/>
        <v/>
      </c>
      <c r="K7894" s="91" t="str">
        <f t="shared" si="517"/>
        <v/>
      </c>
      <c r="L7894" s="166" t="str">
        <f t="shared" si="518"/>
        <v/>
      </c>
    </row>
    <row r="7895" spans="8:12" x14ac:dyDescent="0.25">
      <c r="H7895" s="96" t="str">
        <f t="shared" si="514"/>
        <v/>
      </c>
      <c r="I7895" s="96" t="str">
        <f t="shared" si="515"/>
        <v/>
      </c>
      <c r="J7895" s="91" t="str">
        <f t="shared" si="516"/>
        <v/>
      </c>
      <c r="K7895" s="91" t="str">
        <f t="shared" si="517"/>
        <v/>
      </c>
      <c r="L7895" s="166" t="str">
        <f t="shared" si="518"/>
        <v/>
      </c>
    </row>
    <row r="7896" spans="8:12" x14ac:dyDescent="0.25">
      <c r="H7896" s="96" t="str">
        <f t="shared" si="514"/>
        <v/>
      </c>
      <c r="I7896" s="96" t="str">
        <f t="shared" si="515"/>
        <v/>
      </c>
      <c r="J7896" s="91" t="str">
        <f t="shared" si="516"/>
        <v/>
      </c>
      <c r="K7896" s="91" t="str">
        <f t="shared" si="517"/>
        <v/>
      </c>
      <c r="L7896" s="166" t="str">
        <f t="shared" si="518"/>
        <v/>
      </c>
    </row>
    <row r="7897" spans="8:12" x14ac:dyDescent="0.25">
      <c r="H7897" s="96" t="str">
        <f t="shared" ref="H7897:H7960" si="519">IF(E7897="","",E7897+0)</f>
        <v/>
      </c>
      <c r="I7897" s="96" t="str">
        <f t="shared" ref="I7897:I7960" si="520">IF(F7897="","",F7897+0)</f>
        <v/>
      </c>
      <c r="J7897" s="91" t="str">
        <f t="shared" ref="J7897:J7960" si="521">IF(OR(H7897="",I7897=""),"",TRIM(CONCATENATE("Sinapi ",A7897)))</f>
        <v/>
      </c>
      <c r="K7897" s="91" t="str">
        <f t="shared" ref="K7897:K7960" si="522">TRIM(C7897)</f>
        <v/>
      </c>
      <c r="L7897" s="166" t="str">
        <f t="shared" si="518"/>
        <v/>
      </c>
    </row>
    <row r="7898" spans="8:12" x14ac:dyDescent="0.25">
      <c r="H7898" s="96" t="str">
        <f t="shared" si="519"/>
        <v/>
      </c>
      <c r="I7898" s="96" t="str">
        <f t="shared" si="520"/>
        <v/>
      </c>
      <c r="J7898" s="91" t="str">
        <f t="shared" si="521"/>
        <v/>
      </c>
      <c r="K7898" s="91" t="str">
        <f t="shared" si="522"/>
        <v/>
      </c>
      <c r="L7898" s="166" t="str">
        <f t="shared" si="518"/>
        <v/>
      </c>
    </row>
    <row r="7899" spans="8:12" x14ac:dyDescent="0.25">
      <c r="H7899" s="96" t="str">
        <f t="shared" si="519"/>
        <v/>
      </c>
      <c r="I7899" s="96" t="str">
        <f t="shared" si="520"/>
        <v/>
      </c>
      <c r="J7899" s="91" t="str">
        <f t="shared" si="521"/>
        <v/>
      </c>
      <c r="K7899" s="91" t="str">
        <f t="shared" si="522"/>
        <v/>
      </c>
      <c r="L7899" s="166" t="str">
        <f t="shared" si="518"/>
        <v/>
      </c>
    </row>
    <row r="7900" spans="8:12" x14ac:dyDescent="0.25">
      <c r="H7900" s="96" t="str">
        <f t="shared" si="519"/>
        <v/>
      </c>
      <c r="I7900" s="96" t="str">
        <f t="shared" si="520"/>
        <v/>
      </c>
      <c r="J7900" s="91" t="str">
        <f t="shared" si="521"/>
        <v/>
      </c>
      <c r="K7900" s="91" t="str">
        <f t="shared" si="522"/>
        <v/>
      </c>
      <c r="L7900" s="166" t="str">
        <f t="shared" si="518"/>
        <v/>
      </c>
    </row>
    <row r="7901" spans="8:12" x14ac:dyDescent="0.25">
      <c r="H7901" s="96" t="str">
        <f t="shared" si="519"/>
        <v/>
      </c>
      <c r="I7901" s="96" t="str">
        <f t="shared" si="520"/>
        <v/>
      </c>
      <c r="J7901" s="91" t="str">
        <f t="shared" si="521"/>
        <v/>
      </c>
      <c r="K7901" s="91" t="str">
        <f t="shared" si="522"/>
        <v/>
      </c>
      <c r="L7901" s="166" t="str">
        <f t="shared" si="518"/>
        <v/>
      </c>
    </row>
    <row r="7902" spans="8:12" x14ac:dyDescent="0.25">
      <c r="H7902" s="96" t="str">
        <f t="shared" si="519"/>
        <v/>
      </c>
      <c r="I7902" s="96" t="str">
        <f t="shared" si="520"/>
        <v/>
      </c>
      <c r="J7902" s="91" t="str">
        <f t="shared" si="521"/>
        <v/>
      </c>
      <c r="K7902" s="91" t="str">
        <f t="shared" si="522"/>
        <v/>
      </c>
      <c r="L7902" s="166" t="str">
        <f t="shared" si="518"/>
        <v/>
      </c>
    </row>
    <row r="7903" spans="8:12" x14ac:dyDescent="0.25">
      <c r="H7903" s="96" t="str">
        <f t="shared" si="519"/>
        <v/>
      </c>
      <c r="I7903" s="96" t="str">
        <f t="shared" si="520"/>
        <v/>
      </c>
      <c r="J7903" s="91" t="str">
        <f t="shared" si="521"/>
        <v/>
      </c>
      <c r="K7903" s="91" t="str">
        <f t="shared" si="522"/>
        <v/>
      </c>
      <c r="L7903" s="166" t="str">
        <f t="shared" si="518"/>
        <v/>
      </c>
    </row>
    <row r="7904" spans="8:12" x14ac:dyDescent="0.25">
      <c r="H7904" s="96" t="str">
        <f t="shared" si="519"/>
        <v/>
      </c>
      <c r="I7904" s="96" t="str">
        <f t="shared" si="520"/>
        <v/>
      </c>
      <c r="J7904" s="91" t="str">
        <f t="shared" si="521"/>
        <v/>
      </c>
      <c r="K7904" s="91" t="str">
        <f t="shared" si="522"/>
        <v/>
      </c>
      <c r="L7904" s="166" t="str">
        <f t="shared" si="518"/>
        <v/>
      </c>
    </row>
    <row r="7905" spans="8:12" x14ac:dyDescent="0.25">
      <c r="H7905" s="96" t="str">
        <f t="shared" si="519"/>
        <v/>
      </c>
      <c r="I7905" s="96" t="str">
        <f t="shared" si="520"/>
        <v/>
      </c>
      <c r="J7905" s="91" t="str">
        <f t="shared" si="521"/>
        <v/>
      </c>
      <c r="K7905" s="91" t="str">
        <f t="shared" si="522"/>
        <v/>
      </c>
      <c r="L7905" s="166" t="str">
        <f t="shared" si="518"/>
        <v/>
      </c>
    </row>
    <row r="7906" spans="8:12" x14ac:dyDescent="0.25">
      <c r="H7906" s="96" t="str">
        <f t="shared" si="519"/>
        <v/>
      </c>
      <c r="I7906" s="96" t="str">
        <f t="shared" si="520"/>
        <v/>
      </c>
      <c r="J7906" s="91" t="str">
        <f t="shared" si="521"/>
        <v/>
      </c>
      <c r="K7906" s="91" t="str">
        <f t="shared" si="522"/>
        <v/>
      </c>
      <c r="L7906" s="166" t="str">
        <f t="shared" si="518"/>
        <v/>
      </c>
    </row>
    <row r="7907" spans="8:12" x14ac:dyDescent="0.25">
      <c r="H7907" s="96" t="str">
        <f t="shared" si="519"/>
        <v/>
      </c>
      <c r="I7907" s="96" t="str">
        <f t="shared" si="520"/>
        <v/>
      </c>
      <c r="J7907" s="91" t="str">
        <f t="shared" si="521"/>
        <v/>
      </c>
      <c r="K7907" s="91" t="str">
        <f t="shared" si="522"/>
        <v/>
      </c>
      <c r="L7907" s="166" t="str">
        <f t="shared" si="518"/>
        <v/>
      </c>
    </row>
    <row r="7908" spans="8:12" x14ac:dyDescent="0.25">
      <c r="H7908" s="96" t="str">
        <f t="shared" si="519"/>
        <v/>
      </c>
      <c r="I7908" s="96" t="str">
        <f t="shared" si="520"/>
        <v/>
      </c>
      <c r="J7908" s="91" t="str">
        <f t="shared" si="521"/>
        <v/>
      </c>
      <c r="K7908" s="91" t="str">
        <f t="shared" si="522"/>
        <v/>
      </c>
      <c r="L7908" s="166" t="str">
        <f t="shared" si="518"/>
        <v/>
      </c>
    </row>
    <row r="7909" spans="8:12" x14ac:dyDescent="0.25">
      <c r="H7909" s="96" t="str">
        <f t="shared" si="519"/>
        <v/>
      </c>
      <c r="I7909" s="96" t="str">
        <f t="shared" si="520"/>
        <v/>
      </c>
      <c r="J7909" s="91" t="str">
        <f t="shared" si="521"/>
        <v/>
      </c>
      <c r="K7909" s="91" t="str">
        <f t="shared" si="522"/>
        <v/>
      </c>
      <c r="L7909" s="166" t="str">
        <f t="shared" si="518"/>
        <v/>
      </c>
    </row>
    <row r="7910" spans="8:12" x14ac:dyDescent="0.25">
      <c r="H7910" s="96" t="str">
        <f t="shared" si="519"/>
        <v/>
      </c>
      <c r="I7910" s="96" t="str">
        <f t="shared" si="520"/>
        <v/>
      </c>
      <c r="J7910" s="91" t="str">
        <f t="shared" si="521"/>
        <v/>
      </c>
      <c r="K7910" s="91" t="str">
        <f t="shared" si="522"/>
        <v/>
      </c>
      <c r="L7910" s="166" t="str">
        <f t="shared" si="518"/>
        <v/>
      </c>
    </row>
    <row r="7911" spans="8:12" x14ac:dyDescent="0.25">
      <c r="H7911" s="96" t="str">
        <f t="shared" si="519"/>
        <v/>
      </c>
      <c r="I7911" s="96" t="str">
        <f t="shared" si="520"/>
        <v/>
      </c>
      <c r="J7911" s="91" t="str">
        <f t="shared" si="521"/>
        <v/>
      </c>
      <c r="K7911" s="91" t="str">
        <f t="shared" si="522"/>
        <v/>
      </c>
      <c r="L7911" s="166" t="str">
        <f t="shared" si="518"/>
        <v/>
      </c>
    </row>
    <row r="7912" spans="8:12" x14ac:dyDescent="0.25">
      <c r="H7912" s="96" t="str">
        <f t="shared" si="519"/>
        <v/>
      </c>
      <c r="I7912" s="96" t="str">
        <f t="shared" si="520"/>
        <v/>
      </c>
      <c r="J7912" s="91" t="str">
        <f t="shared" si="521"/>
        <v/>
      </c>
      <c r="K7912" s="91" t="str">
        <f t="shared" si="522"/>
        <v/>
      </c>
      <c r="L7912" s="166" t="str">
        <f t="shared" si="518"/>
        <v/>
      </c>
    </row>
    <row r="7913" spans="8:12" x14ac:dyDescent="0.25">
      <c r="H7913" s="96" t="str">
        <f t="shared" si="519"/>
        <v/>
      </c>
      <c r="I7913" s="96" t="str">
        <f t="shared" si="520"/>
        <v/>
      </c>
      <c r="J7913" s="91" t="str">
        <f t="shared" si="521"/>
        <v/>
      </c>
      <c r="K7913" s="91" t="str">
        <f t="shared" si="522"/>
        <v/>
      </c>
      <c r="L7913" s="166" t="str">
        <f t="shared" si="518"/>
        <v/>
      </c>
    </row>
    <row r="7914" spans="8:12" x14ac:dyDescent="0.25">
      <c r="H7914" s="96" t="str">
        <f t="shared" si="519"/>
        <v/>
      </c>
      <c r="I7914" s="96" t="str">
        <f t="shared" si="520"/>
        <v/>
      </c>
      <c r="J7914" s="91" t="str">
        <f t="shared" si="521"/>
        <v/>
      </c>
      <c r="K7914" s="91" t="str">
        <f t="shared" si="522"/>
        <v/>
      </c>
      <c r="L7914" s="166" t="str">
        <f t="shared" si="518"/>
        <v/>
      </c>
    </row>
    <row r="7915" spans="8:12" x14ac:dyDescent="0.25">
      <c r="H7915" s="96" t="str">
        <f t="shared" si="519"/>
        <v/>
      </c>
      <c r="I7915" s="96" t="str">
        <f t="shared" si="520"/>
        <v/>
      </c>
      <c r="J7915" s="91" t="str">
        <f t="shared" si="521"/>
        <v/>
      </c>
      <c r="K7915" s="91" t="str">
        <f t="shared" si="522"/>
        <v/>
      </c>
      <c r="L7915" s="166" t="str">
        <f t="shared" si="518"/>
        <v/>
      </c>
    </row>
    <row r="7916" spans="8:12" x14ac:dyDescent="0.25">
      <c r="H7916" s="96" t="str">
        <f t="shared" si="519"/>
        <v/>
      </c>
      <c r="I7916" s="96" t="str">
        <f t="shared" si="520"/>
        <v/>
      </c>
      <c r="J7916" s="91" t="str">
        <f t="shared" si="521"/>
        <v/>
      </c>
      <c r="K7916" s="91" t="str">
        <f t="shared" si="522"/>
        <v/>
      </c>
      <c r="L7916" s="166" t="str">
        <f t="shared" si="518"/>
        <v/>
      </c>
    </row>
    <row r="7917" spans="8:12" x14ac:dyDescent="0.25">
      <c r="H7917" s="96" t="str">
        <f t="shared" si="519"/>
        <v/>
      </c>
      <c r="I7917" s="96" t="str">
        <f t="shared" si="520"/>
        <v/>
      </c>
      <c r="J7917" s="91" t="str">
        <f t="shared" si="521"/>
        <v/>
      </c>
      <c r="K7917" s="91" t="str">
        <f t="shared" si="522"/>
        <v/>
      </c>
      <c r="L7917" s="166" t="str">
        <f t="shared" si="518"/>
        <v/>
      </c>
    </row>
    <row r="7918" spans="8:12" x14ac:dyDescent="0.25">
      <c r="H7918" s="96" t="str">
        <f t="shared" si="519"/>
        <v/>
      </c>
      <c r="I7918" s="96" t="str">
        <f t="shared" si="520"/>
        <v/>
      </c>
      <c r="J7918" s="91" t="str">
        <f t="shared" si="521"/>
        <v/>
      </c>
      <c r="K7918" s="91" t="str">
        <f t="shared" si="522"/>
        <v/>
      </c>
      <c r="L7918" s="166" t="str">
        <f t="shared" si="518"/>
        <v/>
      </c>
    </row>
    <row r="7919" spans="8:12" x14ac:dyDescent="0.25">
      <c r="H7919" s="96" t="str">
        <f t="shared" si="519"/>
        <v/>
      </c>
      <c r="I7919" s="96" t="str">
        <f t="shared" si="520"/>
        <v/>
      </c>
      <c r="J7919" s="91" t="str">
        <f t="shared" si="521"/>
        <v/>
      </c>
      <c r="K7919" s="91" t="str">
        <f t="shared" si="522"/>
        <v/>
      </c>
      <c r="L7919" s="166" t="str">
        <f t="shared" si="518"/>
        <v/>
      </c>
    </row>
    <row r="7920" spans="8:12" x14ac:dyDescent="0.25">
      <c r="H7920" s="96" t="str">
        <f t="shared" si="519"/>
        <v/>
      </c>
      <c r="I7920" s="96" t="str">
        <f t="shared" si="520"/>
        <v/>
      </c>
      <c r="J7920" s="91" t="str">
        <f t="shared" si="521"/>
        <v/>
      </c>
      <c r="K7920" s="91" t="str">
        <f t="shared" si="522"/>
        <v/>
      </c>
      <c r="L7920" s="166" t="str">
        <f t="shared" si="518"/>
        <v/>
      </c>
    </row>
    <row r="7921" spans="8:12" x14ac:dyDescent="0.25">
      <c r="H7921" s="96" t="str">
        <f t="shared" si="519"/>
        <v/>
      </c>
      <c r="I7921" s="96" t="str">
        <f t="shared" si="520"/>
        <v/>
      </c>
      <c r="J7921" s="91" t="str">
        <f t="shared" si="521"/>
        <v/>
      </c>
      <c r="K7921" s="91" t="str">
        <f t="shared" si="522"/>
        <v/>
      </c>
      <c r="L7921" s="166" t="str">
        <f t="shared" si="518"/>
        <v/>
      </c>
    </row>
    <row r="7922" spans="8:12" x14ac:dyDescent="0.25">
      <c r="H7922" s="96" t="str">
        <f t="shared" si="519"/>
        <v/>
      </c>
      <c r="I7922" s="96" t="str">
        <f t="shared" si="520"/>
        <v/>
      </c>
      <c r="J7922" s="91" t="str">
        <f t="shared" si="521"/>
        <v/>
      </c>
      <c r="K7922" s="91" t="str">
        <f t="shared" si="522"/>
        <v/>
      </c>
      <c r="L7922" s="166" t="str">
        <f t="shared" si="518"/>
        <v/>
      </c>
    </row>
    <row r="7923" spans="8:12" x14ac:dyDescent="0.25">
      <c r="H7923" s="96" t="str">
        <f t="shared" si="519"/>
        <v/>
      </c>
      <c r="I7923" s="96" t="str">
        <f t="shared" si="520"/>
        <v/>
      </c>
      <c r="J7923" s="91" t="str">
        <f t="shared" si="521"/>
        <v/>
      </c>
      <c r="K7923" s="91" t="str">
        <f t="shared" si="522"/>
        <v/>
      </c>
      <c r="L7923" s="166" t="str">
        <f t="shared" si="518"/>
        <v/>
      </c>
    </row>
    <row r="7924" spans="8:12" x14ac:dyDescent="0.25">
      <c r="H7924" s="96" t="str">
        <f t="shared" si="519"/>
        <v/>
      </c>
      <c r="I7924" s="96" t="str">
        <f t="shared" si="520"/>
        <v/>
      </c>
      <c r="J7924" s="91" t="str">
        <f t="shared" si="521"/>
        <v/>
      </c>
      <c r="K7924" s="91" t="str">
        <f t="shared" si="522"/>
        <v/>
      </c>
      <c r="L7924" s="166" t="str">
        <f t="shared" si="518"/>
        <v/>
      </c>
    </row>
    <row r="7925" spans="8:12" x14ac:dyDescent="0.25">
      <c r="H7925" s="96" t="str">
        <f t="shared" si="519"/>
        <v/>
      </c>
      <c r="I7925" s="96" t="str">
        <f t="shared" si="520"/>
        <v/>
      </c>
      <c r="J7925" s="91" t="str">
        <f t="shared" si="521"/>
        <v/>
      </c>
      <c r="K7925" s="91" t="str">
        <f t="shared" si="522"/>
        <v/>
      </c>
      <c r="L7925" s="166" t="str">
        <f t="shared" si="518"/>
        <v/>
      </c>
    </row>
    <row r="7926" spans="8:12" x14ac:dyDescent="0.25">
      <c r="H7926" s="96" t="str">
        <f t="shared" si="519"/>
        <v/>
      </c>
      <c r="I7926" s="96" t="str">
        <f t="shared" si="520"/>
        <v/>
      </c>
      <c r="J7926" s="91" t="str">
        <f t="shared" si="521"/>
        <v/>
      </c>
      <c r="K7926" s="91" t="str">
        <f t="shared" si="522"/>
        <v/>
      </c>
      <c r="L7926" s="166" t="str">
        <f t="shared" si="518"/>
        <v/>
      </c>
    </row>
    <row r="7927" spans="8:12" x14ac:dyDescent="0.25">
      <c r="H7927" s="96" t="str">
        <f t="shared" si="519"/>
        <v/>
      </c>
      <c r="I7927" s="96" t="str">
        <f t="shared" si="520"/>
        <v/>
      </c>
      <c r="J7927" s="91" t="str">
        <f t="shared" si="521"/>
        <v/>
      </c>
      <c r="K7927" s="91" t="str">
        <f t="shared" si="522"/>
        <v/>
      </c>
      <c r="L7927" s="166" t="str">
        <f t="shared" si="518"/>
        <v/>
      </c>
    </row>
    <row r="7928" spans="8:12" x14ac:dyDescent="0.25">
      <c r="H7928" s="96" t="str">
        <f t="shared" si="519"/>
        <v/>
      </c>
      <c r="I7928" s="96" t="str">
        <f t="shared" si="520"/>
        <v/>
      </c>
      <c r="J7928" s="91" t="str">
        <f t="shared" si="521"/>
        <v/>
      </c>
      <c r="K7928" s="91" t="str">
        <f t="shared" si="522"/>
        <v/>
      </c>
      <c r="L7928" s="166" t="str">
        <f t="shared" si="518"/>
        <v/>
      </c>
    </row>
    <row r="7929" spans="8:12" x14ac:dyDescent="0.25">
      <c r="H7929" s="96" t="str">
        <f t="shared" si="519"/>
        <v/>
      </c>
      <c r="I7929" s="96" t="str">
        <f t="shared" si="520"/>
        <v/>
      </c>
      <c r="J7929" s="91" t="str">
        <f t="shared" si="521"/>
        <v/>
      </c>
      <c r="K7929" s="91" t="str">
        <f t="shared" si="522"/>
        <v/>
      </c>
      <c r="L7929" s="166" t="str">
        <f t="shared" si="518"/>
        <v/>
      </c>
    </row>
    <row r="7930" spans="8:12" x14ac:dyDescent="0.25">
      <c r="H7930" s="96" t="str">
        <f t="shared" si="519"/>
        <v/>
      </c>
      <c r="I7930" s="96" t="str">
        <f t="shared" si="520"/>
        <v/>
      </c>
      <c r="J7930" s="91" t="str">
        <f t="shared" si="521"/>
        <v/>
      </c>
      <c r="K7930" s="91" t="str">
        <f t="shared" si="522"/>
        <v/>
      </c>
      <c r="L7930" s="166" t="str">
        <f t="shared" si="518"/>
        <v/>
      </c>
    </row>
    <row r="7931" spans="8:12" x14ac:dyDescent="0.25">
      <c r="H7931" s="96" t="str">
        <f t="shared" si="519"/>
        <v/>
      </c>
      <c r="I7931" s="96" t="str">
        <f t="shared" si="520"/>
        <v/>
      </c>
      <c r="J7931" s="91" t="str">
        <f t="shared" si="521"/>
        <v/>
      </c>
      <c r="K7931" s="91" t="str">
        <f t="shared" si="522"/>
        <v/>
      </c>
      <c r="L7931" s="166" t="str">
        <f t="shared" si="518"/>
        <v/>
      </c>
    </row>
    <row r="7932" spans="8:12" x14ac:dyDescent="0.25">
      <c r="H7932" s="96" t="str">
        <f t="shared" si="519"/>
        <v/>
      </c>
      <c r="I7932" s="96" t="str">
        <f t="shared" si="520"/>
        <v/>
      </c>
      <c r="J7932" s="91" t="str">
        <f t="shared" si="521"/>
        <v/>
      </c>
      <c r="K7932" s="91" t="str">
        <f t="shared" si="522"/>
        <v/>
      </c>
      <c r="L7932" s="166" t="str">
        <f t="shared" si="518"/>
        <v/>
      </c>
    </row>
    <row r="7933" spans="8:12" x14ac:dyDescent="0.25">
      <c r="H7933" s="96" t="str">
        <f t="shared" si="519"/>
        <v/>
      </c>
      <c r="I7933" s="96" t="str">
        <f t="shared" si="520"/>
        <v/>
      </c>
      <c r="J7933" s="91" t="str">
        <f t="shared" si="521"/>
        <v/>
      </c>
      <c r="K7933" s="91" t="str">
        <f t="shared" si="522"/>
        <v/>
      </c>
      <c r="L7933" s="166" t="str">
        <f t="shared" si="518"/>
        <v/>
      </c>
    </row>
    <row r="7934" spans="8:12" x14ac:dyDescent="0.25">
      <c r="H7934" s="96" t="str">
        <f t="shared" si="519"/>
        <v/>
      </c>
      <c r="I7934" s="96" t="str">
        <f t="shared" si="520"/>
        <v/>
      </c>
      <c r="J7934" s="91" t="str">
        <f t="shared" si="521"/>
        <v/>
      </c>
      <c r="K7934" s="91" t="str">
        <f t="shared" si="522"/>
        <v/>
      </c>
      <c r="L7934" s="166" t="str">
        <f t="shared" si="518"/>
        <v/>
      </c>
    </row>
    <row r="7935" spans="8:12" x14ac:dyDescent="0.25">
      <c r="H7935" s="96" t="str">
        <f t="shared" si="519"/>
        <v/>
      </c>
      <c r="I7935" s="96" t="str">
        <f t="shared" si="520"/>
        <v/>
      </c>
      <c r="J7935" s="91" t="str">
        <f t="shared" si="521"/>
        <v/>
      </c>
      <c r="K7935" s="91" t="str">
        <f t="shared" si="522"/>
        <v/>
      </c>
      <c r="L7935" s="166" t="str">
        <f t="shared" si="518"/>
        <v/>
      </c>
    </row>
    <row r="7936" spans="8:12" x14ac:dyDescent="0.25">
      <c r="H7936" s="96" t="str">
        <f t="shared" si="519"/>
        <v/>
      </c>
      <c r="I7936" s="96" t="str">
        <f t="shared" si="520"/>
        <v/>
      </c>
      <c r="J7936" s="91" t="str">
        <f t="shared" si="521"/>
        <v/>
      </c>
      <c r="K7936" s="91" t="str">
        <f t="shared" si="522"/>
        <v/>
      </c>
      <c r="L7936" s="166" t="str">
        <f t="shared" si="518"/>
        <v/>
      </c>
    </row>
    <row r="7937" spans="8:12" x14ac:dyDescent="0.25">
      <c r="H7937" s="96" t="str">
        <f t="shared" si="519"/>
        <v/>
      </c>
      <c r="I7937" s="96" t="str">
        <f t="shared" si="520"/>
        <v/>
      </c>
      <c r="J7937" s="91" t="str">
        <f t="shared" si="521"/>
        <v/>
      </c>
      <c r="K7937" s="91" t="str">
        <f t="shared" si="522"/>
        <v/>
      </c>
      <c r="L7937" s="166" t="str">
        <f t="shared" si="518"/>
        <v/>
      </c>
    </row>
    <row r="7938" spans="8:12" x14ac:dyDescent="0.25">
      <c r="H7938" s="96" t="str">
        <f t="shared" si="519"/>
        <v/>
      </c>
      <c r="I7938" s="96" t="str">
        <f t="shared" si="520"/>
        <v/>
      </c>
      <c r="J7938" s="91" t="str">
        <f t="shared" si="521"/>
        <v/>
      </c>
      <c r="K7938" s="91" t="str">
        <f t="shared" si="522"/>
        <v/>
      </c>
      <c r="L7938" s="166" t="str">
        <f t="shared" si="518"/>
        <v/>
      </c>
    </row>
    <row r="7939" spans="8:12" x14ac:dyDescent="0.25">
      <c r="H7939" s="96" t="str">
        <f t="shared" si="519"/>
        <v/>
      </c>
      <c r="I7939" s="96" t="str">
        <f t="shared" si="520"/>
        <v/>
      </c>
      <c r="J7939" s="91" t="str">
        <f t="shared" si="521"/>
        <v/>
      </c>
      <c r="K7939" s="91" t="str">
        <f t="shared" si="522"/>
        <v/>
      </c>
      <c r="L7939" s="166" t="str">
        <f t="shared" si="518"/>
        <v/>
      </c>
    </row>
    <row r="7940" spans="8:12" x14ac:dyDescent="0.25">
      <c r="H7940" s="96" t="str">
        <f t="shared" si="519"/>
        <v/>
      </c>
      <c r="I7940" s="96" t="str">
        <f t="shared" si="520"/>
        <v/>
      </c>
      <c r="J7940" s="91" t="str">
        <f t="shared" si="521"/>
        <v/>
      </c>
      <c r="K7940" s="91" t="str">
        <f t="shared" si="522"/>
        <v/>
      </c>
      <c r="L7940" s="166" t="str">
        <f t="shared" si="518"/>
        <v/>
      </c>
    </row>
    <row r="7941" spans="8:12" x14ac:dyDescent="0.25">
      <c r="H7941" s="96" t="str">
        <f t="shared" si="519"/>
        <v/>
      </c>
      <c r="I7941" s="96" t="str">
        <f t="shared" si="520"/>
        <v/>
      </c>
      <c r="J7941" s="91" t="str">
        <f t="shared" si="521"/>
        <v/>
      </c>
      <c r="K7941" s="91" t="str">
        <f t="shared" si="522"/>
        <v/>
      </c>
      <c r="L7941" s="166" t="str">
        <f t="shared" si="518"/>
        <v/>
      </c>
    </row>
    <row r="7942" spans="8:12" x14ac:dyDescent="0.25">
      <c r="H7942" s="96" t="str">
        <f t="shared" si="519"/>
        <v/>
      </c>
      <c r="I7942" s="96" t="str">
        <f t="shared" si="520"/>
        <v/>
      </c>
      <c r="J7942" s="91" t="str">
        <f t="shared" si="521"/>
        <v/>
      </c>
      <c r="K7942" s="91" t="str">
        <f t="shared" si="522"/>
        <v/>
      </c>
      <c r="L7942" s="166" t="str">
        <f t="shared" si="518"/>
        <v/>
      </c>
    </row>
    <row r="7943" spans="8:12" x14ac:dyDescent="0.25">
      <c r="H7943" s="96" t="str">
        <f t="shared" si="519"/>
        <v/>
      </c>
      <c r="I7943" s="96" t="str">
        <f t="shared" si="520"/>
        <v/>
      </c>
      <c r="J7943" s="91" t="str">
        <f t="shared" si="521"/>
        <v/>
      </c>
      <c r="K7943" s="91" t="str">
        <f t="shared" si="522"/>
        <v/>
      </c>
      <c r="L7943" s="166" t="str">
        <f t="shared" si="518"/>
        <v/>
      </c>
    </row>
    <row r="7944" spans="8:12" x14ac:dyDescent="0.25">
      <c r="H7944" s="96" t="str">
        <f t="shared" si="519"/>
        <v/>
      </c>
      <c r="I7944" s="96" t="str">
        <f t="shared" si="520"/>
        <v/>
      </c>
      <c r="J7944" s="91" t="str">
        <f t="shared" si="521"/>
        <v/>
      </c>
      <c r="K7944" s="91" t="str">
        <f t="shared" si="522"/>
        <v/>
      </c>
      <c r="L7944" s="166" t="str">
        <f t="shared" ref="L7944:L8000" si="523">IF(OR(RIGHT(IF(AND(K7944&lt;&gt;"H",K7944&lt;&gt;"MES"),RIGHT(B7944,7),""),2)="PS",RIGHT(IF(AND(K7944&lt;&gt;"H",K7944&lt;&gt;"MES"),RIGHT(B7944,7),""),2)="PA",RIGHT(IF(AND(K7944&lt;&gt;"H",K7944&lt;&gt;"MES"),RIGHT(B7944,7),""),2)="PE"),LEFT(IF(AND(K7944&lt;&gt;"H",K7944&lt;&gt;"MES"),RIGHT(B7944,10),""),7),IF(AND(K7944&lt;&gt;"H",K7944&lt;&gt;"MES"),RIGHT(B7944,7),""))</f>
        <v/>
      </c>
    </row>
    <row r="7945" spans="8:12" x14ac:dyDescent="0.25">
      <c r="H7945" s="96" t="str">
        <f t="shared" si="519"/>
        <v/>
      </c>
      <c r="I7945" s="96" t="str">
        <f t="shared" si="520"/>
        <v/>
      </c>
      <c r="J7945" s="91" t="str">
        <f t="shared" si="521"/>
        <v/>
      </c>
      <c r="K7945" s="91" t="str">
        <f t="shared" si="522"/>
        <v/>
      </c>
      <c r="L7945" s="166" t="str">
        <f t="shared" si="523"/>
        <v/>
      </c>
    </row>
    <row r="7946" spans="8:12" x14ac:dyDescent="0.25">
      <c r="H7946" s="96" t="str">
        <f t="shared" si="519"/>
        <v/>
      </c>
      <c r="I7946" s="96" t="str">
        <f t="shared" si="520"/>
        <v/>
      </c>
      <c r="J7946" s="91" t="str">
        <f t="shared" si="521"/>
        <v/>
      </c>
      <c r="K7946" s="91" t="str">
        <f t="shared" si="522"/>
        <v/>
      </c>
      <c r="L7946" s="166" t="str">
        <f t="shared" si="523"/>
        <v/>
      </c>
    </row>
    <row r="7947" spans="8:12" x14ac:dyDescent="0.25">
      <c r="H7947" s="96" t="str">
        <f t="shared" si="519"/>
        <v/>
      </c>
      <c r="I7947" s="96" t="str">
        <f t="shared" si="520"/>
        <v/>
      </c>
      <c r="J7947" s="91" t="str">
        <f t="shared" si="521"/>
        <v/>
      </c>
      <c r="K7947" s="91" t="str">
        <f t="shared" si="522"/>
        <v/>
      </c>
      <c r="L7947" s="166" t="str">
        <f t="shared" si="523"/>
        <v/>
      </c>
    </row>
    <row r="7948" spans="8:12" x14ac:dyDescent="0.25">
      <c r="H7948" s="96" t="str">
        <f t="shared" si="519"/>
        <v/>
      </c>
      <c r="I7948" s="96" t="str">
        <f t="shared" si="520"/>
        <v/>
      </c>
      <c r="J7948" s="91" t="str">
        <f t="shared" si="521"/>
        <v/>
      </c>
      <c r="K7948" s="91" t="str">
        <f t="shared" si="522"/>
        <v/>
      </c>
      <c r="L7948" s="166" t="str">
        <f t="shared" si="523"/>
        <v/>
      </c>
    </row>
    <row r="7949" spans="8:12" x14ac:dyDescent="0.25">
      <c r="H7949" s="96" t="str">
        <f t="shared" si="519"/>
        <v/>
      </c>
      <c r="I7949" s="96" t="str">
        <f t="shared" si="520"/>
        <v/>
      </c>
      <c r="J7949" s="91" t="str">
        <f t="shared" si="521"/>
        <v/>
      </c>
      <c r="K7949" s="91" t="str">
        <f t="shared" si="522"/>
        <v/>
      </c>
      <c r="L7949" s="166" t="str">
        <f t="shared" si="523"/>
        <v/>
      </c>
    </row>
    <row r="7950" spans="8:12" x14ac:dyDescent="0.25">
      <c r="H7950" s="96" t="str">
        <f t="shared" si="519"/>
        <v/>
      </c>
      <c r="I7950" s="96" t="str">
        <f t="shared" si="520"/>
        <v/>
      </c>
      <c r="J7950" s="91" t="str">
        <f t="shared" si="521"/>
        <v/>
      </c>
      <c r="K7950" s="91" t="str">
        <f t="shared" si="522"/>
        <v/>
      </c>
      <c r="L7950" s="166" t="str">
        <f t="shared" si="523"/>
        <v/>
      </c>
    </row>
    <row r="7951" spans="8:12" x14ac:dyDescent="0.25">
      <c r="H7951" s="96" t="str">
        <f t="shared" si="519"/>
        <v/>
      </c>
      <c r="I7951" s="96" t="str">
        <f t="shared" si="520"/>
        <v/>
      </c>
      <c r="J7951" s="91" t="str">
        <f t="shared" si="521"/>
        <v/>
      </c>
      <c r="K7951" s="91" t="str">
        <f t="shared" si="522"/>
        <v/>
      </c>
      <c r="L7951" s="166" t="str">
        <f t="shared" si="523"/>
        <v/>
      </c>
    </row>
    <row r="7952" spans="8:12" x14ac:dyDescent="0.25">
      <c r="H7952" s="96" t="str">
        <f t="shared" si="519"/>
        <v/>
      </c>
      <c r="I7952" s="96" t="str">
        <f t="shared" si="520"/>
        <v/>
      </c>
      <c r="J7952" s="91" t="str">
        <f t="shared" si="521"/>
        <v/>
      </c>
      <c r="K7952" s="91" t="str">
        <f t="shared" si="522"/>
        <v/>
      </c>
      <c r="L7952" s="166" t="str">
        <f t="shared" si="523"/>
        <v/>
      </c>
    </row>
    <row r="7953" spans="8:12" x14ac:dyDescent="0.25">
      <c r="H7953" s="96" t="str">
        <f t="shared" si="519"/>
        <v/>
      </c>
      <c r="I7953" s="96" t="str">
        <f t="shared" si="520"/>
        <v/>
      </c>
      <c r="J7953" s="91" t="str">
        <f t="shared" si="521"/>
        <v/>
      </c>
      <c r="K7953" s="91" t="str">
        <f t="shared" si="522"/>
        <v/>
      </c>
      <c r="L7953" s="166" t="str">
        <f t="shared" si="523"/>
        <v/>
      </c>
    </row>
    <row r="7954" spans="8:12" x14ac:dyDescent="0.25">
      <c r="H7954" s="96" t="str">
        <f t="shared" si="519"/>
        <v/>
      </c>
      <c r="I7954" s="96" t="str">
        <f t="shared" si="520"/>
        <v/>
      </c>
      <c r="J7954" s="91" t="str">
        <f t="shared" si="521"/>
        <v/>
      </c>
      <c r="K7954" s="91" t="str">
        <f t="shared" si="522"/>
        <v/>
      </c>
      <c r="L7954" s="166" t="str">
        <f t="shared" si="523"/>
        <v/>
      </c>
    </row>
    <row r="7955" spans="8:12" x14ac:dyDescent="0.25">
      <c r="H7955" s="96" t="str">
        <f t="shared" si="519"/>
        <v/>
      </c>
      <c r="I7955" s="96" t="str">
        <f t="shared" si="520"/>
        <v/>
      </c>
      <c r="J7955" s="91" t="str">
        <f t="shared" si="521"/>
        <v/>
      </c>
      <c r="K7955" s="91" t="str">
        <f t="shared" si="522"/>
        <v/>
      </c>
      <c r="L7955" s="166" t="str">
        <f t="shared" si="523"/>
        <v/>
      </c>
    </row>
    <row r="7956" spans="8:12" x14ac:dyDescent="0.25">
      <c r="H7956" s="96" t="str">
        <f t="shared" si="519"/>
        <v/>
      </c>
      <c r="I7956" s="96" t="str">
        <f t="shared" si="520"/>
        <v/>
      </c>
      <c r="J7956" s="91" t="str">
        <f t="shared" si="521"/>
        <v/>
      </c>
      <c r="K7956" s="91" t="str">
        <f t="shared" si="522"/>
        <v/>
      </c>
      <c r="L7956" s="166" t="str">
        <f t="shared" si="523"/>
        <v/>
      </c>
    </row>
    <row r="7957" spans="8:12" x14ac:dyDescent="0.25">
      <c r="H7957" s="96" t="str">
        <f t="shared" si="519"/>
        <v/>
      </c>
      <c r="I7957" s="96" t="str">
        <f t="shared" si="520"/>
        <v/>
      </c>
      <c r="J7957" s="91" t="str">
        <f t="shared" si="521"/>
        <v/>
      </c>
      <c r="K7957" s="91" t="str">
        <f t="shared" si="522"/>
        <v/>
      </c>
      <c r="L7957" s="166" t="str">
        <f t="shared" si="523"/>
        <v/>
      </c>
    </row>
    <row r="7958" spans="8:12" x14ac:dyDescent="0.25">
      <c r="H7958" s="96" t="str">
        <f t="shared" si="519"/>
        <v/>
      </c>
      <c r="I7958" s="96" t="str">
        <f t="shared" si="520"/>
        <v/>
      </c>
      <c r="J7958" s="91" t="str">
        <f t="shared" si="521"/>
        <v/>
      </c>
      <c r="K7958" s="91" t="str">
        <f t="shared" si="522"/>
        <v/>
      </c>
      <c r="L7958" s="166" t="str">
        <f t="shared" si="523"/>
        <v/>
      </c>
    </row>
    <row r="7959" spans="8:12" x14ac:dyDescent="0.25">
      <c r="H7959" s="96" t="str">
        <f t="shared" si="519"/>
        <v/>
      </c>
      <c r="I7959" s="96" t="str">
        <f t="shared" si="520"/>
        <v/>
      </c>
      <c r="J7959" s="91" t="str">
        <f t="shared" si="521"/>
        <v/>
      </c>
      <c r="K7959" s="91" t="str">
        <f t="shared" si="522"/>
        <v/>
      </c>
      <c r="L7959" s="166" t="str">
        <f t="shared" si="523"/>
        <v/>
      </c>
    </row>
    <row r="7960" spans="8:12" x14ac:dyDescent="0.25">
      <c r="H7960" s="96" t="str">
        <f t="shared" si="519"/>
        <v/>
      </c>
      <c r="I7960" s="96" t="str">
        <f t="shared" si="520"/>
        <v/>
      </c>
      <c r="J7960" s="91" t="str">
        <f t="shared" si="521"/>
        <v/>
      </c>
      <c r="K7960" s="91" t="str">
        <f t="shared" si="522"/>
        <v/>
      </c>
      <c r="L7960" s="166" t="str">
        <f t="shared" si="523"/>
        <v/>
      </c>
    </row>
    <row r="7961" spans="8:12" x14ac:dyDescent="0.25">
      <c r="H7961" s="96" t="str">
        <f t="shared" ref="H7961:H8000" si="524">IF(E7961="","",E7961+0)</f>
        <v/>
      </c>
      <c r="I7961" s="96" t="str">
        <f t="shared" ref="I7961:I8000" si="525">IF(F7961="","",F7961+0)</f>
        <v/>
      </c>
      <c r="J7961" s="91" t="str">
        <f t="shared" ref="J7961:J8000" si="526">IF(OR(H7961="",I7961=""),"",TRIM(CONCATENATE("Sinapi ",A7961)))</f>
        <v/>
      </c>
      <c r="K7961" s="91" t="str">
        <f t="shared" ref="K7961:K8000" si="527">TRIM(C7961)</f>
        <v/>
      </c>
      <c r="L7961" s="166" t="str">
        <f t="shared" si="523"/>
        <v/>
      </c>
    </row>
    <row r="7962" spans="8:12" x14ac:dyDescent="0.25">
      <c r="H7962" s="96" t="str">
        <f t="shared" si="524"/>
        <v/>
      </c>
      <c r="I7962" s="96" t="str">
        <f t="shared" si="525"/>
        <v/>
      </c>
      <c r="J7962" s="91" t="str">
        <f t="shared" si="526"/>
        <v/>
      </c>
      <c r="K7962" s="91" t="str">
        <f t="shared" si="527"/>
        <v/>
      </c>
      <c r="L7962" s="166" t="str">
        <f t="shared" si="523"/>
        <v/>
      </c>
    </row>
    <row r="7963" spans="8:12" x14ac:dyDescent="0.25">
      <c r="H7963" s="96" t="str">
        <f t="shared" si="524"/>
        <v/>
      </c>
      <c r="I7963" s="96" t="str">
        <f t="shared" si="525"/>
        <v/>
      </c>
      <c r="J7963" s="91" t="str">
        <f t="shared" si="526"/>
        <v/>
      </c>
      <c r="K7963" s="91" t="str">
        <f t="shared" si="527"/>
        <v/>
      </c>
      <c r="L7963" s="166" t="str">
        <f t="shared" si="523"/>
        <v/>
      </c>
    </row>
    <row r="7964" spans="8:12" x14ac:dyDescent="0.25">
      <c r="H7964" s="96" t="str">
        <f t="shared" si="524"/>
        <v/>
      </c>
      <c r="I7964" s="96" t="str">
        <f t="shared" si="525"/>
        <v/>
      </c>
      <c r="J7964" s="91" t="str">
        <f t="shared" si="526"/>
        <v/>
      </c>
      <c r="K7964" s="91" t="str">
        <f t="shared" si="527"/>
        <v/>
      </c>
      <c r="L7964" s="166" t="str">
        <f t="shared" si="523"/>
        <v/>
      </c>
    </row>
    <row r="7965" spans="8:12" x14ac:dyDescent="0.25">
      <c r="H7965" s="96" t="str">
        <f t="shared" si="524"/>
        <v/>
      </c>
      <c r="I7965" s="96" t="str">
        <f t="shared" si="525"/>
        <v/>
      </c>
      <c r="J7965" s="91" t="str">
        <f t="shared" si="526"/>
        <v/>
      </c>
      <c r="K7965" s="91" t="str">
        <f t="shared" si="527"/>
        <v/>
      </c>
      <c r="L7965" s="166" t="str">
        <f t="shared" si="523"/>
        <v/>
      </c>
    </row>
    <row r="7966" spans="8:12" x14ac:dyDescent="0.25">
      <c r="H7966" s="96" t="str">
        <f t="shared" si="524"/>
        <v/>
      </c>
      <c r="I7966" s="96" t="str">
        <f t="shared" si="525"/>
        <v/>
      </c>
      <c r="J7966" s="91" t="str">
        <f t="shared" si="526"/>
        <v/>
      </c>
      <c r="K7966" s="91" t="str">
        <f t="shared" si="527"/>
        <v/>
      </c>
      <c r="L7966" s="166" t="str">
        <f t="shared" si="523"/>
        <v/>
      </c>
    </row>
    <row r="7967" spans="8:12" x14ac:dyDescent="0.25">
      <c r="H7967" s="96" t="str">
        <f t="shared" si="524"/>
        <v/>
      </c>
      <c r="I7967" s="96" t="str">
        <f t="shared" si="525"/>
        <v/>
      </c>
      <c r="J7967" s="91" t="str">
        <f t="shared" si="526"/>
        <v/>
      </c>
      <c r="K7967" s="91" t="str">
        <f t="shared" si="527"/>
        <v/>
      </c>
      <c r="L7967" s="166" t="str">
        <f t="shared" si="523"/>
        <v/>
      </c>
    </row>
    <row r="7968" spans="8:12" x14ac:dyDescent="0.25">
      <c r="H7968" s="96" t="str">
        <f t="shared" si="524"/>
        <v/>
      </c>
      <c r="I7968" s="96" t="str">
        <f t="shared" si="525"/>
        <v/>
      </c>
      <c r="J7968" s="91" t="str">
        <f t="shared" si="526"/>
        <v/>
      </c>
      <c r="K7968" s="91" t="str">
        <f t="shared" si="527"/>
        <v/>
      </c>
      <c r="L7968" s="166" t="str">
        <f t="shared" si="523"/>
        <v/>
      </c>
    </row>
    <row r="7969" spans="8:12" x14ac:dyDescent="0.25">
      <c r="H7969" s="96" t="str">
        <f t="shared" si="524"/>
        <v/>
      </c>
      <c r="I7969" s="96" t="str">
        <f t="shared" si="525"/>
        <v/>
      </c>
      <c r="J7969" s="91" t="str">
        <f t="shared" si="526"/>
        <v/>
      </c>
      <c r="K7969" s="91" t="str">
        <f t="shared" si="527"/>
        <v/>
      </c>
      <c r="L7969" s="166" t="str">
        <f t="shared" si="523"/>
        <v/>
      </c>
    </row>
    <row r="7970" spans="8:12" x14ac:dyDescent="0.25">
      <c r="H7970" s="96" t="str">
        <f t="shared" si="524"/>
        <v/>
      </c>
      <c r="I7970" s="96" t="str">
        <f t="shared" si="525"/>
        <v/>
      </c>
      <c r="J7970" s="91" t="str">
        <f t="shared" si="526"/>
        <v/>
      </c>
      <c r="K7970" s="91" t="str">
        <f t="shared" si="527"/>
        <v/>
      </c>
      <c r="L7970" s="166" t="str">
        <f t="shared" si="523"/>
        <v/>
      </c>
    </row>
    <row r="7971" spans="8:12" x14ac:dyDescent="0.25">
      <c r="H7971" s="96" t="str">
        <f t="shared" si="524"/>
        <v/>
      </c>
      <c r="I7971" s="96" t="str">
        <f t="shared" si="525"/>
        <v/>
      </c>
      <c r="J7971" s="91" t="str">
        <f t="shared" si="526"/>
        <v/>
      </c>
      <c r="K7971" s="91" t="str">
        <f t="shared" si="527"/>
        <v/>
      </c>
      <c r="L7971" s="166" t="str">
        <f t="shared" si="523"/>
        <v/>
      </c>
    </row>
    <row r="7972" spans="8:12" x14ac:dyDescent="0.25">
      <c r="H7972" s="96" t="str">
        <f t="shared" si="524"/>
        <v/>
      </c>
      <c r="I7972" s="96" t="str">
        <f t="shared" si="525"/>
        <v/>
      </c>
      <c r="J7972" s="91" t="str">
        <f t="shared" si="526"/>
        <v/>
      </c>
      <c r="K7972" s="91" t="str">
        <f t="shared" si="527"/>
        <v/>
      </c>
      <c r="L7972" s="166" t="str">
        <f t="shared" si="523"/>
        <v/>
      </c>
    </row>
    <row r="7973" spans="8:12" x14ac:dyDescent="0.25">
      <c r="H7973" s="96" t="str">
        <f t="shared" si="524"/>
        <v/>
      </c>
      <c r="I7973" s="96" t="str">
        <f t="shared" si="525"/>
        <v/>
      </c>
      <c r="J7973" s="91" t="str">
        <f t="shared" si="526"/>
        <v/>
      </c>
      <c r="K7973" s="91" t="str">
        <f t="shared" si="527"/>
        <v/>
      </c>
      <c r="L7973" s="166" t="str">
        <f t="shared" si="523"/>
        <v/>
      </c>
    </row>
    <row r="7974" spans="8:12" x14ac:dyDescent="0.25">
      <c r="H7974" s="96" t="str">
        <f t="shared" si="524"/>
        <v/>
      </c>
      <c r="I7974" s="96" t="str">
        <f t="shared" si="525"/>
        <v/>
      </c>
      <c r="J7974" s="91" t="str">
        <f t="shared" si="526"/>
        <v/>
      </c>
      <c r="K7974" s="91" t="str">
        <f t="shared" si="527"/>
        <v/>
      </c>
      <c r="L7974" s="166" t="str">
        <f t="shared" si="523"/>
        <v/>
      </c>
    </row>
    <row r="7975" spans="8:12" x14ac:dyDescent="0.25">
      <c r="H7975" s="96" t="str">
        <f t="shared" si="524"/>
        <v/>
      </c>
      <c r="I7975" s="96" t="str">
        <f t="shared" si="525"/>
        <v/>
      </c>
      <c r="J7975" s="91" t="str">
        <f t="shared" si="526"/>
        <v/>
      </c>
      <c r="K7975" s="91" t="str">
        <f t="shared" si="527"/>
        <v/>
      </c>
      <c r="L7975" s="166" t="str">
        <f t="shared" si="523"/>
        <v/>
      </c>
    </row>
    <row r="7976" spans="8:12" x14ac:dyDescent="0.25">
      <c r="H7976" s="96" t="str">
        <f t="shared" si="524"/>
        <v/>
      </c>
      <c r="I7976" s="96" t="str">
        <f t="shared" si="525"/>
        <v/>
      </c>
      <c r="J7976" s="91" t="str">
        <f t="shared" si="526"/>
        <v/>
      </c>
      <c r="K7976" s="91" t="str">
        <f t="shared" si="527"/>
        <v/>
      </c>
      <c r="L7976" s="166" t="str">
        <f t="shared" si="523"/>
        <v/>
      </c>
    </row>
    <row r="7977" spans="8:12" x14ac:dyDescent="0.25">
      <c r="H7977" s="96" t="str">
        <f t="shared" si="524"/>
        <v/>
      </c>
      <c r="I7977" s="96" t="str">
        <f t="shared" si="525"/>
        <v/>
      </c>
      <c r="J7977" s="91" t="str">
        <f t="shared" si="526"/>
        <v/>
      </c>
      <c r="K7977" s="91" t="str">
        <f t="shared" si="527"/>
        <v/>
      </c>
      <c r="L7977" s="166" t="str">
        <f t="shared" si="523"/>
        <v/>
      </c>
    </row>
    <row r="7978" spans="8:12" x14ac:dyDescent="0.25">
      <c r="H7978" s="96" t="str">
        <f t="shared" si="524"/>
        <v/>
      </c>
      <c r="I7978" s="96" t="str">
        <f t="shared" si="525"/>
        <v/>
      </c>
      <c r="J7978" s="91" t="str">
        <f t="shared" si="526"/>
        <v/>
      </c>
      <c r="K7978" s="91" t="str">
        <f t="shared" si="527"/>
        <v/>
      </c>
      <c r="L7978" s="166" t="str">
        <f t="shared" si="523"/>
        <v/>
      </c>
    </row>
    <row r="7979" spans="8:12" x14ac:dyDescent="0.25">
      <c r="H7979" s="96" t="str">
        <f t="shared" si="524"/>
        <v/>
      </c>
      <c r="I7979" s="96" t="str">
        <f t="shared" si="525"/>
        <v/>
      </c>
      <c r="J7979" s="91" t="str">
        <f t="shared" si="526"/>
        <v/>
      </c>
      <c r="K7979" s="91" t="str">
        <f t="shared" si="527"/>
        <v/>
      </c>
      <c r="L7979" s="166" t="str">
        <f t="shared" si="523"/>
        <v/>
      </c>
    </row>
    <row r="7980" spans="8:12" x14ac:dyDescent="0.25">
      <c r="H7980" s="96" t="str">
        <f t="shared" si="524"/>
        <v/>
      </c>
      <c r="I7980" s="96" t="str">
        <f t="shared" si="525"/>
        <v/>
      </c>
      <c r="J7980" s="91" t="str">
        <f t="shared" si="526"/>
        <v/>
      </c>
      <c r="K7980" s="91" t="str">
        <f t="shared" si="527"/>
        <v/>
      </c>
      <c r="L7980" s="166" t="str">
        <f t="shared" si="523"/>
        <v/>
      </c>
    </row>
    <row r="7981" spans="8:12" x14ac:dyDescent="0.25">
      <c r="H7981" s="96" t="str">
        <f t="shared" si="524"/>
        <v/>
      </c>
      <c r="I7981" s="96" t="str">
        <f t="shared" si="525"/>
        <v/>
      </c>
      <c r="J7981" s="91" t="str">
        <f t="shared" si="526"/>
        <v/>
      </c>
      <c r="K7981" s="91" t="str">
        <f t="shared" si="527"/>
        <v/>
      </c>
      <c r="L7981" s="166" t="str">
        <f t="shared" si="523"/>
        <v/>
      </c>
    </row>
    <row r="7982" spans="8:12" x14ac:dyDescent="0.25">
      <c r="H7982" s="96" t="str">
        <f t="shared" si="524"/>
        <v/>
      </c>
      <c r="I7982" s="96" t="str">
        <f t="shared" si="525"/>
        <v/>
      </c>
      <c r="J7982" s="91" t="str">
        <f t="shared" si="526"/>
        <v/>
      </c>
      <c r="K7982" s="91" t="str">
        <f t="shared" si="527"/>
        <v/>
      </c>
      <c r="L7982" s="166" t="str">
        <f t="shared" si="523"/>
        <v/>
      </c>
    </row>
    <row r="7983" spans="8:12" x14ac:dyDescent="0.25">
      <c r="H7983" s="96" t="str">
        <f t="shared" si="524"/>
        <v/>
      </c>
      <c r="I7983" s="96" t="str">
        <f t="shared" si="525"/>
        <v/>
      </c>
      <c r="J7983" s="91" t="str">
        <f t="shared" si="526"/>
        <v/>
      </c>
      <c r="K7983" s="91" t="str">
        <f t="shared" si="527"/>
        <v/>
      </c>
      <c r="L7983" s="166" t="str">
        <f t="shared" si="523"/>
        <v/>
      </c>
    </row>
    <row r="7984" spans="8:12" x14ac:dyDescent="0.25">
      <c r="H7984" s="96" t="str">
        <f t="shared" si="524"/>
        <v/>
      </c>
      <c r="I7984" s="96" t="str">
        <f t="shared" si="525"/>
        <v/>
      </c>
      <c r="J7984" s="91" t="str">
        <f t="shared" si="526"/>
        <v/>
      </c>
      <c r="K7984" s="91" t="str">
        <f t="shared" si="527"/>
        <v/>
      </c>
      <c r="L7984" s="166" t="str">
        <f t="shared" si="523"/>
        <v/>
      </c>
    </row>
    <row r="7985" spans="8:12" x14ac:dyDescent="0.25">
      <c r="H7985" s="96" t="str">
        <f t="shared" si="524"/>
        <v/>
      </c>
      <c r="I7985" s="96" t="str">
        <f t="shared" si="525"/>
        <v/>
      </c>
      <c r="J7985" s="91" t="str">
        <f t="shared" si="526"/>
        <v/>
      </c>
      <c r="K7985" s="91" t="str">
        <f t="shared" si="527"/>
        <v/>
      </c>
      <c r="L7985" s="166" t="str">
        <f t="shared" si="523"/>
        <v/>
      </c>
    </row>
    <row r="7986" spans="8:12" x14ac:dyDescent="0.25">
      <c r="H7986" s="96" t="str">
        <f t="shared" si="524"/>
        <v/>
      </c>
      <c r="I7986" s="96" t="str">
        <f t="shared" si="525"/>
        <v/>
      </c>
      <c r="J7986" s="91" t="str">
        <f t="shared" si="526"/>
        <v/>
      </c>
      <c r="K7986" s="91" t="str">
        <f t="shared" si="527"/>
        <v/>
      </c>
      <c r="L7986" s="166" t="str">
        <f t="shared" si="523"/>
        <v/>
      </c>
    </row>
    <row r="7987" spans="8:12" x14ac:dyDescent="0.25">
      <c r="H7987" s="96" t="str">
        <f t="shared" si="524"/>
        <v/>
      </c>
      <c r="I7987" s="96" t="str">
        <f t="shared" si="525"/>
        <v/>
      </c>
      <c r="J7987" s="91" t="str">
        <f t="shared" si="526"/>
        <v/>
      </c>
      <c r="K7987" s="91" t="str">
        <f t="shared" si="527"/>
        <v/>
      </c>
      <c r="L7987" s="166" t="str">
        <f t="shared" si="523"/>
        <v/>
      </c>
    </row>
    <row r="7988" spans="8:12" x14ac:dyDescent="0.25">
      <c r="H7988" s="96" t="str">
        <f t="shared" si="524"/>
        <v/>
      </c>
      <c r="I7988" s="96" t="str">
        <f t="shared" si="525"/>
        <v/>
      </c>
      <c r="J7988" s="91" t="str">
        <f t="shared" si="526"/>
        <v/>
      </c>
      <c r="K7988" s="91" t="str">
        <f t="shared" si="527"/>
        <v/>
      </c>
      <c r="L7988" s="166" t="str">
        <f t="shared" si="523"/>
        <v/>
      </c>
    </row>
    <row r="7989" spans="8:12" x14ac:dyDescent="0.25">
      <c r="H7989" s="96" t="str">
        <f t="shared" si="524"/>
        <v/>
      </c>
      <c r="I7989" s="96" t="str">
        <f t="shared" si="525"/>
        <v/>
      </c>
      <c r="J7989" s="91" t="str">
        <f t="shared" si="526"/>
        <v/>
      </c>
      <c r="K7989" s="91" t="str">
        <f t="shared" si="527"/>
        <v/>
      </c>
      <c r="L7989" s="166" t="str">
        <f t="shared" si="523"/>
        <v/>
      </c>
    </row>
    <row r="7990" spans="8:12" x14ac:dyDescent="0.25">
      <c r="H7990" s="96" t="str">
        <f t="shared" si="524"/>
        <v/>
      </c>
      <c r="I7990" s="96" t="str">
        <f t="shared" si="525"/>
        <v/>
      </c>
      <c r="J7990" s="91" t="str">
        <f t="shared" si="526"/>
        <v/>
      </c>
      <c r="K7990" s="91" t="str">
        <f t="shared" si="527"/>
        <v/>
      </c>
      <c r="L7990" s="166" t="str">
        <f t="shared" si="523"/>
        <v/>
      </c>
    </row>
    <row r="7991" spans="8:12" x14ac:dyDescent="0.25">
      <c r="H7991" s="96" t="str">
        <f t="shared" si="524"/>
        <v/>
      </c>
      <c r="I7991" s="96" t="str">
        <f t="shared" si="525"/>
        <v/>
      </c>
      <c r="J7991" s="91" t="str">
        <f t="shared" si="526"/>
        <v/>
      </c>
      <c r="K7991" s="91" t="str">
        <f t="shared" si="527"/>
        <v/>
      </c>
      <c r="L7991" s="166" t="str">
        <f t="shared" si="523"/>
        <v/>
      </c>
    </row>
    <row r="7992" spans="8:12" x14ac:dyDescent="0.25">
      <c r="H7992" s="96" t="str">
        <f t="shared" si="524"/>
        <v/>
      </c>
      <c r="I7992" s="96" t="str">
        <f t="shared" si="525"/>
        <v/>
      </c>
      <c r="J7992" s="91" t="str">
        <f t="shared" si="526"/>
        <v/>
      </c>
      <c r="K7992" s="91" t="str">
        <f t="shared" si="527"/>
        <v/>
      </c>
      <c r="L7992" s="166" t="str">
        <f t="shared" si="523"/>
        <v/>
      </c>
    </row>
    <row r="7993" spans="8:12" x14ac:dyDescent="0.25">
      <c r="H7993" s="96" t="str">
        <f t="shared" si="524"/>
        <v/>
      </c>
      <c r="I7993" s="96" t="str">
        <f t="shared" si="525"/>
        <v/>
      </c>
      <c r="J7993" s="91" t="str">
        <f t="shared" si="526"/>
        <v/>
      </c>
      <c r="K7993" s="91" t="str">
        <f t="shared" si="527"/>
        <v/>
      </c>
      <c r="L7993" s="166" t="str">
        <f t="shared" si="523"/>
        <v/>
      </c>
    </row>
    <row r="7994" spans="8:12" x14ac:dyDescent="0.25">
      <c r="H7994" s="96" t="str">
        <f t="shared" si="524"/>
        <v/>
      </c>
      <c r="I7994" s="96" t="str">
        <f t="shared" si="525"/>
        <v/>
      </c>
      <c r="J7994" s="91" t="str">
        <f t="shared" si="526"/>
        <v/>
      </c>
      <c r="K7994" s="91" t="str">
        <f t="shared" si="527"/>
        <v/>
      </c>
      <c r="L7994" s="166" t="str">
        <f t="shared" si="523"/>
        <v/>
      </c>
    </row>
    <row r="7995" spans="8:12" x14ac:dyDescent="0.25">
      <c r="H7995" s="96" t="str">
        <f t="shared" si="524"/>
        <v/>
      </c>
      <c r="I7995" s="96" t="str">
        <f t="shared" si="525"/>
        <v/>
      </c>
      <c r="J7995" s="91" t="str">
        <f t="shared" si="526"/>
        <v/>
      </c>
      <c r="K7995" s="91" t="str">
        <f t="shared" si="527"/>
        <v/>
      </c>
      <c r="L7995" s="166" t="str">
        <f t="shared" si="523"/>
        <v/>
      </c>
    </row>
    <row r="7996" spans="8:12" x14ac:dyDescent="0.25">
      <c r="H7996" s="96" t="str">
        <f t="shared" si="524"/>
        <v/>
      </c>
      <c r="I7996" s="96" t="str">
        <f t="shared" si="525"/>
        <v/>
      </c>
      <c r="J7996" s="91" t="str">
        <f t="shared" si="526"/>
        <v/>
      </c>
      <c r="K7996" s="91" t="str">
        <f t="shared" si="527"/>
        <v/>
      </c>
      <c r="L7996" s="166" t="str">
        <f t="shared" si="523"/>
        <v/>
      </c>
    </row>
    <row r="7997" spans="8:12" x14ac:dyDescent="0.25">
      <c r="H7997" s="96" t="str">
        <f t="shared" si="524"/>
        <v/>
      </c>
      <c r="I7997" s="96" t="str">
        <f t="shared" si="525"/>
        <v/>
      </c>
      <c r="J7997" s="91" t="str">
        <f t="shared" si="526"/>
        <v/>
      </c>
      <c r="K7997" s="91" t="str">
        <f t="shared" si="527"/>
        <v/>
      </c>
      <c r="L7997" s="166" t="str">
        <f t="shared" si="523"/>
        <v/>
      </c>
    </row>
    <row r="7998" spans="8:12" x14ac:dyDescent="0.25">
      <c r="H7998" s="96" t="str">
        <f t="shared" si="524"/>
        <v/>
      </c>
      <c r="I7998" s="96" t="str">
        <f t="shared" si="525"/>
        <v/>
      </c>
      <c r="J7998" s="91" t="str">
        <f t="shared" si="526"/>
        <v/>
      </c>
      <c r="K7998" s="91" t="str">
        <f t="shared" si="527"/>
        <v/>
      </c>
      <c r="L7998" s="166" t="str">
        <f t="shared" si="523"/>
        <v/>
      </c>
    </row>
    <row r="7999" spans="8:12" x14ac:dyDescent="0.25">
      <c r="H7999" s="96" t="str">
        <f t="shared" si="524"/>
        <v/>
      </c>
      <c r="I7999" s="96" t="str">
        <f t="shared" si="525"/>
        <v/>
      </c>
      <c r="J7999" s="91" t="str">
        <f t="shared" si="526"/>
        <v/>
      </c>
      <c r="K7999" s="91" t="str">
        <f t="shared" si="527"/>
        <v/>
      </c>
      <c r="L7999" s="166" t="str">
        <f t="shared" si="523"/>
        <v/>
      </c>
    </row>
    <row r="8000" spans="8:12" x14ac:dyDescent="0.25">
      <c r="H8000" s="96" t="str">
        <f t="shared" si="524"/>
        <v/>
      </c>
      <c r="I8000" s="96" t="str">
        <f t="shared" si="525"/>
        <v/>
      </c>
      <c r="J8000" s="91" t="str">
        <f t="shared" si="526"/>
        <v/>
      </c>
      <c r="K8000" s="91" t="str">
        <f t="shared" si="527"/>
        <v/>
      </c>
      <c r="L8000" s="166" t="str">
        <f t="shared" si="523"/>
        <v/>
      </c>
    </row>
  </sheetData>
  <pageMargins left="0.511811024" right="0.511811024" top="0.78740157499999996" bottom="0.78740157499999996" header="0.31496062000000002" footer="0.31496062000000002"/>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5">
    <tabColor rgb="FF00B0F0"/>
  </sheetPr>
  <dimension ref="A1:J6000"/>
  <sheetViews>
    <sheetView zoomScale="80" zoomScaleNormal="80" workbookViewId="0">
      <selection sqref="A1:E1048576"/>
    </sheetView>
  </sheetViews>
  <sheetFormatPr defaultRowHeight="15" x14ac:dyDescent="0.25"/>
  <cols>
    <col min="1" max="1" width="10.5703125" style="169" customWidth="1"/>
    <col min="2" max="2" width="78.140625" style="169" customWidth="1"/>
    <col min="3" max="3" width="21.140625" style="169" customWidth="1"/>
    <col min="4" max="4" width="18.7109375" style="169" customWidth="1"/>
    <col min="5" max="5" width="22.28515625" style="169" customWidth="1"/>
    <col min="6" max="6" width="11.42578125" customWidth="1"/>
    <col min="7" max="7" width="23.5703125" bestFit="1" customWidth="1"/>
    <col min="8" max="9" width="20.42578125" customWidth="1"/>
    <col min="10" max="10" width="77.7109375" customWidth="1"/>
  </cols>
  <sheetData>
    <row r="1" spans="1:10" x14ac:dyDescent="0.25">
      <c r="A1" s="169" t="s">
        <v>23356</v>
      </c>
      <c r="F1" s="99"/>
      <c r="G1" s="100"/>
      <c r="H1" s="101"/>
      <c r="I1" s="101"/>
      <c r="J1" s="101"/>
    </row>
    <row r="2" spans="1:10" x14ac:dyDescent="0.25">
      <c r="A2" s="169" t="s">
        <v>418</v>
      </c>
      <c r="F2" s="99"/>
      <c r="G2" s="100"/>
      <c r="H2" s="101"/>
      <c r="I2" s="101"/>
      <c r="J2" s="101"/>
    </row>
    <row r="3" spans="1:10" x14ac:dyDescent="0.25">
      <c r="A3" s="169" t="s">
        <v>29529</v>
      </c>
      <c r="F3" s="99"/>
      <c r="G3" s="100"/>
      <c r="H3" s="101"/>
      <c r="I3" s="101"/>
      <c r="J3" s="101"/>
    </row>
    <row r="4" spans="1:10" x14ac:dyDescent="0.25">
      <c r="A4" s="169" t="s">
        <v>29530</v>
      </c>
      <c r="F4" s="99"/>
      <c r="G4" s="100"/>
      <c r="H4" s="101"/>
      <c r="I4" s="101"/>
      <c r="J4" s="101"/>
    </row>
    <row r="5" spans="1:10" x14ac:dyDescent="0.25">
      <c r="A5" s="169" t="s">
        <v>29531</v>
      </c>
      <c r="F5" s="99"/>
      <c r="G5" s="100"/>
      <c r="H5" s="101"/>
      <c r="I5" s="101"/>
      <c r="J5" s="101"/>
    </row>
    <row r="6" spans="1:10" x14ac:dyDescent="0.25">
      <c r="A6" s="169" t="s">
        <v>418</v>
      </c>
      <c r="F6" s="99"/>
      <c r="G6" s="100"/>
      <c r="H6" s="101"/>
      <c r="I6" s="101"/>
      <c r="J6" s="101"/>
    </row>
    <row r="7" spans="1:10" x14ac:dyDescent="0.25">
      <c r="A7" s="169" t="s">
        <v>10221</v>
      </c>
      <c r="B7" s="169" t="s">
        <v>10222</v>
      </c>
      <c r="C7" s="169" t="s">
        <v>4</v>
      </c>
      <c r="D7" s="169" t="s">
        <v>10223</v>
      </c>
      <c r="E7" s="169" t="s">
        <v>10224</v>
      </c>
      <c r="F7" s="102"/>
      <c r="G7" s="106" t="s">
        <v>10224</v>
      </c>
      <c r="H7" s="107" t="s">
        <v>1943</v>
      </c>
      <c r="I7" s="107" t="s">
        <v>4</v>
      </c>
      <c r="J7" s="107" t="s">
        <v>14322</v>
      </c>
    </row>
    <row r="8" spans="1:10" x14ac:dyDescent="0.25">
      <c r="A8" s="169">
        <v>38605</v>
      </c>
      <c r="B8" s="169" t="s">
        <v>168</v>
      </c>
      <c r="C8" s="169" t="s">
        <v>10225</v>
      </c>
      <c r="D8" s="169" t="s">
        <v>1289</v>
      </c>
      <c r="E8" s="103" t="s">
        <v>29532</v>
      </c>
      <c r="F8" s="104"/>
      <c r="G8" s="105">
        <f t="shared" ref="G8:G71" si="0">IF(E8="","",E8+0)</f>
        <v>266.54000000000002</v>
      </c>
      <c r="H8" s="101" t="str">
        <f t="shared" ref="H8:H71" si="1">IF(G8="","",TRIM(CONCATENATE("Sinapi ",A8)))</f>
        <v>Sinapi 38605</v>
      </c>
      <c r="I8" s="101" t="str">
        <f t="shared" ref="I8:I71" si="2">TRIM(C8)</f>
        <v>UN</v>
      </c>
      <c r="J8" s="140" t="str">
        <f>TRIM(B8)</f>
        <v>ABERTURA PARA ENCAIXE DE CUBA OU LAVATORIO EM BANCADA DE MARMORE/ GRANITO OU OUTRO TIPO DE PEDRA NATURAL</v>
      </c>
    </row>
    <row r="9" spans="1:10" x14ac:dyDescent="0.25">
      <c r="A9" s="169">
        <v>11270</v>
      </c>
      <c r="B9" s="169" t="s">
        <v>23357</v>
      </c>
      <c r="C9" s="169" t="s">
        <v>10225</v>
      </c>
      <c r="D9" s="169" t="s">
        <v>1290</v>
      </c>
      <c r="E9" s="103" t="s">
        <v>29533</v>
      </c>
      <c r="F9" s="104"/>
      <c r="G9" s="105">
        <f t="shared" si="0"/>
        <v>3</v>
      </c>
      <c r="H9" s="101" t="str">
        <f t="shared" si="1"/>
        <v>Sinapi 11270</v>
      </c>
      <c r="I9" s="101" t="str">
        <f t="shared" si="2"/>
        <v>UN</v>
      </c>
      <c r="J9" s="140" t="str">
        <f t="shared" ref="J9:J72" si="3">TRIM(B9)</f>
        <v>ABRACADEIRA DE LATAO PARA FIXACAO DE CABO PARA-RAIO, DIMENSOES 32 X 24 X 24 MM</v>
      </c>
    </row>
    <row r="10" spans="1:10" x14ac:dyDescent="0.25">
      <c r="A10" s="169">
        <v>412</v>
      </c>
      <c r="B10" s="169" t="s">
        <v>23358</v>
      </c>
      <c r="C10" s="169" t="s">
        <v>10225</v>
      </c>
      <c r="D10" s="169" t="s">
        <v>1289</v>
      </c>
      <c r="E10" s="103" t="s">
        <v>2611</v>
      </c>
      <c r="F10" s="104"/>
      <c r="G10" s="105">
        <f t="shared" si="0"/>
        <v>1.02</v>
      </c>
      <c r="H10" s="101" t="str">
        <f t="shared" si="1"/>
        <v>Sinapi 412</v>
      </c>
      <c r="I10" s="101" t="str">
        <f t="shared" si="2"/>
        <v>UN</v>
      </c>
      <c r="J10" s="140" t="str">
        <f t="shared" si="3"/>
        <v>ABRACADEIRA DE NYLON PARA AMARRACAO DE CABOS, COMPRIMENTO DE *230* X *7,6* MM</v>
      </c>
    </row>
    <row r="11" spans="1:10" x14ac:dyDescent="0.25">
      <c r="A11" s="169">
        <v>414</v>
      </c>
      <c r="B11" s="169" t="s">
        <v>23359</v>
      </c>
      <c r="C11" s="169" t="s">
        <v>10225</v>
      </c>
      <c r="D11" s="169" t="s">
        <v>1289</v>
      </c>
      <c r="E11" s="103" t="s">
        <v>2575</v>
      </c>
      <c r="F11" s="104"/>
      <c r="G11" s="105">
        <f t="shared" si="0"/>
        <v>0.06</v>
      </c>
      <c r="H11" s="101" t="str">
        <f t="shared" si="1"/>
        <v>Sinapi 414</v>
      </c>
      <c r="I11" s="101" t="str">
        <f t="shared" si="2"/>
        <v>UN</v>
      </c>
      <c r="J11" s="140" t="str">
        <f t="shared" si="3"/>
        <v>ABRACADEIRA DE NYLON PARA AMARRACAO DE CABOS, COMPRIMENTO DE 100 X 2,5 MM</v>
      </c>
    </row>
    <row r="12" spans="1:10" x14ac:dyDescent="0.25">
      <c r="A12" s="169">
        <v>410</v>
      </c>
      <c r="B12" s="169" t="s">
        <v>23360</v>
      </c>
      <c r="C12" s="169" t="s">
        <v>10225</v>
      </c>
      <c r="D12" s="169" t="s">
        <v>1289</v>
      </c>
      <c r="E12" s="103" t="s">
        <v>2632</v>
      </c>
      <c r="F12" s="104"/>
      <c r="G12" s="105">
        <f t="shared" si="0"/>
        <v>0.15</v>
      </c>
      <c r="H12" s="101" t="str">
        <f t="shared" si="1"/>
        <v>Sinapi 410</v>
      </c>
      <c r="I12" s="101" t="str">
        <f t="shared" si="2"/>
        <v>UN</v>
      </c>
      <c r="J12" s="140" t="str">
        <f t="shared" si="3"/>
        <v>ABRACADEIRA DE NYLON PARA AMARRACAO DE CABOS, COMPRIMENTO DE 150 X *3,6* MM</v>
      </c>
    </row>
    <row r="13" spans="1:10" x14ac:dyDescent="0.25">
      <c r="A13" s="169">
        <v>411</v>
      </c>
      <c r="B13" s="169" t="s">
        <v>868</v>
      </c>
      <c r="C13" s="169" t="s">
        <v>10225</v>
      </c>
      <c r="D13" s="169" t="s">
        <v>1288</v>
      </c>
      <c r="E13" s="103" t="s">
        <v>9963</v>
      </c>
      <c r="F13" s="104"/>
      <c r="G13" s="105">
        <f t="shared" si="0"/>
        <v>0.2</v>
      </c>
      <c r="H13" s="101" t="str">
        <f t="shared" si="1"/>
        <v>Sinapi 411</v>
      </c>
      <c r="I13" s="101" t="str">
        <f t="shared" si="2"/>
        <v>UN</v>
      </c>
      <c r="J13" s="140" t="str">
        <f t="shared" si="3"/>
        <v>ABRACADEIRA DE NYLON PARA AMARRACAO DE CABOS, COMPRIMENTO DE 200 X *4,6* MM</v>
      </c>
    </row>
    <row r="14" spans="1:10" x14ac:dyDescent="0.25">
      <c r="A14" s="169">
        <v>408</v>
      </c>
      <c r="B14" s="169" t="s">
        <v>23361</v>
      </c>
      <c r="C14" s="169" t="s">
        <v>10225</v>
      </c>
      <c r="D14" s="169" t="s">
        <v>1289</v>
      </c>
      <c r="E14" s="103" t="s">
        <v>10110</v>
      </c>
      <c r="F14" s="104"/>
      <c r="G14" s="105">
        <f t="shared" si="0"/>
        <v>0.99</v>
      </c>
      <c r="H14" s="101" t="str">
        <f t="shared" si="1"/>
        <v>Sinapi 408</v>
      </c>
      <c r="I14" s="101" t="str">
        <f t="shared" si="2"/>
        <v>UN</v>
      </c>
      <c r="J14" s="140" t="str">
        <f t="shared" si="3"/>
        <v>ABRACADEIRA DE NYLON PARA AMARRACAO DE CABOS, COMPRIMENTO DE 390 X *4,6* MM</v>
      </c>
    </row>
    <row r="15" spans="1:10" x14ac:dyDescent="0.25">
      <c r="A15" s="169">
        <v>39131</v>
      </c>
      <c r="B15" s="169" t="s">
        <v>23362</v>
      </c>
      <c r="C15" s="169" t="s">
        <v>10225</v>
      </c>
      <c r="D15" s="169" t="s">
        <v>1289</v>
      </c>
      <c r="E15" s="103" t="s">
        <v>14355</v>
      </c>
      <c r="F15" s="104"/>
      <c r="G15" s="105">
        <f t="shared" si="0"/>
        <v>5</v>
      </c>
      <c r="H15" s="101" t="str">
        <f t="shared" si="1"/>
        <v>Sinapi 39131</v>
      </c>
      <c r="I15" s="101" t="str">
        <f t="shared" si="2"/>
        <v>UN</v>
      </c>
      <c r="J15" s="140" t="str">
        <f t="shared" si="3"/>
        <v>ABRACADEIRA EM ACO PARA AMARRACAO DE ELETRODUTOS, TIPO D, COM 1 1/2" E CUNHA DE FIXACAO</v>
      </c>
    </row>
    <row r="16" spans="1:10" x14ac:dyDescent="0.25">
      <c r="A16" s="169">
        <v>394</v>
      </c>
      <c r="B16" s="169" t="s">
        <v>23363</v>
      </c>
      <c r="C16" s="169" t="s">
        <v>10225</v>
      </c>
      <c r="D16" s="169" t="s">
        <v>1289</v>
      </c>
      <c r="E16" s="103" t="s">
        <v>16416</v>
      </c>
      <c r="F16" s="104"/>
      <c r="G16" s="105">
        <f t="shared" si="0"/>
        <v>5.0599999999999996</v>
      </c>
      <c r="H16" s="101" t="str">
        <f t="shared" si="1"/>
        <v>Sinapi 394</v>
      </c>
      <c r="I16" s="101" t="str">
        <f t="shared" si="2"/>
        <v>UN</v>
      </c>
      <c r="J16" s="140" t="str">
        <f t="shared" si="3"/>
        <v>ABRACADEIRA EM ACO PARA AMARRACAO DE ELETRODUTOS, TIPO D, COM 1 1/2" E PARAFUSO DE FIXACAO</v>
      </c>
    </row>
    <row r="17" spans="1:10" x14ac:dyDescent="0.25">
      <c r="A17" s="169">
        <v>39130</v>
      </c>
      <c r="B17" s="169" t="s">
        <v>23364</v>
      </c>
      <c r="C17" s="169" t="s">
        <v>10225</v>
      </c>
      <c r="D17" s="169" t="s">
        <v>1289</v>
      </c>
      <c r="E17" s="103" t="s">
        <v>2795</v>
      </c>
      <c r="F17" s="104"/>
      <c r="G17" s="105">
        <f t="shared" si="0"/>
        <v>4.5599999999999996</v>
      </c>
      <c r="H17" s="101" t="str">
        <f t="shared" si="1"/>
        <v>Sinapi 39130</v>
      </c>
      <c r="I17" s="101" t="str">
        <f t="shared" si="2"/>
        <v>UN</v>
      </c>
      <c r="J17" s="140" t="str">
        <f t="shared" si="3"/>
        <v>ABRACADEIRA EM ACO PARA AMARRACAO DE ELETRODUTOS, TIPO D, COM 1 1/4" E CUNHA DE FIXACAO</v>
      </c>
    </row>
    <row r="18" spans="1:10" x14ac:dyDescent="0.25">
      <c r="A18" s="169">
        <v>395</v>
      </c>
      <c r="B18" s="169" t="s">
        <v>23365</v>
      </c>
      <c r="C18" s="169" t="s">
        <v>10225</v>
      </c>
      <c r="D18" s="169" t="s">
        <v>1289</v>
      </c>
      <c r="E18" s="103" t="s">
        <v>10384</v>
      </c>
      <c r="F18" s="104"/>
      <c r="G18" s="105">
        <f t="shared" si="0"/>
        <v>4.87</v>
      </c>
      <c r="H18" s="101" t="str">
        <f t="shared" si="1"/>
        <v>Sinapi 395</v>
      </c>
      <c r="I18" s="101" t="str">
        <f t="shared" si="2"/>
        <v>UN</v>
      </c>
      <c r="J18" s="140" t="str">
        <f t="shared" si="3"/>
        <v>ABRACADEIRA EM ACO PARA AMARRACAO DE ELETRODUTOS, TIPO D, COM 1 1/4" E PARAFUSO DE FIXACAO</v>
      </c>
    </row>
    <row r="19" spans="1:10" x14ac:dyDescent="0.25">
      <c r="A19" s="169">
        <v>39127</v>
      </c>
      <c r="B19" s="169" t="s">
        <v>23366</v>
      </c>
      <c r="C19" s="169" t="s">
        <v>10225</v>
      </c>
      <c r="D19" s="169" t="s">
        <v>1289</v>
      </c>
      <c r="E19" s="103" t="s">
        <v>13842</v>
      </c>
      <c r="F19" s="104"/>
      <c r="G19" s="105">
        <f t="shared" si="0"/>
        <v>2.4</v>
      </c>
      <c r="H19" s="101" t="str">
        <f t="shared" si="1"/>
        <v>Sinapi 39127</v>
      </c>
      <c r="I19" s="101" t="str">
        <f t="shared" si="2"/>
        <v>UN</v>
      </c>
      <c r="J19" s="140" t="str">
        <f t="shared" si="3"/>
        <v>ABRACADEIRA EM ACO PARA AMARRACAO DE ELETRODUTOS, TIPO D, COM 1/2" E CUNHA DE FIXACAO</v>
      </c>
    </row>
    <row r="20" spans="1:10" x14ac:dyDescent="0.25">
      <c r="A20" s="169">
        <v>392</v>
      </c>
      <c r="B20" s="169" t="s">
        <v>23368</v>
      </c>
      <c r="C20" s="169" t="s">
        <v>10225</v>
      </c>
      <c r="D20" s="169" t="s">
        <v>1289</v>
      </c>
      <c r="E20" s="103" t="s">
        <v>21323</v>
      </c>
      <c r="F20" s="104"/>
      <c r="G20" s="105">
        <f t="shared" si="0"/>
        <v>2.4700000000000002</v>
      </c>
      <c r="H20" s="101" t="str">
        <f t="shared" si="1"/>
        <v>Sinapi 392</v>
      </c>
      <c r="I20" s="101" t="str">
        <f t="shared" si="2"/>
        <v>UN</v>
      </c>
      <c r="J20" s="140" t="str">
        <f t="shared" si="3"/>
        <v>ABRACADEIRA EM ACO PARA AMARRACAO DE ELETRODUTOS, TIPO D, COM 1/2" E PARAFUSO DE FIXACAO</v>
      </c>
    </row>
    <row r="21" spans="1:10" x14ac:dyDescent="0.25">
      <c r="A21" s="169">
        <v>39129</v>
      </c>
      <c r="B21" s="169" t="s">
        <v>23369</v>
      </c>
      <c r="C21" s="169" t="s">
        <v>10225</v>
      </c>
      <c r="D21" s="169" t="s">
        <v>1289</v>
      </c>
      <c r="E21" s="103" t="s">
        <v>20042</v>
      </c>
      <c r="F21" s="104"/>
      <c r="G21" s="105">
        <f t="shared" si="0"/>
        <v>2.81</v>
      </c>
      <c r="H21" s="101" t="str">
        <f t="shared" si="1"/>
        <v>Sinapi 39129</v>
      </c>
      <c r="I21" s="101" t="str">
        <f t="shared" si="2"/>
        <v>UN</v>
      </c>
      <c r="J21" s="140" t="str">
        <f t="shared" si="3"/>
        <v>ABRACADEIRA EM ACO PARA AMARRACAO DE ELETRODUTOS, TIPO D, COM 1" E CUNHA DE FIXACAO</v>
      </c>
    </row>
    <row r="22" spans="1:10" x14ac:dyDescent="0.25">
      <c r="A22" s="169">
        <v>393</v>
      </c>
      <c r="B22" s="169" t="s">
        <v>23370</v>
      </c>
      <c r="C22" s="169" t="s">
        <v>10225</v>
      </c>
      <c r="D22" s="169" t="s">
        <v>1288</v>
      </c>
      <c r="E22" s="103" t="s">
        <v>15573</v>
      </c>
      <c r="F22" s="104"/>
      <c r="G22" s="105">
        <f t="shared" si="0"/>
        <v>2.94</v>
      </c>
      <c r="H22" s="101" t="str">
        <f t="shared" si="1"/>
        <v>Sinapi 393</v>
      </c>
      <c r="I22" s="101" t="str">
        <f t="shared" si="2"/>
        <v>UN</v>
      </c>
      <c r="J22" s="140" t="str">
        <f t="shared" si="3"/>
        <v>ABRACADEIRA EM ACO PARA AMARRACAO DE ELETRODUTOS, TIPO D, COM 1" E PARAFUSO DE FIXACAO</v>
      </c>
    </row>
    <row r="23" spans="1:10" x14ac:dyDescent="0.25">
      <c r="A23" s="169">
        <v>39133</v>
      </c>
      <c r="B23" s="169" t="s">
        <v>23371</v>
      </c>
      <c r="C23" s="169" t="s">
        <v>10225</v>
      </c>
      <c r="D23" s="169" t="s">
        <v>1289</v>
      </c>
      <c r="E23" s="103" t="s">
        <v>16312</v>
      </c>
      <c r="F23" s="104"/>
      <c r="G23" s="105">
        <f t="shared" si="0"/>
        <v>6.56</v>
      </c>
      <c r="H23" s="101" t="str">
        <f t="shared" si="1"/>
        <v>Sinapi 39133</v>
      </c>
      <c r="I23" s="101" t="str">
        <f t="shared" si="2"/>
        <v>UN</v>
      </c>
      <c r="J23" s="140" t="str">
        <f t="shared" si="3"/>
        <v>ABRACADEIRA EM ACO PARA AMARRACAO DE ELETRODUTOS, TIPO D, COM 2 1/2" E CUNHA DE FIXACAO</v>
      </c>
    </row>
    <row r="24" spans="1:10" x14ac:dyDescent="0.25">
      <c r="A24" s="169">
        <v>397</v>
      </c>
      <c r="B24" s="169" t="s">
        <v>23372</v>
      </c>
      <c r="C24" s="169" t="s">
        <v>10225</v>
      </c>
      <c r="D24" s="169" t="s">
        <v>1289</v>
      </c>
      <c r="E24" s="103" t="s">
        <v>7321</v>
      </c>
      <c r="F24" s="104"/>
      <c r="G24" s="105">
        <f t="shared" si="0"/>
        <v>7.25</v>
      </c>
      <c r="H24" s="101" t="str">
        <f t="shared" si="1"/>
        <v>Sinapi 397</v>
      </c>
      <c r="I24" s="101" t="str">
        <f t="shared" si="2"/>
        <v>UN</v>
      </c>
      <c r="J24" s="140" t="str">
        <f t="shared" si="3"/>
        <v>ABRACADEIRA EM ACO PARA AMARRACAO DE ELETRODUTOS, TIPO D, COM 2 1/2" E PARAFUSO DE FIXACAO</v>
      </c>
    </row>
    <row r="25" spans="1:10" x14ac:dyDescent="0.25">
      <c r="A25" s="169">
        <v>39132</v>
      </c>
      <c r="B25" s="169" t="s">
        <v>23373</v>
      </c>
      <c r="C25" s="169" t="s">
        <v>10225</v>
      </c>
      <c r="D25" s="169" t="s">
        <v>1289</v>
      </c>
      <c r="E25" s="103" t="s">
        <v>12327</v>
      </c>
      <c r="F25" s="104"/>
      <c r="G25" s="105">
        <f t="shared" si="0"/>
        <v>5.25</v>
      </c>
      <c r="H25" s="101" t="str">
        <f t="shared" si="1"/>
        <v>Sinapi 39132</v>
      </c>
      <c r="I25" s="101" t="str">
        <f t="shared" si="2"/>
        <v>UN</v>
      </c>
      <c r="J25" s="140" t="str">
        <f t="shared" si="3"/>
        <v>ABRACADEIRA EM ACO PARA AMARRACAO DE ELETRODUTOS, TIPO D, COM 2" E CUNHA DE FIXACAO</v>
      </c>
    </row>
    <row r="26" spans="1:10" x14ac:dyDescent="0.25">
      <c r="A26" s="169">
        <v>396</v>
      </c>
      <c r="B26" s="169" t="s">
        <v>23374</v>
      </c>
      <c r="C26" s="169" t="s">
        <v>10225</v>
      </c>
      <c r="D26" s="169" t="s">
        <v>1289</v>
      </c>
      <c r="E26" s="103" t="s">
        <v>16350</v>
      </c>
      <c r="F26" s="104"/>
      <c r="G26" s="105">
        <f t="shared" si="0"/>
        <v>5.62</v>
      </c>
      <c r="H26" s="101" t="str">
        <f t="shared" si="1"/>
        <v>Sinapi 396</v>
      </c>
      <c r="I26" s="101" t="str">
        <f t="shared" si="2"/>
        <v>UN</v>
      </c>
      <c r="J26" s="140" t="str">
        <f t="shared" si="3"/>
        <v>ABRACADEIRA EM ACO PARA AMARRACAO DE ELETRODUTOS, TIPO D, COM 2" E PARAFUSO DE FIXACAO</v>
      </c>
    </row>
    <row r="27" spans="1:10" x14ac:dyDescent="0.25">
      <c r="A27" s="169">
        <v>39135</v>
      </c>
      <c r="B27" s="169" t="s">
        <v>23375</v>
      </c>
      <c r="C27" s="169" t="s">
        <v>10225</v>
      </c>
      <c r="D27" s="169" t="s">
        <v>1289</v>
      </c>
      <c r="E27" s="103" t="s">
        <v>14789</v>
      </c>
      <c r="F27" s="104"/>
      <c r="G27" s="105">
        <f t="shared" si="0"/>
        <v>10.5</v>
      </c>
      <c r="H27" s="101" t="str">
        <f t="shared" si="1"/>
        <v>Sinapi 39135</v>
      </c>
      <c r="I27" s="101" t="str">
        <f t="shared" si="2"/>
        <v>UN</v>
      </c>
      <c r="J27" s="140" t="str">
        <f t="shared" si="3"/>
        <v>ABRACADEIRA EM ACO PARA AMARRACAO DE ELETRODUTOS, TIPO D, COM 3 1/2" E CUNHA DE FIXACAO</v>
      </c>
    </row>
    <row r="28" spans="1:10" x14ac:dyDescent="0.25">
      <c r="A28" s="169">
        <v>39128</v>
      </c>
      <c r="B28" s="169" t="s">
        <v>23376</v>
      </c>
      <c r="C28" s="169" t="s">
        <v>10225</v>
      </c>
      <c r="D28" s="169" t="s">
        <v>1289</v>
      </c>
      <c r="E28" s="103" t="s">
        <v>14945</v>
      </c>
      <c r="F28" s="104"/>
      <c r="G28" s="105">
        <f t="shared" si="0"/>
        <v>2.62</v>
      </c>
      <c r="H28" s="101" t="str">
        <f t="shared" si="1"/>
        <v>Sinapi 39128</v>
      </c>
      <c r="I28" s="101" t="str">
        <f t="shared" si="2"/>
        <v>UN</v>
      </c>
      <c r="J28" s="140" t="str">
        <f t="shared" si="3"/>
        <v>ABRACADEIRA EM ACO PARA AMARRACAO DE ELETRODUTOS, TIPO D, COM 3/4" E CUNHA DE FIXACAO</v>
      </c>
    </row>
    <row r="29" spans="1:10" x14ac:dyDescent="0.25">
      <c r="A29" s="169">
        <v>400</v>
      </c>
      <c r="B29" s="169" t="s">
        <v>23377</v>
      </c>
      <c r="C29" s="169" t="s">
        <v>10225</v>
      </c>
      <c r="D29" s="169" t="s">
        <v>1289</v>
      </c>
      <c r="E29" s="103" t="s">
        <v>21017</v>
      </c>
      <c r="F29" s="104"/>
      <c r="G29" s="105">
        <f t="shared" si="0"/>
        <v>2.56</v>
      </c>
      <c r="H29" s="101" t="str">
        <f t="shared" si="1"/>
        <v>Sinapi 400</v>
      </c>
      <c r="I29" s="101" t="str">
        <f t="shared" si="2"/>
        <v>UN</v>
      </c>
      <c r="J29" s="140" t="str">
        <f t="shared" si="3"/>
        <v>ABRACADEIRA EM ACO PARA AMARRACAO DE ELETRODUTOS, TIPO D, COM 3/4" E PARAFUSO DE FIXACAO</v>
      </c>
    </row>
    <row r="30" spans="1:10" x14ac:dyDescent="0.25">
      <c r="A30" s="169">
        <v>39125</v>
      </c>
      <c r="B30" s="169" t="s">
        <v>23378</v>
      </c>
      <c r="C30" s="169" t="s">
        <v>10225</v>
      </c>
      <c r="D30" s="169" t="s">
        <v>1289</v>
      </c>
      <c r="E30" s="103" t="s">
        <v>14945</v>
      </c>
      <c r="F30" s="104"/>
      <c r="G30" s="105">
        <f t="shared" si="0"/>
        <v>2.62</v>
      </c>
      <c r="H30" s="101" t="str">
        <f t="shared" si="1"/>
        <v>Sinapi 39125</v>
      </c>
      <c r="I30" s="101" t="str">
        <f t="shared" si="2"/>
        <v>UN</v>
      </c>
      <c r="J30" s="140" t="str">
        <f t="shared" si="3"/>
        <v>ABRACADEIRA EM ACO PARA AMARRACAO DE ELETRODUTOS, TIPO D, COM 3/8" E PARAFUSO DE FIXACAO</v>
      </c>
    </row>
    <row r="31" spans="1:10" x14ac:dyDescent="0.25">
      <c r="A31" s="169">
        <v>39134</v>
      </c>
      <c r="B31" s="169" t="s">
        <v>23379</v>
      </c>
      <c r="C31" s="169" t="s">
        <v>10225</v>
      </c>
      <c r="D31" s="169" t="s">
        <v>1289</v>
      </c>
      <c r="E31" s="103" t="s">
        <v>22876</v>
      </c>
      <c r="F31" s="104"/>
      <c r="G31" s="105">
        <f t="shared" si="0"/>
        <v>8.75</v>
      </c>
      <c r="H31" s="101" t="str">
        <f t="shared" si="1"/>
        <v>Sinapi 39134</v>
      </c>
      <c r="I31" s="101" t="str">
        <f t="shared" si="2"/>
        <v>UN</v>
      </c>
      <c r="J31" s="140" t="str">
        <f t="shared" si="3"/>
        <v>ABRACADEIRA EM ACO PARA AMARRACAO DE ELETRODUTOS, TIPO D, COM 3" E CUNHA DE FIXACAO</v>
      </c>
    </row>
    <row r="32" spans="1:10" x14ac:dyDescent="0.25">
      <c r="A32" s="169">
        <v>398</v>
      </c>
      <c r="B32" s="169" t="s">
        <v>23380</v>
      </c>
      <c r="C32" s="169" t="s">
        <v>10225</v>
      </c>
      <c r="D32" s="169" t="s">
        <v>1289</v>
      </c>
      <c r="E32" s="103" t="s">
        <v>10254</v>
      </c>
      <c r="F32" s="104"/>
      <c r="G32" s="105">
        <f t="shared" si="0"/>
        <v>8.06</v>
      </c>
      <c r="H32" s="101" t="str">
        <f t="shared" si="1"/>
        <v>Sinapi 398</v>
      </c>
      <c r="I32" s="101" t="str">
        <f t="shared" si="2"/>
        <v>UN</v>
      </c>
      <c r="J32" s="140" t="str">
        <f t="shared" si="3"/>
        <v>ABRACADEIRA EM ACO PARA AMARRACAO DE ELETRODUTOS, TIPO D, COM 3" E PARAFUSO DE FIXACAO</v>
      </c>
    </row>
    <row r="33" spans="1:10" x14ac:dyDescent="0.25">
      <c r="A33" s="169">
        <v>39126</v>
      </c>
      <c r="B33" s="169" t="s">
        <v>23382</v>
      </c>
      <c r="C33" s="169" t="s">
        <v>10225</v>
      </c>
      <c r="D33" s="169" t="s">
        <v>1289</v>
      </c>
      <c r="E33" s="103" t="s">
        <v>7328</v>
      </c>
      <c r="F33" s="104"/>
      <c r="G33" s="105">
        <f t="shared" si="0"/>
        <v>11.82</v>
      </c>
      <c r="H33" s="101" t="str">
        <f t="shared" si="1"/>
        <v>Sinapi 39126</v>
      </c>
      <c r="I33" s="101" t="str">
        <f t="shared" si="2"/>
        <v>UN</v>
      </c>
      <c r="J33" s="140" t="str">
        <f t="shared" si="3"/>
        <v>ABRACADEIRA EM ACO PARA AMARRACAO DE ELETRODUTOS, TIPO D, COM 4" E CUNHA DE FIXACAO</v>
      </c>
    </row>
    <row r="34" spans="1:10" x14ac:dyDescent="0.25">
      <c r="A34" s="169">
        <v>399</v>
      </c>
      <c r="B34" s="169" t="s">
        <v>23383</v>
      </c>
      <c r="C34" s="169" t="s">
        <v>10225</v>
      </c>
      <c r="D34" s="169" t="s">
        <v>1289</v>
      </c>
      <c r="E34" s="103" t="s">
        <v>16403</v>
      </c>
      <c r="F34" s="104"/>
      <c r="G34" s="105">
        <f t="shared" si="0"/>
        <v>10.41</v>
      </c>
      <c r="H34" s="101" t="str">
        <f t="shared" si="1"/>
        <v>Sinapi 399</v>
      </c>
      <c r="I34" s="101" t="str">
        <f t="shared" si="2"/>
        <v>UN</v>
      </c>
      <c r="J34" s="140" t="str">
        <f t="shared" si="3"/>
        <v>ABRACADEIRA EM ACO PARA AMARRACAO DE ELETRODUTOS, TIPO D, COM 4" E PARAFUSO DE FIXACAO</v>
      </c>
    </row>
    <row r="35" spans="1:10" x14ac:dyDescent="0.25">
      <c r="A35" s="169">
        <v>39158</v>
      </c>
      <c r="B35" s="169" t="s">
        <v>23385</v>
      </c>
      <c r="C35" s="169" t="s">
        <v>10225</v>
      </c>
      <c r="D35" s="169" t="s">
        <v>1289</v>
      </c>
      <c r="E35" s="103" t="s">
        <v>19943</v>
      </c>
      <c r="F35" s="104"/>
      <c r="G35" s="105">
        <f t="shared" si="0"/>
        <v>27.96</v>
      </c>
      <c r="H35" s="101" t="str">
        <f t="shared" si="1"/>
        <v>Sinapi 39158</v>
      </c>
      <c r="I35" s="101" t="str">
        <f t="shared" si="2"/>
        <v>UN</v>
      </c>
      <c r="J35" s="140" t="str">
        <f t="shared" si="3"/>
        <v>ABRACADEIRA EM ACO PARA AMARRACAO DE ELETRODUTOS, TIPO ECONOMICA (GOTA), COM 8"</v>
      </c>
    </row>
    <row r="36" spans="1:10" x14ac:dyDescent="0.25">
      <c r="A36" s="169">
        <v>39141</v>
      </c>
      <c r="B36" s="169" t="s">
        <v>23386</v>
      </c>
      <c r="C36" s="169" t="s">
        <v>10225</v>
      </c>
      <c r="D36" s="169" t="s">
        <v>1289</v>
      </c>
      <c r="E36" s="103" t="s">
        <v>19417</v>
      </c>
      <c r="F36" s="104"/>
      <c r="G36" s="105">
        <f t="shared" si="0"/>
        <v>2.0299999999999998</v>
      </c>
      <c r="H36" s="101" t="str">
        <f t="shared" si="1"/>
        <v>Sinapi 39141</v>
      </c>
      <c r="I36" s="101" t="str">
        <f t="shared" si="2"/>
        <v>UN</v>
      </c>
      <c r="J36" s="140" t="str">
        <f t="shared" si="3"/>
        <v>ABRACADEIRA EM ACO PARA AMARRACAO DE ELETRODUTOS, TIPO U SIMPLES, COM 1 1/2"</v>
      </c>
    </row>
    <row r="37" spans="1:10" x14ac:dyDescent="0.25">
      <c r="A37" s="169">
        <v>39140</v>
      </c>
      <c r="B37" s="169" t="s">
        <v>23387</v>
      </c>
      <c r="C37" s="169" t="s">
        <v>10225</v>
      </c>
      <c r="D37" s="169" t="s">
        <v>1289</v>
      </c>
      <c r="E37" s="103" t="s">
        <v>3333</v>
      </c>
      <c r="F37" s="104"/>
      <c r="G37" s="105">
        <f t="shared" si="0"/>
        <v>1.84</v>
      </c>
      <c r="H37" s="101" t="str">
        <f t="shared" si="1"/>
        <v>Sinapi 39140</v>
      </c>
      <c r="I37" s="101" t="str">
        <f t="shared" si="2"/>
        <v>UN</v>
      </c>
      <c r="J37" s="140" t="str">
        <f t="shared" si="3"/>
        <v>ABRACADEIRA EM ACO PARA AMARRACAO DE ELETRODUTOS, TIPO U SIMPLES, COM 1 1/4"</v>
      </c>
    </row>
    <row r="38" spans="1:10" x14ac:dyDescent="0.25">
      <c r="A38" s="169">
        <v>39137</v>
      </c>
      <c r="B38" s="169" t="s">
        <v>23389</v>
      </c>
      <c r="C38" s="169" t="s">
        <v>10225</v>
      </c>
      <c r="D38" s="169" t="s">
        <v>1289</v>
      </c>
      <c r="E38" s="103" t="s">
        <v>16200</v>
      </c>
      <c r="F38" s="104"/>
      <c r="G38" s="105">
        <f t="shared" si="0"/>
        <v>1.06</v>
      </c>
      <c r="H38" s="101" t="str">
        <f t="shared" si="1"/>
        <v>Sinapi 39137</v>
      </c>
      <c r="I38" s="101" t="str">
        <f t="shared" si="2"/>
        <v>UN</v>
      </c>
      <c r="J38" s="140" t="str">
        <f t="shared" si="3"/>
        <v>ABRACADEIRA EM ACO PARA AMARRACAO DE ELETRODUTOS, TIPO U SIMPLES, COM 1/2"</v>
      </c>
    </row>
    <row r="39" spans="1:10" x14ac:dyDescent="0.25">
      <c r="A39" s="169">
        <v>39139</v>
      </c>
      <c r="B39" s="169" t="s">
        <v>23390</v>
      </c>
      <c r="C39" s="169" t="s">
        <v>10225</v>
      </c>
      <c r="D39" s="169" t="s">
        <v>1289</v>
      </c>
      <c r="E39" s="103" t="s">
        <v>9316</v>
      </c>
      <c r="F39" s="104"/>
      <c r="G39" s="105">
        <f t="shared" si="0"/>
        <v>1.53</v>
      </c>
      <c r="H39" s="101" t="str">
        <f t="shared" si="1"/>
        <v>Sinapi 39139</v>
      </c>
      <c r="I39" s="101" t="str">
        <f t="shared" si="2"/>
        <v>UN</v>
      </c>
      <c r="J39" s="140" t="str">
        <f t="shared" si="3"/>
        <v>ABRACADEIRA EM ACO PARA AMARRACAO DE ELETRODUTOS, TIPO U SIMPLES, COM 1"</v>
      </c>
    </row>
    <row r="40" spans="1:10" x14ac:dyDescent="0.25">
      <c r="A40" s="169">
        <v>39143</v>
      </c>
      <c r="B40" s="169" t="s">
        <v>23391</v>
      </c>
      <c r="C40" s="169" t="s">
        <v>10225</v>
      </c>
      <c r="D40" s="169" t="s">
        <v>1289</v>
      </c>
      <c r="E40" s="103" t="s">
        <v>14317</v>
      </c>
      <c r="F40" s="104"/>
      <c r="G40" s="105">
        <f t="shared" si="0"/>
        <v>4.1900000000000004</v>
      </c>
      <c r="H40" s="101" t="str">
        <f t="shared" si="1"/>
        <v>Sinapi 39143</v>
      </c>
      <c r="I40" s="101" t="str">
        <f t="shared" si="2"/>
        <v>UN</v>
      </c>
      <c r="J40" s="140" t="str">
        <f t="shared" si="3"/>
        <v>ABRACADEIRA EM ACO PARA AMARRACAO DE ELETRODUTOS, TIPO U SIMPLES, COM 2 1/2"</v>
      </c>
    </row>
    <row r="41" spans="1:10" x14ac:dyDescent="0.25">
      <c r="A41" s="169">
        <v>39142</v>
      </c>
      <c r="B41" s="169" t="s">
        <v>23392</v>
      </c>
      <c r="C41" s="169" t="s">
        <v>10225</v>
      </c>
      <c r="D41" s="169" t="s">
        <v>1289</v>
      </c>
      <c r="E41" s="103" t="s">
        <v>29533</v>
      </c>
      <c r="F41" s="104"/>
      <c r="G41" s="105">
        <f t="shared" si="0"/>
        <v>3</v>
      </c>
      <c r="H41" s="101" t="str">
        <f t="shared" si="1"/>
        <v>Sinapi 39142</v>
      </c>
      <c r="I41" s="101" t="str">
        <f t="shared" si="2"/>
        <v>UN</v>
      </c>
      <c r="J41" s="140" t="str">
        <f t="shared" si="3"/>
        <v>ABRACADEIRA EM ACO PARA AMARRACAO DE ELETRODUTOS, TIPO U SIMPLES, COM 2"</v>
      </c>
    </row>
    <row r="42" spans="1:10" x14ac:dyDescent="0.25">
      <c r="A42" s="169">
        <v>39138</v>
      </c>
      <c r="B42" s="169" t="s">
        <v>23393</v>
      </c>
      <c r="C42" s="169" t="s">
        <v>10225</v>
      </c>
      <c r="D42" s="169" t="s">
        <v>1289</v>
      </c>
      <c r="E42" s="103" t="s">
        <v>3133</v>
      </c>
      <c r="F42" s="104"/>
      <c r="G42" s="105">
        <f t="shared" si="0"/>
        <v>1.1200000000000001</v>
      </c>
      <c r="H42" s="101" t="str">
        <f t="shared" si="1"/>
        <v>Sinapi 39138</v>
      </c>
      <c r="I42" s="101" t="str">
        <f t="shared" si="2"/>
        <v>UN</v>
      </c>
      <c r="J42" s="140" t="str">
        <f t="shared" si="3"/>
        <v>ABRACADEIRA EM ACO PARA AMARRACAO DE ELETRODUTOS, TIPO U SIMPLES, COM 3/4"</v>
      </c>
    </row>
    <row r="43" spans="1:10" x14ac:dyDescent="0.25">
      <c r="A43" s="169">
        <v>39136</v>
      </c>
      <c r="B43" s="169" t="s">
        <v>23394</v>
      </c>
      <c r="C43" s="169" t="s">
        <v>10225</v>
      </c>
      <c r="D43" s="169" t="s">
        <v>1289</v>
      </c>
      <c r="E43" s="103" t="s">
        <v>15674</v>
      </c>
      <c r="F43" s="104"/>
      <c r="G43" s="105">
        <f t="shared" si="0"/>
        <v>0.75</v>
      </c>
      <c r="H43" s="101" t="str">
        <f t="shared" si="1"/>
        <v>Sinapi 39136</v>
      </c>
      <c r="I43" s="101" t="str">
        <f t="shared" si="2"/>
        <v>UN</v>
      </c>
      <c r="J43" s="140" t="str">
        <f t="shared" si="3"/>
        <v>ABRACADEIRA EM ACO PARA AMARRACAO DE ELETRODUTOS, TIPO U SIMPLES, COM 3/8"</v>
      </c>
    </row>
    <row r="44" spans="1:10" x14ac:dyDescent="0.25">
      <c r="A44" s="169">
        <v>39144</v>
      </c>
      <c r="B44" s="169" t="s">
        <v>23395</v>
      </c>
      <c r="C44" s="169" t="s">
        <v>10225</v>
      </c>
      <c r="D44" s="169" t="s">
        <v>1289</v>
      </c>
      <c r="E44" s="103" t="s">
        <v>10384</v>
      </c>
      <c r="F44" s="104"/>
      <c r="G44" s="105">
        <f t="shared" si="0"/>
        <v>4.87</v>
      </c>
      <c r="H44" s="101" t="str">
        <f t="shared" si="1"/>
        <v>Sinapi 39144</v>
      </c>
      <c r="I44" s="101" t="str">
        <f t="shared" si="2"/>
        <v>UN</v>
      </c>
      <c r="J44" s="140" t="str">
        <f t="shared" si="3"/>
        <v>ABRACADEIRA EM ACO PARA AMARRACAO DE ELETRODUTOS, TIPO U SIMPLES, COM 3"</v>
      </c>
    </row>
    <row r="45" spans="1:10" x14ac:dyDescent="0.25">
      <c r="A45" s="169">
        <v>39145</v>
      </c>
      <c r="B45" s="169" t="s">
        <v>23396</v>
      </c>
      <c r="C45" s="169" t="s">
        <v>10225</v>
      </c>
      <c r="D45" s="169" t="s">
        <v>1289</v>
      </c>
      <c r="E45" s="103" t="s">
        <v>17400</v>
      </c>
      <c r="F45" s="104"/>
      <c r="G45" s="105">
        <f t="shared" si="0"/>
        <v>8.0299999999999994</v>
      </c>
      <c r="H45" s="101" t="str">
        <f t="shared" si="1"/>
        <v>Sinapi 39145</v>
      </c>
      <c r="I45" s="101" t="str">
        <f t="shared" si="2"/>
        <v>UN</v>
      </c>
      <c r="J45" s="140" t="str">
        <f t="shared" si="3"/>
        <v>ABRACADEIRA EM ACO PARA AMARRACAO DE ELETRODUTOS, TIPO U SIMPLES, COM 4"</v>
      </c>
    </row>
    <row r="46" spans="1:10" x14ac:dyDescent="0.25">
      <c r="A46" s="169">
        <v>12615</v>
      </c>
      <c r="B46" s="169" t="s">
        <v>23397</v>
      </c>
      <c r="C46" s="169" t="s">
        <v>10225</v>
      </c>
      <c r="D46" s="169" t="s">
        <v>1289</v>
      </c>
      <c r="E46" s="103" t="s">
        <v>22838</v>
      </c>
      <c r="F46" s="104"/>
      <c r="G46" s="105">
        <f t="shared" si="0"/>
        <v>12.59</v>
      </c>
      <c r="H46" s="101" t="str">
        <f t="shared" si="1"/>
        <v>Sinapi 12615</v>
      </c>
      <c r="I46" s="101" t="str">
        <f t="shared" si="2"/>
        <v>UN</v>
      </c>
      <c r="J46" s="140" t="str">
        <f t="shared" si="3"/>
        <v>ABRACADEIRA PVC, PARA CALHA PLUVIAL, DIAMETRO ENTRE *80 E 100* MM, PARA DRENAGEM PLUVIAL PREDIAL</v>
      </c>
    </row>
    <row r="47" spans="1:10" x14ac:dyDescent="0.25">
      <c r="A47" s="169">
        <v>11927</v>
      </c>
      <c r="B47" s="169" t="s">
        <v>23398</v>
      </c>
      <c r="C47" s="169" t="s">
        <v>10225</v>
      </c>
      <c r="D47" s="169" t="s">
        <v>1290</v>
      </c>
      <c r="E47" s="103" t="s">
        <v>5291</v>
      </c>
      <c r="F47" s="104"/>
      <c r="G47" s="105">
        <f t="shared" si="0"/>
        <v>8.9499999999999993</v>
      </c>
      <c r="H47" s="101" t="str">
        <f t="shared" si="1"/>
        <v>Sinapi 11927</v>
      </c>
      <c r="I47" s="101" t="str">
        <f t="shared" si="2"/>
        <v>UN</v>
      </c>
      <c r="J47" s="140" t="str">
        <f t="shared" si="3"/>
        <v>ABRACADEIRA, GALVANIZADA/ZINCADA, ROSCA SEM FIM, PARAFUSO INOX, LARGURA FITA *12,6 A *14 MM, D = 2" A 2 1/2"</v>
      </c>
    </row>
    <row r="48" spans="1:10" x14ac:dyDescent="0.25">
      <c r="A48" s="169">
        <v>11928</v>
      </c>
      <c r="B48" s="169" t="s">
        <v>23399</v>
      </c>
      <c r="C48" s="169" t="s">
        <v>10225</v>
      </c>
      <c r="D48" s="169" t="s">
        <v>1290</v>
      </c>
      <c r="E48" s="103" t="s">
        <v>18425</v>
      </c>
      <c r="F48" s="104"/>
      <c r="G48" s="105">
        <f t="shared" si="0"/>
        <v>10.26</v>
      </c>
      <c r="H48" s="101" t="str">
        <f t="shared" si="1"/>
        <v>Sinapi 11928</v>
      </c>
      <c r="I48" s="101" t="str">
        <f t="shared" si="2"/>
        <v>UN</v>
      </c>
      <c r="J48" s="140" t="str">
        <f t="shared" si="3"/>
        <v>ABRACADEIRA, GALVANIZADA/ZINCADA, ROSCA SEM FIM, PARAFUSO INOX, LARGURA FITA *12,6 A *14 MM, D = 3" A 3 3/4"</v>
      </c>
    </row>
    <row r="49" spans="1:10" x14ac:dyDescent="0.25">
      <c r="A49" s="169">
        <v>11929</v>
      </c>
      <c r="B49" s="169" t="s">
        <v>23400</v>
      </c>
      <c r="C49" s="169" t="s">
        <v>10225</v>
      </c>
      <c r="D49" s="169" t="s">
        <v>1290</v>
      </c>
      <c r="E49" s="103" t="s">
        <v>21362</v>
      </c>
      <c r="F49" s="104"/>
      <c r="G49" s="105">
        <f t="shared" si="0"/>
        <v>15.86</v>
      </c>
      <c r="H49" s="101" t="str">
        <f t="shared" si="1"/>
        <v>Sinapi 11929</v>
      </c>
      <c r="I49" s="101" t="str">
        <f t="shared" si="2"/>
        <v>UN</v>
      </c>
      <c r="J49" s="140" t="str">
        <f t="shared" si="3"/>
        <v>ABRACADEIRA, GALVANIZADA/ZINCADA, ROSCA SEM FIM, PARAFUSO INOX, LARGURA FITA *12,6 A *14 MM, D = 4" A 4 3/4"</v>
      </c>
    </row>
    <row r="50" spans="1:10" x14ac:dyDescent="0.25">
      <c r="A50" s="169">
        <v>36801</v>
      </c>
      <c r="B50" s="169" t="s">
        <v>23401</v>
      </c>
      <c r="C50" s="169" t="s">
        <v>10225</v>
      </c>
      <c r="D50" s="169" t="s">
        <v>1289</v>
      </c>
      <c r="E50" s="103" t="s">
        <v>17908</v>
      </c>
      <c r="F50" s="104"/>
      <c r="G50" s="105">
        <f t="shared" si="0"/>
        <v>21.74</v>
      </c>
      <c r="H50" s="101" t="str">
        <f t="shared" si="1"/>
        <v>Sinapi 36801</v>
      </c>
      <c r="I50" s="101" t="str">
        <f t="shared" si="2"/>
        <v>UN</v>
      </c>
      <c r="J50" s="140" t="str">
        <f t="shared" si="3"/>
        <v>ACABAMENTO DE METAL CROMADO PARA REGISTRO PEQUENO, DE PAREDE, 1/2 " OU 3/4 "</v>
      </c>
    </row>
    <row r="51" spans="1:10" x14ac:dyDescent="0.25">
      <c r="A51" s="169">
        <v>36246</v>
      </c>
      <c r="B51" s="169" t="s">
        <v>23402</v>
      </c>
      <c r="C51" s="169" t="s">
        <v>10229</v>
      </c>
      <c r="D51" s="169" t="s">
        <v>1289</v>
      </c>
      <c r="E51" s="103" t="s">
        <v>17284</v>
      </c>
      <c r="F51" s="104"/>
      <c r="G51" s="105">
        <f t="shared" si="0"/>
        <v>3.7</v>
      </c>
      <c r="H51" s="101" t="str">
        <f t="shared" si="1"/>
        <v>Sinapi 36246</v>
      </c>
      <c r="I51" s="101" t="str">
        <f t="shared" si="2"/>
        <v>M</v>
      </c>
      <c r="J51" s="140" t="str">
        <f t="shared" si="3"/>
        <v>ACABAMENTO SIMPLES/CONVENCIONAL PARA FORRO PVC, TIPO "U" OU "C", COR BRANCA, COMPRIMENTO 6 M</v>
      </c>
    </row>
    <row r="52" spans="1:10" x14ac:dyDescent="0.25">
      <c r="A52" s="169">
        <v>37600</v>
      </c>
      <c r="B52" s="169" t="s">
        <v>23403</v>
      </c>
      <c r="C52" s="169" t="s">
        <v>10225</v>
      </c>
      <c r="D52" s="169" t="s">
        <v>1290</v>
      </c>
      <c r="E52" s="103" t="s">
        <v>29534</v>
      </c>
      <c r="F52" s="104"/>
      <c r="G52" s="105">
        <f t="shared" si="0"/>
        <v>115.69</v>
      </c>
      <c r="H52" s="101" t="str">
        <f t="shared" si="1"/>
        <v>Sinapi 37600</v>
      </c>
      <c r="I52" s="101" t="str">
        <f t="shared" si="2"/>
        <v>UN</v>
      </c>
      <c r="J52" s="140" t="str">
        <f t="shared" si="3"/>
        <v>ACESSORIO DE LIGACAO NAO ELETRICO PARA CARGAS EXPLOSIVAS, TUBO DE 6 M</v>
      </c>
    </row>
    <row r="53" spans="1:10" x14ac:dyDescent="0.25">
      <c r="A53" s="169">
        <v>37599</v>
      </c>
      <c r="B53" s="169" t="s">
        <v>23404</v>
      </c>
      <c r="C53" s="169" t="s">
        <v>10225</v>
      </c>
      <c r="D53" s="169" t="s">
        <v>1290</v>
      </c>
      <c r="E53" s="103" t="s">
        <v>29302</v>
      </c>
      <c r="F53" s="104"/>
      <c r="G53" s="105">
        <f t="shared" si="0"/>
        <v>107.68</v>
      </c>
      <c r="H53" s="101" t="str">
        <f t="shared" si="1"/>
        <v>Sinapi 37599</v>
      </c>
      <c r="I53" s="101" t="str">
        <f t="shared" si="2"/>
        <v>UN</v>
      </c>
      <c r="J53" s="140" t="str">
        <f t="shared" si="3"/>
        <v>ACESSORIO INICIADOR NAO ELETRICO, TUBO DE 6 M, TEMPO DE RETARDO DE *160* MS</v>
      </c>
    </row>
    <row r="54" spans="1:10" x14ac:dyDescent="0.25">
      <c r="A54" s="169">
        <v>1</v>
      </c>
      <c r="B54" s="169" t="s">
        <v>23405</v>
      </c>
      <c r="C54" s="169" t="s">
        <v>10231</v>
      </c>
      <c r="D54" s="169" t="s">
        <v>1290</v>
      </c>
      <c r="E54" s="103" t="s">
        <v>21336</v>
      </c>
      <c r="F54" s="104"/>
      <c r="G54" s="105">
        <f t="shared" si="0"/>
        <v>78.5</v>
      </c>
      <c r="H54" s="101" t="str">
        <f t="shared" si="1"/>
        <v>Sinapi 1</v>
      </c>
      <c r="I54" s="101" t="str">
        <f t="shared" si="2"/>
        <v>KG</v>
      </c>
      <c r="J54" s="140" t="str">
        <f t="shared" si="3"/>
        <v>ACETILENO (RECARGA DE GAS ACETILENO PARA CILINDRO DE CONJUNTO OXICORTE GRANDE) NAO INCLUI TROCA/MANUTENCAO DO CILINDRO</v>
      </c>
    </row>
    <row r="55" spans="1:10" x14ac:dyDescent="0.25">
      <c r="A55" s="169">
        <v>3</v>
      </c>
      <c r="B55" s="169" t="s">
        <v>23406</v>
      </c>
      <c r="C55" s="169" t="s">
        <v>10230</v>
      </c>
      <c r="D55" s="169" t="s">
        <v>1289</v>
      </c>
      <c r="E55" s="103" t="s">
        <v>20076</v>
      </c>
      <c r="F55" s="104"/>
      <c r="G55" s="105">
        <f t="shared" si="0"/>
        <v>16.96</v>
      </c>
      <c r="H55" s="101" t="str">
        <f t="shared" si="1"/>
        <v>Sinapi 3</v>
      </c>
      <c r="I55" s="101" t="str">
        <f t="shared" si="2"/>
        <v>L</v>
      </c>
      <c r="J55" s="140" t="str">
        <f t="shared" si="3"/>
        <v>ACIDO CLORIDRICO / ACIDO MURIATICO, DILUICAO 10% A 12% PARA USO EM LIMPEZA</v>
      </c>
    </row>
    <row r="56" spans="1:10" x14ac:dyDescent="0.25">
      <c r="A56" s="169">
        <v>43054</v>
      </c>
      <c r="B56" s="169" t="s">
        <v>23408</v>
      </c>
      <c r="C56" s="169" t="s">
        <v>10231</v>
      </c>
      <c r="D56" s="169" t="s">
        <v>1289</v>
      </c>
      <c r="E56" s="103" t="s">
        <v>11133</v>
      </c>
      <c r="F56" s="104"/>
      <c r="G56" s="105">
        <f t="shared" si="0"/>
        <v>11.16</v>
      </c>
      <c r="H56" s="101" t="str">
        <f t="shared" si="1"/>
        <v>Sinapi 43054</v>
      </c>
      <c r="I56" s="101" t="str">
        <f t="shared" si="2"/>
        <v>KG</v>
      </c>
      <c r="J56" s="140" t="str">
        <f t="shared" si="3"/>
        <v>ACO CA-25, 10,0 MM, OU 12,5 MM, OU 16,0 MM, OU 20,0 MM, OU 25,0 MM, VERGALHAO</v>
      </c>
    </row>
    <row r="57" spans="1:10" x14ac:dyDescent="0.25">
      <c r="A57" s="169">
        <v>42402</v>
      </c>
      <c r="B57" s="169" t="s">
        <v>23409</v>
      </c>
      <c r="C57" s="169" t="s">
        <v>10231</v>
      </c>
      <c r="D57" s="169" t="s">
        <v>1289</v>
      </c>
      <c r="E57" s="103" t="s">
        <v>21467</v>
      </c>
      <c r="F57" s="104"/>
      <c r="G57" s="105">
        <f t="shared" si="0"/>
        <v>10.67</v>
      </c>
      <c r="H57" s="101" t="str">
        <f t="shared" si="1"/>
        <v>Sinapi 42402</v>
      </c>
      <c r="I57" s="101" t="str">
        <f t="shared" si="2"/>
        <v>KG</v>
      </c>
      <c r="J57" s="140" t="str">
        <f t="shared" si="3"/>
        <v>ACO CA-25, 16,0 MM, BARRA DE TRANSFERENCIA</v>
      </c>
    </row>
    <row r="58" spans="1:10" x14ac:dyDescent="0.25">
      <c r="A58" s="169">
        <v>42403</v>
      </c>
      <c r="B58" s="169" t="s">
        <v>23410</v>
      </c>
      <c r="C58" s="169" t="s">
        <v>10231</v>
      </c>
      <c r="D58" s="169" t="s">
        <v>1289</v>
      </c>
      <c r="E58" s="103" t="s">
        <v>15628</v>
      </c>
      <c r="F58" s="104"/>
      <c r="G58" s="105">
        <f t="shared" si="0"/>
        <v>13.69</v>
      </c>
      <c r="H58" s="101" t="str">
        <f t="shared" si="1"/>
        <v>Sinapi 42403</v>
      </c>
      <c r="I58" s="101" t="str">
        <f t="shared" si="2"/>
        <v>KG</v>
      </c>
      <c r="J58" s="140" t="str">
        <f t="shared" si="3"/>
        <v>ACO CA-25, 20,0 MM, BARRA DE TRANSFERENCIA</v>
      </c>
    </row>
    <row r="59" spans="1:10" x14ac:dyDescent="0.25">
      <c r="A59" s="169">
        <v>42404</v>
      </c>
      <c r="B59" s="169" t="s">
        <v>23412</v>
      </c>
      <c r="C59" s="169" t="s">
        <v>10231</v>
      </c>
      <c r="D59" s="169" t="s">
        <v>1289</v>
      </c>
      <c r="E59" s="103" t="s">
        <v>29535</v>
      </c>
      <c r="F59" s="104"/>
      <c r="G59" s="105">
        <f t="shared" si="0"/>
        <v>13.61</v>
      </c>
      <c r="H59" s="101" t="str">
        <f t="shared" si="1"/>
        <v>Sinapi 42404</v>
      </c>
      <c r="I59" s="101" t="str">
        <f t="shared" si="2"/>
        <v>KG</v>
      </c>
      <c r="J59" s="140" t="str">
        <f t="shared" si="3"/>
        <v>ACO CA-25, 25,0 MM, BARRA DE TRANSFERENCIA</v>
      </c>
    </row>
    <row r="60" spans="1:10" x14ac:dyDescent="0.25">
      <c r="A60" s="169">
        <v>42405</v>
      </c>
      <c r="B60" s="169" t="s">
        <v>23413</v>
      </c>
      <c r="C60" s="169" t="s">
        <v>10231</v>
      </c>
      <c r="D60" s="169" t="s">
        <v>1289</v>
      </c>
      <c r="E60" s="103" t="s">
        <v>21498</v>
      </c>
      <c r="F60" s="104"/>
      <c r="G60" s="105">
        <f t="shared" si="0"/>
        <v>14.5</v>
      </c>
      <c r="H60" s="101" t="str">
        <f t="shared" si="1"/>
        <v>Sinapi 42405</v>
      </c>
      <c r="I60" s="101" t="str">
        <f t="shared" si="2"/>
        <v>KG</v>
      </c>
      <c r="J60" s="140" t="str">
        <f t="shared" si="3"/>
        <v>ACO CA-25, 32,0 MM, BARRA DE TRANSFERENCIA</v>
      </c>
    </row>
    <row r="61" spans="1:10" x14ac:dyDescent="0.25">
      <c r="A61" s="169">
        <v>34341</v>
      </c>
      <c r="B61" s="169" t="s">
        <v>23414</v>
      </c>
      <c r="C61" s="169" t="s">
        <v>10231</v>
      </c>
      <c r="D61" s="169" t="s">
        <v>1289</v>
      </c>
      <c r="E61" s="103" t="s">
        <v>17362</v>
      </c>
      <c r="F61" s="104"/>
      <c r="G61" s="105">
        <f t="shared" si="0"/>
        <v>12.58</v>
      </c>
      <c r="H61" s="101" t="str">
        <f t="shared" si="1"/>
        <v>Sinapi 34341</v>
      </c>
      <c r="I61" s="101" t="str">
        <f t="shared" si="2"/>
        <v>KG</v>
      </c>
      <c r="J61" s="140" t="str">
        <f t="shared" si="3"/>
        <v>ACO CA-25, 32,0 MM, VERGALHAO</v>
      </c>
    </row>
    <row r="62" spans="1:10" x14ac:dyDescent="0.25">
      <c r="A62" s="169">
        <v>43053</v>
      </c>
      <c r="B62" s="169" t="s">
        <v>23415</v>
      </c>
      <c r="C62" s="169" t="s">
        <v>10231</v>
      </c>
      <c r="D62" s="169" t="s">
        <v>1289</v>
      </c>
      <c r="E62" s="103" t="s">
        <v>15504</v>
      </c>
      <c r="F62" s="104"/>
      <c r="G62" s="105">
        <f t="shared" si="0"/>
        <v>9.9700000000000006</v>
      </c>
      <c r="H62" s="101" t="str">
        <f t="shared" si="1"/>
        <v>Sinapi 43053</v>
      </c>
      <c r="I62" s="101" t="str">
        <f t="shared" si="2"/>
        <v>KG</v>
      </c>
      <c r="J62" s="140" t="str">
        <f t="shared" si="3"/>
        <v>ACO CA-25, 6,3 MM OU 8,0 MM, VERGALHAO</v>
      </c>
    </row>
    <row r="63" spans="1:10" x14ac:dyDescent="0.25">
      <c r="A63" s="169">
        <v>43058</v>
      </c>
      <c r="B63" s="169" t="s">
        <v>1232</v>
      </c>
      <c r="C63" s="169" t="s">
        <v>10231</v>
      </c>
      <c r="D63" s="169" t="s">
        <v>1289</v>
      </c>
      <c r="E63" s="103" t="s">
        <v>13840</v>
      </c>
      <c r="F63" s="104"/>
      <c r="G63" s="105">
        <f t="shared" si="0"/>
        <v>10.34</v>
      </c>
      <c r="H63" s="101" t="str">
        <f t="shared" si="1"/>
        <v>Sinapi 43058</v>
      </c>
      <c r="I63" s="101" t="str">
        <f t="shared" si="2"/>
        <v>KG</v>
      </c>
      <c r="J63" s="140" t="str">
        <f t="shared" si="3"/>
        <v>ACO CA-50, 10,0 MM, OU 12,5 MM, OU 16,0 MM, OU 20,0 MM, DOBRADO E CORTADO</v>
      </c>
    </row>
    <row r="64" spans="1:10" x14ac:dyDescent="0.25">
      <c r="A64" s="169">
        <v>34</v>
      </c>
      <c r="B64" s="169" t="s">
        <v>23416</v>
      </c>
      <c r="C64" s="169" t="s">
        <v>10231</v>
      </c>
      <c r="D64" s="169" t="s">
        <v>1289</v>
      </c>
      <c r="E64" s="103" t="s">
        <v>18356</v>
      </c>
      <c r="F64" s="104"/>
      <c r="G64" s="105">
        <f t="shared" si="0"/>
        <v>10.39</v>
      </c>
      <c r="H64" s="101" t="str">
        <f t="shared" si="1"/>
        <v>Sinapi 34</v>
      </c>
      <c r="I64" s="101" t="str">
        <f t="shared" si="2"/>
        <v>KG</v>
      </c>
      <c r="J64" s="140" t="str">
        <f t="shared" si="3"/>
        <v>ACO CA-50, 10,0 MM, VERGALHAO</v>
      </c>
    </row>
    <row r="65" spans="1:10" x14ac:dyDescent="0.25">
      <c r="A65" s="169">
        <v>43055</v>
      </c>
      <c r="B65" s="169" t="s">
        <v>649</v>
      </c>
      <c r="C65" s="169" t="s">
        <v>10231</v>
      </c>
      <c r="D65" s="169" t="s">
        <v>1288</v>
      </c>
      <c r="E65" s="103" t="s">
        <v>19264</v>
      </c>
      <c r="F65" s="104"/>
      <c r="G65" s="105">
        <f t="shared" si="0"/>
        <v>9</v>
      </c>
      <c r="H65" s="101" t="str">
        <f t="shared" si="1"/>
        <v>Sinapi 43055</v>
      </c>
      <c r="I65" s="101" t="str">
        <f t="shared" si="2"/>
        <v>KG</v>
      </c>
      <c r="J65" s="140" t="str">
        <f t="shared" si="3"/>
        <v>ACO CA-50, 12,5 MM OU 16,0 MM, VERGALHAO</v>
      </c>
    </row>
    <row r="66" spans="1:10" x14ac:dyDescent="0.25">
      <c r="A66" s="169">
        <v>43056</v>
      </c>
      <c r="B66" s="169" t="s">
        <v>1291</v>
      </c>
      <c r="C66" s="169" t="s">
        <v>10231</v>
      </c>
      <c r="D66" s="169" t="s">
        <v>1289</v>
      </c>
      <c r="E66" s="103" t="s">
        <v>18313</v>
      </c>
      <c r="F66" s="104"/>
      <c r="G66" s="105">
        <f t="shared" si="0"/>
        <v>10.38</v>
      </c>
      <c r="H66" s="101" t="str">
        <f t="shared" si="1"/>
        <v>Sinapi 43056</v>
      </c>
      <c r="I66" s="101" t="str">
        <f t="shared" si="2"/>
        <v>KG</v>
      </c>
      <c r="J66" s="140" t="str">
        <f t="shared" si="3"/>
        <v>ACO CA-50, 20,0 MM OU 25,0 MM, VERGALHAO</v>
      </c>
    </row>
    <row r="67" spans="1:10" x14ac:dyDescent="0.25">
      <c r="A67" s="169">
        <v>43057</v>
      </c>
      <c r="B67" s="169" t="s">
        <v>23417</v>
      </c>
      <c r="C67" s="169" t="s">
        <v>10231</v>
      </c>
      <c r="D67" s="169" t="s">
        <v>1289</v>
      </c>
      <c r="E67" s="103" t="s">
        <v>17943</v>
      </c>
      <c r="F67" s="104"/>
      <c r="G67" s="105">
        <f t="shared" si="0"/>
        <v>11.4</v>
      </c>
      <c r="H67" s="101" t="str">
        <f t="shared" si="1"/>
        <v>Sinapi 43057</v>
      </c>
      <c r="I67" s="101" t="str">
        <f t="shared" si="2"/>
        <v>KG</v>
      </c>
      <c r="J67" s="140" t="str">
        <f t="shared" si="3"/>
        <v>ACO CA-50, 32,0 MM, VERGALHAO</v>
      </c>
    </row>
    <row r="68" spans="1:10" x14ac:dyDescent="0.25">
      <c r="A68" s="169">
        <v>34449</v>
      </c>
      <c r="B68" s="169" t="s">
        <v>23418</v>
      </c>
      <c r="C68" s="169" t="s">
        <v>10231</v>
      </c>
      <c r="D68" s="169" t="s">
        <v>1289</v>
      </c>
      <c r="E68" s="103" t="s">
        <v>21809</v>
      </c>
      <c r="F68" s="104"/>
      <c r="G68" s="105">
        <f t="shared" si="0"/>
        <v>12.19</v>
      </c>
      <c r="H68" s="101" t="str">
        <f t="shared" si="1"/>
        <v>Sinapi 34449</v>
      </c>
      <c r="I68" s="101" t="str">
        <f t="shared" si="2"/>
        <v>KG</v>
      </c>
      <c r="J68" s="140" t="str">
        <f t="shared" si="3"/>
        <v>ACO CA-50, 6,3 MM, DOBRADO E CORTADO</v>
      </c>
    </row>
    <row r="69" spans="1:10" x14ac:dyDescent="0.25">
      <c r="A69" s="169">
        <v>32</v>
      </c>
      <c r="B69" s="169" t="s">
        <v>644</v>
      </c>
      <c r="C69" s="169" t="s">
        <v>10231</v>
      </c>
      <c r="D69" s="169" t="s">
        <v>1289</v>
      </c>
      <c r="E69" s="103" t="s">
        <v>5651</v>
      </c>
      <c r="F69" s="104"/>
      <c r="G69" s="105">
        <f t="shared" si="0"/>
        <v>10.96</v>
      </c>
      <c r="H69" s="101" t="str">
        <f t="shared" si="1"/>
        <v>Sinapi 32</v>
      </c>
      <c r="I69" s="101" t="str">
        <f t="shared" si="2"/>
        <v>KG</v>
      </c>
      <c r="J69" s="140" t="str">
        <f t="shared" si="3"/>
        <v>ACO CA-50, 6,3 MM, VERGALHAO</v>
      </c>
    </row>
    <row r="70" spans="1:10" x14ac:dyDescent="0.25">
      <c r="A70" s="169">
        <v>33</v>
      </c>
      <c r="B70" s="169" t="s">
        <v>646</v>
      </c>
      <c r="C70" s="169" t="s">
        <v>10231</v>
      </c>
      <c r="D70" s="169" t="s">
        <v>1289</v>
      </c>
      <c r="E70" s="103" t="s">
        <v>15700</v>
      </c>
      <c r="F70" s="104"/>
      <c r="G70" s="105">
        <f t="shared" si="0"/>
        <v>11.02</v>
      </c>
      <c r="H70" s="101" t="str">
        <f t="shared" si="1"/>
        <v>Sinapi 33</v>
      </c>
      <c r="I70" s="101" t="str">
        <f t="shared" si="2"/>
        <v>KG</v>
      </c>
      <c r="J70" s="140" t="str">
        <f t="shared" si="3"/>
        <v>ACO CA-50, 8,0 MM, VERGALHAO</v>
      </c>
    </row>
    <row r="71" spans="1:10" x14ac:dyDescent="0.25">
      <c r="A71" s="169">
        <v>43061</v>
      </c>
      <c r="B71" s="169" t="s">
        <v>23419</v>
      </c>
      <c r="C71" s="169" t="s">
        <v>10231</v>
      </c>
      <c r="D71" s="169" t="s">
        <v>1289</v>
      </c>
      <c r="E71" s="103" t="s">
        <v>15560</v>
      </c>
      <c r="F71" s="104"/>
      <c r="G71" s="105">
        <f t="shared" si="0"/>
        <v>10.3</v>
      </c>
      <c r="H71" s="101" t="str">
        <f t="shared" si="1"/>
        <v>Sinapi 43061</v>
      </c>
      <c r="I71" s="101" t="str">
        <f t="shared" si="2"/>
        <v>KG</v>
      </c>
      <c r="J71" s="140" t="str">
        <f t="shared" si="3"/>
        <v>ACO CA-60, 4,2 MM OU 5,0 MM, DOBRADO E CORTADO</v>
      </c>
    </row>
    <row r="72" spans="1:10" x14ac:dyDescent="0.25">
      <c r="A72" s="169">
        <v>43059</v>
      </c>
      <c r="B72" s="169" t="s">
        <v>1298</v>
      </c>
      <c r="C72" s="169" t="s">
        <v>10231</v>
      </c>
      <c r="D72" s="169" t="s">
        <v>1289</v>
      </c>
      <c r="E72" s="103" t="s">
        <v>17491</v>
      </c>
      <c r="F72" s="104"/>
      <c r="G72" s="105">
        <f t="shared" ref="G72:G135" si="4">IF(E72="","",E72+0)</f>
        <v>9.83</v>
      </c>
      <c r="H72" s="101" t="str">
        <f t="shared" ref="H72:H135" si="5">IF(G72="","",TRIM(CONCATENATE("Sinapi ",A72)))</f>
        <v>Sinapi 43059</v>
      </c>
      <c r="I72" s="101" t="str">
        <f t="shared" ref="I72:I135" si="6">TRIM(C72)</f>
        <v>KG</v>
      </c>
      <c r="J72" s="140" t="str">
        <f t="shared" si="3"/>
        <v>ACO CA-60, 4,2 MM, OU 5,0 MM, OU 6,0 MM, OU 7,0 MM, VERGALHAO</v>
      </c>
    </row>
    <row r="73" spans="1:10" x14ac:dyDescent="0.25">
      <c r="A73" s="169">
        <v>43062</v>
      </c>
      <c r="B73" s="169" t="s">
        <v>23420</v>
      </c>
      <c r="C73" s="169" t="s">
        <v>10231</v>
      </c>
      <c r="D73" s="169" t="s">
        <v>1289</v>
      </c>
      <c r="E73" s="103" t="s">
        <v>15699</v>
      </c>
      <c r="F73" s="104"/>
      <c r="G73" s="105">
        <f t="shared" si="4"/>
        <v>10.9</v>
      </c>
      <c r="H73" s="101" t="str">
        <f t="shared" si="5"/>
        <v>Sinapi 43062</v>
      </c>
      <c r="I73" s="101" t="str">
        <f t="shared" si="6"/>
        <v>KG</v>
      </c>
      <c r="J73" s="140" t="str">
        <f t="shared" ref="J73:J136" si="7">TRIM(B73)</f>
        <v>ACO CA-60, 6,0 MM OU 7,0 MM, DOBRADO E CORTADO</v>
      </c>
    </row>
    <row r="74" spans="1:10" x14ac:dyDescent="0.25">
      <c r="A74" s="169">
        <v>43060</v>
      </c>
      <c r="B74" s="169" t="s">
        <v>23421</v>
      </c>
      <c r="C74" s="169" t="s">
        <v>10231</v>
      </c>
      <c r="D74" s="169" t="s">
        <v>1289</v>
      </c>
      <c r="E74" s="103" t="s">
        <v>21525</v>
      </c>
      <c r="F74" s="104"/>
      <c r="G74" s="105">
        <f t="shared" si="4"/>
        <v>8.56</v>
      </c>
      <c r="H74" s="101" t="str">
        <f t="shared" si="5"/>
        <v>Sinapi 43060</v>
      </c>
      <c r="I74" s="101" t="str">
        <f t="shared" si="6"/>
        <v>KG</v>
      </c>
      <c r="J74" s="140" t="str">
        <f t="shared" si="7"/>
        <v>ACO CA-60, 8,0 MM OU 9,5 MM, VERGALHAO</v>
      </c>
    </row>
    <row r="75" spans="1:10" x14ac:dyDescent="0.25">
      <c r="A75" s="169">
        <v>40410</v>
      </c>
      <c r="B75" s="169" t="s">
        <v>23423</v>
      </c>
      <c r="C75" s="169" t="s">
        <v>10225</v>
      </c>
      <c r="D75" s="169" t="s">
        <v>1290</v>
      </c>
      <c r="E75" s="103" t="s">
        <v>17312</v>
      </c>
      <c r="F75" s="104"/>
      <c r="G75" s="105">
        <f t="shared" si="4"/>
        <v>23.71</v>
      </c>
      <c r="H75" s="101" t="str">
        <f t="shared" si="5"/>
        <v>Sinapi 40410</v>
      </c>
      <c r="I75" s="101" t="str">
        <f t="shared" si="6"/>
        <v>UN</v>
      </c>
      <c r="J75" s="140" t="str">
        <f t="shared" si="7"/>
        <v>ACOPLAMENTO RIGIDO EM FERRO FUNDIDO PARA SISTEMA DE TUBULACAO RANHURADA, DN 50 MM (2")</v>
      </c>
    </row>
    <row r="76" spans="1:10" x14ac:dyDescent="0.25">
      <c r="A76" s="169">
        <v>40411</v>
      </c>
      <c r="B76" s="169" t="s">
        <v>23424</v>
      </c>
      <c r="C76" s="169" t="s">
        <v>10225</v>
      </c>
      <c r="D76" s="169" t="s">
        <v>1290</v>
      </c>
      <c r="E76" s="103" t="s">
        <v>18571</v>
      </c>
      <c r="F76" s="104"/>
      <c r="G76" s="105">
        <f t="shared" si="4"/>
        <v>25.73</v>
      </c>
      <c r="H76" s="101" t="str">
        <f t="shared" si="5"/>
        <v>Sinapi 40411</v>
      </c>
      <c r="I76" s="101" t="str">
        <f t="shared" si="6"/>
        <v>UN</v>
      </c>
      <c r="J76" s="140" t="str">
        <f t="shared" si="7"/>
        <v>ACOPLAMENTO RIGIDO EM FERRO FUNDIDO PARA SISTEMA DE TUBULACAO RANHURADA, DN 65 MM (2 1/2")</v>
      </c>
    </row>
    <row r="77" spans="1:10" x14ac:dyDescent="0.25">
      <c r="A77" s="169">
        <v>40412</v>
      </c>
      <c r="B77" s="169" t="s">
        <v>23425</v>
      </c>
      <c r="C77" s="169" t="s">
        <v>10225</v>
      </c>
      <c r="D77" s="169" t="s">
        <v>1290</v>
      </c>
      <c r="E77" s="103" t="s">
        <v>19411</v>
      </c>
      <c r="F77" s="104"/>
      <c r="G77" s="105">
        <f t="shared" si="4"/>
        <v>28.88</v>
      </c>
      <c r="H77" s="101" t="str">
        <f t="shared" si="5"/>
        <v>Sinapi 40412</v>
      </c>
      <c r="I77" s="101" t="str">
        <f t="shared" si="6"/>
        <v>UN</v>
      </c>
      <c r="J77" s="140" t="str">
        <f t="shared" si="7"/>
        <v>ACOPLAMENTO RIGIDO EM FERRO FUNDIDO PARA SISTEMA DE TUBULACAO RANHURADA, DN 80 MM (3")</v>
      </c>
    </row>
    <row r="78" spans="1:10" x14ac:dyDescent="0.25">
      <c r="A78" s="169">
        <v>44254</v>
      </c>
      <c r="B78" s="169" t="s">
        <v>23426</v>
      </c>
      <c r="C78" s="169" t="s">
        <v>10225</v>
      </c>
      <c r="D78" s="169" t="s">
        <v>1289</v>
      </c>
      <c r="E78" s="103" t="s">
        <v>22779</v>
      </c>
      <c r="F78" s="104"/>
      <c r="G78" s="105">
        <f t="shared" si="4"/>
        <v>33.76</v>
      </c>
      <c r="H78" s="101" t="str">
        <f t="shared" si="5"/>
        <v>Sinapi 44254</v>
      </c>
      <c r="I78" s="101" t="str">
        <f t="shared" si="6"/>
        <v>UN</v>
      </c>
      <c r="J78" s="140" t="str">
        <f t="shared" si="7"/>
        <v>ADAPTADOR CPVC, ROSCAVEL, COM FLANGES E ANEL DE VEDACAO, 15 MM, CAIXA D'AGUA PARA AGUA QUENTE</v>
      </c>
    </row>
    <row r="79" spans="1:10" x14ac:dyDescent="0.25">
      <c r="A79" s="169">
        <v>44255</v>
      </c>
      <c r="B79" s="169" t="s">
        <v>23427</v>
      </c>
      <c r="C79" s="169" t="s">
        <v>10225</v>
      </c>
      <c r="D79" s="169" t="s">
        <v>1289</v>
      </c>
      <c r="E79" s="103" t="s">
        <v>29536</v>
      </c>
      <c r="F79" s="104"/>
      <c r="G79" s="105">
        <f t="shared" si="4"/>
        <v>37.42</v>
      </c>
      <c r="H79" s="101" t="str">
        <f t="shared" si="5"/>
        <v>Sinapi 44255</v>
      </c>
      <c r="I79" s="101" t="str">
        <f t="shared" si="6"/>
        <v>UN</v>
      </c>
      <c r="J79" s="140" t="str">
        <f t="shared" si="7"/>
        <v>ADAPTADOR CPVC, ROSCAVEL, COM FLANGES E ANEL DE VEDACAO, 22 MM, CAIXA D'AGUA PARA AGUA QUENTE</v>
      </c>
    </row>
    <row r="80" spans="1:10" x14ac:dyDescent="0.25">
      <c r="A80" s="169">
        <v>44256</v>
      </c>
      <c r="B80" s="169" t="s">
        <v>23429</v>
      </c>
      <c r="C80" s="169" t="s">
        <v>10225</v>
      </c>
      <c r="D80" s="169" t="s">
        <v>1289</v>
      </c>
      <c r="E80" s="103" t="s">
        <v>29165</v>
      </c>
      <c r="F80" s="104"/>
      <c r="G80" s="105">
        <f t="shared" si="4"/>
        <v>42.26</v>
      </c>
      <c r="H80" s="101" t="str">
        <f t="shared" si="5"/>
        <v>Sinapi 44256</v>
      </c>
      <c r="I80" s="101" t="str">
        <f t="shared" si="6"/>
        <v>UN</v>
      </c>
      <c r="J80" s="140" t="str">
        <f t="shared" si="7"/>
        <v>ADAPTADOR CPVC, ROSCAVEL, COM FLANGES E ANEL DE VEDACAO, 28 MM, CAIXA D'AGUA PARA AGUA QUENTE</v>
      </c>
    </row>
    <row r="81" spans="1:10" x14ac:dyDescent="0.25">
      <c r="A81" s="169">
        <v>44257</v>
      </c>
      <c r="B81" s="169" t="s">
        <v>23430</v>
      </c>
      <c r="C81" s="169" t="s">
        <v>10225</v>
      </c>
      <c r="D81" s="169" t="s">
        <v>1289</v>
      </c>
      <c r="E81" s="103" t="s">
        <v>29537</v>
      </c>
      <c r="F81" s="104"/>
      <c r="G81" s="105">
        <f t="shared" si="4"/>
        <v>66.86</v>
      </c>
      <c r="H81" s="101" t="str">
        <f t="shared" si="5"/>
        <v>Sinapi 44257</v>
      </c>
      <c r="I81" s="101" t="str">
        <f t="shared" si="6"/>
        <v>UN</v>
      </c>
      <c r="J81" s="140" t="str">
        <f t="shared" si="7"/>
        <v>ADAPTADOR CPVC, ROSCAVEL, COM FLANGES E ANEL DE VEDACAO, 35 MM, CAIXA D'AGUA PARA AGUA QUENTE</v>
      </c>
    </row>
    <row r="82" spans="1:10" x14ac:dyDescent="0.25">
      <c r="A82" s="169">
        <v>44258</v>
      </c>
      <c r="B82" s="169" t="s">
        <v>23431</v>
      </c>
      <c r="C82" s="169" t="s">
        <v>10225</v>
      </c>
      <c r="D82" s="169" t="s">
        <v>1289</v>
      </c>
      <c r="E82" s="103" t="s">
        <v>19944</v>
      </c>
      <c r="F82" s="104"/>
      <c r="G82" s="105">
        <f t="shared" si="4"/>
        <v>76.42</v>
      </c>
      <c r="H82" s="101" t="str">
        <f t="shared" si="5"/>
        <v>Sinapi 44258</v>
      </c>
      <c r="I82" s="101" t="str">
        <f t="shared" si="6"/>
        <v>UN</v>
      </c>
      <c r="J82" s="140" t="str">
        <f t="shared" si="7"/>
        <v>ADAPTADOR CPVC, ROSCAVEL, COM FLANGES E ANEL DE VEDACAO, 42 MM, CAIXA D'AGUA PARA AGUA QUENTE</v>
      </c>
    </row>
    <row r="83" spans="1:10" x14ac:dyDescent="0.25">
      <c r="A83" s="169">
        <v>44259</v>
      </c>
      <c r="B83" s="169" t="s">
        <v>23432</v>
      </c>
      <c r="C83" s="169" t="s">
        <v>10225</v>
      </c>
      <c r="D83" s="169" t="s">
        <v>1289</v>
      </c>
      <c r="E83" s="103" t="s">
        <v>29081</v>
      </c>
      <c r="F83" s="104"/>
      <c r="G83" s="105">
        <f t="shared" si="4"/>
        <v>104.89</v>
      </c>
      <c r="H83" s="101" t="str">
        <f t="shared" si="5"/>
        <v>Sinapi 44259</v>
      </c>
      <c r="I83" s="101" t="str">
        <f t="shared" si="6"/>
        <v>UN</v>
      </c>
      <c r="J83" s="140" t="str">
        <f t="shared" si="7"/>
        <v>ADAPTADOR CPVC, ROSCAVEL, COM FLANGES E ANEL DE VEDACAO, 54 MM, CAIXA D'AGUA PARA AGUA QUENTE</v>
      </c>
    </row>
    <row r="84" spans="1:10" x14ac:dyDescent="0.25">
      <c r="A84" s="169">
        <v>37997</v>
      </c>
      <c r="B84" s="169" t="s">
        <v>23433</v>
      </c>
      <c r="C84" s="169" t="s">
        <v>10225</v>
      </c>
      <c r="D84" s="169" t="s">
        <v>1289</v>
      </c>
      <c r="E84" s="103" t="s">
        <v>17360</v>
      </c>
      <c r="F84" s="104"/>
      <c r="G84" s="105">
        <f t="shared" si="4"/>
        <v>20.12</v>
      </c>
      <c r="H84" s="101" t="str">
        <f t="shared" si="5"/>
        <v>Sinapi 37997</v>
      </c>
      <c r="I84" s="101" t="str">
        <f t="shared" si="6"/>
        <v>UN</v>
      </c>
      <c r="J84" s="140" t="str">
        <f t="shared" si="7"/>
        <v>ADAPTADOR CPVC, SOLDAVEL, 15 MM, PARA AGUA QUENTE</v>
      </c>
    </row>
    <row r="85" spans="1:10" x14ac:dyDescent="0.25">
      <c r="A85" s="169">
        <v>37998</v>
      </c>
      <c r="B85" s="169" t="s">
        <v>23434</v>
      </c>
      <c r="C85" s="169" t="s">
        <v>10225</v>
      </c>
      <c r="D85" s="169" t="s">
        <v>1289</v>
      </c>
      <c r="E85" s="103" t="s">
        <v>21473</v>
      </c>
      <c r="F85" s="104"/>
      <c r="G85" s="105">
        <f t="shared" si="4"/>
        <v>26.92</v>
      </c>
      <c r="H85" s="101" t="str">
        <f t="shared" si="5"/>
        <v>Sinapi 37998</v>
      </c>
      <c r="I85" s="101" t="str">
        <f t="shared" si="6"/>
        <v>UN</v>
      </c>
      <c r="J85" s="140" t="str">
        <f t="shared" si="7"/>
        <v>ADAPTADOR CPVC, SOLDAVEL, 22 MM, PARA AGUA QUENTE</v>
      </c>
    </row>
    <row r="86" spans="1:10" x14ac:dyDescent="0.25">
      <c r="A86" s="169">
        <v>55</v>
      </c>
      <c r="B86" s="169" t="s">
        <v>23435</v>
      </c>
      <c r="C86" s="169" t="s">
        <v>10225</v>
      </c>
      <c r="D86" s="169" t="s">
        <v>1290</v>
      </c>
      <c r="E86" s="103" t="s">
        <v>7415</v>
      </c>
      <c r="F86" s="104"/>
      <c r="G86" s="105">
        <f t="shared" si="4"/>
        <v>4</v>
      </c>
      <c r="H86" s="101" t="str">
        <f t="shared" si="5"/>
        <v>Sinapi 55</v>
      </c>
      <c r="I86" s="101" t="str">
        <f t="shared" si="6"/>
        <v>UN</v>
      </c>
      <c r="J86" s="140" t="str">
        <f t="shared" si="7"/>
        <v>ADAPTADOR DE COMPRESSAO EM POLIPROPILENO (PP), PARA TUBO EM PEAD, 20 MM X 1/2", PARA LIGACAO PREDIAL DE AGUA (NTS 179)</v>
      </c>
    </row>
    <row r="87" spans="1:10" x14ac:dyDescent="0.25">
      <c r="A87" s="169">
        <v>61</v>
      </c>
      <c r="B87" s="169" t="s">
        <v>23436</v>
      </c>
      <c r="C87" s="169" t="s">
        <v>10225</v>
      </c>
      <c r="D87" s="169" t="s">
        <v>1290</v>
      </c>
      <c r="E87" s="103" t="s">
        <v>24158</v>
      </c>
      <c r="F87" s="104"/>
      <c r="G87" s="105">
        <f t="shared" si="4"/>
        <v>3.78</v>
      </c>
      <c r="H87" s="101" t="str">
        <f t="shared" si="5"/>
        <v>Sinapi 61</v>
      </c>
      <c r="I87" s="101" t="str">
        <f t="shared" si="6"/>
        <v>UN</v>
      </c>
      <c r="J87" s="140" t="str">
        <f t="shared" si="7"/>
        <v>ADAPTADOR DE COMPRESSAO EM POLIPROPILENO (PP), PARA TUBO EM PEAD, 20 MM X 3/4", PARA LIGACAO PREDIAL DE AGUA (NTS 179)</v>
      </c>
    </row>
    <row r="88" spans="1:10" x14ac:dyDescent="0.25">
      <c r="A88" s="169">
        <v>62</v>
      </c>
      <c r="B88" s="169" t="s">
        <v>23437</v>
      </c>
      <c r="C88" s="169" t="s">
        <v>10225</v>
      </c>
      <c r="D88" s="169" t="s">
        <v>1290</v>
      </c>
      <c r="E88" s="103" t="s">
        <v>29053</v>
      </c>
      <c r="F88" s="104"/>
      <c r="G88" s="105">
        <f t="shared" si="4"/>
        <v>7.84</v>
      </c>
      <c r="H88" s="101" t="str">
        <f t="shared" si="5"/>
        <v>Sinapi 62</v>
      </c>
      <c r="I88" s="101" t="str">
        <f t="shared" si="6"/>
        <v>UN</v>
      </c>
      <c r="J88" s="140" t="str">
        <f t="shared" si="7"/>
        <v>ADAPTADOR DE COMPRESSAO EM POLIPROPILENO (PP), PARA TUBO EM PEAD, 32 MM X 1", PARA LIGACAO PREDIAL DE AGUA (NTS 179)</v>
      </c>
    </row>
    <row r="89" spans="1:10" x14ac:dyDescent="0.25">
      <c r="A89" s="169">
        <v>10899</v>
      </c>
      <c r="B89" s="169" t="s">
        <v>23439</v>
      </c>
      <c r="C89" s="169" t="s">
        <v>10225</v>
      </c>
      <c r="D89" s="169" t="s">
        <v>1289</v>
      </c>
      <c r="E89" s="103" t="s">
        <v>23530</v>
      </c>
      <c r="F89" s="104"/>
      <c r="G89" s="105">
        <f t="shared" si="4"/>
        <v>68.510000000000005</v>
      </c>
      <c r="H89" s="101" t="str">
        <f t="shared" si="5"/>
        <v>Sinapi 10899</v>
      </c>
      <c r="I89" s="101" t="str">
        <f t="shared" si="6"/>
        <v>UN</v>
      </c>
      <c r="J89" s="140" t="str">
        <f t="shared" si="7"/>
        <v>ADAPTADOR EM LATAO, ENGATE RAPIDO 2 1/2" X ROSCA INTERNA 5 FIOS 2 1/2", PARA INSTALACAO PREDIAL DE COMBATE A INCENDIO</v>
      </c>
    </row>
    <row r="90" spans="1:10" x14ac:dyDescent="0.25">
      <c r="A90" s="169">
        <v>10900</v>
      </c>
      <c r="B90" s="169" t="s">
        <v>23440</v>
      </c>
      <c r="C90" s="169" t="s">
        <v>10225</v>
      </c>
      <c r="D90" s="169" t="s">
        <v>1289</v>
      </c>
      <c r="E90" s="103" t="s">
        <v>29538</v>
      </c>
      <c r="F90" s="104"/>
      <c r="G90" s="105">
        <f t="shared" si="4"/>
        <v>53.62</v>
      </c>
      <c r="H90" s="101" t="str">
        <f t="shared" si="5"/>
        <v>Sinapi 10900</v>
      </c>
      <c r="I90" s="101" t="str">
        <f t="shared" si="6"/>
        <v>UN</v>
      </c>
      <c r="J90" s="140" t="str">
        <f t="shared" si="7"/>
        <v>ADAPTADOR EM LATAO, ENGATE RAPIDO1 1/2" X ROSCA INTERNA 5 FIOS 2 1/2", PARA INSTALACAO PREDIAL DE COMBATE A INCENDIO</v>
      </c>
    </row>
    <row r="91" spans="1:10" x14ac:dyDescent="0.25">
      <c r="A91" s="169">
        <v>103</v>
      </c>
      <c r="B91" s="169" t="s">
        <v>23441</v>
      </c>
      <c r="C91" s="169" t="s">
        <v>10225</v>
      </c>
      <c r="D91" s="169" t="s">
        <v>1289</v>
      </c>
      <c r="E91" s="103" t="s">
        <v>29539</v>
      </c>
      <c r="F91" s="104"/>
      <c r="G91" s="105">
        <f t="shared" si="4"/>
        <v>50.83</v>
      </c>
      <c r="H91" s="101" t="str">
        <f t="shared" si="5"/>
        <v>Sinapi 103</v>
      </c>
      <c r="I91" s="101" t="str">
        <f t="shared" si="6"/>
        <v>UN</v>
      </c>
      <c r="J91" s="140" t="str">
        <f t="shared" si="7"/>
        <v>ADAPTADOR PVC SOLDAVEL CURTO COM BOLSA E ROSCA, 110 MM X 4", PARA AGUA FRIA</v>
      </c>
    </row>
    <row r="92" spans="1:10" x14ac:dyDescent="0.25">
      <c r="A92" s="169">
        <v>107</v>
      </c>
      <c r="B92" s="169" t="s">
        <v>23443</v>
      </c>
      <c r="C92" s="169" t="s">
        <v>10225</v>
      </c>
      <c r="D92" s="169" t="s">
        <v>1289</v>
      </c>
      <c r="E92" s="103" t="s">
        <v>16285</v>
      </c>
      <c r="F92" s="104"/>
      <c r="G92" s="105">
        <f t="shared" si="4"/>
        <v>0.95</v>
      </c>
      <c r="H92" s="101" t="str">
        <f t="shared" si="5"/>
        <v>Sinapi 107</v>
      </c>
      <c r="I92" s="101" t="str">
        <f t="shared" si="6"/>
        <v>UN</v>
      </c>
      <c r="J92" s="140" t="str">
        <f t="shared" si="7"/>
        <v>ADAPTADOR PVC SOLDAVEL CURTO COM BOLSA E ROSCA, 20 MM X 1/2", PARA AGUA FRIA</v>
      </c>
    </row>
    <row r="93" spans="1:10" x14ac:dyDescent="0.25">
      <c r="A93" s="169">
        <v>65</v>
      </c>
      <c r="B93" s="169" t="s">
        <v>23444</v>
      </c>
      <c r="C93" s="169" t="s">
        <v>10225</v>
      </c>
      <c r="D93" s="169" t="s">
        <v>1289</v>
      </c>
      <c r="E93" s="103" t="s">
        <v>3107</v>
      </c>
      <c r="F93" s="104"/>
      <c r="G93" s="105">
        <f t="shared" si="4"/>
        <v>1.05</v>
      </c>
      <c r="H93" s="101" t="str">
        <f t="shared" si="5"/>
        <v>Sinapi 65</v>
      </c>
      <c r="I93" s="101" t="str">
        <f t="shared" si="6"/>
        <v>UN</v>
      </c>
      <c r="J93" s="140" t="str">
        <f t="shared" si="7"/>
        <v>ADAPTADOR PVC SOLDAVEL CURTO COM BOLSA E ROSCA, 25 MM X 3/4", PARA AGUA FRIA</v>
      </c>
    </row>
    <row r="94" spans="1:10" x14ac:dyDescent="0.25">
      <c r="A94" s="169">
        <v>108</v>
      </c>
      <c r="B94" s="169" t="s">
        <v>23445</v>
      </c>
      <c r="C94" s="169" t="s">
        <v>10225</v>
      </c>
      <c r="D94" s="169" t="s">
        <v>1289</v>
      </c>
      <c r="E94" s="103" t="s">
        <v>21512</v>
      </c>
      <c r="F94" s="104"/>
      <c r="G94" s="105">
        <f t="shared" si="4"/>
        <v>2.11</v>
      </c>
      <c r="H94" s="101" t="str">
        <f t="shared" si="5"/>
        <v>Sinapi 108</v>
      </c>
      <c r="I94" s="101" t="str">
        <f t="shared" si="6"/>
        <v>UN</v>
      </c>
      <c r="J94" s="140" t="str">
        <f t="shared" si="7"/>
        <v>ADAPTADOR PVC SOLDAVEL CURTO COM BOLSA E ROSCA, 32 MM X 1", PARA AGUA FRIA</v>
      </c>
    </row>
    <row r="95" spans="1:10" x14ac:dyDescent="0.25">
      <c r="A95" s="169">
        <v>110</v>
      </c>
      <c r="B95" s="169" t="s">
        <v>23446</v>
      </c>
      <c r="C95" s="169" t="s">
        <v>10225</v>
      </c>
      <c r="D95" s="169" t="s">
        <v>1289</v>
      </c>
      <c r="E95" s="103" t="s">
        <v>29540</v>
      </c>
      <c r="F95" s="104"/>
      <c r="G95" s="105">
        <f t="shared" si="4"/>
        <v>7.31</v>
      </c>
      <c r="H95" s="101" t="str">
        <f t="shared" si="5"/>
        <v>Sinapi 110</v>
      </c>
      <c r="I95" s="101" t="str">
        <f t="shared" si="6"/>
        <v>UN</v>
      </c>
      <c r="J95" s="140" t="str">
        <f t="shared" si="7"/>
        <v>ADAPTADOR PVC SOLDAVEL CURTO COM BOLSA E ROSCA, 40 MM X 1 1/2", PARA AGUA FRIA</v>
      </c>
    </row>
    <row r="96" spans="1:10" x14ac:dyDescent="0.25">
      <c r="A96" s="169">
        <v>109</v>
      </c>
      <c r="B96" s="169" t="s">
        <v>23447</v>
      </c>
      <c r="C96" s="169" t="s">
        <v>10225</v>
      </c>
      <c r="D96" s="169" t="s">
        <v>1289</v>
      </c>
      <c r="E96" s="103" t="s">
        <v>22760</v>
      </c>
      <c r="F96" s="104"/>
      <c r="G96" s="105">
        <f t="shared" si="4"/>
        <v>4.3499999999999996</v>
      </c>
      <c r="H96" s="101" t="str">
        <f t="shared" si="5"/>
        <v>Sinapi 109</v>
      </c>
      <c r="I96" s="101" t="str">
        <f t="shared" si="6"/>
        <v>UN</v>
      </c>
      <c r="J96" s="140" t="str">
        <f t="shared" si="7"/>
        <v>ADAPTADOR PVC SOLDAVEL CURTO COM BOLSA E ROSCA, 40 MM X 1 1/4", PARA AGUA FRIA</v>
      </c>
    </row>
    <row r="97" spans="1:10" x14ac:dyDescent="0.25">
      <c r="A97" s="169">
        <v>111</v>
      </c>
      <c r="B97" s="169" t="s">
        <v>23448</v>
      </c>
      <c r="C97" s="169" t="s">
        <v>10225</v>
      </c>
      <c r="D97" s="169" t="s">
        <v>1289</v>
      </c>
      <c r="E97" s="103" t="s">
        <v>14125</v>
      </c>
      <c r="F97" s="104"/>
      <c r="G97" s="105">
        <f t="shared" si="4"/>
        <v>9.89</v>
      </c>
      <c r="H97" s="101" t="str">
        <f t="shared" si="5"/>
        <v>Sinapi 111</v>
      </c>
      <c r="I97" s="101" t="str">
        <f t="shared" si="6"/>
        <v>UN</v>
      </c>
      <c r="J97" s="140" t="str">
        <f t="shared" si="7"/>
        <v>ADAPTADOR PVC SOLDAVEL CURTO COM BOLSA E ROSCA, 50 MM X 1 1/4", PARA AGUA FRIA</v>
      </c>
    </row>
    <row r="98" spans="1:10" x14ac:dyDescent="0.25">
      <c r="A98" s="169">
        <v>112</v>
      </c>
      <c r="B98" s="169" t="s">
        <v>23449</v>
      </c>
      <c r="C98" s="169" t="s">
        <v>10225</v>
      </c>
      <c r="D98" s="169" t="s">
        <v>1289</v>
      </c>
      <c r="E98" s="103" t="s">
        <v>19859</v>
      </c>
      <c r="F98" s="104"/>
      <c r="G98" s="105">
        <f t="shared" si="4"/>
        <v>5.24</v>
      </c>
      <c r="H98" s="101" t="str">
        <f t="shared" si="5"/>
        <v>Sinapi 112</v>
      </c>
      <c r="I98" s="101" t="str">
        <f t="shared" si="6"/>
        <v>UN</v>
      </c>
      <c r="J98" s="140" t="str">
        <f t="shared" si="7"/>
        <v>ADAPTADOR PVC SOLDAVEL CURTO COM BOLSA E ROSCA, 50 MM X1 1/2", PARA AGUA FRIA</v>
      </c>
    </row>
    <row r="99" spans="1:10" x14ac:dyDescent="0.25">
      <c r="A99" s="169">
        <v>113</v>
      </c>
      <c r="B99" s="169" t="s">
        <v>23450</v>
      </c>
      <c r="C99" s="169" t="s">
        <v>10225</v>
      </c>
      <c r="D99" s="169" t="s">
        <v>1289</v>
      </c>
      <c r="E99" s="103" t="s">
        <v>16409</v>
      </c>
      <c r="F99" s="104"/>
      <c r="G99" s="105">
        <f t="shared" si="4"/>
        <v>13.13</v>
      </c>
      <c r="H99" s="101" t="str">
        <f t="shared" si="5"/>
        <v>Sinapi 113</v>
      </c>
      <c r="I99" s="101" t="str">
        <f t="shared" si="6"/>
        <v>UN</v>
      </c>
      <c r="J99" s="140" t="str">
        <f t="shared" si="7"/>
        <v>ADAPTADOR PVC SOLDAVEL CURTO COM BOLSA E ROSCA, 60 MM X 2", PARA AGUA FRIA</v>
      </c>
    </row>
    <row r="100" spans="1:10" x14ac:dyDescent="0.25">
      <c r="A100" s="169">
        <v>104</v>
      </c>
      <c r="B100" s="169" t="s">
        <v>23451</v>
      </c>
      <c r="C100" s="169" t="s">
        <v>10225</v>
      </c>
      <c r="D100" s="169" t="s">
        <v>1289</v>
      </c>
      <c r="E100" s="103" t="s">
        <v>28729</v>
      </c>
      <c r="F100" s="104"/>
      <c r="G100" s="105">
        <f t="shared" si="4"/>
        <v>22.84</v>
      </c>
      <c r="H100" s="101" t="str">
        <f t="shared" si="5"/>
        <v>Sinapi 104</v>
      </c>
      <c r="I100" s="101" t="str">
        <f t="shared" si="6"/>
        <v>UN</v>
      </c>
      <c r="J100" s="140" t="str">
        <f t="shared" si="7"/>
        <v>ADAPTADOR PVC SOLDAVEL CURTO COM BOLSA E ROSCA, 75 MM X 2 1/2", PARA AGUA FRIA</v>
      </c>
    </row>
    <row r="101" spans="1:10" x14ac:dyDescent="0.25">
      <c r="A101" s="169">
        <v>102</v>
      </c>
      <c r="B101" s="169" t="s">
        <v>23452</v>
      </c>
      <c r="C101" s="169" t="s">
        <v>10225</v>
      </c>
      <c r="D101" s="169" t="s">
        <v>1289</v>
      </c>
      <c r="E101" s="103" t="s">
        <v>29541</v>
      </c>
      <c r="F101" s="104"/>
      <c r="G101" s="105">
        <f t="shared" si="4"/>
        <v>31.49</v>
      </c>
      <c r="H101" s="101" t="str">
        <f t="shared" si="5"/>
        <v>Sinapi 102</v>
      </c>
      <c r="I101" s="101" t="str">
        <f t="shared" si="6"/>
        <v>UN</v>
      </c>
      <c r="J101" s="140" t="str">
        <f t="shared" si="7"/>
        <v>ADAPTADOR PVC SOLDAVEL CURTO COM BOLSA E ROSCA, 85 MM X 3", PARA AGUA FRIA</v>
      </c>
    </row>
    <row r="102" spans="1:10" x14ac:dyDescent="0.25">
      <c r="A102" s="169">
        <v>95</v>
      </c>
      <c r="B102" s="169" t="s">
        <v>23453</v>
      </c>
      <c r="C102" s="169" t="s">
        <v>10225</v>
      </c>
      <c r="D102" s="169" t="s">
        <v>1289</v>
      </c>
      <c r="E102" s="103" t="s">
        <v>15686</v>
      </c>
      <c r="F102" s="104"/>
      <c r="G102" s="105">
        <f t="shared" si="4"/>
        <v>13.31</v>
      </c>
      <c r="H102" s="101" t="str">
        <f t="shared" si="5"/>
        <v>Sinapi 95</v>
      </c>
      <c r="I102" s="101" t="str">
        <f t="shared" si="6"/>
        <v>UN</v>
      </c>
      <c r="J102" s="140" t="str">
        <f t="shared" si="7"/>
        <v>ADAPTADOR PVC SOLDAVEL, COM FLANGE E ANEL DE VEDACAO, 20 MM X 1/2", PARA CAIXA D'AGUA</v>
      </c>
    </row>
    <row r="103" spans="1:10" x14ac:dyDescent="0.25">
      <c r="A103" s="169">
        <v>96</v>
      </c>
      <c r="B103" s="169" t="s">
        <v>23454</v>
      </c>
      <c r="C103" s="169" t="s">
        <v>10225</v>
      </c>
      <c r="D103" s="169" t="s">
        <v>1289</v>
      </c>
      <c r="E103" s="103" t="s">
        <v>11274</v>
      </c>
      <c r="F103" s="104"/>
      <c r="G103" s="105">
        <f t="shared" si="4"/>
        <v>14.48</v>
      </c>
      <c r="H103" s="101" t="str">
        <f t="shared" si="5"/>
        <v>Sinapi 96</v>
      </c>
      <c r="I103" s="101" t="str">
        <f t="shared" si="6"/>
        <v>UN</v>
      </c>
      <c r="J103" s="140" t="str">
        <f t="shared" si="7"/>
        <v>ADAPTADOR PVC SOLDAVEL, COM FLANGE E ANEL DE VEDACAO, 25 MM X 3/4", PARA CAIXA D'AGUA</v>
      </c>
    </row>
    <row r="104" spans="1:10" x14ac:dyDescent="0.25">
      <c r="A104" s="169">
        <v>97</v>
      </c>
      <c r="B104" s="169" t="s">
        <v>23455</v>
      </c>
      <c r="C104" s="169" t="s">
        <v>10225</v>
      </c>
      <c r="D104" s="169" t="s">
        <v>1289</v>
      </c>
      <c r="E104" s="103" t="s">
        <v>22851</v>
      </c>
      <c r="F104" s="104"/>
      <c r="G104" s="105">
        <f t="shared" si="4"/>
        <v>21.78</v>
      </c>
      <c r="H104" s="101" t="str">
        <f t="shared" si="5"/>
        <v>Sinapi 97</v>
      </c>
      <c r="I104" s="101" t="str">
        <f t="shared" si="6"/>
        <v>UN</v>
      </c>
      <c r="J104" s="140" t="str">
        <f t="shared" si="7"/>
        <v>ADAPTADOR PVC SOLDAVEL, COM FLANGE E ANEL DE VEDACAO, 32 MM X 1", PARA CAIXA D'AGUA</v>
      </c>
    </row>
    <row r="105" spans="1:10" x14ac:dyDescent="0.25">
      <c r="A105" s="169">
        <v>98</v>
      </c>
      <c r="B105" s="169" t="s">
        <v>23456</v>
      </c>
      <c r="C105" s="169" t="s">
        <v>10225</v>
      </c>
      <c r="D105" s="169" t="s">
        <v>1289</v>
      </c>
      <c r="E105" s="103" t="s">
        <v>29542</v>
      </c>
      <c r="F105" s="104"/>
      <c r="G105" s="105">
        <f t="shared" si="4"/>
        <v>32.6</v>
      </c>
      <c r="H105" s="101" t="str">
        <f t="shared" si="5"/>
        <v>Sinapi 98</v>
      </c>
      <c r="I105" s="101" t="str">
        <f t="shared" si="6"/>
        <v>UN</v>
      </c>
      <c r="J105" s="140" t="str">
        <f t="shared" si="7"/>
        <v>ADAPTADOR PVC SOLDAVEL, COM FLANGE E ANEL DE VEDACAO, 40 MM X 1 1/4", PARA CAIXA D'AGUA</v>
      </c>
    </row>
    <row r="106" spans="1:10" x14ac:dyDescent="0.25">
      <c r="A106" s="169">
        <v>99</v>
      </c>
      <c r="B106" s="169" t="s">
        <v>23457</v>
      </c>
      <c r="C106" s="169" t="s">
        <v>10225</v>
      </c>
      <c r="D106" s="169" t="s">
        <v>1289</v>
      </c>
      <c r="E106" s="103" t="s">
        <v>29543</v>
      </c>
      <c r="F106" s="104"/>
      <c r="G106" s="105">
        <f t="shared" si="4"/>
        <v>30.81</v>
      </c>
      <c r="H106" s="101" t="str">
        <f t="shared" si="5"/>
        <v>Sinapi 99</v>
      </c>
      <c r="I106" s="101" t="str">
        <f t="shared" si="6"/>
        <v>UN</v>
      </c>
      <c r="J106" s="140" t="str">
        <f t="shared" si="7"/>
        <v>ADAPTADOR PVC SOLDAVEL, COM FLANGE E ANEL DE VEDACAO, 50 MM X 1 1/2", PARA CAIXA D'AGUA</v>
      </c>
    </row>
    <row r="107" spans="1:10" x14ac:dyDescent="0.25">
      <c r="A107" s="169">
        <v>100</v>
      </c>
      <c r="B107" s="169" t="s">
        <v>23458</v>
      </c>
      <c r="C107" s="169" t="s">
        <v>10225</v>
      </c>
      <c r="D107" s="169" t="s">
        <v>1289</v>
      </c>
      <c r="E107" s="103" t="s">
        <v>21569</v>
      </c>
      <c r="F107" s="104"/>
      <c r="G107" s="105">
        <f t="shared" si="4"/>
        <v>53.84</v>
      </c>
      <c r="H107" s="101" t="str">
        <f t="shared" si="5"/>
        <v>Sinapi 100</v>
      </c>
      <c r="I107" s="101" t="str">
        <f t="shared" si="6"/>
        <v>UN</v>
      </c>
      <c r="J107" s="140" t="str">
        <f t="shared" si="7"/>
        <v>ADAPTADOR PVC SOLDAVEL, COM FLANGES E ANEL DE VEDACAO, 60 MM X 2", PARA CAIXA D' AGUA</v>
      </c>
    </row>
    <row r="108" spans="1:10" x14ac:dyDescent="0.25">
      <c r="A108" s="169">
        <v>75</v>
      </c>
      <c r="B108" s="169" t="s">
        <v>23459</v>
      </c>
      <c r="C108" s="169" t="s">
        <v>10225</v>
      </c>
      <c r="D108" s="169" t="s">
        <v>1289</v>
      </c>
      <c r="E108" s="103" t="s">
        <v>29354</v>
      </c>
      <c r="F108" s="104"/>
      <c r="G108" s="105">
        <f t="shared" si="4"/>
        <v>313.88</v>
      </c>
      <c r="H108" s="101" t="str">
        <f t="shared" si="5"/>
        <v>Sinapi 75</v>
      </c>
      <c r="I108" s="101" t="str">
        <f t="shared" si="6"/>
        <v>UN</v>
      </c>
      <c r="J108" s="140" t="str">
        <f t="shared" si="7"/>
        <v>ADAPTADOR PVC SOLDAVEL, COM FLANGES LIVRES, 110 MM X 4", PARA CAIXA D' AGUA</v>
      </c>
    </row>
    <row r="109" spans="1:10" x14ac:dyDescent="0.25">
      <c r="A109" s="169">
        <v>83</v>
      </c>
      <c r="B109" s="169" t="s">
        <v>23460</v>
      </c>
      <c r="C109" s="169" t="s">
        <v>10225</v>
      </c>
      <c r="D109" s="169" t="s">
        <v>1289</v>
      </c>
      <c r="E109" s="103" t="s">
        <v>29544</v>
      </c>
      <c r="F109" s="104"/>
      <c r="G109" s="105">
        <f t="shared" si="4"/>
        <v>250.94</v>
      </c>
      <c r="H109" s="101" t="str">
        <f t="shared" si="5"/>
        <v>Sinapi 83</v>
      </c>
      <c r="I109" s="101" t="str">
        <f t="shared" si="6"/>
        <v>UN</v>
      </c>
      <c r="J109" s="140" t="str">
        <f t="shared" si="7"/>
        <v>ADAPTADOR PVC SOLDAVEL, COM FLANGES LIVRES, 75 MM X 2 1/2", PARA CAIXA D' AGUA</v>
      </c>
    </row>
    <row r="110" spans="1:10" x14ac:dyDescent="0.25">
      <c r="A110" s="169">
        <v>74</v>
      </c>
      <c r="B110" s="169" t="s">
        <v>23461</v>
      </c>
      <c r="C110" s="169" t="s">
        <v>10225</v>
      </c>
      <c r="D110" s="169" t="s">
        <v>1289</v>
      </c>
      <c r="E110" s="103" t="s">
        <v>29545</v>
      </c>
      <c r="F110" s="104"/>
      <c r="G110" s="105">
        <f t="shared" si="4"/>
        <v>358.78</v>
      </c>
      <c r="H110" s="101" t="str">
        <f t="shared" si="5"/>
        <v>Sinapi 74</v>
      </c>
      <c r="I110" s="101" t="str">
        <f t="shared" si="6"/>
        <v>UN</v>
      </c>
      <c r="J110" s="140" t="str">
        <f t="shared" si="7"/>
        <v>ADAPTADOR PVC SOLDAVEL, COM FLANGES LIVRES, 85 MM X 3", PARA CAIXA D' AGUA</v>
      </c>
    </row>
    <row r="111" spans="1:10" x14ac:dyDescent="0.25">
      <c r="A111" s="169">
        <v>106</v>
      </c>
      <c r="B111" s="169" t="s">
        <v>23462</v>
      </c>
      <c r="C111" s="169" t="s">
        <v>10225</v>
      </c>
      <c r="D111" s="169" t="s">
        <v>1289</v>
      </c>
      <c r="E111" s="103" t="s">
        <v>29546</v>
      </c>
      <c r="F111" s="104"/>
      <c r="G111" s="105">
        <f t="shared" si="4"/>
        <v>453.68</v>
      </c>
      <c r="H111" s="101" t="str">
        <f t="shared" si="5"/>
        <v>Sinapi 106</v>
      </c>
      <c r="I111" s="101" t="str">
        <f t="shared" si="6"/>
        <v>UN</v>
      </c>
      <c r="J111" s="140" t="str">
        <f t="shared" si="7"/>
        <v>ADAPTADOR PVC SOLDAVEL, LONGO, COM FLANGE LIVRE, 110 MM X 4", PARA CAIXA D' AGUA</v>
      </c>
    </row>
    <row r="112" spans="1:10" x14ac:dyDescent="0.25">
      <c r="A112" s="169">
        <v>88</v>
      </c>
      <c r="B112" s="169" t="s">
        <v>23463</v>
      </c>
      <c r="C112" s="169" t="s">
        <v>10225</v>
      </c>
      <c r="D112" s="169" t="s">
        <v>1289</v>
      </c>
      <c r="E112" s="103" t="s">
        <v>24475</v>
      </c>
      <c r="F112" s="104"/>
      <c r="G112" s="105">
        <f t="shared" si="4"/>
        <v>12.75</v>
      </c>
      <c r="H112" s="101" t="str">
        <f t="shared" si="5"/>
        <v>Sinapi 88</v>
      </c>
      <c r="I112" s="101" t="str">
        <f t="shared" si="6"/>
        <v>UN</v>
      </c>
      <c r="J112" s="140" t="str">
        <f t="shared" si="7"/>
        <v>ADAPTADOR PVC SOLDAVEL, LONGO, COM FLANGE LIVRE, 32 MM X 1", PARA CAIXA D' AGUA</v>
      </c>
    </row>
    <row r="113" spans="1:10" x14ac:dyDescent="0.25">
      <c r="A113" s="169">
        <v>82</v>
      </c>
      <c r="B113" s="169" t="s">
        <v>23464</v>
      </c>
      <c r="C113" s="169" t="s">
        <v>10225</v>
      </c>
      <c r="D113" s="169" t="s">
        <v>1289</v>
      </c>
      <c r="E113" s="103" t="s">
        <v>29547</v>
      </c>
      <c r="F113" s="104"/>
      <c r="G113" s="105">
        <f t="shared" si="4"/>
        <v>238.75</v>
      </c>
      <c r="H113" s="101" t="str">
        <f t="shared" si="5"/>
        <v>Sinapi 82</v>
      </c>
      <c r="I113" s="101" t="str">
        <f t="shared" si="6"/>
        <v>UN</v>
      </c>
      <c r="J113" s="140" t="str">
        <f t="shared" si="7"/>
        <v>ADAPTADOR PVC SOLDAVEL, LONGO, COM FLANGE LIVRE, 75 MM X 2 1/2", PARA CAIXA D' AGUA</v>
      </c>
    </row>
    <row r="114" spans="1:10" x14ac:dyDescent="0.25">
      <c r="A114" s="169">
        <v>105</v>
      </c>
      <c r="B114" s="169" t="s">
        <v>23465</v>
      </c>
      <c r="C114" s="169" t="s">
        <v>10225</v>
      </c>
      <c r="D114" s="169" t="s">
        <v>1289</v>
      </c>
      <c r="E114" s="103" t="s">
        <v>29548</v>
      </c>
      <c r="F114" s="104"/>
      <c r="G114" s="105">
        <f t="shared" si="4"/>
        <v>338.3</v>
      </c>
      <c r="H114" s="101" t="str">
        <f t="shared" si="5"/>
        <v>Sinapi 105</v>
      </c>
      <c r="I114" s="101" t="str">
        <f t="shared" si="6"/>
        <v>UN</v>
      </c>
      <c r="J114" s="140" t="str">
        <f t="shared" si="7"/>
        <v>ADAPTADOR PVC SOLDAVEL, LONGO, COM FLANGE LIVRE, 85 MM X 3", PARA CAIXA D' AGUA</v>
      </c>
    </row>
    <row r="115" spans="1:10" x14ac:dyDescent="0.25">
      <c r="A115" s="169">
        <v>60</v>
      </c>
      <c r="B115" s="169" t="s">
        <v>23466</v>
      </c>
      <c r="C115" s="169" t="s">
        <v>10225</v>
      </c>
      <c r="D115" s="169" t="s">
        <v>1290</v>
      </c>
      <c r="E115" s="103" t="s">
        <v>21596</v>
      </c>
      <c r="F115" s="104"/>
      <c r="G115" s="105">
        <f t="shared" si="4"/>
        <v>5.19</v>
      </c>
      <c r="H115" s="101" t="str">
        <f t="shared" si="5"/>
        <v>Sinapi 60</v>
      </c>
      <c r="I115" s="101" t="str">
        <f t="shared" si="6"/>
        <v>UN</v>
      </c>
      <c r="J115" s="140" t="str">
        <f t="shared" si="7"/>
        <v>ADAPTADOR PVC, COM REGISTRO, PARA PEAD, 20 MM X 3/4", PARA LIGACAO PREDIAL DE AGUA</v>
      </c>
    </row>
    <row r="116" spans="1:10" x14ac:dyDescent="0.25">
      <c r="A116" s="169">
        <v>72</v>
      </c>
      <c r="B116" s="169" t="s">
        <v>23467</v>
      </c>
      <c r="C116" s="169" t="s">
        <v>10225</v>
      </c>
      <c r="D116" s="169" t="s">
        <v>1289</v>
      </c>
      <c r="E116" s="103" t="s">
        <v>28606</v>
      </c>
      <c r="F116" s="104"/>
      <c r="G116" s="105">
        <f t="shared" si="4"/>
        <v>59.1</v>
      </c>
      <c r="H116" s="101" t="str">
        <f t="shared" si="5"/>
        <v>Sinapi 72</v>
      </c>
      <c r="I116" s="101" t="str">
        <f t="shared" si="6"/>
        <v>UN</v>
      </c>
      <c r="J116" s="140" t="str">
        <f t="shared" si="7"/>
        <v>ADAPTADOR PVC, ROSCAVEL, COM FLANGES E ANEL DE VEDACAO, 1 1/2", PARA CAIXA D'AGUA</v>
      </c>
    </row>
    <row r="117" spans="1:10" x14ac:dyDescent="0.25">
      <c r="A117" s="169">
        <v>67</v>
      </c>
      <c r="B117" s="169" t="s">
        <v>23468</v>
      </c>
      <c r="C117" s="169" t="s">
        <v>10225</v>
      </c>
      <c r="D117" s="169" t="s">
        <v>1289</v>
      </c>
      <c r="E117" s="103" t="s">
        <v>20052</v>
      </c>
      <c r="F117" s="104"/>
      <c r="G117" s="105">
        <f t="shared" si="4"/>
        <v>19.11</v>
      </c>
      <c r="H117" s="101" t="str">
        <f t="shared" si="5"/>
        <v>Sinapi 67</v>
      </c>
      <c r="I117" s="101" t="str">
        <f t="shared" si="6"/>
        <v>UN</v>
      </c>
      <c r="J117" s="140" t="str">
        <f t="shared" si="7"/>
        <v>ADAPTADOR PVC, ROSCAVEL, COM FLANGES E ANEL DE VEDACAO, 1/2", PARA CAIXA D' AGUA</v>
      </c>
    </row>
    <row r="118" spans="1:10" x14ac:dyDescent="0.25">
      <c r="A118" s="169">
        <v>71</v>
      </c>
      <c r="B118" s="169" t="s">
        <v>23469</v>
      </c>
      <c r="C118" s="169" t="s">
        <v>10225</v>
      </c>
      <c r="D118" s="169" t="s">
        <v>1289</v>
      </c>
      <c r="E118" s="103" t="s">
        <v>29549</v>
      </c>
      <c r="F118" s="104"/>
      <c r="G118" s="105">
        <f t="shared" si="4"/>
        <v>36.5</v>
      </c>
      <c r="H118" s="101" t="str">
        <f t="shared" si="5"/>
        <v>Sinapi 71</v>
      </c>
      <c r="I118" s="101" t="str">
        <f t="shared" si="6"/>
        <v>UN</v>
      </c>
      <c r="J118" s="140" t="str">
        <f t="shared" si="7"/>
        <v>ADAPTADOR PVC, ROSCAVEL, COM FLANGES E ANEL DE VEDACAO, 1", PARA CAIXA D' AGUA</v>
      </c>
    </row>
    <row r="119" spans="1:10" x14ac:dyDescent="0.25">
      <c r="A119" s="169">
        <v>73</v>
      </c>
      <c r="B119" s="169" t="s">
        <v>23471</v>
      </c>
      <c r="C119" s="169" t="s">
        <v>10225</v>
      </c>
      <c r="D119" s="169" t="s">
        <v>1289</v>
      </c>
      <c r="E119" s="103" t="s">
        <v>19863</v>
      </c>
      <c r="F119" s="104"/>
      <c r="G119" s="105">
        <f t="shared" si="4"/>
        <v>18.28</v>
      </c>
      <c r="H119" s="101" t="str">
        <f t="shared" si="5"/>
        <v>Sinapi 73</v>
      </c>
      <c r="I119" s="101" t="str">
        <f t="shared" si="6"/>
        <v>UN</v>
      </c>
      <c r="J119" s="140" t="str">
        <f t="shared" si="7"/>
        <v>ADAPTADOR PVC, ROSCAVEL, COM FLANGES E ANEL DE VEDACAO, 3/4", PARA CAIXA D' AGUA</v>
      </c>
    </row>
    <row r="120" spans="1:10" x14ac:dyDescent="0.25">
      <c r="A120" s="169">
        <v>46</v>
      </c>
      <c r="B120" s="169" t="s">
        <v>23473</v>
      </c>
      <c r="C120" s="169" t="s">
        <v>10225</v>
      </c>
      <c r="D120" s="169" t="s">
        <v>1289</v>
      </c>
      <c r="E120" s="103" t="s">
        <v>23082</v>
      </c>
      <c r="F120" s="104"/>
      <c r="G120" s="105">
        <f t="shared" si="4"/>
        <v>74.42</v>
      </c>
      <c r="H120" s="101" t="str">
        <f t="shared" si="5"/>
        <v>Sinapi 46</v>
      </c>
      <c r="I120" s="101" t="str">
        <f t="shared" si="6"/>
        <v>UN</v>
      </c>
      <c r="J120" s="140" t="str">
        <f t="shared" si="7"/>
        <v>ADAPTADOR, PVC PBA, BOLSA/ROSCA, JE, DN 75 / DE 85 MM</v>
      </c>
    </row>
    <row r="121" spans="1:10" x14ac:dyDescent="0.25">
      <c r="A121" s="169">
        <v>47</v>
      </c>
      <c r="B121" s="169" t="s">
        <v>23474</v>
      </c>
      <c r="C121" s="169" t="s">
        <v>10225</v>
      </c>
      <c r="D121" s="169" t="s">
        <v>1289</v>
      </c>
      <c r="E121" s="103" t="s">
        <v>29550</v>
      </c>
      <c r="F121" s="104"/>
      <c r="G121" s="105">
        <f t="shared" si="4"/>
        <v>127.24</v>
      </c>
      <c r="H121" s="101" t="str">
        <f t="shared" si="5"/>
        <v>Sinapi 47</v>
      </c>
      <c r="I121" s="101" t="str">
        <f t="shared" si="6"/>
        <v>UN</v>
      </c>
      <c r="J121" s="140" t="str">
        <f t="shared" si="7"/>
        <v>ADAPTADOR, PVC PBA, BOLSA/ROSCA, JE, DN 100 / DE 110 MM</v>
      </c>
    </row>
    <row r="122" spans="1:10" x14ac:dyDescent="0.25">
      <c r="A122" s="169">
        <v>48</v>
      </c>
      <c r="B122" s="169" t="s">
        <v>23476</v>
      </c>
      <c r="C122" s="169" t="s">
        <v>10225</v>
      </c>
      <c r="D122" s="169" t="s">
        <v>1289</v>
      </c>
      <c r="E122" s="103" t="s">
        <v>22716</v>
      </c>
      <c r="F122" s="104"/>
      <c r="G122" s="105">
        <f t="shared" si="4"/>
        <v>33.19</v>
      </c>
      <c r="H122" s="101" t="str">
        <f t="shared" si="5"/>
        <v>Sinapi 48</v>
      </c>
      <c r="I122" s="101" t="str">
        <f t="shared" si="6"/>
        <v>UN</v>
      </c>
      <c r="J122" s="140" t="str">
        <f t="shared" si="7"/>
        <v>ADAPTADOR, PVC PBA, BOLSA/ROSCA, JE, DN 50 / DE 60 MM</v>
      </c>
    </row>
    <row r="123" spans="1:10" x14ac:dyDescent="0.25">
      <c r="A123" s="169">
        <v>52</v>
      </c>
      <c r="B123" s="169" t="s">
        <v>23477</v>
      </c>
      <c r="C123" s="169" t="s">
        <v>10225</v>
      </c>
      <c r="D123" s="169" t="s">
        <v>1289</v>
      </c>
      <c r="E123" s="103" t="s">
        <v>19953</v>
      </c>
      <c r="F123" s="104"/>
      <c r="G123" s="105">
        <f t="shared" si="4"/>
        <v>25.21</v>
      </c>
      <c r="H123" s="101" t="str">
        <f t="shared" si="5"/>
        <v>Sinapi 52</v>
      </c>
      <c r="I123" s="101" t="str">
        <f t="shared" si="6"/>
        <v>UN</v>
      </c>
      <c r="J123" s="140" t="str">
        <f t="shared" si="7"/>
        <v>ADAPTADOR, PVC PBA, PONTA/ROSCA, JE, DN 50 / DE 60 MM</v>
      </c>
    </row>
    <row r="124" spans="1:10" x14ac:dyDescent="0.25">
      <c r="A124" s="169">
        <v>43</v>
      </c>
      <c r="B124" s="169" t="s">
        <v>23479</v>
      </c>
      <c r="C124" s="169" t="s">
        <v>10225</v>
      </c>
      <c r="D124" s="169" t="s">
        <v>1289</v>
      </c>
      <c r="E124" s="103" t="s">
        <v>28618</v>
      </c>
      <c r="F124" s="104"/>
      <c r="G124" s="105">
        <f t="shared" si="4"/>
        <v>85.1</v>
      </c>
      <c r="H124" s="101" t="str">
        <f t="shared" si="5"/>
        <v>Sinapi 43</v>
      </c>
      <c r="I124" s="101" t="str">
        <f t="shared" si="6"/>
        <v>UN</v>
      </c>
      <c r="J124" s="140" t="str">
        <f t="shared" si="7"/>
        <v>ADAPTADOR, PVC PBA, PONTA/ROSCA, JE, DN 75 / DE 85 MM</v>
      </c>
    </row>
    <row r="125" spans="1:10" x14ac:dyDescent="0.25">
      <c r="A125" s="169">
        <v>39719</v>
      </c>
      <c r="B125" s="169" t="s">
        <v>23481</v>
      </c>
      <c r="C125" s="169" t="s">
        <v>10230</v>
      </c>
      <c r="D125" s="169" t="s">
        <v>1289</v>
      </c>
      <c r="E125" s="103" t="s">
        <v>29551</v>
      </c>
      <c r="F125" s="104"/>
      <c r="G125" s="105">
        <f t="shared" si="4"/>
        <v>200.76</v>
      </c>
      <c r="H125" s="101" t="str">
        <f t="shared" si="5"/>
        <v>Sinapi 39719</v>
      </c>
      <c r="I125" s="101" t="str">
        <f t="shared" si="6"/>
        <v>L</v>
      </c>
      <c r="J125" s="140" t="str">
        <f t="shared" si="7"/>
        <v>ADESIVO / COLA DE CONTATO LIQUIDO, A BASE DE RESINAS, PARA COLAGEM DE ESPUMA PARA ISOLAMENTO TERMICO FLEXIVEL</v>
      </c>
    </row>
    <row r="126" spans="1:10" x14ac:dyDescent="0.25">
      <c r="A126" s="169">
        <v>3410</v>
      </c>
      <c r="B126" s="169" t="s">
        <v>23482</v>
      </c>
      <c r="C126" s="169" t="s">
        <v>10231</v>
      </c>
      <c r="D126" s="169" t="s">
        <v>1289</v>
      </c>
      <c r="E126" s="103" t="s">
        <v>21898</v>
      </c>
      <c r="F126" s="104"/>
      <c r="G126" s="105">
        <f t="shared" si="4"/>
        <v>45.16</v>
      </c>
      <c r="H126" s="101" t="str">
        <f t="shared" si="5"/>
        <v>Sinapi 3410</v>
      </c>
      <c r="I126" s="101" t="str">
        <f t="shared" si="6"/>
        <v>KG</v>
      </c>
      <c r="J126" s="140" t="str">
        <f t="shared" si="7"/>
        <v>ADESIVO / COLA PARA EPS (ISOPOR) E OUTROS MATERIAIS</v>
      </c>
    </row>
    <row r="127" spans="1:10" x14ac:dyDescent="0.25">
      <c r="A127" s="169">
        <v>4791</v>
      </c>
      <c r="B127" s="169" t="s">
        <v>23483</v>
      </c>
      <c r="C127" s="169" t="s">
        <v>10231</v>
      </c>
      <c r="D127" s="169" t="s">
        <v>1289</v>
      </c>
      <c r="E127" s="103" t="s">
        <v>29552</v>
      </c>
      <c r="F127" s="104"/>
      <c r="G127" s="105">
        <f t="shared" si="4"/>
        <v>45.49</v>
      </c>
      <c r="H127" s="101" t="str">
        <f t="shared" si="5"/>
        <v>Sinapi 4791</v>
      </c>
      <c r="I127" s="101" t="str">
        <f t="shared" si="6"/>
        <v>KG</v>
      </c>
      <c r="J127" s="140" t="str">
        <f t="shared" si="7"/>
        <v>ADESIVO ACRILICO DE BASE AQUOSA / COLA DE CONTATO</v>
      </c>
    </row>
    <row r="128" spans="1:10" x14ac:dyDescent="0.25">
      <c r="A128" s="169">
        <v>157</v>
      </c>
      <c r="B128" s="169" t="s">
        <v>23484</v>
      </c>
      <c r="C128" s="169" t="s">
        <v>10231</v>
      </c>
      <c r="D128" s="169" t="s">
        <v>1289</v>
      </c>
      <c r="E128" s="103" t="s">
        <v>29553</v>
      </c>
      <c r="F128" s="104"/>
      <c r="G128" s="105">
        <f t="shared" si="4"/>
        <v>179.22</v>
      </c>
      <c r="H128" s="101" t="str">
        <f t="shared" si="5"/>
        <v>Sinapi 157</v>
      </c>
      <c r="I128" s="101" t="str">
        <f t="shared" si="6"/>
        <v>KG</v>
      </c>
      <c r="J128" s="140" t="str">
        <f t="shared" si="7"/>
        <v>ADESIVO ESTRUTURAL A BASE DE RESINA EPOXI PARA INJECAO EM TRINCAS, BICOMPONENTE, BAIXA VISCOSIDADE</v>
      </c>
    </row>
    <row r="129" spans="1:10" x14ac:dyDescent="0.25">
      <c r="A129" s="169">
        <v>156</v>
      </c>
      <c r="B129" s="169" t="s">
        <v>10232</v>
      </c>
      <c r="C129" s="169" t="s">
        <v>10231</v>
      </c>
      <c r="D129" s="169" t="s">
        <v>1289</v>
      </c>
      <c r="E129" s="103" t="s">
        <v>27205</v>
      </c>
      <c r="F129" s="104"/>
      <c r="G129" s="105">
        <f t="shared" si="4"/>
        <v>63.81</v>
      </c>
      <c r="H129" s="101" t="str">
        <f t="shared" si="5"/>
        <v>Sinapi 156</v>
      </c>
      <c r="I129" s="101" t="str">
        <f t="shared" si="6"/>
        <v>KG</v>
      </c>
      <c r="J129" s="140" t="str">
        <f t="shared" si="7"/>
        <v>ADESIVO ESTRUTURAL A BASE DE RESINA EPOXI, BICOMPONENTE, FLUIDO</v>
      </c>
    </row>
    <row r="130" spans="1:10" x14ac:dyDescent="0.25">
      <c r="A130" s="169">
        <v>131</v>
      </c>
      <c r="B130" s="169" t="s">
        <v>652</v>
      </c>
      <c r="C130" s="169" t="s">
        <v>10231</v>
      </c>
      <c r="D130" s="169" t="s">
        <v>1289</v>
      </c>
      <c r="E130" s="103" t="s">
        <v>21487</v>
      </c>
      <c r="F130" s="104"/>
      <c r="G130" s="105">
        <f t="shared" si="4"/>
        <v>54.57</v>
      </c>
      <c r="H130" s="101" t="str">
        <f t="shared" si="5"/>
        <v>Sinapi 131</v>
      </c>
      <c r="I130" s="101" t="str">
        <f t="shared" si="6"/>
        <v>KG</v>
      </c>
      <c r="J130" s="140" t="str">
        <f t="shared" si="7"/>
        <v>ADESIVO ESTRUTURAL A BASE DE RESINA EPOXI, BICOMPONENTE, PASTOSO (TIXOTROPICO)</v>
      </c>
    </row>
    <row r="131" spans="1:10" x14ac:dyDescent="0.25">
      <c r="A131" s="169">
        <v>21114</v>
      </c>
      <c r="B131" s="169" t="s">
        <v>10233</v>
      </c>
      <c r="C131" s="169" t="s">
        <v>10225</v>
      </c>
      <c r="D131" s="169" t="s">
        <v>1289</v>
      </c>
      <c r="E131" s="103" t="s">
        <v>29554</v>
      </c>
      <c r="F131" s="104"/>
      <c r="G131" s="105">
        <f t="shared" si="4"/>
        <v>39.57</v>
      </c>
      <c r="H131" s="101" t="str">
        <f t="shared" si="5"/>
        <v>Sinapi 21114</v>
      </c>
      <c r="I131" s="101" t="str">
        <f t="shared" si="6"/>
        <v>UN</v>
      </c>
      <c r="J131" s="140" t="str">
        <f t="shared" si="7"/>
        <v>ADESIVO PARA TUBOS CPVC, *75* G</v>
      </c>
    </row>
    <row r="132" spans="1:10" x14ac:dyDescent="0.25">
      <c r="A132" s="169">
        <v>119</v>
      </c>
      <c r="B132" s="169" t="s">
        <v>23486</v>
      </c>
      <c r="C132" s="169" t="s">
        <v>10225</v>
      </c>
      <c r="D132" s="169" t="s">
        <v>1288</v>
      </c>
      <c r="E132" s="103" t="s">
        <v>22731</v>
      </c>
      <c r="F132" s="104"/>
      <c r="G132" s="105">
        <f t="shared" si="4"/>
        <v>10.029999999999999</v>
      </c>
      <c r="H132" s="101" t="str">
        <f t="shared" si="5"/>
        <v>Sinapi 119</v>
      </c>
      <c r="I132" s="101" t="str">
        <f t="shared" si="6"/>
        <v>UN</v>
      </c>
      <c r="J132" s="140" t="str">
        <f t="shared" si="7"/>
        <v>ADESIVO PLASTICO PARA PVC, BISNAGA COM 75 GR</v>
      </c>
    </row>
    <row r="133" spans="1:10" x14ac:dyDescent="0.25">
      <c r="A133" s="169">
        <v>122</v>
      </c>
      <c r="B133" s="169" t="s">
        <v>23487</v>
      </c>
      <c r="C133" s="169" t="s">
        <v>10225</v>
      </c>
      <c r="D133" s="169" t="s">
        <v>1289</v>
      </c>
      <c r="E133" s="103" t="s">
        <v>25046</v>
      </c>
      <c r="F133" s="104"/>
      <c r="G133" s="105">
        <f t="shared" si="4"/>
        <v>77.17</v>
      </c>
      <c r="H133" s="101" t="str">
        <f t="shared" si="5"/>
        <v>Sinapi 122</v>
      </c>
      <c r="I133" s="101" t="str">
        <f t="shared" si="6"/>
        <v>UN</v>
      </c>
      <c r="J133" s="140" t="str">
        <f t="shared" si="7"/>
        <v>ADESIVO PLASTICO PARA PVC, FRASCO COM *850* GR</v>
      </c>
    </row>
    <row r="134" spans="1:10" x14ac:dyDescent="0.25">
      <c r="A134" s="169">
        <v>20080</v>
      </c>
      <c r="B134" s="169" t="s">
        <v>23489</v>
      </c>
      <c r="C134" s="169" t="s">
        <v>10225</v>
      </c>
      <c r="D134" s="169" t="s">
        <v>1289</v>
      </c>
      <c r="E134" s="103" t="s">
        <v>23102</v>
      </c>
      <c r="F134" s="104"/>
      <c r="G134" s="105">
        <f t="shared" si="4"/>
        <v>25.19</v>
      </c>
      <c r="H134" s="101" t="str">
        <f t="shared" si="5"/>
        <v>Sinapi 20080</v>
      </c>
      <c r="I134" s="101" t="str">
        <f t="shared" si="6"/>
        <v>UN</v>
      </c>
      <c r="J134" s="140" t="str">
        <f t="shared" si="7"/>
        <v>ADESIVO PLASTICO PARA PVC, FRASCO COM 175 GR</v>
      </c>
    </row>
    <row r="135" spans="1:10" x14ac:dyDescent="0.25">
      <c r="A135" s="169">
        <v>124</v>
      </c>
      <c r="B135" s="169" t="s">
        <v>23490</v>
      </c>
      <c r="C135" s="169" t="s">
        <v>10230</v>
      </c>
      <c r="D135" s="169" t="s">
        <v>1289</v>
      </c>
      <c r="E135" s="103" t="s">
        <v>14352</v>
      </c>
      <c r="F135" s="104"/>
      <c r="G135" s="105">
        <f t="shared" si="4"/>
        <v>21.04</v>
      </c>
      <c r="H135" s="101" t="str">
        <f t="shared" si="5"/>
        <v>Sinapi 124</v>
      </c>
      <c r="I135" s="101" t="str">
        <f t="shared" si="6"/>
        <v>L</v>
      </c>
      <c r="J135" s="140" t="str">
        <f t="shared" si="7"/>
        <v>ADITIVO ACELERADOR DE PEGA E ENDURECIMENTO PARA ARGAMASSAS E CONCRETOS, LIQUIDO E ISENTO DE CLORETOS</v>
      </c>
    </row>
    <row r="136" spans="1:10" x14ac:dyDescent="0.25">
      <c r="A136" s="169">
        <v>7334</v>
      </c>
      <c r="B136" s="169" t="s">
        <v>23492</v>
      </c>
      <c r="C136" s="169" t="s">
        <v>10230</v>
      </c>
      <c r="D136" s="169" t="s">
        <v>1289</v>
      </c>
      <c r="E136" s="103" t="s">
        <v>18624</v>
      </c>
      <c r="F136" s="104"/>
      <c r="G136" s="105">
        <f t="shared" ref="G136:G199" si="8">IF(E136="","",E136+0)</f>
        <v>17.88</v>
      </c>
      <c r="H136" s="101" t="str">
        <f t="shared" ref="H136:H199" si="9">IF(G136="","",TRIM(CONCATENATE("Sinapi ",A136)))</f>
        <v>Sinapi 7334</v>
      </c>
      <c r="I136" s="101" t="str">
        <f t="shared" ref="I136:I199" si="10">TRIM(C136)</f>
        <v>L</v>
      </c>
      <c r="J136" s="140" t="str">
        <f t="shared" si="7"/>
        <v>ADITIVO ADESIVO LIQUIDO PARA ARGAMASSAS DE REVESTIMENTOS CIMENTICIOS</v>
      </c>
    </row>
    <row r="137" spans="1:10" x14ac:dyDescent="0.25">
      <c r="A137" s="169">
        <v>123</v>
      </c>
      <c r="B137" s="169" t="s">
        <v>654</v>
      </c>
      <c r="C137" s="169" t="s">
        <v>10230</v>
      </c>
      <c r="D137" s="169" t="s">
        <v>1288</v>
      </c>
      <c r="E137" s="103" t="s">
        <v>15689</v>
      </c>
      <c r="F137" s="104"/>
      <c r="G137" s="105">
        <f t="shared" si="8"/>
        <v>8.61</v>
      </c>
      <c r="H137" s="101" t="str">
        <f t="shared" si="9"/>
        <v>Sinapi 123</v>
      </c>
      <c r="I137" s="101" t="str">
        <f t="shared" si="10"/>
        <v>L</v>
      </c>
      <c r="J137" s="140" t="str">
        <f t="shared" ref="J137:J200" si="11">TRIM(B137)</f>
        <v>ADITIVO IMPERMEABILIZANTE DE PEGA NORMAL PARA ARGAMASSAS E CONCRETOS SEM ARMACAO, LIQUIDO E ISENTO DE CLORETOS</v>
      </c>
    </row>
    <row r="138" spans="1:10" x14ac:dyDescent="0.25">
      <c r="A138" s="169">
        <v>127</v>
      </c>
      <c r="B138" s="169" t="s">
        <v>23493</v>
      </c>
      <c r="C138" s="169" t="s">
        <v>10230</v>
      </c>
      <c r="D138" s="169" t="s">
        <v>1289</v>
      </c>
      <c r="E138" s="103" t="s">
        <v>15697</v>
      </c>
      <c r="F138" s="104"/>
      <c r="G138" s="105">
        <f t="shared" si="8"/>
        <v>20.55</v>
      </c>
      <c r="H138" s="101" t="str">
        <f t="shared" si="9"/>
        <v>Sinapi 127</v>
      </c>
      <c r="I138" s="101" t="str">
        <f t="shared" si="10"/>
        <v>L</v>
      </c>
      <c r="J138" s="140" t="str">
        <f t="shared" si="11"/>
        <v>ADITIVO IMPERMEABILIZANTE DE PEGA ULTRARRAPIDA, LIQUIDO E ISENTO DE CLORETOS</v>
      </c>
    </row>
    <row r="139" spans="1:10" x14ac:dyDescent="0.25">
      <c r="A139" s="169">
        <v>41373</v>
      </c>
      <c r="B139" s="169" t="s">
        <v>23494</v>
      </c>
      <c r="C139" s="169" t="s">
        <v>10230</v>
      </c>
      <c r="D139" s="169" t="s">
        <v>1289</v>
      </c>
      <c r="E139" s="103" t="s">
        <v>16305</v>
      </c>
      <c r="F139" s="104"/>
      <c r="G139" s="105">
        <f t="shared" si="8"/>
        <v>28.64</v>
      </c>
      <c r="H139" s="101" t="str">
        <f t="shared" si="9"/>
        <v>Sinapi 41373</v>
      </c>
      <c r="I139" s="101" t="str">
        <f t="shared" si="10"/>
        <v>L</v>
      </c>
      <c r="J139" s="140" t="str">
        <f t="shared" si="11"/>
        <v>ADITIVO LIQUIDO IMPERMEABILIZANTE CRISTALIZANTE</v>
      </c>
    </row>
    <row r="140" spans="1:10" x14ac:dyDescent="0.25">
      <c r="A140" s="169">
        <v>133</v>
      </c>
      <c r="B140" s="169" t="s">
        <v>1279</v>
      </c>
      <c r="C140" s="169" t="s">
        <v>10230</v>
      </c>
      <c r="D140" s="169" t="s">
        <v>1289</v>
      </c>
      <c r="E140" s="103" t="s">
        <v>15575</v>
      </c>
      <c r="F140" s="104"/>
      <c r="G140" s="105">
        <f t="shared" si="8"/>
        <v>8.5399999999999991</v>
      </c>
      <c r="H140" s="101" t="str">
        <f t="shared" si="9"/>
        <v>Sinapi 133</v>
      </c>
      <c r="I140" s="101" t="str">
        <f t="shared" si="10"/>
        <v>L</v>
      </c>
      <c r="J140" s="140" t="str">
        <f t="shared" si="11"/>
        <v>ADITIVO LIQUIDO INCORPORADOR DE AR PARA CONCRETO E ARGAMASSA, LIQUIDO E ISENTO DE CLORETOS</v>
      </c>
    </row>
    <row r="141" spans="1:10" x14ac:dyDescent="0.25">
      <c r="A141" s="169">
        <v>43617</v>
      </c>
      <c r="B141" s="169" t="s">
        <v>23495</v>
      </c>
      <c r="C141" s="169" t="s">
        <v>10230</v>
      </c>
      <c r="D141" s="169" t="s">
        <v>1289</v>
      </c>
      <c r="E141" s="103" t="s">
        <v>14625</v>
      </c>
      <c r="F141" s="104"/>
      <c r="G141" s="105">
        <f t="shared" si="8"/>
        <v>9.5399999999999991</v>
      </c>
      <c r="H141" s="101" t="str">
        <f t="shared" si="9"/>
        <v>Sinapi 43617</v>
      </c>
      <c r="I141" s="101" t="str">
        <f t="shared" si="10"/>
        <v>L</v>
      </c>
      <c r="J141" s="140" t="str">
        <f t="shared" si="11"/>
        <v>ADITIVO PLASTIFICANTE E ESTABILIZADOR PARA ARGAMASSAS DE ASSENTAMENTO E REBOCO, LIQUIDO E ISENTO DE CLORETOS</v>
      </c>
    </row>
    <row r="142" spans="1:10" x14ac:dyDescent="0.25">
      <c r="A142" s="169">
        <v>132</v>
      </c>
      <c r="B142" s="169" t="s">
        <v>23496</v>
      </c>
      <c r="C142" s="169" t="s">
        <v>10230</v>
      </c>
      <c r="D142" s="169" t="s">
        <v>1289</v>
      </c>
      <c r="E142" s="103" t="s">
        <v>18424</v>
      </c>
      <c r="F142" s="104"/>
      <c r="G142" s="105">
        <f t="shared" si="8"/>
        <v>8.85</v>
      </c>
      <c r="H142" s="101" t="str">
        <f t="shared" si="9"/>
        <v>Sinapi 132</v>
      </c>
      <c r="I142" s="101" t="str">
        <f t="shared" si="10"/>
        <v>L</v>
      </c>
      <c r="J142" s="140" t="str">
        <f t="shared" si="11"/>
        <v>ADITIVO PLASTIFICANTE RETARDADOR DE PEGA E REDUTOR DE AGUA PARA CONCRETO, LIQUIDO E ISENTO DE CLORETOS</v>
      </c>
    </row>
    <row r="143" spans="1:10" x14ac:dyDescent="0.25">
      <c r="A143" s="169">
        <v>43618</v>
      </c>
      <c r="B143" s="169" t="s">
        <v>23497</v>
      </c>
      <c r="C143" s="169" t="s">
        <v>10231</v>
      </c>
      <c r="D143" s="169" t="s">
        <v>1289</v>
      </c>
      <c r="E143" s="103" t="s">
        <v>18423</v>
      </c>
      <c r="F143" s="104"/>
      <c r="G143" s="105">
        <f t="shared" si="8"/>
        <v>22.28</v>
      </c>
      <c r="H143" s="101" t="str">
        <f t="shared" si="9"/>
        <v>Sinapi 43618</v>
      </c>
      <c r="I143" s="101" t="str">
        <f t="shared" si="10"/>
        <v>KG</v>
      </c>
      <c r="J143" s="140" t="str">
        <f t="shared" si="11"/>
        <v>ADITIVO SUPERPLASTIFICANTE DE PEGA NORMAL PARA CONCRETO, LIQUIDO E ISENTO DE CLORETOS</v>
      </c>
    </row>
    <row r="144" spans="1:10" x14ac:dyDescent="0.25">
      <c r="A144" s="169">
        <v>37476</v>
      </c>
      <c r="B144" s="169" t="s">
        <v>23498</v>
      </c>
      <c r="C144" s="169" t="s">
        <v>10225</v>
      </c>
      <c r="D144" s="169" t="s">
        <v>1289</v>
      </c>
      <c r="E144" s="103" t="s">
        <v>29555</v>
      </c>
      <c r="F144" s="104"/>
      <c r="G144" s="105">
        <f t="shared" si="8"/>
        <v>4009.91</v>
      </c>
      <c r="H144" s="101" t="str">
        <f t="shared" si="9"/>
        <v>Sinapi 37476</v>
      </c>
      <c r="I144" s="101" t="str">
        <f t="shared" si="10"/>
        <v>UN</v>
      </c>
      <c r="J144" s="140" t="str">
        <f t="shared" si="11"/>
        <v>ADUELA/ GALERIA PRE-MOLDADA DE CONCRETO ARMADO, SECAO QUADRADA INTERNA DE 1,50 X 1,50 M (L X A), MISULA DE 20 X 20 CM, C = 1,00 M, ESPESSURA MIN = 15 CM, TB-45 E FCK DO CONCRETO = 30 MPA</v>
      </c>
    </row>
    <row r="145" spans="1:10" x14ac:dyDescent="0.25">
      <c r="A145" s="169">
        <v>37478</v>
      </c>
      <c r="B145" s="169" t="s">
        <v>23499</v>
      </c>
      <c r="C145" s="169" t="s">
        <v>10225</v>
      </c>
      <c r="D145" s="169" t="s">
        <v>1289</v>
      </c>
      <c r="E145" s="103" t="s">
        <v>29556</v>
      </c>
      <c r="F145" s="104"/>
      <c r="G145" s="105">
        <f t="shared" si="8"/>
        <v>5022.5200000000004</v>
      </c>
      <c r="H145" s="101" t="str">
        <f t="shared" si="9"/>
        <v>Sinapi 37478</v>
      </c>
      <c r="I145" s="101" t="str">
        <f t="shared" si="10"/>
        <v>UN</v>
      </c>
      <c r="J145" s="140" t="str">
        <f t="shared" si="11"/>
        <v>ADUELA/ GALERIA PRE-MOLDADA DE CONCRETO ARMADO, SECAO RETANGULAR INTERNA DE 2,00 X 2,00 M (L X A), MISULA DE 20 X 20 CM, C = 1,00 M, ESPESSURA MIN = 15 CM, TB-45 E FCK DO CONCRETO = 30 MPA</v>
      </c>
    </row>
    <row r="146" spans="1:10" x14ac:dyDescent="0.25">
      <c r="A146" s="169">
        <v>37477</v>
      </c>
      <c r="B146" s="169" t="s">
        <v>23500</v>
      </c>
      <c r="C146" s="169" t="s">
        <v>10225</v>
      </c>
      <c r="D146" s="169" t="s">
        <v>1289</v>
      </c>
      <c r="E146" s="103" t="s">
        <v>29557</v>
      </c>
      <c r="F146" s="104"/>
      <c r="G146" s="105">
        <f t="shared" si="8"/>
        <v>6804.7</v>
      </c>
      <c r="H146" s="101" t="str">
        <f t="shared" si="9"/>
        <v>Sinapi 37477</v>
      </c>
      <c r="I146" s="101" t="str">
        <f t="shared" si="10"/>
        <v>UN</v>
      </c>
      <c r="J146" s="140" t="str">
        <f t="shared" si="11"/>
        <v>ADUELA/ GALERIA PRE-MOLDADA DE CONCRETO ARMADO, SECAO RETANGULAR INTERNA DE 2,50 X 2,50 M (L X A), MISULA DE 20 X 20 CM, C = 1,00 M, ESPESSURA MIN = 15 CM, TB-45 E FCK DO CONCRETO = 30 MPA</v>
      </c>
    </row>
    <row r="147" spans="1:10" x14ac:dyDescent="0.25">
      <c r="A147" s="169">
        <v>37479</v>
      </c>
      <c r="B147" s="169" t="s">
        <v>23501</v>
      </c>
      <c r="C147" s="169" t="s">
        <v>10225</v>
      </c>
      <c r="D147" s="169" t="s">
        <v>1289</v>
      </c>
      <c r="E147" s="103" t="s">
        <v>29558</v>
      </c>
      <c r="F147" s="104"/>
      <c r="G147" s="105">
        <f t="shared" si="8"/>
        <v>8070.46</v>
      </c>
      <c r="H147" s="101" t="str">
        <f t="shared" si="9"/>
        <v>Sinapi 37479</v>
      </c>
      <c r="I147" s="101" t="str">
        <f t="shared" si="10"/>
        <v>UN</v>
      </c>
      <c r="J147" s="140" t="str">
        <f t="shared" si="11"/>
        <v>ADUELA/ GALERIA PRE-MOLDADA DE CONCRETO ARMADO, SECAO RETANGULAR INTERNA DE 3,00 X 3,00 M (L X A), MISULA DE 20 X 20 CM, C = 1.00 M, ESPESSURA MIN = 20 CM, TB-45 E FCK DO CONCRETO = 30 MPA</v>
      </c>
    </row>
    <row r="148" spans="1:10" x14ac:dyDescent="0.25">
      <c r="A148" s="169">
        <v>4319</v>
      </c>
      <c r="B148" s="169" t="s">
        <v>23502</v>
      </c>
      <c r="C148" s="169" t="s">
        <v>10225</v>
      </c>
      <c r="D148" s="169" t="s">
        <v>1289</v>
      </c>
      <c r="E148" s="103" t="s">
        <v>15523</v>
      </c>
      <c r="F148" s="104"/>
      <c r="G148" s="105">
        <f t="shared" si="8"/>
        <v>1.47</v>
      </c>
      <c r="H148" s="101" t="str">
        <f t="shared" si="9"/>
        <v>Sinapi 4319</v>
      </c>
      <c r="I148" s="101" t="str">
        <f t="shared" si="10"/>
        <v>UN</v>
      </c>
      <c r="J148" s="140" t="str">
        <f t="shared" si="11"/>
        <v>AFASTADOR PARA TELHA DE FIBROCIMENTO CANALETE 90 OU KALHETAO</v>
      </c>
    </row>
    <row r="149" spans="1:10" x14ac:dyDescent="0.25">
      <c r="A149" s="169">
        <v>42409</v>
      </c>
      <c r="B149" s="169" t="s">
        <v>23503</v>
      </c>
      <c r="C149" s="169" t="s">
        <v>10231</v>
      </c>
      <c r="D149" s="169" t="s">
        <v>1289</v>
      </c>
      <c r="E149" s="103" t="s">
        <v>13831</v>
      </c>
      <c r="F149" s="104"/>
      <c r="G149" s="105">
        <f t="shared" si="8"/>
        <v>14.03</v>
      </c>
      <c r="H149" s="101" t="str">
        <f t="shared" si="9"/>
        <v>Sinapi 42409</v>
      </c>
      <c r="I149" s="101" t="str">
        <f t="shared" si="10"/>
        <v>KG</v>
      </c>
      <c r="J149" s="140" t="str">
        <f t="shared" si="11"/>
        <v>AGENTE DE CURA, PROTETOR DA EVAPORACAO DA AGUA DE HIDRATACAO DO CONCRETO</v>
      </c>
    </row>
    <row r="150" spans="1:10" x14ac:dyDescent="0.25">
      <c r="A150" s="169">
        <v>40553</v>
      </c>
      <c r="B150" s="169" t="s">
        <v>23504</v>
      </c>
      <c r="C150" s="169" t="s">
        <v>10234</v>
      </c>
      <c r="D150" s="169" t="s">
        <v>1290</v>
      </c>
      <c r="E150" s="103" t="s">
        <v>22896</v>
      </c>
      <c r="F150" s="104"/>
      <c r="G150" s="105">
        <f t="shared" si="8"/>
        <v>56.25</v>
      </c>
      <c r="H150" s="101" t="str">
        <f t="shared" si="9"/>
        <v>Sinapi 40553</v>
      </c>
      <c r="I150" s="101" t="str">
        <f t="shared" si="10"/>
        <v>M3</v>
      </c>
      <c r="J150" s="140" t="str">
        <f t="shared" si="11"/>
        <v>AGREGADO RECICLADO, TIPO RACHAO RECICLADO CINZA, CLASSE A</v>
      </c>
    </row>
    <row r="151" spans="1:10" x14ac:dyDescent="0.25">
      <c r="A151" s="169">
        <v>6114</v>
      </c>
      <c r="B151" s="169" t="s">
        <v>23505</v>
      </c>
      <c r="C151" s="169" t="s">
        <v>10228</v>
      </c>
      <c r="D151" s="169" t="s">
        <v>1289</v>
      </c>
      <c r="E151" s="103" t="s">
        <v>29559</v>
      </c>
      <c r="F151" s="104"/>
      <c r="G151" s="105">
        <f t="shared" si="8"/>
        <v>12.32</v>
      </c>
      <c r="H151" s="101" t="str">
        <f t="shared" si="9"/>
        <v>Sinapi 6114</v>
      </c>
      <c r="I151" s="101" t="str">
        <f t="shared" si="10"/>
        <v>H</v>
      </c>
      <c r="J151" s="140" t="str">
        <f t="shared" si="11"/>
        <v>AJUDANTE DE ARMADOR (HORISTA)</v>
      </c>
    </row>
    <row r="152" spans="1:10" x14ac:dyDescent="0.25">
      <c r="A152" s="169">
        <v>40912</v>
      </c>
      <c r="B152" s="169" t="s">
        <v>23506</v>
      </c>
      <c r="C152" s="169" t="s">
        <v>10235</v>
      </c>
      <c r="D152" s="169" t="s">
        <v>1289</v>
      </c>
      <c r="E152" s="103" t="s">
        <v>29560</v>
      </c>
      <c r="F152" s="104"/>
      <c r="G152" s="105">
        <f t="shared" si="8"/>
        <v>2148.08</v>
      </c>
      <c r="H152" s="101" t="str">
        <f t="shared" si="9"/>
        <v>Sinapi 40912</v>
      </c>
      <c r="I152" s="101" t="str">
        <f t="shared" si="10"/>
        <v>MES</v>
      </c>
      <c r="J152" s="140" t="str">
        <f t="shared" si="11"/>
        <v>AJUDANTE DE ARMADOR (MENSALISTA)</v>
      </c>
    </row>
    <row r="153" spans="1:10" x14ac:dyDescent="0.25">
      <c r="A153" s="169">
        <v>247</v>
      </c>
      <c r="B153" s="169" t="s">
        <v>23507</v>
      </c>
      <c r="C153" s="169" t="s">
        <v>10228</v>
      </c>
      <c r="D153" s="169" t="s">
        <v>1289</v>
      </c>
      <c r="E153" s="103" t="s">
        <v>24472</v>
      </c>
      <c r="F153" s="104"/>
      <c r="G153" s="105">
        <f t="shared" si="8"/>
        <v>13.34</v>
      </c>
      <c r="H153" s="101" t="str">
        <f t="shared" si="9"/>
        <v>Sinapi 247</v>
      </c>
      <c r="I153" s="101" t="str">
        <f t="shared" si="10"/>
        <v>H</v>
      </c>
      <c r="J153" s="140" t="str">
        <f t="shared" si="11"/>
        <v>AJUDANTE DE ELETRICISTA (HORISTA)</v>
      </c>
    </row>
    <row r="154" spans="1:10" x14ac:dyDescent="0.25">
      <c r="A154" s="169">
        <v>40919</v>
      </c>
      <c r="B154" s="169" t="s">
        <v>23508</v>
      </c>
      <c r="C154" s="169" t="s">
        <v>10235</v>
      </c>
      <c r="D154" s="169" t="s">
        <v>1289</v>
      </c>
      <c r="E154" s="103" t="s">
        <v>29561</v>
      </c>
      <c r="F154" s="104"/>
      <c r="G154" s="105">
        <f t="shared" si="8"/>
        <v>2322.64</v>
      </c>
      <c r="H154" s="101" t="str">
        <f t="shared" si="9"/>
        <v>Sinapi 40919</v>
      </c>
      <c r="I154" s="101" t="str">
        <f t="shared" si="10"/>
        <v>MES</v>
      </c>
      <c r="J154" s="140" t="str">
        <f t="shared" si="11"/>
        <v>AJUDANTE DE ELETRICISTA (MENSALISTA)</v>
      </c>
    </row>
    <row r="155" spans="1:10" x14ac:dyDescent="0.25">
      <c r="A155" s="169">
        <v>40984</v>
      </c>
      <c r="B155" s="169" t="s">
        <v>23509</v>
      </c>
      <c r="C155" s="169" t="s">
        <v>10235</v>
      </c>
      <c r="D155" s="169" t="s">
        <v>1289</v>
      </c>
      <c r="E155" s="103" t="s">
        <v>29562</v>
      </c>
      <c r="F155" s="104"/>
      <c r="G155" s="105">
        <f t="shared" si="8"/>
        <v>2604.85</v>
      </c>
      <c r="H155" s="101" t="str">
        <f t="shared" si="9"/>
        <v>Sinapi 40984</v>
      </c>
      <c r="I155" s="101" t="str">
        <f t="shared" si="10"/>
        <v>MES</v>
      </c>
      <c r="J155" s="140" t="str">
        <f t="shared" si="11"/>
        <v>AJUDANTE DE ESTRUTURAS METALICAS (MENSALISTA)</v>
      </c>
    </row>
    <row r="156" spans="1:10" x14ac:dyDescent="0.25">
      <c r="A156" s="169">
        <v>44499</v>
      </c>
      <c r="B156" s="169" t="s">
        <v>23510</v>
      </c>
      <c r="C156" s="169" t="s">
        <v>10228</v>
      </c>
      <c r="D156" s="169" t="s">
        <v>1289</v>
      </c>
      <c r="E156" s="103" t="s">
        <v>15083</v>
      </c>
      <c r="F156" s="104"/>
      <c r="G156" s="105">
        <f t="shared" si="8"/>
        <v>14.96</v>
      </c>
      <c r="H156" s="101" t="str">
        <f t="shared" si="9"/>
        <v>Sinapi 44499</v>
      </c>
      <c r="I156" s="101" t="str">
        <f t="shared" si="10"/>
        <v>H</v>
      </c>
      <c r="J156" s="140" t="str">
        <f t="shared" si="11"/>
        <v>AJUDANTE DE ESTRUTURAS METALICAS HORISTA</v>
      </c>
    </row>
    <row r="157" spans="1:10" x14ac:dyDescent="0.25">
      <c r="A157" s="169">
        <v>248</v>
      </c>
      <c r="B157" s="169" t="s">
        <v>23511</v>
      </c>
      <c r="C157" s="169" t="s">
        <v>10228</v>
      </c>
      <c r="D157" s="169" t="s">
        <v>1289</v>
      </c>
      <c r="E157" s="103" t="s">
        <v>29563</v>
      </c>
      <c r="F157" s="104"/>
      <c r="G157" s="105">
        <f t="shared" si="8"/>
        <v>12.67</v>
      </c>
      <c r="H157" s="101" t="str">
        <f t="shared" si="9"/>
        <v>Sinapi 248</v>
      </c>
      <c r="I157" s="101" t="str">
        <f t="shared" si="10"/>
        <v>H</v>
      </c>
      <c r="J157" s="140" t="str">
        <f t="shared" si="11"/>
        <v>AJUDANTE DE OPERACAO EM GERAL (HORISTA)</v>
      </c>
    </row>
    <row r="158" spans="1:10" x14ac:dyDescent="0.25">
      <c r="A158" s="169">
        <v>41086</v>
      </c>
      <c r="B158" s="169" t="s">
        <v>23512</v>
      </c>
      <c r="C158" s="169" t="s">
        <v>10235</v>
      </c>
      <c r="D158" s="169" t="s">
        <v>1289</v>
      </c>
      <c r="E158" s="103" t="s">
        <v>29564</v>
      </c>
      <c r="F158" s="104"/>
      <c r="G158" s="105">
        <f t="shared" si="8"/>
        <v>2207.54</v>
      </c>
      <c r="H158" s="101" t="str">
        <f t="shared" si="9"/>
        <v>Sinapi 41086</v>
      </c>
      <c r="I158" s="101" t="str">
        <f t="shared" si="10"/>
        <v>MES</v>
      </c>
      <c r="J158" s="140" t="str">
        <f t="shared" si="11"/>
        <v>AJUDANTE DE OPERACAO EM GERAL (MENSALISTA)</v>
      </c>
    </row>
    <row r="159" spans="1:10" x14ac:dyDescent="0.25">
      <c r="A159" s="169">
        <v>34466</v>
      </c>
      <c r="B159" s="169" t="s">
        <v>23513</v>
      </c>
      <c r="C159" s="169" t="s">
        <v>10228</v>
      </c>
      <c r="D159" s="169" t="s">
        <v>1289</v>
      </c>
      <c r="E159" s="103" t="s">
        <v>24472</v>
      </c>
      <c r="F159" s="104"/>
      <c r="G159" s="105">
        <f t="shared" si="8"/>
        <v>13.34</v>
      </c>
      <c r="H159" s="101" t="str">
        <f t="shared" si="9"/>
        <v>Sinapi 34466</v>
      </c>
      <c r="I159" s="101" t="str">
        <f t="shared" si="10"/>
        <v>H</v>
      </c>
      <c r="J159" s="140" t="str">
        <f t="shared" si="11"/>
        <v>AJUDANTE DE PINTOR (HORISTA)</v>
      </c>
    </row>
    <row r="160" spans="1:10" x14ac:dyDescent="0.25">
      <c r="A160" s="169">
        <v>41083</v>
      </c>
      <c r="B160" s="169" t="s">
        <v>23514</v>
      </c>
      <c r="C160" s="169" t="s">
        <v>10235</v>
      </c>
      <c r="D160" s="169" t="s">
        <v>1289</v>
      </c>
      <c r="E160" s="103" t="s">
        <v>29561</v>
      </c>
      <c r="F160" s="104"/>
      <c r="G160" s="105">
        <f t="shared" si="8"/>
        <v>2322.64</v>
      </c>
      <c r="H160" s="101" t="str">
        <f t="shared" si="9"/>
        <v>Sinapi 41083</v>
      </c>
      <c r="I160" s="101" t="str">
        <f t="shared" si="10"/>
        <v>MES</v>
      </c>
      <c r="J160" s="140" t="str">
        <f t="shared" si="11"/>
        <v>AJUDANTE DE PINTOR (MENSALISTA)</v>
      </c>
    </row>
    <row r="161" spans="1:10" x14ac:dyDescent="0.25">
      <c r="A161" s="169">
        <v>252</v>
      </c>
      <c r="B161" s="169" t="s">
        <v>23515</v>
      </c>
      <c r="C161" s="169" t="s">
        <v>10228</v>
      </c>
      <c r="D161" s="169" t="s">
        <v>1289</v>
      </c>
      <c r="E161" s="103" t="s">
        <v>24472</v>
      </c>
      <c r="F161" s="104"/>
      <c r="G161" s="105">
        <f t="shared" si="8"/>
        <v>13.34</v>
      </c>
      <c r="H161" s="101" t="str">
        <f t="shared" si="9"/>
        <v>Sinapi 252</v>
      </c>
      <c r="I161" s="101" t="str">
        <f t="shared" si="10"/>
        <v>H</v>
      </c>
      <c r="J161" s="140" t="str">
        <f t="shared" si="11"/>
        <v>AJUDANTE DE SERRALHEIRO (HORISTA)</v>
      </c>
    </row>
    <row r="162" spans="1:10" x14ac:dyDescent="0.25">
      <c r="A162" s="169">
        <v>40909</v>
      </c>
      <c r="B162" s="169" t="s">
        <v>23516</v>
      </c>
      <c r="C162" s="169" t="s">
        <v>10235</v>
      </c>
      <c r="D162" s="169" t="s">
        <v>1289</v>
      </c>
      <c r="E162" s="103" t="s">
        <v>29561</v>
      </c>
      <c r="F162" s="104"/>
      <c r="G162" s="105">
        <f t="shared" si="8"/>
        <v>2322.64</v>
      </c>
      <c r="H162" s="101" t="str">
        <f t="shared" si="9"/>
        <v>Sinapi 40909</v>
      </c>
      <c r="I162" s="101" t="str">
        <f t="shared" si="10"/>
        <v>MES</v>
      </c>
      <c r="J162" s="140" t="str">
        <f t="shared" si="11"/>
        <v>AJUDANTE DE SERRALHEIRO (MENSALISTA)</v>
      </c>
    </row>
    <row r="163" spans="1:10" x14ac:dyDescent="0.25">
      <c r="A163" s="169">
        <v>242</v>
      </c>
      <c r="B163" s="169" t="s">
        <v>23517</v>
      </c>
      <c r="C163" s="169" t="s">
        <v>10228</v>
      </c>
      <c r="D163" s="169" t="s">
        <v>1289</v>
      </c>
      <c r="E163" s="103" t="s">
        <v>16414</v>
      </c>
      <c r="F163" s="104"/>
      <c r="G163" s="105">
        <f t="shared" si="8"/>
        <v>14.07</v>
      </c>
      <c r="H163" s="101" t="str">
        <f t="shared" si="9"/>
        <v>Sinapi 242</v>
      </c>
      <c r="I163" s="101" t="str">
        <f t="shared" si="10"/>
        <v>H</v>
      </c>
      <c r="J163" s="140" t="str">
        <f t="shared" si="11"/>
        <v>AJUDANTE ESPECIALIZADO (HORISTA)</v>
      </c>
    </row>
    <row r="164" spans="1:10" x14ac:dyDescent="0.25">
      <c r="A164" s="169">
        <v>41085</v>
      </c>
      <c r="B164" s="169" t="s">
        <v>23518</v>
      </c>
      <c r="C164" s="169" t="s">
        <v>10235</v>
      </c>
      <c r="D164" s="169" t="s">
        <v>1289</v>
      </c>
      <c r="E164" s="103" t="s">
        <v>29565</v>
      </c>
      <c r="F164" s="104"/>
      <c r="G164" s="105">
        <f t="shared" si="8"/>
        <v>2449.9699999999998</v>
      </c>
      <c r="H164" s="101" t="str">
        <f t="shared" si="9"/>
        <v>Sinapi 41085</v>
      </c>
      <c r="I164" s="101" t="str">
        <f t="shared" si="10"/>
        <v>MES</v>
      </c>
      <c r="J164" s="140" t="str">
        <f t="shared" si="11"/>
        <v>AJUDANTE ESPECIALIZADO (MENSALISTA)</v>
      </c>
    </row>
    <row r="165" spans="1:10" x14ac:dyDescent="0.25">
      <c r="A165" s="169">
        <v>427</v>
      </c>
      <c r="B165" s="169" t="s">
        <v>23519</v>
      </c>
      <c r="C165" s="169" t="s">
        <v>10225</v>
      </c>
      <c r="D165" s="169" t="s">
        <v>1289</v>
      </c>
      <c r="E165" s="103" t="s">
        <v>5176</v>
      </c>
      <c r="F165" s="104"/>
      <c r="G165" s="105">
        <f t="shared" si="8"/>
        <v>6.11</v>
      </c>
      <c r="H165" s="101" t="str">
        <f t="shared" si="9"/>
        <v>Sinapi 427</v>
      </c>
      <c r="I165" s="101" t="str">
        <f t="shared" si="10"/>
        <v>UN</v>
      </c>
      <c r="J165" s="140" t="str">
        <f t="shared" si="11"/>
        <v>ALCA PREFORMADA DE CONTRA POSTE, EM ACO GALVANIZADO, PARA CABO 3/16", COMPRIMENTO *860* MM</v>
      </c>
    </row>
    <row r="166" spans="1:10" x14ac:dyDescent="0.25">
      <c r="A166" s="169">
        <v>417</v>
      </c>
      <c r="B166" s="169" t="s">
        <v>23520</v>
      </c>
      <c r="C166" s="169" t="s">
        <v>10225</v>
      </c>
      <c r="D166" s="169" t="s">
        <v>1289</v>
      </c>
      <c r="E166" s="103" t="s">
        <v>19861</v>
      </c>
      <c r="F166" s="104"/>
      <c r="G166" s="105">
        <f t="shared" si="8"/>
        <v>2.88</v>
      </c>
      <c r="H166" s="101" t="str">
        <f t="shared" si="9"/>
        <v>Sinapi 417</v>
      </c>
      <c r="I166" s="101" t="str">
        <f t="shared" si="10"/>
        <v>UN</v>
      </c>
      <c r="J166" s="140" t="str">
        <f t="shared" si="11"/>
        <v>ALCA PREFORMADA DE DISTRIBUICAO, EM ACO GALVANIZADO, PARA CABO DE ALUMINIO DIAMETRO 16 A 25 MM</v>
      </c>
    </row>
    <row r="167" spans="1:10" x14ac:dyDescent="0.25">
      <c r="A167" s="169">
        <v>11273</v>
      </c>
      <c r="B167" s="169" t="s">
        <v>23521</v>
      </c>
      <c r="C167" s="169" t="s">
        <v>10225</v>
      </c>
      <c r="D167" s="169" t="s">
        <v>1289</v>
      </c>
      <c r="E167" s="103" t="s">
        <v>29566</v>
      </c>
      <c r="F167" s="104"/>
      <c r="G167" s="105">
        <f t="shared" si="8"/>
        <v>8.94</v>
      </c>
      <c r="H167" s="101" t="str">
        <f t="shared" si="9"/>
        <v>Sinapi 11273</v>
      </c>
      <c r="I167" s="101" t="str">
        <f t="shared" si="10"/>
        <v>UN</v>
      </c>
      <c r="J167" s="140" t="str">
        <f t="shared" si="11"/>
        <v>ALCA PREFORMADA DE DISTRIBUICAO, EM ACO GALVANIZADO, PARA CONDUTORES DE ALUMINIO AWG 1/0 (CAA 6/1 OU CA 7 FIOS)</v>
      </c>
    </row>
    <row r="168" spans="1:10" x14ac:dyDescent="0.25">
      <c r="A168" s="169">
        <v>11272</v>
      </c>
      <c r="B168" s="169" t="s">
        <v>23522</v>
      </c>
      <c r="C168" s="169" t="s">
        <v>10225</v>
      </c>
      <c r="D168" s="169" t="s">
        <v>1289</v>
      </c>
      <c r="E168" s="103" t="s">
        <v>16419</v>
      </c>
      <c r="F168" s="104"/>
      <c r="G168" s="105">
        <f t="shared" si="8"/>
        <v>5.39</v>
      </c>
      <c r="H168" s="101" t="str">
        <f t="shared" si="9"/>
        <v>Sinapi 11272</v>
      </c>
      <c r="I168" s="101" t="str">
        <f t="shared" si="10"/>
        <v>UN</v>
      </c>
      <c r="J168" s="140" t="str">
        <f t="shared" si="11"/>
        <v>ALCA PREFORMADA DE DISTRIBUICAO, EM ACO GALVANIZADO, PARA CONDUTORES DE ALUMINIO AWG 2 (CAA 6/1 OU CA 7 FIOS)</v>
      </c>
    </row>
    <row r="169" spans="1:10" x14ac:dyDescent="0.25">
      <c r="A169" s="169">
        <v>11275</v>
      </c>
      <c r="B169" s="169" t="s">
        <v>23523</v>
      </c>
      <c r="C169" s="169" t="s">
        <v>10225</v>
      </c>
      <c r="D169" s="169" t="s">
        <v>1289</v>
      </c>
      <c r="E169" s="103" t="s">
        <v>29567</v>
      </c>
      <c r="F169" s="104"/>
      <c r="G169" s="105">
        <f t="shared" si="8"/>
        <v>2.16</v>
      </c>
      <c r="H169" s="101" t="str">
        <f t="shared" si="9"/>
        <v>Sinapi 11275</v>
      </c>
      <c r="I169" s="101" t="str">
        <f t="shared" si="10"/>
        <v>UN</v>
      </c>
      <c r="J169" s="140" t="str">
        <f t="shared" si="11"/>
        <v>ALCA PREFORMADA DE SERVICO, EM ACO GALVANIZADO, PARA CONDUTORES DE ALUMINIO AWG 4 (CAA 6/1)</v>
      </c>
    </row>
    <row r="170" spans="1:10" x14ac:dyDescent="0.25">
      <c r="A170" s="169">
        <v>11274</v>
      </c>
      <c r="B170" s="169" t="s">
        <v>23525</v>
      </c>
      <c r="C170" s="169" t="s">
        <v>10225</v>
      </c>
      <c r="D170" s="169" t="s">
        <v>1289</v>
      </c>
      <c r="E170" s="103" t="s">
        <v>11134</v>
      </c>
      <c r="F170" s="104"/>
      <c r="G170" s="105">
        <f t="shared" si="8"/>
        <v>1.65</v>
      </c>
      <c r="H170" s="101" t="str">
        <f t="shared" si="9"/>
        <v>Sinapi 11274</v>
      </c>
      <c r="I170" s="101" t="str">
        <f t="shared" si="10"/>
        <v>UN</v>
      </c>
      <c r="J170" s="140" t="str">
        <f t="shared" si="11"/>
        <v>ALCA PREFORMADA DE SERVICO, EM ACO GALVANIZADO, PARA CONDUTORES DE ALUMINIO AWG 6 (CAA 6/1)</v>
      </c>
    </row>
    <row r="171" spans="1:10" x14ac:dyDescent="0.25">
      <c r="A171" s="169">
        <v>38470</v>
      </c>
      <c r="B171" s="169" t="s">
        <v>23526</v>
      </c>
      <c r="C171" s="169" t="s">
        <v>10225</v>
      </c>
      <c r="D171" s="169" t="s">
        <v>1288</v>
      </c>
      <c r="E171" s="103" t="s">
        <v>19408</v>
      </c>
      <c r="F171" s="104"/>
      <c r="G171" s="105">
        <f t="shared" si="8"/>
        <v>45.03</v>
      </c>
      <c r="H171" s="101" t="str">
        <f t="shared" si="9"/>
        <v>Sinapi 38470</v>
      </c>
      <c r="I171" s="101" t="str">
        <f t="shared" si="10"/>
        <v>UN</v>
      </c>
      <c r="J171" s="140" t="str">
        <f t="shared" si="11"/>
        <v>ALICATE DE CORTE DIAGONAL 6 " COM ISOLAMENTO</v>
      </c>
    </row>
    <row r="172" spans="1:10" x14ac:dyDescent="0.25">
      <c r="A172" s="169">
        <v>38547</v>
      </c>
      <c r="B172" s="169" t="s">
        <v>23527</v>
      </c>
      <c r="C172" s="169" t="s">
        <v>10225</v>
      </c>
      <c r="D172" s="169" t="s">
        <v>1289</v>
      </c>
      <c r="E172" s="103" t="s">
        <v>29380</v>
      </c>
      <c r="F172" s="104"/>
      <c r="G172" s="105">
        <f t="shared" si="8"/>
        <v>122.88</v>
      </c>
      <c r="H172" s="101" t="str">
        <f t="shared" si="9"/>
        <v>Sinapi 38547</v>
      </c>
      <c r="I172" s="101" t="str">
        <f t="shared" si="10"/>
        <v>UN</v>
      </c>
      <c r="J172" s="140" t="str">
        <f t="shared" si="11"/>
        <v>ALICATE DE CRIMPAR RJ11, RJ12 E RJ45</v>
      </c>
    </row>
    <row r="173" spans="1:10" x14ac:dyDescent="0.25">
      <c r="A173" s="169">
        <v>38469</v>
      </c>
      <c r="B173" s="169" t="s">
        <v>23528</v>
      </c>
      <c r="C173" s="169" t="s">
        <v>10225</v>
      </c>
      <c r="D173" s="169" t="s">
        <v>1289</v>
      </c>
      <c r="E173" s="103" t="s">
        <v>29568</v>
      </c>
      <c r="F173" s="104"/>
      <c r="G173" s="105">
        <f t="shared" si="8"/>
        <v>132.13</v>
      </c>
      <c r="H173" s="101" t="str">
        <f t="shared" si="9"/>
        <v>Sinapi 38469</v>
      </c>
      <c r="I173" s="101" t="str">
        <f t="shared" si="10"/>
        <v>UN</v>
      </c>
      <c r="J173" s="140" t="str">
        <f t="shared" si="11"/>
        <v>ALICATE DE PRESSAO PARA SOLDA DE CHAPA 18 "</v>
      </c>
    </row>
    <row r="174" spans="1:10" x14ac:dyDescent="0.25">
      <c r="A174" s="169">
        <v>38467</v>
      </c>
      <c r="B174" s="169" t="s">
        <v>23529</v>
      </c>
      <c r="C174" s="169" t="s">
        <v>10225</v>
      </c>
      <c r="D174" s="169" t="s">
        <v>1289</v>
      </c>
      <c r="E174" s="103" t="s">
        <v>29569</v>
      </c>
      <c r="F174" s="104"/>
      <c r="G174" s="105">
        <f t="shared" si="8"/>
        <v>74.34</v>
      </c>
      <c r="H174" s="101" t="str">
        <f t="shared" si="9"/>
        <v>Sinapi 38467</v>
      </c>
      <c r="I174" s="101" t="str">
        <f t="shared" si="10"/>
        <v>UN</v>
      </c>
      <c r="J174" s="140" t="str">
        <f t="shared" si="11"/>
        <v>ALICATE DE PRESSAO 11 " PARA SOLDA, TIPO C</v>
      </c>
    </row>
    <row r="175" spans="1:10" x14ac:dyDescent="0.25">
      <c r="A175" s="169">
        <v>38468</v>
      </c>
      <c r="B175" s="169" t="s">
        <v>23531</v>
      </c>
      <c r="C175" s="169" t="s">
        <v>10225</v>
      </c>
      <c r="D175" s="169" t="s">
        <v>1289</v>
      </c>
      <c r="E175" s="103" t="s">
        <v>20365</v>
      </c>
      <c r="F175" s="104"/>
      <c r="G175" s="105">
        <f t="shared" si="8"/>
        <v>81.81</v>
      </c>
      <c r="H175" s="101" t="str">
        <f t="shared" si="9"/>
        <v>Sinapi 38468</v>
      </c>
      <c r="I175" s="101" t="str">
        <f t="shared" si="10"/>
        <v>UN</v>
      </c>
      <c r="J175" s="140" t="str">
        <f t="shared" si="11"/>
        <v>ALICATE DE PRESSAO 11 " PARA SOLDA, TIPO U</v>
      </c>
    </row>
    <row r="176" spans="1:10" x14ac:dyDescent="0.25">
      <c r="A176" s="169">
        <v>38471</v>
      </c>
      <c r="B176" s="169" t="s">
        <v>23533</v>
      </c>
      <c r="C176" s="169" t="s">
        <v>10225</v>
      </c>
      <c r="D176" s="169" t="s">
        <v>1289</v>
      </c>
      <c r="E176" s="103" t="s">
        <v>29570</v>
      </c>
      <c r="F176" s="104"/>
      <c r="G176" s="105">
        <f t="shared" si="8"/>
        <v>106.24</v>
      </c>
      <c r="H176" s="101" t="str">
        <f t="shared" si="9"/>
        <v>Sinapi 38471</v>
      </c>
      <c r="I176" s="101" t="str">
        <f t="shared" si="10"/>
        <v>UN</v>
      </c>
      <c r="J176" s="140" t="str">
        <f t="shared" si="11"/>
        <v>ALICATE PARA ANEIS DE PISTAO, CAPACIDADE 50 A 100 MM</v>
      </c>
    </row>
    <row r="177" spans="1:10" x14ac:dyDescent="0.25">
      <c r="A177" s="169">
        <v>37370</v>
      </c>
      <c r="B177" s="169" t="s">
        <v>23534</v>
      </c>
      <c r="C177" s="169" t="s">
        <v>10228</v>
      </c>
      <c r="D177" s="169" t="s">
        <v>1288</v>
      </c>
      <c r="E177" s="103" t="s">
        <v>29533</v>
      </c>
      <c r="F177" s="104"/>
      <c r="G177" s="105">
        <f t="shared" si="8"/>
        <v>3</v>
      </c>
      <c r="H177" s="101" t="str">
        <f t="shared" si="9"/>
        <v>Sinapi 37370</v>
      </c>
      <c r="I177" s="101" t="str">
        <f t="shared" si="10"/>
        <v>H</v>
      </c>
      <c r="J177" s="140" t="str">
        <f t="shared" si="11"/>
        <v>ALIMENTACAO - HORISTA (COLETADO CAIXA - ENCARGOS COMPLEMENTARES)</v>
      </c>
    </row>
    <row r="178" spans="1:10" x14ac:dyDescent="0.25">
      <c r="A178" s="169">
        <v>40862</v>
      </c>
      <c r="B178" s="169" t="s">
        <v>23535</v>
      </c>
      <c r="C178" s="169" t="s">
        <v>10235</v>
      </c>
      <c r="D178" s="169" t="s">
        <v>1288</v>
      </c>
      <c r="E178" s="103" t="s">
        <v>29571</v>
      </c>
      <c r="F178" s="104"/>
      <c r="G178" s="105">
        <f t="shared" si="8"/>
        <v>565.97</v>
      </c>
      <c r="H178" s="101" t="str">
        <f t="shared" si="9"/>
        <v>Sinapi 40862</v>
      </c>
      <c r="I178" s="101" t="str">
        <f t="shared" si="10"/>
        <v>MES</v>
      </c>
      <c r="J178" s="140" t="str">
        <f t="shared" si="11"/>
        <v>ALIMENTACAO - MENSALISTA (COLETADO CAIXA - ENCARGOS COMPLEMENTARES)</v>
      </c>
    </row>
    <row r="179" spans="1:10" x14ac:dyDescent="0.25">
      <c r="A179" s="169">
        <v>10658</v>
      </c>
      <c r="B179" s="169" t="s">
        <v>23536</v>
      </c>
      <c r="C179" s="169" t="s">
        <v>10225</v>
      </c>
      <c r="D179" s="169" t="s">
        <v>1290</v>
      </c>
      <c r="E179" s="103" t="s">
        <v>29572</v>
      </c>
      <c r="F179" s="104"/>
      <c r="G179" s="105">
        <f t="shared" si="8"/>
        <v>7199</v>
      </c>
      <c r="H179" s="101" t="str">
        <f t="shared" si="9"/>
        <v>Sinapi 10658</v>
      </c>
      <c r="I179" s="101" t="str">
        <f t="shared" si="10"/>
        <v>UN</v>
      </c>
      <c r="J179" s="140" t="str">
        <f t="shared" si="11"/>
        <v>ALISADORA DE CONCRETO COM MOTOR A GASOLINA DE 5,5 HP, PESO COM MOTOR DE 78 KG, 4 PAS</v>
      </c>
    </row>
    <row r="180" spans="1:10" x14ac:dyDescent="0.25">
      <c r="A180" s="169">
        <v>253</v>
      </c>
      <c r="B180" s="169" t="s">
        <v>23537</v>
      </c>
      <c r="C180" s="169" t="s">
        <v>10228</v>
      </c>
      <c r="D180" s="169" t="s">
        <v>1288</v>
      </c>
      <c r="E180" s="103" t="s">
        <v>29573</v>
      </c>
      <c r="F180" s="104"/>
      <c r="G180" s="105">
        <f t="shared" si="8"/>
        <v>15.69</v>
      </c>
      <c r="H180" s="101" t="str">
        <f t="shared" si="9"/>
        <v>Sinapi 253</v>
      </c>
      <c r="I180" s="101" t="str">
        <f t="shared" si="10"/>
        <v>H</v>
      </c>
      <c r="J180" s="140" t="str">
        <f t="shared" si="11"/>
        <v>ALMOXARIFE (HORISTA)</v>
      </c>
    </row>
    <row r="181" spans="1:10" x14ac:dyDescent="0.25">
      <c r="A181" s="169">
        <v>40809</v>
      </c>
      <c r="B181" s="169" t="s">
        <v>23538</v>
      </c>
      <c r="C181" s="169" t="s">
        <v>10235</v>
      </c>
      <c r="D181" s="169" t="s">
        <v>1289</v>
      </c>
      <c r="E181" s="103" t="s">
        <v>29574</v>
      </c>
      <c r="F181" s="104"/>
      <c r="G181" s="105">
        <f t="shared" si="8"/>
        <v>2730.97</v>
      </c>
      <c r="H181" s="101" t="str">
        <f t="shared" si="9"/>
        <v>Sinapi 40809</v>
      </c>
      <c r="I181" s="101" t="str">
        <f t="shared" si="10"/>
        <v>MES</v>
      </c>
      <c r="J181" s="140" t="str">
        <f t="shared" si="11"/>
        <v>ALMOXARIFE (MENSALISTA)</v>
      </c>
    </row>
    <row r="182" spans="1:10" x14ac:dyDescent="0.25">
      <c r="A182" s="169">
        <v>42428</v>
      </c>
      <c r="B182" s="169" t="s">
        <v>23539</v>
      </c>
      <c r="C182" s="169" t="s">
        <v>10225</v>
      </c>
      <c r="D182" s="169" t="s">
        <v>1290</v>
      </c>
      <c r="E182" s="103" t="s">
        <v>20980</v>
      </c>
      <c r="F182" s="104"/>
      <c r="G182" s="105">
        <f t="shared" si="8"/>
        <v>2271</v>
      </c>
      <c r="H182" s="101" t="str">
        <f t="shared" si="9"/>
        <v>Sinapi 42428</v>
      </c>
      <c r="I182" s="101" t="str">
        <f t="shared" si="10"/>
        <v>UN</v>
      </c>
      <c r="J182" s="140" t="str">
        <f t="shared" si="11"/>
        <v>ALONGADOR COM TRES ALTURAS, EM TUBO DE ACO CARBONO, PINTURA NO PROCESSO ELETROSTATICO - EQUIPAMENTO DE GINASTICA PARA ACADEMIA AO AR LIVRE / ACADEMIA DA TERCEIRA IDADE - ATI</v>
      </c>
    </row>
    <row r="183" spans="1:10" x14ac:dyDescent="0.25">
      <c r="A183" s="169">
        <v>301</v>
      </c>
      <c r="B183" s="169" t="s">
        <v>23540</v>
      </c>
      <c r="C183" s="169" t="s">
        <v>10225</v>
      </c>
      <c r="D183" s="169" t="s">
        <v>1288</v>
      </c>
      <c r="E183" s="103" t="s">
        <v>15198</v>
      </c>
      <c r="F183" s="104"/>
      <c r="G183" s="105">
        <f t="shared" si="8"/>
        <v>4.96</v>
      </c>
      <c r="H183" s="101" t="str">
        <f t="shared" si="9"/>
        <v>Sinapi 301</v>
      </c>
      <c r="I183" s="101" t="str">
        <f t="shared" si="10"/>
        <v>UN</v>
      </c>
      <c r="J183" s="140" t="str">
        <f t="shared" si="11"/>
        <v>ANEL BORRACHA PARA TUBO ESGOTO PREDIAL, DN 100 MM (NBR 5688)</v>
      </c>
    </row>
    <row r="184" spans="1:10" x14ac:dyDescent="0.25">
      <c r="A184" s="169">
        <v>296</v>
      </c>
      <c r="B184" s="169" t="s">
        <v>23541</v>
      </c>
      <c r="C184" s="169" t="s">
        <v>10225</v>
      </c>
      <c r="D184" s="169" t="s">
        <v>1289</v>
      </c>
      <c r="E184" s="103" t="s">
        <v>29575</v>
      </c>
      <c r="F184" s="104"/>
      <c r="G184" s="105">
        <f t="shared" si="8"/>
        <v>2.8</v>
      </c>
      <c r="H184" s="101" t="str">
        <f t="shared" si="9"/>
        <v>Sinapi 296</v>
      </c>
      <c r="I184" s="101" t="str">
        <f t="shared" si="10"/>
        <v>UN</v>
      </c>
      <c r="J184" s="140" t="str">
        <f t="shared" si="11"/>
        <v>ANEL BORRACHA PARA TUBO ESGOTO PREDIAL, DN 50 MM (NBR 5688)</v>
      </c>
    </row>
    <row r="185" spans="1:10" x14ac:dyDescent="0.25">
      <c r="A185" s="169">
        <v>297</v>
      </c>
      <c r="B185" s="169" t="s">
        <v>23542</v>
      </c>
      <c r="C185" s="169" t="s">
        <v>10225</v>
      </c>
      <c r="D185" s="169" t="s">
        <v>1289</v>
      </c>
      <c r="E185" s="103" t="s">
        <v>18255</v>
      </c>
      <c r="F185" s="104"/>
      <c r="G185" s="105">
        <f t="shared" si="8"/>
        <v>4.12</v>
      </c>
      <c r="H185" s="101" t="str">
        <f t="shared" si="9"/>
        <v>Sinapi 297</v>
      </c>
      <c r="I185" s="101" t="str">
        <f t="shared" si="10"/>
        <v>UN</v>
      </c>
      <c r="J185" s="140" t="str">
        <f t="shared" si="11"/>
        <v>ANEL BORRACHA PARA TUBO ESGOTO PREDIAL, DN 75 MM (NBR 5688)</v>
      </c>
    </row>
    <row r="186" spans="1:10" x14ac:dyDescent="0.25">
      <c r="A186" s="169">
        <v>299</v>
      </c>
      <c r="B186" s="169" t="s">
        <v>23543</v>
      </c>
      <c r="C186" s="169" t="s">
        <v>10225</v>
      </c>
      <c r="D186" s="169" t="s">
        <v>1289</v>
      </c>
      <c r="E186" s="103" t="s">
        <v>10260</v>
      </c>
      <c r="F186" s="104"/>
      <c r="G186" s="105">
        <f t="shared" si="8"/>
        <v>5.82</v>
      </c>
      <c r="H186" s="101" t="str">
        <f t="shared" si="9"/>
        <v>Sinapi 299</v>
      </c>
      <c r="I186" s="101" t="str">
        <f t="shared" si="10"/>
        <v>UN</v>
      </c>
      <c r="J186" s="140" t="str">
        <f t="shared" si="11"/>
        <v>ANEL BORRACHA, DN 100 MM, PARA TUBO SERIE REFORCADA ESGOTO PREDIAL</v>
      </c>
    </row>
    <row r="187" spans="1:10" x14ac:dyDescent="0.25">
      <c r="A187" s="169">
        <v>300</v>
      </c>
      <c r="B187" s="169" t="s">
        <v>1208</v>
      </c>
      <c r="C187" s="169" t="s">
        <v>10225</v>
      </c>
      <c r="D187" s="169" t="s">
        <v>1289</v>
      </c>
      <c r="E187" s="103" t="s">
        <v>18307</v>
      </c>
      <c r="F187" s="104"/>
      <c r="G187" s="105">
        <f t="shared" si="8"/>
        <v>20.13</v>
      </c>
      <c r="H187" s="101" t="str">
        <f t="shared" si="9"/>
        <v>Sinapi 300</v>
      </c>
      <c r="I187" s="101" t="str">
        <f t="shared" si="10"/>
        <v>UN</v>
      </c>
      <c r="J187" s="140" t="str">
        <f t="shared" si="11"/>
        <v>ANEL BORRACHA, DN 150 MM, PARA TUBO SERIE REFORCADA ESGOTO PREDIAL</v>
      </c>
    </row>
    <row r="188" spans="1:10" x14ac:dyDescent="0.25">
      <c r="A188" s="169">
        <v>20085</v>
      </c>
      <c r="B188" s="169" t="s">
        <v>23544</v>
      </c>
      <c r="C188" s="169" t="s">
        <v>10225</v>
      </c>
      <c r="D188" s="169" t="s">
        <v>1289</v>
      </c>
      <c r="E188" s="103" t="s">
        <v>11610</v>
      </c>
      <c r="F188" s="104"/>
      <c r="G188" s="105">
        <f t="shared" si="8"/>
        <v>3.68</v>
      </c>
      <c r="H188" s="101" t="str">
        <f t="shared" si="9"/>
        <v>Sinapi 20085</v>
      </c>
      <c r="I188" s="101" t="str">
        <f t="shared" si="10"/>
        <v>UN</v>
      </c>
      <c r="J188" s="140" t="str">
        <f t="shared" si="11"/>
        <v>ANEL BORRACHA, DN 50 MM, PARA TUBO SERIE REFORCADA ESGOTO PREDIAL</v>
      </c>
    </row>
    <row r="189" spans="1:10" x14ac:dyDescent="0.25">
      <c r="A189" s="169">
        <v>298</v>
      </c>
      <c r="B189" s="169" t="s">
        <v>23545</v>
      </c>
      <c r="C189" s="169" t="s">
        <v>10225</v>
      </c>
      <c r="D189" s="169" t="s">
        <v>1289</v>
      </c>
      <c r="E189" s="103" t="s">
        <v>20993</v>
      </c>
      <c r="F189" s="104"/>
      <c r="G189" s="105">
        <f t="shared" si="8"/>
        <v>4.47</v>
      </c>
      <c r="H189" s="101" t="str">
        <f t="shared" si="9"/>
        <v>Sinapi 298</v>
      </c>
      <c r="I189" s="101" t="str">
        <f t="shared" si="10"/>
        <v>UN</v>
      </c>
      <c r="J189" s="140" t="str">
        <f t="shared" si="11"/>
        <v>ANEL BORRACHA, DN 75 MM, PARA TUBO SERIE REFORCADA ESGOTO PREDIAL</v>
      </c>
    </row>
    <row r="190" spans="1:10" x14ac:dyDescent="0.25">
      <c r="A190" s="169">
        <v>311</v>
      </c>
      <c r="B190" s="169" t="s">
        <v>23546</v>
      </c>
      <c r="C190" s="169" t="s">
        <v>10225</v>
      </c>
      <c r="D190" s="169" t="s">
        <v>1289</v>
      </c>
      <c r="E190" s="103" t="s">
        <v>16383</v>
      </c>
      <c r="F190" s="104"/>
      <c r="G190" s="105">
        <f t="shared" si="8"/>
        <v>16.600000000000001</v>
      </c>
      <c r="H190" s="101" t="str">
        <f t="shared" si="9"/>
        <v>Sinapi 311</v>
      </c>
      <c r="I190" s="101" t="str">
        <f t="shared" si="10"/>
        <v>UN</v>
      </c>
      <c r="J190" s="140" t="str">
        <f t="shared" si="11"/>
        <v>ANEL BORRACHA, PARA TUBO PVC DEFOFO, DN 100 MM (NBR 7665)</v>
      </c>
    </row>
    <row r="191" spans="1:10" x14ac:dyDescent="0.25">
      <c r="A191" s="169">
        <v>318</v>
      </c>
      <c r="B191" s="169" t="s">
        <v>23547</v>
      </c>
      <c r="C191" s="169" t="s">
        <v>10225</v>
      </c>
      <c r="D191" s="169" t="s">
        <v>1289</v>
      </c>
      <c r="E191" s="103" t="s">
        <v>29576</v>
      </c>
      <c r="F191" s="104"/>
      <c r="G191" s="105">
        <f t="shared" si="8"/>
        <v>33.44</v>
      </c>
      <c r="H191" s="101" t="str">
        <f t="shared" si="9"/>
        <v>Sinapi 318</v>
      </c>
      <c r="I191" s="101" t="str">
        <f t="shared" si="10"/>
        <v>UN</v>
      </c>
      <c r="J191" s="140" t="str">
        <f t="shared" si="11"/>
        <v>ANEL BORRACHA, PARA TUBO PVC DEFOFO, DN 150 MM (NBR 7665)</v>
      </c>
    </row>
    <row r="192" spans="1:10" x14ac:dyDescent="0.25">
      <c r="A192" s="169">
        <v>319</v>
      </c>
      <c r="B192" s="169" t="s">
        <v>23548</v>
      </c>
      <c r="C192" s="169" t="s">
        <v>10225</v>
      </c>
      <c r="D192" s="169" t="s">
        <v>1289</v>
      </c>
      <c r="E192" s="103" t="s">
        <v>29577</v>
      </c>
      <c r="F192" s="104"/>
      <c r="G192" s="105">
        <f t="shared" si="8"/>
        <v>52.43</v>
      </c>
      <c r="H192" s="101" t="str">
        <f t="shared" si="9"/>
        <v>Sinapi 319</v>
      </c>
      <c r="I192" s="101" t="str">
        <f t="shared" si="10"/>
        <v>UN</v>
      </c>
      <c r="J192" s="140" t="str">
        <f t="shared" si="11"/>
        <v>ANEL BORRACHA, PARA TUBO PVC DEFOFO, DN 200 MM (NBR 7665)</v>
      </c>
    </row>
    <row r="193" spans="1:10" x14ac:dyDescent="0.25">
      <c r="A193" s="169">
        <v>303</v>
      </c>
      <c r="B193" s="169" t="s">
        <v>23549</v>
      </c>
      <c r="C193" s="169" t="s">
        <v>10225</v>
      </c>
      <c r="D193" s="169" t="s">
        <v>1289</v>
      </c>
      <c r="E193" s="103" t="s">
        <v>15965</v>
      </c>
      <c r="F193" s="104"/>
      <c r="G193" s="105">
        <f t="shared" si="8"/>
        <v>5.49</v>
      </c>
      <c r="H193" s="101" t="str">
        <f t="shared" si="9"/>
        <v>Sinapi 303</v>
      </c>
      <c r="I193" s="101" t="str">
        <f t="shared" si="10"/>
        <v>UN</v>
      </c>
      <c r="J193" s="140" t="str">
        <f t="shared" si="11"/>
        <v>ANEL BORRACHA, PARA TUBO PVC, REDE COLETOR ESGOTO, DN 100 MM (NBR 7362)</v>
      </c>
    </row>
    <row r="194" spans="1:10" x14ac:dyDescent="0.25">
      <c r="A194" s="169">
        <v>305</v>
      </c>
      <c r="B194" s="169" t="s">
        <v>23550</v>
      </c>
      <c r="C194" s="169" t="s">
        <v>10225</v>
      </c>
      <c r="D194" s="169" t="s">
        <v>1289</v>
      </c>
      <c r="E194" s="103" t="s">
        <v>20029</v>
      </c>
      <c r="F194" s="104"/>
      <c r="G194" s="105">
        <f t="shared" si="8"/>
        <v>17.28</v>
      </c>
      <c r="H194" s="101" t="str">
        <f t="shared" si="9"/>
        <v>Sinapi 305</v>
      </c>
      <c r="I194" s="101" t="str">
        <f t="shared" si="10"/>
        <v>UN</v>
      </c>
      <c r="J194" s="140" t="str">
        <f t="shared" si="11"/>
        <v>ANEL BORRACHA, PARA TUBO PVC, REDE COLETOR ESGOTO, DN 150 MM (NBR 7362)</v>
      </c>
    </row>
    <row r="195" spans="1:10" x14ac:dyDescent="0.25">
      <c r="A195" s="169">
        <v>306</v>
      </c>
      <c r="B195" s="169" t="s">
        <v>23551</v>
      </c>
      <c r="C195" s="169" t="s">
        <v>10225</v>
      </c>
      <c r="D195" s="169" t="s">
        <v>1289</v>
      </c>
      <c r="E195" s="103" t="s">
        <v>29578</v>
      </c>
      <c r="F195" s="104"/>
      <c r="G195" s="105">
        <f t="shared" si="8"/>
        <v>26.21</v>
      </c>
      <c r="H195" s="101" t="str">
        <f t="shared" si="9"/>
        <v>Sinapi 306</v>
      </c>
      <c r="I195" s="101" t="str">
        <f t="shared" si="10"/>
        <v>UN</v>
      </c>
      <c r="J195" s="140" t="str">
        <f t="shared" si="11"/>
        <v>ANEL BORRACHA, PARA TUBO PVC, REDE COLETOR ESGOTO, DN 200 MM (NBR 7362)</v>
      </c>
    </row>
    <row r="196" spans="1:10" x14ac:dyDescent="0.25">
      <c r="A196" s="169">
        <v>307</v>
      </c>
      <c r="B196" s="169" t="s">
        <v>23552</v>
      </c>
      <c r="C196" s="169" t="s">
        <v>10225</v>
      </c>
      <c r="D196" s="169" t="s">
        <v>1289</v>
      </c>
      <c r="E196" s="103" t="s">
        <v>29579</v>
      </c>
      <c r="F196" s="104"/>
      <c r="G196" s="105">
        <f t="shared" si="8"/>
        <v>66.23</v>
      </c>
      <c r="H196" s="101" t="str">
        <f t="shared" si="9"/>
        <v>Sinapi 307</v>
      </c>
      <c r="I196" s="101" t="str">
        <f t="shared" si="10"/>
        <v>UN</v>
      </c>
      <c r="J196" s="140" t="str">
        <f t="shared" si="11"/>
        <v>ANEL BORRACHA, PARA TUBO PVC, REDE COLETOR ESGOTO, DN 250 MM (NBR 7362)</v>
      </c>
    </row>
    <row r="197" spans="1:10" x14ac:dyDescent="0.25">
      <c r="A197" s="169">
        <v>309</v>
      </c>
      <c r="B197" s="169" t="s">
        <v>23553</v>
      </c>
      <c r="C197" s="169" t="s">
        <v>10225</v>
      </c>
      <c r="D197" s="169" t="s">
        <v>1289</v>
      </c>
      <c r="E197" s="103" t="s">
        <v>29580</v>
      </c>
      <c r="F197" s="104"/>
      <c r="G197" s="105">
        <f t="shared" si="8"/>
        <v>108.49</v>
      </c>
      <c r="H197" s="101" t="str">
        <f t="shared" si="9"/>
        <v>Sinapi 309</v>
      </c>
      <c r="I197" s="101" t="str">
        <f t="shared" si="10"/>
        <v>UN</v>
      </c>
      <c r="J197" s="140" t="str">
        <f t="shared" si="11"/>
        <v>ANEL BORRACHA, PARA TUBO PVC, REDE COLETOR ESGOTO, DN 350 MM (NBR 7362)</v>
      </c>
    </row>
    <row r="198" spans="1:10" x14ac:dyDescent="0.25">
      <c r="A198" s="169">
        <v>310</v>
      </c>
      <c r="B198" s="169" t="s">
        <v>23554</v>
      </c>
      <c r="C198" s="169" t="s">
        <v>10225</v>
      </c>
      <c r="D198" s="169" t="s">
        <v>1289</v>
      </c>
      <c r="E198" s="103" t="s">
        <v>29581</v>
      </c>
      <c r="F198" s="104"/>
      <c r="G198" s="105">
        <f t="shared" si="8"/>
        <v>150.37</v>
      </c>
      <c r="H198" s="101" t="str">
        <f t="shared" si="9"/>
        <v>Sinapi 310</v>
      </c>
      <c r="I198" s="101" t="str">
        <f t="shared" si="10"/>
        <v>UN</v>
      </c>
      <c r="J198" s="140" t="str">
        <f t="shared" si="11"/>
        <v>ANEL BORRACHA, PARA TUBO PVC, REDE COLETOR ESGOTO, DN 400 MM (NBR 7362)</v>
      </c>
    </row>
    <row r="199" spans="1:10" x14ac:dyDescent="0.25">
      <c r="A199" s="169">
        <v>328</v>
      </c>
      <c r="B199" s="169" t="s">
        <v>23555</v>
      </c>
      <c r="C199" s="169" t="s">
        <v>10225</v>
      </c>
      <c r="D199" s="169" t="s">
        <v>1289</v>
      </c>
      <c r="E199" s="103" t="s">
        <v>29582</v>
      </c>
      <c r="F199" s="104"/>
      <c r="G199" s="105">
        <f t="shared" si="8"/>
        <v>13.15</v>
      </c>
      <c r="H199" s="101" t="str">
        <f t="shared" si="9"/>
        <v>Sinapi 328</v>
      </c>
      <c r="I199" s="101" t="str">
        <f t="shared" si="10"/>
        <v>UN</v>
      </c>
      <c r="J199" s="140" t="str">
        <f t="shared" si="11"/>
        <v>ANEL BORRACHA, PARA TUBO/CONEXAO PVC PBA, DN 100 MM, PARA REDE AGUA</v>
      </c>
    </row>
    <row r="200" spans="1:10" x14ac:dyDescent="0.25">
      <c r="A200" s="169">
        <v>325</v>
      </c>
      <c r="B200" s="169" t="s">
        <v>23556</v>
      </c>
      <c r="C200" s="169" t="s">
        <v>10225</v>
      </c>
      <c r="D200" s="169" t="s">
        <v>1289</v>
      </c>
      <c r="E200" s="103" t="s">
        <v>22786</v>
      </c>
      <c r="F200" s="104"/>
      <c r="G200" s="105">
        <f t="shared" ref="G200:G263" si="12">IF(E200="","",E200+0)</f>
        <v>3.88</v>
      </c>
      <c r="H200" s="101" t="str">
        <f t="shared" ref="H200:H263" si="13">IF(G200="","",TRIM(CONCATENATE("Sinapi ",A200)))</f>
        <v>Sinapi 325</v>
      </c>
      <c r="I200" s="101" t="str">
        <f t="shared" ref="I200:I263" si="14">TRIM(C200)</f>
        <v>UN</v>
      </c>
      <c r="J200" s="140" t="str">
        <f t="shared" si="11"/>
        <v>ANEL BORRACHA, PARA TUBO/CONEXAO PVC PBA, DN 50 MM, PARA REDE AGUA</v>
      </c>
    </row>
    <row r="201" spans="1:10" x14ac:dyDescent="0.25">
      <c r="A201" s="169">
        <v>20326</v>
      </c>
      <c r="B201" s="169" t="s">
        <v>23557</v>
      </c>
      <c r="C201" s="169" t="s">
        <v>10225</v>
      </c>
      <c r="D201" s="169" t="s">
        <v>1289</v>
      </c>
      <c r="E201" s="103" t="s">
        <v>2100</v>
      </c>
      <c r="F201" s="104"/>
      <c r="G201" s="105">
        <f t="shared" si="12"/>
        <v>7.09</v>
      </c>
      <c r="H201" s="101" t="str">
        <f t="shared" si="13"/>
        <v>Sinapi 20326</v>
      </c>
      <c r="I201" s="101" t="str">
        <f t="shared" si="14"/>
        <v>UN</v>
      </c>
      <c r="J201" s="140" t="str">
        <f t="shared" ref="J201:J264" si="15">TRIM(B201)</f>
        <v>ANEL BORRACHA, PARA TUBO/CONEXAO PVC PBA, DN 60 MM, PARA REDE AGUA</v>
      </c>
    </row>
    <row r="202" spans="1:10" x14ac:dyDescent="0.25">
      <c r="A202" s="169">
        <v>329</v>
      </c>
      <c r="B202" s="169" t="s">
        <v>23558</v>
      </c>
      <c r="C202" s="169" t="s">
        <v>10225</v>
      </c>
      <c r="D202" s="169" t="s">
        <v>1289</v>
      </c>
      <c r="E202" s="103" t="s">
        <v>29583</v>
      </c>
      <c r="F202" s="104"/>
      <c r="G202" s="105">
        <f t="shared" si="12"/>
        <v>10.99</v>
      </c>
      <c r="H202" s="101" t="str">
        <f t="shared" si="13"/>
        <v>Sinapi 329</v>
      </c>
      <c r="I202" s="101" t="str">
        <f t="shared" si="14"/>
        <v>UN</v>
      </c>
      <c r="J202" s="140" t="str">
        <f t="shared" si="15"/>
        <v>ANEL BORRACHA, PARA TUBO/CONEXAO PVC PBA, DN 75 MM, PARA REDE AGUA</v>
      </c>
    </row>
    <row r="203" spans="1:10" x14ac:dyDescent="0.25">
      <c r="A203" s="169">
        <v>308</v>
      </c>
      <c r="B203" s="169" t="s">
        <v>23559</v>
      </c>
      <c r="C203" s="169" t="s">
        <v>10225</v>
      </c>
      <c r="D203" s="169" t="s">
        <v>1289</v>
      </c>
      <c r="E203" s="103" t="s">
        <v>29584</v>
      </c>
      <c r="F203" s="104"/>
      <c r="G203" s="105">
        <f t="shared" si="12"/>
        <v>147.82</v>
      </c>
      <c r="H203" s="101" t="str">
        <f t="shared" si="13"/>
        <v>Sinapi 308</v>
      </c>
      <c r="I203" s="101" t="str">
        <f t="shared" si="14"/>
        <v>UN</v>
      </c>
      <c r="J203" s="140" t="str">
        <f t="shared" si="15"/>
        <v>ANEL BORRACHA, PARA TUBO, PVC REDE COLETOR ESGOTO, DN 300 MM (NBR 7362)</v>
      </c>
    </row>
    <row r="204" spans="1:10" x14ac:dyDescent="0.25">
      <c r="A204" s="169">
        <v>39642</v>
      </c>
      <c r="B204" s="169" t="s">
        <v>23560</v>
      </c>
      <c r="C204" s="169" t="s">
        <v>10225</v>
      </c>
      <c r="D204" s="169" t="s">
        <v>1289</v>
      </c>
      <c r="E204" s="103" t="s">
        <v>10384</v>
      </c>
      <c r="F204" s="104"/>
      <c r="G204" s="105">
        <f t="shared" si="12"/>
        <v>4.87</v>
      </c>
      <c r="H204" s="101" t="str">
        <f t="shared" si="13"/>
        <v>Sinapi 39642</v>
      </c>
      <c r="I204" s="101" t="str">
        <f t="shared" si="14"/>
        <v>UN</v>
      </c>
      <c r="J204" s="140" t="str">
        <f t="shared" si="15"/>
        <v>ANEL DE BORRACHA PARA VEDACAO DE DUTO PEAD CORRUGADO PARA ELETRICA, DN 1 1/2" (NBR 15715)</v>
      </c>
    </row>
    <row r="205" spans="1:10" x14ac:dyDescent="0.25">
      <c r="A205" s="169">
        <v>39641</v>
      </c>
      <c r="B205" s="169" t="s">
        <v>23561</v>
      </c>
      <c r="C205" s="169" t="s">
        <v>10225</v>
      </c>
      <c r="D205" s="169" t="s">
        <v>1289</v>
      </c>
      <c r="E205" s="103" t="s">
        <v>6537</v>
      </c>
      <c r="F205" s="104"/>
      <c r="G205" s="105">
        <f t="shared" si="12"/>
        <v>4.2699999999999996</v>
      </c>
      <c r="H205" s="101" t="str">
        <f t="shared" si="13"/>
        <v>Sinapi 39641</v>
      </c>
      <c r="I205" s="101" t="str">
        <f t="shared" si="14"/>
        <v>UN</v>
      </c>
      <c r="J205" s="140" t="str">
        <f t="shared" si="15"/>
        <v>ANEL DE BORRACHA PARA VEDACAO DE DUTO PEAD CORRUGADO PARA ELETRICA, DN 1 1/4" (NBR 15715)</v>
      </c>
    </row>
    <row r="206" spans="1:10" x14ac:dyDescent="0.25">
      <c r="A206" s="169">
        <v>39643</v>
      </c>
      <c r="B206" s="169" t="s">
        <v>23562</v>
      </c>
      <c r="C206" s="169" t="s">
        <v>10225</v>
      </c>
      <c r="D206" s="169" t="s">
        <v>1289</v>
      </c>
      <c r="E206" s="103" t="s">
        <v>5544</v>
      </c>
      <c r="F206" s="104"/>
      <c r="G206" s="105">
        <f t="shared" si="12"/>
        <v>5.72</v>
      </c>
      <c r="H206" s="101" t="str">
        <f t="shared" si="13"/>
        <v>Sinapi 39643</v>
      </c>
      <c r="I206" s="101" t="str">
        <f t="shared" si="14"/>
        <v>UN</v>
      </c>
      <c r="J206" s="140" t="str">
        <f t="shared" si="15"/>
        <v>ANEL DE BORRACHA PARA VEDACAO DE DUTO PEAD CORRUGADO PARA ELETRICA, DN 2" (NBR 15715)</v>
      </c>
    </row>
    <row r="207" spans="1:10" x14ac:dyDescent="0.25">
      <c r="A207" s="169">
        <v>39644</v>
      </c>
      <c r="B207" s="169" t="s">
        <v>23564</v>
      </c>
      <c r="C207" s="169" t="s">
        <v>10225</v>
      </c>
      <c r="D207" s="169" t="s">
        <v>1289</v>
      </c>
      <c r="E207" s="103" t="s">
        <v>16209</v>
      </c>
      <c r="F207" s="104"/>
      <c r="G207" s="105">
        <f t="shared" si="12"/>
        <v>8.8699999999999992</v>
      </c>
      <c r="H207" s="101" t="str">
        <f t="shared" si="13"/>
        <v>Sinapi 39644</v>
      </c>
      <c r="I207" s="101" t="str">
        <f t="shared" si="14"/>
        <v>UN</v>
      </c>
      <c r="J207" s="140" t="str">
        <f t="shared" si="15"/>
        <v>ANEL DE BORRACHA PARA VEDACAO DE DUTO PEAD CORRUGADO PARA ELETRICA, DN 3" (NBR 15715)</v>
      </c>
    </row>
    <row r="208" spans="1:10" x14ac:dyDescent="0.25">
      <c r="A208" s="169">
        <v>39645</v>
      </c>
      <c r="B208" s="169" t="s">
        <v>23565</v>
      </c>
      <c r="C208" s="169" t="s">
        <v>10225</v>
      </c>
      <c r="D208" s="169" t="s">
        <v>1289</v>
      </c>
      <c r="E208" s="103" t="s">
        <v>19897</v>
      </c>
      <c r="F208" s="104"/>
      <c r="G208" s="105">
        <f t="shared" si="12"/>
        <v>9.7200000000000006</v>
      </c>
      <c r="H208" s="101" t="str">
        <f t="shared" si="13"/>
        <v>Sinapi 39645</v>
      </c>
      <c r="I208" s="101" t="str">
        <f t="shared" si="14"/>
        <v>UN</v>
      </c>
      <c r="J208" s="140" t="str">
        <f t="shared" si="15"/>
        <v>ANEL DE BORRACHA PARA VEDACAO DE DUTO PEAD CORRUGADO PARA ELETRICA, DN 4" (NBR 15715)</v>
      </c>
    </row>
    <row r="209" spans="1:10" x14ac:dyDescent="0.25">
      <c r="A209" s="169">
        <v>41610</v>
      </c>
      <c r="B209" s="169" t="s">
        <v>23566</v>
      </c>
      <c r="C209" s="169" t="s">
        <v>10225</v>
      </c>
      <c r="D209" s="169" t="s">
        <v>1289</v>
      </c>
      <c r="E209" s="103" t="s">
        <v>29585</v>
      </c>
      <c r="F209" s="104"/>
      <c r="G209" s="105">
        <f t="shared" si="12"/>
        <v>743.94</v>
      </c>
      <c r="H209" s="101" t="str">
        <f t="shared" si="13"/>
        <v>Sinapi 41610</v>
      </c>
      <c r="I209" s="101" t="str">
        <f t="shared" si="14"/>
        <v>UN</v>
      </c>
      <c r="J209" s="140" t="str">
        <f t="shared" si="15"/>
        <v>ANEL DE CONCRETO ARMADO COM FUNDO, PARA FOSSA E POCO 1,50 X *0,50* M</v>
      </c>
    </row>
    <row r="210" spans="1:10" x14ac:dyDescent="0.25">
      <c r="A210" s="169">
        <v>41611</v>
      </c>
      <c r="B210" s="169" t="s">
        <v>23567</v>
      </c>
      <c r="C210" s="169" t="s">
        <v>10225</v>
      </c>
      <c r="D210" s="169" t="s">
        <v>1289</v>
      </c>
      <c r="E210" s="103" t="s">
        <v>29586</v>
      </c>
      <c r="F210" s="104"/>
      <c r="G210" s="105">
        <f t="shared" si="12"/>
        <v>1172.5899999999999</v>
      </c>
      <c r="H210" s="101" t="str">
        <f t="shared" si="13"/>
        <v>Sinapi 41611</v>
      </c>
      <c r="I210" s="101" t="str">
        <f t="shared" si="14"/>
        <v>UN</v>
      </c>
      <c r="J210" s="140" t="str">
        <f t="shared" si="15"/>
        <v>ANEL DE CONCRETO ARMADO COM FUNDO, PARA FOSSA E POCO 2,00 X *0,50* M</v>
      </c>
    </row>
    <row r="211" spans="1:10" x14ac:dyDescent="0.25">
      <c r="A211" s="169">
        <v>41612</v>
      </c>
      <c r="B211" s="169" t="s">
        <v>23568</v>
      </c>
      <c r="C211" s="169" t="s">
        <v>10225</v>
      </c>
      <c r="D211" s="169" t="s">
        <v>1289</v>
      </c>
      <c r="E211" s="103" t="s">
        <v>29587</v>
      </c>
      <c r="F211" s="104"/>
      <c r="G211" s="105">
        <f t="shared" si="12"/>
        <v>1646.49</v>
      </c>
      <c r="H211" s="101" t="str">
        <f t="shared" si="13"/>
        <v>Sinapi 41612</v>
      </c>
      <c r="I211" s="101" t="str">
        <f t="shared" si="14"/>
        <v>UN</v>
      </c>
      <c r="J211" s="140" t="str">
        <f t="shared" si="15"/>
        <v>ANEL DE CONCRETO ARMADO COM FUNDO, PARA FOSSA E POCO 2,50 X *0,50* M</v>
      </c>
    </row>
    <row r="212" spans="1:10" x14ac:dyDescent="0.25">
      <c r="A212" s="169">
        <v>41637</v>
      </c>
      <c r="B212" s="169" t="s">
        <v>23569</v>
      </c>
      <c r="C212" s="169" t="s">
        <v>10225</v>
      </c>
      <c r="D212" s="169" t="s">
        <v>1289</v>
      </c>
      <c r="E212" s="103" t="s">
        <v>29588</v>
      </c>
      <c r="F212" s="104"/>
      <c r="G212" s="105">
        <f t="shared" si="12"/>
        <v>153.91</v>
      </c>
      <c r="H212" s="101" t="str">
        <f t="shared" si="13"/>
        <v>Sinapi 41637</v>
      </c>
      <c r="I212" s="101" t="str">
        <f t="shared" si="14"/>
        <v>UN</v>
      </c>
      <c r="J212" s="140" t="str">
        <f t="shared" si="15"/>
        <v>ANEL DE CONCRETO ARMADO, COM FUROS/DRENO PARA SUMIDOURO, D = 0,80 M, H = 0,50 M</v>
      </c>
    </row>
    <row r="213" spans="1:10" x14ac:dyDescent="0.25">
      <c r="A213" s="169">
        <v>41638</v>
      </c>
      <c r="B213" s="169" t="s">
        <v>23570</v>
      </c>
      <c r="C213" s="169" t="s">
        <v>10225</v>
      </c>
      <c r="D213" s="169" t="s">
        <v>1289</v>
      </c>
      <c r="E213" s="103" t="s">
        <v>29589</v>
      </c>
      <c r="F213" s="104"/>
      <c r="G213" s="105">
        <f t="shared" si="12"/>
        <v>200.49</v>
      </c>
      <c r="H213" s="101" t="str">
        <f t="shared" si="13"/>
        <v>Sinapi 41638</v>
      </c>
      <c r="I213" s="101" t="str">
        <f t="shared" si="14"/>
        <v>UN</v>
      </c>
      <c r="J213" s="140" t="str">
        <f t="shared" si="15"/>
        <v>ANEL DE CONCRETO ARMADO, COM FUROS/DRENO PARA SUMIDOURO, D = 1,00 M, H = 0,50M</v>
      </c>
    </row>
    <row r="214" spans="1:10" x14ac:dyDescent="0.25">
      <c r="A214" s="169">
        <v>41639</v>
      </c>
      <c r="B214" s="169" t="s">
        <v>23571</v>
      </c>
      <c r="C214" s="169" t="s">
        <v>10225</v>
      </c>
      <c r="D214" s="169" t="s">
        <v>1289</v>
      </c>
      <c r="E214" s="103" t="s">
        <v>29327</v>
      </c>
      <c r="F214" s="104"/>
      <c r="G214" s="105">
        <f t="shared" si="12"/>
        <v>485.03</v>
      </c>
      <c r="H214" s="101" t="str">
        <f t="shared" si="13"/>
        <v>Sinapi 41639</v>
      </c>
      <c r="I214" s="101" t="str">
        <f t="shared" si="14"/>
        <v>UN</v>
      </c>
      <c r="J214" s="140" t="str">
        <f t="shared" si="15"/>
        <v>ANEL DE CONCRETO ARMADO, COM FUROS/DRENO PARA SUMIDOURO, D = 1,50 M, H = 0,50 M</v>
      </c>
    </row>
    <row r="215" spans="1:10" x14ac:dyDescent="0.25">
      <c r="A215" s="169">
        <v>11789</v>
      </c>
      <c r="B215" s="169" t="s">
        <v>23573</v>
      </c>
      <c r="C215" s="169" t="s">
        <v>10225</v>
      </c>
      <c r="D215" s="169" t="s">
        <v>1289</v>
      </c>
      <c r="E215" s="103" t="s">
        <v>3523</v>
      </c>
      <c r="F215" s="104"/>
      <c r="G215" s="105">
        <f t="shared" si="12"/>
        <v>0.81</v>
      </c>
      <c r="H215" s="101" t="str">
        <f t="shared" si="13"/>
        <v>Sinapi 11789</v>
      </c>
      <c r="I215" s="101" t="str">
        <f t="shared" si="14"/>
        <v>UN</v>
      </c>
      <c r="J215" s="140" t="str">
        <f t="shared" si="15"/>
        <v>ANEL DE DISTRIBUICAO EM ACO GALVANIZADO PARA FIO FE-160</v>
      </c>
    </row>
    <row r="216" spans="1:10" x14ac:dyDescent="0.25">
      <c r="A216" s="169">
        <v>20975</v>
      </c>
      <c r="B216" s="169" t="s">
        <v>23574</v>
      </c>
      <c r="C216" s="169" t="s">
        <v>10225</v>
      </c>
      <c r="D216" s="169" t="s">
        <v>1289</v>
      </c>
      <c r="E216" s="103" t="s">
        <v>18548</v>
      </c>
      <c r="F216" s="104"/>
      <c r="G216" s="105">
        <f t="shared" si="12"/>
        <v>10.74</v>
      </c>
      <c r="H216" s="101" t="str">
        <f t="shared" si="13"/>
        <v>Sinapi 20975</v>
      </c>
      <c r="I216" s="101" t="str">
        <f t="shared" si="14"/>
        <v>UN</v>
      </c>
      <c r="J216" s="140" t="str">
        <f t="shared" si="15"/>
        <v>ANEL DE EXPANSAO EM COBRE, ENGATE RAPIDO 1 1/2", PARA EMPATACAO MANGUEIRA DE COMBATE A INCENDIO PREDIAL</v>
      </c>
    </row>
    <row r="217" spans="1:10" x14ac:dyDescent="0.25">
      <c r="A217" s="169">
        <v>20976</v>
      </c>
      <c r="B217" s="169" t="s">
        <v>23575</v>
      </c>
      <c r="C217" s="169" t="s">
        <v>10225</v>
      </c>
      <c r="D217" s="169" t="s">
        <v>1289</v>
      </c>
      <c r="E217" s="103" t="s">
        <v>22767</v>
      </c>
      <c r="F217" s="104"/>
      <c r="G217" s="105">
        <f t="shared" si="12"/>
        <v>16.23</v>
      </c>
      <c r="H217" s="101" t="str">
        <f t="shared" si="13"/>
        <v>Sinapi 20976</v>
      </c>
      <c r="I217" s="101" t="str">
        <f t="shared" si="14"/>
        <v>UN</v>
      </c>
      <c r="J217" s="140" t="str">
        <f t="shared" si="15"/>
        <v>ANEL DE EXPANSAO EM COBRE, ENGATE RAPIDO 2 1/2", PARA EMPATACAO MANGUEIRA DE COMBATE A INCENDIO PREDIAL</v>
      </c>
    </row>
    <row r="218" spans="1:10" x14ac:dyDescent="0.25">
      <c r="A218" s="169">
        <v>40340</v>
      </c>
      <c r="B218" s="169" t="s">
        <v>23576</v>
      </c>
      <c r="C218" s="169" t="s">
        <v>10225</v>
      </c>
      <c r="D218" s="169" t="s">
        <v>1289</v>
      </c>
      <c r="E218" s="103" t="s">
        <v>23303</v>
      </c>
      <c r="F218" s="104"/>
      <c r="G218" s="105">
        <f t="shared" si="12"/>
        <v>36.49</v>
      </c>
      <c r="H218" s="101" t="str">
        <f t="shared" si="13"/>
        <v>Sinapi 40340</v>
      </c>
      <c r="I218" s="101" t="str">
        <f t="shared" si="14"/>
        <v>UN</v>
      </c>
      <c r="J218" s="140" t="str">
        <f t="shared" si="15"/>
        <v>ANEL DE VEDACAO/JUNTA ELASTICA, H = *16* MM, PARA TUBO DE CONCRETO, DN 300 MM</v>
      </c>
    </row>
    <row r="219" spans="1:10" x14ac:dyDescent="0.25">
      <c r="A219" s="169">
        <v>40341</v>
      </c>
      <c r="B219" s="169" t="s">
        <v>23577</v>
      </c>
      <c r="C219" s="169" t="s">
        <v>10225</v>
      </c>
      <c r="D219" s="169" t="s">
        <v>1289</v>
      </c>
      <c r="E219" s="103" t="s">
        <v>22926</v>
      </c>
      <c r="F219" s="104"/>
      <c r="G219" s="105">
        <f t="shared" si="12"/>
        <v>43.54</v>
      </c>
      <c r="H219" s="101" t="str">
        <f t="shared" si="13"/>
        <v>Sinapi 40341</v>
      </c>
      <c r="I219" s="101" t="str">
        <f t="shared" si="14"/>
        <v>UN</v>
      </c>
      <c r="J219" s="140" t="str">
        <f t="shared" si="15"/>
        <v>ANEL DE VEDACAO/JUNTA ELASTICA, H = *16* MM, PARA TUBO DE CONCRETO, DN 400 MM</v>
      </c>
    </row>
    <row r="220" spans="1:10" x14ac:dyDescent="0.25">
      <c r="A220" s="169">
        <v>40342</v>
      </c>
      <c r="B220" s="169" t="s">
        <v>23579</v>
      </c>
      <c r="C220" s="169" t="s">
        <v>10225</v>
      </c>
      <c r="D220" s="169" t="s">
        <v>1289</v>
      </c>
      <c r="E220" s="103" t="s">
        <v>22736</v>
      </c>
      <c r="F220" s="104"/>
      <c r="G220" s="105">
        <f t="shared" si="12"/>
        <v>51.93</v>
      </c>
      <c r="H220" s="101" t="str">
        <f t="shared" si="13"/>
        <v>Sinapi 40342</v>
      </c>
      <c r="I220" s="101" t="str">
        <f t="shared" si="14"/>
        <v>UN</v>
      </c>
      <c r="J220" s="140" t="str">
        <f t="shared" si="15"/>
        <v>ANEL DE VEDACAO/JUNTA ELASTICA, H = *16* MM, PARA TUBO DE CONCRETO, DN 500 MM</v>
      </c>
    </row>
    <row r="221" spans="1:10" x14ac:dyDescent="0.25">
      <c r="A221" s="169">
        <v>40343</v>
      </c>
      <c r="B221" s="169" t="s">
        <v>23580</v>
      </c>
      <c r="C221" s="169" t="s">
        <v>10225</v>
      </c>
      <c r="D221" s="169" t="s">
        <v>1289</v>
      </c>
      <c r="E221" s="103" t="s">
        <v>24490</v>
      </c>
      <c r="F221" s="104"/>
      <c r="G221" s="105">
        <f t="shared" si="12"/>
        <v>61.6</v>
      </c>
      <c r="H221" s="101" t="str">
        <f t="shared" si="13"/>
        <v>Sinapi 40343</v>
      </c>
      <c r="I221" s="101" t="str">
        <f t="shared" si="14"/>
        <v>UN</v>
      </c>
      <c r="J221" s="140" t="str">
        <f t="shared" si="15"/>
        <v>ANEL DE VEDACAO/JUNTA ELASTICA, H = *16* MM, PARA TUBO DE CONCRETO, DN 600 MM</v>
      </c>
    </row>
    <row r="222" spans="1:10" x14ac:dyDescent="0.25">
      <c r="A222" s="169">
        <v>40344</v>
      </c>
      <c r="B222" s="169" t="s">
        <v>23581</v>
      </c>
      <c r="C222" s="169" t="s">
        <v>10225</v>
      </c>
      <c r="D222" s="169" t="s">
        <v>1289</v>
      </c>
      <c r="E222" s="103" t="s">
        <v>29590</v>
      </c>
      <c r="F222" s="104"/>
      <c r="G222" s="105">
        <f t="shared" si="12"/>
        <v>83.97</v>
      </c>
      <c r="H222" s="101" t="str">
        <f t="shared" si="13"/>
        <v>Sinapi 40344</v>
      </c>
      <c r="I222" s="101" t="str">
        <f t="shared" si="14"/>
        <v>UN</v>
      </c>
      <c r="J222" s="140" t="str">
        <f t="shared" si="15"/>
        <v>ANEL DE VEDACAO/JUNTA ELASTICA, H = *18* MM, PARA TUBO DE CONCRETO, DN 700 MM</v>
      </c>
    </row>
    <row r="223" spans="1:10" x14ac:dyDescent="0.25">
      <c r="A223" s="169">
        <v>40345</v>
      </c>
      <c r="B223" s="169" t="s">
        <v>23583</v>
      </c>
      <c r="C223" s="169" t="s">
        <v>10225</v>
      </c>
      <c r="D223" s="169" t="s">
        <v>1289</v>
      </c>
      <c r="E223" s="103" t="s">
        <v>21568</v>
      </c>
      <c r="F223" s="104"/>
      <c r="G223" s="105">
        <f t="shared" si="12"/>
        <v>103.47</v>
      </c>
      <c r="H223" s="101" t="str">
        <f t="shared" si="13"/>
        <v>Sinapi 40345</v>
      </c>
      <c r="I223" s="101" t="str">
        <f t="shared" si="14"/>
        <v>UN</v>
      </c>
      <c r="J223" s="140" t="str">
        <f t="shared" si="15"/>
        <v>ANEL DE VEDACAO/JUNTA ELASTICA, H = *19* MM, PARA TUBO DE CONCRETO, DN 800 MM</v>
      </c>
    </row>
    <row r="224" spans="1:10" x14ac:dyDescent="0.25">
      <c r="A224" s="169">
        <v>40346</v>
      </c>
      <c r="B224" s="169" t="s">
        <v>23584</v>
      </c>
      <c r="C224" s="169" t="s">
        <v>10225</v>
      </c>
      <c r="D224" s="169" t="s">
        <v>1289</v>
      </c>
      <c r="E224" s="103" t="s">
        <v>21315</v>
      </c>
      <c r="F224" s="104"/>
      <c r="G224" s="105">
        <f t="shared" si="12"/>
        <v>120.03</v>
      </c>
      <c r="H224" s="101" t="str">
        <f t="shared" si="13"/>
        <v>Sinapi 40346</v>
      </c>
      <c r="I224" s="101" t="str">
        <f t="shared" si="14"/>
        <v>UN</v>
      </c>
      <c r="J224" s="140" t="str">
        <f t="shared" si="15"/>
        <v>ANEL DE VEDACAO/JUNTA ELASTICA, H = *19* MM, PARA TUBO DE CONCRETO, DN 900 MM</v>
      </c>
    </row>
    <row r="225" spans="1:10" x14ac:dyDescent="0.25">
      <c r="A225" s="169">
        <v>40347</v>
      </c>
      <c r="B225" s="169" t="s">
        <v>23585</v>
      </c>
      <c r="C225" s="169" t="s">
        <v>10225</v>
      </c>
      <c r="D225" s="169" t="s">
        <v>1289</v>
      </c>
      <c r="E225" s="103" t="s">
        <v>28982</v>
      </c>
      <c r="F225" s="104"/>
      <c r="G225" s="105">
        <f t="shared" si="12"/>
        <v>150.81</v>
      </c>
      <c r="H225" s="101" t="str">
        <f t="shared" si="13"/>
        <v>Sinapi 40347</v>
      </c>
      <c r="I225" s="101" t="str">
        <f t="shared" si="14"/>
        <v>UN</v>
      </c>
      <c r="J225" s="140" t="str">
        <f t="shared" si="15"/>
        <v>ANEL DE VEDACAO/JUNTA ELASTICA, H = *21* MM, PARA TUBO DE CONCRETO, DN 1000 MM</v>
      </c>
    </row>
    <row r="226" spans="1:10" x14ac:dyDescent="0.25">
      <c r="A226" s="169">
        <v>6138</v>
      </c>
      <c r="B226" s="169" t="s">
        <v>23586</v>
      </c>
      <c r="C226" s="169" t="s">
        <v>10225</v>
      </c>
      <c r="D226" s="169" t="s">
        <v>1289</v>
      </c>
      <c r="E226" s="103" t="s">
        <v>15700</v>
      </c>
      <c r="F226" s="104"/>
      <c r="G226" s="105">
        <f t="shared" si="12"/>
        <v>11.02</v>
      </c>
      <c r="H226" s="101" t="str">
        <f t="shared" si="13"/>
        <v>Sinapi 6138</v>
      </c>
      <c r="I226" s="101" t="str">
        <f t="shared" si="14"/>
        <v>UN</v>
      </c>
      <c r="J226" s="140" t="str">
        <f t="shared" si="15"/>
        <v>ANEL DE VEDACAO, PVC FLEXIVEL, 100 MM, PARA SAIDA DE BACIA / VASO SANITARIO</v>
      </c>
    </row>
    <row r="227" spans="1:10" x14ac:dyDescent="0.25">
      <c r="A227" s="169">
        <v>43424</v>
      </c>
      <c r="B227" s="169" t="s">
        <v>23587</v>
      </c>
      <c r="C227" s="169" t="s">
        <v>10225</v>
      </c>
      <c r="D227" s="169" t="s">
        <v>1289</v>
      </c>
      <c r="E227" s="103" t="s">
        <v>29591</v>
      </c>
      <c r="F227" s="104"/>
      <c r="G227" s="105">
        <f t="shared" si="12"/>
        <v>623.29</v>
      </c>
      <c r="H227" s="101" t="str">
        <f t="shared" si="13"/>
        <v>Sinapi 43424</v>
      </c>
      <c r="I227" s="101" t="str">
        <f t="shared" si="14"/>
        <v>UN</v>
      </c>
      <c r="J227" s="140" t="str">
        <f t="shared" si="15"/>
        <v>ANEL EM CONCRETO ARMADO, LISO, PARA FOSSAS SEPTICAS E SUMIDOUROS, COM FUNDO, DIAMETRO INTERNO DE 1,20 M E ALTURA DE 0,50 M</v>
      </c>
    </row>
    <row r="228" spans="1:10" x14ac:dyDescent="0.25">
      <c r="A228" s="169">
        <v>43426</v>
      </c>
      <c r="B228" s="169" t="s">
        <v>23588</v>
      </c>
      <c r="C228" s="169" t="s">
        <v>10225</v>
      </c>
      <c r="D228" s="169" t="s">
        <v>1289</v>
      </c>
      <c r="E228" s="103" t="s">
        <v>29592</v>
      </c>
      <c r="F228" s="104"/>
      <c r="G228" s="105">
        <f t="shared" si="12"/>
        <v>2149.7600000000002</v>
      </c>
      <c r="H228" s="101" t="str">
        <f t="shared" si="13"/>
        <v>Sinapi 43426</v>
      </c>
      <c r="I228" s="101" t="str">
        <f t="shared" si="14"/>
        <v>UN</v>
      </c>
      <c r="J228" s="140" t="str">
        <f t="shared" si="15"/>
        <v>ANEL EM CONCRETO ARMADO, LISO, PARA FOSSAS SEPTICAS E SUMIDOUROS, COM FUNDO, DIAMETRO INTERNO DE 3,00 M E ALTURA DE 0,50 M</v>
      </c>
    </row>
    <row r="229" spans="1:10" x14ac:dyDescent="0.25">
      <c r="A229" s="169">
        <v>12565</v>
      </c>
      <c r="B229" s="169" t="s">
        <v>23589</v>
      </c>
      <c r="C229" s="169" t="s">
        <v>10225</v>
      </c>
      <c r="D229" s="169" t="s">
        <v>1289</v>
      </c>
      <c r="E229" s="103" t="s">
        <v>29593</v>
      </c>
      <c r="F229" s="104"/>
      <c r="G229" s="105">
        <f t="shared" si="12"/>
        <v>753.89</v>
      </c>
      <c r="H229" s="101" t="str">
        <f t="shared" si="13"/>
        <v>Sinapi 12565</v>
      </c>
      <c r="I229" s="101" t="str">
        <f t="shared" si="14"/>
        <v>UN</v>
      </c>
      <c r="J229" s="140" t="str">
        <f t="shared" si="15"/>
        <v>ANEL EM CONCRETO ARMADO, LISO, PARA FOSSAS SEPTICAS E SUMIDOUROS, SEM FUNDO, DIAMETRO INTERNO DE 2,00 M E ALTURA DE 0,50 M</v>
      </c>
    </row>
    <row r="230" spans="1:10" x14ac:dyDescent="0.25">
      <c r="A230" s="169">
        <v>12567</v>
      </c>
      <c r="B230" s="169" t="s">
        <v>23590</v>
      </c>
      <c r="C230" s="169" t="s">
        <v>10225</v>
      </c>
      <c r="D230" s="169" t="s">
        <v>1289</v>
      </c>
      <c r="E230" s="103" t="s">
        <v>29594</v>
      </c>
      <c r="F230" s="104"/>
      <c r="G230" s="105">
        <f t="shared" si="12"/>
        <v>1012.6</v>
      </c>
      <c r="H230" s="101" t="str">
        <f t="shared" si="13"/>
        <v>Sinapi 12567</v>
      </c>
      <c r="I230" s="101" t="str">
        <f t="shared" si="14"/>
        <v>UN</v>
      </c>
      <c r="J230" s="140" t="str">
        <f t="shared" si="15"/>
        <v>ANEL EM CONCRETO ARMADO, LISO, PARA FOSSAS SEPTICAS E SUMIDOUROS, SEM FUNDO, DIAMETRO INTERNO DE 2,50 M E ALTURA DE 0,50 M</v>
      </c>
    </row>
    <row r="231" spans="1:10" x14ac:dyDescent="0.25">
      <c r="A231" s="169">
        <v>12568</v>
      </c>
      <c r="B231" s="169" t="s">
        <v>23591</v>
      </c>
      <c r="C231" s="169" t="s">
        <v>10225</v>
      </c>
      <c r="D231" s="169" t="s">
        <v>1289</v>
      </c>
      <c r="E231" s="103" t="s">
        <v>29595</v>
      </c>
      <c r="F231" s="104"/>
      <c r="G231" s="105">
        <f t="shared" si="12"/>
        <v>1417.64</v>
      </c>
      <c r="H231" s="101" t="str">
        <f t="shared" si="13"/>
        <v>Sinapi 12568</v>
      </c>
      <c r="I231" s="101" t="str">
        <f t="shared" si="14"/>
        <v>UN</v>
      </c>
      <c r="J231" s="140" t="str">
        <f t="shared" si="15"/>
        <v>ANEL EM CONCRETO ARMADO, LISO, PARA FOSSAS SEPTICAS E SUMIDOUROS, SEM FUNDO, DIAMETRO INTERNO DE 3,00 M E ALTURA DE 0,50 M</v>
      </c>
    </row>
    <row r="232" spans="1:10" x14ac:dyDescent="0.25">
      <c r="A232" s="169">
        <v>43441</v>
      </c>
      <c r="B232" s="169" t="s">
        <v>23592</v>
      </c>
      <c r="C232" s="169" t="s">
        <v>10225</v>
      </c>
      <c r="D232" s="169" t="s">
        <v>1289</v>
      </c>
      <c r="E232" s="103" t="s">
        <v>29596</v>
      </c>
      <c r="F232" s="104"/>
      <c r="G232" s="105">
        <f t="shared" si="12"/>
        <v>182.26</v>
      </c>
      <c r="H232" s="101" t="str">
        <f t="shared" si="13"/>
        <v>Sinapi 43441</v>
      </c>
      <c r="I232" s="101" t="str">
        <f t="shared" si="14"/>
        <v>UN</v>
      </c>
      <c r="J232" s="140" t="str">
        <f t="shared" si="15"/>
        <v>ANEL EM CONCRETO ARMADO, LISO, PARA POCOS DE INSPECAO, COM FUNDO, DIAMETRO INTERNO DE 0,60 M E ALTURA DE 0,50 M</v>
      </c>
    </row>
    <row r="233" spans="1:10" x14ac:dyDescent="0.25">
      <c r="A233" s="169">
        <v>43423</v>
      </c>
      <c r="B233" s="169" t="s">
        <v>23593</v>
      </c>
      <c r="C233" s="169" t="s">
        <v>10225</v>
      </c>
      <c r="D233" s="169" t="s">
        <v>1289</v>
      </c>
      <c r="E233" s="103" t="s">
        <v>23032</v>
      </c>
      <c r="F233" s="104"/>
      <c r="G233" s="105">
        <f t="shared" si="12"/>
        <v>85.05</v>
      </c>
      <c r="H233" s="101" t="str">
        <f t="shared" si="13"/>
        <v>Sinapi 43423</v>
      </c>
      <c r="I233" s="101" t="str">
        <f t="shared" si="14"/>
        <v>UN</v>
      </c>
      <c r="J233" s="140" t="str">
        <f t="shared" si="15"/>
        <v>ANEL EM CONCRETO ARMADO, LISO, PARA POCOS DE INSPECAO, SEM FUNDO, DIAMETRO INTERNO DE 0,60 M E ALTURA DE 0,20 M</v>
      </c>
    </row>
    <row r="234" spans="1:10" x14ac:dyDescent="0.25">
      <c r="A234" s="169">
        <v>12532</v>
      </c>
      <c r="B234" s="169" t="s">
        <v>23594</v>
      </c>
      <c r="C234" s="169" t="s">
        <v>10225</v>
      </c>
      <c r="D234" s="169" t="s">
        <v>1289</v>
      </c>
      <c r="E234" s="103" t="s">
        <v>29597</v>
      </c>
      <c r="F234" s="104"/>
      <c r="G234" s="105">
        <f t="shared" si="12"/>
        <v>131.18</v>
      </c>
      <c r="H234" s="101" t="str">
        <f t="shared" si="13"/>
        <v>Sinapi 12532</v>
      </c>
      <c r="I234" s="101" t="str">
        <f t="shared" si="14"/>
        <v>UN</v>
      </c>
      <c r="J234" s="140" t="str">
        <f t="shared" si="15"/>
        <v>ANEL EM CONCRETO ARMADO, LISO, PARA POCOS DE INSPECAO, SEM FUNDO, DIAMETRO INTERNO DE 0,60 M E ALTURA DE 0,50 M</v>
      </c>
    </row>
    <row r="235" spans="1:10" x14ac:dyDescent="0.25">
      <c r="A235" s="169">
        <v>43444</v>
      </c>
      <c r="B235" s="169" t="s">
        <v>23595</v>
      </c>
      <c r="C235" s="169" t="s">
        <v>10225</v>
      </c>
      <c r="D235" s="169" t="s">
        <v>1289</v>
      </c>
      <c r="E235" s="103" t="s">
        <v>29598</v>
      </c>
      <c r="F235" s="104"/>
      <c r="G235" s="105">
        <f t="shared" si="12"/>
        <v>440.48</v>
      </c>
      <c r="H235" s="101" t="str">
        <f t="shared" si="13"/>
        <v>Sinapi 43444</v>
      </c>
      <c r="I235" s="101" t="str">
        <f t="shared" si="14"/>
        <v>UN</v>
      </c>
      <c r="J235" s="140" t="str">
        <f t="shared" si="15"/>
        <v>ANEL EM CONCRETO ARMADO, LISO, PARA POCOS DE VISITA, POCOS DE INSPECAO, FOSSAS SEPTICAS E SUMIDOUROS, COM FUNDO, DIAMETRO INTERNO DE 1,20 M E ALTURA DE 0,75 M</v>
      </c>
    </row>
    <row r="236" spans="1:10" x14ac:dyDescent="0.25">
      <c r="A236" s="169">
        <v>12551</v>
      </c>
      <c r="B236" s="169" t="s">
        <v>23596</v>
      </c>
      <c r="C236" s="169" t="s">
        <v>10225</v>
      </c>
      <c r="D236" s="169" t="s">
        <v>1289</v>
      </c>
      <c r="E236" s="103" t="s">
        <v>29599</v>
      </c>
      <c r="F236" s="104"/>
      <c r="G236" s="105">
        <f t="shared" si="12"/>
        <v>314.27</v>
      </c>
      <c r="H236" s="101" t="str">
        <f t="shared" si="13"/>
        <v>Sinapi 12551</v>
      </c>
      <c r="I236" s="101" t="str">
        <f t="shared" si="14"/>
        <v>UN</v>
      </c>
      <c r="J236" s="140" t="str">
        <f t="shared" si="15"/>
        <v>ANEL EM CONCRETO ARMADO, LISO, PARA POCOS DE VISITA, POCOS DE INSPECAO, FOSSAS SEPTICAS E SUMIDOUROS, SEM FUNDO, DIAMETRO INTERNO DE 1,20 M E ALTURA DE 0,50 M</v>
      </c>
    </row>
    <row r="237" spans="1:10" x14ac:dyDescent="0.25">
      <c r="A237" s="169">
        <v>43442</v>
      </c>
      <c r="B237" s="169" t="s">
        <v>23597</v>
      </c>
      <c r="C237" s="169" t="s">
        <v>10225</v>
      </c>
      <c r="D237" s="169" t="s">
        <v>1289</v>
      </c>
      <c r="E237" s="103" t="s">
        <v>29600</v>
      </c>
      <c r="F237" s="104"/>
      <c r="G237" s="105">
        <f t="shared" si="12"/>
        <v>243.02</v>
      </c>
      <c r="H237" s="101" t="str">
        <f t="shared" si="13"/>
        <v>Sinapi 43442</v>
      </c>
      <c r="I237" s="101" t="str">
        <f t="shared" si="14"/>
        <v>UN</v>
      </c>
      <c r="J237" s="140" t="str">
        <f t="shared" si="15"/>
        <v>ANEL EM CONCRETO ARMADO, LISO, PARA POCOS DE VISITAS, POCOS DE INSPECAO, FOSSAS SEPTICAS E SUMIDOUROS, COM FUNDO, DIAMETRO INTERNO DE 0,80 M E ALTURA DE 0,50 M</v>
      </c>
    </row>
    <row r="238" spans="1:10" x14ac:dyDescent="0.25">
      <c r="A238" s="169">
        <v>43443</v>
      </c>
      <c r="B238" s="169" t="s">
        <v>23599</v>
      </c>
      <c r="C238" s="169" t="s">
        <v>10225</v>
      </c>
      <c r="D238" s="169" t="s">
        <v>1289</v>
      </c>
      <c r="E238" s="103" t="s">
        <v>29230</v>
      </c>
      <c r="F238" s="104"/>
      <c r="G238" s="105">
        <f t="shared" si="12"/>
        <v>318.97000000000003</v>
      </c>
      <c r="H238" s="101" t="str">
        <f t="shared" si="13"/>
        <v>Sinapi 43443</v>
      </c>
      <c r="I238" s="101" t="str">
        <f t="shared" si="14"/>
        <v>UN</v>
      </c>
      <c r="J238" s="140" t="str">
        <f t="shared" si="15"/>
        <v>ANEL EM CONCRETO ARMADO, LISO, PARA POCOS DE VISITAS, POCOS DE INSPECAO, FOSSAS SEPTICAS E SUMIDOUROS, COM FUNDO, DIAMETRO INTERNO DE 1,00 M E ALTURA DE 0,50 M</v>
      </c>
    </row>
    <row r="239" spans="1:10" x14ac:dyDescent="0.25">
      <c r="A239" s="169">
        <v>12544</v>
      </c>
      <c r="B239" s="169" t="s">
        <v>23600</v>
      </c>
      <c r="C239" s="169" t="s">
        <v>10225</v>
      </c>
      <c r="D239" s="169" t="s">
        <v>1289</v>
      </c>
      <c r="E239" s="103" t="s">
        <v>29601</v>
      </c>
      <c r="F239" s="104"/>
      <c r="G239" s="105">
        <f t="shared" si="12"/>
        <v>172.14</v>
      </c>
      <c r="H239" s="101" t="str">
        <f t="shared" si="13"/>
        <v>Sinapi 12544</v>
      </c>
      <c r="I239" s="101" t="str">
        <f t="shared" si="14"/>
        <v>UN</v>
      </c>
      <c r="J239" s="140" t="str">
        <f t="shared" si="15"/>
        <v>ANEL EM CONCRETO ARMADO, LISO, PARA POCOS DE VISITAS, POCOS DE INSPECAO, FOSSAS SEPTICAS E SUMIDOUROS, SEM FUNDO, DIAMETRO INTERNO DE 0,80 M E ALTURA DE 0,50 M</v>
      </c>
    </row>
    <row r="240" spans="1:10" x14ac:dyDescent="0.25">
      <c r="A240" s="169">
        <v>12547</v>
      </c>
      <c r="B240" s="169" t="s">
        <v>23602</v>
      </c>
      <c r="C240" s="169" t="s">
        <v>10225</v>
      </c>
      <c r="D240" s="169" t="s">
        <v>1289</v>
      </c>
      <c r="E240" s="103" t="s">
        <v>29602</v>
      </c>
      <c r="F240" s="104"/>
      <c r="G240" s="105">
        <f t="shared" si="12"/>
        <v>231.52</v>
      </c>
      <c r="H240" s="101" t="str">
        <f t="shared" si="13"/>
        <v>Sinapi 12547</v>
      </c>
      <c r="I240" s="101" t="str">
        <f t="shared" si="14"/>
        <v>UN</v>
      </c>
      <c r="J240" s="140" t="str">
        <f t="shared" si="15"/>
        <v>ANEL EM CONCRETO ARMADO, LISO, PARA POCOS DE VISITAS, POCOS DE INSPECAO, FOSSAS SEPTICAS E SUMIDOUROS, SEM FUNDO, DIAMETRO INTERNO DE 1,00 M E ALTURA DE 0,50 M</v>
      </c>
    </row>
    <row r="241" spans="1:10" x14ac:dyDescent="0.25">
      <c r="A241" s="169">
        <v>43445</v>
      </c>
      <c r="B241" s="169" t="s">
        <v>23604</v>
      </c>
      <c r="C241" s="169" t="s">
        <v>10225</v>
      </c>
      <c r="D241" s="169" t="s">
        <v>1289</v>
      </c>
      <c r="E241" s="103" t="s">
        <v>29603</v>
      </c>
      <c r="F241" s="104"/>
      <c r="G241" s="105">
        <f t="shared" si="12"/>
        <v>607.55999999999995</v>
      </c>
      <c r="H241" s="101" t="str">
        <f t="shared" si="13"/>
        <v>Sinapi 43445</v>
      </c>
      <c r="I241" s="101" t="str">
        <f t="shared" si="14"/>
        <v>UN</v>
      </c>
      <c r="J241" s="140" t="str">
        <f t="shared" si="15"/>
        <v>ANEL EM CONCRETO ARMADO, LISO, PARA, POCOS DE VISITA, POCOS DE INSPECAO, FOSSAS SEPTICAS E SUMIDOUROS, COM FUNDO, DIAMETRO INTERNO DE 1,50 M E ALTURA DE 1,00 M</v>
      </c>
    </row>
    <row r="242" spans="1:10" x14ac:dyDescent="0.25">
      <c r="A242" s="169">
        <v>12563</v>
      </c>
      <c r="B242" s="169" t="s">
        <v>23605</v>
      </c>
      <c r="C242" s="169" t="s">
        <v>10225</v>
      </c>
      <c r="D242" s="169" t="s">
        <v>1289</v>
      </c>
      <c r="E242" s="103" t="s">
        <v>29604</v>
      </c>
      <c r="F242" s="104"/>
      <c r="G242" s="105">
        <f t="shared" si="12"/>
        <v>434.69</v>
      </c>
      <c r="H242" s="101" t="str">
        <f t="shared" si="13"/>
        <v>Sinapi 12563</v>
      </c>
      <c r="I242" s="101" t="str">
        <f t="shared" si="14"/>
        <v>UN</v>
      </c>
      <c r="J242" s="140" t="str">
        <f t="shared" si="15"/>
        <v>ANEL EM CONCRETO ARMADO, LISO, PARA, POCOS DE VISITA, POCOS DE INSPECAO, FOSSAS SEPTICAS E SUMIDOUROS, SEM FUNDO, DIAMETRO INTERNO DE 1,50 M E ALTURA DE 0,50 M</v>
      </c>
    </row>
    <row r="243" spans="1:10" x14ac:dyDescent="0.25">
      <c r="A243" s="169">
        <v>43425</v>
      </c>
      <c r="B243" s="169" t="s">
        <v>23606</v>
      </c>
      <c r="C243" s="169" t="s">
        <v>10225</v>
      </c>
      <c r="D243" s="169" t="s">
        <v>1289</v>
      </c>
      <c r="E243" s="103" t="s">
        <v>29605</v>
      </c>
      <c r="F243" s="104"/>
      <c r="G243" s="105">
        <f t="shared" si="12"/>
        <v>273.39999999999998</v>
      </c>
      <c r="H243" s="101" t="str">
        <f t="shared" si="13"/>
        <v>Sinapi 43425</v>
      </c>
      <c r="I243" s="101" t="str">
        <f t="shared" si="14"/>
        <v>UN</v>
      </c>
      <c r="J243" s="140" t="str">
        <f t="shared" si="15"/>
        <v>ANEL EM CONCRETO ARMADO, PERFURADO, PARA FOSSAS SEPTICAS E SUMIDOUROS, SEM FUNDO, DIAMETRO INTERNO DE 1,20 M E ALTURA DE 0,50 M</v>
      </c>
    </row>
    <row r="244" spans="1:10" x14ac:dyDescent="0.25">
      <c r="A244" s="169">
        <v>43446</v>
      </c>
      <c r="B244" s="169" t="s">
        <v>23607</v>
      </c>
      <c r="C244" s="169" t="s">
        <v>10225</v>
      </c>
      <c r="D244" s="169" t="s">
        <v>1289</v>
      </c>
      <c r="E244" s="103" t="s">
        <v>29606</v>
      </c>
      <c r="F244" s="104"/>
      <c r="G244" s="105">
        <f t="shared" si="12"/>
        <v>577.17999999999995</v>
      </c>
      <c r="H244" s="101" t="str">
        <f t="shared" si="13"/>
        <v>Sinapi 43446</v>
      </c>
      <c r="I244" s="101" t="str">
        <f t="shared" si="14"/>
        <v>UN</v>
      </c>
      <c r="J244" s="140" t="str">
        <f t="shared" si="15"/>
        <v>ANEL EM CONCRETO ARMADO, PERFURADO, PARA FOSSAS SEPTICAS E SUMIDOUROS, SEM FUNDO, DIAMETRO INTERNO DE 2,00 M E ALTURA DE 0,50 M</v>
      </c>
    </row>
    <row r="245" spans="1:10" x14ac:dyDescent="0.25">
      <c r="A245" s="169">
        <v>43447</v>
      </c>
      <c r="B245" s="169" t="s">
        <v>23608</v>
      </c>
      <c r="C245" s="169" t="s">
        <v>10225</v>
      </c>
      <c r="D245" s="169" t="s">
        <v>1289</v>
      </c>
      <c r="E245" s="103" t="s">
        <v>29607</v>
      </c>
      <c r="F245" s="104"/>
      <c r="G245" s="105">
        <f t="shared" si="12"/>
        <v>708.82</v>
      </c>
      <c r="H245" s="101" t="str">
        <f t="shared" si="13"/>
        <v>Sinapi 43447</v>
      </c>
      <c r="I245" s="101" t="str">
        <f t="shared" si="14"/>
        <v>UN</v>
      </c>
      <c r="J245" s="140" t="str">
        <f t="shared" si="15"/>
        <v>ANEL EM CONCRETO ARMADO, PERFURADO, PARA FOSSAS SEPTICAS E SUMIDOUROS, SEM FUNDO, DIAMETRO INTERNO DE 2,50 M E ALTURA DE 0,50 M</v>
      </c>
    </row>
    <row r="246" spans="1:10" x14ac:dyDescent="0.25">
      <c r="A246" s="169">
        <v>43448</v>
      </c>
      <c r="B246" s="169" t="s">
        <v>23609</v>
      </c>
      <c r="C246" s="169" t="s">
        <v>10225</v>
      </c>
      <c r="D246" s="169" t="s">
        <v>1289</v>
      </c>
      <c r="E246" s="103" t="s">
        <v>29608</v>
      </c>
      <c r="F246" s="104"/>
      <c r="G246" s="105">
        <f t="shared" si="12"/>
        <v>992.35</v>
      </c>
      <c r="H246" s="101" t="str">
        <f t="shared" si="13"/>
        <v>Sinapi 43448</v>
      </c>
      <c r="I246" s="101" t="str">
        <f t="shared" si="14"/>
        <v>UN</v>
      </c>
      <c r="J246" s="140" t="str">
        <f t="shared" si="15"/>
        <v>ANEL EM CONCRETO ARMADO, PERFURADO, PARA FOSSAS SEPTICAS E SUMIDOUROS, SEM FUNDO, DIAMETRO INTERNO DE 3,00 M E ALTURA DE 0,50 M</v>
      </c>
    </row>
    <row r="247" spans="1:10" x14ac:dyDescent="0.25">
      <c r="A247" s="169">
        <v>13761</v>
      </c>
      <c r="B247" s="169" t="s">
        <v>23610</v>
      </c>
      <c r="C247" s="169" t="s">
        <v>10225</v>
      </c>
      <c r="D247" s="169" t="s">
        <v>1290</v>
      </c>
      <c r="E247" s="103" t="s">
        <v>29609</v>
      </c>
      <c r="F247" s="104"/>
      <c r="G247" s="105">
        <f t="shared" si="12"/>
        <v>2365.56</v>
      </c>
      <c r="H247" s="101" t="str">
        <f t="shared" si="13"/>
        <v>Sinapi 13761</v>
      </c>
      <c r="I247" s="101" t="str">
        <f t="shared" si="14"/>
        <v>UN</v>
      </c>
      <c r="J247" s="140" t="str">
        <f t="shared" si="15"/>
        <v>APARELHO CORTE OXI-ACETILENO PARA SOLDA E CORTE CONTENDO MACARICO SOLDA, BICO DE CORTE, CILINDROS, REGULADORES, MANGUEIRAS E CARRINHO</v>
      </c>
    </row>
    <row r="248" spans="1:10" x14ac:dyDescent="0.25">
      <c r="A248" s="169">
        <v>4814</v>
      </c>
      <c r="B248" s="169" t="s">
        <v>23611</v>
      </c>
      <c r="C248" s="169" t="s">
        <v>10225</v>
      </c>
      <c r="D248" s="169" t="s">
        <v>1289</v>
      </c>
      <c r="E248" s="103" t="s">
        <v>29110</v>
      </c>
      <c r="F248" s="104"/>
      <c r="G248" s="105">
        <f t="shared" si="12"/>
        <v>92.09</v>
      </c>
      <c r="H248" s="101" t="str">
        <f t="shared" si="13"/>
        <v>Sinapi 4814</v>
      </c>
      <c r="I248" s="101" t="str">
        <f t="shared" si="14"/>
        <v>UN</v>
      </c>
      <c r="J248" s="140" t="str">
        <f t="shared" si="15"/>
        <v>APARELHO SINALIZADOR LUMINOSO COM LED, PARA SAIDA GARAGEM, COM 2 LENTES EM POLICARBONATO, BIVOLT (INCLUI SUPORTE DE FIXACAO)</v>
      </c>
    </row>
    <row r="249" spans="1:10" x14ac:dyDescent="0.25">
      <c r="A249" s="169">
        <v>44473</v>
      </c>
      <c r="B249" s="169" t="s">
        <v>23612</v>
      </c>
      <c r="C249" s="169" t="s">
        <v>10225</v>
      </c>
      <c r="D249" s="169" t="s">
        <v>1290</v>
      </c>
      <c r="E249" s="103" t="s">
        <v>29610</v>
      </c>
      <c r="F249" s="104"/>
      <c r="G249" s="105">
        <f t="shared" si="12"/>
        <v>2666.85</v>
      </c>
      <c r="H249" s="101" t="str">
        <f t="shared" si="13"/>
        <v>Sinapi 44473</v>
      </c>
      <c r="I249" s="101" t="str">
        <f t="shared" si="14"/>
        <v>UN</v>
      </c>
      <c r="J249" s="140" t="str">
        <f t="shared" si="15"/>
        <v>APOIO DO PORTA DENTE PARA FRESADORA DE ASFALTO</v>
      </c>
    </row>
    <row r="250" spans="1:10" x14ac:dyDescent="0.25">
      <c r="A250" s="169">
        <v>6122</v>
      </c>
      <c r="B250" s="169" t="s">
        <v>23613</v>
      </c>
      <c r="C250" s="169" t="s">
        <v>10228</v>
      </c>
      <c r="D250" s="169" t="s">
        <v>1289</v>
      </c>
      <c r="E250" s="103" t="s">
        <v>29573</v>
      </c>
      <c r="F250" s="104"/>
      <c r="G250" s="105">
        <f t="shared" si="12"/>
        <v>15.69</v>
      </c>
      <c r="H250" s="101" t="str">
        <f t="shared" si="13"/>
        <v>Sinapi 6122</v>
      </c>
      <c r="I250" s="101" t="str">
        <f t="shared" si="14"/>
        <v>H</v>
      </c>
      <c r="J250" s="140" t="str">
        <f t="shared" si="15"/>
        <v>APONTADOR OU APROPRIADOR DE MAO DE OBRA (HORISTA)</v>
      </c>
    </row>
    <row r="251" spans="1:10" x14ac:dyDescent="0.25">
      <c r="A251" s="169">
        <v>40810</v>
      </c>
      <c r="B251" s="169" t="s">
        <v>23614</v>
      </c>
      <c r="C251" s="169" t="s">
        <v>10235</v>
      </c>
      <c r="D251" s="169" t="s">
        <v>1289</v>
      </c>
      <c r="E251" s="103" t="s">
        <v>29574</v>
      </c>
      <c r="F251" s="104"/>
      <c r="G251" s="105">
        <f t="shared" si="12"/>
        <v>2730.97</v>
      </c>
      <c r="H251" s="101" t="str">
        <f t="shared" si="13"/>
        <v>Sinapi 40810</v>
      </c>
      <c r="I251" s="101" t="str">
        <f t="shared" si="14"/>
        <v>MES</v>
      </c>
      <c r="J251" s="140" t="str">
        <f t="shared" si="15"/>
        <v>APONTADOR OU APROPRIADOR DE MAO DE OBRA (MENSALISTA)</v>
      </c>
    </row>
    <row r="252" spans="1:10" x14ac:dyDescent="0.25">
      <c r="A252" s="169">
        <v>21100</v>
      </c>
      <c r="B252" s="169" t="s">
        <v>23615</v>
      </c>
      <c r="C252" s="169" t="s">
        <v>10225</v>
      </c>
      <c r="D252" s="169" t="s">
        <v>1290</v>
      </c>
      <c r="E252" s="103" t="s">
        <v>29611</v>
      </c>
      <c r="F252" s="104"/>
      <c r="G252" s="105">
        <f t="shared" si="12"/>
        <v>3845.1</v>
      </c>
      <c r="H252" s="101" t="str">
        <f t="shared" si="13"/>
        <v>Sinapi 21100</v>
      </c>
      <c r="I252" s="101" t="str">
        <f t="shared" si="14"/>
        <v>UN</v>
      </c>
      <c r="J252" s="140" t="str">
        <f t="shared" si="15"/>
        <v>AQUECEDOR DE AGUA A GAS GLP/GN COM CAPACIDADE DE ARMAZENAMENTO DE 50 A 80 L</v>
      </c>
    </row>
    <row r="253" spans="1:10" x14ac:dyDescent="0.25">
      <c r="A253" s="169">
        <v>11816</v>
      </c>
      <c r="B253" s="169" t="s">
        <v>23616</v>
      </c>
      <c r="C253" s="169" t="s">
        <v>10225</v>
      </c>
      <c r="D253" s="169" t="s">
        <v>1290</v>
      </c>
      <c r="E253" s="103" t="s">
        <v>29612</v>
      </c>
      <c r="F253" s="104"/>
      <c r="G253" s="105">
        <f t="shared" si="12"/>
        <v>4100</v>
      </c>
      <c r="H253" s="101" t="str">
        <f t="shared" si="13"/>
        <v>Sinapi 11816</v>
      </c>
      <c r="I253" s="101" t="str">
        <f t="shared" si="14"/>
        <v>UN</v>
      </c>
      <c r="J253" s="140" t="str">
        <f t="shared" si="15"/>
        <v>AQUECEDOR DE AGUA ELETRICO RESERVATORIO DE 100 L CILINDRICO EM COBRE, REFORCADO COM ACO CARBONO, MONOFASICO, TENSAO NOMINAL 220 V</v>
      </c>
    </row>
    <row r="254" spans="1:10" x14ac:dyDescent="0.25">
      <c r="A254" s="169">
        <v>11814</v>
      </c>
      <c r="B254" s="169" t="s">
        <v>23617</v>
      </c>
      <c r="C254" s="169" t="s">
        <v>10225</v>
      </c>
      <c r="D254" s="169" t="s">
        <v>1290</v>
      </c>
      <c r="E254" s="103" t="s">
        <v>29613</v>
      </c>
      <c r="F254" s="104"/>
      <c r="G254" s="105">
        <f t="shared" si="12"/>
        <v>8924.67</v>
      </c>
      <c r="H254" s="101" t="str">
        <f t="shared" si="13"/>
        <v>Sinapi 11814</v>
      </c>
      <c r="I254" s="101" t="str">
        <f t="shared" si="14"/>
        <v>UN</v>
      </c>
      <c r="J254" s="140" t="str">
        <f t="shared" si="15"/>
        <v>AQUECEDOR DE AGUA ELETRICO RESERVATORIO DE 500 L CILINDRICO EM COBRE, REFORCADO COM ACO CARBONO, MONOFASICO, TENSAO NOMINAL 220 V</v>
      </c>
    </row>
    <row r="255" spans="1:10" x14ac:dyDescent="0.25">
      <c r="A255" s="169">
        <v>14186</v>
      </c>
      <c r="B255" s="169" t="s">
        <v>23618</v>
      </c>
      <c r="C255" s="169" t="s">
        <v>10225</v>
      </c>
      <c r="D255" s="169" t="s">
        <v>1290</v>
      </c>
      <c r="E255" s="103" t="s">
        <v>29614</v>
      </c>
      <c r="F255" s="104"/>
      <c r="G255" s="105">
        <f t="shared" si="12"/>
        <v>11206.13</v>
      </c>
      <c r="H255" s="101" t="str">
        <f t="shared" si="13"/>
        <v>Sinapi 14186</v>
      </c>
      <c r="I255" s="101" t="str">
        <f t="shared" si="14"/>
        <v>UN</v>
      </c>
      <c r="J255" s="140" t="str">
        <f t="shared" si="15"/>
        <v>AQUECEDOR DE AGUA ELETRICO RESERVATORIO DE 500 L CILINDRICO EM COBRE, REFORCADO COM ACO CARBONO, TRIFASICO, TENSAO NOMINAL 220/380/400 V, POTENCIA 24 KW</v>
      </c>
    </row>
    <row r="256" spans="1:10" x14ac:dyDescent="0.25">
      <c r="A256" s="169">
        <v>14185</v>
      </c>
      <c r="B256" s="169" t="s">
        <v>23619</v>
      </c>
      <c r="C256" s="169" t="s">
        <v>10225</v>
      </c>
      <c r="D256" s="169" t="s">
        <v>1290</v>
      </c>
      <c r="E256" s="103" t="s">
        <v>29615</v>
      </c>
      <c r="F256" s="104"/>
      <c r="G256" s="105">
        <f t="shared" si="12"/>
        <v>14516.3</v>
      </c>
      <c r="H256" s="101" t="str">
        <f t="shared" si="13"/>
        <v>Sinapi 14185</v>
      </c>
      <c r="I256" s="101" t="str">
        <f t="shared" si="14"/>
        <v>UN</v>
      </c>
      <c r="J256" s="140" t="str">
        <f t="shared" si="15"/>
        <v>AQUECEDOR DE AGUA ELETRICO RESERVATORIO DE 700 L CILINDRICO EM COBRE, REFORCADO COM ACO CARBONO, MONOFASICO, TENSAO NOMINAL 220 V</v>
      </c>
    </row>
    <row r="257" spans="1:10" x14ac:dyDescent="0.25">
      <c r="A257" s="169">
        <v>11811</v>
      </c>
      <c r="B257" s="169" t="s">
        <v>23620</v>
      </c>
      <c r="C257" s="169" t="s">
        <v>10225</v>
      </c>
      <c r="D257" s="169" t="s">
        <v>1290</v>
      </c>
      <c r="E257" s="103" t="s">
        <v>29616</v>
      </c>
      <c r="F257" s="104"/>
      <c r="G257" s="105">
        <f t="shared" si="12"/>
        <v>5550.48</v>
      </c>
      <c r="H257" s="101" t="str">
        <f t="shared" si="13"/>
        <v>Sinapi 11811</v>
      </c>
      <c r="I257" s="101" t="str">
        <f t="shared" si="14"/>
        <v>UN</v>
      </c>
      <c r="J257" s="140" t="str">
        <f t="shared" si="15"/>
        <v>AQUECEDOR DE AGUA ELETRICO HORIZONTAL, RESERVATORIO DE 200 L CILINDRICO EM COBRE, REFORCADO COM ACO CARBONO, MONOFASICO, TENSAO NOMINAL 220 V</v>
      </c>
    </row>
    <row r="258" spans="1:10" x14ac:dyDescent="0.25">
      <c r="A258" s="169">
        <v>44498</v>
      </c>
      <c r="B258" s="169" t="s">
        <v>23621</v>
      </c>
      <c r="C258" s="169" t="s">
        <v>10225</v>
      </c>
      <c r="D258" s="169" t="s">
        <v>1290</v>
      </c>
      <c r="E258" s="103" t="s">
        <v>21442</v>
      </c>
      <c r="F258" s="104"/>
      <c r="G258" s="105">
        <f t="shared" si="12"/>
        <v>318204.48</v>
      </c>
      <c r="H258" s="101" t="str">
        <f t="shared" si="13"/>
        <v>Sinapi 44498</v>
      </c>
      <c r="I258" s="101" t="str">
        <f t="shared" si="14"/>
        <v>UN</v>
      </c>
      <c r="J258" s="140" t="str">
        <f t="shared" si="15"/>
        <v>AQUECEDOR DE OLEO BPF (FLUIDO) TERMICO, CAPACIDADE DE 300.000 KCAL/H</v>
      </c>
    </row>
    <row r="259" spans="1:10" x14ac:dyDescent="0.25">
      <c r="A259" s="169">
        <v>34469</v>
      </c>
      <c r="B259" s="169" t="s">
        <v>23622</v>
      </c>
      <c r="C259" s="169" t="s">
        <v>10225</v>
      </c>
      <c r="D259" s="169" t="s">
        <v>1290</v>
      </c>
      <c r="E259" s="103" t="s">
        <v>19813</v>
      </c>
      <c r="F259" s="104"/>
      <c r="G259" s="105">
        <f t="shared" si="12"/>
        <v>10372.16</v>
      </c>
      <c r="H259" s="101" t="str">
        <f t="shared" si="13"/>
        <v>Sinapi 34469</v>
      </c>
      <c r="I259" s="101" t="str">
        <f t="shared" si="14"/>
        <v>UN</v>
      </c>
      <c r="J259" s="140" t="str">
        <f t="shared" si="15"/>
        <v>AQUECEDOR SOLAR COM RESERVATORIO TERMICO DE 1000 L E *5* PLACAS COLETORAS DE *2,0* M2 (NAO INCLUI ACESSORIOS) (SEM INSTALACAO)</v>
      </c>
    </row>
    <row r="260" spans="1:10" x14ac:dyDescent="0.25">
      <c r="A260" s="169">
        <v>34476</v>
      </c>
      <c r="B260" s="169" t="s">
        <v>23623</v>
      </c>
      <c r="C260" s="169" t="s">
        <v>10225</v>
      </c>
      <c r="D260" s="169" t="s">
        <v>1290</v>
      </c>
      <c r="E260" s="103" t="s">
        <v>19814</v>
      </c>
      <c r="F260" s="104"/>
      <c r="G260" s="105">
        <f t="shared" si="12"/>
        <v>5409.52</v>
      </c>
      <c r="H260" s="101" t="str">
        <f t="shared" si="13"/>
        <v>Sinapi 34476</v>
      </c>
      <c r="I260" s="101" t="str">
        <f t="shared" si="14"/>
        <v>UN</v>
      </c>
      <c r="J260" s="140" t="str">
        <f t="shared" si="15"/>
        <v>AQUECEDOR SOLAR COM RESERVATORIO TERMICO DE 400 L E *2* PLACAS COLETORAS DE *2,0* M2 (NAO INCLUI ACESSORIOS) (SEM INSTALACAO)</v>
      </c>
    </row>
    <row r="261" spans="1:10" x14ac:dyDescent="0.25">
      <c r="A261" s="169">
        <v>34477</v>
      </c>
      <c r="B261" s="169" t="s">
        <v>23624</v>
      </c>
      <c r="C261" s="169" t="s">
        <v>10225</v>
      </c>
      <c r="D261" s="169" t="s">
        <v>1290</v>
      </c>
      <c r="E261" s="103" t="s">
        <v>19815</v>
      </c>
      <c r="F261" s="104"/>
      <c r="G261" s="105">
        <f t="shared" si="12"/>
        <v>7179.48</v>
      </c>
      <c r="H261" s="101" t="str">
        <f t="shared" si="13"/>
        <v>Sinapi 34477</v>
      </c>
      <c r="I261" s="101" t="str">
        <f t="shared" si="14"/>
        <v>UN</v>
      </c>
      <c r="J261" s="140" t="str">
        <f t="shared" si="15"/>
        <v>AQUECEDOR SOLAR COM RESERVATORIO TERMICO DE 600 L E *3* PLACAS COLETORAS DE *2,0* M2 (NAO INCLUI ACESSORIOS) (SEM INSTALACAO)</v>
      </c>
    </row>
    <row r="262" spans="1:10" x14ac:dyDescent="0.25">
      <c r="A262" s="169">
        <v>34482</v>
      </c>
      <c r="B262" s="169" t="s">
        <v>23625</v>
      </c>
      <c r="C262" s="169" t="s">
        <v>10225</v>
      </c>
      <c r="D262" s="169" t="s">
        <v>1290</v>
      </c>
      <c r="E262" s="103" t="s">
        <v>19816</v>
      </c>
      <c r="F262" s="104"/>
      <c r="G262" s="105">
        <f t="shared" si="12"/>
        <v>6705.24</v>
      </c>
      <c r="H262" s="101" t="str">
        <f t="shared" si="13"/>
        <v>Sinapi 34482</v>
      </c>
      <c r="I262" s="101" t="str">
        <f t="shared" si="14"/>
        <v>UN</v>
      </c>
      <c r="J262" s="140" t="str">
        <f t="shared" si="15"/>
        <v>AQUECEDOR SOLAR COM RESERVATORIO TERMICO DE 800 L E *4* PLACAS COLETORAS DE *2,0* M2 (NAO INCLUI ACESSORIOS) (SEM INSTALACAO)</v>
      </c>
    </row>
    <row r="263" spans="1:10" x14ac:dyDescent="0.25">
      <c r="A263" s="169">
        <v>34472</v>
      </c>
      <c r="B263" s="169" t="s">
        <v>23626</v>
      </c>
      <c r="C263" s="169" t="s">
        <v>10225</v>
      </c>
      <c r="D263" s="169" t="s">
        <v>1290</v>
      </c>
      <c r="E263" s="103" t="s">
        <v>19817</v>
      </c>
      <c r="F263" s="104"/>
      <c r="G263" s="105">
        <f t="shared" si="12"/>
        <v>3191.19</v>
      </c>
      <c r="H263" s="101" t="str">
        <f t="shared" si="13"/>
        <v>Sinapi 34472</v>
      </c>
      <c r="I263" s="101" t="str">
        <f t="shared" si="14"/>
        <v>UN</v>
      </c>
      <c r="J263" s="140" t="str">
        <f t="shared" si="15"/>
        <v>AQUECEDOR SOLAR DE INSTALACAO EXTERNA, KIT COMPACTO, CONJUNTO COM RESERVATORIO TERMICO DE 200 L, PLACA COLETORA DE *2,0* M2 E INCLUSO ACESSORIOS (RESIDENCIAS ATE 120,00 M2 E DE 4 A 5 BANHOS POR DIA) (SEM INSTALACAO)</v>
      </c>
    </row>
    <row r="264" spans="1:10" x14ac:dyDescent="0.25">
      <c r="A264" s="169">
        <v>42425</v>
      </c>
      <c r="B264" s="169" t="s">
        <v>23627</v>
      </c>
      <c r="C264" s="169" t="s">
        <v>10225</v>
      </c>
      <c r="D264" s="169" t="s">
        <v>1289</v>
      </c>
      <c r="E264" s="103" t="s">
        <v>29617</v>
      </c>
      <c r="F264" s="104"/>
      <c r="G264" s="105">
        <f t="shared" ref="G264:G327" si="16">IF(E264="","",E264+0)</f>
        <v>2961.17</v>
      </c>
      <c r="H264" s="101" t="str">
        <f t="shared" ref="H264:H327" si="17">IF(G264="","",TRIM(CONCATENATE("Sinapi ",A264)))</f>
        <v>Sinapi 42425</v>
      </c>
      <c r="I264" s="101" t="str">
        <f t="shared" ref="I264:I327" si="18">TRIM(C264)</f>
        <v>UN</v>
      </c>
      <c r="J264" s="140" t="str">
        <f t="shared" si="15"/>
        <v>AR CONDICIONADO SPLIT INVERTER, HI-WALL (PAREDE), 12000 BTU/H, CICLO FRIO, 60HZ, CLASSIFICACAO A (SELO PROCEL), GAS HFC, CONTROLE S/FIO</v>
      </c>
    </row>
    <row r="265" spans="1:10" x14ac:dyDescent="0.25">
      <c r="A265" s="169">
        <v>42422</v>
      </c>
      <c r="B265" s="169" t="s">
        <v>23628</v>
      </c>
      <c r="C265" s="169" t="s">
        <v>10225</v>
      </c>
      <c r="D265" s="169" t="s">
        <v>1288</v>
      </c>
      <c r="E265" s="103" t="s">
        <v>29618</v>
      </c>
      <c r="F265" s="104"/>
      <c r="G265" s="105">
        <f t="shared" si="16"/>
        <v>4395.95</v>
      </c>
      <c r="H265" s="101" t="str">
        <f t="shared" si="17"/>
        <v>Sinapi 42422</v>
      </c>
      <c r="I265" s="101" t="str">
        <f t="shared" si="18"/>
        <v>UN</v>
      </c>
      <c r="J265" s="140" t="str">
        <f t="shared" ref="J265:J328" si="19">TRIM(B265)</f>
        <v>AR CONDICIONADO SPLIT INVERTER, HI-WALL (PAREDE), 18000 BTU/H, CICLO FRIO, 60HZ, CLASSIFICACAO A (SELO PROCEL), GAS HFC, CONTROLE S/FIO</v>
      </c>
    </row>
    <row r="266" spans="1:10" x14ac:dyDescent="0.25">
      <c r="A266" s="169">
        <v>43184</v>
      </c>
      <c r="B266" s="169" t="s">
        <v>23629</v>
      </c>
      <c r="C266" s="169" t="s">
        <v>10225</v>
      </c>
      <c r="D266" s="169" t="s">
        <v>1289</v>
      </c>
      <c r="E266" s="103" t="s">
        <v>29619</v>
      </c>
      <c r="F266" s="104"/>
      <c r="G266" s="105">
        <f t="shared" si="16"/>
        <v>6075.62</v>
      </c>
      <c r="H266" s="101" t="str">
        <f t="shared" si="17"/>
        <v>Sinapi 43184</v>
      </c>
      <c r="I266" s="101" t="str">
        <f t="shared" si="18"/>
        <v>UN</v>
      </c>
      <c r="J266" s="140" t="str">
        <f t="shared" si="19"/>
        <v>AR CONDICIONADO SPLIT INVERTER, HI-WALL (PAREDE), 24000 BTU/H, CICLO FRIO, 60HZ, CLASSIFICACAO A (SELO PROCEL), GAS HFC, CONTROLE S/FIO</v>
      </c>
    </row>
    <row r="267" spans="1:10" x14ac:dyDescent="0.25">
      <c r="A267" s="169">
        <v>42424</v>
      </c>
      <c r="B267" s="169" t="s">
        <v>23630</v>
      </c>
      <c r="C267" s="169" t="s">
        <v>10225</v>
      </c>
      <c r="D267" s="169" t="s">
        <v>1289</v>
      </c>
      <c r="E267" s="103" t="s">
        <v>29620</v>
      </c>
      <c r="F267" s="104"/>
      <c r="G267" s="105">
        <f t="shared" si="16"/>
        <v>2644.58</v>
      </c>
      <c r="H267" s="101" t="str">
        <f t="shared" si="17"/>
        <v>Sinapi 42424</v>
      </c>
      <c r="I267" s="101" t="str">
        <f t="shared" si="18"/>
        <v>UN</v>
      </c>
      <c r="J267" s="140" t="str">
        <f t="shared" si="19"/>
        <v>AR CONDICIONADO SPLIT INVERTER, HI-WALL (PAREDE), 9000 BTU/H, CICLO FRIO, 60HZ, CLASSIFICACAO A (SELO PROCEL), GAS HFC, CONTROLE S/FIO</v>
      </c>
    </row>
    <row r="268" spans="1:10" x14ac:dyDescent="0.25">
      <c r="A268" s="169">
        <v>42421</v>
      </c>
      <c r="B268" s="169" t="s">
        <v>23631</v>
      </c>
      <c r="C268" s="169" t="s">
        <v>10225</v>
      </c>
      <c r="D268" s="169" t="s">
        <v>1289</v>
      </c>
      <c r="E268" s="103" t="s">
        <v>29621</v>
      </c>
      <c r="F268" s="104"/>
      <c r="G268" s="105">
        <f t="shared" si="16"/>
        <v>24078.6</v>
      </c>
      <c r="H268" s="101" t="str">
        <f t="shared" si="17"/>
        <v>Sinapi 42421</v>
      </c>
      <c r="I268" s="101" t="str">
        <f t="shared" si="18"/>
        <v>UN</v>
      </c>
      <c r="J268" s="140" t="str">
        <f t="shared" si="19"/>
        <v>AR CONDICIONADO SPLIT INVERTER, PISO TETO, APRESENTANDO ENTRE 54000 E 58000 BTU/H, CICLO FRIO, 60HZ, CLASSIFICACAO ENERGETICA A OU B (SELO PROCEL), GAS HFC, CONTROLE S/FIO</v>
      </c>
    </row>
    <row r="269" spans="1:10" x14ac:dyDescent="0.25">
      <c r="A269" s="169">
        <v>42416</v>
      </c>
      <c r="B269" s="169" t="s">
        <v>23632</v>
      </c>
      <c r="C269" s="169" t="s">
        <v>10225</v>
      </c>
      <c r="D269" s="169" t="s">
        <v>1289</v>
      </c>
      <c r="E269" s="103" t="s">
        <v>29622</v>
      </c>
      <c r="F269" s="104"/>
      <c r="G269" s="105">
        <f t="shared" si="16"/>
        <v>11400.48</v>
      </c>
      <c r="H269" s="101" t="str">
        <f t="shared" si="17"/>
        <v>Sinapi 42416</v>
      </c>
      <c r="I269" s="101" t="str">
        <f t="shared" si="18"/>
        <v>UN</v>
      </c>
      <c r="J269" s="140" t="str">
        <f t="shared" si="19"/>
        <v>AR CONDICIONADO SPLIT INVERTER, PISO TETO, 18000 BTU/H, CICLO FRIO, 60HZ, CLASSIFICACAO ENERGETICA A OU B (SELO PROCEL), GAS HFC, CONTROLE S/FIO</v>
      </c>
    </row>
    <row r="270" spans="1:10" x14ac:dyDescent="0.25">
      <c r="A270" s="169">
        <v>42417</v>
      </c>
      <c r="B270" s="169" t="s">
        <v>23633</v>
      </c>
      <c r="C270" s="169" t="s">
        <v>10225</v>
      </c>
      <c r="D270" s="169" t="s">
        <v>1289</v>
      </c>
      <c r="E270" s="103" t="s">
        <v>29623</v>
      </c>
      <c r="F270" s="104"/>
      <c r="G270" s="105">
        <f t="shared" si="16"/>
        <v>12780.87</v>
      </c>
      <c r="H270" s="101" t="str">
        <f t="shared" si="17"/>
        <v>Sinapi 42417</v>
      </c>
      <c r="I270" s="101" t="str">
        <f t="shared" si="18"/>
        <v>UN</v>
      </c>
      <c r="J270" s="140" t="str">
        <f t="shared" si="19"/>
        <v>AR CONDICIONADO SPLIT INVERTER, PISO TETO, 24000 BTU/H, CICLO FRIO, 60HZ, CLASSIFICACAO ENERGETICA A OU B (SELO PROCEL), GAS HFC, CONTROLE S/FIO</v>
      </c>
    </row>
    <row r="271" spans="1:10" x14ac:dyDescent="0.25">
      <c r="A271" s="169">
        <v>42419</v>
      </c>
      <c r="B271" s="169" t="s">
        <v>23634</v>
      </c>
      <c r="C271" s="169" t="s">
        <v>10225</v>
      </c>
      <c r="D271" s="169" t="s">
        <v>1289</v>
      </c>
      <c r="E271" s="103" t="s">
        <v>29624</v>
      </c>
      <c r="F271" s="104"/>
      <c r="G271" s="105">
        <f t="shared" si="16"/>
        <v>14439.67</v>
      </c>
      <c r="H271" s="101" t="str">
        <f t="shared" si="17"/>
        <v>Sinapi 42419</v>
      </c>
      <c r="I271" s="101" t="str">
        <f t="shared" si="18"/>
        <v>UN</v>
      </c>
      <c r="J271" s="140" t="str">
        <f t="shared" si="19"/>
        <v>AR CONDICIONADO SPLIT INVERTER, PISO TETO, 36000 BTU/H, CICLO FRIO, 60HZ, CLASSIFICACAO ENERGETICA A OU B (SELO PROCEL), GAS HFC, CONTROLE S/FIO</v>
      </c>
    </row>
    <row r="272" spans="1:10" x14ac:dyDescent="0.25">
      <c r="A272" s="169">
        <v>42420</v>
      </c>
      <c r="B272" s="169" t="s">
        <v>23635</v>
      </c>
      <c r="C272" s="169" t="s">
        <v>10225</v>
      </c>
      <c r="D272" s="169" t="s">
        <v>1289</v>
      </c>
      <c r="E272" s="103" t="s">
        <v>29625</v>
      </c>
      <c r="F272" s="104"/>
      <c r="G272" s="105">
        <f t="shared" si="16"/>
        <v>19846.25</v>
      </c>
      <c r="H272" s="101" t="str">
        <f t="shared" si="17"/>
        <v>Sinapi 42420</v>
      </c>
      <c r="I272" s="101" t="str">
        <f t="shared" si="18"/>
        <v>UN</v>
      </c>
      <c r="J272" s="140" t="str">
        <f t="shared" si="19"/>
        <v>AR CONDICIONADO SPLIT INVERTER, PISO TETO, 48000 BTU/H, CICLO FRIO, 60HZ, CLASSIFICACAO ENERGETICA A OU B (SELO PROCEL), GAS HFC, CONTROLE S/FIO</v>
      </c>
    </row>
    <row r="273" spans="1:10" x14ac:dyDescent="0.25">
      <c r="A273" s="169">
        <v>43195</v>
      </c>
      <c r="B273" s="169" t="s">
        <v>23636</v>
      </c>
      <c r="C273" s="169" t="s">
        <v>10225</v>
      </c>
      <c r="D273" s="169" t="s">
        <v>1289</v>
      </c>
      <c r="E273" s="103" t="s">
        <v>29626</v>
      </c>
      <c r="F273" s="104"/>
      <c r="G273" s="105">
        <f t="shared" si="16"/>
        <v>6988.15</v>
      </c>
      <c r="H273" s="101" t="str">
        <f t="shared" si="17"/>
        <v>Sinapi 43195</v>
      </c>
      <c r="I273" s="101" t="str">
        <f t="shared" si="18"/>
        <v>UN</v>
      </c>
      <c r="J273" s="140" t="str">
        <f t="shared" si="19"/>
        <v>AR CONDICIONADO SPLIT ON/OFF, CASSETE (TETO), FRIO 4 VIAS 18000 BTUS/H, CLASSIFICACAO ENERGETICA C - SELO PROCEL, GAS HFC, CONTROLE S/ FIO</v>
      </c>
    </row>
    <row r="274" spans="1:10" x14ac:dyDescent="0.25">
      <c r="A274" s="169">
        <v>43196</v>
      </c>
      <c r="B274" s="169" t="s">
        <v>23637</v>
      </c>
      <c r="C274" s="169" t="s">
        <v>10225</v>
      </c>
      <c r="D274" s="169" t="s">
        <v>1289</v>
      </c>
      <c r="E274" s="103" t="s">
        <v>29627</v>
      </c>
      <c r="F274" s="104"/>
      <c r="G274" s="105">
        <f t="shared" si="16"/>
        <v>8660.7999999999993</v>
      </c>
      <c r="H274" s="101" t="str">
        <f t="shared" si="17"/>
        <v>Sinapi 43196</v>
      </c>
      <c r="I274" s="101" t="str">
        <f t="shared" si="18"/>
        <v>UN</v>
      </c>
      <c r="J274" s="140" t="str">
        <f t="shared" si="19"/>
        <v>AR CONDICIONADO SPLIT ON/OFF, CASSETE (TETO), FRIO 4 VIAS 24000 BTUS/H, CLASSIFICACAO ENERGETICA C - SELO PROCEL, GAS HFC, CONTROLE S/ FIO</v>
      </c>
    </row>
    <row r="275" spans="1:10" x14ac:dyDescent="0.25">
      <c r="A275" s="169">
        <v>43198</v>
      </c>
      <c r="B275" s="169" t="s">
        <v>23638</v>
      </c>
      <c r="C275" s="169" t="s">
        <v>10225</v>
      </c>
      <c r="D275" s="169" t="s">
        <v>1289</v>
      </c>
      <c r="E275" s="103" t="s">
        <v>29628</v>
      </c>
      <c r="F275" s="104"/>
      <c r="G275" s="105">
        <f t="shared" si="16"/>
        <v>12869.75</v>
      </c>
      <c r="H275" s="101" t="str">
        <f t="shared" si="17"/>
        <v>Sinapi 43198</v>
      </c>
      <c r="I275" s="101" t="str">
        <f t="shared" si="18"/>
        <v>UN</v>
      </c>
      <c r="J275" s="140" t="str">
        <f t="shared" si="19"/>
        <v>AR CONDICIONADO SPLIT ON/OFF, CASSETE (TETO), FRIO 4 VIAS 36000 BTUS/H, CLASSIFICACAO ENERGETICA C - SELO PROCEL, GAS HFC, CONTROLE S/ FIO</v>
      </c>
    </row>
    <row r="276" spans="1:10" x14ac:dyDescent="0.25">
      <c r="A276" s="169">
        <v>43199</v>
      </c>
      <c r="B276" s="169" t="s">
        <v>23639</v>
      </c>
      <c r="C276" s="169" t="s">
        <v>10225</v>
      </c>
      <c r="D276" s="169" t="s">
        <v>1289</v>
      </c>
      <c r="E276" s="103" t="s">
        <v>29629</v>
      </c>
      <c r="F276" s="104"/>
      <c r="G276" s="105">
        <f t="shared" si="16"/>
        <v>13341.34</v>
      </c>
      <c r="H276" s="101" t="str">
        <f t="shared" si="17"/>
        <v>Sinapi 43199</v>
      </c>
      <c r="I276" s="101" t="str">
        <f t="shared" si="18"/>
        <v>UN</v>
      </c>
      <c r="J276" s="140" t="str">
        <f t="shared" si="19"/>
        <v>AR CONDICIONADO SPLIT ON/OFF, CASSETE (TETO), FRIO 4 VIAS 48000 BTUS/H, CLASSIFICACAO ENERGETICA C - SELO PROCEL, GAS HFC, CONTROLE S/ FIO</v>
      </c>
    </row>
    <row r="277" spans="1:10" x14ac:dyDescent="0.25">
      <c r="A277" s="169">
        <v>43200</v>
      </c>
      <c r="B277" s="169" t="s">
        <v>23640</v>
      </c>
      <c r="C277" s="169" t="s">
        <v>10225</v>
      </c>
      <c r="D277" s="169" t="s">
        <v>1289</v>
      </c>
      <c r="E277" s="103" t="s">
        <v>29630</v>
      </c>
      <c r="F277" s="104"/>
      <c r="G277" s="105">
        <f t="shared" si="16"/>
        <v>15310.16</v>
      </c>
      <c r="H277" s="101" t="str">
        <f t="shared" si="17"/>
        <v>Sinapi 43200</v>
      </c>
      <c r="I277" s="101" t="str">
        <f t="shared" si="18"/>
        <v>UN</v>
      </c>
      <c r="J277" s="140" t="str">
        <f t="shared" si="19"/>
        <v>AR CONDICIONADO SPLIT ON/OFF, CASSETE (TETO), FRIO 4 VIAS 60000 BTUS/H, CLASSIFICACAO ENERGETICA C - SELO PROCEL, GAS HFC, CONTROLE S/ FIO</v>
      </c>
    </row>
    <row r="278" spans="1:10" x14ac:dyDescent="0.25">
      <c r="A278" s="169">
        <v>39556</v>
      </c>
      <c r="B278" s="169" t="s">
        <v>23641</v>
      </c>
      <c r="C278" s="169" t="s">
        <v>10225</v>
      </c>
      <c r="D278" s="169" t="s">
        <v>1289</v>
      </c>
      <c r="E278" s="103" t="s">
        <v>29631</v>
      </c>
      <c r="F278" s="104"/>
      <c r="G278" s="105">
        <f t="shared" si="16"/>
        <v>8361.9599999999991</v>
      </c>
      <c r="H278" s="101" t="str">
        <f t="shared" si="17"/>
        <v>Sinapi 39556</v>
      </c>
      <c r="I278" s="101" t="str">
        <f t="shared" si="18"/>
        <v>UN</v>
      </c>
      <c r="J278" s="140" t="str">
        <f t="shared" si="19"/>
        <v>AR CONDICIONADO SPLIT ON/OFF, CASSETE (TETO), 18000 BTUS/H, CICLO QUENTE/FRIO, 60 HZ, CLASSIFICACAO ENERGETICA C - SELO PROCEL, GAS HFC, CONTROLE S/ FIO</v>
      </c>
    </row>
    <row r="279" spans="1:10" x14ac:dyDescent="0.25">
      <c r="A279" s="169">
        <v>39557</v>
      </c>
      <c r="B279" s="169" t="s">
        <v>23642</v>
      </c>
      <c r="C279" s="169" t="s">
        <v>10225</v>
      </c>
      <c r="D279" s="169" t="s">
        <v>1289</v>
      </c>
      <c r="E279" s="103" t="s">
        <v>29632</v>
      </c>
      <c r="F279" s="104"/>
      <c r="G279" s="105">
        <f t="shared" si="16"/>
        <v>9004.01</v>
      </c>
      <c r="H279" s="101" t="str">
        <f t="shared" si="17"/>
        <v>Sinapi 39557</v>
      </c>
      <c r="I279" s="101" t="str">
        <f t="shared" si="18"/>
        <v>UN</v>
      </c>
      <c r="J279" s="140" t="str">
        <f t="shared" si="19"/>
        <v>AR CONDICIONADO SPLIT ON/OFF, CASSETE (TETO), 24000 BTUS/H, CICLO QUENTE/FRIO, 60 HZ, CLASSIFICACAO ENERGETICA C - SELO PROCEL, GAS HFC, CONTROLE S/ FIO</v>
      </c>
    </row>
    <row r="280" spans="1:10" x14ac:dyDescent="0.25">
      <c r="A280" s="169">
        <v>39559</v>
      </c>
      <c r="B280" s="169" t="s">
        <v>23643</v>
      </c>
      <c r="C280" s="169" t="s">
        <v>10225</v>
      </c>
      <c r="D280" s="169" t="s">
        <v>1289</v>
      </c>
      <c r="E280" s="103" t="s">
        <v>29633</v>
      </c>
      <c r="F280" s="104"/>
      <c r="G280" s="105">
        <f t="shared" si="16"/>
        <v>13306.19</v>
      </c>
      <c r="H280" s="101" t="str">
        <f t="shared" si="17"/>
        <v>Sinapi 39559</v>
      </c>
      <c r="I280" s="101" t="str">
        <f t="shared" si="18"/>
        <v>UN</v>
      </c>
      <c r="J280" s="140" t="str">
        <f t="shared" si="19"/>
        <v>AR CONDICIONADO SPLIT ON/OFF, CASSETE (TETO), 36000 BTUS/H, CICLO QUENTE/FRIO, 60 HZ, CLASSIFICACAO ENERGETICA A - SELO PROCEL, GAS HFC, CONTROLE S/ FIO</v>
      </c>
    </row>
    <row r="281" spans="1:10" x14ac:dyDescent="0.25">
      <c r="A281" s="169">
        <v>39560</v>
      </c>
      <c r="B281" s="169" t="s">
        <v>23644</v>
      </c>
      <c r="C281" s="169" t="s">
        <v>10225</v>
      </c>
      <c r="D281" s="169" t="s">
        <v>1289</v>
      </c>
      <c r="E281" s="103" t="s">
        <v>29634</v>
      </c>
      <c r="F281" s="104"/>
      <c r="G281" s="105">
        <f t="shared" si="16"/>
        <v>15393.96</v>
      </c>
      <c r="H281" s="101" t="str">
        <f t="shared" si="17"/>
        <v>Sinapi 39560</v>
      </c>
      <c r="I281" s="101" t="str">
        <f t="shared" si="18"/>
        <v>UN</v>
      </c>
      <c r="J281" s="140" t="str">
        <f t="shared" si="19"/>
        <v>AR CONDICIONADO SPLIT ON/OFF, CASSETE (TETO), 48000 BTUS/H, CICLO QUENTE/FRIO, 60 HZ, CLASSIFICACAO ENERGETICA A - SELO PROCEL, GAS HFC, CONTROLE S/ FIO</v>
      </c>
    </row>
    <row r="282" spans="1:10" x14ac:dyDescent="0.25">
      <c r="A282" s="169">
        <v>39561</v>
      </c>
      <c r="B282" s="169" t="s">
        <v>23645</v>
      </c>
      <c r="C282" s="169" t="s">
        <v>10225</v>
      </c>
      <c r="D282" s="169" t="s">
        <v>1289</v>
      </c>
      <c r="E282" s="103" t="s">
        <v>29635</v>
      </c>
      <c r="F282" s="104"/>
      <c r="G282" s="105">
        <f t="shared" si="16"/>
        <v>16104.05</v>
      </c>
      <c r="H282" s="101" t="str">
        <f t="shared" si="17"/>
        <v>Sinapi 39561</v>
      </c>
      <c r="I282" s="101" t="str">
        <f t="shared" si="18"/>
        <v>UN</v>
      </c>
      <c r="J282" s="140" t="str">
        <f t="shared" si="19"/>
        <v>AR CONDICIONADO SPLIT ON/OFF, CASSETE (TETO), 60000 BTUS/H, CICLO QUENTE/FRIO, 60 HZ, CLASSIFICACAO ENERGETICA A - SELO PROCEL, GAS HFC, CONTROLE S/ FIO</v>
      </c>
    </row>
    <row r="283" spans="1:10" x14ac:dyDescent="0.25">
      <c r="A283" s="169">
        <v>43190</v>
      </c>
      <c r="B283" s="169" t="s">
        <v>23646</v>
      </c>
      <c r="C283" s="169" t="s">
        <v>10225</v>
      </c>
      <c r="D283" s="169" t="s">
        <v>1289</v>
      </c>
      <c r="E283" s="103" t="s">
        <v>29636</v>
      </c>
      <c r="F283" s="104"/>
      <c r="G283" s="105">
        <f t="shared" si="16"/>
        <v>2376.5300000000002</v>
      </c>
      <c r="H283" s="101" t="str">
        <f t="shared" si="17"/>
        <v>Sinapi 43190</v>
      </c>
      <c r="I283" s="101" t="str">
        <f t="shared" si="18"/>
        <v>UN</v>
      </c>
      <c r="J283" s="140" t="str">
        <f t="shared" si="19"/>
        <v>AR CONDICIONADO SPLIT ON/OFF, HI-WALL (PAREDE), 12000 BTUS/H, CICLO FRIO, 60 HZ, CLASSIFICACAO ENERGETICA A - SELO PROCEL, GAS HFC, CONTROLE S/ FIO</v>
      </c>
    </row>
    <row r="284" spans="1:10" x14ac:dyDescent="0.25">
      <c r="A284" s="169">
        <v>39555</v>
      </c>
      <c r="B284" s="169" t="s">
        <v>23647</v>
      </c>
      <c r="C284" s="169" t="s">
        <v>10225</v>
      </c>
      <c r="D284" s="169" t="s">
        <v>1289</v>
      </c>
      <c r="E284" s="103" t="s">
        <v>29637</v>
      </c>
      <c r="F284" s="104"/>
      <c r="G284" s="105">
        <f t="shared" si="16"/>
        <v>2570.79</v>
      </c>
      <c r="H284" s="101" t="str">
        <f t="shared" si="17"/>
        <v>Sinapi 39555</v>
      </c>
      <c r="I284" s="101" t="str">
        <f t="shared" si="18"/>
        <v>UN</v>
      </c>
      <c r="J284" s="140" t="str">
        <f t="shared" si="19"/>
        <v>AR CONDICIONADO SPLIT ON/OFF, HI-WALL (PAREDE), 12000 BTUS/H, CICLO QUENTE/FRIO, 60 HZ, CLASSIFICACAO ENERGETICA A - SELO PROCEL, GAS HFC, CONTROLE S/ FIO</v>
      </c>
    </row>
    <row r="285" spans="1:10" x14ac:dyDescent="0.25">
      <c r="A285" s="169">
        <v>43191</v>
      </c>
      <c r="B285" s="169" t="s">
        <v>23648</v>
      </c>
      <c r="C285" s="169" t="s">
        <v>10225</v>
      </c>
      <c r="D285" s="169" t="s">
        <v>1289</v>
      </c>
      <c r="E285" s="103" t="s">
        <v>29638</v>
      </c>
      <c r="F285" s="104"/>
      <c r="G285" s="105">
        <f t="shared" si="16"/>
        <v>3419.51</v>
      </c>
      <c r="H285" s="101" t="str">
        <f t="shared" si="17"/>
        <v>Sinapi 43191</v>
      </c>
      <c r="I285" s="101" t="str">
        <f t="shared" si="18"/>
        <v>UN</v>
      </c>
      <c r="J285" s="140" t="str">
        <f t="shared" si="19"/>
        <v>AR CONDICIONADO SPLIT ON/OFF, HI-WALL (PAREDE), 18000 BTUS/H, CICLO FRIO, 60 HZ, CLASSIFICACAO ENERGETICA A - SELO PROCEL, GAS HFC, CONTROLE S/ FIO</v>
      </c>
    </row>
    <row r="286" spans="1:10" x14ac:dyDescent="0.25">
      <c r="A286" s="169">
        <v>39548</v>
      </c>
      <c r="B286" s="169" t="s">
        <v>23649</v>
      </c>
      <c r="C286" s="169" t="s">
        <v>10225</v>
      </c>
      <c r="D286" s="169" t="s">
        <v>1289</v>
      </c>
      <c r="E286" s="103" t="s">
        <v>29639</v>
      </c>
      <c r="F286" s="104"/>
      <c r="G286" s="105">
        <f t="shared" si="16"/>
        <v>3813.28</v>
      </c>
      <c r="H286" s="101" t="str">
        <f t="shared" si="17"/>
        <v>Sinapi 39548</v>
      </c>
      <c r="I286" s="101" t="str">
        <f t="shared" si="18"/>
        <v>UN</v>
      </c>
      <c r="J286" s="140" t="str">
        <f t="shared" si="19"/>
        <v>AR CONDICIONADO SPLIT ON/OFF, HI-WALL (PAREDE), 18000 BTUS/H, CICLO QUENTE/FRIO, 60 HZ, CLASSIFICACAO ENERGETICA A - SELO PROCEL, GAS HFC, CONTROLE S/ FIO</v>
      </c>
    </row>
    <row r="287" spans="1:10" x14ac:dyDescent="0.25">
      <c r="A287" s="169">
        <v>43192</v>
      </c>
      <c r="B287" s="169" t="s">
        <v>23650</v>
      </c>
      <c r="C287" s="169" t="s">
        <v>10225</v>
      </c>
      <c r="D287" s="169" t="s">
        <v>1289</v>
      </c>
      <c r="E287" s="103" t="s">
        <v>29640</v>
      </c>
      <c r="F287" s="104"/>
      <c r="G287" s="105">
        <f t="shared" si="16"/>
        <v>4479.25</v>
      </c>
      <c r="H287" s="101" t="str">
        <f t="shared" si="17"/>
        <v>Sinapi 43192</v>
      </c>
      <c r="I287" s="101" t="str">
        <f t="shared" si="18"/>
        <v>UN</v>
      </c>
      <c r="J287" s="140" t="str">
        <f t="shared" si="19"/>
        <v>AR CONDICIONADO SPLIT ON/OFF, HI-WALL (PAREDE), 24000 BTUS/H, CICLO FRIO, 60 HZ, CLASSIFICACAO ENERGETICA A - SELO PROCEL, GAS HFC, CONTROLE S/ FIO</v>
      </c>
    </row>
    <row r="288" spans="1:10" x14ac:dyDescent="0.25">
      <c r="A288" s="169">
        <v>39554</v>
      </c>
      <c r="B288" s="169" t="s">
        <v>23651</v>
      </c>
      <c r="C288" s="169" t="s">
        <v>10225</v>
      </c>
      <c r="D288" s="169" t="s">
        <v>1289</v>
      </c>
      <c r="E288" s="103" t="s">
        <v>29641</v>
      </c>
      <c r="F288" s="104"/>
      <c r="G288" s="105">
        <f t="shared" si="16"/>
        <v>5042.49</v>
      </c>
      <c r="H288" s="101" t="str">
        <f t="shared" si="17"/>
        <v>Sinapi 39554</v>
      </c>
      <c r="I288" s="101" t="str">
        <f t="shared" si="18"/>
        <v>UN</v>
      </c>
      <c r="J288" s="140" t="str">
        <f t="shared" si="19"/>
        <v>AR CONDICIONADO SPLIT ON/OFF, HI-WALL (PAREDE), 24000 BTUS/H, CICLO QUENTE/FRIO, 60 HZ, CLASSIFICACAO ENERGETICA A - SELO PROCEL, GAS HFC, CONTROLE S/ FIO</v>
      </c>
    </row>
    <row r="289" spans="1:10" x14ac:dyDescent="0.25">
      <c r="A289" s="169">
        <v>43194</v>
      </c>
      <c r="B289" s="169" t="s">
        <v>23652</v>
      </c>
      <c r="C289" s="169" t="s">
        <v>10225</v>
      </c>
      <c r="D289" s="169" t="s">
        <v>1289</v>
      </c>
      <c r="E289" s="103" t="s">
        <v>29642</v>
      </c>
      <c r="F289" s="104"/>
      <c r="G289" s="105">
        <f t="shared" si="16"/>
        <v>2035.9</v>
      </c>
      <c r="H289" s="101" t="str">
        <f t="shared" si="17"/>
        <v>Sinapi 43194</v>
      </c>
      <c r="I289" s="101" t="str">
        <f t="shared" si="18"/>
        <v>UN</v>
      </c>
      <c r="J289" s="140" t="str">
        <f t="shared" si="19"/>
        <v>AR CONDICIONADO SPLIT ON/OFF, HI-WALL (PAREDE), 9000 BTUS/H, CICLO FRIO, 60 HZ, CLASSIFICACAO ENERGETICA A - SELO PROCEL, GAS HFC, CONTROLE S/ FIO</v>
      </c>
    </row>
    <row r="290" spans="1:10" x14ac:dyDescent="0.25">
      <c r="A290" s="169">
        <v>39551</v>
      </c>
      <c r="B290" s="169" t="s">
        <v>23653</v>
      </c>
      <c r="C290" s="169" t="s">
        <v>10225</v>
      </c>
      <c r="D290" s="169" t="s">
        <v>1289</v>
      </c>
      <c r="E290" s="103" t="s">
        <v>29643</v>
      </c>
      <c r="F290" s="104"/>
      <c r="G290" s="105">
        <f t="shared" si="16"/>
        <v>2241.75</v>
      </c>
      <c r="H290" s="101" t="str">
        <f t="shared" si="17"/>
        <v>Sinapi 39551</v>
      </c>
      <c r="I290" s="101" t="str">
        <f t="shared" si="18"/>
        <v>UN</v>
      </c>
      <c r="J290" s="140" t="str">
        <f t="shared" si="19"/>
        <v>AR CONDICIONADO SPLIT ON/OFF, HI-WALL (PAREDE), 9000 BTUS/H, CICLO QUENTE/FRIO, 60 HZ, CLASSIFICACAO ENERGETICA A - SELO PROCEL, GAS HFC, CONTROLE S/ FIO</v>
      </c>
    </row>
    <row r="291" spans="1:10" x14ac:dyDescent="0.25">
      <c r="A291" s="169">
        <v>43185</v>
      </c>
      <c r="B291" s="169" t="s">
        <v>23654</v>
      </c>
      <c r="C291" s="169" t="s">
        <v>10225</v>
      </c>
      <c r="D291" s="169" t="s">
        <v>1289</v>
      </c>
      <c r="E291" s="103" t="s">
        <v>29644</v>
      </c>
      <c r="F291" s="104"/>
      <c r="G291" s="105">
        <f t="shared" si="16"/>
        <v>6370.64</v>
      </c>
      <c r="H291" s="101" t="str">
        <f t="shared" si="17"/>
        <v>Sinapi 43185</v>
      </c>
      <c r="I291" s="101" t="str">
        <f t="shared" si="18"/>
        <v>UN</v>
      </c>
      <c r="J291" s="140" t="str">
        <f t="shared" si="19"/>
        <v>AR CONDICIONADO SPLIT ON/OFF, PISO TETO, 18.000 BTU/H, CICLO FRIO, 60HZ, CLASSIFICACAO ENERGETICA C - SELO PROCEL, GAS HFC, CONTROLE S/FIO</v>
      </c>
    </row>
    <row r="292" spans="1:10" x14ac:dyDescent="0.25">
      <c r="A292" s="169">
        <v>43186</v>
      </c>
      <c r="B292" s="169" t="s">
        <v>23655</v>
      </c>
      <c r="C292" s="169" t="s">
        <v>10225</v>
      </c>
      <c r="D292" s="169" t="s">
        <v>1289</v>
      </c>
      <c r="E292" s="103" t="s">
        <v>29645</v>
      </c>
      <c r="F292" s="104"/>
      <c r="G292" s="105">
        <f t="shared" si="16"/>
        <v>6719.74</v>
      </c>
      <c r="H292" s="101" t="str">
        <f t="shared" si="17"/>
        <v>Sinapi 43186</v>
      </c>
      <c r="I292" s="101" t="str">
        <f t="shared" si="18"/>
        <v>UN</v>
      </c>
      <c r="J292" s="140" t="str">
        <f t="shared" si="19"/>
        <v>AR CONDICIONADO SPLIT ON/OFF, PISO TETO, 24.000 BTU/H, CICLO FRIO, 60HZ, CLASSIFICACAO ENERGETICA C - SELO PROCEL, GAS HFC, CONTROLE S/FIO</v>
      </c>
    </row>
    <row r="293" spans="1:10" x14ac:dyDescent="0.25">
      <c r="A293" s="169">
        <v>43187</v>
      </c>
      <c r="B293" s="169" t="s">
        <v>23656</v>
      </c>
      <c r="C293" s="169" t="s">
        <v>10225</v>
      </c>
      <c r="D293" s="169" t="s">
        <v>1289</v>
      </c>
      <c r="E293" s="103" t="s">
        <v>29646</v>
      </c>
      <c r="F293" s="104"/>
      <c r="G293" s="105">
        <f t="shared" si="16"/>
        <v>8917.16</v>
      </c>
      <c r="H293" s="101" t="str">
        <f t="shared" si="17"/>
        <v>Sinapi 43187</v>
      </c>
      <c r="I293" s="101" t="str">
        <f t="shared" si="18"/>
        <v>UN</v>
      </c>
      <c r="J293" s="140" t="str">
        <f t="shared" si="19"/>
        <v>AR CONDICIONADO SPLIT ON/OFF, PISO TETO, 36.000 BTU/H, CICLO FRIO, 60HZ, CLASSIFICACAO ENERGETICA C - SELO PROCEL, GAS HFC, CONTROLE S/FIO</v>
      </c>
    </row>
    <row r="294" spans="1:10" x14ac:dyDescent="0.25">
      <c r="A294" s="169">
        <v>43188</v>
      </c>
      <c r="B294" s="169" t="s">
        <v>23657</v>
      </c>
      <c r="C294" s="169" t="s">
        <v>10225</v>
      </c>
      <c r="D294" s="169" t="s">
        <v>1289</v>
      </c>
      <c r="E294" s="103" t="s">
        <v>29647</v>
      </c>
      <c r="F294" s="104"/>
      <c r="G294" s="105">
        <f t="shared" si="16"/>
        <v>10804.33</v>
      </c>
      <c r="H294" s="101" t="str">
        <f t="shared" si="17"/>
        <v>Sinapi 43188</v>
      </c>
      <c r="I294" s="101" t="str">
        <f t="shared" si="18"/>
        <v>UN</v>
      </c>
      <c r="J294" s="140" t="str">
        <f t="shared" si="19"/>
        <v>AR CONDICIONADO SPLIT ON/OFF, PISO TETO, 48.000 BTU/H, CICLO FRIO, 60HZ, CLASSIFICACAO ENERGETICA C - SELO PROCEL, GAS HFC, CONTROLE S/FIO</v>
      </c>
    </row>
    <row r="295" spans="1:10" x14ac:dyDescent="0.25">
      <c r="A295" s="169">
        <v>43189</v>
      </c>
      <c r="B295" s="169" t="s">
        <v>23658</v>
      </c>
      <c r="C295" s="169" t="s">
        <v>10225</v>
      </c>
      <c r="D295" s="169" t="s">
        <v>1289</v>
      </c>
      <c r="E295" s="103" t="s">
        <v>29648</v>
      </c>
      <c r="F295" s="104"/>
      <c r="G295" s="105">
        <f t="shared" si="16"/>
        <v>12153.07</v>
      </c>
      <c r="H295" s="101" t="str">
        <f t="shared" si="17"/>
        <v>Sinapi 43189</v>
      </c>
      <c r="I295" s="101" t="str">
        <f t="shared" si="18"/>
        <v>UN</v>
      </c>
      <c r="J295" s="140" t="str">
        <f t="shared" si="19"/>
        <v>AR CONDICIONADO SPLIT ON/OFF, PISO TETO, 60.000 BTU/H, CICLO FRIO, 60HZ, CLASSIFICACAO ENERGETICA C - SELO PROCEL, GAS HFC, CONTROLE S/FIO</v>
      </c>
    </row>
    <row r="296" spans="1:10" x14ac:dyDescent="0.25">
      <c r="A296" s="169">
        <v>39580</v>
      </c>
      <c r="B296" s="169" t="s">
        <v>23659</v>
      </c>
      <c r="C296" s="169" t="s">
        <v>10225</v>
      </c>
      <c r="D296" s="169" t="s">
        <v>1289</v>
      </c>
      <c r="E296" s="103" t="s">
        <v>29649</v>
      </c>
      <c r="F296" s="104"/>
      <c r="G296" s="105">
        <f t="shared" si="16"/>
        <v>95771.13</v>
      </c>
      <c r="H296" s="101" t="str">
        <f t="shared" si="17"/>
        <v>Sinapi 39580</v>
      </c>
      <c r="I296" s="101" t="str">
        <f t="shared" si="18"/>
        <v>UN</v>
      </c>
      <c r="J296" s="140" t="str">
        <f t="shared" si="19"/>
        <v>AR-CONDICIONADO FRIO SPLITAO INVERTER 30 TR</v>
      </c>
    </row>
    <row r="297" spans="1:10" x14ac:dyDescent="0.25">
      <c r="A297" s="169">
        <v>39577</v>
      </c>
      <c r="B297" s="169" t="s">
        <v>23660</v>
      </c>
      <c r="C297" s="169" t="s">
        <v>10225</v>
      </c>
      <c r="D297" s="169" t="s">
        <v>1289</v>
      </c>
      <c r="E297" s="103" t="s">
        <v>29650</v>
      </c>
      <c r="F297" s="104"/>
      <c r="G297" s="105">
        <f t="shared" si="16"/>
        <v>29976.16</v>
      </c>
      <c r="H297" s="101" t="str">
        <f t="shared" si="17"/>
        <v>Sinapi 39577</v>
      </c>
      <c r="I297" s="101" t="str">
        <f t="shared" si="18"/>
        <v>UN</v>
      </c>
      <c r="J297" s="140" t="str">
        <f t="shared" si="19"/>
        <v>AR-CONDICIONADO FRIO SPLITAO MODULAR 10 TR</v>
      </c>
    </row>
    <row r="298" spans="1:10" x14ac:dyDescent="0.25">
      <c r="A298" s="169">
        <v>39578</v>
      </c>
      <c r="B298" s="169" t="s">
        <v>23661</v>
      </c>
      <c r="C298" s="169" t="s">
        <v>10225</v>
      </c>
      <c r="D298" s="169" t="s">
        <v>1289</v>
      </c>
      <c r="E298" s="103" t="s">
        <v>29651</v>
      </c>
      <c r="F298" s="104"/>
      <c r="G298" s="105">
        <f t="shared" si="16"/>
        <v>38684.83</v>
      </c>
      <c r="H298" s="101" t="str">
        <f t="shared" si="17"/>
        <v>Sinapi 39578</v>
      </c>
      <c r="I298" s="101" t="str">
        <f t="shared" si="18"/>
        <v>UN</v>
      </c>
      <c r="J298" s="140" t="str">
        <f t="shared" si="19"/>
        <v>AR-CONDICIONADO FRIO SPLITAO MODULAR 15 TR</v>
      </c>
    </row>
    <row r="299" spans="1:10" x14ac:dyDescent="0.25">
      <c r="A299" s="169">
        <v>39579</v>
      </c>
      <c r="B299" s="169" t="s">
        <v>23662</v>
      </c>
      <c r="C299" s="169" t="s">
        <v>10225</v>
      </c>
      <c r="D299" s="169" t="s">
        <v>1289</v>
      </c>
      <c r="E299" s="103" t="s">
        <v>29652</v>
      </c>
      <c r="F299" s="104"/>
      <c r="G299" s="105">
        <f t="shared" si="16"/>
        <v>56283.39</v>
      </c>
      <c r="H299" s="101" t="str">
        <f t="shared" si="17"/>
        <v>Sinapi 39579</v>
      </c>
      <c r="I299" s="101" t="str">
        <f t="shared" si="18"/>
        <v>UN</v>
      </c>
      <c r="J299" s="140" t="str">
        <f t="shared" si="19"/>
        <v>AR-CONDICIONADO FRIO SPLITAO MODULAR 20 TR</v>
      </c>
    </row>
    <row r="300" spans="1:10" x14ac:dyDescent="0.25">
      <c r="A300" s="169">
        <v>39826</v>
      </c>
      <c r="B300" s="169" t="s">
        <v>23663</v>
      </c>
      <c r="C300" s="169" t="s">
        <v>10225</v>
      </c>
      <c r="D300" s="169" t="s">
        <v>1289</v>
      </c>
      <c r="E300" s="103" t="s">
        <v>29653</v>
      </c>
      <c r="F300" s="104"/>
      <c r="G300" s="105">
        <f t="shared" si="16"/>
        <v>6912.62</v>
      </c>
      <c r="H300" s="101" t="str">
        <f t="shared" si="17"/>
        <v>Sinapi 39826</v>
      </c>
      <c r="I300" s="101" t="str">
        <f t="shared" si="18"/>
        <v>UN</v>
      </c>
      <c r="J300" s="140" t="str">
        <f t="shared" si="19"/>
        <v>AR-CONDICIONADO SPLIT INVERTER, PISO TETO, 24000 BTU/H, QUENTE/FRIO, 60HZ, CLASSIFICACAO ENERGETICA A - SELO PROCEL, GAS HFC, CONTROLE S/FIO</v>
      </c>
    </row>
    <row r="301" spans="1:10" x14ac:dyDescent="0.25">
      <c r="A301" s="169">
        <v>10700</v>
      </c>
      <c r="B301" s="169" t="s">
        <v>23664</v>
      </c>
      <c r="C301" s="169" t="s">
        <v>10225</v>
      </c>
      <c r="D301" s="169" t="s">
        <v>1290</v>
      </c>
      <c r="E301" s="103" t="s">
        <v>23665</v>
      </c>
      <c r="F301" s="104"/>
      <c r="G301" s="105">
        <f t="shared" si="16"/>
        <v>25092.38</v>
      </c>
      <c r="H301" s="101" t="str">
        <f t="shared" si="17"/>
        <v>Sinapi 10700</v>
      </c>
      <c r="I301" s="101" t="str">
        <f t="shared" si="18"/>
        <v>UN</v>
      </c>
      <c r="J301" s="140" t="str">
        <f t="shared" si="19"/>
        <v>ARADO REVERSIVEL COM 3 DISCOS DE 26" X 6MM REBOCAVEL</v>
      </c>
    </row>
    <row r="302" spans="1:10" x14ac:dyDescent="0.25">
      <c r="A302" s="169">
        <v>346</v>
      </c>
      <c r="B302" s="169" t="s">
        <v>23666</v>
      </c>
      <c r="C302" s="169" t="s">
        <v>10231</v>
      </c>
      <c r="D302" s="169" t="s">
        <v>1289</v>
      </c>
      <c r="E302" s="103" t="s">
        <v>21859</v>
      </c>
      <c r="F302" s="104"/>
      <c r="G302" s="105">
        <f t="shared" si="16"/>
        <v>32.93</v>
      </c>
      <c r="H302" s="101" t="str">
        <f t="shared" si="17"/>
        <v>Sinapi 346</v>
      </c>
      <c r="I302" s="101" t="str">
        <f t="shared" si="18"/>
        <v>KG</v>
      </c>
      <c r="J302" s="140" t="str">
        <f t="shared" si="19"/>
        <v>ARAME DE ACO OVALADO 15 X 17 ( 45,7 KG, 700 KGF), ROLO 1000 M</v>
      </c>
    </row>
    <row r="303" spans="1:10" x14ac:dyDescent="0.25">
      <c r="A303" s="169">
        <v>3312</v>
      </c>
      <c r="B303" s="169" t="s">
        <v>23667</v>
      </c>
      <c r="C303" s="169" t="s">
        <v>10231</v>
      </c>
      <c r="D303" s="169" t="s">
        <v>1289</v>
      </c>
      <c r="E303" s="103" t="s">
        <v>19313</v>
      </c>
      <c r="F303" s="104"/>
      <c r="G303" s="105">
        <f t="shared" si="16"/>
        <v>29.16</v>
      </c>
      <c r="H303" s="101" t="str">
        <f t="shared" si="17"/>
        <v>Sinapi 3312</v>
      </c>
      <c r="I303" s="101" t="str">
        <f t="shared" si="18"/>
        <v>KG</v>
      </c>
      <c r="J303" s="140" t="str">
        <f t="shared" si="19"/>
        <v>ARAME DE AMARRACAO PARA GABIAO GALVANIZADO, DIAMETRO 2,2 MM</v>
      </c>
    </row>
    <row r="304" spans="1:10" x14ac:dyDescent="0.25">
      <c r="A304" s="169">
        <v>339</v>
      </c>
      <c r="B304" s="169" t="s">
        <v>23669</v>
      </c>
      <c r="C304" s="169" t="s">
        <v>10229</v>
      </c>
      <c r="D304" s="169" t="s">
        <v>1289</v>
      </c>
      <c r="E304" s="103" t="s">
        <v>29654</v>
      </c>
      <c r="F304" s="104"/>
      <c r="G304" s="105">
        <f t="shared" si="16"/>
        <v>1.7</v>
      </c>
      <c r="H304" s="101" t="str">
        <f t="shared" si="17"/>
        <v>Sinapi 339</v>
      </c>
      <c r="I304" s="101" t="str">
        <f t="shared" si="18"/>
        <v>M</v>
      </c>
      <c r="J304" s="140" t="str">
        <f t="shared" si="19"/>
        <v>ARAME FARPADO GALVANIZADO, 14 BWG (2,11 MM), CLASSE 250</v>
      </c>
    </row>
    <row r="305" spans="1:10" x14ac:dyDescent="0.25">
      <c r="A305" s="169">
        <v>340</v>
      </c>
      <c r="B305" s="169" t="s">
        <v>23670</v>
      </c>
      <c r="C305" s="169" t="s">
        <v>10229</v>
      </c>
      <c r="D305" s="169" t="s">
        <v>1289</v>
      </c>
      <c r="E305" s="103" t="s">
        <v>9316</v>
      </c>
      <c r="F305" s="104"/>
      <c r="G305" s="105">
        <f t="shared" si="16"/>
        <v>1.53</v>
      </c>
      <c r="H305" s="101" t="str">
        <f t="shared" si="17"/>
        <v>Sinapi 340</v>
      </c>
      <c r="I305" s="101" t="str">
        <f t="shared" si="18"/>
        <v>M</v>
      </c>
      <c r="J305" s="140" t="str">
        <f t="shared" si="19"/>
        <v>ARAME FARPADO GALVANIZADO, 16 BWG (1,65 MM), CLASSE 250</v>
      </c>
    </row>
    <row r="306" spans="1:10" x14ac:dyDescent="0.25">
      <c r="A306" s="169">
        <v>43130</v>
      </c>
      <c r="B306" s="169" t="s">
        <v>23671</v>
      </c>
      <c r="C306" s="169" t="s">
        <v>10231</v>
      </c>
      <c r="D306" s="169" t="s">
        <v>1288</v>
      </c>
      <c r="E306" s="103" t="s">
        <v>27671</v>
      </c>
      <c r="F306" s="104"/>
      <c r="G306" s="105">
        <f t="shared" si="16"/>
        <v>27.8</v>
      </c>
      <c r="H306" s="101" t="str">
        <f t="shared" si="17"/>
        <v>Sinapi 43130</v>
      </c>
      <c r="I306" s="101" t="str">
        <f t="shared" si="18"/>
        <v>KG</v>
      </c>
      <c r="J306" s="140" t="str">
        <f t="shared" si="19"/>
        <v>ARAME GALVANIZADO 12 BWG, D = 2,76 MM (0,048 KG/M) OU 14 BWG, D = 2,11 MM (0,026 KG/M)</v>
      </c>
    </row>
    <row r="307" spans="1:10" x14ac:dyDescent="0.25">
      <c r="A307" s="169">
        <v>344</v>
      </c>
      <c r="B307" s="169" t="s">
        <v>10236</v>
      </c>
      <c r="C307" s="169" t="s">
        <v>10231</v>
      </c>
      <c r="D307" s="169" t="s">
        <v>1289</v>
      </c>
      <c r="E307" s="103" t="s">
        <v>21522</v>
      </c>
      <c r="F307" s="104"/>
      <c r="G307" s="105">
        <f t="shared" si="16"/>
        <v>36.54</v>
      </c>
      <c r="H307" s="101" t="str">
        <f t="shared" si="17"/>
        <v>Sinapi 344</v>
      </c>
      <c r="I307" s="101" t="str">
        <f t="shared" si="18"/>
        <v>KG</v>
      </c>
      <c r="J307" s="140" t="str">
        <f t="shared" si="19"/>
        <v>ARAME GALVANIZADO 16 BWG, D = 1,65MM (0,0166 KG/M)</v>
      </c>
    </row>
    <row r="308" spans="1:10" x14ac:dyDescent="0.25">
      <c r="A308" s="169">
        <v>345</v>
      </c>
      <c r="B308" s="169" t="s">
        <v>1112</v>
      </c>
      <c r="C308" s="169" t="s">
        <v>10231</v>
      </c>
      <c r="D308" s="169" t="s">
        <v>1289</v>
      </c>
      <c r="E308" s="103" t="s">
        <v>29655</v>
      </c>
      <c r="F308" s="104"/>
      <c r="G308" s="105">
        <f t="shared" si="16"/>
        <v>39.65</v>
      </c>
      <c r="H308" s="101" t="str">
        <f t="shared" si="17"/>
        <v>Sinapi 345</v>
      </c>
      <c r="I308" s="101" t="str">
        <f t="shared" si="18"/>
        <v>KG</v>
      </c>
      <c r="J308" s="140" t="str">
        <f t="shared" si="19"/>
        <v>ARAME GALVANIZADO 18 BWG, D = 1,24MM (0,009 KG/M)</v>
      </c>
    </row>
    <row r="309" spans="1:10" x14ac:dyDescent="0.25">
      <c r="A309" s="169">
        <v>43131</v>
      </c>
      <c r="B309" s="169" t="s">
        <v>192</v>
      </c>
      <c r="C309" s="169" t="s">
        <v>10231</v>
      </c>
      <c r="D309" s="169" t="s">
        <v>1289</v>
      </c>
      <c r="E309" s="103" t="s">
        <v>29656</v>
      </c>
      <c r="F309" s="104"/>
      <c r="G309" s="105">
        <f t="shared" si="16"/>
        <v>32.29</v>
      </c>
      <c r="H309" s="101" t="str">
        <f t="shared" si="17"/>
        <v>Sinapi 43131</v>
      </c>
      <c r="I309" s="101" t="str">
        <f t="shared" si="18"/>
        <v>KG</v>
      </c>
      <c r="J309" s="140" t="str">
        <f t="shared" si="19"/>
        <v>ARAME GALVANIZADO 6 BWG, D = 5,16 MM (0,157 KG/M), OU 8 BWG, D = 4,19 MM (0,101 KG/M), OU 10 BWG, D = 3,40 MM (0,0713 KG/M)</v>
      </c>
    </row>
    <row r="310" spans="1:10" x14ac:dyDescent="0.25">
      <c r="A310" s="169">
        <v>3313</v>
      </c>
      <c r="B310" s="169" t="s">
        <v>23672</v>
      </c>
      <c r="C310" s="169" t="s">
        <v>10231</v>
      </c>
      <c r="D310" s="169" t="s">
        <v>1289</v>
      </c>
      <c r="E310" s="103" t="s">
        <v>15632</v>
      </c>
      <c r="F310" s="104"/>
      <c r="G310" s="105">
        <f t="shared" si="16"/>
        <v>37.53</v>
      </c>
      <c r="H310" s="101" t="str">
        <f t="shared" si="17"/>
        <v>Sinapi 3313</v>
      </c>
      <c r="I310" s="101" t="str">
        <f t="shared" si="18"/>
        <v>KG</v>
      </c>
      <c r="J310" s="140" t="str">
        <f t="shared" si="19"/>
        <v>ARAME PROTEGIDO COM POLIMERO PARA GABIAO, DIAMETRO 2,2 MM</v>
      </c>
    </row>
    <row r="311" spans="1:10" x14ac:dyDescent="0.25">
      <c r="A311" s="169">
        <v>43132</v>
      </c>
      <c r="B311" s="169" t="s">
        <v>10385</v>
      </c>
      <c r="C311" s="169" t="s">
        <v>10231</v>
      </c>
      <c r="D311" s="169" t="s">
        <v>1289</v>
      </c>
      <c r="E311" s="103" t="s">
        <v>27671</v>
      </c>
      <c r="F311" s="104"/>
      <c r="G311" s="105">
        <f t="shared" si="16"/>
        <v>27.8</v>
      </c>
      <c r="H311" s="101" t="str">
        <f t="shared" si="17"/>
        <v>Sinapi 43132</v>
      </c>
      <c r="I311" s="101" t="str">
        <f t="shared" si="18"/>
        <v>KG</v>
      </c>
      <c r="J311" s="140" t="str">
        <f t="shared" si="19"/>
        <v>ARAME RECOZIDO 16 BWG, D = 1,65 MM (0,016 KG/M) OU 18 BWG, D = 1,25 MM (0,01 KG/M)</v>
      </c>
    </row>
    <row r="312" spans="1:10" x14ac:dyDescent="0.25">
      <c r="A312" s="169">
        <v>366</v>
      </c>
      <c r="B312" s="169" t="s">
        <v>23673</v>
      </c>
      <c r="C312" s="169" t="s">
        <v>10234</v>
      </c>
      <c r="D312" s="169" t="s">
        <v>1288</v>
      </c>
      <c r="E312" s="103" t="s">
        <v>29657</v>
      </c>
      <c r="F312" s="104"/>
      <c r="G312" s="105">
        <f t="shared" si="16"/>
        <v>70</v>
      </c>
      <c r="H312" s="101" t="str">
        <f t="shared" si="17"/>
        <v>Sinapi 366</v>
      </c>
      <c r="I312" s="101" t="str">
        <f t="shared" si="18"/>
        <v>M3</v>
      </c>
      <c r="J312" s="140" t="str">
        <f t="shared" si="19"/>
        <v>AREIA FINA - POSTO JAZIDA/FORNECEDOR (RETIRADO NA JAZIDA, SEM TRANSPORTE)</v>
      </c>
    </row>
    <row r="313" spans="1:10" x14ac:dyDescent="0.25">
      <c r="A313" s="169">
        <v>367</v>
      </c>
      <c r="B313" s="169" t="s">
        <v>1154</v>
      </c>
      <c r="C313" s="169" t="s">
        <v>10234</v>
      </c>
      <c r="D313" s="169" t="s">
        <v>1289</v>
      </c>
      <c r="E313" s="103" t="s">
        <v>29658</v>
      </c>
      <c r="F313" s="104"/>
      <c r="G313" s="105">
        <f t="shared" si="16"/>
        <v>70.91</v>
      </c>
      <c r="H313" s="101" t="str">
        <f t="shared" si="17"/>
        <v>Sinapi 367</v>
      </c>
      <c r="I313" s="101" t="str">
        <f t="shared" si="18"/>
        <v>M3</v>
      </c>
      <c r="J313" s="140" t="str">
        <f t="shared" si="19"/>
        <v>AREIA GROSSA - POSTO JAZIDA/FORNECEDOR (RETIRADO NA JAZIDA, SEM TRANSPORTE)</v>
      </c>
    </row>
    <row r="314" spans="1:10" x14ac:dyDescent="0.25">
      <c r="A314" s="169">
        <v>370</v>
      </c>
      <c r="B314" s="169" t="s">
        <v>23674</v>
      </c>
      <c r="C314" s="169" t="s">
        <v>10234</v>
      </c>
      <c r="D314" s="169" t="s">
        <v>1289</v>
      </c>
      <c r="E314" s="103" t="s">
        <v>29657</v>
      </c>
      <c r="F314" s="104"/>
      <c r="G314" s="105">
        <f t="shared" si="16"/>
        <v>70</v>
      </c>
      <c r="H314" s="101" t="str">
        <f t="shared" si="17"/>
        <v>Sinapi 370</v>
      </c>
      <c r="I314" s="101" t="str">
        <f t="shared" si="18"/>
        <v>M3</v>
      </c>
      <c r="J314" s="140" t="str">
        <f t="shared" si="19"/>
        <v>AREIA MEDIA - POSTO JAZIDA/FORNECEDOR (RETIRADO NA JAZIDA, SEM TRANSPORTE)</v>
      </c>
    </row>
    <row r="315" spans="1:10" x14ac:dyDescent="0.25">
      <c r="A315" s="169">
        <v>368</v>
      </c>
      <c r="B315" s="169" t="s">
        <v>1041</v>
      </c>
      <c r="C315" s="169" t="s">
        <v>10234</v>
      </c>
      <c r="D315" s="169" t="s">
        <v>1289</v>
      </c>
      <c r="E315" s="103" t="s">
        <v>3036</v>
      </c>
      <c r="F315" s="104"/>
      <c r="G315" s="105">
        <f t="shared" si="16"/>
        <v>35</v>
      </c>
      <c r="H315" s="101" t="str">
        <f t="shared" si="17"/>
        <v>Sinapi 368</v>
      </c>
      <c r="I315" s="101" t="str">
        <f t="shared" si="18"/>
        <v>M3</v>
      </c>
      <c r="J315" s="140" t="str">
        <f t="shared" si="19"/>
        <v>AREIA PARA ATERRO - POSTO JAZIDA/FORNECEDOR (RETIRADO NA JAZIDA, SEM TRANSPORTE)</v>
      </c>
    </row>
    <row r="316" spans="1:10" x14ac:dyDescent="0.25">
      <c r="A316" s="169">
        <v>11075</v>
      </c>
      <c r="B316" s="169" t="s">
        <v>23675</v>
      </c>
      <c r="C316" s="169" t="s">
        <v>10234</v>
      </c>
      <c r="D316" s="169" t="s">
        <v>1289</v>
      </c>
      <c r="E316" s="103" t="s">
        <v>29659</v>
      </c>
      <c r="F316" s="104"/>
      <c r="G316" s="105">
        <f t="shared" si="16"/>
        <v>803.38</v>
      </c>
      <c r="H316" s="101" t="str">
        <f t="shared" si="17"/>
        <v>Sinapi 11075</v>
      </c>
      <c r="I316" s="101" t="str">
        <f t="shared" si="18"/>
        <v>M3</v>
      </c>
      <c r="J316" s="140" t="str">
        <f t="shared" si="19"/>
        <v>AREIA PARA LEITO FILTRANTE (0,42 A 1,68 MM) - POSTO JAZIDA/FORNECEDOR (RETIRADO NA JAZIDA, SEM TRANSPORTE)</v>
      </c>
    </row>
    <row r="317" spans="1:10" x14ac:dyDescent="0.25">
      <c r="A317" s="169">
        <v>1381</v>
      </c>
      <c r="B317" s="169" t="s">
        <v>23676</v>
      </c>
      <c r="C317" s="169" t="s">
        <v>10231</v>
      </c>
      <c r="D317" s="169" t="s">
        <v>1288</v>
      </c>
      <c r="E317" s="103" t="s">
        <v>29660</v>
      </c>
      <c r="F317" s="104"/>
      <c r="G317" s="105">
        <f t="shared" si="16"/>
        <v>1.18</v>
      </c>
      <c r="H317" s="101" t="str">
        <f t="shared" si="17"/>
        <v>Sinapi 1381</v>
      </c>
      <c r="I317" s="101" t="str">
        <f t="shared" si="18"/>
        <v>KG</v>
      </c>
      <c r="J317" s="140" t="str">
        <f t="shared" si="19"/>
        <v>ARGAMASSA COLANTE AC I PARA CERAMICAS</v>
      </c>
    </row>
    <row r="318" spans="1:10" x14ac:dyDescent="0.25">
      <c r="A318" s="169">
        <v>34353</v>
      </c>
      <c r="B318" s="169" t="s">
        <v>23677</v>
      </c>
      <c r="C318" s="169" t="s">
        <v>10231</v>
      </c>
      <c r="D318" s="169" t="s">
        <v>1289</v>
      </c>
      <c r="E318" s="103" t="s">
        <v>21001</v>
      </c>
      <c r="F318" s="104"/>
      <c r="G318" s="105">
        <f t="shared" si="16"/>
        <v>2.19</v>
      </c>
      <c r="H318" s="101" t="str">
        <f t="shared" si="17"/>
        <v>Sinapi 34353</v>
      </c>
      <c r="I318" s="101" t="str">
        <f t="shared" si="18"/>
        <v>KG</v>
      </c>
      <c r="J318" s="140" t="str">
        <f t="shared" si="19"/>
        <v>ARGAMASSA COLANTE AC II</v>
      </c>
    </row>
    <row r="319" spans="1:10" x14ac:dyDescent="0.25">
      <c r="A319" s="169">
        <v>37595</v>
      </c>
      <c r="B319" s="169" t="s">
        <v>23678</v>
      </c>
      <c r="C319" s="169" t="s">
        <v>10231</v>
      </c>
      <c r="D319" s="169" t="s">
        <v>1289</v>
      </c>
      <c r="E319" s="103" t="s">
        <v>23563</v>
      </c>
      <c r="F319" s="104"/>
      <c r="G319" s="105">
        <f t="shared" si="16"/>
        <v>3.62</v>
      </c>
      <c r="H319" s="101" t="str">
        <f t="shared" si="17"/>
        <v>Sinapi 37595</v>
      </c>
      <c r="I319" s="101" t="str">
        <f t="shared" si="18"/>
        <v>KG</v>
      </c>
      <c r="J319" s="140" t="str">
        <f t="shared" si="19"/>
        <v>ARGAMASSA COLANTE TIPO AC III</v>
      </c>
    </row>
    <row r="320" spans="1:10" x14ac:dyDescent="0.25">
      <c r="A320" s="169">
        <v>37596</v>
      </c>
      <c r="B320" s="169" t="s">
        <v>23679</v>
      </c>
      <c r="C320" s="169" t="s">
        <v>10231</v>
      </c>
      <c r="D320" s="169" t="s">
        <v>1289</v>
      </c>
      <c r="E320" s="103" t="s">
        <v>29661</v>
      </c>
      <c r="F320" s="104"/>
      <c r="G320" s="105">
        <f t="shared" si="16"/>
        <v>4.16</v>
      </c>
      <c r="H320" s="101" t="str">
        <f t="shared" si="17"/>
        <v>Sinapi 37596</v>
      </c>
      <c r="I320" s="101" t="str">
        <f t="shared" si="18"/>
        <v>KG</v>
      </c>
      <c r="J320" s="140" t="str">
        <f t="shared" si="19"/>
        <v>ARGAMASSA COLANTE TIPO AC III E</v>
      </c>
    </row>
    <row r="321" spans="1:10" x14ac:dyDescent="0.25">
      <c r="A321" s="169">
        <v>371</v>
      </c>
      <c r="B321" s="169" t="s">
        <v>23680</v>
      </c>
      <c r="C321" s="169" t="s">
        <v>10231</v>
      </c>
      <c r="D321" s="169" t="s">
        <v>1289</v>
      </c>
      <c r="E321" s="103" t="s">
        <v>14120</v>
      </c>
      <c r="F321" s="104"/>
      <c r="G321" s="105">
        <f t="shared" si="16"/>
        <v>1.29</v>
      </c>
      <c r="H321" s="101" t="str">
        <f t="shared" si="17"/>
        <v>Sinapi 371</v>
      </c>
      <c r="I321" s="101" t="str">
        <f t="shared" si="18"/>
        <v>KG</v>
      </c>
      <c r="J321" s="140" t="str">
        <f t="shared" si="19"/>
        <v>ARGAMASSA INDUSTRIALIZADA MULTIUSO, PARA REVESTIMENTO INTERNO E EXTERNO E ASSENTAMENTO DE BLOCOS DIVERSOS</v>
      </c>
    </row>
    <row r="322" spans="1:10" x14ac:dyDescent="0.25">
      <c r="A322" s="169">
        <v>37553</v>
      </c>
      <c r="B322" s="169" t="s">
        <v>23681</v>
      </c>
      <c r="C322" s="169" t="s">
        <v>10231</v>
      </c>
      <c r="D322" s="169" t="s">
        <v>1289</v>
      </c>
      <c r="E322" s="103" t="s">
        <v>29662</v>
      </c>
      <c r="F322" s="104"/>
      <c r="G322" s="105">
        <f t="shared" si="16"/>
        <v>2.41</v>
      </c>
      <c r="H322" s="101" t="str">
        <f t="shared" si="17"/>
        <v>Sinapi 37553</v>
      </c>
      <c r="I322" s="101" t="str">
        <f t="shared" si="18"/>
        <v>KG</v>
      </c>
      <c r="J322" s="140" t="str">
        <f t="shared" si="19"/>
        <v>ARGAMASSA INDUSTRIALIZADA PARA CHAPISCO COLANTE</v>
      </c>
    </row>
    <row r="323" spans="1:10" x14ac:dyDescent="0.25">
      <c r="A323" s="169">
        <v>37552</v>
      </c>
      <c r="B323" s="169" t="s">
        <v>23682</v>
      </c>
      <c r="C323" s="169" t="s">
        <v>10231</v>
      </c>
      <c r="D323" s="169" t="s">
        <v>1289</v>
      </c>
      <c r="E323" s="103" t="s">
        <v>21576</v>
      </c>
      <c r="F323" s="104"/>
      <c r="G323" s="105">
        <f t="shared" si="16"/>
        <v>3.87</v>
      </c>
      <c r="H323" s="101" t="str">
        <f t="shared" si="17"/>
        <v>Sinapi 37552</v>
      </c>
      <c r="I323" s="101" t="str">
        <f t="shared" si="18"/>
        <v>KG</v>
      </c>
      <c r="J323" s="140" t="str">
        <f t="shared" si="19"/>
        <v>ARGAMASSA INDUSTRIALIZADA PARA CHAPISCO ROLADO</v>
      </c>
    </row>
    <row r="324" spans="1:10" x14ac:dyDescent="0.25">
      <c r="A324" s="169">
        <v>36880</v>
      </c>
      <c r="B324" s="169" t="s">
        <v>23683</v>
      </c>
      <c r="C324" s="169" t="s">
        <v>10231</v>
      </c>
      <c r="D324" s="169" t="s">
        <v>1289</v>
      </c>
      <c r="E324" s="103" t="s">
        <v>15723</v>
      </c>
      <c r="F324" s="104"/>
      <c r="G324" s="105">
        <f t="shared" si="16"/>
        <v>3.94</v>
      </c>
      <c r="H324" s="101" t="str">
        <f t="shared" si="17"/>
        <v>Sinapi 36880</v>
      </c>
      <c r="I324" s="101" t="str">
        <f t="shared" si="18"/>
        <v>KG</v>
      </c>
      <c r="J324" s="140" t="str">
        <f t="shared" si="19"/>
        <v>ARGAMASSA PARA REVESTIMENTO DECORATIVO MONOCAMADA</v>
      </c>
    </row>
    <row r="325" spans="1:10" x14ac:dyDescent="0.25">
      <c r="A325" s="169">
        <v>34355</v>
      </c>
      <c r="B325" s="169" t="s">
        <v>23684</v>
      </c>
      <c r="C325" s="169" t="s">
        <v>10231</v>
      </c>
      <c r="D325" s="169" t="s">
        <v>1289</v>
      </c>
      <c r="E325" s="103" t="s">
        <v>17938</v>
      </c>
      <c r="F325" s="104"/>
      <c r="G325" s="105">
        <f t="shared" si="16"/>
        <v>3.39</v>
      </c>
      <c r="H325" s="101" t="str">
        <f t="shared" si="17"/>
        <v>Sinapi 34355</v>
      </c>
      <c r="I325" s="101" t="str">
        <f t="shared" si="18"/>
        <v>KG</v>
      </c>
      <c r="J325" s="140" t="str">
        <f t="shared" si="19"/>
        <v>ARGAMASSA PISO SOBRE PISO</v>
      </c>
    </row>
    <row r="326" spans="1:10" x14ac:dyDescent="0.25">
      <c r="A326" s="169">
        <v>130</v>
      </c>
      <c r="B326" s="169" t="s">
        <v>23685</v>
      </c>
      <c r="C326" s="169" t="s">
        <v>10231</v>
      </c>
      <c r="D326" s="169" t="s">
        <v>1289</v>
      </c>
      <c r="E326" s="103" t="s">
        <v>21018</v>
      </c>
      <c r="F326" s="104"/>
      <c r="G326" s="105">
        <f t="shared" si="16"/>
        <v>4.91</v>
      </c>
      <c r="H326" s="101" t="str">
        <f t="shared" si="17"/>
        <v>Sinapi 130</v>
      </c>
      <c r="I326" s="101" t="str">
        <f t="shared" si="18"/>
        <v>KG</v>
      </c>
      <c r="J326" s="140" t="str">
        <f t="shared" si="19"/>
        <v>ARGAMASSA POLIMERICA DE REPARO ESTRUTURAL, BICOMPONENTE</v>
      </c>
    </row>
    <row r="327" spans="1:10" x14ac:dyDescent="0.25">
      <c r="A327" s="169">
        <v>135</v>
      </c>
      <c r="B327" s="169" t="s">
        <v>23686</v>
      </c>
      <c r="C327" s="169" t="s">
        <v>10231</v>
      </c>
      <c r="D327" s="169" t="s">
        <v>1289</v>
      </c>
      <c r="E327" s="103" t="s">
        <v>29467</v>
      </c>
      <c r="F327" s="104"/>
      <c r="G327" s="105">
        <f t="shared" si="16"/>
        <v>3.95</v>
      </c>
      <c r="H327" s="101" t="str">
        <f t="shared" si="17"/>
        <v>Sinapi 135</v>
      </c>
      <c r="I327" s="101" t="str">
        <f t="shared" si="18"/>
        <v>KG</v>
      </c>
      <c r="J327" s="140" t="str">
        <f t="shared" si="19"/>
        <v>ARGAMASSA POLIMERICA IMPERMEABILIZANTE SEMIFLEXIVEL, BICOMPONENTE (MEMBRANA IMPERMEABILIZANTE ACRILICA)</v>
      </c>
    </row>
    <row r="328" spans="1:10" x14ac:dyDescent="0.25">
      <c r="A328" s="169">
        <v>36886</v>
      </c>
      <c r="B328" s="169" t="s">
        <v>627</v>
      </c>
      <c r="C328" s="169" t="s">
        <v>10231</v>
      </c>
      <c r="D328" s="169" t="s">
        <v>1289</v>
      </c>
      <c r="E328" s="103" t="s">
        <v>3955</v>
      </c>
      <c r="F328" s="104"/>
      <c r="G328" s="105">
        <f t="shared" ref="G328:G391" si="20">IF(E328="","",E328+0)</f>
        <v>1.22</v>
      </c>
      <c r="H328" s="101" t="str">
        <f t="shared" ref="H328:H391" si="21">IF(G328="","",TRIM(CONCATENATE("Sinapi ",A328)))</f>
        <v>Sinapi 36886</v>
      </c>
      <c r="I328" s="101" t="str">
        <f t="shared" ref="I328:I391" si="22">TRIM(C328)</f>
        <v>KG</v>
      </c>
      <c r="J328" s="140" t="str">
        <f t="shared" si="19"/>
        <v>ARGAMASSA PRONTA PARA CONTRAPISO</v>
      </c>
    </row>
    <row r="329" spans="1:10" x14ac:dyDescent="0.25">
      <c r="A329" s="169">
        <v>38546</v>
      </c>
      <c r="B329" s="169" t="s">
        <v>23687</v>
      </c>
      <c r="C329" s="169" t="s">
        <v>10234</v>
      </c>
      <c r="D329" s="169" t="s">
        <v>1289</v>
      </c>
      <c r="E329" s="103" t="s">
        <v>29663</v>
      </c>
      <c r="F329" s="104"/>
      <c r="G329" s="105">
        <f t="shared" si="20"/>
        <v>1205.72</v>
      </c>
      <c r="H329" s="101" t="str">
        <f t="shared" si="21"/>
        <v>Sinapi 38546</v>
      </c>
      <c r="I329" s="101" t="str">
        <f t="shared" si="22"/>
        <v>M3</v>
      </c>
      <c r="J329" s="140" t="str">
        <f t="shared" ref="J329:J392" si="23">TRIM(B329)</f>
        <v>ARGAMASSA USINADA AUTOADENSAVEL E AUTONIVELANTE PARA CONTRAPISO, COM BOMBEAMENTO (DISPONIBILIZACAO DE BOMBA), SEM O LANCAMENTO</v>
      </c>
    </row>
    <row r="330" spans="1:10" x14ac:dyDescent="0.25">
      <c r="A330" s="169">
        <v>34549</v>
      </c>
      <c r="B330" s="169" t="s">
        <v>23688</v>
      </c>
      <c r="C330" s="169" t="s">
        <v>10234</v>
      </c>
      <c r="D330" s="169" t="s">
        <v>1290</v>
      </c>
      <c r="E330" s="103" t="s">
        <v>29664</v>
      </c>
      <c r="F330" s="104"/>
      <c r="G330" s="105">
        <f t="shared" si="20"/>
        <v>730.33</v>
      </c>
      <c r="H330" s="101" t="str">
        <f t="shared" si="21"/>
        <v>Sinapi 34549</v>
      </c>
      <c r="I330" s="101" t="str">
        <f t="shared" si="22"/>
        <v>M3</v>
      </c>
      <c r="J330" s="140" t="str">
        <f t="shared" si="23"/>
        <v>ARGILA EXPANDIDA, GRANULOMETRIA 2215</v>
      </c>
    </row>
    <row r="331" spans="1:10" x14ac:dyDescent="0.25">
      <c r="A331" s="169">
        <v>6081</v>
      </c>
      <c r="B331" s="169" t="s">
        <v>23689</v>
      </c>
      <c r="C331" s="169" t="s">
        <v>10234</v>
      </c>
      <c r="D331" s="169" t="s">
        <v>1290</v>
      </c>
      <c r="E331" s="103" t="s">
        <v>18628</v>
      </c>
      <c r="F331" s="104"/>
      <c r="G331" s="105">
        <f t="shared" si="20"/>
        <v>51.12</v>
      </c>
      <c r="H331" s="101" t="str">
        <f t="shared" si="21"/>
        <v>Sinapi 6081</v>
      </c>
      <c r="I331" s="101" t="str">
        <f t="shared" si="22"/>
        <v>M3</v>
      </c>
      <c r="J331" s="140" t="str">
        <f t="shared" si="23"/>
        <v>ARGILA OU BARRO PARA ATERRO/REATERRO (COM TRANSPORTE ATE 10 KM)</v>
      </c>
    </row>
    <row r="332" spans="1:10" x14ac:dyDescent="0.25">
      <c r="A332" s="169">
        <v>6077</v>
      </c>
      <c r="B332" s="169" t="s">
        <v>23690</v>
      </c>
      <c r="C332" s="169" t="s">
        <v>10234</v>
      </c>
      <c r="D332" s="169" t="s">
        <v>1290</v>
      </c>
      <c r="E332" s="103" t="s">
        <v>24367</v>
      </c>
      <c r="F332" s="104"/>
      <c r="G332" s="105">
        <f t="shared" si="20"/>
        <v>36.51</v>
      </c>
      <c r="H332" s="101" t="str">
        <f t="shared" si="21"/>
        <v>Sinapi 6077</v>
      </c>
      <c r="I332" s="101" t="str">
        <f t="shared" si="22"/>
        <v>M3</v>
      </c>
      <c r="J332" s="140" t="str">
        <f t="shared" si="23"/>
        <v>ARGILA OU BARRO PARA ATERRO/REATERRO (RETIRADO NA JAZIDA, SEM TRANSPORTE)</v>
      </c>
    </row>
    <row r="333" spans="1:10" x14ac:dyDescent="0.25">
      <c r="A333" s="169">
        <v>6079</v>
      </c>
      <c r="B333" s="169" t="s">
        <v>820</v>
      </c>
      <c r="C333" s="169" t="s">
        <v>10234</v>
      </c>
      <c r="D333" s="169" t="s">
        <v>1290</v>
      </c>
      <c r="E333" s="103" t="s">
        <v>24367</v>
      </c>
      <c r="F333" s="104"/>
      <c r="G333" s="105">
        <f t="shared" si="20"/>
        <v>36.51</v>
      </c>
      <c r="H333" s="101" t="str">
        <f t="shared" si="21"/>
        <v>Sinapi 6079</v>
      </c>
      <c r="I333" s="101" t="str">
        <f t="shared" si="22"/>
        <v>M3</v>
      </c>
      <c r="J333" s="140" t="str">
        <f t="shared" si="23"/>
        <v>ARGILA, ARGILA VERMELHA OU ARGILA ARENOSA (RETIRADA NA JAZIDA, SEM TRANSPORTE)</v>
      </c>
    </row>
    <row r="334" spans="1:10" x14ac:dyDescent="0.25">
      <c r="A334" s="169">
        <v>1091</v>
      </c>
      <c r="B334" s="169" t="s">
        <v>23691</v>
      </c>
      <c r="C334" s="169" t="s">
        <v>10225</v>
      </c>
      <c r="D334" s="169" t="s">
        <v>1289</v>
      </c>
      <c r="E334" s="103" t="s">
        <v>17939</v>
      </c>
      <c r="F334" s="104"/>
      <c r="G334" s="105">
        <f t="shared" si="20"/>
        <v>24.34</v>
      </c>
      <c r="H334" s="101" t="str">
        <f t="shared" si="21"/>
        <v>Sinapi 1091</v>
      </c>
      <c r="I334" s="101" t="str">
        <f t="shared" si="22"/>
        <v>UN</v>
      </c>
      <c r="J334" s="140" t="str">
        <f t="shared" si="23"/>
        <v>ARMACAO VERTICAL COM HASTE E CONTRA-PINO, EM CHAPA DE ACO GALVANIZADO 3/16", COM 1 ESTRIBO E 1 ISOLADOR</v>
      </c>
    </row>
    <row r="335" spans="1:10" x14ac:dyDescent="0.25">
      <c r="A335" s="169">
        <v>1094</v>
      </c>
      <c r="B335" s="169" t="s">
        <v>23693</v>
      </c>
      <c r="C335" s="169" t="s">
        <v>10225</v>
      </c>
      <c r="D335" s="169" t="s">
        <v>1289</v>
      </c>
      <c r="E335" s="103" t="s">
        <v>29665</v>
      </c>
      <c r="F335" s="104"/>
      <c r="G335" s="105">
        <f t="shared" si="20"/>
        <v>17.02</v>
      </c>
      <c r="H335" s="101" t="str">
        <f t="shared" si="21"/>
        <v>Sinapi 1094</v>
      </c>
      <c r="I335" s="101" t="str">
        <f t="shared" si="22"/>
        <v>UN</v>
      </c>
      <c r="J335" s="140" t="str">
        <f t="shared" si="23"/>
        <v>ARMACAO VERTICAL COM HASTE E CONTRA-PINO, EM CHAPA DE ACO GALVANIZADO 3/16", COM 1 ESTRIBO, SEM ISOLADOR</v>
      </c>
    </row>
    <row r="336" spans="1:10" x14ac:dyDescent="0.25">
      <c r="A336" s="169">
        <v>1095</v>
      </c>
      <c r="B336" s="169" t="s">
        <v>23694</v>
      </c>
      <c r="C336" s="169" t="s">
        <v>10225</v>
      </c>
      <c r="D336" s="169" t="s">
        <v>1289</v>
      </c>
      <c r="E336" s="103" t="s">
        <v>29666</v>
      </c>
      <c r="F336" s="104"/>
      <c r="G336" s="105">
        <f t="shared" si="20"/>
        <v>36.18</v>
      </c>
      <c r="H336" s="101" t="str">
        <f t="shared" si="21"/>
        <v>Sinapi 1095</v>
      </c>
      <c r="I336" s="101" t="str">
        <f t="shared" si="22"/>
        <v>UN</v>
      </c>
      <c r="J336" s="140" t="str">
        <f t="shared" si="23"/>
        <v>ARMACAO VERTICAL COM HASTE E CONTRA-PINO, EM CHAPA DE ACO GALVANIZADO 3/16", COM 2 ESTRIBOS, E 2 ISOLADORES</v>
      </c>
    </row>
    <row r="337" spans="1:10" x14ac:dyDescent="0.25">
      <c r="A337" s="169">
        <v>1092</v>
      </c>
      <c r="B337" s="169" t="s">
        <v>23696</v>
      </c>
      <c r="C337" s="169" t="s">
        <v>10225</v>
      </c>
      <c r="D337" s="169" t="s">
        <v>1288</v>
      </c>
      <c r="E337" s="103" t="s">
        <v>17951</v>
      </c>
      <c r="F337" s="104"/>
      <c r="G337" s="105">
        <f t="shared" si="20"/>
        <v>28</v>
      </c>
      <c r="H337" s="101" t="str">
        <f t="shared" si="21"/>
        <v>Sinapi 1092</v>
      </c>
      <c r="I337" s="101" t="str">
        <f t="shared" si="22"/>
        <v>UN</v>
      </c>
      <c r="J337" s="140" t="str">
        <f t="shared" si="23"/>
        <v>ARMACAO VERTICAL COM HASTE E CONTRA-PINO, EM CHAPA DE ACO GALVANIZADO 3/16", COM 2 ESTRIBOS, SEM ISOLADOR</v>
      </c>
    </row>
    <row r="338" spans="1:10" x14ac:dyDescent="0.25">
      <c r="A338" s="169">
        <v>1093</v>
      </c>
      <c r="B338" s="169" t="s">
        <v>23697</v>
      </c>
      <c r="C338" s="169" t="s">
        <v>10225</v>
      </c>
      <c r="D338" s="169" t="s">
        <v>1289</v>
      </c>
      <c r="E338" s="103" t="s">
        <v>22099</v>
      </c>
      <c r="F338" s="104"/>
      <c r="G338" s="105">
        <f t="shared" si="20"/>
        <v>65.39</v>
      </c>
      <c r="H338" s="101" t="str">
        <f t="shared" si="21"/>
        <v>Sinapi 1093</v>
      </c>
      <c r="I338" s="101" t="str">
        <f t="shared" si="22"/>
        <v>UN</v>
      </c>
      <c r="J338" s="140" t="str">
        <f t="shared" si="23"/>
        <v>ARMACAO VERTICAL COM HASTE E CONTRA-PINO, EM CHAPA DE ACO GALVANIZADO 3/16", COM 3 ESTRIBOS E 3 ISOLADORES</v>
      </c>
    </row>
    <row r="339" spans="1:10" x14ac:dyDescent="0.25">
      <c r="A339" s="169">
        <v>1090</v>
      </c>
      <c r="B339" s="169" t="s">
        <v>23698</v>
      </c>
      <c r="C339" s="169" t="s">
        <v>10225</v>
      </c>
      <c r="D339" s="169" t="s">
        <v>1289</v>
      </c>
      <c r="E339" s="103" t="s">
        <v>29667</v>
      </c>
      <c r="F339" s="104"/>
      <c r="G339" s="105">
        <f t="shared" si="20"/>
        <v>46.81</v>
      </c>
      <c r="H339" s="101" t="str">
        <f t="shared" si="21"/>
        <v>Sinapi 1090</v>
      </c>
      <c r="I339" s="101" t="str">
        <f t="shared" si="22"/>
        <v>UN</v>
      </c>
      <c r="J339" s="140" t="str">
        <f t="shared" si="23"/>
        <v>ARMACAO VERTICAL COM HASTE E CONTRA-PINO, EM CHAPA DE ACO GALVANIZADO 3/16", COM 3 ESTRIBOS, SEM ISOLADOR</v>
      </c>
    </row>
    <row r="340" spans="1:10" x14ac:dyDescent="0.25">
      <c r="A340" s="169">
        <v>1096</v>
      </c>
      <c r="B340" s="169" t="s">
        <v>23699</v>
      </c>
      <c r="C340" s="169" t="s">
        <v>10225</v>
      </c>
      <c r="D340" s="169" t="s">
        <v>1289</v>
      </c>
      <c r="E340" s="103" t="s">
        <v>29388</v>
      </c>
      <c r="F340" s="104"/>
      <c r="G340" s="105">
        <f t="shared" si="20"/>
        <v>84.25</v>
      </c>
      <c r="H340" s="101" t="str">
        <f t="shared" si="21"/>
        <v>Sinapi 1096</v>
      </c>
      <c r="I340" s="101" t="str">
        <f t="shared" si="22"/>
        <v>UN</v>
      </c>
      <c r="J340" s="140" t="str">
        <f t="shared" si="23"/>
        <v>ARMACAO VERTICAL COM HASTE E CONTRA-PINO, EM CHAPA DE ACO GALVANIZADO 3/16", COM 4 ESTRIBOS E 4 ISOLADORES</v>
      </c>
    </row>
    <row r="341" spans="1:10" x14ac:dyDescent="0.25">
      <c r="A341" s="169">
        <v>1097</v>
      </c>
      <c r="B341" s="169" t="s">
        <v>23700</v>
      </c>
      <c r="C341" s="169" t="s">
        <v>10225</v>
      </c>
      <c r="D341" s="169" t="s">
        <v>1289</v>
      </c>
      <c r="E341" s="103" t="s">
        <v>29668</v>
      </c>
      <c r="F341" s="104"/>
      <c r="G341" s="105">
        <f t="shared" si="20"/>
        <v>71.52</v>
      </c>
      <c r="H341" s="101" t="str">
        <f t="shared" si="21"/>
        <v>Sinapi 1097</v>
      </c>
      <c r="I341" s="101" t="str">
        <f t="shared" si="22"/>
        <v>UN</v>
      </c>
      <c r="J341" s="140" t="str">
        <f t="shared" si="23"/>
        <v>ARMACAO VERTICAL COM HASTE E CONTRA-PINO, EM CHAPA DE ACO GALVANIZADO 3/16", COM 4 ESTRIBOS, SEM ISOLADOR</v>
      </c>
    </row>
    <row r="342" spans="1:10" x14ac:dyDescent="0.25">
      <c r="A342" s="169">
        <v>378</v>
      </c>
      <c r="B342" s="169" t="s">
        <v>23701</v>
      </c>
      <c r="C342" s="169" t="s">
        <v>10228</v>
      </c>
      <c r="D342" s="169" t="s">
        <v>1289</v>
      </c>
      <c r="E342" s="103" t="s">
        <v>27635</v>
      </c>
      <c r="F342" s="104"/>
      <c r="G342" s="105">
        <f t="shared" si="20"/>
        <v>19.86</v>
      </c>
      <c r="H342" s="101" t="str">
        <f t="shared" si="21"/>
        <v>Sinapi 378</v>
      </c>
      <c r="I342" s="101" t="str">
        <f t="shared" si="22"/>
        <v>H</v>
      </c>
      <c r="J342" s="140" t="str">
        <f t="shared" si="23"/>
        <v>ARMADOR (HORISTA)</v>
      </c>
    </row>
    <row r="343" spans="1:10" x14ac:dyDescent="0.25">
      <c r="A343" s="169">
        <v>40911</v>
      </c>
      <c r="B343" s="169" t="s">
        <v>23702</v>
      </c>
      <c r="C343" s="169" t="s">
        <v>10235</v>
      </c>
      <c r="D343" s="169" t="s">
        <v>1289</v>
      </c>
      <c r="E343" s="103" t="s">
        <v>29669</v>
      </c>
      <c r="F343" s="104"/>
      <c r="G343" s="105">
        <f t="shared" si="20"/>
        <v>3455.98</v>
      </c>
      <c r="H343" s="101" t="str">
        <f t="shared" si="21"/>
        <v>Sinapi 40911</v>
      </c>
      <c r="I343" s="101" t="str">
        <f t="shared" si="22"/>
        <v>MES</v>
      </c>
      <c r="J343" s="140" t="str">
        <f t="shared" si="23"/>
        <v>ARMADOR (MENSALISTA)</v>
      </c>
    </row>
    <row r="344" spans="1:10" x14ac:dyDescent="0.25">
      <c r="A344" s="169">
        <v>33939</v>
      </c>
      <c r="B344" s="169" t="s">
        <v>23703</v>
      </c>
      <c r="C344" s="169" t="s">
        <v>10228</v>
      </c>
      <c r="D344" s="169" t="s">
        <v>1289</v>
      </c>
      <c r="E344" s="103" t="s">
        <v>29670</v>
      </c>
      <c r="F344" s="104"/>
      <c r="G344" s="105">
        <f t="shared" si="20"/>
        <v>81.150000000000006</v>
      </c>
      <c r="H344" s="101" t="str">
        <f t="shared" si="21"/>
        <v>Sinapi 33939</v>
      </c>
      <c r="I344" s="101" t="str">
        <f t="shared" si="22"/>
        <v>H</v>
      </c>
      <c r="J344" s="140" t="str">
        <f t="shared" si="23"/>
        <v>ARQUITETO JUNIOR</v>
      </c>
    </row>
    <row r="345" spans="1:10" x14ac:dyDescent="0.25">
      <c r="A345" s="169">
        <v>40815</v>
      </c>
      <c r="B345" s="169" t="s">
        <v>23704</v>
      </c>
      <c r="C345" s="169" t="s">
        <v>10235</v>
      </c>
      <c r="D345" s="169" t="s">
        <v>1289</v>
      </c>
      <c r="E345" s="103" t="s">
        <v>29671</v>
      </c>
      <c r="F345" s="104"/>
      <c r="G345" s="105">
        <f t="shared" si="20"/>
        <v>14121.48</v>
      </c>
      <c r="H345" s="101" t="str">
        <f t="shared" si="21"/>
        <v>Sinapi 40815</v>
      </c>
      <c r="I345" s="101" t="str">
        <f t="shared" si="22"/>
        <v>MES</v>
      </c>
      <c r="J345" s="140" t="str">
        <f t="shared" si="23"/>
        <v>ARQUITETO JUNIOR (MENSALISTA)</v>
      </c>
    </row>
    <row r="346" spans="1:10" x14ac:dyDescent="0.25">
      <c r="A346" s="169">
        <v>34760</v>
      </c>
      <c r="B346" s="169" t="s">
        <v>23705</v>
      </c>
      <c r="C346" s="169" t="s">
        <v>10228</v>
      </c>
      <c r="D346" s="169" t="s">
        <v>1289</v>
      </c>
      <c r="E346" s="103" t="s">
        <v>29672</v>
      </c>
      <c r="F346" s="104"/>
      <c r="G346" s="105">
        <f t="shared" si="20"/>
        <v>114.94</v>
      </c>
      <c r="H346" s="101" t="str">
        <f t="shared" si="21"/>
        <v>Sinapi 34760</v>
      </c>
      <c r="I346" s="101" t="str">
        <f t="shared" si="22"/>
        <v>H</v>
      </c>
      <c r="J346" s="140" t="str">
        <f t="shared" si="23"/>
        <v>ARQUITETO PAISAGISTA</v>
      </c>
    </row>
    <row r="347" spans="1:10" x14ac:dyDescent="0.25">
      <c r="A347" s="169">
        <v>40935</v>
      </c>
      <c r="B347" s="169" t="s">
        <v>23706</v>
      </c>
      <c r="C347" s="169" t="s">
        <v>10235</v>
      </c>
      <c r="D347" s="169" t="s">
        <v>1289</v>
      </c>
      <c r="E347" s="103" t="s">
        <v>29673</v>
      </c>
      <c r="F347" s="104"/>
      <c r="G347" s="105">
        <f t="shared" si="20"/>
        <v>20001.169999999998</v>
      </c>
      <c r="H347" s="101" t="str">
        <f t="shared" si="21"/>
        <v>Sinapi 40935</v>
      </c>
      <c r="I347" s="101" t="str">
        <f t="shared" si="22"/>
        <v>MES</v>
      </c>
      <c r="J347" s="140" t="str">
        <f t="shared" si="23"/>
        <v>ARQUITETO PAISAGISTA (MENSALISTA)</v>
      </c>
    </row>
    <row r="348" spans="1:10" x14ac:dyDescent="0.25">
      <c r="A348" s="169">
        <v>33952</v>
      </c>
      <c r="B348" s="169" t="s">
        <v>23707</v>
      </c>
      <c r="C348" s="169" t="s">
        <v>10228</v>
      </c>
      <c r="D348" s="169" t="s">
        <v>1289</v>
      </c>
      <c r="E348" s="103" t="s">
        <v>29674</v>
      </c>
      <c r="F348" s="104"/>
      <c r="G348" s="105">
        <f t="shared" si="20"/>
        <v>115.26</v>
      </c>
      <c r="H348" s="101" t="str">
        <f t="shared" si="21"/>
        <v>Sinapi 33952</v>
      </c>
      <c r="I348" s="101" t="str">
        <f t="shared" si="22"/>
        <v>H</v>
      </c>
      <c r="J348" s="140" t="str">
        <f t="shared" si="23"/>
        <v>ARQUITETO PLENO</v>
      </c>
    </row>
    <row r="349" spans="1:10" x14ac:dyDescent="0.25">
      <c r="A349" s="169">
        <v>40816</v>
      </c>
      <c r="B349" s="169" t="s">
        <v>23708</v>
      </c>
      <c r="C349" s="169" t="s">
        <v>10235</v>
      </c>
      <c r="D349" s="169" t="s">
        <v>1289</v>
      </c>
      <c r="E349" s="103" t="s">
        <v>29675</v>
      </c>
      <c r="F349" s="104"/>
      <c r="G349" s="105">
        <f t="shared" si="20"/>
        <v>20058.37</v>
      </c>
      <c r="H349" s="101" t="str">
        <f t="shared" si="21"/>
        <v>Sinapi 40816</v>
      </c>
      <c r="I349" s="101" t="str">
        <f t="shared" si="22"/>
        <v>MES</v>
      </c>
      <c r="J349" s="140" t="str">
        <f t="shared" si="23"/>
        <v>ARQUITETO PLENO (MENSALISTA)</v>
      </c>
    </row>
    <row r="350" spans="1:10" x14ac:dyDescent="0.25">
      <c r="A350" s="169">
        <v>33953</v>
      </c>
      <c r="B350" s="169" t="s">
        <v>23709</v>
      </c>
      <c r="C350" s="169" t="s">
        <v>10228</v>
      </c>
      <c r="D350" s="169" t="s">
        <v>1289</v>
      </c>
      <c r="E350" s="103" t="s">
        <v>28653</v>
      </c>
      <c r="F350" s="104"/>
      <c r="G350" s="105">
        <f t="shared" si="20"/>
        <v>152.4</v>
      </c>
      <c r="H350" s="101" t="str">
        <f t="shared" si="21"/>
        <v>Sinapi 33953</v>
      </c>
      <c r="I350" s="101" t="str">
        <f t="shared" si="22"/>
        <v>H</v>
      </c>
      <c r="J350" s="140" t="str">
        <f t="shared" si="23"/>
        <v>ARQUITETO SENIOR</v>
      </c>
    </row>
    <row r="351" spans="1:10" x14ac:dyDescent="0.25">
      <c r="A351" s="169">
        <v>40817</v>
      </c>
      <c r="B351" s="169" t="s">
        <v>23710</v>
      </c>
      <c r="C351" s="169" t="s">
        <v>10235</v>
      </c>
      <c r="D351" s="169" t="s">
        <v>1289</v>
      </c>
      <c r="E351" s="103" t="s">
        <v>29676</v>
      </c>
      <c r="F351" s="104"/>
      <c r="G351" s="105">
        <f t="shared" si="20"/>
        <v>26518.959999999999</v>
      </c>
      <c r="H351" s="101" t="str">
        <f t="shared" si="21"/>
        <v>Sinapi 40817</v>
      </c>
      <c r="I351" s="101" t="str">
        <f t="shared" si="22"/>
        <v>MES</v>
      </c>
      <c r="J351" s="140" t="str">
        <f t="shared" si="23"/>
        <v>ARQUITETO SENIOR (MENSALISTA)</v>
      </c>
    </row>
    <row r="352" spans="1:10" x14ac:dyDescent="0.25">
      <c r="A352" s="169">
        <v>13348</v>
      </c>
      <c r="B352" s="169" t="s">
        <v>23711</v>
      </c>
      <c r="C352" s="169" t="s">
        <v>10225</v>
      </c>
      <c r="D352" s="169" t="s">
        <v>1290</v>
      </c>
      <c r="E352" s="103" t="s">
        <v>3812</v>
      </c>
      <c r="F352" s="104"/>
      <c r="G352" s="105">
        <f t="shared" si="20"/>
        <v>1.79</v>
      </c>
      <c r="H352" s="101" t="str">
        <f t="shared" si="21"/>
        <v>Sinapi 13348</v>
      </c>
      <c r="I352" s="101" t="str">
        <f t="shared" si="22"/>
        <v>UN</v>
      </c>
      <c r="J352" s="140" t="str">
        <f t="shared" si="23"/>
        <v>ARRUELA EM ACO GALVANIZADO, DIAMETRO EXTERNO = 35MM, ESPESSURA = 3MM, DIAMETRO DO FURO= 18MM</v>
      </c>
    </row>
    <row r="353" spans="1:10" x14ac:dyDescent="0.25">
      <c r="A353" s="169">
        <v>39211</v>
      </c>
      <c r="B353" s="169" t="s">
        <v>23712</v>
      </c>
      <c r="C353" s="169" t="s">
        <v>10225</v>
      </c>
      <c r="D353" s="169" t="s">
        <v>1289</v>
      </c>
      <c r="E353" s="103" t="s">
        <v>29677</v>
      </c>
      <c r="F353" s="104"/>
      <c r="G353" s="105">
        <f t="shared" si="20"/>
        <v>1.33</v>
      </c>
      <c r="H353" s="101" t="str">
        <f t="shared" si="21"/>
        <v>Sinapi 39211</v>
      </c>
      <c r="I353" s="101" t="str">
        <f t="shared" si="22"/>
        <v>UN</v>
      </c>
      <c r="J353" s="140" t="str">
        <f t="shared" si="23"/>
        <v>ARRUELA EM ALUMINIO, COM ROSCA, DE 1 1/4", PARA ELETRODUTO</v>
      </c>
    </row>
    <row r="354" spans="1:10" x14ac:dyDescent="0.25">
      <c r="A354" s="169">
        <v>39212</v>
      </c>
      <c r="B354" s="169" t="s">
        <v>23713</v>
      </c>
      <c r="C354" s="169" t="s">
        <v>10225</v>
      </c>
      <c r="D354" s="169" t="s">
        <v>1289</v>
      </c>
      <c r="E354" s="103" t="s">
        <v>29678</v>
      </c>
      <c r="F354" s="104"/>
      <c r="G354" s="105">
        <f t="shared" si="20"/>
        <v>1.49</v>
      </c>
      <c r="H354" s="101" t="str">
        <f t="shared" si="21"/>
        <v>Sinapi 39212</v>
      </c>
      <c r="I354" s="101" t="str">
        <f t="shared" si="22"/>
        <v>UN</v>
      </c>
      <c r="J354" s="140" t="str">
        <f t="shared" si="23"/>
        <v>ARRUELA EM ALUMINIO, COM ROSCA, DE 1 1/2", PARA ELETRODUTO</v>
      </c>
    </row>
    <row r="355" spans="1:10" x14ac:dyDescent="0.25">
      <c r="A355" s="169">
        <v>39208</v>
      </c>
      <c r="B355" s="169" t="s">
        <v>23714</v>
      </c>
      <c r="C355" s="169" t="s">
        <v>10225</v>
      </c>
      <c r="D355" s="169" t="s">
        <v>1289</v>
      </c>
      <c r="E355" s="103" t="s">
        <v>10237</v>
      </c>
      <c r="F355" s="104"/>
      <c r="G355" s="105">
        <f t="shared" si="20"/>
        <v>0.4</v>
      </c>
      <c r="H355" s="101" t="str">
        <f t="shared" si="21"/>
        <v>Sinapi 39208</v>
      </c>
      <c r="I355" s="101" t="str">
        <f t="shared" si="22"/>
        <v>UN</v>
      </c>
      <c r="J355" s="140" t="str">
        <f t="shared" si="23"/>
        <v>ARRUELA EM ALUMINIO, COM ROSCA, DE 1/2", PARA ELETRODUTO</v>
      </c>
    </row>
    <row r="356" spans="1:10" x14ac:dyDescent="0.25">
      <c r="A356" s="169">
        <v>39210</v>
      </c>
      <c r="B356" s="169" t="s">
        <v>23715</v>
      </c>
      <c r="C356" s="169" t="s">
        <v>10225</v>
      </c>
      <c r="D356" s="169" t="s">
        <v>1289</v>
      </c>
      <c r="E356" s="103" t="s">
        <v>9295</v>
      </c>
      <c r="F356" s="104"/>
      <c r="G356" s="105">
        <f t="shared" si="20"/>
        <v>0.74</v>
      </c>
      <c r="H356" s="101" t="str">
        <f t="shared" si="21"/>
        <v>Sinapi 39210</v>
      </c>
      <c r="I356" s="101" t="str">
        <f t="shared" si="22"/>
        <v>UN</v>
      </c>
      <c r="J356" s="140" t="str">
        <f t="shared" si="23"/>
        <v>ARRUELA EM ALUMINIO, COM ROSCA, DE 1", PARA ELETRODUTO</v>
      </c>
    </row>
    <row r="357" spans="1:10" x14ac:dyDescent="0.25">
      <c r="A357" s="169">
        <v>39214</v>
      </c>
      <c r="B357" s="169" t="s">
        <v>23716</v>
      </c>
      <c r="C357" s="169" t="s">
        <v>10225</v>
      </c>
      <c r="D357" s="169" t="s">
        <v>1289</v>
      </c>
      <c r="E357" s="103" t="s">
        <v>27780</v>
      </c>
      <c r="F357" s="104"/>
      <c r="G357" s="105">
        <f t="shared" si="20"/>
        <v>2.75</v>
      </c>
      <c r="H357" s="101" t="str">
        <f t="shared" si="21"/>
        <v>Sinapi 39214</v>
      </c>
      <c r="I357" s="101" t="str">
        <f t="shared" si="22"/>
        <v>UN</v>
      </c>
      <c r="J357" s="140" t="str">
        <f t="shared" si="23"/>
        <v>ARRUELA EM ALUMINIO, COM ROSCA, DE 2 1/2", PARA ELETRODUTO</v>
      </c>
    </row>
    <row r="358" spans="1:10" x14ac:dyDescent="0.25">
      <c r="A358" s="169">
        <v>39213</v>
      </c>
      <c r="B358" s="169" t="s">
        <v>23717</v>
      </c>
      <c r="C358" s="169" t="s">
        <v>10225</v>
      </c>
      <c r="D358" s="169" t="s">
        <v>1289</v>
      </c>
      <c r="E358" s="103" t="s">
        <v>2121</v>
      </c>
      <c r="F358" s="104"/>
      <c r="G358" s="105">
        <f t="shared" si="20"/>
        <v>1.94</v>
      </c>
      <c r="H358" s="101" t="str">
        <f t="shared" si="21"/>
        <v>Sinapi 39213</v>
      </c>
      <c r="I358" s="101" t="str">
        <f t="shared" si="22"/>
        <v>UN</v>
      </c>
      <c r="J358" s="140" t="str">
        <f t="shared" si="23"/>
        <v>ARRUELA EM ALUMINIO, COM ROSCA, DE 2", PARA ELETRODUTO</v>
      </c>
    </row>
    <row r="359" spans="1:10" x14ac:dyDescent="0.25">
      <c r="A359" s="169">
        <v>39209</v>
      </c>
      <c r="B359" s="169" t="s">
        <v>23718</v>
      </c>
      <c r="C359" s="169" t="s">
        <v>10225</v>
      </c>
      <c r="D359" s="169" t="s">
        <v>1289</v>
      </c>
      <c r="E359" s="103" t="s">
        <v>3655</v>
      </c>
      <c r="F359" s="104"/>
      <c r="G359" s="105">
        <f t="shared" si="20"/>
        <v>0.48</v>
      </c>
      <c r="H359" s="101" t="str">
        <f t="shared" si="21"/>
        <v>Sinapi 39209</v>
      </c>
      <c r="I359" s="101" t="str">
        <f t="shared" si="22"/>
        <v>UN</v>
      </c>
      <c r="J359" s="140" t="str">
        <f t="shared" si="23"/>
        <v>ARRUELA EM ALUMINIO, COM ROSCA, DE 3/4", PARA ELETRODUTO</v>
      </c>
    </row>
    <row r="360" spans="1:10" x14ac:dyDescent="0.25">
      <c r="A360" s="169">
        <v>39207</v>
      </c>
      <c r="B360" s="169" t="s">
        <v>23719</v>
      </c>
      <c r="C360" s="169" t="s">
        <v>10225</v>
      </c>
      <c r="D360" s="169" t="s">
        <v>1289</v>
      </c>
      <c r="E360" s="103" t="s">
        <v>9295</v>
      </c>
      <c r="F360" s="104"/>
      <c r="G360" s="105">
        <f t="shared" si="20"/>
        <v>0.74</v>
      </c>
      <c r="H360" s="101" t="str">
        <f t="shared" si="21"/>
        <v>Sinapi 39207</v>
      </c>
      <c r="I360" s="101" t="str">
        <f t="shared" si="22"/>
        <v>UN</v>
      </c>
      <c r="J360" s="140" t="str">
        <f t="shared" si="23"/>
        <v>ARRUELA EM ALUMINIO, COM ROSCA, DE 3/8", PARA ELETRODUTO</v>
      </c>
    </row>
    <row r="361" spans="1:10" x14ac:dyDescent="0.25">
      <c r="A361" s="169">
        <v>39215</v>
      </c>
      <c r="B361" s="169" t="s">
        <v>23720</v>
      </c>
      <c r="C361" s="169" t="s">
        <v>10225</v>
      </c>
      <c r="D361" s="169" t="s">
        <v>1289</v>
      </c>
      <c r="E361" s="103" t="s">
        <v>21065</v>
      </c>
      <c r="F361" s="104"/>
      <c r="G361" s="105">
        <f t="shared" si="20"/>
        <v>5.0199999999999996</v>
      </c>
      <c r="H361" s="101" t="str">
        <f t="shared" si="21"/>
        <v>Sinapi 39215</v>
      </c>
      <c r="I361" s="101" t="str">
        <f t="shared" si="22"/>
        <v>UN</v>
      </c>
      <c r="J361" s="140" t="str">
        <f t="shared" si="23"/>
        <v>ARRUELA EM ALUMINIO, COM ROSCA, DE 3", PARA ELETRODUTO</v>
      </c>
    </row>
    <row r="362" spans="1:10" x14ac:dyDescent="0.25">
      <c r="A362" s="169">
        <v>39216</v>
      </c>
      <c r="B362" s="169" t="s">
        <v>23721</v>
      </c>
      <c r="C362" s="169" t="s">
        <v>10225</v>
      </c>
      <c r="D362" s="169" t="s">
        <v>1289</v>
      </c>
      <c r="E362" s="103" t="s">
        <v>20975</v>
      </c>
      <c r="F362" s="104"/>
      <c r="G362" s="105">
        <f t="shared" si="20"/>
        <v>7</v>
      </c>
      <c r="H362" s="101" t="str">
        <f t="shared" si="21"/>
        <v>Sinapi 39216</v>
      </c>
      <c r="I362" s="101" t="str">
        <f t="shared" si="22"/>
        <v>UN</v>
      </c>
      <c r="J362" s="140" t="str">
        <f t="shared" si="23"/>
        <v>ARRUELA EM ALUMINIO, COM ROSCA, DE 4", PARA ELETRODUTO</v>
      </c>
    </row>
    <row r="363" spans="1:10" x14ac:dyDescent="0.25">
      <c r="A363" s="169">
        <v>11267</v>
      </c>
      <c r="B363" s="169" t="s">
        <v>23722</v>
      </c>
      <c r="C363" s="169" t="s">
        <v>10225</v>
      </c>
      <c r="D363" s="169" t="s">
        <v>1290</v>
      </c>
      <c r="E363" s="103" t="s">
        <v>14629</v>
      </c>
      <c r="F363" s="104"/>
      <c r="G363" s="105">
        <f t="shared" si="20"/>
        <v>1.56</v>
      </c>
      <c r="H363" s="101" t="str">
        <f t="shared" si="21"/>
        <v>Sinapi 11267</v>
      </c>
      <c r="I363" s="101" t="str">
        <f t="shared" si="22"/>
        <v>UN</v>
      </c>
      <c r="J363" s="140" t="str">
        <f t="shared" si="23"/>
        <v>ARRUELA LISA, REDONDA, DE LATAO POLIDO, DIAMETRO NOMINAL 5/8", DIAMETRO EXTERNO = 34 MM, DIAMETRO DO FURO = 17 MM, ESPESSURA = *2,5* MM</v>
      </c>
    </row>
    <row r="364" spans="1:10" x14ac:dyDescent="0.25">
      <c r="A364" s="169">
        <v>379</v>
      </c>
      <c r="B364" s="169" t="s">
        <v>23723</v>
      </c>
      <c r="C364" s="169" t="s">
        <v>10225</v>
      </c>
      <c r="D364" s="169" t="s">
        <v>1290</v>
      </c>
      <c r="E364" s="103" t="s">
        <v>10393</v>
      </c>
      <c r="F364" s="104"/>
      <c r="G364" s="105">
        <f t="shared" si="20"/>
        <v>1.57</v>
      </c>
      <c r="H364" s="101" t="str">
        <f t="shared" si="21"/>
        <v>Sinapi 379</v>
      </c>
      <c r="I364" s="101" t="str">
        <f t="shared" si="22"/>
        <v>UN</v>
      </c>
      <c r="J364" s="140" t="str">
        <f t="shared" si="23"/>
        <v>ARRUELA QUADRADA EM ACO GALVANIZADO, DIMENSAO = 38 MM, ESPESSURA = 3MM, DIAMETRO DO FURO= 18 MM</v>
      </c>
    </row>
    <row r="365" spans="1:10" x14ac:dyDescent="0.25">
      <c r="A365" s="169">
        <v>510</v>
      </c>
      <c r="B365" s="169" t="s">
        <v>23724</v>
      </c>
      <c r="C365" s="169" t="s">
        <v>10231</v>
      </c>
      <c r="D365" s="169" t="s">
        <v>1289</v>
      </c>
      <c r="E365" s="103" t="s">
        <v>27824</v>
      </c>
      <c r="F365" s="104"/>
      <c r="G365" s="105">
        <f t="shared" si="20"/>
        <v>21.55</v>
      </c>
      <c r="H365" s="101" t="str">
        <f t="shared" si="21"/>
        <v>Sinapi 510</v>
      </c>
      <c r="I365" s="101" t="str">
        <f t="shared" si="22"/>
        <v>KG</v>
      </c>
      <c r="J365" s="140" t="str">
        <f t="shared" si="23"/>
        <v>ASFALTO MODIFICADO TIPO I - NBR 9910 (ASFALTO OXIDADO PARA IMPERMEABILIZACAO, COEFICIENTE DE PENETRACAO 25-40)</v>
      </c>
    </row>
    <row r="366" spans="1:10" x14ac:dyDescent="0.25">
      <c r="A366" s="169">
        <v>516</v>
      </c>
      <c r="B366" s="169" t="s">
        <v>23725</v>
      </c>
      <c r="C366" s="169" t="s">
        <v>10231</v>
      </c>
      <c r="D366" s="169" t="s">
        <v>1289</v>
      </c>
      <c r="E366" s="103" t="s">
        <v>29679</v>
      </c>
      <c r="F366" s="104"/>
      <c r="G366" s="105">
        <f t="shared" si="20"/>
        <v>25.53</v>
      </c>
      <c r="H366" s="101" t="str">
        <f t="shared" si="21"/>
        <v>Sinapi 516</v>
      </c>
      <c r="I366" s="101" t="str">
        <f t="shared" si="22"/>
        <v>KG</v>
      </c>
      <c r="J366" s="140" t="str">
        <f t="shared" si="23"/>
        <v>ASFALTO MODIFICADO TIPO II - NBR 9910 (ASFALTO OXIDADO PARA IMPERMEABILIZACAO, COEFICIENTE DE PENETRACAO 20-35)</v>
      </c>
    </row>
    <row r="367" spans="1:10" x14ac:dyDescent="0.25">
      <c r="A367" s="169">
        <v>509</v>
      </c>
      <c r="B367" s="169" t="s">
        <v>23726</v>
      </c>
      <c r="C367" s="169" t="s">
        <v>10231</v>
      </c>
      <c r="D367" s="169" t="s">
        <v>1289</v>
      </c>
      <c r="E367" s="103" t="s">
        <v>23318</v>
      </c>
      <c r="F367" s="104"/>
      <c r="G367" s="105">
        <f t="shared" si="20"/>
        <v>28.65</v>
      </c>
      <c r="H367" s="101" t="str">
        <f t="shared" si="21"/>
        <v>Sinapi 509</v>
      </c>
      <c r="I367" s="101" t="str">
        <f t="shared" si="22"/>
        <v>KG</v>
      </c>
      <c r="J367" s="140" t="str">
        <f t="shared" si="23"/>
        <v>ASFALTO MODIFICADO TIPO III - NBR 9910 (ASFALTO OXIDADO PARA IMPERMEABILIZACAO, COEFICIENTE DE PENETRACAO 15-25)</v>
      </c>
    </row>
    <row r="368" spans="1:10" x14ac:dyDescent="0.25">
      <c r="A368" s="169">
        <v>40331</v>
      </c>
      <c r="B368" s="169" t="s">
        <v>23727</v>
      </c>
      <c r="C368" s="169" t="s">
        <v>10228</v>
      </c>
      <c r="D368" s="169" t="s">
        <v>1289</v>
      </c>
      <c r="E368" s="103" t="s">
        <v>20058</v>
      </c>
      <c r="F368" s="104"/>
      <c r="G368" s="105">
        <f t="shared" si="20"/>
        <v>21.13</v>
      </c>
      <c r="H368" s="101" t="str">
        <f t="shared" si="21"/>
        <v>Sinapi 40331</v>
      </c>
      <c r="I368" s="101" t="str">
        <f t="shared" si="22"/>
        <v>H</v>
      </c>
      <c r="J368" s="140" t="str">
        <f t="shared" si="23"/>
        <v>ASSENTADOR DE MANILHAS</v>
      </c>
    </row>
    <row r="369" spans="1:10" x14ac:dyDescent="0.25">
      <c r="A369" s="169">
        <v>40930</v>
      </c>
      <c r="B369" s="169" t="s">
        <v>23728</v>
      </c>
      <c r="C369" s="169" t="s">
        <v>10235</v>
      </c>
      <c r="D369" s="169" t="s">
        <v>1289</v>
      </c>
      <c r="E369" s="103" t="s">
        <v>29680</v>
      </c>
      <c r="F369" s="104"/>
      <c r="G369" s="105">
        <f t="shared" si="20"/>
        <v>3677.83</v>
      </c>
      <c r="H369" s="101" t="str">
        <f t="shared" si="21"/>
        <v>Sinapi 40930</v>
      </c>
      <c r="I369" s="101" t="str">
        <f t="shared" si="22"/>
        <v>MES</v>
      </c>
      <c r="J369" s="140" t="str">
        <f t="shared" si="23"/>
        <v>ASSENTADOR DE MANILHAS (MENSALISTA)</v>
      </c>
    </row>
    <row r="370" spans="1:10" x14ac:dyDescent="0.25">
      <c r="A370" s="169">
        <v>11761</v>
      </c>
      <c r="B370" s="169" t="s">
        <v>23729</v>
      </c>
      <c r="C370" s="169" t="s">
        <v>10225</v>
      </c>
      <c r="D370" s="169" t="s">
        <v>1289</v>
      </c>
      <c r="E370" s="103" t="s">
        <v>29681</v>
      </c>
      <c r="F370" s="104"/>
      <c r="G370" s="105">
        <f t="shared" si="20"/>
        <v>86.18</v>
      </c>
      <c r="H370" s="101" t="str">
        <f t="shared" si="21"/>
        <v>Sinapi 11761</v>
      </c>
      <c r="I370" s="101" t="str">
        <f t="shared" si="22"/>
        <v>UN</v>
      </c>
      <c r="J370" s="140" t="str">
        <f t="shared" si="23"/>
        <v>ASSENTO VASO SANITARIO INFANTIL EM PLASTICO BRANCO</v>
      </c>
    </row>
    <row r="371" spans="1:10" x14ac:dyDescent="0.25">
      <c r="A371" s="169">
        <v>377</v>
      </c>
      <c r="B371" s="169" t="s">
        <v>23731</v>
      </c>
      <c r="C371" s="169" t="s">
        <v>10225</v>
      </c>
      <c r="D371" s="169" t="s">
        <v>1288</v>
      </c>
      <c r="E371" s="103" t="s">
        <v>29333</v>
      </c>
      <c r="F371" s="104"/>
      <c r="G371" s="105">
        <f t="shared" si="20"/>
        <v>40.5</v>
      </c>
      <c r="H371" s="101" t="str">
        <f t="shared" si="21"/>
        <v>Sinapi 377</v>
      </c>
      <c r="I371" s="101" t="str">
        <f t="shared" si="22"/>
        <v>UN</v>
      </c>
      <c r="J371" s="140" t="str">
        <f t="shared" si="23"/>
        <v>ASSENTO SANITARIO DE PLASTICO, TIPO CONVENCIONAL</v>
      </c>
    </row>
    <row r="372" spans="1:10" x14ac:dyDescent="0.25">
      <c r="A372" s="169">
        <v>7588</v>
      </c>
      <c r="B372" s="169" t="s">
        <v>23733</v>
      </c>
      <c r="C372" s="169" t="s">
        <v>10225</v>
      </c>
      <c r="D372" s="169" t="s">
        <v>1288</v>
      </c>
      <c r="E372" s="103" t="s">
        <v>29682</v>
      </c>
      <c r="F372" s="104"/>
      <c r="G372" s="105">
        <f t="shared" si="20"/>
        <v>67.260000000000005</v>
      </c>
      <c r="H372" s="101" t="str">
        <f t="shared" si="21"/>
        <v>Sinapi 7588</v>
      </c>
      <c r="I372" s="101" t="str">
        <f t="shared" si="22"/>
        <v>UN</v>
      </c>
      <c r="J372" s="140" t="str">
        <f t="shared" si="23"/>
        <v>AUTOMATICO DE BOIA SUPERIOR / INFERIOR, *15* A / 250 V</v>
      </c>
    </row>
    <row r="373" spans="1:10" x14ac:dyDescent="0.25">
      <c r="A373" s="169">
        <v>34392</v>
      </c>
      <c r="B373" s="169" t="s">
        <v>23734</v>
      </c>
      <c r="C373" s="169" t="s">
        <v>10228</v>
      </c>
      <c r="D373" s="169" t="s">
        <v>1289</v>
      </c>
      <c r="E373" s="103" t="s">
        <v>19289</v>
      </c>
      <c r="F373" s="104"/>
      <c r="G373" s="105">
        <f t="shared" si="20"/>
        <v>14.87</v>
      </c>
      <c r="H373" s="101" t="str">
        <f t="shared" si="21"/>
        <v>Sinapi 34392</v>
      </c>
      <c r="I373" s="101" t="str">
        <f t="shared" si="22"/>
        <v>H</v>
      </c>
      <c r="J373" s="140" t="str">
        <f t="shared" si="23"/>
        <v>AUXILIAR DE ALMOXARIFE (HORISTA)</v>
      </c>
    </row>
    <row r="374" spans="1:10" x14ac:dyDescent="0.25">
      <c r="A374" s="169">
        <v>40908</v>
      </c>
      <c r="B374" s="169" t="s">
        <v>23735</v>
      </c>
      <c r="C374" s="169" t="s">
        <v>10235</v>
      </c>
      <c r="D374" s="169" t="s">
        <v>1289</v>
      </c>
      <c r="E374" s="103" t="s">
        <v>29683</v>
      </c>
      <c r="F374" s="104"/>
      <c r="G374" s="105">
        <f t="shared" si="20"/>
        <v>2589.06</v>
      </c>
      <c r="H374" s="101" t="str">
        <f t="shared" si="21"/>
        <v>Sinapi 40908</v>
      </c>
      <c r="I374" s="101" t="str">
        <f t="shared" si="22"/>
        <v>MES</v>
      </c>
      <c r="J374" s="140" t="str">
        <f t="shared" si="23"/>
        <v>AUXILIAR DE ALMOXARIFE (MENSALISTA)</v>
      </c>
    </row>
    <row r="375" spans="1:10" x14ac:dyDescent="0.25">
      <c r="A375" s="169">
        <v>34551</v>
      </c>
      <c r="B375" s="169" t="s">
        <v>23736</v>
      </c>
      <c r="C375" s="169" t="s">
        <v>10228</v>
      </c>
      <c r="D375" s="169" t="s">
        <v>1289</v>
      </c>
      <c r="E375" s="103" t="s">
        <v>29559</v>
      </c>
      <c r="F375" s="104"/>
      <c r="G375" s="105">
        <f t="shared" si="20"/>
        <v>12.32</v>
      </c>
      <c r="H375" s="101" t="str">
        <f t="shared" si="21"/>
        <v>Sinapi 34551</v>
      </c>
      <c r="I375" s="101" t="str">
        <f t="shared" si="22"/>
        <v>H</v>
      </c>
      <c r="J375" s="140" t="str">
        <f t="shared" si="23"/>
        <v>AUXILIAR DE AZULEJISTA (HORISTA)</v>
      </c>
    </row>
    <row r="376" spans="1:10" x14ac:dyDescent="0.25">
      <c r="A376" s="169">
        <v>41078</v>
      </c>
      <c r="B376" s="169" t="s">
        <v>23737</v>
      </c>
      <c r="C376" s="169" t="s">
        <v>10235</v>
      </c>
      <c r="D376" s="169" t="s">
        <v>1289</v>
      </c>
      <c r="E376" s="103" t="s">
        <v>29560</v>
      </c>
      <c r="F376" s="104"/>
      <c r="G376" s="105">
        <f t="shared" si="20"/>
        <v>2148.08</v>
      </c>
      <c r="H376" s="101" t="str">
        <f t="shared" si="21"/>
        <v>Sinapi 41078</v>
      </c>
      <c r="I376" s="101" t="str">
        <f t="shared" si="22"/>
        <v>MES</v>
      </c>
      <c r="J376" s="140" t="str">
        <f t="shared" si="23"/>
        <v>AUXILIAR DE AZULEJISTA (MENSALISTA)</v>
      </c>
    </row>
    <row r="377" spans="1:10" x14ac:dyDescent="0.25">
      <c r="A377" s="169">
        <v>246</v>
      </c>
      <c r="B377" s="169" t="s">
        <v>23738</v>
      </c>
      <c r="C377" s="169" t="s">
        <v>10228</v>
      </c>
      <c r="D377" s="169" t="s">
        <v>1289</v>
      </c>
      <c r="E377" s="103" t="s">
        <v>24472</v>
      </c>
      <c r="F377" s="104"/>
      <c r="G377" s="105">
        <f t="shared" si="20"/>
        <v>13.34</v>
      </c>
      <c r="H377" s="101" t="str">
        <f t="shared" si="21"/>
        <v>Sinapi 246</v>
      </c>
      <c r="I377" s="101" t="str">
        <f t="shared" si="22"/>
        <v>H</v>
      </c>
      <c r="J377" s="140" t="str">
        <f t="shared" si="23"/>
        <v>AUXILIAR DE ENCANADOR OU BOMBEIRO HIDRAULICO (HORISTA)</v>
      </c>
    </row>
    <row r="378" spans="1:10" x14ac:dyDescent="0.25">
      <c r="A378" s="169">
        <v>40927</v>
      </c>
      <c r="B378" s="169" t="s">
        <v>23739</v>
      </c>
      <c r="C378" s="169" t="s">
        <v>10235</v>
      </c>
      <c r="D378" s="169" t="s">
        <v>1289</v>
      </c>
      <c r="E378" s="103" t="s">
        <v>29561</v>
      </c>
      <c r="F378" s="104"/>
      <c r="G378" s="105">
        <f t="shared" si="20"/>
        <v>2322.64</v>
      </c>
      <c r="H378" s="101" t="str">
        <f t="shared" si="21"/>
        <v>Sinapi 40927</v>
      </c>
      <c r="I378" s="101" t="str">
        <f t="shared" si="22"/>
        <v>MES</v>
      </c>
      <c r="J378" s="140" t="str">
        <f t="shared" si="23"/>
        <v>AUXILIAR DE ENCANADOR OU BOMBEIRO HIDRAULICO (MENSALISTA)</v>
      </c>
    </row>
    <row r="379" spans="1:10" x14ac:dyDescent="0.25">
      <c r="A379" s="169">
        <v>2350</v>
      </c>
      <c r="B379" s="169" t="s">
        <v>23740</v>
      </c>
      <c r="C379" s="169" t="s">
        <v>10228</v>
      </c>
      <c r="D379" s="169" t="s">
        <v>1289</v>
      </c>
      <c r="E379" s="103" t="s">
        <v>11608</v>
      </c>
      <c r="F379" s="104"/>
      <c r="G379" s="105">
        <f t="shared" si="20"/>
        <v>15.02</v>
      </c>
      <c r="H379" s="101" t="str">
        <f t="shared" si="21"/>
        <v>Sinapi 2350</v>
      </c>
      <c r="I379" s="101" t="str">
        <f t="shared" si="22"/>
        <v>H</v>
      </c>
      <c r="J379" s="140" t="str">
        <f t="shared" si="23"/>
        <v>AUXILIAR DE ESCRITORIO (HORISTA)</v>
      </c>
    </row>
    <row r="380" spans="1:10" x14ac:dyDescent="0.25">
      <c r="A380" s="169">
        <v>40812</v>
      </c>
      <c r="B380" s="169" t="s">
        <v>23741</v>
      </c>
      <c r="C380" s="169" t="s">
        <v>10235</v>
      </c>
      <c r="D380" s="169" t="s">
        <v>1289</v>
      </c>
      <c r="E380" s="103" t="s">
        <v>29684</v>
      </c>
      <c r="F380" s="104"/>
      <c r="G380" s="105">
        <f t="shared" si="20"/>
        <v>2617.13</v>
      </c>
      <c r="H380" s="101" t="str">
        <f t="shared" si="21"/>
        <v>Sinapi 40812</v>
      </c>
      <c r="I380" s="101" t="str">
        <f t="shared" si="22"/>
        <v>MES</v>
      </c>
      <c r="J380" s="140" t="str">
        <f t="shared" si="23"/>
        <v>AUXILIAR DE ESCRITORIO (MENSALISTA)</v>
      </c>
    </row>
    <row r="381" spans="1:10" x14ac:dyDescent="0.25">
      <c r="A381" s="169">
        <v>245</v>
      </c>
      <c r="B381" s="169" t="s">
        <v>23742</v>
      </c>
      <c r="C381" s="169" t="s">
        <v>10228</v>
      </c>
      <c r="D381" s="169" t="s">
        <v>1289</v>
      </c>
      <c r="E381" s="103" t="s">
        <v>17944</v>
      </c>
      <c r="F381" s="104"/>
      <c r="G381" s="105">
        <f t="shared" si="20"/>
        <v>19.88</v>
      </c>
      <c r="H381" s="101" t="str">
        <f t="shared" si="21"/>
        <v>Sinapi 245</v>
      </c>
      <c r="I381" s="101" t="str">
        <f t="shared" si="22"/>
        <v>H</v>
      </c>
      <c r="J381" s="140" t="str">
        <f t="shared" si="23"/>
        <v>AUXILIAR DE LABORATORISTA DE SOLOS E DE CONCRETO (HORISTA)</v>
      </c>
    </row>
    <row r="382" spans="1:10" x14ac:dyDescent="0.25">
      <c r="A382" s="169">
        <v>41090</v>
      </c>
      <c r="B382" s="169" t="s">
        <v>23743</v>
      </c>
      <c r="C382" s="169" t="s">
        <v>10235</v>
      </c>
      <c r="D382" s="169" t="s">
        <v>1289</v>
      </c>
      <c r="E382" s="103" t="s">
        <v>29685</v>
      </c>
      <c r="F382" s="104"/>
      <c r="G382" s="105">
        <f t="shared" si="20"/>
        <v>3462.67</v>
      </c>
      <c r="H382" s="101" t="str">
        <f t="shared" si="21"/>
        <v>Sinapi 41090</v>
      </c>
      <c r="I382" s="101" t="str">
        <f t="shared" si="22"/>
        <v>MES</v>
      </c>
      <c r="J382" s="140" t="str">
        <f t="shared" si="23"/>
        <v>AUXILIAR DE LABORATORISTA DE SOLOS E DE CONCRETO (MENSALISTA)</v>
      </c>
    </row>
    <row r="383" spans="1:10" x14ac:dyDescent="0.25">
      <c r="A383" s="169">
        <v>251</v>
      </c>
      <c r="B383" s="169" t="s">
        <v>23744</v>
      </c>
      <c r="C383" s="169" t="s">
        <v>10228</v>
      </c>
      <c r="D383" s="169" t="s">
        <v>1289</v>
      </c>
      <c r="E383" s="103" t="s">
        <v>20358</v>
      </c>
      <c r="F383" s="104"/>
      <c r="G383" s="105">
        <f t="shared" si="20"/>
        <v>16.010000000000002</v>
      </c>
      <c r="H383" s="101" t="str">
        <f t="shared" si="21"/>
        <v>Sinapi 251</v>
      </c>
      <c r="I383" s="101" t="str">
        <f t="shared" si="22"/>
        <v>H</v>
      </c>
      <c r="J383" s="140" t="str">
        <f t="shared" si="23"/>
        <v>AUXILIAR DE MECANICO</v>
      </c>
    </row>
    <row r="384" spans="1:10" x14ac:dyDescent="0.25">
      <c r="A384" s="169">
        <v>40975</v>
      </c>
      <c r="B384" s="169" t="s">
        <v>23745</v>
      </c>
      <c r="C384" s="169" t="s">
        <v>10235</v>
      </c>
      <c r="D384" s="169" t="s">
        <v>1289</v>
      </c>
      <c r="E384" s="103" t="s">
        <v>29686</v>
      </c>
      <c r="F384" s="104"/>
      <c r="G384" s="105">
        <f t="shared" si="20"/>
        <v>2788.62</v>
      </c>
      <c r="H384" s="101" t="str">
        <f t="shared" si="21"/>
        <v>Sinapi 40975</v>
      </c>
      <c r="I384" s="101" t="str">
        <f t="shared" si="22"/>
        <v>MES</v>
      </c>
      <c r="J384" s="140" t="str">
        <f t="shared" si="23"/>
        <v>AUXILIAR DE MECANICO (MENSALISTA)</v>
      </c>
    </row>
    <row r="385" spans="1:10" x14ac:dyDescent="0.25">
      <c r="A385" s="169">
        <v>6127</v>
      </c>
      <c r="B385" s="169" t="s">
        <v>23746</v>
      </c>
      <c r="C385" s="169" t="s">
        <v>10228</v>
      </c>
      <c r="D385" s="169" t="s">
        <v>1289</v>
      </c>
      <c r="E385" s="103" t="s">
        <v>29559</v>
      </c>
      <c r="F385" s="104"/>
      <c r="G385" s="105">
        <f t="shared" si="20"/>
        <v>12.32</v>
      </c>
      <c r="H385" s="101" t="str">
        <f t="shared" si="21"/>
        <v>Sinapi 6127</v>
      </c>
      <c r="I385" s="101" t="str">
        <f t="shared" si="22"/>
        <v>H</v>
      </c>
      <c r="J385" s="140" t="str">
        <f t="shared" si="23"/>
        <v>AUXILIAR DE PEDREIRO (HORISTA)</v>
      </c>
    </row>
    <row r="386" spans="1:10" x14ac:dyDescent="0.25">
      <c r="A386" s="169">
        <v>41072</v>
      </c>
      <c r="B386" s="169" t="s">
        <v>23747</v>
      </c>
      <c r="C386" s="169" t="s">
        <v>10235</v>
      </c>
      <c r="D386" s="169" t="s">
        <v>1289</v>
      </c>
      <c r="E386" s="103" t="s">
        <v>29560</v>
      </c>
      <c r="F386" s="104"/>
      <c r="G386" s="105">
        <f t="shared" si="20"/>
        <v>2148.08</v>
      </c>
      <c r="H386" s="101" t="str">
        <f t="shared" si="21"/>
        <v>Sinapi 41072</v>
      </c>
      <c r="I386" s="101" t="str">
        <f t="shared" si="22"/>
        <v>MES</v>
      </c>
      <c r="J386" s="140" t="str">
        <f t="shared" si="23"/>
        <v>AUXILIAR DE PEDREIRO (MENSALISTA)</v>
      </c>
    </row>
    <row r="387" spans="1:10" x14ac:dyDescent="0.25">
      <c r="A387" s="169">
        <v>6121</v>
      </c>
      <c r="B387" s="169" t="s">
        <v>23748</v>
      </c>
      <c r="C387" s="169" t="s">
        <v>10228</v>
      </c>
      <c r="D387" s="169" t="s">
        <v>1289</v>
      </c>
      <c r="E387" s="103" t="s">
        <v>10273</v>
      </c>
      <c r="F387" s="104"/>
      <c r="G387" s="105">
        <f t="shared" si="20"/>
        <v>13.38</v>
      </c>
      <c r="H387" s="101" t="str">
        <f t="shared" si="21"/>
        <v>Sinapi 6121</v>
      </c>
      <c r="I387" s="101" t="str">
        <f t="shared" si="22"/>
        <v>H</v>
      </c>
      <c r="J387" s="140" t="str">
        <f t="shared" si="23"/>
        <v>AUXILIAR DE SERVICOS GERAIS</v>
      </c>
    </row>
    <row r="388" spans="1:10" x14ac:dyDescent="0.25">
      <c r="A388" s="169">
        <v>41071</v>
      </c>
      <c r="B388" s="169" t="s">
        <v>23749</v>
      </c>
      <c r="C388" s="169" t="s">
        <v>10235</v>
      </c>
      <c r="D388" s="169" t="s">
        <v>1289</v>
      </c>
      <c r="E388" s="103" t="s">
        <v>29687</v>
      </c>
      <c r="F388" s="104"/>
      <c r="G388" s="105">
        <f t="shared" si="20"/>
        <v>2329.0300000000002</v>
      </c>
      <c r="H388" s="101" t="str">
        <f t="shared" si="21"/>
        <v>Sinapi 41071</v>
      </c>
      <c r="I388" s="101" t="str">
        <f t="shared" si="22"/>
        <v>MES</v>
      </c>
      <c r="J388" s="140" t="str">
        <f t="shared" si="23"/>
        <v>AUXILIAR DE SERVICOS GERAIS (MENSALISTA)</v>
      </c>
    </row>
    <row r="389" spans="1:10" x14ac:dyDescent="0.25">
      <c r="A389" s="169">
        <v>244</v>
      </c>
      <c r="B389" s="169" t="s">
        <v>23750</v>
      </c>
      <c r="C389" s="169" t="s">
        <v>10228</v>
      </c>
      <c r="D389" s="169" t="s">
        <v>1289</v>
      </c>
      <c r="E389" s="103" t="s">
        <v>1998</v>
      </c>
      <c r="F389" s="104"/>
      <c r="G389" s="105">
        <f t="shared" si="20"/>
        <v>13.49</v>
      </c>
      <c r="H389" s="101" t="str">
        <f t="shared" si="21"/>
        <v>Sinapi 244</v>
      </c>
      <c r="I389" s="101" t="str">
        <f t="shared" si="22"/>
        <v>H</v>
      </c>
      <c r="J389" s="140" t="str">
        <f t="shared" si="23"/>
        <v>AUXILIAR DE TOPOGRAFO (HORISTA)</v>
      </c>
    </row>
    <row r="390" spans="1:10" x14ac:dyDescent="0.25">
      <c r="A390" s="169">
        <v>41093</v>
      </c>
      <c r="B390" s="169" t="s">
        <v>23751</v>
      </c>
      <c r="C390" s="169" t="s">
        <v>10235</v>
      </c>
      <c r="D390" s="169" t="s">
        <v>1289</v>
      </c>
      <c r="E390" s="103" t="s">
        <v>29688</v>
      </c>
      <c r="F390" s="104"/>
      <c r="G390" s="105">
        <f t="shared" si="20"/>
        <v>2349.84</v>
      </c>
      <c r="H390" s="101" t="str">
        <f t="shared" si="21"/>
        <v>Sinapi 41093</v>
      </c>
      <c r="I390" s="101" t="str">
        <f t="shared" si="22"/>
        <v>MES</v>
      </c>
      <c r="J390" s="140" t="str">
        <f t="shared" si="23"/>
        <v>AUXILIAR DE TOPOGRAFO (MENSALISTA)</v>
      </c>
    </row>
    <row r="391" spans="1:10" x14ac:dyDescent="0.25">
      <c r="A391" s="169">
        <v>532</v>
      </c>
      <c r="B391" s="169" t="s">
        <v>23752</v>
      </c>
      <c r="C391" s="169" t="s">
        <v>10228</v>
      </c>
      <c r="D391" s="169" t="s">
        <v>1289</v>
      </c>
      <c r="E391" s="103" t="s">
        <v>29689</v>
      </c>
      <c r="F391" s="104"/>
      <c r="G391" s="105">
        <f t="shared" si="20"/>
        <v>43.11</v>
      </c>
      <c r="H391" s="101" t="str">
        <f t="shared" si="21"/>
        <v>Sinapi 532</v>
      </c>
      <c r="I391" s="101" t="str">
        <f t="shared" si="22"/>
        <v>H</v>
      </c>
      <c r="J391" s="140" t="str">
        <f t="shared" si="23"/>
        <v>AUXILIAR TECNICO / ASSISTENTE DE ENGENHARIA</v>
      </c>
    </row>
    <row r="392" spans="1:10" x14ac:dyDescent="0.25">
      <c r="A392" s="169">
        <v>40931</v>
      </c>
      <c r="B392" s="169" t="s">
        <v>23753</v>
      </c>
      <c r="C392" s="169" t="s">
        <v>10235</v>
      </c>
      <c r="D392" s="169" t="s">
        <v>1289</v>
      </c>
      <c r="E392" s="103" t="s">
        <v>29690</v>
      </c>
      <c r="F392" s="104"/>
      <c r="G392" s="105">
        <f t="shared" ref="G392:G455" si="24">IF(E392="","",E392+0)</f>
        <v>7504.94</v>
      </c>
      <c r="H392" s="101" t="str">
        <f t="shared" ref="H392:H455" si="25">IF(G392="","",TRIM(CONCATENATE("Sinapi ",A392)))</f>
        <v>Sinapi 40931</v>
      </c>
      <c r="I392" s="101" t="str">
        <f t="shared" ref="I392:I455" si="26">TRIM(C392)</f>
        <v>MES</v>
      </c>
      <c r="J392" s="140" t="str">
        <f t="shared" si="23"/>
        <v>AUXILIAR TECNICO / ASSISTENTE DE ENGENHARIA (MENSALISTA)</v>
      </c>
    </row>
    <row r="393" spans="1:10" x14ac:dyDescent="0.25">
      <c r="A393" s="169">
        <v>36150</v>
      </c>
      <c r="B393" s="169" t="s">
        <v>23754</v>
      </c>
      <c r="C393" s="169" t="s">
        <v>10225</v>
      </c>
      <c r="D393" s="169" t="s">
        <v>1289</v>
      </c>
      <c r="E393" s="103" t="s">
        <v>28491</v>
      </c>
      <c r="F393" s="104"/>
      <c r="G393" s="105">
        <f t="shared" si="24"/>
        <v>43.36</v>
      </c>
      <c r="H393" s="101" t="str">
        <f t="shared" si="25"/>
        <v>Sinapi 36150</v>
      </c>
      <c r="I393" s="101" t="str">
        <f t="shared" si="26"/>
        <v>UN</v>
      </c>
      <c r="J393" s="140" t="str">
        <f t="shared" ref="J393:J456" si="27">TRIM(B393)</f>
        <v>AVENTAL DE SEGURANCA DE RASPA DE COURO 1,00 X 0,60 M</v>
      </c>
    </row>
    <row r="394" spans="1:10" x14ac:dyDescent="0.25">
      <c r="A394" s="169">
        <v>4760</v>
      </c>
      <c r="B394" s="169" t="s">
        <v>23756</v>
      </c>
      <c r="C394" s="169" t="s">
        <v>10228</v>
      </c>
      <c r="D394" s="169" t="s">
        <v>1289</v>
      </c>
      <c r="E394" s="103" t="s">
        <v>27635</v>
      </c>
      <c r="F394" s="104"/>
      <c r="G394" s="105">
        <f t="shared" si="24"/>
        <v>19.86</v>
      </c>
      <c r="H394" s="101" t="str">
        <f t="shared" si="25"/>
        <v>Sinapi 4760</v>
      </c>
      <c r="I394" s="101" t="str">
        <f t="shared" si="26"/>
        <v>H</v>
      </c>
      <c r="J394" s="140" t="str">
        <f t="shared" si="27"/>
        <v>AZULEJISTA OU LADRILHEIRO (HORISTA)</v>
      </c>
    </row>
    <row r="395" spans="1:10" x14ac:dyDescent="0.25">
      <c r="A395" s="169">
        <v>41069</v>
      </c>
      <c r="B395" s="169" t="s">
        <v>23757</v>
      </c>
      <c r="C395" s="169" t="s">
        <v>10235</v>
      </c>
      <c r="D395" s="169" t="s">
        <v>1289</v>
      </c>
      <c r="E395" s="103" t="s">
        <v>29669</v>
      </c>
      <c r="F395" s="104"/>
      <c r="G395" s="105">
        <f t="shared" si="24"/>
        <v>3455.98</v>
      </c>
      <c r="H395" s="101" t="str">
        <f t="shared" si="25"/>
        <v>Sinapi 41069</v>
      </c>
      <c r="I395" s="101" t="str">
        <f t="shared" si="26"/>
        <v>MES</v>
      </c>
      <c r="J395" s="140" t="str">
        <f t="shared" si="27"/>
        <v>AZULEJISTA OU LADRILHEIRO (MENSALISTA)</v>
      </c>
    </row>
    <row r="396" spans="1:10" x14ac:dyDescent="0.25">
      <c r="A396" s="169">
        <v>10422</v>
      </c>
      <c r="B396" s="169" t="s">
        <v>23758</v>
      </c>
      <c r="C396" s="169" t="s">
        <v>10225</v>
      </c>
      <c r="D396" s="169" t="s">
        <v>1289</v>
      </c>
      <c r="E396" s="103" t="s">
        <v>29691</v>
      </c>
      <c r="F396" s="104"/>
      <c r="G396" s="105">
        <f t="shared" si="24"/>
        <v>371.97</v>
      </c>
      <c r="H396" s="101" t="str">
        <f t="shared" si="25"/>
        <v>Sinapi 10422</v>
      </c>
      <c r="I396" s="101" t="str">
        <f t="shared" si="26"/>
        <v>UN</v>
      </c>
      <c r="J396" s="140" t="str">
        <f t="shared" si="27"/>
        <v>BACIA SANITARIA (VASO) COM CAIXA ACOPLADA, SIFAO APARENTE, DE LOUCA BRANCA (SEM ASSENTO)</v>
      </c>
    </row>
    <row r="397" spans="1:10" x14ac:dyDescent="0.25">
      <c r="A397" s="169">
        <v>44019</v>
      </c>
      <c r="B397" s="169" t="s">
        <v>23759</v>
      </c>
      <c r="C397" s="169" t="s">
        <v>10225</v>
      </c>
      <c r="D397" s="169" t="s">
        <v>1289</v>
      </c>
      <c r="E397" s="103" t="s">
        <v>29692</v>
      </c>
      <c r="F397" s="104"/>
      <c r="G397" s="105">
        <f t="shared" si="24"/>
        <v>514.9</v>
      </c>
      <c r="H397" s="101" t="str">
        <f t="shared" si="25"/>
        <v>Sinapi 44019</v>
      </c>
      <c r="I397" s="101" t="str">
        <f t="shared" si="26"/>
        <v>UN</v>
      </c>
      <c r="J397" s="140" t="str">
        <f t="shared" si="27"/>
        <v>BACIA SANITARIA (VASO) COM CAIXA ACOPLADA, SIFAO OCULTO / CARENADO, DE LOUCA BRANCA (SEM ASSENTO ) - PADRAO ALTO</v>
      </c>
    </row>
    <row r="398" spans="1:10" x14ac:dyDescent="0.25">
      <c r="A398" s="169">
        <v>36520</v>
      </c>
      <c r="B398" s="169" t="s">
        <v>23760</v>
      </c>
      <c r="C398" s="169" t="s">
        <v>10225</v>
      </c>
      <c r="D398" s="169" t="s">
        <v>1289</v>
      </c>
      <c r="E398" s="103" t="s">
        <v>29693</v>
      </c>
      <c r="F398" s="104"/>
      <c r="G398" s="105">
        <f t="shared" si="24"/>
        <v>626.05999999999995</v>
      </c>
      <c r="H398" s="101" t="str">
        <f t="shared" si="25"/>
        <v>Sinapi 36520</v>
      </c>
      <c r="I398" s="101" t="str">
        <f t="shared" si="26"/>
        <v>UN</v>
      </c>
      <c r="J398" s="140" t="str">
        <f t="shared" si="27"/>
        <v>BACIA SANITARIA (VASO) CONVENCIONAL PARA PCD, SEM FURO FRONTAL, DE LOUCA BRANCA (SEM ASSENTO)</v>
      </c>
    </row>
    <row r="399" spans="1:10" x14ac:dyDescent="0.25">
      <c r="A399" s="169">
        <v>42319</v>
      </c>
      <c r="B399" s="169" t="s">
        <v>23761</v>
      </c>
      <c r="C399" s="169" t="s">
        <v>10225</v>
      </c>
      <c r="D399" s="169" t="s">
        <v>1289</v>
      </c>
      <c r="E399" s="103" t="s">
        <v>29694</v>
      </c>
      <c r="F399" s="104"/>
      <c r="G399" s="105">
        <f t="shared" si="24"/>
        <v>560.98</v>
      </c>
      <c r="H399" s="101" t="str">
        <f t="shared" si="25"/>
        <v>Sinapi 42319</v>
      </c>
      <c r="I399" s="101" t="str">
        <f t="shared" si="26"/>
        <v>UN</v>
      </c>
      <c r="J399" s="140" t="str">
        <f t="shared" si="27"/>
        <v>BACIA SANITARIA (VASO) CONVENCIONAL PARA USO ESPECIFICO (HOSPITAIS, CLINICAS), COM FURO FRONTAL, DE LOUCA BRANCA, SEM ASSENTO</v>
      </c>
    </row>
    <row r="400" spans="1:10" x14ac:dyDescent="0.25">
      <c r="A400" s="169">
        <v>10420</v>
      </c>
      <c r="B400" s="169" t="s">
        <v>23762</v>
      </c>
      <c r="C400" s="169" t="s">
        <v>10225</v>
      </c>
      <c r="D400" s="169" t="s">
        <v>1288</v>
      </c>
      <c r="E400" s="103" t="s">
        <v>29695</v>
      </c>
      <c r="F400" s="104"/>
      <c r="G400" s="105">
        <f t="shared" si="24"/>
        <v>199</v>
      </c>
      <c r="H400" s="101" t="str">
        <f t="shared" si="25"/>
        <v>Sinapi 10420</v>
      </c>
      <c r="I400" s="101" t="str">
        <f t="shared" si="26"/>
        <v>UN</v>
      </c>
      <c r="J400" s="140" t="str">
        <f t="shared" si="27"/>
        <v>BACIA SANITARIA (VASO) CONVENCIONAL, DE LOUCA BRANCA, SIFAO APARENTE, SAIDA VERTICAL (SEM ASSENTO)</v>
      </c>
    </row>
    <row r="401" spans="1:10" x14ac:dyDescent="0.25">
      <c r="A401" s="169">
        <v>10421</v>
      </c>
      <c r="B401" s="169" t="s">
        <v>23763</v>
      </c>
      <c r="C401" s="169" t="s">
        <v>10225</v>
      </c>
      <c r="D401" s="169" t="s">
        <v>1289</v>
      </c>
      <c r="E401" s="103" t="s">
        <v>29696</v>
      </c>
      <c r="F401" s="104"/>
      <c r="G401" s="105">
        <f t="shared" si="24"/>
        <v>218.67</v>
      </c>
      <c r="H401" s="101" t="str">
        <f t="shared" si="25"/>
        <v>Sinapi 10421</v>
      </c>
      <c r="I401" s="101" t="str">
        <f t="shared" si="26"/>
        <v>UN</v>
      </c>
      <c r="J401" s="140" t="str">
        <f t="shared" si="27"/>
        <v>BACIA SANITARIA (VASO) CONVENCIONAL, DE LOUCA COLORIDA, SIFAO APARENTE, SAIDA VERTICAL (SEM ASSENTO)</v>
      </c>
    </row>
    <row r="402" spans="1:10" x14ac:dyDescent="0.25">
      <c r="A402" s="169">
        <v>11786</v>
      </c>
      <c r="B402" s="169" t="s">
        <v>23764</v>
      </c>
      <c r="C402" s="169" t="s">
        <v>10225</v>
      </c>
      <c r="D402" s="169" t="s">
        <v>1289</v>
      </c>
      <c r="E402" s="103" t="s">
        <v>29697</v>
      </c>
      <c r="F402" s="104"/>
      <c r="G402" s="105">
        <f t="shared" si="24"/>
        <v>440.93</v>
      </c>
      <c r="H402" s="101" t="str">
        <f t="shared" si="25"/>
        <v>Sinapi 11786</v>
      </c>
      <c r="I402" s="101" t="str">
        <f t="shared" si="26"/>
        <v>UN</v>
      </c>
      <c r="J402" s="140" t="str">
        <f t="shared" si="27"/>
        <v>BACIA SANITARIA (VASO) INFANTIL, SIFONADO, DE LOUCA BRANCA, (SEM ASSENTO)</v>
      </c>
    </row>
    <row r="403" spans="1:10" x14ac:dyDescent="0.25">
      <c r="A403" s="169">
        <v>10</v>
      </c>
      <c r="B403" s="169" t="s">
        <v>23765</v>
      </c>
      <c r="C403" s="169" t="s">
        <v>10225</v>
      </c>
      <c r="D403" s="169" t="s">
        <v>1289</v>
      </c>
      <c r="E403" s="103" t="s">
        <v>29698</v>
      </c>
      <c r="F403" s="104"/>
      <c r="G403" s="105">
        <f t="shared" si="24"/>
        <v>19.420000000000002</v>
      </c>
      <c r="H403" s="101" t="str">
        <f t="shared" si="25"/>
        <v>Sinapi 10</v>
      </c>
      <c r="I403" s="101" t="str">
        <f t="shared" si="26"/>
        <v>UN</v>
      </c>
      <c r="J403" s="140" t="str">
        <f t="shared" si="27"/>
        <v>BALDE PLASTICO CAPACIDADE *10* L</v>
      </c>
    </row>
    <row r="404" spans="1:10" x14ac:dyDescent="0.25">
      <c r="A404" s="169">
        <v>4815</v>
      </c>
      <c r="B404" s="169" t="s">
        <v>23766</v>
      </c>
      <c r="C404" s="169" t="s">
        <v>10225</v>
      </c>
      <c r="D404" s="169" t="s">
        <v>1289</v>
      </c>
      <c r="E404" s="103" t="s">
        <v>29699</v>
      </c>
      <c r="F404" s="104"/>
      <c r="G404" s="105">
        <f t="shared" si="24"/>
        <v>6.13</v>
      </c>
      <c r="H404" s="101" t="str">
        <f t="shared" si="25"/>
        <v>Sinapi 4815</v>
      </c>
      <c r="I404" s="101" t="str">
        <f t="shared" si="26"/>
        <v>UN</v>
      </c>
      <c r="J404" s="140" t="str">
        <f t="shared" si="27"/>
        <v>BALDE VERMELHO PARA SINALIZACAO DE VIAS</v>
      </c>
    </row>
    <row r="405" spans="1:10" x14ac:dyDescent="0.25">
      <c r="A405" s="169">
        <v>541</v>
      </c>
      <c r="B405" s="169" t="s">
        <v>23767</v>
      </c>
      <c r="C405" s="169" t="s">
        <v>10225</v>
      </c>
      <c r="D405" s="169" t="s">
        <v>1288</v>
      </c>
      <c r="E405" s="103" t="s">
        <v>29700</v>
      </c>
      <c r="F405" s="104"/>
      <c r="G405" s="105">
        <f t="shared" si="24"/>
        <v>258.07</v>
      </c>
      <c r="H405" s="101" t="str">
        <f t="shared" si="25"/>
        <v>Sinapi 541</v>
      </c>
      <c r="I405" s="101" t="str">
        <f t="shared" si="26"/>
        <v>UN</v>
      </c>
      <c r="J405" s="140" t="str">
        <f t="shared" si="27"/>
        <v>BANCADA DE MARMORE SINTETICO COM UMA CUBA, 120 X *60* CM</v>
      </c>
    </row>
    <row r="406" spans="1:10" x14ac:dyDescent="0.25">
      <c r="A406" s="169">
        <v>542</v>
      </c>
      <c r="B406" s="169" t="s">
        <v>23768</v>
      </c>
      <c r="C406" s="169" t="s">
        <v>10225</v>
      </c>
      <c r="D406" s="169" t="s">
        <v>1289</v>
      </c>
      <c r="E406" s="103" t="s">
        <v>29701</v>
      </c>
      <c r="F406" s="104"/>
      <c r="G406" s="105">
        <f t="shared" si="24"/>
        <v>323.49</v>
      </c>
      <c r="H406" s="101" t="str">
        <f t="shared" si="25"/>
        <v>Sinapi 542</v>
      </c>
      <c r="I406" s="101" t="str">
        <f t="shared" si="26"/>
        <v>UN</v>
      </c>
      <c r="J406" s="140" t="str">
        <f t="shared" si="27"/>
        <v>BANCADA DE MARMORE SINTETICO COM UMA CUBA, 150 X *60* CM</v>
      </c>
    </row>
    <row r="407" spans="1:10" x14ac:dyDescent="0.25">
      <c r="A407" s="169">
        <v>540</v>
      </c>
      <c r="B407" s="169" t="s">
        <v>23769</v>
      </c>
      <c r="C407" s="169" t="s">
        <v>10225</v>
      </c>
      <c r="D407" s="169" t="s">
        <v>1289</v>
      </c>
      <c r="E407" s="103" t="s">
        <v>29702</v>
      </c>
      <c r="F407" s="104"/>
      <c r="G407" s="105">
        <f t="shared" si="24"/>
        <v>728.99</v>
      </c>
      <c r="H407" s="101" t="str">
        <f t="shared" si="25"/>
        <v>Sinapi 540</v>
      </c>
      <c r="I407" s="101" t="str">
        <f t="shared" si="26"/>
        <v>UN</v>
      </c>
      <c r="J407" s="140" t="str">
        <f t="shared" si="27"/>
        <v>BANCADA DE MARMORE SINTETICO COM UMA CUBA, 200 X *60* CM</v>
      </c>
    </row>
    <row r="408" spans="1:10" x14ac:dyDescent="0.25">
      <c r="A408" s="169">
        <v>38364</v>
      </c>
      <c r="B408" s="169" t="s">
        <v>23770</v>
      </c>
      <c r="C408" s="169" t="s">
        <v>10225</v>
      </c>
      <c r="D408" s="169" t="s">
        <v>1289</v>
      </c>
      <c r="E408" s="103" t="s">
        <v>29703</v>
      </c>
      <c r="F408" s="104"/>
      <c r="G408" s="105">
        <f t="shared" si="24"/>
        <v>1677.14</v>
      </c>
      <c r="H408" s="101" t="str">
        <f t="shared" si="25"/>
        <v>Sinapi 38364</v>
      </c>
      <c r="I408" s="101" t="str">
        <f t="shared" si="26"/>
        <v>UN</v>
      </c>
      <c r="J408" s="140" t="str">
        <f t="shared" si="27"/>
        <v>BANCADA/ BANCA EM GRANITO, POLIDO, TIPO ANDORINHA/ QUARTZ/ CASTELO/ CORUMBA OU OUTROS EQUIVALENTES DA REGIAO, COM CUBA INOX, FORMATO *120 X 60* CM, E= *2* CM</v>
      </c>
    </row>
    <row r="409" spans="1:10" x14ac:dyDescent="0.25">
      <c r="A409" s="169">
        <v>11692</v>
      </c>
      <c r="B409" s="169" t="s">
        <v>23771</v>
      </c>
      <c r="C409" s="169" t="s">
        <v>10226</v>
      </c>
      <c r="D409" s="169" t="s">
        <v>1289</v>
      </c>
      <c r="E409" s="103" t="s">
        <v>29704</v>
      </c>
      <c r="F409" s="104"/>
      <c r="G409" s="105">
        <f t="shared" si="24"/>
        <v>902.13</v>
      </c>
      <c r="H409" s="101" t="str">
        <f t="shared" si="25"/>
        <v>Sinapi 11692</v>
      </c>
      <c r="I409" s="101" t="str">
        <f t="shared" si="26"/>
        <v>M2</v>
      </c>
      <c r="J409" s="140" t="str">
        <f t="shared" si="27"/>
        <v>BANCADA/ BANCA/ BALCAO/ TAMPO EM MARMORE BRANCO COMUM, POLIDO, LISO, ACABAMENTO RETO, E= *3* CM (SEM FUROS)</v>
      </c>
    </row>
    <row r="410" spans="1:10" x14ac:dyDescent="0.25">
      <c r="A410" s="169">
        <v>1746</v>
      </c>
      <c r="B410" s="169" t="s">
        <v>23772</v>
      </c>
      <c r="C410" s="169" t="s">
        <v>10225</v>
      </c>
      <c r="D410" s="169" t="s">
        <v>1288</v>
      </c>
      <c r="E410" s="103" t="s">
        <v>29705</v>
      </c>
      <c r="F410" s="104"/>
      <c r="G410" s="105">
        <f t="shared" si="24"/>
        <v>265.76</v>
      </c>
      <c r="H410" s="101" t="str">
        <f t="shared" si="25"/>
        <v>Sinapi 1746</v>
      </c>
      <c r="I410" s="101" t="str">
        <f t="shared" si="26"/>
        <v>UN</v>
      </c>
      <c r="J410" s="140" t="str">
        <f t="shared" si="27"/>
        <v>BANCADA/BANCA/PIA DE ACO INOXIDAVEL (AISI 430) COM 1 CUBA CENTRAL, COM VALVULA, ESCORREDOR DUPLO, DE *0,55 X 1,20* M</v>
      </c>
    </row>
    <row r="411" spans="1:10" x14ac:dyDescent="0.25">
      <c r="A411" s="169">
        <v>1748</v>
      </c>
      <c r="B411" s="169" t="s">
        <v>23773</v>
      </c>
      <c r="C411" s="169" t="s">
        <v>10225</v>
      </c>
      <c r="D411" s="169" t="s">
        <v>1289</v>
      </c>
      <c r="E411" s="103" t="s">
        <v>29706</v>
      </c>
      <c r="F411" s="104"/>
      <c r="G411" s="105">
        <f t="shared" si="24"/>
        <v>353.39</v>
      </c>
      <c r="H411" s="101" t="str">
        <f t="shared" si="25"/>
        <v>Sinapi 1748</v>
      </c>
      <c r="I411" s="101" t="str">
        <f t="shared" si="26"/>
        <v>UN</v>
      </c>
      <c r="J411" s="140" t="str">
        <f t="shared" si="27"/>
        <v>BANCADA/BANCA/PIA DE ACO INOXIDAVEL (AISI 430) COM 1 CUBA CENTRAL, COM VALVULA, ESCORREDOR DUPLO, DE *0,55 X 1,40* M</v>
      </c>
    </row>
    <row r="412" spans="1:10" x14ac:dyDescent="0.25">
      <c r="A412" s="169">
        <v>1749</v>
      </c>
      <c r="B412" s="169" t="s">
        <v>23774</v>
      </c>
      <c r="C412" s="169" t="s">
        <v>10225</v>
      </c>
      <c r="D412" s="169" t="s">
        <v>1289</v>
      </c>
      <c r="E412" s="103" t="s">
        <v>29707</v>
      </c>
      <c r="F412" s="104"/>
      <c r="G412" s="105">
        <f t="shared" si="24"/>
        <v>512.01</v>
      </c>
      <c r="H412" s="101" t="str">
        <f t="shared" si="25"/>
        <v>Sinapi 1749</v>
      </c>
      <c r="I412" s="101" t="str">
        <f t="shared" si="26"/>
        <v>UN</v>
      </c>
      <c r="J412" s="140" t="str">
        <f t="shared" si="27"/>
        <v>BANCADA/BANCA/PIA DE ACO INOXIDAVEL (AISI 430) COM 1 CUBA CENTRAL, COM VALVULA, ESCORREDOR DUPLO, DE *0,55 X 1,80* M</v>
      </c>
    </row>
    <row r="413" spans="1:10" x14ac:dyDescent="0.25">
      <c r="A413" s="169">
        <v>37412</v>
      </c>
      <c r="B413" s="169" t="s">
        <v>23775</v>
      </c>
      <c r="C413" s="169" t="s">
        <v>10225</v>
      </c>
      <c r="D413" s="169" t="s">
        <v>1289</v>
      </c>
      <c r="E413" s="103" t="s">
        <v>29708</v>
      </c>
      <c r="F413" s="104"/>
      <c r="G413" s="105">
        <f t="shared" si="24"/>
        <v>259.77999999999997</v>
      </c>
      <c r="H413" s="101" t="str">
        <f t="shared" si="25"/>
        <v>Sinapi 37412</v>
      </c>
      <c r="I413" s="101" t="str">
        <f t="shared" si="26"/>
        <v>UN</v>
      </c>
      <c r="J413" s="140" t="str">
        <f t="shared" si="27"/>
        <v>BANCADA/BANCA/PIA DE ACO INOXIDAVEL (AISI 430) COM 1 CUBA CENTRAL, COM VALVULA, LISA (SEM ESCORREDOR), DE *0,55 X 1,20* M</v>
      </c>
    </row>
    <row r="414" spans="1:10" x14ac:dyDescent="0.25">
      <c r="A414" s="169">
        <v>1745</v>
      </c>
      <c r="B414" s="169" t="s">
        <v>23776</v>
      </c>
      <c r="C414" s="169" t="s">
        <v>10225</v>
      </c>
      <c r="D414" s="169" t="s">
        <v>1289</v>
      </c>
      <c r="E414" s="103" t="s">
        <v>29709</v>
      </c>
      <c r="F414" s="104"/>
      <c r="G414" s="105">
        <f t="shared" si="24"/>
        <v>308.91000000000003</v>
      </c>
      <c r="H414" s="101" t="str">
        <f t="shared" si="25"/>
        <v>Sinapi 1745</v>
      </c>
      <c r="I414" s="101" t="str">
        <f t="shared" si="26"/>
        <v>UN</v>
      </c>
      <c r="J414" s="140" t="str">
        <f t="shared" si="27"/>
        <v>BANCADA/BANCA/PIA DE ACO INOXIDAVEL (AISI 430) COM 1 CUBA CENTRAL, SEM VALVULA, ESCORREDOR DUPLO, DE *0,55 X 1,60* M</v>
      </c>
    </row>
    <row r="415" spans="1:10" x14ac:dyDescent="0.25">
      <c r="A415" s="169">
        <v>1750</v>
      </c>
      <c r="B415" s="169" t="s">
        <v>23777</v>
      </c>
      <c r="C415" s="169" t="s">
        <v>10225</v>
      </c>
      <c r="D415" s="169" t="s">
        <v>1289</v>
      </c>
      <c r="E415" s="103" t="s">
        <v>29710</v>
      </c>
      <c r="F415" s="104"/>
      <c r="G415" s="105">
        <f t="shared" si="24"/>
        <v>721.88</v>
      </c>
      <c r="H415" s="101" t="str">
        <f t="shared" si="25"/>
        <v>Sinapi 1750</v>
      </c>
      <c r="I415" s="101" t="str">
        <f t="shared" si="26"/>
        <v>UN</v>
      </c>
      <c r="J415" s="140" t="str">
        <f t="shared" si="27"/>
        <v>BANCADA/BANCA/PIA DE ACO INOXIDAVEL (AISI 430) COM 2 CUBAS, COM VALVULAS, ESCORREDOR DUPLO, DE *0,55 X 2,00* M</v>
      </c>
    </row>
    <row r="416" spans="1:10" x14ac:dyDescent="0.25">
      <c r="A416" s="169">
        <v>11687</v>
      </c>
      <c r="B416" s="169" t="s">
        <v>23778</v>
      </c>
      <c r="C416" s="169" t="s">
        <v>10229</v>
      </c>
      <c r="D416" s="169" t="s">
        <v>1289</v>
      </c>
      <c r="E416" s="103" t="s">
        <v>29711</v>
      </c>
      <c r="F416" s="104"/>
      <c r="G416" s="105">
        <f t="shared" si="24"/>
        <v>1150.18</v>
      </c>
      <c r="H416" s="101" t="str">
        <f t="shared" si="25"/>
        <v>Sinapi 11687</v>
      </c>
      <c r="I416" s="101" t="str">
        <f t="shared" si="26"/>
        <v>M</v>
      </c>
      <c r="J416" s="140" t="str">
        <f t="shared" si="27"/>
        <v>BANCADA/TAMPO ACO INOX (AISI 304), LARGURA 60 CM, COM RODABANCA (NAO INCLUI PES DE APOIO)</v>
      </c>
    </row>
    <row r="417" spans="1:10" x14ac:dyDescent="0.25">
      <c r="A417" s="169">
        <v>11689</v>
      </c>
      <c r="B417" s="169" t="s">
        <v>23779</v>
      </c>
      <c r="C417" s="169" t="s">
        <v>10229</v>
      </c>
      <c r="D417" s="169" t="s">
        <v>1289</v>
      </c>
      <c r="E417" s="103" t="s">
        <v>29712</v>
      </c>
      <c r="F417" s="104"/>
      <c r="G417" s="105">
        <f t="shared" si="24"/>
        <v>1441.11</v>
      </c>
      <c r="H417" s="101" t="str">
        <f t="shared" si="25"/>
        <v>Sinapi 11689</v>
      </c>
      <c r="I417" s="101" t="str">
        <f t="shared" si="26"/>
        <v>M</v>
      </c>
      <c r="J417" s="140" t="str">
        <f t="shared" si="27"/>
        <v>BANCADA/TAMPO ACO INOX (AISI 304), LARGURA 70 CM, COM RODABANCA (NAO INCLUI PES DE APOIO)</v>
      </c>
    </row>
    <row r="418" spans="1:10" x14ac:dyDescent="0.25">
      <c r="A418" s="169">
        <v>11693</v>
      </c>
      <c r="B418" s="169" t="s">
        <v>23780</v>
      </c>
      <c r="C418" s="169" t="s">
        <v>10226</v>
      </c>
      <c r="D418" s="169" t="s">
        <v>1289</v>
      </c>
      <c r="E418" s="103" t="s">
        <v>29713</v>
      </c>
      <c r="F418" s="104"/>
      <c r="G418" s="105">
        <f t="shared" si="24"/>
        <v>286.14</v>
      </c>
      <c r="H418" s="101" t="str">
        <f t="shared" si="25"/>
        <v>Sinapi 11693</v>
      </c>
      <c r="I418" s="101" t="str">
        <f t="shared" si="26"/>
        <v>M2</v>
      </c>
      <c r="J418" s="140" t="str">
        <f t="shared" si="27"/>
        <v>BANCADA/TAMPO LISO (SEM CUBA) EM MARMORE SINTETICO</v>
      </c>
    </row>
    <row r="419" spans="1:10" x14ac:dyDescent="0.25">
      <c r="A419" s="169">
        <v>36215</v>
      </c>
      <c r="B419" s="169" t="s">
        <v>23781</v>
      </c>
      <c r="C419" s="169" t="s">
        <v>10225</v>
      </c>
      <c r="D419" s="169" t="s">
        <v>1289</v>
      </c>
      <c r="E419" s="103" t="s">
        <v>29714</v>
      </c>
      <c r="F419" s="104"/>
      <c r="G419" s="105">
        <f t="shared" si="24"/>
        <v>729.94</v>
      </c>
      <c r="H419" s="101" t="str">
        <f t="shared" si="25"/>
        <v>Sinapi 36215</v>
      </c>
      <c r="I419" s="101" t="str">
        <f t="shared" si="26"/>
        <v>UN</v>
      </c>
      <c r="J419" s="140" t="str">
        <f t="shared" si="27"/>
        <v>BANCO ARTICULADO PARA BANHO, EM ACO INOX POLIDO, 70* CM X 45* CM</v>
      </c>
    </row>
    <row r="420" spans="1:10" x14ac:dyDescent="0.25">
      <c r="A420" s="169">
        <v>42439</v>
      </c>
      <c r="B420" s="169" t="s">
        <v>23782</v>
      </c>
      <c r="C420" s="169" t="s">
        <v>10225</v>
      </c>
      <c r="D420" s="169" t="s">
        <v>1290</v>
      </c>
      <c r="E420" s="103" t="s">
        <v>20985</v>
      </c>
      <c r="F420" s="104"/>
      <c r="G420" s="105">
        <f t="shared" si="24"/>
        <v>1207.8399999999999</v>
      </c>
      <c r="H420" s="101" t="str">
        <f t="shared" si="25"/>
        <v>Sinapi 42439</v>
      </c>
      <c r="I420" s="101" t="str">
        <f t="shared" si="26"/>
        <v>UN</v>
      </c>
      <c r="J420" s="140" t="str">
        <f t="shared" si="27"/>
        <v>BANCO COM ENCOSTO, 1,60M* DE COMPRIMENTO, EM TUBO DE ACO CARBONO E PINTURA NO PROCESSO ELETROSTATICO - PARA ACADEMIA AO AR LIVRE / ACADEMIA DA TERCEIRA IDADE - ATI</v>
      </c>
    </row>
    <row r="421" spans="1:10" x14ac:dyDescent="0.25">
      <c r="A421" s="169">
        <v>38381</v>
      </c>
      <c r="B421" s="169" t="s">
        <v>23783</v>
      </c>
      <c r="C421" s="169" t="s">
        <v>10225</v>
      </c>
      <c r="D421" s="169" t="s">
        <v>1289</v>
      </c>
      <c r="E421" s="103" t="s">
        <v>22897</v>
      </c>
      <c r="F421" s="104"/>
      <c r="G421" s="105">
        <f t="shared" si="24"/>
        <v>10.49</v>
      </c>
      <c r="H421" s="101" t="str">
        <f t="shared" si="25"/>
        <v>Sinapi 38381</v>
      </c>
      <c r="I421" s="101" t="str">
        <f t="shared" si="26"/>
        <v>UN</v>
      </c>
      <c r="J421" s="140" t="str">
        <f t="shared" si="27"/>
        <v>BANDEJA DE PINTURA PARA ROLO 23 CM</v>
      </c>
    </row>
    <row r="422" spans="1:10" x14ac:dyDescent="0.25">
      <c r="A422" s="169">
        <v>39621</v>
      </c>
      <c r="B422" s="169" t="s">
        <v>23785</v>
      </c>
      <c r="C422" s="169" t="s">
        <v>10239</v>
      </c>
      <c r="D422" s="169" t="s">
        <v>1289</v>
      </c>
      <c r="E422" s="103" t="s">
        <v>29715</v>
      </c>
      <c r="F422" s="104"/>
      <c r="G422" s="105">
        <f t="shared" si="24"/>
        <v>1041.42</v>
      </c>
      <c r="H422" s="101" t="str">
        <f t="shared" si="25"/>
        <v>Sinapi 39621</v>
      </c>
      <c r="I422" s="101" t="str">
        <f t="shared" si="26"/>
        <v>PAR</v>
      </c>
      <c r="J422" s="140" t="str">
        <f t="shared" si="27"/>
        <v>BARRA ANTIPANICO DUPLA, CEGA EM LADO OPOSTO, COR CINZA</v>
      </c>
    </row>
    <row r="423" spans="1:10" x14ac:dyDescent="0.25">
      <c r="A423" s="169">
        <v>39624</v>
      </c>
      <c r="B423" s="169" t="s">
        <v>23786</v>
      </c>
      <c r="C423" s="169" t="s">
        <v>10239</v>
      </c>
      <c r="D423" s="169" t="s">
        <v>1289</v>
      </c>
      <c r="E423" s="103" t="s">
        <v>29716</v>
      </c>
      <c r="F423" s="104"/>
      <c r="G423" s="105">
        <f t="shared" si="24"/>
        <v>1148.8</v>
      </c>
      <c r="H423" s="101" t="str">
        <f t="shared" si="25"/>
        <v>Sinapi 39624</v>
      </c>
      <c r="I423" s="101" t="str">
        <f t="shared" si="26"/>
        <v>PAR</v>
      </c>
      <c r="J423" s="140" t="str">
        <f t="shared" si="27"/>
        <v>BARRA ANTIPANICO DUPLA, PARA PORTA DE VIDRO, COR CINZA</v>
      </c>
    </row>
    <row r="424" spans="1:10" x14ac:dyDescent="0.25">
      <c r="A424" s="169">
        <v>39615</v>
      </c>
      <c r="B424" s="169" t="s">
        <v>23787</v>
      </c>
      <c r="C424" s="169" t="s">
        <v>10225</v>
      </c>
      <c r="D424" s="169" t="s">
        <v>1289</v>
      </c>
      <c r="E424" s="103" t="s">
        <v>29717</v>
      </c>
      <c r="F424" s="104"/>
      <c r="G424" s="105">
        <f t="shared" si="24"/>
        <v>464.22</v>
      </c>
      <c r="H424" s="101" t="str">
        <f t="shared" si="25"/>
        <v>Sinapi 39615</v>
      </c>
      <c r="I424" s="101" t="str">
        <f t="shared" si="26"/>
        <v>UN</v>
      </c>
      <c r="J424" s="140" t="str">
        <f t="shared" si="27"/>
        <v>BARRA ANTIPANICO SIMPLES, CEGA EM LADO OPOSTO, COR CINZA</v>
      </c>
    </row>
    <row r="425" spans="1:10" x14ac:dyDescent="0.25">
      <c r="A425" s="169">
        <v>39620</v>
      </c>
      <c r="B425" s="169" t="s">
        <v>23788</v>
      </c>
      <c r="C425" s="169" t="s">
        <v>10225</v>
      </c>
      <c r="D425" s="169" t="s">
        <v>1289</v>
      </c>
      <c r="E425" s="103" t="s">
        <v>29718</v>
      </c>
      <c r="F425" s="104"/>
      <c r="G425" s="105">
        <f t="shared" si="24"/>
        <v>708.99</v>
      </c>
      <c r="H425" s="101" t="str">
        <f t="shared" si="25"/>
        <v>Sinapi 39620</v>
      </c>
      <c r="I425" s="101" t="str">
        <f t="shared" si="26"/>
        <v>UN</v>
      </c>
      <c r="J425" s="140" t="str">
        <f t="shared" si="27"/>
        <v>BARRA ANTIPANICO SIMPLES, COM FECHADURA LADO OPOSTO, COR CINZA</v>
      </c>
    </row>
    <row r="426" spans="1:10" x14ac:dyDescent="0.25">
      <c r="A426" s="169">
        <v>39623</v>
      </c>
      <c r="B426" s="169" t="s">
        <v>23789</v>
      </c>
      <c r="C426" s="169" t="s">
        <v>10225</v>
      </c>
      <c r="D426" s="169" t="s">
        <v>1289</v>
      </c>
      <c r="E426" s="103" t="s">
        <v>29719</v>
      </c>
      <c r="F426" s="104"/>
      <c r="G426" s="105">
        <f t="shared" si="24"/>
        <v>759.39</v>
      </c>
      <c r="H426" s="101" t="str">
        <f t="shared" si="25"/>
        <v>Sinapi 39623</v>
      </c>
      <c r="I426" s="101" t="str">
        <f t="shared" si="26"/>
        <v>UN</v>
      </c>
      <c r="J426" s="140" t="str">
        <f t="shared" si="27"/>
        <v>BARRA ANTIPANICO SIMPLES, PARA PORTA DE VIDRO, COR CINZA</v>
      </c>
    </row>
    <row r="427" spans="1:10" x14ac:dyDescent="0.25">
      <c r="A427" s="169">
        <v>546</v>
      </c>
      <c r="B427" s="169" t="s">
        <v>23790</v>
      </c>
      <c r="C427" s="169" t="s">
        <v>10231</v>
      </c>
      <c r="D427" s="169" t="s">
        <v>1288</v>
      </c>
      <c r="E427" s="103" t="s">
        <v>7328</v>
      </c>
      <c r="F427" s="104"/>
      <c r="G427" s="105">
        <f t="shared" si="24"/>
        <v>11.82</v>
      </c>
      <c r="H427" s="101" t="str">
        <f t="shared" si="25"/>
        <v>Sinapi 546</v>
      </c>
      <c r="I427" s="101" t="str">
        <f t="shared" si="26"/>
        <v>KG</v>
      </c>
      <c r="J427" s="140" t="str">
        <f t="shared" si="27"/>
        <v>BARRA DE ACO CHATA, RETANGULAR (QUALQUER BITOLA)</v>
      </c>
    </row>
    <row r="428" spans="1:10" x14ac:dyDescent="0.25">
      <c r="A428" s="169">
        <v>566</v>
      </c>
      <c r="B428" s="169" t="s">
        <v>23791</v>
      </c>
      <c r="C428" s="169" t="s">
        <v>10229</v>
      </c>
      <c r="D428" s="169" t="s">
        <v>1289</v>
      </c>
      <c r="E428" s="103" t="s">
        <v>17881</v>
      </c>
      <c r="F428" s="104"/>
      <c r="G428" s="105">
        <f t="shared" si="24"/>
        <v>5.61</v>
      </c>
      <c r="H428" s="101" t="str">
        <f t="shared" si="25"/>
        <v>Sinapi 566</v>
      </c>
      <c r="I428" s="101" t="str">
        <f t="shared" si="26"/>
        <v>M</v>
      </c>
      <c r="J428" s="140" t="str">
        <f t="shared" si="27"/>
        <v>BARRA DE ACO CHATO, RETANGULAR, 19,05 MM X 3,17 MM (L X E), 0,47 KG/M</v>
      </c>
    </row>
    <row r="429" spans="1:10" x14ac:dyDescent="0.25">
      <c r="A429" s="169">
        <v>565</v>
      </c>
      <c r="B429" s="169" t="s">
        <v>23792</v>
      </c>
      <c r="C429" s="169" t="s">
        <v>10229</v>
      </c>
      <c r="D429" s="169" t="s">
        <v>1289</v>
      </c>
      <c r="E429" s="103" t="s">
        <v>5587</v>
      </c>
      <c r="F429" s="104"/>
      <c r="G429" s="105">
        <f t="shared" si="24"/>
        <v>20.440000000000001</v>
      </c>
      <c r="H429" s="101" t="str">
        <f t="shared" si="25"/>
        <v>Sinapi 565</v>
      </c>
      <c r="I429" s="101" t="str">
        <f t="shared" si="26"/>
        <v>M</v>
      </c>
      <c r="J429" s="140" t="str">
        <f t="shared" si="27"/>
        <v>BARRA DE ACO CHATO, RETANGULAR, 25,4 MM X 4,76 MM (L X E), 1,73 KG/M</v>
      </c>
    </row>
    <row r="430" spans="1:10" x14ac:dyDescent="0.25">
      <c r="A430" s="169">
        <v>555</v>
      </c>
      <c r="B430" s="169" t="s">
        <v>23793</v>
      </c>
      <c r="C430" s="169" t="s">
        <v>10229</v>
      </c>
      <c r="D430" s="169" t="s">
        <v>1289</v>
      </c>
      <c r="E430" s="103" t="s">
        <v>17355</v>
      </c>
      <c r="F430" s="104"/>
      <c r="G430" s="105">
        <f t="shared" si="24"/>
        <v>14.49</v>
      </c>
      <c r="H430" s="101" t="str">
        <f t="shared" si="25"/>
        <v>Sinapi 555</v>
      </c>
      <c r="I430" s="101" t="str">
        <f t="shared" si="26"/>
        <v>M</v>
      </c>
      <c r="J430" s="140" t="str">
        <f t="shared" si="27"/>
        <v>BARRA DE ACO CHATO, RETANGULAR, 25,4 MM X 6,35 MM (L X E), 1,2265 KG/M</v>
      </c>
    </row>
    <row r="431" spans="1:10" x14ac:dyDescent="0.25">
      <c r="A431" s="169">
        <v>557</v>
      </c>
      <c r="B431" s="169" t="s">
        <v>23794</v>
      </c>
      <c r="C431" s="169" t="s">
        <v>10229</v>
      </c>
      <c r="D431" s="169" t="s">
        <v>1289</v>
      </c>
      <c r="E431" s="103" t="s">
        <v>28768</v>
      </c>
      <c r="F431" s="104"/>
      <c r="G431" s="105">
        <f t="shared" si="24"/>
        <v>45.48</v>
      </c>
      <c r="H431" s="101" t="str">
        <f t="shared" si="25"/>
        <v>Sinapi 557</v>
      </c>
      <c r="I431" s="101" t="str">
        <f t="shared" si="26"/>
        <v>M</v>
      </c>
      <c r="J431" s="140" t="str">
        <f t="shared" si="27"/>
        <v>BARRA DE ACO CHATO, RETANGULAR, 38,1 MM X 12,7 MM (L X E), 3,79 KG/M</v>
      </c>
    </row>
    <row r="432" spans="1:10" x14ac:dyDescent="0.25">
      <c r="A432" s="169">
        <v>552</v>
      </c>
      <c r="B432" s="169" t="s">
        <v>23795</v>
      </c>
      <c r="C432" s="169" t="s">
        <v>10229</v>
      </c>
      <c r="D432" s="169" t="s">
        <v>1289</v>
      </c>
      <c r="E432" s="103" t="s">
        <v>22829</v>
      </c>
      <c r="F432" s="104"/>
      <c r="G432" s="105">
        <f t="shared" si="24"/>
        <v>22.56</v>
      </c>
      <c r="H432" s="101" t="str">
        <f t="shared" si="25"/>
        <v>Sinapi 552</v>
      </c>
      <c r="I432" s="101" t="str">
        <f t="shared" si="26"/>
        <v>M</v>
      </c>
      <c r="J432" s="140" t="str">
        <f t="shared" si="27"/>
        <v>BARRA DE ACO CHATO, RETANGULAR, 38,1 MM X 6,35 MM (L X E), 1,89 KG/M</v>
      </c>
    </row>
    <row r="433" spans="1:10" x14ac:dyDescent="0.25">
      <c r="A433" s="169">
        <v>563</v>
      </c>
      <c r="B433" s="169" t="s">
        <v>23796</v>
      </c>
      <c r="C433" s="169" t="s">
        <v>10229</v>
      </c>
      <c r="D433" s="169" t="s">
        <v>1289</v>
      </c>
      <c r="E433" s="103" t="s">
        <v>29720</v>
      </c>
      <c r="F433" s="104"/>
      <c r="G433" s="105">
        <f t="shared" si="24"/>
        <v>33.909999999999997</v>
      </c>
      <c r="H433" s="101" t="str">
        <f t="shared" si="25"/>
        <v>Sinapi 563</v>
      </c>
      <c r="I433" s="101" t="str">
        <f t="shared" si="26"/>
        <v>M</v>
      </c>
      <c r="J433" s="140" t="str">
        <f t="shared" si="27"/>
        <v>BARRA DE ACO CHATO, RETANGULAR, 38,1 MM X 9,53 MM (L X E), 2,84 KG/M</v>
      </c>
    </row>
    <row r="434" spans="1:10" x14ac:dyDescent="0.25">
      <c r="A434" s="169">
        <v>549</v>
      </c>
      <c r="B434" s="169" t="s">
        <v>23798</v>
      </c>
      <c r="C434" s="169" t="s">
        <v>10229</v>
      </c>
      <c r="D434" s="169" t="s">
        <v>1289</v>
      </c>
      <c r="E434" s="103" t="s">
        <v>29721</v>
      </c>
      <c r="F434" s="104"/>
      <c r="G434" s="105">
        <f t="shared" si="24"/>
        <v>61.02</v>
      </c>
      <c r="H434" s="101" t="str">
        <f t="shared" si="25"/>
        <v>Sinapi 549</v>
      </c>
      <c r="I434" s="101" t="str">
        <f t="shared" si="26"/>
        <v>M</v>
      </c>
      <c r="J434" s="140" t="str">
        <f t="shared" si="27"/>
        <v>BARRA DE ACO CHATO, RETANGULAR, 50,8 MM X 12,7 MM (L X E), 5,06 KG/M</v>
      </c>
    </row>
    <row r="435" spans="1:10" x14ac:dyDescent="0.25">
      <c r="A435" s="169">
        <v>551</v>
      </c>
      <c r="B435" s="169" t="s">
        <v>23799</v>
      </c>
      <c r="C435" s="169" t="s">
        <v>10229</v>
      </c>
      <c r="D435" s="169" t="s">
        <v>1289</v>
      </c>
      <c r="E435" s="103" t="s">
        <v>29722</v>
      </c>
      <c r="F435" s="104"/>
      <c r="G435" s="105">
        <f t="shared" si="24"/>
        <v>120.83</v>
      </c>
      <c r="H435" s="101" t="str">
        <f t="shared" si="25"/>
        <v>Sinapi 551</v>
      </c>
      <c r="I435" s="101" t="str">
        <f t="shared" si="26"/>
        <v>M</v>
      </c>
      <c r="J435" s="140" t="str">
        <f t="shared" si="27"/>
        <v>BARRA DE ACO CHATO, RETANGULAR, 50,8 MM X 25,4 MM (L X E), 10,12 KG/M</v>
      </c>
    </row>
    <row r="436" spans="1:10" x14ac:dyDescent="0.25">
      <c r="A436" s="169">
        <v>559</v>
      </c>
      <c r="B436" s="169" t="s">
        <v>23800</v>
      </c>
      <c r="C436" s="169" t="s">
        <v>10229</v>
      </c>
      <c r="D436" s="169" t="s">
        <v>1289</v>
      </c>
      <c r="E436" s="103" t="s">
        <v>20024</v>
      </c>
      <c r="F436" s="104"/>
      <c r="G436" s="105">
        <f t="shared" si="24"/>
        <v>30.2</v>
      </c>
      <c r="H436" s="101" t="str">
        <f t="shared" si="25"/>
        <v>Sinapi 559</v>
      </c>
      <c r="I436" s="101" t="str">
        <f t="shared" si="26"/>
        <v>M</v>
      </c>
      <c r="J436" s="140" t="str">
        <f t="shared" si="27"/>
        <v>BARRA DE ACO CHATO, RETANGULAR, 50,8 MM X 6,35 MM (L X E), 2,53 KG/M</v>
      </c>
    </row>
    <row r="437" spans="1:10" x14ac:dyDescent="0.25">
      <c r="A437" s="169">
        <v>560</v>
      </c>
      <c r="B437" s="169" t="s">
        <v>23802</v>
      </c>
      <c r="C437" s="169" t="s">
        <v>10229</v>
      </c>
      <c r="D437" s="169" t="s">
        <v>1289</v>
      </c>
      <c r="E437" s="103" t="s">
        <v>23119</v>
      </c>
      <c r="F437" s="104"/>
      <c r="G437" s="105">
        <f t="shared" si="24"/>
        <v>37.79</v>
      </c>
      <c r="H437" s="101" t="str">
        <f t="shared" si="25"/>
        <v>Sinapi 560</v>
      </c>
      <c r="I437" s="101" t="str">
        <f t="shared" si="26"/>
        <v>M</v>
      </c>
      <c r="J437" s="140" t="str">
        <f t="shared" si="27"/>
        <v>BARRA DE ACO CHATO, RETANGULAR, 50,8 MM X 7,94 MM (L X E), 3,162 KG/M</v>
      </c>
    </row>
    <row r="438" spans="1:10" x14ac:dyDescent="0.25">
      <c r="A438" s="169">
        <v>547</v>
      </c>
      <c r="B438" s="169" t="s">
        <v>23804</v>
      </c>
      <c r="C438" s="169" t="s">
        <v>10229</v>
      </c>
      <c r="D438" s="169" t="s">
        <v>1289</v>
      </c>
      <c r="E438" s="103" t="s">
        <v>29723</v>
      </c>
      <c r="F438" s="104"/>
      <c r="G438" s="105">
        <f t="shared" si="24"/>
        <v>45.25</v>
      </c>
      <c r="H438" s="101" t="str">
        <f t="shared" si="25"/>
        <v>Sinapi 547</v>
      </c>
      <c r="I438" s="101" t="str">
        <f t="shared" si="26"/>
        <v>M</v>
      </c>
      <c r="J438" s="140" t="str">
        <f t="shared" si="27"/>
        <v>BARRA DE ACO CHATO, RETANGULAR, 50,8 MM X 9,53 MM (L X E), 3,79KG/M</v>
      </c>
    </row>
    <row r="439" spans="1:10" x14ac:dyDescent="0.25">
      <c r="A439" s="169">
        <v>36207</v>
      </c>
      <c r="B439" s="169" t="s">
        <v>23805</v>
      </c>
      <c r="C439" s="169" t="s">
        <v>10225</v>
      </c>
      <c r="D439" s="169" t="s">
        <v>1289</v>
      </c>
      <c r="E439" s="103" t="s">
        <v>29724</v>
      </c>
      <c r="F439" s="104"/>
      <c r="G439" s="105">
        <f t="shared" si="24"/>
        <v>323.31</v>
      </c>
      <c r="H439" s="101" t="str">
        <f t="shared" si="25"/>
        <v>Sinapi 36207</v>
      </c>
      <c r="I439" s="101" t="str">
        <f t="shared" si="26"/>
        <v>UN</v>
      </c>
      <c r="J439" s="140" t="str">
        <f t="shared" si="27"/>
        <v>BARRA DE APOIO EM "L", EM ACO INOX POLIDO 70 X 70 CM, DIAMETRO MINIMO 3 CM</v>
      </c>
    </row>
    <row r="440" spans="1:10" x14ac:dyDescent="0.25">
      <c r="A440" s="169">
        <v>36209</v>
      </c>
      <c r="B440" s="169" t="s">
        <v>23806</v>
      </c>
      <c r="C440" s="169" t="s">
        <v>10225</v>
      </c>
      <c r="D440" s="169" t="s">
        <v>1289</v>
      </c>
      <c r="E440" s="103" t="s">
        <v>29725</v>
      </c>
      <c r="F440" s="104"/>
      <c r="G440" s="105">
        <f t="shared" si="24"/>
        <v>371.05</v>
      </c>
      <c r="H440" s="101" t="str">
        <f t="shared" si="25"/>
        <v>Sinapi 36209</v>
      </c>
      <c r="I440" s="101" t="str">
        <f t="shared" si="26"/>
        <v>UN</v>
      </c>
      <c r="J440" s="140" t="str">
        <f t="shared" si="27"/>
        <v>BARRA DE APOIO EM "L", EM ACO INOX POLIDO 80 X 80 CM, DIAMETRO MINIMO 3 CM</v>
      </c>
    </row>
    <row r="441" spans="1:10" x14ac:dyDescent="0.25">
      <c r="A441" s="169">
        <v>36210</v>
      </c>
      <c r="B441" s="169" t="s">
        <v>23807</v>
      </c>
      <c r="C441" s="169" t="s">
        <v>10225</v>
      </c>
      <c r="D441" s="169" t="s">
        <v>1289</v>
      </c>
      <c r="E441" s="103" t="s">
        <v>29726</v>
      </c>
      <c r="F441" s="104"/>
      <c r="G441" s="105">
        <f t="shared" si="24"/>
        <v>401.46</v>
      </c>
      <c r="H441" s="101" t="str">
        <f t="shared" si="25"/>
        <v>Sinapi 36210</v>
      </c>
      <c r="I441" s="101" t="str">
        <f t="shared" si="26"/>
        <v>UN</v>
      </c>
      <c r="J441" s="140" t="str">
        <f t="shared" si="27"/>
        <v>BARRA DE APOIO LATERAL ARTICULADA, COM TRAVA, EM ACO INOX POLIDO, 70 CM, DIAMETRO MINIMO 3 CM</v>
      </c>
    </row>
    <row r="442" spans="1:10" x14ac:dyDescent="0.25">
      <c r="A442" s="169">
        <v>36204</v>
      </c>
      <c r="B442" s="169" t="s">
        <v>23808</v>
      </c>
      <c r="C442" s="169" t="s">
        <v>10225</v>
      </c>
      <c r="D442" s="169" t="s">
        <v>1289</v>
      </c>
      <c r="E442" s="103" t="s">
        <v>28505</v>
      </c>
      <c r="F442" s="104"/>
      <c r="G442" s="105">
        <f t="shared" si="24"/>
        <v>142.34</v>
      </c>
      <c r="H442" s="101" t="str">
        <f t="shared" si="25"/>
        <v>Sinapi 36204</v>
      </c>
      <c r="I442" s="101" t="str">
        <f t="shared" si="26"/>
        <v>UN</v>
      </c>
      <c r="J442" s="140" t="str">
        <f t="shared" si="27"/>
        <v>BARRA DE APOIO RETA, EM ACO INOX POLIDO, COMPRIMENTO 60CM, DIAMETRO MINIMO 3 CM</v>
      </c>
    </row>
    <row r="443" spans="1:10" x14ac:dyDescent="0.25">
      <c r="A443" s="169">
        <v>36205</v>
      </c>
      <c r="B443" s="169" t="s">
        <v>23809</v>
      </c>
      <c r="C443" s="169" t="s">
        <v>10225</v>
      </c>
      <c r="D443" s="169" t="s">
        <v>1289</v>
      </c>
      <c r="E443" s="103" t="s">
        <v>29727</v>
      </c>
      <c r="F443" s="104"/>
      <c r="G443" s="105">
        <f t="shared" si="24"/>
        <v>158.08000000000001</v>
      </c>
      <c r="H443" s="101" t="str">
        <f t="shared" si="25"/>
        <v>Sinapi 36205</v>
      </c>
      <c r="I443" s="101" t="str">
        <f t="shared" si="26"/>
        <v>UN</v>
      </c>
      <c r="J443" s="140" t="str">
        <f t="shared" si="27"/>
        <v>BARRA DE APOIO RETA, EM ACO INOX POLIDO, COMPRIMENTO 70CM, DIAMETRO MINIMO 3 CM</v>
      </c>
    </row>
    <row r="444" spans="1:10" x14ac:dyDescent="0.25">
      <c r="A444" s="169">
        <v>36081</v>
      </c>
      <c r="B444" s="169" t="s">
        <v>23810</v>
      </c>
      <c r="C444" s="169" t="s">
        <v>10225</v>
      </c>
      <c r="D444" s="169" t="s">
        <v>1288</v>
      </c>
      <c r="E444" s="103" t="s">
        <v>29728</v>
      </c>
      <c r="F444" s="104"/>
      <c r="G444" s="105">
        <f t="shared" si="24"/>
        <v>168.56</v>
      </c>
      <c r="H444" s="101" t="str">
        <f t="shared" si="25"/>
        <v>Sinapi 36081</v>
      </c>
      <c r="I444" s="101" t="str">
        <f t="shared" si="26"/>
        <v>UN</v>
      </c>
      <c r="J444" s="140" t="str">
        <f t="shared" si="27"/>
        <v>BARRA DE APOIO RETA, EM ACO INOX POLIDO, COMPRIMENTO 80CM, DIAMETRO MINIMO 3 CM</v>
      </c>
    </row>
    <row r="445" spans="1:10" x14ac:dyDescent="0.25">
      <c r="A445" s="169">
        <v>36206</v>
      </c>
      <c r="B445" s="169" t="s">
        <v>23811</v>
      </c>
      <c r="C445" s="169" t="s">
        <v>10225</v>
      </c>
      <c r="D445" s="169" t="s">
        <v>1289</v>
      </c>
      <c r="E445" s="103" t="s">
        <v>29729</v>
      </c>
      <c r="F445" s="104"/>
      <c r="G445" s="105">
        <f t="shared" si="24"/>
        <v>176.59</v>
      </c>
      <c r="H445" s="101" t="str">
        <f t="shared" si="25"/>
        <v>Sinapi 36206</v>
      </c>
      <c r="I445" s="101" t="str">
        <f t="shared" si="26"/>
        <v>UN</v>
      </c>
      <c r="J445" s="140" t="str">
        <f t="shared" si="27"/>
        <v>BARRA DE APOIO RETA, EM ACO INOX POLIDO, COMPRIMENTO 90 CM, DIAMETRO MINIMO 3 CM</v>
      </c>
    </row>
    <row r="446" spans="1:10" x14ac:dyDescent="0.25">
      <c r="A446" s="169">
        <v>36218</v>
      </c>
      <c r="B446" s="169" t="s">
        <v>23812</v>
      </c>
      <c r="C446" s="169" t="s">
        <v>10225</v>
      </c>
      <c r="D446" s="169" t="s">
        <v>1290</v>
      </c>
      <c r="E446" s="103" t="s">
        <v>29730</v>
      </c>
      <c r="F446" s="104"/>
      <c r="G446" s="105">
        <f t="shared" si="24"/>
        <v>161.24</v>
      </c>
      <c r="H446" s="101" t="str">
        <f t="shared" si="25"/>
        <v>Sinapi 36218</v>
      </c>
      <c r="I446" s="101" t="str">
        <f t="shared" si="26"/>
        <v>UN</v>
      </c>
      <c r="J446" s="140" t="str">
        <f t="shared" si="27"/>
        <v>BARRA DE APOIO RETA, EM ALUMINIO, COMPRIMENTO 60CM, DIAMETRO MINIMO 3 CM</v>
      </c>
    </row>
    <row r="447" spans="1:10" x14ac:dyDescent="0.25">
      <c r="A447" s="169">
        <v>36220</v>
      </c>
      <c r="B447" s="169" t="s">
        <v>23814</v>
      </c>
      <c r="C447" s="169" t="s">
        <v>10225</v>
      </c>
      <c r="D447" s="169" t="s">
        <v>1290</v>
      </c>
      <c r="E447" s="103" t="s">
        <v>23220</v>
      </c>
      <c r="F447" s="104"/>
      <c r="G447" s="105">
        <f t="shared" si="24"/>
        <v>184.89</v>
      </c>
      <c r="H447" s="101" t="str">
        <f t="shared" si="25"/>
        <v>Sinapi 36220</v>
      </c>
      <c r="I447" s="101" t="str">
        <f t="shared" si="26"/>
        <v>UN</v>
      </c>
      <c r="J447" s="140" t="str">
        <f t="shared" si="27"/>
        <v>BARRA DE APOIO RETA, EM ALUMINIO, COMPRIMENTO 70CM, DIAMETRO MINIMO 3 CM</v>
      </c>
    </row>
    <row r="448" spans="1:10" x14ac:dyDescent="0.25">
      <c r="A448" s="169">
        <v>36080</v>
      </c>
      <c r="B448" s="169" t="s">
        <v>23815</v>
      </c>
      <c r="C448" s="169" t="s">
        <v>10225</v>
      </c>
      <c r="D448" s="169" t="s">
        <v>1290</v>
      </c>
      <c r="E448" s="103" t="s">
        <v>29731</v>
      </c>
      <c r="F448" s="104"/>
      <c r="G448" s="105">
        <f t="shared" si="24"/>
        <v>199.99</v>
      </c>
      <c r="H448" s="101" t="str">
        <f t="shared" si="25"/>
        <v>Sinapi 36080</v>
      </c>
      <c r="I448" s="101" t="str">
        <f t="shared" si="26"/>
        <v>UN</v>
      </c>
      <c r="J448" s="140" t="str">
        <f t="shared" si="27"/>
        <v>BARRA DE APOIO RETA, EM ALUMINIO, COMPRIMENTO 80 CM, DIAMETRO MINIMO 3 CM</v>
      </c>
    </row>
    <row r="449" spans="1:10" x14ac:dyDescent="0.25">
      <c r="A449" s="169">
        <v>36223</v>
      </c>
      <c r="B449" s="169" t="s">
        <v>23816</v>
      </c>
      <c r="C449" s="169" t="s">
        <v>10225</v>
      </c>
      <c r="D449" s="169" t="s">
        <v>1290</v>
      </c>
      <c r="E449" s="103" t="s">
        <v>23043</v>
      </c>
      <c r="F449" s="104"/>
      <c r="G449" s="105">
        <f t="shared" si="24"/>
        <v>209.42</v>
      </c>
      <c r="H449" s="101" t="str">
        <f t="shared" si="25"/>
        <v>Sinapi 36223</v>
      </c>
      <c r="I449" s="101" t="str">
        <f t="shared" si="26"/>
        <v>UN</v>
      </c>
      <c r="J449" s="140" t="str">
        <f t="shared" si="27"/>
        <v>BARRA DE APOIO RETA, EM ALUMINIO, COMPRIMENTO 90 CM, DIAMETRO MINIMO 3 CM</v>
      </c>
    </row>
    <row r="450" spans="1:10" x14ac:dyDescent="0.25">
      <c r="A450" s="169">
        <v>38127</v>
      </c>
      <c r="B450" s="169" t="s">
        <v>23817</v>
      </c>
      <c r="C450" s="169" t="s">
        <v>10225</v>
      </c>
      <c r="D450" s="169" t="s">
        <v>1289</v>
      </c>
      <c r="E450" s="103" t="s">
        <v>29732</v>
      </c>
      <c r="F450" s="104"/>
      <c r="G450" s="105">
        <f t="shared" si="24"/>
        <v>276.77999999999997</v>
      </c>
      <c r="H450" s="101" t="str">
        <f t="shared" si="25"/>
        <v>Sinapi 38127</v>
      </c>
      <c r="I450" s="101" t="str">
        <f t="shared" si="26"/>
        <v>UN</v>
      </c>
      <c r="J450" s="140" t="str">
        <f t="shared" si="27"/>
        <v>BASE DE MISTURADOR MONOCOMANDO PARA CHUVEIRO, DE PAREDE (NAO INCLUI ACABAMENTOS)</v>
      </c>
    </row>
    <row r="451" spans="1:10" x14ac:dyDescent="0.25">
      <c r="A451" s="169">
        <v>38060</v>
      </c>
      <c r="B451" s="169" t="s">
        <v>23818</v>
      </c>
      <c r="C451" s="169" t="s">
        <v>10225</v>
      </c>
      <c r="D451" s="169" t="s">
        <v>1289</v>
      </c>
      <c r="E451" s="103" t="s">
        <v>28784</v>
      </c>
      <c r="F451" s="104"/>
      <c r="G451" s="105">
        <f t="shared" si="24"/>
        <v>52.22</v>
      </c>
      <c r="H451" s="101" t="str">
        <f t="shared" si="25"/>
        <v>Sinapi 38060</v>
      </c>
      <c r="I451" s="101" t="str">
        <f t="shared" si="26"/>
        <v>UN</v>
      </c>
      <c r="J451" s="140" t="str">
        <f t="shared" si="27"/>
        <v>BASE PARA MASTRO DE PARA-RAIOS DIAMETRO NOMINAL 1 1/2"</v>
      </c>
    </row>
    <row r="452" spans="1:10" x14ac:dyDescent="0.25">
      <c r="A452" s="169">
        <v>10956</v>
      </c>
      <c r="B452" s="169" t="s">
        <v>23819</v>
      </c>
      <c r="C452" s="169" t="s">
        <v>10225</v>
      </c>
      <c r="D452" s="169" t="s">
        <v>1289</v>
      </c>
      <c r="E452" s="103" t="s">
        <v>29733</v>
      </c>
      <c r="F452" s="104"/>
      <c r="G452" s="105">
        <f t="shared" si="24"/>
        <v>57.27</v>
      </c>
      <c r="H452" s="101" t="str">
        <f t="shared" si="25"/>
        <v>Sinapi 10956</v>
      </c>
      <c r="I452" s="101" t="str">
        <f t="shared" si="26"/>
        <v>UN</v>
      </c>
      <c r="J452" s="140" t="str">
        <f t="shared" si="27"/>
        <v>BASE PARA MASTRO DE PARA-RAIOS DIAMETRO NOMINAL 2"</v>
      </c>
    </row>
    <row r="453" spans="1:10" x14ac:dyDescent="0.25">
      <c r="A453" s="169">
        <v>39380</v>
      </c>
      <c r="B453" s="169" t="s">
        <v>23820</v>
      </c>
      <c r="C453" s="169" t="s">
        <v>10225</v>
      </c>
      <c r="D453" s="169" t="s">
        <v>1290</v>
      </c>
      <c r="E453" s="103" t="s">
        <v>19360</v>
      </c>
      <c r="F453" s="104"/>
      <c r="G453" s="105">
        <f t="shared" si="24"/>
        <v>21.36</v>
      </c>
      <c r="H453" s="101" t="str">
        <f t="shared" si="25"/>
        <v>Sinapi 39380</v>
      </c>
      <c r="I453" s="101" t="str">
        <f t="shared" si="26"/>
        <v>UN</v>
      </c>
      <c r="J453" s="140" t="str">
        <f t="shared" si="27"/>
        <v>BASE PARA RELE COM SUPORTE METALICO</v>
      </c>
    </row>
    <row r="454" spans="1:10" x14ac:dyDescent="0.25">
      <c r="A454" s="169">
        <v>44172</v>
      </c>
      <c r="B454" s="169" t="s">
        <v>23821</v>
      </c>
      <c r="C454" s="169" t="s">
        <v>10225</v>
      </c>
      <c r="D454" s="169" t="s">
        <v>1289</v>
      </c>
      <c r="E454" s="103" t="s">
        <v>14628</v>
      </c>
      <c r="F454" s="104"/>
      <c r="G454" s="105">
        <f t="shared" si="24"/>
        <v>7.78</v>
      </c>
      <c r="H454" s="101" t="str">
        <f t="shared" si="25"/>
        <v>Sinapi 44172</v>
      </c>
      <c r="I454" s="101" t="str">
        <f t="shared" si="26"/>
        <v>UN</v>
      </c>
      <c r="J454" s="140" t="str">
        <f t="shared" si="27"/>
        <v>BASTIDOR PARA BLOCO M10</v>
      </c>
    </row>
    <row r="455" spans="1:10" x14ac:dyDescent="0.25">
      <c r="A455" s="169">
        <v>37597</v>
      </c>
      <c r="B455" s="169" t="s">
        <v>23822</v>
      </c>
      <c r="C455" s="169" t="s">
        <v>10225</v>
      </c>
      <c r="D455" s="169" t="s">
        <v>1290</v>
      </c>
      <c r="E455" s="103" t="s">
        <v>29734</v>
      </c>
      <c r="F455" s="104"/>
      <c r="G455" s="105">
        <f t="shared" si="24"/>
        <v>616250</v>
      </c>
      <c r="H455" s="101" t="str">
        <f t="shared" si="25"/>
        <v>Sinapi 37597</v>
      </c>
      <c r="I455" s="101" t="str">
        <f t="shared" si="26"/>
        <v>UN</v>
      </c>
      <c r="J455" s="140" t="str">
        <f t="shared" si="27"/>
        <v>BATE-ESTACAS POR GRAVIDADE, POTENCIA160 HP, PESO DO MARTELO ATE 3 TONELADAS</v>
      </c>
    </row>
    <row r="456" spans="1:10" x14ac:dyDescent="0.25">
      <c r="A456" s="169">
        <v>183</v>
      </c>
      <c r="B456" s="169" t="s">
        <v>23823</v>
      </c>
      <c r="C456" s="169" t="s">
        <v>10241</v>
      </c>
      <c r="D456" s="169" t="s">
        <v>1288</v>
      </c>
      <c r="E456" s="103" t="s">
        <v>29735</v>
      </c>
      <c r="F456" s="104"/>
      <c r="G456" s="105">
        <f t="shared" ref="G456:G519" si="28">IF(E456="","",E456+0)</f>
        <v>140</v>
      </c>
      <c r="H456" s="101" t="str">
        <f t="shared" ref="H456:H519" si="29">IF(G456="","",TRIM(CONCATENATE("Sinapi ",A456)))</f>
        <v>Sinapi 183</v>
      </c>
      <c r="I456" s="101" t="str">
        <f t="shared" ref="I456:I519" si="30">TRIM(C456)</f>
        <v>JG</v>
      </c>
      <c r="J456" s="140" t="str">
        <f t="shared" si="27"/>
        <v>BATENTE / PORTAL / ADUELA / MARCO EM MADEIRA MACICA COM REBAIXO, E = *3* CM, L = *14* CM, PARA PORTAS DE GIRO DE *60 CM A 120* CM X *210* CM, CEDRINHO / ANGELIM COMERCIAL / TAURI / CURUPIXA / PEROBA / CUMARU OU EQUIVALENTE DA REGIAO (NAO INCLUI ALIZARES)</v>
      </c>
    </row>
    <row r="457" spans="1:10" x14ac:dyDescent="0.25">
      <c r="A457" s="169">
        <v>184</v>
      </c>
      <c r="B457" s="169" t="s">
        <v>23825</v>
      </c>
      <c r="C457" s="169" t="s">
        <v>10241</v>
      </c>
      <c r="D457" s="169" t="s">
        <v>1289</v>
      </c>
      <c r="E457" s="103" t="s">
        <v>29736</v>
      </c>
      <c r="F457" s="104"/>
      <c r="G457" s="105">
        <f t="shared" si="28"/>
        <v>86.7</v>
      </c>
      <c r="H457" s="101" t="str">
        <f t="shared" si="29"/>
        <v>Sinapi 184</v>
      </c>
      <c r="I457" s="101" t="str">
        <f t="shared" si="30"/>
        <v>JG</v>
      </c>
      <c r="J457" s="140" t="str">
        <f t="shared" ref="J457:J520" si="31">TRIM(B457)</f>
        <v>BATENTE / PORTAL / ADUELA / MARCO EM MADEIRA MACICA COM REBAIXO, E = *3* CM, L = *14* CM, PARA PORTAS DE GIRO DE *60 CM A 120* CM X *210* CM, PINUS / EUCALIPTO / VIROLA OU EQUIVALENTE DA REGIAO (NAO INCLUI ALIZARES)</v>
      </c>
    </row>
    <row r="458" spans="1:10" x14ac:dyDescent="0.25">
      <c r="A458" s="169">
        <v>181</v>
      </c>
      <c r="B458" s="169" t="s">
        <v>23826</v>
      </c>
      <c r="C458" s="169" t="s">
        <v>10241</v>
      </c>
      <c r="D458" s="169" t="s">
        <v>1289</v>
      </c>
      <c r="E458" s="103" t="s">
        <v>29737</v>
      </c>
      <c r="F458" s="104"/>
      <c r="G458" s="105">
        <f t="shared" si="28"/>
        <v>186.96</v>
      </c>
      <c r="H458" s="101" t="str">
        <f t="shared" si="29"/>
        <v>Sinapi 181</v>
      </c>
      <c r="I458" s="101" t="str">
        <f t="shared" si="30"/>
        <v>JG</v>
      </c>
      <c r="J458" s="140" t="str">
        <f t="shared" si="31"/>
        <v>BATENTE / PORTAL / ADUELA / MARCO EM MADEIRA MACICA COM REBAIXO, E = *3* CM, L = *16* CM, PARA PORTAS DE GIRO DE *60 CM A 120* CM X *210* CM, CEDRINHO / ANGELIM COMERCIAL / TAURI / CURUPIXA / PEROBA / CUMARU OU EQUIVALENTE DA REGIAO (NAO INCLUI ALIZARES)</v>
      </c>
    </row>
    <row r="459" spans="1:10" x14ac:dyDescent="0.25">
      <c r="A459" s="169">
        <v>20001</v>
      </c>
      <c r="B459" s="169" t="s">
        <v>23827</v>
      </c>
      <c r="C459" s="169" t="s">
        <v>10241</v>
      </c>
      <c r="D459" s="169" t="s">
        <v>1289</v>
      </c>
      <c r="E459" s="103" t="s">
        <v>29738</v>
      </c>
      <c r="F459" s="104"/>
      <c r="G459" s="105">
        <f t="shared" si="28"/>
        <v>108.38</v>
      </c>
      <c r="H459" s="101" t="str">
        <f t="shared" si="29"/>
        <v>Sinapi 20001</v>
      </c>
      <c r="I459" s="101" t="str">
        <f t="shared" si="30"/>
        <v>JG</v>
      </c>
      <c r="J459" s="140" t="str">
        <f t="shared" si="31"/>
        <v>BATENTE / PORTAL / ADUELA / MARCO EM MADEIRA MACICA COM REBAIXO, E = *3* CM, L = *16* CM, PARA PORTAS DE GIRO DE *60 CM A 120* CM X *210* CM, PINUS / EUCALIPTO / VIROLA OU EQUIVALENTE DA REGIAO (NAO INCLUI ALIZARES)</v>
      </c>
    </row>
    <row r="460" spans="1:10" x14ac:dyDescent="0.25">
      <c r="A460" s="169">
        <v>39837</v>
      </c>
      <c r="B460" s="169" t="s">
        <v>23828</v>
      </c>
      <c r="C460" s="169" t="s">
        <v>10241</v>
      </c>
      <c r="D460" s="169" t="s">
        <v>1290</v>
      </c>
      <c r="E460" s="103" t="s">
        <v>29739</v>
      </c>
      <c r="F460" s="104"/>
      <c r="G460" s="105">
        <f t="shared" si="28"/>
        <v>384.54</v>
      </c>
      <c r="H460" s="101" t="str">
        <f t="shared" si="29"/>
        <v>Sinapi 39837</v>
      </c>
      <c r="I460" s="101" t="str">
        <f t="shared" si="30"/>
        <v>JG</v>
      </c>
      <c r="J460" s="140" t="str">
        <f t="shared" si="31"/>
        <v>BATENTE/PORTAL/ADUELA/MARCO, EM MDF/PVC WOOD/POLIESTIRENO OU MADEIRA LAMINADA, L = *9,0* CM COM GUARNICAO REGULAVEL 2 FACES = *35* MM, PRIMER</v>
      </c>
    </row>
    <row r="461" spans="1:10" x14ac:dyDescent="0.25">
      <c r="A461" s="169">
        <v>43366</v>
      </c>
      <c r="B461" s="169" t="s">
        <v>23829</v>
      </c>
      <c r="C461" s="169" t="s">
        <v>10231</v>
      </c>
      <c r="D461" s="169" t="s">
        <v>1290</v>
      </c>
      <c r="E461" s="103" t="s">
        <v>17912</v>
      </c>
      <c r="F461" s="104"/>
      <c r="G461" s="105">
        <f t="shared" si="28"/>
        <v>1.54</v>
      </c>
      <c r="H461" s="101" t="str">
        <f t="shared" si="29"/>
        <v>Sinapi 43366</v>
      </c>
      <c r="I461" s="101" t="str">
        <f t="shared" si="30"/>
        <v>KG</v>
      </c>
      <c r="J461" s="140" t="str">
        <f t="shared" si="31"/>
        <v>BENTONITA, ARGILA CONSTITUIDA POR MONTMORILONITA</v>
      </c>
    </row>
    <row r="462" spans="1:10" x14ac:dyDescent="0.25">
      <c r="A462" s="169">
        <v>10535</v>
      </c>
      <c r="B462" s="169" t="s">
        <v>23830</v>
      </c>
      <c r="C462" s="169" t="s">
        <v>10225</v>
      </c>
      <c r="D462" s="169" t="s">
        <v>1288</v>
      </c>
      <c r="E462" s="103" t="s">
        <v>29740</v>
      </c>
      <c r="F462" s="104"/>
      <c r="G462" s="105">
        <f t="shared" si="28"/>
        <v>6228.63</v>
      </c>
      <c r="H462" s="101" t="str">
        <f t="shared" si="29"/>
        <v>Sinapi 10535</v>
      </c>
      <c r="I462" s="101" t="str">
        <f t="shared" si="30"/>
        <v>UN</v>
      </c>
      <c r="J462" s="140" t="str">
        <f t="shared" si="31"/>
        <v>BETONEIRA CAPACIDADE NOMINAL 400 L, CAPACIDADE DE MISTURA 280 L, MOTOR ELETRICO TRIFASICO 220/380 V POTENCIA 2 CV, SEM CARREGADOR</v>
      </c>
    </row>
    <row r="463" spans="1:10" x14ac:dyDescent="0.25">
      <c r="A463" s="169">
        <v>10537</v>
      </c>
      <c r="B463" s="169" t="s">
        <v>23831</v>
      </c>
      <c r="C463" s="169" t="s">
        <v>10225</v>
      </c>
      <c r="D463" s="169" t="s">
        <v>1289</v>
      </c>
      <c r="E463" s="103" t="s">
        <v>29741</v>
      </c>
      <c r="F463" s="104"/>
      <c r="G463" s="105">
        <f t="shared" si="28"/>
        <v>8494.16</v>
      </c>
      <c r="H463" s="101" t="str">
        <f t="shared" si="29"/>
        <v>Sinapi 10537</v>
      </c>
      <c r="I463" s="101" t="str">
        <f t="shared" si="30"/>
        <v>UN</v>
      </c>
      <c r="J463" s="140" t="str">
        <f t="shared" si="31"/>
        <v>BETONEIRA CAPACIDADE NOMINAL 400 L, CAPACIDADE DE MISTURA 310 L, MOTOR A DIESEL POTENCIA 5 CV, SEM CARREGADOR</v>
      </c>
    </row>
    <row r="464" spans="1:10" x14ac:dyDescent="0.25">
      <c r="A464" s="169">
        <v>13891</v>
      </c>
      <c r="B464" s="169" t="s">
        <v>23832</v>
      </c>
      <c r="C464" s="169" t="s">
        <v>10225</v>
      </c>
      <c r="D464" s="169" t="s">
        <v>1289</v>
      </c>
      <c r="E464" s="103" t="s">
        <v>29742</v>
      </c>
      <c r="F464" s="104"/>
      <c r="G464" s="105">
        <f t="shared" si="28"/>
        <v>7791.06</v>
      </c>
      <c r="H464" s="101" t="str">
        <f t="shared" si="29"/>
        <v>Sinapi 13891</v>
      </c>
      <c r="I464" s="101" t="str">
        <f t="shared" si="30"/>
        <v>UN</v>
      </c>
      <c r="J464" s="140" t="str">
        <f t="shared" si="31"/>
        <v>BETONEIRA CAPACIDADE NOMINAL 400 L, CAPACIDADE DE MISTURA 310 L, MOTOR A GASOLINA POTENCIA 5,5 CV, SEM CARREGADOR</v>
      </c>
    </row>
    <row r="465" spans="1:10" x14ac:dyDescent="0.25">
      <c r="A465" s="169">
        <v>44492</v>
      </c>
      <c r="B465" s="169" t="s">
        <v>23833</v>
      </c>
      <c r="C465" s="169" t="s">
        <v>10225</v>
      </c>
      <c r="D465" s="169" t="s">
        <v>1289</v>
      </c>
      <c r="E465" s="103" t="s">
        <v>29743</v>
      </c>
      <c r="F465" s="104"/>
      <c r="G465" s="105">
        <f t="shared" si="28"/>
        <v>33887.96</v>
      </c>
      <c r="H465" s="101" t="str">
        <f t="shared" si="29"/>
        <v>Sinapi 44492</v>
      </c>
      <c r="I465" s="101" t="str">
        <f t="shared" si="30"/>
        <v>UN</v>
      </c>
      <c r="J465" s="140" t="str">
        <f t="shared" si="31"/>
        <v>BETONEIRA CAPACIDADE NOMINAL 600 L, CAPACIDADE DE MISTURA 440 L, MOTOR A GASOLINA POTENCIA 10 HP, COM CARREGADOR</v>
      </c>
    </row>
    <row r="466" spans="1:10" x14ac:dyDescent="0.25">
      <c r="A466" s="169">
        <v>36396</v>
      </c>
      <c r="B466" s="169" t="s">
        <v>23834</v>
      </c>
      <c r="C466" s="169" t="s">
        <v>10225</v>
      </c>
      <c r="D466" s="169" t="s">
        <v>1289</v>
      </c>
      <c r="E466" s="103" t="s">
        <v>29744</v>
      </c>
      <c r="F466" s="104"/>
      <c r="G466" s="105">
        <f t="shared" si="28"/>
        <v>7125.97</v>
      </c>
      <c r="H466" s="101" t="str">
        <f t="shared" si="29"/>
        <v>Sinapi 36396</v>
      </c>
      <c r="I466" s="101" t="str">
        <f t="shared" si="30"/>
        <v>UN</v>
      </c>
      <c r="J466" s="140" t="str">
        <f t="shared" si="31"/>
        <v>BETONEIRA, CAPACIDADE NOMINAL 400 L, CAPACIDADE DE MISTURA 310L, MOTOR ELETRICO TRIFASICO 220/380V POTENCIA 2 CV, SEM CARREGADOR</v>
      </c>
    </row>
    <row r="467" spans="1:10" x14ac:dyDescent="0.25">
      <c r="A467" s="169">
        <v>36397</v>
      </c>
      <c r="B467" s="169" t="s">
        <v>23835</v>
      </c>
      <c r="C467" s="169" t="s">
        <v>10225</v>
      </c>
      <c r="D467" s="169" t="s">
        <v>1289</v>
      </c>
      <c r="E467" s="103" t="s">
        <v>29745</v>
      </c>
      <c r="F467" s="104"/>
      <c r="G467" s="105">
        <f t="shared" si="28"/>
        <v>25336.79</v>
      </c>
      <c r="H467" s="101" t="str">
        <f t="shared" si="29"/>
        <v>Sinapi 36397</v>
      </c>
      <c r="I467" s="101" t="str">
        <f t="shared" si="30"/>
        <v>UN</v>
      </c>
      <c r="J467" s="140" t="str">
        <f t="shared" si="31"/>
        <v>BETONEIRA, CAPACIDADE NOMINAL 600 L, CAPACIDADE DE MISTURA 360L, MOTOR ELETRICO TRIFASICO 220/380V, POTENCIA 4CV, EXCLUSO CARREGADOR</v>
      </c>
    </row>
    <row r="468" spans="1:10" x14ac:dyDescent="0.25">
      <c r="A468" s="169">
        <v>36398</v>
      </c>
      <c r="B468" s="169" t="s">
        <v>23836</v>
      </c>
      <c r="C468" s="169" t="s">
        <v>10225</v>
      </c>
      <c r="D468" s="169" t="s">
        <v>1289</v>
      </c>
      <c r="E468" s="103" t="s">
        <v>29746</v>
      </c>
      <c r="F468" s="104"/>
      <c r="G468" s="105">
        <f t="shared" si="28"/>
        <v>30794.76</v>
      </c>
      <c r="H468" s="101" t="str">
        <f t="shared" si="29"/>
        <v>Sinapi 36398</v>
      </c>
      <c r="I468" s="101" t="str">
        <f t="shared" si="30"/>
        <v>UN</v>
      </c>
      <c r="J468" s="140" t="str">
        <f t="shared" si="31"/>
        <v>BETONEIRA, CAPACIDADE NOMINAL 600 L, CAPACIDADE DE MISTURA 440 L, MOTOR A DIESEL POTENCIA 10 CV, COM CARREGADOR</v>
      </c>
    </row>
    <row r="469" spans="1:10" x14ac:dyDescent="0.25">
      <c r="A469" s="169">
        <v>647</v>
      </c>
      <c r="B469" s="169" t="s">
        <v>23837</v>
      </c>
      <c r="C469" s="169" t="s">
        <v>10228</v>
      </c>
      <c r="D469" s="169" t="s">
        <v>1289</v>
      </c>
      <c r="E469" s="103" t="s">
        <v>29747</v>
      </c>
      <c r="F469" s="104"/>
      <c r="G469" s="105">
        <f t="shared" si="28"/>
        <v>17.66</v>
      </c>
      <c r="H469" s="101" t="str">
        <f t="shared" si="29"/>
        <v>Sinapi 647</v>
      </c>
      <c r="I469" s="101" t="str">
        <f t="shared" si="30"/>
        <v>H</v>
      </c>
      <c r="J469" s="140" t="str">
        <f t="shared" si="31"/>
        <v>BLASTER, DINAMITADOR OU CABO DE FOGO</v>
      </c>
    </row>
    <row r="470" spans="1:10" x14ac:dyDescent="0.25">
      <c r="A470" s="169">
        <v>40920</v>
      </c>
      <c r="B470" s="169" t="s">
        <v>23838</v>
      </c>
      <c r="C470" s="169" t="s">
        <v>10235</v>
      </c>
      <c r="D470" s="169" t="s">
        <v>1289</v>
      </c>
      <c r="E470" s="103" t="s">
        <v>29748</v>
      </c>
      <c r="F470" s="104"/>
      <c r="G470" s="105">
        <f t="shared" si="28"/>
        <v>3074.28</v>
      </c>
      <c r="H470" s="101" t="str">
        <f t="shared" si="29"/>
        <v>Sinapi 40920</v>
      </c>
      <c r="I470" s="101" t="str">
        <f t="shared" si="30"/>
        <v>MES</v>
      </c>
      <c r="J470" s="140" t="str">
        <f t="shared" si="31"/>
        <v>BLASTER, DINAMITADOR OU CABO DE FOGO (MENSALISTA)</v>
      </c>
    </row>
    <row r="471" spans="1:10" x14ac:dyDescent="0.25">
      <c r="A471" s="169">
        <v>715</v>
      </c>
      <c r="B471" s="169" t="s">
        <v>23839</v>
      </c>
      <c r="C471" s="169" t="s">
        <v>10225</v>
      </c>
      <c r="D471" s="169" t="s">
        <v>1288</v>
      </c>
      <c r="E471" s="103" t="s">
        <v>17962</v>
      </c>
      <c r="F471" s="104"/>
      <c r="G471" s="105">
        <f t="shared" si="28"/>
        <v>28.69</v>
      </c>
      <c r="H471" s="101" t="str">
        <f t="shared" si="29"/>
        <v>Sinapi 715</v>
      </c>
      <c r="I471" s="101" t="str">
        <f t="shared" si="30"/>
        <v>UN</v>
      </c>
      <c r="J471" s="140" t="str">
        <f t="shared" si="31"/>
        <v>BLOCO / TIJOLO DE VIDRO INCOLOR, CANELADO / ONDULADO, *19 X 19 X 8* CM (A X L X E)</v>
      </c>
    </row>
    <row r="472" spans="1:10" x14ac:dyDescent="0.25">
      <c r="A472" s="169">
        <v>716</v>
      </c>
      <c r="B472" s="169" t="s">
        <v>23840</v>
      </c>
      <c r="C472" s="169" t="s">
        <v>10225</v>
      </c>
      <c r="D472" s="169" t="s">
        <v>1289</v>
      </c>
      <c r="E472" s="103" t="s">
        <v>29749</v>
      </c>
      <c r="F472" s="104"/>
      <c r="G472" s="105">
        <f t="shared" si="28"/>
        <v>32.44</v>
      </c>
      <c r="H472" s="101" t="str">
        <f t="shared" si="29"/>
        <v>Sinapi 716</v>
      </c>
      <c r="I472" s="101" t="str">
        <f t="shared" si="30"/>
        <v>UN</v>
      </c>
      <c r="J472" s="140" t="str">
        <f t="shared" si="31"/>
        <v>BLOCO / TIJOLO DE VIDRO INCOLOR, XADREZ, *20 X 20 X 10* CM (A X L X E)</v>
      </c>
    </row>
    <row r="473" spans="1:10" x14ac:dyDescent="0.25">
      <c r="A473" s="169">
        <v>38783</v>
      </c>
      <c r="B473" s="169" t="s">
        <v>23841</v>
      </c>
      <c r="C473" s="169" t="s">
        <v>10225</v>
      </c>
      <c r="D473" s="169" t="s">
        <v>1289</v>
      </c>
      <c r="E473" s="103" t="s">
        <v>8326</v>
      </c>
      <c r="F473" s="104"/>
      <c r="G473" s="105">
        <f t="shared" si="28"/>
        <v>1</v>
      </c>
      <c r="H473" s="101" t="str">
        <f t="shared" si="29"/>
        <v>Sinapi 38783</v>
      </c>
      <c r="I473" s="101" t="str">
        <f t="shared" si="30"/>
        <v>UN</v>
      </c>
      <c r="J473" s="140" t="str">
        <f t="shared" si="31"/>
        <v>BLOCO CERAMICO / TIJOLO VAZADO PARA ALVENARIA DE VEDACAO, FUROS NA HORIZONTAL, 11,5 X 19 X 19 CM (NBR 15270)</v>
      </c>
    </row>
    <row r="474" spans="1:10" x14ac:dyDescent="0.25">
      <c r="A474" s="169">
        <v>37593</v>
      </c>
      <c r="B474" s="169" t="s">
        <v>23842</v>
      </c>
      <c r="C474" s="169" t="s">
        <v>10225</v>
      </c>
      <c r="D474" s="169" t="s">
        <v>1289</v>
      </c>
      <c r="E474" s="103" t="s">
        <v>20040</v>
      </c>
      <c r="F474" s="104"/>
      <c r="G474" s="105">
        <f t="shared" si="28"/>
        <v>2.46</v>
      </c>
      <c r="H474" s="101" t="str">
        <f t="shared" si="29"/>
        <v>Sinapi 37593</v>
      </c>
      <c r="I474" s="101" t="str">
        <f t="shared" si="30"/>
        <v>UN</v>
      </c>
      <c r="J474" s="140" t="str">
        <f t="shared" si="31"/>
        <v>BLOCO CERAMICO / TIJOLO VAZADO PARA ALVENARIA DE VEDACAO, FUROS NA VERTICAL, 14 X 19 X 39 CM (NBR 15270)</v>
      </c>
    </row>
    <row r="475" spans="1:10" x14ac:dyDescent="0.25">
      <c r="A475" s="169">
        <v>37594</v>
      </c>
      <c r="B475" s="169" t="s">
        <v>23843</v>
      </c>
      <c r="C475" s="169" t="s">
        <v>10225</v>
      </c>
      <c r="D475" s="169" t="s">
        <v>1289</v>
      </c>
      <c r="E475" s="103" t="s">
        <v>29750</v>
      </c>
      <c r="F475" s="104"/>
      <c r="G475" s="105">
        <f t="shared" si="28"/>
        <v>3.06</v>
      </c>
      <c r="H475" s="101" t="str">
        <f t="shared" si="29"/>
        <v>Sinapi 37594</v>
      </c>
      <c r="I475" s="101" t="str">
        <f t="shared" si="30"/>
        <v>UN</v>
      </c>
      <c r="J475" s="140" t="str">
        <f t="shared" si="31"/>
        <v>BLOCO CERAMICO / TIJOLO VAZADO PARA ALVENARIA DE VEDACAO, FUROS NA VERTICAL, 19 X 19 X 39 CM (NBR 15270)</v>
      </c>
    </row>
    <row r="476" spans="1:10" x14ac:dyDescent="0.25">
      <c r="A476" s="169">
        <v>37592</v>
      </c>
      <c r="B476" s="169" t="s">
        <v>23844</v>
      </c>
      <c r="C476" s="169" t="s">
        <v>10225</v>
      </c>
      <c r="D476" s="169" t="s">
        <v>1289</v>
      </c>
      <c r="E476" s="103" t="s">
        <v>2121</v>
      </c>
      <c r="F476" s="104"/>
      <c r="G476" s="105">
        <f t="shared" si="28"/>
        <v>1.94</v>
      </c>
      <c r="H476" s="101" t="str">
        <f t="shared" si="29"/>
        <v>Sinapi 37592</v>
      </c>
      <c r="I476" s="101" t="str">
        <f t="shared" si="30"/>
        <v>UN</v>
      </c>
      <c r="J476" s="140" t="str">
        <f t="shared" si="31"/>
        <v>BLOCO CERAMICO / TIJOLO VAZADO PARA ALVENARIA DE VEDACAO, FUROS NA VERTICAL,, 9 X 19 X 39 CM (NBR 15270)</v>
      </c>
    </row>
    <row r="477" spans="1:10" x14ac:dyDescent="0.25">
      <c r="A477" s="169">
        <v>7270</v>
      </c>
      <c r="B477" s="169" t="s">
        <v>23845</v>
      </c>
      <c r="C477" s="169" t="s">
        <v>10225</v>
      </c>
      <c r="D477" s="169" t="s">
        <v>1289</v>
      </c>
      <c r="E477" s="103" t="s">
        <v>2115</v>
      </c>
      <c r="F477" s="104"/>
      <c r="G477" s="105">
        <f t="shared" si="28"/>
        <v>0.87</v>
      </c>
      <c r="H477" s="101" t="str">
        <f t="shared" si="29"/>
        <v>Sinapi 7270</v>
      </c>
      <c r="I477" s="101" t="str">
        <f t="shared" si="30"/>
        <v>UN</v>
      </c>
      <c r="J477" s="140" t="str">
        <f t="shared" si="31"/>
        <v>BLOCO CERAMICO / TIJOLO VAZADO PARA ALVENARIA DE VEDACAO, 4 FUROS NA HORIZONTAL, DE 9 X 9 X 19 CM (L X A X C)</v>
      </c>
    </row>
    <row r="478" spans="1:10" x14ac:dyDescent="0.25">
      <c r="A478" s="169">
        <v>7267</v>
      </c>
      <c r="B478" s="169" t="s">
        <v>23846</v>
      </c>
      <c r="C478" s="169" t="s">
        <v>10225</v>
      </c>
      <c r="D478" s="169" t="s">
        <v>1289</v>
      </c>
      <c r="E478" s="103" t="s">
        <v>2103</v>
      </c>
      <c r="F478" s="104"/>
      <c r="G478" s="105">
        <f t="shared" si="28"/>
        <v>0.68</v>
      </c>
      <c r="H478" s="101" t="str">
        <f t="shared" si="29"/>
        <v>Sinapi 7267</v>
      </c>
      <c r="I478" s="101" t="str">
        <f t="shared" si="30"/>
        <v>UN</v>
      </c>
      <c r="J478" s="140" t="str">
        <f t="shared" si="31"/>
        <v>BLOCO CERAMICO / TIJOLO VAZADO PARA ALVENARIA DE VEDACAO, 6 FUROS NA HORIZONTAL, 9 X 14 X 19 CM (L X A X C)</v>
      </c>
    </row>
    <row r="479" spans="1:10" x14ac:dyDescent="0.25">
      <c r="A479" s="169">
        <v>7271</v>
      </c>
      <c r="B479" s="169" t="s">
        <v>23847</v>
      </c>
      <c r="C479" s="169" t="s">
        <v>10225</v>
      </c>
      <c r="D479" s="169" t="s">
        <v>1288</v>
      </c>
      <c r="E479" s="103" t="s">
        <v>15674</v>
      </c>
      <c r="F479" s="104"/>
      <c r="G479" s="105">
        <f t="shared" si="28"/>
        <v>0.75</v>
      </c>
      <c r="H479" s="101" t="str">
        <f t="shared" si="29"/>
        <v>Sinapi 7271</v>
      </c>
      <c r="I479" s="101" t="str">
        <f t="shared" si="30"/>
        <v>UN</v>
      </c>
      <c r="J479" s="140" t="str">
        <f t="shared" si="31"/>
        <v>BLOCO CERAMICO / TIJOLO VAZADO PARA ALVENARIA DE VEDACAO, 8 FUROS NA HORIZONTAL, DE 9 X 19 X 19 CM (L XA X C)</v>
      </c>
    </row>
    <row r="480" spans="1:10" x14ac:dyDescent="0.25">
      <c r="A480" s="169">
        <v>7268</v>
      </c>
      <c r="B480" s="169" t="s">
        <v>23848</v>
      </c>
      <c r="C480" s="169" t="s">
        <v>10225</v>
      </c>
      <c r="D480" s="169" t="s">
        <v>1289</v>
      </c>
      <c r="E480" s="103" t="s">
        <v>29751</v>
      </c>
      <c r="F480" s="104"/>
      <c r="G480" s="105">
        <f t="shared" si="28"/>
        <v>1.04</v>
      </c>
      <c r="H480" s="101" t="str">
        <f t="shared" si="29"/>
        <v>Sinapi 7268</v>
      </c>
      <c r="I480" s="101" t="str">
        <f t="shared" si="30"/>
        <v>UN</v>
      </c>
      <c r="J480" s="140" t="str">
        <f t="shared" si="31"/>
        <v>BLOCO CERAMICO / TIJOLO VAZADO PARA ALVENARIA DE VEDACAO, 8 FUROS NA HORIZONTAL, 9 X 19 X 29 CM (L X A X C)</v>
      </c>
    </row>
    <row r="481" spans="1:10" x14ac:dyDescent="0.25">
      <c r="A481" s="169">
        <v>41372</v>
      </c>
      <c r="B481" s="169" t="s">
        <v>23849</v>
      </c>
      <c r="C481" s="169" t="s">
        <v>10226</v>
      </c>
      <c r="D481" s="169" t="s">
        <v>1290</v>
      </c>
      <c r="E481" s="103" t="s">
        <v>29752</v>
      </c>
      <c r="F481" s="104"/>
      <c r="G481" s="105">
        <f t="shared" si="28"/>
        <v>127.17</v>
      </c>
      <c r="H481" s="101" t="str">
        <f t="shared" si="29"/>
        <v>Sinapi 41372</v>
      </c>
      <c r="I481" s="101" t="str">
        <f t="shared" si="30"/>
        <v>M2</v>
      </c>
      <c r="J481" s="140" t="str">
        <f t="shared" si="31"/>
        <v>BLOCO CONCRETO CELULAR AUTOCLAVADO 12,5 X 30 X 60 CM (E X A X C)</v>
      </c>
    </row>
    <row r="482" spans="1:10" x14ac:dyDescent="0.25">
      <c r="A482" s="169">
        <v>41371</v>
      </c>
      <c r="B482" s="169" t="s">
        <v>23851</v>
      </c>
      <c r="C482" s="169" t="s">
        <v>10226</v>
      </c>
      <c r="D482" s="169" t="s">
        <v>1290</v>
      </c>
      <c r="E482" s="103" t="s">
        <v>29753</v>
      </c>
      <c r="F482" s="104"/>
      <c r="G482" s="105">
        <f t="shared" si="28"/>
        <v>75.17</v>
      </c>
      <c r="H482" s="101" t="str">
        <f t="shared" si="29"/>
        <v>Sinapi 41371</v>
      </c>
      <c r="I482" s="101" t="str">
        <f t="shared" si="30"/>
        <v>M2</v>
      </c>
      <c r="J482" s="140" t="str">
        <f t="shared" si="31"/>
        <v>BLOCO CONCRETO CELULAR AUTOCLAVADO 7,5 X 30 X 60 CM (E X A X C)</v>
      </c>
    </row>
    <row r="483" spans="1:10" x14ac:dyDescent="0.25">
      <c r="A483" s="169">
        <v>34556</v>
      </c>
      <c r="B483" s="169" t="s">
        <v>23853</v>
      </c>
      <c r="C483" s="169" t="s">
        <v>10225</v>
      </c>
      <c r="D483" s="169" t="s">
        <v>1289</v>
      </c>
      <c r="E483" s="103" t="s">
        <v>16347</v>
      </c>
      <c r="F483" s="104"/>
      <c r="G483" s="105">
        <f t="shared" si="28"/>
        <v>7.75</v>
      </c>
      <c r="H483" s="101" t="str">
        <f t="shared" si="29"/>
        <v>Sinapi 34556</v>
      </c>
      <c r="I483" s="101" t="str">
        <f t="shared" si="30"/>
        <v>UN</v>
      </c>
      <c r="J483" s="140" t="str">
        <f t="shared" si="31"/>
        <v>BLOCO DE CONCRETO ESTRUTURAL 14 X 19 X 29 CM, FBK 10 MPA (NBR 6136)</v>
      </c>
    </row>
    <row r="484" spans="1:10" x14ac:dyDescent="0.25">
      <c r="A484" s="169">
        <v>37873</v>
      </c>
      <c r="B484" s="169" t="s">
        <v>23854</v>
      </c>
      <c r="C484" s="169" t="s">
        <v>10225</v>
      </c>
      <c r="D484" s="169" t="s">
        <v>1289</v>
      </c>
      <c r="E484" s="103" t="s">
        <v>17389</v>
      </c>
      <c r="F484" s="104"/>
      <c r="G484" s="105">
        <f t="shared" si="28"/>
        <v>7.89</v>
      </c>
      <c r="H484" s="101" t="str">
        <f t="shared" si="29"/>
        <v>Sinapi 37873</v>
      </c>
      <c r="I484" s="101" t="str">
        <f t="shared" si="30"/>
        <v>UN</v>
      </c>
      <c r="J484" s="140" t="str">
        <f t="shared" si="31"/>
        <v>BLOCO DE CONCRETO ESTRUTURAL 14 X 19 X 29 CM, FBK 12 MPA (NBR 6136)</v>
      </c>
    </row>
    <row r="485" spans="1:10" x14ac:dyDescent="0.25">
      <c r="A485" s="169">
        <v>34564</v>
      </c>
      <c r="B485" s="169" t="s">
        <v>23855</v>
      </c>
      <c r="C485" s="169" t="s">
        <v>10225</v>
      </c>
      <c r="D485" s="169" t="s">
        <v>1289</v>
      </c>
      <c r="E485" s="103" t="s">
        <v>23181</v>
      </c>
      <c r="F485" s="104"/>
      <c r="G485" s="105">
        <f t="shared" si="28"/>
        <v>8.26</v>
      </c>
      <c r="H485" s="101" t="str">
        <f t="shared" si="29"/>
        <v>Sinapi 34564</v>
      </c>
      <c r="I485" s="101" t="str">
        <f t="shared" si="30"/>
        <v>UN</v>
      </c>
      <c r="J485" s="140" t="str">
        <f t="shared" si="31"/>
        <v>BLOCO DE CONCRETO ESTRUTURAL 14 X 19 X 29 CM, FBK 14 MPA (NBR 6136)</v>
      </c>
    </row>
    <row r="486" spans="1:10" x14ac:dyDescent="0.25">
      <c r="A486" s="169">
        <v>34565</v>
      </c>
      <c r="B486" s="169" t="s">
        <v>23856</v>
      </c>
      <c r="C486" s="169" t="s">
        <v>10225</v>
      </c>
      <c r="D486" s="169" t="s">
        <v>1289</v>
      </c>
      <c r="E486" s="103" t="s">
        <v>26595</v>
      </c>
      <c r="F486" s="104"/>
      <c r="G486" s="105">
        <f t="shared" si="28"/>
        <v>8.74</v>
      </c>
      <c r="H486" s="101" t="str">
        <f t="shared" si="29"/>
        <v>Sinapi 34565</v>
      </c>
      <c r="I486" s="101" t="str">
        <f t="shared" si="30"/>
        <v>UN</v>
      </c>
      <c r="J486" s="140" t="str">
        <f t="shared" si="31"/>
        <v>BLOCO DE CONCRETO ESTRUTURAL 14 X 19 X 29 CM, FBK 16 MPA (NBR 6136)</v>
      </c>
    </row>
    <row r="487" spans="1:10" x14ac:dyDescent="0.25">
      <c r="A487" s="169">
        <v>38590</v>
      </c>
      <c r="B487" s="169" t="s">
        <v>23857</v>
      </c>
      <c r="C487" s="169" t="s">
        <v>10225</v>
      </c>
      <c r="D487" s="169" t="s">
        <v>1289</v>
      </c>
      <c r="E487" s="103" t="s">
        <v>29336</v>
      </c>
      <c r="F487" s="104"/>
      <c r="G487" s="105">
        <f t="shared" si="28"/>
        <v>6.46</v>
      </c>
      <c r="H487" s="101" t="str">
        <f t="shared" si="29"/>
        <v>Sinapi 38590</v>
      </c>
      <c r="I487" s="101" t="str">
        <f t="shared" si="30"/>
        <v>UN</v>
      </c>
      <c r="J487" s="140" t="str">
        <f t="shared" si="31"/>
        <v>BLOCO DE CONCRETO ESTRUTURAL 14 X 19 X 29 CM, FBK 4,5 MPA (NBR 6136)</v>
      </c>
    </row>
    <row r="488" spans="1:10" x14ac:dyDescent="0.25">
      <c r="A488" s="169">
        <v>34566</v>
      </c>
      <c r="B488" s="169" t="s">
        <v>23858</v>
      </c>
      <c r="C488" s="169" t="s">
        <v>10225</v>
      </c>
      <c r="D488" s="169" t="s">
        <v>1289</v>
      </c>
      <c r="E488" s="103" t="s">
        <v>14930</v>
      </c>
      <c r="F488" s="104"/>
      <c r="G488" s="105">
        <f t="shared" si="28"/>
        <v>6.78</v>
      </c>
      <c r="H488" s="101" t="str">
        <f t="shared" si="29"/>
        <v>Sinapi 34566</v>
      </c>
      <c r="I488" s="101" t="str">
        <f t="shared" si="30"/>
        <v>UN</v>
      </c>
      <c r="J488" s="140" t="str">
        <f t="shared" si="31"/>
        <v>BLOCO DE CONCRETO ESTRUTURAL 14 X 19 X 29 CM, FBK 6 MPA (NBR 6136)</v>
      </c>
    </row>
    <row r="489" spans="1:10" x14ac:dyDescent="0.25">
      <c r="A489" s="169">
        <v>34567</v>
      </c>
      <c r="B489" s="169" t="s">
        <v>23859</v>
      </c>
      <c r="C489" s="169" t="s">
        <v>10225</v>
      </c>
      <c r="D489" s="169" t="s">
        <v>1289</v>
      </c>
      <c r="E489" s="103" t="s">
        <v>18572</v>
      </c>
      <c r="F489" s="104"/>
      <c r="G489" s="105">
        <f t="shared" si="28"/>
        <v>7.19</v>
      </c>
      <c r="H489" s="101" t="str">
        <f t="shared" si="29"/>
        <v>Sinapi 34567</v>
      </c>
      <c r="I489" s="101" t="str">
        <f t="shared" si="30"/>
        <v>UN</v>
      </c>
      <c r="J489" s="140" t="str">
        <f t="shared" si="31"/>
        <v>BLOCO DE CONCRETO ESTRUTURAL 14 X 19 X 29 CM, FBK 8 MPA (NBR 6136)</v>
      </c>
    </row>
    <row r="490" spans="1:10" x14ac:dyDescent="0.25">
      <c r="A490" s="169">
        <v>38591</v>
      </c>
      <c r="B490" s="169" t="s">
        <v>23860</v>
      </c>
      <c r="C490" s="169" t="s">
        <v>10225</v>
      </c>
      <c r="D490" s="169" t="s">
        <v>1289</v>
      </c>
      <c r="E490" s="103" t="s">
        <v>19969</v>
      </c>
      <c r="F490" s="104"/>
      <c r="G490" s="105">
        <f t="shared" si="28"/>
        <v>6.53</v>
      </c>
      <c r="H490" s="101" t="str">
        <f t="shared" si="29"/>
        <v>Sinapi 38591</v>
      </c>
      <c r="I490" s="101" t="str">
        <f t="shared" si="30"/>
        <v>UN</v>
      </c>
      <c r="J490" s="140" t="str">
        <f t="shared" si="31"/>
        <v>BLOCO DE CONCRETO ESTRUTURAL 14 X 19 X 34 CM, FBK 4,5 MPA (NBR 6136)</v>
      </c>
    </row>
    <row r="491" spans="1:10" x14ac:dyDescent="0.25">
      <c r="A491" s="169">
        <v>34568</v>
      </c>
      <c r="B491" s="169" t="s">
        <v>23861</v>
      </c>
      <c r="C491" s="169" t="s">
        <v>10225</v>
      </c>
      <c r="D491" s="169" t="s">
        <v>1289</v>
      </c>
      <c r="E491" s="103" t="s">
        <v>23422</v>
      </c>
      <c r="F491" s="104"/>
      <c r="G491" s="105">
        <f t="shared" si="28"/>
        <v>8.5</v>
      </c>
      <c r="H491" s="101" t="str">
        <f t="shared" si="29"/>
        <v>Sinapi 34568</v>
      </c>
      <c r="I491" s="101" t="str">
        <f t="shared" si="30"/>
        <v>UN</v>
      </c>
      <c r="J491" s="140" t="str">
        <f t="shared" si="31"/>
        <v>BLOCO DE CONCRETO ESTRUTURAL 14 X 19 X 39 CM, FBK 10 MPA (NBR 6136)</v>
      </c>
    </row>
    <row r="492" spans="1:10" x14ac:dyDescent="0.25">
      <c r="A492" s="169">
        <v>34569</v>
      </c>
      <c r="B492" s="169" t="s">
        <v>23862</v>
      </c>
      <c r="C492" s="169" t="s">
        <v>10225</v>
      </c>
      <c r="D492" s="169" t="s">
        <v>1289</v>
      </c>
      <c r="E492" s="103" t="s">
        <v>26595</v>
      </c>
      <c r="F492" s="104"/>
      <c r="G492" s="105">
        <f t="shared" si="28"/>
        <v>8.74</v>
      </c>
      <c r="H492" s="101" t="str">
        <f t="shared" si="29"/>
        <v>Sinapi 34569</v>
      </c>
      <c r="I492" s="101" t="str">
        <f t="shared" si="30"/>
        <v>UN</v>
      </c>
      <c r="J492" s="140" t="str">
        <f t="shared" si="31"/>
        <v>BLOCO DE CONCRETO ESTRUTURAL 14 X 19 X 39 CM, FBK 12 MPA (NBR 6136)</v>
      </c>
    </row>
    <row r="493" spans="1:10" x14ac:dyDescent="0.25">
      <c r="A493" s="169">
        <v>34570</v>
      </c>
      <c r="B493" s="169" t="s">
        <v>23863</v>
      </c>
      <c r="C493" s="169" t="s">
        <v>10225</v>
      </c>
      <c r="D493" s="169" t="s">
        <v>1289</v>
      </c>
      <c r="E493" s="103" t="s">
        <v>17287</v>
      </c>
      <c r="F493" s="104"/>
      <c r="G493" s="105">
        <f t="shared" si="28"/>
        <v>9.48</v>
      </c>
      <c r="H493" s="101" t="str">
        <f t="shared" si="29"/>
        <v>Sinapi 34570</v>
      </c>
      <c r="I493" s="101" t="str">
        <f t="shared" si="30"/>
        <v>UN</v>
      </c>
      <c r="J493" s="140" t="str">
        <f t="shared" si="31"/>
        <v>BLOCO DE CONCRETO ESTRUTURAL 14 X 19 X 39 CM, FBK 14 MPA (NBR 6136)</v>
      </c>
    </row>
    <row r="494" spans="1:10" x14ac:dyDescent="0.25">
      <c r="A494" s="169">
        <v>25070</v>
      </c>
      <c r="B494" s="169" t="s">
        <v>23864</v>
      </c>
      <c r="C494" s="169" t="s">
        <v>10225</v>
      </c>
      <c r="D494" s="169" t="s">
        <v>1289</v>
      </c>
      <c r="E494" s="103" t="s">
        <v>15658</v>
      </c>
      <c r="F494" s="104"/>
      <c r="G494" s="105">
        <f t="shared" si="28"/>
        <v>7.14</v>
      </c>
      <c r="H494" s="101" t="str">
        <f t="shared" si="29"/>
        <v>Sinapi 25070</v>
      </c>
      <c r="I494" s="101" t="str">
        <f t="shared" si="30"/>
        <v>UN</v>
      </c>
      <c r="J494" s="140" t="str">
        <f t="shared" si="31"/>
        <v>BLOCO DE CONCRETO ESTRUTURAL 14 X 19 X 39 CM, FBK 4,5 MPA (NBR 6136)</v>
      </c>
    </row>
    <row r="495" spans="1:10" x14ac:dyDescent="0.25">
      <c r="A495" s="169">
        <v>34571</v>
      </c>
      <c r="B495" s="169" t="s">
        <v>23865</v>
      </c>
      <c r="C495" s="169" t="s">
        <v>10225</v>
      </c>
      <c r="D495" s="169" t="s">
        <v>1289</v>
      </c>
      <c r="E495" s="103" t="s">
        <v>23182</v>
      </c>
      <c r="F495" s="104"/>
      <c r="G495" s="105">
        <f t="shared" si="28"/>
        <v>7.21</v>
      </c>
      <c r="H495" s="101" t="str">
        <f t="shared" si="29"/>
        <v>Sinapi 34571</v>
      </c>
      <c r="I495" s="101" t="str">
        <f t="shared" si="30"/>
        <v>UN</v>
      </c>
      <c r="J495" s="140" t="str">
        <f t="shared" si="31"/>
        <v>BLOCO DE CONCRETO ESTRUTURAL 14 X 19 X 39 CM, FBK 6 MPA (NBR 6136)</v>
      </c>
    </row>
    <row r="496" spans="1:10" x14ac:dyDescent="0.25">
      <c r="A496" s="169">
        <v>34573</v>
      </c>
      <c r="B496" s="169" t="s">
        <v>23866</v>
      </c>
      <c r="C496" s="169" t="s">
        <v>10225</v>
      </c>
      <c r="D496" s="169" t="s">
        <v>1289</v>
      </c>
      <c r="E496" s="103" t="s">
        <v>22739</v>
      </c>
      <c r="F496" s="104"/>
      <c r="G496" s="105">
        <f t="shared" si="28"/>
        <v>7.58</v>
      </c>
      <c r="H496" s="101" t="str">
        <f t="shared" si="29"/>
        <v>Sinapi 34573</v>
      </c>
      <c r="I496" s="101" t="str">
        <f t="shared" si="30"/>
        <v>UN</v>
      </c>
      <c r="J496" s="140" t="str">
        <f t="shared" si="31"/>
        <v>BLOCO DE CONCRETO ESTRUTURAL 14 X 19 X 39 CM, FBK 8 MPA (NBR 6136)</v>
      </c>
    </row>
    <row r="497" spans="1:10" x14ac:dyDescent="0.25">
      <c r="A497" s="169">
        <v>37107</v>
      </c>
      <c r="B497" s="169" t="s">
        <v>23867</v>
      </c>
      <c r="C497" s="169" t="s">
        <v>10225</v>
      </c>
      <c r="D497" s="169" t="s">
        <v>1289</v>
      </c>
      <c r="E497" s="103" t="s">
        <v>22766</v>
      </c>
      <c r="F497" s="104"/>
      <c r="G497" s="105">
        <f t="shared" si="28"/>
        <v>10.01</v>
      </c>
      <c r="H497" s="101" t="str">
        <f t="shared" si="29"/>
        <v>Sinapi 37107</v>
      </c>
      <c r="I497" s="101" t="str">
        <f t="shared" si="30"/>
        <v>UN</v>
      </c>
      <c r="J497" s="140" t="str">
        <f t="shared" si="31"/>
        <v>BLOCO DE CONCRETO ESTRUTURAL 14 X 19 X 39, FCK 16 MPA (NBR 6136)</v>
      </c>
    </row>
    <row r="498" spans="1:10" x14ac:dyDescent="0.25">
      <c r="A498" s="169">
        <v>34576</v>
      </c>
      <c r="B498" s="169" t="s">
        <v>23868</v>
      </c>
      <c r="C498" s="169" t="s">
        <v>10225</v>
      </c>
      <c r="D498" s="169" t="s">
        <v>1289</v>
      </c>
      <c r="E498" s="103" t="s">
        <v>21024</v>
      </c>
      <c r="F498" s="104"/>
      <c r="G498" s="105">
        <f t="shared" si="28"/>
        <v>11.05</v>
      </c>
      <c r="H498" s="101" t="str">
        <f t="shared" si="29"/>
        <v>Sinapi 34576</v>
      </c>
      <c r="I498" s="101" t="str">
        <f t="shared" si="30"/>
        <v>UN</v>
      </c>
      <c r="J498" s="140" t="str">
        <f t="shared" si="31"/>
        <v>BLOCO DE CONCRETO ESTRUTURAL 19 X 19 X 39 CM, FBK 10 MPA (NBR 6136)</v>
      </c>
    </row>
    <row r="499" spans="1:10" x14ac:dyDescent="0.25">
      <c r="A499" s="169">
        <v>34577</v>
      </c>
      <c r="B499" s="169" t="s">
        <v>23869</v>
      </c>
      <c r="C499" s="169" t="s">
        <v>10225</v>
      </c>
      <c r="D499" s="169" t="s">
        <v>1289</v>
      </c>
      <c r="E499" s="103" t="s">
        <v>11129</v>
      </c>
      <c r="F499" s="104"/>
      <c r="G499" s="105">
        <f t="shared" si="28"/>
        <v>11.53</v>
      </c>
      <c r="H499" s="101" t="str">
        <f t="shared" si="29"/>
        <v>Sinapi 34577</v>
      </c>
      <c r="I499" s="101" t="str">
        <f t="shared" si="30"/>
        <v>UN</v>
      </c>
      <c r="J499" s="140" t="str">
        <f t="shared" si="31"/>
        <v>BLOCO DE CONCRETO ESTRUTURAL 19 X 19 X 39 CM, FBK 12 MPA (NBR 6136)</v>
      </c>
    </row>
    <row r="500" spans="1:10" x14ac:dyDescent="0.25">
      <c r="A500" s="169">
        <v>34578</v>
      </c>
      <c r="B500" s="169" t="s">
        <v>23870</v>
      </c>
      <c r="C500" s="169" t="s">
        <v>10225</v>
      </c>
      <c r="D500" s="169" t="s">
        <v>1289</v>
      </c>
      <c r="E500" s="103" t="s">
        <v>14342</v>
      </c>
      <c r="F500" s="104"/>
      <c r="G500" s="105">
        <f t="shared" si="28"/>
        <v>12.5</v>
      </c>
      <c r="H500" s="101" t="str">
        <f t="shared" si="29"/>
        <v>Sinapi 34578</v>
      </c>
      <c r="I500" s="101" t="str">
        <f t="shared" si="30"/>
        <v>UN</v>
      </c>
      <c r="J500" s="140" t="str">
        <f t="shared" si="31"/>
        <v>BLOCO DE CONCRETO ESTRUTURAL 19 X 19 X 39 CM, FBK 14 MPA (NBR 6136)</v>
      </c>
    </row>
    <row r="501" spans="1:10" x14ac:dyDescent="0.25">
      <c r="A501" s="169">
        <v>34579</v>
      </c>
      <c r="B501" s="169" t="s">
        <v>23871</v>
      </c>
      <c r="C501" s="169" t="s">
        <v>10225</v>
      </c>
      <c r="D501" s="169" t="s">
        <v>1289</v>
      </c>
      <c r="E501" s="103" t="s">
        <v>19962</v>
      </c>
      <c r="F501" s="104"/>
      <c r="G501" s="105">
        <f t="shared" si="28"/>
        <v>13.33</v>
      </c>
      <c r="H501" s="101" t="str">
        <f t="shared" si="29"/>
        <v>Sinapi 34579</v>
      </c>
      <c r="I501" s="101" t="str">
        <f t="shared" si="30"/>
        <v>UN</v>
      </c>
      <c r="J501" s="140" t="str">
        <f t="shared" si="31"/>
        <v>BLOCO DE CONCRETO ESTRUTURAL 19 X 19 X 39 CM, FBK 16 MPA (NBR 6136)</v>
      </c>
    </row>
    <row r="502" spans="1:10" x14ac:dyDescent="0.25">
      <c r="A502" s="169">
        <v>25067</v>
      </c>
      <c r="B502" s="169" t="s">
        <v>23872</v>
      </c>
      <c r="C502" s="169" t="s">
        <v>10225</v>
      </c>
      <c r="D502" s="169" t="s">
        <v>1289</v>
      </c>
      <c r="E502" s="103" t="s">
        <v>13580</v>
      </c>
      <c r="F502" s="104"/>
      <c r="G502" s="105">
        <f t="shared" si="28"/>
        <v>8.92</v>
      </c>
      <c r="H502" s="101" t="str">
        <f t="shared" si="29"/>
        <v>Sinapi 25067</v>
      </c>
      <c r="I502" s="101" t="str">
        <f t="shared" si="30"/>
        <v>UN</v>
      </c>
      <c r="J502" s="140" t="str">
        <f t="shared" si="31"/>
        <v>BLOCO DE CONCRETO ESTRUTURAL 19 X 19 X 39 CM, FBK 4,5 MPA (NBR 6136)</v>
      </c>
    </row>
    <row r="503" spans="1:10" x14ac:dyDescent="0.25">
      <c r="A503" s="169">
        <v>34580</v>
      </c>
      <c r="B503" s="169" t="s">
        <v>23873</v>
      </c>
      <c r="C503" s="169" t="s">
        <v>10225</v>
      </c>
      <c r="D503" s="169" t="s">
        <v>1289</v>
      </c>
      <c r="E503" s="103" t="s">
        <v>28766</v>
      </c>
      <c r="F503" s="104"/>
      <c r="G503" s="105">
        <f t="shared" si="28"/>
        <v>9.9600000000000009</v>
      </c>
      <c r="H503" s="101" t="str">
        <f t="shared" si="29"/>
        <v>Sinapi 34580</v>
      </c>
      <c r="I503" s="101" t="str">
        <f t="shared" si="30"/>
        <v>UN</v>
      </c>
      <c r="J503" s="140" t="str">
        <f t="shared" si="31"/>
        <v>BLOCO DE CONCRETO ESTRUTURAL 19 X 19 X 39 CM, FBK 8 MPA (NBR 6136)</v>
      </c>
    </row>
    <row r="504" spans="1:10" x14ac:dyDescent="0.25">
      <c r="A504" s="169">
        <v>25071</v>
      </c>
      <c r="B504" s="169" t="s">
        <v>10387</v>
      </c>
      <c r="C504" s="169" t="s">
        <v>10225</v>
      </c>
      <c r="D504" s="169" t="s">
        <v>1289</v>
      </c>
      <c r="E504" s="103" t="s">
        <v>15198</v>
      </c>
      <c r="F504" s="104"/>
      <c r="G504" s="105">
        <f t="shared" si="28"/>
        <v>4.96</v>
      </c>
      <c r="H504" s="101" t="str">
        <f t="shared" si="29"/>
        <v>Sinapi 25071</v>
      </c>
      <c r="I504" s="101" t="str">
        <f t="shared" si="30"/>
        <v>UN</v>
      </c>
      <c r="J504" s="140" t="str">
        <f t="shared" si="31"/>
        <v>BLOCO DE CONCRETO ESTRUTURAL 9 X 19 X 39 CM, FBK 4,5 MPA (NBR 6136)</v>
      </c>
    </row>
    <row r="505" spans="1:10" x14ac:dyDescent="0.25">
      <c r="A505" s="169">
        <v>44171</v>
      </c>
      <c r="B505" s="169" t="s">
        <v>23875</v>
      </c>
      <c r="C505" s="169" t="s">
        <v>10225</v>
      </c>
      <c r="D505" s="169" t="s">
        <v>1289</v>
      </c>
      <c r="E505" s="103" t="s">
        <v>19354</v>
      </c>
      <c r="F505" s="104"/>
      <c r="G505" s="105">
        <f t="shared" si="28"/>
        <v>22.21</v>
      </c>
      <c r="H505" s="101" t="str">
        <f t="shared" si="29"/>
        <v>Sinapi 44171</v>
      </c>
      <c r="I505" s="101" t="str">
        <f t="shared" si="30"/>
        <v>UN</v>
      </c>
      <c r="J505" s="140" t="str">
        <f t="shared" si="31"/>
        <v>BLOCO DE ENGATE RAPIDO PARA BASTIDOR TIPO M10</v>
      </c>
    </row>
    <row r="506" spans="1:10" x14ac:dyDescent="0.25">
      <c r="A506" s="169">
        <v>38395</v>
      </c>
      <c r="B506" s="169" t="s">
        <v>23876</v>
      </c>
      <c r="C506" s="169" t="s">
        <v>10225</v>
      </c>
      <c r="D506" s="169" t="s">
        <v>1289</v>
      </c>
      <c r="E506" s="103" t="s">
        <v>14785</v>
      </c>
      <c r="F506" s="104"/>
      <c r="G506" s="105">
        <f t="shared" si="28"/>
        <v>8.76</v>
      </c>
      <c r="H506" s="101" t="str">
        <f t="shared" si="29"/>
        <v>Sinapi 38395</v>
      </c>
      <c r="I506" s="101" t="str">
        <f t="shared" si="30"/>
        <v>UN</v>
      </c>
      <c r="J506" s="140" t="str">
        <f t="shared" si="31"/>
        <v>BLOCO DE ESPUMA MULTIUSO *23 X 13 X 8* CM</v>
      </c>
    </row>
    <row r="507" spans="1:10" x14ac:dyDescent="0.25">
      <c r="A507" s="169">
        <v>34583</v>
      </c>
      <c r="B507" s="169" t="s">
        <v>23877</v>
      </c>
      <c r="C507" s="169" t="s">
        <v>10226</v>
      </c>
      <c r="D507" s="169" t="s">
        <v>1289</v>
      </c>
      <c r="E507" s="103" t="s">
        <v>29754</v>
      </c>
      <c r="F507" s="104"/>
      <c r="G507" s="105">
        <f t="shared" si="28"/>
        <v>97.35</v>
      </c>
      <c r="H507" s="101" t="str">
        <f t="shared" si="29"/>
        <v>Sinapi 34583</v>
      </c>
      <c r="I507" s="101" t="str">
        <f t="shared" si="30"/>
        <v>M2</v>
      </c>
      <c r="J507" s="140" t="str">
        <f t="shared" si="31"/>
        <v>BLOCO DE GESSO COMPACTO / MACICO, BRANCO, E = 10 CM, DIMENSOES *67 X 50* CM</v>
      </c>
    </row>
    <row r="508" spans="1:10" x14ac:dyDescent="0.25">
      <c r="A508" s="169">
        <v>34584</v>
      </c>
      <c r="B508" s="169" t="s">
        <v>23878</v>
      </c>
      <c r="C508" s="169" t="s">
        <v>10226</v>
      </c>
      <c r="D508" s="169" t="s">
        <v>1289</v>
      </c>
      <c r="E508" s="103" t="s">
        <v>29755</v>
      </c>
      <c r="F508" s="104"/>
      <c r="G508" s="105">
        <f t="shared" si="28"/>
        <v>71.39</v>
      </c>
      <c r="H508" s="101" t="str">
        <f t="shared" si="29"/>
        <v>Sinapi 34584</v>
      </c>
      <c r="I508" s="101" t="str">
        <f t="shared" si="30"/>
        <v>M2</v>
      </c>
      <c r="J508" s="140" t="str">
        <f t="shared" si="31"/>
        <v>BLOCO DE GESSO VAZADO, BRANCO, E = *7* CM, DIMENSOES *67 X 50* CM</v>
      </c>
    </row>
    <row r="509" spans="1:10" x14ac:dyDescent="0.25">
      <c r="A509" s="169">
        <v>709</v>
      </c>
      <c r="B509" s="169" t="s">
        <v>23879</v>
      </c>
      <c r="C509" s="169" t="s">
        <v>10226</v>
      </c>
      <c r="D509" s="169" t="s">
        <v>1290</v>
      </c>
      <c r="E509" s="103" t="s">
        <v>22726</v>
      </c>
      <c r="F509" s="104"/>
      <c r="G509" s="105">
        <f t="shared" si="28"/>
        <v>776.35</v>
      </c>
      <c r="H509" s="101" t="str">
        <f t="shared" si="29"/>
        <v>Sinapi 709</v>
      </c>
      <c r="I509" s="101" t="str">
        <f t="shared" si="30"/>
        <v>M2</v>
      </c>
      <c r="J509" s="140" t="str">
        <f t="shared" si="31"/>
        <v>BLOCO DE POLIETILENO ALTA DENSIDADE, *27* X *30* X *100* CM, ACOMPANHADOS PLACAS TERMINAIS E LONGARINAS, PARA FUNDO DE FILTRO</v>
      </c>
    </row>
    <row r="510" spans="1:10" x14ac:dyDescent="0.25">
      <c r="A510" s="169">
        <v>34599</v>
      </c>
      <c r="B510" s="169" t="s">
        <v>23880</v>
      </c>
      <c r="C510" s="169" t="s">
        <v>10225</v>
      </c>
      <c r="D510" s="169" t="s">
        <v>1289</v>
      </c>
      <c r="E510" s="103" t="s">
        <v>6500</v>
      </c>
      <c r="F510" s="104"/>
      <c r="G510" s="105">
        <f t="shared" si="28"/>
        <v>5.0999999999999996</v>
      </c>
      <c r="H510" s="101" t="str">
        <f t="shared" si="29"/>
        <v>Sinapi 34599</v>
      </c>
      <c r="I510" s="101" t="str">
        <f t="shared" si="30"/>
        <v>UN</v>
      </c>
      <c r="J510" s="140" t="str">
        <f t="shared" si="31"/>
        <v>BLOCO DE VEDACAO CONCRETO APARENTE 9 X 19 X 39 CM (CLASSE C - NBR 6136)</v>
      </c>
    </row>
    <row r="511" spans="1:10" x14ac:dyDescent="0.25">
      <c r="A511" s="169">
        <v>34592</v>
      </c>
      <c r="B511" s="169" t="s">
        <v>23881</v>
      </c>
      <c r="C511" s="169" t="s">
        <v>10225</v>
      </c>
      <c r="D511" s="169" t="s">
        <v>1289</v>
      </c>
      <c r="E511" s="103" t="s">
        <v>15718</v>
      </c>
      <c r="F511" s="104"/>
      <c r="G511" s="105">
        <f t="shared" si="28"/>
        <v>5.68</v>
      </c>
      <c r="H511" s="101" t="str">
        <f t="shared" si="29"/>
        <v>Sinapi 34592</v>
      </c>
      <c r="I511" s="101" t="str">
        <f t="shared" si="30"/>
        <v>UN</v>
      </c>
      <c r="J511" s="140" t="str">
        <f t="shared" si="31"/>
        <v>BLOCO DE VEDACAO CONCRETO 14 X 19 X 29 CM (CLASSE C - NBR 6136)</v>
      </c>
    </row>
    <row r="512" spans="1:10" x14ac:dyDescent="0.25">
      <c r="A512" s="169">
        <v>37103</v>
      </c>
      <c r="B512" s="169" t="s">
        <v>23882</v>
      </c>
      <c r="C512" s="169" t="s">
        <v>10225</v>
      </c>
      <c r="D512" s="169" t="s">
        <v>1289</v>
      </c>
      <c r="E512" s="103" t="s">
        <v>19404</v>
      </c>
      <c r="F512" s="104"/>
      <c r="G512" s="105">
        <f t="shared" si="28"/>
        <v>6.49</v>
      </c>
      <c r="H512" s="101" t="str">
        <f t="shared" si="29"/>
        <v>Sinapi 37103</v>
      </c>
      <c r="I512" s="101" t="str">
        <f t="shared" si="30"/>
        <v>UN</v>
      </c>
      <c r="J512" s="140" t="str">
        <f t="shared" si="31"/>
        <v>BLOCO DE VEDACAO DE CONCRETO APARENTE 14 X 19 X 39 CM (CLASSE C - NBR 6136)</v>
      </c>
    </row>
    <row r="513" spans="1:10" x14ac:dyDescent="0.25">
      <c r="A513" s="169">
        <v>34555</v>
      </c>
      <c r="B513" s="169" t="s">
        <v>23883</v>
      </c>
      <c r="C513" s="169" t="s">
        <v>10225</v>
      </c>
      <c r="D513" s="169" t="s">
        <v>1289</v>
      </c>
      <c r="E513" s="103" t="s">
        <v>14948</v>
      </c>
      <c r="F513" s="104"/>
      <c r="G513" s="105">
        <f t="shared" si="28"/>
        <v>8.24</v>
      </c>
      <c r="H513" s="101" t="str">
        <f t="shared" si="29"/>
        <v>Sinapi 34555</v>
      </c>
      <c r="I513" s="101" t="str">
        <f t="shared" si="30"/>
        <v>UN</v>
      </c>
      <c r="J513" s="140" t="str">
        <f t="shared" si="31"/>
        <v>BLOCO DE VEDACAO DE CONCRETO APARENTE 19 X 19 X 39 CM (CLASSE C - NBR 6136)</v>
      </c>
    </row>
    <row r="514" spans="1:10" x14ac:dyDescent="0.25">
      <c r="A514" s="169">
        <v>674</v>
      </c>
      <c r="B514" s="169" t="s">
        <v>23884</v>
      </c>
      <c r="C514" s="169" t="s">
        <v>10226</v>
      </c>
      <c r="D514" s="169" t="s">
        <v>1290</v>
      </c>
      <c r="E514" s="103" t="s">
        <v>29756</v>
      </c>
      <c r="F514" s="104"/>
      <c r="G514" s="105">
        <f t="shared" si="28"/>
        <v>90.62</v>
      </c>
      <c r="H514" s="101" t="str">
        <f t="shared" si="29"/>
        <v>Sinapi 674</v>
      </c>
      <c r="I514" s="101" t="str">
        <f t="shared" si="30"/>
        <v>M2</v>
      </c>
      <c r="J514" s="140" t="str">
        <f t="shared" si="31"/>
        <v>BLOCO DE VEDACAO DE CONCRETO CELULAR AUTOCLAVADO 10 X 30 X 60 CM (E X A X C)</v>
      </c>
    </row>
    <row r="515" spans="1:10" x14ac:dyDescent="0.25">
      <c r="A515" s="169">
        <v>34600</v>
      </c>
      <c r="B515" s="169" t="s">
        <v>23885</v>
      </c>
      <c r="C515" s="169" t="s">
        <v>10226</v>
      </c>
      <c r="D515" s="169" t="s">
        <v>1290</v>
      </c>
      <c r="E515" s="103" t="s">
        <v>29757</v>
      </c>
      <c r="F515" s="104"/>
      <c r="G515" s="105">
        <f t="shared" si="28"/>
        <v>133.1</v>
      </c>
      <c r="H515" s="101" t="str">
        <f t="shared" si="29"/>
        <v>Sinapi 34600</v>
      </c>
      <c r="I515" s="101" t="str">
        <f t="shared" si="30"/>
        <v>M2</v>
      </c>
      <c r="J515" s="140" t="str">
        <f t="shared" si="31"/>
        <v>BLOCO DE VEDACAO DE CONCRETO CELULAR AUTOCLAVADO 15 X 30 X 60 CM (E X A X C)</v>
      </c>
    </row>
    <row r="516" spans="1:10" x14ac:dyDescent="0.25">
      <c r="A516" s="169">
        <v>652</v>
      </c>
      <c r="B516" s="169" t="s">
        <v>23887</v>
      </c>
      <c r="C516" s="169" t="s">
        <v>10226</v>
      </c>
      <c r="D516" s="169" t="s">
        <v>1290</v>
      </c>
      <c r="E516" s="103" t="s">
        <v>29758</v>
      </c>
      <c r="F516" s="104"/>
      <c r="G516" s="105">
        <f t="shared" si="28"/>
        <v>203.89</v>
      </c>
      <c r="H516" s="101" t="str">
        <f t="shared" si="29"/>
        <v>Sinapi 652</v>
      </c>
      <c r="I516" s="101" t="str">
        <f t="shared" si="30"/>
        <v>M2</v>
      </c>
      <c r="J516" s="140" t="str">
        <f t="shared" si="31"/>
        <v>BLOCO DE VEDACAO DE CONCRETO CELULAR AUTOCLAVADO 20 X 30 X 60 CM (E X A X C)</v>
      </c>
    </row>
    <row r="517" spans="1:10" x14ac:dyDescent="0.25">
      <c r="A517" s="169">
        <v>651</v>
      </c>
      <c r="B517" s="169" t="s">
        <v>23888</v>
      </c>
      <c r="C517" s="169" t="s">
        <v>10225</v>
      </c>
      <c r="D517" s="169" t="s">
        <v>1289</v>
      </c>
      <c r="E517" s="103" t="s">
        <v>5211</v>
      </c>
      <c r="F517" s="104"/>
      <c r="G517" s="105">
        <f t="shared" si="28"/>
        <v>6.25</v>
      </c>
      <c r="H517" s="101" t="str">
        <f t="shared" si="29"/>
        <v>Sinapi 651</v>
      </c>
      <c r="I517" s="101" t="str">
        <f t="shared" si="30"/>
        <v>UN</v>
      </c>
      <c r="J517" s="140" t="str">
        <f t="shared" si="31"/>
        <v>BLOCO DE VEDACAO DE CONCRETO 14 X 19 X 39 CM (CLASSE C - NBR 6136)</v>
      </c>
    </row>
    <row r="518" spans="1:10" x14ac:dyDescent="0.25">
      <c r="A518" s="169">
        <v>654</v>
      </c>
      <c r="B518" s="169" t="s">
        <v>23889</v>
      </c>
      <c r="C518" s="169" t="s">
        <v>10225</v>
      </c>
      <c r="D518" s="169" t="s">
        <v>1289</v>
      </c>
      <c r="E518" s="103" t="s">
        <v>16347</v>
      </c>
      <c r="F518" s="104"/>
      <c r="G518" s="105">
        <f t="shared" si="28"/>
        <v>7.75</v>
      </c>
      <c r="H518" s="101" t="str">
        <f t="shared" si="29"/>
        <v>Sinapi 654</v>
      </c>
      <c r="I518" s="101" t="str">
        <f t="shared" si="30"/>
        <v>UN</v>
      </c>
      <c r="J518" s="140" t="str">
        <f t="shared" si="31"/>
        <v>BLOCO DE VEDACAO DE CONCRETO 19 X 19 X 39 CM (CLASSE C - NBR 6136)</v>
      </c>
    </row>
    <row r="519" spans="1:10" x14ac:dyDescent="0.25">
      <c r="A519" s="169">
        <v>650</v>
      </c>
      <c r="B519" s="169" t="s">
        <v>10388</v>
      </c>
      <c r="C519" s="169" t="s">
        <v>10225</v>
      </c>
      <c r="D519" s="169" t="s">
        <v>1288</v>
      </c>
      <c r="E519" s="103" t="s">
        <v>14355</v>
      </c>
      <c r="F519" s="104"/>
      <c r="G519" s="105">
        <f t="shared" si="28"/>
        <v>5</v>
      </c>
      <c r="H519" s="101" t="str">
        <f t="shared" si="29"/>
        <v>Sinapi 650</v>
      </c>
      <c r="I519" s="101" t="str">
        <f t="shared" si="30"/>
        <v>UN</v>
      </c>
      <c r="J519" s="140" t="str">
        <f t="shared" si="31"/>
        <v>BLOCO DE VEDACAO DE CONCRETO, 9 X 19 X 39 CM (CLASSE C - NBR 6136)</v>
      </c>
    </row>
    <row r="520" spans="1:10" x14ac:dyDescent="0.25">
      <c r="A520" s="169">
        <v>718</v>
      </c>
      <c r="B520" s="169" t="s">
        <v>23890</v>
      </c>
      <c r="C520" s="169" t="s">
        <v>10225</v>
      </c>
      <c r="D520" s="169" t="s">
        <v>1289</v>
      </c>
      <c r="E520" s="103" t="s">
        <v>29759</v>
      </c>
      <c r="F520" s="104"/>
      <c r="G520" s="105">
        <f t="shared" ref="G520:G583" si="32">IF(E520="","",E520+0)</f>
        <v>28.35</v>
      </c>
      <c r="H520" s="101" t="str">
        <f t="shared" ref="H520:H583" si="33">IF(G520="","",TRIM(CONCATENATE("Sinapi ",A520)))</f>
        <v>Sinapi 718</v>
      </c>
      <c r="I520" s="101" t="str">
        <f t="shared" ref="I520:I583" si="34">TRIM(C520)</f>
        <v>UN</v>
      </c>
      <c r="J520" s="140" t="str">
        <f t="shared" si="31"/>
        <v>BLOCO DE VIDRO / ELEMENTO VAZADO, INCOLOR, VENEZIANA, *20 X 20 X 6* CM (A X L X E)</v>
      </c>
    </row>
    <row r="521" spans="1:10" x14ac:dyDescent="0.25">
      <c r="A521" s="169">
        <v>11981</v>
      </c>
      <c r="B521" s="169" t="s">
        <v>23892</v>
      </c>
      <c r="C521" s="169" t="s">
        <v>10225</v>
      </c>
      <c r="D521" s="169" t="s">
        <v>1289</v>
      </c>
      <c r="E521" s="103" t="s">
        <v>28848</v>
      </c>
      <c r="F521" s="104"/>
      <c r="G521" s="105">
        <f t="shared" si="32"/>
        <v>27.54</v>
      </c>
      <c r="H521" s="101" t="str">
        <f t="shared" si="33"/>
        <v>Sinapi 11981</v>
      </c>
      <c r="I521" s="101" t="str">
        <f t="shared" si="34"/>
        <v>UN</v>
      </c>
      <c r="J521" s="140" t="str">
        <f t="shared" ref="J521:J584" si="35">TRIM(B521)</f>
        <v>BLOCO DE VIDRO / ELEMENTO VAZADO, INCOLOR, VENEZIANA, DE *20 X 10 X 8* CM (A X L X E)</v>
      </c>
    </row>
    <row r="522" spans="1:10" x14ac:dyDescent="0.25">
      <c r="A522" s="169">
        <v>34586</v>
      </c>
      <c r="B522" s="169" t="s">
        <v>23893</v>
      </c>
      <c r="C522" s="169" t="s">
        <v>10225</v>
      </c>
      <c r="D522" s="169" t="s">
        <v>1289</v>
      </c>
      <c r="E522" s="103" t="s">
        <v>21051</v>
      </c>
      <c r="F522" s="104"/>
      <c r="G522" s="105">
        <f t="shared" si="32"/>
        <v>2.1</v>
      </c>
      <c r="H522" s="101" t="str">
        <f t="shared" si="33"/>
        <v>Sinapi 34586</v>
      </c>
      <c r="I522" s="101" t="str">
        <f t="shared" si="34"/>
        <v>UN</v>
      </c>
      <c r="J522" s="140" t="str">
        <f t="shared" si="35"/>
        <v>BLOCO ESTRUTURAL CERAMICO 14 X 19 X 29 CM, 6,0 MPA (NBR 15270)</v>
      </c>
    </row>
    <row r="523" spans="1:10" x14ac:dyDescent="0.25">
      <c r="A523" s="169">
        <v>38603</v>
      </c>
      <c r="B523" s="169" t="s">
        <v>23894</v>
      </c>
      <c r="C523" s="169" t="s">
        <v>10225</v>
      </c>
      <c r="D523" s="169" t="s">
        <v>1289</v>
      </c>
      <c r="E523" s="103" t="s">
        <v>17916</v>
      </c>
      <c r="F523" s="104"/>
      <c r="G523" s="105">
        <f t="shared" si="32"/>
        <v>2.5499999999999998</v>
      </c>
      <c r="H523" s="101" t="str">
        <f t="shared" si="33"/>
        <v>Sinapi 38603</v>
      </c>
      <c r="I523" s="101" t="str">
        <f t="shared" si="34"/>
        <v>UN</v>
      </c>
      <c r="J523" s="140" t="str">
        <f t="shared" si="35"/>
        <v>BLOCO ESTRUTURAL CERAMICO 14 X 19 X 34 CM, 6,0 MPA (NBR 15270)</v>
      </c>
    </row>
    <row r="524" spans="1:10" x14ac:dyDescent="0.25">
      <c r="A524" s="169">
        <v>34588</v>
      </c>
      <c r="B524" s="169" t="s">
        <v>23895</v>
      </c>
      <c r="C524" s="169" t="s">
        <v>10225</v>
      </c>
      <c r="D524" s="169" t="s">
        <v>1289</v>
      </c>
      <c r="E524" s="103" t="s">
        <v>27780</v>
      </c>
      <c r="F524" s="104"/>
      <c r="G524" s="105">
        <f t="shared" si="32"/>
        <v>2.75</v>
      </c>
      <c r="H524" s="101" t="str">
        <f t="shared" si="33"/>
        <v>Sinapi 34588</v>
      </c>
      <c r="I524" s="101" t="str">
        <f t="shared" si="34"/>
        <v>UN</v>
      </c>
      <c r="J524" s="140" t="str">
        <f t="shared" si="35"/>
        <v>BLOCO ESTRUTURAL CERAMICO 14 X 19 X 39 CM, 6,0 MPA (NBR 15270)</v>
      </c>
    </row>
    <row r="525" spans="1:10" x14ac:dyDescent="0.25">
      <c r="A525" s="169">
        <v>34590</v>
      </c>
      <c r="B525" s="169" t="s">
        <v>23896</v>
      </c>
      <c r="C525" s="169" t="s">
        <v>10225</v>
      </c>
      <c r="D525" s="169" t="s">
        <v>1289</v>
      </c>
      <c r="E525" s="103" t="s">
        <v>20013</v>
      </c>
      <c r="F525" s="104"/>
      <c r="G525" s="105">
        <f t="shared" si="32"/>
        <v>2.5099999999999998</v>
      </c>
      <c r="H525" s="101" t="str">
        <f t="shared" si="33"/>
        <v>Sinapi 34590</v>
      </c>
      <c r="I525" s="101" t="str">
        <f t="shared" si="34"/>
        <v>UN</v>
      </c>
      <c r="J525" s="140" t="str">
        <f t="shared" si="35"/>
        <v>BLOCO ESTRUTURAL CERAMICO 19 X 19 X 29 CM, 6,0 MPA (NBR 15270)</v>
      </c>
    </row>
    <row r="526" spans="1:10" x14ac:dyDescent="0.25">
      <c r="A526" s="169">
        <v>34591</v>
      </c>
      <c r="B526" s="169" t="s">
        <v>23897</v>
      </c>
      <c r="C526" s="169" t="s">
        <v>10225</v>
      </c>
      <c r="D526" s="169" t="s">
        <v>1289</v>
      </c>
      <c r="E526" s="103" t="s">
        <v>14343</v>
      </c>
      <c r="F526" s="104"/>
      <c r="G526" s="105">
        <f t="shared" si="32"/>
        <v>3.4</v>
      </c>
      <c r="H526" s="101" t="str">
        <f t="shared" si="33"/>
        <v>Sinapi 34591</v>
      </c>
      <c r="I526" s="101" t="str">
        <f t="shared" si="34"/>
        <v>UN</v>
      </c>
      <c r="J526" s="140" t="str">
        <f t="shared" si="35"/>
        <v>BLOCO ESTRUTURAL CERAMICO 19 X 19 X 39 CM, 6,0 MPA (NBR 15270)</v>
      </c>
    </row>
    <row r="527" spans="1:10" x14ac:dyDescent="0.25">
      <c r="A527" s="169">
        <v>40517</v>
      </c>
      <c r="B527" s="169" t="s">
        <v>1137</v>
      </c>
      <c r="C527" s="169" t="s">
        <v>10226</v>
      </c>
      <c r="D527" s="169" t="s">
        <v>1289</v>
      </c>
      <c r="E527" s="103" t="s">
        <v>23094</v>
      </c>
      <c r="F527" s="104"/>
      <c r="G527" s="105">
        <f t="shared" si="32"/>
        <v>100.9</v>
      </c>
      <c r="H527" s="101" t="str">
        <f t="shared" si="33"/>
        <v>Sinapi 40517</v>
      </c>
      <c r="I527" s="101" t="str">
        <f t="shared" si="34"/>
        <v>M2</v>
      </c>
      <c r="J527" s="140" t="str">
        <f t="shared" si="35"/>
        <v>BLOQUETE/PISO DE CONCRETO - MODELO BLOCO PISOGRAMA/CONCREGRAMA 2 FUROS, DIMENSOES APROX. DE 35 CM X 15 CM E ESPESSURA DE 7 CM (+/- 1 CM), COR NATURAL</v>
      </c>
    </row>
    <row r="528" spans="1:10" x14ac:dyDescent="0.25">
      <c r="A528" s="169">
        <v>40515</v>
      </c>
      <c r="B528" s="169" t="s">
        <v>23900</v>
      </c>
      <c r="C528" s="169" t="s">
        <v>10226</v>
      </c>
      <c r="D528" s="169" t="s">
        <v>1289</v>
      </c>
      <c r="E528" s="103" t="s">
        <v>29760</v>
      </c>
      <c r="F528" s="104"/>
      <c r="G528" s="105">
        <f t="shared" si="32"/>
        <v>227.04</v>
      </c>
      <c r="H528" s="101" t="str">
        <f t="shared" si="33"/>
        <v>Sinapi 40515</v>
      </c>
      <c r="I528" s="101" t="str">
        <f t="shared" si="34"/>
        <v>M2</v>
      </c>
      <c r="J528" s="140" t="str">
        <f t="shared" si="35"/>
        <v>BLOQUETE/PISO DE CONCRETO - MODELO PISOGRAMA/CONCREGRAMA/PAVI-GRADE/GRAMEIRO, DIMENSOES APROXIMADAS DE 60 CM X 45 CM E ESPESSURA DE 8 CM (+/- 1 CM), COR NATURAL</v>
      </c>
    </row>
    <row r="529" spans="1:10" x14ac:dyDescent="0.25">
      <c r="A529" s="169">
        <v>40529</v>
      </c>
      <c r="B529" s="169" t="s">
        <v>23902</v>
      </c>
      <c r="C529" s="169" t="s">
        <v>10226</v>
      </c>
      <c r="D529" s="169" t="s">
        <v>1289</v>
      </c>
      <c r="E529" s="103" t="s">
        <v>29761</v>
      </c>
      <c r="F529" s="104"/>
      <c r="G529" s="105">
        <f t="shared" si="32"/>
        <v>145.05000000000001</v>
      </c>
      <c r="H529" s="101" t="str">
        <f t="shared" si="33"/>
        <v>Sinapi 40529</v>
      </c>
      <c r="I529" s="101" t="str">
        <f t="shared" si="34"/>
        <v>M2</v>
      </c>
      <c r="J529" s="140" t="str">
        <f t="shared" si="35"/>
        <v>BLOQUETE/PISO INTERTRAVADO DE CONCRETO - MODELO ONDA/16 FACES/RETANGULAR/TIJOLINHO/PAVER/HOLANDES/PARALELEPIPEDO, *22 CM X *11 CM, E = 10 CM, RESISTENCIA DE 50 MPA (NBR 9781), COR NATURAL</v>
      </c>
    </row>
    <row r="530" spans="1:10" x14ac:dyDescent="0.25">
      <c r="A530" s="169">
        <v>36170</v>
      </c>
      <c r="B530" s="169" t="s">
        <v>23903</v>
      </c>
      <c r="C530" s="169" t="s">
        <v>10226</v>
      </c>
      <c r="D530" s="169" t="s">
        <v>1288</v>
      </c>
      <c r="E530" s="103" t="s">
        <v>28669</v>
      </c>
      <c r="F530" s="104"/>
      <c r="G530" s="105">
        <f t="shared" si="32"/>
        <v>120.35</v>
      </c>
      <c r="H530" s="101" t="str">
        <f t="shared" si="33"/>
        <v>Sinapi 36170</v>
      </c>
      <c r="I530" s="101" t="str">
        <f t="shared" si="34"/>
        <v>M2</v>
      </c>
      <c r="J530" s="140" t="str">
        <f t="shared" si="35"/>
        <v>BLOQUETE/PISO INTERTRAVADO DE CONCRETO - MODELO ONDA/16 FACES/RETANGULAR/TIJOLINHO/PAVER/HOLANDES/PARALELEPIPEDO, *22 CM X 11* CM, E = 8 CM, RESISTENCIA DE 35 MPA (NBR 9781), COR NATURAL</v>
      </c>
    </row>
    <row r="531" spans="1:10" x14ac:dyDescent="0.25">
      <c r="A531" s="169">
        <v>40524</v>
      </c>
      <c r="B531" s="169" t="s">
        <v>23904</v>
      </c>
      <c r="C531" s="169" t="s">
        <v>10226</v>
      </c>
      <c r="D531" s="169" t="s">
        <v>1289</v>
      </c>
      <c r="E531" s="103" t="s">
        <v>29762</v>
      </c>
      <c r="F531" s="104"/>
      <c r="G531" s="105">
        <f t="shared" si="32"/>
        <v>141.9</v>
      </c>
      <c r="H531" s="101" t="str">
        <f t="shared" si="33"/>
        <v>Sinapi 40524</v>
      </c>
      <c r="I531" s="101" t="str">
        <f t="shared" si="34"/>
        <v>M2</v>
      </c>
      <c r="J531" s="140" t="str">
        <f t="shared" si="35"/>
        <v>BLOQUETE/PISO INTERTRAVADO DE CONCRETO - MODELO ONDA/16 FACES/RETANGULAR/TIJOLINHO/PAVER/HOLANDES/PARALELEPIPEDO, 20 CM X 10 CM, E = 10 CM, RESISTENCIA DE 35 MPA (NBR 9781), COR NATURAL</v>
      </c>
    </row>
    <row r="532" spans="1:10" x14ac:dyDescent="0.25">
      <c r="A532" s="169">
        <v>36156</v>
      </c>
      <c r="B532" s="169" t="s">
        <v>23906</v>
      </c>
      <c r="C532" s="169" t="s">
        <v>10226</v>
      </c>
      <c r="D532" s="169" t="s">
        <v>1289</v>
      </c>
      <c r="E532" s="103" t="s">
        <v>29409</v>
      </c>
      <c r="F532" s="104"/>
      <c r="G532" s="105">
        <f t="shared" si="32"/>
        <v>110.36</v>
      </c>
      <c r="H532" s="101" t="str">
        <f t="shared" si="33"/>
        <v>Sinapi 36156</v>
      </c>
      <c r="I532" s="101" t="str">
        <f t="shared" si="34"/>
        <v>M2</v>
      </c>
      <c r="J532" s="140" t="str">
        <f t="shared" si="35"/>
        <v>BLOQUETE/PISO INTERTRAVADO DE CONCRETO - MODELO ONDA/16 FACES/RETANGULAR/TIJOLINHO/PAVER/HOLANDES/PARALELEPIPEDO, 20 CM X 10 CM, E = 6 CM, RESISTENCIA DE 35 MPA (NBR 9781), COLORIDO</v>
      </c>
    </row>
    <row r="533" spans="1:10" x14ac:dyDescent="0.25">
      <c r="A533" s="169">
        <v>36155</v>
      </c>
      <c r="B533" s="169" t="s">
        <v>23907</v>
      </c>
      <c r="C533" s="169" t="s">
        <v>10226</v>
      </c>
      <c r="D533" s="169" t="s">
        <v>1289</v>
      </c>
      <c r="E533" s="103" t="s">
        <v>29763</v>
      </c>
      <c r="F533" s="104"/>
      <c r="G533" s="105">
        <f t="shared" si="32"/>
        <v>95.28</v>
      </c>
      <c r="H533" s="101" t="str">
        <f t="shared" si="33"/>
        <v>Sinapi 36155</v>
      </c>
      <c r="I533" s="101" t="str">
        <f t="shared" si="34"/>
        <v>M2</v>
      </c>
      <c r="J533" s="140" t="str">
        <f t="shared" si="35"/>
        <v>BLOQUETE/PISO INTERTRAVADO DE CONCRETO - MODELO ONDA/16 FACES/RETANGULAR/TIJOLINHO/PAVER/HOLANDES/PARALELEPIPEDO, 20 CM X 10 CM, E = 6 CM, RESISTENCIA DE 35 MPA (NBR 9781), COR NATURAL</v>
      </c>
    </row>
    <row r="534" spans="1:10" x14ac:dyDescent="0.25">
      <c r="A534" s="169">
        <v>36154</v>
      </c>
      <c r="B534" s="169" t="s">
        <v>23909</v>
      </c>
      <c r="C534" s="169" t="s">
        <v>10226</v>
      </c>
      <c r="D534" s="169" t="s">
        <v>1289</v>
      </c>
      <c r="E534" s="103" t="s">
        <v>28577</v>
      </c>
      <c r="F534" s="104"/>
      <c r="G534" s="105">
        <f t="shared" si="32"/>
        <v>132.44</v>
      </c>
      <c r="H534" s="101" t="str">
        <f t="shared" si="33"/>
        <v>Sinapi 36154</v>
      </c>
      <c r="I534" s="101" t="str">
        <f t="shared" si="34"/>
        <v>M2</v>
      </c>
      <c r="J534" s="140" t="str">
        <f t="shared" si="35"/>
        <v>BLOQUETE/PISO INTERTRAVADO DE CONCRETO - MODELO ONDA/16 FACES/RETANGULAR/TIJOLINHO/PAVER/HOLANDES/PARALELEPIPEDO, 20 CM X 10 CM, E = 8 CM, RESISTENCIA DE 35 MPA (NBR 9781), COLORIDO</v>
      </c>
    </row>
    <row r="535" spans="1:10" x14ac:dyDescent="0.25">
      <c r="A535" s="169">
        <v>695</v>
      </c>
      <c r="B535" s="169" t="s">
        <v>23910</v>
      </c>
      <c r="C535" s="169" t="s">
        <v>10226</v>
      </c>
      <c r="D535" s="169" t="s">
        <v>1289</v>
      </c>
      <c r="E535" s="103" t="s">
        <v>22009</v>
      </c>
      <c r="F535" s="104"/>
      <c r="G535" s="105">
        <f t="shared" si="32"/>
        <v>97.28</v>
      </c>
      <c r="H535" s="101" t="str">
        <f t="shared" si="33"/>
        <v>Sinapi 695</v>
      </c>
      <c r="I535" s="101" t="str">
        <f t="shared" si="34"/>
        <v>M2</v>
      </c>
      <c r="J535" s="140" t="str">
        <f t="shared" si="35"/>
        <v>BLOQUETE/PISO INTERTRAVADO DE CONCRETO - MODELO RAQUETE, *22 CM X 13,5* CM, E = 6 CM, RESISTENCIA DE 35 MPA (NBR 9781), COR NATURAL</v>
      </c>
    </row>
    <row r="536" spans="1:10" x14ac:dyDescent="0.25">
      <c r="A536" s="169">
        <v>679</v>
      </c>
      <c r="B536" s="169" t="s">
        <v>23911</v>
      </c>
      <c r="C536" s="169" t="s">
        <v>10226</v>
      </c>
      <c r="D536" s="169" t="s">
        <v>1289</v>
      </c>
      <c r="E536" s="103" t="s">
        <v>29761</v>
      </c>
      <c r="F536" s="104"/>
      <c r="G536" s="105">
        <f t="shared" si="32"/>
        <v>145.05000000000001</v>
      </c>
      <c r="H536" s="101" t="str">
        <f t="shared" si="33"/>
        <v>Sinapi 679</v>
      </c>
      <c r="I536" s="101" t="str">
        <f t="shared" si="34"/>
        <v>M2</v>
      </c>
      <c r="J536" s="140" t="str">
        <f t="shared" si="35"/>
        <v>BLOQUETE/PISO INTERTRAVADO DE CONCRETO - MODELO SEXTAVADO / HEXAGONAL, 25 CM X 25 CM, E = 10 CM, RESISTENCIA DE 35 MPA (NBR 9781), COR NATURAL</v>
      </c>
    </row>
    <row r="537" spans="1:10" x14ac:dyDescent="0.25">
      <c r="A537" s="169">
        <v>711</v>
      </c>
      <c r="B537" s="169" t="s">
        <v>23912</v>
      </c>
      <c r="C537" s="169" t="s">
        <v>10226</v>
      </c>
      <c r="D537" s="169" t="s">
        <v>1289</v>
      </c>
      <c r="E537" s="103" t="s">
        <v>29764</v>
      </c>
      <c r="F537" s="104"/>
      <c r="G537" s="105">
        <f t="shared" si="32"/>
        <v>95.95</v>
      </c>
      <c r="H537" s="101" t="str">
        <f t="shared" si="33"/>
        <v>Sinapi 711</v>
      </c>
      <c r="I537" s="101" t="str">
        <f t="shared" si="34"/>
        <v>M2</v>
      </c>
      <c r="J537" s="140" t="str">
        <f t="shared" si="35"/>
        <v>BLOQUETE/PISO INTERTRAVADO DE CONCRETO - MODELO SEXTAVADO / HEXAGONAL, 25 CM X 25 CM, E = 6 CM, RESISTENCIA DE 35 MPA (NBR 9781), COR NATURAL</v>
      </c>
    </row>
    <row r="538" spans="1:10" x14ac:dyDescent="0.25">
      <c r="A538" s="169">
        <v>712</v>
      </c>
      <c r="B538" s="169" t="s">
        <v>23913</v>
      </c>
      <c r="C538" s="169" t="s">
        <v>10226</v>
      </c>
      <c r="D538" s="169" t="s">
        <v>1289</v>
      </c>
      <c r="E538" s="103" t="s">
        <v>29765</v>
      </c>
      <c r="F538" s="104"/>
      <c r="G538" s="105">
        <f t="shared" si="32"/>
        <v>120.87</v>
      </c>
      <c r="H538" s="101" t="str">
        <f t="shared" si="33"/>
        <v>Sinapi 712</v>
      </c>
      <c r="I538" s="101" t="str">
        <f t="shared" si="34"/>
        <v>M2</v>
      </c>
      <c r="J538" s="140" t="str">
        <f t="shared" si="35"/>
        <v>BLOQUETE/PISO INTERTRAVADO DE CONCRETO - MODELO SEXTAVADO / HEXAGONAL, 25 CM X 25 CM, E = 8 CM, RESISTENCIA DE 35 MPA (NBR 9781), COR NATURAL</v>
      </c>
    </row>
    <row r="539" spans="1:10" x14ac:dyDescent="0.25">
      <c r="A539" s="169">
        <v>12614</v>
      </c>
      <c r="B539" s="169" t="s">
        <v>23914</v>
      </c>
      <c r="C539" s="169" t="s">
        <v>10225</v>
      </c>
      <c r="D539" s="169" t="s">
        <v>1289</v>
      </c>
      <c r="E539" s="103" t="s">
        <v>28515</v>
      </c>
      <c r="F539" s="104"/>
      <c r="G539" s="105">
        <f t="shared" si="32"/>
        <v>54.31</v>
      </c>
      <c r="H539" s="101" t="str">
        <f t="shared" si="33"/>
        <v>Sinapi 12614</v>
      </c>
      <c r="I539" s="101" t="str">
        <f t="shared" si="34"/>
        <v>UN</v>
      </c>
      <c r="J539" s="140" t="str">
        <f t="shared" si="35"/>
        <v>BOCAL PVC, PARA CALHA PLUVIAL, DIAMETRO DA SAIDA ENTRE *75 E 120* MM, PARA DRENAGEM PLUVIAL PREDIAL</v>
      </c>
    </row>
    <row r="540" spans="1:10" x14ac:dyDescent="0.25">
      <c r="A540" s="169">
        <v>6140</v>
      </c>
      <c r="B540" s="169" t="s">
        <v>29766</v>
      </c>
      <c r="C540" s="169" t="s">
        <v>10225</v>
      </c>
      <c r="D540" s="169" t="s">
        <v>1289</v>
      </c>
      <c r="E540" s="103" t="s">
        <v>16302</v>
      </c>
      <c r="F540" s="104"/>
      <c r="G540" s="105">
        <f t="shared" si="32"/>
        <v>4.0999999999999996</v>
      </c>
      <c r="H540" s="101" t="str">
        <f t="shared" si="33"/>
        <v>Sinapi 6140</v>
      </c>
      <c r="I540" s="101" t="str">
        <f t="shared" si="34"/>
        <v>UN</v>
      </c>
      <c r="J540" s="140" t="str">
        <f t="shared" si="35"/>
        <v>BOLSA DE LIGACAO EM PVC FLEXIVEL PARA VASO SANITARIO 40 MM (1 1/2")</v>
      </c>
    </row>
    <row r="541" spans="1:10" x14ac:dyDescent="0.25">
      <c r="A541" s="169">
        <v>38399</v>
      </c>
      <c r="B541" s="169" t="s">
        <v>23915</v>
      </c>
      <c r="C541" s="169" t="s">
        <v>10225</v>
      </c>
      <c r="D541" s="169" t="s">
        <v>1289</v>
      </c>
      <c r="E541" s="103" t="s">
        <v>29767</v>
      </c>
      <c r="F541" s="104"/>
      <c r="G541" s="105">
        <f t="shared" si="32"/>
        <v>337.28</v>
      </c>
      <c r="H541" s="101" t="str">
        <f t="shared" si="33"/>
        <v>Sinapi 38399</v>
      </c>
      <c r="I541" s="101" t="str">
        <f t="shared" si="34"/>
        <v>UN</v>
      </c>
      <c r="J541" s="140" t="str">
        <f t="shared" si="35"/>
        <v>BOLSA DE LONA PARA FERRAMENTAS *50 X 35 X 25* CM</v>
      </c>
    </row>
    <row r="542" spans="1:10" x14ac:dyDescent="0.25">
      <c r="A542" s="169">
        <v>735</v>
      </c>
      <c r="B542" s="169" t="s">
        <v>23916</v>
      </c>
      <c r="C542" s="169" t="s">
        <v>10225</v>
      </c>
      <c r="D542" s="169" t="s">
        <v>1289</v>
      </c>
      <c r="E542" s="103" t="s">
        <v>29768</v>
      </c>
      <c r="F542" s="104"/>
      <c r="G542" s="105">
        <f t="shared" si="32"/>
        <v>3399.19</v>
      </c>
      <c r="H542" s="101" t="str">
        <f t="shared" si="33"/>
        <v>Sinapi 735</v>
      </c>
      <c r="I542" s="101" t="str">
        <f t="shared" si="34"/>
        <v>UN</v>
      </c>
      <c r="J542" s="140" t="str">
        <f t="shared" si="35"/>
        <v>BOMBA CENTRIFUGA MOTOR ELETRICO TRIFASICO 1,48HP DIAMETRO DE SUCCAO X ELEVACAO 1" X 1", 4 ESTAGIOS, DIAMETRO DOS ROTORES 3 X 107 MM + 1 X 100 MM, HM/Q: 10 M / 5,3 M3/H A 70 M / 1,8 M3/H</v>
      </c>
    </row>
    <row r="543" spans="1:10" x14ac:dyDescent="0.25">
      <c r="A543" s="169">
        <v>736</v>
      </c>
      <c r="B543" s="169" t="s">
        <v>23917</v>
      </c>
      <c r="C543" s="169" t="s">
        <v>10225</v>
      </c>
      <c r="D543" s="169" t="s">
        <v>1289</v>
      </c>
      <c r="E543" s="103" t="s">
        <v>29769</v>
      </c>
      <c r="F543" s="104"/>
      <c r="G543" s="105">
        <f t="shared" si="32"/>
        <v>2858.11</v>
      </c>
      <c r="H543" s="101" t="str">
        <f t="shared" si="33"/>
        <v>Sinapi 736</v>
      </c>
      <c r="I543" s="101" t="str">
        <f t="shared" si="34"/>
        <v>UN</v>
      </c>
      <c r="J543" s="140" t="str">
        <f t="shared" si="35"/>
        <v>BOMBA CENTRIFUGA MOTOR ELETRICO TRIFASICO 2,96HP, DIAMETRO DE SUCCAO X ELEVACAO 1 1/2" X 1 1/4", DIAMETRO DO ROTOR 148 MM, HM/Q: 34 M / 14,80 M3/H A 40 M / 8,60 M3/H</v>
      </c>
    </row>
    <row r="544" spans="1:10" x14ac:dyDescent="0.25">
      <c r="A544" s="169">
        <v>729</v>
      </c>
      <c r="B544" s="169" t="s">
        <v>23918</v>
      </c>
      <c r="C544" s="169" t="s">
        <v>10225</v>
      </c>
      <c r="D544" s="169" t="s">
        <v>1288</v>
      </c>
      <c r="E544" s="103" t="s">
        <v>29770</v>
      </c>
      <c r="F544" s="104"/>
      <c r="G544" s="105">
        <f t="shared" si="32"/>
        <v>1164.71</v>
      </c>
      <c r="H544" s="101" t="str">
        <f t="shared" si="33"/>
        <v>Sinapi 729</v>
      </c>
      <c r="I544" s="101" t="str">
        <f t="shared" si="34"/>
        <v>UN</v>
      </c>
      <c r="J544" s="140" t="str">
        <f t="shared" si="35"/>
        <v>BOMBA CENTRIFUGA COM MOTOR ELETRICO MONOFASICO, POTENCIA 0,33 HP, BOCAIS 1" X 3/4", DIAMETRO DO ROTOR 99 MM, HM/Q = 4 MCA / 8,5 M3/H A 18 MCA / 0,90 M3/H</v>
      </c>
    </row>
    <row r="545" spans="1:10" x14ac:dyDescent="0.25">
      <c r="A545" s="169">
        <v>39925</v>
      </c>
      <c r="B545" s="169" t="s">
        <v>23919</v>
      </c>
      <c r="C545" s="169" t="s">
        <v>10225</v>
      </c>
      <c r="D545" s="169" t="s">
        <v>1289</v>
      </c>
      <c r="E545" s="103" t="s">
        <v>29771</v>
      </c>
      <c r="F545" s="104"/>
      <c r="G545" s="105">
        <f t="shared" si="32"/>
        <v>16829.95</v>
      </c>
      <c r="H545" s="101" t="str">
        <f t="shared" si="33"/>
        <v>Sinapi 39925</v>
      </c>
      <c r="I545" s="101" t="str">
        <f t="shared" si="34"/>
        <v>UN</v>
      </c>
      <c r="J545" s="140" t="str">
        <f t="shared" si="35"/>
        <v>BOMBA CENTRIFUGA MONOESTAGIO COM MOTOR ELETRICO MONOFASICO, POTENCIA 15 HP, DIAMETRO DO ROTOR *173* MM, HM/Q = *30* MCA / *90* M3/H A *45* MCA / *55* M3/H</v>
      </c>
    </row>
    <row r="546" spans="1:10" x14ac:dyDescent="0.25">
      <c r="A546" s="169">
        <v>731</v>
      </c>
      <c r="B546" s="169" t="s">
        <v>23920</v>
      </c>
      <c r="C546" s="169" t="s">
        <v>10225</v>
      </c>
      <c r="D546" s="169" t="s">
        <v>1289</v>
      </c>
      <c r="E546" s="103" t="s">
        <v>29772</v>
      </c>
      <c r="F546" s="104"/>
      <c r="G546" s="105">
        <f t="shared" si="32"/>
        <v>1133.55</v>
      </c>
      <c r="H546" s="101" t="str">
        <f t="shared" si="33"/>
        <v>Sinapi 731</v>
      </c>
      <c r="I546" s="101" t="str">
        <f t="shared" si="34"/>
        <v>UN</v>
      </c>
      <c r="J546" s="140" t="str">
        <f t="shared" si="35"/>
        <v>BOMBA CENTRIFUGA MOTOR ELETRICO MONOFASICO 0,49 HP BOCAIS 1" X 3/4", DIAMETRO DO ROTOR 110 MM, HM/Q: 6 M / 8,3 M3/H A 20 M / 1,2 M3/H</v>
      </c>
    </row>
    <row r="547" spans="1:10" x14ac:dyDescent="0.25">
      <c r="A547" s="169">
        <v>10575</v>
      </c>
      <c r="B547" s="169" t="s">
        <v>23921</v>
      </c>
      <c r="C547" s="169" t="s">
        <v>10225</v>
      </c>
      <c r="D547" s="169" t="s">
        <v>1289</v>
      </c>
      <c r="E547" s="103" t="s">
        <v>29773</v>
      </c>
      <c r="F547" s="104"/>
      <c r="G547" s="105">
        <f t="shared" si="32"/>
        <v>1768.99</v>
      </c>
      <c r="H547" s="101" t="str">
        <f t="shared" si="33"/>
        <v>Sinapi 10575</v>
      </c>
      <c r="I547" s="101" t="str">
        <f t="shared" si="34"/>
        <v>UN</v>
      </c>
      <c r="J547" s="140" t="str">
        <f t="shared" si="35"/>
        <v>BOMBA CENTRIFUGA MOTOR ELETRICO MONOFASICO 0,50 CV DIAMETRO DE SUCCAO X ELEVACAO 3/4" X 3/4", MONOESTAGIO, DIAMETRO DOS ROTORES 114 MM, HM/Q: 2 M / 2,99 M3/H A 24 M / 0,71 M3/H</v>
      </c>
    </row>
    <row r="548" spans="1:10" x14ac:dyDescent="0.25">
      <c r="A548" s="169">
        <v>733</v>
      </c>
      <c r="B548" s="169" t="s">
        <v>23922</v>
      </c>
      <c r="C548" s="169" t="s">
        <v>10225</v>
      </c>
      <c r="D548" s="169" t="s">
        <v>1289</v>
      </c>
      <c r="E548" s="103" t="s">
        <v>29774</v>
      </c>
      <c r="F548" s="104"/>
      <c r="G548" s="105">
        <f t="shared" si="32"/>
        <v>1936.83</v>
      </c>
      <c r="H548" s="101" t="str">
        <f t="shared" si="33"/>
        <v>Sinapi 733</v>
      </c>
      <c r="I548" s="101" t="str">
        <f t="shared" si="34"/>
        <v>UN</v>
      </c>
      <c r="J548" s="140" t="str">
        <f t="shared" si="35"/>
        <v>BOMBA CENTRIFUGA MOTOR ELETRICO MONOFASICO 0,74HP DIAMETRO DE SUCCAO X ELEVACAO 1 1/4" X 1", DIAMETRO DO ROTOR 120 MM, HM/Q: 8 M / 7,70 M3/H A 24 M / 2,80 M3/H</v>
      </c>
    </row>
    <row r="549" spans="1:10" x14ac:dyDescent="0.25">
      <c r="A549" s="169">
        <v>732</v>
      </c>
      <c r="B549" s="169" t="s">
        <v>23923</v>
      </c>
      <c r="C549" s="169" t="s">
        <v>10225</v>
      </c>
      <c r="D549" s="169" t="s">
        <v>1289</v>
      </c>
      <c r="E549" s="103" t="s">
        <v>29775</v>
      </c>
      <c r="F549" s="104"/>
      <c r="G549" s="105">
        <f t="shared" si="32"/>
        <v>1910.79</v>
      </c>
      <c r="H549" s="101" t="str">
        <f t="shared" si="33"/>
        <v>Sinapi 732</v>
      </c>
      <c r="I549" s="101" t="str">
        <f t="shared" si="34"/>
        <v>UN</v>
      </c>
      <c r="J549" s="140" t="str">
        <f t="shared" si="35"/>
        <v>BOMBA CENTRIFUGA MOTOR ELETRICO TRIFASICO 0,99HP DIAMETRO DE SUCCAO X ELEVACAO 1" X 1", DIAMETRO DO ROTOR 145 MM, HM/Q: 14 M / 8,4 M3/H A 40 M / 0,60 M3/H</v>
      </c>
    </row>
    <row r="550" spans="1:10" x14ac:dyDescent="0.25">
      <c r="A550" s="169">
        <v>737</v>
      </c>
      <c r="B550" s="169" t="s">
        <v>23924</v>
      </c>
      <c r="C550" s="169" t="s">
        <v>10225</v>
      </c>
      <c r="D550" s="169" t="s">
        <v>1289</v>
      </c>
      <c r="E550" s="103" t="s">
        <v>29776</v>
      </c>
      <c r="F550" s="104"/>
      <c r="G550" s="105">
        <f t="shared" si="32"/>
        <v>10715.14</v>
      </c>
      <c r="H550" s="101" t="str">
        <f t="shared" si="33"/>
        <v>Sinapi 737</v>
      </c>
      <c r="I550" s="101" t="str">
        <f t="shared" si="34"/>
        <v>UN</v>
      </c>
      <c r="J550" s="140" t="str">
        <f t="shared" si="35"/>
        <v>BOMBA CENTRIFUGA MOTOR ELETRICO TRIFASICO 14,8 HP, DIAMETRO DE SUCCAO X ELEVACAO 2 1/2" X 2", DIAMETRO DO ROTOR 195 MM, HM/Q: 62 M / 55,5 M3/H A 80 M / 31,50 M3/H</v>
      </c>
    </row>
    <row r="551" spans="1:10" x14ac:dyDescent="0.25">
      <c r="A551" s="169">
        <v>738</v>
      </c>
      <c r="B551" s="169" t="s">
        <v>23925</v>
      </c>
      <c r="C551" s="169" t="s">
        <v>10225</v>
      </c>
      <c r="D551" s="169" t="s">
        <v>1289</v>
      </c>
      <c r="E551" s="103" t="s">
        <v>29777</v>
      </c>
      <c r="F551" s="104"/>
      <c r="G551" s="105">
        <f t="shared" si="32"/>
        <v>4968.53</v>
      </c>
      <c r="H551" s="101" t="str">
        <f t="shared" si="33"/>
        <v>Sinapi 738</v>
      </c>
      <c r="I551" s="101" t="str">
        <f t="shared" si="34"/>
        <v>UN</v>
      </c>
      <c r="J551" s="140" t="str">
        <f t="shared" si="35"/>
        <v>BOMBA CENTRIFUGA MOTOR ELETRICO TRIFASICO 5HP, DIAMETRO DE SUCCAO X ELEVACAO 2" X 1 1/2", DIAMETRO DO ROTOR 155 MM, HM/Q: 40 M / 20,40 M3/H A 46 M / 9,20 M3/H</v>
      </c>
    </row>
    <row r="552" spans="1:10" x14ac:dyDescent="0.25">
      <c r="A552" s="169">
        <v>740</v>
      </c>
      <c r="B552" s="169" t="s">
        <v>23926</v>
      </c>
      <c r="C552" s="169" t="s">
        <v>10225</v>
      </c>
      <c r="D552" s="169" t="s">
        <v>1289</v>
      </c>
      <c r="E552" s="103" t="s">
        <v>29778</v>
      </c>
      <c r="F552" s="104"/>
      <c r="G552" s="105">
        <f t="shared" si="32"/>
        <v>10080.129999999999</v>
      </c>
      <c r="H552" s="101" t="str">
        <f t="shared" si="33"/>
        <v>Sinapi 740</v>
      </c>
      <c r="I552" s="101" t="str">
        <f t="shared" si="34"/>
        <v>UN</v>
      </c>
      <c r="J552" s="140" t="str">
        <f t="shared" si="35"/>
        <v>BOMBA CENTRIFUGA MOTOR ELETRICO TRIFASICO 9,86 DIAMETRO DE SUCCAO X ELEVACAO 1" X 1", 4 ESTAGIOS, DIAMETRO DOS ROTORES 4 X 146 MM, HM/Q: 85 M / 14,9 M3/H A 140 M / 4,2 M3/H</v>
      </c>
    </row>
    <row r="553" spans="1:10" x14ac:dyDescent="0.25">
      <c r="A553" s="169">
        <v>734</v>
      </c>
      <c r="B553" s="169" t="s">
        <v>23927</v>
      </c>
      <c r="C553" s="169" t="s">
        <v>10225</v>
      </c>
      <c r="D553" s="169" t="s">
        <v>1289</v>
      </c>
      <c r="E553" s="103" t="s">
        <v>29779</v>
      </c>
      <c r="F553" s="104"/>
      <c r="G553" s="105">
        <f t="shared" si="32"/>
        <v>2048.36</v>
      </c>
      <c r="H553" s="101" t="str">
        <f t="shared" si="33"/>
        <v>Sinapi 734</v>
      </c>
      <c r="I553" s="101" t="str">
        <f t="shared" si="34"/>
        <v>UN</v>
      </c>
      <c r="J553" s="140" t="str">
        <f t="shared" si="35"/>
        <v>BOMBA CENTRIFUGA, MOTOR ELETRICO TRIFASICO 1,48HP DIAMETRO DE SUCCAO X ELEVACAO 1 1/2" X 1", DIAMETRO DO ROTOR 117 MM, HM/Q: 10 M / 21,9 M3/H A 24 M / 6,1 M3/H</v>
      </c>
    </row>
    <row r="554" spans="1:10" x14ac:dyDescent="0.25">
      <c r="A554" s="169">
        <v>39008</v>
      </c>
      <c r="B554" s="169" t="s">
        <v>23928</v>
      </c>
      <c r="C554" s="169" t="s">
        <v>10225</v>
      </c>
      <c r="D554" s="169" t="s">
        <v>1289</v>
      </c>
      <c r="E554" s="103" t="s">
        <v>29780</v>
      </c>
      <c r="F554" s="104"/>
      <c r="G554" s="105">
        <f t="shared" si="32"/>
        <v>75928.899999999994</v>
      </c>
      <c r="H554" s="101" t="str">
        <f t="shared" si="33"/>
        <v>Sinapi 39008</v>
      </c>
      <c r="I554" s="101" t="str">
        <f t="shared" si="34"/>
        <v>UN</v>
      </c>
      <c r="J554" s="140" t="str">
        <f t="shared" si="35"/>
        <v>BOMBA DE PROJECAO DE CONCRETO SECO, POTENCIA 10 CV, VAZAO 3 M3/H</v>
      </c>
    </row>
    <row r="555" spans="1:10" x14ac:dyDescent="0.25">
      <c r="A555" s="169">
        <v>39009</v>
      </c>
      <c r="B555" s="169" t="s">
        <v>23929</v>
      </c>
      <c r="C555" s="169" t="s">
        <v>10225</v>
      </c>
      <c r="D555" s="169" t="s">
        <v>1289</v>
      </c>
      <c r="E555" s="103" t="s">
        <v>29781</v>
      </c>
      <c r="F555" s="104"/>
      <c r="G555" s="105">
        <f t="shared" si="32"/>
        <v>81348.41</v>
      </c>
      <c r="H555" s="101" t="str">
        <f t="shared" si="33"/>
        <v>Sinapi 39009</v>
      </c>
      <c r="I555" s="101" t="str">
        <f t="shared" si="34"/>
        <v>UN</v>
      </c>
      <c r="J555" s="140" t="str">
        <f t="shared" si="35"/>
        <v>BOMBA DE PROJECAO DE CONCRETO SECO, POTENCIA 10 CV, VAZAO 6 M3/H</v>
      </c>
    </row>
    <row r="556" spans="1:10" x14ac:dyDescent="0.25">
      <c r="A556" s="169">
        <v>10587</v>
      </c>
      <c r="B556" s="169" t="s">
        <v>23930</v>
      </c>
      <c r="C556" s="169" t="s">
        <v>10225</v>
      </c>
      <c r="D556" s="169" t="s">
        <v>1290</v>
      </c>
      <c r="E556" s="103" t="s">
        <v>29782</v>
      </c>
      <c r="F556" s="104"/>
      <c r="G556" s="105">
        <f t="shared" si="32"/>
        <v>3335.54</v>
      </c>
      <c r="H556" s="101" t="str">
        <f t="shared" si="33"/>
        <v>Sinapi 10587</v>
      </c>
      <c r="I556" s="101" t="str">
        <f t="shared" si="34"/>
        <v>UN</v>
      </c>
      <c r="J556" s="140" t="str">
        <f t="shared" si="35"/>
        <v>BOMBA SUBMERSA PARA POCOS TUBULARES PROFUNDOS DIAMETRO DE 4 POLEGADAS, ELETRICA, MONOFASICA, POTENCIA 0,49 HP, 13 ESTAGIOS, BOCAL DE DESCARGA DIAMETRO DE UMA POLEGADA E MEIA, HM/Q = 18 M / 1,90 M3/H A 85 M / 0,60 M3/H</v>
      </c>
    </row>
    <row r="557" spans="1:10" x14ac:dyDescent="0.25">
      <c r="A557" s="169">
        <v>759</v>
      </c>
      <c r="B557" s="169" t="s">
        <v>23931</v>
      </c>
      <c r="C557" s="169" t="s">
        <v>10225</v>
      </c>
      <c r="D557" s="169" t="s">
        <v>1290</v>
      </c>
      <c r="E557" s="103" t="s">
        <v>29783</v>
      </c>
      <c r="F557" s="104"/>
      <c r="G557" s="105">
        <f t="shared" si="32"/>
        <v>4795.8500000000004</v>
      </c>
      <c r="H557" s="101" t="str">
        <f t="shared" si="33"/>
        <v>Sinapi 759</v>
      </c>
      <c r="I557" s="101" t="str">
        <f t="shared" si="34"/>
        <v>UN</v>
      </c>
      <c r="J557" s="140" t="str">
        <f t="shared" si="35"/>
        <v>BOMBA SUBMERSA PARA POCOS TUBULARES PROFUNDOS DIAMETRO DE 4 POLEGADAS, ELETRICA, TRIFASICA, POTENCIA 1,97 HP, 20 ESTAGIOS, BOCAL DE DESCARGA DIAMETRO DE UMA POLEGADA E MEIA, HM/Q = 18 M / 5,40 M3/H A 164 M / 0,80 M3/H</v>
      </c>
    </row>
    <row r="558" spans="1:10" x14ac:dyDescent="0.25">
      <c r="A558" s="169">
        <v>761</v>
      </c>
      <c r="B558" s="169" t="s">
        <v>23932</v>
      </c>
      <c r="C558" s="169" t="s">
        <v>10225</v>
      </c>
      <c r="D558" s="169" t="s">
        <v>1290</v>
      </c>
      <c r="E558" s="103" t="s">
        <v>29784</v>
      </c>
      <c r="F558" s="104"/>
      <c r="G558" s="105">
        <f t="shared" si="32"/>
        <v>8129.36</v>
      </c>
      <c r="H558" s="101" t="str">
        <f t="shared" si="33"/>
        <v>Sinapi 761</v>
      </c>
      <c r="I558" s="101" t="str">
        <f t="shared" si="34"/>
        <v>UN</v>
      </c>
      <c r="J558" s="140" t="str">
        <f t="shared" si="35"/>
        <v>BOMBA SUBMERSA PARA POCOS TUBULARES PROFUNDOS DIAMETRO DE 4 POLEGADAS, ELETRICA, TRIFASICA, POTENCIA 5,42 HP, 15 ESTAGIOS, BOCAL DE DESCARGA DIAMETRO DE 2 POLEGADAS, HM/Q = 18 M / 18,10 M3/H A 121 M / 2,90 M3/H</v>
      </c>
    </row>
    <row r="559" spans="1:10" x14ac:dyDescent="0.25">
      <c r="A559" s="169">
        <v>750</v>
      </c>
      <c r="B559" s="169" t="s">
        <v>23933</v>
      </c>
      <c r="C559" s="169" t="s">
        <v>10225</v>
      </c>
      <c r="D559" s="169" t="s">
        <v>1290</v>
      </c>
      <c r="E559" s="103" t="s">
        <v>29785</v>
      </c>
      <c r="F559" s="104"/>
      <c r="G559" s="105">
        <f t="shared" si="32"/>
        <v>7718.18</v>
      </c>
      <c r="H559" s="101" t="str">
        <f t="shared" si="33"/>
        <v>Sinapi 750</v>
      </c>
      <c r="I559" s="101" t="str">
        <f t="shared" si="34"/>
        <v>UN</v>
      </c>
      <c r="J559" s="140" t="str">
        <f t="shared" si="35"/>
        <v>BOMBA SUBMERSA PARA POCOS TUBULARES PROFUNDOS DIAMETRO DE 4 POLEGADAS, ELETRICA, TRIFASICA, POTENCIA 5,42 HP, 29 ESTAGIOS, BOCAL DE DESCARGA DE UMA POLEGADA E MEIA, HM/Q = 18 M / 8,10 M3/H A 201 M / 3,2 M3/H</v>
      </c>
    </row>
    <row r="560" spans="1:10" x14ac:dyDescent="0.25">
      <c r="A560" s="169">
        <v>755</v>
      </c>
      <c r="B560" s="169" t="s">
        <v>23934</v>
      </c>
      <c r="C560" s="169" t="s">
        <v>10225</v>
      </c>
      <c r="D560" s="169" t="s">
        <v>1290</v>
      </c>
      <c r="E560" s="103" t="s">
        <v>29786</v>
      </c>
      <c r="F560" s="104"/>
      <c r="G560" s="105">
        <f t="shared" si="32"/>
        <v>31671.69</v>
      </c>
      <c r="H560" s="101" t="str">
        <f t="shared" si="33"/>
        <v>Sinapi 755</v>
      </c>
      <c r="I560" s="101" t="str">
        <f t="shared" si="34"/>
        <v>UN</v>
      </c>
      <c r="J560" s="140" t="str">
        <f t="shared" si="35"/>
        <v>BOMBA SUBMERSA PARA POCOS TUBULARES PROFUNDOS DIAMETRO DE 6 POLEGADAS, ELETRICA, TRIFASICA, POTENCIA 27,12 HP, 7 ESTAGIOS, BOCAL DE DESCARGA DIAMETRO DE 4 POLEGADAS, HM/Q = 13,9 M / 90 M3/H A 44,0 M / 25,0 M3/H</v>
      </c>
    </row>
    <row r="561" spans="1:10" x14ac:dyDescent="0.25">
      <c r="A561" s="169">
        <v>749</v>
      </c>
      <c r="B561" s="169" t="s">
        <v>23935</v>
      </c>
      <c r="C561" s="169" t="s">
        <v>10225</v>
      </c>
      <c r="D561" s="169" t="s">
        <v>1290</v>
      </c>
      <c r="E561" s="103" t="s">
        <v>29787</v>
      </c>
      <c r="F561" s="104"/>
      <c r="G561" s="105">
        <f t="shared" si="32"/>
        <v>11648.26</v>
      </c>
      <c r="H561" s="101" t="str">
        <f t="shared" si="33"/>
        <v>Sinapi 749</v>
      </c>
      <c r="I561" s="101" t="str">
        <f t="shared" si="34"/>
        <v>UN</v>
      </c>
      <c r="J561" s="140" t="str">
        <f t="shared" si="35"/>
        <v>BOMBA SUBMERSA PARA POCOS TUBULARES PROFUNDOS DIAMETRO DE 6 POLEGADAS, ELETRICA, TRIFASICA, POTENCIA 3,45 HP, 5 ESTAGIOS, BOCAL DE DESCARGA DIAMETRO DE 2 POLEGADAS, HM/Q = 68,5 M / 6,12 M3/H A 39,5 M / 14,04 M3/H</v>
      </c>
    </row>
    <row r="562" spans="1:10" x14ac:dyDescent="0.25">
      <c r="A562" s="169">
        <v>756</v>
      </c>
      <c r="B562" s="169" t="s">
        <v>23936</v>
      </c>
      <c r="C562" s="169" t="s">
        <v>10225</v>
      </c>
      <c r="D562" s="169" t="s">
        <v>1290</v>
      </c>
      <c r="E562" s="103" t="s">
        <v>29788</v>
      </c>
      <c r="F562" s="104"/>
      <c r="G562" s="105">
        <f t="shared" si="32"/>
        <v>34542.22</v>
      </c>
      <c r="H562" s="101" t="str">
        <f t="shared" si="33"/>
        <v>Sinapi 756</v>
      </c>
      <c r="I562" s="101" t="str">
        <f t="shared" si="34"/>
        <v>UN</v>
      </c>
      <c r="J562" s="140" t="str">
        <f t="shared" si="35"/>
        <v>BOMBA SUBMERSA PARA POCOS TUBULARES PROFUNDOS DIAMETRO DE 6 POLEGADAS, ELETRICA, TRIFASICA, POTENCIA 32 HP, 9 ESTAGIOS, BOCAL DE DESCARGA DIAMETRO DE 4 POLEGADAS, HM/Q = 114,0 M / 13,9 M3/H A 57,0 M / 25,0 M3/H</v>
      </c>
    </row>
    <row r="563" spans="1:10" x14ac:dyDescent="0.25">
      <c r="A563" s="169">
        <v>757</v>
      </c>
      <c r="B563" s="169" t="s">
        <v>23937</v>
      </c>
      <c r="C563" s="169" t="s">
        <v>10225</v>
      </c>
      <c r="D563" s="169" t="s">
        <v>1290</v>
      </c>
      <c r="E563" s="103" t="s">
        <v>29789</v>
      </c>
      <c r="F563" s="104"/>
      <c r="G563" s="105">
        <f t="shared" si="32"/>
        <v>15684.37</v>
      </c>
      <c r="H563" s="101" t="str">
        <f t="shared" si="33"/>
        <v>Sinapi 757</v>
      </c>
      <c r="I563" s="101" t="str">
        <f t="shared" si="34"/>
        <v>UN</v>
      </c>
      <c r="J563" s="140" t="str">
        <f t="shared" si="35"/>
        <v>BOMBA SUBMERSIVEL, ELETRICA, TRIFASICA, POTENCIA 6 HP, DIAMETRO DO ROTOR 127 MM, BOCAL DE SAIDA DIAMETRO DE 3 POLEGADAS, HM/Q = 7 M / 66,90 M3/H A 26 M / 2,88 M3/H</v>
      </c>
    </row>
    <row r="564" spans="1:10" x14ac:dyDescent="0.25">
      <c r="A564" s="169">
        <v>10588</v>
      </c>
      <c r="B564" s="169" t="s">
        <v>23938</v>
      </c>
      <c r="C564" s="169" t="s">
        <v>10225</v>
      </c>
      <c r="D564" s="169" t="s">
        <v>1290</v>
      </c>
      <c r="E564" s="103" t="s">
        <v>29790</v>
      </c>
      <c r="F564" s="104"/>
      <c r="G564" s="105">
        <f t="shared" si="32"/>
        <v>3462.71</v>
      </c>
      <c r="H564" s="101" t="str">
        <f t="shared" si="33"/>
        <v>Sinapi 10588</v>
      </c>
      <c r="I564" s="101" t="str">
        <f t="shared" si="34"/>
        <v>UN</v>
      </c>
      <c r="J564" s="140" t="str">
        <f t="shared" si="35"/>
        <v>BOMBA SUBMERSIVEL, ELETRICA, TRIFASICA, POTENCIA 0,98 HP, DIAMETRO DO ROTOR 142 MM SEMIABERTO, BOCAL DE SAIDA DIAMETRO DE 2 POLEGADAS, HM/Q = 2 M / 32 M3/H A 8 M / 16 M3/H</v>
      </c>
    </row>
    <row r="565" spans="1:10" x14ac:dyDescent="0.25">
      <c r="A565" s="169">
        <v>10592</v>
      </c>
      <c r="B565" s="169" t="s">
        <v>23939</v>
      </c>
      <c r="C565" s="169" t="s">
        <v>10225</v>
      </c>
      <c r="D565" s="169" t="s">
        <v>1290</v>
      </c>
      <c r="E565" s="103" t="s">
        <v>29791</v>
      </c>
      <c r="F565" s="104"/>
      <c r="G565" s="105">
        <f t="shared" si="32"/>
        <v>4182.5</v>
      </c>
      <c r="H565" s="101" t="str">
        <f t="shared" si="33"/>
        <v>Sinapi 10592</v>
      </c>
      <c r="I565" s="101" t="str">
        <f t="shared" si="34"/>
        <v>UN</v>
      </c>
      <c r="J565" s="140" t="str">
        <f t="shared" si="35"/>
        <v>BOMBA SUBMERSIVEL, ELETRICA, TRIFASICA, POTENCIA 0,99 HP, DIAMETRO ROTOR 98 MM SEMIABERTO, BOCAL DE SAIDA DIAMETRO 2 POLEGADAS, HM/Q = 2 M / 28,90 M3/H A 14 M / 7 M3/H</v>
      </c>
    </row>
    <row r="566" spans="1:10" x14ac:dyDescent="0.25">
      <c r="A566" s="169">
        <v>10589</v>
      </c>
      <c r="B566" s="169" t="s">
        <v>23940</v>
      </c>
      <c r="C566" s="169" t="s">
        <v>10225</v>
      </c>
      <c r="D566" s="169" t="s">
        <v>1290</v>
      </c>
      <c r="E566" s="103" t="s">
        <v>29792</v>
      </c>
      <c r="F566" s="104"/>
      <c r="G566" s="105">
        <f t="shared" si="32"/>
        <v>5618.92</v>
      </c>
      <c r="H566" s="101" t="str">
        <f t="shared" si="33"/>
        <v>Sinapi 10589</v>
      </c>
      <c r="I566" s="101" t="str">
        <f t="shared" si="34"/>
        <v>UN</v>
      </c>
      <c r="J566" s="140" t="str">
        <f t="shared" si="35"/>
        <v>BOMBA SUBMERSIVEL, ELETRICA, TRIFASICA, POTENCIA 1,97 HP, DIAMETRO DO ROTOR 144 MM SEMIABERTO, BOCAL DE SAIDA DIAMETRO DE 2 POLEGADAS, HM/Q = 2 M / 26,8 M3/H A 28 M / 4,6 M3/H</v>
      </c>
    </row>
    <row r="567" spans="1:10" x14ac:dyDescent="0.25">
      <c r="A567" s="169">
        <v>760</v>
      </c>
      <c r="B567" s="169" t="s">
        <v>23941</v>
      </c>
      <c r="C567" s="169" t="s">
        <v>10225</v>
      </c>
      <c r="D567" s="169" t="s">
        <v>1290</v>
      </c>
      <c r="E567" s="103" t="s">
        <v>29793</v>
      </c>
      <c r="F567" s="104"/>
      <c r="G567" s="105">
        <f t="shared" si="32"/>
        <v>31368.75</v>
      </c>
      <c r="H567" s="101" t="str">
        <f t="shared" si="33"/>
        <v>Sinapi 760</v>
      </c>
      <c r="I567" s="101" t="str">
        <f t="shared" si="34"/>
        <v>UN</v>
      </c>
      <c r="J567" s="140" t="str">
        <f t="shared" si="35"/>
        <v>BOMBA SUBMERSIVEL, ELETRICA, TRIFASICA, POTENCIA 13 HP, DIAMETRO DO ROTOR 170 MM, BOCAL DE SAIDA DIAMETRO DE 3 POLEGADAS, HM/Q = 11 M / 68,40 M3/H A 72 M / 3,6 M3/H</v>
      </c>
    </row>
    <row r="568" spans="1:10" x14ac:dyDescent="0.25">
      <c r="A568" s="169">
        <v>751</v>
      </c>
      <c r="B568" s="169" t="s">
        <v>23942</v>
      </c>
      <c r="C568" s="169" t="s">
        <v>10225</v>
      </c>
      <c r="D568" s="169" t="s">
        <v>1290</v>
      </c>
      <c r="E568" s="103" t="s">
        <v>29794</v>
      </c>
      <c r="F568" s="104"/>
      <c r="G568" s="105">
        <f t="shared" si="32"/>
        <v>4940.57</v>
      </c>
      <c r="H568" s="101" t="str">
        <f t="shared" si="33"/>
        <v>Sinapi 751</v>
      </c>
      <c r="I568" s="101" t="str">
        <f t="shared" si="34"/>
        <v>UN</v>
      </c>
      <c r="J568" s="140" t="str">
        <f t="shared" si="35"/>
        <v>BOMBA SUBMERSIVEL, ELETRICA, TRIFASICA, POTENCIA 2,96 HP, DIAMETRO DO ROTOR 144 MM SEMIABERTO, BOCAL DE SAIDA DIAMETRO DE DUAS POLEGADAS, HM/Q = 2 M / 38,8 M3/H A 28 M / 5 M3/H</v>
      </c>
    </row>
    <row r="569" spans="1:10" x14ac:dyDescent="0.25">
      <c r="A569" s="169">
        <v>754</v>
      </c>
      <c r="B569" s="169" t="s">
        <v>23943</v>
      </c>
      <c r="C569" s="169" t="s">
        <v>10225</v>
      </c>
      <c r="D569" s="169" t="s">
        <v>1290</v>
      </c>
      <c r="E569" s="103" t="s">
        <v>29795</v>
      </c>
      <c r="F569" s="104"/>
      <c r="G569" s="105">
        <f t="shared" si="32"/>
        <v>7842.18</v>
      </c>
      <c r="H569" s="101" t="str">
        <f t="shared" si="33"/>
        <v>Sinapi 754</v>
      </c>
      <c r="I569" s="101" t="str">
        <f t="shared" si="34"/>
        <v>UN</v>
      </c>
      <c r="J569" s="140" t="str">
        <f t="shared" si="35"/>
        <v>BOMBA SUBMERSIVEL, ELETRICA, TRIFASICA, POTENCIA 3,75 HP, DIAMETRO DO ROTOR 90 MM SEMIABERTO, BOCAL DE SAIDA DIAMETRO DE 2 POLEGADAS, HM/Q = 5 M / 61,2 M3/H A 25,5 M / 3,6 M3/H</v>
      </c>
    </row>
    <row r="570" spans="1:10" x14ac:dyDescent="0.25">
      <c r="A570" s="169">
        <v>44489</v>
      </c>
      <c r="B570" s="169" t="s">
        <v>23944</v>
      </c>
      <c r="C570" s="169" t="s">
        <v>10225</v>
      </c>
      <c r="D570" s="169" t="s">
        <v>1289</v>
      </c>
      <c r="E570" s="103" t="s">
        <v>29796</v>
      </c>
      <c r="F570" s="104"/>
      <c r="G570" s="105">
        <f t="shared" si="32"/>
        <v>289546.38</v>
      </c>
      <c r="H570" s="101" t="str">
        <f t="shared" si="33"/>
        <v>Sinapi 44489</v>
      </c>
      <c r="I570" s="101" t="str">
        <f t="shared" si="34"/>
        <v>UN</v>
      </c>
      <c r="J570" s="140" t="str">
        <f t="shared" si="35"/>
        <v>BOMBA TRIPLEX COM MOTOR A DIESEL, NACIONAL, DIAMETRO DE SUCCAO DE 2 1/2''</v>
      </c>
    </row>
    <row r="571" spans="1:10" x14ac:dyDescent="0.25">
      <c r="A571" s="169">
        <v>39917</v>
      </c>
      <c r="B571" s="169" t="s">
        <v>23945</v>
      </c>
      <c r="C571" s="169" t="s">
        <v>10225</v>
      </c>
      <c r="D571" s="169" t="s">
        <v>1289</v>
      </c>
      <c r="E571" s="103" t="s">
        <v>29797</v>
      </c>
      <c r="F571" s="104"/>
      <c r="G571" s="105">
        <f t="shared" si="32"/>
        <v>116632.27</v>
      </c>
      <c r="H571" s="101" t="str">
        <f t="shared" si="33"/>
        <v>Sinapi 39917</v>
      </c>
      <c r="I571" s="101" t="str">
        <f t="shared" si="34"/>
        <v>UN</v>
      </c>
      <c r="J571" s="140" t="str">
        <f t="shared" si="35"/>
        <v>BOMBA TRIPLEX, PARA INJECAO DE CALDA DE CIMENTO, VAZAO MAXIMA DE *100* LITROS/MINUTO, PRESSAO MAXIMA DE *70* BAR, POTENCIA DE 15 CV</v>
      </c>
    </row>
    <row r="572" spans="1:10" x14ac:dyDescent="0.25">
      <c r="A572" s="169">
        <v>38167</v>
      </c>
      <c r="B572" s="169" t="s">
        <v>23946</v>
      </c>
      <c r="C572" s="169" t="s">
        <v>10239</v>
      </c>
      <c r="D572" s="169" t="s">
        <v>1289</v>
      </c>
      <c r="E572" s="103" t="s">
        <v>29798</v>
      </c>
      <c r="F572" s="104"/>
      <c r="G572" s="105">
        <f t="shared" si="32"/>
        <v>31.33</v>
      </c>
      <c r="H572" s="101" t="str">
        <f t="shared" si="33"/>
        <v>Sinapi 38167</v>
      </c>
      <c r="I572" s="101" t="str">
        <f t="shared" si="34"/>
        <v>PAR</v>
      </c>
      <c r="J572" s="140" t="str">
        <f t="shared" si="35"/>
        <v>BORBOLETA PARA JANELA TIPO GUILHOTINA, EM ZAMAC CROMADO</v>
      </c>
    </row>
    <row r="573" spans="1:10" x14ac:dyDescent="0.25">
      <c r="A573" s="169">
        <v>36145</v>
      </c>
      <c r="B573" s="169" t="s">
        <v>23947</v>
      </c>
      <c r="C573" s="169" t="s">
        <v>10239</v>
      </c>
      <c r="D573" s="169" t="s">
        <v>1289</v>
      </c>
      <c r="E573" s="103" t="s">
        <v>28841</v>
      </c>
      <c r="F573" s="104"/>
      <c r="G573" s="105">
        <f t="shared" si="32"/>
        <v>42.04</v>
      </c>
      <c r="H573" s="101" t="str">
        <f t="shared" si="33"/>
        <v>Sinapi 36145</v>
      </c>
      <c r="I573" s="101" t="str">
        <f t="shared" si="34"/>
        <v>PAR</v>
      </c>
      <c r="J573" s="140" t="str">
        <f t="shared" si="35"/>
        <v>BOTA DE PVC PRETA, CANO MEDIO, SEM FORRO</v>
      </c>
    </row>
    <row r="574" spans="1:10" x14ac:dyDescent="0.25">
      <c r="A574" s="169">
        <v>12893</v>
      </c>
      <c r="B574" s="169" t="s">
        <v>23948</v>
      </c>
      <c r="C574" s="169" t="s">
        <v>10239</v>
      </c>
      <c r="D574" s="169" t="s">
        <v>1289</v>
      </c>
      <c r="E574" s="103" t="s">
        <v>29799</v>
      </c>
      <c r="F574" s="104"/>
      <c r="G574" s="105">
        <f t="shared" si="32"/>
        <v>70.08</v>
      </c>
      <c r="H574" s="101" t="str">
        <f t="shared" si="33"/>
        <v>Sinapi 12893</v>
      </c>
      <c r="I574" s="101" t="str">
        <f t="shared" si="34"/>
        <v>PAR</v>
      </c>
      <c r="J574" s="140" t="str">
        <f t="shared" si="35"/>
        <v>BOTA DE SEGURANCA COM BIQUEIRA DE ACO E COLARINHO ACOLCHOADO</v>
      </c>
    </row>
    <row r="575" spans="1:10" x14ac:dyDescent="0.25">
      <c r="A575" s="169">
        <v>11685</v>
      </c>
      <c r="B575" s="169" t="s">
        <v>23949</v>
      </c>
      <c r="C575" s="169" t="s">
        <v>10225</v>
      </c>
      <c r="D575" s="169" t="s">
        <v>1289</v>
      </c>
      <c r="E575" s="103" t="s">
        <v>28496</v>
      </c>
      <c r="F575" s="104"/>
      <c r="G575" s="105">
        <f t="shared" si="32"/>
        <v>24.09</v>
      </c>
      <c r="H575" s="101" t="str">
        <f t="shared" si="33"/>
        <v>Sinapi 11685</v>
      </c>
      <c r="I575" s="101" t="str">
        <f t="shared" si="34"/>
        <v>UN</v>
      </c>
      <c r="J575" s="140" t="str">
        <f t="shared" si="35"/>
        <v>BRACO / CANO PARA CHUVEIRO ELETRICO, EM ALUMINIO, 30 CM X 1/2 "</v>
      </c>
    </row>
    <row r="576" spans="1:10" x14ac:dyDescent="0.25">
      <c r="A576" s="169">
        <v>11680</v>
      </c>
      <c r="B576" s="169" t="s">
        <v>23950</v>
      </c>
      <c r="C576" s="169" t="s">
        <v>10225</v>
      </c>
      <c r="D576" s="169" t="s">
        <v>1289</v>
      </c>
      <c r="E576" s="103" t="s">
        <v>17131</v>
      </c>
      <c r="F576" s="104"/>
      <c r="G576" s="105">
        <f t="shared" si="32"/>
        <v>16.86</v>
      </c>
      <c r="H576" s="101" t="str">
        <f t="shared" si="33"/>
        <v>Sinapi 11680</v>
      </c>
      <c r="I576" s="101" t="str">
        <f t="shared" si="34"/>
        <v>UN</v>
      </c>
      <c r="J576" s="140" t="str">
        <f t="shared" si="35"/>
        <v>BRACO OU HASTE COM CANOPLA PLASTICA, 1/2 ", PARA CHUVEIRO SIMPLES</v>
      </c>
    </row>
    <row r="577" spans="1:10" x14ac:dyDescent="0.25">
      <c r="A577" s="169">
        <v>11679</v>
      </c>
      <c r="B577" s="169" t="s">
        <v>23951</v>
      </c>
      <c r="C577" s="169" t="s">
        <v>10225</v>
      </c>
      <c r="D577" s="169" t="s">
        <v>1289</v>
      </c>
      <c r="E577" s="103" t="s">
        <v>17295</v>
      </c>
      <c r="F577" s="104"/>
      <c r="G577" s="105">
        <f t="shared" si="32"/>
        <v>22.86</v>
      </c>
      <c r="H577" s="101" t="str">
        <f t="shared" si="33"/>
        <v>Sinapi 11679</v>
      </c>
      <c r="I577" s="101" t="str">
        <f t="shared" si="34"/>
        <v>UN</v>
      </c>
      <c r="J577" s="140" t="str">
        <f t="shared" si="35"/>
        <v>BRACO OU HASTE RETA COM CANOPLA PLASTICA, 1/2 ", PARA CHUVEIRO ELETRICO</v>
      </c>
    </row>
    <row r="578" spans="1:10" x14ac:dyDescent="0.25">
      <c r="A578" s="169">
        <v>2512</v>
      </c>
      <c r="B578" s="169" t="s">
        <v>23952</v>
      </c>
      <c r="C578" s="169" t="s">
        <v>10225</v>
      </c>
      <c r="D578" s="169" t="s">
        <v>1290</v>
      </c>
      <c r="E578" s="103" t="s">
        <v>23010</v>
      </c>
      <c r="F578" s="104"/>
      <c r="G578" s="105">
        <f t="shared" si="32"/>
        <v>41.05</v>
      </c>
      <c r="H578" s="101" t="str">
        <f t="shared" si="33"/>
        <v>Sinapi 2512</v>
      </c>
      <c r="I578" s="101" t="str">
        <f t="shared" si="34"/>
        <v>UN</v>
      </c>
      <c r="J578" s="140" t="str">
        <f t="shared" si="35"/>
        <v>BRACO P/ LUMINARIA PUBLICA 1 X 1,50M ROMAGNOLE OU EQUIV</v>
      </c>
    </row>
    <row r="579" spans="1:10" x14ac:dyDescent="0.25">
      <c r="A579" s="169">
        <v>4374</v>
      </c>
      <c r="B579" s="169" t="s">
        <v>23953</v>
      </c>
      <c r="C579" s="169" t="s">
        <v>10225</v>
      </c>
      <c r="D579" s="169" t="s">
        <v>1289</v>
      </c>
      <c r="E579" s="103" t="s">
        <v>3430</v>
      </c>
      <c r="F579" s="104"/>
      <c r="G579" s="105">
        <f t="shared" si="32"/>
        <v>0.37</v>
      </c>
      <c r="H579" s="101" t="str">
        <f t="shared" si="33"/>
        <v>Sinapi 4374</v>
      </c>
      <c r="I579" s="101" t="str">
        <f t="shared" si="34"/>
        <v>UN</v>
      </c>
      <c r="J579" s="140" t="str">
        <f t="shared" si="35"/>
        <v>BUCHA DE NYLON SEM ABA S10</v>
      </c>
    </row>
    <row r="580" spans="1:10" x14ac:dyDescent="0.25">
      <c r="A580" s="169">
        <v>7568</v>
      </c>
      <c r="B580" s="169" t="s">
        <v>996</v>
      </c>
      <c r="C580" s="169" t="s">
        <v>10225</v>
      </c>
      <c r="D580" s="169" t="s">
        <v>1289</v>
      </c>
      <c r="E580" s="103" t="s">
        <v>22890</v>
      </c>
      <c r="F580" s="104"/>
      <c r="G580" s="105">
        <f t="shared" si="32"/>
        <v>0.61</v>
      </c>
      <c r="H580" s="101" t="str">
        <f t="shared" si="33"/>
        <v>Sinapi 7568</v>
      </c>
      <c r="I580" s="101" t="str">
        <f t="shared" si="34"/>
        <v>UN</v>
      </c>
      <c r="J580" s="140" t="str">
        <f t="shared" si="35"/>
        <v>BUCHA DE NYLON SEM ABA S10, COM PARAFUSO DE 6,10 X 65 MM EM ACO ZINCADO COM ROSCA SOBERBA, CABECA CHATA E FENDA PHILLIPS</v>
      </c>
    </row>
    <row r="581" spans="1:10" x14ac:dyDescent="0.25">
      <c r="A581" s="169">
        <v>7584</v>
      </c>
      <c r="B581" s="169" t="s">
        <v>23954</v>
      </c>
      <c r="C581" s="169" t="s">
        <v>10225</v>
      </c>
      <c r="D581" s="169" t="s">
        <v>1289</v>
      </c>
      <c r="E581" s="103" t="s">
        <v>19294</v>
      </c>
      <c r="F581" s="104"/>
      <c r="G581" s="105">
        <f t="shared" si="32"/>
        <v>0.93</v>
      </c>
      <c r="H581" s="101" t="str">
        <f t="shared" si="33"/>
        <v>Sinapi 7584</v>
      </c>
      <c r="I581" s="101" t="str">
        <f t="shared" si="34"/>
        <v>UN</v>
      </c>
      <c r="J581" s="140" t="str">
        <f t="shared" si="35"/>
        <v>BUCHA DE NYLON SEM ABA S12, COM PARAFUSO DE 5/16" X 80 MM EM ACO ZINCADO COM ROSCA SOBERBA E CABECA SEXTAVADA</v>
      </c>
    </row>
    <row r="582" spans="1:10" x14ac:dyDescent="0.25">
      <c r="A582" s="169">
        <v>11945</v>
      </c>
      <c r="B582" s="169" t="s">
        <v>23955</v>
      </c>
      <c r="C582" s="169" t="s">
        <v>10225</v>
      </c>
      <c r="D582" s="169" t="s">
        <v>1289</v>
      </c>
      <c r="E582" s="103" t="s">
        <v>2575</v>
      </c>
      <c r="F582" s="104"/>
      <c r="G582" s="105">
        <f t="shared" si="32"/>
        <v>0.06</v>
      </c>
      <c r="H582" s="101" t="str">
        <f t="shared" si="33"/>
        <v>Sinapi 11945</v>
      </c>
      <c r="I582" s="101" t="str">
        <f t="shared" si="34"/>
        <v>UN</v>
      </c>
      <c r="J582" s="140" t="str">
        <f t="shared" si="35"/>
        <v>BUCHA DE NYLON SEM ABA S4</v>
      </c>
    </row>
    <row r="583" spans="1:10" x14ac:dyDescent="0.25">
      <c r="A583" s="169">
        <v>11946</v>
      </c>
      <c r="B583" s="169" t="s">
        <v>23956</v>
      </c>
      <c r="C583" s="169" t="s">
        <v>10225</v>
      </c>
      <c r="D583" s="169" t="s">
        <v>1289</v>
      </c>
      <c r="E583" s="103" t="s">
        <v>2575</v>
      </c>
      <c r="F583" s="104"/>
      <c r="G583" s="105">
        <f t="shared" si="32"/>
        <v>0.06</v>
      </c>
      <c r="H583" s="101" t="str">
        <f t="shared" si="33"/>
        <v>Sinapi 11946</v>
      </c>
      <c r="I583" s="101" t="str">
        <f t="shared" si="34"/>
        <v>UN</v>
      </c>
      <c r="J583" s="140" t="str">
        <f t="shared" si="35"/>
        <v>BUCHA DE NYLON SEM ABA S5</v>
      </c>
    </row>
    <row r="584" spans="1:10" x14ac:dyDescent="0.25">
      <c r="A584" s="169">
        <v>4375</v>
      </c>
      <c r="B584" s="169" t="s">
        <v>23957</v>
      </c>
      <c r="C584" s="169" t="s">
        <v>10225</v>
      </c>
      <c r="D584" s="169" t="s">
        <v>1288</v>
      </c>
      <c r="E584" s="103" t="s">
        <v>3648</v>
      </c>
      <c r="F584" s="104"/>
      <c r="G584" s="105">
        <f t="shared" ref="G584:G647" si="36">IF(E584="","",E584+0)</f>
        <v>0.1</v>
      </c>
      <c r="H584" s="101" t="str">
        <f t="shared" ref="H584:H647" si="37">IF(G584="","",TRIM(CONCATENATE("Sinapi ",A584)))</f>
        <v>Sinapi 4375</v>
      </c>
      <c r="I584" s="101" t="str">
        <f t="shared" ref="I584:I647" si="38">TRIM(C584)</f>
        <v>UN</v>
      </c>
      <c r="J584" s="140" t="str">
        <f t="shared" si="35"/>
        <v>BUCHA DE NYLON SEM ABA S6</v>
      </c>
    </row>
    <row r="585" spans="1:10" x14ac:dyDescent="0.25">
      <c r="A585" s="169">
        <v>11950</v>
      </c>
      <c r="B585" s="169" t="s">
        <v>23958</v>
      </c>
      <c r="C585" s="169" t="s">
        <v>10225</v>
      </c>
      <c r="D585" s="169" t="s">
        <v>1289</v>
      </c>
      <c r="E585" s="103" t="s">
        <v>9963</v>
      </c>
      <c r="F585" s="104"/>
      <c r="G585" s="105">
        <f t="shared" si="36"/>
        <v>0.2</v>
      </c>
      <c r="H585" s="101" t="str">
        <f t="shared" si="37"/>
        <v>Sinapi 11950</v>
      </c>
      <c r="I585" s="101" t="str">
        <f t="shared" si="38"/>
        <v>UN</v>
      </c>
      <c r="J585" s="140" t="str">
        <f t="shared" ref="J585:J648" si="39">TRIM(B585)</f>
        <v>BUCHA DE NYLON SEM ABA S6, COM PARAFUSO DE 4,20 X 40 MM EM ACO ZINCADO COM ROSCA SOBERBA, CABECA CHATA E FENDA PHILLIPS</v>
      </c>
    </row>
    <row r="586" spans="1:10" x14ac:dyDescent="0.25">
      <c r="A586" s="169">
        <v>4376</v>
      </c>
      <c r="B586" s="169" t="s">
        <v>23959</v>
      </c>
      <c r="C586" s="169" t="s">
        <v>10225</v>
      </c>
      <c r="D586" s="169" t="s">
        <v>1289</v>
      </c>
      <c r="E586" s="103" t="s">
        <v>2689</v>
      </c>
      <c r="F586" s="104"/>
      <c r="G586" s="105">
        <f t="shared" si="36"/>
        <v>0.19</v>
      </c>
      <c r="H586" s="101" t="str">
        <f t="shared" si="37"/>
        <v>Sinapi 4376</v>
      </c>
      <c r="I586" s="101" t="str">
        <f t="shared" si="38"/>
        <v>UN</v>
      </c>
      <c r="J586" s="140" t="str">
        <f t="shared" si="39"/>
        <v>BUCHA DE NYLON SEM ABA S8</v>
      </c>
    </row>
    <row r="587" spans="1:10" x14ac:dyDescent="0.25">
      <c r="A587" s="169">
        <v>7583</v>
      </c>
      <c r="B587" s="169" t="s">
        <v>23960</v>
      </c>
      <c r="C587" s="169" t="s">
        <v>10225</v>
      </c>
      <c r="D587" s="169" t="s">
        <v>1289</v>
      </c>
      <c r="E587" s="103" t="s">
        <v>15563</v>
      </c>
      <c r="F587" s="104"/>
      <c r="G587" s="105">
        <f t="shared" si="36"/>
        <v>0.41</v>
      </c>
      <c r="H587" s="101" t="str">
        <f t="shared" si="37"/>
        <v>Sinapi 7583</v>
      </c>
      <c r="I587" s="101" t="str">
        <f t="shared" si="38"/>
        <v>UN</v>
      </c>
      <c r="J587" s="140" t="str">
        <f t="shared" si="39"/>
        <v>BUCHA DE NYLON SEM ABA S8, COM PARAFUSO DE 4,80 X 50 MM EM ACO ZINCADO COM ROSCA SOBERBA, CABECA CHATA E FENDA PHILLIPS</v>
      </c>
    </row>
    <row r="588" spans="1:10" x14ac:dyDescent="0.25">
      <c r="A588" s="169">
        <v>4350</v>
      </c>
      <c r="B588" s="169" t="s">
        <v>23961</v>
      </c>
      <c r="C588" s="169" t="s">
        <v>10225</v>
      </c>
      <c r="D588" s="169" t="s">
        <v>1290</v>
      </c>
      <c r="E588" s="103" t="s">
        <v>2780</v>
      </c>
      <c r="F588" s="104"/>
      <c r="G588" s="105">
        <f t="shared" si="36"/>
        <v>0.73</v>
      </c>
      <c r="H588" s="101" t="str">
        <f t="shared" si="37"/>
        <v>Sinapi 4350</v>
      </c>
      <c r="I588" s="101" t="str">
        <f t="shared" si="38"/>
        <v>UN</v>
      </c>
      <c r="J588" s="140" t="str">
        <f t="shared" si="39"/>
        <v>BUCHA DE NYLON, DIAMETRO DO FURO 8 MM, COMPRIMENTO 40 MM, COM PARAFUSO DE ROSCA SOBERBA, CABECA CHATA, FENDA SIMPLES, 4,8 X 50 MM</v>
      </c>
    </row>
    <row r="589" spans="1:10" x14ac:dyDescent="0.25">
      <c r="A589" s="169">
        <v>44400</v>
      </c>
      <c r="B589" s="169" t="s">
        <v>23962</v>
      </c>
      <c r="C589" s="169" t="s">
        <v>10225</v>
      </c>
      <c r="D589" s="169" t="s">
        <v>1289</v>
      </c>
      <c r="E589" s="103" t="s">
        <v>29800</v>
      </c>
      <c r="F589" s="104"/>
      <c r="G589" s="105">
        <f t="shared" si="36"/>
        <v>37.28</v>
      </c>
      <c r="H589" s="101" t="str">
        <f t="shared" si="37"/>
        <v>Sinapi 44400</v>
      </c>
      <c r="I589" s="101" t="str">
        <f t="shared" si="38"/>
        <v>UN</v>
      </c>
      <c r="J589" s="140" t="str">
        <f t="shared" si="39"/>
        <v>BUCHA DE REDUCAO CPVC, SOLDAVEL, 54 X 28 MM, PARA AGUA QUENTE</v>
      </c>
    </row>
    <row r="590" spans="1:10" x14ac:dyDescent="0.25">
      <c r="A590" s="169">
        <v>39886</v>
      </c>
      <c r="B590" s="169" t="s">
        <v>23963</v>
      </c>
      <c r="C590" s="169" t="s">
        <v>10225</v>
      </c>
      <c r="D590" s="169" t="s">
        <v>1290</v>
      </c>
      <c r="E590" s="103" t="s">
        <v>29801</v>
      </c>
      <c r="F590" s="104"/>
      <c r="G590" s="105">
        <f t="shared" si="36"/>
        <v>5.47</v>
      </c>
      <c r="H590" s="101" t="str">
        <f t="shared" si="37"/>
        <v>Sinapi 39886</v>
      </c>
      <c r="I590" s="101" t="str">
        <f t="shared" si="38"/>
        <v>UN</v>
      </c>
      <c r="J590" s="140" t="str">
        <f t="shared" si="39"/>
        <v>BUCHA DE REDUCAO DE COBRE (REF 600-2) SEM ANEL DE SOLDA, PONTA X BOLSA, 22 X 15 MM</v>
      </c>
    </row>
    <row r="591" spans="1:10" x14ac:dyDescent="0.25">
      <c r="A591" s="169">
        <v>39887</v>
      </c>
      <c r="B591" s="169" t="s">
        <v>23964</v>
      </c>
      <c r="C591" s="169" t="s">
        <v>10225</v>
      </c>
      <c r="D591" s="169" t="s">
        <v>1290</v>
      </c>
      <c r="E591" s="103" t="s">
        <v>6106</v>
      </c>
      <c r="F591" s="104"/>
      <c r="G591" s="105">
        <f t="shared" si="36"/>
        <v>8.1999999999999993</v>
      </c>
      <c r="H591" s="101" t="str">
        <f t="shared" si="37"/>
        <v>Sinapi 39887</v>
      </c>
      <c r="I591" s="101" t="str">
        <f t="shared" si="38"/>
        <v>UN</v>
      </c>
      <c r="J591" s="140" t="str">
        <f t="shared" si="39"/>
        <v>BUCHA DE REDUCAO DE COBRE (REF 600-2) SEM ANEL DE SOLDA, PONTA X BOLSA, 28 X 22 MM</v>
      </c>
    </row>
    <row r="592" spans="1:10" x14ac:dyDescent="0.25">
      <c r="A592" s="169">
        <v>39888</v>
      </c>
      <c r="B592" s="169" t="s">
        <v>23965</v>
      </c>
      <c r="C592" s="169" t="s">
        <v>10225</v>
      </c>
      <c r="D592" s="169" t="s">
        <v>1290</v>
      </c>
      <c r="E592" s="103" t="s">
        <v>15696</v>
      </c>
      <c r="F592" s="104"/>
      <c r="G592" s="105">
        <f t="shared" si="36"/>
        <v>18.760000000000002</v>
      </c>
      <c r="H592" s="101" t="str">
        <f t="shared" si="37"/>
        <v>Sinapi 39888</v>
      </c>
      <c r="I592" s="101" t="str">
        <f t="shared" si="38"/>
        <v>UN</v>
      </c>
      <c r="J592" s="140" t="str">
        <f t="shared" si="39"/>
        <v>BUCHA DE REDUCAO DE COBRE (REF 600-2) SEM ANEL DE SOLDA, PONTA X BOLSA, 35 X 28 MM</v>
      </c>
    </row>
    <row r="593" spans="1:10" x14ac:dyDescent="0.25">
      <c r="A593" s="169">
        <v>39890</v>
      </c>
      <c r="B593" s="169" t="s">
        <v>23966</v>
      </c>
      <c r="C593" s="169" t="s">
        <v>10225</v>
      </c>
      <c r="D593" s="169" t="s">
        <v>1290</v>
      </c>
      <c r="E593" s="103" t="s">
        <v>29802</v>
      </c>
      <c r="F593" s="104"/>
      <c r="G593" s="105">
        <f t="shared" si="36"/>
        <v>32.03</v>
      </c>
      <c r="H593" s="101" t="str">
        <f t="shared" si="37"/>
        <v>Sinapi 39890</v>
      </c>
      <c r="I593" s="101" t="str">
        <f t="shared" si="38"/>
        <v>UN</v>
      </c>
      <c r="J593" s="140" t="str">
        <f t="shared" si="39"/>
        <v>BUCHA DE REDUCAO DE COBRE (REF 600-2) SEM ANEL DE SOLDA, PONTA X BOLSA, 42 X 35 MM</v>
      </c>
    </row>
    <row r="594" spans="1:10" x14ac:dyDescent="0.25">
      <c r="A594" s="169">
        <v>39891</v>
      </c>
      <c r="B594" s="169" t="s">
        <v>23967</v>
      </c>
      <c r="C594" s="169" t="s">
        <v>10225</v>
      </c>
      <c r="D594" s="169" t="s">
        <v>1290</v>
      </c>
      <c r="E594" s="103" t="s">
        <v>21898</v>
      </c>
      <c r="F594" s="104"/>
      <c r="G594" s="105">
        <f t="shared" si="36"/>
        <v>45.16</v>
      </c>
      <c r="H594" s="101" t="str">
        <f t="shared" si="37"/>
        <v>Sinapi 39891</v>
      </c>
      <c r="I594" s="101" t="str">
        <f t="shared" si="38"/>
        <v>UN</v>
      </c>
      <c r="J594" s="140" t="str">
        <f t="shared" si="39"/>
        <v>BUCHA DE REDUCAO DE COBRE (REF 600-2) SEM ANEL DE SOLDA, PONTA X BOLSA, 54 X 42 MM</v>
      </c>
    </row>
    <row r="595" spans="1:10" x14ac:dyDescent="0.25">
      <c r="A595" s="169">
        <v>39892</v>
      </c>
      <c r="B595" s="169" t="s">
        <v>23968</v>
      </c>
      <c r="C595" s="169" t="s">
        <v>10225</v>
      </c>
      <c r="D595" s="169" t="s">
        <v>1290</v>
      </c>
      <c r="E595" s="103" t="s">
        <v>29803</v>
      </c>
      <c r="F595" s="104"/>
      <c r="G595" s="105">
        <f t="shared" si="36"/>
        <v>140.76</v>
      </c>
      <c r="H595" s="101" t="str">
        <f t="shared" si="37"/>
        <v>Sinapi 39892</v>
      </c>
      <c r="I595" s="101" t="str">
        <f t="shared" si="38"/>
        <v>UN</v>
      </c>
      <c r="J595" s="140" t="str">
        <f t="shared" si="39"/>
        <v>BUCHA DE REDUCAO DE COBRE (REF 600-2) SEM ANEL DE SOLDA, PONTA X BOLSA, 66 X 54 MM</v>
      </c>
    </row>
    <row r="596" spans="1:10" x14ac:dyDescent="0.25">
      <c r="A596" s="169">
        <v>790</v>
      </c>
      <c r="B596" s="169" t="s">
        <v>23969</v>
      </c>
      <c r="C596" s="169" t="s">
        <v>10225</v>
      </c>
      <c r="D596" s="169" t="s">
        <v>1289</v>
      </c>
      <c r="E596" s="103" t="s">
        <v>23153</v>
      </c>
      <c r="F596" s="104"/>
      <c r="G596" s="105">
        <f t="shared" si="36"/>
        <v>20.58</v>
      </c>
      <c r="H596" s="101" t="str">
        <f t="shared" si="37"/>
        <v>Sinapi 790</v>
      </c>
      <c r="I596" s="101" t="str">
        <f t="shared" si="38"/>
        <v>UN</v>
      </c>
      <c r="J596" s="140" t="str">
        <f t="shared" si="39"/>
        <v>BUCHA DE REDUCAO DE FERRO GALVANIZADO, COM ROSCA BSP, DE 1 1/2" X 1 1/4"</v>
      </c>
    </row>
    <row r="597" spans="1:10" x14ac:dyDescent="0.25">
      <c r="A597" s="169">
        <v>766</v>
      </c>
      <c r="B597" s="169" t="s">
        <v>23970</v>
      </c>
      <c r="C597" s="169" t="s">
        <v>10225</v>
      </c>
      <c r="D597" s="169" t="s">
        <v>1289</v>
      </c>
      <c r="E597" s="103" t="s">
        <v>23153</v>
      </c>
      <c r="F597" s="104"/>
      <c r="G597" s="105">
        <f t="shared" si="36"/>
        <v>20.58</v>
      </c>
      <c r="H597" s="101" t="str">
        <f t="shared" si="37"/>
        <v>Sinapi 766</v>
      </c>
      <c r="I597" s="101" t="str">
        <f t="shared" si="38"/>
        <v>UN</v>
      </c>
      <c r="J597" s="140" t="str">
        <f t="shared" si="39"/>
        <v>BUCHA DE REDUCAO DE FERRO GALVANIZADO, COM ROSCA BSP, DE 1 1/2" X 1/2"</v>
      </c>
    </row>
    <row r="598" spans="1:10" x14ac:dyDescent="0.25">
      <c r="A598" s="169">
        <v>791</v>
      </c>
      <c r="B598" s="169" t="s">
        <v>23971</v>
      </c>
      <c r="C598" s="169" t="s">
        <v>10225</v>
      </c>
      <c r="D598" s="169" t="s">
        <v>1289</v>
      </c>
      <c r="E598" s="103" t="s">
        <v>23153</v>
      </c>
      <c r="F598" s="104"/>
      <c r="G598" s="105">
        <f t="shared" si="36"/>
        <v>20.58</v>
      </c>
      <c r="H598" s="101" t="str">
        <f t="shared" si="37"/>
        <v>Sinapi 791</v>
      </c>
      <c r="I598" s="101" t="str">
        <f t="shared" si="38"/>
        <v>UN</v>
      </c>
      <c r="J598" s="140" t="str">
        <f t="shared" si="39"/>
        <v>BUCHA DE REDUCAO DE FERRO GALVANIZADO, COM ROSCA BSP, DE 1 1/2" X 1"</v>
      </c>
    </row>
    <row r="599" spans="1:10" x14ac:dyDescent="0.25">
      <c r="A599" s="169">
        <v>767</v>
      </c>
      <c r="B599" s="169" t="s">
        <v>23972</v>
      </c>
      <c r="C599" s="169" t="s">
        <v>10225</v>
      </c>
      <c r="D599" s="169" t="s">
        <v>1289</v>
      </c>
      <c r="E599" s="103" t="s">
        <v>23153</v>
      </c>
      <c r="F599" s="104"/>
      <c r="G599" s="105">
        <f t="shared" si="36"/>
        <v>20.58</v>
      </c>
      <c r="H599" s="101" t="str">
        <f t="shared" si="37"/>
        <v>Sinapi 767</v>
      </c>
      <c r="I599" s="101" t="str">
        <f t="shared" si="38"/>
        <v>UN</v>
      </c>
      <c r="J599" s="140" t="str">
        <f t="shared" si="39"/>
        <v>BUCHA DE REDUCAO DE FERRO GALVANIZADO, COM ROSCA BSP, DE 1 1/2" X 3/4"</v>
      </c>
    </row>
    <row r="600" spans="1:10" x14ac:dyDescent="0.25">
      <c r="A600" s="169">
        <v>768</v>
      </c>
      <c r="B600" s="169" t="s">
        <v>23973</v>
      </c>
      <c r="C600" s="169" t="s">
        <v>10225</v>
      </c>
      <c r="D600" s="169" t="s">
        <v>1289</v>
      </c>
      <c r="E600" s="103" t="s">
        <v>17945</v>
      </c>
      <c r="F600" s="104"/>
      <c r="G600" s="105">
        <f t="shared" si="36"/>
        <v>16.170000000000002</v>
      </c>
      <c r="H600" s="101" t="str">
        <f t="shared" si="37"/>
        <v>Sinapi 768</v>
      </c>
      <c r="I600" s="101" t="str">
        <f t="shared" si="38"/>
        <v>UN</v>
      </c>
      <c r="J600" s="140" t="str">
        <f t="shared" si="39"/>
        <v>BUCHA DE REDUCAO DE FERRO GALVANIZADO, COM ROSCA BSP, DE 1 1/4" X 1/2"</v>
      </c>
    </row>
    <row r="601" spans="1:10" x14ac:dyDescent="0.25">
      <c r="A601" s="169">
        <v>789</v>
      </c>
      <c r="B601" s="169" t="s">
        <v>23974</v>
      </c>
      <c r="C601" s="169" t="s">
        <v>10225</v>
      </c>
      <c r="D601" s="169" t="s">
        <v>1289</v>
      </c>
      <c r="E601" s="103" t="s">
        <v>14634</v>
      </c>
      <c r="F601" s="104"/>
      <c r="G601" s="105">
        <f t="shared" si="36"/>
        <v>15.82</v>
      </c>
      <c r="H601" s="101" t="str">
        <f t="shared" si="37"/>
        <v>Sinapi 789</v>
      </c>
      <c r="I601" s="101" t="str">
        <f t="shared" si="38"/>
        <v>UN</v>
      </c>
      <c r="J601" s="140" t="str">
        <f t="shared" si="39"/>
        <v>BUCHA DE REDUCAO DE FERRO GALVANIZADO, COM ROSCA BSP, DE 1 1/4" X 1"</v>
      </c>
    </row>
    <row r="602" spans="1:10" x14ac:dyDescent="0.25">
      <c r="A602" s="169">
        <v>769</v>
      </c>
      <c r="B602" s="169" t="s">
        <v>23975</v>
      </c>
      <c r="C602" s="169" t="s">
        <v>10225</v>
      </c>
      <c r="D602" s="169" t="s">
        <v>1289</v>
      </c>
      <c r="E602" s="103" t="s">
        <v>17945</v>
      </c>
      <c r="F602" s="104"/>
      <c r="G602" s="105">
        <f t="shared" si="36"/>
        <v>16.170000000000002</v>
      </c>
      <c r="H602" s="101" t="str">
        <f t="shared" si="37"/>
        <v>Sinapi 769</v>
      </c>
      <c r="I602" s="101" t="str">
        <f t="shared" si="38"/>
        <v>UN</v>
      </c>
      <c r="J602" s="140" t="str">
        <f t="shared" si="39"/>
        <v>BUCHA DE REDUCAO DE FERRO GALVANIZADO, COM ROSCA BSP, DE 1 1/4" X 3/4"</v>
      </c>
    </row>
    <row r="603" spans="1:10" x14ac:dyDescent="0.25">
      <c r="A603" s="169">
        <v>770</v>
      </c>
      <c r="B603" s="169" t="s">
        <v>23976</v>
      </c>
      <c r="C603" s="169" t="s">
        <v>10225</v>
      </c>
      <c r="D603" s="169" t="s">
        <v>1289</v>
      </c>
      <c r="E603" s="103" t="s">
        <v>17924</v>
      </c>
      <c r="F603" s="104"/>
      <c r="G603" s="105">
        <f t="shared" si="36"/>
        <v>5.7</v>
      </c>
      <c r="H603" s="101" t="str">
        <f t="shared" si="37"/>
        <v>Sinapi 770</v>
      </c>
      <c r="I603" s="101" t="str">
        <f t="shared" si="38"/>
        <v>UN</v>
      </c>
      <c r="J603" s="140" t="str">
        <f t="shared" si="39"/>
        <v>BUCHA DE REDUCAO DE FERRO GALVANIZADO, COM ROSCA BSP, DE 1/2" X 1/4"</v>
      </c>
    </row>
    <row r="604" spans="1:10" x14ac:dyDescent="0.25">
      <c r="A604" s="169">
        <v>12394</v>
      </c>
      <c r="B604" s="169" t="s">
        <v>23977</v>
      </c>
      <c r="C604" s="169" t="s">
        <v>10225</v>
      </c>
      <c r="D604" s="169" t="s">
        <v>1289</v>
      </c>
      <c r="E604" s="103" t="s">
        <v>17924</v>
      </c>
      <c r="F604" s="104"/>
      <c r="G604" s="105">
        <f t="shared" si="36"/>
        <v>5.7</v>
      </c>
      <c r="H604" s="101" t="str">
        <f t="shared" si="37"/>
        <v>Sinapi 12394</v>
      </c>
      <c r="I604" s="101" t="str">
        <f t="shared" si="38"/>
        <v>UN</v>
      </c>
      <c r="J604" s="140" t="str">
        <f t="shared" si="39"/>
        <v>BUCHA DE REDUCAO DE FERRO GALVANIZADO, COM ROSCA BSP, DE 1/2" X 3/8"</v>
      </c>
    </row>
    <row r="605" spans="1:10" x14ac:dyDescent="0.25">
      <c r="A605" s="169">
        <v>764</v>
      </c>
      <c r="B605" s="169" t="s">
        <v>23978</v>
      </c>
      <c r="C605" s="169" t="s">
        <v>10225</v>
      </c>
      <c r="D605" s="169" t="s">
        <v>1288</v>
      </c>
      <c r="E605" s="103" t="s">
        <v>16345</v>
      </c>
      <c r="F605" s="104"/>
      <c r="G605" s="105">
        <f t="shared" si="36"/>
        <v>9.9499999999999993</v>
      </c>
      <c r="H605" s="101" t="str">
        <f t="shared" si="37"/>
        <v>Sinapi 764</v>
      </c>
      <c r="I605" s="101" t="str">
        <f t="shared" si="38"/>
        <v>UN</v>
      </c>
      <c r="J605" s="140" t="str">
        <f t="shared" si="39"/>
        <v>BUCHA DE REDUCAO DE FERRO GALVANIZADO, COM ROSCA BSP, DE 1" X 1/2"</v>
      </c>
    </row>
    <row r="606" spans="1:10" x14ac:dyDescent="0.25">
      <c r="A606" s="169">
        <v>765</v>
      </c>
      <c r="B606" s="169" t="s">
        <v>23979</v>
      </c>
      <c r="C606" s="169" t="s">
        <v>10225</v>
      </c>
      <c r="D606" s="169" t="s">
        <v>1289</v>
      </c>
      <c r="E606" s="103" t="s">
        <v>16345</v>
      </c>
      <c r="F606" s="104"/>
      <c r="G606" s="105">
        <f t="shared" si="36"/>
        <v>9.9499999999999993</v>
      </c>
      <c r="H606" s="101" t="str">
        <f t="shared" si="37"/>
        <v>Sinapi 765</v>
      </c>
      <c r="I606" s="101" t="str">
        <f t="shared" si="38"/>
        <v>UN</v>
      </c>
      <c r="J606" s="140" t="str">
        <f t="shared" si="39"/>
        <v>BUCHA DE REDUCAO DE FERRO GALVANIZADO, COM ROSCA BSP, DE 1" X 3/4"</v>
      </c>
    </row>
    <row r="607" spans="1:10" x14ac:dyDescent="0.25">
      <c r="A607" s="169">
        <v>787</v>
      </c>
      <c r="B607" s="169" t="s">
        <v>23980</v>
      </c>
      <c r="C607" s="169" t="s">
        <v>10225</v>
      </c>
      <c r="D607" s="169" t="s">
        <v>1289</v>
      </c>
      <c r="E607" s="103" t="s">
        <v>27851</v>
      </c>
      <c r="F607" s="104"/>
      <c r="G607" s="105">
        <f t="shared" si="36"/>
        <v>44.44</v>
      </c>
      <c r="H607" s="101" t="str">
        <f t="shared" si="37"/>
        <v>Sinapi 787</v>
      </c>
      <c r="I607" s="101" t="str">
        <f t="shared" si="38"/>
        <v>UN</v>
      </c>
      <c r="J607" s="140" t="str">
        <f t="shared" si="39"/>
        <v>BUCHA DE REDUCAO DE FERRO GALVANIZADO, COM ROSCA BSP, DE 2 1/2" X 1 1/2"</v>
      </c>
    </row>
    <row r="608" spans="1:10" x14ac:dyDescent="0.25">
      <c r="A608" s="169">
        <v>774</v>
      </c>
      <c r="B608" s="169" t="s">
        <v>23982</v>
      </c>
      <c r="C608" s="169" t="s">
        <v>10225</v>
      </c>
      <c r="D608" s="169" t="s">
        <v>1289</v>
      </c>
      <c r="E608" s="103" t="s">
        <v>27851</v>
      </c>
      <c r="F608" s="104"/>
      <c r="G608" s="105">
        <f t="shared" si="36"/>
        <v>44.44</v>
      </c>
      <c r="H608" s="101" t="str">
        <f t="shared" si="37"/>
        <v>Sinapi 774</v>
      </c>
      <c r="I608" s="101" t="str">
        <f t="shared" si="38"/>
        <v>UN</v>
      </c>
      <c r="J608" s="140" t="str">
        <f t="shared" si="39"/>
        <v>BUCHA DE REDUCAO DE FERRO GALVANIZADO, COM ROSCA BSP, DE 2 1/2" X 1 1/4"</v>
      </c>
    </row>
    <row r="609" spans="1:10" x14ac:dyDescent="0.25">
      <c r="A609" s="169">
        <v>773</v>
      </c>
      <c r="B609" s="169" t="s">
        <v>23983</v>
      </c>
      <c r="C609" s="169" t="s">
        <v>10225</v>
      </c>
      <c r="D609" s="169" t="s">
        <v>1289</v>
      </c>
      <c r="E609" s="103" t="s">
        <v>27851</v>
      </c>
      <c r="F609" s="104"/>
      <c r="G609" s="105">
        <f t="shared" si="36"/>
        <v>44.44</v>
      </c>
      <c r="H609" s="101" t="str">
        <f t="shared" si="37"/>
        <v>Sinapi 773</v>
      </c>
      <c r="I609" s="101" t="str">
        <f t="shared" si="38"/>
        <v>UN</v>
      </c>
      <c r="J609" s="140" t="str">
        <f t="shared" si="39"/>
        <v>BUCHA DE REDUCAO DE FERRO GALVANIZADO, COM ROSCA BSP, DE 2 1/2" X 1"</v>
      </c>
    </row>
    <row r="610" spans="1:10" x14ac:dyDescent="0.25">
      <c r="A610" s="169">
        <v>775</v>
      </c>
      <c r="B610" s="169" t="s">
        <v>23984</v>
      </c>
      <c r="C610" s="169" t="s">
        <v>10225</v>
      </c>
      <c r="D610" s="169" t="s">
        <v>1289</v>
      </c>
      <c r="E610" s="103" t="s">
        <v>27851</v>
      </c>
      <c r="F610" s="104"/>
      <c r="G610" s="105">
        <f t="shared" si="36"/>
        <v>44.44</v>
      </c>
      <c r="H610" s="101" t="str">
        <f t="shared" si="37"/>
        <v>Sinapi 775</v>
      </c>
      <c r="I610" s="101" t="str">
        <f t="shared" si="38"/>
        <v>UN</v>
      </c>
      <c r="J610" s="140" t="str">
        <f t="shared" si="39"/>
        <v>BUCHA DE REDUCAO DE FERRO GALVANIZADO, COM ROSCA BSP, DE 2 1/2" X 2"</v>
      </c>
    </row>
    <row r="611" spans="1:10" x14ac:dyDescent="0.25">
      <c r="A611" s="169">
        <v>788</v>
      </c>
      <c r="B611" s="169" t="s">
        <v>23985</v>
      </c>
      <c r="C611" s="169" t="s">
        <v>10225</v>
      </c>
      <c r="D611" s="169" t="s">
        <v>1289</v>
      </c>
      <c r="E611" s="103" t="s">
        <v>19393</v>
      </c>
      <c r="F611" s="104"/>
      <c r="G611" s="105">
        <f t="shared" si="36"/>
        <v>27.62</v>
      </c>
      <c r="H611" s="101" t="str">
        <f t="shared" si="37"/>
        <v>Sinapi 788</v>
      </c>
      <c r="I611" s="101" t="str">
        <f t="shared" si="38"/>
        <v>UN</v>
      </c>
      <c r="J611" s="140" t="str">
        <f t="shared" si="39"/>
        <v>BUCHA DE REDUCAO DE FERRO GALVANIZADO, COM ROSCA BSP, DE 2" X 1 1/2"</v>
      </c>
    </row>
    <row r="612" spans="1:10" x14ac:dyDescent="0.25">
      <c r="A612" s="169">
        <v>772</v>
      </c>
      <c r="B612" s="169" t="s">
        <v>23987</v>
      </c>
      <c r="C612" s="169" t="s">
        <v>10225</v>
      </c>
      <c r="D612" s="169" t="s">
        <v>1289</v>
      </c>
      <c r="E612" s="103" t="s">
        <v>19393</v>
      </c>
      <c r="F612" s="104"/>
      <c r="G612" s="105">
        <f t="shared" si="36"/>
        <v>27.62</v>
      </c>
      <c r="H612" s="101" t="str">
        <f t="shared" si="37"/>
        <v>Sinapi 772</v>
      </c>
      <c r="I612" s="101" t="str">
        <f t="shared" si="38"/>
        <v>UN</v>
      </c>
      <c r="J612" s="140" t="str">
        <f t="shared" si="39"/>
        <v>BUCHA DE REDUCAO DE FERRO GALVANIZADO, COM ROSCA BSP, DE 2" X 1 1/4"</v>
      </c>
    </row>
    <row r="613" spans="1:10" x14ac:dyDescent="0.25">
      <c r="A613" s="169">
        <v>771</v>
      </c>
      <c r="B613" s="169" t="s">
        <v>23988</v>
      </c>
      <c r="C613" s="169" t="s">
        <v>10225</v>
      </c>
      <c r="D613" s="169" t="s">
        <v>1289</v>
      </c>
      <c r="E613" s="103" t="s">
        <v>19393</v>
      </c>
      <c r="F613" s="104"/>
      <c r="G613" s="105">
        <f t="shared" si="36"/>
        <v>27.62</v>
      </c>
      <c r="H613" s="101" t="str">
        <f t="shared" si="37"/>
        <v>Sinapi 771</v>
      </c>
      <c r="I613" s="101" t="str">
        <f t="shared" si="38"/>
        <v>UN</v>
      </c>
      <c r="J613" s="140" t="str">
        <f t="shared" si="39"/>
        <v>BUCHA DE REDUCAO DE FERRO GALVANIZADO, COM ROSCA BSP, DE 2" X 1"</v>
      </c>
    </row>
    <row r="614" spans="1:10" x14ac:dyDescent="0.25">
      <c r="A614" s="169">
        <v>779</v>
      </c>
      <c r="B614" s="169" t="s">
        <v>23989</v>
      </c>
      <c r="C614" s="169" t="s">
        <v>10225</v>
      </c>
      <c r="D614" s="169" t="s">
        <v>1289</v>
      </c>
      <c r="E614" s="103" t="s">
        <v>19278</v>
      </c>
      <c r="F614" s="104"/>
      <c r="G614" s="105">
        <f t="shared" si="36"/>
        <v>6.87</v>
      </c>
      <c r="H614" s="101" t="str">
        <f t="shared" si="37"/>
        <v>Sinapi 779</v>
      </c>
      <c r="I614" s="101" t="str">
        <f t="shared" si="38"/>
        <v>UN</v>
      </c>
      <c r="J614" s="140" t="str">
        <f t="shared" si="39"/>
        <v>BUCHA DE REDUCAO DE FERRO GALVANIZADO, COM ROSCA BSP, DE 3/4" X 1/2"</v>
      </c>
    </row>
    <row r="615" spans="1:10" x14ac:dyDescent="0.25">
      <c r="A615" s="169">
        <v>776</v>
      </c>
      <c r="B615" s="169" t="s">
        <v>23990</v>
      </c>
      <c r="C615" s="169" t="s">
        <v>10225</v>
      </c>
      <c r="D615" s="169" t="s">
        <v>1289</v>
      </c>
      <c r="E615" s="103" t="s">
        <v>29804</v>
      </c>
      <c r="F615" s="104"/>
      <c r="G615" s="105">
        <f t="shared" si="36"/>
        <v>65.52</v>
      </c>
      <c r="H615" s="101" t="str">
        <f t="shared" si="37"/>
        <v>Sinapi 776</v>
      </c>
      <c r="I615" s="101" t="str">
        <f t="shared" si="38"/>
        <v>UN</v>
      </c>
      <c r="J615" s="140" t="str">
        <f t="shared" si="39"/>
        <v>BUCHA DE REDUCAO DE FERRO GALVANIZADO, COM ROSCA BSP, DE 3" X 1 1/2"</v>
      </c>
    </row>
    <row r="616" spans="1:10" x14ac:dyDescent="0.25">
      <c r="A616" s="169">
        <v>777</v>
      </c>
      <c r="B616" s="169" t="s">
        <v>23991</v>
      </c>
      <c r="C616" s="169" t="s">
        <v>10225</v>
      </c>
      <c r="D616" s="169" t="s">
        <v>1289</v>
      </c>
      <c r="E616" s="103" t="s">
        <v>29805</v>
      </c>
      <c r="F616" s="104"/>
      <c r="G616" s="105">
        <f t="shared" si="36"/>
        <v>63.69</v>
      </c>
      <c r="H616" s="101" t="str">
        <f t="shared" si="37"/>
        <v>Sinapi 777</v>
      </c>
      <c r="I616" s="101" t="str">
        <f t="shared" si="38"/>
        <v>UN</v>
      </c>
      <c r="J616" s="140" t="str">
        <f t="shared" si="39"/>
        <v>BUCHA DE REDUCAO DE FERRO GALVANIZADO, COM ROSCA BSP, DE 3" X 1 1/4"</v>
      </c>
    </row>
    <row r="617" spans="1:10" x14ac:dyDescent="0.25">
      <c r="A617" s="169">
        <v>780</v>
      </c>
      <c r="B617" s="169" t="s">
        <v>23992</v>
      </c>
      <c r="C617" s="169" t="s">
        <v>10225</v>
      </c>
      <c r="D617" s="169" t="s">
        <v>1289</v>
      </c>
      <c r="E617" s="103" t="s">
        <v>29806</v>
      </c>
      <c r="F617" s="104"/>
      <c r="G617" s="105">
        <f t="shared" si="36"/>
        <v>64.010000000000005</v>
      </c>
      <c r="H617" s="101" t="str">
        <f t="shared" si="37"/>
        <v>Sinapi 780</v>
      </c>
      <c r="I617" s="101" t="str">
        <f t="shared" si="38"/>
        <v>UN</v>
      </c>
      <c r="J617" s="140" t="str">
        <f t="shared" si="39"/>
        <v>BUCHA DE REDUCAO DE FERRO GALVANIZADO, COM ROSCA BSP, DE 3" X 2 1/2"</v>
      </c>
    </row>
    <row r="618" spans="1:10" x14ac:dyDescent="0.25">
      <c r="A618" s="169">
        <v>778</v>
      </c>
      <c r="B618" s="169" t="s">
        <v>23993</v>
      </c>
      <c r="C618" s="169" t="s">
        <v>10225</v>
      </c>
      <c r="D618" s="169" t="s">
        <v>1289</v>
      </c>
      <c r="E618" s="103" t="s">
        <v>29804</v>
      </c>
      <c r="F618" s="104"/>
      <c r="G618" s="105">
        <f t="shared" si="36"/>
        <v>65.52</v>
      </c>
      <c r="H618" s="101" t="str">
        <f t="shared" si="37"/>
        <v>Sinapi 778</v>
      </c>
      <c r="I618" s="101" t="str">
        <f t="shared" si="38"/>
        <v>UN</v>
      </c>
      <c r="J618" s="140" t="str">
        <f t="shared" si="39"/>
        <v>BUCHA DE REDUCAO DE FERRO GALVANIZADO, COM ROSCA BSP, DE 3" X 2"</v>
      </c>
    </row>
    <row r="619" spans="1:10" x14ac:dyDescent="0.25">
      <c r="A619" s="169">
        <v>781</v>
      </c>
      <c r="B619" s="169" t="s">
        <v>23994</v>
      </c>
      <c r="C619" s="169" t="s">
        <v>10225</v>
      </c>
      <c r="D619" s="169" t="s">
        <v>1289</v>
      </c>
      <c r="E619" s="103" t="s">
        <v>29807</v>
      </c>
      <c r="F619" s="104"/>
      <c r="G619" s="105">
        <f t="shared" si="36"/>
        <v>121.06</v>
      </c>
      <c r="H619" s="101" t="str">
        <f t="shared" si="37"/>
        <v>Sinapi 781</v>
      </c>
      <c r="I619" s="101" t="str">
        <f t="shared" si="38"/>
        <v>UN</v>
      </c>
      <c r="J619" s="140" t="str">
        <f t="shared" si="39"/>
        <v>BUCHA DE REDUCAO DE FERRO GALVANIZADO, COM ROSCA BSP, DE 4" X 2 1/2"</v>
      </c>
    </row>
    <row r="620" spans="1:10" x14ac:dyDescent="0.25">
      <c r="A620" s="169">
        <v>786</v>
      </c>
      <c r="B620" s="169" t="s">
        <v>23995</v>
      </c>
      <c r="C620" s="169" t="s">
        <v>10225</v>
      </c>
      <c r="D620" s="169" t="s">
        <v>1289</v>
      </c>
      <c r="E620" s="103" t="s">
        <v>29807</v>
      </c>
      <c r="F620" s="104"/>
      <c r="G620" s="105">
        <f t="shared" si="36"/>
        <v>121.06</v>
      </c>
      <c r="H620" s="101" t="str">
        <f t="shared" si="37"/>
        <v>Sinapi 786</v>
      </c>
      <c r="I620" s="101" t="str">
        <f t="shared" si="38"/>
        <v>UN</v>
      </c>
      <c r="J620" s="140" t="str">
        <f t="shared" si="39"/>
        <v>BUCHA DE REDUCAO DE FERRO GALVANIZADO, COM ROSCA BSP, DE 4" X 2"</v>
      </c>
    </row>
    <row r="621" spans="1:10" x14ac:dyDescent="0.25">
      <c r="A621" s="169">
        <v>782</v>
      </c>
      <c r="B621" s="169" t="s">
        <v>23996</v>
      </c>
      <c r="C621" s="169" t="s">
        <v>10225</v>
      </c>
      <c r="D621" s="169" t="s">
        <v>1289</v>
      </c>
      <c r="E621" s="103" t="s">
        <v>29807</v>
      </c>
      <c r="F621" s="104"/>
      <c r="G621" s="105">
        <f t="shared" si="36"/>
        <v>121.06</v>
      </c>
      <c r="H621" s="101" t="str">
        <f t="shared" si="37"/>
        <v>Sinapi 782</v>
      </c>
      <c r="I621" s="101" t="str">
        <f t="shared" si="38"/>
        <v>UN</v>
      </c>
      <c r="J621" s="140" t="str">
        <f t="shared" si="39"/>
        <v>BUCHA DE REDUCAO DE FERRO GALVANIZADO, COM ROSCA BSP, DE 4" X 3"</v>
      </c>
    </row>
    <row r="622" spans="1:10" x14ac:dyDescent="0.25">
      <c r="A622" s="169">
        <v>783</v>
      </c>
      <c r="B622" s="169" t="s">
        <v>23997</v>
      </c>
      <c r="C622" s="169" t="s">
        <v>10225</v>
      </c>
      <c r="D622" s="169" t="s">
        <v>1289</v>
      </c>
      <c r="E622" s="103" t="s">
        <v>29808</v>
      </c>
      <c r="F622" s="104"/>
      <c r="G622" s="105">
        <f t="shared" si="36"/>
        <v>331.32</v>
      </c>
      <c r="H622" s="101" t="str">
        <f t="shared" si="37"/>
        <v>Sinapi 783</v>
      </c>
      <c r="I622" s="101" t="str">
        <f t="shared" si="38"/>
        <v>UN</v>
      </c>
      <c r="J622" s="140" t="str">
        <f t="shared" si="39"/>
        <v>BUCHA DE REDUCAO DE FERRO GALVANIZADO, COM ROSCA BSP, DE 5" X 4"</v>
      </c>
    </row>
    <row r="623" spans="1:10" x14ac:dyDescent="0.25">
      <c r="A623" s="169">
        <v>785</v>
      </c>
      <c r="B623" s="169" t="s">
        <v>23998</v>
      </c>
      <c r="C623" s="169" t="s">
        <v>10225</v>
      </c>
      <c r="D623" s="169" t="s">
        <v>1289</v>
      </c>
      <c r="E623" s="103" t="s">
        <v>29809</v>
      </c>
      <c r="F623" s="104"/>
      <c r="G623" s="105">
        <f t="shared" si="36"/>
        <v>350.07</v>
      </c>
      <c r="H623" s="101" t="str">
        <f t="shared" si="37"/>
        <v>Sinapi 785</v>
      </c>
      <c r="I623" s="101" t="str">
        <f t="shared" si="38"/>
        <v>UN</v>
      </c>
      <c r="J623" s="140" t="str">
        <f t="shared" si="39"/>
        <v>BUCHA DE REDUCAO DE FERRO GALVANIZADO, COM ROSCA BSP, DE 6" X 4"</v>
      </c>
    </row>
    <row r="624" spans="1:10" x14ac:dyDescent="0.25">
      <c r="A624" s="169">
        <v>784</v>
      </c>
      <c r="B624" s="169" t="s">
        <v>23999</v>
      </c>
      <c r="C624" s="169" t="s">
        <v>10225</v>
      </c>
      <c r="D624" s="169" t="s">
        <v>1289</v>
      </c>
      <c r="E624" s="103" t="s">
        <v>29810</v>
      </c>
      <c r="F624" s="104"/>
      <c r="G624" s="105">
        <f t="shared" si="36"/>
        <v>375.54</v>
      </c>
      <c r="H624" s="101" t="str">
        <f t="shared" si="37"/>
        <v>Sinapi 784</v>
      </c>
      <c r="I624" s="101" t="str">
        <f t="shared" si="38"/>
        <v>UN</v>
      </c>
      <c r="J624" s="140" t="str">
        <f t="shared" si="39"/>
        <v>BUCHA DE REDUCAO DE FERRO GALVANIZADO, COM ROSCA BSP, DE 6" X 5"</v>
      </c>
    </row>
    <row r="625" spans="1:10" x14ac:dyDescent="0.25">
      <c r="A625" s="169">
        <v>828</v>
      </c>
      <c r="B625" s="169" t="s">
        <v>24000</v>
      </c>
      <c r="C625" s="169" t="s">
        <v>10225</v>
      </c>
      <c r="D625" s="169" t="s">
        <v>1289</v>
      </c>
      <c r="E625" s="103" t="s">
        <v>3780</v>
      </c>
      <c r="F625" s="104"/>
      <c r="G625" s="105">
        <f t="shared" si="36"/>
        <v>0.7</v>
      </c>
      <c r="H625" s="101" t="str">
        <f t="shared" si="37"/>
        <v>Sinapi 828</v>
      </c>
      <c r="I625" s="101" t="str">
        <f t="shared" si="38"/>
        <v>UN</v>
      </c>
      <c r="J625" s="140" t="str">
        <f t="shared" si="39"/>
        <v>BUCHA DE REDUCAO DE PVC, SOLDAVEL, CURTA, COM 25 X 20 MM, PARA AGUA FRIA PREDIAL</v>
      </c>
    </row>
    <row r="626" spans="1:10" x14ac:dyDescent="0.25">
      <c r="A626" s="169">
        <v>829</v>
      </c>
      <c r="B626" s="169" t="s">
        <v>24001</v>
      </c>
      <c r="C626" s="169" t="s">
        <v>10225</v>
      </c>
      <c r="D626" s="169" t="s">
        <v>1289</v>
      </c>
      <c r="E626" s="103" t="s">
        <v>3133</v>
      </c>
      <c r="F626" s="104"/>
      <c r="G626" s="105">
        <f t="shared" si="36"/>
        <v>1.1200000000000001</v>
      </c>
      <c r="H626" s="101" t="str">
        <f t="shared" si="37"/>
        <v>Sinapi 829</v>
      </c>
      <c r="I626" s="101" t="str">
        <f t="shared" si="38"/>
        <v>UN</v>
      </c>
      <c r="J626" s="140" t="str">
        <f t="shared" si="39"/>
        <v>BUCHA DE REDUCAO DE PVC, SOLDAVEL, CURTA, COM 32 X 25 MM, PARA AGUA FRIA PREDIAL</v>
      </c>
    </row>
    <row r="627" spans="1:10" x14ac:dyDescent="0.25">
      <c r="A627" s="169">
        <v>812</v>
      </c>
      <c r="B627" s="169" t="s">
        <v>24002</v>
      </c>
      <c r="C627" s="169" t="s">
        <v>10225</v>
      </c>
      <c r="D627" s="169" t="s">
        <v>1289</v>
      </c>
      <c r="E627" s="103" t="s">
        <v>21323</v>
      </c>
      <c r="F627" s="104"/>
      <c r="G627" s="105">
        <f t="shared" si="36"/>
        <v>2.4700000000000002</v>
      </c>
      <c r="H627" s="101" t="str">
        <f t="shared" si="37"/>
        <v>Sinapi 812</v>
      </c>
      <c r="I627" s="101" t="str">
        <f t="shared" si="38"/>
        <v>UN</v>
      </c>
      <c r="J627" s="140" t="str">
        <f t="shared" si="39"/>
        <v>BUCHA DE REDUCAO DE PVC, SOLDAVEL, CURTA, COM 40 X 32 MM, PARA AGUA FRIA PREDIAL</v>
      </c>
    </row>
    <row r="628" spans="1:10" x14ac:dyDescent="0.25">
      <c r="A628" s="169">
        <v>819</v>
      </c>
      <c r="B628" s="169" t="s">
        <v>24003</v>
      </c>
      <c r="C628" s="169" t="s">
        <v>10225</v>
      </c>
      <c r="D628" s="169" t="s">
        <v>1289</v>
      </c>
      <c r="E628" s="103" t="s">
        <v>12393</v>
      </c>
      <c r="F628" s="104"/>
      <c r="G628" s="105">
        <f t="shared" si="36"/>
        <v>4.29</v>
      </c>
      <c r="H628" s="101" t="str">
        <f t="shared" si="37"/>
        <v>Sinapi 819</v>
      </c>
      <c r="I628" s="101" t="str">
        <f t="shared" si="38"/>
        <v>UN</v>
      </c>
      <c r="J628" s="140" t="str">
        <f t="shared" si="39"/>
        <v>BUCHA DE REDUCAO DE PVC, SOLDAVEL, CURTA, COM 50 X 40 MM, PARA AGUA FRIA PREDIAL</v>
      </c>
    </row>
    <row r="629" spans="1:10" x14ac:dyDescent="0.25">
      <c r="A629" s="169">
        <v>818</v>
      </c>
      <c r="B629" s="169" t="s">
        <v>24004</v>
      </c>
      <c r="C629" s="169" t="s">
        <v>10225</v>
      </c>
      <c r="D629" s="169" t="s">
        <v>1289</v>
      </c>
      <c r="E629" s="103" t="s">
        <v>28932</v>
      </c>
      <c r="F629" s="104"/>
      <c r="G629" s="105">
        <f t="shared" si="36"/>
        <v>8.01</v>
      </c>
      <c r="H629" s="101" t="str">
        <f t="shared" si="37"/>
        <v>Sinapi 818</v>
      </c>
      <c r="I629" s="101" t="str">
        <f t="shared" si="38"/>
        <v>UN</v>
      </c>
      <c r="J629" s="140" t="str">
        <f t="shared" si="39"/>
        <v>BUCHA DE REDUCAO DE PVC, SOLDAVEL, CURTA, COM 60 X 50 MM, PARA AGUA FRIA PREDIAL</v>
      </c>
    </row>
    <row r="630" spans="1:10" x14ac:dyDescent="0.25">
      <c r="A630" s="169">
        <v>832</v>
      </c>
      <c r="B630" s="169" t="s">
        <v>24005</v>
      </c>
      <c r="C630" s="169" t="s">
        <v>10225</v>
      </c>
      <c r="D630" s="169" t="s">
        <v>1289</v>
      </c>
      <c r="E630" s="103" t="s">
        <v>13845</v>
      </c>
      <c r="F630" s="104"/>
      <c r="G630" s="105">
        <f t="shared" si="36"/>
        <v>3.31</v>
      </c>
      <c r="H630" s="101" t="str">
        <f t="shared" si="37"/>
        <v>Sinapi 832</v>
      </c>
      <c r="I630" s="101" t="str">
        <f t="shared" si="38"/>
        <v>UN</v>
      </c>
      <c r="J630" s="140" t="str">
        <f t="shared" si="39"/>
        <v>BUCHA DE REDUCAO DE PVC, SOLDAVEL, LONGA, COM 32 X 20 MM, PARA AGUA FRIA PREDIAL</v>
      </c>
    </row>
    <row r="631" spans="1:10" x14ac:dyDescent="0.25">
      <c r="A631" s="169">
        <v>834</v>
      </c>
      <c r="B631" s="169" t="s">
        <v>24006</v>
      </c>
      <c r="C631" s="169" t="s">
        <v>10225</v>
      </c>
      <c r="D631" s="169" t="s">
        <v>1289</v>
      </c>
      <c r="E631" s="103" t="s">
        <v>11278</v>
      </c>
      <c r="F631" s="104"/>
      <c r="G631" s="105">
        <f t="shared" si="36"/>
        <v>4.28</v>
      </c>
      <c r="H631" s="101" t="str">
        <f t="shared" si="37"/>
        <v>Sinapi 834</v>
      </c>
      <c r="I631" s="101" t="str">
        <f t="shared" si="38"/>
        <v>UN</v>
      </c>
      <c r="J631" s="140" t="str">
        <f t="shared" si="39"/>
        <v>BUCHA DE REDUCAO DE PVC, SOLDAVEL, LONGA, COM 40 X 25 MM, PARA AGUA FRIA PREDIAL</v>
      </c>
    </row>
    <row r="632" spans="1:10" x14ac:dyDescent="0.25">
      <c r="A632" s="169">
        <v>813</v>
      </c>
      <c r="B632" s="169" t="s">
        <v>24007</v>
      </c>
      <c r="C632" s="169" t="s">
        <v>10225</v>
      </c>
      <c r="D632" s="169" t="s">
        <v>1289</v>
      </c>
      <c r="E632" s="103" t="s">
        <v>11612</v>
      </c>
      <c r="F632" s="104"/>
      <c r="G632" s="105">
        <f t="shared" si="36"/>
        <v>4.9800000000000004</v>
      </c>
      <c r="H632" s="101" t="str">
        <f t="shared" si="37"/>
        <v>Sinapi 813</v>
      </c>
      <c r="I632" s="101" t="str">
        <f t="shared" si="38"/>
        <v>UN</v>
      </c>
      <c r="J632" s="140" t="str">
        <f t="shared" si="39"/>
        <v>BUCHA DE REDUCAO DE PVC, SOLDAVEL, LONGA, COM 50 X 25 MM, PARA AGUA FRIA PREDIAL</v>
      </c>
    </row>
    <row r="633" spans="1:10" x14ac:dyDescent="0.25">
      <c r="A633" s="169">
        <v>820</v>
      </c>
      <c r="B633" s="169" t="s">
        <v>24008</v>
      </c>
      <c r="C633" s="169" t="s">
        <v>10225</v>
      </c>
      <c r="D633" s="169" t="s">
        <v>1289</v>
      </c>
      <c r="E633" s="103" t="s">
        <v>23103</v>
      </c>
      <c r="F633" s="104"/>
      <c r="G633" s="105">
        <f t="shared" si="36"/>
        <v>6.71</v>
      </c>
      <c r="H633" s="101" t="str">
        <f t="shared" si="37"/>
        <v>Sinapi 820</v>
      </c>
      <c r="I633" s="101" t="str">
        <f t="shared" si="38"/>
        <v>UN</v>
      </c>
      <c r="J633" s="140" t="str">
        <f t="shared" si="39"/>
        <v>BUCHA DE REDUCAO DE PVC, SOLDAVEL, LONGA, COM 50 X 32 MM, PARA AGUA FRIA PREDIAL</v>
      </c>
    </row>
    <row r="634" spans="1:10" x14ac:dyDescent="0.25">
      <c r="A634" s="169">
        <v>816</v>
      </c>
      <c r="B634" s="169" t="s">
        <v>24009</v>
      </c>
      <c r="C634" s="169" t="s">
        <v>10225</v>
      </c>
      <c r="D634" s="169" t="s">
        <v>1289</v>
      </c>
      <c r="E634" s="103" t="s">
        <v>27343</v>
      </c>
      <c r="F634" s="104"/>
      <c r="G634" s="105">
        <f t="shared" si="36"/>
        <v>11.96</v>
      </c>
      <c r="H634" s="101" t="str">
        <f t="shared" si="37"/>
        <v>Sinapi 816</v>
      </c>
      <c r="I634" s="101" t="str">
        <f t="shared" si="38"/>
        <v>UN</v>
      </c>
      <c r="J634" s="140" t="str">
        <f t="shared" si="39"/>
        <v>BUCHA DE REDUCAO DE PVC, SOLDAVEL, LONGA, COM 60 X 25 MM, PARA AGUA FRIA PREDIAL</v>
      </c>
    </row>
    <row r="635" spans="1:10" x14ac:dyDescent="0.25">
      <c r="A635" s="169">
        <v>814</v>
      </c>
      <c r="B635" s="169" t="s">
        <v>24010</v>
      </c>
      <c r="C635" s="169" t="s">
        <v>10225</v>
      </c>
      <c r="D635" s="169" t="s">
        <v>1289</v>
      </c>
      <c r="E635" s="103" t="s">
        <v>23054</v>
      </c>
      <c r="F635" s="104"/>
      <c r="G635" s="105">
        <f t="shared" si="36"/>
        <v>14.85</v>
      </c>
      <c r="H635" s="101" t="str">
        <f t="shared" si="37"/>
        <v>Sinapi 814</v>
      </c>
      <c r="I635" s="101" t="str">
        <f t="shared" si="38"/>
        <v>UN</v>
      </c>
      <c r="J635" s="140" t="str">
        <f t="shared" si="39"/>
        <v>BUCHA DE REDUCAO DE PVC, SOLDAVEL, LONGA, COM 60 X 32 MM, PARA AGUA FRIA PREDIAL</v>
      </c>
    </row>
    <row r="636" spans="1:10" x14ac:dyDescent="0.25">
      <c r="A636" s="169">
        <v>822</v>
      </c>
      <c r="B636" s="169" t="s">
        <v>24011</v>
      </c>
      <c r="C636" s="169" t="s">
        <v>10225</v>
      </c>
      <c r="D636" s="169" t="s">
        <v>1289</v>
      </c>
      <c r="E636" s="103" t="s">
        <v>15799</v>
      </c>
      <c r="F636" s="104"/>
      <c r="G636" s="105">
        <f t="shared" si="36"/>
        <v>19.39</v>
      </c>
      <c r="H636" s="101" t="str">
        <f t="shared" si="37"/>
        <v>Sinapi 822</v>
      </c>
      <c r="I636" s="101" t="str">
        <f t="shared" si="38"/>
        <v>UN</v>
      </c>
      <c r="J636" s="140" t="str">
        <f t="shared" si="39"/>
        <v>BUCHA DE REDUCAO DE PVC, SOLDAVEL, LONGA, COM 60 X 50 MM, PARA AGUA FRIA PREDIAL</v>
      </c>
    </row>
    <row r="637" spans="1:10" x14ac:dyDescent="0.25">
      <c r="A637" s="169">
        <v>821</v>
      </c>
      <c r="B637" s="169" t="s">
        <v>24012</v>
      </c>
      <c r="C637" s="169" t="s">
        <v>10225</v>
      </c>
      <c r="D637" s="169" t="s">
        <v>1289</v>
      </c>
      <c r="E637" s="103" t="s">
        <v>17311</v>
      </c>
      <c r="F637" s="104"/>
      <c r="G637" s="105">
        <f t="shared" si="36"/>
        <v>22.18</v>
      </c>
      <c r="H637" s="101" t="str">
        <f t="shared" si="37"/>
        <v>Sinapi 821</v>
      </c>
      <c r="I637" s="101" t="str">
        <f t="shared" si="38"/>
        <v>UN</v>
      </c>
      <c r="J637" s="140" t="str">
        <f t="shared" si="39"/>
        <v>BUCHA DE REDUCAO DE PVC, SOLDAVEL, LONGA, COM 75 X 50 MM, PARA AGUA FRIA PREDIAL</v>
      </c>
    </row>
    <row r="638" spans="1:10" x14ac:dyDescent="0.25">
      <c r="A638" s="169">
        <v>20086</v>
      </c>
      <c r="B638" s="169" t="s">
        <v>24013</v>
      </c>
      <c r="C638" s="169" t="s">
        <v>10225</v>
      </c>
      <c r="D638" s="169" t="s">
        <v>1289</v>
      </c>
      <c r="E638" s="103" t="s">
        <v>13573</v>
      </c>
      <c r="F638" s="104"/>
      <c r="G638" s="105">
        <f t="shared" si="36"/>
        <v>3.1</v>
      </c>
      <c r="H638" s="101" t="str">
        <f t="shared" si="37"/>
        <v>Sinapi 20086</v>
      </c>
      <c r="I638" s="101" t="str">
        <f t="shared" si="38"/>
        <v>UN</v>
      </c>
      <c r="J638" s="140" t="str">
        <f t="shared" si="39"/>
        <v>BUCHA DE REDUCAO DE PVC, SOLDAVEL, LONGA, 50 X 40 MM, PARA ESGOTO PREDIAL</v>
      </c>
    </row>
    <row r="639" spans="1:10" x14ac:dyDescent="0.25">
      <c r="A639" s="169">
        <v>39191</v>
      </c>
      <c r="B639" s="169" t="s">
        <v>24014</v>
      </c>
      <c r="C639" s="169" t="s">
        <v>10225</v>
      </c>
      <c r="D639" s="169" t="s">
        <v>1289</v>
      </c>
      <c r="E639" s="103" t="s">
        <v>18697</v>
      </c>
      <c r="F639" s="104"/>
      <c r="G639" s="105">
        <f t="shared" si="36"/>
        <v>15.65</v>
      </c>
      <c r="H639" s="101" t="str">
        <f t="shared" si="37"/>
        <v>Sinapi 39191</v>
      </c>
      <c r="I639" s="101" t="str">
        <f t="shared" si="38"/>
        <v>UN</v>
      </c>
      <c r="J639" s="140" t="str">
        <f t="shared" si="39"/>
        <v>BUCHA DE REDUCAO EM ALUMINIO, COM ROSCA, DE 1 1/2" X 1 1/4", PARA ELETRODUTO</v>
      </c>
    </row>
    <row r="640" spans="1:10" x14ac:dyDescent="0.25">
      <c r="A640" s="169">
        <v>39190</v>
      </c>
      <c r="B640" s="169" t="s">
        <v>24015</v>
      </c>
      <c r="C640" s="169" t="s">
        <v>10225</v>
      </c>
      <c r="D640" s="169" t="s">
        <v>1289</v>
      </c>
      <c r="E640" s="103" t="s">
        <v>14935</v>
      </c>
      <c r="F640" s="104"/>
      <c r="G640" s="105">
        <f t="shared" si="36"/>
        <v>16.34</v>
      </c>
      <c r="H640" s="101" t="str">
        <f t="shared" si="37"/>
        <v>Sinapi 39190</v>
      </c>
      <c r="I640" s="101" t="str">
        <f t="shared" si="38"/>
        <v>UN</v>
      </c>
      <c r="J640" s="140" t="str">
        <f t="shared" si="39"/>
        <v>BUCHA DE REDUCAO EM ALUMINIO, COM ROSCA, DE 1 1/2" X 1", PARA ELETRODUTO</v>
      </c>
    </row>
    <row r="641" spans="1:10" x14ac:dyDescent="0.25">
      <c r="A641" s="169">
        <v>39189</v>
      </c>
      <c r="B641" s="169" t="s">
        <v>24016</v>
      </c>
      <c r="C641" s="169" t="s">
        <v>10225</v>
      </c>
      <c r="D641" s="169" t="s">
        <v>1289</v>
      </c>
      <c r="E641" s="103" t="s">
        <v>26068</v>
      </c>
      <c r="F641" s="104"/>
      <c r="G641" s="105">
        <f t="shared" si="36"/>
        <v>17.3</v>
      </c>
      <c r="H641" s="101" t="str">
        <f t="shared" si="37"/>
        <v>Sinapi 39189</v>
      </c>
      <c r="I641" s="101" t="str">
        <f t="shared" si="38"/>
        <v>UN</v>
      </c>
      <c r="J641" s="140" t="str">
        <f t="shared" si="39"/>
        <v>BUCHA DE REDUCAO EM ALUMINIO, COM ROSCA, DE 1 1/2" X 3/4", PARA ELETRODUTO</v>
      </c>
    </row>
    <row r="642" spans="1:10" x14ac:dyDescent="0.25">
      <c r="A642" s="169">
        <v>39186</v>
      </c>
      <c r="B642" s="169" t="s">
        <v>24017</v>
      </c>
      <c r="C642" s="169" t="s">
        <v>10225</v>
      </c>
      <c r="D642" s="169" t="s">
        <v>1289</v>
      </c>
      <c r="E642" s="103" t="s">
        <v>29378</v>
      </c>
      <c r="F642" s="104"/>
      <c r="G642" s="105">
        <f t="shared" si="36"/>
        <v>15.48</v>
      </c>
      <c r="H642" s="101" t="str">
        <f t="shared" si="37"/>
        <v>Sinapi 39186</v>
      </c>
      <c r="I642" s="101" t="str">
        <f t="shared" si="38"/>
        <v>UN</v>
      </c>
      <c r="J642" s="140" t="str">
        <f t="shared" si="39"/>
        <v>BUCHA DE REDUCAO EM ALUMINIO, COM ROSCA, DE 1 1/4" X 1/2", PARA ELETRODUTO</v>
      </c>
    </row>
    <row r="643" spans="1:10" x14ac:dyDescent="0.25">
      <c r="A643" s="169">
        <v>39188</v>
      </c>
      <c r="B643" s="169" t="s">
        <v>24018</v>
      </c>
      <c r="C643" s="169" t="s">
        <v>10225</v>
      </c>
      <c r="D643" s="169" t="s">
        <v>1289</v>
      </c>
      <c r="E643" s="103" t="s">
        <v>20054</v>
      </c>
      <c r="F643" s="104"/>
      <c r="G643" s="105">
        <f t="shared" si="36"/>
        <v>12.73</v>
      </c>
      <c r="H643" s="101" t="str">
        <f t="shared" si="37"/>
        <v>Sinapi 39188</v>
      </c>
      <c r="I643" s="101" t="str">
        <f t="shared" si="38"/>
        <v>UN</v>
      </c>
      <c r="J643" s="140" t="str">
        <f t="shared" si="39"/>
        <v>BUCHA DE REDUCAO EM ALUMINIO, COM ROSCA, DE 1 1/4" X 1", PARA ELETRODUTO</v>
      </c>
    </row>
    <row r="644" spans="1:10" x14ac:dyDescent="0.25">
      <c r="A644" s="169">
        <v>39187</v>
      </c>
      <c r="B644" s="169" t="s">
        <v>24019</v>
      </c>
      <c r="C644" s="169" t="s">
        <v>10225</v>
      </c>
      <c r="D644" s="169" t="s">
        <v>1289</v>
      </c>
      <c r="E644" s="103" t="s">
        <v>19899</v>
      </c>
      <c r="F644" s="104"/>
      <c r="G644" s="105">
        <f t="shared" si="36"/>
        <v>13.35</v>
      </c>
      <c r="H644" s="101" t="str">
        <f t="shared" si="37"/>
        <v>Sinapi 39187</v>
      </c>
      <c r="I644" s="101" t="str">
        <f t="shared" si="38"/>
        <v>UN</v>
      </c>
      <c r="J644" s="140" t="str">
        <f t="shared" si="39"/>
        <v>BUCHA DE REDUCAO EM ALUMINIO, COM ROSCA, DE 1 1/4" X 3/4", PARA ELETRODUTO</v>
      </c>
    </row>
    <row r="645" spans="1:10" x14ac:dyDescent="0.25">
      <c r="A645" s="169">
        <v>39184</v>
      </c>
      <c r="B645" s="169" t="s">
        <v>24020</v>
      </c>
      <c r="C645" s="169" t="s">
        <v>10225</v>
      </c>
      <c r="D645" s="169" t="s">
        <v>1289</v>
      </c>
      <c r="E645" s="103" t="s">
        <v>21065</v>
      </c>
      <c r="F645" s="104"/>
      <c r="G645" s="105">
        <f t="shared" si="36"/>
        <v>5.0199999999999996</v>
      </c>
      <c r="H645" s="101" t="str">
        <f t="shared" si="37"/>
        <v>Sinapi 39184</v>
      </c>
      <c r="I645" s="101" t="str">
        <f t="shared" si="38"/>
        <v>UN</v>
      </c>
      <c r="J645" s="140" t="str">
        <f t="shared" si="39"/>
        <v>BUCHA DE REDUCAO EM ALUMINIO, COM ROSCA, DE 1" X 1/2", PARA ELETRODUTO</v>
      </c>
    </row>
    <row r="646" spans="1:10" x14ac:dyDescent="0.25">
      <c r="A646" s="169">
        <v>39185</v>
      </c>
      <c r="B646" s="169" t="s">
        <v>24021</v>
      </c>
      <c r="C646" s="169" t="s">
        <v>10225</v>
      </c>
      <c r="D646" s="169" t="s">
        <v>1289</v>
      </c>
      <c r="E646" s="103" t="s">
        <v>22966</v>
      </c>
      <c r="F646" s="104"/>
      <c r="G646" s="105">
        <f t="shared" si="36"/>
        <v>4.58</v>
      </c>
      <c r="H646" s="101" t="str">
        <f t="shared" si="37"/>
        <v>Sinapi 39185</v>
      </c>
      <c r="I646" s="101" t="str">
        <f t="shared" si="38"/>
        <v>UN</v>
      </c>
      <c r="J646" s="140" t="str">
        <f t="shared" si="39"/>
        <v>BUCHA DE REDUCAO EM ALUMINIO, COM ROSCA, DE 1" X 3/4", PARA ELETRODUTO</v>
      </c>
    </row>
    <row r="647" spans="1:10" x14ac:dyDescent="0.25">
      <c r="A647" s="169">
        <v>39198</v>
      </c>
      <c r="B647" s="169" t="s">
        <v>24023</v>
      </c>
      <c r="C647" s="169" t="s">
        <v>10225</v>
      </c>
      <c r="D647" s="169" t="s">
        <v>1289</v>
      </c>
      <c r="E647" s="103" t="s">
        <v>29811</v>
      </c>
      <c r="F647" s="104"/>
      <c r="G647" s="105">
        <f t="shared" si="36"/>
        <v>51.33</v>
      </c>
      <c r="H647" s="101" t="str">
        <f t="shared" si="37"/>
        <v>Sinapi 39198</v>
      </c>
      <c r="I647" s="101" t="str">
        <f t="shared" si="38"/>
        <v>UN</v>
      </c>
      <c r="J647" s="140" t="str">
        <f t="shared" si="39"/>
        <v>BUCHA DE REDUCAO EM ALUMINIO, COM ROSCA, DE 2 1/2" X 1 1/2", PARA ELETRODUTO</v>
      </c>
    </row>
    <row r="648" spans="1:10" x14ac:dyDescent="0.25">
      <c r="A648" s="169">
        <v>39197</v>
      </c>
      <c r="B648" s="169" t="s">
        <v>24024</v>
      </c>
      <c r="C648" s="169" t="s">
        <v>10225</v>
      </c>
      <c r="D648" s="169" t="s">
        <v>1289</v>
      </c>
      <c r="E648" s="103" t="s">
        <v>29538</v>
      </c>
      <c r="F648" s="104"/>
      <c r="G648" s="105">
        <f t="shared" ref="G648:G711" si="40">IF(E648="","",E648+0)</f>
        <v>53.62</v>
      </c>
      <c r="H648" s="101" t="str">
        <f t="shared" ref="H648:H711" si="41">IF(G648="","",TRIM(CONCATENATE("Sinapi ",A648)))</f>
        <v>Sinapi 39197</v>
      </c>
      <c r="I648" s="101" t="str">
        <f t="shared" ref="I648:I711" si="42">TRIM(C648)</f>
        <v>UN</v>
      </c>
      <c r="J648" s="140" t="str">
        <f t="shared" si="39"/>
        <v>BUCHA DE REDUCAO EM ALUMINIO, COM ROSCA, DE 2 1/2" X 1 1/4", PARA ELETRODUTO</v>
      </c>
    </row>
    <row r="649" spans="1:10" x14ac:dyDescent="0.25">
      <c r="A649" s="169">
        <v>39196</v>
      </c>
      <c r="B649" s="169" t="s">
        <v>24026</v>
      </c>
      <c r="C649" s="169" t="s">
        <v>10225</v>
      </c>
      <c r="D649" s="169" t="s">
        <v>1289</v>
      </c>
      <c r="E649" s="103" t="s">
        <v>29812</v>
      </c>
      <c r="F649" s="104"/>
      <c r="G649" s="105">
        <f t="shared" si="40"/>
        <v>55.3</v>
      </c>
      <c r="H649" s="101" t="str">
        <f t="shared" si="41"/>
        <v>Sinapi 39196</v>
      </c>
      <c r="I649" s="101" t="str">
        <f t="shared" si="42"/>
        <v>UN</v>
      </c>
      <c r="J649" s="140" t="str">
        <f t="shared" ref="J649:J712" si="43">TRIM(B649)</f>
        <v>BUCHA DE REDUCAO EM ALUMINIO, COM ROSCA, DE 2 1/2" X 1", PARA ELETRODUTO</v>
      </c>
    </row>
    <row r="650" spans="1:10" x14ac:dyDescent="0.25">
      <c r="A650" s="169">
        <v>39199</v>
      </c>
      <c r="B650" s="169" t="s">
        <v>24027</v>
      </c>
      <c r="C650" s="169" t="s">
        <v>10225</v>
      </c>
      <c r="D650" s="169" t="s">
        <v>1289</v>
      </c>
      <c r="E650" s="103" t="s">
        <v>29813</v>
      </c>
      <c r="F650" s="104"/>
      <c r="G650" s="105">
        <f t="shared" si="40"/>
        <v>49.4</v>
      </c>
      <c r="H650" s="101" t="str">
        <f t="shared" si="41"/>
        <v>Sinapi 39199</v>
      </c>
      <c r="I650" s="101" t="str">
        <f t="shared" si="42"/>
        <v>UN</v>
      </c>
      <c r="J650" s="140" t="str">
        <f t="shared" si="43"/>
        <v>BUCHA DE REDUCAO EM ALUMINIO, COM ROSCA, DE 2 1/2" X 2", PARA ELETRODUTO</v>
      </c>
    </row>
    <row r="651" spans="1:10" x14ac:dyDescent="0.25">
      <c r="A651" s="169">
        <v>39195</v>
      </c>
      <c r="B651" s="169" t="s">
        <v>24029</v>
      </c>
      <c r="C651" s="169" t="s">
        <v>10225</v>
      </c>
      <c r="D651" s="169" t="s">
        <v>1289</v>
      </c>
      <c r="E651" s="103" t="s">
        <v>28482</v>
      </c>
      <c r="F651" s="104"/>
      <c r="G651" s="105">
        <f t="shared" si="40"/>
        <v>28.51</v>
      </c>
      <c r="H651" s="101" t="str">
        <f t="shared" si="41"/>
        <v>Sinapi 39195</v>
      </c>
      <c r="I651" s="101" t="str">
        <f t="shared" si="42"/>
        <v>UN</v>
      </c>
      <c r="J651" s="140" t="str">
        <f t="shared" si="43"/>
        <v>BUCHA DE REDUCAO EM ALUMINIO, COM ROSCA, DE 2" X 1 1/2", PARA ELETRODUTO</v>
      </c>
    </row>
    <row r="652" spans="1:10" x14ac:dyDescent="0.25">
      <c r="A652" s="169">
        <v>39194</v>
      </c>
      <c r="B652" s="169" t="s">
        <v>24030</v>
      </c>
      <c r="C652" s="169" t="s">
        <v>10225</v>
      </c>
      <c r="D652" s="169" t="s">
        <v>1289</v>
      </c>
      <c r="E652" s="103" t="s">
        <v>29814</v>
      </c>
      <c r="F652" s="104"/>
      <c r="G652" s="105">
        <f t="shared" si="40"/>
        <v>30.51</v>
      </c>
      <c r="H652" s="101" t="str">
        <f t="shared" si="41"/>
        <v>Sinapi 39194</v>
      </c>
      <c r="I652" s="101" t="str">
        <f t="shared" si="42"/>
        <v>UN</v>
      </c>
      <c r="J652" s="140" t="str">
        <f t="shared" si="43"/>
        <v>BUCHA DE REDUCAO EM ALUMINIO, COM ROSCA, DE 2" X 1 1/4", PARA ELETRODUTO</v>
      </c>
    </row>
    <row r="653" spans="1:10" x14ac:dyDescent="0.25">
      <c r="A653" s="169">
        <v>39193</v>
      </c>
      <c r="B653" s="169" t="s">
        <v>24031</v>
      </c>
      <c r="C653" s="169" t="s">
        <v>10225</v>
      </c>
      <c r="D653" s="169" t="s">
        <v>1289</v>
      </c>
      <c r="E653" s="103" t="s">
        <v>29576</v>
      </c>
      <c r="F653" s="104"/>
      <c r="G653" s="105">
        <f t="shared" si="40"/>
        <v>33.44</v>
      </c>
      <c r="H653" s="101" t="str">
        <f t="shared" si="41"/>
        <v>Sinapi 39193</v>
      </c>
      <c r="I653" s="101" t="str">
        <f t="shared" si="42"/>
        <v>UN</v>
      </c>
      <c r="J653" s="140" t="str">
        <f t="shared" si="43"/>
        <v>BUCHA DE REDUCAO EM ALUMINIO, COM ROSCA, DE 2" X 1", PARA ELETRODUTO</v>
      </c>
    </row>
    <row r="654" spans="1:10" x14ac:dyDescent="0.25">
      <c r="A654" s="169">
        <v>39192</v>
      </c>
      <c r="B654" s="169" t="s">
        <v>24032</v>
      </c>
      <c r="C654" s="169" t="s">
        <v>10225</v>
      </c>
      <c r="D654" s="169" t="s">
        <v>1289</v>
      </c>
      <c r="E654" s="103" t="s">
        <v>21894</v>
      </c>
      <c r="F654" s="104"/>
      <c r="G654" s="105">
        <f t="shared" si="40"/>
        <v>34.79</v>
      </c>
      <c r="H654" s="101" t="str">
        <f t="shared" si="41"/>
        <v>Sinapi 39192</v>
      </c>
      <c r="I654" s="101" t="str">
        <f t="shared" si="42"/>
        <v>UN</v>
      </c>
      <c r="J654" s="140" t="str">
        <f t="shared" si="43"/>
        <v>BUCHA DE REDUCAO EM ALUMINIO, COM ROSCA, DE 2" X 3/4", PARA ELETRODUTO</v>
      </c>
    </row>
    <row r="655" spans="1:10" x14ac:dyDescent="0.25">
      <c r="A655" s="169">
        <v>39920</v>
      </c>
      <c r="B655" s="169" t="s">
        <v>24033</v>
      </c>
      <c r="C655" s="169" t="s">
        <v>10225</v>
      </c>
      <c r="D655" s="169" t="s">
        <v>1289</v>
      </c>
      <c r="E655" s="103" t="s">
        <v>21094</v>
      </c>
      <c r="F655" s="104"/>
      <c r="G655" s="105">
        <f t="shared" si="40"/>
        <v>4.21</v>
      </c>
      <c r="H655" s="101" t="str">
        <f t="shared" si="41"/>
        <v>Sinapi 39920</v>
      </c>
      <c r="I655" s="101" t="str">
        <f t="shared" si="42"/>
        <v>UN</v>
      </c>
      <c r="J655" s="140" t="str">
        <f t="shared" si="43"/>
        <v>BUCHA DE REDUCAO EM ALUMINIO, COM ROSCA, DE 3/4" X 1/2", PARA ELETRODUTO</v>
      </c>
    </row>
    <row r="656" spans="1:10" x14ac:dyDescent="0.25">
      <c r="A656" s="169">
        <v>39201</v>
      </c>
      <c r="B656" s="169" t="s">
        <v>24034</v>
      </c>
      <c r="C656" s="169" t="s">
        <v>10225</v>
      </c>
      <c r="D656" s="169" t="s">
        <v>1289</v>
      </c>
      <c r="E656" s="103" t="s">
        <v>29815</v>
      </c>
      <c r="F656" s="104"/>
      <c r="G656" s="105">
        <f t="shared" si="40"/>
        <v>61.37</v>
      </c>
      <c r="H656" s="101" t="str">
        <f t="shared" si="41"/>
        <v>Sinapi 39201</v>
      </c>
      <c r="I656" s="101" t="str">
        <f t="shared" si="42"/>
        <v>UN</v>
      </c>
      <c r="J656" s="140" t="str">
        <f t="shared" si="43"/>
        <v>BUCHA DE REDUCAO EM ALUMINIO, COM ROSCA, DE 3" X 1 1/2", PARA ELETRODUTO</v>
      </c>
    </row>
    <row r="657" spans="1:10" x14ac:dyDescent="0.25">
      <c r="A657" s="169">
        <v>39200</v>
      </c>
      <c r="B657" s="169" t="s">
        <v>24035</v>
      </c>
      <c r="C657" s="169" t="s">
        <v>10225</v>
      </c>
      <c r="D657" s="169" t="s">
        <v>1289</v>
      </c>
      <c r="E657" s="103" t="s">
        <v>29816</v>
      </c>
      <c r="F657" s="104"/>
      <c r="G657" s="105">
        <f t="shared" si="40"/>
        <v>61.87</v>
      </c>
      <c r="H657" s="101" t="str">
        <f t="shared" si="41"/>
        <v>Sinapi 39200</v>
      </c>
      <c r="I657" s="101" t="str">
        <f t="shared" si="42"/>
        <v>UN</v>
      </c>
      <c r="J657" s="140" t="str">
        <f t="shared" si="43"/>
        <v>BUCHA DE REDUCAO EM ALUMINIO, COM ROSCA, DE 3" X 1 1/4", PARA ELETRODUTO</v>
      </c>
    </row>
    <row r="658" spans="1:10" x14ac:dyDescent="0.25">
      <c r="A658" s="169">
        <v>39203</v>
      </c>
      <c r="B658" s="169" t="s">
        <v>24036</v>
      </c>
      <c r="C658" s="169" t="s">
        <v>10225</v>
      </c>
      <c r="D658" s="169" t="s">
        <v>1289</v>
      </c>
      <c r="E658" s="103" t="s">
        <v>29817</v>
      </c>
      <c r="F658" s="104"/>
      <c r="G658" s="105">
        <f t="shared" si="40"/>
        <v>49.95</v>
      </c>
      <c r="H658" s="101" t="str">
        <f t="shared" si="41"/>
        <v>Sinapi 39203</v>
      </c>
      <c r="I658" s="101" t="str">
        <f t="shared" si="42"/>
        <v>UN</v>
      </c>
      <c r="J658" s="140" t="str">
        <f t="shared" si="43"/>
        <v>BUCHA DE REDUCAO EM ALUMINIO, COM ROSCA, DE 3" X 2 1/2", PARA ELETRODUTO</v>
      </c>
    </row>
    <row r="659" spans="1:10" x14ac:dyDescent="0.25">
      <c r="A659" s="169">
        <v>39202</v>
      </c>
      <c r="B659" s="169" t="s">
        <v>24037</v>
      </c>
      <c r="C659" s="169" t="s">
        <v>10225</v>
      </c>
      <c r="D659" s="169" t="s">
        <v>1289</v>
      </c>
      <c r="E659" s="103" t="s">
        <v>17376</v>
      </c>
      <c r="F659" s="104"/>
      <c r="G659" s="105">
        <f t="shared" si="40"/>
        <v>58.68</v>
      </c>
      <c r="H659" s="101" t="str">
        <f t="shared" si="41"/>
        <v>Sinapi 39202</v>
      </c>
      <c r="I659" s="101" t="str">
        <f t="shared" si="42"/>
        <v>UN</v>
      </c>
      <c r="J659" s="140" t="str">
        <f t="shared" si="43"/>
        <v>BUCHA DE REDUCAO EM ALUMINIO, COM ROSCA, DE 3" X 2", PARA ELETRODUTO</v>
      </c>
    </row>
    <row r="660" spans="1:10" x14ac:dyDescent="0.25">
      <c r="A660" s="169">
        <v>39205</v>
      </c>
      <c r="B660" s="169" t="s">
        <v>24038</v>
      </c>
      <c r="C660" s="169" t="s">
        <v>10225</v>
      </c>
      <c r="D660" s="169" t="s">
        <v>1289</v>
      </c>
      <c r="E660" s="103" t="s">
        <v>29818</v>
      </c>
      <c r="F660" s="104"/>
      <c r="G660" s="105">
        <f t="shared" si="40"/>
        <v>97.9</v>
      </c>
      <c r="H660" s="101" t="str">
        <f t="shared" si="41"/>
        <v>Sinapi 39205</v>
      </c>
      <c r="I660" s="101" t="str">
        <f t="shared" si="42"/>
        <v>UN</v>
      </c>
      <c r="J660" s="140" t="str">
        <f t="shared" si="43"/>
        <v>BUCHA DE REDUCAO EM ALUMINIO, COM ROSCA, DE 4" X 2 1/2", PARA ELETRODUTO</v>
      </c>
    </row>
    <row r="661" spans="1:10" x14ac:dyDescent="0.25">
      <c r="A661" s="169">
        <v>39204</v>
      </c>
      <c r="B661" s="169" t="s">
        <v>24039</v>
      </c>
      <c r="C661" s="169" t="s">
        <v>10225</v>
      </c>
      <c r="D661" s="169" t="s">
        <v>1289</v>
      </c>
      <c r="E661" s="103" t="s">
        <v>29819</v>
      </c>
      <c r="F661" s="104"/>
      <c r="G661" s="105">
        <f t="shared" si="40"/>
        <v>100.27</v>
      </c>
      <c r="H661" s="101" t="str">
        <f t="shared" si="41"/>
        <v>Sinapi 39204</v>
      </c>
      <c r="I661" s="101" t="str">
        <f t="shared" si="42"/>
        <v>UN</v>
      </c>
      <c r="J661" s="140" t="str">
        <f t="shared" si="43"/>
        <v>BUCHA DE REDUCAO EM ALUMINIO, COM ROSCA, DE 4" X 2", PARA ELETRODUTO</v>
      </c>
    </row>
    <row r="662" spans="1:10" x14ac:dyDescent="0.25">
      <c r="A662" s="169">
        <v>39206</v>
      </c>
      <c r="B662" s="169" t="s">
        <v>24040</v>
      </c>
      <c r="C662" s="169" t="s">
        <v>10225</v>
      </c>
      <c r="D662" s="169" t="s">
        <v>1289</v>
      </c>
      <c r="E662" s="103" t="s">
        <v>29820</v>
      </c>
      <c r="F662" s="104"/>
      <c r="G662" s="105">
        <f t="shared" si="40"/>
        <v>95.12</v>
      </c>
      <c r="H662" s="101" t="str">
        <f t="shared" si="41"/>
        <v>Sinapi 39206</v>
      </c>
      <c r="I662" s="101" t="str">
        <f t="shared" si="42"/>
        <v>UN</v>
      </c>
      <c r="J662" s="140" t="str">
        <f t="shared" si="43"/>
        <v>BUCHA DE REDUCAO EM ALUMINIO, COM ROSCA, DE 4" X 3", PARA ELETRODUTO</v>
      </c>
    </row>
    <row r="663" spans="1:10" x14ac:dyDescent="0.25">
      <c r="A663" s="169">
        <v>798</v>
      </c>
      <c r="B663" s="169" t="s">
        <v>24041</v>
      </c>
      <c r="C663" s="169" t="s">
        <v>10225</v>
      </c>
      <c r="D663" s="169" t="s">
        <v>1289</v>
      </c>
      <c r="E663" s="103" t="s">
        <v>20621</v>
      </c>
      <c r="F663" s="104"/>
      <c r="G663" s="105">
        <f t="shared" si="40"/>
        <v>1.38</v>
      </c>
      <c r="H663" s="101" t="str">
        <f t="shared" si="41"/>
        <v>Sinapi 798</v>
      </c>
      <c r="I663" s="101" t="str">
        <f t="shared" si="42"/>
        <v>UN</v>
      </c>
      <c r="J663" s="140" t="str">
        <f t="shared" si="43"/>
        <v>BUCHA DE REDUCAO PVC ROSCAVEL 3/4" X 1/2"</v>
      </c>
    </row>
    <row r="664" spans="1:10" x14ac:dyDescent="0.25">
      <c r="A664" s="169">
        <v>797</v>
      </c>
      <c r="B664" s="169" t="s">
        <v>24042</v>
      </c>
      <c r="C664" s="169" t="s">
        <v>10225</v>
      </c>
      <c r="D664" s="169" t="s">
        <v>1289</v>
      </c>
      <c r="E664" s="103" t="s">
        <v>14675</v>
      </c>
      <c r="F664" s="104"/>
      <c r="G664" s="105">
        <f t="shared" si="40"/>
        <v>10.039999999999999</v>
      </c>
      <c r="H664" s="101" t="str">
        <f t="shared" si="41"/>
        <v>Sinapi 797</v>
      </c>
      <c r="I664" s="101" t="str">
        <f t="shared" si="42"/>
        <v>UN</v>
      </c>
      <c r="J664" s="140" t="str">
        <f t="shared" si="43"/>
        <v>BUCHA DE REDUCAO PVC, ROSCAVEL 1 1/2" X 1"</v>
      </c>
    </row>
    <row r="665" spans="1:10" x14ac:dyDescent="0.25">
      <c r="A665" s="169">
        <v>796</v>
      </c>
      <c r="B665" s="169" t="s">
        <v>24043</v>
      </c>
      <c r="C665" s="169" t="s">
        <v>10225</v>
      </c>
      <c r="D665" s="169" t="s">
        <v>1289</v>
      </c>
      <c r="E665" s="103" t="s">
        <v>14638</v>
      </c>
      <c r="F665" s="104"/>
      <c r="G665" s="105">
        <f t="shared" si="40"/>
        <v>8.5299999999999994</v>
      </c>
      <c r="H665" s="101" t="str">
        <f t="shared" si="41"/>
        <v>Sinapi 796</v>
      </c>
      <c r="I665" s="101" t="str">
        <f t="shared" si="42"/>
        <v>UN</v>
      </c>
      <c r="J665" s="140" t="str">
        <f t="shared" si="43"/>
        <v>BUCHA DE REDUCAO PVC, ROSCAVEL, 1 1/2" X 3/4"</v>
      </c>
    </row>
    <row r="666" spans="1:10" x14ac:dyDescent="0.25">
      <c r="A666" s="169">
        <v>799</v>
      </c>
      <c r="B666" s="169" t="s">
        <v>24044</v>
      </c>
      <c r="C666" s="169" t="s">
        <v>10225</v>
      </c>
      <c r="D666" s="169" t="s">
        <v>1289</v>
      </c>
      <c r="E666" s="103" t="s">
        <v>18255</v>
      </c>
      <c r="F666" s="104"/>
      <c r="G666" s="105">
        <f t="shared" si="40"/>
        <v>4.12</v>
      </c>
      <c r="H666" s="101" t="str">
        <f t="shared" si="41"/>
        <v>Sinapi 799</v>
      </c>
      <c r="I666" s="101" t="str">
        <f t="shared" si="42"/>
        <v>UN</v>
      </c>
      <c r="J666" s="140" t="str">
        <f t="shared" si="43"/>
        <v>BUCHA DE REDUCAO PVC, ROSCAVEL, 1" X 1/2"</v>
      </c>
    </row>
    <row r="667" spans="1:10" x14ac:dyDescent="0.25">
      <c r="A667" s="169">
        <v>792</v>
      </c>
      <c r="B667" s="169" t="s">
        <v>24045</v>
      </c>
      <c r="C667" s="169" t="s">
        <v>10225</v>
      </c>
      <c r="D667" s="169" t="s">
        <v>1289</v>
      </c>
      <c r="E667" s="103" t="s">
        <v>18592</v>
      </c>
      <c r="F667" s="104"/>
      <c r="G667" s="105">
        <f t="shared" si="40"/>
        <v>3.99</v>
      </c>
      <c r="H667" s="101" t="str">
        <f t="shared" si="41"/>
        <v>Sinapi 792</v>
      </c>
      <c r="I667" s="101" t="str">
        <f t="shared" si="42"/>
        <v>UN</v>
      </c>
      <c r="J667" s="140" t="str">
        <f t="shared" si="43"/>
        <v>BUCHA DE REDUCAO PVC, ROSCAVEL, 1" X 3/4"</v>
      </c>
    </row>
    <row r="668" spans="1:10" x14ac:dyDescent="0.25">
      <c r="A668" s="169">
        <v>38001</v>
      </c>
      <c r="B668" s="169" t="s">
        <v>24046</v>
      </c>
      <c r="C668" s="169" t="s">
        <v>10225</v>
      </c>
      <c r="D668" s="169" t="s">
        <v>1289</v>
      </c>
      <c r="E668" s="103" t="s">
        <v>20621</v>
      </c>
      <c r="F668" s="104"/>
      <c r="G668" s="105">
        <f t="shared" si="40"/>
        <v>1.38</v>
      </c>
      <c r="H668" s="101" t="str">
        <f t="shared" si="41"/>
        <v>Sinapi 38001</v>
      </c>
      <c r="I668" s="101" t="str">
        <f t="shared" si="42"/>
        <v>UN</v>
      </c>
      <c r="J668" s="140" t="str">
        <f t="shared" si="43"/>
        <v>BUCHA DE REDUCAO, CPVC, SOLDAVEL, 22 X 15 MM, PARA AGUA QUENTE</v>
      </c>
    </row>
    <row r="669" spans="1:10" x14ac:dyDescent="0.25">
      <c r="A669" s="169">
        <v>38002</v>
      </c>
      <c r="B669" s="169" t="s">
        <v>24047</v>
      </c>
      <c r="C669" s="169" t="s">
        <v>10225</v>
      </c>
      <c r="D669" s="169" t="s">
        <v>1289</v>
      </c>
      <c r="E669" s="103" t="s">
        <v>13396</v>
      </c>
      <c r="F669" s="104"/>
      <c r="G669" s="105">
        <f t="shared" si="40"/>
        <v>4.8099999999999996</v>
      </c>
      <c r="H669" s="101" t="str">
        <f t="shared" si="41"/>
        <v>Sinapi 38002</v>
      </c>
      <c r="I669" s="101" t="str">
        <f t="shared" si="42"/>
        <v>UN</v>
      </c>
      <c r="J669" s="140" t="str">
        <f t="shared" si="43"/>
        <v>BUCHA DE REDUCAO, CPVC, SOLDAVEL, 28 X 22 MM, PARA AGUA QUENTE</v>
      </c>
    </row>
    <row r="670" spans="1:10" x14ac:dyDescent="0.25">
      <c r="A670" s="169">
        <v>38003</v>
      </c>
      <c r="B670" s="169" t="s">
        <v>24048</v>
      </c>
      <c r="C670" s="169" t="s">
        <v>10225</v>
      </c>
      <c r="D670" s="169" t="s">
        <v>1289</v>
      </c>
      <c r="E670" s="103" t="s">
        <v>29821</v>
      </c>
      <c r="F670" s="104"/>
      <c r="G670" s="105">
        <f t="shared" si="40"/>
        <v>32.869999999999997</v>
      </c>
      <c r="H670" s="101" t="str">
        <f t="shared" si="41"/>
        <v>Sinapi 38003</v>
      </c>
      <c r="I670" s="101" t="str">
        <f t="shared" si="42"/>
        <v>UN</v>
      </c>
      <c r="J670" s="140" t="str">
        <f t="shared" si="43"/>
        <v>BUCHA DE REDUCAO, CPVC, SOLDAVEL, 35 X 28 MM, PARA AGUA QUENTE</v>
      </c>
    </row>
    <row r="671" spans="1:10" x14ac:dyDescent="0.25">
      <c r="A671" s="169">
        <v>38004</v>
      </c>
      <c r="B671" s="169" t="s">
        <v>24049</v>
      </c>
      <c r="C671" s="169" t="s">
        <v>10225</v>
      </c>
      <c r="D671" s="169" t="s">
        <v>1289</v>
      </c>
      <c r="E671" s="103" t="s">
        <v>29822</v>
      </c>
      <c r="F671" s="104"/>
      <c r="G671" s="105">
        <f t="shared" si="40"/>
        <v>37.81</v>
      </c>
      <c r="H671" s="101" t="str">
        <f t="shared" si="41"/>
        <v>Sinapi 38004</v>
      </c>
      <c r="I671" s="101" t="str">
        <f t="shared" si="42"/>
        <v>UN</v>
      </c>
      <c r="J671" s="140" t="str">
        <f t="shared" si="43"/>
        <v>BUCHA DE REDUCAO, CPVC, SOLDAVEL, 42 X 22 MM, PARA AGUA QUENTE</v>
      </c>
    </row>
    <row r="672" spans="1:10" x14ac:dyDescent="0.25">
      <c r="A672" s="169">
        <v>44263</v>
      </c>
      <c r="B672" s="169" t="s">
        <v>24050</v>
      </c>
      <c r="C672" s="169" t="s">
        <v>10225</v>
      </c>
      <c r="D672" s="169" t="s">
        <v>1289</v>
      </c>
      <c r="E672" s="103" t="s">
        <v>29823</v>
      </c>
      <c r="F672" s="104"/>
      <c r="G672" s="105">
        <f t="shared" si="40"/>
        <v>67.87</v>
      </c>
      <c r="H672" s="101" t="str">
        <f t="shared" si="41"/>
        <v>Sinapi 44263</v>
      </c>
      <c r="I672" s="101" t="str">
        <f t="shared" si="42"/>
        <v>UN</v>
      </c>
      <c r="J672" s="140" t="str">
        <f t="shared" si="43"/>
        <v>BUCHA DE REDUCAO, CPVC, SOLDAVEL, 54 X 35 MM, PARA AGUA QUENTE</v>
      </c>
    </row>
    <row r="673" spans="1:10" x14ac:dyDescent="0.25">
      <c r="A673" s="169">
        <v>36327</v>
      </c>
      <c r="B673" s="169" t="s">
        <v>24051</v>
      </c>
      <c r="C673" s="169" t="s">
        <v>10225</v>
      </c>
      <c r="D673" s="169" t="s">
        <v>1290</v>
      </c>
      <c r="E673" s="103" t="s">
        <v>2686</v>
      </c>
      <c r="F673" s="104"/>
      <c r="G673" s="105">
        <f t="shared" si="40"/>
        <v>3.75</v>
      </c>
      <c r="H673" s="101" t="str">
        <f t="shared" si="41"/>
        <v>Sinapi 36327</v>
      </c>
      <c r="I673" s="101" t="str">
        <f t="shared" si="42"/>
        <v>UN</v>
      </c>
      <c r="J673" s="140" t="str">
        <f t="shared" si="43"/>
        <v>BUCHA DE REDUCAO, PPR, DN 25 X 20 MM, PARA AGUA QUENTE PREDIAL</v>
      </c>
    </row>
    <row r="674" spans="1:10" x14ac:dyDescent="0.25">
      <c r="A674" s="169">
        <v>38992</v>
      </c>
      <c r="B674" s="169" t="s">
        <v>24052</v>
      </c>
      <c r="C674" s="169" t="s">
        <v>10225</v>
      </c>
      <c r="D674" s="169" t="s">
        <v>1290</v>
      </c>
      <c r="E674" s="103" t="s">
        <v>2795</v>
      </c>
      <c r="F674" s="104"/>
      <c r="G674" s="105">
        <f t="shared" si="40"/>
        <v>4.5599999999999996</v>
      </c>
      <c r="H674" s="101" t="str">
        <f t="shared" si="41"/>
        <v>Sinapi 38992</v>
      </c>
      <c r="I674" s="101" t="str">
        <f t="shared" si="42"/>
        <v>UN</v>
      </c>
      <c r="J674" s="140" t="str">
        <f t="shared" si="43"/>
        <v>BUCHA DE REDUCAO, PPR, DN 32 X 25 MM, PARA AGUA QUENTE E FRIA PREDIAL</v>
      </c>
    </row>
    <row r="675" spans="1:10" x14ac:dyDescent="0.25">
      <c r="A675" s="169">
        <v>38993</v>
      </c>
      <c r="B675" s="169" t="s">
        <v>24053</v>
      </c>
      <c r="C675" s="169" t="s">
        <v>10225</v>
      </c>
      <c r="D675" s="169" t="s">
        <v>1290</v>
      </c>
      <c r="E675" s="103" t="s">
        <v>5664</v>
      </c>
      <c r="F675" s="104"/>
      <c r="G675" s="105">
        <f t="shared" si="40"/>
        <v>11.85</v>
      </c>
      <c r="H675" s="101" t="str">
        <f t="shared" si="41"/>
        <v>Sinapi 38993</v>
      </c>
      <c r="I675" s="101" t="str">
        <f t="shared" si="42"/>
        <v>UN</v>
      </c>
      <c r="J675" s="140" t="str">
        <f t="shared" si="43"/>
        <v>BUCHA DE REDUCAO, PPR, DN 40 X 25 MM, PARA AGUA QUENTE E FRIA PREDIAL</v>
      </c>
    </row>
    <row r="676" spans="1:10" x14ac:dyDescent="0.25">
      <c r="A676" s="169">
        <v>44175</v>
      </c>
      <c r="B676" s="169" t="s">
        <v>24054</v>
      </c>
      <c r="C676" s="169" t="s">
        <v>10225</v>
      </c>
      <c r="D676" s="169" t="s">
        <v>1290</v>
      </c>
      <c r="E676" s="103" t="s">
        <v>23244</v>
      </c>
      <c r="F676" s="104"/>
      <c r="G676" s="105">
        <f t="shared" si="40"/>
        <v>20.68</v>
      </c>
      <c r="H676" s="101" t="str">
        <f t="shared" si="41"/>
        <v>Sinapi 44175</v>
      </c>
      <c r="I676" s="101" t="str">
        <f t="shared" si="42"/>
        <v>UN</v>
      </c>
      <c r="J676" s="140" t="str">
        <f t="shared" si="43"/>
        <v>BUCHA DE REDUCAO, PPR, DN 50 X 25 MM, PARA AGUA QUENTE E FRIA PREDIAL</v>
      </c>
    </row>
    <row r="677" spans="1:10" x14ac:dyDescent="0.25">
      <c r="A677" s="169">
        <v>44177</v>
      </c>
      <c r="B677" s="169" t="s">
        <v>24055</v>
      </c>
      <c r="C677" s="169" t="s">
        <v>10225</v>
      </c>
      <c r="D677" s="169" t="s">
        <v>1290</v>
      </c>
      <c r="E677" s="103" t="s">
        <v>28576</v>
      </c>
      <c r="F677" s="104"/>
      <c r="G677" s="105">
        <f t="shared" si="40"/>
        <v>15.45</v>
      </c>
      <c r="H677" s="101" t="str">
        <f t="shared" si="41"/>
        <v>Sinapi 44177</v>
      </c>
      <c r="I677" s="101" t="str">
        <f t="shared" si="42"/>
        <v>UN</v>
      </c>
      <c r="J677" s="140" t="str">
        <f t="shared" si="43"/>
        <v>BUCHA DE REDUCAO, PPR, DN 50 X 32 MM, PARA AGUA QUENTE E FRIA PREDIAL</v>
      </c>
    </row>
    <row r="678" spans="1:10" x14ac:dyDescent="0.25">
      <c r="A678" s="169">
        <v>38418</v>
      </c>
      <c r="B678" s="169" t="s">
        <v>24056</v>
      </c>
      <c r="C678" s="169" t="s">
        <v>10225</v>
      </c>
      <c r="D678" s="169" t="s">
        <v>1289</v>
      </c>
      <c r="E678" s="103" t="s">
        <v>18623</v>
      </c>
      <c r="F678" s="104"/>
      <c r="G678" s="105">
        <f t="shared" si="40"/>
        <v>5.34</v>
      </c>
      <c r="H678" s="101" t="str">
        <f t="shared" si="41"/>
        <v>Sinapi 38418</v>
      </c>
      <c r="I678" s="101" t="str">
        <f t="shared" si="42"/>
        <v>UN</v>
      </c>
      <c r="J678" s="140" t="str">
        <f t="shared" si="43"/>
        <v>BUCHA DE REDUCAO, PVC, LONGA, SERIE R, DN 50 X 40 MM, PARA ESGOTO PREDIAL</v>
      </c>
    </row>
    <row r="679" spans="1:10" x14ac:dyDescent="0.25">
      <c r="A679" s="169">
        <v>39178</v>
      </c>
      <c r="B679" s="169" t="s">
        <v>24057</v>
      </c>
      <c r="C679" s="169" t="s">
        <v>10225</v>
      </c>
      <c r="D679" s="169" t="s">
        <v>1289</v>
      </c>
      <c r="E679" s="103" t="s">
        <v>14624</v>
      </c>
      <c r="F679" s="104"/>
      <c r="G679" s="105">
        <f t="shared" si="40"/>
        <v>1.69</v>
      </c>
      <c r="H679" s="101" t="str">
        <f t="shared" si="41"/>
        <v>Sinapi 39178</v>
      </c>
      <c r="I679" s="101" t="str">
        <f t="shared" si="42"/>
        <v>UN</v>
      </c>
      <c r="J679" s="140" t="str">
        <f t="shared" si="43"/>
        <v>BUCHA EM ALUMINIO, COM ROSCA, DE 1 1/2", PARA ELETRODUTO</v>
      </c>
    </row>
    <row r="680" spans="1:10" x14ac:dyDescent="0.25">
      <c r="A680" s="169">
        <v>39177</v>
      </c>
      <c r="B680" s="169" t="s">
        <v>24058</v>
      </c>
      <c r="C680" s="169" t="s">
        <v>10225</v>
      </c>
      <c r="D680" s="169" t="s">
        <v>1289</v>
      </c>
      <c r="E680" s="103" t="s">
        <v>9316</v>
      </c>
      <c r="F680" s="104"/>
      <c r="G680" s="105">
        <f t="shared" si="40"/>
        <v>1.53</v>
      </c>
      <c r="H680" s="101" t="str">
        <f t="shared" si="41"/>
        <v>Sinapi 39177</v>
      </c>
      <c r="I680" s="101" t="str">
        <f t="shared" si="42"/>
        <v>UN</v>
      </c>
      <c r="J680" s="140" t="str">
        <f t="shared" si="43"/>
        <v>BUCHA EM ALUMINIO, COM ROSCA, DE 1 1/4", PARA ELETRODUTO</v>
      </c>
    </row>
    <row r="681" spans="1:10" x14ac:dyDescent="0.25">
      <c r="A681" s="169">
        <v>39174</v>
      </c>
      <c r="B681" s="169" t="s">
        <v>24059</v>
      </c>
      <c r="C681" s="169" t="s">
        <v>10225</v>
      </c>
      <c r="D681" s="169" t="s">
        <v>1289</v>
      </c>
      <c r="E681" s="103" t="s">
        <v>3124</v>
      </c>
      <c r="F681" s="104"/>
      <c r="G681" s="105">
        <f t="shared" si="40"/>
        <v>0.76</v>
      </c>
      <c r="H681" s="101" t="str">
        <f t="shared" si="41"/>
        <v>Sinapi 39174</v>
      </c>
      <c r="I681" s="101" t="str">
        <f t="shared" si="42"/>
        <v>UN</v>
      </c>
      <c r="J681" s="140" t="str">
        <f t="shared" si="43"/>
        <v>BUCHA EM ALUMINIO, COM ROSCA, DE 1/2", PARA ELETRODUTO</v>
      </c>
    </row>
    <row r="682" spans="1:10" x14ac:dyDescent="0.25">
      <c r="A682" s="169">
        <v>39176</v>
      </c>
      <c r="B682" s="169" t="s">
        <v>24060</v>
      </c>
      <c r="C682" s="169" t="s">
        <v>10225</v>
      </c>
      <c r="D682" s="169" t="s">
        <v>1289</v>
      </c>
      <c r="E682" s="103" t="s">
        <v>8326</v>
      </c>
      <c r="F682" s="104"/>
      <c r="G682" s="105">
        <f t="shared" si="40"/>
        <v>1</v>
      </c>
      <c r="H682" s="101" t="str">
        <f t="shared" si="41"/>
        <v>Sinapi 39176</v>
      </c>
      <c r="I682" s="101" t="str">
        <f t="shared" si="42"/>
        <v>UN</v>
      </c>
      <c r="J682" s="140" t="str">
        <f t="shared" si="43"/>
        <v>BUCHA EM ALUMINIO, COM ROSCA, DE 1", PARA ELETRODUTO</v>
      </c>
    </row>
    <row r="683" spans="1:10" x14ac:dyDescent="0.25">
      <c r="A683" s="169">
        <v>39180</v>
      </c>
      <c r="B683" s="169" t="s">
        <v>24061</v>
      </c>
      <c r="C683" s="169" t="s">
        <v>10225</v>
      </c>
      <c r="D683" s="169" t="s">
        <v>1289</v>
      </c>
      <c r="E683" s="103" t="s">
        <v>15503</v>
      </c>
      <c r="F683" s="104"/>
      <c r="G683" s="105">
        <f t="shared" si="40"/>
        <v>4.59</v>
      </c>
      <c r="H683" s="101" t="str">
        <f t="shared" si="41"/>
        <v>Sinapi 39180</v>
      </c>
      <c r="I683" s="101" t="str">
        <f t="shared" si="42"/>
        <v>UN</v>
      </c>
      <c r="J683" s="140" t="str">
        <f t="shared" si="43"/>
        <v>BUCHA EM ALUMINIO, COM ROSCA, DE 2 1/2", PARA ELETRODUTO</v>
      </c>
    </row>
    <row r="684" spans="1:10" x14ac:dyDescent="0.25">
      <c r="A684" s="169">
        <v>39179</v>
      </c>
      <c r="B684" s="169" t="s">
        <v>24062</v>
      </c>
      <c r="C684" s="169" t="s">
        <v>10225</v>
      </c>
      <c r="D684" s="169" t="s">
        <v>1289</v>
      </c>
      <c r="E684" s="103" t="s">
        <v>29824</v>
      </c>
      <c r="F684" s="104"/>
      <c r="G684" s="105">
        <f t="shared" si="40"/>
        <v>4.07</v>
      </c>
      <c r="H684" s="101" t="str">
        <f t="shared" si="41"/>
        <v>Sinapi 39179</v>
      </c>
      <c r="I684" s="101" t="str">
        <f t="shared" si="42"/>
        <v>UN</v>
      </c>
      <c r="J684" s="140" t="str">
        <f t="shared" si="43"/>
        <v>BUCHA EM ALUMINIO, COM ROSCA, DE 2", PARA ELETRODUTO</v>
      </c>
    </row>
    <row r="685" spans="1:10" x14ac:dyDescent="0.25">
      <c r="A685" s="169">
        <v>39175</v>
      </c>
      <c r="B685" s="169" t="s">
        <v>24063</v>
      </c>
      <c r="C685" s="169" t="s">
        <v>10225</v>
      </c>
      <c r="D685" s="169" t="s">
        <v>1289</v>
      </c>
      <c r="E685" s="103" t="s">
        <v>19294</v>
      </c>
      <c r="F685" s="104"/>
      <c r="G685" s="105">
        <f t="shared" si="40"/>
        <v>0.93</v>
      </c>
      <c r="H685" s="101" t="str">
        <f t="shared" si="41"/>
        <v>Sinapi 39175</v>
      </c>
      <c r="I685" s="101" t="str">
        <f t="shared" si="42"/>
        <v>UN</v>
      </c>
      <c r="J685" s="140" t="str">
        <f t="shared" si="43"/>
        <v>BUCHA EM ALUMINIO, COM ROSCA, DE 3/4", PARA ELETRODUTO</v>
      </c>
    </row>
    <row r="686" spans="1:10" x14ac:dyDescent="0.25">
      <c r="A686" s="169">
        <v>39217</v>
      </c>
      <c r="B686" s="169" t="s">
        <v>24064</v>
      </c>
      <c r="C686" s="169" t="s">
        <v>10225</v>
      </c>
      <c r="D686" s="169" t="s">
        <v>1289</v>
      </c>
      <c r="E686" s="103" t="s">
        <v>3540</v>
      </c>
      <c r="F686" s="104"/>
      <c r="G686" s="105">
        <f t="shared" si="40"/>
        <v>0.72</v>
      </c>
      <c r="H686" s="101" t="str">
        <f t="shared" si="41"/>
        <v>Sinapi 39217</v>
      </c>
      <c r="I686" s="101" t="str">
        <f t="shared" si="42"/>
        <v>UN</v>
      </c>
      <c r="J686" s="140" t="str">
        <f t="shared" si="43"/>
        <v>BUCHA EM ALUMINIO, COM ROSCA, DE 3/8", PARA ELETRODUTO</v>
      </c>
    </row>
    <row r="687" spans="1:10" x14ac:dyDescent="0.25">
      <c r="A687" s="169">
        <v>39181</v>
      </c>
      <c r="B687" s="169" t="s">
        <v>24065</v>
      </c>
      <c r="C687" s="169" t="s">
        <v>10225</v>
      </c>
      <c r="D687" s="169" t="s">
        <v>1289</v>
      </c>
      <c r="E687" s="103" t="s">
        <v>15565</v>
      </c>
      <c r="F687" s="104"/>
      <c r="G687" s="105">
        <f t="shared" si="40"/>
        <v>6.16</v>
      </c>
      <c r="H687" s="101" t="str">
        <f t="shared" si="41"/>
        <v>Sinapi 39181</v>
      </c>
      <c r="I687" s="101" t="str">
        <f t="shared" si="42"/>
        <v>UN</v>
      </c>
      <c r="J687" s="140" t="str">
        <f t="shared" si="43"/>
        <v>BUCHA EM ALUMINIO, COM ROSCA, DE 3", PARA ELETRODUTO</v>
      </c>
    </row>
    <row r="688" spans="1:10" x14ac:dyDescent="0.25">
      <c r="A688" s="169">
        <v>39182</v>
      </c>
      <c r="B688" s="169" t="s">
        <v>24066</v>
      </c>
      <c r="C688" s="169" t="s">
        <v>10225</v>
      </c>
      <c r="D688" s="169" t="s">
        <v>1289</v>
      </c>
      <c r="E688" s="103" t="s">
        <v>29825</v>
      </c>
      <c r="F688" s="104"/>
      <c r="G688" s="105">
        <f t="shared" si="40"/>
        <v>8.66</v>
      </c>
      <c r="H688" s="101" t="str">
        <f t="shared" si="41"/>
        <v>Sinapi 39182</v>
      </c>
      <c r="I688" s="101" t="str">
        <f t="shared" si="42"/>
        <v>UN</v>
      </c>
      <c r="J688" s="140" t="str">
        <f t="shared" si="43"/>
        <v>BUCHA EM ALUMINIO, COM ROSCA, DE 4", PARA ELETRODUTO</v>
      </c>
    </row>
    <row r="689" spans="1:10" x14ac:dyDescent="0.25">
      <c r="A689" s="169">
        <v>12616</v>
      </c>
      <c r="B689" s="169" t="s">
        <v>24067</v>
      </c>
      <c r="C689" s="169" t="s">
        <v>10225</v>
      </c>
      <c r="D689" s="169" t="s">
        <v>1289</v>
      </c>
      <c r="E689" s="103" t="s">
        <v>22752</v>
      </c>
      <c r="F689" s="104"/>
      <c r="G689" s="105">
        <f t="shared" si="40"/>
        <v>16.47</v>
      </c>
      <c r="H689" s="101" t="str">
        <f t="shared" si="41"/>
        <v>Sinapi 12616</v>
      </c>
      <c r="I689" s="101" t="str">
        <f t="shared" si="42"/>
        <v>UN</v>
      </c>
      <c r="J689" s="140" t="str">
        <f t="shared" si="43"/>
        <v>CABECEIRA DIREITA OU ESQUERDA, PVC, PARA CALHA PLUVIAL, DIAMETRO ENTRE *119 E 170* MM, PARA DRENAGEM PLUVIAL PREDIAL</v>
      </c>
    </row>
    <row r="690" spans="1:10" x14ac:dyDescent="0.25">
      <c r="A690" s="169">
        <v>1049</v>
      </c>
      <c r="B690" s="169" t="s">
        <v>24068</v>
      </c>
      <c r="C690" s="169" t="s">
        <v>10225</v>
      </c>
      <c r="D690" s="169" t="s">
        <v>1289</v>
      </c>
      <c r="E690" s="103" t="s">
        <v>7321</v>
      </c>
      <c r="F690" s="104"/>
      <c r="G690" s="105">
        <f t="shared" si="40"/>
        <v>7.25</v>
      </c>
      <c r="H690" s="101" t="str">
        <f t="shared" si="41"/>
        <v>Sinapi 1049</v>
      </c>
      <c r="I690" s="101" t="str">
        <f t="shared" si="42"/>
        <v>UN</v>
      </c>
      <c r="J690" s="140" t="str">
        <f t="shared" si="43"/>
        <v>CABECOTE PARA ENTRADA DE LINHA DE ALIMENTACAO PARA ELETRODUTO, EM LIGA DE ALUMINIO COM ACABAMENTO ANTI CORROSIVO, COM FIXACAO POR ENCAIXE LISO DE 360 GRAUS, DE 1 1/2"</v>
      </c>
    </row>
    <row r="691" spans="1:10" x14ac:dyDescent="0.25">
      <c r="A691" s="169">
        <v>1099</v>
      </c>
      <c r="B691" s="169" t="s">
        <v>24069</v>
      </c>
      <c r="C691" s="169" t="s">
        <v>10225</v>
      </c>
      <c r="D691" s="169" t="s">
        <v>1289</v>
      </c>
      <c r="E691" s="103" t="s">
        <v>17931</v>
      </c>
      <c r="F691" s="104"/>
      <c r="G691" s="105">
        <f t="shared" si="40"/>
        <v>5.55</v>
      </c>
      <c r="H691" s="101" t="str">
        <f t="shared" si="41"/>
        <v>Sinapi 1099</v>
      </c>
      <c r="I691" s="101" t="str">
        <f t="shared" si="42"/>
        <v>UN</v>
      </c>
      <c r="J691" s="140" t="str">
        <f t="shared" si="43"/>
        <v>CABECOTE PARA ENTRADA DE LINHA DE ALIMENTACAO PARA ELETRODUTO, EM LIGA DE ALUMINIO COM ACABAMENTO ANTI CORROSIVO, COM FIXACAO POR ENCAIXE LISO DE 360 GRAUS, DE 1 1/4"</v>
      </c>
    </row>
    <row r="692" spans="1:10" x14ac:dyDescent="0.25">
      <c r="A692" s="169">
        <v>39678</v>
      </c>
      <c r="B692" s="169" t="s">
        <v>24070</v>
      </c>
      <c r="C692" s="169" t="s">
        <v>10225</v>
      </c>
      <c r="D692" s="169" t="s">
        <v>1289</v>
      </c>
      <c r="E692" s="103" t="s">
        <v>17957</v>
      </c>
      <c r="F692" s="104"/>
      <c r="G692" s="105">
        <f t="shared" si="40"/>
        <v>2.23</v>
      </c>
      <c r="H692" s="101" t="str">
        <f t="shared" si="41"/>
        <v>Sinapi 39678</v>
      </c>
      <c r="I692" s="101" t="str">
        <f t="shared" si="42"/>
        <v>UN</v>
      </c>
      <c r="J692" s="140" t="str">
        <f t="shared" si="43"/>
        <v>CABECOTE PARA ENTRADA DE LINHA DE ALIMENTACAO PARA ELETRODUTO, EM LIGA DE ALUMINIO COM ACABAMENTO ANTI CORROSIVO, COM FIXACAO POR ENCAIXE LISO DE 360 GRAUS, DE 1/2"</v>
      </c>
    </row>
    <row r="693" spans="1:10" x14ac:dyDescent="0.25">
      <c r="A693" s="169">
        <v>1050</v>
      </c>
      <c r="B693" s="169" t="s">
        <v>24071</v>
      </c>
      <c r="C693" s="169" t="s">
        <v>10225</v>
      </c>
      <c r="D693" s="169" t="s">
        <v>1289</v>
      </c>
      <c r="E693" s="103" t="s">
        <v>29469</v>
      </c>
      <c r="F693" s="104"/>
      <c r="G693" s="105">
        <f t="shared" si="40"/>
        <v>3.79</v>
      </c>
      <c r="H693" s="101" t="str">
        <f t="shared" si="41"/>
        <v>Sinapi 1050</v>
      </c>
      <c r="I693" s="101" t="str">
        <f t="shared" si="42"/>
        <v>UN</v>
      </c>
      <c r="J693" s="140" t="str">
        <f t="shared" si="43"/>
        <v>CABECOTE PARA ENTRADA DE LINHA DE ALIMENTACAO PARA ELETRODUTO, EM LIGA DE ALUMINIO COM ACABAMENTO ANTI CORROSIVO, COM FIXACAO POR ENCAIXE LISO DE 360 GRAUS, DE 1"</v>
      </c>
    </row>
    <row r="694" spans="1:10" x14ac:dyDescent="0.25">
      <c r="A694" s="169">
        <v>1101</v>
      </c>
      <c r="B694" s="169" t="s">
        <v>24072</v>
      </c>
      <c r="C694" s="169" t="s">
        <v>10225</v>
      </c>
      <c r="D694" s="169" t="s">
        <v>1289</v>
      </c>
      <c r="E694" s="103" t="s">
        <v>22899</v>
      </c>
      <c r="F694" s="104"/>
      <c r="G694" s="105">
        <f t="shared" si="40"/>
        <v>23.92</v>
      </c>
      <c r="H694" s="101" t="str">
        <f t="shared" si="41"/>
        <v>Sinapi 1101</v>
      </c>
      <c r="I694" s="101" t="str">
        <f t="shared" si="42"/>
        <v>UN</v>
      </c>
      <c r="J694" s="140" t="str">
        <f t="shared" si="43"/>
        <v>CABECOTE PARA ENTRADA DE LINHA DE ALIMENTACAO PARA ELETRODUTO, EM LIGA DE ALUMINIO COM ACABAMENTO ANTI CORROSIVO, COM FIXACAO POR ENCAIXE LISO DE 360 GRAUS, DE 2 1/2"</v>
      </c>
    </row>
    <row r="695" spans="1:10" x14ac:dyDescent="0.25">
      <c r="A695" s="169">
        <v>1100</v>
      </c>
      <c r="B695" s="169" t="s">
        <v>24073</v>
      </c>
      <c r="C695" s="169" t="s">
        <v>10225</v>
      </c>
      <c r="D695" s="169" t="s">
        <v>1289</v>
      </c>
      <c r="E695" s="103" t="s">
        <v>12096</v>
      </c>
      <c r="F695" s="104"/>
      <c r="G695" s="105">
        <f t="shared" si="40"/>
        <v>12.34</v>
      </c>
      <c r="H695" s="101" t="str">
        <f t="shared" si="41"/>
        <v>Sinapi 1100</v>
      </c>
      <c r="I695" s="101" t="str">
        <f t="shared" si="42"/>
        <v>UN</v>
      </c>
      <c r="J695" s="140" t="str">
        <f t="shared" si="43"/>
        <v>CABECOTE PARA ENTRADA DE LINHA DE ALIMENTACAO PARA ELETRODUTO, EM LIGA DE ALUMINIO COM ACABAMENTO ANTI CORROSIVO, COM FIXACAO POR ENCAIXE LISO DE 360 GRAUS, DE 2"</v>
      </c>
    </row>
    <row r="696" spans="1:10" x14ac:dyDescent="0.25">
      <c r="A696" s="169">
        <v>39679</v>
      </c>
      <c r="B696" s="169" t="s">
        <v>24074</v>
      </c>
      <c r="C696" s="169" t="s">
        <v>10225</v>
      </c>
      <c r="D696" s="169" t="s">
        <v>1289</v>
      </c>
      <c r="E696" s="103" t="s">
        <v>21339</v>
      </c>
      <c r="F696" s="104"/>
      <c r="G696" s="105">
        <f t="shared" si="40"/>
        <v>47.68</v>
      </c>
      <c r="H696" s="101" t="str">
        <f t="shared" si="41"/>
        <v>Sinapi 39679</v>
      </c>
      <c r="I696" s="101" t="str">
        <f t="shared" si="42"/>
        <v>UN</v>
      </c>
      <c r="J696" s="140" t="str">
        <f t="shared" si="43"/>
        <v>CABECOTE PARA ENTRADA DE LINHA DE ALIMENTACAO PARA ELETRODUTO, EM LIGA DE ALUMINIO COM ACABAMENTO ANTI CORROSIVO, COM FIXACAO POR ENCAIXE LISO DE 360 GRAUS, DE 3 1/2"</v>
      </c>
    </row>
    <row r="697" spans="1:10" x14ac:dyDescent="0.25">
      <c r="A697" s="169">
        <v>1098</v>
      </c>
      <c r="B697" s="169" t="s">
        <v>24075</v>
      </c>
      <c r="C697" s="169" t="s">
        <v>10225</v>
      </c>
      <c r="D697" s="169" t="s">
        <v>1289</v>
      </c>
      <c r="E697" s="103" t="s">
        <v>23874</v>
      </c>
      <c r="F697" s="104"/>
      <c r="G697" s="105">
        <f t="shared" si="40"/>
        <v>2.96</v>
      </c>
      <c r="H697" s="101" t="str">
        <f t="shared" si="41"/>
        <v>Sinapi 1098</v>
      </c>
      <c r="I697" s="101" t="str">
        <f t="shared" si="42"/>
        <v>UN</v>
      </c>
      <c r="J697" s="140" t="str">
        <f t="shared" si="43"/>
        <v>CABECOTE PARA ENTRADA DE LINHA DE ALIMENTACAO PARA ELETRODUTO, EM LIGA DE ALUMINIO COM ACABAMENTO ANTI CORROSIVO, COM FIXACAO POR ENCAIXE LISO DE 360 GRAUS, DE 3/4"</v>
      </c>
    </row>
    <row r="698" spans="1:10" x14ac:dyDescent="0.25">
      <c r="A698" s="169">
        <v>1102</v>
      </c>
      <c r="B698" s="169" t="s">
        <v>24076</v>
      </c>
      <c r="C698" s="169" t="s">
        <v>10225</v>
      </c>
      <c r="D698" s="169" t="s">
        <v>1289</v>
      </c>
      <c r="E698" s="103" t="s">
        <v>29826</v>
      </c>
      <c r="F698" s="104"/>
      <c r="G698" s="105">
        <f t="shared" si="40"/>
        <v>35.67</v>
      </c>
      <c r="H698" s="101" t="str">
        <f t="shared" si="41"/>
        <v>Sinapi 1102</v>
      </c>
      <c r="I698" s="101" t="str">
        <f t="shared" si="42"/>
        <v>UN</v>
      </c>
      <c r="J698" s="140" t="str">
        <f t="shared" si="43"/>
        <v>CABECOTE PARA ENTRADA DE LINHA DE ALIMENTACAO PARA ELETRODUTO, EM LIGA DE ALUMINIO COM ACABAMENTO ANTI CORROSIVO, COM FIXACAO POR ENCAIXE LISO DE 360 GRAUS, DE 3"</v>
      </c>
    </row>
    <row r="699" spans="1:10" x14ac:dyDescent="0.25">
      <c r="A699" s="169">
        <v>1051</v>
      </c>
      <c r="B699" s="169" t="s">
        <v>24077</v>
      </c>
      <c r="C699" s="169" t="s">
        <v>10225</v>
      </c>
      <c r="D699" s="169" t="s">
        <v>1289</v>
      </c>
      <c r="E699" s="103" t="s">
        <v>29827</v>
      </c>
      <c r="F699" s="104"/>
      <c r="G699" s="105">
        <f t="shared" si="40"/>
        <v>51.85</v>
      </c>
      <c r="H699" s="101" t="str">
        <f t="shared" si="41"/>
        <v>Sinapi 1051</v>
      </c>
      <c r="I699" s="101" t="str">
        <f t="shared" si="42"/>
        <v>UN</v>
      </c>
      <c r="J699" s="140" t="str">
        <f t="shared" si="43"/>
        <v>CABECOTE PARA ENTRADA DE LINHA DE ALIMENTACAO PARA ELETRODUTO, EM LIGA DE ALUMINIO COM ACABAMENTO ANTI CORROSIVO, COM FIXACAO POR ENCAIXE LISO DE 360 GRAUS, DE 4"</v>
      </c>
    </row>
    <row r="700" spans="1:10" x14ac:dyDescent="0.25">
      <c r="A700" s="169">
        <v>37399</v>
      </c>
      <c r="B700" s="169" t="s">
        <v>24078</v>
      </c>
      <c r="C700" s="169" t="s">
        <v>10225</v>
      </c>
      <c r="D700" s="169" t="s">
        <v>1289</v>
      </c>
      <c r="E700" s="103" t="s">
        <v>24773</v>
      </c>
      <c r="F700" s="104"/>
      <c r="G700" s="105">
        <f t="shared" si="40"/>
        <v>40.08</v>
      </c>
      <c r="H700" s="101" t="str">
        <f t="shared" si="41"/>
        <v>Sinapi 37399</v>
      </c>
      <c r="I700" s="101" t="str">
        <f t="shared" si="42"/>
        <v>UN</v>
      </c>
      <c r="J700" s="140" t="str">
        <f t="shared" si="43"/>
        <v>CABIDE/GANCHO DE BANHEIRO SIMPLES EM METAL CROMADO</v>
      </c>
    </row>
    <row r="701" spans="1:10" x14ac:dyDescent="0.25">
      <c r="A701" s="169">
        <v>43834</v>
      </c>
      <c r="B701" s="169" t="s">
        <v>24079</v>
      </c>
      <c r="C701" s="169" t="s">
        <v>10229</v>
      </c>
      <c r="D701" s="169" t="s">
        <v>1289</v>
      </c>
      <c r="E701" s="103" t="s">
        <v>19916</v>
      </c>
      <c r="F701" s="104"/>
      <c r="G701" s="105">
        <f t="shared" si="40"/>
        <v>20.02</v>
      </c>
      <c r="H701" s="101" t="str">
        <f t="shared" si="41"/>
        <v>Sinapi 43834</v>
      </c>
      <c r="I701" s="101" t="str">
        <f t="shared" si="42"/>
        <v>M</v>
      </c>
      <c r="J701" s="140" t="str">
        <f t="shared" si="43"/>
        <v>CABO COAXIAL RG11 95% DE MALHA</v>
      </c>
    </row>
    <row r="702" spans="1:10" x14ac:dyDescent="0.25">
      <c r="A702" s="169">
        <v>43835</v>
      </c>
      <c r="B702" s="169" t="s">
        <v>24080</v>
      </c>
      <c r="C702" s="169" t="s">
        <v>10229</v>
      </c>
      <c r="D702" s="169" t="s">
        <v>1289</v>
      </c>
      <c r="E702" s="103" t="s">
        <v>3812</v>
      </c>
      <c r="F702" s="104"/>
      <c r="G702" s="105">
        <f t="shared" si="40"/>
        <v>1.79</v>
      </c>
      <c r="H702" s="101" t="str">
        <f t="shared" si="41"/>
        <v>Sinapi 43835</v>
      </c>
      <c r="I702" s="101" t="str">
        <f t="shared" si="42"/>
        <v>M</v>
      </c>
      <c r="J702" s="140" t="str">
        <f t="shared" si="43"/>
        <v>CABO COAXIAL RG59 95% DE MALHA</v>
      </c>
    </row>
    <row r="703" spans="1:10" x14ac:dyDescent="0.25">
      <c r="A703" s="169">
        <v>43833</v>
      </c>
      <c r="B703" s="169" t="s">
        <v>24081</v>
      </c>
      <c r="C703" s="169" t="s">
        <v>10229</v>
      </c>
      <c r="D703" s="169" t="s">
        <v>1289</v>
      </c>
      <c r="E703" s="103" t="s">
        <v>15672</v>
      </c>
      <c r="F703" s="104"/>
      <c r="G703" s="105">
        <f t="shared" si="40"/>
        <v>1.86</v>
      </c>
      <c r="H703" s="101" t="str">
        <f t="shared" si="41"/>
        <v>Sinapi 43833</v>
      </c>
      <c r="I703" s="101" t="str">
        <f t="shared" si="42"/>
        <v>M</v>
      </c>
      <c r="J703" s="140" t="str">
        <f t="shared" si="43"/>
        <v>CABO COAXIAL RG6 95% DE MALHA</v>
      </c>
    </row>
    <row r="704" spans="1:10" x14ac:dyDescent="0.25">
      <c r="A704" s="169">
        <v>41955</v>
      </c>
      <c r="B704" s="169" t="s">
        <v>24082</v>
      </c>
      <c r="C704" s="169" t="s">
        <v>10231</v>
      </c>
      <c r="D704" s="169" t="s">
        <v>1289</v>
      </c>
      <c r="E704" s="103" t="s">
        <v>29828</v>
      </c>
      <c r="F704" s="104"/>
      <c r="G704" s="105">
        <f t="shared" si="40"/>
        <v>93.04</v>
      </c>
      <c r="H704" s="101" t="str">
        <f t="shared" si="41"/>
        <v>Sinapi 41955</v>
      </c>
      <c r="I704" s="101" t="str">
        <f t="shared" si="42"/>
        <v>KG</v>
      </c>
      <c r="J704" s="140" t="str">
        <f t="shared" si="43"/>
        <v>CABO DE ACO GALVANIZADO, DIAMETRO 12,7 MM (1/2"), COM ALMA DE ACO CABO INDEPENDENTE 6 X 25 F</v>
      </c>
    </row>
    <row r="705" spans="1:10" x14ac:dyDescent="0.25">
      <c r="A705" s="169">
        <v>41953</v>
      </c>
      <c r="B705" s="169" t="s">
        <v>24083</v>
      </c>
      <c r="C705" s="169" t="s">
        <v>10231</v>
      </c>
      <c r="D705" s="169" t="s">
        <v>1289</v>
      </c>
      <c r="E705" s="103" t="s">
        <v>23905</v>
      </c>
      <c r="F705" s="104"/>
      <c r="G705" s="105">
        <f t="shared" si="40"/>
        <v>88.79</v>
      </c>
      <c r="H705" s="101" t="str">
        <f t="shared" si="41"/>
        <v>Sinapi 41953</v>
      </c>
      <c r="I705" s="101" t="str">
        <f t="shared" si="42"/>
        <v>KG</v>
      </c>
      <c r="J705" s="140" t="str">
        <f t="shared" si="43"/>
        <v>CABO DE ACO GALVANIZADO, DIAMETRO 12,7 MM (1/2"), COM ALMA DE FIBRA 6 X 25 F</v>
      </c>
    </row>
    <row r="706" spans="1:10" x14ac:dyDescent="0.25">
      <c r="A706" s="169">
        <v>41954</v>
      </c>
      <c r="B706" s="169" t="s">
        <v>27</v>
      </c>
      <c r="C706" s="169" t="s">
        <v>10231</v>
      </c>
      <c r="D706" s="169" t="s">
        <v>1289</v>
      </c>
      <c r="E706" s="103" t="s">
        <v>29829</v>
      </c>
      <c r="F706" s="104"/>
      <c r="G706" s="105">
        <f t="shared" si="40"/>
        <v>87.95</v>
      </c>
      <c r="H706" s="101" t="str">
        <f t="shared" si="41"/>
        <v>Sinapi 41954</v>
      </c>
      <c r="I706" s="101" t="str">
        <f t="shared" si="42"/>
        <v>KG</v>
      </c>
      <c r="J706" s="140" t="str">
        <f t="shared" si="43"/>
        <v>CABO DE ACO GALVANIZADO, DIAMETRO 9,53 MM (3/8"), COM ALMA DE FIBRA 6 X 25 F</v>
      </c>
    </row>
    <row r="707" spans="1:10" x14ac:dyDescent="0.25">
      <c r="A707" s="169">
        <v>25004</v>
      </c>
      <c r="B707" s="169" t="s">
        <v>24084</v>
      </c>
      <c r="C707" s="169" t="s">
        <v>10231</v>
      </c>
      <c r="D707" s="169" t="s">
        <v>1289</v>
      </c>
      <c r="E707" s="103" t="s">
        <v>29830</v>
      </c>
      <c r="F707" s="104"/>
      <c r="G707" s="105">
        <f t="shared" si="40"/>
        <v>52.65</v>
      </c>
      <c r="H707" s="101" t="str">
        <f t="shared" si="41"/>
        <v>Sinapi 25004</v>
      </c>
      <c r="I707" s="101" t="str">
        <f t="shared" si="42"/>
        <v>KG</v>
      </c>
      <c r="J707" s="140" t="str">
        <f t="shared" si="43"/>
        <v>CABO DE ALUMINIO NU COM ALMA DE ACO, BITOLA 1/0 AWG</v>
      </c>
    </row>
    <row r="708" spans="1:10" x14ac:dyDescent="0.25">
      <c r="A708" s="169">
        <v>25002</v>
      </c>
      <c r="B708" s="169" t="s">
        <v>24085</v>
      </c>
      <c r="C708" s="169" t="s">
        <v>10231</v>
      </c>
      <c r="D708" s="169" t="s">
        <v>1289</v>
      </c>
      <c r="E708" s="103" t="s">
        <v>29830</v>
      </c>
      <c r="F708" s="104"/>
      <c r="G708" s="105">
        <f t="shared" si="40"/>
        <v>52.65</v>
      </c>
      <c r="H708" s="101" t="str">
        <f t="shared" si="41"/>
        <v>Sinapi 25002</v>
      </c>
      <c r="I708" s="101" t="str">
        <f t="shared" si="42"/>
        <v>KG</v>
      </c>
      <c r="J708" s="140" t="str">
        <f t="shared" si="43"/>
        <v>CABO DE ALUMINIO NU COM ALMA DE ACO, BITOLA 2 AWG</v>
      </c>
    </row>
    <row r="709" spans="1:10" x14ac:dyDescent="0.25">
      <c r="A709" s="169">
        <v>37409</v>
      </c>
      <c r="B709" s="169" t="s">
        <v>24086</v>
      </c>
      <c r="C709" s="169" t="s">
        <v>10231</v>
      </c>
      <c r="D709" s="169" t="s">
        <v>1289</v>
      </c>
      <c r="E709" s="103" t="s">
        <v>29830</v>
      </c>
      <c r="F709" s="104"/>
      <c r="G709" s="105">
        <f t="shared" si="40"/>
        <v>52.65</v>
      </c>
      <c r="H709" s="101" t="str">
        <f t="shared" si="41"/>
        <v>Sinapi 37409</v>
      </c>
      <c r="I709" s="101" t="str">
        <f t="shared" si="42"/>
        <v>KG</v>
      </c>
      <c r="J709" s="140" t="str">
        <f t="shared" si="43"/>
        <v>CABO DE ALUMINIO NU COM ALMA DE ACO, BITOLA 2/0 AWG</v>
      </c>
    </row>
    <row r="710" spans="1:10" x14ac:dyDescent="0.25">
      <c r="A710" s="169">
        <v>841</v>
      </c>
      <c r="B710" s="169" t="s">
        <v>24087</v>
      </c>
      <c r="C710" s="169" t="s">
        <v>10231</v>
      </c>
      <c r="D710" s="169" t="s">
        <v>1289</v>
      </c>
      <c r="E710" s="103" t="s">
        <v>21044</v>
      </c>
      <c r="F710" s="104"/>
      <c r="G710" s="105">
        <f t="shared" si="40"/>
        <v>53.3</v>
      </c>
      <c r="H710" s="101" t="str">
        <f t="shared" si="41"/>
        <v>Sinapi 841</v>
      </c>
      <c r="I710" s="101" t="str">
        <f t="shared" si="42"/>
        <v>KG</v>
      </c>
      <c r="J710" s="140" t="str">
        <f t="shared" si="43"/>
        <v>CABO DE ALUMINIO NU COM ALMA DE ACO, BITOLA 4 AWG</v>
      </c>
    </row>
    <row r="711" spans="1:10" x14ac:dyDescent="0.25">
      <c r="A711" s="169">
        <v>25005</v>
      </c>
      <c r="B711" s="169" t="s">
        <v>24088</v>
      </c>
      <c r="C711" s="169" t="s">
        <v>10231</v>
      </c>
      <c r="D711" s="169" t="s">
        <v>1289</v>
      </c>
      <c r="E711" s="103" t="s">
        <v>29831</v>
      </c>
      <c r="F711" s="104"/>
      <c r="G711" s="105">
        <f t="shared" si="40"/>
        <v>57.77</v>
      </c>
      <c r="H711" s="101" t="str">
        <f t="shared" si="41"/>
        <v>Sinapi 25005</v>
      </c>
      <c r="I711" s="101" t="str">
        <f t="shared" si="42"/>
        <v>KG</v>
      </c>
      <c r="J711" s="140" t="str">
        <f t="shared" si="43"/>
        <v>CABO DE ALUMINIO NU SEM ALMA DE ACO, BITOLA 1/0 AWG</v>
      </c>
    </row>
    <row r="712" spans="1:10" x14ac:dyDescent="0.25">
      <c r="A712" s="169">
        <v>25003</v>
      </c>
      <c r="B712" s="169" t="s">
        <v>24089</v>
      </c>
      <c r="C712" s="169" t="s">
        <v>10231</v>
      </c>
      <c r="D712" s="169" t="s">
        <v>1289</v>
      </c>
      <c r="E712" s="103" t="s">
        <v>29832</v>
      </c>
      <c r="F712" s="104"/>
      <c r="G712" s="105">
        <f t="shared" ref="G712:G775" si="44">IF(E712="","",E712+0)</f>
        <v>58.64</v>
      </c>
      <c r="H712" s="101" t="str">
        <f t="shared" ref="H712:H775" si="45">IF(G712="","",TRIM(CONCATENATE("Sinapi ",A712)))</f>
        <v>Sinapi 25003</v>
      </c>
      <c r="I712" s="101" t="str">
        <f t="shared" ref="I712:I775" si="46">TRIM(C712)</f>
        <v>KG</v>
      </c>
      <c r="J712" s="140" t="str">
        <f t="shared" si="43"/>
        <v>CABO DE ALUMINIO NU SEM ALMA DE ACO, BITOLA 2 AWG</v>
      </c>
    </row>
    <row r="713" spans="1:10" x14ac:dyDescent="0.25">
      <c r="A713" s="169">
        <v>37410</v>
      </c>
      <c r="B713" s="169" t="s">
        <v>24090</v>
      </c>
      <c r="C713" s="169" t="s">
        <v>10231</v>
      </c>
      <c r="D713" s="169" t="s">
        <v>1289</v>
      </c>
      <c r="E713" s="103" t="s">
        <v>29831</v>
      </c>
      <c r="F713" s="104"/>
      <c r="G713" s="105">
        <f t="shared" si="44"/>
        <v>57.77</v>
      </c>
      <c r="H713" s="101" t="str">
        <f t="shared" si="45"/>
        <v>Sinapi 37410</v>
      </c>
      <c r="I713" s="101" t="str">
        <f t="shared" si="46"/>
        <v>KG</v>
      </c>
      <c r="J713" s="140" t="str">
        <f t="shared" ref="J713:J776" si="47">TRIM(B713)</f>
        <v>CABO DE ALUMINIO NU SEM ALMA DE ACO, BITOLA 2/0 AWG</v>
      </c>
    </row>
    <row r="714" spans="1:10" x14ac:dyDescent="0.25">
      <c r="A714" s="169">
        <v>842</v>
      </c>
      <c r="B714" s="169" t="s">
        <v>24091</v>
      </c>
      <c r="C714" s="169" t="s">
        <v>10231</v>
      </c>
      <c r="D714" s="169" t="s">
        <v>1289</v>
      </c>
      <c r="E714" s="103" t="s">
        <v>29833</v>
      </c>
      <c r="F714" s="104"/>
      <c r="G714" s="105">
        <f t="shared" si="44"/>
        <v>58.6</v>
      </c>
      <c r="H714" s="101" t="str">
        <f t="shared" si="45"/>
        <v>Sinapi 842</v>
      </c>
      <c r="I714" s="101" t="str">
        <f t="shared" si="46"/>
        <v>KG</v>
      </c>
      <c r="J714" s="140" t="str">
        <f t="shared" si="47"/>
        <v>CABO DE ALUMINIO NU SEM ALMA DE ACO, BITOLA 4 AWG</v>
      </c>
    </row>
    <row r="715" spans="1:10" x14ac:dyDescent="0.25">
      <c r="A715" s="169">
        <v>44391</v>
      </c>
      <c r="B715" s="169" t="s">
        <v>24092</v>
      </c>
      <c r="C715" s="169" t="s">
        <v>10229</v>
      </c>
      <c r="D715" s="169" t="s">
        <v>1289</v>
      </c>
      <c r="E715" s="103" t="s">
        <v>29834</v>
      </c>
      <c r="F715" s="104"/>
      <c r="G715" s="105">
        <f t="shared" si="44"/>
        <v>124.86</v>
      </c>
      <c r="H715" s="101" t="str">
        <f t="shared" si="45"/>
        <v>Sinapi 44391</v>
      </c>
      <c r="I715" s="101" t="str">
        <f t="shared" si="46"/>
        <v>M</v>
      </c>
      <c r="J715" s="140" t="str">
        <f t="shared" si="47"/>
        <v>CABO DE COBRE FLEXIVEL NAO HALOGENADO, SEM EMISSAO DE FUMACA, 750V, SECAO NOMINAL 120 MM</v>
      </c>
    </row>
    <row r="716" spans="1:10" x14ac:dyDescent="0.25">
      <c r="A716" s="169">
        <v>44388</v>
      </c>
      <c r="B716" s="169" t="s">
        <v>24093</v>
      </c>
      <c r="C716" s="169" t="s">
        <v>10229</v>
      </c>
      <c r="D716" s="169" t="s">
        <v>1289</v>
      </c>
      <c r="E716" s="103" t="s">
        <v>20639</v>
      </c>
      <c r="F716" s="104"/>
      <c r="G716" s="105">
        <f t="shared" si="44"/>
        <v>2.7</v>
      </c>
      <c r="H716" s="101" t="str">
        <f t="shared" si="45"/>
        <v>Sinapi 44388</v>
      </c>
      <c r="I716" s="101" t="str">
        <f t="shared" si="46"/>
        <v>M</v>
      </c>
      <c r="J716" s="140" t="str">
        <f t="shared" si="47"/>
        <v>CABO DE COBRE FLEXIVEL NAO HALOGENADO, SEM EMISSAO DE FUMACA, 750V, SECAO NOMINAL 2,5 MM</v>
      </c>
    </row>
    <row r="717" spans="1:10" x14ac:dyDescent="0.25">
      <c r="A717" s="169">
        <v>44392</v>
      </c>
      <c r="B717" s="169" t="s">
        <v>24094</v>
      </c>
      <c r="C717" s="169" t="s">
        <v>10229</v>
      </c>
      <c r="D717" s="169" t="s">
        <v>1289</v>
      </c>
      <c r="E717" s="103" t="s">
        <v>29835</v>
      </c>
      <c r="F717" s="104"/>
      <c r="G717" s="105">
        <f t="shared" si="44"/>
        <v>248.61</v>
      </c>
      <c r="H717" s="101" t="str">
        <f t="shared" si="45"/>
        <v>Sinapi 44392</v>
      </c>
      <c r="I717" s="101" t="str">
        <f t="shared" si="46"/>
        <v>M</v>
      </c>
      <c r="J717" s="140" t="str">
        <f t="shared" si="47"/>
        <v>CABO DE COBRE FLEXIVEL NAO HALOGENADO, SEM EMISSAO DE FUMACA, 750V, SECAO NOMINAL 240 MM</v>
      </c>
    </row>
    <row r="718" spans="1:10" x14ac:dyDescent="0.25">
      <c r="A718" s="169">
        <v>44390</v>
      </c>
      <c r="B718" s="169" t="s">
        <v>24095</v>
      </c>
      <c r="C718" s="169" t="s">
        <v>10229</v>
      </c>
      <c r="D718" s="169" t="s">
        <v>1289</v>
      </c>
      <c r="E718" s="103" t="s">
        <v>29836</v>
      </c>
      <c r="F718" s="104"/>
      <c r="G718" s="105">
        <f t="shared" si="44"/>
        <v>52.67</v>
      </c>
      <c r="H718" s="101" t="str">
        <f t="shared" si="45"/>
        <v>Sinapi 44390</v>
      </c>
      <c r="I718" s="101" t="str">
        <f t="shared" si="46"/>
        <v>M</v>
      </c>
      <c r="J718" s="140" t="str">
        <f t="shared" si="47"/>
        <v>CABO DE COBRE FLEXIVEL NAO HALOGENADO, SEM EMISSAO DE FUMACA, 750V, SECAO NOMINAL 50 MM</v>
      </c>
    </row>
    <row r="719" spans="1:10" x14ac:dyDescent="0.25">
      <c r="A719" s="169">
        <v>44389</v>
      </c>
      <c r="B719" s="169" t="s">
        <v>24096</v>
      </c>
      <c r="C719" s="169" t="s">
        <v>10229</v>
      </c>
      <c r="D719" s="169" t="s">
        <v>1289</v>
      </c>
      <c r="E719" s="103" t="s">
        <v>6080</v>
      </c>
      <c r="F719" s="104"/>
      <c r="G719" s="105">
        <f t="shared" si="44"/>
        <v>6.22</v>
      </c>
      <c r="H719" s="101" t="str">
        <f t="shared" si="45"/>
        <v>Sinapi 44389</v>
      </c>
      <c r="I719" s="101" t="str">
        <f t="shared" si="46"/>
        <v>M</v>
      </c>
      <c r="J719" s="140" t="str">
        <f t="shared" si="47"/>
        <v>CABO DE COBRE FLEXIVEL NAO HALOGENADO, SEM EMISSAO DE FUMACA, 750V, SECAO NOMINAL 6,0 MM</v>
      </c>
    </row>
    <row r="720" spans="1:10" x14ac:dyDescent="0.25">
      <c r="A720" s="169">
        <v>862</v>
      </c>
      <c r="B720" s="169" t="s">
        <v>24097</v>
      </c>
      <c r="C720" s="169" t="s">
        <v>10229</v>
      </c>
      <c r="D720" s="169" t="s">
        <v>1289</v>
      </c>
      <c r="E720" s="103" t="s">
        <v>15646</v>
      </c>
      <c r="F720" s="104"/>
      <c r="G720" s="105">
        <f t="shared" si="44"/>
        <v>11.39</v>
      </c>
      <c r="H720" s="101" t="str">
        <f t="shared" si="45"/>
        <v>Sinapi 862</v>
      </c>
      <c r="I720" s="101" t="str">
        <f t="shared" si="46"/>
        <v>M</v>
      </c>
      <c r="J720" s="140" t="str">
        <f t="shared" si="47"/>
        <v>CABO DE COBRE NU 10 MM2 MEIO-DURO</v>
      </c>
    </row>
    <row r="721" spans="1:10" x14ac:dyDescent="0.25">
      <c r="A721" s="169">
        <v>866</v>
      </c>
      <c r="B721" s="169" t="s">
        <v>24098</v>
      </c>
      <c r="C721" s="169" t="s">
        <v>10229</v>
      </c>
      <c r="D721" s="169" t="s">
        <v>1289</v>
      </c>
      <c r="E721" s="103" t="s">
        <v>29837</v>
      </c>
      <c r="F721" s="104"/>
      <c r="G721" s="105">
        <f t="shared" si="44"/>
        <v>144.77000000000001</v>
      </c>
      <c r="H721" s="101" t="str">
        <f t="shared" si="45"/>
        <v>Sinapi 866</v>
      </c>
      <c r="I721" s="101" t="str">
        <f t="shared" si="46"/>
        <v>M</v>
      </c>
      <c r="J721" s="140" t="str">
        <f t="shared" si="47"/>
        <v>CABO DE COBRE NU 120 MM2 MEIO-DURO</v>
      </c>
    </row>
    <row r="722" spans="1:10" x14ac:dyDescent="0.25">
      <c r="A722" s="169">
        <v>892</v>
      </c>
      <c r="B722" s="169" t="s">
        <v>24099</v>
      </c>
      <c r="C722" s="169" t="s">
        <v>10229</v>
      </c>
      <c r="D722" s="169" t="s">
        <v>1289</v>
      </c>
      <c r="E722" s="103" t="s">
        <v>29838</v>
      </c>
      <c r="F722" s="104"/>
      <c r="G722" s="105">
        <f t="shared" si="44"/>
        <v>175.24</v>
      </c>
      <c r="H722" s="101" t="str">
        <f t="shared" si="45"/>
        <v>Sinapi 892</v>
      </c>
      <c r="I722" s="101" t="str">
        <f t="shared" si="46"/>
        <v>M</v>
      </c>
      <c r="J722" s="140" t="str">
        <f t="shared" si="47"/>
        <v>CABO DE COBRE NU 150 MM2 MEIO-DURO</v>
      </c>
    </row>
    <row r="723" spans="1:10" x14ac:dyDescent="0.25">
      <c r="A723" s="169">
        <v>857</v>
      </c>
      <c r="B723" s="169" t="s">
        <v>24100</v>
      </c>
      <c r="C723" s="169" t="s">
        <v>10229</v>
      </c>
      <c r="D723" s="169" t="s">
        <v>1289</v>
      </c>
      <c r="E723" s="103" t="s">
        <v>27827</v>
      </c>
      <c r="F723" s="104"/>
      <c r="G723" s="105">
        <f t="shared" si="44"/>
        <v>19.059999999999999</v>
      </c>
      <c r="H723" s="101" t="str">
        <f t="shared" si="45"/>
        <v>Sinapi 857</v>
      </c>
      <c r="I723" s="101" t="str">
        <f t="shared" si="46"/>
        <v>M</v>
      </c>
      <c r="J723" s="140" t="str">
        <f t="shared" si="47"/>
        <v>CABO DE COBRE NU 16 MM2 MEIO-DURO</v>
      </c>
    </row>
    <row r="724" spans="1:10" x14ac:dyDescent="0.25">
      <c r="A724" s="169">
        <v>37404</v>
      </c>
      <c r="B724" s="169" t="s">
        <v>24101</v>
      </c>
      <c r="C724" s="169" t="s">
        <v>10229</v>
      </c>
      <c r="D724" s="169" t="s">
        <v>1289</v>
      </c>
      <c r="E724" s="103" t="s">
        <v>29839</v>
      </c>
      <c r="F724" s="104"/>
      <c r="G724" s="105">
        <f t="shared" si="44"/>
        <v>202.75</v>
      </c>
      <c r="H724" s="101" t="str">
        <f t="shared" si="45"/>
        <v>Sinapi 37404</v>
      </c>
      <c r="I724" s="101" t="str">
        <f t="shared" si="46"/>
        <v>M</v>
      </c>
      <c r="J724" s="140" t="str">
        <f t="shared" si="47"/>
        <v>CABO DE COBRE NU 185 MM2 MEIO-DURO</v>
      </c>
    </row>
    <row r="725" spans="1:10" x14ac:dyDescent="0.25">
      <c r="A725" s="169">
        <v>868</v>
      </c>
      <c r="B725" s="169" t="s">
        <v>24102</v>
      </c>
      <c r="C725" s="169" t="s">
        <v>10229</v>
      </c>
      <c r="D725" s="169" t="s">
        <v>1289</v>
      </c>
      <c r="E725" s="103" t="s">
        <v>21374</v>
      </c>
      <c r="F725" s="104"/>
      <c r="G725" s="105">
        <f t="shared" si="44"/>
        <v>27.16</v>
      </c>
      <c r="H725" s="101" t="str">
        <f t="shared" si="45"/>
        <v>Sinapi 868</v>
      </c>
      <c r="I725" s="101" t="str">
        <f t="shared" si="46"/>
        <v>M</v>
      </c>
      <c r="J725" s="140" t="str">
        <f t="shared" si="47"/>
        <v>CABO DE COBRE NU 25 MM2 MEIO-DURO</v>
      </c>
    </row>
    <row r="726" spans="1:10" x14ac:dyDescent="0.25">
      <c r="A726" s="169">
        <v>863</v>
      </c>
      <c r="B726" s="169" t="s">
        <v>24103</v>
      </c>
      <c r="C726" s="169" t="s">
        <v>10229</v>
      </c>
      <c r="D726" s="169" t="s">
        <v>1289</v>
      </c>
      <c r="E726" s="103" t="s">
        <v>17883</v>
      </c>
      <c r="F726" s="104"/>
      <c r="G726" s="105">
        <f t="shared" si="44"/>
        <v>40</v>
      </c>
      <c r="H726" s="101" t="str">
        <f t="shared" si="45"/>
        <v>Sinapi 863</v>
      </c>
      <c r="I726" s="101" t="str">
        <f t="shared" si="46"/>
        <v>M</v>
      </c>
      <c r="J726" s="140" t="str">
        <f t="shared" si="47"/>
        <v>CABO DE COBRE NU 35 MM2 MEIO-DURO</v>
      </c>
    </row>
    <row r="727" spans="1:10" x14ac:dyDescent="0.25">
      <c r="A727" s="169">
        <v>867</v>
      </c>
      <c r="B727" s="169" t="s">
        <v>24104</v>
      </c>
      <c r="C727" s="169" t="s">
        <v>10229</v>
      </c>
      <c r="D727" s="169" t="s">
        <v>1289</v>
      </c>
      <c r="E727" s="103" t="s">
        <v>29840</v>
      </c>
      <c r="F727" s="104"/>
      <c r="G727" s="105">
        <f t="shared" si="44"/>
        <v>56.98</v>
      </c>
      <c r="H727" s="101" t="str">
        <f t="shared" si="45"/>
        <v>Sinapi 867</v>
      </c>
      <c r="I727" s="101" t="str">
        <f t="shared" si="46"/>
        <v>M</v>
      </c>
      <c r="J727" s="140" t="str">
        <f t="shared" si="47"/>
        <v>CABO DE COBRE NU 50 MM2 MEIO-DURO</v>
      </c>
    </row>
    <row r="728" spans="1:10" x14ac:dyDescent="0.25">
      <c r="A728" s="169">
        <v>864</v>
      </c>
      <c r="B728" s="169" t="s">
        <v>24105</v>
      </c>
      <c r="C728" s="169" t="s">
        <v>10229</v>
      </c>
      <c r="D728" s="169" t="s">
        <v>1289</v>
      </c>
      <c r="E728" s="103" t="s">
        <v>29841</v>
      </c>
      <c r="F728" s="104"/>
      <c r="G728" s="105">
        <f t="shared" si="44"/>
        <v>75.27</v>
      </c>
      <c r="H728" s="101" t="str">
        <f t="shared" si="45"/>
        <v>Sinapi 864</v>
      </c>
      <c r="I728" s="101" t="str">
        <f t="shared" si="46"/>
        <v>M</v>
      </c>
      <c r="J728" s="140" t="str">
        <f t="shared" si="47"/>
        <v>CABO DE COBRE NU 70 MM2 MEIO-DURO</v>
      </c>
    </row>
    <row r="729" spans="1:10" x14ac:dyDescent="0.25">
      <c r="A729" s="169">
        <v>865</v>
      </c>
      <c r="B729" s="169" t="s">
        <v>24106</v>
      </c>
      <c r="C729" s="169" t="s">
        <v>10229</v>
      </c>
      <c r="D729" s="169" t="s">
        <v>1289</v>
      </c>
      <c r="E729" s="103" t="s">
        <v>29842</v>
      </c>
      <c r="F729" s="104"/>
      <c r="G729" s="105">
        <f t="shared" si="44"/>
        <v>108.27</v>
      </c>
      <c r="H729" s="101" t="str">
        <f t="shared" si="45"/>
        <v>Sinapi 865</v>
      </c>
      <c r="I729" s="101" t="str">
        <f t="shared" si="46"/>
        <v>M</v>
      </c>
      <c r="J729" s="140" t="str">
        <f t="shared" si="47"/>
        <v>CABO DE COBRE NU 95 MM2 MEIO-DURO</v>
      </c>
    </row>
    <row r="730" spans="1:10" x14ac:dyDescent="0.25">
      <c r="A730" s="169">
        <v>993</v>
      </c>
      <c r="B730" s="169" t="s">
        <v>24107</v>
      </c>
      <c r="C730" s="169" t="s">
        <v>10229</v>
      </c>
      <c r="D730" s="169" t="s">
        <v>1289</v>
      </c>
      <c r="E730" s="103" t="s">
        <v>16400</v>
      </c>
      <c r="F730" s="104"/>
      <c r="G730" s="105">
        <f t="shared" si="44"/>
        <v>2.06</v>
      </c>
      <c r="H730" s="101" t="str">
        <f t="shared" si="45"/>
        <v>Sinapi 993</v>
      </c>
      <c r="I730" s="101" t="str">
        <f t="shared" si="46"/>
        <v>M</v>
      </c>
      <c r="J730" s="140" t="str">
        <f t="shared" si="47"/>
        <v>CABO DE COBRE, FLEXIVEL, CLASSE 4 OU 5, ISOLACAO EM PVC/A, ANTICHAMA BWF-B, COBERTURA PVC-ST1, ANTICHAMA BWF-B, 1 CONDUTOR, 0,6/1 KV, SECAO NOMINAL 1,5 MM2</v>
      </c>
    </row>
    <row r="731" spans="1:10" x14ac:dyDescent="0.25">
      <c r="A731" s="169">
        <v>1020</v>
      </c>
      <c r="B731" s="169" t="s">
        <v>24108</v>
      </c>
      <c r="C731" s="169" t="s">
        <v>10229</v>
      </c>
      <c r="D731" s="169" t="s">
        <v>1289</v>
      </c>
      <c r="E731" s="103" t="s">
        <v>14789</v>
      </c>
      <c r="F731" s="104"/>
      <c r="G731" s="105">
        <f t="shared" si="44"/>
        <v>10.5</v>
      </c>
      <c r="H731" s="101" t="str">
        <f t="shared" si="45"/>
        <v>Sinapi 1020</v>
      </c>
      <c r="I731" s="101" t="str">
        <f t="shared" si="46"/>
        <v>M</v>
      </c>
      <c r="J731" s="140" t="str">
        <f t="shared" si="47"/>
        <v>CABO DE COBRE, FLEXIVEL, CLASSE 4 OU 5, ISOLACAO EM PVC/A, ANTICHAMA BWF-B, COBERTURA PVC-ST1, ANTICHAMA BWF-B, 1 CONDUTOR, 0,6/1 KV, SECAO NOMINAL 10 MM2</v>
      </c>
    </row>
    <row r="732" spans="1:10" x14ac:dyDescent="0.25">
      <c r="A732" s="169">
        <v>1017</v>
      </c>
      <c r="B732" s="169" t="s">
        <v>24109</v>
      </c>
      <c r="C732" s="169" t="s">
        <v>10229</v>
      </c>
      <c r="D732" s="169" t="s">
        <v>1289</v>
      </c>
      <c r="E732" s="103" t="s">
        <v>29843</v>
      </c>
      <c r="F732" s="104"/>
      <c r="G732" s="105">
        <f t="shared" si="44"/>
        <v>128.72999999999999</v>
      </c>
      <c r="H732" s="101" t="str">
        <f t="shared" si="45"/>
        <v>Sinapi 1017</v>
      </c>
      <c r="I732" s="101" t="str">
        <f t="shared" si="46"/>
        <v>M</v>
      </c>
      <c r="J732" s="140" t="str">
        <f t="shared" si="47"/>
        <v>CABO DE COBRE, FLEXIVEL, CLASSE 4 OU 5, ISOLACAO EM PVC/A, ANTICHAMA BWF-B, COBERTURA PVC-ST1, ANTICHAMA BWF-B, 1 CONDUTOR, 0,6/1 KV, SECAO NOMINAL 120 MM2</v>
      </c>
    </row>
    <row r="733" spans="1:10" x14ac:dyDescent="0.25">
      <c r="A733" s="169">
        <v>999</v>
      </c>
      <c r="B733" s="169" t="s">
        <v>24110</v>
      </c>
      <c r="C733" s="169" t="s">
        <v>10229</v>
      </c>
      <c r="D733" s="169" t="s">
        <v>1289</v>
      </c>
      <c r="E733" s="103" t="s">
        <v>29844</v>
      </c>
      <c r="F733" s="104"/>
      <c r="G733" s="105">
        <f t="shared" si="44"/>
        <v>155.96</v>
      </c>
      <c r="H733" s="101" t="str">
        <f t="shared" si="45"/>
        <v>Sinapi 999</v>
      </c>
      <c r="I733" s="101" t="str">
        <f t="shared" si="46"/>
        <v>M</v>
      </c>
      <c r="J733" s="140" t="str">
        <f t="shared" si="47"/>
        <v>CABO DE COBRE, FLEXIVEL, CLASSE 4 OU 5, ISOLACAO EM PVC/A, ANTICHAMA BWF-B, COBERTURA PVC-ST1, ANTICHAMA BWF-B, 1 CONDUTOR, 0,6/1 KV, SECAO NOMINAL 150 MM2</v>
      </c>
    </row>
    <row r="734" spans="1:10" x14ac:dyDescent="0.25">
      <c r="A734" s="169">
        <v>995</v>
      </c>
      <c r="B734" s="169" t="s">
        <v>24111</v>
      </c>
      <c r="C734" s="169" t="s">
        <v>10229</v>
      </c>
      <c r="D734" s="169" t="s">
        <v>1289</v>
      </c>
      <c r="E734" s="103" t="s">
        <v>22768</v>
      </c>
      <c r="F734" s="104"/>
      <c r="G734" s="105">
        <f t="shared" si="44"/>
        <v>16.73</v>
      </c>
      <c r="H734" s="101" t="str">
        <f t="shared" si="45"/>
        <v>Sinapi 995</v>
      </c>
      <c r="I734" s="101" t="str">
        <f t="shared" si="46"/>
        <v>M</v>
      </c>
      <c r="J734" s="140" t="str">
        <f t="shared" si="47"/>
        <v>CABO DE COBRE, FLEXIVEL, CLASSE 4 OU 5, ISOLACAO EM PVC/A, ANTICHAMA BWF-B, COBERTURA PVC-ST1, ANTICHAMA BWF-B, 1 CONDUTOR, 0,6/1 KV, SECAO NOMINAL 16 MM2</v>
      </c>
    </row>
    <row r="735" spans="1:10" x14ac:dyDescent="0.25">
      <c r="A735" s="169">
        <v>1000</v>
      </c>
      <c r="B735" s="169" t="s">
        <v>24112</v>
      </c>
      <c r="C735" s="169" t="s">
        <v>10229</v>
      </c>
      <c r="D735" s="169" t="s">
        <v>1289</v>
      </c>
      <c r="E735" s="103" t="s">
        <v>29845</v>
      </c>
      <c r="F735" s="104"/>
      <c r="G735" s="105">
        <f t="shared" si="44"/>
        <v>191.57</v>
      </c>
      <c r="H735" s="101" t="str">
        <f t="shared" si="45"/>
        <v>Sinapi 1000</v>
      </c>
      <c r="I735" s="101" t="str">
        <f t="shared" si="46"/>
        <v>M</v>
      </c>
      <c r="J735" s="140" t="str">
        <f t="shared" si="47"/>
        <v>CABO DE COBRE, FLEXIVEL, CLASSE 4 OU 5, ISOLACAO EM PVC/A, ANTICHAMA BWF-B, COBERTURA PVC-ST1, ANTICHAMA BWF-B, 1 CONDUTOR, 0,6/1 KV, SECAO NOMINAL 185 MM2</v>
      </c>
    </row>
    <row r="736" spans="1:10" x14ac:dyDescent="0.25">
      <c r="A736" s="169">
        <v>1022</v>
      </c>
      <c r="B736" s="169" t="s">
        <v>24113</v>
      </c>
      <c r="C736" s="169" t="s">
        <v>10229</v>
      </c>
      <c r="D736" s="169" t="s">
        <v>1289</v>
      </c>
      <c r="E736" s="103" t="s">
        <v>21692</v>
      </c>
      <c r="F736" s="104"/>
      <c r="G736" s="105">
        <f t="shared" si="44"/>
        <v>2.87</v>
      </c>
      <c r="H736" s="101" t="str">
        <f t="shared" si="45"/>
        <v>Sinapi 1022</v>
      </c>
      <c r="I736" s="101" t="str">
        <f t="shared" si="46"/>
        <v>M</v>
      </c>
      <c r="J736" s="140" t="str">
        <f t="shared" si="47"/>
        <v>CABO DE COBRE, FLEXIVEL, CLASSE 4 OU 5, ISOLACAO EM PVC/A, ANTICHAMA BWF-B, COBERTURA PVC-ST1, ANTICHAMA BWF-B, 1 CONDUTOR, 0,6/1 KV, SECAO NOMINAL 2,5 MM2</v>
      </c>
    </row>
    <row r="737" spans="1:10" x14ac:dyDescent="0.25">
      <c r="A737" s="169">
        <v>1015</v>
      </c>
      <c r="B737" s="169" t="s">
        <v>24114</v>
      </c>
      <c r="C737" s="169" t="s">
        <v>10229</v>
      </c>
      <c r="D737" s="169" t="s">
        <v>1289</v>
      </c>
      <c r="E737" s="103" t="s">
        <v>29846</v>
      </c>
      <c r="F737" s="104"/>
      <c r="G737" s="105">
        <f t="shared" si="44"/>
        <v>254.57</v>
      </c>
      <c r="H737" s="101" t="str">
        <f t="shared" si="45"/>
        <v>Sinapi 1015</v>
      </c>
      <c r="I737" s="101" t="str">
        <f t="shared" si="46"/>
        <v>M</v>
      </c>
      <c r="J737" s="140" t="str">
        <f t="shared" si="47"/>
        <v>CABO DE COBRE, FLEXIVEL, CLASSE 4 OU 5, ISOLACAO EM PVC/A, ANTICHAMA BWF-B, COBERTURA PVC-ST1, ANTICHAMA BWF-B, 1 CONDUTOR, 0,6/1 KV, SECAO NOMINAL 240 MM2</v>
      </c>
    </row>
    <row r="738" spans="1:10" x14ac:dyDescent="0.25">
      <c r="A738" s="169">
        <v>996</v>
      </c>
      <c r="B738" s="169" t="s">
        <v>24115</v>
      </c>
      <c r="C738" s="169" t="s">
        <v>10229</v>
      </c>
      <c r="D738" s="169" t="s">
        <v>1289</v>
      </c>
      <c r="E738" s="103" t="s">
        <v>20046</v>
      </c>
      <c r="F738" s="104"/>
      <c r="G738" s="105">
        <f t="shared" si="44"/>
        <v>25.94</v>
      </c>
      <c r="H738" s="101" t="str">
        <f t="shared" si="45"/>
        <v>Sinapi 996</v>
      </c>
      <c r="I738" s="101" t="str">
        <f t="shared" si="46"/>
        <v>M</v>
      </c>
      <c r="J738" s="140" t="str">
        <f t="shared" si="47"/>
        <v>CABO DE COBRE, FLEXIVEL, CLASSE 4 OU 5, ISOLACAO EM PVC/A, ANTICHAMA BWF-B, COBERTURA PVC-ST1, ANTICHAMA BWF-B, 1 CONDUTOR, 0,6/1 KV, SECAO NOMINAL 25 MM2</v>
      </c>
    </row>
    <row r="739" spans="1:10" x14ac:dyDescent="0.25">
      <c r="A739" s="169">
        <v>1001</v>
      </c>
      <c r="B739" s="169" t="s">
        <v>24116</v>
      </c>
      <c r="C739" s="169" t="s">
        <v>10229</v>
      </c>
      <c r="D739" s="169" t="s">
        <v>1289</v>
      </c>
      <c r="E739" s="103" t="s">
        <v>29847</v>
      </c>
      <c r="F739" s="104"/>
      <c r="G739" s="105">
        <f t="shared" si="44"/>
        <v>330.3</v>
      </c>
      <c r="H739" s="101" t="str">
        <f t="shared" si="45"/>
        <v>Sinapi 1001</v>
      </c>
      <c r="I739" s="101" t="str">
        <f t="shared" si="46"/>
        <v>M</v>
      </c>
      <c r="J739" s="140" t="str">
        <f t="shared" si="47"/>
        <v>CABO DE COBRE, FLEXIVEL, CLASSE 4 OU 5, ISOLACAO EM PVC/A, ANTICHAMA BWF-B, COBERTURA PVC-ST1, ANTICHAMA BWF-B, 1 CONDUTOR, 0,6/1 KV, SECAO NOMINAL 300 MM2</v>
      </c>
    </row>
    <row r="740" spans="1:10" x14ac:dyDescent="0.25">
      <c r="A740" s="169">
        <v>1019</v>
      </c>
      <c r="B740" s="169" t="s">
        <v>24117</v>
      </c>
      <c r="C740" s="169" t="s">
        <v>10229</v>
      </c>
      <c r="D740" s="169" t="s">
        <v>1289</v>
      </c>
      <c r="E740" s="103" t="s">
        <v>20135</v>
      </c>
      <c r="F740" s="104"/>
      <c r="G740" s="105">
        <f t="shared" si="44"/>
        <v>36.65</v>
      </c>
      <c r="H740" s="101" t="str">
        <f t="shared" si="45"/>
        <v>Sinapi 1019</v>
      </c>
      <c r="I740" s="101" t="str">
        <f t="shared" si="46"/>
        <v>M</v>
      </c>
      <c r="J740" s="140" t="str">
        <f t="shared" si="47"/>
        <v>CABO DE COBRE, FLEXIVEL, CLASSE 4 OU 5, ISOLACAO EM PVC/A, ANTICHAMA BWF-B, COBERTURA PVC-ST1, ANTICHAMA BWF-B, 1 CONDUTOR, 0,6/1 KV, SECAO NOMINAL 35 MM2</v>
      </c>
    </row>
    <row r="741" spans="1:10" x14ac:dyDescent="0.25">
      <c r="A741" s="169">
        <v>1021</v>
      </c>
      <c r="B741" s="169" t="s">
        <v>24118</v>
      </c>
      <c r="C741" s="169" t="s">
        <v>10229</v>
      </c>
      <c r="D741" s="169" t="s">
        <v>1289</v>
      </c>
      <c r="E741" s="103" t="s">
        <v>19273</v>
      </c>
      <c r="F741" s="104"/>
      <c r="G741" s="105">
        <f t="shared" si="44"/>
        <v>4.41</v>
      </c>
      <c r="H741" s="101" t="str">
        <f t="shared" si="45"/>
        <v>Sinapi 1021</v>
      </c>
      <c r="I741" s="101" t="str">
        <f t="shared" si="46"/>
        <v>M</v>
      </c>
      <c r="J741" s="140" t="str">
        <f t="shared" si="47"/>
        <v>CABO DE COBRE, FLEXIVEL, CLASSE 4 OU 5, ISOLACAO EM PVC/A, ANTICHAMA BWF-B, COBERTURA PVC-ST1, ANTICHAMA BWF-B, 1 CONDUTOR, 0,6/1 KV, SECAO NOMINAL 4 MM2</v>
      </c>
    </row>
    <row r="742" spans="1:10" x14ac:dyDescent="0.25">
      <c r="A742" s="169">
        <v>39249</v>
      </c>
      <c r="B742" s="169" t="s">
        <v>24119</v>
      </c>
      <c r="C742" s="169" t="s">
        <v>10229</v>
      </c>
      <c r="D742" s="169" t="s">
        <v>1289</v>
      </c>
      <c r="E742" s="103" t="s">
        <v>29848</v>
      </c>
      <c r="F742" s="104"/>
      <c r="G742" s="105">
        <f t="shared" si="44"/>
        <v>444.11</v>
      </c>
      <c r="H742" s="101" t="str">
        <f t="shared" si="45"/>
        <v>Sinapi 39249</v>
      </c>
      <c r="I742" s="101" t="str">
        <f t="shared" si="46"/>
        <v>M</v>
      </c>
      <c r="J742" s="140" t="str">
        <f t="shared" si="47"/>
        <v>CABO DE COBRE, FLEXIVEL, CLASSE 4 OU 5, ISOLACAO EM PVC/A, ANTICHAMA BWF-B, COBERTURA PVC-ST1, ANTICHAMA BWF-B, 1 CONDUTOR, 0,6/1 KV, SECAO NOMINAL 400 MM2</v>
      </c>
    </row>
    <row r="743" spans="1:10" x14ac:dyDescent="0.25">
      <c r="A743" s="169">
        <v>1018</v>
      </c>
      <c r="B743" s="169" t="s">
        <v>24120</v>
      </c>
      <c r="C743" s="169" t="s">
        <v>10229</v>
      </c>
      <c r="D743" s="169" t="s">
        <v>1289</v>
      </c>
      <c r="E743" s="103" t="s">
        <v>29849</v>
      </c>
      <c r="F743" s="104"/>
      <c r="G743" s="105">
        <f t="shared" si="44"/>
        <v>54.2</v>
      </c>
      <c r="H743" s="101" t="str">
        <f t="shared" si="45"/>
        <v>Sinapi 1018</v>
      </c>
      <c r="I743" s="101" t="str">
        <f t="shared" si="46"/>
        <v>M</v>
      </c>
      <c r="J743" s="140" t="str">
        <f t="shared" si="47"/>
        <v>CABO DE COBRE, FLEXIVEL, CLASSE 4 OU 5, ISOLACAO EM PVC/A, ANTICHAMA BWF-B, COBERTURA PVC-ST1, ANTICHAMA BWF-B, 1 CONDUTOR, 0,6/1 KV, SECAO NOMINAL 50 MM2</v>
      </c>
    </row>
    <row r="744" spans="1:10" x14ac:dyDescent="0.25">
      <c r="A744" s="169">
        <v>39250</v>
      </c>
      <c r="B744" s="169" t="s">
        <v>24121</v>
      </c>
      <c r="C744" s="169" t="s">
        <v>10229</v>
      </c>
      <c r="D744" s="169" t="s">
        <v>1289</v>
      </c>
      <c r="E744" s="103" t="s">
        <v>29850</v>
      </c>
      <c r="F744" s="104"/>
      <c r="G744" s="105">
        <f t="shared" si="44"/>
        <v>531.26</v>
      </c>
      <c r="H744" s="101" t="str">
        <f t="shared" si="45"/>
        <v>Sinapi 39250</v>
      </c>
      <c r="I744" s="101" t="str">
        <f t="shared" si="46"/>
        <v>M</v>
      </c>
      <c r="J744" s="140" t="str">
        <f t="shared" si="47"/>
        <v>CABO DE COBRE, FLEXIVEL, CLASSE 4 OU 5, ISOLACAO EM PVC/A, ANTICHAMA BWF-B, COBERTURA PVC-ST1, ANTICHAMA BWF-B, 1 CONDUTOR, 0,6/1 KV, SECAO NOMINAL 500 MM2</v>
      </c>
    </row>
    <row r="745" spans="1:10" x14ac:dyDescent="0.25">
      <c r="A745" s="169">
        <v>994</v>
      </c>
      <c r="B745" s="169" t="s">
        <v>24122</v>
      </c>
      <c r="C745" s="169" t="s">
        <v>10229</v>
      </c>
      <c r="D745" s="169" t="s">
        <v>1289</v>
      </c>
      <c r="E745" s="103" t="s">
        <v>2099</v>
      </c>
      <c r="F745" s="104"/>
      <c r="G745" s="105">
        <f t="shared" si="44"/>
        <v>6.41</v>
      </c>
      <c r="H745" s="101" t="str">
        <f t="shared" si="45"/>
        <v>Sinapi 994</v>
      </c>
      <c r="I745" s="101" t="str">
        <f t="shared" si="46"/>
        <v>M</v>
      </c>
      <c r="J745" s="140" t="str">
        <f t="shared" si="47"/>
        <v>CABO DE COBRE, FLEXIVEL, CLASSE 4 OU 5, ISOLACAO EM PVC/A, ANTICHAMA BWF-B, COBERTURA PVC-ST1, ANTICHAMA BWF-B, 1 CONDUTOR, 0,6/1 KV, SECAO NOMINAL 6 MM2</v>
      </c>
    </row>
    <row r="746" spans="1:10" x14ac:dyDescent="0.25">
      <c r="A746" s="169">
        <v>977</v>
      </c>
      <c r="B746" s="169" t="s">
        <v>24123</v>
      </c>
      <c r="C746" s="169" t="s">
        <v>10229</v>
      </c>
      <c r="D746" s="169" t="s">
        <v>1289</v>
      </c>
      <c r="E746" s="103" t="s">
        <v>29851</v>
      </c>
      <c r="F746" s="104"/>
      <c r="G746" s="105">
        <f t="shared" si="44"/>
        <v>75.819999999999993</v>
      </c>
      <c r="H746" s="101" t="str">
        <f t="shared" si="45"/>
        <v>Sinapi 977</v>
      </c>
      <c r="I746" s="101" t="str">
        <f t="shared" si="46"/>
        <v>M</v>
      </c>
      <c r="J746" s="140" t="str">
        <f t="shared" si="47"/>
        <v>CABO DE COBRE, FLEXIVEL, CLASSE 4 OU 5, ISOLACAO EM PVC/A, ANTICHAMA BWF-B, COBERTURA PVC-ST1, ANTICHAMA BWF-B, 1 CONDUTOR, 0,6/1 KV, SECAO NOMINAL 70 MM2</v>
      </c>
    </row>
    <row r="747" spans="1:10" x14ac:dyDescent="0.25">
      <c r="A747" s="169">
        <v>998</v>
      </c>
      <c r="B747" s="169" t="s">
        <v>24124</v>
      </c>
      <c r="C747" s="169" t="s">
        <v>10229</v>
      </c>
      <c r="D747" s="169" t="s">
        <v>1289</v>
      </c>
      <c r="E747" s="103" t="s">
        <v>29852</v>
      </c>
      <c r="F747" s="104"/>
      <c r="G747" s="105">
        <f t="shared" si="44"/>
        <v>98.44</v>
      </c>
      <c r="H747" s="101" t="str">
        <f t="shared" si="45"/>
        <v>Sinapi 998</v>
      </c>
      <c r="I747" s="101" t="str">
        <f t="shared" si="46"/>
        <v>M</v>
      </c>
      <c r="J747" s="140" t="str">
        <f t="shared" si="47"/>
        <v>CABO DE COBRE, FLEXIVEL, CLASSE 4 OU 5, ISOLACAO EM PVC/A, ANTICHAMA BWF-B, COBERTURA PVC-ST1, ANTICHAMA BWF-B, 1 CONDUTOR, 0,6/1 KV, SECAO NOMINAL 95 MM2</v>
      </c>
    </row>
    <row r="748" spans="1:10" x14ac:dyDescent="0.25">
      <c r="A748" s="169">
        <v>39251</v>
      </c>
      <c r="B748" s="169" t="s">
        <v>24125</v>
      </c>
      <c r="C748" s="169" t="s">
        <v>10229</v>
      </c>
      <c r="D748" s="169" t="s">
        <v>1289</v>
      </c>
      <c r="E748" s="103" t="s">
        <v>14491</v>
      </c>
      <c r="F748" s="104"/>
      <c r="G748" s="105">
        <f t="shared" si="44"/>
        <v>0.71</v>
      </c>
      <c r="H748" s="101" t="str">
        <f t="shared" si="45"/>
        <v>Sinapi 39251</v>
      </c>
      <c r="I748" s="101" t="str">
        <f t="shared" si="46"/>
        <v>M</v>
      </c>
      <c r="J748" s="140" t="str">
        <f t="shared" si="47"/>
        <v>CABO DE COBRE, FLEXIVEL, CLASSE 4 OU 5, ISOLACAO EM PVC/A, ANTICHAMA BWF-B, 1 CONDUTOR, 450/750 V, SECAO NOMINAL 0,5 MM2</v>
      </c>
    </row>
    <row r="749" spans="1:10" x14ac:dyDescent="0.25">
      <c r="A749" s="169">
        <v>1011</v>
      </c>
      <c r="B749" s="169" t="s">
        <v>24126</v>
      </c>
      <c r="C749" s="169" t="s">
        <v>10229</v>
      </c>
      <c r="D749" s="169" t="s">
        <v>1289</v>
      </c>
      <c r="E749" s="103" t="s">
        <v>15761</v>
      </c>
      <c r="F749" s="104"/>
      <c r="G749" s="105">
        <f t="shared" si="44"/>
        <v>0.97</v>
      </c>
      <c r="H749" s="101" t="str">
        <f t="shared" si="45"/>
        <v>Sinapi 1011</v>
      </c>
      <c r="I749" s="101" t="str">
        <f t="shared" si="46"/>
        <v>M</v>
      </c>
      <c r="J749" s="140" t="str">
        <f t="shared" si="47"/>
        <v>CABO DE COBRE, FLEXIVEL, CLASSE 4 OU 5, ISOLACAO EM PVC/A, ANTICHAMA BWF-B, 1 CONDUTOR, 450/750 V, SECAO NOMINAL 0,75 MM2</v>
      </c>
    </row>
    <row r="750" spans="1:10" x14ac:dyDescent="0.25">
      <c r="A750" s="169">
        <v>39252</v>
      </c>
      <c r="B750" s="169" t="s">
        <v>24127</v>
      </c>
      <c r="C750" s="169" t="s">
        <v>10229</v>
      </c>
      <c r="D750" s="169" t="s">
        <v>1289</v>
      </c>
      <c r="E750" s="103" t="s">
        <v>15199</v>
      </c>
      <c r="F750" s="104"/>
      <c r="G750" s="105">
        <f t="shared" si="44"/>
        <v>1.27</v>
      </c>
      <c r="H750" s="101" t="str">
        <f t="shared" si="45"/>
        <v>Sinapi 39252</v>
      </c>
      <c r="I750" s="101" t="str">
        <f t="shared" si="46"/>
        <v>M</v>
      </c>
      <c r="J750" s="140" t="str">
        <f t="shared" si="47"/>
        <v>CABO DE COBRE, FLEXIVEL, CLASSE 4 OU 5, ISOLACAO EM PVC/A, ANTICHAMA BWF-B, 1 CONDUTOR, 450/750 V, SECAO NOMINAL 1,0 MM2</v>
      </c>
    </row>
    <row r="751" spans="1:10" x14ac:dyDescent="0.25">
      <c r="A751" s="169">
        <v>1013</v>
      </c>
      <c r="B751" s="169" t="s">
        <v>24128</v>
      </c>
      <c r="C751" s="169" t="s">
        <v>10229</v>
      </c>
      <c r="D751" s="169" t="s">
        <v>1289</v>
      </c>
      <c r="E751" s="103" t="s">
        <v>9316</v>
      </c>
      <c r="F751" s="104"/>
      <c r="G751" s="105">
        <f t="shared" si="44"/>
        <v>1.53</v>
      </c>
      <c r="H751" s="101" t="str">
        <f t="shared" si="45"/>
        <v>Sinapi 1013</v>
      </c>
      <c r="I751" s="101" t="str">
        <f t="shared" si="46"/>
        <v>M</v>
      </c>
      <c r="J751" s="140" t="str">
        <f t="shared" si="47"/>
        <v>CABO DE COBRE, FLEXIVEL, CLASSE 4 OU 5, ISOLACAO EM PVC/A, ANTICHAMA BWF-B, 1 CONDUTOR, 450/750 V, SECAO NOMINAL 1,5 MM2</v>
      </c>
    </row>
    <row r="752" spans="1:10" x14ac:dyDescent="0.25">
      <c r="A752" s="169">
        <v>980</v>
      </c>
      <c r="B752" s="169" t="s">
        <v>24129</v>
      </c>
      <c r="C752" s="169" t="s">
        <v>10229</v>
      </c>
      <c r="D752" s="169" t="s">
        <v>1289</v>
      </c>
      <c r="E752" s="103" t="s">
        <v>15700</v>
      </c>
      <c r="F752" s="104"/>
      <c r="G752" s="105">
        <f t="shared" si="44"/>
        <v>11.02</v>
      </c>
      <c r="H752" s="101" t="str">
        <f t="shared" si="45"/>
        <v>Sinapi 980</v>
      </c>
      <c r="I752" s="101" t="str">
        <f t="shared" si="46"/>
        <v>M</v>
      </c>
      <c r="J752" s="140" t="str">
        <f t="shared" si="47"/>
        <v>CABO DE COBRE, FLEXIVEL, CLASSE 4 OU 5, ISOLACAO EM PVC/A, ANTICHAMA BWF-B, 1 CONDUTOR, 450/750 V, SECAO NOMINAL 10 MM2</v>
      </c>
    </row>
    <row r="753" spans="1:10" x14ac:dyDescent="0.25">
      <c r="A753" s="169">
        <v>39237</v>
      </c>
      <c r="B753" s="169" t="s">
        <v>24130</v>
      </c>
      <c r="C753" s="169" t="s">
        <v>10229</v>
      </c>
      <c r="D753" s="169" t="s">
        <v>1289</v>
      </c>
      <c r="E753" s="103" t="s">
        <v>29853</v>
      </c>
      <c r="F753" s="104"/>
      <c r="G753" s="105">
        <f t="shared" si="44"/>
        <v>117.2</v>
      </c>
      <c r="H753" s="101" t="str">
        <f t="shared" si="45"/>
        <v>Sinapi 39237</v>
      </c>
      <c r="I753" s="101" t="str">
        <f t="shared" si="46"/>
        <v>M</v>
      </c>
      <c r="J753" s="140" t="str">
        <f t="shared" si="47"/>
        <v>CABO DE COBRE, FLEXIVEL, CLASSE 4 OU 5, ISOLACAO EM PVC/A, ANTICHAMA BWF-B, 1 CONDUTOR, 450/750 V, SECAO NOMINAL 120 MM2</v>
      </c>
    </row>
    <row r="754" spans="1:10" x14ac:dyDescent="0.25">
      <c r="A754" s="169">
        <v>39238</v>
      </c>
      <c r="B754" s="169" t="s">
        <v>24131</v>
      </c>
      <c r="C754" s="169" t="s">
        <v>10229</v>
      </c>
      <c r="D754" s="169" t="s">
        <v>1289</v>
      </c>
      <c r="E754" s="103" t="s">
        <v>29854</v>
      </c>
      <c r="F754" s="104"/>
      <c r="G754" s="105">
        <f t="shared" si="44"/>
        <v>147.81</v>
      </c>
      <c r="H754" s="101" t="str">
        <f t="shared" si="45"/>
        <v>Sinapi 39238</v>
      </c>
      <c r="I754" s="101" t="str">
        <f t="shared" si="46"/>
        <v>M</v>
      </c>
      <c r="J754" s="140" t="str">
        <f t="shared" si="47"/>
        <v>CABO DE COBRE, FLEXIVEL, CLASSE 4 OU 5, ISOLACAO EM PVC/A, ANTICHAMA BWF-B, 1 CONDUTOR, 450/750 V, SECAO NOMINAL 150 MM2</v>
      </c>
    </row>
    <row r="755" spans="1:10" x14ac:dyDescent="0.25">
      <c r="A755" s="169">
        <v>979</v>
      </c>
      <c r="B755" s="169" t="s">
        <v>24132</v>
      </c>
      <c r="C755" s="169" t="s">
        <v>10229</v>
      </c>
      <c r="D755" s="169" t="s">
        <v>1289</v>
      </c>
      <c r="E755" s="103" t="s">
        <v>11279</v>
      </c>
      <c r="F755" s="104"/>
      <c r="G755" s="105">
        <f t="shared" si="44"/>
        <v>15.74</v>
      </c>
      <c r="H755" s="101" t="str">
        <f t="shared" si="45"/>
        <v>Sinapi 979</v>
      </c>
      <c r="I755" s="101" t="str">
        <f t="shared" si="46"/>
        <v>M</v>
      </c>
      <c r="J755" s="140" t="str">
        <f t="shared" si="47"/>
        <v>CABO DE COBRE, FLEXIVEL, CLASSE 4 OU 5, ISOLACAO EM PVC/A, ANTICHAMA BWF-B, 1 CONDUTOR, 450/750 V, SECAO NOMINAL 16 MM2</v>
      </c>
    </row>
    <row r="756" spans="1:10" x14ac:dyDescent="0.25">
      <c r="A756" s="169">
        <v>39239</v>
      </c>
      <c r="B756" s="169" t="s">
        <v>24133</v>
      </c>
      <c r="C756" s="169" t="s">
        <v>10229</v>
      </c>
      <c r="D756" s="169" t="s">
        <v>1289</v>
      </c>
      <c r="E756" s="103" t="s">
        <v>29855</v>
      </c>
      <c r="F756" s="104"/>
      <c r="G756" s="105">
        <f t="shared" si="44"/>
        <v>178.57</v>
      </c>
      <c r="H756" s="101" t="str">
        <f t="shared" si="45"/>
        <v>Sinapi 39239</v>
      </c>
      <c r="I756" s="101" t="str">
        <f t="shared" si="46"/>
        <v>M</v>
      </c>
      <c r="J756" s="140" t="str">
        <f t="shared" si="47"/>
        <v>CABO DE COBRE, FLEXIVEL, CLASSE 4 OU 5, ISOLACAO EM PVC/A, ANTICHAMA BWF-B, 1 CONDUTOR, 450/750 V, SECAO NOMINAL 185 MM2</v>
      </c>
    </row>
    <row r="757" spans="1:10" x14ac:dyDescent="0.25">
      <c r="A757" s="169">
        <v>1014</v>
      </c>
      <c r="B757" s="169" t="s">
        <v>24134</v>
      </c>
      <c r="C757" s="169" t="s">
        <v>10229</v>
      </c>
      <c r="D757" s="169" t="s">
        <v>1289</v>
      </c>
      <c r="E757" s="103" t="s">
        <v>18598</v>
      </c>
      <c r="F757" s="104"/>
      <c r="G757" s="105">
        <f t="shared" si="44"/>
        <v>2.42</v>
      </c>
      <c r="H757" s="101" t="str">
        <f t="shared" si="45"/>
        <v>Sinapi 1014</v>
      </c>
      <c r="I757" s="101" t="str">
        <f t="shared" si="46"/>
        <v>M</v>
      </c>
      <c r="J757" s="140" t="str">
        <f t="shared" si="47"/>
        <v>CABO DE COBRE, FLEXIVEL, CLASSE 4 OU 5, ISOLACAO EM PVC/A, ANTICHAMA BWF-B, 1 CONDUTOR, 450/750 V, SECAO NOMINAL 2,5 MM2</v>
      </c>
    </row>
    <row r="758" spans="1:10" x14ac:dyDescent="0.25">
      <c r="A758" s="169">
        <v>39240</v>
      </c>
      <c r="B758" s="169" t="s">
        <v>24135</v>
      </c>
      <c r="C758" s="169" t="s">
        <v>10229</v>
      </c>
      <c r="D758" s="169" t="s">
        <v>1289</v>
      </c>
      <c r="E758" s="103" t="s">
        <v>29856</v>
      </c>
      <c r="F758" s="104"/>
      <c r="G758" s="105">
        <f t="shared" si="44"/>
        <v>234.87</v>
      </c>
      <c r="H758" s="101" t="str">
        <f t="shared" si="45"/>
        <v>Sinapi 39240</v>
      </c>
      <c r="I758" s="101" t="str">
        <f t="shared" si="46"/>
        <v>M</v>
      </c>
      <c r="J758" s="140" t="str">
        <f t="shared" si="47"/>
        <v>CABO DE COBRE, FLEXIVEL, CLASSE 4 OU 5, ISOLACAO EM PVC/A, ANTICHAMA BWF-B, 1 CONDUTOR, 450/750 V, SECAO NOMINAL 240 MM2</v>
      </c>
    </row>
    <row r="759" spans="1:10" x14ac:dyDescent="0.25">
      <c r="A759" s="169">
        <v>39232</v>
      </c>
      <c r="B759" s="169" t="s">
        <v>24136</v>
      </c>
      <c r="C759" s="169" t="s">
        <v>10229</v>
      </c>
      <c r="D759" s="169" t="s">
        <v>1289</v>
      </c>
      <c r="E759" s="103" t="s">
        <v>22031</v>
      </c>
      <c r="F759" s="104"/>
      <c r="G759" s="105">
        <f t="shared" si="44"/>
        <v>24.65</v>
      </c>
      <c r="H759" s="101" t="str">
        <f t="shared" si="45"/>
        <v>Sinapi 39232</v>
      </c>
      <c r="I759" s="101" t="str">
        <f t="shared" si="46"/>
        <v>M</v>
      </c>
      <c r="J759" s="140" t="str">
        <f t="shared" si="47"/>
        <v>CABO DE COBRE, FLEXIVEL, CLASSE 4 OU 5, ISOLACAO EM PVC/A, ANTICHAMA BWF-B, 1 CONDUTOR, 450/750 V, SECAO NOMINAL 25 MM2</v>
      </c>
    </row>
    <row r="760" spans="1:10" x14ac:dyDescent="0.25">
      <c r="A760" s="169">
        <v>39233</v>
      </c>
      <c r="B760" s="169" t="s">
        <v>24137</v>
      </c>
      <c r="C760" s="169" t="s">
        <v>10229</v>
      </c>
      <c r="D760" s="169" t="s">
        <v>1289</v>
      </c>
      <c r="E760" s="103" t="s">
        <v>29187</v>
      </c>
      <c r="F760" s="104"/>
      <c r="G760" s="105">
        <f t="shared" si="44"/>
        <v>35.93</v>
      </c>
      <c r="H760" s="101" t="str">
        <f t="shared" si="45"/>
        <v>Sinapi 39233</v>
      </c>
      <c r="I760" s="101" t="str">
        <f t="shared" si="46"/>
        <v>M</v>
      </c>
      <c r="J760" s="140" t="str">
        <f t="shared" si="47"/>
        <v>CABO DE COBRE, FLEXIVEL, CLASSE 4 OU 5, ISOLACAO EM PVC/A, ANTICHAMA BWF-B, 1 CONDUTOR, 450/750 V, SECAO NOMINAL 35 MM2</v>
      </c>
    </row>
    <row r="761" spans="1:10" x14ac:dyDescent="0.25">
      <c r="A761" s="169">
        <v>981</v>
      </c>
      <c r="B761" s="169" t="s">
        <v>24138</v>
      </c>
      <c r="C761" s="169" t="s">
        <v>10229</v>
      </c>
      <c r="D761" s="169" t="s">
        <v>1288</v>
      </c>
      <c r="E761" s="103" t="s">
        <v>16376</v>
      </c>
      <c r="F761" s="104"/>
      <c r="G761" s="105">
        <f t="shared" si="44"/>
        <v>4.01</v>
      </c>
      <c r="H761" s="101" t="str">
        <f t="shared" si="45"/>
        <v>Sinapi 981</v>
      </c>
      <c r="I761" s="101" t="str">
        <f t="shared" si="46"/>
        <v>M</v>
      </c>
      <c r="J761" s="140" t="str">
        <f t="shared" si="47"/>
        <v>CABO DE COBRE, FLEXIVEL, CLASSE 4 OU 5, ISOLACAO EM PVC/A, ANTICHAMA BWF-B, 1 CONDUTOR, 450/750 V, SECAO NOMINAL 4 MM2</v>
      </c>
    </row>
    <row r="762" spans="1:10" x14ac:dyDescent="0.25">
      <c r="A762" s="169">
        <v>39234</v>
      </c>
      <c r="B762" s="169" t="s">
        <v>24139</v>
      </c>
      <c r="C762" s="169" t="s">
        <v>10229</v>
      </c>
      <c r="D762" s="169" t="s">
        <v>1289</v>
      </c>
      <c r="E762" s="103" t="s">
        <v>21377</v>
      </c>
      <c r="F762" s="104"/>
      <c r="G762" s="105">
        <f t="shared" si="44"/>
        <v>50.01</v>
      </c>
      <c r="H762" s="101" t="str">
        <f t="shared" si="45"/>
        <v>Sinapi 39234</v>
      </c>
      <c r="I762" s="101" t="str">
        <f t="shared" si="46"/>
        <v>M</v>
      </c>
      <c r="J762" s="140" t="str">
        <f t="shared" si="47"/>
        <v>CABO DE COBRE, FLEXIVEL, CLASSE 4 OU 5, ISOLACAO EM PVC/A, ANTICHAMA BWF-B, 1 CONDUTOR, 450/750 V, SECAO NOMINAL 50 MM2</v>
      </c>
    </row>
    <row r="763" spans="1:10" x14ac:dyDescent="0.25">
      <c r="A763" s="169">
        <v>982</v>
      </c>
      <c r="B763" s="169" t="s">
        <v>24140</v>
      </c>
      <c r="C763" s="169" t="s">
        <v>10229</v>
      </c>
      <c r="D763" s="169" t="s">
        <v>1289</v>
      </c>
      <c r="E763" s="103" t="s">
        <v>14627</v>
      </c>
      <c r="F763" s="104"/>
      <c r="G763" s="105">
        <f t="shared" si="44"/>
        <v>5.76</v>
      </c>
      <c r="H763" s="101" t="str">
        <f t="shared" si="45"/>
        <v>Sinapi 982</v>
      </c>
      <c r="I763" s="101" t="str">
        <f t="shared" si="46"/>
        <v>M</v>
      </c>
      <c r="J763" s="140" t="str">
        <f t="shared" si="47"/>
        <v>CABO DE COBRE, FLEXIVEL, CLASSE 4 OU 5, ISOLACAO EM PVC/A, ANTICHAMA BWF-B, 1 CONDUTOR, 450/750 V, SECAO NOMINAL 6 MM2</v>
      </c>
    </row>
    <row r="764" spans="1:10" x14ac:dyDescent="0.25">
      <c r="A764" s="169">
        <v>39235</v>
      </c>
      <c r="B764" s="169" t="s">
        <v>24141</v>
      </c>
      <c r="C764" s="169" t="s">
        <v>10229</v>
      </c>
      <c r="D764" s="169" t="s">
        <v>1289</v>
      </c>
      <c r="E764" s="103" t="s">
        <v>29857</v>
      </c>
      <c r="F764" s="104"/>
      <c r="G764" s="105">
        <f t="shared" si="44"/>
        <v>73.760000000000005</v>
      </c>
      <c r="H764" s="101" t="str">
        <f t="shared" si="45"/>
        <v>Sinapi 39235</v>
      </c>
      <c r="I764" s="101" t="str">
        <f t="shared" si="46"/>
        <v>M</v>
      </c>
      <c r="J764" s="140" t="str">
        <f t="shared" si="47"/>
        <v>CABO DE COBRE, FLEXIVEL, CLASSE 4 OU 5, ISOLACAO EM PVC/A, ANTICHAMA BWF-B, 1 CONDUTOR, 450/750 V, SECAO NOMINAL 70 MM2</v>
      </c>
    </row>
    <row r="765" spans="1:10" x14ac:dyDescent="0.25">
      <c r="A765" s="169">
        <v>39236</v>
      </c>
      <c r="B765" s="169" t="s">
        <v>24142</v>
      </c>
      <c r="C765" s="169" t="s">
        <v>10229</v>
      </c>
      <c r="D765" s="169" t="s">
        <v>1289</v>
      </c>
      <c r="E765" s="103" t="s">
        <v>28610</v>
      </c>
      <c r="F765" s="104"/>
      <c r="G765" s="105">
        <f t="shared" si="44"/>
        <v>97.75</v>
      </c>
      <c r="H765" s="101" t="str">
        <f t="shared" si="45"/>
        <v>Sinapi 39236</v>
      </c>
      <c r="I765" s="101" t="str">
        <f t="shared" si="46"/>
        <v>M</v>
      </c>
      <c r="J765" s="140" t="str">
        <f t="shared" si="47"/>
        <v>CABO DE COBRE, FLEXIVEL, CLASSE 4 OU 5, ISOLACAO EM PVC/A, ANTICHAMA BWF-B, 1 CONDUTOR, 450/750 V, SECAO NOMINAL 95 MM2</v>
      </c>
    </row>
    <row r="766" spans="1:10" x14ac:dyDescent="0.25">
      <c r="A766" s="169">
        <v>990</v>
      </c>
      <c r="B766" s="169" t="s">
        <v>24143</v>
      </c>
      <c r="C766" s="169" t="s">
        <v>10229</v>
      </c>
      <c r="D766" s="169" t="s">
        <v>1289</v>
      </c>
      <c r="E766" s="103" t="s">
        <v>29858</v>
      </c>
      <c r="F766" s="104"/>
      <c r="G766" s="105">
        <f t="shared" si="44"/>
        <v>173.45</v>
      </c>
      <c r="H766" s="101" t="str">
        <f t="shared" si="45"/>
        <v>Sinapi 990</v>
      </c>
      <c r="I766" s="101" t="str">
        <f t="shared" si="46"/>
        <v>M</v>
      </c>
      <c r="J766" s="140" t="str">
        <f t="shared" si="47"/>
        <v>CABO DE COBRE, RIGIDO, CLASSE 2, ISOLACAO EM PVC/A, ANTICHAMA BWF-B, 1 CONDUTOR, 450/750 V, SECAO NOMINAL 150 MM2</v>
      </c>
    </row>
    <row r="767" spans="1:10" x14ac:dyDescent="0.25">
      <c r="A767" s="169">
        <v>39241</v>
      </c>
      <c r="B767" s="169" t="s">
        <v>24144</v>
      </c>
      <c r="C767" s="169" t="s">
        <v>10229</v>
      </c>
      <c r="D767" s="169" t="s">
        <v>1289</v>
      </c>
      <c r="E767" s="103" t="s">
        <v>15511</v>
      </c>
      <c r="F767" s="104"/>
      <c r="G767" s="105">
        <f t="shared" si="44"/>
        <v>17.07</v>
      </c>
      <c r="H767" s="101" t="str">
        <f t="shared" si="45"/>
        <v>Sinapi 39241</v>
      </c>
      <c r="I767" s="101" t="str">
        <f t="shared" si="46"/>
        <v>M</v>
      </c>
      <c r="J767" s="140" t="str">
        <f t="shared" si="47"/>
        <v>CABO DE COBRE, RIGIDO, CLASSE 2, ISOLACAO EM PVC/A, ANTICHAMA BWF-B, 1 CONDUTOR, 450/750 V, SECAO NOMINAL 16 MM2</v>
      </c>
    </row>
    <row r="768" spans="1:10" x14ac:dyDescent="0.25">
      <c r="A768" s="169">
        <v>1005</v>
      </c>
      <c r="B768" s="169" t="s">
        <v>24145</v>
      </c>
      <c r="C768" s="169" t="s">
        <v>10229</v>
      </c>
      <c r="D768" s="169" t="s">
        <v>1289</v>
      </c>
      <c r="E768" s="103" t="s">
        <v>29859</v>
      </c>
      <c r="F768" s="104"/>
      <c r="G768" s="105">
        <f t="shared" si="44"/>
        <v>215.95</v>
      </c>
      <c r="H768" s="101" t="str">
        <f t="shared" si="45"/>
        <v>Sinapi 1005</v>
      </c>
      <c r="I768" s="101" t="str">
        <f t="shared" si="46"/>
        <v>M</v>
      </c>
      <c r="J768" s="140" t="str">
        <f t="shared" si="47"/>
        <v>CABO DE COBRE, RIGIDO, CLASSE 2, ISOLACAO EM PVC/A, ANTICHAMA BWF-B, 1 CONDUTOR, 450/750 V, SECAO NOMINAL 185 MM2</v>
      </c>
    </row>
    <row r="769" spans="1:10" x14ac:dyDescent="0.25">
      <c r="A769" s="169">
        <v>991</v>
      </c>
      <c r="B769" s="169" t="s">
        <v>24146</v>
      </c>
      <c r="C769" s="169" t="s">
        <v>10229</v>
      </c>
      <c r="D769" s="169" t="s">
        <v>1289</v>
      </c>
      <c r="E769" s="103" t="s">
        <v>29860</v>
      </c>
      <c r="F769" s="104"/>
      <c r="G769" s="105">
        <f t="shared" si="44"/>
        <v>282.85000000000002</v>
      </c>
      <c r="H769" s="101" t="str">
        <f t="shared" si="45"/>
        <v>Sinapi 991</v>
      </c>
      <c r="I769" s="101" t="str">
        <f t="shared" si="46"/>
        <v>M</v>
      </c>
      <c r="J769" s="140" t="str">
        <f t="shared" si="47"/>
        <v>CABO DE COBRE, RIGIDO, CLASSE 2, ISOLACAO EM PVC/A, ANTICHAMA BWF-B, 1 CONDUTOR, 450/750 V, SECAO NOMINAL 240 MM2</v>
      </c>
    </row>
    <row r="770" spans="1:10" x14ac:dyDescent="0.25">
      <c r="A770" s="169">
        <v>986</v>
      </c>
      <c r="B770" s="169" t="s">
        <v>24147</v>
      </c>
      <c r="C770" s="169" t="s">
        <v>10229</v>
      </c>
      <c r="D770" s="169" t="s">
        <v>1289</v>
      </c>
      <c r="E770" s="103" t="s">
        <v>29174</v>
      </c>
      <c r="F770" s="104"/>
      <c r="G770" s="105">
        <f t="shared" si="44"/>
        <v>26.98</v>
      </c>
      <c r="H770" s="101" t="str">
        <f t="shared" si="45"/>
        <v>Sinapi 986</v>
      </c>
      <c r="I770" s="101" t="str">
        <f t="shared" si="46"/>
        <v>M</v>
      </c>
      <c r="J770" s="140" t="str">
        <f t="shared" si="47"/>
        <v>CABO DE COBRE, RIGIDO, CLASSE 2, ISOLACAO EM PVC/A, ANTICHAMA BWF-B, 1 CONDUTOR, 450/750 V, SECAO NOMINAL 25 MM2</v>
      </c>
    </row>
    <row r="771" spans="1:10" x14ac:dyDescent="0.25">
      <c r="A771" s="169">
        <v>987</v>
      </c>
      <c r="B771" s="169" t="s">
        <v>24148</v>
      </c>
      <c r="C771" s="169" t="s">
        <v>10229</v>
      </c>
      <c r="D771" s="169" t="s">
        <v>1289</v>
      </c>
      <c r="E771" s="103" t="s">
        <v>19364</v>
      </c>
      <c r="F771" s="104"/>
      <c r="G771" s="105">
        <f t="shared" si="44"/>
        <v>36.93</v>
      </c>
      <c r="H771" s="101" t="str">
        <f t="shared" si="45"/>
        <v>Sinapi 987</v>
      </c>
      <c r="I771" s="101" t="str">
        <f t="shared" si="46"/>
        <v>M</v>
      </c>
      <c r="J771" s="140" t="str">
        <f t="shared" si="47"/>
        <v>CABO DE COBRE, RIGIDO, CLASSE 2, ISOLACAO EM PVC/A, ANTICHAMA BWF-B, 1 CONDUTOR, 450/750 V, SECAO NOMINAL 35 MM2</v>
      </c>
    </row>
    <row r="772" spans="1:10" x14ac:dyDescent="0.25">
      <c r="A772" s="169">
        <v>1007</v>
      </c>
      <c r="B772" s="169" t="s">
        <v>24149</v>
      </c>
      <c r="C772" s="169" t="s">
        <v>10229</v>
      </c>
      <c r="D772" s="169" t="s">
        <v>1289</v>
      </c>
      <c r="E772" s="103" t="s">
        <v>18628</v>
      </c>
      <c r="F772" s="104"/>
      <c r="G772" s="105">
        <f t="shared" si="44"/>
        <v>51.12</v>
      </c>
      <c r="H772" s="101" t="str">
        <f t="shared" si="45"/>
        <v>Sinapi 1007</v>
      </c>
      <c r="I772" s="101" t="str">
        <f t="shared" si="46"/>
        <v>M</v>
      </c>
      <c r="J772" s="140" t="str">
        <f t="shared" si="47"/>
        <v>CABO DE COBRE, RIGIDO, CLASSE 2, ISOLACAO EM PVC/A, ANTICHAMA BWF-B, 1 CONDUTOR, 450/750 V, SECAO NOMINAL 50 MM2</v>
      </c>
    </row>
    <row r="773" spans="1:10" x14ac:dyDescent="0.25">
      <c r="A773" s="169">
        <v>1008</v>
      </c>
      <c r="B773" s="169" t="s">
        <v>24150</v>
      </c>
      <c r="C773" s="169" t="s">
        <v>10229</v>
      </c>
      <c r="D773" s="169" t="s">
        <v>1289</v>
      </c>
      <c r="E773" s="103" t="s">
        <v>19404</v>
      </c>
      <c r="F773" s="104"/>
      <c r="G773" s="105">
        <f t="shared" si="44"/>
        <v>6.49</v>
      </c>
      <c r="H773" s="101" t="str">
        <f t="shared" si="45"/>
        <v>Sinapi 1008</v>
      </c>
      <c r="I773" s="101" t="str">
        <f t="shared" si="46"/>
        <v>M</v>
      </c>
      <c r="J773" s="140" t="str">
        <f t="shared" si="47"/>
        <v>CABO DE COBRE, RIGIDO, CLASSE 2, ISOLACAO EM PVC/A, ANTICHAMA BWF-B, 1 CONDUTOR, 450/750 V, SECAO NOMINAL 6 MM2</v>
      </c>
    </row>
    <row r="774" spans="1:10" x14ac:dyDescent="0.25">
      <c r="A774" s="169">
        <v>988</v>
      </c>
      <c r="B774" s="169" t="s">
        <v>24151</v>
      </c>
      <c r="C774" s="169" t="s">
        <v>10229</v>
      </c>
      <c r="D774" s="169" t="s">
        <v>1289</v>
      </c>
      <c r="E774" s="103" t="s">
        <v>29861</v>
      </c>
      <c r="F774" s="104"/>
      <c r="G774" s="105">
        <f t="shared" si="44"/>
        <v>70.489999999999995</v>
      </c>
      <c r="H774" s="101" t="str">
        <f t="shared" si="45"/>
        <v>Sinapi 988</v>
      </c>
      <c r="I774" s="101" t="str">
        <f t="shared" si="46"/>
        <v>M</v>
      </c>
      <c r="J774" s="140" t="str">
        <f t="shared" si="47"/>
        <v>CABO DE COBRE, RIGIDO, CLASSE 2, ISOLACAO EM PVC/A, ANTICHAMA BWF-B, 1 CONDUTOR, 450/750 V, SECAO NOMINAL 70 MM2</v>
      </c>
    </row>
    <row r="775" spans="1:10" x14ac:dyDescent="0.25">
      <c r="A775" s="169">
        <v>989</v>
      </c>
      <c r="B775" s="169" t="s">
        <v>24152</v>
      </c>
      <c r="C775" s="169" t="s">
        <v>10229</v>
      </c>
      <c r="D775" s="169" t="s">
        <v>1289</v>
      </c>
      <c r="E775" s="103" t="s">
        <v>29862</v>
      </c>
      <c r="F775" s="104"/>
      <c r="G775" s="105">
        <f t="shared" si="44"/>
        <v>97.3</v>
      </c>
      <c r="H775" s="101" t="str">
        <f t="shared" si="45"/>
        <v>Sinapi 989</v>
      </c>
      <c r="I775" s="101" t="str">
        <f t="shared" si="46"/>
        <v>M</v>
      </c>
      <c r="J775" s="140" t="str">
        <f t="shared" si="47"/>
        <v>CABO DE COBRE, RIGIDO, CLASSE 2, ISOLACAO EM PVC/A, ANTICHAMA BWF-B, 1 CONDUTOR, 450/750 V, SECAO NOMINAL 95 MM2</v>
      </c>
    </row>
    <row r="776" spans="1:10" x14ac:dyDescent="0.25">
      <c r="A776" s="169">
        <v>1006</v>
      </c>
      <c r="B776" s="169" t="s">
        <v>24153</v>
      </c>
      <c r="C776" s="169" t="s">
        <v>10229</v>
      </c>
      <c r="D776" s="169" t="s">
        <v>1289</v>
      </c>
      <c r="E776" s="103" t="s">
        <v>29863</v>
      </c>
      <c r="F776" s="104"/>
      <c r="G776" s="105">
        <f t="shared" ref="G776:G839" si="48">IF(E776="","",E776+0)</f>
        <v>130.44</v>
      </c>
      <c r="H776" s="101" t="str">
        <f t="shared" ref="H776:H839" si="49">IF(G776="","",TRIM(CONCATENATE("Sinapi ",A776)))</f>
        <v>Sinapi 1006</v>
      </c>
      <c r="I776" s="101" t="str">
        <f t="shared" ref="I776:I839" si="50">TRIM(C776)</f>
        <v>M</v>
      </c>
      <c r="J776" s="140" t="str">
        <f t="shared" si="47"/>
        <v>CABO DE COBRE, RIGIDO, CLASSE 2, ISOLACAO EM PVC, ANTI-CHAMA BWF-B, 1 CONDUTOR, 450/750 V, DIAMETRO 120 MM2</v>
      </c>
    </row>
    <row r="777" spans="1:10" x14ac:dyDescent="0.25">
      <c r="A777" s="169">
        <v>43972</v>
      </c>
      <c r="B777" s="169" t="s">
        <v>24154</v>
      </c>
      <c r="C777" s="169" t="s">
        <v>10229</v>
      </c>
      <c r="D777" s="169" t="s">
        <v>1289</v>
      </c>
      <c r="E777" s="103" t="s">
        <v>22733</v>
      </c>
      <c r="F777" s="104"/>
      <c r="G777" s="105">
        <f t="shared" si="48"/>
        <v>3.82</v>
      </c>
      <c r="H777" s="101" t="str">
        <f t="shared" si="49"/>
        <v>Sinapi 43972</v>
      </c>
      <c r="I777" s="101" t="str">
        <f t="shared" si="50"/>
        <v>M</v>
      </c>
      <c r="J777" s="140" t="str">
        <f t="shared" ref="J777:J840" si="51">TRIM(B777)</f>
        <v>CABO DE REDE, PAR TRANCADO U/UTP, 4 PARES, CATEGORIA 5E (CAT 5E), ISOLAMENTO PVC (CM)</v>
      </c>
    </row>
    <row r="778" spans="1:10" x14ac:dyDescent="0.25">
      <c r="A778" s="169">
        <v>43971</v>
      </c>
      <c r="B778" s="169" t="s">
        <v>24155</v>
      </c>
      <c r="C778" s="169" t="s">
        <v>10229</v>
      </c>
      <c r="D778" s="169" t="s">
        <v>1288</v>
      </c>
      <c r="E778" s="103" t="s">
        <v>29864</v>
      </c>
      <c r="F778" s="104"/>
      <c r="G778" s="105">
        <f t="shared" si="48"/>
        <v>2.92</v>
      </c>
      <c r="H778" s="101" t="str">
        <f t="shared" si="49"/>
        <v>Sinapi 43971</v>
      </c>
      <c r="I778" s="101" t="str">
        <f t="shared" si="50"/>
        <v>M</v>
      </c>
      <c r="J778" s="140" t="str">
        <f t="shared" si="51"/>
        <v>CABO DE REDE, PAR TRANCADO U/UTP, 4 PARES, CATEGORIA 5E (CAT 5E), ISOLAMENTO PVC (CMX)</v>
      </c>
    </row>
    <row r="779" spans="1:10" x14ac:dyDescent="0.25">
      <c r="A779" s="169">
        <v>39598</v>
      </c>
      <c r="B779" s="169" t="s">
        <v>24156</v>
      </c>
      <c r="C779" s="169" t="s">
        <v>10229</v>
      </c>
      <c r="D779" s="169" t="s">
        <v>1289</v>
      </c>
      <c r="E779" s="103" t="s">
        <v>5225</v>
      </c>
      <c r="F779" s="104"/>
      <c r="G779" s="105">
        <f t="shared" si="48"/>
        <v>5.41</v>
      </c>
      <c r="H779" s="101" t="str">
        <f t="shared" si="49"/>
        <v>Sinapi 39598</v>
      </c>
      <c r="I779" s="101" t="str">
        <f t="shared" si="50"/>
        <v>M</v>
      </c>
      <c r="J779" s="140" t="str">
        <f t="shared" si="51"/>
        <v>CABO DE REDE, PAR TRANCADO U/UTP, 4 PARES, CATEGORIA 5E (CAT 5E), ISOLAMENTO PVC (LSZH)</v>
      </c>
    </row>
    <row r="780" spans="1:10" x14ac:dyDescent="0.25">
      <c r="A780" s="169">
        <v>43973</v>
      </c>
      <c r="B780" s="169" t="s">
        <v>24157</v>
      </c>
      <c r="C780" s="169" t="s">
        <v>10229</v>
      </c>
      <c r="D780" s="169" t="s">
        <v>1289</v>
      </c>
      <c r="E780" s="103" t="s">
        <v>7415</v>
      </c>
      <c r="F780" s="104"/>
      <c r="G780" s="105">
        <f t="shared" si="48"/>
        <v>4</v>
      </c>
      <c r="H780" s="101" t="str">
        <f t="shared" si="49"/>
        <v>Sinapi 43973</v>
      </c>
      <c r="I780" s="101" t="str">
        <f t="shared" si="50"/>
        <v>M</v>
      </c>
      <c r="J780" s="140" t="str">
        <f t="shared" si="51"/>
        <v>CABO DE REDE, PAR TRANCADO U/UTP, 4 PARES, CATEGORIA 6 (CAT 6), ISOLAMENTO PVC (CM)</v>
      </c>
    </row>
    <row r="781" spans="1:10" x14ac:dyDescent="0.25">
      <c r="A781" s="169">
        <v>39599</v>
      </c>
      <c r="B781" s="169" t="s">
        <v>24159</v>
      </c>
      <c r="C781" s="169" t="s">
        <v>10229</v>
      </c>
      <c r="D781" s="169" t="s">
        <v>1289</v>
      </c>
      <c r="E781" s="103" t="s">
        <v>19933</v>
      </c>
      <c r="F781" s="104"/>
      <c r="G781" s="105">
        <f t="shared" si="48"/>
        <v>7.79</v>
      </c>
      <c r="H781" s="101" t="str">
        <f t="shared" si="49"/>
        <v>Sinapi 39599</v>
      </c>
      <c r="I781" s="101" t="str">
        <f t="shared" si="50"/>
        <v>M</v>
      </c>
      <c r="J781" s="140" t="str">
        <f t="shared" si="51"/>
        <v>CABO DE REDE, PAR TRANCADO UTP, 4 PARES, CATEGORIA 6 (CAT 6), ISOLAMENTO PVC (LSZH)</v>
      </c>
    </row>
    <row r="782" spans="1:10" x14ac:dyDescent="0.25">
      <c r="A782" s="169">
        <v>43832</v>
      </c>
      <c r="B782" s="169" t="s">
        <v>24160</v>
      </c>
      <c r="C782" s="169" t="s">
        <v>10229</v>
      </c>
      <c r="D782" s="169" t="s">
        <v>1289</v>
      </c>
      <c r="E782" s="103" t="s">
        <v>29865</v>
      </c>
      <c r="F782" s="104"/>
      <c r="G782" s="105">
        <f t="shared" si="48"/>
        <v>20.52</v>
      </c>
      <c r="H782" s="101" t="str">
        <f t="shared" si="49"/>
        <v>Sinapi 43832</v>
      </c>
      <c r="I782" s="101" t="str">
        <f t="shared" si="50"/>
        <v>M</v>
      </c>
      <c r="J782" s="140" t="str">
        <f t="shared" si="51"/>
        <v>CABO ELETRONICO CATEGORIA 6A U/UTP 23AWG X 4P</v>
      </c>
    </row>
    <row r="783" spans="1:10" x14ac:dyDescent="0.25">
      <c r="A783" s="169">
        <v>34602</v>
      </c>
      <c r="B783" s="169" t="s">
        <v>24161</v>
      </c>
      <c r="C783" s="169" t="s">
        <v>10229</v>
      </c>
      <c r="D783" s="169" t="s">
        <v>1289</v>
      </c>
      <c r="E783" s="103" t="s">
        <v>29020</v>
      </c>
      <c r="F783" s="104"/>
      <c r="G783" s="105">
        <f t="shared" si="48"/>
        <v>4.46</v>
      </c>
      <c r="H783" s="101" t="str">
        <f t="shared" si="49"/>
        <v>Sinapi 34602</v>
      </c>
      <c r="I783" s="101" t="str">
        <f t="shared" si="50"/>
        <v>M</v>
      </c>
      <c r="J783" s="140" t="str">
        <f t="shared" si="51"/>
        <v>CABO FLEXIVEL PVC 750 V, 2 CONDUTORES DE 1,5 MM2</v>
      </c>
    </row>
    <row r="784" spans="1:10" x14ac:dyDescent="0.25">
      <c r="A784" s="169">
        <v>34607</v>
      </c>
      <c r="B784" s="169" t="s">
        <v>24162</v>
      </c>
      <c r="C784" s="169" t="s">
        <v>10229</v>
      </c>
      <c r="D784" s="169" t="s">
        <v>1289</v>
      </c>
      <c r="E784" s="103" t="s">
        <v>10245</v>
      </c>
      <c r="F784" s="104"/>
      <c r="G784" s="105">
        <f t="shared" si="48"/>
        <v>10.94</v>
      </c>
      <c r="H784" s="101" t="str">
        <f t="shared" si="49"/>
        <v>Sinapi 34607</v>
      </c>
      <c r="I784" s="101" t="str">
        <f t="shared" si="50"/>
        <v>M</v>
      </c>
      <c r="J784" s="140" t="str">
        <f t="shared" si="51"/>
        <v>CABO FLEXIVEL PVC 750 V, 2 CONDUTORES DE 4,0 MM2</v>
      </c>
    </row>
    <row r="785" spans="1:10" x14ac:dyDescent="0.25">
      <c r="A785" s="169">
        <v>34609</v>
      </c>
      <c r="B785" s="169" t="s">
        <v>24163</v>
      </c>
      <c r="C785" s="169" t="s">
        <v>10229</v>
      </c>
      <c r="D785" s="169" t="s">
        <v>1289</v>
      </c>
      <c r="E785" s="103" t="s">
        <v>23052</v>
      </c>
      <c r="F785" s="104"/>
      <c r="G785" s="105">
        <f t="shared" si="48"/>
        <v>15.91</v>
      </c>
      <c r="H785" s="101" t="str">
        <f t="shared" si="49"/>
        <v>Sinapi 34609</v>
      </c>
      <c r="I785" s="101" t="str">
        <f t="shared" si="50"/>
        <v>M</v>
      </c>
      <c r="J785" s="140" t="str">
        <f t="shared" si="51"/>
        <v>CABO FLEXIVEL PVC 750 V, 2 CONDUTORES DE 6,0 MM2</v>
      </c>
    </row>
    <row r="786" spans="1:10" x14ac:dyDescent="0.25">
      <c r="A786" s="169">
        <v>34618</v>
      </c>
      <c r="B786" s="169" t="s">
        <v>24164</v>
      </c>
      <c r="C786" s="169" t="s">
        <v>10229</v>
      </c>
      <c r="D786" s="169" t="s">
        <v>1289</v>
      </c>
      <c r="E786" s="103" t="s">
        <v>21716</v>
      </c>
      <c r="F786" s="104"/>
      <c r="G786" s="105">
        <f t="shared" si="48"/>
        <v>6.08</v>
      </c>
      <c r="H786" s="101" t="str">
        <f t="shared" si="49"/>
        <v>Sinapi 34618</v>
      </c>
      <c r="I786" s="101" t="str">
        <f t="shared" si="50"/>
        <v>M</v>
      </c>
      <c r="J786" s="140" t="str">
        <f t="shared" si="51"/>
        <v>CABO FLEXIVEL PVC 750 V, 3 CONDUTORES DE 1,5 MM2</v>
      </c>
    </row>
    <row r="787" spans="1:10" x14ac:dyDescent="0.25">
      <c r="A787" s="169">
        <v>34621</v>
      </c>
      <c r="B787" s="169" t="s">
        <v>24165</v>
      </c>
      <c r="C787" s="169" t="s">
        <v>10229</v>
      </c>
      <c r="D787" s="169" t="s">
        <v>1289</v>
      </c>
      <c r="E787" s="103" t="s">
        <v>7284</v>
      </c>
      <c r="F787" s="104"/>
      <c r="G787" s="105">
        <f t="shared" si="48"/>
        <v>15.08</v>
      </c>
      <c r="H787" s="101" t="str">
        <f t="shared" si="49"/>
        <v>Sinapi 34621</v>
      </c>
      <c r="I787" s="101" t="str">
        <f t="shared" si="50"/>
        <v>M</v>
      </c>
      <c r="J787" s="140" t="str">
        <f t="shared" si="51"/>
        <v>CABO FLEXIVEL PVC 750 V, 3 CONDUTORES DE 4,0 MM2</v>
      </c>
    </row>
    <row r="788" spans="1:10" x14ac:dyDescent="0.25">
      <c r="A788" s="169">
        <v>34622</v>
      </c>
      <c r="B788" s="169" t="s">
        <v>24166</v>
      </c>
      <c r="C788" s="169" t="s">
        <v>10229</v>
      </c>
      <c r="D788" s="169" t="s">
        <v>1289</v>
      </c>
      <c r="E788" s="103" t="s">
        <v>29866</v>
      </c>
      <c r="F788" s="104"/>
      <c r="G788" s="105">
        <f t="shared" si="48"/>
        <v>22.4</v>
      </c>
      <c r="H788" s="101" t="str">
        <f t="shared" si="49"/>
        <v>Sinapi 34622</v>
      </c>
      <c r="I788" s="101" t="str">
        <f t="shared" si="50"/>
        <v>M</v>
      </c>
      <c r="J788" s="140" t="str">
        <f t="shared" si="51"/>
        <v>CABO FLEXIVEL PVC 750 V, 3 CONDUTORES DE 6,0 MM2</v>
      </c>
    </row>
    <row r="789" spans="1:10" x14ac:dyDescent="0.25">
      <c r="A789" s="169">
        <v>34624</v>
      </c>
      <c r="B789" s="169" t="s">
        <v>24167</v>
      </c>
      <c r="C789" s="169" t="s">
        <v>10229</v>
      </c>
      <c r="D789" s="169" t="s">
        <v>1289</v>
      </c>
      <c r="E789" s="103" t="s">
        <v>5267</v>
      </c>
      <c r="F789" s="104"/>
      <c r="G789" s="105">
        <f t="shared" si="48"/>
        <v>8.1199999999999992</v>
      </c>
      <c r="H789" s="101" t="str">
        <f t="shared" si="49"/>
        <v>Sinapi 34624</v>
      </c>
      <c r="I789" s="101" t="str">
        <f t="shared" si="50"/>
        <v>M</v>
      </c>
      <c r="J789" s="140" t="str">
        <f t="shared" si="51"/>
        <v>CABO FLEXIVEL PVC 750 V, 4 CONDUTORES DE 1,5 MM2</v>
      </c>
    </row>
    <row r="790" spans="1:10" x14ac:dyDescent="0.25">
      <c r="A790" s="169">
        <v>34627</v>
      </c>
      <c r="B790" s="169" t="s">
        <v>24168</v>
      </c>
      <c r="C790" s="169" t="s">
        <v>10229</v>
      </c>
      <c r="D790" s="169" t="s">
        <v>1289</v>
      </c>
      <c r="E790" s="103" t="s">
        <v>5491</v>
      </c>
      <c r="F790" s="104"/>
      <c r="G790" s="105">
        <f t="shared" si="48"/>
        <v>19.59</v>
      </c>
      <c r="H790" s="101" t="str">
        <f t="shared" si="49"/>
        <v>Sinapi 34627</v>
      </c>
      <c r="I790" s="101" t="str">
        <f t="shared" si="50"/>
        <v>M</v>
      </c>
      <c r="J790" s="140" t="str">
        <f t="shared" si="51"/>
        <v>CABO FLEXIVEL PVC 750 V, 4 CONDUTORES DE 4,0 MM2</v>
      </c>
    </row>
    <row r="791" spans="1:10" x14ac:dyDescent="0.25">
      <c r="A791" s="169">
        <v>34629</v>
      </c>
      <c r="B791" s="169" t="s">
        <v>24169</v>
      </c>
      <c r="C791" s="169" t="s">
        <v>10229</v>
      </c>
      <c r="D791" s="169" t="s">
        <v>1289</v>
      </c>
      <c r="E791" s="103" t="s">
        <v>29867</v>
      </c>
      <c r="F791" s="104"/>
      <c r="G791" s="105">
        <f t="shared" si="48"/>
        <v>29.93</v>
      </c>
      <c r="H791" s="101" t="str">
        <f t="shared" si="49"/>
        <v>Sinapi 34629</v>
      </c>
      <c r="I791" s="101" t="str">
        <f t="shared" si="50"/>
        <v>M</v>
      </c>
      <c r="J791" s="140" t="str">
        <f t="shared" si="51"/>
        <v>CABO FLEXIVEL PVC 750 V, 4 CONDUTORES DE 6,0 MM2</v>
      </c>
    </row>
    <row r="792" spans="1:10" x14ac:dyDescent="0.25">
      <c r="A792" s="169">
        <v>39257</v>
      </c>
      <c r="B792" s="169" t="s">
        <v>24170</v>
      </c>
      <c r="C792" s="169" t="s">
        <v>10229</v>
      </c>
      <c r="D792" s="169" t="s">
        <v>1289</v>
      </c>
      <c r="E792" s="103" t="s">
        <v>25892</v>
      </c>
      <c r="F792" s="104"/>
      <c r="G792" s="105">
        <f t="shared" si="48"/>
        <v>6.09</v>
      </c>
      <c r="H792" s="101" t="str">
        <f t="shared" si="49"/>
        <v>Sinapi 39257</v>
      </c>
      <c r="I792" s="101" t="str">
        <f t="shared" si="50"/>
        <v>M</v>
      </c>
      <c r="J792" s="140" t="str">
        <f t="shared" si="51"/>
        <v>CABO MULTIPOLAR DE COBRE, FLEXIVEL, CLASSE 4 OU 5, ISOLACAO EM HEPR, COBERTURA EM PVC-ST2, ANTICHAMA BWF-B, 0,6/1 KV, 3 CONDUTORES DE 1,5 MM2</v>
      </c>
    </row>
    <row r="793" spans="1:10" x14ac:dyDescent="0.25">
      <c r="A793" s="169">
        <v>39261</v>
      </c>
      <c r="B793" s="169" t="s">
        <v>24171</v>
      </c>
      <c r="C793" s="169" t="s">
        <v>10229</v>
      </c>
      <c r="D793" s="169" t="s">
        <v>1289</v>
      </c>
      <c r="E793" s="103" t="s">
        <v>28775</v>
      </c>
      <c r="F793" s="104"/>
      <c r="G793" s="105">
        <f t="shared" si="48"/>
        <v>34.869999999999997</v>
      </c>
      <c r="H793" s="101" t="str">
        <f t="shared" si="49"/>
        <v>Sinapi 39261</v>
      </c>
      <c r="I793" s="101" t="str">
        <f t="shared" si="50"/>
        <v>M</v>
      </c>
      <c r="J793" s="140" t="str">
        <f t="shared" si="51"/>
        <v>CABO MULTIPOLAR DE COBRE, FLEXIVEL, CLASSE 4 OU 5, ISOLACAO EM HEPR, COBERTURA EM PVC-ST2, ANTICHAMA BWF-B, 0,6/1 KV, 3 CONDUTORES DE 10 MM2</v>
      </c>
    </row>
    <row r="794" spans="1:10" x14ac:dyDescent="0.25">
      <c r="A794" s="169">
        <v>39268</v>
      </c>
      <c r="B794" s="169" t="s">
        <v>24172</v>
      </c>
      <c r="C794" s="169" t="s">
        <v>10229</v>
      </c>
      <c r="D794" s="169" t="s">
        <v>1289</v>
      </c>
      <c r="E794" s="103" t="s">
        <v>29868</v>
      </c>
      <c r="F794" s="104"/>
      <c r="G794" s="105">
        <f t="shared" si="48"/>
        <v>545.04</v>
      </c>
      <c r="H794" s="101" t="str">
        <f t="shared" si="49"/>
        <v>Sinapi 39268</v>
      </c>
      <c r="I794" s="101" t="str">
        <f t="shared" si="50"/>
        <v>M</v>
      </c>
      <c r="J794" s="140" t="str">
        <f t="shared" si="51"/>
        <v>CABO MULTIPOLAR DE COBRE, FLEXIVEL, CLASSE 4 OU 5, ISOLACAO EM HEPR, COBERTURA EM PVC-ST2, ANTICHAMA BWF-B, 0,6/1 KV, 3 CONDUTORES DE 120 MM2</v>
      </c>
    </row>
    <row r="795" spans="1:10" x14ac:dyDescent="0.25">
      <c r="A795" s="169">
        <v>39262</v>
      </c>
      <c r="B795" s="169" t="s">
        <v>24173</v>
      </c>
      <c r="C795" s="169" t="s">
        <v>10229</v>
      </c>
      <c r="D795" s="169" t="s">
        <v>1289</v>
      </c>
      <c r="E795" s="103" t="s">
        <v>23290</v>
      </c>
      <c r="F795" s="104"/>
      <c r="G795" s="105">
        <f t="shared" si="48"/>
        <v>55.53</v>
      </c>
      <c r="H795" s="101" t="str">
        <f t="shared" si="49"/>
        <v>Sinapi 39262</v>
      </c>
      <c r="I795" s="101" t="str">
        <f t="shared" si="50"/>
        <v>M</v>
      </c>
      <c r="J795" s="140" t="str">
        <f t="shared" si="51"/>
        <v>CABO MULTIPOLAR DE COBRE, FLEXIVEL, CLASSE 4 OU 5, ISOLACAO EM HEPR, COBERTURA EM PVC-ST2, ANTICHAMA BWF-B, 0,6/1 KV, 3 CONDUTORES DE 16 MM2</v>
      </c>
    </row>
    <row r="796" spans="1:10" x14ac:dyDescent="0.25">
      <c r="A796" s="169">
        <v>39258</v>
      </c>
      <c r="B796" s="169" t="s">
        <v>24174</v>
      </c>
      <c r="C796" s="169" t="s">
        <v>10229</v>
      </c>
      <c r="D796" s="169" t="s">
        <v>1289</v>
      </c>
      <c r="E796" s="103" t="s">
        <v>20121</v>
      </c>
      <c r="F796" s="104"/>
      <c r="G796" s="105">
        <f t="shared" si="48"/>
        <v>9.18</v>
      </c>
      <c r="H796" s="101" t="str">
        <f t="shared" si="49"/>
        <v>Sinapi 39258</v>
      </c>
      <c r="I796" s="101" t="str">
        <f t="shared" si="50"/>
        <v>M</v>
      </c>
      <c r="J796" s="140" t="str">
        <f t="shared" si="51"/>
        <v>CABO MULTIPOLAR DE COBRE, FLEXIVEL, CLASSE 4 OU 5, ISOLACAO EM HEPR, COBERTURA EM PVC-ST2, ANTICHAMA BWF-B, 0,6/1 KV, 3 CONDUTORES DE 2,5 MM2</v>
      </c>
    </row>
    <row r="797" spans="1:10" x14ac:dyDescent="0.25">
      <c r="A797" s="169">
        <v>39263</v>
      </c>
      <c r="B797" s="169" t="s">
        <v>24175</v>
      </c>
      <c r="C797" s="169" t="s">
        <v>10229</v>
      </c>
      <c r="D797" s="169" t="s">
        <v>1289</v>
      </c>
      <c r="E797" s="103" t="s">
        <v>29869</v>
      </c>
      <c r="F797" s="104"/>
      <c r="G797" s="105">
        <f t="shared" si="48"/>
        <v>96.02</v>
      </c>
      <c r="H797" s="101" t="str">
        <f t="shared" si="49"/>
        <v>Sinapi 39263</v>
      </c>
      <c r="I797" s="101" t="str">
        <f t="shared" si="50"/>
        <v>M</v>
      </c>
      <c r="J797" s="140" t="str">
        <f t="shared" si="51"/>
        <v>CABO MULTIPOLAR DE COBRE, FLEXIVEL, CLASSE 4 OU 5, ISOLACAO EM HEPR, COBERTURA EM PVC-ST2, ANTICHAMA BWF-B, 0,6/1 KV, 3 CONDUTORES DE 25 MM2</v>
      </c>
    </row>
    <row r="798" spans="1:10" x14ac:dyDescent="0.25">
      <c r="A798" s="169">
        <v>39264</v>
      </c>
      <c r="B798" s="169" t="s">
        <v>24176</v>
      </c>
      <c r="C798" s="169" t="s">
        <v>10229</v>
      </c>
      <c r="D798" s="169" t="s">
        <v>1289</v>
      </c>
      <c r="E798" s="103" t="s">
        <v>29446</v>
      </c>
      <c r="F798" s="104"/>
      <c r="G798" s="105">
        <f t="shared" si="48"/>
        <v>133.01</v>
      </c>
      <c r="H798" s="101" t="str">
        <f t="shared" si="49"/>
        <v>Sinapi 39264</v>
      </c>
      <c r="I798" s="101" t="str">
        <f t="shared" si="50"/>
        <v>M</v>
      </c>
      <c r="J798" s="140" t="str">
        <f t="shared" si="51"/>
        <v>CABO MULTIPOLAR DE COBRE, FLEXIVEL, CLASSE 4 OU 5, ISOLACAO EM HEPR, COBERTURA EM PVC-ST2, ANTICHAMA BWF-B, 0,6/1 KV, 3 CONDUTORES DE 35 MM2</v>
      </c>
    </row>
    <row r="799" spans="1:10" x14ac:dyDescent="0.25">
      <c r="A799" s="169">
        <v>39259</v>
      </c>
      <c r="B799" s="169" t="s">
        <v>24177</v>
      </c>
      <c r="C799" s="169" t="s">
        <v>10229</v>
      </c>
      <c r="D799" s="169" t="s">
        <v>1289</v>
      </c>
      <c r="E799" s="103" t="s">
        <v>21440</v>
      </c>
      <c r="F799" s="104"/>
      <c r="G799" s="105">
        <f t="shared" si="48"/>
        <v>14.14</v>
      </c>
      <c r="H799" s="101" t="str">
        <f t="shared" si="49"/>
        <v>Sinapi 39259</v>
      </c>
      <c r="I799" s="101" t="str">
        <f t="shared" si="50"/>
        <v>M</v>
      </c>
      <c r="J799" s="140" t="str">
        <f t="shared" si="51"/>
        <v>CABO MULTIPOLAR DE COBRE, FLEXIVEL, CLASSE 4 OU 5, ISOLACAO EM HEPR, COBERTURA EM PVC-ST2, ANTICHAMA BWF-B, 0,6/1 KV, 3 CONDUTORES DE 4 MM2</v>
      </c>
    </row>
    <row r="800" spans="1:10" x14ac:dyDescent="0.25">
      <c r="A800" s="169">
        <v>39265</v>
      </c>
      <c r="B800" s="169" t="s">
        <v>24178</v>
      </c>
      <c r="C800" s="169" t="s">
        <v>10229</v>
      </c>
      <c r="D800" s="169" t="s">
        <v>1289</v>
      </c>
      <c r="E800" s="103" t="s">
        <v>29870</v>
      </c>
      <c r="F800" s="104"/>
      <c r="G800" s="105">
        <f t="shared" si="48"/>
        <v>180.58</v>
      </c>
      <c r="H800" s="101" t="str">
        <f t="shared" si="49"/>
        <v>Sinapi 39265</v>
      </c>
      <c r="I800" s="101" t="str">
        <f t="shared" si="50"/>
        <v>M</v>
      </c>
      <c r="J800" s="140" t="str">
        <f t="shared" si="51"/>
        <v>CABO MULTIPOLAR DE COBRE, FLEXIVEL, CLASSE 4 OU 5, ISOLACAO EM HEPR, COBERTURA EM PVC-ST2, ANTICHAMA BWF-B, 0,6/1 KV, 3 CONDUTORES DE 50 MM2</v>
      </c>
    </row>
    <row r="801" spans="1:10" x14ac:dyDescent="0.25">
      <c r="A801" s="169">
        <v>39260</v>
      </c>
      <c r="B801" s="169" t="s">
        <v>24179</v>
      </c>
      <c r="C801" s="169" t="s">
        <v>10229</v>
      </c>
      <c r="D801" s="169" t="s">
        <v>1289</v>
      </c>
      <c r="E801" s="103" t="s">
        <v>21592</v>
      </c>
      <c r="F801" s="104"/>
      <c r="G801" s="105">
        <f t="shared" si="48"/>
        <v>21.64</v>
      </c>
      <c r="H801" s="101" t="str">
        <f t="shared" si="49"/>
        <v>Sinapi 39260</v>
      </c>
      <c r="I801" s="101" t="str">
        <f t="shared" si="50"/>
        <v>M</v>
      </c>
      <c r="J801" s="140" t="str">
        <f t="shared" si="51"/>
        <v>CABO MULTIPOLAR DE COBRE, FLEXIVEL, CLASSE 4 OU 5, ISOLACAO EM HEPR, COBERTURA EM PVC-ST2, ANTICHAMA BWF-B, 0,6/1 KV, 3 CONDUTORES DE 6 MM2</v>
      </c>
    </row>
    <row r="802" spans="1:10" x14ac:dyDescent="0.25">
      <c r="A802" s="169">
        <v>39266</v>
      </c>
      <c r="B802" s="169" t="s">
        <v>24180</v>
      </c>
      <c r="C802" s="169" t="s">
        <v>10229</v>
      </c>
      <c r="D802" s="169" t="s">
        <v>1289</v>
      </c>
      <c r="E802" s="103" t="s">
        <v>29871</v>
      </c>
      <c r="F802" s="104"/>
      <c r="G802" s="105">
        <f t="shared" si="48"/>
        <v>272.5</v>
      </c>
      <c r="H802" s="101" t="str">
        <f t="shared" si="49"/>
        <v>Sinapi 39266</v>
      </c>
      <c r="I802" s="101" t="str">
        <f t="shared" si="50"/>
        <v>M</v>
      </c>
      <c r="J802" s="140" t="str">
        <f t="shared" si="51"/>
        <v>CABO MULTIPOLAR DE COBRE, FLEXIVEL, CLASSE 4 OU 5, ISOLACAO EM HEPR, COBERTURA EM PVC-ST2, ANTICHAMA BWF-B, 0,6/1 KV, 3 CONDUTORES DE 70 MM2</v>
      </c>
    </row>
    <row r="803" spans="1:10" x14ac:dyDescent="0.25">
      <c r="A803" s="169">
        <v>39267</v>
      </c>
      <c r="B803" s="169" t="s">
        <v>24181</v>
      </c>
      <c r="C803" s="169" t="s">
        <v>10229</v>
      </c>
      <c r="D803" s="169" t="s">
        <v>1289</v>
      </c>
      <c r="E803" s="103" t="s">
        <v>29872</v>
      </c>
      <c r="F803" s="104"/>
      <c r="G803" s="105">
        <f t="shared" si="48"/>
        <v>340.69</v>
      </c>
      <c r="H803" s="101" t="str">
        <f t="shared" si="49"/>
        <v>Sinapi 39267</v>
      </c>
      <c r="I803" s="101" t="str">
        <f t="shared" si="50"/>
        <v>M</v>
      </c>
      <c r="J803" s="140" t="str">
        <f t="shared" si="51"/>
        <v>CABO MULTIPOLAR DE COBRE, FLEXIVEL, CLASSE 4 OU 5, ISOLACAO EM HEPR, COBERTURA EM PVC-ST2, ANTICHAMA BWF-B, 0,6/1 KV, 3 CONDUTORES DE 95 MM2</v>
      </c>
    </row>
    <row r="804" spans="1:10" x14ac:dyDescent="0.25">
      <c r="A804" s="169">
        <v>11901</v>
      </c>
      <c r="B804" s="169" t="s">
        <v>24182</v>
      </c>
      <c r="C804" s="169" t="s">
        <v>10229</v>
      </c>
      <c r="D804" s="169" t="s">
        <v>1289</v>
      </c>
      <c r="E804" s="103" t="s">
        <v>3780</v>
      </c>
      <c r="F804" s="104"/>
      <c r="G804" s="105">
        <f t="shared" si="48"/>
        <v>0.7</v>
      </c>
      <c r="H804" s="101" t="str">
        <f t="shared" si="49"/>
        <v>Sinapi 11901</v>
      </c>
      <c r="I804" s="101" t="str">
        <f t="shared" si="50"/>
        <v>M</v>
      </c>
      <c r="J804" s="140" t="str">
        <f t="shared" si="51"/>
        <v>CABO TELEFONICO CCI 50, 1 PAR, USO INTERNO, SEM BLINDAGEM</v>
      </c>
    </row>
    <row r="805" spans="1:10" x14ac:dyDescent="0.25">
      <c r="A805" s="169">
        <v>11902</v>
      </c>
      <c r="B805" s="169" t="s">
        <v>617</v>
      </c>
      <c r="C805" s="169" t="s">
        <v>10229</v>
      </c>
      <c r="D805" s="169" t="s">
        <v>1289</v>
      </c>
      <c r="E805" s="103" t="s">
        <v>2738</v>
      </c>
      <c r="F805" s="104"/>
      <c r="G805" s="105">
        <f t="shared" si="48"/>
        <v>1.34</v>
      </c>
      <c r="H805" s="101" t="str">
        <f t="shared" si="49"/>
        <v>Sinapi 11902</v>
      </c>
      <c r="I805" s="101" t="str">
        <f t="shared" si="50"/>
        <v>M</v>
      </c>
      <c r="J805" s="140" t="str">
        <f t="shared" si="51"/>
        <v>CABO TELEFONICO CCI 50, 2 PARES, USO INTERNO, SEM BLINDAGEM</v>
      </c>
    </row>
    <row r="806" spans="1:10" x14ac:dyDescent="0.25">
      <c r="A806" s="169">
        <v>11903</v>
      </c>
      <c r="B806" s="169" t="s">
        <v>24183</v>
      </c>
      <c r="C806" s="169" t="s">
        <v>10229</v>
      </c>
      <c r="D806" s="169" t="s">
        <v>1289</v>
      </c>
      <c r="E806" s="103" t="s">
        <v>3023</v>
      </c>
      <c r="F806" s="104"/>
      <c r="G806" s="105">
        <f t="shared" si="48"/>
        <v>1.42</v>
      </c>
      <c r="H806" s="101" t="str">
        <f t="shared" si="49"/>
        <v>Sinapi 11903</v>
      </c>
      <c r="I806" s="101" t="str">
        <f t="shared" si="50"/>
        <v>M</v>
      </c>
      <c r="J806" s="140" t="str">
        <f t="shared" si="51"/>
        <v>CABO TELEFONICO CCI 50, 3 PARES, USO INTERNO, SEM BLINDAGEM</v>
      </c>
    </row>
    <row r="807" spans="1:10" x14ac:dyDescent="0.25">
      <c r="A807" s="169">
        <v>11904</v>
      </c>
      <c r="B807" s="169" t="s">
        <v>24184</v>
      </c>
      <c r="C807" s="169" t="s">
        <v>10229</v>
      </c>
      <c r="D807" s="169" t="s">
        <v>1289</v>
      </c>
      <c r="E807" s="103" t="s">
        <v>19855</v>
      </c>
      <c r="F807" s="104"/>
      <c r="G807" s="105">
        <f t="shared" si="48"/>
        <v>2.15</v>
      </c>
      <c r="H807" s="101" t="str">
        <f t="shared" si="49"/>
        <v>Sinapi 11904</v>
      </c>
      <c r="I807" s="101" t="str">
        <f t="shared" si="50"/>
        <v>M</v>
      </c>
      <c r="J807" s="140" t="str">
        <f t="shared" si="51"/>
        <v>CABO TELEFONICO CCI 50, 4 PARES, USO INTERNO, SEM BLINDAGEM</v>
      </c>
    </row>
    <row r="808" spans="1:10" x14ac:dyDescent="0.25">
      <c r="A808" s="169">
        <v>11905</v>
      </c>
      <c r="B808" s="169" t="s">
        <v>24185</v>
      </c>
      <c r="C808" s="169" t="s">
        <v>10229</v>
      </c>
      <c r="D808" s="169" t="s">
        <v>1289</v>
      </c>
      <c r="E808" s="103" t="s">
        <v>21508</v>
      </c>
      <c r="F808" s="104"/>
      <c r="G808" s="105">
        <f t="shared" si="48"/>
        <v>2.63</v>
      </c>
      <c r="H808" s="101" t="str">
        <f t="shared" si="49"/>
        <v>Sinapi 11905</v>
      </c>
      <c r="I808" s="101" t="str">
        <f t="shared" si="50"/>
        <v>M</v>
      </c>
      <c r="J808" s="140" t="str">
        <f t="shared" si="51"/>
        <v>CABO TELEFONICO CCI 50, 5 PARES, USO INTERNO, SEM BLINDAGEM</v>
      </c>
    </row>
    <row r="809" spans="1:10" x14ac:dyDescent="0.25">
      <c r="A809" s="169">
        <v>11906</v>
      </c>
      <c r="B809" s="169" t="s">
        <v>24186</v>
      </c>
      <c r="C809" s="169" t="s">
        <v>10229</v>
      </c>
      <c r="D809" s="169" t="s">
        <v>1289</v>
      </c>
      <c r="E809" s="103" t="s">
        <v>29873</v>
      </c>
      <c r="F809" s="104"/>
      <c r="G809" s="105">
        <f t="shared" si="48"/>
        <v>3.34</v>
      </c>
      <c r="H809" s="101" t="str">
        <f t="shared" si="49"/>
        <v>Sinapi 11906</v>
      </c>
      <c r="I809" s="101" t="str">
        <f t="shared" si="50"/>
        <v>M</v>
      </c>
      <c r="J809" s="140" t="str">
        <f t="shared" si="51"/>
        <v>CABO TELEFONICO CCI 50, 6 PARES, USO INTERNO, SEM BLINDAGEM</v>
      </c>
    </row>
    <row r="810" spans="1:10" x14ac:dyDescent="0.25">
      <c r="A810" s="169">
        <v>11919</v>
      </c>
      <c r="B810" s="169" t="s">
        <v>24187</v>
      </c>
      <c r="C810" s="169" t="s">
        <v>10229</v>
      </c>
      <c r="D810" s="169" t="s">
        <v>1289</v>
      </c>
      <c r="E810" s="103" t="s">
        <v>21324</v>
      </c>
      <c r="F810" s="104"/>
      <c r="G810" s="105">
        <f t="shared" si="48"/>
        <v>6.12</v>
      </c>
      <c r="H810" s="101" t="str">
        <f t="shared" si="49"/>
        <v>Sinapi 11919</v>
      </c>
      <c r="I810" s="101" t="str">
        <f t="shared" si="50"/>
        <v>M</v>
      </c>
      <c r="J810" s="140" t="str">
        <f t="shared" si="51"/>
        <v>CABO TELEFONICO CI 50, 10 PARES, USO INTERNO</v>
      </c>
    </row>
    <row r="811" spans="1:10" x14ac:dyDescent="0.25">
      <c r="A811" s="169">
        <v>11920</v>
      </c>
      <c r="B811" s="169" t="s">
        <v>24188</v>
      </c>
      <c r="C811" s="169" t="s">
        <v>10229</v>
      </c>
      <c r="D811" s="169" t="s">
        <v>1289</v>
      </c>
      <c r="E811" s="103" t="s">
        <v>23316</v>
      </c>
      <c r="F811" s="104"/>
      <c r="G811" s="105">
        <f t="shared" si="48"/>
        <v>11.64</v>
      </c>
      <c r="H811" s="101" t="str">
        <f t="shared" si="49"/>
        <v>Sinapi 11920</v>
      </c>
      <c r="I811" s="101" t="str">
        <f t="shared" si="50"/>
        <v>M</v>
      </c>
      <c r="J811" s="140" t="str">
        <f t="shared" si="51"/>
        <v>CABO TELEFONICO CI 50, 20 PARES, USO INTERNO</v>
      </c>
    </row>
    <row r="812" spans="1:10" x14ac:dyDescent="0.25">
      <c r="A812" s="169">
        <v>11924</v>
      </c>
      <c r="B812" s="169" t="s">
        <v>24189</v>
      </c>
      <c r="C812" s="169" t="s">
        <v>10229</v>
      </c>
      <c r="D812" s="169" t="s">
        <v>1289</v>
      </c>
      <c r="E812" s="103" t="s">
        <v>23085</v>
      </c>
      <c r="F812" s="104"/>
      <c r="G812" s="105">
        <f t="shared" si="48"/>
        <v>97.69</v>
      </c>
      <c r="H812" s="101" t="str">
        <f t="shared" si="49"/>
        <v>Sinapi 11924</v>
      </c>
      <c r="I812" s="101" t="str">
        <f t="shared" si="50"/>
        <v>M</v>
      </c>
      <c r="J812" s="140" t="str">
        <f t="shared" si="51"/>
        <v>CABO TELEFONICO CI 50, 200 PARES, USO INTERNO</v>
      </c>
    </row>
    <row r="813" spans="1:10" x14ac:dyDescent="0.25">
      <c r="A813" s="169">
        <v>11921</v>
      </c>
      <c r="B813" s="169" t="s">
        <v>24191</v>
      </c>
      <c r="C813" s="169" t="s">
        <v>10229</v>
      </c>
      <c r="D813" s="169" t="s">
        <v>1289</v>
      </c>
      <c r="E813" s="103" t="s">
        <v>29665</v>
      </c>
      <c r="F813" s="104"/>
      <c r="G813" s="105">
        <f t="shared" si="48"/>
        <v>17.02</v>
      </c>
      <c r="H813" s="101" t="str">
        <f t="shared" si="49"/>
        <v>Sinapi 11921</v>
      </c>
      <c r="I813" s="101" t="str">
        <f t="shared" si="50"/>
        <v>M</v>
      </c>
      <c r="J813" s="140" t="str">
        <f t="shared" si="51"/>
        <v>CABO TELEFONICO CI 50, 30 PARES, USO INTERNO</v>
      </c>
    </row>
    <row r="814" spans="1:10" x14ac:dyDescent="0.25">
      <c r="A814" s="169">
        <v>11922</v>
      </c>
      <c r="B814" s="169" t="s">
        <v>24192</v>
      </c>
      <c r="C814" s="169" t="s">
        <v>10229</v>
      </c>
      <c r="D814" s="169" t="s">
        <v>1289</v>
      </c>
      <c r="E814" s="103" t="s">
        <v>20567</v>
      </c>
      <c r="F814" s="104"/>
      <c r="G814" s="105">
        <f t="shared" si="48"/>
        <v>27.53</v>
      </c>
      <c r="H814" s="101" t="str">
        <f t="shared" si="49"/>
        <v>Sinapi 11922</v>
      </c>
      <c r="I814" s="101" t="str">
        <f t="shared" si="50"/>
        <v>M</v>
      </c>
      <c r="J814" s="140" t="str">
        <f t="shared" si="51"/>
        <v>CABO TELEFONICO CI 50, 50 PARES, USO INTERNO</v>
      </c>
    </row>
    <row r="815" spans="1:10" x14ac:dyDescent="0.25">
      <c r="A815" s="169">
        <v>11923</v>
      </c>
      <c r="B815" s="169" t="s">
        <v>24193</v>
      </c>
      <c r="C815" s="169" t="s">
        <v>10229</v>
      </c>
      <c r="D815" s="169" t="s">
        <v>1289</v>
      </c>
      <c r="E815" s="103" t="s">
        <v>29874</v>
      </c>
      <c r="F815" s="104"/>
      <c r="G815" s="105">
        <f t="shared" si="48"/>
        <v>40.31</v>
      </c>
      <c r="H815" s="101" t="str">
        <f t="shared" si="49"/>
        <v>Sinapi 11923</v>
      </c>
      <c r="I815" s="101" t="str">
        <f t="shared" si="50"/>
        <v>M</v>
      </c>
      <c r="J815" s="140" t="str">
        <f t="shared" si="51"/>
        <v>CABO TELEFONICO CI 50, 75 PARES, USO INTERNO</v>
      </c>
    </row>
    <row r="816" spans="1:10" x14ac:dyDescent="0.25">
      <c r="A816" s="169">
        <v>11916</v>
      </c>
      <c r="B816" s="169" t="s">
        <v>24194</v>
      </c>
      <c r="C816" s="169" t="s">
        <v>10229</v>
      </c>
      <c r="D816" s="169" t="s">
        <v>1289</v>
      </c>
      <c r="E816" s="103" t="s">
        <v>29875</v>
      </c>
      <c r="F816" s="104"/>
      <c r="G816" s="105">
        <f t="shared" si="48"/>
        <v>8.3800000000000008</v>
      </c>
      <c r="H816" s="101" t="str">
        <f t="shared" si="49"/>
        <v>Sinapi 11916</v>
      </c>
      <c r="I816" s="101" t="str">
        <f t="shared" si="50"/>
        <v>M</v>
      </c>
      <c r="J816" s="140" t="str">
        <f t="shared" si="51"/>
        <v>CABO TELEFONICO CTP - APL - 50, 10 PARES, USO EXTERNO</v>
      </c>
    </row>
    <row r="817" spans="1:10" x14ac:dyDescent="0.25">
      <c r="A817" s="169">
        <v>11914</v>
      </c>
      <c r="B817" s="169" t="s">
        <v>24195</v>
      </c>
      <c r="C817" s="169" t="s">
        <v>10229</v>
      </c>
      <c r="D817" s="169" t="s">
        <v>1289</v>
      </c>
      <c r="E817" s="103" t="s">
        <v>23149</v>
      </c>
      <c r="F817" s="104"/>
      <c r="G817" s="105">
        <f t="shared" si="48"/>
        <v>60.38</v>
      </c>
      <c r="H817" s="101" t="str">
        <f t="shared" si="49"/>
        <v>Sinapi 11914</v>
      </c>
      <c r="I817" s="101" t="str">
        <f t="shared" si="50"/>
        <v>M</v>
      </c>
      <c r="J817" s="140" t="str">
        <f t="shared" si="51"/>
        <v>CABO TELEFONICO CTP - APL - 50, 100 PARES, USO EXTERNO</v>
      </c>
    </row>
    <row r="818" spans="1:10" x14ac:dyDescent="0.25">
      <c r="A818" s="169">
        <v>11917</v>
      </c>
      <c r="B818" s="169" t="s">
        <v>24197</v>
      </c>
      <c r="C818" s="169" t="s">
        <v>10229</v>
      </c>
      <c r="D818" s="169" t="s">
        <v>1289</v>
      </c>
      <c r="E818" s="103" t="s">
        <v>29876</v>
      </c>
      <c r="F818" s="104"/>
      <c r="G818" s="105">
        <f t="shared" si="48"/>
        <v>14.76</v>
      </c>
      <c r="H818" s="101" t="str">
        <f t="shared" si="49"/>
        <v>Sinapi 11917</v>
      </c>
      <c r="I818" s="101" t="str">
        <f t="shared" si="50"/>
        <v>M</v>
      </c>
      <c r="J818" s="140" t="str">
        <f t="shared" si="51"/>
        <v>CABO TELEFONICO CTP - APL - 50, 20 PARES, USO EXTERNO</v>
      </c>
    </row>
    <row r="819" spans="1:10" x14ac:dyDescent="0.25">
      <c r="A819" s="169">
        <v>11918</v>
      </c>
      <c r="B819" s="169" t="s">
        <v>24198</v>
      </c>
      <c r="C819" s="169" t="s">
        <v>10229</v>
      </c>
      <c r="D819" s="169" t="s">
        <v>1289</v>
      </c>
      <c r="E819" s="103" t="s">
        <v>15200</v>
      </c>
      <c r="F819" s="104"/>
      <c r="G819" s="105">
        <f t="shared" si="48"/>
        <v>17.510000000000002</v>
      </c>
      <c r="H819" s="101" t="str">
        <f t="shared" si="49"/>
        <v>Sinapi 11918</v>
      </c>
      <c r="I819" s="101" t="str">
        <f t="shared" si="50"/>
        <v>M</v>
      </c>
      <c r="J819" s="140" t="str">
        <f t="shared" si="51"/>
        <v>CABO TELEFONICO CTP - APL - 50, 30 PARES, USO EXTERNO</v>
      </c>
    </row>
    <row r="820" spans="1:10" x14ac:dyDescent="0.25">
      <c r="A820" s="169">
        <v>37734</v>
      </c>
      <c r="B820" s="169" t="s">
        <v>24199</v>
      </c>
      <c r="C820" s="169" t="s">
        <v>10225</v>
      </c>
      <c r="D820" s="169" t="s">
        <v>1290</v>
      </c>
      <c r="E820" s="103" t="s">
        <v>29877</v>
      </c>
      <c r="F820" s="104"/>
      <c r="G820" s="105">
        <f t="shared" si="48"/>
        <v>74370.78</v>
      </c>
      <c r="H820" s="101" t="str">
        <f t="shared" si="49"/>
        <v>Sinapi 37734</v>
      </c>
      <c r="I820" s="101" t="str">
        <f t="shared" si="50"/>
        <v>UN</v>
      </c>
      <c r="J820" s="140" t="str">
        <f t="shared" si="51"/>
        <v>CACAMBA METALICA BASCULANTE COM CAPACIDADE DE 10 M3 (INCLUI MONTAGEM, NAO INCLUI CAMINHAO)</v>
      </c>
    </row>
    <row r="821" spans="1:10" x14ac:dyDescent="0.25">
      <c r="A821" s="169">
        <v>42251</v>
      </c>
      <c r="B821" s="169" t="s">
        <v>24200</v>
      </c>
      <c r="C821" s="169" t="s">
        <v>10225</v>
      </c>
      <c r="D821" s="169" t="s">
        <v>1290</v>
      </c>
      <c r="E821" s="103" t="s">
        <v>29878</v>
      </c>
      <c r="F821" s="104"/>
      <c r="G821" s="105">
        <f t="shared" si="48"/>
        <v>84452.56</v>
      </c>
      <c r="H821" s="101" t="str">
        <f t="shared" si="49"/>
        <v>Sinapi 42251</v>
      </c>
      <c r="I821" s="101" t="str">
        <f t="shared" si="50"/>
        <v>UN</v>
      </c>
      <c r="J821" s="140" t="str">
        <f t="shared" si="51"/>
        <v>CACAMBA METALICA BASCULANTE COM CAPACIDADE DE 12 M3 (INCLUI MONTAGEM, NAO INCLUI CAMINHAO)</v>
      </c>
    </row>
    <row r="822" spans="1:10" x14ac:dyDescent="0.25">
      <c r="A822" s="169">
        <v>37733</v>
      </c>
      <c r="B822" s="169" t="s">
        <v>24201</v>
      </c>
      <c r="C822" s="169" t="s">
        <v>10225</v>
      </c>
      <c r="D822" s="169" t="s">
        <v>1290</v>
      </c>
      <c r="E822" s="103" t="s">
        <v>29879</v>
      </c>
      <c r="F822" s="104"/>
      <c r="G822" s="105">
        <f t="shared" si="48"/>
        <v>55762.93</v>
      </c>
      <c r="H822" s="101" t="str">
        <f t="shared" si="49"/>
        <v>Sinapi 37733</v>
      </c>
      <c r="I822" s="101" t="str">
        <f t="shared" si="50"/>
        <v>UN</v>
      </c>
      <c r="J822" s="140" t="str">
        <f t="shared" si="51"/>
        <v>CACAMBA METALICA BASCULANTE COM CAPACIDADE DE 6 M3 (INCLUI MONTAGEM, NAO INCLUI CAMINHAO)</v>
      </c>
    </row>
    <row r="823" spans="1:10" x14ac:dyDescent="0.25">
      <c r="A823" s="169">
        <v>37735</v>
      </c>
      <c r="B823" s="169" t="s">
        <v>24202</v>
      </c>
      <c r="C823" s="169" t="s">
        <v>10225</v>
      </c>
      <c r="D823" s="169" t="s">
        <v>1290</v>
      </c>
      <c r="E823" s="103" t="s">
        <v>29880</v>
      </c>
      <c r="F823" s="104"/>
      <c r="G823" s="105">
        <f t="shared" si="48"/>
        <v>67194.33</v>
      </c>
      <c r="H823" s="101" t="str">
        <f t="shared" si="49"/>
        <v>Sinapi 37735</v>
      </c>
      <c r="I823" s="101" t="str">
        <f t="shared" si="50"/>
        <v>UN</v>
      </c>
      <c r="J823" s="140" t="str">
        <f t="shared" si="51"/>
        <v>CACAMBA METALICA BASCULANTE COM CAPACIDADE DE 8 M3 (INCLUI MONTAGEM, NAO INCLUI CAMINHAO)</v>
      </c>
    </row>
    <row r="824" spans="1:10" x14ac:dyDescent="0.25">
      <c r="A824" s="169">
        <v>5090</v>
      </c>
      <c r="B824" s="169" t="s">
        <v>24203</v>
      </c>
      <c r="C824" s="169" t="s">
        <v>10225</v>
      </c>
      <c r="D824" s="169" t="s">
        <v>1288</v>
      </c>
      <c r="E824" s="103" t="s">
        <v>20132</v>
      </c>
      <c r="F824" s="104"/>
      <c r="G824" s="105">
        <f t="shared" si="48"/>
        <v>23</v>
      </c>
      <c r="H824" s="101" t="str">
        <f t="shared" si="49"/>
        <v>Sinapi 5090</v>
      </c>
      <c r="I824" s="101" t="str">
        <f t="shared" si="50"/>
        <v>UN</v>
      </c>
      <c r="J824" s="140" t="str">
        <f t="shared" si="51"/>
        <v>CADEADO SIMPLES, CORPO EM LATAO MACICO, COM LARGURA DE 25 MM E ALTURA DE APROX 25 MM, HASTE CEMENTADA (NAO LONGA), EM ACO TEMPERADO COM DIAMETRO DE APROX 5,0 MM, INCLUINDO 2 CHAVES</v>
      </c>
    </row>
    <row r="825" spans="1:10" x14ac:dyDescent="0.25">
      <c r="A825" s="169">
        <v>5085</v>
      </c>
      <c r="B825" s="169" t="s">
        <v>24204</v>
      </c>
      <c r="C825" s="169" t="s">
        <v>10225</v>
      </c>
      <c r="D825" s="169" t="s">
        <v>1289</v>
      </c>
      <c r="E825" s="103" t="s">
        <v>28770</v>
      </c>
      <c r="F825" s="104"/>
      <c r="G825" s="105">
        <f t="shared" si="48"/>
        <v>34.24</v>
      </c>
      <c r="H825" s="101" t="str">
        <f t="shared" si="49"/>
        <v>Sinapi 5085</v>
      </c>
      <c r="I825" s="101" t="str">
        <f t="shared" si="50"/>
        <v>UN</v>
      </c>
      <c r="J825" s="140" t="str">
        <f t="shared" si="51"/>
        <v>CADEADO SIMPLES, CORPO EM LATAO MACICO, COM LARGURA DE 35 MM E ALTURA DE APROX 30 MM, HASTE CEMENTADA (NAO LONGA), EM ACO TEMPERADO COM DIAMETRO DE APROX 6,0 MM, INCLUINDO 2 CHAVES</v>
      </c>
    </row>
    <row r="826" spans="1:10" x14ac:dyDescent="0.25">
      <c r="A826" s="169">
        <v>43603</v>
      </c>
      <c r="B826" s="169" t="s">
        <v>24205</v>
      </c>
      <c r="C826" s="169" t="s">
        <v>10225</v>
      </c>
      <c r="D826" s="169" t="s">
        <v>1289</v>
      </c>
      <c r="E826" s="103" t="s">
        <v>21567</v>
      </c>
      <c r="F826" s="104"/>
      <c r="G826" s="105">
        <f t="shared" si="48"/>
        <v>48.92</v>
      </c>
      <c r="H826" s="101" t="str">
        <f t="shared" si="49"/>
        <v>Sinapi 43603</v>
      </c>
      <c r="I826" s="101" t="str">
        <f t="shared" si="50"/>
        <v>UN</v>
      </c>
      <c r="J826" s="140" t="str">
        <f t="shared" si="51"/>
        <v>CADEADO SIMPLES, CORPO EM LATAO MACICO, COM LARGURA DE 50 MM E ALTURA DE APROX 40 MM, HASTE CEMENTADA EM ACO TEMPERADO COM DIAMETRO DE APROX 8,0 MM, INCLUINDO 2 CHAVES</v>
      </c>
    </row>
    <row r="827" spans="1:10" x14ac:dyDescent="0.25">
      <c r="A827" s="169">
        <v>38374</v>
      </c>
      <c r="B827" s="169" t="s">
        <v>24206</v>
      </c>
      <c r="C827" s="169" t="s">
        <v>10225</v>
      </c>
      <c r="D827" s="169" t="s">
        <v>1289</v>
      </c>
      <c r="E827" s="103" t="s">
        <v>29881</v>
      </c>
      <c r="F827" s="104"/>
      <c r="G827" s="105">
        <f t="shared" si="48"/>
        <v>1054.04</v>
      </c>
      <c r="H827" s="101" t="str">
        <f t="shared" si="49"/>
        <v>Sinapi 38374</v>
      </c>
      <c r="I827" s="101" t="str">
        <f t="shared" si="50"/>
        <v>UN</v>
      </c>
      <c r="J827" s="140" t="str">
        <f t="shared" si="51"/>
        <v>CADEIRA SUSPENSA MANUAL / BALANCIM INDIVIDUAL (NBR 14751)</v>
      </c>
    </row>
    <row r="828" spans="1:10" x14ac:dyDescent="0.25">
      <c r="A828" s="169">
        <v>20212</v>
      </c>
      <c r="B828" s="169" t="s">
        <v>29882</v>
      </c>
      <c r="C828" s="169" t="s">
        <v>10229</v>
      </c>
      <c r="D828" s="169" t="s">
        <v>1289</v>
      </c>
      <c r="E828" s="103" t="s">
        <v>16340</v>
      </c>
      <c r="F828" s="104"/>
      <c r="G828" s="105">
        <f t="shared" si="48"/>
        <v>19.22</v>
      </c>
      <c r="H828" s="101" t="str">
        <f t="shared" si="49"/>
        <v>Sinapi 20212</v>
      </c>
      <c r="I828" s="101" t="str">
        <f t="shared" si="50"/>
        <v>M</v>
      </c>
      <c r="J828" s="140" t="str">
        <f t="shared" si="51"/>
        <v>CAIBRO APARELHADO *6 X 8* CM, EM MACARANDUBA/MASSARANDUBA, ANGELIM OU EQUIVALENTE DA REGIAO</v>
      </c>
    </row>
    <row r="829" spans="1:10" x14ac:dyDescent="0.25">
      <c r="A829" s="169">
        <v>20209</v>
      </c>
      <c r="B829" s="169" t="s">
        <v>29883</v>
      </c>
      <c r="C829" s="169" t="s">
        <v>10229</v>
      </c>
      <c r="D829" s="169" t="s">
        <v>1289</v>
      </c>
      <c r="E829" s="103" t="s">
        <v>20112</v>
      </c>
      <c r="F829" s="104"/>
      <c r="G829" s="105">
        <f t="shared" si="48"/>
        <v>22.96</v>
      </c>
      <c r="H829" s="101" t="str">
        <f t="shared" si="49"/>
        <v>Sinapi 20209</v>
      </c>
      <c r="I829" s="101" t="str">
        <f t="shared" si="50"/>
        <v>M</v>
      </c>
      <c r="J829" s="140" t="str">
        <f t="shared" si="51"/>
        <v>CAIBRO APARELHADO *7,5 X 7,5* CM, EM MACARANDUBA/MASSARANDUBA, ANGELIM OU EQUIVALENTE DA REGIAO</v>
      </c>
    </row>
    <row r="830" spans="1:10" x14ac:dyDescent="0.25">
      <c r="A830" s="169">
        <v>4430</v>
      </c>
      <c r="B830" s="169" t="s">
        <v>29884</v>
      </c>
      <c r="C830" s="169" t="s">
        <v>10229</v>
      </c>
      <c r="D830" s="169" t="s">
        <v>1288</v>
      </c>
      <c r="E830" s="103" t="s">
        <v>14929</v>
      </c>
      <c r="F830" s="104"/>
      <c r="G830" s="105">
        <f t="shared" si="48"/>
        <v>11.25</v>
      </c>
      <c r="H830" s="101" t="str">
        <f t="shared" si="49"/>
        <v>Sinapi 4430</v>
      </c>
      <c r="I830" s="101" t="str">
        <f t="shared" si="50"/>
        <v>M</v>
      </c>
      <c r="J830" s="140" t="str">
        <f t="shared" si="51"/>
        <v>CAIBRO NAO APARELHADO *5 X 6* CM, EM MACARANDUBA/MASSARANDUBA, ANGELIM OU EQUIVALENTE DA REGIAO - BRUTA</v>
      </c>
    </row>
    <row r="831" spans="1:10" x14ac:dyDescent="0.25">
      <c r="A831" s="169">
        <v>4433</v>
      </c>
      <c r="B831" s="169" t="s">
        <v>29885</v>
      </c>
      <c r="C831" s="169" t="s">
        <v>10229</v>
      </c>
      <c r="D831" s="169" t="s">
        <v>1289</v>
      </c>
      <c r="E831" s="103" t="s">
        <v>15570</v>
      </c>
      <c r="F831" s="104"/>
      <c r="G831" s="105">
        <f t="shared" si="48"/>
        <v>22</v>
      </c>
      <c r="H831" s="101" t="str">
        <f t="shared" si="49"/>
        <v>Sinapi 4433</v>
      </c>
      <c r="I831" s="101" t="str">
        <f t="shared" si="50"/>
        <v>M</v>
      </c>
      <c r="J831" s="140" t="str">
        <f t="shared" si="51"/>
        <v>CAIBRO NAO APARELHADO *6 X 6* CM, EM MACARANDUBA/MASSARANDUBA, ANGELIM OU EQUIVALENTE DA REGIAO - BRUTA</v>
      </c>
    </row>
    <row r="832" spans="1:10" x14ac:dyDescent="0.25">
      <c r="A832" s="169">
        <v>4400</v>
      </c>
      <c r="B832" s="169" t="s">
        <v>29886</v>
      </c>
      <c r="C832" s="169" t="s">
        <v>10229</v>
      </c>
      <c r="D832" s="169" t="s">
        <v>1289</v>
      </c>
      <c r="E832" s="103" t="s">
        <v>15568</v>
      </c>
      <c r="F832" s="104"/>
      <c r="G832" s="105">
        <f t="shared" si="48"/>
        <v>17.899999999999999</v>
      </c>
      <c r="H832" s="101" t="str">
        <f t="shared" si="49"/>
        <v>Sinapi 4400</v>
      </c>
      <c r="I832" s="101" t="str">
        <f t="shared" si="50"/>
        <v>M</v>
      </c>
      <c r="J832" s="140" t="str">
        <f t="shared" si="51"/>
        <v>CAIBRO NAO APARELHADO, *6 X 8* CM, EM MACARANDUBA/MASSARANDUBA, ANGELIM OU EQUIVALENTE DA REGIAO - BRUTA</v>
      </c>
    </row>
    <row r="833" spans="1:10" x14ac:dyDescent="0.25">
      <c r="A833" s="169">
        <v>2729</v>
      </c>
      <c r="B833" s="169" t="s">
        <v>24207</v>
      </c>
      <c r="C833" s="169" t="s">
        <v>10225</v>
      </c>
      <c r="D833" s="169" t="s">
        <v>1290</v>
      </c>
      <c r="E833" s="103" t="s">
        <v>21174</v>
      </c>
      <c r="F833" s="104"/>
      <c r="G833" s="105">
        <f t="shared" si="48"/>
        <v>24.74</v>
      </c>
      <c r="H833" s="101" t="str">
        <f t="shared" si="49"/>
        <v>Sinapi 2729</v>
      </c>
      <c r="I833" s="101" t="str">
        <f t="shared" si="50"/>
        <v>UN</v>
      </c>
      <c r="J833" s="140" t="str">
        <f t="shared" si="51"/>
        <v>CAIBRO ROLICO DE MADEIRA TRATADA, D = 4 A 7 CM, H = 3,00 M, EM EUCALIPTO OU EQUIVALENTE DA REGIAO</v>
      </c>
    </row>
    <row r="834" spans="1:10" x14ac:dyDescent="0.25">
      <c r="A834" s="169">
        <v>4513</v>
      </c>
      <c r="B834" s="169" t="s">
        <v>24208</v>
      </c>
      <c r="C834" s="169" t="s">
        <v>10229</v>
      </c>
      <c r="D834" s="169" t="s">
        <v>1289</v>
      </c>
      <c r="E834" s="103" t="s">
        <v>22757</v>
      </c>
      <c r="F834" s="104"/>
      <c r="G834" s="105">
        <f t="shared" si="48"/>
        <v>4.1100000000000003</v>
      </c>
      <c r="H834" s="101" t="str">
        <f t="shared" si="49"/>
        <v>Sinapi 4513</v>
      </c>
      <c r="I834" s="101" t="str">
        <f t="shared" si="50"/>
        <v>M</v>
      </c>
      <c r="J834" s="140" t="str">
        <f t="shared" si="51"/>
        <v>CAIBRO 5 X 5 CM EM PINUS, MISTA OU EQUIVALENTE DA REGIAO - BRUTA</v>
      </c>
    </row>
    <row r="835" spans="1:10" x14ac:dyDescent="0.25">
      <c r="A835" s="169">
        <v>37106</v>
      </c>
      <c r="B835" s="169" t="s">
        <v>24209</v>
      </c>
      <c r="C835" s="169" t="s">
        <v>10225</v>
      </c>
      <c r="D835" s="169" t="s">
        <v>1289</v>
      </c>
      <c r="E835" s="103" t="s">
        <v>29887</v>
      </c>
      <c r="F835" s="104"/>
      <c r="G835" s="105">
        <f t="shared" si="48"/>
        <v>4840.82</v>
      </c>
      <c r="H835" s="101" t="str">
        <f t="shared" si="49"/>
        <v>Sinapi 37106</v>
      </c>
      <c r="I835" s="101" t="str">
        <f t="shared" si="50"/>
        <v>UN</v>
      </c>
      <c r="J835" s="140" t="str">
        <f t="shared" si="51"/>
        <v>CAIXA D'AGUA / RESERVATORIO EM POLIESTER REFORCADO COM FIBRA DE VIDRO, 10000 LITROS, COM TAMPA</v>
      </c>
    </row>
    <row r="836" spans="1:10" x14ac:dyDescent="0.25">
      <c r="A836" s="169">
        <v>11869</v>
      </c>
      <c r="B836" s="169" t="s">
        <v>24210</v>
      </c>
      <c r="C836" s="169" t="s">
        <v>10225</v>
      </c>
      <c r="D836" s="169" t="s">
        <v>1289</v>
      </c>
      <c r="E836" s="103" t="s">
        <v>29888</v>
      </c>
      <c r="F836" s="104"/>
      <c r="G836" s="105">
        <f t="shared" si="48"/>
        <v>968.16</v>
      </c>
      <c r="H836" s="101" t="str">
        <f t="shared" si="49"/>
        <v>Sinapi 11869</v>
      </c>
      <c r="I836" s="101" t="str">
        <f t="shared" si="50"/>
        <v>UN</v>
      </c>
      <c r="J836" s="140" t="str">
        <f t="shared" si="51"/>
        <v>CAIXA D'AGUA / RESERVATORIO EM POLIESTER REFORCADO COM FIBRA DE VIDRO, 1500 LITROS, COM TAMPA</v>
      </c>
    </row>
    <row r="837" spans="1:10" x14ac:dyDescent="0.25">
      <c r="A837" s="169">
        <v>43981</v>
      </c>
      <c r="B837" s="169" t="s">
        <v>24211</v>
      </c>
      <c r="C837" s="169" t="s">
        <v>10225</v>
      </c>
      <c r="D837" s="169" t="s">
        <v>1289</v>
      </c>
      <c r="E837" s="103" t="s">
        <v>29889</v>
      </c>
      <c r="F837" s="104"/>
      <c r="G837" s="105">
        <f t="shared" si="48"/>
        <v>7295.06</v>
      </c>
      <c r="H837" s="101" t="str">
        <f t="shared" si="49"/>
        <v>Sinapi 43981</v>
      </c>
      <c r="I837" s="101" t="str">
        <f t="shared" si="50"/>
        <v>UN</v>
      </c>
      <c r="J837" s="140" t="str">
        <f t="shared" si="51"/>
        <v>CAIXA D'AGUA / RESERVATORIO EM POLIESTER REFORCADO COM FIBRA DE VIDRO, 15000 LITROS, COM TAMPA</v>
      </c>
    </row>
    <row r="838" spans="1:10" x14ac:dyDescent="0.25">
      <c r="A838" s="169">
        <v>37104</v>
      </c>
      <c r="B838" s="169" t="s">
        <v>24212</v>
      </c>
      <c r="C838" s="169" t="s">
        <v>10225</v>
      </c>
      <c r="D838" s="169" t="s">
        <v>1289</v>
      </c>
      <c r="E838" s="103" t="s">
        <v>29890</v>
      </c>
      <c r="F838" s="104"/>
      <c r="G838" s="105">
        <f t="shared" si="48"/>
        <v>1215.06</v>
      </c>
      <c r="H838" s="101" t="str">
        <f t="shared" si="49"/>
        <v>Sinapi 37104</v>
      </c>
      <c r="I838" s="101" t="str">
        <f t="shared" si="50"/>
        <v>UN</v>
      </c>
      <c r="J838" s="140" t="str">
        <f t="shared" si="51"/>
        <v>CAIXA D'AGUA / RESERVATORIO EM POLIESTER REFORCADO COM FIBRA DE VIDRO, 2000 LITROS, COM TAMPA</v>
      </c>
    </row>
    <row r="839" spans="1:10" x14ac:dyDescent="0.25">
      <c r="A839" s="169">
        <v>43982</v>
      </c>
      <c r="B839" s="169" t="s">
        <v>24213</v>
      </c>
      <c r="C839" s="169" t="s">
        <v>10225</v>
      </c>
      <c r="D839" s="169" t="s">
        <v>1289</v>
      </c>
      <c r="E839" s="103" t="s">
        <v>29891</v>
      </c>
      <c r="F839" s="104"/>
      <c r="G839" s="105">
        <f t="shared" si="48"/>
        <v>11524.37</v>
      </c>
      <c r="H839" s="101" t="str">
        <f t="shared" si="49"/>
        <v>Sinapi 43982</v>
      </c>
      <c r="I839" s="101" t="str">
        <f t="shared" si="50"/>
        <v>UN</v>
      </c>
      <c r="J839" s="140" t="str">
        <f t="shared" si="51"/>
        <v>CAIXA D'AGUA / RESERVATORIO EM POLIESTER REFORCADO COM FIBRA DE VIDRO, 20000 LITROS, COM TAMPA</v>
      </c>
    </row>
    <row r="840" spans="1:10" x14ac:dyDescent="0.25">
      <c r="A840" s="169">
        <v>43978</v>
      </c>
      <c r="B840" s="169" t="s">
        <v>24214</v>
      </c>
      <c r="C840" s="169" t="s">
        <v>10225</v>
      </c>
      <c r="D840" s="169" t="s">
        <v>1289</v>
      </c>
      <c r="E840" s="103" t="s">
        <v>29892</v>
      </c>
      <c r="F840" s="104"/>
      <c r="G840" s="105">
        <f t="shared" ref="G840:G903" si="52">IF(E840="","",E840+0)</f>
        <v>1800.7</v>
      </c>
      <c r="H840" s="101" t="str">
        <f t="shared" ref="H840:H903" si="53">IF(G840="","",TRIM(CONCATENATE("Sinapi ",A840)))</f>
        <v>Sinapi 43978</v>
      </c>
      <c r="I840" s="101" t="str">
        <f t="shared" ref="I840:I903" si="54">TRIM(C840)</f>
        <v>UN</v>
      </c>
      <c r="J840" s="140" t="str">
        <f t="shared" si="51"/>
        <v>CAIXA D'AGUA / RESERVATORIO EM POLIESTER REFORCADO COM FIBRA DE VIDRO, 3000 LITROS, COM TAMPA</v>
      </c>
    </row>
    <row r="841" spans="1:10" x14ac:dyDescent="0.25">
      <c r="A841" s="169">
        <v>11871</v>
      </c>
      <c r="B841" s="169" t="s">
        <v>24215</v>
      </c>
      <c r="C841" s="169" t="s">
        <v>10225</v>
      </c>
      <c r="D841" s="169" t="s">
        <v>1289</v>
      </c>
      <c r="E841" s="103" t="s">
        <v>29893</v>
      </c>
      <c r="F841" s="104"/>
      <c r="G841" s="105">
        <f t="shared" si="52"/>
        <v>451.31</v>
      </c>
      <c r="H841" s="101" t="str">
        <f t="shared" si="53"/>
        <v>Sinapi 11871</v>
      </c>
      <c r="I841" s="101" t="str">
        <f t="shared" si="54"/>
        <v>UN</v>
      </c>
      <c r="J841" s="140" t="str">
        <f t="shared" ref="J841:J904" si="55">TRIM(B841)</f>
        <v>CAIXA D'AGUA / RESERVATORIO EM POLIESTER REFORCADO COM FIBRA DE VIDRO, 500 LITROS, COM TAMPA</v>
      </c>
    </row>
    <row r="842" spans="1:10" x14ac:dyDescent="0.25">
      <c r="A842" s="169">
        <v>37105</v>
      </c>
      <c r="B842" s="169" t="s">
        <v>24216</v>
      </c>
      <c r="C842" s="169" t="s">
        <v>10225</v>
      </c>
      <c r="D842" s="169" t="s">
        <v>1289</v>
      </c>
      <c r="E842" s="103" t="s">
        <v>29894</v>
      </c>
      <c r="F842" s="104"/>
      <c r="G842" s="105">
        <f t="shared" si="52"/>
        <v>2776.88</v>
      </c>
      <c r="H842" s="101" t="str">
        <f t="shared" si="53"/>
        <v>Sinapi 37105</v>
      </c>
      <c r="I842" s="101" t="str">
        <f t="shared" si="54"/>
        <v>UN</v>
      </c>
      <c r="J842" s="140" t="str">
        <f t="shared" si="55"/>
        <v>CAIXA D'AGUA / RESERVATORIO EM POLIESTER REFORCADO COM FIBRA DE VIDRO, 5000 LITROS, COM TAMPA</v>
      </c>
    </row>
    <row r="843" spans="1:10" x14ac:dyDescent="0.25">
      <c r="A843" s="169">
        <v>43980</v>
      </c>
      <c r="B843" s="169" t="s">
        <v>24217</v>
      </c>
      <c r="C843" s="169" t="s">
        <v>10225</v>
      </c>
      <c r="D843" s="169" t="s">
        <v>1289</v>
      </c>
      <c r="E843" s="103" t="s">
        <v>29895</v>
      </c>
      <c r="F843" s="104"/>
      <c r="G843" s="105">
        <f t="shared" si="52"/>
        <v>3458.32</v>
      </c>
      <c r="H843" s="101" t="str">
        <f t="shared" si="53"/>
        <v>Sinapi 43980</v>
      </c>
      <c r="I843" s="101" t="str">
        <f t="shared" si="54"/>
        <v>UN</v>
      </c>
      <c r="J843" s="140" t="str">
        <f t="shared" si="55"/>
        <v>CAIXA D'AGUA / RESERVATORIO EM POLIESTER REFORCADO COM FIBRA DE VIDRO, 7000 LITROS, COM TAMPA</v>
      </c>
    </row>
    <row r="844" spans="1:10" x14ac:dyDescent="0.25">
      <c r="A844" s="169">
        <v>43979</v>
      </c>
      <c r="B844" s="169" t="s">
        <v>24218</v>
      </c>
      <c r="C844" s="169" t="s">
        <v>10225</v>
      </c>
      <c r="D844" s="169" t="s">
        <v>1289</v>
      </c>
      <c r="E844" s="103" t="s">
        <v>29896</v>
      </c>
      <c r="F844" s="104"/>
      <c r="G844" s="105">
        <f t="shared" si="52"/>
        <v>649.78</v>
      </c>
      <c r="H844" s="101" t="str">
        <f t="shared" si="53"/>
        <v>Sinapi 43979</v>
      </c>
      <c r="I844" s="101" t="str">
        <f t="shared" si="54"/>
        <v>UN</v>
      </c>
      <c r="J844" s="140" t="str">
        <f t="shared" si="55"/>
        <v>CAIXA D'AGUA / RESERVATORIO EM POLIESTER REFORCADO COM FIBRA DE VIDRO, 750 LITROS, COM TAMPA</v>
      </c>
    </row>
    <row r="845" spans="1:10" x14ac:dyDescent="0.25">
      <c r="A845" s="169">
        <v>11868</v>
      </c>
      <c r="B845" s="169" t="s">
        <v>24219</v>
      </c>
      <c r="C845" s="169" t="s">
        <v>10225</v>
      </c>
      <c r="D845" s="169" t="s">
        <v>1289</v>
      </c>
      <c r="E845" s="103" t="s">
        <v>29897</v>
      </c>
      <c r="F845" s="104"/>
      <c r="G845" s="105">
        <f t="shared" si="52"/>
        <v>628.4</v>
      </c>
      <c r="H845" s="101" t="str">
        <f t="shared" si="53"/>
        <v>Sinapi 11868</v>
      </c>
      <c r="I845" s="101" t="str">
        <f t="shared" si="54"/>
        <v>UN</v>
      </c>
      <c r="J845" s="140" t="str">
        <f t="shared" si="55"/>
        <v>CAIXA D'AGUA / RESERVATORIO EM POLIESTER REFORCADO COM FIBRA DE VIDRO,1000 LITROS, COM TAMPA</v>
      </c>
    </row>
    <row r="846" spans="1:10" x14ac:dyDescent="0.25">
      <c r="A846" s="169">
        <v>34636</v>
      </c>
      <c r="B846" s="169" t="s">
        <v>24220</v>
      </c>
      <c r="C846" s="169" t="s">
        <v>10225</v>
      </c>
      <c r="D846" s="169" t="s">
        <v>1288</v>
      </c>
      <c r="E846" s="103" t="s">
        <v>29898</v>
      </c>
      <c r="F846" s="104"/>
      <c r="G846" s="105">
        <f t="shared" si="52"/>
        <v>446.25</v>
      </c>
      <c r="H846" s="101" t="str">
        <f t="shared" si="53"/>
        <v>Sinapi 34636</v>
      </c>
      <c r="I846" s="101" t="str">
        <f t="shared" si="54"/>
        <v>UN</v>
      </c>
      <c r="J846" s="140" t="str">
        <f t="shared" si="55"/>
        <v>CAIXA D'AGUA / RESERVATORIO EM POLIETILENO, 1000 LITROS, COM TAMPA</v>
      </c>
    </row>
    <row r="847" spans="1:10" x14ac:dyDescent="0.25">
      <c r="A847" s="169">
        <v>34639</v>
      </c>
      <c r="B847" s="169" t="s">
        <v>24221</v>
      </c>
      <c r="C847" s="169" t="s">
        <v>10225</v>
      </c>
      <c r="D847" s="169" t="s">
        <v>1289</v>
      </c>
      <c r="E847" s="103" t="s">
        <v>29899</v>
      </c>
      <c r="F847" s="104"/>
      <c r="G847" s="105">
        <f t="shared" si="52"/>
        <v>1030.02</v>
      </c>
      <c r="H847" s="101" t="str">
        <f t="shared" si="53"/>
        <v>Sinapi 34639</v>
      </c>
      <c r="I847" s="101" t="str">
        <f t="shared" si="54"/>
        <v>UN</v>
      </c>
      <c r="J847" s="140" t="str">
        <f t="shared" si="55"/>
        <v>CAIXA D'AGUA / RESERVATORIO EM POLIETILENO, 1500 LITROS, COM TAMPA</v>
      </c>
    </row>
    <row r="848" spans="1:10" x14ac:dyDescent="0.25">
      <c r="A848" s="169">
        <v>34640</v>
      </c>
      <c r="B848" s="169" t="s">
        <v>24222</v>
      </c>
      <c r="C848" s="169" t="s">
        <v>10225</v>
      </c>
      <c r="D848" s="169" t="s">
        <v>1289</v>
      </c>
      <c r="E848" s="103" t="s">
        <v>29900</v>
      </c>
      <c r="F848" s="104"/>
      <c r="G848" s="105">
        <f t="shared" si="52"/>
        <v>1168.4000000000001</v>
      </c>
      <c r="H848" s="101" t="str">
        <f t="shared" si="53"/>
        <v>Sinapi 34640</v>
      </c>
      <c r="I848" s="101" t="str">
        <f t="shared" si="54"/>
        <v>UN</v>
      </c>
      <c r="J848" s="140" t="str">
        <f t="shared" si="55"/>
        <v>CAIXA D'AGUA / RESERVATORIO EM POLIETILENO, 2000 LITROS, COM TAMPA</v>
      </c>
    </row>
    <row r="849" spans="1:10" x14ac:dyDescent="0.25">
      <c r="A849" s="169">
        <v>43977</v>
      </c>
      <c r="B849" s="169" t="s">
        <v>24223</v>
      </c>
      <c r="C849" s="169" t="s">
        <v>10225</v>
      </c>
      <c r="D849" s="169" t="s">
        <v>1289</v>
      </c>
      <c r="E849" s="103" t="s">
        <v>29901</v>
      </c>
      <c r="F849" s="104"/>
      <c r="G849" s="105">
        <f t="shared" si="52"/>
        <v>2014.25</v>
      </c>
      <c r="H849" s="101" t="str">
        <f t="shared" si="53"/>
        <v>Sinapi 43977</v>
      </c>
      <c r="I849" s="101" t="str">
        <f t="shared" si="54"/>
        <v>UN</v>
      </c>
      <c r="J849" s="140" t="str">
        <f t="shared" si="55"/>
        <v>CAIXA D'AGUA / RESERVATORIO EM POLIETILENO, 3000 LITROS, COM TAMPA</v>
      </c>
    </row>
    <row r="850" spans="1:10" x14ac:dyDescent="0.25">
      <c r="A850" s="169">
        <v>34637</v>
      </c>
      <c r="B850" s="169" t="s">
        <v>24224</v>
      </c>
      <c r="C850" s="169" t="s">
        <v>10225</v>
      </c>
      <c r="D850" s="169" t="s">
        <v>1289</v>
      </c>
      <c r="E850" s="103" t="s">
        <v>29902</v>
      </c>
      <c r="F850" s="104"/>
      <c r="G850" s="105">
        <f t="shared" si="52"/>
        <v>269.87</v>
      </c>
      <c r="H850" s="101" t="str">
        <f t="shared" si="53"/>
        <v>Sinapi 34637</v>
      </c>
      <c r="I850" s="101" t="str">
        <f t="shared" si="54"/>
        <v>UN</v>
      </c>
      <c r="J850" s="140" t="str">
        <f t="shared" si="55"/>
        <v>CAIXA D'AGUA / RESERVATORIO EM POLIETILENO, 500 LITROS, COM TAMPA</v>
      </c>
    </row>
    <row r="851" spans="1:10" x14ac:dyDescent="0.25">
      <c r="A851" s="169">
        <v>34638</v>
      </c>
      <c r="B851" s="169" t="s">
        <v>24225</v>
      </c>
      <c r="C851" s="169" t="s">
        <v>10225</v>
      </c>
      <c r="D851" s="169" t="s">
        <v>1289</v>
      </c>
      <c r="E851" s="103" t="s">
        <v>29903</v>
      </c>
      <c r="F851" s="104"/>
      <c r="G851" s="105">
        <f t="shared" si="52"/>
        <v>417.43</v>
      </c>
      <c r="H851" s="101" t="str">
        <f t="shared" si="53"/>
        <v>Sinapi 34638</v>
      </c>
      <c r="I851" s="101" t="str">
        <f t="shared" si="54"/>
        <v>UN</v>
      </c>
      <c r="J851" s="140" t="str">
        <f t="shared" si="55"/>
        <v>CAIXA D'AGUA / RESERVATORIO EM POLIETILENO, 750 LITROS, COM TAMPA</v>
      </c>
    </row>
    <row r="852" spans="1:10" x14ac:dyDescent="0.25">
      <c r="A852" s="169">
        <v>34641</v>
      </c>
      <c r="B852" s="169" t="s">
        <v>24226</v>
      </c>
      <c r="C852" s="169" t="s">
        <v>10225</v>
      </c>
      <c r="D852" s="169" t="s">
        <v>1289</v>
      </c>
      <c r="E852" s="103" t="s">
        <v>29904</v>
      </c>
      <c r="F852" s="104"/>
      <c r="G852" s="105">
        <f t="shared" si="52"/>
        <v>112.38</v>
      </c>
      <c r="H852" s="101" t="str">
        <f t="shared" si="53"/>
        <v>Sinapi 34641</v>
      </c>
      <c r="I852" s="101" t="str">
        <f t="shared" si="54"/>
        <v>UN</v>
      </c>
      <c r="J852" s="140" t="str">
        <f t="shared" si="55"/>
        <v>CAIXA DE ATERRAMENTO EM CONCRETO PRE-MOLDADO, DIAMETRO DE 0,30 M E ALTURA DE 0,35 M, SEM FUNDO E COM TAMPA</v>
      </c>
    </row>
    <row r="853" spans="1:10" x14ac:dyDescent="0.25">
      <c r="A853" s="169">
        <v>43434</v>
      </c>
      <c r="B853" s="169" t="s">
        <v>24227</v>
      </c>
      <c r="C853" s="169" t="s">
        <v>10225</v>
      </c>
      <c r="D853" s="169" t="s">
        <v>1289</v>
      </c>
      <c r="E853" s="103" t="s">
        <v>29905</v>
      </c>
      <c r="F853" s="104"/>
      <c r="G853" s="105">
        <f t="shared" si="52"/>
        <v>121.51</v>
      </c>
      <c r="H853" s="101" t="str">
        <f t="shared" si="53"/>
        <v>Sinapi 43434</v>
      </c>
      <c r="I853" s="101" t="str">
        <f t="shared" si="54"/>
        <v>UN</v>
      </c>
      <c r="J853" s="140" t="str">
        <f t="shared" si="55"/>
        <v>CAIXA DE CONCRETO ARMADO PRE-MOLDADO, COM FUNDO E SEM TAMPA, DIMENSOES DE 0,30 X 0,30 X 0,30 M</v>
      </c>
    </row>
    <row r="854" spans="1:10" x14ac:dyDescent="0.25">
      <c r="A854" s="169">
        <v>43435</v>
      </c>
      <c r="B854" s="169" t="s">
        <v>24229</v>
      </c>
      <c r="C854" s="169" t="s">
        <v>10225</v>
      </c>
      <c r="D854" s="169" t="s">
        <v>1289</v>
      </c>
      <c r="E854" s="103" t="s">
        <v>29906</v>
      </c>
      <c r="F854" s="104"/>
      <c r="G854" s="105">
        <f t="shared" si="52"/>
        <v>222.77</v>
      </c>
      <c r="H854" s="101" t="str">
        <f t="shared" si="53"/>
        <v>Sinapi 43435</v>
      </c>
      <c r="I854" s="101" t="str">
        <f t="shared" si="54"/>
        <v>UN</v>
      </c>
      <c r="J854" s="140" t="str">
        <f t="shared" si="55"/>
        <v>CAIXA DE CONCRETO ARMADO PRE-MOLDADO, COM FUNDO E SEM TAMPA, DIMENSOES DE 0,40 X 0,40 X 0,40 M</v>
      </c>
    </row>
    <row r="855" spans="1:10" x14ac:dyDescent="0.25">
      <c r="A855" s="169">
        <v>43436</v>
      </c>
      <c r="B855" s="169" t="s">
        <v>24230</v>
      </c>
      <c r="C855" s="169" t="s">
        <v>10225</v>
      </c>
      <c r="D855" s="169" t="s">
        <v>1289</v>
      </c>
      <c r="E855" s="103" t="s">
        <v>29907</v>
      </c>
      <c r="F855" s="104"/>
      <c r="G855" s="105">
        <f t="shared" si="52"/>
        <v>389.85</v>
      </c>
      <c r="H855" s="101" t="str">
        <f t="shared" si="53"/>
        <v>Sinapi 43436</v>
      </c>
      <c r="I855" s="101" t="str">
        <f t="shared" si="54"/>
        <v>UN</v>
      </c>
      <c r="J855" s="140" t="str">
        <f t="shared" si="55"/>
        <v>CAIXA DE CONCRETO ARMADO PRE-MOLDADO, COM FUNDO E SEM TAMPA, DIMENSOES DE 0,60 X 0,60 X 0,50 M</v>
      </c>
    </row>
    <row r="856" spans="1:10" x14ac:dyDescent="0.25">
      <c r="A856" s="169">
        <v>43437</v>
      </c>
      <c r="B856" s="169" t="s">
        <v>24231</v>
      </c>
      <c r="C856" s="169" t="s">
        <v>10225</v>
      </c>
      <c r="D856" s="169" t="s">
        <v>1289</v>
      </c>
      <c r="E856" s="103" t="s">
        <v>29908</v>
      </c>
      <c r="F856" s="104"/>
      <c r="G856" s="105">
        <f t="shared" si="52"/>
        <v>706.79</v>
      </c>
      <c r="H856" s="101" t="str">
        <f t="shared" si="53"/>
        <v>Sinapi 43437</v>
      </c>
      <c r="I856" s="101" t="str">
        <f t="shared" si="54"/>
        <v>UN</v>
      </c>
      <c r="J856" s="140" t="str">
        <f t="shared" si="55"/>
        <v>CAIXA DE CONCRETO ARMADO PRE-MOLDADO, COM FUNDO E SEM TAMPA, DIMENSOES DE 0,80 X 0,80 X 0,50 M</v>
      </c>
    </row>
    <row r="857" spans="1:10" x14ac:dyDescent="0.25">
      <c r="A857" s="169">
        <v>43438</v>
      </c>
      <c r="B857" s="169" t="s">
        <v>24232</v>
      </c>
      <c r="C857" s="169" t="s">
        <v>10225</v>
      </c>
      <c r="D857" s="169" t="s">
        <v>1289</v>
      </c>
      <c r="E857" s="103" t="s">
        <v>29909</v>
      </c>
      <c r="F857" s="104"/>
      <c r="G857" s="105">
        <f t="shared" si="52"/>
        <v>1265.75</v>
      </c>
      <c r="H857" s="101" t="str">
        <f t="shared" si="53"/>
        <v>Sinapi 43438</v>
      </c>
      <c r="I857" s="101" t="str">
        <f t="shared" si="54"/>
        <v>UN</v>
      </c>
      <c r="J857" s="140" t="str">
        <f t="shared" si="55"/>
        <v>CAIXA DE CONCRETO ARMADO PRE-MOLDADO, COM FUNDO E SEM TAMPA, DIMENSOES DE 1,00 X 1,00 X 0,50 M</v>
      </c>
    </row>
    <row r="858" spans="1:10" x14ac:dyDescent="0.25">
      <c r="A858" s="169">
        <v>41627</v>
      </c>
      <c r="B858" s="169" t="s">
        <v>24233</v>
      </c>
      <c r="C858" s="169" t="s">
        <v>10225</v>
      </c>
      <c r="D858" s="169" t="s">
        <v>1289</v>
      </c>
      <c r="E858" s="103" t="s">
        <v>29910</v>
      </c>
      <c r="F858" s="104"/>
      <c r="G858" s="105">
        <f t="shared" si="52"/>
        <v>187.33</v>
      </c>
      <c r="H858" s="101" t="str">
        <f t="shared" si="53"/>
        <v>Sinapi 41627</v>
      </c>
      <c r="I858" s="101" t="str">
        <f t="shared" si="54"/>
        <v>UN</v>
      </c>
      <c r="J858" s="140" t="str">
        <f t="shared" si="55"/>
        <v>CAIXA DE CONCRETO ARMADO PRE-MOLDADO, COM FUNDO E TAMPA, DIMENSOES DE 0,30 X 0,30 X 0,30 M</v>
      </c>
    </row>
    <row r="859" spans="1:10" x14ac:dyDescent="0.25">
      <c r="A859" s="169">
        <v>41628</v>
      </c>
      <c r="B859" s="169" t="s">
        <v>24234</v>
      </c>
      <c r="C859" s="169" t="s">
        <v>10225</v>
      </c>
      <c r="D859" s="169" t="s">
        <v>1289</v>
      </c>
      <c r="E859" s="103" t="s">
        <v>29911</v>
      </c>
      <c r="F859" s="104"/>
      <c r="G859" s="105">
        <f t="shared" si="52"/>
        <v>344.28</v>
      </c>
      <c r="H859" s="101" t="str">
        <f t="shared" si="53"/>
        <v>Sinapi 41628</v>
      </c>
      <c r="I859" s="101" t="str">
        <f t="shared" si="54"/>
        <v>UN</v>
      </c>
      <c r="J859" s="140" t="str">
        <f t="shared" si="55"/>
        <v>CAIXA DE CONCRETO ARMADO PRE-MOLDADO, COM FUNDO E TAMPA, DIMENSOES DE 0,40 X 0,40 X 0,40 M</v>
      </c>
    </row>
    <row r="860" spans="1:10" x14ac:dyDescent="0.25">
      <c r="A860" s="169">
        <v>41629</v>
      </c>
      <c r="B860" s="169" t="s">
        <v>24235</v>
      </c>
      <c r="C860" s="169" t="s">
        <v>10225</v>
      </c>
      <c r="D860" s="169" t="s">
        <v>1289</v>
      </c>
      <c r="E860" s="103" t="s">
        <v>29912</v>
      </c>
      <c r="F860" s="104"/>
      <c r="G860" s="105">
        <f t="shared" si="52"/>
        <v>437.44</v>
      </c>
      <c r="H860" s="101" t="str">
        <f t="shared" si="53"/>
        <v>Sinapi 41629</v>
      </c>
      <c r="I860" s="101" t="str">
        <f t="shared" si="54"/>
        <v>UN</v>
      </c>
      <c r="J860" s="140" t="str">
        <f t="shared" si="55"/>
        <v>CAIXA DE CONCRETO ARMADO PRE-MOLDADO, COM FUNDO E TAMPA, DIMENSOES DE 0,60 X 0,60 X 0,50 M</v>
      </c>
    </row>
    <row r="861" spans="1:10" x14ac:dyDescent="0.25">
      <c r="A861" s="169">
        <v>43429</v>
      </c>
      <c r="B861" s="169" t="s">
        <v>24236</v>
      </c>
      <c r="C861" s="169" t="s">
        <v>10225</v>
      </c>
      <c r="D861" s="169" t="s">
        <v>1289</v>
      </c>
      <c r="E861" s="103" t="s">
        <v>29913</v>
      </c>
      <c r="F861" s="104"/>
      <c r="G861" s="105">
        <f t="shared" si="52"/>
        <v>96.92</v>
      </c>
      <c r="H861" s="101" t="str">
        <f t="shared" si="53"/>
        <v>Sinapi 43429</v>
      </c>
      <c r="I861" s="101" t="str">
        <f t="shared" si="54"/>
        <v>UN</v>
      </c>
      <c r="J861" s="140" t="str">
        <f t="shared" si="55"/>
        <v>CAIXA DE CONCRETO ARMADO PRE-MOLDADO, SEM FUNDO, QUADRADA, DIMENSOES DE 0,30 X 0,30 X 0,30 M</v>
      </c>
    </row>
    <row r="862" spans="1:10" x14ac:dyDescent="0.25">
      <c r="A862" s="169">
        <v>43430</v>
      </c>
      <c r="B862" s="169" t="s">
        <v>24238</v>
      </c>
      <c r="C862" s="169" t="s">
        <v>10225</v>
      </c>
      <c r="D862" s="169" t="s">
        <v>1289</v>
      </c>
      <c r="E862" s="103" t="s">
        <v>29914</v>
      </c>
      <c r="F862" s="104"/>
      <c r="G862" s="105">
        <f t="shared" si="52"/>
        <v>161</v>
      </c>
      <c r="H862" s="101" t="str">
        <f t="shared" si="53"/>
        <v>Sinapi 43430</v>
      </c>
      <c r="I862" s="101" t="str">
        <f t="shared" si="54"/>
        <v>UN</v>
      </c>
      <c r="J862" s="140" t="str">
        <f t="shared" si="55"/>
        <v>CAIXA DE CONCRETO ARMADO PRE-MOLDADO, SEM FUNDO, QUADRADA, DIMENSOES DE 0,40 X 0,40 X 0,40 M</v>
      </c>
    </row>
    <row r="863" spans="1:10" x14ac:dyDescent="0.25">
      <c r="A863" s="169">
        <v>43431</v>
      </c>
      <c r="B863" s="169" t="s">
        <v>24239</v>
      </c>
      <c r="C863" s="169" t="s">
        <v>10225</v>
      </c>
      <c r="D863" s="169" t="s">
        <v>1289</v>
      </c>
      <c r="E863" s="103" t="s">
        <v>29915</v>
      </c>
      <c r="F863" s="104"/>
      <c r="G863" s="105">
        <f t="shared" si="52"/>
        <v>311.88</v>
      </c>
      <c r="H863" s="101" t="str">
        <f t="shared" si="53"/>
        <v>Sinapi 43431</v>
      </c>
      <c r="I863" s="101" t="str">
        <f t="shared" si="54"/>
        <v>UN</v>
      </c>
      <c r="J863" s="140" t="str">
        <f t="shared" si="55"/>
        <v>CAIXA DE CONCRETO ARMADO PRE-MOLDADO, SEM FUNDO, QUADRADA, DIMENSOES DE 0,60 X 0,60 X 0,50 M</v>
      </c>
    </row>
    <row r="864" spans="1:10" x14ac:dyDescent="0.25">
      <c r="A864" s="169">
        <v>43432</v>
      </c>
      <c r="B864" s="169" t="s">
        <v>24240</v>
      </c>
      <c r="C864" s="169" t="s">
        <v>10225</v>
      </c>
      <c r="D864" s="169" t="s">
        <v>1289</v>
      </c>
      <c r="E864" s="103" t="s">
        <v>29916</v>
      </c>
      <c r="F864" s="104"/>
      <c r="G864" s="105">
        <f t="shared" si="52"/>
        <v>648.05999999999995</v>
      </c>
      <c r="H864" s="101" t="str">
        <f t="shared" si="53"/>
        <v>Sinapi 43432</v>
      </c>
      <c r="I864" s="101" t="str">
        <f t="shared" si="54"/>
        <v>UN</v>
      </c>
      <c r="J864" s="140" t="str">
        <f t="shared" si="55"/>
        <v>CAIXA DE CONCRETO ARMADO PRE-MOLDADO, SEM FUNDO, QUADRADA, DIMENSOES DE 0,80 X 0,80 X 0,50 M</v>
      </c>
    </row>
    <row r="865" spans="1:10" x14ac:dyDescent="0.25">
      <c r="A865" s="169">
        <v>43433</v>
      </c>
      <c r="B865" s="169" t="s">
        <v>24241</v>
      </c>
      <c r="C865" s="169" t="s">
        <v>10225</v>
      </c>
      <c r="D865" s="169" t="s">
        <v>1289</v>
      </c>
      <c r="E865" s="103" t="s">
        <v>29917</v>
      </c>
      <c r="F865" s="104"/>
      <c r="G865" s="105">
        <f t="shared" si="52"/>
        <v>1021.71</v>
      </c>
      <c r="H865" s="101" t="str">
        <f t="shared" si="53"/>
        <v>Sinapi 43433</v>
      </c>
      <c r="I865" s="101" t="str">
        <f t="shared" si="54"/>
        <v>UN</v>
      </c>
      <c r="J865" s="140" t="str">
        <f t="shared" si="55"/>
        <v>CAIXA DE CONCRETO ARMADO PRE-MOLDADO, SEM FUNDO, QUADRADA, DIMENSOES DE 1,00 X 1,00 X 0,50 M</v>
      </c>
    </row>
    <row r="866" spans="1:10" x14ac:dyDescent="0.25">
      <c r="A866" s="169">
        <v>43094</v>
      </c>
      <c r="B866" s="169" t="s">
        <v>24242</v>
      </c>
      <c r="C866" s="169" t="s">
        <v>10225</v>
      </c>
      <c r="D866" s="169" t="s">
        <v>1289</v>
      </c>
      <c r="E866" s="103" t="s">
        <v>29918</v>
      </c>
      <c r="F866" s="104"/>
      <c r="G866" s="105">
        <f t="shared" si="52"/>
        <v>254.06</v>
      </c>
      <c r="H866" s="101" t="str">
        <f t="shared" si="53"/>
        <v>Sinapi 43094</v>
      </c>
      <c r="I866" s="101" t="str">
        <f t="shared" si="54"/>
        <v>UN</v>
      </c>
      <c r="J866" s="140" t="str">
        <f t="shared" si="55"/>
        <v>CAIXA DE DERIVACAO PARA MEDIDOR DE ENERGIA, COM BARRAMENTO MONOFASICO, EM POLICARBONATO / TERMOPLASTICO - MODULO (PADRAO CONCESSIONARIA LOCAL)</v>
      </c>
    </row>
    <row r="867" spans="1:10" x14ac:dyDescent="0.25">
      <c r="A867" s="169">
        <v>43093</v>
      </c>
      <c r="B867" s="169" t="s">
        <v>24243</v>
      </c>
      <c r="C867" s="169" t="s">
        <v>10225</v>
      </c>
      <c r="D867" s="169" t="s">
        <v>1289</v>
      </c>
      <c r="E867" s="103" t="s">
        <v>29919</v>
      </c>
      <c r="F867" s="104"/>
      <c r="G867" s="105">
        <f t="shared" si="52"/>
        <v>269.99</v>
      </c>
      <c r="H867" s="101" t="str">
        <f t="shared" si="53"/>
        <v>Sinapi 43093</v>
      </c>
      <c r="I867" s="101" t="str">
        <f t="shared" si="54"/>
        <v>UN</v>
      </c>
      <c r="J867" s="140" t="str">
        <f t="shared" si="55"/>
        <v>CAIXA DE DERIVACAO PARA MEDIDOR DE ENERGIA, COM BARRAMENTO POLIFASICO, EM POLICARBONATO / TERMOPLASTICO - MODULO (PADRAO CONCESSIONARIA LOCAL)</v>
      </c>
    </row>
    <row r="868" spans="1:10" x14ac:dyDescent="0.25">
      <c r="A868" s="169">
        <v>11694</v>
      </c>
      <c r="B868" s="169" t="s">
        <v>29920</v>
      </c>
      <c r="C868" s="169" t="s">
        <v>10225</v>
      </c>
      <c r="D868" s="169" t="s">
        <v>1289</v>
      </c>
      <c r="E868" s="103" t="s">
        <v>29921</v>
      </c>
      <c r="F868" s="104"/>
      <c r="G868" s="105">
        <f t="shared" si="52"/>
        <v>1040.49</v>
      </c>
      <c r="H868" s="101" t="str">
        <f t="shared" si="53"/>
        <v>Sinapi 11694</v>
      </c>
      <c r="I868" s="101" t="str">
        <f t="shared" si="54"/>
        <v>UN</v>
      </c>
      <c r="J868" s="140" t="str">
        <f t="shared" si="55"/>
        <v>CAIXA DE DESCARGA PLASTICA PARA BACIA / VASO SANITARIO DE EMBUTIR, COM ESPELHO ACIONADOR EM PLASTICO, CAPACIDADE 6 A 10 LITROS, (COMPLETA - ACESSORIOS INCLUSOS)</v>
      </c>
    </row>
    <row r="869" spans="1:10" x14ac:dyDescent="0.25">
      <c r="A869" s="169">
        <v>1030</v>
      </c>
      <c r="B869" s="169" t="s">
        <v>29922</v>
      </c>
      <c r="C869" s="169" t="s">
        <v>10225</v>
      </c>
      <c r="D869" s="169" t="s">
        <v>1288</v>
      </c>
      <c r="E869" s="103" t="s">
        <v>29923</v>
      </c>
      <c r="F869" s="104"/>
      <c r="G869" s="105">
        <f t="shared" si="52"/>
        <v>47.07</v>
      </c>
      <c r="H869" s="101" t="str">
        <f t="shared" si="53"/>
        <v>Sinapi 1030</v>
      </c>
      <c r="I869" s="101" t="str">
        <f t="shared" si="54"/>
        <v>UN</v>
      </c>
      <c r="J869" s="140" t="str">
        <f t="shared" si="55"/>
        <v>CAIXA DE DESCARGA PLASTICA PARA BACIA / VASO SANITARIO, EXTERNA, CAPACIDADE 9 LITROS, PUXADOR FIO DE NYLON, NAO INCLUSO CANO, BOLSA, ENGATE</v>
      </c>
    </row>
    <row r="870" spans="1:10" x14ac:dyDescent="0.25">
      <c r="A870" s="169">
        <v>11881</v>
      </c>
      <c r="B870" s="169" t="s">
        <v>24244</v>
      </c>
      <c r="C870" s="169" t="s">
        <v>10225</v>
      </c>
      <c r="D870" s="169" t="s">
        <v>1289</v>
      </c>
      <c r="E870" s="103" t="s">
        <v>29601</v>
      </c>
      <c r="F870" s="104"/>
      <c r="G870" s="105">
        <f t="shared" si="52"/>
        <v>172.14</v>
      </c>
      <c r="H870" s="101" t="str">
        <f t="shared" si="53"/>
        <v>Sinapi 11881</v>
      </c>
      <c r="I870" s="101" t="str">
        <f t="shared" si="54"/>
        <v>UN</v>
      </c>
      <c r="J870" s="140" t="str">
        <f t="shared" si="55"/>
        <v>CAIXA DE GORDURA CILINDRICA EM CONCRETO SIMPLES, PRE-MOLDADA, COM DIAMETRO DE 40 CM E ALTURA DE 45 CM, COM TAMPA</v>
      </c>
    </row>
    <row r="871" spans="1:10" x14ac:dyDescent="0.25">
      <c r="A871" s="169">
        <v>35277</v>
      </c>
      <c r="B871" s="169" t="s">
        <v>24245</v>
      </c>
      <c r="C871" s="169" t="s">
        <v>10225</v>
      </c>
      <c r="D871" s="169" t="s">
        <v>1289</v>
      </c>
      <c r="E871" s="103" t="s">
        <v>29924</v>
      </c>
      <c r="F871" s="104"/>
      <c r="G871" s="105">
        <f t="shared" si="52"/>
        <v>361.67</v>
      </c>
      <c r="H871" s="101" t="str">
        <f t="shared" si="53"/>
        <v>Sinapi 35277</v>
      </c>
      <c r="I871" s="101" t="str">
        <f t="shared" si="54"/>
        <v>UN</v>
      </c>
      <c r="J871" s="140" t="str">
        <f t="shared" si="55"/>
        <v>CAIXA DE GORDURA EM PVC, DIAMETRO MINIMO 300 MM, DIAMETRO DE SAIDA 100 MM, CAPACIDADE APROXIMADA 18 LITROS, COM TAMPA E CESTO</v>
      </c>
    </row>
    <row r="872" spans="1:10" x14ac:dyDescent="0.25">
      <c r="A872" s="169">
        <v>10521</v>
      </c>
      <c r="B872" s="169" t="s">
        <v>24246</v>
      </c>
      <c r="C872" s="169" t="s">
        <v>10225</v>
      </c>
      <c r="D872" s="169" t="s">
        <v>1290</v>
      </c>
      <c r="E872" s="103" t="s">
        <v>29925</v>
      </c>
      <c r="F872" s="104"/>
      <c r="G872" s="105">
        <f t="shared" si="52"/>
        <v>296.95</v>
      </c>
      <c r="H872" s="101" t="str">
        <f t="shared" si="53"/>
        <v>Sinapi 10521</v>
      </c>
      <c r="I872" s="101" t="str">
        <f t="shared" si="54"/>
        <v>UN</v>
      </c>
      <c r="J872" s="140" t="str">
        <f t="shared" si="55"/>
        <v>CAIXA DE INCENDIO/ABRIGO PARA MANGUEIRA, DE EMBUTIR/INTERNA, COM 75 X 45 X 17 CM, EM CHAPA DE ACO, PORTA COM VENTILACAO, VISOR COM A INSCRICAO "INCENDIO", SUPORTE/CESTA INTERNA PARA A MANGUEIRA, PINTURA ELETROSTATICA VERMELHA</v>
      </c>
    </row>
    <row r="873" spans="1:10" x14ac:dyDescent="0.25">
      <c r="A873" s="169">
        <v>10885</v>
      </c>
      <c r="B873" s="169" t="s">
        <v>24247</v>
      </c>
      <c r="C873" s="169" t="s">
        <v>10225</v>
      </c>
      <c r="D873" s="169" t="s">
        <v>1290</v>
      </c>
      <c r="E873" s="103" t="s">
        <v>29926</v>
      </c>
      <c r="F873" s="104"/>
      <c r="G873" s="105">
        <f t="shared" si="52"/>
        <v>375.61</v>
      </c>
      <c r="H873" s="101" t="str">
        <f t="shared" si="53"/>
        <v>Sinapi 10885</v>
      </c>
      <c r="I873" s="101" t="str">
        <f t="shared" si="54"/>
        <v>UN</v>
      </c>
      <c r="J873" s="140" t="str">
        <f t="shared" si="55"/>
        <v>CAIXA DE INCENDIO/ABRIGO PARA MANGUEIRA, DE EMBUTIR/INTERNA, COM 90 X 60 X 17 CM, EM CHAPA DE ACO, PORTA COM VENTILACAO, VISOR COM A INSCRICAO "INCENDIO", SUPORTE/CESTA INTERNA PARA A MANGUEIRA, PINTURA ELETROSTATICA VERMELHA</v>
      </c>
    </row>
    <row r="874" spans="1:10" x14ac:dyDescent="0.25">
      <c r="A874" s="169">
        <v>20962</v>
      </c>
      <c r="B874" s="169" t="s">
        <v>24248</v>
      </c>
      <c r="C874" s="169" t="s">
        <v>10225</v>
      </c>
      <c r="D874" s="169" t="s">
        <v>1290</v>
      </c>
      <c r="E874" s="103" t="s">
        <v>29927</v>
      </c>
      <c r="F874" s="104"/>
      <c r="G874" s="105">
        <f t="shared" si="52"/>
        <v>311.10000000000002</v>
      </c>
      <c r="H874" s="101" t="str">
        <f t="shared" si="53"/>
        <v>Sinapi 20962</v>
      </c>
      <c r="I874" s="101" t="str">
        <f t="shared" si="54"/>
        <v>UN</v>
      </c>
      <c r="J874" s="140" t="str">
        <f t="shared" si="55"/>
        <v>CAIXA DE INCENDIO/ABRIGO PARA MANGUEIRA, DE SOBREPOR/EXTERNA, COM 75 X 45 X 17 CM, EM CHAPA DE ACO, PORTA COM VENTILACAO, VISOR COM A INSCRICAO "INCENDIO", SUPORTE/CESTA INTERNA PARA A MANGUEIRA, PINTURA ELETROSTATICA VERMELHA</v>
      </c>
    </row>
    <row r="875" spans="1:10" x14ac:dyDescent="0.25">
      <c r="A875" s="169">
        <v>20963</v>
      </c>
      <c r="B875" s="169" t="s">
        <v>24250</v>
      </c>
      <c r="C875" s="169" t="s">
        <v>10225</v>
      </c>
      <c r="D875" s="169" t="s">
        <v>1290</v>
      </c>
      <c r="E875" s="103" t="s">
        <v>29928</v>
      </c>
      <c r="F875" s="104"/>
      <c r="G875" s="105">
        <f t="shared" si="52"/>
        <v>380.03</v>
      </c>
      <c r="H875" s="101" t="str">
        <f t="shared" si="53"/>
        <v>Sinapi 20963</v>
      </c>
      <c r="I875" s="101" t="str">
        <f t="shared" si="54"/>
        <v>UN</v>
      </c>
      <c r="J875" s="140" t="str">
        <f t="shared" si="55"/>
        <v>CAIXA DE INCENDIO/ABRIGO PARA MANGUEIRA, DE SOBREPOR/EXTERNA, COM 90 X 60 X 17 CM, EM CHAPA DE ACO, PORTA COM VENTILACAO, VISOR COM A INSCRICAO "INCENDIO", SUPORTE/CESTA INTERNA PARA A MANGUEIRA, PINTURA ELETROSTATICA VERMELHA</v>
      </c>
    </row>
    <row r="876" spans="1:10" x14ac:dyDescent="0.25">
      <c r="A876" s="169">
        <v>34643</v>
      </c>
      <c r="B876" s="169" t="s">
        <v>24251</v>
      </c>
      <c r="C876" s="169" t="s">
        <v>10225</v>
      </c>
      <c r="D876" s="169" t="s">
        <v>1289</v>
      </c>
      <c r="E876" s="103" t="s">
        <v>29929</v>
      </c>
      <c r="F876" s="104"/>
      <c r="G876" s="105">
        <f t="shared" si="52"/>
        <v>41.65</v>
      </c>
      <c r="H876" s="101" t="str">
        <f t="shared" si="53"/>
        <v>Sinapi 34643</v>
      </c>
      <c r="I876" s="101" t="str">
        <f t="shared" si="54"/>
        <v>UN</v>
      </c>
      <c r="J876" s="140" t="str">
        <f t="shared" si="55"/>
        <v>CAIXA DE INSPECAO PARA ATERRAMENTO E PARA RAIOS, EM POLIPROPILENO, DIAMETRO = 300 MM X ALTURA = 400 MM</v>
      </c>
    </row>
    <row r="877" spans="1:10" x14ac:dyDescent="0.25">
      <c r="A877" s="169">
        <v>41480</v>
      </c>
      <c r="B877" s="169" t="s">
        <v>24252</v>
      </c>
      <c r="C877" s="169" t="s">
        <v>10225</v>
      </c>
      <c r="D877" s="169" t="s">
        <v>1289</v>
      </c>
      <c r="E877" s="103" t="s">
        <v>29013</v>
      </c>
      <c r="F877" s="104"/>
      <c r="G877" s="105">
        <f t="shared" si="52"/>
        <v>48.29</v>
      </c>
      <c r="H877" s="101" t="str">
        <f t="shared" si="53"/>
        <v>Sinapi 41480</v>
      </c>
      <c r="I877" s="101" t="str">
        <f t="shared" si="54"/>
        <v>UN</v>
      </c>
      <c r="J877" s="140" t="str">
        <f t="shared" si="55"/>
        <v>CAIXA DE INSPECAO PARA ATERRAMENTO OU OUTRO USO, EM PVC, DN = 250 X 250 MM</v>
      </c>
    </row>
    <row r="878" spans="1:10" x14ac:dyDescent="0.25">
      <c r="A878" s="169">
        <v>41474</v>
      </c>
      <c r="B878" s="169" t="s">
        <v>24253</v>
      </c>
      <c r="C878" s="169" t="s">
        <v>10225</v>
      </c>
      <c r="D878" s="169" t="s">
        <v>1289</v>
      </c>
      <c r="E878" s="103" t="s">
        <v>29930</v>
      </c>
      <c r="F878" s="104"/>
      <c r="G878" s="105">
        <f t="shared" si="52"/>
        <v>77.14</v>
      </c>
      <c r="H878" s="101" t="str">
        <f t="shared" si="53"/>
        <v>Sinapi 41474</v>
      </c>
      <c r="I878" s="101" t="str">
        <f t="shared" si="54"/>
        <v>UN</v>
      </c>
      <c r="J878" s="140" t="str">
        <f t="shared" si="55"/>
        <v>CAIXA DE INSPECAO PARA ATERRAMENTO OU OUTRO USO, EM PVC, DN = 300 X *300* MM</v>
      </c>
    </row>
    <row r="879" spans="1:10" x14ac:dyDescent="0.25">
      <c r="A879" s="169">
        <v>41475</v>
      </c>
      <c r="B879" s="169" t="s">
        <v>24254</v>
      </c>
      <c r="C879" s="169" t="s">
        <v>10225</v>
      </c>
      <c r="D879" s="169" t="s">
        <v>1289</v>
      </c>
      <c r="E879" s="103" t="s">
        <v>29931</v>
      </c>
      <c r="F879" s="104"/>
      <c r="G879" s="105">
        <f t="shared" si="52"/>
        <v>65.819999999999993</v>
      </c>
      <c r="H879" s="101" t="str">
        <f t="shared" si="53"/>
        <v>Sinapi 41475</v>
      </c>
      <c r="I879" s="101" t="str">
        <f t="shared" si="54"/>
        <v>UN</v>
      </c>
      <c r="J879" s="140" t="str">
        <f t="shared" si="55"/>
        <v>CAIXA DE INSPECAO PARA ATERRAMENTO OU OUTRO USO, EM PVC, DN = 300 X 250 MM</v>
      </c>
    </row>
    <row r="880" spans="1:10" x14ac:dyDescent="0.25">
      <c r="A880" s="169">
        <v>41476</v>
      </c>
      <c r="B880" s="169" t="s">
        <v>24255</v>
      </c>
      <c r="C880" s="169" t="s">
        <v>10225</v>
      </c>
      <c r="D880" s="169" t="s">
        <v>1289</v>
      </c>
      <c r="E880" s="103" t="s">
        <v>23297</v>
      </c>
      <c r="F880" s="104"/>
      <c r="G880" s="105">
        <f t="shared" si="52"/>
        <v>144.13</v>
      </c>
      <c r="H880" s="101" t="str">
        <f t="shared" si="53"/>
        <v>Sinapi 41476</v>
      </c>
      <c r="I880" s="101" t="str">
        <f t="shared" si="54"/>
        <v>UN</v>
      </c>
      <c r="J880" s="140" t="str">
        <f t="shared" si="55"/>
        <v>CAIXA DE INSPECAO PARA ATERRAMENTO OU OUTRO USO, EM PVC, DN = 300 X 600 MM</v>
      </c>
    </row>
    <row r="881" spans="1:10" x14ac:dyDescent="0.25">
      <c r="A881" s="169">
        <v>2555</v>
      </c>
      <c r="B881" s="169" t="s">
        <v>24256</v>
      </c>
      <c r="C881" s="169" t="s">
        <v>10225</v>
      </c>
      <c r="D881" s="169" t="s">
        <v>1289</v>
      </c>
      <c r="E881" s="103" t="s">
        <v>3190</v>
      </c>
      <c r="F881" s="104"/>
      <c r="G881" s="105">
        <f t="shared" si="52"/>
        <v>1.74</v>
      </c>
      <c r="H881" s="101" t="str">
        <f t="shared" si="53"/>
        <v>Sinapi 2555</v>
      </c>
      <c r="I881" s="101" t="str">
        <f t="shared" si="54"/>
        <v>UN</v>
      </c>
      <c r="J881" s="140" t="str">
        <f t="shared" si="55"/>
        <v>CAIXA DE LUZ "3 X 3" EM ACO ESMALTADA</v>
      </c>
    </row>
    <row r="882" spans="1:10" x14ac:dyDescent="0.25">
      <c r="A882" s="169">
        <v>2556</v>
      </c>
      <c r="B882" s="169" t="s">
        <v>24257</v>
      </c>
      <c r="C882" s="169" t="s">
        <v>10225</v>
      </c>
      <c r="D882" s="169" t="s">
        <v>1289</v>
      </c>
      <c r="E882" s="103" t="s">
        <v>3218</v>
      </c>
      <c r="F882" s="104"/>
      <c r="G882" s="105">
        <f t="shared" si="52"/>
        <v>1.8</v>
      </c>
      <c r="H882" s="101" t="str">
        <f t="shared" si="53"/>
        <v>Sinapi 2556</v>
      </c>
      <c r="I882" s="101" t="str">
        <f t="shared" si="54"/>
        <v>UN</v>
      </c>
      <c r="J882" s="140" t="str">
        <f t="shared" si="55"/>
        <v>CAIXA DE LUZ "4 X 2" EM ACO ESMALTADA</v>
      </c>
    </row>
    <row r="883" spans="1:10" x14ac:dyDescent="0.25">
      <c r="A883" s="169">
        <v>2557</v>
      </c>
      <c r="B883" s="169" t="s">
        <v>24258</v>
      </c>
      <c r="C883" s="169" t="s">
        <v>10225</v>
      </c>
      <c r="D883" s="169" t="s">
        <v>1289</v>
      </c>
      <c r="E883" s="103" t="s">
        <v>20987</v>
      </c>
      <c r="F883" s="104"/>
      <c r="G883" s="105">
        <f t="shared" si="52"/>
        <v>3.81</v>
      </c>
      <c r="H883" s="101" t="str">
        <f t="shared" si="53"/>
        <v>Sinapi 2557</v>
      </c>
      <c r="I883" s="101" t="str">
        <f t="shared" si="54"/>
        <v>UN</v>
      </c>
      <c r="J883" s="140" t="str">
        <f t="shared" si="55"/>
        <v>CAIXA DE LUZ "4 X 4" EM ACO ESMALTADA</v>
      </c>
    </row>
    <row r="884" spans="1:10" x14ac:dyDescent="0.25">
      <c r="A884" s="169">
        <v>10569</v>
      </c>
      <c r="B884" s="169" t="s">
        <v>24259</v>
      </c>
      <c r="C884" s="169" t="s">
        <v>10225</v>
      </c>
      <c r="D884" s="169" t="s">
        <v>1289</v>
      </c>
      <c r="E884" s="103" t="s">
        <v>20987</v>
      </c>
      <c r="F884" s="104"/>
      <c r="G884" s="105">
        <f t="shared" si="52"/>
        <v>3.81</v>
      </c>
      <c r="H884" s="101" t="str">
        <f t="shared" si="53"/>
        <v>Sinapi 10569</v>
      </c>
      <c r="I884" s="101" t="str">
        <f t="shared" si="54"/>
        <v>UN</v>
      </c>
      <c r="J884" s="140" t="str">
        <f t="shared" si="55"/>
        <v>CAIXA DE PASSAGEM / DERIVACAO / LUZ, OCTOGONAL 4 X4, EM ACO ESMALTADA, COM FUNDO MOVEL SIMPLES (FMS)</v>
      </c>
    </row>
    <row r="885" spans="1:10" x14ac:dyDescent="0.25">
      <c r="A885" s="169">
        <v>39810</v>
      </c>
      <c r="B885" s="169" t="s">
        <v>24260</v>
      </c>
      <c r="C885" s="169" t="s">
        <v>10225</v>
      </c>
      <c r="D885" s="169" t="s">
        <v>1289</v>
      </c>
      <c r="E885" s="103" t="s">
        <v>23081</v>
      </c>
      <c r="F885" s="104"/>
      <c r="G885" s="105">
        <f t="shared" si="52"/>
        <v>34.28</v>
      </c>
      <c r="H885" s="101" t="str">
        <f t="shared" si="53"/>
        <v>Sinapi 39810</v>
      </c>
      <c r="I885" s="101" t="str">
        <f t="shared" si="54"/>
        <v>UN</v>
      </c>
      <c r="J885" s="140" t="str">
        <f t="shared" si="55"/>
        <v>CAIXA DE PASSAGEM ELETRICA DE PAREDE, DE EMBUTIR, EM PVC, COM TAMPA APARAFUSADA, DIMENSOES 120 X 120 X *75* MM</v>
      </c>
    </row>
    <row r="886" spans="1:10" x14ac:dyDescent="0.25">
      <c r="A886" s="169">
        <v>39811</v>
      </c>
      <c r="B886" s="169" t="s">
        <v>330</v>
      </c>
      <c r="C886" s="169" t="s">
        <v>10225</v>
      </c>
      <c r="D886" s="169" t="s">
        <v>1289</v>
      </c>
      <c r="E886" s="103" t="s">
        <v>29932</v>
      </c>
      <c r="F886" s="104"/>
      <c r="G886" s="105">
        <f t="shared" si="52"/>
        <v>41.94</v>
      </c>
      <c r="H886" s="101" t="str">
        <f t="shared" si="53"/>
        <v>Sinapi 39811</v>
      </c>
      <c r="I886" s="101" t="str">
        <f t="shared" si="54"/>
        <v>UN</v>
      </c>
      <c r="J886" s="140" t="str">
        <f t="shared" si="55"/>
        <v>CAIXA DE PASSAGEM ELETRICA DE PAREDE, DE EMBUTIR, EM PVC, COM TAMPA APARAFUSADA, DIMENSOES 150 X 150 X *75* MM</v>
      </c>
    </row>
    <row r="887" spans="1:10" x14ac:dyDescent="0.25">
      <c r="A887" s="169">
        <v>39812</v>
      </c>
      <c r="B887" s="169" t="s">
        <v>24262</v>
      </c>
      <c r="C887" s="169" t="s">
        <v>10225</v>
      </c>
      <c r="D887" s="169" t="s">
        <v>1289</v>
      </c>
      <c r="E887" s="103" t="s">
        <v>27904</v>
      </c>
      <c r="F887" s="104"/>
      <c r="G887" s="105">
        <f t="shared" si="52"/>
        <v>68.959999999999994</v>
      </c>
      <c r="H887" s="101" t="str">
        <f t="shared" si="53"/>
        <v>Sinapi 39812</v>
      </c>
      <c r="I887" s="101" t="str">
        <f t="shared" si="54"/>
        <v>UN</v>
      </c>
      <c r="J887" s="140" t="str">
        <f t="shared" si="55"/>
        <v>CAIXA DE PASSAGEM ELETRICA DE PAREDE, DE EMBUTIR, EM PVC, COM TAMPA APARAFUSADA, DIMENSOES 200 X 200 X *90* MM</v>
      </c>
    </row>
    <row r="888" spans="1:10" x14ac:dyDescent="0.25">
      <c r="A888" s="169">
        <v>43096</v>
      </c>
      <c r="B888" s="169" t="s">
        <v>24263</v>
      </c>
      <c r="C888" s="169" t="s">
        <v>10225</v>
      </c>
      <c r="D888" s="169" t="s">
        <v>1289</v>
      </c>
      <c r="E888" s="103" t="s">
        <v>29933</v>
      </c>
      <c r="F888" s="104"/>
      <c r="G888" s="105">
        <f t="shared" si="52"/>
        <v>228.57</v>
      </c>
      <c r="H888" s="101" t="str">
        <f t="shared" si="53"/>
        <v>Sinapi 43096</v>
      </c>
      <c r="I888" s="101" t="str">
        <f t="shared" si="54"/>
        <v>UN</v>
      </c>
      <c r="J888" s="140" t="str">
        <f t="shared" si="55"/>
        <v>CAIXA DE PASSAGEM ELETRICA DE PAREDE, DE EMBUTIR, EM TERMOPLASTICO / PVC, COM TAMPA APARAFUSADA, DIMENSOES 400 X 400 X *120* MM</v>
      </c>
    </row>
    <row r="889" spans="1:10" x14ac:dyDescent="0.25">
      <c r="A889" s="169">
        <v>43102</v>
      </c>
      <c r="B889" s="169" t="s">
        <v>24264</v>
      </c>
      <c r="C889" s="169" t="s">
        <v>10225</v>
      </c>
      <c r="D889" s="169" t="s">
        <v>1289</v>
      </c>
      <c r="E889" s="103" t="s">
        <v>29934</v>
      </c>
      <c r="F889" s="104"/>
      <c r="G889" s="105">
        <f t="shared" si="52"/>
        <v>138.97999999999999</v>
      </c>
      <c r="H889" s="101" t="str">
        <f t="shared" si="53"/>
        <v>Sinapi 43102</v>
      </c>
      <c r="I889" s="101" t="str">
        <f t="shared" si="54"/>
        <v>UN</v>
      </c>
      <c r="J889" s="140" t="str">
        <f t="shared" si="55"/>
        <v>CAIXA DE PASSAGEM ELETRICA DE PAREDE, DE SOBREPOR, EM PVC, COM TAMPA APARAFUSADA, DIMENSOES 300 X 300 X *100* MM</v>
      </c>
    </row>
    <row r="890" spans="1:10" x14ac:dyDescent="0.25">
      <c r="A890" s="169">
        <v>43103</v>
      </c>
      <c r="B890" s="169" t="s">
        <v>24265</v>
      </c>
      <c r="C890" s="169" t="s">
        <v>10225</v>
      </c>
      <c r="D890" s="169" t="s">
        <v>1289</v>
      </c>
      <c r="E890" s="103" t="s">
        <v>23067</v>
      </c>
      <c r="F890" s="104"/>
      <c r="G890" s="105">
        <f t="shared" si="52"/>
        <v>204.66</v>
      </c>
      <c r="H890" s="101" t="str">
        <f t="shared" si="53"/>
        <v>Sinapi 43103</v>
      </c>
      <c r="I890" s="101" t="str">
        <f t="shared" si="54"/>
        <v>UN</v>
      </c>
      <c r="J890" s="140" t="str">
        <f t="shared" si="55"/>
        <v>CAIXA DE PASSAGEM ELETRICA DE PAREDE, DE SOBREPOR, EM PVC, COM TAMPA APARAFUSADA, DIMENSOES, 400 X 400 X *120* MM</v>
      </c>
    </row>
    <row r="891" spans="1:10" x14ac:dyDescent="0.25">
      <c r="A891" s="169">
        <v>43098</v>
      </c>
      <c r="B891" s="169" t="s">
        <v>24266</v>
      </c>
      <c r="C891" s="169" t="s">
        <v>10225</v>
      </c>
      <c r="D891" s="169" t="s">
        <v>1289</v>
      </c>
      <c r="E891" s="103" t="s">
        <v>29935</v>
      </c>
      <c r="F891" s="104"/>
      <c r="G891" s="105">
        <f t="shared" si="52"/>
        <v>77.42</v>
      </c>
      <c r="H891" s="101" t="str">
        <f t="shared" si="53"/>
        <v>Sinapi 43098</v>
      </c>
      <c r="I891" s="101" t="str">
        <f t="shared" si="54"/>
        <v>UN</v>
      </c>
      <c r="J891" s="140" t="str">
        <f t="shared" si="55"/>
        <v>CAIXA DE PASSAGEM ELETRICA DE PAREDE, DE SOBREPOR, EM TERMOPLASTICO / PVC, COM TAMPA APARAFUSA, DIMENSOES 200 X 200 X *100* MM</v>
      </c>
    </row>
    <row r="892" spans="1:10" x14ac:dyDescent="0.25">
      <c r="A892" s="169">
        <v>43097</v>
      </c>
      <c r="B892" s="169" t="s">
        <v>24268</v>
      </c>
      <c r="C892" s="169" t="s">
        <v>10225</v>
      </c>
      <c r="D892" s="169" t="s">
        <v>1289</v>
      </c>
      <c r="E892" s="103" t="s">
        <v>28519</v>
      </c>
      <c r="F892" s="104"/>
      <c r="G892" s="105">
        <f t="shared" si="52"/>
        <v>45.87</v>
      </c>
      <c r="H892" s="101" t="str">
        <f t="shared" si="53"/>
        <v>Sinapi 43097</v>
      </c>
      <c r="I892" s="101" t="str">
        <f t="shared" si="54"/>
        <v>UN</v>
      </c>
      <c r="J892" s="140" t="str">
        <f t="shared" si="55"/>
        <v>CAIXA DE PASSAGEM ELETRICA DE PAREDE, DE SOBREPOR, EM TERMOPLASTICO / PVC, COM TAMPA APARAFUSADA, DIMENSOES, 150 X 150 X *100* MM</v>
      </c>
    </row>
    <row r="893" spans="1:10" x14ac:dyDescent="0.25">
      <c r="A893" s="169">
        <v>43104</v>
      </c>
      <c r="B893" s="169" t="s">
        <v>24270</v>
      </c>
      <c r="C893" s="169" t="s">
        <v>10225</v>
      </c>
      <c r="D893" s="169" t="s">
        <v>1289</v>
      </c>
      <c r="E893" s="103" t="s">
        <v>29936</v>
      </c>
      <c r="F893" s="104"/>
      <c r="G893" s="105">
        <f t="shared" si="52"/>
        <v>542.6</v>
      </c>
      <c r="H893" s="101" t="str">
        <f t="shared" si="53"/>
        <v>Sinapi 43104</v>
      </c>
      <c r="I893" s="101" t="str">
        <f t="shared" si="54"/>
        <v>UN</v>
      </c>
      <c r="J893" s="140" t="str">
        <f t="shared" si="55"/>
        <v>CAIXA DE PASSAGEM ELETRICA, PARA PISO, EM PVC, DIMENSOES DE 3/4" A 4"</v>
      </c>
    </row>
    <row r="894" spans="1:10" x14ac:dyDescent="0.25">
      <c r="A894" s="169">
        <v>39771</v>
      </c>
      <c r="B894" s="169" t="s">
        <v>24271</v>
      </c>
      <c r="C894" s="169" t="s">
        <v>10225</v>
      </c>
      <c r="D894" s="169" t="s">
        <v>1289</v>
      </c>
      <c r="E894" s="103" t="s">
        <v>29937</v>
      </c>
      <c r="F894" s="104"/>
      <c r="G894" s="105">
        <f t="shared" si="52"/>
        <v>36.61</v>
      </c>
      <c r="H894" s="101" t="str">
        <f t="shared" si="53"/>
        <v>Sinapi 39771</v>
      </c>
      <c r="I894" s="101" t="str">
        <f t="shared" si="54"/>
        <v>UN</v>
      </c>
      <c r="J894" s="140" t="str">
        <f t="shared" si="55"/>
        <v>CAIXA DE PASSAGEM METALICA DE SOBREPOR COM TAMPA PARAFUSADA, DIMENSOES 20 X 20 X 10 CM</v>
      </c>
    </row>
    <row r="895" spans="1:10" x14ac:dyDescent="0.25">
      <c r="A895" s="169">
        <v>39772</v>
      </c>
      <c r="B895" s="169" t="s">
        <v>10246</v>
      </c>
      <c r="C895" s="169" t="s">
        <v>10225</v>
      </c>
      <c r="D895" s="169" t="s">
        <v>1289</v>
      </c>
      <c r="E895" s="103" t="s">
        <v>24519</v>
      </c>
      <c r="F895" s="104"/>
      <c r="G895" s="105">
        <f t="shared" si="52"/>
        <v>71.95</v>
      </c>
      <c r="H895" s="101" t="str">
        <f t="shared" si="53"/>
        <v>Sinapi 39772</v>
      </c>
      <c r="I895" s="101" t="str">
        <f t="shared" si="54"/>
        <v>UN</v>
      </c>
      <c r="J895" s="140" t="str">
        <f t="shared" si="55"/>
        <v>CAIXA DE PASSAGEM METALICA DE SOBREPOR COM TAMPA PARAFUSADA, DIMENSOES 30 X 30 X 10 CM</v>
      </c>
    </row>
    <row r="896" spans="1:10" x14ac:dyDescent="0.25">
      <c r="A896" s="169">
        <v>39773</v>
      </c>
      <c r="B896" s="169" t="s">
        <v>24273</v>
      </c>
      <c r="C896" s="169" t="s">
        <v>10225</v>
      </c>
      <c r="D896" s="169" t="s">
        <v>1289</v>
      </c>
      <c r="E896" s="103" t="s">
        <v>29938</v>
      </c>
      <c r="F896" s="104"/>
      <c r="G896" s="105">
        <f t="shared" si="52"/>
        <v>115.65</v>
      </c>
      <c r="H896" s="101" t="str">
        <f t="shared" si="53"/>
        <v>Sinapi 39773</v>
      </c>
      <c r="I896" s="101" t="str">
        <f t="shared" si="54"/>
        <v>UN</v>
      </c>
      <c r="J896" s="140" t="str">
        <f t="shared" si="55"/>
        <v>CAIXA DE PASSAGEM METALICA DE SOBREPOR COM TAMPA PARAFUSADA, DIMENSOES 40 X 40 X 15 CM</v>
      </c>
    </row>
    <row r="897" spans="1:10" x14ac:dyDescent="0.25">
      <c r="A897" s="169">
        <v>39774</v>
      </c>
      <c r="B897" s="169" t="s">
        <v>24274</v>
      </c>
      <c r="C897" s="169" t="s">
        <v>10225</v>
      </c>
      <c r="D897" s="169" t="s">
        <v>1289</v>
      </c>
      <c r="E897" s="103" t="s">
        <v>29939</v>
      </c>
      <c r="F897" s="104"/>
      <c r="G897" s="105">
        <f t="shared" si="52"/>
        <v>172.98</v>
      </c>
      <c r="H897" s="101" t="str">
        <f t="shared" si="53"/>
        <v>Sinapi 39774</v>
      </c>
      <c r="I897" s="101" t="str">
        <f t="shared" si="54"/>
        <v>UN</v>
      </c>
      <c r="J897" s="140" t="str">
        <f t="shared" si="55"/>
        <v>CAIXA DE PASSAGEM METALICA DE SOBREPOR COM TAMPA PARAFUSADA, DIMENSOES 50 X 50 X 15 CM</v>
      </c>
    </row>
    <row r="898" spans="1:10" x14ac:dyDescent="0.25">
      <c r="A898" s="169">
        <v>39775</v>
      </c>
      <c r="B898" s="169" t="s">
        <v>24275</v>
      </c>
      <c r="C898" s="169" t="s">
        <v>10225</v>
      </c>
      <c r="D898" s="169" t="s">
        <v>1289</v>
      </c>
      <c r="E898" s="103" t="s">
        <v>29093</v>
      </c>
      <c r="F898" s="104"/>
      <c r="G898" s="105">
        <f t="shared" si="52"/>
        <v>230.87</v>
      </c>
      <c r="H898" s="101" t="str">
        <f t="shared" si="53"/>
        <v>Sinapi 39775</v>
      </c>
      <c r="I898" s="101" t="str">
        <f t="shared" si="54"/>
        <v>UN</v>
      </c>
      <c r="J898" s="140" t="str">
        <f t="shared" si="55"/>
        <v>CAIXA DE PASSAGEM METALICA DE SOBREPOR COM TAMPA PARAFUSADA, DIMENSOES 60 X 60 X 20 CM</v>
      </c>
    </row>
    <row r="899" spans="1:10" x14ac:dyDescent="0.25">
      <c r="A899" s="169">
        <v>39776</v>
      </c>
      <c r="B899" s="169" t="s">
        <v>24277</v>
      </c>
      <c r="C899" s="169" t="s">
        <v>10225</v>
      </c>
      <c r="D899" s="169" t="s">
        <v>1289</v>
      </c>
      <c r="E899" s="103" t="s">
        <v>29940</v>
      </c>
      <c r="F899" s="104"/>
      <c r="G899" s="105">
        <f t="shared" si="52"/>
        <v>279.01</v>
      </c>
      <c r="H899" s="101" t="str">
        <f t="shared" si="53"/>
        <v>Sinapi 39776</v>
      </c>
      <c r="I899" s="101" t="str">
        <f t="shared" si="54"/>
        <v>UN</v>
      </c>
      <c r="J899" s="140" t="str">
        <f t="shared" si="55"/>
        <v>CAIXA DE PASSAGEM METALICA DE SOBREPOR COM TAMPA PARAFUSADA, DIMENSOES 70 X 70 X 20 CM</v>
      </c>
    </row>
    <row r="900" spans="1:10" x14ac:dyDescent="0.25">
      <c r="A900" s="169">
        <v>39777</v>
      </c>
      <c r="B900" s="169" t="s">
        <v>24278</v>
      </c>
      <c r="C900" s="169" t="s">
        <v>10225</v>
      </c>
      <c r="D900" s="169" t="s">
        <v>1289</v>
      </c>
      <c r="E900" s="103" t="s">
        <v>29941</v>
      </c>
      <c r="F900" s="104"/>
      <c r="G900" s="105">
        <f t="shared" si="52"/>
        <v>353.63</v>
      </c>
      <c r="H900" s="101" t="str">
        <f t="shared" si="53"/>
        <v>Sinapi 39777</v>
      </c>
      <c r="I900" s="101" t="str">
        <f t="shared" si="54"/>
        <v>UN</v>
      </c>
      <c r="J900" s="140" t="str">
        <f t="shared" si="55"/>
        <v>CAIXA DE PASSAGEM METALICA DE SOBREPOR COM TAMPA PARAFUSADA, DIMENSOES 80 X 80 X 20 CM</v>
      </c>
    </row>
    <row r="901" spans="1:10" x14ac:dyDescent="0.25">
      <c r="A901" s="169">
        <v>20254</v>
      </c>
      <c r="B901" s="169" t="s">
        <v>24279</v>
      </c>
      <c r="C901" s="169" t="s">
        <v>10225</v>
      </c>
      <c r="D901" s="169" t="s">
        <v>1289</v>
      </c>
      <c r="E901" s="103" t="s">
        <v>29942</v>
      </c>
      <c r="F901" s="104"/>
      <c r="G901" s="105">
        <f t="shared" si="52"/>
        <v>25.67</v>
      </c>
      <c r="H901" s="101" t="str">
        <f t="shared" si="53"/>
        <v>Sinapi 20254</v>
      </c>
      <c r="I901" s="101" t="str">
        <f t="shared" si="54"/>
        <v>UN</v>
      </c>
      <c r="J901" s="140" t="str">
        <f t="shared" si="55"/>
        <v>CAIXA DE PASSAGEM METALICA, DE SOBREPOR, COM TAMPA APARAFUSADA, DIMENSOES 15 X 15 X *10* CM</v>
      </c>
    </row>
    <row r="902" spans="1:10" x14ac:dyDescent="0.25">
      <c r="A902" s="169">
        <v>20253</v>
      </c>
      <c r="B902" s="169" t="s">
        <v>24280</v>
      </c>
      <c r="C902" s="169" t="s">
        <v>10225</v>
      </c>
      <c r="D902" s="169" t="s">
        <v>1289</v>
      </c>
      <c r="E902" s="103" t="s">
        <v>29943</v>
      </c>
      <c r="F902" s="104"/>
      <c r="G902" s="105">
        <f t="shared" si="52"/>
        <v>84.28</v>
      </c>
      <c r="H902" s="101" t="str">
        <f t="shared" si="53"/>
        <v>Sinapi 20253</v>
      </c>
      <c r="I902" s="101" t="str">
        <f t="shared" si="54"/>
        <v>UN</v>
      </c>
      <c r="J902" s="140" t="str">
        <f t="shared" si="55"/>
        <v>CAIXA DE PASSAGEM METALICA, DE SOBREPOR, COM TAMPA APARAFUSADA, DIMENSOES 35 X 35 X *12* CM</v>
      </c>
    </row>
    <row r="903" spans="1:10" x14ac:dyDescent="0.25">
      <c r="A903" s="169">
        <v>11247</v>
      </c>
      <c r="B903" s="169" t="s">
        <v>24282</v>
      </c>
      <c r="C903" s="169" t="s">
        <v>10225</v>
      </c>
      <c r="D903" s="169" t="s">
        <v>1289</v>
      </c>
      <c r="E903" s="103" t="s">
        <v>29944</v>
      </c>
      <c r="F903" s="104"/>
      <c r="G903" s="105">
        <f t="shared" si="52"/>
        <v>1620.7</v>
      </c>
      <c r="H903" s="101" t="str">
        <f t="shared" si="53"/>
        <v>Sinapi 11247</v>
      </c>
      <c r="I903" s="101" t="str">
        <f t="shared" si="54"/>
        <v>UN</v>
      </c>
      <c r="J903" s="140" t="str">
        <f t="shared" si="55"/>
        <v>CAIXA DE PASSAGEM/ LUZ / TELEFONIA, DE EMBUTIR, EM CHAPA DE ACO GALVANIZADO, DIMENSOES 150 X 150 X 15 CM (PADRAO CONCESSIONARIA LOCAL)</v>
      </c>
    </row>
    <row r="904" spans="1:10" x14ac:dyDescent="0.25">
      <c r="A904" s="169">
        <v>11250</v>
      </c>
      <c r="B904" s="169" t="s">
        <v>24283</v>
      </c>
      <c r="C904" s="169" t="s">
        <v>10225</v>
      </c>
      <c r="D904" s="169" t="s">
        <v>1289</v>
      </c>
      <c r="E904" s="103" t="s">
        <v>29945</v>
      </c>
      <c r="F904" s="104"/>
      <c r="G904" s="105">
        <f t="shared" ref="G904:G967" si="56">IF(E904="","",E904+0)</f>
        <v>69.77</v>
      </c>
      <c r="H904" s="101" t="str">
        <f t="shared" ref="H904:H967" si="57">IF(G904="","",TRIM(CONCATENATE("Sinapi ",A904)))</f>
        <v>Sinapi 11250</v>
      </c>
      <c r="I904" s="101" t="str">
        <f t="shared" ref="I904:I967" si="58">TRIM(C904)</f>
        <v>UN</v>
      </c>
      <c r="J904" s="140" t="str">
        <f t="shared" si="55"/>
        <v>CAIXA DE PASSAGEM/ LUZ / TELEFONIA, DE EMBUTIR, EM CHAPA DE ACO GALVANIZADO, DIMENSOES 20 X 20 X *12* CM (PADRAO CONCESSIONARIA LOCAL)</v>
      </c>
    </row>
    <row r="905" spans="1:10" x14ac:dyDescent="0.25">
      <c r="A905" s="169">
        <v>11249</v>
      </c>
      <c r="B905" s="169" t="s">
        <v>24284</v>
      </c>
      <c r="C905" s="169" t="s">
        <v>10225</v>
      </c>
      <c r="D905" s="169" t="s">
        <v>1289</v>
      </c>
      <c r="E905" s="103" t="s">
        <v>29946</v>
      </c>
      <c r="F905" s="104"/>
      <c r="G905" s="105">
        <f t="shared" si="56"/>
        <v>3165.8</v>
      </c>
      <c r="H905" s="101" t="str">
        <f t="shared" si="57"/>
        <v>Sinapi 11249</v>
      </c>
      <c r="I905" s="101" t="str">
        <f t="shared" si="58"/>
        <v>UN</v>
      </c>
      <c r="J905" s="140" t="str">
        <f t="shared" ref="J905:J968" si="59">TRIM(B905)</f>
        <v>CAIXA DE PASSAGEM/ LUZ / TELEFONIA, DE EMBUTIR, EM CHAPA DE ACO GALVANIZADO, DIMENSOES 200 X 200 X 20 CM (PADRAO CONCESSIONARIA LOCAL)</v>
      </c>
    </row>
    <row r="906" spans="1:10" x14ac:dyDescent="0.25">
      <c r="A906" s="169">
        <v>11251</v>
      </c>
      <c r="B906" s="169" t="s">
        <v>24285</v>
      </c>
      <c r="C906" s="169" t="s">
        <v>10225</v>
      </c>
      <c r="D906" s="169" t="s">
        <v>1289</v>
      </c>
      <c r="E906" s="103" t="s">
        <v>24547</v>
      </c>
      <c r="F906" s="104"/>
      <c r="G906" s="105">
        <f t="shared" si="56"/>
        <v>154.55000000000001</v>
      </c>
      <c r="H906" s="101" t="str">
        <f t="shared" si="57"/>
        <v>Sinapi 11251</v>
      </c>
      <c r="I906" s="101" t="str">
        <f t="shared" si="58"/>
        <v>UN</v>
      </c>
      <c r="J906" s="140" t="str">
        <f t="shared" si="59"/>
        <v>CAIXA DE PASSAGEM/ LUZ / TELEFONIA, DE EMBUTIR, EM CHAPA DE ACO GALVANIZADO, DIMENSOES 40 X 40 X *12* CM (PADRAO CONCESSIONARIA LOCAL)</v>
      </c>
    </row>
    <row r="907" spans="1:10" x14ac:dyDescent="0.25">
      <c r="A907" s="169">
        <v>11253</v>
      </c>
      <c r="B907" s="169" t="s">
        <v>24286</v>
      </c>
      <c r="C907" s="169" t="s">
        <v>10225</v>
      </c>
      <c r="D907" s="169" t="s">
        <v>1289</v>
      </c>
      <c r="E907" s="103" t="s">
        <v>29947</v>
      </c>
      <c r="F907" s="104"/>
      <c r="G907" s="105">
        <f t="shared" si="56"/>
        <v>256.11</v>
      </c>
      <c r="H907" s="101" t="str">
        <f t="shared" si="57"/>
        <v>Sinapi 11253</v>
      </c>
      <c r="I907" s="101" t="str">
        <f t="shared" si="58"/>
        <v>UN</v>
      </c>
      <c r="J907" s="140" t="str">
        <f t="shared" si="59"/>
        <v>CAIXA DE PASSAGEM/ LUZ / TELEFONIA, DE EMBUTIR, EM CHAPA DE ACO GALVANIZADO, DIMENSOES 60 X 60 X *12* CM (PADRAO CONCESSIONARIA LOCAL)</v>
      </c>
    </row>
    <row r="908" spans="1:10" x14ac:dyDescent="0.25">
      <c r="A908" s="169">
        <v>11255</v>
      </c>
      <c r="B908" s="169" t="s">
        <v>24287</v>
      </c>
      <c r="C908" s="169" t="s">
        <v>10225</v>
      </c>
      <c r="D908" s="169" t="s">
        <v>1289</v>
      </c>
      <c r="E908" s="103" t="s">
        <v>29948</v>
      </c>
      <c r="F908" s="104"/>
      <c r="G908" s="105">
        <f t="shared" si="56"/>
        <v>382.88</v>
      </c>
      <c r="H908" s="101" t="str">
        <f t="shared" si="57"/>
        <v>Sinapi 11255</v>
      </c>
      <c r="I908" s="101" t="str">
        <f t="shared" si="58"/>
        <v>UN</v>
      </c>
      <c r="J908" s="140" t="str">
        <f t="shared" si="59"/>
        <v>CAIXA DE PASSAGEM/ LUZ / TELEFONIA, DE EMBUTIR, EM CHAPA DE ACO GALVANIZADO, DIMENSOES 80 X 80 X *12* CM (PADRAO CONCESSIONARIA LOCAL)</v>
      </c>
    </row>
    <row r="909" spans="1:10" x14ac:dyDescent="0.25">
      <c r="A909" s="169">
        <v>14055</v>
      </c>
      <c r="B909" s="169" t="s">
        <v>24288</v>
      </c>
      <c r="C909" s="169" t="s">
        <v>10225</v>
      </c>
      <c r="D909" s="169" t="s">
        <v>1289</v>
      </c>
      <c r="E909" s="103" t="s">
        <v>29949</v>
      </c>
      <c r="F909" s="104"/>
      <c r="G909" s="105">
        <f t="shared" si="56"/>
        <v>770.22</v>
      </c>
      <c r="H909" s="101" t="str">
        <f t="shared" si="57"/>
        <v>Sinapi 14055</v>
      </c>
      <c r="I909" s="101" t="str">
        <f t="shared" si="58"/>
        <v>UN</v>
      </c>
      <c r="J909" s="140" t="str">
        <f t="shared" si="59"/>
        <v>CAIXA DE PASSAGEM/ LUZ / TELEFONIA, DE EMBUTIR, EM CHAPA DE ACO GALVANIZADO, DIMENSOES 120 X 120 X *12* CM (PADRAO CONCESSIONARIA LOCAL)</v>
      </c>
    </row>
    <row r="910" spans="1:10" x14ac:dyDescent="0.25">
      <c r="A910" s="169">
        <v>11256</v>
      </c>
      <c r="B910" s="169" t="s">
        <v>24289</v>
      </c>
      <c r="C910" s="169" t="s">
        <v>10225</v>
      </c>
      <c r="D910" s="169" t="s">
        <v>1289</v>
      </c>
      <c r="E910" s="103" t="s">
        <v>29950</v>
      </c>
      <c r="F910" s="104"/>
      <c r="G910" s="105">
        <f t="shared" si="56"/>
        <v>479.59</v>
      </c>
      <c r="H910" s="101" t="str">
        <f t="shared" si="57"/>
        <v>Sinapi 11256</v>
      </c>
      <c r="I910" s="101" t="str">
        <f t="shared" si="58"/>
        <v>UN</v>
      </c>
      <c r="J910" s="140" t="str">
        <f t="shared" si="59"/>
        <v>CAIXA DE PASSAGEM/ LUZ / TELEFONIA, DE SOBREPOR, EM CHAPA DE ACO GALVANIZADO, DIMENSOES 80 X 80 X *12* CM (PADRAO CONCESSIONARIA LOCAL)</v>
      </c>
    </row>
    <row r="911" spans="1:10" x14ac:dyDescent="0.25">
      <c r="A911" s="169">
        <v>1872</v>
      </c>
      <c r="B911" s="169" t="s">
        <v>24290</v>
      </c>
      <c r="C911" s="169" t="s">
        <v>10225</v>
      </c>
      <c r="D911" s="169" t="s">
        <v>1289</v>
      </c>
      <c r="E911" s="103" t="s">
        <v>9359</v>
      </c>
      <c r="F911" s="104"/>
      <c r="G911" s="105">
        <f t="shared" si="56"/>
        <v>2.0499999999999998</v>
      </c>
      <c r="H911" s="101" t="str">
        <f t="shared" si="57"/>
        <v>Sinapi 1872</v>
      </c>
      <c r="I911" s="101" t="str">
        <f t="shared" si="58"/>
        <v>UN</v>
      </c>
      <c r="J911" s="140" t="str">
        <f t="shared" si="59"/>
        <v>CAIXA DE PASSAGEM, EM PVC, DE 4" X 2", PARA ELETRODUTO FLEXIVEL CORRUGADO</v>
      </c>
    </row>
    <row r="912" spans="1:10" x14ac:dyDescent="0.25">
      <c r="A912" s="169">
        <v>1873</v>
      </c>
      <c r="B912" s="169" t="s">
        <v>24292</v>
      </c>
      <c r="C912" s="169" t="s">
        <v>10225</v>
      </c>
      <c r="D912" s="169" t="s">
        <v>1289</v>
      </c>
      <c r="E912" s="103" t="s">
        <v>15513</v>
      </c>
      <c r="F912" s="104"/>
      <c r="G912" s="105">
        <f t="shared" si="56"/>
        <v>4.08</v>
      </c>
      <c r="H912" s="101" t="str">
        <f t="shared" si="57"/>
        <v>Sinapi 1873</v>
      </c>
      <c r="I912" s="101" t="str">
        <f t="shared" si="58"/>
        <v>UN</v>
      </c>
      <c r="J912" s="140" t="str">
        <f t="shared" si="59"/>
        <v>CAIXA DE PASSAGEM, EM PVC, DE 4" X 4", PARA ELETRODUTO FLEXIVEL CORRUGADO</v>
      </c>
    </row>
    <row r="913" spans="1:10" x14ac:dyDescent="0.25">
      <c r="A913" s="169">
        <v>39693</v>
      </c>
      <c r="B913" s="169" t="s">
        <v>24293</v>
      </c>
      <c r="C913" s="169" t="s">
        <v>10225</v>
      </c>
      <c r="D913" s="169" t="s">
        <v>1289</v>
      </c>
      <c r="E913" s="103" t="s">
        <v>29951</v>
      </c>
      <c r="F913" s="104"/>
      <c r="G913" s="105">
        <f t="shared" si="56"/>
        <v>3012.07</v>
      </c>
      <c r="H913" s="101" t="str">
        <f t="shared" si="57"/>
        <v>Sinapi 39693</v>
      </c>
      <c r="I913" s="101" t="str">
        <f t="shared" si="58"/>
        <v>UN</v>
      </c>
      <c r="J913" s="140" t="str">
        <f t="shared" si="59"/>
        <v>CAIXA DE PROTECAO EXTERNA PARA MEDIDOR HOROSAZONAL, DE BAIXA TENSAO, COM MODULO, EM CHAPA DE ACO (PADRAO DA CONCESSIONARIA LOCAL)</v>
      </c>
    </row>
    <row r="914" spans="1:10" x14ac:dyDescent="0.25">
      <c r="A914" s="169">
        <v>39692</v>
      </c>
      <c r="B914" s="169" t="s">
        <v>24294</v>
      </c>
      <c r="C914" s="169" t="s">
        <v>10225</v>
      </c>
      <c r="D914" s="169" t="s">
        <v>1289</v>
      </c>
      <c r="E914" s="103" t="s">
        <v>29952</v>
      </c>
      <c r="F914" s="104"/>
      <c r="G914" s="105">
        <f t="shared" si="56"/>
        <v>963.79</v>
      </c>
      <c r="H914" s="101" t="str">
        <f t="shared" si="57"/>
        <v>Sinapi 39692</v>
      </c>
      <c r="I914" s="101" t="str">
        <f t="shared" si="58"/>
        <v>UN</v>
      </c>
      <c r="J914" s="140" t="str">
        <f t="shared" si="59"/>
        <v>CAIXA DE PROTECAO PARA TRANSFORMADOR CORRENTE, EM CHAPA DE ACO 18 USG (PADRAO DA CONCESSIONARIA LOCAL)</v>
      </c>
    </row>
    <row r="915" spans="1:10" x14ac:dyDescent="0.25">
      <c r="A915" s="169">
        <v>1062</v>
      </c>
      <c r="B915" s="169" t="s">
        <v>24295</v>
      </c>
      <c r="C915" s="169" t="s">
        <v>10225</v>
      </c>
      <c r="D915" s="169" t="s">
        <v>1289</v>
      </c>
      <c r="E915" s="103" t="s">
        <v>29953</v>
      </c>
      <c r="F915" s="104"/>
      <c r="G915" s="105">
        <f t="shared" si="56"/>
        <v>305.44</v>
      </c>
      <c r="H915" s="101" t="str">
        <f t="shared" si="57"/>
        <v>Sinapi 1062</v>
      </c>
      <c r="I915" s="101" t="str">
        <f t="shared" si="58"/>
        <v>UN</v>
      </c>
      <c r="J915" s="140" t="str">
        <f t="shared" si="59"/>
        <v>CAIXA INTERNA/EXTERNA DE MEDICAO PARA 1 MEDIDOR TRIFASICO, COM VISOR, EM CHAPA DE ACO 18 USG (PADRAO DA CONCESSIONARIA LOCAL)</v>
      </c>
    </row>
    <row r="916" spans="1:10" x14ac:dyDescent="0.25">
      <c r="A916" s="169">
        <v>39686</v>
      </c>
      <c r="B916" s="169" t="s">
        <v>24296</v>
      </c>
      <c r="C916" s="169" t="s">
        <v>10225</v>
      </c>
      <c r="D916" s="169" t="s">
        <v>1289</v>
      </c>
      <c r="E916" s="103" t="s">
        <v>29954</v>
      </c>
      <c r="F916" s="104"/>
      <c r="G916" s="105">
        <f t="shared" si="56"/>
        <v>494.58</v>
      </c>
      <c r="H916" s="101" t="str">
        <f t="shared" si="57"/>
        <v>Sinapi 39686</v>
      </c>
      <c r="I916" s="101" t="str">
        <f t="shared" si="58"/>
        <v>UN</v>
      </c>
      <c r="J916" s="140" t="str">
        <f t="shared" si="59"/>
        <v>CAIXA INTERNA/EXTERNA DE MEDICAO PARA 4 MEDIDORES MONOFASICOS, COM VISOR, EM CHAPA DE ACO 18 USG (PADRAO DA CONCESSIONARIA LOCAL)</v>
      </c>
    </row>
    <row r="917" spans="1:10" x14ac:dyDescent="0.25">
      <c r="A917" s="169">
        <v>43095</v>
      </c>
      <c r="B917" s="169" t="s">
        <v>24297</v>
      </c>
      <c r="C917" s="169" t="s">
        <v>10225</v>
      </c>
      <c r="D917" s="169" t="s">
        <v>1289</v>
      </c>
      <c r="E917" s="103" t="s">
        <v>21545</v>
      </c>
      <c r="F917" s="104"/>
      <c r="G917" s="105">
        <f t="shared" si="56"/>
        <v>150.62</v>
      </c>
      <c r="H917" s="101" t="str">
        <f t="shared" si="57"/>
        <v>Sinapi 43095</v>
      </c>
      <c r="I917" s="101" t="str">
        <f t="shared" si="58"/>
        <v>UN</v>
      </c>
      <c r="J917" s="140" t="str">
        <f t="shared" si="59"/>
        <v>CAIXA MODULAR PARA MEDIDOR DE ENERGIA AGRUPADA, EM POLICARBONATO / TERMOPLASTICO, COM SUPORTE PARA DISJUNTOR (PADRAO DA CONCESSIONARIA LOCAL)</v>
      </c>
    </row>
    <row r="918" spans="1:10" x14ac:dyDescent="0.25">
      <c r="A918" s="169">
        <v>1871</v>
      </c>
      <c r="B918" s="169" t="s">
        <v>24298</v>
      </c>
      <c r="C918" s="169" t="s">
        <v>10225</v>
      </c>
      <c r="D918" s="169" t="s">
        <v>1289</v>
      </c>
      <c r="E918" s="103" t="s">
        <v>17930</v>
      </c>
      <c r="F918" s="104"/>
      <c r="G918" s="105">
        <f t="shared" si="56"/>
        <v>3.67</v>
      </c>
      <c r="H918" s="101" t="str">
        <f t="shared" si="57"/>
        <v>Sinapi 1871</v>
      </c>
      <c r="I918" s="101" t="str">
        <f t="shared" si="58"/>
        <v>UN</v>
      </c>
      <c r="J918" s="140" t="str">
        <f t="shared" si="59"/>
        <v>CAIXA OCTOGONAL DE FUNDO MOVEL, EM PVC, DE 3" X 3", PARA ELETRODUTO FLEXIVEL CORRUGADO</v>
      </c>
    </row>
    <row r="919" spans="1:10" x14ac:dyDescent="0.25">
      <c r="A919" s="169">
        <v>12001</v>
      </c>
      <c r="B919" s="169" t="s">
        <v>24299</v>
      </c>
      <c r="C919" s="169" t="s">
        <v>10225</v>
      </c>
      <c r="D919" s="169" t="s">
        <v>1289</v>
      </c>
      <c r="E919" s="103" t="s">
        <v>15532</v>
      </c>
      <c r="F919" s="104"/>
      <c r="G919" s="105">
        <f t="shared" si="56"/>
        <v>5.31</v>
      </c>
      <c r="H919" s="101" t="str">
        <f t="shared" si="57"/>
        <v>Sinapi 12001</v>
      </c>
      <c r="I919" s="101" t="str">
        <f t="shared" si="58"/>
        <v>UN</v>
      </c>
      <c r="J919" s="140" t="str">
        <f t="shared" si="59"/>
        <v>CAIXA OCTOGONAL DE FUNDO MOVEL, EM PVC, DE 4" X 4", PARA ELETRODUTO FLEXIVEL CORRUGADO</v>
      </c>
    </row>
    <row r="920" spans="1:10" x14ac:dyDescent="0.25">
      <c r="A920" s="169">
        <v>11882</v>
      </c>
      <c r="B920" s="169" t="s">
        <v>24300</v>
      </c>
      <c r="C920" s="169" t="s">
        <v>10225</v>
      </c>
      <c r="D920" s="169" t="s">
        <v>1289</v>
      </c>
      <c r="E920" s="103" t="s">
        <v>29955</v>
      </c>
      <c r="F920" s="104"/>
      <c r="G920" s="105">
        <f t="shared" si="56"/>
        <v>123.53</v>
      </c>
      <c r="H920" s="101" t="str">
        <f t="shared" si="57"/>
        <v>Sinapi 11882</v>
      </c>
      <c r="I920" s="101" t="str">
        <f t="shared" si="58"/>
        <v>UN</v>
      </c>
      <c r="J920" s="140" t="str">
        <f t="shared" si="59"/>
        <v>CAIXA PARA HIDROMETRO CONCRETO PRE MOLDADO, *0,24 M X 0,45 M X 0,30* M (L X C X A)</v>
      </c>
    </row>
    <row r="921" spans="1:10" x14ac:dyDescent="0.25">
      <c r="A921" s="169">
        <v>1068</v>
      </c>
      <c r="B921" s="169" t="s">
        <v>24301</v>
      </c>
      <c r="C921" s="169" t="s">
        <v>10225</v>
      </c>
      <c r="D921" s="169" t="s">
        <v>1289</v>
      </c>
      <c r="E921" s="103" t="s">
        <v>29956</v>
      </c>
      <c r="F921" s="104"/>
      <c r="G921" s="105">
        <f t="shared" si="56"/>
        <v>2014.71</v>
      </c>
      <c r="H921" s="101" t="str">
        <f t="shared" si="57"/>
        <v>Sinapi 1068</v>
      </c>
      <c r="I921" s="101" t="str">
        <f t="shared" si="58"/>
        <v>UN</v>
      </c>
      <c r="J921" s="140" t="str">
        <f t="shared" si="59"/>
        <v>CAIXA PARA MEDICAO COLETIVA TIPO L, PADRAO BIFASICO OU TRIFASICO, PARA ATE 4 MEDIDORES, SEM BARRAMENTO E COM PORTAS INFERIOR E SUPERIOR</v>
      </c>
    </row>
    <row r="922" spans="1:10" x14ac:dyDescent="0.25">
      <c r="A922" s="169">
        <v>39690</v>
      </c>
      <c r="B922" s="169" t="s">
        <v>24302</v>
      </c>
      <c r="C922" s="169" t="s">
        <v>10225</v>
      </c>
      <c r="D922" s="169" t="s">
        <v>1289</v>
      </c>
      <c r="E922" s="103" t="s">
        <v>29957</v>
      </c>
      <c r="F922" s="104"/>
      <c r="G922" s="105">
        <f t="shared" si="56"/>
        <v>3380.02</v>
      </c>
      <c r="H922" s="101" t="str">
        <f t="shared" si="57"/>
        <v>Sinapi 39690</v>
      </c>
      <c r="I922" s="101" t="str">
        <f t="shared" si="58"/>
        <v>UN</v>
      </c>
      <c r="J922" s="140" t="str">
        <f t="shared" si="59"/>
        <v>CAIXA PARA MEDICAO COLETIVA TIPO M, PADRAO BIFASICO OU TRIFASICO, PARA ATE 8 MEDIDORES, SEM BARRAMENTO E COM PORTAS INFERIOR E SUPERIOR</v>
      </c>
    </row>
    <row r="923" spans="1:10" x14ac:dyDescent="0.25">
      <c r="A923" s="169">
        <v>39691</v>
      </c>
      <c r="B923" s="169" t="s">
        <v>24303</v>
      </c>
      <c r="C923" s="169" t="s">
        <v>10225</v>
      </c>
      <c r="D923" s="169" t="s">
        <v>1289</v>
      </c>
      <c r="E923" s="103" t="s">
        <v>29958</v>
      </c>
      <c r="F923" s="104"/>
      <c r="G923" s="105">
        <f t="shared" si="56"/>
        <v>4251.12</v>
      </c>
      <c r="H923" s="101" t="str">
        <f t="shared" si="57"/>
        <v>Sinapi 39691</v>
      </c>
      <c r="I923" s="101" t="str">
        <f t="shared" si="58"/>
        <v>UN</v>
      </c>
      <c r="J923" s="140" t="str">
        <f t="shared" si="59"/>
        <v>CAIXA PARA MEDICAO COLETIVA TIPO N, PADRAO BIFASICO OU TRIFASICO, PARA ATE 12 MEDIDORES, SEM BARRAMENTO E COM PORTAS INFERIOR E SUPERIOR</v>
      </c>
    </row>
    <row r="924" spans="1:10" x14ac:dyDescent="0.25">
      <c r="A924" s="169">
        <v>39808</v>
      </c>
      <c r="B924" s="169" t="s">
        <v>24304</v>
      </c>
      <c r="C924" s="169" t="s">
        <v>10225</v>
      </c>
      <c r="D924" s="169" t="s">
        <v>1289</v>
      </c>
      <c r="E924" s="103" t="s">
        <v>29959</v>
      </c>
      <c r="F924" s="104"/>
      <c r="G924" s="105">
        <f t="shared" si="56"/>
        <v>78.63</v>
      </c>
      <c r="H924" s="101" t="str">
        <f t="shared" si="57"/>
        <v>Sinapi 39808</v>
      </c>
      <c r="I924" s="101" t="str">
        <f t="shared" si="58"/>
        <v>UN</v>
      </c>
      <c r="J924" s="140" t="str">
        <f t="shared" si="59"/>
        <v>CAIXA PARA MEDIDOR MONOFASICO, EM POLICARBONATO / TERMOPLASTICO, PARA ALOJAR 1 DISJUNTOR (PADRAO DA CONCESSIONARIA LOCAL)</v>
      </c>
    </row>
    <row r="925" spans="1:10" x14ac:dyDescent="0.25">
      <c r="A925" s="169">
        <v>39809</v>
      </c>
      <c r="B925" s="169" t="s">
        <v>24305</v>
      </c>
      <c r="C925" s="169" t="s">
        <v>10225</v>
      </c>
      <c r="D925" s="169" t="s">
        <v>1289</v>
      </c>
      <c r="E925" s="103" t="s">
        <v>29960</v>
      </c>
      <c r="F925" s="104"/>
      <c r="G925" s="105">
        <f t="shared" si="56"/>
        <v>186.51</v>
      </c>
      <c r="H925" s="101" t="str">
        <f t="shared" si="57"/>
        <v>Sinapi 39809</v>
      </c>
      <c r="I925" s="101" t="str">
        <f t="shared" si="58"/>
        <v>UN</v>
      </c>
      <c r="J925" s="140" t="str">
        <f t="shared" si="59"/>
        <v>CAIXA PARA MEDIDOR POLIFASICO, EM POLICARBONATO / TERMOPLASTICO, PARA ALOJAR 1 DISJUNTOR (PADRAO DA CONCESSIONARIA LOCAL)</v>
      </c>
    </row>
    <row r="926" spans="1:10" x14ac:dyDescent="0.25">
      <c r="A926" s="169">
        <v>43439</v>
      </c>
      <c r="B926" s="169" t="s">
        <v>24306</v>
      </c>
      <c r="C926" s="169" t="s">
        <v>10225</v>
      </c>
      <c r="D926" s="169" t="s">
        <v>1289</v>
      </c>
      <c r="E926" s="103" t="s">
        <v>29961</v>
      </c>
      <c r="F926" s="104"/>
      <c r="G926" s="105">
        <f t="shared" si="56"/>
        <v>567.04999999999995</v>
      </c>
      <c r="H926" s="101" t="str">
        <f t="shared" si="57"/>
        <v>Sinapi 43439</v>
      </c>
      <c r="I926" s="101" t="str">
        <f t="shared" si="58"/>
        <v>UN</v>
      </c>
      <c r="J926" s="140" t="str">
        <f t="shared" si="59"/>
        <v>CAIXA PRE-MOLDADA PARA BOCA DE LOBO, EM CONCRETO ARMADO, COM FCK DE 25 MPA, COM DIMENSOES 1,10 X 0,65 X 1,00 M (COMPRIMENTO X LARGURA X ALTURA)</v>
      </c>
    </row>
    <row r="927" spans="1:10" x14ac:dyDescent="0.25">
      <c r="A927" s="169">
        <v>5103</v>
      </c>
      <c r="B927" s="169" t="s">
        <v>24307</v>
      </c>
      <c r="C927" s="169" t="s">
        <v>10225</v>
      </c>
      <c r="D927" s="169" t="s">
        <v>1289</v>
      </c>
      <c r="E927" s="103" t="s">
        <v>29962</v>
      </c>
      <c r="F927" s="104"/>
      <c r="G927" s="105">
        <f t="shared" si="56"/>
        <v>22.89</v>
      </c>
      <c r="H927" s="101" t="str">
        <f t="shared" si="57"/>
        <v>Sinapi 5103</v>
      </c>
      <c r="I927" s="101" t="str">
        <f t="shared" si="58"/>
        <v>UN</v>
      </c>
      <c r="J927" s="140" t="str">
        <f t="shared" si="59"/>
        <v>CAIXA SIFONADA PVC, 100 X 100 X 50 MM, COM GRELHA REDONDA, BRANCA</v>
      </c>
    </row>
    <row r="928" spans="1:10" x14ac:dyDescent="0.25">
      <c r="A928" s="169">
        <v>11880</v>
      </c>
      <c r="B928" s="169" t="s">
        <v>24308</v>
      </c>
      <c r="C928" s="169" t="s">
        <v>10225</v>
      </c>
      <c r="D928" s="169" t="s">
        <v>1289</v>
      </c>
      <c r="E928" s="103" t="s">
        <v>29963</v>
      </c>
      <c r="F928" s="104"/>
      <c r="G928" s="105">
        <f t="shared" si="56"/>
        <v>96.3</v>
      </c>
      <c r="H928" s="101" t="str">
        <f t="shared" si="57"/>
        <v>Sinapi 11880</v>
      </c>
      <c r="I928" s="101" t="str">
        <f t="shared" si="58"/>
        <v>UN</v>
      </c>
      <c r="J928" s="140" t="str">
        <f t="shared" si="59"/>
        <v>CAIXA SIFONADA PVC, 250 X 230 X 75 MM, COM TAMPA CEGA QUADRADA, BRANCA</v>
      </c>
    </row>
    <row r="929" spans="1:10" x14ac:dyDescent="0.25">
      <c r="A929" s="169">
        <v>11714</v>
      </c>
      <c r="B929" s="169" t="s">
        <v>24309</v>
      </c>
      <c r="C929" s="169" t="s">
        <v>10225</v>
      </c>
      <c r="D929" s="169" t="s">
        <v>1289</v>
      </c>
      <c r="E929" s="103" t="s">
        <v>22796</v>
      </c>
      <c r="F929" s="104"/>
      <c r="G929" s="105">
        <f t="shared" si="56"/>
        <v>65.599999999999994</v>
      </c>
      <c r="H929" s="101" t="str">
        <f t="shared" si="57"/>
        <v>Sinapi 11714</v>
      </c>
      <c r="I929" s="101" t="str">
        <f t="shared" si="58"/>
        <v>UN</v>
      </c>
      <c r="J929" s="140" t="str">
        <f t="shared" si="59"/>
        <v>CAIXA SIFONADA, PVC, 150 X *185* X 75 MM, COM GRELHA QUADRADA, BRANCA</v>
      </c>
    </row>
    <row r="930" spans="1:10" x14ac:dyDescent="0.25">
      <c r="A930" s="169">
        <v>11712</v>
      </c>
      <c r="B930" s="169" t="s">
        <v>24310</v>
      </c>
      <c r="C930" s="169" t="s">
        <v>10225</v>
      </c>
      <c r="D930" s="169" t="s">
        <v>1288</v>
      </c>
      <c r="E930" s="103" t="s">
        <v>29964</v>
      </c>
      <c r="F930" s="104"/>
      <c r="G930" s="105">
        <f t="shared" si="56"/>
        <v>42.84</v>
      </c>
      <c r="H930" s="101" t="str">
        <f t="shared" si="57"/>
        <v>Sinapi 11712</v>
      </c>
      <c r="I930" s="101" t="str">
        <f t="shared" si="58"/>
        <v>UN</v>
      </c>
      <c r="J930" s="140" t="str">
        <f t="shared" si="59"/>
        <v>CAIXA SIFONADA, PVC, 150 X 150 X 50 MM, COM GRELHA QUADRADA, BRANCA (NBR 5688)</v>
      </c>
    </row>
    <row r="931" spans="1:10" x14ac:dyDescent="0.25">
      <c r="A931" s="169">
        <v>11717</v>
      </c>
      <c r="B931" s="169" t="s">
        <v>24312</v>
      </c>
      <c r="C931" s="169" t="s">
        <v>10225</v>
      </c>
      <c r="D931" s="169" t="s">
        <v>1289</v>
      </c>
      <c r="E931" s="103" t="s">
        <v>26016</v>
      </c>
      <c r="F931" s="104"/>
      <c r="G931" s="105">
        <f t="shared" si="56"/>
        <v>51.64</v>
      </c>
      <c r="H931" s="101" t="str">
        <f t="shared" si="57"/>
        <v>Sinapi 11717</v>
      </c>
      <c r="I931" s="101" t="str">
        <f t="shared" si="58"/>
        <v>UN</v>
      </c>
      <c r="J931" s="140" t="str">
        <f t="shared" si="59"/>
        <v>CAIXA SIFONADA, PVC, 150 X 150 X 50 MM, COM GRELHA REDONDA, BRANCA</v>
      </c>
    </row>
    <row r="932" spans="1:10" x14ac:dyDescent="0.25">
      <c r="A932" s="169">
        <v>1106</v>
      </c>
      <c r="B932" s="169" t="s">
        <v>24313</v>
      </c>
      <c r="C932" s="169" t="s">
        <v>10231</v>
      </c>
      <c r="D932" s="169" t="s">
        <v>1288</v>
      </c>
      <c r="E932" s="103" t="s">
        <v>18552</v>
      </c>
      <c r="F932" s="104"/>
      <c r="G932" s="105">
        <f t="shared" si="56"/>
        <v>1.77</v>
      </c>
      <c r="H932" s="101" t="str">
        <f t="shared" si="57"/>
        <v>Sinapi 1106</v>
      </c>
      <c r="I932" s="101" t="str">
        <f t="shared" si="58"/>
        <v>KG</v>
      </c>
      <c r="J932" s="140" t="str">
        <f t="shared" si="59"/>
        <v>CAL HIDRATADA CH-I PARA ARGAMASSAS</v>
      </c>
    </row>
    <row r="933" spans="1:10" x14ac:dyDescent="0.25">
      <c r="A933" s="169">
        <v>11161</v>
      </c>
      <c r="B933" s="169" t="s">
        <v>24314</v>
      </c>
      <c r="C933" s="169" t="s">
        <v>10231</v>
      </c>
      <c r="D933" s="169" t="s">
        <v>1289</v>
      </c>
      <c r="E933" s="103" t="s">
        <v>23874</v>
      </c>
      <c r="F933" s="104"/>
      <c r="G933" s="105">
        <f t="shared" si="56"/>
        <v>2.96</v>
      </c>
      <c r="H933" s="101" t="str">
        <f t="shared" si="57"/>
        <v>Sinapi 11161</v>
      </c>
      <c r="I933" s="101" t="str">
        <f t="shared" si="58"/>
        <v>KG</v>
      </c>
      <c r="J933" s="140" t="str">
        <f t="shared" si="59"/>
        <v>CAL HIDRATADA PARA PINTURA</v>
      </c>
    </row>
    <row r="934" spans="1:10" x14ac:dyDescent="0.25">
      <c r="A934" s="169">
        <v>1107</v>
      </c>
      <c r="B934" s="169" t="s">
        <v>24315</v>
      </c>
      <c r="C934" s="169" t="s">
        <v>10231</v>
      </c>
      <c r="D934" s="169" t="s">
        <v>1289</v>
      </c>
      <c r="E934" s="103" t="s">
        <v>2116</v>
      </c>
      <c r="F934" s="104"/>
      <c r="G934" s="105">
        <f t="shared" si="56"/>
        <v>1.5</v>
      </c>
      <c r="H934" s="101" t="str">
        <f t="shared" si="57"/>
        <v>Sinapi 1107</v>
      </c>
      <c r="I934" s="101" t="str">
        <f t="shared" si="58"/>
        <v>KG</v>
      </c>
      <c r="J934" s="140" t="str">
        <f t="shared" si="59"/>
        <v>CAL VIRGEM COMUM PARA ARGAMASSAS (NBR 6453)</v>
      </c>
    </row>
    <row r="935" spans="1:10" x14ac:dyDescent="0.25">
      <c r="A935" s="169">
        <v>44479</v>
      </c>
      <c r="B935" s="169" t="s">
        <v>24316</v>
      </c>
      <c r="C935" s="169" t="s">
        <v>10231</v>
      </c>
      <c r="D935" s="169" t="s">
        <v>1289</v>
      </c>
      <c r="E935" s="103" t="s">
        <v>2700</v>
      </c>
      <c r="F935" s="104"/>
      <c r="G935" s="105">
        <f t="shared" si="56"/>
        <v>0.36</v>
      </c>
      <c r="H935" s="101" t="str">
        <f t="shared" si="57"/>
        <v>Sinapi 44479</v>
      </c>
      <c r="I935" s="101" t="str">
        <f t="shared" si="58"/>
        <v>KG</v>
      </c>
      <c r="J935" s="140" t="str">
        <f t="shared" si="59"/>
        <v>CALCARIO DOLOMITICO A (POSTO PEDREIRA/FORNECEDOR, SEM FRETE)</v>
      </c>
    </row>
    <row r="936" spans="1:10" x14ac:dyDescent="0.25">
      <c r="A936" s="169">
        <v>41068</v>
      </c>
      <c r="B936" s="169" t="s">
        <v>24317</v>
      </c>
      <c r="C936" s="169" t="s">
        <v>10235</v>
      </c>
      <c r="D936" s="169" t="s">
        <v>1289</v>
      </c>
      <c r="E936" s="103" t="s">
        <v>29965</v>
      </c>
      <c r="F936" s="104"/>
      <c r="G936" s="105">
        <f t="shared" si="56"/>
        <v>3130.2</v>
      </c>
      <c r="H936" s="101" t="str">
        <f t="shared" si="57"/>
        <v>Sinapi 41068</v>
      </c>
      <c r="I936" s="101" t="str">
        <f t="shared" si="58"/>
        <v>MES</v>
      </c>
      <c r="J936" s="140" t="str">
        <f t="shared" si="59"/>
        <v>CALCETEIRO (MENSALISTA)</v>
      </c>
    </row>
    <row r="937" spans="1:10" x14ac:dyDescent="0.25">
      <c r="A937" s="169">
        <v>4759</v>
      </c>
      <c r="B937" s="169" t="s">
        <v>24318</v>
      </c>
      <c r="C937" s="169" t="s">
        <v>10228</v>
      </c>
      <c r="D937" s="169" t="s">
        <v>1289</v>
      </c>
      <c r="E937" s="103" t="s">
        <v>22928</v>
      </c>
      <c r="F937" s="104"/>
      <c r="G937" s="105">
        <f t="shared" si="56"/>
        <v>17.98</v>
      </c>
      <c r="H937" s="101" t="str">
        <f t="shared" si="57"/>
        <v>Sinapi 4759</v>
      </c>
      <c r="I937" s="101" t="str">
        <f t="shared" si="58"/>
        <v>H</v>
      </c>
      <c r="J937" s="140" t="str">
        <f t="shared" si="59"/>
        <v>CALCETEIRO (HORISTA)</v>
      </c>
    </row>
    <row r="938" spans="1:10" x14ac:dyDescent="0.25">
      <c r="A938" s="169">
        <v>12618</v>
      </c>
      <c r="B938" s="169" t="s">
        <v>24319</v>
      </c>
      <c r="C938" s="169" t="s">
        <v>10225</v>
      </c>
      <c r="D938" s="169" t="s">
        <v>1289</v>
      </c>
      <c r="E938" s="103" t="s">
        <v>28493</v>
      </c>
      <c r="F938" s="104"/>
      <c r="G938" s="105">
        <f t="shared" si="56"/>
        <v>168.05</v>
      </c>
      <c r="H938" s="101" t="str">
        <f t="shared" si="57"/>
        <v>Sinapi 12618</v>
      </c>
      <c r="I938" s="101" t="str">
        <f t="shared" si="58"/>
        <v>UN</v>
      </c>
      <c r="J938" s="140" t="str">
        <f t="shared" si="59"/>
        <v>CALHA / PERFIL PLUVIAL DE PVC, DIAMETRO ENTRE *119 E 170* MM, COMPRIMENTO DE 3 M, PARA DRENAGEM PLUVIAL PREDIAL</v>
      </c>
    </row>
    <row r="939" spans="1:10" x14ac:dyDescent="0.25">
      <c r="A939" s="169">
        <v>1108</v>
      </c>
      <c r="B939" s="169" t="s">
        <v>24320</v>
      </c>
      <c r="C939" s="169" t="s">
        <v>10229</v>
      </c>
      <c r="D939" s="169" t="s">
        <v>1289</v>
      </c>
      <c r="E939" s="103" t="s">
        <v>28600</v>
      </c>
      <c r="F939" s="104"/>
      <c r="G939" s="105">
        <f t="shared" si="56"/>
        <v>32.85</v>
      </c>
      <c r="H939" s="101" t="str">
        <f t="shared" si="57"/>
        <v>Sinapi 1108</v>
      </c>
      <c r="I939" s="101" t="str">
        <f t="shared" si="58"/>
        <v>M</v>
      </c>
      <c r="J939" s="140" t="str">
        <f t="shared" si="59"/>
        <v>CALHA MOLDURA AMERICANA DE CHAPA DE ACO GALVANIZADA NUM 26, CORTE 33 CM</v>
      </c>
    </row>
    <row r="940" spans="1:10" x14ac:dyDescent="0.25">
      <c r="A940" s="169">
        <v>1117</v>
      </c>
      <c r="B940" s="169" t="s">
        <v>24321</v>
      </c>
      <c r="C940" s="169" t="s">
        <v>10229</v>
      </c>
      <c r="D940" s="169" t="s">
        <v>1289</v>
      </c>
      <c r="E940" s="103" t="s">
        <v>21973</v>
      </c>
      <c r="F940" s="104"/>
      <c r="G940" s="105">
        <f t="shared" si="56"/>
        <v>33.11</v>
      </c>
      <c r="H940" s="101" t="str">
        <f t="shared" si="57"/>
        <v>Sinapi 1117</v>
      </c>
      <c r="I940" s="101" t="str">
        <f t="shared" si="58"/>
        <v>M</v>
      </c>
      <c r="J940" s="140" t="str">
        <f t="shared" si="59"/>
        <v>CALHA PARA AGUA FURTADA DE CHAPA DE ACO GALVANIZADA NUM 26, CORTE 40 CM</v>
      </c>
    </row>
    <row r="941" spans="1:10" x14ac:dyDescent="0.25">
      <c r="A941" s="169">
        <v>1118</v>
      </c>
      <c r="B941" s="169" t="s">
        <v>24322</v>
      </c>
      <c r="C941" s="169" t="s">
        <v>10229</v>
      </c>
      <c r="D941" s="169" t="s">
        <v>1289</v>
      </c>
      <c r="E941" s="103" t="s">
        <v>26831</v>
      </c>
      <c r="F941" s="104"/>
      <c r="G941" s="105">
        <f t="shared" si="56"/>
        <v>39.14</v>
      </c>
      <c r="H941" s="101" t="str">
        <f t="shared" si="57"/>
        <v>Sinapi 1118</v>
      </c>
      <c r="I941" s="101" t="str">
        <f t="shared" si="58"/>
        <v>M</v>
      </c>
      <c r="J941" s="140" t="str">
        <f t="shared" si="59"/>
        <v>CALHA PARA AGUA FURTADA DE CHAPA DE ACO GALVANIZADA NUM 26, CORTE 50 CM</v>
      </c>
    </row>
    <row r="942" spans="1:10" x14ac:dyDescent="0.25">
      <c r="A942" s="169">
        <v>1110</v>
      </c>
      <c r="B942" s="169" t="s">
        <v>24323</v>
      </c>
      <c r="C942" s="169" t="s">
        <v>10229</v>
      </c>
      <c r="D942" s="169" t="s">
        <v>1289</v>
      </c>
      <c r="E942" s="103" t="s">
        <v>26831</v>
      </c>
      <c r="F942" s="104"/>
      <c r="G942" s="105">
        <f t="shared" si="56"/>
        <v>39.14</v>
      </c>
      <c r="H942" s="101" t="str">
        <f t="shared" si="57"/>
        <v>Sinapi 1110</v>
      </c>
      <c r="I942" s="101" t="str">
        <f t="shared" si="58"/>
        <v>M</v>
      </c>
      <c r="J942" s="140" t="str">
        <f t="shared" si="59"/>
        <v>CALHA PLATIBANDA DE CHAPA DE ACO GALVANIZADA NUM 26, CORTE 45 CM</v>
      </c>
    </row>
    <row r="943" spans="1:10" x14ac:dyDescent="0.25">
      <c r="A943" s="169">
        <v>40784</v>
      </c>
      <c r="B943" s="169" t="s">
        <v>1228</v>
      </c>
      <c r="C943" s="169" t="s">
        <v>10229</v>
      </c>
      <c r="D943" s="169" t="s">
        <v>1289</v>
      </c>
      <c r="E943" s="103" t="s">
        <v>29966</v>
      </c>
      <c r="F943" s="104"/>
      <c r="G943" s="105">
        <f t="shared" si="56"/>
        <v>107.95</v>
      </c>
      <c r="H943" s="101" t="str">
        <f t="shared" si="57"/>
        <v>Sinapi 40784</v>
      </c>
      <c r="I943" s="101" t="str">
        <f t="shared" si="58"/>
        <v>M</v>
      </c>
      <c r="J943" s="140" t="str">
        <f t="shared" si="59"/>
        <v>CALHA QUADRADA DE CHAPA DE ACO GALVANIZADA NUM 24, CORTE 100 CM</v>
      </c>
    </row>
    <row r="944" spans="1:10" x14ac:dyDescent="0.25">
      <c r="A944" s="169">
        <v>40782</v>
      </c>
      <c r="B944" s="169" t="s">
        <v>24324</v>
      </c>
      <c r="C944" s="169" t="s">
        <v>10229</v>
      </c>
      <c r="D944" s="169" t="s">
        <v>1289</v>
      </c>
      <c r="E944" s="103" t="s">
        <v>29967</v>
      </c>
      <c r="F944" s="104"/>
      <c r="G944" s="105">
        <f t="shared" si="56"/>
        <v>42.36</v>
      </c>
      <c r="H944" s="101" t="str">
        <f t="shared" si="57"/>
        <v>Sinapi 40782</v>
      </c>
      <c r="I944" s="101" t="str">
        <f t="shared" si="58"/>
        <v>M</v>
      </c>
      <c r="J944" s="140" t="str">
        <f t="shared" si="59"/>
        <v>CALHA QUADRADA DE CHAPA DE ACO GALVANIZADA NUM 24, CORTE 33 CM</v>
      </c>
    </row>
    <row r="945" spans="1:10" x14ac:dyDescent="0.25">
      <c r="A945" s="169">
        <v>40783</v>
      </c>
      <c r="B945" s="169" t="s">
        <v>24326</v>
      </c>
      <c r="C945" s="169" t="s">
        <v>10229</v>
      </c>
      <c r="D945" s="169" t="s">
        <v>1289</v>
      </c>
      <c r="E945" s="103" t="s">
        <v>23223</v>
      </c>
      <c r="F945" s="104"/>
      <c r="G945" s="105">
        <f t="shared" si="56"/>
        <v>55.18</v>
      </c>
      <c r="H945" s="101" t="str">
        <f t="shared" si="57"/>
        <v>Sinapi 40783</v>
      </c>
      <c r="I945" s="101" t="str">
        <f t="shared" si="58"/>
        <v>M</v>
      </c>
      <c r="J945" s="140" t="str">
        <f t="shared" si="59"/>
        <v>CALHA QUADRADA DE CHAPA DE ACO GALVANIZADA NUM 24, CORTE 50 CM</v>
      </c>
    </row>
    <row r="946" spans="1:10" x14ac:dyDescent="0.25">
      <c r="A946" s="169">
        <v>1109</v>
      </c>
      <c r="B946" s="169" t="s">
        <v>24327</v>
      </c>
      <c r="C946" s="169" t="s">
        <v>10229</v>
      </c>
      <c r="D946" s="169" t="s">
        <v>1289</v>
      </c>
      <c r="E946" s="103" t="s">
        <v>28600</v>
      </c>
      <c r="F946" s="104"/>
      <c r="G946" s="105">
        <f t="shared" si="56"/>
        <v>32.85</v>
      </c>
      <c r="H946" s="101" t="str">
        <f t="shared" si="57"/>
        <v>Sinapi 1109</v>
      </c>
      <c r="I946" s="101" t="str">
        <f t="shared" si="58"/>
        <v>M</v>
      </c>
      <c r="J946" s="140" t="str">
        <f t="shared" si="59"/>
        <v>CALHA QUADRADA DE CHAPA DE ACO GALVANIZADA NUM 26, CORTE 33 CM</v>
      </c>
    </row>
    <row r="947" spans="1:10" x14ac:dyDescent="0.25">
      <c r="A947" s="169">
        <v>1119</v>
      </c>
      <c r="B947" s="169" t="s">
        <v>24328</v>
      </c>
      <c r="C947" s="169" t="s">
        <v>10229</v>
      </c>
      <c r="D947" s="169" t="s">
        <v>1289</v>
      </c>
      <c r="E947" s="103" t="s">
        <v>22834</v>
      </c>
      <c r="F947" s="104"/>
      <c r="G947" s="105">
        <f t="shared" si="56"/>
        <v>21.18</v>
      </c>
      <c r="H947" s="101" t="str">
        <f t="shared" si="57"/>
        <v>Sinapi 1119</v>
      </c>
      <c r="I947" s="101" t="str">
        <f t="shared" si="58"/>
        <v>M</v>
      </c>
      <c r="J947" s="140" t="str">
        <f t="shared" si="59"/>
        <v>CALHA QUADRADA DE CHAPA DE ACO GALVANIZADA NUM 28, CORTE 25 CM</v>
      </c>
    </row>
    <row r="948" spans="1:10" x14ac:dyDescent="0.25">
      <c r="A948" s="169">
        <v>13115</v>
      </c>
      <c r="B948" s="169" t="s">
        <v>24329</v>
      </c>
      <c r="C948" s="169" t="s">
        <v>10229</v>
      </c>
      <c r="D948" s="169" t="s">
        <v>1289</v>
      </c>
      <c r="E948" s="103" t="s">
        <v>19369</v>
      </c>
      <c r="F948" s="104"/>
      <c r="G948" s="105">
        <f t="shared" si="56"/>
        <v>28.78</v>
      </c>
      <c r="H948" s="101" t="str">
        <f t="shared" si="57"/>
        <v>Sinapi 13115</v>
      </c>
      <c r="I948" s="101" t="str">
        <f t="shared" si="58"/>
        <v>M</v>
      </c>
      <c r="J948" s="140" t="str">
        <f t="shared" si="59"/>
        <v>CALHA/CANALETA DE CONCRETO SIMPLES, TIPO MEIA CANA, DIAMETRO DE 20 CM, PARA AGUA PLUVIAL</v>
      </c>
    </row>
    <row r="949" spans="1:10" x14ac:dyDescent="0.25">
      <c r="A949" s="169">
        <v>10541</v>
      </c>
      <c r="B949" s="169" t="s">
        <v>24330</v>
      </c>
      <c r="C949" s="169" t="s">
        <v>10229</v>
      </c>
      <c r="D949" s="169" t="s">
        <v>1289</v>
      </c>
      <c r="E949" s="103" t="s">
        <v>19276</v>
      </c>
      <c r="F949" s="104"/>
      <c r="G949" s="105">
        <f t="shared" si="56"/>
        <v>35.17</v>
      </c>
      <c r="H949" s="101" t="str">
        <f t="shared" si="57"/>
        <v>Sinapi 10541</v>
      </c>
      <c r="I949" s="101" t="str">
        <f t="shared" si="58"/>
        <v>M</v>
      </c>
      <c r="J949" s="140" t="str">
        <f t="shared" si="59"/>
        <v>CALHA/CANALETA DE CONCRETO SIMPLES, TIPO MEIA CANA, DIAMETRO DE 30 CM, PARA AGUA PLUVIAL</v>
      </c>
    </row>
    <row r="950" spans="1:10" x14ac:dyDescent="0.25">
      <c r="A950" s="169">
        <v>10542</v>
      </c>
      <c r="B950" s="169" t="s">
        <v>24331</v>
      </c>
      <c r="C950" s="169" t="s">
        <v>10229</v>
      </c>
      <c r="D950" s="169" t="s">
        <v>1289</v>
      </c>
      <c r="E950" s="103" t="s">
        <v>29968</v>
      </c>
      <c r="F950" s="104"/>
      <c r="G950" s="105">
        <f t="shared" si="56"/>
        <v>45.99</v>
      </c>
      <c r="H950" s="101" t="str">
        <f t="shared" si="57"/>
        <v>Sinapi 10542</v>
      </c>
      <c r="I950" s="101" t="str">
        <f t="shared" si="58"/>
        <v>M</v>
      </c>
      <c r="J950" s="140" t="str">
        <f t="shared" si="59"/>
        <v>CALHA/CANALETA DE CONCRETO SIMPLES, TIPO MEIA CANA, DIAMETRO DE 40 CM, PARA AGUA PLUVIAL</v>
      </c>
    </row>
    <row r="951" spans="1:10" x14ac:dyDescent="0.25">
      <c r="A951" s="169">
        <v>10543</v>
      </c>
      <c r="B951" s="169" t="s">
        <v>24332</v>
      </c>
      <c r="C951" s="169" t="s">
        <v>10229</v>
      </c>
      <c r="D951" s="169" t="s">
        <v>1289</v>
      </c>
      <c r="E951" s="103" t="s">
        <v>29969</v>
      </c>
      <c r="F951" s="104"/>
      <c r="G951" s="105">
        <f t="shared" si="56"/>
        <v>74.62</v>
      </c>
      <c r="H951" s="101" t="str">
        <f t="shared" si="57"/>
        <v>Sinapi 10543</v>
      </c>
      <c r="I951" s="101" t="str">
        <f t="shared" si="58"/>
        <v>M</v>
      </c>
      <c r="J951" s="140" t="str">
        <f t="shared" si="59"/>
        <v>CALHA/CANALETA DE CONCRETO SIMPLES, TIPO MEIA CANA, DIAMETRO DE 50 CM, PARA AGUA PLUVIAL</v>
      </c>
    </row>
    <row r="952" spans="1:10" x14ac:dyDescent="0.25">
      <c r="A952" s="169">
        <v>10544</v>
      </c>
      <c r="B952" s="169" t="s">
        <v>24334</v>
      </c>
      <c r="C952" s="169" t="s">
        <v>10229</v>
      </c>
      <c r="D952" s="169" t="s">
        <v>1289</v>
      </c>
      <c r="E952" s="103" t="s">
        <v>21577</v>
      </c>
      <c r="F952" s="104"/>
      <c r="G952" s="105">
        <f t="shared" si="56"/>
        <v>96.52</v>
      </c>
      <c r="H952" s="101" t="str">
        <f t="shared" si="57"/>
        <v>Sinapi 10544</v>
      </c>
      <c r="I952" s="101" t="str">
        <f t="shared" si="58"/>
        <v>M</v>
      </c>
      <c r="J952" s="140" t="str">
        <f t="shared" si="59"/>
        <v>CALHA/CANALETA DE CONCRETO SIMPLES, TIPO MEIA CANA, DIAMETRO DE 60 CM, PARA AGUA PLUVIAL</v>
      </c>
    </row>
    <row r="953" spans="1:10" x14ac:dyDescent="0.25">
      <c r="A953" s="169">
        <v>10545</v>
      </c>
      <c r="B953" s="169" t="s">
        <v>24335</v>
      </c>
      <c r="C953" s="169" t="s">
        <v>10229</v>
      </c>
      <c r="D953" s="169" t="s">
        <v>1289</v>
      </c>
      <c r="E953" s="103" t="s">
        <v>29970</v>
      </c>
      <c r="F953" s="104"/>
      <c r="G953" s="105">
        <f t="shared" si="56"/>
        <v>180.37</v>
      </c>
      <c r="H953" s="101" t="str">
        <f t="shared" si="57"/>
        <v>Sinapi 10545</v>
      </c>
      <c r="I953" s="101" t="str">
        <f t="shared" si="58"/>
        <v>M</v>
      </c>
      <c r="J953" s="140" t="str">
        <f t="shared" si="59"/>
        <v>CALHA/CANALETA DE CONCRETO SIMPLES, TIPO MEIA CANA, DIAMETRO DE 80 CM, PARA AGUA PLUVIAL</v>
      </c>
    </row>
    <row r="954" spans="1:10" x14ac:dyDescent="0.25">
      <c r="A954" s="169">
        <v>38365</v>
      </c>
      <c r="B954" s="169" t="s">
        <v>891</v>
      </c>
      <c r="C954" s="169" t="s">
        <v>10226</v>
      </c>
      <c r="D954" s="169" t="s">
        <v>1289</v>
      </c>
      <c r="E954" s="103" t="s">
        <v>15523</v>
      </c>
      <c r="F954" s="104"/>
      <c r="G954" s="105">
        <f t="shared" si="56"/>
        <v>1.47</v>
      </c>
      <c r="H954" s="101" t="str">
        <f t="shared" si="57"/>
        <v>Sinapi 38365</v>
      </c>
      <c r="I954" s="101" t="str">
        <f t="shared" si="58"/>
        <v>M2</v>
      </c>
      <c r="J954" s="140" t="str">
        <f t="shared" si="59"/>
        <v>CAMADA SEPARADORA DE FILME DE POLIETILENO 20 A 25 MICRA</v>
      </c>
    </row>
    <row r="955" spans="1:10" x14ac:dyDescent="0.25">
      <c r="A955" s="169">
        <v>44056</v>
      </c>
      <c r="B955" s="169" t="s">
        <v>24336</v>
      </c>
      <c r="C955" s="169" t="s">
        <v>10225</v>
      </c>
      <c r="D955" s="169" t="s">
        <v>1290</v>
      </c>
      <c r="E955" s="103" t="s">
        <v>21002</v>
      </c>
      <c r="F955" s="104"/>
      <c r="G955" s="105">
        <f t="shared" si="56"/>
        <v>485871.11</v>
      </c>
      <c r="H955" s="101" t="str">
        <f t="shared" si="57"/>
        <v>Sinapi 44056</v>
      </c>
      <c r="I955" s="101" t="str">
        <f t="shared" si="58"/>
        <v>UN</v>
      </c>
      <c r="J955" s="140" t="str">
        <f t="shared" si="59"/>
        <v>CAMINHAO TOCO, PESO BRUTO TOTAL 10700 KG, CARGA UTIL MAXIMA 7400 KG, DISTANCIA ENTRE EIXOS 4,00 M, POTENCIA 175 CV (INCLUI CABINE E CHASSI, NAO INCLUI CARROCERIA)</v>
      </c>
    </row>
    <row r="956" spans="1:10" x14ac:dyDescent="0.25">
      <c r="A956" s="169">
        <v>44057</v>
      </c>
      <c r="B956" s="169" t="s">
        <v>24337</v>
      </c>
      <c r="C956" s="169" t="s">
        <v>10225</v>
      </c>
      <c r="D956" s="169" t="s">
        <v>1290</v>
      </c>
      <c r="E956" s="103" t="s">
        <v>21003</v>
      </c>
      <c r="F956" s="104"/>
      <c r="G956" s="105">
        <f t="shared" si="56"/>
        <v>518574</v>
      </c>
      <c r="H956" s="101" t="str">
        <f t="shared" si="57"/>
        <v>Sinapi 44057</v>
      </c>
      <c r="I956" s="101" t="str">
        <f t="shared" si="58"/>
        <v>UN</v>
      </c>
      <c r="J956" s="140" t="str">
        <f t="shared" si="59"/>
        <v>CAMINHAO TOCO, PESO BRUTO TOTAL 13200 KG, CARGA UTIL MAXIMA 9200 KG, DISTANCIA ENTRE EIXOS 3,31 M, POTENCIA 175 CV (INCLUI CABINE E CHASSI, NAO INCLUI CARROCERIA)</v>
      </c>
    </row>
    <row r="957" spans="1:10" x14ac:dyDescent="0.25">
      <c r="A957" s="169">
        <v>37754</v>
      </c>
      <c r="B957" s="169" t="s">
        <v>24338</v>
      </c>
      <c r="C957" s="169" t="s">
        <v>10225</v>
      </c>
      <c r="D957" s="169" t="s">
        <v>1290</v>
      </c>
      <c r="E957" s="103" t="s">
        <v>21004</v>
      </c>
      <c r="F957" s="104"/>
      <c r="G957" s="105">
        <f t="shared" si="56"/>
        <v>536140.12</v>
      </c>
      <c r="H957" s="101" t="str">
        <f t="shared" si="57"/>
        <v>Sinapi 37754</v>
      </c>
      <c r="I957" s="101" t="str">
        <f t="shared" si="58"/>
        <v>UN</v>
      </c>
      <c r="J957" s="140" t="str">
        <f t="shared" si="59"/>
        <v>CAMINHAO TOCO, PESO BRUTO TOTAL 14300 KG, CARGA UTIL MAXIMA 9480 KG, DISTANCIA ENTRE EIXOS 4,80 M, POTENCIA 185 CV (INCLUI CABINE E CHASSI, NAO INCLUI CARROCERIA)</v>
      </c>
    </row>
    <row r="958" spans="1:10" x14ac:dyDescent="0.25">
      <c r="A958" s="169">
        <v>37757</v>
      </c>
      <c r="B958" s="169" t="s">
        <v>24339</v>
      </c>
      <c r="C958" s="169" t="s">
        <v>10225</v>
      </c>
      <c r="D958" s="169" t="s">
        <v>1290</v>
      </c>
      <c r="E958" s="103" t="s">
        <v>21005</v>
      </c>
      <c r="F958" s="104"/>
      <c r="G958" s="105">
        <f t="shared" si="56"/>
        <v>597995.26</v>
      </c>
      <c r="H958" s="101" t="str">
        <f t="shared" si="57"/>
        <v>Sinapi 37757</v>
      </c>
      <c r="I958" s="101" t="str">
        <f t="shared" si="58"/>
        <v>UN</v>
      </c>
      <c r="J958" s="140" t="str">
        <f t="shared" si="59"/>
        <v>CAMINHAO TOCO, PESO BRUTO TOTAL 16000 KG, CARGA UTIL MAXIMA 10600 KG, DISTANCIA ENTRE EIXOS 4,80 M, POTENCIA 277 CV (INCLUI CABINE E CHASSI, NAO INCLUI CARROCERIA)</v>
      </c>
    </row>
    <row r="959" spans="1:10" x14ac:dyDescent="0.25">
      <c r="A959" s="169">
        <v>44058</v>
      </c>
      <c r="B959" s="169" t="s">
        <v>24340</v>
      </c>
      <c r="C959" s="169" t="s">
        <v>10225</v>
      </c>
      <c r="D959" s="169" t="s">
        <v>1290</v>
      </c>
      <c r="E959" s="103" t="s">
        <v>21006</v>
      </c>
      <c r="F959" s="104"/>
      <c r="G959" s="105">
        <f t="shared" si="56"/>
        <v>565292.38</v>
      </c>
      <c r="H959" s="101" t="str">
        <f t="shared" si="57"/>
        <v>Sinapi 44058</v>
      </c>
      <c r="I959" s="101" t="str">
        <f t="shared" si="58"/>
        <v>UN</v>
      </c>
      <c r="J959" s="140" t="str">
        <f t="shared" si="59"/>
        <v>CAMINHAO TOCO, PESO BRUTO TOTAL 16000 KG, CARGA UTIL MAXIMA 10830 KG, DISTANCIA ENTRE EIXOS 3,56 M, POTENCIA 226 CV (INCLUI CABINE E CHASSI, NAO INCLUI CARROCERIA)</v>
      </c>
    </row>
    <row r="960" spans="1:10" x14ac:dyDescent="0.25">
      <c r="A960" s="169">
        <v>37752</v>
      </c>
      <c r="B960" s="169" t="s">
        <v>24341</v>
      </c>
      <c r="C960" s="169" t="s">
        <v>10225</v>
      </c>
      <c r="D960" s="169" t="s">
        <v>1290</v>
      </c>
      <c r="E960" s="103" t="s">
        <v>21007</v>
      </c>
      <c r="F960" s="104"/>
      <c r="G960" s="105">
        <f t="shared" si="56"/>
        <v>588651.54</v>
      </c>
      <c r="H960" s="101" t="str">
        <f t="shared" si="57"/>
        <v>Sinapi 37752</v>
      </c>
      <c r="I960" s="101" t="str">
        <f t="shared" si="58"/>
        <v>UN</v>
      </c>
      <c r="J960" s="140" t="str">
        <f t="shared" si="59"/>
        <v>CAMINHAO TOCO, PESO BRUTO TOTAL 16000 KG, CARGA UTIL MAXIMA 11030 KG, DISTANCIA ENTRE EIXOS 5,41 M, POTENCIA 185 CV (INCLUI CABINE E CHASSI, NAO INCLUI CARROCERIA)</v>
      </c>
    </row>
    <row r="961" spans="1:10" x14ac:dyDescent="0.25">
      <c r="A961" s="169">
        <v>44059</v>
      </c>
      <c r="B961" s="169" t="s">
        <v>24342</v>
      </c>
      <c r="C961" s="169" t="s">
        <v>10225</v>
      </c>
      <c r="D961" s="169" t="s">
        <v>1290</v>
      </c>
      <c r="E961" s="103" t="s">
        <v>21008</v>
      </c>
      <c r="F961" s="104"/>
      <c r="G961" s="105">
        <f t="shared" si="56"/>
        <v>465315.05</v>
      </c>
      <c r="H961" s="101" t="str">
        <f t="shared" si="57"/>
        <v>Sinapi 44059</v>
      </c>
      <c r="I961" s="101" t="str">
        <f t="shared" si="58"/>
        <v>UN</v>
      </c>
      <c r="J961" s="140" t="str">
        <f t="shared" si="59"/>
        <v>CAMINHAO TOCO, PESO BRUTO TOTAL 8500 KG, CARGA UTIL MAXIMA 5600 KG, DISTANCIA ENTRE EIXOS 3,40 M, POTENCIA 167 CV (INCLUI CABINE E CHASSI, NAO INCLUI CARROCERIA)</v>
      </c>
    </row>
    <row r="962" spans="1:10" x14ac:dyDescent="0.25">
      <c r="A962" s="169">
        <v>37750</v>
      </c>
      <c r="B962" s="169" t="s">
        <v>24343</v>
      </c>
      <c r="C962" s="169" t="s">
        <v>10225</v>
      </c>
      <c r="D962" s="169" t="s">
        <v>1290</v>
      </c>
      <c r="E962" s="103" t="s">
        <v>21009</v>
      </c>
      <c r="F962" s="104"/>
      <c r="G962" s="105">
        <f t="shared" si="56"/>
        <v>466249.41</v>
      </c>
      <c r="H962" s="101" t="str">
        <f t="shared" si="57"/>
        <v>Sinapi 37750</v>
      </c>
      <c r="I962" s="101" t="str">
        <f t="shared" si="58"/>
        <v>UN</v>
      </c>
      <c r="J962" s="140" t="str">
        <f t="shared" si="59"/>
        <v>CAMINHAO TOCO, PESO BRUTO TOTAL 9600 KG, CARGA UTIL MAXIMA 6190 KG, DISTANCIA ENTRE EIXOS 3,70 M, POTENCIA 156 CV (INCLUI CABINE E CHASSI, NAO INCLUI CARROCERIA)</v>
      </c>
    </row>
    <row r="963" spans="1:10" x14ac:dyDescent="0.25">
      <c r="A963" s="169">
        <v>37758</v>
      </c>
      <c r="B963" s="169" t="s">
        <v>24344</v>
      </c>
      <c r="C963" s="169" t="s">
        <v>10225</v>
      </c>
      <c r="D963" s="169" t="s">
        <v>1290</v>
      </c>
      <c r="E963" s="103" t="s">
        <v>21010</v>
      </c>
      <c r="F963" s="104"/>
      <c r="G963" s="105">
        <f t="shared" si="56"/>
        <v>741887.83</v>
      </c>
      <c r="H963" s="101" t="str">
        <f t="shared" si="57"/>
        <v>Sinapi 37758</v>
      </c>
      <c r="I963" s="101" t="str">
        <f t="shared" si="58"/>
        <v>UN</v>
      </c>
      <c r="J963" s="140" t="str">
        <f t="shared" si="59"/>
        <v>CAMINHAO TRUCADO, PESO BRUTO TOTAL 23000 KG, CARGA UTIL MAXIMA 15285 KG, DISTANCIA ENTRE EIXOS 4,80 M, POTENCIA 326 CV (INCLUI CABINE E CHASSI, NAO INCLUI CARROCERIA)</v>
      </c>
    </row>
    <row r="964" spans="1:10" x14ac:dyDescent="0.25">
      <c r="A964" s="169">
        <v>44060</v>
      </c>
      <c r="B964" s="169" t="s">
        <v>24345</v>
      </c>
      <c r="C964" s="169" t="s">
        <v>10225</v>
      </c>
      <c r="D964" s="169" t="s">
        <v>1290</v>
      </c>
      <c r="E964" s="103" t="s">
        <v>21011</v>
      </c>
      <c r="F964" s="104"/>
      <c r="G964" s="105">
        <f t="shared" si="56"/>
        <v>717594.3</v>
      </c>
      <c r="H964" s="101" t="str">
        <f t="shared" si="57"/>
        <v>Sinapi 44060</v>
      </c>
      <c r="I964" s="101" t="str">
        <f t="shared" si="58"/>
        <v>UN</v>
      </c>
      <c r="J964" s="140" t="str">
        <f t="shared" si="59"/>
        <v>CAMINHAO TRUCADO, PESO BRUTO TOTAL 23000 KG, CARGA UTIL MAXIMA 15460 KG, DISTANCIA ENTRE EIXOS 4,80 M, POTENCIA 286 CV (INCLUI CABINE E CHASSI, NAO INCLUI CARROCERIA)</v>
      </c>
    </row>
    <row r="965" spans="1:10" x14ac:dyDescent="0.25">
      <c r="A965" s="169">
        <v>37749</v>
      </c>
      <c r="B965" s="169" t="s">
        <v>24346</v>
      </c>
      <c r="C965" s="169" t="s">
        <v>10225</v>
      </c>
      <c r="D965" s="169" t="s">
        <v>1290</v>
      </c>
      <c r="E965" s="103" t="s">
        <v>21012</v>
      </c>
      <c r="F965" s="104"/>
      <c r="G965" s="105">
        <f t="shared" si="56"/>
        <v>766181.41</v>
      </c>
      <c r="H965" s="101" t="str">
        <f t="shared" si="57"/>
        <v>Sinapi 37749</v>
      </c>
      <c r="I965" s="101" t="str">
        <f t="shared" si="58"/>
        <v>UN</v>
      </c>
      <c r="J965" s="140" t="str">
        <f t="shared" si="59"/>
        <v>CAMINHAO TRUCADO, PESO BRUTO TOTAL 23000 KG, CARGA UTIL MAXIMA 16360 KG, CABINE ESTENDIDA, DISTANCIA ENTRE EIXOS 3,56 M, POTENCIA 277 CV (INCLUI CABINE E CHASSI, NAO INCLUI CARROCERIA)</v>
      </c>
    </row>
    <row r="966" spans="1:10" x14ac:dyDescent="0.25">
      <c r="A966" s="169">
        <v>44061</v>
      </c>
      <c r="B966" s="169" t="s">
        <v>24347</v>
      </c>
      <c r="C966" s="169" t="s">
        <v>10225</v>
      </c>
      <c r="D966" s="169" t="s">
        <v>1290</v>
      </c>
      <c r="E966" s="103" t="s">
        <v>21013</v>
      </c>
      <c r="F966" s="104"/>
      <c r="G966" s="105">
        <f t="shared" si="56"/>
        <v>703578.8</v>
      </c>
      <c r="H966" s="101" t="str">
        <f t="shared" si="57"/>
        <v>Sinapi 44061</v>
      </c>
      <c r="I966" s="101" t="str">
        <f t="shared" si="58"/>
        <v>UN</v>
      </c>
      <c r="J966" s="140" t="str">
        <f t="shared" si="59"/>
        <v>CAMINHAO TRUCADO, PESO BRUTO TOTAL 23000 KG, CARGA UTIL MAXIMA 16540 KG, DISTANCIA ENTRE EIXOS 4,80 M, POTENCIA 256 CV (INCLUI CABINE E CHASSI, NAO INCLUI CARROCERIA)</v>
      </c>
    </row>
    <row r="967" spans="1:10" x14ac:dyDescent="0.25">
      <c r="A967" s="169">
        <v>1159</v>
      </c>
      <c r="B967" s="169" t="s">
        <v>24348</v>
      </c>
      <c r="C967" s="169" t="s">
        <v>10225</v>
      </c>
      <c r="D967" s="169" t="s">
        <v>1288</v>
      </c>
      <c r="E967" s="103" t="s">
        <v>29971</v>
      </c>
      <c r="F967" s="104"/>
      <c r="G967" s="105">
        <f t="shared" si="56"/>
        <v>275290</v>
      </c>
      <c r="H967" s="101" t="str">
        <f t="shared" si="57"/>
        <v>Sinapi 1159</v>
      </c>
      <c r="I967" s="101" t="str">
        <f t="shared" si="58"/>
        <v>UN</v>
      </c>
      <c r="J967" s="140" t="str">
        <f t="shared" si="59"/>
        <v>CAMINHONETE COM MOTOR A DIESEL, POTENCIA *160* CV, CABINE DUPLA, 4X4</v>
      </c>
    </row>
    <row r="968" spans="1:10" x14ac:dyDescent="0.25">
      <c r="A968" s="169">
        <v>12114</v>
      </c>
      <c r="B968" s="169" t="s">
        <v>24349</v>
      </c>
      <c r="C968" s="169" t="s">
        <v>10225</v>
      </c>
      <c r="D968" s="169" t="s">
        <v>1289</v>
      </c>
      <c r="E968" s="103" t="s">
        <v>29972</v>
      </c>
      <c r="F968" s="104"/>
      <c r="G968" s="105">
        <f t="shared" ref="G968:G1031" si="60">IF(E968="","",E968+0)</f>
        <v>176.66</v>
      </c>
      <c r="H968" s="101" t="str">
        <f t="shared" ref="H968:H1031" si="61">IF(G968="","",TRIM(CONCATENATE("Sinapi ",A968)))</f>
        <v>Sinapi 12114</v>
      </c>
      <c r="I968" s="101" t="str">
        <f t="shared" ref="I968:I1031" si="62">TRIM(C968)</f>
        <v>UN</v>
      </c>
      <c r="J968" s="140" t="str">
        <f t="shared" si="59"/>
        <v>CAMPAINHA ALTA POTENCIA 110V / 220V, DIAMETRO 150 MM</v>
      </c>
    </row>
    <row r="969" spans="1:10" x14ac:dyDescent="0.25">
      <c r="A969" s="169">
        <v>38106</v>
      </c>
      <c r="B969" s="169" t="s">
        <v>24351</v>
      </c>
      <c r="C969" s="169" t="s">
        <v>10225</v>
      </c>
      <c r="D969" s="169" t="s">
        <v>1289</v>
      </c>
      <c r="E969" s="103" t="s">
        <v>19975</v>
      </c>
      <c r="F969" s="104"/>
      <c r="G969" s="105">
        <f t="shared" si="60"/>
        <v>24.01</v>
      </c>
      <c r="H969" s="101" t="str">
        <f t="shared" si="61"/>
        <v>Sinapi 38106</v>
      </c>
      <c r="I969" s="101" t="str">
        <f t="shared" si="62"/>
        <v>UN</v>
      </c>
      <c r="J969" s="140" t="str">
        <f t="shared" ref="J969:J1032" si="63">TRIM(B969)</f>
        <v>CAMPAINHA CIGARRA 127 V / 220 V (APENAS MODULO)</v>
      </c>
    </row>
    <row r="970" spans="1:10" x14ac:dyDescent="0.25">
      <c r="A970" s="169">
        <v>38085</v>
      </c>
      <c r="B970" s="169" t="s">
        <v>24352</v>
      </c>
      <c r="C970" s="169" t="s">
        <v>10225</v>
      </c>
      <c r="D970" s="169" t="s">
        <v>1289</v>
      </c>
      <c r="E970" s="103" t="s">
        <v>29265</v>
      </c>
      <c r="F970" s="104"/>
      <c r="G970" s="105">
        <f t="shared" si="60"/>
        <v>28.36</v>
      </c>
      <c r="H970" s="101" t="str">
        <f t="shared" si="61"/>
        <v>Sinapi 38085</v>
      </c>
      <c r="I970" s="101" t="str">
        <f t="shared" si="62"/>
        <v>UN</v>
      </c>
      <c r="J970" s="140" t="str">
        <f t="shared" si="63"/>
        <v>CAMPAINHA CIGARRA 127 V / 220 V, CONJUNTO MONTADO PARA EMBUTIR 4" X 2" (PLACA + SUPORTE + MODULO)</v>
      </c>
    </row>
    <row r="971" spans="1:10" x14ac:dyDescent="0.25">
      <c r="A971" s="169">
        <v>38599</v>
      </c>
      <c r="B971" s="169" t="s">
        <v>24354</v>
      </c>
      <c r="C971" s="169" t="s">
        <v>10225</v>
      </c>
      <c r="D971" s="169" t="s">
        <v>1289</v>
      </c>
      <c r="E971" s="103" t="s">
        <v>16349</v>
      </c>
      <c r="F971" s="104"/>
      <c r="G971" s="105">
        <f t="shared" si="60"/>
        <v>9.6199999999999992</v>
      </c>
      <c r="H971" s="101" t="str">
        <f t="shared" si="61"/>
        <v>Sinapi 38599</v>
      </c>
      <c r="I971" s="101" t="str">
        <f t="shared" si="62"/>
        <v>UN</v>
      </c>
      <c r="J971" s="140" t="str">
        <f t="shared" si="63"/>
        <v>CANALETA DE CONCRETO ESTRUTURAL 14 X 19 X 29 CM, FBK 14 MPA (NBR 6136)</v>
      </c>
    </row>
    <row r="972" spans="1:10" x14ac:dyDescent="0.25">
      <c r="A972" s="169">
        <v>38596</v>
      </c>
      <c r="B972" s="169" t="s">
        <v>24355</v>
      </c>
      <c r="C972" s="169" t="s">
        <v>10225</v>
      </c>
      <c r="D972" s="169" t="s">
        <v>1289</v>
      </c>
      <c r="E972" s="103" t="s">
        <v>17282</v>
      </c>
      <c r="F972" s="104"/>
      <c r="G972" s="105">
        <f t="shared" si="60"/>
        <v>7.99</v>
      </c>
      <c r="H972" s="101" t="str">
        <f t="shared" si="61"/>
        <v>Sinapi 38596</v>
      </c>
      <c r="I972" s="101" t="str">
        <f t="shared" si="62"/>
        <v>UN</v>
      </c>
      <c r="J972" s="140" t="str">
        <f t="shared" si="63"/>
        <v>CANALETA DE CONCRETO ESTRUTURAL 14 X 19 X 29 CM, FBK 4,5 MPA (NBR 6136)</v>
      </c>
    </row>
    <row r="973" spans="1:10" x14ac:dyDescent="0.25">
      <c r="A973" s="169">
        <v>38600</v>
      </c>
      <c r="B973" s="169" t="s">
        <v>24356</v>
      </c>
      <c r="C973" s="169" t="s">
        <v>10225</v>
      </c>
      <c r="D973" s="169" t="s">
        <v>1289</v>
      </c>
      <c r="E973" s="103" t="s">
        <v>15530</v>
      </c>
      <c r="F973" s="104"/>
      <c r="G973" s="105">
        <f t="shared" si="60"/>
        <v>10.199999999999999</v>
      </c>
      <c r="H973" s="101" t="str">
        <f t="shared" si="61"/>
        <v>Sinapi 38600</v>
      </c>
      <c r="I973" s="101" t="str">
        <f t="shared" si="62"/>
        <v>UN</v>
      </c>
      <c r="J973" s="140" t="str">
        <f t="shared" si="63"/>
        <v>CANALETA DE CONCRETO ESTRUTURAL 14 X 19 X 39 CM, FBK 14 MPA (NBR 6136)</v>
      </c>
    </row>
    <row r="974" spans="1:10" x14ac:dyDescent="0.25">
      <c r="A974" s="169">
        <v>38597</v>
      </c>
      <c r="B974" s="169" t="s">
        <v>24357</v>
      </c>
      <c r="C974" s="169" t="s">
        <v>10225</v>
      </c>
      <c r="D974" s="169" t="s">
        <v>1289</v>
      </c>
      <c r="E974" s="103" t="s">
        <v>28936</v>
      </c>
      <c r="F974" s="104"/>
      <c r="G974" s="105">
        <f t="shared" si="60"/>
        <v>8.0399999999999991</v>
      </c>
      <c r="H974" s="101" t="str">
        <f t="shared" si="61"/>
        <v>Sinapi 38597</v>
      </c>
      <c r="I974" s="101" t="str">
        <f t="shared" si="62"/>
        <v>UN</v>
      </c>
      <c r="J974" s="140" t="str">
        <f t="shared" si="63"/>
        <v>CANALETA DE CONCRETO ESTRUTURAL 14 X 19 X 39 CM, FBK 4,5 MPA (NBR 6136)</v>
      </c>
    </row>
    <row r="975" spans="1:10" x14ac:dyDescent="0.25">
      <c r="A975" s="169">
        <v>659</v>
      </c>
      <c r="B975" s="169" t="s">
        <v>24358</v>
      </c>
      <c r="C975" s="169" t="s">
        <v>10225</v>
      </c>
      <c r="D975" s="169" t="s">
        <v>1289</v>
      </c>
      <c r="E975" s="103" t="s">
        <v>7190</v>
      </c>
      <c r="F975" s="104"/>
      <c r="G975" s="105">
        <f t="shared" si="60"/>
        <v>4.62</v>
      </c>
      <c r="H975" s="101" t="str">
        <f t="shared" si="61"/>
        <v>Sinapi 659</v>
      </c>
      <c r="I975" s="101" t="str">
        <f t="shared" si="62"/>
        <v>UN</v>
      </c>
      <c r="J975" s="140" t="str">
        <f t="shared" si="63"/>
        <v>CANALETA DE CONCRETO 14 X 19 X 19 CM (CLASSE C - NBR 6136)</v>
      </c>
    </row>
    <row r="976" spans="1:10" x14ac:dyDescent="0.25">
      <c r="A976" s="169">
        <v>660</v>
      </c>
      <c r="B976" s="169" t="s">
        <v>24359</v>
      </c>
      <c r="C976" s="169" t="s">
        <v>10225</v>
      </c>
      <c r="D976" s="169" t="s">
        <v>1289</v>
      </c>
      <c r="E976" s="103" t="s">
        <v>29973</v>
      </c>
      <c r="F976" s="104"/>
      <c r="G976" s="105">
        <f t="shared" si="60"/>
        <v>5.54</v>
      </c>
      <c r="H976" s="101" t="str">
        <f t="shared" si="61"/>
        <v>Sinapi 660</v>
      </c>
      <c r="I976" s="101" t="str">
        <f t="shared" si="62"/>
        <v>UN</v>
      </c>
      <c r="J976" s="140" t="str">
        <f t="shared" si="63"/>
        <v>CANALETA DE CONCRETO 19 X 19 X 19 CM (CLASSE C - NBR 6136)</v>
      </c>
    </row>
    <row r="977" spans="1:10" x14ac:dyDescent="0.25">
      <c r="A977" s="169">
        <v>658</v>
      </c>
      <c r="B977" s="169" t="s">
        <v>24360</v>
      </c>
      <c r="C977" s="169" t="s">
        <v>10225</v>
      </c>
      <c r="D977" s="169" t="s">
        <v>1289</v>
      </c>
      <c r="E977" s="103" t="s">
        <v>3481</v>
      </c>
      <c r="F977" s="104"/>
      <c r="G977" s="105">
        <f t="shared" si="60"/>
        <v>3.12</v>
      </c>
      <c r="H977" s="101" t="str">
        <f t="shared" si="61"/>
        <v>Sinapi 658</v>
      </c>
      <c r="I977" s="101" t="str">
        <f t="shared" si="62"/>
        <v>UN</v>
      </c>
      <c r="J977" s="140" t="str">
        <f t="shared" si="63"/>
        <v>CANALETA DE CONCRETO 9 X 19 X 19 CM (CLASSE C - NBR 6136)</v>
      </c>
    </row>
    <row r="978" spans="1:10" x14ac:dyDescent="0.25">
      <c r="A978" s="169">
        <v>38548</v>
      </c>
      <c r="B978" s="169" t="s">
        <v>24361</v>
      </c>
      <c r="C978" s="169" t="s">
        <v>10225</v>
      </c>
      <c r="D978" s="169" t="s">
        <v>1289</v>
      </c>
      <c r="E978" s="103" t="s">
        <v>9550</v>
      </c>
      <c r="F978" s="104"/>
      <c r="G978" s="105">
        <f t="shared" si="60"/>
        <v>1.83</v>
      </c>
      <c r="H978" s="101" t="str">
        <f t="shared" si="61"/>
        <v>Sinapi 38548</v>
      </c>
      <c r="I978" s="101" t="str">
        <f t="shared" si="62"/>
        <v>UN</v>
      </c>
      <c r="J978" s="140" t="str">
        <f t="shared" si="63"/>
        <v>CANALETA ESTRUTURAL CERAMICA, 14 X 19 X 19 CM, 6,0 MPA (NBR 15270)</v>
      </c>
    </row>
    <row r="979" spans="1:10" x14ac:dyDescent="0.25">
      <c r="A979" s="169">
        <v>34649</v>
      </c>
      <c r="B979" s="169" t="s">
        <v>24362</v>
      </c>
      <c r="C979" s="169" t="s">
        <v>10225</v>
      </c>
      <c r="D979" s="169" t="s">
        <v>1289</v>
      </c>
      <c r="E979" s="103" t="s">
        <v>21323</v>
      </c>
      <c r="F979" s="104"/>
      <c r="G979" s="105">
        <f t="shared" si="60"/>
        <v>2.4700000000000002</v>
      </c>
      <c r="H979" s="101" t="str">
        <f t="shared" si="61"/>
        <v>Sinapi 34649</v>
      </c>
      <c r="I979" s="101" t="str">
        <f t="shared" si="62"/>
        <v>UN</v>
      </c>
      <c r="J979" s="140" t="str">
        <f t="shared" si="63"/>
        <v>CANALETA ESTRUTURAL CERAMICA, 14 X 19 X 29 CM, 6,0 MPA (NBR 15270)</v>
      </c>
    </row>
    <row r="980" spans="1:10" x14ac:dyDescent="0.25">
      <c r="A980" s="169">
        <v>34655</v>
      </c>
      <c r="B980" s="169" t="s">
        <v>24363</v>
      </c>
      <c r="C980" s="169" t="s">
        <v>10225</v>
      </c>
      <c r="D980" s="169" t="s">
        <v>1289</v>
      </c>
      <c r="E980" s="103" t="s">
        <v>29974</v>
      </c>
      <c r="F980" s="104"/>
      <c r="G980" s="105">
        <f t="shared" si="60"/>
        <v>3.28</v>
      </c>
      <c r="H980" s="101" t="str">
        <f t="shared" si="61"/>
        <v>Sinapi 34655</v>
      </c>
      <c r="I980" s="101" t="str">
        <f t="shared" si="62"/>
        <v>UN</v>
      </c>
      <c r="J980" s="140" t="str">
        <f t="shared" si="63"/>
        <v>CANALETA ESTRUTURAL CERAMICA, 14 X 19 X 39 CM, 6,0 MPA (NBR 15270)</v>
      </c>
    </row>
    <row r="981" spans="1:10" x14ac:dyDescent="0.25">
      <c r="A981" s="169">
        <v>40607</v>
      </c>
      <c r="B981" s="169" t="s">
        <v>24364</v>
      </c>
      <c r="C981" s="169" t="s">
        <v>10225</v>
      </c>
      <c r="D981" s="169" t="s">
        <v>1290</v>
      </c>
      <c r="E981" s="103" t="s">
        <v>12393</v>
      </c>
      <c r="F981" s="104"/>
      <c r="G981" s="105">
        <f t="shared" si="60"/>
        <v>4.29</v>
      </c>
      <c r="H981" s="101" t="str">
        <f t="shared" si="61"/>
        <v>Sinapi 40607</v>
      </c>
      <c r="I981" s="101" t="str">
        <f t="shared" si="62"/>
        <v>UN</v>
      </c>
      <c r="J981" s="140" t="str">
        <f t="shared" si="63"/>
        <v>CANOPLA ACABAMENTO CROMADO PARA INSTALACAO DE SPRINKLER, SOB FORRO, 15 MM</v>
      </c>
    </row>
    <row r="982" spans="1:10" x14ac:dyDescent="0.25">
      <c r="A982" s="169">
        <v>567</v>
      </c>
      <c r="B982" s="169" t="s">
        <v>24365</v>
      </c>
      <c r="C982" s="169" t="s">
        <v>10229</v>
      </c>
      <c r="D982" s="169" t="s">
        <v>1289</v>
      </c>
      <c r="E982" s="103" t="s">
        <v>18595</v>
      </c>
      <c r="F982" s="104"/>
      <c r="G982" s="105">
        <f t="shared" si="60"/>
        <v>14.99</v>
      </c>
      <c r="H982" s="101" t="str">
        <f t="shared" si="61"/>
        <v>Sinapi 567</v>
      </c>
      <c r="I982" s="101" t="str">
        <f t="shared" si="62"/>
        <v>M</v>
      </c>
      <c r="J982" s="140" t="str">
        <f t="shared" si="63"/>
        <v>CANTONEIRA (ABAS IGUAIS) EM ACO CARBONO, 25,4 MM X 3,17 MM (L X E), 1,27KG/M</v>
      </c>
    </row>
    <row r="983" spans="1:10" x14ac:dyDescent="0.25">
      <c r="A983" s="169">
        <v>574</v>
      </c>
      <c r="B983" s="169" t="s">
        <v>24366</v>
      </c>
      <c r="C983" s="169" t="s">
        <v>10229</v>
      </c>
      <c r="D983" s="169" t="s">
        <v>1289</v>
      </c>
      <c r="E983" s="103" t="s">
        <v>21359</v>
      </c>
      <c r="F983" s="104"/>
      <c r="G983" s="105">
        <f t="shared" si="60"/>
        <v>39.409999999999997</v>
      </c>
      <c r="H983" s="101" t="str">
        <f t="shared" si="61"/>
        <v>Sinapi 574</v>
      </c>
      <c r="I983" s="101" t="str">
        <f t="shared" si="62"/>
        <v>M</v>
      </c>
      <c r="J983" s="140" t="str">
        <f t="shared" si="63"/>
        <v>CANTONEIRA (ABAS IGUAIS) EM ACO CARBONO, 38,1 MM X 3,17 MM (L X E), 3,48 KG/M</v>
      </c>
    </row>
    <row r="984" spans="1:10" x14ac:dyDescent="0.25">
      <c r="A984" s="169">
        <v>568</v>
      </c>
      <c r="B984" s="169" t="s">
        <v>24368</v>
      </c>
      <c r="C984" s="169" t="s">
        <v>10229</v>
      </c>
      <c r="D984" s="169" t="s">
        <v>1289</v>
      </c>
      <c r="E984" s="103" t="s">
        <v>29975</v>
      </c>
      <c r="F984" s="104"/>
      <c r="G984" s="105">
        <f t="shared" si="60"/>
        <v>83.04</v>
      </c>
      <c r="H984" s="101" t="str">
        <f t="shared" si="61"/>
        <v>Sinapi 568</v>
      </c>
      <c r="I984" s="101" t="str">
        <f t="shared" si="62"/>
        <v>M</v>
      </c>
      <c r="J984" s="140" t="str">
        <f t="shared" si="63"/>
        <v>CANTONEIRA (ABAS IGUAIS) EM ACO CARBONO, 50,8 MM X 9,53 MM (L X E), 6,99 KG/M</v>
      </c>
    </row>
    <row r="985" spans="1:10" x14ac:dyDescent="0.25">
      <c r="A985" s="169">
        <v>4777</v>
      </c>
      <c r="B985" s="169" t="s">
        <v>91</v>
      </c>
      <c r="C985" s="169" t="s">
        <v>10231</v>
      </c>
      <c r="D985" s="169" t="s">
        <v>1290</v>
      </c>
      <c r="E985" s="103" t="s">
        <v>29976</v>
      </c>
      <c r="F985" s="104"/>
      <c r="G985" s="105">
        <f t="shared" si="60"/>
        <v>10.43</v>
      </c>
      <c r="H985" s="101" t="str">
        <f t="shared" si="61"/>
        <v>Sinapi 4777</v>
      </c>
      <c r="I985" s="101" t="str">
        <f t="shared" si="62"/>
        <v>KG</v>
      </c>
      <c r="J985" s="140" t="str">
        <f t="shared" si="63"/>
        <v>CANTONEIRA ACO ABAS IGUAIS (QUALQUER BITOLA), ESPESSURA ENTRE 1/8" E 1/4"</v>
      </c>
    </row>
    <row r="986" spans="1:10" x14ac:dyDescent="0.25">
      <c r="A986" s="169">
        <v>592</v>
      </c>
      <c r="B986" s="169" t="s">
        <v>29977</v>
      </c>
      <c r="C986" s="169" t="s">
        <v>10231</v>
      </c>
      <c r="D986" s="169" t="s">
        <v>1290</v>
      </c>
      <c r="E986" s="103" t="s">
        <v>29978</v>
      </c>
      <c r="F986" s="104"/>
      <c r="G986" s="105">
        <f t="shared" si="60"/>
        <v>33.159999999999997</v>
      </c>
      <c r="H986" s="101" t="str">
        <f t="shared" si="61"/>
        <v>Sinapi 592</v>
      </c>
      <c r="I986" s="101" t="str">
        <f t="shared" si="62"/>
        <v>KG</v>
      </c>
      <c r="J986" s="140" t="str">
        <f t="shared" si="63"/>
        <v>CANTONEIRA EM ALUMINIO, ABAS IGUAIS, LARGURA DE 25,40 MM (1"), ESPESSURA DE 3,17 MM (1/8") E PESO LINEAR DE APROXIMADAMENTE 0,408 KG/M</v>
      </c>
    </row>
    <row r="987" spans="1:10" x14ac:dyDescent="0.25">
      <c r="A987" s="169">
        <v>586</v>
      </c>
      <c r="B987" s="169" t="s">
        <v>29979</v>
      </c>
      <c r="C987" s="169" t="s">
        <v>10229</v>
      </c>
      <c r="D987" s="169" t="s">
        <v>1290</v>
      </c>
      <c r="E987" s="103" t="s">
        <v>2858</v>
      </c>
      <c r="F987" s="104"/>
      <c r="G987" s="105">
        <f t="shared" si="60"/>
        <v>19.489999999999998</v>
      </c>
      <c r="H987" s="101" t="str">
        <f t="shared" si="61"/>
        <v>Sinapi 586</v>
      </c>
      <c r="I987" s="101" t="str">
        <f t="shared" si="62"/>
        <v>M</v>
      </c>
      <c r="J987" s="140" t="str">
        <f t="shared" si="63"/>
        <v>CANTONEIRA EM ALUMINIO, ABAS IGUAIS, LARGURA DE 25,40 MM (1"), ESPESSURA DE 4,76 MM (3/16") E PESO LINEAR DE APROXIMADAMENTEO 0,593 KG/M</v>
      </c>
    </row>
    <row r="988" spans="1:10" x14ac:dyDescent="0.25">
      <c r="A988" s="169">
        <v>588</v>
      </c>
      <c r="B988" s="169" t="s">
        <v>29980</v>
      </c>
      <c r="C988" s="169" t="s">
        <v>10229</v>
      </c>
      <c r="D988" s="169" t="s">
        <v>1290</v>
      </c>
      <c r="E988" s="103" t="s">
        <v>23135</v>
      </c>
      <c r="F988" s="104"/>
      <c r="G988" s="105">
        <f t="shared" si="60"/>
        <v>30.83</v>
      </c>
      <c r="H988" s="101" t="str">
        <f t="shared" si="61"/>
        <v>Sinapi 588</v>
      </c>
      <c r="I988" s="101" t="str">
        <f t="shared" si="62"/>
        <v>M</v>
      </c>
      <c r="J988" s="140" t="str">
        <f t="shared" si="63"/>
        <v>CANTONEIRA EM ALUMINIO, ABAS IGUAIS, LARGURA DE 31,75 MM (1 1/4"), ESPESSURA DE 4,76 MM (3/16") E PESO LINEAR DE APROXIMADAMENTE 0,755 KG/M</v>
      </c>
    </row>
    <row r="989" spans="1:10" x14ac:dyDescent="0.25">
      <c r="A989" s="169">
        <v>591</v>
      </c>
      <c r="B989" s="169" t="s">
        <v>29981</v>
      </c>
      <c r="C989" s="169" t="s">
        <v>10231</v>
      </c>
      <c r="D989" s="169" t="s">
        <v>1290</v>
      </c>
      <c r="E989" s="103" t="s">
        <v>24377</v>
      </c>
      <c r="F989" s="104"/>
      <c r="G989" s="105">
        <f t="shared" si="60"/>
        <v>30.94</v>
      </c>
      <c r="H989" s="101" t="str">
        <f t="shared" si="61"/>
        <v>Sinapi 591</v>
      </c>
      <c r="I989" s="101" t="str">
        <f t="shared" si="62"/>
        <v>KG</v>
      </c>
      <c r="J989" s="140" t="str">
        <f t="shared" si="63"/>
        <v>CANTONEIRA EM ALUMINIO, ABAS IGUAIS, LARGURA DE 38,10 MM (1 1/2"), ESPESSURA DE 4,76 MM (3/16") E PESO LINEAR DE APROXIMADAMENTE 0,915 KG/M</v>
      </c>
    </row>
    <row r="990" spans="1:10" x14ac:dyDescent="0.25">
      <c r="A990" s="169">
        <v>584</v>
      </c>
      <c r="B990" s="169" t="s">
        <v>29982</v>
      </c>
      <c r="C990" s="169" t="s">
        <v>10229</v>
      </c>
      <c r="D990" s="169" t="s">
        <v>1290</v>
      </c>
      <c r="E990" s="103" t="s">
        <v>21859</v>
      </c>
      <c r="F990" s="104"/>
      <c r="G990" s="105">
        <f t="shared" si="60"/>
        <v>32.93</v>
      </c>
      <c r="H990" s="101" t="str">
        <f t="shared" si="61"/>
        <v>Sinapi 584</v>
      </c>
      <c r="I990" s="101" t="str">
        <f t="shared" si="62"/>
        <v>M</v>
      </c>
      <c r="J990" s="140" t="str">
        <f t="shared" si="63"/>
        <v>CANTONEIRA EM ALUMINIO, ABAS IGUAIS, LARGURA DE 50,80 MM (2") , ESPESSURA DE 3,17 MM (1/8") E PESO LINEAR DE APROXIMADAMENTE 0,842 KG/M</v>
      </c>
    </row>
    <row r="991" spans="1:10" x14ac:dyDescent="0.25">
      <c r="A991" s="169">
        <v>589</v>
      </c>
      <c r="B991" s="169" t="s">
        <v>29983</v>
      </c>
      <c r="C991" s="169" t="s">
        <v>10229</v>
      </c>
      <c r="D991" s="169" t="s">
        <v>1290</v>
      </c>
      <c r="E991" s="103" t="s">
        <v>21811</v>
      </c>
      <c r="F991" s="104"/>
      <c r="G991" s="105">
        <f t="shared" si="60"/>
        <v>52.12</v>
      </c>
      <c r="H991" s="101" t="str">
        <f t="shared" si="61"/>
        <v>Sinapi 589</v>
      </c>
      <c r="I991" s="101" t="str">
        <f t="shared" si="62"/>
        <v>M</v>
      </c>
      <c r="J991" s="140" t="str">
        <f t="shared" si="63"/>
        <v>CANTONEIRA EM ALUMINIO, ABAS IGUAIS, LARGURA DE 50,80 MM (2"), ESPESSURA DE 6,35 MM (1/4") E PESO LINEAR DE APROXIMADAMENTE 1,630 KG/M</v>
      </c>
    </row>
    <row r="992" spans="1:10" x14ac:dyDescent="0.25">
      <c r="A992" s="169">
        <v>1165</v>
      </c>
      <c r="B992" s="169" t="s">
        <v>24370</v>
      </c>
      <c r="C992" s="169" t="s">
        <v>10225</v>
      </c>
      <c r="D992" s="169" t="s">
        <v>1289</v>
      </c>
      <c r="E992" s="103" t="s">
        <v>15528</v>
      </c>
      <c r="F992" s="104"/>
      <c r="G992" s="105">
        <f t="shared" si="60"/>
        <v>19.079999999999998</v>
      </c>
      <c r="H992" s="101" t="str">
        <f t="shared" si="61"/>
        <v>Sinapi 1165</v>
      </c>
      <c r="I992" s="101" t="str">
        <f t="shared" si="62"/>
        <v>UN</v>
      </c>
      <c r="J992" s="140" t="str">
        <f t="shared" si="63"/>
        <v>CAP OU TAMPAO DE FERRO GALVANIZADO, COM ROSCA BSP, DE 1 1/2"</v>
      </c>
    </row>
    <row r="993" spans="1:10" x14ac:dyDescent="0.25">
      <c r="A993" s="169">
        <v>1164</v>
      </c>
      <c r="B993" s="169" t="s">
        <v>24371</v>
      </c>
      <c r="C993" s="169" t="s">
        <v>10225</v>
      </c>
      <c r="D993" s="169" t="s">
        <v>1289</v>
      </c>
      <c r="E993" s="103" t="s">
        <v>28576</v>
      </c>
      <c r="F993" s="104"/>
      <c r="G993" s="105">
        <f t="shared" si="60"/>
        <v>15.45</v>
      </c>
      <c r="H993" s="101" t="str">
        <f t="shared" si="61"/>
        <v>Sinapi 1164</v>
      </c>
      <c r="I993" s="101" t="str">
        <f t="shared" si="62"/>
        <v>UN</v>
      </c>
      <c r="J993" s="140" t="str">
        <f t="shared" si="63"/>
        <v>CAP OU TAMPAO DE FERRO GALVANIZADO, COM ROSCA BSP, DE 1 1/4"</v>
      </c>
    </row>
    <row r="994" spans="1:10" x14ac:dyDescent="0.25">
      <c r="A994" s="169">
        <v>1162</v>
      </c>
      <c r="B994" s="169" t="s">
        <v>24372</v>
      </c>
      <c r="C994" s="169" t="s">
        <v>10225</v>
      </c>
      <c r="D994" s="169" t="s">
        <v>1289</v>
      </c>
      <c r="E994" s="103" t="s">
        <v>19327</v>
      </c>
      <c r="F994" s="104"/>
      <c r="G994" s="105">
        <f t="shared" si="60"/>
        <v>5.37</v>
      </c>
      <c r="H994" s="101" t="str">
        <f t="shared" si="61"/>
        <v>Sinapi 1162</v>
      </c>
      <c r="I994" s="101" t="str">
        <f t="shared" si="62"/>
        <v>UN</v>
      </c>
      <c r="J994" s="140" t="str">
        <f t="shared" si="63"/>
        <v>CAP OU TAMPAO DE FERRO GALVANIZADO, COM ROSCA BSP, DE 1/2"</v>
      </c>
    </row>
    <row r="995" spans="1:10" x14ac:dyDescent="0.25">
      <c r="A995" s="169">
        <v>12395</v>
      </c>
      <c r="B995" s="169" t="s">
        <v>24373</v>
      </c>
      <c r="C995" s="169" t="s">
        <v>10225</v>
      </c>
      <c r="D995" s="169" t="s">
        <v>1289</v>
      </c>
      <c r="E995" s="103" t="s">
        <v>15515</v>
      </c>
      <c r="F995" s="104"/>
      <c r="G995" s="105">
        <f t="shared" si="60"/>
        <v>5.22</v>
      </c>
      <c r="H995" s="101" t="str">
        <f t="shared" si="61"/>
        <v>Sinapi 12395</v>
      </c>
      <c r="I995" s="101" t="str">
        <f t="shared" si="62"/>
        <v>UN</v>
      </c>
      <c r="J995" s="140" t="str">
        <f t="shared" si="63"/>
        <v>CAP OU TAMPAO DE FERRO GALVANIZADO, COM ROSCA BSP, DE 1/4"</v>
      </c>
    </row>
    <row r="996" spans="1:10" x14ac:dyDescent="0.25">
      <c r="A996" s="169">
        <v>1170</v>
      </c>
      <c r="B996" s="169" t="s">
        <v>24374</v>
      </c>
      <c r="C996" s="169" t="s">
        <v>10225</v>
      </c>
      <c r="D996" s="169" t="s">
        <v>1289</v>
      </c>
      <c r="E996" s="103" t="s">
        <v>21453</v>
      </c>
      <c r="F996" s="104"/>
      <c r="G996" s="105">
        <f t="shared" si="60"/>
        <v>10.119999999999999</v>
      </c>
      <c r="H996" s="101" t="str">
        <f t="shared" si="61"/>
        <v>Sinapi 1170</v>
      </c>
      <c r="I996" s="101" t="str">
        <f t="shared" si="62"/>
        <v>UN</v>
      </c>
      <c r="J996" s="140" t="str">
        <f t="shared" si="63"/>
        <v>CAP OU TAMPAO DE FERRO GALVANIZADO, COM ROSCA BSP, DE 1"</v>
      </c>
    </row>
    <row r="997" spans="1:10" x14ac:dyDescent="0.25">
      <c r="A997" s="169">
        <v>1169</v>
      </c>
      <c r="B997" s="169" t="s">
        <v>24375</v>
      </c>
      <c r="C997" s="169" t="s">
        <v>10225</v>
      </c>
      <c r="D997" s="169" t="s">
        <v>1289</v>
      </c>
      <c r="E997" s="103" t="s">
        <v>29984</v>
      </c>
      <c r="F997" s="104"/>
      <c r="G997" s="105">
        <f t="shared" si="60"/>
        <v>49.71</v>
      </c>
      <c r="H997" s="101" t="str">
        <f t="shared" si="61"/>
        <v>Sinapi 1169</v>
      </c>
      <c r="I997" s="101" t="str">
        <f t="shared" si="62"/>
        <v>UN</v>
      </c>
      <c r="J997" s="140" t="str">
        <f t="shared" si="63"/>
        <v>CAP OU TAMPAO DE FERRO GALVANIZADO, COM ROSCA BSP, DE 2 1/2"</v>
      </c>
    </row>
    <row r="998" spans="1:10" x14ac:dyDescent="0.25">
      <c r="A998" s="169">
        <v>1166</v>
      </c>
      <c r="B998" s="169" t="s">
        <v>24376</v>
      </c>
      <c r="C998" s="169" t="s">
        <v>10225</v>
      </c>
      <c r="D998" s="169" t="s">
        <v>1289</v>
      </c>
      <c r="E998" s="103" t="s">
        <v>23578</v>
      </c>
      <c r="F998" s="104"/>
      <c r="G998" s="105">
        <f t="shared" si="60"/>
        <v>27.56</v>
      </c>
      <c r="H998" s="101" t="str">
        <f t="shared" si="61"/>
        <v>Sinapi 1166</v>
      </c>
      <c r="I998" s="101" t="str">
        <f t="shared" si="62"/>
        <v>UN</v>
      </c>
      <c r="J998" s="140" t="str">
        <f t="shared" si="63"/>
        <v>CAP OU TAMPAO DE FERRO GALVANIZADO, COM ROSCA BSP, DE 2"</v>
      </c>
    </row>
    <row r="999" spans="1:10" x14ac:dyDescent="0.25">
      <c r="A999" s="169">
        <v>1163</v>
      </c>
      <c r="B999" s="169" t="s">
        <v>24378</v>
      </c>
      <c r="C999" s="169" t="s">
        <v>10225</v>
      </c>
      <c r="D999" s="169" t="s">
        <v>1289</v>
      </c>
      <c r="E999" s="103" t="s">
        <v>5224</v>
      </c>
      <c r="F999" s="104"/>
      <c r="G999" s="105">
        <f t="shared" si="60"/>
        <v>6.94</v>
      </c>
      <c r="H999" s="101" t="str">
        <f t="shared" si="61"/>
        <v>Sinapi 1163</v>
      </c>
      <c r="I999" s="101" t="str">
        <f t="shared" si="62"/>
        <v>UN</v>
      </c>
      <c r="J999" s="140" t="str">
        <f t="shared" si="63"/>
        <v>CAP OU TAMPAO DE FERRO GALVANIZADO, COM ROSCA BSP, DE 3/4"</v>
      </c>
    </row>
    <row r="1000" spans="1:10" x14ac:dyDescent="0.25">
      <c r="A1000" s="169">
        <v>12396</v>
      </c>
      <c r="B1000" s="169" t="s">
        <v>24379</v>
      </c>
      <c r="C1000" s="169" t="s">
        <v>10225</v>
      </c>
      <c r="D1000" s="169" t="s">
        <v>1289</v>
      </c>
      <c r="E1000" s="103" t="s">
        <v>15515</v>
      </c>
      <c r="F1000" s="104"/>
      <c r="G1000" s="105">
        <f t="shared" si="60"/>
        <v>5.22</v>
      </c>
      <c r="H1000" s="101" t="str">
        <f t="shared" si="61"/>
        <v>Sinapi 12396</v>
      </c>
      <c r="I1000" s="101" t="str">
        <f t="shared" si="62"/>
        <v>UN</v>
      </c>
      <c r="J1000" s="140" t="str">
        <f t="shared" si="63"/>
        <v>CAP OU TAMPAO DE FERRO GALVANIZADO, COM ROSCA BSP, DE 3/8"</v>
      </c>
    </row>
    <row r="1001" spans="1:10" x14ac:dyDescent="0.25">
      <c r="A1001" s="169">
        <v>1168</v>
      </c>
      <c r="B1001" s="169" t="s">
        <v>24380</v>
      </c>
      <c r="C1001" s="169" t="s">
        <v>10225</v>
      </c>
      <c r="D1001" s="169" t="s">
        <v>1289</v>
      </c>
      <c r="E1001" s="103" t="s">
        <v>29985</v>
      </c>
      <c r="F1001" s="104"/>
      <c r="G1001" s="105">
        <f t="shared" si="60"/>
        <v>70.86</v>
      </c>
      <c r="H1001" s="101" t="str">
        <f t="shared" si="61"/>
        <v>Sinapi 1168</v>
      </c>
      <c r="I1001" s="101" t="str">
        <f t="shared" si="62"/>
        <v>UN</v>
      </c>
      <c r="J1001" s="140" t="str">
        <f t="shared" si="63"/>
        <v>CAP OU TAMPAO DE FERRO GALVANIZADO, COM ROSCA BSP, DE 3"</v>
      </c>
    </row>
    <row r="1002" spans="1:10" x14ac:dyDescent="0.25">
      <c r="A1002" s="169">
        <v>1167</v>
      </c>
      <c r="B1002" s="169" t="s">
        <v>24381</v>
      </c>
      <c r="C1002" s="169" t="s">
        <v>10225</v>
      </c>
      <c r="D1002" s="169" t="s">
        <v>1289</v>
      </c>
      <c r="E1002" s="103" t="s">
        <v>29986</v>
      </c>
      <c r="F1002" s="104"/>
      <c r="G1002" s="105">
        <f t="shared" si="60"/>
        <v>118.53</v>
      </c>
      <c r="H1002" s="101" t="str">
        <f t="shared" si="61"/>
        <v>Sinapi 1167</v>
      </c>
      <c r="I1002" s="101" t="str">
        <f t="shared" si="62"/>
        <v>UN</v>
      </c>
      <c r="J1002" s="140" t="str">
        <f t="shared" si="63"/>
        <v>CAP OU TAMPAO DE FERRO GALVANIZADO, COM ROSCA BSP, DE 4"</v>
      </c>
    </row>
    <row r="1003" spans="1:10" x14ac:dyDescent="0.25">
      <c r="A1003" s="169">
        <v>36331</v>
      </c>
      <c r="B1003" s="169" t="s">
        <v>24382</v>
      </c>
      <c r="C1003" s="169" t="s">
        <v>10225</v>
      </c>
      <c r="D1003" s="169" t="s">
        <v>1290</v>
      </c>
      <c r="E1003" s="103" t="s">
        <v>21450</v>
      </c>
      <c r="F1003" s="104"/>
      <c r="G1003" s="105">
        <f t="shared" si="60"/>
        <v>2.21</v>
      </c>
      <c r="H1003" s="101" t="str">
        <f t="shared" si="61"/>
        <v>Sinapi 36331</v>
      </c>
      <c r="I1003" s="101" t="str">
        <f t="shared" si="62"/>
        <v>UN</v>
      </c>
      <c r="J1003" s="140" t="str">
        <f t="shared" si="63"/>
        <v>CAP PPR DN 20 MM, PARA AGUA QUENTE PREDIAL</v>
      </c>
    </row>
    <row r="1004" spans="1:10" x14ac:dyDescent="0.25">
      <c r="A1004" s="169">
        <v>36346</v>
      </c>
      <c r="B1004" s="169" t="s">
        <v>24383</v>
      </c>
      <c r="C1004" s="169" t="s">
        <v>10225</v>
      </c>
      <c r="D1004" s="169" t="s">
        <v>1290</v>
      </c>
      <c r="E1004" s="103" t="s">
        <v>25072</v>
      </c>
      <c r="F1004" s="104"/>
      <c r="G1004" s="105">
        <f t="shared" si="60"/>
        <v>3.32</v>
      </c>
      <c r="H1004" s="101" t="str">
        <f t="shared" si="61"/>
        <v>Sinapi 36346</v>
      </c>
      <c r="I1004" s="101" t="str">
        <f t="shared" si="62"/>
        <v>UN</v>
      </c>
      <c r="J1004" s="140" t="str">
        <f t="shared" si="63"/>
        <v>CAP PPR DN 25 MM, PARA AGUA QUENTE PREDIAL</v>
      </c>
    </row>
    <row r="1005" spans="1:10" x14ac:dyDescent="0.25">
      <c r="A1005" s="169">
        <v>1197</v>
      </c>
      <c r="B1005" s="169" t="s">
        <v>24384</v>
      </c>
      <c r="C1005" s="169" t="s">
        <v>10225</v>
      </c>
      <c r="D1005" s="169" t="s">
        <v>1289</v>
      </c>
      <c r="E1005" s="103" t="s">
        <v>16400</v>
      </c>
      <c r="F1005" s="104"/>
      <c r="G1005" s="105">
        <f t="shared" si="60"/>
        <v>2.06</v>
      </c>
      <c r="H1005" s="101" t="str">
        <f t="shared" si="61"/>
        <v>Sinapi 1197</v>
      </c>
      <c r="I1005" s="101" t="str">
        <f t="shared" si="62"/>
        <v>UN</v>
      </c>
      <c r="J1005" s="140" t="str">
        <f t="shared" si="63"/>
        <v>CAP PVC, ROSCAVEL, 1/2", PARA AGUA FRIA PREDIAL</v>
      </c>
    </row>
    <row r="1006" spans="1:10" x14ac:dyDescent="0.25">
      <c r="A1006" s="169">
        <v>1202</v>
      </c>
      <c r="B1006" s="169" t="s">
        <v>24385</v>
      </c>
      <c r="C1006" s="169" t="s">
        <v>10225</v>
      </c>
      <c r="D1006" s="169" t="s">
        <v>1289</v>
      </c>
      <c r="E1006" s="103" t="s">
        <v>22060</v>
      </c>
      <c r="F1006" s="104"/>
      <c r="G1006" s="105">
        <f t="shared" si="60"/>
        <v>5.84</v>
      </c>
      <c r="H1006" s="101" t="str">
        <f t="shared" si="61"/>
        <v>Sinapi 1202</v>
      </c>
      <c r="I1006" s="101" t="str">
        <f t="shared" si="62"/>
        <v>UN</v>
      </c>
      <c r="J1006" s="140" t="str">
        <f t="shared" si="63"/>
        <v>CAP PVC, ROSCAVEL, 1", PARA AGUA FRIA PREDIAL</v>
      </c>
    </row>
    <row r="1007" spans="1:10" x14ac:dyDescent="0.25">
      <c r="A1007" s="169">
        <v>1198</v>
      </c>
      <c r="B1007" s="169" t="s">
        <v>24386</v>
      </c>
      <c r="C1007" s="169" t="s">
        <v>10225</v>
      </c>
      <c r="D1007" s="169" t="s">
        <v>1289</v>
      </c>
      <c r="E1007" s="103" t="s">
        <v>20639</v>
      </c>
      <c r="F1007" s="104"/>
      <c r="G1007" s="105">
        <f t="shared" si="60"/>
        <v>2.7</v>
      </c>
      <c r="H1007" s="101" t="str">
        <f t="shared" si="61"/>
        <v>Sinapi 1198</v>
      </c>
      <c r="I1007" s="101" t="str">
        <f t="shared" si="62"/>
        <v>UN</v>
      </c>
      <c r="J1007" s="140" t="str">
        <f t="shared" si="63"/>
        <v>CAP PVC, ROSCAVEL, 3/4", PARA AGUA FRIA PREDIAL</v>
      </c>
    </row>
    <row r="1008" spans="1:10" x14ac:dyDescent="0.25">
      <c r="A1008" s="169">
        <v>20088</v>
      </c>
      <c r="B1008" s="169" t="s">
        <v>24387</v>
      </c>
      <c r="C1008" s="169" t="s">
        <v>10225</v>
      </c>
      <c r="D1008" s="169" t="s">
        <v>1289</v>
      </c>
      <c r="E1008" s="103" t="s">
        <v>14121</v>
      </c>
      <c r="F1008" s="104"/>
      <c r="G1008" s="105">
        <f t="shared" si="60"/>
        <v>12.93</v>
      </c>
      <c r="H1008" s="101" t="str">
        <f t="shared" si="61"/>
        <v>Sinapi 20088</v>
      </c>
      <c r="I1008" s="101" t="str">
        <f t="shared" si="62"/>
        <v>UN</v>
      </c>
      <c r="J1008" s="140" t="str">
        <f t="shared" si="63"/>
        <v>CAP PVC, SERIE R, DN 100 MM, PARA ESGOTO PREDIAL</v>
      </c>
    </row>
    <row r="1009" spans="1:10" x14ac:dyDescent="0.25">
      <c r="A1009" s="169">
        <v>20089</v>
      </c>
      <c r="B1009" s="169" t="s">
        <v>24388</v>
      </c>
      <c r="C1009" s="169" t="s">
        <v>10225</v>
      </c>
      <c r="D1009" s="169" t="s">
        <v>1289</v>
      </c>
      <c r="E1009" s="103" t="s">
        <v>19882</v>
      </c>
      <c r="F1009" s="104"/>
      <c r="G1009" s="105">
        <f t="shared" si="60"/>
        <v>63.39</v>
      </c>
      <c r="H1009" s="101" t="str">
        <f t="shared" si="61"/>
        <v>Sinapi 20089</v>
      </c>
      <c r="I1009" s="101" t="str">
        <f t="shared" si="62"/>
        <v>UN</v>
      </c>
      <c r="J1009" s="140" t="str">
        <f t="shared" si="63"/>
        <v>CAP PVC, SERIE R, DN 150 MM, PARA ESGOTO PREDIAL</v>
      </c>
    </row>
    <row r="1010" spans="1:10" x14ac:dyDescent="0.25">
      <c r="A1010" s="169">
        <v>20087</v>
      </c>
      <c r="B1010" s="169" t="s">
        <v>24389</v>
      </c>
      <c r="C1010" s="169" t="s">
        <v>10225</v>
      </c>
      <c r="D1010" s="169" t="s">
        <v>1289</v>
      </c>
      <c r="E1010" s="103" t="s">
        <v>19866</v>
      </c>
      <c r="F1010" s="104"/>
      <c r="G1010" s="105">
        <f t="shared" si="60"/>
        <v>10.7</v>
      </c>
      <c r="H1010" s="101" t="str">
        <f t="shared" si="61"/>
        <v>Sinapi 20087</v>
      </c>
      <c r="I1010" s="101" t="str">
        <f t="shared" si="62"/>
        <v>UN</v>
      </c>
      <c r="J1010" s="140" t="str">
        <f t="shared" si="63"/>
        <v>CAP PVC, SERIE R, DN 75 MM, PARA ESGOTO PREDIAL</v>
      </c>
    </row>
    <row r="1011" spans="1:10" x14ac:dyDescent="0.25">
      <c r="A1011" s="169">
        <v>1200</v>
      </c>
      <c r="B1011" s="169" t="s">
        <v>24390</v>
      </c>
      <c r="C1011" s="169" t="s">
        <v>10225</v>
      </c>
      <c r="D1011" s="169" t="s">
        <v>1289</v>
      </c>
      <c r="E1011" s="103" t="s">
        <v>19897</v>
      </c>
      <c r="F1011" s="104"/>
      <c r="G1011" s="105">
        <f t="shared" si="60"/>
        <v>9.7200000000000006</v>
      </c>
      <c r="H1011" s="101" t="str">
        <f t="shared" si="61"/>
        <v>Sinapi 1200</v>
      </c>
      <c r="I1011" s="101" t="str">
        <f t="shared" si="62"/>
        <v>UN</v>
      </c>
      <c r="J1011" s="140" t="str">
        <f t="shared" si="63"/>
        <v>CAP PVC, SOLDAVEL, DN 100 MM, SERIE NORMAL, PARA ESGOTO PREDIAL</v>
      </c>
    </row>
    <row r="1012" spans="1:10" x14ac:dyDescent="0.25">
      <c r="A1012" s="169">
        <v>12909</v>
      </c>
      <c r="B1012" s="169" t="s">
        <v>24391</v>
      </c>
      <c r="C1012" s="169" t="s">
        <v>10225</v>
      </c>
      <c r="D1012" s="169" t="s">
        <v>1289</v>
      </c>
      <c r="E1012" s="103" t="s">
        <v>12329</v>
      </c>
      <c r="F1012" s="104"/>
      <c r="G1012" s="105">
        <f t="shared" si="60"/>
        <v>4.51</v>
      </c>
      <c r="H1012" s="101" t="str">
        <f t="shared" si="61"/>
        <v>Sinapi 12909</v>
      </c>
      <c r="I1012" s="101" t="str">
        <f t="shared" si="62"/>
        <v>UN</v>
      </c>
      <c r="J1012" s="140" t="str">
        <f t="shared" si="63"/>
        <v>CAP PVC, SOLDAVEL, DN 50 MM, SERIE NORMAL, PARA ESGOTO PREDIAL</v>
      </c>
    </row>
    <row r="1013" spans="1:10" x14ac:dyDescent="0.25">
      <c r="A1013" s="169">
        <v>12910</v>
      </c>
      <c r="B1013" s="169" t="s">
        <v>24392</v>
      </c>
      <c r="C1013" s="169" t="s">
        <v>10225</v>
      </c>
      <c r="D1013" s="169" t="s">
        <v>1289</v>
      </c>
      <c r="E1013" s="103" t="s">
        <v>19926</v>
      </c>
      <c r="F1013" s="104"/>
      <c r="G1013" s="105">
        <f t="shared" si="60"/>
        <v>8.1</v>
      </c>
      <c r="H1013" s="101" t="str">
        <f t="shared" si="61"/>
        <v>Sinapi 12910</v>
      </c>
      <c r="I1013" s="101" t="str">
        <f t="shared" si="62"/>
        <v>UN</v>
      </c>
      <c r="J1013" s="140" t="str">
        <f t="shared" si="63"/>
        <v>CAP PVC, SOLDAVEL, DN 75 MM, SERIE NORMAL, PARA ESGOTO PREDIAL</v>
      </c>
    </row>
    <row r="1014" spans="1:10" x14ac:dyDescent="0.25">
      <c r="A1014" s="169">
        <v>1191</v>
      </c>
      <c r="B1014" s="169" t="s">
        <v>24393</v>
      </c>
      <c r="C1014" s="169" t="s">
        <v>10225</v>
      </c>
      <c r="D1014" s="169" t="s">
        <v>1289</v>
      </c>
      <c r="E1014" s="103" t="s">
        <v>15523</v>
      </c>
      <c r="F1014" s="104"/>
      <c r="G1014" s="105">
        <f t="shared" si="60"/>
        <v>1.47</v>
      </c>
      <c r="H1014" s="101" t="str">
        <f t="shared" si="61"/>
        <v>Sinapi 1191</v>
      </c>
      <c r="I1014" s="101" t="str">
        <f t="shared" si="62"/>
        <v>UN</v>
      </c>
      <c r="J1014" s="140" t="str">
        <f t="shared" si="63"/>
        <v>CAP PVC, SOLDAVEL, 20 MM, PARA AGUA FRIA PREDIAL</v>
      </c>
    </row>
    <row r="1015" spans="1:10" x14ac:dyDescent="0.25">
      <c r="A1015" s="169">
        <v>1185</v>
      </c>
      <c r="B1015" s="169" t="s">
        <v>24394</v>
      </c>
      <c r="C1015" s="169" t="s">
        <v>10225</v>
      </c>
      <c r="D1015" s="169" t="s">
        <v>1289</v>
      </c>
      <c r="E1015" s="103" t="s">
        <v>15523</v>
      </c>
      <c r="F1015" s="104"/>
      <c r="G1015" s="105">
        <f t="shared" si="60"/>
        <v>1.47</v>
      </c>
      <c r="H1015" s="101" t="str">
        <f t="shared" si="61"/>
        <v>Sinapi 1185</v>
      </c>
      <c r="I1015" s="101" t="str">
        <f t="shared" si="62"/>
        <v>UN</v>
      </c>
      <c r="J1015" s="140" t="str">
        <f t="shared" si="63"/>
        <v>CAP PVC, SOLDAVEL, 25 MM, PARA AGUA FRIA PREDIAL</v>
      </c>
    </row>
    <row r="1016" spans="1:10" x14ac:dyDescent="0.25">
      <c r="A1016" s="169">
        <v>1189</v>
      </c>
      <c r="B1016" s="169" t="s">
        <v>24395</v>
      </c>
      <c r="C1016" s="169" t="s">
        <v>10225</v>
      </c>
      <c r="D1016" s="169" t="s">
        <v>1289</v>
      </c>
      <c r="E1016" s="103" t="s">
        <v>13842</v>
      </c>
      <c r="F1016" s="104"/>
      <c r="G1016" s="105">
        <f t="shared" si="60"/>
        <v>2.4</v>
      </c>
      <c r="H1016" s="101" t="str">
        <f t="shared" si="61"/>
        <v>Sinapi 1189</v>
      </c>
      <c r="I1016" s="101" t="str">
        <f t="shared" si="62"/>
        <v>UN</v>
      </c>
      <c r="J1016" s="140" t="str">
        <f t="shared" si="63"/>
        <v>CAP PVC, SOLDAVEL, 32 MM, PARA AGUA FRIA PREDIAL</v>
      </c>
    </row>
    <row r="1017" spans="1:10" x14ac:dyDescent="0.25">
      <c r="A1017" s="169">
        <v>1193</v>
      </c>
      <c r="B1017" s="169" t="s">
        <v>24396</v>
      </c>
      <c r="C1017" s="169" t="s">
        <v>10225</v>
      </c>
      <c r="D1017" s="169" t="s">
        <v>1289</v>
      </c>
      <c r="E1017" s="103" t="s">
        <v>7190</v>
      </c>
      <c r="F1017" s="104"/>
      <c r="G1017" s="105">
        <f t="shared" si="60"/>
        <v>4.62</v>
      </c>
      <c r="H1017" s="101" t="str">
        <f t="shared" si="61"/>
        <v>Sinapi 1193</v>
      </c>
      <c r="I1017" s="101" t="str">
        <f t="shared" si="62"/>
        <v>UN</v>
      </c>
      <c r="J1017" s="140" t="str">
        <f t="shared" si="63"/>
        <v>CAP PVC, SOLDAVEL, 40 MM, PARA AGUA FRIA PREDIAL</v>
      </c>
    </row>
    <row r="1018" spans="1:10" x14ac:dyDescent="0.25">
      <c r="A1018" s="169">
        <v>1194</v>
      </c>
      <c r="B1018" s="169" t="s">
        <v>24397</v>
      </c>
      <c r="C1018" s="169" t="s">
        <v>10225</v>
      </c>
      <c r="D1018" s="169" t="s">
        <v>1289</v>
      </c>
      <c r="E1018" s="103" t="s">
        <v>5535</v>
      </c>
      <c r="F1018" s="104"/>
      <c r="G1018" s="105">
        <f t="shared" si="60"/>
        <v>8.34</v>
      </c>
      <c r="H1018" s="101" t="str">
        <f t="shared" si="61"/>
        <v>Sinapi 1194</v>
      </c>
      <c r="I1018" s="101" t="str">
        <f t="shared" si="62"/>
        <v>UN</v>
      </c>
      <c r="J1018" s="140" t="str">
        <f t="shared" si="63"/>
        <v>CAP PVC, SOLDAVEL, 50 MM, PARA AGUA FRIA PREDIAL</v>
      </c>
    </row>
    <row r="1019" spans="1:10" x14ac:dyDescent="0.25">
      <c r="A1019" s="169">
        <v>1195</v>
      </c>
      <c r="B1019" s="169" t="s">
        <v>24398</v>
      </c>
      <c r="C1019" s="169" t="s">
        <v>10225</v>
      </c>
      <c r="D1019" s="169" t="s">
        <v>1289</v>
      </c>
      <c r="E1019" s="103" t="s">
        <v>13831</v>
      </c>
      <c r="F1019" s="104"/>
      <c r="G1019" s="105">
        <f t="shared" si="60"/>
        <v>14.03</v>
      </c>
      <c r="H1019" s="101" t="str">
        <f t="shared" si="61"/>
        <v>Sinapi 1195</v>
      </c>
      <c r="I1019" s="101" t="str">
        <f t="shared" si="62"/>
        <v>UN</v>
      </c>
      <c r="J1019" s="140" t="str">
        <f t="shared" si="63"/>
        <v>CAP PVC, SOLDAVEL, 60 MM, PARA AGUA FRIA PREDIAL</v>
      </c>
    </row>
    <row r="1020" spans="1:10" x14ac:dyDescent="0.25">
      <c r="A1020" s="169">
        <v>1204</v>
      </c>
      <c r="B1020" s="169" t="s">
        <v>24399</v>
      </c>
      <c r="C1020" s="169" t="s">
        <v>10225</v>
      </c>
      <c r="D1020" s="169" t="s">
        <v>1289</v>
      </c>
      <c r="E1020" s="103" t="s">
        <v>29269</v>
      </c>
      <c r="F1020" s="104"/>
      <c r="G1020" s="105">
        <f t="shared" si="60"/>
        <v>24.55</v>
      </c>
      <c r="H1020" s="101" t="str">
        <f t="shared" si="61"/>
        <v>Sinapi 1204</v>
      </c>
      <c r="I1020" s="101" t="str">
        <f t="shared" si="62"/>
        <v>UN</v>
      </c>
      <c r="J1020" s="140" t="str">
        <f t="shared" si="63"/>
        <v>CAP PVC, SOLDAVEL, 75 MM, PARA AGUA FRIA PREDIAL</v>
      </c>
    </row>
    <row r="1021" spans="1:10" x14ac:dyDescent="0.25">
      <c r="A1021" s="169">
        <v>1207</v>
      </c>
      <c r="B1021" s="169" t="s">
        <v>24400</v>
      </c>
      <c r="C1021" s="169" t="s">
        <v>10225</v>
      </c>
      <c r="D1021" s="169" t="s">
        <v>1289</v>
      </c>
      <c r="E1021" s="103" t="s">
        <v>21811</v>
      </c>
      <c r="F1021" s="104"/>
      <c r="G1021" s="105">
        <f t="shared" si="60"/>
        <v>52.12</v>
      </c>
      <c r="H1021" s="101" t="str">
        <f t="shared" si="61"/>
        <v>Sinapi 1207</v>
      </c>
      <c r="I1021" s="101" t="str">
        <f t="shared" si="62"/>
        <v>UN</v>
      </c>
      <c r="J1021" s="140" t="str">
        <f t="shared" si="63"/>
        <v>CAP, PVC PBA, JE, DN 100 / DE 110 MM, PARA REDE DE AGUA (NBR 10351)</v>
      </c>
    </row>
    <row r="1022" spans="1:10" x14ac:dyDescent="0.25">
      <c r="A1022" s="169">
        <v>1206</v>
      </c>
      <c r="B1022" s="169" t="s">
        <v>24401</v>
      </c>
      <c r="C1022" s="169" t="s">
        <v>10225</v>
      </c>
      <c r="D1022" s="169" t="s">
        <v>1289</v>
      </c>
      <c r="E1022" s="103" t="s">
        <v>21151</v>
      </c>
      <c r="F1022" s="104"/>
      <c r="G1022" s="105">
        <f t="shared" si="60"/>
        <v>13.07</v>
      </c>
      <c r="H1022" s="101" t="str">
        <f t="shared" si="61"/>
        <v>Sinapi 1206</v>
      </c>
      <c r="I1022" s="101" t="str">
        <f t="shared" si="62"/>
        <v>UN</v>
      </c>
      <c r="J1022" s="140" t="str">
        <f t="shared" si="63"/>
        <v>CAP, PVC PBA, JE, DN 50 / DE 60 MM, PARA REDE DE AGUA (NBR 10351)</v>
      </c>
    </row>
    <row r="1023" spans="1:10" x14ac:dyDescent="0.25">
      <c r="A1023" s="169">
        <v>1183</v>
      </c>
      <c r="B1023" s="169" t="s">
        <v>24402</v>
      </c>
      <c r="C1023" s="169" t="s">
        <v>10225</v>
      </c>
      <c r="D1023" s="169" t="s">
        <v>1289</v>
      </c>
      <c r="E1023" s="103" t="s">
        <v>22999</v>
      </c>
      <c r="F1023" s="104"/>
      <c r="G1023" s="105">
        <f t="shared" si="60"/>
        <v>34.04</v>
      </c>
      <c r="H1023" s="101" t="str">
        <f t="shared" si="61"/>
        <v>Sinapi 1183</v>
      </c>
      <c r="I1023" s="101" t="str">
        <f t="shared" si="62"/>
        <v>UN</v>
      </c>
      <c r="J1023" s="140" t="str">
        <f t="shared" si="63"/>
        <v>CAP, PVC PBA, JE, DN 75 / DE 85 MM, PARA REDE DE AGUA (NBR 10351)</v>
      </c>
    </row>
    <row r="1024" spans="1:10" x14ac:dyDescent="0.25">
      <c r="A1024" s="169">
        <v>42685</v>
      </c>
      <c r="B1024" s="169" t="s">
        <v>24404</v>
      </c>
      <c r="C1024" s="169" t="s">
        <v>10225</v>
      </c>
      <c r="D1024" s="169" t="s">
        <v>1289</v>
      </c>
      <c r="E1024" s="103" t="s">
        <v>28625</v>
      </c>
      <c r="F1024" s="104"/>
      <c r="G1024" s="105">
        <f t="shared" si="60"/>
        <v>65.69</v>
      </c>
      <c r="H1024" s="101" t="str">
        <f t="shared" si="61"/>
        <v>Sinapi 42685</v>
      </c>
      <c r="I1024" s="101" t="str">
        <f t="shared" si="62"/>
        <v>UN</v>
      </c>
      <c r="J1024" s="140" t="str">
        <f t="shared" si="63"/>
        <v>CAP, PVC, JE, OCRE, DN 150 MM (CONEXAO PARA TUBO COLETOR DE ESGOTO)</v>
      </c>
    </row>
    <row r="1025" spans="1:10" x14ac:dyDescent="0.25">
      <c r="A1025" s="169">
        <v>42686</v>
      </c>
      <c r="B1025" s="169" t="s">
        <v>24405</v>
      </c>
      <c r="C1025" s="169" t="s">
        <v>10225</v>
      </c>
      <c r="D1025" s="169" t="s">
        <v>1289</v>
      </c>
      <c r="E1025" s="103" t="s">
        <v>22054</v>
      </c>
      <c r="F1025" s="104"/>
      <c r="G1025" s="105">
        <f t="shared" si="60"/>
        <v>72.349999999999994</v>
      </c>
      <c r="H1025" s="101" t="str">
        <f t="shared" si="61"/>
        <v>Sinapi 42686</v>
      </c>
      <c r="I1025" s="101" t="str">
        <f t="shared" si="62"/>
        <v>UN</v>
      </c>
      <c r="J1025" s="140" t="str">
        <f t="shared" si="63"/>
        <v>CAP, PVC, JE, OCRE, DN 200 MM (CONEXAO PARA TUBO COLETOR DE ESGOTO)</v>
      </c>
    </row>
    <row r="1026" spans="1:10" x14ac:dyDescent="0.25">
      <c r="A1026" s="169">
        <v>12894</v>
      </c>
      <c r="B1026" s="169" t="s">
        <v>24406</v>
      </c>
      <c r="C1026" s="169" t="s">
        <v>10225</v>
      </c>
      <c r="D1026" s="169" t="s">
        <v>1289</v>
      </c>
      <c r="E1026" s="103" t="s">
        <v>18688</v>
      </c>
      <c r="F1026" s="104"/>
      <c r="G1026" s="105">
        <f t="shared" si="60"/>
        <v>18.98</v>
      </c>
      <c r="H1026" s="101" t="str">
        <f t="shared" si="61"/>
        <v>Sinapi 12894</v>
      </c>
      <c r="I1026" s="101" t="str">
        <f t="shared" si="62"/>
        <v>UN</v>
      </c>
      <c r="J1026" s="140" t="str">
        <f t="shared" si="63"/>
        <v>CAPA PARA CHUVA EM PVC COM FORRO DE POLIESTER, COM CAPUZ (AMARELA OU AZUL)</v>
      </c>
    </row>
    <row r="1027" spans="1:10" x14ac:dyDescent="0.25">
      <c r="A1027" s="169">
        <v>12895</v>
      </c>
      <c r="B1027" s="169" t="s">
        <v>24407</v>
      </c>
      <c r="C1027" s="169" t="s">
        <v>10225</v>
      </c>
      <c r="D1027" s="169" t="s">
        <v>1288</v>
      </c>
      <c r="E1027" s="103" t="s">
        <v>29987</v>
      </c>
      <c r="F1027" s="104"/>
      <c r="G1027" s="105">
        <f t="shared" si="60"/>
        <v>14.6</v>
      </c>
      <c r="H1027" s="101" t="str">
        <f t="shared" si="61"/>
        <v>Sinapi 12895</v>
      </c>
      <c r="I1027" s="101" t="str">
        <f t="shared" si="62"/>
        <v>UN</v>
      </c>
      <c r="J1027" s="140" t="str">
        <f t="shared" si="63"/>
        <v>CAPACETE DE SEGURANCA ABA FRONTAL COM SUSPENSAO DE POLIETILENO, SEM JUGULAR (CLASSE B)</v>
      </c>
    </row>
    <row r="1028" spans="1:10" x14ac:dyDescent="0.25">
      <c r="A1028" s="169">
        <v>1631</v>
      </c>
      <c r="B1028" s="169" t="s">
        <v>24408</v>
      </c>
      <c r="C1028" s="169" t="s">
        <v>10225</v>
      </c>
      <c r="D1028" s="169" t="s">
        <v>1290</v>
      </c>
      <c r="E1028" s="103" t="s">
        <v>28503</v>
      </c>
      <c r="F1028" s="104"/>
      <c r="G1028" s="105">
        <f t="shared" si="60"/>
        <v>188.55</v>
      </c>
      <c r="H1028" s="101" t="str">
        <f t="shared" si="61"/>
        <v>Sinapi 1631</v>
      </c>
      <c r="I1028" s="101" t="str">
        <f t="shared" si="62"/>
        <v>UN</v>
      </c>
      <c r="J1028" s="140" t="str">
        <f t="shared" si="63"/>
        <v>CAPACITOR TRIFASICO, POTENCIA 2,5 KVAR, TENSAO 220 V, FORNECIDO COM CAPA PROTETORA, RESISTOR INTERNO A UNIDADE CAPACITIVA</v>
      </c>
    </row>
    <row r="1029" spans="1:10" x14ac:dyDescent="0.25">
      <c r="A1029" s="169">
        <v>1633</v>
      </c>
      <c r="B1029" s="169" t="s">
        <v>24409</v>
      </c>
      <c r="C1029" s="169" t="s">
        <v>10225</v>
      </c>
      <c r="D1029" s="169" t="s">
        <v>1290</v>
      </c>
      <c r="E1029" s="103" t="s">
        <v>29988</v>
      </c>
      <c r="F1029" s="104"/>
      <c r="G1029" s="105">
        <f t="shared" si="60"/>
        <v>320.37</v>
      </c>
      <c r="H1029" s="101" t="str">
        <f t="shared" si="61"/>
        <v>Sinapi 1633</v>
      </c>
      <c r="I1029" s="101" t="str">
        <f t="shared" si="62"/>
        <v>UN</v>
      </c>
      <c r="J1029" s="140" t="str">
        <f t="shared" si="63"/>
        <v>CAPACITOR TRIFASICO, POTENCIA 5 KVAR, TENSAO 220 V, FORNECIDO COM CAPA PROTETORA, RESISTOR INTERNO A UNIDADE CAPACITIVA</v>
      </c>
    </row>
    <row r="1030" spans="1:10" x14ac:dyDescent="0.25">
      <c r="A1030" s="169">
        <v>10818</v>
      </c>
      <c r="B1030" s="169" t="s">
        <v>24410</v>
      </c>
      <c r="C1030" s="169" t="s">
        <v>10231</v>
      </c>
      <c r="D1030" s="169" t="s">
        <v>1289</v>
      </c>
      <c r="E1030" s="103" t="s">
        <v>20667</v>
      </c>
      <c r="F1030" s="104"/>
      <c r="G1030" s="105">
        <f t="shared" si="60"/>
        <v>65.709999999999994</v>
      </c>
      <c r="H1030" s="101" t="str">
        <f t="shared" si="61"/>
        <v>Sinapi 10818</v>
      </c>
      <c r="I1030" s="101" t="str">
        <f t="shared" si="62"/>
        <v>KG</v>
      </c>
      <c r="J1030" s="140" t="str">
        <f t="shared" si="63"/>
        <v>CAPIM BRAQUIARIA DECUMBENS/ BRAQUIARINHA, VC *70*% MINIMO</v>
      </c>
    </row>
    <row r="1031" spans="1:10" x14ac:dyDescent="0.25">
      <c r="A1031" s="169">
        <v>41410</v>
      </c>
      <c r="B1031" s="169" t="s">
        <v>24412</v>
      </c>
      <c r="C1031" s="169" t="s">
        <v>10225</v>
      </c>
      <c r="D1031" s="169" t="s">
        <v>1289</v>
      </c>
      <c r="E1031" s="103" t="s">
        <v>29989</v>
      </c>
      <c r="F1031" s="104"/>
      <c r="G1031" s="105">
        <f t="shared" si="60"/>
        <v>73.81</v>
      </c>
      <c r="H1031" s="101" t="str">
        <f t="shared" si="61"/>
        <v>Sinapi 41410</v>
      </c>
      <c r="I1031" s="101" t="str">
        <f t="shared" si="62"/>
        <v>UN</v>
      </c>
      <c r="J1031" s="140" t="str">
        <f t="shared" si="63"/>
        <v>CAPTOR FRANKLIN (4 PONTAS), EM LATAO CROMADO, H = 300 MM, DUAS DESCIDAS</v>
      </c>
    </row>
    <row r="1032" spans="1:10" x14ac:dyDescent="0.25">
      <c r="A1032" s="169">
        <v>41411</v>
      </c>
      <c r="B1032" s="169" t="s">
        <v>24413</v>
      </c>
      <c r="C1032" s="169" t="s">
        <v>10225</v>
      </c>
      <c r="D1032" s="169" t="s">
        <v>1289</v>
      </c>
      <c r="E1032" s="103" t="s">
        <v>19361</v>
      </c>
      <c r="F1032" s="104"/>
      <c r="G1032" s="105">
        <f t="shared" ref="G1032:G1095" si="64">IF(E1032="","",E1032+0)</f>
        <v>66.91</v>
      </c>
      <c r="H1032" s="101" t="str">
        <f t="shared" ref="H1032:H1095" si="65">IF(G1032="","",TRIM(CONCATENATE("Sinapi ",A1032)))</f>
        <v>Sinapi 41411</v>
      </c>
      <c r="I1032" s="101" t="str">
        <f t="shared" ref="I1032:I1095" si="66">TRIM(C1032)</f>
        <v>UN</v>
      </c>
      <c r="J1032" s="140" t="str">
        <f t="shared" si="63"/>
        <v>CAPTOR FRANKLIN (4 PONTAS), EM LATAO CROMADO, H = 300 MM, UMA DESCIDA</v>
      </c>
    </row>
    <row r="1033" spans="1:10" x14ac:dyDescent="0.25">
      <c r="A1033" s="169">
        <v>41412</v>
      </c>
      <c r="B1033" s="169" t="s">
        <v>24414</v>
      </c>
      <c r="C1033" s="169" t="s">
        <v>10225</v>
      </c>
      <c r="D1033" s="169" t="s">
        <v>1289</v>
      </c>
      <c r="E1033" s="103" t="s">
        <v>29990</v>
      </c>
      <c r="F1033" s="104"/>
      <c r="G1033" s="105">
        <f t="shared" si="64"/>
        <v>129.41999999999999</v>
      </c>
      <c r="H1033" s="101" t="str">
        <f t="shared" si="65"/>
        <v>Sinapi 41412</v>
      </c>
      <c r="I1033" s="101" t="str">
        <f t="shared" si="66"/>
        <v>UN</v>
      </c>
      <c r="J1033" s="140" t="str">
        <f t="shared" ref="J1033:J1096" si="67">TRIM(B1033)</f>
        <v>CAPTOR FRANKLIN (4 PONTAS), EM LATAO CROMADO, H = 350 MM, DUAS DESCIDAS</v>
      </c>
    </row>
    <row r="1034" spans="1:10" x14ac:dyDescent="0.25">
      <c r="A1034" s="169">
        <v>41413</v>
      </c>
      <c r="B1034" s="169" t="s">
        <v>24415</v>
      </c>
      <c r="C1034" s="169" t="s">
        <v>10225</v>
      </c>
      <c r="D1034" s="169" t="s">
        <v>1289</v>
      </c>
      <c r="E1034" s="103" t="s">
        <v>29991</v>
      </c>
      <c r="F1034" s="104"/>
      <c r="G1034" s="105">
        <f t="shared" si="64"/>
        <v>116.46</v>
      </c>
      <c r="H1034" s="101" t="str">
        <f t="shared" si="65"/>
        <v>Sinapi 41413</v>
      </c>
      <c r="I1034" s="101" t="str">
        <f t="shared" si="66"/>
        <v>UN</v>
      </c>
      <c r="J1034" s="140" t="str">
        <f t="shared" si="67"/>
        <v>CAPTOR FRANKLIN (4 PONTAS), EM LATAO CROMADO, H=350 MM, UMA DESCIDA</v>
      </c>
    </row>
    <row r="1035" spans="1:10" x14ac:dyDescent="0.25">
      <c r="A1035" s="169">
        <v>39359</v>
      </c>
      <c r="B1035" s="169" t="s">
        <v>24416</v>
      </c>
      <c r="C1035" s="169" t="s">
        <v>10225</v>
      </c>
      <c r="D1035" s="169" t="s">
        <v>1290</v>
      </c>
      <c r="E1035" s="103" t="s">
        <v>24417</v>
      </c>
      <c r="F1035" s="104"/>
      <c r="G1035" s="105">
        <f t="shared" si="64"/>
        <v>33.65</v>
      </c>
      <c r="H1035" s="101" t="str">
        <f t="shared" si="65"/>
        <v>Sinapi 39359</v>
      </c>
      <c r="I1035" s="101" t="str">
        <f t="shared" si="66"/>
        <v>UN</v>
      </c>
      <c r="J1035" s="140" t="str">
        <f t="shared" si="67"/>
        <v>CARENAGEM /TAMPA, EM PLASTICO, COR BRANCA, UTILIZADO EM KIT CHASSI METALICO PARA INSTAL. HIDRAULICA DE CUBA SIMPLES SEM MAQUINA DE LAVAR ROUPA, *355* X *670* MM (L X H) (COM FUROS E DEMAIS ENCAIXES)</v>
      </c>
    </row>
    <row r="1036" spans="1:10" x14ac:dyDescent="0.25">
      <c r="A1036" s="169">
        <v>39360</v>
      </c>
      <c r="B1036" s="169" t="s">
        <v>24418</v>
      </c>
      <c r="C1036" s="169" t="s">
        <v>10225</v>
      </c>
      <c r="D1036" s="169" t="s">
        <v>1290</v>
      </c>
      <c r="E1036" s="103" t="s">
        <v>24417</v>
      </c>
      <c r="F1036" s="104"/>
      <c r="G1036" s="105">
        <f t="shared" si="64"/>
        <v>33.65</v>
      </c>
      <c r="H1036" s="101" t="str">
        <f t="shared" si="65"/>
        <v>Sinapi 39360</v>
      </c>
      <c r="I1036" s="101" t="str">
        <f t="shared" si="66"/>
        <v>UN</v>
      </c>
      <c r="J1036" s="140" t="str">
        <f t="shared" si="67"/>
        <v>CARENAGEM /TAMPA, EM PLASTICO, COR BRANCA, UTILIZADO EM KIT CHASSI METALICO PARA INSTAL. HIDRAULICA DE TANQUE COM MAQUINA DE LAVAR ROUPA, *360* X *470* MM (L X H) (COM FUROS E DEMAIS ENCAIXES)</v>
      </c>
    </row>
    <row r="1037" spans="1:10" x14ac:dyDescent="0.25">
      <c r="A1037" s="169">
        <v>10710</v>
      </c>
      <c r="B1037" s="169" t="s">
        <v>24419</v>
      </c>
      <c r="C1037" s="169" t="s">
        <v>10226</v>
      </c>
      <c r="D1037" s="169" t="s">
        <v>1290</v>
      </c>
      <c r="E1037" s="103" t="s">
        <v>29992</v>
      </c>
      <c r="F1037" s="104"/>
      <c r="G1037" s="105">
        <f t="shared" si="64"/>
        <v>165.02</v>
      </c>
      <c r="H1037" s="101" t="str">
        <f t="shared" si="65"/>
        <v>Sinapi 10710</v>
      </c>
      <c r="I1037" s="101" t="str">
        <f t="shared" si="66"/>
        <v>M2</v>
      </c>
      <c r="J1037" s="140" t="str">
        <f t="shared" si="67"/>
        <v>CARPETE DE NYLON EM MANTA PARA TRAFEGO COMERCIAL PESADO, E = 6 A 7 MM (INSTALADO)</v>
      </c>
    </row>
    <row r="1038" spans="1:10" x14ac:dyDescent="0.25">
      <c r="A1038" s="169">
        <v>10709</v>
      </c>
      <c r="B1038" s="169" t="s">
        <v>24420</v>
      </c>
      <c r="C1038" s="169" t="s">
        <v>10226</v>
      </c>
      <c r="D1038" s="169" t="s">
        <v>1290</v>
      </c>
      <c r="E1038" s="103" t="s">
        <v>29993</v>
      </c>
      <c r="F1038" s="104"/>
      <c r="G1038" s="105">
        <f t="shared" si="64"/>
        <v>202.73</v>
      </c>
      <c r="H1038" s="101" t="str">
        <f t="shared" si="65"/>
        <v>Sinapi 10709</v>
      </c>
      <c r="I1038" s="101" t="str">
        <f t="shared" si="66"/>
        <v>M2</v>
      </c>
      <c r="J1038" s="140" t="str">
        <f t="shared" si="67"/>
        <v>CARPETE DE NYLON EM MANTA PARA TRAFEGO COMERCIAL PESADO, E = 9 A 10 MM (INSTALADO)</v>
      </c>
    </row>
    <row r="1039" spans="1:10" x14ac:dyDescent="0.25">
      <c r="A1039" s="169">
        <v>39636</v>
      </c>
      <c r="B1039" s="169" t="s">
        <v>24421</v>
      </c>
      <c r="C1039" s="169" t="s">
        <v>10226</v>
      </c>
      <c r="D1039" s="169" t="s">
        <v>1290</v>
      </c>
      <c r="E1039" s="103" t="s">
        <v>29994</v>
      </c>
      <c r="F1039" s="104"/>
      <c r="G1039" s="105">
        <f t="shared" si="64"/>
        <v>207.02</v>
      </c>
      <c r="H1039" s="101" t="str">
        <f t="shared" si="65"/>
        <v>Sinapi 39636</v>
      </c>
      <c r="I1039" s="101" t="str">
        <f t="shared" si="66"/>
        <v>M2</v>
      </c>
      <c r="J1039" s="140" t="str">
        <f t="shared" si="67"/>
        <v>CARPETE DE NYLON EM PLACAS 50 X 50 CM PARA TRAFEGO COMERCIAL PESADO, E = 6,5 MM (INSTALADO)</v>
      </c>
    </row>
    <row r="1040" spans="1:10" x14ac:dyDescent="0.25">
      <c r="A1040" s="169">
        <v>10708</v>
      </c>
      <c r="B1040" s="169" t="s">
        <v>24422</v>
      </c>
      <c r="C1040" s="169" t="s">
        <v>10226</v>
      </c>
      <c r="D1040" s="169" t="s">
        <v>1290</v>
      </c>
      <c r="E1040" s="103" t="s">
        <v>29995</v>
      </c>
      <c r="F1040" s="104"/>
      <c r="G1040" s="105">
        <f t="shared" si="64"/>
        <v>63.88</v>
      </c>
      <c r="H1040" s="101" t="str">
        <f t="shared" si="65"/>
        <v>Sinapi 10708</v>
      </c>
      <c r="I1040" s="101" t="str">
        <f t="shared" si="66"/>
        <v>M2</v>
      </c>
      <c r="J1040" s="140" t="str">
        <f t="shared" si="67"/>
        <v>CARPETE DE POLIESTER EM MANTA PARA TRAFEGO COMERCIAL PESADO, E = 4 A 5 MM (INSTALADO)</v>
      </c>
    </row>
    <row r="1041" spans="1:10" x14ac:dyDescent="0.25">
      <c r="A1041" s="169">
        <v>39635</v>
      </c>
      <c r="B1041" s="169" t="s">
        <v>24423</v>
      </c>
      <c r="C1041" s="169" t="s">
        <v>10226</v>
      </c>
      <c r="D1041" s="169" t="s">
        <v>1290</v>
      </c>
      <c r="E1041" s="103" t="s">
        <v>29996</v>
      </c>
      <c r="F1041" s="104"/>
      <c r="G1041" s="105">
        <f t="shared" si="64"/>
        <v>108.76</v>
      </c>
      <c r="H1041" s="101" t="str">
        <f t="shared" si="65"/>
        <v>Sinapi 39635</v>
      </c>
      <c r="I1041" s="101" t="str">
        <f t="shared" si="66"/>
        <v>M2</v>
      </c>
      <c r="J1041" s="140" t="str">
        <f t="shared" si="67"/>
        <v>CARPETE DE POLIPROPILENO EM MANTA PARA TRAFEGO COMERCIAL MEDIO, E = 5 A 6 MM (INSTALADO)</v>
      </c>
    </row>
    <row r="1042" spans="1:10" x14ac:dyDescent="0.25">
      <c r="A1042" s="169">
        <v>6117</v>
      </c>
      <c r="B1042" s="169" t="s">
        <v>24424</v>
      </c>
      <c r="C1042" s="169" t="s">
        <v>10228</v>
      </c>
      <c r="D1042" s="169" t="s">
        <v>1289</v>
      </c>
      <c r="E1042" s="103" t="s">
        <v>22837</v>
      </c>
      <c r="F1042" s="104"/>
      <c r="G1042" s="105">
        <f t="shared" si="64"/>
        <v>18.84</v>
      </c>
      <c r="H1042" s="101" t="str">
        <f t="shared" si="65"/>
        <v>Sinapi 6117</v>
      </c>
      <c r="I1042" s="101" t="str">
        <f t="shared" si="66"/>
        <v>H</v>
      </c>
      <c r="J1042" s="140" t="str">
        <f t="shared" si="67"/>
        <v>CARPINTEIRO AUXILIAR (HORISTA)</v>
      </c>
    </row>
    <row r="1043" spans="1:10" x14ac:dyDescent="0.25">
      <c r="A1043" s="169">
        <v>40913</v>
      </c>
      <c r="B1043" s="169" t="s">
        <v>24425</v>
      </c>
      <c r="C1043" s="169" t="s">
        <v>10235</v>
      </c>
      <c r="D1043" s="169" t="s">
        <v>1289</v>
      </c>
      <c r="E1043" s="103" t="s">
        <v>29997</v>
      </c>
      <c r="F1043" s="104"/>
      <c r="G1043" s="105">
        <f t="shared" si="64"/>
        <v>3282.07</v>
      </c>
      <c r="H1043" s="101" t="str">
        <f t="shared" si="65"/>
        <v>Sinapi 40913</v>
      </c>
      <c r="I1043" s="101" t="str">
        <f t="shared" si="66"/>
        <v>MES</v>
      </c>
      <c r="J1043" s="140" t="str">
        <f t="shared" si="67"/>
        <v>CARPINTEIRO AUXILIAR (MENSALISTA)</v>
      </c>
    </row>
    <row r="1044" spans="1:10" x14ac:dyDescent="0.25">
      <c r="A1044" s="169">
        <v>1214</v>
      </c>
      <c r="B1044" s="169" t="s">
        <v>24426</v>
      </c>
      <c r="C1044" s="169" t="s">
        <v>10228</v>
      </c>
      <c r="D1044" s="169" t="s">
        <v>1289</v>
      </c>
      <c r="E1044" s="103" t="s">
        <v>23008</v>
      </c>
      <c r="F1044" s="104"/>
      <c r="G1044" s="105">
        <f t="shared" si="64"/>
        <v>18.690000000000001</v>
      </c>
      <c r="H1044" s="101" t="str">
        <f t="shared" si="65"/>
        <v>Sinapi 1214</v>
      </c>
      <c r="I1044" s="101" t="str">
        <f t="shared" si="66"/>
        <v>H</v>
      </c>
      <c r="J1044" s="140" t="str">
        <f t="shared" si="67"/>
        <v>CARPINTEIRO DE ESQUADRIAS (HORISTA)</v>
      </c>
    </row>
    <row r="1045" spans="1:10" x14ac:dyDescent="0.25">
      <c r="A1045" s="169">
        <v>40915</v>
      </c>
      <c r="B1045" s="169" t="s">
        <v>24427</v>
      </c>
      <c r="C1045" s="169" t="s">
        <v>10235</v>
      </c>
      <c r="D1045" s="169" t="s">
        <v>1289</v>
      </c>
      <c r="E1045" s="103" t="s">
        <v>29998</v>
      </c>
      <c r="F1045" s="104"/>
      <c r="G1045" s="105">
        <f t="shared" si="64"/>
        <v>3254.32</v>
      </c>
      <c r="H1045" s="101" t="str">
        <f t="shared" si="65"/>
        <v>Sinapi 40915</v>
      </c>
      <c r="I1045" s="101" t="str">
        <f t="shared" si="66"/>
        <v>MES</v>
      </c>
      <c r="J1045" s="140" t="str">
        <f t="shared" si="67"/>
        <v>CARPINTEIRO DE ESQUADRIAS (MENSALISTA)</v>
      </c>
    </row>
    <row r="1046" spans="1:10" x14ac:dyDescent="0.25">
      <c r="A1046" s="169">
        <v>1213</v>
      </c>
      <c r="B1046" s="169" t="s">
        <v>24428</v>
      </c>
      <c r="C1046" s="169" t="s">
        <v>10228</v>
      </c>
      <c r="D1046" s="169" t="s">
        <v>1288</v>
      </c>
      <c r="E1046" s="103" t="s">
        <v>27635</v>
      </c>
      <c r="F1046" s="104"/>
      <c r="G1046" s="105">
        <f t="shared" si="64"/>
        <v>19.86</v>
      </c>
      <c r="H1046" s="101" t="str">
        <f t="shared" si="65"/>
        <v>Sinapi 1213</v>
      </c>
      <c r="I1046" s="101" t="str">
        <f t="shared" si="66"/>
        <v>H</v>
      </c>
      <c r="J1046" s="140" t="str">
        <f t="shared" si="67"/>
        <v>CARPINTEIRO DE FORMAS (HORISTA)</v>
      </c>
    </row>
    <row r="1047" spans="1:10" x14ac:dyDescent="0.25">
      <c r="A1047" s="169">
        <v>40914</v>
      </c>
      <c r="B1047" s="169" t="s">
        <v>24429</v>
      </c>
      <c r="C1047" s="169" t="s">
        <v>10235</v>
      </c>
      <c r="D1047" s="169" t="s">
        <v>1289</v>
      </c>
      <c r="E1047" s="103" t="s">
        <v>29669</v>
      </c>
      <c r="F1047" s="104"/>
      <c r="G1047" s="105">
        <f t="shared" si="64"/>
        <v>3455.98</v>
      </c>
      <c r="H1047" s="101" t="str">
        <f t="shared" si="65"/>
        <v>Sinapi 40914</v>
      </c>
      <c r="I1047" s="101" t="str">
        <f t="shared" si="66"/>
        <v>MES</v>
      </c>
      <c r="J1047" s="140" t="str">
        <f t="shared" si="67"/>
        <v>CARPINTEIRO DE FORMAS (MENSALISTA)</v>
      </c>
    </row>
    <row r="1048" spans="1:10" x14ac:dyDescent="0.25">
      <c r="A1048" s="169">
        <v>5091</v>
      </c>
      <c r="B1048" s="169" t="s">
        <v>24430</v>
      </c>
      <c r="C1048" s="169" t="s">
        <v>10225</v>
      </c>
      <c r="D1048" s="169" t="s">
        <v>1289</v>
      </c>
      <c r="E1048" s="103" t="s">
        <v>18719</v>
      </c>
      <c r="F1048" s="104"/>
      <c r="G1048" s="105">
        <f t="shared" si="64"/>
        <v>22.46</v>
      </c>
      <c r="H1048" s="101" t="str">
        <f t="shared" si="65"/>
        <v>Sinapi 5091</v>
      </c>
      <c r="I1048" s="101" t="str">
        <f t="shared" si="66"/>
        <v>UN</v>
      </c>
      <c r="J1048" s="140" t="str">
        <f t="shared" si="67"/>
        <v>CARRANCA PARA JANELA VENEZIANA DE ABRIR, EM LATAO CROMADO, SIMPLES, PARA APARAFUSAR NA PAREDE</v>
      </c>
    </row>
    <row r="1049" spans="1:10" x14ac:dyDescent="0.25">
      <c r="A1049" s="169">
        <v>14615</v>
      </c>
      <c r="B1049" s="169" t="s">
        <v>24431</v>
      </c>
      <c r="C1049" s="169" t="s">
        <v>10225</v>
      </c>
      <c r="D1049" s="169" t="s">
        <v>1290</v>
      </c>
      <c r="E1049" s="103" t="s">
        <v>29999</v>
      </c>
      <c r="F1049" s="104"/>
      <c r="G1049" s="105">
        <f t="shared" si="64"/>
        <v>3879.5</v>
      </c>
      <c r="H1049" s="101" t="str">
        <f t="shared" si="65"/>
        <v>Sinapi 14615</v>
      </c>
      <c r="I1049" s="101" t="str">
        <f t="shared" si="66"/>
        <v>UN</v>
      </c>
      <c r="J1049" s="140" t="str">
        <f t="shared" si="67"/>
        <v>CARRINHO COM 2 PNEUS PARA TRANSPORTAR TUBO CONCRETO, ALTURA ATE 1,0 M E DIAMETRO ATE 1000MM, COM ESTRUTURA EM PERFIL OU TUBO METALICO</v>
      </c>
    </row>
    <row r="1050" spans="1:10" x14ac:dyDescent="0.25">
      <c r="A1050" s="169">
        <v>2711</v>
      </c>
      <c r="B1050" s="169" t="s">
        <v>24432</v>
      </c>
      <c r="C1050" s="169" t="s">
        <v>10225</v>
      </c>
      <c r="D1050" s="169" t="s">
        <v>1288</v>
      </c>
      <c r="E1050" s="103" t="s">
        <v>30000</v>
      </c>
      <c r="F1050" s="104"/>
      <c r="G1050" s="105">
        <f t="shared" si="64"/>
        <v>272.94</v>
      </c>
      <c r="H1050" s="101" t="str">
        <f t="shared" si="65"/>
        <v>Sinapi 2711</v>
      </c>
      <c r="I1050" s="101" t="str">
        <f t="shared" si="66"/>
        <v>UN</v>
      </c>
      <c r="J1050" s="140" t="str">
        <f t="shared" si="67"/>
        <v>CARRINHO DE MAO DE ACO CAPACIDADE 50 A 60 L, PNEU COM CAMARA</v>
      </c>
    </row>
    <row r="1051" spans="1:10" x14ac:dyDescent="0.25">
      <c r="A1051" s="169">
        <v>37727</v>
      </c>
      <c r="B1051" s="169" t="s">
        <v>24433</v>
      </c>
      <c r="C1051" s="169" t="s">
        <v>10225</v>
      </c>
      <c r="D1051" s="169" t="s">
        <v>1290</v>
      </c>
      <c r="E1051" s="103" t="s">
        <v>30001</v>
      </c>
      <c r="F1051" s="104"/>
      <c r="G1051" s="105">
        <f t="shared" si="64"/>
        <v>17335</v>
      </c>
      <c r="H1051" s="101" t="str">
        <f t="shared" si="65"/>
        <v>Sinapi 37727</v>
      </c>
      <c r="I1051" s="101" t="str">
        <f t="shared" si="66"/>
        <v>UN</v>
      </c>
      <c r="J1051" s="140" t="str">
        <f t="shared" si="67"/>
        <v>CARROCERIA FIXA ABERTA DE MADEIRA PARA TRANSPORTE GERAL DE CARGA SECA DIMENSOES APROXIMADAS 2,25 X 4,10 X 0,50 M (INCLUI MONTAGEM, NAO INCLUI CAMINHAO)</v>
      </c>
    </row>
    <row r="1052" spans="1:10" x14ac:dyDescent="0.25">
      <c r="A1052" s="169">
        <v>37728</v>
      </c>
      <c r="B1052" s="169" t="s">
        <v>24434</v>
      </c>
      <c r="C1052" s="169" t="s">
        <v>10225</v>
      </c>
      <c r="D1052" s="169" t="s">
        <v>1290</v>
      </c>
      <c r="E1052" s="103" t="s">
        <v>30002</v>
      </c>
      <c r="F1052" s="104"/>
      <c r="G1052" s="105">
        <f t="shared" si="64"/>
        <v>23517.41</v>
      </c>
      <c r="H1052" s="101" t="str">
        <f t="shared" si="65"/>
        <v>Sinapi 37728</v>
      </c>
      <c r="I1052" s="101" t="str">
        <f t="shared" si="66"/>
        <v>UN</v>
      </c>
      <c r="J1052" s="140" t="str">
        <f t="shared" si="67"/>
        <v>CARROCERIA FIXA ABERTA DE MADEIRA PARA TRANSPORTE GERAL DE CARGA SECA DIMENSOES APROXIMADAS 2,5 X 5,5 X 0,50 M (INCLUI MONTAGEM, NAO INCLUI CAMINHAO)</v>
      </c>
    </row>
    <row r="1053" spans="1:10" x14ac:dyDescent="0.25">
      <c r="A1053" s="169">
        <v>37729</v>
      </c>
      <c r="B1053" s="169" t="s">
        <v>24435</v>
      </c>
      <c r="C1053" s="169" t="s">
        <v>10225</v>
      </c>
      <c r="D1053" s="169" t="s">
        <v>1290</v>
      </c>
      <c r="E1053" s="103" t="s">
        <v>30003</v>
      </c>
      <c r="F1053" s="104"/>
      <c r="G1053" s="105">
        <f t="shared" si="64"/>
        <v>25456.99</v>
      </c>
      <c r="H1053" s="101" t="str">
        <f t="shared" si="65"/>
        <v>Sinapi 37729</v>
      </c>
      <c r="I1053" s="101" t="str">
        <f t="shared" si="66"/>
        <v>UN</v>
      </c>
      <c r="J1053" s="140" t="str">
        <f t="shared" si="67"/>
        <v>CARROCERIA FIXA ABERTA DE MADEIRA PARA TRANSPORTE GERAL DE CARGA SECA DIMENSOES APROXIMADAS 2,5 X 6,00 X 0,50 M (INCLUI MONTAGEM, NAO INCLUI CAMINHAO)</v>
      </c>
    </row>
    <row r="1054" spans="1:10" x14ac:dyDescent="0.25">
      <c r="A1054" s="169">
        <v>37730</v>
      </c>
      <c r="B1054" s="169" t="s">
        <v>24436</v>
      </c>
      <c r="C1054" s="169" t="s">
        <v>10225</v>
      </c>
      <c r="D1054" s="169" t="s">
        <v>1290</v>
      </c>
      <c r="E1054" s="103" t="s">
        <v>30004</v>
      </c>
      <c r="F1054" s="104"/>
      <c r="G1054" s="105">
        <f t="shared" si="64"/>
        <v>27396.57</v>
      </c>
      <c r="H1054" s="101" t="str">
        <f t="shared" si="65"/>
        <v>Sinapi 37730</v>
      </c>
      <c r="I1054" s="101" t="str">
        <f t="shared" si="66"/>
        <v>UN</v>
      </c>
      <c r="J1054" s="140" t="str">
        <f t="shared" si="67"/>
        <v>CARROCERIA FIXA ABERTA DE MADEIRA PARA TRANSPORTE GERAL DE CARGA SECA DIMENSOES APROXIMADAS 2,5 X 6,5 X 0,50 M (INCLUI MONTAGEM, NAO INCLUI CAMINHAO)</v>
      </c>
    </row>
    <row r="1055" spans="1:10" x14ac:dyDescent="0.25">
      <c r="A1055" s="169">
        <v>37731</v>
      </c>
      <c r="B1055" s="169" t="s">
        <v>24437</v>
      </c>
      <c r="C1055" s="169" t="s">
        <v>10225</v>
      </c>
      <c r="D1055" s="169" t="s">
        <v>1290</v>
      </c>
      <c r="E1055" s="103" t="s">
        <v>30005</v>
      </c>
      <c r="F1055" s="104"/>
      <c r="G1055" s="105">
        <f t="shared" si="64"/>
        <v>29336.15</v>
      </c>
      <c r="H1055" s="101" t="str">
        <f t="shared" si="65"/>
        <v>Sinapi 37731</v>
      </c>
      <c r="I1055" s="101" t="str">
        <f t="shared" si="66"/>
        <v>UN</v>
      </c>
      <c r="J1055" s="140" t="str">
        <f t="shared" si="67"/>
        <v>CARROCERIA FIXA ABERTA DE MADEIRA PARA TRANSPORTE GERAL DE CARGA SECA DIMENSOES APROXIMADAS 2,5 X 7,00 X 0,50 M (INCLUI MONTAGEM, NAO INCLUI CAMINHAO)</v>
      </c>
    </row>
    <row r="1056" spans="1:10" x14ac:dyDescent="0.25">
      <c r="A1056" s="169">
        <v>37732</v>
      </c>
      <c r="B1056" s="169" t="s">
        <v>24438</v>
      </c>
      <c r="C1056" s="169" t="s">
        <v>10225</v>
      </c>
      <c r="D1056" s="169" t="s">
        <v>1290</v>
      </c>
      <c r="E1056" s="103" t="s">
        <v>30006</v>
      </c>
      <c r="F1056" s="104"/>
      <c r="G1056" s="105">
        <f t="shared" si="64"/>
        <v>33457.760000000002</v>
      </c>
      <c r="H1056" s="101" t="str">
        <f t="shared" si="65"/>
        <v>Sinapi 37732</v>
      </c>
      <c r="I1056" s="101" t="str">
        <f t="shared" si="66"/>
        <v>UN</v>
      </c>
      <c r="J1056" s="140" t="str">
        <f t="shared" si="67"/>
        <v>CARROCERIA FIXA ABERTA DE MADEIRA PARA TRANSPORTE GERAL DE CARGA SECA DIMENSOES APROXIMADAS 2,5 X 7,5 X 0,50 M (INCLUI MONTAGEM, NAO INCLUI CAMINHAO)</v>
      </c>
    </row>
    <row r="1057" spans="1:10" x14ac:dyDescent="0.25">
      <c r="A1057" s="169">
        <v>42256</v>
      </c>
      <c r="B1057" s="169" t="s">
        <v>24439</v>
      </c>
      <c r="C1057" s="169" t="s">
        <v>10231</v>
      </c>
      <c r="D1057" s="169" t="s">
        <v>1289</v>
      </c>
      <c r="E1057" s="103" t="s">
        <v>18624</v>
      </c>
      <c r="F1057" s="104"/>
      <c r="G1057" s="105">
        <f t="shared" si="64"/>
        <v>17.88</v>
      </c>
      <c r="H1057" s="101" t="str">
        <f t="shared" si="65"/>
        <v>Sinapi 42256</v>
      </c>
      <c r="I1057" s="101" t="str">
        <f t="shared" si="66"/>
        <v>KG</v>
      </c>
      <c r="J1057" s="140" t="str">
        <f t="shared" si="67"/>
        <v>CARVAO ANTRACITO PARA FILTRO, GRAO VARIANDO DE 0,8 ATE 1,1 MM, COEFICIENTE DE UNIFORMIDADE MENOR QUE 1,7 MM (DISTRIBUIDOR)</v>
      </c>
    </row>
    <row r="1058" spans="1:10" x14ac:dyDescent="0.25">
      <c r="A1058" s="169">
        <v>42250</v>
      </c>
      <c r="B1058" s="169" t="s">
        <v>24440</v>
      </c>
      <c r="C1058" s="169" t="s">
        <v>10247</v>
      </c>
      <c r="D1058" s="169" t="s">
        <v>1289</v>
      </c>
      <c r="E1058" s="103" t="s">
        <v>30007</v>
      </c>
      <c r="F1058" s="104"/>
      <c r="G1058" s="105">
        <f t="shared" si="64"/>
        <v>8043.7</v>
      </c>
      <c r="H1058" s="101" t="str">
        <f t="shared" si="65"/>
        <v>Sinapi 42250</v>
      </c>
      <c r="I1058" s="101" t="str">
        <f t="shared" si="66"/>
        <v>T</v>
      </c>
      <c r="J1058" s="140" t="str">
        <f t="shared" si="67"/>
        <v>CARVAO ANTRACITO PARA FILTRO, GRAO VARIANDO DE 0,8 ATE 1,1 MM, COEFICIENTE DE UNIFORMIDADE MENOR QUE 1,7 MM (POSTO JAZIDA/PRODUTOR)</v>
      </c>
    </row>
    <row r="1059" spans="1:10" x14ac:dyDescent="0.25">
      <c r="A1059" s="169">
        <v>4743</v>
      </c>
      <c r="B1059" s="169" t="s">
        <v>24441</v>
      </c>
      <c r="C1059" s="169" t="s">
        <v>10234</v>
      </c>
      <c r="D1059" s="169" t="s">
        <v>1289</v>
      </c>
      <c r="E1059" s="103" t="s">
        <v>30008</v>
      </c>
      <c r="F1059" s="104"/>
      <c r="G1059" s="105">
        <f t="shared" si="64"/>
        <v>137.76</v>
      </c>
      <c r="H1059" s="101" t="str">
        <f t="shared" si="65"/>
        <v>Sinapi 4743</v>
      </c>
      <c r="I1059" s="101" t="str">
        <f t="shared" si="66"/>
        <v>M3</v>
      </c>
      <c r="J1059" s="140" t="str">
        <f t="shared" si="67"/>
        <v>CASCALHO DE CAVA</v>
      </c>
    </row>
    <row r="1060" spans="1:10" x14ac:dyDescent="0.25">
      <c r="A1060" s="169">
        <v>4744</v>
      </c>
      <c r="B1060" s="169" t="s">
        <v>24442</v>
      </c>
      <c r="C1060" s="169" t="s">
        <v>10234</v>
      </c>
      <c r="D1060" s="169" t="s">
        <v>1289</v>
      </c>
      <c r="E1060" s="103" t="s">
        <v>30009</v>
      </c>
      <c r="F1060" s="104"/>
      <c r="G1060" s="105">
        <f t="shared" si="64"/>
        <v>220.41</v>
      </c>
      <c r="H1060" s="101" t="str">
        <f t="shared" si="65"/>
        <v>Sinapi 4744</v>
      </c>
      <c r="I1060" s="101" t="str">
        <f t="shared" si="66"/>
        <v>M3</v>
      </c>
      <c r="J1060" s="140" t="str">
        <f t="shared" si="67"/>
        <v>CASCALHO DE RIO</v>
      </c>
    </row>
    <row r="1061" spans="1:10" x14ac:dyDescent="0.25">
      <c r="A1061" s="169">
        <v>4745</v>
      </c>
      <c r="B1061" s="169" t="s">
        <v>24443</v>
      </c>
      <c r="C1061" s="169" t="s">
        <v>10234</v>
      </c>
      <c r="D1061" s="169" t="s">
        <v>1289</v>
      </c>
      <c r="E1061" s="103" t="s">
        <v>30010</v>
      </c>
      <c r="F1061" s="104"/>
      <c r="G1061" s="105">
        <f t="shared" si="64"/>
        <v>264.36</v>
      </c>
      <c r="H1061" s="101" t="str">
        <f t="shared" si="65"/>
        <v>Sinapi 4745</v>
      </c>
      <c r="I1061" s="101" t="str">
        <f t="shared" si="66"/>
        <v>M3</v>
      </c>
      <c r="J1061" s="140" t="str">
        <f t="shared" si="67"/>
        <v>CASCALHO LAVADO</v>
      </c>
    </row>
    <row r="1062" spans="1:10" x14ac:dyDescent="0.25">
      <c r="A1062" s="169">
        <v>36496</v>
      </c>
      <c r="B1062" s="169" t="s">
        <v>24444</v>
      </c>
      <c r="C1062" s="169" t="s">
        <v>10225</v>
      </c>
      <c r="D1062" s="169" t="s">
        <v>1290</v>
      </c>
      <c r="E1062" s="103" t="s">
        <v>30011</v>
      </c>
      <c r="F1062" s="104"/>
      <c r="G1062" s="105">
        <f t="shared" si="64"/>
        <v>9849.98</v>
      </c>
      <c r="H1062" s="101" t="str">
        <f t="shared" si="65"/>
        <v>Sinapi 36496</v>
      </c>
      <c r="I1062" s="101" t="str">
        <f t="shared" si="66"/>
        <v>UN</v>
      </c>
      <c r="J1062" s="140" t="str">
        <f t="shared" si="67"/>
        <v>CAVALETE PARA TALHA COM ESTRUTURA EM TUBO METALICO ALTURA MINIMA 3,2 M EQUIPADO COM RODAS DE BORRACHA PARA MOVIMENTACAO DE TUBOS DE CONCRETO NA CENTRAL DE PREMOLDADOS COM CAPACIDADE DE CARGA DE 3 TONELADAS</v>
      </c>
    </row>
    <row r="1063" spans="1:10" x14ac:dyDescent="0.25">
      <c r="A1063" s="169">
        <v>10630</v>
      </c>
      <c r="B1063" s="169" t="s">
        <v>24445</v>
      </c>
      <c r="C1063" s="169" t="s">
        <v>10225</v>
      </c>
      <c r="D1063" s="169" t="s">
        <v>1290</v>
      </c>
      <c r="E1063" s="103" t="s">
        <v>30012</v>
      </c>
      <c r="F1063" s="104"/>
      <c r="G1063" s="105">
        <f t="shared" si="64"/>
        <v>868129.34</v>
      </c>
      <c r="H1063" s="101" t="str">
        <f t="shared" si="65"/>
        <v>Sinapi 10630</v>
      </c>
      <c r="I1063" s="101" t="str">
        <f t="shared" si="66"/>
        <v>UN</v>
      </c>
      <c r="J1063" s="140" t="str">
        <f t="shared" si="67"/>
        <v>CAVALO MECANICO TRACAO 4X2, PESO BRUTO TOTAL COMBINADO 49000 KG, CAPACIDADE MAXIMA DE TRACAO *66000* KG, POTENCIA *360* CV (INCLUI CABINE E CHASSI, NAO INCLUI SEMIRREBOQUE)</v>
      </c>
    </row>
    <row r="1064" spans="1:10" x14ac:dyDescent="0.25">
      <c r="A1064" s="169">
        <v>37762</v>
      </c>
      <c r="B1064" s="169" t="s">
        <v>24446</v>
      </c>
      <c r="C1064" s="169" t="s">
        <v>10225</v>
      </c>
      <c r="D1064" s="169" t="s">
        <v>1290</v>
      </c>
      <c r="E1064" s="103" t="s">
        <v>30013</v>
      </c>
      <c r="F1064" s="104"/>
      <c r="G1064" s="105">
        <f t="shared" si="64"/>
        <v>744541.63</v>
      </c>
      <c r="H1064" s="101" t="str">
        <f t="shared" si="65"/>
        <v>Sinapi 37762</v>
      </c>
      <c r="I1064" s="101" t="str">
        <f t="shared" si="66"/>
        <v>UN</v>
      </c>
      <c r="J1064" s="140" t="str">
        <f t="shared" si="67"/>
        <v>CAVALO MECANICO TRACAO 4X2, PESO BRUTO TOTAL 16000 KG, CAPACIDADE MAXIMA DE TRACAO *36000* KG, DISTANCIA ENTRE EIXOS *3,56* M, POTENCIA *286* CV (INCLUI CABINE E CHASSI, NAO INCLUI SEMIRREBOQUE)</v>
      </c>
    </row>
    <row r="1065" spans="1:10" x14ac:dyDescent="0.25">
      <c r="A1065" s="169">
        <v>37763</v>
      </c>
      <c r="B1065" s="169" t="s">
        <v>24447</v>
      </c>
      <c r="C1065" s="169" t="s">
        <v>10225</v>
      </c>
      <c r="D1065" s="169" t="s">
        <v>1290</v>
      </c>
      <c r="E1065" s="103" t="s">
        <v>30014</v>
      </c>
      <c r="F1065" s="104"/>
      <c r="G1065" s="105">
        <f t="shared" si="64"/>
        <v>753584.52</v>
      </c>
      <c r="H1065" s="101" t="str">
        <f t="shared" si="65"/>
        <v>Sinapi 37763</v>
      </c>
      <c r="I1065" s="101" t="str">
        <f t="shared" si="66"/>
        <v>UN</v>
      </c>
      <c r="J1065" s="140" t="str">
        <f t="shared" si="67"/>
        <v>CAVALO MECANICO TRACAO 4X2, PESO BRUTO TOTAL 16000 KG, CAPACIDADE MAXIMA DE TRACAO *45000* KG, DISTANCIA ENTRE EIXOS *3,56* M, POTENCIA *330* CV (INCLUI CABINE E CHASSI, NAO INCLUI SEMIRREBOQUE)</v>
      </c>
    </row>
    <row r="1066" spans="1:10" x14ac:dyDescent="0.25">
      <c r="A1066" s="169">
        <v>41992</v>
      </c>
      <c r="B1066" s="169" t="s">
        <v>24448</v>
      </c>
      <c r="C1066" s="169" t="s">
        <v>10225</v>
      </c>
      <c r="D1066" s="169" t="s">
        <v>1290</v>
      </c>
      <c r="E1066" s="103" t="s">
        <v>30015</v>
      </c>
      <c r="F1066" s="104"/>
      <c r="G1066" s="105">
        <f t="shared" si="64"/>
        <v>856675</v>
      </c>
      <c r="H1066" s="101" t="str">
        <f t="shared" si="65"/>
        <v>Sinapi 41992</v>
      </c>
      <c r="I1066" s="101" t="str">
        <f t="shared" si="66"/>
        <v>UN</v>
      </c>
      <c r="J1066" s="140" t="str">
        <f t="shared" si="67"/>
        <v>CAVALO MECANICO TRACAO 4X2, PESO BRUTO TOTAL 16000 KG, CAPACIDADE MAXIMA DE TRACAO *80000* KG, POTENCIA *380* CV (INCLUI CABINE E CHASSI, NAO INCLUI SEMIRREBOQUE)</v>
      </c>
    </row>
    <row r="1067" spans="1:10" x14ac:dyDescent="0.25">
      <c r="A1067" s="169">
        <v>13215</v>
      </c>
      <c r="B1067" s="169" t="s">
        <v>24449</v>
      </c>
      <c r="C1067" s="169" t="s">
        <v>10225</v>
      </c>
      <c r="D1067" s="169" t="s">
        <v>1290</v>
      </c>
      <c r="E1067" s="103" t="s">
        <v>30016</v>
      </c>
      <c r="F1067" s="104"/>
      <c r="G1067" s="105">
        <f t="shared" si="64"/>
        <v>1050496.8600000001</v>
      </c>
      <c r="H1067" s="101" t="str">
        <f t="shared" si="65"/>
        <v>Sinapi 13215</v>
      </c>
      <c r="I1067" s="101" t="str">
        <f t="shared" si="66"/>
        <v>UN</v>
      </c>
      <c r="J1067" s="140" t="str">
        <f t="shared" si="67"/>
        <v>CAVALO MECANICO TRACAO 6X2, PESO BRUTO TOTAL COMBINADO 56000 KG, CAPACIDADE MAXIMA DE TRACAO *66000* KG, POTENCIA *360* CV (INCLUI CABINE E CHASSI, NAO INCLUI SEMIRREBOQUE)</v>
      </c>
    </row>
    <row r="1068" spans="1:10" x14ac:dyDescent="0.25">
      <c r="A1068" s="169">
        <v>4235</v>
      </c>
      <c r="B1068" s="169" t="s">
        <v>24450</v>
      </c>
      <c r="C1068" s="169" t="s">
        <v>10228</v>
      </c>
      <c r="D1068" s="169" t="s">
        <v>1289</v>
      </c>
      <c r="E1068" s="103" t="s">
        <v>15083</v>
      </c>
      <c r="F1068" s="104"/>
      <c r="G1068" s="105">
        <f t="shared" si="64"/>
        <v>14.96</v>
      </c>
      <c r="H1068" s="101" t="str">
        <f t="shared" si="65"/>
        <v>Sinapi 4235</v>
      </c>
      <c r="I1068" s="101" t="str">
        <f t="shared" si="66"/>
        <v>H</v>
      </c>
      <c r="J1068" s="140" t="str">
        <f t="shared" si="67"/>
        <v>CAVOUQUEIRO OU OPERADOR DE PERFURATRIZ / ROMPEDOR</v>
      </c>
    </row>
    <row r="1069" spans="1:10" x14ac:dyDescent="0.25">
      <c r="A1069" s="169">
        <v>40976</v>
      </c>
      <c r="B1069" s="169" t="s">
        <v>24451</v>
      </c>
      <c r="C1069" s="169" t="s">
        <v>10235</v>
      </c>
      <c r="D1069" s="169" t="s">
        <v>1289</v>
      </c>
      <c r="E1069" s="103" t="s">
        <v>30017</v>
      </c>
      <c r="F1069" s="104"/>
      <c r="G1069" s="105">
        <f t="shared" si="64"/>
        <v>2606.15</v>
      </c>
      <c r="H1069" s="101" t="str">
        <f t="shared" si="65"/>
        <v>Sinapi 40976</v>
      </c>
      <c r="I1069" s="101" t="str">
        <f t="shared" si="66"/>
        <v>MES</v>
      </c>
      <c r="J1069" s="140" t="str">
        <f t="shared" si="67"/>
        <v>CAVOUQUEIRO OU OPERADOR DE PERFURATRIZ / ROMPEDOR (MENSALISTA)</v>
      </c>
    </row>
    <row r="1070" spans="1:10" x14ac:dyDescent="0.25">
      <c r="A1070" s="169">
        <v>43091</v>
      </c>
      <c r="B1070" s="169" t="s">
        <v>24452</v>
      </c>
      <c r="C1070" s="169" t="s">
        <v>10225</v>
      </c>
      <c r="D1070" s="169" t="s">
        <v>1289</v>
      </c>
      <c r="E1070" s="103" t="s">
        <v>30018</v>
      </c>
      <c r="F1070" s="104"/>
      <c r="G1070" s="105">
        <f t="shared" si="64"/>
        <v>6291.1</v>
      </c>
      <c r="H1070" s="101" t="str">
        <f t="shared" si="65"/>
        <v>Sinapi 43091</v>
      </c>
      <c r="I1070" s="101" t="str">
        <f t="shared" si="66"/>
        <v>UN</v>
      </c>
      <c r="J1070" s="140" t="str">
        <f t="shared" si="67"/>
        <v>CENTRO DE MEDICAO AGRUPADA, EM POLICARBONATO / PVC, COM 12 MEDIDORES E PROTECAO GERAL (INCLUI BARRAMENTO, DISJUNTORES E ACESSORIOS DE FIXACAO) (PADRAO CONCESSIONARIA LOCAL)</v>
      </c>
    </row>
    <row r="1071" spans="1:10" x14ac:dyDescent="0.25">
      <c r="A1071" s="169">
        <v>43092</v>
      </c>
      <c r="B1071" s="169" t="s">
        <v>24453</v>
      </c>
      <c r="C1071" s="169" t="s">
        <v>10225</v>
      </c>
      <c r="D1071" s="169" t="s">
        <v>1289</v>
      </c>
      <c r="E1071" s="103" t="s">
        <v>30019</v>
      </c>
      <c r="F1071" s="104"/>
      <c r="G1071" s="105">
        <f t="shared" si="64"/>
        <v>8388.14</v>
      </c>
      <c r="H1071" s="101" t="str">
        <f t="shared" si="65"/>
        <v>Sinapi 43092</v>
      </c>
      <c r="I1071" s="101" t="str">
        <f t="shared" si="66"/>
        <v>UN</v>
      </c>
      <c r="J1071" s="140" t="str">
        <f t="shared" si="67"/>
        <v>CENTRO DE MEDICAO AGRUPADA, EM POLICARBONATO / PVC, COM 16 MEDIDORES E PROTECAO GERAL (INCLUI BARRAMENTO, DISJUNTORES E ACESSORIOS DE FIXACAO) (PADRAO CONCESSIONARIA LOCAL)</v>
      </c>
    </row>
    <row r="1072" spans="1:10" x14ac:dyDescent="0.25">
      <c r="A1072" s="169">
        <v>43089</v>
      </c>
      <c r="B1072" s="169" t="s">
        <v>24454</v>
      </c>
      <c r="C1072" s="169" t="s">
        <v>10225</v>
      </c>
      <c r="D1072" s="169" t="s">
        <v>1289</v>
      </c>
      <c r="E1072" s="103" t="s">
        <v>30020</v>
      </c>
      <c r="F1072" s="104"/>
      <c r="G1072" s="105">
        <f t="shared" si="64"/>
        <v>1461.87</v>
      </c>
      <c r="H1072" s="101" t="str">
        <f t="shared" si="65"/>
        <v>Sinapi 43089</v>
      </c>
      <c r="I1072" s="101" t="str">
        <f t="shared" si="66"/>
        <v>UN</v>
      </c>
      <c r="J1072" s="140" t="str">
        <f t="shared" si="67"/>
        <v>CENTRO DE MEDICAO AGRUPADA, EM POLICARBONATO / PVC, COM 4 MEDIDORES E PROTECAO GERAL (INCLUI BARRAMENTO, DISJUNTORES E ACESSORIOS DE FIXACAO) (PADRAO CONCESSIONARIA LOCAL)</v>
      </c>
    </row>
    <row r="1073" spans="1:10" x14ac:dyDescent="0.25">
      <c r="A1073" s="169">
        <v>43090</v>
      </c>
      <c r="B1073" s="169" t="s">
        <v>24455</v>
      </c>
      <c r="C1073" s="169" t="s">
        <v>10225</v>
      </c>
      <c r="D1073" s="169" t="s">
        <v>1289</v>
      </c>
      <c r="E1073" s="103" t="s">
        <v>30021</v>
      </c>
      <c r="F1073" s="104"/>
      <c r="G1073" s="105">
        <f t="shared" si="64"/>
        <v>3226.2</v>
      </c>
      <c r="H1073" s="101" t="str">
        <f t="shared" si="65"/>
        <v>Sinapi 43090</v>
      </c>
      <c r="I1073" s="101" t="str">
        <f t="shared" si="66"/>
        <v>UN</v>
      </c>
      <c r="J1073" s="140" t="str">
        <f t="shared" si="67"/>
        <v>CENTRO DE MEDICAO AGRUPADA, EM POLICARBONATO / PVC, COM 8 MEDIDORES E PROTECAO GERAL (INCLUI BARRAMENTO, DISJUNTORES E ACESSORIOS DE FIXACAO) (PADRAO CONCESSIONARIA LOCAL)</v>
      </c>
    </row>
    <row r="1074" spans="1:10" x14ac:dyDescent="0.25">
      <c r="A1074" s="169">
        <v>41967</v>
      </c>
      <c r="B1074" s="169" t="s">
        <v>24456</v>
      </c>
      <c r="C1074" s="169" t="s">
        <v>10230</v>
      </c>
      <c r="D1074" s="169" t="s">
        <v>1289</v>
      </c>
      <c r="E1074" s="103" t="s">
        <v>22715</v>
      </c>
      <c r="F1074" s="104"/>
      <c r="G1074" s="105">
        <f t="shared" si="64"/>
        <v>23.32</v>
      </c>
      <c r="H1074" s="101" t="str">
        <f t="shared" si="65"/>
        <v>Sinapi 41967</v>
      </c>
      <c r="I1074" s="101" t="str">
        <f t="shared" si="66"/>
        <v>L</v>
      </c>
      <c r="J1074" s="140" t="str">
        <f t="shared" si="67"/>
        <v>CERA LIQUIDA INCOLOR MULTIPISO</v>
      </c>
    </row>
    <row r="1075" spans="1:10" x14ac:dyDescent="0.25">
      <c r="A1075" s="169">
        <v>12760</v>
      </c>
      <c r="B1075" s="169" t="s">
        <v>24457</v>
      </c>
      <c r="C1075" s="169" t="s">
        <v>10226</v>
      </c>
      <c r="D1075" s="169" t="s">
        <v>1289</v>
      </c>
      <c r="E1075" s="103" t="s">
        <v>30022</v>
      </c>
      <c r="F1075" s="104"/>
      <c r="G1075" s="105">
        <f t="shared" si="64"/>
        <v>1545.39</v>
      </c>
      <c r="H1075" s="101" t="str">
        <f t="shared" si="65"/>
        <v>Sinapi 12760</v>
      </c>
      <c r="I1075" s="101" t="str">
        <f t="shared" si="66"/>
        <v>M2</v>
      </c>
      <c r="J1075" s="140" t="str">
        <f t="shared" si="67"/>
        <v>CHAPA ACO INOX AISI 304 NUMERO 4 (E = 6 MM), ACABAMENTO NUMERO 1 (LAMINADO A QUENTE, FOSCO)</v>
      </c>
    </row>
    <row r="1076" spans="1:10" x14ac:dyDescent="0.25">
      <c r="A1076" s="169">
        <v>12759</v>
      </c>
      <c r="B1076" s="169" t="s">
        <v>24458</v>
      </c>
      <c r="C1076" s="169" t="s">
        <v>10226</v>
      </c>
      <c r="D1076" s="169" t="s">
        <v>1289</v>
      </c>
      <c r="E1076" s="103" t="s">
        <v>30023</v>
      </c>
      <c r="F1076" s="104"/>
      <c r="G1076" s="105">
        <f t="shared" si="64"/>
        <v>1030.24</v>
      </c>
      <c r="H1076" s="101" t="str">
        <f t="shared" si="65"/>
        <v>Sinapi 12759</v>
      </c>
      <c r="I1076" s="101" t="str">
        <f t="shared" si="66"/>
        <v>M2</v>
      </c>
      <c r="J1076" s="140" t="str">
        <f t="shared" si="67"/>
        <v>CHAPA ACO INOX AISI 304 NUMERO 9 (E = 4 MM), ACABAMENTO NUMERO 1 (LAMINADO A QUENTE, FOSCO)</v>
      </c>
    </row>
    <row r="1077" spans="1:10" x14ac:dyDescent="0.25">
      <c r="A1077" s="169">
        <v>43105</v>
      </c>
      <c r="B1077" s="169" t="s">
        <v>24459</v>
      </c>
      <c r="C1077" s="169" t="s">
        <v>10231</v>
      </c>
      <c r="D1077" s="169" t="s">
        <v>1289</v>
      </c>
      <c r="E1077" s="103" t="s">
        <v>29402</v>
      </c>
      <c r="F1077" s="104"/>
      <c r="G1077" s="105">
        <f t="shared" si="64"/>
        <v>42.73</v>
      </c>
      <c r="H1077" s="101" t="str">
        <f t="shared" si="65"/>
        <v>Sinapi 43105</v>
      </c>
      <c r="I1077" s="101" t="str">
        <f t="shared" si="66"/>
        <v>KG</v>
      </c>
      <c r="J1077" s="140" t="str">
        <f t="shared" si="67"/>
        <v>CHAPA DE ACO CARBONO GALVANIZADA, PERFURADA (GRADE FUROS) E = 1,5 MM, DIAMETRO DO FURO = 9,52 MM (FUROS ALTERNADOS HORIZ.)</v>
      </c>
    </row>
    <row r="1078" spans="1:10" x14ac:dyDescent="0.25">
      <c r="A1078" s="169">
        <v>40424</v>
      </c>
      <c r="B1078" s="169" t="s">
        <v>24460</v>
      </c>
      <c r="C1078" s="169" t="s">
        <v>10231</v>
      </c>
      <c r="D1078" s="169" t="s">
        <v>1289</v>
      </c>
      <c r="E1078" s="103" t="s">
        <v>14122</v>
      </c>
      <c r="F1078" s="104"/>
      <c r="G1078" s="105">
        <f t="shared" si="64"/>
        <v>10.85</v>
      </c>
      <c r="H1078" s="101" t="str">
        <f t="shared" si="65"/>
        <v>Sinapi 40424</v>
      </c>
      <c r="I1078" s="101" t="str">
        <f t="shared" si="66"/>
        <v>KG</v>
      </c>
      <c r="J1078" s="140" t="str">
        <f t="shared" si="67"/>
        <v>CHAPA DE ACO CARBONO LAMINADO A QUENTE, QUALIDADE ESTRUTURAL, BITOLA 3/16", E =4,75 MM (37,29 KG/M2)</v>
      </c>
    </row>
    <row r="1079" spans="1:10" x14ac:dyDescent="0.25">
      <c r="A1079" s="169">
        <v>1325</v>
      </c>
      <c r="B1079" s="169" t="s">
        <v>24461</v>
      </c>
      <c r="C1079" s="169" t="s">
        <v>10231</v>
      </c>
      <c r="D1079" s="169" t="s">
        <v>1289</v>
      </c>
      <c r="E1079" s="103" t="s">
        <v>22095</v>
      </c>
      <c r="F1079" s="104"/>
      <c r="G1079" s="105">
        <f t="shared" si="64"/>
        <v>11.89</v>
      </c>
      <c r="H1079" s="101" t="str">
        <f t="shared" si="65"/>
        <v>Sinapi 1325</v>
      </c>
      <c r="I1079" s="101" t="str">
        <f t="shared" si="66"/>
        <v>KG</v>
      </c>
      <c r="J1079" s="140" t="str">
        <f t="shared" si="67"/>
        <v>CHAPA DE ACO FINA A FRIO BITOLA MSG 20, E = 0,90 MM (7,20 KG/M2)</v>
      </c>
    </row>
    <row r="1080" spans="1:10" x14ac:dyDescent="0.25">
      <c r="A1080" s="169">
        <v>1327</v>
      </c>
      <c r="B1080" s="169" t="s">
        <v>24462</v>
      </c>
      <c r="C1080" s="169" t="s">
        <v>10231</v>
      </c>
      <c r="D1080" s="169" t="s">
        <v>1289</v>
      </c>
      <c r="E1080" s="103" t="s">
        <v>22961</v>
      </c>
      <c r="F1080" s="104"/>
      <c r="G1080" s="105">
        <f t="shared" si="64"/>
        <v>12.66</v>
      </c>
      <c r="H1080" s="101" t="str">
        <f t="shared" si="65"/>
        <v>Sinapi 1327</v>
      </c>
      <c r="I1080" s="101" t="str">
        <f t="shared" si="66"/>
        <v>KG</v>
      </c>
      <c r="J1080" s="140" t="str">
        <f t="shared" si="67"/>
        <v>CHAPA DE ACO FINA A FRIO BITOLA MSG 24, E = 0,60 MM (4,80 KG/M2)</v>
      </c>
    </row>
    <row r="1081" spans="1:10" x14ac:dyDescent="0.25">
      <c r="A1081" s="169">
        <v>1328</v>
      </c>
      <c r="B1081" s="169" t="s">
        <v>24463</v>
      </c>
      <c r="C1081" s="169" t="s">
        <v>10231</v>
      </c>
      <c r="D1081" s="169" t="s">
        <v>1289</v>
      </c>
      <c r="E1081" s="103" t="s">
        <v>14793</v>
      </c>
      <c r="F1081" s="104"/>
      <c r="G1081" s="105">
        <f t="shared" si="64"/>
        <v>11.92</v>
      </c>
      <c r="H1081" s="101" t="str">
        <f t="shared" si="65"/>
        <v>Sinapi 1328</v>
      </c>
      <c r="I1081" s="101" t="str">
        <f t="shared" si="66"/>
        <v>KG</v>
      </c>
      <c r="J1081" s="140" t="str">
        <f t="shared" si="67"/>
        <v>CHAPA DE ACO FINA A FRIO BITOLA MSG 26, E = 0,45 MM (3,60 KG/M2)</v>
      </c>
    </row>
    <row r="1082" spans="1:10" x14ac:dyDescent="0.25">
      <c r="A1082" s="169">
        <v>1321</v>
      </c>
      <c r="B1082" s="169" t="s">
        <v>24464</v>
      </c>
      <c r="C1082" s="169" t="s">
        <v>10231</v>
      </c>
      <c r="D1082" s="169" t="s">
        <v>1289</v>
      </c>
      <c r="E1082" s="103" t="s">
        <v>10266</v>
      </c>
      <c r="F1082" s="104"/>
      <c r="G1082" s="105">
        <f t="shared" si="64"/>
        <v>11.03</v>
      </c>
      <c r="H1082" s="101" t="str">
        <f t="shared" si="65"/>
        <v>Sinapi 1321</v>
      </c>
      <c r="I1082" s="101" t="str">
        <f t="shared" si="66"/>
        <v>KG</v>
      </c>
      <c r="J1082" s="140" t="str">
        <f t="shared" si="67"/>
        <v>CHAPA DE ACO FINA A QUENTE BITOLA MSG 13, E = 2,25 MM (18,00 KG/M2)</v>
      </c>
    </row>
    <row r="1083" spans="1:10" x14ac:dyDescent="0.25">
      <c r="A1083" s="169">
        <v>1318</v>
      </c>
      <c r="B1083" s="169" t="s">
        <v>24465</v>
      </c>
      <c r="C1083" s="169" t="s">
        <v>10231</v>
      </c>
      <c r="D1083" s="169" t="s">
        <v>1289</v>
      </c>
      <c r="E1083" s="103" t="s">
        <v>17363</v>
      </c>
      <c r="F1083" s="104"/>
      <c r="G1083" s="105">
        <f t="shared" si="64"/>
        <v>11.04</v>
      </c>
      <c r="H1083" s="101" t="str">
        <f t="shared" si="65"/>
        <v>Sinapi 1318</v>
      </c>
      <c r="I1083" s="101" t="str">
        <f t="shared" si="66"/>
        <v>KG</v>
      </c>
      <c r="J1083" s="140" t="str">
        <f t="shared" si="67"/>
        <v>CHAPA DE ACO FINA A QUENTE BITOLA MSG 14, E = 2,00 MM (16,0 KG/M2)</v>
      </c>
    </row>
    <row r="1084" spans="1:10" x14ac:dyDescent="0.25">
      <c r="A1084" s="169">
        <v>1322</v>
      </c>
      <c r="B1084" s="169" t="s">
        <v>24466</v>
      </c>
      <c r="C1084" s="169" t="s">
        <v>10231</v>
      </c>
      <c r="D1084" s="169" t="s">
        <v>1289</v>
      </c>
      <c r="E1084" s="103" t="s">
        <v>12332</v>
      </c>
      <c r="F1084" s="104"/>
      <c r="G1084" s="105">
        <f t="shared" si="64"/>
        <v>11.67</v>
      </c>
      <c r="H1084" s="101" t="str">
        <f t="shared" si="65"/>
        <v>Sinapi 1322</v>
      </c>
      <c r="I1084" s="101" t="str">
        <f t="shared" si="66"/>
        <v>KG</v>
      </c>
      <c r="J1084" s="140" t="str">
        <f t="shared" si="67"/>
        <v>CHAPA DE ACO FINA A QUENTE BITOLA MSG 16, E = 1,50 MM (12,00 KG/M2)</v>
      </c>
    </row>
    <row r="1085" spans="1:10" x14ac:dyDescent="0.25">
      <c r="A1085" s="169">
        <v>1323</v>
      </c>
      <c r="B1085" s="169" t="s">
        <v>24467</v>
      </c>
      <c r="C1085" s="169" t="s">
        <v>10231</v>
      </c>
      <c r="D1085" s="169" t="s">
        <v>1289</v>
      </c>
      <c r="E1085" s="103" t="s">
        <v>12332</v>
      </c>
      <c r="F1085" s="104"/>
      <c r="G1085" s="105">
        <f t="shared" si="64"/>
        <v>11.67</v>
      </c>
      <c r="H1085" s="101" t="str">
        <f t="shared" si="65"/>
        <v>Sinapi 1323</v>
      </c>
      <c r="I1085" s="101" t="str">
        <f t="shared" si="66"/>
        <v>KG</v>
      </c>
      <c r="J1085" s="140" t="str">
        <f t="shared" si="67"/>
        <v>CHAPA DE ACO FINA A QUENTE BITOLA MSG 18, E = 1,20 MM (9,60 KG/M2)</v>
      </c>
    </row>
    <row r="1086" spans="1:10" x14ac:dyDescent="0.25">
      <c r="A1086" s="169">
        <v>1319</v>
      </c>
      <c r="B1086" s="169" t="s">
        <v>24468</v>
      </c>
      <c r="C1086" s="169" t="s">
        <v>10231</v>
      </c>
      <c r="D1086" s="169" t="s">
        <v>1289</v>
      </c>
      <c r="E1086" s="103" t="s">
        <v>17491</v>
      </c>
      <c r="F1086" s="104"/>
      <c r="G1086" s="105">
        <f t="shared" si="64"/>
        <v>9.83</v>
      </c>
      <c r="H1086" s="101" t="str">
        <f t="shared" si="65"/>
        <v>Sinapi 1319</v>
      </c>
      <c r="I1086" s="101" t="str">
        <f t="shared" si="66"/>
        <v>KG</v>
      </c>
      <c r="J1086" s="140" t="str">
        <f t="shared" si="67"/>
        <v>CHAPA DE ACO FINA A QUENTE BITOLA MSG 3/16 ", E = 4,75 MM (38,00 KG/M2)</v>
      </c>
    </row>
    <row r="1087" spans="1:10" x14ac:dyDescent="0.25">
      <c r="A1087" s="169">
        <v>11026</v>
      </c>
      <c r="B1087" s="169" t="s">
        <v>24469</v>
      </c>
      <c r="C1087" s="169" t="s">
        <v>10231</v>
      </c>
      <c r="D1087" s="169" t="s">
        <v>1289</v>
      </c>
      <c r="E1087" s="103" t="s">
        <v>16288</v>
      </c>
      <c r="F1087" s="104"/>
      <c r="G1087" s="105">
        <f t="shared" si="64"/>
        <v>13.52</v>
      </c>
      <c r="H1087" s="101" t="str">
        <f t="shared" si="65"/>
        <v>Sinapi 11026</v>
      </c>
      <c r="I1087" s="101" t="str">
        <f t="shared" si="66"/>
        <v>KG</v>
      </c>
      <c r="J1087" s="140" t="str">
        <f t="shared" si="67"/>
        <v>CHAPA DE ACO GALVANIZADA BITOLA GSG 14, E = 1,95 MM (15,60 KG/M2)</v>
      </c>
    </row>
    <row r="1088" spans="1:10" x14ac:dyDescent="0.25">
      <c r="A1088" s="169">
        <v>11027</v>
      </c>
      <c r="B1088" s="169" t="s">
        <v>10248</v>
      </c>
      <c r="C1088" s="169" t="s">
        <v>10231</v>
      </c>
      <c r="D1088" s="169" t="s">
        <v>1289</v>
      </c>
      <c r="E1088" s="103" t="s">
        <v>14589</v>
      </c>
      <c r="F1088" s="104"/>
      <c r="G1088" s="105">
        <f t="shared" si="64"/>
        <v>14.08</v>
      </c>
      <c r="H1088" s="101" t="str">
        <f t="shared" si="65"/>
        <v>Sinapi 11027</v>
      </c>
      <c r="I1088" s="101" t="str">
        <f t="shared" si="66"/>
        <v>KG</v>
      </c>
      <c r="J1088" s="140" t="str">
        <f t="shared" si="67"/>
        <v>CHAPA DE ACO GALVANIZADA BITOLA GSG 16, E = 1,55 MM (12,40 KG/M2)</v>
      </c>
    </row>
    <row r="1089" spans="1:10" x14ac:dyDescent="0.25">
      <c r="A1089" s="169">
        <v>11046</v>
      </c>
      <c r="B1089" s="169" t="s">
        <v>24470</v>
      </c>
      <c r="C1089" s="169" t="s">
        <v>10231</v>
      </c>
      <c r="D1089" s="169" t="s">
        <v>1289</v>
      </c>
      <c r="E1089" s="103" t="s">
        <v>21028</v>
      </c>
      <c r="F1089" s="104"/>
      <c r="G1089" s="105">
        <f t="shared" si="64"/>
        <v>13.48</v>
      </c>
      <c r="H1089" s="101" t="str">
        <f t="shared" si="65"/>
        <v>Sinapi 11046</v>
      </c>
      <c r="I1089" s="101" t="str">
        <f t="shared" si="66"/>
        <v>KG</v>
      </c>
      <c r="J1089" s="140" t="str">
        <f t="shared" si="67"/>
        <v>CHAPA DE ACO GALVANIZADA BITOLA GSG 18, E = 1,25 MM (10,00 KG/M2)</v>
      </c>
    </row>
    <row r="1090" spans="1:10" x14ac:dyDescent="0.25">
      <c r="A1090" s="169">
        <v>11047</v>
      </c>
      <c r="B1090" s="169" t="s">
        <v>24471</v>
      </c>
      <c r="C1090" s="169" t="s">
        <v>10231</v>
      </c>
      <c r="D1090" s="169" t="s">
        <v>1289</v>
      </c>
      <c r="E1090" s="103" t="s">
        <v>18567</v>
      </c>
      <c r="F1090" s="104"/>
      <c r="G1090" s="105">
        <f t="shared" si="64"/>
        <v>14.7</v>
      </c>
      <c r="H1090" s="101" t="str">
        <f t="shared" si="65"/>
        <v>Sinapi 11047</v>
      </c>
      <c r="I1090" s="101" t="str">
        <f t="shared" si="66"/>
        <v>KG</v>
      </c>
      <c r="J1090" s="140" t="str">
        <f t="shared" si="67"/>
        <v>CHAPA DE ACO GALVANIZADA BITOLA GSG 19, E = 1,11 MM (8,88 KG/M2)</v>
      </c>
    </row>
    <row r="1091" spans="1:10" x14ac:dyDescent="0.25">
      <c r="A1091" s="169">
        <v>43668</v>
      </c>
      <c r="B1091" s="169" t="s">
        <v>24473</v>
      </c>
      <c r="C1091" s="169" t="s">
        <v>10231</v>
      </c>
      <c r="D1091" s="169" t="s">
        <v>1289</v>
      </c>
      <c r="E1091" s="103" t="s">
        <v>20978</v>
      </c>
      <c r="F1091" s="104"/>
      <c r="G1091" s="105">
        <f t="shared" si="64"/>
        <v>12.97</v>
      </c>
      <c r="H1091" s="101" t="str">
        <f t="shared" si="65"/>
        <v>Sinapi 43668</v>
      </c>
      <c r="I1091" s="101" t="str">
        <f t="shared" si="66"/>
        <v>KG</v>
      </c>
      <c r="J1091" s="140" t="str">
        <f t="shared" si="67"/>
        <v>CHAPA DE ACO GALVANIZADA BITOLA GSG 20, E = 0,95 MM (7,60 KG/M2)</v>
      </c>
    </row>
    <row r="1092" spans="1:10" x14ac:dyDescent="0.25">
      <c r="A1092" s="169">
        <v>11049</v>
      </c>
      <c r="B1092" s="169" t="s">
        <v>24474</v>
      </c>
      <c r="C1092" s="169" t="s">
        <v>10231</v>
      </c>
      <c r="D1092" s="169" t="s">
        <v>1288</v>
      </c>
      <c r="E1092" s="103" t="s">
        <v>11117</v>
      </c>
      <c r="F1092" s="104"/>
      <c r="G1092" s="105">
        <f t="shared" si="64"/>
        <v>14.05</v>
      </c>
      <c r="H1092" s="101" t="str">
        <f t="shared" si="65"/>
        <v>Sinapi 11049</v>
      </c>
      <c r="I1092" s="101" t="str">
        <f t="shared" si="66"/>
        <v>KG</v>
      </c>
      <c r="J1092" s="140" t="str">
        <f t="shared" si="67"/>
        <v>CHAPA DE ACO GALVANIZADA BITOLA GSG 22, E = 0,80 MM (6,40 KG/M2)</v>
      </c>
    </row>
    <row r="1093" spans="1:10" x14ac:dyDescent="0.25">
      <c r="A1093" s="169">
        <v>43106</v>
      </c>
      <c r="B1093" s="169" t="s">
        <v>24476</v>
      </c>
      <c r="C1093" s="169" t="s">
        <v>10231</v>
      </c>
      <c r="D1093" s="169" t="s">
        <v>1289</v>
      </c>
      <c r="E1093" s="103" t="s">
        <v>21440</v>
      </c>
      <c r="F1093" s="104"/>
      <c r="G1093" s="105">
        <f t="shared" si="64"/>
        <v>14.14</v>
      </c>
      <c r="H1093" s="101" t="str">
        <f t="shared" si="65"/>
        <v>Sinapi 43106</v>
      </c>
      <c r="I1093" s="101" t="str">
        <f t="shared" si="66"/>
        <v>KG</v>
      </c>
      <c r="J1093" s="140" t="str">
        <f t="shared" si="67"/>
        <v>CHAPA DE ACO GALVANIZADA BITOLA GSG 24, E = 0,64 (5,12 KG/M2)</v>
      </c>
    </row>
    <row r="1094" spans="1:10" x14ac:dyDescent="0.25">
      <c r="A1094" s="169">
        <v>11051</v>
      </c>
      <c r="B1094" s="169" t="s">
        <v>24477</v>
      </c>
      <c r="C1094" s="169" t="s">
        <v>10231</v>
      </c>
      <c r="D1094" s="169" t="s">
        <v>1289</v>
      </c>
      <c r="E1094" s="103" t="s">
        <v>30024</v>
      </c>
      <c r="F1094" s="104"/>
      <c r="G1094" s="105">
        <f t="shared" si="64"/>
        <v>14.75</v>
      </c>
      <c r="H1094" s="101" t="str">
        <f t="shared" si="65"/>
        <v>Sinapi 11051</v>
      </c>
      <c r="I1094" s="101" t="str">
        <f t="shared" si="66"/>
        <v>KG</v>
      </c>
      <c r="J1094" s="140" t="str">
        <f t="shared" si="67"/>
        <v>CHAPA DE ACO GALVANIZADA BITOLA GSG 26, E = 0,50 MM (4,00 KG/M2)</v>
      </c>
    </row>
    <row r="1095" spans="1:10" x14ac:dyDescent="0.25">
      <c r="A1095" s="169">
        <v>11061</v>
      </c>
      <c r="B1095" s="169" t="s">
        <v>24478</v>
      </c>
      <c r="C1095" s="169" t="s">
        <v>10231</v>
      </c>
      <c r="D1095" s="169" t="s">
        <v>1289</v>
      </c>
      <c r="E1095" s="103" t="s">
        <v>17890</v>
      </c>
      <c r="F1095" s="104"/>
      <c r="G1095" s="105">
        <f t="shared" si="64"/>
        <v>17.7</v>
      </c>
      <c r="H1095" s="101" t="str">
        <f t="shared" si="65"/>
        <v>Sinapi 11061</v>
      </c>
      <c r="I1095" s="101" t="str">
        <f t="shared" si="66"/>
        <v>KG</v>
      </c>
      <c r="J1095" s="140" t="str">
        <f t="shared" si="67"/>
        <v>CHAPA DE ACO GALVANIZADA BITOLA GSG 30, E = 0,35 MM (2,80 KG/M2)</v>
      </c>
    </row>
    <row r="1096" spans="1:10" x14ac:dyDescent="0.25">
      <c r="A1096" s="169">
        <v>43667</v>
      </c>
      <c r="B1096" s="169" t="s">
        <v>24479</v>
      </c>
      <c r="C1096" s="169" t="s">
        <v>10231</v>
      </c>
      <c r="D1096" s="169" t="s">
        <v>1289</v>
      </c>
      <c r="E1096" s="103" t="s">
        <v>16301</v>
      </c>
      <c r="F1096" s="104"/>
      <c r="G1096" s="105">
        <f t="shared" ref="G1096:G1159" si="68">IF(E1096="","",E1096+0)</f>
        <v>12.86</v>
      </c>
      <c r="H1096" s="101" t="str">
        <f t="shared" ref="H1096:H1159" si="69">IF(G1096="","",TRIM(CONCATENATE("Sinapi ",A1096)))</f>
        <v>Sinapi 43667</v>
      </c>
      <c r="I1096" s="101" t="str">
        <f t="shared" ref="I1096:I1159" si="70">TRIM(C1096)</f>
        <v>KG</v>
      </c>
      <c r="J1096" s="140" t="str">
        <f t="shared" si="67"/>
        <v>CHAPA DE ACO GROSSA, ASTM A36, E = 1 " (25,40 MM) 199,18 KG/M2</v>
      </c>
    </row>
    <row r="1097" spans="1:10" x14ac:dyDescent="0.25">
      <c r="A1097" s="169">
        <v>1333</v>
      </c>
      <c r="B1097" s="169" t="s">
        <v>24480</v>
      </c>
      <c r="C1097" s="169" t="s">
        <v>10231</v>
      </c>
      <c r="D1097" s="169" t="s">
        <v>1289</v>
      </c>
      <c r="E1097" s="103" t="s">
        <v>15675</v>
      </c>
      <c r="F1097" s="104"/>
      <c r="G1097" s="105">
        <f t="shared" si="68"/>
        <v>10.71</v>
      </c>
      <c r="H1097" s="101" t="str">
        <f t="shared" si="69"/>
        <v>Sinapi 1333</v>
      </c>
      <c r="I1097" s="101" t="str">
        <f t="shared" si="70"/>
        <v>KG</v>
      </c>
      <c r="J1097" s="140" t="str">
        <f t="shared" ref="J1097:J1160" si="71">TRIM(B1097)</f>
        <v>CHAPA DE ACO GROSSA, ASTM A36, E = 1/2 " (12,70 MM) 99,59 KG/M2</v>
      </c>
    </row>
    <row r="1098" spans="1:10" x14ac:dyDescent="0.25">
      <c r="A1098" s="169">
        <v>1330</v>
      </c>
      <c r="B1098" s="169" t="s">
        <v>24481</v>
      </c>
      <c r="C1098" s="169" t="s">
        <v>10231</v>
      </c>
      <c r="D1098" s="169" t="s">
        <v>1289</v>
      </c>
      <c r="E1098" s="103" t="s">
        <v>16382</v>
      </c>
      <c r="F1098" s="104"/>
      <c r="G1098" s="105">
        <f t="shared" si="68"/>
        <v>10.61</v>
      </c>
      <c r="H1098" s="101" t="str">
        <f t="shared" si="69"/>
        <v>Sinapi 1330</v>
      </c>
      <c r="I1098" s="101" t="str">
        <f t="shared" si="70"/>
        <v>KG</v>
      </c>
      <c r="J1098" s="140" t="str">
        <f t="shared" si="71"/>
        <v>CHAPA DE ACO GROSSA, ASTM A36, E = 1/4 " (6,35 MM) 49,79 KG/M2</v>
      </c>
    </row>
    <row r="1099" spans="1:10" x14ac:dyDescent="0.25">
      <c r="A1099" s="169">
        <v>10957</v>
      </c>
      <c r="B1099" s="169" t="s">
        <v>24482</v>
      </c>
      <c r="C1099" s="169" t="s">
        <v>10231</v>
      </c>
      <c r="D1099" s="169" t="s">
        <v>1289</v>
      </c>
      <c r="E1099" s="103" t="s">
        <v>14350</v>
      </c>
      <c r="F1099" s="104"/>
      <c r="G1099" s="105">
        <f t="shared" si="68"/>
        <v>12.24</v>
      </c>
      <c r="H1099" s="101" t="str">
        <f t="shared" si="69"/>
        <v>Sinapi 10957</v>
      </c>
      <c r="I1099" s="101" t="str">
        <f t="shared" si="70"/>
        <v>KG</v>
      </c>
      <c r="J1099" s="140" t="str">
        <f t="shared" si="71"/>
        <v>CHAPA DE ACO GROSSA, ASTM A36, E = 3/4 " (19,05 MM) 149,39 KG/M2</v>
      </c>
    </row>
    <row r="1100" spans="1:10" x14ac:dyDescent="0.25">
      <c r="A1100" s="169">
        <v>1332</v>
      </c>
      <c r="B1100" s="169" t="s">
        <v>1043</v>
      </c>
      <c r="C1100" s="169" t="s">
        <v>10231</v>
      </c>
      <c r="D1100" s="169" t="s">
        <v>1289</v>
      </c>
      <c r="E1100" s="103" t="s">
        <v>23099</v>
      </c>
      <c r="F1100" s="104"/>
      <c r="G1100" s="105">
        <f t="shared" si="68"/>
        <v>10.88</v>
      </c>
      <c r="H1100" s="101" t="str">
        <f t="shared" si="69"/>
        <v>Sinapi 1332</v>
      </c>
      <c r="I1100" s="101" t="str">
        <f t="shared" si="70"/>
        <v>KG</v>
      </c>
      <c r="J1100" s="140" t="str">
        <f t="shared" si="71"/>
        <v>CHAPA DE ACO GROSSA, ASTM A36, E = 3/8 " (9,53 MM) 74,69 KG/M2</v>
      </c>
    </row>
    <row r="1101" spans="1:10" x14ac:dyDescent="0.25">
      <c r="A1101" s="169">
        <v>1334</v>
      </c>
      <c r="B1101" s="169" t="s">
        <v>24483</v>
      </c>
      <c r="C1101" s="169" t="s">
        <v>10231</v>
      </c>
      <c r="D1101" s="169" t="s">
        <v>1289</v>
      </c>
      <c r="E1101" s="103" t="s">
        <v>17305</v>
      </c>
      <c r="F1101" s="104"/>
      <c r="G1101" s="105">
        <f t="shared" si="68"/>
        <v>12.07</v>
      </c>
      <c r="H1101" s="101" t="str">
        <f t="shared" si="69"/>
        <v>Sinapi 1334</v>
      </c>
      <c r="I1101" s="101" t="str">
        <f t="shared" si="70"/>
        <v>KG</v>
      </c>
      <c r="J1101" s="140" t="str">
        <f t="shared" si="71"/>
        <v>CHAPA DE ACO GROSSA, ASTM A36, E = 5/8 " (15,88 MM) 124,49 KG/M2</v>
      </c>
    </row>
    <row r="1102" spans="1:10" x14ac:dyDescent="0.25">
      <c r="A1102" s="169">
        <v>1335</v>
      </c>
      <c r="B1102" s="169" t="s">
        <v>24484</v>
      </c>
      <c r="C1102" s="169" t="s">
        <v>10231</v>
      </c>
      <c r="D1102" s="169" t="s">
        <v>1289</v>
      </c>
      <c r="E1102" s="103" t="s">
        <v>15631</v>
      </c>
      <c r="F1102" s="104"/>
      <c r="G1102" s="105">
        <f t="shared" si="68"/>
        <v>12.47</v>
      </c>
      <c r="H1102" s="101" t="str">
        <f t="shared" si="69"/>
        <v>Sinapi 1335</v>
      </c>
      <c r="I1102" s="101" t="str">
        <f t="shared" si="70"/>
        <v>KG</v>
      </c>
      <c r="J1102" s="140" t="str">
        <f t="shared" si="71"/>
        <v>CHAPA DE ACO GROSSA, ASTM A36, E = 7/8 " (22,23 MM) 174,28 KG/M2</v>
      </c>
    </row>
    <row r="1103" spans="1:10" x14ac:dyDescent="0.25">
      <c r="A1103" s="169">
        <v>40425</v>
      </c>
      <c r="B1103" s="169" t="s">
        <v>24485</v>
      </c>
      <c r="C1103" s="169" t="s">
        <v>10231</v>
      </c>
      <c r="D1103" s="169" t="s">
        <v>1289</v>
      </c>
      <c r="E1103" s="103" t="s">
        <v>21467</v>
      </c>
      <c r="F1103" s="104"/>
      <c r="G1103" s="105">
        <f t="shared" si="68"/>
        <v>10.67</v>
      </c>
      <c r="H1103" s="101" t="str">
        <f t="shared" si="69"/>
        <v>Sinapi 40425</v>
      </c>
      <c r="I1103" s="101" t="str">
        <f t="shared" si="70"/>
        <v>KG</v>
      </c>
      <c r="J1103" s="140" t="str">
        <f t="shared" si="71"/>
        <v>CHAPA DE ACO GROSSA, SAE 1020, BITOLA 1/4", E = 6,35 MM (49,85 KG/M2)</v>
      </c>
    </row>
    <row r="1104" spans="1:10" x14ac:dyDescent="0.25">
      <c r="A1104" s="169">
        <v>1337</v>
      </c>
      <c r="B1104" s="169" t="s">
        <v>24486</v>
      </c>
      <c r="C1104" s="169" t="s">
        <v>10231</v>
      </c>
      <c r="D1104" s="169" t="s">
        <v>1289</v>
      </c>
      <c r="E1104" s="103" t="s">
        <v>14350</v>
      </c>
      <c r="F1104" s="104"/>
      <c r="G1104" s="105">
        <f t="shared" si="68"/>
        <v>12.24</v>
      </c>
      <c r="H1104" s="101" t="str">
        <f t="shared" si="69"/>
        <v>Sinapi 1337</v>
      </c>
      <c r="I1104" s="101" t="str">
        <f t="shared" si="70"/>
        <v>KG</v>
      </c>
      <c r="J1104" s="140" t="str">
        <f t="shared" si="71"/>
        <v>CHAPA DE ACO XADREZ PARA PISOS, E = 1/4 " (6,30 MM) 54,53 KG/M2</v>
      </c>
    </row>
    <row r="1105" spans="1:10" x14ac:dyDescent="0.25">
      <c r="A1105" s="169">
        <v>1338</v>
      </c>
      <c r="B1105" s="169" t="s">
        <v>30025</v>
      </c>
      <c r="C1105" s="169" t="s">
        <v>10226</v>
      </c>
      <c r="D1105" s="169" t="s">
        <v>1290</v>
      </c>
      <c r="E1105" s="103" t="s">
        <v>21345</v>
      </c>
      <c r="F1105" s="104"/>
      <c r="G1105" s="105">
        <f t="shared" si="68"/>
        <v>62.14</v>
      </c>
      <c r="H1105" s="101" t="str">
        <f t="shared" si="69"/>
        <v>Sinapi 1338</v>
      </c>
      <c r="I1105" s="101" t="str">
        <f t="shared" si="70"/>
        <v>M2</v>
      </c>
      <c r="J1105" s="140" t="str">
        <f t="shared" si="71"/>
        <v>CHAPA DE LAMINADO MELAMINICO, LISO BRILHANTE, DE 1,25 X 3,08 METROS, ESPESSURA = 0,8 MILIMETROS</v>
      </c>
    </row>
    <row r="1106" spans="1:10" x14ac:dyDescent="0.25">
      <c r="A1106" s="169">
        <v>1340</v>
      </c>
      <c r="B1106" s="169" t="s">
        <v>30026</v>
      </c>
      <c r="C1106" s="169" t="s">
        <v>10226</v>
      </c>
      <c r="D1106" s="169" t="s">
        <v>1290</v>
      </c>
      <c r="E1106" s="103" t="s">
        <v>20627</v>
      </c>
      <c r="F1106" s="104"/>
      <c r="G1106" s="105">
        <f t="shared" si="68"/>
        <v>71.84</v>
      </c>
      <c r="H1106" s="101" t="str">
        <f t="shared" si="69"/>
        <v>Sinapi 1340</v>
      </c>
      <c r="I1106" s="101" t="str">
        <f t="shared" si="70"/>
        <v>M2</v>
      </c>
      <c r="J1106" s="140" t="str">
        <f t="shared" si="71"/>
        <v>CHAPA DE LAMINADO MELAMINICO, LISO FOSCO, DE 1,25 X 3,08 METROS, ESPESSURA = 0,8 MILIMETROS</v>
      </c>
    </row>
    <row r="1107" spans="1:10" x14ac:dyDescent="0.25">
      <c r="A1107" s="169">
        <v>1341</v>
      </c>
      <c r="B1107" s="169" t="s">
        <v>30027</v>
      </c>
      <c r="C1107" s="169" t="s">
        <v>10226</v>
      </c>
      <c r="D1107" s="169" t="s">
        <v>1290</v>
      </c>
      <c r="E1107" s="103" t="s">
        <v>21319</v>
      </c>
      <c r="F1107" s="104"/>
      <c r="G1107" s="105">
        <f t="shared" si="68"/>
        <v>69.19</v>
      </c>
      <c r="H1107" s="101" t="str">
        <f t="shared" si="69"/>
        <v>Sinapi 1341</v>
      </c>
      <c r="I1107" s="101" t="str">
        <f t="shared" si="70"/>
        <v>M2</v>
      </c>
      <c r="J1107" s="140" t="str">
        <f t="shared" si="71"/>
        <v>CHAPA DE LAMINADO MELAMINICO, TEXTURIZADO, DE 1,25 X 3,08 METROS, ESPESSURA = 0,8 MILIMETROS</v>
      </c>
    </row>
    <row r="1108" spans="1:10" x14ac:dyDescent="0.25">
      <c r="A1108" s="169">
        <v>34659</v>
      </c>
      <c r="B1108" s="169" t="s">
        <v>24487</v>
      </c>
      <c r="C1108" s="169" t="s">
        <v>10226</v>
      </c>
      <c r="D1108" s="169" t="s">
        <v>1290</v>
      </c>
      <c r="E1108" s="103" t="s">
        <v>19834</v>
      </c>
      <c r="F1108" s="104"/>
      <c r="G1108" s="105">
        <f t="shared" si="68"/>
        <v>40.11</v>
      </c>
      <c r="H1108" s="101" t="str">
        <f t="shared" si="69"/>
        <v>Sinapi 34659</v>
      </c>
      <c r="I1108" s="101" t="str">
        <f t="shared" si="70"/>
        <v>M2</v>
      </c>
      <c r="J1108" s="140" t="str">
        <f t="shared" si="71"/>
        <v>CHAPA DE MDF BRANCO LISO 1 FACE, E = 12 MM, DE *2,75 X 1,85* M</v>
      </c>
    </row>
    <row r="1109" spans="1:10" x14ac:dyDescent="0.25">
      <c r="A1109" s="169">
        <v>34514</v>
      </c>
      <c r="B1109" s="169" t="s">
        <v>24488</v>
      </c>
      <c r="C1109" s="169" t="s">
        <v>10226</v>
      </c>
      <c r="D1109" s="169" t="s">
        <v>1290</v>
      </c>
      <c r="E1109" s="103" t="s">
        <v>30028</v>
      </c>
      <c r="F1109" s="104"/>
      <c r="G1109" s="105">
        <f t="shared" si="68"/>
        <v>44.43</v>
      </c>
      <c r="H1109" s="101" t="str">
        <f t="shared" si="69"/>
        <v>Sinapi 34514</v>
      </c>
      <c r="I1109" s="101" t="str">
        <f t="shared" si="70"/>
        <v>M2</v>
      </c>
      <c r="J1109" s="140" t="str">
        <f t="shared" si="71"/>
        <v>CHAPA DE MDF BRANCO LISO 1 FACE, E = 15 MM, DE *2,75 X 1,85* M</v>
      </c>
    </row>
    <row r="1110" spans="1:10" x14ac:dyDescent="0.25">
      <c r="A1110" s="169">
        <v>34660</v>
      </c>
      <c r="B1110" s="169" t="s">
        <v>24489</v>
      </c>
      <c r="C1110" s="169" t="s">
        <v>10226</v>
      </c>
      <c r="D1110" s="169" t="s">
        <v>1290</v>
      </c>
      <c r="E1110" s="103" t="s">
        <v>21760</v>
      </c>
      <c r="F1110" s="104"/>
      <c r="G1110" s="105">
        <f t="shared" si="68"/>
        <v>56.38</v>
      </c>
      <c r="H1110" s="101" t="str">
        <f t="shared" si="69"/>
        <v>Sinapi 34660</v>
      </c>
      <c r="I1110" s="101" t="str">
        <f t="shared" si="70"/>
        <v>M2</v>
      </c>
      <c r="J1110" s="140" t="str">
        <f t="shared" si="71"/>
        <v>CHAPA DE MDF BRANCO LISO 1 FACE, E = 18 MM, DE *2,75 X 1,85* M</v>
      </c>
    </row>
    <row r="1111" spans="1:10" x14ac:dyDescent="0.25">
      <c r="A1111" s="169">
        <v>34661</v>
      </c>
      <c r="B1111" s="169" t="s">
        <v>24491</v>
      </c>
      <c r="C1111" s="169" t="s">
        <v>10226</v>
      </c>
      <c r="D1111" s="169" t="s">
        <v>1290</v>
      </c>
      <c r="E1111" s="103" t="s">
        <v>30029</v>
      </c>
      <c r="F1111" s="104"/>
      <c r="G1111" s="105">
        <f t="shared" si="68"/>
        <v>80.98</v>
      </c>
      <c r="H1111" s="101" t="str">
        <f t="shared" si="69"/>
        <v>Sinapi 34661</v>
      </c>
      <c r="I1111" s="101" t="str">
        <f t="shared" si="70"/>
        <v>M2</v>
      </c>
      <c r="J1111" s="140" t="str">
        <f t="shared" si="71"/>
        <v>CHAPA DE MDF BRANCO LISO 1 FACE, E = 25 MM, DE *2,75 X 1,85* M</v>
      </c>
    </row>
    <row r="1112" spans="1:10" x14ac:dyDescent="0.25">
      <c r="A1112" s="169">
        <v>34667</v>
      </c>
      <c r="B1112" s="169" t="s">
        <v>10249</v>
      </c>
      <c r="C1112" s="169" t="s">
        <v>10226</v>
      </c>
      <c r="D1112" s="169" t="s">
        <v>1290</v>
      </c>
      <c r="E1112" s="103" t="s">
        <v>21162</v>
      </c>
      <c r="F1112" s="104"/>
      <c r="G1112" s="105">
        <f t="shared" si="68"/>
        <v>29.32</v>
      </c>
      <c r="H1112" s="101" t="str">
        <f t="shared" si="69"/>
        <v>Sinapi 34667</v>
      </c>
      <c r="I1112" s="101" t="str">
        <f t="shared" si="70"/>
        <v>M2</v>
      </c>
      <c r="J1112" s="140" t="str">
        <f t="shared" si="71"/>
        <v>CHAPA DE MDF BRANCO LISO 1 FACE, E = 6 MM, DE *2,75 X 1,85* M</v>
      </c>
    </row>
    <row r="1113" spans="1:10" x14ac:dyDescent="0.25">
      <c r="A1113" s="169">
        <v>34668</v>
      </c>
      <c r="B1113" s="169" t="s">
        <v>24492</v>
      </c>
      <c r="C1113" s="169" t="s">
        <v>10226</v>
      </c>
      <c r="D1113" s="169" t="s">
        <v>1290</v>
      </c>
      <c r="E1113" s="103" t="s">
        <v>28548</v>
      </c>
      <c r="F1113" s="104"/>
      <c r="G1113" s="105">
        <f t="shared" si="68"/>
        <v>38.32</v>
      </c>
      <c r="H1113" s="101" t="str">
        <f t="shared" si="69"/>
        <v>Sinapi 34668</v>
      </c>
      <c r="I1113" s="101" t="str">
        <f t="shared" si="70"/>
        <v>M2</v>
      </c>
      <c r="J1113" s="140" t="str">
        <f t="shared" si="71"/>
        <v>CHAPA DE MDF BRANCO LISO 1 FACE, E = 9 MM, DE *2,75 X 1,85* M</v>
      </c>
    </row>
    <row r="1114" spans="1:10" x14ac:dyDescent="0.25">
      <c r="A1114" s="169">
        <v>34741</v>
      </c>
      <c r="B1114" s="169" t="s">
        <v>24493</v>
      </c>
      <c r="C1114" s="169" t="s">
        <v>10226</v>
      </c>
      <c r="D1114" s="169" t="s">
        <v>1290</v>
      </c>
      <c r="E1114" s="103" t="s">
        <v>30030</v>
      </c>
      <c r="F1114" s="104"/>
      <c r="G1114" s="105">
        <f t="shared" si="68"/>
        <v>42.17</v>
      </c>
      <c r="H1114" s="101" t="str">
        <f t="shared" si="69"/>
        <v>Sinapi 34741</v>
      </c>
      <c r="I1114" s="101" t="str">
        <f t="shared" si="70"/>
        <v>M2</v>
      </c>
      <c r="J1114" s="140" t="str">
        <f t="shared" si="71"/>
        <v>CHAPA DE MDF BRANCO LISO 2 FACES, E = 12 MM, DE *2,75 X 1,85* M</v>
      </c>
    </row>
    <row r="1115" spans="1:10" x14ac:dyDescent="0.25">
      <c r="A1115" s="169">
        <v>34664</v>
      </c>
      <c r="B1115" s="169" t="s">
        <v>10250</v>
      </c>
      <c r="C1115" s="169" t="s">
        <v>10226</v>
      </c>
      <c r="D1115" s="169" t="s">
        <v>1290</v>
      </c>
      <c r="E1115" s="103" t="s">
        <v>23115</v>
      </c>
      <c r="F1115" s="104"/>
      <c r="G1115" s="105">
        <f t="shared" si="68"/>
        <v>46.01</v>
      </c>
      <c r="H1115" s="101" t="str">
        <f t="shared" si="69"/>
        <v>Sinapi 34664</v>
      </c>
      <c r="I1115" s="101" t="str">
        <f t="shared" si="70"/>
        <v>M2</v>
      </c>
      <c r="J1115" s="140" t="str">
        <f t="shared" si="71"/>
        <v>CHAPA DE MDF BRANCO LISO 2 FACES, E = 15 MM, DE *2,75 X 1,85* M</v>
      </c>
    </row>
    <row r="1116" spans="1:10" x14ac:dyDescent="0.25">
      <c r="A1116" s="169">
        <v>34665</v>
      </c>
      <c r="B1116" s="169" t="s">
        <v>10251</v>
      </c>
      <c r="C1116" s="169" t="s">
        <v>10226</v>
      </c>
      <c r="D1116" s="169" t="s">
        <v>1290</v>
      </c>
      <c r="E1116" s="103" t="s">
        <v>30031</v>
      </c>
      <c r="F1116" s="104"/>
      <c r="G1116" s="105">
        <f t="shared" si="68"/>
        <v>57.12</v>
      </c>
      <c r="H1116" s="101" t="str">
        <f t="shared" si="69"/>
        <v>Sinapi 34665</v>
      </c>
      <c r="I1116" s="101" t="str">
        <f t="shared" si="70"/>
        <v>M2</v>
      </c>
      <c r="J1116" s="140" t="str">
        <f t="shared" si="71"/>
        <v>CHAPA DE MDF BRANCO LISO 2 FACES, E = 18 MM, DE *2,75 X 1,85* M</v>
      </c>
    </row>
    <row r="1117" spans="1:10" x14ac:dyDescent="0.25">
      <c r="A1117" s="169">
        <v>34666</v>
      </c>
      <c r="B1117" s="169" t="s">
        <v>24494</v>
      </c>
      <c r="C1117" s="169" t="s">
        <v>10226</v>
      </c>
      <c r="D1117" s="169" t="s">
        <v>1290</v>
      </c>
      <c r="E1117" s="103" t="s">
        <v>22089</v>
      </c>
      <c r="F1117" s="104"/>
      <c r="G1117" s="105">
        <f t="shared" si="68"/>
        <v>86.28</v>
      </c>
      <c r="H1117" s="101" t="str">
        <f t="shared" si="69"/>
        <v>Sinapi 34666</v>
      </c>
      <c r="I1117" s="101" t="str">
        <f t="shared" si="70"/>
        <v>M2</v>
      </c>
      <c r="J1117" s="140" t="str">
        <f t="shared" si="71"/>
        <v>CHAPA DE MDF BRANCO LISO 2 FACES, E = 25 MM, DE *2,75 X 1,85* M</v>
      </c>
    </row>
    <row r="1118" spans="1:10" x14ac:dyDescent="0.25">
      <c r="A1118" s="169">
        <v>34669</v>
      </c>
      <c r="B1118" s="169" t="s">
        <v>24495</v>
      </c>
      <c r="C1118" s="169" t="s">
        <v>10226</v>
      </c>
      <c r="D1118" s="169" t="s">
        <v>1290</v>
      </c>
      <c r="E1118" s="103" t="s">
        <v>30032</v>
      </c>
      <c r="F1118" s="104"/>
      <c r="G1118" s="105">
        <f t="shared" si="68"/>
        <v>31.63</v>
      </c>
      <c r="H1118" s="101" t="str">
        <f t="shared" si="69"/>
        <v>Sinapi 34669</v>
      </c>
      <c r="I1118" s="101" t="str">
        <f t="shared" si="70"/>
        <v>M2</v>
      </c>
      <c r="J1118" s="140" t="str">
        <f t="shared" si="71"/>
        <v>CHAPA DE MDF BRANCO LISO 2 FACES, E = 6 MM, DE *2,75 X 1,85* M</v>
      </c>
    </row>
    <row r="1119" spans="1:10" x14ac:dyDescent="0.25">
      <c r="A1119" s="169">
        <v>34670</v>
      </c>
      <c r="B1119" s="169" t="s">
        <v>24496</v>
      </c>
      <c r="C1119" s="169" t="s">
        <v>10226</v>
      </c>
      <c r="D1119" s="169" t="s">
        <v>1290</v>
      </c>
      <c r="E1119" s="103" t="s">
        <v>30033</v>
      </c>
      <c r="F1119" s="104"/>
      <c r="G1119" s="105">
        <f t="shared" si="68"/>
        <v>38.69</v>
      </c>
      <c r="H1119" s="101" t="str">
        <f t="shared" si="69"/>
        <v>Sinapi 34670</v>
      </c>
      <c r="I1119" s="101" t="str">
        <f t="shared" si="70"/>
        <v>M2</v>
      </c>
      <c r="J1119" s="140" t="str">
        <f t="shared" si="71"/>
        <v>CHAPA DE MDF BRANCO LISO 2 FACES, E = 9 MM, DE *2,75 X 1,85* M</v>
      </c>
    </row>
    <row r="1120" spans="1:10" x14ac:dyDescent="0.25">
      <c r="A1120" s="169">
        <v>34671</v>
      </c>
      <c r="B1120" s="169" t="s">
        <v>24498</v>
      </c>
      <c r="C1120" s="169" t="s">
        <v>10226</v>
      </c>
      <c r="D1120" s="169" t="s">
        <v>1290</v>
      </c>
      <c r="E1120" s="103" t="s">
        <v>21191</v>
      </c>
      <c r="F1120" s="104"/>
      <c r="G1120" s="105">
        <f t="shared" si="68"/>
        <v>32.299999999999997</v>
      </c>
      <c r="H1120" s="101" t="str">
        <f t="shared" si="69"/>
        <v>Sinapi 34671</v>
      </c>
      <c r="I1120" s="101" t="str">
        <f t="shared" si="70"/>
        <v>M2</v>
      </c>
      <c r="J1120" s="140" t="str">
        <f t="shared" si="71"/>
        <v>CHAPA DE MDF CRU, E = 12 MM, DE *2,75 X 1,85* M</v>
      </c>
    </row>
    <row r="1121" spans="1:10" x14ac:dyDescent="0.25">
      <c r="A1121" s="169">
        <v>34672</v>
      </c>
      <c r="B1121" s="169" t="s">
        <v>24499</v>
      </c>
      <c r="C1121" s="169" t="s">
        <v>10226</v>
      </c>
      <c r="D1121" s="169" t="s">
        <v>1290</v>
      </c>
      <c r="E1121" s="103" t="s">
        <v>29104</v>
      </c>
      <c r="F1121" s="104"/>
      <c r="G1121" s="105">
        <f t="shared" si="68"/>
        <v>34.06</v>
      </c>
      <c r="H1121" s="101" t="str">
        <f t="shared" si="69"/>
        <v>Sinapi 34672</v>
      </c>
      <c r="I1121" s="101" t="str">
        <f t="shared" si="70"/>
        <v>M2</v>
      </c>
      <c r="J1121" s="140" t="str">
        <f t="shared" si="71"/>
        <v>CHAPA DE MDF CRU, E = 15 MM, DE *2,75 X 1,85* M</v>
      </c>
    </row>
    <row r="1122" spans="1:10" x14ac:dyDescent="0.25">
      <c r="A1122" s="169">
        <v>34673</v>
      </c>
      <c r="B1122" s="169" t="s">
        <v>24500</v>
      </c>
      <c r="C1122" s="169" t="s">
        <v>10226</v>
      </c>
      <c r="D1122" s="169" t="s">
        <v>1290</v>
      </c>
      <c r="E1122" s="103" t="s">
        <v>29360</v>
      </c>
      <c r="F1122" s="104"/>
      <c r="G1122" s="105">
        <f t="shared" si="68"/>
        <v>41.56</v>
      </c>
      <c r="H1122" s="101" t="str">
        <f t="shared" si="69"/>
        <v>Sinapi 34673</v>
      </c>
      <c r="I1122" s="101" t="str">
        <f t="shared" si="70"/>
        <v>M2</v>
      </c>
      <c r="J1122" s="140" t="str">
        <f t="shared" si="71"/>
        <v>CHAPA DE MDF CRU, E = 18 MM, DE *2,75 X 1,85* M</v>
      </c>
    </row>
    <row r="1123" spans="1:10" x14ac:dyDescent="0.25">
      <c r="A1123" s="169">
        <v>34674</v>
      </c>
      <c r="B1123" s="169" t="s">
        <v>24502</v>
      </c>
      <c r="C1123" s="169" t="s">
        <v>10226</v>
      </c>
      <c r="D1123" s="169" t="s">
        <v>1290</v>
      </c>
      <c r="E1123" s="103" t="s">
        <v>28854</v>
      </c>
      <c r="F1123" s="104"/>
      <c r="G1123" s="105">
        <f t="shared" si="68"/>
        <v>55.25</v>
      </c>
      <c r="H1123" s="101" t="str">
        <f t="shared" si="69"/>
        <v>Sinapi 34674</v>
      </c>
      <c r="I1123" s="101" t="str">
        <f t="shared" si="70"/>
        <v>M2</v>
      </c>
      <c r="J1123" s="140" t="str">
        <f t="shared" si="71"/>
        <v>CHAPA DE MDF CRU, E = 20 MM, DE *2,75 X 1,85* M</v>
      </c>
    </row>
    <row r="1124" spans="1:10" x14ac:dyDescent="0.25">
      <c r="A1124" s="169">
        <v>34675</v>
      </c>
      <c r="B1124" s="169" t="s">
        <v>24504</v>
      </c>
      <c r="C1124" s="169" t="s">
        <v>10226</v>
      </c>
      <c r="D1124" s="169" t="s">
        <v>1290</v>
      </c>
      <c r="E1124" s="103" t="s">
        <v>30034</v>
      </c>
      <c r="F1124" s="104"/>
      <c r="G1124" s="105">
        <f t="shared" si="68"/>
        <v>67.36</v>
      </c>
      <c r="H1124" s="101" t="str">
        <f t="shared" si="69"/>
        <v>Sinapi 34675</v>
      </c>
      <c r="I1124" s="101" t="str">
        <f t="shared" si="70"/>
        <v>M2</v>
      </c>
      <c r="J1124" s="140" t="str">
        <f t="shared" si="71"/>
        <v>CHAPA DE MDF CRU, E = 25 MM, DE *2,75 X 1,85* M</v>
      </c>
    </row>
    <row r="1125" spans="1:10" x14ac:dyDescent="0.25">
      <c r="A1125" s="169">
        <v>34676</v>
      </c>
      <c r="B1125" s="169" t="s">
        <v>24505</v>
      </c>
      <c r="C1125" s="169" t="s">
        <v>10226</v>
      </c>
      <c r="D1125" s="169" t="s">
        <v>1290</v>
      </c>
      <c r="E1125" s="103" t="s">
        <v>15799</v>
      </c>
      <c r="F1125" s="104"/>
      <c r="G1125" s="105">
        <f t="shared" si="68"/>
        <v>19.39</v>
      </c>
      <c r="H1125" s="101" t="str">
        <f t="shared" si="69"/>
        <v>Sinapi 34676</v>
      </c>
      <c r="I1125" s="101" t="str">
        <f t="shared" si="70"/>
        <v>M2</v>
      </c>
      <c r="J1125" s="140" t="str">
        <f t="shared" si="71"/>
        <v>CHAPA DE MDF CRU, E = 6 MM, DE *2,75 X 1,85* M</v>
      </c>
    </row>
    <row r="1126" spans="1:10" x14ac:dyDescent="0.25">
      <c r="A1126" s="169">
        <v>34677</v>
      </c>
      <c r="B1126" s="169" t="s">
        <v>24506</v>
      </c>
      <c r="C1126" s="169" t="s">
        <v>10226</v>
      </c>
      <c r="D1126" s="169" t="s">
        <v>1290</v>
      </c>
      <c r="E1126" s="103" t="s">
        <v>29319</v>
      </c>
      <c r="F1126" s="104"/>
      <c r="G1126" s="105">
        <f t="shared" si="68"/>
        <v>26.07</v>
      </c>
      <c r="H1126" s="101" t="str">
        <f t="shared" si="69"/>
        <v>Sinapi 34677</v>
      </c>
      <c r="I1126" s="101" t="str">
        <f t="shared" si="70"/>
        <v>M2</v>
      </c>
      <c r="J1126" s="140" t="str">
        <f t="shared" si="71"/>
        <v>CHAPA DE MDF CRU, E = 9 MM, DE *2,75 X 1,85* M</v>
      </c>
    </row>
    <row r="1127" spans="1:10" x14ac:dyDescent="0.25">
      <c r="A1127" s="169">
        <v>43126</v>
      </c>
      <c r="B1127" s="169" t="s">
        <v>24507</v>
      </c>
      <c r="C1127" s="169" t="s">
        <v>10226</v>
      </c>
      <c r="D1127" s="169" t="s">
        <v>1289</v>
      </c>
      <c r="E1127" s="103" t="s">
        <v>30035</v>
      </c>
      <c r="F1127" s="104"/>
      <c r="G1127" s="105">
        <f t="shared" si="68"/>
        <v>101.39</v>
      </c>
      <c r="H1127" s="101" t="str">
        <f t="shared" si="69"/>
        <v>Sinapi 43126</v>
      </c>
      <c r="I1127" s="101" t="str">
        <f t="shared" si="70"/>
        <v>M2</v>
      </c>
      <c r="J1127" s="140" t="str">
        <f t="shared" si="71"/>
        <v>CHAPA EM ACO GALVANIZADO PARA STEEL DECK, COM NERVURAS TRAPEZOIDAIS, LARGURA UTIL DE 915 MM E ESPESSURA DE 0,80 MM</v>
      </c>
    </row>
    <row r="1128" spans="1:10" x14ac:dyDescent="0.25">
      <c r="A1128" s="169">
        <v>43124</v>
      </c>
      <c r="B1128" s="169" t="s">
        <v>24508</v>
      </c>
      <c r="C1128" s="169" t="s">
        <v>10226</v>
      </c>
      <c r="D1128" s="169" t="s">
        <v>1289</v>
      </c>
      <c r="E1128" s="103" t="s">
        <v>20079</v>
      </c>
      <c r="F1128" s="104"/>
      <c r="G1128" s="105">
        <f t="shared" si="68"/>
        <v>118.38</v>
      </c>
      <c r="H1128" s="101" t="str">
        <f t="shared" si="69"/>
        <v>Sinapi 43124</v>
      </c>
      <c r="I1128" s="101" t="str">
        <f t="shared" si="70"/>
        <v>M2</v>
      </c>
      <c r="J1128" s="140" t="str">
        <f t="shared" si="71"/>
        <v>CHAPA EM ACO GALVANIZADO PARA STEEL DECK, COM NERVURAS TRAPEZOIDAIS, LARGURA UTIL DE 915 MM E ESPESSURA DE 0,95 MM</v>
      </c>
    </row>
    <row r="1129" spans="1:10" x14ac:dyDescent="0.25">
      <c r="A1129" s="169">
        <v>43125</v>
      </c>
      <c r="B1129" s="169" t="s">
        <v>24510</v>
      </c>
      <c r="C1129" s="169" t="s">
        <v>10226</v>
      </c>
      <c r="D1129" s="169" t="s">
        <v>1289</v>
      </c>
      <c r="E1129" s="103" t="s">
        <v>30036</v>
      </c>
      <c r="F1129" s="104"/>
      <c r="G1129" s="105">
        <f t="shared" si="68"/>
        <v>153.53</v>
      </c>
      <c r="H1129" s="101" t="str">
        <f t="shared" si="69"/>
        <v>Sinapi 43125</v>
      </c>
      <c r="I1129" s="101" t="str">
        <f t="shared" si="70"/>
        <v>M2</v>
      </c>
      <c r="J1129" s="140" t="str">
        <f t="shared" si="71"/>
        <v>CHAPA EM ACO GALVANIZADO PARA STEEL DECK, COM NERVURAS TRAPEZOIDAIS, LARGURA UTIL DE 915 MM E ESPESSURA DE 1,25 MM</v>
      </c>
    </row>
    <row r="1130" spans="1:10" x14ac:dyDescent="0.25">
      <c r="A1130" s="169">
        <v>40623</v>
      </c>
      <c r="B1130" s="169" t="s">
        <v>24511</v>
      </c>
      <c r="C1130" s="169" t="s">
        <v>10239</v>
      </c>
      <c r="D1130" s="169" t="s">
        <v>1289</v>
      </c>
      <c r="E1130" s="103" t="s">
        <v>30037</v>
      </c>
      <c r="F1130" s="104"/>
      <c r="G1130" s="105">
        <f t="shared" si="68"/>
        <v>119.17</v>
      </c>
      <c r="H1130" s="101" t="str">
        <f t="shared" si="69"/>
        <v>Sinapi 40623</v>
      </c>
      <c r="I1130" s="101" t="str">
        <f t="shared" si="70"/>
        <v>PAR</v>
      </c>
      <c r="J1130" s="140" t="str">
        <f t="shared" si="71"/>
        <v>CHAPA PARA EMENDA DE VIGA, EM ACO GROSSO, QUALIDADE ESTRUTURAL, BITOLA 3/16 ", E= 4,75 MM, 4 FUROS, LARGURA 45 MM, COMPRIMENTO 500 MM</v>
      </c>
    </row>
    <row r="1131" spans="1:10" x14ac:dyDescent="0.25">
      <c r="A1131" s="169">
        <v>43701</v>
      </c>
      <c r="B1131" s="169" t="s">
        <v>24513</v>
      </c>
      <c r="C1131" s="169" t="s">
        <v>10231</v>
      </c>
      <c r="D1131" s="169" t="s">
        <v>1290</v>
      </c>
      <c r="E1131" s="103" t="s">
        <v>3036</v>
      </c>
      <c r="F1131" s="104"/>
      <c r="G1131" s="105">
        <f t="shared" si="68"/>
        <v>35</v>
      </c>
      <c r="H1131" s="101" t="str">
        <f t="shared" si="69"/>
        <v>Sinapi 43701</v>
      </c>
      <c r="I1131" s="101" t="str">
        <f t="shared" si="70"/>
        <v>KG</v>
      </c>
      <c r="J1131" s="140" t="str">
        <f t="shared" si="71"/>
        <v>CHAPA/BOBINA LISA EM ALUMINIO, LIGA 1.200 - H14, QUALQUER ESPESSURA, QUALQUER LARGURA</v>
      </c>
    </row>
    <row r="1132" spans="1:10" x14ac:dyDescent="0.25">
      <c r="A1132" s="169">
        <v>1345</v>
      </c>
      <c r="B1132" s="169" t="s">
        <v>24514</v>
      </c>
      <c r="C1132" s="169" t="s">
        <v>10226</v>
      </c>
      <c r="D1132" s="169" t="s">
        <v>1289</v>
      </c>
      <c r="E1132" s="103" t="s">
        <v>28934</v>
      </c>
      <c r="F1132" s="104"/>
      <c r="G1132" s="105">
        <f t="shared" si="68"/>
        <v>133.27000000000001</v>
      </c>
      <c r="H1132" s="101" t="str">
        <f t="shared" si="69"/>
        <v>Sinapi 1345</v>
      </c>
      <c r="I1132" s="101" t="str">
        <f t="shared" si="70"/>
        <v>M2</v>
      </c>
      <c r="J1132" s="140" t="str">
        <f t="shared" si="71"/>
        <v>CHAPA/PAINEL DE MADEIRA COMPENSADA PLASTIFICADA (MADEIRITE PLASTIFICADO) PARA FORMA DE CONCRETO, DE 2200 x 1100 MM, E = *17* MM</v>
      </c>
    </row>
    <row r="1133" spans="1:10" x14ac:dyDescent="0.25">
      <c r="A1133" s="169">
        <v>1346</v>
      </c>
      <c r="B1133" s="169" t="s">
        <v>24515</v>
      </c>
      <c r="C1133" s="169" t="s">
        <v>10226</v>
      </c>
      <c r="D1133" s="169" t="s">
        <v>1289</v>
      </c>
      <c r="E1133" s="103" t="s">
        <v>30038</v>
      </c>
      <c r="F1133" s="104"/>
      <c r="G1133" s="105">
        <f t="shared" si="68"/>
        <v>77.52</v>
      </c>
      <c r="H1133" s="101" t="str">
        <f t="shared" si="69"/>
        <v>Sinapi 1346</v>
      </c>
      <c r="I1133" s="101" t="str">
        <f t="shared" si="70"/>
        <v>M2</v>
      </c>
      <c r="J1133" s="140" t="str">
        <f t="shared" si="71"/>
        <v>CHAPA/PAINEL DE MADEIRA COMPENSADA PLASTIFICADA (MADEIRITE PLASTIFICADO) PARA FORMA DE CONCRETO, DE 2200 x 1100 MM, E = 10 MM</v>
      </c>
    </row>
    <row r="1134" spans="1:10" x14ac:dyDescent="0.25">
      <c r="A1134" s="169">
        <v>1347</v>
      </c>
      <c r="B1134" s="169" t="s">
        <v>24516</v>
      </c>
      <c r="C1134" s="169" t="s">
        <v>10226</v>
      </c>
      <c r="D1134" s="169" t="s">
        <v>1289</v>
      </c>
      <c r="E1134" s="103" t="s">
        <v>30039</v>
      </c>
      <c r="F1134" s="104"/>
      <c r="G1134" s="105">
        <f t="shared" si="68"/>
        <v>96.05</v>
      </c>
      <c r="H1134" s="101" t="str">
        <f t="shared" si="69"/>
        <v>Sinapi 1347</v>
      </c>
      <c r="I1134" s="101" t="str">
        <f t="shared" si="70"/>
        <v>M2</v>
      </c>
      <c r="J1134" s="140" t="str">
        <f t="shared" si="71"/>
        <v>CHAPA/PAINEL DE MADEIRA COMPENSADA PLASTIFICADA (MADEIRITE PLASTIFICADO) PARA FORMA DE CONCRETO, DE 2200 x 1100 MM, E = 12 MM</v>
      </c>
    </row>
    <row r="1135" spans="1:10" x14ac:dyDescent="0.25">
      <c r="A1135" s="169">
        <v>43678</v>
      </c>
      <c r="B1135" s="169" t="s">
        <v>24518</v>
      </c>
      <c r="C1135" s="169" t="s">
        <v>10226</v>
      </c>
      <c r="D1135" s="169" t="s">
        <v>1289</v>
      </c>
      <c r="E1135" s="103" t="s">
        <v>30040</v>
      </c>
      <c r="F1135" s="104"/>
      <c r="G1135" s="105">
        <f t="shared" si="68"/>
        <v>111.42</v>
      </c>
      <c r="H1135" s="101" t="str">
        <f t="shared" si="69"/>
        <v>Sinapi 43678</v>
      </c>
      <c r="I1135" s="101" t="str">
        <f t="shared" si="70"/>
        <v>M2</v>
      </c>
      <c r="J1135" s="140" t="str">
        <f t="shared" si="71"/>
        <v>CHAPA/PAINEL DE MADEIRA COMPENSADA PLASTIFICADA (MADEIRITE PLASTIFICADO) PARA FORMA DE CONCRETO, DE 2200 X 1100 MM, E = 14 MM</v>
      </c>
    </row>
    <row r="1136" spans="1:10" x14ac:dyDescent="0.25">
      <c r="A1136" s="169">
        <v>43680</v>
      </c>
      <c r="B1136" s="169" t="s">
        <v>24520</v>
      </c>
      <c r="C1136" s="169" t="s">
        <v>10226</v>
      </c>
      <c r="D1136" s="169" t="s">
        <v>1289</v>
      </c>
      <c r="E1136" s="103" t="s">
        <v>30041</v>
      </c>
      <c r="F1136" s="104"/>
      <c r="G1136" s="105">
        <f t="shared" si="68"/>
        <v>160.5</v>
      </c>
      <c r="H1136" s="101" t="str">
        <f t="shared" si="69"/>
        <v>Sinapi 43680</v>
      </c>
      <c r="I1136" s="101" t="str">
        <f t="shared" si="70"/>
        <v>M2</v>
      </c>
      <c r="J1136" s="140" t="str">
        <f t="shared" si="71"/>
        <v>CHAPA/PAINEL DE MADEIRA COMPENSADA PLASTIFICADA (MADEIRITE PLASTIFICADO) PARA FORMA DE CONCRETO, DE 2200 X 1100 MM, E = 20 MM</v>
      </c>
    </row>
    <row r="1137" spans="1:10" x14ac:dyDescent="0.25">
      <c r="A1137" s="169">
        <v>43679</v>
      </c>
      <c r="B1137" s="169" t="s">
        <v>24521</v>
      </c>
      <c r="C1137" s="169" t="s">
        <v>10226</v>
      </c>
      <c r="D1137" s="169" t="s">
        <v>1289</v>
      </c>
      <c r="E1137" s="103" t="s">
        <v>30042</v>
      </c>
      <c r="F1137" s="104"/>
      <c r="G1137" s="105">
        <f t="shared" si="68"/>
        <v>56.33</v>
      </c>
      <c r="H1137" s="101" t="str">
        <f t="shared" si="69"/>
        <v>Sinapi 43679</v>
      </c>
      <c r="I1137" s="101" t="str">
        <f t="shared" si="70"/>
        <v>M2</v>
      </c>
      <c r="J1137" s="140" t="str">
        <f t="shared" si="71"/>
        <v>CHAPA/PAINEL DE MADEIRA COMPENSADA PLASTIFICADA (MADEIRITE PLASTIFICADO) PARA FORMA DE CONCRETO, DE 2200 X 1100 MM, E = 6 MM</v>
      </c>
    </row>
    <row r="1138" spans="1:10" x14ac:dyDescent="0.25">
      <c r="A1138" s="169">
        <v>1355</v>
      </c>
      <c r="B1138" s="169" t="s">
        <v>24522</v>
      </c>
      <c r="C1138" s="169" t="s">
        <v>10226</v>
      </c>
      <c r="D1138" s="169" t="s">
        <v>1289</v>
      </c>
      <c r="E1138" s="103" t="s">
        <v>30043</v>
      </c>
      <c r="F1138" s="104"/>
      <c r="G1138" s="105">
        <f t="shared" si="68"/>
        <v>64.099999999999994</v>
      </c>
      <c r="H1138" s="101" t="str">
        <f t="shared" si="69"/>
        <v>Sinapi 1355</v>
      </c>
      <c r="I1138" s="101" t="str">
        <f t="shared" si="70"/>
        <v>M2</v>
      </c>
      <c r="J1138" s="140" t="str">
        <f t="shared" si="71"/>
        <v>CHAPA/PAINEL DE MADEIRA COMPENSADA RESINADA (MADEIRITE RESINADO ROSA) PARA FORMA DE CONCRETO, DE 2200 x 1100 MM, E = 14 MM</v>
      </c>
    </row>
    <row r="1139" spans="1:10" x14ac:dyDescent="0.25">
      <c r="A1139" s="169">
        <v>1358</v>
      </c>
      <c r="B1139" s="169" t="s">
        <v>24523</v>
      </c>
      <c r="C1139" s="169" t="s">
        <v>10226</v>
      </c>
      <c r="D1139" s="169" t="s">
        <v>1289</v>
      </c>
      <c r="E1139" s="103" t="s">
        <v>23242</v>
      </c>
      <c r="F1139" s="104"/>
      <c r="G1139" s="105">
        <f t="shared" si="68"/>
        <v>78.69</v>
      </c>
      <c r="H1139" s="101" t="str">
        <f t="shared" si="69"/>
        <v>Sinapi 1358</v>
      </c>
      <c r="I1139" s="101" t="str">
        <f t="shared" si="70"/>
        <v>M2</v>
      </c>
      <c r="J1139" s="140" t="str">
        <f t="shared" si="71"/>
        <v>CHAPA/PAINEL DE MADEIRA COMPENSADA RESINADA (MADEIRITE RESINADO ROSA) PARA FORMA DE CONCRETO, DE 2200 x 1100 MM, E = 17 MM</v>
      </c>
    </row>
    <row r="1140" spans="1:10" x14ac:dyDescent="0.25">
      <c r="A1140" s="169">
        <v>43681</v>
      </c>
      <c r="B1140" s="169" t="s">
        <v>24524</v>
      </c>
      <c r="C1140" s="169" t="s">
        <v>10226</v>
      </c>
      <c r="D1140" s="169" t="s">
        <v>1288</v>
      </c>
      <c r="E1140" s="103" t="s">
        <v>21901</v>
      </c>
      <c r="F1140" s="104"/>
      <c r="G1140" s="105">
        <f t="shared" si="68"/>
        <v>49.58</v>
      </c>
      <c r="H1140" s="101" t="str">
        <f t="shared" si="69"/>
        <v>Sinapi 43681</v>
      </c>
      <c r="I1140" s="101" t="str">
        <f t="shared" si="70"/>
        <v>M2</v>
      </c>
      <c r="J1140" s="140" t="str">
        <f t="shared" si="71"/>
        <v>CHAPA/PAINEL DE MADEIRA COMPENSADA RESINADA (MADEIRITE RESINADO ROSA) PARA FORMA DE CONCRETO, DE 2200 x 1100 MM, E = 8 A 12 MM</v>
      </c>
    </row>
    <row r="1141" spans="1:10" x14ac:dyDescent="0.25">
      <c r="A1141" s="169">
        <v>43677</v>
      </c>
      <c r="B1141" s="169" t="s">
        <v>24525</v>
      </c>
      <c r="C1141" s="169" t="s">
        <v>10226</v>
      </c>
      <c r="D1141" s="169" t="s">
        <v>1289</v>
      </c>
      <c r="E1141" s="103" t="s">
        <v>30044</v>
      </c>
      <c r="F1141" s="104"/>
      <c r="G1141" s="105">
        <f t="shared" si="68"/>
        <v>97.63</v>
      </c>
      <c r="H1141" s="101" t="str">
        <f t="shared" si="69"/>
        <v>Sinapi 43677</v>
      </c>
      <c r="I1141" s="101" t="str">
        <f t="shared" si="70"/>
        <v>M2</v>
      </c>
      <c r="J1141" s="140" t="str">
        <f t="shared" si="71"/>
        <v>CHAPA/PAINEL DE MADEIRA COMPENSADA RESINADA (MADEIRITE RESINADO ROSA) PARA FORMA DE CONCRETO, DE 2200 X 1100 MM, E = 20 MM</v>
      </c>
    </row>
    <row r="1142" spans="1:10" x14ac:dyDescent="0.25">
      <c r="A1142" s="169">
        <v>43682</v>
      </c>
      <c r="B1142" s="169" t="s">
        <v>24526</v>
      </c>
      <c r="C1142" s="169" t="s">
        <v>10226</v>
      </c>
      <c r="D1142" s="169" t="s">
        <v>1289</v>
      </c>
      <c r="E1142" s="103" t="s">
        <v>29867</v>
      </c>
      <c r="F1142" s="104"/>
      <c r="G1142" s="105">
        <f t="shared" si="68"/>
        <v>29.93</v>
      </c>
      <c r="H1142" s="101" t="str">
        <f t="shared" si="69"/>
        <v>Sinapi 43682</v>
      </c>
      <c r="I1142" s="101" t="str">
        <f t="shared" si="70"/>
        <v>M2</v>
      </c>
      <c r="J1142" s="140" t="str">
        <f t="shared" si="71"/>
        <v>CHAPA/PAINEL DE MADEIRA COMPENSADA RESINADA (MADEIRITE RESINADO ROSA) PARA FORMA DE CONCRETO, DE 2200 X 1100 MM, E = 6 MM</v>
      </c>
    </row>
    <row r="1143" spans="1:10" x14ac:dyDescent="0.25">
      <c r="A1143" s="169">
        <v>20971</v>
      </c>
      <c r="B1143" s="169" t="s">
        <v>24527</v>
      </c>
      <c r="C1143" s="169" t="s">
        <v>10225</v>
      </c>
      <c r="D1143" s="169" t="s">
        <v>1289</v>
      </c>
      <c r="E1143" s="103" t="s">
        <v>19896</v>
      </c>
      <c r="F1143" s="104"/>
      <c r="G1143" s="105">
        <f t="shared" si="68"/>
        <v>14.89</v>
      </c>
      <c r="H1143" s="101" t="str">
        <f t="shared" si="69"/>
        <v>Sinapi 20971</v>
      </c>
      <c r="I1143" s="101" t="str">
        <f t="shared" si="70"/>
        <v>UN</v>
      </c>
      <c r="J1143" s="140" t="str">
        <f t="shared" si="71"/>
        <v>CHAVE DUPLA PARA CONEXOES TIPO STORZ, ENGATE RAPIDO 1 1/2" X 2 1/2", EM LATAO, PARA INSTALACAO PREDIAL COMBATE A INCENDIO</v>
      </c>
    </row>
    <row r="1144" spans="1:10" x14ac:dyDescent="0.25">
      <c r="A1144" s="169">
        <v>39746</v>
      </c>
      <c r="B1144" s="169" t="s">
        <v>30045</v>
      </c>
      <c r="C1144" s="169" t="s">
        <v>10225</v>
      </c>
      <c r="D1144" s="169" t="s">
        <v>1290</v>
      </c>
      <c r="E1144" s="103" t="s">
        <v>21470</v>
      </c>
      <c r="F1144" s="104"/>
      <c r="G1144" s="105">
        <f t="shared" si="68"/>
        <v>94.44</v>
      </c>
      <c r="H1144" s="101" t="str">
        <f t="shared" si="69"/>
        <v>Sinapi 39746</v>
      </c>
      <c r="I1144" s="101" t="str">
        <f t="shared" si="70"/>
        <v>UN</v>
      </c>
      <c r="J1144" s="140" t="str">
        <f t="shared" si="71"/>
        <v>CHUMBADOR DE ACO GALVANIZADO, 1" X 600 MM, PARA POSTES DE ACO COM BASE, INCLUSO PORCA E ARRUELA</v>
      </c>
    </row>
    <row r="1145" spans="1:10" x14ac:dyDescent="0.25">
      <c r="A1145" s="169">
        <v>13279</v>
      </c>
      <c r="B1145" s="169" t="s">
        <v>24528</v>
      </c>
      <c r="C1145" s="169" t="s">
        <v>10231</v>
      </c>
      <c r="D1145" s="169" t="s">
        <v>1290</v>
      </c>
      <c r="E1145" s="103" t="s">
        <v>15650</v>
      </c>
      <c r="F1145" s="104"/>
      <c r="G1145" s="105">
        <f t="shared" si="68"/>
        <v>23.91</v>
      </c>
      <c r="H1145" s="101" t="str">
        <f t="shared" si="69"/>
        <v>Sinapi 13279</v>
      </c>
      <c r="I1145" s="101" t="str">
        <f t="shared" si="70"/>
        <v>KG</v>
      </c>
      <c r="J1145" s="140" t="str">
        <f t="shared" si="71"/>
        <v>CHUMBADOR DE ACO TIPO PARABOLT, * 5/8" X 200* MM, COM PORCA E ARRUELA</v>
      </c>
    </row>
    <row r="1146" spans="1:10" x14ac:dyDescent="0.25">
      <c r="A1146" s="169">
        <v>11977</v>
      </c>
      <c r="B1146" s="169" t="s">
        <v>24529</v>
      </c>
      <c r="C1146" s="169" t="s">
        <v>10225</v>
      </c>
      <c r="D1146" s="169" t="s">
        <v>1290</v>
      </c>
      <c r="E1146" s="103" t="s">
        <v>15506</v>
      </c>
      <c r="F1146" s="104"/>
      <c r="G1146" s="105">
        <f t="shared" si="68"/>
        <v>12.39</v>
      </c>
      <c r="H1146" s="101" t="str">
        <f t="shared" si="69"/>
        <v>Sinapi 11977</v>
      </c>
      <c r="I1146" s="101" t="str">
        <f t="shared" si="70"/>
        <v>UN</v>
      </c>
      <c r="J1146" s="140" t="str">
        <f t="shared" si="71"/>
        <v>CHUMBADOR DE ACO, DIAMETRO 1/2", COMPRIMENTO 75 MM</v>
      </c>
    </row>
    <row r="1147" spans="1:10" x14ac:dyDescent="0.25">
      <c r="A1147" s="169">
        <v>11975</v>
      </c>
      <c r="B1147" s="169" t="s">
        <v>24530</v>
      </c>
      <c r="C1147" s="169" t="s">
        <v>10225</v>
      </c>
      <c r="D1147" s="169" t="s">
        <v>1290</v>
      </c>
      <c r="E1147" s="103" t="s">
        <v>20372</v>
      </c>
      <c r="F1147" s="104"/>
      <c r="G1147" s="105">
        <f t="shared" si="68"/>
        <v>27.15</v>
      </c>
      <c r="H1147" s="101" t="str">
        <f t="shared" si="69"/>
        <v>Sinapi 11975</v>
      </c>
      <c r="I1147" s="101" t="str">
        <f t="shared" si="70"/>
        <v>UN</v>
      </c>
      <c r="J1147" s="140" t="str">
        <f t="shared" si="71"/>
        <v>CHUMBADOR DE ACO, DIAMETRO 5/8", COMPRIMENTO 6", COM PORCA</v>
      </c>
    </row>
    <row r="1148" spans="1:10" x14ac:dyDescent="0.25">
      <c r="A1148" s="169">
        <v>11976</v>
      </c>
      <c r="B1148" s="169" t="s">
        <v>24531</v>
      </c>
      <c r="C1148" s="169" t="s">
        <v>10225</v>
      </c>
      <c r="D1148" s="169" t="s">
        <v>1290</v>
      </c>
      <c r="E1148" s="103" t="s">
        <v>16295</v>
      </c>
      <c r="F1148" s="104"/>
      <c r="G1148" s="105">
        <f t="shared" si="68"/>
        <v>1.39</v>
      </c>
      <c r="H1148" s="101" t="str">
        <f t="shared" si="69"/>
        <v>Sinapi 11976</v>
      </c>
      <c r="I1148" s="101" t="str">
        <f t="shared" si="70"/>
        <v>UN</v>
      </c>
      <c r="J1148" s="140" t="str">
        <f t="shared" si="71"/>
        <v>CHUMBADOR, DIAMETRO 1/4" COM PARAFUSO 1/4" X 40 MM</v>
      </c>
    </row>
    <row r="1149" spans="1:10" x14ac:dyDescent="0.25">
      <c r="A1149" s="169">
        <v>1368</v>
      </c>
      <c r="B1149" s="169" t="s">
        <v>940</v>
      </c>
      <c r="C1149" s="169" t="s">
        <v>10225</v>
      </c>
      <c r="D1149" s="169" t="s">
        <v>1288</v>
      </c>
      <c r="E1149" s="103" t="s">
        <v>28536</v>
      </c>
      <c r="F1149" s="104"/>
      <c r="G1149" s="105">
        <f t="shared" si="68"/>
        <v>79.5</v>
      </c>
      <c r="H1149" s="101" t="str">
        <f t="shared" si="69"/>
        <v>Sinapi 1368</v>
      </c>
      <c r="I1149" s="101" t="str">
        <f t="shared" si="70"/>
        <v>UN</v>
      </c>
      <c r="J1149" s="140" t="str">
        <f t="shared" si="71"/>
        <v>CHUVEIRO COMUM EM PLASTICO BRANCO, COM CANO, 3 TEMPERATURAS, 5500 W (110/220 V)</v>
      </c>
    </row>
    <row r="1150" spans="1:10" x14ac:dyDescent="0.25">
      <c r="A1150" s="169">
        <v>1367</v>
      </c>
      <c r="B1150" s="169" t="s">
        <v>24533</v>
      </c>
      <c r="C1150" s="169" t="s">
        <v>10225</v>
      </c>
      <c r="D1150" s="169" t="s">
        <v>1289</v>
      </c>
      <c r="E1150" s="103" t="s">
        <v>30046</v>
      </c>
      <c r="F1150" s="104"/>
      <c r="G1150" s="105">
        <f t="shared" si="68"/>
        <v>257.16000000000003</v>
      </c>
      <c r="H1150" s="101" t="str">
        <f t="shared" si="69"/>
        <v>Sinapi 1367</v>
      </c>
      <c r="I1150" s="101" t="str">
        <f t="shared" si="70"/>
        <v>UN</v>
      </c>
      <c r="J1150" s="140" t="str">
        <f t="shared" si="71"/>
        <v>CHUVEIRO COMUM EM PLASTICO CROMADO, COM CANO, 4 TEMPERATURAS (110/220 V)</v>
      </c>
    </row>
    <row r="1151" spans="1:10" x14ac:dyDescent="0.25">
      <c r="A1151" s="169">
        <v>1380</v>
      </c>
      <c r="B1151" s="169" t="s">
        <v>24535</v>
      </c>
      <c r="C1151" s="169" t="s">
        <v>10231</v>
      </c>
      <c r="D1151" s="169" t="s">
        <v>1289</v>
      </c>
      <c r="E1151" s="103" t="s">
        <v>14897</v>
      </c>
      <c r="F1151" s="104"/>
      <c r="G1151" s="105">
        <f t="shared" si="68"/>
        <v>8.83</v>
      </c>
      <c r="H1151" s="101" t="str">
        <f t="shared" si="69"/>
        <v>Sinapi 1380</v>
      </c>
      <c r="I1151" s="101" t="str">
        <f t="shared" si="70"/>
        <v>KG</v>
      </c>
      <c r="J1151" s="140" t="str">
        <f t="shared" si="71"/>
        <v>CIMENTO BRANCO NAO ESTRUTURAL (CPB - NAO ESTRUTURAL)</v>
      </c>
    </row>
    <row r="1152" spans="1:10" x14ac:dyDescent="0.25">
      <c r="A1152" s="169">
        <v>1375</v>
      </c>
      <c r="B1152" s="169" t="s">
        <v>24536</v>
      </c>
      <c r="C1152" s="169" t="s">
        <v>10231</v>
      </c>
      <c r="D1152" s="169" t="s">
        <v>1289</v>
      </c>
      <c r="E1152" s="103" t="s">
        <v>28933</v>
      </c>
      <c r="F1152" s="104"/>
      <c r="G1152" s="105">
        <f t="shared" si="68"/>
        <v>20.28</v>
      </c>
      <c r="H1152" s="101" t="str">
        <f t="shared" si="69"/>
        <v>Sinapi 1375</v>
      </c>
      <c r="I1152" s="101" t="str">
        <f t="shared" si="70"/>
        <v>KG</v>
      </c>
      <c r="J1152" s="140" t="str">
        <f t="shared" si="71"/>
        <v>CIMENTO IMPERMEABILIZANTE DE PEGA ULTRARRAPIDA PARA TAMPONAMENTOS</v>
      </c>
    </row>
    <row r="1153" spans="1:10" x14ac:dyDescent="0.25">
      <c r="A1153" s="169">
        <v>1379</v>
      </c>
      <c r="B1153" s="169" t="s">
        <v>24537</v>
      </c>
      <c r="C1153" s="169" t="s">
        <v>10231</v>
      </c>
      <c r="D1153" s="169" t="s">
        <v>1288</v>
      </c>
      <c r="E1153" s="103" t="s">
        <v>17447</v>
      </c>
      <c r="F1153" s="104"/>
      <c r="G1153" s="105">
        <f t="shared" si="68"/>
        <v>1.32</v>
      </c>
      <c r="H1153" s="101" t="str">
        <f t="shared" si="69"/>
        <v>Sinapi 1379</v>
      </c>
      <c r="I1153" s="101" t="str">
        <f t="shared" si="70"/>
        <v>KG</v>
      </c>
      <c r="J1153" s="140" t="str">
        <f t="shared" si="71"/>
        <v>CIMENTO PORTLAND COMPOSTO CP II-32</v>
      </c>
    </row>
    <row r="1154" spans="1:10" x14ac:dyDescent="0.25">
      <c r="A1154" s="169">
        <v>13284</v>
      </c>
      <c r="B1154" s="169" t="s">
        <v>24538</v>
      </c>
      <c r="C1154" s="169" t="s">
        <v>10231</v>
      </c>
      <c r="D1154" s="169" t="s">
        <v>1289</v>
      </c>
      <c r="E1154" s="103" t="s">
        <v>17948</v>
      </c>
      <c r="F1154" s="104"/>
      <c r="G1154" s="105">
        <f t="shared" si="68"/>
        <v>1.19</v>
      </c>
      <c r="H1154" s="101" t="str">
        <f t="shared" si="69"/>
        <v>Sinapi 13284</v>
      </c>
      <c r="I1154" s="101" t="str">
        <f t="shared" si="70"/>
        <v>KG</v>
      </c>
      <c r="J1154" s="140" t="str">
        <f t="shared" si="71"/>
        <v>CIMENTO PORTLAND DE ALTO FORNO (AF) CP III-40</v>
      </c>
    </row>
    <row r="1155" spans="1:10" x14ac:dyDescent="0.25">
      <c r="A1155" s="169">
        <v>44528</v>
      </c>
      <c r="B1155" s="169" t="s">
        <v>24539</v>
      </c>
      <c r="C1155" s="169" t="s">
        <v>10231</v>
      </c>
      <c r="D1155" s="169" t="s">
        <v>1289</v>
      </c>
      <c r="E1155" s="103" t="s">
        <v>14626</v>
      </c>
      <c r="F1155" s="104"/>
      <c r="G1155" s="105">
        <f t="shared" si="68"/>
        <v>7.03</v>
      </c>
      <c r="H1155" s="101" t="str">
        <f t="shared" si="69"/>
        <v>Sinapi 44528</v>
      </c>
      <c r="I1155" s="101" t="str">
        <f t="shared" si="70"/>
        <v>KG</v>
      </c>
      <c r="J1155" s="140" t="str">
        <f t="shared" si="71"/>
        <v>CIMENTO PORTLAND ESTRUTURAL BRANCO CPB - 32 ou CPB - 40</v>
      </c>
    </row>
    <row r="1156" spans="1:10" x14ac:dyDescent="0.25">
      <c r="A1156" s="169">
        <v>34753</v>
      </c>
      <c r="B1156" s="169" t="s">
        <v>24540</v>
      </c>
      <c r="C1156" s="169" t="s">
        <v>10231</v>
      </c>
      <c r="D1156" s="169" t="s">
        <v>1289</v>
      </c>
      <c r="E1156" s="103" t="s">
        <v>9557</v>
      </c>
      <c r="F1156" s="104"/>
      <c r="G1156" s="105">
        <f t="shared" si="68"/>
        <v>1.28</v>
      </c>
      <c r="H1156" s="101" t="str">
        <f t="shared" si="69"/>
        <v>Sinapi 34753</v>
      </c>
      <c r="I1156" s="101" t="str">
        <f t="shared" si="70"/>
        <v>KG</v>
      </c>
      <c r="J1156" s="140" t="str">
        <f t="shared" si="71"/>
        <v>CIMENTO PORTLAND POZOLANICO CP IV-32</v>
      </c>
    </row>
    <row r="1157" spans="1:10" x14ac:dyDescent="0.25">
      <c r="A1157" s="169">
        <v>420</v>
      </c>
      <c r="B1157" s="169" t="s">
        <v>24541</v>
      </c>
      <c r="C1157" s="169" t="s">
        <v>10225</v>
      </c>
      <c r="D1157" s="169" t="s">
        <v>1289</v>
      </c>
      <c r="E1157" s="103" t="s">
        <v>30047</v>
      </c>
      <c r="F1157" s="104"/>
      <c r="G1157" s="105">
        <f t="shared" si="68"/>
        <v>25.39</v>
      </c>
      <c r="H1157" s="101" t="str">
        <f t="shared" si="69"/>
        <v>Sinapi 420</v>
      </c>
      <c r="I1157" s="101" t="str">
        <f t="shared" si="70"/>
        <v>UN</v>
      </c>
      <c r="J1157" s="140" t="str">
        <f t="shared" si="71"/>
        <v>CINTA CIRCULAR EM ACO GALVANIZADO DE 150 MM DE DIAMETRO PARA FIXACAO DE CAIXA MEDICAO, INCLUI PARAFUSOS E PORCAS</v>
      </c>
    </row>
    <row r="1158" spans="1:10" x14ac:dyDescent="0.25">
      <c r="A1158" s="169">
        <v>12327</v>
      </c>
      <c r="B1158" s="169" t="s">
        <v>24542</v>
      </c>
      <c r="C1158" s="169" t="s">
        <v>10225</v>
      </c>
      <c r="D1158" s="169" t="s">
        <v>1289</v>
      </c>
      <c r="E1158" s="103" t="s">
        <v>18712</v>
      </c>
      <c r="F1158" s="104"/>
      <c r="G1158" s="105">
        <f t="shared" si="68"/>
        <v>30.24</v>
      </c>
      <c r="H1158" s="101" t="str">
        <f t="shared" si="69"/>
        <v>Sinapi 12327</v>
      </c>
      <c r="I1158" s="101" t="str">
        <f t="shared" si="70"/>
        <v>UN</v>
      </c>
      <c r="J1158" s="140" t="str">
        <f t="shared" si="71"/>
        <v>CINTA CIRCULAR EM ACO GALVANIZADO DE 210 MM DE DIAMETRO PARA INSTALACAO DE TRANSFORMADOR EM POSTE DE CONCRETO</v>
      </c>
    </row>
    <row r="1159" spans="1:10" x14ac:dyDescent="0.25">
      <c r="A1159" s="169">
        <v>36148</v>
      </c>
      <c r="B1159" s="169" t="s">
        <v>24543</v>
      </c>
      <c r="C1159" s="169" t="s">
        <v>10225</v>
      </c>
      <c r="D1159" s="169" t="s">
        <v>1289</v>
      </c>
      <c r="E1159" s="103" t="s">
        <v>29799</v>
      </c>
      <c r="F1159" s="104"/>
      <c r="G1159" s="105">
        <f t="shared" si="68"/>
        <v>70.08</v>
      </c>
      <c r="H1159" s="101" t="str">
        <f t="shared" si="69"/>
        <v>Sinapi 36148</v>
      </c>
      <c r="I1159" s="101" t="str">
        <f t="shared" si="70"/>
        <v>UN</v>
      </c>
      <c r="J1159" s="140" t="str">
        <f t="shared" si="71"/>
        <v>CINTURAO DE SEGURANCA TIPO PARAQUEDISTA, FIVELA EM ACO, AJUSTE NO SUSPENSARIO, CINTURA E PERNAS</v>
      </c>
    </row>
    <row r="1160" spans="1:10" x14ac:dyDescent="0.25">
      <c r="A1160" s="169">
        <v>12329</v>
      </c>
      <c r="B1160" s="169" t="s">
        <v>24544</v>
      </c>
      <c r="C1160" s="169" t="s">
        <v>10231</v>
      </c>
      <c r="D1160" s="169" t="s">
        <v>1289</v>
      </c>
      <c r="E1160" s="103" t="s">
        <v>30008</v>
      </c>
      <c r="F1160" s="104"/>
      <c r="G1160" s="105">
        <f t="shared" ref="G1160:G1223" si="72">IF(E1160="","",E1160+0)</f>
        <v>137.76</v>
      </c>
      <c r="H1160" s="101" t="str">
        <f t="shared" ref="H1160:H1223" si="73">IF(G1160="","",TRIM(CONCATENATE("Sinapi ",A1160)))</f>
        <v>Sinapi 12329</v>
      </c>
      <c r="I1160" s="101" t="str">
        <f t="shared" ref="I1160:I1223" si="74">TRIM(C1160)</f>
        <v>KG</v>
      </c>
      <c r="J1160" s="140" t="str">
        <f t="shared" si="71"/>
        <v>COBRE ELETROLITICO EM BARRA OU CHAPA</v>
      </c>
    </row>
    <row r="1161" spans="1:10" x14ac:dyDescent="0.25">
      <c r="A1161" s="169">
        <v>1339</v>
      </c>
      <c r="B1161" s="169" t="s">
        <v>24545</v>
      </c>
      <c r="C1161" s="169" t="s">
        <v>10231</v>
      </c>
      <c r="D1161" s="169" t="s">
        <v>1290</v>
      </c>
      <c r="E1161" s="103" t="s">
        <v>20110</v>
      </c>
      <c r="F1161" s="104"/>
      <c r="G1161" s="105">
        <f t="shared" si="72"/>
        <v>62.3</v>
      </c>
      <c r="H1161" s="101" t="str">
        <f t="shared" si="73"/>
        <v>Sinapi 1339</v>
      </c>
      <c r="I1161" s="101" t="str">
        <f t="shared" si="74"/>
        <v>KG</v>
      </c>
      <c r="J1161" s="140" t="str">
        <f t="shared" ref="J1161:J1224" si="75">TRIM(B1161)</f>
        <v>COLA A BASE DE RESINA SINTETICA PARA CHAPA DE LAMINADO MELAMINICO</v>
      </c>
    </row>
    <row r="1162" spans="1:10" x14ac:dyDescent="0.25">
      <c r="A1162" s="169">
        <v>44396</v>
      </c>
      <c r="B1162" s="169" t="s">
        <v>1103</v>
      </c>
      <c r="C1162" s="169" t="s">
        <v>10231</v>
      </c>
      <c r="D1162" s="169" t="s">
        <v>1289</v>
      </c>
      <c r="E1162" s="103" t="s">
        <v>30048</v>
      </c>
      <c r="F1162" s="104"/>
      <c r="G1162" s="105">
        <f t="shared" si="72"/>
        <v>41.12</v>
      </c>
      <c r="H1162" s="101" t="str">
        <f t="shared" si="73"/>
        <v>Sinapi 44396</v>
      </c>
      <c r="I1162" s="101" t="str">
        <f t="shared" si="74"/>
        <v>KG</v>
      </c>
      <c r="J1162" s="140" t="str">
        <f t="shared" si="75"/>
        <v>COLA BRANCA BASE PVA</v>
      </c>
    </row>
    <row r="1163" spans="1:10" x14ac:dyDescent="0.25">
      <c r="A1163" s="169">
        <v>44327</v>
      </c>
      <c r="B1163" s="169" t="s">
        <v>24546</v>
      </c>
      <c r="C1163" s="169" t="s">
        <v>10230</v>
      </c>
      <c r="D1163" s="169" t="s">
        <v>1289</v>
      </c>
      <c r="E1163" s="103" t="s">
        <v>30049</v>
      </c>
      <c r="F1163" s="104"/>
      <c r="G1163" s="105">
        <f t="shared" si="72"/>
        <v>139.85</v>
      </c>
      <c r="H1163" s="101" t="str">
        <f t="shared" si="73"/>
        <v>Sinapi 44327</v>
      </c>
      <c r="I1163" s="101" t="str">
        <f t="shared" si="74"/>
        <v>L</v>
      </c>
      <c r="J1163" s="140" t="str">
        <f t="shared" si="75"/>
        <v>COLA PARA TUBOS E MANTAS ELASTOMERICAS, A BASE DE SOLVENTE</v>
      </c>
    </row>
    <row r="1164" spans="1:10" x14ac:dyDescent="0.25">
      <c r="A1164" s="169">
        <v>37418</v>
      </c>
      <c r="B1164" s="169" t="s">
        <v>24548</v>
      </c>
      <c r="C1164" s="169" t="s">
        <v>10225</v>
      </c>
      <c r="D1164" s="169" t="s">
        <v>1290</v>
      </c>
      <c r="E1164" s="103" t="s">
        <v>19344</v>
      </c>
      <c r="F1164" s="104"/>
      <c r="G1164" s="105">
        <f t="shared" si="72"/>
        <v>15.92</v>
      </c>
      <c r="H1164" s="101" t="str">
        <f t="shared" si="73"/>
        <v>Sinapi 37418</v>
      </c>
      <c r="I1164" s="101" t="str">
        <f t="shared" si="74"/>
        <v>UN</v>
      </c>
      <c r="J1164" s="140" t="str">
        <f t="shared" si="75"/>
        <v>COLAR DE TOMADA EM POLIPROPILENO, PP, COM PARAFUSOS, PARA PEAD, 63 X 1/2" - LIGACAO PREDIAL DE AGUA</v>
      </c>
    </row>
    <row r="1165" spans="1:10" x14ac:dyDescent="0.25">
      <c r="A1165" s="169">
        <v>37419</v>
      </c>
      <c r="B1165" s="169" t="s">
        <v>24549</v>
      </c>
      <c r="C1165" s="169" t="s">
        <v>10225</v>
      </c>
      <c r="D1165" s="169" t="s">
        <v>1290</v>
      </c>
      <c r="E1165" s="103" t="s">
        <v>28686</v>
      </c>
      <c r="F1165" s="104"/>
      <c r="G1165" s="105">
        <f t="shared" si="72"/>
        <v>16.350000000000001</v>
      </c>
      <c r="H1165" s="101" t="str">
        <f t="shared" si="73"/>
        <v>Sinapi 37419</v>
      </c>
      <c r="I1165" s="101" t="str">
        <f t="shared" si="74"/>
        <v>UN</v>
      </c>
      <c r="J1165" s="140" t="str">
        <f t="shared" si="75"/>
        <v>COLAR DE TOMADA EM POLIPROPILENO, PP, COM PARAFUSOS, PARA PEAD, 63 X 3/4" - LIGACAO PREDIAL DE AGUA</v>
      </c>
    </row>
    <row r="1166" spans="1:10" x14ac:dyDescent="0.25">
      <c r="A1166" s="169">
        <v>1427</v>
      </c>
      <c r="B1166" s="169" t="s">
        <v>24550</v>
      </c>
      <c r="C1166" s="169" t="s">
        <v>10225</v>
      </c>
      <c r="D1166" s="169" t="s">
        <v>1289</v>
      </c>
      <c r="E1166" s="103" t="s">
        <v>21383</v>
      </c>
      <c r="F1166" s="104"/>
      <c r="G1166" s="105">
        <f t="shared" si="72"/>
        <v>30.65</v>
      </c>
      <c r="H1166" s="101" t="str">
        <f t="shared" si="73"/>
        <v>Sinapi 1427</v>
      </c>
      <c r="I1166" s="101" t="str">
        <f t="shared" si="74"/>
        <v>UN</v>
      </c>
      <c r="J1166" s="140" t="str">
        <f t="shared" si="75"/>
        <v>COLAR TOMADA PVC, COM TRAVAS, SAIDA COM ROSCA, DE 110 MM X 1/2" OU 110 MM X 3/4", PARA LIGACAO PREDIAL DE AGUA</v>
      </c>
    </row>
    <row r="1167" spans="1:10" x14ac:dyDescent="0.25">
      <c r="A1167" s="169">
        <v>1402</v>
      </c>
      <c r="B1167" s="169" t="s">
        <v>24551</v>
      </c>
      <c r="C1167" s="169" t="s">
        <v>10225</v>
      </c>
      <c r="D1167" s="169" t="s">
        <v>1289</v>
      </c>
      <c r="E1167" s="103" t="s">
        <v>16382</v>
      </c>
      <c r="F1167" s="104"/>
      <c r="G1167" s="105">
        <f t="shared" si="72"/>
        <v>10.61</v>
      </c>
      <c r="H1167" s="101" t="str">
        <f t="shared" si="73"/>
        <v>Sinapi 1402</v>
      </c>
      <c r="I1167" s="101" t="str">
        <f t="shared" si="74"/>
        <v>UN</v>
      </c>
      <c r="J1167" s="140" t="str">
        <f t="shared" si="75"/>
        <v>COLAR TOMADA PVC, COM TRAVAS, SAIDA COM ROSCA, DE 32 MM X 1/2" OU 32 MM X 3/4", PARA LIGACAO PREDIAL DE AGUA</v>
      </c>
    </row>
    <row r="1168" spans="1:10" x14ac:dyDescent="0.25">
      <c r="A1168" s="169">
        <v>1420</v>
      </c>
      <c r="B1168" s="169" t="s">
        <v>24552</v>
      </c>
      <c r="C1168" s="169" t="s">
        <v>10225</v>
      </c>
      <c r="D1168" s="169" t="s">
        <v>1289</v>
      </c>
      <c r="E1168" s="103" t="s">
        <v>11625</v>
      </c>
      <c r="F1168" s="104"/>
      <c r="G1168" s="105">
        <f t="shared" si="72"/>
        <v>13.64</v>
      </c>
      <c r="H1168" s="101" t="str">
        <f t="shared" si="73"/>
        <v>Sinapi 1420</v>
      </c>
      <c r="I1168" s="101" t="str">
        <f t="shared" si="74"/>
        <v>UN</v>
      </c>
      <c r="J1168" s="140" t="str">
        <f t="shared" si="75"/>
        <v>COLAR TOMADA PVC, COM TRAVAS, SAIDA COM ROSCA, DE 40 MM X 1/2" OU 40 MM X 3/4", PARA LIGACAO PREDIAL DE AGUA</v>
      </c>
    </row>
    <row r="1169" spans="1:10" x14ac:dyDescent="0.25">
      <c r="A1169" s="169">
        <v>1419</v>
      </c>
      <c r="B1169" s="169" t="s">
        <v>24553</v>
      </c>
      <c r="C1169" s="169" t="s">
        <v>10225</v>
      </c>
      <c r="D1169" s="169" t="s">
        <v>1289</v>
      </c>
      <c r="E1169" s="103" t="s">
        <v>6050</v>
      </c>
      <c r="F1169" s="104"/>
      <c r="G1169" s="105">
        <f t="shared" si="72"/>
        <v>16.48</v>
      </c>
      <c r="H1169" s="101" t="str">
        <f t="shared" si="73"/>
        <v>Sinapi 1419</v>
      </c>
      <c r="I1169" s="101" t="str">
        <f t="shared" si="74"/>
        <v>UN</v>
      </c>
      <c r="J1169" s="140" t="str">
        <f t="shared" si="75"/>
        <v>COLAR TOMADA PVC, COM TRAVAS, SAIDA COM ROSCA, DE 50 MM X 1/2" OU 50 MM X 3/4", PARA LIGACAO PREDIAL DE AGUA</v>
      </c>
    </row>
    <row r="1170" spans="1:10" x14ac:dyDescent="0.25">
      <c r="A1170" s="169">
        <v>1414</v>
      </c>
      <c r="B1170" s="169" t="s">
        <v>24554</v>
      </c>
      <c r="C1170" s="169" t="s">
        <v>10225</v>
      </c>
      <c r="D1170" s="169" t="s">
        <v>1289</v>
      </c>
      <c r="E1170" s="103" t="s">
        <v>30050</v>
      </c>
      <c r="F1170" s="104"/>
      <c r="G1170" s="105">
        <f t="shared" si="72"/>
        <v>16.12</v>
      </c>
      <c r="H1170" s="101" t="str">
        <f t="shared" si="73"/>
        <v>Sinapi 1414</v>
      </c>
      <c r="I1170" s="101" t="str">
        <f t="shared" si="74"/>
        <v>UN</v>
      </c>
      <c r="J1170" s="140" t="str">
        <f t="shared" si="75"/>
        <v>COLAR TOMADA PVC, COM TRAVAS, SAIDA COM ROSCA, DE 60 MM X 1/2" OU 60 MM X 3/4", PARA LIGACAO PREDIAL DE AGUA</v>
      </c>
    </row>
    <row r="1171" spans="1:10" x14ac:dyDescent="0.25">
      <c r="A1171" s="169">
        <v>1413</v>
      </c>
      <c r="B1171" s="169" t="s">
        <v>24555</v>
      </c>
      <c r="C1171" s="169" t="s">
        <v>10225</v>
      </c>
      <c r="D1171" s="169" t="s">
        <v>1289</v>
      </c>
      <c r="E1171" s="103" t="s">
        <v>16367</v>
      </c>
      <c r="F1171" s="104"/>
      <c r="G1171" s="105">
        <f t="shared" si="72"/>
        <v>23.81</v>
      </c>
      <c r="H1171" s="101" t="str">
        <f t="shared" si="73"/>
        <v>Sinapi 1413</v>
      </c>
      <c r="I1171" s="101" t="str">
        <f t="shared" si="74"/>
        <v>UN</v>
      </c>
      <c r="J1171" s="140" t="str">
        <f t="shared" si="75"/>
        <v>COLAR TOMADA PVC, COM TRAVAS, SAIDA COM ROSCA, DE 75 MM X 1/2" OU 75 MM X 3/4", PARA LIGACAO PREDIAL DE AGUA</v>
      </c>
    </row>
    <row r="1172" spans="1:10" x14ac:dyDescent="0.25">
      <c r="A1172" s="169">
        <v>1412</v>
      </c>
      <c r="B1172" s="169" t="s">
        <v>24556</v>
      </c>
      <c r="C1172" s="169" t="s">
        <v>10225</v>
      </c>
      <c r="D1172" s="169" t="s">
        <v>1289</v>
      </c>
      <c r="E1172" s="103" t="s">
        <v>30051</v>
      </c>
      <c r="F1172" s="104"/>
      <c r="G1172" s="105">
        <f t="shared" si="72"/>
        <v>20.170000000000002</v>
      </c>
      <c r="H1172" s="101" t="str">
        <f t="shared" si="73"/>
        <v>Sinapi 1412</v>
      </c>
      <c r="I1172" s="101" t="str">
        <f t="shared" si="74"/>
        <v>UN</v>
      </c>
      <c r="J1172" s="140" t="str">
        <f t="shared" si="75"/>
        <v>COLAR TOMADA PVC, COM TRAVAS, SAIDA COM ROSCA, DE 85 MM X 1/2" OU 85 MM X 3/4", PARA LIGACAO PREDIAL DE AGUA</v>
      </c>
    </row>
    <row r="1173" spans="1:10" x14ac:dyDescent="0.25">
      <c r="A1173" s="169">
        <v>1406</v>
      </c>
      <c r="B1173" s="169" t="s">
        <v>24557</v>
      </c>
      <c r="C1173" s="169" t="s">
        <v>10225</v>
      </c>
      <c r="D1173" s="169" t="s">
        <v>1289</v>
      </c>
      <c r="E1173" s="103" t="s">
        <v>17939</v>
      </c>
      <c r="F1173" s="104"/>
      <c r="G1173" s="105">
        <f t="shared" si="72"/>
        <v>24.34</v>
      </c>
      <c r="H1173" s="101" t="str">
        <f t="shared" si="73"/>
        <v>Sinapi 1406</v>
      </c>
      <c r="I1173" s="101" t="str">
        <f t="shared" si="74"/>
        <v>UN</v>
      </c>
      <c r="J1173" s="140" t="str">
        <f t="shared" si="75"/>
        <v>COLAR TOMADA PVC, COM TRAVAS, SAIDA ROSCAVEL COM BUCHA DE LATAO, DE 60 MM X 1/2" OU 60 MM X 3/4", PARA LIGACAO PREDIAL DE AGUA</v>
      </c>
    </row>
    <row r="1174" spans="1:10" x14ac:dyDescent="0.25">
      <c r="A1174" s="169">
        <v>11281</v>
      </c>
      <c r="B1174" s="169" t="s">
        <v>24558</v>
      </c>
      <c r="C1174" s="169" t="s">
        <v>10225</v>
      </c>
      <c r="D1174" s="169" t="s">
        <v>1290</v>
      </c>
      <c r="E1174" s="103" t="s">
        <v>30052</v>
      </c>
      <c r="F1174" s="104"/>
      <c r="G1174" s="105">
        <f t="shared" si="72"/>
        <v>10699</v>
      </c>
      <c r="H1174" s="101" t="str">
        <f t="shared" si="73"/>
        <v>Sinapi 11281</v>
      </c>
      <c r="I1174" s="101" t="str">
        <f t="shared" si="74"/>
        <v>UN</v>
      </c>
      <c r="J1174" s="140" t="str">
        <f t="shared" si="75"/>
        <v>COMPACTADOR DE SOLO A PERCUSSAO (SOQUETE), A GASOLINA 4 TEMPOS, PESO 55 A 65 KG, FORCA DE IMPACTO 1.000 A 1.500 KGF, FREQ. 600 A 700 GOLPES P/ MINUTO, VELOCIDADE TRABALHO DE 10 A 15 M/MIN, POT. DE 2,00 A 3,00 HP</v>
      </c>
    </row>
    <row r="1175" spans="1:10" x14ac:dyDescent="0.25">
      <c r="A1175" s="169">
        <v>1442</v>
      </c>
      <c r="B1175" s="169" t="s">
        <v>24559</v>
      </c>
      <c r="C1175" s="169" t="s">
        <v>10225</v>
      </c>
      <c r="D1175" s="169" t="s">
        <v>1290</v>
      </c>
      <c r="E1175" s="103" t="s">
        <v>30053</v>
      </c>
      <c r="F1175" s="104"/>
      <c r="G1175" s="105">
        <f t="shared" si="72"/>
        <v>8981.73</v>
      </c>
      <c r="H1175" s="101" t="str">
        <f t="shared" si="73"/>
        <v>Sinapi 1442</v>
      </c>
      <c r="I1175" s="101" t="str">
        <f t="shared" si="74"/>
        <v>UN</v>
      </c>
      <c r="J1175" s="140" t="str">
        <f t="shared" si="75"/>
        <v>COMPACTADOR DE SOLO TIPO PLACA VIBRATORIA REVERSIVEL, A GASOLINA 4 TEMPOS, PESO 125 A 150 KG, FORCA CENTRIF. 2500 A 2800 KGF, LARG. TRABALHO 400 A 450 MM, FREQ. VIBRACAO 4300 A 4500 RPM, VELOC. TRABALHO 15 A 20 M/MIN, POT. 5,5 A 6,0 HP</v>
      </c>
    </row>
    <row r="1176" spans="1:10" x14ac:dyDescent="0.25">
      <c r="A1176" s="169">
        <v>13457</v>
      </c>
      <c r="B1176" s="169" t="s">
        <v>24560</v>
      </c>
      <c r="C1176" s="169" t="s">
        <v>10225</v>
      </c>
      <c r="D1176" s="169" t="s">
        <v>1290</v>
      </c>
      <c r="E1176" s="103" t="s">
        <v>30054</v>
      </c>
      <c r="F1176" s="104"/>
      <c r="G1176" s="105">
        <f t="shared" si="72"/>
        <v>7752.89</v>
      </c>
      <c r="H1176" s="101" t="str">
        <f t="shared" si="73"/>
        <v>Sinapi 13457</v>
      </c>
      <c r="I1176" s="101" t="str">
        <f t="shared" si="74"/>
        <v>UN</v>
      </c>
      <c r="J1176" s="140" t="str">
        <f t="shared" si="75"/>
        <v>COMPACTADOR DE SOLO TIPO PLACA VIBRATORIA REVERSIVEL, A GASOLINA 4 TEMPOS, PESO 150 A 175 KG, FORCA CENTRIF. 2800 A 3100 KGF, LARG. TRABALHO DE 450 A 520 MM, FREQ. VIBRACAO 4000 A 4300 RPM, VELOC. TRABALHO DE 15 A 20 M/MIN, POT. DE 6,0 A 7,0 HP</v>
      </c>
    </row>
    <row r="1177" spans="1:10" x14ac:dyDescent="0.25">
      <c r="A1177" s="169">
        <v>40699</v>
      </c>
      <c r="B1177" s="169" t="s">
        <v>24561</v>
      </c>
      <c r="C1177" s="169" t="s">
        <v>10225</v>
      </c>
      <c r="D1177" s="169" t="s">
        <v>1290</v>
      </c>
      <c r="E1177" s="103" t="s">
        <v>30055</v>
      </c>
      <c r="F1177" s="104"/>
      <c r="G1177" s="105">
        <f t="shared" si="72"/>
        <v>5993.28</v>
      </c>
      <c r="H1177" s="101" t="str">
        <f t="shared" si="73"/>
        <v>Sinapi 40699</v>
      </c>
      <c r="I1177" s="101" t="str">
        <f t="shared" si="74"/>
        <v>UN</v>
      </c>
      <c r="J1177" s="140" t="str">
        <f t="shared" si="75"/>
        <v>COMPACTADOR DE SOLO, TIPO PLACA VIBRATORIA NAO REVERSIVEL, A GASOLINA 4 TEMPOS, PESO 80 A 120 KG, FORCA CENTRIF. DE 1300 A 2000 KGF, LARG. TRABALHO DE 400 A 500 MM, FREQ. VIBRACAO DE 4800 A 6000 RPM, VELOCIDADE TRABALHO DE 20 A 30 M/MIN, POT. DE 5,0 A 6,0 HP</v>
      </c>
    </row>
    <row r="1178" spans="1:10" x14ac:dyDescent="0.25">
      <c r="A1178" s="169">
        <v>40701</v>
      </c>
      <c r="B1178" s="169" t="s">
        <v>24562</v>
      </c>
      <c r="C1178" s="169" t="s">
        <v>10225</v>
      </c>
      <c r="D1178" s="169" t="s">
        <v>1290</v>
      </c>
      <c r="E1178" s="103" t="s">
        <v>30056</v>
      </c>
      <c r="F1178" s="104"/>
      <c r="G1178" s="105">
        <f t="shared" si="72"/>
        <v>105969.48</v>
      </c>
      <c r="H1178" s="101" t="str">
        <f t="shared" si="73"/>
        <v>Sinapi 40701</v>
      </c>
      <c r="I1178" s="101" t="str">
        <f t="shared" si="74"/>
        <v>UN</v>
      </c>
      <c r="J1178" s="140" t="str">
        <f t="shared" si="75"/>
        <v>COMPACTADOR DE SOLO, TIPO PLACA VIBRATORIA REVERSIVEL, A DIESEL, PESO 700 A 820 KG, FORCA CENTRIF. DE 6.200 A 10.000 KGF, LARG. TRABALHO DE 650 A 720 MM, FREQ. VIBRACAO DE 3.000 A 3.500 RPM, VELOCIDADE TRABALHO DE 25 A 30 M/MIN, POT. DE 13,0 A 15,0 HP</v>
      </c>
    </row>
    <row r="1179" spans="1:10" x14ac:dyDescent="0.25">
      <c r="A1179" s="169">
        <v>40700</v>
      </c>
      <c r="B1179" s="169" t="s">
        <v>24563</v>
      </c>
      <c r="C1179" s="169" t="s">
        <v>10225</v>
      </c>
      <c r="D1179" s="169" t="s">
        <v>1290</v>
      </c>
      <c r="E1179" s="103" t="s">
        <v>30057</v>
      </c>
      <c r="F1179" s="104"/>
      <c r="G1179" s="105">
        <f t="shared" si="72"/>
        <v>13951.58</v>
      </c>
      <c r="H1179" s="101" t="str">
        <f t="shared" si="73"/>
        <v>Sinapi 40700</v>
      </c>
      <c r="I1179" s="101" t="str">
        <f t="shared" si="74"/>
        <v>UN</v>
      </c>
      <c r="J1179" s="140" t="str">
        <f t="shared" si="75"/>
        <v>COMPACTADOR DE SOLO, TIPO PLACA VIBRATORIA REVERSIVEL, A GASOLINA 4 TEMPOS, PESO 160 A 265 KG, FORCA CENTRIF. DE 2750 A 4000 KGF, LARG. TRABALHO DE 430 A 550 MM, FREQ. VIBRACAO DE 4000 A 5500 RPM, VELOCIDADE TRABALHO DE 20 A 25 M/MIN, POT. DE 7,5 A 9,0 HP</v>
      </c>
    </row>
    <row r="1180" spans="1:10" x14ac:dyDescent="0.25">
      <c r="A1180" s="169">
        <v>13458</v>
      </c>
      <c r="B1180" s="169" t="s">
        <v>24564</v>
      </c>
      <c r="C1180" s="169" t="s">
        <v>10225</v>
      </c>
      <c r="D1180" s="169" t="s">
        <v>1290</v>
      </c>
      <c r="E1180" s="103" t="s">
        <v>30058</v>
      </c>
      <c r="F1180" s="104"/>
      <c r="G1180" s="105">
        <f t="shared" si="72"/>
        <v>13257.45</v>
      </c>
      <c r="H1180" s="101" t="str">
        <f t="shared" si="73"/>
        <v>Sinapi 13458</v>
      </c>
      <c r="I1180" s="101" t="str">
        <f t="shared" si="74"/>
        <v>UN</v>
      </c>
      <c r="J1180" s="140" t="str">
        <f t="shared" si="75"/>
        <v>COMPACTADOR DE SOLOS DE PERCURSAO (SOQUETE) COM MOTOR A GASOLINA 4 TEMPOS DE 4 HP (4 CV)</v>
      </c>
    </row>
    <row r="1181" spans="1:10" x14ac:dyDescent="0.25">
      <c r="A1181" s="169">
        <v>11134</v>
      </c>
      <c r="B1181" s="169" t="s">
        <v>24565</v>
      </c>
      <c r="C1181" s="169" t="s">
        <v>10226</v>
      </c>
      <c r="D1181" s="169" t="s">
        <v>1289</v>
      </c>
      <c r="E1181" s="103" t="s">
        <v>30059</v>
      </c>
      <c r="F1181" s="104"/>
      <c r="G1181" s="105">
        <f t="shared" si="72"/>
        <v>110.43</v>
      </c>
      <c r="H1181" s="101" t="str">
        <f t="shared" si="73"/>
        <v>Sinapi 11134</v>
      </c>
      <c r="I1181" s="101" t="str">
        <f t="shared" si="74"/>
        <v>M2</v>
      </c>
      <c r="J1181" s="140" t="str">
        <f t="shared" si="75"/>
        <v>COMPENSADO NAVAL - CHAPA/PAINEL EM MADEIRA COMPENSADA PRENSADA, DE 2200 X 1600 MM, E = 10 MM</v>
      </c>
    </row>
    <row r="1182" spans="1:10" x14ac:dyDescent="0.25">
      <c r="A1182" s="169">
        <v>11135</v>
      </c>
      <c r="B1182" s="169" t="s">
        <v>24566</v>
      </c>
      <c r="C1182" s="169" t="s">
        <v>10226</v>
      </c>
      <c r="D1182" s="169" t="s">
        <v>1289</v>
      </c>
      <c r="E1182" s="103" t="s">
        <v>29359</v>
      </c>
      <c r="F1182" s="104"/>
      <c r="G1182" s="105">
        <f t="shared" si="72"/>
        <v>119.23</v>
      </c>
      <c r="H1182" s="101" t="str">
        <f t="shared" si="73"/>
        <v>Sinapi 11135</v>
      </c>
      <c r="I1182" s="101" t="str">
        <f t="shared" si="74"/>
        <v>M2</v>
      </c>
      <c r="J1182" s="140" t="str">
        <f t="shared" si="75"/>
        <v>COMPENSADO NAVAL - CHAPA/PAINEL EM MADEIRA COMPENSADA PRENSADA, DE 2200 X 1600 MM, E = 12 MM</v>
      </c>
    </row>
    <row r="1183" spans="1:10" x14ac:dyDescent="0.25">
      <c r="A1183" s="169">
        <v>11136</v>
      </c>
      <c r="B1183" s="169" t="s">
        <v>24568</v>
      </c>
      <c r="C1183" s="169" t="s">
        <v>10226</v>
      </c>
      <c r="D1183" s="169" t="s">
        <v>1289</v>
      </c>
      <c r="E1183" s="103" t="s">
        <v>30060</v>
      </c>
      <c r="F1183" s="104"/>
      <c r="G1183" s="105">
        <f t="shared" si="72"/>
        <v>136.52000000000001</v>
      </c>
      <c r="H1183" s="101" t="str">
        <f t="shared" si="73"/>
        <v>Sinapi 11136</v>
      </c>
      <c r="I1183" s="101" t="str">
        <f t="shared" si="74"/>
        <v>M2</v>
      </c>
      <c r="J1183" s="140" t="str">
        <f t="shared" si="75"/>
        <v>COMPENSADO NAVAL - CHAPA/PAINEL EM MADEIRA COMPENSADA PRENSADA, DE 2200 X 1600 MM, E = 15 MM</v>
      </c>
    </row>
    <row r="1184" spans="1:10" x14ac:dyDescent="0.25">
      <c r="A1184" s="169">
        <v>34743</v>
      </c>
      <c r="B1184" s="169" t="s">
        <v>24569</v>
      </c>
      <c r="C1184" s="169" t="s">
        <v>10226</v>
      </c>
      <c r="D1184" s="169" t="s">
        <v>1289</v>
      </c>
      <c r="E1184" s="103" t="s">
        <v>30061</v>
      </c>
      <c r="F1184" s="104"/>
      <c r="G1184" s="105">
        <f t="shared" si="72"/>
        <v>164.72</v>
      </c>
      <c r="H1184" s="101" t="str">
        <f t="shared" si="73"/>
        <v>Sinapi 34743</v>
      </c>
      <c r="I1184" s="101" t="str">
        <f t="shared" si="74"/>
        <v>M2</v>
      </c>
      <c r="J1184" s="140" t="str">
        <f t="shared" si="75"/>
        <v>COMPENSADO NAVAL - CHAPA/PAINEL EM MADEIRA COMPENSADA PRENSADA, DE 2200 X 1600 MM, E = 18 MM</v>
      </c>
    </row>
    <row r="1185" spans="1:10" x14ac:dyDescent="0.25">
      <c r="A1185" s="169">
        <v>11137</v>
      </c>
      <c r="B1185" s="169" t="s">
        <v>24570</v>
      </c>
      <c r="C1185" s="169" t="s">
        <v>10226</v>
      </c>
      <c r="D1185" s="169" t="s">
        <v>1289</v>
      </c>
      <c r="E1185" s="103" t="s">
        <v>30062</v>
      </c>
      <c r="F1185" s="104"/>
      <c r="G1185" s="105">
        <f t="shared" si="72"/>
        <v>187.09</v>
      </c>
      <c r="H1185" s="101" t="str">
        <f t="shared" si="73"/>
        <v>Sinapi 11137</v>
      </c>
      <c r="I1185" s="101" t="str">
        <f t="shared" si="74"/>
        <v>M2</v>
      </c>
      <c r="J1185" s="140" t="str">
        <f t="shared" si="75"/>
        <v>COMPENSADO NAVAL - CHAPA/PAINEL EM MADEIRA COMPENSADA PRENSADA, DE 2200 X 1600 MM, E = 20 MM</v>
      </c>
    </row>
    <row r="1186" spans="1:10" x14ac:dyDescent="0.25">
      <c r="A1186" s="169">
        <v>34745</v>
      </c>
      <c r="B1186" s="169" t="s">
        <v>24571</v>
      </c>
      <c r="C1186" s="169" t="s">
        <v>10226</v>
      </c>
      <c r="D1186" s="169" t="s">
        <v>1289</v>
      </c>
      <c r="E1186" s="103" t="s">
        <v>30063</v>
      </c>
      <c r="F1186" s="104"/>
      <c r="G1186" s="105">
        <f t="shared" si="72"/>
        <v>222.48</v>
      </c>
      <c r="H1186" s="101" t="str">
        <f t="shared" si="73"/>
        <v>Sinapi 34745</v>
      </c>
      <c r="I1186" s="101" t="str">
        <f t="shared" si="74"/>
        <v>M2</v>
      </c>
      <c r="J1186" s="140" t="str">
        <f t="shared" si="75"/>
        <v>COMPENSADO NAVAL - CHAPA/PAINEL EM MADEIRA COMPENSADA PRENSADA, DE 2200 X 1600 MM, E = 25 MM</v>
      </c>
    </row>
    <row r="1187" spans="1:10" x14ac:dyDescent="0.25">
      <c r="A1187" s="169">
        <v>34746</v>
      </c>
      <c r="B1187" s="169" t="s">
        <v>24572</v>
      </c>
      <c r="C1187" s="169" t="s">
        <v>10226</v>
      </c>
      <c r="D1187" s="169" t="s">
        <v>1289</v>
      </c>
      <c r="E1187" s="103" t="s">
        <v>30064</v>
      </c>
      <c r="F1187" s="104"/>
      <c r="G1187" s="105">
        <f t="shared" si="72"/>
        <v>60.67</v>
      </c>
      <c r="H1187" s="101" t="str">
        <f t="shared" si="73"/>
        <v>Sinapi 34746</v>
      </c>
      <c r="I1187" s="101" t="str">
        <f t="shared" si="74"/>
        <v>M2</v>
      </c>
      <c r="J1187" s="140" t="str">
        <f t="shared" si="75"/>
        <v>COMPENSADO NAVAL - CHAPA/PAINEL EM MADEIRA COMPENSADA PRENSADA, DE 2200 X 1600 MM, E = 4 MM</v>
      </c>
    </row>
    <row r="1188" spans="1:10" x14ac:dyDescent="0.25">
      <c r="A1188" s="169">
        <v>1360</v>
      </c>
      <c r="B1188" s="169" t="s">
        <v>24574</v>
      </c>
      <c r="C1188" s="169" t="s">
        <v>10226</v>
      </c>
      <c r="D1188" s="169" t="s">
        <v>1289</v>
      </c>
      <c r="E1188" s="103" t="s">
        <v>30065</v>
      </c>
      <c r="F1188" s="104"/>
      <c r="G1188" s="105">
        <f t="shared" si="72"/>
        <v>70.790000000000006</v>
      </c>
      <c r="H1188" s="101" t="str">
        <f t="shared" si="73"/>
        <v>Sinapi 1360</v>
      </c>
      <c r="I1188" s="101" t="str">
        <f t="shared" si="74"/>
        <v>M2</v>
      </c>
      <c r="J1188" s="140" t="str">
        <f t="shared" si="75"/>
        <v>COMPENSADO NAVAL - CHAPA/PAINEL EM MADEIRA COMPENSADA PRENSADA, DE 2200 X 1600 MM, E = 6 MM</v>
      </c>
    </row>
    <row r="1189" spans="1:10" x14ac:dyDescent="0.25">
      <c r="A1189" s="169">
        <v>36524</v>
      </c>
      <c r="B1189" s="169" t="s">
        <v>24575</v>
      </c>
      <c r="C1189" s="169" t="s">
        <v>10225</v>
      </c>
      <c r="D1189" s="169" t="s">
        <v>1290</v>
      </c>
      <c r="E1189" s="103" t="s">
        <v>24576</v>
      </c>
      <c r="F1189" s="104"/>
      <c r="G1189" s="105">
        <f t="shared" si="72"/>
        <v>183803.46</v>
      </c>
      <c r="H1189" s="101" t="str">
        <f t="shared" si="73"/>
        <v>Sinapi 36524</v>
      </c>
      <c r="I1189" s="101" t="str">
        <f t="shared" si="74"/>
        <v>UN</v>
      </c>
      <c r="J1189" s="140" t="str">
        <f t="shared" si="75"/>
        <v>COMPRESSOR DE AR ESTACIONARIO, VAZAO 620 PCM, PRESSAO EFETIVA DE TRABALHO 109 PSI, MOTOR ELETRICO, POTENCIA 127 CV</v>
      </c>
    </row>
    <row r="1190" spans="1:10" x14ac:dyDescent="0.25">
      <c r="A1190" s="169">
        <v>36526</v>
      </c>
      <c r="B1190" s="169" t="s">
        <v>24577</v>
      </c>
      <c r="C1190" s="169" t="s">
        <v>10225</v>
      </c>
      <c r="D1190" s="169" t="s">
        <v>1290</v>
      </c>
      <c r="E1190" s="103" t="s">
        <v>24578</v>
      </c>
      <c r="F1190" s="104"/>
      <c r="G1190" s="105">
        <f t="shared" si="72"/>
        <v>148116.31</v>
      </c>
      <c r="H1190" s="101" t="str">
        <f t="shared" si="73"/>
        <v>Sinapi 36526</v>
      </c>
      <c r="I1190" s="101" t="str">
        <f t="shared" si="74"/>
        <v>UN</v>
      </c>
      <c r="J1190" s="140" t="str">
        <f t="shared" si="75"/>
        <v>COMPRESSOR DE AR REBOCAVEL VAZAO 400 PCM, PRESSAO EFETIVA DE TRABALHO 102 PSI, MOTOR DIESEL, POTENCIA 110 CV</v>
      </c>
    </row>
    <row r="1191" spans="1:10" x14ac:dyDescent="0.25">
      <c r="A1191" s="169">
        <v>36523</v>
      </c>
      <c r="B1191" s="169" t="s">
        <v>24579</v>
      </c>
      <c r="C1191" s="169" t="s">
        <v>10225</v>
      </c>
      <c r="D1191" s="169" t="s">
        <v>1290</v>
      </c>
      <c r="E1191" s="103" t="s">
        <v>24580</v>
      </c>
      <c r="F1191" s="104"/>
      <c r="G1191" s="105">
        <f t="shared" si="72"/>
        <v>317097.03000000003</v>
      </c>
      <c r="H1191" s="101" t="str">
        <f t="shared" si="73"/>
        <v>Sinapi 36523</v>
      </c>
      <c r="I1191" s="101" t="str">
        <f t="shared" si="74"/>
        <v>UN</v>
      </c>
      <c r="J1191" s="140" t="str">
        <f t="shared" si="75"/>
        <v>COMPRESSOR DE AR REBOCAVEL VAZAO 748 PCM, PRESSAO EFETIVA DE TRABALHO 102 PSI, MOTOR DIESEL, POTENCIA 210 CV</v>
      </c>
    </row>
    <row r="1192" spans="1:10" x14ac:dyDescent="0.25">
      <c r="A1192" s="169">
        <v>36527</v>
      </c>
      <c r="B1192" s="169" t="s">
        <v>24581</v>
      </c>
      <c r="C1192" s="169" t="s">
        <v>10225</v>
      </c>
      <c r="D1192" s="169" t="s">
        <v>1290</v>
      </c>
      <c r="E1192" s="103" t="s">
        <v>24582</v>
      </c>
      <c r="F1192" s="104"/>
      <c r="G1192" s="105">
        <f t="shared" si="72"/>
        <v>344432.69</v>
      </c>
      <c r="H1192" s="101" t="str">
        <f t="shared" si="73"/>
        <v>Sinapi 36527</v>
      </c>
      <c r="I1192" s="101" t="str">
        <f t="shared" si="74"/>
        <v>UN</v>
      </c>
      <c r="J1192" s="140" t="str">
        <f t="shared" si="75"/>
        <v>COMPRESSOR DE AR REBOCAVEL VAZAO 860 PCM, PRESSAO EFETIVA DE TRABALHO 102 PSI, MOTOR DIESEL, POTENCIA 250 CV</v>
      </c>
    </row>
    <row r="1193" spans="1:10" x14ac:dyDescent="0.25">
      <c r="A1193" s="169">
        <v>38642</v>
      </c>
      <c r="B1193" s="169" t="s">
        <v>24583</v>
      </c>
      <c r="C1193" s="169" t="s">
        <v>10225</v>
      </c>
      <c r="D1193" s="169" t="s">
        <v>1290</v>
      </c>
      <c r="E1193" s="103" t="s">
        <v>24584</v>
      </c>
      <c r="F1193" s="104"/>
      <c r="G1193" s="105">
        <f t="shared" si="72"/>
        <v>80192.77</v>
      </c>
      <c r="H1193" s="101" t="str">
        <f t="shared" si="73"/>
        <v>Sinapi 38642</v>
      </c>
      <c r="I1193" s="101" t="str">
        <f t="shared" si="74"/>
        <v>UN</v>
      </c>
      <c r="J1193" s="140" t="str">
        <f t="shared" si="75"/>
        <v>COMPRESSOR DE AR REBOCAVEL, VAZAO 152 PCM, PRESSAO EFETIVA DE TRABALHO 102 PSI, MOTOR DIESEL, POTENCIA 31,5 KW</v>
      </c>
    </row>
    <row r="1194" spans="1:10" x14ac:dyDescent="0.25">
      <c r="A1194" s="169">
        <v>36522</v>
      </c>
      <c r="B1194" s="169" t="s">
        <v>24585</v>
      </c>
      <c r="C1194" s="169" t="s">
        <v>10225</v>
      </c>
      <c r="D1194" s="169" t="s">
        <v>1290</v>
      </c>
      <c r="E1194" s="103" t="s">
        <v>24586</v>
      </c>
      <c r="F1194" s="104"/>
      <c r="G1194" s="105">
        <f t="shared" si="72"/>
        <v>93263.23</v>
      </c>
      <c r="H1194" s="101" t="str">
        <f t="shared" si="73"/>
        <v>Sinapi 36522</v>
      </c>
      <c r="I1194" s="101" t="str">
        <f t="shared" si="74"/>
        <v>UN</v>
      </c>
      <c r="J1194" s="140" t="str">
        <f t="shared" si="75"/>
        <v>COMPRESSOR DE AR REBOCAVEL, VAZAO 189 PCM, PRESSAO EFETIVA DE TRABALHO 102 PSI, MOTOR DIESEL, POTENCIA 63 CV</v>
      </c>
    </row>
    <row r="1195" spans="1:10" x14ac:dyDescent="0.25">
      <c r="A1195" s="169">
        <v>36525</v>
      </c>
      <c r="B1195" s="169" t="s">
        <v>24587</v>
      </c>
      <c r="C1195" s="169" t="s">
        <v>10225</v>
      </c>
      <c r="D1195" s="169" t="s">
        <v>1290</v>
      </c>
      <c r="E1195" s="103" t="s">
        <v>24588</v>
      </c>
      <c r="F1195" s="104"/>
      <c r="G1195" s="105">
        <f t="shared" si="72"/>
        <v>124901.25</v>
      </c>
      <c r="H1195" s="101" t="str">
        <f t="shared" si="73"/>
        <v>Sinapi 36525</v>
      </c>
      <c r="I1195" s="101" t="str">
        <f t="shared" si="74"/>
        <v>UN</v>
      </c>
      <c r="J1195" s="140" t="str">
        <f t="shared" si="75"/>
        <v>COMPRESSOR DE AR REBOCAVEL, VAZAO 250 PCM, PRESSAO EFETIVA DE TRABALHO 102 PSI, MOTOR DIESEL, POTENCIA 81 CV</v>
      </c>
    </row>
    <row r="1196" spans="1:10" x14ac:dyDescent="0.25">
      <c r="A1196" s="169">
        <v>13803</v>
      </c>
      <c r="B1196" s="169" t="s">
        <v>24589</v>
      </c>
      <c r="C1196" s="169" t="s">
        <v>10225</v>
      </c>
      <c r="D1196" s="169" t="s">
        <v>1290</v>
      </c>
      <c r="E1196" s="103" t="s">
        <v>24590</v>
      </c>
      <c r="F1196" s="104"/>
      <c r="G1196" s="105">
        <f t="shared" si="72"/>
        <v>124543.86</v>
      </c>
      <c r="H1196" s="101" t="str">
        <f t="shared" si="73"/>
        <v>Sinapi 13803</v>
      </c>
      <c r="I1196" s="101" t="str">
        <f t="shared" si="74"/>
        <v>UN</v>
      </c>
      <c r="J1196" s="140" t="str">
        <f t="shared" si="75"/>
        <v>COMPRESSOR DE AR REBOCAVEL, VAZAO 89 PCM, PRESSAO EFETIVA DE TRABALHO *102* PSI, MOTOR DIESEL, POTENCIA *20* CV</v>
      </c>
    </row>
    <row r="1197" spans="1:10" x14ac:dyDescent="0.25">
      <c r="A1197" s="169">
        <v>34348</v>
      </c>
      <c r="B1197" s="169" t="s">
        <v>24591</v>
      </c>
      <c r="C1197" s="169" t="s">
        <v>10229</v>
      </c>
      <c r="D1197" s="169" t="s">
        <v>1289</v>
      </c>
      <c r="E1197" s="103" t="s">
        <v>30066</v>
      </c>
      <c r="F1197" s="104"/>
      <c r="G1197" s="105">
        <f t="shared" si="72"/>
        <v>29.12</v>
      </c>
      <c r="H1197" s="101" t="str">
        <f t="shared" si="73"/>
        <v>Sinapi 34348</v>
      </c>
      <c r="I1197" s="101" t="str">
        <f t="shared" si="74"/>
        <v>M</v>
      </c>
      <c r="J1197" s="140" t="str">
        <f t="shared" si="75"/>
        <v>CONCERTINA CLIPADA (DUPLA) EM ACO GALVANIZADO DE ALTA RESISTENCIA, COM ESPIRAL DE 300 MM, D = 2,76 MM</v>
      </c>
    </row>
    <row r="1198" spans="1:10" x14ac:dyDescent="0.25">
      <c r="A1198" s="169">
        <v>34347</v>
      </c>
      <c r="B1198" s="169" t="s">
        <v>24592</v>
      </c>
      <c r="C1198" s="169" t="s">
        <v>10229</v>
      </c>
      <c r="D1198" s="169" t="s">
        <v>1289</v>
      </c>
      <c r="E1198" s="103" t="s">
        <v>17977</v>
      </c>
      <c r="F1198" s="104"/>
      <c r="G1198" s="105">
        <f t="shared" si="72"/>
        <v>20.82</v>
      </c>
      <c r="H1198" s="101" t="str">
        <f t="shared" si="73"/>
        <v>Sinapi 34347</v>
      </c>
      <c r="I1198" s="101" t="str">
        <f t="shared" si="74"/>
        <v>M</v>
      </c>
      <c r="J1198" s="140" t="str">
        <f t="shared" si="75"/>
        <v>CONCERTINA SIMPLES EM ACO GALVANIZADO DE ALTA RESISTENCIA, COM ESPIRAL DE 300 MM, D = 2,76 MM</v>
      </c>
    </row>
    <row r="1199" spans="1:10" x14ac:dyDescent="0.25">
      <c r="A1199" s="169">
        <v>11146</v>
      </c>
      <c r="B1199" s="169" t="s">
        <v>24593</v>
      </c>
      <c r="C1199" s="169" t="s">
        <v>10234</v>
      </c>
      <c r="D1199" s="169" t="s">
        <v>1289</v>
      </c>
      <c r="E1199" s="103" t="s">
        <v>30067</v>
      </c>
      <c r="F1199" s="104"/>
      <c r="G1199" s="105">
        <f t="shared" si="72"/>
        <v>1243.4000000000001</v>
      </c>
      <c r="H1199" s="101" t="str">
        <f t="shared" si="73"/>
        <v>Sinapi 11146</v>
      </c>
      <c r="I1199" s="101" t="str">
        <f t="shared" si="74"/>
        <v>M3</v>
      </c>
      <c r="J1199" s="140" t="str">
        <f t="shared" si="75"/>
        <v>CONCRETO AUTOADENSAVEL (CAA) CLASSE DE RESISTENCIA C15, ESPALHAMENTO SF2, COM BOMBEAMENTO (DISPONIBILIZACAO DE BOMBA), SEM O LANCAMENTO (NBR 15823)</v>
      </c>
    </row>
    <row r="1200" spans="1:10" x14ac:dyDescent="0.25">
      <c r="A1200" s="169">
        <v>11147</v>
      </c>
      <c r="B1200" s="169" t="s">
        <v>24594</v>
      </c>
      <c r="C1200" s="169" t="s">
        <v>10234</v>
      </c>
      <c r="D1200" s="169" t="s">
        <v>1289</v>
      </c>
      <c r="E1200" s="103" t="s">
        <v>30068</v>
      </c>
      <c r="F1200" s="104"/>
      <c r="G1200" s="105">
        <f t="shared" si="72"/>
        <v>1292.06</v>
      </c>
      <c r="H1200" s="101" t="str">
        <f t="shared" si="73"/>
        <v>Sinapi 11147</v>
      </c>
      <c r="I1200" s="101" t="str">
        <f t="shared" si="74"/>
        <v>M3</v>
      </c>
      <c r="J1200" s="140" t="str">
        <f t="shared" si="75"/>
        <v>CONCRETO AUTOADENSAVEL (CAA) CLASSE DE RESISTENCIA C20, ESPALHAMENTO SF2, COM BOMBEAMENTO (DISPONIBILIZACAO DE BOMBA), SEM O LANCAMENTO (NBR 15823)</v>
      </c>
    </row>
    <row r="1201" spans="1:10" x14ac:dyDescent="0.25">
      <c r="A1201" s="169">
        <v>34872</v>
      </c>
      <c r="B1201" s="169" t="s">
        <v>24595</v>
      </c>
      <c r="C1201" s="169" t="s">
        <v>10234</v>
      </c>
      <c r="D1201" s="169" t="s">
        <v>1289</v>
      </c>
      <c r="E1201" s="103" t="s">
        <v>30069</v>
      </c>
      <c r="F1201" s="104"/>
      <c r="G1201" s="105">
        <f t="shared" si="72"/>
        <v>1306.57</v>
      </c>
      <c r="H1201" s="101" t="str">
        <f t="shared" si="73"/>
        <v>Sinapi 34872</v>
      </c>
      <c r="I1201" s="101" t="str">
        <f t="shared" si="74"/>
        <v>M3</v>
      </c>
      <c r="J1201" s="140" t="str">
        <f t="shared" si="75"/>
        <v>CONCRETO AUTOADENSAVEL (CAA) CLASSE DE RESISTENCIA C25, ESPALHAMENTO SF2, COM BOMBEAMENTO (DISPONIBILIZACAO DE BOMBA), SEM O LANCAMENTO (NBR 15823)</v>
      </c>
    </row>
    <row r="1202" spans="1:10" x14ac:dyDescent="0.25">
      <c r="A1202" s="169">
        <v>34491</v>
      </c>
      <c r="B1202" s="169" t="s">
        <v>24596</v>
      </c>
      <c r="C1202" s="169" t="s">
        <v>10234</v>
      </c>
      <c r="D1202" s="169" t="s">
        <v>1289</v>
      </c>
      <c r="E1202" s="103" t="s">
        <v>30070</v>
      </c>
      <c r="F1202" s="104"/>
      <c r="G1202" s="105">
        <f t="shared" si="72"/>
        <v>1344.43</v>
      </c>
      <c r="H1202" s="101" t="str">
        <f t="shared" si="73"/>
        <v>Sinapi 34491</v>
      </c>
      <c r="I1202" s="101" t="str">
        <f t="shared" si="74"/>
        <v>M3</v>
      </c>
      <c r="J1202" s="140" t="str">
        <f t="shared" si="75"/>
        <v>CONCRETO AUTOADENSAVEL (CAA) CLASSE DE RESISTENCIA C30, ESPALHAMENTO SF2, COM BOMBEAMENTO (DISPONIBILIZACAO DE BOMBA), SEM O LANCAMENTO (NBR 15823)</v>
      </c>
    </row>
    <row r="1203" spans="1:10" x14ac:dyDescent="0.25">
      <c r="A1203" s="169">
        <v>34770</v>
      </c>
      <c r="B1203" s="169" t="s">
        <v>24597</v>
      </c>
      <c r="C1203" s="169" t="s">
        <v>10247</v>
      </c>
      <c r="D1203" s="169" t="s">
        <v>1289</v>
      </c>
      <c r="E1203" s="103" t="s">
        <v>30071</v>
      </c>
      <c r="F1203" s="104"/>
      <c r="G1203" s="105">
        <f t="shared" si="72"/>
        <v>1201.5899999999999</v>
      </c>
      <c r="H1203" s="101" t="str">
        <f t="shared" si="73"/>
        <v>Sinapi 34770</v>
      </c>
      <c r="I1203" s="101" t="str">
        <f t="shared" si="74"/>
        <v>T</v>
      </c>
      <c r="J1203" s="140" t="str">
        <f t="shared" si="75"/>
        <v>CONCRETO BETUMINOSO USINADO A QUENTE (CBUQ) PARA PAVIMENTACAO ASFALTICA, PADRAO DNIT, FAIXA C, COM CAP 30/45 - AQUISICAO POSTO USINA</v>
      </c>
    </row>
    <row r="1204" spans="1:10" x14ac:dyDescent="0.25">
      <c r="A1204" s="169">
        <v>1518</v>
      </c>
      <c r="B1204" s="169" t="s">
        <v>24598</v>
      </c>
      <c r="C1204" s="169" t="s">
        <v>10247</v>
      </c>
      <c r="D1204" s="169" t="s">
        <v>1288</v>
      </c>
      <c r="E1204" s="103" t="s">
        <v>30072</v>
      </c>
      <c r="F1204" s="104"/>
      <c r="G1204" s="105">
        <f t="shared" si="72"/>
        <v>1225</v>
      </c>
      <c r="H1204" s="101" t="str">
        <f t="shared" si="73"/>
        <v>Sinapi 1518</v>
      </c>
      <c r="I1204" s="101" t="str">
        <f t="shared" si="74"/>
        <v>T</v>
      </c>
      <c r="J1204" s="140" t="str">
        <f t="shared" si="75"/>
        <v>CONCRETO BETUMINOSO USINADO A QUENTE (CBUQ) PARA PAVIMENTACAO ASFALTICA, PADRAO DNIT, FAIXA C, COM CAP 50/70 - AQUISICAO POSTO USINA</v>
      </c>
    </row>
    <row r="1205" spans="1:10" x14ac:dyDescent="0.25">
      <c r="A1205" s="169">
        <v>41965</v>
      </c>
      <c r="B1205" s="169" t="s">
        <v>24599</v>
      </c>
      <c r="C1205" s="169" t="s">
        <v>10247</v>
      </c>
      <c r="D1205" s="169" t="s">
        <v>1289</v>
      </c>
      <c r="E1205" s="103" t="s">
        <v>30073</v>
      </c>
      <c r="F1205" s="104"/>
      <c r="G1205" s="105">
        <f t="shared" si="72"/>
        <v>1074.1199999999999</v>
      </c>
      <c r="H1205" s="101" t="str">
        <f t="shared" si="73"/>
        <v>Sinapi 41965</v>
      </c>
      <c r="I1205" s="101" t="str">
        <f t="shared" si="74"/>
        <v>T</v>
      </c>
      <c r="J1205" s="140" t="str">
        <f t="shared" si="75"/>
        <v>CONCRETO BETUMINOSO USINADO A QUENTE (CBUQ) PARA PAVIMENTACAO ASFALTICA, PADRAO DNIT, PARA BINDER, COM CAP 50/70 - AQUISICAO POSTO USINA</v>
      </c>
    </row>
    <row r="1206" spans="1:10" x14ac:dyDescent="0.25">
      <c r="A1206" s="169">
        <v>1524</v>
      </c>
      <c r="B1206" s="169" t="s">
        <v>24600</v>
      </c>
      <c r="C1206" s="169" t="s">
        <v>10234</v>
      </c>
      <c r="D1206" s="169" t="s">
        <v>1289</v>
      </c>
      <c r="E1206" s="103" t="s">
        <v>30074</v>
      </c>
      <c r="F1206" s="104"/>
      <c r="G1206" s="105">
        <f t="shared" si="72"/>
        <v>1192.95</v>
      </c>
      <c r="H1206" s="101" t="str">
        <f t="shared" si="73"/>
        <v>Sinapi 1524</v>
      </c>
      <c r="I1206" s="101" t="str">
        <f t="shared" si="74"/>
        <v>M3</v>
      </c>
      <c r="J1206" s="140" t="str">
        <f t="shared" si="75"/>
        <v>CONCRETO USINADO BOMBEAVEL, CLASSE DE RESISTENCIA C20, BRITA 0 E 1, SLUMP = 100 +/- 20 MM, COM BOMBEAMENTO (DISPONIBILIZACAO DE BOMBA), SEM O LANCAMENTO (NBR 8953)</v>
      </c>
    </row>
    <row r="1207" spans="1:10" x14ac:dyDescent="0.25">
      <c r="A1207" s="169">
        <v>34492</v>
      </c>
      <c r="B1207" s="169" t="s">
        <v>10253</v>
      </c>
      <c r="C1207" s="169" t="s">
        <v>10234</v>
      </c>
      <c r="D1207" s="169" t="s">
        <v>1288</v>
      </c>
      <c r="E1207" s="103" t="s">
        <v>30075</v>
      </c>
      <c r="F1207" s="104"/>
      <c r="G1207" s="105">
        <f t="shared" si="72"/>
        <v>1105</v>
      </c>
      <c r="H1207" s="101" t="str">
        <f t="shared" si="73"/>
        <v>Sinapi 34492</v>
      </c>
      <c r="I1207" s="101" t="str">
        <f t="shared" si="74"/>
        <v>M3</v>
      </c>
      <c r="J1207" s="140" t="str">
        <f t="shared" si="75"/>
        <v>CONCRETO USINADO BOMBEAVEL, CLASSE DE RESISTENCIA C20, COM BRITA 0 E 1, SLUMP = 100 +/- 20 MM, EXCLUI SERVICO DE BOMBEAMENTO (NBR 8953)</v>
      </c>
    </row>
    <row r="1208" spans="1:10" x14ac:dyDescent="0.25">
      <c r="A1208" s="169">
        <v>38404</v>
      </c>
      <c r="B1208" s="169" t="s">
        <v>24601</v>
      </c>
      <c r="C1208" s="169" t="s">
        <v>10234</v>
      </c>
      <c r="D1208" s="169" t="s">
        <v>1289</v>
      </c>
      <c r="E1208" s="103" t="s">
        <v>30076</v>
      </c>
      <c r="F1208" s="104"/>
      <c r="G1208" s="105">
        <f t="shared" si="72"/>
        <v>1144.57</v>
      </c>
      <c r="H1208" s="101" t="str">
        <f t="shared" si="73"/>
        <v>Sinapi 38404</v>
      </c>
      <c r="I1208" s="101" t="str">
        <f t="shared" si="74"/>
        <v>M3</v>
      </c>
      <c r="J1208" s="140" t="str">
        <f t="shared" si="75"/>
        <v>CONCRETO USINADO BOMBEAVEL, CLASSE DE RESISTENCIA C20, COM BRITA 0 E 1, SLUMP = 130 +/- 20 MM, EXCLUI SERVICO DE BOMBEAMENTO (NBR 8953)</v>
      </c>
    </row>
    <row r="1209" spans="1:10" x14ac:dyDescent="0.25">
      <c r="A1209" s="169">
        <v>39849</v>
      </c>
      <c r="B1209" s="169" t="s">
        <v>24602</v>
      </c>
      <c r="C1209" s="169" t="s">
        <v>10234</v>
      </c>
      <c r="D1209" s="169" t="s">
        <v>1289</v>
      </c>
      <c r="E1209" s="103" t="s">
        <v>30077</v>
      </c>
      <c r="F1209" s="104"/>
      <c r="G1209" s="105">
        <f t="shared" si="72"/>
        <v>1311.67</v>
      </c>
      <c r="H1209" s="101" t="str">
        <f t="shared" si="73"/>
        <v>Sinapi 39849</v>
      </c>
      <c r="I1209" s="101" t="str">
        <f t="shared" si="74"/>
        <v>M3</v>
      </c>
      <c r="J1209" s="140" t="str">
        <f t="shared" si="75"/>
        <v>CONCRETO USINADO BOMBEAVEL, CLASSE DE RESISTENCIA C20, COM BRITA 0 E 1, SLUMP = 190 +/- 20 MM, COM BOMBEAMENTO (DISPONIBILIZACAO DE BOMBA), SEM O LANCAMENTO (NBR 8953)</v>
      </c>
    </row>
    <row r="1210" spans="1:10" x14ac:dyDescent="0.25">
      <c r="A1210" s="169">
        <v>38464</v>
      </c>
      <c r="B1210" s="169" t="s">
        <v>24603</v>
      </c>
      <c r="C1210" s="169" t="s">
        <v>10234</v>
      </c>
      <c r="D1210" s="169" t="s">
        <v>1289</v>
      </c>
      <c r="E1210" s="103" t="s">
        <v>30078</v>
      </c>
      <c r="F1210" s="104"/>
      <c r="G1210" s="105">
        <f t="shared" si="72"/>
        <v>1330.71</v>
      </c>
      <c r="H1210" s="101" t="str">
        <f t="shared" si="73"/>
        <v>Sinapi 38464</v>
      </c>
      <c r="I1210" s="101" t="str">
        <f t="shared" si="74"/>
        <v>M3</v>
      </c>
      <c r="J1210" s="140" t="str">
        <f t="shared" si="75"/>
        <v>CONCRETO USINADO BOMBEAVEL, CLASSE DE RESISTENCIA C20, COM BRITA 0, SLUMP = 220 +/- 20 MM, COM BOMBEAMENTO (DISPONIBILIZACAO DE BOMBA), SEM O LANCAMENTO (NBR 8953)</v>
      </c>
    </row>
    <row r="1211" spans="1:10" x14ac:dyDescent="0.25">
      <c r="A1211" s="169">
        <v>1527</v>
      </c>
      <c r="B1211" s="169" t="s">
        <v>24604</v>
      </c>
      <c r="C1211" s="169" t="s">
        <v>10234</v>
      </c>
      <c r="D1211" s="169" t="s">
        <v>1289</v>
      </c>
      <c r="E1211" s="103" t="s">
        <v>30079</v>
      </c>
      <c r="F1211" s="104"/>
      <c r="G1211" s="105">
        <f t="shared" si="72"/>
        <v>1230.83</v>
      </c>
      <c r="H1211" s="101" t="str">
        <f t="shared" si="73"/>
        <v>Sinapi 1527</v>
      </c>
      <c r="I1211" s="101" t="str">
        <f t="shared" si="74"/>
        <v>M3</v>
      </c>
      <c r="J1211" s="140" t="str">
        <f t="shared" si="75"/>
        <v>CONCRETO USINADO BOMBEAVEL, CLASSE DE RESISTENCIA C25, BRITA 0 E 1, SLUMP = 100 +/- 20 MM, COM BOMBEAMENTO (DISPONIBILIZACAO DE BOMBA), SEM O LANCAMENTO (NBR 8953)</v>
      </c>
    </row>
    <row r="1212" spans="1:10" x14ac:dyDescent="0.25">
      <c r="A1212" s="169">
        <v>34493</v>
      </c>
      <c r="B1212" s="169" t="s">
        <v>24605</v>
      </c>
      <c r="C1212" s="169" t="s">
        <v>10234</v>
      </c>
      <c r="D1212" s="169" t="s">
        <v>1289</v>
      </c>
      <c r="E1212" s="103" t="s">
        <v>30080</v>
      </c>
      <c r="F1212" s="104"/>
      <c r="G1212" s="105">
        <f t="shared" si="72"/>
        <v>1136.1400000000001</v>
      </c>
      <c r="H1212" s="101" t="str">
        <f t="shared" si="73"/>
        <v>Sinapi 34493</v>
      </c>
      <c r="I1212" s="101" t="str">
        <f t="shared" si="74"/>
        <v>M3</v>
      </c>
      <c r="J1212" s="140" t="str">
        <f t="shared" si="75"/>
        <v>CONCRETO USINADO BOMBEAVEL, CLASSE DE RESISTENCIA C25, COM BRITA 0 E 1, SLUMP = 100 +/- 20 MM, EXCLUI SERVICO DE BOMBEAMENTO (NBR 8953)</v>
      </c>
    </row>
    <row r="1213" spans="1:10" x14ac:dyDescent="0.25">
      <c r="A1213" s="169">
        <v>38405</v>
      </c>
      <c r="B1213" s="169" t="s">
        <v>24606</v>
      </c>
      <c r="C1213" s="169" t="s">
        <v>10234</v>
      </c>
      <c r="D1213" s="169" t="s">
        <v>1289</v>
      </c>
      <c r="E1213" s="103" t="s">
        <v>30081</v>
      </c>
      <c r="F1213" s="104"/>
      <c r="G1213" s="105">
        <f t="shared" si="72"/>
        <v>1179.8599999999999</v>
      </c>
      <c r="H1213" s="101" t="str">
        <f t="shared" si="73"/>
        <v>Sinapi 38405</v>
      </c>
      <c r="I1213" s="101" t="str">
        <f t="shared" si="74"/>
        <v>M3</v>
      </c>
      <c r="J1213" s="140" t="str">
        <f t="shared" si="75"/>
        <v>CONCRETO USINADO BOMBEAVEL, CLASSE DE RESISTENCIA C25, COM BRITA 0 E 1, SLUMP = 130 +/- 20 MM, EXCLUI SERVICO DE BOMBEAMENTO (NBR 8953)</v>
      </c>
    </row>
    <row r="1214" spans="1:10" x14ac:dyDescent="0.25">
      <c r="A1214" s="169">
        <v>38408</v>
      </c>
      <c r="B1214" s="169" t="s">
        <v>24607</v>
      </c>
      <c r="C1214" s="169" t="s">
        <v>10234</v>
      </c>
      <c r="D1214" s="169" t="s">
        <v>1289</v>
      </c>
      <c r="E1214" s="103" t="s">
        <v>30082</v>
      </c>
      <c r="F1214" s="104"/>
      <c r="G1214" s="105">
        <f t="shared" si="72"/>
        <v>1306</v>
      </c>
      <c r="H1214" s="101" t="str">
        <f t="shared" si="73"/>
        <v>Sinapi 38408</v>
      </c>
      <c r="I1214" s="101" t="str">
        <f t="shared" si="74"/>
        <v>M3</v>
      </c>
      <c r="J1214" s="140" t="str">
        <f t="shared" si="75"/>
        <v>CONCRETO USINADO BOMBEAVEL, CLASSE DE RESISTENCIA C25, COM BRITA 0 E 1, SLUMP = 190 +/- 20 MM, EXCLUI SERVICO DE BOMBEAMENTO (NBR 8953)</v>
      </c>
    </row>
    <row r="1215" spans="1:10" x14ac:dyDescent="0.25">
      <c r="A1215" s="169">
        <v>1525</v>
      </c>
      <c r="B1215" s="169" t="s">
        <v>24608</v>
      </c>
      <c r="C1215" s="169" t="s">
        <v>10234</v>
      </c>
      <c r="D1215" s="169" t="s">
        <v>1289</v>
      </c>
      <c r="E1215" s="103" t="s">
        <v>29364</v>
      </c>
      <c r="F1215" s="104"/>
      <c r="G1215" s="105">
        <f t="shared" si="72"/>
        <v>1268.69</v>
      </c>
      <c r="H1215" s="101" t="str">
        <f t="shared" si="73"/>
        <v>Sinapi 1525</v>
      </c>
      <c r="I1215" s="101" t="str">
        <f t="shared" si="74"/>
        <v>M3</v>
      </c>
      <c r="J1215" s="140" t="str">
        <f t="shared" si="75"/>
        <v>CONCRETO USINADO BOMBEAVEL, CLASSE DE RESISTENCIA C30, BRITA 0 E 1, SLUMP = 100 +/- 20 MM, COM BOMBEAMENTO (DISPONIBILIZACAO DE BOMBA), SEM O LANCAMENTO (NBR 8953)</v>
      </c>
    </row>
    <row r="1216" spans="1:10" x14ac:dyDescent="0.25">
      <c r="A1216" s="169">
        <v>34494</v>
      </c>
      <c r="B1216" s="169" t="s">
        <v>24609</v>
      </c>
      <c r="C1216" s="169" t="s">
        <v>10234</v>
      </c>
      <c r="D1216" s="169" t="s">
        <v>1289</v>
      </c>
      <c r="E1216" s="103" t="s">
        <v>30083</v>
      </c>
      <c r="F1216" s="104"/>
      <c r="G1216" s="105">
        <f t="shared" si="72"/>
        <v>1174.02</v>
      </c>
      <c r="H1216" s="101" t="str">
        <f t="shared" si="73"/>
        <v>Sinapi 34494</v>
      </c>
      <c r="I1216" s="101" t="str">
        <f t="shared" si="74"/>
        <v>M3</v>
      </c>
      <c r="J1216" s="140" t="str">
        <f t="shared" si="75"/>
        <v>CONCRETO USINADO BOMBEAVEL, CLASSE DE RESISTENCIA C30, COM BRITA 0 E 1, SLUMP = 100 +/- 20 MM, EXCLUI SERVICO DE BOMBEAMENTO (NBR 8953)</v>
      </c>
    </row>
    <row r="1217" spans="1:10" x14ac:dyDescent="0.25">
      <c r="A1217" s="169">
        <v>38406</v>
      </c>
      <c r="B1217" s="169" t="s">
        <v>24610</v>
      </c>
      <c r="C1217" s="169" t="s">
        <v>10234</v>
      </c>
      <c r="D1217" s="169" t="s">
        <v>1289</v>
      </c>
      <c r="E1217" s="103" t="s">
        <v>30084</v>
      </c>
      <c r="F1217" s="104"/>
      <c r="G1217" s="105">
        <f t="shared" si="72"/>
        <v>1245.8599999999999</v>
      </c>
      <c r="H1217" s="101" t="str">
        <f t="shared" si="73"/>
        <v>Sinapi 38406</v>
      </c>
      <c r="I1217" s="101" t="str">
        <f t="shared" si="74"/>
        <v>M3</v>
      </c>
      <c r="J1217" s="140" t="str">
        <f t="shared" si="75"/>
        <v>CONCRETO USINADO BOMBEAVEL, CLASSE DE RESISTENCIA C30, COM BRITA 0 E 1, SLUMP = 130 +/- 20 MM, EXCLUI SERVICO DE BOMBEAMENTO (NBR 8953)</v>
      </c>
    </row>
    <row r="1218" spans="1:10" x14ac:dyDescent="0.25">
      <c r="A1218" s="169">
        <v>38409</v>
      </c>
      <c r="B1218" s="169" t="s">
        <v>24611</v>
      </c>
      <c r="C1218" s="169" t="s">
        <v>10234</v>
      </c>
      <c r="D1218" s="169" t="s">
        <v>1289</v>
      </c>
      <c r="E1218" s="103" t="s">
        <v>30085</v>
      </c>
      <c r="F1218" s="104"/>
      <c r="G1218" s="105">
        <f t="shared" si="72"/>
        <v>1314.9</v>
      </c>
      <c r="H1218" s="101" t="str">
        <f t="shared" si="73"/>
        <v>Sinapi 38409</v>
      </c>
      <c r="I1218" s="101" t="str">
        <f t="shared" si="74"/>
        <v>M3</v>
      </c>
      <c r="J1218" s="140" t="str">
        <f t="shared" si="75"/>
        <v>CONCRETO USINADO BOMBEAVEL, CLASSE DE RESISTENCIA C30, COM BRITA 0 E 1, SLUMP = 190 +/- 20 MM, EXCLUI SERVICO DE BOMBEAMENTO (NBR 8953)</v>
      </c>
    </row>
    <row r="1219" spans="1:10" x14ac:dyDescent="0.25">
      <c r="A1219" s="169">
        <v>43360</v>
      </c>
      <c r="B1219" s="169" t="s">
        <v>24612</v>
      </c>
      <c r="C1219" s="169" t="s">
        <v>10234</v>
      </c>
      <c r="D1219" s="169" t="s">
        <v>1289</v>
      </c>
      <c r="E1219" s="103" t="s">
        <v>30086</v>
      </c>
      <c r="F1219" s="104"/>
      <c r="G1219" s="105">
        <f t="shared" si="72"/>
        <v>1371.06</v>
      </c>
      <c r="H1219" s="101" t="str">
        <f t="shared" si="73"/>
        <v>Sinapi 43360</v>
      </c>
      <c r="I1219" s="101" t="str">
        <f t="shared" si="74"/>
        <v>M3</v>
      </c>
      <c r="J1219" s="140" t="str">
        <f t="shared" si="75"/>
        <v>CONCRETO USINADO BOMBEAVEL, CLASSE DE RESISTENCIA C30, COM BRITA 0 E 1, SLUMP = 220 +/- 30 MM, EXCLUI SERVICO DE BOMBEAMENTO (NBR 8953)</v>
      </c>
    </row>
    <row r="1220" spans="1:10" x14ac:dyDescent="0.25">
      <c r="A1220" s="169">
        <v>11145</v>
      </c>
      <c r="B1220" s="169" t="s">
        <v>24613</v>
      </c>
      <c r="C1220" s="169" t="s">
        <v>10234</v>
      </c>
      <c r="D1220" s="169" t="s">
        <v>1289</v>
      </c>
      <c r="E1220" s="103" t="s">
        <v>30069</v>
      </c>
      <c r="F1220" s="104"/>
      <c r="G1220" s="105">
        <f t="shared" si="72"/>
        <v>1306.57</v>
      </c>
      <c r="H1220" s="101" t="str">
        <f t="shared" si="73"/>
        <v>Sinapi 11145</v>
      </c>
      <c r="I1220" s="101" t="str">
        <f t="shared" si="74"/>
        <v>M3</v>
      </c>
      <c r="J1220" s="140" t="str">
        <f t="shared" si="75"/>
        <v>CONCRETO USINADO BOMBEAVEL, CLASSE DE RESISTENCIA C35, BRITA 0 E 1, SLUMP = 100 +/- 20 MM, COM BOMBEAMENTO (DISPONIBILIZACAO DE BOMBA), SEM O LANCAMENTO (NBR 8953)</v>
      </c>
    </row>
    <row r="1221" spans="1:10" x14ac:dyDescent="0.25">
      <c r="A1221" s="169">
        <v>34495</v>
      </c>
      <c r="B1221" s="169" t="s">
        <v>24614</v>
      </c>
      <c r="C1221" s="169" t="s">
        <v>10234</v>
      </c>
      <c r="D1221" s="169" t="s">
        <v>1289</v>
      </c>
      <c r="E1221" s="103" t="s">
        <v>30087</v>
      </c>
      <c r="F1221" s="104"/>
      <c r="G1221" s="105">
        <f t="shared" si="72"/>
        <v>1211.8800000000001</v>
      </c>
      <c r="H1221" s="101" t="str">
        <f t="shared" si="73"/>
        <v>Sinapi 34495</v>
      </c>
      <c r="I1221" s="101" t="str">
        <f t="shared" si="74"/>
        <v>M3</v>
      </c>
      <c r="J1221" s="140" t="str">
        <f t="shared" si="75"/>
        <v>CONCRETO USINADO BOMBEAVEL, CLASSE DE RESISTENCIA C35, COM BRITA 0 E 1, SLUMP = 100 +/- 20 MM, EXCLUI SERVICO DE BOMBEAMENTO (NBR 8953)</v>
      </c>
    </row>
    <row r="1222" spans="1:10" x14ac:dyDescent="0.25">
      <c r="A1222" s="169">
        <v>34479</v>
      </c>
      <c r="B1222" s="169" t="s">
        <v>24615</v>
      </c>
      <c r="C1222" s="169" t="s">
        <v>10234</v>
      </c>
      <c r="D1222" s="169" t="s">
        <v>1289</v>
      </c>
      <c r="E1222" s="103" t="s">
        <v>30070</v>
      </c>
      <c r="F1222" s="104"/>
      <c r="G1222" s="105">
        <f t="shared" si="72"/>
        <v>1344.43</v>
      </c>
      <c r="H1222" s="101" t="str">
        <f t="shared" si="73"/>
        <v>Sinapi 34479</v>
      </c>
      <c r="I1222" s="101" t="str">
        <f t="shared" si="74"/>
        <v>M3</v>
      </c>
      <c r="J1222" s="140" t="str">
        <f t="shared" si="75"/>
        <v>CONCRETO USINADO BOMBEAVEL, CLASSE DE RESISTENCIA C40, BRITA 0 E 1, SLUMP = 100 +/- 20 MM, COM BOMBEAMENTO (DISPONIBILIZACAO DE BOMBA), SEM O LANCAMENTO (NBR 8953)</v>
      </c>
    </row>
    <row r="1223" spans="1:10" x14ac:dyDescent="0.25">
      <c r="A1223" s="169">
        <v>34496</v>
      </c>
      <c r="B1223" s="169" t="s">
        <v>24616</v>
      </c>
      <c r="C1223" s="169" t="s">
        <v>10234</v>
      </c>
      <c r="D1223" s="169" t="s">
        <v>1289</v>
      </c>
      <c r="E1223" s="103" t="s">
        <v>30088</v>
      </c>
      <c r="F1223" s="104"/>
      <c r="G1223" s="105">
        <f t="shared" si="72"/>
        <v>1264.21</v>
      </c>
      <c r="H1223" s="101" t="str">
        <f t="shared" si="73"/>
        <v>Sinapi 34496</v>
      </c>
      <c r="I1223" s="101" t="str">
        <f t="shared" si="74"/>
        <v>M3</v>
      </c>
      <c r="J1223" s="140" t="str">
        <f t="shared" si="75"/>
        <v>CONCRETO USINADO BOMBEAVEL, CLASSE DE RESISTENCIA C40, COM BRITA 0 E 1, SLUMP = 100 +/- 20 MM, EXCLUI SERVICO DE BOMBEAMENTO (NBR 8953)</v>
      </c>
    </row>
    <row r="1224" spans="1:10" x14ac:dyDescent="0.25">
      <c r="A1224" s="169">
        <v>34481</v>
      </c>
      <c r="B1224" s="169" t="s">
        <v>24617</v>
      </c>
      <c r="C1224" s="169" t="s">
        <v>10234</v>
      </c>
      <c r="D1224" s="169" t="s">
        <v>1289</v>
      </c>
      <c r="E1224" s="103" t="s">
        <v>30089</v>
      </c>
      <c r="F1224" s="104"/>
      <c r="G1224" s="105">
        <f t="shared" ref="G1224:G1287" si="76">IF(E1224="","",E1224+0)</f>
        <v>1404.77</v>
      </c>
      <c r="H1224" s="101" t="str">
        <f t="shared" ref="H1224:H1287" si="77">IF(G1224="","",TRIM(CONCATENATE("Sinapi ",A1224)))</f>
        <v>Sinapi 34481</v>
      </c>
      <c r="I1224" s="101" t="str">
        <f t="shared" ref="I1224:I1287" si="78">TRIM(C1224)</f>
        <v>M3</v>
      </c>
      <c r="J1224" s="140" t="str">
        <f t="shared" si="75"/>
        <v>CONCRETO USINADO BOMBEAVEL, CLASSE DE RESISTENCIA C45, BRITA 0 E 1, SLUMP = 100 +/- 20 MM, COM BOMBEAMENTO (DISPONIBILIZACAO DE BOMBA), SEM O LANCAMENTO (NBR 8953)</v>
      </c>
    </row>
    <row r="1225" spans="1:10" x14ac:dyDescent="0.25">
      <c r="A1225" s="169">
        <v>34483</v>
      </c>
      <c r="B1225" s="169" t="s">
        <v>24618</v>
      </c>
      <c r="C1225" s="169" t="s">
        <v>10234</v>
      </c>
      <c r="D1225" s="169" t="s">
        <v>1289</v>
      </c>
      <c r="E1225" s="103" t="s">
        <v>30090</v>
      </c>
      <c r="F1225" s="104"/>
      <c r="G1225" s="105">
        <f t="shared" si="76"/>
        <v>1500.9</v>
      </c>
      <c r="H1225" s="101" t="str">
        <f t="shared" si="77"/>
        <v>Sinapi 34483</v>
      </c>
      <c r="I1225" s="101" t="str">
        <f t="shared" si="78"/>
        <v>M3</v>
      </c>
      <c r="J1225" s="140" t="str">
        <f t="shared" ref="J1225:J1288" si="79">TRIM(B1225)</f>
        <v>CONCRETO USINADO BOMBEAVEL, CLASSE DE RESISTENCIA C50, BRITA 0 E 1, SLUMP = 100 +/- 20 MM, COM BOMBEAMENTO (DISPONIBILIZACAO DE BOMBA), SEM O LANCAMENTO (NBR 8953)</v>
      </c>
    </row>
    <row r="1226" spans="1:10" x14ac:dyDescent="0.25">
      <c r="A1226" s="169">
        <v>34485</v>
      </c>
      <c r="B1226" s="169" t="s">
        <v>24619</v>
      </c>
      <c r="C1226" s="169" t="s">
        <v>10234</v>
      </c>
      <c r="D1226" s="169" t="s">
        <v>1289</v>
      </c>
      <c r="E1226" s="103" t="s">
        <v>30091</v>
      </c>
      <c r="F1226" s="104"/>
      <c r="G1226" s="105">
        <f t="shared" si="76"/>
        <v>1605.05</v>
      </c>
      <c r="H1226" s="101" t="str">
        <f t="shared" si="77"/>
        <v>Sinapi 34485</v>
      </c>
      <c r="I1226" s="101" t="str">
        <f t="shared" si="78"/>
        <v>M3</v>
      </c>
      <c r="J1226" s="140" t="str">
        <f t="shared" si="79"/>
        <v>CONCRETO USINADO BOMBEAVEL, CLASSE DE RESISTENCIA C60, COM BRITA 0 E 1, SLUMP = 100 +/- 20 MM, COM BOMBEAMENTO (DISPONIBILIZACAO DE BOMBA), SEM O LANCAMENTO (NBR 8953)</v>
      </c>
    </row>
    <row r="1227" spans="1:10" x14ac:dyDescent="0.25">
      <c r="A1227" s="169">
        <v>14041</v>
      </c>
      <c r="B1227" s="169" t="s">
        <v>24620</v>
      </c>
      <c r="C1227" s="169" t="s">
        <v>10234</v>
      </c>
      <c r="D1227" s="169" t="s">
        <v>1289</v>
      </c>
      <c r="E1227" s="103" t="s">
        <v>30092</v>
      </c>
      <c r="F1227" s="104"/>
      <c r="G1227" s="105">
        <f t="shared" si="76"/>
        <v>1043.3499999999999</v>
      </c>
      <c r="H1227" s="101" t="str">
        <f t="shared" si="77"/>
        <v>Sinapi 14041</v>
      </c>
      <c r="I1227" s="101" t="str">
        <f t="shared" si="78"/>
        <v>M3</v>
      </c>
      <c r="J1227" s="140" t="str">
        <f t="shared" si="79"/>
        <v>CONCRETO USINADO CONVENCIONAL (NAO BOMBEAVEL) CLASSE DE RESISTENCIA C10, COM BRITA 1 E 2, SLUMP = 80 MM +/- 10 MM (NBR 8953)</v>
      </c>
    </row>
    <row r="1228" spans="1:10" x14ac:dyDescent="0.25">
      <c r="A1228" s="169">
        <v>1523</v>
      </c>
      <c r="B1228" s="169" t="s">
        <v>24621</v>
      </c>
      <c r="C1228" s="169" t="s">
        <v>10234</v>
      </c>
      <c r="D1228" s="169" t="s">
        <v>1289</v>
      </c>
      <c r="E1228" s="103" t="s">
        <v>30093</v>
      </c>
      <c r="F1228" s="104"/>
      <c r="G1228" s="105">
        <f t="shared" si="76"/>
        <v>1060.4000000000001</v>
      </c>
      <c r="H1228" s="101" t="str">
        <f t="shared" si="77"/>
        <v>Sinapi 1523</v>
      </c>
      <c r="I1228" s="101" t="str">
        <f t="shared" si="78"/>
        <v>M3</v>
      </c>
      <c r="J1228" s="140" t="str">
        <f t="shared" si="79"/>
        <v>CONCRETO USINADO CONVENCIONAL (NAO BOMBEAVEL) CLASSE DE RESISTENCIA C15, COM BRITA 1 E 2, SLUMP = 80 MM +/- 10 MM (NBR 8953)</v>
      </c>
    </row>
    <row r="1229" spans="1:10" x14ac:dyDescent="0.25">
      <c r="A1229" s="169">
        <v>14052</v>
      </c>
      <c r="B1229" s="169" t="s">
        <v>24622</v>
      </c>
      <c r="C1229" s="169" t="s">
        <v>10225</v>
      </c>
      <c r="D1229" s="169" t="s">
        <v>1289</v>
      </c>
      <c r="E1229" s="103" t="s">
        <v>2146</v>
      </c>
      <c r="F1229" s="104"/>
      <c r="G1229" s="105">
        <f t="shared" si="76"/>
        <v>10.02</v>
      </c>
      <c r="H1229" s="101" t="str">
        <f t="shared" si="77"/>
        <v>Sinapi 14052</v>
      </c>
      <c r="I1229" s="101" t="str">
        <f t="shared" si="78"/>
        <v>UN</v>
      </c>
      <c r="J1229" s="140" t="str">
        <f t="shared" si="79"/>
        <v>CONDULETE DE ALUMINIO TIPO B, PARA ELETRODUTO ROSCAVEL DE 1/2", COM TAMPA CEGA</v>
      </c>
    </row>
    <row r="1230" spans="1:10" x14ac:dyDescent="0.25">
      <c r="A1230" s="169">
        <v>14054</v>
      </c>
      <c r="B1230" s="169" t="s">
        <v>24623</v>
      </c>
      <c r="C1230" s="169" t="s">
        <v>10225</v>
      </c>
      <c r="D1230" s="169" t="s">
        <v>1289</v>
      </c>
      <c r="E1230" s="103" t="s">
        <v>17893</v>
      </c>
      <c r="F1230" s="104"/>
      <c r="G1230" s="105">
        <f t="shared" si="76"/>
        <v>13.02</v>
      </c>
      <c r="H1230" s="101" t="str">
        <f t="shared" si="77"/>
        <v>Sinapi 14054</v>
      </c>
      <c r="I1230" s="101" t="str">
        <f t="shared" si="78"/>
        <v>UN</v>
      </c>
      <c r="J1230" s="140" t="str">
        <f t="shared" si="79"/>
        <v>CONDULETE DE ALUMINIO TIPO B, PARA ELETRODUTO ROSCAVEL DE 1", COM TAMPA CEGA</v>
      </c>
    </row>
    <row r="1231" spans="1:10" x14ac:dyDescent="0.25">
      <c r="A1231" s="169">
        <v>14053</v>
      </c>
      <c r="B1231" s="169" t="s">
        <v>24624</v>
      </c>
      <c r="C1231" s="169" t="s">
        <v>10225</v>
      </c>
      <c r="D1231" s="169" t="s">
        <v>1289</v>
      </c>
      <c r="E1231" s="103" t="s">
        <v>16390</v>
      </c>
      <c r="F1231" s="104"/>
      <c r="G1231" s="105">
        <f t="shared" si="76"/>
        <v>10.17</v>
      </c>
      <c r="H1231" s="101" t="str">
        <f t="shared" si="77"/>
        <v>Sinapi 14053</v>
      </c>
      <c r="I1231" s="101" t="str">
        <f t="shared" si="78"/>
        <v>UN</v>
      </c>
      <c r="J1231" s="140" t="str">
        <f t="shared" si="79"/>
        <v>CONDULETE DE ALUMINIO TIPO B, PARA ELETRODUTO ROSCAVEL DE 3/4", COM TAMPA CEGA</v>
      </c>
    </row>
    <row r="1232" spans="1:10" x14ac:dyDescent="0.25">
      <c r="A1232" s="169">
        <v>2558</v>
      </c>
      <c r="B1232" s="169" t="s">
        <v>24626</v>
      </c>
      <c r="C1232" s="169" t="s">
        <v>10225</v>
      </c>
      <c r="D1232" s="169" t="s">
        <v>1289</v>
      </c>
      <c r="E1232" s="103" t="s">
        <v>16208</v>
      </c>
      <c r="F1232" s="104"/>
      <c r="G1232" s="105">
        <f t="shared" si="76"/>
        <v>7.66</v>
      </c>
      <c r="H1232" s="101" t="str">
        <f t="shared" si="77"/>
        <v>Sinapi 2558</v>
      </c>
      <c r="I1232" s="101" t="str">
        <f t="shared" si="78"/>
        <v>UN</v>
      </c>
      <c r="J1232" s="140" t="str">
        <f t="shared" si="79"/>
        <v>CONDULETE DE ALUMINIO TIPO C, PARA ELETRODUTO ROSCAVEL DE 1/2", COM TAMPA CEGA</v>
      </c>
    </row>
    <row r="1233" spans="1:10" x14ac:dyDescent="0.25">
      <c r="A1233" s="169">
        <v>2560</v>
      </c>
      <c r="B1233" s="169" t="s">
        <v>24628</v>
      </c>
      <c r="C1233" s="169" t="s">
        <v>10225</v>
      </c>
      <c r="D1233" s="169" t="s">
        <v>1289</v>
      </c>
      <c r="E1233" s="103" t="s">
        <v>21028</v>
      </c>
      <c r="F1233" s="104"/>
      <c r="G1233" s="105">
        <f t="shared" si="76"/>
        <v>13.48</v>
      </c>
      <c r="H1233" s="101" t="str">
        <f t="shared" si="77"/>
        <v>Sinapi 2560</v>
      </c>
      <c r="I1233" s="101" t="str">
        <f t="shared" si="78"/>
        <v>UN</v>
      </c>
      <c r="J1233" s="140" t="str">
        <f t="shared" si="79"/>
        <v>CONDULETE DE ALUMINIO TIPO C, PARA ELETRODUTO ROSCAVEL DE 1", COM TAMPA CEGA</v>
      </c>
    </row>
    <row r="1234" spans="1:10" x14ac:dyDescent="0.25">
      <c r="A1234" s="169">
        <v>2559</v>
      </c>
      <c r="B1234" s="169" t="s">
        <v>24629</v>
      </c>
      <c r="C1234" s="169" t="s">
        <v>10225</v>
      </c>
      <c r="D1234" s="169" t="s">
        <v>1288</v>
      </c>
      <c r="E1234" s="103" t="s">
        <v>16284</v>
      </c>
      <c r="F1234" s="104"/>
      <c r="G1234" s="105">
        <f t="shared" si="76"/>
        <v>10.78</v>
      </c>
      <c r="H1234" s="101" t="str">
        <f t="shared" si="77"/>
        <v>Sinapi 2559</v>
      </c>
      <c r="I1234" s="101" t="str">
        <f t="shared" si="78"/>
        <v>UN</v>
      </c>
      <c r="J1234" s="140" t="str">
        <f t="shared" si="79"/>
        <v>CONDULETE DE ALUMINIO TIPO C, PARA ELETRODUTO ROSCAVEL DE 3/4", COM TAMPA CEGA</v>
      </c>
    </row>
    <row r="1235" spans="1:10" x14ac:dyDescent="0.25">
      <c r="A1235" s="169">
        <v>2592</v>
      </c>
      <c r="B1235" s="169" t="s">
        <v>24630</v>
      </c>
      <c r="C1235" s="169" t="s">
        <v>10225</v>
      </c>
      <c r="D1235" s="169" t="s">
        <v>1289</v>
      </c>
      <c r="E1235" s="103" t="s">
        <v>30094</v>
      </c>
      <c r="F1235" s="104"/>
      <c r="G1235" s="105">
        <f t="shared" si="76"/>
        <v>178.71</v>
      </c>
      <c r="H1235" s="101" t="str">
        <f t="shared" si="77"/>
        <v>Sinapi 2592</v>
      </c>
      <c r="I1235" s="101" t="str">
        <f t="shared" si="78"/>
        <v>UN</v>
      </c>
      <c r="J1235" s="140" t="str">
        <f t="shared" si="79"/>
        <v>CONDULETE DE ALUMINIO TIPO C, PARA ELETRODUTO ROSCAVEL DE 4", COM TAMPA CEGA</v>
      </c>
    </row>
    <row r="1236" spans="1:10" x14ac:dyDescent="0.25">
      <c r="A1236" s="169">
        <v>2566</v>
      </c>
      <c r="B1236" s="169" t="s">
        <v>24631</v>
      </c>
      <c r="C1236" s="169" t="s">
        <v>10225</v>
      </c>
      <c r="D1236" s="169" t="s">
        <v>1289</v>
      </c>
      <c r="E1236" s="103" t="s">
        <v>22928</v>
      </c>
      <c r="F1236" s="104"/>
      <c r="G1236" s="105">
        <f t="shared" si="76"/>
        <v>17.98</v>
      </c>
      <c r="H1236" s="101" t="str">
        <f t="shared" si="77"/>
        <v>Sinapi 2566</v>
      </c>
      <c r="I1236" s="101" t="str">
        <f t="shared" si="78"/>
        <v>UN</v>
      </c>
      <c r="J1236" s="140" t="str">
        <f t="shared" si="79"/>
        <v>CONDULETE DE ALUMINIO TIPO E, PARA ELETRODUTO ROSCAVEL DE 1 1/4", COM TAMPA CEGA</v>
      </c>
    </row>
    <row r="1237" spans="1:10" x14ac:dyDescent="0.25">
      <c r="A1237" s="169">
        <v>2589</v>
      </c>
      <c r="B1237" s="169" t="s">
        <v>24632</v>
      </c>
      <c r="C1237" s="169" t="s">
        <v>10225</v>
      </c>
      <c r="D1237" s="169" t="s">
        <v>1289</v>
      </c>
      <c r="E1237" s="103" t="s">
        <v>24816</v>
      </c>
      <c r="F1237" s="104"/>
      <c r="G1237" s="105">
        <f t="shared" si="76"/>
        <v>23.9</v>
      </c>
      <c r="H1237" s="101" t="str">
        <f t="shared" si="77"/>
        <v>Sinapi 2589</v>
      </c>
      <c r="I1237" s="101" t="str">
        <f t="shared" si="78"/>
        <v>UN</v>
      </c>
      <c r="J1237" s="140" t="str">
        <f t="shared" si="79"/>
        <v>CONDULETE DE ALUMINIO TIPO E, PARA ELETRODUTO ROSCAVEL DE 1 1/2", COM TAMPA CEGA</v>
      </c>
    </row>
    <row r="1238" spans="1:10" x14ac:dyDescent="0.25">
      <c r="A1238" s="169">
        <v>2591</v>
      </c>
      <c r="B1238" s="169" t="s">
        <v>24633</v>
      </c>
      <c r="C1238" s="169" t="s">
        <v>10225</v>
      </c>
      <c r="D1238" s="169" t="s">
        <v>1289</v>
      </c>
      <c r="E1238" s="103" t="s">
        <v>22808</v>
      </c>
      <c r="F1238" s="104"/>
      <c r="G1238" s="105">
        <f t="shared" si="76"/>
        <v>8.7200000000000006</v>
      </c>
      <c r="H1238" s="101" t="str">
        <f t="shared" si="77"/>
        <v>Sinapi 2591</v>
      </c>
      <c r="I1238" s="101" t="str">
        <f t="shared" si="78"/>
        <v>UN</v>
      </c>
      <c r="J1238" s="140" t="str">
        <f t="shared" si="79"/>
        <v>CONDULETE DE ALUMINIO TIPO E, PARA ELETRODUTO ROSCAVEL DE 1/2", COM TAMPA CEGA</v>
      </c>
    </row>
    <row r="1239" spans="1:10" x14ac:dyDescent="0.25">
      <c r="A1239" s="169">
        <v>2590</v>
      </c>
      <c r="B1239" s="169" t="s">
        <v>24635</v>
      </c>
      <c r="C1239" s="169" t="s">
        <v>10225</v>
      </c>
      <c r="D1239" s="169" t="s">
        <v>1289</v>
      </c>
      <c r="E1239" s="103" t="s">
        <v>20359</v>
      </c>
      <c r="F1239" s="104"/>
      <c r="G1239" s="105">
        <f t="shared" si="76"/>
        <v>14.67</v>
      </c>
      <c r="H1239" s="101" t="str">
        <f t="shared" si="77"/>
        <v>Sinapi 2590</v>
      </c>
      <c r="I1239" s="101" t="str">
        <f t="shared" si="78"/>
        <v>UN</v>
      </c>
      <c r="J1239" s="140" t="str">
        <f t="shared" si="79"/>
        <v>CONDULETE DE ALUMINIO TIPO E, PARA ELETRODUTO ROSCAVEL DE 1", COM TAMPA CEGA</v>
      </c>
    </row>
    <row r="1240" spans="1:10" x14ac:dyDescent="0.25">
      <c r="A1240" s="169">
        <v>2567</v>
      </c>
      <c r="B1240" s="169" t="s">
        <v>24636</v>
      </c>
      <c r="C1240" s="169" t="s">
        <v>10225</v>
      </c>
      <c r="D1240" s="169" t="s">
        <v>1289</v>
      </c>
      <c r="E1240" s="103" t="s">
        <v>30095</v>
      </c>
      <c r="F1240" s="104"/>
      <c r="G1240" s="105">
        <f t="shared" si="76"/>
        <v>35.06</v>
      </c>
      <c r="H1240" s="101" t="str">
        <f t="shared" si="77"/>
        <v>Sinapi 2567</v>
      </c>
      <c r="I1240" s="101" t="str">
        <f t="shared" si="78"/>
        <v>UN</v>
      </c>
      <c r="J1240" s="140" t="str">
        <f t="shared" si="79"/>
        <v>CONDULETE DE ALUMINIO TIPO E, PARA ELETRODUTO ROSCAVEL DE 2", COM TAMPA CEGA</v>
      </c>
    </row>
    <row r="1241" spans="1:10" x14ac:dyDescent="0.25">
      <c r="A1241" s="169">
        <v>2565</v>
      </c>
      <c r="B1241" s="169" t="s">
        <v>24637</v>
      </c>
      <c r="C1241" s="169" t="s">
        <v>10225</v>
      </c>
      <c r="D1241" s="169" t="s">
        <v>1289</v>
      </c>
      <c r="E1241" s="103" t="s">
        <v>16490</v>
      </c>
      <c r="F1241" s="104"/>
      <c r="G1241" s="105">
        <f t="shared" si="76"/>
        <v>8.73</v>
      </c>
      <c r="H1241" s="101" t="str">
        <f t="shared" si="77"/>
        <v>Sinapi 2565</v>
      </c>
      <c r="I1241" s="101" t="str">
        <f t="shared" si="78"/>
        <v>UN</v>
      </c>
      <c r="J1241" s="140" t="str">
        <f t="shared" si="79"/>
        <v>CONDULETE DE ALUMINIO TIPO E, PARA ELETRODUTO ROSCAVEL DE 3/4", COM TAMPA CEGA</v>
      </c>
    </row>
    <row r="1242" spans="1:10" x14ac:dyDescent="0.25">
      <c r="A1242" s="169">
        <v>2568</v>
      </c>
      <c r="B1242" s="169" t="s">
        <v>24638</v>
      </c>
      <c r="C1242" s="169" t="s">
        <v>10225</v>
      </c>
      <c r="D1242" s="169" t="s">
        <v>1289</v>
      </c>
      <c r="E1242" s="103" t="s">
        <v>30096</v>
      </c>
      <c r="F1242" s="104"/>
      <c r="G1242" s="105">
        <f t="shared" si="76"/>
        <v>97.36</v>
      </c>
      <c r="H1242" s="101" t="str">
        <f t="shared" si="77"/>
        <v>Sinapi 2568</v>
      </c>
      <c r="I1242" s="101" t="str">
        <f t="shared" si="78"/>
        <v>UN</v>
      </c>
      <c r="J1242" s="140" t="str">
        <f t="shared" si="79"/>
        <v>CONDULETE DE ALUMINIO TIPO E, PARA ELETRODUTO ROSCAVEL DE 3", COM TAMPA CEGA</v>
      </c>
    </row>
    <row r="1243" spans="1:10" x14ac:dyDescent="0.25">
      <c r="A1243" s="169">
        <v>2594</v>
      </c>
      <c r="B1243" s="169" t="s">
        <v>24639</v>
      </c>
      <c r="C1243" s="169" t="s">
        <v>10225</v>
      </c>
      <c r="D1243" s="169" t="s">
        <v>1289</v>
      </c>
      <c r="E1243" s="103" t="s">
        <v>30097</v>
      </c>
      <c r="F1243" s="104"/>
      <c r="G1243" s="105">
        <f t="shared" si="76"/>
        <v>162.19999999999999</v>
      </c>
      <c r="H1243" s="101" t="str">
        <f t="shared" si="77"/>
        <v>Sinapi 2594</v>
      </c>
      <c r="I1243" s="101" t="str">
        <f t="shared" si="78"/>
        <v>UN</v>
      </c>
      <c r="J1243" s="140" t="str">
        <f t="shared" si="79"/>
        <v>CONDULETE DE ALUMINIO TIPO E, PARA ELETRODUTO ROSCAVEL DE 4", COM TAMPA CEGA</v>
      </c>
    </row>
    <row r="1244" spans="1:10" x14ac:dyDescent="0.25">
      <c r="A1244" s="169">
        <v>2587</v>
      </c>
      <c r="B1244" s="169" t="s">
        <v>24640</v>
      </c>
      <c r="C1244" s="169" t="s">
        <v>10225</v>
      </c>
      <c r="D1244" s="169" t="s">
        <v>1289</v>
      </c>
      <c r="E1244" s="103" t="s">
        <v>14919</v>
      </c>
      <c r="F1244" s="104"/>
      <c r="G1244" s="105">
        <f t="shared" si="76"/>
        <v>27.64</v>
      </c>
      <c r="H1244" s="101" t="str">
        <f t="shared" si="77"/>
        <v>Sinapi 2587</v>
      </c>
      <c r="I1244" s="101" t="str">
        <f t="shared" si="78"/>
        <v>UN</v>
      </c>
      <c r="J1244" s="140" t="str">
        <f t="shared" si="79"/>
        <v>CONDULETE DE ALUMINIO TIPO LR, PARA ELETRODUTO ROSCAVEL DE 1 1/2", COM TAMPA CEGA</v>
      </c>
    </row>
    <row r="1245" spans="1:10" x14ac:dyDescent="0.25">
      <c r="A1245" s="169">
        <v>2588</v>
      </c>
      <c r="B1245" s="169" t="s">
        <v>24641</v>
      </c>
      <c r="C1245" s="169" t="s">
        <v>10225</v>
      </c>
      <c r="D1245" s="169" t="s">
        <v>1289</v>
      </c>
      <c r="E1245" s="103" t="s">
        <v>21448</v>
      </c>
      <c r="F1245" s="104"/>
      <c r="G1245" s="105">
        <f t="shared" si="76"/>
        <v>21.96</v>
      </c>
      <c r="H1245" s="101" t="str">
        <f t="shared" si="77"/>
        <v>Sinapi 2588</v>
      </c>
      <c r="I1245" s="101" t="str">
        <f t="shared" si="78"/>
        <v>UN</v>
      </c>
      <c r="J1245" s="140" t="str">
        <f t="shared" si="79"/>
        <v>CONDULETE DE ALUMINIO TIPO LR, PARA ELETRODUTO ROSCAVEL DE 1 1/4", COM TAMPA CEGA</v>
      </c>
    </row>
    <row r="1246" spans="1:10" x14ac:dyDescent="0.25">
      <c r="A1246" s="169">
        <v>2569</v>
      </c>
      <c r="B1246" s="169" t="s">
        <v>24642</v>
      </c>
      <c r="C1246" s="169" t="s">
        <v>10225</v>
      </c>
      <c r="D1246" s="169" t="s">
        <v>1289</v>
      </c>
      <c r="E1246" s="103" t="s">
        <v>19871</v>
      </c>
      <c r="F1246" s="104"/>
      <c r="G1246" s="105">
        <f t="shared" si="76"/>
        <v>8.4600000000000009</v>
      </c>
      <c r="H1246" s="101" t="str">
        <f t="shared" si="77"/>
        <v>Sinapi 2569</v>
      </c>
      <c r="I1246" s="101" t="str">
        <f t="shared" si="78"/>
        <v>UN</v>
      </c>
      <c r="J1246" s="140" t="str">
        <f t="shared" si="79"/>
        <v>CONDULETE DE ALUMINIO TIPO LR, PARA ELETRODUTO ROSCAVEL DE 1/2", COM TAMPA CEGA</v>
      </c>
    </row>
    <row r="1247" spans="1:10" x14ac:dyDescent="0.25">
      <c r="A1247" s="169">
        <v>2570</v>
      </c>
      <c r="B1247" s="169" t="s">
        <v>24643</v>
      </c>
      <c r="C1247" s="169" t="s">
        <v>10225</v>
      </c>
      <c r="D1247" s="169" t="s">
        <v>1289</v>
      </c>
      <c r="E1247" s="103" t="s">
        <v>23246</v>
      </c>
      <c r="F1247" s="104"/>
      <c r="G1247" s="105">
        <f t="shared" si="76"/>
        <v>14.18</v>
      </c>
      <c r="H1247" s="101" t="str">
        <f t="shared" si="77"/>
        <v>Sinapi 2570</v>
      </c>
      <c r="I1247" s="101" t="str">
        <f t="shared" si="78"/>
        <v>UN</v>
      </c>
      <c r="J1247" s="140" t="str">
        <f t="shared" si="79"/>
        <v>CONDULETE DE ALUMINIO TIPO LR, PARA ELETRODUTO ROSCAVEL DE 1", COM TAMPA CEGA</v>
      </c>
    </row>
    <row r="1248" spans="1:10" x14ac:dyDescent="0.25">
      <c r="A1248" s="169">
        <v>2571</v>
      </c>
      <c r="B1248" s="169" t="s">
        <v>24644</v>
      </c>
      <c r="C1248" s="169" t="s">
        <v>10225</v>
      </c>
      <c r="D1248" s="169" t="s">
        <v>1289</v>
      </c>
      <c r="E1248" s="103" t="s">
        <v>30098</v>
      </c>
      <c r="F1248" s="104"/>
      <c r="G1248" s="105">
        <f t="shared" si="76"/>
        <v>42.1</v>
      </c>
      <c r="H1248" s="101" t="str">
        <f t="shared" si="77"/>
        <v>Sinapi 2571</v>
      </c>
      <c r="I1248" s="101" t="str">
        <f t="shared" si="78"/>
        <v>UN</v>
      </c>
      <c r="J1248" s="140" t="str">
        <f t="shared" si="79"/>
        <v>CONDULETE DE ALUMINIO TIPO LR, PARA ELETRODUTO ROSCAVEL DE 2", COM TAMPA CEGA</v>
      </c>
    </row>
    <row r="1249" spans="1:10" x14ac:dyDescent="0.25">
      <c r="A1249" s="169">
        <v>2593</v>
      </c>
      <c r="B1249" s="169" t="s">
        <v>24645</v>
      </c>
      <c r="C1249" s="169" t="s">
        <v>10225</v>
      </c>
      <c r="D1249" s="169" t="s">
        <v>1289</v>
      </c>
      <c r="E1249" s="103" t="s">
        <v>11137</v>
      </c>
      <c r="F1249" s="104"/>
      <c r="G1249" s="105">
        <f t="shared" si="76"/>
        <v>9.02</v>
      </c>
      <c r="H1249" s="101" t="str">
        <f t="shared" si="77"/>
        <v>Sinapi 2593</v>
      </c>
      <c r="I1249" s="101" t="str">
        <f t="shared" si="78"/>
        <v>UN</v>
      </c>
      <c r="J1249" s="140" t="str">
        <f t="shared" si="79"/>
        <v>CONDULETE DE ALUMINIO TIPO LR, PARA ELETRODUTO ROSCAVEL DE 3/4", COM TAMPA CEGA</v>
      </c>
    </row>
    <row r="1250" spans="1:10" x14ac:dyDescent="0.25">
      <c r="A1250" s="169">
        <v>2572</v>
      </c>
      <c r="B1250" s="169" t="s">
        <v>24646</v>
      </c>
      <c r="C1250" s="169" t="s">
        <v>10225</v>
      </c>
      <c r="D1250" s="169" t="s">
        <v>1289</v>
      </c>
      <c r="E1250" s="103" t="s">
        <v>29033</v>
      </c>
      <c r="F1250" s="104"/>
      <c r="G1250" s="105">
        <f t="shared" si="76"/>
        <v>124.51</v>
      </c>
      <c r="H1250" s="101" t="str">
        <f t="shared" si="77"/>
        <v>Sinapi 2572</v>
      </c>
      <c r="I1250" s="101" t="str">
        <f t="shared" si="78"/>
        <v>UN</v>
      </c>
      <c r="J1250" s="140" t="str">
        <f t="shared" si="79"/>
        <v>CONDULETE DE ALUMINIO TIPO LR, PARA ELETRODUTO ROSCAVEL DE 3", COM TAMPA CEGA</v>
      </c>
    </row>
    <row r="1251" spans="1:10" x14ac:dyDescent="0.25">
      <c r="A1251" s="169">
        <v>2595</v>
      </c>
      <c r="B1251" s="169" t="s">
        <v>24647</v>
      </c>
      <c r="C1251" s="169" t="s">
        <v>10225</v>
      </c>
      <c r="D1251" s="169" t="s">
        <v>1289</v>
      </c>
      <c r="E1251" s="103" t="s">
        <v>30099</v>
      </c>
      <c r="F1251" s="104"/>
      <c r="G1251" s="105">
        <f t="shared" si="76"/>
        <v>194.26</v>
      </c>
      <c r="H1251" s="101" t="str">
        <f t="shared" si="77"/>
        <v>Sinapi 2595</v>
      </c>
      <c r="I1251" s="101" t="str">
        <f t="shared" si="78"/>
        <v>UN</v>
      </c>
      <c r="J1251" s="140" t="str">
        <f t="shared" si="79"/>
        <v>CONDULETE DE ALUMINIO TIPO LR, PARA ELETRODUTO ROSCAVEL DE 4", COM TAMPA CEGA</v>
      </c>
    </row>
    <row r="1252" spans="1:10" x14ac:dyDescent="0.25">
      <c r="A1252" s="169">
        <v>2576</v>
      </c>
      <c r="B1252" s="169" t="s">
        <v>24648</v>
      </c>
      <c r="C1252" s="169" t="s">
        <v>10225</v>
      </c>
      <c r="D1252" s="169" t="s">
        <v>1289</v>
      </c>
      <c r="E1252" s="103" t="s">
        <v>21973</v>
      </c>
      <c r="F1252" s="104"/>
      <c r="G1252" s="105">
        <f t="shared" si="76"/>
        <v>33.11</v>
      </c>
      <c r="H1252" s="101" t="str">
        <f t="shared" si="77"/>
        <v>Sinapi 2576</v>
      </c>
      <c r="I1252" s="101" t="str">
        <f t="shared" si="78"/>
        <v>UN</v>
      </c>
      <c r="J1252" s="140" t="str">
        <f t="shared" si="79"/>
        <v>CONDULETE DE ALUMINIO TIPO T, PARA ELETRODUTO ROSCAVEL DE 1 1/2", COM TAMPA CEGA</v>
      </c>
    </row>
    <row r="1253" spans="1:10" x14ac:dyDescent="0.25">
      <c r="A1253" s="169">
        <v>2575</v>
      </c>
      <c r="B1253" s="169" t="s">
        <v>24650</v>
      </c>
      <c r="C1253" s="169" t="s">
        <v>10225</v>
      </c>
      <c r="D1253" s="169" t="s">
        <v>1289</v>
      </c>
      <c r="E1253" s="103" t="s">
        <v>22035</v>
      </c>
      <c r="F1253" s="104"/>
      <c r="G1253" s="105">
        <f t="shared" si="76"/>
        <v>24.89</v>
      </c>
      <c r="H1253" s="101" t="str">
        <f t="shared" si="77"/>
        <v>Sinapi 2575</v>
      </c>
      <c r="I1253" s="101" t="str">
        <f t="shared" si="78"/>
        <v>UN</v>
      </c>
      <c r="J1253" s="140" t="str">
        <f t="shared" si="79"/>
        <v>CONDULETE DE ALUMINIO TIPO T, PARA ELETRODUTO ROSCAVEL DE 1 1/4", COM TAMPA CEGA</v>
      </c>
    </row>
    <row r="1254" spans="1:10" x14ac:dyDescent="0.25">
      <c r="A1254" s="169">
        <v>2573</v>
      </c>
      <c r="B1254" s="169" t="s">
        <v>24651</v>
      </c>
      <c r="C1254" s="169" t="s">
        <v>10225</v>
      </c>
      <c r="D1254" s="169" t="s">
        <v>1289</v>
      </c>
      <c r="E1254" s="103" t="s">
        <v>13840</v>
      </c>
      <c r="F1254" s="104"/>
      <c r="G1254" s="105">
        <f t="shared" si="76"/>
        <v>10.34</v>
      </c>
      <c r="H1254" s="101" t="str">
        <f t="shared" si="77"/>
        <v>Sinapi 2573</v>
      </c>
      <c r="I1254" s="101" t="str">
        <f t="shared" si="78"/>
        <v>UN</v>
      </c>
      <c r="J1254" s="140" t="str">
        <f t="shared" si="79"/>
        <v>CONDULETE DE ALUMINIO TIPO T, PARA ELETRODUTO ROSCAVEL DE 1/2", COM TAMPA CEGA</v>
      </c>
    </row>
    <row r="1255" spans="1:10" x14ac:dyDescent="0.25">
      <c r="A1255" s="169">
        <v>2586</v>
      </c>
      <c r="B1255" s="169" t="s">
        <v>24652</v>
      </c>
      <c r="C1255" s="169" t="s">
        <v>10225</v>
      </c>
      <c r="D1255" s="169" t="s">
        <v>1289</v>
      </c>
      <c r="E1255" s="103" t="s">
        <v>15688</v>
      </c>
      <c r="F1255" s="104"/>
      <c r="G1255" s="105">
        <f t="shared" si="76"/>
        <v>16.760000000000002</v>
      </c>
      <c r="H1255" s="101" t="str">
        <f t="shared" si="77"/>
        <v>Sinapi 2586</v>
      </c>
      <c r="I1255" s="101" t="str">
        <f t="shared" si="78"/>
        <v>UN</v>
      </c>
      <c r="J1255" s="140" t="str">
        <f t="shared" si="79"/>
        <v>CONDULETE DE ALUMINIO TIPO T, PARA ELETRODUTO ROSCAVEL DE 1", COM TAMPA CEGA</v>
      </c>
    </row>
    <row r="1256" spans="1:10" x14ac:dyDescent="0.25">
      <c r="A1256" s="169">
        <v>2577</v>
      </c>
      <c r="B1256" s="169" t="s">
        <v>24653</v>
      </c>
      <c r="C1256" s="169" t="s">
        <v>10225</v>
      </c>
      <c r="D1256" s="169" t="s">
        <v>1289</v>
      </c>
      <c r="E1256" s="103" t="s">
        <v>29460</v>
      </c>
      <c r="F1256" s="104"/>
      <c r="G1256" s="105">
        <f t="shared" si="76"/>
        <v>44.87</v>
      </c>
      <c r="H1256" s="101" t="str">
        <f t="shared" si="77"/>
        <v>Sinapi 2577</v>
      </c>
      <c r="I1256" s="101" t="str">
        <f t="shared" si="78"/>
        <v>UN</v>
      </c>
      <c r="J1256" s="140" t="str">
        <f t="shared" si="79"/>
        <v>CONDULETE DE ALUMINIO TIPO T, PARA ELETRODUTO ROSCAVEL DE 2", COM TAMPA CEGA</v>
      </c>
    </row>
    <row r="1257" spans="1:10" x14ac:dyDescent="0.25">
      <c r="A1257" s="169">
        <v>2574</v>
      </c>
      <c r="B1257" s="169" t="s">
        <v>24654</v>
      </c>
      <c r="C1257" s="169" t="s">
        <v>10225</v>
      </c>
      <c r="D1257" s="169" t="s">
        <v>1289</v>
      </c>
      <c r="E1257" s="103" t="s">
        <v>12326</v>
      </c>
      <c r="F1257" s="104"/>
      <c r="G1257" s="105">
        <f t="shared" si="76"/>
        <v>10.4</v>
      </c>
      <c r="H1257" s="101" t="str">
        <f t="shared" si="77"/>
        <v>Sinapi 2574</v>
      </c>
      <c r="I1257" s="101" t="str">
        <f t="shared" si="78"/>
        <v>UN</v>
      </c>
      <c r="J1257" s="140" t="str">
        <f t="shared" si="79"/>
        <v>CONDULETE DE ALUMINIO TIPO T, PARA ELETRODUTO ROSCAVEL DE 3/4", COM TAMPA CEGA</v>
      </c>
    </row>
    <row r="1258" spans="1:10" x14ac:dyDescent="0.25">
      <c r="A1258" s="169">
        <v>2578</v>
      </c>
      <c r="B1258" s="169" t="s">
        <v>24655</v>
      </c>
      <c r="C1258" s="169" t="s">
        <v>10225</v>
      </c>
      <c r="D1258" s="169" t="s">
        <v>1289</v>
      </c>
      <c r="E1258" s="103" t="s">
        <v>30100</v>
      </c>
      <c r="F1258" s="104"/>
      <c r="G1258" s="105">
        <f t="shared" si="76"/>
        <v>140.1</v>
      </c>
      <c r="H1258" s="101" t="str">
        <f t="shared" si="77"/>
        <v>Sinapi 2578</v>
      </c>
      <c r="I1258" s="101" t="str">
        <f t="shared" si="78"/>
        <v>UN</v>
      </c>
      <c r="J1258" s="140" t="str">
        <f t="shared" si="79"/>
        <v>CONDULETE DE ALUMINIO TIPO T, PARA ELETRODUTO ROSCAVEL DE 3", COM TAMPA CEGA</v>
      </c>
    </row>
    <row r="1259" spans="1:10" x14ac:dyDescent="0.25">
      <c r="A1259" s="169">
        <v>2585</v>
      </c>
      <c r="B1259" s="169" t="s">
        <v>24656</v>
      </c>
      <c r="C1259" s="169" t="s">
        <v>10225</v>
      </c>
      <c r="D1259" s="169" t="s">
        <v>1289</v>
      </c>
      <c r="E1259" s="103" t="s">
        <v>30101</v>
      </c>
      <c r="F1259" s="104"/>
      <c r="G1259" s="105">
        <f t="shared" si="76"/>
        <v>192.25</v>
      </c>
      <c r="H1259" s="101" t="str">
        <f t="shared" si="77"/>
        <v>Sinapi 2585</v>
      </c>
      <c r="I1259" s="101" t="str">
        <f t="shared" si="78"/>
        <v>UN</v>
      </c>
      <c r="J1259" s="140" t="str">
        <f t="shared" si="79"/>
        <v>CONDULETE DE ALUMINIO TIPO T, PARA ELETRODUTO ROSCAVEL DE 4", COM TAMPA CEGA</v>
      </c>
    </row>
    <row r="1260" spans="1:10" x14ac:dyDescent="0.25">
      <c r="A1260" s="169">
        <v>12008</v>
      </c>
      <c r="B1260" s="169" t="s">
        <v>24658</v>
      </c>
      <c r="C1260" s="169" t="s">
        <v>10225</v>
      </c>
      <c r="D1260" s="169" t="s">
        <v>1289</v>
      </c>
      <c r="E1260" s="103" t="s">
        <v>30102</v>
      </c>
      <c r="F1260" s="104"/>
      <c r="G1260" s="105">
        <f t="shared" si="76"/>
        <v>103.15</v>
      </c>
      <c r="H1260" s="101" t="str">
        <f t="shared" si="77"/>
        <v>Sinapi 12008</v>
      </c>
      <c r="I1260" s="101" t="str">
        <f t="shared" si="78"/>
        <v>UN</v>
      </c>
      <c r="J1260" s="140" t="str">
        <f t="shared" si="79"/>
        <v>CONDULETE DE ALUMINIO TIPO TB, PARA ELETRODUTO ROSCAVEL DE 3", COM TAMPA CEGA</v>
      </c>
    </row>
    <row r="1261" spans="1:10" x14ac:dyDescent="0.25">
      <c r="A1261" s="169">
        <v>2582</v>
      </c>
      <c r="B1261" s="169" t="s">
        <v>24660</v>
      </c>
      <c r="C1261" s="169" t="s">
        <v>10225</v>
      </c>
      <c r="D1261" s="169" t="s">
        <v>1289</v>
      </c>
      <c r="E1261" s="103" t="s">
        <v>30103</v>
      </c>
      <c r="F1261" s="104"/>
      <c r="G1261" s="105">
        <f t="shared" si="76"/>
        <v>30.71</v>
      </c>
      <c r="H1261" s="101" t="str">
        <f t="shared" si="77"/>
        <v>Sinapi 2582</v>
      </c>
      <c r="I1261" s="101" t="str">
        <f t="shared" si="78"/>
        <v>UN</v>
      </c>
      <c r="J1261" s="140" t="str">
        <f t="shared" si="79"/>
        <v>CONDULETE DE ALUMINIO TIPO X, PARA ELETRODUTO ROSCAVEL DE 1 1/2", COM TAMPA CEGA</v>
      </c>
    </row>
    <row r="1262" spans="1:10" x14ac:dyDescent="0.25">
      <c r="A1262" s="169">
        <v>2597</v>
      </c>
      <c r="B1262" s="169" t="s">
        <v>24661</v>
      </c>
      <c r="C1262" s="169" t="s">
        <v>10225</v>
      </c>
      <c r="D1262" s="169" t="s">
        <v>1289</v>
      </c>
      <c r="E1262" s="103" t="s">
        <v>28810</v>
      </c>
      <c r="F1262" s="104"/>
      <c r="G1262" s="105">
        <f t="shared" si="76"/>
        <v>26.32</v>
      </c>
      <c r="H1262" s="101" t="str">
        <f t="shared" si="77"/>
        <v>Sinapi 2597</v>
      </c>
      <c r="I1262" s="101" t="str">
        <f t="shared" si="78"/>
        <v>UN</v>
      </c>
      <c r="J1262" s="140" t="str">
        <f t="shared" si="79"/>
        <v>CONDULETE DE ALUMINIO TIPO X, PARA ELETRODUTO ROSCAVEL DE 1 1/4", COM TAMPA CEGA</v>
      </c>
    </row>
    <row r="1263" spans="1:10" x14ac:dyDescent="0.25">
      <c r="A1263" s="169">
        <v>2579</v>
      </c>
      <c r="B1263" s="169" t="s">
        <v>24662</v>
      </c>
      <c r="C1263" s="169" t="s">
        <v>10225</v>
      </c>
      <c r="D1263" s="169" t="s">
        <v>1289</v>
      </c>
      <c r="E1263" s="103" t="s">
        <v>18310</v>
      </c>
      <c r="F1263" s="104"/>
      <c r="G1263" s="105">
        <f t="shared" si="76"/>
        <v>12.53</v>
      </c>
      <c r="H1263" s="101" t="str">
        <f t="shared" si="77"/>
        <v>Sinapi 2579</v>
      </c>
      <c r="I1263" s="101" t="str">
        <f t="shared" si="78"/>
        <v>UN</v>
      </c>
      <c r="J1263" s="140" t="str">
        <f t="shared" si="79"/>
        <v>CONDULETE DE ALUMINIO TIPO X, PARA ELETRODUTO ROSCAVEL DE 1/2", COM TAMPA CEGA</v>
      </c>
    </row>
    <row r="1264" spans="1:10" x14ac:dyDescent="0.25">
      <c r="A1264" s="169">
        <v>2581</v>
      </c>
      <c r="B1264" s="169" t="s">
        <v>24663</v>
      </c>
      <c r="C1264" s="169" t="s">
        <v>10225</v>
      </c>
      <c r="D1264" s="169" t="s">
        <v>1289</v>
      </c>
      <c r="E1264" s="103" t="s">
        <v>30104</v>
      </c>
      <c r="F1264" s="104"/>
      <c r="G1264" s="105">
        <f t="shared" si="76"/>
        <v>16.04</v>
      </c>
      <c r="H1264" s="101" t="str">
        <f t="shared" si="77"/>
        <v>Sinapi 2581</v>
      </c>
      <c r="I1264" s="101" t="str">
        <f t="shared" si="78"/>
        <v>UN</v>
      </c>
      <c r="J1264" s="140" t="str">
        <f t="shared" si="79"/>
        <v>CONDULETE DE ALUMINIO TIPO X, PARA ELETRODUTO ROSCAVEL DE 1", COM TAMPA CEGA</v>
      </c>
    </row>
    <row r="1265" spans="1:10" x14ac:dyDescent="0.25">
      <c r="A1265" s="169">
        <v>2596</v>
      </c>
      <c r="B1265" s="169" t="s">
        <v>24664</v>
      </c>
      <c r="C1265" s="169" t="s">
        <v>10225</v>
      </c>
      <c r="D1265" s="169" t="s">
        <v>1289</v>
      </c>
      <c r="E1265" s="103" t="s">
        <v>30105</v>
      </c>
      <c r="F1265" s="104"/>
      <c r="G1265" s="105">
        <f t="shared" si="76"/>
        <v>47.43</v>
      </c>
      <c r="H1265" s="101" t="str">
        <f t="shared" si="77"/>
        <v>Sinapi 2596</v>
      </c>
      <c r="I1265" s="101" t="str">
        <f t="shared" si="78"/>
        <v>UN</v>
      </c>
      <c r="J1265" s="140" t="str">
        <f t="shared" si="79"/>
        <v>CONDULETE DE ALUMINIO TIPO X, PARA ELETRODUTO ROSCAVEL DE 2", COM TAMPA CEGA</v>
      </c>
    </row>
    <row r="1266" spans="1:10" x14ac:dyDescent="0.25">
      <c r="A1266" s="169">
        <v>2580</v>
      </c>
      <c r="B1266" s="169" t="s">
        <v>24665</v>
      </c>
      <c r="C1266" s="169" t="s">
        <v>10225</v>
      </c>
      <c r="D1266" s="169" t="s">
        <v>1289</v>
      </c>
      <c r="E1266" s="103" t="s">
        <v>17941</v>
      </c>
      <c r="F1266" s="104"/>
      <c r="G1266" s="105">
        <f t="shared" si="76"/>
        <v>13.73</v>
      </c>
      <c r="H1266" s="101" t="str">
        <f t="shared" si="77"/>
        <v>Sinapi 2580</v>
      </c>
      <c r="I1266" s="101" t="str">
        <f t="shared" si="78"/>
        <v>UN</v>
      </c>
      <c r="J1266" s="140" t="str">
        <f t="shared" si="79"/>
        <v>CONDULETE DE ALUMINIO TIPO X, PARA ELETRODUTO ROSCAVEL DE 3/4", COM TAMPA CEGA</v>
      </c>
    </row>
    <row r="1267" spans="1:10" x14ac:dyDescent="0.25">
      <c r="A1267" s="169">
        <v>2583</v>
      </c>
      <c r="B1267" s="169" t="s">
        <v>24666</v>
      </c>
      <c r="C1267" s="169" t="s">
        <v>10225</v>
      </c>
      <c r="D1267" s="169" t="s">
        <v>1289</v>
      </c>
      <c r="E1267" s="103" t="s">
        <v>30106</v>
      </c>
      <c r="F1267" s="104"/>
      <c r="G1267" s="105">
        <f t="shared" si="76"/>
        <v>115.37</v>
      </c>
      <c r="H1267" s="101" t="str">
        <f t="shared" si="77"/>
        <v>Sinapi 2583</v>
      </c>
      <c r="I1267" s="101" t="str">
        <f t="shared" si="78"/>
        <v>UN</v>
      </c>
      <c r="J1267" s="140" t="str">
        <f t="shared" si="79"/>
        <v>CONDULETE DE ALUMINIO TIPO X, PARA ELETRODUTO ROSCAVEL DE 3", COM TAMPA CEGA</v>
      </c>
    </row>
    <row r="1268" spans="1:10" x14ac:dyDescent="0.25">
      <c r="A1268" s="169">
        <v>2584</v>
      </c>
      <c r="B1268" s="169" t="s">
        <v>24668</v>
      </c>
      <c r="C1268" s="169" t="s">
        <v>10225</v>
      </c>
      <c r="D1268" s="169" t="s">
        <v>1289</v>
      </c>
      <c r="E1268" s="103" t="s">
        <v>22744</v>
      </c>
      <c r="F1268" s="104"/>
      <c r="G1268" s="105">
        <f t="shared" si="76"/>
        <v>192.05</v>
      </c>
      <c r="H1268" s="101" t="str">
        <f t="shared" si="77"/>
        <v>Sinapi 2584</v>
      </c>
      <c r="I1268" s="101" t="str">
        <f t="shared" si="78"/>
        <v>UN</v>
      </c>
      <c r="J1268" s="140" t="str">
        <f t="shared" si="79"/>
        <v>CONDULETE DE ALUMINIO TIPO X, PARA ELETRODUTO ROSCAVEL DE 4", COM TAMPA CEGA</v>
      </c>
    </row>
    <row r="1269" spans="1:10" x14ac:dyDescent="0.25">
      <c r="A1269" s="169">
        <v>12010</v>
      </c>
      <c r="B1269" s="169" t="s">
        <v>24669</v>
      </c>
      <c r="C1269" s="169" t="s">
        <v>10225</v>
      </c>
      <c r="D1269" s="169" t="s">
        <v>1289</v>
      </c>
      <c r="E1269" s="103" t="s">
        <v>23132</v>
      </c>
      <c r="F1269" s="104"/>
      <c r="G1269" s="105">
        <f t="shared" si="76"/>
        <v>8.6300000000000008</v>
      </c>
      <c r="H1269" s="101" t="str">
        <f t="shared" si="77"/>
        <v>Sinapi 12010</v>
      </c>
      <c r="I1269" s="101" t="str">
        <f t="shared" si="78"/>
        <v>UN</v>
      </c>
      <c r="J1269" s="140" t="str">
        <f t="shared" si="79"/>
        <v>CONDULETE EM PVC, TIPO "B", SEM TAMPA, DE 1/2" OU 3/4"</v>
      </c>
    </row>
    <row r="1270" spans="1:10" x14ac:dyDescent="0.25">
      <c r="A1270" s="169">
        <v>39329</v>
      </c>
      <c r="B1270" s="169" t="s">
        <v>24670</v>
      </c>
      <c r="C1270" s="169" t="s">
        <v>10225</v>
      </c>
      <c r="D1270" s="169" t="s">
        <v>1289</v>
      </c>
      <c r="E1270" s="103" t="s">
        <v>2774</v>
      </c>
      <c r="F1270" s="104"/>
      <c r="G1270" s="105">
        <f t="shared" si="76"/>
        <v>9.0299999999999994</v>
      </c>
      <c r="H1270" s="101" t="str">
        <f t="shared" si="77"/>
        <v>Sinapi 39329</v>
      </c>
      <c r="I1270" s="101" t="str">
        <f t="shared" si="78"/>
        <v>UN</v>
      </c>
      <c r="J1270" s="140" t="str">
        <f t="shared" si="79"/>
        <v>CONDULETE EM PVC, TIPO "B", SEM TAMPA, DE 1"</v>
      </c>
    </row>
    <row r="1271" spans="1:10" x14ac:dyDescent="0.25">
      <c r="A1271" s="169">
        <v>39330</v>
      </c>
      <c r="B1271" s="169" t="s">
        <v>24671</v>
      </c>
      <c r="C1271" s="169" t="s">
        <v>10225</v>
      </c>
      <c r="D1271" s="169" t="s">
        <v>1289</v>
      </c>
      <c r="E1271" s="103" t="s">
        <v>22713</v>
      </c>
      <c r="F1271" s="104"/>
      <c r="G1271" s="105">
        <f t="shared" si="76"/>
        <v>9.5</v>
      </c>
      <c r="H1271" s="101" t="str">
        <f t="shared" si="77"/>
        <v>Sinapi 39330</v>
      </c>
      <c r="I1271" s="101" t="str">
        <f t="shared" si="78"/>
        <v>UN</v>
      </c>
      <c r="J1271" s="140" t="str">
        <f t="shared" si="79"/>
        <v>CONDULETE EM PVC, TIPO "C", SEM TAMPA, DE 1/2"</v>
      </c>
    </row>
    <row r="1272" spans="1:10" x14ac:dyDescent="0.25">
      <c r="A1272" s="169">
        <v>39332</v>
      </c>
      <c r="B1272" s="169" t="s">
        <v>24672</v>
      </c>
      <c r="C1272" s="169" t="s">
        <v>10225</v>
      </c>
      <c r="D1272" s="169" t="s">
        <v>1289</v>
      </c>
      <c r="E1272" s="103" t="s">
        <v>16382</v>
      </c>
      <c r="F1272" s="104"/>
      <c r="G1272" s="105">
        <f t="shared" si="76"/>
        <v>10.61</v>
      </c>
      <c r="H1272" s="101" t="str">
        <f t="shared" si="77"/>
        <v>Sinapi 39332</v>
      </c>
      <c r="I1272" s="101" t="str">
        <f t="shared" si="78"/>
        <v>UN</v>
      </c>
      <c r="J1272" s="140" t="str">
        <f t="shared" si="79"/>
        <v>CONDULETE EM PVC, TIPO "C", SEM TAMPA, DE 1"</v>
      </c>
    </row>
    <row r="1273" spans="1:10" x14ac:dyDescent="0.25">
      <c r="A1273" s="169">
        <v>39331</v>
      </c>
      <c r="B1273" s="169" t="s">
        <v>24673</v>
      </c>
      <c r="C1273" s="169" t="s">
        <v>10225</v>
      </c>
      <c r="D1273" s="169" t="s">
        <v>1289</v>
      </c>
      <c r="E1273" s="103" t="s">
        <v>19283</v>
      </c>
      <c r="F1273" s="104"/>
      <c r="G1273" s="105">
        <f t="shared" si="76"/>
        <v>8.4499999999999993</v>
      </c>
      <c r="H1273" s="101" t="str">
        <f t="shared" si="77"/>
        <v>Sinapi 39331</v>
      </c>
      <c r="I1273" s="101" t="str">
        <f t="shared" si="78"/>
        <v>UN</v>
      </c>
      <c r="J1273" s="140" t="str">
        <f t="shared" si="79"/>
        <v>CONDULETE EM PVC, TIPO "C", SEM TAMPA, DE 3/4"</v>
      </c>
    </row>
    <row r="1274" spans="1:10" x14ac:dyDescent="0.25">
      <c r="A1274" s="169">
        <v>39333</v>
      </c>
      <c r="B1274" s="169" t="s">
        <v>24674</v>
      </c>
      <c r="C1274" s="169" t="s">
        <v>10225</v>
      </c>
      <c r="D1274" s="169" t="s">
        <v>1289</v>
      </c>
      <c r="E1274" s="103" t="s">
        <v>14948</v>
      </c>
      <c r="F1274" s="104"/>
      <c r="G1274" s="105">
        <f t="shared" si="76"/>
        <v>8.24</v>
      </c>
      <c r="H1274" s="101" t="str">
        <f t="shared" si="77"/>
        <v>Sinapi 39333</v>
      </c>
      <c r="I1274" s="101" t="str">
        <f t="shared" si="78"/>
        <v>UN</v>
      </c>
      <c r="J1274" s="140" t="str">
        <f t="shared" si="79"/>
        <v>CONDULETE EM PVC, TIPO "E", SEM TAMPA, DE 1/2"</v>
      </c>
    </row>
    <row r="1275" spans="1:10" x14ac:dyDescent="0.25">
      <c r="A1275" s="169">
        <v>39335</v>
      </c>
      <c r="B1275" s="169" t="s">
        <v>24675</v>
      </c>
      <c r="C1275" s="169" t="s">
        <v>10225</v>
      </c>
      <c r="D1275" s="169" t="s">
        <v>1289</v>
      </c>
      <c r="E1275" s="103" t="s">
        <v>5618</v>
      </c>
      <c r="F1275" s="104"/>
      <c r="G1275" s="105">
        <f t="shared" si="76"/>
        <v>9.5299999999999994</v>
      </c>
      <c r="H1275" s="101" t="str">
        <f t="shared" si="77"/>
        <v>Sinapi 39335</v>
      </c>
      <c r="I1275" s="101" t="str">
        <f t="shared" si="78"/>
        <v>UN</v>
      </c>
      <c r="J1275" s="140" t="str">
        <f t="shared" si="79"/>
        <v>CONDULETE EM PVC, TIPO "E", SEM TAMPA, DE 1"</v>
      </c>
    </row>
    <row r="1276" spans="1:10" x14ac:dyDescent="0.25">
      <c r="A1276" s="169">
        <v>39334</v>
      </c>
      <c r="B1276" s="169" t="s">
        <v>24676</v>
      </c>
      <c r="C1276" s="169" t="s">
        <v>10225</v>
      </c>
      <c r="D1276" s="169" t="s">
        <v>1289</v>
      </c>
      <c r="E1276" s="103" t="s">
        <v>22739</v>
      </c>
      <c r="F1276" s="104"/>
      <c r="G1276" s="105">
        <f t="shared" si="76"/>
        <v>7.58</v>
      </c>
      <c r="H1276" s="101" t="str">
        <f t="shared" si="77"/>
        <v>Sinapi 39334</v>
      </c>
      <c r="I1276" s="101" t="str">
        <f t="shared" si="78"/>
        <v>UN</v>
      </c>
      <c r="J1276" s="140" t="str">
        <f t="shared" si="79"/>
        <v>CONDULETE EM PVC, TIPO "E", SEM TAMPA, DE 3/4"</v>
      </c>
    </row>
    <row r="1277" spans="1:10" x14ac:dyDescent="0.25">
      <c r="A1277" s="169">
        <v>12016</v>
      </c>
      <c r="B1277" s="169" t="s">
        <v>24677</v>
      </c>
      <c r="C1277" s="169" t="s">
        <v>10225</v>
      </c>
      <c r="D1277" s="169" t="s">
        <v>1289</v>
      </c>
      <c r="E1277" s="103" t="s">
        <v>20028</v>
      </c>
      <c r="F1277" s="104"/>
      <c r="G1277" s="105">
        <f t="shared" si="76"/>
        <v>9.51</v>
      </c>
      <c r="H1277" s="101" t="str">
        <f t="shared" si="77"/>
        <v>Sinapi 12016</v>
      </c>
      <c r="I1277" s="101" t="str">
        <f t="shared" si="78"/>
        <v>UN</v>
      </c>
      <c r="J1277" s="140" t="str">
        <f t="shared" si="79"/>
        <v>CONDULETE EM PVC, TIPO "LB", SEM TAMPA, DE 1/2" OU 3/4"</v>
      </c>
    </row>
    <row r="1278" spans="1:10" x14ac:dyDescent="0.25">
      <c r="A1278" s="169">
        <v>12015</v>
      </c>
      <c r="B1278" s="169" t="s">
        <v>24678</v>
      </c>
      <c r="C1278" s="169" t="s">
        <v>10225</v>
      </c>
      <c r="D1278" s="169" t="s">
        <v>1289</v>
      </c>
      <c r="E1278" s="103" t="s">
        <v>18627</v>
      </c>
      <c r="F1278" s="104"/>
      <c r="G1278" s="105">
        <f t="shared" si="76"/>
        <v>11.07</v>
      </c>
      <c r="H1278" s="101" t="str">
        <f t="shared" si="77"/>
        <v>Sinapi 12015</v>
      </c>
      <c r="I1278" s="101" t="str">
        <f t="shared" si="78"/>
        <v>UN</v>
      </c>
      <c r="J1278" s="140" t="str">
        <f t="shared" si="79"/>
        <v>CONDULETE EM PVC, TIPO "LB", SEM TAMPA, DE 1"</v>
      </c>
    </row>
    <row r="1279" spans="1:10" x14ac:dyDescent="0.25">
      <c r="A1279" s="169">
        <v>12020</v>
      </c>
      <c r="B1279" s="169" t="s">
        <v>24679</v>
      </c>
      <c r="C1279" s="169" t="s">
        <v>10225</v>
      </c>
      <c r="D1279" s="169" t="s">
        <v>1289</v>
      </c>
      <c r="E1279" s="103" t="s">
        <v>20028</v>
      </c>
      <c r="F1279" s="104"/>
      <c r="G1279" s="105">
        <f t="shared" si="76"/>
        <v>9.51</v>
      </c>
      <c r="H1279" s="101" t="str">
        <f t="shared" si="77"/>
        <v>Sinapi 12020</v>
      </c>
      <c r="I1279" s="101" t="str">
        <f t="shared" si="78"/>
        <v>UN</v>
      </c>
      <c r="J1279" s="140" t="str">
        <f t="shared" si="79"/>
        <v>CONDULETE EM PVC, TIPO "LL", SEM TAMPA, DE 1/2" OU 3/4"</v>
      </c>
    </row>
    <row r="1280" spans="1:10" x14ac:dyDescent="0.25">
      <c r="A1280" s="169">
        <v>12019</v>
      </c>
      <c r="B1280" s="169" t="s">
        <v>24680</v>
      </c>
      <c r="C1280" s="169" t="s">
        <v>10225</v>
      </c>
      <c r="D1280" s="169" t="s">
        <v>1289</v>
      </c>
      <c r="E1280" s="103" t="s">
        <v>18627</v>
      </c>
      <c r="F1280" s="104"/>
      <c r="G1280" s="105">
        <f t="shared" si="76"/>
        <v>11.07</v>
      </c>
      <c r="H1280" s="101" t="str">
        <f t="shared" si="77"/>
        <v>Sinapi 12019</v>
      </c>
      <c r="I1280" s="101" t="str">
        <f t="shared" si="78"/>
        <v>UN</v>
      </c>
      <c r="J1280" s="140" t="str">
        <f t="shared" si="79"/>
        <v>CONDULETE EM PVC, TIPO "LL", SEM TAMPA, DE 1"</v>
      </c>
    </row>
    <row r="1281" spans="1:10" x14ac:dyDescent="0.25">
      <c r="A1281" s="169">
        <v>39336</v>
      </c>
      <c r="B1281" s="169" t="s">
        <v>24681</v>
      </c>
      <c r="C1281" s="169" t="s">
        <v>10225</v>
      </c>
      <c r="D1281" s="169" t="s">
        <v>1289</v>
      </c>
      <c r="E1281" s="103" t="s">
        <v>22713</v>
      </c>
      <c r="F1281" s="104"/>
      <c r="G1281" s="105">
        <f t="shared" si="76"/>
        <v>9.5</v>
      </c>
      <c r="H1281" s="101" t="str">
        <f t="shared" si="77"/>
        <v>Sinapi 39336</v>
      </c>
      <c r="I1281" s="101" t="str">
        <f t="shared" si="78"/>
        <v>UN</v>
      </c>
      <c r="J1281" s="140" t="str">
        <f t="shared" si="79"/>
        <v>CONDULETE EM PVC, TIPO "LR", SEM TAMPA, DE 1/2"</v>
      </c>
    </row>
    <row r="1282" spans="1:10" x14ac:dyDescent="0.25">
      <c r="A1282" s="169">
        <v>39338</v>
      </c>
      <c r="B1282" s="169" t="s">
        <v>24682</v>
      </c>
      <c r="C1282" s="169" t="s">
        <v>10225</v>
      </c>
      <c r="D1282" s="169" t="s">
        <v>1289</v>
      </c>
      <c r="E1282" s="103" t="s">
        <v>16382</v>
      </c>
      <c r="F1282" s="104"/>
      <c r="G1282" s="105">
        <f t="shared" si="76"/>
        <v>10.61</v>
      </c>
      <c r="H1282" s="101" t="str">
        <f t="shared" si="77"/>
        <v>Sinapi 39338</v>
      </c>
      <c r="I1282" s="101" t="str">
        <f t="shared" si="78"/>
        <v>UN</v>
      </c>
      <c r="J1282" s="140" t="str">
        <f t="shared" si="79"/>
        <v>CONDULETE EM PVC, TIPO "LR", SEM TAMPA, DE 1"</v>
      </c>
    </row>
    <row r="1283" spans="1:10" x14ac:dyDescent="0.25">
      <c r="A1283" s="169">
        <v>39337</v>
      </c>
      <c r="B1283" s="169" t="s">
        <v>24683</v>
      </c>
      <c r="C1283" s="169" t="s">
        <v>10225</v>
      </c>
      <c r="D1283" s="169" t="s">
        <v>1289</v>
      </c>
      <c r="E1283" s="103" t="s">
        <v>19283</v>
      </c>
      <c r="F1283" s="104"/>
      <c r="G1283" s="105">
        <f t="shared" si="76"/>
        <v>8.4499999999999993</v>
      </c>
      <c r="H1283" s="101" t="str">
        <f t="shared" si="77"/>
        <v>Sinapi 39337</v>
      </c>
      <c r="I1283" s="101" t="str">
        <f t="shared" si="78"/>
        <v>UN</v>
      </c>
      <c r="J1283" s="140" t="str">
        <f t="shared" si="79"/>
        <v>CONDULETE EM PVC, TIPO "LR", SEM TAMPA, DE 3/4"</v>
      </c>
    </row>
    <row r="1284" spans="1:10" x14ac:dyDescent="0.25">
      <c r="A1284" s="169">
        <v>39341</v>
      </c>
      <c r="B1284" s="169" t="s">
        <v>24684</v>
      </c>
      <c r="C1284" s="169" t="s">
        <v>10225</v>
      </c>
      <c r="D1284" s="169" t="s">
        <v>1289</v>
      </c>
      <c r="E1284" s="103" t="s">
        <v>18110</v>
      </c>
      <c r="F1284" s="104"/>
      <c r="G1284" s="105">
        <f t="shared" si="76"/>
        <v>13.84</v>
      </c>
      <c r="H1284" s="101" t="str">
        <f t="shared" si="77"/>
        <v>Sinapi 39341</v>
      </c>
      <c r="I1284" s="101" t="str">
        <f t="shared" si="78"/>
        <v>UN</v>
      </c>
      <c r="J1284" s="140" t="str">
        <f t="shared" si="79"/>
        <v>CONDULETE EM PVC, TIPO "T", SEM TAMPA, DE 1"</v>
      </c>
    </row>
    <row r="1285" spans="1:10" x14ac:dyDescent="0.25">
      <c r="A1285" s="169">
        <v>39340</v>
      </c>
      <c r="B1285" s="169" t="s">
        <v>24685</v>
      </c>
      <c r="C1285" s="169" t="s">
        <v>10225</v>
      </c>
      <c r="D1285" s="169" t="s">
        <v>1289</v>
      </c>
      <c r="E1285" s="103" t="s">
        <v>14786</v>
      </c>
      <c r="F1285" s="104"/>
      <c r="G1285" s="105">
        <f t="shared" si="76"/>
        <v>10.16</v>
      </c>
      <c r="H1285" s="101" t="str">
        <f t="shared" si="77"/>
        <v>Sinapi 39340</v>
      </c>
      <c r="I1285" s="101" t="str">
        <f t="shared" si="78"/>
        <v>UN</v>
      </c>
      <c r="J1285" s="140" t="str">
        <f t="shared" si="79"/>
        <v>CONDULETE EM PVC, TIPO "T", SEM TAMPA, DE 3/4"</v>
      </c>
    </row>
    <row r="1286" spans="1:10" x14ac:dyDescent="0.25">
      <c r="A1286" s="169">
        <v>12025</v>
      </c>
      <c r="B1286" s="169" t="s">
        <v>24686</v>
      </c>
      <c r="C1286" s="169" t="s">
        <v>10225</v>
      </c>
      <c r="D1286" s="169" t="s">
        <v>1289</v>
      </c>
      <c r="E1286" s="103" t="s">
        <v>22897</v>
      </c>
      <c r="F1286" s="104"/>
      <c r="G1286" s="105">
        <f t="shared" si="76"/>
        <v>10.49</v>
      </c>
      <c r="H1286" s="101" t="str">
        <f t="shared" si="77"/>
        <v>Sinapi 12025</v>
      </c>
      <c r="I1286" s="101" t="str">
        <f t="shared" si="78"/>
        <v>UN</v>
      </c>
      <c r="J1286" s="140" t="str">
        <f t="shared" si="79"/>
        <v>CONDULETE EM PVC, TIPO "TB", SEM TAMPA, DE 1/2" OU 3/4"</v>
      </c>
    </row>
    <row r="1287" spans="1:10" x14ac:dyDescent="0.25">
      <c r="A1287" s="169">
        <v>39342</v>
      </c>
      <c r="B1287" s="169" t="s">
        <v>24687</v>
      </c>
      <c r="C1287" s="169" t="s">
        <v>10225</v>
      </c>
      <c r="D1287" s="169" t="s">
        <v>1289</v>
      </c>
      <c r="E1287" s="103" t="s">
        <v>18110</v>
      </c>
      <c r="F1287" s="104"/>
      <c r="G1287" s="105">
        <f t="shared" si="76"/>
        <v>13.84</v>
      </c>
      <c r="H1287" s="101" t="str">
        <f t="shared" si="77"/>
        <v>Sinapi 39342</v>
      </c>
      <c r="I1287" s="101" t="str">
        <f t="shared" si="78"/>
        <v>UN</v>
      </c>
      <c r="J1287" s="140" t="str">
        <f t="shared" si="79"/>
        <v>CONDULETE EM PVC, TIPO "TB", SEM TAMPA, DE 1"</v>
      </c>
    </row>
    <row r="1288" spans="1:10" x14ac:dyDescent="0.25">
      <c r="A1288" s="169">
        <v>39343</v>
      </c>
      <c r="B1288" s="169" t="s">
        <v>24688</v>
      </c>
      <c r="C1288" s="169" t="s">
        <v>10225</v>
      </c>
      <c r="D1288" s="169" t="s">
        <v>1289</v>
      </c>
      <c r="E1288" s="103" t="s">
        <v>17920</v>
      </c>
      <c r="F1288" s="104"/>
      <c r="G1288" s="105">
        <f t="shared" ref="G1288:G1351" si="80">IF(E1288="","",E1288+0)</f>
        <v>11.68</v>
      </c>
      <c r="H1288" s="101" t="str">
        <f t="shared" ref="H1288:H1351" si="81">IF(G1288="","",TRIM(CONCATENATE("Sinapi ",A1288)))</f>
        <v>Sinapi 39343</v>
      </c>
      <c r="I1288" s="101" t="str">
        <f t="shared" ref="I1288:I1351" si="82">TRIM(C1288)</f>
        <v>UN</v>
      </c>
      <c r="J1288" s="140" t="str">
        <f t="shared" si="79"/>
        <v>CONDULETE EM PVC, TIPO "X", SEM TAMPA, DE 1/2"</v>
      </c>
    </row>
    <row r="1289" spans="1:10" x14ac:dyDescent="0.25">
      <c r="A1289" s="169">
        <v>39345</v>
      </c>
      <c r="B1289" s="169" t="s">
        <v>24690</v>
      </c>
      <c r="C1289" s="169" t="s">
        <v>10225</v>
      </c>
      <c r="D1289" s="169" t="s">
        <v>1289</v>
      </c>
      <c r="E1289" s="103" t="s">
        <v>23472</v>
      </c>
      <c r="F1289" s="104"/>
      <c r="G1289" s="105">
        <f t="shared" si="80"/>
        <v>15.81</v>
      </c>
      <c r="H1289" s="101" t="str">
        <f t="shared" si="81"/>
        <v>Sinapi 39345</v>
      </c>
      <c r="I1289" s="101" t="str">
        <f t="shared" si="82"/>
        <v>UN</v>
      </c>
      <c r="J1289" s="140" t="str">
        <f t="shared" ref="J1289:J1352" si="83">TRIM(B1289)</f>
        <v>CONDULETE EM PVC, TIPO "X", SEM TAMPA, DE 1"</v>
      </c>
    </row>
    <row r="1290" spans="1:10" x14ac:dyDescent="0.25">
      <c r="A1290" s="169">
        <v>39344</v>
      </c>
      <c r="B1290" s="169" t="s">
        <v>24691</v>
      </c>
      <c r="C1290" s="169" t="s">
        <v>10225</v>
      </c>
      <c r="D1290" s="169" t="s">
        <v>1289</v>
      </c>
      <c r="E1290" s="103" t="s">
        <v>14351</v>
      </c>
      <c r="F1290" s="104"/>
      <c r="G1290" s="105">
        <f t="shared" si="80"/>
        <v>11.3</v>
      </c>
      <c r="H1290" s="101" t="str">
        <f t="shared" si="81"/>
        <v>Sinapi 39344</v>
      </c>
      <c r="I1290" s="101" t="str">
        <f t="shared" si="82"/>
        <v>UN</v>
      </c>
      <c r="J1290" s="140" t="str">
        <f t="shared" si="83"/>
        <v>CONDULETE EM PVC, TIPO "X", SEM TAMPA, DE 3/4"</v>
      </c>
    </row>
    <row r="1291" spans="1:10" x14ac:dyDescent="0.25">
      <c r="A1291" s="169">
        <v>12623</v>
      </c>
      <c r="B1291" s="169" t="s">
        <v>24692</v>
      </c>
      <c r="C1291" s="169" t="s">
        <v>10229</v>
      </c>
      <c r="D1291" s="169" t="s">
        <v>1289</v>
      </c>
      <c r="E1291" s="103" t="s">
        <v>20665</v>
      </c>
      <c r="F1291" s="104"/>
      <c r="G1291" s="105">
        <f t="shared" si="80"/>
        <v>44.31</v>
      </c>
      <c r="H1291" s="101" t="str">
        <f t="shared" si="81"/>
        <v>Sinapi 12623</v>
      </c>
      <c r="I1291" s="101" t="str">
        <f t="shared" si="82"/>
        <v>M</v>
      </c>
      <c r="J1291" s="140" t="str">
        <f t="shared" si="83"/>
        <v>CONDUTOR PLUVIAL, PVC, CIRCULAR, DIAMETRO ENTRE 80 E 100 MM, PARA DRENAGEM PLUVIAL PREDIAL</v>
      </c>
    </row>
    <row r="1292" spans="1:10" x14ac:dyDescent="0.25">
      <c r="A1292" s="169">
        <v>34498</v>
      </c>
      <c r="B1292" s="169" t="s">
        <v>24693</v>
      </c>
      <c r="C1292" s="169" t="s">
        <v>10225</v>
      </c>
      <c r="D1292" s="169" t="s">
        <v>1289</v>
      </c>
      <c r="E1292" s="103" t="s">
        <v>30107</v>
      </c>
      <c r="F1292" s="104"/>
      <c r="G1292" s="105">
        <f t="shared" si="80"/>
        <v>86.71</v>
      </c>
      <c r="H1292" s="101" t="str">
        <f t="shared" si="81"/>
        <v>Sinapi 34498</v>
      </c>
      <c r="I1292" s="101" t="str">
        <f t="shared" si="82"/>
        <v>UN</v>
      </c>
      <c r="J1292" s="140" t="str">
        <f t="shared" si="83"/>
        <v>CONE DE SINALIZACAO EM PVC FLEXIVEL, H = 70 / 76 CM (NBR 15071)</v>
      </c>
    </row>
    <row r="1293" spans="1:10" x14ac:dyDescent="0.25">
      <c r="A1293" s="169">
        <v>13244</v>
      </c>
      <c r="B1293" s="169" t="s">
        <v>24695</v>
      </c>
      <c r="C1293" s="169" t="s">
        <v>10225</v>
      </c>
      <c r="D1293" s="169" t="s">
        <v>1288</v>
      </c>
      <c r="E1293" s="103" t="s">
        <v>29549</v>
      </c>
      <c r="F1293" s="104"/>
      <c r="G1293" s="105">
        <f t="shared" si="80"/>
        <v>36.5</v>
      </c>
      <c r="H1293" s="101" t="str">
        <f t="shared" si="81"/>
        <v>Sinapi 13244</v>
      </c>
      <c r="I1293" s="101" t="str">
        <f t="shared" si="82"/>
        <v>UN</v>
      </c>
      <c r="J1293" s="140" t="str">
        <f t="shared" si="83"/>
        <v>CONE DE SINALIZACAO EM PVC RIGIDO COM FAIXA REFLETIVA, H = 70 / 76 CM</v>
      </c>
    </row>
    <row r="1294" spans="1:10" x14ac:dyDescent="0.25">
      <c r="A1294" s="169">
        <v>38998</v>
      </c>
      <c r="B1294" s="169" t="s">
        <v>24696</v>
      </c>
      <c r="C1294" s="169" t="s">
        <v>10225</v>
      </c>
      <c r="D1294" s="169" t="s">
        <v>1290</v>
      </c>
      <c r="E1294" s="103" t="s">
        <v>15504</v>
      </c>
      <c r="F1294" s="104"/>
      <c r="G1294" s="105">
        <f t="shared" si="80"/>
        <v>9.9700000000000006</v>
      </c>
      <c r="H1294" s="101" t="str">
        <f t="shared" si="81"/>
        <v>Sinapi 38998</v>
      </c>
      <c r="I1294" s="101" t="str">
        <f t="shared" si="82"/>
        <v>UN</v>
      </c>
      <c r="J1294" s="140" t="str">
        <f t="shared" si="83"/>
        <v>CONECTOR / ADAPTADOR F/F, COM INSERTO METALICO, PPR, DN 25 MM X 1/2", PARA AGUA QUENTE E FRIA PREDIAL</v>
      </c>
    </row>
    <row r="1295" spans="1:10" x14ac:dyDescent="0.25">
      <c r="A1295" s="169">
        <v>38999</v>
      </c>
      <c r="B1295" s="169" t="s">
        <v>24697</v>
      </c>
      <c r="C1295" s="169" t="s">
        <v>10225</v>
      </c>
      <c r="D1295" s="169" t="s">
        <v>1290</v>
      </c>
      <c r="E1295" s="103" t="s">
        <v>20646</v>
      </c>
      <c r="F1295" s="104"/>
      <c r="G1295" s="105">
        <f t="shared" si="80"/>
        <v>25.2</v>
      </c>
      <c r="H1295" s="101" t="str">
        <f t="shared" si="81"/>
        <v>Sinapi 38999</v>
      </c>
      <c r="I1295" s="101" t="str">
        <f t="shared" si="82"/>
        <v>UN</v>
      </c>
      <c r="J1295" s="140" t="str">
        <f t="shared" si="83"/>
        <v>CONECTOR / ADAPTADOR F/F, COM INSERTO METALICO, PPR, DN 32 MM X 3/4", PARA AGUA QUENTE E FRIA PREDIAL</v>
      </c>
    </row>
    <row r="1296" spans="1:10" x14ac:dyDescent="0.25">
      <c r="A1296" s="169">
        <v>38996</v>
      </c>
      <c r="B1296" s="169" t="s">
        <v>24698</v>
      </c>
      <c r="C1296" s="169" t="s">
        <v>10225</v>
      </c>
      <c r="D1296" s="169" t="s">
        <v>1290</v>
      </c>
      <c r="E1296" s="103" t="s">
        <v>15633</v>
      </c>
      <c r="F1296" s="104"/>
      <c r="G1296" s="105">
        <f t="shared" si="80"/>
        <v>17.809999999999999</v>
      </c>
      <c r="H1296" s="101" t="str">
        <f t="shared" si="81"/>
        <v>Sinapi 38996</v>
      </c>
      <c r="I1296" s="101" t="str">
        <f t="shared" si="82"/>
        <v>UN</v>
      </c>
      <c r="J1296" s="140" t="str">
        <f t="shared" si="83"/>
        <v>CONECTOR / ADAPTADOR F/M, COM INSERTO METALICO, PPR, DN 25 MM X 1/2", PARA AGUA QUENTE E FRIA PREDIAL</v>
      </c>
    </row>
    <row r="1297" spans="1:10" x14ac:dyDescent="0.25">
      <c r="A1297" s="169">
        <v>44173</v>
      </c>
      <c r="B1297" s="169" t="s">
        <v>24699</v>
      </c>
      <c r="C1297" s="169" t="s">
        <v>10225</v>
      </c>
      <c r="D1297" s="169" t="s">
        <v>1290</v>
      </c>
      <c r="E1297" s="103" t="s">
        <v>22722</v>
      </c>
      <c r="F1297" s="104"/>
      <c r="G1297" s="105">
        <f t="shared" si="80"/>
        <v>17.32</v>
      </c>
      <c r="H1297" s="101" t="str">
        <f t="shared" si="81"/>
        <v>Sinapi 44173</v>
      </c>
      <c r="I1297" s="101" t="str">
        <f t="shared" si="82"/>
        <v>UN</v>
      </c>
      <c r="J1297" s="140" t="str">
        <f t="shared" si="83"/>
        <v>CONECTOR / ADAPTADOR F/M, COM INSERTO METALICO, PPR, DN 25 MM X 3/4", PARA AGUA QUENTE E FRIA PREDIAL</v>
      </c>
    </row>
    <row r="1298" spans="1:10" x14ac:dyDescent="0.25">
      <c r="A1298" s="169">
        <v>44174</v>
      </c>
      <c r="B1298" s="169" t="s">
        <v>24700</v>
      </c>
      <c r="C1298" s="169" t="s">
        <v>10225</v>
      </c>
      <c r="D1298" s="169" t="s">
        <v>1290</v>
      </c>
      <c r="E1298" s="103" t="s">
        <v>29265</v>
      </c>
      <c r="F1298" s="104"/>
      <c r="G1298" s="105">
        <f t="shared" si="80"/>
        <v>28.36</v>
      </c>
      <c r="H1298" s="101" t="str">
        <f t="shared" si="81"/>
        <v>Sinapi 44174</v>
      </c>
      <c r="I1298" s="101" t="str">
        <f t="shared" si="82"/>
        <v>UN</v>
      </c>
      <c r="J1298" s="140" t="str">
        <f t="shared" si="83"/>
        <v>CONECTOR / ADAPTADOR F/M, COM INSERTO METALICO, PPR, DN 32 MM X 1", PARA AGUA QUENTE E FRIA PREDIAL</v>
      </c>
    </row>
    <row r="1299" spans="1:10" x14ac:dyDescent="0.25">
      <c r="A1299" s="169">
        <v>38997</v>
      </c>
      <c r="B1299" s="169" t="s">
        <v>24701</v>
      </c>
      <c r="C1299" s="169" t="s">
        <v>10225</v>
      </c>
      <c r="D1299" s="169" t="s">
        <v>1290</v>
      </c>
      <c r="E1299" s="103" t="s">
        <v>17308</v>
      </c>
      <c r="F1299" s="104"/>
      <c r="G1299" s="105">
        <f t="shared" si="80"/>
        <v>25.48</v>
      </c>
      <c r="H1299" s="101" t="str">
        <f t="shared" si="81"/>
        <v>Sinapi 38997</v>
      </c>
      <c r="I1299" s="101" t="str">
        <f t="shared" si="82"/>
        <v>UN</v>
      </c>
      <c r="J1299" s="140" t="str">
        <f t="shared" si="83"/>
        <v>CONECTOR / ADAPTADOR F/M, COM INSERTO METALICO, PPR, DN 32 MM X 3/4", PARA AGUA QUENTE E FRIA PREDIAL</v>
      </c>
    </row>
    <row r="1300" spans="1:10" x14ac:dyDescent="0.25">
      <c r="A1300" s="169">
        <v>39600</v>
      </c>
      <c r="B1300" s="169" t="s">
        <v>24702</v>
      </c>
      <c r="C1300" s="169" t="s">
        <v>10225</v>
      </c>
      <c r="D1300" s="169" t="s">
        <v>1289</v>
      </c>
      <c r="E1300" s="103" t="s">
        <v>19300</v>
      </c>
      <c r="F1300" s="104"/>
      <c r="G1300" s="105">
        <f t="shared" si="80"/>
        <v>15.31</v>
      </c>
      <c r="H1300" s="101" t="str">
        <f t="shared" si="81"/>
        <v>Sinapi 39600</v>
      </c>
      <c r="I1300" s="101" t="str">
        <f t="shared" si="82"/>
        <v>UN</v>
      </c>
      <c r="J1300" s="140" t="str">
        <f t="shared" si="83"/>
        <v>CONECTOR / TOMADA FEMEA RJ 45, CATEGORIA 5 E (CAT 5E) PARA CABOS</v>
      </c>
    </row>
    <row r="1301" spans="1:10" x14ac:dyDescent="0.25">
      <c r="A1301" s="169">
        <v>39601</v>
      </c>
      <c r="B1301" s="169" t="s">
        <v>24703</v>
      </c>
      <c r="C1301" s="169" t="s">
        <v>10225</v>
      </c>
      <c r="D1301" s="169" t="s">
        <v>1289</v>
      </c>
      <c r="E1301" s="103" t="s">
        <v>22093</v>
      </c>
      <c r="F1301" s="104"/>
      <c r="G1301" s="105">
        <f t="shared" si="80"/>
        <v>32.47</v>
      </c>
      <c r="H1301" s="101" t="str">
        <f t="shared" si="81"/>
        <v>Sinapi 39601</v>
      </c>
      <c r="I1301" s="101" t="str">
        <f t="shared" si="82"/>
        <v>UN</v>
      </c>
      <c r="J1301" s="140" t="str">
        <f t="shared" si="83"/>
        <v>CONECTOR / TOMADA FEMEA RJ 45, CATEGORIA 6 (CAT 6) PARA CABOS</v>
      </c>
    </row>
    <row r="1302" spans="1:10" x14ac:dyDescent="0.25">
      <c r="A1302" s="169">
        <v>39862</v>
      </c>
      <c r="B1302" s="169" t="s">
        <v>24705</v>
      </c>
      <c r="C1302" s="169" t="s">
        <v>10225</v>
      </c>
      <c r="D1302" s="169" t="s">
        <v>1290</v>
      </c>
      <c r="E1302" s="103" t="s">
        <v>17918</v>
      </c>
      <c r="F1302" s="104"/>
      <c r="G1302" s="105">
        <f t="shared" si="80"/>
        <v>12.78</v>
      </c>
      <c r="H1302" s="101" t="str">
        <f t="shared" si="81"/>
        <v>Sinapi 39862</v>
      </c>
      <c r="I1302" s="101" t="str">
        <f t="shared" si="82"/>
        <v>UN</v>
      </c>
      <c r="J1302" s="140" t="str">
        <f t="shared" si="83"/>
        <v>CONECTOR BRONZE/LATAO (REF 603) SEM ANEL DE SOLDA, BOLSA X ROSCA F, 15 MM X 1/2"</v>
      </c>
    </row>
    <row r="1303" spans="1:10" x14ac:dyDescent="0.25">
      <c r="A1303" s="169">
        <v>39863</v>
      </c>
      <c r="B1303" s="169" t="s">
        <v>24706</v>
      </c>
      <c r="C1303" s="169" t="s">
        <v>10225</v>
      </c>
      <c r="D1303" s="169" t="s">
        <v>1290</v>
      </c>
      <c r="E1303" s="103" t="s">
        <v>15636</v>
      </c>
      <c r="F1303" s="104"/>
      <c r="G1303" s="105">
        <f t="shared" si="80"/>
        <v>12.96</v>
      </c>
      <c r="H1303" s="101" t="str">
        <f t="shared" si="81"/>
        <v>Sinapi 39863</v>
      </c>
      <c r="I1303" s="101" t="str">
        <f t="shared" si="82"/>
        <v>UN</v>
      </c>
      <c r="J1303" s="140" t="str">
        <f t="shared" si="83"/>
        <v>CONECTOR BRONZE/LATAO (REF 603) SEM ANEL DE SOLDA, BOLSA X ROSCA F, 22 MM X 1/2"</v>
      </c>
    </row>
    <row r="1304" spans="1:10" x14ac:dyDescent="0.25">
      <c r="A1304" s="169">
        <v>39864</v>
      </c>
      <c r="B1304" s="169" t="s">
        <v>24707</v>
      </c>
      <c r="C1304" s="169" t="s">
        <v>10225</v>
      </c>
      <c r="D1304" s="169" t="s">
        <v>1290</v>
      </c>
      <c r="E1304" s="103" t="s">
        <v>21031</v>
      </c>
      <c r="F1304" s="104"/>
      <c r="G1304" s="105">
        <f t="shared" si="80"/>
        <v>16.079999999999998</v>
      </c>
      <c r="H1304" s="101" t="str">
        <f t="shared" si="81"/>
        <v>Sinapi 39864</v>
      </c>
      <c r="I1304" s="101" t="str">
        <f t="shared" si="82"/>
        <v>UN</v>
      </c>
      <c r="J1304" s="140" t="str">
        <f t="shared" si="83"/>
        <v>CONECTOR BRONZE/LATAO (REF 603) SEM ANEL DE SOLDA, BOLSA X ROSCA F, 22 MM X 3/4"</v>
      </c>
    </row>
    <row r="1305" spans="1:10" x14ac:dyDescent="0.25">
      <c r="A1305" s="169">
        <v>39865</v>
      </c>
      <c r="B1305" s="169" t="s">
        <v>24708</v>
      </c>
      <c r="C1305" s="169" t="s">
        <v>10225</v>
      </c>
      <c r="D1305" s="169" t="s">
        <v>1290</v>
      </c>
      <c r="E1305" s="103" t="s">
        <v>17891</v>
      </c>
      <c r="F1305" s="104"/>
      <c r="G1305" s="105">
        <f t="shared" si="80"/>
        <v>22.67</v>
      </c>
      <c r="H1305" s="101" t="str">
        <f t="shared" si="81"/>
        <v>Sinapi 39865</v>
      </c>
      <c r="I1305" s="101" t="str">
        <f t="shared" si="82"/>
        <v>UN</v>
      </c>
      <c r="J1305" s="140" t="str">
        <f t="shared" si="83"/>
        <v>CONECTOR BRONZE/LATAO (REF 603) SEM ANEL DE SOLDA, BOLSA X ROSCA F, 28 MM X 1/2"</v>
      </c>
    </row>
    <row r="1306" spans="1:10" x14ac:dyDescent="0.25">
      <c r="A1306" s="169">
        <v>2517</v>
      </c>
      <c r="B1306" s="169" t="s">
        <v>24709</v>
      </c>
      <c r="C1306" s="169" t="s">
        <v>10225</v>
      </c>
      <c r="D1306" s="169" t="s">
        <v>1289</v>
      </c>
      <c r="E1306" s="103" t="s">
        <v>23029</v>
      </c>
      <c r="F1306" s="104"/>
      <c r="G1306" s="105">
        <f t="shared" si="80"/>
        <v>19.13</v>
      </c>
      <c r="H1306" s="101" t="str">
        <f t="shared" si="81"/>
        <v>Sinapi 2517</v>
      </c>
      <c r="I1306" s="101" t="str">
        <f t="shared" si="82"/>
        <v>UN</v>
      </c>
      <c r="J1306" s="140" t="str">
        <f t="shared" si="83"/>
        <v>CONECTOR CURVO 90 GRAUS DE ALUMINIO, BITOLA 1 1/2", PARA ADAPTAR ENTRADA DE ELETRODUTO METALICO FLEXIVEL EM QUADROS</v>
      </c>
    </row>
    <row r="1307" spans="1:10" x14ac:dyDescent="0.25">
      <c r="A1307" s="169">
        <v>2522</v>
      </c>
      <c r="B1307" s="169" t="s">
        <v>24710</v>
      </c>
      <c r="C1307" s="169" t="s">
        <v>10225</v>
      </c>
      <c r="D1307" s="169" t="s">
        <v>1289</v>
      </c>
      <c r="E1307" s="103" t="s">
        <v>15131</v>
      </c>
      <c r="F1307" s="104"/>
      <c r="G1307" s="105">
        <f t="shared" si="80"/>
        <v>12.36</v>
      </c>
      <c r="H1307" s="101" t="str">
        <f t="shared" si="81"/>
        <v>Sinapi 2522</v>
      </c>
      <c r="I1307" s="101" t="str">
        <f t="shared" si="82"/>
        <v>UN</v>
      </c>
      <c r="J1307" s="140" t="str">
        <f t="shared" si="83"/>
        <v>CONECTOR CURVO 90 GRAUS DE ALUMINIO, BITOLA 1 1/4", PARA ADAPTAR ENTRADA DE ELETRODUTO METALICO FLEXIVEL EM QUADROS</v>
      </c>
    </row>
    <row r="1308" spans="1:10" x14ac:dyDescent="0.25">
      <c r="A1308" s="169">
        <v>2548</v>
      </c>
      <c r="B1308" s="169" t="s">
        <v>24711</v>
      </c>
      <c r="C1308" s="169" t="s">
        <v>10225</v>
      </c>
      <c r="D1308" s="169" t="s">
        <v>1289</v>
      </c>
      <c r="E1308" s="103" t="s">
        <v>23438</v>
      </c>
      <c r="F1308" s="104"/>
      <c r="G1308" s="105">
        <f t="shared" si="80"/>
        <v>7.6</v>
      </c>
      <c r="H1308" s="101" t="str">
        <f t="shared" si="81"/>
        <v>Sinapi 2548</v>
      </c>
      <c r="I1308" s="101" t="str">
        <f t="shared" si="82"/>
        <v>UN</v>
      </c>
      <c r="J1308" s="140" t="str">
        <f t="shared" si="83"/>
        <v>CONECTOR CURVO 90 GRAUS DE ALUMINIO, BITOLA 1/2", PARA ADAPTAR ENTRADA DE ELETRODUTO METALICO FLEXIVEL EM QUADROS</v>
      </c>
    </row>
    <row r="1309" spans="1:10" x14ac:dyDescent="0.25">
      <c r="A1309" s="169">
        <v>2516</v>
      </c>
      <c r="B1309" s="169" t="s">
        <v>24712</v>
      </c>
      <c r="C1309" s="169" t="s">
        <v>10225</v>
      </c>
      <c r="D1309" s="169" t="s">
        <v>1289</v>
      </c>
      <c r="E1309" s="103" t="s">
        <v>22811</v>
      </c>
      <c r="F1309" s="104"/>
      <c r="G1309" s="105">
        <f t="shared" si="80"/>
        <v>9.93</v>
      </c>
      <c r="H1309" s="101" t="str">
        <f t="shared" si="81"/>
        <v>Sinapi 2516</v>
      </c>
      <c r="I1309" s="101" t="str">
        <f t="shared" si="82"/>
        <v>UN</v>
      </c>
      <c r="J1309" s="140" t="str">
        <f t="shared" si="83"/>
        <v>CONECTOR CURVO 90 GRAUS DE ALUMINIO, BITOLA 1", PARA ADAPTAR ENTRADA DE ELETRODUTO METALICO FLEXIVEL EM QUADROS</v>
      </c>
    </row>
    <row r="1310" spans="1:10" x14ac:dyDescent="0.25">
      <c r="A1310" s="169">
        <v>2518</v>
      </c>
      <c r="B1310" s="169" t="s">
        <v>24713</v>
      </c>
      <c r="C1310" s="169" t="s">
        <v>10225</v>
      </c>
      <c r="D1310" s="169" t="s">
        <v>1289</v>
      </c>
      <c r="E1310" s="103" t="s">
        <v>30108</v>
      </c>
      <c r="F1310" s="104"/>
      <c r="G1310" s="105">
        <f t="shared" si="80"/>
        <v>91.08</v>
      </c>
      <c r="H1310" s="101" t="str">
        <f t="shared" si="81"/>
        <v>Sinapi 2518</v>
      </c>
      <c r="I1310" s="101" t="str">
        <f t="shared" si="82"/>
        <v>UN</v>
      </c>
      <c r="J1310" s="140" t="str">
        <f t="shared" si="83"/>
        <v>CONECTOR CURVO 90 GRAUS DE ALUMINIO, BITOLA 2 1/2", PARA ADAPTAR ENTRADA DE ELETRODUTO METALICO FLEXIVEL EM QUADROS</v>
      </c>
    </row>
    <row r="1311" spans="1:10" x14ac:dyDescent="0.25">
      <c r="A1311" s="169">
        <v>2521</v>
      </c>
      <c r="B1311" s="169" t="s">
        <v>24715</v>
      </c>
      <c r="C1311" s="169" t="s">
        <v>10225</v>
      </c>
      <c r="D1311" s="169" t="s">
        <v>1289</v>
      </c>
      <c r="E1311" s="103" t="s">
        <v>17306</v>
      </c>
      <c r="F1311" s="104"/>
      <c r="G1311" s="105">
        <f t="shared" si="80"/>
        <v>38.770000000000003</v>
      </c>
      <c r="H1311" s="101" t="str">
        <f t="shared" si="81"/>
        <v>Sinapi 2521</v>
      </c>
      <c r="I1311" s="101" t="str">
        <f t="shared" si="82"/>
        <v>UN</v>
      </c>
      <c r="J1311" s="140" t="str">
        <f t="shared" si="83"/>
        <v>CONECTOR CURVO 90 GRAUS DE ALUMINIO, BITOLA 2", PARA ADAPTAR ENTRADA DE ELETRODUTO METALICO FLEXIVEL EM QUADROS</v>
      </c>
    </row>
    <row r="1312" spans="1:10" x14ac:dyDescent="0.25">
      <c r="A1312" s="169">
        <v>2515</v>
      </c>
      <c r="B1312" s="169" t="s">
        <v>24716</v>
      </c>
      <c r="C1312" s="169" t="s">
        <v>10225</v>
      </c>
      <c r="D1312" s="169" t="s">
        <v>1289</v>
      </c>
      <c r="E1312" s="103" t="s">
        <v>23181</v>
      </c>
      <c r="F1312" s="104"/>
      <c r="G1312" s="105">
        <f t="shared" si="80"/>
        <v>8.26</v>
      </c>
      <c r="H1312" s="101" t="str">
        <f t="shared" si="81"/>
        <v>Sinapi 2515</v>
      </c>
      <c r="I1312" s="101" t="str">
        <f t="shared" si="82"/>
        <v>UN</v>
      </c>
      <c r="J1312" s="140" t="str">
        <f t="shared" si="83"/>
        <v>CONECTOR CURVO 90 GRAUS DE ALUMINIO, BITOLA 3/4", PARA ADAPTAR ENTRADA DE ELETRODUTO METALICO FLEXIVEL EM QUADROS</v>
      </c>
    </row>
    <row r="1313" spans="1:10" x14ac:dyDescent="0.25">
      <c r="A1313" s="169">
        <v>2519</v>
      </c>
      <c r="B1313" s="169" t="s">
        <v>24717</v>
      </c>
      <c r="C1313" s="169" t="s">
        <v>10225</v>
      </c>
      <c r="D1313" s="169" t="s">
        <v>1289</v>
      </c>
      <c r="E1313" s="103" t="s">
        <v>30109</v>
      </c>
      <c r="F1313" s="104"/>
      <c r="G1313" s="105">
        <f t="shared" si="80"/>
        <v>109.82</v>
      </c>
      <c r="H1313" s="101" t="str">
        <f t="shared" si="81"/>
        <v>Sinapi 2519</v>
      </c>
      <c r="I1313" s="101" t="str">
        <f t="shared" si="82"/>
        <v>UN</v>
      </c>
      <c r="J1313" s="140" t="str">
        <f t="shared" si="83"/>
        <v>CONECTOR CURVO 90 GRAUS DE ALUMINIO, BITOLA 3", PARA ADAPTAR ENTRADA DE ELETRODUTO METALICO FLEXIVEL EM QUADROS</v>
      </c>
    </row>
    <row r="1314" spans="1:10" x14ac:dyDescent="0.25">
      <c r="A1314" s="169">
        <v>2520</v>
      </c>
      <c r="B1314" s="169" t="s">
        <v>24718</v>
      </c>
      <c r="C1314" s="169" t="s">
        <v>10225</v>
      </c>
      <c r="D1314" s="169" t="s">
        <v>1289</v>
      </c>
      <c r="E1314" s="103" t="s">
        <v>30110</v>
      </c>
      <c r="F1314" s="104"/>
      <c r="G1314" s="105">
        <f t="shared" si="80"/>
        <v>202.14</v>
      </c>
      <c r="H1314" s="101" t="str">
        <f t="shared" si="81"/>
        <v>Sinapi 2520</v>
      </c>
      <c r="I1314" s="101" t="str">
        <f t="shared" si="82"/>
        <v>UN</v>
      </c>
      <c r="J1314" s="140" t="str">
        <f t="shared" si="83"/>
        <v>CONECTOR CURVO 90 GRAUS DE ALUMINIO, BITOLA 4", PARA ADAPTAR ENTRADA DE ELETRODUTO METALICO FLEXIVEL EM QUADROS</v>
      </c>
    </row>
    <row r="1315" spans="1:10" x14ac:dyDescent="0.25">
      <c r="A1315" s="169">
        <v>1602</v>
      </c>
      <c r="B1315" s="169" t="s">
        <v>24719</v>
      </c>
      <c r="C1315" s="169" t="s">
        <v>10225</v>
      </c>
      <c r="D1315" s="169" t="s">
        <v>1289</v>
      </c>
      <c r="E1315" s="103" t="s">
        <v>21978</v>
      </c>
      <c r="F1315" s="104"/>
      <c r="G1315" s="105">
        <f t="shared" si="80"/>
        <v>52.08</v>
      </c>
      <c r="H1315" s="101" t="str">
        <f t="shared" si="81"/>
        <v>Sinapi 1602</v>
      </c>
      <c r="I1315" s="101" t="str">
        <f t="shared" si="82"/>
        <v>UN</v>
      </c>
      <c r="J1315" s="140" t="str">
        <f t="shared" si="83"/>
        <v>CONECTOR DE ALUMINIO TIPO PRENSA CABO, BITOLA 1 1/2", PARA CABOS DE DIAMETRO DE 37 A 40 MM</v>
      </c>
    </row>
    <row r="1316" spans="1:10" x14ac:dyDescent="0.25">
      <c r="A1316" s="169">
        <v>1601</v>
      </c>
      <c r="B1316" s="169" t="s">
        <v>24720</v>
      </c>
      <c r="C1316" s="169" t="s">
        <v>10225</v>
      </c>
      <c r="D1316" s="169" t="s">
        <v>1289</v>
      </c>
      <c r="E1316" s="103" t="s">
        <v>30111</v>
      </c>
      <c r="F1316" s="104"/>
      <c r="G1316" s="105">
        <f t="shared" si="80"/>
        <v>46.42</v>
      </c>
      <c r="H1316" s="101" t="str">
        <f t="shared" si="81"/>
        <v>Sinapi 1601</v>
      </c>
      <c r="I1316" s="101" t="str">
        <f t="shared" si="82"/>
        <v>UN</v>
      </c>
      <c r="J1316" s="140" t="str">
        <f t="shared" si="83"/>
        <v>CONECTOR DE ALUMINIO TIPO PRENSA CABO, BITOLA 1 1/4", PARA CABOS DE DIAMETRO DE 31 A 34 MM</v>
      </c>
    </row>
    <row r="1317" spans="1:10" x14ac:dyDescent="0.25">
      <c r="A1317" s="169">
        <v>1598</v>
      </c>
      <c r="B1317" s="169" t="s">
        <v>24721</v>
      </c>
      <c r="C1317" s="169" t="s">
        <v>10225</v>
      </c>
      <c r="D1317" s="169" t="s">
        <v>1289</v>
      </c>
      <c r="E1317" s="103" t="s">
        <v>15795</v>
      </c>
      <c r="F1317" s="104"/>
      <c r="G1317" s="105">
        <f t="shared" si="80"/>
        <v>13.74</v>
      </c>
      <c r="H1317" s="101" t="str">
        <f t="shared" si="81"/>
        <v>Sinapi 1598</v>
      </c>
      <c r="I1317" s="101" t="str">
        <f t="shared" si="82"/>
        <v>UN</v>
      </c>
      <c r="J1317" s="140" t="str">
        <f t="shared" si="83"/>
        <v>CONECTOR DE ALUMINIO TIPO PRENSA CABO, BITOLA 1/2", PARA CABOS DE DIAMETRO DE 12,5 A 15 MM</v>
      </c>
    </row>
    <row r="1318" spans="1:10" x14ac:dyDescent="0.25">
      <c r="A1318" s="169">
        <v>1600</v>
      </c>
      <c r="B1318" s="169" t="s">
        <v>24722</v>
      </c>
      <c r="C1318" s="169" t="s">
        <v>10225</v>
      </c>
      <c r="D1318" s="169" t="s">
        <v>1289</v>
      </c>
      <c r="E1318" s="103" t="s">
        <v>16298</v>
      </c>
      <c r="F1318" s="104"/>
      <c r="G1318" s="105">
        <f t="shared" si="80"/>
        <v>20.27</v>
      </c>
      <c r="H1318" s="101" t="str">
        <f t="shared" si="81"/>
        <v>Sinapi 1600</v>
      </c>
      <c r="I1318" s="101" t="str">
        <f t="shared" si="82"/>
        <v>UN</v>
      </c>
      <c r="J1318" s="140" t="str">
        <f t="shared" si="83"/>
        <v>CONECTOR DE ALUMINIO TIPO PRENSA CABO, BITOLA 1", PARA CABOS DE DIAMETRO DE 22,5 A 25 MM</v>
      </c>
    </row>
    <row r="1319" spans="1:10" x14ac:dyDescent="0.25">
      <c r="A1319" s="169">
        <v>1603</v>
      </c>
      <c r="B1319" s="169" t="s">
        <v>24723</v>
      </c>
      <c r="C1319" s="169" t="s">
        <v>10225</v>
      </c>
      <c r="D1319" s="169" t="s">
        <v>1289</v>
      </c>
      <c r="E1319" s="103" t="s">
        <v>29959</v>
      </c>
      <c r="F1319" s="104"/>
      <c r="G1319" s="105">
        <f t="shared" si="80"/>
        <v>78.63</v>
      </c>
      <c r="H1319" s="101" t="str">
        <f t="shared" si="81"/>
        <v>Sinapi 1603</v>
      </c>
      <c r="I1319" s="101" t="str">
        <f t="shared" si="82"/>
        <v>UN</v>
      </c>
      <c r="J1319" s="140" t="str">
        <f t="shared" si="83"/>
        <v>CONECTOR DE ALUMINIO TIPO PRENSA CABO, BITOLA 2", PARA CABOS DE DIAMETRO DE 47,5 A 50 MM</v>
      </c>
    </row>
    <row r="1320" spans="1:10" x14ac:dyDescent="0.25">
      <c r="A1320" s="169">
        <v>1599</v>
      </c>
      <c r="B1320" s="169" t="s">
        <v>24724</v>
      </c>
      <c r="C1320" s="169" t="s">
        <v>10225</v>
      </c>
      <c r="D1320" s="169" t="s">
        <v>1289</v>
      </c>
      <c r="E1320" s="103" t="s">
        <v>14630</v>
      </c>
      <c r="F1320" s="104"/>
      <c r="G1320" s="105">
        <f t="shared" si="80"/>
        <v>15.94</v>
      </c>
      <c r="H1320" s="101" t="str">
        <f t="shared" si="81"/>
        <v>Sinapi 1599</v>
      </c>
      <c r="I1320" s="101" t="str">
        <f t="shared" si="82"/>
        <v>UN</v>
      </c>
      <c r="J1320" s="140" t="str">
        <f t="shared" si="83"/>
        <v>CONECTOR DE ALUMINIO TIPO PRENSA CABO, BITOLA 3/4", PARA CABOS DE DIAMETRO DE 17,5 A 20 MM</v>
      </c>
    </row>
    <row r="1321" spans="1:10" x14ac:dyDescent="0.25">
      <c r="A1321" s="169">
        <v>1597</v>
      </c>
      <c r="B1321" s="169" t="s">
        <v>24725</v>
      </c>
      <c r="C1321" s="169" t="s">
        <v>10225</v>
      </c>
      <c r="D1321" s="169" t="s">
        <v>1289</v>
      </c>
      <c r="E1321" s="103" t="s">
        <v>3578</v>
      </c>
      <c r="F1321" s="104"/>
      <c r="G1321" s="105">
        <f t="shared" si="80"/>
        <v>12.91</v>
      </c>
      <c r="H1321" s="101" t="str">
        <f t="shared" si="81"/>
        <v>Sinapi 1597</v>
      </c>
      <c r="I1321" s="101" t="str">
        <f t="shared" si="82"/>
        <v>UN</v>
      </c>
      <c r="J1321" s="140" t="str">
        <f t="shared" si="83"/>
        <v>CONECTOR DE ALUMINIO TIPO PRENSA CABO, BITOLA 3/8", PARA CABOS DE DIAMETRO DE 9 A 10 MM</v>
      </c>
    </row>
    <row r="1322" spans="1:10" x14ac:dyDescent="0.25">
      <c r="A1322" s="169">
        <v>39602</v>
      </c>
      <c r="B1322" s="169" t="s">
        <v>24726</v>
      </c>
      <c r="C1322" s="169" t="s">
        <v>10225</v>
      </c>
      <c r="D1322" s="169" t="s">
        <v>1289</v>
      </c>
      <c r="E1322" s="103" t="s">
        <v>14790</v>
      </c>
      <c r="F1322" s="104"/>
      <c r="G1322" s="105">
        <f t="shared" si="80"/>
        <v>1.62</v>
      </c>
      <c r="H1322" s="101" t="str">
        <f t="shared" si="81"/>
        <v>Sinapi 39602</v>
      </c>
      <c r="I1322" s="101" t="str">
        <f t="shared" si="82"/>
        <v>UN</v>
      </c>
      <c r="J1322" s="140" t="str">
        <f t="shared" si="83"/>
        <v>CONECTOR MACHO RJ 45, CATEGORIA 5 E (CAT 5E) PARA CABOS</v>
      </c>
    </row>
    <row r="1323" spans="1:10" x14ac:dyDescent="0.25">
      <c r="A1323" s="169">
        <v>39603</v>
      </c>
      <c r="B1323" s="169" t="s">
        <v>24727</v>
      </c>
      <c r="C1323" s="169" t="s">
        <v>10225</v>
      </c>
      <c r="D1323" s="169" t="s">
        <v>1289</v>
      </c>
      <c r="E1323" s="103" t="s">
        <v>15561</v>
      </c>
      <c r="F1323" s="104"/>
      <c r="G1323" s="105">
        <f t="shared" si="80"/>
        <v>3.46</v>
      </c>
      <c r="H1323" s="101" t="str">
        <f t="shared" si="81"/>
        <v>Sinapi 39603</v>
      </c>
      <c r="I1323" s="101" t="str">
        <f t="shared" si="82"/>
        <v>UN</v>
      </c>
      <c r="J1323" s="140" t="str">
        <f t="shared" si="83"/>
        <v>CONECTOR MACHO RJ 45, CATEGORIA 6 (CAT 6) PARA CABOS</v>
      </c>
    </row>
    <row r="1324" spans="1:10" x14ac:dyDescent="0.25">
      <c r="A1324" s="169">
        <v>11821</v>
      </c>
      <c r="B1324" s="169" t="s">
        <v>24728</v>
      </c>
      <c r="C1324" s="169" t="s">
        <v>10225</v>
      </c>
      <c r="D1324" s="169" t="s">
        <v>1289</v>
      </c>
      <c r="E1324" s="103" t="s">
        <v>16382</v>
      </c>
      <c r="F1324" s="104"/>
      <c r="G1324" s="105">
        <f t="shared" si="80"/>
        <v>10.61</v>
      </c>
      <c r="H1324" s="101" t="str">
        <f t="shared" si="81"/>
        <v>Sinapi 11821</v>
      </c>
      <c r="I1324" s="101" t="str">
        <f t="shared" si="82"/>
        <v>UN</v>
      </c>
      <c r="J1324" s="140" t="str">
        <f t="shared" si="83"/>
        <v>CONECTOR METALICO TIPO PARAFUSO FENDIDO (SPLIT BOLT), COM SEPARADOR DE CABOS BIMETALICOS, PARA CABOS ATE 25 MM2</v>
      </c>
    </row>
    <row r="1325" spans="1:10" x14ac:dyDescent="0.25">
      <c r="A1325" s="169">
        <v>1562</v>
      </c>
      <c r="B1325" s="169" t="s">
        <v>24729</v>
      </c>
      <c r="C1325" s="169" t="s">
        <v>10225</v>
      </c>
      <c r="D1325" s="169" t="s">
        <v>1289</v>
      </c>
      <c r="E1325" s="103" t="s">
        <v>11446</v>
      </c>
      <c r="F1325" s="104"/>
      <c r="G1325" s="105">
        <f t="shared" si="80"/>
        <v>17.37</v>
      </c>
      <c r="H1325" s="101" t="str">
        <f t="shared" si="81"/>
        <v>Sinapi 1562</v>
      </c>
      <c r="I1325" s="101" t="str">
        <f t="shared" si="82"/>
        <v>UN</v>
      </c>
      <c r="J1325" s="140" t="str">
        <f t="shared" si="83"/>
        <v>CONECTOR METALICO TIPO PARAFUSO FENDIDO (SPLIT BOLT), COM SEPARADOR DE CABOS BIMETALICOS, PARA CABOS ATE 50 MM2</v>
      </c>
    </row>
    <row r="1326" spans="1:10" x14ac:dyDescent="0.25">
      <c r="A1326" s="169">
        <v>1563</v>
      </c>
      <c r="B1326" s="169" t="s">
        <v>24730</v>
      </c>
      <c r="C1326" s="169" t="s">
        <v>10225</v>
      </c>
      <c r="D1326" s="169" t="s">
        <v>1289</v>
      </c>
      <c r="E1326" s="103" t="s">
        <v>16207</v>
      </c>
      <c r="F1326" s="104"/>
      <c r="G1326" s="105">
        <f t="shared" si="80"/>
        <v>23.31</v>
      </c>
      <c r="H1326" s="101" t="str">
        <f t="shared" si="81"/>
        <v>Sinapi 1563</v>
      </c>
      <c r="I1326" s="101" t="str">
        <f t="shared" si="82"/>
        <v>UN</v>
      </c>
      <c r="J1326" s="140" t="str">
        <f t="shared" si="83"/>
        <v>CONECTOR METALICO TIPO PARAFUSO FENDIDO (SPLIT BOLT), COM SEPARADOR DE CABOS BIMETALICOS, PARA CABOS ATE 70 MM2</v>
      </c>
    </row>
    <row r="1327" spans="1:10" x14ac:dyDescent="0.25">
      <c r="A1327" s="169">
        <v>11856</v>
      </c>
      <c r="B1327" s="169" t="s">
        <v>24731</v>
      </c>
      <c r="C1327" s="169" t="s">
        <v>10225</v>
      </c>
      <c r="D1327" s="169" t="s">
        <v>1288</v>
      </c>
      <c r="E1327" s="103" t="s">
        <v>14346</v>
      </c>
      <c r="F1327" s="104"/>
      <c r="G1327" s="105">
        <f t="shared" si="80"/>
        <v>6.95</v>
      </c>
      <c r="H1327" s="101" t="str">
        <f t="shared" si="81"/>
        <v>Sinapi 11856</v>
      </c>
      <c r="I1327" s="101" t="str">
        <f t="shared" si="82"/>
        <v>UN</v>
      </c>
      <c r="J1327" s="140" t="str">
        <f t="shared" si="83"/>
        <v>CONECTOR METALICO TIPO PARAFUSO FENDIDO (SPLIT BOLT), PARA CABOS ATE 10 MM2</v>
      </c>
    </row>
    <row r="1328" spans="1:10" x14ac:dyDescent="0.25">
      <c r="A1328" s="169">
        <v>11857</v>
      </c>
      <c r="B1328" s="169" t="s">
        <v>24732</v>
      </c>
      <c r="C1328" s="169" t="s">
        <v>10225</v>
      </c>
      <c r="D1328" s="169" t="s">
        <v>1289</v>
      </c>
      <c r="E1328" s="103" t="s">
        <v>29335</v>
      </c>
      <c r="F1328" s="104"/>
      <c r="G1328" s="105">
        <f t="shared" si="80"/>
        <v>36.58</v>
      </c>
      <c r="H1328" s="101" t="str">
        <f t="shared" si="81"/>
        <v>Sinapi 11857</v>
      </c>
      <c r="I1328" s="101" t="str">
        <f t="shared" si="82"/>
        <v>UN</v>
      </c>
      <c r="J1328" s="140" t="str">
        <f t="shared" si="83"/>
        <v>CONECTOR METALICO TIPO PARAFUSO FENDIDO (SPLIT BOLT), PARA CABOS ATE 120 MM2</v>
      </c>
    </row>
    <row r="1329" spans="1:10" x14ac:dyDescent="0.25">
      <c r="A1329" s="169">
        <v>11858</v>
      </c>
      <c r="B1329" s="169" t="s">
        <v>24733</v>
      </c>
      <c r="C1329" s="169" t="s">
        <v>10225</v>
      </c>
      <c r="D1329" s="169" t="s">
        <v>1289</v>
      </c>
      <c r="E1329" s="103" t="s">
        <v>24501</v>
      </c>
      <c r="F1329" s="104"/>
      <c r="G1329" s="105">
        <f t="shared" si="80"/>
        <v>45.4</v>
      </c>
      <c r="H1329" s="101" t="str">
        <f t="shared" si="81"/>
        <v>Sinapi 11858</v>
      </c>
      <c r="I1329" s="101" t="str">
        <f t="shared" si="82"/>
        <v>UN</v>
      </c>
      <c r="J1329" s="140" t="str">
        <f t="shared" si="83"/>
        <v>CONECTOR METALICO TIPO PARAFUSO FENDIDO (SPLIT BOLT), PARA CABOS ATE 150 MM2</v>
      </c>
    </row>
    <row r="1330" spans="1:10" x14ac:dyDescent="0.25">
      <c r="A1330" s="169">
        <v>1539</v>
      </c>
      <c r="B1330" s="169" t="s">
        <v>24735</v>
      </c>
      <c r="C1330" s="169" t="s">
        <v>10225</v>
      </c>
      <c r="D1330" s="169" t="s">
        <v>1289</v>
      </c>
      <c r="E1330" s="103" t="s">
        <v>17404</v>
      </c>
      <c r="F1330" s="104"/>
      <c r="G1330" s="105">
        <f t="shared" si="80"/>
        <v>8.17</v>
      </c>
      <c r="H1330" s="101" t="str">
        <f t="shared" si="81"/>
        <v>Sinapi 1539</v>
      </c>
      <c r="I1330" s="101" t="str">
        <f t="shared" si="82"/>
        <v>UN</v>
      </c>
      <c r="J1330" s="140" t="str">
        <f t="shared" si="83"/>
        <v>CONECTOR METALICO TIPO PARAFUSO FENDIDO (SPLIT BOLT), PARA CABOS ATE 16 MM2</v>
      </c>
    </row>
    <row r="1331" spans="1:10" x14ac:dyDescent="0.25">
      <c r="A1331" s="169">
        <v>11859</v>
      </c>
      <c r="B1331" s="169" t="s">
        <v>24736</v>
      </c>
      <c r="C1331" s="169" t="s">
        <v>10225</v>
      </c>
      <c r="D1331" s="169" t="s">
        <v>1289</v>
      </c>
      <c r="E1331" s="103" t="s">
        <v>30112</v>
      </c>
      <c r="F1331" s="104"/>
      <c r="G1331" s="105">
        <f t="shared" si="80"/>
        <v>61.76</v>
      </c>
      <c r="H1331" s="101" t="str">
        <f t="shared" si="81"/>
        <v>Sinapi 11859</v>
      </c>
      <c r="I1331" s="101" t="str">
        <f t="shared" si="82"/>
        <v>UN</v>
      </c>
      <c r="J1331" s="140" t="str">
        <f t="shared" si="83"/>
        <v>CONECTOR METALICO TIPO PARAFUSO FENDIDO (SPLIT BOLT), PARA CABOS ATE 185 MM2</v>
      </c>
    </row>
    <row r="1332" spans="1:10" x14ac:dyDescent="0.25">
      <c r="A1332" s="169">
        <v>1550</v>
      </c>
      <c r="B1332" s="169" t="s">
        <v>24737</v>
      </c>
      <c r="C1332" s="169" t="s">
        <v>10225</v>
      </c>
      <c r="D1332" s="169" t="s">
        <v>1289</v>
      </c>
      <c r="E1332" s="103" t="s">
        <v>21857</v>
      </c>
      <c r="F1332" s="104"/>
      <c r="G1332" s="105">
        <f t="shared" si="80"/>
        <v>8.6199999999999992</v>
      </c>
      <c r="H1332" s="101" t="str">
        <f t="shared" si="81"/>
        <v>Sinapi 1550</v>
      </c>
      <c r="I1332" s="101" t="str">
        <f t="shared" si="82"/>
        <v>UN</v>
      </c>
      <c r="J1332" s="140" t="str">
        <f t="shared" si="83"/>
        <v>CONECTOR METALICO TIPO PARAFUSO FENDIDO (SPLIT BOLT), PARA CABOS ATE 25 MM2</v>
      </c>
    </row>
    <row r="1333" spans="1:10" x14ac:dyDescent="0.25">
      <c r="A1333" s="169">
        <v>11854</v>
      </c>
      <c r="B1333" s="169" t="s">
        <v>24738</v>
      </c>
      <c r="C1333" s="169" t="s">
        <v>10225</v>
      </c>
      <c r="D1333" s="169" t="s">
        <v>1289</v>
      </c>
      <c r="E1333" s="103" t="s">
        <v>15635</v>
      </c>
      <c r="F1333" s="104"/>
      <c r="G1333" s="105">
        <f t="shared" si="80"/>
        <v>10.76</v>
      </c>
      <c r="H1333" s="101" t="str">
        <f t="shared" si="81"/>
        <v>Sinapi 11854</v>
      </c>
      <c r="I1333" s="101" t="str">
        <f t="shared" si="82"/>
        <v>UN</v>
      </c>
      <c r="J1333" s="140" t="str">
        <f t="shared" si="83"/>
        <v>CONECTOR METALICO TIPO PARAFUSO FENDIDO (SPLIT BOLT), PARA CABOS ATE 35 MM2</v>
      </c>
    </row>
    <row r="1334" spans="1:10" x14ac:dyDescent="0.25">
      <c r="A1334" s="169">
        <v>11862</v>
      </c>
      <c r="B1334" s="169" t="s">
        <v>24739</v>
      </c>
      <c r="C1334" s="169" t="s">
        <v>10225</v>
      </c>
      <c r="D1334" s="169" t="s">
        <v>1289</v>
      </c>
      <c r="E1334" s="103" t="s">
        <v>20114</v>
      </c>
      <c r="F1334" s="104"/>
      <c r="G1334" s="105">
        <f t="shared" si="80"/>
        <v>15.1</v>
      </c>
      <c r="H1334" s="101" t="str">
        <f t="shared" si="81"/>
        <v>Sinapi 11862</v>
      </c>
      <c r="I1334" s="101" t="str">
        <f t="shared" si="82"/>
        <v>UN</v>
      </c>
      <c r="J1334" s="140" t="str">
        <f t="shared" si="83"/>
        <v>CONECTOR METALICO TIPO PARAFUSO FENDIDO (SPLIT BOLT), PARA CABOS ATE 50 MM2</v>
      </c>
    </row>
    <row r="1335" spans="1:10" x14ac:dyDescent="0.25">
      <c r="A1335" s="169">
        <v>11863</v>
      </c>
      <c r="B1335" s="169" t="s">
        <v>24740</v>
      </c>
      <c r="C1335" s="169" t="s">
        <v>10225</v>
      </c>
      <c r="D1335" s="169" t="s">
        <v>1289</v>
      </c>
      <c r="E1335" s="103" t="s">
        <v>17887</v>
      </c>
      <c r="F1335" s="104"/>
      <c r="G1335" s="105">
        <f t="shared" si="80"/>
        <v>6.1</v>
      </c>
      <c r="H1335" s="101" t="str">
        <f t="shared" si="81"/>
        <v>Sinapi 11863</v>
      </c>
      <c r="I1335" s="101" t="str">
        <f t="shared" si="82"/>
        <v>UN</v>
      </c>
      <c r="J1335" s="140" t="str">
        <f t="shared" si="83"/>
        <v>CONECTOR METALICO TIPO PARAFUSO FENDIDO (SPLIT BOLT), PARA CABOS ATE 6 MM2</v>
      </c>
    </row>
    <row r="1336" spans="1:10" x14ac:dyDescent="0.25">
      <c r="A1336" s="169">
        <v>11855</v>
      </c>
      <c r="B1336" s="169" t="s">
        <v>24741</v>
      </c>
      <c r="C1336" s="169" t="s">
        <v>10225</v>
      </c>
      <c r="D1336" s="169" t="s">
        <v>1289</v>
      </c>
      <c r="E1336" s="103" t="s">
        <v>14358</v>
      </c>
      <c r="F1336" s="104"/>
      <c r="G1336" s="105">
        <f t="shared" si="80"/>
        <v>22.54</v>
      </c>
      <c r="H1336" s="101" t="str">
        <f t="shared" si="81"/>
        <v>Sinapi 11855</v>
      </c>
      <c r="I1336" s="101" t="str">
        <f t="shared" si="82"/>
        <v>UN</v>
      </c>
      <c r="J1336" s="140" t="str">
        <f t="shared" si="83"/>
        <v>CONECTOR METALICO TIPO PARAFUSO FENDIDO (SPLIT BOLT), PARA CABOS ATE 70 MM2</v>
      </c>
    </row>
    <row r="1337" spans="1:10" x14ac:dyDescent="0.25">
      <c r="A1337" s="169">
        <v>11864</v>
      </c>
      <c r="B1337" s="169" t="s">
        <v>24742</v>
      </c>
      <c r="C1337" s="169" t="s">
        <v>10225</v>
      </c>
      <c r="D1337" s="169" t="s">
        <v>1289</v>
      </c>
      <c r="E1337" s="103" t="s">
        <v>17393</v>
      </c>
      <c r="F1337" s="104"/>
      <c r="G1337" s="105">
        <f t="shared" si="80"/>
        <v>34.08</v>
      </c>
      <c r="H1337" s="101" t="str">
        <f t="shared" si="81"/>
        <v>Sinapi 11864</v>
      </c>
      <c r="I1337" s="101" t="str">
        <f t="shared" si="82"/>
        <v>UN</v>
      </c>
      <c r="J1337" s="140" t="str">
        <f t="shared" si="83"/>
        <v>CONECTOR METALICO TIPO PARAFUSO FENDIDO (SPLIT BOLT), PARA CABOS ATE 95 MM2</v>
      </c>
    </row>
    <row r="1338" spans="1:10" x14ac:dyDescent="0.25">
      <c r="A1338" s="169">
        <v>2527</v>
      </c>
      <c r="B1338" s="169" t="s">
        <v>24743</v>
      </c>
      <c r="C1338" s="169" t="s">
        <v>10225</v>
      </c>
      <c r="D1338" s="169" t="s">
        <v>1289</v>
      </c>
      <c r="E1338" s="103" t="s">
        <v>14794</v>
      </c>
      <c r="F1338" s="104"/>
      <c r="G1338" s="105">
        <f t="shared" si="80"/>
        <v>6.85</v>
      </c>
      <c r="H1338" s="101" t="str">
        <f t="shared" si="81"/>
        <v>Sinapi 2527</v>
      </c>
      <c r="I1338" s="101" t="str">
        <f t="shared" si="82"/>
        <v>UN</v>
      </c>
      <c r="J1338" s="140" t="str">
        <f t="shared" si="83"/>
        <v>CONECTOR RETO DE ALUMINIO PARA ELETRODUTO DE 1 1/2", PARA ADAPTAR ENTRADA DE ELETRODUTO METALICO FLEXIVEL EM QUADROS</v>
      </c>
    </row>
    <row r="1339" spans="1:10" x14ac:dyDescent="0.25">
      <c r="A1339" s="169">
        <v>2526</v>
      </c>
      <c r="B1339" s="169" t="s">
        <v>24744</v>
      </c>
      <c r="C1339" s="169" t="s">
        <v>10225</v>
      </c>
      <c r="D1339" s="169" t="s">
        <v>1289</v>
      </c>
      <c r="E1339" s="103" t="s">
        <v>20986</v>
      </c>
      <c r="F1339" s="104"/>
      <c r="G1339" s="105">
        <f t="shared" si="80"/>
        <v>4.3899999999999997</v>
      </c>
      <c r="H1339" s="101" t="str">
        <f t="shared" si="81"/>
        <v>Sinapi 2526</v>
      </c>
      <c r="I1339" s="101" t="str">
        <f t="shared" si="82"/>
        <v>UN</v>
      </c>
      <c r="J1339" s="140" t="str">
        <f t="shared" si="83"/>
        <v>CONECTOR RETO DE ALUMINIO PARA ELETRODUTO DE 1 1/4", PARA ADAPTAR ENTRADA DE ELETRODUTO METALICO FLEXIVEL EM QUADROS</v>
      </c>
    </row>
    <row r="1340" spans="1:10" x14ac:dyDescent="0.25">
      <c r="A1340" s="169">
        <v>2487</v>
      </c>
      <c r="B1340" s="169" t="s">
        <v>24745</v>
      </c>
      <c r="C1340" s="169" t="s">
        <v>10225</v>
      </c>
      <c r="D1340" s="169" t="s">
        <v>1289</v>
      </c>
      <c r="E1340" s="103" t="s">
        <v>29678</v>
      </c>
      <c r="F1340" s="104"/>
      <c r="G1340" s="105">
        <f t="shared" si="80"/>
        <v>1.49</v>
      </c>
      <c r="H1340" s="101" t="str">
        <f t="shared" si="81"/>
        <v>Sinapi 2487</v>
      </c>
      <c r="I1340" s="101" t="str">
        <f t="shared" si="82"/>
        <v>UN</v>
      </c>
      <c r="J1340" s="140" t="str">
        <f t="shared" si="83"/>
        <v>CONECTOR RETO DE ALUMINIO PARA ELETRODUTO DE 1/2", PARA ADAPTAR ENTRADA DE ELETRODUTO METALICO FLEXIVEL EM QUADROS</v>
      </c>
    </row>
    <row r="1341" spans="1:10" x14ac:dyDescent="0.25">
      <c r="A1341" s="169">
        <v>2483</v>
      </c>
      <c r="B1341" s="169" t="s">
        <v>24746</v>
      </c>
      <c r="C1341" s="169" t="s">
        <v>10225</v>
      </c>
      <c r="D1341" s="169" t="s">
        <v>1289</v>
      </c>
      <c r="E1341" s="103" t="s">
        <v>3481</v>
      </c>
      <c r="F1341" s="104"/>
      <c r="G1341" s="105">
        <f t="shared" si="80"/>
        <v>3.12</v>
      </c>
      <c r="H1341" s="101" t="str">
        <f t="shared" si="81"/>
        <v>Sinapi 2483</v>
      </c>
      <c r="I1341" s="101" t="str">
        <f t="shared" si="82"/>
        <v>UN</v>
      </c>
      <c r="J1341" s="140" t="str">
        <f t="shared" si="83"/>
        <v>CONECTOR RETO DE ALUMINIO PARA ELETRODUTO DE 1", PARA ADAPTAR ENTRADA DE ELETRODUTO METALICO FLEXIVEL EM QUADROS</v>
      </c>
    </row>
    <row r="1342" spans="1:10" x14ac:dyDescent="0.25">
      <c r="A1342" s="169">
        <v>2528</v>
      </c>
      <c r="B1342" s="169" t="s">
        <v>24747</v>
      </c>
      <c r="C1342" s="169" t="s">
        <v>10225</v>
      </c>
      <c r="D1342" s="169" t="s">
        <v>1289</v>
      </c>
      <c r="E1342" s="103" t="s">
        <v>15966</v>
      </c>
      <c r="F1342" s="104"/>
      <c r="G1342" s="105">
        <f t="shared" si="80"/>
        <v>17.23</v>
      </c>
      <c r="H1342" s="101" t="str">
        <f t="shared" si="81"/>
        <v>Sinapi 2528</v>
      </c>
      <c r="I1342" s="101" t="str">
        <f t="shared" si="82"/>
        <v>UN</v>
      </c>
      <c r="J1342" s="140" t="str">
        <f t="shared" si="83"/>
        <v>CONECTOR RETO DE ALUMINIO PARA ELETRODUTO DE 2 1/2", PARA ADAPTAR ENTRADA DE ELETRODUTO METALICO FLEXIVEL EM QUADROS</v>
      </c>
    </row>
    <row r="1343" spans="1:10" x14ac:dyDescent="0.25">
      <c r="A1343" s="169">
        <v>2489</v>
      </c>
      <c r="B1343" s="169" t="s">
        <v>24748</v>
      </c>
      <c r="C1343" s="169" t="s">
        <v>10225</v>
      </c>
      <c r="D1343" s="169" t="s">
        <v>1289</v>
      </c>
      <c r="E1343" s="103" t="s">
        <v>19314</v>
      </c>
      <c r="F1343" s="104"/>
      <c r="G1343" s="105">
        <f t="shared" si="80"/>
        <v>7.59</v>
      </c>
      <c r="H1343" s="101" t="str">
        <f t="shared" si="81"/>
        <v>Sinapi 2489</v>
      </c>
      <c r="I1343" s="101" t="str">
        <f t="shared" si="82"/>
        <v>UN</v>
      </c>
      <c r="J1343" s="140" t="str">
        <f t="shared" si="83"/>
        <v>CONECTOR RETO DE ALUMINIO PARA ELETRODUTO DE 2", PARA ADAPTAR ENTRADA DE ELETRODUTO METALICO FLEXIVEL EM QUADROS</v>
      </c>
    </row>
    <row r="1344" spans="1:10" x14ac:dyDescent="0.25">
      <c r="A1344" s="169">
        <v>2488</v>
      </c>
      <c r="B1344" s="169" t="s">
        <v>24749</v>
      </c>
      <c r="C1344" s="169" t="s">
        <v>10225</v>
      </c>
      <c r="D1344" s="169" t="s">
        <v>1289</v>
      </c>
      <c r="E1344" s="103" t="s">
        <v>28552</v>
      </c>
      <c r="F1344" s="104"/>
      <c r="G1344" s="105">
        <f t="shared" si="80"/>
        <v>1.75</v>
      </c>
      <c r="H1344" s="101" t="str">
        <f t="shared" si="81"/>
        <v>Sinapi 2488</v>
      </c>
      <c r="I1344" s="101" t="str">
        <f t="shared" si="82"/>
        <v>UN</v>
      </c>
      <c r="J1344" s="140" t="str">
        <f t="shared" si="83"/>
        <v>CONECTOR RETO DE ALUMINIO PARA ELETRODUTO DE 3/4", PARA ADAPTAR ENTRADA DE ELETRODUTO METALICO FLEXIVEL EM QUADROS</v>
      </c>
    </row>
    <row r="1345" spans="1:10" x14ac:dyDescent="0.25">
      <c r="A1345" s="169">
        <v>2484</v>
      </c>
      <c r="B1345" s="169" t="s">
        <v>24750</v>
      </c>
      <c r="C1345" s="169" t="s">
        <v>10225</v>
      </c>
      <c r="D1345" s="169" t="s">
        <v>1289</v>
      </c>
      <c r="E1345" s="103" t="s">
        <v>22901</v>
      </c>
      <c r="F1345" s="104"/>
      <c r="G1345" s="105">
        <f t="shared" si="80"/>
        <v>25.03</v>
      </c>
      <c r="H1345" s="101" t="str">
        <f t="shared" si="81"/>
        <v>Sinapi 2484</v>
      </c>
      <c r="I1345" s="101" t="str">
        <f t="shared" si="82"/>
        <v>UN</v>
      </c>
      <c r="J1345" s="140" t="str">
        <f t="shared" si="83"/>
        <v>CONECTOR RETO DE ALUMINIO PARA ELETRODUTO DE 3", PARA ADAPTAR ENTRADA DE ELETRODUTO METALICO FLEXIVEL EM QUADROS</v>
      </c>
    </row>
    <row r="1346" spans="1:10" x14ac:dyDescent="0.25">
      <c r="A1346" s="169">
        <v>2485</v>
      </c>
      <c r="B1346" s="169" t="s">
        <v>24751</v>
      </c>
      <c r="C1346" s="169" t="s">
        <v>10225</v>
      </c>
      <c r="D1346" s="169" t="s">
        <v>1289</v>
      </c>
      <c r="E1346" s="103" t="s">
        <v>21846</v>
      </c>
      <c r="F1346" s="104"/>
      <c r="G1346" s="105">
        <f t="shared" si="80"/>
        <v>39.229999999999997</v>
      </c>
      <c r="H1346" s="101" t="str">
        <f t="shared" si="81"/>
        <v>Sinapi 2485</v>
      </c>
      <c r="I1346" s="101" t="str">
        <f t="shared" si="82"/>
        <v>UN</v>
      </c>
      <c r="J1346" s="140" t="str">
        <f t="shared" si="83"/>
        <v>CONECTOR RETO DE ALUMINIO PARA ELETRODUTO DE 4", PARA ADAPTAR ENTRADA DE ELETRODUTO METALICO FLEXIVEL EM QUADROS</v>
      </c>
    </row>
    <row r="1347" spans="1:10" x14ac:dyDescent="0.25">
      <c r="A1347" s="169">
        <v>39279</v>
      </c>
      <c r="B1347" s="169" t="s">
        <v>24752</v>
      </c>
      <c r="C1347" s="169" t="s">
        <v>10225</v>
      </c>
      <c r="D1347" s="169" t="s">
        <v>1290</v>
      </c>
      <c r="E1347" s="103" t="s">
        <v>21575</v>
      </c>
      <c r="F1347" s="104"/>
      <c r="G1347" s="105">
        <f t="shared" si="80"/>
        <v>8.35</v>
      </c>
      <c r="H1347" s="101" t="str">
        <f t="shared" si="81"/>
        <v>Sinapi 39279</v>
      </c>
      <c r="I1347" s="101" t="str">
        <f t="shared" si="82"/>
        <v>UN</v>
      </c>
      <c r="J1347" s="140" t="str">
        <f t="shared" si="83"/>
        <v>CONECTOR/ADAPTADOR FIXO, ROSCA FEMEA, EM PLASTICO, DN 16 MM X 1/2", PARA CONEXAO COM CRIMPAGEM, EM TUBO PEX PARA INST. AGUA QUENTE/FRIA</v>
      </c>
    </row>
    <row r="1348" spans="1:10" x14ac:dyDescent="0.25">
      <c r="A1348" s="169">
        <v>39280</v>
      </c>
      <c r="B1348" s="169" t="s">
        <v>24753</v>
      </c>
      <c r="C1348" s="169" t="s">
        <v>10225</v>
      </c>
      <c r="D1348" s="169" t="s">
        <v>1290</v>
      </c>
      <c r="E1348" s="103" t="s">
        <v>20659</v>
      </c>
      <c r="F1348" s="104"/>
      <c r="G1348" s="105">
        <f t="shared" si="80"/>
        <v>9.36</v>
      </c>
      <c r="H1348" s="101" t="str">
        <f t="shared" si="81"/>
        <v>Sinapi 39280</v>
      </c>
      <c r="I1348" s="101" t="str">
        <f t="shared" si="82"/>
        <v>UN</v>
      </c>
      <c r="J1348" s="140" t="str">
        <f t="shared" si="83"/>
        <v>CONECTOR/ADAPTADOR FIXO, ROSCA FEMEA, EM PLASTICO, DN 20 MM X 1/2", PARA CONEXAO COM CRIMPAGEM, EM TUBO PEX PARA INST. AGUA QUENTE/FRIA</v>
      </c>
    </row>
    <row r="1349" spans="1:10" x14ac:dyDescent="0.25">
      <c r="A1349" s="169">
        <v>39281</v>
      </c>
      <c r="B1349" s="169" t="s">
        <v>24754</v>
      </c>
      <c r="C1349" s="169" t="s">
        <v>10225</v>
      </c>
      <c r="D1349" s="169" t="s">
        <v>1290</v>
      </c>
      <c r="E1349" s="103" t="s">
        <v>17279</v>
      </c>
      <c r="F1349" s="104"/>
      <c r="G1349" s="105">
        <f t="shared" si="80"/>
        <v>12.37</v>
      </c>
      <c r="H1349" s="101" t="str">
        <f t="shared" si="81"/>
        <v>Sinapi 39281</v>
      </c>
      <c r="I1349" s="101" t="str">
        <f t="shared" si="82"/>
        <v>UN</v>
      </c>
      <c r="J1349" s="140" t="str">
        <f t="shared" si="83"/>
        <v>CONECTOR/ADAPTADOR FIXO, ROSCA FEMEA, EM PLASTICO, DN 20 MM X 3/4", PARA CONEXAO COM CRIMPAGEM, EM TUBO PEX PARA INST. AGUA QUENTE/FRIA</v>
      </c>
    </row>
    <row r="1350" spans="1:10" x14ac:dyDescent="0.25">
      <c r="A1350" s="169">
        <v>39282</v>
      </c>
      <c r="B1350" s="169" t="s">
        <v>24755</v>
      </c>
      <c r="C1350" s="169" t="s">
        <v>10225</v>
      </c>
      <c r="D1350" s="169" t="s">
        <v>1290</v>
      </c>
      <c r="E1350" s="103" t="s">
        <v>15712</v>
      </c>
      <c r="F1350" s="104"/>
      <c r="G1350" s="105">
        <f t="shared" si="80"/>
        <v>17.260000000000002</v>
      </c>
      <c r="H1350" s="101" t="str">
        <f t="shared" si="81"/>
        <v>Sinapi 39282</v>
      </c>
      <c r="I1350" s="101" t="str">
        <f t="shared" si="82"/>
        <v>UN</v>
      </c>
      <c r="J1350" s="140" t="str">
        <f t="shared" si="83"/>
        <v>CONECTOR/ADAPTADOR FIXO, ROSCA FEMEA, EM PLASTICO, DN 25 MM X 3/4", PARA CONEXAO COM CRIMPAGEM, EM TUBO PEX PARA INST. AGUA QUENTE/FRIA</v>
      </c>
    </row>
    <row r="1351" spans="1:10" x14ac:dyDescent="0.25">
      <c r="A1351" s="169">
        <v>38844</v>
      </c>
      <c r="B1351" s="169" t="s">
        <v>24756</v>
      </c>
      <c r="C1351" s="169" t="s">
        <v>10225</v>
      </c>
      <c r="D1351" s="169" t="s">
        <v>1290</v>
      </c>
      <c r="E1351" s="103" t="s">
        <v>13843</v>
      </c>
      <c r="F1351" s="104"/>
      <c r="G1351" s="105">
        <f t="shared" si="80"/>
        <v>8.4700000000000006</v>
      </c>
      <c r="H1351" s="101" t="str">
        <f t="shared" si="81"/>
        <v>Sinapi 38844</v>
      </c>
      <c r="I1351" s="101" t="str">
        <f t="shared" si="82"/>
        <v>UN</v>
      </c>
      <c r="J1351" s="140" t="str">
        <f t="shared" si="83"/>
        <v>CONECTOR/ADAPTADOR FIXO, ROSCA FEMEA, METALICA, COM ANEL DESLIZANTE, DN 16 MM X 1/2", PARA TUBO PEX PARA INST. AGUA QUENTE/FRIA</v>
      </c>
    </row>
    <row r="1352" spans="1:10" x14ac:dyDescent="0.25">
      <c r="A1352" s="169">
        <v>38846</v>
      </c>
      <c r="B1352" s="169" t="s">
        <v>24757</v>
      </c>
      <c r="C1352" s="169" t="s">
        <v>10225</v>
      </c>
      <c r="D1352" s="169" t="s">
        <v>1290</v>
      </c>
      <c r="E1352" s="103" t="s">
        <v>21857</v>
      </c>
      <c r="F1352" s="104"/>
      <c r="G1352" s="105">
        <f t="shared" ref="G1352:G1415" si="84">IF(E1352="","",E1352+0)</f>
        <v>8.6199999999999992</v>
      </c>
      <c r="H1352" s="101" t="str">
        <f t="shared" ref="H1352:H1415" si="85">IF(G1352="","",TRIM(CONCATENATE("Sinapi ",A1352)))</f>
        <v>Sinapi 38846</v>
      </c>
      <c r="I1352" s="101" t="str">
        <f t="shared" ref="I1352:I1415" si="86">TRIM(C1352)</f>
        <v>UN</v>
      </c>
      <c r="J1352" s="140" t="str">
        <f t="shared" si="83"/>
        <v>CONECTOR/ADAPTADOR FIXO, ROSCA FEMEA, METALICA, COM ANEL DESLIZANTE, DN 20 MM X 1/2", PARA TUBO PEX PARA INST. AGUA QUENTE/FRIA</v>
      </c>
    </row>
    <row r="1353" spans="1:10" x14ac:dyDescent="0.25">
      <c r="A1353" s="169">
        <v>38847</v>
      </c>
      <c r="B1353" s="169" t="s">
        <v>24758</v>
      </c>
      <c r="C1353" s="169" t="s">
        <v>10225</v>
      </c>
      <c r="D1353" s="169" t="s">
        <v>1290</v>
      </c>
      <c r="E1353" s="103" t="s">
        <v>17133</v>
      </c>
      <c r="F1353" s="104"/>
      <c r="G1353" s="105">
        <f t="shared" si="84"/>
        <v>10.09</v>
      </c>
      <c r="H1353" s="101" t="str">
        <f t="shared" si="85"/>
        <v>Sinapi 38847</v>
      </c>
      <c r="I1353" s="101" t="str">
        <f t="shared" si="86"/>
        <v>UN</v>
      </c>
      <c r="J1353" s="140" t="str">
        <f t="shared" ref="J1353:J1416" si="87">TRIM(B1353)</f>
        <v>CONECTOR/ADAPTADOR FIXO, ROSCA FEMEA, METALICA, COM ANEL DESLIZANTE, DN 20 MM X 3/4", PARA TUBO PEX PARA INST. AGUA QUENTE/FRIA</v>
      </c>
    </row>
    <row r="1354" spans="1:10" x14ac:dyDescent="0.25">
      <c r="A1354" s="169">
        <v>38850</v>
      </c>
      <c r="B1354" s="169" t="s">
        <v>24759</v>
      </c>
      <c r="C1354" s="169" t="s">
        <v>10225</v>
      </c>
      <c r="D1354" s="169" t="s">
        <v>1290</v>
      </c>
      <c r="E1354" s="103" t="s">
        <v>15541</v>
      </c>
      <c r="F1354" s="104"/>
      <c r="G1354" s="105">
        <f t="shared" si="84"/>
        <v>18.23</v>
      </c>
      <c r="H1354" s="101" t="str">
        <f t="shared" si="85"/>
        <v>Sinapi 38850</v>
      </c>
      <c r="I1354" s="101" t="str">
        <f t="shared" si="86"/>
        <v>UN</v>
      </c>
      <c r="J1354" s="140" t="str">
        <f t="shared" si="87"/>
        <v>CONECTOR/ADAPTADOR FIXO, ROSCA FEMEA, METALICA, COM ANEL DESLIZANTE, DN 25 MM X 1", PARA TUBO PEX PARA INST. AGUA QUENTE/FRIA</v>
      </c>
    </row>
    <row r="1355" spans="1:10" x14ac:dyDescent="0.25">
      <c r="A1355" s="169">
        <v>38848</v>
      </c>
      <c r="B1355" s="169" t="s">
        <v>24760</v>
      </c>
      <c r="C1355" s="169" t="s">
        <v>10225</v>
      </c>
      <c r="D1355" s="169" t="s">
        <v>1290</v>
      </c>
      <c r="E1355" s="103" t="s">
        <v>8265</v>
      </c>
      <c r="F1355" s="104"/>
      <c r="G1355" s="105">
        <f t="shared" si="84"/>
        <v>11.95</v>
      </c>
      <c r="H1355" s="101" t="str">
        <f t="shared" si="85"/>
        <v>Sinapi 38848</v>
      </c>
      <c r="I1355" s="101" t="str">
        <f t="shared" si="86"/>
        <v>UN</v>
      </c>
      <c r="J1355" s="140" t="str">
        <f t="shared" si="87"/>
        <v>CONECTOR/ADAPTADOR FIXO, ROSCA FEMEA, METALICA, COM ANEL DESLIZANTE, DN 25 MM X 3/4", PARA TUBO PEX PARA INST. AGUA QUENTE/FRIA</v>
      </c>
    </row>
    <row r="1356" spans="1:10" x14ac:dyDescent="0.25">
      <c r="A1356" s="169">
        <v>38851</v>
      </c>
      <c r="B1356" s="169" t="s">
        <v>24761</v>
      </c>
      <c r="C1356" s="169" t="s">
        <v>10225</v>
      </c>
      <c r="D1356" s="169" t="s">
        <v>1290</v>
      </c>
      <c r="E1356" s="103" t="s">
        <v>19297</v>
      </c>
      <c r="F1356" s="104"/>
      <c r="G1356" s="105">
        <f t="shared" si="84"/>
        <v>20.61</v>
      </c>
      <c r="H1356" s="101" t="str">
        <f t="shared" si="85"/>
        <v>Sinapi 38851</v>
      </c>
      <c r="I1356" s="101" t="str">
        <f t="shared" si="86"/>
        <v>UN</v>
      </c>
      <c r="J1356" s="140" t="str">
        <f t="shared" si="87"/>
        <v>CONECTOR/ADAPTADOR FIXO, ROSCA FEMEA, METALICA, COM ANEL DESLIZANTE, DN 32 MM X 1", PARA TUBO PEX PARA INST. AGUA QUENTE/FRIA</v>
      </c>
    </row>
    <row r="1357" spans="1:10" x14ac:dyDescent="0.25">
      <c r="A1357" s="169">
        <v>38854</v>
      </c>
      <c r="B1357" s="169" t="s">
        <v>24762</v>
      </c>
      <c r="C1357" s="169" t="s">
        <v>10225</v>
      </c>
      <c r="D1357" s="169" t="s">
        <v>1290</v>
      </c>
      <c r="E1357" s="103" t="s">
        <v>5291</v>
      </c>
      <c r="F1357" s="104"/>
      <c r="G1357" s="105">
        <f t="shared" si="84"/>
        <v>8.9499999999999993</v>
      </c>
      <c r="H1357" s="101" t="str">
        <f t="shared" si="85"/>
        <v>Sinapi 38854</v>
      </c>
      <c r="I1357" s="101" t="str">
        <f t="shared" si="86"/>
        <v>UN</v>
      </c>
      <c r="J1357" s="140" t="str">
        <f t="shared" si="87"/>
        <v>CONECTOR/ADAPTADOR MOVEL, ROSCA FEMEA, METALICA, COM ANEL DESLIZANTE, DN 16 MM X 3/4", PARA TUBO PEX PARA INST. AGUA QUENTE/FRIA</v>
      </c>
    </row>
    <row r="1358" spans="1:10" x14ac:dyDescent="0.25">
      <c r="A1358" s="169">
        <v>44247</v>
      </c>
      <c r="B1358" s="169" t="s">
        <v>30113</v>
      </c>
      <c r="C1358" s="169" t="s">
        <v>10225</v>
      </c>
      <c r="D1358" s="169" t="s">
        <v>1289</v>
      </c>
      <c r="E1358" s="103" t="s">
        <v>30114</v>
      </c>
      <c r="F1358" s="104"/>
      <c r="G1358" s="105">
        <f t="shared" si="84"/>
        <v>1854.18</v>
      </c>
      <c r="H1358" s="101" t="str">
        <f t="shared" si="85"/>
        <v>Sinapi 44247</v>
      </c>
      <c r="I1358" s="101" t="str">
        <f t="shared" si="86"/>
        <v>UN</v>
      </c>
      <c r="J1358" s="140" t="str">
        <f t="shared" si="87"/>
        <v>CONECTOR, CPVC, SOLDAVEL, 114 MM X 4", PARA AGUA QUENTE</v>
      </c>
    </row>
    <row r="1359" spans="1:10" x14ac:dyDescent="0.25">
      <c r="A1359" s="169">
        <v>38005</v>
      </c>
      <c r="B1359" s="169" t="s">
        <v>24763</v>
      </c>
      <c r="C1359" s="169" t="s">
        <v>10225</v>
      </c>
      <c r="D1359" s="169" t="s">
        <v>1289</v>
      </c>
      <c r="E1359" s="103" t="s">
        <v>16296</v>
      </c>
      <c r="F1359" s="104"/>
      <c r="G1359" s="105">
        <f t="shared" si="84"/>
        <v>22.05</v>
      </c>
      <c r="H1359" s="101" t="str">
        <f t="shared" si="85"/>
        <v>Sinapi 38005</v>
      </c>
      <c r="I1359" s="101" t="str">
        <f t="shared" si="86"/>
        <v>UN</v>
      </c>
      <c r="J1359" s="140" t="str">
        <f t="shared" si="87"/>
        <v>CONECTOR, CPVC, SOLDAVEL, 15 MM X 1/2", PARA AGUA QUENTE</v>
      </c>
    </row>
    <row r="1360" spans="1:10" x14ac:dyDescent="0.25">
      <c r="A1360" s="169">
        <v>38006</v>
      </c>
      <c r="B1360" s="169" t="s">
        <v>24764</v>
      </c>
      <c r="C1360" s="169" t="s">
        <v>10225</v>
      </c>
      <c r="D1360" s="169" t="s">
        <v>1289</v>
      </c>
      <c r="E1360" s="103" t="s">
        <v>20446</v>
      </c>
      <c r="F1360" s="104"/>
      <c r="G1360" s="105">
        <f t="shared" si="84"/>
        <v>29.3</v>
      </c>
      <c r="H1360" s="101" t="str">
        <f t="shared" si="85"/>
        <v>Sinapi 38006</v>
      </c>
      <c r="I1360" s="101" t="str">
        <f t="shared" si="86"/>
        <v>UN</v>
      </c>
      <c r="J1360" s="140" t="str">
        <f t="shared" si="87"/>
        <v>CONECTOR, CPVC, SOLDAVEL, 22 MM X 1/2", PARA AGUA QUENTE</v>
      </c>
    </row>
    <row r="1361" spans="1:10" x14ac:dyDescent="0.25">
      <c r="A1361" s="169">
        <v>38428</v>
      </c>
      <c r="B1361" s="169" t="s">
        <v>24766</v>
      </c>
      <c r="C1361" s="169" t="s">
        <v>10225</v>
      </c>
      <c r="D1361" s="169" t="s">
        <v>1289</v>
      </c>
      <c r="E1361" s="103" t="s">
        <v>14928</v>
      </c>
      <c r="F1361" s="104"/>
      <c r="G1361" s="105">
        <f t="shared" si="84"/>
        <v>26.24</v>
      </c>
      <c r="H1361" s="101" t="str">
        <f t="shared" si="85"/>
        <v>Sinapi 38428</v>
      </c>
      <c r="I1361" s="101" t="str">
        <f t="shared" si="86"/>
        <v>UN</v>
      </c>
      <c r="J1361" s="140" t="str">
        <f t="shared" si="87"/>
        <v>CONECTOR, CPVC, SOLDAVEL, 22 MM X 3/4", PARA AGUA QUENTE</v>
      </c>
    </row>
    <row r="1362" spans="1:10" x14ac:dyDescent="0.25">
      <c r="A1362" s="169">
        <v>38007</v>
      </c>
      <c r="B1362" s="169" t="s">
        <v>24767</v>
      </c>
      <c r="C1362" s="169" t="s">
        <v>10225</v>
      </c>
      <c r="D1362" s="169" t="s">
        <v>1289</v>
      </c>
      <c r="E1362" s="103" t="s">
        <v>30115</v>
      </c>
      <c r="F1362" s="104"/>
      <c r="G1362" s="105">
        <f t="shared" si="84"/>
        <v>33.799999999999997</v>
      </c>
      <c r="H1362" s="101" t="str">
        <f t="shared" si="85"/>
        <v>Sinapi 38007</v>
      </c>
      <c r="I1362" s="101" t="str">
        <f t="shared" si="86"/>
        <v>UN</v>
      </c>
      <c r="J1362" s="140" t="str">
        <f t="shared" si="87"/>
        <v>CONECTOR, CPVC, SOLDAVEL, 28 MM X 1", PARA AGUA QUENTE</v>
      </c>
    </row>
    <row r="1363" spans="1:10" x14ac:dyDescent="0.25">
      <c r="A1363" s="169">
        <v>38008</v>
      </c>
      <c r="B1363" s="169" t="s">
        <v>24768</v>
      </c>
      <c r="C1363" s="169" t="s">
        <v>10225</v>
      </c>
      <c r="D1363" s="169" t="s">
        <v>1289</v>
      </c>
      <c r="E1363" s="103" t="s">
        <v>30116</v>
      </c>
      <c r="F1363" s="104"/>
      <c r="G1363" s="105">
        <f t="shared" si="84"/>
        <v>54.09</v>
      </c>
      <c r="H1363" s="101" t="str">
        <f t="shared" si="85"/>
        <v>Sinapi 38008</v>
      </c>
      <c r="I1363" s="101" t="str">
        <f t="shared" si="86"/>
        <v>UN</v>
      </c>
      <c r="J1363" s="140" t="str">
        <f t="shared" si="87"/>
        <v>CONECTOR, CPVC, SOLDAVEL, 35 MM X 1 1/4", PARA AGUA QUENTE</v>
      </c>
    </row>
    <row r="1364" spans="1:10" x14ac:dyDescent="0.25">
      <c r="A1364" s="169">
        <v>38009</v>
      </c>
      <c r="B1364" s="169" t="s">
        <v>24769</v>
      </c>
      <c r="C1364" s="169" t="s">
        <v>10225</v>
      </c>
      <c r="D1364" s="169" t="s">
        <v>1289</v>
      </c>
      <c r="E1364" s="103" t="s">
        <v>30117</v>
      </c>
      <c r="F1364" s="104"/>
      <c r="G1364" s="105">
        <f t="shared" si="84"/>
        <v>66.22</v>
      </c>
      <c r="H1364" s="101" t="str">
        <f t="shared" si="85"/>
        <v>Sinapi 38009</v>
      </c>
      <c r="I1364" s="101" t="str">
        <f t="shared" si="86"/>
        <v>UN</v>
      </c>
      <c r="J1364" s="140" t="str">
        <f t="shared" si="87"/>
        <v>CONECTOR, CPVC, SOLDAVEL, 42 MM X 1 1/2", PARA AGUA QUENTE</v>
      </c>
    </row>
    <row r="1365" spans="1:10" x14ac:dyDescent="0.25">
      <c r="A1365" s="169">
        <v>44248</v>
      </c>
      <c r="B1365" s="169" t="s">
        <v>30118</v>
      </c>
      <c r="C1365" s="169" t="s">
        <v>10225</v>
      </c>
      <c r="D1365" s="169" t="s">
        <v>1289</v>
      </c>
      <c r="E1365" s="103" t="s">
        <v>30119</v>
      </c>
      <c r="F1365" s="104"/>
      <c r="G1365" s="105">
        <f t="shared" si="84"/>
        <v>107.93</v>
      </c>
      <c r="H1365" s="101" t="str">
        <f t="shared" si="85"/>
        <v>Sinapi 44248</v>
      </c>
      <c r="I1365" s="101" t="str">
        <f t="shared" si="86"/>
        <v>UN</v>
      </c>
      <c r="J1365" s="140" t="str">
        <f t="shared" si="87"/>
        <v>CONECTOR, CPVC, SOLDAVEL, 54 MM X 2", PARA AGUA QUENTE</v>
      </c>
    </row>
    <row r="1366" spans="1:10" x14ac:dyDescent="0.25">
      <c r="A1366" s="169">
        <v>44249</v>
      </c>
      <c r="B1366" s="169" t="s">
        <v>30120</v>
      </c>
      <c r="C1366" s="169" t="s">
        <v>10225</v>
      </c>
      <c r="D1366" s="169" t="s">
        <v>1289</v>
      </c>
      <c r="E1366" s="103" t="s">
        <v>30121</v>
      </c>
      <c r="F1366" s="104"/>
      <c r="G1366" s="105">
        <f t="shared" si="84"/>
        <v>416.43</v>
      </c>
      <c r="H1366" s="101" t="str">
        <f t="shared" si="85"/>
        <v>Sinapi 44249</v>
      </c>
      <c r="I1366" s="101" t="str">
        <f t="shared" si="86"/>
        <v>UN</v>
      </c>
      <c r="J1366" s="140" t="str">
        <f t="shared" si="87"/>
        <v>CONECTOR, CPVC, SOLDAVEL, 73 MM X 2 1/2", PARA AGUA QUENTE</v>
      </c>
    </row>
    <row r="1367" spans="1:10" x14ac:dyDescent="0.25">
      <c r="A1367" s="169">
        <v>44250</v>
      </c>
      <c r="B1367" s="169" t="s">
        <v>30122</v>
      </c>
      <c r="C1367" s="169" t="s">
        <v>10225</v>
      </c>
      <c r="D1367" s="169" t="s">
        <v>1289</v>
      </c>
      <c r="E1367" s="103" t="s">
        <v>30123</v>
      </c>
      <c r="F1367" s="104"/>
      <c r="G1367" s="105">
        <f t="shared" si="84"/>
        <v>604.74</v>
      </c>
      <c r="H1367" s="101" t="str">
        <f t="shared" si="85"/>
        <v>Sinapi 44250</v>
      </c>
      <c r="I1367" s="101" t="str">
        <f t="shared" si="86"/>
        <v>UN</v>
      </c>
      <c r="J1367" s="140" t="str">
        <f t="shared" si="87"/>
        <v>CONECTOR, CPVC, SOLDAVEL, 89 MM X 3", PARA AGUA QUENTE</v>
      </c>
    </row>
    <row r="1368" spans="1:10" x14ac:dyDescent="0.25">
      <c r="A1368" s="169">
        <v>3104</v>
      </c>
      <c r="B1368" s="169" t="s">
        <v>24770</v>
      </c>
      <c r="C1368" s="169" t="s">
        <v>10227</v>
      </c>
      <c r="D1368" s="169" t="s">
        <v>1289</v>
      </c>
      <c r="E1368" s="103" t="s">
        <v>30124</v>
      </c>
      <c r="F1368" s="104"/>
      <c r="G1368" s="105">
        <f t="shared" si="84"/>
        <v>138.16999999999999</v>
      </c>
      <c r="H1368" s="101" t="str">
        <f t="shared" si="85"/>
        <v>Sinapi 3104</v>
      </c>
      <c r="I1368" s="101" t="str">
        <f t="shared" si="86"/>
        <v>CJ</v>
      </c>
      <c r="J1368" s="140" t="str">
        <f t="shared" si="87"/>
        <v>CONJ. DE FERRAGENS PARA PORTA DE VIDRO TEMPERADO, EM ZAMAC CROMADO, CONTEMPLANDO DOBRADICA INF., DOBRADICA SUP., PIVO PARA DOBRADICA INF., PIVO PARA DOBRADICA SUP., FECHADURA CENTRAL EM ZAMC. CROMADO, CONTRA FECHADURA DE PRESSAO</v>
      </c>
    </row>
    <row r="1369" spans="1:10" x14ac:dyDescent="0.25">
      <c r="A1369" s="169">
        <v>1607</v>
      </c>
      <c r="B1369" s="169" t="s">
        <v>1190</v>
      </c>
      <c r="C1369" s="169" t="s">
        <v>10227</v>
      </c>
      <c r="D1369" s="169" t="s">
        <v>1289</v>
      </c>
      <c r="E1369" s="103" t="s">
        <v>3759</v>
      </c>
      <c r="F1369" s="104"/>
      <c r="G1369" s="105">
        <f t="shared" si="84"/>
        <v>0.21</v>
      </c>
      <c r="H1369" s="101" t="str">
        <f t="shared" si="85"/>
        <v>Sinapi 1607</v>
      </c>
      <c r="I1369" s="101" t="str">
        <f t="shared" si="86"/>
        <v>CJ</v>
      </c>
      <c r="J1369" s="140" t="str">
        <f t="shared" si="87"/>
        <v>CONJUNTO ARRUELAS DE VEDACAO 5/16" PARA TELHA FIBROCIMENTO (UMA ARRUELA METALICA E UMA ARRUELA PVC - CONICAS)</v>
      </c>
    </row>
    <row r="1370" spans="1:10" x14ac:dyDescent="0.25">
      <c r="A1370" s="169">
        <v>38169</v>
      </c>
      <c r="B1370" s="169" t="s">
        <v>24771</v>
      </c>
      <c r="C1370" s="169" t="s">
        <v>10227</v>
      </c>
      <c r="D1370" s="169" t="s">
        <v>1289</v>
      </c>
      <c r="E1370" s="103" t="s">
        <v>30125</v>
      </c>
      <c r="F1370" s="104"/>
      <c r="G1370" s="105">
        <f t="shared" si="84"/>
        <v>90.9</v>
      </c>
      <c r="H1370" s="101" t="str">
        <f t="shared" si="85"/>
        <v>Sinapi 38169</v>
      </c>
      <c r="I1370" s="101" t="str">
        <f t="shared" si="86"/>
        <v>CJ</v>
      </c>
      <c r="J1370" s="140" t="str">
        <f t="shared" si="87"/>
        <v>CONJUNTO DE FERRAGENS PIVO, PARA PORTA PIVOTANTE DE ATE 100 KG, REGULAVEL COM ESFERA , CROMADO - SUPERIOR E INFERIOR - COMPLETO</v>
      </c>
    </row>
    <row r="1371" spans="1:10" x14ac:dyDescent="0.25">
      <c r="A1371" s="169">
        <v>6142</v>
      </c>
      <c r="B1371" s="169" t="s">
        <v>30126</v>
      </c>
      <c r="C1371" s="169" t="s">
        <v>10225</v>
      </c>
      <c r="D1371" s="169" t="s">
        <v>1289</v>
      </c>
      <c r="E1371" s="103" t="s">
        <v>19292</v>
      </c>
      <c r="F1371" s="104"/>
      <c r="G1371" s="105">
        <f t="shared" si="84"/>
        <v>8.9</v>
      </c>
      <c r="H1371" s="101" t="str">
        <f t="shared" si="85"/>
        <v>Sinapi 6142</v>
      </c>
      <c r="I1371" s="101" t="str">
        <f t="shared" si="86"/>
        <v>UN</v>
      </c>
      <c r="J1371" s="140" t="str">
        <f t="shared" si="87"/>
        <v>CONJUNTO DE LIGACAO AJUSTAVEL, PARA VASO / BACIA SANITARIA , EM PLASTICO BRANCO, COM TUBO, CANOPLA E ESPUDE</v>
      </c>
    </row>
    <row r="1372" spans="1:10" x14ac:dyDescent="0.25">
      <c r="A1372" s="169">
        <v>11686</v>
      </c>
      <c r="B1372" s="169" t="s">
        <v>30127</v>
      </c>
      <c r="C1372" s="169" t="s">
        <v>10225</v>
      </c>
      <c r="D1372" s="169" t="s">
        <v>1289</v>
      </c>
      <c r="E1372" s="103" t="s">
        <v>15131</v>
      </c>
      <c r="F1372" s="104"/>
      <c r="G1372" s="105">
        <f t="shared" si="84"/>
        <v>12.36</v>
      </c>
      <c r="H1372" s="101" t="str">
        <f t="shared" si="85"/>
        <v>Sinapi 11686</v>
      </c>
      <c r="I1372" s="101" t="str">
        <f t="shared" si="86"/>
        <v>UN</v>
      </c>
      <c r="J1372" s="140" t="str">
        <f t="shared" si="87"/>
        <v>CONJUNTO DE LIGACAO PARA VASO / BACIA SANITARIA, EM PLASTICO BRANCO, COM TUBO, CANOPLA E ANEL DE EXPANSAO (TUBO 1.1/2" X 20 CM)</v>
      </c>
    </row>
    <row r="1373" spans="1:10" x14ac:dyDescent="0.25">
      <c r="A1373" s="169">
        <v>37598</v>
      </c>
      <c r="B1373" s="169" t="s">
        <v>24772</v>
      </c>
      <c r="C1373" s="169" t="s">
        <v>10225</v>
      </c>
      <c r="D1373" s="169" t="s">
        <v>1290</v>
      </c>
      <c r="E1373" s="103" t="s">
        <v>25142</v>
      </c>
      <c r="F1373" s="104"/>
      <c r="G1373" s="105">
        <f t="shared" si="84"/>
        <v>42.05</v>
      </c>
      <c r="H1373" s="101" t="str">
        <f t="shared" si="85"/>
        <v>Sinapi 37598</v>
      </c>
      <c r="I1373" s="101" t="str">
        <f t="shared" si="86"/>
        <v>UN</v>
      </c>
      <c r="J1373" s="140" t="str">
        <f t="shared" si="87"/>
        <v>CONJUNTO MONTADO ESTOPIM COM ESPOLETA COMUM NUMERO 8, COM CABECA ACENDEDORA, 1,5 M</v>
      </c>
    </row>
    <row r="1374" spans="1:10" x14ac:dyDescent="0.25">
      <c r="A1374" s="169">
        <v>25398</v>
      </c>
      <c r="B1374" s="169" t="s">
        <v>24774</v>
      </c>
      <c r="C1374" s="169" t="s">
        <v>10225</v>
      </c>
      <c r="D1374" s="169" t="s">
        <v>1290</v>
      </c>
      <c r="E1374" s="103" t="s">
        <v>20030</v>
      </c>
      <c r="F1374" s="104"/>
      <c r="G1374" s="105">
        <f t="shared" si="84"/>
        <v>4452.67</v>
      </c>
      <c r="H1374" s="101" t="str">
        <f t="shared" si="85"/>
        <v>Sinapi 25398</v>
      </c>
      <c r="I1374" s="101" t="str">
        <f t="shared" si="86"/>
        <v>UN</v>
      </c>
      <c r="J1374" s="140" t="str">
        <f t="shared" si="87"/>
        <v>CONJUNTO PARA FUTSAL COM PAR DE TRAVES OFICIAIS DE 3,00 X 2,00 M EM TUBO DE ACO GALVANIZADO 3" COM REQUADROS EM TUBO DE 1", PINTURA EM PRIMER COM TINTA ESMALTE SINTETICO E REDES DE POLIETILENO FIO 4 MM</v>
      </c>
    </row>
    <row r="1375" spans="1:10" x14ac:dyDescent="0.25">
      <c r="A1375" s="169">
        <v>25399</v>
      </c>
      <c r="B1375" s="169" t="s">
        <v>24775</v>
      </c>
      <c r="C1375" s="169" t="s">
        <v>10225</v>
      </c>
      <c r="D1375" s="169" t="s">
        <v>1290</v>
      </c>
      <c r="E1375" s="103" t="s">
        <v>20031</v>
      </c>
      <c r="F1375" s="104"/>
      <c r="G1375" s="105">
        <f t="shared" si="84"/>
        <v>2703.16</v>
      </c>
      <c r="H1375" s="101" t="str">
        <f t="shared" si="85"/>
        <v>Sinapi 25399</v>
      </c>
      <c r="I1375" s="101" t="str">
        <f t="shared" si="86"/>
        <v>UN</v>
      </c>
      <c r="J1375" s="140" t="str">
        <f t="shared" si="87"/>
        <v>CONJUNTO PARA QUADRA DE VOLEI COM POSTES EM TUBO DE ACO GALVANIZADO 3", H = *255* CM, PINTURA EM TINTA ESMALTE SINTETICO, REDE DE NYLON COM 2 MM, MALHA 10 X 10 CM E ANTENAS OFICIAIS EM FIBRA DE VIDRO</v>
      </c>
    </row>
    <row r="1376" spans="1:10" x14ac:dyDescent="0.25">
      <c r="A1376" s="169">
        <v>43440</v>
      </c>
      <c r="B1376" s="169" t="s">
        <v>24776</v>
      </c>
      <c r="C1376" s="169" t="s">
        <v>10225</v>
      </c>
      <c r="D1376" s="169" t="s">
        <v>1289</v>
      </c>
      <c r="E1376" s="103" t="s">
        <v>30128</v>
      </c>
      <c r="F1376" s="104"/>
      <c r="G1376" s="105">
        <f t="shared" si="84"/>
        <v>489.08</v>
      </c>
      <c r="H1376" s="101" t="str">
        <f t="shared" si="85"/>
        <v>Sinapi 43440</v>
      </c>
      <c r="I1376" s="101" t="str">
        <f t="shared" si="86"/>
        <v>UN</v>
      </c>
      <c r="J1376" s="140" t="str">
        <f t="shared" si="87"/>
        <v>CONJUNTO PRE-MOLDADO COMPOSTO POR GRELHA (0,99 X 0,45 M), QUADRO (1,10 X 0,52 M) E CANTONEIRA (1,10 X 0,35 M), EM CONCRETO ARMADO, COM FCK DE 21 MPA</v>
      </c>
    </row>
    <row r="1377" spans="1:10" x14ac:dyDescent="0.25">
      <c r="A1377" s="169">
        <v>10667</v>
      </c>
      <c r="B1377" s="169" t="s">
        <v>24777</v>
      </c>
      <c r="C1377" s="169" t="s">
        <v>10225</v>
      </c>
      <c r="D1377" s="169" t="s">
        <v>1290</v>
      </c>
      <c r="E1377" s="103" t="s">
        <v>24778</v>
      </c>
      <c r="F1377" s="104"/>
      <c r="G1377" s="105">
        <f t="shared" si="84"/>
        <v>22500</v>
      </c>
      <c r="H1377" s="101" t="str">
        <f t="shared" si="85"/>
        <v>Sinapi 10667</v>
      </c>
      <c r="I1377" s="101" t="str">
        <f t="shared" si="86"/>
        <v>UN</v>
      </c>
      <c r="J1377" s="140" t="str">
        <f t="shared" si="87"/>
        <v>CONTAINER ALMOXARIFADO, DE *2,40* X *6,00* M, PADRAO SIMPLES, SEM REVESTIMENTO E SEM DIVISORIAS INTERNOS E SEM SANITARIO, PARA USO EM CANTEIRO DE OBRAS</v>
      </c>
    </row>
    <row r="1378" spans="1:10" x14ac:dyDescent="0.25">
      <c r="A1378" s="169">
        <v>1613</v>
      </c>
      <c r="B1378" s="169" t="s">
        <v>24779</v>
      </c>
      <c r="C1378" s="169" t="s">
        <v>10225</v>
      </c>
      <c r="D1378" s="169" t="s">
        <v>1290</v>
      </c>
      <c r="E1378" s="103" t="s">
        <v>30129</v>
      </c>
      <c r="F1378" s="104"/>
      <c r="G1378" s="105">
        <f t="shared" si="84"/>
        <v>1892.45</v>
      </c>
      <c r="H1378" s="101" t="str">
        <f t="shared" si="85"/>
        <v>Sinapi 1613</v>
      </c>
      <c r="I1378" s="101" t="str">
        <f t="shared" si="86"/>
        <v>UN</v>
      </c>
      <c r="J1378" s="140" t="str">
        <f t="shared" si="87"/>
        <v>CONTATOR TRIPOLAR, CORRENTE DE *110* A, TENSAO NOMINAL DE *500* V, CATEGORIA AC-2 E AC-3</v>
      </c>
    </row>
    <row r="1379" spans="1:10" x14ac:dyDescent="0.25">
      <c r="A1379" s="169">
        <v>1626</v>
      </c>
      <c r="B1379" s="169" t="s">
        <v>24780</v>
      </c>
      <c r="C1379" s="169" t="s">
        <v>10225</v>
      </c>
      <c r="D1379" s="169" t="s">
        <v>1290</v>
      </c>
      <c r="E1379" s="103" t="s">
        <v>30130</v>
      </c>
      <c r="F1379" s="104"/>
      <c r="G1379" s="105">
        <f t="shared" si="84"/>
        <v>2830.39</v>
      </c>
      <c r="H1379" s="101" t="str">
        <f t="shared" si="85"/>
        <v>Sinapi 1626</v>
      </c>
      <c r="I1379" s="101" t="str">
        <f t="shared" si="86"/>
        <v>UN</v>
      </c>
      <c r="J1379" s="140" t="str">
        <f t="shared" si="87"/>
        <v>CONTATOR TRIPOLAR, CORRENTE DE *185* A, TENSAO NOMINAL DE *500* V, CATEGORIA AC-2 E AC-3</v>
      </c>
    </row>
    <row r="1380" spans="1:10" x14ac:dyDescent="0.25">
      <c r="A1380" s="169">
        <v>1625</v>
      </c>
      <c r="B1380" s="169" t="s">
        <v>24781</v>
      </c>
      <c r="C1380" s="169" t="s">
        <v>10225</v>
      </c>
      <c r="D1380" s="169" t="s">
        <v>1290</v>
      </c>
      <c r="E1380" s="103" t="s">
        <v>30131</v>
      </c>
      <c r="F1380" s="104"/>
      <c r="G1380" s="105">
        <f t="shared" si="84"/>
        <v>197.69</v>
      </c>
      <c r="H1380" s="101" t="str">
        <f t="shared" si="85"/>
        <v>Sinapi 1625</v>
      </c>
      <c r="I1380" s="101" t="str">
        <f t="shared" si="86"/>
        <v>UN</v>
      </c>
      <c r="J1380" s="140" t="str">
        <f t="shared" si="87"/>
        <v>CONTATOR TRIPOLAR, CORRENTE DE *22* A, TENSAO NOMINAL DE *500* V, CATEGORIA AC-2 E AC-3</v>
      </c>
    </row>
    <row r="1381" spans="1:10" x14ac:dyDescent="0.25">
      <c r="A1381" s="169">
        <v>1622</v>
      </c>
      <c r="B1381" s="169" t="s">
        <v>24783</v>
      </c>
      <c r="C1381" s="169" t="s">
        <v>10225</v>
      </c>
      <c r="D1381" s="169" t="s">
        <v>1290</v>
      </c>
      <c r="E1381" s="103" t="s">
        <v>30132</v>
      </c>
      <c r="F1381" s="104"/>
      <c r="G1381" s="105">
        <f t="shared" si="84"/>
        <v>6387.02</v>
      </c>
      <c r="H1381" s="101" t="str">
        <f t="shared" si="85"/>
        <v>Sinapi 1622</v>
      </c>
      <c r="I1381" s="101" t="str">
        <f t="shared" si="86"/>
        <v>UN</v>
      </c>
      <c r="J1381" s="140" t="str">
        <f t="shared" si="87"/>
        <v>CONTATOR TRIPOLAR, CORRENTE DE *265* A, TENSAO NOMINAL DE *500* V, CATEGORIA AC-2 E AC-3</v>
      </c>
    </row>
    <row r="1382" spans="1:10" x14ac:dyDescent="0.25">
      <c r="A1382" s="169">
        <v>1620</v>
      </c>
      <c r="B1382" s="169" t="s">
        <v>24784</v>
      </c>
      <c r="C1382" s="169" t="s">
        <v>10225</v>
      </c>
      <c r="D1382" s="169" t="s">
        <v>1290</v>
      </c>
      <c r="E1382" s="103" t="s">
        <v>30133</v>
      </c>
      <c r="F1382" s="104"/>
      <c r="G1382" s="105">
        <f t="shared" si="84"/>
        <v>416.44</v>
      </c>
      <c r="H1382" s="101" t="str">
        <f t="shared" si="85"/>
        <v>Sinapi 1620</v>
      </c>
      <c r="I1382" s="101" t="str">
        <f t="shared" si="86"/>
        <v>UN</v>
      </c>
      <c r="J1382" s="140" t="str">
        <f t="shared" si="87"/>
        <v>CONTATOR TRIPOLAR, CORRENTE DE *38* A, TENSAO NOMINAL DE *500* V, CATEGORIA AC-2 E AC-3</v>
      </c>
    </row>
    <row r="1383" spans="1:10" x14ac:dyDescent="0.25">
      <c r="A1383" s="169">
        <v>1629</v>
      </c>
      <c r="B1383" s="169" t="s">
        <v>24785</v>
      </c>
      <c r="C1383" s="169" t="s">
        <v>10225</v>
      </c>
      <c r="D1383" s="169" t="s">
        <v>1290</v>
      </c>
      <c r="E1383" s="103" t="s">
        <v>30134</v>
      </c>
      <c r="F1383" s="104"/>
      <c r="G1383" s="105">
        <f t="shared" si="84"/>
        <v>15544.49</v>
      </c>
      <c r="H1383" s="101" t="str">
        <f t="shared" si="85"/>
        <v>Sinapi 1629</v>
      </c>
      <c r="I1383" s="101" t="str">
        <f t="shared" si="86"/>
        <v>UN</v>
      </c>
      <c r="J1383" s="140" t="str">
        <f t="shared" si="87"/>
        <v>CONTATOR TRIPOLAR, CORRENTE DE *500* A, TENSAO NOMINAL DE *500* V, CATEGORIA AC-2 E AC-3</v>
      </c>
    </row>
    <row r="1384" spans="1:10" x14ac:dyDescent="0.25">
      <c r="A1384" s="169">
        <v>1627</v>
      </c>
      <c r="B1384" s="169" t="s">
        <v>24786</v>
      </c>
      <c r="C1384" s="169" t="s">
        <v>10225</v>
      </c>
      <c r="D1384" s="169" t="s">
        <v>1290</v>
      </c>
      <c r="E1384" s="103" t="s">
        <v>30135</v>
      </c>
      <c r="F1384" s="104"/>
      <c r="G1384" s="105">
        <f t="shared" si="84"/>
        <v>796.02</v>
      </c>
      <c r="H1384" s="101" t="str">
        <f t="shared" si="85"/>
        <v>Sinapi 1627</v>
      </c>
      <c r="I1384" s="101" t="str">
        <f t="shared" si="86"/>
        <v>UN</v>
      </c>
      <c r="J1384" s="140" t="str">
        <f t="shared" si="87"/>
        <v>CONTATOR TRIPOLAR, CORRENTE DE *65* A, TENSAO NOMINAL DE *500* V, CATEGORIA AC-2 E AC-3</v>
      </c>
    </row>
    <row r="1385" spans="1:10" x14ac:dyDescent="0.25">
      <c r="A1385" s="169">
        <v>1623</v>
      </c>
      <c r="B1385" s="169" t="s">
        <v>24787</v>
      </c>
      <c r="C1385" s="169" t="s">
        <v>10225</v>
      </c>
      <c r="D1385" s="169" t="s">
        <v>1290</v>
      </c>
      <c r="E1385" s="103" t="s">
        <v>30136</v>
      </c>
      <c r="F1385" s="104"/>
      <c r="G1385" s="105">
        <f t="shared" si="84"/>
        <v>161.22</v>
      </c>
      <c r="H1385" s="101" t="str">
        <f t="shared" si="85"/>
        <v>Sinapi 1623</v>
      </c>
      <c r="I1385" s="101" t="str">
        <f t="shared" si="86"/>
        <v>UN</v>
      </c>
      <c r="J1385" s="140" t="str">
        <f t="shared" si="87"/>
        <v>CONTATOR TRIPOLAR, CORRENTE DE 12 A, TENSAO NOMINAL DE *500* V, CATEGORIA AC-2 E AC-3</v>
      </c>
    </row>
    <row r="1386" spans="1:10" x14ac:dyDescent="0.25">
      <c r="A1386" s="169">
        <v>1619</v>
      </c>
      <c r="B1386" s="169" t="s">
        <v>24788</v>
      </c>
      <c r="C1386" s="169" t="s">
        <v>10225</v>
      </c>
      <c r="D1386" s="169" t="s">
        <v>1290</v>
      </c>
      <c r="E1386" s="103" t="s">
        <v>29173</v>
      </c>
      <c r="F1386" s="104"/>
      <c r="G1386" s="105">
        <f t="shared" si="84"/>
        <v>221.78</v>
      </c>
      <c r="H1386" s="101" t="str">
        <f t="shared" si="85"/>
        <v>Sinapi 1619</v>
      </c>
      <c r="I1386" s="101" t="str">
        <f t="shared" si="86"/>
        <v>UN</v>
      </c>
      <c r="J1386" s="140" t="str">
        <f t="shared" si="87"/>
        <v>CONTATOR TRIPOLAR, CORRENTE DE 25 A, TENSAO NOMINAL DE *500* V, CATEGORIA AC-2 E AC-3</v>
      </c>
    </row>
    <row r="1387" spans="1:10" x14ac:dyDescent="0.25">
      <c r="A1387" s="169">
        <v>1630</v>
      </c>
      <c r="B1387" s="169" t="s">
        <v>24789</v>
      </c>
      <c r="C1387" s="169" t="s">
        <v>10225</v>
      </c>
      <c r="D1387" s="169" t="s">
        <v>1290</v>
      </c>
      <c r="E1387" s="103" t="s">
        <v>30137</v>
      </c>
      <c r="F1387" s="104"/>
      <c r="G1387" s="105">
        <f t="shared" si="84"/>
        <v>4883.01</v>
      </c>
      <c r="H1387" s="101" t="str">
        <f t="shared" si="85"/>
        <v>Sinapi 1630</v>
      </c>
      <c r="I1387" s="101" t="str">
        <f t="shared" si="86"/>
        <v>UN</v>
      </c>
      <c r="J1387" s="140" t="str">
        <f t="shared" si="87"/>
        <v>CONTATOR TRIPOLAR, CORRENTE DE 250 A, TENSAO NOMINAL DE *500* V, PARA ACIONAMENTO DE CAPACITORES</v>
      </c>
    </row>
    <row r="1388" spans="1:10" x14ac:dyDescent="0.25">
      <c r="A1388" s="169">
        <v>1616</v>
      </c>
      <c r="B1388" s="169" t="s">
        <v>24790</v>
      </c>
      <c r="C1388" s="169" t="s">
        <v>10225</v>
      </c>
      <c r="D1388" s="169" t="s">
        <v>1290</v>
      </c>
      <c r="E1388" s="103" t="s">
        <v>30138</v>
      </c>
      <c r="F1388" s="104"/>
      <c r="G1388" s="105">
        <f t="shared" si="84"/>
        <v>7510.16</v>
      </c>
      <c r="H1388" s="101" t="str">
        <f t="shared" si="85"/>
        <v>Sinapi 1616</v>
      </c>
      <c r="I1388" s="101" t="str">
        <f t="shared" si="86"/>
        <v>UN</v>
      </c>
      <c r="J1388" s="140" t="str">
        <f t="shared" si="87"/>
        <v>CONTATOR TRIPOLAR, CORRENTE DE 300 A, TENSAO NOMINAL DE *500* V, CATEGORIA AC-2 E AC-3</v>
      </c>
    </row>
    <row r="1389" spans="1:10" x14ac:dyDescent="0.25">
      <c r="A1389" s="169">
        <v>1614</v>
      </c>
      <c r="B1389" s="169" t="s">
        <v>24791</v>
      </c>
      <c r="C1389" s="169" t="s">
        <v>10225</v>
      </c>
      <c r="D1389" s="169" t="s">
        <v>1290</v>
      </c>
      <c r="E1389" s="103" t="s">
        <v>30139</v>
      </c>
      <c r="F1389" s="104"/>
      <c r="G1389" s="105">
        <f t="shared" si="84"/>
        <v>343.24</v>
      </c>
      <c r="H1389" s="101" t="str">
        <f t="shared" si="85"/>
        <v>Sinapi 1614</v>
      </c>
      <c r="I1389" s="101" t="str">
        <f t="shared" si="86"/>
        <v>UN</v>
      </c>
      <c r="J1389" s="140" t="str">
        <f t="shared" si="87"/>
        <v>CONTATOR TRIPOLAR, CORRENTE DE 32 A, TENSAO NOMINAL DE *500* V, CATEGORIA AC-2 E AC-3</v>
      </c>
    </row>
    <row r="1390" spans="1:10" x14ac:dyDescent="0.25">
      <c r="A1390" s="169">
        <v>1617</v>
      </c>
      <c r="B1390" s="169" t="s">
        <v>24792</v>
      </c>
      <c r="C1390" s="169" t="s">
        <v>10225</v>
      </c>
      <c r="D1390" s="169" t="s">
        <v>1290</v>
      </c>
      <c r="E1390" s="103" t="s">
        <v>30140</v>
      </c>
      <c r="F1390" s="104"/>
      <c r="G1390" s="105">
        <f t="shared" si="84"/>
        <v>8965.5</v>
      </c>
      <c r="H1390" s="101" t="str">
        <f t="shared" si="85"/>
        <v>Sinapi 1617</v>
      </c>
      <c r="I1390" s="101" t="str">
        <f t="shared" si="86"/>
        <v>UN</v>
      </c>
      <c r="J1390" s="140" t="str">
        <f t="shared" si="87"/>
        <v>CONTATOR TRIPOLAR, CORRENTE DE 400 A, TENSAO NOMINAL DE *500* V, CATEGORIA AC-2 E AC-3</v>
      </c>
    </row>
    <row r="1391" spans="1:10" x14ac:dyDescent="0.25">
      <c r="A1391" s="169">
        <v>1621</v>
      </c>
      <c r="B1391" s="169" t="s">
        <v>24793</v>
      </c>
      <c r="C1391" s="169" t="s">
        <v>10225</v>
      </c>
      <c r="D1391" s="169" t="s">
        <v>1290</v>
      </c>
      <c r="E1391" s="103" t="s">
        <v>30141</v>
      </c>
      <c r="F1391" s="104"/>
      <c r="G1391" s="105">
        <f t="shared" si="84"/>
        <v>613.88</v>
      </c>
      <c r="H1391" s="101" t="str">
        <f t="shared" si="85"/>
        <v>Sinapi 1621</v>
      </c>
      <c r="I1391" s="101" t="str">
        <f t="shared" si="86"/>
        <v>UN</v>
      </c>
      <c r="J1391" s="140" t="str">
        <f t="shared" si="87"/>
        <v>CONTATOR TRIPOLAR, CORRENTE DE 45 A, TENSAO NOMINAL DE *500* V, CATEGORIA AC-2 E AC-3</v>
      </c>
    </row>
    <row r="1392" spans="1:10" x14ac:dyDescent="0.25">
      <c r="A1392" s="169">
        <v>1624</v>
      </c>
      <c r="B1392" s="169" t="s">
        <v>24794</v>
      </c>
      <c r="C1392" s="169" t="s">
        <v>10225</v>
      </c>
      <c r="D1392" s="169" t="s">
        <v>1290</v>
      </c>
      <c r="E1392" s="103" t="s">
        <v>30142</v>
      </c>
      <c r="F1392" s="104"/>
      <c r="G1392" s="105">
        <f t="shared" si="84"/>
        <v>22037.64</v>
      </c>
      <c r="H1392" s="101" t="str">
        <f t="shared" si="85"/>
        <v>Sinapi 1624</v>
      </c>
      <c r="I1392" s="101" t="str">
        <f t="shared" si="86"/>
        <v>UN</v>
      </c>
      <c r="J1392" s="140" t="str">
        <f t="shared" si="87"/>
        <v>CONTATOR TRIPOLAR, CORRENTE DE 630 A, TENSAO NOMINAL DE *500* V, CATEGORIA AC-2 E AC-3</v>
      </c>
    </row>
    <row r="1393" spans="1:10" x14ac:dyDescent="0.25">
      <c r="A1393" s="169">
        <v>1615</v>
      </c>
      <c r="B1393" s="169" t="s">
        <v>24795</v>
      </c>
      <c r="C1393" s="169" t="s">
        <v>10225</v>
      </c>
      <c r="D1393" s="169" t="s">
        <v>1290</v>
      </c>
      <c r="E1393" s="103" t="s">
        <v>30143</v>
      </c>
      <c r="F1393" s="104"/>
      <c r="G1393" s="105">
        <f t="shared" si="84"/>
        <v>1152.76</v>
      </c>
      <c r="H1393" s="101" t="str">
        <f t="shared" si="85"/>
        <v>Sinapi 1615</v>
      </c>
      <c r="I1393" s="101" t="str">
        <f t="shared" si="86"/>
        <v>UN</v>
      </c>
      <c r="J1393" s="140" t="str">
        <f t="shared" si="87"/>
        <v>CONTATOR TRIPOLAR, CORRENTE DE 75 A, TENSAO NOMINAL DE *500* V, CATEGORIA AC-2 E AC-3</v>
      </c>
    </row>
    <row r="1394" spans="1:10" x14ac:dyDescent="0.25">
      <c r="A1394" s="169">
        <v>1612</v>
      </c>
      <c r="B1394" s="169" t="s">
        <v>24796</v>
      </c>
      <c r="C1394" s="169" t="s">
        <v>10225</v>
      </c>
      <c r="D1394" s="169" t="s">
        <v>1290</v>
      </c>
      <c r="E1394" s="103" t="s">
        <v>30144</v>
      </c>
      <c r="F1394" s="104"/>
      <c r="G1394" s="105">
        <f t="shared" si="84"/>
        <v>151.83000000000001</v>
      </c>
      <c r="H1394" s="101" t="str">
        <f t="shared" si="85"/>
        <v>Sinapi 1612</v>
      </c>
      <c r="I1394" s="101" t="str">
        <f t="shared" si="86"/>
        <v>UN</v>
      </c>
      <c r="J1394" s="140" t="str">
        <f t="shared" si="87"/>
        <v>CONTATOR TRIPOLAR, CORRENTE DE 9 A, TENSAO NOMINAL DE *500* V, CATEGORIA AC-2 E AC-3</v>
      </c>
    </row>
    <row r="1395" spans="1:10" x14ac:dyDescent="0.25">
      <c r="A1395" s="169">
        <v>1618</v>
      </c>
      <c r="B1395" s="169" t="s">
        <v>24797</v>
      </c>
      <c r="C1395" s="169" t="s">
        <v>10225</v>
      </c>
      <c r="D1395" s="169" t="s">
        <v>1290</v>
      </c>
      <c r="E1395" s="103" t="s">
        <v>30145</v>
      </c>
      <c r="F1395" s="104"/>
      <c r="G1395" s="105">
        <f t="shared" si="84"/>
        <v>1584.07</v>
      </c>
      <c r="H1395" s="101" t="str">
        <f t="shared" si="85"/>
        <v>Sinapi 1618</v>
      </c>
      <c r="I1395" s="101" t="str">
        <f t="shared" si="86"/>
        <v>UN</v>
      </c>
      <c r="J1395" s="140" t="str">
        <f t="shared" si="87"/>
        <v>CONTATOR TRIPOLAR, CORRENTE DE 95 A, TENSAO NOMINAL DE *500* V, CATEGORIA AC-2 E AC-3</v>
      </c>
    </row>
    <row r="1396" spans="1:10" x14ac:dyDescent="0.25">
      <c r="A1396" s="169">
        <v>14211</v>
      </c>
      <c r="B1396" s="169" t="s">
        <v>24798</v>
      </c>
      <c r="C1396" s="169" t="s">
        <v>10225</v>
      </c>
      <c r="D1396" s="169" t="s">
        <v>1290</v>
      </c>
      <c r="E1396" s="103" t="s">
        <v>30146</v>
      </c>
      <c r="F1396" s="104"/>
      <c r="G1396" s="105">
        <f t="shared" si="84"/>
        <v>51.73</v>
      </c>
      <c r="H1396" s="101" t="str">
        <f t="shared" si="85"/>
        <v>Sinapi 14211</v>
      </c>
      <c r="I1396" s="101" t="str">
        <f t="shared" si="86"/>
        <v>UN</v>
      </c>
      <c r="J1396" s="140" t="str">
        <f t="shared" si="87"/>
        <v>CONTRA-PORCA SEXTAVADA, DIAMETRO NOMINAL 1 3/8", ALTURA 35 MM</v>
      </c>
    </row>
    <row r="1397" spans="1:10" x14ac:dyDescent="0.25">
      <c r="A1397" s="169">
        <v>43657</v>
      </c>
      <c r="B1397" s="169" t="s">
        <v>24800</v>
      </c>
      <c r="C1397" s="169" t="s">
        <v>10229</v>
      </c>
      <c r="D1397" s="169" t="s">
        <v>1290</v>
      </c>
      <c r="E1397" s="103" t="s">
        <v>20128</v>
      </c>
      <c r="F1397" s="104"/>
      <c r="G1397" s="105">
        <f t="shared" si="84"/>
        <v>6.39</v>
      </c>
      <c r="H1397" s="101" t="str">
        <f t="shared" si="85"/>
        <v>Sinapi 43657</v>
      </c>
      <c r="I1397" s="101" t="str">
        <f t="shared" si="86"/>
        <v>M</v>
      </c>
      <c r="J1397" s="140" t="str">
        <f t="shared" si="87"/>
        <v>CONTRAMARCO DE ALUMINIO (PERFIL 25) PARA ESQUADRIAS, TIPO CONVENCIONAL / CADEIRINHA, 60 MM (CM-060), INCLUSO CONEXOES, GRAPAS E TRAVAMENTOS</v>
      </c>
    </row>
    <row r="1398" spans="1:10" x14ac:dyDescent="0.25">
      <c r="A1398" s="169">
        <v>34500</v>
      </c>
      <c r="B1398" s="169" t="s">
        <v>24801</v>
      </c>
      <c r="C1398" s="169" t="s">
        <v>10228</v>
      </c>
      <c r="D1398" s="169" t="s">
        <v>1289</v>
      </c>
      <c r="E1398" s="103" t="s">
        <v>30147</v>
      </c>
      <c r="F1398" s="104"/>
      <c r="G1398" s="105">
        <f t="shared" si="84"/>
        <v>161.4</v>
      </c>
      <c r="H1398" s="101" t="str">
        <f t="shared" si="85"/>
        <v>Sinapi 34500</v>
      </c>
      <c r="I1398" s="101" t="str">
        <f t="shared" si="86"/>
        <v>H</v>
      </c>
      <c r="J1398" s="140" t="str">
        <f t="shared" si="87"/>
        <v>COORDENADOR / GERENTE DE OBRA</v>
      </c>
    </row>
    <row r="1399" spans="1:10" x14ac:dyDescent="0.25">
      <c r="A1399" s="169">
        <v>40934</v>
      </c>
      <c r="B1399" s="169" t="s">
        <v>24802</v>
      </c>
      <c r="C1399" s="169" t="s">
        <v>10235</v>
      </c>
      <c r="D1399" s="169" t="s">
        <v>1289</v>
      </c>
      <c r="E1399" s="103" t="s">
        <v>30148</v>
      </c>
      <c r="F1399" s="104"/>
      <c r="G1399" s="105">
        <f t="shared" si="84"/>
        <v>28084.1</v>
      </c>
      <c r="H1399" s="101" t="str">
        <f t="shared" si="85"/>
        <v>Sinapi 40934</v>
      </c>
      <c r="I1399" s="101" t="str">
        <f t="shared" si="86"/>
        <v>MES</v>
      </c>
      <c r="J1399" s="140" t="str">
        <f t="shared" si="87"/>
        <v>COORDENADOR / GERENTE DE OBRA (MENSALISTA)</v>
      </c>
    </row>
    <row r="1400" spans="1:10" x14ac:dyDescent="0.25">
      <c r="A1400" s="169">
        <v>38200</v>
      </c>
      <c r="B1400" s="169" t="s">
        <v>67</v>
      </c>
      <c r="C1400" s="169" t="s">
        <v>10256</v>
      </c>
      <c r="D1400" s="169" t="s">
        <v>1289</v>
      </c>
      <c r="E1400" s="103" t="s">
        <v>30149</v>
      </c>
      <c r="F1400" s="104"/>
      <c r="G1400" s="105">
        <f t="shared" si="84"/>
        <v>623.16999999999996</v>
      </c>
      <c r="H1400" s="101" t="str">
        <f t="shared" si="85"/>
        <v>Sinapi 38200</v>
      </c>
      <c r="I1400" s="101" t="str">
        <f t="shared" si="86"/>
        <v>100M</v>
      </c>
      <c r="J1400" s="140" t="str">
        <f t="shared" si="87"/>
        <v>CORDA DE POLIAMIDA 12 MM TIPO BOMBEIRO, PARA TRABALHO EM ALTURA</v>
      </c>
    </row>
    <row r="1401" spans="1:10" x14ac:dyDescent="0.25">
      <c r="A1401" s="169">
        <v>39269</v>
      </c>
      <c r="B1401" s="169" t="s">
        <v>24803</v>
      </c>
      <c r="C1401" s="169" t="s">
        <v>10229</v>
      </c>
      <c r="D1401" s="169" t="s">
        <v>1289</v>
      </c>
      <c r="E1401" s="103" t="s">
        <v>19312</v>
      </c>
      <c r="F1401" s="104"/>
      <c r="G1401" s="105">
        <f t="shared" si="84"/>
        <v>1.45</v>
      </c>
      <c r="H1401" s="101" t="str">
        <f t="shared" si="85"/>
        <v>Sinapi 39269</v>
      </c>
      <c r="I1401" s="101" t="str">
        <f t="shared" si="86"/>
        <v>M</v>
      </c>
      <c r="J1401" s="140" t="str">
        <f t="shared" si="87"/>
        <v>CORDAO DE COBRE, FLEXIVEL, TORCIDO, CLASSE 4 OU 5, ISOLACAO EM PVC/D, 300 V, 2 CONDUTORES DE 0,5 MM2</v>
      </c>
    </row>
    <row r="1402" spans="1:10" x14ac:dyDescent="0.25">
      <c r="A1402" s="169">
        <v>11889</v>
      </c>
      <c r="B1402" s="169" t="s">
        <v>24804</v>
      </c>
      <c r="C1402" s="169" t="s">
        <v>10229</v>
      </c>
      <c r="D1402" s="169" t="s">
        <v>1289</v>
      </c>
      <c r="E1402" s="103" t="s">
        <v>17146</v>
      </c>
      <c r="F1402" s="104"/>
      <c r="G1402" s="105">
        <f t="shared" si="84"/>
        <v>1.99</v>
      </c>
      <c r="H1402" s="101" t="str">
        <f t="shared" si="85"/>
        <v>Sinapi 11889</v>
      </c>
      <c r="I1402" s="101" t="str">
        <f t="shared" si="86"/>
        <v>M</v>
      </c>
      <c r="J1402" s="140" t="str">
        <f t="shared" si="87"/>
        <v>CORDAO DE COBRE, FLEXIVEL, TORCIDO, CLASSE 4 OU 5, ISOLACAO EM PVC/D, 300 V, 2 CONDUTORES DE 0,75 MM2</v>
      </c>
    </row>
    <row r="1403" spans="1:10" x14ac:dyDescent="0.25">
      <c r="A1403" s="169">
        <v>39270</v>
      </c>
      <c r="B1403" s="169" t="s">
        <v>24805</v>
      </c>
      <c r="C1403" s="169" t="s">
        <v>10229</v>
      </c>
      <c r="D1403" s="169" t="s">
        <v>1289</v>
      </c>
      <c r="E1403" s="103" t="s">
        <v>17403</v>
      </c>
      <c r="F1403" s="104"/>
      <c r="G1403" s="105">
        <f t="shared" si="84"/>
        <v>2.59</v>
      </c>
      <c r="H1403" s="101" t="str">
        <f t="shared" si="85"/>
        <v>Sinapi 39270</v>
      </c>
      <c r="I1403" s="101" t="str">
        <f t="shared" si="86"/>
        <v>M</v>
      </c>
      <c r="J1403" s="140" t="str">
        <f t="shared" si="87"/>
        <v>CORDAO DE COBRE, FLEXIVEL, TORCIDO, CLASSE 4 OU 5, ISOLACAO EM PVC/D, 300 V, 2 CONDUTORES DE 1,0 MM2</v>
      </c>
    </row>
    <row r="1404" spans="1:10" x14ac:dyDescent="0.25">
      <c r="A1404" s="169">
        <v>11890</v>
      </c>
      <c r="B1404" s="169" t="s">
        <v>24806</v>
      </c>
      <c r="C1404" s="169" t="s">
        <v>10229</v>
      </c>
      <c r="D1404" s="169" t="s">
        <v>1289</v>
      </c>
      <c r="E1404" s="103" t="s">
        <v>19810</v>
      </c>
      <c r="F1404" s="104"/>
      <c r="G1404" s="105">
        <f t="shared" si="84"/>
        <v>3.52</v>
      </c>
      <c r="H1404" s="101" t="str">
        <f t="shared" si="85"/>
        <v>Sinapi 11890</v>
      </c>
      <c r="I1404" s="101" t="str">
        <f t="shared" si="86"/>
        <v>M</v>
      </c>
      <c r="J1404" s="140" t="str">
        <f t="shared" si="87"/>
        <v>CORDAO DE COBRE, FLEXIVEL, TORCIDO, CLASSE 4 OU 5, ISOLACAO EM PVC/D, 300 V, 2 CONDUTORES DE 1,5 MM2</v>
      </c>
    </row>
    <row r="1405" spans="1:10" x14ac:dyDescent="0.25">
      <c r="A1405" s="169">
        <v>11891</v>
      </c>
      <c r="B1405" s="169" t="s">
        <v>24807</v>
      </c>
      <c r="C1405" s="169" t="s">
        <v>10229</v>
      </c>
      <c r="D1405" s="169" t="s">
        <v>1289</v>
      </c>
      <c r="E1405" s="103" t="s">
        <v>5544</v>
      </c>
      <c r="F1405" s="104"/>
      <c r="G1405" s="105">
        <f t="shared" si="84"/>
        <v>5.72</v>
      </c>
      <c r="H1405" s="101" t="str">
        <f t="shared" si="85"/>
        <v>Sinapi 11891</v>
      </c>
      <c r="I1405" s="101" t="str">
        <f t="shared" si="86"/>
        <v>M</v>
      </c>
      <c r="J1405" s="140" t="str">
        <f t="shared" si="87"/>
        <v>CORDAO DE COBRE, FLEXIVEL, TORCIDO, CLASSE 4 OU 5, ISOLACAO EM PVC/D, 300 V, 2 CONDUTORES DE 2,5 MM2</v>
      </c>
    </row>
    <row r="1406" spans="1:10" x14ac:dyDescent="0.25">
      <c r="A1406" s="169">
        <v>11892</v>
      </c>
      <c r="B1406" s="169" t="s">
        <v>24808</v>
      </c>
      <c r="C1406" s="169" t="s">
        <v>10229</v>
      </c>
      <c r="D1406" s="169" t="s">
        <v>1289</v>
      </c>
      <c r="E1406" s="103" t="s">
        <v>3942</v>
      </c>
      <c r="F1406" s="104"/>
      <c r="G1406" s="105">
        <f t="shared" si="84"/>
        <v>9.34</v>
      </c>
      <c r="H1406" s="101" t="str">
        <f t="shared" si="85"/>
        <v>Sinapi 11892</v>
      </c>
      <c r="I1406" s="101" t="str">
        <f t="shared" si="86"/>
        <v>M</v>
      </c>
      <c r="J1406" s="140" t="str">
        <f t="shared" si="87"/>
        <v>CORDAO DE COBRE, FLEXIVEL, TORCIDO, CLASSE 4 OU 5, ISOLACAO EM PVC/D, 300 V, 2 CONDUTORES DE 4 MM2</v>
      </c>
    </row>
    <row r="1407" spans="1:10" x14ac:dyDescent="0.25">
      <c r="A1407" s="169">
        <v>37601</v>
      </c>
      <c r="B1407" s="169" t="s">
        <v>24809</v>
      </c>
      <c r="C1407" s="169" t="s">
        <v>10229</v>
      </c>
      <c r="D1407" s="169" t="s">
        <v>1290</v>
      </c>
      <c r="E1407" s="103" t="s">
        <v>3942</v>
      </c>
      <c r="F1407" s="104"/>
      <c r="G1407" s="105">
        <f t="shared" si="84"/>
        <v>9.34</v>
      </c>
      <c r="H1407" s="101" t="str">
        <f t="shared" si="85"/>
        <v>Sinapi 37601</v>
      </c>
      <c r="I1407" s="101" t="str">
        <f t="shared" si="86"/>
        <v>M</v>
      </c>
      <c r="J1407" s="140" t="str">
        <f t="shared" si="87"/>
        <v>CORDEL DETONANTE, NP 05 G/M</v>
      </c>
    </row>
    <row r="1408" spans="1:10" x14ac:dyDescent="0.25">
      <c r="A1408" s="169">
        <v>1634</v>
      </c>
      <c r="B1408" s="169" t="s">
        <v>24810</v>
      </c>
      <c r="C1408" s="169" t="s">
        <v>10229</v>
      </c>
      <c r="D1408" s="169" t="s">
        <v>1290</v>
      </c>
      <c r="E1408" s="103" t="s">
        <v>14918</v>
      </c>
      <c r="F1408" s="104"/>
      <c r="G1408" s="105">
        <f t="shared" si="84"/>
        <v>9.65</v>
      </c>
      <c r="H1408" s="101" t="str">
        <f t="shared" si="85"/>
        <v>Sinapi 1634</v>
      </c>
      <c r="I1408" s="101" t="str">
        <f t="shared" si="86"/>
        <v>M</v>
      </c>
      <c r="J1408" s="140" t="str">
        <f t="shared" si="87"/>
        <v>CORDEL DETONANTE, NP 10 G/M</v>
      </c>
    </row>
    <row r="1409" spans="1:10" x14ac:dyDescent="0.25">
      <c r="A1409" s="169">
        <v>5086</v>
      </c>
      <c r="B1409" s="169" t="s">
        <v>24811</v>
      </c>
      <c r="C1409" s="169" t="s">
        <v>10231</v>
      </c>
      <c r="D1409" s="169" t="s">
        <v>1289</v>
      </c>
      <c r="E1409" s="103" t="s">
        <v>30150</v>
      </c>
      <c r="F1409" s="104"/>
      <c r="G1409" s="105">
        <f t="shared" si="84"/>
        <v>37.630000000000003</v>
      </c>
      <c r="H1409" s="101" t="str">
        <f t="shared" si="85"/>
        <v>Sinapi 5086</v>
      </c>
      <c r="I1409" s="101" t="str">
        <f t="shared" si="86"/>
        <v>KG</v>
      </c>
      <c r="J1409" s="140" t="str">
        <f t="shared" si="87"/>
        <v>CORRENTE DE ELO CURTO COMUM, SOLDADA, GALVANIZADA, ESPESSURA DO ELO = 1/2" (12,5 MM)</v>
      </c>
    </row>
    <row r="1410" spans="1:10" x14ac:dyDescent="0.25">
      <c r="A1410" s="169">
        <v>11280</v>
      </c>
      <c r="B1410" s="169" t="s">
        <v>24812</v>
      </c>
      <c r="C1410" s="169" t="s">
        <v>10225</v>
      </c>
      <c r="D1410" s="169" t="s">
        <v>1289</v>
      </c>
      <c r="E1410" s="103" t="s">
        <v>30151</v>
      </c>
      <c r="F1410" s="104"/>
      <c r="G1410" s="105">
        <f t="shared" si="84"/>
        <v>15162.58</v>
      </c>
      <c r="H1410" s="101" t="str">
        <f t="shared" si="85"/>
        <v>Sinapi 11280</v>
      </c>
      <c r="I1410" s="101" t="str">
        <f t="shared" si="86"/>
        <v>UN</v>
      </c>
      <c r="J1410" s="140" t="str">
        <f t="shared" si="87"/>
        <v>CORTADEIRA DE PISO DE CONCRETO E ASFALTO, PARA DISCO PADRAO DE DIAMETRO 350 MM (14") OU 450 MM (18") , MOTOR A GASOLINA, POTENCIA 13 HP, SEM DISCO</v>
      </c>
    </row>
    <row r="1411" spans="1:10" x14ac:dyDescent="0.25">
      <c r="A1411" s="169">
        <v>40519</v>
      </c>
      <c r="B1411" s="169" t="s">
        <v>24813</v>
      </c>
      <c r="C1411" s="169" t="s">
        <v>10225</v>
      </c>
      <c r="D1411" s="169" t="s">
        <v>1289</v>
      </c>
      <c r="E1411" s="103" t="s">
        <v>30152</v>
      </c>
      <c r="F1411" s="104"/>
      <c r="G1411" s="105">
        <f t="shared" si="84"/>
        <v>124995.1</v>
      </c>
      <c r="H1411" s="101" t="str">
        <f t="shared" si="85"/>
        <v>Sinapi 40519</v>
      </c>
      <c r="I1411" s="101" t="str">
        <f t="shared" si="86"/>
        <v>UN</v>
      </c>
      <c r="J1411" s="140" t="str">
        <f t="shared" si="87"/>
        <v>CORTADEIRA HIDRAULICA DE VERGALHAO, PARA ACO DE DIAMETRO ATE 50 MM, MOTOR ELETRICO TRIFASICO, POTENCIA DE 5,5 HP A 7,5 HP</v>
      </c>
    </row>
    <row r="1412" spans="1:10" x14ac:dyDescent="0.25">
      <c r="A1412" s="169">
        <v>39869</v>
      </c>
      <c r="B1412" s="169" t="s">
        <v>24814</v>
      </c>
      <c r="C1412" s="169" t="s">
        <v>10225</v>
      </c>
      <c r="D1412" s="169" t="s">
        <v>1290</v>
      </c>
      <c r="E1412" s="103" t="s">
        <v>13654</v>
      </c>
      <c r="F1412" s="104"/>
      <c r="G1412" s="105">
        <f t="shared" si="84"/>
        <v>12.69</v>
      </c>
      <c r="H1412" s="101" t="str">
        <f t="shared" si="85"/>
        <v>Sinapi 39869</v>
      </c>
      <c r="I1412" s="101" t="str">
        <f t="shared" si="86"/>
        <v>UN</v>
      </c>
      <c r="J1412" s="140" t="str">
        <f t="shared" si="87"/>
        <v>COTOVELO BRONZE/LATAO (REF 707-3) SEM ANEL DE SOLDA, BOLSA X ROSCA F, 15MM X 1/2"</v>
      </c>
    </row>
    <row r="1413" spans="1:10" x14ac:dyDescent="0.25">
      <c r="A1413" s="169">
        <v>39870</v>
      </c>
      <c r="B1413" s="169" t="s">
        <v>24815</v>
      </c>
      <c r="C1413" s="169" t="s">
        <v>10225</v>
      </c>
      <c r="D1413" s="169" t="s">
        <v>1290</v>
      </c>
      <c r="E1413" s="103" t="s">
        <v>29698</v>
      </c>
      <c r="F1413" s="104"/>
      <c r="G1413" s="105">
        <f t="shared" si="84"/>
        <v>19.420000000000002</v>
      </c>
      <c r="H1413" s="101" t="str">
        <f t="shared" si="85"/>
        <v>Sinapi 39870</v>
      </c>
      <c r="I1413" s="101" t="str">
        <f t="shared" si="86"/>
        <v>UN</v>
      </c>
      <c r="J1413" s="140" t="str">
        <f t="shared" si="87"/>
        <v>COTOVELO BRONZE/LATAO (REF 707-3) SEM ANEL DE SOLDA, BOLSA X ROSCA F, 22MM X 1/2"</v>
      </c>
    </row>
    <row r="1414" spans="1:10" x14ac:dyDescent="0.25">
      <c r="A1414" s="169">
        <v>39871</v>
      </c>
      <c r="B1414" s="169" t="s">
        <v>24817</v>
      </c>
      <c r="C1414" s="169" t="s">
        <v>10225</v>
      </c>
      <c r="D1414" s="169" t="s">
        <v>1290</v>
      </c>
      <c r="E1414" s="103" t="s">
        <v>15559</v>
      </c>
      <c r="F1414" s="104"/>
      <c r="G1414" s="105">
        <f t="shared" si="84"/>
        <v>21.77</v>
      </c>
      <c r="H1414" s="101" t="str">
        <f t="shared" si="85"/>
        <v>Sinapi 39871</v>
      </c>
      <c r="I1414" s="101" t="str">
        <f t="shared" si="86"/>
        <v>UN</v>
      </c>
      <c r="J1414" s="140" t="str">
        <f t="shared" si="87"/>
        <v>COTOVELO BRONZE/LATAO (REF 707-3) SEM ANEL DE SOLDA, BOLSA X ROSCA F, 22MM X 3/4"</v>
      </c>
    </row>
    <row r="1415" spans="1:10" x14ac:dyDescent="0.25">
      <c r="A1415" s="169">
        <v>12722</v>
      </c>
      <c r="B1415" s="169" t="s">
        <v>24818</v>
      </c>
      <c r="C1415" s="169" t="s">
        <v>10225</v>
      </c>
      <c r="D1415" s="169" t="s">
        <v>1290</v>
      </c>
      <c r="E1415" s="103" t="s">
        <v>30153</v>
      </c>
      <c r="F1415" s="104"/>
      <c r="G1415" s="105">
        <f t="shared" si="84"/>
        <v>728.37</v>
      </c>
      <c r="H1415" s="101" t="str">
        <f t="shared" si="85"/>
        <v>Sinapi 12722</v>
      </c>
      <c r="I1415" s="101" t="str">
        <f t="shared" si="86"/>
        <v>UN</v>
      </c>
      <c r="J1415" s="140" t="str">
        <f t="shared" si="87"/>
        <v>COTOVELO DE COBRE 90 GRAUS (REF 607) SEM ANEL DE SOLDA, BOLSA X BOLSA, 104 MM</v>
      </c>
    </row>
    <row r="1416" spans="1:10" x14ac:dyDescent="0.25">
      <c r="A1416" s="169">
        <v>12714</v>
      </c>
      <c r="B1416" s="169" t="s">
        <v>24819</v>
      </c>
      <c r="C1416" s="169" t="s">
        <v>10225</v>
      </c>
      <c r="D1416" s="169" t="s">
        <v>1290</v>
      </c>
      <c r="E1416" s="103" t="s">
        <v>20073</v>
      </c>
      <c r="F1416" s="104"/>
      <c r="G1416" s="105">
        <f t="shared" ref="G1416:G1479" si="88">IF(E1416="","",E1416+0)</f>
        <v>4.75</v>
      </c>
      <c r="H1416" s="101" t="str">
        <f t="shared" ref="H1416:H1479" si="89">IF(G1416="","",TRIM(CONCATENATE("Sinapi ",A1416)))</f>
        <v>Sinapi 12714</v>
      </c>
      <c r="I1416" s="101" t="str">
        <f t="shared" ref="I1416:I1479" si="90">TRIM(C1416)</f>
        <v>UN</v>
      </c>
      <c r="J1416" s="140" t="str">
        <f t="shared" si="87"/>
        <v>COTOVELO DE COBRE 90 GRAUS (REF 607) SEM ANEL DE SOLDA, BOLSA X BOLSA, 15 MM</v>
      </c>
    </row>
    <row r="1417" spans="1:10" x14ac:dyDescent="0.25">
      <c r="A1417" s="169">
        <v>12715</v>
      </c>
      <c r="B1417" s="169" t="s">
        <v>1060</v>
      </c>
      <c r="C1417" s="169" t="s">
        <v>10225</v>
      </c>
      <c r="D1417" s="169" t="s">
        <v>1290</v>
      </c>
      <c r="E1417" s="103" t="s">
        <v>28655</v>
      </c>
      <c r="F1417" s="104"/>
      <c r="G1417" s="105">
        <f t="shared" si="88"/>
        <v>10.73</v>
      </c>
      <c r="H1417" s="101" t="str">
        <f t="shared" si="89"/>
        <v>Sinapi 12715</v>
      </c>
      <c r="I1417" s="101" t="str">
        <f t="shared" si="90"/>
        <v>UN</v>
      </c>
      <c r="J1417" s="140" t="str">
        <f t="shared" ref="J1417:J1480" si="91">TRIM(B1417)</f>
        <v>COTOVELO DE COBRE 90 GRAUS (REF 607) SEM ANEL DE SOLDA, BOLSA X BOLSA, 22 MM</v>
      </c>
    </row>
    <row r="1418" spans="1:10" x14ac:dyDescent="0.25">
      <c r="A1418" s="169">
        <v>12716</v>
      </c>
      <c r="B1418" s="169" t="s">
        <v>24820</v>
      </c>
      <c r="C1418" s="169" t="s">
        <v>10225</v>
      </c>
      <c r="D1418" s="169" t="s">
        <v>1290</v>
      </c>
      <c r="E1418" s="103" t="s">
        <v>16212</v>
      </c>
      <c r="F1418" s="104"/>
      <c r="G1418" s="105">
        <f t="shared" si="88"/>
        <v>18.43</v>
      </c>
      <c r="H1418" s="101" t="str">
        <f t="shared" si="89"/>
        <v>Sinapi 12716</v>
      </c>
      <c r="I1418" s="101" t="str">
        <f t="shared" si="90"/>
        <v>UN</v>
      </c>
      <c r="J1418" s="140" t="str">
        <f t="shared" si="91"/>
        <v>COTOVELO DE COBRE 90 GRAUS (REF 607) SEM ANEL DE SOLDA, BOLSA X BOLSA, 28 MM</v>
      </c>
    </row>
    <row r="1419" spans="1:10" x14ac:dyDescent="0.25">
      <c r="A1419" s="169">
        <v>12717</v>
      </c>
      <c r="B1419" s="169" t="s">
        <v>1054</v>
      </c>
      <c r="C1419" s="169" t="s">
        <v>10225</v>
      </c>
      <c r="D1419" s="169" t="s">
        <v>1290</v>
      </c>
      <c r="E1419" s="103" t="s">
        <v>18716</v>
      </c>
      <c r="F1419" s="104"/>
      <c r="G1419" s="105">
        <f t="shared" si="88"/>
        <v>36.229999999999997</v>
      </c>
      <c r="H1419" s="101" t="str">
        <f t="shared" si="89"/>
        <v>Sinapi 12717</v>
      </c>
      <c r="I1419" s="101" t="str">
        <f t="shared" si="90"/>
        <v>UN</v>
      </c>
      <c r="J1419" s="140" t="str">
        <f t="shared" si="91"/>
        <v>COTOVELO DE COBRE 90 GRAUS (REF 607) SEM ANEL DE SOLDA, BOLSA X BOLSA, 35 MM</v>
      </c>
    </row>
    <row r="1420" spans="1:10" x14ac:dyDescent="0.25">
      <c r="A1420" s="169">
        <v>12718</v>
      </c>
      <c r="B1420" s="169" t="s">
        <v>1058</v>
      </c>
      <c r="C1420" s="169" t="s">
        <v>10225</v>
      </c>
      <c r="D1420" s="169" t="s">
        <v>1290</v>
      </c>
      <c r="E1420" s="103" t="s">
        <v>30154</v>
      </c>
      <c r="F1420" s="104"/>
      <c r="G1420" s="105">
        <f t="shared" si="88"/>
        <v>55.61</v>
      </c>
      <c r="H1420" s="101" t="str">
        <f t="shared" si="89"/>
        <v>Sinapi 12718</v>
      </c>
      <c r="I1420" s="101" t="str">
        <f t="shared" si="90"/>
        <v>UN</v>
      </c>
      <c r="J1420" s="140" t="str">
        <f t="shared" si="91"/>
        <v>COTOVELO DE COBRE 90 GRAUS (REF 607) SEM ANEL DE SOLDA, BOLSA X BOLSA, 42 MM</v>
      </c>
    </row>
    <row r="1421" spans="1:10" x14ac:dyDescent="0.25">
      <c r="A1421" s="169">
        <v>12719</v>
      </c>
      <c r="B1421" s="169" t="s">
        <v>24821</v>
      </c>
      <c r="C1421" s="169" t="s">
        <v>10225</v>
      </c>
      <c r="D1421" s="169" t="s">
        <v>1290</v>
      </c>
      <c r="E1421" s="103" t="s">
        <v>30155</v>
      </c>
      <c r="F1421" s="104"/>
      <c r="G1421" s="105">
        <f t="shared" si="88"/>
        <v>88.28</v>
      </c>
      <c r="H1421" s="101" t="str">
        <f t="shared" si="89"/>
        <v>Sinapi 12719</v>
      </c>
      <c r="I1421" s="101" t="str">
        <f t="shared" si="90"/>
        <v>UN</v>
      </c>
      <c r="J1421" s="140" t="str">
        <f t="shared" si="91"/>
        <v>COTOVELO DE COBRE 90 GRAUS (REF 607) SEM ANEL DE SOLDA, BOLSA X BOLSA, 54 MM</v>
      </c>
    </row>
    <row r="1422" spans="1:10" x14ac:dyDescent="0.25">
      <c r="A1422" s="169">
        <v>12720</v>
      </c>
      <c r="B1422" s="169" t="s">
        <v>24822</v>
      </c>
      <c r="C1422" s="169" t="s">
        <v>10225</v>
      </c>
      <c r="D1422" s="169" t="s">
        <v>1290</v>
      </c>
      <c r="E1422" s="103" t="s">
        <v>30156</v>
      </c>
      <c r="F1422" s="104"/>
      <c r="G1422" s="105">
        <f t="shared" si="88"/>
        <v>307.39</v>
      </c>
      <c r="H1422" s="101" t="str">
        <f t="shared" si="89"/>
        <v>Sinapi 12720</v>
      </c>
      <c r="I1422" s="101" t="str">
        <f t="shared" si="90"/>
        <v>UN</v>
      </c>
      <c r="J1422" s="140" t="str">
        <f t="shared" si="91"/>
        <v>COTOVELO DE COBRE 90 GRAUS (REF 607) SEM ANEL DE SOLDA, BOLSA X BOLSA, 66 MM</v>
      </c>
    </row>
    <row r="1423" spans="1:10" x14ac:dyDescent="0.25">
      <c r="A1423" s="169">
        <v>12721</v>
      </c>
      <c r="B1423" s="169" t="s">
        <v>24823</v>
      </c>
      <c r="C1423" s="169" t="s">
        <v>10225</v>
      </c>
      <c r="D1423" s="169" t="s">
        <v>1290</v>
      </c>
      <c r="E1423" s="103" t="s">
        <v>30157</v>
      </c>
      <c r="F1423" s="104"/>
      <c r="G1423" s="105">
        <f t="shared" si="88"/>
        <v>294.77</v>
      </c>
      <c r="H1423" s="101" t="str">
        <f t="shared" si="89"/>
        <v>Sinapi 12721</v>
      </c>
      <c r="I1423" s="101" t="str">
        <f t="shared" si="90"/>
        <v>UN</v>
      </c>
      <c r="J1423" s="140" t="str">
        <f t="shared" si="91"/>
        <v>COTOVELO DE COBRE 90 GRAUS (REF 607) SEM ANEL DE SOLDA, BOLSA X BOLSA, 79 MM</v>
      </c>
    </row>
    <row r="1424" spans="1:10" x14ac:dyDescent="0.25">
      <c r="A1424" s="169">
        <v>3468</v>
      </c>
      <c r="B1424" s="169" t="s">
        <v>24824</v>
      </c>
      <c r="C1424" s="169" t="s">
        <v>10225</v>
      </c>
      <c r="D1424" s="169" t="s">
        <v>1289</v>
      </c>
      <c r="E1424" s="103" t="s">
        <v>30158</v>
      </c>
      <c r="F1424" s="104"/>
      <c r="G1424" s="105">
        <f t="shared" si="88"/>
        <v>42.21</v>
      </c>
      <c r="H1424" s="101" t="str">
        <f t="shared" si="89"/>
        <v>Sinapi 3468</v>
      </c>
      <c r="I1424" s="101" t="str">
        <f t="shared" si="90"/>
        <v>UN</v>
      </c>
      <c r="J1424" s="140" t="str">
        <f t="shared" si="91"/>
        <v>COTOVELO DE REDUCAO 90 GRAUS DE FERRO GALVANIZADO, COM ROSCA BSP, DE 1 1/2" X 1"</v>
      </c>
    </row>
    <row r="1425" spans="1:10" x14ac:dyDescent="0.25">
      <c r="A1425" s="169">
        <v>3465</v>
      </c>
      <c r="B1425" s="169" t="s">
        <v>24825</v>
      </c>
      <c r="C1425" s="169" t="s">
        <v>10225</v>
      </c>
      <c r="D1425" s="169" t="s">
        <v>1289</v>
      </c>
      <c r="E1425" s="103" t="s">
        <v>30159</v>
      </c>
      <c r="F1425" s="104"/>
      <c r="G1425" s="105">
        <f t="shared" si="88"/>
        <v>42.2</v>
      </c>
      <c r="H1425" s="101" t="str">
        <f t="shared" si="89"/>
        <v>Sinapi 3465</v>
      </c>
      <c r="I1425" s="101" t="str">
        <f t="shared" si="90"/>
        <v>UN</v>
      </c>
      <c r="J1425" s="140" t="str">
        <f t="shared" si="91"/>
        <v>COTOVELO DE REDUCAO 90 GRAUS DE FERRO GALVANIZADO, COM ROSCA BSP, DE 1 1/2" X 3/4"</v>
      </c>
    </row>
    <row r="1426" spans="1:10" x14ac:dyDescent="0.25">
      <c r="A1426" s="169">
        <v>12403</v>
      </c>
      <c r="B1426" s="169" t="s">
        <v>24826</v>
      </c>
      <c r="C1426" s="169" t="s">
        <v>10225</v>
      </c>
      <c r="D1426" s="169" t="s">
        <v>1289</v>
      </c>
      <c r="E1426" s="103" t="s">
        <v>23341</v>
      </c>
      <c r="F1426" s="104"/>
      <c r="G1426" s="105">
        <f t="shared" si="88"/>
        <v>30.07</v>
      </c>
      <c r="H1426" s="101" t="str">
        <f t="shared" si="89"/>
        <v>Sinapi 12403</v>
      </c>
      <c r="I1426" s="101" t="str">
        <f t="shared" si="90"/>
        <v>UN</v>
      </c>
      <c r="J1426" s="140" t="str">
        <f t="shared" si="91"/>
        <v>COTOVELO DE REDUCAO 90 GRAUS DE FERRO GALVANIZADO, COM ROSCA BSP, DE 1 1/4" X 1"</v>
      </c>
    </row>
    <row r="1427" spans="1:10" x14ac:dyDescent="0.25">
      <c r="A1427" s="169">
        <v>3463</v>
      </c>
      <c r="B1427" s="169" t="s">
        <v>24827</v>
      </c>
      <c r="C1427" s="169" t="s">
        <v>10225</v>
      </c>
      <c r="D1427" s="169" t="s">
        <v>1289</v>
      </c>
      <c r="E1427" s="103" t="s">
        <v>18549</v>
      </c>
      <c r="F1427" s="104"/>
      <c r="G1427" s="105">
        <f t="shared" si="88"/>
        <v>17.57</v>
      </c>
      <c r="H1427" s="101" t="str">
        <f t="shared" si="89"/>
        <v>Sinapi 3463</v>
      </c>
      <c r="I1427" s="101" t="str">
        <f t="shared" si="90"/>
        <v>UN</v>
      </c>
      <c r="J1427" s="140" t="str">
        <f t="shared" si="91"/>
        <v>COTOVELO DE REDUCAO 90 GRAUS DE FERRO GALVANIZADO, COM ROSCA BSP, DE 1" X 1/2"</v>
      </c>
    </row>
    <row r="1428" spans="1:10" x14ac:dyDescent="0.25">
      <c r="A1428" s="169">
        <v>3464</v>
      </c>
      <c r="B1428" s="169" t="s">
        <v>24828</v>
      </c>
      <c r="C1428" s="169" t="s">
        <v>10225</v>
      </c>
      <c r="D1428" s="169" t="s">
        <v>1289</v>
      </c>
      <c r="E1428" s="103" t="s">
        <v>18549</v>
      </c>
      <c r="F1428" s="104"/>
      <c r="G1428" s="105">
        <f t="shared" si="88"/>
        <v>17.57</v>
      </c>
      <c r="H1428" s="101" t="str">
        <f t="shared" si="89"/>
        <v>Sinapi 3464</v>
      </c>
      <c r="I1428" s="101" t="str">
        <f t="shared" si="90"/>
        <v>UN</v>
      </c>
      <c r="J1428" s="140" t="str">
        <f t="shared" si="91"/>
        <v>COTOVELO DE REDUCAO 90 GRAUS DE FERRO GALVANIZADO, COM ROSCA BSP, DE 1" X 3/4"</v>
      </c>
    </row>
    <row r="1429" spans="1:10" x14ac:dyDescent="0.25">
      <c r="A1429" s="169">
        <v>3466</v>
      </c>
      <c r="B1429" s="169" t="s">
        <v>24829</v>
      </c>
      <c r="C1429" s="169" t="s">
        <v>10225</v>
      </c>
      <c r="D1429" s="169" t="s">
        <v>1289</v>
      </c>
      <c r="E1429" s="103" t="s">
        <v>30160</v>
      </c>
      <c r="F1429" s="104"/>
      <c r="G1429" s="105">
        <f t="shared" si="88"/>
        <v>107.17</v>
      </c>
      <c r="H1429" s="101" t="str">
        <f t="shared" si="89"/>
        <v>Sinapi 3466</v>
      </c>
      <c r="I1429" s="101" t="str">
        <f t="shared" si="90"/>
        <v>UN</v>
      </c>
      <c r="J1429" s="140" t="str">
        <f t="shared" si="91"/>
        <v>COTOVELO DE REDUCAO 90 GRAUS DE FERRO GALVANIZADO, COM ROSCA BSP, DE 2 1/2" X 2"</v>
      </c>
    </row>
    <row r="1430" spans="1:10" x14ac:dyDescent="0.25">
      <c r="A1430" s="169">
        <v>3467</v>
      </c>
      <c r="B1430" s="169" t="s">
        <v>24830</v>
      </c>
      <c r="C1430" s="169" t="s">
        <v>10225</v>
      </c>
      <c r="D1430" s="169" t="s">
        <v>1289</v>
      </c>
      <c r="E1430" s="103" t="s">
        <v>30161</v>
      </c>
      <c r="F1430" s="104"/>
      <c r="G1430" s="105">
        <f t="shared" si="88"/>
        <v>60.53</v>
      </c>
      <c r="H1430" s="101" t="str">
        <f t="shared" si="89"/>
        <v>Sinapi 3467</v>
      </c>
      <c r="I1430" s="101" t="str">
        <f t="shared" si="90"/>
        <v>UN</v>
      </c>
      <c r="J1430" s="140" t="str">
        <f t="shared" si="91"/>
        <v>COTOVELO DE REDUCAO 90 GRAUS DE FERRO GALVANIZADO, COM ROSCA BSP, DE 2" X 1 1/2"</v>
      </c>
    </row>
    <row r="1431" spans="1:10" x14ac:dyDescent="0.25">
      <c r="A1431" s="169">
        <v>3462</v>
      </c>
      <c r="B1431" s="169" t="s">
        <v>24831</v>
      </c>
      <c r="C1431" s="169" t="s">
        <v>10225</v>
      </c>
      <c r="D1431" s="169" t="s">
        <v>1289</v>
      </c>
      <c r="E1431" s="103" t="s">
        <v>5281</v>
      </c>
      <c r="F1431" s="104"/>
      <c r="G1431" s="105">
        <f t="shared" si="88"/>
        <v>11.59</v>
      </c>
      <c r="H1431" s="101" t="str">
        <f t="shared" si="89"/>
        <v>Sinapi 3462</v>
      </c>
      <c r="I1431" s="101" t="str">
        <f t="shared" si="90"/>
        <v>UN</v>
      </c>
      <c r="J1431" s="140" t="str">
        <f t="shared" si="91"/>
        <v>COTOVELO DE REDUCAO 90 GRAUS DE FERRO GALVANIZADO, COM ROSCA BSP, DE 3/4" X 1/2"</v>
      </c>
    </row>
    <row r="1432" spans="1:10" x14ac:dyDescent="0.25">
      <c r="A1432" s="169">
        <v>3446</v>
      </c>
      <c r="B1432" s="169" t="s">
        <v>24832</v>
      </c>
      <c r="C1432" s="169" t="s">
        <v>10225</v>
      </c>
      <c r="D1432" s="169" t="s">
        <v>1289</v>
      </c>
      <c r="E1432" s="103" t="s">
        <v>29275</v>
      </c>
      <c r="F1432" s="104"/>
      <c r="G1432" s="105">
        <f t="shared" si="88"/>
        <v>35.68</v>
      </c>
      <c r="H1432" s="101" t="str">
        <f t="shared" si="89"/>
        <v>Sinapi 3446</v>
      </c>
      <c r="I1432" s="101" t="str">
        <f t="shared" si="90"/>
        <v>UN</v>
      </c>
      <c r="J1432" s="140" t="str">
        <f t="shared" si="91"/>
        <v>COTOVELO 45 GRAUS DE FERRO GALVANIZADO, COM ROSCA BSP, DE 1 1/2"</v>
      </c>
    </row>
    <row r="1433" spans="1:10" x14ac:dyDescent="0.25">
      <c r="A1433" s="169">
        <v>3445</v>
      </c>
      <c r="B1433" s="169" t="s">
        <v>24834</v>
      </c>
      <c r="C1433" s="169" t="s">
        <v>10225</v>
      </c>
      <c r="D1433" s="169" t="s">
        <v>1289</v>
      </c>
      <c r="E1433" s="103" t="s">
        <v>22013</v>
      </c>
      <c r="F1433" s="104"/>
      <c r="G1433" s="105">
        <f t="shared" si="88"/>
        <v>29.13</v>
      </c>
      <c r="H1433" s="101" t="str">
        <f t="shared" si="89"/>
        <v>Sinapi 3445</v>
      </c>
      <c r="I1433" s="101" t="str">
        <f t="shared" si="90"/>
        <v>UN</v>
      </c>
      <c r="J1433" s="140" t="str">
        <f t="shared" si="91"/>
        <v>COTOVELO 45 GRAUS DE FERRO GALVANIZADO, COM ROSCA BSP, DE 1 1/4"</v>
      </c>
    </row>
    <row r="1434" spans="1:10" x14ac:dyDescent="0.25">
      <c r="A1434" s="169">
        <v>3441</v>
      </c>
      <c r="B1434" s="169" t="s">
        <v>24835</v>
      </c>
      <c r="C1434" s="169" t="s">
        <v>10225</v>
      </c>
      <c r="D1434" s="169" t="s">
        <v>1289</v>
      </c>
      <c r="E1434" s="103" t="s">
        <v>19309</v>
      </c>
      <c r="F1434" s="104"/>
      <c r="G1434" s="105">
        <f t="shared" si="88"/>
        <v>8.2200000000000006</v>
      </c>
      <c r="H1434" s="101" t="str">
        <f t="shared" si="89"/>
        <v>Sinapi 3441</v>
      </c>
      <c r="I1434" s="101" t="str">
        <f t="shared" si="90"/>
        <v>UN</v>
      </c>
      <c r="J1434" s="140" t="str">
        <f t="shared" si="91"/>
        <v>COTOVELO 45 GRAUS DE FERRO GALVANIZADO, COM ROSCA BSP, DE 1/2"</v>
      </c>
    </row>
    <row r="1435" spans="1:10" x14ac:dyDescent="0.25">
      <c r="A1435" s="169">
        <v>3444</v>
      </c>
      <c r="B1435" s="169" t="s">
        <v>24836</v>
      </c>
      <c r="C1435" s="169" t="s">
        <v>10225</v>
      </c>
      <c r="D1435" s="169" t="s">
        <v>1289</v>
      </c>
      <c r="E1435" s="103" t="s">
        <v>23101</v>
      </c>
      <c r="F1435" s="104"/>
      <c r="G1435" s="105">
        <f t="shared" si="88"/>
        <v>17.93</v>
      </c>
      <c r="H1435" s="101" t="str">
        <f t="shared" si="89"/>
        <v>Sinapi 3444</v>
      </c>
      <c r="I1435" s="101" t="str">
        <f t="shared" si="90"/>
        <v>UN</v>
      </c>
      <c r="J1435" s="140" t="str">
        <f t="shared" si="91"/>
        <v>COTOVELO 45 GRAUS DE FERRO GALVANIZADO, COM ROSCA BSP, DE 1"</v>
      </c>
    </row>
    <row r="1436" spans="1:10" x14ac:dyDescent="0.25">
      <c r="A1436" s="169">
        <v>12402</v>
      </c>
      <c r="B1436" s="169" t="s">
        <v>24837</v>
      </c>
      <c r="C1436" s="169" t="s">
        <v>10225</v>
      </c>
      <c r="D1436" s="169" t="s">
        <v>1289</v>
      </c>
      <c r="E1436" s="103" t="s">
        <v>30162</v>
      </c>
      <c r="F1436" s="104"/>
      <c r="G1436" s="105">
        <f t="shared" si="88"/>
        <v>100.3</v>
      </c>
      <c r="H1436" s="101" t="str">
        <f t="shared" si="89"/>
        <v>Sinapi 12402</v>
      </c>
      <c r="I1436" s="101" t="str">
        <f t="shared" si="90"/>
        <v>UN</v>
      </c>
      <c r="J1436" s="140" t="str">
        <f t="shared" si="91"/>
        <v>COTOVELO 45 GRAUS DE FERRO GALVANIZADO, COM ROSCA BSP, DE 2 1/2"</v>
      </c>
    </row>
    <row r="1437" spans="1:10" x14ac:dyDescent="0.25">
      <c r="A1437" s="169">
        <v>3447</v>
      </c>
      <c r="B1437" s="169" t="s">
        <v>24838</v>
      </c>
      <c r="C1437" s="169" t="s">
        <v>10225</v>
      </c>
      <c r="D1437" s="169" t="s">
        <v>1289</v>
      </c>
      <c r="E1437" s="103" t="s">
        <v>22109</v>
      </c>
      <c r="F1437" s="104"/>
      <c r="G1437" s="105">
        <f t="shared" si="88"/>
        <v>51.89</v>
      </c>
      <c r="H1437" s="101" t="str">
        <f t="shared" si="89"/>
        <v>Sinapi 3447</v>
      </c>
      <c r="I1437" s="101" t="str">
        <f t="shared" si="90"/>
        <v>UN</v>
      </c>
      <c r="J1437" s="140" t="str">
        <f t="shared" si="91"/>
        <v>COTOVELO 45 GRAUS DE FERRO GALVANIZADO, COM ROSCA BSP, DE 2"</v>
      </c>
    </row>
    <row r="1438" spans="1:10" x14ac:dyDescent="0.25">
      <c r="A1438" s="169">
        <v>3442</v>
      </c>
      <c r="B1438" s="169" t="s">
        <v>24839</v>
      </c>
      <c r="C1438" s="169" t="s">
        <v>10225</v>
      </c>
      <c r="D1438" s="169" t="s">
        <v>1289</v>
      </c>
      <c r="E1438" s="103" t="s">
        <v>28559</v>
      </c>
      <c r="F1438" s="104"/>
      <c r="G1438" s="105">
        <f t="shared" si="88"/>
        <v>12.3</v>
      </c>
      <c r="H1438" s="101" t="str">
        <f t="shared" si="89"/>
        <v>Sinapi 3442</v>
      </c>
      <c r="I1438" s="101" t="str">
        <f t="shared" si="90"/>
        <v>UN</v>
      </c>
      <c r="J1438" s="140" t="str">
        <f t="shared" si="91"/>
        <v>COTOVELO 45 GRAUS DE FERRO GALVANIZADO, COM ROSCA BSP, DE 3/4"</v>
      </c>
    </row>
    <row r="1439" spans="1:10" x14ac:dyDescent="0.25">
      <c r="A1439" s="169">
        <v>3448</v>
      </c>
      <c r="B1439" s="169" t="s">
        <v>24840</v>
      </c>
      <c r="C1439" s="169" t="s">
        <v>10225</v>
      </c>
      <c r="D1439" s="169" t="s">
        <v>1289</v>
      </c>
      <c r="E1439" s="103" t="s">
        <v>30163</v>
      </c>
      <c r="F1439" s="104"/>
      <c r="G1439" s="105">
        <f t="shared" si="88"/>
        <v>146.63999999999999</v>
      </c>
      <c r="H1439" s="101" t="str">
        <f t="shared" si="89"/>
        <v>Sinapi 3448</v>
      </c>
      <c r="I1439" s="101" t="str">
        <f t="shared" si="90"/>
        <v>UN</v>
      </c>
      <c r="J1439" s="140" t="str">
        <f t="shared" si="91"/>
        <v>COTOVELO 45 GRAUS DE FERRO GALVANIZADO, COM ROSCA BSP, DE 3"</v>
      </c>
    </row>
    <row r="1440" spans="1:10" x14ac:dyDescent="0.25">
      <c r="A1440" s="169">
        <v>3449</v>
      </c>
      <c r="B1440" s="169" t="s">
        <v>24842</v>
      </c>
      <c r="C1440" s="169" t="s">
        <v>10225</v>
      </c>
      <c r="D1440" s="169" t="s">
        <v>1289</v>
      </c>
      <c r="E1440" s="103" t="s">
        <v>30164</v>
      </c>
      <c r="F1440" s="104"/>
      <c r="G1440" s="105">
        <f t="shared" si="88"/>
        <v>256.95</v>
      </c>
      <c r="H1440" s="101" t="str">
        <f t="shared" si="89"/>
        <v>Sinapi 3449</v>
      </c>
      <c r="I1440" s="101" t="str">
        <f t="shared" si="90"/>
        <v>UN</v>
      </c>
      <c r="J1440" s="140" t="str">
        <f t="shared" si="91"/>
        <v>COTOVELO 45 GRAUS DE FERRO GALVANIZADO, COM ROSCA BSP, DE 4"</v>
      </c>
    </row>
    <row r="1441" spans="1:10" x14ac:dyDescent="0.25">
      <c r="A1441" s="169">
        <v>37438</v>
      </c>
      <c r="B1441" s="169" t="s">
        <v>24843</v>
      </c>
      <c r="C1441" s="169" t="s">
        <v>10225</v>
      </c>
      <c r="D1441" s="169" t="s">
        <v>1290</v>
      </c>
      <c r="E1441" s="103" t="s">
        <v>22777</v>
      </c>
      <c r="F1441" s="104"/>
      <c r="G1441" s="105">
        <f t="shared" si="88"/>
        <v>243.4</v>
      </c>
      <c r="H1441" s="101" t="str">
        <f t="shared" si="89"/>
        <v>Sinapi 37438</v>
      </c>
      <c r="I1441" s="101" t="str">
        <f t="shared" si="90"/>
        <v>UN</v>
      </c>
      <c r="J1441" s="140" t="str">
        <f t="shared" si="91"/>
        <v>COTOVELO 45 GRAUS, PEAD PE 100, DE 125 MM, PARA ELETROFUSAO</v>
      </c>
    </row>
    <row r="1442" spans="1:10" x14ac:dyDescent="0.25">
      <c r="A1442" s="169">
        <v>37439</v>
      </c>
      <c r="B1442" s="169" t="s">
        <v>24844</v>
      </c>
      <c r="C1442" s="169" t="s">
        <v>10225</v>
      </c>
      <c r="D1442" s="169" t="s">
        <v>1290</v>
      </c>
      <c r="E1442" s="103" t="s">
        <v>22778</v>
      </c>
      <c r="F1442" s="104"/>
      <c r="G1442" s="105">
        <f t="shared" si="88"/>
        <v>1591.32</v>
      </c>
      <c r="H1442" s="101" t="str">
        <f t="shared" si="89"/>
        <v>Sinapi 37439</v>
      </c>
      <c r="I1442" s="101" t="str">
        <f t="shared" si="90"/>
        <v>UN</v>
      </c>
      <c r="J1442" s="140" t="str">
        <f t="shared" si="91"/>
        <v>COTOVELO 45 GRAUS, PEAD PE 100, DE 200 MM, PARA ELETROFUSAO</v>
      </c>
    </row>
    <row r="1443" spans="1:10" x14ac:dyDescent="0.25">
      <c r="A1443" s="169">
        <v>37435</v>
      </c>
      <c r="B1443" s="169" t="s">
        <v>24845</v>
      </c>
      <c r="C1443" s="169" t="s">
        <v>10225</v>
      </c>
      <c r="D1443" s="169" t="s">
        <v>1290</v>
      </c>
      <c r="E1443" s="103" t="s">
        <v>21171</v>
      </c>
      <c r="F1443" s="104"/>
      <c r="G1443" s="105">
        <f t="shared" si="88"/>
        <v>28.6</v>
      </c>
      <c r="H1443" s="101" t="str">
        <f t="shared" si="89"/>
        <v>Sinapi 37435</v>
      </c>
      <c r="I1443" s="101" t="str">
        <f t="shared" si="90"/>
        <v>UN</v>
      </c>
      <c r="J1443" s="140" t="str">
        <f t="shared" si="91"/>
        <v>COTOVELO 45 GRAUS, PEAD PE 100, DE 32 MM, PARA ELETROFUSAO</v>
      </c>
    </row>
    <row r="1444" spans="1:10" x14ac:dyDescent="0.25">
      <c r="A1444" s="169">
        <v>37436</v>
      </c>
      <c r="B1444" s="169" t="s">
        <v>24846</v>
      </c>
      <c r="C1444" s="169" t="s">
        <v>10225</v>
      </c>
      <c r="D1444" s="169" t="s">
        <v>1290</v>
      </c>
      <c r="E1444" s="103" t="s">
        <v>22779</v>
      </c>
      <c r="F1444" s="104"/>
      <c r="G1444" s="105">
        <f t="shared" si="88"/>
        <v>33.76</v>
      </c>
      <c r="H1444" s="101" t="str">
        <f t="shared" si="89"/>
        <v>Sinapi 37436</v>
      </c>
      <c r="I1444" s="101" t="str">
        <f t="shared" si="90"/>
        <v>UN</v>
      </c>
      <c r="J1444" s="140" t="str">
        <f t="shared" si="91"/>
        <v>COTOVELO 45 GRAUS, PEAD PE 100, DE 40 MM, PARA ELETROFUSAO</v>
      </c>
    </row>
    <row r="1445" spans="1:10" x14ac:dyDescent="0.25">
      <c r="A1445" s="169">
        <v>37437</v>
      </c>
      <c r="B1445" s="169" t="s">
        <v>24847</v>
      </c>
      <c r="C1445" s="169" t="s">
        <v>10225</v>
      </c>
      <c r="D1445" s="169" t="s">
        <v>1290</v>
      </c>
      <c r="E1445" s="103" t="s">
        <v>22780</v>
      </c>
      <c r="F1445" s="104"/>
      <c r="G1445" s="105">
        <f t="shared" si="88"/>
        <v>48.82</v>
      </c>
      <c r="H1445" s="101" t="str">
        <f t="shared" si="89"/>
        <v>Sinapi 37437</v>
      </c>
      <c r="I1445" s="101" t="str">
        <f t="shared" si="90"/>
        <v>UN</v>
      </c>
      <c r="J1445" s="140" t="str">
        <f t="shared" si="91"/>
        <v>COTOVELO 45 GRAUS, PEAD PE 100, DE 63 MM, PARA ELETROFUSAO</v>
      </c>
    </row>
    <row r="1446" spans="1:10" x14ac:dyDescent="0.25">
      <c r="A1446" s="169">
        <v>3473</v>
      </c>
      <c r="B1446" s="169" t="s">
        <v>24848</v>
      </c>
      <c r="C1446" s="169" t="s">
        <v>10225</v>
      </c>
      <c r="D1446" s="169" t="s">
        <v>1289</v>
      </c>
      <c r="E1446" s="103" t="s">
        <v>22038</v>
      </c>
      <c r="F1446" s="104"/>
      <c r="G1446" s="105">
        <f t="shared" si="88"/>
        <v>40.340000000000003</v>
      </c>
      <c r="H1446" s="101" t="str">
        <f t="shared" si="89"/>
        <v>Sinapi 3473</v>
      </c>
      <c r="I1446" s="101" t="str">
        <f t="shared" si="90"/>
        <v>UN</v>
      </c>
      <c r="J1446" s="140" t="str">
        <f t="shared" si="91"/>
        <v>COTOVELO 90 GRAUS DE FERRO GALVANIZADO, COM ROSCA BSP MACHO/FEMEA, DE 1 1/2"</v>
      </c>
    </row>
    <row r="1447" spans="1:10" x14ac:dyDescent="0.25">
      <c r="A1447" s="169">
        <v>3474</v>
      </c>
      <c r="B1447" s="169" t="s">
        <v>24850</v>
      </c>
      <c r="C1447" s="169" t="s">
        <v>10225</v>
      </c>
      <c r="D1447" s="169" t="s">
        <v>1289</v>
      </c>
      <c r="E1447" s="103" t="s">
        <v>21375</v>
      </c>
      <c r="F1447" s="104"/>
      <c r="G1447" s="105">
        <f t="shared" si="88"/>
        <v>33.26</v>
      </c>
      <c r="H1447" s="101" t="str">
        <f t="shared" si="89"/>
        <v>Sinapi 3474</v>
      </c>
      <c r="I1447" s="101" t="str">
        <f t="shared" si="90"/>
        <v>UN</v>
      </c>
      <c r="J1447" s="140" t="str">
        <f t="shared" si="91"/>
        <v>COTOVELO 90 GRAUS DE FERRO GALVANIZADO, COM ROSCA BSP MACHO/FEMEA, DE 1 1/4"</v>
      </c>
    </row>
    <row r="1448" spans="1:10" x14ac:dyDescent="0.25">
      <c r="A1448" s="169">
        <v>3450</v>
      </c>
      <c r="B1448" s="169" t="s">
        <v>24851</v>
      </c>
      <c r="C1448" s="169" t="s">
        <v>10225</v>
      </c>
      <c r="D1448" s="169" t="s">
        <v>1289</v>
      </c>
      <c r="E1448" s="103" t="s">
        <v>19304</v>
      </c>
      <c r="F1448" s="104"/>
      <c r="G1448" s="105">
        <f t="shared" si="88"/>
        <v>9.64</v>
      </c>
      <c r="H1448" s="101" t="str">
        <f t="shared" si="89"/>
        <v>Sinapi 3450</v>
      </c>
      <c r="I1448" s="101" t="str">
        <f t="shared" si="90"/>
        <v>UN</v>
      </c>
      <c r="J1448" s="140" t="str">
        <f t="shared" si="91"/>
        <v>COTOVELO 90 GRAUS DE FERRO GALVANIZADO, COM ROSCA BSP MACHO/FEMEA, DE 1/2"</v>
      </c>
    </row>
    <row r="1449" spans="1:10" x14ac:dyDescent="0.25">
      <c r="A1449" s="169">
        <v>3443</v>
      </c>
      <c r="B1449" s="169" t="s">
        <v>24852</v>
      </c>
      <c r="C1449" s="169" t="s">
        <v>10225</v>
      </c>
      <c r="D1449" s="169" t="s">
        <v>1289</v>
      </c>
      <c r="E1449" s="103" t="s">
        <v>22014</v>
      </c>
      <c r="F1449" s="104"/>
      <c r="G1449" s="105">
        <f t="shared" si="88"/>
        <v>20.69</v>
      </c>
      <c r="H1449" s="101" t="str">
        <f t="shared" si="89"/>
        <v>Sinapi 3443</v>
      </c>
      <c r="I1449" s="101" t="str">
        <f t="shared" si="90"/>
        <v>UN</v>
      </c>
      <c r="J1449" s="140" t="str">
        <f t="shared" si="91"/>
        <v>COTOVELO 90 GRAUS DE FERRO GALVANIZADO, COM ROSCA BSP MACHO/FEMEA, DE 1"</v>
      </c>
    </row>
    <row r="1450" spans="1:10" x14ac:dyDescent="0.25">
      <c r="A1450" s="169">
        <v>3453</v>
      </c>
      <c r="B1450" s="169" t="s">
        <v>24853</v>
      </c>
      <c r="C1450" s="169" t="s">
        <v>10225</v>
      </c>
      <c r="D1450" s="169" t="s">
        <v>1289</v>
      </c>
      <c r="E1450" s="103" t="s">
        <v>30165</v>
      </c>
      <c r="F1450" s="104"/>
      <c r="G1450" s="105">
        <f t="shared" si="88"/>
        <v>117.76</v>
      </c>
      <c r="H1450" s="101" t="str">
        <f t="shared" si="89"/>
        <v>Sinapi 3453</v>
      </c>
      <c r="I1450" s="101" t="str">
        <f t="shared" si="90"/>
        <v>UN</v>
      </c>
      <c r="J1450" s="140" t="str">
        <f t="shared" si="91"/>
        <v>COTOVELO 90 GRAUS DE FERRO GALVANIZADO, COM ROSCA BSP MACHO/FEMEA, DE 2 1/2"</v>
      </c>
    </row>
    <row r="1451" spans="1:10" x14ac:dyDescent="0.25">
      <c r="A1451" s="169">
        <v>3452</v>
      </c>
      <c r="B1451" s="169" t="s">
        <v>24854</v>
      </c>
      <c r="C1451" s="169" t="s">
        <v>10225</v>
      </c>
      <c r="D1451" s="169" t="s">
        <v>1289</v>
      </c>
      <c r="E1451" s="103" t="s">
        <v>30166</v>
      </c>
      <c r="F1451" s="104"/>
      <c r="G1451" s="105">
        <f t="shared" si="88"/>
        <v>58.12</v>
      </c>
      <c r="H1451" s="101" t="str">
        <f t="shared" si="89"/>
        <v>Sinapi 3452</v>
      </c>
      <c r="I1451" s="101" t="str">
        <f t="shared" si="90"/>
        <v>UN</v>
      </c>
      <c r="J1451" s="140" t="str">
        <f t="shared" si="91"/>
        <v>COTOVELO 90 GRAUS DE FERRO GALVANIZADO, COM ROSCA BSP MACHO/FEMEA, DE 2"</v>
      </c>
    </row>
    <row r="1452" spans="1:10" x14ac:dyDescent="0.25">
      <c r="A1452" s="169">
        <v>3451</v>
      </c>
      <c r="B1452" s="169" t="s">
        <v>24855</v>
      </c>
      <c r="C1452" s="169" t="s">
        <v>10225</v>
      </c>
      <c r="D1452" s="169" t="s">
        <v>1289</v>
      </c>
      <c r="E1452" s="103" t="s">
        <v>11129</v>
      </c>
      <c r="F1452" s="104"/>
      <c r="G1452" s="105">
        <f t="shared" si="88"/>
        <v>11.53</v>
      </c>
      <c r="H1452" s="101" t="str">
        <f t="shared" si="89"/>
        <v>Sinapi 3451</v>
      </c>
      <c r="I1452" s="101" t="str">
        <f t="shared" si="90"/>
        <v>UN</v>
      </c>
      <c r="J1452" s="140" t="str">
        <f t="shared" si="91"/>
        <v>COTOVELO 90 GRAUS DE FERRO GALVANIZADO, COM ROSCA BSP MACHO/FEMEA, DE 3/4"</v>
      </c>
    </row>
    <row r="1453" spans="1:10" x14ac:dyDescent="0.25">
      <c r="A1453" s="169">
        <v>3454</v>
      </c>
      <c r="B1453" s="169" t="s">
        <v>24857</v>
      </c>
      <c r="C1453" s="169" t="s">
        <v>10225</v>
      </c>
      <c r="D1453" s="169" t="s">
        <v>1289</v>
      </c>
      <c r="E1453" s="103" t="s">
        <v>30167</v>
      </c>
      <c r="F1453" s="104"/>
      <c r="G1453" s="105">
        <f t="shared" si="88"/>
        <v>179.11</v>
      </c>
      <c r="H1453" s="101" t="str">
        <f t="shared" si="89"/>
        <v>Sinapi 3454</v>
      </c>
      <c r="I1453" s="101" t="str">
        <f t="shared" si="90"/>
        <v>UN</v>
      </c>
      <c r="J1453" s="140" t="str">
        <f t="shared" si="91"/>
        <v>COTOVELO 90 GRAUS DE FERRO GALVANIZADO, COM ROSCA BSP MACHO/FEMEA, DE 3"</v>
      </c>
    </row>
    <row r="1454" spans="1:10" x14ac:dyDescent="0.25">
      <c r="A1454" s="169">
        <v>3458</v>
      </c>
      <c r="B1454" s="169" t="s">
        <v>24858</v>
      </c>
      <c r="C1454" s="169" t="s">
        <v>10225</v>
      </c>
      <c r="D1454" s="169" t="s">
        <v>1289</v>
      </c>
      <c r="E1454" s="103" t="s">
        <v>28815</v>
      </c>
      <c r="F1454" s="104"/>
      <c r="G1454" s="105">
        <f t="shared" si="88"/>
        <v>32.340000000000003</v>
      </c>
      <c r="H1454" s="101" t="str">
        <f t="shared" si="89"/>
        <v>Sinapi 3458</v>
      </c>
      <c r="I1454" s="101" t="str">
        <f t="shared" si="90"/>
        <v>UN</v>
      </c>
      <c r="J1454" s="140" t="str">
        <f t="shared" si="91"/>
        <v>COTOVELO 90 GRAUS DE FERRO GALVANIZADO, COM ROSCA BSP, DE 1 1/2"</v>
      </c>
    </row>
    <row r="1455" spans="1:10" x14ac:dyDescent="0.25">
      <c r="A1455" s="169">
        <v>3457</v>
      </c>
      <c r="B1455" s="169" t="s">
        <v>24860</v>
      </c>
      <c r="C1455" s="169" t="s">
        <v>10225</v>
      </c>
      <c r="D1455" s="169" t="s">
        <v>1289</v>
      </c>
      <c r="E1455" s="103" t="s">
        <v>28791</v>
      </c>
      <c r="F1455" s="104"/>
      <c r="G1455" s="105">
        <f t="shared" si="88"/>
        <v>24.28</v>
      </c>
      <c r="H1455" s="101" t="str">
        <f t="shared" si="89"/>
        <v>Sinapi 3457</v>
      </c>
      <c r="I1455" s="101" t="str">
        <f t="shared" si="90"/>
        <v>UN</v>
      </c>
      <c r="J1455" s="140" t="str">
        <f t="shared" si="91"/>
        <v>COTOVELO 90 GRAUS DE FERRO GALVANIZADO, COM ROSCA BSP, DE 1 1/4"</v>
      </c>
    </row>
    <row r="1456" spans="1:10" x14ac:dyDescent="0.25">
      <c r="A1456" s="169">
        <v>3455</v>
      </c>
      <c r="B1456" s="169" t="s">
        <v>24861</v>
      </c>
      <c r="C1456" s="169" t="s">
        <v>10225</v>
      </c>
      <c r="D1456" s="169" t="s">
        <v>1289</v>
      </c>
      <c r="E1456" s="103" t="s">
        <v>18570</v>
      </c>
      <c r="F1456" s="104"/>
      <c r="G1456" s="105">
        <f t="shared" si="88"/>
        <v>6.89</v>
      </c>
      <c r="H1456" s="101" t="str">
        <f t="shared" si="89"/>
        <v>Sinapi 3455</v>
      </c>
      <c r="I1456" s="101" t="str">
        <f t="shared" si="90"/>
        <v>UN</v>
      </c>
      <c r="J1456" s="140" t="str">
        <f t="shared" si="91"/>
        <v>COTOVELO 90 GRAUS DE FERRO GALVANIZADO, COM ROSCA BSP, DE 1/2"</v>
      </c>
    </row>
    <row r="1457" spans="1:10" x14ac:dyDescent="0.25">
      <c r="A1457" s="169">
        <v>3472</v>
      </c>
      <c r="B1457" s="169" t="s">
        <v>1003</v>
      </c>
      <c r="C1457" s="169" t="s">
        <v>10225</v>
      </c>
      <c r="D1457" s="169" t="s">
        <v>1289</v>
      </c>
      <c r="E1457" s="103" t="s">
        <v>21717</v>
      </c>
      <c r="F1457" s="104"/>
      <c r="G1457" s="105">
        <f t="shared" si="88"/>
        <v>15.49</v>
      </c>
      <c r="H1457" s="101" t="str">
        <f t="shared" si="89"/>
        <v>Sinapi 3472</v>
      </c>
      <c r="I1457" s="101" t="str">
        <f t="shared" si="90"/>
        <v>UN</v>
      </c>
      <c r="J1457" s="140" t="str">
        <f t="shared" si="91"/>
        <v>COTOVELO 90 GRAUS DE FERRO GALVANIZADO, COM ROSCA BSP, DE 1"</v>
      </c>
    </row>
    <row r="1458" spans="1:10" x14ac:dyDescent="0.25">
      <c r="A1458" s="169">
        <v>3470</v>
      </c>
      <c r="B1458" s="169" t="s">
        <v>24862</v>
      </c>
      <c r="C1458" s="169" t="s">
        <v>10225</v>
      </c>
      <c r="D1458" s="169" t="s">
        <v>1289</v>
      </c>
      <c r="E1458" s="103" t="s">
        <v>30168</v>
      </c>
      <c r="F1458" s="104"/>
      <c r="G1458" s="105">
        <f t="shared" si="88"/>
        <v>90.3</v>
      </c>
      <c r="H1458" s="101" t="str">
        <f t="shared" si="89"/>
        <v>Sinapi 3470</v>
      </c>
      <c r="I1458" s="101" t="str">
        <f t="shared" si="90"/>
        <v>UN</v>
      </c>
      <c r="J1458" s="140" t="str">
        <f t="shared" si="91"/>
        <v>COTOVELO 90 GRAUS DE FERRO GALVANIZADO, COM ROSCA BSP, DE 2 1/2"</v>
      </c>
    </row>
    <row r="1459" spans="1:10" x14ac:dyDescent="0.25">
      <c r="A1459" s="169">
        <v>3471</v>
      </c>
      <c r="B1459" s="169" t="s">
        <v>24863</v>
      </c>
      <c r="C1459" s="169" t="s">
        <v>10225</v>
      </c>
      <c r="D1459" s="169" t="s">
        <v>1289</v>
      </c>
      <c r="E1459" s="103" t="s">
        <v>30169</v>
      </c>
      <c r="F1459" s="104"/>
      <c r="G1459" s="105">
        <f t="shared" si="88"/>
        <v>49.62</v>
      </c>
      <c r="H1459" s="101" t="str">
        <f t="shared" si="89"/>
        <v>Sinapi 3471</v>
      </c>
      <c r="I1459" s="101" t="str">
        <f t="shared" si="90"/>
        <v>UN</v>
      </c>
      <c r="J1459" s="140" t="str">
        <f t="shared" si="91"/>
        <v>COTOVELO 90 GRAUS DE FERRO GALVANIZADO, COM ROSCA BSP, DE 2"</v>
      </c>
    </row>
    <row r="1460" spans="1:10" x14ac:dyDescent="0.25">
      <c r="A1460" s="169">
        <v>3456</v>
      </c>
      <c r="B1460" s="169" t="s">
        <v>24864</v>
      </c>
      <c r="C1460" s="169" t="s">
        <v>10225</v>
      </c>
      <c r="D1460" s="169" t="s">
        <v>1289</v>
      </c>
      <c r="E1460" s="103" t="s">
        <v>28734</v>
      </c>
      <c r="F1460" s="104"/>
      <c r="G1460" s="105">
        <f t="shared" si="88"/>
        <v>10.32</v>
      </c>
      <c r="H1460" s="101" t="str">
        <f t="shared" si="89"/>
        <v>Sinapi 3456</v>
      </c>
      <c r="I1460" s="101" t="str">
        <f t="shared" si="90"/>
        <v>UN</v>
      </c>
      <c r="J1460" s="140" t="str">
        <f t="shared" si="91"/>
        <v>COTOVELO 90 GRAUS DE FERRO GALVANIZADO, COM ROSCA BSP, DE 3/4"</v>
      </c>
    </row>
    <row r="1461" spans="1:10" x14ac:dyDescent="0.25">
      <c r="A1461" s="169">
        <v>3459</v>
      </c>
      <c r="B1461" s="169" t="s">
        <v>24866</v>
      </c>
      <c r="C1461" s="169" t="s">
        <v>10225</v>
      </c>
      <c r="D1461" s="169" t="s">
        <v>1289</v>
      </c>
      <c r="E1461" s="103" t="s">
        <v>30170</v>
      </c>
      <c r="F1461" s="104"/>
      <c r="G1461" s="105">
        <f t="shared" si="88"/>
        <v>127.37</v>
      </c>
      <c r="H1461" s="101" t="str">
        <f t="shared" si="89"/>
        <v>Sinapi 3459</v>
      </c>
      <c r="I1461" s="101" t="str">
        <f t="shared" si="90"/>
        <v>UN</v>
      </c>
      <c r="J1461" s="140" t="str">
        <f t="shared" si="91"/>
        <v>COTOVELO 90 GRAUS DE FERRO GALVANIZADO, COM ROSCA BSP, DE 3"</v>
      </c>
    </row>
    <row r="1462" spans="1:10" x14ac:dyDescent="0.25">
      <c r="A1462" s="169">
        <v>3469</v>
      </c>
      <c r="B1462" s="169" t="s">
        <v>24867</v>
      </c>
      <c r="C1462" s="169" t="s">
        <v>10225</v>
      </c>
      <c r="D1462" s="169" t="s">
        <v>1289</v>
      </c>
      <c r="E1462" s="103" t="s">
        <v>30171</v>
      </c>
      <c r="F1462" s="104"/>
      <c r="G1462" s="105">
        <f t="shared" si="88"/>
        <v>242.22</v>
      </c>
      <c r="H1462" s="101" t="str">
        <f t="shared" si="89"/>
        <v>Sinapi 3469</v>
      </c>
      <c r="I1462" s="101" t="str">
        <f t="shared" si="90"/>
        <v>UN</v>
      </c>
      <c r="J1462" s="140" t="str">
        <f t="shared" si="91"/>
        <v>COTOVELO 90 GRAUS DE FERRO GALVANIZADO, COM ROSCA BSP, DE 4"</v>
      </c>
    </row>
    <row r="1463" spans="1:10" x14ac:dyDescent="0.25">
      <c r="A1463" s="169">
        <v>3460</v>
      </c>
      <c r="B1463" s="169" t="s">
        <v>24868</v>
      </c>
      <c r="C1463" s="169" t="s">
        <v>10225</v>
      </c>
      <c r="D1463" s="169" t="s">
        <v>1289</v>
      </c>
      <c r="E1463" s="103" t="s">
        <v>30172</v>
      </c>
      <c r="F1463" s="104"/>
      <c r="G1463" s="105">
        <f t="shared" si="88"/>
        <v>353.43</v>
      </c>
      <c r="H1463" s="101" t="str">
        <f t="shared" si="89"/>
        <v>Sinapi 3460</v>
      </c>
      <c r="I1463" s="101" t="str">
        <f t="shared" si="90"/>
        <v>UN</v>
      </c>
      <c r="J1463" s="140" t="str">
        <f t="shared" si="91"/>
        <v>COTOVELO 90 GRAUS DE FERRO GALVANIZADO, COM ROSCA BSP, DE 5"</v>
      </c>
    </row>
    <row r="1464" spans="1:10" x14ac:dyDescent="0.25">
      <c r="A1464" s="169">
        <v>3461</v>
      </c>
      <c r="B1464" s="169" t="s">
        <v>24869</v>
      </c>
      <c r="C1464" s="169" t="s">
        <v>10225</v>
      </c>
      <c r="D1464" s="169" t="s">
        <v>1289</v>
      </c>
      <c r="E1464" s="103" t="s">
        <v>30173</v>
      </c>
      <c r="F1464" s="104"/>
      <c r="G1464" s="105">
        <f t="shared" si="88"/>
        <v>903.35</v>
      </c>
      <c r="H1464" s="101" t="str">
        <f t="shared" si="89"/>
        <v>Sinapi 3461</v>
      </c>
      <c r="I1464" s="101" t="str">
        <f t="shared" si="90"/>
        <v>UN</v>
      </c>
      <c r="J1464" s="140" t="str">
        <f t="shared" si="91"/>
        <v>COTOVELO 90 GRAUS DE FERRO GALVANIZADO, COM ROSCA BSP, DE 6"</v>
      </c>
    </row>
    <row r="1465" spans="1:10" x14ac:dyDescent="0.25">
      <c r="A1465" s="169">
        <v>37433</v>
      </c>
      <c r="B1465" s="169" t="s">
        <v>24870</v>
      </c>
      <c r="C1465" s="169" t="s">
        <v>10225</v>
      </c>
      <c r="D1465" s="169" t="s">
        <v>1290</v>
      </c>
      <c r="E1465" s="103" t="s">
        <v>22777</v>
      </c>
      <c r="F1465" s="104"/>
      <c r="G1465" s="105">
        <f t="shared" si="88"/>
        <v>243.4</v>
      </c>
      <c r="H1465" s="101" t="str">
        <f t="shared" si="89"/>
        <v>Sinapi 37433</v>
      </c>
      <c r="I1465" s="101" t="str">
        <f t="shared" si="90"/>
        <v>UN</v>
      </c>
      <c r="J1465" s="140" t="str">
        <f t="shared" si="91"/>
        <v>COTOVELO 90 GRAUS, PEAD PE 100, DE 125 MM, PARA ELETROFUSAO</v>
      </c>
    </row>
    <row r="1466" spans="1:10" x14ac:dyDescent="0.25">
      <c r="A1466" s="169">
        <v>37430</v>
      </c>
      <c r="B1466" s="169" t="s">
        <v>24871</v>
      </c>
      <c r="C1466" s="169" t="s">
        <v>10225</v>
      </c>
      <c r="D1466" s="169" t="s">
        <v>1290</v>
      </c>
      <c r="E1466" s="103" t="s">
        <v>22781</v>
      </c>
      <c r="F1466" s="104"/>
      <c r="G1466" s="105">
        <f t="shared" si="88"/>
        <v>30.5</v>
      </c>
      <c r="H1466" s="101" t="str">
        <f t="shared" si="89"/>
        <v>Sinapi 37430</v>
      </c>
      <c r="I1466" s="101" t="str">
        <f t="shared" si="90"/>
        <v>UN</v>
      </c>
      <c r="J1466" s="140" t="str">
        <f t="shared" si="91"/>
        <v>COTOVELO 90 GRAUS, PEAD PE 100, DE 20 MM, PARA ELETROFUSAO</v>
      </c>
    </row>
    <row r="1467" spans="1:10" x14ac:dyDescent="0.25">
      <c r="A1467" s="169">
        <v>37434</v>
      </c>
      <c r="B1467" s="169" t="s">
        <v>24872</v>
      </c>
      <c r="C1467" s="169" t="s">
        <v>10225</v>
      </c>
      <c r="D1467" s="169" t="s">
        <v>1290</v>
      </c>
      <c r="E1467" s="103" t="s">
        <v>22782</v>
      </c>
      <c r="F1467" s="104"/>
      <c r="G1467" s="105">
        <f t="shared" si="88"/>
        <v>2269.44</v>
      </c>
      <c r="H1467" s="101" t="str">
        <f t="shared" si="89"/>
        <v>Sinapi 37434</v>
      </c>
      <c r="I1467" s="101" t="str">
        <f t="shared" si="90"/>
        <v>UN</v>
      </c>
      <c r="J1467" s="140" t="str">
        <f t="shared" si="91"/>
        <v>COTOVELO 90 GRAUS, PEAD PE 100, DE 200 MM, PARA ELETROFUSAO</v>
      </c>
    </row>
    <row r="1468" spans="1:10" x14ac:dyDescent="0.25">
      <c r="A1468" s="169">
        <v>37431</v>
      </c>
      <c r="B1468" s="169" t="s">
        <v>24873</v>
      </c>
      <c r="C1468" s="169" t="s">
        <v>10225</v>
      </c>
      <c r="D1468" s="169" t="s">
        <v>1290</v>
      </c>
      <c r="E1468" s="103" t="s">
        <v>22783</v>
      </c>
      <c r="F1468" s="104"/>
      <c r="G1468" s="105">
        <f t="shared" si="88"/>
        <v>41.38</v>
      </c>
      <c r="H1468" s="101" t="str">
        <f t="shared" si="89"/>
        <v>Sinapi 37431</v>
      </c>
      <c r="I1468" s="101" t="str">
        <f t="shared" si="90"/>
        <v>UN</v>
      </c>
      <c r="J1468" s="140" t="str">
        <f t="shared" si="91"/>
        <v>COTOVELO 90 GRAUS, PEAD PE 100, DE 32 MM, PARA ELETROFUSAO</v>
      </c>
    </row>
    <row r="1469" spans="1:10" x14ac:dyDescent="0.25">
      <c r="A1469" s="169">
        <v>37432</v>
      </c>
      <c r="B1469" s="169" t="s">
        <v>24874</v>
      </c>
      <c r="C1469" s="169" t="s">
        <v>10225</v>
      </c>
      <c r="D1469" s="169" t="s">
        <v>1290</v>
      </c>
      <c r="E1469" s="103" t="s">
        <v>22784</v>
      </c>
      <c r="F1469" s="104"/>
      <c r="G1469" s="105">
        <f t="shared" si="88"/>
        <v>76.319999999999993</v>
      </c>
      <c r="H1469" s="101" t="str">
        <f t="shared" si="89"/>
        <v>Sinapi 37432</v>
      </c>
      <c r="I1469" s="101" t="str">
        <f t="shared" si="90"/>
        <v>UN</v>
      </c>
      <c r="J1469" s="140" t="str">
        <f t="shared" si="91"/>
        <v>COTOVELO 90 GRAUS, PEAD PE 100, DE 63 MM, PARA ELETROFUSAO</v>
      </c>
    </row>
    <row r="1470" spans="1:10" x14ac:dyDescent="0.25">
      <c r="A1470" s="169">
        <v>37413</v>
      </c>
      <c r="B1470" s="169" t="s">
        <v>24875</v>
      </c>
      <c r="C1470" s="169" t="s">
        <v>10225</v>
      </c>
      <c r="D1470" s="169" t="s">
        <v>1290</v>
      </c>
      <c r="E1470" s="103" t="s">
        <v>21207</v>
      </c>
      <c r="F1470" s="104"/>
      <c r="G1470" s="105">
        <f t="shared" si="88"/>
        <v>3.65</v>
      </c>
      <c r="H1470" s="101" t="str">
        <f t="shared" si="89"/>
        <v>Sinapi 37413</v>
      </c>
      <c r="I1470" s="101" t="str">
        <f t="shared" si="90"/>
        <v>UN</v>
      </c>
      <c r="J1470" s="140" t="str">
        <f t="shared" si="91"/>
        <v>COTOVELO/JOELHO COM ADAPTADOR, 90 GRAUS, EM POLIPROPILENO, PN 16, PARA TUBOS PEAD, 20 MM X 1/2" - LIGACAO PREDIAL DE AGUA</v>
      </c>
    </row>
    <row r="1471" spans="1:10" x14ac:dyDescent="0.25">
      <c r="A1471" s="169">
        <v>37414</v>
      </c>
      <c r="B1471" s="169" t="s">
        <v>24876</v>
      </c>
      <c r="C1471" s="169" t="s">
        <v>10225</v>
      </c>
      <c r="D1471" s="169" t="s">
        <v>1290</v>
      </c>
      <c r="E1471" s="103" t="s">
        <v>2097</v>
      </c>
      <c r="F1471" s="104"/>
      <c r="G1471" s="105">
        <f t="shared" si="88"/>
        <v>4.1399999999999997</v>
      </c>
      <c r="H1471" s="101" t="str">
        <f t="shared" si="89"/>
        <v>Sinapi 37414</v>
      </c>
      <c r="I1471" s="101" t="str">
        <f t="shared" si="90"/>
        <v>UN</v>
      </c>
      <c r="J1471" s="140" t="str">
        <f t="shared" si="91"/>
        <v>COTOVELO/JOELHO COM ADAPTADOR, 90 GRAUS, EM POLIPROPILENO, PN 16, PARA TUBOS PEAD, 20 MM X 3/4" - LIGACAO PREDIAL DE AGUA</v>
      </c>
    </row>
    <row r="1472" spans="1:10" x14ac:dyDescent="0.25">
      <c r="A1472" s="169">
        <v>37415</v>
      </c>
      <c r="B1472" s="169" t="s">
        <v>24877</v>
      </c>
      <c r="C1472" s="169" t="s">
        <v>10225</v>
      </c>
      <c r="D1472" s="169" t="s">
        <v>1290</v>
      </c>
      <c r="E1472" s="103" t="s">
        <v>22097</v>
      </c>
      <c r="F1472" s="104"/>
      <c r="G1472" s="105">
        <f t="shared" si="88"/>
        <v>7.52</v>
      </c>
      <c r="H1472" s="101" t="str">
        <f t="shared" si="89"/>
        <v>Sinapi 37415</v>
      </c>
      <c r="I1472" s="101" t="str">
        <f t="shared" si="90"/>
        <v>UN</v>
      </c>
      <c r="J1472" s="140" t="str">
        <f t="shared" si="91"/>
        <v>COTOVELO/JOELHO COM ADAPTADOR, 90 GRAUS, EM POLIPROPILENO, PN 16, PARA TUBOS PEAD, 32 MM X 1" - LIGACAO PREDIAL DE AGUA</v>
      </c>
    </row>
    <row r="1473" spans="1:10" x14ac:dyDescent="0.25">
      <c r="A1473" s="169">
        <v>37416</v>
      </c>
      <c r="B1473" s="169" t="s">
        <v>24878</v>
      </c>
      <c r="C1473" s="169" t="s">
        <v>10225</v>
      </c>
      <c r="D1473" s="169" t="s">
        <v>1290</v>
      </c>
      <c r="E1473" s="103" t="s">
        <v>16415</v>
      </c>
      <c r="F1473" s="104"/>
      <c r="G1473" s="105">
        <f t="shared" si="88"/>
        <v>3.41</v>
      </c>
      <c r="H1473" s="101" t="str">
        <f t="shared" si="89"/>
        <v>Sinapi 37416</v>
      </c>
      <c r="I1473" s="101" t="str">
        <f t="shared" si="90"/>
        <v>UN</v>
      </c>
      <c r="J1473" s="140" t="str">
        <f t="shared" si="91"/>
        <v>COTOVELO/JOELHO 90 GRAUS, EM POLIPROPILENO, PN 16, PARA TUBOS PEAD, 20 X 20 MM - LIGACAO PREDIAL DE AGUA</v>
      </c>
    </row>
    <row r="1474" spans="1:10" x14ac:dyDescent="0.25">
      <c r="A1474" s="169">
        <v>37417</v>
      </c>
      <c r="B1474" s="169" t="s">
        <v>24879</v>
      </c>
      <c r="C1474" s="169" t="s">
        <v>10225</v>
      </c>
      <c r="D1474" s="169" t="s">
        <v>1290</v>
      </c>
      <c r="E1474" s="103" t="s">
        <v>21015</v>
      </c>
      <c r="F1474" s="104"/>
      <c r="G1474" s="105">
        <f t="shared" si="88"/>
        <v>4.9000000000000004</v>
      </c>
      <c r="H1474" s="101" t="str">
        <f t="shared" si="89"/>
        <v>Sinapi 37417</v>
      </c>
      <c r="I1474" s="101" t="str">
        <f t="shared" si="90"/>
        <v>UN</v>
      </c>
      <c r="J1474" s="140" t="str">
        <f t="shared" si="91"/>
        <v>COTOVELO/JOELHO 90 GRAUS, EM POLIPROPILENO, PN 16, PARA TUBOS PEAD, 32 X 32 MM - LIGACAO PREDIAL DE AGUA</v>
      </c>
    </row>
    <row r="1475" spans="1:10" x14ac:dyDescent="0.25">
      <c r="A1475" s="169">
        <v>43590</v>
      </c>
      <c r="B1475" s="169" t="s">
        <v>24880</v>
      </c>
      <c r="C1475" s="169" t="s">
        <v>10225</v>
      </c>
      <c r="D1475" s="169" t="s">
        <v>1289</v>
      </c>
      <c r="E1475" s="103" t="s">
        <v>30174</v>
      </c>
      <c r="F1475" s="104"/>
      <c r="G1475" s="105">
        <f t="shared" si="88"/>
        <v>174.95</v>
      </c>
      <c r="H1475" s="101" t="str">
        <f t="shared" si="89"/>
        <v>Sinapi 43590</v>
      </c>
      <c r="I1475" s="101" t="str">
        <f t="shared" si="90"/>
        <v>UN</v>
      </c>
      <c r="J1475" s="140" t="str">
        <f t="shared" si="91"/>
        <v>CREMONA RETANGULAR INJETADA LISA COM CHAVE, COM CASTANHA / ALCA, EM LATAO, COM ACABAMENTO CROMADO, DE SOBREPOR / EMBUTIR</v>
      </c>
    </row>
    <row r="1476" spans="1:10" x14ac:dyDescent="0.25">
      <c r="A1476" s="169">
        <v>43589</v>
      </c>
      <c r="B1476" s="169" t="s">
        <v>24881</v>
      </c>
      <c r="C1476" s="169" t="s">
        <v>10225</v>
      </c>
      <c r="D1476" s="169" t="s">
        <v>1289</v>
      </c>
      <c r="E1476" s="103" t="s">
        <v>21016</v>
      </c>
      <c r="F1476" s="104"/>
      <c r="G1476" s="105">
        <f t="shared" si="88"/>
        <v>31.65</v>
      </c>
      <c r="H1476" s="101" t="str">
        <f t="shared" si="89"/>
        <v>Sinapi 43589</v>
      </c>
      <c r="I1476" s="101" t="str">
        <f t="shared" si="90"/>
        <v>UN</v>
      </c>
      <c r="J1476" s="140" t="str">
        <f t="shared" si="91"/>
        <v>CREMONA RETANGULAR INJETADA LISA, COM CASTANHA / ALCA, EM LATAO, COM ACABAMENTO CROMADO, DE SOBREPOR / EMBUTIR</v>
      </c>
    </row>
    <row r="1477" spans="1:10" x14ac:dyDescent="0.25">
      <c r="A1477" s="169">
        <v>34519</v>
      </c>
      <c r="B1477" s="169" t="s">
        <v>24882</v>
      </c>
      <c r="C1477" s="169" t="s">
        <v>10225</v>
      </c>
      <c r="D1477" s="169" t="s">
        <v>1289</v>
      </c>
      <c r="E1477" s="103" t="s">
        <v>30175</v>
      </c>
      <c r="F1477" s="104"/>
      <c r="G1477" s="105">
        <f t="shared" si="88"/>
        <v>167.94</v>
      </c>
      <c r="H1477" s="101" t="str">
        <f t="shared" si="89"/>
        <v>Sinapi 34519</v>
      </c>
      <c r="I1477" s="101" t="str">
        <f t="shared" si="90"/>
        <v>UN</v>
      </c>
      <c r="J1477" s="140" t="str">
        <f t="shared" si="91"/>
        <v>CRUZETA DE CONCRETO LEVE, COMP. 2000 MM SECAO, 90 X 90 MM</v>
      </c>
    </row>
    <row r="1478" spans="1:10" x14ac:dyDescent="0.25">
      <c r="A1478" s="169">
        <v>1649</v>
      </c>
      <c r="B1478" s="169" t="s">
        <v>24883</v>
      </c>
      <c r="C1478" s="169" t="s">
        <v>10225</v>
      </c>
      <c r="D1478" s="169" t="s">
        <v>1289</v>
      </c>
      <c r="E1478" s="103" t="s">
        <v>30176</v>
      </c>
      <c r="F1478" s="104"/>
      <c r="G1478" s="105">
        <f t="shared" si="88"/>
        <v>76.260000000000005</v>
      </c>
      <c r="H1478" s="101" t="str">
        <f t="shared" si="89"/>
        <v>Sinapi 1649</v>
      </c>
      <c r="I1478" s="101" t="str">
        <f t="shared" si="90"/>
        <v>UN</v>
      </c>
      <c r="J1478" s="140" t="str">
        <f t="shared" si="91"/>
        <v>CRUZETA DE FERRO GALVANIZADO, COM ROSCA BSP, DE 1 1/2"</v>
      </c>
    </row>
    <row r="1479" spans="1:10" x14ac:dyDescent="0.25">
      <c r="A1479" s="169">
        <v>1653</v>
      </c>
      <c r="B1479" s="169" t="s">
        <v>24884</v>
      </c>
      <c r="C1479" s="169" t="s">
        <v>10225</v>
      </c>
      <c r="D1479" s="169" t="s">
        <v>1289</v>
      </c>
      <c r="E1479" s="103" t="s">
        <v>28597</v>
      </c>
      <c r="F1479" s="104"/>
      <c r="G1479" s="105">
        <f t="shared" si="88"/>
        <v>59.73</v>
      </c>
      <c r="H1479" s="101" t="str">
        <f t="shared" si="89"/>
        <v>Sinapi 1653</v>
      </c>
      <c r="I1479" s="101" t="str">
        <f t="shared" si="90"/>
        <v>UN</v>
      </c>
      <c r="J1479" s="140" t="str">
        <f t="shared" si="91"/>
        <v>CRUZETA DE FERRO GALVANIZADO, COM ROSCA BSP, DE 1 1/4"</v>
      </c>
    </row>
    <row r="1480" spans="1:10" x14ac:dyDescent="0.25">
      <c r="A1480" s="169">
        <v>1647</v>
      </c>
      <c r="B1480" s="169" t="s">
        <v>24885</v>
      </c>
      <c r="C1480" s="169" t="s">
        <v>10225</v>
      </c>
      <c r="D1480" s="169" t="s">
        <v>1289</v>
      </c>
      <c r="E1480" s="103" t="s">
        <v>18710</v>
      </c>
      <c r="F1480" s="104"/>
      <c r="G1480" s="105">
        <f t="shared" ref="G1480:G1543" si="92">IF(E1480="","",E1480+0)</f>
        <v>21.39</v>
      </c>
      <c r="H1480" s="101" t="str">
        <f t="shared" ref="H1480:H1543" si="93">IF(G1480="","",TRIM(CONCATENATE("Sinapi ",A1480)))</f>
        <v>Sinapi 1647</v>
      </c>
      <c r="I1480" s="101" t="str">
        <f t="shared" ref="I1480:I1543" si="94">TRIM(C1480)</f>
        <v>UN</v>
      </c>
      <c r="J1480" s="140" t="str">
        <f t="shared" si="91"/>
        <v>CRUZETA DE FERRO GALVANIZADO, COM ROSCA BSP, DE 1/2"</v>
      </c>
    </row>
    <row r="1481" spans="1:10" x14ac:dyDescent="0.25">
      <c r="A1481" s="169">
        <v>1648</v>
      </c>
      <c r="B1481" s="169" t="s">
        <v>24886</v>
      </c>
      <c r="C1481" s="169" t="s">
        <v>10225</v>
      </c>
      <c r="D1481" s="169" t="s">
        <v>1289</v>
      </c>
      <c r="E1481" s="103" t="s">
        <v>25103</v>
      </c>
      <c r="F1481" s="104"/>
      <c r="G1481" s="105">
        <f t="shared" si="92"/>
        <v>41.07</v>
      </c>
      <c r="H1481" s="101" t="str">
        <f t="shared" si="93"/>
        <v>Sinapi 1648</v>
      </c>
      <c r="I1481" s="101" t="str">
        <f t="shared" si="94"/>
        <v>UN</v>
      </c>
      <c r="J1481" s="140" t="str">
        <f t="shared" ref="J1481:J1544" si="95">TRIM(B1481)</f>
        <v>CRUZETA DE FERRO GALVANIZADO, COM ROSCA BSP, DE 1"</v>
      </c>
    </row>
    <row r="1482" spans="1:10" x14ac:dyDescent="0.25">
      <c r="A1482" s="169">
        <v>1651</v>
      </c>
      <c r="B1482" s="169" t="s">
        <v>24887</v>
      </c>
      <c r="C1482" s="169" t="s">
        <v>10225</v>
      </c>
      <c r="D1482" s="169" t="s">
        <v>1289</v>
      </c>
      <c r="E1482" s="103" t="s">
        <v>30177</v>
      </c>
      <c r="F1482" s="104"/>
      <c r="G1482" s="105">
        <f t="shared" si="92"/>
        <v>190.54</v>
      </c>
      <c r="H1482" s="101" t="str">
        <f t="shared" si="93"/>
        <v>Sinapi 1651</v>
      </c>
      <c r="I1482" s="101" t="str">
        <f t="shared" si="94"/>
        <v>UN</v>
      </c>
      <c r="J1482" s="140" t="str">
        <f t="shared" si="95"/>
        <v>CRUZETA DE FERRO GALVANIZADO, COM ROSCA BSP, DE 2 1/2"</v>
      </c>
    </row>
    <row r="1483" spans="1:10" x14ac:dyDescent="0.25">
      <c r="A1483" s="169">
        <v>1650</v>
      </c>
      <c r="B1483" s="169" t="s">
        <v>24888</v>
      </c>
      <c r="C1483" s="169" t="s">
        <v>10225</v>
      </c>
      <c r="D1483" s="169" t="s">
        <v>1289</v>
      </c>
      <c r="E1483" s="103" t="s">
        <v>22004</v>
      </c>
      <c r="F1483" s="104"/>
      <c r="G1483" s="105">
        <f t="shared" si="92"/>
        <v>105.32</v>
      </c>
      <c r="H1483" s="101" t="str">
        <f t="shared" si="93"/>
        <v>Sinapi 1650</v>
      </c>
      <c r="I1483" s="101" t="str">
        <f t="shared" si="94"/>
        <v>UN</v>
      </c>
      <c r="J1483" s="140" t="str">
        <f t="shared" si="95"/>
        <v>CRUZETA DE FERRO GALVANIZADO, COM ROSCA BSP, DE 2"</v>
      </c>
    </row>
    <row r="1484" spans="1:10" x14ac:dyDescent="0.25">
      <c r="A1484" s="169">
        <v>1654</v>
      </c>
      <c r="B1484" s="169" t="s">
        <v>24889</v>
      </c>
      <c r="C1484" s="169" t="s">
        <v>10225</v>
      </c>
      <c r="D1484" s="169" t="s">
        <v>1289</v>
      </c>
      <c r="E1484" s="103" t="s">
        <v>30178</v>
      </c>
      <c r="F1484" s="104"/>
      <c r="G1484" s="105">
        <f t="shared" si="92"/>
        <v>29.36</v>
      </c>
      <c r="H1484" s="101" t="str">
        <f t="shared" si="93"/>
        <v>Sinapi 1654</v>
      </c>
      <c r="I1484" s="101" t="str">
        <f t="shared" si="94"/>
        <v>UN</v>
      </c>
      <c r="J1484" s="140" t="str">
        <f t="shared" si="95"/>
        <v>CRUZETA DE FERRO GALVANIZADO, COM ROSCA BSP, DE 3/4"</v>
      </c>
    </row>
    <row r="1485" spans="1:10" x14ac:dyDescent="0.25">
      <c r="A1485" s="169">
        <v>1652</v>
      </c>
      <c r="B1485" s="169" t="s">
        <v>24890</v>
      </c>
      <c r="C1485" s="169" t="s">
        <v>10225</v>
      </c>
      <c r="D1485" s="169" t="s">
        <v>1289</v>
      </c>
      <c r="E1485" s="103" t="s">
        <v>30179</v>
      </c>
      <c r="F1485" s="104"/>
      <c r="G1485" s="105">
        <f t="shared" si="92"/>
        <v>273.47000000000003</v>
      </c>
      <c r="H1485" s="101" t="str">
        <f t="shared" si="93"/>
        <v>Sinapi 1652</v>
      </c>
      <c r="I1485" s="101" t="str">
        <f t="shared" si="94"/>
        <v>UN</v>
      </c>
      <c r="J1485" s="140" t="str">
        <f t="shared" si="95"/>
        <v>CRUZETA DE FERRO GALVANIZADO, COM ROSCA BSP, DE 3"</v>
      </c>
    </row>
    <row r="1486" spans="1:10" x14ac:dyDescent="0.25">
      <c r="A1486" s="169">
        <v>10510</v>
      </c>
      <c r="B1486" s="169" t="s">
        <v>24891</v>
      </c>
      <c r="C1486" s="169" t="s">
        <v>10225</v>
      </c>
      <c r="D1486" s="169" t="s">
        <v>1290</v>
      </c>
      <c r="E1486" s="103" t="s">
        <v>30180</v>
      </c>
      <c r="F1486" s="104"/>
      <c r="G1486" s="105">
        <f t="shared" si="92"/>
        <v>128.13</v>
      </c>
      <c r="H1486" s="101" t="str">
        <f t="shared" si="93"/>
        <v>Sinapi 10510</v>
      </c>
      <c r="I1486" s="101" t="str">
        <f t="shared" si="94"/>
        <v>UN</v>
      </c>
      <c r="J1486" s="140" t="str">
        <f t="shared" si="95"/>
        <v>CRUZETA DE MADEIRA TRATADA, *90 X 115 X 2400* MM, EM EUCALIPTO OU EQUIVALENTE DA REGIAO</v>
      </c>
    </row>
    <row r="1487" spans="1:10" x14ac:dyDescent="0.25">
      <c r="A1487" s="169">
        <v>1747</v>
      </c>
      <c r="B1487" s="169" t="s">
        <v>24892</v>
      </c>
      <c r="C1487" s="169" t="s">
        <v>10225</v>
      </c>
      <c r="D1487" s="169" t="s">
        <v>1289</v>
      </c>
      <c r="E1487" s="103" t="s">
        <v>30181</v>
      </c>
      <c r="F1487" s="104"/>
      <c r="G1487" s="105">
        <f t="shared" si="92"/>
        <v>211.99</v>
      </c>
      <c r="H1487" s="101" t="str">
        <f t="shared" si="93"/>
        <v>Sinapi 1747</v>
      </c>
      <c r="I1487" s="101" t="str">
        <f t="shared" si="94"/>
        <v>UN</v>
      </c>
      <c r="J1487" s="140" t="str">
        <f t="shared" si="95"/>
        <v>CUBA ACO INOX (AISI 304) DE EMBUTIR COM VALVULA DE 3 1/2 ", DE *56 X 33 X 12* CM</v>
      </c>
    </row>
    <row r="1488" spans="1:10" x14ac:dyDescent="0.25">
      <c r="A1488" s="169">
        <v>1744</v>
      </c>
      <c r="B1488" s="169" t="s">
        <v>24893</v>
      </c>
      <c r="C1488" s="169" t="s">
        <v>10225</v>
      </c>
      <c r="D1488" s="169" t="s">
        <v>1289</v>
      </c>
      <c r="E1488" s="103" t="s">
        <v>30182</v>
      </c>
      <c r="F1488" s="104"/>
      <c r="G1488" s="105">
        <f t="shared" si="92"/>
        <v>146.84</v>
      </c>
      <c r="H1488" s="101" t="str">
        <f t="shared" si="93"/>
        <v>Sinapi 1744</v>
      </c>
      <c r="I1488" s="101" t="str">
        <f t="shared" si="94"/>
        <v>UN</v>
      </c>
      <c r="J1488" s="140" t="str">
        <f t="shared" si="95"/>
        <v>CUBA ACO INOX (AISI 304) DE EMBUTIR COM VALVULA 3 1/2 ", DE *40 X 34 X 12* CM</v>
      </c>
    </row>
    <row r="1489" spans="1:10" x14ac:dyDescent="0.25">
      <c r="A1489" s="169">
        <v>1743</v>
      </c>
      <c r="B1489" s="169" t="s">
        <v>24894</v>
      </c>
      <c r="C1489" s="169" t="s">
        <v>10225</v>
      </c>
      <c r="D1489" s="169" t="s">
        <v>1289</v>
      </c>
      <c r="E1489" s="103" t="s">
        <v>30183</v>
      </c>
      <c r="F1489" s="104"/>
      <c r="G1489" s="105">
        <f t="shared" si="92"/>
        <v>192.82</v>
      </c>
      <c r="H1489" s="101" t="str">
        <f t="shared" si="93"/>
        <v>Sinapi 1743</v>
      </c>
      <c r="I1489" s="101" t="str">
        <f t="shared" si="94"/>
        <v>UN</v>
      </c>
      <c r="J1489" s="140" t="str">
        <f t="shared" si="95"/>
        <v>CUBA ACO INOX (AISI 304) DE EMBUTIR COM VALVULA 3 1/2 ", DE *46 X 30 X 12* CM</v>
      </c>
    </row>
    <row r="1490" spans="1:10" x14ac:dyDescent="0.25">
      <c r="A1490" s="169">
        <v>39640</v>
      </c>
      <c r="B1490" s="169" t="s">
        <v>24895</v>
      </c>
      <c r="C1490" s="169" t="s">
        <v>10225</v>
      </c>
      <c r="D1490" s="169" t="s">
        <v>1289</v>
      </c>
      <c r="E1490" s="103" t="s">
        <v>17412</v>
      </c>
      <c r="F1490" s="104"/>
      <c r="G1490" s="105">
        <f t="shared" si="92"/>
        <v>17.989999999999998</v>
      </c>
      <c r="H1490" s="101" t="str">
        <f t="shared" si="93"/>
        <v>Sinapi 39640</v>
      </c>
      <c r="I1490" s="101" t="str">
        <f t="shared" si="94"/>
        <v>UN</v>
      </c>
      <c r="J1490" s="140" t="str">
        <f t="shared" si="95"/>
        <v>CUMEEIRA ARTICULADA (ABA INFERIOR) PARA TELHA ONDULADA DE FIBROCIMENTO E = 4 MM, ABA *330* MM, COMPRIMENTO 500 MM (SEM AMIANTO)</v>
      </c>
    </row>
    <row r="1491" spans="1:10" x14ac:dyDescent="0.25">
      <c r="A1491" s="169">
        <v>7216</v>
      </c>
      <c r="B1491" s="169" t="s">
        <v>24896</v>
      </c>
      <c r="C1491" s="169" t="s">
        <v>10225</v>
      </c>
      <c r="D1491" s="169" t="s">
        <v>1289</v>
      </c>
      <c r="E1491" s="103" t="s">
        <v>30184</v>
      </c>
      <c r="F1491" s="104"/>
      <c r="G1491" s="105">
        <f t="shared" si="92"/>
        <v>96.66</v>
      </c>
      <c r="H1491" s="101" t="str">
        <f t="shared" si="93"/>
        <v>Sinapi 7216</v>
      </c>
      <c r="I1491" s="101" t="str">
        <f t="shared" si="94"/>
        <v>UN</v>
      </c>
      <c r="J1491" s="140" t="str">
        <f t="shared" si="95"/>
        <v>CUMEEIRA NORMAL PARA TELHA ESTRUTURAL DE FIBROCIMENTO 2 ABAS, E = 6 MM, DE 1050 X 935 MM (SEM AMIANTO)</v>
      </c>
    </row>
    <row r="1492" spans="1:10" x14ac:dyDescent="0.25">
      <c r="A1492" s="169">
        <v>20235</v>
      </c>
      <c r="B1492" s="169" t="s">
        <v>24898</v>
      </c>
      <c r="C1492" s="169" t="s">
        <v>10225</v>
      </c>
      <c r="D1492" s="169" t="s">
        <v>1289</v>
      </c>
      <c r="E1492" s="103" t="s">
        <v>30185</v>
      </c>
      <c r="F1492" s="104"/>
      <c r="G1492" s="105">
        <f t="shared" si="92"/>
        <v>77.709999999999994</v>
      </c>
      <c r="H1492" s="101" t="str">
        <f t="shared" si="93"/>
        <v>Sinapi 20235</v>
      </c>
      <c r="I1492" s="101" t="str">
        <f t="shared" si="94"/>
        <v>UN</v>
      </c>
      <c r="J1492" s="140" t="str">
        <f t="shared" si="95"/>
        <v>CUMEEIRA NORMAL PARA TELHA ONDULADA DE FIBROCIMENTO, E = 6 MM, ABA 300 MM, COMPRIMENTO 1100 MM (SEM AMIANTO)</v>
      </c>
    </row>
    <row r="1493" spans="1:10" x14ac:dyDescent="0.25">
      <c r="A1493" s="169">
        <v>7181</v>
      </c>
      <c r="B1493" s="169" t="s">
        <v>24899</v>
      </c>
      <c r="C1493" s="169" t="s">
        <v>10225</v>
      </c>
      <c r="D1493" s="169" t="s">
        <v>1289</v>
      </c>
      <c r="E1493" s="103" t="s">
        <v>19932</v>
      </c>
      <c r="F1493" s="104"/>
      <c r="G1493" s="105">
        <f t="shared" si="92"/>
        <v>3.59</v>
      </c>
      <c r="H1493" s="101" t="str">
        <f t="shared" si="93"/>
        <v>Sinapi 7181</v>
      </c>
      <c r="I1493" s="101" t="str">
        <f t="shared" si="94"/>
        <v>UN</v>
      </c>
      <c r="J1493" s="140" t="str">
        <f t="shared" si="95"/>
        <v>CUMEEIRA PARA TELHA CERAMICA, COMPRIMENTO DE *41* CM, RENDIMENTO DE *3* TELHAS/M</v>
      </c>
    </row>
    <row r="1494" spans="1:10" x14ac:dyDescent="0.25">
      <c r="A1494" s="169">
        <v>40742</v>
      </c>
      <c r="B1494" s="169" t="s">
        <v>24901</v>
      </c>
      <c r="C1494" s="169" t="s">
        <v>10225</v>
      </c>
      <c r="D1494" s="169" t="s">
        <v>1289</v>
      </c>
      <c r="E1494" s="103" t="s">
        <v>30186</v>
      </c>
      <c r="F1494" s="104"/>
      <c r="G1494" s="105">
        <f t="shared" si="92"/>
        <v>18.7</v>
      </c>
      <c r="H1494" s="101" t="str">
        <f t="shared" si="93"/>
        <v>Sinapi 40742</v>
      </c>
      <c r="I1494" s="101" t="str">
        <f t="shared" si="94"/>
        <v>UN</v>
      </c>
      <c r="J1494" s="140" t="str">
        <f t="shared" si="95"/>
        <v>CUMEEIRA PARA TELHA DE CONCRETO, PARA 2 AGUAS DE TELHADO, COR CINZA, RENDIMENTO DE *3* TELHAS/M</v>
      </c>
    </row>
    <row r="1495" spans="1:10" x14ac:dyDescent="0.25">
      <c r="A1495" s="169">
        <v>7214</v>
      </c>
      <c r="B1495" s="169" t="s">
        <v>1196</v>
      </c>
      <c r="C1495" s="169" t="s">
        <v>10225</v>
      </c>
      <c r="D1495" s="169" t="s">
        <v>1289</v>
      </c>
      <c r="E1495" s="103" t="s">
        <v>30187</v>
      </c>
      <c r="F1495" s="104"/>
      <c r="G1495" s="105">
        <f t="shared" si="92"/>
        <v>94.39</v>
      </c>
      <c r="H1495" s="101" t="str">
        <f t="shared" si="93"/>
        <v>Sinapi 7214</v>
      </c>
      <c r="I1495" s="101" t="str">
        <f t="shared" si="94"/>
        <v>UN</v>
      </c>
      <c r="J1495" s="140" t="str">
        <f t="shared" si="95"/>
        <v>CUMEEIRA SHED PARA TELHA ONDULADA DE FIBROCIMENTO, E = 6 MM, ABA 280 MM, COMPRIMENTO 1100 MM (SEM AMIANTO)</v>
      </c>
    </row>
    <row r="1496" spans="1:10" x14ac:dyDescent="0.25">
      <c r="A1496" s="169">
        <v>7219</v>
      </c>
      <c r="B1496" s="169" t="s">
        <v>1194</v>
      </c>
      <c r="C1496" s="169" t="s">
        <v>10225</v>
      </c>
      <c r="D1496" s="169" t="s">
        <v>1289</v>
      </c>
      <c r="E1496" s="103" t="s">
        <v>29142</v>
      </c>
      <c r="F1496" s="104"/>
      <c r="G1496" s="105">
        <f t="shared" si="92"/>
        <v>83.72</v>
      </c>
      <c r="H1496" s="101" t="str">
        <f t="shared" si="93"/>
        <v>Sinapi 7219</v>
      </c>
      <c r="I1496" s="101" t="str">
        <f t="shared" si="94"/>
        <v>UN</v>
      </c>
      <c r="J1496" s="140" t="str">
        <f t="shared" si="95"/>
        <v>CUMEEIRA UNIVERSAL PARA TELHA ONDULADA DE FIBROCIMENTO, E = 6 MM, ABA 210 MM, COMPRIMENTO 1100 MM (SEM AMIANTO)</v>
      </c>
    </row>
    <row r="1497" spans="1:10" x14ac:dyDescent="0.25">
      <c r="A1497" s="169">
        <v>37971</v>
      </c>
      <c r="B1497" s="169" t="s">
        <v>24902</v>
      </c>
      <c r="C1497" s="169" t="s">
        <v>10225</v>
      </c>
      <c r="D1497" s="169" t="s">
        <v>1289</v>
      </c>
      <c r="E1497" s="103" t="s">
        <v>13852</v>
      </c>
      <c r="F1497" s="104"/>
      <c r="G1497" s="105">
        <f t="shared" si="92"/>
        <v>5.99</v>
      </c>
      <c r="H1497" s="101" t="str">
        <f t="shared" si="93"/>
        <v>Sinapi 37971</v>
      </c>
      <c r="I1497" s="101" t="str">
        <f t="shared" si="94"/>
        <v>UN</v>
      </c>
      <c r="J1497" s="140" t="str">
        <f t="shared" si="95"/>
        <v>CURVA CPVC, 90 GRAUS, SOLDAVEL, 15 MM, PARA AGUA QUENTE</v>
      </c>
    </row>
    <row r="1498" spans="1:10" x14ac:dyDescent="0.25">
      <c r="A1498" s="169">
        <v>37972</v>
      </c>
      <c r="B1498" s="169" t="s">
        <v>24903</v>
      </c>
      <c r="C1498" s="169" t="s">
        <v>10225</v>
      </c>
      <c r="D1498" s="169" t="s">
        <v>1289</v>
      </c>
      <c r="E1498" s="103" t="s">
        <v>23422</v>
      </c>
      <c r="F1498" s="104"/>
      <c r="G1498" s="105">
        <f t="shared" si="92"/>
        <v>8.5</v>
      </c>
      <c r="H1498" s="101" t="str">
        <f t="shared" si="93"/>
        <v>Sinapi 37972</v>
      </c>
      <c r="I1498" s="101" t="str">
        <f t="shared" si="94"/>
        <v>UN</v>
      </c>
      <c r="J1498" s="140" t="str">
        <f t="shared" si="95"/>
        <v>CURVA CPVC, 90 GRAUS, SOLDAVEL, 22 MM, PARA AGUA QUENTE</v>
      </c>
    </row>
    <row r="1499" spans="1:10" x14ac:dyDescent="0.25">
      <c r="A1499" s="169">
        <v>37973</v>
      </c>
      <c r="B1499" s="169" t="s">
        <v>24904</v>
      </c>
      <c r="C1499" s="169" t="s">
        <v>10225</v>
      </c>
      <c r="D1499" s="169" t="s">
        <v>1289</v>
      </c>
      <c r="E1499" s="103" t="s">
        <v>19907</v>
      </c>
      <c r="F1499" s="104"/>
      <c r="G1499" s="105">
        <f t="shared" si="92"/>
        <v>15.97</v>
      </c>
      <c r="H1499" s="101" t="str">
        <f t="shared" si="93"/>
        <v>Sinapi 37973</v>
      </c>
      <c r="I1499" s="101" t="str">
        <f t="shared" si="94"/>
        <v>UN</v>
      </c>
      <c r="J1499" s="140" t="str">
        <f t="shared" si="95"/>
        <v>CURVA CPVC, 90 GRAUS, SOLDAVEL, 28 MM, PARA AGUA QUENTE</v>
      </c>
    </row>
    <row r="1500" spans="1:10" x14ac:dyDescent="0.25">
      <c r="A1500" s="169">
        <v>1926</v>
      </c>
      <c r="B1500" s="169" t="s">
        <v>24905</v>
      </c>
      <c r="C1500" s="169" t="s">
        <v>10225</v>
      </c>
      <c r="D1500" s="169" t="s">
        <v>1289</v>
      </c>
      <c r="E1500" s="103" t="s">
        <v>22727</v>
      </c>
      <c r="F1500" s="104"/>
      <c r="G1500" s="105">
        <f t="shared" si="92"/>
        <v>2.57</v>
      </c>
      <c r="H1500" s="101" t="str">
        <f t="shared" si="93"/>
        <v>Sinapi 1926</v>
      </c>
      <c r="I1500" s="101" t="str">
        <f t="shared" si="94"/>
        <v>UN</v>
      </c>
      <c r="J1500" s="140" t="str">
        <f t="shared" si="95"/>
        <v>CURVA DE PVC 45 GRAUS, SOLDAVEL, 20 MM, COR MARROM, PARA AGUA FRIA PREDIAL</v>
      </c>
    </row>
    <row r="1501" spans="1:10" x14ac:dyDescent="0.25">
      <c r="A1501" s="169">
        <v>1927</v>
      </c>
      <c r="B1501" s="169" t="s">
        <v>24906</v>
      </c>
      <c r="C1501" s="169" t="s">
        <v>10225</v>
      </c>
      <c r="D1501" s="169" t="s">
        <v>1289</v>
      </c>
      <c r="E1501" s="103" t="s">
        <v>19861</v>
      </c>
      <c r="F1501" s="104"/>
      <c r="G1501" s="105">
        <f t="shared" si="92"/>
        <v>2.88</v>
      </c>
      <c r="H1501" s="101" t="str">
        <f t="shared" si="93"/>
        <v>Sinapi 1927</v>
      </c>
      <c r="I1501" s="101" t="str">
        <f t="shared" si="94"/>
        <v>UN</v>
      </c>
      <c r="J1501" s="140" t="str">
        <f t="shared" si="95"/>
        <v>CURVA DE PVC 45 GRAUS, SOLDAVEL, 25 MM, COR MARROM, PARA AGUA FRIA PREDIAL</v>
      </c>
    </row>
    <row r="1502" spans="1:10" x14ac:dyDescent="0.25">
      <c r="A1502" s="169">
        <v>1923</v>
      </c>
      <c r="B1502" s="169" t="s">
        <v>24907</v>
      </c>
      <c r="C1502" s="169" t="s">
        <v>10225</v>
      </c>
      <c r="D1502" s="169" t="s">
        <v>1289</v>
      </c>
      <c r="E1502" s="103" t="s">
        <v>12327</v>
      </c>
      <c r="F1502" s="104"/>
      <c r="G1502" s="105">
        <f t="shared" si="92"/>
        <v>5.25</v>
      </c>
      <c r="H1502" s="101" t="str">
        <f t="shared" si="93"/>
        <v>Sinapi 1923</v>
      </c>
      <c r="I1502" s="101" t="str">
        <f t="shared" si="94"/>
        <v>UN</v>
      </c>
      <c r="J1502" s="140" t="str">
        <f t="shared" si="95"/>
        <v>CURVA DE PVC 45 GRAUS, SOLDAVEL, 32 MM, COR MARROM, PARA AGUA FRIA PREDIAL</v>
      </c>
    </row>
    <row r="1503" spans="1:10" x14ac:dyDescent="0.25">
      <c r="A1503" s="169">
        <v>1929</v>
      </c>
      <c r="B1503" s="169" t="s">
        <v>24908</v>
      </c>
      <c r="C1503" s="169" t="s">
        <v>10225</v>
      </c>
      <c r="D1503" s="169" t="s">
        <v>1289</v>
      </c>
      <c r="E1503" s="103" t="s">
        <v>13575</v>
      </c>
      <c r="F1503" s="104"/>
      <c r="G1503" s="105">
        <f t="shared" si="92"/>
        <v>6.37</v>
      </c>
      <c r="H1503" s="101" t="str">
        <f t="shared" si="93"/>
        <v>Sinapi 1929</v>
      </c>
      <c r="I1503" s="101" t="str">
        <f t="shared" si="94"/>
        <v>UN</v>
      </c>
      <c r="J1503" s="140" t="str">
        <f t="shared" si="95"/>
        <v>CURVA DE PVC 45 GRAUS, SOLDAVEL, 40 MM, COR MARROM, PARA AGUA FRIA PREDIAL</v>
      </c>
    </row>
    <row r="1504" spans="1:10" x14ac:dyDescent="0.25">
      <c r="A1504" s="169">
        <v>1930</v>
      </c>
      <c r="B1504" s="169" t="s">
        <v>24909</v>
      </c>
      <c r="C1504" s="169" t="s">
        <v>10225</v>
      </c>
      <c r="D1504" s="169" t="s">
        <v>1289</v>
      </c>
      <c r="E1504" s="103" t="s">
        <v>15699</v>
      </c>
      <c r="F1504" s="104"/>
      <c r="G1504" s="105">
        <f t="shared" si="92"/>
        <v>10.9</v>
      </c>
      <c r="H1504" s="101" t="str">
        <f t="shared" si="93"/>
        <v>Sinapi 1930</v>
      </c>
      <c r="I1504" s="101" t="str">
        <f t="shared" si="94"/>
        <v>UN</v>
      </c>
      <c r="J1504" s="140" t="str">
        <f t="shared" si="95"/>
        <v>CURVA DE PVC 45 GRAUS, SOLDAVEL, 50 MM, COR MARROM, PARA AGUA FRIA PREDIAL</v>
      </c>
    </row>
    <row r="1505" spans="1:10" x14ac:dyDescent="0.25">
      <c r="A1505" s="169">
        <v>1924</v>
      </c>
      <c r="B1505" s="169" t="s">
        <v>24910</v>
      </c>
      <c r="C1505" s="169" t="s">
        <v>10225</v>
      </c>
      <c r="D1505" s="169" t="s">
        <v>1289</v>
      </c>
      <c r="E1505" s="103" t="s">
        <v>18727</v>
      </c>
      <c r="F1505" s="104"/>
      <c r="G1505" s="105">
        <f t="shared" si="92"/>
        <v>17.59</v>
      </c>
      <c r="H1505" s="101" t="str">
        <f t="shared" si="93"/>
        <v>Sinapi 1924</v>
      </c>
      <c r="I1505" s="101" t="str">
        <f t="shared" si="94"/>
        <v>UN</v>
      </c>
      <c r="J1505" s="140" t="str">
        <f t="shared" si="95"/>
        <v>CURVA DE PVC 45 GRAUS, SOLDAVEL, 60 MM, COR MARROM, PARA AGUA FRIA PREDIAL</v>
      </c>
    </row>
    <row r="1506" spans="1:10" x14ac:dyDescent="0.25">
      <c r="A1506" s="169">
        <v>1922</v>
      </c>
      <c r="B1506" s="169" t="s">
        <v>24911</v>
      </c>
      <c r="C1506" s="169" t="s">
        <v>10225</v>
      </c>
      <c r="D1506" s="169" t="s">
        <v>1289</v>
      </c>
      <c r="E1506" s="103" t="s">
        <v>22055</v>
      </c>
      <c r="F1506" s="104"/>
      <c r="G1506" s="105">
        <f t="shared" si="92"/>
        <v>36.369999999999997</v>
      </c>
      <c r="H1506" s="101" t="str">
        <f t="shared" si="93"/>
        <v>Sinapi 1922</v>
      </c>
      <c r="I1506" s="101" t="str">
        <f t="shared" si="94"/>
        <v>UN</v>
      </c>
      <c r="J1506" s="140" t="str">
        <f t="shared" si="95"/>
        <v>CURVA DE PVC 45 GRAUS, SOLDAVEL, 75 MM, COR MARROM, PARA AGUA FRIA PREDIAL</v>
      </c>
    </row>
    <row r="1507" spans="1:10" x14ac:dyDescent="0.25">
      <c r="A1507" s="169">
        <v>1953</v>
      </c>
      <c r="B1507" s="169" t="s">
        <v>24913</v>
      </c>
      <c r="C1507" s="169" t="s">
        <v>10225</v>
      </c>
      <c r="D1507" s="169" t="s">
        <v>1289</v>
      </c>
      <c r="E1507" s="103" t="s">
        <v>22998</v>
      </c>
      <c r="F1507" s="104"/>
      <c r="G1507" s="105">
        <f t="shared" si="92"/>
        <v>44.4</v>
      </c>
      <c r="H1507" s="101" t="str">
        <f t="shared" si="93"/>
        <v>Sinapi 1953</v>
      </c>
      <c r="I1507" s="101" t="str">
        <f t="shared" si="94"/>
        <v>UN</v>
      </c>
      <c r="J1507" s="140" t="str">
        <f t="shared" si="95"/>
        <v>CURVA DE PVC 45 GRAUS, SOLDAVEL, 85 MM, COR MARROM, PARA AGUA FRIA PREDIAL</v>
      </c>
    </row>
    <row r="1508" spans="1:10" x14ac:dyDescent="0.25">
      <c r="A1508" s="169">
        <v>1962</v>
      </c>
      <c r="B1508" s="169" t="s">
        <v>24914</v>
      </c>
      <c r="C1508" s="169" t="s">
        <v>10225</v>
      </c>
      <c r="D1508" s="169" t="s">
        <v>1289</v>
      </c>
      <c r="E1508" s="103" t="s">
        <v>30188</v>
      </c>
      <c r="F1508" s="104"/>
      <c r="G1508" s="105">
        <f t="shared" si="92"/>
        <v>215.72</v>
      </c>
      <c r="H1508" s="101" t="str">
        <f t="shared" si="93"/>
        <v>Sinapi 1962</v>
      </c>
      <c r="I1508" s="101" t="str">
        <f t="shared" si="94"/>
        <v>UN</v>
      </c>
      <c r="J1508" s="140" t="str">
        <f t="shared" si="95"/>
        <v>CURVA DE PVC 90 GRAUS, SOLDAVEL, 110 MM, COR MARROM, PARA AGUA FRIA PREDIAL</v>
      </c>
    </row>
    <row r="1509" spans="1:10" x14ac:dyDescent="0.25">
      <c r="A1509" s="169">
        <v>1955</v>
      </c>
      <c r="B1509" s="169" t="s">
        <v>24915</v>
      </c>
      <c r="C1509" s="169" t="s">
        <v>10225</v>
      </c>
      <c r="D1509" s="169" t="s">
        <v>1289</v>
      </c>
      <c r="E1509" s="103" t="s">
        <v>17905</v>
      </c>
      <c r="F1509" s="104"/>
      <c r="G1509" s="105">
        <f t="shared" si="92"/>
        <v>2.48</v>
      </c>
      <c r="H1509" s="101" t="str">
        <f t="shared" si="93"/>
        <v>Sinapi 1955</v>
      </c>
      <c r="I1509" s="101" t="str">
        <f t="shared" si="94"/>
        <v>UN</v>
      </c>
      <c r="J1509" s="140" t="str">
        <f t="shared" si="95"/>
        <v>CURVA DE PVC 90 GRAUS, SOLDAVEL, 20 MM, COR MARROM, PARA AGUA FRIA PREDIAL</v>
      </c>
    </row>
    <row r="1510" spans="1:10" x14ac:dyDescent="0.25">
      <c r="A1510" s="169">
        <v>1956</v>
      </c>
      <c r="B1510" s="169" t="s">
        <v>24916</v>
      </c>
      <c r="C1510" s="169" t="s">
        <v>10225</v>
      </c>
      <c r="D1510" s="169" t="s">
        <v>1289</v>
      </c>
      <c r="E1510" s="103" t="s">
        <v>17283</v>
      </c>
      <c r="F1510" s="104"/>
      <c r="G1510" s="105">
        <f t="shared" si="92"/>
        <v>3.51</v>
      </c>
      <c r="H1510" s="101" t="str">
        <f t="shared" si="93"/>
        <v>Sinapi 1956</v>
      </c>
      <c r="I1510" s="101" t="str">
        <f t="shared" si="94"/>
        <v>UN</v>
      </c>
      <c r="J1510" s="140" t="str">
        <f t="shared" si="95"/>
        <v>CURVA DE PVC 90 GRAUS, SOLDAVEL, 25 MM, COR MARROM, PARA AGUA FRIA PREDIAL</v>
      </c>
    </row>
    <row r="1511" spans="1:10" x14ac:dyDescent="0.25">
      <c r="A1511" s="169">
        <v>1957</v>
      </c>
      <c r="B1511" s="169" t="s">
        <v>24918</v>
      </c>
      <c r="C1511" s="169" t="s">
        <v>10225</v>
      </c>
      <c r="D1511" s="169" t="s">
        <v>1289</v>
      </c>
      <c r="E1511" s="103" t="s">
        <v>19314</v>
      </c>
      <c r="F1511" s="104"/>
      <c r="G1511" s="105">
        <f t="shared" si="92"/>
        <v>7.59</v>
      </c>
      <c r="H1511" s="101" t="str">
        <f t="shared" si="93"/>
        <v>Sinapi 1957</v>
      </c>
      <c r="I1511" s="101" t="str">
        <f t="shared" si="94"/>
        <v>UN</v>
      </c>
      <c r="J1511" s="140" t="str">
        <f t="shared" si="95"/>
        <v>CURVA DE PVC 90 GRAUS, SOLDAVEL, 32 MM, COR MARROM, PARA AGUA FRIA PREDIAL</v>
      </c>
    </row>
    <row r="1512" spans="1:10" x14ac:dyDescent="0.25">
      <c r="A1512" s="169">
        <v>1958</v>
      </c>
      <c r="B1512" s="169" t="s">
        <v>24919</v>
      </c>
      <c r="C1512" s="169" t="s">
        <v>10225</v>
      </c>
      <c r="D1512" s="169" t="s">
        <v>1289</v>
      </c>
      <c r="E1512" s="103" t="s">
        <v>30189</v>
      </c>
      <c r="F1512" s="104"/>
      <c r="G1512" s="105">
        <f t="shared" si="92"/>
        <v>14.13</v>
      </c>
      <c r="H1512" s="101" t="str">
        <f t="shared" si="93"/>
        <v>Sinapi 1958</v>
      </c>
      <c r="I1512" s="101" t="str">
        <f t="shared" si="94"/>
        <v>UN</v>
      </c>
      <c r="J1512" s="140" t="str">
        <f t="shared" si="95"/>
        <v>CURVA DE PVC 90 GRAUS, SOLDAVEL, 40 MM, COR MARROM, PARA AGUA FRIA PREDIAL</v>
      </c>
    </row>
    <row r="1513" spans="1:10" x14ac:dyDescent="0.25">
      <c r="A1513" s="169">
        <v>1959</v>
      </c>
      <c r="B1513" s="169" t="s">
        <v>24920</v>
      </c>
      <c r="C1513" s="169" t="s">
        <v>10225</v>
      </c>
      <c r="D1513" s="169" t="s">
        <v>1289</v>
      </c>
      <c r="E1513" s="103" t="s">
        <v>20367</v>
      </c>
      <c r="F1513" s="104"/>
      <c r="G1513" s="105">
        <f t="shared" si="92"/>
        <v>15.33</v>
      </c>
      <c r="H1513" s="101" t="str">
        <f t="shared" si="93"/>
        <v>Sinapi 1959</v>
      </c>
      <c r="I1513" s="101" t="str">
        <f t="shared" si="94"/>
        <v>UN</v>
      </c>
      <c r="J1513" s="140" t="str">
        <f t="shared" si="95"/>
        <v>CURVA DE PVC 90 GRAUS, SOLDAVEL, 50 MM, COR MARROM, PARA AGUA FRIA PREDIAL</v>
      </c>
    </row>
    <row r="1514" spans="1:10" x14ac:dyDescent="0.25">
      <c r="A1514" s="169">
        <v>1925</v>
      </c>
      <c r="B1514" s="169" t="s">
        <v>24921</v>
      </c>
      <c r="C1514" s="169" t="s">
        <v>10225</v>
      </c>
      <c r="D1514" s="169" t="s">
        <v>1289</v>
      </c>
      <c r="E1514" s="103" t="s">
        <v>24833</v>
      </c>
      <c r="F1514" s="104"/>
      <c r="G1514" s="105">
        <f t="shared" si="92"/>
        <v>40.06</v>
      </c>
      <c r="H1514" s="101" t="str">
        <f t="shared" si="93"/>
        <v>Sinapi 1925</v>
      </c>
      <c r="I1514" s="101" t="str">
        <f t="shared" si="94"/>
        <v>UN</v>
      </c>
      <c r="J1514" s="140" t="str">
        <f t="shared" si="95"/>
        <v>CURVA DE PVC 90 GRAUS, SOLDAVEL, 60 MM, COR MARROM, PARA AGUA FRIA PREDIAL</v>
      </c>
    </row>
    <row r="1515" spans="1:10" x14ac:dyDescent="0.25">
      <c r="A1515" s="169">
        <v>1960</v>
      </c>
      <c r="B1515" s="169" t="s">
        <v>24922</v>
      </c>
      <c r="C1515" s="169" t="s">
        <v>10225</v>
      </c>
      <c r="D1515" s="169" t="s">
        <v>1289</v>
      </c>
      <c r="E1515" s="103" t="s">
        <v>30190</v>
      </c>
      <c r="F1515" s="104"/>
      <c r="G1515" s="105">
        <f t="shared" si="92"/>
        <v>61.52</v>
      </c>
      <c r="H1515" s="101" t="str">
        <f t="shared" si="93"/>
        <v>Sinapi 1960</v>
      </c>
      <c r="I1515" s="101" t="str">
        <f t="shared" si="94"/>
        <v>UN</v>
      </c>
      <c r="J1515" s="140" t="str">
        <f t="shared" si="95"/>
        <v>CURVA DE PVC 90 GRAUS, SOLDAVEL, 75 MM, COR MARROM, PARA AGUA FRIA PREDIAL</v>
      </c>
    </row>
    <row r="1516" spans="1:10" x14ac:dyDescent="0.25">
      <c r="A1516" s="169">
        <v>1961</v>
      </c>
      <c r="B1516" s="169" t="s">
        <v>24924</v>
      </c>
      <c r="C1516" s="169" t="s">
        <v>10225</v>
      </c>
      <c r="D1516" s="169" t="s">
        <v>1289</v>
      </c>
      <c r="E1516" s="103" t="s">
        <v>30191</v>
      </c>
      <c r="F1516" s="104"/>
      <c r="G1516" s="105">
        <f t="shared" si="92"/>
        <v>78.81</v>
      </c>
      <c r="H1516" s="101" t="str">
        <f t="shared" si="93"/>
        <v>Sinapi 1961</v>
      </c>
      <c r="I1516" s="101" t="str">
        <f t="shared" si="94"/>
        <v>UN</v>
      </c>
      <c r="J1516" s="140" t="str">
        <f t="shared" si="95"/>
        <v>CURVA DE PVC 90 GRAUS, SOLDAVEL, 85 MM, COR MARROM, PARA AGUA FRIA PREDIAL</v>
      </c>
    </row>
    <row r="1517" spans="1:10" x14ac:dyDescent="0.25">
      <c r="A1517" s="169">
        <v>38423</v>
      </c>
      <c r="B1517" s="169" t="s">
        <v>24925</v>
      </c>
      <c r="C1517" s="169" t="s">
        <v>10225</v>
      </c>
      <c r="D1517" s="169" t="s">
        <v>1289</v>
      </c>
      <c r="E1517" s="103" t="s">
        <v>30192</v>
      </c>
      <c r="F1517" s="104"/>
      <c r="G1517" s="105">
        <f t="shared" si="92"/>
        <v>35.69</v>
      </c>
      <c r="H1517" s="101" t="str">
        <f t="shared" si="93"/>
        <v>Sinapi 38423</v>
      </c>
      <c r="I1517" s="101" t="str">
        <f t="shared" si="94"/>
        <v>UN</v>
      </c>
      <c r="J1517" s="140" t="str">
        <f t="shared" si="95"/>
        <v>CURVA DE PVC, 90 GRAUS, SERIE R, DN 100 MM, PARA ESGOTO PREDIAL</v>
      </c>
    </row>
    <row r="1518" spans="1:10" x14ac:dyDescent="0.25">
      <c r="A1518" s="169">
        <v>39866</v>
      </c>
      <c r="B1518" s="169" t="s">
        <v>24926</v>
      </c>
      <c r="C1518" s="169" t="s">
        <v>10225</v>
      </c>
      <c r="D1518" s="169" t="s">
        <v>1290</v>
      </c>
      <c r="E1518" s="103" t="s">
        <v>29375</v>
      </c>
      <c r="F1518" s="104"/>
      <c r="G1518" s="105">
        <f t="shared" si="92"/>
        <v>16.809999999999999</v>
      </c>
      <c r="H1518" s="101" t="str">
        <f t="shared" si="93"/>
        <v>Sinapi 39866</v>
      </c>
      <c r="I1518" s="101" t="str">
        <f t="shared" si="94"/>
        <v>UN</v>
      </c>
      <c r="J1518" s="140" t="str">
        <f t="shared" si="95"/>
        <v>CURVA DE TRANSPOSICAO BRONZE/LATAO (REF 736) SEM ANEL DE SOLDA, BOLSA X BOLSA, 15 MM</v>
      </c>
    </row>
    <row r="1519" spans="1:10" x14ac:dyDescent="0.25">
      <c r="A1519" s="169">
        <v>39867</v>
      </c>
      <c r="B1519" s="169" t="s">
        <v>24927</v>
      </c>
      <c r="C1519" s="169" t="s">
        <v>10225</v>
      </c>
      <c r="D1519" s="169" t="s">
        <v>1290</v>
      </c>
      <c r="E1519" s="103" t="s">
        <v>22873</v>
      </c>
      <c r="F1519" s="104"/>
      <c r="G1519" s="105">
        <f t="shared" si="92"/>
        <v>37.380000000000003</v>
      </c>
      <c r="H1519" s="101" t="str">
        <f t="shared" si="93"/>
        <v>Sinapi 39867</v>
      </c>
      <c r="I1519" s="101" t="str">
        <f t="shared" si="94"/>
        <v>UN</v>
      </c>
      <c r="J1519" s="140" t="str">
        <f t="shared" si="95"/>
        <v>CURVA DE TRANSPOSICAO BRONZE/LATAO (REF 736) SEM ANEL DE SOLDA, BOLSA X BOLSA, 22 MM</v>
      </c>
    </row>
    <row r="1520" spans="1:10" x14ac:dyDescent="0.25">
      <c r="A1520" s="169">
        <v>39868</v>
      </c>
      <c r="B1520" s="169" t="s">
        <v>24929</v>
      </c>
      <c r="C1520" s="169" t="s">
        <v>10225</v>
      </c>
      <c r="D1520" s="169" t="s">
        <v>1290</v>
      </c>
      <c r="E1520" s="103" t="s">
        <v>30193</v>
      </c>
      <c r="F1520" s="104"/>
      <c r="G1520" s="105">
        <f t="shared" si="92"/>
        <v>67.34</v>
      </c>
      <c r="H1520" s="101" t="str">
        <f t="shared" si="93"/>
        <v>Sinapi 39868</v>
      </c>
      <c r="I1520" s="101" t="str">
        <f t="shared" si="94"/>
        <v>UN</v>
      </c>
      <c r="J1520" s="140" t="str">
        <f t="shared" si="95"/>
        <v>CURVA DE TRANSPOSICAO BRONZE/LATAO (REF 736) SEM ANEL DE SOLDA, BOLSA X BOLSA, 28 MM</v>
      </c>
    </row>
    <row r="1521" spans="1:10" x14ac:dyDescent="0.25">
      <c r="A1521" s="169">
        <v>37999</v>
      </c>
      <c r="B1521" s="169" t="s">
        <v>24930</v>
      </c>
      <c r="C1521" s="169" t="s">
        <v>10225</v>
      </c>
      <c r="D1521" s="169" t="s">
        <v>1289</v>
      </c>
      <c r="E1521" s="103" t="s">
        <v>20077</v>
      </c>
      <c r="F1521" s="104"/>
      <c r="G1521" s="105">
        <f t="shared" si="92"/>
        <v>10.1</v>
      </c>
      <c r="H1521" s="101" t="str">
        <f t="shared" si="93"/>
        <v>Sinapi 37999</v>
      </c>
      <c r="I1521" s="101" t="str">
        <f t="shared" si="94"/>
        <v>UN</v>
      </c>
      <c r="J1521" s="140" t="str">
        <f t="shared" si="95"/>
        <v>CURVA DE TRANSPOSICAO, CPVC, SOLDAVEL, 15 MM</v>
      </c>
    </row>
    <row r="1522" spans="1:10" x14ac:dyDescent="0.25">
      <c r="A1522" s="169">
        <v>38000</v>
      </c>
      <c r="B1522" s="169" t="s">
        <v>24931</v>
      </c>
      <c r="C1522" s="169" t="s">
        <v>10225</v>
      </c>
      <c r="D1522" s="169" t="s">
        <v>1289</v>
      </c>
      <c r="E1522" s="103" t="s">
        <v>18615</v>
      </c>
      <c r="F1522" s="104"/>
      <c r="G1522" s="105">
        <f t="shared" si="92"/>
        <v>11.79</v>
      </c>
      <c r="H1522" s="101" t="str">
        <f t="shared" si="93"/>
        <v>Sinapi 38000</v>
      </c>
      <c r="I1522" s="101" t="str">
        <f t="shared" si="94"/>
        <v>UN</v>
      </c>
      <c r="J1522" s="140" t="str">
        <f t="shared" si="95"/>
        <v>CURVA DE TRANSPOSICAO, CPVC, SOLDAVEL, 22 MM</v>
      </c>
    </row>
    <row r="1523" spans="1:10" x14ac:dyDescent="0.25">
      <c r="A1523" s="169">
        <v>38129</v>
      </c>
      <c r="B1523" s="169" t="s">
        <v>24932</v>
      </c>
      <c r="C1523" s="169" t="s">
        <v>10225</v>
      </c>
      <c r="D1523" s="169" t="s">
        <v>1289</v>
      </c>
      <c r="E1523" s="103" t="s">
        <v>15661</v>
      </c>
      <c r="F1523" s="104"/>
      <c r="G1523" s="105">
        <f t="shared" si="92"/>
        <v>5.78</v>
      </c>
      <c r="H1523" s="101" t="str">
        <f t="shared" si="93"/>
        <v>Sinapi 38129</v>
      </c>
      <c r="I1523" s="101" t="str">
        <f t="shared" si="94"/>
        <v>UN</v>
      </c>
      <c r="J1523" s="140" t="str">
        <f t="shared" si="95"/>
        <v>CURVA DE TRANSPOSICAO, PVC SOLDAVEL, 20 MM, COR MARROM, PARA AGUA FRIA PREDIAL</v>
      </c>
    </row>
    <row r="1524" spans="1:10" x14ac:dyDescent="0.25">
      <c r="A1524" s="169">
        <v>38025</v>
      </c>
      <c r="B1524" s="169" t="s">
        <v>24933</v>
      </c>
      <c r="C1524" s="169" t="s">
        <v>10225</v>
      </c>
      <c r="D1524" s="169" t="s">
        <v>1289</v>
      </c>
      <c r="E1524" s="103" t="s">
        <v>30194</v>
      </c>
      <c r="F1524" s="104"/>
      <c r="G1524" s="105">
        <f t="shared" si="92"/>
        <v>7.85</v>
      </c>
      <c r="H1524" s="101" t="str">
        <f t="shared" si="93"/>
        <v>Sinapi 38025</v>
      </c>
      <c r="I1524" s="101" t="str">
        <f t="shared" si="94"/>
        <v>UN</v>
      </c>
      <c r="J1524" s="140" t="str">
        <f t="shared" si="95"/>
        <v>CURVA DE TRANSPOSICAO, PVC, SOLDAVEL, 25 MM, COR MARROM, PARA AGUA FRIA PREDIAL</v>
      </c>
    </row>
    <row r="1525" spans="1:10" x14ac:dyDescent="0.25">
      <c r="A1525" s="169">
        <v>38026</v>
      </c>
      <c r="B1525" s="169" t="s">
        <v>24934</v>
      </c>
      <c r="C1525" s="169" t="s">
        <v>10225</v>
      </c>
      <c r="D1525" s="169" t="s">
        <v>1289</v>
      </c>
      <c r="E1525" s="103" t="s">
        <v>15799</v>
      </c>
      <c r="F1525" s="104"/>
      <c r="G1525" s="105">
        <f t="shared" si="92"/>
        <v>19.39</v>
      </c>
      <c r="H1525" s="101" t="str">
        <f t="shared" si="93"/>
        <v>Sinapi 38026</v>
      </c>
      <c r="I1525" s="101" t="str">
        <f t="shared" si="94"/>
        <v>UN</v>
      </c>
      <c r="J1525" s="140" t="str">
        <f t="shared" si="95"/>
        <v>CURVA DE TRANSPOSICAO, PVC, SOLDAVEL, 32 MM, COR MARROM, PARA AGUA FRIA PREDIAL</v>
      </c>
    </row>
    <row r="1526" spans="1:10" x14ac:dyDescent="0.25">
      <c r="A1526" s="169">
        <v>1858</v>
      </c>
      <c r="B1526" s="169" t="s">
        <v>24935</v>
      </c>
      <c r="C1526" s="169" t="s">
        <v>10225</v>
      </c>
      <c r="D1526" s="169" t="s">
        <v>1289</v>
      </c>
      <c r="E1526" s="103" t="s">
        <v>29812</v>
      </c>
      <c r="F1526" s="104"/>
      <c r="G1526" s="105">
        <f t="shared" si="92"/>
        <v>55.3</v>
      </c>
      <c r="H1526" s="101" t="str">
        <f t="shared" si="93"/>
        <v>Sinapi 1858</v>
      </c>
      <c r="I1526" s="101" t="str">
        <f t="shared" si="94"/>
        <v>UN</v>
      </c>
      <c r="J1526" s="140" t="str">
        <f t="shared" si="95"/>
        <v>CURVA LONGA PVC, PB, JE, 45 GRAUS, DN 100 MM, PARA REDE COLETORA ESGOTO</v>
      </c>
    </row>
    <row r="1527" spans="1:10" x14ac:dyDescent="0.25">
      <c r="A1527" s="169">
        <v>1844</v>
      </c>
      <c r="B1527" s="169" t="s">
        <v>24936</v>
      </c>
      <c r="C1527" s="169" t="s">
        <v>10225</v>
      </c>
      <c r="D1527" s="169" t="s">
        <v>1289</v>
      </c>
      <c r="E1527" s="103" t="s">
        <v>30195</v>
      </c>
      <c r="F1527" s="104"/>
      <c r="G1527" s="105">
        <f t="shared" si="92"/>
        <v>126.66</v>
      </c>
      <c r="H1527" s="101" t="str">
        <f t="shared" si="93"/>
        <v>Sinapi 1844</v>
      </c>
      <c r="I1527" s="101" t="str">
        <f t="shared" si="94"/>
        <v>UN</v>
      </c>
      <c r="J1527" s="140" t="str">
        <f t="shared" si="95"/>
        <v>CURVA LONGA PVC, PB, JE, 45 GRAUS, DN 150 MM, PARA REDE COLETORA ESGOTO</v>
      </c>
    </row>
    <row r="1528" spans="1:10" x14ac:dyDescent="0.25">
      <c r="A1528" s="169">
        <v>1863</v>
      </c>
      <c r="B1528" s="169" t="s">
        <v>24937</v>
      </c>
      <c r="C1528" s="169" t="s">
        <v>10225</v>
      </c>
      <c r="D1528" s="169" t="s">
        <v>1289</v>
      </c>
      <c r="E1528" s="103" t="s">
        <v>30196</v>
      </c>
      <c r="F1528" s="104"/>
      <c r="G1528" s="105">
        <f t="shared" si="92"/>
        <v>58.85</v>
      </c>
      <c r="H1528" s="101" t="str">
        <f t="shared" si="93"/>
        <v>Sinapi 1863</v>
      </c>
      <c r="I1528" s="101" t="str">
        <f t="shared" si="94"/>
        <v>UN</v>
      </c>
      <c r="J1528" s="140" t="str">
        <f t="shared" si="95"/>
        <v>CURVA LONGA PVC, PB, JE, 90 GRAUS, DN 100 MM, PARA REDE COLETORA ESGOTO</v>
      </c>
    </row>
    <row r="1529" spans="1:10" x14ac:dyDescent="0.25">
      <c r="A1529" s="169">
        <v>1865</v>
      </c>
      <c r="B1529" s="169" t="s">
        <v>24938</v>
      </c>
      <c r="C1529" s="169" t="s">
        <v>10225</v>
      </c>
      <c r="D1529" s="169" t="s">
        <v>1289</v>
      </c>
      <c r="E1529" s="103" t="s">
        <v>29387</v>
      </c>
      <c r="F1529" s="104"/>
      <c r="G1529" s="105">
        <f t="shared" si="92"/>
        <v>153.34</v>
      </c>
      <c r="H1529" s="101" t="str">
        <f t="shared" si="93"/>
        <v>Sinapi 1865</v>
      </c>
      <c r="I1529" s="101" t="str">
        <f t="shared" si="94"/>
        <v>UN</v>
      </c>
      <c r="J1529" s="140" t="str">
        <f t="shared" si="95"/>
        <v>CURVA LONGA PVC, PB, JE, 90 GRAUS, DN 150 MM, PARA REDE COLETORA ESGOTO</v>
      </c>
    </row>
    <row r="1530" spans="1:10" x14ac:dyDescent="0.25">
      <c r="A1530" s="169">
        <v>36355</v>
      </c>
      <c r="B1530" s="169" t="s">
        <v>24939</v>
      </c>
      <c r="C1530" s="169" t="s">
        <v>10225</v>
      </c>
      <c r="D1530" s="169" t="s">
        <v>1290</v>
      </c>
      <c r="E1530" s="103" t="s">
        <v>18542</v>
      </c>
      <c r="F1530" s="104"/>
      <c r="G1530" s="105">
        <f t="shared" si="92"/>
        <v>9.4600000000000009</v>
      </c>
      <c r="H1530" s="101" t="str">
        <f t="shared" si="93"/>
        <v>Sinapi 36355</v>
      </c>
      <c r="I1530" s="101" t="str">
        <f t="shared" si="94"/>
        <v>UN</v>
      </c>
      <c r="J1530" s="140" t="str">
        <f t="shared" si="95"/>
        <v>CURVA PPR 90 GRAUS, F/F, DN 20 MM, PARA AGUA QUENTE PREDIAL</v>
      </c>
    </row>
    <row r="1531" spans="1:10" x14ac:dyDescent="0.25">
      <c r="A1531" s="169">
        <v>36356</v>
      </c>
      <c r="B1531" s="169" t="s">
        <v>24940</v>
      </c>
      <c r="C1531" s="169" t="s">
        <v>10225</v>
      </c>
      <c r="D1531" s="169" t="s">
        <v>1290</v>
      </c>
      <c r="E1531" s="103" t="s">
        <v>14899</v>
      </c>
      <c r="F1531" s="104"/>
      <c r="G1531" s="105">
        <f t="shared" si="92"/>
        <v>15.22</v>
      </c>
      <c r="H1531" s="101" t="str">
        <f t="shared" si="93"/>
        <v>Sinapi 36356</v>
      </c>
      <c r="I1531" s="101" t="str">
        <f t="shared" si="94"/>
        <v>UN</v>
      </c>
      <c r="J1531" s="140" t="str">
        <f t="shared" si="95"/>
        <v>CURVA PPR 90 GRAUS, F/F, DN 25 MM, PARA AGUA QUENTE PREDIAL</v>
      </c>
    </row>
    <row r="1532" spans="1:10" x14ac:dyDescent="0.25">
      <c r="A1532" s="169">
        <v>1966</v>
      </c>
      <c r="B1532" s="169" t="s">
        <v>24941</v>
      </c>
      <c r="C1532" s="169" t="s">
        <v>10225</v>
      </c>
      <c r="D1532" s="169" t="s">
        <v>1289</v>
      </c>
      <c r="E1532" s="103" t="s">
        <v>23140</v>
      </c>
      <c r="F1532" s="104"/>
      <c r="G1532" s="105">
        <f t="shared" si="92"/>
        <v>23.47</v>
      </c>
      <c r="H1532" s="101" t="str">
        <f t="shared" si="93"/>
        <v>Sinapi 1966</v>
      </c>
      <c r="I1532" s="101" t="str">
        <f t="shared" si="94"/>
        <v>UN</v>
      </c>
      <c r="J1532" s="140" t="str">
        <f t="shared" si="95"/>
        <v>CURVA PVC CURTA 90 GRAUS, DN 100 MM, PARA ESGOTO PREDIAL</v>
      </c>
    </row>
    <row r="1533" spans="1:10" x14ac:dyDescent="0.25">
      <c r="A1533" s="169">
        <v>1933</v>
      </c>
      <c r="B1533" s="169" t="s">
        <v>24942</v>
      </c>
      <c r="C1533" s="169" t="s">
        <v>10225</v>
      </c>
      <c r="D1533" s="169" t="s">
        <v>1289</v>
      </c>
      <c r="E1533" s="103" t="s">
        <v>16416</v>
      </c>
      <c r="F1533" s="104"/>
      <c r="G1533" s="105">
        <f t="shared" si="92"/>
        <v>5.0599999999999996</v>
      </c>
      <c r="H1533" s="101" t="str">
        <f t="shared" si="93"/>
        <v>Sinapi 1933</v>
      </c>
      <c r="I1533" s="101" t="str">
        <f t="shared" si="94"/>
        <v>UN</v>
      </c>
      <c r="J1533" s="140" t="str">
        <f t="shared" si="95"/>
        <v>CURVA PVC CURTA 90 GRAUS, DN 40 MM, PARA ESGOTO PREDIAL</v>
      </c>
    </row>
    <row r="1534" spans="1:10" x14ac:dyDescent="0.25">
      <c r="A1534" s="169">
        <v>1932</v>
      </c>
      <c r="B1534" s="169" t="s">
        <v>24943</v>
      </c>
      <c r="C1534" s="169" t="s">
        <v>10225</v>
      </c>
      <c r="D1534" s="169" t="s">
        <v>1289</v>
      </c>
      <c r="E1534" s="103" t="s">
        <v>13749</v>
      </c>
      <c r="F1534" s="104"/>
      <c r="G1534" s="105">
        <f t="shared" si="92"/>
        <v>11.57</v>
      </c>
      <c r="H1534" s="101" t="str">
        <f t="shared" si="93"/>
        <v>Sinapi 1932</v>
      </c>
      <c r="I1534" s="101" t="str">
        <f t="shared" si="94"/>
        <v>UN</v>
      </c>
      <c r="J1534" s="140" t="str">
        <f t="shared" si="95"/>
        <v>CURVA PVC CURTA 90 GRAUS, DN 50 MM, PARA ESGOTO PREDIAL</v>
      </c>
    </row>
    <row r="1535" spans="1:10" x14ac:dyDescent="0.25">
      <c r="A1535" s="169">
        <v>1951</v>
      </c>
      <c r="B1535" s="169" t="s">
        <v>24944</v>
      </c>
      <c r="C1535" s="169" t="s">
        <v>10225</v>
      </c>
      <c r="D1535" s="169" t="s">
        <v>1289</v>
      </c>
      <c r="E1535" s="103" t="s">
        <v>16297</v>
      </c>
      <c r="F1535" s="104"/>
      <c r="G1535" s="105">
        <f t="shared" si="92"/>
        <v>24.15</v>
      </c>
      <c r="H1535" s="101" t="str">
        <f t="shared" si="93"/>
        <v>Sinapi 1951</v>
      </c>
      <c r="I1535" s="101" t="str">
        <f t="shared" si="94"/>
        <v>UN</v>
      </c>
      <c r="J1535" s="140" t="str">
        <f t="shared" si="95"/>
        <v>CURVA PVC CURTA 90 GRAUS, DN 75 MM, PARA ESGOTO PREDIAL</v>
      </c>
    </row>
    <row r="1536" spans="1:10" x14ac:dyDescent="0.25">
      <c r="A1536" s="169">
        <v>1970</v>
      </c>
      <c r="B1536" s="169" t="s">
        <v>24946</v>
      </c>
      <c r="C1536" s="169" t="s">
        <v>10225</v>
      </c>
      <c r="D1536" s="169" t="s">
        <v>1289</v>
      </c>
      <c r="E1536" s="103" t="s">
        <v>29109</v>
      </c>
      <c r="F1536" s="104"/>
      <c r="G1536" s="105">
        <f t="shared" si="92"/>
        <v>58.67</v>
      </c>
      <c r="H1536" s="101" t="str">
        <f t="shared" si="93"/>
        <v>Sinapi 1970</v>
      </c>
      <c r="I1536" s="101" t="str">
        <f t="shared" si="94"/>
        <v>UN</v>
      </c>
      <c r="J1536" s="140" t="str">
        <f t="shared" si="95"/>
        <v>CURVA PVC LONGA 90 GRAUS, DN 100 MM, PARA ESGOTO PREDIAL</v>
      </c>
    </row>
    <row r="1537" spans="1:10" x14ac:dyDescent="0.25">
      <c r="A1537" s="169">
        <v>1967</v>
      </c>
      <c r="B1537" s="169" t="s">
        <v>24948</v>
      </c>
      <c r="C1537" s="169" t="s">
        <v>10225</v>
      </c>
      <c r="D1537" s="169" t="s">
        <v>1289</v>
      </c>
      <c r="E1537" s="103" t="s">
        <v>13647</v>
      </c>
      <c r="F1537" s="104"/>
      <c r="G1537" s="105">
        <f t="shared" si="92"/>
        <v>6.96</v>
      </c>
      <c r="H1537" s="101" t="str">
        <f t="shared" si="93"/>
        <v>Sinapi 1967</v>
      </c>
      <c r="I1537" s="101" t="str">
        <f t="shared" si="94"/>
        <v>UN</v>
      </c>
      <c r="J1537" s="140" t="str">
        <f t="shared" si="95"/>
        <v>CURVA PVC LONGA 90 GRAUS, DN 40 MM, PARA ESGOTO PREDIAL</v>
      </c>
    </row>
    <row r="1538" spans="1:10" x14ac:dyDescent="0.25">
      <c r="A1538" s="169">
        <v>1968</v>
      </c>
      <c r="B1538" s="169" t="s">
        <v>24949</v>
      </c>
      <c r="C1538" s="169" t="s">
        <v>10225</v>
      </c>
      <c r="D1538" s="169" t="s">
        <v>1289</v>
      </c>
      <c r="E1538" s="103" t="s">
        <v>30197</v>
      </c>
      <c r="F1538" s="104"/>
      <c r="G1538" s="105">
        <f t="shared" si="92"/>
        <v>13.77</v>
      </c>
      <c r="H1538" s="101" t="str">
        <f t="shared" si="93"/>
        <v>Sinapi 1968</v>
      </c>
      <c r="I1538" s="101" t="str">
        <f t="shared" si="94"/>
        <v>UN</v>
      </c>
      <c r="J1538" s="140" t="str">
        <f t="shared" si="95"/>
        <v>CURVA PVC LONGA 90 GRAUS, DN 50 MM, PARA ESGOTO PREDIAL</v>
      </c>
    </row>
    <row r="1539" spans="1:10" x14ac:dyDescent="0.25">
      <c r="A1539" s="169">
        <v>1969</v>
      </c>
      <c r="B1539" s="169" t="s">
        <v>24950</v>
      </c>
      <c r="C1539" s="169" t="s">
        <v>10225</v>
      </c>
      <c r="D1539" s="169" t="s">
        <v>1289</v>
      </c>
      <c r="E1539" s="103" t="s">
        <v>28469</v>
      </c>
      <c r="F1539" s="104"/>
      <c r="G1539" s="105">
        <f t="shared" si="92"/>
        <v>44.82</v>
      </c>
      <c r="H1539" s="101" t="str">
        <f t="shared" si="93"/>
        <v>Sinapi 1969</v>
      </c>
      <c r="I1539" s="101" t="str">
        <f t="shared" si="94"/>
        <v>UN</v>
      </c>
      <c r="J1539" s="140" t="str">
        <f t="shared" si="95"/>
        <v>CURVA PVC LONGA 90 GRAUS, DN 75 MM, PARA ESGOTO PREDIAL</v>
      </c>
    </row>
    <row r="1540" spans="1:10" x14ac:dyDescent="0.25">
      <c r="A1540" s="169">
        <v>1827</v>
      </c>
      <c r="B1540" s="169" t="s">
        <v>24951</v>
      </c>
      <c r="C1540" s="169" t="s">
        <v>10225</v>
      </c>
      <c r="D1540" s="169" t="s">
        <v>1289</v>
      </c>
      <c r="E1540" s="103" t="s">
        <v>30198</v>
      </c>
      <c r="F1540" s="104"/>
      <c r="G1540" s="105">
        <f t="shared" si="92"/>
        <v>217.53</v>
      </c>
      <c r="H1540" s="101" t="str">
        <f t="shared" si="93"/>
        <v>Sinapi 1827</v>
      </c>
      <c r="I1540" s="101" t="str">
        <f t="shared" si="94"/>
        <v>UN</v>
      </c>
      <c r="J1540" s="140" t="str">
        <f t="shared" si="95"/>
        <v>CURVA PVC PBA, JE, PB, 45 GRAUS, DN 100 / DE 110 MM, PARA REDE AGUA (NBR 10351)</v>
      </c>
    </row>
    <row r="1541" spans="1:10" x14ac:dyDescent="0.25">
      <c r="A1541" s="169">
        <v>1831</v>
      </c>
      <c r="B1541" s="169" t="s">
        <v>24952</v>
      </c>
      <c r="C1541" s="169" t="s">
        <v>10225</v>
      </c>
      <c r="D1541" s="169" t="s">
        <v>1289</v>
      </c>
      <c r="E1541" s="103" t="s">
        <v>30199</v>
      </c>
      <c r="F1541" s="104"/>
      <c r="G1541" s="105">
        <f t="shared" si="92"/>
        <v>47.49</v>
      </c>
      <c r="H1541" s="101" t="str">
        <f t="shared" si="93"/>
        <v>Sinapi 1831</v>
      </c>
      <c r="I1541" s="101" t="str">
        <f t="shared" si="94"/>
        <v>UN</v>
      </c>
      <c r="J1541" s="140" t="str">
        <f t="shared" si="95"/>
        <v>CURVA PVC PBA, JE, PB, 45 GRAUS, DN 50 / DE 60 MM, PARA REDE AGUA (NBR 10351)</v>
      </c>
    </row>
    <row r="1542" spans="1:10" x14ac:dyDescent="0.25">
      <c r="A1542" s="169">
        <v>1825</v>
      </c>
      <c r="B1542" s="169" t="s">
        <v>24953</v>
      </c>
      <c r="C1542" s="169" t="s">
        <v>10225</v>
      </c>
      <c r="D1542" s="169" t="s">
        <v>1289</v>
      </c>
      <c r="E1542" s="103" t="s">
        <v>29853</v>
      </c>
      <c r="F1542" s="104"/>
      <c r="G1542" s="105">
        <f t="shared" si="92"/>
        <v>117.2</v>
      </c>
      <c r="H1542" s="101" t="str">
        <f t="shared" si="93"/>
        <v>Sinapi 1825</v>
      </c>
      <c r="I1542" s="101" t="str">
        <f t="shared" si="94"/>
        <v>UN</v>
      </c>
      <c r="J1542" s="140" t="str">
        <f t="shared" si="95"/>
        <v>CURVA PVC PBA, JE, PB, 45 GRAUS, DN 75 / DE 85 MM, PARA REDE AGUA (NBR 10351)</v>
      </c>
    </row>
    <row r="1543" spans="1:10" x14ac:dyDescent="0.25">
      <c r="A1543" s="169">
        <v>1828</v>
      </c>
      <c r="B1543" s="169" t="s">
        <v>24954</v>
      </c>
      <c r="C1543" s="169" t="s">
        <v>10225</v>
      </c>
      <c r="D1543" s="169" t="s">
        <v>1289</v>
      </c>
      <c r="E1543" s="103" t="s">
        <v>30200</v>
      </c>
      <c r="F1543" s="104"/>
      <c r="G1543" s="105">
        <f t="shared" si="92"/>
        <v>265.45999999999998</v>
      </c>
      <c r="H1543" s="101" t="str">
        <f t="shared" si="93"/>
        <v>Sinapi 1828</v>
      </c>
      <c r="I1543" s="101" t="str">
        <f t="shared" si="94"/>
        <v>UN</v>
      </c>
      <c r="J1543" s="140" t="str">
        <f t="shared" si="95"/>
        <v>CURVA PVC PBA, JE, PB, 90 GRAUS, DN 100 / DE 110 MM, PARA REDE AGUA (NBR 10351)</v>
      </c>
    </row>
    <row r="1544" spans="1:10" x14ac:dyDescent="0.25">
      <c r="A1544" s="169">
        <v>1845</v>
      </c>
      <c r="B1544" s="169" t="s">
        <v>24956</v>
      </c>
      <c r="C1544" s="169" t="s">
        <v>10225</v>
      </c>
      <c r="D1544" s="169" t="s">
        <v>1289</v>
      </c>
      <c r="E1544" s="103" t="s">
        <v>29216</v>
      </c>
      <c r="F1544" s="104"/>
      <c r="G1544" s="105">
        <f t="shared" ref="G1544:G1607" si="96">IF(E1544="","",E1544+0)</f>
        <v>59.51</v>
      </c>
      <c r="H1544" s="101" t="str">
        <f t="shared" ref="H1544:H1607" si="97">IF(G1544="","",TRIM(CONCATENATE("Sinapi ",A1544)))</f>
        <v>Sinapi 1845</v>
      </c>
      <c r="I1544" s="101" t="str">
        <f t="shared" ref="I1544:I1607" si="98">TRIM(C1544)</f>
        <v>UN</v>
      </c>
      <c r="J1544" s="140" t="str">
        <f t="shared" si="95"/>
        <v>CURVA PVC PBA, JE, PB, 90 GRAUS, DN 50 / DE 60 MM, PARA REDE AGUA (NBR 10351)</v>
      </c>
    </row>
    <row r="1545" spans="1:10" x14ac:dyDescent="0.25">
      <c r="A1545" s="169">
        <v>1824</v>
      </c>
      <c r="B1545" s="169" t="s">
        <v>24957</v>
      </c>
      <c r="C1545" s="169" t="s">
        <v>10225</v>
      </c>
      <c r="D1545" s="169" t="s">
        <v>1289</v>
      </c>
      <c r="E1545" s="103" t="s">
        <v>30201</v>
      </c>
      <c r="F1545" s="104"/>
      <c r="G1545" s="105">
        <f t="shared" si="96"/>
        <v>140.49</v>
      </c>
      <c r="H1545" s="101" t="str">
        <f t="shared" si="97"/>
        <v>Sinapi 1824</v>
      </c>
      <c r="I1545" s="101" t="str">
        <f t="shared" si="98"/>
        <v>UN</v>
      </c>
      <c r="J1545" s="140" t="str">
        <f t="shared" ref="J1545:J1608" si="99">TRIM(B1545)</f>
        <v>CURVA PVC PBA, JE, PB, 90 GRAUS, DN 75 / DE 85 MM, PARA REDE AGUA (NBR 10351)</v>
      </c>
    </row>
    <row r="1546" spans="1:10" x14ac:dyDescent="0.25">
      <c r="A1546" s="169">
        <v>1940</v>
      </c>
      <c r="B1546" s="169" t="s">
        <v>24958</v>
      </c>
      <c r="C1546" s="169" t="s">
        <v>10225</v>
      </c>
      <c r="D1546" s="169" t="s">
        <v>1289</v>
      </c>
      <c r="E1546" s="103" t="s">
        <v>26831</v>
      </c>
      <c r="F1546" s="104"/>
      <c r="G1546" s="105">
        <f t="shared" si="96"/>
        <v>39.14</v>
      </c>
      <c r="H1546" s="101" t="str">
        <f t="shared" si="97"/>
        <v>Sinapi 1940</v>
      </c>
      <c r="I1546" s="101" t="str">
        <f t="shared" si="98"/>
        <v>UN</v>
      </c>
      <c r="J1546" s="140" t="str">
        <f t="shared" si="99"/>
        <v>CURVA PVC 90 GRAUS, ROSCAVEL, 1 1/4", COR BRANCA, AGUA FRIA PREDIAL</v>
      </c>
    </row>
    <row r="1547" spans="1:10" x14ac:dyDescent="0.25">
      <c r="A1547" s="169">
        <v>1937</v>
      </c>
      <c r="B1547" s="169" t="s">
        <v>24959</v>
      </c>
      <c r="C1547" s="169" t="s">
        <v>10225</v>
      </c>
      <c r="D1547" s="169" t="s">
        <v>1289</v>
      </c>
      <c r="E1547" s="103" t="s">
        <v>4819</v>
      </c>
      <c r="F1547" s="104"/>
      <c r="G1547" s="105">
        <f t="shared" si="96"/>
        <v>6.61</v>
      </c>
      <c r="H1547" s="101" t="str">
        <f t="shared" si="97"/>
        <v>Sinapi 1937</v>
      </c>
      <c r="I1547" s="101" t="str">
        <f t="shared" si="98"/>
        <v>UN</v>
      </c>
      <c r="J1547" s="140" t="str">
        <f t="shared" si="99"/>
        <v>CURVA PVC 90 GRAUS, ROSCAVEL, 1/2", COR BRANCA, AGUA FRIA PREDIAL</v>
      </c>
    </row>
    <row r="1548" spans="1:10" x14ac:dyDescent="0.25">
      <c r="A1548" s="169">
        <v>1939</v>
      </c>
      <c r="B1548" s="169" t="s">
        <v>24960</v>
      </c>
      <c r="C1548" s="169" t="s">
        <v>10225</v>
      </c>
      <c r="D1548" s="169" t="s">
        <v>1289</v>
      </c>
      <c r="E1548" s="103" t="s">
        <v>18548</v>
      </c>
      <c r="F1548" s="104"/>
      <c r="G1548" s="105">
        <f t="shared" si="96"/>
        <v>10.74</v>
      </c>
      <c r="H1548" s="101" t="str">
        <f t="shared" si="97"/>
        <v>Sinapi 1939</v>
      </c>
      <c r="I1548" s="101" t="str">
        <f t="shared" si="98"/>
        <v>UN</v>
      </c>
      <c r="J1548" s="140" t="str">
        <f t="shared" si="99"/>
        <v>CURVA PVC 90 GRAUS, ROSCAVEL, 1", COR BRANCA, AGUA FRIA PREDIAL</v>
      </c>
    </row>
    <row r="1549" spans="1:10" x14ac:dyDescent="0.25">
      <c r="A1549" s="169">
        <v>1938</v>
      </c>
      <c r="B1549" s="169" t="s">
        <v>24961</v>
      </c>
      <c r="C1549" s="169" t="s">
        <v>10225</v>
      </c>
      <c r="D1549" s="169" t="s">
        <v>1289</v>
      </c>
      <c r="E1549" s="103" t="s">
        <v>20625</v>
      </c>
      <c r="F1549" s="104"/>
      <c r="G1549" s="105">
        <f t="shared" si="96"/>
        <v>7.51</v>
      </c>
      <c r="H1549" s="101" t="str">
        <f t="shared" si="97"/>
        <v>Sinapi 1938</v>
      </c>
      <c r="I1549" s="101" t="str">
        <f t="shared" si="98"/>
        <v>UN</v>
      </c>
      <c r="J1549" s="140" t="str">
        <f t="shared" si="99"/>
        <v>CURVA PVC 90 GRAUS, ROSCAVEL, 3/4", COR BRANCA, AGUA FRIA PREDIAL</v>
      </c>
    </row>
    <row r="1550" spans="1:10" x14ac:dyDescent="0.25">
      <c r="A1550" s="169">
        <v>42693</v>
      </c>
      <c r="B1550" s="169" t="s">
        <v>24962</v>
      </c>
      <c r="C1550" s="169" t="s">
        <v>10225</v>
      </c>
      <c r="D1550" s="169" t="s">
        <v>1289</v>
      </c>
      <c r="E1550" s="103" t="s">
        <v>30202</v>
      </c>
      <c r="F1550" s="104"/>
      <c r="G1550" s="105">
        <f t="shared" si="96"/>
        <v>430.77</v>
      </c>
      <c r="H1550" s="101" t="str">
        <f t="shared" si="97"/>
        <v>Sinapi 42693</v>
      </c>
      <c r="I1550" s="101" t="str">
        <f t="shared" si="98"/>
        <v>UN</v>
      </c>
      <c r="J1550" s="140" t="str">
        <f t="shared" si="99"/>
        <v>CURVA PVC, BB, JE, 45 GRAUS, DN 250 MM, PARA TUBO CORRUGADO E/OU LISO, REDE COLETORA ESGOTO</v>
      </c>
    </row>
    <row r="1551" spans="1:10" x14ac:dyDescent="0.25">
      <c r="A1551" s="169">
        <v>42695</v>
      </c>
      <c r="B1551" s="169" t="s">
        <v>24963</v>
      </c>
      <c r="C1551" s="169" t="s">
        <v>10225</v>
      </c>
      <c r="D1551" s="169" t="s">
        <v>1289</v>
      </c>
      <c r="E1551" s="103" t="s">
        <v>30203</v>
      </c>
      <c r="F1551" s="104"/>
      <c r="G1551" s="105">
        <f t="shared" si="96"/>
        <v>300.95999999999998</v>
      </c>
      <c r="H1551" s="101" t="str">
        <f t="shared" si="97"/>
        <v>Sinapi 42695</v>
      </c>
      <c r="I1551" s="101" t="str">
        <f t="shared" si="98"/>
        <v>UN</v>
      </c>
      <c r="J1551" s="140" t="str">
        <f t="shared" si="99"/>
        <v>CURVA PVC, BB, JE, 90 GRAUS, DN 200 MM, PARA TUBO CORRUGADO E/OU LISO, REDE COLETORA ESGOTO</v>
      </c>
    </row>
    <row r="1552" spans="1:10" x14ac:dyDescent="0.25">
      <c r="A1552" s="169">
        <v>42694</v>
      </c>
      <c r="B1552" s="169" t="s">
        <v>24965</v>
      </c>
      <c r="C1552" s="169" t="s">
        <v>10225</v>
      </c>
      <c r="D1552" s="169" t="s">
        <v>1289</v>
      </c>
      <c r="E1552" s="103" t="s">
        <v>30204</v>
      </c>
      <c r="F1552" s="104"/>
      <c r="G1552" s="105">
        <f t="shared" si="96"/>
        <v>576.46</v>
      </c>
      <c r="H1552" s="101" t="str">
        <f t="shared" si="97"/>
        <v>Sinapi 42694</v>
      </c>
      <c r="I1552" s="101" t="str">
        <f t="shared" si="98"/>
        <v>UN</v>
      </c>
      <c r="J1552" s="140" t="str">
        <f t="shared" si="99"/>
        <v>CURVA PVC, BB, JE, 90 GRAUS, DN 250 MM, PARA TUBO CORRUGADO E/OU LISO, REDE COLETORA ESGOTO</v>
      </c>
    </row>
    <row r="1553" spans="1:10" x14ac:dyDescent="0.25">
      <c r="A1553" s="169">
        <v>20097</v>
      </c>
      <c r="B1553" s="169" t="s">
        <v>24966</v>
      </c>
      <c r="C1553" s="169" t="s">
        <v>10225</v>
      </c>
      <c r="D1553" s="169" t="s">
        <v>1289</v>
      </c>
      <c r="E1553" s="103" t="s">
        <v>30205</v>
      </c>
      <c r="F1553" s="104"/>
      <c r="G1553" s="105">
        <f t="shared" si="96"/>
        <v>24.99</v>
      </c>
      <c r="H1553" s="101" t="str">
        <f t="shared" si="97"/>
        <v>Sinapi 20097</v>
      </c>
      <c r="I1553" s="101" t="str">
        <f t="shared" si="98"/>
        <v>UN</v>
      </c>
      <c r="J1553" s="140" t="str">
        <f t="shared" si="99"/>
        <v>CURVA PVC, SERIE R, 87.30 GRAUS, CURTA, PARA PE-DE-COLUNA, DN 100 MM, PARA ESGOTO PREDIAL</v>
      </c>
    </row>
    <row r="1554" spans="1:10" x14ac:dyDescent="0.25">
      <c r="A1554" s="169">
        <v>20098</v>
      </c>
      <c r="B1554" s="169" t="s">
        <v>24967</v>
      </c>
      <c r="C1554" s="169" t="s">
        <v>10225</v>
      </c>
      <c r="D1554" s="169" t="s">
        <v>1289</v>
      </c>
      <c r="E1554" s="103" t="s">
        <v>29296</v>
      </c>
      <c r="F1554" s="104"/>
      <c r="G1554" s="105">
        <f t="shared" si="96"/>
        <v>102.15</v>
      </c>
      <c r="H1554" s="101" t="str">
        <f t="shared" si="97"/>
        <v>Sinapi 20098</v>
      </c>
      <c r="I1554" s="101" t="str">
        <f t="shared" si="98"/>
        <v>UN</v>
      </c>
      <c r="J1554" s="140" t="str">
        <f t="shared" si="99"/>
        <v>CURVA PVC, SERIE R, 87.30 GRAUS, CURTA, PARA PE-DE-COLUNA, DN 150 MM, PARA ESGOTO PREDIAL</v>
      </c>
    </row>
    <row r="1555" spans="1:10" x14ac:dyDescent="0.25">
      <c r="A1555" s="169">
        <v>20096</v>
      </c>
      <c r="B1555" s="169" t="s">
        <v>24968</v>
      </c>
      <c r="C1555" s="169" t="s">
        <v>10225</v>
      </c>
      <c r="D1555" s="169" t="s">
        <v>1289</v>
      </c>
      <c r="E1555" s="103" t="s">
        <v>21198</v>
      </c>
      <c r="F1555" s="104"/>
      <c r="G1555" s="105">
        <f t="shared" si="96"/>
        <v>25.87</v>
      </c>
      <c r="H1555" s="101" t="str">
        <f t="shared" si="97"/>
        <v>Sinapi 20096</v>
      </c>
      <c r="I1555" s="101" t="str">
        <f t="shared" si="98"/>
        <v>UN</v>
      </c>
      <c r="J1555" s="140" t="str">
        <f t="shared" si="99"/>
        <v>CURVA PVC, SERIE R, 87.30 GRAUS, CURTA, PARA PE-DE-COLUNA, DN 75 MM, PARA ESGOTO PREDIAL</v>
      </c>
    </row>
    <row r="1556" spans="1:10" x14ac:dyDescent="0.25">
      <c r="A1556" s="169">
        <v>1880</v>
      </c>
      <c r="B1556" s="169" t="s">
        <v>24969</v>
      </c>
      <c r="C1556" s="169" t="s">
        <v>10225</v>
      </c>
      <c r="D1556" s="169" t="s">
        <v>1289</v>
      </c>
      <c r="E1556" s="103" t="s">
        <v>10386</v>
      </c>
      <c r="F1556" s="104"/>
      <c r="G1556" s="105">
        <f t="shared" si="96"/>
        <v>2.82</v>
      </c>
      <c r="H1556" s="101" t="str">
        <f t="shared" si="97"/>
        <v>Sinapi 1880</v>
      </c>
      <c r="I1556" s="101" t="str">
        <f t="shared" si="98"/>
        <v>UN</v>
      </c>
      <c r="J1556" s="140" t="str">
        <f t="shared" si="99"/>
        <v>CURVA 135 GRAUS, DE PVC RIGIDO ROSCAVEL, DE 1", PARA ELETRODUTO</v>
      </c>
    </row>
    <row r="1557" spans="1:10" x14ac:dyDescent="0.25">
      <c r="A1557" s="169">
        <v>39274</v>
      </c>
      <c r="B1557" s="169" t="s">
        <v>24970</v>
      </c>
      <c r="C1557" s="169" t="s">
        <v>10225</v>
      </c>
      <c r="D1557" s="169" t="s">
        <v>1289</v>
      </c>
      <c r="E1557" s="103" t="s">
        <v>21001</v>
      </c>
      <c r="F1557" s="104"/>
      <c r="G1557" s="105">
        <f t="shared" si="96"/>
        <v>2.19</v>
      </c>
      <c r="H1557" s="101" t="str">
        <f t="shared" si="97"/>
        <v>Sinapi 39274</v>
      </c>
      <c r="I1557" s="101" t="str">
        <f t="shared" si="98"/>
        <v>UN</v>
      </c>
      <c r="J1557" s="140" t="str">
        <f t="shared" si="99"/>
        <v>CURVA 135 GRAUS, DE PVC RIGIDO ROSCAVEL, DE 3/4", PARA ELETRODUTO</v>
      </c>
    </row>
    <row r="1558" spans="1:10" x14ac:dyDescent="0.25">
      <c r="A1558" s="169">
        <v>2628</v>
      </c>
      <c r="B1558" s="169" t="s">
        <v>24971</v>
      </c>
      <c r="C1558" s="169" t="s">
        <v>10225</v>
      </c>
      <c r="D1558" s="169" t="s">
        <v>1289</v>
      </c>
      <c r="E1558" s="103" t="s">
        <v>30206</v>
      </c>
      <c r="F1558" s="104"/>
      <c r="G1558" s="105">
        <f t="shared" si="96"/>
        <v>230.73</v>
      </c>
      <c r="H1558" s="101" t="str">
        <f t="shared" si="97"/>
        <v>Sinapi 2628</v>
      </c>
      <c r="I1558" s="101" t="str">
        <f t="shared" si="98"/>
        <v>UN</v>
      </c>
      <c r="J1558" s="140" t="str">
        <f t="shared" si="99"/>
        <v>CURVA 135 GRAUS, PARA ELETRODUTO, EM ACO GALVANIZADO ELETROLITICO, DIAMETRO DE 100 MM (4")</v>
      </c>
    </row>
    <row r="1559" spans="1:10" x14ac:dyDescent="0.25">
      <c r="A1559" s="169">
        <v>2622</v>
      </c>
      <c r="B1559" s="169" t="s">
        <v>24972</v>
      </c>
      <c r="C1559" s="169" t="s">
        <v>10225</v>
      </c>
      <c r="D1559" s="169" t="s">
        <v>1289</v>
      </c>
      <c r="E1559" s="103" t="s">
        <v>11613</v>
      </c>
      <c r="F1559" s="104"/>
      <c r="G1559" s="105">
        <f t="shared" si="96"/>
        <v>5.48</v>
      </c>
      <c r="H1559" s="101" t="str">
        <f t="shared" si="97"/>
        <v>Sinapi 2622</v>
      </c>
      <c r="I1559" s="101" t="str">
        <f t="shared" si="98"/>
        <v>UN</v>
      </c>
      <c r="J1559" s="140" t="str">
        <f t="shared" si="99"/>
        <v>CURVA 135 GRAUS, PARA ELETRODUTO, EM ACO GALVANIZADO ELETROLITICO, DIAMETRO DE 15 MM (1/2")</v>
      </c>
    </row>
    <row r="1560" spans="1:10" x14ac:dyDescent="0.25">
      <c r="A1560" s="169">
        <v>2623</v>
      </c>
      <c r="B1560" s="169" t="s">
        <v>24973</v>
      </c>
      <c r="C1560" s="169" t="s">
        <v>10225</v>
      </c>
      <c r="D1560" s="169" t="s">
        <v>1289</v>
      </c>
      <c r="E1560" s="103" t="s">
        <v>30207</v>
      </c>
      <c r="F1560" s="104"/>
      <c r="G1560" s="105">
        <f t="shared" si="96"/>
        <v>6.59</v>
      </c>
      <c r="H1560" s="101" t="str">
        <f t="shared" si="97"/>
        <v>Sinapi 2623</v>
      </c>
      <c r="I1560" s="101" t="str">
        <f t="shared" si="98"/>
        <v>UN</v>
      </c>
      <c r="J1560" s="140" t="str">
        <f t="shared" si="99"/>
        <v>CURVA 135 GRAUS, PARA ELETRODUTO, EM ACO GALVANIZADO ELETROLITICO, DIAMETRO DE 20 MM (3/4")</v>
      </c>
    </row>
    <row r="1561" spans="1:10" x14ac:dyDescent="0.25">
      <c r="A1561" s="169">
        <v>2624</v>
      </c>
      <c r="B1561" s="169" t="s">
        <v>24974</v>
      </c>
      <c r="C1561" s="169" t="s">
        <v>10225</v>
      </c>
      <c r="D1561" s="169" t="s">
        <v>1289</v>
      </c>
      <c r="E1561" s="103" t="s">
        <v>22897</v>
      </c>
      <c r="F1561" s="104"/>
      <c r="G1561" s="105">
        <f t="shared" si="96"/>
        <v>10.49</v>
      </c>
      <c r="H1561" s="101" t="str">
        <f t="shared" si="97"/>
        <v>Sinapi 2624</v>
      </c>
      <c r="I1561" s="101" t="str">
        <f t="shared" si="98"/>
        <v>UN</v>
      </c>
      <c r="J1561" s="140" t="str">
        <f t="shared" si="99"/>
        <v>CURVA 135 GRAUS, PARA ELETRODUTO, EM ACO GALVANIZADO ELETROLITICO, DIAMETRO DE 25 MM (1")</v>
      </c>
    </row>
    <row r="1562" spans="1:10" x14ac:dyDescent="0.25">
      <c r="A1562" s="169">
        <v>2625</v>
      </c>
      <c r="B1562" s="169" t="s">
        <v>24975</v>
      </c>
      <c r="C1562" s="169" t="s">
        <v>10225</v>
      </c>
      <c r="D1562" s="169" t="s">
        <v>1289</v>
      </c>
      <c r="E1562" s="103" t="s">
        <v>19262</v>
      </c>
      <c r="F1562" s="104"/>
      <c r="G1562" s="105">
        <f t="shared" si="96"/>
        <v>22.14</v>
      </c>
      <c r="H1562" s="101" t="str">
        <f t="shared" si="97"/>
        <v>Sinapi 2625</v>
      </c>
      <c r="I1562" s="101" t="str">
        <f t="shared" si="98"/>
        <v>UN</v>
      </c>
      <c r="J1562" s="140" t="str">
        <f t="shared" si="99"/>
        <v>CURVA 135 GRAUS, PARA ELETRODUTO, EM ACO GALVANIZADO ELETROLITICO, DIAMETRO DE 32 MM (1 1/4")</v>
      </c>
    </row>
    <row r="1563" spans="1:10" x14ac:dyDescent="0.25">
      <c r="A1563" s="169">
        <v>2626</v>
      </c>
      <c r="B1563" s="169" t="s">
        <v>24976</v>
      </c>
      <c r="C1563" s="169" t="s">
        <v>10225</v>
      </c>
      <c r="D1563" s="169" t="s">
        <v>1289</v>
      </c>
      <c r="E1563" s="103" t="s">
        <v>29749</v>
      </c>
      <c r="F1563" s="104"/>
      <c r="G1563" s="105">
        <f t="shared" si="96"/>
        <v>32.44</v>
      </c>
      <c r="H1563" s="101" t="str">
        <f t="shared" si="97"/>
        <v>Sinapi 2626</v>
      </c>
      <c r="I1563" s="101" t="str">
        <f t="shared" si="98"/>
        <v>UN</v>
      </c>
      <c r="J1563" s="140" t="str">
        <f t="shared" si="99"/>
        <v>CURVA 135 GRAUS, PARA ELETRODUTO, EM ACO GALVANIZADO ELETROLITICO, DIAMETRO DE 40 MM (1 1/2")</v>
      </c>
    </row>
    <row r="1564" spans="1:10" x14ac:dyDescent="0.25">
      <c r="A1564" s="169">
        <v>2630</v>
      </c>
      <c r="B1564" s="169" t="s">
        <v>24977</v>
      </c>
      <c r="C1564" s="169" t="s">
        <v>10225</v>
      </c>
      <c r="D1564" s="169" t="s">
        <v>1289</v>
      </c>
      <c r="E1564" s="103" t="s">
        <v>21357</v>
      </c>
      <c r="F1564" s="104"/>
      <c r="G1564" s="105">
        <f t="shared" si="96"/>
        <v>49.34</v>
      </c>
      <c r="H1564" s="101" t="str">
        <f t="shared" si="97"/>
        <v>Sinapi 2630</v>
      </c>
      <c r="I1564" s="101" t="str">
        <f t="shared" si="98"/>
        <v>UN</v>
      </c>
      <c r="J1564" s="140" t="str">
        <f t="shared" si="99"/>
        <v>CURVA 135 GRAUS, PARA ELETRODUTO, EM ACO GALVANIZADO ELETROLITICO, DIAMETRO DE 50 MM (2")</v>
      </c>
    </row>
    <row r="1565" spans="1:10" x14ac:dyDescent="0.25">
      <c r="A1565" s="169">
        <v>2627</v>
      </c>
      <c r="B1565" s="169" t="s">
        <v>24978</v>
      </c>
      <c r="C1565" s="169" t="s">
        <v>10225</v>
      </c>
      <c r="D1565" s="169" t="s">
        <v>1289</v>
      </c>
      <c r="E1565" s="103" t="s">
        <v>21352</v>
      </c>
      <c r="F1565" s="104"/>
      <c r="G1565" s="105">
        <f t="shared" si="96"/>
        <v>86.91</v>
      </c>
      <c r="H1565" s="101" t="str">
        <f t="shared" si="97"/>
        <v>Sinapi 2627</v>
      </c>
      <c r="I1565" s="101" t="str">
        <f t="shared" si="98"/>
        <v>UN</v>
      </c>
      <c r="J1565" s="140" t="str">
        <f t="shared" si="99"/>
        <v>CURVA 135 GRAUS, PARA ELETRODUTO, EM ACO GALVANIZADO ELETROLITICO, DIAMETRO DE 65 MM (2 1/2")</v>
      </c>
    </row>
    <row r="1566" spans="1:10" x14ac:dyDescent="0.25">
      <c r="A1566" s="169">
        <v>2629</v>
      </c>
      <c r="B1566" s="169" t="s">
        <v>24979</v>
      </c>
      <c r="C1566" s="169" t="s">
        <v>10225</v>
      </c>
      <c r="D1566" s="169" t="s">
        <v>1289</v>
      </c>
      <c r="E1566" s="103" t="s">
        <v>30208</v>
      </c>
      <c r="F1566" s="104"/>
      <c r="G1566" s="105">
        <f t="shared" si="96"/>
        <v>117.55</v>
      </c>
      <c r="H1566" s="101" t="str">
        <f t="shared" si="97"/>
        <v>Sinapi 2629</v>
      </c>
      <c r="I1566" s="101" t="str">
        <f t="shared" si="98"/>
        <v>UN</v>
      </c>
      <c r="J1566" s="140" t="str">
        <f t="shared" si="99"/>
        <v>CURVA 135 GRAUS, PARA ELETRODUTO, EM ACO GALVANIZADO ELETROLITICO, DIAMETRO DE 80 MM (3")</v>
      </c>
    </row>
    <row r="1567" spans="1:10" x14ac:dyDescent="0.25">
      <c r="A1567" s="169">
        <v>12033</v>
      </c>
      <c r="B1567" s="169" t="s">
        <v>24980</v>
      </c>
      <c r="C1567" s="169" t="s">
        <v>10225</v>
      </c>
      <c r="D1567" s="169" t="s">
        <v>1289</v>
      </c>
      <c r="E1567" s="103" t="s">
        <v>30209</v>
      </c>
      <c r="F1567" s="104"/>
      <c r="G1567" s="105">
        <f t="shared" si="96"/>
        <v>9.01</v>
      </c>
      <c r="H1567" s="101" t="str">
        <f t="shared" si="97"/>
        <v>Sinapi 12033</v>
      </c>
      <c r="I1567" s="101" t="str">
        <f t="shared" si="98"/>
        <v>UN</v>
      </c>
      <c r="J1567" s="140" t="str">
        <f t="shared" si="99"/>
        <v>CURVA 180 GRAUS, DE PVC RIGIDO ROSCAVEL, DE 1 1/2", PARA ELETRODUTO</v>
      </c>
    </row>
    <row r="1568" spans="1:10" x14ac:dyDescent="0.25">
      <c r="A1568" s="169">
        <v>40408</v>
      </c>
      <c r="B1568" s="169" t="s">
        <v>24981</v>
      </c>
      <c r="C1568" s="169" t="s">
        <v>10225</v>
      </c>
      <c r="D1568" s="169" t="s">
        <v>1289</v>
      </c>
      <c r="E1568" s="103" t="s">
        <v>2092</v>
      </c>
      <c r="F1568" s="104"/>
      <c r="G1568" s="105">
        <f t="shared" si="96"/>
        <v>5.92</v>
      </c>
      <c r="H1568" s="101" t="str">
        <f t="shared" si="97"/>
        <v>Sinapi 40408</v>
      </c>
      <c r="I1568" s="101" t="str">
        <f t="shared" si="98"/>
        <v>UN</v>
      </c>
      <c r="J1568" s="140" t="str">
        <f t="shared" si="99"/>
        <v>CURVA 180 GRAUS, DE PVC RIGIDO ROSCAVEL, DE 1 1/4", PARA ELETRODUTO</v>
      </c>
    </row>
    <row r="1569" spans="1:10" x14ac:dyDescent="0.25">
      <c r="A1569" s="169">
        <v>40409</v>
      </c>
      <c r="B1569" s="169" t="s">
        <v>24982</v>
      </c>
      <c r="C1569" s="169" t="s">
        <v>10225</v>
      </c>
      <c r="D1569" s="169" t="s">
        <v>1289</v>
      </c>
      <c r="E1569" s="103" t="s">
        <v>18561</v>
      </c>
      <c r="F1569" s="104"/>
      <c r="G1569" s="105">
        <f t="shared" si="96"/>
        <v>2.09</v>
      </c>
      <c r="H1569" s="101" t="str">
        <f t="shared" si="97"/>
        <v>Sinapi 40409</v>
      </c>
      <c r="I1569" s="101" t="str">
        <f t="shared" si="98"/>
        <v>UN</v>
      </c>
      <c r="J1569" s="140" t="str">
        <f t="shared" si="99"/>
        <v>CURVA 180 GRAUS, DE PVC RIGIDO ROSCAVEL, DE 1/2", PARA ELETRODUTO</v>
      </c>
    </row>
    <row r="1570" spans="1:10" x14ac:dyDescent="0.25">
      <c r="A1570" s="169">
        <v>39276</v>
      </c>
      <c r="B1570" s="169" t="s">
        <v>24983</v>
      </c>
      <c r="C1570" s="169" t="s">
        <v>10225</v>
      </c>
      <c r="D1570" s="169" t="s">
        <v>1289</v>
      </c>
      <c r="E1570" s="103" t="s">
        <v>18623</v>
      </c>
      <c r="F1570" s="104"/>
      <c r="G1570" s="105">
        <f t="shared" si="96"/>
        <v>5.34</v>
      </c>
      <c r="H1570" s="101" t="str">
        <f t="shared" si="97"/>
        <v>Sinapi 39276</v>
      </c>
      <c r="I1570" s="101" t="str">
        <f t="shared" si="98"/>
        <v>UN</v>
      </c>
      <c r="J1570" s="140" t="str">
        <f t="shared" si="99"/>
        <v>CURVA 180 GRAUS, DE PVC RIGIDO ROSCAVEL, DE 1", PARA ELETRODUTO</v>
      </c>
    </row>
    <row r="1571" spans="1:10" x14ac:dyDescent="0.25">
      <c r="A1571" s="169">
        <v>39277</v>
      </c>
      <c r="B1571" s="169" t="s">
        <v>24984</v>
      </c>
      <c r="C1571" s="169" t="s">
        <v>10225</v>
      </c>
      <c r="D1571" s="169" t="s">
        <v>1289</v>
      </c>
      <c r="E1571" s="103" t="s">
        <v>15531</v>
      </c>
      <c r="F1571" s="104"/>
      <c r="G1571" s="105">
        <f t="shared" si="96"/>
        <v>14.41</v>
      </c>
      <c r="H1571" s="101" t="str">
        <f t="shared" si="97"/>
        <v>Sinapi 39277</v>
      </c>
      <c r="I1571" s="101" t="str">
        <f t="shared" si="98"/>
        <v>UN</v>
      </c>
      <c r="J1571" s="140" t="str">
        <f t="shared" si="99"/>
        <v>CURVA 180 GRAUS, DE PVC RIGIDO ROSCAVEL, DE 2", PARA ELETRODUTO</v>
      </c>
    </row>
    <row r="1572" spans="1:10" x14ac:dyDescent="0.25">
      <c r="A1572" s="169">
        <v>12034</v>
      </c>
      <c r="B1572" s="169" t="s">
        <v>24985</v>
      </c>
      <c r="C1572" s="169" t="s">
        <v>10225</v>
      </c>
      <c r="D1572" s="169" t="s">
        <v>1289</v>
      </c>
      <c r="E1572" s="103" t="s">
        <v>15513</v>
      </c>
      <c r="F1572" s="104"/>
      <c r="G1572" s="105">
        <f t="shared" si="96"/>
        <v>4.08</v>
      </c>
      <c r="H1572" s="101" t="str">
        <f t="shared" si="97"/>
        <v>Sinapi 12034</v>
      </c>
      <c r="I1572" s="101" t="str">
        <f t="shared" si="98"/>
        <v>UN</v>
      </c>
      <c r="J1572" s="140" t="str">
        <f t="shared" si="99"/>
        <v>CURVA 180 GRAUS, DE PVC RIGIDO ROSCAVEL, DE 3/4", PARA ELETRODUTO</v>
      </c>
    </row>
    <row r="1573" spans="1:10" x14ac:dyDescent="0.25">
      <c r="A1573" s="169">
        <v>39879</v>
      </c>
      <c r="B1573" s="169" t="s">
        <v>24986</v>
      </c>
      <c r="C1573" s="169" t="s">
        <v>10225</v>
      </c>
      <c r="D1573" s="169" t="s">
        <v>1290</v>
      </c>
      <c r="E1573" s="103" t="s">
        <v>26758</v>
      </c>
      <c r="F1573" s="104"/>
      <c r="G1573" s="105">
        <f t="shared" si="96"/>
        <v>4.72</v>
      </c>
      <c r="H1573" s="101" t="str">
        <f t="shared" si="97"/>
        <v>Sinapi 39879</v>
      </c>
      <c r="I1573" s="101" t="str">
        <f t="shared" si="98"/>
        <v>UN</v>
      </c>
      <c r="J1573" s="140" t="str">
        <f t="shared" si="99"/>
        <v>CURVA 45 GRAUS DE COBRE (REF 606) SEM ANEL DE SOLDA, BOLSA X BOLSA, 15 MM</v>
      </c>
    </row>
    <row r="1574" spans="1:10" x14ac:dyDescent="0.25">
      <c r="A1574" s="169">
        <v>39880</v>
      </c>
      <c r="B1574" s="169" t="s">
        <v>24987</v>
      </c>
      <c r="C1574" s="169" t="s">
        <v>10225</v>
      </c>
      <c r="D1574" s="169" t="s">
        <v>1290</v>
      </c>
      <c r="E1574" s="103" t="s">
        <v>14933</v>
      </c>
      <c r="F1574" s="104"/>
      <c r="G1574" s="105">
        <f t="shared" si="96"/>
        <v>10.46</v>
      </c>
      <c r="H1574" s="101" t="str">
        <f t="shared" si="97"/>
        <v>Sinapi 39880</v>
      </c>
      <c r="I1574" s="101" t="str">
        <f t="shared" si="98"/>
        <v>UN</v>
      </c>
      <c r="J1574" s="140" t="str">
        <f t="shared" si="99"/>
        <v>CURVA 45 GRAUS DE COBRE (REF 606) SEM ANEL DE SOLDA, BOLSA X BOLSA, 22 MM</v>
      </c>
    </row>
    <row r="1575" spans="1:10" x14ac:dyDescent="0.25">
      <c r="A1575" s="169">
        <v>39881</v>
      </c>
      <c r="B1575" s="169" t="s">
        <v>24989</v>
      </c>
      <c r="C1575" s="169" t="s">
        <v>10225</v>
      </c>
      <c r="D1575" s="169" t="s">
        <v>1290</v>
      </c>
      <c r="E1575" s="103" t="s">
        <v>18569</v>
      </c>
      <c r="F1575" s="104"/>
      <c r="G1575" s="105">
        <f t="shared" si="96"/>
        <v>16.8</v>
      </c>
      <c r="H1575" s="101" t="str">
        <f t="shared" si="97"/>
        <v>Sinapi 39881</v>
      </c>
      <c r="I1575" s="101" t="str">
        <f t="shared" si="98"/>
        <v>UN</v>
      </c>
      <c r="J1575" s="140" t="str">
        <f t="shared" si="99"/>
        <v>CURVA 45 GRAUS DE COBRE (REF 606) SEM ANEL DE SOLDA, BOLSA X BOLSA, 28 MM</v>
      </c>
    </row>
    <row r="1576" spans="1:10" x14ac:dyDescent="0.25">
      <c r="A1576" s="169">
        <v>39882</v>
      </c>
      <c r="B1576" s="169" t="s">
        <v>24990</v>
      </c>
      <c r="C1576" s="169" t="s">
        <v>10225</v>
      </c>
      <c r="D1576" s="169" t="s">
        <v>1290</v>
      </c>
      <c r="E1576" s="103" t="s">
        <v>30210</v>
      </c>
      <c r="F1576" s="104"/>
      <c r="G1576" s="105">
        <f t="shared" si="96"/>
        <v>44.25</v>
      </c>
      <c r="H1576" s="101" t="str">
        <f t="shared" si="97"/>
        <v>Sinapi 39882</v>
      </c>
      <c r="I1576" s="101" t="str">
        <f t="shared" si="98"/>
        <v>UN</v>
      </c>
      <c r="J1576" s="140" t="str">
        <f t="shared" si="99"/>
        <v>CURVA 45 GRAUS DE COBRE (REF 606) SEM ANEL DE SOLDA, BOLSA X BOLSA, 35 MM</v>
      </c>
    </row>
    <row r="1577" spans="1:10" x14ac:dyDescent="0.25">
      <c r="A1577" s="169">
        <v>39883</v>
      </c>
      <c r="B1577" s="169" t="s">
        <v>24991</v>
      </c>
      <c r="C1577" s="169" t="s">
        <v>10225</v>
      </c>
      <c r="D1577" s="169" t="s">
        <v>1290</v>
      </c>
      <c r="E1577" s="103" t="s">
        <v>20999</v>
      </c>
      <c r="F1577" s="104"/>
      <c r="G1577" s="105">
        <f t="shared" si="96"/>
        <v>70.66</v>
      </c>
      <c r="H1577" s="101" t="str">
        <f t="shared" si="97"/>
        <v>Sinapi 39883</v>
      </c>
      <c r="I1577" s="101" t="str">
        <f t="shared" si="98"/>
        <v>UN</v>
      </c>
      <c r="J1577" s="140" t="str">
        <f t="shared" si="99"/>
        <v>CURVA 45 GRAUS DE COBRE (REF 606) SEM ANEL DE SOLDA, BOLSA X BOLSA, 42 MM</v>
      </c>
    </row>
    <row r="1578" spans="1:10" x14ac:dyDescent="0.25">
      <c r="A1578" s="169">
        <v>39884</v>
      </c>
      <c r="B1578" s="169" t="s">
        <v>24992</v>
      </c>
      <c r="C1578" s="169" t="s">
        <v>10225</v>
      </c>
      <c r="D1578" s="169" t="s">
        <v>1290</v>
      </c>
      <c r="E1578" s="103" t="s">
        <v>22938</v>
      </c>
      <c r="F1578" s="104"/>
      <c r="G1578" s="105">
        <f t="shared" si="96"/>
        <v>104.95</v>
      </c>
      <c r="H1578" s="101" t="str">
        <f t="shared" si="97"/>
        <v>Sinapi 39884</v>
      </c>
      <c r="I1578" s="101" t="str">
        <f t="shared" si="98"/>
        <v>UN</v>
      </c>
      <c r="J1578" s="140" t="str">
        <f t="shared" si="99"/>
        <v>CURVA 45 GRAUS DE COBRE (REF 606) SEM ANEL DE SOLDA, BOLSA X BOLSA, 54 MM</v>
      </c>
    </row>
    <row r="1579" spans="1:10" x14ac:dyDescent="0.25">
      <c r="A1579" s="169">
        <v>39885</v>
      </c>
      <c r="B1579" s="169" t="s">
        <v>24993</v>
      </c>
      <c r="C1579" s="169" t="s">
        <v>10225</v>
      </c>
      <c r="D1579" s="169" t="s">
        <v>1290</v>
      </c>
      <c r="E1579" s="103" t="s">
        <v>30211</v>
      </c>
      <c r="F1579" s="104"/>
      <c r="G1579" s="105">
        <f t="shared" si="96"/>
        <v>249.43</v>
      </c>
      <c r="H1579" s="101" t="str">
        <f t="shared" si="97"/>
        <v>Sinapi 39885</v>
      </c>
      <c r="I1579" s="101" t="str">
        <f t="shared" si="98"/>
        <v>UN</v>
      </c>
      <c r="J1579" s="140" t="str">
        <f t="shared" si="99"/>
        <v>CURVA 45 GRAUS DE COBRE (REF 606) SEM ANEL DE SOLDA, BOLSA X BOLSA, 66 MM</v>
      </c>
    </row>
    <row r="1580" spans="1:10" x14ac:dyDescent="0.25">
      <c r="A1580" s="169">
        <v>1777</v>
      </c>
      <c r="B1580" s="169" t="s">
        <v>24994</v>
      </c>
      <c r="C1580" s="169" t="s">
        <v>10225</v>
      </c>
      <c r="D1580" s="169" t="s">
        <v>1289</v>
      </c>
      <c r="E1580" s="103" t="s">
        <v>29284</v>
      </c>
      <c r="F1580" s="104"/>
      <c r="G1580" s="105">
        <f t="shared" si="96"/>
        <v>82.23</v>
      </c>
      <c r="H1580" s="101" t="str">
        <f t="shared" si="97"/>
        <v>Sinapi 1777</v>
      </c>
      <c r="I1580" s="101" t="str">
        <f t="shared" si="98"/>
        <v>UN</v>
      </c>
      <c r="J1580" s="140" t="str">
        <f t="shared" si="99"/>
        <v>CURVA 45 GRAUS DE FERRO GALVANIZADO, COM ROSCA BSP FEMEA, DE 1 1/2"</v>
      </c>
    </row>
    <row r="1581" spans="1:10" x14ac:dyDescent="0.25">
      <c r="A1581" s="169">
        <v>1819</v>
      </c>
      <c r="B1581" s="169" t="s">
        <v>24995</v>
      </c>
      <c r="C1581" s="169" t="s">
        <v>10225</v>
      </c>
      <c r="D1581" s="169" t="s">
        <v>1289</v>
      </c>
      <c r="E1581" s="103" t="s">
        <v>30212</v>
      </c>
      <c r="F1581" s="104"/>
      <c r="G1581" s="105">
        <f t="shared" si="96"/>
        <v>59.82</v>
      </c>
      <c r="H1581" s="101" t="str">
        <f t="shared" si="97"/>
        <v>Sinapi 1819</v>
      </c>
      <c r="I1581" s="101" t="str">
        <f t="shared" si="98"/>
        <v>UN</v>
      </c>
      <c r="J1581" s="140" t="str">
        <f t="shared" si="99"/>
        <v>CURVA 45 GRAUS DE FERRO GALVANIZADO, COM ROSCA BSP FEMEA, DE 1 1/4"</v>
      </c>
    </row>
    <row r="1582" spans="1:10" x14ac:dyDescent="0.25">
      <c r="A1582" s="169">
        <v>1775</v>
      </c>
      <c r="B1582" s="169" t="s">
        <v>24996</v>
      </c>
      <c r="C1582" s="169" t="s">
        <v>10225</v>
      </c>
      <c r="D1582" s="169" t="s">
        <v>1289</v>
      </c>
      <c r="E1582" s="103" t="s">
        <v>30213</v>
      </c>
      <c r="F1582" s="104"/>
      <c r="G1582" s="105">
        <f t="shared" si="96"/>
        <v>17.89</v>
      </c>
      <c r="H1582" s="101" t="str">
        <f t="shared" si="97"/>
        <v>Sinapi 1775</v>
      </c>
      <c r="I1582" s="101" t="str">
        <f t="shared" si="98"/>
        <v>UN</v>
      </c>
      <c r="J1582" s="140" t="str">
        <f t="shared" si="99"/>
        <v>CURVA 45 GRAUS DE FERRO GALVANIZADO, COM ROSCA BSP FEMEA, DE 1/2"</v>
      </c>
    </row>
    <row r="1583" spans="1:10" x14ac:dyDescent="0.25">
      <c r="A1583" s="169">
        <v>1776</v>
      </c>
      <c r="B1583" s="169" t="s">
        <v>24997</v>
      </c>
      <c r="C1583" s="169" t="s">
        <v>10225</v>
      </c>
      <c r="D1583" s="169" t="s">
        <v>1289</v>
      </c>
      <c r="E1583" s="103" t="s">
        <v>23333</v>
      </c>
      <c r="F1583" s="104"/>
      <c r="G1583" s="105">
        <f t="shared" si="96"/>
        <v>48.67</v>
      </c>
      <c r="H1583" s="101" t="str">
        <f t="shared" si="97"/>
        <v>Sinapi 1776</v>
      </c>
      <c r="I1583" s="101" t="str">
        <f t="shared" si="98"/>
        <v>UN</v>
      </c>
      <c r="J1583" s="140" t="str">
        <f t="shared" si="99"/>
        <v>CURVA 45 GRAUS DE FERRO GALVANIZADO, COM ROSCA BSP FEMEA, DE 1"</v>
      </c>
    </row>
    <row r="1584" spans="1:10" x14ac:dyDescent="0.25">
      <c r="A1584" s="169">
        <v>1778</v>
      </c>
      <c r="B1584" s="169" t="s">
        <v>24998</v>
      </c>
      <c r="C1584" s="169" t="s">
        <v>10225</v>
      </c>
      <c r="D1584" s="169" t="s">
        <v>1289</v>
      </c>
      <c r="E1584" s="103" t="s">
        <v>30214</v>
      </c>
      <c r="F1584" s="104"/>
      <c r="G1584" s="105">
        <f t="shared" si="96"/>
        <v>199.03</v>
      </c>
      <c r="H1584" s="101" t="str">
        <f t="shared" si="97"/>
        <v>Sinapi 1778</v>
      </c>
      <c r="I1584" s="101" t="str">
        <f t="shared" si="98"/>
        <v>UN</v>
      </c>
      <c r="J1584" s="140" t="str">
        <f t="shared" si="99"/>
        <v>CURVA 45 GRAUS DE FERRO GALVANIZADO, COM ROSCA BSP FEMEA, DE 2 1/2"</v>
      </c>
    </row>
    <row r="1585" spans="1:10" x14ac:dyDescent="0.25">
      <c r="A1585" s="169">
        <v>1818</v>
      </c>
      <c r="B1585" s="169" t="s">
        <v>24999</v>
      </c>
      <c r="C1585" s="169" t="s">
        <v>10225</v>
      </c>
      <c r="D1585" s="169" t="s">
        <v>1289</v>
      </c>
      <c r="E1585" s="103" t="s">
        <v>28586</v>
      </c>
      <c r="F1585" s="104"/>
      <c r="G1585" s="105">
        <f t="shared" si="96"/>
        <v>132.12</v>
      </c>
      <c r="H1585" s="101" t="str">
        <f t="shared" si="97"/>
        <v>Sinapi 1818</v>
      </c>
      <c r="I1585" s="101" t="str">
        <f t="shared" si="98"/>
        <v>UN</v>
      </c>
      <c r="J1585" s="140" t="str">
        <f t="shared" si="99"/>
        <v>CURVA 45 GRAUS DE FERRO GALVANIZADO, COM ROSCA BSP FEMEA, DE 2"</v>
      </c>
    </row>
    <row r="1586" spans="1:10" x14ac:dyDescent="0.25">
      <c r="A1586" s="169">
        <v>1820</v>
      </c>
      <c r="B1586" s="169" t="s">
        <v>25000</v>
      </c>
      <c r="C1586" s="169" t="s">
        <v>10225</v>
      </c>
      <c r="D1586" s="169" t="s">
        <v>1289</v>
      </c>
      <c r="E1586" s="103" t="s">
        <v>15692</v>
      </c>
      <c r="F1586" s="104"/>
      <c r="G1586" s="105">
        <f t="shared" si="96"/>
        <v>25.83</v>
      </c>
      <c r="H1586" s="101" t="str">
        <f t="shared" si="97"/>
        <v>Sinapi 1820</v>
      </c>
      <c r="I1586" s="101" t="str">
        <f t="shared" si="98"/>
        <v>UN</v>
      </c>
      <c r="J1586" s="140" t="str">
        <f t="shared" si="99"/>
        <v>CURVA 45 GRAUS DE FERRO GALVANIZADO, COM ROSCA BSP FEMEA, DE 3/4"</v>
      </c>
    </row>
    <row r="1587" spans="1:10" x14ac:dyDescent="0.25">
      <c r="A1587" s="169">
        <v>1779</v>
      </c>
      <c r="B1587" s="169" t="s">
        <v>25001</v>
      </c>
      <c r="C1587" s="169" t="s">
        <v>10225</v>
      </c>
      <c r="D1587" s="169" t="s">
        <v>1289</v>
      </c>
      <c r="E1587" s="103" t="s">
        <v>30215</v>
      </c>
      <c r="F1587" s="104"/>
      <c r="G1587" s="105">
        <f t="shared" si="96"/>
        <v>289.45999999999998</v>
      </c>
      <c r="H1587" s="101" t="str">
        <f t="shared" si="97"/>
        <v>Sinapi 1779</v>
      </c>
      <c r="I1587" s="101" t="str">
        <f t="shared" si="98"/>
        <v>UN</v>
      </c>
      <c r="J1587" s="140" t="str">
        <f t="shared" si="99"/>
        <v>CURVA 45 GRAUS DE FERRO GALVANIZADO, COM ROSCA BSP FEMEA, DE 3"</v>
      </c>
    </row>
    <row r="1588" spans="1:10" x14ac:dyDescent="0.25">
      <c r="A1588" s="169">
        <v>1780</v>
      </c>
      <c r="B1588" s="169" t="s">
        <v>25002</v>
      </c>
      <c r="C1588" s="169" t="s">
        <v>10225</v>
      </c>
      <c r="D1588" s="169" t="s">
        <v>1289</v>
      </c>
      <c r="E1588" s="103" t="s">
        <v>30216</v>
      </c>
      <c r="F1588" s="104"/>
      <c r="G1588" s="105">
        <f t="shared" si="96"/>
        <v>596.74</v>
      </c>
      <c r="H1588" s="101" t="str">
        <f t="shared" si="97"/>
        <v>Sinapi 1780</v>
      </c>
      <c r="I1588" s="101" t="str">
        <f t="shared" si="98"/>
        <v>UN</v>
      </c>
      <c r="J1588" s="140" t="str">
        <f t="shared" si="99"/>
        <v>CURVA 45 GRAUS DE FERRO GALVANIZADO, COM ROSCA BSP FEMEA, DE 4"</v>
      </c>
    </row>
    <row r="1589" spans="1:10" x14ac:dyDescent="0.25">
      <c r="A1589" s="169">
        <v>1783</v>
      </c>
      <c r="B1589" s="169" t="s">
        <v>25003</v>
      </c>
      <c r="C1589" s="169" t="s">
        <v>10225</v>
      </c>
      <c r="D1589" s="169" t="s">
        <v>1289</v>
      </c>
      <c r="E1589" s="103" t="s">
        <v>19925</v>
      </c>
      <c r="F1589" s="104"/>
      <c r="G1589" s="105">
        <f t="shared" si="96"/>
        <v>63.09</v>
      </c>
      <c r="H1589" s="101" t="str">
        <f t="shared" si="97"/>
        <v>Sinapi 1783</v>
      </c>
      <c r="I1589" s="101" t="str">
        <f t="shared" si="98"/>
        <v>UN</v>
      </c>
      <c r="J1589" s="140" t="str">
        <f t="shared" si="99"/>
        <v>CURVA 45 GRAUS DE FERRO GALVANIZADO, COM ROSCA BSP MACHO/FEMEA, DE 1 1/2"</v>
      </c>
    </row>
    <row r="1590" spans="1:10" x14ac:dyDescent="0.25">
      <c r="A1590" s="169">
        <v>1782</v>
      </c>
      <c r="B1590" s="169" t="s">
        <v>25004</v>
      </c>
      <c r="C1590" s="169" t="s">
        <v>10225</v>
      </c>
      <c r="D1590" s="169" t="s">
        <v>1289</v>
      </c>
      <c r="E1590" s="103" t="s">
        <v>23981</v>
      </c>
      <c r="F1590" s="104"/>
      <c r="G1590" s="105">
        <f t="shared" si="96"/>
        <v>49.89</v>
      </c>
      <c r="H1590" s="101" t="str">
        <f t="shared" si="97"/>
        <v>Sinapi 1782</v>
      </c>
      <c r="I1590" s="101" t="str">
        <f t="shared" si="98"/>
        <v>UN</v>
      </c>
      <c r="J1590" s="140" t="str">
        <f t="shared" si="99"/>
        <v>CURVA 45 GRAUS DE FERRO GALVANIZADO, COM ROSCA BSP MACHO/FEMEA, DE 1 1/4"</v>
      </c>
    </row>
    <row r="1591" spans="1:10" x14ac:dyDescent="0.25">
      <c r="A1591" s="169">
        <v>1817</v>
      </c>
      <c r="B1591" s="169" t="s">
        <v>25005</v>
      </c>
      <c r="C1591" s="169" t="s">
        <v>10225</v>
      </c>
      <c r="D1591" s="169" t="s">
        <v>1289</v>
      </c>
      <c r="E1591" s="103" t="s">
        <v>28654</v>
      </c>
      <c r="F1591" s="104"/>
      <c r="G1591" s="105">
        <f t="shared" si="96"/>
        <v>14.86</v>
      </c>
      <c r="H1591" s="101" t="str">
        <f t="shared" si="97"/>
        <v>Sinapi 1817</v>
      </c>
      <c r="I1591" s="101" t="str">
        <f t="shared" si="98"/>
        <v>UN</v>
      </c>
      <c r="J1591" s="140" t="str">
        <f t="shared" si="99"/>
        <v>CURVA 45 GRAUS DE FERRO GALVANIZADO, COM ROSCA BSP MACHO/FEMEA, DE 1/2"</v>
      </c>
    </row>
    <row r="1592" spans="1:10" x14ac:dyDescent="0.25">
      <c r="A1592" s="169">
        <v>1781</v>
      </c>
      <c r="B1592" s="169" t="s">
        <v>25006</v>
      </c>
      <c r="C1592" s="169" t="s">
        <v>10225</v>
      </c>
      <c r="D1592" s="169" t="s">
        <v>1289</v>
      </c>
      <c r="E1592" s="103" t="s">
        <v>22959</v>
      </c>
      <c r="F1592" s="104"/>
      <c r="G1592" s="105">
        <f t="shared" si="96"/>
        <v>32.5</v>
      </c>
      <c r="H1592" s="101" t="str">
        <f t="shared" si="97"/>
        <v>Sinapi 1781</v>
      </c>
      <c r="I1592" s="101" t="str">
        <f t="shared" si="98"/>
        <v>UN</v>
      </c>
      <c r="J1592" s="140" t="str">
        <f t="shared" si="99"/>
        <v>CURVA 45 GRAUS DE FERRO GALVANIZADO, COM ROSCA BSP MACHO/FEMEA, DE 1"</v>
      </c>
    </row>
    <row r="1593" spans="1:10" x14ac:dyDescent="0.25">
      <c r="A1593" s="169">
        <v>1784</v>
      </c>
      <c r="B1593" s="169" t="s">
        <v>25007</v>
      </c>
      <c r="C1593" s="169" t="s">
        <v>10225</v>
      </c>
      <c r="D1593" s="169" t="s">
        <v>1289</v>
      </c>
      <c r="E1593" s="103" t="s">
        <v>30217</v>
      </c>
      <c r="F1593" s="104"/>
      <c r="G1593" s="105">
        <f t="shared" si="96"/>
        <v>178.16</v>
      </c>
      <c r="H1593" s="101" t="str">
        <f t="shared" si="97"/>
        <v>Sinapi 1784</v>
      </c>
      <c r="I1593" s="101" t="str">
        <f t="shared" si="98"/>
        <v>UN</v>
      </c>
      <c r="J1593" s="140" t="str">
        <f t="shared" si="99"/>
        <v>CURVA 45 GRAUS DE FERRO GALVANIZADO, COM ROSCA BSP MACHO/FEMEA, DE 2 1/2"</v>
      </c>
    </row>
    <row r="1594" spans="1:10" x14ac:dyDescent="0.25">
      <c r="A1594" s="169">
        <v>1810</v>
      </c>
      <c r="B1594" s="169" t="s">
        <v>25008</v>
      </c>
      <c r="C1594" s="169" t="s">
        <v>10225</v>
      </c>
      <c r="D1594" s="169" t="s">
        <v>1289</v>
      </c>
      <c r="E1594" s="103" t="s">
        <v>30218</v>
      </c>
      <c r="F1594" s="104"/>
      <c r="G1594" s="105">
        <f t="shared" si="96"/>
        <v>98.82</v>
      </c>
      <c r="H1594" s="101" t="str">
        <f t="shared" si="97"/>
        <v>Sinapi 1810</v>
      </c>
      <c r="I1594" s="101" t="str">
        <f t="shared" si="98"/>
        <v>UN</v>
      </c>
      <c r="J1594" s="140" t="str">
        <f t="shared" si="99"/>
        <v>CURVA 45 GRAUS DE FERRO GALVANIZADO, COM ROSCA BSP MACHO/FEMEA, DE 2"</v>
      </c>
    </row>
    <row r="1595" spans="1:10" x14ac:dyDescent="0.25">
      <c r="A1595" s="169">
        <v>1811</v>
      </c>
      <c r="B1595" s="169" t="s">
        <v>25009</v>
      </c>
      <c r="C1595" s="169" t="s">
        <v>10225</v>
      </c>
      <c r="D1595" s="169" t="s">
        <v>1289</v>
      </c>
      <c r="E1595" s="103" t="s">
        <v>21092</v>
      </c>
      <c r="F1595" s="104"/>
      <c r="G1595" s="105">
        <f t="shared" si="96"/>
        <v>21.38</v>
      </c>
      <c r="H1595" s="101" t="str">
        <f t="shared" si="97"/>
        <v>Sinapi 1811</v>
      </c>
      <c r="I1595" s="101" t="str">
        <f t="shared" si="98"/>
        <v>UN</v>
      </c>
      <c r="J1595" s="140" t="str">
        <f t="shared" si="99"/>
        <v>CURVA 45 GRAUS DE FERRO GALVANIZADO, COM ROSCA BSP MACHO/FEMEA, DE 3/4"</v>
      </c>
    </row>
    <row r="1596" spans="1:10" x14ac:dyDescent="0.25">
      <c r="A1596" s="169">
        <v>1812</v>
      </c>
      <c r="B1596" s="169" t="s">
        <v>25010</v>
      </c>
      <c r="C1596" s="169" t="s">
        <v>10225</v>
      </c>
      <c r="D1596" s="169" t="s">
        <v>1289</v>
      </c>
      <c r="E1596" s="103" t="s">
        <v>29342</v>
      </c>
      <c r="F1596" s="104"/>
      <c r="G1596" s="105">
        <f t="shared" si="96"/>
        <v>249.46</v>
      </c>
      <c r="H1596" s="101" t="str">
        <f t="shared" si="97"/>
        <v>Sinapi 1812</v>
      </c>
      <c r="I1596" s="101" t="str">
        <f t="shared" si="98"/>
        <v>UN</v>
      </c>
      <c r="J1596" s="140" t="str">
        <f t="shared" si="99"/>
        <v>CURVA 45 GRAUS DE FERRO GALVANIZADO, COM ROSCA BSP MACHO/FEMEA, DE 3"</v>
      </c>
    </row>
    <row r="1597" spans="1:10" x14ac:dyDescent="0.25">
      <c r="A1597" s="169">
        <v>40386</v>
      </c>
      <c r="B1597" s="169" t="s">
        <v>25011</v>
      </c>
      <c r="C1597" s="169" t="s">
        <v>10225</v>
      </c>
      <c r="D1597" s="169" t="s">
        <v>1290</v>
      </c>
      <c r="E1597" s="103" t="s">
        <v>30219</v>
      </c>
      <c r="F1597" s="104"/>
      <c r="G1597" s="105">
        <f t="shared" si="96"/>
        <v>89.73</v>
      </c>
      <c r="H1597" s="101" t="str">
        <f t="shared" si="97"/>
        <v>Sinapi 40386</v>
      </c>
      <c r="I1597" s="101" t="str">
        <f t="shared" si="98"/>
        <v>UN</v>
      </c>
      <c r="J1597" s="140" t="str">
        <f t="shared" si="99"/>
        <v>CURVA 45 GRAUS EM ACO CARBONO, SOLDAVEL, PRESSAO 3.000 LBS, DN 1 1/2"</v>
      </c>
    </row>
    <row r="1598" spans="1:10" x14ac:dyDescent="0.25">
      <c r="A1598" s="169">
        <v>40384</v>
      </c>
      <c r="B1598" s="169" t="s">
        <v>25012</v>
      </c>
      <c r="C1598" s="169" t="s">
        <v>10225</v>
      </c>
      <c r="D1598" s="169" t="s">
        <v>1290</v>
      </c>
      <c r="E1598" s="103" t="s">
        <v>28763</v>
      </c>
      <c r="F1598" s="104"/>
      <c r="G1598" s="105">
        <f t="shared" si="96"/>
        <v>61.43</v>
      </c>
      <c r="H1598" s="101" t="str">
        <f t="shared" si="97"/>
        <v>Sinapi 40384</v>
      </c>
      <c r="I1598" s="101" t="str">
        <f t="shared" si="98"/>
        <v>UN</v>
      </c>
      <c r="J1598" s="140" t="str">
        <f t="shared" si="99"/>
        <v>CURVA 45 GRAUS EM ACO CARBONO, SOLDAVEL, PRESSAO 3.000 LBS, DN 1 1/4"</v>
      </c>
    </row>
    <row r="1599" spans="1:10" x14ac:dyDescent="0.25">
      <c r="A1599" s="169">
        <v>40379</v>
      </c>
      <c r="B1599" s="169" t="s">
        <v>25013</v>
      </c>
      <c r="C1599" s="169" t="s">
        <v>10225</v>
      </c>
      <c r="D1599" s="169" t="s">
        <v>1290</v>
      </c>
      <c r="E1599" s="103" t="s">
        <v>20037</v>
      </c>
      <c r="F1599" s="104"/>
      <c r="G1599" s="105">
        <f t="shared" si="96"/>
        <v>21.24</v>
      </c>
      <c r="H1599" s="101" t="str">
        <f t="shared" si="97"/>
        <v>Sinapi 40379</v>
      </c>
      <c r="I1599" s="101" t="str">
        <f t="shared" si="98"/>
        <v>UN</v>
      </c>
      <c r="J1599" s="140" t="str">
        <f t="shared" si="99"/>
        <v>CURVA 45 GRAUS EM ACO CARBONO, SOLDAVEL, PRESSAO 3.000 LBS, DN 1/2"</v>
      </c>
    </row>
    <row r="1600" spans="1:10" x14ac:dyDescent="0.25">
      <c r="A1600" s="169">
        <v>40423</v>
      </c>
      <c r="B1600" s="169" t="s">
        <v>25014</v>
      </c>
      <c r="C1600" s="169" t="s">
        <v>10225</v>
      </c>
      <c r="D1600" s="169" t="s">
        <v>1290</v>
      </c>
      <c r="E1600" s="103" t="s">
        <v>30220</v>
      </c>
      <c r="F1600" s="104"/>
      <c r="G1600" s="105">
        <f t="shared" si="96"/>
        <v>40.19</v>
      </c>
      <c r="H1600" s="101" t="str">
        <f t="shared" si="97"/>
        <v>Sinapi 40423</v>
      </c>
      <c r="I1600" s="101" t="str">
        <f t="shared" si="98"/>
        <v>UN</v>
      </c>
      <c r="J1600" s="140" t="str">
        <f t="shared" si="99"/>
        <v>CURVA 45 GRAUS EM ACO CARBONO, SOLDAVEL, PRESSAO 3.000 LBS, DN 1"</v>
      </c>
    </row>
    <row r="1601" spans="1:10" x14ac:dyDescent="0.25">
      <c r="A1601" s="169">
        <v>40389</v>
      </c>
      <c r="B1601" s="169" t="s">
        <v>25016</v>
      </c>
      <c r="C1601" s="169" t="s">
        <v>10225</v>
      </c>
      <c r="D1601" s="169" t="s">
        <v>1290</v>
      </c>
      <c r="E1601" s="103" t="s">
        <v>30221</v>
      </c>
      <c r="F1601" s="104"/>
      <c r="G1601" s="105">
        <f t="shared" si="96"/>
        <v>254.88</v>
      </c>
      <c r="H1601" s="101" t="str">
        <f t="shared" si="97"/>
        <v>Sinapi 40389</v>
      </c>
      <c r="I1601" s="101" t="str">
        <f t="shared" si="98"/>
        <v>UN</v>
      </c>
      <c r="J1601" s="140" t="str">
        <f t="shared" si="99"/>
        <v>CURVA 45 GRAUS EM ACO CARBONO, SOLDAVEL, PRESSAO 3.000 LBS, DN 2 1/2"</v>
      </c>
    </row>
    <row r="1602" spans="1:10" x14ac:dyDescent="0.25">
      <c r="A1602" s="169">
        <v>40388</v>
      </c>
      <c r="B1602" s="169" t="s">
        <v>25017</v>
      </c>
      <c r="C1602" s="169" t="s">
        <v>10225</v>
      </c>
      <c r="D1602" s="169" t="s">
        <v>1290</v>
      </c>
      <c r="E1602" s="103" t="s">
        <v>30222</v>
      </c>
      <c r="F1602" s="104"/>
      <c r="G1602" s="105">
        <f t="shared" si="96"/>
        <v>127.58</v>
      </c>
      <c r="H1602" s="101" t="str">
        <f t="shared" si="97"/>
        <v>Sinapi 40388</v>
      </c>
      <c r="I1602" s="101" t="str">
        <f t="shared" si="98"/>
        <v>UN</v>
      </c>
      <c r="J1602" s="140" t="str">
        <f t="shared" si="99"/>
        <v>CURVA 45 GRAUS EM ACO CARBONO, SOLDAVEL, PRESSAO 3.000 LBS, DN 2"</v>
      </c>
    </row>
    <row r="1603" spans="1:10" x14ac:dyDescent="0.25">
      <c r="A1603" s="169">
        <v>40381</v>
      </c>
      <c r="B1603" s="169" t="s">
        <v>25018</v>
      </c>
      <c r="C1603" s="169" t="s">
        <v>10225</v>
      </c>
      <c r="D1603" s="169" t="s">
        <v>1290</v>
      </c>
      <c r="E1603" s="103" t="s">
        <v>30223</v>
      </c>
      <c r="F1603" s="104"/>
      <c r="G1603" s="105">
        <f t="shared" si="96"/>
        <v>28.32</v>
      </c>
      <c r="H1603" s="101" t="str">
        <f t="shared" si="97"/>
        <v>Sinapi 40381</v>
      </c>
      <c r="I1603" s="101" t="str">
        <f t="shared" si="98"/>
        <v>UN</v>
      </c>
      <c r="J1603" s="140" t="str">
        <f t="shared" si="99"/>
        <v>CURVA 45 GRAUS EM ACO CARBONO, SOLDAVEL, PRESSAO 3.000 LBS, DN 3/4"</v>
      </c>
    </row>
    <row r="1604" spans="1:10" x14ac:dyDescent="0.25">
      <c r="A1604" s="169">
        <v>40391</v>
      </c>
      <c r="B1604" s="169" t="s">
        <v>25019</v>
      </c>
      <c r="C1604" s="169" t="s">
        <v>10225</v>
      </c>
      <c r="D1604" s="169" t="s">
        <v>1290</v>
      </c>
      <c r="E1604" s="103" t="s">
        <v>30224</v>
      </c>
      <c r="F1604" s="104"/>
      <c r="G1604" s="105">
        <f t="shared" si="96"/>
        <v>661.54</v>
      </c>
      <c r="H1604" s="101" t="str">
        <f t="shared" si="97"/>
        <v>Sinapi 40391</v>
      </c>
      <c r="I1604" s="101" t="str">
        <f t="shared" si="98"/>
        <v>UN</v>
      </c>
      <c r="J1604" s="140" t="str">
        <f t="shared" si="99"/>
        <v>CURVA 45 GRAUS EM ACO CARBONO, SOLDAVEL, PRESSAO 3.000 LBS, DN 3"</v>
      </c>
    </row>
    <row r="1605" spans="1:10" x14ac:dyDescent="0.25">
      <c r="A1605" s="169">
        <v>40414</v>
      </c>
      <c r="B1605" s="169" t="s">
        <v>25020</v>
      </c>
      <c r="C1605" s="169" t="s">
        <v>10225</v>
      </c>
      <c r="D1605" s="169" t="s">
        <v>1290</v>
      </c>
      <c r="E1605" s="103" t="s">
        <v>20982</v>
      </c>
      <c r="F1605" s="104"/>
      <c r="G1605" s="105">
        <f t="shared" si="96"/>
        <v>20.76</v>
      </c>
      <c r="H1605" s="101" t="str">
        <f t="shared" si="97"/>
        <v>Sinapi 40414</v>
      </c>
      <c r="I1605" s="101" t="str">
        <f t="shared" si="98"/>
        <v>UN</v>
      </c>
      <c r="J1605" s="140" t="str">
        <f t="shared" si="99"/>
        <v>CURVA 45 GRAUS RANHURADA EM FERRO FUNDIDO, DN 50 MM (2")</v>
      </c>
    </row>
    <row r="1606" spans="1:10" x14ac:dyDescent="0.25">
      <c r="A1606" s="169">
        <v>40416</v>
      </c>
      <c r="B1606" s="169" t="s">
        <v>25021</v>
      </c>
      <c r="C1606" s="169" t="s">
        <v>10225</v>
      </c>
      <c r="D1606" s="169" t="s">
        <v>1290</v>
      </c>
      <c r="E1606" s="103" t="s">
        <v>17962</v>
      </c>
      <c r="F1606" s="104"/>
      <c r="G1606" s="105">
        <f t="shared" si="96"/>
        <v>28.69</v>
      </c>
      <c r="H1606" s="101" t="str">
        <f t="shared" si="97"/>
        <v>Sinapi 40416</v>
      </c>
      <c r="I1606" s="101" t="str">
        <f t="shared" si="98"/>
        <v>UN</v>
      </c>
      <c r="J1606" s="140" t="str">
        <f t="shared" si="99"/>
        <v>CURVA 45 GRAUS RANHURADA EM FERRO FUNDIDO, DN 65 MM (2 1/2")</v>
      </c>
    </row>
    <row r="1607" spans="1:10" x14ac:dyDescent="0.25">
      <c r="A1607" s="169">
        <v>40418</v>
      </c>
      <c r="B1607" s="169" t="s">
        <v>25022</v>
      </c>
      <c r="C1607" s="169" t="s">
        <v>10225</v>
      </c>
      <c r="D1607" s="169" t="s">
        <v>1290</v>
      </c>
      <c r="E1607" s="103" t="s">
        <v>18700</v>
      </c>
      <c r="F1607" s="104"/>
      <c r="G1607" s="105">
        <f t="shared" si="96"/>
        <v>34.22</v>
      </c>
      <c r="H1607" s="101" t="str">
        <f t="shared" si="97"/>
        <v>Sinapi 40418</v>
      </c>
      <c r="I1607" s="101" t="str">
        <f t="shared" si="98"/>
        <v>UN</v>
      </c>
      <c r="J1607" s="140" t="str">
        <f t="shared" si="99"/>
        <v>CURVA 45 GRAUS RANHURADA EM FERRO FUNDIDO, DN 80 MM (3")</v>
      </c>
    </row>
    <row r="1608" spans="1:10" x14ac:dyDescent="0.25">
      <c r="A1608" s="169">
        <v>2609</v>
      </c>
      <c r="B1608" s="169" t="s">
        <v>25023</v>
      </c>
      <c r="C1608" s="169" t="s">
        <v>10225</v>
      </c>
      <c r="D1608" s="169" t="s">
        <v>1289</v>
      </c>
      <c r="E1608" s="103" t="s">
        <v>14925</v>
      </c>
      <c r="F1608" s="104"/>
      <c r="G1608" s="105">
        <f t="shared" ref="G1608:G1671" si="100">IF(E1608="","",E1608+0)</f>
        <v>5.15</v>
      </c>
      <c r="H1608" s="101" t="str">
        <f t="shared" ref="H1608:H1671" si="101">IF(G1608="","",TRIM(CONCATENATE("Sinapi ",A1608)))</f>
        <v>Sinapi 2609</v>
      </c>
      <c r="I1608" s="101" t="str">
        <f t="shared" ref="I1608:I1671" si="102">TRIM(C1608)</f>
        <v>UN</v>
      </c>
      <c r="J1608" s="140" t="str">
        <f t="shared" si="99"/>
        <v>CURVA 45 GRAUS, PARA ELETRODUTO, EM ACO GALVANIZADO ELETROLITICO, DIAMETRO DE 20 MM (3/4")</v>
      </c>
    </row>
    <row r="1609" spans="1:10" x14ac:dyDescent="0.25">
      <c r="A1609" s="169">
        <v>2634</v>
      </c>
      <c r="B1609" s="169" t="s">
        <v>25024</v>
      </c>
      <c r="C1609" s="169" t="s">
        <v>10225</v>
      </c>
      <c r="D1609" s="169" t="s">
        <v>1289</v>
      </c>
      <c r="E1609" s="103" t="s">
        <v>20108</v>
      </c>
      <c r="F1609" s="104"/>
      <c r="G1609" s="105">
        <f t="shared" si="100"/>
        <v>6.76</v>
      </c>
      <c r="H1609" s="101" t="str">
        <f t="shared" si="101"/>
        <v>Sinapi 2634</v>
      </c>
      <c r="I1609" s="101" t="str">
        <f t="shared" si="102"/>
        <v>UN</v>
      </c>
      <c r="J1609" s="140" t="str">
        <f t="shared" ref="J1609:J1672" si="103">TRIM(B1609)</f>
        <v>CURVA 45 GRAUS, PARA ELETRODUTO, EM ACO GALVANIZADO ELETROLITICO, DIAMETRO DE 25 MM (1")</v>
      </c>
    </row>
    <row r="1610" spans="1:10" x14ac:dyDescent="0.25">
      <c r="A1610" s="169">
        <v>2611</v>
      </c>
      <c r="B1610" s="169" t="s">
        <v>25025</v>
      </c>
      <c r="C1610" s="169" t="s">
        <v>10225</v>
      </c>
      <c r="D1610" s="169" t="s">
        <v>1289</v>
      </c>
      <c r="E1610" s="103" t="s">
        <v>13703</v>
      </c>
      <c r="F1610" s="104"/>
      <c r="G1610" s="105">
        <f t="shared" si="100"/>
        <v>19.05</v>
      </c>
      <c r="H1610" s="101" t="str">
        <f t="shared" si="101"/>
        <v>Sinapi 2611</v>
      </c>
      <c r="I1610" s="101" t="str">
        <f t="shared" si="102"/>
        <v>UN</v>
      </c>
      <c r="J1610" s="140" t="str">
        <f t="shared" si="103"/>
        <v>CURVA 45 GRAUS, PARA ELETRODUTO, EM ACO GALVANIZADO ELETROLITICO, DIAMETRO DE 40 MM (1 1/2")</v>
      </c>
    </row>
    <row r="1611" spans="1:10" x14ac:dyDescent="0.25">
      <c r="A1611" s="169">
        <v>34359</v>
      </c>
      <c r="B1611" s="169" t="s">
        <v>30225</v>
      </c>
      <c r="C1611" s="169" t="s">
        <v>10225</v>
      </c>
      <c r="D1611" s="169" t="s">
        <v>1290</v>
      </c>
      <c r="E1611" s="103" t="s">
        <v>17491</v>
      </c>
      <c r="F1611" s="104"/>
      <c r="G1611" s="105">
        <f t="shared" si="100"/>
        <v>9.83</v>
      </c>
      <c r="H1611" s="101" t="str">
        <f t="shared" si="101"/>
        <v>Sinapi 34359</v>
      </c>
      <c r="I1611" s="101" t="str">
        <f t="shared" si="102"/>
        <v>UN</v>
      </c>
      <c r="J1611" s="140" t="str">
        <f t="shared" si="103"/>
        <v>CURVA 90 GRAUS DE BARRA CHATA EM ALUMINIO 3/4" X 1/4" X 300 MM</v>
      </c>
    </row>
    <row r="1612" spans="1:10" x14ac:dyDescent="0.25">
      <c r="A1612" s="169">
        <v>1789</v>
      </c>
      <c r="B1612" s="169" t="s">
        <v>25026</v>
      </c>
      <c r="C1612" s="169" t="s">
        <v>10225</v>
      </c>
      <c r="D1612" s="169" t="s">
        <v>1289</v>
      </c>
      <c r="E1612" s="103" t="s">
        <v>29287</v>
      </c>
      <c r="F1612" s="104"/>
      <c r="G1612" s="105">
        <f t="shared" si="100"/>
        <v>78.92</v>
      </c>
      <c r="H1612" s="101" t="str">
        <f t="shared" si="101"/>
        <v>Sinapi 1789</v>
      </c>
      <c r="I1612" s="101" t="str">
        <f t="shared" si="102"/>
        <v>UN</v>
      </c>
      <c r="J1612" s="140" t="str">
        <f t="shared" si="103"/>
        <v>CURVA 90 GRAUS DE FERRO GALVANIZADO, COM ROSCA BSP FEMEA, DE 1 1/2"</v>
      </c>
    </row>
    <row r="1613" spans="1:10" x14ac:dyDescent="0.25">
      <c r="A1613" s="169">
        <v>1788</v>
      </c>
      <c r="B1613" s="169" t="s">
        <v>25027</v>
      </c>
      <c r="C1613" s="169" t="s">
        <v>10225</v>
      </c>
      <c r="D1613" s="169" t="s">
        <v>1289</v>
      </c>
      <c r="E1613" s="103" t="s">
        <v>30226</v>
      </c>
      <c r="F1613" s="104"/>
      <c r="G1613" s="105">
        <f t="shared" si="100"/>
        <v>63.26</v>
      </c>
      <c r="H1613" s="101" t="str">
        <f t="shared" si="101"/>
        <v>Sinapi 1788</v>
      </c>
      <c r="I1613" s="101" t="str">
        <f t="shared" si="102"/>
        <v>UN</v>
      </c>
      <c r="J1613" s="140" t="str">
        <f t="shared" si="103"/>
        <v>CURVA 90 GRAUS DE FERRO GALVANIZADO, COM ROSCA BSP FEMEA, DE 1 1/4"</v>
      </c>
    </row>
    <row r="1614" spans="1:10" x14ac:dyDescent="0.25">
      <c r="A1614" s="169">
        <v>1786</v>
      </c>
      <c r="B1614" s="169" t="s">
        <v>25028</v>
      </c>
      <c r="C1614" s="169" t="s">
        <v>10225</v>
      </c>
      <c r="D1614" s="169" t="s">
        <v>1289</v>
      </c>
      <c r="E1614" s="103" t="s">
        <v>23093</v>
      </c>
      <c r="F1614" s="104"/>
      <c r="G1614" s="105">
        <f t="shared" si="100"/>
        <v>15.71</v>
      </c>
      <c r="H1614" s="101" t="str">
        <f t="shared" si="101"/>
        <v>Sinapi 1786</v>
      </c>
      <c r="I1614" s="101" t="str">
        <f t="shared" si="102"/>
        <v>UN</v>
      </c>
      <c r="J1614" s="140" t="str">
        <f t="shared" si="103"/>
        <v>CURVA 90 GRAUS DE FERRO GALVANIZADO, COM ROSCA BSP FEMEA, DE 1/2"</v>
      </c>
    </row>
    <row r="1615" spans="1:10" x14ac:dyDescent="0.25">
      <c r="A1615" s="169">
        <v>1787</v>
      </c>
      <c r="B1615" s="169" t="s">
        <v>25029</v>
      </c>
      <c r="C1615" s="169" t="s">
        <v>10225</v>
      </c>
      <c r="D1615" s="169" t="s">
        <v>1289</v>
      </c>
      <c r="E1615" s="103" t="s">
        <v>30227</v>
      </c>
      <c r="F1615" s="104"/>
      <c r="G1615" s="105">
        <f t="shared" si="100"/>
        <v>37.61</v>
      </c>
      <c r="H1615" s="101" t="str">
        <f t="shared" si="101"/>
        <v>Sinapi 1787</v>
      </c>
      <c r="I1615" s="101" t="str">
        <f t="shared" si="102"/>
        <v>UN</v>
      </c>
      <c r="J1615" s="140" t="str">
        <f t="shared" si="103"/>
        <v>CURVA 90 GRAUS DE FERRO GALVANIZADO, COM ROSCA BSP FEMEA, DE 1"</v>
      </c>
    </row>
    <row r="1616" spans="1:10" x14ac:dyDescent="0.25">
      <c r="A1616" s="169">
        <v>1791</v>
      </c>
      <c r="B1616" s="169" t="s">
        <v>25030</v>
      </c>
      <c r="C1616" s="169" t="s">
        <v>10225</v>
      </c>
      <c r="D1616" s="169" t="s">
        <v>1289</v>
      </c>
      <c r="E1616" s="103" t="s">
        <v>30228</v>
      </c>
      <c r="F1616" s="104"/>
      <c r="G1616" s="105">
        <f t="shared" si="100"/>
        <v>228.08</v>
      </c>
      <c r="H1616" s="101" t="str">
        <f t="shared" si="101"/>
        <v>Sinapi 1791</v>
      </c>
      <c r="I1616" s="101" t="str">
        <f t="shared" si="102"/>
        <v>UN</v>
      </c>
      <c r="J1616" s="140" t="str">
        <f t="shared" si="103"/>
        <v>CURVA 90 GRAUS DE FERRO GALVANIZADO, COM ROSCA BSP FEMEA, DE 2 1/2"</v>
      </c>
    </row>
    <row r="1617" spans="1:10" x14ac:dyDescent="0.25">
      <c r="A1617" s="169">
        <v>1790</v>
      </c>
      <c r="B1617" s="169" t="s">
        <v>25031</v>
      </c>
      <c r="C1617" s="169" t="s">
        <v>10225</v>
      </c>
      <c r="D1617" s="169" t="s">
        <v>1289</v>
      </c>
      <c r="E1617" s="103" t="s">
        <v>30229</v>
      </c>
      <c r="F1617" s="104"/>
      <c r="G1617" s="105">
        <f t="shared" si="100"/>
        <v>131.43</v>
      </c>
      <c r="H1617" s="101" t="str">
        <f t="shared" si="101"/>
        <v>Sinapi 1790</v>
      </c>
      <c r="I1617" s="101" t="str">
        <f t="shared" si="102"/>
        <v>UN</v>
      </c>
      <c r="J1617" s="140" t="str">
        <f t="shared" si="103"/>
        <v>CURVA 90 GRAUS DE FERRO GALVANIZADO, COM ROSCA BSP FEMEA, DE 2"</v>
      </c>
    </row>
    <row r="1618" spans="1:10" x14ac:dyDescent="0.25">
      <c r="A1618" s="169">
        <v>1813</v>
      </c>
      <c r="B1618" s="169" t="s">
        <v>25032</v>
      </c>
      <c r="C1618" s="169" t="s">
        <v>10225</v>
      </c>
      <c r="D1618" s="169" t="s">
        <v>1289</v>
      </c>
      <c r="E1618" s="103" t="s">
        <v>30230</v>
      </c>
      <c r="F1618" s="104"/>
      <c r="G1618" s="105">
        <f t="shared" si="100"/>
        <v>24.93</v>
      </c>
      <c r="H1618" s="101" t="str">
        <f t="shared" si="101"/>
        <v>Sinapi 1813</v>
      </c>
      <c r="I1618" s="101" t="str">
        <f t="shared" si="102"/>
        <v>UN</v>
      </c>
      <c r="J1618" s="140" t="str">
        <f t="shared" si="103"/>
        <v>CURVA 90 GRAUS DE FERRO GALVANIZADO, COM ROSCA BSP FEMEA, DE 3/4"</v>
      </c>
    </row>
    <row r="1619" spans="1:10" x14ac:dyDescent="0.25">
      <c r="A1619" s="169">
        <v>1792</v>
      </c>
      <c r="B1619" s="169" t="s">
        <v>25033</v>
      </c>
      <c r="C1619" s="169" t="s">
        <v>10225</v>
      </c>
      <c r="D1619" s="169" t="s">
        <v>1289</v>
      </c>
      <c r="E1619" s="103" t="s">
        <v>30231</v>
      </c>
      <c r="F1619" s="104"/>
      <c r="G1619" s="105">
        <f t="shared" si="100"/>
        <v>307.87</v>
      </c>
      <c r="H1619" s="101" t="str">
        <f t="shared" si="101"/>
        <v>Sinapi 1792</v>
      </c>
      <c r="I1619" s="101" t="str">
        <f t="shared" si="102"/>
        <v>UN</v>
      </c>
      <c r="J1619" s="140" t="str">
        <f t="shared" si="103"/>
        <v>CURVA 90 GRAUS DE FERRO GALVANIZADO, COM ROSCA BSP FEMEA, DE 3"</v>
      </c>
    </row>
    <row r="1620" spans="1:10" x14ac:dyDescent="0.25">
      <c r="A1620" s="169">
        <v>1793</v>
      </c>
      <c r="B1620" s="169" t="s">
        <v>25034</v>
      </c>
      <c r="C1620" s="169" t="s">
        <v>10225</v>
      </c>
      <c r="D1620" s="169" t="s">
        <v>1289</v>
      </c>
      <c r="E1620" s="103" t="s">
        <v>30232</v>
      </c>
      <c r="F1620" s="104"/>
      <c r="G1620" s="105">
        <f t="shared" si="100"/>
        <v>622.11</v>
      </c>
      <c r="H1620" s="101" t="str">
        <f t="shared" si="101"/>
        <v>Sinapi 1793</v>
      </c>
      <c r="I1620" s="101" t="str">
        <f t="shared" si="102"/>
        <v>UN</v>
      </c>
      <c r="J1620" s="140" t="str">
        <f t="shared" si="103"/>
        <v>CURVA 90 GRAUS DE FERRO GALVANIZADO, COM ROSCA BSP FEMEA, DE 4"</v>
      </c>
    </row>
    <row r="1621" spans="1:10" x14ac:dyDescent="0.25">
      <c r="A1621" s="169">
        <v>1809</v>
      </c>
      <c r="B1621" s="169" t="s">
        <v>25035</v>
      </c>
      <c r="C1621" s="169" t="s">
        <v>10225</v>
      </c>
      <c r="D1621" s="169" t="s">
        <v>1289</v>
      </c>
      <c r="E1621" s="103" t="s">
        <v>22816</v>
      </c>
      <c r="F1621" s="104"/>
      <c r="G1621" s="105">
        <f t="shared" si="100"/>
        <v>73.989999999999995</v>
      </c>
      <c r="H1621" s="101" t="str">
        <f t="shared" si="101"/>
        <v>Sinapi 1809</v>
      </c>
      <c r="I1621" s="101" t="str">
        <f t="shared" si="102"/>
        <v>UN</v>
      </c>
      <c r="J1621" s="140" t="str">
        <f t="shared" si="103"/>
        <v>CURVA 90 GRAUS DE FERRO GALVANIZADO, COM ROSCA BSP MACHO/FEMEA, DE 1 1/2"</v>
      </c>
    </row>
    <row r="1622" spans="1:10" x14ac:dyDescent="0.25">
      <c r="A1622" s="169">
        <v>1814</v>
      </c>
      <c r="B1622" s="169" t="s">
        <v>25036</v>
      </c>
      <c r="C1622" s="169" t="s">
        <v>10225</v>
      </c>
      <c r="D1622" s="169" t="s">
        <v>1289</v>
      </c>
      <c r="E1622" s="103" t="s">
        <v>30233</v>
      </c>
      <c r="F1622" s="104"/>
      <c r="G1622" s="105">
        <f t="shared" si="100"/>
        <v>60.78</v>
      </c>
      <c r="H1622" s="101" t="str">
        <f t="shared" si="101"/>
        <v>Sinapi 1814</v>
      </c>
      <c r="I1622" s="101" t="str">
        <f t="shared" si="102"/>
        <v>UN</v>
      </c>
      <c r="J1622" s="140" t="str">
        <f t="shared" si="103"/>
        <v>CURVA 90 GRAUS DE FERRO GALVANIZADO, COM ROSCA BSP MACHO/FEMEA, DE 1 1/4"</v>
      </c>
    </row>
    <row r="1623" spans="1:10" x14ac:dyDescent="0.25">
      <c r="A1623" s="169">
        <v>1803</v>
      </c>
      <c r="B1623" s="169" t="s">
        <v>25037</v>
      </c>
      <c r="C1623" s="169" t="s">
        <v>10225</v>
      </c>
      <c r="D1623" s="169" t="s">
        <v>1289</v>
      </c>
      <c r="E1623" s="103" t="s">
        <v>17281</v>
      </c>
      <c r="F1623" s="104"/>
      <c r="G1623" s="105">
        <f t="shared" si="100"/>
        <v>15.36</v>
      </c>
      <c r="H1623" s="101" t="str">
        <f t="shared" si="101"/>
        <v>Sinapi 1803</v>
      </c>
      <c r="I1623" s="101" t="str">
        <f t="shared" si="102"/>
        <v>UN</v>
      </c>
      <c r="J1623" s="140" t="str">
        <f t="shared" si="103"/>
        <v>CURVA 90 GRAUS DE FERRO GALVANIZADO, COM ROSCA BSP MACHO/FEMEA, DE 1/2"</v>
      </c>
    </row>
    <row r="1624" spans="1:10" x14ac:dyDescent="0.25">
      <c r="A1624" s="169">
        <v>1805</v>
      </c>
      <c r="B1624" s="169" t="s">
        <v>25038</v>
      </c>
      <c r="C1624" s="169" t="s">
        <v>10225</v>
      </c>
      <c r="D1624" s="169" t="s">
        <v>1289</v>
      </c>
      <c r="E1624" s="103" t="s">
        <v>28420</v>
      </c>
      <c r="F1624" s="104"/>
      <c r="G1624" s="105">
        <f t="shared" si="100"/>
        <v>35.270000000000003</v>
      </c>
      <c r="H1624" s="101" t="str">
        <f t="shared" si="101"/>
        <v>Sinapi 1805</v>
      </c>
      <c r="I1624" s="101" t="str">
        <f t="shared" si="102"/>
        <v>UN</v>
      </c>
      <c r="J1624" s="140" t="str">
        <f t="shared" si="103"/>
        <v>CURVA 90 GRAUS DE FERRO GALVANIZADO, COM ROSCA BSP MACHO/FEMEA, DE 1"</v>
      </c>
    </row>
    <row r="1625" spans="1:10" x14ac:dyDescent="0.25">
      <c r="A1625" s="169">
        <v>1821</v>
      </c>
      <c r="B1625" s="169" t="s">
        <v>25039</v>
      </c>
      <c r="C1625" s="169" t="s">
        <v>10225</v>
      </c>
      <c r="D1625" s="169" t="s">
        <v>1289</v>
      </c>
      <c r="E1625" s="103" t="s">
        <v>30234</v>
      </c>
      <c r="F1625" s="104"/>
      <c r="G1625" s="105">
        <f t="shared" si="100"/>
        <v>208.38</v>
      </c>
      <c r="H1625" s="101" t="str">
        <f t="shared" si="101"/>
        <v>Sinapi 1821</v>
      </c>
      <c r="I1625" s="101" t="str">
        <f t="shared" si="102"/>
        <v>UN</v>
      </c>
      <c r="J1625" s="140" t="str">
        <f t="shared" si="103"/>
        <v>CURVA 90 GRAUS DE FERRO GALVANIZADO, COM ROSCA BSP MACHO/FEMEA, DE 2 1/2"</v>
      </c>
    </row>
    <row r="1626" spans="1:10" x14ac:dyDescent="0.25">
      <c r="A1626" s="169">
        <v>1806</v>
      </c>
      <c r="B1626" s="169" t="s">
        <v>25040</v>
      </c>
      <c r="C1626" s="169" t="s">
        <v>10225</v>
      </c>
      <c r="D1626" s="169" t="s">
        <v>1289</v>
      </c>
      <c r="E1626" s="103" t="s">
        <v>30235</v>
      </c>
      <c r="F1626" s="104"/>
      <c r="G1626" s="105">
        <f t="shared" si="100"/>
        <v>124.03</v>
      </c>
      <c r="H1626" s="101" t="str">
        <f t="shared" si="101"/>
        <v>Sinapi 1806</v>
      </c>
      <c r="I1626" s="101" t="str">
        <f t="shared" si="102"/>
        <v>UN</v>
      </c>
      <c r="J1626" s="140" t="str">
        <f t="shared" si="103"/>
        <v>CURVA 90 GRAUS DE FERRO GALVANIZADO, COM ROSCA BSP MACHO/FEMEA, DE 2"</v>
      </c>
    </row>
    <row r="1627" spans="1:10" x14ac:dyDescent="0.25">
      <c r="A1627" s="169">
        <v>1804</v>
      </c>
      <c r="B1627" s="169" t="s">
        <v>25041</v>
      </c>
      <c r="C1627" s="169" t="s">
        <v>10225</v>
      </c>
      <c r="D1627" s="169" t="s">
        <v>1289</v>
      </c>
      <c r="E1627" s="103" t="s">
        <v>30236</v>
      </c>
      <c r="F1627" s="104"/>
      <c r="G1627" s="105">
        <f t="shared" si="100"/>
        <v>21.86</v>
      </c>
      <c r="H1627" s="101" t="str">
        <f t="shared" si="101"/>
        <v>Sinapi 1804</v>
      </c>
      <c r="I1627" s="101" t="str">
        <f t="shared" si="102"/>
        <v>UN</v>
      </c>
      <c r="J1627" s="140" t="str">
        <f t="shared" si="103"/>
        <v>CURVA 90 GRAUS DE FERRO GALVANIZADO, COM ROSCA BSP MACHO/FEMEA, DE 3/4"</v>
      </c>
    </row>
    <row r="1628" spans="1:10" x14ac:dyDescent="0.25">
      <c r="A1628" s="169">
        <v>1807</v>
      </c>
      <c r="B1628" s="169" t="s">
        <v>25042</v>
      </c>
      <c r="C1628" s="169" t="s">
        <v>10225</v>
      </c>
      <c r="D1628" s="169" t="s">
        <v>1289</v>
      </c>
      <c r="E1628" s="103" t="s">
        <v>30237</v>
      </c>
      <c r="F1628" s="104"/>
      <c r="G1628" s="105">
        <f t="shared" si="100"/>
        <v>298.02</v>
      </c>
      <c r="H1628" s="101" t="str">
        <f t="shared" si="101"/>
        <v>Sinapi 1807</v>
      </c>
      <c r="I1628" s="101" t="str">
        <f t="shared" si="102"/>
        <v>UN</v>
      </c>
      <c r="J1628" s="140" t="str">
        <f t="shared" si="103"/>
        <v>CURVA 90 GRAUS DE FERRO GALVANIZADO, COM ROSCA BSP MACHO/FEMEA, DE 3"</v>
      </c>
    </row>
    <row r="1629" spans="1:10" x14ac:dyDescent="0.25">
      <c r="A1629" s="169">
        <v>1808</v>
      </c>
      <c r="B1629" s="169" t="s">
        <v>25043</v>
      </c>
      <c r="C1629" s="169" t="s">
        <v>10225</v>
      </c>
      <c r="D1629" s="169" t="s">
        <v>1289</v>
      </c>
      <c r="E1629" s="103" t="s">
        <v>30238</v>
      </c>
      <c r="F1629" s="104"/>
      <c r="G1629" s="105">
        <f t="shared" si="100"/>
        <v>597.48</v>
      </c>
      <c r="H1629" s="101" t="str">
        <f t="shared" si="101"/>
        <v>Sinapi 1808</v>
      </c>
      <c r="I1629" s="101" t="str">
        <f t="shared" si="102"/>
        <v>UN</v>
      </c>
      <c r="J1629" s="140" t="str">
        <f t="shared" si="103"/>
        <v>CURVA 90 GRAUS DE FERRO GALVANIZADO, COM ROSCA BSP MACHO/FEMEA, DE 4"</v>
      </c>
    </row>
    <row r="1630" spans="1:10" x14ac:dyDescent="0.25">
      <c r="A1630" s="169">
        <v>1797</v>
      </c>
      <c r="B1630" s="169" t="s">
        <v>25044</v>
      </c>
      <c r="C1630" s="169" t="s">
        <v>10225</v>
      </c>
      <c r="D1630" s="169" t="s">
        <v>1289</v>
      </c>
      <c r="E1630" s="103" t="s">
        <v>30239</v>
      </c>
      <c r="F1630" s="104"/>
      <c r="G1630" s="105">
        <f t="shared" si="100"/>
        <v>89.61</v>
      </c>
      <c r="H1630" s="101" t="str">
        <f t="shared" si="101"/>
        <v>Sinapi 1797</v>
      </c>
      <c r="I1630" s="101" t="str">
        <f t="shared" si="102"/>
        <v>UN</v>
      </c>
      <c r="J1630" s="140" t="str">
        <f t="shared" si="103"/>
        <v>CURVA 90 GRAUS DE FERRO GALVANIZADO, COM ROSCA BSP MACHO, DE 1 1/2"</v>
      </c>
    </row>
    <row r="1631" spans="1:10" x14ac:dyDescent="0.25">
      <c r="A1631" s="169">
        <v>1796</v>
      </c>
      <c r="B1631" s="169" t="s">
        <v>25045</v>
      </c>
      <c r="C1631" s="169" t="s">
        <v>10225</v>
      </c>
      <c r="D1631" s="169" t="s">
        <v>1289</v>
      </c>
      <c r="E1631" s="103" t="s">
        <v>21872</v>
      </c>
      <c r="F1631" s="104"/>
      <c r="G1631" s="105">
        <f t="shared" si="100"/>
        <v>68.739999999999995</v>
      </c>
      <c r="H1631" s="101" t="str">
        <f t="shared" si="101"/>
        <v>Sinapi 1796</v>
      </c>
      <c r="I1631" s="101" t="str">
        <f t="shared" si="102"/>
        <v>UN</v>
      </c>
      <c r="J1631" s="140" t="str">
        <f t="shared" si="103"/>
        <v>CURVA 90 GRAUS DE FERRO GALVANIZADO, COM ROSCA BSP MACHO, DE 1 1/4"</v>
      </c>
    </row>
    <row r="1632" spans="1:10" x14ac:dyDescent="0.25">
      <c r="A1632" s="169">
        <v>1794</v>
      </c>
      <c r="B1632" s="169" t="s">
        <v>25047</v>
      </c>
      <c r="C1632" s="169" t="s">
        <v>10225</v>
      </c>
      <c r="D1632" s="169" t="s">
        <v>1289</v>
      </c>
      <c r="E1632" s="103" t="s">
        <v>23272</v>
      </c>
      <c r="F1632" s="104"/>
      <c r="G1632" s="105">
        <f t="shared" si="100"/>
        <v>16.41</v>
      </c>
      <c r="H1632" s="101" t="str">
        <f t="shared" si="101"/>
        <v>Sinapi 1794</v>
      </c>
      <c r="I1632" s="101" t="str">
        <f t="shared" si="102"/>
        <v>UN</v>
      </c>
      <c r="J1632" s="140" t="str">
        <f t="shared" si="103"/>
        <v>CURVA 90 GRAUS DE FERRO GALVANIZADO, COM ROSCA BSP MACHO, DE 1/2"</v>
      </c>
    </row>
    <row r="1633" spans="1:10" x14ac:dyDescent="0.25">
      <c r="A1633" s="169">
        <v>1816</v>
      </c>
      <c r="B1633" s="169" t="s">
        <v>25048</v>
      </c>
      <c r="C1633" s="169" t="s">
        <v>10225</v>
      </c>
      <c r="D1633" s="169" t="s">
        <v>1289</v>
      </c>
      <c r="E1633" s="103" t="s">
        <v>19398</v>
      </c>
      <c r="F1633" s="104"/>
      <c r="G1633" s="105">
        <f t="shared" si="100"/>
        <v>37</v>
      </c>
      <c r="H1633" s="101" t="str">
        <f t="shared" si="101"/>
        <v>Sinapi 1816</v>
      </c>
      <c r="I1633" s="101" t="str">
        <f t="shared" si="102"/>
        <v>UN</v>
      </c>
      <c r="J1633" s="140" t="str">
        <f t="shared" si="103"/>
        <v>CURVA 90 GRAUS DE FERRO GALVANIZADO, COM ROSCA BSP MACHO, DE 1"</v>
      </c>
    </row>
    <row r="1634" spans="1:10" x14ac:dyDescent="0.25">
      <c r="A1634" s="169">
        <v>1815</v>
      </c>
      <c r="B1634" s="169" t="s">
        <v>25049</v>
      </c>
      <c r="C1634" s="169" t="s">
        <v>10225</v>
      </c>
      <c r="D1634" s="169" t="s">
        <v>1289</v>
      </c>
      <c r="E1634" s="103" t="s">
        <v>30240</v>
      </c>
      <c r="F1634" s="104"/>
      <c r="G1634" s="105">
        <f t="shared" si="100"/>
        <v>284.13</v>
      </c>
      <c r="H1634" s="101" t="str">
        <f t="shared" si="101"/>
        <v>Sinapi 1815</v>
      </c>
      <c r="I1634" s="101" t="str">
        <f t="shared" si="102"/>
        <v>UN</v>
      </c>
      <c r="J1634" s="140" t="str">
        <f t="shared" si="103"/>
        <v>CURVA 90 GRAUS DE FERRO GALVANIZADO, COM ROSCA BSP MACHO, DE 2 1/2"</v>
      </c>
    </row>
    <row r="1635" spans="1:10" x14ac:dyDescent="0.25">
      <c r="A1635" s="169">
        <v>1798</v>
      </c>
      <c r="B1635" s="169" t="s">
        <v>25050</v>
      </c>
      <c r="C1635" s="169" t="s">
        <v>10225</v>
      </c>
      <c r="D1635" s="169" t="s">
        <v>1289</v>
      </c>
      <c r="E1635" s="103" t="s">
        <v>30241</v>
      </c>
      <c r="F1635" s="104"/>
      <c r="G1635" s="105">
        <f t="shared" si="100"/>
        <v>127.14</v>
      </c>
      <c r="H1635" s="101" t="str">
        <f t="shared" si="101"/>
        <v>Sinapi 1798</v>
      </c>
      <c r="I1635" s="101" t="str">
        <f t="shared" si="102"/>
        <v>UN</v>
      </c>
      <c r="J1635" s="140" t="str">
        <f t="shared" si="103"/>
        <v>CURVA 90 GRAUS DE FERRO GALVANIZADO, COM ROSCA BSP MACHO, DE 2"</v>
      </c>
    </row>
    <row r="1636" spans="1:10" x14ac:dyDescent="0.25">
      <c r="A1636" s="169">
        <v>1795</v>
      </c>
      <c r="B1636" s="169" t="s">
        <v>25051</v>
      </c>
      <c r="C1636" s="169" t="s">
        <v>10225</v>
      </c>
      <c r="D1636" s="169" t="s">
        <v>1289</v>
      </c>
      <c r="E1636" s="103" t="s">
        <v>20626</v>
      </c>
      <c r="F1636" s="104"/>
      <c r="G1636" s="105">
        <f t="shared" si="100"/>
        <v>22.73</v>
      </c>
      <c r="H1636" s="101" t="str">
        <f t="shared" si="101"/>
        <v>Sinapi 1795</v>
      </c>
      <c r="I1636" s="101" t="str">
        <f t="shared" si="102"/>
        <v>UN</v>
      </c>
      <c r="J1636" s="140" t="str">
        <f t="shared" si="103"/>
        <v>CURVA 90 GRAUS DE FERRO GALVANIZADO, COM ROSCA BSP MACHO, DE 3/4"</v>
      </c>
    </row>
    <row r="1637" spans="1:10" x14ac:dyDescent="0.25">
      <c r="A1637" s="169">
        <v>1799</v>
      </c>
      <c r="B1637" s="169" t="s">
        <v>25052</v>
      </c>
      <c r="C1637" s="169" t="s">
        <v>10225</v>
      </c>
      <c r="D1637" s="169" t="s">
        <v>1289</v>
      </c>
      <c r="E1637" s="103" t="s">
        <v>30242</v>
      </c>
      <c r="F1637" s="104"/>
      <c r="G1637" s="105">
        <f t="shared" si="100"/>
        <v>370.05</v>
      </c>
      <c r="H1637" s="101" t="str">
        <f t="shared" si="101"/>
        <v>Sinapi 1799</v>
      </c>
      <c r="I1637" s="101" t="str">
        <f t="shared" si="102"/>
        <v>UN</v>
      </c>
      <c r="J1637" s="140" t="str">
        <f t="shared" si="103"/>
        <v>CURVA 90 GRAUS DE FERRO GALVANIZADO, COM ROSCA BSP MACHO, DE 3"</v>
      </c>
    </row>
    <row r="1638" spans="1:10" x14ac:dyDescent="0.25">
      <c r="A1638" s="169">
        <v>1800</v>
      </c>
      <c r="B1638" s="169" t="s">
        <v>25053</v>
      </c>
      <c r="C1638" s="169" t="s">
        <v>10225</v>
      </c>
      <c r="D1638" s="169" t="s">
        <v>1289</v>
      </c>
      <c r="E1638" s="103" t="s">
        <v>30243</v>
      </c>
      <c r="F1638" s="104"/>
      <c r="G1638" s="105">
        <f t="shared" si="100"/>
        <v>706.48</v>
      </c>
      <c r="H1638" s="101" t="str">
        <f t="shared" si="101"/>
        <v>Sinapi 1800</v>
      </c>
      <c r="I1638" s="101" t="str">
        <f t="shared" si="102"/>
        <v>UN</v>
      </c>
      <c r="J1638" s="140" t="str">
        <f t="shared" si="103"/>
        <v>CURVA 90 GRAUS DE FERRO GALVANIZADO, COM ROSCA BSP MACHO, DE 4"</v>
      </c>
    </row>
    <row r="1639" spans="1:10" x14ac:dyDescent="0.25">
      <c r="A1639" s="169">
        <v>1802</v>
      </c>
      <c r="B1639" s="169" t="s">
        <v>25054</v>
      </c>
      <c r="C1639" s="169" t="s">
        <v>10225</v>
      </c>
      <c r="D1639" s="169" t="s">
        <v>1289</v>
      </c>
      <c r="E1639" s="103" t="s">
        <v>30244</v>
      </c>
      <c r="F1639" s="104"/>
      <c r="G1639" s="105">
        <f t="shared" si="100"/>
        <v>1767.2</v>
      </c>
      <c r="H1639" s="101" t="str">
        <f t="shared" si="101"/>
        <v>Sinapi 1802</v>
      </c>
      <c r="I1639" s="101" t="str">
        <f t="shared" si="102"/>
        <v>UN</v>
      </c>
      <c r="J1639" s="140" t="str">
        <f t="shared" si="103"/>
        <v>CURVA 90 GRAUS DE FERRO GALVANIZADO, COM ROSCA BSP MACHO, DE 6"</v>
      </c>
    </row>
    <row r="1640" spans="1:10" x14ac:dyDescent="0.25">
      <c r="A1640" s="169">
        <v>40385</v>
      </c>
      <c r="B1640" s="169" t="s">
        <v>25055</v>
      </c>
      <c r="C1640" s="169" t="s">
        <v>10225</v>
      </c>
      <c r="D1640" s="169" t="s">
        <v>1290</v>
      </c>
      <c r="E1640" s="103" t="s">
        <v>30219</v>
      </c>
      <c r="F1640" s="104"/>
      <c r="G1640" s="105">
        <f t="shared" si="100"/>
        <v>89.73</v>
      </c>
      <c r="H1640" s="101" t="str">
        <f t="shared" si="101"/>
        <v>Sinapi 40385</v>
      </c>
      <c r="I1640" s="101" t="str">
        <f t="shared" si="102"/>
        <v>UN</v>
      </c>
      <c r="J1640" s="140" t="str">
        <f t="shared" si="103"/>
        <v>CURVA 90 GRAUS EM ACO CARBONO, RAIO CURTO, SOLDAVEL, PRESSAO 3.000 LBS, DN 1 1/2"</v>
      </c>
    </row>
    <row r="1641" spans="1:10" x14ac:dyDescent="0.25">
      <c r="A1641" s="169">
        <v>40383</v>
      </c>
      <c r="B1641" s="169" t="s">
        <v>25056</v>
      </c>
      <c r="C1641" s="169" t="s">
        <v>10225</v>
      </c>
      <c r="D1641" s="169" t="s">
        <v>1290</v>
      </c>
      <c r="E1641" s="103" t="s">
        <v>28763</v>
      </c>
      <c r="F1641" s="104"/>
      <c r="G1641" s="105">
        <f t="shared" si="100"/>
        <v>61.43</v>
      </c>
      <c r="H1641" s="101" t="str">
        <f t="shared" si="101"/>
        <v>Sinapi 40383</v>
      </c>
      <c r="I1641" s="101" t="str">
        <f t="shared" si="102"/>
        <v>UN</v>
      </c>
      <c r="J1641" s="140" t="str">
        <f t="shared" si="103"/>
        <v>CURVA 90 GRAUS EM ACO CARBONO, RAIO CURTO, SOLDAVEL, PRESSAO 3.000 LBS, DN 1 1/4"</v>
      </c>
    </row>
    <row r="1642" spans="1:10" x14ac:dyDescent="0.25">
      <c r="A1642" s="169">
        <v>40378</v>
      </c>
      <c r="B1642" s="169" t="s">
        <v>25057</v>
      </c>
      <c r="C1642" s="169" t="s">
        <v>10225</v>
      </c>
      <c r="D1642" s="169" t="s">
        <v>1290</v>
      </c>
      <c r="E1642" s="103" t="s">
        <v>20037</v>
      </c>
      <c r="F1642" s="104"/>
      <c r="G1642" s="105">
        <f t="shared" si="100"/>
        <v>21.24</v>
      </c>
      <c r="H1642" s="101" t="str">
        <f t="shared" si="101"/>
        <v>Sinapi 40378</v>
      </c>
      <c r="I1642" s="101" t="str">
        <f t="shared" si="102"/>
        <v>UN</v>
      </c>
      <c r="J1642" s="140" t="str">
        <f t="shared" si="103"/>
        <v>CURVA 90 GRAUS EM ACO CARBONO, RAIO CURTO, SOLDAVEL, PRESSAO 3.000 LBS, DN 1/2"</v>
      </c>
    </row>
    <row r="1643" spans="1:10" x14ac:dyDescent="0.25">
      <c r="A1643" s="169">
        <v>40382</v>
      </c>
      <c r="B1643" s="169" t="s">
        <v>25058</v>
      </c>
      <c r="C1643" s="169" t="s">
        <v>10225</v>
      </c>
      <c r="D1643" s="169" t="s">
        <v>1290</v>
      </c>
      <c r="E1643" s="103" t="s">
        <v>30220</v>
      </c>
      <c r="F1643" s="104"/>
      <c r="G1643" s="105">
        <f t="shared" si="100"/>
        <v>40.19</v>
      </c>
      <c r="H1643" s="101" t="str">
        <f t="shared" si="101"/>
        <v>Sinapi 40382</v>
      </c>
      <c r="I1643" s="101" t="str">
        <f t="shared" si="102"/>
        <v>UN</v>
      </c>
      <c r="J1643" s="140" t="str">
        <f t="shared" si="103"/>
        <v>CURVA 90 GRAUS EM ACO CARBONO, RAIO CURTO, SOLDAVEL, PRESSAO 3.000 LBS, DN 1"</v>
      </c>
    </row>
    <row r="1644" spans="1:10" x14ac:dyDescent="0.25">
      <c r="A1644" s="169">
        <v>40422</v>
      </c>
      <c r="B1644" s="169" t="s">
        <v>25059</v>
      </c>
      <c r="C1644" s="169" t="s">
        <v>10225</v>
      </c>
      <c r="D1644" s="169" t="s">
        <v>1290</v>
      </c>
      <c r="E1644" s="103" t="s">
        <v>30245</v>
      </c>
      <c r="F1644" s="104"/>
      <c r="G1644" s="105">
        <f t="shared" si="100"/>
        <v>273.8</v>
      </c>
      <c r="H1644" s="101" t="str">
        <f t="shared" si="101"/>
        <v>Sinapi 40422</v>
      </c>
      <c r="I1644" s="101" t="str">
        <f t="shared" si="102"/>
        <v>UN</v>
      </c>
      <c r="J1644" s="140" t="str">
        <f t="shared" si="103"/>
        <v>CURVA 90 GRAUS EM ACO CARBONO, RAIO CURTO, SOLDAVEL, PRESSAO 3.000 LBS, DN 2 1/2"</v>
      </c>
    </row>
    <row r="1645" spans="1:10" x14ac:dyDescent="0.25">
      <c r="A1645" s="169">
        <v>40387</v>
      </c>
      <c r="B1645" s="169" t="s">
        <v>25060</v>
      </c>
      <c r="C1645" s="169" t="s">
        <v>10225</v>
      </c>
      <c r="D1645" s="169" t="s">
        <v>1290</v>
      </c>
      <c r="E1645" s="103" t="s">
        <v>30246</v>
      </c>
      <c r="F1645" s="104"/>
      <c r="G1645" s="105">
        <f t="shared" si="100"/>
        <v>139.41</v>
      </c>
      <c r="H1645" s="101" t="str">
        <f t="shared" si="101"/>
        <v>Sinapi 40387</v>
      </c>
      <c r="I1645" s="101" t="str">
        <f t="shared" si="102"/>
        <v>UN</v>
      </c>
      <c r="J1645" s="140" t="str">
        <f t="shared" si="103"/>
        <v>CURVA 90 GRAUS EM ACO CARBONO, RAIO CURTO, SOLDAVEL, PRESSAO 3.000 LBS, DN 2"</v>
      </c>
    </row>
    <row r="1646" spans="1:10" x14ac:dyDescent="0.25">
      <c r="A1646" s="169">
        <v>40380</v>
      </c>
      <c r="B1646" s="169" t="s">
        <v>25061</v>
      </c>
      <c r="C1646" s="169" t="s">
        <v>10225</v>
      </c>
      <c r="D1646" s="169" t="s">
        <v>1290</v>
      </c>
      <c r="E1646" s="103" t="s">
        <v>30223</v>
      </c>
      <c r="F1646" s="104"/>
      <c r="G1646" s="105">
        <f t="shared" si="100"/>
        <v>28.32</v>
      </c>
      <c r="H1646" s="101" t="str">
        <f t="shared" si="101"/>
        <v>Sinapi 40380</v>
      </c>
      <c r="I1646" s="101" t="str">
        <f t="shared" si="102"/>
        <v>UN</v>
      </c>
      <c r="J1646" s="140" t="str">
        <f t="shared" si="103"/>
        <v>CURVA 90 GRAUS EM ACO CARBONO, RAIO CURTO, SOLDAVEL, PRESSAO 3.000 LBS, DN 3/4"</v>
      </c>
    </row>
    <row r="1647" spans="1:10" x14ac:dyDescent="0.25">
      <c r="A1647" s="169">
        <v>40390</v>
      </c>
      <c r="B1647" s="169" t="s">
        <v>25062</v>
      </c>
      <c r="C1647" s="169" t="s">
        <v>10225</v>
      </c>
      <c r="D1647" s="169" t="s">
        <v>1290</v>
      </c>
      <c r="E1647" s="103" t="s">
        <v>30247</v>
      </c>
      <c r="F1647" s="104"/>
      <c r="G1647" s="105">
        <f t="shared" si="100"/>
        <v>576.65</v>
      </c>
      <c r="H1647" s="101" t="str">
        <f t="shared" si="101"/>
        <v>Sinapi 40390</v>
      </c>
      <c r="I1647" s="101" t="str">
        <f t="shared" si="102"/>
        <v>UN</v>
      </c>
      <c r="J1647" s="140" t="str">
        <f t="shared" si="103"/>
        <v>CURVA 90 GRAUS EM ACO CARBONO, RAIO CURTO, SOLDAVEL, PRESSAO 3.000 LBS, DN 3"</v>
      </c>
    </row>
    <row r="1648" spans="1:10" x14ac:dyDescent="0.25">
      <c r="A1648" s="169">
        <v>40413</v>
      </c>
      <c r="B1648" s="169" t="s">
        <v>25063</v>
      </c>
      <c r="C1648" s="169" t="s">
        <v>10225</v>
      </c>
      <c r="D1648" s="169" t="s">
        <v>1290</v>
      </c>
      <c r="E1648" s="103" t="s">
        <v>16401</v>
      </c>
      <c r="F1648" s="104"/>
      <c r="G1648" s="105">
        <f t="shared" si="100"/>
        <v>22.55</v>
      </c>
      <c r="H1648" s="101" t="str">
        <f t="shared" si="101"/>
        <v>Sinapi 40413</v>
      </c>
      <c r="I1648" s="101" t="str">
        <f t="shared" si="102"/>
        <v>UN</v>
      </c>
      <c r="J1648" s="140" t="str">
        <f t="shared" si="103"/>
        <v>CURVA 90 GRAUS RANHURADA EM FERRO FUNDIDO, DN 50 MM (2")</v>
      </c>
    </row>
    <row r="1649" spans="1:10" x14ac:dyDescent="0.25">
      <c r="A1649" s="169">
        <v>40415</v>
      </c>
      <c r="B1649" s="169" t="s">
        <v>25064</v>
      </c>
      <c r="C1649" s="169" t="s">
        <v>10225</v>
      </c>
      <c r="D1649" s="169" t="s">
        <v>1290</v>
      </c>
      <c r="E1649" s="103" t="s">
        <v>19818</v>
      </c>
      <c r="F1649" s="104"/>
      <c r="G1649" s="105">
        <f t="shared" si="100"/>
        <v>32.130000000000003</v>
      </c>
      <c r="H1649" s="101" t="str">
        <f t="shared" si="101"/>
        <v>Sinapi 40415</v>
      </c>
      <c r="I1649" s="101" t="str">
        <f t="shared" si="102"/>
        <v>UN</v>
      </c>
      <c r="J1649" s="140" t="str">
        <f t="shared" si="103"/>
        <v>CURVA 90 GRAUS RANHURADA EM FERRO FUNDIDO, DN 65 MM (2 1/2")</v>
      </c>
    </row>
    <row r="1650" spans="1:10" x14ac:dyDescent="0.25">
      <c r="A1650" s="169">
        <v>40417</v>
      </c>
      <c r="B1650" s="169" t="s">
        <v>25065</v>
      </c>
      <c r="C1650" s="169" t="s">
        <v>10225</v>
      </c>
      <c r="D1650" s="169" t="s">
        <v>1290</v>
      </c>
      <c r="E1650" s="103" t="s">
        <v>21035</v>
      </c>
      <c r="F1650" s="104"/>
      <c r="G1650" s="105">
        <f t="shared" si="100"/>
        <v>37.9</v>
      </c>
      <c r="H1650" s="101" t="str">
        <f t="shared" si="101"/>
        <v>Sinapi 40417</v>
      </c>
      <c r="I1650" s="101" t="str">
        <f t="shared" si="102"/>
        <v>UN</v>
      </c>
      <c r="J1650" s="140" t="str">
        <f t="shared" si="103"/>
        <v>CURVA 90 GRAUS RANHURADA EM FERRO FUNDIDO, DN 80 MM (3")</v>
      </c>
    </row>
    <row r="1651" spans="1:10" x14ac:dyDescent="0.25">
      <c r="A1651" s="169">
        <v>39271</v>
      </c>
      <c r="B1651" s="169" t="s">
        <v>25066</v>
      </c>
      <c r="C1651" s="169" t="s">
        <v>10225</v>
      </c>
      <c r="D1651" s="169" t="s">
        <v>1289</v>
      </c>
      <c r="E1651" s="103" t="s">
        <v>20063</v>
      </c>
      <c r="F1651" s="104"/>
      <c r="G1651" s="105">
        <f t="shared" si="100"/>
        <v>1.81</v>
      </c>
      <c r="H1651" s="101" t="str">
        <f t="shared" si="101"/>
        <v>Sinapi 39271</v>
      </c>
      <c r="I1651" s="101" t="str">
        <f t="shared" si="102"/>
        <v>UN</v>
      </c>
      <c r="J1651" s="140" t="str">
        <f t="shared" si="103"/>
        <v>CURVA 90 GRAUS, CURTA, DE PVC RIGIDO ROSCAVEL, DE 1/2", PARA ELETRODUTO</v>
      </c>
    </row>
    <row r="1652" spans="1:10" x14ac:dyDescent="0.25">
      <c r="A1652" s="169">
        <v>39273</v>
      </c>
      <c r="B1652" s="169" t="s">
        <v>25067</v>
      </c>
      <c r="C1652" s="169" t="s">
        <v>10225</v>
      </c>
      <c r="D1652" s="169" t="s">
        <v>1289</v>
      </c>
      <c r="E1652" s="103" t="s">
        <v>23225</v>
      </c>
      <c r="F1652" s="104"/>
      <c r="G1652" s="105">
        <f t="shared" si="100"/>
        <v>3.08</v>
      </c>
      <c r="H1652" s="101" t="str">
        <f t="shared" si="101"/>
        <v>Sinapi 39273</v>
      </c>
      <c r="I1652" s="101" t="str">
        <f t="shared" si="102"/>
        <v>UN</v>
      </c>
      <c r="J1652" s="140" t="str">
        <f t="shared" si="103"/>
        <v>CURVA 90 GRAUS, CURTA, DE PVC RIGIDO ROSCAVEL, DE 1", PARA ELETRODUTO</v>
      </c>
    </row>
    <row r="1653" spans="1:10" x14ac:dyDescent="0.25">
      <c r="A1653" s="169">
        <v>39272</v>
      </c>
      <c r="B1653" s="169" t="s">
        <v>25068</v>
      </c>
      <c r="C1653" s="169" t="s">
        <v>10225</v>
      </c>
      <c r="D1653" s="169" t="s">
        <v>1289</v>
      </c>
      <c r="E1653" s="103" t="s">
        <v>17957</v>
      </c>
      <c r="F1653" s="104"/>
      <c r="G1653" s="105">
        <f t="shared" si="100"/>
        <v>2.23</v>
      </c>
      <c r="H1653" s="101" t="str">
        <f t="shared" si="101"/>
        <v>Sinapi 39272</v>
      </c>
      <c r="I1653" s="101" t="str">
        <f t="shared" si="102"/>
        <v>UN</v>
      </c>
      <c r="J1653" s="140" t="str">
        <f t="shared" si="103"/>
        <v>CURVA 90 GRAUS, CURTA, DE PVC RIGIDO ROSCAVEL, DE 3/4", PARA ELETRODUTO</v>
      </c>
    </row>
    <row r="1654" spans="1:10" x14ac:dyDescent="0.25">
      <c r="A1654" s="169">
        <v>1875</v>
      </c>
      <c r="B1654" s="169" t="s">
        <v>25069</v>
      </c>
      <c r="C1654" s="169" t="s">
        <v>10225</v>
      </c>
      <c r="D1654" s="169" t="s">
        <v>1289</v>
      </c>
      <c r="E1654" s="103" t="s">
        <v>18599</v>
      </c>
      <c r="F1654" s="104"/>
      <c r="G1654" s="105">
        <f t="shared" si="100"/>
        <v>4.93</v>
      </c>
      <c r="H1654" s="101" t="str">
        <f t="shared" si="101"/>
        <v>Sinapi 1875</v>
      </c>
      <c r="I1654" s="101" t="str">
        <f t="shared" si="102"/>
        <v>UN</v>
      </c>
      <c r="J1654" s="140" t="str">
        <f t="shared" si="103"/>
        <v>CURVA 90 GRAUS, LONGA, DE PVC RIGIDO ROSCAVEL, DE 1 1/2", PARA ELETRODUTO</v>
      </c>
    </row>
    <row r="1655" spans="1:10" x14ac:dyDescent="0.25">
      <c r="A1655" s="169">
        <v>1874</v>
      </c>
      <c r="B1655" s="169" t="s">
        <v>25070</v>
      </c>
      <c r="C1655" s="169" t="s">
        <v>10225</v>
      </c>
      <c r="D1655" s="169" t="s">
        <v>1289</v>
      </c>
      <c r="E1655" s="103" t="s">
        <v>29824</v>
      </c>
      <c r="F1655" s="104"/>
      <c r="G1655" s="105">
        <f t="shared" si="100"/>
        <v>4.07</v>
      </c>
      <c r="H1655" s="101" t="str">
        <f t="shared" si="101"/>
        <v>Sinapi 1874</v>
      </c>
      <c r="I1655" s="101" t="str">
        <f t="shared" si="102"/>
        <v>UN</v>
      </c>
      <c r="J1655" s="140" t="str">
        <f t="shared" si="103"/>
        <v>CURVA 90 GRAUS, LONGA, DE PVC RIGIDO ROSCAVEL, DE 1 1/4", PARA ELETRODUTO</v>
      </c>
    </row>
    <row r="1656" spans="1:10" x14ac:dyDescent="0.25">
      <c r="A1656" s="169">
        <v>1870</v>
      </c>
      <c r="B1656" s="169" t="s">
        <v>25071</v>
      </c>
      <c r="C1656" s="169" t="s">
        <v>10225</v>
      </c>
      <c r="D1656" s="169" t="s">
        <v>1288</v>
      </c>
      <c r="E1656" s="103" t="s">
        <v>15577</v>
      </c>
      <c r="F1656" s="104"/>
      <c r="G1656" s="105">
        <f t="shared" si="100"/>
        <v>2.35</v>
      </c>
      <c r="H1656" s="101" t="str">
        <f t="shared" si="101"/>
        <v>Sinapi 1870</v>
      </c>
      <c r="I1656" s="101" t="str">
        <f t="shared" si="102"/>
        <v>UN</v>
      </c>
      <c r="J1656" s="140" t="str">
        <f t="shared" si="103"/>
        <v>CURVA 90 GRAUS, LONGA, DE PVC RIGIDO ROSCAVEL, DE 1/2", PARA ELETRODUTO</v>
      </c>
    </row>
    <row r="1657" spans="1:10" x14ac:dyDescent="0.25">
      <c r="A1657" s="169">
        <v>1884</v>
      </c>
      <c r="B1657" s="169" t="s">
        <v>25073</v>
      </c>
      <c r="C1657" s="169" t="s">
        <v>10225</v>
      </c>
      <c r="D1657" s="169" t="s">
        <v>1289</v>
      </c>
      <c r="E1657" s="103" t="s">
        <v>21540</v>
      </c>
      <c r="F1657" s="104"/>
      <c r="G1657" s="105">
        <f t="shared" si="100"/>
        <v>3.61</v>
      </c>
      <c r="H1657" s="101" t="str">
        <f t="shared" si="101"/>
        <v>Sinapi 1884</v>
      </c>
      <c r="I1657" s="101" t="str">
        <f t="shared" si="102"/>
        <v>UN</v>
      </c>
      <c r="J1657" s="140" t="str">
        <f t="shared" si="103"/>
        <v>CURVA 90 GRAUS, LONGA, DE PVC RIGIDO ROSCAVEL, DE 1", PARA ELETRODUTO</v>
      </c>
    </row>
    <row r="1658" spans="1:10" x14ac:dyDescent="0.25">
      <c r="A1658" s="169">
        <v>1887</v>
      </c>
      <c r="B1658" s="169" t="s">
        <v>25074</v>
      </c>
      <c r="C1658" s="169" t="s">
        <v>10225</v>
      </c>
      <c r="D1658" s="169" t="s">
        <v>1289</v>
      </c>
      <c r="E1658" s="103" t="s">
        <v>19305</v>
      </c>
      <c r="F1658" s="104"/>
      <c r="G1658" s="105">
        <f t="shared" si="100"/>
        <v>20.43</v>
      </c>
      <c r="H1658" s="101" t="str">
        <f t="shared" si="101"/>
        <v>Sinapi 1887</v>
      </c>
      <c r="I1658" s="101" t="str">
        <f t="shared" si="102"/>
        <v>UN</v>
      </c>
      <c r="J1658" s="140" t="str">
        <f t="shared" si="103"/>
        <v>CURVA 90 GRAUS, LONGA, DE PVC RIGIDO ROSCAVEL, DE 2 1/2", PARA ELETRODUTO</v>
      </c>
    </row>
    <row r="1659" spans="1:10" x14ac:dyDescent="0.25">
      <c r="A1659" s="169">
        <v>1876</v>
      </c>
      <c r="B1659" s="169" t="s">
        <v>25075</v>
      </c>
      <c r="C1659" s="169" t="s">
        <v>10225</v>
      </c>
      <c r="D1659" s="169" t="s">
        <v>1289</v>
      </c>
      <c r="E1659" s="103" t="s">
        <v>28932</v>
      </c>
      <c r="F1659" s="104"/>
      <c r="G1659" s="105">
        <f t="shared" si="100"/>
        <v>8.01</v>
      </c>
      <c r="H1659" s="101" t="str">
        <f t="shared" si="101"/>
        <v>Sinapi 1876</v>
      </c>
      <c r="I1659" s="101" t="str">
        <f t="shared" si="102"/>
        <v>UN</v>
      </c>
      <c r="J1659" s="140" t="str">
        <f t="shared" si="103"/>
        <v>CURVA 90 GRAUS, LONGA, DE PVC RIGIDO ROSCAVEL, DE 2", PARA ELETRODUTO</v>
      </c>
    </row>
    <row r="1660" spans="1:10" x14ac:dyDescent="0.25">
      <c r="A1660" s="169">
        <v>1879</v>
      </c>
      <c r="B1660" s="169" t="s">
        <v>25076</v>
      </c>
      <c r="C1660" s="169" t="s">
        <v>10225</v>
      </c>
      <c r="D1660" s="169" t="s">
        <v>1289</v>
      </c>
      <c r="E1660" s="103" t="s">
        <v>25835</v>
      </c>
      <c r="F1660" s="104"/>
      <c r="G1660" s="105">
        <f t="shared" si="100"/>
        <v>2.38</v>
      </c>
      <c r="H1660" s="101" t="str">
        <f t="shared" si="101"/>
        <v>Sinapi 1879</v>
      </c>
      <c r="I1660" s="101" t="str">
        <f t="shared" si="102"/>
        <v>UN</v>
      </c>
      <c r="J1660" s="140" t="str">
        <f t="shared" si="103"/>
        <v>CURVA 90 GRAUS, LONGA, DE PVC RIGIDO ROSCAVEL, DE 3/4", PARA ELETRODUTO</v>
      </c>
    </row>
    <row r="1661" spans="1:10" x14ac:dyDescent="0.25">
      <c r="A1661" s="169">
        <v>1877</v>
      </c>
      <c r="B1661" s="169" t="s">
        <v>25077</v>
      </c>
      <c r="C1661" s="169" t="s">
        <v>10225</v>
      </c>
      <c r="D1661" s="169" t="s">
        <v>1289</v>
      </c>
      <c r="E1661" s="103" t="s">
        <v>19872</v>
      </c>
      <c r="F1661" s="104"/>
      <c r="G1661" s="105">
        <f t="shared" si="100"/>
        <v>20.46</v>
      </c>
      <c r="H1661" s="101" t="str">
        <f t="shared" si="101"/>
        <v>Sinapi 1877</v>
      </c>
      <c r="I1661" s="101" t="str">
        <f t="shared" si="102"/>
        <v>UN</v>
      </c>
      <c r="J1661" s="140" t="str">
        <f t="shared" si="103"/>
        <v>CURVA 90 GRAUS, LONGA, DE PVC RIGIDO ROSCAVEL, DE 3", PARA ELETRODUTO</v>
      </c>
    </row>
    <row r="1662" spans="1:10" x14ac:dyDescent="0.25">
      <c r="A1662" s="169">
        <v>1878</v>
      </c>
      <c r="B1662" s="169" t="s">
        <v>25078</v>
      </c>
      <c r="C1662" s="169" t="s">
        <v>10225</v>
      </c>
      <c r="D1662" s="169" t="s">
        <v>1289</v>
      </c>
      <c r="E1662" s="103" t="s">
        <v>30248</v>
      </c>
      <c r="F1662" s="104"/>
      <c r="G1662" s="105">
        <f t="shared" si="100"/>
        <v>41.1</v>
      </c>
      <c r="H1662" s="101" t="str">
        <f t="shared" si="101"/>
        <v>Sinapi 1878</v>
      </c>
      <c r="I1662" s="101" t="str">
        <f t="shared" si="102"/>
        <v>UN</v>
      </c>
      <c r="J1662" s="140" t="str">
        <f t="shared" si="103"/>
        <v>CURVA 90 GRAUS, LONGA, DE PVC RIGIDO ROSCAVEL, DE 4", PARA ELETRODUTO</v>
      </c>
    </row>
    <row r="1663" spans="1:10" x14ac:dyDescent="0.25">
      <c r="A1663" s="169">
        <v>2621</v>
      </c>
      <c r="B1663" s="169" t="s">
        <v>25079</v>
      </c>
      <c r="C1663" s="169" t="s">
        <v>10225</v>
      </c>
      <c r="D1663" s="169" t="s">
        <v>1289</v>
      </c>
      <c r="E1663" s="103" t="s">
        <v>30249</v>
      </c>
      <c r="F1663" s="104"/>
      <c r="G1663" s="105">
        <f t="shared" si="100"/>
        <v>163.02000000000001</v>
      </c>
      <c r="H1663" s="101" t="str">
        <f t="shared" si="101"/>
        <v>Sinapi 2621</v>
      </c>
      <c r="I1663" s="101" t="str">
        <f t="shared" si="102"/>
        <v>UN</v>
      </c>
      <c r="J1663" s="140" t="str">
        <f t="shared" si="103"/>
        <v>CURVA 90 GRAUS, PARA ELETRODUTO, EM ACO GALVANIZADO ELETROLITICO, DIAMETRO DE 100 MM (4")</v>
      </c>
    </row>
    <row r="1664" spans="1:10" x14ac:dyDescent="0.25">
      <c r="A1664" s="169">
        <v>2616</v>
      </c>
      <c r="B1664" s="169" t="s">
        <v>25080</v>
      </c>
      <c r="C1664" s="169" t="s">
        <v>10225</v>
      </c>
      <c r="D1664" s="169" t="s">
        <v>1289</v>
      </c>
      <c r="E1664" s="103" t="s">
        <v>19828</v>
      </c>
      <c r="F1664" s="104"/>
      <c r="G1664" s="105">
        <f t="shared" si="100"/>
        <v>4.6100000000000003</v>
      </c>
      <c r="H1664" s="101" t="str">
        <f t="shared" si="101"/>
        <v>Sinapi 2616</v>
      </c>
      <c r="I1664" s="101" t="str">
        <f t="shared" si="102"/>
        <v>UN</v>
      </c>
      <c r="J1664" s="140" t="str">
        <f t="shared" si="103"/>
        <v>CURVA 90 GRAUS, PARA ELETRODUTO, EM ACO GALVANIZADO ELETROLITICO, DIAMETRO DE 15 MM (1/2")</v>
      </c>
    </row>
    <row r="1665" spans="1:10" x14ac:dyDescent="0.25">
      <c r="A1665" s="169">
        <v>2633</v>
      </c>
      <c r="B1665" s="169" t="s">
        <v>25081</v>
      </c>
      <c r="C1665" s="169" t="s">
        <v>10225</v>
      </c>
      <c r="D1665" s="169" t="s">
        <v>1289</v>
      </c>
      <c r="E1665" s="103" t="s">
        <v>15515</v>
      </c>
      <c r="F1665" s="104"/>
      <c r="G1665" s="105">
        <f t="shared" si="100"/>
        <v>5.22</v>
      </c>
      <c r="H1665" s="101" t="str">
        <f t="shared" si="101"/>
        <v>Sinapi 2633</v>
      </c>
      <c r="I1665" s="101" t="str">
        <f t="shared" si="102"/>
        <v>UN</v>
      </c>
      <c r="J1665" s="140" t="str">
        <f t="shared" si="103"/>
        <v>CURVA 90 GRAUS, PARA ELETRODUTO, EM ACO GALVANIZADO ELETROLITICO, DIAMETRO DE 20 MM (3/4")</v>
      </c>
    </row>
    <row r="1666" spans="1:10" x14ac:dyDescent="0.25">
      <c r="A1666" s="169">
        <v>2617</v>
      </c>
      <c r="B1666" s="169" t="s">
        <v>25082</v>
      </c>
      <c r="C1666" s="169" t="s">
        <v>10225</v>
      </c>
      <c r="D1666" s="169" t="s">
        <v>1289</v>
      </c>
      <c r="E1666" s="103" t="s">
        <v>2100</v>
      </c>
      <c r="F1666" s="104"/>
      <c r="G1666" s="105">
        <f t="shared" si="100"/>
        <v>7.09</v>
      </c>
      <c r="H1666" s="101" t="str">
        <f t="shared" si="101"/>
        <v>Sinapi 2617</v>
      </c>
      <c r="I1666" s="101" t="str">
        <f t="shared" si="102"/>
        <v>UN</v>
      </c>
      <c r="J1666" s="140" t="str">
        <f t="shared" si="103"/>
        <v>CURVA 90 GRAUS, PARA ELETRODUTO, EM ACO GALVANIZADO ELETROLITICO, DIAMETRO DE 25 MM (1")</v>
      </c>
    </row>
    <row r="1667" spans="1:10" x14ac:dyDescent="0.25">
      <c r="A1667" s="169">
        <v>2618</v>
      </c>
      <c r="B1667" s="169" t="s">
        <v>25083</v>
      </c>
      <c r="C1667" s="169" t="s">
        <v>10225</v>
      </c>
      <c r="D1667" s="169" t="s">
        <v>1289</v>
      </c>
      <c r="E1667" s="103" t="s">
        <v>30250</v>
      </c>
      <c r="F1667" s="104"/>
      <c r="G1667" s="105">
        <f t="shared" si="100"/>
        <v>16.149999999999999</v>
      </c>
      <c r="H1667" s="101" t="str">
        <f t="shared" si="101"/>
        <v>Sinapi 2618</v>
      </c>
      <c r="I1667" s="101" t="str">
        <f t="shared" si="102"/>
        <v>UN</v>
      </c>
      <c r="J1667" s="140" t="str">
        <f t="shared" si="103"/>
        <v>CURVA 90 GRAUS, PARA ELETRODUTO, EM ACO GALVANIZADO ELETROLITICO, DIAMETRO DE 32 MM (1 1/4")</v>
      </c>
    </row>
    <row r="1668" spans="1:10" x14ac:dyDescent="0.25">
      <c r="A1668" s="169">
        <v>2632</v>
      </c>
      <c r="B1668" s="169" t="s">
        <v>25084</v>
      </c>
      <c r="C1668" s="169" t="s">
        <v>10225</v>
      </c>
      <c r="D1668" s="169" t="s">
        <v>1289</v>
      </c>
      <c r="E1668" s="103" t="s">
        <v>30251</v>
      </c>
      <c r="F1668" s="104"/>
      <c r="G1668" s="105">
        <f t="shared" si="100"/>
        <v>19.690000000000001</v>
      </c>
      <c r="H1668" s="101" t="str">
        <f t="shared" si="101"/>
        <v>Sinapi 2632</v>
      </c>
      <c r="I1668" s="101" t="str">
        <f t="shared" si="102"/>
        <v>UN</v>
      </c>
      <c r="J1668" s="140" t="str">
        <f t="shared" si="103"/>
        <v>CURVA 90 GRAUS, PARA ELETRODUTO, EM ACO GALVANIZADO ELETROLITICO, DIAMETRO DE 40 MM (1 1/2")</v>
      </c>
    </row>
    <row r="1669" spans="1:10" x14ac:dyDescent="0.25">
      <c r="A1669" s="169">
        <v>2631</v>
      </c>
      <c r="B1669" s="169" t="s">
        <v>25085</v>
      </c>
      <c r="C1669" s="169" t="s">
        <v>10225</v>
      </c>
      <c r="D1669" s="169" t="s">
        <v>1289</v>
      </c>
      <c r="E1669" s="103" t="s">
        <v>15659</v>
      </c>
      <c r="F1669" s="104"/>
      <c r="G1669" s="105">
        <f t="shared" si="100"/>
        <v>28.91</v>
      </c>
      <c r="H1669" s="101" t="str">
        <f t="shared" si="101"/>
        <v>Sinapi 2631</v>
      </c>
      <c r="I1669" s="101" t="str">
        <f t="shared" si="102"/>
        <v>UN</v>
      </c>
      <c r="J1669" s="140" t="str">
        <f t="shared" si="103"/>
        <v>CURVA 90 GRAUS, PARA ELETRODUTO, EM ACO GALVANIZADO ELETROLITICO, DIAMETRO DE 50 MM (2")</v>
      </c>
    </row>
    <row r="1670" spans="1:10" x14ac:dyDescent="0.25">
      <c r="A1670" s="169">
        <v>2619</v>
      </c>
      <c r="B1670" s="169" t="s">
        <v>25086</v>
      </c>
      <c r="C1670" s="169" t="s">
        <v>10225</v>
      </c>
      <c r="D1670" s="169" t="s">
        <v>1289</v>
      </c>
      <c r="E1670" s="103" t="s">
        <v>20568</v>
      </c>
      <c r="F1670" s="104"/>
      <c r="G1670" s="105">
        <f t="shared" si="100"/>
        <v>73.209999999999994</v>
      </c>
      <c r="H1670" s="101" t="str">
        <f t="shared" si="101"/>
        <v>Sinapi 2619</v>
      </c>
      <c r="I1670" s="101" t="str">
        <f t="shared" si="102"/>
        <v>UN</v>
      </c>
      <c r="J1670" s="140" t="str">
        <f t="shared" si="103"/>
        <v>CURVA 90 GRAUS, PARA ELETRODUTO, EM ACO GALVANIZADO ELETROLITICO, DIAMETRO DE 65 MM (2 1/2")</v>
      </c>
    </row>
    <row r="1671" spans="1:10" x14ac:dyDescent="0.25">
      <c r="A1671" s="169">
        <v>2620</v>
      </c>
      <c r="B1671" s="169" t="s">
        <v>25087</v>
      </c>
      <c r="C1671" s="169" t="s">
        <v>10225</v>
      </c>
      <c r="D1671" s="169" t="s">
        <v>1289</v>
      </c>
      <c r="E1671" s="103" t="s">
        <v>28487</v>
      </c>
      <c r="F1671" s="104"/>
      <c r="G1671" s="105">
        <f t="shared" si="100"/>
        <v>96.12</v>
      </c>
      <c r="H1671" s="101" t="str">
        <f t="shared" si="101"/>
        <v>Sinapi 2620</v>
      </c>
      <c r="I1671" s="101" t="str">
        <f t="shared" si="102"/>
        <v>UN</v>
      </c>
      <c r="J1671" s="140" t="str">
        <f t="shared" si="103"/>
        <v>CURVA 90 GRAUS, PARA ELETRODUTO, EM ACO GALVANIZADO ELETROLITICO, DIAMETRO DE 80 MM (3")</v>
      </c>
    </row>
    <row r="1672" spans="1:10" x14ac:dyDescent="0.25">
      <c r="A1672" s="169">
        <v>44472</v>
      </c>
      <c r="B1672" s="169" t="s">
        <v>25088</v>
      </c>
      <c r="C1672" s="169" t="s">
        <v>10225</v>
      </c>
      <c r="D1672" s="169" t="s">
        <v>1290</v>
      </c>
      <c r="E1672" s="103" t="s">
        <v>23335</v>
      </c>
      <c r="F1672" s="104"/>
      <c r="G1672" s="105">
        <f t="shared" ref="G1672:G1735" si="104">IF(E1672="","",E1672+0)</f>
        <v>60.29</v>
      </c>
      <c r="H1672" s="101" t="str">
        <f t="shared" ref="H1672:H1735" si="105">IF(G1672="","",TRIM(CONCATENATE("Sinapi ",A1672)))</f>
        <v>Sinapi 44472</v>
      </c>
      <c r="I1672" s="101" t="str">
        <f t="shared" ref="I1672:I1735" si="106">TRIM(C1672)</f>
        <v>UN</v>
      </c>
      <c r="J1672" s="140" t="str">
        <f t="shared" si="103"/>
        <v>DENTE PARA FRESADORA</v>
      </c>
    </row>
    <row r="1673" spans="1:10" x14ac:dyDescent="0.25">
      <c r="A1673" s="169">
        <v>38369</v>
      </c>
      <c r="B1673" s="169" t="s">
        <v>25090</v>
      </c>
      <c r="C1673" s="169" t="s">
        <v>10225</v>
      </c>
      <c r="D1673" s="169" t="s">
        <v>1289</v>
      </c>
      <c r="E1673" s="103" t="s">
        <v>30252</v>
      </c>
      <c r="F1673" s="104"/>
      <c r="G1673" s="105">
        <f t="shared" si="104"/>
        <v>27.32</v>
      </c>
      <c r="H1673" s="101" t="str">
        <f t="shared" si="105"/>
        <v>Sinapi 38369</v>
      </c>
      <c r="I1673" s="101" t="str">
        <f t="shared" si="106"/>
        <v>UN</v>
      </c>
      <c r="J1673" s="140" t="str">
        <f t="shared" ref="J1673:J1736" si="107">TRIM(B1673)</f>
        <v>DESEMPENADEIRA DE ACO DENTADA 12 X *25* CM, DENTES 8 X 8 MM, CABO FECHADO DE MADEIRA</v>
      </c>
    </row>
    <row r="1674" spans="1:10" x14ac:dyDescent="0.25">
      <c r="A1674" s="169">
        <v>38370</v>
      </c>
      <c r="B1674" s="169" t="s">
        <v>25091</v>
      </c>
      <c r="C1674" s="169" t="s">
        <v>10225</v>
      </c>
      <c r="D1674" s="169" t="s">
        <v>1289</v>
      </c>
      <c r="E1674" s="103" t="s">
        <v>30252</v>
      </c>
      <c r="F1674" s="104"/>
      <c r="G1674" s="105">
        <f t="shared" si="104"/>
        <v>27.32</v>
      </c>
      <c r="H1674" s="101" t="str">
        <f t="shared" si="105"/>
        <v>Sinapi 38370</v>
      </c>
      <c r="I1674" s="101" t="str">
        <f t="shared" si="106"/>
        <v>UN</v>
      </c>
      <c r="J1674" s="140" t="str">
        <f t="shared" si="107"/>
        <v>DESEMPENADEIRA DE ACO LISA 12 X *25* CM COM CABO FECHADO DE MADEIRA</v>
      </c>
    </row>
    <row r="1675" spans="1:10" x14ac:dyDescent="0.25">
      <c r="A1675" s="169">
        <v>38372</v>
      </c>
      <c r="B1675" s="169" t="s">
        <v>25092</v>
      </c>
      <c r="C1675" s="169" t="s">
        <v>10225</v>
      </c>
      <c r="D1675" s="169" t="s">
        <v>1289</v>
      </c>
      <c r="E1675" s="103" t="s">
        <v>17958</v>
      </c>
      <c r="F1675" s="104"/>
      <c r="G1675" s="105">
        <f t="shared" si="104"/>
        <v>21.25</v>
      </c>
      <c r="H1675" s="101" t="str">
        <f t="shared" si="105"/>
        <v>Sinapi 38372</v>
      </c>
      <c r="I1675" s="101" t="str">
        <f t="shared" si="106"/>
        <v>UN</v>
      </c>
      <c r="J1675" s="140" t="str">
        <f t="shared" si="107"/>
        <v>DESEMPENADEIRA PLASTICA LISA *14 X 27* CM</v>
      </c>
    </row>
    <row r="1676" spans="1:10" x14ac:dyDescent="0.25">
      <c r="A1676" s="169">
        <v>2357</v>
      </c>
      <c r="B1676" s="169" t="s">
        <v>25093</v>
      </c>
      <c r="C1676" s="169" t="s">
        <v>10228</v>
      </c>
      <c r="D1676" s="169" t="s">
        <v>1289</v>
      </c>
      <c r="E1676" s="103" t="s">
        <v>15787</v>
      </c>
      <c r="F1676" s="104"/>
      <c r="G1676" s="105">
        <f t="shared" si="104"/>
        <v>17.96</v>
      </c>
      <c r="H1676" s="101" t="str">
        <f t="shared" si="105"/>
        <v>Sinapi 2357</v>
      </c>
      <c r="I1676" s="101" t="str">
        <f t="shared" si="106"/>
        <v>H</v>
      </c>
      <c r="J1676" s="140" t="str">
        <f t="shared" si="107"/>
        <v>DESENHISTA COPISTA (HORISTA)</v>
      </c>
    </row>
    <row r="1677" spans="1:10" x14ac:dyDescent="0.25">
      <c r="A1677" s="169">
        <v>40806</v>
      </c>
      <c r="B1677" s="169" t="s">
        <v>25094</v>
      </c>
      <c r="C1677" s="169" t="s">
        <v>10235</v>
      </c>
      <c r="D1677" s="169" t="s">
        <v>1289</v>
      </c>
      <c r="E1677" s="103" t="s">
        <v>30253</v>
      </c>
      <c r="F1677" s="104"/>
      <c r="G1677" s="105">
        <f t="shared" si="104"/>
        <v>3126.77</v>
      </c>
      <c r="H1677" s="101" t="str">
        <f t="shared" si="105"/>
        <v>Sinapi 40806</v>
      </c>
      <c r="I1677" s="101" t="str">
        <f t="shared" si="106"/>
        <v>MES</v>
      </c>
      <c r="J1677" s="140" t="str">
        <f t="shared" si="107"/>
        <v>DESENHISTA COPISTA (MENSALISTA)</v>
      </c>
    </row>
    <row r="1678" spans="1:10" x14ac:dyDescent="0.25">
      <c r="A1678" s="169">
        <v>2355</v>
      </c>
      <c r="B1678" s="169" t="s">
        <v>25095</v>
      </c>
      <c r="C1678" s="169" t="s">
        <v>10228</v>
      </c>
      <c r="D1678" s="169" t="s">
        <v>1289</v>
      </c>
      <c r="E1678" s="103" t="s">
        <v>19317</v>
      </c>
      <c r="F1678" s="104"/>
      <c r="G1678" s="105">
        <f t="shared" si="104"/>
        <v>28.45</v>
      </c>
      <c r="H1678" s="101" t="str">
        <f t="shared" si="105"/>
        <v>Sinapi 2355</v>
      </c>
      <c r="I1678" s="101" t="str">
        <f t="shared" si="106"/>
        <v>H</v>
      </c>
      <c r="J1678" s="140" t="str">
        <f t="shared" si="107"/>
        <v>DESENHISTA DETALHISTA (HORISTA)</v>
      </c>
    </row>
    <row r="1679" spans="1:10" x14ac:dyDescent="0.25">
      <c r="A1679" s="169">
        <v>40805</v>
      </c>
      <c r="B1679" s="169" t="s">
        <v>25096</v>
      </c>
      <c r="C1679" s="169" t="s">
        <v>10235</v>
      </c>
      <c r="D1679" s="169" t="s">
        <v>1289</v>
      </c>
      <c r="E1679" s="103" t="s">
        <v>30254</v>
      </c>
      <c r="F1679" s="104"/>
      <c r="G1679" s="105">
        <f t="shared" si="104"/>
        <v>4951.76</v>
      </c>
      <c r="H1679" s="101" t="str">
        <f t="shared" si="105"/>
        <v>Sinapi 40805</v>
      </c>
      <c r="I1679" s="101" t="str">
        <f t="shared" si="106"/>
        <v>MES</v>
      </c>
      <c r="J1679" s="140" t="str">
        <f t="shared" si="107"/>
        <v>DESENHISTA DETALHISTA (MENSALISTA)</v>
      </c>
    </row>
    <row r="1680" spans="1:10" x14ac:dyDescent="0.25">
      <c r="A1680" s="169">
        <v>2358</v>
      </c>
      <c r="B1680" s="169" t="s">
        <v>25097</v>
      </c>
      <c r="C1680" s="169" t="s">
        <v>10228</v>
      </c>
      <c r="D1680" s="169" t="s">
        <v>1289</v>
      </c>
      <c r="E1680" s="103" t="s">
        <v>23668</v>
      </c>
      <c r="F1680" s="104"/>
      <c r="G1680" s="105">
        <f t="shared" si="104"/>
        <v>20.53</v>
      </c>
      <c r="H1680" s="101" t="str">
        <f t="shared" si="105"/>
        <v>Sinapi 2358</v>
      </c>
      <c r="I1680" s="101" t="str">
        <f t="shared" si="106"/>
        <v>H</v>
      </c>
      <c r="J1680" s="140" t="str">
        <f t="shared" si="107"/>
        <v>DESENHISTA PROJETISTA (HORISTA)</v>
      </c>
    </row>
    <row r="1681" spans="1:10" x14ac:dyDescent="0.25">
      <c r="A1681" s="169">
        <v>40807</v>
      </c>
      <c r="B1681" s="169" t="s">
        <v>25098</v>
      </c>
      <c r="C1681" s="169" t="s">
        <v>10235</v>
      </c>
      <c r="D1681" s="169" t="s">
        <v>1289</v>
      </c>
      <c r="E1681" s="103" t="s">
        <v>30255</v>
      </c>
      <c r="F1681" s="104"/>
      <c r="G1681" s="105">
        <f t="shared" si="104"/>
        <v>3572.53</v>
      </c>
      <c r="H1681" s="101" t="str">
        <f t="shared" si="105"/>
        <v>Sinapi 40807</v>
      </c>
      <c r="I1681" s="101" t="str">
        <f t="shared" si="106"/>
        <v>MES</v>
      </c>
      <c r="J1681" s="140" t="str">
        <f t="shared" si="107"/>
        <v>DESENHISTA PROJETISTA (MENSALISTA)</v>
      </c>
    </row>
    <row r="1682" spans="1:10" x14ac:dyDescent="0.25">
      <c r="A1682" s="169">
        <v>2359</v>
      </c>
      <c r="B1682" s="169" t="s">
        <v>25099</v>
      </c>
      <c r="C1682" s="169" t="s">
        <v>10228</v>
      </c>
      <c r="D1682" s="169" t="s">
        <v>1289</v>
      </c>
      <c r="E1682" s="103" t="s">
        <v>18423</v>
      </c>
      <c r="F1682" s="104"/>
      <c r="G1682" s="105">
        <f t="shared" si="104"/>
        <v>22.28</v>
      </c>
      <c r="H1682" s="101" t="str">
        <f t="shared" si="105"/>
        <v>Sinapi 2359</v>
      </c>
      <c r="I1682" s="101" t="str">
        <f t="shared" si="106"/>
        <v>H</v>
      </c>
      <c r="J1682" s="140" t="str">
        <f t="shared" si="107"/>
        <v>DESENHISTA TECNICO AUXILIAR (HORISTA)</v>
      </c>
    </row>
    <row r="1683" spans="1:10" x14ac:dyDescent="0.25">
      <c r="A1683" s="169">
        <v>40808</v>
      </c>
      <c r="B1683" s="169" t="s">
        <v>25100</v>
      </c>
      <c r="C1683" s="169" t="s">
        <v>10235</v>
      </c>
      <c r="D1683" s="169" t="s">
        <v>1289</v>
      </c>
      <c r="E1683" s="103" t="s">
        <v>30256</v>
      </c>
      <c r="F1683" s="104"/>
      <c r="G1683" s="105">
        <f t="shared" si="104"/>
        <v>3878.39</v>
      </c>
      <c r="H1683" s="101" t="str">
        <f t="shared" si="105"/>
        <v>Sinapi 40808</v>
      </c>
      <c r="I1683" s="101" t="str">
        <f t="shared" si="106"/>
        <v>MES</v>
      </c>
      <c r="J1683" s="140" t="str">
        <f t="shared" si="107"/>
        <v>DESENHISTA TECNICO AUXILIAR (MENSALISTA)</v>
      </c>
    </row>
    <row r="1684" spans="1:10" x14ac:dyDescent="0.25">
      <c r="A1684" s="169">
        <v>44330</v>
      </c>
      <c r="B1684" s="169" t="s">
        <v>25101</v>
      </c>
      <c r="C1684" s="169" t="s">
        <v>10230</v>
      </c>
      <c r="D1684" s="169" t="s">
        <v>1289</v>
      </c>
      <c r="E1684" s="103" t="s">
        <v>15133</v>
      </c>
      <c r="F1684" s="104"/>
      <c r="G1684" s="105">
        <f t="shared" si="104"/>
        <v>10.54</v>
      </c>
      <c r="H1684" s="101" t="str">
        <f t="shared" si="105"/>
        <v>Sinapi 44330</v>
      </c>
      <c r="I1684" s="101" t="str">
        <f t="shared" si="106"/>
        <v>L</v>
      </c>
      <c r="J1684" s="140" t="str">
        <f t="shared" si="107"/>
        <v>DESINFETANTE PRONTO USO</v>
      </c>
    </row>
    <row r="1685" spans="1:10" x14ac:dyDescent="0.25">
      <c r="A1685" s="169">
        <v>43144</v>
      </c>
      <c r="B1685" s="169" t="s">
        <v>25102</v>
      </c>
      <c r="C1685" s="169" t="s">
        <v>10231</v>
      </c>
      <c r="D1685" s="169" t="s">
        <v>1289</v>
      </c>
      <c r="E1685" s="103" t="s">
        <v>30257</v>
      </c>
      <c r="F1685" s="104"/>
      <c r="G1685" s="105">
        <f t="shared" si="104"/>
        <v>44.99</v>
      </c>
      <c r="H1685" s="101" t="str">
        <f t="shared" si="105"/>
        <v>Sinapi 43144</v>
      </c>
      <c r="I1685" s="101" t="str">
        <f t="shared" si="106"/>
        <v>KG</v>
      </c>
      <c r="J1685" s="140" t="str">
        <f t="shared" si="107"/>
        <v>DESMOLDANTE PARA CONCRETO ESTAMPADO</v>
      </c>
    </row>
    <row r="1686" spans="1:10" x14ac:dyDescent="0.25">
      <c r="A1686" s="169">
        <v>39397</v>
      </c>
      <c r="B1686" s="169" t="s">
        <v>25104</v>
      </c>
      <c r="C1686" s="169" t="s">
        <v>10230</v>
      </c>
      <c r="D1686" s="169" t="s">
        <v>1289</v>
      </c>
      <c r="E1686" s="103" t="s">
        <v>30258</v>
      </c>
      <c r="F1686" s="104"/>
      <c r="G1686" s="105">
        <f t="shared" si="104"/>
        <v>20.51</v>
      </c>
      <c r="H1686" s="101" t="str">
        <f t="shared" si="105"/>
        <v>Sinapi 39397</v>
      </c>
      <c r="I1686" s="101" t="str">
        <f t="shared" si="106"/>
        <v>L</v>
      </c>
      <c r="J1686" s="140" t="str">
        <f t="shared" si="107"/>
        <v>DESMOLDANTE PARA FORMAS METALICAS A BASE DE OLEO VEGETAL</v>
      </c>
    </row>
    <row r="1687" spans="1:10" x14ac:dyDescent="0.25">
      <c r="A1687" s="169">
        <v>2692</v>
      </c>
      <c r="B1687" s="169" t="s">
        <v>1014</v>
      </c>
      <c r="C1687" s="169" t="s">
        <v>10230</v>
      </c>
      <c r="D1687" s="169" t="s">
        <v>1289</v>
      </c>
      <c r="E1687" s="103" t="s">
        <v>27954</v>
      </c>
      <c r="F1687" s="104"/>
      <c r="G1687" s="105">
        <f t="shared" si="104"/>
        <v>8.27</v>
      </c>
      <c r="H1687" s="101" t="str">
        <f t="shared" si="105"/>
        <v>Sinapi 2692</v>
      </c>
      <c r="I1687" s="101" t="str">
        <f t="shared" si="106"/>
        <v>L</v>
      </c>
      <c r="J1687" s="140" t="str">
        <f t="shared" si="107"/>
        <v>DESMOLDANTE PROTETOR PARA FORMAS DE MADEIRA, DE BASE OLEOSA EMULSIONADA EM AGUA</v>
      </c>
    </row>
    <row r="1688" spans="1:10" x14ac:dyDescent="0.25">
      <c r="A1688" s="169">
        <v>44329</v>
      </c>
      <c r="B1688" s="169" t="s">
        <v>25105</v>
      </c>
      <c r="C1688" s="169" t="s">
        <v>10230</v>
      </c>
      <c r="D1688" s="169" t="s">
        <v>1289</v>
      </c>
      <c r="E1688" s="103" t="s">
        <v>15798</v>
      </c>
      <c r="F1688" s="104"/>
      <c r="G1688" s="105">
        <f t="shared" si="104"/>
        <v>13.82</v>
      </c>
      <c r="H1688" s="101" t="str">
        <f t="shared" si="105"/>
        <v>Sinapi 44329</v>
      </c>
      <c r="I1688" s="101" t="str">
        <f t="shared" si="106"/>
        <v>L</v>
      </c>
      <c r="J1688" s="140" t="str">
        <f t="shared" si="107"/>
        <v>DETERGENTE NEUTRO USO GERAL, CONCENTRADO</v>
      </c>
    </row>
    <row r="1689" spans="1:10" x14ac:dyDescent="0.25">
      <c r="A1689" s="169">
        <v>5318</v>
      </c>
      <c r="B1689" s="169" t="s">
        <v>25106</v>
      </c>
      <c r="C1689" s="169" t="s">
        <v>10230</v>
      </c>
      <c r="D1689" s="169" t="s">
        <v>1288</v>
      </c>
      <c r="E1689" s="103" t="s">
        <v>19325</v>
      </c>
      <c r="F1689" s="104"/>
      <c r="G1689" s="105">
        <f t="shared" si="104"/>
        <v>22.34</v>
      </c>
      <c r="H1689" s="101" t="str">
        <f t="shared" si="105"/>
        <v>Sinapi 5318</v>
      </c>
      <c r="I1689" s="101" t="str">
        <f t="shared" si="106"/>
        <v>L</v>
      </c>
      <c r="J1689" s="140" t="str">
        <f t="shared" si="107"/>
        <v>DILUENTE AGUARRAS</v>
      </c>
    </row>
    <row r="1690" spans="1:10" x14ac:dyDescent="0.25">
      <c r="A1690" s="169">
        <v>5330</v>
      </c>
      <c r="B1690" s="169" t="s">
        <v>25107</v>
      </c>
      <c r="C1690" s="169" t="s">
        <v>10230</v>
      </c>
      <c r="D1690" s="169" t="s">
        <v>1289</v>
      </c>
      <c r="E1690" s="103" t="s">
        <v>24411</v>
      </c>
      <c r="F1690" s="104"/>
      <c r="G1690" s="105">
        <f t="shared" si="104"/>
        <v>50.92</v>
      </c>
      <c r="H1690" s="101" t="str">
        <f t="shared" si="105"/>
        <v>Sinapi 5330</v>
      </c>
      <c r="I1690" s="101" t="str">
        <f t="shared" si="106"/>
        <v>L</v>
      </c>
      <c r="J1690" s="140" t="str">
        <f t="shared" si="107"/>
        <v>DILUENTE EPOXI</v>
      </c>
    </row>
    <row r="1691" spans="1:10" x14ac:dyDescent="0.25">
      <c r="A1691" s="169">
        <v>44532</v>
      </c>
      <c r="B1691" s="169" t="s">
        <v>25109</v>
      </c>
      <c r="C1691" s="169" t="s">
        <v>10225</v>
      </c>
      <c r="D1691" s="169" t="s">
        <v>1289</v>
      </c>
      <c r="E1691" s="103" t="s">
        <v>20346</v>
      </c>
      <c r="F1691" s="104"/>
      <c r="G1691" s="105">
        <f t="shared" si="104"/>
        <v>33.21</v>
      </c>
      <c r="H1691" s="101" t="str">
        <f t="shared" si="105"/>
        <v>Sinapi 44532</v>
      </c>
      <c r="I1691" s="101" t="str">
        <f t="shared" si="106"/>
        <v>UN</v>
      </c>
      <c r="J1691" s="140" t="str">
        <f t="shared" si="107"/>
        <v>DISCO DE BORRACHA PARA LIXADEIRA RIGIDO 7 " COM ARRUELA CENTRAL</v>
      </c>
    </row>
    <row r="1692" spans="1:10" x14ac:dyDescent="0.25">
      <c r="A1692" s="169">
        <v>44531</v>
      </c>
      <c r="B1692" s="169" t="s">
        <v>25110</v>
      </c>
      <c r="C1692" s="169" t="s">
        <v>10225</v>
      </c>
      <c r="D1692" s="169" t="s">
        <v>1289</v>
      </c>
      <c r="E1692" s="103" t="s">
        <v>30259</v>
      </c>
      <c r="F1692" s="104"/>
      <c r="G1692" s="105">
        <f t="shared" si="104"/>
        <v>105.56</v>
      </c>
      <c r="H1692" s="101" t="str">
        <f t="shared" si="105"/>
        <v>Sinapi 44531</v>
      </c>
      <c r="I1692" s="101" t="str">
        <f t="shared" si="106"/>
        <v>UN</v>
      </c>
      <c r="J1692" s="140" t="str">
        <f t="shared" si="107"/>
        <v>DISCO DE CORTE DIAMANTADO SEGMENTADO DIAMETRO DE 180 MM PARA ESMERILHADEIRA 7 "</v>
      </c>
    </row>
    <row r="1693" spans="1:10" x14ac:dyDescent="0.25">
      <c r="A1693" s="169">
        <v>38140</v>
      </c>
      <c r="B1693" s="169" t="s">
        <v>25112</v>
      </c>
      <c r="C1693" s="169" t="s">
        <v>10225</v>
      </c>
      <c r="D1693" s="169" t="s">
        <v>1288</v>
      </c>
      <c r="E1693" s="103" t="s">
        <v>22843</v>
      </c>
      <c r="F1693" s="104"/>
      <c r="G1693" s="105">
        <f t="shared" si="104"/>
        <v>25.6</v>
      </c>
      <c r="H1693" s="101" t="str">
        <f t="shared" si="105"/>
        <v>Sinapi 38140</v>
      </c>
      <c r="I1693" s="101" t="str">
        <f t="shared" si="106"/>
        <v>UN</v>
      </c>
      <c r="J1693" s="140" t="str">
        <f t="shared" si="107"/>
        <v>DISCO DE CORTE DIAMANTADO SEGMENTADO PARA CONCRETO, DIAMETRO DE 110 MM, FURO DE 20 MM</v>
      </c>
    </row>
    <row r="1694" spans="1:10" x14ac:dyDescent="0.25">
      <c r="A1694" s="169">
        <v>13887</v>
      </c>
      <c r="B1694" s="169" t="s">
        <v>25113</v>
      </c>
      <c r="C1694" s="169" t="s">
        <v>10225</v>
      </c>
      <c r="D1694" s="169" t="s">
        <v>1289</v>
      </c>
      <c r="E1694" s="103" t="s">
        <v>30260</v>
      </c>
      <c r="F1694" s="104"/>
      <c r="G1694" s="105">
        <f t="shared" si="104"/>
        <v>606.1</v>
      </c>
      <c r="H1694" s="101" t="str">
        <f t="shared" si="105"/>
        <v>Sinapi 13887</v>
      </c>
      <c r="I1694" s="101" t="str">
        <f t="shared" si="106"/>
        <v>UN</v>
      </c>
      <c r="J1694" s="140" t="str">
        <f t="shared" si="107"/>
        <v>DISCO DE CORTE DIAMANTADO SEGMENTADO PARA CONCRETO, DIAMETRO DE 350 MM, FURO DE 1 " (14 X 1 ")</v>
      </c>
    </row>
    <row r="1695" spans="1:10" x14ac:dyDescent="0.25">
      <c r="A1695" s="169">
        <v>44495</v>
      </c>
      <c r="B1695" s="169" t="s">
        <v>25114</v>
      </c>
      <c r="C1695" s="169" t="s">
        <v>10225</v>
      </c>
      <c r="D1695" s="169" t="s">
        <v>1289</v>
      </c>
      <c r="E1695" s="103" t="s">
        <v>29174</v>
      </c>
      <c r="F1695" s="104"/>
      <c r="G1695" s="105">
        <f t="shared" si="104"/>
        <v>26.98</v>
      </c>
      <c r="H1695" s="101" t="str">
        <f t="shared" si="105"/>
        <v>Sinapi 44495</v>
      </c>
      <c r="I1695" s="101" t="str">
        <f t="shared" si="106"/>
        <v>UN</v>
      </c>
      <c r="J1695" s="140" t="str">
        <f t="shared" si="107"/>
        <v>DISCO DE CORTE PARA METAL COM DUAS TELAS 12 X 1/8 X 3/4 " (300 X 3,2 X 19,05 MM)</v>
      </c>
    </row>
    <row r="1696" spans="1:10" x14ac:dyDescent="0.25">
      <c r="A1696" s="169">
        <v>44533</v>
      </c>
      <c r="B1696" s="169" t="s">
        <v>25115</v>
      </c>
      <c r="C1696" s="169" t="s">
        <v>10225</v>
      </c>
      <c r="D1696" s="169" t="s">
        <v>1289</v>
      </c>
      <c r="E1696" s="103" t="s">
        <v>17308</v>
      </c>
      <c r="F1696" s="104"/>
      <c r="G1696" s="105">
        <f t="shared" si="104"/>
        <v>25.48</v>
      </c>
      <c r="H1696" s="101" t="str">
        <f t="shared" si="105"/>
        <v>Sinapi 44533</v>
      </c>
      <c r="I1696" s="101" t="str">
        <f t="shared" si="106"/>
        <v>UN</v>
      </c>
      <c r="J1696" s="140" t="str">
        <f t="shared" si="107"/>
        <v>DISCO DE DESBASTE PARA METAL FERROSO EM GERAL, COM TRES TELAS, 9 X 1/4 X 7/8 " ( 228,6 X 6,4 X 22,2 MM)</v>
      </c>
    </row>
    <row r="1697" spans="1:10" x14ac:dyDescent="0.25">
      <c r="A1697" s="169">
        <v>44534</v>
      </c>
      <c r="B1697" s="169" t="s">
        <v>25116</v>
      </c>
      <c r="C1697" s="169" t="s">
        <v>10225</v>
      </c>
      <c r="D1697" s="169" t="s">
        <v>1289</v>
      </c>
      <c r="E1697" s="103" t="s">
        <v>5238</v>
      </c>
      <c r="F1697" s="104"/>
      <c r="G1697" s="105">
        <f t="shared" si="104"/>
        <v>6.64</v>
      </c>
      <c r="H1697" s="101" t="str">
        <f t="shared" si="105"/>
        <v>Sinapi 44534</v>
      </c>
      <c r="I1697" s="101" t="str">
        <f t="shared" si="106"/>
        <v>UN</v>
      </c>
      <c r="J1697" s="140" t="str">
        <f t="shared" si="107"/>
        <v>DISCO DE LIXA PARA METAL, DIAMETRO = 180 MM, GRAO 120</v>
      </c>
    </row>
    <row r="1698" spans="1:10" x14ac:dyDescent="0.25">
      <c r="A1698" s="169">
        <v>34544</v>
      </c>
      <c r="B1698" s="169" t="s">
        <v>25117</v>
      </c>
      <c r="C1698" s="169" t="s">
        <v>10225</v>
      </c>
      <c r="D1698" s="169" t="s">
        <v>1289</v>
      </c>
      <c r="E1698" s="103" t="s">
        <v>30261</v>
      </c>
      <c r="F1698" s="104"/>
      <c r="G1698" s="105">
        <f t="shared" si="104"/>
        <v>1566.79</v>
      </c>
      <c r="H1698" s="101" t="str">
        <f t="shared" si="105"/>
        <v>Sinapi 34544</v>
      </c>
      <c r="I1698" s="101" t="str">
        <f t="shared" si="106"/>
        <v>UN</v>
      </c>
      <c r="J1698" s="140" t="str">
        <f t="shared" si="107"/>
        <v>DISJUNTOR TERMOMAGNETICO TRIPOLAR 3 X 400 A / ICC - 25 KA</v>
      </c>
    </row>
    <row r="1699" spans="1:10" x14ac:dyDescent="0.25">
      <c r="A1699" s="169">
        <v>34729</v>
      </c>
      <c r="B1699" s="169" t="s">
        <v>25118</v>
      </c>
      <c r="C1699" s="169" t="s">
        <v>10225</v>
      </c>
      <c r="D1699" s="169" t="s">
        <v>1289</v>
      </c>
      <c r="E1699" s="103" t="s">
        <v>30262</v>
      </c>
      <c r="F1699" s="104"/>
      <c r="G1699" s="105">
        <f t="shared" si="104"/>
        <v>1232.52</v>
      </c>
      <c r="H1699" s="101" t="str">
        <f t="shared" si="105"/>
        <v>Sinapi 34729</v>
      </c>
      <c r="I1699" s="101" t="str">
        <f t="shared" si="106"/>
        <v>UN</v>
      </c>
      <c r="J1699" s="140" t="str">
        <f t="shared" si="107"/>
        <v>DISJUNTOR TERMICO E MAGNETICO AJUSTAVEIS, TRIPOLAR DE 100 ATE 250A, CAPACIDADE DE INTERRUPCAO DE 35KA</v>
      </c>
    </row>
    <row r="1700" spans="1:10" x14ac:dyDescent="0.25">
      <c r="A1700" s="169">
        <v>34734</v>
      </c>
      <c r="B1700" s="169" t="s">
        <v>25119</v>
      </c>
      <c r="C1700" s="169" t="s">
        <v>10225</v>
      </c>
      <c r="D1700" s="169" t="s">
        <v>1289</v>
      </c>
      <c r="E1700" s="103" t="s">
        <v>30263</v>
      </c>
      <c r="F1700" s="104"/>
      <c r="G1700" s="105">
        <f t="shared" si="104"/>
        <v>1908.34</v>
      </c>
      <c r="H1700" s="101" t="str">
        <f t="shared" si="105"/>
        <v>Sinapi 34734</v>
      </c>
      <c r="I1700" s="101" t="str">
        <f t="shared" si="106"/>
        <v>UN</v>
      </c>
      <c r="J1700" s="140" t="str">
        <f t="shared" si="107"/>
        <v>DISJUNTOR TERMICO E MAGNETICO AJUSTAVEIS, TRIPOLAR DE 300 ATE 400A, CAPACIDADE DE INTERRUPCAO DE 35KA</v>
      </c>
    </row>
    <row r="1701" spans="1:10" x14ac:dyDescent="0.25">
      <c r="A1701" s="169">
        <v>34738</v>
      </c>
      <c r="B1701" s="169" t="s">
        <v>25120</v>
      </c>
      <c r="C1701" s="169" t="s">
        <v>10225</v>
      </c>
      <c r="D1701" s="169" t="s">
        <v>1289</v>
      </c>
      <c r="E1701" s="103" t="s">
        <v>30264</v>
      </c>
      <c r="F1701" s="104"/>
      <c r="G1701" s="105">
        <f t="shared" si="104"/>
        <v>4458.49</v>
      </c>
      <c r="H1701" s="101" t="str">
        <f t="shared" si="105"/>
        <v>Sinapi 34738</v>
      </c>
      <c r="I1701" s="101" t="str">
        <f t="shared" si="106"/>
        <v>UN</v>
      </c>
      <c r="J1701" s="140" t="str">
        <f t="shared" si="107"/>
        <v>DISJUNTOR TERMICO E MAGNETICO AJUSTAVEIS, TRIPOLAR DE 450 ATE 600A, CAPACIDADE DE INTERRUPCAO DE 35KA</v>
      </c>
    </row>
    <row r="1702" spans="1:10" x14ac:dyDescent="0.25">
      <c r="A1702" s="169">
        <v>2391</v>
      </c>
      <c r="B1702" s="169" t="s">
        <v>25121</v>
      </c>
      <c r="C1702" s="169" t="s">
        <v>10225</v>
      </c>
      <c r="D1702" s="169" t="s">
        <v>1289</v>
      </c>
      <c r="E1702" s="103" t="s">
        <v>30265</v>
      </c>
      <c r="F1702" s="104"/>
      <c r="G1702" s="105">
        <f t="shared" si="104"/>
        <v>362.62</v>
      </c>
      <c r="H1702" s="101" t="str">
        <f t="shared" si="105"/>
        <v>Sinapi 2391</v>
      </c>
      <c r="I1702" s="101" t="str">
        <f t="shared" si="106"/>
        <v>UN</v>
      </c>
      <c r="J1702" s="140" t="str">
        <f t="shared" si="107"/>
        <v>DISJUNTOR TERMOMAGNETICO TRIPOLAR 125A</v>
      </c>
    </row>
    <row r="1703" spans="1:10" x14ac:dyDescent="0.25">
      <c r="A1703" s="169">
        <v>2374</v>
      </c>
      <c r="B1703" s="169" t="s">
        <v>25122</v>
      </c>
      <c r="C1703" s="169" t="s">
        <v>10225</v>
      </c>
      <c r="D1703" s="169" t="s">
        <v>1289</v>
      </c>
      <c r="E1703" s="103" t="s">
        <v>30266</v>
      </c>
      <c r="F1703" s="104"/>
      <c r="G1703" s="105">
        <f t="shared" si="104"/>
        <v>411.38</v>
      </c>
      <c r="H1703" s="101" t="str">
        <f t="shared" si="105"/>
        <v>Sinapi 2374</v>
      </c>
      <c r="I1703" s="101" t="str">
        <f t="shared" si="106"/>
        <v>UN</v>
      </c>
      <c r="J1703" s="140" t="str">
        <f t="shared" si="107"/>
        <v>DISJUNTOR TERMOMAGNETICO TRIPOLAR 150 A / 600 V, TIPO FXD / ICC - 35 KA</v>
      </c>
    </row>
    <row r="1704" spans="1:10" x14ac:dyDescent="0.25">
      <c r="A1704" s="169">
        <v>2377</v>
      </c>
      <c r="B1704" s="169" t="s">
        <v>25123</v>
      </c>
      <c r="C1704" s="169" t="s">
        <v>10225</v>
      </c>
      <c r="D1704" s="169" t="s">
        <v>1289</v>
      </c>
      <c r="E1704" s="103" t="s">
        <v>30267</v>
      </c>
      <c r="F1704" s="104"/>
      <c r="G1704" s="105">
        <f t="shared" si="104"/>
        <v>577.33000000000004</v>
      </c>
      <c r="H1704" s="101" t="str">
        <f t="shared" si="105"/>
        <v>Sinapi 2377</v>
      </c>
      <c r="I1704" s="101" t="str">
        <f t="shared" si="106"/>
        <v>UN</v>
      </c>
      <c r="J1704" s="140" t="str">
        <f t="shared" si="107"/>
        <v>DISJUNTOR TERMOMAGNETICO TRIPOLAR 200 A / 600 V, TIPO FXD / ICC - 35 KA</v>
      </c>
    </row>
    <row r="1705" spans="1:10" x14ac:dyDescent="0.25">
      <c r="A1705" s="169">
        <v>2393</v>
      </c>
      <c r="B1705" s="169" t="s">
        <v>25124</v>
      </c>
      <c r="C1705" s="169" t="s">
        <v>10225</v>
      </c>
      <c r="D1705" s="169" t="s">
        <v>1289</v>
      </c>
      <c r="E1705" s="103" t="s">
        <v>30268</v>
      </c>
      <c r="F1705" s="104"/>
      <c r="G1705" s="105">
        <f t="shared" si="104"/>
        <v>966.82</v>
      </c>
      <c r="H1705" s="101" t="str">
        <f t="shared" si="105"/>
        <v>Sinapi 2393</v>
      </c>
      <c r="I1705" s="101" t="str">
        <f t="shared" si="106"/>
        <v>UN</v>
      </c>
      <c r="J1705" s="140" t="str">
        <f t="shared" si="107"/>
        <v>DISJUNTOR TERMOMAGNETICO TRIPOLAR 250 A / 600 V, TIPO FXD</v>
      </c>
    </row>
    <row r="1706" spans="1:10" x14ac:dyDescent="0.25">
      <c r="A1706" s="169">
        <v>34705</v>
      </c>
      <c r="B1706" s="169" t="s">
        <v>25125</v>
      </c>
      <c r="C1706" s="169" t="s">
        <v>10225</v>
      </c>
      <c r="D1706" s="169" t="s">
        <v>1289</v>
      </c>
      <c r="E1706" s="103" t="s">
        <v>30269</v>
      </c>
      <c r="F1706" s="104"/>
      <c r="G1706" s="105">
        <f t="shared" si="104"/>
        <v>845.62</v>
      </c>
      <c r="H1706" s="101" t="str">
        <f t="shared" si="105"/>
        <v>Sinapi 34705</v>
      </c>
      <c r="I1706" s="101" t="str">
        <f t="shared" si="106"/>
        <v>UN</v>
      </c>
      <c r="J1706" s="140" t="str">
        <f t="shared" si="107"/>
        <v>DISJUNTOR TERMOMAGNETICO TRIPOLAR 3 X 250 A/ICC - 25 KA</v>
      </c>
    </row>
    <row r="1707" spans="1:10" x14ac:dyDescent="0.25">
      <c r="A1707" s="169">
        <v>34707</v>
      </c>
      <c r="B1707" s="169" t="s">
        <v>25126</v>
      </c>
      <c r="C1707" s="169" t="s">
        <v>10225</v>
      </c>
      <c r="D1707" s="169" t="s">
        <v>1289</v>
      </c>
      <c r="E1707" s="103" t="s">
        <v>30270</v>
      </c>
      <c r="F1707" s="104"/>
      <c r="G1707" s="105">
        <f t="shared" si="104"/>
        <v>1566.96</v>
      </c>
      <c r="H1707" s="101" t="str">
        <f t="shared" si="105"/>
        <v>Sinapi 34707</v>
      </c>
      <c r="I1707" s="101" t="str">
        <f t="shared" si="106"/>
        <v>UN</v>
      </c>
      <c r="J1707" s="140" t="str">
        <f t="shared" si="107"/>
        <v>DISJUNTOR TERMOMAGNETICO TRIPOLAR 3 X 350 A/ICC - 25 KA</v>
      </c>
    </row>
    <row r="1708" spans="1:10" x14ac:dyDescent="0.25">
      <c r="A1708" s="169">
        <v>2378</v>
      </c>
      <c r="B1708" s="169" t="s">
        <v>25127</v>
      </c>
      <c r="C1708" s="169" t="s">
        <v>10225</v>
      </c>
      <c r="D1708" s="169" t="s">
        <v>1289</v>
      </c>
      <c r="E1708" s="103" t="s">
        <v>30271</v>
      </c>
      <c r="F1708" s="104"/>
      <c r="G1708" s="105">
        <f t="shared" si="104"/>
        <v>1328.06</v>
      </c>
      <c r="H1708" s="101" t="str">
        <f t="shared" si="105"/>
        <v>Sinapi 2378</v>
      </c>
      <c r="I1708" s="101" t="str">
        <f t="shared" si="106"/>
        <v>UN</v>
      </c>
      <c r="J1708" s="140" t="str">
        <f t="shared" si="107"/>
        <v>DISJUNTOR TERMOMAGNETICO TRIPOLAR 300 A / 600 V, TIPO JXD / ICC - 40 KA</v>
      </c>
    </row>
    <row r="1709" spans="1:10" x14ac:dyDescent="0.25">
      <c r="A1709" s="169">
        <v>2379</v>
      </c>
      <c r="B1709" s="169" t="s">
        <v>25128</v>
      </c>
      <c r="C1709" s="169" t="s">
        <v>10225</v>
      </c>
      <c r="D1709" s="169" t="s">
        <v>1289</v>
      </c>
      <c r="E1709" s="103" t="s">
        <v>30271</v>
      </c>
      <c r="F1709" s="104"/>
      <c r="G1709" s="105">
        <f t="shared" si="104"/>
        <v>1328.06</v>
      </c>
      <c r="H1709" s="101" t="str">
        <f t="shared" si="105"/>
        <v>Sinapi 2379</v>
      </c>
      <c r="I1709" s="101" t="str">
        <f t="shared" si="106"/>
        <v>UN</v>
      </c>
      <c r="J1709" s="140" t="str">
        <f t="shared" si="107"/>
        <v>DISJUNTOR TERMOMAGNETICO TRIPOLAR 400 A / 600 V, TIPO JXD / ICC - 40 KA</v>
      </c>
    </row>
    <row r="1710" spans="1:10" x14ac:dyDescent="0.25">
      <c r="A1710" s="169">
        <v>2376</v>
      </c>
      <c r="B1710" s="169" t="s">
        <v>25129</v>
      </c>
      <c r="C1710" s="169" t="s">
        <v>10225</v>
      </c>
      <c r="D1710" s="169" t="s">
        <v>1289</v>
      </c>
      <c r="E1710" s="103" t="s">
        <v>30272</v>
      </c>
      <c r="F1710" s="104"/>
      <c r="G1710" s="105">
        <f t="shared" si="104"/>
        <v>2187.3000000000002</v>
      </c>
      <c r="H1710" s="101" t="str">
        <f t="shared" si="105"/>
        <v>Sinapi 2376</v>
      </c>
      <c r="I1710" s="101" t="str">
        <f t="shared" si="106"/>
        <v>UN</v>
      </c>
      <c r="J1710" s="140" t="str">
        <f t="shared" si="107"/>
        <v>DISJUNTOR TERMOMAGNETICO TRIPOLAR 600 A / 600 V, TIPO LXD / ICC - 40 KA</v>
      </c>
    </row>
    <row r="1711" spans="1:10" x14ac:dyDescent="0.25">
      <c r="A1711" s="169">
        <v>2394</v>
      </c>
      <c r="B1711" s="169" t="s">
        <v>25130</v>
      </c>
      <c r="C1711" s="169" t="s">
        <v>10225</v>
      </c>
      <c r="D1711" s="169" t="s">
        <v>1289</v>
      </c>
      <c r="E1711" s="103" t="s">
        <v>30273</v>
      </c>
      <c r="F1711" s="104"/>
      <c r="G1711" s="105">
        <f t="shared" si="104"/>
        <v>4676.0600000000004</v>
      </c>
      <c r="H1711" s="101" t="str">
        <f t="shared" si="105"/>
        <v>Sinapi 2394</v>
      </c>
      <c r="I1711" s="101" t="str">
        <f t="shared" si="106"/>
        <v>UN</v>
      </c>
      <c r="J1711" s="140" t="str">
        <f t="shared" si="107"/>
        <v>DISJUNTOR TERMOMAGNETICO TRIPOLAR 800 A / 600 V, TIPO LMXD</v>
      </c>
    </row>
    <row r="1712" spans="1:10" x14ac:dyDescent="0.25">
      <c r="A1712" s="169">
        <v>34686</v>
      </c>
      <c r="B1712" s="169" t="s">
        <v>25131</v>
      </c>
      <c r="C1712" s="169" t="s">
        <v>10225</v>
      </c>
      <c r="D1712" s="169" t="s">
        <v>1289</v>
      </c>
      <c r="E1712" s="103" t="s">
        <v>13831</v>
      </c>
      <c r="F1712" s="104"/>
      <c r="G1712" s="105">
        <f t="shared" si="104"/>
        <v>14.03</v>
      </c>
      <c r="H1712" s="101" t="str">
        <f t="shared" si="105"/>
        <v>Sinapi 34686</v>
      </c>
      <c r="I1712" s="101" t="str">
        <f t="shared" si="106"/>
        <v>UN</v>
      </c>
      <c r="J1712" s="140" t="str">
        <f t="shared" si="107"/>
        <v>DISJUNTOR TIPO DIN / IEC, MONOPOLAR DE 40 ATE 50A</v>
      </c>
    </row>
    <row r="1713" spans="1:10" x14ac:dyDescent="0.25">
      <c r="A1713" s="169">
        <v>34616</v>
      </c>
      <c r="B1713" s="169" t="s">
        <v>25132</v>
      </c>
      <c r="C1713" s="169" t="s">
        <v>10225</v>
      </c>
      <c r="D1713" s="169" t="s">
        <v>1289</v>
      </c>
      <c r="E1713" s="103" t="s">
        <v>30274</v>
      </c>
      <c r="F1713" s="104"/>
      <c r="G1713" s="105">
        <f t="shared" si="104"/>
        <v>54.26</v>
      </c>
      <c r="H1713" s="101" t="str">
        <f t="shared" si="105"/>
        <v>Sinapi 34616</v>
      </c>
      <c r="I1713" s="101" t="str">
        <f t="shared" si="106"/>
        <v>UN</v>
      </c>
      <c r="J1713" s="140" t="str">
        <f t="shared" si="107"/>
        <v>DISJUNTOR TIPO DIN/IEC, BIPOLAR DE 6 ATE 32A</v>
      </c>
    </row>
    <row r="1714" spans="1:10" x14ac:dyDescent="0.25">
      <c r="A1714" s="169">
        <v>34623</v>
      </c>
      <c r="B1714" s="169" t="s">
        <v>25133</v>
      </c>
      <c r="C1714" s="169" t="s">
        <v>10225</v>
      </c>
      <c r="D1714" s="169" t="s">
        <v>1289</v>
      </c>
      <c r="E1714" s="103" t="s">
        <v>19363</v>
      </c>
      <c r="F1714" s="104"/>
      <c r="G1714" s="105">
        <f t="shared" si="104"/>
        <v>53.43</v>
      </c>
      <c r="H1714" s="101" t="str">
        <f t="shared" si="105"/>
        <v>Sinapi 34623</v>
      </c>
      <c r="I1714" s="101" t="str">
        <f t="shared" si="106"/>
        <v>UN</v>
      </c>
      <c r="J1714" s="140" t="str">
        <f t="shared" si="107"/>
        <v>DISJUNTOR TIPO DIN/IEC, BIPOLAR 40 ATE 50A</v>
      </c>
    </row>
    <row r="1715" spans="1:10" x14ac:dyDescent="0.25">
      <c r="A1715" s="169">
        <v>34628</v>
      </c>
      <c r="B1715" s="169" t="s">
        <v>25134</v>
      </c>
      <c r="C1715" s="169" t="s">
        <v>10225</v>
      </c>
      <c r="D1715" s="169" t="s">
        <v>1289</v>
      </c>
      <c r="E1715" s="103" t="s">
        <v>29176</v>
      </c>
      <c r="F1715" s="104"/>
      <c r="G1715" s="105">
        <f t="shared" si="104"/>
        <v>76.53</v>
      </c>
      <c r="H1715" s="101" t="str">
        <f t="shared" si="105"/>
        <v>Sinapi 34628</v>
      </c>
      <c r="I1715" s="101" t="str">
        <f t="shared" si="106"/>
        <v>UN</v>
      </c>
      <c r="J1715" s="140" t="str">
        <f t="shared" si="107"/>
        <v>DISJUNTOR TIPO DIN/IEC, BIPOLAR 63 A</v>
      </c>
    </row>
    <row r="1716" spans="1:10" x14ac:dyDescent="0.25">
      <c r="A1716" s="169">
        <v>34653</v>
      </c>
      <c r="B1716" s="169" t="s">
        <v>25135</v>
      </c>
      <c r="C1716" s="169" t="s">
        <v>10225</v>
      </c>
      <c r="D1716" s="169" t="s">
        <v>1289</v>
      </c>
      <c r="E1716" s="103" t="s">
        <v>18542</v>
      </c>
      <c r="F1716" s="104"/>
      <c r="G1716" s="105">
        <f t="shared" si="104"/>
        <v>9.4600000000000009</v>
      </c>
      <c r="H1716" s="101" t="str">
        <f t="shared" si="105"/>
        <v>Sinapi 34653</v>
      </c>
      <c r="I1716" s="101" t="str">
        <f t="shared" si="106"/>
        <v>UN</v>
      </c>
      <c r="J1716" s="140" t="str">
        <f t="shared" si="107"/>
        <v>DISJUNTOR TIPO DIN/IEC, MONOPOLAR DE 6 ATE 32A</v>
      </c>
    </row>
    <row r="1717" spans="1:10" x14ac:dyDescent="0.25">
      <c r="A1717" s="169">
        <v>34688</v>
      </c>
      <c r="B1717" s="169" t="s">
        <v>25136</v>
      </c>
      <c r="C1717" s="169" t="s">
        <v>10225</v>
      </c>
      <c r="D1717" s="169" t="s">
        <v>1289</v>
      </c>
      <c r="E1717" s="103" t="s">
        <v>11277</v>
      </c>
      <c r="F1717" s="104"/>
      <c r="G1717" s="105">
        <f t="shared" si="104"/>
        <v>17.149999999999999</v>
      </c>
      <c r="H1717" s="101" t="str">
        <f t="shared" si="105"/>
        <v>Sinapi 34688</v>
      </c>
      <c r="I1717" s="101" t="str">
        <f t="shared" si="106"/>
        <v>UN</v>
      </c>
      <c r="J1717" s="140" t="str">
        <f t="shared" si="107"/>
        <v>DISJUNTOR TIPO DIN/IEC, MONOPOLAR DE 63 A</v>
      </c>
    </row>
    <row r="1718" spans="1:10" x14ac:dyDescent="0.25">
      <c r="A1718" s="169">
        <v>34709</v>
      </c>
      <c r="B1718" s="169" t="s">
        <v>25137</v>
      </c>
      <c r="C1718" s="169" t="s">
        <v>10225</v>
      </c>
      <c r="D1718" s="169" t="s">
        <v>1289</v>
      </c>
      <c r="E1718" s="103" t="s">
        <v>30275</v>
      </c>
      <c r="F1718" s="104"/>
      <c r="G1718" s="105">
        <f t="shared" si="104"/>
        <v>66.48</v>
      </c>
      <c r="H1718" s="101" t="str">
        <f t="shared" si="105"/>
        <v>Sinapi 34709</v>
      </c>
      <c r="I1718" s="101" t="str">
        <f t="shared" si="106"/>
        <v>UN</v>
      </c>
      <c r="J1718" s="140" t="str">
        <f t="shared" si="107"/>
        <v>DISJUNTOR TIPO DIN/IEC, TRIPOLAR DE 10 ATE 50A</v>
      </c>
    </row>
    <row r="1719" spans="1:10" x14ac:dyDescent="0.25">
      <c r="A1719" s="169">
        <v>34714</v>
      </c>
      <c r="B1719" s="169" t="s">
        <v>25138</v>
      </c>
      <c r="C1719" s="169" t="s">
        <v>10225</v>
      </c>
      <c r="D1719" s="169" t="s">
        <v>1289</v>
      </c>
      <c r="E1719" s="103" t="s">
        <v>23339</v>
      </c>
      <c r="F1719" s="104"/>
      <c r="G1719" s="105">
        <f t="shared" si="104"/>
        <v>79.400000000000006</v>
      </c>
      <c r="H1719" s="101" t="str">
        <f t="shared" si="105"/>
        <v>Sinapi 34714</v>
      </c>
      <c r="I1719" s="101" t="str">
        <f t="shared" si="106"/>
        <v>UN</v>
      </c>
      <c r="J1719" s="140" t="str">
        <f t="shared" si="107"/>
        <v>DISJUNTOR TIPO DIN/IEC, TRIPOLAR 63 A</v>
      </c>
    </row>
    <row r="1720" spans="1:10" x14ac:dyDescent="0.25">
      <c r="A1720" s="169">
        <v>2388</v>
      </c>
      <c r="B1720" s="169" t="s">
        <v>25139</v>
      </c>
      <c r="C1720" s="169" t="s">
        <v>10225</v>
      </c>
      <c r="D1720" s="169" t="s">
        <v>1289</v>
      </c>
      <c r="E1720" s="103" t="s">
        <v>30276</v>
      </c>
      <c r="F1720" s="104"/>
      <c r="G1720" s="105">
        <f t="shared" si="104"/>
        <v>65.98</v>
      </c>
      <c r="H1720" s="101" t="str">
        <f t="shared" si="105"/>
        <v>Sinapi 2388</v>
      </c>
      <c r="I1720" s="101" t="str">
        <f t="shared" si="106"/>
        <v>UN</v>
      </c>
      <c r="J1720" s="140" t="str">
        <f t="shared" si="107"/>
        <v>DISJUNTOR TIPO NEMA, BIPOLAR 10 ATE 50 A, TENSAO MAXIMA 415 V</v>
      </c>
    </row>
    <row r="1721" spans="1:10" x14ac:dyDescent="0.25">
      <c r="A1721" s="169">
        <v>34606</v>
      </c>
      <c r="B1721" s="169" t="s">
        <v>25140</v>
      </c>
      <c r="C1721" s="169" t="s">
        <v>10225</v>
      </c>
      <c r="D1721" s="169" t="s">
        <v>1289</v>
      </c>
      <c r="E1721" s="103" t="s">
        <v>30277</v>
      </c>
      <c r="F1721" s="104"/>
      <c r="G1721" s="105">
        <f t="shared" si="104"/>
        <v>101.21</v>
      </c>
      <c r="H1721" s="101" t="str">
        <f t="shared" si="105"/>
        <v>Sinapi 34606</v>
      </c>
      <c r="I1721" s="101" t="str">
        <f t="shared" si="106"/>
        <v>UN</v>
      </c>
      <c r="J1721" s="140" t="str">
        <f t="shared" si="107"/>
        <v>DISJUNTOR TIPO NEMA, BIPOLAR 60 ATE 100A, TENSAO MAXIMA 415 V</v>
      </c>
    </row>
    <row r="1722" spans="1:10" x14ac:dyDescent="0.25">
      <c r="A1722" s="169">
        <v>34689</v>
      </c>
      <c r="B1722" s="169" t="s">
        <v>25141</v>
      </c>
      <c r="C1722" s="169" t="s">
        <v>10225</v>
      </c>
      <c r="D1722" s="169" t="s">
        <v>1289</v>
      </c>
      <c r="E1722" s="103" t="s">
        <v>30278</v>
      </c>
      <c r="F1722" s="104"/>
      <c r="G1722" s="105">
        <f t="shared" si="104"/>
        <v>32.22</v>
      </c>
      <c r="H1722" s="101" t="str">
        <f t="shared" si="105"/>
        <v>Sinapi 34689</v>
      </c>
      <c r="I1722" s="101" t="str">
        <f t="shared" si="106"/>
        <v>UN</v>
      </c>
      <c r="J1722" s="140" t="str">
        <f t="shared" si="107"/>
        <v>DISJUNTOR TIPO NEMA, MONOPOLAR DE 60 ATE 70A, TENSAO MAXIMA DE 240 V</v>
      </c>
    </row>
    <row r="1723" spans="1:10" x14ac:dyDescent="0.25">
      <c r="A1723" s="169">
        <v>2370</v>
      </c>
      <c r="B1723" s="169" t="s">
        <v>25143</v>
      </c>
      <c r="C1723" s="169" t="s">
        <v>10225</v>
      </c>
      <c r="D1723" s="169" t="s">
        <v>1288</v>
      </c>
      <c r="E1723" s="103" t="s">
        <v>16722</v>
      </c>
      <c r="F1723" s="104"/>
      <c r="G1723" s="105">
        <f t="shared" si="104"/>
        <v>12.26</v>
      </c>
      <c r="H1723" s="101" t="str">
        <f t="shared" si="105"/>
        <v>Sinapi 2370</v>
      </c>
      <c r="I1723" s="101" t="str">
        <f t="shared" si="106"/>
        <v>UN</v>
      </c>
      <c r="J1723" s="140" t="str">
        <f t="shared" si="107"/>
        <v>DISJUNTOR TIPO NEMA, MONOPOLAR 10 ATE 30A, TENSAO MAXIMA DE 240 V</v>
      </c>
    </row>
    <row r="1724" spans="1:10" x14ac:dyDescent="0.25">
      <c r="A1724" s="169">
        <v>2386</v>
      </c>
      <c r="B1724" s="169" t="s">
        <v>25144</v>
      </c>
      <c r="C1724" s="169" t="s">
        <v>10225</v>
      </c>
      <c r="D1724" s="169" t="s">
        <v>1289</v>
      </c>
      <c r="E1724" s="103" t="s">
        <v>30279</v>
      </c>
      <c r="F1724" s="104"/>
      <c r="G1724" s="105">
        <f t="shared" si="104"/>
        <v>20.56</v>
      </c>
      <c r="H1724" s="101" t="str">
        <f t="shared" si="105"/>
        <v>Sinapi 2386</v>
      </c>
      <c r="I1724" s="101" t="str">
        <f t="shared" si="106"/>
        <v>UN</v>
      </c>
      <c r="J1724" s="140" t="str">
        <f t="shared" si="107"/>
        <v>DISJUNTOR TIPO NEMA, MONOPOLAR 35 ATE 50 A, TENSAO MAXIMA DE 240 V</v>
      </c>
    </row>
    <row r="1725" spans="1:10" x14ac:dyDescent="0.25">
      <c r="A1725" s="169">
        <v>2392</v>
      </c>
      <c r="B1725" s="169" t="s">
        <v>25146</v>
      </c>
      <c r="C1725" s="169" t="s">
        <v>10225</v>
      </c>
      <c r="D1725" s="169" t="s">
        <v>1289</v>
      </c>
      <c r="E1725" s="103" t="s">
        <v>30280</v>
      </c>
      <c r="F1725" s="104"/>
      <c r="G1725" s="105">
        <f t="shared" si="104"/>
        <v>82.3</v>
      </c>
      <c r="H1725" s="101" t="str">
        <f t="shared" si="105"/>
        <v>Sinapi 2392</v>
      </c>
      <c r="I1725" s="101" t="str">
        <f t="shared" si="106"/>
        <v>UN</v>
      </c>
      <c r="J1725" s="140" t="str">
        <f t="shared" si="107"/>
        <v>DISJUNTOR TIPO NEMA, TRIPOLAR 10 ATE 50A, TENSAO MAXIMA DE 415 V</v>
      </c>
    </row>
    <row r="1726" spans="1:10" x14ac:dyDescent="0.25">
      <c r="A1726" s="169">
        <v>2373</v>
      </c>
      <c r="B1726" s="169" t="s">
        <v>25147</v>
      </c>
      <c r="C1726" s="169" t="s">
        <v>10225</v>
      </c>
      <c r="D1726" s="169" t="s">
        <v>1289</v>
      </c>
      <c r="E1726" s="103" t="s">
        <v>22077</v>
      </c>
      <c r="F1726" s="104"/>
      <c r="G1726" s="105">
        <f t="shared" si="104"/>
        <v>115.95</v>
      </c>
      <c r="H1726" s="101" t="str">
        <f t="shared" si="105"/>
        <v>Sinapi 2373</v>
      </c>
      <c r="I1726" s="101" t="str">
        <f t="shared" si="106"/>
        <v>UN</v>
      </c>
      <c r="J1726" s="140" t="str">
        <f t="shared" si="107"/>
        <v>DISJUNTOR TIPO NEMA, TRIPOLAR 60 ATE 100 A, TENSAO MAXIMA DE 415 V</v>
      </c>
    </row>
    <row r="1727" spans="1:10" x14ac:dyDescent="0.25">
      <c r="A1727" s="169">
        <v>39465</v>
      </c>
      <c r="B1727" s="169" t="s">
        <v>25148</v>
      </c>
      <c r="C1727" s="169" t="s">
        <v>10225</v>
      </c>
      <c r="D1727" s="169" t="s">
        <v>1289</v>
      </c>
      <c r="E1727" s="103" t="s">
        <v>22830</v>
      </c>
      <c r="F1727" s="104"/>
      <c r="G1727" s="105">
        <f t="shared" si="104"/>
        <v>70.83</v>
      </c>
      <c r="H1727" s="101" t="str">
        <f t="shared" si="105"/>
        <v>Sinapi 39465</v>
      </c>
      <c r="I1727" s="101" t="str">
        <f t="shared" si="106"/>
        <v>UN</v>
      </c>
      <c r="J1727" s="140" t="str">
        <f t="shared" si="107"/>
        <v>DISPOSITIVO DPS CLASSE II, 1 POLO, TENSAO MAXIMA DE 175 V, CORRENTE MAXIMA DE *20* KA (TIPO AC)</v>
      </c>
    </row>
    <row r="1728" spans="1:10" x14ac:dyDescent="0.25">
      <c r="A1728" s="169">
        <v>39466</v>
      </c>
      <c r="B1728" s="169" t="s">
        <v>25149</v>
      </c>
      <c r="C1728" s="169" t="s">
        <v>10225</v>
      </c>
      <c r="D1728" s="169" t="s">
        <v>1289</v>
      </c>
      <c r="E1728" s="103" t="s">
        <v>27822</v>
      </c>
      <c r="F1728" s="104"/>
      <c r="G1728" s="105">
        <f t="shared" si="104"/>
        <v>79.69</v>
      </c>
      <c r="H1728" s="101" t="str">
        <f t="shared" si="105"/>
        <v>Sinapi 39466</v>
      </c>
      <c r="I1728" s="101" t="str">
        <f t="shared" si="106"/>
        <v>UN</v>
      </c>
      <c r="J1728" s="140" t="str">
        <f t="shared" si="107"/>
        <v>DISPOSITIVO DPS CLASSE II, 1 POLO, TENSAO MAXIMA DE 175 V, CORRENTE MAXIMA DE *30* KA (TIPO AC)</v>
      </c>
    </row>
    <row r="1729" spans="1:10" x14ac:dyDescent="0.25">
      <c r="A1729" s="169">
        <v>39467</v>
      </c>
      <c r="B1729" s="169" t="s">
        <v>25150</v>
      </c>
      <c r="C1729" s="169" t="s">
        <v>10225</v>
      </c>
      <c r="D1729" s="169" t="s">
        <v>1289</v>
      </c>
      <c r="E1729" s="103" t="s">
        <v>30281</v>
      </c>
      <c r="F1729" s="104"/>
      <c r="G1729" s="105">
        <f t="shared" si="104"/>
        <v>101.93</v>
      </c>
      <c r="H1729" s="101" t="str">
        <f t="shared" si="105"/>
        <v>Sinapi 39467</v>
      </c>
      <c r="I1729" s="101" t="str">
        <f t="shared" si="106"/>
        <v>UN</v>
      </c>
      <c r="J1729" s="140" t="str">
        <f t="shared" si="107"/>
        <v>DISPOSITIVO DPS CLASSE II, 1 POLO, TENSAO MAXIMA DE 175 V, CORRENTE MAXIMA DE *45* KA (TIPO AC)</v>
      </c>
    </row>
    <row r="1730" spans="1:10" x14ac:dyDescent="0.25">
      <c r="A1730" s="169">
        <v>39468</v>
      </c>
      <c r="B1730" s="169" t="s">
        <v>25151</v>
      </c>
      <c r="C1730" s="169" t="s">
        <v>10225</v>
      </c>
      <c r="D1730" s="169" t="s">
        <v>1289</v>
      </c>
      <c r="E1730" s="103" t="s">
        <v>30282</v>
      </c>
      <c r="F1730" s="104"/>
      <c r="G1730" s="105">
        <f t="shared" si="104"/>
        <v>181.18</v>
      </c>
      <c r="H1730" s="101" t="str">
        <f t="shared" si="105"/>
        <v>Sinapi 39468</v>
      </c>
      <c r="I1730" s="101" t="str">
        <f t="shared" si="106"/>
        <v>UN</v>
      </c>
      <c r="J1730" s="140" t="str">
        <f t="shared" si="107"/>
        <v>DISPOSITIVO DPS CLASSE II, 1 POLO, TENSAO MAXIMA DE 175 V, CORRENTE MAXIMA DE *90* KA (TIPO AC)</v>
      </c>
    </row>
    <row r="1731" spans="1:10" x14ac:dyDescent="0.25">
      <c r="A1731" s="169">
        <v>39469</v>
      </c>
      <c r="B1731" s="169" t="s">
        <v>25152</v>
      </c>
      <c r="C1731" s="169" t="s">
        <v>10225</v>
      </c>
      <c r="D1731" s="169" t="s">
        <v>1289</v>
      </c>
      <c r="E1731" s="103" t="s">
        <v>30283</v>
      </c>
      <c r="F1731" s="104"/>
      <c r="G1731" s="105">
        <f t="shared" si="104"/>
        <v>73.8</v>
      </c>
      <c r="H1731" s="101" t="str">
        <f t="shared" si="105"/>
        <v>Sinapi 39469</v>
      </c>
      <c r="I1731" s="101" t="str">
        <f t="shared" si="106"/>
        <v>UN</v>
      </c>
      <c r="J1731" s="140" t="str">
        <f t="shared" si="107"/>
        <v>DISPOSITIVO DPS CLASSE II, 1 POLO, TENSAO MAXIMA DE 275 V, CORRENTE MAXIMA DE *20* KA (TIPO AC)</v>
      </c>
    </row>
    <row r="1732" spans="1:10" x14ac:dyDescent="0.25">
      <c r="A1732" s="169">
        <v>39470</v>
      </c>
      <c r="B1732" s="169" t="s">
        <v>25153</v>
      </c>
      <c r="C1732" s="169" t="s">
        <v>10225</v>
      </c>
      <c r="D1732" s="169" t="s">
        <v>1289</v>
      </c>
      <c r="E1732" s="103" t="s">
        <v>30284</v>
      </c>
      <c r="F1732" s="104"/>
      <c r="G1732" s="105">
        <f t="shared" si="104"/>
        <v>90.68</v>
      </c>
      <c r="H1732" s="101" t="str">
        <f t="shared" si="105"/>
        <v>Sinapi 39470</v>
      </c>
      <c r="I1732" s="101" t="str">
        <f t="shared" si="106"/>
        <v>UN</v>
      </c>
      <c r="J1732" s="140" t="str">
        <f t="shared" si="107"/>
        <v>DISPOSITIVO DPS CLASSE II, 1 POLO, TENSAO MAXIMA DE 275 V, CORRENTE MAXIMA DE *30* KA (TIPO AC)</v>
      </c>
    </row>
    <row r="1733" spans="1:10" x14ac:dyDescent="0.25">
      <c r="A1733" s="169">
        <v>39471</v>
      </c>
      <c r="B1733" s="169" t="s">
        <v>25154</v>
      </c>
      <c r="C1733" s="169" t="s">
        <v>10225</v>
      </c>
      <c r="D1733" s="169" t="s">
        <v>1289</v>
      </c>
      <c r="E1733" s="103" t="s">
        <v>30285</v>
      </c>
      <c r="F1733" s="104"/>
      <c r="G1733" s="105">
        <f t="shared" si="104"/>
        <v>108.97</v>
      </c>
      <c r="H1733" s="101" t="str">
        <f t="shared" si="105"/>
        <v>Sinapi 39471</v>
      </c>
      <c r="I1733" s="101" t="str">
        <f t="shared" si="106"/>
        <v>UN</v>
      </c>
      <c r="J1733" s="140" t="str">
        <f t="shared" si="107"/>
        <v>DISPOSITIVO DPS CLASSE II, 1 POLO, TENSAO MAXIMA DE 275 V, CORRENTE MAXIMA DE *45* KA (TIPO AC)</v>
      </c>
    </row>
    <row r="1734" spans="1:10" x14ac:dyDescent="0.25">
      <c r="A1734" s="169">
        <v>39472</v>
      </c>
      <c r="B1734" s="169" t="s">
        <v>25155</v>
      </c>
      <c r="C1734" s="169" t="s">
        <v>10225</v>
      </c>
      <c r="D1734" s="169" t="s">
        <v>1289</v>
      </c>
      <c r="E1734" s="103" t="s">
        <v>30286</v>
      </c>
      <c r="F1734" s="104"/>
      <c r="G1734" s="105">
        <f t="shared" si="104"/>
        <v>189.34</v>
      </c>
      <c r="H1734" s="101" t="str">
        <f t="shared" si="105"/>
        <v>Sinapi 39472</v>
      </c>
      <c r="I1734" s="101" t="str">
        <f t="shared" si="106"/>
        <v>UN</v>
      </c>
      <c r="J1734" s="140" t="str">
        <f t="shared" si="107"/>
        <v>DISPOSITIVO DPS CLASSE II, 1 POLO, TENSAO MAXIMA DE 275 V, CORRENTE MAXIMA DE *90* KA (TIPO AC)</v>
      </c>
    </row>
    <row r="1735" spans="1:10" x14ac:dyDescent="0.25">
      <c r="A1735" s="169">
        <v>39473</v>
      </c>
      <c r="B1735" s="169" t="s">
        <v>25156</v>
      </c>
      <c r="C1735" s="169" t="s">
        <v>10225</v>
      </c>
      <c r="D1735" s="169" t="s">
        <v>1289</v>
      </c>
      <c r="E1735" s="103" t="s">
        <v>30287</v>
      </c>
      <c r="F1735" s="104"/>
      <c r="G1735" s="105">
        <f t="shared" si="104"/>
        <v>122.32</v>
      </c>
      <c r="H1735" s="101" t="str">
        <f t="shared" si="105"/>
        <v>Sinapi 39473</v>
      </c>
      <c r="I1735" s="101" t="str">
        <f t="shared" si="106"/>
        <v>UN</v>
      </c>
      <c r="J1735" s="140" t="str">
        <f t="shared" si="107"/>
        <v>DISPOSITIVO DPS CLASSE II, 1 POLO, TENSAO MAXIMA DE 385 V, CORRENTE MAXIMA DE *20* KA (TIPO AC)</v>
      </c>
    </row>
    <row r="1736" spans="1:10" x14ac:dyDescent="0.25">
      <c r="A1736" s="169">
        <v>39474</v>
      </c>
      <c r="B1736" s="169" t="s">
        <v>25157</v>
      </c>
      <c r="C1736" s="169" t="s">
        <v>10225</v>
      </c>
      <c r="D1736" s="169" t="s">
        <v>1289</v>
      </c>
      <c r="E1736" s="103" t="s">
        <v>30288</v>
      </c>
      <c r="F1736" s="104"/>
      <c r="G1736" s="105">
        <f t="shared" ref="G1736:G1799" si="108">IF(E1736="","",E1736+0)</f>
        <v>130.38999999999999</v>
      </c>
      <c r="H1736" s="101" t="str">
        <f t="shared" ref="H1736:H1799" si="109">IF(G1736="","",TRIM(CONCATENATE("Sinapi ",A1736)))</f>
        <v>Sinapi 39474</v>
      </c>
      <c r="I1736" s="101" t="str">
        <f t="shared" ref="I1736:I1799" si="110">TRIM(C1736)</f>
        <v>UN</v>
      </c>
      <c r="J1736" s="140" t="str">
        <f t="shared" si="107"/>
        <v>DISPOSITIVO DPS CLASSE II, 1 POLO, TENSAO MAXIMA DE 385 V, CORRENTE MAXIMA DE *30* KA (TIPO AC)</v>
      </c>
    </row>
    <row r="1737" spans="1:10" x14ac:dyDescent="0.25">
      <c r="A1737" s="169">
        <v>39475</v>
      </c>
      <c r="B1737" s="169" t="s">
        <v>25158</v>
      </c>
      <c r="C1737" s="169" t="s">
        <v>10225</v>
      </c>
      <c r="D1737" s="169" t="s">
        <v>1289</v>
      </c>
      <c r="E1737" s="103" t="s">
        <v>30289</v>
      </c>
      <c r="F1737" s="104"/>
      <c r="G1737" s="105">
        <f t="shared" si="108"/>
        <v>147.94999999999999</v>
      </c>
      <c r="H1737" s="101" t="str">
        <f t="shared" si="109"/>
        <v>Sinapi 39475</v>
      </c>
      <c r="I1737" s="101" t="str">
        <f t="shared" si="110"/>
        <v>UN</v>
      </c>
      <c r="J1737" s="140" t="str">
        <f t="shared" ref="J1737:J1800" si="111">TRIM(B1737)</f>
        <v>DISPOSITIVO DPS CLASSE II, 1 POLO, TENSAO MAXIMA DE 385 V, CORRENTE MAXIMA DE *45* KA (TIPO AC)</v>
      </c>
    </row>
    <row r="1738" spans="1:10" x14ac:dyDescent="0.25">
      <c r="A1738" s="169">
        <v>39476</v>
      </c>
      <c r="B1738" s="169" t="s">
        <v>25159</v>
      </c>
      <c r="C1738" s="169" t="s">
        <v>10225</v>
      </c>
      <c r="D1738" s="169" t="s">
        <v>1289</v>
      </c>
      <c r="E1738" s="103" t="s">
        <v>30290</v>
      </c>
      <c r="F1738" s="104"/>
      <c r="G1738" s="105">
        <f t="shared" si="108"/>
        <v>278.5</v>
      </c>
      <c r="H1738" s="101" t="str">
        <f t="shared" si="109"/>
        <v>Sinapi 39476</v>
      </c>
      <c r="I1738" s="101" t="str">
        <f t="shared" si="110"/>
        <v>UN</v>
      </c>
      <c r="J1738" s="140" t="str">
        <f t="shared" si="111"/>
        <v>DISPOSITIVO DPS CLASSE II, 1 POLO, TENSAO MAXIMA DE 385 V, CORRENTE MAXIMA DE *90* KA (TIPO AC)</v>
      </c>
    </row>
    <row r="1739" spans="1:10" x14ac:dyDescent="0.25">
      <c r="A1739" s="169">
        <v>39477</v>
      </c>
      <c r="B1739" s="169" t="s">
        <v>25160</v>
      </c>
      <c r="C1739" s="169" t="s">
        <v>10225</v>
      </c>
      <c r="D1739" s="169" t="s">
        <v>1289</v>
      </c>
      <c r="E1739" s="103" t="s">
        <v>30291</v>
      </c>
      <c r="F1739" s="104"/>
      <c r="G1739" s="105">
        <f t="shared" si="108"/>
        <v>136.46</v>
      </c>
      <c r="H1739" s="101" t="str">
        <f t="shared" si="109"/>
        <v>Sinapi 39477</v>
      </c>
      <c r="I1739" s="101" t="str">
        <f t="shared" si="110"/>
        <v>UN</v>
      </c>
      <c r="J1739" s="140" t="str">
        <f t="shared" si="111"/>
        <v>DISPOSITIVO DPS CLASSE II, 1 POLO, TENSAO MAXIMA DE 460 V, CORRENTE MAXIMA DE *20* KA (TIPO AC)</v>
      </c>
    </row>
    <row r="1740" spans="1:10" x14ac:dyDescent="0.25">
      <c r="A1740" s="169">
        <v>39478</v>
      </c>
      <c r="B1740" s="169" t="s">
        <v>25161</v>
      </c>
      <c r="C1740" s="169" t="s">
        <v>10225</v>
      </c>
      <c r="D1740" s="169" t="s">
        <v>1289</v>
      </c>
      <c r="E1740" s="103" t="s">
        <v>30292</v>
      </c>
      <c r="F1740" s="104"/>
      <c r="G1740" s="105">
        <f t="shared" si="108"/>
        <v>140.68</v>
      </c>
      <c r="H1740" s="101" t="str">
        <f t="shared" si="109"/>
        <v>Sinapi 39478</v>
      </c>
      <c r="I1740" s="101" t="str">
        <f t="shared" si="110"/>
        <v>UN</v>
      </c>
      <c r="J1740" s="140" t="str">
        <f t="shared" si="111"/>
        <v>DISPOSITIVO DPS CLASSE II, 1 POLO, TENSAO MAXIMA DE 460 V, CORRENTE MAXIMA DE *30* KA (TIPO AC)</v>
      </c>
    </row>
    <row r="1741" spans="1:10" x14ac:dyDescent="0.25">
      <c r="A1741" s="169">
        <v>39479</v>
      </c>
      <c r="B1741" s="169" t="s">
        <v>25162</v>
      </c>
      <c r="C1741" s="169" t="s">
        <v>10225</v>
      </c>
      <c r="D1741" s="169" t="s">
        <v>1289</v>
      </c>
      <c r="E1741" s="103" t="s">
        <v>30293</v>
      </c>
      <c r="F1741" s="104"/>
      <c r="G1741" s="105">
        <f t="shared" si="108"/>
        <v>165.75</v>
      </c>
      <c r="H1741" s="101" t="str">
        <f t="shared" si="109"/>
        <v>Sinapi 39479</v>
      </c>
      <c r="I1741" s="101" t="str">
        <f t="shared" si="110"/>
        <v>UN</v>
      </c>
      <c r="J1741" s="140" t="str">
        <f t="shared" si="111"/>
        <v>DISPOSITIVO DPS CLASSE II, 1 POLO, TENSAO MAXIMA DE 460 V, CORRENTE MAXIMA DE *45* KA (TIPO AC)</v>
      </c>
    </row>
    <row r="1742" spans="1:10" x14ac:dyDescent="0.25">
      <c r="A1742" s="169">
        <v>39480</v>
      </c>
      <c r="B1742" s="169" t="s">
        <v>25163</v>
      </c>
      <c r="C1742" s="169" t="s">
        <v>10225</v>
      </c>
      <c r="D1742" s="169" t="s">
        <v>1289</v>
      </c>
      <c r="E1742" s="103" t="s">
        <v>30294</v>
      </c>
      <c r="F1742" s="104"/>
      <c r="G1742" s="105">
        <f t="shared" si="108"/>
        <v>342.02</v>
      </c>
      <c r="H1742" s="101" t="str">
        <f t="shared" si="109"/>
        <v>Sinapi 39480</v>
      </c>
      <c r="I1742" s="101" t="str">
        <f t="shared" si="110"/>
        <v>UN</v>
      </c>
      <c r="J1742" s="140" t="str">
        <f t="shared" si="111"/>
        <v>DISPOSITIVO DPS CLASSE II, 1 POLO, TENSAO MAXIMA DE 460 V, CORRENTE MAXIMA DE *90* KA (TIPO AC)</v>
      </c>
    </row>
    <row r="1743" spans="1:10" x14ac:dyDescent="0.25">
      <c r="A1743" s="169">
        <v>39459</v>
      </c>
      <c r="B1743" s="169" t="s">
        <v>25164</v>
      </c>
      <c r="C1743" s="169" t="s">
        <v>10225</v>
      </c>
      <c r="D1743" s="169" t="s">
        <v>1289</v>
      </c>
      <c r="E1743" s="103" t="s">
        <v>30295</v>
      </c>
      <c r="F1743" s="104"/>
      <c r="G1743" s="105">
        <f t="shared" si="108"/>
        <v>290.29000000000002</v>
      </c>
      <c r="H1743" s="101" t="str">
        <f t="shared" si="109"/>
        <v>Sinapi 39459</v>
      </c>
      <c r="I1743" s="101" t="str">
        <f t="shared" si="110"/>
        <v>UN</v>
      </c>
      <c r="J1743" s="140" t="str">
        <f t="shared" si="111"/>
        <v>DISPOSITIVO DR, 2 POLOS, SENSIBILIDADE DE 30 MA, CORRENTE DE 100 A, TIPO AC</v>
      </c>
    </row>
    <row r="1744" spans="1:10" x14ac:dyDescent="0.25">
      <c r="A1744" s="169">
        <v>39445</v>
      </c>
      <c r="B1744" s="169" t="s">
        <v>25165</v>
      </c>
      <c r="C1744" s="169" t="s">
        <v>10225</v>
      </c>
      <c r="D1744" s="169" t="s">
        <v>1289</v>
      </c>
      <c r="E1744" s="103" t="s">
        <v>30296</v>
      </c>
      <c r="F1744" s="104"/>
      <c r="G1744" s="105">
        <f t="shared" si="108"/>
        <v>145.75</v>
      </c>
      <c r="H1744" s="101" t="str">
        <f t="shared" si="109"/>
        <v>Sinapi 39445</v>
      </c>
      <c r="I1744" s="101" t="str">
        <f t="shared" si="110"/>
        <v>UN</v>
      </c>
      <c r="J1744" s="140" t="str">
        <f t="shared" si="111"/>
        <v>DISPOSITIVO DR, 2 POLOS, SENSIBILIDADE DE 30 MA, CORRENTE DE 25 A, TIPO AC</v>
      </c>
    </row>
    <row r="1745" spans="1:10" x14ac:dyDescent="0.25">
      <c r="A1745" s="169">
        <v>39446</v>
      </c>
      <c r="B1745" s="169" t="s">
        <v>25166</v>
      </c>
      <c r="C1745" s="169" t="s">
        <v>10225</v>
      </c>
      <c r="D1745" s="169" t="s">
        <v>1289</v>
      </c>
      <c r="E1745" s="103" t="s">
        <v>30297</v>
      </c>
      <c r="F1745" s="104"/>
      <c r="G1745" s="105">
        <f t="shared" si="108"/>
        <v>148.35</v>
      </c>
      <c r="H1745" s="101" t="str">
        <f t="shared" si="109"/>
        <v>Sinapi 39446</v>
      </c>
      <c r="I1745" s="101" t="str">
        <f t="shared" si="110"/>
        <v>UN</v>
      </c>
      <c r="J1745" s="140" t="str">
        <f t="shared" si="111"/>
        <v>DISPOSITIVO DR, 2 POLOS, SENSIBILIDADE DE 30 MA, CORRENTE DE 40 A, TIPO AC</v>
      </c>
    </row>
    <row r="1746" spans="1:10" x14ac:dyDescent="0.25">
      <c r="A1746" s="169">
        <v>39447</v>
      </c>
      <c r="B1746" s="169" t="s">
        <v>25167</v>
      </c>
      <c r="C1746" s="169" t="s">
        <v>10225</v>
      </c>
      <c r="D1746" s="169" t="s">
        <v>1289</v>
      </c>
      <c r="E1746" s="103" t="s">
        <v>28726</v>
      </c>
      <c r="F1746" s="104"/>
      <c r="G1746" s="105">
        <f t="shared" si="108"/>
        <v>158.63999999999999</v>
      </c>
      <c r="H1746" s="101" t="str">
        <f t="shared" si="109"/>
        <v>Sinapi 39447</v>
      </c>
      <c r="I1746" s="101" t="str">
        <f t="shared" si="110"/>
        <v>UN</v>
      </c>
      <c r="J1746" s="140" t="str">
        <f t="shared" si="111"/>
        <v>DISPOSITIVO DR, 2 POLOS, SENSIBILIDADE DE 30 MA, CORRENTE DE 63 A, TIPO AC</v>
      </c>
    </row>
    <row r="1747" spans="1:10" x14ac:dyDescent="0.25">
      <c r="A1747" s="169">
        <v>39448</v>
      </c>
      <c r="B1747" s="169" t="s">
        <v>25168</v>
      </c>
      <c r="C1747" s="169" t="s">
        <v>10225</v>
      </c>
      <c r="D1747" s="169" t="s">
        <v>1289</v>
      </c>
      <c r="E1747" s="103" t="s">
        <v>30298</v>
      </c>
      <c r="F1747" s="104"/>
      <c r="G1747" s="105">
        <f t="shared" si="108"/>
        <v>270.51</v>
      </c>
      <c r="H1747" s="101" t="str">
        <f t="shared" si="109"/>
        <v>Sinapi 39448</v>
      </c>
      <c r="I1747" s="101" t="str">
        <f t="shared" si="110"/>
        <v>UN</v>
      </c>
      <c r="J1747" s="140" t="str">
        <f t="shared" si="111"/>
        <v>DISPOSITIVO DR, 2 POLOS, SENSIBILIDADE DE 30 MA, CORRENTE DE 80 A, TIPO AC</v>
      </c>
    </row>
    <row r="1748" spans="1:10" x14ac:dyDescent="0.25">
      <c r="A1748" s="169">
        <v>39450</v>
      </c>
      <c r="B1748" s="169" t="s">
        <v>25169</v>
      </c>
      <c r="C1748" s="169" t="s">
        <v>10225</v>
      </c>
      <c r="D1748" s="169" t="s">
        <v>1289</v>
      </c>
      <c r="E1748" s="103" t="s">
        <v>30299</v>
      </c>
      <c r="F1748" s="104"/>
      <c r="G1748" s="105">
        <f t="shared" si="108"/>
        <v>165.04</v>
      </c>
      <c r="H1748" s="101" t="str">
        <f t="shared" si="109"/>
        <v>Sinapi 39450</v>
      </c>
      <c r="I1748" s="101" t="str">
        <f t="shared" si="110"/>
        <v>UN</v>
      </c>
      <c r="J1748" s="140" t="str">
        <f t="shared" si="111"/>
        <v>DISPOSITIVO DR, 2 POLOS, SENSIBILIDADE DE 300 MA, CORRENTE DE 25 A, TIPO AC</v>
      </c>
    </row>
    <row r="1749" spans="1:10" x14ac:dyDescent="0.25">
      <c r="A1749" s="169">
        <v>39451</v>
      </c>
      <c r="B1749" s="169" t="s">
        <v>25170</v>
      </c>
      <c r="C1749" s="169" t="s">
        <v>10225</v>
      </c>
      <c r="D1749" s="169" t="s">
        <v>1289</v>
      </c>
      <c r="E1749" s="103" t="s">
        <v>28757</v>
      </c>
      <c r="F1749" s="104"/>
      <c r="G1749" s="105">
        <f t="shared" si="108"/>
        <v>180.01</v>
      </c>
      <c r="H1749" s="101" t="str">
        <f t="shared" si="109"/>
        <v>Sinapi 39451</v>
      </c>
      <c r="I1749" s="101" t="str">
        <f t="shared" si="110"/>
        <v>UN</v>
      </c>
      <c r="J1749" s="140" t="str">
        <f t="shared" si="111"/>
        <v>DISPOSITIVO DR, 2 POLOS, SENSIBILIDADE DE 300 MA, CORRENTE DE 40 A, TIPO AC</v>
      </c>
    </row>
    <row r="1750" spans="1:10" x14ac:dyDescent="0.25">
      <c r="A1750" s="169">
        <v>39452</v>
      </c>
      <c r="B1750" s="169" t="s">
        <v>25171</v>
      </c>
      <c r="C1750" s="169" t="s">
        <v>10225</v>
      </c>
      <c r="D1750" s="169" t="s">
        <v>1289</v>
      </c>
      <c r="E1750" s="103" t="s">
        <v>28903</v>
      </c>
      <c r="F1750" s="104"/>
      <c r="G1750" s="105">
        <f t="shared" si="108"/>
        <v>181.09</v>
      </c>
      <c r="H1750" s="101" t="str">
        <f t="shared" si="109"/>
        <v>Sinapi 39452</v>
      </c>
      <c r="I1750" s="101" t="str">
        <f t="shared" si="110"/>
        <v>UN</v>
      </c>
      <c r="J1750" s="140" t="str">
        <f t="shared" si="111"/>
        <v>DISPOSITIVO DR, 2 POLOS, SENSIBILIDADE DE 300 MA, CORRENTE DE 63 A, TIPO AC</v>
      </c>
    </row>
    <row r="1751" spans="1:10" x14ac:dyDescent="0.25">
      <c r="A1751" s="169">
        <v>39523</v>
      </c>
      <c r="B1751" s="169" t="s">
        <v>25172</v>
      </c>
      <c r="C1751" s="169" t="s">
        <v>10225</v>
      </c>
      <c r="D1751" s="169" t="s">
        <v>1289</v>
      </c>
      <c r="E1751" s="103" t="s">
        <v>30300</v>
      </c>
      <c r="F1751" s="104"/>
      <c r="G1751" s="105">
        <f t="shared" si="108"/>
        <v>303.05</v>
      </c>
      <c r="H1751" s="101" t="str">
        <f t="shared" si="109"/>
        <v>Sinapi 39523</v>
      </c>
      <c r="I1751" s="101" t="str">
        <f t="shared" si="110"/>
        <v>UN</v>
      </c>
      <c r="J1751" s="140" t="str">
        <f t="shared" si="111"/>
        <v>DISPOSITIVO DR, 2 POLOS, SENSIBILIDADE DE 300 MA, CORRENTE DE 80 A, TIPO AC</v>
      </c>
    </row>
    <row r="1752" spans="1:10" x14ac:dyDescent="0.25">
      <c r="A1752" s="169">
        <v>39449</v>
      </c>
      <c r="B1752" s="169" t="s">
        <v>25173</v>
      </c>
      <c r="C1752" s="169" t="s">
        <v>10225</v>
      </c>
      <c r="D1752" s="169" t="s">
        <v>1289</v>
      </c>
      <c r="E1752" s="103" t="s">
        <v>30301</v>
      </c>
      <c r="F1752" s="104"/>
      <c r="G1752" s="105">
        <f t="shared" si="108"/>
        <v>335.61</v>
      </c>
      <c r="H1752" s="101" t="str">
        <f t="shared" si="109"/>
        <v>Sinapi 39449</v>
      </c>
      <c r="I1752" s="101" t="str">
        <f t="shared" si="110"/>
        <v>UN</v>
      </c>
      <c r="J1752" s="140" t="str">
        <f t="shared" si="111"/>
        <v>DISPOSITIVO DR, 4 POLOS, SENSIBILIDADE DE 30 MA, CORRENTE DE 100 A, TIPO AC</v>
      </c>
    </row>
    <row r="1753" spans="1:10" x14ac:dyDescent="0.25">
      <c r="A1753" s="169">
        <v>39455</v>
      </c>
      <c r="B1753" s="169" t="s">
        <v>25174</v>
      </c>
      <c r="C1753" s="169" t="s">
        <v>10225</v>
      </c>
      <c r="D1753" s="169" t="s">
        <v>1289</v>
      </c>
      <c r="E1753" s="103" t="s">
        <v>30302</v>
      </c>
      <c r="F1753" s="104"/>
      <c r="G1753" s="105">
        <f t="shared" si="108"/>
        <v>166.06</v>
      </c>
      <c r="H1753" s="101" t="str">
        <f t="shared" si="109"/>
        <v>Sinapi 39455</v>
      </c>
      <c r="I1753" s="101" t="str">
        <f t="shared" si="110"/>
        <v>UN</v>
      </c>
      <c r="J1753" s="140" t="str">
        <f t="shared" si="111"/>
        <v>DISPOSITIVO DR, 4 POLOS, SENSIBILIDADE DE 30 MA, CORRENTE DE 25 A, TIPO AC</v>
      </c>
    </row>
    <row r="1754" spans="1:10" x14ac:dyDescent="0.25">
      <c r="A1754" s="169">
        <v>39456</v>
      </c>
      <c r="B1754" s="169" t="s">
        <v>25175</v>
      </c>
      <c r="C1754" s="169" t="s">
        <v>10225</v>
      </c>
      <c r="D1754" s="169" t="s">
        <v>1289</v>
      </c>
      <c r="E1754" s="103" t="s">
        <v>30303</v>
      </c>
      <c r="F1754" s="104"/>
      <c r="G1754" s="105">
        <f t="shared" si="108"/>
        <v>166.19</v>
      </c>
      <c r="H1754" s="101" t="str">
        <f t="shared" si="109"/>
        <v>Sinapi 39456</v>
      </c>
      <c r="I1754" s="101" t="str">
        <f t="shared" si="110"/>
        <v>UN</v>
      </c>
      <c r="J1754" s="140" t="str">
        <f t="shared" si="111"/>
        <v>DISPOSITIVO DR, 4 POLOS, SENSIBILIDADE DE 30 MA, CORRENTE DE 40 A, TIPO AC</v>
      </c>
    </row>
    <row r="1755" spans="1:10" x14ac:dyDescent="0.25">
      <c r="A1755" s="169">
        <v>39457</v>
      </c>
      <c r="B1755" s="169" t="s">
        <v>25176</v>
      </c>
      <c r="C1755" s="169" t="s">
        <v>10225</v>
      </c>
      <c r="D1755" s="169" t="s">
        <v>1289</v>
      </c>
      <c r="E1755" s="103" t="s">
        <v>30304</v>
      </c>
      <c r="F1755" s="104"/>
      <c r="G1755" s="105">
        <f t="shared" si="108"/>
        <v>181.17</v>
      </c>
      <c r="H1755" s="101" t="str">
        <f t="shared" si="109"/>
        <v>Sinapi 39457</v>
      </c>
      <c r="I1755" s="101" t="str">
        <f t="shared" si="110"/>
        <v>UN</v>
      </c>
      <c r="J1755" s="140" t="str">
        <f t="shared" si="111"/>
        <v>DISPOSITIVO DR, 4 POLOS, SENSIBILIDADE DE 30 MA, CORRENTE DE 63 A, TIPO AC</v>
      </c>
    </row>
    <row r="1756" spans="1:10" x14ac:dyDescent="0.25">
      <c r="A1756" s="169">
        <v>39458</v>
      </c>
      <c r="B1756" s="169" t="s">
        <v>25177</v>
      </c>
      <c r="C1756" s="169" t="s">
        <v>10225</v>
      </c>
      <c r="D1756" s="169" t="s">
        <v>1289</v>
      </c>
      <c r="E1756" s="103" t="s">
        <v>30305</v>
      </c>
      <c r="F1756" s="104"/>
      <c r="G1756" s="105">
        <f t="shared" si="108"/>
        <v>338.08</v>
      </c>
      <c r="H1756" s="101" t="str">
        <f t="shared" si="109"/>
        <v>Sinapi 39458</v>
      </c>
      <c r="I1756" s="101" t="str">
        <f t="shared" si="110"/>
        <v>UN</v>
      </c>
      <c r="J1756" s="140" t="str">
        <f t="shared" si="111"/>
        <v>DISPOSITIVO DR, 4 POLOS, SENSIBILIDADE DE 30 MA, CORRENTE DE 80 A, TIPO AC</v>
      </c>
    </row>
    <row r="1757" spans="1:10" x14ac:dyDescent="0.25">
      <c r="A1757" s="169">
        <v>39464</v>
      </c>
      <c r="B1757" s="169" t="s">
        <v>25178</v>
      </c>
      <c r="C1757" s="169" t="s">
        <v>10225</v>
      </c>
      <c r="D1757" s="169" t="s">
        <v>1289</v>
      </c>
      <c r="E1757" s="103" t="s">
        <v>30306</v>
      </c>
      <c r="F1757" s="104"/>
      <c r="G1757" s="105">
        <f t="shared" si="108"/>
        <v>543.66</v>
      </c>
      <c r="H1757" s="101" t="str">
        <f t="shared" si="109"/>
        <v>Sinapi 39464</v>
      </c>
      <c r="I1757" s="101" t="str">
        <f t="shared" si="110"/>
        <v>UN</v>
      </c>
      <c r="J1757" s="140" t="str">
        <f t="shared" si="111"/>
        <v>DISPOSITIVO DR, 4 POLOS, SENSIBILIDADE DE 300 MA, CORRENTE DE 100 A, TIPO AC</v>
      </c>
    </row>
    <row r="1758" spans="1:10" x14ac:dyDescent="0.25">
      <c r="A1758" s="169">
        <v>39460</v>
      </c>
      <c r="B1758" s="169" t="s">
        <v>25179</v>
      </c>
      <c r="C1758" s="169" t="s">
        <v>10225</v>
      </c>
      <c r="D1758" s="169" t="s">
        <v>1289</v>
      </c>
      <c r="E1758" s="103" t="s">
        <v>30307</v>
      </c>
      <c r="F1758" s="104"/>
      <c r="G1758" s="105">
        <f t="shared" si="108"/>
        <v>206.19</v>
      </c>
      <c r="H1758" s="101" t="str">
        <f t="shared" si="109"/>
        <v>Sinapi 39460</v>
      </c>
      <c r="I1758" s="101" t="str">
        <f t="shared" si="110"/>
        <v>UN</v>
      </c>
      <c r="J1758" s="140" t="str">
        <f t="shared" si="111"/>
        <v>DISPOSITIVO DR, 4 POLOS, SENSIBILIDADE DE 300 MA, CORRENTE DE 25 A, TIPO AC</v>
      </c>
    </row>
    <row r="1759" spans="1:10" x14ac:dyDescent="0.25">
      <c r="A1759" s="169">
        <v>39461</v>
      </c>
      <c r="B1759" s="169" t="s">
        <v>25180</v>
      </c>
      <c r="C1759" s="169" t="s">
        <v>10225</v>
      </c>
      <c r="D1759" s="169" t="s">
        <v>1289</v>
      </c>
      <c r="E1759" s="103" t="s">
        <v>30308</v>
      </c>
      <c r="F1759" s="104"/>
      <c r="G1759" s="105">
        <f t="shared" si="108"/>
        <v>241.61</v>
      </c>
      <c r="H1759" s="101" t="str">
        <f t="shared" si="109"/>
        <v>Sinapi 39461</v>
      </c>
      <c r="I1759" s="101" t="str">
        <f t="shared" si="110"/>
        <v>UN</v>
      </c>
      <c r="J1759" s="140" t="str">
        <f t="shared" si="111"/>
        <v>DISPOSITIVO DR, 4 POLOS, SENSIBILIDADE DE 300 MA, CORRENTE DE 40 A, TIPO AC</v>
      </c>
    </row>
    <row r="1760" spans="1:10" x14ac:dyDescent="0.25">
      <c r="A1760" s="169">
        <v>39462</v>
      </c>
      <c r="B1760" s="169" t="s">
        <v>25181</v>
      </c>
      <c r="C1760" s="169" t="s">
        <v>10225</v>
      </c>
      <c r="D1760" s="169" t="s">
        <v>1289</v>
      </c>
      <c r="E1760" s="103" t="s">
        <v>30309</v>
      </c>
      <c r="F1760" s="104"/>
      <c r="G1760" s="105">
        <f t="shared" si="108"/>
        <v>232.85</v>
      </c>
      <c r="H1760" s="101" t="str">
        <f t="shared" si="109"/>
        <v>Sinapi 39462</v>
      </c>
      <c r="I1760" s="101" t="str">
        <f t="shared" si="110"/>
        <v>UN</v>
      </c>
      <c r="J1760" s="140" t="str">
        <f t="shared" si="111"/>
        <v>DISPOSITIVO DR, 4 POLOS, SENSIBILIDADE DE 300 MA, CORRENTE DE 63 A, TIPO AC</v>
      </c>
    </row>
    <row r="1761" spans="1:10" x14ac:dyDescent="0.25">
      <c r="A1761" s="169">
        <v>39463</v>
      </c>
      <c r="B1761" s="169" t="s">
        <v>25182</v>
      </c>
      <c r="C1761" s="169" t="s">
        <v>10225</v>
      </c>
      <c r="D1761" s="169" t="s">
        <v>1289</v>
      </c>
      <c r="E1761" s="103" t="s">
        <v>30310</v>
      </c>
      <c r="F1761" s="104"/>
      <c r="G1761" s="105">
        <f t="shared" si="108"/>
        <v>539.44000000000005</v>
      </c>
      <c r="H1761" s="101" t="str">
        <f t="shared" si="109"/>
        <v>Sinapi 39463</v>
      </c>
      <c r="I1761" s="101" t="str">
        <f t="shared" si="110"/>
        <v>UN</v>
      </c>
      <c r="J1761" s="140" t="str">
        <f t="shared" si="111"/>
        <v>DISPOSITIVO DR, 4 POLOS, SENSIBILIDADE DE 300 MA, CORRENTE DE 80 A, TIPO AC</v>
      </c>
    </row>
    <row r="1762" spans="1:10" x14ac:dyDescent="0.25">
      <c r="A1762" s="169">
        <v>26039</v>
      </c>
      <c r="B1762" s="169" t="s">
        <v>25183</v>
      </c>
      <c r="C1762" s="169" t="s">
        <v>10225</v>
      </c>
      <c r="D1762" s="169" t="s">
        <v>1290</v>
      </c>
      <c r="E1762" s="103" t="s">
        <v>21491</v>
      </c>
      <c r="F1762" s="104"/>
      <c r="G1762" s="105">
        <f t="shared" si="108"/>
        <v>391246.87</v>
      </c>
      <c r="H1762" s="101" t="str">
        <f t="shared" si="109"/>
        <v>Sinapi 26039</v>
      </c>
      <c r="I1762" s="101" t="str">
        <f t="shared" si="110"/>
        <v>UN</v>
      </c>
      <c r="J1762" s="140" t="str">
        <f t="shared" si="111"/>
        <v>DISTRIBUIDOR DE AGREGADOS AUTOPROPELIDO, CAP 3 M3, A DIESEL, 6 CC, 176 CV</v>
      </c>
    </row>
    <row r="1763" spans="1:10" x14ac:dyDescent="0.25">
      <c r="A1763" s="169">
        <v>2401</v>
      </c>
      <c r="B1763" s="169" t="s">
        <v>25184</v>
      </c>
      <c r="C1763" s="169" t="s">
        <v>10225</v>
      </c>
      <c r="D1763" s="169" t="s">
        <v>1290</v>
      </c>
      <c r="E1763" s="103" t="s">
        <v>21492</v>
      </c>
      <c r="F1763" s="104"/>
      <c r="G1763" s="105">
        <f t="shared" si="108"/>
        <v>89991.11</v>
      </c>
      <c r="H1763" s="101" t="str">
        <f t="shared" si="109"/>
        <v>Sinapi 2401</v>
      </c>
      <c r="I1763" s="101" t="str">
        <f t="shared" si="110"/>
        <v>UN</v>
      </c>
      <c r="J1763" s="140" t="str">
        <f t="shared" si="111"/>
        <v>DISTRIBUIDOR DE AGREGADOS REBOCAVEL, CAPACIDADE 1,9 M3, LARGURA DE TRABALHO 3,66 M</v>
      </c>
    </row>
    <row r="1764" spans="1:10" x14ac:dyDescent="0.25">
      <c r="A1764" s="169">
        <v>38870</v>
      </c>
      <c r="B1764" s="169" t="s">
        <v>25185</v>
      </c>
      <c r="C1764" s="169" t="s">
        <v>10225</v>
      </c>
      <c r="D1764" s="169" t="s">
        <v>1290</v>
      </c>
      <c r="E1764" s="103" t="s">
        <v>22942</v>
      </c>
      <c r="F1764" s="104"/>
      <c r="G1764" s="105">
        <f t="shared" si="108"/>
        <v>29.51</v>
      </c>
      <c r="H1764" s="101" t="str">
        <f t="shared" si="109"/>
        <v>Sinapi 38870</v>
      </c>
      <c r="I1764" s="101" t="str">
        <f t="shared" si="110"/>
        <v>UN</v>
      </c>
      <c r="J1764" s="140" t="str">
        <f t="shared" si="111"/>
        <v>DISTRIBUIDOR METALICO, COM ROSCA, 2 SAIDAS, DN 1" X 1/2", PARA CONEXAO COM ANEL DESLIZANTE EM TUBO PEX PARA INST. AGUA QUENTE/FRIA</v>
      </c>
    </row>
    <row r="1765" spans="1:10" x14ac:dyDescent="0.25">
      <c r="A1765" s="169">
        <v>38869</v>
      </c>
      <c r="B1765" s="169" t="s">
        <v>25186</v>
      </c>
      <c r="C1765" s="169" t="s">
        <v>10225</v>
      </c>
      <c r="D1765" s="169" t="s">
        <v>1290</v>
      </c>
      <c r="E1765" s="103" t="s">
        <v>21124</v>
      </c>
      <c r="F1765" s="104"/>
      <c r="G1765" s="105">
        <f t="shared" si="108"/>
        <v>19.91</v>
      </c>
      <c r="H1765" s="101" t="str">
        <f t="shared" si="109"/>
        <v>Sinapi 38869</v>
      </c>
      <c r="I1765" s="101" t="str">
        <f t="shared" si="110"/>
        <v>UN</v>
      </c>
      <c r="J1765" s="140" t="str">
        <f t="shared" si="111"/>
        <v>DISTRIBUIDOR METALICO, COM ROSCA, 2 SAIDAS, DN 3/4" X 1/2", PARA CONEXAO COM ANEL DESLIZANTE EM TUBO PEX PARA INST. AGUA QUENTE/FRIA</v>
      </c>
    </row>
    <row r="1766" spans="1:10" x14ac:dyDescent="0.25">
      <c r="A1766" s="169">
        <v>38872</v>
      </c>
      <c r="B1766" s="169" t="s">
        <v>25187</v>
      </c>
      <c r="C1766" s="169" t="s">
        <v>10225</v>
      </c>
      <c r="D1766" s="169" t="s">
        <v>1290</v>
      </c>
      <c r="E1766" s="103" t="s">
        <v>20482</v>
      </c>
      <c r="F1766" s="104"/>
      <c r="G1766" s="105">
        <f t="shared" si="108"/>
        <v>37.590000000000003</v>
      </c>
      <c r="H1766" s="101" t="str">
        <f t="shared" si="109"/>
        <v>Sinapi 38872</v>
      </c>
      <c r="I1766" s="101" t="str">
        <f t="shared" si="110"/>
        <v>UN</v>
      </c>
      <c r="J1766" s="140" t="str">
        <f t="shared" si="111"/>
        <v>DISTRIBUIDOR METALICO, COM ROSCA, 3 SAIDAS, DN 1" X 1/2", PARA CONEXAO COM ANEL DESLIZANTE EM TUBO PEX PARA INST. AGUA QUENTE/FRIA</v>
      </c>
    </row>
    <row r="1767" spans="1:10" x14ac:dyDescent="0.25">
      <c r="A1767" s="169">
        <v>38871</v>
      </c>
      <c r="B1767" s="169" t="s">
        <v>25188</v>
      </c>
      <c r="C1767" s="169" t="s">
        <v>10225</v>
      </c>
      <c r="D1767" s="169" t="s">
        <v>1290</v>
      </c>
      <c r="E1767" s="103" t="s">
        <v>20447</v>
      </c>
      <c r="F1767" s="104"/>
      <c r="G1767" s="105">
        <f t="shared" si="108"/>
        <v>25.99</v>
      </c>
      <c r="H1767" s="101" t="str">
        <f t="shared" si="109"/>
        <v>Sinapi 38871</v>
      </c>
      <c r="I1767" s="101" t="str">
        <f t="shared" si="110"/>
        <v>UN</v>
      </c>
      <c r="J1767" s="140" t="str">
        <f t="shared" si="111"/>
        <v>DISTRIBUIDOR METALICO, COM ROSCA, 3 SAIDAS, DN 3/4" X 1/2", PARA CONEXAO COM ANEL DESLIZANTE EM TUBO PEX PARA INST. AGUA QUENTE/FRIA</v>
      </c>
    </row>
    <row r="1768" spans="1:10" x14ac:dyDescent="0.25">
      <c r="A1768" s="169">
        <v>39283</v>
      </c>
      <c r="B1768" s="169" t="s">
        <v>25189</v>
      </c>
      <c r="C1768" s="169" t="s">
        <v>10225</v>
      </c>
      <c r="D1768" s="169" t="s">
        <v>1290</v>
      </c>
      <c r="E1768" s="103" t="s">
        <v>19919</v>
      </c>
      <c r="F1768" s="104"/>
      <c r="G1768" s="105">
        <f t="shared" si="108"/>
        <v>121.76</v>
      </c>
      <c r="H1768" s="101" t="str">
        <f t="shared" si="109"/>
        <v>Sinapi 39283</v>
      </c>
      <c r="I1768" s="101" t="str">
        <f t="shared" si="110"/>
        <v>UN</v>
      </c>
      <c r="J1768" s="140" t="str">
        <f t="shared" si="111"/>
        <v>DISTRIBUIDOR, PLASTICO, 2 SAIDAS, DN 32 X 16 MM, PARA CONEXAO COM CRIMPAGEM, EM TUBO PEX PARA INST. AGUA QUENTE/FRIA</v>
      </c>
    </row>
    <row r="1769" spans="1:10" x14ac:dyDescent="0.25">
      <c r="A1769" s="169">
        <v>39285</v>
      </c>
      <c r="B1769" s="169" t="s">
        <v>25190</v>
      </c>
      <c r="C1769" s="169" t="s">
        <v>10225</v>
      </c>
      <c r="D1769" s="169" t="s">
        <v>1290</v>
      </c>
      <c r="E1769" s="103" t="s">
        <v>25191</v>
      </c>
      <c r="F1769" s="104"/>
      <c r="G1769" s="105">
        <f t="shared" si="108"/>
        <v>139.16</v>
      </c>
      <c r="H1769" s="101" t="str">
        <f t="shared" si="109"/>
        <v>Sinapi 39285</v>
      </c>
      <c r="I1769" s="101" t="str">
        <f t="shared" si="110"/>
        <v>UN</v>
      </c>
      <c r="J1769" s="140" t="str">
        <f t="shared" si="111"/>
        <v>DISTRIBUIDOR, PLASTICO, 2 SAIDAS, DN 32 X 25 MM, PARA CONEXAO COM CRIMPAGEM, EM TUBO PEX PARA INST. AGUA QUENTE/FRIA</v>
      </c>
    </row>
    <row r="1770" spans="1:10" x14ac:dyDescent="0.25">
      <c r="A1770" s="169">
        <v>39286</v>
      </c>
      <c r="B1770" s="169" t="s">
        <v>25192</v>
      </c>
      <c r="C1770" s="169" t="s">
        <v>10225</v>
      </c>
      <c r="D1770" s="169" t="s">
        <v>1290</v>
      </c>
      <c r="E1770" s="103" t="s">
        <v>25193</v>
      </c>
      <c r="F1770" s="104"/>
      <c r="G1770" s="105">
        <f t="shared" si="108"/>
        <v>133.37</v>
      </c>
      <c r="H1770" s="101" t="str">
        <f t="shared" si="109"/>
        <v>Sinapi 39286</v>
      </c>
      <c r="I1770" s="101" t="str">
        <f t="shared" si="110"/>
        <v>UN</v>
      </c>
      <c r="J1770" s="140" t="str">
        <f t="shared" si="111"/>
        <v>DISTRIBUIDOR, PLASTICO, 3 SAIDAS, DN 32 X 16 MM, PARA CONEXAO COM CRIMPAGEM, EM TUBO PEX PARA INST. AGUA QUENTE/FRIA</v>
      </c>
    </row>
    <row r="1771" spans="1:10" x14ac:dyDescent="0.25">
      <c r="A1771" s="169">
        <v>39288</v>
      </c>
      <c r="B1771" s="169" t="s">
        <v>25194</v>
      </c>
      <c r="C1771" s="169" t="s">
        <v>10225</v>
      </c>
      <c r="D1771" s="169" t="s">
        <v>1290</v>
      </c>
      <c r="E1771" s="103" t="s">
        <v>25195</v>
      </c>
      <c r="F1771" s="104"/>
      <c r="G1771" s="105">
        <f t="shared" si="108"/>
        <v>162.34</v>
      </c>
      <c r="H1771" s="101" t="str">
        <f t="shared" si="109"/>
        <v>Sinapi 39288</v>
      </c>
      <c r="I1771" s="101" t="str">
        <f t="shared" si="110"/>
        <v>UN</v>
      </c>
      <c r="J1771" s="140" t="str">
        <f t="shared" si="111"/>
        <v>DISTRIBUIDOR, PLASTICO, 3 SAIDAS, DN 32 X 25 MM, PARA CONEXAO COM CRIMPAGEM, EM TUBO PEX PARA INST. AGUA QUENTE/FRIA</v>
      </c>
    </row>
    <row r="1772" spans="1:10" x14ac:dyDescent="0.25">
      <c r="A1772" s="169">
        <v>44476</v>
      </c>
      <c r="B1772" s="169" t="s">
        <v>25196</v>
      </c>
      <c r="C1772" s="169" t="s">
        <v>10226</v>
      </c>
      <c r="D1772" s="169" t="s">
        <v>1289</v>
      </c>
      <c r="E1772" s="103" t="s">
        <v>30311</v>
      </c>
      <c r="F1772" s="104"/>
      <c r="G1772" s="105">
        <f t="shared" si="108"/>
        <v>1338.36</v>
      </c>
      <c r="H1772" s="101" t="str">
        <f t="shared" si="109"/>
        <v>Sinapi 44476</v>
      </c>
      <c r="I1772" s="101" t="str">
        <f t="shared" si="110"/>
        <v>M2</v>
      </c>
      <c r="J1772" s="140" t="str">
        <f t="shared" si="111"/>
        <v>DIVISORIA EM GRANITO, COM DUAS FACES POLIDAS, TIPO ANDORINHA/ QUARTZ/ CASTELO/ CORUMBA OU OUTROS EQUIVALENTES DA REGIAO, E= *3,0* CM</v>
      </c>
    </row>
    <row r="1773" spans="1:10" x14ac:dyDescent="0.25">
      <c r="A1773" s="169">
        <v>10629</v>
      </c>
      <c r="B1773" s="169" t="s">
        <v>25197</v>
      </c>
      <c r="C1773" s="169" t="s">
        <v>10226</v>
      </c>
      <c r="D1773" s="169" t="s">
        <v>1289</v>
      </c>
      <c r="E1773" s="103" t="s">
        <v>30312</v>
      </c>
      <c r="F1773" s="104"/>
      <c r="G1773" s="105">
        <f t="shared" si="108"/>
        <v>1143.22</v>
      </c>
      <c r="H1773" s="101" t="str">
        <f t="shared" si="109"/>
        <v>Sinapi 10629</v>
      </c>
      <c r="I1773" s="101" t="str">
        <f t="shared" si="110"/>
        <v>M2</v>
      </c>
      <c r="J1773" s="140" t="str">
        <f t="shared" si="111"/>
        <v>DIVISORIA EM MARMORE, COM DUAS FACES POLIDAS, BRANCO COMUM, E= *3,0* CM</v>
      </c>
    </row>
    <row r="1774" spans="1:10" x14ac:dyDescent="0.25">
      <c r="A1774" s="169">
        <v>10698</v>
      </c>
      <c r="B1774" s="169" t="s">
        <v>25198</v>
      </c>
      <c r="C1774" s="169" t="s">
        <v>10226</v>
      </c>
      <c r="D1774" s="169" t="s">
        <v>1290</v>
      </c>
      <c r="E1774" s="103" t="s">
        <v>22806</v>
      </c>
      <c r="F1774" s="104"/>
      <c r="G1774" s="105">
        <f t="shared" si="108"/>
        <v>207.56</v>
      </c>
      <c r="H1774" s="101" t="str">
        <f t="shared" si="109"/>
        <v>Sinapi 10698</v>
      </c>
      <c r="I1774" s="101" t="str">
        <f t="shared" si="110"/>
        <v>M2</v>
      </c>
      <c r="J1774" s="140" t="str">
        <f t="shared" si="111"/>
        <v>DIVISORIA, PLACA PRE-MOLDADA EM GRANILITE, MARMORITE OU GRANITINA, E = *3 CM</v>
      </c>
    </row>
    <row r="1775" spans="1:10" x14ac:dyDescent="0.25">
      <c r="A1775" s="169">
        <v>40521</v>
      </c>
      <c r="B1775" s="169" t="s">
        <v>30313</v>
      </c>
      <c r="C1775" s="169" t="s">
        <v>10225</v>
      </c>
      <c r="D1775" s="169" t="s">
        <v>1289</v>
      </c>
      <c r="E1775" s="103" t="s">
        <v>30314</v>
      </c>
      <c r="F1775" s="104"/>
      <c r="G1775" s="105">
        <f t="shared" si="108"/>
        <v>132474.70000000001</v>
      </c>
      <c r="H1775" s="101" t="str">
        <f t="shared" si="109"/>
        <v>Sinapi 40521</v>
      </c>
      <c r="I1775" s="101" t="str">
        <f t="shared" si="110"/>
        <v>UN</v>
      </c>
      <c r="J1775" s="140" t="str">
        <f t="shared" si="111"/>
        <v>DOBRADEIRA ELETROMECANICA DE VERGALHAO, PARA ACO DE DIAMETRO ATE 1 1/2", MOTOR ELETRICO TRIFASICO, POTENCIA DE 3 HP ATE 5 HP</v>
      </c>
    </row>
    <row r="1776" spans="1:10" x14ac:dyDescent="0.25">
      <c r="A1776" s="169">
        <v>2432</v>
      </c>
      <c r="B1776" s="169" t="s">
        <v>10259</v>
      </c>
      <c r="C1776" s="169" t="s">
        <v>10225</v>
      </c>
      <c r="D1776" s="169" t="s">
        <v>1289</v>
      </c>
      <c r="E1776" s="103" t="s">
        <v>20132</v>
      </c>
      <c r="F1776" s="104"/>
      <c r="G1776" s="105">
        <f t="shared" si="108"/>
        <v>23</v>
      </c>
      <c r="H1776" s="101" t="str">
        <f t="shared" si="109"/>
        <v>Sinapi 2432</v>
      </c>
      <c r="I1776" s="101" t="str">
        <f t="shared" si="110"/>
        <v>UN</v>
      </c>
      <c r="J1776" s="140" t="str">
        <f t="shared" si="111"/>
        <v>DOBRADICA EM ACO/FERRO, 3 1/2" X 3", E= 1,9 A 2 MM, COM ANEL, CROMADO OU ZINCADO, TAMPA BOLA, COM PARAFUSOS</v>
      </c>
    </row>
    <row r="1777" spans="1:10" x14ac:dyDescent="0.25">
      <c r="A1777" s="169">
        <v>2433</v>
      </c>
      <c r="B1777" s="169" t="s">
        <v>25199</v>
      </c>
      <c r="C1777" s="169" t="s">
        <v>10225</v>
      </c>
      <c r="D1777" s="169" t="s">
        <v>1289</v>
      </c>
      <c r="E1777" s="103" t="s">
        <v>19933</v>
      </c>
      <c r="F1777" s="104"/>
      <c r="G1777" s="105">
        <f t="shared" si="108"/>
        <v>7.79</v>
      </c>
      <c r="H1777" s="101" t="str">
        <f t="shared" si="109"/>
        <v>Sinapi 2433</v>
      </c>
      <c r="I1777" s="101" t="str">
        <f t="shared" si="110"/>
        <v>UN</v>
      </c>
      <c r="J1777" s="140" t="str">
        <f t="shared" si="111"/>
        <v>DOBRADICA EM ACO/FERRO, 3" X 2 1/2", E= 1,2 A 1,8 MM, SEM ANEL, CROMADO OU ZINCADO, TAMPA CHATA, COM PARAFUSOS</v>
      </c>
    </row>
    <row r="1778" spans="1:10" x14ac:dyDescent="0.25">
      <c r="A1778" s="169">
        <v>2418</v>
      </c>
      <c r="B1778" s="169" t="s">
        <v>25200</v>
      </c>
      <c r="C1778" s="169" t="s">
        <v>10225</v>
      </c>
      <c r="D1778" s="169" t="s">
        <v>1288</v>
      </c>
      <c r="E1778" s="103" t="s">
        <v>21467</v>
      </c>
      <c r="F1778" s="104"/>
      <c r="G1778" s="105">
        <f t="shared" si="108"/>
        <v>10.67</v>
      </c>
      <c r="H1778" s="101" t="str">
        <f t="shared" si="109"/>
        <v>Sinapi 2418</v>
      </c>
      <c r="I1778" s="101" t="str">
        <f t="shared" si="110"/>
        <v>UN</v>
      </c>
      <c r="J1778" s="140" t="str">
        <f t="shared" si="111"/>
        <v>DOBRADICA EM ACO/FERRO, 3" X 2 1/2", E= 1,2 A 1,8 MM, SEM ANEL, CROMADO OU ZINCADO, TAMPA BOLA, COM PARAFUSOS</v>
      </c>
    </row>
    <row r="1779" spans="1:10" x14ac:dyDescent="0.25">
      <c r="A1779" s="169">
        <v>2420</v>
      </c>
      <c r="B1779" s="169" t="s">
        <v>25201</v>
      </c>
      <c r="C1779" s="169" t="s">
        <v>10225</v>
      </c>
      <c r="D1779" s="169" t="s">
        <v>1289</v>
      </c>
      <c r="E1779" s="103" t="s">
        <v>10273</v>
      </c>
      <c r="F1779" s="104"/>
      <c r="G1779" s="105">
        <f t="shared" si="108"/>
        <v>13.38</v>
      </c>
      <c r="H1779" s="101" t="str">
        <f t="shared" si="109"/>
        <v>Sinapi 2420</v>
      </c>
      <c r="I1779" s="101" t="str">
        <f t="shared" si="110"/>
        <v>UN</v>
      </c>
      <c r="J1779" s="140" t="str">
        <f t="shared" si="111"/>
        <v>DOBRADICA EM ACO/FERRO, 3" X 2 1/2", E= 1,9 A 2 MM, SEM ANEL, CROMADO OU ZINCADO, TAMPA BOLA, COM PARAFUSOS</v>
      </c>
    </row>
    <row r="1780" spans="1:10" x14ac:dyDescent="0.25">
      <c r="A1780" s="169">
        <v>11447</v>
      </c>
      <c r="B1780" s="169" t="s">
        <v>584</v>
      </c>
      <c r="C1780" s="169" t="s">
        <v>10225</v>
      </c>
      <c r="D1780" s="169" t="s">
        <v>1289</v>
      </c>
      <c r="E1780" s="103" t="s">
        <v>17443</v>
      </c>
      <c r="F1780" s="104"/>
      <c r="G1780" s="105">
        <f t="shared" si="108"/>
        <v>26.45</v>
      </c>
      <c r="H1780" s="101" t="str">
        <f t="shared" si="109"/>
        <v>Sinapi 11447</v>
      </c>
      <c r="I1780" s="101" t="str">
        <f t="shared" si="110"/>
        <v>UN</v>
      </c>
      <c r="J1780" s="140" t="str">
        <f t="shared" si="111"/>
        <v>DOBRADICA EM LATAO, 3 " X 2 1/2 ", E= 1,9 A 2 MM, COM ANEL, CROMADO, TAMPA BOLA, COM PARAFUSOS</v>
      </c>
    </row>
    <row r="1781" spans="1:10" x14ac:dyDescent="0.25">
      <c r="A1781" s="169">
        <v>11451</v>
      </c>
      <c r="B1781" s="169" t="s">
        <v>25203</v>
      </c>
      <c r="C1781" s="169" t="s">
        <v>10225</v>
      </c>
      <c r="D1781" s="169" t="s">
        <v>1289</v>
      </c>
      <c r="E1781" s="103" t="s">
        <v>29056</v>
      </c>
      <c r="F1781" s="104"/>
      <c r="G1781" s="105">
        <f t="shared" si="108"/>
        <v>70.900000000000006</v>
      </c>
      <c r="H1781" s="101" t="str">
        <f t="shared" si="109"/>
        <v>Sinapi 11451</v>
      </c>
      <c r="I1781" s="101" t="str">
        <f t="shared" si="110"/>
        <v>UN</v>
      </c>
      <c r="J1781" s="140" t="str">
        <f t="shared" si="111"/>
        <v>DOBRADICA TIPO VAI-E-VEM EM ACO/FERRO, TAMANHO 3'', GALVANIZADO, COM PARAFUSOS</v>
      </c>
    </row>
    <row r="1782" spans="1:10" x14ac:dyDescent="0.25">
      <c r="A1782" s="169">
        <v>11116</v>
      </c>
      <c r="B1782" s="169" t="s">
        <v>25204</v>
      </c>
      <c r="C1782" s="169" t="s">
        <v>10225</v>
      </c>
      <c r="D1782" s="169" t="s">
        <v>1290</v>
      </c>
      <c r="E1782" s="103" t="s">
        <v>25205</v>
      </c>
      <c r="F1782" s="104"/>
      <c r="G1782" s="105">
        <f t="shared" si="108"/>
        <v>838.13</v>
      </c>
      <c r="H1782" s="101" t="str">
        <f t="shared" si="109"/>
        <v>Sinapi 11116</v>
      </c>
      <c r="I1782" s="101" t="str">
        <f t="shared" si="110"/>
        <v>UN</v>
      </c>
      <c r="J1782" s="140" t="str">
        <f t="shared" si="111"/>
        <v>DOMOS INDIVIDUAL EM ACRILICO BRANCO *95 X 95* CM, SEM INSTALACAO</v>
      </c>
    </row>
    <row r="1783" spans="1:10" x14ac:dyDescent="0.25">
      <c r="A1783" s="169">
        <v>38411</v>
      </c>
      <c r="B1783" s="169" t="s">
        <v>25206</v>
      </c>
      <c r="C1783" s="169" t="s">
        <v>10225</v>
      </c>
      <c r="D1783" s="169" t="s">
        <v>1289</v>
      </c>
      <c r="E1783" s="103" t="s">
        <v>30315</v>
      </c>
      <c r="F1783" s="104"/>
      <c r="G1783" s="105">
        <f t="shared" si="108"/>
        <v>2063.6</v>
      </c>
      <c r="H1783" s="101" t="str">
        <f t="shared" si="109"/>
        <v>Sinapi 38411</v>
      </c>
      <c r="I1783" s="101" t="str">
        <f t="shared" si="110"/>
        <v>UN</v>
      </c>
      <c r="J1783" s="140" t="str">
        <f t="shared" si="111"/>
        <v>DOSADOR DE AREIA, CAPACIDADE DE *26* LITROS</v>
      </c>
    </row>
    <row r="1784" spans="1:10" x14ac:dyDescent="0.25">
      <c r="A1784" s="169">
        <v>38189</v>
      </c>
      <c r="B1784" s="169" t="s">
        <v>25207</v>
      </c>
      <c r="C1784" s="169" t="s">
        <v>10225</v>
      </c>
      <c r="D1784" s="169" t="s">
        <v>1289</v>
      </c>
      <c r="E1784" s="103" t="s">
        <v>30316</v>
      </c>
      <c r="F1784" s="104"/>
      <c r="G1784" s="105">
        <f t="shared" si="108"/>
        <v>107.89</v>
      </c>
      <c r="H1784" s="101" t="str">
        <f t="shared" si="109"/>
        <v>Sinapi 38189</v>
      </c>
      <c r="I1784" s="101" t="str">
        <f t="shared" si="110"/>
        <v>UN</v>
      </c>
      <c r="J1784" s="140" t="str">
        <f t="shared" si="111"/>
        <v>DUCHA / CHUVEIRO METALICO, DE PAREDE, ARTICULAVEL, COM BRACO/CANO, SEM DESVIADOR</v>
      </c>
    </row>
    <row r="1785" spans="1:10" x14ac:dyDescent="0.25">
      <c r="A1785" s="169">
        <v>38190</v>
      </c>
      <c r="B1785" s="169" t="s">
        <v>25208</v>
      </c>
      <c r="C1785" s="169" t="s">
        <v>10225</v>
      </c>
      <c r="D1785" s="169" t="s">
        <v>1289</v>
      </c>
      <c r="E1785" s="103" t="s">
        <v>30317</v>
      </c>
      <c r="F1785" s="104"/>
      <c r="G1785" s="105">
        <f t="shared" si="108"/>
        <v>227.3</v>
      </c>
      <c r="H1785" s="101" t="str">
        <f t="shared" si="109"/>
        <v>Sinapi 38190</v>
      </c>
      <c r="I1785" s="101" t="str">
        <f t="shared" si="110"/>
        <v>UN</v>
      </c>
      <c r="J1785" s="140" t="str">
        <f t="shared" si="111"/>
        <v>DUCHA / CHUVEIRO METALICO, DE PAREDE, ARTICULAVEL, COM DESVIADOR E DUCHA MANUAL</v>
      </c>
    </row>
    <row r="1786" spans="1:10" x14ac:dyDescent="0.25">
      <c r="A1786" s="169">
        <v>7608</v>
      </c>
      <c r="B1786" s="169" t="s">
        <v>25209</v>
      </c>
      <c r="C1786" s="169" t="s">
        <v>10225</v>
      </c>
      <c r="D1786" s="169" t="s">
        <v>1289</v>
      </c>
      <c r="E1786" s="103" t="s">
        <v>19974</v>
      </c>
      <c r="F1786" s="104"/>
      <c r="G1786" s="105">
        <f t="shared" si="108"/>
        <v>11.72</v>
      </c>
      <c r="H1786" s="101" t="str">
        <f t="shared" si="109"/>
        <v>Sinapi 7608</v>
      </c>
      <c r="I1786" s="101" t="str">
        <f t="shared" si="110"/>
        <v>UN</v>
      </c>
      <c r="J1786" s="140" t="str">
        <f t="shared" si="111"/>
        <v>DUCHA / CHUVEIRO PLASTICO SIMPLES, 5 '', BRANCO, PARA ACOPLAR EM HASTE 1/2 ", AGUA FRIA</v>
      </c>
    </row>
    <row r="1787" spans="1:10" x14ac:dyDescent="0.25">
      <c r="A1787" s="169">
        <v>1370</v>
      </c>
      <c r="B1787" s="169" t="s">
        <v>25210</v>
      </c>
      <c r="C1787" s="169" t="s">
        <v>10225</v>
      </c>
      <c r="D1787" s="169" t="s">
        <v>1289</v>
      </c>
      <c r="E1787" s="103" t="s">
        <v>30318</v>
      </c>
      <c r="F1787" s="104"/>
      <c r="G1787" s="105">
        <f t="shared" si="108"/>
        <v>108.26</v>
      </c>
      <c r="H1787" s="101" t="str">
        <f t="shared" si="109"/>
        <v>Sinapi 1370</v>
      </c>
      <c r="I1787" s="101" t="str">
        <f t="shared" si="110"/>
        <v>UN</v>
      </c>
      <c r="J1787" s="140" t="str">
        <f t="shared" si="111"/>
        <v>DUCHA HIGIENICA PLASTICA COM REGISTRO METALICO 1/2 "</v>
      </c>
    </row>
    <row r="1788" spans="1:10" x14ac:dyDescent="0.25">
      <c r="A1788" s="169">
        <v>36516</v>
      </c>
      <c r="B1788" s="169" t="s">
        <v>25211</v>
      </c>
      <c r="C1788" s="169" t="s">
        <v>10225</v>
      </c>
      <c r="D1788" s="169" t="s">
        <v>1290</v>
      </c>
      <c r="E1788" s="103" t="s">
        <v>30319</v>
      </c>
      <c r="F1788" s="104"/>
      <c r="G1788" s="105">
        <f t="shared" si="108"/>
        <v>137999.9</v>
      </c>
      <c r="H1788" s="101" t="str">
        <f t="shared" si="109"/>
        <v>Sinapi 36516</v>
      </c>
      <c r="I1788" s="101" t="str">
        <f t="shared" si="110"/>
        <v>UN</v>
      </c>
      <c r="J1788" s="140" t="str">
        <f t="shared" si="111"/>
        <v>DUMPER COM CAPACIDADE DE CARGA DE 1700 KG, PARTIDA ELETRICA, MOTOR DIESEL COM POTENCIA DE 16 CV</v>
      </c>
    </row>
    <row r="1789" spans="1:10" x14ac:dyDescent="0.25">
      <c r="A1789" s="169">
        <v>34777</v>
      </c>
      <c r="B1789" s="169" t="s">
        <v>25212</v>
      </c>
      <c r="C1789" s="169" t="s">
        <v>10225</v>
      </c>
      <c r="D1789" s="169" t="s">
        <v>1289</v>
      </c>
      <c r="E1789" s="103" t="s">
        <v>6574</v>
      </c>
      <c r="F1789" s="104"/>
      <c r="G1789" s="105">
        <f t="shared" si="108"/>
        <v>2.79</v>
      </c>
      <c r="H1789" s="101" t="str">
        <f t="shared" si="109"/>
        <v>Sinapi 34777</v>
      </c>
      <c r="I1789" s="101" t="str">
        <f t="shared" si="110"/>
        <v>UN</v>
      </c>
      <c r="J1789" s="140" t="str">
        <f t="shared" si="111"/>
        <v>ELEMENTO VAZADO CERAMICO DIAGONAL (TIPO FLOR/QUADRADO/XIS) 25 X 18 X 7 CM</v>
      </c>
    </row>
    <row r="1790" spans="1:10" x14ac:dyDescent="0.25">
      <c r="A1790" s="169">
        <v>7272</v>
      </c>
      <c r="B1790" s="169" t="s">
        <v>25213</v>
      </c>
      <c r="C1790" s="169" t="s">
        <v>10225</v>
      </c>
      <c r="D1790" s="169" t="s">
        <v>1289</v>
      </c>
      <c r="E1790" s="103" t="s">
        <v>8128</v>
      </c>
      <c r="F1790" s="104"/>
      <c r="G1790" s="105">
        <f t="shared" si="108"/>
        <v>2.36</v>
      </c>
      <c r="H1790" s="101" t="str">
        <f t="shared" si="109"/>
        <v>Sinapi 7272</v>
      </c>
      <c r="I1790" s="101" t="str">
        <f t="shared" si="110"/>
        <v>UN</v>
      </c>
      <c r="J1790" s="140" t="str">
        <f t="shared" si="111"/>
        <v>ELEMENTO VAZADO CERAMICO QUADRADO (TIPO RETO OU REDONDO), *7 A 9 X 20 X 20* CM (L X A X C)</v>
      </c>
    </row>
    <row r="1791" spans="1:10" x14ac:dyDescent="0.25">
      <c r="A1791" s="169">
        <v>10605</v>
      </c>
      <c r="B1791" s="169" t="s">
        <v>25214</v>
      </c>
      <c r="C1791" s="169" t="s">
        <v>10225</v>
      </c>
      <c r="D1791" s="169" t="s">
        <v>1289</v>
      </c>
      <c r="E1791" s="103" t="s">
        <v>22876</v>
      </c>
      <c r="F1791" s="104"/>
      <c r="G1791" s="105">
        <f t="shared" si="108"/>
        <v>8.75</v>
      </c>
      <c r="H1791" s="101" t="str">
        <f t="shared" si="109"/>
        <v>Sinapi 10605</v>
      </c>
      <c r="I1791" s="101" t="str">
        <f t="shared" si="110"/>
        <v>UN</v>
      </c>
      <c r="J1791" s="140" t="str">
        <f t="shared" si="111"/>
        <v>ELEMENTO VAZADO DE CONCRETO, QUADRICULADO, 1 FURO *10 X 10 X 10* CM</v>
      </c>
    </row>
    <row r="1792" spans="1:10" x14ac:dyDescent="0.25">
      <c r="A1792" s="169">
        <v>10604</v>
      </c>
      <c r="B1792" s="169" t="s">
        <v>25215</v>
      </c>
      <c r="C1792" s="169" t="s">
        <v>10225</v>
      </c>
      <c r="D1792" s="169" t="s">
        <v>1289</v>
      </c>
      <c r="E1792" s="103" t="s">
        <v>28748</v>
      </c>
      <c r="F1792" s="104"/>
      <c r="G1792" s="105">
        <f t="shared" si="108"/>
        <v>20.399999999999999</v>
      </c>
      <c r="H1792" s="101" t="str">
        <f t="shared" si="109"/>
        <v>Sinapi 10604</v>
      </c>
      <c r="I1792" s="101" t="str">
        <f t="shared" si="110"/>
        <v>UN</v>
      </c>
      <c r="J1792" s="140" t="str">
        <f t="shared" si="111"/>
        <v>ELEMENTO VAZADO DE CONCRETO, QUADRICULADO, 1 FURO *20 X 10 X 7* CM</v>
      </c>
    </row>
    <row r="1793" spans="1:10" x14ac:dyDescent="0.25">
      <c r="A1793" s="169">
        <v>672</v>
      </c>
      <c r="B1793" s="169" t="s">
        <v>25216</v>
      </c>
      <c r="C1793" s="169" t="s">
        <v>10225</v>
      </c>
      <c r="D1793" s="169" t="s">
        <v>1289</v>
      </c>
      <c r="E1793" s="103" t="s">
        <v>21327</v>
      </c>
      <c r="F1793" s="104"/>
      <c r="G1793" s="105">
        <f t="shared" si="108"/>
        <v>28.06</v>
      </c>
      <c r="H1793" s="101" t="str">
        <f t="shared" si="109"/>
        <v>Sinapi 672</v>
      </c>
      <c r="I1793" s="101" t="str">
        <f t="shared" si="110"/>
        <v>UN</v>
      </c>
      <c r="J1793" s="140" t="str">
        <f t="shared" si="111"/>
        <v>ELEMENTO VAZADO DE CONCRETO, QUADRICULADO, 1 FURO *20 X 20 X 6,5* CM</v>
      </c>
    </row>
    <row r="1794" spans="1:10" x14ac:dyDescent="0.25">
      <c r="A1794" s="169">
        <v>668</v>
      </c>
      <c r="B1794" s="169" t="s">
        <v>25217</v>
      </c>
      <c r="C1794" s="169" t="s">
        <v>10225</v>
      </c>
      <c r="D1794" s="169" t="s">
        <v>1289</v>
      </c>
      <c r="E1794" s="103" t="s">
        <v>30320</v>
      </c>
      <c r="F1794" s="104"/>
      <c r="G1794" s="105">
        <f t="shared" si="108"/>
        <v>33.869999999999997</v>
      </c>
      <c r="H1794" s="101" t="str">
        <f t="shared" si="109"/>
        <v>Sinapi 668</v>
      </c>
      <c r="I1794" s="101" t="str">
        <f t="shared" si="110"/>
        <v>UN</v>
      </c>
      <c r="J1794" s="140" t="str">
        <f t="shared" si="111"/>
        <v>ELEMENTO VAZADO DE CONCRETO, QUADRICULADO, 16 FUROS *29 X 29 X 6* CM</v>
      </c>
    </row>
    <row r="1795" spans="1:10" x14ac:dyDescent="0.25">
      <c r="A1795" s="169">
        <v>10578</v>
      </c>
      <c r="B1795" s="169" t="s">
        <v>25218</v>
      </c>
      <c r="C1795" s="169" t="s">
        <v>10225</v>
      </c>
      <c r="D1795" s="169" t="s">
        <v>1289</v>
      </c>
      <c r="E1795" s="103" t="s">
        <v>29161</v>
      </c>
      <c r="F1795" s="104"/>
      <c r="G1795" s="105">
        <f t="shared" si="108"/>
        <v>39.450000000000003</v>
      </c>
      <c r="H1795" s="101" t="str">
        <f t="shared" si="109"/>
        <v>Sinapi 10578</v>
      </c>
      <c r="I1795" s="101" t="str">
        <f t="shared" si="110"/>
        <v>UN</v>
      </c>
      <c r="J1795" s="140" t="str">
        <f t="shared" si="111"/>
        <v>ELEMENTO VAZADO DE CONCRETO, QUADRICULADO, 16 FUROS *33 X 33 X 10* CM</v>
      </c>
    </row>
    <row r="1796" spans="1:10" x14ac:dyDescent="0.25">
      <c r="A1796" s="169">
        <v>666</v>
      </c>
      <c r="B1796" s="169" t="s">
        <v>25219</v>
      </c>
      <c r="C1796" s="169" t="s">
        <v>10225</v>
      </c>
      <c r="D1796" s="169" t="s">
        <v>1289</v>
      </c>
      <c r="E1796" s="103" t="s">
        <v>30321</v>
      </c>
      <c r="F1796" s="104"/>
      <c r="G1796" s="105">
        <f t="shared" si="108"/>
        <v>43.87</v>
      </c>
      <c r="H1796" s="101" t="str">
        <f t="shared" si="109"/>
        <v>Sinapi 666</v>
      </c>
      <c r="I1796" s="101" t="str">
        <f t="shared" si="110"/>
        <v>UN</v>
      </c>
      <c r="J1796" s="140" t="str">
        <f t="shared" si="111"/>
        <v>ELEMENTO VAZADO DE CONCRETO, QUADRICULADO, 16 FUROS *40 X 40 X 7* CM</v>
      </c>
    </row>
    <row r="1797" spans="1:10" x14ac:dyDescent="0.25">
      <c r="A1797" s="169">
        <v>665</v>
      </c>
      <c r="B1797" s="169" t="s">
        <v>25220</v>
      </c>
      <c r="C1797" s="169" t="s">
        <v>10225</v>
      </c>
      <c r="D1797" s="169" t="s">
        <v>1289</v>
      </c>
      <c r="E1797" s="103" t="s">
        <v>29109</v>
      </c>
      <c r="F1797" s="104"/>
      <c r="G1797" s="105">
        <f t="shared" si="108"/>
        <v>58.67</v>
      </c>
      <c r="H1797" s="101" t="str">
        <f t="shared" si="109"/>
        <v>Sinapi 665</v>
      </c>
      <c r="I1797" s="101" t="str">
        <f t="shared" si="110"/>
        <v>UN</v>
      </c>
      <c r="J1797" s="140" t="str">
        <f t="shared" si="111"/>
        <v>ELEMENTO VAZADO DE CONCRETO, QUADRICULADO, 16 FUROS *50 X 50 X 7* CM</v>
      </c>
    </row>
    <row r="1798" spans="1:10" x14ac:dyDescent="0.25">
      <c r="A1798" s="169">
        <v>10577</v>
      </c>
      <c r="B1798" s="169" t="s">
        <v>25221</v>
      </c>
      <c r="C1798" s="169" t="s">
        <v>10225</v>
      </c>
      <c r="D1798" s="169" t="s">
        <v>1289</v>
      </c>
      <c r="E1798" s="103" t="s">
        <v>30322</v>
      </c>
      <c r="F1798" s="104"/>
      <c r="G1798" s="105">
        <f t="shared" si="108"/>
        <v>52.04</v>
      </c>
      <c r="H1798" s="101" t="str">
        <f t="shared" si="109"/>
        <v>Sinapi 10577</v>
      </c>
      <c r="I1798" s="101" t="str">
        <f t="shared" si="110"/>
        <v>UN</v>
      </c>
      <c r="J1798" s="140" t="str">
        <f t="shared" si="111"/>
        <v>ELEMENTO VAZADO DE CONCRETO, QUADRICULADO, 25 FUROS *50 X 50 X 5* CM</v>
      </c>
    </row>
    <row r="1799" spans="1:10" x14ac:dyDescent="0.25">
      <c r="A1799" s="169">
        <v>10583</v>
      </c>
      <c r="B1799" s="169" t="s">
        <v>25222</v>
      </c>
      <c r="C1799" s="169" t="s">
        <v>10225</v>
      </c>
      <c r="D1799" s="169" t="s">
        <v>1289</v>
      </c>
      <c r="E1799" s="103" t="s">
        <v>19982</v>
      </c>
      <c r="F1799" s="104"/>
      <c r="G1799" s="105">
        <f t="shared" si="108"/>
        <v>27.04</v>
      </c>
      <c r="H1799" s="101" t="str">
        <f t="shared" si="109"/>
        <v>Sinapi 10583</v>
      </c>
      <c r="I1799" s="101" t="str">
        <f t="shared" si="110"/>
        <v>UN</v>
      </c>
      <c r="J1799" s="140" t="str">
        <f t="shared" si="111"/>
        <v>ELEMENTO VAZADO DE CONCRETO, VENEZIANA *39 X 22 X 15* CM</v>
      </c>
    </row>
    <row r="1800" spans="1:10" x14ac:dyDescent="0.25">
      <c r="A1800" s="169">
        <v>10579</v>
      </c>
      <c r="B1800" s="169" t="s">
        <v>25223</v>
      </c>
      <c r="C1800" s="169" t="s">
        <v>10225</v>
      </c>
      <c r="D1800" s="169" t="s">
        <v>1289</v>
      </c>
      <c r="E1800" s="103" t="s">
        <v>27833</v>
      </c>
      <c r="F1800" s="104"/>
      <c r="G1800" s="105">
        <f t="shared" ref="G1800:G1863" si="112">IF(E1800="","",E1800+0)</f>
        <v>47.12</v>
      </c>
      <c r="H1800" s="101" t="str">
        <f t="shared" ref="H1800:H1863" si="113">IF(G1800="","",TRIM(CONCATENATE("Sinapi ",A1800)))</f>
        <v>Sinapi 10579</v>
      </c>
      <c r="I1800" s="101" t="str">
        <f t="shared" ref="I1800:I1863" si="114">TRIM(C1800)</f>
        <v>UN</v>
      </c>
      <c r="J1800" s="140" t="str">
        <f t="shared" si="111"/>
        <v>ELEMENTO VAZADO DE CONCRETO, VENEZIANA *39 X 29 X 10* CM</v>
      </c>
    </row>
    <row r="1801" spans="1:10" x14ac:dyDescent="0.25">
      <c r="A1801" s="169">
        <v>10582</v>
      </c>
      <c r="B1801" s="169" t="s">
        <v>25224</v>
      </c>
      <c r="C1801" s="169" t="s">
        <v>10225</v>
      </c>
      <c r="D1801" s="169" t="s">
        <v>1289</v>
      </c>
      <c r="E1801" s="103" t="s">
        <v>30323</v>
      </c>
      <c r="F1801" s="104"/>
      <c r="G1801" s="105">
        <f t="shared" si="112"/>
        <v>23.8</v>
      </c>
      <c r="H1801" s="101" t="str">
        <f t="shared" si="113"/>
        <v>Sinapi 10582</v>
      </c>
      <c r="I1801" s="101" t="str">
        <f t="shared" si="114"/>
        <v>UN</v>
      </c>
      <c r="J1801" s="140" t="str">
        <f t="shared" ref="J1801:J1864" si="115">TRIM(B1801)</f>
        <v>ELEMENTO VAZADO DE CONCRETO, VENEZIANA *40 X 10 X 10* CM</v>
      </c>
    </row>
    <row r="1802" spans="1:10" x14ac:dyDescent="0.25">
      <c r="A1802" s="169">
        <v>2436</v>
      </c>
      <c r="B1802" s="169" t="s">
        <v>25225</v>
      </c>
      <c r="C1802" s="169" t="s">
        <v>10228</v>
      </c>
      <c r="D1802" s="169" t="s">
        <v>1288</v>
      </c>
      <c r="E1802" s="103" t="s">
        <v>27635</v>
      </c>
      <c r="F1802" s="104"/>
      <c r="G1802" s="105">
        <f t="shared" si="112"/>
        <v>19.86</v>
      </c>
      <c r="H1802" s="101" t="str">
        <f t="shared" si="113"/>
        <v>Sinapi 2436</v>
      </c>
      <c r="I1802" s="101" t="str">
        <f t="shared" si="114"/>
        <v>H</v>
      </c>
      <c r="J1802" s="140" t="str">
        <f t="shared" si="115"/>
        <v>ELETRICISTA (HORISTA)</v>
      </c>
    </row>
    <row r="1803" spans="1:10" x14ac:dyDescent="0.25">
      <c r="A1803" s="169">
        <v>40918</v>
      </c>
      <c r="B1803" s="169" t="s">
        <v>25226</v>
      </c>
      <c r="C1803" s="169" t="s">
        <v>10235</v>
      </c>
      <c r="D1803" s="169" t="s">
        <v>1289</v>
      </c>
      <c r="E1803" s="103" t="s">
        <v>29669</v>
      </c>
      <c r="F1803" s="104"/>
      <c r="G1803" s="105">
        <f t="shared" si="112"/>
        <v>3455.98</v>
      </c>
      <c r="H1803" s="101" t="str">
        <f t="shared" si="113"/>
        <v>Sinapi 40918</v>
      </c>
      <c r="I1803" s="101" t="str">
        <f t="shared" si="114"/>
        <v>MES</v>
      </c>
      <c r="J1803" s="140" t="str">
        <f t="shared" si="115"/>
        <v>ELETRICISTA (MENSALISTA)</v>
      </c>
    </row>
    <row r="1804" spans="1:10" x14ac:dyDescent="0.25">
      <c r="A1804" s="169">
        <v>2439</v>
      </c>
      <c r="B1804" s="169" t="s">
        <v>25227</v>
      </c>
      <c r="C1804" s="169" t="s">
        <v>10228</v>
      </c>
      <c r="D1804" s="169" t="s">
        <v>1289</v>
      </c>
      <c r="E1804" s="103" t="s">
        <v>27635</v>
      </c>
      <c r="F1804" s="104"/>
      <c r="G1804" s="105">
        <f t="shared" si="112"/>
        <v>19.86</v>
      </c>
      <c r="H1804" s="101" t="str">
        <f t="shared" si="113"/>
        <v>Sinapi 2439</v>
      </c>
      <c r="I1804" s="101" t="str">
        <f t="shared" si="114"/>
        <v>H</v>
      </c>
      <c r="J1804" s="140" t="str">
        <f t="shared" si="115"/>
        <v>ELETRICISTA DE MANUTENCAO INDUSTRIAL (HORISTA)</v>
      </c>
    </row>
    <row r="1805" spans="1:10" x14ac:dyDescent="0.25">
      <c r="A1805" s="169">
        <v>40923</v>
      </c>
      <c r="B1805" s="169" t="s">
        <v>25228</v>
      </c>
      <c r="C1805" s="169" t="s">
        <v>10235</v>
      </c>
      <c r="D1805" s="169" t="s">
        <v>1289</v>
      </c>
      <c r="E1805" s="103" t="s">
        <v>29669</v>
      </c>
      <c r="F1805" s="104"/>
      <c r="G1805" s="105">
        <f t="shared" si="112"/>
        <v>3455.98</v>
      </c>
      <c r="H1805" s="101" t="str">
        <f t="shared" si="113"/>
        <v>Sinapi 40923</v>
      </c>
      <c r="I1805" s="101" t="str">
        <f t="shared" si="114"/>
        <v>MES</v>
      </c>
      <c r="J1805" s="140" t="str">
        <f t="shared" si="115"/>
        <v>ELETRICISTA DE MANUTENCAO INDUSTRIAL (MENSALISTA)</v>
      </c>
    </row>
    <row r="1806" spans="1:10" x14ac:dyDescent="0.25">
      <c r="A1806" s="169">
        <v>10998</v>
      </c>
      <c r="B1806" s="169" t="s">
        <v>25229</v>
      </c>
      <c r="C1806" s="169" t="s">
        <v>10231</v>
      </c>
      <c r="D1806" s="169" t="s">
        <v>1289</v>
      </c>
      <c r="E1806" s="103" t="s">
        <v>30324</v>
      </c>
      <c r="F1806" s="104"/>
      <c r="G1806" s="105">
        <f t="shared" si="112"/>
        <v>31.55</v>
      </c>
      <c r="H1806" s="101" t="str">
        <f t="shared" si="113"/>
        <v>Sinapi 10998</v>
      </c>
      <c r="I1806" s="101" t="str">
        <f t="shared" si="114"/>
        <v>KG</v>
      </c>
      <c r="J1806" s="140" t="str">
        <f t="shared" si="115"/>
        <v>ELETRODO REVESTIDO AWS - E-6010, DIAMETRO IGUAL A 4,00 MM</v>
      </c>
    </row>
    <row r="1807" spans="1:10" x14ac:dyDescent="0.25">
      <c r="A1807" s="169">
        <v>11002</v>
      </c>
      <c r="B1807" s="169" t="s">
        <v>1044</v>
      </c>
      <c r="C1807" s="169" t="s">
        <v>10231</v>
      </c>
      <c r="D1807" s="169" t="s">
        <v>1289</v>
      </c>
      <c r="E1807" s="103" t="s">
        <v>20134</v>
      </c>
      <c r="F1807" s="104"/>
      <c r="G1807" s="105">
        <f t="shared" si="112"/>
        <v>28.9</v>
      </c>
      <c r="H1807" s="101" t="str">
        <f t="shared" si="113"/>
        <v>Sinapi 11002</v>
      </c>
      <c r="I1807" s="101" t="str">
        <f t="shared" si="114"/>
        <v>KG</v>
      </c>
      <c r="J1807" s="140" t="str">
        <f t="shared" si="115"/>
        <v>ELETRODO REVESTIDO AWS - E6013, DIAMETRO IGUAL A 2,50 MM</v>
      </c>
    </row>
    <row r="1808" spans="1:10" x14ac:dyDescent="0.25">
      <c r="A1808" s="169">
        <v>10999</v>
      </c>
      <c r="B1808" s="169" t="s">
        <v>25230</v>
      </c>
      <c r="C1808" s="169" t="s">
        <v>10231</v>
      </c>
      <c r="D1808" s="169" t="s">
        <v>1289</v>
      </c>
      <c r="E1808" s="103" t="s">
        <v>17134</v>
      </c>
      <c r="F1808" s="104"/>
      <c r="G1808" s="105">
        <f t="shared" si="112"/>
        <v>27.77</v>
      </c>
      <c r="H1808" s="101" t="str">
        <f t="shared" si="113"/>
        <v>Sinapi 10999</v>
      </c>
      <c r="I1808" s="101" t="str">
        <f t="shared" si="114"/>
        <v>KG</v>
      </c>
      <c r="J1808" s="140" t="str">
        <f t="shared" si="115"/>
        <v>ELETRODO REVESTIDO AWS - E6013, DIAMETRO IGUAL A 4,00 MM</v>
      </c>
    </row>
    <row r="1809" spans="1:10" x14ac:dyDescent="0.25">
      <c r="A1809" s="169">
        <v>10997</v>
      </c>
      <c r="B1809" s="169" t="s">
        <v>92</v>
      </c>
      <c r="C1809" s="169" t="s">
        <v>10231</v>
      </c>
      <c r="D1809" s="169" t="s">
        <v>1288</v>
      </c>
      <c r="E1809" s="103" t="s">
        <v>30325</v>
      </c>
      <c r="F1809" s="104"/>
      <c r="G1809" s="105">
        <f t="shared" si="112"/>
        <v>30.1</v>
      </c>
      <c r="H1809" s="101" t="str">
        <f t="shared" si="113"/>
        <v>Sinapi 10997</v>
      </c>
      <c r="I1809" s="101" t="str">
        <f t="shared" si="114"/>
        <v>KG</v>
      </c>
      <c r="J1809" s="140" t="str">
        <f t="shared" si="115"/>
        <v>ELETRODO REVESTIDO AWS - E7018, DIAMETRO IGUAL A 4,00 MM</v>
      </c>
    </row>
    <row r="1810" spans="1:10" x14ac:dyDescent="0.25">
      <c r="A1810" s="169">
        <v>2685</v>
      </c>
      <c r="B1810" s="169" t="s">
        <v>25231</v>
      </c>
      <c r="C1810" s="169" t="s">
        <v>10229</v>
      </c>
      <c r="D1810" s="169" t="s">
        <v>1289</v>
      </c>
      <c r="E1810" s="103" t="s">
        <v>19269</v>
      </c>
      <c r="F1810" s="104"/>
      <c r="G1810" s="105">
        <f t="shared" si="112"/>
        <v>9.73</v>
      </c>
      <c r="H1810" s="101" t="str">
        <f t="shared" si="113"/>
        <v>Sinapi 2685</v>
      </c>
      <c r="I1810" s="101" t="str">
        <f t="shared" si="114"/>
        <v>M</v>
      </c>
      <c r="J1810" s="140" t="str">
        <f t="shared" si="115"/>
        <v>ELETRODUTO DE PVC RIGIDO ROSCAVEL DE 1 ", SEM LUVA</v>
      </c>
    </row>
    <row r="1811" spans="1:10" x14ac:dyDescent="0.25">
      <c r="A1811" s="169">
        <v>2680</v>
      </c>
      <c r="B1811" s="169" t="s">
        <v>25232</v>
      </c>
      <c r="C1811" s="169" t="s">
        <v>10229</v>
      </c>
      <c r="D1811" s="169" t="s">
        <v>1289</v>
      </c>
      <c r="E1811" s="103" t="s">
        <v>23274</v>
      </c>
      <c r="F1811" s="104"/>
      <c r="G1811" s="105">
        <f t="shared" si="112"/>
        <v>14.24</v>
      </c>
      <c r="H1811" s="101" t="str">
        <f t="shared" si="113"/>
        <v>Sinapi 2680</v>
      </c>
      <c r="I1811" s="101" t="str">
        <f t="shared" si="114"/>
        <v>M</v>
      </c>
      <c r="J1811" s="140" t="str">
        <f t="shared" si="115"/>
        <v>ELETRODUTO DE PVC RIGIDO ROSCAVEL DE 1 1/2 ", SEM LUVA</v>
      </c>
    </row>
    <row r="1812" spans="1:10" x14ac:dyDescent="0.25">
      <c r="A1812" s="169">
        <v>2684</v>
      </c>
      <c r="B1812" s="169" t="s">
        <v>25233</v>
      </c>
      <c r="C1812" s="169" t="s">
        <v>10229</v>
      </c>
      <c r="D1812" s="169" t="s">
        <v>1289</v>
      </c>
      <c r="E1812" s="103" t="s">
        <v>21064</v>
      </c>
      <c r="F1812" s="104"/>
      <c r="G1812" s="105">
        <f t="shared" si="112"/>
        <v>12.95</v>
      </c>
      <c r="H1812" s="101" t="str">
        <f t="shared" si="113"/>
        <v>Sinapi 2684</v>
      </c>
      <c r="I1812" s="101" t="str">
        <f t="shared" si="114"/>
        <v>M</v>
      </c>
      <c r="J1812" s="140" t="str">
        <f t="shared" si="115"/>
        <v>ELETRODUTO DE PVC RIGIDO ROSCAVEL DE 1 1/4 ", SEM LUVA</v>
      </c>
    </row>
    <row r="1813" spans="1:10" x14ac:dyDescent="0.25">
      <c r="A1813" s="169">
        <v>2673</v>
      </c>
      <c r="B1813" s="169" t="s">
        <v>25234</v>
      </c>
      <c r="C1813" s="169" t="s">
        <v>10229</v>
      </c>
      <c r="D1813" s="169" t="s">
        <v>1288</v>
      </c>
      <c r="E1813" s="103" t="s">
        <v>14355</v>
      </c>
      <c r="F1813" s="104"/>
      <c r="G1813" s="105">
        <f t="shared" si="112"/>
        <v>5</v>
      </c>
      <c r="H1813" s="101" t="str">
        <f t="shared" si="113"/>
        <v>Sinapi 2673</v>
      </c>
      <c r="I1813" s="101" t="str">
        <f t="shared" si="114"/>
        <v>M</v>
      </c>
      <c r="J1813" s="140" t="str">
        <f t="shared" si="115"/>
        <v>ELETRODUTO DE PVC RIGIDO ROSCAVEL DE 1/2 ", SEM LUVA</v>
      </c>
    </row>
    <row r="1814" spans="1:10" x14ac:dyDescent="0.25">
      <c r="A1814" s="169">
        <v>2681</v>
      </c>
      <c r="B1814" s="169" t="s">
        <v>25235</v>
      </c>
      <c r="C1814" s="169" t="s">
        <v>10229</v>
      </c>
      <c r="D1814" s="169" t="s">
        <v>1289</v>
      </c>
      <c r="E1814" s="103" t="s">
        <v>14787</v>
      </c>
      <c r="F1814" s="104"/>
      <c r="G1814" s="105">
        <f t="shared" si="112"/>
        <v>23.27</v>
      </c>
      <c r="H1814" s="101" t="str">
        <f t="shared" si="113"/>
        <v>Sinapi 2681</v>
      </c>
      <c r="I1814" s="101" t="str">
        <f t="shared" si="114"/>
        <v>M</v>
      </c>
      <c r="J1814" s="140" t="str">
        <f t="shared" si="115"/>
        <v>ELETRODUTO DE PVC RIGIDO ROSCAVEL DE 2 ", SEM LUVA</v>
      </c>
    </row>
    <row r="1815" spans="1:10" x14ac:dyDescent="0.25">
      <c r="A1815" s="169">
        <v>2682</v>
      </c>
      <c r="B1815" s="169" t="s">
        <v>25236</v>
      </c>
      <c r="C1815" s="169" t="s">
        <v>10229</v>
      </c>
      <c r="D1815" s="169" t="s">
        <v>1289</v>
      </c>
      <c r="E1815" s="103" t="s">
        <v>25725</v>
      </c>
      <c r="F1815" s="104"/>
      <c r="G1815" s="105">
        <f t="shared" si="112"/>
        <v>33.94</v>
      </c>
      <c r="H1815" s="101" t="str">
        <f t="shared" si="113"/>
        <v>Sinapi 2682</v>
      </c>
      <c r="I1815" s="101" t="str">
        <f t="shared" si="114"/>
        <v>M</v>
      </c>
      <c r="J1815" s="140" t="str">
        <f t="shared" si="115"/>
        <v>ELETRODUTO DE PVC RIGIDO ROSCAVEL DE 2 1/2 ", SEM LUVA</v>
      </c>
    </row>
    <row r="1816" spans="1:10" x14ac:dyDescent="0.25">
      <c r="A1816" s="169">
        <v>2686</v>
      </c>
      <c r="B1816" s="169" t="s">
        <v>25237</v>
      </c>
      <c r="C1816" s="169" t="s">
        <v>10229</v>
      </c>
      <c r="D1816" s="169" t="s">
        <v>1289</v>
      </c>
      <c r="E1816" s="103" t="s">
        <v>27351</v>
      </c>
      <c r="F1816" s="104"/>
      <c r="G1816" s="105">
        <f t="shared" si="112"/>
        <v>42.57</v>
      </c>
      <c r="H1816" s="101" t="str">
        <f t="shared" si="113"/>
        <v>Sinapi 2686</v>
      </c>
      <c r="I1816" s="101" t="str">
        <f t="shared" si="114"/>
        <v>M</v>
      </c>
      <c r="J1816" s="140" t="str">
        <f t="shared" si="115"/>
        <v>ELETRODUTO DE PVC RIGIDO ROSCAVEL DE 3 ", SEM LUVA</v>
      </c>
    </row>
    <row r="1817" spans="1:10" x14ac:dyDescent="0.25">
      <c r="A1817" s="169">
        <v>2674</v>
      </c>
      <c r="B1817" s="169" t="s">
        <v>25238</v>
      </c>
      <c r="C1817" s="169" t="s">
        <v>10229</v>
      </c>
      <c r="D1817" s="169" t="s">
        <v>1289</v>
      </c>
      <c r="E1817" s="103" t="s">
        <v>6080</v>
      </c>
      <c r="F1817" s="104"/>
      <c r="G1817" s="105">
        <f t="shared" si="112"/>
        <v>6.22</v>
      </c>
      <c r="H1817" s="101" t="str">
        <f t="shared" si="113"/>
        <v>Sinapi 2674</v>
      </c>
      <c r="I1817" s="101" t="str">
        <f t="shared" si="114"/>
        <v>M</v>
      </c>
      <c r="J1817" s="140" t="str">
        <f t="shared" si="115"/>
        <v>ELETRODUTO DE PVC RIGIDO ROSCAVEL DE 3/4 ", SEM LUVA</v>
      </c>
    </row>
    <row r="1818" spans="1:10" x14ac:dyDescent="0.25">
      <c r="A1818" s="169">
        <v>2683</v>
      </c>
      <c r="B1818" s="169" t="s">
        <v>25239</v>
      </c>
      <c r="C1818" s="169" t="s">
        <v>10229</v>
      </c>
      <c r="D1818" s="169" t="s">
        <v>1289</v>
      </c>
      <c r="E1818" s="103" t="s">
        <v>30326</v>
      </c>
      <c r="F1818" s="104"/>
      <c r="G1818" s="105">
        <f t="shared" si="112"/>
        <v>67.08</v>
      </c>
      <c r="H1818" s="101" t="str">
        <f t="shared" si="113"/>
        <v>Sinapi 2683</v>
      </c>
      <c r="I1818" s="101" t="str">
        <f t="shared" si="114"/>
        <v>M</v>
      </c>
      <c r="J1818" s="140" t="str">
        <f t="shared" si="115"/>
        <v>ELETRODUTO DE PVC RIGIDO ROSCAVEL DE 4 ", SEM LUVA</v>
      </c>
    </row>
    <row r="1819" spans="1:10" x14ac:dyDescent="0.25">
      <c r="A1819" s="169">
        <v>2676</v>
      </c>
      <c r="B1819" s="169" t="s">
        <v>25240</v>
      </c>
      <c r="C1819" s="169" t="s">
        <v>10229</v>
      </c>
      <c r="D1819" s="169" t="s">
        <v>1289</v>
      </c>
      <c r="E1819" s="103" t="s">
        <v>22708</v>
      </c>
      <c r="F1819" s="104"/>
      <c r="G1819" s="105">
        <f t="shared" si="112"/>
        <v>2.91</v>
      </c>
      <c r="H1819" s="101" t="str">
        <f t="shared" si="113"/>
        <v>Sinapi 2676</v>
      </c>
      <c r="I1819" s="101" t="str">
        <f t="shared" si="114"/>
        <v>M</v>
      </c>
      <c r="J1819" s="140" t="str">
        <f t="shared" si="115"/>
        <v>ELETRODUTO DE PVC RIGIDO SOLDAVEL, CLASSE B, DE 20 MM</v>
      </c>
    </row>
    <row r="1820" spans="1:10" x14ac:dyDescent="0.25">
      <c r="A1820" s="169">
        <v>2678</v>
      </c>
      <c r="B1820" s="169" t="s">
        <v>25241</v>
      </c>
      <c r="C1820" s="169" t="s">
        <v>10229</v>
      </c>
      <c r="D1820" s="169" t="s">
        <v>1289</v>
      </c>
      <c r="E1820" s="103" t="s">
        <v>19280</v>
      </c>
      <c r="F1820" s="104"/>
      <c r="G1820" s="105">
        <f t="shared" si="112"/>
        <v>3.64</v>
      </c>
      <c r="H1820" s="101" t="str">
        <f t="shared" si="113"/>
        <v>Sinapi 2678</v>
      </c>
      <c r="I1820" s="101" t="str">
        <f t="shared" si="114"/>
        <v>M</v>
      </c>
      <c r="J1820" s="140" t="str">
        <f t="shared" si="115"/>
        <v>ELETRODUTO DE PVC RIGIDO SOLDAVEL, CLASSE B, DE 25 MM</v>
      </c>
    </row>
    <row r="1821" spans="1:10" x14ac:dyDescent="0.25">
      <c r="A1821" s="169">
        <v>2679</v>
      </c>
      <c r="B1821" s="169" t="s">
        <v>25242</v>
      </c>
      <c r="C1821" s="169" t="s">
        <v>10229</v>
      </c>
      <c r="D1821" s="169" t="s">
        <v>1289</v>
      </c>
      <c r="E1821" s="103" t="s">
        <v>17881</v>
      </c>
      <c r="F1821" s="104"/>
      <c r="G1821" s="105">
        <f t="shared" si="112"/>
        <v>5.61</v>
      </c>
      <c r="H1821" s="101" t="str">
        <f t="shared" si="113"/>
        <v>Sinapi 2679</v>
      </c>
      <c r="I1821" s="101" t="str">
        <f t="shared" si="114"/>
        <v>M</v>
      </c>
      <c r="J1821" s="140" t="str">
        <f t="shared" si="115"/>
        <v>ELETRODUTO DE PVC RIGIDO SOLDAVEL, CLASSE B, DE 32 MM</v>
      </c>
    </row>
    <row r="1822" spans="1:10" x14ac:dyDescent="0.25">
      <c r="A1822" s="169">
        <v>12070</v>
      </c>
      <c r="B1822" s="169" t="s">
        <v>25243</v>
      </c>
      <c r="C1822" s="169" t="s">
        <v>10229</v>
      </c>
      <c r="D1822" s="169" t="s">
        <v>1289</v>
      </c>
      <c r="E1822" s="103" t="s">
        <v>13392</v>
      </c>
      <c r="F1822" s="104"/>
      <c r="G1822" s="105">
        <f t="shared" si="112"/>
        <v>7.81</v>
      </c>
      <c r="H1822" s="101" t="str">
        <f t="shared" si="113"/>
        <v>Sinapi 12070</v>
      </c>
      <c r="I1822" s="101" t="str">
        <f t="shared" si="114"/>
        <v>M</v>
      </c>
      <c r="J1822" s="140" t="str">
        <f t="shared" si="115"/>
        <v>ELETRODUTO DE PVC RIGIDO SOLDAVEL, CLASSE B, DE 40 MM</v>
      </c>
    </row>
    <row r="1823" spans="1:10" x14ac:dyDescent="0.25">
      <c r="A1823" s="169">
        <v>2675</v>
      </c>
      <c r="B1823" s="169" t="s">
        <v>25244</v>
      </c>
      <c r="C1823" s="169" t="s">
        <v>10229</v>
      </c>
      <c r="D1823" s="169" t="s">
        <v>1289</v>
      </c>
      <c r="E1823" s="103" t="s">
        <v>14786</v>
      </c>
      <c r="F1823" s="104"/>
      <c r="G1823" s="105">
        <f t="shared" si="112"/>
        <v>10.16</v>
      </c>
      <c r="H1823" s="101" t="str">
        <f t="shared" si="113"/>
        <v>Sinapi 2675</v>
      </c>
      <c r="I1823" s="101" t="str">
        <f t="shared" si="114"/>
        <v>M</v>
      </c>
      <c r="J1823" s="140" t="str">
        <f t="shared" si="115"/>
        <v>ELETRODUTO DE PVC RIGIDO SOLDAVEL, CLASSE B, DE 50 MM</v>
      </c>
    </row>
    <row r="1824" spans="1:10" x14ac:dyDescent="0.25">
      <c r="A1824" s="169">
        <v>12067</v>
      </c>
      <c r="B1824" s="169" t="s">
        <v>25245</v>
      </c>
      <c r="C1824" s="169" t="s">
        <v>10229</v>
      </c>
      <c r="D1824" s="169" t="s">
        <v>1289</v>
      </c>
      <c r="E1824" s="103" t="s">
        <v>30327</v>
      </c>
      <c r="F1824" s="104"/>
      <c r="G1824" s="105">
        <f t="shared" si="112"/>
        <v>13.78</v>
      </c>
      <c r="H1824" s="101" t="str">
        <f t="shared" si="113"/>
        <v>Sinapi 12067</v>
      </c>
      <c r="I1824" s="101" t="str">
        <f t="shared" si="114"/>
        <v>M</v>
      </c>
      <c r="J1824" s="140" t="str">
        <f t="shared" si="115"/>
        <v>ELETRODUTO DE PVC RIGIDO SOLDAVEL, CLASSE B, DE 60 MM</v>
      </c>
    </row>
    <row r="1825" spans="1:10" x14ac:dyDescent="0.25">
      <c r="A1825" s="169">
        <v>21136</v>
      </c>
      <c r="B1825" s="169" t="s">
        <v>25246</v>
      </c>
      <c r="C1825" s="169" t="s">
        <v>10229</v>
      </c>
      <c r="D1825" s="169" t="s">
        <v>1289</v>
      </c>
      <c r="E1825" s="103" t="s">
        <v>20984</v>
      </c>
      <c r="F1825" s="104"/>
      <c r="G1825" s="105">
        <f t="shared" si="112"/>
        <v>13.8</v>
      </c>
      <c r="H1825" s="101" t="str">
        <f t="shared" si="113"/>
        <v>Sinapi 21136</v>
      </c>
      <c r="I1825" s="101" t="str">
        <f t="shared" si="114"/>
        <v>M</v>
      </c>
      <c r="J1825" s="140" t="str">
        <f t="shared" si="115"/>
        <v>ELETRODUTO EM ACO GALVANIZADO ELETROLITICO, LEVE, DIAMETRO 1", PAREDE DE 0,90 MM</v>
      </c>
    </row>
    <row r="1826" spans="1:10" x14ac:dyDescent="0.25">
      <c r="A1826" s="169">
        <v>21128</v>
      </c>
      <c r="B1826" s="169" t="s">
        <v>25247</v>
      </c>
      <c r="C1826" s="169" t="s">
        <v>10229</v>
      </c>
      <c r="D1826" s="169" t="s">
        <v>1288</v>
      </c>
      <c r="E1826" s="103" t="s">
        <v>18631</v>
      </c>
      <c r="F1826" s="104"/>
      <c r="G1826" s="105">
        <f t="shared" si="112"/>
        <v>10.68</v>
      </c>
      <c r="H1826" s="101" t="str">
        <f t="shared" si="113"/>
        <v>Sinapi 21128</v>
      </c>
      <c r="I1826" s="101" t="str">
        <f t="shared" si="114"/>
        <v>M</v>
      </c>
      <c r="J1826" s="140" t="str">
        <f t="shared" si="115"/>
        <v>ELETRODUTO EM ACO GALVANIZADO ELETROLITICO, LEVE, DIAMETRO 3/4", PAREDE DE 0,90 MM</v>
      </c>
    </row>
    <row r="1827" spans="1:10" x14ac:dyDescent="0.25">
      <c r="A1827" s="169">
        <v>21130</v>
      </c>
      <c r="B1827" s="169" t="s">
        <v>25248</v>
      </c>
      <c r="C1827" s="169" t="s">
        <v>10229</v>
      </c>
      <c r="D1827" s="169" t="s">
        <v>1289</v>
      </c>
      <c r="E1827" s="103" t="s">
        <v>21452</v>
      </c>
      <c r="F1827" s="104"/>
      <c r="G1827" s="105">
        <f t="shared" si="112"/>
        <v>26.97</v>
      </c>
      <c r="H1827" s="101" t="str">
        <f t="shared" si="113"/>
        <v>Sinapi 21130</v>
      </c>
      <c r="I1827" s="101" t="str">
        <f t="shared" si="114"/>
        <v>M</v>
      </c>
      <c r="J1827" s="140" t="str">
        <f t="shared" si="115"/>
        <v>ELETRODUTO EM ACO GALVANIZADO ELETROLITICO, SEMI-PESADO, DIAMETRO 1 1/2", PAREDE DE 1,20 MM</v>
      </c>
    </row>
    <row r="1828" spans="1:10" x14ac:dyDescent="0.25">
      <c r="A1828" s="169">
        <v>21135</v>
      </c>
      <c r="B1828" s="169" t="s">
        <v>25249</v>
      </c>
      <c r="C1828" s="169" t="s">
        <v>10229</v>
      </c>
      <c r="D1828" s="169" t="s">
        <v>1289</v>
      </c>
      <c r="E1828" s="103" t="s">
        <v>21889</v>
      </c>
      <c r="F1828" s="104"/>
      <c r="G1828" s="105">
        <f t="shared" si="112"/>
        <v>26.55</v>
      </c>
      <c r="H1828" s="101" t="str">
        <f t="shared" si="113"/>
        <v>Sinapi 21135</v>
      </c>
      <c r="I1828" s="101" t="str">
        <f t="shared" si="114"/>
        <v>M</v>
      </c>
      <c r="J1828" s="140" t="str">
        <f t="shared" si="115"/>
        <v>ELETRODUTO EM ACO GALVANIZADO ELETROLITICO, SEMI-PESADO, DIAMETRO 1 1/4", PAREDE DE 1,20 MM</v>
      </c>
    </row>
    <row r="1829" spans="1:10" x14ac:dyDescent="0.25">
      <c r="A1829" s="169">
        <v>40401</v>
      </c>
      <c r="B1829" s="169" t="s">
        <v>25250</v>
      </c>
      <c r="C1829" s="169" t="s">
        <v>10229</v>
      </c>
      <c r="D1829" s="169" t="s">
        <v>1290</v>
      </c>
      <c r="E1829" s="103" t="s">
        <v>20639</v>
      </c>
      <c r="F1829" s="104"/>
      <c r="G1829" s="105">
        <f t="shared" si="112"/>
        <v>2.7</v>
      </c>
      <c r="H1829" s="101" t="str">
        <f t="shared" si="113"/>
        <v>Sinapi 40401</v>
      </c>
      <c r="I1829" s="101" t="str">
        <f t="shared" si="114"/>
        <v>M</v>
      </c>
      <c r="J1829" s="140" t="str">
        <f t="shared" si="115"/>
        <v>ELETRODUTO FLEXIVEL PLANO EM PEAD, COR PRETA E LARANJA, DIAMETRO 32 MM</v>
      </c>
    </row>
    <row r="1830" spans="1:10" x14ac:dyDescent="0.25">
      <c r="A1830" s="169">
        <v>40402</v>
      </c>
      <c r="B1830" s="169" t="s">
        <v>25251</v>
      </c>
      <c r="C1830" s="169" t="s">
        <v>10229</v>
      </c>
      <c r="D1830" s="169" t="s">
        <v>1290</v>
      </c>
      <c r="E1830" s="103" t="s">
        <v>17974</v>
      </c>
      <c r="F1830" s="104"/>
      <c r="G1830" s="105">
        <f t="shared" si="112"/>
        <v>3.47</v>
      </c>
      <c r="H1830" s="101" t="str">
        <f t="shared" si="113"/>
        <v>Sinapi 40402</v>
      </c>
      <c r="I1830" s="101" t="str">
        <f t="shared" si="114"/>
        <v>M</v>
      </c>
      <c r="J1830" s="140" t="str">
        <f t="shared" si="115"/>
        <v>ELETRODUTO FLEXIVEL PLANO EM PEAD, COR PRETA E LARANJA, DIAMETRO 40 MM</v>
      </c>
    </row>
    <row r="1831" spans="1:10" x14ac:dyDescent="0.25">
      <c r="A1831" s="169">
        <v>40400</v>
      </c>
      <c r="B1831" s="169" t="s">
        <v>25252</v>
      </c>
      <c r="C1831" s="169" t="s">
        <v>10229</v>
      </c>
      <c r="D1831" s="169" t="s">
        <v>1290</v>
      </c>
      <c r="E1831" s="103" t="s">
        <v>3333</v>
      </c>
      <c r="F1831" s="104"/>
      <c r="G1831" s="105">
        <f t="shared" si="112"/>
        <v>1.84</v>
      </c>
      <c r="H1831" s="101" t="str">
        <f t="shared" si="113"/>
        <v>Sinapi 40400</v>
      </c>
      <c r="I1831" s="101" t="str">
        <f t="shared" si="114"/>
        <v>M</v>
      </c>
      <c r="J1831" s="140" t="str">
        <f t="shared" si="115"/>
        <v>ELETRODUTO FLEXIVEL PLANO EM PEAD, COR PRETA E LARANJA, DIAMETRO 25 MM</v>
      </c>
    </row>
    <row r="1832" spans="1:10" x14ac:dyDescent="0.25">
      <c r="A1832" s="169">
        <v>2504</v>
      </c>
      <c r="B1832" s="169" t="s">
        <v>25253</v>
      </c>
      <c r="C1832" s="169" t="s">
        <v>10229</v>
      </c>
      <c r="D1832" s="169" t="s">
        <v>1289</v>
      </c>
      <c r="E1832" s="103" t="s">
        <v>5664</v>
      </c>
      <c r="F1832" s="104"/>
      <c r="G1832" s="105">
        <f t="shared" si="112"/>
        <v>11.85</v>
      </c>
      <c r="H1832" s="101" t="str">
        <f t="shared" si="113"/>
        <v>Sinapi 2504</v>
      </c>
      <c r="I1832" s="101" t="str">
        <f t="shared" si="114"/>
        <v>M</v>
      </c>
      <c r="J1832" s="140" t="str">
        <f t="shared" si="115"/>
        <v>ELETRODUTO FLEXIVEL, EM ACO GALVANIZADO, REVESTIDO EXTERNAMENTE COM PVC PRETO, DIAMETRO EXTERNO DE 25 MM (3/4"), TIPO SEALTUBO</v>
      </c>
    </row>
    <row r="1833" spans="1:10" x14ac:dyDescent="0.25">
      <c r="A1833" s="169">
        <v>2501</v>
      </c>
      <c r="B1833" s="169" t="s">
        <v>25254</v>
      </c>
      <c r="C1833" s="169" t="s">
        <v>10229</v>
      </c>
      <c r="D1833" s="169" t="s">
        <v>1289</v>
      </c>
      <c r="E1833" s="103" t="s">
        <v>14791</v>
      </c>
      <c r="F1833" s="104"/>
      <c r="G1833" s="105">
        <f t="shared" si="112"/>
        <v>15.54</v>
      </c>
      <c r="H1833" s="101" t="str">
        <f t="shared" si="113"/>
        <v>Sinapi 2501</v>
      </c>
      <c r="I1833" s="101" t="str">
        <f t="shared" si="114"/>
        <v>M</v>
      </c>
      <c r="J1833" s="140" t="str">
        <f t="shared" si="115"/>
        <v>ELETRODUTO FLEXIVEL, EM ACO GALVANIZADO, REVESTIDO EXTERNAMENTE COM PVC PRETO, DIAMETRO EXTERNO DE 32 MM (1"), TIPO SEALTUBO</v>
      </c>
    </row>
    <row r="1834" spans="1:10" x14ac:dyDescent="0.25">
      <c r="A1834" s="169">
        <v>2502</v>
      </c>
      <c r="B1834" s="169" t="s">
        <v>25255</v>
      </c>
      <c r="C1834" s="169" t="s">
        <v>10229</v>
      </c>
      <c r="D1834" s="169" t="s">
        <v>1289</v>
      </c>
      <c r="E1834" s="103" t="s">
        <v>14943</v>
      </c>
      <c r="F1834" s="104"/>
      <c r="G1834" s="105">
        <f t="shared" si="112"/>
        <v>23.45</v>
      </c>
      <c r="H1834" s="101" t="str">
        <f t="shared" si="113"/>
        <v>Sinapi 2502</v>
      </c>
      <c r="I1834" s="101" t="str">
        <f t="shared" si="114"/>
        <v>M</v>
      </c>
      <c r="J1834" s="140" t="str">
        <f t="shared" si="115"/>
        <v>ELETRODUTO FLEXIVEL, EM ACO GALVANIZADO, REVESTIDO EXTERNAMENTE COM PVC PRETO, DIAMETRO EXTERNO DE 40 MM (1 1/4"), TIPO SEALTUBO</v>
      </c>
    </row>
    <row r="1835" spans="1:10" x14ac:dyDescent="0.25">
      <c r="A1835" s="169">
        <v>2503</v>
      </c>
      <c r="B1835" s="169" t="s">
        <v>1072</v>
      </c>
      <c r="C1835" s="169" t="s">
        <v>10229</v>
      </c>
      <c r="D1835" s="169" t="s">
        <v>1289</v>
      </c>
      <c r="E1835" s="103" t="s">
        <v>23024</v>
      </c>
      <c r="F1835" s="104"/>
      <c r="G1835" s="105">
        <f t="shared" si="112"/>
        <v>30.18</v>
      </c>
      <c r="H1835" s="101" t="str">
        <f t="shared" si="113"/>
        <v>Sinapi 2503</v>
      </c>
      <c r="I1835" s="101" t="str">
        <f t="shared" si="114"/>
        <v>M</v>
      </c>
      <c r="J1835" s="140" t="str">
        <f t="shared" si="115"/>
        <v>ELETRODUTO FLEXIVEL, EM ACO GALVANIZADO, REVESTIDO EXTERNAMENTE COM PVC PRETO, DIAMETRO EXTERNO DE 50 MM( 1 1/2"), TIPO SEALTUBO</v>
      </c>
    </row>
    <row r="1836" spans="1:10" x14ac:dyDescent="0.25">
      <c r="A1836" s="169">
        <v>2500</v>
      </c>
      <c r="B1836" s="169" t="s">
        <v>25256</v>
      </c>
      <c r="C1836" s="169" t="s">
        <v>10229</v>
      </c>
      <c r="D1836" s="169" t="s">
        <v>1289</v>
      </c>
      <c r="E1836" s="103" t="s">
        <v>29036</v>
      </c>
      <c r="F1836" s="104"/>
      <c r="G1836" s="105">
        <f t="shared" si="112"/>
        <v>40.200000000000003</v>
      </c>
      <c r="H1836" s="101" t="str">
        <f t="shared" si="113"/>
        <v>Sinapi 2500</v>
      </c>
      <c r="I1836" s="101" t="str">
        <f t="shared" si="114"/>
        <v>M</v>
      </c>
      <c r="J1836" s="140" t="str">
        <f t="shared" si="115"/>
        <v>ELETRODUTO FLEXIVEL, EM ACO GALVANIZADO, REVESTIDO EXTERNAMENTE COM PVC PRETO, DIAMETRO EXTERNO DE 60 MM (2"), TIPO SEALTUBO</v>
      </c>
    </row>
    <row r="1837" spans="1:10" x14ac:dyDescent="0.25">
      <c r="A1837" s="169">
        <v>2505</v>
      </c>
      <c r="B1837" s="169" t="s">
        <v>25257</v>
      </c>
      <c r="C1837" s="169" t="s">
        <v>10229</v>
      </c>
      <c r="D1837" s="169" t="s">
        <v>1289</v>
      </c>
      <c r="E1837" s="103" t="s">
        <v>30328</v>
      </c>
      <c r="F1837" s="104"/>
      <c r="G1837" s="105">
        <f t="shared" si="112"/>
        <v>62.65</v>
      </c>
      <c r="H1837" s="101" t="str">
        <f t="shared" si="113"/>
        <v>Sinapi 2505</v>
      </c>
      <c r="I1837" s="101" t="str">
        <f t="shared" si="114"/>
        <v>M</v>
      </c>
      <c r="J1837" s="140" t="str">
        <f t="shared" si="115"/>
        <v>ELETRODUTO FLEXIVEL, EM ACO GALVANIZADO, REVESTIDO EXTERNAMENTE COM PVC PRETO, DIAMETRO EXTERNO DE 75 MM (2 1/2"), TIPO SEALTUBO</v>
      </c>
    </row>
    <row r="1838" spans="1:10" x14ac:dyDescent="0.25">
      <c r="A1838" s="169">
        <v>12056</v>
      </c>
      <c r="B1838" s="169" t="s">
        <v>25258</v>
      </c>
      <c r="C1838" s="169" t="s">
        <v>10229</v>
      </c>
      <c r="D1838" s="169" t="s">
        <v>1289</v>
      </c>
      <c r="E1838" s="103" t="s">
        <v>23072</v>
      </c>
      <c r="F1838" s="104"/>
      <c r="G1838" s="105">
        <f t="shared" si="112"/>
        <v>25.31</v>
      </c>
      <c r="H1838" s="101" t="str">
        <f t="shared" si="113"/>
        <v>Sinapi 12056</v>
      </c>
      <c r="I1838" s="101" t="str">
        <f t="shared" si="114"/>
        <v>M</v>
      </c>
      <c r="J1838" s="140" t="str">
        <f t="shared" si="115"/>
        <v>ELETRODUTO FLEXIVEL, EM ACO, TIPO CONDUITE, DIAMETRO DE 1 1/2"</v>
      </c>
    </row>
    <row r="1839" spans="1:10" x14ac:dyDescent="0.25">
      <c r="A1839" s="169">
        <v>12057</v>
      </c>
      <c r="B1839" s="169" t="s">
        <v>25259</v>
      </c>
      <c r="C1839" s="169" t="s">
        <v>10229</v>
      </c>
      <c r="D1839" s="169" t="s">
        <v>1289</v>
      </c>
      <c r="E1839" s="103" t="s">
        <v>30329</v>
      </c>
      <c r="F1839" s="104"/>
      <c r="G1839" s="105">
        <f t="shared" si="112"/>
        <v>21.5</v>
      </c>
      <c r="H1839" s="101" t="str">
        <f t="shared" si="113"/>
        <v>Sinapi 12057</v>
      </c>
      <c r="I1839" s="101" t="str">
        <f t="shared" si="114"/>
        <v>M</v>
      </c>
      <c r="J1839" s="140" t="str">
        <f t="shared" si="115"/>
        <v>ELETRODUTO FLEXIVEL, EM ACO, TIPO CONDUITE, DIAMETRO DE 1 1/4"</v>
      </c>
    </row>
    <row r="1840" spans="1:10" x14ac:dyDescent="0.25">
      <c r="A1840" s="169">
        <v>12059</v>
      </c>
      <c r="B1840" s="169" t="s">
        <v>25260</v>
      </c>
      <c r="C1840" s="169" t="s">
        <v>10229</v>
      </c>
      <c r="D1840" s="169" t="s">
        <v>1289</v>
      </c>
      <c r="E1840" s="103" t="s">
        <v>20057</v>
      </c>
      <c r="F1840" s="104"/>
      <c r="G1840" s="105">
        <f t="shared" si="112"/>
        <v>7.54</v>
      </c>
      <c r="H1840" s="101" t="str">
        <f t="shared" si="113"/>
        <v>Sinapi 12059</v>
      </c>
      <c r="I1840" s="101" t="str">
        <f t="shared" si="114"/>
        <v>M</v>
      </c>
      <c r="J1840" s="140" t="str">
        <f t="shared" si="115"/>
        <v>ELETRODUTO FLEXIVEL, EM ACO, TIPO CONDUITE, DIAMETRO DE 1/2"</v>
      </c>
    </row>
    <row r="1841" spans="1:10" x14ac:dyDescent="0.25">
      <c r="A1841" s="169">
        <v>12058</v>
      </c>
      <c r="B1841" s="169" t="s">
        <v>25261</v>
      </c>
      <c r="C1841" s="169" t="s">
        <v>10229</v>
      </c>
      <c r="D1841" s="169" t="s">
        <v>1289</v>
      </c>
      <c r="E1841" s="103" t="s">
        <v>18725</v>
      </c>
      <c r="F1841" s="104"/>
      <c r="G1841" s="105">
        <f t="shared" si="112"/>
        <v>13.4</v>
      </c>
      <c r="H1841" s="101" t="str">
        <f t="shared" si="113"/>
        <v>Sinapi 12058</v>
      </c>
      <c r="I1841" s="101" t="str">
        <f t="shared" si="114"/>
        <v>M</v>
      </c>
      <c r="J1841" s="140" t="str">
        <f t="shared" si="115"/>
        <v>ELETRODUTO FLEXIVEL, EM ACO, TIPO CONDUITE, DIAMETRO DE 1"</v>
      </c>
    </row>
    <row r="1842" spans="1:10" x14ac:dyDescent="0.25">
      <c r="A1842" s="169">
        <v>12060</v>
      </c>
      <c r="B1842" s="169" t="s">
        <v>25262</v>
      </c>
      <c r="C1842" s="169" t="s">
        <v>10229</v>
      </c>
      <c r="D1842" s="169" t="s">
        <v>1289</v>
      </c>
      <c r="E1842" s="103" t="s">
        <v>29186</v>
      </c>
      <c r="F1842" s="104"/>
      <c r="G1842" s="105">
        <f t="shared" si="112"/>
        <v>55.86</v>
      </c>
      <c r="H1842" s="101" t="str">
        <f t="shared" si="113"/>
        <v>Sinapi 12060</v>
      </c>
      <c r="I1842" s="101" t="str">
        <f t="shared" si="114"/>
        <v>M</v>
      </c>
      <c r="J1842" s="140" t="str">
        <f t="shared" si="115"/>
        <v>ELETRODUTO FLEXIVEL, EM ACO, TIPO CONDUITE, DIAMETRO DE 2 1/2"</v>
      </c>
    </row>
    <row r="1843" spans="1:10" x14ac:dyDescent="0.25">
      <c r="A1843" s="169">
        <v>12061</v>
      </c>
      <c r="B1843" s="169" t="s">
        <v>25263</v>
      </c>
      <c r="C1843" s="169" t="s">
        <v>10229</v>
      </c>
      <c r="D1843" s="169" t="s">
        <v>1289</v>
      </c>
      <c r="E1843" s="103" t="s">
        <v>23097</v>
      </c>
      <c r="F1843" s="104"/>
      <c r="G1843" s="105">
        <f t="shared" si="112"/>
        <v>34.11</v>
      </c>
      <c r="H1843" s="101" t="str">
        <f t="shared" si="113"/>
        <v>Sinapi 12061</v>
      </c>
      <c r="I1843" s="101" t="str">
        <f t="shared" si="114"/>
        <v>M</v>
      </c>
      <c r="J1843" s="140" t="str">
        <f t="shared" si="115"/>
        <v>ELETRODUTO FLEXIVEL, EM ACO, TIPO CONDUITE, DIAMETRO DE 2"</v>
      </c>
    </row>
    <row r="1844" spans="1:10" x14ac:dyDescent="0.25">
      <c r="A1844" s="169">
        <v>12062</v>
      </c>
      <c r="B1844" s="169" t="s">
        <v>25264</v>
      </c>
      <c r="C1844" s="169" t="s">
        <v>10229</v>
      </c>
      <c r="D1844" s="169" t="s">
        <v>1289</v>
      </c>
      <c r="E1844" s="103" t="s">
        <v>30330</v>
      </c>
      <c r="F1844" s="104"/>
      <c r="G1844" s="105">
        <f t="shared" si="112"/>
        <v>62.9</v>
      </c>
      <c r="H1844" s="101" t="str">
        <f t="shared" si="113"/>
        <v>Sinapi 12062</v>
      </c>
      <c r="I1844" s="101" t="str">
        <f t="shared" si="114"/>
        <v>M</v>
      </c>
      <c r="J1844" s="140" t="str">
        <f t="shared" si="115"/>
        <v>ELETRODUTO FLEXIVEL, EM ACO, TIPO CONDUITE, DIAMETRO DE 3"</v>
      </c>
    </row>
    <row r="1845" spans="1:10" x14ac:dyDescent="0.25">
      <c r="A1845" s="169">
        <v>21137</v>
      </c>
      <c r="B1845" s="169" t="s">
        <v>25265</v>
      </c>
      <c r="C1845" s="169" t="s">
        <v>10229</v>
      </c>
      <c r="D1845" s="169" t="s">
        <v>1289</v>
      </c>
      <c r="E1845" s="103" t="s">
        <v>12325</v>
      </c>
      <c r="F1845" s="104"/>
      <c r="G1845" s="105">
        <f t="shared" si="112"/>
        <v>10.93</v>
      </c>
      <c r="H1845" s="101" t="str">
        <f t="shared" si="113"/>
        <v>Sinapi 21137</v>
      </c>
      <c r="I1845" s="101" t="str">
        <f t="shared" si="114"/>
        <v>M</v>
      </c>
      <c r="J1845" s="140" t="str">
        <f t="shared" si="115"/>
        <v>ELETRODUTO METALICO FLEXIVEL REVESTIDO COM PVC PRETO, DIAMETRO EXTERNO DE 15 MM (3/8"), TIPO COPEX</v>
      </c>
    </row>
    <row r="1846" spans="1:10" x14ac:dyDescent="0.25">
      <c r="A1846" s="169">
        <v>2687</v>
      </c>
      <c r="B1846" s="169" t="s">
        <v>25266</v>
      </c>
      <c r="C1846" s="169" t="s">
        <v>10229</v>
      </c>
      <c r="D1846" s="169" t="s">
        <v>1289</v>
      </c>
      <c r="E1846" s="103" t="s">
        <v>14802</v>
      </c>
      <c r="F1846" s="104"/>
      <c r="G1846" s="105">
        <f t="shared" si="112"/>
        <v>2.54</v>
      </c>
      <c r="H1846" s="101" t="str">
        <f t="shared" si="113"/>
        <v>Sinapi 2687</v>
      </c>
      <c r="I1846" s="101" t="str">
        <f t="shared" si="114"/>
        <v>M</v>
      </c>
      <c r="J1846" s="140" t="str">
        <f t="shared" si="115"/>
        <v>ELETRODUTO PVC FLEXIVEL CORRUGADO, COR AMARELA, DE 16 MM</v>
      </c>
    </row>
    <row r="1847" spans="1:10" x14ac:dyDescent="0.25">
      <c r="A1847" s="169">
        <v>2689</v>
      </c>
      <c r="B1847" s="169" t="s">
        <v>25267</v>
      </c>
      <c r="C1847" s="169" t="s">
        <v>10229</v>
      </c>
      <c r="D1847" s="169" t="s">
        <v>1289</v>
      </c>
      <c r="E1847" s="103" t="s">
        <v>22771</v>
      </c>
      <c r="F1847" s="104"/>
      <c r="G1847" s="105">
        <f t="shared" si="112"/>
        <v>3.02</v>
      </c>
      <c r="H1847" s="101" t="str">
        <f t="shared" si="113"/>
        <v>Sinapi 2689</v>
      </c>
      <c r="I1847" s="101" t="str">
        <f t="shared" si="114"/>
        <v>M</v>
      </c>
      <c r="J1847" s="140" t="str">
        <f t="shared" si="115"/>
        <v>ELETRODUTO PVC FLEXIVEL CORRUGADO, COR AMARELA, DE 20 MM</v>
      </c>
    </row>
    <row r="1848" spans="1:10" x14ac:dyDescent="0.25">
      <c r="A1848" s="169">
        <v>2688</v>
      </c>
      <c r="B1848" s="169" t="s">
        <v>25268</v>
      </c>
      <c r="C1848" s="169" t="s">
        <v>10229</v>
      </c>
      <c r="D1848" s="169" t="s">
        <v>1289</v>
      </c>
      <c r="E1848" s="103" t="s">
        <v>3883</v>
      </c>
      <c r="F1848" s="104"/>
      <c r="G1848" s="105">
        <f t="shared" si="112"/>
        <v>3.27</v>
      </c>
      <c r="H1848" s="101" t="str">
        <f t="shared" si="113"/>
        <v>Sinapi 2688</v>
      </c>
      <c r="I1848" s="101" t="str">
        <f t="shared" si="114"/>
        <v>M</v>
      </c>
      <c r="J1848" s="140" t="str">
        <f t="shared" si="115"/>
        <v>ELETRODUTO PVC FLEXIVEL CORRUGADO, COR AMARELA, DE 25 MM</v>
      </c>
    </row>
    <row r="1849" spans="1:10" x14ac:dyDescent="0.25">
      <c r="A1849" s="169">
        <v>2690</v>
      </c>
      <c r="B1849" s="169" t="s">
        <v>25269</v>
      </c>
      <c r="C1849" s="169" t="s">
        <v>10229</v>
      </c>
      <c r="D1849" s="169" t="s">
        <v>1289</v>
      </c>
      <c r="E1849" s="103" t="s">
        <v>6477</v>
      </c>
      <c r="F1849" s="104"/>
      <c r="G1849" s="105">
        <f t="shared" si="112"/>
        <v>5.6</v>
      </c>
      <c r="H1849" s="101" t="str">
        <f t="shared" si="113"/>
        <v>Sinapi 2690</v>
      </c>
      <c r="I1849" s="101" t="str">
        <f t="shared" si="114"/>
        <v>M</v>
      </c>
      <c r="J1849" s="140" t="str">
        <f t="shared" si="115"/>
        <v>ELETRODUTO PVC FLEXIVEL CORRUGADO, COR AMARELA, DE 32 MM</v>
      </c>
    </row>
    <row r="1850" spans="1:10" x14ac:dyDescent="0.25">
      <c r="A1850" s="169">
        <v>39243</v>
      </c>
      <c r="B1850" s="169" t="s">
        <v>25270</v>
      </c>
      <c r="C1850" s="169" t="s">
        <v>10229</v>
      </c>
      <c r="D1850" s="169" t="s">
        <v>1289</v>
      </c>
      <c r="E1850" s="103" t="s">
        <v>21086</v>
      </c>
      <c r="F1850" s="104"/>
      <c r="G1850" s="105">
        <f t="shared" si="112"/>
        <v>3.69</v>
      </c>
      <c r="H1850" s="101" t="str">
        <f t="shared" si="113"/>
        <v>Sinapi 39243</v>
      </c>
      <c r="I1850" s="101" t="str">
        <f t="shared" si="114"/>
        <v>M</v>
      </c>
      <c r="J1850" s="140" t="str">
        <f t="shared" si="115"/>
        <v>ELETRODUTO PVC FLEXIVEL CORRUGADO, REFORCADO, COR LARANJA, DE 20 MM, PARA LAJES E PISOS</v>
      </c>
    </row>
    <row r="1851" spans="1:10" x14ac:dyDescent="0.25">
      <c r="A1851" s="169">
        <v>39244</v>
      </c>
      <c r="B1851" s="169" t="s">
        <v>25271</v>
      </c>
      <c r="C1851" s="169" t="s">
        <v>10229</v>
      </c>
      <c r="D1851" s="169" t="s">
        <v>1289</v>
      </c>
      <c r="E1851" s="103" t="s">
        <v>13408</v>
      </c>
      <c r="F1851" s="104"/>
      <c r="G1851" s="105">
        <f t="shared" si="112"/>
        <v>4.99</v>
      </c>
      <c r="H1851" s="101" t="str">
        <f t="shared" si="113"/>
        <v>Sinapi 39244</v>
      </c>
      <c r="I1851" s="101" t="str">
        <f t="shared" si="114"/>
        <v>M</v>
      </c>
      <c r="J1851" s="140" t="str">
        <f t="shared" si="115"/>
        <v>ELETRODUTO PVC FLEXIVEL CORRUGADO, REFORCADO, COR LARANJA, DE 25 MM, PARA LAJES E PISOS</v>
      </c>
    </row>
    <row r="1852" spans="1:10" x14ac:dyDescent="0.25">
      <c r="A1852" s="169">
        <v>39245</v>
      </c>
      <c r="B1852" s="169" t="s">
        <v>25272</v>
      </c>
      <c r="C1852" s="169" t="s">
        <v>10229</v>
      </c>
      <c r="D1852" s="169" t="s">
        <v>1289</v>
      </c>
      <c r="E1852" s="103" t="s">
        <v>3571</v>
      </c>
      <c r="F1852" s="104"/>
      <c r="G1852" s="105">
        <f t="shared" si="112"/>
        <v>9.6</v>
      </c>
      <c r="H1852" s="101" t="str">
        <f t="shared" si="113"/>
        <v>Sinapi 39245</v>
      </c>
      <c r="I1852" s="101" t="str">
        <f t="shared" si="114"/>
        <v>M</v>
      </c>
      <c r="J1852" s="140" t="str">
        <f t="shared" si="115"/>
        <v>ELETRODUTO PVC FLEXIVEL CORRUGADO, REFORCADO, COR LARANJA, DE 32 MM, PARA LAJES E PISOS</v>
      </c>
    </row>
    <row r="1853" spans="1:10" x14ac:dyDescent="0.25">
      <c r="A1853" s="169">
        <v>39254</v>
      </c>
      <c r="B1853" s="169" t="s">
        <v>25273</v>
      </c>
      <c r="C1853" s="169" t="s">
        <v>10229</v>
      </c>
      <c r="D1853" s="169" t="s">
        <v>1289</v>
      </c>
      <c r="E1853" s="103" t="s">
        <v>19367</v>
      </c>
      <c r="F1853" s="104"/>
      <c r="G1853" s="105">
        <f t="shared" si="112"/>
        <v>14.36</v>
      </c>
      <c r="H1853" s="101" t="str">
        <f t="shared" si="113"/>
        <v>Sinapi 39254</v>
      </c>
      <c r="I1853" s="101" t="str">
        <f t="shared" si="114"/>
        <v>M</v>
      </c>
      <c r="J1853" s="140" t="str">
        <f t="shared" si="115"/>
        <v>ELETRODUTO/CONDULETE DE PVC RIGIDO, LISO, COR CINZA, DE 1/2", PARA INSTALACOES APARENTES (NBR 5410)</v>
      </c>
    </row>
    <row r="1854" spans="1:10" x14ac:dyDescent="0.25">
      <c r="A1854" s="169">
        <v>39255</v>
      </c>
      <c r="B1854" s="169" t="s">
        <v>25274</v>
      </c>
      <c r="C1854" s="169" t="s">
        <v>10229</v>
      </c>
      <c r="D1854" s="169" t="s">
        <v>1289</v>
      </c>
      <c r="E1854" s="103" t="s">
        <v>28900</v>
      </c>
      <c r="F1854" s="104"/>
      <c r="G1854" s="105">
        <f t="shared" si="112"/>
        <v>26.57</v>
      </c>
      <c r="H1854" s="101" t="str">
        <f t="shared" si="113"/>
        <v>Sinapi 39255</v>
      </c>
      <c r="I1854" s="101" t="str">
        <f t="shared" si="114"/>
        <v>M</v>
      </c>
      <c r="J1854" s="140" t="str">
        <f t="shared" si="115"/>
        <v>ELETRODUTO/CONDULETE DE PVC RIGIDO, LISO, COR CINZA, DE 1", PARA INSTALACOES APARENTES (NBR 5410)</v>
      </c>
    </row>
    <row r="1855" spans="1:10" x14ac:dyDescent="0.25">
      <c r="A1855" s="169">
        <v>39253</v>
      </c>
      <c r="B1855" s="169" t="s">
        <v>25275</v>
      </c>
      <c r="C1855" s="169" t="s">
        <v>10229</v>
      </c>
      <c r="D1855" s="169" t="s">
        <v>1289</v>
      </c>
      <c r="E1855" s="103" t="s">
        <v>30331</v>
      </c>
      <c r="F1855" s="104"/>
      <c r="G1855" s="105">
        <f t="shared" si="112"/>
        <v>18.3</v>
      </c>
      <c r="H1855" s="101" t="str">
        <f t="shared" si="113"/>
        <v>Sinapi 39253</v>
      </c>
      <c r="I1855" s="101" t="str">
        <f t="shared" si="114"/>
        <v>M</v>
      </c>
      <c r="J1855" s="140" t="str">
        <f t="shared" si="115"/>
        <v>ELETRODUTO/CONDULETE DE PVC RIGIDO, LISO, COR CINZA, DE 3/4", PARA INSTALACOES APARENTES (NBR 5410)</v>
      </c>
    </row>
    <row r="1856" spans="1:10" x14ac:dyDescent="0.25">
      <c r="A1856" s="169">
        <v>39246</v>
      </c>
      <c r="B1856" s="169" t="s">
        <v>25276</v>
      </c>
      <c r="C1856" s="169" t="s">
        <v>10229</v>
      </c>
      <c r="D1856" s="169" t="s">
        <v>1290</v>
      </c>
      <c r="E1856" s="103" t="s">
        <v>21483</v>
      </c>
      <c r="F1856" s="104"/>
      <c r="G1856" s="105">
        <f t="shared" si="112"/>
        <v>4.7</v>
      </c>
      <c r="H1856" s="101" t="str">
        <f t="shared" si="113"/>
        <v>Sinapi 39246</v>
      </c>
      <c r="I1856" s="101" t="str">
        <f t="shared" si="114"/>
        <v>M</v>
      </c>
      <c r="J1856" s="140" t="str">
        <f t="shared" si="115"/>
        <v>ELETRODUTO/DUTO PEAD FLEXIVEL PAREDE SIMPLES, CORRUGACAO HELICOIDAL, COR PRETA, SEM ROSCA, DE 1 1/2", PARA CABEAMENTO SUBTERRANEO (NBR 15715)</v>
      </c>
    </row>
    <row r="1857" spans="1:10" x14ac:dyDescent="0.25">
      <c r="A1857" s="169">
        <v>39247</v>
      </c>
      <c r="B1857" s="169" t="s">
        <v>25277</v>
      </c>
      <c r="C1857" s="169" t="s">
        <v>10229</v>
      </c>
      <c r="D1857" s="169" t="s">
        <v>1290</v>
      </c>
      <c r="E1857" s="103" t="s">
        <v>16302</v>
      </c>
      <c r="F1857" s="104"/>
      <c r="G1857" s="105">
        <f t="shared" si="112"/>
        <v>4.0999999999999996</v>
      </c>
      <c r="H1857" s="101" t="str">
        <f t="shared" si="113"/>
        <v>Sinapi 39247</v>
      </c>
      <c r="I1857" s="101" t="str">
        <f t="shared" si="114"/>
        <v>M</v>
      </c>
      <c r="J1857" s="140" t="str">
        <f t="shared" si="115"/>
        <v>ELETRODUTO/DUTO PEAD FLEXIVEL PAREDE SIMPLES, CORRUGACAO HELICOIDAL, COR PRETA, SEM ROSCA, DE 1 1/4", PARA CABEAMENTO SUBTERRANEO (NBR 15715)</v>
      </c>
    </row>
    <row r="1858" spans="1:10" x14ac:dyDescent="0.25">
      <c r="A1858" s="169">
        <v>2446</v>
      </c>
      <c r="B1858" s="169" t="s">
        <v>10261</v>
      </c>
      <c r="C1858" s="169" t="s">
        <v>10229</v>
      </c>
      <c r="D1858" s="169" t="s">
        <v>1290</v>
      </c>
      <c r="E1858" s="103" t="s">
        <v>15770</v>
      </c>
      <c r="F1858" s="104"/>
      <c r="G1858" s="105">
        <f t="shared" si="112"/>
        <v>6.75</v>
      </c>
      <c r="H1858" s="101" t="str">
        <f t="shared" si="113"/>
        <v>Sinapi 2446</v>
      </c>
      <c r="I1858" s="101" t="str">
        <f t="shared" si="114"/>
        <v>M</v>
      </c>
      <c r="J1858" s="140" t="str">
        <f t="shared" si="115"/>
        <v>ELETRODUTO/DUTO PEAD FLEXIVEL PAREDE SIMPLES, CORRUGACAO HELICOIDAL, COR PRETA, SEM ROSCA, DE 2", PARA CABEAMENTO SUBTERRANEO (NBR 15715)</v>
      </c>
    </row>
    <row r="1859" spans="1:10" x14ac:dyDescent="0.25">
      <c r="A1859" s="169">
        <v>2442</v>
      </c>
      <c r="B1859" s="169" t="s">
        <v>1021</v>
      </c>
      <c r="C1859" s="169" t="s">
        <v>10229</v>
      </c>
      <c r="D1859" s="169" t="s">
        <v>1290</v>
      </c>
      <c r="E1859" s="103" t="s">
        <v>17289</v>
      </c>
      <c r="F1859" s="104"/>
      <c r="G1859" s="105">
        <f t="shared" si="112"/>
        <v>9.4499999999999993</v>
      </c>
      <c r="H1859" s="101" t="str">
        <f t="shared" si="113"/>
        <v>Sinapi 2442</v>
      </c>
      <c r="I1859" s="101" t="str">
        <f t="shared" si="114"/>
        <v>M</v>
      </c>
      <c r="J1859" s="140" t="str">
        <f t="shared" si="115"/>
        <v>ELETRODUTO/DUTO PEAD FLEXIVEL PAREDE SIMPLES, CORRUGACAO HELICOIDAL, COR PRETA, SEM ROSCA, DE 3", PARA CABEAMENTO SUBTERRANEO (NBR 15715)</v>
      </c>
    </row>
    <row r="1860" spans="1:10" x14ac:dyDescent="0.25">
      <c r="A1860" s="169">
        <v>39248</v>
      </c>
      <c r="B1860" s="169" t="s">
        <v>25278</v>
      </c>
      <c r="C1860" s="169" t="s">
        <v>10229</v>
      </c>
      <c r="D1860" s="169" t="s">
        <v>1290</v>
      </c>
      <c r="E1860" s="103" t="s">
        <v>21558</v>
      </c>
      <c r="F1860" s="104"/>
      <c r="G1860" s="105">
        <f t="shared" si="112"/>
        <v>13.18</v>
      </c>
      <c r="H1860" s="101" t="str">
        <f t="shared" si="113"/>
        <v>Sinapi 39248</v>
      </c>
      <c r="I1860" s="101" t="str">
        <f t="shared" si="114"/>
        <v>M</v>
      </c>
      <c r="J1860" s="140" t="str">
        <f t="shared" si="115"/>
        <v>ELETRODUTO/DUTO PEAD FLEXIVEL PAREDE SIMPLES, CORRUGACAO HELICOIDAL, COR PRETA, SEM ROSCA, DE 4", PARA CABEAMENTO SUBTERRANEO (NBR 15715)</v>
      </c>
    </row>
    <row r="1861" spans="1:10" x14ac:dyDescent="0.25">
      <c r="A1861" s="169">
        <v>2438</v>
      </c>
      <c r="B1861" s="169" t="s">
        <v>25279</v>
      </c>
      <c r="C1861" s="169" t="s">
        <v>10228</v>
      </c>
      <c r="D1861" s="169" t="s">
        <v>1289</v>
      </c>
      <c r="E1861" s="103" t="s">
        <v>16423</v>
      </c>
      <c r="F1861" s="104"/>
      <c r="G1861" s="105">
        <f t="shared" si="112"/>
        <v>22.82</v>
      </c>
      <c r="H1861" s="101" t="str">
        <f t="shared" si="113"/>
        <v>Sinapi 2438</v>
      </c>
      <c r="I1861" s="101" t="str">
        <f t="shared" si="114"/>
        <v>H</v>
      </c>
      <c r="J1861" s="140" t="str">
        <f t="shared" si="115"/>
        <v>ELETROTECNICO (HORISTA)</v>
      </c>
    </row>
    <row r="1862" spans="1:10" x14ac:dyDescent="0.25">
      <c r="A1862" s="169">
        <v>40922</v>
      </c>
      <c r="B1862" s="169" t="s">
        <v>25280</v>
      </c>
      <c r="C1862" s="169" t="s">
        <v>10235</v>
      </c>
      <c r="D1862" s="169" t="s">
        <v>1289</v>
      </c>
      <c r="E1862" s="103" t="s">
        <v>30332</v>
      </c>
      <c r="F1862" s="104"/>
      <c r="G1862" s="105">
        <f t="shared" si="112"/>
        <v>3970.97</v>
      </c>
      <c r="H1862" s="101" t="str">
        <f t="shared" si="113"/>
        <v>Sinapi 40922</v>
      </c>
      <c r="I1862" s="101" t="str">
        <f t="shared" si="114"/>
        <v>MES</v>
      </c>
      <c r="J1862" s="140" t="str">
        <f t="shared" si="115"/>
        <v>ELETROTECNICO (MENSALISTA)</v>
      </c>
    </row>
    <row r="1863" spans="1:10" x14ac:dyDescent="0.25">
      <c r="A1863" s="169">
        <v>36486</v>
      </c>
      <c r="B1863" s="169" t="s">
        <v>25281</v>
      </c>
      <c r="C1863" s="169" t="s">
        <v>10225</v>
      </c>
      <c r="D1863" s="169" t="s">
        <v>1290</v>
      </c>
      <c r="E1863" s="103" t="s">
        <v>30333</v>
      </c>
      <c r="F1863" s="104"/>
      <c r="G1863" s="105">
        <f t="shared" si="112"/>
        <v>68306.53</v>
      </c>
      <c r="H1863" s="101" t="str">
        <f t="shared" si="113"/>
        <v>Sinapi 36486</v>
      </c>
      <c r="I1863" s="101" t="str">
        <f t="shared" si="114"/>
        <v>UN</v>
      </c>
      <c r="J1863" s="140" t="str">
        <f t="shared" si="115"/>
        <v>ELEVADOR DE CARGA A CABO, CABINE SEMI FECHADA 2,0 X 1,5 X 2,0 M, CAPACIDADE DE CARGA 1000 KG, TORRE 2,38 X 2,21 X 15 M, GUINCHO DE EMBREAGEM, FREIO DE SEGURANCA, LIMITADOR DE VELOCIDADE E CANCELA</v>
      </c>
    </row>
    <row r="1864" spans="1:10" x14ac:dyDescent="0.25">
      <c r="A1864" s="169">
        <v>37777</v>
      </c>
      <c r="B1864" s="169" t="s">
        <v>25282</v>
      </c>
      <c r="C1864" s="169" t="s">
        <v>10225</v>
      </c>
      <c r="D1864" s="169" t="s">
        <v>1290</v>
      </c>
      <c r="E1864" s="103" t="s">
        <v>30334</v>
      </c>
      <c r="F1864" s="104"/>
      <c r="G1864" s="105">
        <f t="shared" ref="G1864:G1927" si="116">IF(E1864="","",E1864+0)</f>
        <v>321585.81</v>
      </c>
      <c r="H1864" s="101" t="str">
        <f t="shared" ref="H1864:H1927" si="117">IF(G1864="","",TRIM(CONCATENATE("Sinapi ",A1864)))</f>
        <v>Sinapi 37777</v>
      </c>
      <c r="I1864" s="101" t="str">
        <f t="shared" ref="I1864:I1927" si="118">TRIM(C1864)</f>
        <v>UN</v>
      </c>
      <c r="J1864" s="140" t="str">
        <f t="shared" si="115"/>
        <v>ELEVADOR DE CREMALHEIRA CABINE FECHADA 1,5 X 2,5 X 2,35 M (UMA POR TORRE), CAPACIDADE DE CARGA 1200 KG (15 PESSOAS), TORRE 24 M (16 MODULOS), FREIO DE SEGURANCA, LIMITADOR DE CARGA</v>
      </c>
    </row>
    <row r="1865" spans="1:10" x14ac:dyDescent="0.25">
      <c r="A1865" s="169">
        <v>12624</v>
      </c>
      <c r="B1865" s="169" t="s">
        <v>25283</v>
      </c>
      <c r="C1865" s="169" t="s">
        <v>10225</v>
      </c>
      <c r="D1865" s="169" t="s">
        <v>1289</v>
      </c>
      <c r="E1865" s="103" t="s">
        <v>30335</v>
      </c>
      <c r="F1865" s="104"/>
      <c r="G1865" s="105">
        <f t="shared" si="116"/>
        <v>32.270000000000003</v>
      </c>
      <c r="H1865" s="101" t="str">
        <f t="shared" si="117"/>
        <v>Sinapi 12624</v>
      </c>
      <c r="I1865" s="101" t="str">
        <f t="shared" si="118"/>
        <v>UN</v>
      </c>
      <c r="J1865" s="140" t="str">
        <f t="shared" ref="J1865:J1928" si="119">TRIM(B1865)</f>
        <v>EMENDA PARA CALHA PLUVIAL, PVC, DIAMETRO ENTRE 119 E 170 MM, PARA DRENAGEM PLUVIAL PREDIAL</v>
      </c>
    </row>
    <row r="1866" spans="1:10" x14ac:dyDescent="0.25">
      <c r="A1866" s="169">
        <v>517</v>
      </c>
      <c r="B1866" s="169" t="s">
        <v>25284</v>
      </c>
      <c r="C1866" s="169" t="s">
        <v>10230</v>
      </c>
      <c r="D1866" s="169" t="s">
        <v>1289</v>
      </c>
      <c r="E1866" s="103" t="s">
        <v>30336</v>
      </c>
      <c r="F1866" s="104"/>
      <c r="G1866" s="105">
        <f t="shared" si="116"/>
        <v>14.88</v>
      </c>
      <c r="H1866" s="101" t="str">
        <f t="shared" si="117"/>
        <v>Sinapi 517</v>
      </c>
      <c r="I1866" s="101" t="str">
        <f t="shared" si="118"/>
        <v>L</v>
      </c>
      <c r="J1866" s="140" t="str">
        <f t="shared" si="119"/>
        <v>EMULSAO ASFALTICA ANIONICA</v>
      </c>
    </row>
    <row r="1867" spans="1:10" x14ac:dyDescent="0.25">
      <c r="A1867" s="169">
        <v>37534</v>
      </c>
      <c r="B1867" s="169" t="s">
        <v>25285</v>
      </c>
      <c r="C1867" s="169" t="s">
        <v>10231</v>
      </c>
      <c r="D1867" s="169" t="s">
        <v>1290</v>
      </c>
      <c r="E1867" s="103" t="s">
        <v>18353</v>
      </c>
      <c r="F1867" s="104"/>
      <c r="G1867" s="105">
        <f t="shared" si="116"/>
        <v>18.670000000000002</v>
      </c>
      <c r="H1867" s="101" t="str">
        <f t="shared" si="117"/>
        <v>Sinapi 37534</v>
      </c>
      <c r="I1867" s="101" t="str">
        <f t="shared" si="118"/>
        <v>KG</v>
      </c>
      <c r="J1867" s="140" t="str">
        <f t="shared" si="119"/>
        <v>EMULSAO EXPLOSIVA EM CARTUCHOS DE 1" X 12", DENSIDADE 1.15 G/CM3, INICIACAO ESPOLETA N. 8 / CORDEL</v>
      </c>
    </row>
    <row r="1868" spans="1:10" x14ac:dyDescent="0.25">
      <c r="A1868" s="169">
        <v>37535</v>
      </c>
      <c r="B1868" s="169" t="s">
        <v>25286</v>
      </c>
      <c r="C1868" s="169" t="s">
        <v>10231</v>
      </c>
      <c r="D1868" s="169" t="s">
        <v>1290</v>
      </c>
      <c r="E1868" s="103" t="s">
        <v>18353</v>
      </c>
      <c r="F1868" s="104"/>
      <c r="G1868" s="105">
        <f t="shared" si="116"/>
        <v>18.670000000000002</v>
      </c>
      <c r="H1868" s="101" t="str">
        <f t="shared" si="117"/>
        <v>Sinapi 37535</v>
      </c>
      <c r="I1868" s="101" t="str">
        <f t="shared" si="118"/>
        <v>KG</v>
      </c>
      <c r="J1868" s="140" t="str">
        <f t="shared" si="119"/>
        <v>EMULSAO EXPLOSIVA EM CARTUCHOS DE 1" X 24", DENSIDADE 1.15 G/CM3, INICIACAO ESPOLETA N. 8 / CORDEL</v>
      </c>
    </row>
    <row r="1869" spans="1:10" x14ac:dyDescent="0.25">
      <c r="A1869" s="169">
        <v>37533</v>
      </c>
      <c r="B1869" s="169" t="s">
        <v>25287</v>
      </c>
      <c r="C1869" s="169" t="s">
        <v>10231</v>
      </c>
      <c r="D1869" s="169" t="s">
        <v>1290</v>
      </c>
      <c r="E1869" s="103" t="s">
        <v>18353</v>
      </c>
      <c r="F1869" s="104"/>
      <c r="G1869" s="105">
        <f t="shared" si="116"/>
        <v>18.670000000000002</v>
      </c>
      <c r="H1869" s="101" t="str">
        <f t="shared" si="117"/>
        <v>Sinapi 37533</v>
      </c>
      <c r="I1869" s="101" t="str">
        <f t="shared" si="118"/>
        <v>KG</v>
      </c>
      <c r="J1869" s="140" t="str">
        <f t="shared" si="119"/>
        <v>EMULSAO EXPLOSIVA EM CARTUCHOS DE 1" X 8", DENSIDADE 1.15 G/CM3, INICIACAO ESPOLETA N. 8 / CORDEL</v>
      </c>
    </row>
    <row r="1870" spans="1:10" x14ac:dyDescent="0.25">
      <c r="A1870" s="169">
        <v>37537</v>
      </c>
      <c r="B1870" s="169" t="s">
        <v>25288</v>
      </c>
      <c r="C1870" s="169" t="s">
        <v>10231</v>
      </c>
      <c r="D1870" s="169" t="s">
        <v>1290</v>
      </c>
      <c r="E1870" s="103" t="s">
        <v>30189</v>
      </c>
      <c r="F1870" s="104"/>
      <c r="G1870" s="105">
        <f t="shared" si="116"/>
        <v>14.13</v>
      </c>
      <c r="H1870" s="101" t="str">
        <f t="shared" si="117"/>
        <v>Sinapi 37537</v>
      </c>
      <c r="I1870" s="101" t="str">
        <f t="shared" si="118"/>
        <v>KG</v>
      </c>
      <c r="J1870" s="140" t="str">
        <f t="shared" si="119"/>
        <v>EMULSAO EXPLOSIVA EM CARTUCHOS DE 2 1/2" X 24", DENSIDADE 1.15 G/CM3, INICIACAO ESPOLETA N. 8 / CORDEL</v>
      </c>
    </row>
    <row r="1871" spans="1:10" x14ac:dyDescent="0.25">
      <c r="A1871" s="169">
        <v>37536</v>
      </c>
      <c r="B1871" s="169" t="s">
        <v>25289</v>
      </c>
      <c r="C1871" s="169" t="s">
        <v>10231</v>
      </c>
      <c r="D1871" s="169" t="s">
        <v>1290</v>
      </c>
      <c r="E1871" s="103" t="s">
        <v>30189</v>
      </c>
      <c r="F1871" s="104"/>
      <c r="G1871" s="105">
        <f t="shared" si="116"/>
        <v>14.13</v>
      </c>
      <c r="H1871" s="101" t="str">
        <f t="shared" si="117"/>
        <v>Sinapi 37536</v>
      </c>
      <c r="I1871" s="101" t="str">
        <f t="shared" si="118"/>
        <v>KG</v>
      </c>
      <c r="J1871" s="140" t="str">
        <f t="shared" si="119"/>
        <v>EMULSAO EXPLOSIVA EM CARTUCHOS DE 2 1/4" X 24", DENSIDADE 1.15 G/CM3, INICIACAO ESPOLETA N. 8 / CORDEL</v>
      </c>
    </row>
    <row r="1872" spans="1:10" x14ac:dyDescent="0.25">
      <c r="A1872" s="169">
        <v>37532</v>
      </c>
      <c r="B1872" s="169" t="s">
        <v>25290</v>
      </c>
      <c r="C1872" s="169" t="s">
        <v>10231</v>
      </c>
      <c r="D1872" s="169" t="s">
        <v>1290</v>
      </c>
      <c r="E1872" s="103" t="s">
        <v>30189</v>
      </c>
      <c r="F1872" s="104"/>
      <c r="G1872" s="105">
        <f t="shared" si="116"/>
        <v>14.13</v>
      </c>
      <c r="H1872" s="101" t="str">
        <f t="shared" si="117"/>
        <v>Sinapi 37532</v>
      </c>
      <c r="I1872" s="101" t="str">
        <f t="shared" si="118"/>
        <v>KG</v>
      </c>
      <c r="J1872" s="140" t="str">
        <f t="shared" si="119"/>
        <v>EMULSAO EXPLOSIVA EM CARTUCHOS DE 2" X 24", DENSIDADE 1.15 G/CM3, INICIACAO ESPOLETA N. 8 / CORDEL</v>
      </c>
    </row>
    <row r="1873" spans="1:10" x14ac:dyDescent="0.25">
      <c r="A1873" s="169">
        <v>2696</v>
      </c>
      <c r="B1873" s="169" t="s">
        <v>25291</v>
      </c>
      <c r="C1873" s="169" t="s">
        <v>10228</v>
      </c>
      <c r="D1873" s="169" t="s">
        <v>1288</v>
      </c>
      <c r="E1873" s="103" t="s">
        <v>27635</v>
      </c>
      <c r="F1873" s="104"/>
      <c r="G1873" s="105">
        <f t="shared" si="116"/>
        <v>19.86</v>
      </c>
      <c r="H1873" s="101" t="str">
        <f t="shared" si="117"/>
        <v>Sinapi 2696</v>
      </c>
      <c r="I1873" s="101" t="str">
        <f t="shared" si="118"/>
        <v>H</v>
      </c>
      <c r="J1873" s="140" t="str">
        <f t="shared" si="119"/>
        <v>ENCANADOR OU BOMBEIRO HIDRAULICO (HORISTA)</v>
      </c>
    </row>
    <row r="1874" spans="1:10" x14ac:dyDescent="0.25">
      <c r="A1874" s="169">
        <v>40928</v>
      </c>
      <c r="B1874" s="169" t="s">
        <v>25292</v>
      </c>
      <c r="C1874" s="169" t="s">
        <v>10235</v>
      </c>
      <c r="D1874" s="169" t="s">
        <v>1289</v>
      </c>
      <c r="E1874" s="103" t="s">
        <v>29669</v>
      </c>
      <c r="F1874" s="104"/>
      <c r="G1874" s="105">
        <f t="shared" si="116"/>
        <v>3455.98</v>
      </c>
      <c r="H1874" s="101" t="str">
        <f t="shared" si="117"/>
        <v>Sinapi 40928</v>
      </c>
      <c r="I1874" s="101" t="str">
        <f t="shared" si="118"/>
        <v>MES</v>
      </c>
      <c r="J1874" s="140" t="str">
        <f t="shared" si="119"/>
        <v>ENCANADOR OU BOMBEIRO HIDRAULICO (MENSALISTA)</v>
      </c>
    </row>
    <row r="1875" spans="1:10" x14ac:dyDescent="0.25">
      <c r="A1875" s="169">
        <v>4083</v>
      </c>
      <c r="B1875" s="169" t="s">
        <v>25293</v>
      </c>
      <c r="C1875" s="169" t="s">
        <v>10228</v>
      </c>
      <c r="D1875" s="169" t="s">
        <v>1288</v>
      </c>
      <c r="E1875" s="103" t="s">
        <v>29339</v>
      </c>
      <c r="F1875" s="104"/>
      <c r="G1875" s="105">
        <f t="shared" si="116"/>
        <v>31.88</v>
      </c>
      <c r="H1875" s="101" t="str">
        <f t="shared" si="117"/>
        <v>Sinapi 4083</v>
      </c>
      <c r="I1875" s="101" t="str">
        <f t="shared" si="118"/>
        <v>H</v>
      </c>
      <c r="J1875" s="140" t="str">
        <f t="shared" si="119"/>
        <v>ENCARREGADO GERAL DE OBRAS (HORISTA)</v>
      </c>
    </row>
    <row r="1876" spans="1:10" x14ac:dyDescent="0.25">
      <c r="A1876" s="169">
        <v>40818</v>
      </c>
      <c r="B1876" s="169" t="s">
        <v>25294</v>
      </c>
      <c r="C1876" s="169" t="s">
        <v>10235</v>
      </c>
      <c r="D1876" s="169" t="s">
        <v>1289</v>
      </c>
      <c r="E1876" s="103" t="s">
        <v>30337</v>
      </c>
      <c r="F1876" s="104"/>
      <c r="G1876" s="105">
        <f t="shared" si="116"/>
        <v>5548.35</v>
      </c>
      <c r="H1876" s="101" t="str">
        <f t="shared" si="117"/>
        <v>Sinapi 40818</v>
      </c>
      <c r="I1876" s="101" t="str">
        <f t="shared" si="118"/>
        <v>MES</v>
      </c>
      <c r="J1876" s="140" t="str">
        <f t="shared" si="119"/>
        <v>ENCARREGADO GERAL DE OBRAS (MENSALISTA)</v>
      </c>
    </row>
    <row r="1877" spans="1:10" x14ac:dyDescent="0.25">
      <c r="A1877" s="169">
        <v>43146</v>
      </c>
      <c r="B1877" s="169" t="s">
        <v>10262</v>
      </c>
      <c r="C1877" s="169" t="s">
        <v>10231</v>
      </c>
      <c r="D1877" s="169" t="s">
        <v>1289</v>
      </c>
      <c r="E1877" s="103" t="s">
        <v>15660</v>
      </c>
      <c r="F1877" s="104"/>
      <c r="G1877" s="105">
        <f t="shared" si="116"/>
        <v>10.6</v>
      </c>
      <c r="H1877" s="101" t="str">
        <f t="shared" si="117"/>
        <v>Sinapi 43146</v>
      </c>
      <c r="I1877" s="101" t="str">
        <f t="shared" si="118"/>
        <v>KG</v>
      </c>
      <c r="J1877" s="140" t="str">
        <f t="shared" si="119"/>
        <v>ENDURECEDOR MINERAL DE BASE CIMENTICIA PARA PISO DE CONCRETO</v>
      </c>
    </row>
    <row r="1878" spans="1:10" x14ac:dyDescent="0.25">
      <c r="A1878" s="169">
        <v>2705</v>
      </c>
      <c r="B1878" s="169" t="s">
        <v>25295</v>
      </c>
      <c r="C1878" s="169" t="s">
        <v>15571</v>
      </c>
      <c r="D1878" s="169" t="s">
        <v>1289</v>
      </c>
      <c r="E1878" s="103" t="s">
        <v>29751</v>
      </c>
      <c r="F1878" s="104"/>
      <c r="G1878" s="105">
        <f t="shared" si="116"/>
        <v>1.04</v>
      </c>
      <c r="H1878" s="101" t="str">
        <f t="shared" si="117"/>
        <v>Sinapi 2705</v>
      </c>
      <c r="I1878" s="101" t="str">
        <f t="shared" si="118"/>
        <v>KWH</v>
      </c>
      <c r="J1878" s="140" t="str">
        <f t="shared" si="119"/>
        <v>ENERGIA ELETRICA ATE 2000 KWH INDUSTRIAL, SEM DEMANDA</v>
      </c>
    </row>
    <row r="1879" spans="1:10" x14ac:dyDescent="0.25">
      <c r="A1879" s="169">
        <v>14250</v>
      </c>
      <c r="B1879" s="169" t="s">
        <v>25296</v>
      </c>
      <c r="C1879" s="169" t="s">
        <v>15571</v>
      </c>
      <c r="D1879" s="169" t="s">
        <v>1288</v>
      </c>
      <c r="E1879" s="103" t="s">
        <v>16200</v>
      </c>
      <c r="F1879" s="104"/>
      <c r="G1879" s="105">
        <f t="shared" si="116"/>
        <v>1.06</v>
      </c>
      <c r="H1879" s="101" t="str">
        <f t="shared" si="117"/>
        <v>Sinapi 14250</v>
      </c>
      <c r="I1879" s="101" t="str">
        <f t="shared" si="118"/>
        <v>KWH</v>
      </c>
      <c r="J1879" s="140" t="str">
        <f t="shared" si="119"/>
        <v>ENERGIA ELETRICA COMERCIAL, BAIXA TENSAO, RELATIVA AO CONSUMO DE ATE 100 KWH, INCLUINDO ICMS, PIS/PASEP E COFINS</v>
      </c>
    </row>
    <row r="1880" spans="1:10" x14ac:dyDescent="0.25">
      <c r="A1880" s="169">
        <v>11683</v>
      </c>
      <c r="B1880" s="169" t="s">
        <v>25297</v>
      </c>
      <c r="C1880" s="169" t="s">
        <v>10225</v>
      </c>
      <c r="D1880" s="169" t="s">
        <v>1289</v>
      </c>
      <c r="E1880" s="103" t="s">
        <v>21165</v>
      </c>
      <c r="F1880" s="104"/>
      <c r="G1880" s="105">
        <f t="shared" si="116"/>
        <v>34.17</v>
      </c>
      <c r="H1880" s="101" t="str">
        <f t="shared" si="117"/>
        <v>Sinapi 11683</v>
      </c>
      <c r="I1880" s="101" t="str">
        <f t="shared" si="118"/>
        <v>UN</v>
      </c>
      <c r="J1880" s="140" t="str">
        <f t="shared" si="119"/>
        <v>ENGATE / RABICHO FLEXIVEL INOX 1/2 " X 30 CM</v>
      </c>
    </row>
    <row r="1881" spans="1:10" x14ac:dyDescent="0.25">
      <c r="A1881" s="169">
        <v>11684</v>
      </c>
      <c r="B1881" s="169" t="s">
        <v>25298</v>
      </c>
      <c r="C1881" s="169" t="s">
        <v>10225</v>
      </c>
      <c r="D1881" s="169" t="s">
        <v>1289</v>
      </c>
      <c r="E1881" s="103" t="s">
        <v>22108</v>
      </c>
      <c r="F1881" s="104"/>
      <c r="G1881" s="105">
        <f t="shared" si="116"/>
        <v>37.4</v>
      </c>
      <c r="H1881" s="101" t="str">
        <f t="shared" si="117"/>
        <v>Sinapi 11684</v>
      </c>
      <c r="I1881" s="101" t="str">
        <f t="shared" si="118"/>
        <v>UN</v>
      </c>
      <c r="J1881" s="140" t="str">
        <f t="shared" si="119"/>
        <v>ENGATE / RABICHO FLEXIVEL INOX 1/2 " X 40 CM</v>
      </c>
    </row>
    <row r="1882" spans="1:10" x14ac:dyDescent="0.25">
      <c r="A1882" s="169">
        <v>6141</v>
      </c>
      <c r="B1882" s="169" t="s">
        <v>25299</v>
      </c>
      <c r="C1882" s="169" t="s">
        <v>10225</v>
      </c>
      <c r="D1882" s="169" t="s">
        <v>1289</v>
      </c>
      <c r="E1882" s="103" t="s">
        <v>18703</v>
      </c>
      <c r="F1882" s="104"/>
      <c r="G1882" s="105">
        <f t="shared" si="116"/>
        <v>4.84</v>
      </c>
      <c r="H1882" s="101" t="str">
        <f t="shared" si="117"/>
        <v>Sinapi 6141</v>
      </c>
      <c r="I1882" s="101" t="str">
        <f t="shared" si="118"/>
        <v>UN</v>
      </c>
      <c r="J1882" s="140" t="str">
        <f t="shared" si="119"/>
        <v>ENGATE/RABICHO FLEXIVEL PLASTICO (PVC OU ABS) BRANCO 1/2 " X 30 CM</v>
      </c>
    </row>
    <row r="1883" spans="1:10" x14ac:dyDescent="0.25">
      <c r="A1883" s="169">
        <v>11681</v>
      </c>
      <c r="B1883" s="169" t="s">
        <v>25300</v>
      </c>
      <c r="C1883" s="169" t="s">
        <v>10225</v>
      </c>
      <c r="D1883" s="169" t="s">
        <v>1289</v>
      </c>
      <c r="E1883" s="103" t="s">
        <v>17887</v>
      </c>
      <c r="F1883" s="104"/>
      <c r="G1883" s="105">
        <f t="shared" si="116"/>
        <v>6.1</v>
      </c>
      <c r="H1883" s="101" t="str">
        <f t="shared" si="117"/>
        <v>Sinapi 11681</v>
      </c>
      <c r="I1883" s="101" t="str">
        <f t="shared" si="118"/>
        <v>UN</v>
      </c>
      <c r="J1883" s="140" t="str">
        <f t="shared" si="119"/>
        <v>ENGATE/RABICHO FLEXIVEL PLASTICO (PVC OU ABS) BRANCO 1/2 " X 40 CM</v>
      </c>
    </row>
    <row r="1884" spans="1:10" x14ac:dyDescent="0.25">
      <c r="A1884" s="169">
        <v>2706</v>
      </c>
      <c r="B1884" s="169" t="s">
        <v>25301</v>
      </c>
      <c r="C1884" s="169" t="s">
        <v>10228</v>
      </c>
      <c r="D1884" s="169" t="s">
        <v>1288</v>
      </c>
      <c r="E1884" s="103" t="s">
        <v>30338</v>
      </c>
      <c r="F1884" s="104"/>
      <c r="G1884" s="105">
        <f t="shared" si="116"/>
        <v>110.1</v>
      </c>
      <c r="H1884" s="101" t="str">
        <f t="shared" si="117"/>
        <v>Sinapi 2706</v>
      </c>
      <c r="I1884" s="101" t="str">
        <f t="shared" si="118"/>
        <v>H</v>
      </c>
      <c r="J1884" s="140" t="str">
        <f t="shared" si="119"/>
        <v>ENGENHEIRO CIVIL DE OBRA JUNIOR</v>
      </c>
    </row>
    <row r="1885" spans="1:10" x14ac:dyDescent="0.25">
      <c r="A1885" s="169">
        <v>40811</v>
      </c>
      <c r="B1885" s="169" t="s">
        <v>25302</v>
      </c>
      <c r="C1885" s="169" t="s">
        <v>10235</v>
      </c>
      <c r="D1885" s="169" t="s">
        <v>1289</v>
      </c>
      <c r="E1885" s="103" t="s">
        <v>30339</v>
      </c>
      <c r="F1885" s="104"/>
      <c r="G1885" s="105">
        <f t="shared" si="116"/>
        <v>19158.150000000001</v>
      </c>
      <c r="H1885" s="101" t="str">
        <f t="shared" si="117"/>
        <v>Sinapi 40811</v>
      </c>
      <c r="I1885" s="101" t="str">
        <f t="shared" si="118"/>
        <v>MES</v>
      </c>
      <c r="J1885" s="140" t="str">
        <f t="shared" si="119"/>
        <v>ENGENHEIRO CIVIL DE OBRA JUNIOR (MENSALISTA)</v>
      </c>
    </row>
    <row r="1886" spans="1:10" x14ac:dyDescent="0.25">
      <c r="A1886" s="169">
        <v>2707</v>
      </c>
      <c r="B1886" s="169" t="s">
        <v>25303</v>
      </c>
      <c r="C1886" s="169" t="s">
        <v>10228</v>
      </c>
      <c r="D1886" s="169" t="s">
        <v>1289</v>
      </c>
      <c r="E1886" s="103" t="s">
        <v>30340</v>
      </c>
      <c r="F1886" s="104"/>
      <c r="G1886" s="105">
        <f t="shared" si="116"/>
        <v>125.3</v>
      </c>
      <c r="H1886" s="101" t="str">
        <f t="shared" si="117"/>
        <v>Sinapi 2707</v>
      </c>
      <c r="I1886" s="101" t="str">
        <f t="shared" si="118"/>
        <v>H</v>
      </c>
      <c r="J1886" s="140" t="str">
        <f t="shared" si="119"/>
        <v>ENGENHEIRO CIVIL DE OBRA PLENO</v>
      </c>
    </row>
    <row r="1887" spans="1:10" x14ac:dyDescent="0.25">
      <c r="A1887" s="169">
        <v>40813</v>
      </c>
      <c r="B1887" s="169" t="s">
        <v>25304</v>
      </c>
      <c r="C1887" s="169" t="s">
        <v>10235</v>
      </c>
      <c r="D1887" s="169" t="s">
        <v>1289</v>
      </c>
      <c r="E1887" s="103" t="s">
        <v>30341</v>
      </c>
      <c r="F1887" s="104"/>
      <c r="G1887" s="105">
        <f t="shared" si="116"/>
        <v>21805.91</v>
      </c>
      <c r="H1887" s="101" t="str">
        <f t="shared" si="117"/>
        <v>Sinapi 40813</v>
      </c>
      <c r="I1887" s="101" t="str">
        <f t="shared" si="118"/>
        <v>MES</v>
      </c>
      <c r="J1887" s="140" t="str">
        <f t="shared" si="119"/>
        <v>ENGENHEIRO CIVIL DE OBRA PLENO (MENSALISTA)</v>
      </c>
    </row>
    <row r="1888" spans="1:10" x14ac:dyDescent="0.25">
      <c r="A1888" s="169">
        <v>2708</v>
      </c>
      <c r="B1888" s="169" t="s">
        <v>25305</v>
      </c>
      <c r="C1888" s="169" t="s">
        <v>10228</v>
      </c>
      <c r="D1888" s="169" t="s">
        <v>1289</v>
      </c>
      <c r="E1888" s="103" t="s">
        <v>30342</v>
      </c>
      <c r="F1888" s="104"/>
      <c r="G1888" s="105">
        <f t="shared" si="116"/>
        <v>171.31</v>
      </c>
      <c r="H1888" s="101" t="str">
        <f t="shared" si="117"/>
        <v>Sinapi 2708</v>
      </c>
      <c r="I1888" s="101" t="str">
        <f t="shared" si="118"/>
        <v>H</v>
      </c>
      <c r="J1888" s="140" t="str">
        <f t="shared" si="119"/>
        <v>ENGENHEIRO CIVIL DE OBRA SENIOR</v>
      </c>
    </row>
    <row r="1889" spans="1:10" x14ac:dyDescent="0.25">
      <c r="A1889" s="169">
        <v>40814</v>
      </c>
      <c r="B1889" s="169" t="s">
        <v>25306</v>
      </c>
      <c r="C1889" s="169" t="s">
        <v>10235</v>
      </c>
      <c r="D1889" s="169" t="s">
        <v>1289</v>
      </c>
      <c r="E1889" s="103" t="s">
        <v>30343</v>
      </c>
      <c r="F1889" s="104"/>
      <c r="G1889" s="105">
        <f t="shared" si="116"/>
        <v>29808.1</v>
      </c>
      <c r="H1889" s="101" t="str">
        <f t="shared" si="117"/>
        <v>Sinapi 40814</v>
      </c>
      <c r="I1889" s="101" t="str">
        <f t="shared" si="118"/>
        <v>MES</v>
      </c>
      <c r="J1889" s="140" t="str">
        <f t="shared" si="119"/>
        <v>ENGENHEIRO CIVIL DE OBRA SENIOR (MENSALISTA)</v>
      </c>
    </row>
    <row r="1890" spans="1:10" x14ac:dyDescent="0.25">
      <c r="A1890" s="169">
        <v>34779</v>
      </c>
      <c r="B1890" s="169" t="s">
        <v>25307</v>
      </c>
      <c r="C1890" s="169" t="s">
        <v>10228</v>
      </c>
      <c r="D1890" s="169" t="s">
        <v>1289</v>
      </c>
      <c r="E1890" s="103" t="s">
        <v>30344</v>
      </c>
      <c r="F1890" s="104"/>
      <c r="G1890" s="105">
        <f t="shared" si="116"/>
        <v>111.7</v>
      </c>
      <c r="H1890" s="101" t="str">
        <f t="shared" si="117"/>
        <v>Sinapi 34779</v>
      </c>
      <c r="I1890" s="101" t="str">
        <f t="shared" si="118"/>
        <v>H</v>
      </c>
      <c r="J1890" s="140" t="str">
        <f t="shared" si="119"/>
        <v>ENGENHEIRO CIVIL JUNIOR</v>
      </c>
    </row>
    <row r="1891" spans="1:10" x14ac:dyDescent="0.25">
      <c r="A1891" s="169">
        <v>40936</v>
      </c>
      <c r="B1891" s="169" t="s">
        <v>25308</v>
      </c>
      <c r="C1891" s="169" t="s">
        <v>10235</v>
      </c>
      <c r="D1891" s="169" t="s">
        <v>1289</v>
      </c>
      <c r="E1891" s="103" t="s">
        <v>30345</v>
      </c>
      <c r="F1891" s="104"/>
      <c r="G1891" s="105">
        <f t="shared" si="116"/>
        <v>19437.63</v>
      </c>
      <c r="H1891" s="101" t="str">
        <f t="shared" si="117"/>
        <v>Sinapi 40936</v>
      </c>
      <c r="I1891" s="101" t="str">
        <f t="shared" si="118"/>
        <v>MES</v>
      </c>
      <c r="J1891" s="140" t="str">
        <f t="shared" si="119"/>
        <v>ENGENHEIRO CIVIL JUNIOR (MENSALISTA)</v>
      </c>
    </row>
    <row r="1892" spans="1:10" x14ac:dyDescent="0.25">
      <c r="A1892" s="169">
        <v>34780</v>
      </c>
      <c r="B1892" s="169" t="s">
        <v>25309</v>
      </c>
      <c r="C1892" s="169" t="s">
        <v>10228</v>
      </c>
      <c r="D1892" s="169" t="s">
        <v>1289</v>
      </c>
      <c r="E1892" s="103" t="s">
        <v>29034</v>
      </c>
      <c r="F1892" s="104"/>
      <c r="G1892" s="105">
        <f t="shared" si="116"/>
        <v>126.02</v>
      </c>
      <c r="H1892" s="101" t="str">
        <f t="shared" si="117"/>
        <v>Sinapi 34780</v>
      </c>
      <c r="I1892" s="101" t="str">
        <f t="shared" si="118"/>
        <v>H</v>
      </c>
      <c r="J1892" s="140" t="str">
        <f t="shared" si="119"/>
        <v>ENGENHEIRO CIVIL PLENO</v>
      </c>
    </row>
    <row r="1893" spans="1:10" x14ac:dyDescent="0.25">
      <c r="A1893" s="169">
        <v>40937</v>
      </c>
      <c r="B1893" s="169" t="s">
        <v>25310</v>
      </c>
      <c r="C1893" s="169" t="s">
        <v>10235</v>
      </c>
      <c r="D1893" s="169" t="s">
        <v>1289</v>
      </c>
      <c r="E1893" s="103" t="s">
        <v>30346</v>
      </c>
      <c r="F1893" s="104"/>
      <c r="G1893" s="105">
        <f t="shared" si="116"/>
        <v>21929.49</v>
      </c>
      <c r="H1893" s="101" t="str">
        <f t="shared" si="117"/>
        <v>Sinapi 40937</v>
      </c>
      <c r="I1893" s="101" t="str">
        <f t="shared" si="118"/>
        <v>MES</v>
      </c>
      <c r="J1893" s="140" t="str">
        <f t="shared" si="119"/>
        <v>ENGENHEIRO CIVIL PLENO (MENSALISTA)</v>
      </c>
    </row>
    <row r="1894" spans="1:10" x14ac:dyDescent="0.25">
      <c r="A1894" s="169">
        <v>34782</v>
      </c>
      <c r="B1894" s="169" t="s">
        <v>25311</v>
      </c>
      <c r="C1894" s="169" t="s">
        <v>10228</v>
      </c>
      <c r="D1894" s="169" t="s">
        <v>1289</v>
      </c>
      <c r="E1894" s="103" t="s">
        <v>30347</v>
      </c>
      <c r="F1894" s="104"/>
      <c r="G1894" s="105">
        <f t="shared" si="116"/>
        <v>172.72</v>
      </c>
      <c r="H1894" s="101" t="str">
        <f t="shared" si="117"/>
        <v>Sinapi 34782</v>
      </c>
      <c r="I1894" s="101" t="str">
        <f t="shared" si="118"/>
        <v>H</v>
      </c>
      <c r="J1894" s="140" t="str">
        <f t="shared" si="119"/>
        <v>ENGENHEIRO CIVIL SENIOR</v>
      </c>
    </row>
    <row r="1895" spans="1:10" x14ac:dyDescent="0.25">
      <c r="A1895" s="169">
        <v>40938</v>
      </c>
      <c r="B1895" s="169" t="s">
        <v>25312</v>
      </c>
      <c r="C1895" s="169" t="s">
        <v>10235</v>
      </c>
      <c r="D1895" s="169" t="s">
        <v>1289</v>
      </c>
      <c r="E1895" s="103" t="s">
        <v>30348</v>
      </c>
      <c r="F1895" s="104"/>
      <c r="G1895" s="105">
        <f t="shared" si="116"/>
        <v>30052.27</v>
      </c>
      <c r="H1895" s="101" t="str">
        <f t="shared" si="117"/>
        <v>Sinapi 40938</v>
      </c>
      <c r="I1895" s="101" t="str">
        <f t="shared" si="118"/>
        <v>MES</v>
      </c>
      <c r="J1895" s="140" t="str">
        <f t="shared" si="119"/>
        <v>ENGENHEIRO CIVIL SENIOR (MENSALISTA)</v>
      </c>
    </row>
    <row r="1896" spans="1:10" x14ac:dyDescent="0.25">
      <c r="A1896" s="169">
        <v>34783</v>
      </c>
      <c r="B1896" s="169" t="s">
        <v>25313</v>
      </c>
      <c r="C1896" s="169" t="s">
        <v>10228</v>
      </c>
      <c r="D1896" s="169" t="s">
        <v>1289</v>
      </c>
      <c r="E1896" s="103" t="s">
        <v>30349</v>
      </c>
      <c r="F1896" s="104"/>
      <c r="G1896" s="105">
        <f t="shared" si="116"/>
        <v>159.66999999999999</v>
      </c>
      <c r="H1896" s="101" t="str">
        <f t="shared" si="117"/>
        <v>Sinapi 34783</v>
      </c>
      <c r="I1896" s="101" t="str">
        <f t="shared" si="118"/>
        <v>H</v>
      </c>
      <c r="J1896" s="140" t="str">
        <f t="shared" si="119"/>
        <v>ENGENHEIRO ELETRICISTA</v>
      </c>
    </row>
    <row r="1897" spans="1:10" x14ac:dyDescent="0.25">
      <c r="A1897" s="169">
        <v>40939</v>
      </c>
      <c r="B1897" s="169" t="s">
        <v>25314</v>
      </c>
      <c r="C1897" s="169" t="s">
        <v>10235</v>
      </c>
      <c r="D1897" s="169" t="s">
        <v>1289</v>
      </c>
      <c r="E1897" s="103" t="s">
        <v>30350</v>
      </c>
      <c r="F1897" s="104"/>
      <c r="G1897" s="105">
        <f t="shared" si="116"/>
        <v>27786.55</v>
      </c>
      <c r="H1897" s="101" t="str">
        <f t="shared" si="117"/>
        <v>Sinapi 40939</v>
      </c>
      <c r="I1897" s="101" t="str">
        <f t="shared" si="118"/>
        <v>MES</v>
      </c>
      <c r="J1897" s="140" t="str">
        <f t="shared" si="119"/>
        <v>ENGENHEIRO ELETRICISTA (MENSALISTA)</v>
      </c>
    </row>
    <row r="1898" spans="1:10" x14ac:dyDescent="0.25">
      <c r="A1898" s="169">
        <v>34785</v>
      </c>
      <c r="B1898" s="169" t="s">
        <v>25315</v>
      </c>
      <c r="C1898" s="169" t="s">
        <v>10228</v>
      </c>
      <c r="D1898" s="169" t="s">
        <v>1289</v>
      </c>
      <c r="E1898" s="103" t="s">
        <v>29844</v>
      </c>
      <c r="F1898" s="104"/>
      <c r="G1898" s="105">
        <f t="shared" si="116"/>
        <v>155.96</v>
      </c>
      <c r="H1898" s="101" t="str">
        <f t="shared" si="117"/>
        <v>Sinapi 34785</v>
      </c>
      <c r="I1898" s="101" t="str">
        <f t="shared" si="118"/>
        <v>H</v>
      </c>
      <c r="J1898" s="140" t="str">
        <f t="shared" si="119"/>
        <v>ENGENHEIRO SANITARISTA</v>
      </c>
    </row>
    <row r="1899" spans="1:10" x14ac:dyDescent="0.25">
      <c r="A1899" s="169">
        <v>40940</v>
      </c>
      <c r="B1899" s="169" t="s">
        <v>25316</v>
      </c>
      <c r="C1899" s="169" t="s">
        <v>10235</v>
      </c>
      <c r="D1899" s="169" t="s">
        <v>1289</v>
      </c>
      <c r="E1899" s="103" t="s">
        <v>30351</v>
      </c>
      <c r="F1899" s="104"/>
      <c r="G1899" s="105">
        <f t="shared" si="116"/>
        <v>27140.69</v>
      </c>
      <c r="H1899" s="101" t="str">
        <f t="shared" si="117"/>
        <v>Sinapi 40940</v>
      </c>
      <c r="I1899" s="101" t="str">
        <f t="shared" si="118"/>
        <v>MES</v>
      </c>
      <c r="J1899" s="140" t="str">
        <f t="shared" si="119"/>
        <v>ENGENHEIRO SANITARISTA (MENSALISTA)</v>
      </c>
    </row>
    <row r="1900" spans="1:10" x14ac:dyDescent="0.25">
      <c r="A1900" s="169">
        <v>38403</v>
      </c>
      <c r="B1900" s="169" t="s">
        <v>25317</v>
      </c>
      <c r="C1900" s="169" t="s">
        <v>10225</v>
      </c>
      <c r="D1900" s="169" t="s">
        <v>1289</v>
      </c>
      <c r="E1900" s="103" t="s">
        <v>30352</v>
      </c>
      <c r="F1900" s="104"/>
      <c r="G1900" s="105">
        <f t="shared" si="116"/>
        <v>67.62</v>
      </c>
      <c r="H1900" s="101" t="str">
        <f t="shared" si="117"/>
        <v>Sinapi 38403</v>
      </c>
      <c r="I1900" s="101" t="str">
        <f t="shared" si="118"/>
        <v>UN</v>
      </c>
      <c r="J1900" s="140" t="str">
        <f t="shared" si="119"/>
        <v>ENXADA ESTREITA *25 X 23* CM COM CABO</v>
      </c>
    </row>
    <row r="1901" spans="1:10" x14ac:dyDescent="0.25">
      <c r="A1901" s="169">
        <v>43482</v>
      </c>
      <c r="B1901" s="169" t="s">
        <v>25318</v>
      </c>
      <c r="C1901" s="169" t="s">
        <v>10228</v>
      </c>
      <c r="D1901" s="169" t="s">
        <v>1288</v>
      </c>
      <c r="E1901" s="103" t="s">
        <v>15674</v>
      </c>
      <c r="F1901" s="104"/>
      <c r="G1901" s="105">
        <f t="shared" si="116"/>
        <v>0.75</v>
      </c>
      <c r="H1901" s="101" t="str">
        <f t="shared" si="117"/>
        <v>Sinapi 43482</v>
      </c>
      <c r="I1901" s="101" t="str">
        <f t="shared" si="118"/>
        <v>H</v>
      </c>
      <c r="J1901" s="140" t="str">
        <f t="shared" si="119"/>
        <v>EPI - FAMILIA ALMOXARIFE - HORISTA (ENCARGOS COMPLEMENTARES - COLETADO CAIXA)</v>
      </c>
    </row>
    <row r="1902" spans="1:10" x14ac:dyDescent="0.25">
      <c r="A1902" s="169">
        <v>43494</v>
      </c>
      <c r="B1902" s="169" t="s">
        <v>25319</v>
      </c>
      <c r="C1902" s="169" t="s">
        <v>10235</v>
      </c>
      <c r="D1902" s="169" t="s">
        <v>1288</v>
      </c>
      <c r="E1902" s="103" t="s">
        <v>18576</v>
      </c>
      <c r="F1902" s="104"/>
      <c r="G1902" s="105">
        <f t="shared" si="116"/>
        <v>140.69</v>
      </c>
      <c r="H1902" s="101" t="str">
        <f t="shared" si="117"/>
        <v>Sinapi 43494</v>
      </c>
      <c r="I1902" s="101" t="str">
        <f t="shared" si="118"/>
        <v>MES</v>
      </c>
      <c r="J1902" s="140" t="str">
        <f t="shared" si="119"/>
        <v>EPI - FAMILIA ALMOXARIFE - MENSALISTA (ENCARGOS COMPLEMENTARES - COLETADO CAIXA)</v>
      </c>
    </row>
    <row r="1903" spans="1:10" x14ac:dyDescent="0.25">
      <c r="A1903" s="169">
        <v>43483</v>
      </c>
      <c r="B1903" s="169" t="s">
        <v>25320</v>
      </c>
      <c r="C1903" s="169" t="s">
        <v>10228</v>
      </c>
      <c r="D1903" s="169" t="s">
        <v>1288</v>
      </c>
      <c r="E1903" s="103" t="s">
        <v>2738</v>
      </c>
      <c r="F1903" s="104"/>
      <c r="G1903" s="105">
        <f t="shared" si="116"/>
        <v>1.34</v>
      </c>
      <c r="H1903" s="101" t="str">
        <f t="shared" si="117"/>
        <v>Sinapi 43483</v>
      </c>
      <c r="I1903" s="101" t="str">
        <f t="shared" si="118"/>
        <v>H</v>
      </c>
      <c r="J1903" s="140" t="str">
        <f t="shared" si="119"/>
        <v>EPI - FAMILIA CARPINTEIRO DE FORMAS - HORISTA (ENCARGOS COMPLEMENTARES - COLETADO CAIXA)</v>
      </c>
    </row>
    <row r="1904" spans="1:10" x14ac:dyDescent="0.25">
      <c r="A1904" s="169">
        <v>43495</v>
      </c>
      <c r="B1904" s="169" t="s">
        <v>25321</v>
      </c>
      <c r="C1904" s="169" t="s">
        <v>10235</v>
      </c>
      <c r="D1904" s="169" t="s">
        <v>1288</v>
      </c>
      <c r="E1904" s="103" t="s">
        <v>18577</v>
      </c>
      <c r="F1904" s="104"/>
      <c r="G1904" s="105">
        <f t="shared" si="116"/>
        <v>253.46</v>
      </c>
      <c r="H1904" s="101" t="str">
        <f t="shared" si="117"/>
        <v>Sinapi 43495</v>
      </c>
      <c r="I1904" s="101" t="str">
        <f t="shared" si="118"/>
        <v>MES</v>
      </c>
      <c r="J1904" s="140" t="str">
        <f t="shared" si="119"/>
        <v>EPI - FAMILIA CARPINTEIRO DE FORMAS - MENSALISTA (ENCARGOS COMPLEMENTARES - COLETADO CAIXA)</v>
      </c>
    </row>
    <row r="1905" spans="1:10" x14ac:dyDescent="0.25">
      <c r="A1905" s="169">
        <v>43484</v>
      </c>
      <c r="B1905" s="169" t="s">
        <v>25322</v>
      </c>
      <c r="C1905" s="169" t="s">
        <v>10228</v>
      </c>
      <c r="D1905" s="169" t="s">
        <v>1288</v>
      </c>
      <c r="E1905" s="103" t="s">
        <v>3076</v>
      </c>
      <c r="F1905" s="104"/>
      <c r="G1905" s="105">
        <f t="shared" si="116"/>
        <v>1.1399999999999999</v>
      </c>
      <c r="H1905" s="101" t="str">
        <f t="shared" si="117"/>
        <v>Sinapi 43484</v>
      </c>
      <c r="I1905" s="101" t="str">
        <f t="shared" si="118"/>
        <v>H</v>
      </c>
      <c r="J1905" s="140" t="str">
        <f t="shared" si="119"/>
        <v>EPI - FAMILIA ELETRICISTA - HORISTA (ENCARGOS COMPLEMENTARES - COLETADO CAIXA)</v>
      </c>
    </row>
    <row r="1906" spans="1:10" x14ac:dyDescent="0.25">
      <c r="A1906" s="169">
        <v>43496</v>
      </c>
      <c r="B1906" s="169" t="s">
        <v>25323</v>
      </c>
      <c r="C1906" s="169" t="s">
        <v>10235</v>
      </c>
      <c r="D1906" s="169" t="s">
        <v>1288</v>
      </c>
      <c r="E1906" s="103" t="s">
        <v>18578</v>
      </c>
      <c r="F1906" s="104"/>
      <c r="G1906" s="105">
        <f t="shared" si="116"/>
        <v>214.4</v>
      </c>
      <c r="H1906" s="101" t="str">
        <f t="shared" si="117"/>
        <v>Sinapi 43496</v>
      </c>
      <c r="I1906" s="101" t="str">
        <f t="shared" si="118"/>
        <v>MES</v>
      </c>
      <c r="J1906" s="140" t="str">
        <f t="shared" si="119"/>
        <v>EPI - FAMILIA ELETRICISTA - MENSALISTA (ENCARGOS COMPLEMENTARES - COLETADO CAIXA)</v>
      </c>
    </row>
    <row r="1907" spans="1:10" x14ac:dyDescent="0.25">
      <c r="A1907" s="169">
        <v>43485</v>
      </c>
      <c r="B1907" s="169" t="s">
        <v>25324</v>
      </c>
      <c r="C1907" s="169" t="s">
        <v>10228</v>
      </c>
      <c r="D1907" s="169" t="s">
        <v>1288</v>
      </c>
      <c r="E1907" s="103" t="s">
        <v>17294</v>
      </c>
      <c r="F1907" s="104"/>
      <c r="G1907" s="105">
        <f t="shared" si="116"/>
        <v>1.01</v>
      </c>
      <c r="H1907" s="101" t="str">
        <f t="shared" si="117"/>
        <v>Sinapi 43485</v>
      </c>
      <c r="I1907" s="101" t="str">
        <f t="shared" si="118"/>
        <v>H</v>
      </c>
      <c r="J1907" s="140" t="str">
        <f t="shared" si="119"/>
        <v>EPI - FAMILIA ENCANADOR - HORISTA (ENCARGOS COMPLEMENTARES - COLETADO CAIXA)</v>
      </c>
    </row>
    <row r="1908" spans="1:10" x14ac:dyDescent="0.25">
      <c r="A1908" s="169">
        <v>43497</v>
      </c>
      <c r="B1908" s="169" t="s">
        <v>25325</v>
      </c>
      <c r="C1908" s="169" t="s">
        <v>10235</v>
      </c>
      <c r="D1908" s="169" t="s">
        <v>1288</v>
      </c>
      <c r="E1908" s="103" t="s">
        <v>18579</v>
      </c>
      <c r="F1908" s="104"/>
      <c r="G1908" s="105">
        <f t="shared" si="116"/>
        <v>189.52</v>
      </c>
      <c r="H1908" s="101" t="str">
        <f t="shared" si="117"/>
        <v>Sinapi 43497</v>
      </c>
      <c r="I1908" s="101" t="str">
        <f t="shared" si="118"/>
        <v>MES</v>
      </c>
      <c r="J1908" s="140" t="str">
        <f t="shared" si="119"/>
        <v>EPI - FAMILIA ENCANADOR - MENSALISTA (ENCARGOS COMPLEMENTARES - COLETADO CAIXA)</v>
      </c>
    </row>
    <row r="1909" spans="1:10" x14ac:dyDescent="0.25">
      <c r="A1909" s="169">
        <v>43487</v>
      </c>
      <c r="B1909" s="169" t="s">
        <v>25326</v>
      </c>
      <c r="C1909" s="169" t="s">
        <v>10228</v>
      </c>
      <c r="D1909" s="169" t="s">
        <v>1288</v>
      </c>
      <c r="E1909" s="103" t="s">
        <v>16300</v>
      </c>
      <c r="F1909" s="104"/>
      <c r="G1909" s="105">
        <f t="shared" si="116"/>
        <v>1.17</v>
      </c>
      <c r="H1909" s="101" t="str">
        <f t="shared" si="117"/>
        <v>Sinapi 43487</v>
      </c>
      <c r="I1909" s="101" t="str">
        <f t="shared" si="118"/>
        <v>H</v>
      </c>
      <c r="J1909" s="140" t="str">
        <f t="shared" si="119"/>
        <v>EPI - FAMILIA ENCARREGADO GERAL - HORISTA (ENCARGOS COMPLEMENTARES - COLETADO CAIXA)</v>
      </c>
    </row>
    <row r="1910" spans="1:10" x14ac:dyDescent="0.25">
      <c r="A1910" s="169">
        <v>43499</v>
      </c>
      <c r="B1910" s="169" t="s">
        <v>25327</v>
      </c>
      <c r="C1910" s="169" t="s">
        <v>10235</v>
      </c>
      <c r="D1910" s="169" t="s">
        <v>1288</v>
      </c>
      <c r="E1910" s="103" t="s">
        <v>18580</v>
      </c>
      <c r="F1910" s="104"/>
      <c r="G1910" s="105">
        <f t="shared" si="116"/>
        <v>221.51</v>
      </c>
      <c r="H1910" s="101" t="str">
        <f t="shared" si="117"/>
        <v>Sinapi 43499</v>
      </c>
      <c r="I1910" s="101" t="str">
        <f t="shared" si="118"/>
        <v>MES</v>
      </c>
      <c r="J1910" s="140" t="str">
        <f t="shared" si="119"/>
        <v>EPI - FAMILIA ENCARREGADO GERAL - MENSALISTA (ENCARGOS COMPLEMENTARES - COLETADO CAIXA)</v>
      </c>
    </row>
    <row r="1911" spans="1:10" x14ac:dyDescent="0.25">
      <c r="A1911" s="169">
        <v>43486</v>
      </c>
      <c r="B1911" s="169" t="s">
        <v>25328</v>
      </c>
      <c r="C1911" s="169" t="s">
        <v>10228</v>
      </c>
      <c r="D1911" s="169" t="s">
        <v>1288</v>
      </c>
      <c r="E1911" s="103" t="s">
        <v>14491</v>
      </c>
      <c r="F1911" s="104"/>
      <c r="G1911" s="105">
        <f t="shared" si="116"/>
        <v>0.71</v>
      </c>
      <c r="H1911" s="101" t="str">
        <f t="shared" si="117"/>
        <v>Sinapi 43486</v>
      </c>
      <c r="I1911" s="101" t="str">
        <f t="shared" si="118"/>
        <v>H</v>
      </c>
      <c r="J1911" s="140" t="str">
        <f t="shared" si="119"/>
        <v>EPI - FAMILIA ENGENHEIRO CIVIL - HORISTA (ENCARGOS COMPLEMENTARES - COLETADO CAIXA)</v>
      </c>
    </row>
    <row r="1912" spans="1:10" x14ac:dyDescent="0.25">
      <c r="A1912" s="169">
        <v>43498</v>
      </c>
      <c r="B1912" s="169" t="s">
        <v>25329</v>
      </c>
      <c r="C1912" s="169" t="s">
        <v>10235</v>
      </c>
      <c r="D1912" s="169" t="s">
        <v>1288</v>
      </c>
      <c r="E1912" s="103" t="s">
        <v>17971</v>
      </c>
      <c r="F1912" s="104"/>
      <c r="G1912" s="105">
        <f t="shared" si="116"/>
        <v>133.44999999999999</v>
      </c>
      <c r="H1912" s="101" t="str">
        <f t="shared" si="117"/>
        <v>Sinapi 43498</v>
      </c>
      <c r="I1912" s="101" t="str">
        <f t="shared" si="118"/>
        <v>MES</v>
      </c>
      <c r="J1912" s="140" t="str">
        <f t="shared" si="119"/>
        <v>EPI - FAMILIA ENGENHEIRO CIVIL - MENSALISTA (ENCARGOS COMPLEMENTARES - COLETADO CAIXA)</v>
      </c>
    </row>
    <row r="1913" spans="1:10" x14ac:dyDescent="0.25">
      <c r="A1913" s="169">
        <v>43488</v>
      </c>
      <c r="B1913" s="169" t="s">
        <v>25330</v>
      </c>
      <c r="C1913" s="169" t="s">
        <v>10228</v>
      </c>
      <c r="D1913" s="169" t="s">
        <v>1288</v>
      </c>
      <c r="E1913" s="103" t="s">
        <v>9636</v>
      </c>
      <c r="F1913" s="104"/>
      <c r="G1913" s="105">
        <f t="shared" si="116"/>
        <v>0.82</v>
      </c>
      <c r="H1913" s="101" t="str">
        <f t="shared" si="117"/>
        <v>Sinapi 43488</v>
      </c>
      <c r="I1913" s="101" t="str">
        <f t="shared" si="118"/>
        <v>H</v>
      </c>
      <c r="J1913" s="140" t="str">
        <f t="shared" si="119"/>
        <v>EPI - FAMILIA OPERADOR ESCAVADEIRA - HORISTA (ENCARGOS COMPLEMENTARES - COLETADO CAIXA)</v>
      </c>
    </row>
    <row r="1914" spans="1:10" x14ac:dyDescent="0.25">
      <c r="A1914" s="169">
        <v>43500</v>
      </c>
      <c r="B1914" s="169" t="s">
        <v>25331</v>
      </c>
      <c r="C1914" s="169" t="s">
        <v>10235</v>
      </c>
      <c r="D1914" s="169" t="s">
        <v>1288</v>
      </c>
      <c r="E1914" s="103" t="s">
        <v>18581</v>
      </c>
      <c r="F1914" s="104"/>
      <c r="G1914" s="105">
        <f t="shared" si="116"/>
        <v>154.53</v>
      </c>
      <c r="H1914" s="101" t="str">
        <f t="shared" si="117"/>
        <v>Sinapi 43500</v>
      </c>
      <c r="I1914" s="101" t="str">
        <f t="shared" si="118"/>
        <v>MES</v>
      </c>
      <c r="J1914" s="140" t="str">
        <f t="shared" si="119"/>
        <v>EPI - FAMILIA OPERADOR ESCAVADEIRA - MENSALISTA (ENCARGOS COMPLEMENTARES - COLETADO CAIXA)</v>
      </c>
    </row>
    <row r="1915" spans="1:10" x14ac:dyDescent="0.25">
      <c r="A1915" s="169">
        <v>43489</v>
      </c>
      <c r="B1915" s="169" t="s">
        <v>25332</v>
      </c>
      <c r="C1915" s="169" t="s">
        <v>10228</v>
      </c>
      <c r="D1915" s="169" t="s">
        <v>1288</v>
      </c>
      <c r="E1915" s="103" t="s">
        <v>16300</v>
      </c>
      <c r="F1915" s="104"/>
      <c r="G1915" s="105">
        <f t="shared" si="116"/>
        <v>1.17</v>
      </c>
      <c r="H1915" s="101" t="str">
        <f t="shared" si="117"/>
        <v>Sinapi 43489</v>
      </c>
      <c r="I1915" s="101" t="str">
        <f t="shared" si="118"/>
        <v>H</v>
      </c>
      <c r="J1915" s="140" t="str">
        <f t="shared" si="119"/>
        <v>EPI - FAMILIA PEDREIRO - HORISTA (ENCARGOS COMPLEMENTARES - COLETADO CAIXA)</v>
      </c>
    </row>
    <row r="1916" spans="1:10" x14ac:dyDescent="0.25">
      <c r="A1916" s="169">
        <v>43501</v>
      </c>
      <c r="B1916" s="169" t="s">
        <v>25333</v>
      </c>
      <c r="C1916" s="169" t="s">
        <v>10235</v>
      </c>
      <c r="D1916" s="169" t="s">
        <v>1288</v>
      </c>
      <c r="E1916" s="103" t="s">
        <v>18582</v>
      </c>
      <c r="F1916" s="104"/>
      <c r="G1916" s="105">
        <f t="shared" si="116"/>
        <v>220.75</v>
      </c>
      <c r="H1916" s="101" t="str">
        <f t="shared" si="117"/>
        <v>Sinapi 43501</v>
      </c>
      <c r="I1916" s="101" t="str">
        <f t="shared" si="118"/>
        <v>MES</v>
      </c>
      <c r="J1916" s="140" t="str">
        <f t="shared" si="119"/>
        <v>EPI - FAMILIA PEDREIRO - MENSALISTA (ENCARGOS COMPLEMENTARES - COLETADO CAIXA)</v>
      </c>
    </row>
    <row r="1917" spans="1:10" x14ac:dyDescent="0.25">
      <c r="A1917" s="169">
        <v>43490</v>
      </c>
      <c r="B1917" s="169" t="s">
        <v>25334</v>
      </c>
      <c r="C1917" s="169" t="s">
        <v>10228</v>
      </c>
      <c r="D1917" s="169" t="s">
        <v>1288</v>
      </c>
      <c r="E1917" s="103" t="s">
        <v>17395</v>
      </c>
      <c r="F1917" s="104"/>
      <c r="G1917" s="105">
        <f t="shared" si="116"/>
        <v>1.68</v>
      </c>
      <c r="H1917" s="101" t="str">
        <f t="shared" si="117"/>
        <v>Sinapi 43490</v>
      </c>
      <c r="I1917" s="101" t="str">
        <f t="shared" si="118"/>
        <v>H</v>
      </c>
      <c r="J1917" s="140" t="str">
        <f t="shared" si="119"/>
        <v>EPI - FAMILIA PINTOR - HORISTA (ENCARGOS COMPLEMENTARES - COLETADO CAIXA)</v>
      </c>
    </row>
    <row r="1918" spans="1:10" x14ac:dyDescent="0.25">
      <c r="A1918" s="169">
        <v>43502</v>
      </c>
      <c r="B1918" s="169" t="s">
        <v>25335</v>
      </c>
      <c r="C1918" s="169" t="s">
        <v>10235</v>
      </c>
      <c r="D1918" s="169" t="s">
        <v>1288</v>
      </c>
      <c r="E1918" s="103" t="s">
        <v>18583</v>
      </c>
      <c r="F1918" s="104"/>
      <c r="G1918" s="105">
        <f t="shared" si="116"/>
        <v>316.25</v>
      </c>
      <c r="H1918" s="101" t="str">
        <f t="shared" si="117"/>
        <v>Sinapi 43502</v>
      </c>
      <c r="I1918" s="101" t="str">
        <f t="shared" si="118"/>
        <v>MES</v>
      </c>
      <c r="J1918" s="140" t="str">
        <f t="shared" si="119"/>
        <v>EPI - FAMILIA PINTOR - MENSALISTA (ENCARGOS COMPLEMENTARES - COLETADO CAIXA)</v>
      </c>
    </row>
    <row r="1919" spans="1:10" x14ac:dyDescent="0.25">
      <c r="A1919" s="169">
        <v>43491</v>
      </c>
      <c r="B1919" s="169" t="s">
        <v>25336</v>
      </c>
      <c r="C1919" s="169" t="s">
        <v>10228</v>
      </c>
      <c r="D1919" s="169" t="s">
        <v>1288</v>
      </c>
      <c r="E1919" s="103" t="s">
        <v>16199</v>
      </c>
      <c r="F1919" s="104"/>
      <c r="G1919" s="105">
        <f t="shared" si="116"/>
        <v>1.25</v>
      </c>
      <c r="H1919" s="101" t="str">
        <f t="shared" si="117"/>
        <v>Sinapi 43491</v>
      </c>
      <c r="I1919" s="101" t="str">
        <f t="shared" si="118"/>
        <v>H</v>
      </c>
      <c r="J1919" s="140" t="str">
        <f t="shared" si="119"/>
        <v>EPI - FAMILIA SERVENTE - HORISTA (ENCARGOS COMPLEMENTARES - COLETADO CAIXA)</v>
      </c>
    </row>
    <row r="1920" spans="1:10" x14ac:dyDescent="0.25">
      <c r="A1920" s="169">
        <v>43503</v>
      </c>
      <c r="B1920" s="169" t="s">
        <v>25337</v>
      </c>
      <c r="C1920" s="169" t="s">
        <v>10235</v>
      </c>
      <c r="D1920" s="169" t="s">
        <v>1288</v>
      </c>
      <c r="E1920" s="103" t="s">
        <v>18584</v>
      </c>
      <c r="F1920" s="104"/>
      <c r="G1920" s="105">
        <f t="shared" si="116"/>
        <v>235.5</v>
      </c>
      <c r="H1920" s="101" t="str">
        <f t="shared" si="117"/>
        <v>Sinapi 43503</v>
      </c>
      <c r="I1920" s="101" t="str">
        <f t="shared" si="118"/>
        <v>MES</v>
      </c>
      <c r="J1920" s="140" t="str">
        <f t="shared" si="119"/>
        <v>EPI - FAMILIA SERVENTE - MENSALISTA (ENCARGOS COMPLEMENTARES - COLETADO CAIXA)</v>
      </c>
    </row>
    <row r="1921" spans="1:10" x14ac:dyDescent="0.25">
      <c r="A1921" s="169">
        <v>43492</v>
      </c>
      <c r="B1921" s="169" t="s">
        <v>25338</v>
      </c>
      <c r="C1921" s="169" t="s">
        <v>10228</v>
      </c>
      <c r="D1921" s="169" t="s">
        <v>1288</v>
      </c>
      <c r="E1921" s="103" t="s">
        <v>17395</v>
      </c>
      <c r="F1921" s="104"/>
      <c r="G1921" s="105">
        <f t="shared" si="116"/>
        <v>1.68</v>
      </c>
      <c r="H1921" s="101" t="str">
        <f t="shared" si="117"/>
        <v>Sinapi 43492</v>
      </c>
      <c r="I1921" s="101" t="str">
        <f t="shared" si="118"/>
        <v>H</v>
      </c>
      <c r="J1921" s="140" t="str">
        <f t="shared" si="119"/>
        <v>EPI - FAMILIA SOLDADOR - HORISTA (ENCARGOS COMPLEMENTARES - COLETADO CAIXA)</v>
      </c>
    </row>
    <row r="1922" spans="1:10" x14ac:dyDescent="0.25">
      <c r="A1922" s="169">
        <v>43504</v>
      </c>
      <c r="B1922" s="169" t="s">
        <v>25339</v>
      </c>
      <c r="C1922" s="169" t="s">
        <v>10235</v>
      </c>
      <c r="D1922" s="169" t="s">
        <v>1288</v>
      </c>
      <c r="E1922" s="103" t="s">
        <v>18585</v>
      </c>
      <c r="F1922" s="104"/>
      <c r="G1922" s="105">
        <f t="shared" si="116"/>
        <v>317.67</v>
      </c>
      <c r="H1922" s="101" t="str">
        <f t="shared" si="117"/>
        <v>Sinapi 43504</v>
      </c>
      <c r="I1922" s="101" t="str">
        <f t="shared" si="118"/>
        <v>MES</v>
      </c>
      <c r="J1922" s="140" t="str">
        <f t="shared" si="119"/>
        <v>EPI - FAMILIA SOLDADOR - MENSALISTA (ENCARGOS COMPLEMENTARES - COLETADO CAIXA)</v>
      </c>
    </row>
    <row r="1923" spans="1:10" x14ac:dyDescent="0.25">
      <c r="A1923" s="169">
        <v>43493</v>
      </c>
      <c r="B1923" s="169" t="s">
        <v>25340</v>
      </c>
      <c r="C1923" s="169" t="s">
        <v>10228</v>
      </c>
      <c r="D1923" s="169" t="s">
        <v>1288</v>
      </c>
      <c r="E1923" s="103" t="s">
        <v>18575</v>
      </c>
      <c r="F1923" s="104"/>
      <c r="G1923" s="105">
        <f t="shared" si="116"/>
        <v>0.67</v>
      </c>
      <c r="H1923" s="101" t="str">
        <f t="shared" si="117"/>
        <v>Sinapi 43493</v>
      </c>
      <c r="I1923" s="101" t="str">
        <f t="shared" si="118"/>
        <v>H</v>
      </c>
      <c r="J1923" s="140" t="str">
        <f t="shared" si="119"/>
        <v>EPI - FAMILIA TOPOGRAFO - HORISTA (ENCARGOS COMPLEMENTARES - COLETADO CAIXA)</v>
      </c>
    </row>
    <row r="1924" spans="1:10" x14ac:dyDescent="0.25">
      <c r="A1924" s="169">
        <v>43505</v>
      </c>
      <c r="B1924" s="169" t="s">
        <v>25341</v>
      </c>
      <c r="C1924" s="169" t="s">
        <v>10235</v>
      </c>
      <c r="D1924" s="169" t="s">
        <v>1288</v>
      </c>
      <c r="E1924" s="103" t="s">
        <v>18312</v>
      </c>
      <c r="F1924" s="104"/>
      <c r="G1924" s="105">
        <f t="shared" si="116"/>
        <v>126.7</v>
      </c>
      <c r="H1924" s="101" t="str">
        <f t="shared" si="117"/>
        <v>Sinapi 43505</v>
      </c>
      <c r="I1924" s="101" t="str">
        <f t="shared" si="118"/>
        <v>MES</v>
      </c>
      <c r="J1924" s="140" t="str">
        <f t="shared" si="119"/>
        <v>EPI - FAMILIA TOPOGRAFO - MENSALISTA (ENCARGOS COMPLEMENTARES - COLETADO CAIXA)</v>
      </c>
    </row>
    <row r="1925" spans="1:10" x14ac:dyDescent="0.25">
      <c r="A1925" s="169">
        <v>37774</v>
      </c>
      <c r="B1925" s="169" t="s">
        <v>25342</v>
      </c>
      <c r="C1925" s="169" t="s">
        <v>10225</v>
      </c>
      <c r="D1925" s="169" t="s">
        <v>1290</v>
      </c>
      <c r="E1925" s="103" t="s">
        <v>19839</v>
      </c>
      <c r="F1925" s="104"/>
      <c r="G1925" s="105">
        <f t="shared" si="116"/>
        <v>450184.09</v>
      </c>
      <c r="H1925" s="101" t="str">
        <f t="shared" si="117"/>
        <v>Sinapi 37774</v>
      </c>
      <c r="I1925" s="101" t="str">
        <f t="shared" si="118"/>
        <v>UN</v>
      </c>
      <c r="J1925" s="140" t="str">
        <f t="shared" si="119"/>
        <v>EQUIPAMENTO DE LIMPEZA COMBINADO (VACUO/ALTA PRESSAO) 95% VACUO, TANQUE 7000 L, BOMBA 140 KGF/CM2 66 L/MIN COM MOTOR INDEPENDENTE A DIESEL DE 60 CV (INCLUI MONTAGEM, NAO INCLUI CAMINHAO)</v>
      </c>
    </row>
    <row r="1926" spans="1:10" x14ac:dyDescent="0.25">
      <c r="A1926" s="169">
        <v>38629</v>
      </c>
      <c r="B1926" s="169" t="s">
        <v>25343</v>
      </c>
      <c r="C1926" s="169" t="s">
        <v>10225</v>
      </c>
      <c r="D1926" s="169" t="s">
        <v>1290</v>
      </c>
      <c r="E1926" s="103" t="s">
        <v>30353</v>
      </c>
      <c r="F1926" s="104"/>
      <c r="G1926" s="105">
        <f t="shared" si="116"/>
        <v>2640878.9</v>
      </c>
      <c r="H1926" s="101" t="str">
        <f t="shared" si="117"/>
        <v>Sinapi 38629</v>
      </c>
      <c r="I1926" s="101" t="str">
        <f t="shared" si="118"/>
        <v>UN</v>
      </c>
      <c r="J1926" s="140" t="str">
        <f t="shared" si="119"/>
        <v>EQUIPAMENTO P/ DEMARCACAO DE FAIXAS DE TRAFEGO A QUENTE, A SER MONTADO SOBRE CAMINHAO DE PBT MIN. DE 17 T, DIST. MIN. ENTRE EIXOS 5,2 M, CAPACIDADE PARA 1.000 KG DE MATERIAL TERMOPLASTICO (INCLUI MONTAGEM, NAO INCLUI CAMINHAO, NEM COMPRESSOR DE AR)</v>
      </c>
    </row>
    <row r="1927" spans="1:10" x14ac:dyDescent="0.25">
      <c r="A1927" s="169">
        <v>38630</v>
      </c>
      <c r="B1927" s="169" t="s">
        <v>25344</v>
      </c>
      <c r="C1927" s="169" t="s">
        <v>10225</v>
      </c>
      <c r="D1927" s="169" t="s">
        <v>1290</v>
      </c>
      <c r="E1927" s="103" t="s">
        <v>30354</v>
      </c>
      <c r="F1927" s="104"/>
      <c r="G1927" s="105">
        <f t="shared" si="116"/>
        <v>1774128.9</v>
      </c>
      <c r="H1927" s="101" t="str">
        <f t="shared" si="117"/>
        <v>Sinapi 38630</v>
      </c>
      <c r="I1927" s="101" t="str">
        <f t="shared" si="118"/>
        <v>UN</v>
      </c>
      <c r="J1927" s="140" t="str">
        <f t="shared" si="119"/>
        <v>EQUIPAMENTO PARA DEMARCACAO DE FAIXAS DE TRAFEGO A FRIO, A SER MONTADO SOBRE CAMINHAO DE PBT MINIMO DE 9 T E DISTANCIA MINIMA ENTRE EIXOS DE 4,3 M, CAPACIDADE PARA 800 L DE TINTA (INCLUI MONTAGEM, NAO INCLUI CAMINHAO)</v>
      </c>
    </row>
    <row r="1928" spans="1:10" x14ac:dyDescent="0.25">
      <c r="A1928" s="169">
        <v>38476</v>
      </c>
      <c r="B1928" s="169" t="s">
        <v>25345</v>
      </c>
      <c r="C1928" s="169" t="s">
        <v>10225</v>
      </c>
      <c r="D1928" s="169" t="s">
        <v>1289</v>
      </c>
      <c r="E1928" s="103" t="s">
        <v>30355</v>
      </c>
      <c r="F1928" s="104"/>
      <c r="G1928" s="105">
        <f t="shared" ref="G1928:G1991" si="120">IF(E1928="","",E1928+0)</f>
        <v>508.17</v>
      </c>
      <c r="H1928" s="101" t="str">
        <f t="shared" ref="H1928:H1991" si="121">IF(G1928="","",TRIM(CONCATENATE("Sinapi ",A1928)))</f>
        <v>Sinapi 38476</v>
      </c>
      <c r="I1928" s="101" t="str">
        <f t="shared" ref="I1928:I1991" si="122">TRIM(C1928)</f>
        <v>UN</v>
      </c>
      <c r="J1928" s="140" t="str">
        <f t="shared" si="119"/>
        <v>ESCADA DUPLA DE ABRIR EM ALUMINIO, MODELO PINTOR, 8 DEGRAUS</v>
      </c>
    </row>
    <row r="1929" spans="1:10" x14ac:dyDescent="0.25">
      <c r="A1929" s="169">
        <v>38477</v>
      </c>
      <c r="B1929" s="169" t="s">
        <v>25346</v>
      </c>
      <c r="C1929" s="169" t="s">
        <v>10225</v>
      </c>
      <c r="D1929" s="169" t="s">
        <v>1289</v>
      </c>
      <c r="E1929" s="103" t="s">
        <v>30356</v>
      </c>
      <c r="F1929" s="104"/>
      <c r="G1929" s="105">
        <f t="shared" si="120"/>
        <v>1439.15</v>
      </c>
      <c r="H1929" s="101" t="str">
        <f t="shared" si="121"/>
        <v>Sinapi 38477</v>
      </c>
      <c r="I1929" s="101" t="str">
        <f t="shared" si="122"/>
        <v>UN</v>
      </c>
      <c r="J1929" s="140" t="str">
        <f t="shared" ref="J1929:J1992" si="123">TRIM(B1929)</f>
        <v>ESCADA EXTENSIVEL EM ALUMINIO COM 6,00 M ESTENDIDA</v>
      </c>
    </row>
    <row r="1930" spans="1:10" x14ac:dyDescent="0.25">
      <c r="A1930" s="169">
        <v>40635</v>
      </c>
      <c r="B1930" s="169" t="s">
        <v>25347</v>
      </c>
      <c r="C1930" s="169" t="s">
        <v>10225</v>
      </c>
      <c r="D1930" s="169" t="s">
        <v>1290</v>
      </c>
      <c r="E1930" s="103" t="s">
        <v>30357</v>
      </c>
      <c r="F1930" s="104"/>
      <c r="G1930" s="105">
        <f t="shared" si="120"/>
        <v>949298.95</v>
      </c>
      <c r="H1930" s="101" t="str">
        <f t="shared" si="121"/>
        <v>Sinapi 40635</v>
      </c>
      <c r="I1930" s="101" t="str">
        <f t="shared" si="122"/>
        <v>UN</v>
      </c>
      <c r="J1930" s="140" t="str">
        <f t="shared" si="123"/>
        <v>ESCAVADEIRA HIDRAULICA SOBRE ESTEIRA, COM GARRA GIRATORIA DE MANDIBULAS, PESO OPERACIONAL ENTRE 22,00 E 25,50 TON, POTENCIA LIQUIDA ENTRE 150 E 160 HP</v>
      </c>
    </row>
    <row r="1931" spans="1:10" x14ac:dyDescent="0.25">
      <c r="A1931" s="169">
        <v>36483</v>
      </c>
      <c r="B1931" s="169" t="s">
        <v>25348</v>
      </c>
      <c r="C1931" s="169" t="s">
        <v>10225</v>
      </c>
      <c r="D1931" s="169" t="s">
        <v>1290</v>
      </c>
      <c r="E1931" s="103" t="s">
        <v>30358</v>
      </c>
      <c r="F1931" s="104"/>
      <c r="G1931" s="105">
        <f t="shared" si="120"/>
        <v>860216.91</v>
      </c>
      <c r="H1931" s="101" t="str">
        <f t="shared" si="121"/>
        <v>Sinapi 36483</v>
      </c>
      <c r="I1931" s="101" t="str">
        <f t="shared" si="122"/>
        <v>UN</v>
      </c>
      <c r="J1931" s="140" t="str">
        <f t="shared" si="123"/>
        <v>ESCAVADEIRA HIDRAULICA SOBRE ESTEIRAS CACAMBA 0,40 A 1,20 M3, PESO OPERACIONAL 21,19 T, POTENCIA LIQUIDA 173 HP</v>
      </c>
    </row>
    <row r="1932" spans="1:10" x14ac:dyDescent="0.25">
      <c r="A1932" s="169">
        <v>14525</v>
      </c>
      <c r="B1932" s="169" t="s">
        <v>25349</v>
      </c>
      <c r="C1932" s="169" t="s">
        <v>10225</v>
      </c>
      <c r="D1932" s="169" t="s">
        <v>1290</v>
      </c>
      <c r="E1932" s="103" t="s">
        <v>30359</v>
      </c>
      <c r="F1932" s="104"/>
      <c r="G1932" s="105">
        <f t="shared" si="120"/>
        <v>900697.71</v>
      </c>
      <c r="H1932" s="101" t="str">
        <f t="shared" si="121"/>
        <v>Sinapi 14525</v>
      </c>
      <c r="I1932" s="101" t="str">
        <f t="shared" si="122"/>
        <v>UN</v>
      </c>
      <c r="J1932" s="140" t="str">
        <f t="shared" si="123"/>
        <v>ESCAVADEIRA HIDRAULICA SOBRE ESTEIRAS COM CACAMBA DE 1,20 M3, PESO OPERACIONAL 21 T, POTENCIA BRUTA 155 HP</v>
      </c>
    </row>
    <row r="1933" spans="1:10" x14ac:dyDescent="0.25">
      <c r="A1933" s="169">
        <v>36482</v>
      </c>
      <c r="B1933" s="169" t="s">
        <v>25350</v>
      </c>
      <c r="C1933" s="169" t="s">
        <v>10225</v>
      </c>
      <c r="D1933" s="169" t="s">
        <v>1290</v>
      </c>
      <c r="E1933" s="103" t="s">
        <v>30360</v>
      </c>
      <c r="F1933" s="104"/>
      <c r="G1933" s="105">
        <f t="shared" si="120"/>
        <v>772473.73</v>
      </c>
      <c r="H1933" s="101" t="str">
        <f t="shared" si="121"/>
        <v>Sinapi 36482</v>
      </c>
      <c r="I1933" s="101" t="str">
        <f t="shared" si="122"/>
        <v>UN</v>
      </c>
      <c r="J1933" s="140" t="str">
        <f t="shared" si="123"/>
        <v>ESCAVADEIRA HIDRAULICA SOBRE ESTEIRAS, CACAMBA 0,80 M3, PESO OPERACIONAL 17,8 T, POTENCIA LIQUIDA 110 HP</v>
      </c>
    </row>
    <row r="1934" spans="1:10" x14ac:dyDescent="0.25">
      <c r="A1934" s="169">
        <v>36408</v>
      </c>
      <c r="B1934" s="169" t="s">
        <v>25351</v>
      </c>
      <c r="C1934" s="169" t="s">
        <v>10225</v>
      </c>
      <c r="D1934" s="169" t="s">
        <v>1290</v>
      </c>
      <c r="E1934" s="103" t="s">
        <v>30361</v>
      </c>
      <c r="F1934" s="104"/>
      <c r="G1934" s="105">
        <f t="shared" si="120"/>
        <v>922962.14</v>
      </c>
      <c r="H1934" s="101" t="str">
        <f t="shared" si="121"/>
        <v>Sinapi 36408</v>
      </c>
      <c r="I1934" s="101" t="str">
        <f t="shared" si="122"/>
        <v>UN</v>
      </c>
      <c r="J1934" s="140" t="str">
        <f t="shared" si="123"/>
        <v>ESCAVADEIRA HIDRAULICA SOBRE ESTEIRAS, CACAMBA 0,4 A 1,70 M3, PESO OPERACIONAL 23,2 T, POTENCIA BRUTA 183 HP</v>
      </c>
    </row>
    <row r="1935" spans="1:10" x14ac:dyDescent="0.25">
      <c r="A1935" s="169">
        <v>2723</v>
      </c>
      <c r="B1935" s="169" t="s">
        <v>25352</v>
      </c>
      <c r="C1935" s="169" t="s">
        <v>10225</v>
      </c>
      <c r="D1935" s="169" t="s">
        <v>1290</v>
      </c>
      <c r="E1935" s="103" t="s">
        <v>30362</v>
      </c>
      <c r="F1935" s="104"/>
      <c r="G1935" s="105">
        <f t="shared" si="120"/>
        <v>708413.93</v>
      </c>
      <c r="H1935" s="101" t="str">
        <f t="shared" si="121"/>
        <v>Sinapi 2723</v>
      </c>
      <c r="I1935" s="101" t="str">
        <f t="shared" si="122"/>
        <v>UN</v>
      </c>
      <c r="J1935" s="140" t="str">
        <f t="shared" si="123"/>
        <v>ESCAVADEIRA HIDRAULICA SOBRE ESTEIRAS, CACAMBA 0,62M3, PESO OPERACIONAL 12,61T, POTENCIA LIQUIDA 95HP</v>
      </c>
    </row>
    <row r="1936" spans="1:10" x14ac:dyDescent="0.25">
      <c r="A1936" s="169">
        <v>36481</v>
      </c>
      <c r="B1936" s="169" t="s">
        <v>25353</v>
      </c>
      <c r="C1936" s="169" t="s">
        <v>10225</v>
      </c>
      <c r="D1936" s="169" t="s">
        <v>1290</v>
      </c>
      <c r="E1936" s="103" t="s">
        <v>30363</v>
      </c>
      <c r="F1936" s="104"/>
      <c r="G1936" s="105">
        <f t="shared" si="120"/>
        <v>845036.61</v>
      </c>
      <c r="H1936" s="101" t="str">
        <f t="shared" si="121"/>
        <v>Sinapi 36481</v>
      </c>
      <c r="I1936" s="101" t="str">
        <f t="shared" si="122"/>
        <v>UN</v>
      </c>
      <c r="J1936" s="140" t="str">
        <f t="shared" si="123"/>
        <v>ESCAVADEIRA HIDRAULICA SOBRE ESTEIRAS, CACAMBA 0,80 A 1,30 M3, PESO OPERACIONAL 22,18 T, POTENCIA LIQUIDA 170 HP</v>
      </c>
    </row>
    <row r="1937" spans="1:10" x14ac:dyDescent="0.25">
      <c r="A1937" s="169">
        <v>10685</v>
      </c>
      <c r="B1937" s="169" t="s">
        <v>25354</v>
      </c>
      <c r="C1937" s="169" t="s">
        <v>10225</v>
      </c>
      <c r="D1937" s="169" t="s">
        <v>1290</v>
      </c>
      <c r="E1937" s="103" t="s">
        <v>30364</v>
      </c>
      <c r="F1937" s="104"/>
      <c r="G1937" s="105">
        <f t="shared" si="120"/>
        <v>809615.92</v>
      </c>
      <c r="H1937" s="101" t="str">
        <f t="shared" si="121"/>
        <v>Sinapi 10685</v>
      </c>
      <c r="I1937" s="101" t="str">
        <f t="shared" si="122"/>
        <v>UN</v>
      </c>
      <c r="J1937" s="140" t="str">
        <f t="shared" si="123"/>
        <v>ESCAVADEIRA HIDRAULICA SOBRE ESTEIRAS, CACAMBA 0,80M3, PESO OPERACIONAL 17T, POTENCIA BRUTA 111HP</v>
      </c>
    </row>
    <row r="1938" spans="1:10" x14ac:dyDescent="0.25">
      <c r="A1938" s="169">
        <v>40636</v>
      </c>
      <c r="B1938" s="169" t="s">
        <v>25355</v>
      </c>
      <c r="C1938" s="169" t="s">
        <v>10225</v>
      </c>
      <c r="D1938" s="169" t="s">
        <v>1290</v>
      </c>
      <c r="E1938" s="103" t="s">
        <v>30365</v>
      </c>
      <c r="F1938" s="104"/>
      <c r="G1938" s="105">
        <f t="shared" si="120"/>
        <v>913878.25</v>
      </c>
      <c r="H1938" s="101" t="str">
        <f t="shared" si="121"/>
        <v>Sinapi 40636</v>
      </c>
      <c r="I1938" s="101" t="str">
        <f t="shared" si="122"/>
        <v>UN</v>
      </c>
      <c r="J1938" s="140" t="str">
        <f t="shared" si="123"/>
        <v>ESCAVADEIRA HIDRAULICA SOBRE ESTEIRAS, CAPACIDADE DA CACAMBA ENTRE 1,20 E 1,50 M3, PESO OPERACIONAL ENTRE 20,00 E 22,00 TON, POTENCIA LIQUIDA ENTRE 150 E 155 HP, EQUIPADA COM CLAMSHELL</v>
      </c>
    </row>
    <row r="1939" spans="1:10" x14ac:dyDescent="0.25">
      <c r="A1939" s="169">
        <v>4111</v>
      </c>
      <c r="B1939" s="169" t="s">
        <v>25356</v>
      </c>
      <c r="C1939" s="169" t="s">
        <v>10225</v>
      </c>
      <c r="D1939" s="169" t="s">
        <v>1289</v>
      </c>
      <c r="E1939" s="103" t="s">
        <v>30366</v>
      </c>
      <c r="F1939" s="104"/>
      <c r="G1939" s="105">
        <f t="shared" si="120"/>
        <v>76.86</v>
      </c>
      <c r="H1939" s="101" t="str">
        <f t="shared" si="121"/>
        <v>Sinapi 4111</v>
      </c>
      <c r="I1939" s="101" t="str">
        <f t="shared" si="122"/>
        <v>UN</v>
      </c>
      <c r="J1939" s="140" t="str">
        <f t="shared" si="123"/>
        <v>ESCORA PRE-MOLDADA EM CONCRETO, *10 X 10* CM, H = 2,30M</v>
      </c>
    </row>
    <row r="1940" spans="1:10" x14ac:dyDescent="0.25">
      <c r="A1940" s="169">
        <v>44538</v>
      </c>
      <c r="B1940" s="169" t="s">
        <v>25357</v>
      </c>
      <c r="C1940" s="169" t="s">
        <v>10225</v>
      </c>
      <c r="D1940" s="169" t="s">
        <v>1289</v>
      </c>
      <c r="E1940" s="103" t="s">
        <v>30367</v>
      </c>
      <c r="F1940" s="104"/>
      <c r="G1940" s="105">
        <f t="shared" si="120"/>
        <v>61.33</v>
      </c>
      <c r="H1940" s="101" t="str">
        <f t="shared" si="121"/>
        <v>Sinapi 44538</v>
      </c>
      <c r="I1940" s="101" t="str">
        <f t="shared" si="122"/>
        <v>UN</v>
      </c>
      <c r="J1940" s="140" t="str">
        <f t="shared" si="123"/>
        <v>ESCOVA CIRCULAR EM ACO LATONADO, 6 X 1 " (DIAMETRO X ESPESSURA), FURO DE 1 1/4 ", FIO ONDULADO *0,30* MM</v>
      </c>
    </row>
    <row r="1941" spans="1:10" x14ac:dyDescent="0.25">
      <c r="A1941" s="169">
        <v>12</v>
      </c>
      <c r="B1941" s="169" t="s">
        <v>25358</v>
      </c>
      <c r="C1941" s="169" t="s">
        <v>10225</v>
      </c>
      <c r="D1941" s="169" t="s">
        <v>1288</v>
      </c>
      <c r="E1941" s="103" t="s">
        <v>15775</v>
      </c>
      <c r="F1941" s="104"/>
      <c r="G1941" s="105">
        <f t="shared" si="120"/>
        <v>19</v>
      </c>
      <c r="H1941" s="101" t="str">
        <f t="shared" si="121"/>
        <v>Sinapi 12</v>
      </c>
      <c r="I1941" s="101" t="str">
        <f t="shared" si="122"/>
        <v>UN</v>
      </c>
      <c r="J1941" s="140" t="str">
        <f t="shared" si="123"/>
        <v>ESCOVA DE ACO, COM CABO, *4 X 15* FILEIRAS DE CERDAS</v>
      </c>
    </row>
    <row r="1942" spans="1:10" x14ac:dyDescent="0.25">
      <c r="A1942" s="169">
        <v>37554</v>
      </c>
      <c r="B1942" s="169" t="s">
        <v>25359</v>
      </c>
      <c r="C1942" s="169" t="s">
        <v>10225</v>
      </c>
      <c r="D1942" s="169" t="s">
        <v>1289</v>
      </c>
      <c r="E1942" s="103" t="s">
        <v>24782</v>
      </c>
      <c r="F1942" s="104"/>
      <c r="G1942" s="105">
        <f t="shared" si="120"/>
        <v>183.67</v>
      </c>
      <c r="H1942" s="101" t="str">
        <f t="shared" si="121"/>
        <v>Sinapi 37554</v>
      </c>
      <c r="I1942" s="101" t="str">
        <f t="shared" si="122"/>
        <v>UN</v>
      </c>
      <c r="J1942" s="140" t="str">
        <f t="shared" si="123"/>
        <v>ESGUICHO JATO REGULAVEL, TIPO ELKHART, ENGATE RAPIDO 1 1/2", PARA COMBATE A INCENDIO</v>
      </c>
    </row>
    <row r="1943" spans="1:10" x14ac:dyDescent="0.25">
      <c r="A1943" s="169">
        <v>37555</v>
      </c>
      <c r="B1943" s="169" t="s">
        <v>25360</v>
      </c>
      <c r="C1943" s="169" t="s">
        <v>10225</v>
      </c>
      <c r="D1943" s="169" t="s">
        <v>1289</v>
      </c>
      <c r="E1943" s="103" t="s">
        <v>30368</v>
      </c>
      <c r="F1943" s="104"/>
      <c r="G1943" s="105">
        <f t="shared" si="120"/>
        <v>223.42</v>
      </c>
      <c r="H1943" s="101" t="str">
        <f t="shared" si="121"/>
        <v>Sinapi 37555</v>
      </c>
      <c r="I1943" s="101" t="str">
        <f t="shared" si="122"/>
        <v>UN</v>
      </c>
      <c r="J1943" s="140" t="str">
        <f t="shared" si="123"/>
        <v>ESGUICHO JATO REGULAVEL, TIPO ELKHART, ENGATE RAPIDO 2 1/2", PARA COMBATE A INCENDIO</v>
      </c>
    </row>
    <row r="1944" spans="1:10" x14ac:dyDescent="0.25">
      <c r="A1944" s="169">
        <v>10902</v>
      </c>
      <c r="B1944" s="169" t="s">
        <v>25362</v>
      </c>
      <c r="C1944" s="169" t="s">
        <v>10225</v>
      </c>
      <c r="D1944" s="169" t="s">
        <v>1289</v>
      </c>
      <c r="E1944" s="103" t="s">
        <v>30369</v>
      </c>
      <c r="F1944" s="104"/>
      <c r="G1944" s="105">
        <f t="shared" si="120"/>
        <v>56.06</v>
      </c>
      <c r="H1944" s="101" t="str">
        <f t="shared" si="121"/>
        <v>Sinapi 10902</v>
      </c>
      <c r="I1944" s="101" t="str">
        <f t="shared" si="122"/>
        <v>UN</v>
      </c>
      <c r="J1944" s="140" t="str">
        <f t="shared" si="123"/>
        <v>ESGUICHO TIPO JATO SOLIDO, EM LATAO, ENGATE RAPIDO 1 1/2" X 13 MM, PARA MANGUEIRA EM INSTALACAO PREDIAL COMBATE A INCENDIO</v>
      </c>
    </row>
    <row r="1945" spans="1:10" x14ac:dyDescent="0.25">
      <c r="A1945" s="169">
        <v>20965</v>
      </c>
      <c r="B1945" s="169" t="s">
        <v>25363</v>
      </c>
      <c r="C1945" s="169" t="s">
        <v>10225</v>
      </c>
      <c r="D1945" s="169" t="s">
        <v>1289</v>
      </c>
      <c r="E1945" s="103" t="s">
        <v>21343</v>
      </c>
      <c r="F1945" s="104"/>
      <c r="G1945" s="105">
        <f t="shared" si="120"/>
        <v>56.58</v>
      </c>
      <c r="H1945" s="101" t="str">
        <f t="shared" si="121"/>
        <v>Sinapi 20965</v>
      </c>
      <c r="I1945" s="101" t="str">
        <f t="shared" si="122"/>
        <v>UN</v>
      </c>
      <c r="J1945" s="140" t="str">
        <f t="shared" si="123"/>
        <v>ESGUICHO TIPO JATO SOLIDO, EM LATAO, ENGATE RAPIDO 1 1/2" X 16 MM, PARA MANGUEIRA EM INSTALACAO PREDIAL COMBATE A INCENDIO</v>
      </c>
    </row>
    <row r="1946" spans="1:10" x14ac:dyDescent="0.25">
      <c r="A1946" s="169">
        <v>20966</v>
      </c>
      <c r="B1946" s="169" t="s">
        <v>25364</v>
      </c>
      <c r="C1946" s="169" t="s">
        <v>10225</v>
      </c>
      <c r="D1946" s="169" t="s">
        <v>1289</v>
      </c>
      <c r="E1946" s="103" t="s">
        <v>30370</v>
      </c>
      <c r="F1946" s="104"/>
      <c r="G1946" s="105">
        <f t="shared" si="120"/>
        <v>60.92</v>
      </c>
      <c r="H1946" s="101" t="str">
        <f t="shared" si="121"/>
        <v>Sinapi 20966</v>
      </c>
      <c r="I1946" s="101" t="str">
        <f t="shared" si="122"/>
        <v>UN</v>
      </c>
      <c r="J1946" s="140" t="str">
        <f t="shared" si="123"/>
        <v>ESGUICHO TIPO JATO SOLIDO, EM LATAO, ENGATE RAPIDO 1 1/2" X 19 MM, PARA MANGUEIRA EM INSTALACAO PREDIAL COMBATE A INCENDIO</v>
      </c>
    </row>
    <row r="1947" spans="1:10" x14ac:dyDescent="0.25">
      <c r="A1947" s="169">
        <v>10903</v>
      </c>
      <c r="B1947" s="169" t="s">
        <v>25366</v>
      </c>
      <c r="C1947" s="169" t="s">
        <v>10225</v>
      </c>
      <c r="D1947" s="169" t="s">
        <v>1289</v>
      </c>
      <c r="E1947" s="103" t="s">
        <v>25700</v>
      </c>
      <c r="F1947" s="104"/>
      <c r="G1947" s="105">
        <f t="shared" si="120"/>
        <v>92.35</v>
      </c>
      <c r="H1947" s="101" t="str">
        <f t="shared" si="121"/>
        <v>Sinapi 10903</v>
      </c>
      <c r="I1947" s="101" t="str">
        <f t="shared" si="122"/>
        <v>UN</v>
      </c>
      <c r="J1947" s="140" t="str">
        <f t="shared" si="123"/>
        <v>ESGUICHO TIPO JATO SOLIDO, EM LATAO, ENGATE RAPIDO 2 1/2" X 13 MM, PARA MANGUEIRA EM INSTALACAO PREDIAL COMBATE A INCENDIO</v>
      </c>
    </row>
    <row r="1948" spans="1:10" x14ac:dyDescent="0.25">
      <c r="A1948" s="169">
        <v>20967</v>
      </c>
      <c r="B1948" s="169" t="s">
        <v>25367</v>
      </c>
      <c r="C1948" s="169" t="s">
        <v>10225</v>
      </c>
      <c r="D1948" s="169" t="s">
        <v>1289</v>
      </c>
      <c r="E1948" s="103" t="s">
        <v>25700</v>
      </c>
      <c r="F1948" s="104"/>
      <c r="G1948" s="105">
        <f t="shared" si="120"/>
        <v>92.35</v>
      </c>
      <c r="H1948" s="101" t="str">
        <f t="shared" si="121"/>
        <v>Sinapi 20967</v>
      </c>
      <c r="I1948" s="101" t="str">
        <f t="shared" si="122"/>
        <v>UN</v>
      </c>
      <c r="J1948" s="140" t="str">
        <f t="shared" si="123"/>
        <v>ESGUICHO TIPO JATO SOLIDO, EM LATAO, ENGATE RAPIDO 2 1/2" X 16 MM, PARA MANGUEIRA EM INSTALACAO PREDIAL COMBATE A INCENDIO</v>
      </c>
    </row>
    <row r="1949" spans="1:10" x14ac:dyDescent="0.25">
      <c r="A1949" s="169">
        <v>20968</v>
      </c>
      <c r="B1949" s="169" t="s">
        <v>25368</v>
      </c>
      <c r="C1949" s="169" t="s">
        <v>10225</v>
      </c>
      <c r="D1949" s="169" t="s">
        <v>1289</v>
      </c>
      <c r="E1949" s="103" t="s">
        <v>28816</v>
      </c>
      <c r="F1949" s="104"/>
      <c r="G1949" s="105">
        <f t="shared" si="120"/>
        <v>101.28</v>
      </c>
      <c r="H1949" s="101" t="str">
        <f t="shared" si="121"/>
        <v>Sinapi 20968</v>
      </c>
      <c r="I1949" s="101" t="str">
        <f t="shared" si="122"/>
        <v>UN</v>
      </c>
      <c r="J1949" s="140" t="str">
        <f t="shared" si="123"/>
        <v>ESGUICHO TIPO JATO SOLIDO, EM LATAO, ENGATE RAPIDO 2 1/2" X 19 MM, PARA MANGUEIRA EM INSTALACAO PREDIAL COMBATE A INCENDIO</v>
      </c>
    </row>
    <row r="1950" spans="1:10" x14ac:dyDescent="0.25">
      <c r="A1950" s="169">
        <v>11359</v>
      </c>
      <c r="B1950" s="169" t="s">
        <v>25369</v>
      </c>
      <c r="C1950" s="169" t="s">
        <v>10225</v>
      </c>
      <c r="D1950" s="169" t="s">
        <v>1288</v>
      </c>
      <c r="E1950" s="103" t="s">
        <v>30371</v>
      </c>
      <c r="F1950" s="104"/>
      <c r="G1950" s="105">
        <f t="shared" si="120"/>
        <v>1097.5</v>
      </c>
      <c r="H1950" s="101" t="str">
        <f t="shared" si="121"/>
        <v>Sinapi 11359</v>
      </c>
      <c r="I1950" s="101" t="str">
        <f t="shared" si="122"/>
        <v>UN</v>
      </c>
      <c r="J1950" s="140" t="str">
        <f t="shared" si="123"/>
        <v>ESMERILHADEIRA ANGULAR ELETRICA, DIAMETRO DO DISCO 7 '' (180 MM), ROTACAO 8500 RPM, POTENCIA 2400 W</v>
      </c>
    </row>
    <row r="1951" spans="1:10" x14ac:dyDescent="0.25">
      <c r="A1951" s="169">
        <v>39017</v>
      </c>
      <c r="B1951" s="169" t="s">
        <v>775</v>
      </c>
      <c r="C1951" s="169" t="s">
        <v>10225</v>
      </c>
      <c r="D1951" s="169" t="s">
        <v>1290</v>
      </c>
      <c r="E1951" s="103" t="s">
        <v>3160</v>
      </c>
      <c r="F1951" s="104"/>
      <c r="G1951" s="105">
        <f t="shared" si="120"/>
        <v>0.22</v>
      </c>
      <c r="H1951" s="101" t="str">
        <f t="shared" si="121"/>
        <v>Sinapi 39017</v>
      </c>
      <c r="I1951" s="101" t="str">
        <f t="shared" si="122"/>
        <v>UN</v>
      </c>
      <c r="J1951" s="140" t="str">
        <f t="shared" si="123"/>
        <v>ESPACADOR / DISTANCIADOR CIRCULAR COM ENTRADA LATERAL, EM PLASTICO, PARA VERGALHAO *4,2 A 12,5* MM, COBRIMENTO 20 MM</v>
      </c>
    </row>
    <row r="1952" spans="1:10" x14ac:dyDescent="0.25">
      <c r="A1952" s="169">
        <v>39315</v>
      </c>
      <c r="B1952" s="169" t="s">
        <v>25370</v>
      </c>
      <c r="C1952" s="169" t="s">
        <v>10225</v>
      </c>
      <c r="D1952" s="169" t="s">
        <v>1290</v>
      </c>
      <c r="E1952" s="103" t="s">
        <v>3420</v>
      </c>
      <c r="F1952" s="104"/>
      <c r="G1952" s="105">
        <f t="shared" si="120"/>
        <v>0.35</v>
      </c>
      <c r="H1952" s="101" t="str">
        <f t="shared" si="121"/>
        <v>Sinapi 39315</v>
      </c>
      <c r="I1952" s="101" t="str">
        <f t="shared" si="122"/>
        <v>UN</v>
      </c>
      <c r="J1952" s="140" t="str">
        <f t="shared" si="123"/>
        <v>ESPACADOR / DISTANCIADOR TIPO GARRA DUPLA, EM PLASTICO, COBRIMENTO *20* MM, PARA FERRAGENS DE LAJES E FUNDO DE VIGAS</v>
      </c>
    </row>
    <row r="1953" spans="1:10" x14ac:dyDescent="0.25">
      <c r="A1953" s="169">
        <v>39016</v>
      </c>
      <c r="B1953" s="169" t="s">
        <v>25371</v>
      </c>
      <c r="C1953" s="169" t="s">
        <v>10225</v>
      </c>
      <c r="D1953" s="169" t="s">
        <v>1290</v>
      </c>
      <c r="E1953" s="103" t="s">
        <v>2700</v>
      </c>
      <c r="F1953" s="104"/>
      <c r="G1953" s="105">
        <f t="shared" si="120"/>
        <v>0.36</v>
      </c>
      <c r="H1953" s="101" t="str">
        <f t="shared" si="121"/>
        <v>Sinapi 39016</v>
      </c>
      <c r="I1953" s="101" t="str">
        <f t="shared" si="122"/>
        <v>UN</v>
      </c>
      <c r="J1953" s="140" t="str">
        <f t="shared" si="123"/>
        <v>ESPACADOR / DISTANCIADOR TIPO PINO EM PLASTICO, PARA VERGALHAO ATE 10 MM, PARA APOIO DE ARMADURA</v>
      </c>
    </row>
    <row r="1954" spans="1:10" x14ac:dyDescent="0.25">
      <c r="A1954" s="169">
        <v>39481</v>
      </c>
      <c r="B1954" s="169" t="s">
        <v>25372</v>
      </c>
      <c r="C1954" s="169" t="s">
        <v>10225</v>
      </c>
      <c r="D1954" s="169" t="s">
        <v>1290</v>
      </c>
      <c r="E1954" s="103" t="s">
        <v>3190</v>
      </c>
      <c r="F1954" s="104"/>
      <c r="G1954" s="105">
        <f t="shared" si="120"/>
        <v>1.74</v>
      </c>
      <c r="H1954" s="101" t="str">
        <f t="shared" si="121"/>
        <v>Sinapi 39481</v>
      </c>
      <c r="I1954" s="101" t="str">
        <f t="shared" si="122"/>
        <v>UN</v>
      </c>
      <c r="J1954" s="140" t="str">
        <f t="shared" si="123"/>
        <v>ESPACADOR OU DISTANCIADOR, EM PLASTICO, TIPO APOIO DE CORDOALHA (CARANGUEJO), PARA ARMADURA NEGATIVA E PROTENSAO, COBRIMENTO 50 MM</v>
      </c>
    </row>
    <row r="1955" spans="1:10" x14ac:dyDescent="0.25">
      <c r="A1955" s="169">
        <v>39013</v>
      </c>
      <c r="B1955" s="169" t="s">
        <v>25373</v>
      </c>
      <c r="C1955" s="169" t="s">
        <v>10225</v>
      </c>
      <c r="D1955" s="169" t="s">
        <v>1290</v>
      </c>
      <c r="E1955" s="103" t="s">
        <v>9461</v>
      </c>
      <c r="F1955" s="104"/>
      <c r="G1955" s="105">
        <f t="shared" si="120"/>
        <v>1.48</v>
      </c>
      <c r="H1955" s="101" t="str">
        <f t="shared" si="121"/>
        <v>Sinapi 39013</v>
      </c>
      <c r="I1955" s="101" t="str">
        <f t="shared" si="122"/>
        <v>UN</v>
      </c>
      <c r="J1955" s="140" t="str">
        <f t="shared" si="123"/>
        <v>ESPACADOR/SEPARADOR /CENTRALIZADOR DE BARRA DE ACO, PLASTICO, (CHUMBADOR TIPO CARAMBOLA - CB), DIAMETRO INTERNO ATE 20 MM</v>
      </c>
    </row>
    <row r="1956" spans="1:10" x14ac:dyDescent="0.25">
      <c r="A1956" s="169">
        <v>44919</v>
      </c>
      <c r="B1956" s="169" t="s">
        <v>25374</v>
      </c>
      <c r="C1956" s="169" t="s">
        <v>10225</v>
      </c>
      <c r="D1956" s="169" t="s">
        <v>1290</v>
      </c>
      <c r="E1956" s="103" t="s">
        <v>15769</v>
      </c>
      <c r="F1956" s="104"/>
      <c r="G1956" s="105">
        <f t="shared" si="120"/>
        <v>2.77</v>
      </c>
      <c r="H1956" s="101" t="str">
        <f t="shared" si="121"/>
        <v>Sinapi 44919</v>
      </c>
      <c r="I1956" s="101" t="str">
        <f t="shared" si="122"/>
        <v>UN</v>
      </c>
      <c r="J1956" s="140" t="str">
        <f t="shared" si="123"/>
        <v>ESPACADOR/SEPARADOR /CENTRALIZADOR DE BARRA DE ACO, PLASTICO, (CHUMBADOR TIPO CARAMBOLA - CB), DIAMETRO INTERNO ENTRE 25 A 32 MM</v>
      </c>
    </row>
    <row r="1957" spans="1:10" x14ac:dyDescent="0.25">
      <c r="A1957" s="169">
        <v>40433</v>
      </c>
      <c r="B1957" s="169" t="s">
        <v>25375</v>
      </c>
      <c r="C1957" s="169" t="s">
        <v>10225</v>
      </c>
      <c r="D1957" s="169" t="s">
        <v>1290</v>
      </c>
      <c r="E1957" s="103" t="s">
        <v>9316</v>
      </c>
      <c r="F1957" s="104"/>
      <c r="G1957" s="105">
        <f t="shared" si="120"/>
        <v>1.53</v>
      </c>
      <c r="H1957" s="101" t="str">
        <f t="shared" si="121"/>
        <v>Sinapi 40433</v>
      </c>
      <c r="I1957" s="101" t="str">
        <f t="shared" si="122"/>
        <v>UN</v>
      </c>
      <c r="J1957" s="140" t="str">
        <f t="shared" si="123"/>
        <v>ESPACADOR/SEPARADOR DE CORDOALHA TIPO DISCO 12 FUROS DE 14 MM, PARA TIRANTES</v>
      </c>
    </row>
    <row r="1958" spans="1:10" x14ac:dyDescent="0.25">
      <c r="A1958" s="169">
        <v>20219</v>
      </c>
      <c r="B1958" s="169" t="s">
        <v>25376</v>
      </c>
      <c r="C1958" s="169" t="s">
        <v>10225</v>
      </c>
      <c r="D1958" s="169" t="s">
        <v>1290</v>
      </c>
      <c r="E1958" s="103" t="s">
        <v>21496</v>
      </c>
      <c r="F1958" s="104"/>
      <c r="G1958" s="105">
        <f t="shared" si="120"/>
        <v>116000</v>
      </c>
      <c r="H1958" s="101" t="str">
        <f t="shared" si="121"/>
        <v>Sinapi 20219</v>
      </c>
      <c r="I1958" s="101" t="str">
        <f t="shared" si="122"/>
        <v>UN</v>
      </c>
      <c r="J1958" s="140" t="str">
        <f t="shared" si="123"/>
        <v>ESPARGIDOR DE ASFALTO PRESSURIZADO, REBOCAVEL, TANQUE DE 2500 L, PNEUMATICO, COM MOTOR A GASOLINA 3,4HP</v>
      </c>
    </row>
    <row r="1959" spans="1:10" x14ac:dyDescent="0.25">
      <c r="A1959" s="169">
        <v>36484</v>
      </c>
      <c r="B1959" s="169" t="s">
        <v>25377</v>
      </c>
      <c r="C1959" s="169" t="s">
        <v>10225</v>
      </c>
      <c r="D1959" s="169" t="s">
        <v>1290</v>
      </c>
      <c r="E1959" s="103" t="s">
        <v>21497</v>
      </c>
      <c r="F1959" s="104"/>
      <c r="G1959" s="105">
        <f t="shared" si="120"/>
        <v>246246.87</v>
      </c>
      <c r="H1959" s="101" t="str">
        <f t="shared" si="121"/>
        <v>Sinapi 36484</v>
      </c>
      <c r="I1959" s="101" t="str">
        <f t="shared" si="122"/>
        <v>UN</v>
      </c>
      <c r="J1959" s="140" t="str">
        <f t="shared" si="123"/>
        <v>ESPARGIDOR DE ASFALTO PRESSURIZADO, TANQUE 6 M3 COM ISOLACAO TERMICA, AQUECIDO COM 2 MACARICOS, COM BARRA ESPARGIDORA 3,60 M, A SER MONTADO SOBRE CAMINHAO</v>
      </c>
    </row>
    <row r="1960" spans="1:10" x14ac:dyDescent="0.25">
      <c r="A1960" s="169">
        <v>38367</v>
      </c>
      <c r="B1960" s="169" t="s">
        <v>25378</v>
      </c>
      <c r="C1960" s="169" t="s">
        <v>10225</v>
      </c>
      <c r="D1960" s="169" t="s">
        <v>1289</v>
      </c>
      <c r="E1960" s="103" t="s">
        <v>15774</v>
      </c>
      <c r="F1960" s="104"/>
      <c r="G1960" s="105">
        <f t="shared" si="120"/>
        <v>27.3</v>
      </c>
      <c r="H1960" s="101" t="str">
        <f t="shared" si="121"/>
        <v>Sinapi 38367</v>
      </c>
      <c r="I1960" s="101" t="str">
        <f t="shared" si="122"/>
        <v>UN</v>
      </c>
      <c r="J1960" s="140" t="str">
        <f t="shared" si="123"/>
        <v>ESPATULA DE ACO INOX COM CABO DE MADEIRA, LARGURA 8 CM</v>
      </c>
    </row>
    <row r="1961" spans="1:10" x14ac:dyDescent="0.25">
      <c r="A1961" s="169">
        <v>38368</v>
      </c>
      <c r="B1961" s="169" t="s">
        <v>25379</v>
      </c>
      <c r="C1961" s="169" t="s">
        <v>10225</v>
      </c>
      <c r="D1961" s="169" t="s">
        <v>1289</v>
      </c>
      <c r="E1961" s="103" t="s">
        <v>23181</v>
      </c>
      <c r="F1961" s="104"/>
      <c r="G1961" s="105">
        <f t="shared" si="120"/>
        <v>8.26</v>
      </c>
      <c r="H1961" s="101" t="str">
        <f t="shared" si="121"/>
        <v>Sinapi 38368</v>
      </c>
      <c r="I1961" s="101" t="str">
        <f t="shared" si="122"/>
        <v>UN</v>
      </c>
      <c r="J1961" s="140" t="str">
        <f t="shared" si="123"/>
        <v>ESPATULA DE PLASTICO LISA, LARGURA 10 CM</v>
      </c>
    </row>
    <row r="1962" spans="1:10" x14ac:dyDescent="0.25">
      <c r="A1962" s="169">
        <v>38091</v>
      </c>
      <c r="B1962" s="169" t="s">
        <v>25380</v>
      </c>
      <c r="C1962" s="169" t="s">
        <v>10225</v>
      </c>
      <c r="D1962" s="169" t="s">
        <v>1289</v>
      </c>
      <c r="E1962" s="103" t="s">
        <v>22794</v>
      </c>
      <c r="F1962" s="104"/>
      <c r="G1962" s="105">
        <f t="shared" si="120"/>
        <v>3.16</v>
      </c>
      <c r="H1962" s="101" t="str">
        <f t="shared" si="121"/>
        <v>Sinapi 38091</v>
      </c>
      <c r="I1962" s="101" t="str">
        <f t="shared" si="122"/>
        <v>UN</v>
      </c>
      <c r="J1962" s="140" t="str">
        <f t="shared" si="123"/>
        <v>ESPELHO / PLACA CEGA 4" X 2", PARA INSTALACAO DE TOMADAS E INTERRUPTORES</v>
      </c>
    </row>
    <row r="1963" spans="1:10" x14ac:dyDescent="0.25">
      <c r="A1963" s="169">
        <v>38095</v>
      </c>
      <c r="B1963" s="169" t="s">
        <v>25381</v>
      </c>
      <c r="C1963" s="169" t="s">
        <v>10225</v>
      </c>
      <c r="D1963" s="169" t="s">
        <v>1289</v>
      </c>
      <c r="E1963" s="103" t="s">
        <v>3792</v>
      </c>
      <c r="F1963" s="104"/>
      <c r="G1963" s="105">
        <f t="shared" si="120"/>
        <v>6.69</v>
      </c>
      <c r="H1963" s="101" t="str">
        <f t="shared" si="121"/>
        <v>Sinapi 38095</v>
      </c>
      <c r="I1963" s="101" t="str">
        <f t="shared" si="122"/>
        <v>UN</v>
      </c>
      <c r="J1963" s="140" t="str">
        <f t="shared" si="123"/>
        <v>ESPELHO / PLACA CEGA 4" X 4", PARA INSTALACAO DE TOMADAS E INTERRUPTORES</v>
      </c>
    </row>
    <row r="1964" spans="1:10" x14ac:dyDescent="0.25">
      <c r="A1964" s="169">
        <v>38092</v>
      </c>
      <c r="B1964" s="169" t="s">
        <v>25382</v>
      </c>
      <c r="C1964" s="169" t="s">
        <v>10225</v>
      </c>
      <c r="D1964" s="169" t="s">
        <v>1289</v>
      </c>
      <c r="E1964" s="103" t="s">
        <v>29533</v>
      </c>
      <c r="F1964" s="104"/>
      <c r="G1964" s="105">
        <f t="shared" si="120"/>
        <v>3</v>
      </c>
      <c r="H1964" s="101" t="str">
        <f t="shared" si="121"/>
        <v>Sinapi 38092</v>
      </c>
      <c r="I1964" s="101" t="str">
        <f t="shared" si="122"/>
        <v>UN</v>
      </c>
      <c r="J1964" s="140" t="str">
        <f t="shared" si="123"/>
        <v>ESPELHO / PLACA DE 1 POSTO 4" X 2", PARA INSTALACAO DE TOMADAS E INTERRUPTORES</v>
      </c>
    </row>
    <row r="1965" spans="1:10" x14ac:dyDescent="0.25">
      <c r="A1965" s="169">
        <v>38093</v>
      </c>
      <c r="B1965" s="169" t="s">
        <v>25383</v>
      </c>
      <c r="C1965" s="169" t="s">
        <v>10225</v>
      </c>
      <c r="D1965" s="169" t="s">
        <v>1289</v>
      </c>
      <c r="E1965" s="103" t="s">
        <v>13573</v>
      </c>
      <c r="F1965" s="104"/>
      <c r="G1965" s="105">
        <f t="shared" si="120"/>
        <v>3.1</v>
      </c>
      <c r="H1965" s="101" t="str">
        <f t="shared" si="121"/>
        <v>Sinapi 38093</v>
      </c>
      <c r="I1965" s="101" t="str">
        <f t="shared" si="122"/>
        <v>UN</v>
      </c>
      <c r="J1965" s="140" t="str">
        <f t="shared" si="123"/>
        <v>ESPELHO / PLACA DE 2 POSTOS 4" X 2", PARA INSTALACAO DE TOMADAS E INTERRUPTORES</v>
      </c>
    </row>
    <row r="1966" spans="1:10" x14ac:dyDescent="0.25">
      <c r="A1966" s="169">
        <v>38096</v>
      </c>
      <c r="B1966" s="169" t="s">
        <v>25384</v>
      </c>
      <c r="C1966" s="169" t="s">
        <v>10225</v>
      </c>
      <c r="D1966" s="169" t="s">
        <v>1289</v>
      </c>
      <c r="E1966" s="103" t="s">
        <v>18572</v>
      </c>
      <c r="F1966" s="104"/>
      <c r="G1966" s="105">
        <f t="shared" si="120"/>
        <v>7.19</v>
      </c>
      <c r="H1966" s="101" t="str">
        <f t="shared" si="121"/>
        <v>Sinapi 38096</v>
      </c>
      <c r="I1966" s="101" t="str">
        <f t="shared" si="122"/>
        <v>UN</v>
      </c>
      <c r="J1966" s="140" t="str">
        <f t="shared" si="123"/>
        <v>ESPELHO / PLACA DE 2 POSTOS 4" X 4", PARA INSTALACAO DE TOMADAS E INTERRUPTORES</v>
      </c>
    </row>
    <row r="1967" spans="1:10" x14ac:dyDescent="0.25">
      <c r="A1967" s="169">
        <v>38094</v>
      </c>
      <c r="B1967" s="169" t="s">
        <v>25385</v>
      </c>
      <c r="C1967" s="169" t="s">
        <v>10225</v>
      </c>
      <c r="D1967" s="169" t="s">
        <v>1289</v>
      </c>
      <c r="E1967" s="103" t="s">
        <v>18597</v>
      </c>
      <c r="F1967" s="104"/>
      <c r="G1967" s="105">
        <f t="shared" si="120"/>
        <v>3.8</v>
      </c>
      <c r="H1967" s="101" t="str">
        <f t="shared" si="121"/>
        <v>Sinapi 38094</v>
      </c>
      <c r="I1967" s="101" t="str">
        <f t="shared" si="122"/>
        <v>UN</v>
      </c>
      <c r="J1967" s="140" t="str">
        <f t="shared" si="123"/>
        <v>ESPELHO / PLACA DE 3 POSTOS 4" X 2", PARA INSTALACAO DE TOMADAS E INTERRUPTORES</v>
      </c>
    </row>
    <row r="1968" spans="1:10" x14ac:dyDescent="0.25">
      <c r="A1968" s="169">
        <v>38097</v>
      </c>
      <c r="B1968" s="169" t="s">
        <v>25386</v>
      </c>
      <c r="C1968" s="169" t="s">
        <v>10225</v>
      </c>
      <c r="D1968" s="169" t="s">
        <v>1289</v>
      </c>
      <c r="E1968" s="103" t="s">
        <v>21061</v>
      </c>
      <c r="F1968" s="104"/>
      <c r="G1968" s="105">
        <f t="shared" si="120"/>
        <v>7.71</v>
      </c>
      <c r="H1968" s="101" t="str">
        <f t="shared" si="121"/>
        <v>Sinapi 38097</v>
      </c>
      <c r="I1968" s="101" t="str">
        <f t="shared" si="122"/>
        <v>UN</v>
      </c>
      <c r="J1968" s="140" t="str">
        <f t="shared" si="123"/>
        <v>ESPELHO / PLACA DE 4 POSTOS 4" X 4", PARA INSTALACAO DE TOMADAS E INTERRUPTORES</v>
      </c>
    </row>
    <row r="1969" spans="1:10" x14ac:dyDescent="0.25">
      <c r="A1969" s="169">
        <v>38098</v>
      </c>
      <c r="B1969" s="169" t="s">
        <v>25387</v>
      </c>
      <c r="C1969" s="169" t="s">
        <v>10225</v>
      </c>
      <c r="D1969" s="169" t="s">
        <v>1289</v>
      </c>
      <c r="E1969" s="103" t="s">
        <v>21061</v>
      </c>
      <c r="F1969" s="104"/>
      <c r="G1969" s="105">
        <f t="shared" si="120"/>
        <v>7.71</v>
      </c>
      <c r="H1969" s="101" t="str">
        <f t="shared" si="121"/>
        <v>Sinapi 38098</v>
      </c>
      <c r="I1969" s="101" t="str">
        <f t="shared" si="122"/>
        <v>UN</v>
      </c>
      <c r="J1969" s="140" t="str">
        <f t="shared" si="123"/>
        <v>ESPELHO / PLACA DE 6 POSTOS 4" X 4", PARA INSTALACAO DE TOMADAS E INTERRUPTORES</v>
      </c>
    </row>
    <row r="1970" spans="1:10" x14ac:dyDescent="0.25">
      <c r="A1970" s="169">
        <v>11186</v>
      </c>
      <c r="B1970" s="169" t="s">
        <v>25388</v>
      </c>
      <c r="C1970" s="169" t="s">
        <v>10226</v>
      </c>
      <c r="D1970" s="169" t="s">
        <v>1289</v>
      </c>
      <c r="E1970" s="103" t="s">
        <v>30372</v>
      </c>
      <c r="F1970" s="104"/>
      <c r="G1970" s="105">
        <f t="shared" si="120"/>
        <v>716.66</v>
      </c>
      <c r="H1970" s="101" t="str">
        <f t="shared" si="121"/>
        <v>Sinapi 11186</v>
      </c>
      <c r="I1970" s="101" t="str">
        <f t="shared" si="122"/>
        <v>M2</v>
      </c>
      <c r="J1970" s="140" t="str">
        <f t="shared" si="123"/>
        <v>ESPELHO CRISTAL E = 4 MM</v>
      </c>
    </row>
    <row r="1971" spans="1:10" x14ac:dyDescent="0.25">
      <c r="A1971" s="169">
        <v>11558</v>
      </c>
      <c r="B1971" s="169" t="s">
        <v>25390</v>
      </c>
      <c r="C1971" s="169" t="s">
        <v>10239</v>
      </c>
      <c r="D1971" s="169" t="s">
        <v>1289</v>
      </c>
      <c r="E1971" s="103" t="s">
        <v>17361</v>
      </c>
      <c r="F1971" s="104"/>
      <c r="G1971" s="105">
        <f t="shared" si="120"/>
        <v>16.489999999999998</v>
      </c>
      <c r="H1971" s="101" t="str">
        <f t="shared" si="121"/>
        <v>Sinapi 11558</v>
      </c>
      <c r="I1971" s="101" t="str">
        <f t="shared" si="122"/>
        <v>PAR</v>
      </c>
      <c r="J1971" s="140" t="str">
        <f t="shared" si="123"/>
        <v>ESPELHO, RETO OU CURVO, EM LATAO CROMADO, ESPESSURA ATE 6 MM, LARGURA *40*MM, ALTURA *180*MM - PARA FECHADURA DE EMBUTIR</v>
      </c>
    </row>
    <row r="1972" spans="1:10" x14ac:dyDescent="0.25">
      <c r="A1972" s="169">
        <v>11557</v>
      </c>
      <c r="B1972" s="169" t="s">
        <v>25391</v>
      </c>
      <c r="C1972" s="169" t="s">
        <v>10239</v>
      </c>
      <c r="D1972" s="169" t="s">
        <v>1289</v>
      </c>
      <c r="E1972" s="103" t="s">
        <v>21313</v>
      </c>
      <c r="F1972" s="104"/>
      <c r="G1972" s="105">
        <f t="shared" si="120"/>
        <v>41.74</v>
      </c>
      <c r="H1972" s="101" t="str">
        <f t="shared" si="121"/>
        <v>Sinapi 11557</v>
      </c>
      <c r="I1972" s="101" t="str">
        <f t="shared" si="122"/>
        <v>PAR</v>
      </c>
      <c r="J1972" s="140" t="str">
        <f t="shared" si="123"/>
        <v>ESPELHO, RETO OU CURVO, EM LATAO CROMADO, ESPESSURA MINIMA 6 MM, LARGURA *43*MM, ALTURA *230*MM - PARA FECHADURA DE EMBUTIR</v>
      </c>
    </row>
    <row r="1973" spans="1:10" x14ac:dyDescent="0.25">
      <c r="A1973" s="169">
        <v>2759</v>
      </c>
      <c r="B1973" s="169" t="s">
        <v>25392</v>
      </c>
      <c r="C1973" s="169" t="s">
        <v>10225</v>
      </c>
      <c r="D1973" s="169" t="s">
        <v>1290</v>
      </c>
      <c r="E1973" s="103" t="s">
        <v>18631</v>
      </c>
      <c r="F1973" s="104"/>
      <c r="G1973" s="105">
        <f t="shared" si="120"/>
        <v>10.68</v>
      </c>
      <c r="H1973" s="101" t="str">
        <f t="shared" si="121"/>
        <v>Sinapi 2759</v>
      </c>
      <c r="I1973" s="101" t="str">
        <f t="shared" si="122"/>
        <v>UN</v>
      </c>
      <c r="J1973" s="140" t="str">
        <f t="shared" si="123"/>
        <v>ESPOLETA SIMPLES N 8.</v>
      </c>
    </row>
    <row r="1974" spans="1:10" x14ac:dyDescent="0.25">
      <c r="A1974" s="169">
        <v>38124</v>
      </c>
      <c r="B1974" s="169" t="s">
        <v>625</v>
      </c>
      <c r="C1974" s="169" t="s">
        <v>10225</v>
      </c>
      <c r="D1974" s="169" t="s">
        <v>1288</v>
      </c>
      <c r="E1974" s="103" t="s">
        <v>22051</v>
      </c>
      <c r="F1974" s="104"/>
      <c r="G1974" s="105">
        <f t="shared" si="120"/>
        <v>32.51</v>
      </c>
      <c r="H1974" s="101" t="str">
        <f t="shared" si="121"/>
        <v>Sinapi 38124</v>
      </c>
      <c r="I1974" s="101" t="str">
        <f t="shared" si="122"/>
        <v>UN</v>
      </c>
      <c r="J1974" s="140" t="str">
        <f t="shared" si="123"/>
        <v>ESPUMA EXPANSIVA DE POLIURETANO, APLICACAO MANUAL - 500 ML</v>
      </c>
    </row>
    <row r="1975" spans="1:10" x14ac:dyDescent="0.25">
      <c r="A1975" s="169">
        <v>38380</v>
      </c>
      <c r="B1975" s="169" t="s">
        <v>25393</v>
      </c>
      <c r="C1975" s="169" t="s">
        <v>10225</v>
      </c>
      <c r="D1975" s="169" t="s">
        <v>1289</v>
      </c>
      <c r="E1975" s="103" t="s">
        <v>30373</v>
      </c>
      <c r="F1975" s="104"/>
      <c r="G1975" s="105">
        <f t="shared" si="120"/>
        <v>43.38</v>
      </c>
      <c r="H1975" s="101" t="str">
        <f t="shared" si="121"/>
        <v>Sinapi 38380</v>
      </c>
      <c r="I1975" s="101" t="str">
        <f t="shared" si="122"/>
        <v>UN</v>
      </c>
      <c r="J1975" s="140" t="str">
        <f t="shared" si="123"/>
        <v>ESQUADRO DE ACO 12 " (300 MM), CABO DE ALUMINIO</v>
      </c>
    </row>
    <row r="1976" spans="1:10" x14ac:dyDescent="0.25">
      <c r="A1976" s="169">
        <v>42429</v>
      </c>
      <c r="B1976" s="169" t="s">
        <v>25394</v>
      </c>
      <c r="C1976" s="169" t="s">
        <v>10225</v>
      </c>
      <c r="D1976" s="169" t="s">
        <v>1290</v>
      </c>
      <c r="E1976" s="103" t="s">
        <v>21041</v>
      </c>
      <c r="F1976" s="104"/>
      <c r="G1976" s="105">
        <f t="shared" si="120"/>
        <v>6025.1</v>
      </c>
      <c r="H1976" s="101" t="str">
        <f t="shared" si="121"/>
        <v>Sinapi 42429</v>
      </c>
      <c r="I1976" s="101" t="str">
        <f t="shared" si="122"/>
        <v>UN</v>
      </c>
      <c r="J1976" s="140" t="str">
        <f t="shared" si="123"/>
        <v>ESQUI TRIPLO, EM TUBO DE ACO CARBONO, PINTURA NO PROCESSO ELETROSTATICO - EQUIPAMENTO DE GINASTICA PARA ACADEMIA AO AR LIVRE / ACADEMIA DA TERCEIRA IDADE - ATI</v>
      </c>
    </row>
    <row r="1977" spans="1:10" x14ac:dyDescent="0.25">
      <c r="A1977" s="169">
        <v>39616</v>
      </c>
      <c r="B1977" s="169" t="s">
        <v>25395</v>
      </c>
      <c r="C1977" s="169" t="s">
        <v>10225</v>
      </c>
      <c r="D1977" s="169" t="s">
        <v>1288</v>
      </c>
      <c r="E1977" s="103" t="s">
        <v>30374</v>
      </c>
      <c r="F1977" s="104"/>
      <c r="G1977" s="105">
        <f t="shared" si="120"/>
        <v>595.95000000000005</v>
      </c>
      <c r="H1977" s="101" t="str">
        <f t="shared" si="121"/>
        <v>Sinapi 39616</v>
      </c>
      <c r="I1977" s="101" t="str">
        <f t="shared" si="122"/>
        <v>UN</v>
      </c>
      <c r="J1977" s="140" t="str">
        <f t="shared" si="123"/>
        <v>ESTABILIZADOR BIVOLT AUTOMATICO, 1000 VA</v>
      </c>
    </row>
    <row r="1978" spans="1:10" x14ac:dyDescent="0.25">
      <c r="A1978" s="169">
        <v>39618</v>
      </c>
      <c r="B1978" s="169" t="s">
        <v>25396</v>
      </c>
      <c r="C1978" s="169" t="s">
        <v>10225</v>
      </c>
      <c r="D1978" s="169" t="s">
        <v>1289</v>
      </c>
      <c r="E1978" s="103" t="s">
        <v>30375</v>
      </c>
      <c r="F1978" s="104"/>
      <c r="G1978" s="105">
        <f t="shared" si="120"/>
        <v>1080.95</v>
      </c>
      <c r="H1978" s="101" t="str">
        <f t="shared" si="121"/>
        <v>Sinapi 39618</v>
      </c>
      <c r="I1978" s="101" t="str">
        <f t="shared" si="122"/>
        <v>UN</v>
      </c>
      <c r="J1978" s="140" t="str">
        <f t="shared" si="123"/>
        <v>ESTABILIZADOR BIVOLT AUTOMATICO, 1500 VA</v>
      </c>
    </row>
    <row r="1979" spans="1:10" x14ac:dyDescent="0.25">
      <c r="A1979" s="169">
        <v>39619</v>
      </c>
      <c r="B1979" s="169" t="s">
        <v>25397</v>
      </c>
      <c r="C1979" s="169" t="s">
        <v>10225</v>
      </c>
      <c r="D1979" s="169" t="s">
        <v>1289</v>
      </c>
      <c r="E1979" s="103" t="s">
        <v>30376</v>
      </c>
      <c r="F1979" s="104"/>
      <c r="G1979" s="105">
        <f t="shared" si="120"/>
        <v>1480.47</v>
      </c>
      <c r="H1979" s="101" t="str">
        <f t="shared" si="121"/>
        <v>Sinapi 39619</v>
      </c>
      <c r="I1979" s="101" t="str">
        <f t="shared" si="122"/>
        <v>UN</v>
      </c>
      <c r="J1979" s="140" t="str">
        <f t="shared" si="123"/>
        <v>ESTABILIZADOR BIVOLT AUTOMATICO, 2000 VA</v>
      </c>
    </row>
    <row r="1980" spans="1:10" x14ac:dyDescent="0.25">
      <c r="A1980" s="169">
        <v>39613</v>
      </c>
      <c r="B1980" s="169" t="s">
        <v>25398</v>
      </c>
      <c r="C1980" s="169" t="s">
        <v>10225</v>
      </c>
      <c r="D1980" s="169" t="s">
        <v>1289</v>
      </c>
      <c r="E1980" s="103" t="s">
        <v>30377</v>
      </c>
      <c r="F1980" s="104"/>
      <c r="G1980" s="105">
        <f t="shared" si="120"/>
        <v>236.72</v>
      </c>
      <c r="H1980" s="101" t="str">
        <f t="shared" si="121"/>
        <v>Sinapi 39613</v>
      </c>
      <c r="I1980" s="101" t="str">
        <f t="shared" si="122"/>
        <v>UN</v>
      </c>
      <c r="J1980" s="140" t="str">
        <f t="shared" si="123"/>
        <v>ESTABILIZADOR BIVOLT AUTOMATICO, 300 VA</v>
      </c>
    </row>
    <row r="1981" spans="1:10" x14ac:dyDescent="0.25">
      <c r="A1981" s="169">
        <v>39614</v>
      </c>
      <c r="B1981" s="169" t="s">
        <v>25399</v>
      </c>
      <c r="C1981" s="169" t="s">
        <v>10225</v>
      </c>
      <c r="D1981" s="169" t="s">
        <v>1289</v>
      </c>
      <c r="E1981" s="103" t="s">
        <v>30378</v>
      </c>
      <c r="F1981" s="104"/>
      <c r="G1981" s="105">
        <f t="shared" si="120"/>
        <v>345.36</v>
      </c>
      <c r="H1981" s="101" t="str">
        <f t="shared" si="121"/>
        <v>Sinapi 39614</v>
      </c>
      <c r="I1981" s="101" t="str">
        <f t="shared" si="122"/>
        <v>UN</v>
      </c>
      <c r="J1981" s="140" t="str">
        <f t="shared" si="123"/>
        <v>ESTABILIZADOR BIVOLT AUTOMATICO, 500 VA</v>
      </c>
    </row>
    <row r="1982" spans="1:10" x14ac:dyDescent="0.25">
      <c r="A1982" s="169">
        <v>38538</v>
      </c>
      <c r="B1982" s="169" t="s">
        <v>25400</v>
      </c>
      <c r="C1982" s="169" t="s">
        <v>10229</v>
      </c>
      <c r="D1982" s="169" t="s">
        <v>1290</v>
      </c>
      <c r="E1982" s="103" t="s">
        <v>22812</v>
      </c>
      <c r="F1982" s="104"/>
      <c r="G1982" s="105">
        <f t="shared" si="120"/>
        <v>81.8</v>
      </c>
      <c r="H1982" s="101" t="str">
        <f t="shared" si="121"/>
        <v>Sinapi 38538</v>
      </c>
      <c r="I1982" s="101" t="str">
        <f t="shared" si="122"/>
        <v>M</v>
      </c>
      <c r="J1982" s="140" t="str">
        <f t="shared" si="123"/>
        <v>ESTACA PRE-MOLDADA MACICA DE CONCRETO VIBRADO ARMADO, PARA CARGA DE 25 T, SECAO QUADRADA DE *16 X 16*, COM ANEL METALICO INCORPORADO A PECA (SOMENTE FORNECIMENTO)</v>
      </c>
    </row>
    <row r="1983" spans="1:10" x14ac:dyDescent="0.25">
      <c r="A1983" s="169">
        <v>38539</v>
      </c>
      <c r="B1983" s="169" t="s">
        <v>25401</v>
      </c>
      <c r="C1983" s="169" t="s">
        <v>10229</v>
      </c>
      <c r="D1983" s="169" t="s">
        <v>1290</v>
      </c>
      <c r="E1983" s="103" t="s">
        <v>22813</v>
      </c>
      <c r="F1983" s="104"/>
      <c r="G1983" s="105">
        <f t="shared" si="120"/>
        <v>111.23</v>
      </c>
      <c r="H1983" s="101" t="str">
        <f t="shared" si="121"/>
        <v>Sinapi 38539</v>
      </c>
      <c r="I1983" s="101" t="str">
        <f t="shared" si="122"/>
        <v>M</v>
      </c>
      <c r="J1983" s="140" t="str">
        <f t="shared" si="123"/>
        <v>ESTACA PRE-MOLDADA MACICA DE CONCRETO VIBRADO ARMADO, PARA CARGA DE 50 T, SECAO QUADRADA, COM ANEL METALICO INCORPORADO A PECA (SOMENTE FORNECIMENTO)</v>
      </c>
    </row>
    <row r="1984" spans="1:10" x14ac:dyDescent="0.25">
      <c r="A1984" s="169">
        <v>38540</v>
      </c>
      <c r="B1984" s="169" t="s">
        <v>25402</v>
      </c>
      <c r="C1984" s="169" t="s">
        <v>10229</v>
      </c>
      <c r="D1984" s="169" t="s">
        <v>1290</v>
      </c>
      <c r="E1984" s="103" t="s">
        <v>22814</v>
      </c>
      <c r="F1984" s="104"/>
      <c r="G1984" s="105">
        <f t="shared" si="120"/>
        <v>285.07</v>
      </c>
      <c r="H1984" s="101" t="str">
        <f t="shared" si="121"/>
        <v>Sinapi 38540</v>
      </c>
      <c r="I1984" s="101" t="str">
        <f t="shared" si="122"/>
        <v>M</v>
      </c>
      <c r="J1984" s="140" t="str">
        <f t="shared" si="123"/>
        <v>ESTACA PRE-MOLDADA VAZADA DE CONCRETO CENTRIFUGADO, PARA CARGA DE 100 T, SECAO CIRCULAR, COM ANEL METALICO INCORPORADO A PECA (SOMENTE FORNECIMENTO)</v>
      </c>
    </row>
    <row r="1985" spans="1:10" x14ac:dyDescent="0.25">
      <c r="A1985" s="169">
        <v>38384</v>
      </c>
      <c r="B1985" s="169" t="s">
        <v>25403</v>
      </c>
      <c r="C1985" s="169" t="s">
        <v>10225</v>
      </c>
      <c r="D1985" s="169" t="s">
        <v>1289</v>
      </c>
      <c r="E1985" s="103" t="s">
        <v>17963</v>
      </c>
      <c r="F1985" s="104"/>
      <c r="G1985" s="105">
        <f t="shared" si="120"/>
        <v>21.41</v>
      </c>
      <c r="H1985" s="101" t="str">
        <f t="shared" si="121"/>
        <v>Sinapi 38384</v>
      </c>
      <c r="I1985" s="101" t="str">
        <f t="shared" si="122"/>
        <v>UN</v>
      </c>
      <c r="J1985" s="140" t="str">
        <f t="shared" si="123"/>
        <v>ESTILETE DE METAL, LAMINA 18 MM</v>
      </c>
    </row>
    <row r="1986" spans="1:10" x14ac:dyDescent="0.25">
      <c r="A1986" s="169">
        <v>13</v>
      </c>
      <c r="B1986" s="169" t="s">
        <v>25404</v>
      </c>
      <c r="C1986" s="169" t="s">
        <v>10231</v>
      </c>
      <c r="D1986" s="169" t="s">
        <v>1289</v>
      </c>
      <c r="E1986" s="103" t="s">
        <v>30379</v>
      </c>
      <c r="F1986" s="104"/>
      <c r="G1986" s="105">
        <f t="shared" si="120"/>
        <v>29.25</v>
      </c>
      <c r="H1986" s="101" t="str">
        <f t="shared" si="121"/>
        <v>Sinapi 13</v>
      </c>
      <c r="I1986" s="101" t="str">
        <f t="shared" si="122"/>
        <v>KG</v>
      </c>
      <c r="J1986" s="140" t="str">
        <f t="shared" si="123"/>
        <v>ESTOPA</v>
      </c>
    </row>
    <row r="1987" spans="1:10" x14ac:dyDescent="0.25">
      <c r="A1987" s="169">
        <v>2762</v>
      </c>
      <c r="B1987" s="169" t="s">
        <v>25405</v>
      </c>
      <c r="C1987" s="169" t="s">
        <v>10229</v>
      </c>
      <c r="D1987" s="169" t="s">
        <v>1290</v>
      </c>
      <c r="E1987" s="103" t="s">
        <v>19899</v>
      </c>
      <c r="F1987" s="104"/>
      <c r="G1987" s="105">
        <f t="shared" si="120"/>
        <v>13.35</v>
      </c>
      <c r="H1987" s="101" t="str">
        <f t="shared" si="121"/>
        <v>Sinapi 2762</v>
      </c>
      <c r="I1987" s="101" t="str">
        <f t="shared" si="122"/>
        <v>M</v>
      </c>
      <c r="J1987" s="140" t="str">
        <f t="shared" si="123"/>
        <v>ESTOPIM SIMPLES</v>
      </c>
    </row>
    <row r="1988" spans="1:10" x14ac:dyDescent="0.25">
      <c r="A1988" s="169">
        <v>21142</v>
      </c>
      <c r="B1988" s="169" t="s">
        <v>25406</v>
      </c>
      <c r="C1988" s="169" t="s">
        <v>10225</v>
      </c>
      <c r="D1988" s="169" t="s">
        <v>1289</v>
      </c>
      <c r="E1988" s="103" t="s">
        <v>28521</v>
      </c>
      <c r="F1988" s="104"/>
      <c r="G1988" s="105">
        <f t="shared" si="120"/>
        <v>27.1</v>
      </c>
      <c r="H1988" s="101" t="str">
        <f t="shared" si="121"/>
        <v>Sinapi 21142</v>
      </c>
      <c r="I1988" s="101" t="str">
        <f t="shared" si="122"/>
        <v>UN</v>
      </c>
      <c r="J1988" s="140" t="str">
        <f t="shared" si="123"/>
        <v>ESTRIBO COM PARAFUSO EM CHAPA DE FERRO FUNDIDO DE 2" X 3/16" X 35 CM, SECAO "U", PARA MADEIRAMENTO DE TELHADO</v>
      </c>
    </row>
    <row r="1989" spans="1:10" x14ac:dyDescent="0.25">
      <c r="A1989" s="169">
        <v>4223</v>
      </c>
      <c r="B1989" s="169" t="s">
        <v>25408</v>
      </c>
      <c r="C1989" s="169" t="s">
        <v>10230</v>
      </c>
      <c r="D1989" s="169" t="s">
        <v>1288</v>
      </c>
      <c r="E1989" s="103" t="s">
        <v>20073</v>
      </c>
      <c r="F1989" s="104"/>
      <c r="G1989" s="105">
        <f t="shared" si="120"/>
        <v>4.75</v>
      </c>
      <c r="H1989" s="101" t="str">
        <f t="shared" si="121"/>
        <v>Sinapi 4223</v>
      </c>
      <c r="I1989" s="101" t="str">
        <f t="shared" si="122"/>
        <v>L</v>
      </c>
      <c r="J1989" s="140" t="str">
        <f t="shared" si="123"/>
        <v>ETANOL</v>
      </c>
    </row>
    <row r="1990" spans="1:10" x14ac:dyDescent="0.25">
      <c r="A1990" s="169">
        <v>37372</v>
      </c>
      <c r="B1990" s="169" t="s">
        <v>25409</v>
      </c>
      <c r="C1990" s="169" t="s">
        <v>10228</v>
      </c>
      <c r="D1990" s="169" t="s">
        <v>1288</v>
      </c>
      <c r="E1990" s="103" t="s">
        <v>3076</v>
      </c>
      <c r="F1990" s="104"/>
      <c r="G1990" s="105">
        <f t="shared" si="120"/>
        <v>1.1399999999999999</v>
      </c>
      <c r="H1990" s="101" t="str">
        <f t="shared" si="121"/>
        <v>Sinapi 37372</v>
      </c>
      <c r="I1990" s="101" t="str">
        <f t="shared" si="122"/>
        <v>H</v>
      </c>
      <c r="J1990" s="140" t="str">
        <f t="shared" si="123"/>
        <v>EXAMES - HORISTA (COLETADO CAIXA - ENCARGOS COMPLEMENTARES)</v>
      </c>
    </row>
    <row r="1991" spans="1:10" x14ac:dyDescent="0.25">
      <c r="A1991" s="169">
        <v>40863</v>
      </c>
      <c r="B1991" s="169" t="s">
        <v>25410</v>
      </c>
      <c r="C1991" s="169" t="s">
        <v>10235</v>
      </c>
      <c r="D1991" s="169" t="s">
        <v>1288</v>
      </c>
      <c r="E1991" s="103" t="s">
        <v>18705</v>
      </c>
      <c r="F1991" s="104"/>
      <c r="G1991" s="105">
        <f t="shared" si="120"/>
        <v>215.56</v>
      </c>
      <c r="H1991" s="101" t="str">
        <f t="shared" si="121"/>
        <v>Sinapi 40863</v>
      </c>
      <c r="I1991" s="101" t="str">
        <f t="shared" si="122"/>
        <v>MES</v>
      </c>
      <c r="J1991" s="140" t="str">
        <f t="shared" si="123"/>
        <v>EXAMES - MENSALISTA (COLETADO CAIXA - ENCARGOS COMPLEMENTARES)</v>
      </c>
    </row>
    <row r="1992" spans="1:10" x14ac:dyDescent="0.25">
      <c r="A1992" s="169">
        <v>38475</v>
      </c>
      <c r="B1992" s="169" t="s">
        <v>25411</v>
      </c>
      <c r="C1992" s="169" t="s">
        <v>10225</v>
      </c>
      <c r="D1992" s="169" t="s">
        <v>1289</v>
      </c>
      <c r="E1992" s="103" t="s">
        <v>16384</v>
      </c>
      <c r="F1992" s="104"/>
      <c r="G1992" s="105">
        <f t="shared" ref="G1992:G2055" si="124">IF(E1992="","",E1992+0)</f>
        <v>33.950000000000003</v>
      </c>
      <c r="H1992" s="101" t="str">
        <f t="shared" ref="H1992:H2055" si="125">IF(G1992="","",TRIM(CONCATENATE("Sinapi ",A1992)))</f>
        <v>Sinapi 38475</v>
      </c>
      <c r="I1992" s="101" t="str">
        <f t="shared" ref="I1992:I2055" si="126">TRIM(C1992)</f>
        <v>UN</v>
      </c>
      <c r="J1992" s="140" t="str">
        <f t="shared" si="123"/>
        <v>EXTENSAO DE SOLDA 201 ACETILENO, E = *1,5 A 2,5* MM</v>
      </c>
    </row>
    <row r="1993" spans="1:10" x14ac:dyDescent="0.25">
      <c r="A1993" s="169">
        <v>38474</v>
      </c>
      <c r="B1993" s="169" t="s">
        <v>25412</v>
      </c>
      <c r="C1993" s="169" t="s">
        <v>10225</v>
      </c>
      <c r="D1993" s="169" t="s">
        <v>1289</v>
      </c>
      <c r="E1993" s="103" t="s">
        <v>30380</v>
      </c>
      <c r="F1993" s="104"/>
      <c r="G1993" s="105">
        <f t="shared" si="124"/>
        <v>41.97</v>
      </c>
      <c r="H1993" s="101" t="str">
        <f t="shared" si="125"/>
        <v>Sinapi 38474</v>
      </c>
      <c r="I1993" s="101" t="str">
        <f t="shared" si="126"/>
        <v>UN</v>
      </c>
      <c r="J1993" s="140" t="str">
        <f t="shared" ref="J1993:J2056" si="127">TRIM(B1993)</f>
        <v>EXTENSAO DE SOLDA 201 GLP, E = *2,5 A 4,0* MM</v>
      </c>
    </row>
    <row r="1994" spans="1:10" x14ac:dyDescent="0.25">
      <c r="A1994" s="169">
        <v>10886</v>
      </c>
      <c r="B1994" s="169" t="s">
        <v>25413</v>
      </c>
      <c r="C1994" s="169" t="s">
        <v>10225</v>
      </c>
      <c r="D1994" s="169" t="s">
        <v>1289</v>
      </c>
      <c r="E1994" s="103" t="s">
        <v>30381</v>
      </c>
      <c r="F1994" s="104"/>
      <c r="G1994" s="105">
        <f t="shared" si="124"/>
        <v>240.62</v>
      </c>
      <c r="H1994" s="101" t="str">
        <f t="shared" si="125"/>
        <v>Sinapi 10886</v>
      </c>
      <c r="I1994" s="101" t="str">
        <f t="shared" si="126"/>
        <v>UN</v>
      </c>
      <c r="J1994" s="140" t="str">
        <f t="shared" si="127"/>
        <v>EXTINTOR DE INCENDIO PORTATIL COM CARGA DE AGUA PRESSURIZADA DE 10 L, CLASSE A</v>
      </c>
    </row>
    <row r="1995" spans="1:10" x14ac:dyDescent="0.25">
      <c r="A1995" s="169">
        <v>10888</v>
      </c>
      <c r="B1995" s="169" t="s">
        <v>25414</v>
      </c>
      <c r="C1995" s="169" t="s">
        <v>10225</v>
      </c>
      <c r="D1995" s="169" t="s">
        <v>1289</v>
      </c>
      <c r="E1995" s="103" t="s">
        <v>30382</v>
      </c>
      <c r="F1995" s="104"/>
      <c r="G1995" s="105">
        <f t="shared" si="124"/>
        <v>761.53</v>
      </c>
      <c r="H1995" s="101" t="str">
        <f t="shared" si="125"/>
        <v>Sinapi 10888</v>
      </c>
      <c r="I1995" s="101" t="str">
        <f t="shared" si="126"/>
        <v>UN</v>
      </c>
      <c r="J1995" s="140" t="str">
        <f t="shared" si="127"/>
        <v>EXTINTOR DE INCENDIO PORTATIL COM CARGA DE GAS CARBONICO CO2 DE 4 KG, CLASSE BC</v>
      </c>
    </row>
    <row r="1996" spans="1:10" x14ac:dyDescent="0.25">
      <c r="A1996" s="169">
        <v>10889</v>
      </c>
      <c r="B1996" s="169" t="s">
        <v>25415</v>
      </c>
      <c r="C1996" s="169" t="s">
        <v>10225</v>
      </c>
      <c r="D1996" s="169" t="s">
        <v>1289</v>
      </c>
      <c r="E1996" s="103" t="s">
        <v>30383</v>
      </c>
      <c r="F1996" s="104"/>
      <c r="G1996" s="105">
        <f t="shared" si="124"/>
        <v>825</v>
      </c>
      <c r="H1996" s="101" t="str">
        <f t="shared" si="125"/>
        <v>Sinapi 10889</v>
      </c>
      <c r="I1996" s="101" t="str">
        <f t="shared" si="126"/>
        <v>UN</v>
      </c>
      <c r="J1996" s="140" t="str">
        <f t="shared" si="127"/>
        <v>EXTINTOR DE INCENDIO PORTATIL COM CARGA DE GAS CARBONICO CO2 DE 6 KG, CLASSE BC</v>
      </c>
    </row>
    <row r="1997" spans="1:10" x14ac:dyDescent="0.25">
      <c r="A1997" s="169">
        <v>10890</v>
      </c>
      <c r="B1997" s="169" t="s">
        <v>25416</v>
      </c>
      <c r="C1997" s="169" t="s">
        <v>10225</v>
      </c>
      <c r="D1997" s="169" t="s">
        <v>1289</v>
      </c>
      <c r="E1997" s="103" t="s">
        <v>30384</v>
      </c>
      <c r="F1997" s="104"/>
      <c r="G1997" s="105">
        <f t="shared" si="124"/>
        <v>380.76</v>
      </c>
      <c r="H1997" s="101" t="str">
        <f t="shared" si="125"/>
        <v>Sinapi 10890</v>
      </c>
      <c r="I1997" s="101" t="str">
        <f t="shared" si="126"/>
        <v>UN</v>
      </c>
      <c r="J1997" s="140" t="str">
        <f t="shared" si="127"/>
        <v>EXTINTOR DE INCENDIO PORTATIL COM CARGA DE PO QUIMICO SECO (PQS) DE 12 KG, CLASSE BC</v>
      </c>
    </row>
    <row r="1998" spans="1:10" x14ac:dyDescent="0.25">
      <c r="A1998" s="169">
        <v>10891</v>
      </c>
      <c r="B1998" s="169" t="s">
        <v>25417</v>
      </c>
      <c r="C1998" s="169" t="s">
        <v>10225</v>
      </c>
      <c r="D1998" s="169" t="s">
        <v>1289</v>
      </c>
      <c r="E1998" s="103" t="s">
        <v>30385</v>
      </c>
      <c r="F1998" s="104"/>
      <c r="G1998" s="105">
        <f t="shared" si="124"/>
        <v>232.69</v>
      </c>
      <c r="H1998" s="101" t="str">
        <f t="shared" si="125"/>
        <v>Sinapi 10891</v>
      </c>
      <c r="I1998" s="101" t="str">
        <f t="shared" si="126"/>
        <v>UN</v>
      </c>
      <c r="J1998" s="140" t="str">
        <f t="shared" si="127"/>
        <v>EXTINTOR DE INCENDIO PORTATIL COM CARGA DE PO QUIMICO SECO (PQS) DE 4 KG, CLASSE BC</v>
      </c>
    </row>
    <row r="1999" spans="1:10" x14ac:dyDescent="0.25">
      <c r="A1999" s="169">
        <v>10892</v>
      </c>
      <c r="B1999" s="169" t="s">
        <v>25418</v>
      </c>
      <c r="C1999" s="169" t="s">
        <v>10225</v>
      </c>
      <c r="D1999" s="169" t="s">
        <v>1288</v>
      </c>
      <c r="E1999" s="103" t="s">
        <v>30386</v>
      </c>
      <c r="F1999" s="104"/>
      <c r="G1999" s="105">
        <f t="shared" si="124"/>
        <v>275</v>
      </c>
      <c r="H1999" s="101" t="str">
        <f t="shared" si="125"/>
        <v>Sinapi 10892</v>
      </c>
      <c r="I1999" s="101" t="str">
        <f t="shared" si="126"/>
        <v>UN</v>
      </c>
      <c r="J1999" s="140" t="str">
        <f t="shared" si="127"/>
        <v>EXTINTOR DE INCENDIO PORTATIL COM CARGA DE PO QUIMICO SECO (PQS) DE 6 KG, CLASSE BC</v>
      </c>
    </row>
    <row r="2000" spans="1:10" x14ac:dyDescent="0.25">
      <c r="A2000" s="169">
        <v>20977</v>
      </c>
      <c r="B2000" s="169" t="s">
        <v>25419</v>
      </c>
      <c r="C2000" s="169" t="s">
        <v>10225</v>
      </c>
      <c r="D2000" s="169" t="s">
        <v>1289</v>
      </c>
      <c r="E2000" s="103" t="s">
        <v>30387</v>
      </c>
      <c r="F2000" s="104"/>
      <c r="G2000" s="105">
        <f t="shared" si="124"/>
        <v>327.88</v>
      </c>
      <c r="H2000" s="101" t="str">
        <f t="shared" si="125"/>
        <v>Sinapi 20977</v>
      </c>
      <c r="I2000" s="101" t="str">
        <f t="shared" si="126"/>
        <v>UN</v>
      </c>
      <c r="J2000" s="140" t="str">
        <f t="shared" si="127"/>
        <v>EXTINTOR DE INCENDIO PORTATIL COM CARGA DE PO QUIMICO SECO (PQS) DE 8 KG, CLASSE BC</v>
      </c>
    </row>
    <row r="2001" spans="1:10" x14ac:dyDescent="0.25">
      <c r="A2001" s="169">
        <v>3073</v>
      </c>
      <c r="B2001" s="169" t="s">
        <v>25420</v>
      </c>
      <c r="C2001" s="169" t="s">
        <v>10225</v>
      </c>
      <c r="D2001" s="169" t="s">
        <v>1289</v>
      </c>
      <c r="E2001" s="103" t="s">
        <v>30388</v>
      </c>
      <c r="F2001" s="104"/>
      <c r="G2001" s="105">
        <f t="shared" si="124"/>
        <v>319.94</v>
      </c>
      <c r="H2001" s="101" t="str">
        <f t="shared" si="125"/>
        <v>Sinapi 3073</v>
      </c>
      <c r="I2001" s="101" t="str">
        <f t="shared" si="126"/>
        <v>UN</v>
      </c>
      <c r="J2001" s="140" t="str">
        <f t="shared" si="127"/>
        <v>EXTREMIDADE PVC PBA, BF, JE, DN 100/ DE 110 MM (NBR 10351)</v>
      </c>
    </row>
    <row r="2002" spans="1:10" x14ac:dyDescent="0.25">
      <c r="A2002" s="169">
        <v>3074</v>
      </c>
      <c r="B2002" s="169" t="s">
        <v>25421</v>
      </c>
      <c r="C2002" s="169" t="s">
        <v>10225</v>
      </c>
      <c r="D2002" s="169" t="s">
        <v>1289</v>
      </c>
      <c r="E2002" s="103" t="s">
        <v>30389</v>
      </c>
      <c r="F2002" s="104"/>
      <c r="G2002" s="105">
        <f t="shared" si="124"/>
        <v>201.99</v>
      </c>
      <c r="H2002" s="101" t="str">
        <f t="shared" si="125"/>
        <v>Sinapi 3074</v>
      </c>
      <c r="I2002" s="101" t="str">
        <f t="shared" si="126"/>
        <v>UN</v>
      </c>
      <c r="J2002" s="140" t="str">
        <f t="shared" si="127"/>
        <v>EXTREMIDADE PVC PBA, BF, JE, DN 75/ DE 85 MM (NBR 10351)</v>
      </c>
    </row>
    <row r="2003" spans="1:10" x14ac:dyDescent="0.25">
      <c r="A2003" s="169">
        <v>3076</v>
      </c>
      <c r="B2003" s="169" t="s">
        <v>25422</v>
      </c>
      <c r="C2003" s="169" t="s">
        <v>10225</v>
      </c>
      <c r="D2003" s="169" t="s">
        <v>1289</v>
      </c>
      <c r="E2003" s="103" t="s">
        <v>30390</v>
      </c>
      <c r="F2003" s="104"/>
      <c r="G2003" s="105">
        <f t="shared" si="124"/>
        <v>263.02</v>
      </c>
      <c r="H2003" s="101" t="str">
        <f t="shared" si="125"/>
        <v>Sinapi 3076</v>
      </c>
      <c r="I2003" s="101" t="str">
        <f t="shared" si="126"/>
        <v>UN</v>
      </c>
      <c r="J2003" s="140" t="str">
        <f t="shared" si="127"/>
        <v>EXTREMIDADE PVC PBA, PF, JE, DN 100 / DE 110 MM (NBR 10351)</v>
      </c>
    </row>
    <row r="2004" spans="1:10" x14ac:dyDescent="0.25">
      <c r="A2004" s="169">
        <v>3075</v>
      </c>
      <c r="B2004" s="169" t="s">
        <v>25423</v>
      </c>
      <c r="C2004" s="169" t="s">
        <v>10225</v>
      </c>
      <c r="D2004" s="169" t="s">
        <v>1289</v>
      </c>
      <c r="E2004" s="103" t="s">
        <v>30391</v>
      </c>
      <c r="F2004" s="104"/>
      <c r="G2004" s="105">
        <f t="shared" si="124"/>
        <v>166.22</v>
      </c>
      <c r="H2004" s="101" t="str">
        <f t="shared" si="125"/>
        <v>Sinapi 3075</v>
      </c>
      <c r="I2004" s="101" t="str">
        <f t="shared" si="126"/>
        <v>UN</v>
      </c>
      <c r="J2004" s="140" t="str">
        <f t="shared" si="127"/>
        <v>EXTREMIDADE PVC PBA, PF, JE, DN 75 / DE 85 MM (NBR 10351)</v>
      </c>
    </row>
    <row r="2005" spans="1:10" x14ac:dyDescent="0.25">
      <c r="A2005" s="169">
        <v>10781</v>
      </c>
      <c r="B2005" s="169" t="s">
        <v>25424</v>
      </c>
      <c r="C2005" s="169" t="s">
        <v>10225</v>
      </c>
      <c r="D2005" s="169" t="s">
        <v>1289</v>
      </c>
      <c r="E2005" s="103" t="s">
        <v>14358</v>
      </c>
      <c r="F2005" s="104"/>
      <c r="G2005" s="105">
        <f t="shared" si="124"/>
        <v>22.54</v>
      </c>
      <c r="H2005" s="101" t="str">
        <f t="shared" si="125"/>
        <v>Sinapi 10781</v>
      </c>
      <c r="I2005" s="101" t="str">
        <f t="shared" si="126"/>
        <v>UN</v>
      </c>
      <c r="J2005" s="140" t="str">
        <f t="shared" si="127"/>
        <v>EXTREMIDADE/TUBETE PARA HIDROMETRO PVC, COM ROSCA, CURTA, COM BUCHA LATAO, 3/4"</v>
      </c>
    </row>
    <row r="2006" spans="1:10" x14ac:dyDescent="0.25">
      <c r="A2006" s="169">
        <v>43612</v>
      </c>
      <c r="B2006" s="169" t="s">
        <v>25425</v>
      </c>
      <c r="C2006" s="169" t="s">
        <v>10227</v>
      </c>
      <c r="D2006" s="169" t="s">
        <v>1289</v>
      </c>
      <c r="E2006" s="103" t="s">
        <v>30392</v>
      </c>
      <c r="F2006" s="104"/>
      <c r="G2006" s="105">
        <f t="shared" si="124"/>
        <v>87.27</v>
      </c>
      <c r="H2006" s="101" t="str">
        <f t="shared" si="125"/>
        <v>Sinapi 43612</v>
      </c>
      <c r="I2006" s="101" t="str">
        <f t="shared" si="126"/>
        <v>CJ</v>
      </c>
      <c r="J2006" s="140" t="str">
        <f t="shared" si="127"/>
        <v>FECHADRUA BICO DE PAPAGAIO PARA PORTA DE CORRER EXTERNA, EM ACO INOX COM ACABAMENTO CROMADO, MAQUINA COM 45 MM, INCLUINDO CHAVE TIPO CILINDRO</v>
      </c>
    </row>
    <row r="2007" spans="1:10" x14ac:dyDescent="0.25">
      <c r="A2007" s="169">
        <v>43613</v>
      </c>
      <c r="B2007" s="169" t="s">
        <v>25426</v>
      </c>
      <c r="C2007" s="169" t="s">
        <v>10227</v>
      </c>
      <c r="D2007" s="169" t="s">
        <v>1289</v>
      </c>
      <c r="E2007" s="103" t="s">
        <v>30393</v>
      </c>
      <c r="F2007" s="104"/>
      <c r="G2007" s="105">
        <f t="shared" si="124"/>
        <v>72.25</v>
      </c>
      <c r="H2007" s="101" t="str">
        <f t="shared" si="125"/>
        <v>Sinapi 43613</v>
      </c>
      <c r="I2007" s="101" t="str">
        <f t="shared" si="126"/>
        <v>CJ</v>
      </c>
      <c r="J2007" s="140" t="str">
        <f t="shared" si="127"/>
        <v>FECHADRUA BICO DE PAPAGAIO PARA PORTA DE CORRER INTERNA, EM ACO INOX COM ACABAMENTO CROMADO, MAQUINA COM 45 MM, INCLUINDO CHAVE TIPO BIPARTIDA</v>
      </c>
    </row>
    <row r="2008" spans="1:10" x14ac:dyDescent="0.25">
      <c r="A2008" s="169">
        <v>11480</v>
      </c>
      <c r="B2008" s="169" t="s">
        <v>25427</v>
      </c>
      <c r="C2008" s="169" t="s">
        <v>10227</v>
      </c>
      <c r="D2008" s="169" t="s">
        <v>1289</v>
      </c>
      <c r="E2008" s="103" t="s">
        <v>30394</v>
      </c>
      <c r="F2008" s="104"/>
      <c r="G2008" s="105">
        <f t="shared" si="124"/>
        <v>110.88</v>
      </c>
      <c r="H2008" s="101" t="str">
        <f t="shared" si="125"/>
        <v>Sinapi 11480</v>
      </c>
      <c r="I2008" s="101" t="str">
        <f t="shared" si="126"/>
        <v>CJ</v>
      </c>
      <c r="J2008" s="140" t="str">
        <f t="shared" si="127"/>
        <v>FECHADURA AUXILIAR DE SEGURANCA PARA PORTA EXTERNA, EM ACO INOX, BROCA DE 45 A 55 MM, LINGUETA COM 3 AVANCOS, INCLUINDO 2 CHAVES TIPO CILINDRO</v>
      </c>
    </row>
    <row r="2009" spans="1:10" x14ac:dyDescent="0.25">
      <c r="A2009" s="169">
        <v>11469</v>
      </c>
      <c r="B2009" s="169" t="s">
        <v>25428</v>
      </c>
      <c r="C2009" s="169" t="s">
        <v>10225</v>
      </c>
      <c r="D2009" s="169" t="s">
        <v>1289</v>
      </c>
      <c r="E2009" s="103" t="s">
        <v>5679</v>
      </c>
      <c r="F2009" s="104"/>
      <c r="G2009" s="105">
        <f t="shared" si="124"/>
        <v>11.83</v>
      </c>
      <c r="H2009" s="101" t="str">
        <f t="shared" si="125"/>
        <v>Sinapi 11469</v>
      </c>
      <c r="I2009" s="101" t="str">
        <f t="shared" si="126"/>
        <v>UN</v>
      </c>
      <c r="J2009" s="140" t="str">
        <f t="shared" si="127"/>
        <v>FECHADURA DE EMBUTIR PARA GAVETA E MOVEIS DE MADEIRA, EM ACO INOX COM ACABAMENTO CROMADO, COM ABAS LATERAIS, CILINDRO COM 22 MM DE DIAMETRO, INCLUINDO CHAVE COM PERFIL METALICO E CAPA ESCAMOTEAVEL</v>
      </c>
    </row>
    <row r="2010" spans="1:10" x14ac:dyDescent="0.25">
      <c r="A2010" s="169">
        <v>11468</v>
      </c>
      <c r="B2010" s="169" t="s">
        <v>25429</v>
      </c>
      <c r="C2010" s="169" t="s">
        <v>10225</v>
      </c>
      <c r="D2010" s="169" t="s">
        <v>1289</v>
      </c>
      <c r="E2010" s="103" t="s">
        <v>17139</v>
      </c>
      <c r="F2010" s="104"/>
      <c r="G2010" s="105">
        <f t="shared" si="124"/>
        <v>11.84</v>
      </c>
      <c r="H2010" s="101" t="str">
        <f t="shared" si="125"/>
        <v>Sinapi 11468</v>
      </c>
      <c r="I2010" s="101" t="str">
        <f t="shared" si="126"/>
        <v>UN</v>
      </c>
      <c r="J2010" s="140" t="str">
        <f t="shared" si="127"/>
        <v>FECHADURA DE SOBREPOR PARA GAVETAS E ARMARIOS, EM ACO INOX COM ACABAMENTO CROMADO, COM CILINDRO DE APROX 20 MM</v>
      </c>
    </row>
    <row r="2011" spans="1:10" x14ac:dyDescent="0.25">
      <c r="A2011" s="169">
        <v>11484</v>
      </c>
      <c r="B2011" s="169" t="s">
        <v>12102</v>
      </c>
      <c r="C2011" s="169" t="s">
        <v>10225</v>
      </c>
      <c r="D2011" s="169" t="s">
        <v>1289</v>
      </c>
      <c r="E2011" s="103" t="s">
        <v>29309</v>
      </c>
      <c r="F2011" s="104"/>
      <c r="G2011" s="105">
        <f t="shared" si="124"/>
        <v>52.02</v>
      </c>
      <c r="H2011" s="101" t="str">
        <f t="shared" si="125"/>
        <v>Sinapi 11484</v>
      </c>
      <c r="I2011" s="101" t="str">
        <f t="shared" si="126"/>
        <v>UN</v>
      </c>
      <c r="J2011" s="140" t="str">
        <f t="shared" si="127"/>
        <v>FECHADURA DE SOBREPOR PARA PORTAO, EM ACO INOX COM ACABAMENTO CROMADO, CAIXA DE 100 MM, INCLUINDO CHAVE TIPO CILINDRO</v>
      </c>
    </row>
    <row r="2012" spans="1:10" x14ac:dyDescent="0.25">
      <c r="A2012" s="169">
        <v>38155</v>
      </c>
      <c r="B2012" s="169" t="s">
        <v>25430</v>
      </c>
      <c r="C2012" s="169" t="s">
        <v>10225</v>
      </c>
      <c r="D2012" s="169" t="s">
        <v>1289</v>
      </c>
      <c r="E2012" s="103" t="s">
        <v>30395</v>
      </c>
      <c r="F2012" s="104"/>
      <c r="G2012" s="105">
        <f t="shared" si="124"/>
        <v>80.760000000000005</v>
      </c>
      <c r="H2012" s="101" t="str">
        <f t="shared" si="125"/>
        <v>Sinapi 38155</v>
      </c>
      <c r="I2012" s="101" t="str">
        <f t="shared" si="126"/>
        <v>UN</v>
      </c>
      <c r="J2012" s="140" t="str">
        <f t="shared" si="127"/>
        <v>FECHADURA DE SOBREPOR PARA PORTAO, EM ACO INOX COM ACABAMENTO CROMADO, CAIXA DE 100 MM, INCLUINDO CHAVE TIPO TETRA</v>
      </c>
    </row>
    <row r="2013" spans="1:10" x14ac:dyDescent="0.25">
      <c r="A2013" s="169">
        <v>11467</v>
      </c>
      <c r="B2013" s="169" t="s">
        <v>25431</v>
      </c>
      <c r="C2013" s="169" t="s">
        <v>10225</v>
      </c>
      <c r="D2013" s="169" t="s">
        <v>1289</v>
      </c>
      <c r="E2013" s="103" t="s">
        <v>23142</v>
      </c>
      <c r="F2013" s="104"/>
      <c r="G2013" s="105">
        <f t="shared" si="124"/>
        <v>18.45</v>
      </c>
      <c r="H2013" s="101" t="str">
        <f t="shared" si="125"/>
        <v>Sinapi 11467</v>
      </c>
      <c r="I2013" s="101" t="str">
        <f t="shared" si="126"/>
        <v>UN</v>
      </c>
      <c r="J2013" s="140" t="str">
        <f t="shared" si="127"/>
        <v>FECHADURA DE SOBREPOR TIPO CAIXAO, EM FERRO COM ACABAMENTO RESINADO, SEM MACANETA, SEM CILINDRO, INCLUINDO CHAVE TIPO SIMPLES</v>
      </c>
    </row>
    <row r="2014" spans="1:10" x14ac:dyDescent="0.25">
      <c r="A2014" s="169">
        <v>38153</v>
      </c>
      <c r="B2014" s="169" t="s">
        <v>25432</v>
      </c>
      <c r="C2014" s="169" t="s">
        <v>10227</v>
      </c>
      <c r="D2014" s="169" t="s">
        <v>1289</v>
      </c>
      <c r="E2014" s="103" t="s">
        <v>30396</v>
      </c>
      <c r="F2014" s="104"/>
      <c r="G2014" s="105">
        <f t="shared" si="124"/>
        <v>47.14</v>
      </c>
      <c r="H2014" s="101" t="str">
        <f t="shared" si="125"/>
        <v>Sinapi 38153</v>
      </c>
      <c r="I2014" s="101" t="str">
        <f t="shared" si="126"/>
        <v>CJ</v>
      </c>
      <c r="J2014" s="140" t="str">
        <f t="shared" si="127"/>
        <v>FECHADURA ESPELHO PARA PORTA DE BANHEIRO, EM ACO INOX (MAQUINA, TESTA E CONTRA-TESTA) E EM ZAMAC (MACANETA, LINGUETA E TRINCOS) COM ACABAMENTO CROMADO, MAQUINA DE 40 MM, INCLUINDO CHAVE TIPO TRANQUETA</v>
      </c>
    </row>
    <row r="2015" spans="1:10" x14ac:dyDescent="0.25">
      <c r="A2015" s="169">
        <v>43607</v>
      </c>
      <c r="B2015" s="169" t="s">
        <v>25433</v>
      </c>
      <c r="C2015" s="169" t="s">
        <v>10227</v>
      </c>
      <c r="D2015" s="169" t="s">
        <v>1289</v>
      </c>
      <c r="E2015" s="103" t="s">
        <v>29080</v>
      </c>
      <c r="F2015" s="104"/>
      <c r="G2015" s="105">
        <f t="shared" si="124"/>
        <v>89.16</v>
      </c>
      <c r="H2015" s="101" t="str">
        <f t="shared" si="125"/>
        <v>Sinapi 43607</v>
      </c>
      <c r="I2015" s="101" t="str">
        <f t="shared" si="126"/>
        <v>CJ</v>
      </c>
      <c r="J2015" s="140" t="str">
        <f t="shared" si="127"/>
        <v>FECHADURA ESPELHO PARA PORTA DE BANHEIRO, EM ACO INOX (MAQUINA, TESTA E CONTRA-TESTA) E EM ZAMAC (MACANETA, LINGUETA E TRINCOS) COM ACABAMENTO CROMADO, MAQUINA DE 55 MM, INCLUINDO CHAVE TIPO TRANQUETA (CONJUNTO DE FECHADURAS)</v>
      </c>
    </row>
    <row r="2016" spans="1:10" x14ac:dyDescent="0.25">
      <c r="A2016" s="169">
        <v>3080</v>
      </c>
      <c r="B2016" s="169" t="s">
        <v>25434</v>
      </c>
      <c r="C2016" s="169" t="s">
        <v>10227</v>
      </c>
      <c r="D2016" s="169" t="s">
        <v>1288</v>
      </c>
      <c r="E2016" s="103" t="s">
        <v>30397</v>
      </c>
      <c r="F2016" s="104"/>
      <c r="G2016" s="105">
        <f t="shared" si="124"/>
        <v>59.95</v>
      </c>
      <c r="H2016" s="101" t="str">
        <f t="shared" si="125"/>
        <v>Sinapi 3080</v>
      </c>
      <c r="I2016" s="101" t="str">
        <f t="shared" si="126"/>
        <v>CJ</v>
      </c>
      <c r="J2016" s="140" t="str">
        <f t="shared" si="127"/>
        <v>FECHADURA ESPELHO PARA PORTA EXTERNA, EM ACO INOX (MAQUINA, TESTA E CONTRA-TESTA) E EM ZAMAC (MACANETA, LINGUETA E TRINCOS) COM ACABAMENTO CROMADO, MAQUINA DE 40 MM, INCLUINDO CHAVE TIPO CILINDRO</v>
      </c>
    </row>
    <row r="2017" spans="1:10" x14ac:dyDescent="0.25">
      <c r="A2017" s="169">
        <v>3081</v>
      </c>
      <c r="B2017" s="169" t="s">
        <v>25435</v>
      </c>
      <c r="C2017" s="169" t="s">
        <v>10227</v>
      </c>
      <c r="D2017" s="169" t="s">
        <v>1289</v>
      </c>
      <c r="E2017" s="103" t="s">
        <v>30398</v>
      </c>
      <c r="F2017" s="104"/>
      <c r="G2017" s="105">
        <f t="shared" si="124"/>
        <v>118.61</v>
      </c>
      <c r="H2017" s="101" t="str">
        <f t="shared" si="125"/>
        <v>Sinapi 3081</v>
      </c>
      <c r="I2017" s="101" t="str">
        <f t="shared" si="126"/>
        <v>CJ</v>
      </c>
      <c r="J2017" s="140" t="str">
        <f t="shared" si="127"/>
        <v>FECHADURA ESPELHO PARA PORTA EXTERNA, EM ACO INOX (MAQUINA, TESTA E CONTRA-TESTA) E EM ZAMAC (MACANETA, LINGUETA E TRINCOS) COM ACABAMENTO CROMADO, MAQUINA DE 55 MM, INCLUINDO CHAVE TIPO CILINDRO</v>
      </c>
    </row>
    <row r="2018" spans="1:10" x14ac:dyDescent="0.25">
      <c r="A2018" s="169">
        <v>3090</v>
      </c>
      <c r="B2018" s="169" t="s">
        <v>25436</v>
      </c>
      <c r="C2018" s="169" t="s">
        <v>10227</v>
      </c>
      <c r="D2018" s="169" t="s">
        <v>1289</v>
      </c>
      <c r="E2018" s="103" t="s">
        <v>29307</v>
      </c>
      <c r="F2018" s="104"/>
      <c r="G2018" s="105">
        <f t="shared" si="124"/>
        <v>53.51</v>
      </c>
      <c r="H2018" s="101" t="str">
        <f t="shared" si="125"/>
        <v>Sinapi 3090</v>
      </c>
      <c r="I2018" s="101" t="str">
        <f t="shared" si="126"/>
        <v>CJ</v>
      </c>
      <c r="J2018" s="140" t="str">
        <f t="shared" si="127"/>
        <v>FECHADURA ESPELHO PARA PORTA INTERNA, EM ACO INOX (MAQUINA, TESTA E CONTRA-TESTA) E EM ZAMAC (MACANETA, LINGUETA E TRINCOS) COM ACABAMENTO CROMADO, MAQUINA DE 40 MM, INCLUINDO CHAVE TIPO INTERNA</v>
      </c>
    </row>
    <row r="2019" spans="1:10" x14ac:dyDescent="0.25">
      <c r="A2019" s="169">
        <v>43611</v>
      </c>
      <c r="B2019" s="169" t="s">
        <v>25437</v>
      </c>
      <c r="C2019" s="169" t="s">
        <v>10227</v>
      </c>
      <c r="D2019" s="169" t="s">
        <v>1289</v>
      </c>
      <c r="E2019" s="103" t="s">
        <v>23905</v>
      </c>
      <c r="F2019" s="104"/>
      <c r="G2019" s="105">
        <f t="shared" si="124"/>
        <v>88.79</v>
      </c>
      <c r="H2019" s="101" t="str">
        <f t="shared" si="125"/>
        <v>Sinapi 43611</v>
      </c>
      <c r="I2019" s="101" t="str">
        <f t="shared" si="126"/>
        <v>CJ</v>
      </c>
      <c r="J2019" s="140" t="str">
        <f t="shared" si="127"/>
        <v>FECHADURA ESPELHO PARA PORTA INTERNA, EM ACO INOX (MAQUINA, TESTA E CONTRA-TESTA) E EM ZAMAC (MACANETA, LINGUETA E TRINCOS) COM ACABAMENTO CROMADO, MAQUINA DE 55 MM, INCLUINDO CHAVE TIPO INTERNA</v>
      </c>
    </row>
    <row r="2020" spans="1:10" x14ac:dyDescent="0.25">
      <c r="A2020" s="169">
        <v>3103</v>
      </c>
      <c r="B2020" s="169" t="s">
        <v>25438</v>
      </c>
      <c r="C2020" s="169" t="s">
        <v>10225</v>
      </c>
      <c r="D2020" s="169" t="s">
        <v>1289</v>
      </c>
      <c r="E2020" s="103" t="s">
        <v>22032</v>
      </c>
      <c r="F2020" s="104"/>
      <c r="G2020" s="105">
        <f t="shared" si="124"/>
        <v>44.36</v>
      </c>
      <c r="H2020" s="101" t="str">
        <f t="shared" si="125"/>
        <v>Sinapi 3103</v>
      </c>
      <c r="I2020" s="101" t="str">
        <f t="shared" si="126"/>
        <v>UN</v>
      </c>
      <c r="J2020" s="140" t="str">
        <f t="shared" si="127"/>
        <v>FECHADURA PARA PORTA PIVOTANTE DE VIDRO TEMPERADO, EM ACO INOX COM ACABAMENTO CROMADO, RECORTE PADRAO SANTA MARINA, COM CILINDRO EM LATAO, INCLUINDO CHAVE TIPO CILINDRO</v>
      </c>
    </row>
    <row r="2021" spans="1:10" x14ac:dyDescent="0.25">
      <c r="A2021" s="169">
        <v>3097</v>
      </c>
      <c r="B2021" s="169" t="s">
        <v>25439</v>
      </c>
      <c r="C2021" s="169" t="s">
        <v>10227</v>
      </c>
      <c r="D2021" s="169" t="s">
        <v>1289</v>
      </c>
      <c r="E2021" s="103" t="s">
        <v>25680</v>
      </c>
      <c r="F2021" s="104"/>
      <c r="G2021" s="105">
        <f t="shared" si="124"/>
        <v>67.12</v>
      </c>
      <c r="H2021" s="101" t="str">
        <f t="shared" si="125"/>
        <v>Sinapi 3097</v>
      </c>
      <c r="I2021" s="101" t="str">
        <f t="shared" si="126"/>
        <v>CJ</v>
      </c>
      <c r="J2021" s="140" t="str">
        <f t="shared" si="127"/>
        <v>FECHADURA ROSETA REDONDA PARA PORTA DE BANHEIRO, EM ACO INOX (MAQUINA, TESTA E CONTRA-TESTA) E EM ZAMAC (MACANETA, LINGUETA E TRINCOS) COM ACABAMENTO CROMADO, MAQUINA DE 40 MM, INCLUINDO CHAVE TIPO TRANQUETA</v>
      </c>
    </row>
    <row r="2022" spans="1:10" x14ac:dyDescent="0.25">
      <c r="A2022" s="169">
        <v>3099</v>
      </c>
      <c r="B2022" s="169" t="s">
        <v>25440</v>
      </c>
      <c r="C2022" s="169" t="s">
        <v>10227</v>
      </c>
      <c r="D2022" s="169" t="s">
        <v>1289</v>
      </c>
      <c r="E2022" s="103" t="s">
        <v>30399</v>
      </c>
      <c r="F2022" s="104"/>
      <c r="G2022" s="105">
        <f t="shared" si="124"/>
        <v>107.48</v>
      </c>
      <c r="H2022" s="101" t="str">
        <f t="shared" si="125"/>
        <v>Sinapi 3099</v>
      </c>
      <c r="I2022" s="101" t="str">
        <f t="shared" si="126"/>
        <v>CJ</v>
      </c>
      <c r="J2022" s="140" t="str">
        <f t="shared" si="127"/>
        <v>FECHADURA ROSETA REDONDA PARA PORTA DE BANHEIRO, EM ACO INOX (MAQUINA, TESTA E CONTRA-TESTA) E EM ZAMAC (MACANETA, LINGUETA E TRINCOS) COM ACABAMENTO CROMADO, MAQUINA DE 55 MM, INCLUINDO CHAVE TIPO TRANQUETA</v>
      </c>
    </row>
    <row r="2023" spans="1:10" x14ac:dyDescent="0.25">
      <c r="A2023" s="169">
        <v>38151</v>
      </c>
      <c r="B2023" s="169" t="s">
        <v>25441</v>
      </c>
      <c r="C2023" s="169" t="s">
        <v>10227</v>
      </c>
      <c r="D2023" s="169" t="s">
        <v>1289</v>
      </c>
      <c r="E2023" s="103" t="s">
        <v>30400</v>
      </c>
      <c r="F2023" s="104"/>
      <c r="G2023" s="105">
        <f t="shared" si="124"/>
        <v>77.92</v>
      </c>
      <c r="H2023" s="101" t="str">
        <f t="shared" si="125"/>
        <v>Sinapi 38151</v>
      </c>
      <c r="I2023" s="101" t="str">
        <f t="shared" si="126"/>
        <v>CJ</v>
      </c>
      <c r="J2023" s="140" t="str">
        <f t="shared" si="127"/>
        <v>FECHADURA ROSETA REDONDA PARA PORTA EXTERNA, EM ACO INOX (MAQUINA, TESTA E CONTRA-TESTA) E EM ZAMAC (MACANETA, LINGUETA E TRINCOS) COM ACABAMENTO CROMADO, MAQUINA DE 40 MM, INCLUINDO CHAVE TIPO CILINDRO</v>
      </c>
    </row>
    <row r="2024" spans="1:10" x14ac:dyDescent="0.25">
      <c r="A2024" s="169">
        <v>38152</v>
      </c>
      <c r="B2024" s="169" t="s">
        <v>25442</v>
      </c>
      <c r="C2024" s="169" t="s">
        <v>10227</v>
      </c>
      <c r="D2024" s="169" t="s">
        <v>1289</v>
      </c>
      <c r="E2024" s="103" t="s">
        <v>30401</v>
      </c>
      <c r="F2024" s="104"/>
      <c r="G2024" s="105">
        <f t="shared" si="124"/>
        <v>125.69</v>
      </c>
      <c r="H2024" s="101" t="str">
        <f t="shared" si="125"/>
        <v>Sinapi 38152</v>
      </c>
      <c r="I2024" s="101" t="str">
        <f t="shared" si="126"/>
        <v>CJ</v>
      </c>
      <c r="J2024" s="140" t="str">
        <f t="shared" si="127"/>
        <v>FECHADURA ROSETA REDONDA PARA PORTA EXTERNA, EM ACO INOX (MAQUINA, TESTA E CONTRA-TESTA) E EM ZAMAC (MACANETA, LINGUETA E TRINCOS) COM ACABAMENTO CROMADO, MAQUINA DE 55 MM, INCLUINDO CHAVE TIPO CILINDRO</v>
      </c>
    </row>
    <row r="2025" spans="1:10" x14ac:dyDescent="0.25">
      <c r="A2025" s="169">
        <v>43610</v>
      </c>
      <c r="B2025" s="169" t="s">
        <v>25443</v>
      </c>
      <c r="C2025" s="169" t="s">
        <v>10227</v>
      </c>
      <c r="D2025" s="169" t="s">
        <v>1289</v>
      </c>
      <c r="E2025" s="103" t="s">
        <v>28752</v>
      </c>
      <c r="F2025" s="104"/>
      <c r="G2025" s="105">
        <f t="shared" si="124"/>
        <v>66.599999999999994</v>
      </c>
      <c r="H2025" s="101" t="str">
        <f t="shared" si="125"/>
        <v>Sinapi 43610</v>
      </c>
      <c r="I2025" s="101" t="str">
        <f t="shared" si="126"/>
        <v>CJ</v>
      </c>
      <c r="J2025" s="140" t="str">
        <f t="shared" si="127"/>
        <v>FECHADURA ROSETA REDONDA PARA PORTA INTERNA, EM ACO INOX (MAQUINA, TESTA E CONTRA-TESTA) E EM ZAMAC (MACANETA, LINGUETA E TRINCOS) COM ACABAMENTO CROMADO, MAQUINA DE 40 MM, INCLUINDO CHAVE TIPO INTERNA (CONJUNTO DE FECHADURAS)</v>
      </c>
    </row>
    <row r="2026" spans="1:10" x14ac:dyDescent="0.25">
      <c r="A2026" s="169">
        <v>3093</v>
      </c>
      <c r="B2026" s="169" t="s">
        <v>25444</v>
      </c>
      <c r="C2026" s="169" t="s">
        <v>10227</v>
      </c>
      <c r="D2026" s="169" t="s">
        <v>1289</v>
      </c>
      <c r="E2026" s="103" t="s">
        <v>30399</v>
      </c>
      <c r="F2026" s="104"/>
      <c r="G2026" s="105">
        <f t="shared" si="124"/>
        <v>107.48</v>
      </c>
      <c r="H2026" s="101" t="str">
        <f t="shared" si="125"/>
        <v>Sinapi 3093</v>
      </c>
      <c r="I2026" s="101" t="str">
        <f t="shared" si="126"/>
        <v>CJ</v>
      </c>
      <c r="J2026" s="140" t="str">
        <f t="shared" si="127"/>
        <v>FECHADURA ROSETA REDONDA PARA PORTA INTERNA, EM ACO INOX (MAQUINA, TESTA E CONTRA-TESTA) E EM ZAMAC (MACANETA, LINGUETA E TRINCOS) COM ACABAMENTO CROMADO, MAQUINA DE 55 MM, INCLUINDO CHAVE TIPO INTERNA</v>
      </c>
    </row>
    <row r="2027" spans="1:10" x14ac:dyDescent="0.25">
      <c r="A2027" s="169">
        <v>38165</v>
      </c>
      <c r="B2027" s="169" t="s">
        <v>25445</v>
      </c>
      <c r="C2027" s="169" t="s">
        <v>10227</v>
      </c>
      <c r="D2027" s="169" t="s">
        <v>1289</v>
      </c>
      <c r="E2027" s="103" t="s">
        <v>29196</v>
      </c>
      <c r="F2027" s="104"/>
      <c r="G2027" s="105">
        <f t="shared" si="124"/>
        <v>79.31</v>
      </c>
      <c r="H2027" s="101" t="str">
        <f t="shared" si="125"/>
        <v>Sinapi 38165</v>
      </c>
      <c r="I2027" s="101" t="str">
        <f t="shared" si="126"/>
        <v>CJ</v>
      </c>
      <c r="J2027" s="140" t="str">
        <f t="shared" si="127"/>
        <v>FECHO / FECHADURA COM PUXADOR CONCHA, COM TRANCA TIPO TRAVA, PARA JANELA / PORTA DE CORRER (INCLUI TESTA, FECHADURA, PUXADOR) - COMPLETA</v>
      </c>
    </row>
    <row r="2028" spans="1:10" x14ac:dyDescent="0.25">
      <c r="A2028" s="169">
        <v>38177</v>
      </c>
      <c r="B2028" s="169" t="s">
        <v>25446</v>
      </c>
      <c r="C2028" s="169" t="s">
        <v>10225</v>
      </c>
      <c r="D2028" s="169" t="s">
        <v>1289</v>
      </c>
      <c r="E2028" s="103" t="s">
        <v>19382</v>
      </c>
      <c r="F2028" s="104"/>
      <c r="G2028" s="105">
        <f t="shared" si="124"/>
        <v>23.57</v>
      </c>
      <c r="H2028" s="101" t="str">
        <f t="shared" si="125"/>
        <v>Sinapi 38177</v>
      </c>
      <c r="I2028" s="101" t="str">
        <f t="shared" si="126"/>
        <v>UN</v>
      </c>
      <c r="J2028" s="140" t="str">
        <f t="shared" si="127"/>
        <v>FECHO / TRINCO TIPO AVIAO, EM ZAMAC CROMADO, *60* MM, PARA JANELAS - INCLUI PARAFUSOS</v>
      </c>
    </row>
    <row r="2029" spans="1:10" x14ac:dyDescent="0.25">
      <c r="A2029" s="169">
        <v>11458</v>
      </c>
      <c r="B2029" s="169" t="s">
        <v>25447</v>
      </c>
      <c r="C2029" s="169" t="s">
        <v>10225</v>
      </c>
      <c r="D2029" s="169" t="s">
        <v>1289</v>
      </c>
      <c r="E2029" s="103" t="s">
        <v>21903</v>
      </c>
      <c r="F2029" s="104"/>
      <c r="G2029" s="105">
        <f t="shared" si="124"/>
        <v>28.14</v>
      </c>
      <c r="H2029" s="101" t="str">
        <f t="shared" si="125"/>
        <v>Sinapi 11458</v>
      </c>
      <c r="I2029" s="101" t="str">
        <f t="shared" si="126"/>
        <v>UN</v>
      </c>
      <c r="J2029" s="140" t="str">
        <f t="shared" si="127"/>
        <v>FECHO DE SEGURANCA, TIPO BATOM, EM LATAO / ZAMAC, CROMADO, PARA PORTAS E JANELAS - INCLUI PARAFUSOS</v>
      </c>
    </row>
    <row r="2030" spans="1:10" x14ac:dyDescent="0.25">
      <c r="A2030" s="169">
        <v>3108</v>
      </c>
      <c r="B2030" s="169" t="s">
        <v>25448</v>
      </c>
      <c r="C2030" s="169" t="s">
        <v>10225</v>
      </c>
      <c r="D2030" s="169" t="s">
        <v>1289</v>
      </c>
      <c r="E2030" s="103" t="s">
        <v>30402</v>
      </c>
      <c r="F2030" s="104"/>
      <c r="G2030" s="105">
        <f t="shared" si="124"/>
        <v>119.62</v>
      </c>
      <c r="H2030" s="101" t="str">
        <f t="shared" si="125"/>
        <v>Sinapi 3108</v>
      </c>
      <c r="I2030" s="101" t="str">
        <f t="shared" si="126"/>
        <v>UN</v>
      </c>
      <c r="J2030" s="140" t="str">
        <f t="shared" si="127"/>
        <v>FECHO QUEBRA UNHA, EM LATAO COM ACABAMENTO CROMADO, DE EMBUTIR, COM COMANDO ALAVANCA, ALTURA DE DE 22 CM, LARGURA MINIMA DE 1,90 CM E ESPESSURA MINIMA DE 1,90 MM, PARA PORTAS E JANELAS (INCLUI PARAFUSOS)</v>
      </c>
    </row>
    <row r="2031" spans="1:10" x14ac:dyDescent="0.25">
      <c r="A2031" s="169">
        <v>3105</v>
      </c>
      <c r="B2031" s="169" t="s">
        <v>25449</v>
      </c>
      <c r="C2031" s="169" t="s">
        <v>10225</v>
      </c>
      <c r="D2031" s="169" t="s">
        <v>1289</v>
      </c>
      <c r="E2031" s="103" t="s">
        <v>30403</v>
      </c>
      <c r="F2031" s="104"/>
      <c r="G2031" s="105">
        <f t="shared" si="124"/>
        <v>156.44999999999999</v>
      </c>
      <c r="H2031" s="101" t="str">
        <f t="shared" si="125"/>
        <v>Sinapi 3105</v>
      </c>
      <c r="I2031" s="101" t="str">
        <f t="shared" si="126"/>
        <v>UN</v>
      </c>
      <c r="J2031" s="140" t="str">
        <f t="shared" si="127"/>
        <v>FECHO QUEBRA UNHA, EM LATAO COM ACABAMENTO CROMADO, DE EMBUTIR, COM COMANDO ALAVANCA, ALTURA DE DE 40 CM, LARGURA MINIMA DE 1,90 CM E ESPESSURA MINIMA DE 1,90 MM, PARA PORTAS E JANELAS (INCLUI PARAFUSOS)</v>
      </c>
    </row>
    <row r="2032" spans="1:10" x14ac:dyDescent="0.25">
      <c r="A2032" s="169">
        <v>38178</v>
      </c>
      <c r="B2032" s="169" t="s">
        <v>25450</v>
      </c>
      <c r="C2032" s="169" t="s">
        <v>10225</v>
      </c>
      <c r="D2032" s="169" t="s">
        <v>1289</v>
      </c>
      <c r="E2032" s="103" t="s">
        <v>15202</v>
      </c>
      <c r="F2032" s="104"/>
      <c r="G2032" s="105">
        <f t="shared" si="124"/>
        <v>25.93</v>
      </c>
      <c r="H2032" s="101" t="str">
        <f t="shared" si="125"/>
        <v>Sinapi 38178</v>
      </c>
      <c r="I2032" s="101" t="str">
        <f t="shared" si="126"/>
        <v>UN</v>
      </c>
      <c r="J2032" s="140" t="str">
        <f t="shared" si="127"/>
        <v>FECHO QUEBRA UNHA, EM LATAO COM ACABAMENTO CROMADO, DE EMBUTIR, COM COMANDO DESLIZANTE, ALTURA DE 12 CM, LARGURA MINIMA DE 1,90 CM E ESPESSURA MINIMA DE 1,90 MM</v>
      </c>
    </row>
    <row r="2033" spans="1:10" x14ac:dyDescent="0.25">
      <c r="A2033" s="169">
        <v>43575</v>
      </c>
      <c r="B2033" s="169" t="s">
        <v>25451</v>
      </c>
      <c r="C2033" s="169" t="s">
        <v>10225</v>
      </c>
      <c r="D2033" s="169" t="s">
        <v>1289</v>
      </c>
      <c r="E2033" s="103" t="s">
        <v>30404</v>
      </c>
      <c r="F2033" s="104"/>
      <c r="G2033" s="105">
        <f t="shared" si="124"/>
        <v>56.19</v>
      </c>
      <c r="H2033" s="101" t="str">
        <f t="shared" si="125"/>
        <v>Sinapi 43575</v>
      </c>
      <c r="I2033" s="101" t="str">
        <f t="shared" si="126"/>
        <v>UN</v>
      </c>
      <c r="J2033" s="140" t="str">
        <f t="shared" si="127"/>
        <v>FECHO QUEBRA UNHA, EM LATAO COM ACABAMENTO CROMADO, DE EMBUTIR, COM COMANDO DESLIZANTE, ALTURA DE 22 CM, LARGURA MINIMA DE 1,90 CM E ESPESSURA MINIMA DE 1,90 MM</v>
      </c>
    </row>
    <row r="2034" spans="1:10" x14ac:dyDescent="0.25">
      <c r="A2034" s="169">
        <v>43577</v>
      </c>
      <c r="B2034" s="169" t="s">
        <v>25452</v>
      </c>
      <c r="C2034" s="169" t="s">
        <v>10225</v>
      </c>
      <c r="D2034" s="169" t="s">
        <v>1289</v>
      </c>
      <c r="E2034" s="103" t="s">
        <v>30405</v>
      </c>
      <c r="F2034" s="104"/>
      <c r="G2034" s="105">
        <f t="shared" si="124"/>
        <v>97.68</v>
      </c>
      <c r="H2034" s="101" t="str">
        <f t="shared" si="125"/>
        <v>Sinapi 43577</v>
      </c>
      <c r="I2034" s="101" t="str">
        <f t="shared" si="126"/>
        <v>UN</v>
      </c>
      <c r="J2034" s="140" t="str">
        <f t="shared" si="127"/>
        <v>FECHO QUEBRA UNHA, EM LATAO COM ACABAMENTO CROMADO, DE EMBUTIR, COM COMANDO DESLIZANTE, ALTURA DE 40 CM, LARGURA MINIMA DE 1,90 CM E ESPESSURA MINIMA DE 1,90 MM</v>
      </c>
    </row>
    <row r="2035" spans="1:10" x14ac:dyDescent="0.25">
      <c r="A2035" s="169">
        <v>43458</v>
      </c>
      <c r="B2035" s="169" t="s">
        <v>25453</v>
      </c>
      <c r="C2035" s="169" t="s">
        <v>10228</v>
      </c>
      <c r="D2035" s="169" t="s">
        <v>1288</v>
      </c>
      <c r="E2035" s="103" t="s">
        <v>2575</v>
      </c>
      <c r="F2035" s="104"/>
      <c r="G2035" s="105">
        <f t="shared" si="124"/>
        <v>0.06</v>
      </c>
      <c r="H2035" s="101" t="str">
        <f t="shared" si="125"/>
        <v>Sinapi 43458</v>
      </c>
      <c r="I2035" s="101" t="str">
        <f t="shared" si="126"/>
        <v>H</v>
      </c>
      <c r="J2035" s="140" t="str">
        <f t="shared" si="127"/>
        <v>FERRAMENTAS - FAMILIA ALMOXARIFE - HORISTA (ENCARGOS COMPLEMENTARES - COLETADO CAIXA)</v>
      </c>
    </row>
    <row r="2036" spans="1:10" x14ac:dyDescent="0.25">
      <c r="A2036" s="169">
        <v>43470</v>
      </c>
      <c r="B2036" s="169" t="s">
        <v>25454</v>
      </c>
      <c r="C2036" s="169" t="s">
        <v>10235</v>
      </c>
      <c r="D2036" s="169" t="s">
        <v>1288</v>
      </c>
      <c r="E2036" s="103" t="s">
        <v>15660</v>
      </c>
      <c r="F2036" s="104"/>
      <c r="G2036" s="105">
        <f t="shared" si="124"/>
        <v>10.6</v>
      </c>
      <c r="H2036" s="101" t="str">
        <f t="shared" si="125"/>
        <v>Sinapi 43470</v>
      </c>
      <c r="I2036" s="101" t="str">
        <f t="shared" si="126"/>
        <v>MES</v>
      </c>
      <c r="J2036" s="140" t="str">
        <f t="shared" si="127"/>
        <v>FERRAMENTAS - FAMILIA ALMOXARIFE - MENSALISTA (ENCARGOS COMPLEMENTARES - COLETADO CAIXA)</v>
      </c>
    </row>
    <row r="2037" spans="1:10" x14ac:dyDescent="0.25">
      <c r="A2037" s="169">
        <v>43459</v>
      </c>
      <c r="B2037" s="169" t="s">
        <v>25455</v>
      </c>
      <c r="C2037" s="169" t="s">
        <v>10228</v>
      </c>
      <c r="D2037" s="169" t="s">
        <v>1288</v>
      </c>
      <c r="E2037" s="103" t="s">
        <v>3408</v>
      </c>
      <c r="F2037" s="104"/>
      <c r="G2037" s="105">
        <f t="shared" si="124"/>
        <v>0.49</v>
      </c>
      <c r="H2037" s="101" t="str">
        <f t="shared" si="125"/>
        <v>Sinapi 43459</v>
      </c>
      <c r="I2037" s="101" t="str">
        <f t="shared" si="126"/>
        <v>H</v>
      </c>
      <c r="J2037" s="140" t="str">
        <f t="shared" si="127"/>
        <v>FERRAMENTAS - FAMILIA CARPINTEIRO DE FORMAS - HORISTA (ENCARGOS COMPLEMENTARES - COLETADO CAIXA)</v>
      </c>
    </row>
    <row r="2038" spans="1:10" x14ac:dyDescent="0.25">
      <c r="A2038" s="169">
        <v>43471</v>
      </c>
      <c r="B2038" s="169" t="s">
        <v>25456</v>
      </c>
      <c r="C2038" s="169" t="s">
        <v>10235</v>
      </c>
      <c r="D2038" s="169" t="s">
        <v>1288</v>
      </c>
      <c r="E2038" s="103" t="s">
        <v>18586</v>
      </c>
      <c r="F2038" s="104"/>
      <c r="G2038" s="105">
        <f t="shared" si="124"/>
        <v>92.9</v>
      </c>
      <c r="H2038" s="101" t="str">
        <f t="shared" si="125"/>
        <v>Sinapi 43471</v>
      </c>
      <c r="I2038" s="101" t="str">
        <f t="shared" si="126"/>
        <v>MES</v>
      </c>
      <c r="J2038" s="140" t="str">
        <f t="shared" si="127"/>
        <v>FERRAMENTAS - FAMILIA CARPINTEIRO DE FORMAS - MENSALISTA (ENCARGOS COMPLEMENTARES - COLETADO CAIXA)</v>
      </c>
    </row>
    <row r="2039" spans="1:10" x14ac:dyDescent="0.25">
      <c r="A2039" s="169">
        <v>43460</v>
      </c>
      <c r="B2039" s="169" t="s">
        <v>25457</v>
      </c>
      <c r="C2039" s="169" t="s">
        <v>10228</v>
      </c>
      <c r="D2039" s="169" t="s">
        <v>1288</v>
      </c>
      <c r="E2039" s="103" t="s">
        <v>14927</v>
      </c>
      <c r="F2039" s="104"/>
      <c r="G2039" s="105">
        <f t="shared" si="124"/>
        <v>0.86</v>
      </c>
      <c r="H2039" s="101" t="str">
        <f t="shared" si="125"/>
        <v>Sinapi 43460</v>
      </c>
      <c r="I2039" s="101" t="str">
        <f t="shared" si="126"/>
        <v>H</v>
      </c>
      <c r="J2039" s="140" t="str">
        <f t="shared" si="127"/>
        <v>FERRAMENTAS - FAMILIA ELETRICISTA - HORISTA (ENCARGOS COMPLEMENTARES - COLETADO CAIXA)</v>
      </c>
    </row>
    <row r="2040" spans="1:10" x14ac:dyDescent="0.25">
      <c r="A2040" s="169">
        <v>43472</v>
      </c>
      <c r="B2040" s="169" t="s">
        <v>25458</v>
      </c>
      <c r="C2040" s="169" t="s">
        <v>10235</v>
      </c>
      <c r="D2040" s="169" t="s">
        <v>1288</v>
      </c>
      <c r="E2040" s="103" t="s">
        <v>18587</v>
      </c>
      <c r="F2040" s="104"/>
      <c r="G2040" s="105">
        <f t="shared" si="124"/>
        <v>161.79</v>
      </c>
      <c r="H2040" s="101" t="str">
        <f t="shared" si="125"/>
        <v>Sinapi 43472</v>
      </c>
      <c r="I2040" s="101" t="str">
        <f t="shared" si="126"/>
        <v>MES</v>
      </c>
      <c r="J2040" s="140" t="str">
        <f t="shared" si="127"/>
        <v>FERRAMENTAS - FAMILIA ELETRICISTA - MENSALISTA (ENCARGOS COMPLEMENTARES - COLETADO CAIXA)</v>
      </c>
    </row>
    <row r="2041" spans="1:10" x14ac:dyDescent="0.25">
      <c r="A2041" s="169">
        <v>43461</v>
      </c>
      <c r="B2041" s="169" t="s">
        <v>25459</v>
      </c>
      <c r="C2041" s="169" t="s">
        <v>10228</v>
      </c>
      <c r="D2041" s="169" t="s">
        <v>1288</v>
      </c>
      <c r="E2041" s="103" t="s">
        <v>2744</v>
      </c>
      <c r="F2041" s="104"/>
      <c r="G2041" s="105">
        <f t="shared" si="124"/>
        <v>0.32</v>
      </c>
      <c r="H2041" s="101" t="str">
        <f t="shared" si="125"/>
        <v>Sinapi 43461</v>
      </c>
      <c r="I2041" s="101" t="str">
        <f t="shared" si="126"/>
        <v>H</v>
      </c>
      <c r="J2041" s="140" t="str">
        <f t="shared" si="127"/>
        <v>FERRAMENTAS - FAMILIA ENCANADOR - HORISTA (ENCARGOS COMPLEMENTARES - COLETADO CAIXA)</v>
      </c>
    </row>
    <row r="2042" spans="1:10" x14ac:dyDescent="0.25">
      <c r="A2042" s="169">
        <v>43473</v>
      </c>
      <c r="B2042" s="169" t="s">
        <v>25460</v>
      </c>
      <c r="C2042" s="169" t="s">
        <v>10235</v>
      </c>
      <c r="D2042" s="169" t="s">
        <v>1288</v>
      </c>
      <c r="E2042" s="103" t="s">
        <v>17307</v>
      </c>
      <c r="F2042" s="104"/>
      <c r="G2042" s="105">
        <f t="shared" si="124"/>
        <v>60.76</v>
      </c>
      <c r="H2042" s="101" t="str">
        <f t="shared" si="125"/>
        <v>Sinapi 43473</v>
      </c>
      <c r="I2042" s="101" t="str">
        <f t="shared" si="126"/>
        <v>MES</v>
      </c>
      <c r="J2042" s="140" t="str">
        <f t="shared" si="127"/>
        <v>FERRAMENTAS - FAMILIA ENCANADOR - MENSALISTA (ENCARGOS COMPLEMENTARES - COLETADO CAIXA)</v>
      </c>
    </row>
    <row r="2043" spans="1:10" x14ac:dyDescent="0.25">
      <c r="A2043" s="169">
        <v>43463</v>
      </c>
      <c r="B2043" s="169" t="s">
        <v>25461</v>
      </c>
      <c r="C2043" s="169" t="s">
        <v>10228</v>
      </c>
      <c r="D2043" s="169" t="s">
        <v>1288</v>
      </c>
      <c r="E2043" s="103" t="s">
        <v>3271</v>
      </c>
      <c r="F2043" s="104"/>
      <c r="G2043" s="105">
        <f t="shared" si="124"/>
        <v>0.11</v>
      </c>
      <c r="H2043" s="101" t="str">
        <f t="shared" si="125"/>
        <v>Sinapi 43463</v>
      </c>
      <c r="I2043" s="101" t="str">
        <f t="shared" si="126"/>
        <v>H</v>
      </c>
      <c r="J2043" s="140" t="str">
        <f t="shared" si="127"/>
        <v>FERRAMENTAS - FAMILIA ENCARREGADO GERAL - HORISTA (ENCARGOS COMPLEMENTARES - COLETADO CAIXA)</v>
      </c>
    </row>
    <row r="2044" spans="1:10" x14ac:dyDescent="0.25">
      <c r="A2044" s="169">
        <v>43475</v>
      </c>
      <c r="B2044" s="169" t="s">
        <v>25462</v>
      </c>
      <c r="C2044" s="169" t="s">
        <v>10235</v>
      </c>
      <c r="D2044" s="169" t="s">
        <v>1288</v>
      </c>
      <c r="E2044" s="103" t="s">
        <v>18588</v>
      </c>
      <c r="F2044" s="104"/>
      <c r="G2044" s="105">
        <f t="shared" si="124"/>
        <v>21.49</v>
      </c>
      <c r="H2044" s="101" t="str">
        <f t="shared" si="125"/>
        <v>Sinapi 43475</v>
      </c>
      <c r="I2044" s="101" t="str">
        <f t="shared" si="126"/>
        <v>MES</v>
      </c>
      <c r="J2044" s="140" t="str">
        <f t="shared" si="127"/>
        <v>FERRAMENTAS - FAMILIA ENCARREGADO GERAL - MENSALISTA (ENCARGOS COMPLEMENTARES - COLETADO CAIXA)</v>
      </c>
    </row>
    <row r="2045" spans="1:10" x14ac:dyDescent="0.25">
      <c r="A2045" s="169">
        <v>43462</v>
      </c>
      <c r="B2045" s="169" t="s">
        <v>25463</v>
      </c>
      <c r="C2045" s="169" t="s">
        <v>10228</v>
      </c>
      <c r="D2045" s="169" t="s">
        <v>1288</v>
      </c>
      <c r="E2045" s="103" t="s">
        <v>3187</v>
      </c>
      <c r="F2045" s="104"/>
      <c r="G2045" s="105">
        <f t="shared" si="124"/>
        <v>0.01</v>
      </c>
      <c r="H2045" s="101" t="str">
        <f t="shared" si="125"/>
        <v>Sinapi 43462</v>
      </c>
      <c r="I2045" s="101" t="str">
        <f t="shared" si="126"/>
        <v>H</v>
      </c>
      <c r="J2045" s="140" t="str">
        <f t="shared" si="127"/>
        <v>FERRAMENTAS - FAMILIA ENGENHEIRO CIVIL - HORISTA (ENCARGOS COMPLEMENTARES - COLETADO CAIXA)</v>
      </c>
    </row>
    <row r="2046" spans="1:10" x14ac:dyDescent="0.25">
      <c r="A2046" s="169">
        <v>43474</v>
      </c>
      <c r="B2046" s="169" t="s">
        <v>25464</v>
      </c>
      <c r="C2046" s="169" t="s">
        <v>10235</v>
      </c>
      <c r="D2046" s="169" t="s">
        <v>1288</v>
      </c>
      <c r="E2046" s="103" t="s">
        <v>14802</v>
      </c>
      <c r="F2046" s="104"/>
      <c r="G2046" s="105">
        <f t="shared" si="124"/>
        <v>2.54</v>
      </c>
      <c r="H2046" s="101" t="str">
        <f t="shared" si="125"/>
        <v>Sinapi 43474</v>
      </c>
      <c r="I2046" s="101" t="str">
        <f t="shared" si="126"/>
        <v>MES</v>
      </c>
      <c r="J2046" s="140" t="str">
        <f t="shared" si="127"/>
        <v>FERRAMENTAS - FAMILIA ENGENHEIRO CIVIL - MENSALISTA (ENCARGOS COMPLEMENTARES - COLETADO CAIXA)</v>
      </c>
    </row>
    <row r="2047" spans="1:10" x14ac:dyDescent="0.25">
      <c r="A2047" s="169">
        <v>43464</v>
      </c>
      <c r="B2047" s="169" t="s">
        <v>25465</v>
      </c>
      <c r="C2047" s="169" t="s">
        <v>10228</v>
      </c>
      <c r="D2047" s="169" t="s">
        <v>1288</v>
      </c>
      <c r="E2047" s="103" t="s">
        <v>3187</v>
      </c>
      <c r="F2047" s="104"/>
      <c r="G2047" s="105">
        <f t="shared" si="124"/>
        <v>0.01</v>
      </c>
      <c r="H2047" s="101" t="str">
        <f t="shared" si="125"/>
        <v>Sinapi 43464</v>
      </c>
      <c r="I2047" s="101" t="str">
        <f t="shared" si="126"/>
        <v>H</v>
      </c>
      <c r="J2047" s="140" t="str">
        <f t="shared" si="127"/>
        <v>FERRAMENTAS - FAMILIA OPERADOR ESCAVADEIRA - HORISTA (ENCARGOS COMPLEMENTARES - COLETADO CAIXA)</v>
      </c>
    </row>
    <row r="2048" spans="1:10" x14ac:dyDescent="0.25">
      <c r="A2048" s="169">
        <v>43476</v>
      </c>
      <c r="B2048" s="169" t="s">
        <v>25466</v>
      </c>
      <c r="C2048" s="169" t="s">
        <v>10235</v>
      </c>
      <c r="D2048" s="169" t="s">
        <v>1288</v>
      </c>
      <c r="E2048" s="103" t="s">
        <v>3187</v>
      </c>
      <c r="F2048" s="104"/>
      <c r="G2048" s="105">
        <f t="shared" si="124"/>
        <v>0.01</v>
      </c>
      <c r="H2048" s="101" t="str">
        <f t="shared" si="125"/>
        <v>Sinapi 43476</v>
      </c>
      <c r="I2048" s="101" t="str">
        <f t="shared" si="126"/>
        <v>MES</v>
      </c>
      <c r="J2048" s="140" t="str">
        <f t="shared" si="127"/>
        <v>FERRAMENTAS - FAMILIA OPERADOR ESCAVADEIRA - MENSALISTA (ENCARGOS COMPLEMENTARES - COLETADO CAIXA)</v>
      </c>
    </row>
    <row r="2049" spans="1:10" x14ac:dyDescent="0.25">
      <c r="A2049" s="169">
        <v>43465</v>
      </c>
      <c r="B2049" s="169" t="s">
        <v>25467</v>
      </c>
      <c r="C2049" s="169" t="s">
        <v>10228</v>
      </c>
      <c r="D2049" s="169" t="s">
        <v>1288</v>
      </c>
      <c r="E2049" s="103" t="s">
        <v>9633</v>
      </c>
      <c r="F2049" s="104"/>
      <c r="G2049" s="105">
        <f t="shared" si="124"/>
        <v>0.84</v>
      </c>
      <c r="H2049" s="101" t="str">
        <f t="shared" si="125"/>
        <v>Sinapi 43465</v>
      </c>
      <c r="I2049" s="101" t="str">
        <f t="shared" si="126"/>
        <v>H</v>
      </c>
      <c r="J2049" s="140" t="str">
        <f t="shared" si="127"/>
        <v>FERRAMENTAS - FAMILIA PEDREIRO - HORISTA (ENCARGOS COMPLEMENTARES - COLETADO CAIXA)</v>
      </c>
    </row>
    <row r="2050" spans="1:10" x14ac:dyDescent="0.25">
      <c r="A2050" s="169">
        <v>43477</v>
      </c>
      <c r="B2050" s="169" t="s">
        <v>25468</v>
      </c>
      <c r="C2050" s="169" t="s">
        <v>10235</v>
      </c>
      <c r="D2050" s="169" t="s">
        <v>1288</v>
      </c>
      <c r="E2050" s="103" t="s">
        <v>18589</v>
      </c>
      <c r="F2050" s="104"/>
      <c r="G2050" s="105">
        <f t="shared" si="124"/>
        <v>158.88</v>
      </c>
      <c r="H2050" s="101" t="str">
        <f t="shared" si="125"/>
        <v>Sinapi 43477</v>
      </c>
      <c r="I2050" s="101" t="str">
        <f t="shared" si="126"/>
        <v>MES</v>
      </c>
      <c r="J2050" s="140" t="str">
        <f t="shared" si="127"/>
        <v>FERRAMENTAS - FAMILIA PEDREIRO - MENSALISTA (ENCARGOS COMPLEMENTARES - COLETADO CAIXA)</v>
      </c>
    </row>
    <row r="2051" spans="1:10" x14ac:dyDescent="0.25">
      <c r="A2051" s="169">
        <v>43466</v>
      </c>
      <c r="B2051" s="169" t="s">
        <v>25469</v>
      </c>
      <c r="C2051" s="169" t="s">
        <v>10228</v>
      </c>
      <c r="D2051" s="169" t="s">
        <v>1288</v>
      </c>
      <c r="E2051" s="103" t="s">
        <v>17395</v>
      </c>
      <c r="F2051" s="104"/>
      <c r="G2051" s="105">
        <f t="shared" si="124"/>
        <v>1.68</v>
      </c>
      <c r="H2051" s="101" t="str">
        <f t="shared" si="125"/>
        <v>Sinapi 43466</v>
      </c>
      <c r="I2051" s="101" t="str">
        <f t="shared" si="126"/>
        <v>H</v>
      </c>
      <c r="J2051" s="140" t="str">
        <f t="shared" si="127"/>
        <v>FERRAMENTAS - FAMILIA PINTOR - HORISTA (ENCARGOS COMPLEMENTARES - COLETADO CAIXA)</v>
      </c>
    </row>
    <row r="2052" spans="1:10" x14ac:dyDescent="0.25">
      <c r="A2052" s="169">
        <v>43478</v>
      </c>
      <c r="B2052" s="169" t="s">
        <v>25470</v>
      </c>
      <c r="C2052" s="169" t="s">
        <v>10235</v>
      </c>
      <c r="D2052" s="169" t="s">
        <v>1288</v>
      </c>
      <c r="E2052" s="103" t="s">
        <v>18590</v>
      </c>
      <c r="F2052" s="104"/>
      <c r="G2052" s="105">
        <f t="shared" si="124"/>
        <v>315.88</v>
      </c>
      <c r="H2052" s="101" t="str">
        <f t="shared" si="125"/>
        <v>Sinapi 43478</v>
      </c>
      <c r="I2052" s="101" t="str">
        <f t="shared" si="126"/>
        <v>MES</v>
      </c>
      <c r="J2052" s="140" t="str">
        <f t="shared" si="127"/>
        <v>FERRAMENTAS - FAMILIA PINTOR - MENSALISTA (ENCARGOS COMPLEMENTARES - COLETADO CAIXA)</v>
      </c>
    </row>
    <row r="2053" spans="1:10" x14ac:dyDescent="0.25">
      <c r="A2053" s="169">
        <v>43467</v>
      </c>
      <c r="B2053" s="169" t="s">
        <v>25471</v>
      </c>
      <c r="C2053" s="169" t="s">
        <v>10228</v>
      </c>
      <c r="D2053" s="169" t="s">
        <v>1288</v>
      </c>
      <c r="E2053" s="103" t="s">
        <v>8387</v>
      </c>
      <c r="F2053" s="104"/>
      <c r="G2053" s="105">
        <f t="shared" si="124"/>
        <v>0.59</v>
      </c>
      <c r="H2053" s="101" t="str">
        <f t="shared" si="125"/>
        <v>Sinapi 43467</v>
      </c>
      <c r="I2053" s="101" t="str">
        <f t="shared" si="126"/>
        <v>H</v>
      </c>
      <c r="J2053" s="140" t="str">
        <f t="shared" si="127"/>
        <v>FERRAMENTAS - FAMILIA SERVENTE - HORISTA (ENCARGOS COMPLEMENTARES - COLETADO CAIXA)</v>
      </c>
    </row>
    <row r="2054" spans="1:10" x14ac:dyDescent="0.25">
      <c r="A2054" s="169">
        <v>43479</v>
      </c>
      <c r="B2054" s="169" t="s">
        <v>25472</v>
      </c>
      <c r="C2054" s="169" t="s">
        <v>10235</v>
      </c>
      <c r="D2054" s="169" t="s">
        <v>1288</v>
      </c>
      <c r="E2054" s="103" t="s">
        <v>18591</v>
      </c>
      <c r="F2054" s="104"/>
      <c r="G2054" s="105">
        <f t="shared" si="124"/>
        <v>110.64</v>
      </c>
      <c r="H2054" s="101" t="str">
        <f t="shared" si="125"/>
        <v>Sinapi 43479</v>
      </c>
      <c r="I2054" s="101" t="str">
        <f t="shared" si="126"/>
        <v>MES</v>
      </c>
      <c r="J2054" s="140" t="str">
        <f t="shared" si="127"/>
        <v>FERRAMENTAS - FAMILIA SERVENTE - MENSALISTA (ENCARGOS COMPLEMENTARES - COLETADO CAIXA)</v>
      </c>
    </row>
    <row r="2055" spans="1:10" x14ac:dyDescent="0.25">
      <c r="A2055" s="169">
        <v>43468</v>
      </c>
      <c r="B2055" s="169" t="s">
        <v>25473</v>
      </c>
      <c r="C2055" s="169" t="s">
        <v>10228</v>
      </c>
      <c r="D2055" s="169" t="s">
        <v>1288</v>
      </c>
      <c r="E2055" s="103" t="s">
        <v>16300</v>
      </c>
      <c r="F2055" s="104"/>
      <c r="G2055" s="105">
        <f t="shared" si="124"/>
        <v>1.17</v>
      </c>
      <c r="H2055" s="101" t="str">
        <f t="shared" si="125"/>
        <v>Sinapi 43468</v>
      </c>
      <c r="I2055" s="101" t="str">
        <f t="shared" si="126"/>
        <v>H</v>
      </c>
      <c r="J2055" s="140" t="str">
        <f t="shared" si="127"/>
        <v>FERRAMENTAS - FAMILIA SOLDADOR - HORISTA (ENCARGOS COMPLEMENTARES - COLETADO CAIXA)</v>
      </c>
    </row>
    <row r="2056" spans="1:10" x14ac:dyDescent="0.25">
      <c r="A2056" s="169">
        <v>43480</v>
      </c>
      <c r="B2056" s="169" t="s">
        <v>25474</v>
      </c>
      <c r="C2056" s="169" t="s">
        <v>10235</v>
      </c>
      <c r="D2056" s="169" t="s">
        <v>1288</v>
      </c>
      <c r="E2056" s="103" t="s">
        <v>18582</v>
      </c>
      <c r="F2056" s="104"/>
      <c r="G2056" s="105">
        <f t="shared" ref="G2056:G2119" si="128">IF(E2056="","",E2056+0)</f>
        <v>220.75</v>
      </c>
      <c r="H2056" s="101" t="str">
        <f t="shared" ref="H2056:H2119" si="129">IF(G2056="","",TRIM(CONCATENATE("Sinapi ",A2056)))</f>
        <v>Sinapi 43480</v>
      </c>
      <c r="I2056" s="101" t="str">
        <f t="shared" ref="I2056:I2119" si="130">TRIM(C2056)</f>
        <v>MES</v>
      </c>
      <c r="J2056" s="140" t="str">
        <f t="shared" si="127"/>
        <v>FERRAMENTAS - FAMILIA SOLDADOR - MENSALISTA (ENCARGOS COMPLEMENTARES - COLETADO CAIXA)</v>
      </c>
    </row>
    <row r="2057" spans="1:10" x14ac:dyDescent="0.25">
      <c r="A2057" s="169">
        <v>43469</v>
      </c>
      <c r="B2057" s="169" t="s">
        <v>25475</v>
      </c>
      <c r="C2057" s="169" t="s">
        <v>10228</v>
      </c>
      <c r="D2057" s="169" t="s">
        <v>1288</v>
      </c>
      <c r="E2057" s="103" t="s">
        <v>2799</v>
      </c>
      <c r="F2057" s="104"/>
      <c r="G2057" s="105">
        <f t="shared" si="128"/>
        <v>0.08</v>
      </c>
      <c r="H2057" s="101" t="str">
        <f t="shared" si="129"/>
        <v>Sinapi 43469</v>
      </c>
      <c r="I2057" s="101" t="str">
        <f t="shared" si="130"/>
        <v>H</v>
      </c>
      <c r="J2057" s="140" t="str">
        <f t="shared" ref="J2057:J2120" si="131">TRIM(B2057)</f>
        <v>FERRAMENTAS - FAMILIA TOPOGRAFO - HORISTA (ENCARGOS COMPLEMENTARES - COLETADO CAIXA)</v>
      </c>
    </row>
    <row r="2058" spans="1:10" x14ac:dyDescent="0.25">
      <c r="A2058" s="169">
        <v>43481</v>
      </c>
      <c r="B2058" s="169" t="s">
        <v>25476</v>
      </c>
      <c r="C2058" s="169" t="s">
        <v>10235</v>
      </c>
      <c r="D2058" s="169" t="s">
        <v>1288</v>
      </c>
      <c r="E2058" s="103" t="s">
        <v>13398</v>
      </c>
      <c r="F2058" s="104"/>
      <c r="G2058" s="105">
        <f t="shared" si="128"/>
        <v>15.18</v>
      </c>
      <c r="H2058" s="101" t="str">
        <f t="shared" si="129"/>
        <v>Sinapi 43481</v>
      </c>
      <c r="I2058" s="101" t="str">
        <f t="shared" si="130"/>
        <v>MES</v>
      </c>
      <c r="J2058" s="140" t="str">
        <f t="shared" si="131"/>
        <v>FERRAMENTAS - FAMILIA TOPOGRAFO - MENSALISTA (ENCARGOS COMPLEMENTARES - COLETADO CAIXA)</v>
      </c>
    </row>
    <row r="2059" spans="1:10" x14ac:dyDescent="0.25">
      <c r="A2059" s="169">
        <v>3119</v>
      </c>
      <c r="B2059" s="169" t="s">
        <v>25477</v>
      </c>
      <c r="C2059" s="169" t="s">
        <v>10225</v>
      </c>
      <c r="D2059" s="169" t="s">
        <v>1289</v>
      </c>
      <c r="E2059" s="103" t="s">
        <v>3006</v>
      </c>
      <c r="F2059" s="104"/>
      <c r="G2059" s="105">
        <f t="shared" si="128"/>
        <v>3.04</v>
      </c>
      <c r="H2059" s="101" t="str">
        <f t="shared" si="129"/>
        <v>Sinapi 3119</v>
      </c>
      <c r="I2059" s="101" t="str">
        <f t="shared" si="130"/>
        <v>UN</v>
      </c>
      <c r="J2059" s="140" t="str">
        <f t="shared" si="131"/>
        <v>FERROLHO COM FECHO / TRINCO REDONDO, EM ACO GALVANIZADO / ZINCADO, DE SOBREPOR, COM COMPRIMENTO DE 2" E ESPESSURA MINIMA DA CHAPA DE 0,90 MM, PARA PORTAS E JANELAS</v>
      </c>
    </row>
    <row r="2060" spans="1:10" x14ac:dyDescent="0.25">
      <c r="A2060" s="169">
        <v>3122</v>
      </c>
      <c r="B2060" s="169" t="s">
        <v>25478</v>
      </c>
      <c r="C2060" s="169" t="s">
        <v>10225</v>
      </c>
      <c r="D2060" s="169" t="s">
        <v>1289</v>
      </c>
      <c r="E2060" s="103" t="s">
        <v>8275</v>
      </c>
      <c r="F2060" s="104"/>
      <c r="G2060" s="105">
        <f t="shared" si="128"/>
        <v>6.2</v>
      </c>
      <c r="H2060" s="101" t="str">
        <f t="shared" si="129"/>
        <v>Sinapi 3122</v>
      </c>
      <c r="I2060" s="101" t="str">
        <f t="shared" si="130"/>
        <v>UN</v>
      </c>
      <c r="J2060" s="140" t="str">
        <f t="shared" si="131"/>
        <v>FERROLHO COM FECHO / TRINCO REDONDO, EM ACO GALVANIZADO / ZINCADO, DE SOBREPOR, COM COMPRIMENTO DE 3" A 4" E ESPESSURA MINIMA DA CHAPA DE 0,90 MM</v>
      </c>
    </row>
    <row r="2061" spans="1:10" x14ac:dyDescent="0.25">
      <c r="A2061" s="169">
        <v>3121</v>
      </c>
      <c r="B2061" s="169" t="s">
        <v>25479</v>
      </c>
      <c r="C2061" s="169" t="s">
        <v>10225</v>
      </c>
      <c r="D2061" s="169" t="s">
        <v>1289</v>
      </c>
      <c r="E2061" s="103" t="s">
        <v>22714</v>
      </c>
      <c r="F2061" s="104"/>
      <c r="G2061" s="105">
        <f t="shared" si="128"/>
        <v>7.02</v>
      </c>
      <c r="H2061" s="101" t="str">
        <f t="shared" si="129"/>
        <v>Sinapi 3121</v>
      </c>
      <c r="I2061" s="101" t="str">
        <f t="shared" si="130"/>
        <v>UN</v>
      </c>
      <c r="J2061" s="140" t="str">
        <f t="shared" si="131"/>
        <v>FERROLHO COM FECHO / TRINCO REDONDO, EM ACO GALVANIZADO / ZINCADO, DE SOBREPOR, COM COMPRIMENTO DE 5" E ESPESSURA MINIMA DA CHAPA DE 0,90 MM</v>
      </c>
    </row>
    <row r="2062" spans="1:10" x14ac:dyDescent="0.25">
      <c r="A2062" s="169">
        <v>3120</v>
      </c>
      <c r="B2062" s="169" t="s">
        <v>25480</v>
      </c>
      <c r="C2062" s="169" t="s">
        <v>10225</v>
      </c>
      <c r="D2062" s="169" t="s">
        <v>1289</v>
      </c>
      <c r="E2062" s="103" t="s">
        <v>13848</v>
      </c>
      <c r="F2062" s="104"/>
      <c r="G2062" s="105">
        <f t="shared" si="128"/>
        <v>13.32</v>
      </c>
      <c r="H2062" s="101" t="str">
        <f t="shared" si="129"/>
        <v>Sinapi 3120</v>
      </c>
      <c r="I2062" s="101" t="str">
        <f t="shared" si="130"/>
        <v>UN</v>
      </c>
      <c r="J2062" s="140" t="str">
        <f t="shared" si="131"/>
        <v>FERROLHO COM FECHO / TRINCO REDONDO, EM ACO GALVANIZADO / ZINCADO, DE SOBREPOR, COM COMPRIMENTO DE 6" E ESPESSURA MINIMA DA CHAPA DE 1,50 MM</v>
      </c>
    </row>
    <row r="2063" spans="1:10" x14ac:dyDescent="0.25">
      <c r="A2063" s="169">
        <v>11455</v>
      </c>
      <c r="B2063" s="169" t="s">
        <v>25481</v>
      </c>
      <c r="C2063" s="169" t="s">
        <v>10225</v>
      </c>
      <c r="D2063" s="169" t="s">
        <v>1289</v>
      </c>
      <c r="E2063" s="103" t="s">
        <v>19375</v>
      </c>
      <c r="F2063" s="104"/>
      <c r="G2063" s="105">
        <f t="shared" si="128"/>
        <v>19.260000000000002</v>
      </c>
      <c r="H2063" s="101" t="str">
        <f t="shared" si="129"/>
        <v>Sinapi 11455</v>
      </c>
      <c r="I2063" s="101" t="str">
        <f t="shared" si="130"/>
        <v>UN</v>
      </c>
      <c r="J2063" s="140" t="str">
        <f t="shared" si="131"/>
        <v>FERROLHO COM FECHO / TRINCO REDONDO, EM ACO GALVANIZADO / ZINCADO, DE SOBREPOR, COM COMPRIMENTO DE 8" E ESPESSURA MINIMA DA CHAPA DE 1,50 MM</v>
      </c>
    </row>
    <row r="2064" spans="1:10" x14ac:dyDescent="0.25">
      <c r="A2064" s="169">
        <v>11456</v>
      </c>
      <c r="B2064" s="169" t="s">
        <v>25482</v>
      </c>
      <c r="C2064" s="169" t="s">
        <v>10225</v>
      </c>
      <c r="D2064" s="169" t="s">
        <v>1289</v>
      </c>
      <c r="E2064" s="103" t="s">
        <v>15797</v>
      </c>
      <c r="F2064" s="104"/>
      <c r="G2064" s="105">
        <f t="shared" si="128"/>
        <v>23.03</v>
      </c>
      <c r="H2064" s="101" t="str">
        <f t="shared" si="129"/>
        <v>Sinapi 11456</v>
      </c>
      <c r="I2064" s="101" t="str">
        <f t="shared" si="130"/>
        <v>UN</v>
      </c>
      <c r="J2064" s="140" t="str">
        <f t="shared" si="131"/>
        <v>FERROLHO COM FECHO /TRINCO REDONDO, EM ACO GALVANIZADO / ZINCADO, DE SOBREPOR, COM COMPRIMENTO DE 10" A 12" E ESPESSURA MINIMA DA CHAPA DE 1,50 MM</v>
      </c>
    </row>
    <row r="2065" spans="1:10" x14ac:dyDescent="0.25">
      <c r="A2065" s="169">
        <v>3107</v>
      </c>
      <c r="B2065" s="169" t="s">
        <v>25483</v>
      </c>
      <c r="C2065" s="169" t="s">
        <v>10225</v>
      </c>
      <c r="D2065" s="169" t="s">
        <v>1289</v>
      </c>
      <c r="E2065" s="103" t="s">
        <v>14795</v>
      </c>
      <c r="F2065" s="104"/>
      <c r="G2065" s="105">
        <f t="shared" si="128"/>
        <v>9.7100000000000009</v>
      </c>
      <c r="H2065" s="101" t="str">
        <f t="shared" si="129"/>
        <v>Sinapi 3107</v>
      </c>
      <c r="I2065" s="101" t="str">
        <f t="shared" si="130"/>
        <v>UN</v>
      </c>
      <c r="J2065" s="140" t="str">
        <f t="shared" si="131"/>
        <v>FERROLHO COM FECHO CHATO E PORTA CADEADO , EM ACO GALVANIZADO / ZINCADO, DE SOBREPOR, COM COMPRIMENTO DE 3" A 4", CHAPA COM ESPESSURA MINIMA DE 0,90 MM E LARGURA MINIMA DE 3,20 CM (FECHO SIMPLES / LEVE) (INCLUI PARAFUSOS)</v>
      </c>
    </row>
    <row r="2066" spans="1:10" x14ac:dyDescent="0.25">
      <c r="A2066" s="169">
        <v>43583</v>
      </c>
      <c r="B2066" s="169" t="s">
        <v>25484</v>
      </c>
      <c r="C2066" s="169" t="s">
        <v>10225</v>
      </c>
      <c r="D2066" s="169" t="s">
        <v>1289</v>
      </c>
      <c r="E2066" s="103" t="s">
        <v>22047</v>
      </c>
      <c r="F2066" s="104"/>
      <c r="G2066" s="105">
        <f t="shared" si="128"/>
        <v>10.95</v>
      </c>
      <c r="H2066" s="101" t="str">
        <f t="shared" si="129"/>
        <v>Sinapi 43583</v>
      </c>
      <c r="I2066" s="101" t="str">
        <f t="shared" si="130"/>
        <v>UN</v>
      </c>
      <c r="J2066" s="140" t="str">
        <f t="shared" si="131"/>
        <v>FERROLHO COM FECHO CHATO E PORTA CADEADO , EM ACO GALVANIZADO / ZINCADO, DE SOBREPOR, COM COMPRIMENTO DE 3" A 4", CHAPA COM ESPESSURA MINIMA DE 1,70 MM E LARGURA MINIMA DE 5,00 CM (FECHO REFORCADO)</v>
      </c>
    </row>
    <row r="2067" spans="1:10" x14ac:dyDescent="0.25">
      <c r="A2067" s="169">
        <v>43586</v>
      </c>
      <c r="B2067" s="169" t="s">
        <v>25485</v>
      </c>
      <c r="C2067" s="169" t="s">
        <v>10225</v>
      </c>
      <c r="D2067" s="169" t="s">
        <v>1289</v>
      </c>
      <c r="E2067" s="103" t="s">
        <v>15519</v>
      </c>
      <c r="F2067" s="104"/>
      <c r="G2067" s="105">
        <f t="shared" si="128"/>
        <v>11.22</v>
      </c>
      <c r="H2067" s="101" t="str">
        <f t="shared" si="129"/>
        <v>Sinapi 43586</v>
      </c>
      <c r="I2067" s="101" t="str">
        <f t="shared" si="130"/>
        <v>UN</v>
      </c>
      <c r="J2067" s="140" t="str">
        <f t="shared" si="131"/>
        <v>FERROLHO COM FECHO CHATO E PORTA CADEADO , EM ACO GALVANIZADO / ZINCADO, DE SOBREPOR, COM COMPRIMENTO DE 5", CHAPA COM ESPESSURA MINIMA DE 0,90 MM E LARGURA MINIMA DE 3,20 CM (FECHO SIMPLES)</v>
      </c>
    </row>
    <row r="2068" spans="1:10" x14ac:dyDescent="0.25">
      <c r="A2068" s="169">
        <v>11461</v>
      </c>
      <c r="B2068" s="169" t="s">
        <v>25486</v>
      </c>
      <c r="C2068" s="169" t="s">
        <v>10225</v>
      </c>
      <c r="D2068" s="169" t="s">
        <v>1289</v>
      </c>
      <c r="E2068" s="103" t="s">
        <v>19295</v>
      </c>
      <c r="F2068" s="104"/>
      <c r="G2068" s="105">
        <f t="shared" si="128"/>
        <v>12.23</v>
      </c>
      <c r="H2068" s="101" t="str">
        <f t="shared" si="129"/>
        <v>Sinapi 11461</v>
      </c>
      <c r="I2068" s="101" t="str">
        <f t="shared" si="130"/>
        <v>UN</v>
      </c>
      <c r="J2068" s="140" t="str">
        <f t="shared" si="131"/>
        <v>FERROLHO COM FECHO CHATO E PORTA CADEADO , EM ACO GALVANIZADO / ZINCADO, DE SOBREPOR, COM COMPRIMENTO DE 5", CHAPA COM ESPESSURA MINIMA DE 1,70 MM E LARGURA MINIMA DE 5,00 CM (FECHO REFORCADO)</v>
      </c>
    </row>
    <row r="2069" spans="1:10" x14ac:dyDescent="0.25">
      <c r="A2069" s="169">
        <v>43587</v>
      </c>
      <c r="B2069" s="169" t="s">
        <v>25487</v>
      </c>
      <c r="C2069" s="169" t="s">
        <v>10225</v>
      </c>
      <c r="D2069" s="169" t="s">
        <v>1289</v>
      </c>
      <c r="E2069" s="103" t="s">
        <v>6826</v>
      </c>
      <c r="F2069" s="104"/>
      <c r="G2069" s="105">
        <f t="shared" si="128"/>
        <v>14.11</v>
      </c>
      <c r="H2069" s="101" t="str">
        <f t="shared" si="129"/>
        <v>Sinapi 43587</v>
      </c>
      <c r="I2069" s="101" t="str">
        <f t="shared" si="130"/>
        <v>UN</v>
      </c>
      <c r="J2069" s="140" t="str">
        <f t="shared" si="131"/>
        <v>FERROLHO COM FECHO CHATO E PORTA CADEADO , EM ACO GALVANIZADO / ZINCADO, DE SOBREPOR, COM COMPRIMENTO DE 6", CHAPA COM ESPESSURA MINIMA DE 0,90 MM E LARGURA MINIMA DE 3,80 CM (FECHO SIMPLES)</v>
      </c>
    </row>
    <row r="2070" spans="1:10" x14ac:dyDescent="0.25">
      <c r="A2070" s="169">
        <v>3106</v>
      </c>
      <c r="B2070" s="169" t="s">
        <v>25488</v>
      </c>
      <c r="C2070" s="169" t="s">
        <v>10225</v>
      </c>
      <c r="D2070" s="169" t="s">
        <v>1289</v>
      </c>
      <c r="E2070" s="103" t="s">
        <v>16372</v>
      </c>
      <c r="F2070" s="104"/>
      <c r="G2070" s="105">
        <f t="shared" si="128"/>
        <v>17.91</v>
      </c>
      <c r="H2070" s="101" t="str">
        <f t="shared" si="129"/>
        <v>Sinapi 3106</v>
      </c>
      <c r="I2070" s="101" t="str">
        <f t="shared" si="130"/>
        <v>UN</v>
      </c>
      <c r="J2070" s="140" t="str">
        <f t="shared" si="131"/>
        <v>FERROLHO COM FECHO CHATO E PORTA CADEADO , EM ACO GALVANIZADO / ZINCADO, DE SOBREPOR, COM COMPRIMENTO DE 6", CHAPA COM ESPESSURA MINIMA DE 1,70 MM E LARGURA /MINIMA DE 5,00 CM (FECHO REFORCADO) (INCLUI PARAFUSOS)</v>
      </c>
    </row>
    <row r="2071" spans="1:10" x14ac:dyDescent="0.25">
      <c r="A2071" s="169">
        <v>44539</v>
      </c>
      <c r="B2071" s="169" t="s">
        <v>25489</v>
      </c>
      <c r="C2071" s="169" t="s">
        <v>10231</v>
      </c>
      <c r="D2071" s="169" t="s">
        <v>1290</v>
      </c>
      <c r="E2071" s="103" t="s">
        <v>10390</v>
      </c>
      <c r="F2071" s="104"/>
      <c r="G2071" s="105">
        <f t="shared" si="128"/>
        <v>2.84</v>
      </c>
      <c r="H2071" s="101" t="str">
        <f t="shared" si="129"/>
        <v>Sinapi 44539</v>
      </c>
      <c r="I2071" s="101" t="str">
        <f t="shared" si="130"/>
        <v>KG</v>
      </c>
      <c r="J2071" s="140" t="str">
        <f t="shared" si="131"/>
        <v>FERTILIZANTE NPK - 10:10:10</v>
      </c>
    </row>
    <row r="2072" spans="1:10" x14ac:dyDescent="0.25">
      <c r="A2072" s="169">
        <v>3123</v>
      </c>
      <c r="B2072" s="169" t="s">
        <v>25490</v>
      </c>
      <c r="C2072" s="169" t="s">
        <v>10231</v>
      </c>
      <c r="D2072" s="169" t="s">
        <v>1290</v>
      </c>
      <c r="E2072" s="103" t="s">
        <v>15648</v>
      </c>
      <c r="F2072" s="104"/>
      <c r="G2072" s="105">
        <f t="shared" si="128"/>
        <v>2.65</v>
      </c>
      <c r="H2072" s="101" t="str">
        <f t="shared" si="129"/>
        <v>Sinapi 3123</v>
      </c>
      <c r="I2072" s="101" t="str">
        <f t="shared" si="130"/>
        <v>KG</v>
      </c>
      <c r="J2072" s="140" t="str">
        <f t="shared" si="131"/>
        <v>FERTILIZANTE NPK - 4: 14: 8</v>
      </c>
    </row>
    <row r="2073" spans="1:10" x14ac:dyDescent="0.25">
      <c r="A2073" s="169">
        <v>38125</v>
      </c>
      <c r="B2073" s="169" t="s">
        <v>958</v>
      </c>
      <c r="C2073" s="169" t="s">
        <v>10231</v>
      </c>
      <c r="D2073" s="169" t="s">
        <v>1289</v>
      </c>
      <c r="E2073" s="103" t="s">
        <v>9359</v>
      </c>
      <c r="F2073" s="104"/>
      <c r="G2073" s="105">
        <f t="shared" si="128"/>
        <v>2.0499999999999998</v>
      </c>
      <c r="H2073" s="101" t="str">
        <f t="shared" si="129"/>
        <v>Sinapi 38125</v>
      </c>
      <c r="I2073" s="101" t="str">
        <f t="shared" si="130"/>
        <v>KG</v>
      </c>
      <c r="J2073" s="140" t="str">
        <f t="shared" si="131"/>
        <v>FERTILIZANTE ORGANICO COMPOSTO, CLASSE A</v>
      </c>
    </row>
    <row r="2074" spans="1:10" x14ac:dyDescent="0.25">
      <c r="A2074" s="169">
        <v>39014</v>
      </c>
      <c r="B2074" s="169" t="s">
        <v>25491</v>
      </c>
      <c r="C2074" s="169" t="s">
        <v>10231</v>
      </c>
      <c r="D2074" s="169" t="s">
        <v>1289</v>
      </c>
      <c r="E2074" s="103" t="s">
        <v>19911</v>
      </c>
      <c r="F2074" s="104"/>
      <c r="G2074" s="105">
        <f t="shared" si="128"/>
        <v>11.78</v>
      </c>
      <c r="H2074" s="101" t="str">
        <f t="shared" si="129"/>
        <v>Sinapi 39014</v>
      </c>
      <c r="I2074" s="101" t="str">
        <f t="shared" si="130"/>
        <v>KG</v>
      </c>
      <c r="J2074" s="140" t="str">
        <f t="shared" si="131"/>
        <v>FIBRA DE ACO PARA REFORCO DO CONCRETO, SOLTA, TIPO A-I, FATOR DE FORMA *50* L / D, COMPRIMENTO DE *30* MM E RESISTENCIA A TRACAO DO ACO MAIOR 1000 MPA</v>
      </c>
    </row>
    <row r="2075" spans="1:10" x14ac:dyDescent="0.25">
      <c r="A2075" s="169">
        <v>39365</v>
      </c>
      <c r="B2075" s="169" t="s">
        <v>25492</v>
      </c>
      <c r="C2075" s="169" t="s">
        <v>10225</v>
      </c>
      <c r="D2075" s="169" t="s">
        <v>1289</v>
      </c>
      <c r="E2075" s="103" t="s">
        <v>30406</v>
      </c>
      <c r="F2075" s="104"/>
      <c r="G2075" s="105">
        <f t="shared" si="128"/>
        <v>1913.63</v>
      </c>
      <c r="H2075" s="101" t="str">
        <f t="shared" si="129"/>
        <v>Sinapi 39365</v>
      </c>
      <c r="I2075" s="101" t="str">
        <f t="shared" si="130"/>
        <v>UN</v>
      </c>
      <c r="J2075" s="140" t="str">
        <f t="shared" si="131"/>
        <v>FILTRO ANAEROBIO, EM POLIETILENO DE ALTA DENSIDADE (PEAD), CAPACIDADE *1100* LITROS (NBR 13969)</v>
      </c>
    </row>
    <row r="2076" spans="1:10" x14ac:dyDescent="0.25">
      <c r="A2076" s="169">
        <v>39366</v>
      </c>
      <c r="B2076" s="169" t="s">
        <v>25493</v>
      </c>
      <c r="C2076" s="169" t="s">
        <v>10225</v>
      </c>
      <c r="D2076" s="169" t="s">
        <v>1289</v>
      </c>
      <c r="E2076" s="103" t="s">
        <v>30407</v>
      </c>
      <c r="F2076" s="104"/>
      <c r="G2076" s="105">
        <f t="shared" si="128"/>
        <v>2903.29</v>
      </c>
      <c r="H2076" s="101" t="str">
        <f t="shared" si="129"/>
        <v>Sinapi 39366</v>
      </c>
      <c r="I2076" s="101" t="str">
        <f t="shared" si="130"/>
        <v>UN</v>
      </c>
      <c r="J2076" s="140" t="str">
        <f t="shared" si="131"/>
        <v>FILTRO ANAEROBIO, EM POLIETILENO DE ALTA DENSIDADE (PEAD), CAPACIDADE *2800* LITROS (NBR 13969)</v>
      </c>
    </row>
    <row r="2077" spans="1:10" x14ac:dyDescent="0.25">
      <c r="A2077" s="169">
        <v>39367</v>
      </c>
      <c r="B2077" s="169" t="s">
        <v>25494</v>
      </c>
      <c r="C2077" s="169" t="s">
        <v>10225</v>
      </c>
      <c r="D2077" s="169" t="s">
        <v>1289</v>
      </c>
      <c r="E2077" s="103" t="s">
        <v>30408</v>
      </c>
      <c r="F2077" s="104"/>
      <c r="G2077" s="105">
        <f t="shared" si="128"/>
        <v>4974.6000000000004</v>
      </c>
      <c r="H2077" s="101" t="str">
        <f t="shared" si="129"/>
        <v>Sinapi 39367</v>
      </c>
      <c r="I2077" s="101" t="str">
        <f t="shared" si="130"/>
        <v>UN</v>
      </c>
      <c r="J2077" s="140" t="str">
        <f t="shared" si="131"/>
        <v>FILTRO ANAEROBIO, EM POLIETILENO DE ALTA DENSIDADE (PEAD), CAPACIDADE *5000* LITROS (NBR 13969)</v>
      </c>
    </row>
    <row r="2078" spans="1:10" x14ac:dyDescent="0.25">
      <c r="A2078" s="169">
        <v>37394</v>
      </c>
      <c r="B2078" s="169" t="s">
        <v>25495</v>
      </c>
      <c r="C2078" s="169" t="s">
        <v>10265</v>
      </c>
      <c r="D2078" s="169" t="s">
        <v>1290</v>
      </c>
      <c r="E2078" s="103" t="s">
        <v>21043</v>
      </c>
      <c r="F2078" s="104"/>
      <c r="G2078" s="105">
        <f t="shared" si="128"/>
        <v>40.79</v>
      </c>
      <c r="H2078" s="101" t="str">
        <f t="shared" si="129"/>
        <v>Sinapi 37394</v>
      </c>
      <c r="I2078" s="101" t="str">
        <f t="shared" si="130"/>
        <v>CENTO</v>
      </c>
      <c r="J2078" s="140" t="str">
        <f t="shared" si="131"/>
        <v>FINCAPINO CURTO CALIBRE 22, CARGA MEDIA POTENCIA 5 (PARA FERRAMENTA DE ACAO DIRETA) COR VERMELHA</v>
      </c>
    </row>
    <row r="2079" spans="1:10" x14ac:dyDescent="0.25">
      <c r="A2079" s="169">
        <v>14146</v>
      </c>
      <c r="B2079" s="169" t="s">
        <v>25496</v>
      </c>
      <c r="C2079" s="169" t="s">
        <v>10265</v>
      </c>
      <c r="D2079" s="169" t="s">
        <v>1290</v>
      </c>
      <c r="E2079" s="103" t="s">
        <v>22796</v>
      </c>
      <c r="F2079" s="104"/>
      <c r="G2079" s="105">
        <f t="shared" si="128"/>
        <v>65.599999999999994</v>
      </c>
      <c r="H2079" s="101" t="str">
        <f t="shared" si="129"/>
        <v>Sinapi 14146</v>
      </c>
      <c r="I2079" s="101" t="str">
        <f t="shared" si="130"/>
        <v>CENTO</v>
      </c>
      <c r="J2079" s="140" t="str">
        <f t="shared" si="131"/>
        <v>FINCAPINO LONGO CALIBRE 22, CARGA FORTE POTENCIA 7 (PARA FERRAMENTA DE ACAO DIRETA), COR AMARELA</v>
      </c>
    </row>
    <row r="2080" spans="1:10" x14ac:dyDescent="0.25">
      <c r="A2080" s="169">
        <v>938</v>
      </c>
      <c r="B2080" s="169" t="s">
        <v>25497</v>
      </c>
      <c r="C2080" s="169" t="s">
        <v>10229</v>
      </c>
      <c r="D2080" s="169" t="s">
        <v>1289</v>
      </c>
      <c r="E2080" s="103" t="s">
        <v>17291</v>
      </c>
      <c r="F2080" s="104"/>
      <c r="G2080" s="105">
        <f t="shared" si="128"/>
        <v>1.67</v>
      </c>
      <c r="H2080" s="101" t="str">
        <f t="shared" si="129"/>
        <v>Sinapi 938</v>
      </c>
      <c r="I2080" s="101" t="str">
        <f t="shared" si="130"/>
        <v>M</v>
      </c>
      <c r="J2080" s="140" t="str">
        <f t="shared" si="131"/>
        <v>FIO DE COBRE, SOLIDO, CLASSE 1, ISOLACAO EM PVC/A, ANTICHAMA BWF-B, 450/750V, SECAO NOMINAL 1,5 MM2</v>
      </c>
    </row>
    <row r="2081" spans="1:10" x14ac:dyDescent="0.25">
      <c r="A2081" s="169">
        <v>937</v>
      </c>
      <c r="B2081" s="169" t="s">
        <v>25498</v>
      </c>
      <c r="C2081" s="169" t="s">
        <v>10229</v>
      </c>
      <c r="D2081" s="169" t="s">
        <v>1289</v>
      </c>
      <c r="E2081" s="103" t="s">
        <v>19269</v>
      </c>
      <c r="F2081" s="104"/>
      <c r="G2081" s="105">
        <f t="shared" si="128"/>
        <v>9.73</v>
      </c>
      <c r="H2081" s="101" t="str">
        <f t="shared" si="129"/>
        <v>Sinapi 937</v>
      </c>
      <c r="I2081" s="101" t="str">
        <f t="shared" si="130"/>
        <v>M</v>
      </c>
      <c r="J2081" s="140" t="str">
        <f t="shared" si="131"/>
        <v>FIO DE COBRE, SOLIDO, CLASSE 1, ISOLACAO EM PVC/A, ANTICHAMA BWF-B, 450/750V, SECAO NOMINAL 10 MM2</v>
      </c>
    </row>
    <row r="2082" spans="1:10" x14ac:dyDescent="0.25">
      <c r="A2082" s="169">
        <v>939</v>
      </c>
      <c r="B2082" s="169" t="s">
        <v>25499</v>
      </c>
      <c r="C2082" s="169" t="s">
        <v>10229</v>
      </c>
      <c r="D2082" s="169" t="s">
        <v>1289</v>
      </c>
      <c r="E2082" s="103" t="s">
        <v>20639</v>
      </c>
      <c r="F2082" s="104"/>
      <c r="G2082" s="105">
        <f t="shared" si="128"/>
        <v>2.7</v>
      </c>
      <c r="H2082" s="101" t="str">
        <f t="shared" si="129"/>
        <v>Sinapi 939</v>
      </c>
      <c r="I2082" s="101" t="str">
        <f t="shared" si="130"/>
        <v>M</v>
      </c>
      <c r="J2082" s="140" t="str">
        <f t="shared" si="131"/>
        <v>FIO DE COBRE, SOLIDO, CLASSE 1, ISOLACAO EM PVC/A, ANTICHAMA BWF-B, 450/750V, SECAO NOMINAL 2,5 MM2</v>
      </c>
    </row>
    <row r="2083" spans="1:10" x14ac:dyDescent="0.25">
      <c r="A2083" s="169">
        <v>944</v>
      </c>
      <c r="B2083" s="169" t="s">
        <v>25500</v>
      </c>
      <c r="C2083" s="169" t="s">
        <v>10229</v>
      </c>
      <c r="D2083" s="169" t="s">
        <v>1289</v>
      </c>
      <c r="E2083" s="103" t="s">
        <v>6537</v>
      </c>
      <c r="F2083" s="104"/>
      <c r="G2083" s="105">
        <f t="shared" si="128"/>
        <v>4.2699999999999996</v>
      </c>
      <c r="H2083" s="101" t="str">
        <f t="shared" si="129"/>
        <v>Sinapi 944</v>
      </c>
      <c r="I2083" s="101" t="str">
        <f t="shared" si="130"/>
        <v>M</v>
      </c>
      <c r="J2083" s="140" t="str">
        <f t="shared" si="131"/>
        <v>FIO DE COBRE, SOLIDO, CLASSE 1, ISOLACAO EM PVC/A, ANTICHAMA BWF-B, 450/750V, SECAO NOMINAL 4 MM2</v>
      </c>
    </row>
    <row r="2084" spans="1:10" x14ac:dyDescent="0.25">
      <c r="A2084" s="169">
        <v>940</v>
      </c>
      <c r="B2084" s="169" t="s">
        <v>25501</v>
      </c>
      <c r="C2084" s="169" t="s">
        <v>10229</v>
      </c>
      <c r="D2084" s="169" t="s">
        <v>1289</v>
      </c>
      <c r="E2084" s="103" t="s">
        <v>15565</v>
      </c>
      <c r="F2084" s="104"/>
      <c r="G2084" s="105">
        <f t="shared" si="128"/>
        <v>6.16</v>
      </c>
      <c r="H2084" s="101" t="str">
        <f t="shared" si="129"/>
        <v>Sinapi 940</v>
      </c>
      <c r="I2084" s="101" t="str">
        <f t="shared" si="130"/>
        <v>M</v>
      </c>
      <c r="J2084" s="140" t="str">
        <f t="shared" si="131"/>
        <v>FIO DE COBRE, SOLIDO, CLASSE 1, ISOLACAO EM PVC/A, ANTICHAMA BWF-B, 450/750V, SECAO NOMINAL 6 MM2</v>
      </c>
    </row>
    <row r="2085" spans="1:10" x14ac:dyDescent="0.25">
      <c r="A2085" s="169">
        <v>44397</v>
      </c>
      <c r="B2085" s="169" t="s">
        <v>25502</v>
      </c>
      <c r="C2085" s="169" t="s">
        <v>10229</v>
      </c>
      <c r="D2085" s="169" t="s">
        <v>1289</v>
      </c>
      <c r="E2085" s="103" t="s">
        <v>23563</v>
      </c>
      <c r="F2085" s="104"/>
      <c r="G2085" s="105">
        <f t="shared" si="128"/>
        <v>3.62</v>
      </c>
      <c r="H2085" s="101" t="str">
        <f t="shared" si="129"/>
        <v>Sinapi 44397</v>
      </c>
      <c r="I2085" s="101" t="str">
        <f t="shared" si="130"/>
        <v>M</v>
      </c>
      <c r="J2085" s="140" t="str">
        <f t="shared" si="131"/>
        <v>FITA / CINTA AUTOADESIVA ELASTOMERICA PARA VEDACAO, L= 50 MM, E = 3 MM</v>
      </c>
    </row>
    <row r="2086" spans="1:10" x14ac:dyDescent="0.25">
      <c r="A2086" s="169">
        <v>406</v>
      </c>
      <c r="B2086" s="169" t="s">
        <v>25503</v>
      </c>
      <c r="C2086" s="169" t="s">
        <v>10225</v>
      </c>
      <c r="D2086" s="169" t="s">
        <v>1289</v>
      </c>
      <c r="E2086" s="103" t="s">
        <v>28138</v>
      </c>
      <c r="F2086" s="104"/>
      <c r="G2086" s="105">
        <f t="shared" si="128"/>
        <v>91.6</v>
      </c>
      <c r="H2086" s="101" t="str">
        <f t="shared" si="129"/>
        <v>Sinapi 406</v>
      </c>
      <c r="I2086" s="101" t="str">
        <f t="shared" si="130"/>
        <v>UN</v>
      </c>
      <c r="J2086" s="140" t="str">
        <f t="shared" si="131"/>
        <v>FITA ACO INOX PARA CINTAR POSTE, L = 19 MM, E = 0,5 MM (ROLO DE 30M)</v>
      </c>
    </row>
    <row r="2087" spans="1:10" x14ac:dyDescent="0.25">
      <c r="A2087" s="169">
        <v>42529</v>
      </c>
      <c r="B2087" s="169" t="s">
        <v>25504</v>
      </c>
      <c r="C2087" s="169" t="s">
        <v>10229</v>
      </c>
      <c r="D2087" s="169" t="s">
        <v>1289</v>
      </c>
      <c r="E2087" s="103" t="s">
        <v>3492</v>
      </c>
      <c r="F2087" s="104"/>
      <c r="G2087" s="105">
        <f t="shared" si="128"/>
        <v>1.1000000000000001</v>
      </c>
      <c r="H2087" s="101" t="str">
        <f t="shared" si="129"/>
        <v>Sinapi 42529</v>
      </c>
      <c r="I2087" s="101" t="str">
        <f t="shared" si="130"/>
        <v>M</v>
      </c>
      <c r="J2087" s="140" t="str">
        <f t="shared" si="131"/>
        <v>FITA ADESIVA ALUMINIZADA, PARA INSTALACAO DE MANTAS DE SUBCOBERTURA, L = *5* CM</v>
      </c>
    </row>
    <row r="2088" spans="1:10" x14ac:dyDescent="0.25">
      <c r="A2088" s="169">
        <v>39634</v>
      </c>
      <c r="B2088" s="169" t="s">
        <v>25505</v>
      </c>
      <c r="C2088" s="169" t="s">
        <v>10229</v>
      </c>
      <c r="D2088" s="169" t="s">
        <v>1289</v>
      </c>
      <c r="E2088" s="103" t="s">
        <v>22792</v>
      </c>
      <c r="F2088" s="104"/>
      <c r="G2088" s="105">
        <f t="shared" si="128"/>
        <v>9.5500000000000007</v>
      </c>
      <c r="H2088" s="101" t="str">
        <f t="shared" si="129"/>
        <v>Sinapi 39634</v>
      </c>
      <c r="I2088" s="101" t="str">
        <f t="shared" si="130"/>
        <v>M</v>
      </c>
      <c r="J2088" s="140" t="str">
        <f t="shared" si="131"/>
        <v>FITA ADESIVA ANTICORROSIVA DE PVC FLEXIVEL, COR PRETA, PARA PROTECAO TUBULACAO, 50 MM X 30 M (L X C), E= *0,25* MM</v>
      </c>
    </row>
    <row r="2089" spans="1:10" x14ac:dyDescent="0.25">
      <c r="A2089" s="169">
        <v>39701</v>
      </c>
      <c r="B2089" s="169" t="s">
        <v>25506</v>
      </c>
      <c r="C2089" s="169" t="s">
        <v>10225</v>
      </c>
      <c r="D2089" s="169" t="s">
        <v>1289</v>
      </c>
      <c r="E2089" s="103" t="s">
        <v>22064</v>
      </c>
      <c r="F2089" s="104"/>
      <c r="G2089" s="105">
        <f t="shared" si="128"/>
        <v>68.33</v>
      </c>
      <c r="H2089" s="101" t="str">
        <f t="shared" si="129"/>
        <v>Sinapi 39701</v>
      </c>
      <c r="I2089" s="101" t="str">
        <f t="shared" si="130"/>
        <v>UN</v>
      </c>
      <c r="J2089" s="140" t="str">
        <f t="shared" si="131"/>
        <v>FITA ADESIVA ASFALTICA ALUMINIZADA MULTIUSO, L = 10 CM, ROLO DE 10 M</v>
      </c>
    </row>
    <row r="2090" spans="1:10" x14ac:dyDescent="0.25">
      <c r="A2090" s="169">
        <v>12815</v>
      </c>
      <c r="B2090" s="169" t="s">
        <v>25507</v>
      </c>
      <c r="C2090" s="169" t="s">
        <v>10225</v>
      </c>
      <c r="D2090" s="169" t="s">
        <v>1289</v>
      </c>
      <c r="E2090" s="103" t="s">
        <v>5604</v>
      </c>
      <c r="F2090" s="104"/>
      <c r="G2090" s="105">
        <f t="shared" si="128"/>
        <v>9.43</v>
      </c>
      <c r="H2090" s="101" t="str">
        <f t="shared" si="129"/>
        <v>Sinapi 12815</v>
      </c>
      <c r="I2090" s="101" t="str">
        <f t="shared" si="130"/>
        <v>UN</v>
      </c>
      <c r="J2090" s="140" t="str">
        <f t="shared" si="131"/>
        <v>FITA CREPE ROLO DE 25 MM X 50 M</v>
      </c>
    </row>
    <row r="2091" spans="1:10" x14ac:dyDescent="0.25">
      <c r="A2091" s="169">
        <v>39431</v>
      </c>
      <c r="B2091" s="169" t="s">
        <v>25508</v>
      </c>
      <c r="C2091" s="169" t="s">
        <v>10229</v>
      </c>
      <c r="D2091" s="169" t="s">
        <v>1289</v>
      </c>
      <c r="E2091" s="103" t="s">
        <v>30409</v>
      </c>
      <c r="F2091" s="104"/>
      <c r="G2091" s="105">
        <f t="shared" si="128"/>
        <v>0.53</v>
      </c>
      <c r="H2091" s="101" t="str">
        <f t="shared" si="129"/>
        <v>Sinapi 39431</v>
      </c>
      <c r="I2091" s="101" t="str">
        <f t="shared" si="130"/>
        <v>M</v>
      </c>
      <c r="J2091" s="140" t="str">
        <f t="shared" si="131"/>
        <v>FITA DE PAPEL MICROPERFURADO, 50 X 150 MM, PARA TRATAMENTO DE JUNTAS DE CHAPA DE GESSO PARA DRYWALL</v>
      </c>
    </row>
    <row r="2092" spans="1:10" x14ac:dyDescent="0.25">
      <c r="A2092" s="169">
        <v>39432</v>
      </c>
      <c r="B2092" s="169" t="s">
        <v>25509</v>
      </c>
      <c r="C2092" s="169" t="s">
        <v>10229</v>
      </c>
      <c r="D2092" s="169" t="s">
        <v>1289</v>
      </c>
      <c r="E2092" s="103" t="s">
        <v>26758</v>
      </c>
      <c r="F2092" s="104"/>
      <c r="G2092" s="105">
        <f t="shared" si="128"/>
        <v>4.72</v>
      </c>
      <c r="H2092" s="101" t="str">
        <f t="shared" si="129"/>
        <v>Sinapi 39432</v>
      </c>
      <c r="I2092" s="101" t="str">
        <f t="shared" si="130"/>
        <v>M</v>
      </c>
      <c r="J2092" s="140" t="str">
        <f t="shared" si="131"/>
        <v>FITA DE PAPEL REFORCADA COM LAMINA DE METAL PARA REFORCO DE CANTOS DE CHAPA DE GESSO PARA DRYWALL</v>
      </c>
    </row>
    <row r="2093" spans="1:10" x14ac:dyDescent="0.25">
      <c r="A2093" s="169">
        <v>20111</v>
      </c>
      <c r="B2093" s="169" t="s">
        <v>25510</v>
      </c>
      <c r="C2093" s="169" t="s">
        <v>10225</v>
      </c>
      <c r="D2093" s="169" t="s">
        <v>1288</v>
      </c>
      <c r="E2093" s="103" t="s">
        <v>6858</v>
      </c>
      <c r="F2093" s="104"/>
      <c r="G2093" s="105">
        <f t="shared" si="128"/>
        <v>13.46</v>
      </c>
      <c r="H2093" s="101" t="str">
        <f t="shared" si="129"/>
        <v>Sinapi 20111</v>
      </c>
      <c r="I2093" s="101" t="str">
        <f t="shared" si="130"/>
        <v>UN</v>
      </c>
      <c r="J2093" s="140" t="str">
        <f t="shared" si="131"/>
        <v>FITA ISOLANTE ADESIVA ANTICHAMA, USO ATE 750 V, EM ROLO DE 19 MM X 20 M</v>
      </c>
    </row>
    <row r="2094" spans="1:10" x14ac:dyDescent="0.25">
      <c r="A2094" s="169">
        <v>21127</v>
      </c>
      <c r="B2094" s="169" t="s">
        <v>25511</v>
      </c>
      <c r="C2094" s="169" t="s">
        <v>10225</v>
      </c>
      <c r="D2094" s="169" t="s">
        <v>1289</v>
      </c>
      <c r="E2094" s="103" t="s">
        <v>19281</v>
      </c>
      <c r="F2094" s="104"/>
      <c r="G2094" s="105">
        <f t="shared" si="128"/>
        <v>5.09</v>
      </c>
      <c r="H2094" s="101" t="str">
        <f t="shared" si="129"/>
        <v>Sinapi 21127</v>
      </c>
      <c r="I2094" s="101" t="str">
        <f t="shared" si="130"/>
        <v>UN</v>
      </c>
      <c r="J2094" s="140" t="str">
        <f t="shared" si="131"/>
        <v>FITA ISOLANTE ADESIVA ANTICHAMA, USO ATE 750 V, EM ROLO DE 19 MM X 5 M</v>
      </c>
    </row>
    <row r="2095" spans="1:10" x14ac:dyDescent="0.25">
      <c r="A2095" s="169">
        <v>404</v>
      </c>
      <c r="B2095" s="169" t="s">
        <v>25512</v>
      </c>
      <c r="C2095" s="169" t="s">
        <v>10229</v>
      </c>
      <c r="D2095" s="169" t="s">
        <v>1289</v>
      </c>
      <c r="E2095" s="103" t="s">
        <v>9550</v>
      </c>
      <c r="F2095" s="104"/>
      <c r="G2095" s="105">
        <f t="shared" si="128"/>
        <v>1.83</v>
      </c>
      <c r="H2095" s="101" t="str">
        <f t="shared" si="129"/>
        <v>Sinapi 404</v>
      </c>
      <c r="I2095" s="101" t="str">
        <f t="shared" si="130"/>
        <v>M</v>
      </c>
      <c r="J2095" s="140" t="str">
        <f t="shared" si="131"/>
        <v>FITA ISOLANTE DE BORRACHA AUTOFUSAO, USO ATE 69 KV (ALTA TENSAO)</v>
      </c>
    </row>
    <row r="2096" spans="1:10" x14ac:dyDescent="0.25">
      <c r="A2096" s="169">
        <v>14151</v>
      </c>
      <c r="B2096" s="169" t="s">
        <v>25513</v>
      </c>
      <c r="C2096" s="169" t="s">
        <v>10225</v>
      </c>
      <c r="D2096" s="169" t="s">
        <v>1290</v>
      </c>
      <c r="E2096" s="103" t="s">
        <v>19877</v>
      </c>
      <c r="F2096" s="104"/>
      <c r="G2096" s="105">
        <f t="shared" si="128"/>
        <v>47.15</v>
      </c>
      <c r="H2096" s="101" t="str">
        <f t="shared" si="129"/>
        <v>Sinapi 14151</v>
      </c>
      <c r="I2096" s="101" t="str">
        <f t="shared" si="130"/>
        <v>UN</v>
      </c>
      <c r="J2096" s="140" t="str">
        <f t="shared" si="131"/>
        <v>FITA METALICA GRAVADA, L = 17 MM, ROLO DE 25 M, CARGA RECOMENDADA = *120* KGF</v>
      </c>
    </row>
    <row r="2097" spans="1:10" x14ac:dyDescent="0.25">
      <c r="A2097" s="169">
        <v>14153</v>
      </c>
      <c r="B2097" s="169" t="s">
        <v>25514</v>
      </c>
      <c r="C2097" s="169" t="s">
        <v>10225</v>
      </c>
      <c r="D2097" s="169" t="s">
        <v>1290</v>
      </c>
      <c r="E2097" s="103" t="s">
        <v>21044</v>
      </c>
      <c r="F2097" s="104"/>
      <c r="G2097" s="105">
        <f t="shared" si="128"/>
        <v>53.3</v>
      </c>
      <c r="H2097" s="101" t="str">
        <f t="shared" si="129"/>
        <v>Sinapi 14153</v>
      </c>
      <c r="I2097" s="101" t="str">
        <f t="shared" si="130"/>
        <v>UN</v>
      </c>
      <c r="J2097" s="140" t="str">
        <f t="shared" si="131"/>
        <v>FITA METALICA PERFURADA, L = *18* MM, ROLO DE 30 M, CARGA RECOMENDADA = *30* KGF</v>
      </c>
    </row>
    <row r="2098" spans="1:10" x14ac:dyDescent="0.25">
      <c r="A2098" s="169">
        <v>14152</v>
      </c>
      <c r="B2098" s="169" t="s">
        <v>25515</v>
      </c>
      <c r="C2098" s="169" t="s">
        <v>10225</v>
      </c>
      <c r="D2098" s="169" t="s">
        <v>1290</v>
      </c>
      <c r="E2098" s="103" t="s">
        <v>21045</v>
      </c>
      <c r="F2098" s="104"/>
      <c r="G2098" s="105">
        <f t="shared" si="128"/>
        <v>40.909999999999997</v>
      </c>
      <c r="H2098" s="101" t="str">
        <f t="shared" si="129"/>
        <v>Sinapi 14152</v>
      </c>
      <c r="I2098" s="101" t="str">
        <f t="shared" si="130"/>
        <v>UN</v>
      </c>
      <c r="J2098" s="140" t="str">
        <f t="shared" si="131"/>
        <v>FITA METALICA PERFURADA, L = 17 MM, ROLO DE 30 M, CARGA RECOMENDADA = *19* KGF</v>
      </c>
    </row>
    <row r="2099" spans="1:10" x14ac:dyDescent="0.25">
      <c r="A2099" s="169">
        <v>14154</v>
      </c>
      <c r="B2099" s="169" t="s">
        <v>25516</v>
      </c>
      <c r="C2099" s="169" t="s">
        <v>10225</v>
      </c>
      <c r="D2099" s="169" t="s">
        <v>1290</v>
      </c>
      <c r="E2099" s="103" t="s">
        <v>22821</v>
      </c>
      <c r="F2099" s="104"/>
      <c r="G2099" s="105">
        <f t="shared" si="128"/>
        <v>143.21</v>
      </c>
      <c r="H2099" s="101" t="str">
        <f t="shared" si="129"/>
        <v>Sinapi 14154</v>
      </c>
      <c r="I2099" s="101" t="str">
        <f t="shared" si="130"/>
        <v>UN</v>
      </c>
      <c r="J2099" s="140" t="str">
        <f t="shared" si="131"/>
        <v>FITA METALICA PERFURADA, L = 25 MM, ROLO DE 30 M, CARGA RECOMENDADA = *222,5* KGF</v>
      </c>
    </row>
    <row r="2100" spans="1:10" x14ac:dyDescent="0.25">
      <c r="A2100" s="169">
        <v>3146</v>
      </c>
      <c r="B2100" s="169" t="s">
        <v>25517</v>
      </c>
      <c r="C2100" s="169" t="s">
        <v>10225</v>
      </c>
      <c r="D2100" s="169" t="s">
        <v>1288</v>
      </c>
      <c r="E2100" s="103" t="s">
        <v>21015</v>
      </c>
      <c r="F2100" s="104"/>
      <c r="G2100" s="105">
        <f t="shared" si="128"/>
        <v>4.9000000000000004</v>
      </c>
      <c r="H2100" s="101" t="str">
        <f t="shared" si="129"/>
        <v>Sinapi 3146</v>
      </c>
      <c r="I2100" s="101" t="str">
        <f t="shared" si="130"/>
        <v>UN</v>
      </c>
      <c r="J2100" s="140" t="str">
        <f t="shared" si="131"/>
        <v>FITA VEDA ROSCA EM ROLOS DE 18 MM X 10 M (L X C)</v>
      </c>
    </row>
    <row r="2101" spans="1:10" x14ac:dyDescent="0.25">
      <c r="A2101" s="169">
        <v>3143</v>
      </c>
      <c r="B2101" s="169" t="s">
        <v>25518</v>
      </c>
      <c r="C2101" s="169" t="s">
        <v>10225</v>
      </c>
      <c r="D2101" s="169" t="s">
        <v>1289</v>
      </c>
      <c r="E2101" s="103" t="s">
        <v>20009</v>
      </c>
      <c r="F2101" s="104"/>
      <c r="G2101" s="105">
        <f t="shared" si="128"/>
        <v>11.14</v>
      </c>
      <c r="H2101" s="101" t="str">
        <f t="shared" si="129"/>
        <v>Sinapi 3143</v>
      </c>
      <c r="I2101" s="101" t="str">
        <f t="shared" si="130"/>
        <v>UN</v>
      </c>
      <c r="J2101" s="140" t="str">
        <f t="shared" si="131"/>
        <v>FITA VEDA ROSCA EM ROLOS DE 18 MM X 25 M (L X C)</v>
      </c>
    </row>
    <row r="2102" spans="1:10" x14ac:dyDescent="0.25">
      <c r="A2102" s="169">
        <v>3148</v>
      </c>
      <c r="B2102" s="169" t="s">
        <v>237</v>
      </c>
      <c r="C2102" s="169" t="s">
        <v>10225</v>
      </c>
      <c r="D2102" s="169" t="s">
        <v>1289</v>
      </c>
      <c r="E2102" s="103" t="s">
        <v>19346</v>
      </c>
      <c r="F2102" s="104"/>
      <c r="G2102" s="105">
        <f t="shared" si="128"/>
        <v>18.07</v>
      </c>
      <c r="H2102" s="101" t="str">
        <f t="shared" si="129"/>
        <v>Sinapi 3148</v>
      </c>
      <c r="I2102" s="101" t="str">
        <f t="shared" si="130"/>
        <v>UN</v>
      </c>
      <c r="J2102" s="140" t="str">
        <f t="shared" si="131"/>
        <v>FITA VEDA ROSCA EM ROLOS DE 18 MM X 50 M (L X C)</v>
      </c>
    </row>
    <row r="2103" spans="1:10" x14ac:dyDescent="0.25">
      <c r="A2103" s="169">
        <v>4310</v>
      </c>
      <c r="B2103" s="169" t="s">
        <v>25519</v>
      </c>
      <c r="C2103" s="169" t="s">
        <v>10225</v>
      </c>
      <c r="D2103" s="169" t="s">
        <v>1289</v>
      </c>
      <c r="E2103" s="103" t="s">
        <v>17403</v>
      </c>
      <c r="F2103" s="104"/>
      <c r="G2103" s="105">
        <f t="shared" si="128"/>
        <v>2.59</v>
      </c>
      <c r="H2103" s="101" t="str">
        <f t="shared" si="129"/>
        <v>Sinapi 4310</v>
      </c>
      <c r="I2103" s="101" t="str">
        <f t="shared" si="130"/>
        <v>UN</v>
      </c>
      <c r="J2103" s="140" t="str">
        <f t="shared" si="131"/>
        <v>FIXADOR DE ABA AUTOTRAVANTE PARA TELHA DE FIBROCIMENTO, TIPO CANALETE 90 OU KALHETAO</v>
      </c>
    </row>
    <row r="2104" spans="1:10" x14ac:dyDescent="0.25">
      <c r="A2104" s="169">
        <v>4311</v>
      </c>
      <c r="B2104" s="169" t="s">
        <v>25520</v>
      </c>
      <c r="C2104" s="169" t="s">
        <v>10225</v>
      </c>
      <c r="D2104" s="169" t="s">
        <v>1289</v>
      </c>
      <c r="E2104" s="103" t="s">
        <v>18702</v>
      </c>
      <c r="F2104" s="104"/>
      <c r="G2104" s="105">
        <f t="shared" si="128"/>
        <v>1.82</v>
      </c>
      <c r="H2104" s="101" t="str">
        <f t="shared" si="129"/>
        <v>Sinapi 4311</v>
      </c>
      <c r="I2104" s="101" t="str">
        <f t="shared" si="130"/>
        <v>UN</v>
      </c>
      <c r="J2104" s="140" t="str">
        <f t="shared" si="131"/>
        <v>FIXADOR DE ABA SIMPLES PARA TELHA DE FIBROCIMENTO, TIPO CANALETA 49 OU KALHETA</v>
      </c>
    </row>
    <row r="2105" spans="1:10" x14ac:dyDescent="0.25">
      <c r="A2105" s="169">
        <v>4312</v>
      </c>
      <c r="B2105" s="169" t="s">
        <v>25521</v>
      </c>
      <c r="C2105" s="169" t="s">
        <v>10225</v>
      </c>
      <c r="D2105" s="169" t="s">
        <v>1289</v>
      </c>
      <c r="E2105" s="103" t="s">
        <v>17916</v>
      </c>
      <c r="F2105" s="104"/>
      <c r="G2105" s="105">
        <f t="shared" si="128"/>
        <v>2.5499999999999998</v>
      </c>
      <c r="H2105" s="101" t="str">
        <f t="shared" si="129"/>
        <v>Sinapi 4312</v>
      </c>
      <c r="I2105" s="101" t="str">
        <f t="shared" si="130"/>
        <v>UN</v>
      </c>
      <c r="J2105" s="140" t="str">
        <f t="shared" si="131"/>
        <v>FIXADOR DE ABA SIMPLES PARA TELHA DE FIBROCIMENTO, TIPO CANALETA 90 OU KALHETAO</v>
      </c>
    </row>
    <row r="2106" spans="1:10" x14ac:dyDescent="0.25">
      <c r="A2106" s="169">
        <v>13261</v>
      </c>
      <c r="B2106" s="169" t="s">
        <v>25522</v>
      </c>
      <c r="C2106" s="169" t="s">
        <v>10225</v>
      </c>
      <c r="D2106" s="169" t="s">
        <v>1289</v>
      </c>
      <c r="E2106" s="103" t="s">
        <v>21437</v>
      </c>
      <c r="F2106" s="104"/>
      <c r="G2106" s="105">
        <f t="shared" si="128"/>
        <v>4.5</v>
      </c>
      <c r="H2106" s="101" t="str">
        <f t="shared" si="129"/>
        <v>Sinapi 13261</v>
      </c>
      <c r="I2106" s="101" t="str">
        <f t="shared" si="130"/>
        <v>UN</v>
      </c>
      <c r="J2106" s="140" t="str">
        <f t="shared" si="131"/>
        <v>FLANELA *30 X 40* CM</v>
      </c>
    </row>
    <row r="2107" spans="1:10" x14ac:dyDescent="0.25">
      <c r="A2107" s="169">
        <v>3272</v>
      </c>
      <c r="B2107" s="169" t="s">
        <v>25523</v>
      </c>
      <c r="C2107" s="169" t="s">
        <v>10225</v>
      </c>
      <c r="D2107" s="169" t="s">
        <v>1289</v>
      </c>
      <c r="E2107" s="103" t="s">
        <v>28751</v>
      </c>
      <c r="F2107" s="104"/>
      <c r="G2107" s="105">
        <f t="shared" si="128"/>
        <v>52.58</v>
      </c>
      <c r="H2107" s="101" t="str">
        <f t="shared" si="129"/>
        <v>Sinapi 3272</v>
      </c>
      <c r="I2107" s="101" t="str">
        <f t="shared" si="130"/>
        <v>UN</v>
      </c>
      <c r="J2107" s="140" t="str">
        <f t="shared" si="131"/>
        <v>FLANGE SEXTAVADO DE FERRO GALVANIZADO, COM ROSCA BSP, DE 1 1/2"</v>
      </c>
    </row>
    <row r="2108" spans="1:10" x14ac:dyDescent="0.25">
      <c r="A2108" s="169">
        <v>3265</v>
      </c>
      <c r="B2108" s="169" t="s">
        <v>25524</v>
      </c>
      <c r="C2108" s="169" t="s">
        <v>10225</v>
      </c>
      <c r="D2108" s="169" t="s">
        <v>1289</v>
      </c>
      <c r="E2108" s="103" t="s">
        <v>30410</v>
      </c>
      <c r="F2108" s="104"/>
      <c r="G2108" s="105">
        <f t="shared" si="128"/>
        <v>41.77</v>
      </c>
      <c r="H2108" s="101" t="str">
        <f t="shared" si="129"/>
        <v>Sinapi 3265</v>
      </c>
      <c r="I2108" s="101" t="str">
        <f t="shared" si="130"/>
        <v>UN</v>
      </c>
      <c r="J2108" s="140" t="str">
        <f t="shared" si="131"/>
        <v>FLANGE SEXTAVADO DE FERRO GALVANIZADO, COM ROSCA BSP, DE 1 1/4"</v>
      </c>
    </row>
    <row r="2109" spans="1:10" x14ac:dyDescent="0.25">
      <c r="A2109" s="169">
        <v>3262</v>
      </c>
      <c r="B2109" s="169" t="s">
        <v>25525</v>
      </c>
      <c r="C2109" s="169" t="s">
        <v>10225</v>
      </c>
      <c r="D2109" s="169" t="s">
        <v>1289</v>
      </c>
      <c r="E2109" s="103" t="s">
        <v>30411</v>
      </c>
      <c r="F2109" s="104"/>
      <c r="G2109" s="105">
        <f t="shared" si="128"/>
        <v>18.29</v>
      </c>
      <c r="H2109" s="101" t="str">
        <f t="shared" si="129"/>
        <v>Sinapi 3262</v>
      </c>
      <c r="I2109" s="101" t="str">
        <f t="shared" si="130"/>
        <v>UN</v>
      </c>
      <c r="J2109" s="140" t="str">
        <f t="shared" si="131"/>
        <v>FLANGE SEXTAVADO DE FERRO GALVANIZADO, COM ROSCA BSP, DE 1/2"</v>
      </c>
    </row>
    <row r="2110" spans="1:10" x14ac:dyDescent="0.25">
      <c r="A2110" s="169">
        <v>3264</v>
      </c>
      <c r="B2110" s="169" t="s">
        <v>25526</v>
      </c>
      <c r="C2110" s="169" t="s">
        <v>10225</v>
      </c>
      <c r="D2110" s="169" t="s">
        <v>1289</v>
      </c>
      <c r="E2110" s="103" t="s">
        <v>30412</v>
      </c>
      <c r="F2110" s="104"/>
      <c r="G2110" s="105">
        <f t="shared" si="128"/>
        <v>30.04</v>
      </c>
      <c r="H2110" s="101" t="str">
        <f t="shared" si="129"/>
        <v>Sinapi 3264</v>
      </c>
      <c r="I2110" s="101" t="str">
        <f t="shared" si="130"/>
        <v>UN</v>
      </c>
      <c r="J2110" s="140" t="str">
        <f t="shared" si="131"/>
        <v>FLANGE SEXTAVADO DE FERRO GALVANIZADO, COM ROSCA BSP, DE 1"</v>
      </c>
    </row>
    <row r="2111" spans="1:10" x14ac:dyDescent="0.25">
      <c r="A2111" s="169">
        <v>3267</v>
      </c>
      <c r="B2111" s="169" t="s">
        <v>25527</v>
      </c>
      <c r="C2111" s="169" t="s">
        <v>10225</v>
      </c>
      <c r="D2111" s="169" t="s">
        <v>1289</v>
      </c>
      <c r="E2111" s="103" t="s">
        <v>30413</v>
      </c>
      <c r="F2111" s="104"/>
      <c r="G2111" s="105">
        <f t="shared" si="128"/>
        <v>98.1</v>
      </c>
      <c r="H2111" s="101" t="str">
        <f t="shared" si="129"/>
        <v>Sinapi 3267</v>
      </c>
      <c r="I2111" s="101" t="str">
        <f t="shared" si="130"/>
        <v>UN</v>
      </c>
      <c r="J2111" s="140" t="str">
        <f t="shared" si="131"/>
        <v>FLANGE SEXTAVADO DE FERRO GALVANIZADO, COM ROSCA BSP, DE 2 1/2"</v>
      </c>
    </row>
    <row r="2112" spans="1:10" x14ac:dyDescent="0.25">
      <c r="A2112" s="169">
        <v>3266</v>
      </c>
      <c r="B2112" s="169" t="s">
        <v>25528</v>
      </c>
      <c r="C2112" s="169" t="s">
        <v>10225</v>
      </c>
      <c r="D2112" s="169" t="s">
        <v>1289</v>
      </c>
      <c r="E2112" s="103" t="s">
        <v>28260</v>
      </c>
      <c r="F2112" s="104"/>
      <c r="G2112" s="105">
        <f t="shared" si="128"/>
        <v>62.42</v>
      </c>
      <c r="H2112" s="101" t="str">
        <f t="shared" si="129"/>
        <v>Sinapi 3266</v>
      </c>
      <c r="I2112" s="101" t="str">
        <f t="shared" si="130"/>
        <v>UN</v>
      </c>
      <c r="J2112" s="140" t="str">
        <f t="shared" si="131"/>
        <v>FLANGE SEXTAVADO DE FERRO GALVANIZADO, COM ROSCA BSP, DE 2"</v>
      </c>
    </row>
    <row r="2113" spans="1:10" x14ac:dyDescent="0.25">
      <c r="A2113" s="169">
        <v>3263</v>
      </c>
      <c r="B2113" s="169" t="s">
        <v>25529</v>
      </c>
      <c r="C2113" s="169" t="s">
        <v>10225</v>
      </c>
      <c r="D2113" s="169" t="s">
        <v>1289</v>
      </c>
      <c r="E2113" s="103" t="s">
        <v>21201</v>
      </c>
      <c r="F2113" s="104"/>
      <c r="G2113" s="105">
        <f t="shared" si="128"/>
        <v>24.98</v>
      </c>
      <c r="H2113" s="101" t="str">
        <f t="shared" si="129"/>
        <v>Sinapi 3263</v>
      </c>
      <c r="I2113" s="101" t="str">
        <f t="shared" si="130"/>
        <v>UN</v>
      </c>
      <c r="J2113" s="140" t="str">
        <f t="shared" si="131"/>
        <v>FLANGE SEXTAVADO DE FERRO GALVANIZADO, COM ROSCA BSP, DE 3/4"</v>
      </c>
    </row>
    <row r="2114" spans="1:10" x14ac:dyDescent="0.25">
      <c r="A2114" s="169">
        <v>3268</v>
      </c>
      <c r="B2114" s="169" t="s">
        <v>25530</v>
      </c>
      <c r="C2114" s="169" t="s">
        <v>10225</v>
      </c>
      <c r="D2114" s="169" t="s">
        <v>1289</v>
      </c>
      <c r="E2114" s="103" t="s">
        <v>21862</v>
      </c>
      <c r="F2114" s="104"/>
      <c r="G2114" s="105">
        <f t="shared" si="128"/>
        <v>132.63999999999999</v>
      </c>
      <c r="H2114" s="101" t="str">
        <f t="shared" si="129"/>
        <v>Sinapi 3268</v>
      </c>
      <c r="I2114" s="101" t="str">
        <f t="shared" si="130"/>
        <v>UN</v>
      </c>
      <c r="J2114" s="140" t="str">
        <f t="shared" si="131"/>
        <v>FLANGE SEXTAVADO DE FERRO GALVANIZADO, COM ROSCA BSP, DE 3"</v>
      </c>
    </row>
    <row r="2115" spans="1:10" x14ac:dyDescent="0.25">
      <c r="A2115" s="169">
        <v>3271</v>
      </c>
      <c r="B2115" s="169" t="s">
        <v>25531</v>
      </c>
      <c r="C2115" s="169" t="s">
        <v>10225</v>
      </c>
      <c r="D2115" s="169" t="s">
        <v>1289</v>
      </c>
      <c r="E2115" s="103" t="s">
        <v>30414</v>
      </c>
      <c r="F2115" s="104"/>
      <c r="G2115" s="105">
        <f t="shared" si="128"/>
        <v>196.1</v>
      </c>
      <c r="H2115" s="101" t="str">
        <f t="shared" si="129"/>
        <v>Sinapi 3271</v>
      </c>
      <c r="I2115" s="101" t="str">
        <f t="shared" si="130"/>
        <v>UN</v>
      </c>
      <c r="J2115" s="140" t="str">
        <f t="shared" si="131"/>
        <v>FLANGE SEXTAVADO DE FERRO GALVANIZADO, COM ROSCA BSP, DE 4"</v>
      </c>
    </row>
    <row r="2116" spans="1:10" x14ac:dyDescent="0.25">
      <c r="A2116" s="169">
        <v>3270</v>
      </c>
      <c r="B2116" s="169" t="s">
        <v>25532</v>
      </c>
      <c r="C2116" s="169" t="s">
        <v>10225</v>
      </c>
      <c r="D2116" s="169" t="s">
        <v>1289</v>
      </c>
      <c r="E2116" s="103" t="s">
        <v>30415</v>
      </c>
      <c r="F2116" s="104"/>
      <c r="G2116" s="105">
        <f t="shared" si="128"/>
        <v>329.46</v>
      </c>
      <c r="H2116" s="101" t="str">
        <f t="shared" si="129"/>
        <v>Sinapi 3270</v>
      </c>
      <c r="I2116" s="101" t="str">
        <f t="shared" si="130"/>
        <v>UN</v>
      </c>
      <c r="J2116" s="140" t="str">
        <f t="shared" si="131"/>
        <v>FLANGE SEXTAVADO DE FERRO GALVANIZADO, COM ROSCA BSP, DE 6"</v>
      </c>
    </row>
    <row r="2117" spans="1:10" x14ac:dyDescent="0.25">
      <c r="A2117" s="169">
        <v>3275</v>
      </c>
      <c r="B2117" s="169" t="s">
        <v>25533</v>
      </c>
      <c r="C2117" s="169" t="s">
        <v>10226</v>
      </c>
      <c r="D2117" s="169" t="s">
        <v>1289</v>
      </c>
      <c r="E2117" s="103" t="s">
        <v>30416</v>
      </c>
      <c r="F2117" s="104"/>
      <c r="G2117" s="105">
        <f t="shared" si="128"/>
        <v>110.33</v>
      </c>
      <c r="H2117" s="101" t="str">
        <f t="shared" si="129"/>
        <v>Sinapi 3275</v>
      </c>
      <c r="I2117" s="101" t="str">
        <f t="shared" si="130"/>
        <v>M2</v>
      </c>
      <c r="J2117" s="140" t="str">
        <f t="shared" si="131"/>
        <v>FORRO COMPOSTO POR PAINEIS DE LA DE VIDRO, REVESTIDOS EM PVC MICROPERFURADO, DE *1250 X 625* MM, ESPESSURA 15 MM (COM COLOCACAO)</v>
      </c>
    </row>
    <row r="2118" spans="1:10" x14ac:dyDescent="0.25">
      <c r="A2118" s="169">
        <v>39512</v>
      </c>
      <c r="B2118" s="169" t="s">
        <v>25534</v>
      </c>
      <c r="C2118" s="169" t="s">
        <v>10226</v>
      </c>
      <c r="D2118" s="169" t="s">
        <v>1290</v>
      </c>
      <c r="E2118" s="103" t="s">
        <v>23074</v>
      </c>
      <c r="F2118" s="104"/>
      <c r="G2118" s="105">
        <f t="shared" si="128"/>
        <v>110.92</v>
      </c>
      <c r="H2118" s="101" t="str">
        <f t="shared" si="129"/>
        <v>Sinapi 39512</v>
      </c>
      <c r="I2118" s="101" t="str">
        <f t="shared" si="130"/>
        <v>M2</v>
      </c>
      <c r="J2118" s="140" t="str">
        <f t="shared" si="131"/>
        <v>FORRO DE FIBRA MINERAL EM PLACAS DE 1250 X 625 MM, E = 15 MM, BORDA RETA, COM PINTURA ANTIMOFO, APOIADO EM PERFIL DE ACO GALVANIZADO COM 24 MM DE BASE - INSTALADO</v>
      </c>
    </row>
    <row r="2119" spans="1:10" x14ac:dyDescent="0.25">
      <c r="A2119" s="169">
        <v>39511</v>
      </c>
      <c r="B2119" s="169" t="s">
        <v>203</v>
      </c>
      <c r="C2119" s="169" t="s">
        <v>10226</v>
      </c>
      <c r="D2119" s="169" t="s">
        <v>1290</v>
      </c>
      <c r="E2119" s="103" t="s">
        <v>30417</v>
      </c>
      <c r="F2119" s="104"/>
      <c r="G2119" s="105">
        <f t="shared" si="128"/>
        <v>120.98</v>
      </c>
      <c r="H2119" s="101" t="str">
        <f t="shared" si="129"/>
        <v>Sinapi 39511</v>
      </c>
      <c r="I2119" s="101" t="str">
        <f t="shared" si="130"/>
        <v>M2</v>
      </c>
      <c r="J2119" s="140" t="str">
        <f t="shared" si="131"/>
        <v>FORRO DE FIBRA MINERAL EM PLACAS DE 625 X 625 MM, E = 15 MM, BORDA RETA, COM PINTURA ANTIMOFO, APOIADO EM PERFIL DE ACO GALVANIZADO COM 24 MM DE BASE - INSTALADO</v>
      </c>
    </row>
    <row r="2120" spans="1:10" x14ac:dyDescent="0.25">
      <c r="A2120" s="169">
        <v>39513</v>
      </c>
      <c r="B2120" s="169" t="s">
        <v>25535</v>
      </c>
      <c r="C2120" s="169" t="s">
        <v>10226</v>
      </c>
      <c r="D2120" s="169" t="s">
        <v>1290</v>
      </c>
      <c r="E2120" s="103" t="s">
        <v>30418</v>
      </c>
      <c r="F2120" s="104"/>
      <c r="G2120" s="105">
        <f t="shared" ref="G2120:G2183" si="132">IF(E2120="","",E2120+0)</f>
        <v>129.76</v>
      </c>
      <c r="H2120" s="101" t="str">
        <f t="shared" ref="H2120:H2183" si="133">IF(G2120="","",TRIM(CONCATENATE("Sinapi ",A2120)))</f>
        <v>Sinapi 39513</v>
      </c>
      <c r="I2120" s="101" t="str">
        <f t="shared" ref="I2120:I2183" si="134">TRIM(C2120)</f>
        <v>M2</v>
      </c>
      <c r="J2120" s="140" t="str">
        <f t="shared" si="131"/>
        <v>FORRO DE FIBRA MINERAL EM PLACAS DE 625 X 625 MM, E = 15/16 MM, BORDA REBAIXADA, COM PINTURA ANTIMOFO, APOIADO EM PERFIL DE ACO GALVANIZADO COM 24 MM DE BASE - INSTALADO</v>
      </c>
    </row>
    <row r="2121" spans="1:10" x14ac:dyDescent="0.25">
      <c r="A2121" s="169">
        <v>3286</v>
      </c>
      <c r="B2121" s="169" t="s">
        <v>25536</v>
      </c>
      <c r="C2121" s="169" t="s">
        <v>10226</v>
      </c>
      <c r="D2121" s="169" t="s">
        <v>1289</v>
      </c>
      <c r="E2121" s="103" t="s">
        <v>30419</v>
      </c>
      <c r="F2121" s="104"/>
      <c r="G2121" s="105">
        <f t="shared" si="132"/>
        <v>158.82</v>
      </c>
      <c r="H2121" s="101" t="str">
        <f t="shared" si="133"/>
        <v>Sinapi 3286</v>
      </c>
      <c r="I2121" s="101" t="str">
        <f t="shared" si="134"/>
        <v>M2</v>
      </c>
      <c r="J2121" s="140" t="str">
        <f t="shared" ref="J2121:J2184" si="135">TRIM(B2121)</f>
        <v>FORRO DE MADEIRA CEDRINHO OU EQUIVALENTE DA REGIAO, ENCAIXE MACHO/FEMEA COM FRISO, *10 X 1* CM (SEM COLOCACAO)</v>
      </c>
    </row>
    <row r="2122" spans="1:10" x14ac:dyDescent="0.25">
      <c r="A2122" s="169">
        <v>3287</v>
      </c>
      <c r="B2122" s="169" t="s">
        <v>25537</v>
      </c>
      <c r="C2122" s="169" t="s">
        <v>10226</v>
      </c>
      <c r="D2122" s="169" t="s">
        <v>1289</v>
      </c>
      <c r="E2122" s="103" t="s">
        <v>30420</v>
      </c>
      <c r="F2122" s="104"/>
      <c r="G2122" s="105">
        <f t="shared" si="132"/>
        <v>240</v>
      </c>
      <c r="H2122" s="101" t="str">
        <f t="shared" si="133"/>
        <v>Sinapi 3287</v>
      </c>
      <c r="I2122" s="101" t="str">
        <f t="shared" si="134"/>
        <v>M2</v>
      </c>
      <c r="J2122" s="140" t="str">
        <f t="shared" si="135"/>
        <v>FORRO DE MADEIRA CUMARU/IPE CHAMPANHE OU EQUIVALENTE DA REGIAO, ENCAIXE MACHO/FEMEA COM FRISO, *10 X 1* CM (SEM COLOCACAO)</v>
      </c>
    </row>
    <row r="2123" spans="1:10" x14ac:dyDescent="0.25">
      <c r="A2123" s="169">
        <v>3283</v>
      </c>
      <c r="B2123" s="169" t="s">
        <v>25538</v>
      </c>
      <c r="C2123" s="169" t="s">
        <v>10226</v>
      </c>
      <c r="D2123" s="169" t="s">
        <v>1289</v>
      </c>
      <c r="E2123" s="103" t="s">
        <v>22987</v>
      </c>
      <c r="F2123" s="104"/>
      <c r="G2123" s="105">
        <f t="shared" si="132"/>
        <v>50.41</v>
      </c>
      <c r="H2123" s="101" t="str">
        <f t="shared" si="133"/>
        <v>Sinapi 3283</v>
      </c>
      <c r="I2123" s="101" t="str">
        <f t="shared" si="134"/>
        <v>M2</v>
      </c>
      <c r="J2123" s="140" t="str">
        <f t="shared" si="135"/>
        <v>FORRO DE MADEIRA PINUS OU EQUIVALENTE DA REGIAO, ENCAIXE MACHO/FEMEA COM FRISO, *10 X 1* CM (SEM COLOCACAO)</v>
      </c>
    </row>
    <row r="2124" spans="1:10" x14ac:dyDescent="0.25">
      <c r="A2124" s="169">
        <v>11587</v>
      </c>
      <c r="B2124" s="169" t="s">
        <v>25539</v>
      </c>
      <c r="C2124" s="169" t="s">
        <v>10226</v>
      </c>
      <c r="D2124" s="169" t="s">
        <v>1289</v>
      </c>
      <c r="E2124" s="103" t="s">
        <v>29438</v>
      </c>
      <c r="F2124" s="104"/>
      <c r="G2124" s="105">
        <f t="shared" si="132"/>
        <v>75.66</v>
      </c>
      <c r="H2124" s="101" t="str">
        <f t="shared" si="133"/>
        <v>Sinapi 11587</v>
      </c>
      <c r="I2124" s="101" t="str">
        <f t="shared" si="134"/>
        <v>M2</v>
      </c>
      <c r="J2124" s="140" t="str">
        <f t="shared" si="135"/>
        <v>FORRO DE PVC LISO, BRANCO, REGUA DE 10 CM, ESPESSURA DE 8 MM A 10 MM (COM COLOCACAO / SEM ESTRUTURA METALICA)</v>
      </c>
    </row>
    <row r="2125" spans="1:10" x14ac:dyDescent="0.25">
      <c r="A2125" s="169">
        <v>36225</v>
      </c>
      <c r="B2125" s="169" t="s">
        <v>25540</v>
      </c>
      <c r="C2125" s="169" t="s">
        <v>10226</v>
      </c>
      <c r="D2125" s="169" t="s">
        <v>1289</v>
      </c>
      <c r="E2125" s="103" t="s">
        <v>19263</v>
      </c>
      <c r="F2125" s="104"/>
      <c r="G2125" s="105">
        <f t="shared" si="132"/>
        <v>30.73</v>
      </c>
      <c r="H2125" s="101" t="str">
        <f t="shared" si="133"/>
        <v>Sinapi 36225</v>
      </c>
      <c r="I2125" s="101" t="str">
        <f t="shared" si="134"/>
        <v>M2</v>
      </c>
      <c r="J2125" s="140" t="str">
        <f t="shared" si="135"/>
        <v>FORRO DE PVC LISO, BRANCO, REGUA DE 20 CM, ESPESSURA DE 8 MM A 10 MM, COMPRIMENTO 6 M (SEM COLOCACAO)</v>
      </c>
    </row>
    <row r="2126" spans="1:10" x14ac:dyDescent="0.25">
      <c r="A2126" s="169">
        <v>36230</v>
      </c>
      <c r="B2126" s="169" t="s">
        <v>25541</v>
      </c>
      <c r="C2126" s="169" t="s">
        <v>10226</v>
      </c>
      <c r="D2126" s="169" t="s">
        <v>1288</v>
      </c>
      <c r="E2126" s="103" t="s">
        <v>13427</v>
      </c>
      <c r="F2126" s="104"/>
      <c r="G2126" s="105">
        <f t="shared" si="132"/>
        <v>22.58</v>
      </c>
      <c r="H2126" s="101" t="str">
        <f t="shared" si="133"/>
        <v>Sinapi 36230</v>
      </c>
      <c r="I2126" s="101" t="str">
        <f t="shared" si="134"/>
        <v>M2</v>
      </c>
      <c r="J2126" s="140" t="str">
        <f t="shared" si="135"/>
        <v>FORRO DE PVC, FRISADO, BRANCO, REGUA DE 10 CM, ESPESSURA DE 8 MM A 10 MM E COMPRIMENTO 6 M (SEM COLOCACAO)</v>
      </c>
    </row>
    <row r="2127" spans="1:10" x14ac:dyDescent="0.25">
      <c r="A2127" s="169">
        <v>36238</v>
      </c>
      <c r="B2127" s="169" t="s">
        <v>25542</v>
      </c>
      <c r="C2127" s="169" t="s">
        <v>10226</v>
      </c>
      <c r="D2127" s="169" t="s">
        <v>1289</v>
      </c>
      <c r="E2127" s="103" t="s">
        <v>17529</v>
      </c>
      <c r="F2127" s="104"/>
      <c r="G2127" s="105">
        <f t="shared" si="132"/>
        <v>22.06</v>
      </c>
      <c r="H2127" s="101" t="str">
        <f t="shared" si="133"/>
        <v>Sinapi 36238</v>
      </c>
      <c r="I2127" s="101" t="str">
        <f t="shared" si="134"/>
        <v>M2</v>
      </c>
      <c r="J2127" s="140" t="str">
        <f t="shared" si="135"/>
        <v>FORRO DE PVC, FRISADO, BRANCO, REGUA DE 20 CM, ESPESSURA DE 8 MM A 10 MM E COMPRIMENTO 6 M (SEM COLOCACAO)</v>
      </c>
    </row>
    <row r="2128" spans="1:10" x14ac:dyDescent="0.25">
      <c r="A2128" s="169">
        <v>39363</v>
      </c>
      <c r="B2128" s="169" t="s">
        <v>25543</v>
      </c>
      <c r="C2128" s="169" t="s">
        <v>10225</v>
      </c>
      <c r="D2128" s="169" t="s">
        <v>1289</v>
      </c>
      <c r="E2128" s="103" t="s">
        <v>30421</v>
      </c>
      <c r="F2128" s="104"/>
      <c r="G2128" s="105">
        <f t="shared" si="132"/>
        <v>5640.73</v>
      </c>
      <c r="H2128" s="101" t="str">
        <f t="shared" si="133"/>
        <v>Sinapi 39363</v>
      </c>
      <c r="I2128" s="101" t="str">
        <f t="shared" si="134"/>
        <v>UN</v>
      </c>
      <c r="J2128" s="140" t="str">
        <f t="shared" si="135"/>
        <v>FOSSA SEPTICA, SEM FILTRO, EM POLIETILENO DE ALTA DENSIDADE (PEAD), PARA 15 A 30 CONTRIBUINTES, CILINDRICA, COM TAMPA, CAPACIDADE APROXIMADA DE *5500* LITROS (NBR 7229)</v>
      </c>
    </row>
    <row r="2129" spans="1:10" x14ac:dyDescent="0.25">
      <c r="A2129" s="169">
        <v>39361</v>
      </c>
      <c r="B2129" s="169" t="s">
        <v>25544</v>
      </c>
      <c r="C2129" s="169" t="s">
        <v>10225</v>
      </c>
      <c r="D2129" s="169" t="s">
        <v>1289</v>
      </c>
      <c r="E2129" s="103" t="s">
        <v>30422</v>
      </c>
      <c r="F2129" s="104"/>
      <c r="G2129" s="105">
        <f t="shared" si="132"/>
        <v>1723.28</v>
      </c>
      <c r="H2129" s="101" t="str">
        <f t="shared" si="133"/>
        <v>Sinapi 39361</v>
      </c>
      <c r="I2129" s="101" t="str">
        <f t="shared" si="134"/>
        <v>UN</v>
      </c>
      <c r="J2129" s="140" t="str">
        <f t="shared" si="135"/>
        <v>FOSSA SEPTICA, SEM FILTRO, EM POLIETILENO DE ALTA DENSIDADE (PEAD), PARA 4 A 7 CONTRIBUINTES, CILINDRICA, COM TAMPA, CAPACIDADE APROXIMADA DE *1100* LITROS (NBR 7229)</v>
      </c>
    </row>
    <row r="2130" spans="1:10" x14ac:dyDescent="0.25">
      <c r="A2130" s="169">
        <v>39362</v>
      </c>
      <c r="B2130" s="169" t="s">
        <v>25545</v>
      </c>
      <c r="C2130" s="169" t="s">
        <v>10225</v>
      </c>
      <c r="D2130" s="169" t="s">
        <v>1289</v>
      </c>
      <c r="E2130" s="103" t="s">
        <v>30423</v>
      </c>
      <c r="F2130" s="104"/>
      <c r="G2130" s="105">
        <f t="shared" si="132"/>
        <v>3044.27</v>
      </c>
      <c r="H2130" s="101" t="str">
        <f t="shared" si="133"/>
        <v>Sinapi 39362</v>
      </c>
      <c r="I2130" s="101" t="str">
        <f t="shared" si="134"/>
        <v>UN</v>
      </c>
      <c r="J2130" s="140" t="str">
        <f t="shared" si="135"/>
        <v>FOSSA SEPTICA, SEM FILTRO, EM POLIETILENO DE ALTA DENSIDADE (PEAD), PARA 8 A 14 CONTRIBUINTES, CILINDRICA, COM TAMPA, CAPACIDADE APROXIMADA DE *3000* LITROS (NBR 7229)</v>
      </c>
    </row>
    <row r="2131" spans="1:10" x14ac:dyDescent="0.25">
      <c r="A2131" s="169">
        <v>39364</v>
      </c>
      <c r="B2131" s="169" t="s">
        <v>25546</v>
      </c>
      <c r="C2131" s="169" t="s">
        <v>10225</v>
      </c>
      <c r="D2131" s="169" t="s">
        <v>1289</v>
      </c>
      <c r="E2131" s="103" t="s">
        <v>30424</v>
      </c>
      <c r="F2131" s="104"/>
      <c r="G2131" s="105">
        <f t="shared" si="132"/>
        <v>11897.8</v>
      </c>
      <c r="H2131" s="101" t="str">
        <f t="shared" si="133"/>
        <v>Sinapi 39364</v>
      </c>
      <c r="I2131" s="101" t="str">
        <f t="shared" si="134"/>
        <v>UN</v>
      </c>
      <c r="J2131" s="140" t="str">
        <f t="shared" si="135"/>
        <v>FOSSA SEPTICA,SEM FILTRO, EM POLIETILENO DE ALTA DENSIDADE (PEAD), PARA 40 A 52 CONTRIBUINTES, CILINDRICA, COM TAMPA, CAPACIDADE APROXIMADA DE *10000* LITROS (NBR 7229)</v>
      </c>
    </row>
    <row r="2132" spans="1:10" x14ac:dyDescent="0.25">
      <c r="A2132" s="169">
        <v>14576</v>
      </c>
      <c r="B2132" s="169" t="s">
        <v>25547</v>
      </c>
      <c r="C2132" s="169" t="s">
        <v>10225</v>
      </c>
      <c r="D2132" s="169" t="s">
        <v>1290</v>
      </c>
      <c r="E2132" s="103" t="s">
        <v>30425</v>
      </c>
      <c r="F2132" s="104"/>
      <c r="G2132" s="105">
        <f t="shared" si="132"/>
        <v>6599093.8700000001</v>
      </c>
      <c r="H2132" s="101" t="str">
        <f t="shared" si="133"/>
        <v>Sinapi 14576</v>
      </c>
      <c r="I2132" s="101" t="str">
        <f t="shared" si="134"/>
        <v>UN</v>
      </c>
      <c r="J2132" s="140" t="str">
        <f t="shared" si="135"/>
        <v>FRESADORA DE ASFALTO A FRIO SOBRE ESTEIRAS, LARG. FRESAGEM 2,00 M, POT. 410 KW/550 HP</v>
      </c>
    </row>
    <row r="2133" spans="1:10" x14ac:dyDescent="0.25">
      <c r="A2133" s="169">
        <v>13877</v>
      </c>
      <c r="B2133" s="169" t="s">
        <v>25548</v>
      </c>
      <c r="C2133" s="169" t="s">
        <v>10225</v>
      </c>
      <c r="D2133" s="169" t="s">
        <v>1290</v>
      </c>
      <c r="E2133" s="103" t="s">
        <v>30426</v>
      </c>
      <c r="F2133" s="104"/>
      <c r="G2133" s="105">
        <f t="shared" si="132"/>
        <v>2824973.66</v>
      </c>
      <c r="H2133" s="101" t="str">
        <f t="shared" si="133"/>
        <v>Sinapi 13877</v>
      </c>
      <c r="I2133" s="101" t="str">
        <f t="shared" si="134"/>
        <v>UN</v>
      </c>
      <c r="J2133" s="140" t="str">
        <f t="shared" si="135"/>
        <v>FRESADORA DE ASFALTO A FRIO SOBRE RODAS, LARG. FRESAGEM 1,00 M, POT. 155 KW/208 HP</v>
      </c>
    </row>
    <row r="2134" spans="1:10" x14ac:dyDescent="0.25">
      <c r="A2134" s="169">
        <v>7307</v>
      </c>
      <c r="B2134" s="169" t="s">
        <v>1200</v>
      </c>
      <c r="C2134" s="169" t="s">
        <v>10230</v>
      </c>
      <c r="D2134" s="169" t="s">
        <v>1289</v>
      </c>
      <c r="E2134" s="103" t="s">
        <v>25997</v>
      </c>
      <c r="F2134" s="104"/>
      <c r="G2134" s="105">
        <f t="shared" si="132"/>
        <v>35.94</v>
      </c>
      <c r="H2134" s="101" t="str">
        <f t="shared" si="133"/>
        <v>Sinapi 7307</v>
      </c>
      <c r="I2134" s="101" t="str">
        <f t="shared" si="134"/>
        <v>L</v>
      </c>
      <c r="J2134" s="140" t="str">
        <f t="shared" si="135"/>
        <v>FUNDO ANTICORROSIVO PARA METAIS FERROSOS (ZARCAO)</v>
      </c>
    </row>
    <row r="2135" spans="1:10" x14ac:dyDescent="0.25">
      <c r="A2135" s="169">
        <v>38122</v>
      </c>
      <c r="B2135" s="169" t="s">
        <v>25549</v>
      </c>
      <c r="C2135" s="169" t="s">
        <v>10230</v>
      </c>
      <c r="D2135" s="169" t="s">
        <v>1289</v>
      </c>
      <c r="E2135" s="103" t="s">
        <v>22824</v>
      </c>
      <c r="F2135" s="104"/>
      <c r="G2135" s="105">
        <f t="shared" si="132"/>
        <v>18.899999999999999</v>
      </c>
      <c r="H2135" s="101" t="str">
        <f t="shared" si="133"/>
        <v>Sinapi 38122</v>
      </c>
      <c r="I2135" s="101" t="str">
        <f t="shared" si="134"/>
        <v>L</v>
      </c>
      <c r="J2135" s="140" t="str">
        <f t="shared" si="135"/>
        <v>FUNDO PREPARADOR ACRILICO BASE AGUA</v>
      </c>
    </row>
    <row r="2136" spans="1:10" x14ac:dyDescent="0.25">
      <c r="A2136" s="169">
        <v>43653</v>
      </c>
      <c r="B2136" s="169" t="s">
        <v>25550</v>
      </c>
      <c r="C2136" s="169" t="s">
        <v>10230</v>
      </c>
      <c r="D2136" s="169" t="s">
        <v>1289</v>
      </c>
      <c r="E2136" s="103" t="s">
        <v>18553</v>
      </c>
      <c r="F2136" s="104"/>
      <c r="G2136" s="105">
        <f t="shared" si="132"/>
        <v>36.4</v>
      </c>
      <c r="H2136" s="101" t="str">
        <f t="shared" si="133"/>
        <v>Sinapi 43653</v>
      </c>
      <c r="I2136" s="101" t="str">
        <f t="shared" si="134"/>
        <v>L</v>
      </c>
      <c r="J2136" s="140" t="str">
        <f t="shared" si="135"/>
        <v>FUNDO SINTETICO NIVELADOR BRANCO FOSCO PARA MADEIRA</v>
      </c>
    </row>
    <row r="2137" spans="1:10" x14ac:dyDescent="0.25">
      <c r="A2137" s="169">
        <v>38633</v>
      </c>
      <c r="B2137" s="169" t="s">
        <v>170</v>
      </c>
      <c r="C2137" s="169" t="s">
        <v>10225</v>
      </c>
      <c r="D2137" s="169" t="s">
        <v>1289</v>
      </c>
      <c r="E2137" s="103" t="s">
        <v>30427</v>
      </c>
      <c r="F2137" s="104"/>
      <c r="G2137" s="105">
        <f t="shared" si="132"/>
        <v>39.979999999999997</v>
      </c>
      <c r="H2137" s="101" t="str">
        <f t="shared" si="133"/>
        <v>Sinapi 38633</v>
      </c>
      <c r="I2137" s="101" t="str">
        <f t="shared" si="134"/>
        <v>UN</v>
      </c>
      <c r="J2137" s="140" t="str">
        <f t="shared" si="135"/>
        <v>FURO PARA TORNEIRA OU OUTROS ACESSORIOS EM BANCADA DE MARMORE/ GRANITO OU OUTRO TIPO DE PEDRA NATURAL</v>
      </c>
    </row>
    <row r="2138" spans="1:10" x14ac:dyDescent="0.25">
      <c r="A2138" s="169">
        <v>12344</v>
      </c>
      <c r="B2138" s="169" t="s">
        <v>25552</v>
      </c>
      <c r="C2138" s="169" t="s">
        <v>10225</v>
      </c>
      <c r="D2138" s="169" t="s">
        <v>1290</v>
      </c>
      <c r="E2138" s="103" t="s">
        <v>16376</v>
      </c>
      <c r="F2138" s="104"/>
      <c r="G2138" s="105">
        <f t="shared" si="132"/>
        <v>4.01</v>
      </c>
      <c r="H2138" s="101" t="str">
        <f t="shared" si="133"/>
        <v>Sinapi 12344</v>
      </c>
      <c r="I2138" s="101" t="str">
        <f t="shared" si="134"/>
        <v>UN</v>
      </c>
      <c r="J2138" s="140" t="str">
        <f t="shared" si="135"/>
        <v>FUSIVEL DIAZED 20 A TAMANHO DII, CAPACIDADE DE INTERRUPCAO DE 50 KA EM VCA E 8 KA EM VCC, TENSAO NOMIMNAL DE 500 V</v>
      </c>
    </row>
    <row r="2139" spans="1:10" x14ac:dyDescent="0.25">
      <c r="A2139" s="169">
        <v>12343</v>
      </c>
      <c r="B2139" s="169" t="s">
        <v>25553</v>
      </c>
      <c r="C2139" s="169" t="s">
        <v>10225</v>
      </c>
      <c r="D2139" s="169" t="s">
        <v>1290</v>
      </c>
      <c r="E2139" s="103" t="s">
        <v>21056</v>
      </c>
      <c r="F2139" s="104"/>
      <c r="G2139" s="105">
        <f t="shared" si="132"/>
        <v>6.21</v>
      </c>
      <c r="H2139" s="101" t="str">
        <f t="shared" si="133"/>
        <v>Sinapi 12343</v>
      </c>
      <c r="I2139" s="101" t="str">
        <f t="shared" si="134"/>
        <v>UN</v>
      </c>
      <c r="J2139" s="140" t="str">
        <f t="shared" si="135"/>
        <v>FUSIVEL DIAZED 35 A TAMANHO DIII, CAPACIDADE DE INTERRUPCAO DE 50 KA EM VCA E 8 KA EM VCC, TENSAO NOMIMNAL DE 500 V</v>
      </c>
    </row>
    <row r="2140" spans="1:10" x14ac:dyDescent="0.25">
      <c r="A2140" s="169">
        <v>3295</v>
      </c>
      <c r="B2140" s="169" t="s">
        <v>25554</v>
      </c>
      <c r="C2140" s="169" t="s">
        <v>10225</v>
      </c>
      <c r="D2140" s="169" t="s">
        <v>1290</v>
      </c>
      <c r="E2140" s="103" t="s">
        <v>21067</v>
      </c>
      <c r="F2140" s="104"/>
      <c r="G2140" s="105">
        <f t="shared" si="132"/>
        <v>21.71</v>
      </c>
      <c r="H2140" s="101" t="str">
        <f t="shared" si="133"/>
        <v>Sinapi 3295</v>
      </c>
      <c r="I2140" s="101" t="str">
        <f t="shared" si="134"/>
        <v>UN</v>
      </c>
      <c r="J2140" s="140" t="str">
        <f t="shared" si="135"/>
        <v>FUSIVEL NH *36* A 80 AMPERES, TAMANHO 00, CAPACIDADE DE INTERRUPCAO DE 120 KA, TENSAO NOMIMNAL DE 500 V</v>
      </c>
    </row>
    <row r="2141" spans="1:10" x14ac:dyDescent="0.25">
      <c r="A2141" s="169">
        <v>3302</v>
      </c>
      <c r="B2141" s="169" t="s">
        <v>25556</v>
      </c>
      <c r="C2141" s="169" t="s">
        <v>10225</v>
      </c>
      <c r="D2141" s="169" t="s">
        <v>1290</v>
      </c>
      <c r="E2141" s="103" t="s">
        <v>30428</v>
      </c>
      <c r="F2141" s="104"/>
      <c r="G2141" s="105">
        <f t="shared" si="132"/>
        <v>22.7</v>
      </c>
      <c r="H2141" s="101" t="str">
        <f t="shared" si="133"/>
        <v>Sinapi 3302</v>
      </c>
      <c r="I2141" s="101" t="str">
        <f t="shared" si="134"/>
        <v>UN</v>
      </c>
      <c r="J2141" s="140" t="str">
        <f t="shared" si="135"/>
        <v>FUSIVEL NH 100 A TAMANHO 00, CAPACIDADE DE INTERRUPCAO DE 120 KA, TENSAO NOMIMNAL DE 500 V</v>
      </c>
    </row>
    <row r="2142" spans="1:10" x14ac:dyDescent="0.25">
      <c r="A2142" s="169">
        <v>3297</v>
      </c>
      <c r="B2142" s="169" t="s">
        <v>25557</v>
      </c>
      <c r="C2142" s="169" t="s">
        <v>10225</v>
      </c>
      <c r="D2142" s="169" t="s">
        <v>1290</v>
      </c>
      <c r="E2142" s="103" t="s">
        <v>15792</v>
      </c>
      <c r="F2142" s="104"/>
      <c r="G2142" s="105">
        <f t="shared" si="132"/>
        <v>24.23</v>
      </c>
      <c r="H2142" s="101" t="str">
        <f t="shared" si="133"/>
        <v>Sinapi 3297</v>
      </c>
      <c r="I2142" s="101" t="str">
        <f t="shared" si="134"/>
        <v>UN</v>
      </c>
      <c r="J2142" s="140" t="str">
        <f t="shared" si="135"/>
        <v>FUSIVEL NH 125 A TAMANHO 00, CAPACIDADE DE INTERRUPCAO DE 120 KA, TENSAO NOMIMNAL DE 500 V</v>
      </c>
    </row>
    <row r="2143" spans="1:10" x14ac:dyDescent="0.25">
      <c r="A2143" s="169">
        <v>3294</v>
      </c>
      <c r="B2143" s="169" t="s">
        <v>25558</v>
      </c>
      <c r="C2143" s="169" t="s">
        <v>10225</v>
      </c>
      <c r="D2143" s="169" t="s">
        <v>1290</v>
      </c>
      <c r="E2143" s="103" t="s">
        <v>30429</v>
      </c>
      <c r="F2143" s="104"/>
      <c r="G2143" s="105">
        <f t="shared" si="132"/>
        <v>24.6</v>
      </c>
      <c r="H2143" s="101" t="str">
        <f t="shared" si="133"/>
        <v>Sinapi 3294</v>
      </c>
      <c r="I2143" s="101" t="str">
        <f t="shared" si="134"/>
        <v>UN</v>
      </c>
      <c r="J2143" s="140" t="str">
        <f t="shared" si="135"/>
        <v>FUSIVEL NH 160 A TAMANHO 00, CAPACIDADE DE INTERRUPCAO DE 120 KA, TENSAO NOMIMNAL DE 500 V</v>
      </c>
    </row>
    <row r="2144" spans="1:10" x14ac:dyDescent="0.25">
      <c r="A2144" s="169">
        <v>3292</v>
      </c>
      <c r="B2144" s="169" t="s">
        <v>25560</v>
      </c>
      <c r="C2144" s="169" t="s">
        <v>10225</v>
      </c>
      <c r="D2144" s="169" t="s">
        <v>1290</v>
      </c>
      <c r="E2144" s="103" t="s">
        <v>17965</v>
      </c>
      <c r="F2144" s="104"/>
      <c r="G2144" s="105">
        <f t="shared" si="132"/>
        <v>23.11</v>
      </c>
      <c r="H2144" s="101" t="str">
        <f t="shared" si="133"/>
        <v>Sinapi 3292</v>
      </c>
      <c r="I2144" s="101" t="str">
        <f t="shared" si="134"/>
        <v>UN</v>
      </c>
      <c r="J2144" s="140" t="str">
        <f t="shared" si="135"/>
        <v>FUSIVEL NH 20 A TAMANHO 000, CAPACIDADE DE INTERRUPCAO DE 120 KA, TENSAO NOMIMNAL DE 500 V</v>
      </c>
    </row>
    <row r="2145" spans="1:10" x14ac:dyDescent="0.25">
      <c r="A2145" s="169">
        <v>3298</v>
      </c>
      <c r="B2145" s="169" t="s">
        <v>25562</v>
      </c>
      <c r="C2145" s="169" t="s">
        <v>10225</v>
      </c>
      <c r="D2145" s="169" t="s">
        <v>1290</v>
      </c>
      <c r="E2145" s="103" t="s">
        <v>30430</v>
      </c>
      <c r="F2145" s="104"/>
      <c r="G2145" s="105">
        <f t="shared" si="132"/>
        <v>54.16</v>
      </c>
      <c r="H2145" s="101" t="str">
        <f t="shared" si="133"/>
        <v>Sinapi 3298</v>
      </c>
      <c r="I2145" s="101" t="str">
        <f t="shared" si="134"/>
        <v>UN</v>
      </c>
      <c r="J2145" s="140" t="str">
        <f t="shared" si="135"/>
        <v>FUSIVEL NH 200 A 250 AMPERES, TAMANHO 1, CAPACIDADE DE INTERRUPCAO DE 120 KA, TENSAO NOMIMNAL DE 500 V</v>
      </c>
    </row>
    <row r="2146" spans="1:10" x14ac:dyDescent="0.25">
      <c r="A2146" s="169">
        <v>11596</v>
      </c>
      <c r="B2146" s="169" t="s">
        <v>25563</v>
      </c>
      <c r="C2146" s="169" t="s">
        <v>10225</v>
      </c>
      <c r="D2146" s="169" t="s">
        <v>1289</v>
      </c>
      <c r="E2146" s="103" t="s">
        <v>30431</v>
      </c>
      <c r="F2146" s="104"/>
      <c r="G2146" s="105">
        <f t="shared" si="132"/>
        <v>590.19000000000005</v>
      </c>
      <c r="H2146" s="101" t="str">
        <f t="shared" si="133"/>
        <v>Sinapi 11596</v>
      </c>
      <c r="I2146" s="101" t="str">
        <f t="shared" si="134"/>
        <v>UN</v>
      </c>
      <c r="J2146" s="140" t="str">
        <f t="shared" si="135"/>
        <v>GABIAO TIPO CAIXA, MALHA HEXAGONAL 8 X 10 CM (ZN/AL), FIO 2,7 MM, DIMENSOES 2,0 X 1,0 X 0,5 M (C X L X A)</v>
      </c>
    </row>
    <row r="2147" spans="1:10" x14ac:dyDescent="0.25">
      <c r="A2147" s="169">
        <v>34802</v>
      </c>
      <c r="B2147" s="169" t="s">
        <v>25565</v>
      </c>
      <c r="C2147" s="169" t="s">
        <v>10225</v>
      </c>
      <c r="D2147" s="169" t="s">
        <v>1289</v>
      </c>
      <c r="E2147" s="103" t="s">
        <v>30432</v>
      </c>
      <c r="F2147" s="104"/>
      <c r="G2147" s="105">
        <f t="shared" si="132"/>
        <v>1620.86</v>
      </c>
      <c r="H2147" s="101" t="str">
        <f t="shared" si="133"/>
        <v>Sinapi 34802</v>
      </c>
      <c r="I2147" s="101" t="str">
        <f t="shared" si="134"/>
        <v>UN</v>
      </c>
      <c r="J2147" s="140" t="str">
        <f t="shared" si="135"/>
        <v>GABIAO MANTA (COLCHAO) MALHA HEXAGONAL 6 X 8 CM (ZN/AL REVESTIDO COM POLIMERO), DIMENSOES 4,0 X 2,0 X 0,17 M (C X L X A) FIO 2 MM</v>
      </c>
    </row>
    <row r="2148" spans="1:10" x14ac:dyDescent="0.25">
      <c r="A2148" s="169">
        <v>11588</v>
      </c>
      <c r="B2148" s="169" t="s">
        <v>25566</v>
      </c>
      <c r="C2148" s="169" t="s">
        <v>10225</v>
      </c>
      <c r="D2148" s="169" t="s">
        <v>1289</v>
      </c>
      <c r="E2148" s="103" t="s">
        <v>30433</v>
      </c>
      <c r="F2148" s="104"/>
      <c r="G2148" s="105">
        <f t="shared" si="132"/>
        <v>1748.65</v>
      </c>
      <c r="H2148" s="101" t="str">
        <f t="shared" si="133"/>
        <v>Sinapi 11588</v>
      </c>
      <c r="I2148" s="101" t="str">
        <f t="shared" si="134"/>
        <v>UN</v>
      </c>
      <c r="J2148" s="140" t="str">
        <f t="shared" si="135"/>
        <v>GABIAO MANTA (COLCHAO) MALHA HEXAGONAL 6 X 8 CM (ZN/AL REVESTIDO COM POLIMERO), FIO 2 MM, DIMENSOES 4,0 X 2,0 X 0,23 M (C X L X A)</v>
      </c>
    </row>
    <row r="2149" spans="1:10" x14ac:dyDescent="0.25">
      <c r="A2149" s="169">
        <v>34383</v>
      </c>
      <c r="B2149" s="169" t="s">
        <v>25567</v>
      </c>
      <c r="C2149" s="169" t="s">
        <v>10225</v>
      </c>
      <c r="D2149" s="169" t="s">
        <v>1289</v>
      </c>
      <c r="E2149" s="103" t="s">
        <v>30434</v>
      </c>
      <c r="F2149" s="104"/>
      <c r="G2149" s="105">
        <f t="shared" si="132"/>
        <v>1923.64</v>
      </c>
      <c r="H2149" s="101" t="str">
        <f t="shared" si="133"/>
        <v>Sinapi 34383</v>
      </c>
      <c r="I2149" s="101" t="str">
        <f t="shared" si="134"/>
        <v>UN</v>
      </c>
      <c r="J2149" s="140" t="str">
        <f t="shared" si="135"/>
        <v>GABIAO MANTA (COLCHAO) MALHA HEXAGONAL 6 X 8 CM (ZN/AL REVESTIDO COM POLIMERO), FIO 2 MM, DIMENSOES 4,0 X 2,0 X 0,3 M (C X L X A)</v>
      </c>
    </row>
    <row r="2150" spans="1:10" x14ac:dyDescent="0.25">
      <c r="A2150" s="169">
        <v>40451</v>
      </c>
      <c r="B2150" s="169" t="s">
        <v>25568</v>
      </c>
      <c r="C2150" s="169" t="s">
        <v>10226</v>
      </c>
      <c r="D2150" s="169" t="s">
        <v>1289</v>
      </c>
      <c r="E2150" s="103" t="s">
        <v>30435</v>
      </c>
      <c r="F2150" s="104"/>
      <c r="G2150" s="105">
        <f t="shared" si="132"/>
        <v>155.49</v>
      </c>
      <c r="H2150" s="101" t="str">
        <f t="shared" si="133"/>
        <v>Sinapi 40451</v>
      </c>
      <c r="I2150" s="101" t="str">
        <f t="shared" si="134"/>
        <v>M2</v>
      </c>
      <c r="J2150" s="140" t="str">
        <f t="shared" si="135"/>
        <v>GABIAO MANTA (COLCHAO) MALHA HEXAGONAL 6 X 8 CM (ZN/AL REVESTIDO COM POLIMERO), FIO 2,0 MM, DIMENSOES 5,0 X 2,0 X 0,17 M (C X L X A)</v>
      </c>
    </row>
    <row r="2151" spans="1:10" x14ac:dyDescent="0.25">
      <c r="A2151" s="169">
        <v>40453</v>
      </c>
      <c r="B2151" s="169" t="s">
        <v>25569</v>
      </c>
      <c r="C2151" s="169" t="s">
        <v>10226</v>
      </c>
      <c r="D2151" s="169" t="s">
        <v>1289</v>
      </c>
      <c r="E2151" s="103" t="s">
        <v>30436</v>
      </c>
      <c r="F2151" s="104"/>
      <c r="G2151" s="105">
        <f t="shared" si="132"/>
        <v>168.24</v>
      </c>
      <c r="H2151" s="101" t="str">
        <f t="shared" si="133"/>
        <v>Sinapi 40453</v>
      </c>
      <c r="I2151" s="101" t="str">
        <f t="shared" si="134"/>
        <v>M2</v>
      </c>
      <c r="J2151" s="140" t="str">
        <f t="shared" si="135"/>
        <v>GABIAO MANTA (COLCHAO) MALHA HEXAGONAL 6 X 8 CM (ZN/AL REVESTIDO COM POLIMERO), FIO 2,0 MM, DIMENSOES 5,0 X 2,0 X 0,23 M (C X L X A)</v>
      </c>
    </row>
    <row r="2152" spans="1:10" x14ac:dyDescent="0.25">
      <c r="A2152" s="169">
        <v>40452</v>
      </c>
      <c r="B2152" s="169" t="s">
        <v>25570</v>
      </c>
      <c r="C2152" s="169" t="s">
        <v>10226</v>
      </c>
      <c r="D2152" s="169" t="s">
        <v>1289</v>
      </c>
      <c r="E2152" s="103" t="s">
        <v>30437</v>
      </c>
      <c r="F2152" s="104"/>
      <c r="G2152" s="105">
        <f t="shared" si="132"/>
        <v>184.54</v>
      </c>
      <c r="H2152" s="101" t="str">
        <f t="shared" si="133"/>
        <v>Sinapi 40452</v>
      </c>
      <c r="I2152" s="101" t="str">
        <f t="shared" si="134"/>
        <v>M2</v>
      </c>
      <c r="J2152" s="140" t="str">
        <f t="shared" si="135"/>
        <v>GABIAO MANTA (COLCHAO) MALHA HEXAGONAL 6 X 8 CM (ZN/AL REVESTIDO COM POLIMERO), FIO 2,0 MM, DIMENSOES 5,0 X 2,0 X 0,30 M (C X L X A)</v>
      </c>
    </row>
    <row r="2153" spans="1:10" x14ac:dyDescent="0.25">
      <c r="A2153" s="169">
        <v>11594</v>
      </c>
      <c r="B2153" s="169" t="s">
        <v>25572</v>
      </c>
      <c r="C2153" s="169" t="s">
        <v>10225</v>
      </c>
      <c r="D2153" s="169" t="s">
        <v>1289</v>
      </c>
      <c r="E2153" s="103" t="s">
        <v>30438</v>
      </c>
      <c r="F2153" s="104"/>
      <c r="G2153" s="105">
        <f t="shared" si="132"/>
        <v>557.34</v>
      </c>
      <c r="H2153" s="101" t="str">
        <f t="shared" si="133"/>
        <v>Sinapi 11594</v>
      </c>
      <c r="I2153" s="101" t="str">
        <f t="shared" si="134"/>
        <v>UN</v>
      </c>
      <c r="J2153" s="140" t="str">
        <f t="shared" si="135"/>
        <v>GABIAO SACO MALHA HEXAGONAL 8 X 10 CM (ZN/AL REVESTIDO COM POLIMERO), FIO 2,4 MM, DIMENSOES 3,0 X 0,65 M</v>
      </c>
    </row>
    <row r="2154" spans="1:10" x14ac:dyDescent="0.25">
      <c r="A2154" s="169">
        <v>3311</v>
      </c>
      <c r="B2154" s="169" t="s">
        <v>25573</v>
      </c>
      <c r="C2154" s="169" t="s">
        <v>10234</v>
      </c>
      <c r="D2154" s="169" t="s">
        <v>1289</v>
      </c>
      <c r="E2154" s="103" t="s">
        <v>30438</v>
      </c>
      <c r="F2154" s="104"/>
      <c r="G2154" s="105">
        <f t="shared" si="132"/>
        <v>557.34</v>
      </c>
      <c r="H2154" s="101" t="str">
        <f t="shared" si="133"/>
        <v>Sinapi 3311</v>
      </c>
      <c r="I2154" s="101" t="str">
        <f t="shared" si="134"/>
        <v>M3</v>
      </c>
      <c r="J2154" s="140" t="str">
        <f t="shared" si="135"/>
        <v>GABIAO SACO MALHA HEXAGONAL 8 X 10 CM (ZN/AL REVESTIDO COM POLIMERO), FIO 2,4 MM, H = 0,65 M</v>
      </c>
    </row>
    <row r="2155" spans="1:10" x14ac:dyDescent="0.25">
      <c r="A2155" s="169">
        <v>11599</v>
      </c>
      <c r="B2155" s="169" t="s">
        <v>25574</v>
      </c>
      <c r="C2155" s="169" t="s">
        <v>10225</v>
      </c>
      <c r="D2155" s="169" t="s">
        <v>1289</v>
      </c>
      <c r="E2155" s="103" t="s">
        <v>30439</v>
      </c>
      <c r="F2155" s="104"/>
      <c r="G2155" s="105">
        <f t="shared" si="132"/>
        <v>741.2</v>
      </c>
      <c r="H2155" s="101" t="str">
        <f t="shared" si="133"/>
        <v>Sinapi 11599</v>
      </c>
      <c r="I2155" s="101" t="str">
        <f t="shared" si="134"/>
        <v>UN</v>
      </c>
      <c r="J2155" s="140" t="str">
        <f t="shared" si="135"/>
        <v>GABIAO SACO MALHA HEXAGONAL 8 X 10 CM (ZN/AL), FIO 2,7 MM, DIMENSOES 4,0 X 0,65 M</v>
      </c>
    </row>
    <row r="2156" spans="1:10" x14ac:dyDescent="0.25">
      <c r="A2156" s="169">
        <v>11593</v>
      </c>
      <c r="B2156" s="169" t="s">
        <v>25575</v>
      </c>
      <c r="C2156" s="169" t="s">
        <v>10225</v>
      </c>
      <c r="D2156" s="169" t="s">
        <v>1289</v>
      </c>
      <c r="E2156" s="103" t="s">
        <v>30440</v>
      </c>
      <c r="F2156" s="104"/>
      <c r="G2156" s="105">
        <f t="shared" si="132"/>
        <v>1039.1199999999999</v>
      </c>
      <c r="H2156" s="101" t="str">
        <f t="shared" si="133"/>
        <v>Sinapi 11593</v>
      </c>
      <c r="I2156" s="101" t="str">
        <f t="shared" si="134"/>
        <v>UN</v>
      </c>
      <c r="J2156" s="140" t="str">
        <f t="shared" si="135"/>
        <v>GABIAO TIPO CAIXA MALHA HEXAGONAL 8 X 10 CM (ZN/AL REVESTIDO COM POLIMERO), FIO 2,4 MM, DIMENSOES 2,0 X 1,0 X 1,0 M (C X L X A)</v>
      </c>
    </row>
    <row r="2157" spans="1:10" x14ac:dyDescent="0.25">
      <c r="A2157" s="169">
        <v>3314</v>
      </c>
      <c r="B2157" s="169" t="s">
        <v>25576</v>
      </c>
      <c r="C2157" s="169" t="s">
        <v>10234</v>
      </c>
      <c r="D2157" s="169" t="s">
        <v>1289</v>
      </c>
      <c r="E2157" s="103" t="s">
        <v>30441</v>
      </c>
      <c r="F2157" s="104"/>
      <c r="G2157" s="105">
        <f t="shared" si="132"/>
        <v>743.18</v>
      </c>
      <c r="H2157" s="101" t="str">
        <f t="shared" si="133"/>
        <v>Sinapi 3314</v>
      </c>
      <c r="I2157" s="101" t="str">
        <f t="shared" si="134"/>
        <v>M3</v>
      </c>
      <c r="J2157" s="140" t="str">
        <f t="shared" si="135"/>
        <v>GABIAO TIPO CAIXA MALHA HEXAGONAL 8 X 10 CM (ZN/AL REVESTIDO COM POLIMERO), FIO 2,4 MM, H = 0,50 M</v>
      </c>
    </row>
    <row r="2158" spans="1:10" x14ac:dyDescent="0.25">
      <c r="A2158" s="169">
        <v>11597</v>
      </c>
      <c r="B2158" s="169" t="s">
        <v>25577</v>
      </c>
      <c r="C2158" s="169" t="s">
        <v>10225</v>
      </c>
      <c r="D2158" s="169" t="s">
        <v>1289</v>
      </c>
      <c r="E2158" s="103" t="s">
        <v>30442</v>
      </c>
      <c r="F2158" s="104"/>
      <c r="G2158" s="105">
        <f t="shared" si="132"/>
        <v>864.23</v>
      </c>
      <c r="H2158" s="101" t="str">
        <f t="shared" si="133"/>
        <v>Sinapi 11597</v>
      </c>
      <c r="I2158" s="101" t="str">
        <f t="shared" si="134"/>
        <v>UN</v>
      </c>
      <c r="J2158" s="140" t="str">
        <f t="shared" si="135"/>
        <v>GABIAO TIPO CAIXA MALHA HEXAGONAL 8 X 10 CM (ZN/AL), FIO 2,7 MM, DIMENSOES 2,0 X 1,0 X 1,0 M (C X L X A)</v>
      </c>
    </row>
    <row r="2159" spans="1:10" x14ac:dyDescent="0.25">
      <c r="A2159" s="169">
        <v>3309</v>
      </c>
      <c r="B2159" s="169" t="s">
        <v>25578</v>
      </c>
      <c r="C2159" s="169" t="s">
        <v>10234</v>
      </c>
      <c r="D2159" s="169" t="s">
        <v>1289</v>
      </c>
      <c r="E2159" s="103" t="s">
        <v>30431</v>
      </c>
      <c r="F2159" s="104"/>
      <c r="G2159" s="105">
        <f t="shared" si="132"/>
        <v>590.19000000000005</v>
      </c>
      <c r="H2159" s="101" t="str">
        <f t="shared" si="133"/>
        <v>Sinapi 3309</v>
      </c>
      <c r="I2159" s="101" t="str">
        <f t="shared" si="134"/>
        <v>M3</v>
      </c>
      <c r="J2159" s="140" t="str">
        <f t="shared" si="135"/>
        <v>GABIAO TIPO CAIXA MALHA HEXAGONAL 8 X 10 CM (ZN/AL), FIO 2,7 MM, H = 0,50 M</v>
      </c>
    </row>
    <row r="2160" spans="1:10" x14ac:dyDescent="0.25">
      <c r="A2160" s="169">
        <v>34612</v>
      </c>
      <c r="B2160" s="169" t="s">
        <v>25579</v>
      </c>
      <c r="C2160" s="169" t="s">
        <v>10225</v>
      </c>
      <c r="D2160" s="169" t="s">
        <v>1289</v>
      </c>
      <c r="E2160" s="103" t="s">
        <v>30443</v>
      </c>
      <c r="F2160" s="104"/>
      <c r="G2160" s="105">
        <f t="shared" si="132"/>
        <v>1068.9000000000001</v>
      </c>
      <c r="H2160" s="101" t="str">
        <f t="shared" si="133"/>
        <v>Sinapi 34612</v>
      </c>
      <c r="I2160" s="101" t="str">
        <f t="shared" si="134"/>
        <v>UN</v>
      </c>
      <c r="J2160" s="140" t="str">
        <f t="shared" si="135"/>
        <v>GABIAO TIPO CAIXA PARA SOLO REFORCADO, MALHA HEXAGONAL DE DUPLA TORCAO 8 X 10 CM (ZN/AL REVESTIDO COM POLIMERO), FIO 2,7 MM, DIMENSOES 2,0 X 1,0 X 0,5 M, COM CAUDA DE 3,0 M</v>
      </c>
    </row>
    <row r="2161" spans="1:10" x14ac:dyDescent="0.25">
      <c r="A2161" s="169">
        <v>34635</v>
      </c>
      <c r="B2161" s="169" t="s">
        <v>25580</v>
      </c>
      <c r="C2161" s="169" t="s">
        <v>10225</v>
      </c>
      <c r="D2161" s="169" t="s">
        <v>1289</v>
      </c>
      <c r="E2161" s="103" t="s">
        <v>30444</v>
      </c>
      <c r="F2161" s="104"/>
      <c r="G2161" s="105">
        <f t="shared" si="132"/>
        <v>1374.56</v>
      </c>
      <c r="H2161" s="101" t="str">
        <f t="shared" si="133"/>
        <v>Sinapi 34635</v>
      </c>
      <c r="I2161" s="101" t="str">
        <f t="shared" si="134"/>
        <v>UN</v>
      </c>
      <c r="J2161" s="140" t="str">
        <f t="shared" si="135"/>
        <v>GABIAO TIPO CAIXA PARA SOLO REFORCADO, MALHA HEXAGONAL DE DUPLA TORCAO 8 X 10 CM (ZN/AL REVESTIDO COM POLIMERO), FIO 2,7 MM, DIMENSOES 2,0 X 1,0 X 1,0 M, COM CAUDA DE 3,0 M</v>
      </c>
    </row>
    <row r="2162" spans="1:10" x14ac:dyDescent="0.25">
      <c r="A2162" s="169">
        <v>34633</v>
      </c>
      <c r="B2162" s="169" t="s">
        <v>25581</v>
      </c>
      <c r="C2162" s="169" t="s">
        <v>10225</v>
      </c>
      <c r="D2162" s="169" t="s">
        <v>1289</v>
      </c>
      <c r="E2162" s="103" t="s">
        <v>30445</v>
      </c>
      <c r="F2162" s="104"/>
      <c r="G2162" s="105">
        <f t="shared" si="132"/>
        <v>1515.12</v>
      </c>
      <c r="H2162" s="101" t="str">
        <f t="shared" si="133"/>
        <v>Sinapi 34633</v>
      </c>
      <c r="I2162" s="101" t="str">
        <f t="shared" si="134"/>
        <v>UN</v>
      </c>
      <c r="J2162" s="140" t="str">
        <f t="shared" si="135"/>
        <v>GABIAO TIPO CAIXA PARA SOLO REFORCADO, MALHA HEXAGONAL DE DUPLA TORCAO 8 X 10 CM (ZN/AL REVESTIDO COM POLIMERO), FIO 2,7 MM, DIMENSOES 2,0 X 1,0 X 1,0 M, COM CAUDA DE 4,0 M</v>
      </c>
    </row>
    <row r="2163" spans="1:10" x14ac:dyDescent="0.25">
      <c r="A2163" s="169">
        <v>40440</v>
      </c>
      <c r="B2163" s="169" t="s">
        <v>25582</v>
      </c>
      <c r="C2163" s="169" t="s">
        <v>10234</v>
      </c>
      <c r="D2163" s="169" t="s">
        <v>1289</v>
      </c>
      <c r="E2163" s="103" t="s">
        <v>30446</v>
      </c>
      <c r="F2163" s="104"/>
      <c r="G2163" s="105">
        <f t="shared" si="132"/>
        <v>774.1</v>
      </c>
      <c r="H2163" s="101" t="str">
        <f t="shared" si="133"/>
        <v>Sinapi 40440</v>
      </c>
      <c r="I2163" s="101" t="str">
        <f t="shared" si="134"/>
        <v>M3</v>
      </c>
      <c r="J2163" s="140" t="str">
        <f t="shared" si="135"/>
        <v>GABIAO TIPO CAIXA PARA SOLO REFORCADO, MALHA HEXAGONAL 8 X 10 CM (ZN/AL REVESTIDO COM POLIMERO), FIO 2,7 MM, DIMENSOES 2,0 X 1,0 X 0,5 M, COM CAUDA DE 4,0 M</v>
      </c>
    </row>
    <row r="2164" spans="1:10" x14ac:dyDescent="0.25">
      <c r="A2164" s="169">
        <v>40441</v>
      </c>
      <c r="B2164" s="169" t="s">
        <v>25583</v>
      </c>
      <c r="C2164" s="169" t="s">
        <v>10234</v>
      </c>
      <c r="D2164" s="169" t="s">
        <v>1289</v>
      </c>
      <c r="E2164" s="103" t="s">
        <v>30447</v>
      </c>
      <c r="F2164" s="104"/>
      <c r="G2164" s="105">
        <f t="shared" si="132"/>
        <v>494.22</v>
      </c>
      <c r="H2164" s="101" t="str">
        <f t="shared" si="133"/>
        <v>Sinapi 40441</v>
      </c>
      <c r="I2164" s="101" t="str">
        <f t="shared" si="134"/>
        <v>M3</v>
      </c>
      <c r="J2164" s="140" t="str">
        <f t="shared" si="135"/>
        <v>GABIAO TIPO CAIXA PARA SOLO REFORCADO, MALHA HEXAGONAL 8 X 10 CM (ZN/AL REVESTIDO COM POLIMERO), FIO 2,7 MM, DIMENSOES 2,0 X 1,0 X 1,0 M, COM CAUDA DE 4,0 M</v>
      </c>
    </row>
    <row r="2165" spans="1:10" x14ac:dyDescent="0.25">
      <c r="A2165" s="169">
        <v>40449</v>
      </c>
      <c r="B2165" s="169" t="s">
        <v>25584</v>
      </c>
      <c r="C2165" s="169" t="s">
        <v>10234</v>
      </c>
      <c r="D2165" s="169" t="s">
        <v>1289</v>
      </c>
      <c r="E2165" s="103" t="s">
        <v>25564</v>
      </c>
      <c r="F2165" s="104"/>
      <c r="G2165" s="105">
        <f t="shared" si="132"/>
        <v>415.47</v>
      </c>
      <c r="H2165" s="101" t="str">
        <f t="shared" si="133"/>
        <v>Sinapi 40449</v>
      </c>
      <c r="I2165" s="101" t="str">
        <f t="shared" si="134"/>
        <v>M3</v>
      </c>
      <c r="J2165" s="140" t="str">
        <f t="shared" si="135"/>
        <v>GABIAO TIPO CAIXA TRAPEZOIDAL, MALHA HEXAGONAL 10 X 12 CM (ZN/AL REVESTIDO COM POLIMERO) FIO 2,7 MM, FACE COM 65 GRAUS, COM GEOSSINTETICO, DIMENSOES 2,0 X 1,5 X 1,0 M (C X L X A)</v>
      </c>
    </row>
    <row r="2166" spans="1:10" x14ac:dyDescent="0.25">
      <c r="A2166" s="169">
        <v>34800</v>
      </c>
      <c r="B2166" s="169" t="s">
        <v>25585</v>
      </c>
      <c r="C2166" s="169" t="s">
        <v>10234</v>
      </c>
      <c r="D2166" s="169" t="s">
        <v>1289</v>
      </c>
      <c r="E2166" s="103" t="s">
        <v>30448</v>
      </c>
      <c r="F2166" s="104"/>
      <c r="G2166" s="105">
        <f t="shared" si="132"/>
        <v>519.54999999999995</v>
      </c>
      <c r="H2166" s="101" t="str">
        <f t="shared" si="133"/>
        <v>Sinapi 34800</v>
      </c>
      <c r="I2166" s="101" t="str">
        <f t="shared" si="134"/>
        <v>M3</v>
      </c>
      <c r="J2166" s="140" t="str">
        <f t="shared" si="135"/>
        <v>GABIAO TIPO CAIXA, MALHA HEXAGONAL 8 X 10 CM (ZN/AL REVESTIDO COM POLIMERO), FIO DE 2,4 MM, DIMENSOES 2,0 x 1,0 x 1,0 M (C X L X A)</v>
      </c>
    </row>
    <row r="2167" spans="1:10" x14ac:dyDescent="0.25">
      <c r="A2167" s="169">
        <v>11592</v>
      </c>
      <c r="B2167" s="169" t="s">
        <v>25586</v>
      </c>
      <c r="C2167" s="169" t="s">
        <v>10225</v>
      </c>
      <c r="D2167" s="169" t="s">
        <v>1289</v>
      </c>
      <c r="E2167" s="103" t="s">
        <v>30441</v>
      </c>
      <c r="F2167" s="104"/>
      <c r="G2167" s="105">
        <f t="shared" si="132"/>
        <v>743.18</v>
      </c>
      <c r="H2167" s="101" t="str">
        <f t="shared" si="133"/>
        <v>Sinapi 11592</v>
      </c>
      <c r="I2167" s="101" t="str">
        <f t="shared" si="134"/>
        <v>UN</v>
      </c>
      <c r="J2167" s="140" t="str">
        <f t="shared" si="135"/>
        <v>GABIAO TIPO CAIXA, MALHA HEXAGONAL 8 X 10 CM (ZN/AL REVESTIDO COM POLIMERO), FIO 2,4 MM, DIMENSOES 2,0 X 1,0 X 0,5 M (C X L X A)</v>
      </c>
    </row>
    <row r="2168" spans="1:10" x14ac:dyDescent="0.25">
      <c r="A2168" s="169">
        <v>40438</v>
      </c>
      <c r="B2168" s="169" t="s">
        <v>25587</v>
      </c>
      <c r="C2168" s="169" t="s">
        <v>10234</v>
      </c>
      <c r="D2168" s="169" t="s">
        <v>1289</v>
      </c>
      <c r="E2168" s="103" t="s">
        <v>30449</v>
      </c>
      <c r="F2168" s="104"/>
      <c r="G2168" s="105">
        <f t="shared" si="132"/>
        <v>346.14</v>
      </c>
      <c r="H2168" s="101" t="str">
        <f t="shared" si="133"/>
        <v>Sinapi 40438</v>
      </c>
      <c r="I2168" s="101" t="str">
        <f t="shared" si="134"/>
        <v>M3</v>
      </c>
      <c r="J2168" s="140" t="str">
        <f t="shared" si="135"/>
        <v>GABIAO TIPO CAIXA, MALHA HEXAGONAL 8 X 10 CM (ZN/AL), FIO DE 2,7 MM, DIMENSOES 2,0 X 1,0 X 1,0 M (C X L X A)</v>
      </c>
    </row>
    <row r="2169" spans="1:10" x14ac:dyDescent="0.25">
      <c r="A2169" s="169">
        <v>40436</v>
      </c>
      <c r="B2169" s="169" t="s">
        <v>25588</v>
      </c>
      <c r="C2169" s="169" t="s">
        <v>10234</v>
      </c>
      <c r="D2169" s="169" t="s">
        <v>1289</v>
      </c>
      <c r="E2169" s="103" t="s">
        <v>30450</v>
      </c>
      <c r="F2169" s="104"/>
      <c r="G2169" s="105">
        <f t="shared" si="132"/>
        <v>431.6</v>
      </c>
      <c r="H2169" s="101" t="str">
        <f t="shared" si="133"/>
        <v>Sinapi 40436</v>
      </c>
      <c r="I2169" s="101" t="str">
        <f t="shared" si="134"/>
        <v>M3</v>
      </c>
      <c r="J2169" s="140" t="str">
        <f t="shared" si="135"/>
        <v>GABIAO TIPO CAIXA, MALHA HEXAGONAL 8 X 10 CM (ZN/AL), FIO DE 2,7 MM, DIMENSOES 5,0 X 1,0 X 1,0 M (C X L X A)</v>
      </c>
    </row>
    <row r="2170" spans="1:10" x14ac:dyDescent="0.25">
      <c r="A2170" s="169">
        <v>4315</v>
      </c>
      <c r="B2170" s="169" t="s">
        <v>25589</v>
      </c>
      <c r="C2170" s="169" t="s">
        <v>10225</v>
      </c>
      <c r="D2170" s="169" t="s">
        <v>1289</v>
      </c>
      <c r="E2170" s="103" t="s">
        <v>15566</v>
      </c>
      <c r="F2170" s="104"/>
      <c r="G2170" s="105">
        <f t="shared" si="132"/>
        <v>1.88</v>
      </c>
      <c r="H2170" s="101" t="str">
        <f t="shared" si="133"/>
        <v>Sinapi 4315</v>
      </c>
      <c r="I2170" s="101" t="str">
        <f t="shared" si="134"/>
        <v>UN</v>
      </c>
      <c r="J2170" s="140" t="str">
        <f t="shared" si="135"/>
        <v>GANCHO CHATO EM FERRO GALVANIZADO, L = 110 MM, RECOBRIMENTO = 100MM, SECAO 1/8 X 1/2" (3 MM X 12 MM), PARA FIXAR TELHA DE FIBROCIMENTO ONDULADA</v>
      </c>
    </row>
    <row r="2171" spans="1:10" x14ac:dyDescent="0.25">
      <c r="A2171" s="169">
        <v>402</v>
      </c>
      <c r="B2171" s="169" t="s">
        <v>25590</v>
      </c>
      <c r="C2171" s="169" t="s">
        <v>10225</v>
      </c>
      <c r="D2171" s="169" t="s">
        <v>1289</v>
      </c>
      <c r="E2171" s="103" t="s">
        <v>6357</v>
      </c>
      <c r="F2171" s="104"/>
      <c r="G2171" s="105">
        <f t="shared" si="132"/>
        <v>11.31</v>
      </c>
      <c r="H2171" s="101" t="str">
        <f t="shared" si="133"/>
        <v>Sinapi 402</v>
      </c>
      <c r="I2171" s="101" t="str">
        <f t="shared" si="134"/>
        <v>UN</v>
      </c>
      <c r="J2171" s="140" t="str">
        <f t="shared" si="135"/>
        <v>GANCHO OLHAL EM ACO GALVANIZADO, ESPESSURA 16MM, ABERTURA 21MM</v>
      </c>
    </row>
    <row r="2172" spans="1:10" x14ac:dyDescent="0.25">
      <c r="A2172" s="169">
        <v>4226</v>
      </c>
      <c r="B2172" s="169" t="s">
        <v>1258</v>
      </c>
      <c r="C2172" s="169" t="s">
        <v>10231</v>
      </c>
      <c r="D2172" s="169" t="s">
        <v>1288</v>
      </c>
      <c r="E2172" s="103" t="s">
        <v>20366</v>
      </c>
      <c r="F2172" s="104"/>
      <c r="G2172" s="105">
        <f t="shared" si="132"/>
        <v>8.7799999999999994</v>
      </c>
      <c r="H2172" s="101" t="str">
        <f t="shared" si="133"/>
        <v>Sinapi 4226</v>
      </c>
      <c r="I2172" s="101" t="str">
        <f t="shared" si="134"/>
        <v>KG</v>
      </c>
      <c r="J2172" s="140" t="str">
        <f t="shared" si="135"/>
        <v>GAS DE COZINHA - GLP</v>
      </c>
    </row>
    <row r="2173" spans="1:10" x14ac:dyDescent="0.25">
      <c r="A2173" s="169">
        <v>4222</v>
      </c>
      <c r="B2173" s="169" t="s">
        <v>25591</v>
      </c>
      <c r="C2173" s="169" t="s">
        <v>10230</v>
      </c>
      <c r="D2173" s="169" t="s">
        <v>1288</v>
      </c>
      <c r="E2173" s="103" t="s">
        <v>16362</v>
      </c>
      <c r="F2173" s="104"/>
      <c r="G2173" s="105">
        <f t="shared" si="132"/>
        <v>6.63</v>
      </c>
      <c r="H2173" s="101" t="str">
        <f t="shared" si="133"/>
        <v>Sinapi 4222</v>
      </c>
      <c r="I2173" s="101" t="str">
        <f t="shared" si="134"/>
        <v>L</v>
      </c>
      <c r="J2173" s="140" t="str">
        <f t="shared" si="135"/>
        <v>GASOLINA COMUM</v>
      </c>
    </row>
    <row r="2174" spans="1:10" x14ac:dyDescent="0.25">
      <c r="A2174" s="169">
        <v>34804</v>
      </c>
      <c r="B2174" s="169" t="s">
        <v>25592</v>
      </c>
      <c r="C2174" s="169" t="s">
        <v>10226</v>
      </c>
      <c r="D2174" s="169" t="s">
        <v>1289</v>
      </c>
      <c r="E2174" s="103" t="s">
        <v>29428</v>
      </c>
      <c r="F2174" s="104"/>
      <c r="G2174" s="105">
        <f t="shared" si="132"/>
        <v>62.74</v>
      </c>
      <c r="H2174" s="101" t="str">
        <f t="shared" si="133"/>
        <v>Sinapi 34804</v>
      </c>
      <c r="I2174" s="101" t="str">
        <f t="shared" si="134"/>
        <v>M2</v>
      </c>
      <c r="J2174" s="140" t="str">
        <f t="shared" si="135"/>
        <v>GEOGRELHA TECIDA COM FILAMENTOS DE POLIESTER + PVC, RESISTENCIA LONGITUDINAL: 90 KN/M, RESISTENCIA TRANSVERSAL: 30 KN/M, ALONGAMENTO = 12 POR CENTO</v>
      </c>
    </row>
    <row r="2175" spans="1:10" x14ac:dyDescent="0.25">
      <c r="A2175" s="169">
        <v>4013</v>
      </c>
      <c r="B2175" s="169" t="s">
        <v>25593</v>
      </c>
      <c r="C2175" s="169" t="s">
        <v>10226</v>
      </c>
      <c r="D2175" s="169" t="s">
        <v>1289</v>
      </c>
      <c r="E2175" s="103" t="s">
        <v>8723</v>
      </c>
      <c r="F2175" s="104"/>
      <c r="G2175" s="105">
        <f t="shared" si="132"/>
        <v>4.82</v>
      </c>
      <c r="H2175" s="101" t="str">
        <f t="shared" si="133"/>
        <v>Sinapi 4013</v>
      </c>
      <c r="I2175" s="101" t="str">
        <f t="shared" si="134"/>
        <v>M2</v>
      </c>
      <c r="J2175" s="140" t="str">
        <f t="shared" si="135"/>
        <v>GEOTEXTIL NAO TECIDO AGULHADO DE FILAMENTOS CONTINUOS 100% POLIESTER, RESITENCIA A TRACAO = 09 KN/M</v>
      </c>
    </row>
    <row r="2176" spans="1:10" x14ac:dyDescent="0.25">
      <c r="A2176" s="169">
        <v>4011</v>
      </c>
      <c r="B2176" s="169" t="s">
        <v>1217</v>
      </c>
      <c r="C2176" s="169" t="s">
        <v>10226</v>
      </c>
      <c r="D2176" s="169" t="s">
        <v>1289</v>
      </c>
      <c r="E2176" s="103" t="s">
        <v>13746</v>
      </c>
      <c r="F2176" s="104"/>
      <c r="G2176" s="105">
        <f t="shared" si="132"/>
        <v>5.38</v>
      </c>
      <c r="H2176" s="101" t="str">
        <f t="shared" si="133"/>
        <v>Sinapi 4011</v>
      </c>
      <c r="I2176" s="101" t="str">
        <f t="shared" si="134"/>
        <v>M2</v>
      </c>
      <c r="J2176" s="140" t="str">
        <f t="shared" si="135"/>
        <v>GEOTEXTIL NAO TECIDO AGULHADO DE FILAMENTOS CONTINUOS 100% POLIESTER, RESITENCIA A TRACAO = 10 KN/M</v>
      </c>
    </row>
    <row r="2177" spans="1:10" x14ac:dyDescent="0.25">
      <c r="A2177" s="169">
        <v>4021</v>
      </c>
      <c r="B2177" s="169" t="s">
        <v>25594</v>
      </c>
      <c r="C2177" s="169" t="s">
        <v>10226</v>
      </c>
      <c r="D2177" s="169" t="s">
        <v>1289</v>
      </c>
      <c r="E2177" s="103" t="s">
        <v>23103</v>
      </c>
      <c r="F2177" s="104"/>
      <c r="G2177" s="105">
        <f t="shared" si="132"/>
        <v>6.71</v>
      </c>
      <c r="H2177" s="101" t="str">
        <f t="shared" si="133"/>
        <v>Sinapi 4021</v>
      </c>
      <c r="I2177" s="101" t="str">
        <f t="shared" si="134"/>
        <v>M2</v>
      </c>
      <c r="J2177" s="140" t="str">
        <f t="shared" si="135"/>
        <v>GEOTEXTIL NAO TECIDO AGULHADO DE FILAMENTOS CONTINUOS 100% POLIESTER, RESITENCIA A TRACAO = 14 KN/M</v>
      </c>
    </row>
    <row r="2178" spans="1:10" x14ac:dyDescent="0.25">
      <c r="A2178" s="169">
        <v>4019</v>
      </c>
      <c r="B2178" s="169" t="s">
        <v>25595</v>
      </c>
      <c r="C2178" s="169" t="s">
        <v>10226</v>
      </c>
      <c r="D2178" s="169" t="s">
        <v>1289</v>
      </c>
      <c r="E2178" s="103" t="s">
        <v>10254</v>
      </c>
      <c r="F2178" s="104"/>
      <c r="G2178" s="105">
        <f t="shared" si="132"/>
        <v>8.06</v>
      </c>
      <c r="H2178" s="101" t="str">
        <f t="shared" si="133"/>
        <v>Sinapi 4019</v>
      </c>
      <c r="I2178" s="101" t="str">
        <f t="shared" si="134"/>
        <v>M2</v>
      </c>
      <c r="J2178" s="140" t="str">
        <f t="shared" si="135"/>
        <v>GEOTEXTIL NAO TECIDO AGULHADO DE FILAMENTOS CONTINUOS 100% POLIESTER, RESITENCIA A TRACAO = 16 KN/M</v>
      </c>
    </row>
    <row r="2179" spans="1:10" x14ac:dyDescent="0.25">
      <c r="A2179" s="169">
        <v>4012</v>
      </c>
      <c r="B2179" s="169" t="s">
        <v>25596</v>
      </c>
      <c r="C2179" s="169" t="s">
        <v>10226</v>
      </c>
      <c r="D2179" s="169" t="s">
        <v>1289</v>
      </c>
      <c r="E2179" s="103" t="s">
        <v>14341</v>
      </c>
      <c r="F2179" s="104"/>
      <c r="G2179" s="105">
        <f t="shared" si="132"/>
        <v>10.8</v>
      </c>
      <c r="H2179" s="101" t="str">
        <f t="shared" si="133"/>
        <v>Sinapi 4012</v>
      </c>
      <c r="I2179" s="101" t="str">
        <f t="shared" si="134"/>
        <v>M2</v>
      </c>
      <c r="J2179" s="140" t="str">
        <f t="shared" si="135"/>
        <v>GEOTEXTIL NAO TECIDO AGULHADO DE FILAMENTOS CONTINUOS 100% POLIESTER, RESITENCIA A TRACAO = 21 KN/M</v>
      </c>
    </row>
    <row r="2180" spans="1:10" x14ac:dyDescent="0.25">
      <c r="A2180" s="169">
        <v>4020</v>
      </c>
      <c r="B2180" s="169" t="s">
        <v>25597</v>
      </c>
      <c r="C2180" s="169" t="s">
        <v>10226</v>
      </c>
      <c r="D2180" s="169" t="s">
        <v>1289</v>
      </c>
      <c r="E2180" s="103" t="s">
        <v>16288</v>
      </c>
      <c r="F2180" s="104"/>
      <c r="G2180" s="105">
        <f t="shared" si="132"/>
        <v>13.52</v>
      </c>
      <c r="H2180" s="101" t="str">
        <f t="shared" si="133"/>
        <v>Sinapi 4020</v>
      </c>
      <c r="I2180" s="101" t="str">
        <f t="shared" si="134"/>
        <v>M2</v>
      </c>
      <c r="J2180" s="140" t="str">
        <f t="shared" si="135"/>
        <v>GEOTEXTIL NAO TECIDO AGULHADO DE FILAMENTOS CONTINUOS 100% POLIESTER, RESITENCIA A TRACAO = 26 KN/M</v>
      </c>
    </row>
    <row r="2181" spans="1:10" x14ac:dyDescent="0.25">
      <c r="A2181" s="169">
        <v>4018</v>
      </c>
      <c r="B2181" s="169" t="s">
        <v>25598</v>
      </c>
      <c r="C2181" s="169" t="s">
        <v>10226</v>
      </c>
      <c r="D2181" s="169" t="s">
        <v>1289</v>
      </c>
      <c r="E2181" s="103" t="s">
        <v>30451</v>
      </c>
      <c r="F2181" s="104"/>
      <c r="G2181" s="105">
        <f t="shared" si="132"/>
        <v>16.2</v>
      </c>
      <c r="H2181" s="101" t="str">
        <f t="shared" si="133"/>
        <v>Sinapi 4018</v>
      </c>
      <c r="I2181" s="101" t="str">
        <f t="shared" si="134"/>
        <v>M2</v>
      </c>
      <c r="J2181" s="140" t="str">
        <f t="shared" si="135"/>
        <v>GEOTEXTIL NAO TECIDO AGULHADO DE FILAMENTOS CONTINUOS 100% POLIESTER, RESITENCIA A TRACAO = 31 KN/M</v>
      </c>
    </row>
    <row r="2182" spans="1:10" x14ac:dyDescent="0.25">
      <c r="A2182" s="169">
        <v>36498</v>
      </c>
      <c r="B2182" s="169" t="s">
        <v>25599</v>
      </c>
      <c r="C2182" s="169" t="s">
        <v>10225</v>
      </c>
      <c r="D2182" s="169" t="s">
        <v>1290</v>
      </c>
      <c r="E2182" s="103" t="s">
        <v>30452</v>
      </c>
      <c r="F2182" s="104"/>
      <c r="G2182" s="105">
        <f t="shared" si="132"/>
        <v>7093.57</v>
      </c>
      <c r="H2182" s="101" t="str">
        <f t="shared" si="133"/>
        <v>Sinapi 36498</v>
      </c>
      <c r="I2182" s="101" t="str">
        <f t="shared" si="134"/>
        <v>UN</v>
      </c>
      <c r="J2182" s="140" t="str">
        <f t="shared" si="135"/>
        <v>GERADOR PORTATIL MONOFASICO, POTENCIA 5500 VA, MOTOR A GASOLINA, POTENCIA DO MOTOR 13 CV</v>
      </c>
    </row>
    <row r="2183" spans="1:10" x14ac:dyDescent="0.25">
      <c r="A2183" s="169">
        <v>12872</v>
      </c>
      <c r="B2183" s="169" t="s">
        <v>25600</v>
      </c>
      <c r="C2183" s="169" t="s">
        <v>10228</v>
      </c>
      <c r="D2183" s="169" t="s">
        <v>1289</v>
      </c>
      <c r="E2183" s="103" t="s">
        <v>21601</v>
      </c>
      <c r="F2183" s="104"/>
      <c r="G2183" s="105">
        <f t="shared" si="132"/>
        <v>19.32</v>
      </c>
      <c r="H2183" s="101" t="str">
        <f t="shared" si="133"/>
        <v>Sinapi 12872</v>
      </c>
      <c r="I2183" s="101" t="str">
        <f t="shared" si="134"/>
        <v>H</v>
      </c>
      <c r="J2183" s="140" t="str">
        <f t="shared" si="135"/>
        <v>GESSEIRO (HORISTA)</v>
      </c>
    </row>
    <row r="2184" spans="1:10" x14ac:dyDescent="0.25">
      <c r="A2184" s="169">
        <v>41075</v>
      </c>
      <c r="B2184" s="169" t="s">
        <v>25601</v>
      </c>
      <c r="C2184" s="169" t="s">
        <v>10235</v>
      </c>
      <c r="D2184" s="169" t="s">
        <v>1289</v>
      </c>
      <c r="E2184" s="103" t="s">
        <v>30453</v>
      </c>
      <c r="F2184" s="104"/>
      <c r="G2184" s="105">
        <f t="shared" ref="G2184:G2247" si="136">IF(E2184="","",E2184+0)</f>
        <v>3365.75</v>
      </c>
      <c r="H2184" s="101" t="str">
        <f t="shared" ref="H2184:H2247" si="137">IF(G2184="","",TRIM(CONCATENATE("Sinapi ",A2184)))</f>
        <v>Sinapi 41075</v>
      </c>
      <c r="I2184" s="101" t="str">
        <f t="shared" ref="I2184:I2247" si="138">TRIM(C2184)</f>
        <v>MES</v>
      </c>
      <c r="J2184" s="140" t="str">
        <f t="shared" si="135"/>
        <v>GESSEIRO (MENSALISTA)</v>
      </c>
    </row>
    <row r="2185" spans="1:10" x14ac:dyDescent="0.25">
      <c r="A2185" s="169">
        <v>44324</v>
      </c>
      <c r="B2185" s="169" t="s">
        <v>25602</v>
      </c>
      <c r="C2185" s="169" t="s">
        <v>10231</v>
      </c>
      <c r="D2185" s="169" t="s">
        <v>1289</v>
      </c>
      <c r="E2185" s="103" t="s">
        <v>21384</v>
      </c>
      <c r="F2185" s="104"/>
      <c r="G2185" s="105">
        <f t="shared" si="136"/>
        <v>4.67</v>
      </c>
      <c r="H2185" s="101" t="str">
        <f t="shared" si="137"/>
        <v>Sinapi 44324</v>
      </c>
      <c r="I2185" s="101" t="str">
        <f t="shared" si="138"/>
        <v>KG</v>
      </c>
      <c r="J2185" s="140" t="str">
        <f t="shared" ref="J2185:J2248" si="139">TRIM(B2185)</f>
        <v>GESSO COLA, EM PO, PARA FIXACAO DE MOLDURAS, SANCAS E BLOCOS DE GESSO</v>
      </c>
    </row>
    <row r="2186" spans="1:10" x14ac:dyDescent="0.25">
      <c r="A2186" s="169">
        <v>3315</v>
      </c>
      <c r="B2186" s="169" t="s">
        <v>11615</v>
      </c>
      <c r="C2186" s="169" t="s">
        <v>10231</v>
      </c>
      <c r="D2186" s="169" t="s">
        <v>1289</v>
      </c>
      <c r="E2186" s="103" t="s">
        <v>30454</v>
      </c>
      <c r="F2186" s="104"/>
      <c r="G2186" s="105">
        <f t="shared" si="136"/>
        <v>1.35</v>
      </c>
      <c r="H2186" s="101" t="str">
        <f t="shared" si="137"/>
        <v>Sinapi 3315</v>
      </c>
      <c r="I2186" s="101" t="str">
        <f t="shared" si="138"/>
        <v>KG</v>
      </c>
      <c r="J2186" s="140" t="str">
        <f t="shared" si="139"/>
        <v>GESSO EM PO PARA REVESTIMENTOS/MOLDURAS/SANCAS E USO GERAL</v>
      </c>
    </row>
    <row r="2187" spans="1:10" x14ac:dyDescent="0.25">
      <c r="A2187" s="169">
        <v>36870</v>
      </c>
      <c r="B2187" s="169" t="s">
        <v>25603</v>
      </c>
      <c r="C2187" s="169" t="s">
        <v>10231</v>
      </c>
      <c r="D2187" s="169" t="s">
        <v>1289</v>
      </c>
      <c r="E2187" s="103" t="s">
        <v>29751</v>
      </c>
      <c r="F2187" s="104"/>
      <c r="G2187" s="105">
        <f t="shared" si="136"/>
        <v>1.04</v>
      </c>
      <c r="H2187" s="101" t="str">
        <f t="shared" si="137"/>
        <v>Sinapi 36870</v>
      </c>
      <c r="I2187" s="101" t="str">
        <f t="shared" si="138"/>
        <v>KG</v>
      </c>
      <c r="J2187" s="140" t="str">
        <f t="shared" si="139"/>
        <v>GESSO PROJETADO</v>
      </c>
    </row>
    <row r="2188" spans="1:10" x14ac:dyDescent="0.25">
      <c r="A2188" s="169">
        <v>5092</v>
      </c>
      <c r="B2188" s="169" t="s">
        <v>25604</v>
      </c>
      <c r="C2188" s="169" t="s">
        <v>10239</v>
      </c>
      <c r="D2188" s="169" t="s">
        <v>1289</v>
      </c>
      <c r="E2188" s="103" t="s">
        <v>15783</v>
      </c>
      <c r="F2188" s="104"/>
      <c r="G2188" s="105">
        <f t="shared" si="136"/>
        <v>20.18</v>
      </c>
      <c r="H2188" s="101" t="str">
        <f t="shared" si="137"/>
        <v>Sinapi 5092</v>
      </c>
      <c r="I2188" s="101" t="str">
        <f t="shared" si="138"/>
        <v>PAR</v>
      </c>
      <c r="J2188" s="140" t="str">
        <f t="shared" si="139"/>
        <v>GONZO DE EMBUTIR, EM LATAO / ZAMAC, *20 X 48* MM, PARA JANELA BASCULANTE / PIVOTANTE, JOGO COM 4 PECAS (PAR) - INCLUI PARAFUSOS</v>
      </c>
    </row>
    <row r="2189" spans="1:10" x14ac:dyDescent="0.25">
      <c r="A2189" s="169">
        <v>11462</v>
      </c>
      <c r="B2189" s="169" t="s">
        <v>25605</v>
      </c>
      <c r="C2189" s="169" t="s">
        <v>10239</v>
      </c>
      <c r="D2189" s="169" t="s">
        <v>1289</v>
      </c>
      <c r="E2189" s="103" t="s">
        <v>17356</v>
      </c>
      <c r="F2189" s="104"/>
      <c r="G2189" s="105">
        <f t="shared" si="136"/>
        <v>20.63</v>
      </c>
      <c r="H2189" s="101" t="str">
        <f t="shared" si="137"/>
        <v>Sinapi 11462</v>
      </c>
      <c r="I2189" s="101" t="str">
        <f t="shared" si="138"/>
        <v>PAR</v>
      </c>
      <c r="J2189" s="140" t="str">
        <f t="shared" si="139"/>
        <v>GONZO DE SOBREPOR, EM LATAO / ZAMAC, PARA JANELA PIVOTANTE - INCLUI PARAFUSOS</v>
      </c>
    </row>
    <row r="2190" spans="1:10" x14ac:dyDescent="0.25">
      <c r="A2190" s="169">
        <v>36529</v>
      </c>
      <c r="B2190" s="169" t="s">
        <v>25606</v>
      </c>
      <c r="C2190" s="169" t="s">
        <v>10225</v>
      </c>
      <c r="D2190" s="169" t="s">
        <v>1290</v>
      </c>
      <c r="E2190" s="103" t="s">
        <v>25607</v>
      </c>
      <c r="F2190" s="104"/>
      <c r="G2190" s="105">
        <f t="shared" si="136"/>
        <v>69132.649999999994</v>
      </c>
      <c r="H2190" s="101" t="str">
        <f t="shared" si="137"/>
        <v>Sinapi 36529</v>
      </c>
      <c r="I2190" s="101" t="str">
        <f t="shared" si="138"/>
        <v>UN</v>
      </c>
      <c r="J2190" s="140" t="str">
        <f t="shared" si="139"/>
        <v>GRADE DE DISCOS COM CONTROLE REMOTO, REBOCAVEL, COM 24 DISCOS 24" X 6 MM, COM PNEUS PARA TRANSPORTE</v>
      </c>
    </row>
    <row r="2191" spans="1:10" x14ac:dyDescent="0.25">
      <c r="A2191" s="169">
        <v>3318</v>
      </c>
      <c r="B2191" s="169" t="s">
        <v>25608</v>
      </c>
      <c r="C2191" s="169" t="s">
        <v>10225</v>
      </c>
      <c r="D2191" s="169" t="s">
        <v>1290</v>
      </c>
      <c r="E2191" s="103" t="s">
        <v>25609</v>
      </c>
      <c r="F2191" s="104"/>
      <c r="G2191" s="105">
        <f t="shared" si="136"/>
        <v>54200</v>
      </c>
      <c r="H2191" s="101" t="str">
        <f t="shared" si="137"/>
        <v>Sinapi 3318</v>
      </c>
      <c r="I2191" s="101" t="str">
        <f t="shared" si="138"/>
        <v>UN</v>
      </c>
      <c r="J2191" s="140" t="str">
        <f t="shared" si="139"/>
        <v>GRADE DE DISCOS MECANICA 20X24" COM 20 DISCOS 24" X 6MM COM PNEUS PARA TRANSPORTE</v>
      </c>
    </row>
    <row r="2192" spans="1:10" x14ac:dyDescent="0.25">
      <c r="A2192" s="169">
        <v>3324</v>
      </c>
      <c r="B2192" s="169" t="s">
        <v>953</v>
      </c>
      <c r="C2192" s="169" t="s">
        <v>10226</v>
      </c>
      <c r="D2192" s="169" t="s">
        <v>1289</v>
      </c>
      <c r="E2192" s="103" t="s">
        <v>13839</v>
      </c>
      <c r="F2192" s="104"/>
      <c r="G2192" s="105">
        <f t="shared" si="136"/>
        <v>14.28</v>
      </c>
      <c r="H2192" s="101" t="str">
        <f t="shared" si="137"/>
        <v>Sinapi 3324</v>
      </c>
      <c r="I2192" s="101" t="str">
        <f t="shared" si="138"/>
        <v>M2</v>
      </c>
      <c r="J2192" s="140" t="str">
        <f t="shared" si="139"/>
        <v>GRAMA BATATAIS EM PLACAS, SEM PLANTIO</v>
      </c>
    </row>
    <row r="2193" spans="1:10" x14ac:dyDescent="0.25">
      <c r="A2193" s="169">
        <v>3322</v>
      </c>
      <c r="B2193" s="169" t="s">
        <v>25610</v>
      </c>
      <c r="C2193" s="169" t="s">
        <v>10226</v>
      </c>
      <c r="D2193" s="169" t="s">
        <v>1288</v>
      </c>
      <c r="E2193" s="103" t="s">
        <v>6362</v>
      </c>
      <c r="F2193" s="104"/>
      <c r="G2193" s="105">
        <f t="shared" si="136"/>
        <v>20</v>
      </c>
      <c r="H2193" s="101" t="str">
        <f t="shared" si="137"/>
        <v>Sinapi 3322</v>
      </c>
      <c r="I2193" s="101" t="str">
        <f t="shared" si="138"/>
        <v>M2</v>
      </c>
      <c r="J2193" s="140" t="str">
        <f t="shared" si="139"/>
        <v>GRAMA ESMERALDA OU SAO CARLOS OU CURITIBANA, EM PLACAS, SEM PLANTIO</v>
      </c>
    </row>
    <row r="2194" spans="1:10" x14ac:dyDescent="0.25">
      <c r="A2194" s="169">
        <v>5076</v>
      </c>
      <c r="B2194" s="169" t="s">
        <v>25611</v>
      </c>
      <c r="C2194" s="169" t="s">
        <v>10231</v>
      </c>
      <c r="D2194" s="169" t="s">
        <v>1289</v>
      </c>
      <c r="E2194" s="103" t="s">
        <v>22991</v>
      </c>
      <c r="F2194" s="104"/>
      <c r="G2194" s="105">
        <f t="shared" si="136"/>
        <v>21.58</v>
      </c>
      <c r="H2194" s="101" t="str">
        <f t="shared" si="137"/>
        <v>Sinapi 5076</v>
      </c>
      <c r="I2194" s="101" t="str">
        <f t="shared" si="138"/>
        <v>KG</v>
      </c>
      <c r="J2194" s="140" t="str">
        <f t="shared" si="139"/>
        <v>GRAMPO DE ACO POLIDO 1 " X 9</v>
      </c>
    </row>
    <row r="2195" spans="1:10" x14ac:dyDescent="0.25">
      <c r="A2195" s="169">
        <v>5077</v>
      </c>
      <c r="B2195" s="169" t="s">
        <v>25612</v>
      </c>
      <c r="C2195" s="169" t="s">
        <v>10231</v>
      </c>
      <c r="D2195" s="169" t="s">
        <v>1289</v>
      </c>
      <c r="E2195" s="103" t="s">
        <v>23232</v>
      </c>
      <c r="F2195" s="104"/>
      <c r="G2195" s="105">
        <f t="shared" si="136"/>
        <v>23.85</v>
      </c>
      <c r="H2195" s="101" t="str">
        <f t="shared" si="137"/>
        <v>Sinapi 5077</v>
      </c>
      <c r="I2195" s="101" t="str">
        <f t="shared" si="138"/>
        <v>KG</v>
      </c>
      <c r="J2195" s="140" t="str">
        <f t="shared" si="139"/>
        <v>GRAMPO DE ACO POLIDO 7/8 " X 9</v>
      </c>
    </row>
    <row r="2196" spans="1:10" x14ac:dyDescent="0.25">
      <c r="A2196" s="169">
        <v>11837</v>
      </c>
      <c r="B2196" s="169" t="s">
        <v>25613</v>
      </c>
      <c r="C2196" s="169" t="s">
        <v>10225</v>
      </c>
      <c r="D2196" s="169" t="s">
        <v>1289</v>
      </c>
      <c r="E2196" s="103" t="s">
        <v>19332</v>
      </c>
      <c r="F2196" s="104"/>
      <c r="G2196" s="105">
        <f t="shared" si="136"/>
        <v>58.8</v>
      </c>
      <c r="H2196" s="101" t="str">
        <f t="shared" si="137"/>
        <v>Sinapi 11837</v>
      </c>
      <c r="I2196" s="101" t="str">
        <f t="shared" si="138"/>
        <v>UN</v>
      </c>
      <c r="J2196" s="140" t="str">
        <f t="shared" si="139"/>
        <v>GRAMPO LINHA VIVA DE LATAO ESTANHADO, DIAMETRO DO CONDUTOR PRINCIPAL DE 10 A 120 MM2, DIAMETRO DA DERIVACAO DE 10 A 70 MM2</v>
      </c>
    </row>
    <row r="2197" spans="1:10" x14ac:dyDescent="0.25">
      <c r="A2197" s="169">
        <v>38055</v>
      </c>
      <c r="B2197" s="169" t="s">
        <v>25614</v>
      </c>
      <c r="C2197" s="169" t="s">
        <v>10225</v>
      </c>
      <c r="D2197" s="169" t="s">
        <v>1289</v>
      </c>
      <c r="E2197" s="103" t="s">
        <v>5226</v>
      </c>
      <c r="F2197" s="104"/>
      <c r="G2197" s="105">
        <f t="shared" si="136"/>
        <v>5.33</v>
      </c>
      <c r="H2197" s="101" t="str">
        <f t="shared" si="137"/>
        <v>Sinapi 38055</v>
      </c>
      <c r="I2197" s="101" t="str">
        <f t="shared" si="138"/>
        <v>UN</v>
      </c>
      <c r="J2197" s="140" t="str">
        <f t="shared" si="139"/>
        <v>GRAMPO METALICO TIPO OLHAL PARA HASTE DE ATERRAMENTO DE 1/2'', CONDUTOR DE *10* A 50 MM2</v>
      </c>
    </row>
    <row r="2198" spans="1:10" x14ac:dyDescent="0.25">
      <c r="A2198" s="169">
        <v>415</v>
      </c>
      <c r="B2198" s="169" t="s">
        <v>25615</v>
      </c>
      <c r="C2198" s="169" t="s">
        <v>10225</v>
      </c>
      <c r="D2198" s="169" t="s">
        <v>1289</v>
      </c>
      <c r="E2198" s="103" t="s">
        <v>21378</v>
      </c>
      <c r="F2198" s="104"/>
      <c r="G2198" s="105">
        <f t="shared" si="136"/>
        <v>24.11</v>
      </c>
      <c r="H2198" s="101" t="str">
        <f t="shared" si="137"/>
        <v>Sinapi 415</v>
      </c>
      <c r="I2198" s="101" t="str">
        <f t="shared" si="138"/>
        <v>UN</v>
      </c>
      <c r="J2198" s="140" t="str">
        <f t="shared" si="139"/>
        <v>GRAMPO METALICO TIPO OLHAL PARA HASTE DE ATERRAMENTO DE 1'', CONDUTOR DE *10* A 50 MM2</v>
      </c>
    </row>
    <row r="2199" spans="1:10" x14ac:dyDescent="0.25">
      <c r="A2199" s="169">
        <v>416</v>
      </c>
      <c r="B2199" s="169" t="s">
        <v>25616</v>
      </c>
      <c r="C2199" s="169" t="s">
        <v>10225</v>
      </c>
      <c r="D2199" s="169" t="s">
        <v>1289</v>
      </c>
      <c r="E2199" s="103" t="s">
        <v>14897</v>
      </c>
      <c r="F2199" s="104"/>
      <c r="G2199" s="105">
        <f t="shared" si="136"/>
        <v>8.83</v>
      </c>
      <c r="H2199" s="101" t="str">
        <f t="shared" si="137"/>
        <v>Sinapi 416</v>
      </c>
      <c r="I2199" s="101" t="str">
        <f t="shared" si="138"/>
        <v>UN</v>
      </c>
      <c r="J2199" s="140" t="str">
        <f t="shared" si="139"/>
        <v>GRAMPO METALICO TIPO OLHAL PARA HASTE DE ATERRAMENTO DE 3/4'', CONDUTOR DE *10* A 50 MM2</v>
      </c>
    </row>
    <row r="2200" spans="1:10" x14ac:dyDescent="0.25">
      <c r="A2200" s="169">
        <v>425</v>
      </c>
      <c r="B2200" s="169" t="s">
        <v>25617</v>
      </c>
      <c r="C2200" s="169" t="s">
        <v>10225</v>
      </c>
      <c r="D2200" s="169" t="s">
        <v>1289</v>
      </c>
      <c r="E2200" s="103" t="s">
        <v>29801</v>
      </c>
      <c r="F2200" s="104"/>
      <c r="G2200" s="105">
        <f t="shared" si="136"/>
        <v>5.47</v>
      </c>
      <c r="H2200" s="101" t="str">
        <f t="shared" si="137"/>
        <v>Sinapi 425</v>
      </c>
      <c r="I2200" s="101" t="str">
        <f t="shared" si="138"/>
        <v>UN</v>
      </c>
      <c r="J2200" s="140" t="str">
        <f t="shared" si="139"/>
        <v>GRAMPO METALICO TIPO OLHAL PARA HASTE DE ATERRAMENTO DE 5/8'', CONDUTOR DE *10* A 50 MM2</v>
      </c>
    </row>
    <row r="2201" spans="1:10" x14ac:dyDescent="0.25">
      <c r="A2201" s="169">
        <v>426</v>
      </c>
      <c r="B2201" s="169" t="s">
        <v>25618</v>
      </c>
      <c r="C2201" s="169" t="s">
        <v>10225</v>
      </c>
      <c r="D2201" s="169" t="s">
        <v>1289</v>
      </c>
      <c r="E2201" s="103" t="s">
        <v>16407</v>
      </c>
      <c r="F2201" s="104"/>
      <c r="G2201" s="105">
        <f t="shared" si="136"/>
        <v>30.13</v>
      </c>
      <c r="H2201" s="101" t="str">
        <f t="shared" si="137"/>
        <v>Sinapi 426</v>
      </c>
      <c r="I2201" s="101" t="str">
        <f t="shared" si="138"/>
        <v>UN</v>
      </c>
      <c r="J2201" s="140" t="str">
        <f t="shared" si="139"/>
        <v>GRAMPO METALICO TIPO U PARA HASTE DE ATERRAMENTO DE ATE 3/4'', CONDUTOR DE 10 A 25 MM2</v>
      </c>
    </row>
    <row r="2202" spans="1:10" x14ac:dyDescent="0.25">
      <c r="A2202" s="169">
        <v>38056</v>
      </c>
      <c r="B2202" s="169" t="s">
        <v>25619</v>
      </c>
      <c r="C2202" s="169" t="s">
        <v>10225</v>
      </c>
      <c r="D2202" s="169" t="s">
        <v>1289</v>
      </c>
      <c r="E2202" s="103" t="s">
        <v>21570</v>
      </c>
      <c r="F2202" s="104"/>
      <c r="G2202" s="105">
        <f t="shared" si="136"/>
        <v>29.43</v>
      </c>
      <c r="H2202" s="101" t="str">
        <f t="shared" si="137"/>
        <v>Sinapi 38056</v>
      </c>
      <c r="I2202" s="101" t="str">
        <f t="shared" si="138"/>
        <v>UN</v>
      </c>
      <c r="J2202" s="140" t="str">
        <f t="shared" si="139"/>
        <v>GRAMPO METALICO TIPO U PARA HASTE DE ATERRAMENTO DE ATE 5/8'', CONDUTOR DE 10 A 25 MM2</v>
      </c>
    </row>
    <row r="2203" spans="1:10" x14ac:dyDescent="0.25">
      <c r="A2203" s="169">
        <v>1564</v>
      </c>
      <c r="B2203" s="169" t="s">
        <v>25620</v>
      </c>
      <c r="C2203" s="169" t="s">
        <v>10225</v>
      </c>
      <c r="D2203" s="169" t="s">
        <v>1289</v>
      </c>
      <c r="E2203" s="103" t="s">
        <v>13753</v>
      </c>
      <c r="F2203" s="104"/>
      <c r="G2203" s="105">
        <f t="shared" si="136"/>
        <v>11.23</v>
      </c>
      <c r="H2203" s="101" t="str">
        <f t="shared" si="137"/>
        <v>Sinapi 1564</v>
      </c>
      <c r="I2203" s="101" t="str">
        <f t="shared" si="138"/>
        <v>UN</v>
      </c>
      <c r="J2203" s="140" t="str">
        <f t="shared" si="139"/>
        <v>GRAMPO PARALELO METALICO PARA CABO DE 6 A 50 MM2, COM 2 PARAFUSOS</v>
      </c>
    </row>
    <row r="2204" spans="1:10" x14ac:dyDescent="0.25">
      <c r="A2204" s="169">
        <v>11032</v>
      </c>
      <c r="B2204" s="169" t="s">
        <v>25621</v>
      </c>
      <c r="C2204" s="169" t="s">
        <v>10225</v>
      </c>
      <c r="D2204" s="169" t="s">
        <v>1289</v>
      </c>
      <c r="E2204" s="103" t="s">
        <v>15653</v>
      </c>
      <c r="F2204" s="104"/>
      <c r="G2204" s="105">
        <f t="shared" si="136"/>
        <v>10.58</v>
      </c>
      <c r="H2204" s="101" t="str">
        <f t="shared" si="137"/>
        <v>Sinapi 11032</v>
      </c>
      <c r="I2204" s="101" t="str">
        <f t="shared" si="138"/>
        <v>UN</v>
      </c>
      <c r="J2204" s="140" t="str">
        <f t="shared" si="139"/>
        <v>GRAMPO U DE 5/8 " N8 EM FERRO GALVANIZADO</v>
      </c>
    </row>
    <row r="2205" spans="1:10" x14ac:dyDescent="0.25">
      <c r="A2205" s="169">
        <v>36786</v>
      </c>
      <c r="B2205" s="169" t="s">
        <v>25623</v>
      </c>
      <c r="C2205" s="169" t="s">
        <v>10267</v>
      </c>
      <c r="D2205" s="169" t="s">
        <v>1290</v>
      </c>
      <c r="E2205" s="103" t="s">
        <v>20047</v>
      </c>
      <c r="F2205" s="104"/>
      <c r="G2205" s="105">
        <f t="shared" si="136"/>
        <v>158.34</v>
      </c>
      <c r="H2205" s="101" t="str">
        <f t="shared" si="137"/>
        <v>Sinapi 36786</v>
      </c>
      <c r="I2205" s="101" t="str">
        <f t="shared" si="138"/>
        <v>SC25KG</v>
      </c>
      <c r="J2205" s="140" t="str">
        <f t="shared" si="139"/>
        <v>GRANALHA DE ACO, ANGULAR (GRIT), PARA JATEAMENTO, PENEIRA 0,117 A 1,00 MM, (SAE G-40 A G-80)</v>
      </c>
    </row>
    <row r="2206" spans="1:10" x14ac:dyDescent="0.25">
      <c r="A2206" s="169">
        <v>36785</v>
      </c>
      <c r="B2206" s="169" t="s">
        <v>25624</v>
      </c>
      <c r="C2206" s="169" t="s">
        <v>10267</v>
      </c>
      <c r="D2206" s="169" t="s">
        <v>1290</v>
      </c>
      <c r="E2206" s="103" t="s">
        <v>20048</v>
      </c>
      <c r="F2206" s="104"/>
      <c r="G2206" s="105">
        <f t="shared" si="136"/>
        <v>137.59</v>
      </c>
      <c r="H2206" s="101" t="str">
        <f t="shared" si="137"/>
        <v>Sinapi 36785</v>
      </c>
      <c r="I2206" s="101" t="str">
        <f t="shared" si="138"/>
        <v>SC25KG</v>
      </c>
      <c r="J2206" s="140" t="str">
        <f t="shared" si="139"/>
        <v>GRANALHA DE ACO, ANGULAR (GRIT), PARA JATEAMENTO, PENEIRA 1,41 A 1,19 MM (SAE G16)</v>
      </c>
    </row>
    <row r="2207" spans="1:10" x14ac:dyDescent="0.25">
      <c r="A2207" s="169">
        <v>36782</v>
      </c>
      <c r="B2207" s="169" t="s">
        <v>25625</v>
      </c>
      <c r="C2207" s="169" t="s">
        <v>10267</v>
      </c>
      <c r="D2207" s="169" t="s">
        <v>1290</v>
      </c>
      <c r="E2207" s="103" t="s">
        <v>19936</v>
      </c>
      <c r="F2207" s="104"/>
      <c r="G2207" s="105">
        <f t="shared" si="136"/>
        <v>164.24</v>
      </c>
      <c r="H2207" s="101" t="str">
        <f t="shared" si="137"/>
        <v>Sinapi 36782</v>
      </c>
      <c r="I2207" s="101" t="str">
        <f t="shared" si="138"/>
        <v>SC25KG</v>
      </c>
      <c r="J2207" s="140" t="str">
        <f t="shared" si="139"/>
        <v>GRANALHA DE ACO, ESFERICA (SHOT), PARA JATEAMENTO, PENEIRA 0,40 A 1,00 MM (SAE S-170 A S-280)</v>
      </c>
    </row>
    <row r="2208" spans="1:10" x14ac:dyDescent="0.25">
      <c r="A2208" s="169">
        <v>44481</v>
      </c>
      <c r="B2208" s="169" t="s">
        <v>25626</v>
      </c>
      <c r="C2208" s="169" t="s">
        <v>10267</v>
      </c>
      <c r="D2208" s="169" t="s">
        <v>1290</v>
      </c>
      <c r="E2208" s="103" t="s">
        <v>20049</v>
      </c>
      <c r="F2208" s="104"/>
      <c r="G2208" s="105">
        <f t="shared" si="136"/>
        <v>185</v>
      </c>
      <c r="H2208" s="101" t="str">
        <f t="shared" si="137"/>
        <v>Sinapi 44481</v>
      </c>
      <c r="I2208" s="101" t="str">
        <f t="shared" si="138"/>
        <v>SC25KG</v>
      </c>
      <c r="J2208" s="140" t="str">
        <f t="shared" si="139"/>
        <v>GRANALHA DE ACO, ESFERICA (SHOT), PARA JATEAMENTO, PENEIRA 1,19 A 1,00 MM (SAE S390)</v>
      </c>
    </row>
    <row r="2209" spans="1:10" x14ac:dyDescent="0.25">
      <c r="A2209" s="169">
        <v>4824</v>
      </c>
      <c r="B2209" s="169" t="s">
        <v>10268</v>
      </c>
      <c r="C2209" s="169" t="s">
        <v>10231</v>
      </c>
      <c r="D2209" s="169" t="s">
        <v>1289</v>
      </c>
      <c r="E2209" s="103" t="s">
        <v>16200</v>
      </c>
      <c r="F2209" s="104"/>
      <c r="G2209" s="105">
        <f t="shared" si="136"/>
        <v>1.06</v>
      </c>
      <c r="H2209" s="101" t="str">
        <f t="shared" si="137"/>
        <v>Sinapi 4824</v>
      </c>
      <c r="I2209" s="101" t="str">
        <f t="shared" si="138"/>
        <v>KG</v>
      </c>
      <c r="J2209" s="140" t="str">
        <f t="shared" si="139"/>
        <v>GRANILHA/ GRANA/ PEDRISCO OU AGREGADO EM MARMORE/ GRANITO/ QUARTZO E CALCARIO, PRETO, CINZA, PALHA OU BRANCO</v>
      </c>
    </row>
    <row r="2210" spans="1:10" x14ac:dyDescent="0.25">
      <c r="A2210" s="169">
        <v>11795</v>
      </c>
      <c r="B2210" s="169" t="s">
        <v>10269</v>
      </c>
      <c r="C2210" s="169" t="s">
        <v>10226</v>
      </c>
      <c r="D2210" s="169" t="s">
        <v>1289</v>
      </c>
      <c r="E2210" s="103" t="s">
        <v>30455</v>
      </c>
      <c r="F2210" s="104"/>
      <c r="G2210" s="105">
        <f t="shared" si="136"/>
        <v>1207.54</v>
      </c>
      <c r="H2210" s="101" t="str">
        <f t="shared" si="137"/>
        <v>Sinapi 11795</v>
      </c>
      <c r="I2210" s="101" t="str">
        <f t="shared" si="138"/>
        <v>M2</v>
      </c>
      <c r="J2210" s="140" t="str">
        <f t="shared" si="139"/>
        <v>GRANITO PARA BANCADA, POLIDO, TIPO ANDORINHA/ QUARTZ/ CASTELO/ CORUMBA OU OUTROS EQUIVALENTES DA REGIAO, E= *2,5* CM</v>
      </c>
    </row>
    <row r="2211" spans="1:10" x14ac:dyDescent="0.25">
      <c r="A2211" s="169">
        <v>134</v>
      </c>
      <c r="B2211" s="169" t="s">
        <v>807</v>
      </c>
      <c r="C2211" s="169" t="s">
        <v>10231</v>
      </c>
      <c r="D2211" s="169" t="s">
        <v>1289</v>
      </c>
      <c r="E2211" s="103" t="s">
        <v>19417</v>
      </c>
      <c r="F2211" s="104"/>
      <c r="G2211" s="105">
        <f t="shared" si="136"/>
        <v>2.0299999999999998</v>
      </c>
      <c r="H2211" s="101" t="str">
        <f t="shared" si="137"/>
        <v>Sinapi 134</v>
      </c>
      <c r="I2211" s="101" t="str">
        <f t="shared" si="138"/>
        <v>KG</v>
      </c>
      <c r="J2211" s="140" t="str">
        <f t="shared" si="139"/>
        <v>GRAUTE CIMENTICIO PARA USO GERAL</v>
      </c>
    </row>
    <row r="2212" spans="1:10" x14ac:dyDescent="0.25">
      <c r="A2212" s="169">
        <v>4229</v>
      </c>
      <c r="B2212" s="169" t="s">
        <v>25627</v>
      </c>
      <c r="C2212" s="169" t="s">
        <v>10231</v>
      </c>
      <c r="D2212" s="169" t="s">
        <v>1289</v>
      </c>
      <c r="E2212" s="103" t="s">
        <v>22018</v>
      </c>
      <c r="F2212" s="104"/>
      <c r="G2212" s="105">
        <f t="shared" si="136"/>
        <v>41.06</v>
      </c>
      <c r="H2212" s="101" t="str">
        <f t="shared" si="137"/>
        <v>Sinapi 4229</v>
      </c>
      <c r="I2212" s="101" t="str">
        <f t="shared" si="138"/>
        <v>KG</v>
      </c>
      <c r="J2212" s="140" t="str">
        <f t="shared" si="139"/>
        <v>GRAXA LUBRIFICANTE</v>
      </c>
    </row>
    <row r="2213" spans="1:10" x14ac:dyDescent="0.25">
      <c r="A2213" s="169">
        <v>11731</v>
      </c>
      <c r="B2213" s="169" t="s">
        <v>25629</v>
      </c>
      <c r="C2213" s="169" t="s">
        <v>10225</v>
      </c>
      <c r="D2213" s="169" t="s">
        <v>1289</v>
      </c>
      <c r="E2213" s="103" t="s">
        <v>30456</v>
      </c>
      <c r="F2213" s="104"/>
      <c r="G2213" s="105">
        <f t="shared" si="136"/>
        <v>9.7799999999999994</v>
      </c>
      <c r="H2213" s="101" t="str">
        <f t="shared" si="137"/>
        <v>Sinapi 11731</v>
      </c>
      <c r="I2213" s="101" t="str">
        <f t="shared" si="138"/>
        <v>UN</v>
      </c>
      <c r="J2213" s="140" t="str">
        <f t="shared" si="139"/>
        <v>GRELHA FIXA, EM PVC BRANCA, QUADRADA, 150 X 150 MM, PARA RALOS E CAIXAS</v>
      </c>
    </row>
    <row r="2214" spans="1:10" x14ac:dyDescent="0.25">
      <c r="A2214" s="169">
        <v>11732</v>
      </c>
      <c r="B2214" s="169" t="s">
        <v>25630</v>
      </c>
      <c r="C2214" s="169" t="s">
        <v>10225</v>
      </c>
      <c r="D2214" s="169" t="s">
        <v>1289</v>
      </c>
      <c r="E2214" s="103" t="s">
        <v>30457</v>
      </c>
      <c r="F2214" s="104"/>
      <c r="G2214" s="105">
        <f t="shared" si="136"/>
        <v>25.64</v>
      </c>
      <c r="H2214" s="101" t="str">
        <f t="shared" si="137"/>
        <v>Sinapi 11732</v>
      </c>
      <c r="I2214" s="101" t="str">
        <f t="shared" si="138"/>
        <v>UN</v>
      </c>
      <c r="J2214" s="140" t="str">
        <f t="shared" si="139"/>
        <v>GRELHA FIXA, PVC CROMADA, REDONDA, 150 MM, PARA RALOS E CAIXAS</v>
      </c>
    </row>
    <row r="2215" spans="1:10" x14ac:dyDescent="0.25">
      <c r="A2215" s="169">
        <v>11244</v>
      </c>
      <c r="B2215" s="169" t="s">
        <v>25631</v>
      </c>
      <c r="C2215" s="169" t="s">
        <v>10225</v>
      </c>
      <c r="D2215" s="169" t="s">
        <v>1290</v>
      </c>
      <c r="E2215" s="103" t="s">
        <v>21502</v>
      </c>
      <c r="F2215" s="104"/>
      <c r="G2215" s="105">
        <f t="shared" si="136"/>
        <v>278.66000000000003</v>
      </c>
      <c r="H2215" s="101" t="str">
        <f t="shared" si="137"/>
        <v>Sinapi 11244</v>
      </c>
      <c r="I2215" s="101" t="str">
        <f t="shared" si="138"/>
        <v>UN</v>
      </c>
      <c r="J2215" s="140" t="str">
        <f t="shared" si="139"/>
        <v>GRELHA FOFO ARTICULADA, CARGA MAXIMA 1,5 T, *300 X 1000* MM, E= *15* MM</v>
      </c>
    </row>
    <row r="2216" spans="1:10" x14ac:dyDescent="0.25">
      <c r="A2216" s="169">
        <v>11245</v>
      </c>
      <c r="B2216" s="169" t="s">
        <v>25632</v>
      </c>
      <c r="C2216" s="169" t="s">
        <v>10225</v>
      </c>
      <c r="D2216" s="169" t="s">
        <v>1290</v>
      </c>
      <c r="E2216" s="103" t="s">
        <v>21503</v>
      </c>
      <c r="F2216" s="104"/>
      <c r="G2216" s="105">
        <f t="shared" si="136"/>
        <v>385.43</v>
      </c>
      <c r="H2216" s="101" t="str">
        <f t="shared" si="137"/>
        <v>Sinapi 11245</v>
      </c>
      <c r="I2216" s="101" t="str">
        <f t="shared" si="138"/>
        <v>UN</v>
      </c>
      <c r="J2216" s="140" t="str">
        <f t="shared" si="139"/>
        <v>GRELHA FOFO SIMPLES COM REQUADRO, CARGA MAXIMA 12,5 T, *300 X 1000* MM, E= *15* MM, AREA ESTACIONAMENTO CARRO PASSEIO</v>
      </c>
    </row>
    <row r="2217" spans="1:10" x14ac:dyDescent="0.25">
      <c r="A2217" s="169">
        <v>11235</v>
      </c>
      <c r="B2217" s="169" t="s">
        <v>25633</v>
      </c>
      <c r="C2217" s="169" t="s">
        <v>10225</v>
      </c>
      <c r="D2217" s="169" t="s">
        <v>1290</v>
      </c>
      <c r="E2217" s="103" t="s">
        <v>20658</v>
      </c>
      <c r="F2217" s="104"/>
      <c r="G2217" s="105">
        <f t="shared" si="136"/>
        <v>212.65</v>
      </c>
      <c r="H2217" s="101" t="str">
        <f t="shared" si="137"/>
        <v>Sinapi 11235</v>
      </c>
      <c r="I2217" s="101" t="str">
        <f t="shared" si="138"/>
        <v>UN</v>
      </c>
      <c r="J2217" s="140" t="str">
        <f t="shared" si="139"/>
        <v>GRELHA FOFO SIMPLES COM REQUADRO, CARGA MAXIMA 1,5 T, 150 X 1000 MM, E= *15* MM</v>
      </c>
    </row>
    <row r="2218" spans="1:10" x14ac:dyDescent="0.25">
      <c r="A2218" s="169">
        <v>11236</v>
      </c>
      <c r="B2218" s="169" t="s">
        <v>25634</v>
      </c>
      <c r="C2218" s="169" t="s">
        <v>10225</v>
      </c>
      <c r="D2218" s="169" t="s">
        <v>1290</v>
      </c>
      <c r="E2218" s="103" t="s">
        <v>21504</v>
      </c>
      <c r="F2218" s="104"/>
      <c r="G2218" s="105">
        <f t="shared" si="136"/>
        <v>270.24</v>
      </c>
      <c r="H2218" s="101" t="str">
        <f t="shared" si="137"/>
        <v>Sinapi 11236</v>
      </c>
      <c r="I2218" s="101" t="str">
        <f t="shared" si="138"/>
        <v>UN</v>
      </c>
      <c r="J2218" s="140" t="str">
        <f t="shared" si="139"/>
        <v>GRELHA FOFO SIMPLES COM REQUADRO, CARGA MAXIMA 1,5 T, 200 X 1000 MM, E= *15* MM</v>
      </c>
    </row>
    <row r="2219" spans="1:10" x14ac:dyDescent="0.25">
      <c r="A2219" s="169">
        <v>36494</v>
      </c>
      <c r="B2219" s="169" t="s">
        <v>25635</v>
      </c>
      <c r="C2219" s="169" t="s">
        <v>10225</v>
      </c>
      <c r="D2219" s="169" t="s">
        <v>1290</v>
      </c>
      <c r="E2219" s="103" t="s">
        <v>30458</v>
      </c>
      <c r="F2219" s="104"/>
      <c r="G2219" s="105">
        <f t="shared" si="136"/>
        <v>700825</v>
      </c>
      <c r="H2219" s="101" t="str">
        <f t="shared" si="137"/>
        <v>Sinapi 36494</v>
      </c>
      <c r="I2219" s="101" t="str">
        <f t="shared" si="138"/>
        <v>UN</v>
      </c>
      <c r="J2219" s="140" t="str">
        <f t="shared" si="139"/>
        <v>GRUA ASCENCIONAL, LANCA DE 30 M, CAPACIDADE DE 1,0 T A 30 M, ALTURA ATE 39 M</v>
      </c>
    </row>
    <row r="2220" spans="1:10" x14ac:dyDescent="0.25">
      <c r="A2220" s="169">
        <v>36493</v>
      </c>
      <c r="B2220" s="169" t="s">
        <v>25636</v>
      </c>
      <c r="C2220" s="169" t="s">
        <v>10225</v>
      </c>
      <c r="D2220" s="169" t="s">
        <v>1290</v>
      </c>
      <c r="E2220" s="103" t="s">
        <v>30459</v>
      </c>
      <c r="F2220" s="104"/>
      <c r="G2220" s="105">
        <f t="shared" si="136"/>
        <v>794006.25</v>
      </c>
      <c r="H2220" s="101" t="str">
        <f t="shared" si="137"/>
        <v>Sinapi 36493</v>
      </c>
      <c r="I2220" s="101" t="str">
        <f t="shared" si="138"/>
        <v>UN</v>
      </c>
      <c r="J2220" s="140" t="str">
        <f t="shared" si="139"/>
        <v>GRUA ASCENCIONAL, LANCA DE 42 M, CAPACIDADE DE 1,5 T A 30 M, ALTURA ATE 39 M</v>
      </c>
    </row>
    <row r="2221" spans="1:10" x14ac:dyDescent="0.25">
      <c r="A2221" s="169">
        <v>36492</v>
      </c>
      <c r="B2221" s="169" t="s">
        <v>25637</v>
      </c>
      <c r="C2221" s="169" t="s">
        <v>10225</v>
      </c>
      <c r="D2221" s="169" t="s">
        <v>1290</v>
      </c>
      <c r="E2221" s="103" t="s">
        <v>30460</v>
      </c>
      <c r="F2221" s="104"/>
      <c r="G2221" s="105">
        <f t="shared" si="136"/>
        <v>1474962.5</v>
      </c>
      <c r="H2221" s="101" t="str">
        <f t="shared" si="137"/>
        <v>Sinapi 36492</v>
      </c>
      <c r="I2221" s="101" t="str">
        <f t="shared" si="138"/>
        <v>UN</v>
      </c>
      <c r="J2221" s="140" t="str">
        <f t="shared" si="139"/>
        <v>GRUA ASCENCIONAL, LANCA DE 50 M, CAPACIDADE DE 2,33 T A 30 M, ALTURA ATE 48 M</v>
      </c>
    </row>
    <row r="2222" spans="1:10" x14ac:dyDescent="0.25">
      <c r="A2222" s="169">
        <v>36499</v>
      </c>
      <c r="B2222" s="169" t="s">
        <v>25638</v>
      </c>
      <c r="C2222" s="169" t="s">
        <v>10225</v>
      </c>
      <c r="D2222" s="169" t="s">
        <v>1290</v>
      </c>
      <c r="E2222" s="103" t="s">
        <v>30461</v>
      </c>
      <c r="F2222" s="104"/>
      <c r="G2222" s="105">
        <f t="shared" si="136"/>
        <v>3830.52</v>
      </c>
      <c r="H2222" s="101" t="str">
        <f t="shared" si="137"/>
        <v>Sinapi 36499</v>
      </c>
      <c r="I2222" s="101" t="str">
        <f t="shared" si="138"/>
        <v>UN</v>
      </c>
      <c r="J2222" s="140" t="str">
        <f t="shared" si="139"/>
        <v>GRUPO GERADOR A GASOLINA, POTENCIA NOMINAL 2,2 KW, TENSAO DE SAIDA 110/220 V, MOTOR POTENCIA 6,5 HP</v>
      </c>
    </row>
    <row r="2223" spans="1:10" x14ac:dyDescent="0.25">
      <c r="A2223" s="169">
        <v>13533</v>
      </c>
      <c r="B2223" s="169" t="s">
        <v>25639</v>
      </c>
      <c r="C2223" s="169" t="s">
        <v>10225</v>
      </c>
      <c r="D2223" s="169" t="s">
        <v>1290</v>
      </c>
      <c r="E2223" s="103" t="s">
        <v>30462</v>
      </c>
      <c r="F2223" s="104"/>
      <c r="G2223" s="105">
        <f t="shared" si="136"/>
        <v>175593.06</v>
      </c>
      <c r="H2223" s="101" t="str">
        <f t="shared" si="137"/>
        <v>Sinapi 13533</v>
      </c>
      <c r="I2223" s="101" t="str">
        <f t="shared" si="138"/>
        <v>UN</v>
      </c>
      <c r="J2223" s="140" t="str">
        <f t="shared" si="139"/>
        <v>GRUPO GERADOR DE SOLDA ELETRICA, COM MAQUINA DE SOLDA, ATE 400 AMPERES E GERADOR A DIESEL 30 CV, MOTOR 4 CILINDROS, TANQUE COMBUST., CARENAGEM DE PROTECAO SOBRE RODAS</v>
      </c>
    </row>
    <row r="2224" spans="1:10" x14ac:dyDescent="0.25">
      <c r="A2224" s="169">
        <v>13333</v>
      </c>
      <c r="B2224" s="169" t="s">
        <v>25640</v>
      </c>
      <c r="C2224" s="169" t="s">
        <v>10225</v>
      </c>
      <c r="D2224" s="169" t="s">
        <v>1290</v>
      </c>
      <c r="E2224" s="103" t="s">
        <v>30463</v>
      </c>
      <c r="F2224" s="104"/>
      <c r="G2224" s="105">
        <f t="shared" si="136"/>
        <v>196437.23</v>
      </c>
      <c r="H2224" s="101" t="str">
        <f t="shared" si="137"/>
        <v>Sinapi 13333</v>
      </c>
      <c r="I2224" s="101" t="str">
        <f t="shared" si="138"/>
        <v>UN</v>
      </c>
      <c r="J2224" s="140" t="str">
        <f t="shared" si="139"/>
        <v>GRUPO GERADOR DE SOLDA ELETRICA, COM MAQUINA DE SOLDA, ATE 400 AMPERES E GERADOR A DIESEL 60 CV, MOTOR 4 CILINDROS, TANQUE COMBUST., CARENAGEM DE PROTECAO SOBRE RODAS</v>
      </c>
    </row>
    <row r="2225" spans="1:10" x14ac:dyDescent="0.25">
      <c r="A2225" s="169">
        <v>39585</v>
      </c>
      <c r="B2225" s="169" t="s">
        <v>25641</v>
      </c>
      <c r="C2225" s="169" t="s">
        <v>10225</v>
      </c>
      <c r="D2225" s="169" t="s">
        <v>1290</v>
      </c>
      <c r="E2225" s="103" t="s">
        <v>30464</v>
      </c>
      <c r="F2225" s="104"/>
      <c r="G2225" s="105">
        <f t="shared" si="136"/>
        <v>126839.51</v>
      </c>
      <c r="H2225" s="101" t="str">
        <f t="shared" si="137"/>
        <v>Sinapi 39585</v>
      </c>
      <c r="I2225" s="101" t="str">
        <f t="shared" si="138"/>
        <v>UN</v>
      </c>
      <c r="J2225" s="140" t="str">
        <f t="shared" si="139"/>
        <v>GRUPO GERADOR DIESEL, COM CARENAGEM, POTENCIA STANDART ENTRE 100 E 110 KVA, VELOCIDADE DE 1800 RPM, FREQUENCIA DE 60 HZ</v>
      </c>
    </row>
    <row r="2226" spans="1:10" x14ac:dyDescent="0.25">
      <c r="A2226" s="169">
        <v>39586</v>
      </c>
      <c r="B2226" s="169" t="s">
        <v>25642</v>
      </c>
      <c r="C2226" s="169" t="s">
        <v>10225</v>
      </c>
      <c r="D2226" s="169" t="s">
        <v>1290</v>
      </c>
      <c r="E2226" s="103" t="s">
        <v>30465</v>
      </c>
      <c r="F2226" s="104"/>
      <c r="G2226" s="105">
        <f t="shared" si="136"/>
        <v>148774.16</v>
      </c>
      <c r="H2226" s="101" t="str">
        <f t="shared" si="137"/>
        <v>Sinapi 39586</v>
      </c>
      <c r="I2226" s="101" t="str">
        <f t="shared" si="138"/>
        <v>UN</v>
      </c>
      <c r="J2226" s="140" t="str">
        <f t="shared" si="139"/>
        <v>GRUPO GERADOR DIESEL, COM CARENAGEM, POTENCIA STANDART ENTRE 140 E 150 KVA, VELOCIDADE DE 1800 RPM, FREQUENCIA DE 60 HZ</v>
      </c>
    </row>
    <row r="2227" spans="1:10" x14ac:dyDescent="0.25">
      <c r="A2227" s="169">
        <v>39587</v>
      </c>
      <c r="B2227" s="169" t="s">
        <v>25643</v>
      </c>
      <c r="C2227" s="169" t="s">
        <v>10225</v>
      </c>
      <c r="D2227" s="169" t="s">
        <v>1290</v>
      </c>
      <c r="E2227" s="103" t="s">
        <v>30466</v>
      </c>
      <c r="F2227" s="104"/>
      <c r="G2227" s="105">
        <f t="shared" si="136"/>
        <v>181199.3</v>
      </c>
      <c r="H2227" s="101" t="str">
        <f t="shared" si="137"/>
        <v>Sinapi 39587</v>
      </c>
      <c r="I2227" s="101" t="str">
        <f t="shared" si="138"/>
        <v>UN</v>
      </c>
      <c r="J2227" s="140" t="str">
        <f t="shared" si="139"/>
        <v>GRUPO GERADOR DIESEL, COM CARENAGEM, POTENCIA STANDART ENTRE 210 E 220 KVA, VELOCIDADE DE 1800 RPM, FREQUENCIA DE 60 HZ</v>
      </c>
    </row>
    <row r="2228" spans="1:10" x14ac:dyDescent="0.25">
      <c r="A2228" s="169">
        <v>39588</v>
      </c>
      <c r="B2228" s="169" t="s">
        <v>25644</v>
      </c>
      <c r="C2228" s="169" t="s">
        <v>10225</v>
      </c>
      <c r="D2228" s="169" t="s">
        <v>1290</v>
      </c>
      <c r="E2228" s="103" t="s">
        <v>30467</v>
      </c>
      <c r="F2228" s="104"/>
      <c r="G2228" s="105">
        <f t="shared" si="136"/>
        <v>209809.71</v>
      </c>
      <c r="H2228" s="101" t="str">
        <f t="shared" si="137"/>
        <v>Sinapi 39588</v>
      </c>
      <c r="I2228" s="101" t="str">
        <f t="shared" si="138"/>
        <v>UN</v>
      </c>
      <c r="J2228" s="140" t="str">
        <f t="shared" si="139"/>
        <v>GRUPO GERADOR DIESEL, COM CARENAGEM, POTENCIA STANDART ENTRE 250 E 260 KVA, VELOCIDADE DE 1800 RPM, FREQUENCIA DE 60 HZ</v>
      </c>
    </row>
    <row r="2229" spans="1:10" x14ac:dyDescent="0.25">
      <c r="A2229" s="169">
        <v>39584</v>
      </c>
      <c r="B2229" s="169" t="s">
        <v>25645</v>
      </c>
      <c r="C2229" s="169" t="s">
        <v>10225</v>
      </c>
      <c r="D2229" s="169" t="s">
        <v>1290</v>
      </c>
      <c r="E2229" s="103" t="s">
        <v>30468</v>
      </c>
      <c r="F2229" s="104"/>
      <c r="G2229" s="105">
        <f t="shared" si="136"/>
        <v>112953.92</v>
      </c>
      <c r="H2229" s="101" t="str">
        <f t="shared" si="137"/>
        <v>Sinapi 39584</v>
      </c>
      <c r="I2229" s="101" t="str">
        <f t="shared" si="138"/>
        <v>UN</v>
      </c>
      <c r="J2229" s="140" t="str">
        <f t="shared" si="139"/>
        <v>GRUPO GERADOR DIESEL, COM CARENAGEM, POTENCIA STANDART ENTRE 50 E 55 KVA, VELOCIDADE DE 1800 RPM, FREQUENCIA DE 60 HZ</v>
      </c>
    </row>
    <row r="2230" spans="1:10" x14ac:dyDescent="0.25">
      <c r="A2230" s="169">
        <v>39590</v>
      </c>
      <c r="B2230" s="169" t="s">
        <v>25646</v>
      </c>
      <c r="C2230" s="169" t="s">
        <v>10225</v>
      </c>
      <c r="D2230" s="169" t="s">
        <v>1290</v>
      </c>
      <c r="E2230" s="103" t="s">
        <v>30469</v>
      </c>
      <c r="F2230" s="104"/>
      <c r="G2230" s="105">
        <f t="shared" si="136"/>
        <v>110245.47</v>
      </c>
      <c r="H2230" s="101" t="str">
        <f t="shared" si="137"/>
        <v>Sinapi 39590</v>
      </c>
      <c r="I2230" s="101" t="str">
        <f t="shared" si="138"/>
        <v>UN</v>
      </c>
      <c r="J2230" s="140" t="str">
        <f t="shared" si="139"/>
        <v>GRUPO GERADOR DIESEL, SEM CARENAGEM, POTENCIA STANDART ENTRE 100 E 110 KVA, VELOCIDADE DE 1800 RPM, FREQUENCIA DE 60 HZ</v>
      </c>
    </row>
    <row r="2231" spans="1:10" x14ac:dyDescent="0.25">
      <c r="A2231" s="169">
        <v>39592</v>
      </c>
      <c r="B2231" s="169" t="s">
        <v>25647</v>
      </c>
      <c r="C2231" s="169" t="s">
        <v>10225</v>
      </c>
      <c r="D2231" s="169" t="s">
        <v>1290</v>
      </c>
      <c r="E2231" s="103" t="s">
        <v>30470</v>
      </c>
      <c r="F2231" s="104"/>
      <c r="G2231" s="105">
        <f t="shared" si="136"/>
        <v>158425.4</v>
      </c>
      <c r="H2231" s="101" t="str">
        <f t="shared" si="137"/>
        <v>Sinapi 39592</v>
      </c>
      <c r="I2231" s="101" t="str">
        <f t="shared" si="138"/>
        <v>UN</v>
      </c>
      <c r="J2231" s="140" t="str">
        <f t="shared" si="139"/>
        <v>GRUPO GERADOR DIESEL, SEM CARENAGEM, POTENCIA STANDART ENTRE 210 E 220 KVA, VELOCIDADE DE 1800 RPM, FREQUENCIA DE 60 HZ</v>
      </c>
    </row>
    <row r="2232" spans="1:10" x14ac:dyDescent="0.25">
      <c r="A2232" s="169">
        <v>39593</v>
      </c>
      <c r="B2232" s="169" t="s">
        <v>25648</v>
      </c>
      <c r="C2232" s="169" t="s">
        <v>10225</v>
      </c>
      <c r="D2232" s="169" t="s">
        <v>1290</v>
      </c>
      <c r="E2232" s="103" t="s">
        <v>30466</v>
      </c>
      <c r="F2232" s="104"/>
      <c r="G2232" s="105">
        <f t="shared" si="136"/>
        <v>181199.3</v>
      </c>
      <c r="H2232" s="101" t="str">
        <f t="shared" si="137"/>
        <v>Sinapi 39593</v>
      </c>
      <c r="I2232" s="101" t="str">
        <f t="shared" si="138"/>
        <v>UN</v>
      </c>
      <c r="J2232" s="140" t="str">
        <f t="shared" si="139"/>
        <v>GRUPO GERADOR DIESEL, SEM CARENAGEM, POTENCIA STANDART ENTRE 250 E 260 KVA, VELOCIDADE DE 1800 RPM, FREQUENCIA DE 60 HZ</v>
      </c>
    </row>
    <row r="2233" spans="1:10" x14ac:dyDescent="0.25">
      <c r="A2233" s="169">
        <v>14254</v>
      </c>
      <c r="B2233" s="169" t="s">
        <v>25649</v>
      </c>
      <c r="C2233" s="169" t="s">
        <v>10225</v>
      </c>
      <c r="D2233" s="169" t="s">
        <v>1290</v>
      </c>
      <c r="E2233" s="103" t="s">
        <v>30471</v>
      </c>
      <c r="F2233" s="104"/>
      <c r="G2233" s="105">
        <f t="shared" si="136"/>
        <v>102997.5</v>
      </c>
      <c r="H2233" s="101" t="str">
        <f t="shared" si="137"/>
        <v>Sinapi 14254</v>
      </c>
      <c r="I2233" s="101" t="str">
        <f t="shared" si="138"/>
        <v>UN</v>
      </c>
      <c r="J2233" s="140" t="str">
        <f t="shared" si="139"/>
        <v>GRUPO GERADOR DIESEL, SEM CARENAGEM, POTENCIA STANDART ENTRE 80 E 90 KVA, VELOCIDADE DE 1800 RPM, FREQUENCIA DE 60 HZ</v>
      </c>
    </row>
    <row r="2234" spans="1:10" x14ac:dyDescent="0.25">
      <c r="A2234" s="169">
        <v>44494</v>
      </c>
      <c r="B2234" s="169" t="s">
        <v>25650</v>
      </c>
      <c r="C2234" s="169" t="s">
        <v>10225</v>
      </c>
      <c r="D2234" s="169" t="s">
        <v>1290</v>
      </c>
      <c r="E2234" s="103" t="s">
        <v>30472</v>
      </c>
      <c r="F2234" s="104"/>
      <c r="G2234" s="105">
        <f t="shared" si="136"/>
        <v>86011.13</v>
      </c>
      <c r="H2234" s="101" t="str">
        <f t="shared" si="137"/>
        <v>Sinapi 44494</v>
      </c>
      <c r="I2234" s="101" t="str">
        <f t="shared" si="138"/>
        <v>UN</v>
      </c>
      <c r="J2234" s="140" t="str">
        <f t="shared" si="139"/>
        <v>GRUPO GERADOR ESTACIONARIO SILENCIADO, POTENCIA 50 KVA, MOTOR DIESEL</v>
      </c>
    </row>
    <row r="2235" spans="1:10" x14ac:dyDescent="0.25">
      <c r="A2235" s="169">
        <v>25019</v>
      </c>
      <c r="B2235" s="169" t="s">
        <v>25651</v>
      </c>
      <c r="C2235" s="169" t="s">
        <v>10225</v>
      </c>
      <c r="D2235" s="169" t="s">
        <v>1290</v>
      </c>
      <c r="E2235" s="103" t="s">
        <v>30473</v>
      </c>
      <c r="F2235" s="104"/>
      <c r="G2235" s="105">
        <f t="shared" si="136"/>
        <v>147432.69</v>
      </c>
      <c r="H2235" s="101" t="str">
        <f t="shared" si="137"/>
        <v>Sinapi 25019</v>
      </c>
      <c r="I2235" s="101" t="str">
        <f t="shared" si="138"/>
        <v>UN</v>
      </c>
      <c r="J2235" s="140" t="str">
        <f t="shared" si="139"/>
        <v>GRUPO GERADOR ESTACIONARIO, MOTOR DIESEL POTENCIA 170 KVA</v>
      </c>
    </row>
    <row r="2236" spans="1:10" x14ac:dyDescent="0.25">
      <c r="A2236" s="169">
        <v>36501</v>
      </c>
      <c r="B2236" s="169" t="s">
        <v>25652</v>
      </c>
      <c r="C2236" s="169" t="s">
        <v>10225</v>
      </c>
      <c r="D2236" s="169" t="s">
        <v>1290</v>
      </c>
      <c r="E2236" s="103" t="s">
        <v>30474</v>
      </c>
      <c r="F2236" s="104"/>
      <c r="G2236" s="105">
        <f t="shared" si="136"/>
        <v>131265.9</v>
      </c>
      <c r="H2236" s="101" t="str">
        <f t="shared" si="137"/>
        <v>Sinapi 36501</v>
      </c>
      <c r="I2236" s="101" t="str">
        <f t="shared" si="138"/>
        <v>UN</v>
      </c>
      <c r="J2236" s="140" t="str">
        <f t="shared" si="139"/>
        <v>GRUPO GERADOR ESTACIONARIO, POTENCIA 150 KVA, MOTOR DIESEL</v>
      </c>
    </row>
    <row r="2237" spans="1:10" x14ac:dyDescent="0.25">
      <c r="A2237" s="169">
        <v>44493</v>
      </c>
      <c r="B2237" s="169" t="s">
        <v>25653</v>
      </c>
      <c r="C2237" s="169" t="s">
        <v>10225</v>
      </c>
      <c r="D2237" s="169" t="s">
        <v>1290</v>
      </c>
      <c r="E2237" s="103" t="s">
        <v>30475</v>
      </c>
      <c r="F2237" s="104"/>
      <c r="G2237" s="105">
        <f t="shared" si="136"/>
        <v>157806.76</v>
      </c>
      <c r="H2237" s="101" t="str">
        <f t="shared" si="137"/>
        <v>Sinapi 44493</v>
      </c>
      <c r="I2237" s="101" t="str">
        <f t="shared" si="138"/>
        <v>UN</v>
      </c>
      <c r="J2237" s="140" t="str">
        <f t="shared" si="139"/>
        <v>GRUPO GERADOR ESTACIONARIO, SILENCIADO, POTENCIA 180 KVA, MOTOR DIESEL</v>
      </c>
    </row>
    <row r="2238" spans="1:10" x14ac:dyDescent="0.25">
      <c r="A2238" s="169">
        <v>36500</v>
      </c>
      <c r="B2238" s="169" t="s">
        <v>25654</v>
      </c>
      <c r="C2238" s="169" t="s">
        <v>10225</v>
      </c>
      <c r="D2238" s="169" t="s">
        <v>1290</v>
      </c>
      <c r="E2238" s="103" t="s">
        <v>30476</v>
      </c>
      <c r="F2238" s="104"/>
      <c r="G2238" s="105">
        <f t="shared" si="136"/>
        <v>92762.03</v>
      </c>
      <c r="H2238" s="101" t="str">
        <f t="shared" si="137"/>
        <v>Sinapi 36500</v>
      </c>
      <c r="I2238" s="101" t="str">
        <f t="shared" si="138"/>
        <v>UN</v>
      </c>
      <c r="J2238" s="140" t="str">
        <f t="shared" si="139"/>
        <v>GRUPO GERADOR REBOCAVEL, POTENCIA *66* KVA, MOTOR A DIESEL</v>
      </c>
    </row>
    <row r="2239" spans="1:10" x14ac:dyDescent="0.25">
      <c r="A2239" s="169">
        <v>20017</v>
      </c>
      <c r="B2239" s="169" t="s">
        <v>25655</v>
      </c>
      <c r="C2239" s="169" t="s">
        <v>10229</v>
      </c>
      <c r="D2239" s="169" t="s">
        <v>1289</v>
      </c>
      <c r="E2239" s="103" t="s">
        <v>19281</v>
      </c>
      <c r="F2239" s="104"/>
      <c r="G2239" s="105">
        <f t="shared" si="136"/>
        <v>5.09</v>
      </c>
      <c r="H2239" s="101" t="str">
        <f t="shared" si="137"/>
        <v>Sinapi 20017</v>
      </c>
      <c r="I2239" s="101" t="str">
        <f t="shared" si="138"/>
        <v>M</v>
      </c>
      <c r="J2239" s="140" t="str">
        <f t="shared" si="139"/>
        <v>GUARNICAO / ALIZAR / VISTA LISA EM MADEIRA MACICA, PARA PORTA , E = *1* CM, L = *5* CM, CEDRINHO / ANGELIM COMERCIAL / TAURI/ CURUPIXA / PEROBA / CUMARU OU EQUIVALENTE DA REGIAO</v>
      </c>
    </row>
    <row r="2240" spans="1:10" x14ac:dyDescent="0.25">
      <c r="A2240" s="169">
        <v>20007</v>
      </c>
      <c r="B2240" s="169" t="s">
        <v>25656</v>
      </c>
      <c r="C2240" s="169" t="s">
        <v>10229</v>
      </c>
      <c r="D2240" s="169" t="s">
        <v>1289</v>
      </c>
      <c r="E2240" s="103" t="s">
        <v>24917</v>
      </c>
      <c r="F2240" s="104"/>
      <c r="G2240" s="105">
        <f t="shared" si="136"/>
        <v>3.03</v>
      </c>
      <c r="H2240" s="101" t="str">
        <f t="shared" si="137"/>
        <v>Sinapi 20007</v>
      </c>
      <c r="I2240" s="101" t="str">
        <f t="shared" si="138"/>
        <v>M</v>
      </c>
      <c r="J2240" s="140" t="str">
        <f t="shared" si="139"/>
        <v>GUARNICAO / ALIZAR / VISTA LISA EM MADEIRA MACICA, PARA PORTA , E = *1* CM, L = *5* CM, PINUS /EUCALIPTO / VIROLA OU EQUIVALENTE DA REGIAO</v>
      </c>
    </row>
    <row r="2241" spans="1:10" x14ac:dyDescent="0.25">
      <c r="A2241" s="169">
        <v>39831</v>
      </c>
      <c r="B2241" s="169" t="s">
        <v>25657</v>
      </c>
      <c r="C2241" s="169" t="s">
        <v>10241</v>
      </c>
      <c r="D2241" s="169" t="s">
        <v>1290</v>
      </c>
      <c r="E2241" s="103" t="s">
        <v>30477</v>
      </c>
      <c r="F2241" s="104"/>
      <c r="G2241" s="105">
        <f t="shared" si="136"/>
        <v>300.97000000000003</v>
      </c>
      <c r="H2241" s="101" t="str">
        <f t="shared" si="137"/>
        <v>Sinapi 39831</v>
      </c>
      <c r="I2241" s="101" t="str">
        <f t="shared" si="138"/>
        <v>JG</v>
      </c>
      <c r="J2241" s="140" t="str">
        <f t="shared" si="139"/>
        <v>GUARNICAO / ALIZAR / VISTA, E = *1,5* CM, L = *5,0* CM, EM POLIESTIRENO, BRANCO (JOGO PARA 1 FACE)</v>
      </c>
    </row>
    <row r="2242" spans="1:10" x14ac:dyDescent="0.25">
      <c r="A2242" s="169">
        <v>36888</v>
      </c>
      <c r="B2242" s="169" t="s">
        <v>25658</v>
      </c>
      <c r="C2242" s="169" t="s">
        <v>10229</v>
      </c>
      <c r="D2242" s="169" t="s">
        <v>1290</v>
      </c>
      <c r="E2242" s="103" t="s">
        <v>18692</v>
      </c>
      <c r="F2242" s="104"/>
      <c r="G2242" s="105">
        <f t="shared" si="136"/>
        <v>24.38</v>
      </c>
      <c r="H2242" s="101" t="str">
        <f t="shared" si="137"/>
        <v>Sinapi 36888</v>
      </c>
      <c r="I2242" s="101" t="str">
        <f t="shared" si="138"/>
        <v>M</v>
      </c>
      <c r="J2242" s="140" t="str">
        <f t="shared" si="139"/>
        <v>GUARNICAO / MOLDURA / ARREMATE DE ACABAMENTO PARA ESQUADRIA, EM ALUMINIO PERFIL 25, ACABAMENTO ANODIZADO BRANCO OU BRILHANTE, PARA 1 FACE</v>
      </c>
    </row>
    <row r="2243" spans="1:10" x14ac:dyDescent="0.25">
      <c r="A2243" s="169">
        <v>39836</v>
      </c>
      <c r="B2243" s="169" t="s">
        <v>25659</v>
      </c>
      <c r="C2243" s="169" t="s">
        <v>10241</v>
      </c>
      <c r="D2243" s="169" t="s">
        <v>1290</v>
      </c>
      <c r="E2243" s="103" t="s">
        <v>30478</v>
      </c>
      <c r="F2243" s="104"/>
      <c r="G2243" s="105">
        <f t="shared" si="136"/>
        <v>264.45999999999998</v>
      </c>
      <c r="H2243" s="101" t="str">
        <f t="shared" si="137"/>
        <v>Sinapi 39836</v>
      </c>
      <c r="I2243" s="101" t="str">
        <f t="shared" si="138"/>
        <v>JG</v>
      </c>
      <c r="J2243" s="140" t="str">
        <f t="shared" si="139"/>
        <v>GUARNICAO/ALIZAR/VISTA, E = *1,3* CM, L = *5,0* CM HASTE REGULAVEL = *35* MM, EM MDF/PVC WOOD/ POLIESTIRENO OU MADEIRA LAMINADA, PRIMER BRANCO (JOGO PARA 1 FACE)</v>
      </c>
    </row>
    <row r="2244" spans="1:10" x14ac:dyDescent="0.25">
      <c r="A2244" s="169">
        <v>39830</v>
      </c>
      <c r="B2244" s="169" t="s">
        <v>25660</v>
      </c>
      <c r="C2244" s="169" t="s">
        <v>10241</v>
      </c>
      <c r="D2244" s="169" t="s">
        <v>1290</v>
      </c>
      <c r="E2244" s="103" t="s">
        <v>30479</v>
      </c>
      <c r="F2244" s="104"/>
      <c r="G2244" s="105">
        <f t="shared" si="136"/>
        <v>301.61</v>
      </c>
      <c r="H2244" s="101" t="str">
        <f t="shared" si="137"/>
        <v>Sinapi 39830</v>
      </c>
      <c r="I2244" s="101" t="str">
        <f t="shared" si="138"/>
        <v>JG</v>
      </c>
      <c r="J2244" s="140" t="str">
        <f t="shared" si="139"/>
        <v>GUARNICAO/ALIZAR/VISTA, E = *1,3* CM, L = *7,0* CM, EM POLIESTIRENO, BRANCO (JOGO PARA 1 FACE)</v>
      </c>
    </row>
    <row r="2245" spans="1:10" x14ac:dyDescent="0.25">
      <c r="A2245" s="169">
        <v>40527</v>
      </c>
      <c r="B2245" s="169" t="s">
        <v>25661</v>
      </c>
      <c r="C2245" s="169" t="s">
        <v>10225</v>
      </c>
      <c r="D2245" s="169" t="s">
        <v>1290</v>
      </c>
      <c r="E2245" s="103" t="s">
        <v>30480</v>
      </c>
      <c r="F2245" s="104"/>
      <c r="G2245" s="105">
        <f t="shared" si="136"/>
        <v>2532.19</v>
      </c>
      <c r="H2245" s="101" t="str">
        <f t="shared" si="137"/>
        <v>Sinapi 40527</v>
      </c>
      <c r="I2245" s="101" t="str">
        <f t="shared" si="138"/>
        <v>UN</v>
      </c>
      <c r="J2245" s="140" t="str">
        <f t="shared" si="139"/>
        <v>GUINCHO DE ALAVANCA MANUAL, CAPACIDADE DE 1,6 T, COM 20 M DE CABO DE ACO (AQUISICAO)</v>
      </c>
    </row>
    <row r="2246" spans="1:10" x14ac:dyDescent="0.25">
      <c r="A2246" s="169">
        <v>36497</v>
      </c>
      <c r="B2246" s="169" t="s">
        <v>25662</v>
      </c>
      <c r="C2246" s="169" t="s">
        <v>10225</v>
      </c>
      <c r="D2246" s="169" t="s">
        <v>1290</v>
      </c>
      <c r="E2246" s="103" t="s">
        <v>30481</v>
      </c>
      <c r="F2246" s="104"/>
      <c r="G2246" s="105">
        <f t="shared" si="136"/>
        <v>2890.77</v>
      </c>
      <c r="H2246" s="101" t="str">
        <f t="shared" si="137"/>
        <v>Sinapi 36497</v>
      </c>
      <c r="I2246" s="101" t="str">
        <f t="shared" si="138"/>
        <v>UN</v>
      </c>
      <c r="J2246" s="140" t="str">
        <f t="shared" si="139"/>
        <v>GUINCHO DE ALAVANCA MANUAL, CAPACIDADE 3,2 T COM 20 M DE CABO DE ACO DIAMETRO 16,3 MM</v>
      </c>
    </row>
    <row r="2247" spans="1:10" x14ac:dyDescent="0.25">
      <c r="A2247" s="169">
        <v>36487</v>
      </c>
      <c r="B2247" s="169" t="s">
        <v>25663</v>
      </c>
      <c r="C2247" s="169" t="s">
        <v>10225</v>
      </c>
      <c r="D2247" s="169" t="s">
        <v>1290</v>
      </c>
      <c r="E2247" s="103" t="s">
        <v>30482</v>
      </c>
      <c r="F2247" s="104"/>
      <c r="G2247" s="105">
        <f t="shared" si="136"/>
        <v>5033.2700000000004</v>
      </c>
      <c r="H2247" s="101" t="str">
        <f t="shared" si="137"/>
        <v>Sinapi 36487</v>
      </c>
      <c r="I2247" s="101" t="str">
        <f t="shared" si="138"/>
        <v>UN</v>
      </c>
      <c r="J2247" s="140" t="str">
        <f t="shared" si="139"/>
        <v>GUINCHO ELETRICO DE COLUNA, CAPACIDADE 400 KG, COM MOTO FREIO, MOTOR TRIFASICO DE 1,25 CV</v>
      </c>
    </row>
    <row r="2248" spans="1:10" x14ac:dyDescent="0.25">
      <c r="A2248" s="169">
        <v>44475</v>
      </c>
      <c r="B2248" s="169" t="s">
        <v>25664</v>
      </c>
      <c r="C2248" s="169" t="s">
        <v>10225</v>
      </c>
      <c r="D2248" s="169" t="s">
        <v>1290</v>
      </c>
      <c r="E2248" s="103" t="s">
        <v>30483</v>
      </c>
      <c r="F2248" s="104"/>
      <c r="G2248" s="105">
        <f t="shared" ref="G2248:G2311" si="140">IF(E2248="","",E2248+0)</f>
        <v>1225500.25</v>
      </c>
      <c r="H2248" s="101" t="str">
        <f t="shared" ref="H2248:H2311" si="141">IF(G2248="","",TRIM(CONCATENATE("Sinapi ",A2248)))</f>
        <v>Sinapi 44475</v>
      </c>
      <c r="I2248" s="101" t="str">
        <f t="shared" ref="I2248:I2311" si="142">TRIM(C2248)</f>
        <v>UN</v>
      </c>
      <c r="J2248" s="140" t="str">
        <f t="shared" si="139"/>
        <v>GUINDASTE HIDRAULICO AUTOPROPELIDO, COM LANCA TELESCOPICA 28,80 M, CAPACIDADE MAXIMA 30 T, POTENCIA 97 KW, TRACAO 4 X 4</v>
      </c>
    </row>
    <row r="2249" spans="1:10" x14ac:dyDescent="0.25">
      <c r="A2249" s="169">
        <v>44474</v>
      </c>
      <c r="B2249" s="169" t="s">
        <v>25665</v>
      </c>
      <c r="C2249" s="169" t="s">
        <v>10225</v>
      </c>
      <c r="D2249" s="169" t="s">
        <v>1290</v>
      </c>
      <c r="E2249" s="103" t="s">
        <v>30484</v>
      </c>
      <c r="F2249" s="104"/>
      <c r="G2249" s="105">
        <f t="shared" si="140"/>
        <v>2356731.25</v>
      </c>
      <c r="H2249" s="101" t="str">
        <f t="shared" si="141"/>
        <v>Sinapi 44474</v>
      </c>
      <c r="I2249" s="101" t="str">
        <f t="shared" si="142"/>
        <v>UN</v>
      </c>
      <c r="J2249" s="140" t="str">
        <f t="shared" ref="J2249:J2312" si="143">TRIM(B2249)</f>
        <v>GUINDASTE HIDRAULICO AUTOPROPELIDO, COM LANCA TELESCOPICA 40 M, CAPACIDADE MAXIMA 60 T, POTENCIA 260 KW, TRACAO 6 X 6</v>
      </c>
    </row>
    <row r="2250" spans="1:10" x14ac:dyDescent="0.25">
      <c r="A2250" s="169">
        <v>44490</v>
      </c>
      <c r="B2250" s="169" t="s">
        <v>25666</v>
      </c>
      <c r="C2250" s="169" t="s">
        <v>10225</v>
      </c>
      <c r="D2250" s="169" t="s">
        <v>1290</v>
      </c>
      <c r="E2250" s="103" t="s">
        <v>30485</v>
      </c>
      <c r="F2250" s="104"/>
      <c r="G2250" s="105">
        <f t="shared" si="140"/>
        <v>4006443.12</v>
      </c>
      <c r="H2250" s="101" t="str">
        <f t="shared" si="141"/>
        <v>Sinapi 44490</v>
      </c>
      <c r="I2250" s="101" t="str">
        <f t="shared" si="142"/>
        <v>UN</v>
      </c>
      <c r="J2250" s="140" t="str">
        <f t="shared" si="143"/>
        <v>GUINDASTE HIDRAULICO AUTOPROPELIDO, COM LANCA TELESCOPICA 50 M, CAPACIDADE MAXIMA 100 T, POTENCIA 350 KW, TRACAO 10 X 6</v>
      </c>
    </row>
    <row r="2251" spans="1:10" x14ac:dyDescent="0.25">
      <c r="A2251" s="169">
        <v>37776</v>
      </c>
      <c r="B2251" s="169" t="s">
        <v>25667</v>
      </c>
      <c r="C2251" s="169" t="s">
        <v>10225</v>
      </c>
      <c r="D2251" s="169" t="s">
        <v>1290</v>
      </c>
      <c r="E2251" s="103" t="s">
        <v>30486</v>
      </c>
      <c r="F2251" s="104"/>
      <c r="G2251" s="105">
        <f t="shared" si="140"/>
        <v>245543.75</v>
      </c>
      <c r="H2251" s="101" t="str">
        <f t="shared" si="141"/>
        <v>Sinapi 37776</v>
      </c>
      <c r="I2251" s="101" t="str">
        <f t="shared" si="142"/>
        <v>UN</v>
      </c>
      <c r="J2251" s="140" t="str">
        <f t="shared" si="143"/>
        <v>GUINDAUTO HIDRAULICO, CAPACIDADE MAXIMA DE CARGA 10000 KG, MOMENTO MAXIMO DE CARGA 23 TM , ALCANCE MAXIMO HORIZONTAL 11,80 M, PARA MONTAGEM SOBRE CHASSI DE CAMINHAO PBT MINIMO 15000 KG (INCLUI MONTAGEM, NAO INCLUI CAMINHAO)</v>
      </c>
    </row>
    <row r="2252" spans="1:10" x14ac:dyDescent="0.25">
      <c r="A2252" s="169">
        <v>37775</v>
      </c>
      <c r="B2252" s="169" t="s">
        <v>25668</v>
      </c>
      <c r="C2252" s="169" t="s">
        <v>10225</v>
      </c>
      <c r="D2252" s="169" t="s">
        <v>1290</v>
      </c>
      <c r="E2252" s="103" t="s">
        <v>30487</v>
      </c>
      <c r="F2252" s="104"/>
      <c r="G2252" s="105">
        <f t="shared" si="140"/>
        <v>386750</v>
      </c>
      <c r="H2252" s="101" t="str">
        <f t="shared" si="141"/>
        <v>Sinapi 37775</v>
      </c>
      <c r="I2252" s="101" t="str">
        <f t="shared" si="142"/>
        <v>UN</v>
      </c>
      <c r="J2252" s="140" t="str">
        <f t="shared" si="143"/>
        <v>GUINDAUTO HIDRAULICO, CAPACIDADE MAXIMA DE CARGA 14340 KG, MOMENTO MAXIMO DE CARGA 42,3 TM, ALCANCE MAXIMO HORIZONTAL 16,80 M, PARA MONTAGEM SOBRE CHASSI DE CAMINHAO PBT MINIMO 23000 KG (INCLUI MONTAGEM, NAO INCLUI CAMINHAO)</v>
      </c>
    </row>
    <row r="2253" spans="1:10" x14ac:dyDescent="0.25">
      <c r="A2253" s="169">
        <v>36491</v>
      </c>
      <c r="B2253" s="169" t="s">
        <v>25669</v>
      </c>
      <c r="C2253" s="169" t="s">
        <v>10225</v>
      </c>
      <c r="D2253" s="169" t="s">
        <v>1290</v>
      </c>
      <c r="E2253" s="103" t="s">
        <v>30488</v>
      </c>
      <c r="F2253" s="104"/>
      <c r="G2253" s="105">
        <f t="shared" si="140"/>
        <v>1432250</v>
      </c>
      <c r="H2253" s="101" t="str">
        <f t="shared" si="141"/>
        <v>Sinapi 36491</v>
      </c>
      <c r="I2253" s="101" t="str">
        <f t="shared" si="142"/>
        <v>UN</v>
      </c>
      <c r="J2253" s="140" t="str">
        <f t="shared" si="143"/>
        <v>GUINDAUTO HIDRAULICO, CAPACIDADE MAXIMA DE CARGA 30000 KG, MOMENTO MAXIMO DE CARGA 92,2 TM , ALCANCE MAXIMO HORIZONTAL 22,00 M, PARA MONTAGEM SOBRE CHASSI DE CAMINHAO PBT MINIMO 30000 KG (INCLUI MONTAGEM, NAO INCLUI CAMINHAO)</v>
      </c>
    </row>
    <row r="2254" spans="1:10" x14ac:dyDescent="0.25">
      <c r="A2254" s="169">
        <v>10712</v>
      </c>
      <c r="B2254" s="169" t="s">
        <v>25670</v>
      </c>
      <c r="C2254" s="169" t="s">
        <v>10225</v>
      </c>
      <c r="D2254" s="169" t="s">
        <v>1290</v>
      </c>
      <c r="E2254" s="103" t="s">
        <v>30489</v>
      </c>
      <c r="F2254" s="104"/>
      <c r="G2254" s="105">
        <f t="shared" si="140"/>
        <v>96687.5</v>
      </c>
      <c r="H2254" s="101" t="str">
        <f t="shared" si="141"/>
        <v>Sinapi 10712</v>
      </c>
      <c r="I2254" s="101" t="str">
        <f t="shared" si="142"/>
        <v>UN</v>
      </c>
      <c r="J2254" s="140" t="str">
        <f t="shared" si="143"/>
        <v>GUINDAUTO HIDRAULICO, CAPACIDADE MAXIMA DE CARGA 3300 KG, MOMENTO MAXIMO DE CARGA 5,8 TM , ALCANCE MAXIMO HORIZONTAL 7,60 M, PARA MONTAGEM SOBRE CHASSI DE CAMINHAO PBT MINIMO 8000 KG (INCLUI MONTAGEM, NAO INCLUI CAMINHAO)</v>
      </c>
    </row>
    <row r="2255" spans="1:10" x14ac:dyDescent="0.25">
      <c r="A2255" s="169">
        <v>3363</v>
      </c>
      <c r="B2255" s="169" t="s">
        <v>25671</v>
      </c>
      <c r="C2255" s="169" t="s">
        <v>10225</v>
      </c>
      <c r="D2255" s="169" t="s">
        <v>1290</v>
      </c>
      <c r="E2255" s="103" t="s">
        <v>30490</v>
      </c>
      <c r="F2255" s="104"/>
      <c r="G2255" s="105">
        <f t="shared" si="140"/>
        <v>136000</v>
      </c>
      <c r="H2255" s="101" t="str">
        <f t="shared" si="141"/>
        <v>Sinapi 3363</v>
      </c>
      <c r="I2255" s="101" t="str">
        <f t="shared" si="142"/>
        <v>UN</v>
      </c>
      <c r="J2255" s="140" t="str">
        <f t="shared" si="143"/>
        <v>GUINDAUTO HIDRAULICO, CAPACIDADE MAXIMA DE CARGA 6200 KG, MOMENTO MAXIMO DE CARGA 11,7 TM , ALCANCE MAXIMO HORIZONTAL 9,70 M, PARA MONTAGEM SOBRE CHASSI DE CAMINHAO PBT MINIMO 13000 KG (INCLUI MONTAGEM, NAO INCLUI CAMINHAO)</v>
      </c>
    </row>
    <row r="2256" spans="1:10" x14ac:dyDescent="0.25">
      <c r="A2256" s="169">
        <v>3365</v>
      </c>
      <c r="B2256" s="169" t="s">
        <v>25672</v>
      </c>
      <c r="C2256" s="169" t="s">
        <v>10225</v>
      </c>
      <c r="D2256" s="169" t="s">
        <v>1290</v>
      </c>
      <c r="E2256" s="103" t="s">
        <v>30491</v>
      </c>
      <c r="F2256" s="104"/>
      <c r="G2256" s="105">
        <f t="shared" si="140"/>
        <v>317900</v>
      </c>
      <c r="H2256" s="101" t="str">
        <f t="shared" si="141"/>
        <v>Sinapi 3365</v>
      </c>
      <c r="I2256" s="101" t="str">
        <f t="shared" si="142"/>
        <v>UN</v>
      </c>
      <c r="J2256" s="140" t="str">
        <f t="shared" si="143"/>
        <v>GUINDAUTO HIDRAULICO, CAPACIDADE MAXIMA DE CARGA 8500 KG, MOMENTO MAXIMO DE CARGA 30,4 TM , ALCANCE MAXIMO HORIZONTAL 14,30 M, PARA MONTAGEM SOBRE CHASSI DE CAMINHAO PBT MINIMO 23000 KG (INCLUI MONTAGEM, NAO INCLUI CAMINHAO)</v>
      </c>
    </row>
    <row r="2257" spans="1:10" x14ac:dyDescent="0.25">
      <c r="A2257" s="169">
        <v>7569</v>
      </c>
      <c r="B2257" s="169" t="s">
        <v>25673</v>
      </c>
      <c r="C2257" s="169" t="s">
        <v>10225</v>
      </c>
      <c r="D2257" s="169" t="s">
        <v>1289</v>
      </c>
      <c r="E2257" s="103" t="s">
        <v>19950</v>
      </c>
      <c r="F2257" s="104"/>
      <c r="G2257" s="105">
        <f t="shared" si="140"/>
        <v>52.81</v>
      </c>
      <c r="H2257" s="101" t="str">
        <f t="shared" si="141"/>
        <v>Sinapi 7569</v>
      </c>
      <c r="I2257" s="101" t="str">
        <f t="shared" si="142"/>
        <v>UN</v>
      </c>
      <c r="J2257" s="140" t="str">
        <f t="shared" si="143"/>
        <v>HASTE ANCORA EM ACO GALVANIZADO, DIMENSOES 16 MM X 2000 MM</v>
      </c>
    </row>
    <row r="2258" spans="1:10" x14ac:dyDescent="0.25">
      <c r="A2258" s="169">
        <v>34349</v>
      </c>
      <c r="B2258" s="169" t="s">
        <v>25674</v>
      </c>
      <c r="C2258" s="169" t="s">
        <v>10225</v>
      </c>
      <c r="D2258" s="169" t="s">
        <v>1289</v>
      </c>
      <c r="E2258" s="103" t="s">
        <v>30492</v>
      </c>
      <c r="F2258" s="104"/>
      <c r="G2258" s="105">
        <f t="shared" si="140"/>
        <v>35.64</v>
      </c>
      <c r="H2258" s="101" t="str">
        <f t="shared" si="141"/>
        <v>Sinapi 34349</v>
      </c>
      <c r="I2258" s="101" t="str">
        <f t="shared" si="142"/>
        <v>UN</v>
      </c>
      <c r="J2258" s="140" t="str">
        <f t="shared" si="143"/>
        <v>HASTE DE ACO GALVANIZADO PARA FIXACAO DE CONCERTINA 2 "/3 M</v>
      </c>
    </row>
    <row r="2259" spans="1:10" x14ac:dyDescent="0.25">
      <c r="A2259" s="169">
        <v>3378</v>
      </c>
      <c r="B2259" s="169" t="s">
        <v>25675</v>
      </c>
      <c r="C2259" s="169" t="s">
        <v>10225</v>
      </c>
      <c r="D2259" s="169" t="s">
        <v>1289</v>
      </c>
      <c r="E2259" s="103" t="s">
        <v>30493</v>
      </c>
      <c r="F2259" s="104"/>
      <c r="G2259" s="105">
        <f t="shared" si="140"/>
        <v>85.35</v>
      </c>
      <c r="H2259" s="101" t="str">
        <f t="shared" si="141"/>
        <v>Sinapi 3378</v>
      </c>
      <c r="I2259" s="101" t="str">
        <f t="shared" si="142"/>
        <v>UN</v>
      </c>
      <c r="J2259" s="140" t="str">
        <f t="shared" si="143"/>
        <v>HASTE DE ATERRAMENTO EM ACO COM 3,00 M DE COMPRIMENTO E DN = 3/4", REVESTIDA COM BAIXA CAMADA DE COBRE, SEM CONECTOR</v>
      </c>
    </row>
    <row r="2260" spans="1:10" x14ac:dyDescent="0.25">
      <c r="A2260" s="169">
        <v>3380</v>
      </c>
      <c r="B2260" s="169" t="s">
        <v>25676</v>
      </c>
      <c r="C2260" s="169" t="s">
        <v>10225</v>
      </c>
      <c r="D2260" s="169" t="s">
        <v>1288</v>
      </c>
      <c r="E2260" s="103" t="s">
        <v>25089</v>
      </c>
      <c r="F2260" s="104"/>
      <c r="G2260" s="105">
        <f t="shared" si="140"/>
        <v>59.75</v>
      </c>
      <c r="H2260" s="101" t="str">
        <f t="shared" si="141"/>
        <v>Sinapi 3380</v>
      </c>
      <c r="I2260" s="101" t="str">
        <f t="shared" si="142"/>
        <v>UN</v>
      </c>
      <c r="J2260" s="140" t="str">
        <f t="shared" si="143"/>
        <v>HASTE DE ATERRAMENTO EM ACO COM 3,00 M DE COMPRIMENTO E DN = 5/8", REVESTIDA COM BAIXA CAMADA DE COBRE, COM CONECTOR TIPO GRAMPO</v>
      </c>
    </row>
    <row r="2261" spans="1:10" x14ac:dyDescent="0.25">
      <c r="A2261" s="169">
        <v>3379</v>
      </c>
      <c r="B2261" s="169" t="s">
        <v>25677</v>
      </c>
      <c r="C2261" s="169" t="s">
        <v>10225</v>
      </c>
      <c r="D2261" s="169" t="s">
        <v>1289</v>
      </c>
      <c r="E2261" s="103" t="s">
        <v>30494</v>
      </c>
      <c r="F2261" s="104"/>
      <c r="G2261" s="105">
        <f t="shared" si="140"/>
        <v>57.68</v>
      </c>
      <c r="H2261" s="101" t="str">
        <f t="shared" si="141"/>
        <v>Sinapi 3379</v>
      </c>
      <c r="I2261" s="101" t="str">
        <f t="shared" si="142"/>
        <v>UN</v>
      </c>
      <c r="J2261" s="140" t="str">
        <f t="shared" si="143"/>
        <v>HASTE DE ATERRAMENTO EM ACO COM 3,00 M DE COMPRIMENTO E DN = 5/8", REVESTIDA COM BAIXA CAMADA DE COBRE, SEM CONECTOR</v>
      </c>
    </row>
    <row r="2262" spans="1:10" x14ac:dyDescent="0.25">
      <c r="A2262" s="169">
        <v>11991</v>
      </c>
      <c r="B2262" s="169" t="s">
        <v>25679</v>
      </c>
      <c r="C2262" s="169" t="s">
        <v>10225</v>
      </c>
      <c r="D2262" s="169" t="s">
        <v>1289</v>
      </c>
      <c r="E2262" s="103" t="s">
        <v>30495</v>
      </c>
      <c r="F2262" s="104"/>
      <c r="G2262" s="105">
        <f t="shared" si="140"/>
        <v>66.98</v>
      </c>
      <c r="H2262" s="101" t="str">
        <f t="shared" si="141"/>
        <v>Sinapi 11991</v>
      </c>
      <c r="I2262" s="101" t="str">
        <f t="shared" si="142"/>
        <v>UN</v>
      </c>
      <c r="J2262" s="140" t="str">
        <f t="shared" si="143"/>
        <v>HASTE DE ATERRAMENTO EM ACO GALVANIZADO TIPO CANTONEIRA COM 2,00 M DE COMPRIMENTO, 25 X 25 MM E CHAPA DE 3/16"</v>
      </c>
    </row>
    <row r="2263" spans="1:10" x14ac:dyDescent="0.25">
      <c r="A2263" s="169">
        <v>11029</v>
      </c>
      <c r="B2263" s="169" t="s">
        <v>1169</v>
      </c>
      <c r="C2263" s="169" t="s">
        <v>10227</v>
      </c>
      <c r="D2263" s="169" t="s">
        <v>1289</v>
      </c>
      <c r="E2263" s="103" t="s">
        <v>14790</v>
      </c>
      <c r="F2263" s="104"/>
      <c r="G2263" s="105">
        <f t="shared" si="140"/>
        <v>1.62</v>
      </c>
      <c r="H2263" s="101" t="str">
        <f t="shared" si="141"/>
        <v>Sinapi 11029</v>
      </c>
      <c r="I2263" s="101" t="str">
        <f t="shared" si="142"/>
        <v>CJ</v>
      </c>
      <c r="J2263" s="140" t="str">
        <f t="shared" si="143"/>
        <v>HASTE RETA PARA GANCHO DE FERRO GALVANIZADO, COM ROSCA 1/4 " X 30 CM PARA FIXACAO DE TELHA METALICA, INCLUI PORCA E ARRUELAS DE VEDACAO</v>
      </c>
    </row>
    <row r="2264" spans="1:10" x14ac:dyDescent="0.25">
      <c r="A2264" s="169">
        <v>4316</v>
      </c>
      <c r="B2264" s="169" t="s">
        <v>25681</v>
      </c>
      <c r="C2264" s="169" t="s">
        <v>10225</v>
      </c>
      <c r="D2264" s="169" t="s">
        <v>1289</v>
      </c>
      <c r="E2264" s="103" t="s">
        <v>17969</v>
      </c>
      <c r="F2264" s="104"/>
      <c r="G2264" s="105">
        <f t="shared" si="140"/>
        <v>1.64</v>
      </c>
      <c r="H2264" s="101" t="str">
        <f t="shared" si="141"/>
        <v>Sinapi 4316</v>
      </c>
      <c r="I2264" s="101" t="str">
        <f t="shared" si="142"/>
        <v>UN</v>
      </c>
      <c r="J2264" s="140" t="str">
        <f t="shared" si="143"/>
        <v>HASTE RETA PARA GANCHO DE FERRO GALVANIZADO, COM ROSCA 1/4 " X 40 CM PARA FIXACAO DE TELHA DE FIBROCIMENTO, INCLUI PORCA SEXTAVADA DE ZINCO</v>
      </c>
    </row>
    <row r="2265" spans="1:10" x14ac:dyDescent="0.25">
      <c r="A2265" s="169">
        <v>4313</v>
      </c>
      <c r="B2265" s="169" t="s">
        <v>25682</v>
      </c>
      <c r="C2265" s="169" t="s">
        <v>10227</v>
      </c>
      <c r="D2265" s="169" t="s">
        <v>1289</v>
      </c>
      <c r="E2265" s="103" t="s">
        <v>15577</v>
      </c>
      <c r="F2265" s="104"/>
      <c r="G2265" s="105">
        <f t="shared" si="140"/>
        <v>2.35</v>
      </c>
      <c r="H2265" s="101" t="str">
        <f t="shared" si="141"/>
        <v>Sinapi 4313</v>
      </c>
      <c r="I2265" s="101" t="str">
        <f t="shared" si="142"/>
        <v>CJ</v>
      </c>
      <c r="J2265" s="140" t="str">
        <f t="shared" si="143"/>
        <v>HASTE RETA PARA GANCHO DE FERRO GALVANIZADO, COM ROSCA 5/16" X 35 CM PARA FIXACAO DE TELHA DE FIBROCIMENTO, INCLUI PORCA E ARRUELAS DE VEDACAO</v>
      </c>
    </row>
    <row r="2266" spans="1:10" x14ac:dyDescent="0.25">
      <c r="A2266" s="169">
        <v>4317</v>
      </c>
      <c r="B2266" s="169" t="s">
        <v>25683</v>
      </c>
      <c r="C2266" s="169" t="s">
        <v>10225</v>
      </c>
      <c r="D2266" s="169" t="s">
        <v>1289</v>
      </c>
      <c r="E2266" s="103" t="s">
        <v>13391</v>
      </c>
      <c r="F2266" s="104"/>
      <c r="G2266" s="105">
        <f t="shared" si="140"/>
        <v>2.68</v>
      </c>
      <c r="H2266" s="101" t="str">
        <f t="shared" si="141"/>
        <v>Sinapi 4317</v>
      </c>
      <c r="I2266" s="101" t="str">
        <f t="shared" si="142"/>
        <v>UN</v>
      </c>
      <c r="J2266" s="140" t="str">
        <f t="shared" si="143"/>
        <v>HASTE RETA PARA GANCHO DE FERRO GALVANIZADO, COM ROSCA 5/16" X 40 CM PARA FIXACAO DE TELHA DE FIBROCIMENTO, INCLUI PORCA SEXTAVADA DE ZINCO</v>
      </c>
    </row>
    <row r="2267" spans="1:10" x14ac:dyDescent="0.25">
      <c r="A2267" s="169">
        <v>4314</v>
      </c>
      <c r="B2267" s="169" t="s">
        <v>25684</v>
      </c>
      <c r="C2267" s="169" t="s">
        <v>10227</v>
      </c>
      <c r="D2267" s="169" t="s">
        <v>1289</v>
      </c>
      <c r="E2267" s="103" t="s">
        <v>30496</v>
      </c>
      <c r="F2267" s="104"/>
      <c r="G2267" s="105">
        <f t="shared" si="140"/>
        <v>3.13</v>
      </c>
      <c r="H2267" s="101" t="str">
        <f t="shared" si="141"/>
        <v>Sinapi 4314</v>
      </c>
      <c r="I2267" s="101" t="str">
        <f t="shared" si="142"/>
        <v>CJ</v>
      </c>
      <c r="J2267" s="140" t="str">
        <f t="shared" si="143"/>
        <v>HASTE RETA PARA GANCHO DE FERRO GALVANIZADO, COM ROSCA 5/16" X 45 CM PARA FIXACAO DE TELHA DE FIBROCIMENTO, INCLUI PORCA E ARRUELAS DE VEDACAO</v>
      </c>
    </row>
    <row r="2268" spans="1:10" x14ac:dyDescent="0.25">
      <c r="A2268" s="169">
        <v>10921</v>
      </c>
      <c r="B2268" s="169" t="s">
        <v>25685</v>
      </c>
      <c r="C2268" s="169" t="s">
        <v>10225</v>
      </c>
      <c r="D2268" s="169" t="s">
        <v>1290</v>
      </c>
      <c r="E2268" s="103" t="s">
        <v>25686</v>
      </c>
      <c r="F2268" s="104"/>
      <c r="G2268" s="105">
        <f t="shared" si="140"/>
        <v>5920</v>
      </c>
      <c r="H2268" s="101" t="str">
        <f t="shared" si="141"/>
        <v>Sinapi 10921</v>
      </c>
      <c r="I2268" s="101" t="str">
        <f t="shared" si="142"/>
        <v>UN</v>
      </c>
      <c r="J2268" s="140" t="str">
        <f t="shared" si="143"/>
        <v>HIDRANTE DE COLUNA COMPLETO, EM FERRO FUNDIDO, DN = 100 MM, COM REGISTRO, CUNHA DE BORRACHA, CURVA DESSIMETRICA, EXTREMIDADE E TAMPAS (INCLUI KIT FIXACAO)</v>
      </c>
    </row>
    <row r="2269" spans="1:10" x14ac:dyDescent="0.25">
      <c r="A2269" s="169">
        <v>10922</v>
      </c>
      <c r="B2269" s="169" t="s">
        <v>25687</v>
      </c>
      <c r="C2269" s="169" t="s">
        <v>10225</v>
      </c>
      <c r="D2269" s="169" t="s">
        <v>1290</v>
      </c>
      <c r="E2269" s="103" t="s">
        <v>25688</v>
      </c>
      <c r="F2269" s="104"/>
      <c r="G2269" s="105">
        <f t="shared" si="140"/>
        <v>5362.18</v>
      </c>
      <c r="H2269" s="101" t="str">
        <f t="shared" si="141"/>
        <v>Sinapi 10922</v>
      </c>
      <c r="I2269" s="101" t="str">
        <f t="shared" si="142"/>
        <v>UN</v>
      </c>
      <c r="J2269" s="140" t="str">
        <f t="shared" si="143"/>
        <v>HIDRANTE DE COLUNA COMPLETO, EM FERRO FUNDIDO, DN = 75 MM, COM REGISTRO, CUNHA DE BORRACHA, CURVA DESSIMETRICA, EXTREMIDADE E TAMPAS (INCLUI KIT FIXACAO)</v>
      </c>
    </row>
    <row r="2270" spans="1:10" x14ac:dyDescent="0.25">
      <c r="A2270" s="169">
        <v>10923</v>
      </c>
      <c r="B2270" s="169" t="s">
        <v>25689</v>
      </c>
      <c r="C2270" s="169" t="s">
        <v>10225</v>
      </c>
      <c r="D2270" s="169" t="s">
        <v>1290</v>
      </c>
      <c r="E2270" s="103" t="s">
        <v>25690</v>
      </c>
      <c r="F2270" s="104"/>
      <c r="G2270" s="105">
        <f t="shared" si="140"/>
        <v>3169.28</v>
      </c>
      <c r="H2270" s="101" t="str">
        <f t="shared" si="141"/>
        <v>Sinapi 10923</v>
      </c>
      <c r="I2270" s="101" t="str">
        <f t="shared" si="142"/>
        <v>UN</v>
      </c>
      <c r="J2270" s="140" t="str">
        <f t="shared" si="143"/>
        <v>HIDRANTE SUBTERRANEO, EM FERRO FUNDIDO, COM CURVA CURTA E CAIXA, DN 75 MM</v>
      </c>
    </row>
    <row r="2271" spans="1:10" x14ac:dyDescent="0.25">
      <c r="A2271" s="169">
        <v>10924</v>
      </c>
      <c r="B2271" s="169" t="s">
        <v>25691</v>
      </c>
      <c r="C2271" s="169" t="s">
        <v>10225</v>
      </c>
      <c r="D2271" s="169" t="s">
        <v>1290</v>
      </c>
      <c r="E2271" s="103" t="s">
        <v>25692</v>
      </c>
      <c r="F2271" s="104"/>
      <c r="G2271" s="105">
        <f t="shared" si="140"/>
        <v>3337.87</v>
      </c>
      <c r="H2271" s="101" t="str">
        <f t="shared" si="141"/>
        <v>Sinapi 10924</v>
      </c>
      <c r="I2271" s="101" t="str">
        <f t="shared" si="142"/>
        <v>UN</v>
      </c>
      <c r="J2271" s="140" t="str">
        <f t="shared" si="143"/>
        <v>HIDRANTE SUBTERRANEO, EM FERRO FUNDIDO, COM CURVA LONGA E CAIXA, DN 75 MM</v>
      </c>
    </row>
    <row r="2272" spans="1:10" x14ac:dyDescent="0.25">
      <c r="A2272" s="169">
        <v>37772</v>
      </c>
      <c r="B2272" s="169" t="s">
        <v>25693</v>
      </c>
      <c r="C2272" s="169" t="s">
        <v>10225</v>
      </c>
      <c r="D2272" s="169" t="s">
        <v>1290</v>
      </c>
      <c r="E2272" s="103" t="s">
        <v>19843</v>
      </c>
      <c r="F2272" s="104"/>
      <c r="G2272" s="105">
        <f t="shared" si="140"/>
        <v>273236.33</v>
      </c>
      <c r="H2272" s="101" t="str">
        <f t="shared" si="141"/>
        <v>Sinapi 37772</v>
      </c>
      <c r="I2272" s="101" t="str">
        <f t="shared" si="142"/>
        <v>UN</v>
      </c>
      <c r="J2272" s="140" t="str">
        <f t="shared" si="143"/>
        <v>HIDROJATEADORA PARA DESOBSTRUCAO DE REDES E GALERIAS, TANQUE 7000 L, BOMBA TRIPLEX 120 KGF/CM2 128 L/MIN (INCLUI MONTAGEM, NAO INCLUI CAMINHAO)</v>
      </c>
    </row>
    <row r="2273" spans="1:10" x14ac:dyDescent="0.25">
      <c r="A2273" s="169">
        <v>37771</v>
      </c>
      <c r="B2273" s="169" t="s">
        <v>25694</v>
      </c>
      <c r="C2273" s="169" t="s">
        <v>10225</v>
      </c>
      <c r="D2273" s="169" t="s">
        <v>1290</v>
      </c>
      <c r="E2273" s="103" t="s">
        <v>19844</v>
      </c>
      <c r="F2273" s="104"/>
      <c r="G2273" s="105">
        <f t="shared" si="140"/>
        <v>290679.93</v>
      </c>
      <c r="H2273" s="101" t="str">
        <f t="shared" si="141"/>
        <v>Sinapi 37771</v>
      </c>
      <c r="I2273" s="101" t="str">
        <f t="shared" si="142"/>
        <v>UN</v>
      </c>
      <c r="J2273" s="140" t="str">
        <f t="shared" si="143"/>
        <v>HIDROJATEADORA PARA DESOBSTRUCAO DE REDES E GALERIAS, TANQUE 7000 L, BOMBA TRIPLEX 140 KGF/CM2 260 L/MIN ALIMENTADA POR MOTOR INDEPENDENTE A DIESEL POTENCIA 125 CV (INCLUI MONTAGEM, NAO INCLUI CAMINHAO)</v>
      </c>
    </row>
    <row r="2274" spans="1:10" x14ac:dyDescent="0.25">
      <c r="A2274" s="169">
        <v>12772</v>
      </c>
      <c r="B2274" s="169" t="s">
        <v>25695</v>
      </c>
      <c r="C2274" s="169" t="s">
        <v>10225</v>
      </c>
      <c r="D2274" s="169" t="s">
        <v>1290</v>
      </c>
      <c r="E2274" s="103" t="s">
        <v>30497</v>
      </c>
      <c r="F2274" s="104"/>
      <c r="G2274" s="105">
        <f t="shared" si="140"/>
        <v>799.97</v>
      </c>
      <c r="H2274" s="101" t="str">
        <f t="shared" si="141"/>
        <v>Sinapi 12772</v>
      </c>
      <c r="I2274" s="101" t="str">
        <f t="shared" si="142"/>
        <v>UN</v>
      </c>
      <c r="J2274" s="140" t="str">
        <f t="shared" si="143"/>
        <v>HIDROMETRO MULTIJATO / MEDIDOR DE AGUA, DN 1 1/2", VAZAO MAXIMA DE 20 M3/H, PARA AGUA POTAVEL FRIA, RELOJOARIA PLANA, CLASSE B, HORIZONTAL (SEM CONEXOES)</v>
      </c>
    </row>
    <row r="2275" spans="1:10" x14ac:dyDescent="0.25">
      <c r="A2275" s="169">
        <v>12770</v>
      </c>
      <c r="B2275" s="169" t="s">
        <v>25696</v>
      </c>
      <c r="C2275" s="169" t="s">
        <v>10225</v>
      </c>
      <c r="D2275" s="169" t="s">
        <v>1290</v>
      </c>
      <c r="E2275" s="103" t="s">
        <v>30498</v>
      </c>
      <c r="F2275" s="104"/>
      <c r="G2275" s="105">
        <f t="shared" si="140"/>
        <v>481.33</v>
      </c>
      <c r="H2275" s="101" t="str">
        <f t="shared" si="141"/>
        <v>Sinapi 12770</v>
      </c>
      <c r="I2275" s="101" t="str">
        <f t="shared" si="142"/>
        <v>UN</v>
      </c>
      <c r="J2275" s="140" t="str">
        <f t="shared" si="143"/>
        <v>HIDROMETRO MULTIJATO / MEDIDOR DE AGUA, DN 1", VAZAO MAXIMA DE 10 M3/H, PARA AGUA POTAVEL FRIA, RELOJOARIA PLANA, CLASSE B, HORIZONTAL (SEM CONEXOES)</v>
      </c>
    </row>
    <row r="2276" spans="1:10" x14ac:dyDescent="0.25">
      <c r="A2276" s="169">
        <v>12775</v>
      </c>
      <c r="B2276" s="169" t="s">
        <v>25697</v>
      </c>
      <c r="C2276" s="169" t="s">
        <v>10225</v>
      </c>
      <c r="D2276" s="169" t="s">
        <v>1290</v>
      </c>
      <c r="E2276" s="103" t="s">
        <v>30499</v>
      </c>
      <c r="F2276" s="104"/>
      <c r="G2276" s="105">
        <f t="shared" si="140"/>
        <v>352.52</v>
      </c>
      <c r="H2276" s="101" t="str">
        <f t="shared" si="141"/>
        <v>Sinapi 12775</v>
      </c>
      <c r="I2276" s="101" t="str">
        <f t="shared" si="142"/>
        <v>UN</v>
      </c>
      <c r="J2276" s="140" t="str">
        <f t="shared" si="143"/>
        <v>HIDROMETRO MULTIJATO / MEDIDOR DE AGUA, DN 1", VAZAO MAXIMA DE 7 M3/H, PARA AGUA POTAVEL FRIA, RELOJOARIA PLANA, CLASSE B, HORIZONTAL (SEM CONEXOES)</v>
      </c>
    </row>
    <row r="2277" spans="1:10" x14ac:dyDescent="0.25">
      <c r="A2277" s="169">
        <v>12768</v>
      </c>
      <c r="B2277" s="169" t="s">
        <v>25698</v>
      </c>
      <c r="C2277" s="169" t="s">
        <v>10225</v>
      </c>
      <c r="D2277" s="169" t="s">
        <v>1290</v>
      </c>
      <c r="E2277" s="103" t="s">
        <v>30500</v>
      </c>
      <c r="F2277" s="104"/>
      <c r="G2277" s="105">
        <f t="shared" si="140"/>
        <v>1125.3800000000001</v>
      </c>
      <c r="H2277" s="101" t="str">
        <f t="shared" si="141"/>
        <v>Sinapi 12768</v>
      </c>
      <c r="I2277" s="101" t="str">
        <f t="shared" si="142"/>
        <v>UN</v>
      </c>
      <c r="J2277" s="140" t="str">
        <f t="shared" si="143"/>
        <v>HIDROMETRO MULTIJATO / MEDIDOR DE AGUA, DN 2", VAZAO MAXIMA DE 30 M3/H, PARA AGUA POTAVEL FRIA, RELOJOARIA PLANA, CLASSE B, HORIZONTAL (SEM CONEXOES)</v>
      </c>
    </row>
    <row r="2278" spans="1:10" x14ac:dyDescent="0.25">
      <c r="A2278" s="169">
        <v>12769</v>
      </c>
      <c r="B2278" s="169" t="s">
        <v>25699</v>
      </c>
      <c r="C2278" s="169" t="s">
        <v>10225</v>
      </c>
      <c r="D2278" s="169" t="s">
        <v>1290</v>
      </c>
      <c r="E2278" s="103" t="s">
        <v>30501</v>
      </c>
      <c r="F2278" s="104"/>
      <c r="G2278" s="105">
        <f t="shared" si="140"/>
        <v>92.2</v>
      </c>
      <c r="H2278" s="101" t="str">
        <f t="shared" si="141"/>
        <v>Sinapi 12769</v>
      </c>
      <c r="I2278" s="101" t="str">
        <f t="shared" si="142"/>
        <v>UN</v>
      </c>
      <c r="J2278" s="140" t="str">
        <f t="shared" si="143"/>
        <v>HIDROMETRO UNIJATO / MEDIDOR DE AGUA, DN 1/2", VAZAO MAXIMA DE 1,5 M3/H, PARA AGUA POTAVEL FRIA, RELOJOARIA PLANA, CLASSE B, HORIZONTAL (SEM CONEXOES)</v>
      </c>
    </row>
    <row r="2279" spans="1:10" x14ac:dyDescent="0.25">
      <c r="A2279" s="169">
        <v>12773</v>
      </c>
      <c r="B2279" s="169" t="s">
        <v>25701</v>
      </c>
      <c r="C2279" s="169" t="s">
        <v>10225</v>
      </c>
      <c r="D2279" s="169" t="s">
        <v>1290</v>
      </c>
      <c r="E2279" s="103" t="s">
        <v>30502</v>
      </c>
      <c r="F2279" s="104"/>
      <c r="G2279" s="105">
        <f t="shared" si="140"/>
        <v>98.97</v>
      </c>
      <c r="H2279" s="101" t="str">
        <f t="shared" si="141"/>
        <v>Sinapi 12773</v>
      </c>
      <c r="I2279" s="101" t="str">
        <f t="shared" si="142"/>
        <v>UN</v>
      </c>
      <c r="J2279" s="140" t="str">
        <f t="shared" si="143"/>
        <v>HIDROMETRO UNIJATO / MEDIDOR DE AGUA, DN 1/2", VAZAO MAXIMA DE 3 M3/H, PARA AGUA POTAVEL FRIA, RELOJOARIA PLANA, CLASSE B, HORIZONTAL (SEM CONEXOES)</v>
      </c>
    </row>
    <row r="2280" spans="1:10" x14ac:dyDescent="0.25">
      <c r="A2280" s="169">
        <v>12774</v>
      </c>
      <c r="B2280" s="169" t="s">
        <v>25702</v>
      </c>
      <c r="C2280" s="169" t="s">
        <v>10225</v>
      </c>
      <c r="D2280" s="169" t="s">
        <v>1290</v>
      </c>
      <c r="E2280" s="103" t="s">
        <v>30503</v>
      </c>
      <c r="F2280" s="104"/>
      <c r="G2280" s="105">
        <f t="shared" si="140"/>
        <v>122.02</v>
      </c>
      <c r="H2280" s="101" t="str">
        <f t="shared" si="141"/>
        <v>Sinapi 12774</v>
      </c>
      <c r="I2280" s="101" t="str">
        <f t="shared" si="142"/>
        <v>UN</v>
      </c>
      <c r="J2280" s="140" t="str">
        <f t="shared" si="143"/>
        <v>HIDROMETRO UNIJATO / MEDIDOR DE AGUA, DN 3/4", VAZAO MAXIMA DE 5 M3/H, PARA AGUA POTAVEL FRIA, RELOJOARIA PLANA, CLASSE B, HORIZONTAL (SEM CONEXOES)0,</v>
      </c>
    </row>
    <row r="2281" spans="1:10" x14ac:dyDescent="0.25">
      <c r="A2281" s="169">
        <v>12776</v>
      </c>
      <c r="B2281" s="169" t="s">
        <v>25703</v>
      </c>
      <c r="C2281" s="169" t="s">
        <v>10225</v>
      </c>
      <c r="D2281" s="169" t="s">
        <v>1290</v>
      </c>
      <c r="E2281" s="103" t="s">
        <v>30504</v>
      </c>
      <c r="F2281" s="104"/>
      <c r="G2281" s="105">
        <f t="shared" si="140"/>
        <v>1816.88</v>
      </c>
      <c r="H2281" s="101" t="str">
        <f t="shared" si="141"/>
        <v>Sinapi 12776</v>
      </c>
      <c r="I2281" s="101" t="str">
        <f t="shared" si="142"/>
        <v>UN</v>
      </c>
      <c r="J2281" s="140" t="str">
        <f t="shared" si="143"/>
        <v>HIDROMETRO WOLTMANN, DN 2", VAZAO MAXIMA DE 50 M3/H, PARA AGUA POTAVEL FRIA, RELOJOARIA PLANA, TURBINA HORIZONTAL, EQUIPADO COM TELIMETRIA (SEM CONEXOES)</v>
      </c>
    </row>
    <row r="2282" spans="1:10" x14ac:dyDescent="0.25">
      <c r="A2282" s="169">
        <v>12777</v>
      </c>
      <c r="B2282" s="169" t="s">
        <v>25704</v>
      </c>
      <c r="C2282" s="169" t="s">
        <v>10225</v>
      </c>
      <c r="D2282" s="169" t="s">
        <v>1290</v>
      </c>
      <c r="E2282" s="103" t="s">
        <v>30505</v>
      </c>
      <c r="F2282" s="104"/>
      <c r="G2282" s="105">
        <f t="shared" si="140"/>
        <v>2372.79</v>
      </c>
      <c r="H2282" s="101" t="str">
        <f t="shared" si="141"/>
        <v>Sinapi 12777</v>
      </c>
      <c r="I2282" s="101" t="str">
        <f t="shared" si="142"/>
        <v>UN</v>
      </c>
      <c r="J2282" s="140" t="str">
        <f t="shared" si="143"/>
        <v>HIDROMETRO WOLTMANN, DN 3", VAZAO MAXIMA DE 80 M3/H, PARA AGUA POTAVEL FRIA, RELOJOARIA PLANA, TURBINA HORIZONTAL, EQUIPADO COM TELIMETRIA (SEM CONEXOES)</v>
      </c>
    </row>
    <row r="2283" spans="1:10" x14ac:dyDescent="0.25">
      <c r="A2283" s="169">
        <v>3391</v>
      </c>
      <c r="B2283" s="169" t="s">
        <v>25705</v>
      </c>
      <c r="C2283" s="169" t="s">
        <v>10225</v>
      </c>
      <c r="D2283" s="169" t="s">
        <v>1290</v>
      </c>
      <c r="E2283" s="103" t="s">
        <v>21341</v>
      </c>
      <c r="F2283" s="104"/>
      <c r="G2283" s="105">
        <f t="shared" si="140"/>
        <v>53.01</v>
      </c>
      <c r="H2283" s="101" t="str">
        <f t="shared" si="141"/>
        <v>Sinapi 3391</v>
      </c>
      <c r="I2283" s="101" t="str">
        <f t="shared" si="142"/>
        <v>UN</v>
      </c>
      <c r="J2283" s="140" t="str">
        <f t="shared" si="143"/>
        <v>IGNITOR PARA LAMPADA DE VAPOR DE SODIO / VAPOR METALICO ATE 2000 W, TENSAO DE PULSO ENTRE 600 A 750 V</v>
      </c>
    </row>
    <row r="2284" spans="1:10" x14ac:dyDescent="0.25">
      <c r="A2284" s="169">
        <v>3389</v>
      </c>
      <c r="B2284" s="169" t="s">
        <v>25706</v>
      </c>
      <c r="C2284" s="169" t="s">
        <v>10225</v>
      </c>
      <c r="D2284" s="169" t="s">
        <v>1290</v>
      </c>
      <c r="E2284" s="103" t="s">
        <v>20098</v>
      </c>
      <c r="F2284" s="104"/>
      <c r="G2284" s="105">
        <f t="shared" si="140"/>
        <v>27.5</v>
      </c>
      <c r="H2284" s="101" t="str">
        <f t="shared" si="141"/>
        <v>Sinapi 3389</v>
      </c>
      <c r="I2284" s="101" t="str">
        <f t="shared" si="142"/>
        <v>UN</v>
      </c>
      <c r="J2284" s="140" t="str">
        <f t="shared" si="143"/>
        <v>IGNITOR PARA LAMPADA DE VAPOR DE SODIO / VAPOR METALICO ATE 400 W, TENSAO DE PULSO ENTRE 3000 A 4500 V</v>
      </c>
    </row>
    <row r="2285" spans="1:10" x14ac:dyDescent="0.25">
      <c r="A2285" s="169">
        <v>3390</v>
      </c>
      <c r="B2285" s="169" t="s">
        <v>25707</v>
      </c>
      <c r="C2285" s="169" t="s">
        <v>10225</v>
      </c>
      <c r="D2285" s="169" t="s">
        <v>1290</v>
      </c>
      <c r="E2285" s="103" t="s">
        <v>22050</v>
      </c>
      <c r="F2285" s="104"/>
      <c r="G2285" s="105">
        <f t="shared" si="140"/>
        <v>30.95</v>
      </c>
      <c r="H2285" s="101" t="str">
        <f t="shared" si="141"/>
        <v>Sinapi 3390</v>
      </c>
      <c r="I2285" s="101" t="str">
        <f t="shared" si="142"/>
        <v>UN</v>
      </c>
      <c r="J2285" s="140" t="str">
        <f t="shared" si="143"/>
        <v>IGNITOR PARA LAMPADA DE VAPOR DE SODIO / VAPOR METALICO ATE 400 W, TENSAO DE PULSO ENTRE 580 A 750 V</v>
      </c>
    </row>
    <row r="2286" spans="1:10" x14ac:dyDescent="0.25">
      <c r="A2286" s="169">
        <v>12873</v>
      </c>
      <c r="B2286" s="169" t="s">
        <v>25708</v>
      </c>
      <c r="C2286" s="169" t="s">
        <v>10228</v>
      </c>
      <c r="D2286" s="169" t="s">
        <v>1289</v>
      </c>
      <c r="E2286" s="103" t="s">
        <v>15669</v>
      </c>
      <c r="F2286" s="104"/>
      <c r="G2286" s="105">
        <f t="shared" si="140"/>
        <v>17.79</v>
      </c>
      <c r="H2286" s="101" t="str">
        <f t="shared" si="141"/>
        <v>Sinapi 12873</v>
      </c>
      <c r="I2286" s="101" t="str">
        <f t="shared" si="142"/>
        <v>H</v>
      </c>
      <c r="J2286" s="140" t="str">
        <f t="shared" si="143"/>
        <v>IMPERMEABILIZADOR (HORISTA)</v>
      </c>
    </row>
    <row r="2287" spans="1:10" x14ac:dyDescent="0.25">
      <c r="A2287" s="169">
        <v>41076</v>
      </c>
      <c r="B2287" s="169" t="s">
        <v>25709</v>
      </c>
      <c r="C2287" s="169" t="s">
        <v>10235</v>
      </c>
      <c r="D2287" s="169" t="s">
        <v>1289</v>
      </c>
      <c r="E2287" s="103" t="s">
        <v>30506</v>
      </c>
      <c r="F2287" s="104"/>
      <c r="G2287" s="105">
        <f t="shared" si="140"/>
        <v>3095.78</v>
      </c>
      <c r="H2287" s="101" t="str">
        <f t="shared" si="141"/>
        <v>Sinapi 41076</v>
      </c>
      <c r="I2287" s="101" t="str">
        <f t="shared" si="142"/>
        <v>MES</v>
      </c>
      <c r="J2287" s="140" t="str">
        <f t="shared" si="143"/>
        <v>IMPERMEABILIZADOR (MENSALISTA)</v>
      </c>
    </row>
    <row r="2288" spans="1:10" x14ac:dyDescent="0.25">
      <c r="A2288" s="169">
        <v>140</v>
      </c>
      <c r="B2288" s="169" t="s">
        <v>25710</v>
      </c>
      <c r="C2288" s="169" t="s">
        <v>10231</v>
      </c>
      <c r="D2288" s="169" t="s">
        <v>1289</v>
      </c>
      <c r="E2288" s="103" t="s">
        <v>15556</v>
      </c>
      <c r="F2288" s="104"/>
      <c r="G2288" s="105">
        <f t="shared" si="140"/>
        <v>22.64</v>
      </c>
      <c r="H2288" s="101" t="str">
        <f t="shared" si="141"/>
        <v>Sinapi 140</v>
      </c>
      <c r="I2288" s="101" t="str">
        <f t="shared" si="142"/>
        <v>KG</v>
      </c>
      <c r="J2288" s="140" t="str">
        <f t="shared" si="143"/>
        <v>IMPERMEABILIZANTE FLEXIVEL BRANCO DE BASE ACRILICA PARA COBERTURAS</v>
      </c>
    </row>
    <row r="2289" spans="1:10" x14ac:dyDescent="0.25">
      <c r="A2289" s="169">
        <v>151</v>
      </c>
      <c r="B2289" s="169" t="s">
        <v>25711</v>
      </c>
      <c r="C2289" s="169" t="s">
        <v>10230</v>
      </c>
      <c r="D2289" s="169" t="s">
        <v>1289</v>
      </c>
      <c r="E2289" s="103" t="s">
        <v>18711</v>
      </c>
      <c r="F2289" s="104"/>
      <c r="G2289" s="105">
        <f t="shared" si="140"/>
        <v>33.409999999999997</v>
      </c>
      <c r="H2289" s="101" t="str">
        <f t="shared" si="141"/>
        <v>Sinapi 151</v>
      </c>
      <c r="I2289" s="101" t="str">
        <f t="shared" si="142"/>
        <v>L</v>
      </c>
      <c r="J2289" s="140" t="str">
        <f t="shared" si="143"/>
        <v>IMPERMEABILIZANTE INCOLOR, BASE SILICONE, PARA TRATAMENTO DE FACHADAS, TELHAS, PEDRAS E OUTRAS SUPERFICIES</v>
      </c>
    </row>
    <row r="2290" spans="1:10" x14ac:dyDescent="0.25">
      <c r="A2290" s="169">
        <v>7340</v>
      </c>
      <c r="B2290" s="169" t="s">
        <v>25712</v>
      </c>
      <c r="C2290" s="169" t="s">
        <v>10230</v>
      </c>
      <c r="D2290" s="169" t="s">
        <v>1289</v>
      </c>
      <c r="E2290" s="103" t="s">
        <v>23257</v>
      </c>
      <c r="F2290" s="104"/>
      <c r="G2290" s="105">
        <f t="shared" si="140"/>
        <v>33.380000000000003</v>
      </c>
      <c r="H2290" s="101" t="str">
        <f t="shared" si="141"/>
        <v>Sinapi 7340</v>
      </c>
      <c r="I2290" s="101" t="str">
        <f t="shared" si="142"/>
        <v>L</v>
      </c>
      <c r="J2290" s="140" t="str">
        <f t="shared" si="143"/>
        <v>IMUNIZANTE PARA MADEIRA, INCOLOR</v>
      </c>
    </row>
    <row r="2291" spans="1:10" x14ac:dyDescent="0.25">
      <c r="A2291" s="169">
        <v>2701</v>
      </c>
      <c r="B2291" s="169" t="s">
        <v>25714</v>
      </c>
      <c r="C2291" s="169" t="s">
        <v>10228</v>
      </c>
      <c r="D2291" s="169" t="s">
        <v>1289</v>
      </c>
      <c r="E2291" s="103" t="s">
        <v>23170</v>
      </c>
      <c r="F2291" s="104"/>
      <c r="G2291" s="105">
        <f t="shared" si="140"/>
        <v>18.989999999999998</v>
      </c>
      <c r="H2291" s="101" t="str">
        <f t="shared" si="141"/>
        <v>Sinapi 2701</v>
      </c>
      <c r="I2291" s="101" t="str">
        <f t="shared" si="142"/>
        <v>H</v>
      </c>
      <c r="J2291" s="140" t="str">
        <f t="shared" si="143"/>
        <v>INSTALADOR DE TUBULACOES (TUBOS/EQUIPAMENTOS)</v>
      </c>
    </row>
    <row r="2292" spans="1:10" x14ac:dyDescent="0.25">
      <c r="A2292" s="169">
        <v>40929</v>
      </c>
      <c r="B2292" s="169" t="s">
        <v>25715</v>
      </c>
      <c r="C2292" s="169" t="s">
        <v>10235</v>
      </c>
      <c r="D2292" s="169" t="s">
        <v>1289</v>
      </c>
      <c r="E2292" s="103" t="s">
        <v>30507</v>
      </c>
      <c r="F2292" s="104"/>
      <c r="G2292" s="105">
        <f t="shared" si="140"/>
        <v>3307.03</v>
      </c>
      <c r="H2292" s="101" t="str">
        <f t="shared" si="141"/>
        <v>Sinapi 40929</v>
      </c>
      <c r="I2292" s="101" t="str">
        <f t="shared" si="142"/>
        <v>MES</v>
      </c>
      <c r="J2292" s="140" t="str">
        <f t="shared" si="143"/>
        <v>INSTALADOR DE TUBULACOES (TUBOS/EQUIPAMENTOS) (MENSALISTA)</v>
      </c>
    </row>
    <row r="2293" spans="1:10" x14ac:dyDescent="0.25">
      <c r="A2293" s="169">
        <v>38114</v>
      </c>
      <c r="B2293" s="169" t="s">
        <v>25716</v>
      </c>
      <c r="C2293" s="169" t="s">
        <v>10225</v>
      </c>
      <c r="D2293" s="169" t="s">
        <v>1289</v>
      </c>
      <c r="E2293" s="103" t="s">
        <v>20486</v>
      </c>
      <c r="F2293" s="104"/>
      <c r="G2293" s="105">
        <f t="shared" si="140"/>
        <v>23.21</v>
      </c>
      <c r="H2293" s="101" t="str">
        <f t="shared" si="141"/>
        <v>Sinapi 38114</v>
      </c>
      <c r="I2293" s="101" t="str">
        <f t="shared" si="142"/>
        <v>UN</v>
      </c>
      <c r="J2293" s="140" t="str">
        <f t="shared" si="143"/>
        <v>INTERRUPTOR BIPOLAR SIMPLES 10 A, 250 V (APENAS MODULO)</v>
      </c>
    </row>
    <row r="2294" spans="1:10" x14ac:dyDescent="0.25">
      <c r="A2294" s="169">
        <v>38064</v>
      </c>
      <c r="B2294" s="169" t="s">
        <v>25717</v>
      </c>
      <c r="C2294" s="169" t="s">
        <v>10225</v>
      </c>
      <c r="D2294" s="169" t="s">
        <v>1289</v>
      </c>
      <c r="E2294" s="103" t="s">
        <v>29263</v>
      </c>
      <c r="F2294" s="104"/>
      <c r="G2294" s="105">
        <f t="shared" si="140"/>
        <v>25.95</v>
      </c>
      <c r="H2294" s="101" t="str">
        <f t="shared" si="141"/>
        <v>Sinapi 38064</v>
      </c>
      <c r="I2294" s="101" t="str">
        <f t="shared" si="142"/>
        <v>UN</v>
      </c>
      <c r="J2294" s="140" t="str">
        <f t="shared" si="143"/>
        <v>INTERRUPTOR BIPOLAR 10A, 250V, CONJUNTO MONTADO PARA EMBUTIR 4" X 2" (PLACA + SUPORTE + MODULO)</v>
      </c>
    </row>
    <row r="2295" spans="1:10" x14ac:dyDescent="0.25">
      <c r="A2295" s="169">
        <v>38115</v>
      </c>
      <c r="B2295" s="169" t="s">
        <v>25718</v>
      </c>
      <c r="C2295" s="169" t="s">
        <v>10225</v>
      </c>
      <c r="D2295" s="169" t="s">
        <v>1289</v>
      </c>
      <c r="E2295" s="103" t="s">
        <v>27123</v>
      </c>
      <c r="F2295" s="104"/>
      <c r="G2295" s="105">
        <f t="shared" si="140"/>
        <v>24.78</v>
      </c>
      <c r="H2295" s="101" t="str">
        <f t="shared" si="141"/>
        <v>Sinapi 38115</v>
      </c>
      <c r="I2295" s="101" t="str">
        <f t="shared" si="142"/>
        <v>UN</v>
      </c>
      <c r="J2295" s="140" t="str">
        <f t="shared" si="143"/>
        <v>INTERRUPTOR INTERMEDIARIO 10 A, 250 V (APENAS MODULO)</v>
      </c>
    </row>
    <row r="2296" spans="1:10" x14ac:dyDescent="0.25">
      <c r="A2296" s="169">
        <v>38065</v>
      </c>
      <c r="B2296" s="169" t="s">
        <v>25719</v>
      </c>
      <c r="C2296" s="169" t="s">
        <v>10225</v>
      </c>
      <c r="D2296" s="169" t="s">
        <v>1289</v>
      </c>
      <c r="E2296" s="103" t="s">
        <v>30508</v>
      </c>
      <c r="F2296" s="104"/>
      <c r="G2296" s="105">
        <f t="shared" si="140"/>
        <v>36.82</v>
      </c>
      <c r="H2296" s="101" t="str">
        <f t="shared" si="141"/>
        <v>Sinapi 38065</v>
      </c>
      <c r="I2296" s="101" t="str">
        <f t="shared" si="142"/>
        <v>UN</v>
      </c>
      <c r="J2296" s="140" t="str">
        <f t="shared" si="143"/>
        <v>INTERRUPTOR INTERMEDIARIO 10A, 250V, CONJUNTO MONTADO PARA EMBUTIR 4" X 2" (PLACA + SUPORTE + MODULO)</v>
      </c>
    </row>
    <row r="2297" spans="1:10" x14ac:dyDescent="0.25">
      <c r="A2297" s="169">
        <v>38078</v>
      </c>
      <c r="B2297" s="169" t="s">
        <v>25721</v>
      </c>
      <c r="C2297" s="169" t="s">
        <v>10225</v>
      </c>
      <c r="D2297" s="169" t="s">
        <v>1289</v>
      </c>
      <c r="E2297" s="103" t="s">
        <v>30509</v>
      </c>
      <c r="F2297" s="104"/>
      <c r="G2297" s="105">
        <f t="shared" si="140"/>
        <v>21.48</v>
      </c>
      <c r="H2297" s="101" t="str">
        <f t="shared" si="141"/>
        <v>Sinapi 38078</v>
      </c>
      <c r="I2297" s="101" t="str">
        <f t="shared" si="142"/>
        <v>UN</v>
      </c>
      <c r="J2297" s="140" t="str">
        <f t="shared" si="143"/>
        <v>INTERRUPTOR PARALELO + TOMADA 2P+T 10A, 250V, CONJUNTO MONTADO PARA EMBUTIR 4" X 2" (PLACA + SUPORTE + MODULOS)</v>
      </c>
    </row>
    <row r="2298" spans="1:10" x14ac:dyDescent="0.25">
      <c r="A2298" s="169">
        <v>38113</v>
      </c>
      <c r="B2298" s="169" t="s">
        <v>25722</v>
      </c>
      <c r="C2298" s="169" t="s">
        <v>10225</v>
      </c>
      <c r="D2298" s="169" t="s">
        <v>1289</v>
      </c>
      <c r="E2298" s="103" t="s">
        <v>12332</v>
      </c>
      <c r="F2298" s="104"/>
      <c r="G2298" s="105">
        <f t="shared" si="140"/>
        <v>11.67</v>
      </c>
      <c r="H2298" s="101" t="str">
        <f t="shared" si="141"/>
        <v>Sinapi 38113</v>
      </c>
      <c r="I2298" s="101" t="str">
        <f t="shared" si="142"/>
        <v>UN</v>
      </c>
      <c r="J2298" s="140" t="str">
        <f t="shared" si="143"/>
        <v>INTERRUPTOR PARALELO 10A, 250V (APENAS MODULO)</v>
      </c>
    </row>
    <row r="2299" spans="1:10" x14ac:dyDescent="0.25">
      <c r="A2299" s="169">
        <v>38063</v>
      </c>
      <c r="B2299" s="169" t="s">
        <v>25723</v>
      </c>
      <c r="C2299" s="169" t="s">
        <v>10225</v>
      </c>
      <c r="D2299" s="169" t="s">
        <v>1289</v>
      </c>
      <c r="E2299" s="103" t="s">
        <v>21177</v>
      </c>
      <c r="F2299" s="104"/>
      <c r="G2299" s="105">
        <f t="shared" si="140"/>
        <v>12.52</v>
      </c>
      <c r="H2299" s="101" t="str">
        <f t="shared" si="141"/>
        <v>Sinapi 38063</v>
      </c>
      <c r="I2299" s="101" t="str">
        <f t="shared" si="142"/>
        <v>UN</v>
      </c>
      <c r="J2299" s="140" t="str">
        <f t="shared" si="143"/>
        <v>INTERRUPTOR PARALELO 10A, 250V, CONJUNTO MONTADO PARA EMBUTIR 4" X 2" (PLACA + SUPORTE + MODULO)</v>
      </c>
    </row>
    <row r="2300" spans="1:10" x14ac:dyDescent="0.25">
      <c r="A2300" s="169">
        <v>38080</v>
      </c>
      <c r="B2300" s="169" t="s">
        <v>25724</v>
      </c>
      <c r="C2300" s="169" t="s">
        <v>10225</v>
      </c>
      <c r="D2300" s="169" t="s">
        <v>1289</v>
      </c>
      <c r="E2300" s="103" t="s">
        <v>30510</v>
      </c>
      <c r="F2300" s="104"/>
      <c r="G2300" s="105">
        <f t="shared" si="140"/>
        <v>37.31</v>
      </c>
      <c r="H2300" s="101" t="str">
        <f t="shared" si="141"/>
        <v>Sinapi 38080</v>
      </c>
      <c r="I2300" s="101" t="str">
        <f t="shared" si="142"/>
        <v>UN</v>
      </c>
      <c r="J2300" s="140" t="str">
        <f t="shared" si="143"/>
        <v>INTERRUPTOR SIMPLES + INTERRUPTOR PARALELO + TOMADA 2P+T 10A, 250V, CONJUNTO MONTADO PARA EMBUTIR 4" X 2" (PLACA + SUPORTE + MODULOS)</v>
      </c>
    </row>
    <row r="2301" spans="1:10" x14ac:dyDescent="0.25">
      <c r="A2301" s="169">
        <v>38069</v>
      </c>
      <c r="B2301" s="169" t="s">
        <v>25726</v>
      </c>
      <c r="C2301" s="169" t="s">
        <v>10225</v>
      </c>
      <c r="D2301" s="169" t="s">
        <v>1289</v>
      </c>
      <c r="E2301" s="103" t="s">
        <v>28748</v>
      </c>
      <c r="F2301" s="104"/>
      <c r="G2301" s="105">
        <f t="shared" si="140"/>
        <v>20.399999999999999</v>
      </c>
      <c r="H2301" s="101" t="str">
        <f t="shared" si="141"/>
        <v>Sinapi 38069</v>
      </c>
      <c r="I2301" s="101" t="str">
        <f t="shared" si="142"/>
        <v>UN</v>
      </c>
      <c r="J2301" s="140" t="str">
        <f t="shared" si="143"/>
        <v>INTERRUPTOR SIMPLES + INTERRUPTOR PARALELO 10A, 250V, CONJUNTO MONTADO PARA EMBUTIR 4" X 2" (PLACA + SUPORTE + MODULOS)</v>
      </c>
    </row>
    <row r="2302" spans="1:10" x14ac:dyDescent="0.25">
      <c r="A2302" s="169">
        <v>38077</v>
      </c>
      <c r="B2302" s="169" t="s">
        <v>25727</v>
      </c>
      <c r="C2302" s="169" t="s">
        <v>10225</v>
      </c>
      <c r="D2302" s="169" t="s">
        <v>1289</v>
      </c>
      <c r="E2302" s="103" t="s">
        <v>30511</v>
      </c>
      <c r="F2302" s="104"/>
      <c r="G2302" s="105">
        <f t="shared" si="140"/>
        <v>19.940000000000001</v>
      </c>
      <c r="H2302" s="101" t="str">
        <f t="shared" si="141"/>
        <v>Sinapi 38077</v>
      </c>
      <c r="I2302" s="101" t="str">
        <f t="shared" si="142"/>
        <v>UN</v>
      </c>
      <c r="J2302" s="140" t="str">
        <f t="shared" si="143"/>
        <v>INTERRUPTOR SIMPLES + TOMADA 2P+T 10A, 250V, CONJUNTO MONTADO PARA EMBUTIR 4" X 2" (PLACA + SUPORTE + MODULOS)</v>
      </c>
    </row>
    <row r="2303" spans="1:10" x14ac:dyDescent="0.25">
      <c r="A2303" s="169">
        <v>38073</v>
      </c>
      <c r="B2303" s="169" t="s">
        <v>25729</v>
      </c>
      <c r="C2303" s="169" t="s">
        <v>10225</v>
      </c>
      <c r="D2303" s="169" t="s">
        <v>1289</v>
      </c>
      <c r="E2303" s="103" t="s">
        <v>28901</v>
      </c>
      <c r="F2303" s="104"/>
      <c r="G2303" s="105">
        <f t="shared" si="140"/>
        <v>30.38</v>
      </c>
      <c r="H2303" s="101" t="str">
        <f t="shared" si="141"/>
        <v>Sinapi 38073</v>
      </c>
      <c r="I2303" s="101" t="str">
        <f t="shared" si="142"/>
        <v>UN</v>
      </c>
      <c r="J2303" s="140" t="str">
        <f t="shared" si="143"/>
        <v>INTERRUPTOR SIMPLES + 2 INTERRUPTORES PARALELOS 10A, 250V, CONJUNTO MONTADO PARA EMBUTIR 4" X 2" (PLACA + SUPORTE + MODULOS)</v>
      </c>
    </row>
    <row r="2304" spans="1:10" x14ac:dyDescent="0.25">
      <c r="A2304" s="169">
        <v>38112</v>
      </c>
      <c r="B2304" s="169" t="s">
        <v>25730</v>
      </c>
      <c r="C2304" s="169" t="s">
        <v>10225</v>
      </c>
      <c r="D2304" s="169" t="s">
        <v>1289</v>
      </c>
      <c r="E2304" s="103" t="s">
        <v>15785</v>
      </c>
      <c r="F2304" s="104"/>
      <c r="G2304" s="105">
        <f t="shared" si="140"/>
        <v>8.9600000000000009</v>
      </c>
      <c r="H2304" s="101" t="str">
        <f t="shared" si="141"/>
        <v>Sinapi 38112</v>
      </c>
      <c r="I2304" s="101" t="str">
        <f t="shared" si="142"/>
        <v>UN</v>
      </c>
      <c r="J2304" s="140" t="str">
        <f t="shared" si="143"/>
        <v>INTERRUPTOR SIMPLES 10A, 250V (APENAS MODULO)</v>
      </c>
    </row>
    <row r="2305" spans="1:10" x14ac:dyDescent="0.25">
      <c r="A2305" s="169">
        <v>38062</v>
      </c>
      <c r="B2305" s="169" t="s">
        <v>25731</v>
      </c>
      <c r="C2305" s="169" t="s">
        <v>10225</v>
      </c>
      <c r="D2305" s="169" t="s">
        <v>1289</v>
      </c>
      <c r="E2305" s="103" t="s">
        <v>14936</v>
      </c>
      <c r="F2305" s="104"/>
      <c r="G2305" s="105">
        <f t="shared" si="140"/>
        <v>9.1999999999999993</v>
      </c>
      <c r="H2305" s="101" t="str">
        <f t="shared" si="141"/>
        <v>Sinapi 38062</v>
      </c>
      <c r="I2305" s="101" t="str">
        <f t="shared" si="142"/>
        <v>UN</v>
      </c>
      <c r="J2305" s="140" t="str">
        <f t="shared" si="143"/>
        <v>INTERRUPTOR SIMPLES 10A, 250V, CONJUNTO MONTADO PARA EMBUTIR 4" X 2" (PLACA + SUPORTE + MODULO)</v>
      </c>
    </row>
    <row r="2306" spans="1:10" x14ac:dyDescent="0.25">
      <c r="A2306" s="169">
        <v>12128</v>
      </c>
      <c r="B2306" s="169" t="s">
        <v>25732</v>
      </c>
      <c r="C2306" s="169" t="s">
        <v>10225</v>
      </c>
      <c r="D2306" s="169" t="s">
        <v>1289</v>
      </c>
      <c r="E2306" s="103" t="s">
        <v>15788</v>
      </c>
      <c r="F2306" s="104"/>
      <c r="G2306" s="105">
        <f t="shared" si="140"/>
        <v>12.29</v>
      </c>
      <c r="H2306" s="101" t="str">
        <f t="shared" si="141"/>
        <v>Sinapi 12128</v>
      </c>
      <c r="I2306" s="101" t="str">
        <f t="shared" si="142"/>
        <v>UN</v>
      </c>
      <c r="J2306" s="140" t="str">
        <f t="shared" si="143"/>
        <v>INTERRUPTOR SIMPLES 10A, 250V, CONJUNTO MONTADO PARA SOBREPOR 4" X 2" (CAIXA + MODULO)</v>
      </c>
    </row>
    <row r="2307" spans="1:10" x14ac:dyDescent="0.25">
      <c r="A2307" s="169">
        <v>12129</v>
      </c>
      <c r="B2307" s="169" t="s">
        <v>25733</v>
      </c>
      <c r="C2307" s="169" t="s">
        <v>10225</v>
      </c>
      <c r="D2307" s="169" t="s">
        <v>1289</v>
      </c>
      <c r="E2307" s="103" t="s">
        <v>21477</v>
      </c>
      <c r="F2307" s="104"/>
      <c r="G2307" s="105">
        <f t="shared" si="140"/>
        <v>16.25</v>
      </c>
      <c r="H2307" s="101" t="str">
        <f t="shared" si="141"/>
        <v>Sinapi 12129</v>
      </c>
      <c r="I2307" s="101" t="str">
        <f t="shared" si="142"/>
        <v>UN</v>
      </c>
      <c r="J2307" s="140" t="str">
        <f t="shared" si="143"/>
        <v>INTERRUPTOR SIMPLES 10A, 250V, CONJUNTO MONTADO PARA SOBREPOR 4" X 2" (CAIXA + 2 MODULOS)</v>
      </c>
    </row>
    <row r="2308" spans="1:10" x14ac:dyDescent="0.25">
      <c r="A2308" s="169">
        <v>38081</v>
      </c>
      <c r="B2308" s="169" t="s">
        <v>25734</v>
      </c>
      <c r="C2308" s="169" t="s">
        <v>10225</v>
      </c>
      <c r="D2308" s="169" t="s">
        <v>1289</v>
      </c>
      <c r="E2308" s="103" t="s">
        <v>21016</v>
      </c>
      <c r="F2308" s="104"/>
      <c r="G2308" s="105">
        <f t="shared" si="140"/>
        <v>31.65</v>
      </c>
      <c r="H2308" s="101" t="str">
        <f t="shared" si="141"/>
        <v>Sinapi 38081</v>
      </c>
      <c r="I2308" s="101" t="str">
        <f t="shared" si="142"/>
        <v>UN</v>
      </c>
      <c r="J2308" s="140" t="str">
        <f t="shared" si="143"/>
        <v>INTERRUPTORES PARALELOS (2 MODULOS) + TOMADA 2P+T 10A, 250V, CONJUNTO MONTADO PARA EMBUTIR 4" X 2" (PLACA + SUPORTE + MODULOS)</v>
      </c>
    </row>
    <row r="2309" spans="1:10" x14ac:dyDescent="0.25">
      <c r="A2309" s="169">
        <v>38070</v>
      </c>
      <c r="B2309" s="169" t="s">
        <v>25736</v>
      </c>
      <c r="C2309" s="169" t="s">
        <v>10225</v>
      </c>
      <c r="D2309" s="169" t="s">
        <v>1289</v>
      </c>
      <c r="E2309" s="103" t="s">
        <v>30512</v>
      </c>
      <c r="F2309" s="104"/>
      <c r="G2309" s="105">
        <f t="shared" si="140"/>
        <v>21.81</v>
      </c>
      <c r="H2309" s="101" t="str">
        <f t="shared" si="141"/>
        <v>Sinapi 38070</v>
      </c>
      <c r="I2309" s="101" t="str">
        <f t="shared" si="142"/>
        <v>UN</v>
      </c>
      <c r="J2309" s="140" t="str">
        <f t="shared" si="143"/>
        <v>INTERRUPTORES PARALELOS (2 MODULOS) 10A, 250V, CONJUNTO MONTADO PARA EMBUTIR 4" X 2" (PLACA + SUPORTE + MODULOS)</v>
      </c>
    </row>
    <row r="2310" spans="1:10" x14ac:dyDescent="0.25">
      <c r="A2310" s="169">
        <v>38074</v>
      </c>
      <c r="B2310" s="169" t="s">
        <v>25737</v>
      </c>
      <c r="C2310" s="169" t="s">
        <v>10225</v>
      </c>
      <c r="D2310" s="169" t="s">
        <v>1289</v>
      </c>
      <c r="E2310" s="103" t="s">
        <v>29978</v>
      </c>
      <c r="F2310" s="104"/>
      <c r="G2310" s="105">
        <f t="shared" si="140"/>
        <v>33.159999999999997</v>
      </c>
      <c r="H2310" s="101" t="str">
        <f t="shared" si="141"/>
        <v>Sinapi 38074</v>
      </c>
      <c r="I2310" s="101" t="str">
        <f t="shared" si="142"/>
        <v>UN</v>
      </c>
      <c r="J2310" s="140" t="str">
        <f t="shared" si="143"/>
        <v>INTERRUPTORES PARALELOS (3 MODULOS) 10A, 250V, CONJUNTO MONTADO PARA EMBUTIR 4" X 2" (PLACA + SUPORTE + MODULO)</v>
      </c>
    </row>
    <row r="2311" spans="1:10" x14ac:dyDescent="0.25">
      <c r="A2311" s="169">
        <v>38079</v>
      </c>
      <c r="B2311" s="169" t="s">
        <v>25738</v>
      </c>
      <c r="C2311" s="169" t="s">
        <v>10225</v>
      </c>
      <c r="D2311" s="169" t="s">
        <v>1289</v>
      </c>
      <c r="E2311" s="103" t="s">
        <v>16299</v>
      </c>
      <c r="F2311" s="104"/>
      <c r="G2311" s="105">
        <f t="shared" si="140"/>
        <v>28.46</v>
      </c>
      <c r="H2311" s="101" t="str">
        <f t="shared" si="141"/>
        <v>Sinapi 38079</v>
      </c>
      <c r="I2311" s="101" t="str">
        <f t="shared" si="142"/>
        <v>UN</v>
      </c>
      <c r="J2311" s="140" t="str">
        <f t="shared" si="143"/>
        <v>INTERRUPTORES SIMPLES (2 MODULOS) + TOMADA 2P+T 10A, 250V, CONJUNTO MONTADO PARA EMBUTIR 4" X 2" (PLACA + SUPORTE + MODULOS)</v>
      </c>
    </row>
    <row r="2312" spans="1:10" x14ac:dyDescent="0.25">
      <c r="A2312" s="169">
        <v>38072</v>
      </c>
      <c r="B2312" s="169" t="s">
        <v>25739</v>
      </c>
      <c r="C2312" s="169" t="s">
        <v>10225</v>
      </c>
      <c r="D2312" s="169" t="s">
        <v>1289</v>
      </c>
      <c r="E2312" s="103" t="s">
        <v>23030</v>
      </c>
      <c r="F2312" s="104"/>
      <c r="G2312" s="105">
        <f t="shared" ref="G2312:G2375" si="144">IF(E2312="","",E2312+0)</f>
        <v>27.35</v>
      </c>
      <c r="H2312" s="101" t="str">
        <f t="shared" ref="H2312:H2375" si="145">IF(G2312="","",TRIM(CONCATENATE("Sinapi ",A2312)))</f>
        <v>Sinapi 38072</v>
      </c>
      <c r="I2312" s="101" t="str">
        <f t="shared" ref="I2312:I2375" si="146">TRIM(C2312)</f>
        <v>UN</v>
      </c>
      <c r="J2312" s="140" t="str">
        <f t="shared" si="143"/>
        <v>INTERRUPTORES SIMPLES (2 MODULOS) + 1 INTERRUPTOR PARALELO 10A, 250V, CONJUNTO MONTADO PARA EMBUTIR 4" X 2" (PLACA + SUPORTE + MODULOS)</v>
      </c>
    </row>
    <row r="2313" spans="1:10" x14ac:dyDescent="0.25">
      <c r="A2313" s="169">
        <v>38068</v>
      </c>
      <c r="B2313" s="169" t="s">
        <v>25740</v>
      </c>
      <c r="C2313" s="169" t="s">
        <v>10225</v>
      </c>
      <c r="D2313" s="169" t="s">
        <v>1289</v>
      </c>
      <c r="E2313" s="103" t="s">
        <v>19407</v>
      </c>
      <c r="F2313" s="104"/>
      <c r="G2313" s="105">
        <f t="shared" si="144"/>
        <v>18.88</v>
      </c>
      <c r="H2313" s="101" t="str">
        <f t="shared" si="145"/>
        <v>Sinapi 38068</v>
      </c>
      <c r="I2313" s="101" t="str">
        <f t="shared" si="146"/>
        <v>UN</v>
      </c>
      <c r="J2313" s="140" t="str">
        <f t="shared" ref="J2313:J2376" si="147">TRIM(B2313)</f>
        <v>INTERRUPTORES SIMPLES (2 MODULOS) 10A, 250V, CONJUNTO MONTADO PARA EMBUTIR 4" X 2" (PLACA + SUPORTE + MODULOS)</v>
      </c>
    </row>
    <row r="2314" spans="1:10" x14ac:dyDescent="0.25">
      <c r="A2314" s="169">
        <v>38071</v>
      </c>
      <c r="B2314" s="169" t="s">
        <v>25741</v>
      </c>
      <c r="C2314" s="169" t="s">
        <v>10225</v>
      </c>
      <c r="D2314" s="169" t="s">
        <v>1289</v>
      </c>
      <c r="E2314" s="103" t="s">
        <v>12301</v>
      </c>
      <c r="F2314" s="104"/>
      <c r="G2314" s="105">
        <f t="shared" si="144"/>
        <v>22.57</v>
      </c>
      <c r="H2314" s="101" t="str">
        <f t="shared" si="145"/>
        <v>Sinapi 38071</v>
      </c>
      <c r="I2314" s="101" t="str">
        <f t="shared" si="146"/>
        <v>UN</v>
      </c>
      <c r="J2314" s="140" t="str">
        <f t="shared" si="147"/>
        <v>INTERRUPTORES SIMPLES (3 MODULOS) 10A, 250V, CONJUNTO MONTADO PARA EMBUTIR 4" X 2" (PLACA + SUPORTE + MODULOS)</v>
      </c>
    </row>
    <row r="2315" spans="1:10" x14ac:dyDescent="0.25">
      <c r="A2315" s="169">
        <v>38412</v>
      </c>
      <c r="B2315" s="169" t="s">
        <v>25742</v>
      </c>
      <c r="C2315" s="169" t="s">
        <v>10225</v>
      </c>
      <c r="D2315" s="169" t="s">
        <v>1290</v>
      </c>
      <c r="E2315" s="103" t="s">
        <v>30513</v>
      </c>
      <c r="F2315" s="104"/>
      <c r="G2315" s="105">
        <f t="shared" si="144"/>
        <v>900</v>
      </c>
      <c r="H2315" s="101" t="str">
        <f t="shared" si="145"/>
        <v>Sinapi 38412</v>
      </c>
      <c r="I2315" s="101" t="str">
        <f t="shared" si="146"/>
        <v>UN</v>
      </c>
      <c r="J2315" s="140" t="str">
        <f t="shared" si="147"/>
        <v>INVERSOR DE SOLDA MONOFASICO DE 160 A, POTENCIA DE 5400 W, TENSAO DE 220 V, TURBO VENTILADO, PROTECAO POR FUSIVEL TERMICO, PARA ELETRODOS DE 2,0 A 4,0 MM</v>
      </c>
    </row>
    <row r="2316" spans="1:10" x14ac:dyDescent="0.25">
      <c r="A2316" s="169">
        <v>3405</v>
      </c>
      <c r="B2316" s="169" t="s">
        <v>25743</v>
      </c>
      <c r="C2316" s="169" t="s">
        <v>10225</v>
      </c>
      <c r="D2316" s="169" t="s">
        <v>1290</v>
      </c>
      <c r="E2316" s="103" t="s">
        <v>30514</v>
      </c>
      <c r="F2316" s="104"/>
      <c r="G2316" s="105">
        <f t="shared" si="144"/>
        <v>96.54</v>
      </c>
      <c r="H2316" s="101" t="str">
        <f t="shared" si="145"/>
        <v>Sinapi 3405</v>
      </c>
      <c r="I2316" s="101" t="str">
        <f t="shared" si="146"/>
        <v>UN</v>
      </c>
      <c r="J2316" s="140" t="str">
        <f t="shared" si="147"/>
        <v>ISOLADOR DE PORCELANA SUSPENSO, DISCO TIPO GARFO OLHAL, DIAMETRO DE 152 MM, PARA TENSAO DE *15* KV</v>
      </c>
    </row>
    <row r="2317" spans="1:10" x14ac:dyDescent="0.25">
      <c r="A2317" s="169">
        <v>3394</v>
      </c>
      <c r="B2317" s="169" t="s">
        <v>25744</v>
      </c>
      <c r="C2317" s="169" t="s">
        <v>10225</v>
      </c>
      <c r="D2317" s="169" t="s">
        <v>1290</v>
      </c>
      <c r="E2317" s="103" t="s">
        <v>30515</v>
      </c>
      <c r="F2317" s="104"/>
      <c r="G2317" s="105">
        <f t="shared" si="144"/>
        <v>509.6</v>
      </c>
      <c r="H2317" s="101" t="str">
        <f t="shared" si="145"/>
        <v>Sinapi 3394</v>
      </c>
      <c r="I2317" s="101" t="str">
        <f t="shared" si="146"/>
        <v>UN</v>
      </c>
      <c r="J2317" s="140" t="str">
        <f t="shared" si="147"/>
        <v>ISOLADOR DE PORCELANA, TIPO BUCHA, PARA TENSAO DE *15* KV</v>
      </c>
    </row>
    <row r="2318" spans="1:10" x14ac:dyDescent="0.25">
      <c r="A2318" s="169">
        <v>3393</v>
      </c>
      <c r="B2318" s="169" t="s">
        <v>25745</v>
      </c>
      <c r="C2318" s="169" t="s">
        <v>10225</v>
      </c>
      <c r="D2318" s="169" t="s">
        <v>1290</v>
      </c>
      <c r="E2318" s="103" t="s">
        <v>30516</v>
      </c>
      <c r="F2318" s="104"/>
      <c r="G2318" s="105">
        <f t="shared" si="144"/>
        <v>867.65</v>
      </c>
      <c r="H2318" s="101" t="str">
        <f t="shared" si="145"/>
        <v>Sinapi 3393</v>
      </c>
      <c r="I2318" s="101" t="str">
        <f t="shared" si="146"/>
        <v>UN</v>
      </c>
      <c r="J2318" s="140" t="str">
        <f t="shared" si="147"/>
        <v>ISOLADOR DE PORCELANA, TIPO BUCHA, PARA TENSAO DE *35* KV</v>
      </c>
    </row>
    <row r="2319" spans="1:10" x14ac:dyDescent="0.25">
      <c r="A2319" s="169">
        <v>3406</v>
      </c>
      <c r="B2319" s="169" t="s">
        <v>25746</v>
      </c>
      <c r="C2319" s="169" t="s">
        <v>10225</v>
      </c>
      <c r="D2319" s="169" t="s">
        <v>1290</v>
      </c>
      <c r="E2319" s="103" t="s">
        <v>22737</v>
      </c>
      <c r="F2319" s="104"/>
      <c r="G2319" s="105">
        <f t="shared" si="144"/>
        <v>29.55</v>
      </c>
      <c r="H2319" s="101" t="str">
        <f t="shared" si="145"/>
        <v>Sinapi 3406</v>
      </c>
      <c r="I2319" s="101" t="str">
        <f t="shared" si="146"/>
        <v>UN</v>
      </c>
      <c r="J2319" s="140" t="str">
        <f t="shared" si="147"/>
        <v>ISOLADOR DE PORCELANA, TIPO PINO MONOCORPO, PARA TENSAO DE *15* KV</v>
      </c>
    </row>
    <row r="2320" spans="1:10" x14ac:dyDescent="0.25">
      <c r="A2320" s="169">
        <v>3395</v>
      </c>
      <c r="B2320" s="169" t="s">
        <v>25747</v>
      </c>
      <c r="C2320" s="169" t="s">
        <v>10225</v>
      </c>
      <c r="D2320" s="169" t="s">
        <v>1290</v>
      </c>
      <c r="E2320" s="103" t="s">
        <v>30517</v>
      </c>
      <c r="F2320" s="104"/>
      <c r="G2320" s="105">
        <f t="shared" si="144"/>
        <v>124.65</v>
      </c>
      <c r="H2320" s="101" t="str">
        <f t="shared" si="145"/>
        <v>Sinapi 3395</v>
      </c>
      <c r="I2320" s="101" t="str">
        <f t="shared" si="146"/>
        <v>UN</v>
      </c>
      <c r="J2320" s="140" t="str">
        <f t="shared" si="147"/>
        <v>ISOLADOR DE PORCELANA, TIPO PINO MONOCORPO, PARA TENSAO DE *35* KV</v>
      </c>
    </row>
    <row r="2321" spans="1:10" x14ac:dyDescent="0.25">
      <c r="A2321" s="169">
        <v>3398</v>
      </c>
      <c r="B2321" s="169" t="s">
        <v>25749</v>
      </c>
      <c r="C2321" s="169" t="s">
        <v>10225</v>
      </c>
      <c r="D2321" s="169" t="s">
        <v>1290</v>
      </c>
      <c r="E2321" s="103" t="s">
        <v>2092</v>
      </c>
      <c r="F2321" s="104"/>
      <c r="G2321" s="105">
        <f t="shared" si="144"/>
        <v>5.92</v>
      </c>
      <c r="H2321" s="101" t="str">
        <f t="shared" si="145"/>
        <v>Sinapi 3398</v>
      </c>
      <c r="I2321" s="101" t="str">
        <f t="shared" si="146"/>
        <v>UN</v>
      </c>
      <c r="J2321" s="140" t="str">
        <f t="shared" si="147"/>
        <v>ISOLADOR DE PORCELANA, TIPO ROLDANA, DIMENSOES DE *72* X *72* MM, PARA USO EM BAIXA TENSAO</v>
      </c>
    </row>
    <row r="2322" spans="1:10" x14ac:dyDescent="0.25">
      <c r="A2322" s="169">
        <v>40662</v>
      </c>
      <c r="B2322" s="169" t="s">
        <v>25750</v>
      </c>
      <c r="C2322" s="169" t="s">
        <v>10225</v>
      </c>
      <c r="D2322" s="169" t="s">
        <v>1289</v>
      </c>
      <c r="E2322" s="103" t="s">
        <v>29452</v>
      </c>
      <c r="F2322" s="104"/>
      <c r="G2322" s="105">
        <f t="shared" si="144"/>
        <v>78.87</v>
      </c>
      <c r="H2322" s="101" t="str">
        <f t="shared" si="145"/>
        <v>Sinapi 40662</v>
      </c>
      <c r="I2322" s="101" t="str">
        <f t="shared" si="146"/>
        <v>UN</v>
      </c>
      <c r="J2322" s="140" t="str">
        <f t="shared" si="147"/>
        <v>JANELA BASCULANTE EM MADEIRA PINUS/ EUCALIPTO/ TAUARI/ VIROLA OU EQUIVALENTE DA REGIAO, *60 X 60*, CAIXA DO BATENTE/ MARCO E = *10* CM, 2 BASCULAS PARA VIDRO, COM FERRAGENS (SEM VIDRO, SEM GUARNICAO/ALIZAR E SEM ACABAMENTO)</v>
      </c>
    </row>
    <row r="2323" spans="1:10" x14ac:dyDescent="0.25">
      <c r="A2323" s="169">
        <v>3437</v>
      </c>
      <c r="B2323" s="169" t="s">
        <v>25751</v>
      </c>
      <c r="C2323" s="169" t="s">
        <v>10226</v>
      </c>
      <c r="D2323" s="169" t="s">
        <v>1289</v>
      </c>
      <c r="E2323" s="103" t="s">
        <v>22006</v>
      </c>
      <c r="F2323" s="104"/>
      <c r="G2323" s="105">
        <f t="shared" si="144"/>
        <v>219.1</v>
      </c>
      <c r="H2323" s="101" t="str">
        <f t="shared" si="145"/>
        <v>Sinapi 3437</v>
      </c>
      <c r="I2323" s="101" t="str">
        <f t="shared" si="146"/>
        <v>M2</v>
      </c>
      <c r="J2323" s="140" t="str">
        <f t="shared" si="147"/>
        <v>JANELA BASCULANTE EM MADEIRA PINUS/ EUCALIPTO/ TAUARI/ VIROLA OU EQUIVALENTE DA REGIAO, CAIXA DO BATENTE/ MARCO *10* CM, *2* FOLHAS BASCULANTES PARA VIDRO, COM FERRAGENS (SEM VIDRO, SEM GUARNICAO/ALIZAR E SEM ACABAMENTO)</v>
      </c>
    </row>
    <row r="2324" spans="1:10" x14ac:dyDescent="0.25">
      <c r="A2324" s="169">
        <v>11190</v>
      </c>
      <c r="B2324" s="169" t="s">
        <v>25752</v>
      </c>
      <c r="C2324" s="169" t="s">
        <v>10225</v>
      </c>
      <c r="D2324" s="169" t="s">
        <v>1288</v>
      </c>
      <c r="E2324" s="103" t="s">
        <v>30518</v>
      </c>
      <c r="F2324" s="104"/>
      <c r="G2324" s="105">
        <f t="shared" si="144"/>
        <v>179.9</v>
      </c>
      <c r="H2324" s="101" t="str">
        <f t="shared" si="145"/>
        <v>Sinapi 11190</v>
      </c>
      <c r="I2324" s="101" t="str">
        <f t="shared" si="146"/>
        <v>UN</v>
      </c>
      <c r="J2324" s="140" t="str">
        <f t="shared" si="147"/>
        <v>JANELA BASCULANTE, ACO, COM BATENTE/REQUADRO, 60 X 60 CM (SEM VIDROS)</v>
      </c>
    </row>
    <row r="2325" spans="1:10" x14ac:dyDescent="0.25">
      <c r="A2325" s="169">
        <v>34377</v>
      </c>
      <c r="B2325" s="169" t="s">
        <v>25753</v>
      </c>
      <c r="C2325" s="169" t="s">
        <v>10225</v>
      </c>
      <c r="D2325" s="169" t="s">
        <v>1290</v>
      </c>
      <c r="E2325" s="103" t="s">
        <v>30519</v>
      </c>
      <c r="F2325" s="104"/>
      <c r="G2325" s="105">
        <f t="shared" si="144"/>
        <v>171.67</v>
      </c>
      <c r="H2325" s="101" t="str">
        <f t="shared" si="145"/>
        <v>Sinapi 34377</v>
      </c>
      <c r="I2325" s="101" t="str">
        <f t="shared" si="146"/>
        <v>UN</v>
      </c>
      <c r="J2325" s="140" t="str">
        <f t="shared" si="147"/>
        <v>JANELA BASCULANTE, EM ALUMINIO PERFIL 20, 80 X 60 CM (A X L), 4 FLS (1 FIXA E 3 MOVEIS), ACABAMENTO BRANCO OU BRILHANTE, BATENTE DE 3 A 4 CM, COM VIDRO 4 MM, SEM GUARNICAO</v>
      </c>
    </row>
    <row r="2326" spans="1:10" x14ac:dyDescent="0.25">
      <c r="A2326" s="169">
        <v>3428</v>
      </c>
      <c r="B2326" s="169" t="s">
        <v>25754</v>
      </c>
      <c r="C2326" s="169" t="s">
        <v>10226</v>
      </c>
      <c r="D2326" s="169" t="s">
        <v>1288</v>
      </c>
      <c r="E2326" s="103" t="s">
        <v>30520</v>
      </c>
      <c r="F2326" s="104"/>
      <c r="G2326" s="105">
        <f t="shared" si="144"/>
        <v>325</v>
      </c>
      <c r="H2326" s="101" t="str">
        <f t="shared" si="145"/>
        <v>Sinapi 3428</v>
      </c>
      <c r="I2326" s="101" t="str">
        <f t="shared" si="146"/>
        <v>M2</v>
      </c>
      <c r="J2326" s="140" t="str">
        <f t="shared" si="147"/>
        <v>JANELA DE ABRIR EM MADEIRA IMBUIA/CEDRO ARANA/CEDRO ROSA OU EQUIVALENTE DA REGIAO, CAIXA DO BATENTE/MARCO *10* CM, 2 FOLHAS DE ABRIR TIPO VENEZIANA E 2 FOLHAS DE ABRIR PARA VIDRO, COM GUARNICAO/ALIZAR, COM FERRAGENS, (SEM VIDRO E SEM ACABAMENTO)</v>
      </c>
    </row>
    <row r="2327" spans="1:10" x14ac:dyDescent="0.25">
      <c r="A2327" s="169">
        <v>3429</v>
      </c>
      <c r="B2327" s="169" t="s">
        <v>25755</v>
      </c>
      <c r="C2327" s="169" t="s">
        <v>10226</v>
      </c>
      <c r="D2327" s="169" t="s">
        <v>1289</v>
      </c>
      <c r="E2327" s="103" t="s">
        <v>30521</v>
      </c>
      <c r="F2327" s="104"/>
      <c r="G2327" s="105">
        <f t="shared" si="144"/>
        <v>185.68</v>
      </c>
      <c r="H2327" s="101" t="str">
        <f t="shared" si="145"/>
        <v>Sinapi 3429</v>
      </c>
      <c r="I2327" s="101" t="str">
        <f t="shared" si="146"/>
        <v>M2</v>
      </c>
      <c r="J2327" s="140" t="str">
        <f t="shared" si="147"/>
        <v>JANELA DE ABRIR EM MADEIRA PINUS/EUCALIPTO/ TAUARI/ VIROLA OU EQUIVALENTE DA REGIAO, CAIXA DO BATENTE/MARCO *10* CM, 2 FOLHAS DE ABRIR TIPO VENEZIANA E 2 FOLHAS GUILHOTINA PARA VIDRO, COM FERRAGENS (SEM VIDRO,SEM GUARNICAO/ALIZAR E SEM ACABAMENTO)</v>
      </c>
    </row>
    <row r="2328" spans="1:10" x14ac:dyDescent="0.25">
      <c r="A2328" s="169">
        <v>11199</v>
      </c>
      <c r="B2328" s="169" t="s">
        <v>25756</v>
      </c>
      <c r="C2328" s="169" t="s">
        <v>10225</v>
      </c>
      <c r="D2328" s="169" t="s">
        <v>1289</v>
      </c>
      <c r="E2328" s="103" t="s">
        <v>30522</v>
      </c>
      <c r="F2328" s="104"/>
      <c r="G2328" s="105">
        <f t="shared" si="144"/>
        <v>993.55</v>
      </c>
      <c r="H2328" s="101" t="str">
        <f t="shared" si="145"/>
        <v>Sinapi 11199</v>
      </c>
      <c r="I2328" s="101" t="str">
        <f t="shared" si="146"/>
        <v>UN</v>
      </c>
      <c r="J2328" s="140" t="str">
        <f t="shared" si="147"/>
        <v>JANELA DE CORRER, ACO, BATENTE/REQUADRO DE 6 A 14 CM, COM DIVISAO HORIZ , PINT ANTICORROSIVA, SEM VIDRO, BANDEIRA COM BASCULA, 4 FLS, 120 X 150 CM (A X L)</v>
      </c>
    </row>
    <row r="2329" spans="1:10" x14ac:dyDescent="0.25">
      <c r="A2329" s="169">
        <v>34369</v>
      </c>
      <c r="B2329" s="169" t="s">
        <v>25757</v>
      </c>
      <c r="C2329" s="169" t="s">
        <v>10225</v>
      </c>
      <c r="D2329" s="169" t="s">
        <v>1290</v>
      </c>
      <c r="E2329" s="103" t="s">
        <v>30523</v>
      </c>
      <c r="F2329" s="104"/>
      <c r="G2329" s="105">
        <f t="shared" si="144"/>
        <v>597.11</v>
      </c>
      <c r="H2329" s="101" t="str">
        <f t="shared" si="145"/>
        <v>Sinapi 34369</v>
      </c>
      <c r="I2329" s="101" t="str">
        <f t="shared" si="146"/>
        <v>UN</v>
      </c>
      <c r="J2329" s="140" t="str">
        <f t="shared" si="147"/>
        <v>JANELA DE CORRER, EM ALUMINIO PEFIL 25, 100 X 200 CM (A X L), 4 FLS, SEM BANDEIRA, ACABAMENTO BRANCO OU BRILHANTE, BATENTE DE 6 A 7 CM, COM VIDRO 4 MM, SEM GUARNICAO/ALIZAR</v>
      </c>
    </row>
    <row r="2330" spans="1:10" x14ac:dyDescent="0.25">
      <c r="A2330" s="169">
        <v>36896</v>
      </c>
      <c r="B2330" s="169" t="s">
        <v>25758</v>
      </c>
      <c r="C2330" s="169" t="s">
        <v>10225</v>
      </c>
      <c r="D2330" s="169" t="s">
        <v>1290</v>
      </c>
      <c r="E2330" s="103" t="s">
        <v>30524</v>
      </c>
      <c r="F2330" s="104"/>
      <c r="G2330" s="105">
        <f t="shared" si="144"/>
        <v>332.5</v>
      </c>
      <c r="H2330" s="101" t="str">
        <f t="shared" si="145"/>
        <v>Sinapi 36896</v>
      </c>
      <c r="I2330" s="101" t="str">
        <f t="shared" si="146"/>
        <v>UN</v>
      </c>
      <c r="J2330" s="140" t="str">
        <f t="shared" si="147"/>
        <v>JANELA DE CORRER, EM ALUMINIO PERFIL 25, 100 X 120 CM (A X L), 2 FLS MOVEIS, SEM BANDEIRA, ACABAMENTO BRANCO OU BRILHANTE, BATENTE DE 6 A 7 CM, COM VIDRO 4 MM, SEM GUARNICAO</v>
      </c>
    </row>
    <row r="2331" spans="1:10" x14ac:dyDescent="0.25">
      <c r="A2331" s="169">
        <v>34367</v>
      </c>
      <c r="B2331" s="169" t="s">
        <v>25759</v>
      </c>
      <c r="C2331" s="169" t="s">
        <v>10225</v>
      </c>
      <c r="D2331" s="169" t="s">
        <v>1290</v>
      </c>
      <c r="E2331" s="103" t="s">
        <v>30525</v>
      </c>
      <c r="F2331" s="104"/>
      <c r="G2331" s="105">
        <f t="shared" si="144"/>
        <v>428.54</v>
      </c>
      <c r="H2331" s="101" t="str">
        <f t="shared" si="145"/>
        <v>Sinapi 34367</v>
      </c>
      <c r="I2331" s="101" t="str">
        <f t="shared" si="146"/>
        <v>UN</v>
      </c>
      <c r="J2331" s="140" t="str">
        <f t="shared" si="147"/>
        <v>JANELA DE CORRER, EM ALUMINIO PERFIL 25, 100 X 150 CM (A X L), 2 FLS MOVEIS, SEM BANDEIRA, ACABAMENTO BRANCO OU BRILHANTE, BATENTE DE 6 A 7 CM, COM VIDRO 4 MM, SEM GUARNICAO</v>
      </c>
    </row>
    <row r="2332" spans="1:10" x14ac:dyDescent="0.25">
      <c r="A2332" s="169">
        <v>36897</v>
      </c>
      <c r="B2332" s="169" t="s">
        <v>25760</v>
      </c>
      <c r="C2332" s="169" t="s">
        <v>10225</v>
      </c>
      <c r="D2332" s="169" t="s">
        <v>1290</v>
      </c>
      <c r="E2332" s="103" t="s">
        <v>30526</v>
      </c>
      <c r="F2332" s="104"/>
      <c r="G2332" s="105">
        <f t="shared" si="144"/>
        <v>518.86</v>
      </c>
      <c r="H2332" s="101" t="str">
        <f t="shared" si="145"/>
        <v>Sinapi 36897</v>
      </c>
      <c r="I2332" s="101" t="str">
        <f t="shared" si="146"/>
        <v>UN</v>
      </c>
      <c r="J2332" s="140" t="str">
        <f t="shared" si="147"/>
        <v>JANELA DE CORRER, EM ALUMINIO PERFIL 25, 100 X 150 CM (A X L), 4 FLS MOVEIS, SEM BANDEIRA, ACABAMENTO BRANCO OU BRILHANTE, BATENTE DE 6 A 7 CM, COM VIDRO 4 MM, SEM GUARNICAO/ALIZAR</v>
      </c>
    </row>
    <row r="2333" spans="1:10" x14ac:dyDescent="0.25">
      <c r="A2333" s="169">
        <v>34364</v>
      </c>
      <c r="B2333" s="169" t="s">
        <v>25761</v>
      </c>
      <c r="C2333" s="169" t="s">
        <v>10225</v>
      </c>
      <c r="D2333" s="169" t="s">
        <v>1290</v>
      </c>
      <c r="E2333" s="103" t="s">
        <v>30527</v>
      </c>
      <c r="F2333" s="104"/>
      <c r="G2333" s="105">
        <f t="shared" si="144"/>
        <v>563.29999999999995</v>
      </c>
      <c r="H2333" s="101" t="str">
        <f t="shared" si="145"/>
        <v>Sinapi 34364</v>
      </c>
      <c r="I2333" s="101" t="str">
        <f t="shared" si="146"/>
        <v>UN</v>
      </c>
      <c r="J2333" s="140" t="str">
        <f t="shared" si="147"/>
        <v>JANELA DE CORRER, EM ALUMINIO PERFIL 25, 120 X 150 CM (A X L), 4 FLS, BANDEIRA COM BASCULA, ACABAMENTO BRANCO OU BRILHANTE, BATENTE/REQUADRO DE 6 A 14 CM, COM VIDRO 4 MM, SEM GUARNICAO/ALIZAR</v>
      </c>
    </row>
    <row r="2334" spans="1:10" x14ac:dyDescent="0.25">
      <c r="A2334" s="169">
        <v>40659</v>
      </c>
      <c r="B2334" s="169" t="s">
        <v>25762</v>
      </c>
      <c r="C2334" s="169" t="s">
        <v>10226</v>
      </c>
      <c r="D2334" s="169" t="s">
        <v>1289</v>
      </c>
      <c r="E2334" s="103" t="s">
        <v>30528</v>
      </c>
      <c r="F2334" s="104"/>
      <c r="G2334" s="105">
        <f t="shared" si="144"/>
        <v>309.99</v>
      </c>
      <c r="H2334" s="101" t="str">
        <f t="shared" si="145"/>
        <v>Sinapi 40659</v>
      </c>
      <c r="I2334" s="101" t="str">
        <f t="shared" si="146"/>
        <v>M2</v>
      </c>
      <c r="J2334" s="140" t="str">
        <f t="shared" si="147"/>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
    </row>
    <row r="2335" spans="1:10" x14ac:dyDescent="0.25">
      <c r="A2335" s="169">
        <v>40660</v>
      </c>
      <c r="B2335" s="169" t="s">
        <v>25763</v>
      </c>
      <c r="C2335" s="169" t="s">
        <v>10226</v>
      </c>
      <c r="D2335" s="169" t="s">
        <v>1289</v>
      </c>
      <c r="E2335" s="103" t="s">
        <v>30529</v>
      </c>
      <c r="F2335" s="104"/>
      <c r="G2335" s="105">
        <f t="shared" si="144"/>
        <v>392.88</v>
      </c>
      <c r="H2335" s="101" t="str">
        <f t="shared" si="145"/>
        <v>Sinapi 40660</v>
      </c>
      <c r="I2335" s="101" t="str">
        <f t="shared" si="146"/>
        <v>M2</v>
      </c>
      <c r="J2335" s="140" t="str">
        <f t="shared" si="147"/>
        <v>JANELA DE 6 FOLHAS DE CORRER EM MADEIRA IMBUIA/CEDRO ARANA/CEDRO ROSA OU EQUIVALENTE DA REGIAO, CAIXA DO BATENTE/MARCO *10* CM, 2 FOLHAS DE CORRER VENEZIANA, 2 FOLHAS FIXAS VENEZIANA E 2 FOLHAS DE CORRER PARA VIDRO, COM FERRAGENS (SEM VIDRO, SEM ACABAMENTO E SEM GUARNICAO/ALIZAR)</v>
      </c>
    </row>
    <row r="2336" spans="1:10" x14ac:dyDescent="0.25">
      <c r="A2336" s="169">
        <v>40661</v>
      </c>
      <c r="B2336" s="169" t="s">
        <v>25764</v>
      </c>
      <c r="C2336" s="169" t="s">
        <v>10226</v>
      </c>
      <c r="D2336" s="169" t="s">
        <v>1289</v>
      </c>
      <c r="E2336" s="103" t="s">
        <v>30530</v>
      </c>
      <c r="F2336" s="104"/>
      <c r="G2336" s="105">
        <f t="shared" si="144"/>
        <v>241.55</v>
      </c>
      <c r="H2336" s="101" t="str">
        <f t="shared" si="145"/>
        <v>Sinapi 40661</v>
      </c>
      <c r="I2336" s="101" t="str">
        <f t="shared" si="146"/>
        <v>M2</v>
      </c>
      <c r="J2336" s="140" t="str">
        <f t="shared" si="147"/>
        <v>JANELA DE 6 FOLHAS DE CORRER EM MADEIRA PINUS/ EUCALIPTO/ TAUARI/ VIROLA OU EQUIVALENTE DA REGIAO, CAIXA DO BATENTE/MARCO *10* CM, 2 FOLHAS DE CORRER VENEZIANA, 2 FOLHAS FIXAS VENEZIANA E 2 FOLHAS DE CORRER PARA VIDRO, COM FERRAGENS (SEM VIDRO, SEM ACABAMENTO E SEM GUARNICAO/ALIZAR)</v>
      </c>
    </row>
    <row r="2337" spans="1:10" x14ac:dyDescent="0.25">
      <c r="A2337" s="169">
        <v>3421</v>
      </c>
      <c r="B2337" s="169" t="s">
        <v>25765</v>
      </c>
      <c r="C2337" s="169" t="s">
        <v>10226</v>
      </c>
      <c r="D2337" s="169" t="s">
        <v>1289</v>
      </c>
      <c r="E2337" s="103" t="s">
        <v>22777</v>
      </c>
      <c r="F2337" s="104"/>
      <c r="G2337" s="105">
        <f t="shared" si="144"/>
        <v>243.4</v>
      </c>
      <c r="H2337" s="101" t="str">
        <f t="shared" si="145"/>
        <v>Sinapi 3421</v>
      </c>
      <c r="I2337" s="101" t="str">
        <f t="shared" si="146"/>
        <v>M2</v>
      </c>
      <c r="J2337" s="140" t="str">
        <f t="shared" si="147"/>
        <v>JANELA EM MADEIRA CEDRINHO/ ANGELIM COMERCIAL/ CURUPIXA/ CUMARU OU EQUIVALENTE DA REGIAO, CAIXA DO BATENTE/MARCO *10* CM, 2 FOLHAS DE ABRIR TIPO VENEZIANA E 2 FOLHAS GUILHOTINA PARA VIDRO, COM GUARNICAO/ALIZAR, COM FERRAGENS (SEM VIDRO E SEM ACABAMENTO)</v>
      </c>
    </row>
    <row r="2338" spans="1:10" x14ac:dyDescent="0.25">
      <c r="A2338" s="169">
        <v>599</v>
      </c>
      <c r="B2338" s="169" t="s">
        <v>25766</v>
      </c>
      <c r="C2338" s="169" t="s">
        <v>10226</v>
      </c>
      <c r="D2338" s="169" t="s">
        <v>1290</v>
      </c>
      <c r="E2338" s="103" t="s">
        <v>30531</v>
      </c>
      <c r="F2338" s="104"/>
      <c r="G2338" s="105">
        <f t="shared" si="144"/>
        <v>606.41</v>
      </c>
      <c r="H2338" s="101" t="str">
        <f t="shared" si="145"/>
        <v>Sinapi 599</v>
      </c>
      <c r="I2338" s="101" t="str">
        <f t="shared" si="146"/>
        <v>M2</v>
      </c>
      <c r="J2338" s="140" t="str">
        <f t="shared" si="147"/>
        <v>JANELA FIXA, EM ALUMINIO PERFIL 20, 60 X 80 CM (A X L), BATENTE/REQUADRO DE 3 A 14 CM, COM VIDRO 4 MM, SEM GUARNICAO/ALIZAR, ACABAMENTO ALUM BRANCO OU BRILHANTE</v>
      </c>
    </row>
    <row r="2339" spans="1:10" x14ac:dyDescent="0.25">
      <c r="A2339" s="169">
        <v>44053</v>
      </c>
      <c r="B2339" s="169" t="s">
        <v>25767</v>
      </c>
      <c r="C2339" s="169" t="s">
        <v>10225</v>
      </c>
      <c r="D2339" s="169" t="s">
        <v>1290</v>
      </c>
      <c r="E2339" s="103" t="s">
        <v>30532</v>
      </c>
      <c r="F2339" s="104"/>
      <c r="G2339" s="105">
        <f t="shared" si="144"/>
        <v>1345.94</v>
      </c>
      <c r="H2339" s="101" t="str">
        <f t="shared" si="145"/>
        <v>Sinapi 44053</v>
      </c>
      <c r="I2339" s="101" t="str">
        <f t="shared" si="146"/>
        <v>UN</v>
      </c>
      <c r="J2339" s="140" t="str">
        <f t="shared" si="147"/>
        <v>JANELA INTEGRADA VENEZIANA EM ALUMINIO PERFIL 25, 120 X 120 CM (A X L), 2 FLS ( 2 VIDROS) E VENEZIANA COM ACIONAMENTO MANUAL, SEM BANDEIRA, ACABAMENTO BRILHANTE, BATENTE DE 11,50 A 12,50 CM, COM VIDRO 4 MM, INCLUSO GUARNICAO</v>
      </c>
    </row>
    <row r="2340" spans="1:10" x14ac:dyDescent="0.25">
      <c r="A2340" s="169">
        <v>3423</v>
      </c>
      <c r="B2340" s="169" t="s">
        <v>25768</v>
      </c>
      <c r="C2340" s="169" t="s">
        <v>10226</v>
      </c>
      <c r="D2340" s="169" t="s">
        <v>1289</v>
      </c>
      <c r="E2340" s="103" t="s">
        <v>30533</v>
      </c>
      <c r="F2340" s="104"/>
      <c r="G2340" s="105">
        <f t="shared" si="144"/>
        <v>343.25</v>
      </c>
      <c r="H2340" s="101" t="str">
        <f t="shared" si="145"/>
        <v>Sinapi 3423</v>
      </c>
      <c r="I2340" s="101" t="str">
        <f t="shared" si="146"/>
        <v>M2</v>
      </c>
      <c r="J2340" s="140" t="str">
        <f t="shared" si="147"/>
        <v>JANELA MAXIM AR EM MADEIRA CEDRINHO/ ANGELIM COMERCIAL/ CURUPIXA/ CUMARU OU EQUIVALENTE DA REGIAO, CAIXA DO BATENTE/MARCO *10* CM, 1 FOLHA PARA VIDRO, COM GUARNICAO/ALIZAR, COM FERRAGENS, (SEM VIDRO E SEM ACABAMENTO)</v>
      </c>
    </row>
    <row r="2341" spans="1:10" x14ac:dyDescent="0.25">
      <c r="A2341" s="169">
        <v>34381</v>
      </c>
      <c r="B2341" s="169" t="s">
        <v>25769</v>
      </c>
      <c r="C2341" s="169" t="s">
        <v>10225</v>
      </c>
      <c r="D2341" s="169" t="s">
        <v>1290</v>
      </c>
      <c r="E2341" s="103" t="s">
        <v>30534</v>
      </c>
      <c r="F2341" s="104"/>
      <c r="G2341" s="105">
        <f t="shared" si="144"/>
        <v>244.85</v>
      </c>
      <c r="H2341" s="101" t="str">
        <f t="shared" si="145"/>
        <v>Sinapi 34381</v>
      </c>
      <c r="I2341" s="101" t="str">
        <f t="shared" si="146"/>
        <v>UN</v>
      </c>
      <c r="J2341" s="140" t="str">
        <f t="shared" si="147"/>
        <v>JANELA MAXIM AR, EM ALUMINIO PERFIL 25, 60 X 80 CM (A X L), ACABAMENTO BRANCO OU BRILHANTE, BATENTE DE 4 A 5 CM, COM VIDRO 4 MM, SEM GUARNICAO/ALIZAR</v>
      </c>
    </row>
    <row r="2342" spans="1:10" x14ac:dyDescent="0.25">
      <c r="A2342" s="169">
        <v>34797</v>
      </c>
      <c r="B2342" s="169" t="s">
        <v>25770</v>
      </c>
      <c r="C2342" s="169" t="s">
        <v>10225</v>
      </c>
      <c r="D2342" s="169" t="s">
        <v>1289</v>
      </c>
      <c r="E2342" s="103" t="s">
        <v>30535</v>
      </c>
      <c r="F2342" s="104"/>
      <c r="G2342" s="105">
        <f t="shared" si="144"/>
        <v>391.85</v>
      </c>
      <c r="H2342" s="101" t="str">
        <f t="shared" si="145"/>
        <v>Sinapi 34797</v>
      </c>
      <c r="I2342" s="101" t="str">
        <f t="shared" si="146"/>
        <v>UN</v>
      </c>
      <c r="J2342" s="140" t="str">
        <f t="shared" si="147"/>
        <v>JANELA MAXIMO AR, ACO, BATENTE / REQUADRO DE 6 A 14 CM, PINT ANTICORROSIVA, SEM VIDRO, COM GRADE, 1 FL, 60 X 80 CM (A X L)</v>
      </c>
    </row>
    <row r="2343" spans="1:10" x14ac:dyDescent="0.25">
      <c r="A2343" s="169">
        <v>44054</v>
      </c>
      <c r="B2343" s="169" t="s">
        <v>25771</v>
      </c>
      <c r="C2343" s="169" t="s">
        <v>10225</v>
      </c>
      <c r="D2343" s="169" t="s">
        <v>1290</v>
      </c>
      <c r="E2343" s="103" t="s">
        <v>30536</v>
      </c>
      <c r="F2343" s="104"/>
      <c r="G2343" s="105">
        <f t="shared" si="144"/>
        <v>482.84</v>
      </c>
      <c r="H2343" s="101" t="str">
        <f t="shared" si="145"/>
        <v>Sinapi 44054</v>
      </c>
      <c r="I2343" s="101" t="str">
        <f t="shared" si="146"/>
        <v>UN</v>
      </c>
      <c r="J2343" s="140" t="str">
        <f t="shared" si="147"/>
        <v>JANELA VENEZIANA DE CORRER, EM ALUMINIO PERFIL 25, 100 X 120 CM (A X L), 3 FLS (2 VENEZIANAS E 1 VIDRO), SEM BANDEIRA, ACABAMENTO BRANCO OU BRILHANTE, BATENTE DE 8 A 9 CM, COM VIDRO 4 MM, SEM GUARNICAO/ALIZAR</v>
      </c>
    </row>
    <row r="2344" spans="1:10" x14ac:dyDescent="0.25">
      <c r="A2344" s="169">
        <v>44399</v>
      </c>
      <c r="B2344" s="169" t="s">
        <v>25772</v>
      </c>
      <c r="C2344" s="169" t="s">
        <v>10225</v>
      </c>
      <c r="D2344" s="169" t="s">
        <v>1290</v>
      </c>
      <c r="E2344" s="103" t="s">
        <v>30537</v>
      </c>
      <c r="F2344" s="104"/>
      <c r="G2344" s="105">
        <f t="shared" si="144"/>
        <v>659.72</v>
      </c>
      <c r="H2344" s="101" t="str">
        <f t="shared" si="145"/>
        <v>Sinapi 44399</v>
      </c>
      <c r="I2344" s="101" t="str">
        <f t="shared" si="146"/>
        <v>UN</v>
      </c>
      <c r="J2344" s="140" t="str">
        <f t="shared" si="147"/>
        <v>JANELA VENEZIANA DE CORRER, EM ALUMINIO PERFIL 25, 100 X 150 CM (A X L), 6 FLS (4 VENEZIANAS E 2 VIDROS), SEM BANDEIRA, ACABAMENTO BRANCO OU BRILHANTE, BATENTE DE 8 A 9 CM, COM VIDRO 4 MM, SEM GUARNICAO / ALIZAR</v>
      </c>
    </row>
    <row r="2345" spans="1:10" x14ac:dyDescent="0.25">
      <c r="A2345" s="169">
        <v>44503</v>
      </c>
      <c r="B2345" s="169" t="s">
        <v>25774</v>
      </c>
      <c r="C2345" s="169" t="s">
        <v>10228</v>
      </c>
      <c r="D2345" s="169" t="s">
        <v>1289</v>
      </c>
      <c r="E2345" s="103" t="s">
        <v>19896</v>
      </c>
      <c r="F2345" s="104"/>
      <c r="G2345" s="105">
        <f t="shared" si="144"/>
        <v>14.89</v>
      </c>
      <c r="H2345" s="101" t="str">
        <f t="shared" si="145"/>
        <v>Sinapi 44503</v>
      </c>
      <c r="I2345" s="101" t="str">
        <f t="shared" si="146"/>
        <v>H</v>
      </c>
      <c r="J2345" s="140" t="str">
        <f t="shared" si="147"/>
        <v>JARDINEIRO (HORISTA)</v>
      </c>
    </row>
    <row r="2346" spans="1:10" x14ac:dyDescent="0.25">
      <c r="A2346" s="169">
        <v>41077</v>
      </c>
      <c r="B2346" s="169" t="s">
        <v>25775</v>
      </c>
      <c r="C2346" s="169" t="s">
        <v>10235</v>
      </c>
      <c r="D2346" s="169" t="s">
        <v>1289</v>
      </c>
      <c r="E2346" s="103" t="s">
        <v>30538</v>
      </c>
      <c r="F2346" s="104"/>
      <c r="G2346" s="105">
        <f t="shared" si="144"/>
        <v>2593.29</v>
      </c>
      <c r="H2346" s="101" t="str">
        <f t="shared" si="145"/>
        <v>Sinapi 41077</v>
      </c>
      <c r="I2346" s="101" t="str">
        <f t="shared" si="146"/>
        <v>MES</v>
      </c>
      <c r="J2346" s="140" t="str">
        <f t="shared" si="147"/>
        <v>JARDINEIRO (MENSALISTA)</v>
      </c>
    </row>
    <row r="2347" spans="1:10" x14ac:dyDescent="0.25">
      <c r="A2347" s="169">
        <v>37963</v>
      </c>
      <c r="B2347" s="169" t="s">
        <v>25776</v>
      </c>
      <c r="C2347" s="169" t="s">
        <v>10225</v>
      </c>
      <c r="D2347" s="169" t="s">
        <v>1289</v>
      </c>
      <c r="E2347" s="103" t="s">
        <v>15762</v>
      </c>
      <c r="F2347" s="104"/>
      <c r="G2347" s="105">
        <f t="shared" si="144"/>
        <v>5.23</v>
      </c>
      <c r="H2347" s="101" t="str">
        <f t="shared" si="145"/>
        <v>Sinapi 37963</v>
      </c>
      <c r="I2347" s="101" t="str">
        <f t="shared" si="146"/>
        <v>UN</v>
      </c>
      <c r="J2347" s="140" t="str">
        <f t="shared" si="147"/>
        <v>JOELHO CPVC, SOLDAVEL, 45 GRAUS, 15 MM, PARA AGUA QUENTE</v>
      </c>
    </row>
    <row r="2348" spans="1:10" x14ac:dyDescent="0.25">
      <c r="A2348" s="169">
        <v>37964</v>
      </c>
      <c r="B2348" s="169" t="s">
        <v>25777</v>
      </c>
      <c r="C2348" s="169" t="s">
        <v>10225</v>
      </c>
      <c r="D2348" s="169" t="s">
        <v>1289</v>
      </c>
      <c r="E2348" s="103" t="s">
        <v>20975</v>
      </c>
      <c r="F2348" s="104"/>
      <c r="G2348" s="105">
        <f t="shared" si="144"/>
        <v>7</v>
      </c>
      <c r="H2348" s="101" t="str">
        <f t="shared" si="145"/>
        <v>Sinapi 37964</v>
      </c>
      <c r="I2348" s="101" t="str">
        <f t="shared" si="146"/>
        <v>UN</v>
      </c>
      <c r="J2348" s="140" t="str">
        <f t="shared" si="147"/>
        <v>JOELHO CPVC, SOLDAVEL, 45 GRAUS, 22 MM, PARA AGUA QUENTE</v>
      </c>
    </row>
    <row r="2349" spans="1:10" x14ac:dyDescent="0.25">
      <c r="A2349" s="169">
        <v>37965</v>
      </c>
      <c r="B2349" s="169" t="s">
        <v>25778</v>
      </c>
      <c r="C2349" s="169" t="s">
        <v>10225</v>
      </c>
      <c r="D2349" s="169" t="s">
        <v>1289</v>
      </c>
      <c r="E2349" s="103" t="s">
        <v>17133</v>
      </c>
      <c r="F2349" s="104"/>
      <c r="G2349" s="105">
        <f t="shared" si="144"/>
        <v>10.09</v>
      </c>
      <c r="H2349" s="101" t="str">
        <f t="shared" si="145"/>
        <v>Sinapi 37965</v>
      </c>
      <c r="I2349" s="101" t="str">
        <f t="shared" si="146"/>
        <v>UN</v>
      </c>
      <c r="J2349" s="140" t="str">
        <f t="shared" si="147"/>
        <v>JOELHO CPVC, SOLDAVEL, 45 GRAUS, 28 MM, PARA AGUA QUENTE</v>
      </c>
    </row>
    <row r="2350" spans="1:10" x14ac:dyDescent="0.25">
      <c r="A2350" s="169">
        <v>37966</v>
      </c>
      <c r="B2350" s="169" t="s">
        <v>25779</v>
      </c>
      <c r="C2350" s="169" t="s">
        <v>10225</v>
      </c>
      <c r="D2350" s="169" t="s">
        <v>1289</v>
      </c>
      <c r="E2350" s="103" t="s">
        <v>12106</v>
      </c>
      <c r="F2350" s="104"/>
      <c r="G2350" s="105">
        <f t="shared" si="144"/>
        <v>17.72</v>
      </c>
      <c r="H2350" s="101" t="str">
        <f t="shared" si="145"/>
        <v>Sinapi 37966</v>
      </c>
      <c r="I2350" s="101" t="str">
        <f t="shared" si="146"/>
        <v>UN</v>
      </c>
      <c r="J2350" s="140" t="str">
        <f t="shared" si="147"/>
        <v>JOELHO CPVC, SOLDAVEL, 45 GRAUS, 35 MM, PARA AGUA QUENTE</v>
      </c>
    </row>
    <row r="2351" spans="1:10" x14ac:dyDescent="0.25">
      <c r="A2351" s="169">
        <v>37967</v>
      </c>
      <c r="B2351" s="169" t="s">
        <v>25780</v>
      </c>
      <c r="C2351" s="169" t="s">
        <v>10225</v>
      </c>
      <c r="D2351" s="169" t="s">
        <v>1289</v>
      </c>
      <c r="E2351" s="103" t="s">
        <v>23212</v>
      </c>
      <c r="F2351" s="104"/>
      <c r="G2351" s="105">
        <f t="shared" si="144"/>
        <v>29.77</v>
      </c>
      <c r="H2351" s="101" t="str">
        <f t="shared" si="145"/>
        <v>Sinapi 37967</v>
      </c>
      <c r="I2351" s="101" t="str">
        <f t="shared" si="146"/>
        <v>UN</v>
      </c>
      <c r="J2351" s="140" t="str">
        <f t="shared" si="147"/>
        <v>JOELHO CPVC, SOLDAVEL, 45 GRAUS, 42 MM, PARA AGUA QUENTE</v>
      </c>
    </row>
    <row r="2352" spans="1:10" x14ac:dyDescent="0.25">
      <c r="A2352" s="169">
        <v>37968</v>
      </c>
      <c r="B2352" s="169" t="s">
        <v>25781</v>
      </c>
      <c r="C2352" s="169" t="s">
        <v>10225</v>
      </c>
      <c r="D2352" s="169" t="s">
        <v>1289</v>
      </c>
      <c r="E2352" s="103" t="s">
        <v>30539</v>
      </c>
      <c r="F2352" s="104"/>
      <c r="G2352" s="105">
        <f t="shared" si="144"/>
        <v>63.21</v>
      </c>
      <c r="H2352" s="101" t="str">
        <f t="shared" si="145"/>
        <v>Sinapi 37968</v>
      </c>
      <c r="I2352" s="101" t="str">
        <f t="shared" si="146"/>
        <v>UN</v>
      </c>
      <c r="J2352" s="140" t="str">
        <f t="shared" si="147"/>
        <v>JOELHO CPVC, SOLDAVEL, 45 GRAUS, 54 MM, PARA AGUA QUENTE</v>
      </c>
    </row>
    <row r="2353" spans="1:10" x14ac:dyDescent="0.25">
      <c r="A2353" s="169">
        <v>37969</v>
      </c>
      <c r="B2353" s="169" t="s">
        <v>25782</v>
      </c>
      <c r="C2353" s="169" t="s">
        <v>10225</v>
      </c>
      <c r="D2353" s="169" t="s">
        <v>1289</v>
      </c>
      <c r="E2353" s="103" t="s">
        <v>30540</v>
      </c>
      <c r="F2353" s="104"/>
      <c r="G2353" s="105">
        <f t="shared" si="144"/>
        <v>159.72999999999999</v>
      </c>
      <c r="H2353" s="101" t="str">
        <f t="shared" si="145"/>
        <v>Sinapi 37969</v>
      </c>
      <c r="I2353" s="101" t="str">
        <f t="shared" si="146"/>
        <v>UN</v>
      </c>
      <c r="J2353" s="140" t="str">
        <f t="shared" si="147"/>
        <v>JOELHO CPVC, SOLDAVEL, 45 GRAUS, 73 MM, PARA AGUA QUENTE</v>
      </c>
    </row>
    <row r="2354" spans="1:10" x14ac:dyDescent="0.25">
      <c r="A2354" s="169">
        <v>37970</v>
      </c>
      <c r="B2354" s="169" t="s">
        <v>25783</v>
      </c>
      <c r="C2354" s="169" t="s">
        <v>10225</v>
      </c>
      <c r="D2354" s="169" t="s">
        <v>1289</v>
      </c>
      <c r="E2354" s="103" t="s">
        <v>30541</v>
      </c>
      <c r="F2354" s="104"/>
      <c r="G2354" s="105">
        <f t="shared" si="144"/>
        <v>231.09</v>
      </c>
      <c r="H2354" s="101" t="str">
        <f t="shared" si="145"/>
        <v>Sinapi 37970</v>
      </c>
      <c r="I2354" s="101" t="str">
        <f t="shared" si="146"/>
        <v>UN</v>
      </c>
      <c r="J2354" s="140" t="str">
        <f t="shared" si="147"/>
        <v>JOELHO CPVC, SOLDAVEL, 45 GRAUS, 89 MM, PARA AGUA QUENTE</v>
      </c>
    </row>
    <row r="2355" spans="1:10" x14ac:dyDescent="0.25">
      <c r="A2355" s="169">
        <v>44251</v>
      </c>
      <c r="B2355" s="169" t="s">
        <v>25784</v>
      </c>
      <c r="C2355" s="169" t="s">
        <v>10225</v>
      </c>
      <c r="D2355" s="169" t="s">
        <v>1289</v>
      </c>
      <c r="E2355" s="103" t="s">
        <v>30542</v>
      </c>
      <c r="F2355" s="104"/>
      <c r="G2355" s="105">
        <f t="shared" si="144"/>
        <v>266.92</v>
      </c>
      <c r="H2355" s="101" t="str">
        <f t="shared" si="145"/>
        <v>Sinapi 44251</v>
      </c>
      <c r="I2355" s="101" t="str">
        <f t="shared" si="146"/>
        <v>UN</v>
      </c>
      <c r="J2355" s="140" t="str">
        <f t="shared" si="147"/>
        <v>JOELHO CPVC, SOLDAVEL, 90 GRAUS, 114 MM, PARA AGUA QUENTE</v>
      </c>
    </row>
    <row r="2356" spans="1:10" x14ac:dyDescent="0.25">
      <c r="A2356" s="169">
        <v>21118</v>
      </c>
      <c r="B2356" s="169" t="s">
        <v>25786</v>
      </c>
      <c r="C2356" s="169" t="s">
        <v>10225</v>
      </c>
      <c r="D2356" s="169" t="s">
        <v>1289</v>
      </c>
      <c r="E2356" s="103" t="s">
        <v>29661</v>
      </c>
      <c r="F2356" s="104"/>
      <c r="G2356" s="105">
        <f t="shared" si="144"/>
        <v>4.16</v>
      </c>
      <c r="H2356" s="101" t="str">
        <f t="shared" si="145"/>
        <v>Sinapi 21118</v>
      </c>
      <c r="I2356" s="101" t="str">
        <f t="shared" si="146"/>
        <v>UN</v>
      </c>
      <c r="J2356" s="140" t="str">
        <f t="shared" si="147"/>
        <v>JOELHO CPVC, SOLDAVEL, 90 GRAUS, 15 MM, PARA AGUA QUENTE</v>
      </c>
    </row>
    <row r="2357" spans="1:10" x14ac:dyDescent="0.25">
      <c r="A2357" s="169">
        <v>37956</v>
      </c>
      <c r="B2357" s="169" t="s">
        <v>25787</v>
      </c>
      <c r="C2357" s="169" t="s">
        <v>10225</v>
      </c>
      <c r="D2357" s="169" t="s">
        <v>1289</v>
      </c>
      <c r="E2357" s="103" t="s">
        <v>8203</v>
      </c>
      <c r="F2357" s="104"/>
      <c r="G2357" s="105">
        <f t="shared" si="144"/>
        <v>5.1100000000000003</v>
      </c>
      <c r="H2357" s="101" t="str">
        <f t="shared" si="145"/>
        <v>Sinapi 37956</v>
      </c>
      <c r="I2357" s="101" t="str">
        <f t="shared" si="146"/>
        <v>UN</v>
      </c>
      <c r="J2357" s="140" t="str">
        <f t="shared" si="147"/>
        <v>JOELHO CPVC, SOLDAVEL, 90 GRAUS, 22 MM, PARA AGUA QUENTE</v>
      </c>
    </row>
    <row r="2358" spans="1:10" x14ac:dyDescent="0.25">
      <c r="A2358" s="169">
        <v>37957</v>
      </c>
      <c r="B2358" s="169" t="s">
        <v>25788</v>
      </c>
      <c r="C2358" s="169" t="s">
        <v>10225</v>
      </c>
      <c r="D2358" s="169" t="s">
        <v>1289</v>
      </c>
      <c r="E2358" s="103" t="s">
        <v>16398</v>
      </c>
      <c r="F2358" s="104"/>
      <c r="G2358" s="105">
        <f t="shared" si="144"/>
        <v>10.87</v>
      </c>
      <c r="H2358" s="101" t="str">
        <f t="shared" si="145"/>
        <v>Sinapi 37957</v>
      </c>
      <c r="I2358" s="101" t="str">
        <f t="shared" si="146"/>
        <v>UN</v>
      </c>
      <c r="J2358" s="140" t="str">
        <f t="shared" si="147"/>
        <v>JOELHO CPVC, SOLDAVEL, 90 GRAUS, 28 MM, PARA AGUA QUENTE</v>
      </c>
    </row>
    <row r="2359" spans="1:10" x14ac:dyDescent="0.25">
      <c r="A2359" s="169">
        <v>37958</v>
      </c>
      <c r="B2359" s="169" t="s">
        <v>25789</v>
      </c>
      <c r="C2359" s="169" t="s">
        <v>10225</v>
      </c>
      <c r="D2359" s="169" t="s">
        <v>1289</v>
      </c>
      <c r="E2359" s="103" t="s">
        <v>19904</v>
      </c>
      <c r="F2359" s="104"/>
      <c r="G2359" s="105">
        <f t="shared" si="144"/>
        <v>19.649999999999999</v>
      </c>
      <c r="H2359" s="101" t="str">
        <f t="shared" si="145"/>
        <v>Sinapi 37958</v>
      </c>
      <c r="I2359" s="101" t="str">
        <f t="shared" si="146"/>
        <v>UN</v>
      </c>
      <c r="J2359" s="140" t="str">
        <f t="shared" si="147"/>
        <v>JOELHO CPVC, SOLDAVEL, 90 GRAUS, 35 MM, PARA AGUA QUENTE</v>
      </c>
    </row>
    <row r="2360" spans="1:10" x14ac:dyDescent="0.25">
      <c r="A2360" s="169">
        <v>37959</v>
      </c>
      <c r="B2360" s="169" t="s">
        <v>25790</v>
      </c>
      <c r="C2360" s="169" t="s">
        <v>10225</v>
      </c>
      <c r="D2360" s="169" t="s">
        <v>1289</v>
      </c>
      <c r="E2360" s="103" t="s">
        <v>30543</v>
      </c>
      <c r="F2360" s="104"/>
      <c r="G2360" s="105">
        <f t="shared" si="144"/>
        <v>30.25</v>
      </c>
      <c r="H2360" s="101" t="str">
        <f t="shared" si="145"/>
        <v>Sinapi 37959</v>
      </c>
      <c r="I2360" s="101" t="str">
        <f t="shared" si="146"/>
        <v>UN</v>
      </c>
      <c r="J2360" s="140" t="str">
        <f t="shared" si="147"/>
        <v>JOELHO CPVC, SOLDAVEL, 90 GRAUS, 42 MM, PARA AGUA QUENTE</v>
      </c>
    </row>
    <row r="2361" spans="1:10" x14ac:dyDescent="0.25">
      <c r="A2361" s="169">
        <v>37960</v>
      </c>
      <c r="B2361" s="169" t="s">
        <v>25791</v>
      </c>
      <c r="C2361" s="169" t="s">
        <v>10225</v>
      </c>
      <c r="D2361" s="169" t="s">
        <v>1289</v>
      </c>
      <c r="E2361" s="103" t="s">
        <v>30544</v>
      </c>
      <c r="F2361" s="104"/>
      <c r="G2361" s="105">
        <f t="shared" si="144"/>
        <v>77.28</v>
      </c>
      <c r="H2361" s="101" t="str">
        <f t="shared" si="145"/>
        <v>Sinapi 37960</v>
      </c>
      <c r="I2361" s="101" t="str">
        <f t="shared" si="146"/>
        <v>UN</v>
      </c>
      <c r="J2361" s="140" t="str">
        <f t="shared" si="147"/>
        <v>JOELHO CPVC, SOLDAVEL, 90 GRAUS, 54 MM, PARA AGUA QUENTE</v>
      </c>
    </row>
    <row r="2362" spans="1:10" x14ac:dyDescent="0.25">
      <c r="A2362" s="169">
        <v>37961</v>
      </c>
      <c r="B2362" s="169" t="s">
        <v>25792</v>
      </c>
      <c r="C2362" s="169" t="s">
        <v>10225</v>
      </c>
      <c r="D2362" s="169" t="s">
        <v>1289</v>
      </c>
      <c r="E2362" s="103" t="s">
        <v>29061</v>
      </c>
      <c r="F2362" s="104"/>
      <c r="G2362" s="105">
        <f t="shared" si="144"/>
        <v>166.09</v>
      </c>
      <c r="H2362" s="101" t="str">
        <f t="shared" si="145"/>
        <v>Sinapi 37961</v>
      </c>
      <c r="I2362" s="101" t="str">
        <f t="shared" si="146"/>
        <v>UN</v>
      </c>
      <c r="J2362" s="140" t="str">
        <f t="shared" si="147"/>
        <v>JOELHO CPVC, SOLDAVEL, 90 GRAUS, 73 MM, PARA AGUA QUENTE</v>
      </c>
    </row>
    <row r="2363" spans="1:10" x14ac:dyDescent="0.25">
      <c r="A2363" s="169">
        <v>37962</v>
      </c>
      <c r="B2363" s="169" t="s">
        <v>25793</v>
      </c>
      <c r="C2363" s="169" t="s">
        <v>10225</v>
      </c>
      <c r="D2363" s="169" t="s">
        <v>1289</v>
      </c>
      <c r="E2363" s="103" t="s">
        <v>30545</v>
      </c>
      <c r="F2363" s="104"/>
      <c r="G2363" s="105">
        <f t="shared" si="144"/>
        <v>191.48</v>
      </c>
      <c r="H2363" s="101" t="str">
        <f t="shared" si="145"/>
        <v>Sinapi 37962</v>
      </c>
      <c r="I2363" s="101" t="str">
        <f t="shared" si="146"/>
        <v>UN</v>
      </c>
      <c r="J2363" s="140" t="str">
        <f t="shared" si="147"/>
        <v>JOELHO CPVC, SOLDAVEL, 90 GRAUS, 89 MM, PARA AGUA QUENTE</v>
      </c>
    </row>
    <row r="2364" spans="1:10" x14ac:dyDescent="0.25">
      <c r="A2364" s="169">
        <v>3533</v>
      </c>
      <c r="B2364" s="169" t="s">
        <v>25794</v>
      </c>
      <c r="C2364" s="169" t="s">
        <v>10225</v>
      </c>
      <c r="D2364" s="169" t="s">
        <v>1289</v>
      </c>
      <c r="E2364" s="103" t="s">
        <v>14637</v>
      </c>
      <c r="F2364" s="104"/>
      <c r="G2364" s="105">
        <f t="shared" si="144"/>
        <v>3.21</v>
      </c>
      <c r="H2364" s="101" t="str">
        <f t="shared" si="145"/>
        <v>Sinapi 3533</v>
      </c>
      <c r="I2364" s="101" t="str">
        <f t="shared" si="146"/>
        <v>UN</v>
      </c>
      <c r="J2364" s="140" t="str">
        <f t="shared" si="147"/>
        <v>JOELHO DE REDUCAO, PVC SOLDAVEL, 90 GRAUS, 25 MM X 20 MM, COR MARROM, PARA AGUA FRIA PREDIAL</v>
      </c>
    </row>
    <row r="2365" spans="1:10" x14ac:dyDescent="0.25">
      <c r="A2365" s="169">
        <v>3538</v>
      </c>
      <c r="B2365" s="169" t="s">
        <v>25795</v>
      </c>
      <c r="C2365" s="169" t="s">
        <v>10225</v>
      </c>
      <c r="D2365" s="169" t="s">
        <v>1289</v>
      </c>
      <c r="E2365" s="103" t="s">
        <v>21716</v>
      </c>
      <c r="F2365" s="104"/>
      <c r="G2365" s="105">
        <f t="shared" si="144"/>
        <v>6.08</v>
      </c>
      <c r="H2365" s="101" t="str">
        <f t="shared" si="145"/>
        <v>Sinapi 3538</v>
      </c>
      <c r="I2365" s="101" t="str">
        <f t="shared" si="146"/>
        <v>UN</v>
      </c>
      <c r="J2365" s="140" t="str">
        <f t="shared" si="147"/>
        <v>JOELHO DE REDUCAO, PVC SOLDAVEL, 90 GRAUS, 32 MM X 25 MM, COR MARROM, PARA AGUA FRIA PREDIAL</v>
      </c>
    </row>
    <row r="2366" spans="1:10" x14ac:dyDescent="0.25">
      <c r="A2366" s="169">
        <v>3498</v>
      </c>
      <c r="B2366" s="169" t="s">
        <v>25796</v>
      </c>
      <c r="C2366" s="169" t="s">
        <v>10225</v>
      </c>
      <c r="D2366" s="169" t="s">
        <v>1289</v>
      </c>
      <c r="E2366" s="103" t="s">
        <v>6045</v>
      </c>
      <c r="F2366" s="104"/>
      <c r="G2366" s="105">
        <f t="shared" si="144"/>
        <v>5.9</v>
      </c>
      <c r="H2366" s="101" t="str">
        <f t="shared" si="145"/>
        <v>Sinapi 3498</v>
      </c>
      <c r="I2366" s="101" t="str">
        <f t="shared" si="146"/>
        <v>UN</v>
      </c>
      <c r="J2366" s="140" t="str">
        <f t="shared" si="147"/>
        <v>JOELHO DE REDUCAO, PVC, ROSCAVEL, 90 GRAUS, 1" X 3/4", COR BRANCA, PARA AGUA FRIA PREDIAL</v>
      </c>
    </row>
    <row r="2367" spans="1:10" x14ac:dyDescent="0.25">
      <c r="A2367" s="169">
        <v>3496</v>
      </c>
      <c r="B2367" s="169" t="s">
        <v>25797</v>
      </c>
      <c r="C2367" s="169" t="s">
        <v>10225</v>
      </c>
      <c r="D2367" s="169" t="s">
        <v>1289</v>
      </c>
      <c r="E2367" s="103" t="s">
        <v>29467</v>
      </c>
      <c r="F2367" s="104"/>
      <c r="G2367" s="105">
        <f t="shared" si="144"/>
        <v>3.95</v>
      </c>
      <c r="H2367" s="101" t="str">
        <f t="shared" si="145"/>
        <v>Sinapi 3496</v>
      </c>
      <c r="I2367" s="101" t="str">
        <f t="shared" si="146"/>
        <v>UN</v>
      </c>
      <c r="J2367" s="140" t="str">
        <f t="shared" si="147"/>
        <v>JOELHO DE REDUCAO, PVC, ROSCAVEL, 90 GRAUS, 3/4" X 1/2", COR BRANCA, PARA AGUA FRIA PREDIAL</v>
      </c>
    </row>
    <row r="2368" spans="1:10" x14ac:dyDescent="0.25">
      <c r="A2368" s="169">
        <v>38429</v>
      </c>
      <c r="B2368" s="169" t="s">
        <v>25798</v>
      </c>
      <c r="C2368" s="169" t="s">
        <v>10225</v>
      </c>
      <c r="D2368" s="169" t="s">
        <v>1289</v>
      </c>
      <c r="E2368" s="103" t="s">
        <v>21440</v>
      </c>
      <c r="F2368" s="104"/>
      <c r="G2368" s="105">
        <f t="shared" si="144"/>
        <v>14.14</v>
      </c>
      <c r="H2368" s="101" t="str">
        <f t="shared" si="145"/>
        <v>Sinapi 38429</v>
      </c>
      <c r="I2368" s="101" t="str">
        <f t="shared" si="146"/>
        <v>UN</v>
      </c>
      <c r="J2368" s="140" t="str">
        <f t="shared" si="147"/>
        <v>JOELHO DE TRANSICAO, CPVC, SOLDAVEL, 90 GRAUS, 15 MM X 1/2", PARA AGUA QUENTE</v>
      </c>
    </row>
    <row r="2369" spans="1:10" x14ac:dyDescent="0.25">
      <c r="A2369" s="169">
        <v>38431</v>
      </c>
      <c r="B2369" s="169" t="s">
        <v>25799</v>
      </c>
      <c r="C2369" s="169" t="s">
        <v>10225</v>
      </c>
      <c r="D2369" s="169" t="s">
        <v>1289</v>
      </c>
      <c r="E2369" s="103" t="s">
        <v>23064</v>
      </c>
      <c r="F2369" s="104"/>
      <c r="G2369" s="105">
        <f t="shared" si="144"/>
        <v>17.739999999999998</v>
      </c>
      <c r="H2369" s="101" t="str">
        <f t="shared" si="145"/>
        <v>Sinapi 38431</v>
      </c>
      <c r="I2369" s="101" t="str">
        <f t="shared" si="146"/>
        <v>UN</v>
      </c>
      <c r="J2369" s="140" t="str">
        <f t="shared" si="147"/>
        <v>JOELHO DE TRANSICAO, CPVC, SOLDAVEL, 90 GRAUS, 22 MM X 1/2", PARA AGUA QUENTE</v>
      </c>
    </row>
    <row r="2370" spans="1:10" x14ac:dyDescent="0.25">
      <c r="A2370" s="169">
        <v>38430</v>
      </c>
      <c r="B2370" s="169" t="s">
        <v>25800</v>
      </c>
      <c r="C2370" s="169" t="s">
        <v>10225</v>
      </c>
      <c r="D2370" s="169" t="s">
        <v>1289</v>
      </c>
      <c r="E2370" s="103" t="s">
        <v>20098</v>
      </c>
      <c r="F2370" s="104"/>
      <c r="G2370" s="105">
        <f t="shared" si="144"/>
        <v>27.5</v>
      </c>
      <c r="H2370" s="101" t="str">
        <f t="shared" si="145"/>
        <v>Sinapi 38430</v>
      </c>
      <c r="I2370" s="101" t="str">
        <f t="shared" si="146"/>
        <v>UN</v>
      </c>
      <c r="J2370" s="140" t="str">
        <f t="shared" si="147"/>
        <v>JOELHO DE TRANSICAO, CPVC, SOLDAVEL, 90 GRAUS, 22 MM X 3/4", PARA AGUA QUENTE</v>
      </c>
    </row>
    <row r="2371" spans="1:10" x14ac:dyDescent="0.25">
      <c r="A2371" s="169">
        <v>36348</v>
      </c>
      <c r="B2371" s="169" t="s">
        <v>25801</v>
      </c>
      <c r="C2371" s="169" t="s">
        <v>10225</v>
      </c>
      <c r="D2371" s="169" t="s">
        <v>1290</v>
      </c>
      <c r="E2371" s="103" t="s">
        <v>8188</v>
      </c>
      <c r="F2371" s="104"/>
      <c r="G2371" s="105">
        <f t="shared" si="144"/>
        <v>1.96</v>
      </c>
      <c r="H2371" s="101" t="str">
        <f t="shared" si="145"/>
        <v>Sinapi 36348</v>
      </c>
      <c r="I2371" s="101" t="str">
        <f t="shared" si="146"/>
        <v>UN</v>
      </c>
      <c r="J2371" s="140" t="str">
        <f t="shared" si="147"/>
        <v>JOELHO PPR 45 GRAUS, SOLDAVEL, F/F, DN 20 MM, PARA AGUA QUENTE PREDIAL</v>
      </c>
    </row>
    <row r="2372" spans="1:10" x14ac:dyDescent="0.25">
      <c r="A2372" s="169">
        <v>36349</v>
      </c>
      <c r="B2372" s="169" t="s">
        <v>25802</v>
      </c>
      <c r="C2372" s="169" t="s">
        <v>10225</v>
      </c>
      <c r="D2372" s="169" t="s">
        <v>1290</v>
      </c>
      <c r="E2372" s="103" t="s">
        <v>20639</v>
      </c>
      <c r="F2372" s="104"/>
      <c r="G2372" s="105">
        <f t="shared" si="144"/>
        <v>2.7</v>
      </c>
      <c r="H2372" s="101" t="str">
        <f t="shared" si="145"/>
        <v>Sinapi 36349</v>
      </c>
      <c r="I2372" s="101" t="str">
        <f t="shared" si="146"/>
        <v>UN</v>
      </c>
      <c r="J2372" s="140" t="str">
        <f t="shared" si="147"/>
        <v>JOELHO PPR 45 GRAUS, SOLDAVEL, F/F, DN 25 MM, PARA AGUA QUENTE PREDIAL</v>
      </c>
    </row>
    <row r="2373" spans="1:10" x14ac:dyDescent="0.25">
      <c r="A2373" s="169">
        <v>38987</v>
      </c>
      <c r="B2373" s="169" t="s">
        <v>25803</v>
      </c>
      <c r="C2373" s="169" t="s">
        <v>10225</v>
      </c>
      <c r="D2373" s="169" t="s">
        <v>1290</v>
      </c>
      <c r="E2373" s="103" t="s">
        <v>19315</v>
      </c>
      <c r="F2373" s="104"/>
      <c r="G2373" s="105">
        <f t="shared" si="144"/>
        <v>12.98</v>
      </c>
      <c r="H2373" s="101" t="str">
        <f t="shared" si="145"/>
        <v>Sinapi 38987</v>
      </c>
      <c r="I2373" s="101" t="str">
        <f t="shared" si="146"/>
        <v>UN</v>
      </c>
      <c r="J2373" s="140" t="str">
        <f t="shared" si="147"/>
        <v>JOELHO PPR 45 GRAUS, SOLDAVEL, F/F, DN 40 MM, PARA AQUA QUENTE E FRIA PREDIAL</v>
      </c>
    </row>
    <row r="2374" spans="1:10" x14ac:dyDescent="0.25">
      <c r="A2374" s="169">
        <v>38988</v>
      </c>
      <c r="B2374" s="169" t="s">
        <v>25804</v>
      </c>
      <c r="C2374" s="169" t="s">
        <v>10225</v>
      </c>
      <c r="D2374" s="169" t="s">
        <v>1290</v>
      </c>
      <c r="E2374" s="103" t="s">
        <v>15538</v>
      </c>
      <c r="F2374" s="104"/>
      <c r="G2374" s="105">
        <f t="shared" si="144"/>
        <v>21.15</v>
      </c>
      <c r="H2374" s="101" t="str">
        <f t="shared" si="145"/>
        <v>Sinapi 38988</v>
      </c>
      <c r="I2374" s="101" t="str">
        <f t="shared" si="146"/>
        <v>UN</v>
      </c>
      <c r="J2374" s="140" t="str">
        <f t="shared" si="147"/>
        <v>JOELHO PPR 45 GRAUS, SOLDAVEL, F/F, DN 50 MM, PARA AQUA QUENTE E FRIA PREDIAL</v>
      </c>
    </row>
    <row r="2375" spans="1:10" x14ac:dyDescent="0.25">
      <c r="A2375" s="169">
        <v>38989</v>
      </c>
      <c r="B2375" s="169" t="s">
        <v>25806</v>
      </c>
      <c r="C2375" s="169" t="s">
        <v>10225</v>
      </c>
      <c r="D2375" s="169" t="s">
        <v>1290</v>
      </c>
      <c r="E2375" s="103" t="s">
        <v>30546</v>
      </c>
      <c r="F2375" s="104"/>
      <c r="G2375" s="105">
        <f t="shared" si="144"/>
        <v>35.590000000000003</v>
      </c>
      <c r="H2375" s="101" t="str">
        <f t="shared" si="145"/>
        <v>Sinapi 38989</v>
      </c>
      <c r="I2375" s="101" t="str">
        <f t="shared" si="146"/>
        <v>UN</v>
      </c>
      <c r="J2375" s="140" t="str">
        <f t="shared" si="147"/>
        <v>JOELHO PPR 45 GRAUS, SOLDAVEL, F/F, DN 63 MM, PARA AQUA QUENTE E FRIA PREDIAL</v>
      </c>
    </row>
    <row r="2376" spans="1:10" x14ac:dyDescent="0.25">
      <c r="A2376" s="169">
        <v>38990</v>
      </c>
      <c r="B2376" s="169" t="s">
        <v>25808</v>
      </c>
      <c r="C2376" s="169" t="s">
        <v>10225</v>
      </c>
      <c r="D2376" s="169" t="s">
        <v>1290</v>
      </c>
      <c r="E2376" s="103" t="s">
        <v>29224</v>
      </c>
      <c r="F2376" s="104"/>
      <c r="G2376" s="105">
        <f t="shared" ref="G2376:G2439" si="148">IF(E2376="","",E2376+0)</f>
        <v>71.12</v>
      </c>
      <c r="H2376" s="101" t="str">
        <f t="shared" ref="H2376:H2439" si="149">IF(G2376="","",TRIM(CONCATENATE("Sinapi ",A2376)))</f>
        <v>Sinapi 38990</v>
      </c>
      <c r="I2376" s="101" t="str">
        <f t="shared" ref="I2376:I2439" si="150">TRIM(C2376)</f>
        <v>UN</v>
      </c>
      <c r="J2376" s="140" t="str">
        <f t="shared" si="147"/>
        <v>JOELHO PPR 45 GRAUS, SOLDAVEL, F/F, DN 75 MM, PARA AQUA QUENTE E FRIA PREDIAL</v>
      </c>
    </row>
    <row r="2377" spans="1:10" x14ac:dyDescent="0.25">
      <c r="A2377" s="169">
        <v>38991</v>
      </c>
      <c r="B2377" s="169" t="s">
        <v>25809</v>
      </c>
      <c r="C2377" s="169" t="s">
        <v>10225</v>
      </c>
      <c r="D2377" s="169" t="s">
        <v>1290</v>
      </c>
      <c r="E2377" s="103" t="s">
        <v>30547</v>
      </c>
      <c r="F2377" s="104"/>
      <c r="G2377" s="105">
        <f t="shared" si="148"/>
        <v>127.97</v>
      </c>
      <c r="H2377" s="101" t="str">
        <f t="shared" si="149"/>
        <v>Sinapi 38991</v>
      </c>
      <c r="I2377" s="101" t="str">
        <f t="shared" si="150"/>
        <v>UN</v>
      </c>
      <c r="J2377" s="140" t="str">
        <f t="shared" ref="J2377:J2440" si="151">TRIM(B2377)</f>
        <v>JOELHO PPR 45 GRAUS, SOLDAVEL, F/F, DN 90 MM, PARA AQUA QUENTE E FRIA PREDIAL</v>
      </c>
    </row>
    <row r="2378" spans="1:10" x14ac:dyDescent="0.25">
      <c r="A2378" s="169">
        <v>38433</v>
      </c>
      <c r="B2378" s="169" t="s">
        <v>25810</v>
      </c>
      <c r="C2378" s="169" t="s">
        <v>10225</v>
      </c>
      <c r="D2378" s="169" t="s">
        <v>1290</v>
      </c>
      <c r="E2378" s="103" t="s">
        <v>4819</v>
      </c>
      <c r="F2378" s="104"/>
      <c r="G2378" s="105">
        <f t="shared" si="148"/>
        <v>6.61</v>
      </c>
      <c r="H2378" s="101" t="str">
        <f t="shared" si="149"/>
        <v>Sinapi 38433</v>
      </c>
      <c r="I2378" s="101" t="str">
        <f t="shared" si="150"/>
        <v>UN</v>
      </c>
      <c r="J2378" s="140" t="str">
        <f t="shared" si="151"/>
        <v>JOELHO PPR, 45 GRAUS, SOLDAVEL, F/F, DN 32 MM, PARA AGUA QUENTE PREDIAL</v>
      </c>
    </row>
    <row r="2379" spans="1:10" x14ac:dyDescent="0.25">
      <c r="A2379" s="169">
        <v>38440</v>
      </c>
      <c r="B2379" s="169" t="s">
        <v>25811</v>
      </c>
      <c r="C2379" s="169" t="s">
        <v>10225</v>
      </c>
      <c r="D2379" s="169" t="s">
        <v>1290</v>
      </c>
      <c r="E2379" s="103" t="s">
        <v>30548</v>
      </c>
      <c r="F2379" s="104"/>
      <c r="G2379" s="105">
        <f t="shared" si="148"/>
        <v>278.89999999999998</v>
      </c>
      <c r="H2379" s="101" t="str">
        <f t="shared" si="149"/>
        <v>Sinapi 38440</v>
      </c>
      <c r="I2379" s="101" t="str">
        <f t="shared" si="150"/>
        <v>UN</v>
      </c>
      <c r="J2379" s="140" t="str">
        <f t="shared" si="151"/>
        <v>JOELHO PPR, 90 GRAUS, SOLDAVEL, F/F, DN 110 MM, PARA AGUA QUENTE PREDIAL</v>
      </c>
    </row>
    <row r="2380" spans="1:10" x14ac:dyDescent="0.25">
      <c r="A2380" s="169">
        <v>36359</v>
      </c>
      <c r="B2380" s="169" t="s">
        <v>25812</v>
      </c>
      <c r="C2380" s="169" t="s">
        <v>10225</v>
      </c>
      <c r="D2380" s="169" t="s">
        <v>1290</v>
      </c>
      <c r="E2380" s="103" t="s">
        <v>3190</v>
      </c>
      <c r="F2380" s="104"/>
      <c r="G2380" s="105">
        <f t="shared" si="148"/>
        <v>1.74</v>
      </c>
      <c r="H2380" s="101" t="str">
        <f t="shared" si="149"/>
        <v>Sinapi 36359</v>
      </c>
      <c r="I2380" s="101" t="str">
        <f t="shared" si="150"/>
        <v>UN</v>
      </c>
      <c r="J2380" s="140" t="str">
        <f t="shared" si="151"/>
        <v>JOELHO PPR, 90 GRAUS, SOLDAVEL, F/F, DN 20 MM, PARA AGUA QUENTE PREDIAL</v>
      </c>
    </row>
    <row r="2381" spans="1:10" x14ac:dyDescent="0.25">
      <c r="A2381" s="169">
        <v>36360</v>
      </c>
      <c r="B2381" s="169" t="s">
        <v>25813</v>
      </c>
      <c r="C2381" s="169" t="s">
        <v>10225</v>
      </c>
      <c r="D2381" s="169" t="s">
        <v>1290</v>
      </c>
      <c r="E2381" s="103" t="s">
        <v>22822</v>
      </c>
      <c r="F2381" s="104"/>
      <c r="G2381" s="105">
        <f t="shared" si="148"/>
        <v>2.34</v>
      </c>
      <c r="H2381" s="101" t="str">
        <f t="shared" si="149"/>
        <v>Sinapi 36360</v>
      </c>
      <c r="I2381" s="101" t="str">
        <f t="shared" si="150"/>
        <v>UN</v>
      </c>
      <c r="J2381" s="140" t="str">
        <f t="shared" si="151"/>
        <v>JOELHO PPR, 90 GRAUS, SOLDAVEL, F/F, DN 25 MM, PARA AGUA QUENTE PREDIAL</v>
      </c>
    </row>
    <row r="2382" spans="1:10" x14ac:dyDescent="0.25">
      <c r="A2382" s="169">
        <v>38434</v>
      </c>
      <c r="B2382" s="169" t="s">
        <v>25814</v>
      </c>
      <c r="C2382" s="169" t="s">
        <v>10225</v>
      </c>
      <c r="D2382" s="169" t="s">
        <v>1290</v>
      </c>
      <c r="E2382" s="103" t="s">
        <v>24900</v>
      </c>
      <c r="F2382" s="104"/>
      <c r="G2382" s="105">
        <f t="shared" si="148"/>
        <v>3.56</v>
      </c>
      <c r="H2382" s="101" t="str">
        <f t="shared" si="149"/>
        <v>Sinapi 38434</v>
      </c>
      <c r="I2382" s="101" t="str">
        <f t="shared" si="150"/>
        <v>UN</v>
      </c>
      <c r="J2382" s="140" t="str">
        <f t="shared" si="151"/>
        <v>JOELHO PPR, 90 GRAUS, SOLDAVEL, F/F, DN 32 MM, PARA AGUA QUENTE PREDIAL</v>
      </c>
    </row>
    <row r="2383" spans="1:10" x14ac:dyDescent="0.25">
      <c r="A2383" s="169">
        <v>38435</v>
      </c>
      <c r="B2383" s="169" t="s">
        <v>25815</v>
      </c>
      <c r="C2383" s="169" t="s">
        <v>10225</v>
      </c>
      <c r="D2383" s="169" t="s">
        <v>1290</v>
      </c>
      <c r="E2383" s="103" t="s">
        <v>19858</v>
      </c>
      <c r="F2383" s="104"/>
      <c r="G2383" s="105">
        <f t="shared" si="148"/>
        <v>8.02</v>
      </c>
      <c r="H2383" s="101" t="str">
        <f t="shared" si="149"/>
        <v>Sinapi 38435</v>
      </c>
      <c r="I2383" s="101" t="str">
        <f t="shared" si="150"/>
        <v>UN</v>
      </c>
      <c r="J2383" s="140" t="str">
        <f t="shared" si="151"/>
        <v>JOELHO PPR, 90 GRAUS, SOLDAVEL, F/F, DN 40 MM, PARA AGUA QUENTE PREDIAL</v>
      </c>
    </row>
    <row r="2384" spans="1:10" x14ac:dyDescent="0.25">
      <c r="A2384" s="169">
        <v>38436</v>
      </c>
      <c r="B2384" s="169" t="s">
        <v>25816</v>
      </c>
      <c r="C2384" s="169" t="s">
        <v>10225</v>
      </c>
      <c r="D2384" s="169" t="s">
        <v>1290</v>
      </c>
      <c r="E2384" s="103" t="s">
        <v>17280</v>
      </c>
      <c r="F2384" s="104"/>
      <c r="G2384" s="105">
        <f t="shared" si="148"/>
        <v>13.3</v>
      </c>
      <c r="H2384" s="101" t="str">
        <f t="shared" si="149"/>
        <v>Sinapi 38436</v>
      </c>
      <c r="I2384" s="101" t="str">
        <f t="shared" si="150"/>
        <v>UN</v>
      </c>
      <c r="J2384" s="140" t="str">
        <f t="shared" si="151"/>
        <v>JOELHO PPR, 90 GRAUS, SOLDAVEL, F/F, DN 50 MM, PARA AGUA QUENTE PREDIAL</v>
      </c>
    </row>
    <row r="2385" spans="1:10" x14ac:dyDescent="0.25">
      <c r="A2385" s="169">
        <v>38437</v>
      </c>
      <c r="B2385" s="169" t="s">
        <v>25818</v>
      </c>
      <c r="C2385" s="169" t="s">
        <v>10225</v>
      </c>
      <c r="D2385" s="169" t="s">
        <v>1290</v>
      </c>
      <c r="E2385" s="103" t="s">
        <v>20071</v>
      </c>
      <c r="F2385" s="104"/>
      <c r="G2385" s="105">
        <f t="shared" si="148"/>
        <v>21.57</v>
      </c>
      <c r="H2385" s="101" t="str">
        <f t="shared" si="149"/>
        <v>Sinapi 38437</v>
      </c>
      <c r="I2385" s="101" t="str">
        <f t="shared" si="150"/>
        <v>UN</v>
      </c>
      <c r="J2385" s="140" t="str">
        <f t="shared" si="151"/>
        <v>JOELHO PPR, 90 GRAUS, SOLDAVEL, F/F, DN 63 MM, PARA AGUA QUENTE PREDIAL</v>
      </c>
    </row>
    <row r="2386" spans="1:10" x14ac:dyDescent="0.25">
      <c r="A2386" s="169">
        <v>38438</v>
      </c>
      <c r="B2386" s="169" t="s">
        <v>25819</v>
      </c>
      <c r="C2386" s="169" t="s">
        <v>10225</v>
      </c>
      <c r="D2386" s="169" t="s">
        <v>1290</v>
      </c>
      <c r="E2386" s="103" t="s">
        <v>30549</v>
      </c>
      <c r="F2386" s="104"/>
      <c r="G2386" s="105">
        <f t="shared" si="148"/>
        <v>62.57</v>
      </c>
      <c r="H2386" s="101" t="str">
        <f t="shared" si="149"/>
        <v>Sinapi 38438</v>
      </c>
      <c r="I2386" s="101" t="str">
        <f t="shared" si="150"/>
        <v>UN</v>
      </c>
      <c r="J2386" s="140" t="str">
        <f t="shared" si="151"/>
        <v>JOELHO PPR, 90 GRAUS, SOLDAVEL, F/F, DN 75 MM, PARA AGUA QUENTE PREDIAL</v>
      </c>
    </row>
    <row r="2387" spans="1:10" x14ac:dyDescent="0.25">
      <c r="A2387" s="169">
        <v>38439</v>
      </c>
      <c r="B2387" s="169" t="s">
        <v>25820</v>
      </c>
      <c r="C2387" s="169" t="s">
        <v>10225</v>
      </c>
      <c r="D2387" s="169" t="s">
        <v>1290</v>
      </c>
      <c r="E2387" s="103" t="s">
        <v>28536</v>
      </c>
      <c r="F2387" s="104"/>
      <c r="G2387" s="105">
        <f t="shared" si="148"/>
        <v>79.5</v>
      </c>
      <c r="H2387" s="101" t="str">
        <f t="shared" si="149"/>
        <v>Sinapi 38439</v>
      </c>
      <c r="I2387" s="101" t="str">
        <f t="shared" si="150"/>
        <v>UN</v>
      </c>
      <c r="J2387" s="140" t="str">
        <f t="shared" si="151"/>
        <v>JOELHO PPR, 90 GRAUS, SOLDAVEL, F/F, DN 90 MM, PARA AGUA QUENTE PREDIAL</v>
      </c>
    </row>
    <row r="2388" spans="1:10" x14ac:dyDescent="0.25">
      <c r="A2388" s="169">
        <v>10836</v>
      </c>
      <c r="B2388" s="169" t="s">
        <v>25822</v>
      </c>
      <c r="C2388" s="169" t="s">
        <v>10225</v>
      </c>
      <c r="D2388" s="169" t="s">
        <v>1289</v>
      </c>
      <c r="E2388" s="103" t="s">
        <v>5587</v>
      </c>
      <c r="F2388" s="104"/>
      <c r="G2388" s="105">
        <f t="shared" si="148"/>
        <v>20.440000000000001</v>
      </c>
      <c r="H2388" s="101" t="str">
        <f t="shared" si="149"/>
        <v>Sinapi 10836</v>
      </c>
      <c r="I2388" s="101" t="str">
        <f t="shared" si="150"/>
        <v>UN</v>
      </c>
      <c r="J2388" s="140" t="str">
        <f t="shared" si="151"/>
        <v>JOELHO PVC COM VISITA, 90 GRAUS, DN 100 X 50 MM, SERIE NORMAL, PARA ESGOTO PREDIAL</v>
      </c>
    </row>
    <row r="2389" spans="1:10" x14ac:dyDescent="0.25">
      <c r="A2389" s="169">
        <v>10835</v>
      </c>
      <c r="B2389" s="169" t="s">
        <v>25823</v>
      </c>
      <c r="C2389" s="169" t="s">
        <v>10225</v>
      </c>
      <c r="D2389" s="169" t="s">
        <v>1289</v>
      </c>
      <c r="E2389" s="103" t="s">
        <v>17924</v>
      </c>
      <c r="F2389" s="104"/>
      <c r="G2389" s="105">
        <f t="shared" si="148"/>
        <v>5.7</v>
      </c>
      <c r="H2389" s="101" t="str">
        <f t="shared" si="149"/>
        <v>Sinapi 10835</v>
      </c>
      <c r="I2389" s="101" t="str">
        <f t="shared" si="150"/>
        <v>UN</v>
      </c>
      <c r="J2389" s="140" t="str">
        <f t="shared" si="151"/>
        <v>JOELHO PVC, COM BOLSA E ANEL, 90 GRAUS, DN 40 X *38* MM, SERIE NORMAL, PARA ESGOTO PREDIAL</v>
      </c>
    </row>
    <row r="2390" spans="1:10" x14ac:dyDescent="0.25">
      <c r="A2390" s="169">
        <v>3475</v>
      </c>
      <c r="B2390" s="169" t="s">
        <v>25824</v>
      </c>
      <c r="C2390" s="169" t="s">
        <v>10225</v>
      </c>
      <c r="D2390" s="169" t="s">
        <v>1289</v>
      </c>
      <c r="E2390" s="103" t="s">
        <v>29245</v>
      </c>
      <c r="F2390" s="104"/>
      <c r="G2390" s="105">
        <f t="shared" si="148"/>
        <v>5.63</v>
      </c>
      <c r="H2390" s="101" t="str">
        <f t="shared" si="149"/>
        <v>Sinapi 3475</v>
      </c>
      <c r="I2390" s="101" t="str">
        <f t="shared" si="150"/>
        <v>UN</v>
      </c>
      <c r="J2390" s="140" t="str">
        <f t="shared" si="151"/>
        <v>JOELHO PVC, ROSCAVEL, 45 GRAUS, 1/2", COR BRANCA, PARA AGUA FRIA PREDIAL</v>
      </c>
    </row>
    <row r="2391" spans="1:10" x14ac:dyDescent="0.25">
      <c r="A2391" s="169">
        <v>3485</v>
      </c>
      <c r="B2391" s="169" t="s">
        <v>25825</v>
      </c>
      <c r="C2391" s="169" t="s">
        <v>10225</v>
      </c>
      <c r="D2391" s="169" t="s">
        <v>1289</v>
      </c>
      <c r="E2391" s="103" t="s">
        <v>20466</v>
      </c>
      <c r="F2391" s="104"/>
      <c r="G2391" s="105">
        <f t="shared" si="148"/>
        <v>15.57</v>
      </c>
      <c r="H2391" s="101" t="str">
        <f t="shared" si="149"/>
        <v>Sinapi 3485</v>
      </c>
      <c r="I2391" s="101" t="str">
        <f t="shared" si="150"/>
        <v>UN</v>
      </c>
      <c r="J2391" s="140" t="str">
        <f t="shared" si="151"/>
        <v>JOELHO PVC, ROSCAVEL, 45 GRAUS, 1", COR BRANCA, PARA AGUA FRIA PREDIAL</v>
      </c>
    </row>
    <row r="2392" spans="1:10" x14ac:dyDescent="0.25">
      <c r="A2392" s="169">
        <v>3534</v>
      </c>
      <c r="B2392" s="169" t="s">
        <v>25826</v>
      </c>
      <c r="C2392" s="169" t="s">
        <v>10225</v>
      </c>
      <c r="D2392" s="169" t="s">
        <v>1289</v>
      </c>
      <c r="E2392" s="103" t="s">
        <v>15580</v>
      </c>
      <c r="F2392" s="104"/>
      <c r="G2392" s="105">
        <f t="shared" si="148"/>
        <v>8.93</v>
      </c>
      <c r="H2392" s="101" t="str">
        <f t="shared" si="149"/>
        <v>Sinapi 3534</v>
      </c>
      <c r="I2392" s="101" t="str">
        <f t="shared" si="150"/>
        <v>UN</v>
      </c>
      <c r="J2392" s="140" t="str">
        <f t="shared" si="151"/>
        <v>JOELHO PVC, ROSCAVEL, 45 GRAUS, 3/4", COR BRANCA, PARA AGUA FRIA PREDIAL</v>
      </c>
    </row>
    <row r="2393" spans="1:10" x14ac:dyDescent="0.25">
      <c r="A2393" s="169">
        <v>3543</v>
      </c>
      <c r="B2393" s="169" t="s">
        <v>25827</v>
      </c>
      <c r="C2393" s="169" t="s">
        <v>10225</v>
      </c>
      <c r="D2393" s="169" t="s">
        <v>1289</v>
      </c>
      <c r="E2393" s="103" t="s">
        <v>22893</v>
      </c>
      <c r="F2393" s="104"/>
      <c r="G2393" s="105">
        <f t="shared" si="148"/>
        <v>2.0699999999999998</v>
      </c>
      <c r="H2393" s="101" t="str">
        <f t="shared" si="149"/>
        <v>Sinapi 3543</v>
      </c>
      <c r="I2393" s="101" t="str">
        <f t="shared" si="150"/>
        <v>UN</v>
      </c>
      <c r="J2393" s="140" t="str">
        <f t="shared" si="151"/>
        <v>JOELHO PVC, ROSCAVEL, 90 GRAUS, 1/2", COR BRANCA, PARA AGUA FRIA PREDIAL</v>
      </c>
    </row>
    <row r="2394" spans="1:10" x14ac:dyDescent="0.25">
      <c r="A2394" s="169">
        <v>3482</v>
      </c>
      <c r="B2394" s="169" t="s">
        <v>25828</v>
      </c>
      <c r="C2394" s="169" t="s">
        <v>10225</v>
      </c>
      <c r="D2394" s="169" t="s">
        <v>1289</v>
      </c>
      <c r="E2394" s="103" t="s">
        <v>30550</v>
      </c>
      <c r="F2394" s="104"/>
      <c r="G2394" s="105">
        <f t="shared" si="148"/>
        <v>6.38</v>
      </c>
      <c r="H2394" s="101" t="str">
        <f t="shared" si="149"/>
        <v>Sinapi 3482</v>
      </c>
      <c r="I2394" s="101" t="str">
        <f t="shared" si="150"/>
        <v>UN</v>
      </c>
      <c r="J2394" s="140" t="str">
        <f t="shared" si="151"/>
        <v>JOELHO PVC, ROSCAVEL, 90 GRAUS, 1", COR BRANCA, PARA AGUA FRIA PREDIAL</v>
      </c>
    </row>
    <row r="2395" spans="1:10" x14ac:dyDescent="0.25">
      <c r="A2395" s="169">
        <v>3505</v>
      </c>
      <c r="B2395" s="169" t="s">
        <v>25829</v>
      </c>
      <c r="C2395" s="169" t="s">
        <v>10225</v>
      </c>
      <c r="D2395" s="169" t="s">
        <v>1289</v>
      </c>
      <c r="E2395" s="103" t="s">
        <v>23225</v>
      </c>
      <c r="F2395" s="104"/>
      <c r="G2395" s="105">
        <f t="shared" si="148"/>
        <v>3.08</v>
      </c>
      <c r="H2395" s="101" t="str">
        <f t="shared" si="149"/>
        <v>Sinapi 3505</v>
      </c>
      <c r="I2395" s="101" t="str">
        <f t="shared" si="150"/>
        <v>UN</v>
      </c>
      <c r="J2395" s="140" t="str">
        <f t="shared" si="151"/>
        <v>JOELHO PVC, ROSCAVEL, 90 GRAUS, 3/4", COR BRANCA, PARA AGUA FRIA PREDIAL</v>
      </c>
    </row>
    <row r="2396" spans="1:10" x14ac:dyDescent="0.25">
      <c r="A2396" s="169">
        <v>3521</v>
      </c>
      <c r="B2396" s="169" t="s">
        <v>25830</v>
      </c>
      <c r="C2396" s="169" t="s">
        <v>10225</v>
      </c>
      <c r="D2396" s="169" t="s">
        <v>1289</v>
      </c>
      <c r="E2396" s="103" t="s">
        <v>17351</v>
      </c>
      <c r="F2396" s="104"/>
      <c r="G2396" s="105">
        <f t="shared" si="148"/>
        <v>2.3199999999999998</v>
      </c>
      <c r="H2396" s="101" t="str">
        <f t="shared" si="149"/>
        <v>Sinapi 3521</v>
      </c>
      <c r="I2396" s="101" t="str">
        <f t="shared" si="150"/>
        <v>UN</v>
      </c>
      <c r="J2396" s="140" t="str">
        <f t="shared" si="151"/>
        <v>JOELHO PVC, SOLDAVEL COM ROSCA, 90 GRAUS, 20 MM X 1/2", COR MARROM, PARA AGUA FRIA PREDIAL</v>
      </c>
    </row>
    <row r="2397" spans="1:10" x14ac:dyDescent="0.25">
      <c r="A2397" s="169">
        <v>3531</v>
      </c>
      <c r="B2397" s="169" t="s">
        <v>25831</v>
      </c>
      <c r="C2397" s="169" t="s">
        <v>10225</v>
      </c>
      <c r="D2397" s="169" t="s">
        <v>1289</v>
      </c>
      <c r="E2397" s="103" t="s">
        <v>19395</v>
      </c>
      <c r="F2397" s="104"/>
      <c r="G2397" s="105">
        <f t="shared" si="148"/>
        <v>4.42</v>
      </c>
      <c r="H2397" s="101" t="str">
        <f t="shared" si="149"/>
        <v>Sinapi 3531</v>
      </c>
      <c r="I2397" s="101" t="str">
        <f t="shared" si="150"/>
        <v>UN</v>
      </c>
      <c r="J2397" s="140" t="str">
        <f t="shared" si="151"/>
        <v>JOELHO PVC, SOLDAVEL COM ROSCA, 90 GRAUS, 25 MM X 1/2", COR MARROM, PARA AGUA FRIA PREDIAL</v>
      </c>
    </row>
    <row r="2398" spans="1:10" x14ac:dyDescent="0.25">
      <c r="A2398" s="169">
        <v>3522</v>
      </c>
      <c r="B2398" s="169" t="s">
        <v>25832</v>
      </c>
      <c r="C2398" s="169" t="s">
        <v>10225</v>
      </c>
      <c r="D2398" s="169" t="s">
        <v>1289</v>
      </c>
      <c r="E2398" s="103" t="s">
        <v>3143</v>
      </c>
      <c r="F2398" s="104"/>
      <c r="G2398" s="105">
        <f t="shared" si="148"/>
        <v>2.85</v>
      </c>
      <c r="H2398" s="101" t="str">
        <f t="shared" si="149"/>
        <v>Sinapi 3522</v>
      </c>
      <c r="I2398" s="101" t="str">
        <f t="shared" si="150"/>
        <v>UN</v>
      </c>
      <c r="J2398" s="140" t="str">
        <f t="shared" si="151"/>
        <v>JOELHO PVC, SOLDAVEL COM ROSCA, 90 GRAUS, 25 MM X 3/4", COR MARROM, PARA AGUA FRIA PREDIAL</v>
      </c>
    </row>
    <row r="2399" spans="1:10" x14ac:dyDescent="0.25">
      <c r="A2399" s="169">
        <v>3527</v>
      </c>
      <c r="B2399" s="169" t="s">
        <v>25833</v>
      </c>
      <c r="C2399" s="169" t="s">
        <v>10225</v>
      </c>
      <c r="D2399" s="169" t="s">
        <v>1289</v>
      </c>
      <c r="E2399" s="103" t="s">
        <v>20647</v>
      </c>
      <c r="F2399" s="104"/>
      <c r="G2399" s="105">
        <f t="shared" si="148"/>
        <v>15.01</v>
      </c>
      <c r="H2399" s="101" t="str">
        <f t="shared" si="149"/>
        <v>Sinapi 3527</v>
      </c>
      <c r="I2399" s="101" t="str">
        <f t="shared" si="150"/>
        <v>UN</v>
      </c>
      <c r="J2399" s="140" t="str">
        <f t="shared" si="151"/>
        <v>JOELHO PVC, SOLDAVEL COM ROSCA, 90 GRAUS, 32 MM X 3/4", COR MARROM, PARA AGUA FRIA PREDIAL</v>
      </c>
    </row>
    <row r="2400" spans="1:10" x14ac:dyDescent="0.25">
      <c r="A2400" s="169">
        <v>3516</v>
      </c>
      <c r="B2400" s="169" t="s">
        <v>25834</v>
      </c>
      <c r="C2400" s="169" t="s">
        <v>10225</v>
      </c>
      <c r="D2400" s="169" t="s">
        <v>1289</v>
      </c>
      <c r="E2400" s="103" t="s">
        <v>15577</v>
      </c>
      <c r="F2400" s="104"/>
      <c r="G2400" s="105">
        <f t="shared" si="148"/>
        <v>2.35</v>
      </c>
      <c r="H2400" s="101" t="str">
        <f t="shared" si="149"/>
        <v>Sinapi 3516</v>
      </c>
      <c r="I2400" s="101" t="str">
        <f t="shared" si="150"/>
        <v>UN</v>
      </c>
      <c r="J2400" s="140" t="str">
        <f t="shared" si="151"/>
        <v>JOELHO PVC, SOLDAVEL, BB, 45 GRAUS, DN 40 MM, PARA ESGOTO PREDIAL</v>
      </c>
    </row>
    <row r="2401" spans="1:10" x14ac:dyDescent="0.25">
      <c r="A2401" s="169">
        <v>3517</v>
      </c>
      <c r="B2401" s="169" t="s">
        <v>25836</v>
      </c>
      <c r="C2401" s="169" t="s">
        <v>10225</v>
      </c>
      <c r="D2401" s="169" t="s">
        <v>1289</v>
      </c>
      <c r="E2401" s="103" t="s">
        <v>13577</v>
      </c>
      <c r="F2401" s="104"/>
      <c r="G2401" s="105">
        <f t="shared" si="148"/>
        <v>2.12</v>
      </c>
      <c r="H2401" s="101" t="str">
        <f t="shared" si="149"/>
        <v>Sinapi 3517</v>
      </c>
      <c r="I2401" s="101" t="str">
        <f t="shared" si="150"/>
        <v>UN</v>
      </c>
      <c r="J2401" s="140" t="str">
        <f t="shared" si="151"/>
        <v>JOELHO PVC, SOLDAVEL, BB, 90 GRAUS, SEM ANEL, DN 40 MM, PARA ESGOTO PREDIAL SECUNDARIO</v>
      </c>
    </row>
    <row r="2402" spans="1:10" x14ac:dyDescent="0.25">
      <c r="A2402" s="169">
        <v>3515</v>
      </c>
      <c r="B2402" s="169" t="s">
        <v>25837</v>
      </c>
      <c r="C2402" s="169" t="s">
        <v>10225</v>
      </c>
      <c r="D2402" s="169" t="s">
        <v>1289</v>
      </c>
      <c r="E2402" s="103" t="s">
        <v>29201</v>
      </c>
      <c r="F2402" s="104"/>
      <c r="G2402" s="105">
        <f t="shared" si="148"/>
        <v>7.65</v>
      </c>
      <c r="H2402" s="101" t="str">
        <f t="shared" si="149"/>
        <v>Sinapi 3515</v>
      </c>
      <c r="I2402" s="101" t="str">
        <f t="shared" si="150"/>
        <v>UN</v>
      </c>
      <c r="J2402" s="140" t="str">
        <f t="shared" si="151"/>
        <v>JOELHO PVC, SOLDAVEL, COM BUCHA DE LATAO, 90 GRAUS, 20 MM X 1/2", PARA AGUA FRIA PREDIAL</v>
      </c>
    </row>
    <row r="2403" spans="1:10" x14ac:dyDescent="0.25">
      <c r="A2403" s="169">
        <v>20147</v>
      </c>
      <c r="B2403" s="169" t="s">
        <v>25838</v>
      </c>
      <c r="C2403" s="169" t="s">
        <v>10225</v>
      </c>
      <c r="D2403" s="169" t="s">
        <v>1289</v>
      </c>
      <c r="E2403" s="103" t="s">
        <v>5582</v>
      </c>
      <c r="F2403" s="104"/>
      <c r="G2403" s="105">
        <f t="shared" si="148"/>
        <v>6.29</v>
      </c>
      <c r="H2403" s="101" t="str">
        <f t="shared" si="149"/>
        <v>Sinapi 20147</v>
      </c>
      <c r="I2403" s="101" t="str">
        <f t="shared" si="150"/>
        <v>UN</v>
      </c>
      <c r="J2403" s="140" t="str">
        <f t="shared" si="151"/>
        <v>JOELHO PVC, SOLDAVEL, COM BUCHA DE LATAO, 90 GRAUS, 25 MM X 1/2", PARA AGUA FRIA PREDIAL</v>
      </c>
    </row>
    <row r="2404" spans="1:10" x14ac:dyDescent="0.25">
      <c r="A2404" s="169">
        <v>3524</v>
      </c>
      <c r="B2404" s="169" t="s">
        <v>25839</v>
      </c>
      <c r="C2404" s="169" t="s">
        <v>10225</v>
      </c>
      <c r="D2404" s="169" t="s">
        <v>1289</v>
      </c>
      <c r="E2404" s="103" t="s">
        <v>20450</v>
      </c>
      <c r="F2404" s="104"/>
      <c r="G2404" s="105">
        <f t="shared" si="148"/>
        <v>9.4700000000000006</v>
      </c>
      <c r="H2404" s="101" t="str">
        <f t="shared" si="149"/>
        <v>Sinapi 3524</v>
      </c>
      <c r="I2404" s="101" t="str">
        <f t="shared" si="150"/>
        <v>UN</v>
      </c>
      <c r="J2404" s="140" t="str">
        <f t="shared" si="151"/>
        <v>JOELHO PVC, SOLDAVEL, COM BUCHA DE LATAO, 90 GRAUS, 25 MM X 3/4", PARA AGUA FRIA PREDIAL</v>
      </c>
    </row>
    <row r="2405" spans="1:10" x14ac:dyDescent="0.25">
      <c r="A2405" s="169">
        <v>3532</v>
      </c>
      <c r="B2405" s="169" t="s">
        <v>25840</v>
      </c>
      <c r="C2405" s="169" t="s">
        <v>10225</v>
      </c>
      <c r="D2405" s="169" t="s">
        <v>1289</v>
      </c>
      <c r="E2405" s="103" t="s">
        <v>17354</v>
      </c>
      <c r="F2405" s="104"/>
      <c r="G2405" s="105">
        <f t="shared" si="148"/>
        <v>21.89</v>
      </c>
      <c r="H2405" s="101" t="str">
        <f t="shared" si="149"/>
        <v>Sinapi 3532</v>
      </c>
      <c r="I2405" s="101" t="str">
        <f t="shared" si="150"/>
        <v>UN</v>
      </c>
      <c r="J2405" s="140" t="str">
        <f t="shared" si="151"/>
        <v>JOELHO PVC, SOLDAVEL, COM BUCHA DE LATAO, 90 GRAUS, 32 MM X 3/4", PARA AGUA FRIA PREDIAL</v>
      </c>
    </row>
    <row r="2406" spans="1:10" x14ac:dyDescent="0.25">
      <c r="A2406" s="169">
        <v>3528</v>
      </c>
      <c r="B2406" s="169" t="s">
        <v>25841</v>
      </c>
      <c r="C2406" s="169" t="s">
        <v>10225</v>
      </c>
      <c r="D2406" s="169" t="s">
        <v>1289</v>
      </c>
      <c r="E2406" s="103" t="s">
        <v>14936</v>
      </c>
      <c r="F2406" s="104"/>
      <c r="G2406" s="105">
        <f t="shared" si="148"/>
        <v>9.1999999999999993</v>
      </c>
      <c r="H2406" s="101" t="str">
        <f t="shared" si="149"/>
        <v>Sinapi 3528</v>
      </c>
      <c r="I2406" s="101" t="str">
        <f t="shared" si="150"/>
        <v>UN</v>
      </c>
      <c r="J2406" s="140" t="str">
        <f t="shared" si="151"/>
        <v>JOELHO PVC, SOLDAVEL, PB, 45 GRAUS, DN 100 MM, PARA ESGOTO PREDIAL</v>
      </c>
    </row>
    <row r="2407" spans="1:10" x14ac:dyDescent="0.25">
      <c r="A2407" s="169">
        <v>37952</v>
      </c>
      <c r="B2407" s="169" t="s">
        <v>25842</v>
      </c>
      <c r="C2407" s="169" t="s">
        <v>10225</v>
      </c>
      <c r="D2407" s="169" t="s">
        <v>1289</v>
      </c>
      <c r="E2407" s="103" t="s">
        <v>30551</v>
      </c>
      <c r="F2407" s="104"/>
      <c r="G2407" s="105">
        <f t="shared" si="148"/>
        <v>65.94</v>
      </c>
      <c r="H2407" s="101" t="str">
        <f t="shared" si="149"/>
        <v>Sinapi 37952</v>
      </c>
      <c r="I2407" s="101" t="str">
        <f t="shared" si="150"/>
        <v>UN</v>
      </c>
      <c r="J2407" s="140" t="str">
        <f t="shared" si="151"/>
        <v>JOELHO PVC, SOLDAVEL, PB, 45 GRAUS, DN 150 MM, PARA ESGOTO PREDIAL</v>
      </c>
    </row>
    <row r="2408" spans="1:10" x14ac:dyDescent="0.25">
      <c r="A2408" s="169">
        <v>37951</v>
      </c>
      <c r="B2408" s="169" t="s">
        <v>25843</v>
      </c>
      <c r="C2408" s="169" t="s">
        <v>10225</v>
      </c>
      <c r="D2408" s="169" t="s">
        <v>1289</v>
      </c>
      <c r="E2408" s="103" t="s">
        <v>17905</v>
      </c>
      <c r="F2408" s="104"/>
      <c r="G2408" s="105">
        <f t="shared" si="148"/>
        <v>2.48</v>
      </c>
      <c r="H2408" s="101" t="str">
        <f t="shared" si="149"/>
        <v>Sinapi 37951</v>
      </c>
      <c r="I2408" s="101" t="str">
        <f t="shared" si="150"/>
        <v>UN</v>
      </c>
      <c r="J2408" s="140" t="str">
        <f t="shared" si="151"/>
        <v>JOELHO PVC, SOLDAVEL, PB, 45 GRAUS, DN 40 MM, PARA ESGOTO PREDIAL</v>
      </c>
    </row>
    <row r="2409" spans="1:10" x14ac:dyDescent="0.25">
      <c r="A2409" s="169">
        <v>3518</v>
      </c>
      <c r="B2409" s="169" t="s">
        <v>25844</v>
      </c>
      <c r="C2409" s="169" t="s">
        <v>10225</v>
      </c>
      <c r="D2409" s="169" t="s">
        <v>1289</v>
      </c>
      <c r="E2409" s="103" t="s">
        <v>20987</v>
      </c>
      <c r="F2409" s="104"/>
      <c r="G2409" s="105">
        <f t="shared" si="148"/>
        <v>3.81</v>
      </c>
      <c r="H2409" s="101" t="str">
        <f t="shared" si="149"/>
        <v>Sinapi 3518</v>
      </c>
      <c r="I2409" s="101" t="str">
        <f t="shared" si="150"/>
        <v>UN</v>
      </c>
      <c r="J2409" s="140" t="str">
        <f t="shared" si="151"/>
        <v>JOELHO PVC, SOLDAVEL, PB, 45 GRAUS, DN 50 MM, PARA ESGOTO PREDIAL</v>
      </c>
    </row>
    <row r="2410" spans="1:10" x14ac:dyDescent="0.25">
      <c r="A2410" s="169">
        <v>3519</v>
      </c>
      <c r="B2410" s="169" t="s">
        <v>25845</v>
      </c>
      <c r="C2410" s="169" t="s">
        <v>10225</v>
      </c>
      <c r="D2410" s="169" t="s">
        <v>1289</v>
      </c>
      <c r="E2410" s="103" t="s">
        <v>14123</v>
      </c>
      <c r="F2410" s="104"/>
      <c r="G2410" s="105">
        <f t="shared" si="148"/>
        <v>7.98</v>
      </c>
      <c r="H2410" s="101" t="str">
        <f t="shared" si="149"/>
        <v>Sinapi 3519</v>
      </c>
      <c r="I2410" s="101" t="str">
        <f t="shared" si="150"/>
        <v>UN</v>
      </c>
      <c r="J2410" s="140" t="str">
        <f t="shared" si="151"/>
        <v>JOELHO PVC, SOLDAVEL, PB, 45 GRAUS, DN 75 MM, PARA ESGOTO PREDIAL</v>
      </c>
    </row>
    <row r="2411" spans="1:10" x14ac:dyDescent="0.25">
      <c r="A2411" s="169">
        <v>3520</v>
      </c>
      <c r="B2411" s="169" t="s">
        <v>25846</v>
      </c>
      <c r="C2411" s="169" t="s">
        <v>10225</v>
      </c>
      <c r="D2411" s="169" t="s">
        <v>1289</v>
      </c>
      <c r="E2411" s="103" t="s">
        <v>20356</v>
      </c>
      <c r="F2411" s="104"/>
      <c r="G2411" s="105">
        <f t="shared" si="148"/>
        <v>8.36</v>
      </c>
      <c r="H2411" s="101" t="str">
        <f t="shared" si="149"/>
        <v>Sinapi 3520</v>
      </c>
      <c r="I2411" s="101" t="str">
        <f t="shared" si="150"/>
        <v>UN</v>
      </c>
      <c r="J2411" s="140" t="str">
        <f t="shared" si="151"/>
        <v>JOELHO PVC, SOLDAVEL, PB, 90 GRAUS, DN 100 MM, PARA ESGOTO PREDIAL</v>
      </c>
    </row>
    <row r="2412" spans="1:10" x14ac:dyDescent="0.25">
      <c r="A2412" s="169">
        <v>37950</v>
      </c>
      <c r="B2412" s="169" t="s">
        <v>25847</v>
      </c>
      <c r="C2412" s="169" t="s">
        <v>10225</v>
      </c>
      <c r="D2412" s="169" t="s">
        <v>1289</v>
      </c>
      <c r="E2412" s="103" t="s">
        <v>22957</v>
      </c>
      <c r="F2412" s="104"/>
      <c r="G2412" s="105">
        <f t="shared" si="148"/>
        <v>60.71</v>
      </c>
      <c r="H2412" s="101" t="str">
        <f t="shared" si="149"/>
        <v>Sinapi 37950</v>
      </c>
      <c r="I2412" s="101" t="str">
        <f t="shared" si="150"/>
        <v>UN</v>
      </c>
      <c r="J2412" s="140" t="str">
        <f t="shared" si="151"/>
        <v>JOELHO PVC, SOLDAVEL, PB, 90 GRAUS, DN 150 MM, PARA ESGOTO PREDIAL</v>
      </c>
    </row>
    <row r="2413" spans="1:10" x14ac:dyDescent="0.25">
      <c r="A2413" s="169">
        <v>37949</v>
      </c>
      <c r="B2413" s="169" t="s">
        <v>25848</v>
      </c>
      <c r="C2413" s="169" t="s">
        <v>10225</v>
      </c>
      <c r="D2413" s="169" t="s">
        <v>1289</v>
      </c>
      <c r="E2413" s="103" t="s">
        <v>30552</v>
      </c>
      <c r="F2413" s="104"/>
      <c r="G2413" s="105">
        <f t="shared" si="148"/>
        <v>2.2400000000000002</v>
      </c>
      <c r="H2413" s="101" t="str">
        <f t="shared" si="149"/>
        <v>Sinapi 37949</v>
      </c>
      <c r="I2413" s="101" t="str">
        <f t="shared" si="150"/>
        <v>UN</v>
      </c>
      <c r="J2413" s="140" t="str">
        <f t="shared" si="151"/>
        <v>JOELHO PVC, SOLDAVEL, PB, 90 GRAUS, DN 40 MM, PARA ESGOTO PREDIAL</v>
      </c>
    </row>
    <row r="2414" spans="1:10" x14ac:dyDescent="0.25">
      <c r="A2414" s="169">
        <v>3526</v>
      </c>
      <c r="B2414" s="169" t="s">
        <v>25849</v>
      </c>
      <c r="C2414" s="169" t="s">
        <v>10225</v>
      </c>
      <c r="D2414" s="169" t="s">
        <v>1289</v>
      </c>
      <c r="E2414" s="103" t="s">
        <v>23225</v>
      </c>
      <c r="F2414" s="104"/>
      <c r="G2414" s="105">
        <f t="shared" si="148"/>
        <v>3.08</v>
      </c>
      <c r="H2414" s="101" t="str">
        <f t="shared" si="149"/>
        <v>Sinapi 3526</v>
      </c>
      <c r="I2414" s="101" t="str">
        <f t="shared" si="150"/>
        <v>UN</v>
      </c>
      <c r="J2414" s="140" t="str">
        <f t="shared" si="151"/>
        <v>JOELHO PVC, SOLDAVEL, PB, 90 GRAUS, DN 50 MM, PARA ESGOTO PREDIAL</v>
      </c>
    </row>
    <row r="2415" spans="1:10" x14ac:dyDescent="0.25">
      <c r="A2415" s="169">
        <v>3509</v>
      </c>
      <c r="B2415" s="169" t="s">
        <v>25850</v>
      </c>
      <c r="C2415" s="169" t="s">
        <v>10225</v>
      </c>
      <c r="D2415" s="169" t="s">
        <v>1289</v>
      </c>
      <c r="E2415" s="103" t="s">
        <v>20975</v>
      </c>
      <c r="F2415" s="104"/>
      <c r="G2415" s="105">
        <f t="shared" si="148"/>
        <v>7</v>
      </c>
      <c r="H2415" s="101" t="str">
        <f t="shared" si="149"/>
        <v>Sinapi 3509</v>
      </c>
      <c r="I2415" s="101" t="str">
        <f t="shared" si="150"/>
        <v>UN</v>
      </c>
      <c r="J2415" s="140" t="str">
        <f t="shared" si="151"/>
        <v>JOELHO PVC, SOLDAVEL, PB, 90 GRAUS, DN 75 MM, PARA ESGOTO PREDIAL</v>
      </c>
    </row>
    <row r="2416" spans="1:10" x14ac:dyDescent="0.25">
      <c r="A2416" s="169">
        <v>3530</v>
      </c>
      <c r="B2416" s="169" t="s">
        <v>25851</v>
      </c>
      <c r="C2416" s="169" t="s">
        <v>10225</v>
      </c>
      <c r="D2416" s="169" t="s">
        <v>1289</v>
      </c>
      <c r="E2416" s="103" t="s">
        <v>29600</v>
      </c>
      <c r="F2416" s="104"/>
      <c r="G2416" s="105">
        <f t="shared" si="148"/>
        <v>243.02</v>
      </c>
      <c r="H2416" s="101" t="str">
        <f t="shared" si="149"/>
        <v>Sinapi 3530</v>
      </c>
      <c r="I2416" s="101" t="str">
        <f t="shared" si="150"/>
        <v>UN</v>
      </c>
      <c r="J2416" s="140" t="str">
        <f t="shared" si="151"/>
        <v>JOELHO PVC, SOLDAVEL, 90 GRAUS, 110 MM, COR MARROM, PARA AGUA FRIA PREDIAL</v>
      </c>
    </row>
    <row r="2417" spans="1:10" x14ac:dyDescent="0.25">
      <c r="A2417" s="169">
        <v>3542</v>
      </c>
      <c r="B2417" s="169" t="s">
        <v>25852</v>
      </c>
      <c r="C2417" s="169" t="s">
        <v>10225</v>
      </c>
      <c r="D2417" s="169" t="s">
        <v>1289</v>
      </c>
      <c r="E2417" s="103" t="s">
        <v>3780</v>
      </c>
      <c r="F2417" s="104"/>
      <c r="G2417" s="105">
        <f t="shared" si="148"/>
        <v>0.7</v>
      </c>
      <c r="H2417" s="101" t="str">
        <f t="shared" si="149"/>
        <v>Sinapi 3542</v>
      </c>
      <c r="I2417" s="101" t="str">
        <f t="shared" si="150"/>
        <v>UN</v>
      </c>
      <c r="J2417" s="140" t="str">
        <f t="shared" si="151"/>
        <v>JOELHO PVC, SOLDAVEL, 90 GRAUS, 20 MM, COR MARROM, PARA AGUA FRIA PREDIAL</v>
      </c>
    </row>
    <row r="2418" spans="1:10" x14ac:dyDescent="0.25">
      <c r="A2418" s="169">
        <v>3529</v>
      </c>
      <c r="B2418" s="169" t="s">
        <v>25853</v>
      </c>
      <c r="C2418" s="169" t="s">
        <v>10225</v>
      </c>
      <c r="D2418" s="169" t="s">
        <v>1289</v>
      </c>
      <c r="E2418" s="103" t="s">
        <v>2703</v>
      </c>
      <c r="F2418" s="104"/>
      <c r="G2418" s="105">
        <f t="shared" si="148"/>
        <v>0.85</v>
      </c>
      <c r="H2418" s="101" t="str">
        <f t="shared" si="149"/>
        <v>Sinapi 3529</v>
      </c>
      <c r="I2418" s="101" t="str">
        <f t="shared" si="150"/>
        <v>UN</v>
      </c>
      <c r="J2418" s="140" t="str">
        <f t="shared" si="151"/>
        <v>JOELHO PVC, SOLDAVEL, 90 GRAUS, 25 MM, COR MARROM, PARA AGUA FRIA PREDIAL</v>
      </c>
    </row>
    <row r="2419" spans="1:10" x14ac:dyDescent="0.25">
      <c r="A2419" s="169">
        <v>3536</v>
      </c>
      <c r="B2419" s="169" t="s">
        <v>25854</v>
      </c>
      <c r="C2419" s="169" t="s">
        <v>10225</v>
      </c>
      <c r="D2419" s="169" t="s">
        <v>1289</v>
      </c>
      <c r="E2419" s="103" t="s">
        <v>3143</v>
      </c>
      <c r="F2419" s="104"/>
      <c r="G2419" s="105">
        <f t="shared" si="148"/>
        <v>2.85</v>
      </c>
      <c r="H2419" s="101" t="str">
        <f t="shared" si="149"/>
        <v>Sinapi 3536</v>
      </c>
      <c r="I2419" s="101" t="str">
        <f t="shared" si="150"/>
        <v>UN</v>
      </c>
      <c r="J2419" s="140" t="str">
        <f t="shared" si="151"/>
        <v>JOELHO PVC, SOLDAVEL, 90 GRAUS, 32 MM, COR MARROM, PARA AGUA FRIA PREDIAL</v>
      </c>
    </row>
    <row r="2420" spans="1:10" x14ac:dyDescent="0.25">
      <c r="A2420" s="169">
        <v>3535</v>
      </c>
      <c r="B2420" s="169" t="s">
        <v>25855</v>
      </c>
      <c r="C2420" s="169" t="s">
        <v>10225</v>
      </c>
      <c r="D2420" s="169" t="s">
        <v>1289</v>
      </c>
      <c r="E2420" s="103" t="s">
        <v>5224</v>
      </c>
      <c r="F2420" s="104"/>
      <c r="G2420" s="105">
        <f t="shared" si="148"/>
        <v>6.94</v>
      </c>
      <c r="H2420" s="101" t="str">
        <f t="shared" si="149"/>
        <v>Sinapi 3535</v>
      </c>
      <c r="I2420" s="101" t="str">
        <f t="shared" si="150"/>
        <v>UN</v>
      </c>
      <c r="J2420" s="140" t="str">
        <f t="shared" si="151"/>
        <v>JOELHO PVC, SOLDAVEL, 90 GRAUS, 40 MM, COR MARROM, PARA AGUA FRIA PREDIAL</v>
      </c>
    </row>
    <row r="2421" spans="1:10" x14ac:dyDescent="0.25">
      <c r="A2421" s="169">
        <v>3540</v>
      </c>
      <c r="B2421" s="169" t="s">
        <v>25856</v>
      </c>
      <c r="C2421" s="169" t="s">
        <v>10225</v>
      </c>
      <c r="D2421" s="169" t="s">
        <v>1289</v>
      </c>
      <c r="E2421" s="103" t="s">
        <v>17928</v>
      </c>
      <c r="F2421" s="104"/>
      <c r="G2421" s="105">
        <f t="shared" si="148"/>
        <v>5.87</v>
      </c>
      <c r="H2421" s="101" t="str">
        <f t="shared" si="149"/>
        <v>Sinapi 3540</v>
      </c>
      <c r="I2421" s="101" t="str">
        <f t="shared" si="150"/>
        <v>UN</v>
      </c>
      <c r="J2421" s="140" t="str">
        <f t="shared" si="151"/>
        <v>JOELHO PVC, SOLDAVEL, 90 GRAUS, 50 MM, COR MARROM, PARA AGUA FRIA PREDIAL</v>
      </c>
    </row>
    <row r="2422" spans="1:10" x14ac:dyDescent="0.25">
      <c r="A2422" s="169">
        <v>3539</v>
      </c>
      <c r="B2422" s="169" t="s">
        <v>25857</v>
      </c>
      <c r="C2422" s="169" t="s">
        <v>10225</v>
      </c>
      <c r="D2422" s="169" t="s">
        <v>1289</v>
      </c>
      <c r="E2422" s="103" t="s">
        <v>21121</v>
      </c>
      <c r="F2422" s="104"/>
      <c r="G2422" s="105">
        <f t="shared" si="148"/>
        <v>34.01</v>
      </c>
      <c r="H2422" s="101" t="str">
        <f t="shared" si="149"/>
        <v>Sinapi 3539</v>
      </c>
      <c r="I2422" s="101" t="str">
        <f t="shared" si="150"/>
        <v>UN</v>
      </c>
      <c r="J2422" s="140" t="str">
        <f t="shared" si="151"/>
        <v>JOELHO PVC, SOLDAVEL, 90 GRAUS, 60 MM, COR MARROM, PARA AGUA FRIA PREDIAL</v>
      </c>
    </row>
    <row r="2423" spans="1:10" x14ac:dyDescent="0.25">
      <c r="A2423" s="169">
        <v>3513</v>
      </c>
      <c r="B2423" s="169" t="s">
        <v>25858</v>
      </c>
      <c r="C2423" s="169" t="s">
        <v>10225</v>
      </c>
      <c r="D2423" s="169" t="s">
        <v>1289</v>
      </c>
      <c r="E2423" s="103" t="s">
        <v>30553</v>
      </c>
      <c r="F2423" s="104"/>
      <c r="G2423" s="105">
        <f t="shared" si="148"/>
        <v>119.93</v>
      </c>
      <c r="H2423" s="101" t="str">
        <f t="shared" si="149"/>
        <v>Sinapi 3513</v>
      </c>
      <c r="I2423" s="101" t="str">
        <f t="shared" si="150"/>
        <v>UN</v>
      </c>
      <c r="J2423" s="140" t="str">
        <f t="shared" si="151"/>
        <v>JOELHO PVC, SOLDAVEL, 90 GRAUS, 85 MM, COR MARROM, PARA AGUA FRIA PREDIAL</v>
      </c>
    </row>
    <row r="2424" spans="1:10" x14ac:dyDescent="0.25">
      <c r="A2424" s="169">
        <v>3510</v>
      </c>
      <c r="B2424" s="169" t="s">
        <v>25860</v>
      </c>
      <c r="C2424" s="169" t="s">
        <v>10225</v>
      </c>
      <c r="D2424" s="169" t="s">
        <v>1289</v>
      </c>
      <c r="E2424" s="103" t="s">
        <v>5037</v>
      </c>
      <c r="F2424" s="104"/>
      <c r="G2424" s="105">
        <f t="shared" si="148"/>
        <v>14.81</v>
      </c>
      <c r="H2424" s="101" t="str">
        <f t="shared" si="149"/>
        <v>Sinapi 3510</v>
      </c>
      <c r="I2424" s="101" t="str">
        <f t="shared" si="150"/>
        <v>UN</v>
      </c>
      <c r="J2424" s="140" t="str">
        <f t="shared" si="151"/>
        <v>JOELHO PVC, 90 GRAUS, ROSCAVEL, 1 1/4", COR BRANCA, AGUA FRIA PREDIAL</v>
      </c>
    </row>
    <row r="2425" spans="1:10" x14ac:dyDescent="0.25">
      <c r="A2425" s="169">
        <v>38913</v>
      </c>
      <c r="B2425" s="169" t="s">
        <v>25861</v>
      </c>
      <c r="C2425" s="169" t="s">
        <v>10225</v>
      </c>
      <c r="D2425" s="169" t="s">
        <v>1290</v>
      </c>
      <c r="E2425" s="103" t="s">
        <v>21286</v>
      </c>
      <c r="F2425" s="104"/>
      <c r="G2425" s="105">
        <f t="shared" si="148"/>
        <v>9.42</v>
      </c>
      <c r="H2425" s="101" t="str">
        <f t="shared" si="149"/>
        <v>Sinapi 38913</v>
      </c>
      <c r="I2425" s="101" t="str">
        <f t="shared" si="150"/>
        <v>UN</v>
      </c>
      <c r="J2425" s="140" t="str">
        <f t="shared" si="151"/>
        <v>JOELHO/COTOVELO 90 GRAUS, METALICO, PARA CONEXAO COM ANEL DESLIZANTE, DN 16 MM, EM TUBO PEX PARA INST. AGUA QUENTE/FRIA</v>
      </c>
    </row>
    <row r="2426" spans="1:10" x14ac:dyDescent="0.25">
      <c r="A2426" s="169">
        <v>38914</v>
      </c>
      <c r="B2426" s="169" t="s">
        <v>25862</v>
      </c>
      <c r="C2426" s="169" t="s">
        <v>10225</v>
      </c>
      <c r="D2426" s="169" t="s">
        <v>1290</v>
      </c>
      <c r="E2426" s="103" t="s">
        <v>13749</v>
      </c>
      <c r="F2426" s="104"/>
      <c r="G2426" s="105">
        <f t="shared" si="148"/>
        <v>11.57</v>
      </c>
      <c r="H2426" s="101" t="str">
        <f t="shared" si="149"/>
        <v>Sinapi 38914</v>
      </c>
      <c r="I2426" s="101" t="str">
        <f t="shared" si="150"/>
        <v>UN</v>
      </c>
      <c r="J2426" s="140" t="str">
        <f t="shared" si="151"/>
        <v>JOELHO/COTOVELO 90 GRAUS, METALICO, PARA CONEXAO COM ANEL DESLIZANTE, DN 20 MM, EM TUBO PEX PARA INST. AGUA QUENTE/FRIA</v>
      </c>
    </row>
    <row r="2427" spans="1:10" x14ac:dyDescent="0.25">
      <c r="A2427" s="169">
        <v>38915</v>
      </c>
      <c r="B2427" s="169" t="s">
        <v>25863</v>
      </c>
      <c r="C2427" s="169" t="s">
        <v>10225</v>
      </c>
      <c r="D2427" s="169" t="s">
        <v>1290</v>
      </c>
      <c r="E2427" s="103" t="s">
        <v>11136</v>
      </c>
      <c r="F2427" s="104"/>
      <c r="G2427" s="105">
        <f t="shared" si="148"/>
        <v>22.29</v>
      </c>
      <c r="H2427" s="101" t="str">
        <f t="shared" si="149"/>
        <v>Sinapi 38915</v>
      </c>
      <c r="I2427" s="101" t="str">
        <f t="shared" si="150"/>
        <v>UN</v>
      </c>
      <c r="J2427" s="140" t="str">
        <f t="shared" si="151"/>
        <v>JOELHO/COTOVELO 90 GRAUS, METALICO, PARA CONEXAO COM ANEL DESLIZANTE, DN 25 MM, EM TUBO PEX PARA INST. AGUA QUENTE/FRIA</v>
      </c>
    </row>
    <row r="2428" spans="1:10" x14ac:dyDescent="0.25">
      <c r="A2428" s="169">
        <v>38916</v>
      </c>
      <c r="B2428" s="169" t="s">
        <v>25864</v>
      </c>
      <c r="C2428" s="169" t="s">
        <v>10225</v>
      </c>
      <c r="D2428" s="169" t="s">
        <v>1290</v>
      </c>
      <c r="E2428" s="103" t="s">
        <v>25865</v>
      </c>
      <c r="F2428" s="104"/>
      <c r="G2428" s="105">
        <f t="shared" si="148"/>
        <v>30.85</v>
      </c>
      <c r="H2428" s="101" t="str">
        <f t="shared" si="149"/>
        <v>Sinapi 38916</v>
      </c>
      <c r="I2428" s="101" t="str">
        <f t="shared" si="150"/>
        <v>UN</v>
      </c>
      <c r="J2428" s="140" t="str">
        <f t="shared" si="151"/>
        <v>JOELHO/COTOVELO 90 GRAUS, METALICO, PARA CONEXAO COM ANEL DESLIZANTE, DN 32 MM, EM TUBO PEX PARA INST. AGUA QUENTE/FRIA</v>
      </c>
    </row>
    <row r="2429" spans="1:10" x14ac:dyDescent="0.25">
      <c r="A2429" s="169">
        <v>39300</v>
      </c>
      <c r="B2429" s="169" t="s">
        <v>25866</v>
      </c>
      <c r="C2429" s="169" t="s">
        <v>10225</v>
      </c>
      <c r="D2429" s="169" t="s">
        <v>1290</v>
      </c>
      <c r="E2429" s="103" t="s">
        <v>17401</v>
      </c>
      <c r="F2429" s="104"/>
      <c r="G2429" s="105">
        <f t="shared" si="148"/>
        <v>8.41</v>
      </c>
      <c r="H2429" s="101" t="str">
        <f t="shared" si="149"/>
        <v>Sinapi 39300</v>
      </c>
      <c r="I2429" s="101" t="str">
        <f t="shared" si="150"/>
        <v>UN</v>
      </c>
      <c r="J2429" s="140" t="str">
        <f t="shared" si="151"/>
        <v>JOELHO/COTOVELO 90 GRAUS, PLASTICO, PARA CONEXAO COM CRIMPAGEM, DN 16 MM, EM TUBO PEX PARA INST. AGUA QUENTE/FRIA</v>
      </c>
    </row>
    <row r="2430" spans="1:10" x14ac:dyDescent="0.25">
      <c r="A2430" s="169">
        <v>39301</v>
      </c>
      <c r="B2430" s="169" t="s">
        <v>25867</v>
      </c>
      <c r="C2430" s="169" t="s">
        <v>10225</v>
      </c>
      <c r="D2430" s="169" t="s">
        <v>1290</v>
      </c>
      <c r="E2430" s="103" t="s">
        <v>20622</v>
      </c>
      <c r="F2430" s="104"/>
      <c r="G2430" s="105">
        <f t="shared" si="148"/>
        <v>11.26</v>
      </c>
      <c r="H2430" s="101" t="str">
        <f t="shared" si="149"/>
        <v>Sinapi 39301</v>
      </c>
      <c r="I2430" s="101" t="str">
        <f t="shared" si="150"/>
        <v>UN</v>
      </c>
      <c r="J2430" s="140" t="str">
        <f t="shared" si="151"/>
        <v>JOELHO/COTOVELO 90 GRAUS, PLASTICO, PARA CONEXAO COM CRIMPAGEM, DN 20 MM, EM TUBO PEX PARA INST. AGUA QUENTE/FRIA</v>
      </c>
    </row>
    <row r="2431" spans="1:10" x14ac:dyDescent="0.25">
      <c r="A2431" s="169">
        <v>39302</v>
      </c>
      <c r="B2431" s="169" t="s">
        <v>25868</v>
      </c>
      <c r="C2431" s="169" t="s">
        <v>10225</v>
      </c>
      <c r="D2431" s="169" t="s">
        <v>1290</v>
      </c>
      <c r="E2431" s="103" t="s">
        <v>21126</v>
      </c>
      <c r="F2431" s="104"/>
      <c r="G2431" s="105">
        <f t="shared" si="148"/>
        <v>20.47</v>
      </c>
      <c r="H2431" s="101" t="str">
        <f t="shared" si="149"/>
        <v>Sinapi 39302</v>
      </c>
      <c r="I2431" s="101" t="str">
        <f t="shared" si="150"/>
        <v>UN</v>
      </c>
      <c r="J2431" s="140" t="str">
        <f t="shared" si="151"/>
        <v>JOELHO/COTOVELO 90 GRAUS, PLASTICO, PARA CONEXAO COM CRIMPAGEM, DN 25 MM, EM TUBO PEX PARA INST. AGUA QUENTE/FRIA</v>
      </c>
    </row>
    <row r="2432" spans="1:10" x14ac:dyDescent="0.25">
      <c r="A2432" s="169">
        <v>38923</v>
      </c>
      <c r="B2432" s="169" t="s">
        <v>25869</v>
      </c>
      <c r="C2432" s="169" t="s">
        <v>10225</v>
      </c>
      <c r="D2432" s="169" t="s">
        <v>1290</v>
      </c>
      <c r="E2432" s="103" t="s">
        <v>17144</v>
      </c>
      <c r="F2432" s="104"/>
      <c r="G2432" s="105">
        <f t="shared" si="148"/>
        <v>10.08</v>
      </c>
      <c r="H2432" s="101" t="str">
        <f t="shared" si="149"/>
        <v>Sinapi 38923</v>
      </c>
      <c r="I2432" s="101" t="str">
        <f t="shared" si="150"/>
        <v>UN</v>
      </c>
      <c r="J2432" s="140" t="str">
        <f t="shared" si="151"/>
        <v>JOELHO/COTOVELO 90 GRAUS, ROSCA FEMEA TERMINAL, METALICO, PARA CONEXAO COM ANEL DESLIZANTE, DN 16 MM X 1/2", EM TUBO PEX PARA INST. AGUA QUENTE/FRIA</v>
      </c>
    </row>
    <row r="2433" spans="1:10" x14ac:dyDescent="0.25">
      <c r="A2433" s="169">
        <v>38925</v>
      </c>
      <c r="B2433" s="169" t="s">
        <v>25870</v>
      </c>
      <c r="C2433" s="169" t="s">
        <v>10225</v>
      </c>
      <c r="D2433" s="169" t="s">
        <v>1290</v>
      </c>
      <c r="E2433" s="103" t="s">
        <v>17278</v>
      </c>
      <c r="F2433" s="104"/>
      <c r="G2433" s="105">
        <f t="shared" si="148"/>
        <v>11.7</v>
      </c>
      <c r="H2433" s="101" t="str">
        <f t="shared" si="149"/>
        <v>Sinapi 38925</v>
      </c>
      <c r="I2433" s="101" t="str">
        <f t="shared" si="150"/>
        <v>UN</v>
      </c>
      <c r="J2433" s="140" t="str">
        <f t="shared" si="151"/>
        <v>JOELHO/COTOVELO 90 GRAUS, ROSCA FEMEA TERMINAL, METALICO, PARA CONEXAO COM ANEL DESLIZANTE, DN 20 MM X 1/2", EM TUBO PEX PARA INST. AGUA QUENTE/FRIA</v>
      </c>
    </row>
    <row r="2434" spans="1:10" x14ac:dyDescent="0.25">
      <c r="A2434" s="169">
        <v>38926</v>
      </c>
      <c r="B2434" s="169" t="s">
        <v>25871</v>
      </c>
      <c r="C2434" s="169" t="s">
        <v>10225</v>
      </c>
      <c r="D2434" s="169" t="s">
        <v>1290</v>
      </c>
      <c r="E2434" s="103" t="s">
        <v>13651</v>
      </c>
      <c r="F2434" s="104"/>
      <c r="G2434" s="105">
        <f t="shared" si="148"/>
        <v>13.87</v>
      </c>
      <c r="H2434" s="101" t="str">
        <f t="shared" si="149"/>
        <v>Sinapi 38926</v>
      </c>
      <c r="I2434" s="101" t="str">
        <f t="shared" si="150"/>
        <v>UN</v>
      </c>
      <c r="J2434" s="140" t="str">
        <f t="shared" si="151"/>
        <v>JOELHO/COTOVELO 90 GRAUS, ROSCA FEMEA TERMINAL, METALICO, PARA CONEXAO COM ANEL DESLIZANTE, DN 20 MM X 3/4", EM TUBO PEX PARA INST. AGUA QUENTE/FRIA</v>
      </c>
    </row>
    <row r="2435" spans="1:10" x14ac:dyDescent="0.25">
      <c r="A2435" s="169">
        <v>38927</v>
      </c>
      <c r="B2435" s="169" t="s">
        <v>25872</v>
      </c>
      <c r="C2435" s="169" t="s">
        <v>10225</v>
      </c>
      <c r="D2435" s="169" t="s">
        <v>1290</v>
      </c>
      <c r="E2435" s="103" t="s">
        <v>7482</v>
      </c>
      <c r="F2435" s="104"/>
      <c r="G2435" s="105">
        <f t="shared" si="148"/>
        <v>17.52</v>
      </c>
      <c r="H2435" s="101" t="str">
        <f t="shared" si="149"/>
        <v>Sinapi 38927</v>
      </c>
      <c r="I2435" s="101" t="str">
        <f t="shared" si="150"/>
        <v>UN</v>
      </c>
      <c r="J2435" s="140" t="str">
        <f t="shared" si="151"/>
        <v>JOELHO/COTOVELO 90 GRAUS, ROSCA FEMEA TERMINAL, METALICO, PARA CONEXAO COM ANEL DESLIZANTE, DN 25 MM X 3/4", EM TUBO PEX PARA INST. AGUA QUENTE/FRIA</v>
      </c>
    </row>
    <row r="2436" spans="1:10" x14ac:dyDescent="0.25">
      <c r="A2436" s="169">
        <v>39304</v>
      </c>
      <c r="B2436" s="169" t="s">
        <v>25873</v>
      </c>
      <c r="C2436" s="169" t="s">
        <v>10225</v>
      </c>
      <c r="D2436" s="169" t="s">
        <v>1290</v>
      </c>
      <c r="E2436" s="103" t="s">
        <v>16345</v>
      </c>
      <c r="F2436" s="104"/>
      <c r="G2436" s="105">
        <f t="shared" si="148"/>
        <v>9.9499999999999993</v>
      </c>
      <c r="H2436" s="101" t="str">
        <f t="shared" si="149"/>
        <v>Sinapi 39304</v>
      </c>
      <c r="I2436" s="101" t="str">
        <f t="shared" si="150"/>
        <v>UN</v>
      </c>
      <c r="J2436" s="140" t="str">
        <f t="shared" si="151"/>
        <v>JOELHO/COTOVELO 90 GRAUS, ROSCA FEMEA TERMINAL, PLASTICO, PARA CONEXAO COM CRIMPAGEM, DN 16 MM X 1/2", EM TUBO PEX PARA INST. AGUA QUENTE/FRIA</v>
      </c>
    </row>
    <row r="2437" spans="1:10" x14ac:dyDescent="0.25">
      <c r="A2437" s="169">
        <v>39305</v>
      </c>
      <c r="B2437" s="169" t="s">
        <v>25874</v>
      </c>
      <c r="C2437" s="169" t="s">
        <v>10225</v>
      </c>
      <c r="D2437" s="169" t="s">
        <v>1290</v>
      </c>
      <c r="E2437" s="103" t="s">
        <v>20373</v>
      </c>
      <c r="F2437" s="104"/>
      <c r="G2437" s="105">
        <f t="shared" si="148"/>
        <v>10.91</v>
      </c>
      <c r="H2437" s="101" t="str">
        <f t="shared" si="149"/>
        <v>Sinapi 39305</v>
      </c>
      <c r="I2437" s="101" t="str">
        <f t="shared" si="150"/>
        <v>UN</v>
      </c>
      <c r="J2437" s="140" t="str">
        <f t="shared" si="151"/>
        <v>JOELHO/COTOVELO 90 GRAUS, ROSCA FEMEA TERMINAL, PLASTICO, PARA CONEXAO COM CRIMPAGEM, DN 20 MM X 1/2", EM TUBO PEX PARA INST. AGUA QUENTE/FRIA</v>
      </c>
    </row>
    <row r="2438" spans="1:10" x14ac:dyDescent="0.25">
      <c r="A2438" s="169">
        <v>39306</v>
      </c>
      <c r="B2438" s="169" t="s">
        <v>25875</v>
      </c>
      <c r="C2438" s="169" t="s">
        <v>10225</v>
      </c>
      <c r="D2438" s="169" t="s">
        <v>1290</v>
      </c>
      <c r="E2438" s="103" t="s">
        <v>20359</v>
      </c>
      <c r="F2438" s="104"/>
      <c r="G2438" s="105">
        <f t="shared" si="148"/>
        <v>14.67</v>
      </c>
      <c r="H2438" s="101" t="str">
        <f t="shared" si="149"/>
        <v>Sinapi 39306</v>
      </c>
      <c r="I2438" s="101" t="str">
        <f t="shared" si="150"/>
        <v>UN</v>
      </c>
      <c r="J2438" s="140" t="str">
        <f t="shared" si="151"/>
        <v>JOELHO/COTOVELO 90 GRAUS, ROSCA FEMEA TERMINAL, PLASTICO, PARA CONEXAO COM CRIMPAGEM, DN 20 MM X 3/4", EM TUBO PEX PARA INST. AGUA QUENTE/FRIA</v>
      </c>
    </row>
    <row r="2439" spans="1:10" x14ac:dyDescent="0.25">
      <c r="A2439" s="169">
        <v>38928</v>
      </c>
      <c r="B2439" s="169" t="s">
        <v>25876</v>
      </c>
      <c r="C2439" s="169" t="s">
        <v>10225</v>
      </c>
      <c r="D2439" s="169" t="s">
        <v>1290</v>
      </c>
      <c r="E2439" s="103" t="s">
        <v>15799</v>
      </c>
      <c r="F2439" s="104"/>
      <c r="G2439" s="105">
        <f t="shared" si="148"/>
        <v>19.39</v>
      </c>
      <c r="H2439" s="101" t="str">
        <f t="shared" si="149"/>
        <v>Sinapi 38928</v>
      </c>
      <c r="I2439" s="101" t="str">
        <f t="shared" si="150"/>
        <v>UN</v>
      </c>
      <c r="J2439" s="140" t="str">
        <f t="shared" si="151"/>
        <v>JOELHO/COTOVELO 90 GRAUS, ROSCA FEMEA TERMINAL, PLASTICO, PARA CONEXAO COM CRIMPAGEM, DN 25 MM X 1/2", EM TUBO PEX PARA INST. AGUA QUENTE/FRIA</v>
      </c>
    </row>
    <row r="2440" spans="1:10" x14ac:dyDescent="0.25">
      <c r="A2440" s="169">
        <v>38941</v>
      </c>
      <c r="B2440" s="169" t="s">
        <v>25877</v>
      </c>
      <c r="C2440" s="169" t="s">
        <v>10225</v>
      </c>
      <c r="D2440" s="169" t="s">
        <v>1290</v>
      </c>
      <c r="E2440" s="103" t="s">
        <v>14320</v>
      </c>
      <c r="F2440" s="104"/>
      <c r="G2440" s="105">
        <f t="shared" ref="G2440:G2503" si="152">IF(E2440="","",E2440+0)</f>
        <v>15.2</v>
      </c>
      <c r="H2440" s="101" t="str">
        <f t="shared" ref="H2440:H2503" si="153">IF(G2440="","",TRIM(CONCATENATE("Sinapi ",A2440)))</f>
        <v>Sinapi 38941</v>
      </c>
      <c r="I2440" s="101" t="str">
        <f t="shared" ref="I2440:I2503" si="154">TRIM(C2440)</f>
        <v>UN</v>
      </c>
      <c r="J2440" s="140" t="str">
        <f t="shared" si="151"/>
        <v>JOELHO/COTOVELO, ROSCA FEMEA MOVEL, METALICO, PARA CONEXAO COM ANEL DESLIZANTE, DN 20 MM X 3/4", EM TUBO PEX PARA INST. AGUA QUENTE/FRIA</v>
      </c>
    </row>
    <row r="2441" spans="1:10" x14ac:dyDescent="0.25">
      <c r="A2441" s="169">
        <v>38917</v>
      </c>
      <c r="B2441" s="169" t="s">
        <v>25878</v>
      </c>
      <c r="C2441" s="169" t="s">
        <v>10225</v>
      </c>
      <c r="D2441" s="169" t="s">
        <v>1290</v>
      </c>
      <c r="E2441" s="103" t="s">
        <v>16293</v>
      </c>
      <c r="F2441" s="104"/>
      <c r="G2441" s="105">
        <f t="shared" si="152"/>
        <v>10.84</v>
      </c>
      <c r="H2441" s="101" t="str">
        <f t="shared" si="153"/>
        <v>Sinapi 38917</v>
      </c>
      <c r="I2441" s="101" t="str">
        <f t="shared" si="154"/>
        <v>UN</v>
      </c>
      <c r="J2441" s="140" t="str">
        <f t="shared" ref="J2441:J2504" si="155">TRIM(B2441)</f>
        <v>JOELHO/COTOVELO, ROSCA FEMEA, COM BASE FIXA, METALICO, PARA CONEXAO COM ANEL DESLIZANTE, DN 16 MM X 1/2", EM TUBO PEX PARA INST. AGUA QUENTE/FRIA</v>
      </c>
    </row>
    <row r="2442" spans="1:10" x14ac:dyDescent="0.25">
      <c r="A2442" s="169">
        <v>38919</v>
      </c>
      <c r="B2442" s="169" t="s">
        <v>25879</v>
      </c>
      <c r="C2442" s="169" t="s">
        <v>10225</v>
      </c>
      <c r="D2442" s="169" t="s">
        <v>1290</v>
      </c>
      <c r="E2442" s="103" t="s">
        <v>5718</v>
      </c>
      <c r="F2442" s="104"/>
      <c r="G2442" s="105">
        <f t="shared" si="152"/>
        <v>12.72</v>
      </c>
      <c r="H2442" s="101" t="str">
        <f t="shared" si="153"/>
        <v>Sinapi 38919</v>
      </c>
      <c r="I2442" s="101" t="str">
        <f t="shared" si="154"/>
        <v>UN</v>
      </c>
      <c r="J2442" s="140" t="str">
        <f t="shared" si="155"/>
        <v>JOELHO/COTOVELO, ROSCA FEMEA, COM BASE FIXA, METALICO, PARA CONEXAO COM ANEL DESLIZANTE, DN 20 MM X 1/2", EM TUBO PEX PARA INST. AGUA QUENTE/FRIA</v>
      </c>
    </row>
    <row r="2443" spans="1:10" x14ac:dyDescent="0.25">
      <c r="A2443" s="169">
        <v>38922</v>
      </c>
      <c r="B2443" s="169" t="s">
        <v>25880</v>
      </c>
      <c r="C2443" s="169" t="s">
        <v>10225</v>
      </c>
      <c r="D2443" s="169" t="s">
        <v>1290</v>
      </c>
      <c r="E2443" s="103" t="s">
        <v>15511</v>
      </c>
      <c r="F2443" s="104"/>
      <c r="G2443" s="105">
        <f t="shared" si="152"/>
        <v>17.07</v>
      </c>
      <c r="H2443" s="101" t="str">
        <f t="shared" si="153"/>
        <v>Sinapi 38922</v>
      </c>
      <c r="I2443" s="101" t="str">
        <f t="shared" si="154"/>
        <v>UN</v>
      </c>
      <c r="J2443" s="140" t="str">
        <f t="shared" si="155"/>
        <v>JOELHO/COTOVELO, ROSCA FEMEA, COM BASE FIXA, METALICO, PARA CONEXAO COM ANEL DESLIZANTE, DN 25 MM X 3/4", EM TUBO PEX PARA INST. AGUA QUENTE/FRIA</v>
      </c>
    </row>
    <row r="2444" spans="1:10" x14ac:dyDescent="0.25">
      <c r="A2444" s="169">
        <v>20151</v>
      </c>
      <c r="B2444" s="169" t="s">
        <v>25881</v>
      </c>
      <c r="C2444" s="169" t="s">
        <v>10225</v>
      </c>
      <c r="D2444" s="169" t="s">
        <v>1289</v>
      </c>
      <c r="E2444" s="103" t="s">
        <v>30279</v>
      </c>
      <c r="F2444" s="104"/>
      <c r="G2444" s="105">
        <f t="shared" si="152"/>
        <v>20.56</v>
      </c>
      <c r="H2444" s="101" t="str">
        <f t="shared" si="153"/>
        <v>Sinapi 20151</v>
      </c>
      <c r="I2444" s="101" t="str">
        <f t="shared" si="154"/>
        <v>UN</v>
      </c>
      <c r="J2444" s="140" t="str">
        <f t="shared" si="155"/>
        <v>JOELHO, PVC SERIE R, 45 GRAUS, DN 100 MM, PARA ESGOTO PREDIAL</v>
      </c>
    </row>
    <row r="2445" spans="1:10" x14ac:dyDescent="0.25">
      <c r="A2445" s="169">
        <v>20152</v>
      </c>
      <c r="B2445" s="169" t="s">
        <v>25882</v>
      </c>
      <c r="C2445" s="169" t="s">
        <v>10225</v>
      </c>
      <c r="D2445" s="169" t="s">
        <v>1289</v>
      </c>
      <c r="E2445" s="103" t="s">
        <v>30554</v>
      </c>
      <c r="F2445" s="104"/>
      <c r="G2445" s="105">
        <f t="shared" si="152"/>
        <v>74.41</v>
      </c>
      <c r="H2445" s="101" t="str">
        <f t="shared" si="153"/>
        <v>Sinapi 20152</v>
      </c>
      <c r="I2445" s="101" t="str">
        <f t="shared" si="154"/>
        <v>UN</v>
      </c>
      <c r="J2445" s="140" t="str">
        <f t="shared" si="155"/>
        <v>JOELHO, PVC SERIE R, 45 GRAUS, DN 150 MM, PARA ESGOTO PREDIAL</v>
      </c>
    </row>
    <row r="2446" spans="1:10" x14ac:dyDescent="0.25">
      <c r="A2446" s="169">
        <v>20148</v>
      </c>
      <c r="B2446" s="169" t="s">
        <v>25884</v>
      </c>
      <c r="C2446" s="169" t="s">
        <v>10225</v>
      </c>
      <c r="D2446" s="169" t="s">
        <v>1289</v>
      </c>
      <c r="E2446" s="103" t="s">
        <v>27454</v>
      </c>
      <c r="F2446" s="104"/>
      <c r="G2446" s="105">
        <f t="shared" si="152"/>
        <v>4.04</v>
      </c>
      <c r="H2446" s="101" t="str">
        <f t="shared" si="153"/>
        <v>Sinapi 20148</v>
      </c>
      <c r="I2446" s="101" t="str">
        <f t="shared" si="154"/>
        <v>UN</v>
      </c>
      <c r="J2446" s="140" t="str">
        <f t="shared" si="155"/>
        <v>JOELHO, PVC SERIE R, 45 GRAUS, DN 40 MM, PARA ESGOTO PREDIAL</v>
      </c>
    </row>
    <row r="2447" spans="1:10" x14ac:dyDescent="0.25">
      <c r="A2447" s="169">
        <v>20149</v>
      </c>
      <c r="B2447" s="169" t="s">
        <v>25885</v>
      </c>
      <c r="C2447" s="169" t="s">
        <v>10225</v>
      </c>
      <c r="D2447" s="169" t="s">
        <v>1289</v>
      </c>
      <c r="E2447" s="103" t="s">
        <v>15770</v>
      </c>
      <c r="F2447" s="104"/>
      <c r="G2447" s="105">
        <f t="shared" si="152"/>
        <v>6.75</v>
      </c>
      <c r="H2447" s="101" t="str">
        <f t="shared" si="153"/>
        <v>Sinapi 20149</v>
      </c>
      <c r="I2447" s="101" t="str">
        <f t="shared" si="154"/>
        <v>UN</v>
      </c>
      <c r="J2447" s="140" t="str">
        <f t="shared" si="155"/>
        <v>JOELHO, PVC SERIE R, 45 GRAUS, DN 50 MM, PARA ESGOTO PREDIAL</v>
      </c>
    </row>
    <row r="2448" spans="1:10" x14ac:dyDescent="0.25">
      <c r="A2448" s="169">
        <v>20150</v>
      </c>
      <c r="B2448" s="169" t="s">
        <v>25887</v>
      </c>
      <c r="C2448" s="169" t="s">
        <v>10225</v>
      </c>
      <c r="D2448" s="169" t="s">
        <v>1289</v>
      </c>
      <c r="E2448" s="103" t="s">
        <v>30555</v>
      </c>
      <c r="F2448" s="104"/>
      <c r="G2448" s="105">
        <f t="shared" si="152"/>
        <v>17.399999999999999</v>
      </c>
      <c r="H2448" s="101" t="str">
        <f t="shared" si="153"/>
        <v>Sinapi 20150</v>
      </c>
      <c r="I2448" s="101" t="str">
        <f t="shared" si="154"/>
        <v>UN</v>
      </c>
      <c r="J2448" s="140" t="str">
        <f t="shared" si="155"/>
        <v>JOELHO, PVC SERIE R, 45 GRAUS, DN 75 MM, PARA ESGOTO PREDIAL</v>
      </c>
    </row>
    <row r="2449" spans="1:10" x14ac:dyDescent="0.25">
      <c r="A2449" s="169">
        <v>20157</v>
      </c>
      <c r="B2449" s="169" t="s">
        <v>25888</v>
      </c>
      <c r="C2449" s="169" t="s">
        <v>10225</v>
      </c>
      <c r="D2449" s="169" t="s">
        <v>1289</v>
      </c>
      <c r="E2449" s="103" t="s">
        <v>19288</v>
      </c>
      <c r="F2449" s="104"/>
      <c r="G2449" s="105">
        <f t="shared" si="152"/>
        <v>19.53</v>
      </c>
      <c r="H2449" s="101" t="str">
        <f t="shared" si="153"/>
        <v>Sinapi 20157</v>
      </c>
      <c r="I2449" s="101" t="str">
        <f t="shared" si="154"/>
        <v>UN</v>
      </c>
      <c r="J2449" s="140" t="str">
        <f t="shared" si="155"/>
        <v>JOELHO, PVC SERIE R, 90 GRAUS, DN 100 MM, PARA ESGOTO PREDIAL</v>
      </c>
    </row>
    <row r="2450" spans="1:10" x14ac:dyDescent="0.25">
      <c r="A2450" s="169">
        <v>20158</v>
      </c>
      <c r="B2450" s="169" t="s">
        <v>25889</v>
      </c>
      <c r="C2450" s="169" t="s">
        <v>10225</v>
      </c>
      <c r="D2450" s="169" t="s">
        <v>1289</v>
      </c>
      <c r="E2450" s="103" t="s">
        <v>30556</v>
      </c>
      <c r="F2450" s="104"/>
      <c r="G2450" s="105">
        <f t="shared" si="152"/>
        <v>77.569999999999993</v>
      </c>
      <c r="H2450" s="101" t="str">
        <f t="shared" si="153"/>
        <v>Sinapi 20158</v>
      </c>
      <c r="I2450" s="101" t="str">
        <f t="shared" si="154"/>
        <v>UN</v>
      </c>
      <c r="J2450" s="140" t="str">
        <f t="shared" si="155"/>
        <v>JOELHO, PVC SERIE R, 90 GRAUS, DN 150 MM, PARA ESGOTO PREDIAL</v>
      </c>
    </row>
    <row r="2451" spans="1:10" x14ac:dyDescent="0.25">
      <c r="A2451" s="169">
        <v>20154</v>
      </c>
      <c r="B2451" s="169" t="s">
        <v>25890</v>
      </c>
      <c r="C2451" s="169" t="s">
        <v>10225</v>
      </c>
      <c r="D2451" s="169" t="s">
        <v>1289</v>
      </c>
      <c r="E2451" s="103" t="s">
        <v>13579</v>
      </c>
      <c r="F2451" s="104"/>
      <c r="G2451" s="105">
        <f t="shared" si="152"/>
        <v>3.96</v>
      </c>
      <c r="H2451" s="101" t="str">
        <f t="shared" si="153"/>
        <v>Sinapi 20154</v>
      </c>
      <c r="I2451" s="101" t="str">
        <f t="shared" si="154"/>
        <v>UN</v>
      </c>
      <c r="J2451" s="140" t="str">
        <f t="shared" si="155"/>
        <v>JOELHO, PVC SERIE R, 90 GRAUS, DN 40 MM, PARA ESGOTO PREDIAL</v>
      </c>
    </row>
    <row r="2452" spans="1:10" x14ac:dyDescent="0.25">
      <c r="A2452" s="169">
        <v>20155</v>
      </c>
      <c r="B2452" s="169" t="s">
        <v>25891</v>
      </c>
      <c r="C2452" s="169" t="s">
        <v>10225</v>
      </c>
      <c r="D2452" s="169" t="s">
        <v>1289</v>
      </c>
      <c r="E2452" s="103" t="s">
        <v>18555</v>
      </c>
      <c r="F2452" s="104"/>
      <c r="G2452" s="105">
        <f t="shared" si="152"/>
        <v>6.03</v>
      </c>
      <c r="H2452" s="101" t="str">
        <f t="shared" si="153"/>
        <v>Sinapi 20155</v>
      </c>
      <c r="I2452" s="101" t="str">
        <f t="shared" si="154"/>
        <v>UN</v>
      </c>
      <c r="J2452" s="140" t="str">
        <f t="shared" si="155"/>
        <v>JOELHO, PVC SERIE R, 90 GRAUS, DN 50 MM, PARA ESGOTO PREDIAL</v>
      </c>
    </row>
    <row r="2453" spans="1:10" x14ac:dyDescent="0.25">
      <c r="A2453" s="169">
        <v>20156</v>
      </c>
      <c r="B2453" s="169" t="s">
        <v>25893</v>
      </c>
      <c r="C2453" s="169" t="s">
        <v>10225</v>
      </c>
      <c r="D2453" s="169" t="s">
        <v>1289</v>
      </c>
      <c r="E2453" s="103" t="s">
        <v>22755</v>
      </c>
      <c r="F2453" s="104"/>
      <c r="G2453" s="105">
        <f t="shared" si="152"/>
        <v>16.940000000000001</v>
      </c>
      <c r="H2453" s="101" t="str">
        <f t="shared" si="153"/>
        <v>Sinapi 20156</v>
      </c>
      <c r="I2453" s="101" t="str">
        <f t="shared" si="154"/>
        <v>UN</v>
      </c>
      <c r="J2453" s="140" t="str">
        <f t="shared" si="155"/>
        <v>JOELHO, PVC SERIE R, 90 GRAUS, DN 75 MM, PARA ESGOTO PREDIAL</v>
      </c>
    </row>
    <row r="2454" spans="1:10" x14ac:dyDescent="0.25">
      <c r="A2454" s="169">
        <v>3499</v>
      </c>
      <c r="B2454" s="169" t="s">
        <v>25894</v>
      </c>
      <c r="C2454" s="169" t="s">
        <v>10225</v>
      </c>
      <c r="D2454" s="169" t="s">
        <v>1289</v>
      </c>
      <c r="E2454" s="103" t="s">
        <v>29677</v>
      </c>
      <c r="F2454" s="104"/>
      <c r="G2454" s="105">
        <f t="shared" si="152"/>
        <v>1.33</v>
      </c>
      <c r="H2454" s="101" t="str">
        <f t="shared" si="153"/>
        <v>Sinapi 3499</v>
      </c>
      <c r="I2454" s="101" t="str">
        <f t="shared" si="154"/>
        <v>UN</v>
      </c>
      <c r="J2454" s="140" t="str">
        <f t="shared" si="155"/>
        <v>JOELHO, PVC SOLDAVEL, 45 GRAUS, 20 MM, COR MARROM, PARA AGUA FRIA PREDIAL</v>
      </c>
    </row>
    <row r="2455" spans="1:10" x14ac:dyDescent="0.25">
      <c r="A2455" s="169">
        <v>3500</v>
      </c>
      <c r="B2455" s="169" t="s">
        <v>25895</v>
      </c>
      <c r="C2455" s="169" t="s">
        <v>10225</v>
      </c>
      <c r="D2455" s="169" t="s">
        <v>1289</v>
      </c>
      <c r="E2455" s="103" t="s">
        <v>8187</v>
      </c>
      <c r="F2455" s="104"/>
      <c r="G2455" s="105">
        <f t="shared" si="152"/>
        <v>1.76</v>
      </c>
      <c r="H2455" s="101" t="str">
        <f t="shared" si="153"/>
        <v>Sinapi 3500</v>
      </c>
      <c r="I2455" s="101" t="str">
        <f t="shared" si="154"/>
        <v>UN</v>
      </c>
      <c r="J2455" s="140" t="str">
        <f t="shared" si="155"/>
        <v>JOELHO, PVC SOLDAVEL, 45 GRAUS, 25 MM, COR MARROM, PARA AGUA FRIA PREDIAL</v>
      </c>
    </row>
    <row r="2456" spans="1:10" x14ac:dyDescent="0.25">
      <c r="A2456" s="169">
        <v>3501</v>
      </c>
      <c r="B2456" s="169" t="s">
        <v>25896</v>
      </c>
      <c r="C2456" s="169" t="s">
        <v>10225</v>
      </c>
      <c r="D2456" s="169" t="s">
        <v>1289</v>
      </c>
      <c r="E2456" s="103" t="s">
        <v>10384</v>
      </c>
      <c r="F2456" s="104"/>
      <c r="G2456" s="105">
        <f t="shared" si="152"/>
        <v>4.87</v>
      </c>
      <c r="H2456" s="101" t="str">
        <f t="shared" si="153"/>
        <v>Sinapi 3501</v>
      </c>
      <c r="I2456" s="101" t="str">
        <f t="shared" si="154"/>
        <v>UN</v>
      </c>
      <c r="J2456" s="140" t="str">
        <f t="shared" si="155"/>
        <v>JOELHO, PVC SOLDAVEL, 45 GRAUS, 32 MM, COR MARROM, PARA AGUA FRIA PREDIAL</v>
      </c>
    </row>
    <row r="2457" spans="1:10" x14ac:dyDescent="0.25">
      <c r="A2457" s="169">
        <v>3502</v>
      </c>
      <c r="B2457" s="169" t="s">
        <v>25897</v>
      </c>
      <c r="C2457" s="169" t="s">
        <v>10225</v>
      </c>
      <c r="D2457" s="169" t="s">
        <v>1289</v>
      </c>
      <c r="E2457" s="103" t="s">
        <v>20975</v>
      </c>
      <c r="F2457" s="104"/>
      <c r="G2457" s="105">
        <f t="shared" si="152"/>
        <v>7</v>
      </c>
      <c r="H2457" s="101" t="str">
        <f t="shared" si="153"/>
        <v>Sinapi 3502</v>
      </c>
      <c r="I2457" s="101" t="str">
        <f t="shared" si="154"/>
        <v>UN</v>
      </c>
      <c r="J2457" s="140" t="str">
        <f t="shared" si="155"/>
        <v>JOELHO, PVC SOLDAVEL, 45 GRAUS, 40 MM, COR MARROM, PARA AGUA FRIA PREDIAL</v>
      </c>
    </row>
    <row r="2458" spans="1:10" x14ac:dyDescent="0.25">
      <c r="A2458" s="169">
        <v>3503</v>
      </c>
      <c r="B2458" s="169" t="s">
        <v>25898</v>
      </c>
      <c r="C2458" s="169" t="s">
        <v>10225</v>
      </c>
      <c r="D2458" s="169" t="s">
        <v>1289</v>
      </c>
      <c r="E2458" s="103" t="s">
        <v>22710</v>
      </c>
      <c r="F2458" s="104"/>
      <c r="G2458" s="105">
        <f t="shared" si="152"/>
        <v>8.8000000000000007</v>
      </c>
      <c r="H2458" s="101" t="str">
        <f t="shared" si="153"/>
        <v>Sinapi 3503</v>
      </c>
      <c r="I2458" s="101" t="str">
        <f t="shared" si="154"/>
        <v>UN</v>
      </c>
      <c r="J2458" s="140" t="str">
        <f t="shared" si="155"/>
        <v>JOELHO, PVC SOLDAVEL, 45 GRAUS, 50 MM, COR MARROM, PARA AGUA FRIA PREDIAL</v>
      </c>
    </row>
    <row r="2459" spans="1:10" x14ac:dyDescent="0.25">
      <c r="A2459" s="169">
        <v>3477</v>
      </c>
      <c r="B2459" s="169" t="s">
        <v>25899</v>
      </c>
      <c r="C2459" s="169" t="s">
        <v>10225</v>
      </c>
      <c r="D2459" s="169" t="s">
        <v>1289</v>
      </c>
      <c r="E2459" s="103" t="s">
        <v>29461</v>
      </c>
      <c r="F2459" s="104"/>
      <c r="G2459" s="105">
        <f t="shared" si="152"/>
        <v>31.96</v>
      </c>
      <c r="H2459" s="101" t="str">
        <f t="shared" si="153"/>
        <v>Sinapi 3477</v>
      </c>
      <c r="I2459" s="101" t="str">
        <f t="shared" si="154"/>
        <v>UN</v>
      </c>
      <c r="J2459" s="140" t="str">
        <f t="shared" si="155"/>
        <v>JOELHO, PVC SOLDAVEL, 45 GRAUS, 60 MM, COR MARROM, PARA AGUA FRIA PREDIAL</v>
      </c>
    </row>
    <row r="2460" spans="1:10" x14ac:dyDescent="0.25">
      <c r="A2460" s="169">
        <v>3478</v>
      </c>
      <c r="B2460" s="169" t="s">
        <v>25900</v>
      </c>
      <c r="C2460" s="169" t="s">
        <v>10225</v>
      </c>
      <c r="D2460" s="169" t="s">
        <v>1289</v>
      </c>
      <c r="E2460" s="103" t="s">
        <v>30557</v>
      </c>
      <c r="F2460" s="104"/>
      <c r="G2460" s="105">
        <f t="shared" si="152"/>
        <v>76.63</v>
      </c>
      <c r="H2460" s="101" t="str">
        <f t="shared" si="153"/>
        <v>Sinapi 3478</v>
      </c>
      <c r="I2460" s="101" t="str">
        <f t="shared" si="154"/>
        <v>UN</v>
      </c>
      <c r="J2460" s="140" t="str">
        <f t="shared" si="155"/>
        <v>JOELHO, PVC SOLDAVEL, 45 GRAUS, 75 MM, COR MARROM, PARA AGUA FRIA PREDIAL</v>
      </c>
    </row>
    <row r="2461" spans="1:10" x14ac:dyDescent="0.25">
      <c r="A2461" s="169">
        <v>3525</v>
      </c>
      <c r="B2461" s="169" t="s">
        <v>25901</v>
      </c>
      <c r="C2461" s="169" t="s">
        <v>10225</v>
      </c>
      <c r="D2461" s="169" t="s">
        <v>1289</v>
      </c>
      <c r="E2461" s="103" t="s">
        <v>30558</v>
      </c>
      <c r="F2461" s="104"/>
      <c r="G2461" s="105">
        <f t="shared" si="152"/>
        <v>94.58</v>
      </c>
      <c r="H2461" s="101" t="str">
        <f t="shared" si="153"/>
        <v>Sinapi 3525</v>
      </c>
      <c r="I2461" s="101" t="str">
        <f t="shared" si="154"/>
        <v>UN</v>
      </c>
      <c r="J2461" s="140" t="str">
        <f t="shared" si="155"/>
        <v>JOELHO, PVC SOLDAVEL, 45 GRAUS, 85 MM, COR MARROM, PARA AGUA FRIA PREDIAL</v>
      </c>
    </row>
    <row r="2462" spans="1:10" x14ac:dyDescent="0.25">
      <c r="A2462" s="169">
        <v>3511</v>
      </c>
      <c r="B2462" s="169" t="s">
        <v>25902</v>
      </c>
      <c r="C2462" s="169" t="s">
        <v>10225</v>
      </c>
      <c r="D2462" s="169" t="s">
        <v>1289</v>
      </c>
      <c r="E2462" s="103" t="s">
        <v>30559</v>
      </c>
      <c r="F2462" s="104"/>
      <c r="G2462" s="105">
        <f t="shared" si="152"/>
        <v>100.31</v>
      </c>
      <c r="H2462" s="101" t="str">
        <f t="shared" si="153"/>
        <v>Sinapi 3511</v>
      </c>
      <c r="I2462" s="101" t="str">
        <f t="shared" si="154"/>
        <v>UN</v>
      </c>
      <c r="J2462" s="140" t="str">
        <f t="shared" si="155"/>
        <v>JOELHO, PVC SOLDAVEL, 90 GRAUS, 75 MM, COR MARROM, PARA AGUA FRIA PREDIAL</v>
      </c>
    </row>
    <row r="2463" spans="1:10" x14ac:dyDescent="0.25">
      <c r="A2463" s="169">
        <v>12032</v>
      </c>
      <c r="B2463" s="169" t="s">
        <v>25903</v>
      </c>
      <c r="C2463" s="169" t="s">
        <v>10241</v>
      </c>
      <c r="D2463" s="169" t="s">
        <v>1289</v>
      </c>
      <c r="E2463" s="103" t="s">
        <v>30560</v>
      </c>
      <c r="F2463" s="104"/>
      <c r="G2463" s="105">
        <f t="shared" si="152"/>
        <v>62.81</v>
      </c>
      <c r="H2463" s="101" t="str">
        <f t="shared" si="153"/>
        <v>Sinapi 12032</v>
      </c>
      <c r="I2463" s="101" t="str">
        <f t="shared" si="154"/>
        <v>JG</v>
      </c>
      <c r="J2463" s="140" t="str">
        <f t="shared" si="155"/>
        <v>JOGO DE TRANQUETA E ROSETA QUADRADA DE SOBREPOR SEM FUROS, EM LATAO CROMADO, *50 X 50* MM, PARA FECHADURA DE PORTA DE BANHEIRO</v>
      </c>
    </row>
    <row r="2464" spans="1:10" x14ac:dyDescent="0.25">
      <c r="A2464" s="169">
        <v>12030</v>
      </c>
      <c r="B2464" s="169" t="s">
        <v>25904</v>
      </c>
      <c r="C2464" s="169" t="s">
        <v>10241</v>
      </c>
      <c r="D2464" s="169" t="s">
        <v>1289</v>
      </c>
      <c r="E2464" s="103" t="s">
        <v>27888</v>
      </c>
      <c r="F2464" s="104"/>
      <c r="G2464" s="105">
        <f t="shared" si="152"/>
        <v>59.01</v>
      </c>
      <c r="H2464" s="101" t="str">
        <f t="shared" si="153"/>
        <v>Sinapi 12030</v>
      </c>
      <c r="I2464" s="101" t="str">
        <f t="shared" si="154"/>
        <v>JG</v>
      </c>
      <c r="J2464" s="140" t="str">
        <f t="shared" si="155"/>
        <v>JOGO DE TRANQUETA E ROSETA REDONDA DE SOBREPOR SEM FUROS, EM LATAO CROMADO, DIAMETRO *50* MM, PARA FECHADURA DE PORTA DE BANHEIRO</v>
      </c>
    </row>
    <row r="2465" spans="1:10" x14ac:dyDescent="0.25">
      <c r="A2465" s="169">
        <v>10908</v>
      </c>
      <c r="B2465" s="169" t="s">
        <v>25905</v>
      </c>
      <c r="C2465" s="169" t="s">
        <v>10225</v>
      </c>
      <c r="D2465" s="169" t="s">
        <v>1289</v>
      </c>
      <c r="E2465" s="103" t="s">
        <v>20636</v>
      </c>
      <c r="F2465" s="104"/>
      <c r="G2465" s="105">
        <f t="shared" si="152"/>
        <v>19.2</v>
      </c>
      <c r="H2465" s="101" t="str">
        <f t="shared" si="153"/>
        <v>Sinapi 10908</v>
      </c>
      <c r="I2465" s="101" t="str">
        <f t="shared" si="154"/>
        <v>UN</v>
      </c>
      <c r="J2465" s="140" t="str">
        <f t="shared" si="155"/>
        <v>JUNCAO DE REDUCAO INVERTIDA, PVC SOLDAVEL, 100 X 50 MM, SERIE NORMAL PARA ESGOTO PREDIAL</v>
      </c>
    </row>
    <row r="2466" spans="1:10" x14ac:dyDescent="0.25">
      <c r="A2466" s="169">
        <v>10909</v>
      </c>
      <c r="B2466" s="169" t="s">
        <v>25906</v>
      </c>
      <c r="C2466" s="169" t="s">
        <v>10225</v>
      </c>
      <c r="D2466" s="169" t="s">
        <v>1289</v>
      </c>
      <c r="E2466" s="103" t="s">
        <v>19325</v>
      </c>
      <c r="F2466" s="104"/>
      <c r="G2466" s="105">
        <f t="shared" si="152"/>
        <v>22.34</v>
      </c>
      <c r="H2466" s="101" t="str">
        <f t="shared" si="153"/>
        <v>Sinapi 10909</v>
      </c>
      <c r="I2466" s="101" t="str">
        <f t="shared" si="154"/>
        <v>UN</v>
      </c>
      <c r="J2466" s="140" t="str">
        <f t="shared" si="155"/>
        <v>JUNCAO DE REDUCAO INVERTIDA, PVC SOLDAVEL, 100 X 75 MM, SERIE NORMAL PARA ESGOTO PREDIAL</v>
      </c>
    </row>
    <row r="2467" spans="1:10" x14ac:dyDescent="0.25">
      <c r="A2467" s="169">
        <v>3669</v>
      </c>
      <c r="B2467" s="169" t="s">
        <v>25907</v>
      </c>
      <c r="C2467" s="169" t="s">
        <v>10225</v>
      </c>
      <c r="D2467" s="169" t="s">
        <v>1289</v>
      </c>
      <c r="E2467" s="103" t="s">
        <v>30561</v>
      </c>
      <c r="F2467" s="104"/>
      <c r="G2467" s="105">
        <f t="shared" si="152"/>
        <v>13.72</v>
      </c>
      <c r="H2467" s="101" t="str">
        <f t="shared" si="153"/>
        <v>Sinapi 3669</v>
      </c>
      <c r="I2467" s="101" t="str">
        <f t="shared" si="154"/>
        <v>UN</v>
      </c>
      <c r="J2467" s="140" t="str">
        <f t="shared" si="155"/>
        <v>JUNCAO DE REDUCAO INVERTIDA, PVC SOLDAVEL, 75 X 50 MM, SERIE NORMAL PARA ESGOTO PREDIAL</v>
      </c>
    </row>
    <row r="2468" spans="1:10" x14ac:dyDescent="0.25">
      <c r="A2468" s="169">
        <v>20139</v>
      </c>
      <c r="B2468" s="169" t="s">
        <v>25908</v>
      </c>
      <c r="C2468" s="169" t="s">
        <v>10225</v>
      </c>
      <c r="D2468" s="169" t="s">
        <v>1289</v>
      </c>
      <c r="E2468" s="103" t="s">
        <v>30562</v>
      </c>
      <c r="F2468" s="104"/>
      <c r="G2468" s="105">
        <f t="shared" si="152"/>
        <v>118.01</v>
      </c>
      <c r="H2468" s="101" t="str">
        <f t="shared" si="153"/>
        <v>Sinapi 20139</v>
      </c>
      <c r="I2468" s="101" t="str">
        <f t="shared" si="154"/>
        <v>UN</v>
      </c>
      <c r="J2468" s="140" t="str">
        <f t="shared" si="155"/>
        <v>JUNCAO DUPLA, PVC SERIE R, DN 100 X 100 X 100 MM, PARA ESGOTO PREDIAL</v>
      </c>
    </row>
    <row r="2469" spans="1:10" x14ac:dyDescent="0.25">
      <c r="A2469" s="169">
        <v>3668</v>
      </c>
      <c r="B2469" s="169" t="s">
        <v>25909</v>
      </c>
      <c r="C2469" s="169" t="s">
        <v>10225</v>
      </c>
      <c r="D2469" s="169" t="s">
        <v>1289</v>
      </c>
      <c r="E2469" s="103" t="s">
        <v>18690</v>
      </c>
      <c r="F2469" s="104"/>
      <c r="G2469" s="105">
        <f t="shared" si="152"/>
        <v>42.15</v>
      </c>
      <c r="H2469" s="101" t="str">
        <f t="shared" si="153"/>
        <v>Sinapi 3668</v>
      </c>
      <c r="I2469" s="101" t="str">
        <f t="shared" si="154"/>
        <v>UN</v>
      </c>
      <c r="J2469" s="140" t="str">
        <f t="shared" si="155"/>
        <v>JUNCAO DUPLA, PVC SOLDAVEL, DN 100 X 100 X 100 MM , SERIE NORMAL PARA ESGOTO PREDIAL</v>
      </c>
    </row>
    <row r="2470" spans="1:10" x14ac:dyDescent="0.25">
      <c r="A2470" s="169">
        <v>10911</v>
      </c>
      <c r="B2470" s="169" t="s">
        <v>25910</v>
      </c>
      <c r="C2470" s="169" t="s">
        <v>10225</v>
      </c>
      <c r="D2470" s="169" t="s">
        <v>1289</v>
      </c>
      <c r="E2470" s="103" t="s">
        <v>21046</v>
      </c>
      <c r="F2470" s="104"/>
      <c r="G2470" s="105">
        <f t="shared" si="152"/>
        <v>18.48</v>
      </c>
      <c r="H2470" s="101" t="str">
        <f t="shared" si="153"/>
        <v>Sinapi 10911</v>
      </c>
      <c r="I2470" s="101" t="str">
        <f t="shared" si="154"/>
        <v>UN</v>
      </c>
      <c r="J2470" s="140" t="str">
        <f t="shared" si="155"/>
        <v>JUNCAO INVERTIDA, PVC SOLDAVEL, 75 X 75 MM, SERIE NORMAL PARA ESGOTO PREDIAL</v>
      </c>
    </row>
    <row r="2471" spans="1:10" x14ac:dyDescent="0.25">
      <c r="A2471" s="169">
        <v>3659</v>
      </c>
      <c r="B2471" s="169" t="s">
        <v>25911</v>
      </c>
      <c r="C2471" s="169" t="s">
        <v>10225</v>
      </c>
      <c r="D2471" s="169" t="s">
        <v>1289</v>
      </c>
      <c r="E2471" s="103" t="s">
        <v>19405</v>
      </c>
      <c r="F2471" s="104"/>
      <c r="G2471" s="105">
        <f t="shared" si="152"/>
        <v>18.829999999999998</v>
      </c>
      <c r="H2471" s="101" t="str">
        <f t="shared" si="153"/>
        <v>Sinapi 3659</v>
      </c>
      <c r="I2471" s="101" t="str">
        <f t="shared" si="154"/>
        <v>UN</v>
      </c>
      <c r="J2471" s="140" t="str">
        <f t="shared" si="155"/>
        <v>JUNCAO SIMPLES DE REDUCAO, PVC, DN 100 X 50 MM, SERIE NORMAL PARA ESGOTO PREDIAL</v>
      </c>
    </row>
    <row r="2472" spans="1:10" x14ac:dyDescent="0.25">
      <c r="A2472" s="169">
        <v>3660</v>
      </c>
      <c r="B2472" s="169" t="s">
        <v>25913</v>
      </c>
      <c r="C2472" s="169" t="s">
        <v>10225</v>
      </c>
      <c r="D2472" s="169" t="s">
        <v>1289</v>
      </c>
      <c r="E2472" s="103" t="s">
        <v>21199</v>
      </c>
      <c r="F2472" s="104"/>
      <c r="G2472" s="105">
        <f t="shared" si="152"/>
        <v>24.35</v>
      </c>
      <c r="H2472" s="101" t="str">
        <f t="shared" si="153"/>
        <v>Sinapi 3660</v>
      </c>
      <c r="I2472" s="101" t="str">
        <f t="shared" si="154"/>
        <v>UN</v>
      </c>
      <c r="J2472" s="140" t="str">
        <f t="shared" si="155"/>
        <v>JUNCAO SIMPLES DE REDUCAO, PVC, DN 100 X 75 MM, SERIE NORMAL PARA ESGOTO PREDIAL</v>
      </c>
    </row>
    <row r="2473" spans="1:10" x14ac:dyDescent="0.25">
      <c r="A2473" s="169">
        <v>20144</v>
      </c>
      <c r="B2473" s="169" t="s">
        <v>25915</v>
      </c>
      <c r="C2473" s="169" t="s">
        <v>10225</v>
      </c>
      <c r="D2473" s="169" t="s">
        <v>1289</v>
      </c>
      <c r="E2473" s="103" t="s">
        <v>30563</v>
      </c>
      <c r="F2473" s="104"/>
      <c r="G2473" s="105">
        <f t="shared" si="152"/>
        <v>54.52</v>
      </c>
      <c r="H2473" s="101" t="str">
        <f t="shared" si="153"/>
        <v>Sinapi 20144</v>
      </c>
      <c r="I2473" s="101" t="str">
        <f t="shared" si="154"/>
        <v>UN</v>
      </c>
      <c r="J2473" s="140" t="str">
        <f t="shared" si="155"/>
        <v>JUNCAO SIMPLES, PVC SERIE R, DN 100 X 100 MM, PARA ESGOTO PREDIAL</v>
      </c>
    </row>
    <row r="2474" spans="1:10" x14ac:dyDescent="0.25">
      <c r="A2474" s="169">
        <v>20143</v>
      </c>
      <c r="B2474" s="169" t="s">
        <v>25917</v>
      </c>
      <c r="C2474" s="169" t="s">
        <v>10225</v>
      </c>
      <c r="D2474" s="169" t="s">
        <v>1289</v>
      </c>
      <c r="E2474" s="103" t="s">
        <v>30564</v>
      </c>
      <c r="F2474" s="104"/>
      <c r="G2474" s="105">
        <f t="shared" si="152"/>
        <v>69.760000000000005</v>
      </c>
      <c r="H2474" s="101" t="str">
        <f t="shared" si="153"/>
        <v>Sinapi 20143</v>
      </c>
      <c r="I2474" s="101" t="str">
        <f t="shared" si="154"/>
        <v>UN</v>
      </c>
      <c r="J2474" s="140" t="str">
        <f t="shared" si="155"/>
        <v>JUNCAO SIMPLES, PVC SERIE R, DN 100 X 75 MM, PARA ESGOTO PREDIAL</v>
      </c>
    </row>
    <row r="2475" spans="1:10" x14ac:dyDescent="0.25">
      <c r="A2475" s="169">
        <v>20145</v>
      </c>
      <c r="B2475" s="169" t="s">
        <v>25918</v>
      </c>
      <c r="C2475" s="169" t="s">
        <v>10225</v>
      </c>
      <c r="D2475" s="169" t="s">
        <v>1289</v>
      </c>
      <c r="E2475" s="103" t="s">
        <v>30565</v>
      </c>
      <c r="F2475" s="104"/>
      <c r="G2475" s="105">
        <f t="shared" si="152"/>
        <v>134.56</v>
      </c>
      <c r="H2475" s="101" t="str">
        <f t="shared" si="153"/>
        <v>Sinapi 20145</v>
      </c>
      <c r="I2475" s="101" t="str">
        <f t="shared" si="154"/>
        <v>UN</v>
      </c>
      <c r="J2475" s="140" t="str">
        <f t="shared" si="155"/>
        <v>JUNCAO SIMPLES, PVC SERIE R, DN 150 X 100 MM, PARA ESGOTO PREDIAL</v>
      </c>
    </row>
    <row r="2476" spans="1:10" x14ac:dyDescent="0.25">
      <c r="A2476" s="169">
        <v>20146</v>
      </c>
      <c r="B2476" s="169" t="s">
        <v>25919</v>
      </c>
      <c r="C2476" s="169" t="s">
        <v>10225</v>
      </c>
      <c r="D2476" s="169" t="s">
        <v>1289</v>
      </c>
      <c r="E2476" s="103" t="s">
        <v>22913</v>
      </c>
      <c r="F2476" s="104"/>
      <c r="G2476" s="105">
        <f t="shared" si="152"/>
        <v>183.95</v>
      </c>
      <c r="H2476" s="101" t="str">
        <f t="shared" si="153"/>
        <v>Sinapi 20146</v>
      </c>
      <c r="I2476" s="101" t="str">
        <f t="shared" si="154"/>
        <v>UN</v>
      </c>
      <c r="J2476" s="140" t="str">
        <f t="shared" si="155"/>
        <v>JUNCAO SIMPLES, PVC SERIE R, DN 150 X 150 MM, PARA ESGOTO PREDIAL</v>
      </c>
    </row>
    <row r="2477" spans="1:10" x14ac:dyDescent="0.25">
      <c r="A2477" s="169">
        <v>20140</v>
      </c>
      <c r="B2477" s="169" t="s">
        <v>25920</v>
      </c>
      <c r="C2477" s="169" t="s">
        <v>10225</v>
      </c>
      <c r="D2477" s="169" t="s">
        <v>1289</v>
      </c>
      <c r="E2477" s="103" t="s">
        <v>23132</v>
      </c>
      <c r="F2477" s="104"/>
      <c r="G2477" s="105">
        <f t="shared" si="152"/>
        <v>8.6300000000000008</v>
      </c>
      <c r="H2477" s="101" t="str">
        <f t="shared" si="153"/>
        <v>Sinapi 20140</v>
      </c>
      <c r="I2477" s="101" t="str">
        <f t="shared" si="154"/>
        <v>UN</v>
      </c>
      <c r="J2477" s="140" t="str">
        <f t="shared" si="155"/>
        <v>JUNCAO SIMPLES, PVC SERIE R, DN 40 X 40 MM, PARA ESGOTO PREDIAL</v>
      </c>
    </row>
    <row r="2478" spans="1:10" x14ac:dyDescent="0.25">
      <c r="A2478" s="169">
        <v>20141</v>
      </c>
      <c r="B2478" s="169" t="s">
        <v>25921</v>
      </c>
      <c r="C2478" s="169" t="s">
        <v>10225</v>
      </c>
      <c r="D2478" s="169" t="s">
        <v>1289</v>
      </c>
      <c r="E2478" s="103" t="s">
        <v>20058</v>
      </c>
      <c r="F2478" s="104"/>
      <c r="G2478" s="105">
        <f t="shared" si="152"/>
        <v>21.13</v>
      </c>
      <c r="H2478" s="101" t="str">
        <f t="shared" si="153"/>
        <v>Sinapi 20141</v>
      </c>
      <c r="I2478" s="101" t="str">
        <f t="shared" si="154"/>
        <v>UN</v>
      </c>
      <c r="J2478" s="140" t="str">
        <f t="shared" si="155"/>
        <v>JUNCAO SIMPLES, PVC SERIE R, DN 50 X 50 MM, PARA ESGOTO PREDIAL</v>
      </c>
    </row>
    <row r="2479" spans="1:10" x14ac:dyDescent="0.25">
      <c r="A2479" s="169">
        <v>20142</v>
      </c>
      <c r="B2479" s="169" t="s">
        <v>25922</v>
      </c>
      <c r="C2479" s="169" t="s">
        <v>10225</v>
      </c>
      <c r="D2479" s="169" t="s">
        <v>1289</v>
      </c>
      <c r="E2479" s="103" t="s">
        <v>30566</v>
      </c>
      <c r="F2479" s="104"/>
      <c r="G2479" s="105">
        <f t="shared" si="152"/>
        <v>37.18</v>
      </c>
      <c r="H2479" s="101" t="str">
        <f t="shared" si="153"/>
        <v>Sinapi 20142</v>
      </c>
      <c r="I2479" s="101" t="str">
        <f t="shared" si="154"/>
        <v>UN</v>
      </c>
      <c r="J2479" s="140" t="str">
        <f t="shared" si="155"/>
        <v>JUNCAO SIMPLES, PVC SERIE R, DN 75 X 75 MM, PARA ESGOTO PREDIAL</v>
      </c>
    </row>
    <row r="2480" spans="1:10" x14ac:dyDescent="0.25">
      <c r="A2480" s="169">
        <v>3670</v>
      </c>
      <c r="B2480" s="169" t="s">
        <v>25923</v>
      </c>
      <c r="C2480" s="169" t="s">
        <v>10225</v>
      </c>
      <c r="D2480" s="169" t="s">
        <v>1289</v>
      </c>
      <c r="E2480" s="103" t="s">
        <v>20109</v>
      </c>
      <c r="F2480" s="104"/>
      <c r="G2480" s="105">
        <f t="shared" si="152"/>
        <v>24.18</v>
      </c>
      <c r="H2480" s="101" t="str">
        <f t="shared" si="153"/>
        <v>Sinapi 3670</v>
      </c>
      <c r="I2480" s="101" t="str">
        <f t="shared" si="154"/>
        <v>UN</v>
      </c>
      <c r="J2480" s="140" t="str">
        <f t="shared" si="155"/>
        <v>JUNCAO SIMPLES, PVC, 45 GRAUS, DN 100 X 100 MM, SERIE NORMAL PARA ESGOTO PREDIAL</v>
      </c>
    </row>
    <row r="2481" spans="1:10" x14ac:dyDescent="0.25">
      <c r="A2481" s="169">
        <v>3666</v>
      </c>
      <c r="B2481" s="169" t="s">
        <v>25924</v>
      </c>
      <c r="C2481" s="169" t="s">
        <v>10225</v>
      </c>
      <c r="D2481" s="169" t="s">
        <v>1289</v>
      </c>
      <c r="E2481" s="103" t="s">
        <v>18597</v>
      </c>
      <c r="F2481" s="104"/>
      <c r="G2481" s="105">
        <f t="shared" si="152"/>
        <v>3.8</v>
      </c>
      <c r="H2481" s="101" t="str">
        <f t="shared" si="153"/>
        <v>Sinapi 3666</v>
      </c>
      <c r="I2481" s="101" t="str">
        <f t="shared" si="154"/>
        <v>UN</v>
      </c>
      <c r="J2481" s="140" t="str">
        <f t="shared" si="155"/>
        <v>JUNCAO SIMPLES, PVC, 45 GRAUS, DN 40 X 40 MM, SERIE NORMAL PARA ESGOTO PREDIAL</v>
      </c>
    </row>
    <row r="2482" spans="1:10" x14ac:dyDescent="0.25">
      <c r="A2482" s="169">
        <v>3662</v>
      </c>
      <c r="B2482" s="169" t="s">
        <v>25925</v>
      </c>
      <c r="C2482" s="169" t="s">
        <v>10225</v>
      </c>
      <c r="D2482" s="169" t="s">
        <v>1289</v>
      </c>
      <c r="E2482" s="103" t="s">
        <v>30567</v>
      </c>
      <c r="F2482" s="104"/>
      <c r="G2482" s="105">
        <f t="shared" si="152"/>
        <v>9.92</v>
      </c>
      <c r="H2482" s="101" t="str">
        <f t="shared" si="153"/>
        <v>Sinapi 3662</v>
      </c>
      <c r="I2482" s="101" t="str">
        <f t="shared" si="154"/>
        <v>UN</v>
      </c>
      <c r="J2482" s="140" t="str">
        <f t="shared" si="155"/>
        <v>JUNCAO SIMPLES, PVC, 45 GRAUS, DN 50 X 50 MM, SERIE NORMAL PARA ESGOTO PREDIAL</v>
      </c>
    </row>
    <row r="2483" spans="1:10" x14ac:dyDescent="0.25">
      <c r="A2483" s="169">
        <v>3658</v>
      </c>
      <c r="B2483" s="169" t="s">
        <v>25926</v>
      </c>
      <c r="C2483" s="169" t="s">
        <v>10225</v>
      </c>
      <c r="D2483" s="169" t="s">
        <v>1289</v>
      </c>
      <c r="E2483" s="103" t="s">
        <v>15642</v>
      </c>
      <c r="F2483" s="104"/>
      <c r="G2483" s="105">
        <f t="shared" si="152"/>
        <v>18.8</v>
      </c>
      <c r="H2483" s="101" t="str">
        <f t="shared" si="153"/>
        <v>Sinapi 3658</v>
      </c>
      <c r="I2483" s="101" t="str">
        <f t="shared" si="154"/>
        <v>UN</v>
      </c>
      <c r="J2483" s="140" t="str">
        <f t="shared" si="155"/>
        <v>JUNCAO SIMPLES, PVC, 45 GRAUS, DN 75 X 75 MM, SERIE NORMAL PARA ESGOTO PREDIAL</v>
      </c>
    </row>
    <row r="2484" spans="1:10" x14ac:dyDescent="0.25">
      <c r="A2484" s="169">
        <v>14157</v>
      </c>
      <c r="B2484" s="169" t="s">
        <v>25927</v>
      </c>
      <c r="C2484" s="169" t="s">
        <v>10225</v>
      </c>
      <c r="D2484" s="169" t="s">
        <v>1290</v>
      </c>
      <c r="E2484" s="103" t="s">
        <v>3955</v>
      </c>
      <c r="F2484" s="104"/>
      <c r="G2484" s="105">
        <f t="shared" si="152"/>
        <v>1.22</v>
      </c>
      <c r="H2484" s="101" t="str">
        <f t="shared" si="153"/>
        <v>Sinapi 14157</v>
      </c>
      <c r="I2484" s="101" t="str">
        <f t="shared" si="154"/>
        <v>UN</v>
      </c>
      <c r="J2484" s="140" t="str">
        <f t="shared" si="155"/>
        <v>JUNCAO 2 GARRAS PARA FITA PERFURADA</v>
      </c>
    </row>
    <row r="2485" spans="1:10" x14ac:dyDescent="0.25">
      <c r="A2485" s="169">
        <v>42696</v>
      </c>
      <c r="B2485" s="169" t="s">
        <v>25928</v>
      </c>
      <c r="C2485" s="169" t="s">
        <v>10225</v>
      </c>
      <c r="D2485" s="169" t="s">
        <v>1289</v>
      </c>
      <c r="E2485" s="103" t="s">
        <v>30568</v>
      </c>
      <c r="F2485" s="104"/>
      <c r="G2485" s="105">
        <f t="shared" si="152"/>
        <v>149.06</v>
      </c>
      <c r="H2485" s="101" t="str">
        <f t="shared" si="153"/>
        <v>Sinapi 42696</v>
      </c>
      <c r="I2485" s="101" t="str">
        <f t="shared" si="154"/>
        <v>UN</v>
      </c>
      <c r="J2485" s="140" t="str">
        <f t="shared" si="155"/>
        <v>JUNCAO, PVC, 45 GRAUS, JE, BBB, DN 150 MM, PARA TUBO CORRUGADO E/OU LISO, REDE COLETORA DE ESGOTO</v>
      </c>
    </row>
    <row r="2486" spans="1:10" x14ac:dyDescent="0.25">
      <c r="A2486" s="169">
        <v>39875</v>
      </c>
      <c r="B2486" s="169" t="s">
        <v>25929</v>
      </c>
      <c r="C2486" s="169" t="s">
        <v>10225</v>
      </c>
      <c r="D2486" s="169" t="s">
        <v>1290</v>
      </c>
      <c r="E2486" s="103" t="s">
        <v>30569</v>
      </c>
      <c r="F2486" s="104"/>
      <c r="G2486" s="105">
        <f t="shared" si="152"/>
        <v>597.88</v>
      </c>
      <c r="H2486" s="101" t="str">
        <f t="shared" si="153"/>
        <v>Sinapi 39875</v>
      </c>
      <c r="I2486" s="101" t="str">
        <f t="shared" si="154"/>
        <v>UN</v>
      </c>
      <c r="J2486" s="140" t="str">
        <f t="shared" si="155"/>
        <v>JUNTA DE EXPANSAO BRONZE/LATAO (REF 900), PONTA X PONTA, 35 MM</v>
      </c>
    </row>
    <row r="2487" spans="1:10" x14ac:dyDescent="0.25">
      <c r="A2487" s="169">
        <v>39876</v>
      </c>
      <c r="B2487" s="169" t="s">
        <v>25930</v>
      </c>
      <c r="C2487" s="169" t="s">
        <v>10225</v>
      </c>
      <c r="D2487" s="169" t="s">
        <v>1290</v>
      </c>
      <c r="E2487" s="103" t="s">
        <v>30570</v>
      </c>
      <c r="F2487" s="104"/>
      <c r="G2487" s="105">
        <f t="shared" si="152"/>
        <v>748.55</v>
      </c>
      <c r="H2487" s="101" t="str">
        <f t="shared" si="153"/>
        <v>Sinapi 39876</v>
      </c>
      <c r="I2487" s="101" t="str">
        <f t="shared" si="154"/>
        <v>UN</v>
      </c>
      <c r="J2487" s="140" t="str">
        <f t="shared" si="155"/>
        <v>JUNTA DE EXPANSAO BRONZE/LATAO (REF 900), PONTA X PONTA, 42 MM</v>
      </c>
    </row>
    <row r="2488" spans="1:10" x14ac:dyDescent="0.25">
      <c r="A2488" s="169">
        <v>39877</v>
      </c>
      <c r="B2488" s="169" t="s">
        <v>25931</v>
      </c>
      <c r="C2488" s="169" t="s">
        <v>10225</v>
      </c>
      <c r="D2488" s="169" t="s">
        <v>1290</v>
      </c>
      <c r="E2488" s="103" t="s">
        <v>30571</v>
      </c>
      <c r="F2488" s="104"/>
      <c r="G2488" s="105">
        <f t="shared" si="152"/>
        <v>1038.21</v>
      </c>
      <c r="H2488" s="101" t="str">
        <f t="shared" si="153"/>
        <v>Sinapi 39877</v>
      </c>
      <c r="I2488" s="101" t="str">
        <f t="shared" si="154"/>
        <v>UN</v>
      </c>
      <c r="J2488" s="140" t="str">
        <f t="shared" si="155"/>
        <v>JUNTA DE EXPANSAO BRONZE/LATAO (REF 900), PONTA X PONTA, 54 MM</v>
      </c>
    </row>
    <row r="2489" spans="1:10" x14ac:dyDescent="0.25">
      <c r="A2489" s="169">
        <v>39878</v>
      </c>
      <c r="B2489" s="169" t="s">
        <v>25932</v>
      </c>
      <c r="C2489" s="169" t="s">
        <v>10225</v>
      </c>
      <c r="D2489" s="169" t="s">
        <v>1290</v>
      </c>
      <c r="E2489" s="103" t="s">
        <v>30572</v>
      </c>
      <c r="F2489" s="104"/>
      <c r="G2489" s="105">
        <f t="shared" si="152"/>
        <v>1371.3</v>
      </c>
      <c r="H2489" s="101" t="str">
        <f t="shared" si="153"/>
        <v>Sinapi 39878</v>
      </c>
      <c r="I2489" s="101" t="str">
        <f t="shared" si="154"/>
        <v>UN</v>
      </c>
      <c r="J2489" s="140" t="str">
        <f t="shared" si="155"/>
        <v>JUNTA DE EXPANSAO BRONZE/LATAO (REF 900), PONTA X PONTA, 66 MM</v>
      </c>
    </row>
    <row r="2490" spans="1:10" x14ac:dyDescent="0.25">
      <c r="A2490" s="169">
        <v>39872</v>
      </c>
      <c r="B2490" s="169" t="s">
        <v>25933</v>
      </c>
      <c r="C2490" s="169" t="s">
        <v>10225</v>
      </c>
      <c r="D2490" s="169" t="s">
        <v>1290</v>
      </c>
      <c r="E2490" s="103" t="s">
        <v>28888</v>
      </c>
      <c r="F2490" s="104"/>
      <c r="G2490" s="105">
        <f t="shared" si="152"/>
        <v>410.01</v>
      </c>
      <c r="H2490" s="101" t="str">
        <f t="shared" si="153"/>
        <v>Sinapi 39872</v>
      </c>
      <c r="I2490" s="101" t="str">
        <f t="shared" si="154"/>
        <v>UN</v>
      </c>
      <c r="J2490" s="140" t="str">
        <f t="shared" si="155"/>
        <v>JUNTA DE EXPANSAO DE COBRE (REF 900), PONTA X PONTA, 15 MM</v>
      </c>
    </row>
    <row r="2491" spans="1:10" x14ac:dyDescent="0.25">
      <c r="A2491" s="169">
        <v>39873</v>
      </c>
      <c r="B2491" s="169" t="s">
        <v>25934</v>
      </c>
      <c r="C2491" s="169" t="s">
        <v>10225</v>
      </c>
      <c r="D2491" s="169" t="s">
        <v>1290</v>
      </c>
      <c r="E2491" s="103" t="s">
        <v>30573</v>
      </c>
      <c r="F2491" s="104"/>
      <c r="G2491" s="105">
        <f t="shared" si="152"/>
        <v>475.59</v>
      </c>
      <c r="H2491" s="101" t="str">
        <f t="shared" si="153"/>
        <v>Sinapi 39873</v>
      </c>
      <c r="I2491" s="101" t="str">
        <f t="shared" si="154"/>
        <v>UN</v>
      </c>
      <c r="J2491" s="140" t="str">
        <f t="shared" si="155"/>
        <v>JUNTA DE EXPANSAO DE COBRE (REF 900), PONTA X PONTA, 22 MM</v>
      </c>
    </row>
    <row r="2492" spans="1:10" x14ac:dyDescent="0.25">
      <c r="A2492" s="169">
        <v>39874</v>
      </c>
      <c r="B2492" s="169" t="s">
        <v>25935</v>
      </c>
      <c r="C2492" s="169" t="s">
        <v>10225</v>
      </c>
      <c r="D2492" s="169" t="s">
        <v>1290</v>
      </c>
      <c r="E2492" s="103" t="s">
        <v>30574</v>
      </c>
      <c r="F2492" s="104"/>
      <c r="G2492" s="105">
        <f t="shared" si="152"/>
        <v>522.37</v>
      </c>
      <c r="H2492" s="101" t="str">
        <f t="shared" si="153"/>
        <v>Sinapi 39874</v>
      </c>
      <c r="I2492" s="101" t="str">
        <f t="shared" si="154"/>
        <v>UN</v>
      </c>
      <c r="J2492" s="140" t="str">
        <f t="shared" si="155"/>
        <v>JUNTA DE EXPANSAO DE COBRE (REF 900), PONTA X PONTA, 28 MM</v>
      </c>
    </row>
    <row r="2493" spans="1:10" x14ac:dyDescent="0.25">
      <c r="A2493" s="169">
        <v>3674</v>
      </c>
      <c r="B2493" s="169" t="s">
        <v>25936</v>
      </c>
      <c r="C2493" s="169" t="s">
        <v>10229</v>
      </c>
      <c r="D2493" s="169" t="s">
        <v>1289</v>
      </c>
      <c r="E2493" s="103" t="s">
        <v>23348</v>
      </c>
      <c r="F2493" s="104"/>
      <c r="G2493" s="105">
        <f t="shared" si="152"/>
        <v>137.55000000000001</v>
      </c>
      <c r="H2493" s="101" t="str">
        <f t="shared" si="153"/>
        <v>Sinapi 3674</v>
      </c>
      <c r="I2493" s="101" t="str">
        <f t="shared" si="154"/>
        <v>M</v>
      </c>
      <c r="J2493" s="140" t="str">
        <f t="shared" si="155"/>
        <v>JUNTA DILATACAO ELASTICA PARA CONCRETO (FUGENBAND) O-12, ATE 5 MCA</v>
      </c>
    </row>
    <row r="2494" spans="1:10" x14ac:dyDescent="0.25">
      <c r="A2494" s="169">
        <v>3681</v>
      </c>
      <c r="B2494" s="169" t="s">
        <v>25937</v>
      </c>
      <c r="C2494" s="169" t="s">
        <v>10229</v>
      </c>
      <c r="D2494" s="169" t="s">
        <v>1289</v>
      </c>
      <c r="E2494" s="103" t="s">
        <v>23067</v>
      </c>
      <c r="F2494" s="104"/>
      <c r="G2494" s="105">
        <f t="shared" si="152"/>
        <v>204.66</v>
      </c>
      <c r="H2494" s="101" t="str">
        <f t="shared" si="153"/>
        <v>Sinapi 3681</v>
      </c>
      <c r="I2494" s="101" t="str">
        <f t="shared" si="154"/>
        <v>M</v>
      </c>
      <c r="J2494" s="140" t="str">
        <f t="shared" si="155"/>
        <v>JUNTA DILATACAO ELASTICA PARA CONCRETO (FUGENBAND) O-22, ATE 30 MCA</v>
      </c>
    </row>
    <row r="2495" spans="1:10" x14ac:dyDescent="0.25">
      <c r="A2495" s="169">
        <v>3676</v>
      </c>
      <c r="B2495" s="169" t="s">
        <v>25938</v>
      </c>
      <c r="C2495" s="169" t="s">
        <v>10229</v>
      </c>
      <c r="D2495" s="169" t="s">
        <v>1289</v>
      </c>
      <c r="E2495" s="103" t="s">
        <v>30575</v>
      </c>
      <c r="F2495" s="104"/>
      <c r="G2495" s="105">
        <f t="shared" si="152"/>
        <v>770.21</v>
      </c>
      <c r="H2495" s="101" t="str">
        <f t="shared" si="153"/>
        <v>Sinapi 3676</v>
      </c>
      <c r="I2495" s="101" t="str">
        <f t="shared" si="154"/>
        <v>M</v>
      </c>
      <c r="J2495" s="140" t="str">
        <f t="shared" si="155"/>
        <v>JUNTA DILATACAO ELASTICA PARA CONCRETO (FUGENBAND) O-35/10, ATE 100 MCA</v>
      </c>
    </row>
    <row r="2496" spans="1:10" x14ac:dyDescent="0.25">
      <c r="A2496" s="169">
        <v>3679</v>
      </c>
      <c r="B2496" s="169" t="s">
        <v>25939</v>
      </c>
      <c r="C2496" s="169" t="s">
        <v>10229</v>
      </c>
      <c r="D2496" s="169" t="s">
        <v>1289</v>
      </c>
      <c r="E2496" s="103" t="s">
        <v>30576</v>
      </c>
      <c r="F2496" s="104"/>
      <c r="G2496" s="105">
        <f t="shared" si="152"/>
        <v>637.21</v>
      </c>
      <c r="H2496" s="101" t="str">
        <f t="shared" si="153"/>
        <v>Sinapi 3679</v>
      </c>
      <c r="I2496" s="101" t="str">
        <f t="shared" si="154"/>
        <v>M</v>
      </c>
      <c r="J2496" s="140" t="str">
        <f t="shared" si="155"/>
        <v>JUNTA DILATACAO ELASTICA PARA CONCRETO (FUGENBAND) O-35/6, ATE 100 MCA</v>
      </c>
    </row>
    <row r="2497" spans="1:10" x14ac:dyDescent="0.25">
      <c r="A2497" s="169">
        <v>3672</v>
      </c>
      <c r="B2497" s="169" t="s">
        <v>25940</v>
      </c>
      <c r="C2497" s="169" t="s">
        <v>10229</v>
      </c>
      <c r="D2497" s="169" t="s">
        <v>1289</v>
      </c>
      <c r="E2497" s="103" t="s">
        <v>10295</v>
      </c>
      <c r="F2497" s="104"/>
      <c r="G2497" s="105">
        <f t="shared" si="152"/>
        <v>2.17</v>
      </c>
      <c r="H2497" s="101" t="str">
        <f t="shared" si="153"/>
        <v>Sinapi 3672</v>
      </c>
      <c r="I2497" s="101" t="str">
        <f t="shared" si="154"/>
        <v>M</v>
      </c>
      <c r="J2497" s="140" t="str">
        <f t="shared" si="155"/>
        <v>JUNTA PLASTICA DE DILATACAO PARA PISOS, COR CINZA, 10 X 4,5 MM (ALTURA X ESPESSURA)</v>
      </c>
    </row>
    <row r="2498" spans="1:10" x14ac:dyDescent="0.25">
      <c r="A2498" s="169">
        <v>3671</v>
      </c>
      <c r="B2498" s="169" t="s">
        <v>1089</v>
      </c>
      <c r="C2498" s="169" t="s">
        <v>10229</v>
      </c>
      <c r="D2498" s="169" t="s">
        <v>1288</v>
      </c>
      <c r="E2498" s="103" t="s">
        <v>9359</v>
      </c>
      <c r="F2498" s="104"/>
      <c r="G2498" s="105">
        <f t="shared" si="152"/>
        <v>2.0499999999999998</v>
      </c>
      <c r="H2498" s="101" t="str">
        <f t="shared" si="153"/>
        <v>Sinapi 3671</v>
      </c>
      <c r="I2498" s="101" t="str">
        <f t="shared" si="154"/>
        <v>M</v>
      </c>
      <c r="J2498" s="140" t="str">
        <f t="shared" si="155"/>
        <v>JUNTA PLASTICA DE DILATACAO PARA PISOS, COR CINZA, 17 X 3 MM (ALTURA X ESPESSURA)</v>
      </c>
    </row>
    <row r="2499" spans="1:10" x14ac:dyDescent="0.25">
      <c r="A2499" s="169">
        <v>3673</v>
      </c>
      <c r="B2499" s="169" t="s">
        <v>25941</v>
      </c>
      <c r="C2499" s="169" t="s">
        <v>10229</v>
      </c>
      <c r="D2499" s="169" t="s">
        <v>1289</v>
      </c>
      <c r="E2499" s="103" t="s">
        <v>14926</v>
      </c>
      <c r="F2499" s="104"/>
      <c r="G2499" s="105">
        <f t="shared" si="152"/>
        <v>3.22</v>
      </c>
      <c r="H2499" s="101" t="str">
        <f t="shared" si="153"/>
        <v>Sinapi 3673</v>
      </c>
      <c r="I2499" s="101" t="str">
        <f t="shared" si="154"/>
        <v>M</v>
      </c>
      <c r="J2499" s="140" t="str">
        <f t="shared" si="155"/>
        <v>JUNTA PLASTICA DE DILATACAO PARA PISOS, COR CINZA, 27 X 3 MM (ALTURA X ESPESSURA)</v>
      </c>
    </row>
    <row r="2500" spans="1:10" x14ac:dyDescent="0.25">
      <c r="A2500" s="169">
        <v>38394</v>
      </c>
      <c r="B2500" s="169" t="s">
        <v>25942</v>
      </c>
      <c r="C2500" s="169" t="s">
        <v>10225</v>
      </c>
      <c r="D2500" s="169" t="s">
        <v>1289</v>
      </c>
      <c r="E2500" s="103" t="s">
        <v>30577</v>
      </c>
      <c r="F2500" s="104"/>
      <c r="G2500" s="105">
        <f t="shared" si="152"/>
        <v>337.95</v>
      </c>
      <c r="H2500" s="101" t="str">
        <f t="shared" si="153"/>
        <v>Sinapi 38394</v>
      </c>
      <c r="I2500" s="101" t="str">
        <f t="shared" si="154"/>
        <v>UN</v>
      </c>
      <c r="J2500" s="140" t="str">
        <f t="shared" si="155"/>
        <v>KIT ACESSORIOS PARA COMPRESSOR DE AR, 5 PECAS (PISTOLAS PINTURA, LIMPEZA E PULVERIZACAO, CALIBRADOR E MANGUEIRA)</v>
      </c>
    </row>
    <row r="2501" spans="1:10" x14ac:dyDescent="0.25">
      <c r="A2501" s="169">
        <v>3729</v>
      </c>
      <c r="B2501" s="169" t="s">
        <v>25943</v>
      </c>
      <c r="C2501" s="169" t="s">
        <v>10225</v>
      </c>
      <c r="D2501" s="169" t="s">
        <v>1289</v>
      </c>
      <c r="E2501" s="103" t="s">
        <v>30578</v>
      </c>
      <c r="F2501" s="104"/>
      <c r="G2501" s="105">
        <f t="shared" si="152"/>
        <v>162.94999999999999</v>
      </c>
      <c r="H2501" s="101" t="str">
        <f t="shared" si="153"/>
        <v>Sinapi 3729</v>
      </c>
      <c r="I2501" s="101" t="str">
        <f t="shared" si="154"/>
        <v>UN</v>
      </c>
      <c r="J2501" s="140" t="str">
        <f t="shared" si="155"/>
        <v>KIT CAVALETE, PVC, COM REGISTRO, PARA HIDROMETRO, BITOLAS 1/2" OU 3/4" - COMPLETO</v>
      </c>
    </row>
    <row r="2502" spans="1:10" x14ac:dyDescent="0.25">
      <c r="A2502" s="169">
        <v>39357</v>
      </c>
      <c r="B2502" s="169" t="s">
        <v>25944</v>
      </c>
      <c r="C2502" s="169" t="s">
        <v>10225</v>
      </c>
      <c r="D2502" s="169" t="s">
        <v>1290</v>
      </c>
      <c r="E2502" s="103" t="s">
        <v>19293</v>
      </c>
      <c r="F2502" s="104"/>
      <c r="G2502" s="105">
        <f t="shared" si="152"/>
        <v>52.21</v>
      </c>
      <c r="H2502" s="101" t="str">
        <f t="shared" si="153"/>
        <v>Sinapi 39357</v>
      </c>
      <c r="I2502" s="101" t="str">
        <f t="shared" si="154"/>
        <v>UN</v>
      </c>
      <c r="J2502" s="140" t="str">
        <f t="shared" si="155"/>
        <v>KIT CHASSI COZINHA, CUBA SIMPLES SEM MAQUINA LAVAR LOUCA, INSTAL. PEX, QUADRO METALICO C/ TRAVESSA C/ FURO P/ESGOTO DN 50 MM E FUROS SUPERIORES P/AGUA, *340* X *650* MM (L X H), P/ CONEXAO COM ANEL DESLIZANTE (CONJUNTO COMPLETO)</v>
      </c>
    </row>
    <row r="2503" spans="1:10" x14ac:dyDescent="0.25">
      <c r="A2503" s="169">
        <v>39358</v>
      </c>
      <c r="B2503" s="169" t="s">
        <v>25945</v>
      </c>
      <c r="C2503" s="169" t="s">
        <v>10225</v>
      </c>
      <c r="D2503" s="169" t="s">
        <v>1290</v>
      </c>
      <c r="E2503" s="103" t="s">
        <v>19293</v>
      </c>
      <c r="F2503" s="104"/>
      <c r="G2503" s="105">
        <f t="shared" si="152"/>
        <v>52.21</v>
      </c>
      <c r="H2503" s="101" t="str">
        <f t="shared" si="153"/>
        <v>Sinapi 39358</v>
      </c>
      <c r="I2503" s="101" t="str">
        <f t="shared" si="154"/>
        <v>UN</v>
      </c>
      <c r="J2503" s="140" t="str">
        <f t="shared" si="155"/>
        <v>KIT CHASSI COZINHA, CUBA SIMPLES SEM MAQUINA LAVAR LOUCA, INSTAL. PEX, QUADRO METALICO C/ TRAVESSA COM FURO P/ESGOTO DN 50 MM E FUROS SUPERIORES P/AGUA, *340* X *650* MM (L X H), P/ CONEXAO COM CRIMPAGEM (CONJUNTO COMPLETO)</v>
      </c>
    </row>
    <row r="2504" spans="1:10" x14ac:dyDescent="0.25">
      <c r="A2504" s="169">
        <v>39355</v>
      </c>
      <c r="B2504" s="169" t="s">
        <v>25946</v>
      </c>
      <c r="C2504" s="169" t="s">
        <v>10225</v>
      </c>
      <c r="D2504" s="169" t="s">
        <v>1290</v>
      </c>
      <c r="E2504" s="103" t="s">
        <v>25947</v>
      </c>
      <c r="F2504" s="104"/>
      <c r="G2504" s="105">
        <f t="shared" ref="G2504:G2567" si="156">IF(E2504="","",E2504+0)</f>
        <v>76.069999999999993</v>
      </c>
      <c r="H2504" s="101" t="str">
        <f t="shared" ref="H2504:H2567" si="157">IF(G2504="","",TRIM(CONCATENATE("Sinapi ",A2504)))</f>
        <v>Sinapi 39355</v>
      </c>
      <c r="I2504" s="101" t="str">
        <f t="shared" ref="I2504:I2567" si="158">TRIM(C2504)</f>
        <v>UN</v>
      </c>
      <c r="J2504" s="140" t="str">
        <f t="shared" si="155"/>
        <v>KIT CHASSI TANQUE E MAQUINA LAVAR ROUPA, INSTAL. PEX, QUADRO METALICO C/ TRAVESSA C/ FURO P/ ESGOTO DN 50 MM, FURO LATERAL P/ MAQUINA E FUROS SUPERIORES P/ AGUA, *344* X *442* MM (L X H), P/ CONEXAO COM ANEL DESLIZANTE (CONJUNTO COMPLETO)</v>
      </c>
    </row>
    <row r="2505" spans="1:10" x14ac:dyDescent="0.25">
      <c r="A2505" s="169">
        <v>39356</v>
      </c>
      <c r="B2505" s="169" t="s">
        <v>25948</v>
      </c>
      <c r="C2505" s="169" t="s">
        <v>10225</v>
      </c>
      <c r="D2505" s="169" t="s">
        <v>1290</v>
      </c>
      <c r="E2505" s="103" t="s">
        <v>19869</v>
      </c>
      <c r="F2505" s="104"/>
      <c r="G2505" s="105">
        <f t="shared" si="156"/>
        <v>72.599999999999994</v>
      </c>
      <c r="H2505" s="101" t="str">
        <f t="shared" si="157"/>
        <v>Sinapi 39356</v>
      </c>
      <c r="I2505" s="101" t="str">
        <f t="shared" si="158"/>
        <v>UN</v>
      </c>
      <c r="J2505" s="140" t="str">
        <f t="shared" ref="J2505:J2568" si="159">TRIM(B2505)</f>
        <v>KIT CHASSI TANQUE E MAQUINA LAVAR ROUPA, INSTAL. PEX, QUADRO METALICO C/ TRAVESSA C/ FURO P/ ESGOTO DN 50 MM, FURO LATERAL P/MAQUINA E FUROS SUPERIORES P/AGUA, *344* X *442* MM (L X H), P/ CONEXAO COM CRIMPAGEM (CONJUNTO COMPLETO)</v>
      </c>
    </row>
    <row r="2506" spans="1:10" x14ac:dyDescent="0.25">
      <c r="A2506" s="169">
        <v>39353</v>
      </c>
      <c r="B2506" s="169" t="s">
        <v>25949</v>
      </c>
      <c r="C2506" s="169" t="s">
        <v>10225</v>
      </c>
      <c r="D2506" s="169" t="s">
        <v>1290</v>
      </c>
      <c r="E2506" s="103" t="s">
        <v>25950</v>
      </c>
      <c r="F2506" s="104"/>
      <c r="G2506" s="105">
        <f t="shared" si="156"/>
        <v>166.66</v>
      </c>
      <c r="H2506" s="101" t="str">
        <f t="shared" si="157"/>
        <v>Sinapi 39353</v>
      </c>
      <c r="I2506" s="101" t="str">
        <f t="shared" si="158"/>
        <v>UN</v>
      </c>
      <c r="J2506" s="140" t="str">
        <f t="shared" si="159"/>
        <v>KIT CHUVEIRO, INSTAL. PEX, QUADRO METALICO C/ 2 TRAVESSAS, SUPERIOR C/ ESPERA P/ CHUVEIRO, INFERIOR C/ 2 REGISTROS DE PRESSAO 1/2 ", *390* X *900* MM (L X H), CONEXAO COM ANEL DESLIZANTE (CONJUNTO COMPLETO)</v>
      </c>
    </row>
    <row r="2507" spans="1:10" x14ac:dyDescent="0.25">
      <c r="A2507" s="169">
        <v>39354</v>
      </c>
      <c r="B2507" s="169" t="s">
        <v>25951</v>
      </c>
      <c r="C2507" s="169" t="s">
        <v>10225</v>
      </c>
      <c r="D2507" s="169" t="s">
        <v>1290</v>
      </c>
      <c r="E2507" s="103" t="s">
        <v>25952</v>
      </c>
      <c r="F2507" s="104"/>
      <c r="G2507" s="105">
        <f t="shared" si="156"/>
        <v>351.63</v>
      </c>
      <c r="H2507" s="101" t="str">
        <f t="shared" si="157"/>
        <v>Sinapi 39354</v>
      </c>
      <c r="I2507" s="101" t="str">
        <f t="shared" si="158"/>
        <v>UN</v>
      </c>
      <c r="J2507" s="140" t="str">
        <f t="shared" si="159"/>
        <v>KIT CHUVEIRO, INSTAL. PEX, QUADRO METALICO C/2 TRAVESSAS, SUPERIOR C/ ESPERA P/ CHUVEIRO E INFERIOR C/2 REGISTROS DE PRESSAO 1/2 ", *390* X *900* MM (L X H), CONEXAO COM CRIMPAGEM (CONJUNTO COMPLETO)</v>
      </c>
    </row>
    <row r="2508" spans="1:10" x14ac:dyDescent="0.25">
      <c r="A2508" s="169">
        <v>39398</v>
      </c>
      <c r="B2508" s="169" t="s">
        <v>25953</v>
      </c>
      <c r="C2508" s="169" t="s">
        <v>10225</v>
      </c>
      <c r="D2508" s="169" t="s">
        <v>1289</v>
      </c>
      <c r="E2508" s="103" t="s">
        <v>30579</v>
      </c>
      <c r="F2508" s="104"/>
      <c r="G2508" s="105">
        <f t="shared" si="156"/>
        <v>155.54</v>
      </c>
      <c r="H2508" s="101" t="str">
        <f t="shared" si="157"/>
        <v>Sinapi 39398</v>
      </c>
      <c r="I2508" s="101" t="str">
        <f t="shared" si="158"/>
        <v>UN</v>
      </c>
      <c r="J2508" s="140" t="str">
        <f t="shared" si="159"/>
        <v>KIT DE ACESSORIOS PARA BANHEIRO EM METAL CROMADO, 5 PECAS</v>
      </c>
    </row>
    <row r="2509" spans="1:10" x14ac:dyDescent="0.25">
      <c r="A2509" s="169">
        <v>13343</v>
      </c>
      <c r="B2509" s="169" t="s">
        <v>25954</v>
      </c>
      <c r="C2509" s="169" t="s">
        <v>10225</v>
      </c>
      <c r="D2509" s="169" t="s">
        <v>1290</v>
      </c>
      <c r="E2509" s="103" t="s">
        <v>30580</v>
      </c>
      <c r="F2509" s="104"/>
      <c r="G2509" s="105">
        <f t="shared" si="156"/>
        <v>51.52</v>
      </c>
      <c r="H2509" s="101" t="str">
        <f t="shared" si="157"/>
        <v>Sinapi 13343</v>
      </c>
      <c r="I2509" s="101" t="str">
        <f t="shared" si="158"/>
        <v>UN</v>
      </c>
      <c r="J2509" s="140" t="str">
        <f t="shared" si="159"/>
        <v>KIT DE MATERIAIS PARA BRACADEIRA PARA FIXACAO EM POSTE CIRCULAR, CONTEM TRES FIXADORES E UM ROLO DE FITA DE 3 M EM ACO CARBONO</v>
      </c>
    </row>
    <row r="2510" spans="1:10" x14ac:dyDescent="0.25">
      <c r="A2510" s="169">
        <v>12118</v>
      </c>
      <c r="B2510" s="169" t="s">
        <v>25955</v>
      </c>
      <c r="C2510" s="169" t="s">
        <v>10225</v>
      </c>
      <c r="D2510" s="169" t="s">
        <v>1289</v>
      </c>
      <c r="E2510" s="103" t="s">
        <v>20014</v>
      </c>
      <c r="F2510" s="104"/>
      <c r="G2510" s="105">
        <f t="shared" si="156"/>
        <v>29.49</v>
      </c>
      <c r="H2510" s="101" t="str">
        <f t="shared" si="157"/>
        <v>Sinapi 12118</v>
      </c>
      <c r="I2510" s="101" t="str">
        <f t="shared" si="158"/>
        <v>UN</v>
      </c>
      <c r="J2510" s="140" t="str">
        <f t="shared" si="159"/>
        <v>KIT DE PROTECAO ARSTOP PARA AR CONDICIONADO, TOMADA PADRAO 2P+T 20 A, COM DISJUNTOR UNIPOLAR DIN 20A</v>
      </c>
    </row>
    <row r="2511" spans="1:10" x14ac:dyDescent="0.25">
      <c r="A2511" s="169">
        <v>39482</v>
      </c>
      <c r="B2511" s="169" t="s">
        <v>25956</v>
      </c>
      <c r="C2511" s="169" t="s">
        <v>10225</v>
      </c>
      <c r="D2511" s="169" t="s">
        <v>1289</v>
      </c>
      <c r="E2511" s="103" t="s">
        <v>30581</v>
      </c>
      <c r="F2511" s="104"/>
      <c r="G2511" s="105">
        <f t="shared" si="156"/>
        <v>747.06</v>
      </c>
      <c r="H2511" s="101" t="str">
        <f t="shared" si="157"/>
        <v>Sinapi 39482</v>
      </c>
      <c r="I2511" s="101" t="str">
        <f t="shared" si="158"/>
        <v>UN</v>
      </c>
      <c r="J2511" s="140" t="str">
        <f t="shared" si="159"/>
        <v>KIT PORTA PRONTA DE MADEIRA, FOLHA LEVE (NBR 15930) DE 600 X 2100 MM OU 700 X 2100 MM, DE 35 MM A 40 MM DE ESPESSURA, COM MARCO EM ACO, NUCLEO COLMEIA, CAPA LISA EM HDF, ACABAMENTO MELAMINICO BRANCO (INCLUI MARCO, ALIZARES, DOBRADICAS E FECHADURA)</v>
      </c>
    </row>
    <row r="2512" spans="1:10" x14ac:dyDescent="0.25">
      <c r="A2512" s="169">
        <v>39486</v>
      </c>
      <c r="B2512" s="169" t="s">
        <v>25957</v>
      </c>
      <c r="C2512" s="169" t="s">
        <v>10225</v>
      </c>
      <c r="D2512" s="169" t="s">
        <v>1289</v>
      </c>
      <c r="E2512" s="103" t="s">
        <v>30582</v>
      </c>
      <c r="F2512" s="104"/>
      <c r="G2512" s="105">
        <f t="shared" si="156"/>
        <v>609.71</v>
      </c>
      <c r="H2512" s="101" t="str">
        <f t="shared" si="157"/>
        <v>Sinapi 39486</v>
      </c>
      <c r="I2512" s="101" t="str">
        <f t="shared" si="158"/>
        <v>UN</v>
      </c>
      <c r="J2512" s="140" t="str">
        <f t="shared" si="159"/>
        <v>KIT PORTA PRONTA DE MADEIRA, FOLHA LEVE (NBR 15930) DE 600 X 2100 MM OU 700 X 2100 MM, DE 35 MM A 40 MM DE ESPESSURA, NUCLEO COLMEIA, ESTRUTURA USINADA PARA FECHADURA, CAPA LISA EM HDF, ACABAMENTO EM PRIMER PARA PINTURA (INCLUI MARCO, ALIZARES E DOBRADICAS)</v>
      </c>
    </row>
    <row r="2513" spans="1:10" x14ac:dyDescent="0.25">
      <c r="A2513" s="169">
        <v>39484</v>
      </c>
      <c r="B2513" s="169" t="s">
        <v>25958</v>
      </c>
      <c r="C2513" s="169" t="s">
        <v>10225</v>
      </c>
      <c r="D2513" s="169" t="s">
        <v>1289</v>
      </c>
      <c r="E2513" s="103" t="s">
        <v>30581</v>
      </c>
      <c r="F2513" s="104"/>
      <c r="G2513" s="105">
        <f t="shared" si="156"/>
        <v>747.06</v>
      </c>
      <c r="H2513" s="101" t="str">
        <f t="shared" si="157"/>
        <v>Sinapi 39484</v>
      </c>
      <c r="I2513" s="101" t="str">
        <f t="shared" si="158"/>
        <v>UN</v>
      </c>
      <c r="J2513" s="140" t="str">
        <f t="shared" si="159"/>
        <v>KIT PORTA PRONTA DE MADEIRA, FOLHA LEVE (NBR 15930) DE 800 X 2100 MM, DE 35 MM A 40 MM DE ESPESSURA, COM MARCO EM ACO, NUCLEO COLMEIA, CAPA LISA EM HDF, ACABAMENTO MELAMINICO BRANCO (INCLUI MARCO, ALIZARES, DOBRADICAS E FECHADURA)</v>
      </c>
    </row>
    <row r="2514" spans="1:10" x14ac:dyDescent="0.25">
      <c r="A2514" s="169">
        <v>39488</v>
      </c>
      <c r="B2514" s="169" t="s">
        <v>25959</v>
      </c>
      <c r="C2514" s="169" t="s">
        <v>10225</v>
      </c>
      <c r="D2514" s="169" t="s">
        <v>1289</v>
      </c>
      <c r="E2514" s="103" t="s">
        <v>30583</v>
      </c>
      <c r="F2514" s="104"/>
      <c r="G2514" s="105">
        <f t="shared" si="156"/>
        <v>619.69000000000005</v>
      </c>
      <c r="H2514" s="101" t="str">
        <f t="shared" si="157"/>
        <v>Sinapi 39488</v>
      </c>
      <c r="I2514" s="101" t="str">
        <f t="shared" si="158"/>
        <v>UN</v>
      </c>
      <c r="J2514" s="140" t="str">
        <f t="shared" si="159"/>
        <v>KIT PORTA PRONTA DE MADEIRA, FOLHA LEVE (NBR 15930) DE 800 X 2100 MM, DE 35 MM A 40 MM DE ESPESSURA, NUCLEO COLMEIA, ESTRUTURA USINADA PARA FECHADURA, CAPA LISA EM HDF, ACABAMENTO EM PRIMER PARA PINTURA (INCLUI MARCO, ALIZARES E DOBRADICAS)</v>
      </c>
    </row>
    <row r="2515" spans="1:10" x14ac:dyDescent="0.25">
      <c r="A2515" s="169">
        <v>39485</v>
      </c>
      <c r="B2515" s="169" t="s">
        <v>25960</v>
      </c>
      <c r="C2515" s="169" t="s">
        <v>10225</v>
      </c>
      <c r="D2515" s="169" t="s">
        <v>1289</v>
      </c>
      <c r="E2515" s="103" t="s">
        <v>30581</v>
      </c>
      <c r="F2515" s="104"/>
      <c r="G2515" s="105">
        <f t="shared" si="156"/>
        <v>747.06</v>
      </c>
      <c r="H2515" s="101" t="str">
        <f t="shared" si="157"/>
        <v>Sinapi 39485</v>
      </c>
      <c r="I2515" s="101" t="str">
        <f t="shared" si="158"/>
        <v>UN</v>
      </c>
      <c r="J2515" s="140" t="str">
        <f t="shared" si="159"/>
        <v>KIT PORTA PRONTA DE MADEIRA, FOLHA LEVE (NBR 15930) DE 900 X 2100 MM, DE 35 MM A 40 MM DE ESPESSURA, COM MARCO EM ACO, NUCLEO COLMEIA, CAPA LISA EM HDF, ACABAMENTO MELAMINICO BRANCO (INCLUI MARCO, ALIZARES, DOBRADICAS E FECHADURA)</v>
      </c>
    </row>
    <row r="2516" spans="1:10" x14ac:dyDescent="0.25">
      <c r="A2516" s="169">
        <v>39489</v>
      </c>
      <c r="B2516" s="169" t="s">
        <v>25961</v>
      </c>
      <c r="C2516" s="169" t="s">
        <v>10225</v>
      </c>
      <c r="D2516" s="169" t="s">
        <v>1289</v>
      </c>
      <c r="E2516" s="103" t="s">
        <v>30584</v>
      </c>
      <c r="F2516" s="104"/>
      <c r="G2516" s="105">
        <f t="shared" si="156"/>
        <v>630.20000000000005</v>
      </c>
      <c r="H2516" s="101" t="str">
        <f t="shared" si="157"/>
        <v>Sinapi 39489</v>
      </c>
      <c r="I2516" s="101" t="str">
        <f t="shared" si="158"/>
        <v>UN</v>
      </c>
      <c r="J2516" s="140" t="str">
        <f t="shared" si="159"/>
        <v>KIT PORTA PRONTA DE MADEIRA, FOLHA LEVE (NBR 15930) DE 900 X 2100 MM, DE 35 MM A 40 MM DE ESPESSURA, NUCLEO COLMEIA, ESTRUTURA USINADA PARA FECHADURA, CAPA LISA EM HDF, ACABAMENTO EM PRIMER PARA PINTURA (INCLUI MARCO, ALIZARES E DOBRADICAS)</v>
      </c>
    </row>
    <row r="2517" spans="1:10" x14ac:dyDescent="0.25">
      <c r="A2517" s="169">
        <v>39490</v>
      </c>
      <c r="B2517" s="169" t="s">
        <v>25962</v>
      </c>
      <c r="C2517" s="169" t="s">
        <v>10225</v>
      </c>
      <c r="D2517" s="169" t="s">
        <v>1289</v>
      </c>
      <c r="E2517" s="103" t="s">
        <v>30585</v>
      </c>
      <c r="F2517" s="104"/>
      <c r="G2517" s="105">
        <f t="shared" si="156"/>
        <v>939.08</v>
      </c>
      <c r="H2517" s="101" t="str">
        <f t="shared" si="157"/>
        <v>Sinapi 39490</v>
      </c>
      <c r="I2517" s="101" t="str">
        <f t="shared" si="158"/>
        <v>UN</v>
      </c>
      <c r="J2517" s="140" t="str">
        <f t="shared" si="159"/>
        <v>KIT PORTA PRONTA DE MADEIRA, FOLHA MEDIA (NBR 15930) DE 600 X 2100 MM OU 700 X 2100 MM, DE 35 MM A 40 MM DE ESPESSURA, NUCLEO SEMI-SOLIDO (SARRAFEADO), ESTRUTURA USINADA PARA FECHADURA, CAPA LISA EM HDF, ACABAMENTO MELAMINICO BRANCO (INCLUI MARCO, ALIZARES E DOBRADICAS)</v>
      </c>
    </row>
    <row r="2518" spans="1:10" x14ac:dyDescent="0.25">
      <c r="A2518" s="169">
        <v>39494</v>
      </c>
      <c r="B2518" s="169" t="s">
        <v>25963</v>
      </c>
      <c r="C2518" s="169" t="s">
        <v>10225</v>
      </c>
      <c r="D2518" s="169" t="s">
        <v>1289</v>
      </c>
      <c r="E2518" s="103" t="s">
        <v>30586</v>
      </c>
      <c r="F2518" s="104"/>
      <c r="G2518" s="105">
        <f t="shared" si="156"/>
        <v>674.33</v>
      </c>
      <c r="H2518" s="101" t="str">
        <f t="shared" si="157"/>
        <v>Sinapi 39494</v>
      </c>
      <c r="I2518" s="101" t="str">
        <f t="shared" si="158"/>
        <v>UN</v>
      </c>
      <c r="J2518" s="140" t="str">
        <f t="shared" si="159"/>
        <v>KIT PORTA PRONTA DE MADEIRA, FOLHA MEDIA (NBR 15930) DE 600 X 2100 MM, DE 35 MM A 40 MM DE ESPESSURA, NUCLEO SEMI-SOLIDO (SARRAFEADO), ESTRUTURA USINADA PARA FECHADURA, CAPA LISA EM HDF, ACABAMENTO EM PRIMER PARA PINTURA (INCLUI MARCO, ALIZARES E DOBRADICAS)</v>
      </c>
    </row>
    <row r="2519" spans="1:10" x14ac:dyDescent="0.25">
      <c r="A2519" s="169">
        <v>39495</v>
      </c>
      <c r="B2519" s="169" t="s">
        <v>25964</v>
      </c>
      <c r="C2519" s="169" t="s">
        <v>10225</v>
      </c>
      <c r="D2519" s="169" t="s">
        <v>1289</v>
      </c>
      <c r="E2519" s="103" t="s">
        <v>30587</v>
      </c>
      <c r="F2519" s="104"/>
      <c r="G2519" s="105">
        <f t="shared" si="156"/>
        <v>759.89</v>
      </c>
      <c r="H2519" s="101" t="str">
        <f t="shared" si="157"/>
        <v>Sinapi 39495</v>
      </c>
      <c r="I2519" s="101" t="str">
        <f t="shared" si="158"/>
        <v>UN</v>
      </c>
      <c r="J2519" s="140" t="str">
        <f t="shared" si="159"/>
        <v>KIT PORTA PRONTA DE MADEIRA, FOLHA MEDIA (NBR 15930) DE 700 X 2100 MM, DE 35 MM A 40 MM DE ESPESSURA, NUCLEO SEMI-SOLIDO (SARRAFEADO), ESTRUTURA USINADA PARA FECHADURA, CAPA LISA EM HDF, ACABAMENTO EM PRIMER PARA PINTURA (INCLUI MARCO, ALIZARES E DOBRADICAS)</v>
      </c>
    </row>
    <row r="2520" spans="1:10" x14ac:dyDescent="0.25">
      <c r="A2520" s="169">
        <v>39496</v>
      </c>
      <c r="B2520" s="169" t="s">
        <v>25965</v>
      </c>
      <c r="C2520" s="169" t="s">
        <v>10225</v>
      </c>
      <c r="D2520" s="169" t="s">
        <v>1289</v>
      </c>
      <c r="E2520" s="103" t="s">
        <v>30588</v>
      </c>
      <c r="F2520" s="104"/>
      <c r="G2520" s="105">
        <f t="shared" si="156"/>
        <v>835.87</v>
      </c>
      <c r="H2520" s="101" t="str">
        <f t="shared" si="157"/>
        <v>Sinapi 39496</v>
      </c>
      <c r="I2520" s="101" t="str">
        <f t="shared" si="158"/>
        <v>UN</v>
      </c>
      <c r="J2520" s="140" t="str">
        <f t="shared" si="159"/>
        <v>KIT PORTA PRONTA DE MADEIRA, FOLHA MEDIA (NBR 15930) DE 800 X 2100 MM, DE 35 MM A 40 MM DE ESPESSURA, NUCLEO SEMI-SOLIDO (SARRAFEADO), ESTRUTURA USINADA PARA FECHADURA, CAPA LISA EM HDF, ACABAMENTO EM PRIMER PARA PINTURA (INCLUI MARCO, ALIZARES E DOBRADICAS)</v>
      </c>
    </row>
    <row r="2521" spans="1:10" x14ac:dyDescent="0.25">
      <c r="A2521" s="169">
        <v>39492</v>
      </c>
      <c r="B2521" s="169" t="s">
        <v>25966</v>
      </c>
      <c r="C2521" s="169" t="s">
        <v>10225</v>
      </c>
      <c r="D2521" s="169" t="s">
        <v>1289</v>
      </c>
      <c r="E2521" s="103" t="s">
        <v>30589</v>
      </c>
      <c r="F2521" s="104"/>
      <c r="G2521" s="105">
        <f t="shared" si="156"/>
        <v>967.71</v>
      </c>
      <c r="H2521" s="101" t="str">
        <f t="shared" si="157"/>
        <v>Sinapi 39492</v>
      </c>
      <c r="I2521" s="101" t="str">
        <f t="shared" si="158"/>
        <v>UN</v>
      </c>
      <c r="J2521" s="140" t="str">
        <f t="shared" si="159"/>
        <v>KIT PORTA PRONTA DE MADEIRA, FOLHA MEDIA (NBR 15930) DE 800 X 2100 MM, DE 35 MM A 40 MM DE ESPESSURA, NUCLEO SEMI-SOLIDO (SARRAFEADO), ESTRUTURA USINADA PARA FECHADURA, CAPA LISA EM HDF, ACABAMENTO MELAMINICO BRANCO (INCLUI MARCO, ALIZARES E DOBRADICAS)</v>
      </c>
    </row>
    <row r="2522" spans="1:10" x14ac:dyDescent="0.25">
      <c r="A2522" s="169">
        <v>39497</v>
      </c>
      <c r="B2522" s="169" t="s">
        <v>25967</v>
      </c>
      <c r="C2522" s="169" t="s">
        <v>10225</v>
      </c>
      <c r="D2522" s="169" t="s">
        <v>1289</v>
      </c>
      <c r="E2522" s="103" t="s">
        <v>30590</v>
      </c>
      <c r="F2522" s="104"/>
      <c r="G2522" s="105">
        <f t="shared" si="156"/>
        <v>874.1</v>
      </c>
      <c r="H2522" s="101" t="str">
        <f t="shared" si="157"/>
        <v>Sinapi 39497</v>
      </c>
      <c r="I2522" s="101" t="str">
        <f t="shared" si="158"/>
        <v>UN</v>
      </c>
      <c r="J2522" s="140" t="str">
        <f t="shared" si="159"/>
        <v>KIT PORTA PRONTA DE MADEIRA, FOLHA MEDIA (NBR 15930) DE 900 X 2100 MM, DE 35 MM A 40 MM DE ESPESSURA, NUCLEO SEMI-SOLIDO (SARRAFEADO), ESTRUTURA USINADA PARA FECHADURA, CAPA LISA EM HDF, ACABAMENTO EM PRIMER PARA PINTURA (INCLUI MARCO, ALIZARES E DOBRADICAS)</v>
      </c>
    </row>
    <row r="2523" spans="1:10" x14ac:dyDescent="0.25">
      <c r="A2523" s="169">
        <v>39493</v>
      </c>
      <c r="B2523" s="169" t="s">
        <v>25968</v>
      </c>
      <c r="C2523" s="169" t="s">
        <v>10225</v>
      </c>
      <c r="D2523" s="169" t="s">
        <v>1289</v>
      </c>
      <c r="E2523" s="103" t="s">
        <v>30591</v>
      </c>
      <c r="F2523" s="104"/>
      <c r="G2523" s="105">
        <f t="shared" si="156"/>
        <v>1037.96</v>
      </c>
      <c r="H2523" s="101" t="str">
        <f t="shared" si="157"/>
        <v>Sinapi 39493</v>
      </c>
      <c r="I2523" s="101" t="str">
        <f t="shared" si="158"/>
        <v>UN</v>
      </c>
      <c r="J2523" s="140" t="str">
        <f t="shared" si="159"/>
        <v>KIT PORTA PRONTA DE MADEIRA, FOLHA MEDIA (NBR 15930) DE 900 X 2100 MM, DE 35 MM A 40 MM DE ESPESSURA, NUCLEO SEMI-SOLIDO (SARRAFEADO), ESTRUTURA USINADA PARA FECHADURA, CAPA LISA EM HDF, ACABAMENTO MELAMINICO BRANCO (INCLUI MARCO, ALIZARES E DOBRADICAS)</v>
      </c>
    </row>
    <row r="2524" spans="1:10" x14ac:dyDescent="0.25">
      <c r="A2524" s="169">
        <v>39500</v>
      </c>
      <c r="B2524" s="169" t="s">
        <v>25969</v>
      </c>
      <c r="C2524" s="169" t="s">
        <v>10225</v>
      </c>
      <c r="D2524" s="169" t="s">
        <v>1289</v>
      </c>
      <c r="E2524" s="103" t="s">
        <v>30592</v>
      </c>
      <c r="F2524" s="104"/>
      <c r="G2524" s="105">
        <f t="shared" si="156"/>
        <v>1132.5</v>
      </c>
      <c r="H2524" s="101" t="str">
        <f t="shared" si="157"/>
        <v>Sinapi 39500</v>
      </c>
      <c r="I2524" s="101" t="str">
        <f t="shared" si="158"/>
        <v>UN</v>
      </c>
      <c r="J2524" s="140" t="str">
        <f t="shared" si="159"/>
        <v>KIT PORTA PRONTA DE MADEIRA, FOLHA PESADA (NBR 15930) DE 800 X 2100 MM, DE 40 MM A 45 MM DE ESPESSURA, NUCLEO SOLIDO, CAPA LISA EM HDF, ACABAMENTO MELAMINICO BRANCO (INCLUI MARCO, ALIZARES, DOBRADICAS E FECHADURA EXTERNA)</v>
      </c>
    </row>
    <row r="2525" spans="1:10" x14ac:dyDescent="0.25">
      <c r="A2525" s="169">
        <v>39498</v>
      </c>
      <c r="B2525" s="169" t="s">
        <v>25971</v>
      </c>
      <c r="C2525" s="169" t="s">
        <v>10225</v>
      </c>
      <c r="D2525" s="169" t="s">
        <v>1289</v>
      </c>
      <c r="E2525" s="103" t="s">
        <v>30593</v>
      </c>
      <c r="F2525" s="104"/>
      <c r="G2525" s="105">
        <f t="shared" si="156"/>
        <v>1396.75</v>
      </c>
      <c r="H2525" s="101" t="str">
        <f t="shared" si="157"/>
        <v>Sinapi 39498</v>
      </c>
      <c r="I2525" s="101" t="str">
        <f t="shared" si="158"/>
        <v>UN</v>
      </c>
      <c r="J2525" s="140" t="str">
        <f t="shared" si="159"/>
        <v>KIT PORTA PRONTA DE MADEIRA, FOLHA PESADA (NBR 15930) DE 800 X 2100 MM, DE 40 MM A 45 MM DE ESPESSURA , NUCLEO SOLIDO, ESTRUTURA USINADA PARA FECHADURA, CAPA LISA EM HDF, ACABAMENTO EM LAMINADO NATURAL COM VERNIZ (INCLUI MARCO, ALIZARES E DOBRADICAS)</v>
      </c>
    </row>
    <row r="2526" spans="1:10" x14ac:dyDescent="0.25">
      <c r="A2526" s="169">
        <v>43628</v>
      </c>
      <c r="B2526" s="169" t="s">
        <v>25972</v>
      </c>
      <c r="C2526" s="169" t="s">
        <v>10225</v>
      </c>
      <c r="D2526" s="169" t="s">
        <v>1289</v>
      </c>
      <c r="E2526" s="103" t="s">
        <v>30594</v>
      </c>
      <c r="F2526" s="104"/>
      <c r="G2526" s="105">
        <f t="shared" si="156"/>
        <v>1100.94</v>
      </c>
      <c r="H2526" s="101" t="str">
        <f t="shared" si="157"/>
        <v>Sinapi 43628</v>
      </c>
      <c r="I2526" s="101" t="str">
        <f t="shared" si="158"/>
        <v>UN</v>
      </c>
      <c r="J2526" s="140" t="str">
        <f t="shared" si="159"/>
        <v>KIT PORTA PRONTA DE MADEIRA, FOLHA PESADA (NBR 15930) DE 800 X 2100 MM, DE 40 MM A 45 MM DE ESPESSURA, COM MARCO EM ACO, NUCLEO SOLIDO, CAPA LISA EM HDF, ACABAMENTO MELAMINICO BRANCO (INCLUI MARCO, ALIZARES, DOBRADICAS E FECHADURA)</v>
      </c>
    </row>
    <row r="2527" spans="1:10" x14ac:dyDescent="0.25">
      <c r="A2527" s="169">
        <v>39501</v>
      </c>
      <c r="B2527" s="169" t="s">
        <v>25973</v>
      </c>
      <c r="C2527" s="169" t="s">
        <v>10225</v>
      </c>
      <c r="D2527" s="169" t="s">
        <v>1289</v>
      </c>
      <c r="E2527" s="103" t="s">
        <v>30595</v>
      </c>
      <c r="F2527" s="104"/>
      <c r="G2527" s="105">
        <f t="shared" si="156"/>
        <v>1163.17</v>
      </c>
      <c r="H2527" s="101" t="str">
        <f t="shared" si="157"/>
        <v>Sinapi 39501</v>
      </c>
      <c r="I2527" s="101" t="str">
        <f t="shared" si="158"/>
        <v>UN</v>
      </c>
      <c r="J2527" s="140" t="str">
        <f t="shared" si="159"/>
        <v>KIT PORTA PRONTA DE MADEIRA, FOLHA PESADA (NBR 15930) DE 900 X 2100 MM, DE 40 MM A 45 MM DE ESPESSURA, NUCLEO SOLIDO, CAPA LISA EM HDF, ACABAMENTO MELAMINICO BRANCO (INCLUI MARCO, ALIZARES, DOBRADICAS E FECHADURA EXTERNA)</v>
      </c>
    </row>
    <row r="2528" spans="1:10" x14ac:dyDescent="0.25">
      <c r="A2528" s="169">
        <v>39499</v>
      </c>
      <c r="B2528" s="169" t="s">
        <v>25974</v>
      </c>
      <c r="C2528" s="169" t="s">
        <v>10225</v>
      </c>
      <c r="D2528" s="169" t="s">
        <v>1289</v>
      </c>
      <c r="E2528" s="103" t="s">
        <v>30596</v>
      </c>
      <c r="F2528" s="104"/>
      <c r="G2528" s="105">
        <f t="shared" si="156"/>
        <v>1416.59</v>
      </c>
      <c r="H2528" s="101" t="str">
        <f t="shared" si="157"/>
        <v>Sinapi 39499</v>
      </c>
      <c r="I2528" s="101" t="str">
        <f t="shared" si="158"/>
        <v>UN</v>
      </c>
      <c r="J2528" s="140" t="str">
        <f t="shared" si="159"/>
        <v>KIT PORTA PRONTA DE MADEIRA, FOLHA PESADA (NBR 15930) DE 900 X 2100 MM, DE 40 MM A 45 MM DE ESPESSURA , NUCLEO SOLIDO, ESTRUTURA USINADA PARA FECHADURA, CAPA LISA EM HDF, ACABAMENTO EM LAMINADO NATURAL COM VERNIZ (INCLUI MARCO, ALIZARES E DOBRADICAS)</v>
      </c>
    </row>
    <row r="2529" spans="1:10" x14ac:dyDescent="0.25">
      <c r="A2529" s="169">
        <v>43621</v>
      </c>
      <c r="B2529" s="169" t="s">
        <v>25975</v>
      </c>
      <c r="C2529" s="169" t="s">
        <v>10225</v>
      </c>
      <c r="D2529" s="169" t="s">
        <v>1289</v>
      </c>
      <c r="E2529" s="103" t="s">
        <v>30597</v>
      </c>
      <c r="F2529" s="104"/>
      <c r="G2529" s="105">
        <f t="shared" si="156"/>
        <v>1169.75</v>
      </c>
      <c r="H2529" s="101" t="str">
        <f t="shared" si="157"/>
        <v>Sinapi 43621</v>
      </c>
      <c r="I2529" s="101" t="str">
        <f t="shared" si="158"/>
        <v>UN</v>
      </c>
      <c r="J2529" s="140" t="str">
        <f t="shared" si="159"/>
        <v>KIT PORTA PRONTA DE MADEIRA, FOLHA PESADA (NBR 15930) DE 900 X 2100 MM, DE 40 MM A 45 MM DE ESPESSURA, COM MARCO EM ACO, NUCLEO SOLIDO, CAPA LISA EM HDF, ACABAMENTO MELAMINICO BRANCO (INCLUI MARCO, ALIZARES, DOBRADICAS E FECHADURA)</v>
      </c>
    </row>
    <row r="2530" spans="1:10" x14ac:dyDescent="0.25">
      <c r="A2530" s="169">
        <v>3733</v>
      </c>
      <c r="B2530" s="169" t="s">
        <v>25976</v>
      </c>
      <c r="C2530" s="169" t="s">
        <v>10226</v>
      </c>
      <c r="D2530" s="169" t="s">
        <v>1290</v>
      </c>
      <c r="E2530" s="103" t="s">
        <v>30598</v>
      </c>
      <c r="F2530" s="104"/>
      <c r="G2530" s="105">
        <f t="shared" si="156"/>
        <v>78.53</v>
      </c>
      <c r="H2530" s="101" t="str">
        <f t="shared" si="157"/>
        <v>Sinapi 3733</v>
      </c>
      <c r="I2530" s="101" t="str">
        <f t="shared" si="158"/>
        <v>M2</v>
      </c>
      <c r="J2530" s="140" t="str">
        <f t="shared" si="159"/>
        <v>LADRILHO HIDRAULICO, *20 x 20* CM, E= 2 CM, PADRAO COPACABANA, 2 CORES (PRETO E BRANCO)</v>
      </c>
    </row>
    <row r="2531" spans="1:10" x14ac:dyDescent="0.25">
      <c r="A2531" s="169">
        <v>3731</v>
      </c>
      <c r="B2531" s="169" t="s">
        <v>25977</v>
      </c>
      <c r="C2531" s="169" t="s">
        <v>10226</v>
      </c>
      <c r="D2531" s="169" t="s">
        <v>1290</v>
      </c>
      <c r="E2531" s="103" t="s">
        <v>30599</v>
      </c>
      <c r="F2531" s="104"/>
      <c r="G2531" s="105">
        <f t="shared" si="156"/>
        <v>72.900000000000006</v>
      </c>
      <c r="H2531" s="101" t="str">
        <f t="shared" si="157"/>
        <v>Sinapi 3731</v>
      </c>
      <c r="I2531" s="101" t="str">
        <f t="shared" si="158"/>
        <v>M2</v>
      </c>
      <c r="J2531" s="140" t="str">
        <f t="shared" si="159"/>
        <v>LADRILHO HIDRAULICO, *20 X 20* CM, E= 2 CM, DADOS, COR NATURAL</v>
      </c>
    </row>
    <row r="2532" spans="1:10" x14ac:dyDescent="0.25">
      <c r="A2532" s="169">
        <v>38137</v>
      </c>
      <c r="B2532" s="169" t="s">
        <v>25978</v>
      </c>
      <c r="C2532" s="169" t="s">
        <v>10226</v>
      </c>
      <c r="D2532" s="169" t="s">
        <v>1290</v>
      </c>
      <c r="E2532" s="103" t="s">
        <v>30600</v>
      </c>
      <c r="F2532" s="104"/>
      <c r="G2532" s="105">
        <f t="shared" si="156"/>
        <v>73.33</v>
      </c>
      <c r="H2532" s="101" t="str">
        <f t="shared" si="157"/>
        <v>Sinapi 38137</v>
      </c>
      <c r="I2532" s="101" t="str">
        <f t="shared" si="158"/>
        <v>M2</v>
      </c>
      <c r="J2532" s="140" t="str">
        <f t="shared" si="159"/>
        <v>LADRILHO HIDRAULICO, *20 X 20* CM, E= 2 CM, RAMPA, NATURAL</v>
      </c>
    </row>
    <row r="2533" spans="1:10" x14ac:dyDescent="0.25">
      <c r="A2533" s="169">
        <v>38135</v>
      </c>
      <c r="B2533" s="169" t="s">
        <v>25979</v>
      </c>
      <c r="C2533" s="169" t="s">
        <v>10226</v>
      </c>
      <c r="D2533" s="169" t="s">
        <v>1290</v>
      </c>
      <c r="E2533" s="103" t="s">
        <v>30601</v>
      </c>
      <c r="F2533" s="104"/>
      <c r="G2533" s="105">
        <f t="shared" si="156"/>
        <v>92.95</v>
      </c>
      <c r="H2533" s="101" t="str">
        <f t="shared" si="157"/>
        <v>Sinapi 38135</v>
      </c>
      <c r="I2533" s="101" t="str">
        <f t="shared" si="158"/>
        <v>M2</v>
      </c>
      <c r="J2533" s="140" t="str">
        <f t="shared" si="159"/>
        <v>LADRILHO HIDRAULICO, *20 X 20* CM, E= 2 CM, TATIL ALERTA OU DIRECIONAL, AMARELO</v>
      </c>
    </row>
    <row r="2534" spans="1:10" x14ac:dyDescent="0.25">
      <c r="A2534" s="169">
        <v>38138</v>
      </c>
      <c r="B2534" s="169" t="s">
        <v>25980</v>
      </c>
      <c r="C2534" s="169" t="s">
        <v>10226</v>
      </c>
      <c r="D2534" s="169" t="s">
        <v>1290</v>
      </c>
      <c r="E2534" s="103" t="s">
        <v>29097</v>
      </c>
      <c r="F2534" s="104"/>
      <c r="G2534" s="105">
        <f t="shared" si="156"/>
        <v>72.010000000000005</v>
      </c>
      <c r="H2534" s="101" t="str">
        <f t="shared" si="157"/>
        <v>Sinapi 38138</v>
      </c>
      <c r="I2534" s="101" t="str">
        <f t="shared" si="158"/>
        <v>M2</v>
      </c>
      <c r="J2534" s="140" t="str">
        <f t="shared" si="159"/>
        <v>LADRILHO HIDRAULICO, *30 X 30* CM, E= 2 CM, MILANO, NATURAL</v>
      </c>
    </row>
    <row r="2535" spans="1:10" x14ac:dyDescent="0.25">
      <c r="A2535" s="169">
        <v>3736</v>
      </c>
      <c r="B2535" s="169" t="s">
        <v>25981</v>
      </c>
      <c r="C2535" s="169" t="s">
        <v>10226</v>
      </c>
      <c r="D2535" s="169" t="s">
        <v>1288</v>
      </c>
      <c r="E2535" s="103" t="s">
        <v>30602</v>
      </c>
      <c r="F2535" s="104"/>
      <c r="G2535" s="105">
        <f t="shared" si="156"/>
        <v>100</v>
      </c>
      <c r="H2535" s="101" t="str">
        <f t="shared" si="157"/>
        <v>Sinapi 3736</v>
      </c>
      <c r="I2535" s="101" t="str">
        <f t="shared" si="158"/>
        <v>M2</v>
      </c>
      <c r="J2535" s="140" t="str">
        <f t="shared" si="159"/>
        <v>LAJE PRE-MOLDADA CONVENCIONAL (LAJOTAS + VIGOTAS) PARA FORRO, UNIDIRECIONAL, SOBRECARGA DE 100 KG/M2, VAO ATE 4,00 M (SEM COLOCACAO)</v>
      </c>
    </row>
    <row r="2536" spans="1:10" x14ac:dyDescent="0.25">
      <c r="A2536" s="169">
        <v>3741</v>
      </c>
      <c r="B2536" s="169" t="s">
        <v>25982</v>
      </c>
      <c r="C2536" s="169" t="s">
        <v>10226</v>
      </c>
      <c r="D2536" s="169" t="s">
        <v>1289</v>
      </c>
      <c r="E2536" s="103" t="s">
        <v>22751</v>
      </c>
      <c r="F2536" s="104"/>
      <c r="G2536" s="105">
        <f t="shared" si="156"/>
        <v>104.24</v>
      </c>
      <c r="H2536" s="101" t="str">
        <f t="shared" si="157"/>
        <v>Sinapi 3741</v>
      </c>
      <c r="I2536" s="101" t="str">
        <f t="shared" si="158"/>
        <v>M2</v>
      </c>
      <c r="J2536" s="140" t="str">
        <f t="shared" si="159"/>
        <v>LAJE PRE-MOLDADA CONVENCIONAL (LAJOTAS + VIGOTAS) PARA FORRO, UNIDIRECIONAL, SOBRECARGA DE 100 KG/M2, VAO ATE 4,50 M (SEM COLOCACAO)</v>
      </c>
    </row>
    <row r="2537" spans="1:10" x14ac:dyDescent="0.25">
      <c r="A2537" s="169">
        <v>3745</v>
      </c>
      <c r="B2537" s="169" t="s">
        <v>25983</v>
      </c>
      <c r="C2537" s="169" t="s">
        <v>10226</v>
      </c>
      <c r="D2537" s="169" t="s">
        <v>1289</v>
      </c>
      <c r="E2537" s="103" t="s">
        <v>30603</v>
      </c>
      <c r="F2537" s="104"/>
      <c r="G2537" s="105">
        <f t="shared" si="156"/>
        <v>112.4</v>
      </c>
      <c r="H2537" s="101" t="str">
        <f t="shared" si="157"/>
        <v>Sinapi 3745</v>
      </c>
      <c r="I2537" s="101" t="str">
        <f t="shared" si="158"/>
        <v>M2</v>
      </c>
      <c r="J2537" s="140" t="str">
        <f t="shared" si="159"/>
        <v>LAJE PRE-MOLDADA CONVENCIONAL (LAJOTAS + VIGOTAS) PARA FORRO, UNIDIRECIONAL, SOBRECARGA 100 KG/M2, VAO ATE 5,00 M (SEM COLOCACAO)</v>
      </c>
    </row>
    <row r="2538" spans="1:10" x14ac:dyDescent="0.25">
      <c r="A2538" s="169">
        <v>3743</v>
      </c>
      <c r="B2538" s="169" t="s">
        <v>25984</v>
      </c>
      <c r="C2538" s="169" t="s">
        <v>10226</v>
      </c>
      <c r="D2538" s="169" t="s">
        <v>1289</v>
      </c>
      <c r="E2538" s="103" t="s">
        <v>29390</v>
      </c>
      <c r="F2538" s="104"/>
      <c r="G2538" s="105">
        <f t="shared" si="156"/>
        <v>103.87</v>
      </c>
      <c r="H2538" s="101" t="str">
        <f t="shared" si="157"/>
        <v>Sinapi 3743</v>
      </c>
      <c r="I2538" s="101" t="str">
        <f t="shared" si="158"/>
        <v>M2</v>
      </c>
      <c r="J2538" s="140" t="str">
        <f t="shared" si="159"/>
        <v>LAJE PRE-MOLDADA CONVENCIONAL (LAJOTAS + VIGOTAS) PARA PISO, UNIDIRECIONAL, SOBRECARGA DE 200 KG/M2, VAO ATE 3,50 M (SEM COLOCACAO)</v>
      </c>
    </row>
    <row r="2539" spans="1:10" x14ac:dyDescent="0.25">
      <c r="A2539" s="169">
        <v>3744</v>
      </c>
      <c r="B2539" s="169" t="s">
        <v>25985</v>
      </c>
      <c r="C2539" s="169" t="s">
        <v>10226</v>
      </c>
      <c r="D2539" s="169" t="s">
        <v>1289</v>
      </c>
      <c r="E2539" s="103" t="s">
        <v>30604</v>
      </c>
      <c r="F2539" s="104"/>
      <c r="G2539" s="105">
        <f t="shared" si="156"/>
        <v>114.34</v>
      </c>
      <c r="H2539" s="101" t="str">
        <f t="shared" si="157"/>
        <v>Sinapi 3744</v>
      </c>
      <c r="I2539" s="101" t="str">
        <f t="shared" si="158"/>
        <v>M2</v>
      </c>
      <c r="J2539" s="140" t="str">
        <f t="shared" si="159"/>
        <v>LAJE PRE-MOLDADA CONVENCIONAL (LAJOTAS + VIGOTAS) PARA PISO, UNIDIRECIONAL, SOBRECARGA DE 200 KG/M2, VAO ATE 4,50 M (SEM COLOCACAO)</v>
      </c>
    </row>
    <row r="2540" spans="1:10" x14ac:dyDescent="0.25">
      <c r="A2540" s="169">
        <v>3739</v>
      </c>
      <c r="B2540" s="169" t="s">
        <v>25986</v>
      </c>
      <c r="C2540" s="169" t="s">
        <v>10226</v>
      </c>
      <c r="D2540" s="169" t="s">
        <v>1289</v>
      </c>
      <c r="E2540" s="103" t="s">
        <v>21597</v>
      </c>
      <c r="F2540" s="104"/>
      <c r="G2540" s="105">
        <f t="shared" si="156"/>
        <v>120.15</v>
      </c>
      <c r="H2540" s="101" t="str">
        <f t="shared" si="157"/>
        <v>Sinapi 3739</v>
      </c>
      <c r="I2540" s="101" t="str">
        <f t="shared" si="158"/>
        <v>M2</v>
      </c>
      <c r="J2540" s="140" t="str">
        <f t="shared" si="159"/>
        <v>LAJE PRE-MOLDADA CONVENCIONAL (LAJOTAS + VIGOTAS) PARA PISO, UNIDIRECIONAL, SOBRECARGA DE 200 KG/M2, VAO ATE 5,00 M (SEM COLOCACAO)</v>
      </c>
    </row>
    <row r="2541" spans="1:10" x14ac:dyDescent="0.25">
      <c r="A2541" s="169">
        <v>3737</v>
      </c>
      <c r="B2541" s="169" t="s">
        <v>25987</v>
      </c>
      <c r="C2541" s="169" t="s">
        <v>10226</v>
      </c>
      <c r="D2541" s="169" t="s">
        <v>1289</v>
      </c>
      <c r="E2541" s="103" t="s">
        <v>30605</v>
      </c>
      <c r="F2541" s="104"/>
      <c r="G2541" s="105">
        <f t="shared" si="156"/>
        <v>125.96</v>
      </c>
      <c r="H2541" s="101" t="str">
        <f t="shared" si="157"/>
        <v>Sinapi 3737</v>
      </c>
      <c r="I2541" s="101" t="str">
        <f t="shared" si="158"/>
        <v>M2</v>
      </c>
      <c r="J2541" s="140" t="str">
        <f t="shared" si="159"/>
        <v>LAJE PRE-MOLDADA CONVENCIONAL (LAJOTAS + VIGOTAS) PARA PISO, UNIDIRECIONAL, SOBRECARGA DE 350 KG/M2, VAO ATE 4,50 M (SEM COLOCACAO)</v>
      </c>
    </row>
    <row r="2542" spans="1:10" x14ac:dyDescent="0.25">
      <c r="A2542" s="169">
        <v>3738</v>
      </c>
      <c r="B2542" s="169" t="s">
        <v>25988</v>
      </c>
      <c r="C2542" s="169" t="s">
        <v>10226</v>
      </c>
      <c r="D2542" s="169" t="s">
        <v>1289</v>
      </c>
      <c r="E2542" s="103" t="s">
        <v>30606</v>
      </c>
      <c r="F2542" s="104"/>
      <c r="G2542" s="105">
        <f t="shared" si="156"/>
        <v>145.34</v>
      </c>
      <c r="H2542" s="101" t="str">
        <f t="shared" si="157"/>
        <v>Sinapi 3738</v>
      </c>
      <c r="I2542" s="101" t="str">
        <f t="shared" si="158"/>
        <v>M2</v>
      </c>
      <c r="J2542" s="140" t="str">
        <f t="shared" si="159"/>
        <v>LAJE PRE-MOLDADA CONVENCIONAL (LAJOTAS + VIGOTAS) PARA PISO, UNIDIRECIONAL, SOBRECARGA DE 350 KG/M2, VAO ATE 5,00 M (SEM COLOCACAO)</v>
      </c>
    </row>
    <row r="2543" spans="1:10" x14ac:dyDescent="0.25">
      <c r="A2543" s="169">
        <v>3747</v>
      </c>
      <c r="B2543" s="169" t="s">
        <v>25989</v>
      </c>
      <c r="C2543" s="169" t="s">
        <v>10226</v>
      </c>
      <c r="D2543" s="169" t="s">
        <v>1289</v>
      </c>
      <c r="E2543" s="103" t="s">
        <v>30604</v>
      </c>
      <c r="F2543" s="104"/>
      <c r="G2543" s="105">
        <f t="shared" si="156"/>
        <v>114.34</v>
      </c>
      <c r="H2543" s="101" t="str">
        <f t="shared" si="157"/>
        <v>Sinapi 3747</v>
      </c>
      <c r="I2543" s="101" t="str">
        <f t="shared" si="158"/>
        <v>M2</v>
      </c>
      <c r="J2543" s="140" t="str">
        <f t="shared" si="159"/>
        <v>LAJE PRE-MOLDADA CONVENCIONAL (LAJOTAS + VIGOTAS) PARA PISO, UNIDIRECIONAL, SOBRECARGA 350 KG/M2 VAO ATE 3,50 M (SEM COLOCACAO)</v>
      </c>
    </row>
    <row r="2544" spans="1:10" x14ac:dyDescent="0.25">
      <c r="A2544" s="169">
        <v>11649</v>
      </c>
      <c r="B2544" s="169" t="s">
        <v>25990</v>
      </c>
      <c r="C2544" s="169" t="s">
        <v>10225</v>
      </c>
      <c r="D2544" s="169" t="s">
        <v>1289</v>
      </c>
      <c r="E2544" s="103" t="s">
        <v>30607</v>
      </c>
      <c r="F2544" s="104"/>
      <c r="G2544" s="105">
        <f t="shared" si="156"/>
        <v>829.45</v>
      </c>
      <c r="H2544" s="101" t="str">
        <f t="shared" si="157"/>
        <v>Sinapi 11649</v>
      </c>
      <c r="I2544" s="101" t="str">
        <f t="shared" si="158"/>
        <v>UN</v>
      </c>
      <c r="J2544" s="140" t="str">
        <f t="shared" si="159"/>
        <v>LAJE PRE-MOLDADA DE TRANSICAO EXCENTRICA EM CONCRETO ARMADO, DN 1200 MM, FURO CIRCULAR DN 600 MM, ESPESSURA 12 CM</v>
      </c>
    </row>
    <row r="2545" spans="1:10" x14ac:dyDescent="0.25">
      <c r="A2545" s="169">
        <v>11650</v>
      </c>
      <c r="B2545" s="169" t="s">
        <v>25991</v>
      </c>
      <c r="C2545" s="169" t="s">
        <v>10225</v>
      </c>
      <c r="D2545" s="169" t="s">
        <v>1289</v>
      </c>
      <c r="E2545" s="103" t="s">
        <v>30608</v>
      </c>
      <c r="F2545" s="104"/>
      <c r="G2545" s="105">
        <f t="shared" si="156"/>
        <v>1413.75</v>
      </c>
      <c r="H2545" s="101" t="str">
        <f t="shared" si="157"/>
        <v>Sinapi 11650</v>
      </c>
      <c r="I2545" s="101" t="str">
        <f t="shared" si="158"/>
        <v>UN</v>
      </c>
      <c r="J2545" s="140" t="str">
        <f t="shared" si="159"/>
        <v>LAJE PRE-MOLDADA DE TRANSICAO EXCENTRICA EM CONCRETO ARMADO, DN 1500 MM, FURO CIRCULAR DN 530 MM, ESPESSURA 15 CM</v>
      </c>
    </row>
    <row r="2546" spans="1:10" x14ac:dyDescent="0.25">
      <c r="A2546" s="169">
        <v>3742</v>
      </c>
      <c r="B2546" s="169" t="s">
        <v>25992</v>
      </c>
      <c r="C2546" s="169" t="s">
        <v>10226</v>
      </c>
      <c r="D2546" s="169" t="s">
        <v>1289</v>
      </c>
      <c r="E2546" s="103" t="s">
        <v>30609</v>
      </c>
      <c r="F2546" s="104"/>
      <c r="G2546" s="105">
        <f t="shared" si="156"/>
        <v>150.77000000000001</v>
      </c>
      <c r="H2546" s="101" t="str">
        <f t="shared" si="157"/>
        <v>Sinapi 3742</v>
      </c>
      <c r="I2546" s="101" t="str">
        <f t="shared" si="158"/>
        <v>M2</v>
      </c>
      <c r="J2546" s="140" t="str">
        <f t="shared" si="159"/>
        <v>LAJE PRE-MOLDADA TRELICADA (LAJOTAS + VIGOTAS) PARA FORRO, UNIDIRECIONAL, SOBRECARGA DE 100 KG/M2, VAO ATE 6,00 M (SEM COLOCACAO)</v>
      </c>
    </row>
    <row r="2547" spans="1:10" x14ac:dyDescent="0.25">
      <c r="A2547" s="169">
        <v>3746</v>
      </c>
      <c r="B2547" s="169" t="s">
        <v>25993</v>
      </c>
      <c r="C2547" s="169" t="s">
        <v>10226</v>
      </c>
      <c r="D2547" s="169" t="s">
        <v>1289</v>
      </c>
      <c r="E2547" s="103" t="s">
        <v>30610</v>
      </c>
      <c r="F2547" s="104"/>
      <c r="G2547" s="105">
        <f t="shared" si="156"/>
        <v>176.04</v>
      </c>
      <c r="H2547" s="101" t="str">
        <f t="shared" si="157"/>
        <v>Sinapi 3746</v>
      </c>
      <c r="I2547" s="101" t="str">
        <f t="shared" si="158"/>
        <v>M2</v>
      </c>
      <c r="J2547" s="140" t="str">
        <f t="shared" si="159"/>
        <v>LAJE PRE-MOLDADA TRELICADA (LAJOTAS + VIGOTAS) PARA PISO, UNIDIRECIONAL, SOBRECARGA DE 200 KG/M2, VAO ATE 6,00 M (SEM COLOCACAO)</v>
      </c>
    </row>
    <row r="2548" spans="1:10" x14ac:dyDescent="0.25">
      <c r="A2548" s="169">
        <v>21106</v>
      </c>
      <c r="B2548" s="169" t="s">
        <v>25994</v>
      </c>
      <c r="C2548" s="169" t="s">
        <v>10231</v>
      </c>
      <c r="D2548" s="169" t="s">
        <v>1290</v>
      </c>
      <c r="E2548" s="103" t="s">
        <v>22888</v>
      </c>
      <c r="F2548" s="104"/>
      <c r="G2548" s="105">
        <f t="shared" si="156"/>
        <v>34.590000000000003</v>
      </c>
      <c r="H2548" s="101" t="str">
        <f t="shared" si="157"/>
        <v>Sinapi 21106</v>
      </c>
      <c r="I2548" s="101" t="str">
        <f t="shared" si="158"/>
        <v>KG</v>
      </c>
      <c r="J2548" s="140" t="str">
        <f t="shared" si="159"/>
        <v>LAMBRI EM ALUMINIO, DE APROXIMADAMENTE 0,6 KG/M, COM APROXIMADAMENTE 168,0 MM DE LARGURA, 6,0 MM DE ALTURA E 6,0 M DE EXTENSAO</v>
      </c>
    </row>
    <row r="2549" spans="1:10" x14ac:dyDescent="0.25">
      <c r="A2549" s="169">
        <v>3755</v>
      </c>
      <c r="B2549" s="169" t="s">
        <v>25995</v>
      </c>
      <c r="C2549" s="169" t="s">
        <v>10225</v>
      </c>
      <c r="D2549" s="169" t="s">
        <v>1290</v>
      </c>
      <c r="E2549" s="103" t="s">
        <v>23428</v>
      </c>
      <c r="F2549" s="104"/>
      <c r="G2549" s="105">
        <f t="shared" si="156"/>
        <v>26.86</v>
      </c>
      <c r="H2549" s="101" t="str">
        <f t="shared" si="157"/>
        <v>Sinapi 3755</v>
      </c>
      <c r="I2549" s="101" t="str">
        <f t="shared" si="158"/>
        <v>UN</v>
      </c>
      <c r="J2549" s="140" t="str">
        <f t="shared" si="159"/>
        <v>LAMPADA DE LUZ MISTA 160 W, BASE E27 (220 V)</v>
      </c>
    </row>
    <row r="2550" spans="1:10" x14ac:dyDescent="0.25">
      <c r="A2550" s="169">
        <v>3750</v>
      </c>
      <c r="B2550" s="169" t="s">
        <v>25996</v>
      </c>
      <c r="C2550" s="169" t="s">
        <v>10225</v>
      </c>
      <c r="D2550" s="169" t="s">
        <v>1290</v>
      </c>
      <c r="E2550" s="103" t="s">
        <v>21850</v>
      </c>
      <c r="F2550" s="104"/>
      <c r="G2550" s="105">
        <f t="shared" si="156"/>
        <v>36.119999999999997</v>
      </c>
      <c r="H2550" s="101" t="str">
        <f t="shared" si="157"/>
        <v>Sinapi 3750</v>
      </c>
      <c r="I2550" s="101" t="str">
        <f t="shared" si="158"/>
        <v>UN</v>
      </c>
      <c r="J2550" s="140" t="str">
        <f t="shared" si="159"/>
        <v>LAMPADA DE LUZ MISTA 250 W, BASE E27 (220 V)</v>
      </c>
    </row>
    <row r="2551" spans="1:10" x14ac:dyDescent="0.25">
      <c r="A2551" s="169">
        <v>3756</v>
      </c>
      <c r="B2551" s="169" t="s">
        <v>25998</v>
      </c>
      <c r="C2551" s="169" t="s">
        <v>10225</v>
      </c>
      <c r="D2551" s="169" t="s">
        <v>1290</v>
      </c>
      <c r="E2551" s="103" t="s">
        <v>30611</v>
      </c>
      <c r="F2551" s="104"/>
      <c r="G2551" s="105">
        <f t="shared" si="156"/>
        <v>67.5</v>
      </c>
      <c r="H2551" s="101" t="str">
        <f t="shared" si="157"/>
        <v>Sinapi 3756</v>
      </c>
      <c r="I2551" s="101" t="str">
        <f t="shared" si="158"/>
        <v>UN</v>
      </c>
      <c r="J2551" s="140" t="str">
        <f t="shared" si="159"/>
        <v>LAMPADA DE LUZ MISTA 500 W, BASE E40 (220 V)</v>
      </c>
    </row>
    <row r="2552" spans="1:10" x14ac:dyDescent="0.25">
      <c r="A2552" s="169">
        <v>39377</v>
      </c>
      <c r="B2552" s="169" t="s">
        <v>25999</v>
      </c>
      <c r="C2552" s="169" t="s">
        <v>10225</v>
      </c>
      <c r="D2552" s="169" t="s">
        <v>1290</v>
      </c>
      <c r="E2552" s="103" t="s">
        <v>30612</v>
      </c>
      <c r="F2552" s="104"/>
      <c r="G2552" s="105">
        <f t="shared" si="156"/>
        <v>199.94</v>
      </c>
      <c r="H2552" s="101" t="str">
        <f t="shared" si="157"/>
        <v>Sinapi 39377</v>
      </c>
      <c r="I2552" s="101" t="str">
        <f t="shared" si="158"/>
        <v>UN</v>
      </c>
      <c r="J2552" s="140" t="str">
        <f t="shared" si="159"/>
        <v>LAMPADA FLUORESCENTE COMPACTA BRANCA 135 W, BASE E40 (127/220 V)</v>
      </c>
    </row>
    <row r="2553" spans="1:10" x14ac:dyDescent="0.25">
      <c r="A2553" s="169">
        <v>38191</v>
      </c>
      <c r="B2553" s="169" t="s">
        <v>10270</v>
      </c>
      <c r="C2553" s="169" t="s">
        <v>10225</v>
      </c>
      <c r="D2553" s="169" t="s">
        <v>1290</v>
      </c>
      <c r="E2553" s="103" t="s">
        <v>19896</v>
      </c>
      <c r="F2553" s="104"/>
      <c r="G2553" s="105">
        <f t="shared" si="156"/>
        <v>14.89</v>
      </c>
      <c r="H2553" s="101" t="str">
        <f t="shared" si="157"/>
        <v>Sinapi 38191</v>
      </c>
      <c r="I2553" s="101" t="str">
        <f t="shared" si="158"/>
        <v>UN</v>
      </c>
      <c r="J2553" s="140" t="str">
        <f t="shared" si="159"/>
        <v>LAMPADA FLUORESCENTE COMPACTA 2U BRANCA 15 W, BASE E27 (127/220 V)</v>
      </c>
    </row>
    <row r="2554" spans="1:10" x14ac:dyDescent="0.25">
      <c r="A2554" s="169">
        <v>39381</v>
      </c>
      <c r="B2554" s="169" t="s">
        <v>26000</v>
      </c>
      <c r="C2554" s="169" t="s">
        <v>10225</v>
      </c>
      <c r="D2554" s="169" t="s">
        <v>1290</v>
      </c>
      <c r="E2554" s="103" t="s">
        <v>19307</v>
      </c>
      <c r="F2554" s="104"/>
      <c r="G2554" s="105">
        <f t="shared" si="156"/>
        <v>13.88</v>
      </c>
      <c r="H2554" s="101" t="str">
        <f t="shared" si="157"/>
        <v>Sinapi 39381</v>
      </c>
      <c r="I2554" s="101" t="str">
        <f t="shared" si="158"/>
        <v>UN</v>
      </c>
      <c r="J2554" s="140" t="str">
        <f t="shared" si="159"/>
        <v>LAMPADA FLUORESCENTE COMPACTA 2U/3U BRANCA 9/10 W, BASE E27 (127/220 V)</v>
      </c>
    </row>
    <row r="2555" spans="1:10" x14ac:dyDescent="0.25">
      <c r="A2555" s="169">
        <v>38780</v>
      </c>
      <c r="B2555" s="169" t="s">
        <v>26001</v>
      </c>
      <c r="C2555" s="169" t="s">
        <v>10225</v>
      </c>
      <c r="D2555" s="169" t="s">
        <v>1290</v>
      </c>
      <c r="E2555" s="103" t="s">
        <v>19272</v>
      </c>
      <c r="F2555" s="104"/>
      <c r="G2555" s="105">
        <f t="shared" si="156"/>
        <v>16.989999999999998</v>
      </c>
      <c r="H2555" s="101" t="str">
        <f t="shared" si="157"/>
        <v>Sinapi 38780</v>
      </c>
      <c r="I2555" s="101" t="str">
        <f t="shared" si="158"/>
        <v>UN</v>
      </c>
      <c r="J2555" s="140" t="str">
        <f t="shared" si="159"/>
        <v>LAMPADA FLUORESCENTE COMPACTA 3U BRANCA 20 W, BASE E27 (127/220 V)</v>
      </c>
    </row>
    <row r="2556" spans="1:10" x14ac:dyDescent="0.25">
      <c r="A2556" s="169">
        <v>38781</v>
      </c>
      <c r="B2556" s="169" t="s">
        <v>26003</v>
      </c>
      <c r="C2556" s="169" t="s">
        <v>10225</v>
      </c>
      <c r="D2556" s="169" t="s">
        <v>1290</v>
      </c>
      <c r="E2556" s="103" t="s">
        <v>30613</v>
      </c>
      <c r="F2556" s="104"/>
      <c r="G2556" s="105">
        <f t="shared" si="156"/>
        <v>57.35</v>
      </c>
      <c r="H2556" s="101" t="str">
        <f t="shared" si="157"/>
        <v>Sinapi 38781</v>
      </c>
      <c r="I2556" s="101" t="str">
        <f t="shared" si="158"/>
        <v>UN</v>
      </c>
      <c r="J2556" s="140" t="str">
        <f t="shared" si="159"/>
        <v>LAMPADA FLUORESCENTE ESPIRAL BRANCA 45 W, BASE E27 (127/220 V)</v>
      </c>
    </row>
    <row r="2557" spans="1:10" x14ac:dyDescent="0.25">
      <c r="A2557" s="169">
        <v>38192</v>
      </c>
      <c r="B2557" s="169" t="s">
        <v>26004</v>
      </c>
      <c r="C2557" s="169" t="s">
        <v>10225</v>
      </c>
      <c r="D2557" s="169" t="s">
        <v>1290</v>
      </c>
      <c r="E2557" s="103" t="s">
        <v>19301</v>
      </c>
      <c r="F2557" s="104"/>
      <c r="G2557" s="105">
        <f t="shared" si="156"/>
        <v>103.77</v>
      </c>
      <c r="H2557" s="101" t="str">
        <f t="shared" si="157"/>
        <v>Sinapi 38192</v>
      </c>
      <c r="I2557" s="101" t="str">
        <f t="shared" si="158"/>
        <v>UN</v>
      </c>
      <c r="J2557" s="140" t="str">
        <f t="shared" si="159"/>
        <v>LAMPADA FLUORESCENTE ESPIRAL BRANCA 65 W, BASE E27 (127/220 V)</v>
      </c>
    </row>
    <row r="2558" spans="1:10" x14ac:dyDescent="0.25">
      <c r="A2558" s="169">
        <v>3753</v>
      </c>
      <c r="B2558" s="169" t="s">
        <v>26006</v>
      </c>
      <c r="C2558" s="169" t="s">
        <v>10225</v>
      </c>
      <c r="D2558" s="169" t="s">
        <v>1290</v>
      </c>
      <c r="E2558" s="103" t="s">
        <v>12105</v>
      </c>
      <c r="F2558" s="104"/>
      <c r="G2558" s="105">
        <f t="shared" si="156"/>
        <v>9.08</v>
      </c>
      <c r="H2558" s="101" t="str">
        <f t="shared" si="157"/>
        <v>Sinapi 3753</v>
      </c>
      <c r="I2558" s="101" t="str">
        <f t="shared" si="158"/>
        <v>UN</v>
      </c>
      <c r="J2558" s="140" t="str">
        <f t="shared" si="159"/>
        <v>LAMPADA FLUORESCENTE TUBULAR T10, DE 20 OU 40 W, BIVOLT</v>
      </c>
    </row>
    <row r="2559" spans="1:10" x14ac:dyDescent="0.25">
      <c r="A2559" s="169">
        <v>38782</v>
      </c>
      <c r="B2559" s="169" t="s">
        <v>26007</v>
      </c>
      <c r="C2559" s="169" t="s">
        <v>10225</v>
      </c>
      <c r="D2559" s="169" t="s">
        <v>1290</v>
      </c>
      <c r="E2559" s="103" t="s">
        <v>5679</v>
      </c>
      <c r="F2559" s="104"/>
      <c r="G2559" s="105">
        <f t="shared" si="156"/>
        <v>11.83</v>
      </c>
      <c r="H2559" s="101" t="str">
        <f t="shared" si="157"/>
        <v>Sinapi 38782</v>
      </c>
      <c r="I2559" s="101" t="str">
        <f t="shared" si="158"/>
        <v>UN</v>
      </c>
      <c r="J2559" s="140" t="str">
        <f t="shared" si="159"/>
        <v>LAMPADA FLUORESCENTE TUBULAR T5 DE 14 W, BIVOLT</v>
      </c>
    </row>
    <row r="2560" spans="1:10" x14ac:dyDescent="0.25">
      <c r="A2560" s="169">
        <v>38778</v>
      </c>
      <c r="B2560" s="169" t="s">
        <v>26008</v>
      </c>
      <c r="C2560" s="169" t="s">
        <v>10225</v>
      </c>
      <c r="D2560" s="169" t="s">
        <v>1290</v>
      </c>
      <c r="E2560" s="103" t="s">
        <v>3766</v>
      </c>
      <c r="F2560" s="104"/>
      <c r="G2560" s="105">
        <f t="shared" si="156"/>
        <v>8.8800000000000008</v>
      </c>
      <c r="H2560" s="101" t="str">
        <f t="shared" si="157"/>
        <v>Sinapi 38778</v>
      </c>
      <c r="I2560" s="101" t="str">
        <f t="shared" si="158"/>
        <v>UN</v>
      </c>
      <c r="J2560" s="140" t="str">
        <f t="shared" si="159"/>
        <v>LAMPADA FLUORESCENTE TUBULAR T8 DE 16/18 W, BIVOLT</v>
      </c>
    </row>
    <row r="2561" spans="1:10" x14ac:dyDescent="0.25">
      <c r="A2561" s="169">
        <v>38779</v>
      </c>
      <c r="B2561" s="169" t="s">
        <v>26009</v>
      </c>
      <c r="C2561" s="169" t="s">
        <v>10225</v>
      </c>
      <c r="D2561" s="169" t="s">
        <v>1290</v>
      </c>
      <c r="E2561" s="103" t="s">
        <v>23092</v>
      </c>
      <c r="F2561" s="104"/>
      <c r="G2561" s="105">
        <f t="shared" si="156"/>
        <v>9.41</v>
      </c>
      <c r="H2561" s="101" t="str">
        <f t="shared" si="157"/>
        <v>Sinapi 38779</v>
      </c>
      <c r="I2561" s="101" t="str">
        <f t="shared" si="158"/>
        <v>UN</v>
      </c>
      <c r="J2561" s="140" t="str">
        <f t="shared" si="159"/>
        <v>LAMPADA FLUORESCENTE TUBULAR T8 DE 32/36 W, BIVOLT</v>
      </c>
    </row>
    <row r="2562" spans="1:10" x14ac:dyDescent="0.25">
      <c r="A2562" s="169">
        <v>39388</v>
      </c>
      <c r="B2562" s="169" t="s">
        <v>26010</v>
      </c>
      <c r="C2562" s="169" t="s">
        <v>10225</v>
      </c>
      <c r="D2562" s="169" t="s">
        <v>1289</v>
      </c>
      <c r="E2562" s="103" t="s">
        <v>13744</v>
      </c>
      <c r="F2562" s="104"/>
      <c r="G2562" s="105">
        <f t="shared" si="156"/>
        <v>10.24</v>
      </c>
      <c r="H2562" s="101" t="str">
        <f t="shared" si="157"/>
        <v>Sinapi 39388</v>
      </c>
      <c r="I2562" s="101" t="str">
        <f t="shared" si="158"/>
        <v>UN</v>
      </c>
      <c r="J2562" s="140" t="str">
        <f t="shared" si="159"/>
        <v>LAMPADA LED TIPO DICROICA BIVOLT, LUZ BRANCA, 5 W (BASE GU10)</v>
      </c>
    </row>
    <row r="2563" spans="1:10" x14ac:dyDescent="0.25">
      <c r="A2563" s="169">
        <v>39387</v>
      </c>
      <c r="B2563" s="169" t="s">
        <v>26011</v>
      </c>
      <c r="C2563" s="169" t="s">
        <v>10225</v>
      </c>
      <c r="D2563" s="169" t="s">
        <v>1289</v>
      </c>
      <c r="E2563" s="103" t="s">
        <v>19907</v>
      </c>
      <c r="F2563" s="104"/>
      <c r="G2563" s="105">
        <f t="shared" si="156"/>
        <v>15.97</v>
      </c>
      <c r="H2563" s="101" t="str">
        <f t="shared" si="157"/>
        <v>Sinapi 39387</v>
      </c>
      <c r="I2563" s="101" t="str">
        <f t="shared" si="158"/>
        <v>UN</v>
      </c>
      <c r="J2563" s="140" t="str">
        <f t="shared" si="159"/>
        <v>LAMPADA LED TUBULAR BIVOLT 18/20 W, BASE G13</v>
      </c>
    </row>
    <row r="2564" spans="1:10" x14ac:dyDescent="0.25">
      <c r="A2564" s="169">
        <v>39386</v>
      </c>
      <c r="B2564" s="169" t="s">
        <v>26012</v>
      </c>
      <c r="C2564" s="169" t="s">
        <v>10225</v>
      </c>
      <c r="D2564" s="169" t="s">
        <v>1289</v>
      </c>
      <c r="E2564" s="103" t="s">
        <v>17913</v>
      </c>
      <c r="F2564" s="104"/>
      <c r="G2564" s="105">
        <f t="shared" si="156"/>
        <v>11.13</v>
      </c>
      <c r="H2564" s="101" t="str">
        <f t="shared" si="157"/>
        <v>Sinapi 39386</v>
      </c>
      <c r="I2564" s="101" t="str">
        <f t="shared" si="158"/>
        <v>UN</v>
      </c>
      <c r="J2564" s="140" t="str">
        <f t="shared" si="159"/>
        <v>LAMPADA LED TUBULAR BIVOLT 9/10 W, BASE G13</v>
      </c>
    </row>
    <row r="2565" spans="1:10" x14ac:dyDescent="0.25">
      <c r="A2565" s="169">
        <v>38194</v>
      </c>
      <c r="B2565" s="169" t="s">
        <v>26013</v>
      </c>
      <c r="C2565" s="169" t="s">
        <v>10225</v>
      </c>
      <c r="D2565" s="169" t="s">
        <v>1288</v>
      </c>
      <c r="E2565" s="103" t="s">
        <v>20118</v>
      </c>
      <c r="F2565" s="104"/>
      <c r="G2565" s="105">
        <f t="shared" si="156"/>
        <v>8.33</v>
      </c>
      <c r="H2565" s="101" t="str">
        <f t="shared" si="157"/>
        <v>Sinapi 38194</v>
      </c>
      <c r="I2565" s="101" t="str">
        <f t="shared" si="158"/>
        <v>UN</v>
      </c>
      <c r="J2565" s="140" t="str">
        <f t="shared" si="159"/>
        <v>LAMPADA LED 10 W BIVOLT BRANCA, FORMATO TRADICIONAL (BASE E27)</v>
      </c>
    </row>
    <row r="2566" spans="1:10" x14ac:dyDescent="0.25">
      <c r="A2566" s="169">
        <v>38193</v>
      </c>
      <c r="B2566" s="169" t="s">
        <v>26014</v>
      </c>
      <c r="C2566" s="169" t="s">
        <v>10225</v>
      </c>
      <c r="D2566" s="169" t="s">
        <v>1289</v>
      </c>
      <c r="E2566" s="103" t="s">
        <v>15103</v>
      </c>
      <c r="F2566" s="104"/>
      <c r="G2566" s="105">
        <f t="shared" si="156"/>
        <v>7.24</v>
      </c>
      <c r="H2566" s="101" t="str">
        <f t="shared" si="157"/>
        <v>Sinapi 38193</v>
      </c>
      <c r="I2566" s="101" t="str">
        <f t="shared" si="158"/>
        <v>UN</v>
      </c>
      <c r="J2566" s="140" t="str">
        <f t="shared" si="159"/>
        <v>LAMPADA LED 6 W BIVOLT BRANCA, FORMATO TRADICIONAL (BASE E27)</v>
      </c>
    </row>
    <row r="2567" spans="1:10" x14ac:dyDescent="0.25">
      <c r="A2567" s="169">
        <v>12216</v>
      </c>
      <c r="B2567" s="169" t="s">
        <v>26015</v>
      </c>
      <c r="C2567" s="169" t="s">
        <v>10225</v>
      </c>
      <c r="D2567" s="169" t="s">
        <v>1290</v>
      </c>
      <c r="E2567" s="103" t="s">
        <v>22109</v>
      </c>
      <c r="F2567" s="104"/>
      <c r="G2567" s="105">
        <f t="shared" si="156"/>
        <v>51.89</v>
      </c>
      <c r="H2567" s="101" t="str">
        <f t="shared" si="157"/>
        <v>Sinapi 12216</v>
      </c>
      <c r="I2567" s="101" t="str">
        <f t="shared" si="158"/>
        <v>UN</v>
      </c>
      <c r="J2567" s="140" t="str">
        <f t="shared" si="159"/>
        <v>LAMPADA VAPOR DE SODIO OVOIDE 150 W (BASE E40)</v>
      </c>
    </row>
    <row r="2568" spans="1:10" x14ac:dyDescent="0.25">
      <c r="A2568" s="169">
        <v>3757</v>
      </c>
      <c r="B2568" s="169" t="s">
        <v>26017</v>
      </c>
      <c r="C2568" s="169" t="s">
        <v>10225</v>
      </c>
      <c r="D2568" s="169" t="s">
        <v>1290</v>
      </c>
      <c r="E2568" s="103" t="s">
        <v>30614</v>
      </c>
      <c r="F2568" s="104"/>
      <c r="G2568" s="105">
        <f t="shared" ref="G2568:G2631" si="160">IF(E2568="","",E2568+0)</f>
        <v>60</v>
      </c>
      <c r="H2568" s="101" t="str">
        <f t="shared" ref="H2568:H2631" si="161">IF(G2568="","",TRIM(CONCATENATE("Sinapi ",A2568)))</f>
        <v>Sinapi 3757</v>
      </c>
      <c r="I2568" s="101" t="str">
        <f t="shared" ref="I2568:I2631" si="162">TRIM(C2568)</f>
        <v>UN</v>
      </c>
      <c r="J2568" s="140" t="str">
        <f t="shared" si="159"/>
        <v>LAMPADA VAPOR DE SODIO OVOIDE 250 W (BASE E40)</v>
      </c>
    </row>
    <row r="2569" spans="1:10" x14ac:dyDescent="0.25">
      <c r="A2569" s="169">
        <v>3758</v>
      </c>
      <c r="B2569" s="169" t="s">
        <v>26018</v>
      </c>
      <c r="C2569" s="169" t="s">
        <v>10225</v>
      </c>
      <c r="D2569" s="169" t="s">
        <v>1290</v>
      </c>
      <c r="E2569" s="103" t="s">
        <v>29308</v>
      </c>
      <c r="F2569" s="104"/>
      <c r="G2569" s="105">
        <f t="shared" si="160"/>
        <v>69.959999999999994</v>
      </c>
      <c r="H2569" s="101" t="str">
        <f t="shared" si="161"/>
        <v>Sinapi 3758</v>
      </c>
      <c r="I2569" s="101" t="str">
        <f t="shared" si="162"/>
        <v>UN</v>
      </c>
      <c r="J2569" s="140" t="str">
        <f t="shared" ref="J2569:J2632" si="163">TRIM(B2569)</f>
        <v>LAMPADA VAPOR DE SODIO OVOIDE 400 W (BASE E40)</v>
      </c>
    </row>
    <row r="2570" spans="1:10" x14ac:dyDescent="0.25">
      <c r="A2570" s="169">
        <v>12214</v>
      </c>
      <c r="B2570" s="169" t="s">
        <v>26019</v>
      </c>
      <c r="C2570" s="169" t="s">
        <v>10225</v>
      </c>
      <c r="D2570" s="169" t="s">
        <v>1290</v>
      </c>
      <c r="E2570" s="103" t="s">
        <v>21870</v>
      </c>
      <c r="F2570" s="104"/>
      <c r="G2570" s="105">
        <f t="shared" si="160"/>
        <v>23.96</v>
      </c>
      <c r="H2570" s="101" t="str">
        <f t="shared" si="161"/>
        <v>Sinapi 12214</v>
      </c>
      <c r="I2570" s="101" t="str">
        <f t="shared" si="162"/>
        <v>UN</v>
      </c>
      <c r="J2570" s="140" t="str">
        <f t="shared" si="163"/>
        <v>LAMPADA VAPOR MERCURIO 125 W (BASE E27)</v>
      </c>
    </row>
    <row r="2571" spans="1:10" x14ac:dyDescent="0.25">
      <c r="A2571" s="169">
        <v>3749</v>
      </c>
      <c r="B2571" s="169" t="s">
        <v>26020</v>
      </c>
      <c r="C2571" s="169" t="s">
        <v>10225</v>
      </c>
      <c r="D2571" s="169" t="s">
        <v>1290</v>
      </c>
      <c r="E2571" s="103" t="s">
        <v>30615</v>
      </c>
      <c r="F2571" s="104"/>
      <c r="G2571" s="105">
        <f t="shared" si="160"/>
        <v>42.7</v>
      </c>
      <c r="H2571" s="101" t="str">
        <f t="shared" si="161"/>
        <v>Sinapi 3749</v>
      </c>
      <c r="I2571" s="101" t="str">
        <f t="shared" si="162"/>
        <v>UN</v>
      </c>
      <c r="J2571" s="140" t="str">
        <f t="shared" si="163"/>
        <v>LAMPADA VAPOR MERCURIO 250 W (BASE E40)</v>
      </c>
    </row>
    <row r="2572" spans="1:10" x14ac:dyDescent="0.25">
      <c r="A2572" s="169">
        <v>3751</v>
      </c>
      <c r="B2572" s="169" t="s">
        <v>26021</v>
      </c>
      <c r="C2572" s="169" t="s">
        <v>10225</v>
      </c>
      <c r="D2572" s="169" t="s">
        <v>1290</v>
      </c>
      <c r="E2572" s="103" t="s">
        <v>28832</v>
      </c>
      <c r="F2572" s="104"/>
      <c r="G2572" s="105">
        <f t="shared" si="160"/>
        <v>58.27</v>
      </c>
      <c r="H2572" s="101" t="str">
        <f t="shared" si="161"/>
        <v>Sinapi 3751</v>
      </c>
      <c r="I2572" s="101" t="str">
        <f t="shared" si="162"/>
        <v>UN</v>
      </c>
      <c r="J2572" s="140" t="str">
        <f t="shared" si="163"/>
        <v>LAMPADA VAPOR MERCURIO 400 W (BASE E40)</v>
      </c>
    </row>
    <row r="2573" spans="1:10" x14ac:dyDescent="0.25">
      <c r="A2573" s="169">
        <v>39376</v>
      </c>
      <c r="B2573" s="169" t="s">
        <v>26022</v>
      </c>
      <c r="C2573" s="169" t="s">
        <v>10225</v>
      </c>
      <c r="D2573" s="169" t="s">
        <v>1290</v>
      </c>
      <c r="E2573" s="103" t="s">
        <v>30616</v>
      </c>
      <c r="F2573" s="104"/>
      <c r="G2573" s="105">
        <f t="shared" si="160"/>
        <v>49.12</v>
      </c>
      <c r="H2573" s="101" t="str">
        <f t="shared" si="161"/>
        <v>Sinapi 39376</v>
      </c>
      <c r="I2573" s="101" t="str">
        <f t="shared" si="162"/>
        <v>UN</v>
      </c>
      <c r="J2573" s="140" t="str">
        <f t="shared" si="163"/>
        <v>LAMPADA VAPOR METALICO OVOIDE 150 W, BASE E27/E40</v>
      </c>
    </row>
    <row r="2574" spans="1:10" x14ac:dyDescent="0.25">
      <c r="A2574" s="169">
        <v>3752</v>
      </c>
      <c r="B2574" s="169" t="s">
        <v>26023</v>
      </c>
      <c r="C2574" s="169" t="s">
        <v>10225</v>
      </c>
      <c r="D2574" s="169" t="s">
        <v>1290</v>
      </c>
      <c r="E2574" s="103" t="s">
        <v>30617</v>
      </c>
      <c r="F2574" s="104"/>
      <c r="G2574" s="105">
        <f t="shared" si="160"/>
        <v>96.13</v>
      </c>
      <c r="H2574" s="101" t="str">
        <f t="shared" si="161"/>
        <v>Sinapi 3752</v>
      </c>
      <c r="I2574" s="101" t="str">
        <f t="shared" si="162"/>
        <v>UN</v>
      </c>
      <c r="J2574" s="140" t="str">
        <f t="shared" si="163"/>
        <v>LAMPADA VAPOR METALICO TUBULAR 400 W (BASE E40)</v>
      </c>
    </row>
    <row r="2575" spans="1:10" x14ac:dyDescent="0.25">
      <c r="A2575" s="169">
        <v>746</v>
      </c>
      <c r="B2575" s="169" t="s">
        <v>26025</v>
      </c>
      <c r="C2575" s="169" t="s">
        <v>10225</v>
      </c>
      <c r="D2575" s="169" t="s">
        <v>1288</v>
      </c>
      <c r="E2575" s="103" t="s">
        <v>30618</v>
      </c>
      <c r="F2575" s="104"/>
      <c r="G2575" s="105">
        <f t="shared" si="160"/>
        <v>2959</v>
      </c>
      <c r="H2575" s="101" t="str">
        <f t="shared" si="161"/>
        <v>Sinapi 746</v>
      </c>
      <c r="I2575" s="101" t="str">
        <f t="shared" si="162"/>
        <v>UN</v>
      </c>
      <c r="J2575" s="140" t="str">
        <f t="shared" si="163"/>
        <v>LAVADORA DE ALTA PRESSAO (LAVA - JATO) PARA AGUA FRIA, PRESSAO DE OPERACAO ENTRE 1400 E 1900 LIB/POL2, VAZAO MAXIMA ENTRE 400 E 700 L/H, POTENCIA DE OPERACAO ENTRE 2,50 E 3,00 CV</v>
      </c>
    </row>
    <row r="2576" spans="1:10" x14ac:dyDescent="0.25">
      <c r="A2576" s="169">
        <v>20269</v>
      </c>
      <c r="B2576" s="169" t="s">
        <v>26026</v>
      </c>
      <c r="C2576" s="169" t="s">
        <v>10225</v>
      </c>
      <c r="D2576" s="169" t="s">
        <v>1289</v>
      </c>
      <c r="E2576" s="103" t="s">
        <v>30619</v>
      </c>
      <c r="F2576" s="104"/>
      <c r="G2576" s="105">
        <f t="shared" si="160"/>
        <v>93.62</v>
      </c>
      <c r="H2576" s="101" t="str">
        <f t="shared" si="161"/>
        <v>Sinapi 20269</v>
      </c>
      <c r="I2576" s="101" t="str">
        <f t="shared" si="162"/>
        <v>UN</v>
      </c>
      <c r="J2576" s="140" t="str">
        <f t="shared" si="163"/>
        <v>LAVATORIO / CUBA DE EMBUTIR, OVAL, DE LOUCA BRANCA, SEM LADRAO, DIMENSOES *50 X 35* CM (L X C)</v>
      </c>
    </row>
    <row r="2577" spans="1:10" x14ac:dyDescent="0.25">
      <c r="A2577" s="169">
        <v>20270</v>
      </c>
      <c r="B2577" s="169" t="s">
        <v>26027</v>
      </c>
      <c r="C2577" s="169" t="s">
        <v>10225</v>
      </c>
      <c r="D2577" s="169" t="s">
        <v>1289</v>
      </c>
      <c r="E2577" s="103" t="s">
        <v>30620</v>
      </c>
      <c r="F2577" s="104"/>
      <c r="G2577" s="105">
        <f t="shared" si="160"/>
        <v>103.45</v>
      </c>
      <c r="H2577" s="101" t="str">
        <f t="shared" si="161"/>
        <v>Sinapi 20270</v>
      </c>
      <c r="I2577" s="101" t="str">
        <f t="shared" si="162"/>
        <v>UN</v>
      </c>
      <c r="J2577" s="140" t="str">
        <f t="shared" si="163"/>
        <v>LAVATORIO / CUBA DE EMBUTIR, OVAL, DE LOUCA COLORIDA, SEM LADRAO, DIMENSOES *50 X 35* CM (L X C)</v>
      </c>
    </row>
    <row r="2578" spans="1:10" x14ac:dyDescent="0.25">
      <c r="A2578" s="169">
        <v>11696</v>
      </c>
      <c r="B2578" s="169" t="s">
        <v>26028</v>
      </c>
      <c r="C2578" s="169" t="s">
        <v>10225</v>
      </c>
      <c r="D2578" s="169" t="s">
        <v>1289</v>
      </c>
      <c r="E2578" s="103" t="s">
        <v>30621</v>
      </c>
      <c r="F2578" s="104"/>
      <c r="G2578" s="105">
        <f t="shared" si="160"/>
        <v>165.59</v>
      </c>
      <c r="H2578" s="101" t="str">
        <f t="shared" si="161"/>
        <v>Sinapi 11696</v>
      </c>
      <c r="I2578" s="101" t="str">
        <f t="shared" si="162"/>
        <v>UN</v>
      </c>
      <c r="J2578" s="140" t="str">
        <f t="shared" si="163"/>
        <v>LAVATORIO / CUBA DE SOBREPOR, OVAL PEQUENA, DE LOUCA BRANCA, SEM LADRAO, DIMENSOES *44 X 31* CM (L X C)</v>
      </c>
    </row>
    <row r="2579" spans="1:10" x14ac:dyDescent="0.25">
      <c r="A2579" s="169">
        <v>10427</v>
      </c>
      <c r="B2579" s="169" t="s">
        <v>26030</v>
      </c>
      <c r="C2579" s="169" t="s">
        <v>10225</v>
      </c>
      <c r="D2579" s="169" t="s">
        <v>1289</v>
      </c>
      <c r="E2579" s="103" t="s">
        <v>30622</v>
      </c>
      <c r="F2579" s="104"/>
      <c r="G2579" s="105">
        <f t="shared" si="160"/>
        <v>463.41</v>
      </c>
      <c r="H2579" s="101" t="str">
        <f t="shared" si="161"/>
        <v>Sinapi 10427</v>
      </c>
      <c r="I2579" s="101" t="str">
        <f t="shared" si="162"/>
        <v>UN</v>
      </c>
      <c r="J2579" s="140" t="str">
        <f t="shared" si="163"/>
        <v>LAVATORIO / CUBA DE SOBREPOR, RETANGULAR, DE LOUCA BRANCA, COM LADRAO, DIMENSOES *52 X 45* CM (L X C)</v>
      </c>
    </row>
    <row r="2580" spans="1:10" x14ac:dyDescent="0.25">
      <c r="A2580" s="169">
        <v>10428</v>
      </c>
      <c r="B2580" s="169" t="s">
        <v>26031</v>
      </c>
      <c r="C2580" s="169" t="s">
        <v>10225</v>
      </c>
      <c r="D2580" s="169" t="s">
        <v>1289</v>
      </c>
      <c r="E2580" s="103" t="s">
        <v>30623</v>
      </c>
      <c r="F2580" s="104"/>
      <c r="G2580" s="105">
        <f t="shared" si="160"/>
        <v>477.45</v>
      </c>
      <c r="H2580" s="101" t="str">
        <f t="shared" si="161"/>
        <v>Sinapi 10428</v>
      </c>
      <c r="I2580" s="101" t="str">
        <f t="shared" si="162"/>
        <v>UN</v>
      </c>
      <c r="J2580" s="140" t="str">
        <f t="shared" si="163"/>
        <v>LAVATORIO / CUBA DE SOBREPOR, RETANGULAR, DE LOUCA COLORIDA, COM LADRAO, DIMENSOES *52 X 45* CM (L X C)</v>
      </c>
    </row>
    <row r="2581" spans="1:10" x14ac:dyDescent="0.25">
      <c r="A2581" s="169">
        <v>36521</v>
      </c>
      <c r="B2581" s="169" t="s">
        <v>26032</v>
      </c>
      <c r="C2581" s="169" t="s">
        <v>10225</v>
      </c>
      <c r="D2581" s="169" t="s">
        <v>1289</v>
      </c>
      <c r="E2581" s="103" t="s">
        <v>30624</v>
      </c>
      <c r="F2581" s="104"/>
      <c r="G2581" s="105">
        <f t="shared" si="160"/>
        <v>148.97</v>
      </c>
      <c r="H2581" s="101" t="str">
        <f t="shared" si="161"/>
        <v>Sinapi 36521</v>
      </c>
      <c r="I2581" s="101" t="str">
        <f t="shared" si="162"/>
        <v>UN</v>
      </c>
      <c r="J2581" s="140" t="str">
        <f t="shared" si="163"/>
        <v>LAVATORIO DE CANTO DE LOUCA BRANCA, SUSPENSO (SEM COLUNA), DIMENSOES *40 X 30* CM (L X C)</v>
      </c>
    </row>
    <row r="2582" spans="1:10" x14ac:dyDescent="0.25">
      <c r="A2582" s="169">
        <v>36794</v>
      </c>
      <c r="B2582" s="169" t="s">
        <v>26033</v>
      </c>
      <c r="C2582" s="169" t="s">
        <v>10225</v>
      </c>
      <c r="D2582" s="169" t="s">
        <v>1289</v>
      </c>
      <c r="E2582" s="103" t="s">
        <v>30625</v>
      </c>
      <c r="F2582" s="104"/>
      <c r="G2582" s="105">
        <f t="shared" si="160"/>
        <v>158.59</v>
      </c>
      <c r="H2582" s="101" t="str">
        <f t="shared" si="161"/>
        <v>Sinapi 36794</v>
      </c>
      <c r="I2582" s="101" t="str">
        <f t="shared" si="162"/>
        <v>UN</v>
      </c>
      <c r="J2582" s="140" t="str">
        <f t="shared" si="163"/>
        <v>LAVATORIO DE LOUCA BRANCA, COM COLUNA, DIMENSOES *44 X 35* CM (L X C)</v>
      </c>
    </row>
    <row r="2583" spans="1:10" x14ac:dyDescent="0.25">
      <c r="A2583" s="169">
        <v>10426</v>
      </c>
      <c r="B2583" s="169" t="s">
        <v>26034</v>
      </c>
      <c r="C2583" s="169" t="s">
        <v>10225</v>
      </c>
      <c r="D2583" s="169" t="s">
        <v>1289</v>
      </c>
      <c r="E2583" s="103" t="s">
        <v>30626</v>
      </c>
      <c r="F2583" s="104"/>
      <c r="G2583" s="105">
        <f t="shared" si="160"/>
        <v>177.59</v>
      </c>
      <c r="H2583" s="101" t="str">
        <f t="shared" si="161"/>
        <v>Sinapi 10426</v>
      </c>
      <c r="I2583" s="101" t="str">
        <f t="shared" si="162"/>
        <v>UN</v>
      </c>
      <c r="J2583" s="140" t="str">
        <f t="shared" si="163"/>
        <v>LAVATORIO DE LOUCA BRANCA, COM COLUNA, DIMENSOES *54 X 44* CM (L X C)</v>
      </c>
    </row>
    <row r="2584" spans="1:10" x14ac:dyDescent="0.25">
      <c r="A2584" s="169">
        <v>10425</v>
      </c>
      <c r="B2584" s="169" t="s">
        <v>26035</v>
      </c>
      <c r="C2584" s="169" t="s">
        <v>10225</v>
      </c>
      <c r="D2584" s="169" t="s">
        <v>1289</v>
      </c>
      <c r="E2584" s="103" t="s">
        <v>30627</v>
      </c>
      <c r="F2584" s="104"/>
      <c r="G2584" s="105">
        <f t="shared" si="160"/>
        <v>90.09</v>
      </c>
      <c r="H2584" s="101" t="str">
        <f t="shared" si="161"/>
        <v>Sinapi 10425</v>
      </c>
      <c r="I2584" s="101" t="str">
        <f t="shared" si="162"/>
        <v>UN</v>
      </c>
      <c r="J2584" s="140" t="str">
        <f t="shared" si="163"/>
        <v>LAVATORIO DE LOUCA BRANCA, SUSPENSO (SEM COLUNA), DIMENSOES *40 X 30* CM</v>
      </c>
    </row>
    <row r="2585" spans="1:10" x14ac:dyDescent="0.25">
      <c r="A2585" s="169">
        <v>10431</v>
      </c>
      <c r="B2585" s="169" t="s">
        <v>26036</v>
      </c>
      <c r="C2585" s="169" t="s">
        <v>10225</v>
      </c>
      <c r="D2585" s="169" t="s">
        <v>1289</v>
      </c>
      <c r="E2585" s="103" t="s">
        <v>30628</v>
      </c>
      <c r="F2585" s="104"/>
      <c r="G2585" s="105">
        <f t="shared" si="160"/>
        <v>308.45</v>
      </c>
      <c r="H2585" s="101" t="str">
        <f t="shared" si="161"/>
        <v>Sinapi 10431</v>
      </c>
      <c r="I2585" s="101" t="str">
        <f t="shared" si="162"/>
        <v>UN</v>
      </c>
      <c r="J2585" s="140" t="str">
        <f t="shared" si="163"/>
        <v>LAVATORIO DE LOUCA COLORIDA, COM COLUNA, DIMENSOES *54 X 44* CM (L X C)</v>
      </c>
    </row>
    <row r="2586" spans="1:10" x14ac:dyDescent="0.25">
      <c r="A2586" s="169">
        <v>10429</v>
      </c>
      <c r="B2586" s="169" t="s">
        <v>26037</v>
      </c>
      <c r="C2586" s="169" t="s">
        <v>10225</v>
      </c>
      <c r="D2586" s="169" t="s">
        <v>1289</v>
      </c>
      <c r="E2586" s="103" t="s">
        <v>30629</v>
      </c>
      <c r="F2586" s="104"/>
      <c r="G2586" s="105">
        <f t="shared" si="160"/>
        <v>152.16</v>
      </c>
      <c r="H2586" s="101" t="str">
        <f t="shared" si="161"/>
        <v>Sinapi 10429</v>
      </c>
      <c r="I2586" s="101" t="str">
        <f t="shared" si="162"/>
        <v>UN</v>
      </c>
      <c r="J2586" s="140" t="str">
        <f t="shared" si="163"/>
        <v>LAVATORIO DE LOUCA COLORIDA, SUSPENSO (SEM COLUNA), DIMENSOES *40 X 30* CM (L X C)</v>
      </c>
    </row>
    <row r="2587" spans="1:10" x14ac:dyDescent="0.25">
      <c r="A2587" s="169">
        <v>2354</v>
      </c>
      <c r="B2587" s="169" t="s">
        <v>26038</v>
      </c>
      <c r="C2587" s="169" t="s">
        <v>10228</v>
      </c>
      <c r="D2587" s="169" t="s">
        <v>1289</v>
      </c>
      <c r="E2587" s="103" t="s">
        <v>29559</v>
      </c>
      <c r="F2587" s="104"/>
      <c r="G2587" s="105">
        <f t="shared" si="160"/>
        <v>12.32</v>
      </c>
      <c r="H2587" s="101" t="str">
        <f t="shared" si="161"/>
        <v>Sinapi 2354</v>
      </c>
      <c r="I2587" s="101" t="str">
        <f t="shared" si="162"/>
        <v>H</v>
      </c>
      <c r="J2587" s="140" t="str">
        <f t="shared" si="163"/>
        <v>LEITURISTA OU CADASTRISTA DE REDES DE AGUA E ESGOTO (HORISTA)</v>
      </c>
    </row>
    <row r="2588" spans="1:10" x14ac:dyDescent="0.25">
      <c r="A2588" s="169">
        <v>40932</v>
      </c>
      <c r="B2588" s="169" t="s">
        <v>26039</v>
      </c>
      <c r="C2588" s="169" t="s">
        <v>10235</v>
      </c>
      <c r="D2588" s="169" t="s">
        <v>1289</v>
      </c>
      <c r="E2588" s="103" t="s">
        <v>30630</v>
      </c>
      <c r="F2588" s="104"/>
      <c r="G2588" s="105">
        <f t="shared" si="160"/>
        <v>2146.87</v>
      </c>
      <c r="H2588" s="101" t="str">
        <f t="shared" si="161"/>
        <v>Sinapi 40932</v>
      </c>
      <c r="I2588" s="101" t="str">
        <f t="shared" si="162"/>
        <v>MES</v>
      </c>
      <c r="J2588" s="140" t="str">
        <f t="shared" si="163"/>
        <v>LEITURISTA OU CADASTRISTA DE REDES DE AGUA E ESGOTO (MENSALISTA)</v>
      </c>
    </row>
    <row r="2589" spans="1:10" x14ac:dyDescent="0.25">
      <c r="A2589" s="169">
        <v>10853</v>
      </c>
      <c r="B2589" s="169" t="s">
        <v>26040</v>
      </c>
      <c r="C2589" s="169" t="s">
        <v>10225</v>
      </c>
      <c r="D2589" s="169" t="s">
        <v>1289</v>
      </c>
      <c r="E2589" s="103" t="s">
        <v>30631</v>
      </c>
      <c r="F2589" s="104"/>
      <c r="G2589" s="105">
        <f t="shared" si="160"/>
        <v>108.25</v>
      </c>
      <c r="H2589" s="101" t="str">
        <f t="shared" si="161"/>
        <v>Sinapi 10853</v>
      </c>
      <c r="I2589" s="101" t="str">
        <f t="shared" si="162"/>
        <v>UN</v>
      </c>
      <c r="J2589" s="140" t="str">
        <f t="shared" si="163"/>
        <v>LETRA ACO INOX (AISI 304), CHAPA NUM. 22, RECORTADO, H= 20 CM (SEM RELEVO)</v>
      </c>
    </row>
    <row r="2590" spans="1:10" x14ac:dyDescent="0.25">
      <c r="A2590" s="169">
        <v>5093</v>
      </c>
      <c r="B2590" s="169" t="s">
        <v>26041</v>
      </c>
      <c r="C2590" s="169" t="s">
        <v>10239</v>
      </c>
      <c r="D2590" s="169" t="s">
        <v>1289</v>
      </c>
      <c r="E2590" s="103" t="s">
        <v>28684</v>
      </c>
      <c r="F2590" s="104"/>
      <c r="G2590" s="105">
        <f t="shared" si="160"/>
        <v>19.96</v>
      </c>
      <c r="H2590" s="101" t="str">
        <f t="shared" si="161"/>
        <v>Sinapi 5093</v>
      </c>
      <c r="I2590" s="101" t="str">
        <f t="shared" si="162"/>
        <v>PAR</v>
      </c>
      <c r="J2590" s="140" t="str">
        <f t="shared" si="163"/>
        <v>LEVANTADOR DE JANELA GUILHOTINA, EM LATAO CROMADO</v>
      </c>
    </row>
    <row r="2591" spans="1:10" x14ac:dyDescent="0.25">
      <c r="A2591" s="169">
        <v>44331</v>
      </c>
      <c r="B2591" s="169" t="s">
        <v>26042</v>
      </c>
      <c r="C2591" s="169" t="s">
        <v>10230</v>
      </c>
      <c r="D2591" s="169" t="s">
        <v>1289</v>
      </c>
      <c r="E2591" s="103" t="s">
        <v>30632</v>
      </c>
      <c r="F2591" s="104"/>
      <c r="G2591" s="105">
        <f t="shared" si="160"/>
        <v>55.03</v>
      </c>
      <c r="H2591" s="101" t="str">
        <f t="shared" si="161"/>
        <v>Sinapi 44331</v>
      </c>
      <c r="I2591" s="101" t="str">
        <f t="shared" si="162"/>
        <v>L</v>
      </c>
      <c r="J2591" s="140" t="str">
        <f t="shared" si="163"/>
        <v>LIMPA VIDROS COM PULVERIZADOR</v>
      </c>
    </row>
    <row r="2592" spans="1:10" x14ac:dyDescent="0.25">
      <c r="A2592" s="169">
        <v>37768</v>
      </c>
      <c r="B2592" s="169" t="s">
        <v>26043</v>
      </c>
      <c r="C2592" s="169" t="s">
        <v>10225</v>
      </c>
      <c r="D2592" s="169" t="s">
        <v>1290</v>
      </c>
      <c r="E2592" s="103" t="s">
        <v>19847</v>
      </c>
      <c r="F2592" s="104"/>
      <c r="G2592" s="105">
        <f t="shared" si="160"/>
        <v>235000</v>
      </c>
      <c r="H2592" s="101" t="str">
        <f t="shared" si="161"/>
        <v>Sinapi 37768</v>
      </c>
      <c r="I2592" s="101" t="str">
        <f t="shared" si="162"/>
        <v>UN</v>
      </c>
      <c r="J2592" s="140" t="str">
        <f t="shared" si="163"/>
        <v>LIMPADORA A SUCCAO, TANQUE 12000 L, BASCULAMENTO HIDRAULICO, BOMBA 12 M3/MIN 95% VACUO (INCLUI MONTAGEM, NAO INCLUI CAMINHAO)</v>
      </c>
    </row>
    <row r="2593" spans="1:10" x14ac:dyDescent="0.25">
      <c r="A2593" s="169">
        <v>37773</v>
      </c>
      <c r="B2593" s="169" t="s">
        <v>26044</v>
      </c>
      <c r="C2593" s="169" t="s">
        <v>10225</v>
      </c>
      <c r="D2593" s="169" t="s">
        <v>1290</v>
      </c>
      <c r="E2593" s="103" t="s">
        <v>19848</v>
      </c>
      <c r="F2593" s="104"/>
      <c r="G2593" s="105">
        <f t="shared" si="160"/>
        <v>199554.62</v>
      </c>
      <c r="H2593" s="101" t="str">
        <f t="shared" si="161"/>
        <v>Sinapi 37773</v>
      </c>
      <c r="I2593" s="101" t="str">
        <f t="shared" si="162"/>
        <v>UN</v>
      </c>
      <c r="J2593" s="140" t="str">
        <f t="shared" si="163"/>
        <v>LIMPADORA DE SUCCAO TANQUE 7000 L, BOMBA 12 M3/MIN 95% VACUO (INCLUI MONTAGEM, NAO INCLUI CAMINHAO)</v>
      </c>
    </row>
    <row r="2594" spans="1:10" x14ac:dyDescent="0.25">
      <c r="A2594" s="169">
        <v>37769</v>
      </c>
      <c r="B2594" s="169" t="s">
        <v>26045</v>
      </c>
      <c r="C2594" s="169" t="s">
        <v>10225</v>
      </c>
      <c r="D2594" s="169" t="s">
        <v>1290</v>
      </c>
      <c r="E2594" s="103" t="s">
        <v>19849</v>
      </c>
      <c r="F2594" s="104"/>
      <c r="G2594" s="105">
        <f t="shared" si="160"/>
        <v>334079.57</v>
      </c>
      <c r="H2594" s="101" t="str">
        <f t="shared" si="161"/>
        <v>Sinapi 37769</v>
      </c>
      <c r="I2594" s="101" t="str">
        <f t="shared" si="162"/>
        <v>UN</v>
      </c>
      <c r="J2594" s="140" t="str">
        <f t="shared" si="163"/>
        <v>LIMPADORA DE SUCCAO, TANQUE 11000 L, BOMBA 340 M3/MIN (INCLUI MONTAGEM, NAO INCLUI CAMINHAO)</v>
      </c>
    </row>
    <row r="2595" spans="1:10" x14ac:dyDescent="0.25">
      <c r="A2595" s="169">
        <v>37770</v>
      </c>
      <c r="B2595" s="169" t="s">
        <v>26046</v>
      </c>
      <c r="C2595" s="169" t="s">
        <v>10225</v>
      </c>
      <c r="D2595" s="169" t="s">
        <v>1290</v>
      </c>
      <c r="E2595" s="103" t="s">
        <v>19850</v>
      </c>
      <c r="F2595" s="104"/>
      <c r="G2595" s="105">
        <f t="shared" si="160"/>
        <v>566986.32999999996</v>
      </c>
      <c r="H2595" s="101" t="str">
        <f t="shared" si="161"/>
        <v>Sinapi 37770</v>
      </c>
      <c r="I2595" s="101" t="str">
        <f t="shared" si="162"/>
        <v>UN</v>
      </c>
      <c r="J2595" s="140" t="str">
        <f t="shared" si="163"/>
        <v>LIMPADORA DE SUCCAO, TANQUE 5500 L, BOMBA 60M3/MIN, VACUO 500 MBAR (INCLUI MONTAGEM, NAO INCLUI CAMINHAO)</v>
      </c>
    </row>
    <row r="2596" spans="1:10" x14ac:dyDescent="0.25">
      <c r="A2596" s="169">
        <v>38382</v>
      </c>
      <c r="B2596" s="169" t="s">
        <v>26047</v>
      </c>
      <c r="C2596" s="169" t="s">
        <v>10225</v>
      </c>
      <c r="D2596" s="169" t="s">
        <v>1289</v>
      </c>
      <c r="E2596" s="103" t="s">
        <v>28559</v>
      </c>
      <c r="F2596" s="104"/>
      <c r="G2596" s="105">
        <f t="shared" si="160"/>
        <v>12.3</v>
      </c>
      <c r="H2596" s="101" t="str">
        <f t="shared" si="161"/>
        <v>Sinapi 38382</v>
      </c>
      <c r="I2596" s="101" t="str">
        <f t="shared" si="162"/>
        <v>UN</v>
      </c>
      <c r="J2596" s="140" t="str">
        <f t="shared" si="163"/>
        <v>LINHA DE PEDREIRO LISA 100 M</v>
      </c>
    </row>
    <row r="2597" spans="1:10" x14ac:dyDescent="0.25">
      <c r="A2597" s="169">
        <v>38383</v>
      </c>
      <c r="B2597" s="169" t="s">
        <v>26048</v>
      </c>
      <c r="C2597" s="169" t="s">
        <v>10225</v>
      </c>
      <c r="D2597" s="169" t="s">
        <v>1289</v>
      </c>
      <c r="E2597" s="103" t="s">
        <v>15558</v>
      </c>
      <c r="F2597" s="104"/>
      <c r="G2597" s="105">
        <f t="shared" si="160"/>
        <v>2.2999999999999998</v>
      </c>
      <c r="H2597" s="101" t="str">
        <f t="shared" si="161"/>
        <v>Sinapi 38383</v>
      </c>
      <c r="I2597" s="101" t="str">
        <f t="shared" si="162"/>
        <v>UN</v>
      </c>
      <c r="J2597" s="140" t="str">
        <f t="shared" si="163"/>
        <v>LIXA D'AGUA EM FOLHA, GRAO 100</v>
      </c>
    </row>
    <row r="2598" spans="1:10" x14ac:dyDescent="0.25">
      <c r="A2598" s="169">
        <v>3768</v>
      </c>
      <c r="B2598" s="169" t="s">
        <v>1124</v>
      </c>
      <c r="C2598" s="169" t="s">
        <v>10225</v>
      </c>
      <c r="D2598" s="169" t="s">
        <v>1289</v>
      </c>
      <c r="E2598" s="103" t="s">
        <v>19286</v>
      </c>
      <c r="F2598" s="104"/>
      <c r="G2598" s="105">
        <f t="shared" si="160"/>
        <v>3.73</v>
      </c>
      <c r="H2598" s="101" t="str">
        <f t="shared" si="161"/>
        <v>Sinapi 3768</v>
      </c>
      <c r="I2598" s="101" t="str">
        <f t="shared" si="162"/>
        <v>UN</v>
      </c>
      <c r="J2598" s="140" t="str">
        <f t="shared" si="163"/>
        <v>LIXA EM FOLHA PARA FERRO, NUMERO 150</v>
      </c>
    </row>
    <row r="2599" spans="1:10" x14ac:dyDescent="0.25">
      <c r="A2599" s="169">
        <v>3767</v>
      </c>
      <c r="B2599" s="169" t="s">
        <v>26049</v>
      </c>
      <c r="C2599" s="169" t="s">
        <v>10225</v>
      </c>
      <c r="D2599" s="169" t="s">
        <v>1289</v>
      </c>
      <c r="E2599" s="103" t="s">
        <v>16199</v>
      </c>
      <c r="F2599" s="104"/>
      <c r="G2599" s="105">
        <f t="shared" si="160"/>
        <v>1.25</v>
      </c>
      <c r="H2599" s="101" t="str">
        <f t="shared" si="161"/>
        <v>Sinapi 3767</v>
      </c>
      <c r="I2599" s="101" t="str">
        <f t="shared" si="162"/>
        <v>UN</v>
      </c>
      <c r="J2599" s="140" t="str">
        <f t="shared" si="163"/>
        <v>LIXA EM FOLHA PARA PAREDE OU MADEIRA, NUMERO 120, COR VERMELHA</v>
      </c>
    </row>
    <row r="2600" spans="1:10" x14ac:dyDescent="0.25">
      <c r="A2600" s="169">
        <v>13192</v>
      </c>
      <c r="B2600" s="169" t="s">
        <v>26050</v>
      </c>
      <c r="C2600" s="169" t="s">
        <v>10225</v>
      </c>
      <c r="D2600" s="169" t="s">
        <v>1289</v>
      </c>
      <c r="E2600" s="103" t="s">
        <v>30633</v>
      </c>
      <c r="F2600" s="104"/>
      <c r="G2600" s="105">
        <f t="shared" si="160"/>
        <v>6841.68</v>
      </c>
      <c r="H2600" s="101" t="str">
        <f t="shared" si="161"/>
        <v>Sinapi 13192</v>
      </c>
      <c r="I2600" s="101" t="str">
        <f t="shared" si="162"/>
        <v>UN</v>
      </c>
      <c r="J2600" s="140" t="str">
        <f t="shared" si="163"/>
        <v>LIXADEIRA ELETRICA ANGULAR PARA CONCRETO, POTENCIA 1.400 W, PRATO DIAMANTADO DE 5''</v>
      </c>
    </row>
    <row r="2601" spans="1:10" x14ac:dyDescent="0.25">
      <c r="A2601" s="169">
        <v>38413</v>
      </c>
      <c r="B2601" s="169" t="s">
        <v>26051</v>
      </c>
      <c r="C2601" s="169" t="s">
        <v>10225</v>
      </c>
      <c r="D2601" s="169" t="s">
        <v>1289</v>
      </c>
      <c r="E2601" s="103" t="s">
        <v>30634</v>
      </c>
      <c r="F2601" s="104"/>
      <c r="G2601" s="105">
        <f t="shared" si="160"/>
        <v>1131.51</v>
      </c>
      <c r="H2601" s="101" t="str">
        <f t="shared" si="161"/>
        <v>Sinapi 38413</v>
      </c>
      <c r="I2601" s="101" t="str">
        <f t="shared" si="162"/>
        <v>UN</v>
      </c>
      <c r="J2601" s="140" t="str">
        <f t="shared" si="163"/>
        <v>LIXADEIRA ELETRICA ANGULAR, PARA DISCO DE 7 " (180 MM), POTENCIA DE 2.200 W, *5.000* RPM, 220 V</v>
      </c>
    </row>
    <row r="2602" spans="1:10" x14ac:dyDescent="0.25">
      <c r="A2602" s="169">
        <v>42440</v>
      </c>
      <c r="B2602" s="169" t="s">
        <v>26052</v>
      </c>
      <c r="C2602" s="169" t="s">
        <v>10225</v>
      </c>
      <c r="D2602" s="169" t="s">
        <v>1290</v>
      </c>
      <c r="E2602" s="103" t="s">
        <v>21058</v>
      </c>
      <c r="F2602" s="104"/>
      <c r="G2602" s="105">
        <f t="shared" si="160"/>
        <v>1235.9100000000001</v>
      </c>
      <c r="H2602" s="101" t="str">
        <f t="shared" si="161"/>
        <v>Sinapi 42440</v>
      </c>
      <c r="I2602" s="101" t="str">
        <f t="shared" si="162"/>
        <v>UN</v>
      </c>
      <c r="J2602" s="140" t="str">
        <f t="shared" si="163"/>
        <v>LIXEIRA DUPLA, COM CAPACIDADE VOLUMETRICA DE 60L*, FABRICADA EM TUBO DE ACO CARBONO, CESTOS EM CHAPA DE ACO E PINTURA NO PROCESSO ELETROSTATICO - PARA ACADEMIA AO AR LIVRE / ACADEMIA DA TERCEIRA IDADE - ATI</v>
      </c>
    </row>
    <row r="2603" spans="1:10" x14ac:dyDescent="0.25">
      <c r="A2603" s="169">
        <v>20193</v>
      </c>
      <c r="B2603" s="169" t="s">
        <v>26053</v>
      </c>
      <c r="C2603" s="169" t="s">
        <v>63</v>
      </c>
      <c r="D2603" s="169" t="s">
        <v>1289</v>
      </c>
      <c r="E2603" s="103" t="s">
        <v>13583</v>
      </c>
      <c r="F2603" s="104"/>
      <c r="G2603" s="105">
        <f t="shared" si="160"/>
        <v>19.28</v>
      </c>
      <c r="H2603" s="101" t="str">
        <f t="shared" si="161"/>
        <v>Sinapi 20193</v>
      </c>
      <c r="I2603" s="101" t="str">
        <f t="shared" si="162"/>
        <v>M2XMES</v>
      </c>
      <c r="J2603" s="140" t="str">
        <f t="shared" si="163"/>
        <v>LOCACAO DE ANDAIME METALICO TIPO FACHADEIRO, PECAS COM APROXIMADAMENTE 1,20 M DE LARGURA E 2,0 M DE ALTURA, INCLUINDO DIAGONAIS EM X, BARRAS DE LIGACAO, SAPATAS E DEMAIS ITENS NECESSARIOS A MONTAGEM (NAO INCLUI INSTALACAO)</v>
      </c>
    </row>
    <row r="2604" spans="1:10" x14ac:dyDescent="0.25">
      <c r="A2604" s="169">
        <v>10527</v>
      </c>
      <c r="B2604" s="169" t="s">
        <v>26054</v>
      </c>
      <c r="C2604" s="169" t="s">
        <v>10271</v>
      </c>
      <c r="D2604" s="169" t="s">
        <v>1288</v>
      </c>
      <c r="E2604" s="103" t="s">
        <v>20130</v>
      </c>
      <c r="F2604" s="104"/>
      <c r="G2604" s="105">
        <f t="shared" si="160"/>
        <v>25.71</v>
      </c>
      <c r="H2604" s="101" t="str">
        <f t="shared" si="161"/>
        <v>Sinapi 10527</v>
      </c>
      <c r="I2604" s="101" t="str">
        <f t="shared" si="162"/>
        <v>MXMES</v>
      </c>
      <c r="J2604" s="140" t="str">
        <f t="shared" si="163"/>
        <v>LOCACAO DE ANDAIME METALICO TUBULAR DE ENCAIXE, TIPO DE TORRE, CADA PAINEL COM LARGURA DE 1 ATE 1,5 M E ALTURA DE *1,00* M, INCLUINDO DIAGONAL, BARRAS DE LIGACAO, SAPATAS OU RODIZIOS E DEMAIS ITENS NECESSARIOS A MONTAGEM (NAO INCLUI INSTALACAO)</v>
      </c>
    </row>
    <row r="2605" spans="1:10" x14ac:dyDescent="0.25">
      <c r="A2605" s="169">
        <v>41805</v>
      </c>
      <c r="B2605" s="169" t="s">
        <v>883</v>
      </c>
      <c r="C2605" s="169" t="s">
        <v>10235</v>
      </c>
      <c r="D2605" s="169" t="s">
        <v>1289</v>
      </c>
      <c r="E2605" s="103" t="s">
        <v>30635</v>
      </c>
      <c r="F2605" s="104"/>
      <c r="G2605" s="105">
        <f t="shared" si="160"/>
        <v>739.16</v>
      </c>
      <c r="H2605" s="101" t="str">
        <f t="shared" si="161"/>
        <v>Sinapi 41805</v>
      </c>
      <c r="I2605" s="101" t="str">
        <f t="shared" si="162"/>
        <v>MES</v>
      </c>
      <c r="J2605" s="140" t="str">
        <f t="shared" si="163"/>
        <v>LOCACAO DE ANDAIME SUSPENSO OU BALANCIM MANUAL, CAPACIDADE DE CARGA TOTAL DE APROXIMADAMENTE 250 KG/M2, PLATAFORMA DE 1,50 M X 0,80 M (C X L), CABO DE 45 M</v>
      </c>
    </row>
    <row r="2606" spans="1:10" x14ac:dyDescent="0.25">
      <c r="A2606" s="169">
        <v>40271</v>
      </c>
      <c r="B2606" s="169" t="s">
        <v>26055</v>
      </c>
      <c r="C2606" s="169" t="s">
        <v>16405</v>
      </c>
      <c r="D2606" s="169" t="s">
        <v>1289</v>
      </c>
      <c r="E2606" s="103" t="s">
        <v>17706</v>
      </c>
      <c r="F2606" s="104"/>
      <c r="G2606" s="105">
        <f t="shared" si="160"/>
        <v>19.68</v>
      </c>
      <c r="H2606" s="101" t="str">
        <f t="shared" si="161"/>
        <v>Sinapi 40271</v>
      </c>
      <c r="I2606" s="101" t="str">
        <f t="shared" si="162"/>
        <v>UNXMES</v>
      </c>
      <c r="J2606" s="140" t="str">
        <f t="shared" si="163"/>
        <v>LOCACAO DE APRUMADOR METALICO DE PILAR, COM ALTURA E ANGULO REGULAVEIS, EXTENSAO DE *1,50* A *2,80* M</v>
      </c>
    </row>
    <row r="2607" spans="1:10" x14ac:dyDescent="0.25">
      <c r="A2607" s="169">
        <v>40287</v>
      </c>
      <c r="B2607" s="169" t="s">
        <v>26056</v>
      </c>
      <c r="C2607" s="169" t="s">
        <v>10235</v>
      </c>
      <c r="D2607" s="169" t="s">
        <v>1289</v>
      </c>
      <c r="E2607" s="103" t="s">
        <v>21588</v>
      </c>
      <c r="F2607" s="104"/>
      <c r="G2607" s="105">
        <f t="shared" si="160"/>
        <v>7.57</v>
      </c>
      <c r="H2607" s="101" t="str">
        <f t="shared" si="161"/>
        <v>Sinapi 40287</v>
      </c>
      <c r="I2607" s="101" t="str">
        <f t="shared" si="162"/>
        <v>MES</v>
      </c>
      <c r="J2607" s="140" t="str">
        <f t="shared" si="163"/>
        <v>LOCACAO DE BARRA DE ANCORAGEM DE 0,80 A 1,20 M DE EXTENSAO, COM ROSCA DE 5/8", INCLUINDO PORCA E FLANGE</v>
      </c>
    </row>
    <row r="2608" spans="1:10" x14ac:dyDescent="0.25">
      <c r="A2608" s="169">
        <v>4084</v>
      </c>
      <c r="B2608" s="169" t="s">
        <v>26057</v>
      </c>
      <c r="C2608" s="169" t="s">
        <v>10228</v>
      </c>
      <c r="D2608" s="169" t="s">
        <v>1290</v>
      </c>
      <c r="E2608" s="103" t="s">
        <v>3218</v>
      </c>
      <c r="F2608" s="104"/>
      <c r="G2608" s="105">
        <f t="shared" si="160"/>
        <v>1.8</v>
      </c>
      <c r="H2608" s="101" t="str">
        <f t="shared" si="161"/>
        <v>Sinapi 4084</v>
      </c>
      <c r="I2608" s="101" t="str">
        <f t="shared" si="162"/>
        <v>H</v>
      </c>
      <c r="J2608" s="140" t="str">
        <f t="shared" si="163"/>
        <v>LOCACAO DE BOMBA SUBMERSIVEL PARA DRENAGEM E ESGOTAMENTO, MOTOR ELETRICO TRIFASICO, POTENCIA DE 1 CV, DIAMETRO DE RECALQUE DE 2". FAIXA DE OPERACAO Q=25 M3/H (+ OU - 1 M3/H) E AMT=2 M, Q=12 M3/H (+ OU - 2 M3/H) E AMT = 12 M (+ OU - 2 M)</v>
      </c>
    </row>
    <row r="2609" spans="1:10" x14ac:dyDescent="0.25">
      <c r="A2609" s="169">
        <v>743</v>
      </c>
      <c r="B2609" s="169" t="s">
        <v>26058</v>
      </c>
      <c r="C2609" s="169" t="s">
        <v>10228</v>
      </c>
      <c r="D2609" s="169" t="s">
        <v>1290</v>
      </c>
      <c r="E2609" s="103" t="s">
        <v>3218</v>
      </c>
      <c r="F2609" s="104"/>
      <c r="G2609" s="105">
        <f t="shared" si="160"/>
        <v>1.8</v>
      </c>
      <c r="H2609" s="101" t="str">
        <f t="shared" si="161"/>
        <v>Sinapi 743</v>
      </c>
      <c r="I2609" s="101" t="str">
        <f t="shared" si="162"/>
        <v>H</v>
      </c>
      <c r="J2609" s="140" t="str">
        <f t="shared" si="163"/>
        <v>LOCACAO DE BOMBA SUBMERSIVEL PARA DRENAGEM E ESGOTAMENTO, MOTOR ELETRICO TRIFASICO, POTENCIA DE 2 CV, DIAMETRO DE RECALQUE DE 2", FAIXA DE OPERACAO Q=35 M3/H (+ OU - 3 M3/H) E AMT=2 M, Q=13 M3/H (+ OU - 3 M3/H) E AMT = 17 M (+ OU - 3 M)</v>
      </c>
    </row>
    <row r="2610" spans="1:10" x14ac:dyDescent="0.25">
      <c r="A2610" s="169">
        <v>40293</v>
      </c>
      <c r="B2610" s="169" t="s">
        <v>26059</v>
      </c>
      <c r="C2610" s="169" t="s">
        <v>10228</v>
      </c>
      <c r="D2610" s="169" t="s">
        <v>1290</v>
      </c>
      <c r="E2610" s="103" t="s">
        <v>29567</v>
      </c>
      <c r="F2610" s="104"/>
      <c r="G2610" s="105">
        <f t="shared" si="160"/>
        <v>2.16</v>
      </c>
      <c r="H2610" s="101" t="str">
        <f t="shared" si="161"/>
        <v>Sinapi 40293</v>
      </c>
      <c r="I2610" s="101" t="str">
        <f t="shared" si="162"/>
        <v>H</v>
      </c>
      <c r="J2610" s="140" t="str">
        <f t="shared" si="163"/>
        <v>LOCACAO DE BOMBA SUBMERSIVEL PARA DRENAGEM E ESGOTAMENTO, MOTOR ELETRICO TRIFASICO, POTENCIA DE 2 CV, DIAMETRO DE RECALQUE DE 3". FAIXA DE OPERACAO Q=70 M3/H (+ OU - 2 M3/H) E AMT=2 M, Q=9,5 M3/H (+ OU - 3,5 M3/H) E AMT = 10 M (+ OU - 2 M)</v>
      </c>
    </row>
    <row r="2611" spans="1:10" x14ac:dyDescent="0.25">
      <c r="A2611" s="169">
        <v>40294</v>
      </c>
      <c r="B2611" s="169" t="s">
        <v>26060</v>
      </c>
      <c r="C2611" s="169" t="s">
        <v>10228</v>
      </c>
      <c r="D2611" s="169" t="s">
        <v>1290</v>
      </c>
      <c r="E2611" s="103" t="s">
        <v>3218</v>
      </c>
      <c r="F2611" s="104"/>
      <c r="G2611" s="105">
        <f t="shared" si="160"/>
        <v>1.8</v>
      </c>
      <c r="H2611" s="101" t="str">
        <f t="shared" si="161"/>
        <v>Sinapi 40294</v>
      </c>
      <c r="I2611" s="101" t="str">
        <f t="shared" si="162"/>
        <v>H</v>
      </c>
      <c r="J2611" s="140" t="str">
        <f t="shared" si="163"/>
        <v>LOCACAO DE BOMBA SUBMERSIVEL PARA DRENAGEM E ESGOTAMENTO, MOTOR ELETRICO TRIFASICO, POTENCIA DE 3 CV, DIAMETRO DE RECALQUE DE 2", FAIXA DE OPERACAO Q=84 M3/H (+ OU - 2,5 M3/H) E AMT=2 M, Q=9,1 M3/H (+ OU - 2 M3/H) E AMT = 12 M (+ OU - 2 M)</v>
      </c>
    </row>
    <row r="2612" spans="1:10" x14ac:dyDescent="0.25">
      <c r="A2612" s="169">
        <v>4085</v>
      </c>
      <c r="B2612" s="169" t="s">
        <v>26061</v>
      </c>
      <c r="C2612" s="169" t="s">
        <v>10228</v>
      </c>
      <c r="D2612" s="169" t="s">
        <v>1290</v>
      </c>
      <c r="E2612" s="103" t="s">
        <v>26299</v>
      </c>
      <c r="F2612" s="104"/>
      <c r="G2612" s="105">
        <f t="shared" si="160"/>
        <v>2.52</v>
      </c>
      <c r="H2612" s="101" t="str">
        <f t="shared" si="161"/>
        <v>Sinapi 4085</v>
      </c>
      <c r="I2612" s="101" t="str">
        <f t="shared" si="162"/>
        <v>H</v>
      </c>
      <c r="J2612" s="140" t="str">
        <f t="shared" si="163"/>
        <v>LOCACAO DE BOMBA SUBMERSIVEL PARA DRENAGEM E ESGOTAMENTO, MOTOR ELETRICO TRIFASICO, POTENCIA DE 4 CV, DIAMETRO DE RECALQUE DE 3". FAIXA DE OPERACAO Q=60 M3/H (+ OU - 1 M3/H) E AMT=2 M, Q=11 M3/H (+ OU - 1 M3/H) E AMT = 23 M (+ OU - 1 M)</v>
      </c>
    </row>
    <row r="2613" spans="1:10" x14ac:dyDescent="0.25">
      <c r="A2613" s="169">
        <v>10779</v>
      </c>
      <c r="B2613" s="169" t="s">
        <v>26062</v>
      </c>
      <c r="C2613" s="169" t="s">
        <v>10235</v>
      </c>
      <c r="D2613" s="169" t="s">
        <v>1290</v>
      </c>
      <c r="E2613" s="103" t="s">
        <v>30636</v>
      </c>
      <c r="F2613" s="104"/>
      <c r="G2613" s="105">
        <f t="shared" si="160"/>
        <v>1118.75</v>
      </c>
      <c r="H2613" s="101" t="str">
        <f t="shared" si="161"/>
        <v>Sinapi 10779</v>
      </c>
      <c r="I2613" s="101" t="str">
        <f t="shared" si="162"/>
        <v>MES</v>
      </c>
      <c r="J2613" s="140" t="str">
        <f t="shared" si="163"/>
        <v>LOCACAO DE CONTAINER 2,30 X 4,30 M, ALT. 2,50 M, P/ SANITARIO, C/ 5 BACIAS, 1 LAVATORIO E 4 MICTORIOS (NAO INCLUI MOBILIZACAO/DESMOBILIZACAO)</v>
      </c>
    </row>
    <row r="2614" spans="1:10" x14ac:dyDescent="0.25">
      <c r="A2614" s="169">
        <v>10777</v>
      </c>
      <c r="B2614" s="169" t="s">
        <v>26063</v>
      </c>
      <c r="C2614" s="169" t="s">
        <v>10235</v>
      </c>
      <c r="D2614" s="169" t="s">
        <v>1290</v>
      </c>
      <c r="E2614" s="103" t="s">
        <v>30637</v>
      </c>
      <c r="F2614" s="104"/>
      <c r="G2614" s="105">
        <f t="shared" si="160"/>
        <v>1016.19</v>
      </c>
      <c r="H2614" s="101" t="str">
        <f t="shared" si="161"/>
        <v>Sinapi 10777</v>
      </c>
      <c r="I2614" s="101" t="str">
        <f t="shared" si="162"/>
        <v>MES</v>
      </c>
      <c r="J2614" s="140" t="str">
        <f t="shared" si="163"/>
        <v>LOCACAO DE CONTAINER 2,30 X 4,30 M, ALT. 2,50 M, PARA SANITARIO, COM 3 BACIAS, 4 CHUVEIROS, 1 LAVATORIO E 1 MICTORIO (NAO INCLUI MOBILIZACAO/DESMOBILIZACAO)</v>
      </c>
    </row>
    <row r="2615" spans="1:10" x14ac:dyDescent="0.25">
      <c r="A2615" s="169">
        <v>10775</v>
      </c>
      <c r="B2615" s="169" t="s">
        <v>26064</v>
      </c>
      <c r="C2615" s="169" t="s">
        <v>10235</v>
      </c>
      <c r="D2615" s="169" t="s">
        <v>1290</v>
      </c>
      <c r="E2615" s="103" t="s">
        <v>30638</v>
      </c>
      <c r="F2615" s="104"/>
      <c r="G2615" s="105">
        <f t="shared" si="160"/>
        <v>895</v>
      </c>
      <c r="H2615" s="101" t="str">
        <f t="shared" si="161"/>
        <v>Sinapi 10775</v>
      </c>
      <c r="I2615" s="101" t="str">
        <f t="shared" si="162"/>
        <v>MES</v>
      </c>
      <c r="J2615" s="140" t="str">
        <f t="shared" si="163"/>
        <v>LOCACAO DE CONTAINER 2,30 X 6,00 M, ALT. 2,50 M, COM 1 SANITARIO, PARA ESCRITORIO, COMPLETO, SEM DIVISORIAS INTERNAS (NAO INCLUI MOBILIZACAO/DESMOBILIZACAO)</v>
      </c>
    </row>
    <row r="2616" spans="1:10" x14ac:dyDescent="0.25">
      <c r="A2616" s="169">
        <v>10776</v>
      </c>
      <c r="B2616" s="169" t="s">
        <v>26065</v>
      </c>
      <c r="C2616" s="169" t="s">
        <v>10235</v>
      </c>
      <c r="D2616" s="169" t="s">
        <v>1290</v>
      </c>
      <c r="E2616" s="103" t="s">
        <v>30639</v>
      </c>
      <c r="F2616" s="104"/>
      <c r="G2616" s="105">
        <f t="shared" si="160"/>
        <v>699.21</v>
      </c>
      <c r="H2616" s="101" t="str">
        <f t="shared" si="161"/>
        <v>Sinapi 10776</v>
      </c>
      <c r="I2616" s="101" t="str">
        <f t="shared" si="162"/>
        <v>MES</v>
      </c>
      <c r="J2616" s="140" t="str">
        <f t="shared" si="163"/>
        <v>LOCACAO DE CONTAINER 2,30 X 6,00 M, ALT. 2,50 M, PARA ESCRITORIO, SEM DIVISORIAS INTERNAS E SEM SANITARIO (NAO INCLUI MOBILIZACAO/DESMOBILIZACAO)</v>
      </c>
    </row>
    <row r="2617" spans="1:10" x14ac:dyDescent="0.25">
      <c r="A2617" s="169">
        <v>10778</v>
      </c>
      <c r="B2617" s="169" t="s">
        <v>26066</v>
      </c>
      <c r="C2617" s="169" t="s">
        <v>10235</v>
      </c>
      <c r="D2617" s="169" t="s">
        <v>1290</v>
      </c>
      <c r="E2617" s="103" t="s">
        <v>30636</v>
      </c>
      <c r="F2617" s="104"/>
      <c r="G2617" s="105">
        <f t="shared" si="160"/>
        <v>1118.75</v>
      </c>
      <c r="H2617" s="101" t="str">
        <f t="shared" si="161"/>
        <v>Sinapi 10778</v>
      </c>
      <c r="I2617" s="101" t="str">
        <f t="shared" si="162"/>
        <v>MES</v>
      </c>
      <c r="J2617" s="140" t="str">
        <f t="shared" si="163"/>
        <v>LOCACAO DE CONTAINER 2,30 X 6,00 M, ALT. 2,50 M, PARA SANITARIO, COM 4 BACIAS, 8 CHUVEIROS,1 LAVATORIO E 1 MICTORIO (NAO INCLUI MOBILIZACAO/DESMOBILIZACAO)</v>
      </c>
    </row>
    <row r="2618" spans="1:10" x14ac:dyDescent="0.25">
      <c r="A2618" s="169">
        <v>40339</v>
      </c>
      <c r="B2618" s="169" t="s">
        <v>30640</v>
      </c>
      <c r="C2618" s="169" t="s">
        <v>16405</v>
      </c>
      <c r="D2618" s="169" t="s">
        <v>1289</v>
      </c>
      <c r="E2618" s="103" t="s">
        <v>5261</v>
      </c>
      <c r="F2618" s="104"/>
      <c r="G2618" s="105">
        <f t="shared" si="160"/>
        <v>6.9</v>
      </c>
      <c r="H2618" s="101" t="str">
        <f t="shared" si="161"/>
        <v>Sinapi 40339</v>
      </c>
      <c r="I2618" s="101" t="str">
        <f t="shared" si="162"/>
        <v>UNXMES</v>
      </c>
      <c r="J2618" s="140" t="str">
        <f t="shared" si="163"/>
        <v>LOCACAO DE CRUZETA, SIMPLES, PARA ESCORA METALICA, COMPRIMENTO ENTRE 50 A 60 CM, PARA ESCORA DE 1,80 A 3,20 METROS E TUBO EXTERNO ATE 48 MM DE DIAMETRO</v>
      </c>
    </row>
    <row r="2619" spans="1:10" x14ac:dyDescent="0.25">
      <c r="A2619" s="169">
        <v>10749</v>
      </c>
      <c r="B2619" s="169" t="s">
        <v>26067</v>
      </c>
      <c r="C2619" s="169" t="s">
        <v>16405</v>
      </c>
      <c r="D2619" s="169" t="s">
        <v>1289</v>
      </c>
      <c r="E2619" s="103" t="s">
        <v>19296</v>
      </c>
      <c r="F2619" s="104"/>
      <c r="G2619" s="105">
        <f t="shared" si="160"/>
        <v>22.81</v>
      </c>
      <c r="H2619" s="101" t="str">
        <f t="shared" si="161"/>
        <v>Sinapi 10749</v>
      </c>
      <c r="I2619" s="101" t="str">
        <f t="shared" si="162"/>
        <v>UNXMES</v>
      </c>
      <c r="J2619" s="140" t="str">
        <f t="shared" si="163"/>
        <v>LOCACAO DE ESCORA METALICA TELESCOPICA, COM ALTURA REGULAVEL DE *1,80* A *3,20* M, COM CAPACIDADE DE CARGA DE NO MINIMO 1000 KGF (10 KN), INCLUSO TRIPE E FORCADO</v>
      </c>
    </row>
    <row r="2620" spans="1:10" x14ac:dyDescent="0.25">
      <c r="A2620" s="169">
        <v>40290</v>
      </c>
      <c r="B2620" s="169" t="s">
        <v>26069</v>
      </c>
      <c r="C2620" s="169" t="s">
        <v>16405</v>
      </c>
      <c r="D2620" s="169" t="s">
        <v>1289</v>
      </c>
      <c r="E2620" s="103" t="s">
        <v>12096</v>
      </c>
      <c r="F2620" s="104"/>
      <c r="G2620" s="105">
        <f t="shared" si="160"/>
        <v>12.34</v>
      </c>
      <c r="H2620" s="101" t="str">
        <f t="shared" si="161"/>
        <v>Sinapi 40290</v>
      </c>
      <c r="I2620" s="101" t="str">
        <f t="shared" si="162"/>
        <v>UNXMES</v>
      </c>
      <c r="J2620" s="140" t="str">
        <f t="shared" si="163"/>
        <v>LOCACAO DE FORMA PLASTICA PARA LAJE NERVURADA, DIMENSOES *60* X *60* X *16* CM</v>
      </c>
    </row>
    <row r="2621" spans="1:10" x14ac:dyDescent="0.25">
      <c r="A2621" s="169">
        <v>3346</v>
      </c>
      <c r="B2621" s="169" t="s">
        <v>26070</v>
      </c>
      <c r="C2621" s="169" t="s">
        <v>10228</v>
      </c>
      <c r="D2621" s="169" t="s">
        <v>1290</v>
      </c>
      <c r="E2621" s="103" t="s">
        <v>16373</v>
      </c>
      <c r="F2621" s="104"/>
      <c r="G2621" s="105">
        <f t="shared" si="160"/>
        <v>18.36</v>
      </c>
      <c r="H2621" s="101" t="str">
        <f t="shared" si="161"/>
        <v>Sinapi 3346</v>
      </c>
      <c r="I2621" s="101" t="str">
        <f t="shared" si="162"/>
        <v>H</v>
      </c>
      <c r="J2621" s="140" t="str">
        <f t="shared" si="163"/>
        <v>LOCACAO DE GRUPO GERADOR *80 A 125* KVA, MOTOR DIESEL, REBOCAVEL, ACIONAMENTO MANUAL</v>
      </c>
    </row>
    <row r="2622" spans="1:10" x14ac:dyDescent="0.25">
      <c r="A2622" s="169">
        <v>3348</v>
      </c>
      <c r="B2622" s="169" t="s">
        <v>26071</v>
      </c>
      <c r="C2622" s="169" t="s">
        <v>10228</v>
      </c>
      <c r="D2622" s="169" t="s">
        <v>1290</v>
      </c>
      <c r="E2622" s="103" t="s">
        <v>21448</v>
      </c>
      <c r="F2622" s="104"/>
      <c r="G2622" s="105">
        <f t="shared" si="160"/>
        <v>21.96</v>
      </c>
      <c r="H2622" s="101" t="str">
        <f t="shared" si="161"/>
        <v>Sinapi 3348</v>
      </c>
      <c r="I2622" s="101" t="str">
        <f t="shared" si="162"/>
        <v>H</v>
      </c>
      <c r="J2622" s="140" t="str">
        <f t="shared" si="163"/>
        <v>LOCACAO DE GRUPO GERADOR ACIMA DE * 125 ATE 180* KVA, MOTOR DIESEL, REBOCAVEL, ACIONAMENTO MANUAL</v>
      </c>
    </row>
    <row r="2623" spans="1:10" x14ac:dyDescent="0.25">
      <c r="A2623" s="169">
        <v>39833</v>
      </c>
      <c r="B2623" s="169" t="s">
        <v>26072</v>
      </c>
      <c r="C2623" s="169" t="s">
        <v>10228</v>
      </c>
      <c r="D2623" s="169" t="s">
        <v>1290</v>
      </c>
      <c r="E2623" s="103" t="s">
        <v>30641</v>
      </c>
      <c r="F2623" s="104"/>
      <c r="G2623" s="105">
        <f t="shared" si="160"/>
        <v>30.08</v>
      </c>
      <c r="H2623" s="101" t="str">
        <f t="shared" si="161"/>
        <v>Sinapi 39833</v>
      </c>
      <c r="I2623" s="101" t="str">
        <f t="shared" si="162"/>
        <v>H</v>
      </c>
      <c r="J2623" s="140" t="str">
        <f t="shared" si="163"/>
        <v>LOCACAO DE GRUPO GERADOR DE *260* KVA, DIESEL REBOCAVEL, ACIONAMENTO MANUAL</v>
      </c>
    </row>
    <row r="2624" spans="1:10" x14ac:dyDescent="0.25">
      <c r="A2624" s="169">
        <v>7252</v>
      </c>
      <c r="B2624" s="169" t="s">
        <v>26073</v>
      </c>
      <c r="C2624" s="169" t="s">
        <v>10228</v>
      </c>
      <c r="D2624" s="169" t="s">
        <v>1290</v>
      </c>
      <c r="E2624" s="103" t="s">
        <v>2079</v>
      </c>
      <c r="F2624" s="104"/>
      <c r="G2624" s="105">
        <f t="shared" si="160"/>
        <v>2.25</v>
      </c>
      <c r="H2624" s="101" t="str">
        <f t="shared" si="161"/>
        <v>Sinapi 7252</v>
      </c>
      <c r="I2624" s="101" t="str">
        <f t="shared" si="162"/>
        <v>H</v>
      </c>
      <c r="J2624" s="140" t="str">
        <f t="shared" si="163"/>
        <v>LOCACAO DE NIVEL OPTICO, COM PRECISAO DE 0,7 MM, AUMENTO DE 32X</v>
      </c>
    </row>
    <row r="2625" spans="1:10" x14ac:dyDescent="0.25">
      <c r="A2625" s="169">
        <v>7247</v>
      </c>
      <c r="B2625" s="169" t="s">
        <v>26074</v>
      </c>
      <c r="C2625" s="169" t="s">
        <v>10228</v>
      </c>
      <c r="D2625" s="169" t="s">
        <v>1290</v>
      </c>
      <c r="E2625" s="103" t="s">
        <v>2079</v>
      </c>
      <c r="F2625" s="104"/>
      <c r="G2625" s="105">
        <f t="shared" si="160"/>
        <v>2.25</v>
      </c>
      <c r="H2625" s="101" t="str">
        <f t="shared" si="161"/>
        <v>Sinapi 7247</v>
      </c>
      <c r="I2625" s="101" t="str">
        <f t="shared" si="162"/>
        <v>H</v>
      </c>
      <c r="J2625" s="140" t="str">
        <f t="shared" si="163"/>
        <v>LOCACAO DE TEODOLITO ELETRONICO, PRECISAO ANGULAR DE 5 A 7 SEGUNDOS, INCLUINDO TRIPE</v>
      </c>
    </row>
    <row r="2626" spans="1:10" x14ac:dyDescent="0.25">
      <c r="A2626" s="169">
        <v>40291</v>
      </c>
      <c r="B2626" s="169" t="s">
        <v>26075</v>
      </c>
      <c r="C2626" s="169" t="s">
        <v>16405</v>
      </c>
      <c r="D2626" s="169" t="s">
        <v>1289</v>
      </c>
      <c r="E2626" s="103" t="s">
        <v>30642</v>
      </c>
      <c r="F2626" s="104"/>
      <c r="G2626" s="105">
        <f t="shared" si="160"/>
        <v>642.75</v>
      </c>
      <c r="H2626" s="101" t="str">
        <f t="shared" si="161"/>
        <v>Sinapi 40291</v>
      </c>
      <c r="I2626" s="101" t="str">
        <f t="shared" si="162"/>
        <v>UNXMES</v>
      </c>
      <c r="J2626" s="140" t="str">
        <f t="shared" si="163"/>
        <v>LOCACAO DE TORRE METALICA COMPLETA PARA UMA CARGA DE 8 TF (80 KN) E PE DIREITO DE 6 M, INCLUINDO MODULOS , DIAGONAIS, SAPATAS E FORCADOS</v>
      </c>
    </row>
    <row r="2627" spans="1:10" x14ac:dyDescent="0.25">
      <c r="A2627" s="169">
        <v>40275</v>
      </c>
      <c r="B2627" s="169" t="s">
        <v>26076</v>
      </c>
      <c r="C2627" s="169" t="s">
        <v>16405</v>
      </c>
      <c r="D2627" s="169" t="s">
        <v>1289</v>
      </c>
      <c r="E2627" s="103" t="s">
        <v>30279</v>
      </c>
      <c r="F2627" s="104"/>
      <c r="G2627" s="105">
        <f t="shared" si="160"/>
        <v>20.56</v>
      </c>
      <c r="H2627" s="101" t="str">
        <f t="shared" si="161"/>
        <v>Sinapi 40275</v>
      </c>
      <c r="I2627" s="101" t="str">
        <f t="shared" si="162"/>
        <v>UNXMES</v>
      </c>
      <c r="J2627" s="140" t="str">
        <f t="shared" si="163"/>
        <v>LOCACAO DE VIGA SANDUICHE METALICA VAZADA PARA TRAVAMENTO DE PILARES, ALTURA DE *8* CM, LARGURA DE *6* CM E EXTENSAO DE 2 M</v>
      </c>
    </row>
    <row r="2628" spans="1:10" x14ac:dyDescent="0.25">
      <c r="A2628" s="169">
        <v>42408</v>
      </c>
      <c r="B2628" s="169" t="s">
        <v>11616</v>
      </c>
      <c r="C2628" s="169" t="s">
        <v>10226</v>
      </c>
      <c r="D2628" s="169" t="s">
        <v>1289</v>
      </c>
      <c r="E2628" s="103" t="s">
        <v>21114</v>
      </c>
      <c r="F2628" s="104"/>
      <c r="G2628" s="105">
        <f t="shared" si="160"/>
        <v>2.08</v>
      </c>
      <c r="H2628" s="101" t="str">
        <f t="shared" si="161"/>
        <v>Sinapi 42408</v>
      </c>
      <c r="I2628" s="101" t="str">
        <f t="shared" si="162"/>
        <v>M2</v>
      </c>
      <c r="J2628" s="140" t="str">
        <f t="shared" si="163"/>
        <v>LONA PLASTICA EXTRA FORTE PRETA, E = 200 MICRA</v>
      </c>
    </row>
    <row r="2629" spans="1:10" x14ac:dyDescent="0.25">
      <c r="A2629" s="169">
        <v>3777</v>
      </c>
      <c r="B2629" s="169" t="s">
        <v>26077</v>
      </c>
      <c r="C2629" s="169" t="s">
        <v>10226</v>
      </c>
      <c r="D2629" s="169" t="s">
        <v>1288</v>
      </c>
      <c r="E2629" s="103" t="s">
        <v>2116</v>
      </c>
      <c r="F2629" s="104"/>
      <c r="G2629" s="105">
        <f t="shared" si="160"/>
        <v>1.5</v>
      </c>
      <c r="H2629" s="101" t="str">
        <f t="shared" si="161"/>
        <v>Sinapi 3777</v>
      </c>
      <c r="I2629" s="101" t="str">
        <f t="shared" si="162"/>
        <v>M2</v>
      </c>
      <c r="J2629" s="140" t="str">
        <f t="shared" si="163"/>
        <v>LONA PLASTICA PESADA PRETA, E = 150 MICRA</v>
      </c>
    </row>
    <row r="2630" spans="1:10" x14ac:dyDescent="0.25">
      <c r="A2630" s="169">
        <v>3798</v>
      </c>
      <c r="B2630" s="169" t="s">
        <v>26078</v>
      </c>
      <c r="C2630" s="169" t="s">
        <v>10225</v>
      </c>
      <c r="D2630" s="169" t="s">
        <v>1290</v>
      </c>
      <c r="E2630" s="103" t="s">
        <v>26079</v>
      </c>
      <c r="F2630" s="104"/>
      <c r="G2630" s="105">
        <f t="shared" si="160"/>
        <v>87.98</v>
      </c>
      <c r="H2630" s="101" t="str">
        <f t="shared" si="161"/>
        <v>Sinapi 3798</v>
      </c>
      <c r="I2630" s="101" t="str">
        <f t="shared" si="162"/>
        <v>UN</v>
      </c>
      <c r="J2630" s="140" t="str">
        <f t="shared" si="163"/>
        <v>LUMINARIA ABERTA P/ ILUMINACAO PUBLICA, TIPO X-57 PETERCO OU EQUIV</v>
      </c>
    </row>
    <row r="2631" spans="1:10" x14ac:dyDescent="0.25">
      <c r="A2631" s="169">
        <v>38769</v>
      </c>
      <c r="B2631" s="169" t="s">
        <v>26080</v>
      </c>
      <c r="C2631" s="169" t="s">
        <v>10225</v>
      </c>
      <c r="D2631" s="169" t="s">
        <v>1290</v>
      </c>
      <c r="E2631" s="103" t="s">
        <v>23136</v>
      </c>
      <c r="F2631" s="104"/>
      <c r="G2631" s="105">
        <f t="shared" si="160"/>
        <v>68.709999999999994</v>
      </c>
      <c r="H2631" s="101" t="str">
        <f t="shared" si="161"/>
        <v>Sinapi 38769</v>
      </c>
      <c r="I2631" s="101" t="str">
        <f t="shared" si="162"/>
        <v>UN</v>
      </c>
      <c r="J2631" s="140" t="str">
        <f t="shared" si="163"/>
        <v>LUMINARIA ARANDELA TIPO MEIA-LUA COM VIDRO FOSCO *30 X 15* CM, PARA 1 LAMPADA, BASE E27, POTENCIA MAXIMA 40/60 W (NAO INCLUI LAMPADA)</v>
      </c>
    </row>
    <row r="2632" spans="1:10" x14ac:dyDescent="0.25">
      <c r="A2632" s="169">
        <v>39510</v>
      </c>
      <c r="B2632" s="169" t="s">
        <v>26081</v>
      </c>
      <c r="C2632" s="169" t="s">
        <v>10225</v>
      </c>
      <c r="D2632" s="169" t="s">
        <v>1290</v>
      </c>
      <c r="E2632" s="103" t="s">
        <v>26082</v>
      </c>
      <c r="F2632" s="104"/>
      <c r="G2632" s="105">
        <f t="shared" ref="G2632:G2695" si="164">IF(E2632="","",E2632+0)</f>
        <v>278.08</v>
      </c>
      <c r="H2632" s="101" t="str">
        <f t="shared" ref="H2632:H2695" si="165">IF(G2632="","",TRIM(CONCATENATE("Sinapi ",A2632)))</f>
        <v>Sinapi 39510</v>
      </c>
      <c r="I2632" s="101" t="str">
        <f t="shared" ref="I2632:I2695" si="166">TRIM(C2632)</f>
        <v>UN</v>
      </c>
      <c r="J2632" s="140" t="str">
        <f t="shared" si="163"/>
        <v>LUMINARIA DE EMBUTIR EM CHAPA DE ACO PARA 2 LAMPADAS FLUORESCENTES DE 14 W COM REFLETOR E ALETAS EM ALUMINIO, COMPLETA (INCLUI REATOR E LAMPADAS)</v>
      </c>
    </row>
    <row r="2633" spans="1:10" x14ac:dyDescent="0.25">
      <c r="A2633" s="169">
        <v>38776</v>
      </c>
      <c r="B2633" s="169" t="s">
        <v>26083</v>
      </c>
      <c r="C2633" s="169" t="s">
        <v>10225</v>
      </c>
      <c r="D2633" s="169" t="s">
        <v>1290</v>
      </c>
      <c r="E2633" s="103" t="s">
        <v>26084</v>
      </c>
      <c r="F2633" s="104"/>
      <c r="G2633" s="105">
        <f t="shared" si="164"/>
        <v>295.13</v>
      </c>
      <c r="H2633" s="101" t="str">
        <f t="shared" si="165"/>
        <v>Sinapi 38776</v>
      </c>
      <c r="I2633" s="101" t="str">
        <f t="shared" si="166"/>
        <v>UN</v>
      </c>
      <c r="J2633" s="140" t="str">
        <f t="shared" ref="J2633:J2696" si="167">TRIM(B2633)</f>
        <v>LUMINARIA DE EMBUTIR EM CHAPA DE ACO PARA 4 LAMPADAS FLUORESCENTES DE 14 W *60 X 60 CM* ALETADA (NAO INCLUI REATOR E LAMPADAS)</v>
      </c>
    </row>
    <row r="2634" spans="1:10" x14ac:dyDescent="0.25">
      <c r="A2634" s="169">
        <v>38774</v>
      </c>
      <c r="B2634" s="169" t="s">
        <v>26085</v>
      </c>
      <c r="C2634" s="169" t="s">
        <v>10225</v>
      </c>
      <c r="D2634" s="169" t="s">
        <v>1289</v>
      </c>
      <c r="E2634" s="103" t="s">
        <v>21647</v>
      </c>
      <c r="F2634" s="104"/>
      <c r="G2634" s="105">
        <f t="shared" si="164"/>
        <v>20.92</v>
      </c>
      <c r="H2634" s="101" t="str">
        <f t="shared" si="165"/>
        <v>Sinapi 38774</v>
      </c>
      <c r="I2634" s="101" t="str">
        <f t="shared" si="166"/>
        <v>UN</v>
      </c>
      <c r="J2634" s="140" t="str">
        <f t="shared" si="167"/>
        <v>LUMINARIA DE EMERGENCIA 30 LEDS, POTENCIA 2 W, BATERIA DE LITIO, AUTONOMIA DE 6 HORAS</v>
      </c>
    </row>
    <row r="2635" spans="1:10" x14ac:dyDescent="0.25">
      <c r="A2635" s="169">
        <v>42247</v>
      </c>
      <c r="B2635" s="169" t="s">
        <v>26086</v>
      </c>
      <c r="C2635" s="169" t="s">
        <v>10225</v>
      </c>
      <c r="D2635" s="169" t="s">
        <v>1289</v>
      </c>
      <c r="E2635" s="103" t="s">
        <v>30643</v>
      </c>
      <c r="F2635" s="104"/>
      <c r="G2635" s="105">
        <f t="shared" si="164"/>
        <v>714.29</v>
      </c>
      <c r="H2635" s="101" t="str">
        <f t="shared" si="165"/>
        <v>Sinapi 42247</v>
      </c>
      <c r="I2635" s="101" t="str">
        <f t="shared" si="166"/>
        <v>UN</v>
      </c>
      <c r="J2635" s="140" t="str">
        <f t="shared" si="167"/>
        <v>LUMINARIA DE LED PARA ILUMINACAO PUBLICA, DE 138 W ATE 180 W, INVOLUCRO EM ALUMINIO OU ACO INOX</v>
      </c>
    </row>
    <row r="2636" spans="1:10" x14ac:dyDescent="0.25">
      <c r="A2636" s="169">
        <v>42248</v>
      </c>
      <c r="B2636" s="169" t="s">
        <v>26087</v>
      </c>
      <c r="C2636" s="169" t="s">
        <v>10225</v>
      </c>
      <c r="D2636" s="169" t="s">
        <v>1289</v>
      </c>
      <c r="E2636" s="103" t="s">
        <v>30644</v>
      </c>
      <c r="F2636" s="104"/>
      <c r="G2636" s="105">
        <f t="shared" si="164"/>
        <v>829.7</v>
      </c>
      <c r="H2636" s="101" t="str">
        <f t="shared" si="165"/>
        <v>Sinapi 42248</v>
      </c>
      <c r="I2636" s="101" t="str">
        <f t="shared" si="166"/>
        <v>UN</v>
      </c>
      <c r="J2636" s="140" t="str">
        <f t="shared" si="167"/>
        <v>LUMINARIA DE LED PARA ILUMINACAO PUBLICA, DE 181 W ATE 239 W, INVOLUCRO EM ALUMINIO OU ACO INOX</v>
      </c>
    </row>
    <row r="2637" spans="1:10" x14ac:dyDescent="0.25">
      <c r="A2637" s="169">
        <v>42249</v>
      </c>
      <c r="B2637" s="169" t="s">
        <v>26088</v>
      </c>
      <c r="C2637" s="169" t="s">
        <v>10225</v>
      </c>
      <c r="D2637" s="169" t="s">
        <v>1289</v>
      </c>
      <c r="E2637" s="103" t="s">
        <v>30645</v>
      </c>
      <c r="F2637" s="104"/>
      <c r="G2637" s="105">
        <f t="shared" si="164"/>
        <v>1374.52</v>
      </c>
      <c r="H2637" s="101" t="str">
        <f t="shared" si="165"/>
        <v>Sinapi 42249</v>
      </c>
      <c r="I2637" s="101" t="str">
        <f t="shared" si="166"/>
        <v>UN</v>
      </c>
      <c r="J2637" s="140" t="str">
        <f t="shared" si="167"/>
        <v>LUMINARIA DE LED PARA ILUMINACAO PUBLICA, DE 240 W ATE 350 W, INVOLUCRO EM ALUMINIO OU ACO INOX</v>
      </c>
    </row>
    <row r="2638" spans="1:10" x14ac:dyDescent="0.25">
      <c r="A2638" s="169">
        <v>42244</v>
      </c>
      <c r="B2638" s="169" t="s">
        <v>26089</v>
      </c>
      <c r="C2638" s="169" t="s">
        <v>10225</v>
      </c>
      <c r="D2638" s="169" t="s">
        <v>1289</v>
      </c>
      <c r="E2638" s="103" t="s">
        <v>30646</v>
      </c>
      <c r="F2638" s="104"/>
      <c r="G2638" s="105">
        <f t="shared" si="164"/>
        <v>214.66</v>
      </c>
      <c r="H2638" s="101" t="str">
        <f t="shared" si="165"/>
        <v>Sinapi 42244</v>
      </c>
      <c r="I2638" s="101" t="str">
        <f t="shared" si="166"/>
        <v>UN</v>
      </c>
      <c r="J2638" s="140" t="str">
        <f t="shared" si="167"/>
        <v>LUMINARIA DE LED PARA ILUMINACAO PUBLICA, DE 33 W ATE 50 W, INVOLUCRO EM ALUMINIO OU ACO INOX</v>
      </c>
    </row>
    <row r="2639" spans="1:10" x14ac:dyDescent="0.25">
      <c r="A2639" s="169">
        <v>42245</v>
      </c>
      <c r="B2639" s="169" t="s">
        <v>26090</v>
      </c>
      <c r="C2639" s="169" t="s">
        <v>10225</v>
      </c>
      <c r="D2639" s="169" t="s">
        <v>1289</v>
      </c>
      <c r="E2639" s="103" t="s">
        <v>30647</v>
      </c>
      <c r="F2639" s="104"/>
      <c r="G2639" s="105">
        <f t="shared" si="164"/>
        <v>396.11</v>
      </c>
      <c r="H2639" s="101" t="str">
        <f t="shared" si="165"/>
        <v>Sinapi 42245</v>
      </c>
      <c r="I2639" s="101" t="str">
        <f t="shared" si="166"/>
        <v>UN</v>
      </c>
      <c r="J2639" s="140" t="str">
        <f t="shared" si="167"/>
        <v>LUMINARIA DE LED PARA ILUMINACAO PUBLICA, DE 51 W ATE 67 W, INVOLUCRO EM ALUMINIO OU ACO INOX</v>
      </c>
    </row>
    <row r="2640" spans="1:10" x14ac:dyDescent="0.25">
      <c r="A2640" s="169">
        <v>42246</v>
      </c>
      <c r="B2640" s="169" t="s">
        <v>26091</v>
      </c>
      <c r="C2640" s="169" t="s">
        <v>10225</v>
      </c>
      <c r="D2640" s="169" t="s">
        <v>1289</v>
      </c>
      <c r="E2640" s="103" t="s">
        <v>30648</v>
      </c>
      <c r="F2640" s="104"/>
      <c r="G2640" s="105">
        <f t="shared" si="164"/>
        <v>438.48</v>
      </c>
      <c r="H2640" s="101" t="str">
        <f t="shared" si="165"/>
        <v>Sinapi 42246</v>
      </c>
      <c r="I2640" s="101" t="str">
        <f t="shared" si="166"/>
        <v>UN</v>
      </c>
      <c r="J2640" s="140" t="str">
        <f t="shared" si="167"/>
        <v>LUMINARIA DE LED PARA ILUMINACAO PUBLICA, DE 68 W ATE 97 W, INVOLUCRO EM ALUMINIO OU ACO INOX</v>
      </c>
    </row>
    <row r="2641" spans="1:10" x14ac:dyDescent="0.25">
      <c r="A2641" s="169">
        <v>42243</v>
      </c>
      <c r="B2641" s="169" t="s">
        <v>26092</v>
      </c>
      <c r="C2641" s="169" t="s">
        <v>10225</v>
      </c>
      <c r="D2641" s="169" t="s">
        <v>1289</v>
      </c>
      <c r="E2641" s="103" t="s">
        <v>30649</v>
      </c>
      <c r="F2641" s="104"/>
      <c r="G2641" s="105">
        <f t="shared" si="164"/>
        <v>528.72</v>
      </c>
      <c r="H2641" s="101" t="str">
        <f t="shared" si="165"/>
        <v>Sinapi 42243</v>
      </c>
      <c r="I2641" s="101" t="str">
        <f t="shared" si="166"/>
        <v>UN</v>
      </c>
      <c r="J2641" s="140" t="str">
        <f t="shared" si="167"/>
        <v>LUMINARIA DE LED PARA ILUMINACAO PUBLICA, DE 98 W ATE 137 W, INVOLUCRO EM ALUMINIO OU ACO INOX</v>
      </c>
    </row>
    <row r="2642" spans="1:10" x14ac:dyDescent="0.25">
      <c r="A2642" s="169">
        <v>38889</v>
      </c>
      <c r="B2642" s="169" t="s">
        <v>26093</v>
      </c>
      <c r="C2642" s="169" t="s">
        <v>10225</v>
      </c>
      <c r="D2642" s="169" t="s">
        <v>1290</v>
      </c>
      <c r="E2642" s="103" t="s">
        <v>26094</v>
      </c>
      <c r="F2642" s="104"/>
      <c r="G2642" s="105">
        <f t="shared" si="164"/>
        <v>52.66</v>
      </c>
      <c r="H2642" s="101" t="str">
        <f t="shared" si="165"/>
        <v>Sinapi 38889</v>
      </c>
      <c r="I2642" s="101" t="str">
        <f t="shared" si="166"/>
        <v>UN</v>
      </c>
      <c r="J2642" s="140" t="str">
        <f t="shared" si="167"/>
        <v>LUMINARIA DE SOBREPOR EM CHAPA DE ACO COM ALETAS PLASTICAS, PARA 1 LAMPADA, BASE E27, POTENCIA MAXIMA 40/60 W (NAO INCLUI LAMPADA)</v>
      </c>
    </row>
    <row r="2643" spans="1:10" x14ac:dyDescent="0.25">
      <c r="A2643" s="169">
        <v>38784</v>
      </c>
      <c r="B2643" s="169" t="s">
        <v>26095</v>
      </c>
      <c r="C2643" s="169" t="s">
        <v>10225</v>
      </c>
      <c r="D2643" s="169" t="s">
        <v>1290</v>
      </c>
      <c r="E2643" s="103" t="s">
        <v>22894</v>
      </c>
      <c r="F2643" s="104"/>
      <c r="G2643" s="105">
        <f t="shared" si="164"/>
        <v>70.45</v>
      </c>
      <c r="H2643" s="101" t="str">
        <f t="shared" si="165"/>
        <v>Sinapi 38784</v>
      </c>
      <c r="I2643" s="101" t="str">
        <f t="shared" si="166"/>
        <v>UN</v>
      </c>
      <c r="J2643" s="140" t="str">
        <f t="shared" si="167"/>
        <v>LUMINARIA DE SOBREPOR EM CHAPA DE ACO COM ALETAS PLASTICAS, PARA 2 LAMPADAS, BASE E27, POTENCIA MAXIMA 40/60 W (NAO INCLUI LAMPADAS)</v>
      </c>
    </row>
    <row r="2644" spans="1:10" x14ac:dyDescent="0.25">
      <c r="A2644" s="169">
        <v>3788</v>
      </c>
      <c r="B2644" s="169" t="s">
        <v>26096</v>
      </c>
      <c r="C2644" s="169" t="s">
        <v>10225</v>
      </c>
      <c r="D2644" s="169" t="s">
        <v>1290</v>
      </c>
      <c r="E2644" s="103" t="s">
        <v>21911</v>
      </c>
      <c r="F2644" s="104"/>
      <c r="G2644" s="105">
        <f t="shared" si="164"/>
        <v>73.42</v>
      </c>
      <c r="H2644" s="101" t="str">
        <f t="shared" si="165"/>
        <v>Sinapi 3788</v>
      </c>
      <c r="I2644" s="101" t="str">
        <f t="shared" si="166"/>
        <v>UN</v>
      </c>
      <c r="J2644" s="140" t="str">
        <f t="shared" si="167"/>
        <v>LUMINARIA DE SOBREPOR EM CHAPA DE ACO PARA 1 LAMPADA FLUORESCENTE DE *18* W, ALETADA, COMPLETA (LAMPADA E REATOR INCLUSOS)</v>
      </c>
    </row>
    <row r="2645" spans="1:10" x14ac:dyDescent="0.25">
      <c r="A2645" s="169">
        <v>12230</v>
      </c>
      <c r="B2645" s="169" t="s">
        <v>26097</v>
      </c>
      <c r="C2645" s="169" t="s">
        <v>10225</v>
      </c>
      <c r="D2645" s="169" t="s">
        <v>1290</v>
      </c>
      <c r="E2645" s="103" t="s">
        <v>19407</v>
      </c>
      <c r="F2645" s="104"/>
      <c r="G2645" s="105">
        <f t="shared" si="164"/>
        <v>18.88</v>
      </c>
      <c r="H2645" s="101" t="str">
        <f t="shared" si="165"/>
        <v>Sinapi 12230</v>
      </c>
      <c r="I2645" s="101" t="str">
        <f t="shared" si="166"/>
        <v>UN</v>
      </c>
      <c r="J2645" s="140" t="str">
        <f t="shared" si="167"/>
        <v>LUMINARIA DE SOBREPOR EM CHAPA DE ACO PARA 1 LAMPADA FLUORESCENTE DE *18* W, PERFIL COMERCIAL (NAO INCLUI REATOR E LAMPADA)</v>
      </c>
    </row>
    <row r="2646" spans="1:10" x14ac:dyDescent="0.25">
      <c r="A2646" s="169">
        <v>3780</v>
      </c>
      <c r="B2646" s="169" t="s">
        <v>26098</v>
      </c>
      <c r="C2646" s="169" t="s">
        <v>10225</v>
      </c>
      <c r="D2646" s="169" t="s">
        <v>1290</v>
      </c>
      <c r="E2646" s="103" t="s">
        <v>26099</v>
      </c>
      <c r="F2646" s="104"/>
      <c r="G2646" s="105">
        <f t="shared" si="164"/>
        <v>108.33</v>
      </c>
      <c r="H2646" s="101" t="str">
        <f t="shared" si="165"/>
        <v>Sinapi 3780</v>
      </c>
      <c r="I2646" s="101" t="str">
        <f t="shared" si="166"/>
        <v>UN</v>
      </c>
      <c r="J2646" s="140" t="str">
        <f t="shared" si="167"/>
        <v>LUMINARIA DE SOBREPOR EM CHAPA DE ACO PARA 1 LAMPADA FLUORESCENTE DE *36* W, ALETADA, COMPLETA (LAMPADA E REATOR INCLUSOS)</v>
      </c>
    </row>
    <row r="2647" spans="1:10" x14ac:dyDescent="0.25">
      <c r="A2647" s="169">
        <v>12231</v>
      </c>
      <c r="B2647" s="169" t="s">
        <v>26100</v>
      </c>
      <c r="C2647" s="169" t="s">
        <v>10225</v>
      </c>
      <c r="D2647" s="169" t="s">
        <v>1290</v>
      </c>
      <c r="E2647" s="103" t="s">
        <v>23797</v>
      </c>
      <c r="F2647" s="104"/>
      <c r="G2647" s="105">
        <f t="shared" si="164"/>
        <v>31.41</v>
      </c>
      <c r="H2647" s="101" t="str">
        <f t="shared" si="165"/>
        <v>Sinapi 12231</v>
      </c>
      <c r="I2647" s="101" t="str">
        <f t="shared" si="166"/>
        <v>UN</v>
      </c>
      <c r="J2647" s="140" t="str">
        <f t="shared" si="167"/>
        <v>LUMINARIA DE SOBREPOR EM CHAPA DE ACO PARA 1 LAMPADA FLUORESCENTE DE *36* W, PERFIL COMERCIAL (NAO INCLUI REATOR E LAMPADA)</v>
      </c>
    </row>
    <row r="2648" spans="1:10" x14ac:dyDescent="0.25">
      <c r="A2648" s="169">
        <v>3811</v>
      </c>
      <c r="B2648" s="169" t="s">
        <v>26101</v>
      </c>
      <c r="C2648" s="169" t="s">
        <v>10225</v>
      </c>
      <c r="D2648" s="169" t="s">
        <v>1290</v>
      </c>
      <c r="E2648" s="103" t="s">
        <v>22891</v>
      </c>
      <c r="F2648" s="104"/>
      <c r="G2648" s="105">
        <f t="shared" si="164"/>
        <v>101.75</v>
      </c>
      <c r="H2648" s="101" t="str">
        <f t="shared" si="165"/>
        <v>Sinapi 3811</v>
      </c>
      <c r="I2648" s="101" t="str">
        <f t="shared" si="166"/>
        <v>UN</v>
      </c>
      <c r="J2648" s="140" t="str">
        <f t="shared" si="167"/>
        <v>LUMINARIA DE SOBREPOR EM CHAPA DE ACO PARA 2 LAMPADAS FLUORESCENTES DE *18* W, ALETADA, COMPLETA (LAMPADAS E REATOR INCLUSOS)</v>
      </c>
    </row>
    <row r="2649" spans="1:10" x14ac:dyDescent="0.25">
      <c r="A2649" s="169">
        <v>12232</v>
      </c>
      <c r="B2649" s="169" t="s">
        <v>26102</v>
      </c>
      <c r="C2649" s="169" t="s">
        <v>10225</v>
      </c>
      <c r="D2649" s="169" t="s">
        <v>1290</v>
      </c>
      <c r="E2649" s="103" t="s">
        <v>23079</v>
      </c>
      <c r="F2649" s="104"/>
      <c r="G2649" s="105">
        <f t="shared" si="164"/>
        <v>32.9</v>
      </c>
      <c r="H2649" s="101" t="str">
        <f t="shared" si="165"/>
        <v>Sinapi 12232</v>
      </c>
      <c r="I2649" s="101" t="str">
        <f t="shared" si="166"/>
        <v>UN</v>
      </c>
      <c r="J2649" s="140" t="str">
        <f t="shared" si="167"/>
        <v>LUMINARIA DE SOBREPOR EM CHAPA DE ACO PARA 2 LAMPADAS FLUORESCENTES DE *18* W, PERFIL COMERCIAL (NAO INCLUI REATOR E LAMPADAS)</v>
      </c>
    </row>
    <row r="2650" spans="1:10" x14ac:dyDescent="0.25">
      <c r="A2650" s="169">
        <v>3799</v>
      </c>
      <c r="B2650" s="169" t="s">
        <v>26103</v>
      </c>
      <c r="C2650" s="169" t="s">
        <v>10225</v>
      </c>
      <c r="D2650" s="169" t="s">
        <v>1290</v>
      </c>
      <c r="E2650" s="103" t="s">
        <v>26104</v>
      </c>
      <c r="F2650" s="104"/>
      <c r="G2650" s="105">
        <f t="shared" si="164"/>
        <v>143.91</v>
      </c>
      <c r="H2650" s="101" t="str">
        <f t="shared" si="165"/>
        <v>Sinapi 3799</v>
      </c>
      <c r="I2650" s="101" t="str">
        <f t="shared" si="166"/>
        <v>UN</v>
      </c>
      <c r="J2650" s="140" t="str">
        <f t="shared" si="167"/>
        <v>LUMINARIA DE SOBREPOR EM CHAPA DE ACO PARA 2 LAMPADAS FLUORESCENTES DE *36* W, ALETADA, COMPLETA (LAMPADAS E REATOR INCLUSOS)</v>
      </c>
    </row>
    <row r="2651" spans="1:10" x14ac:dyDescent="0.25">
      <c r="A2651" s="169">
        <v>12239</v>
      </c>
      <c r="B2651" s="169" t="s">
        <v>26105</v>
      </c>
      <c r="C2651" s="169" t="s">
        <v>10225</v>
      </c>
      <c r="D2651" s="169" t="s">
        <v>1290</v>
      </c>
      <c r="E2651" s="103" t="s">
        <v>23311</v>
      </c>
      <c r="F2651" s="104"/>
      <c r="G2651" s="105">
        <f t="shared" si="164"/>
        <v>43.08</v>
      </c>
      <c r="H2651" s="101" t="str">
        <f t="shared" si="165"/>
        <v>Sinapi 12239</v>
      </c>
      <c r="I2651" s="101" t="str">
        <f t="shared" si="166"/>
        <v>UN</v>
      </c>
      <c r="J2651" s="140" t="str">
        <f t="shared" si="167"/>
        <v>LUMINARIA DE SOBREPOR EM CHAPA DE ACO PARA 2 LAMPADAS FLUORESCENTES DE *36* W, PERFIL COMERCIAL (NAO INCLUI REATOR E LAMPADAS)</v>
      </c>
    </row>
    <row r="2652" spans="1:10" x14ac:dyDescent="0.25">
      <c r="A2652" s="169">
        <v>38773</v>
      </c>
      <c r="B2652" s="169" t="s">
        <v>26106</v>
      </c>
      <c r="C2652" s="169" t="s">
        <v>10225</v>
      </c>
      <c r="D2652" s="169" t="s">
        <v>1290</v>
      </c>
      <c r="E2652" s="103" t="s">
        <v>17904</v>
      </c>
      <c r="F2652" s="104"/>
      <c r="G2652" s="105">
        <f t="shared" si="164"/>
        <v>6.91</v>
      </c>
      <c r="H2652" s="101" t="str">
        <f t="shared" si="165"/>
        <v>Sinapi 38773</v>
      </c>
      <c r="I2652" s="101" t="str">
        <f t="shared" si="166"/>
        <v>UN</v>
      </c>
      <c r="J2652" s="140" t="str">
        <f t="shared" si="167"/>
        <v>LUMINARIA DE TETO PLAFON/PLAFONIER EM PLASTICO COM BASE E27, POTENCIA MAXIMA 60 W (NAO INCLUI LAMPADA)</v>
      </c>
    </row>
    <row r="2653" spans="1:10" x14ac:dyDescent="0.25">
      <c r="A2653" s="169">
        <v>12271</v>
      </c>
      <c r="B2653" s="169" t="s">
        <v>26107</v>
      </c>
      <c r="C2653" s="169" t="s">
        <v>10225</v>
      </c>
      <c r="D2653" s="169" t="s">
        <v>1290</v>
      </c>
      <c r="E2653" s="103" t="s">
        <v>26108</v>
      </c>
      <c r="F2653" s="104"/>
      <c r="G2653" s="105">
        <f t="shared" si="164"/>
        <v>385.31</v>
      </c>
      <c r="H2653" s="101" t="str">
        <f t="shared" si="165"/>
        <v>Sinapi 12271</v>
      </c>
      <c r="I2653" s="101" t="str">
        <f t="shared" si="166"/>
        <v>UN</v>
      </c>
      <c r="J2653" s="140" t="str">
        <f t="shared" si="167"/>
        <v>LUMINARIA DUPLA P/SINALIZACAO, TIPO WETZEL AS-2/110 OU EQUIV</v>
      </c>
    </row>
    <row r="2654" spans="1:10" x14ac:dyDescent="0.25">
      <c r="A2654" s="169">
        <v>13382</v>
      </c>
      <c r="B2654" s="169" t="s">
        <v>26109</v>
      </c>
      <c r="C2654" s="169" t="s">
        <v>10225</v>
      </c>
      <c r="D2654" s="169" t="s">
        <v>1290</v>
      </c>
      <c r="E2654" s="103" t="s">
        <v>26110</v>
      </c>
      <c r="F2654" s="104"/>
      <c r="G2654" s="105">
        <f t="shared" si="164"/>
        <v>410.58</v>
      </c>
      <c r="H2654" s="101" t="str">
        <f t="shared" si="165"/>
        <v>Sinapi 13382</v>
      </c>
      <c r="I2654" s="101" t="str">
        <f t="shared" si="166"/>
        <v>UN</v>
      </c>
      <c r="J2654" s="140" t="str">
        <f t="shared" si="167"/>
        <v>LUMINARIA FECHADA P/ ILUMINACAO PUBLICA, TIPO ABL 50/F OU EQUIV, P/ LAMPADA A VAPOR DE MERCURIO 400W</v>
      </c>
    </row>
    <row r="2655" spans="1:10" x14ac:dyDescent="0.25">
      <c r="A2655" s="169">
        <v>38785</v>
      </c>
      <c r="B2655" s="169" t="s">
        <v>26111</v>
      </c>
      <c r="C2655" s="169" t="s">
        <v>10225</v>
      </c>
      <c r="D2655" s="169" t="s">
        <v>1290</v>
      </c>
      <c r="E2655" s="103" t="s">
        <v>26112</v>
      </c>
      <c r="F2655" s="104"/>
      <c r="G2655" s="105">
        <f t="shared" si="164"/>
        <v>182.42</v>
      </c>
      <c r="H2655" s="101" t="str">
        <f t="shared" si="165"/>
        <v>Sinapi 38785</v>
      </c>
      <c r="I2655" s="101" t="str">
        <f t="shared" si="166"/>
        <v>UN</v>
      </c>
      <c r="J2655" s="140" t="str">
        <f t="shared" si="167"/>
        <v>LUMINARIA HERMETICA IP-65 PARA 2 DUAS LAMPADAS DE 14/16/18/20 W (NAO INCLUI REATOR E LAMPADAS)</v>
      </c>
    </row>
    <row r="2656" spans="1:10" x14ac:dyDescent="0.25">
      <c r="A2656" s="169">
        <v>38786</v>
      </c>
      <c r="B2656" s="169" t="s">
        <v>26113</v>
      </c>
      <c r="C2656" s="169" t="s">
        <v>10225</v>
      </c>
      <c r="D2656" s="169" t="s">
        <v>1290</v>
      </c>
      <c r="E2656" s="103" t="s">
        <v>26114</v>
      </c>
      <c r="F2656" s="104"/>
      <c r="G2656" s="105">
        <f t="shared" si="164"/>
        <v>224.7</v>
      </c>
      <c r="H2656" s="101" t="str">
        <f t="shared" si="165"/>
        <v>Sinapi 38786</v>
      </c>
      <c r="I2656" s="101" t="str">
        <f t="shared" si="166"/>
        <v>UN</v>
      </c>
      <c r="J2656" s="140" t="str">
        <f t="shared" si="167"/>
        <v>LUMINARIA HERMETICA IP-65 PARA 2 DUAS LAMPADAS DE 28/32/36/40 W (NAO INCLUI REATOR E LAMPADAS)</v>
      </c>
    </row>
    <row r="2657" spans="1:10" x14ac:dyDescent="0.25">
      <c r="A2657" s="169">
        <v>39385</v>
      </c>
      <c r="B2657" s="169" t="s">
        <v>26115</v>
      </c>
      <c r="C2657" s="169" t="s">
        <v>10225</v>
      </c>
      <c r="D2657" s="169" t="s">
        <v>1289</v>
      </c>
      <c r="E2657" s="103" t="s">
        <v>17349</v>
      </c>
      <c r="F2657" s="104"/>
      <c r="G2657" s="105">
        <f t="shared" si="164"/>
        <v>19.14</v>
      </c>
      <c r="H2657" s="101" t="str">
        <f t="shared" si="165"/>
        <v>Sinapi 39385</v>
      </c>
      <c r="I2657" s="101" t="str">
        <f t="shared" si="166"/>
        <v>UN</v>
      </c>
      <c r="J2657" s="140" t="str">
        <f t="shared" si="167"/>
        <v>LUMINARIA LED PLAFON REDONDO DE SOBREPOR BIVOLT 12/13 W, D = *17* CM</v>
      </c>
    </row>
    <row r="2658" spans="1:10" x14ac:dyDescent="0.25">
      <c r="A2658" s="169">
        <v>39389</v>
      </c>
      <c r="B2658" s="169" t="s">
        <v>26116</v>
      </c>
      <c r="C2658" s="169" t="s">
        <v>10225</v>
      </c>
      <c r="D2658" s="169" t="s">
        <v>1289</v>
      </c>
      <c r="E2658" s="103" t="s">
        <v>30650</v>
      </c>
      <c r="F2658" s="104"/>
      <c r="G2658" s="105">
        <f t="shared" si="164"/>
        <v>20.77</v>
      </c>
      <c r="H2658" s="101" t="str">
        <f t="shared" si="165"/>
        <v>Sinapi 39389</v>
      </c>
      <c r="I2658" s="101" t="str">
        <f t="shared" si="166"/>
        <v>UN</v>
      </c>
      <c r="J2658" s="140" t="str">
        <f t="shared" si="167"/>
        <v>LUMINARIA LED REFLETOR RETANGULAR BIVOLT, LUZ BRANCA, 10 W</v>
      </c>
    </row>
    <row r="2659" spans="1:10" x14ac:dyDescent="0.25">
      <c r="A2659" s="169">
        <v>39390</v>
      </c>
      <c r="B2659" s="169" t="s">
        <v>26117</v>
      </c>
      <c r="C2659" s="169" t="s">
        <v>10225</v>
      </c>
      <c r="D2659" s="169" t="s">
        <v>1289</v>
      </c>
      <c r="E2659" s="103" t="s">
        <v>30651</v>
      </c>
      <c r="F2659" s="104"/>
      <c r="G2659" s="105">
        <f t="shared" si="164"/>
        <v>43.53</v>
      </c>
      <c r="H2659" s="101" t="str">
        <f t="shared" si="165"/>
        <v>Sinapi 39390</v>
      </c>
      <c r="I2659" s="101" t="str">
        <f t="shared" si="166"/>
        <v>UN</v>
      </c>
      <c r="J2659" s="140" t="str">
        <f t="shared" si="167"/>
        <v>LUMINARIA LED REFLETOR RETANGULAR BIVOLT, LUZ BRANCA, 30 W</v>
      </c>
    </row>
    <row r="2660" spans="1:10" x14ac:dyDescent="0.25">
      <c r="A2660" s="169">
        <v>39391</v>
      </c>
      <c r="B2660" s="169" t="s">
        <v>26119</v>
      </c>
      <c r="C2660" s="169" t="s">
        <v>10225</v>
      </c>
      <c r="D2660" s="169" t="s">
        <v>1289</v>
      </c>
      <c r="E2660" s="103" t="s">
        <v>29252</v>
      </c>
      <c r="F2660" s="104"/>
      <c r="G2660" s="105">
        <f t="shared" si="164"/>
        <v>48.87</v>
      </c>
      <c r="H2660" s="101" t="str">
        <f t="shared" si="165"/>
        <v>Sinapi 39391</v>
      </c>
      <c r="I2660" s="101" t="str">
        <f t="shared" si="166"/>
        <v>UN</v>
      </c>
      <c r="J2660" s="140" t="str">
        <f t="shared" si="167"/>
        <v>LUMINARIA LED REFLETOR RETANGULAR BIVOLT, LUZ BRANCA, 50 W</v>
      </c>
    </row>
    <row r="2661" spans="1:10" x14ac:dyDescent="0.25">
      <c r="A2661" s="169">
        <v>3803</v>
      </c>
      <c r="B2661" s="169" t="s">
        <v>26121</v>
      </c>
      <c r="C2661" s="169" t="s">
        <v>10225</v>
      </c>
      <c r="D2661" s="169" t="s">
        <v>1290</v>
      </c>
      <c r="E2661" s="103" t="s">
        <v>26122</v>
      </c>
      <c r="F2661" s="104"/>
      <c r="G2661" s="105">
        <f t="shared" si="164"/>
        <v>65.150000000000006</v>
      </c>
      <c r="H2661" s="101" t="str">
        <f t="shared" si="165"/>
        <v>Sinapi 3803</v>
      </c>
      <c r="I2661" s="101" t="str">
        <f t="shared" si="166"/>
        <v>UN</v>
      </c>
      <c r="J2661" s="140" t="str">
        <f t="shared" si="167"/>
        <v>LUMINARIA PLAFON REDONDO COM VIDRO FOSCO DIAMETRO *25* CM, PARA 1 LAMPADA, BASE E27, POTENCIA MAXIMA 40/60 W (NAO INCLUI LAMPADA)</v>
      </c>
    </row>
    <row r="2662" spans="1:10" x14ac:dyDescent="0.25">
      <c r="A2662" s="169">
        <v>38770</v>
      </c>
      <c r="B2662" s="169" t="s">
        <v>10272</v>
      </c>
      <c r="C2662" s="169" t="s">
        <v>10225</v>
      </c>
      <c r="D2662" s="169" t="s">
        <v>1290</v>
      </c>
      <c r="E2662" s="103" t="s">
        <v>26123</v>
      </c>
      <c r="F2662" s="104"/>
      <c r="G2662" s="105">
        <f t="shared" si="164"/>
        <v>75.44</v>
      </c>
      <c r="H2662" s="101" t="str">
        <f t="shared" si="165"/>
        <v>Sinapi 38770</v>
      </c>
      <c r="I2662" s="101" t="str">
        <f t="shared" si="166"/>
        <v>UN</v>
      </c>
      <c r="J2662" s="140" t="str">
        <f t="shared" si="167"/>
        <v>LUMINARIA PLAFON REDONDO COM VIDRO FOSCO DIAMETRO *30* CM, PARA 2 LAMPADAS, BASE E27, POTENCIA MAXIMA 40/60 W (NAO INCLUI LAMPADAS)</v>
      </c>
    </row>
    <row r="2663" spans="1:10" x14ac:dyDescent="0.25">
      <c r="A2663" s="169">
        <v>12267</v>
      </c>
      <c r="B2663" s="169" t="s">
        <v>26124</v>
      </c>
      <c r="C2663" s="169" t="s">
        <v>10225</v>
      </c>
      <c r="D2663" s="169" t="s">
        <v>1290</v>
      </c>
      <c r="E2663" s="103" t="s">
        <v>26125</v>
      </c>
      <c r="F2663" s="104"/>
      <c r="G2663" s="105">
        <f t="shared" si="164"/>
        <v>221.08</v>
      </c>
      <c r="H2663" s="101" t="str">
        <f t="shared" si="165"/>
        <v>Sinapi 12267</v>
      </c>
      <c r="I2663" s="101" t="str">
        <f t="shared" si="166"/>
        <v>UN</v>
      </c>
      <c r="J2663" s="140" t="str">
        <f t="shared" si="167"/>
        <v>LUMINARIA PROVA DE TEMPO PETERCO Y.31/1</v>
      </c>
    </row>
    <row r="2664" spans="1:10" x14ac:dyDescent="0.25">
      <c r="A2664" s="169">
        <v>43265</v>
      </c>
      <c r="B2664" s="169" t="s">
        <v>26126</v>
      </c>
      <c r="C2664" s="169" t="s">
        <v>10225</v>
      </c>
      <c r="D2664" s="169" t="s">
        <v>1289</v>
      </c>
      <c r="E2664" s="103" t="s">
        <v>20099</v>
      </c>
      <c r="F2664" s="104"/>
      <c r="G2664" s="105">
        <f t="shared" si="164"/>
        <v>59.85</v>
      </c>
      <c r="H2664" s="101" t="str">
        <f t="shared" si="165"/>
        <v>Sinapi 43265</v>
      </c>
      <c r="I2664" s="101" t="str">
        <f t="shared" si="166"/>
        <v>UN</v>
      </c>
      <c r="J2664" s="140" t="str">
        <f t="shared" si="167"/>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
    </row>
    <row r="2665" spans="1:10" x14ac:dyDescent="0.25">
      <c r="A2665" s="169">
        <v>12266</v>
      </c>
      <c r="B2665" s="169" t="s">
        <v>26127</v>
      </c>
      <c r="C2665" s="169" t="s">
        <v>10225</v>
      </c>
      <c r="D2665" s="169" t="s">
        <v>1290</v>
      </c>
      <c r="E2665" s="103" t="s">
        <v>26128</v>
      </c>
      <c r="F2665" s="104"/>
      <c r="G2665" s="105">
        <f t="shared" si="164"/>
        <v>113.15</v>
      </c>
      <c r="H2665" s="101" t="str">
        <f t="shared" si="165"/>
        <v>Sinapi 12266</v>
      </c>
      <c r="I2665" s="101" t="str">
        <f t="shared" si="166"/>
        <v>UN</v>
      </c>
      <c r="J2665" s="140" t="str">
        <f t="shared" si="167"/>
        <v>LUMINARIA SPOT DE SOBREPOR EM ALUMINIO COM ALETA PLASTICA PARA 1 LAMPADA, BASE E27, POTENCIA MAXIMA 40/60 W (NAO INCLUI LAMPADA)</v>
      </c>
    </row>
    <row r="2666" spans="1:10" x14ac:dyDescent="0.25">
      <c r="A2666" s="169">
        <v>39378</v>
      </c>
      <c r="B2666" s="169" t="s">
        <v>26129</v>
      </c>
      <c r="C2666" s="169" t="s">
        <v>10225</v>
      </c>
      <c r="D2666" s="169" t="s">
        <v>1290</v>
      </c>
      <c r="E2666" s="103" t="s">
        <v>26130</v>
      </c>
      <c r="F2666" s="104"/>
      <c r="G2666" s="105">
        <f t="shared" si="164"/>
        <v>80.22</v>
      </c>
      <c r="H2666" s="101" t="str">
        <f t="shared" si="165"/>
        <v>Sinapi 39378</v>
      </c>
      <c r="I2666" s="101" t="str">
        <f t="shared" si="166"/>
        <v>UN</v>
      </c>
      <c r="J2666" s="140" t="str">
        <f t="shared" si="167"/>
        <v>LUMINARIA SPOT DE SOBREPOR EM ALUMINIO COM ALETA PLASTICA PARA 2 LAMPADAS, BASE E27, POTENCIA MAXIMA 40/60 W (NAO INCLUI LAMPADA)</v>
      </c>
    </row>
    <row r="2667" spans="1:10" x14ac:dyDescent="0.25">
      <c r="A2667" s="169">
        <v>43543</v>
      </c>
      <c r="B2667" s="169" t="s">
        <v>26131</v>
      </c>
      <c r="C2667" s="169" t="s">
        <v>10225</v>
      </c>
      <c r="D2667" s="169" t="s">
        <v>1290</v>
      </c>
      <c r="E2667" s="103" t="s">
        <v>26132</v>
      </c>
      <c r="F2667" s="104"/>
      <c r="G2667" s="105">
        <f t="shared" si="164"/>
        <v>167.13</v>
      </c>
      <c r="H2667" s="101" t="str">
        <f t="shared" si="165"/>
        <v>Sinapi 43543</v>
      </c>
      <c r="I2667" s="101" t="str">
        <f t="shared" si="166"/>
        <v>UN</v>
      </c>
      <c r="J2667" s="140" t="str">
        <f t="shared" si="167"/>
        <v>LUMINARIA TIPO TARTARUGA A PROVA DE TEMPO, GASES, VAPOR E PO, EM ALUMINIO, COM GRADE, BASE E27, POTENCIA MAXIMA 100 W - REF Y 25/1 (NAO INCLUI LAMPADA)</v>
      </c>
    </row>
    <row r="2668" spans="1:10" x14ac:dyDescent="0.25">
      <c r="A2668" s="169">
        <v>38775</v>
      </c>
      <c r="B2668" s="169" t="s">
        <v>26133</v>
      </c>
      <c r="C2668" s="169" t="s">
        <v>10225</v>
      </c>
      <c r="D2668" s="169" t="s">
        <v>1290</v>
      </c>
      <c r="E2668" s="103" t="s">
        <v>23032</v>
      </c>
      <c r="F2668" s="104"/>
      <c r="G2668" s="105">
        <f t="shared" si="164"/>
        <v>85.05</v>
      </c>
      <c r="H2668" s="101" t="str">
        <f t="shared" si="165"/>
        <v>Sinapi 38775</v>
      </c>
      <c r="I2668" s="101" t="str">
        <f t="shared" si="166"/>
        <v>UN</v>
      </c>
      <c r="J2668" s="140" t="str">
        <f t="shared" si="167"/>
        <v>LUMINARIA TIPO TARTARUGA PARA AREA EXTERNA EM ALUMINIO, COM GRADE, PARA 1 LAMPADA, BASE E27, POTENCIA MAXIMA 40/60 W (NAO INCLUI LAMPADA)</v>
      </c>
    </row>
    <row r="2669" spans="1:10" x14ac:dyDescent="0.25">
      <c r="A2669" s="169">
        <v>44252</v>
      </c>
      <c r="B2669" s="169" t="s">
        <v>26134</v>
      </c>
      <c r="C2669" s="169" t="s">
        <v>10225</v>
      </c>
      <c r="D2669" s="169" t="s">
        <v>1289</v>
      </c>
      <c r="E2669" s="103" t="s">
        <v>30652</v>
      </c>
      <c r="F2669" s="104"/>
      <c r="G2669" s="105">
        <f t="shared" si="164"/>
        <v>218.45</v>
      </c>
      <c r="H2669" s="101" t="str">
        <f t="shared" si="165"/>
        <v>Sinapi 44252</v>
      </c>
      <c r="I2669" s="101" t="str">
        <f t="shared" si="166"/>
        <v>UN</v>
      </c>
      <c r="J2669" s="140" t="str">
        <f t="shared" si="167"/>
        <v>LUVA CPVC, SOLDAVEL, 114 MM, PARA AGUA QUENTE PREDIAL</v>
      </c>
    </row>
    <row r="2670" spans="1:10" x14ac:dyDescent="0.25">
      <c r="A2670" s="169">
        <v>21119</v>
      </c>
      <c r="B2670" s="169" t="s">
        <v>26135</v>
      </c>
      <c r="C2670" s="169" t="s">
        <v>10225</v>
      </c>
      <c r="D2670" s="169" t="s">
        <v>1289</v>
      </c>
      <c r="E2670" s="103" t="s">
        <v>21001</v>
      </c>
      <c r="F2670" s="104"/>
      <c r="G2670" s="105">
        <f t="shared" si="164"/>
        <v>2.19</v>
      </c>
      <c r="H2670" s="101" t="str">
        <f t="shared" si="165"/>
        <v>Sinapi 21119</v>
      </c>
      <c r="I2670" s="101" t="str">
        <f t="shared" si="166"/>
        <v>UN</v>
      </c>
      <c r="J2670" s="140" t="str">
        <f t="shared" si="167"/>
        <v>LUVA CPVC, SOLDAVEL, 15 MM, PARA AGUA QUENTE PREDIAL</v>
      </c>
    </row>
    <row r="2671" spans="1:10" x14ac:dyDescent="0.25">
      <c r="A2671" s="169">
        <v>37974</v>
      </c>
      <c r="B2671" s="169" t="s">
        <v>26136</v>
      </c>
      <c r="C2671" s="169" t="s">
        <v>10225</v>
      </c>
      <c r="D2671" s="169" t="s">
        <v>1289</v>
      </c>
      <c r="E2671" s="103" t="s">
        <v>10252</v>
      </c>
      <c r="F2671" s="104"/>
      <c r="G2671" s="105">
        <f t="shared" si="164"/>
        <v>2.83</v>
      </c>
      <c r="H2671" s="101" t="str">
        <f t="shared" si="165"/>
        <v>Sinapi 37974</v>
      </c>
      <c r="I2671" s="101" t="str">
        <f t="shared" si="166"/>
        <v>UN</v>
      </c>
      <c r="J2671" s="140" t="str">
        <f t="shared" si="167"/>
        <v>LUVA CPVC, SOLDAVEL, 22 MM, PARA AGUA QUENTE PREDIAL</v>
      </c>
    </row>
    <row r="2672" spans="1:10" x14ac:dyDescent="0.25">
      <c r="A2672" s="169">
        <v>37975</v>
      </c>
      <c r="B2672" s="169" t="s">
        <v>26137</v>
      </c>
      <c r="C2672" s="169" t="s">
        <v>10225</v>
      </c>
      <c r="D2672" s="169" t="s">
        <v>1289</v>
      </c>
      <c r="E2672" s="103" t="s">
        <v>17713</v>
      </c>
      <c r="F2672" s="104"/>
      <c r="G2672" s="105">
        <f t="shared" si="164"/>
        <v>6.31</v>
      </c>
      <c r="H2672" s="101" t="str">
        <f t="shared" si="165"/>
        <v>Sinapi 37975</v>
      </c>
      <c r="I2672" s="101" t="str">
        <f t="shared" si="166"/>
        <v>UN</v>
      </c>
      <c r="J2672" s="140" t="str">
        <f t="shared" si="167"/>
        <v>LUVA CPVC, SOLDAVEL, 28 MM, PARA AGUA QUENTE PREDIAL</v>
      </c>
    </row>
    <row r="2673" spans="1:10" x14ac:dyDescent="0.25">
      <c r="A2673" s="169">
        <v>37976</v>
      </c>
      <c r="B2673" s="169" t="s">
        <v>26138</v>
      </c>
      <c r="C2673" s="169" t="s">
        <v>10225</v>
      </c>
      <c r="D2673" s="169" t="s">
        <v>1289</v>
      </c>
      <c r="E2673" s="103" t="s">
        <v>11117</v>
      </c>
      <c r="F2673" s="104"/>
      <c r="G2673" s="105">
        <f t="shared" si="164"/>
        <v>14.05</v>
      </c>
      <c r="H2673" s="101" t="str">
        <f t="shared" si="165"/>
        <v>Sinapi 37976</v>
      </c>
      <c r="I2673" s="101" t="str">
        <f t="shared" si="166"/>
        <v>UN</v>
      </c>
      <c r="J2673" s="140" t="str">
        <f t="shared" si="167"/>
        <v>LUVA CPVC, SOLDAVEL, 35 MM, PARA AGUA QUENTE PREDIAL</v>
      </c>
    </row>
    <row r="2674" spans="1:10" x14ac:dyDescent="0.25">
      <c r="A2674" s="169">
        <v>37977</v>
      </c>
      <c r="B2674" s="169" t="s">
        <v>26139</v>
      </c>
      <c r="C2674" s="169" t="s">
        <v>10225</v>
      </c>
      <c r="D2674" s="169" t="s">
        <v>1289</v>
      </c>
      <c r="E2674" s="103" t="s">
        <v>17917</v>
      </c>
      <c r="F2674" s="104"/>
      <c r="G2674" s="105">
        <f t="shared" si="164"/>
        <v>19.43</v>
      </c>
      <c r="H2674" s="101" t="str">
        <f t="shared" si="165"/>
        <v>Sinapi 37977</v>
      </c>
      <c r="I2674" s="101" t="str">
        <f t="shared" si="166"/>
        <v>UN</v>
      </c>
      <c r="J2674" s="140" t="str">
        <f t="shared" si="167"/>
        <v>LUVA CPVC, SOLDAVEL, 42 MM, PARA AGUA QUENTE PREDIAL</v>
      </c>
    </row>
    <row r="2675" spans="1:10" x14ac:dyDescent="0.25">
      <c r="A2675" s="169">
        <v>37978</v>
      </c>
      <c r="B2675" s="169" t="s">
        <v>26140</v>
      </c>
      <c r="C2675" s="169" t="s">
        <v>10225</v>
      </c>
      <c r="D2675" s="169" t="s">
        <v>1289</v>
      </c>
      <c r="E2675" s="103" t="s">
        <v>30653</v>
      </c>
      <c r="F2675" s="104"/>
      <c r="G2675" s="105">
        <f t="shared" si="164"/>
        <v>38.54</v>
      </c>
      <c r="H2675" s="101" t="str">
        <f t="shared" si="165"/>
        <v>Sinapi 37978</v>
      </c>
      <c r="I2675" s="101" t="str">
        <f t="shared" si="166"/>
        <v>UN</v>
      </c>
      <c r="J2675" s="140" t="str">
        <f t="shared" si="167"/>
        <v>LUVA CPVC, SOLDAVEL, 54 MM, PARA AGUA QUENTE PREDIAL</v>
      </c>
    </row>
    <row r="2676" spans="1:10" x14ac:dyDescent="0.25">
      <c r="A2676" s="169">
        <v>37979</v>
      </c>
      <c r="B2676" s="169" t="s">
        <v>26141</v>
      </c>
      <c r="C2676" s="169" t="s">
        <v>10225</v>
      </c>
      <c r="D2676" s="169" t="s">
        <v>1289</v>
      </c>
      <c r="E2676" s="103" t="s">
        <v>30654</v>
      </c>
      <c r="F2676" s="104"/>
      <c r="G2676" s="105">
        <f t="shared" si="164"/>
        <v>163.54</v>
      </c>
      <c r="H2676" s="101" t="str">
        <f t="shared" si="165"/>
        <v>Sinapi 37979</v>
      </c>
      <c r="I2676" s="101" t="str">
        <f t="shared" si="166"/>
        <v>UN</v>
      </c>
      <c r="J2676" s="140" t="str">
        <f t="shared" si="167"/>
        <v>LUVA CPVC, SOLDAVEL, 73 MM, PARA AGUA QUENTE PREDIAL</v>
      </c>
    </row>
    <row r="2677" spans="1:10" x14ac:dyDescent="0.25">
      <c r="A2677" s="169">
        <v>37980</v>
      </c>
      <c r="B2677" s="169" t="s">
        <v>26142</v>
      </c>
      <c r="C2677" s="169" t="s">
        <v>10225</v>
      </c>
      <c r="D2677" s="169" t="s">
        <v>1289</v>
      </c>
      <c r="E2677" s="103" t="s">
        <v>30655</v>
      </c>
      <c r="F2677" s="104"/>
      <c r="G2677" s="105">
        <f t="shared" si="164"/>
        <v>187.86</v>
      </c>
      <c r="H2677" s="101" t="str">
        <f t="shared" si="165"/>
        <v>Sinapi 37980</v>
      </c>
      <c r="I2677" s="101" t="str">
        <f t="shared" si="166"/>
        <v>UN</v>
      </c>
      <c r="J2677" s="140" t="str">
        <f t="shared" si="167"/>
        <v>LUVA CPVC, SOLDAVEL, 89 MM, PARA AGUA QUENTE PREDIAL</v>
      </c>
    </row>
    <row r="2678" spans="1:10" x14ac:dyDescent="0.25">
      <c r="A2678" s="169">
        <v>36147</v>
      </c>
      <c r="B2678" s="169" t="s">
        <v>26143</v>
      </c>
      <c r="C2678" s="169" t="s">
        <v>10239</v>
      </c>
      <c r="D2678" s="169" t="s">
        <v>1289</v>
      </c>
      <c r="E2678" s="103" t="s">
        <v>30656</v>
      </c>
      <c r="F2678" s="104"/>
      <c r="G2678" s="105">
        <f t="shared" si="164"/>
        <v>377.79</v>
      </c>
      <c r="H2678" s="101" t="str">
        <f t="shared" si="165"/>
        <v>Sinapi 36147</v>
      </c>
      <c r="I2678" s="101" t="str">
        <f t="shared" si="166"/>
        <v>PAR</v>
      </c>
      <c r="J2678" s="140" t="str">
        <f t="shared" si="167"/>
        <v>LUVA DE BORRACHA ISOLANTE PARA ALTA TENSAO, RESISTENTE A OZONIO, TENSAO DE ENSAIO 2,5 KV (PAR)</v>
      </c>
    </row>
    <row r="2679" spans="1:10" x14ac:dyDescent="0.25">
      <c r="A2679" s="169">
        <v>12731</v>
      </c>
      <c r="B2679" s="169" t="s">
        <v>26144</v>
      </c>
      <c r="C2679" s="169" t="s">
        <v>10225</v>
      </c>
      <c r="D2679" s="169" t="s">
        <v>1290</v>
      </c>
      <c r="E2679" s="103" t="s">
        <v>30657</v>
      </c>
      <c r="F2679" s="104"/>
      <c r="G2679" s="105">
        <f t="shared" si="164"/>
        <v>341.21</v>
      </c>
      <c r="H2679" s="101" t="str">
        <f t="shared" si="165"/>
        <v>Sinapi 12731</v>
      </c>
      <c r="I2679" s="101" t="str">
        <f t="shared" si="166"/>
        <v>UN</v>
      </c>
      <c r="J2679" s="140" t="str">
        <f t="shared" si="167"/>
        <v>LUVA DE COBRE (REF 600) SEM ANEL DE SOLDA, BOLSA X BOLSA, 104 MM</v>
      </c>
    </row>
    <row r="2680" spans="1:10" x14ac:dyDescent="0.25">
      <c r="A2680" s="169">
        <v>12723</v>
      </c>
      <c r="B2680" s="169" t="s">
        <v>26145</v>
      </c>
      <c r="C2680" s="169" t="s">
        <v>10225</v>
      </c>
      <c r="D2680" s="169" t="s">
        <v>1290</v>
      </c>
      <c r="E2680" s="103" t="s">
        <v>14779</v>
      </c>
      <c r="F2680" s="104"/>
      <c r="G2680" s="105">
        <f t="shared" si="164"/>
        <v>2.64</v>
      </c>
      <c r="H2680" s="101" t="str">
        <f t="shared" si="165"/>
        <v>Sinapi 12723</v>
      </c>
      <c r="I2680" s="101" t="str">
        <f t="shared" si="166"/>
        <v>UN</v>
      </c>
      <c r="J2680" s="140" t="str">
        <f t="shared" si="167"/>
        <v>LUVA DE COBRE (REF 600) SEM ANEL DE SOLDA, BOLSA X BOLSA, 15 MM</v>
      </c>
    </row>
    <row r="2681" spans="1:10" x14ac:dyDescent="0.25">
      <c r="A2681" s="169">
        <v>12724</v>
      </c>
      <c r="B2681" s="169" t="s">
        <v>1066</v>
      </c>
      <c r="C2681" s="169" t="s">
        <v>10225</v>
      </c>
      <c r="D2681" s="169" t="s">
        <v>1290</v>
      </c>
      <c r="E2681" s="103" t="s">
        <v>22809</v>
      </c>
      <c r="F2681" s="104"/>
      <c r="G2681" s="105">
        <f t="shared" si="164"/>
        <v>5.08</v>
      </c>
      <c r="H2681" s="101" t="str">
        <f t="shared" si="165"/>
        <v>Sinapi 12724</v>
      </c>
      <c r="I2681" s="101" t="str">
        <f t="shared" si="166"/>
        <v>UN</v>
      </c>
      <c r="J2681" s="140" t="str">
        <f t="shared" si="167"/>
        <v>LUVA DE COBRE (REF 600) SEM ANEL DE SOLDA, BOLSA X BOLSA, 22 MM</v>
      </c>
    </row>
    <row r="2682" spans="1:10" x14ac:dyDescent="0.25">
      <c r="A2682" s="169">
        <v>12725</v>
      </c>
      <c r="B2682" s="169" t="s">
        <v>26146</v>
      </c>
      <c r="C2682" s="169" t="s">
        <v>10225</v>
      </c>
      <c r="D2682" s="169" t="s">
        <v>1290</v>
      </c>
      <c r="E2682" s="103" t="s">
        <v>15530</v>
      </c>
      <c r="F2682" s="104"/>
      <c r="G2682" s="105">
        <f t="shared" si="164"/>
        <v>10.199999999999999</v>
      </c>
      <c r="H2682" s="101" t="str">
        <f t="shared" si="165"/>
        <v>Sinapi 12725</v>
      </c>
      <c r="I2682" s="101" t="str">
        <f t="shared" si="166"/>
        <v>UN</v>
      </c>
      <c r="J2682" s="140" t="str">
        <f t="shared" si="167"/>
        <v>LUVA DE COBRE (REF 600) SEM ANEL DE SOLDA, BOLSA X BOLSA, 28 MM</v>
      </c>
    </row>
    <row r="2683" spans="1:10" x14ac:dyDescent="0.25">
      <c r="A2683" s="169">
        <v>12726</v>
      </c>
      <c r="B2683" s="169" t="s">
        <v>1062</v>
      </c>
      <c r="C2683" s="169" t="s">
        <v>10225</v>
      </c>
      <c r="D2683" s="169" t="s">
        <v>1290</v>
      </c>
      <c r="E2683" s="103" t="s">
        <v>18696</v>
      </c>
      <c r="F2683" s="104"/>
      <c r="G2683" s="105">
        <f t="shared" si="164"/>
        <v>22.51</v>
      </c>
      <c r="H2683" s="101" t="str">
        <f t="shared" si="165"/>
        <v>Sinapi 12726</v>
      </c>
      <c r="I2683" s="101" t="str">
        <f t="shared" si="166"/>
        <v>UN</v>
      </c>
      <c r="J2683" s="140" t="str">
        <f t="shared" si="167"/>
        <v>LUVA DE COBRE (REF 600) SEM ANEL DE SOLDA, BOLSA X BOLSA, 35 MM</v>
      </c>
    </row>
    <row r="2684" spans="1:10" x14ac:dyDescent="0.25">
      <c r="A2684" s="169">
        <v>12727</v>
      </c>
      <c r="B2684" s="169" t="s">
        <v>1064</v>
      </c>
      <c r="C2684" s="169" t="s">
        <v>10225</v>
      </c>
      <c r="D2684" s="169" t="s">
        <v>1290</v>
      </c>
      <c r="E2684" s="103" t="s">
        <v>26767</v>
      </c>
      <c r="F2684" s="104"/>
      <c r="G2684" s="105">
        <f t="shared" si="164"/>
        <v>28.55</v>
      </c>
      <c r="H2684" s="101" t="str">
        <f t="shared" si="165"/>
        <v>Sinapi 12727</v>
      </c>
      <c r="I2684" s="101" t="str">
        <f t="shared" si="166"/>
        <v>UN</v>
      </c>
      <c r="J2684" s="140" t="str">
        <f t="shared" si="167"/>
        <v>LUVA DE COBRE (REF 600) SEM ANEL DE SOLDA, BOLSA X BOLSA, 42 MM</v>
      </c>
    </row>
    <row r="2685" spans="1:10" x14ac:dyDescent="0.25">
      <c r="A2685" s="169">
        <v>12728</v>
      </c>
      <c r="B2685" s="169" t="s">
        <v>26147</v>
      </c>
      <c r="C2685" s="169" t="s">
        <v>10225</v>
      </c>
      <c r="D2685" s="169" t="s">
        <v>1290</v>
      </c>
      <c r="E2685" s="103" t="s">
        <v>22016</v>
      </c>
      <c r="F2685" s="104"/>
      <c r="G2685" s="105">
        <f t="shared" si="164"/>
        <v>46.63</v>
      </c>
      <c r="H2685" s="101" t="str">
        <f t="shared" si="165"/>
        <v>Sinapi 12728</v>
      </c>
      <c r="I2685" s="101" t="str">
        <f t="shared" si="166"/>
        <v>UN</v>
      </c>
      <c r="J2685" s="140" t="str">
        <f t="shared" si="167"/>
        <v>LUVA DE COBRE (REF 600) SEM ANEL DE SOLDA, BOLSA X BOLSA, 54 MM</v>
      </c>
    </row>
    <row r="2686" spans="1:10" x14ac:dyDescent="0.25">
      <c r="A2686" s="169">
        <v>12729</v>
      </c>
      <c r="B2686" s="169" t="s">
        <v>26148</v>
      </c>
      <c r="C2686" s="169" t="s">
        <v>10225</v>
      </c>
      <c r="D2686" s="169" t="s">
        <v>1290</v>
      </c>
      <c r="E2686" s="103" t="s">
        <v>30658</v>
      </c>
      <c r="F2686" s="104"/>
      <c r="G2686" s="105">
        <f t="shared" si="164"/>
        <v>152.83000000000001</v>
      </c>
      <c r="H2686" s="101" t="str">
        <f t="shared" si="165"/>
        <v>Sinapi 12729</v>
      </c>
      <c r="I2686" s="101" t="str">
        <f t="shared" si="166"/>
        <v>UN</v>
      </c>
      <c r="J2686" s="140" t="str">
        <f t="shared" si="167"/>
        <v>LUVA DE COBRE (REF 600) SEM ANEL DE SOLDA, BOLSA X BOLSA, 66 MM</v>
      </c>
    </row>
    <row r="2687" spans="1:10" x14ac:dyDescent="0.25">
      <c r="A2687" s="169">
        <v>12730</v>
      </c>
      <c r="B2687" s="169" t="s">
        <v>26149</v>
      </c>
      <c r="C2687" s="169" t="s">
        <v>10225</v>
      </c>
      <c r="D2687" s="169" t="s">
        <v>1290</v>
      </c>
      <c r="E2687" s="103" t="s">
        <v>30659</v>
      </c>
      <c r="F2687" s="104"/>
      <c r="G2687" s="105">
        <f t="shared" si="164"/>
        <v>233.99</v>
      </c>
      <c r="H2687" s="101" t="str">
        <f t="shared" si="165"/>
        <v>Sinapi 12730</v>
      </c>
      <c r="I2687" s="101" t="str">
        <f t="shared" si="166"/>
        <v>UN</v>
      </c>
      <c r="J2687" s="140" t="str">
        <f t="shared" si="167"/>
        <v>LUVA DE COBRE (REF 600) SEM ANEL DE SOLDA, BOLSA X BOLSA, 79 MM</v>
      </c>
    </row>
    <row r="2688" spans="1:10" x14ac:dyDescent="0.25">
      <c r="A2688" s="169">
        <v>3840</v>
      </c>
      <c r="B2688" s="169" t="s">
        <v>26151</v>
      </c>
      <c r="C2688" s="169" t="s">
        <v>10225</v>
      </c>
      <c r="D2688" s="169" t="s">
        <v>1289</v>
      </c>
      <c r="E2688" s="103" t="s">
        <v>30660</v>
      </c>
      <c r="F2688" s="104"/>
      <c r="G2688" s="105">
        <f t="shared" si="164"/>
        <v>84.11</v>
      </c>
      <c r="H2688" s="101" t="str">
        <f t="shared" si="165"/>
        <v>Sinapi 3840</v>
      </c>
      <c r="I2688" s="101" t="str">
        <f t="shared" si="166"/>
        <v>UN</v>
      </c>
      <c r="J2688" s="140" t="str">
        <f t="shared" si="167"/>
        <v>LUVA DE CORRER DEFOFO, PVC, JE, DN 100 MM</v>
      </c>
    </row>
    <row r="2689" spans="1:10" x14ac:dyDescent="0.25">
      <c r="A2689" s="169">
        <v>3838</v>
      </c>
      <c r="B2689" s="169" t="s">
        <v>26152</v>
      </c>
      <c r="C2689" s="169" t="s">
        <v>10225</v>
      </c>
      <c r="D2689" s="169" t="s">
        <v>1289</v>
      </c>
      <c r="E2689" s="103" t="s">
        <v>30661</v>
      </c>
      <c r="F2689" s="104"/>
      <c r="G2689" s="105">
        <f t="shared" si="164"/>
        <v>185.63</v>
      </c>
      <c r="H2689" s="101" t="str">
        <f t="shared" si="165"/>
        <v>Sinapi 3838</v>
      </c>
      <c r="I2689" s="101" t="str">
        <f t="shared" si="166"/>
        <v>UN</v>
      </c>
      <c r="J2689" s="140" t="str">
        <f t="shared" si="167"/>
        <v>LUVA DE CORRER DEFOFO, PVC, JE, DN 150 MM</v>
      </c>
    </row>
    <row r="2690" spans="1:10" x14ac:dyDescent="0.25">
      <c r="A2690" s="169">
        <v>3844</v>
      </c>
      <c r="B2690" s="169" t="s">
        <v>26153</v>
      </c>
      <c r="C2690" s="169" t="s">
        <v>10225</v>
      </c>
      <c r="D2690" s="169" t="s">
        <v>1289</v>
      </c>
      <c r="E2690" s="103" t="s">
        <v>30662</v>
      </c>
      <c r="F2690" s="104"/>
      <c r="G2690" s="105">
        <f t="shared" si="164"/>
        <v>331.11</v>
      </c>
      <c r="H2690" s="101" t="str">
        <f t="shared" si="165"/>
        <v>Sinapi 3844</v>
      </c>
      <c r="I2690" s="101" t="str">
        <f t="shared" si="166"/>
        <v>UN</v>
      </c>
      <c r="J2690" s="140" t="str">
        <f t="shared" si="167"/>
        <v>LUVA DE CORRER DEFOFO, PVC, JE, DN 200 MM</v>
      </c>
    </row>
    <row r="2691" spans="1:10" x14ac:dyDescent="0.25">
      <c r="A2691" s="169">
        <v>3839</v>
      </c>
      <c r="B2691" s="169" t="s">
        <v>26154</v>
      </c>
      <c r="C2691" s="169" t="s">
        <v>10225</v>
      </c>
      <c r="D2691" s="169" t="s">
        <v>1289</v>
      </c>
      <c r="E2691" s="103" t="s">
        <v>30663</v>
      </c>
      <c r="F2691" s="104"/>
      <c r="G2691" s="105">
        <f t="shared" si="164"/>
        <v>603.1</v>
      </c>
      <c r="H2691" s="101" t="str">
        <f t="shared" si="165"/>
        <v>Sinapi 3839</v>
      </c>
      <c r="I2691" s="101" t="str">
        <f t="shared" si="166"/>
        <v>UN</v>
      </c>
      <c r="J2691" s="140" t="str">
        <f t="shared" si="167"/>
        <v>LUVA DE CORRER DEFOFO, PVC, JE, DN 250 MM</v>
      </c>
    </row>
    <row r="2692" spans="1:10" x14ac:dyDescent="0.25">
      <c r="A2692" s="169">
        <v>3843</v>
      </c>
      <c r="B2692" s="169" t="s">
        <v>26155</v>
      </c>
      <c r="C2692" s="169" t="s">
        <v>10225</v>
      </c>
      <c r="D2692" s="169" t="s">
        <v>1289</v>
      </c>
      <c r="E2692" s="103" t="s">
        <v>30664</v>
      </c>
      <c r="F2692" s="104"/>
      <c r="G2692" s="105">
        <f t="shared" si="164"/>
        <v>827.76</v>
      </c>
      <c r="H2692" s="101" t="str">
        <f t="shared" si="165"/>
        <v>Sinapi 3843</v>
      </c>
      <c r="I2692" s="101" t="str">
        <f t="shared" si="166"/>
        <v>UN</v>
      </c>
      <c r="J2692" s="140" t="str">
        <f t="shared" si="167"/>
        <v>LUVA DE CORRER DEFOFO, PVC, JE, DN 300 MM</v>
      </c>
    </row>
    <row r="2693" spans="1:10" x14ac:dyDescent="0.25">
      <c r="A2693" s="169">
        <v>3900</v>
      </c>
      <c r="B2693" s="169" t="s">
        <v>26156</v>
      </c>
      <c r="C2693" s="169" t="s">
        <v>10225</v>
      </c>
      <c r="D2693" s="169" t="s">
        <v>1289</v>
      </c>
      <c r="E2693" s="103" t="s">
        <v>30665</v>
      </c>
      <c r="F2693" s="104"/>
      <c r="G2693" s="105">
        <f t="shared" si="164"/>
        <v>54.79</v>
      </c>
      <c r="H2693" s="101" t="str">
        <f t="shared" si="165"/>
        <v>Sinapi 3900</v>
      </c>
      <c r="I2693" s="101" t="str">
        <f t="shared" si="166"/>
        <v>UN</v>
      </c>
      <c r="J2693" s="140" t="str">
        <f t="shared" si="167"/>
        <v>LUVA DE CORRER PARA TUBO ROSCAVEL, PVC, 1 1/2", PARA AGUA FRIA PREDIAL</v>
      </c>
    </row>
    <row r="2694" spans="1:10" x14ac:dyDescent="0.25">
      <c r="A2694" s="169">
        <v>3846</v>
      </c>
      <c r="B2694" s="169" t="s">
        <v>26158</v>
      </c>
      <c r="C2694" s="169" t="s">
        <v>10225</v>
      </c>
      <c r="D2694" s="169" t="s">
        <v>1289</v>
      </c>
      <c r="E2694" s="103" t="s">
        <v>19865</v>
      </c>
      <c r="F2694" s="104"/>
      <c r="G2694" s="105">
        <f t="shared" si="164"/>
        <v>16.46</v>
      </c>
      <c r="H2694" s="101" t="str">
        <f t="shared" si="165"/>
        <v>Sinapi 3846</v>
      </c>
      <c r="I2694" s="101" t="str">
        <f t="shared" si="166"/>
        <v>UN</v>
      </c>
      <c r="J2694" s="140" t="str">
        <f t="shared" si="167"/>
        <v>LUVA DE CORRER PARA TUBO ROSCAVEL, PVC, 1/2", PARA AGUA FRIA PREDIAL</v>
      </c>
    </row>
    <row r="2695" spans="1:10" x14ac:dyDescent="0.25">
      <c r="A2695" s="169">
        <v>3886</v>
      </c>
      <c r="B2695" s="169" t="s">
        <v>26159</v>
      </c>
      <c r="C2695" s="169" t="s">
        <v>10225</v>
      </c>
      <c r="D2695" s="169" t="s">
        <v>1289</v>
      </c>
      <c r="E2695" s="103" t="s">
        <v>15786</v>
      </c>
      <c r="F2695" s="104"/>
      <c r="G2695" s="105">
        <f t="shared" si="164"/>
        <v>21.85</v>
      </c>
      <c r="H2695" s="101" t="str">
        <f t="shared" si="165"/>
        <v>Sinapi 3886</v>
      </c>
      <c r="I2695" s="101" t="str">
        <f t="shared" si="166"/>
        <v>UN</v>
      </c>
      <c r="J2695" s="140" t="str">
        <f t="shared" si="167"/>
        <v>LUVA DE CORRER PARA TUBO ROSCAVEL, PVC, 3/4", PARA AGUA FRIA PREDIAL</v>
      </c>
    </row>
    <row r="2696" spans="1:10" x14ac:dyDescent="0.25">
      <c r="A2696" s="169">
        <v>3854</v>
      </c>
      <c r="B2696" s="169" t="s">
        <v>26160</v>
      </c>
      <c r="C2696" s="169" t="s">
        <v>10225</v>
      </c>
      <c r="D2696" s="169" t="s">
        <v>1289</v>
      </c>
      <c r="E2696" s="103" t="s">
        <v>20035</v>
      </c>
      <c r="F2696" s="104"/>
      <c r="G2696" s="105">
        <f t="shared" ref="G2696:G2759" si="168">IF(E2696="","",E2696+0)</f>
        <v>12.46</v>
      </c>
      <c r="H2696" s="101" t="str">
        <f t="shared" ref="H2696:H2759" si="169">IF(G2696="","",TRIM(CONCATENATE("Sinapi ",A2696)))</f>
        <v>Sinapi 3854</v>
      </c>
      <c r="I2696" s="101" t="str">
        <f t="shared" ref="I2696:I2759" si="170">TRIM(C2696)</f>
        <v>UN</v>
      </c>
      <c r="J2696" s="140" t="str">
        <f t="shared" si="167"/>
        <v>LUVA DE CORRER PARA TUBO SOLDAVEL, PVC, 20 MM, PARA AGUA FRIA PREDIAL</v>
      </c>
    </row>
    <row r="2697" spans="1:10" x14ac:dyDescent="0.25">
      <c r="A2697" s="169">
        <v>3873</v>
      </c>
      <c r="B2697" s="169" t="s">
        <v>26162</v>
      </c>
      <c r="C2697" s="169" t="s">
        <v>10225</v>
      </c>
      <c r="D2697" s="169" t="s">
        <v>1289</v>
      </c>
      <c r="E2697" s="103" t="s">
        <v>21498</v>
      </c>
      <c r="F2697" s="104"/>
      <c r="G2697" s="105">
        <f t="shared" si="168"/>
        <v>14.5</v>
      </c>
      <c r="H2697" s="101" t="str">
        <f t="shared" si="169"/>
        <v>Sinapi 3873</v>
      </c>
      <c r="I2697" s="101" t="str">
        <f t="shared" si="170"/>
        <v>UN</v>
      </c>
      <c r="J2697" s="140" t="str">
        <f t="shared" ref="J2697:J2760" si="171">TRIM(B2697)</f>
        <v>LUVA DE CORRER PARA TUBO SOLDAVEL, PVC, 25 MM, PARA AGUA FRIA PREDIAL</v>
      </c>
    </row>
    <row r="2698" spans="1:10" x14ac:dyDescent="0.25">
      <c r="A2698" s="169">
        <v>38021</v>
      </c>
      <c r="B2698" s="169" t="s">
        <v>26163</v>
      </c>
      <c r="C2698" s="169" t="s">
        <v>10225</v>
      </c>
      <c r="D2698" s="169" t="s">
        <v>1289</v>
      </c>
      <c r="E2698" s="103" t="s">
        <v>29434</v>
      </c>
      <c r="F2698" s="104"/>
      <c r="G2698" s="105">
        <f t="shared" si="168"/>
        <v>25.75</v>
      </c>
      <c r="H2698" s="101" t="str">
        <f t="shared" si="169"/>
        <v>Sinapi 38021</v>
      </c>
      <c r="I2698" s="101" t="str">
        <f t="shared" si="170"/>
        <v>UN</v>
      </c>
      <c r="J2698" s="140" t="str">
        <f t="shared" si="171"/>
        <v>LUVA DE CORRER PARA TUBO SOLDAVEL, PVC, 32 MM, PARA AGUA FRIA PREDIAL</v>
      </c>
    </row>
    <row r="2699" spans="1:10" x14ac:dyDescent="0.25">
      <c r="A2699" s="169">
        <v>43838</v>
      </c>
      <c r="B2699" s="169" t="s">
        <v>26164</v>
      </c>
      <c r="C2699" s="169" t="s">
        <v>10225</v>
      </c>
      <c r="D2699" s="169" t="s">
        <v>1289</v>
      </c>
      <c r="E2699" s="103" t="s">
        <v>30666</v>
      </c>
      <c r="F2699" s="104"/>
      <c r="G2699" s="105">
        <f t="shared" si="168"/>
        <v>33.28</v>
      </c>
      <c r="H2699" s="101" t="str">
        <f t="shared" si="169"/>
        <v>Sinapi 43838</v>
      </c>
      <c r="I2699" s="101" t="str">
        <f t="shared" si="170"/>
        <v>UN</v>
      </c>
      <c r="J2699" s="140" t="str">
        <f t="shared" si="171"/>
        <v>LUVA DE CORRER PARA TUBO SOLDAVEL, PVC, 40 MM, PARA AGUA FRIA PREDIAL</v>
      </c>
    </row>
    <row r="2700" spans="1:10" x14ac:dyDescent="0.25">
      <c r="A2700" s="169">
        <v>3847</v>
      </c>
      <c r="B2700" s="169" t="s">
        <v>26165</v>
      </c>
      <c r="C2700" s="169" t="s">
        <v>10225</v>
      </c>
      <c r="D2700" s="169" t="s">
        <v>1289</v>
      </c>
      <c r="E2700" s="103" t="s">
        <v>30667</v>
      </c>
      <c r="F2700" s="104"/>
      <c r="G2700" s="105">
        <f t="shared" si="168"/>
        <v>33.56</v>
      </c>
      <c r="H2700" s="101" t="str">
        <f t="shared" si="169"/>
        <v>Sinapi 3847</v>
      </c>
      <c r="I2700" s="101" t="str">
        <f t="shared" si="170"/>
        <v>UN</v>
      </c>
      <c r="J2700" s="140" t="str">
        <f t="shared" si="171"/>
        <v>LUVA DE CORRER PARA TUBO SOLDAVEL, PVC, 50 MM, PARA AGUA FRIA PREDIAL</v>
      </c>
    </row>
    <row r="2701" spans="1:10" x14ac:dyDescent="0.25">
      <c r="A2701" s="169">
        <v>38022</v>
      </c>
      <c r="B2701" s="169" t="s">
        <v>26167</v>
      </c>
      <c r="C2701" s="169" t="s">
        <v>10225</v>
      </c>
      <c r="D2701" s="169" t="s">
        <v>1289</v>
      </c>
      <c r="E2701" s="103" t="s">
        <v>30668</v>
      </c>
      <c r="F2701" s="104"/>
      <c r="G2701" s="105">
        <f t="shared" si="168"/>
        <v>46.13</v>
      </c>
      <c r="H2701" s="101" t="str">
        <f t="shared" si="169"/>
        <v>Sinapi 38022</v>
      </c>
      <c r="I2701" s="101" t="str">
        <f t="shared" si="170"/>
        <v>UN</v>
      </c>
      <c r="J2701" s="140" t="str">
        <f t="shared" si="171"/>
        <v>LUVA DE CORRER PARA TUBO SOLDAVEL, PVC, 60 MM, PARA AGUA FRIA PREDIAL</v>
      </c>
    </row>
    <row r="2702" spans="1:10" x14ac:dyDescent="0.25">
      <c r="A2702" s="169">
        <v>3830</v>
      </c>
      <c r="B2702" s="169" t="s">
        <v>26169</v>
      </c>
      <c r="C2702" s="169" t="s">
        <v>10225</v>
      </c>
      <c r="D2702" s="169" t="s">
        <v>1289</v>
      </c>
      <c r="E2702" s="103" t="s">
        <v>30669</v>
      </c>
      <c r="F2702" s="104"/>
      <c r="G2702" s="105">
        <f t="shared" si="168"/>
        <v>198.95</v>
      </c>
      <c r="H2702" s="101" t="str">
        <f t="shared" si="169"/>
        <v>Sinapi 3830</v>
      </c>
      <c r="I2702" s="101" t="str">
        <f t="shared" si="170"/>
        <v>UN</v>
      </c>
      <c r="J2702" s="140" t="str">
        <f t="shared" si="171"/>
        <v>LUVA DE CORRER PVC, JE, DN 250 MM, PARA REDE COLETORA DE ESGOTO</v>
      </c>
    </row>
    <row r="2703" spans="1:10" x14ac:dyDescent="0.25">
      <c r="A2703" s="169">
        <v>37981</v>
      </c>
      <c r="B2703" s="169" t="s">
        <v>26170</v>
      </c>
      <c r="C2703" s="169" t="s">
        <v>10225</v>
      </c>
      <c r="D2703" s="169" t="s">
        <v>1289</v>
      </c>
      <c r="E2703" s="103" t="s">
        <v>17147</v>
      </c>
      <c r="F2703" s="104"/>
      <c r="G2703" s="105">
        <f t="shared" si="168"/>
        <v>8.18</v>
      </c>
      <c r="H2703" s="101" t="str">
        <f t="shared" si="169"/>
        <v>Sinapi 37981</v>
      </c>
      <c r="I2703" s="101" t="str">
        <f t="shared" si="170"/>
        <v>UN</v>
      </c>
      <c r="J2703" s="140" t="str">
        <f t="shared" si="171"/>
        <v>LUVA DE CORRER, CPVC, SOLDAVEL, 15 MM, PARA AGUA QUENTE PREDIAL</v>
      </c>
    </row>
    <row r="2704" spans="1:10" x14ac:dyDescent="0.25">
      <c r="A2704" s="169">
        <v>37982</v>
      </c>
      <c r="B2704" s="169" t="s">
        <v>26171</v>
      </c>
      <c r="C2704" s="169" t="s">
        <v>10225</v>
      </c>
      <c r="D2704" s="169" t="s">
        <v>1289</v>
      </c>
      <c r="E2704" s="103" t="s">
        <v>16203</v>
      </c>
      <c r="F2704" s="104"/>
      <c r="G2704" s="105">
        <f t="shared" si="168"/>
        <v>11.87</v>
      </c>
      <c r="H2704" s="101" t="str">
        <f t="shared" si="169"/>
        <v>Sinapi 37982</v>
      </c>
      <c r="I2704" s="101" t="str">
        <f t="shared" si="170"/>
        <v>UN</v>
      </c>
      <c r="J2704" s="140" t="str">
        <f t="shared" si="171"/>
        <v>LUVA DE CORRER, CPVC, SOLDAVEL, 22 MM, PARA AGUA QUENTE PREDIAL</v>
      </c>
    </row>
    <row r="2705" spans="1:10" x14ac:dyDescent="0.25">
      <c r="A2705" s="169">
        <v>37983</v>
      </c>
      <c r="B2705" s="169" t="s">
        <v>26172</v>
      </c>
      <c r="C2705" s="169" t="s">
        <v>10225</v>
      </c>
      <c r="D2705" s="169" t="s">
        <v>1289</v>
      </c>
      <c r="E2705" s="103" t="s">
        <v>23091</v>
      </c>
      <c r="F2705" s="104"/>
      <c r="G2705" s="105">
        <f t="shared" si="168"/>
        <v>17.55</v>
      </c>
      <c r="H2705" s="101" t="str">
        <f t="shared" si="169"/>
        <v>Sinapi 37983</v>
      </c>
      <c r="I2705" s="101" t="str">
        <f t="shared" si="170"/>
        <v>UN</v>
      </c>
      <c r="J2705" s="140" t="str">
        <f t="shared" si="171"/>
        <v>LUVA DE CORRER, CPVC, SOLDAVEL, 28 MM, PARA AGUA QUENTE PREDIAL</v>
      </c>
    </row>
    <row r="2706" spans="1:10" x14ac:dyDescent="0.25">
      <c r="A2706" s="169">
        <v>37984</v>
      </c>
      <c r="B2706" s="169" t="s">
        <v>26173</v>
      </c>
      <c r="C2706" s="169" t="s">
        <v>10225</v>
      </c>
      <c r="D2706" s="169" t="s">
        <v>1289</v>
      </c>
      <c r="E2706" s="103" t="s">
        <v>21291</v>
      </c>
      <c r="F2706" s="104"/>
      <c r="G2706" s="105">
        <f t="shared" si="168"/>
        <v>24.66</v>
      </c>
      <c r="H2706" s="101" t="str">
        <f t="shared" si="169"/>
        <v>Sinapi 37984</v>
      </c>
      <c r="I2706" s="101" t="str">
        <f t="shared" si="170"/>
        <v>UN</v>
      </c>
      <c r="J2706" s="140" t="str">
        <f t="shared" si="171"/>
        <v>LUVA DE CORRER, CPVC, SOLDAVEL, 35 MM, PARA AGUA QUENTE PREDIAL</v>
      </c>
    </row>
    <row r="2707" spans="1:10" x14ac:dyDescent="0.25">
      <c r="A2707" s="169">
        <v>37985</v>
      </c>
      <c r="B2707" s="169" t="s">
        <v>26174</v>
      </c>
      <c r="C2707" s="169" t="s">
        <v>10225</v>
      </c>
      <c r="D2707" s="169" t="s">
        <v>1289</v>
      </c>
      <c r="E2707" s="103" t="s">
        <v>19827</v>
      </c>
      <c r="F2707" s="104"/>
      <c r="G2707" s="105">
        <f t="shared" si="168"/>
        <v>35.04</v>
      </c>
      <c r="H2707" s="101" t="str">
        <f t="shared" si="169"/>
        <v>Sinapi 37985</v>
      </c>
      <c r="I2707" s="101" t="str">
        <f t="shared" si="170"/>
        <v>UN</v>
      </c>
      <c r="J2707" s="140" t="str">
        <f t="shared" si="171"/>
        <v>LUVA DE CORRER, CPVC, SOLDAVEL, 42 MM, PARA AGUA QUENTE PREDIAL</v>
      </c>
    </row>
    <row r="2708" spans="1:10" x14ac:dyDescent="0.25">
      <c r="A2708" s="169">
        <v>3826</v>
      </c>
      <c r="B2708" s="169" t="s">
        <v>26175</v>
      </c>
      <c r="C2708" s="169" t="s">
        <v>10225</v>
      </c>
      <c r="D2708" s="169" t="s">
        <v>1289</v>
      </c>
      <c r="E2708" s="103" t="s">
        <v>30670</v>
      </c>
      <c r="F2708" s="104"/>
      <c r="G2708" s="105">
        <f t="shared" si="168"/>
        <v>83.46</v>
      </c>
      <c r="H2708" s="101" t="str">
        <f t="shared" si="169"/>
        <v>Sinapi 3826</v>
      </c>
      <c r="I2708" s="101" t="str">
        <f t="shared" si="170"/>
        <v>UN</v>
      </c>
      <c r="J2708" s="140" t="str">
        <f t="shared" si="171"/>
        <v>LUVA DE CORRER, PVC PBA, JE, DN 100 / DE 110 MM, PARA REDE AGUA (NBR 10351)</v>
      </c>
    </row>
    <row r="2709" spans="1:10" x14ac:dyDescent="0.25">
      <c r="A2709" s="169">
        <v>3825</v>
      </c>
      <c r="B2709" s="169" t="s">
        <v>26176</v>
      </c>
      <c r="C2709" s="169" t="s">
        <v>10225</v>
      </c>
      <c r="D2709" s="169" t="s">
        <v>1289</v>
      </c>
      <c r="E2709" s="103" t="s">
        <v>16361</v>
      </c>
      <c r="F2709" s="104"/>
      <c r="G2709" s="105">
        <f t="shared" si="168"/>
        <v>24</v>
      </c>
      <c r="H2709" s="101" t="str">
        <f t="shared" si="169"/>
        <v>Sinapi 3825</v>
      </c>
      <c r="I2709" s="101" t="str">
        <f t="shared" si="170"/>
        <v>UN</v>
      </c>
      <c r="J2709" s="140" t="str">
        <f t="shared" si="171"/>
        <v>LUVA DE CORRER, PVC PBA, JE, DN 50 / DE 60 MM, PARA REDE AGUA (NBR 10351)</v>
      </c>
    </row>
    <row r="2710" spans="1:10" x14ac:dyDescent="0.25">
      <c r="A2710" s="169">
        <v>3827</v>
      </c>
      <c r="B2710" s="169" t="s">
        <v>26177</v>
      </c>
      <c r="C2710" s="169" t="s">
        <v>10225</v>
      </c>
      <c r="D2710" s="169" t="s">
        <v>1289</v>
      </c>
      <c r="E2710" s="103" t="s">
        <v>30671</v>
      </c>
      <c r="F2710" s="104"/>
      <c r="G2710" s="105">
        <f t="shared" si="168"/>
        <v>52.44</v>
      </c>
      <c r="H2710" s="101" t="str">
        <f t="shared" si="169"/>
        <v>Sinapi 3827</v>
      </c>
      <c r="I2710" s="101" t="str">
        <f t="shared" si="170"/>
        <v>UN</v>
      </c>
      <c r="J2710" s="140" t="str">
        <f t="shared" si="171"/>
        <v>LUVA DE CORRER, PVC PBA, JE, DN 75 / DE 85 MM, PARA REDE AGUA (NBR 10351)</v>
      </c>
    </row>
    <row r="2711" spans="1:10" x14ac:dyDescent="0.25">
      <c r="A2711" s="169">
        <v>20165</v>
      </c>
      <c r="B2711" s="169" t="s">
        <v>26178</v>
      </c>
      <c r="C2711" s="169" t="s">
        <v>10225</v>
      </c>
      <c r="D2711" s="169" t="s">
        <v>1289</v>
      </c>
      <c r="E2711" s="103" t="s">
        <v>21291</v>
      </c>
      <c r="F2711" s="104"/>
      <c r="G2711" s="105">
        <f t="shared" si="168"/>
        <v>24.66</v>
      </c>
      <c r="H2711" s="101" t="str">
        <f t="shared" si="169"/>
        <v>Sinapi 20165</v>
      </c>
      <c r="I2711" s="101" t="str">
        <f t="shared" si="170"/>
        <v>UN</v>
      </c>
      <c r="J2711" s="140" t="str">
        <f t="shared" si="171"/>
        <v>LUVA DE CORRER, PVC SERIE R, 100 MM, PARA ESGOTO PREDIAL</v>
      </c>
    </row>
    <row r="2712" spans="1:10" x14ac:dyDescent="0.25">
      <c r="A2712" s="169">
        <v>20166</v>
      </c>
      <c r="B2712" s="169" t="s">
        <v>26179</v>
      </c>
      <c r="C2712" s="169" t="s">
        <v>10225</v>
      </c>
      <c r="D2712" s="169" t="s">
        <v>1289</v>
      </c>
      <c r="E2712" s="103" t="s">
        <v>30672</v>
      </c>
      <c r="F2712" s="104"/>
      <c r="G2712" s="105">
        <f t="shared" si="168"/>
        <v>75.319999999999993</v>
      </c>
      <c r="H2712" s="101" t="str">
        <f t="shared" si="169"/>
        <v>Sinapi 20166</v>
      </c>
      <c r="I2712" s="101" t="str">
        <f t="shared" si="170"/>
        <v>UN</v>
      </c>
      <c r="J2712" s="140" t="str">
        <f t="shared" si="171"/>
        <v>LUVA DE CORRER, PVC SERIE R, 150 MM, PARA ESGOTO PREDIAL</v>
      </c>
    </row>
    <row r="2713" spans="1:10" x14ac:dyDescent="0.25">
      <c r="A2713" s="169">
        <v>20164</v>
      </c>
      <c r="B2713" s="169" t="s">
        <v>26180</v>
      </c>
      <c r="C2713" s="169" t="s">
        <v>10225</v>
      </c>
      <c r="D2713" s="169" t="s">
        <v>1289</v>
      </c>
      <c r="E2713" s="103" t="s">
        <v>5664</v>
      </c>
      <c r="F2713" s="104"/>
      <c r="G2713" s="105">
        <f t="shared" si="168"/>
        <v>11.85</v>
      </c>
      <c r="H2713" s="101" t="str">
        <f t="shared" si="169"/>
        <v>Sinapi 20164</v>
      </c>
      <c r="I2713" s="101" t="str">
        <f t="shared" si="170"/>
        <v>UN</v>
      </c>
      <c r="J2713" s="140" t="str">
        <f t="shared" si="171"/>
        <v>LUVA DE CORRER, PVC SERIE R, 75 MM, PARA ESGOTO PREDIAL</v>
      </c>
    </row>
    <row r="2714" spans="1:10" x14ac:dyDescent="0.25">
      <c r="A2714" s="169">
        <v>3893</v>
      </c>
      <c r="B2714" s="169" t="s">
        <v>26181</v>
      </c>
      <c r="C2714" s="169" t="s">
        <v>10225</v>
      </c>
      <c r="D2714" s="169" t="s">
        <v>1289</v>
      </c>
      <c r="E2714" s="103" t="s">
        <v>27630</v>
      </c>
      <c r="F2714" s="104"/>
      <c r="G2714" s="105">
        <f t="shared" si="168"/>
        <v>18.57</v>
      </c>
      <c r="H2714" s="101" t="str">
        <f t="shared" si="169"/>
        <v>Sinapi 3893</v>
      </c>
      <c r="I2714" s="101" t="str">
        <f t="shared" si="170"/>
        <v>UN</v>
      </c>
      <c r="J2714" s="140" t="str">
        <f t="shared" si="171"/>
        <v>LUVA DE CORRER, PVC, DN 100 MM, PARA ESGOTO PREDIAL</v>
      </c>
    </row>
    <row r="2715" spans="1:10" x14ac:dyDescent="0.25">
      <c r="A2715" s="169">
        <v>3848</v>
      </c>
      <c r="B2715" s="169" t="s">
        <v>26182</v>
      </c>
      <c r="C2715" s="169" t="s">
        <v>10225</v>
      </c>
      <c r="D2715" s="169" t="s">
        <v>1289</v>
      </c>
      <c r="E2715" s="103" t="s">
        <v>23148</v>
      </c>
      <c r="F2715" s="104"/>
      <c r="G2715" s="105">
        <f t="shared" si="168"/>
        <v>11.32</v>
      </c>
      <c r="H2715" s="101" t="str">
        <f t="shared" si="169"/>
        <v>Sinapi 3848</v>
      </c>
      <c r="I2715" s="101" t="str">
        <f t="shared" si="170"/>
        <v>UN</v>
      </c>
      <c r="J2715" s="140" t="str">
        <f t="shared" si="171"/>
        <v>LUVA DE CORRER, PVC, DN 50 MM, PARA ESGOTO PREDIAL</v>
      </c>
    </row>
    <row r="2716" spans="1:10" x14ac:dyDescent="0.25">
      <c r="A2716" s="169">
        <v>3895</v>
      </c>
      <c r="B2716" s="169" t="s">
        <v>26183</v>
      </c>
      <c r="C2716" s="169" t="s">
        <v>10225</v>
      </c>
      <c r="D2716" s="169" t="s">
        <v>1289</v>
      </c>
      <c r="E2716" s="103" t="s">
        <v>17362</v>
      </c>
      <c r="F2716" s="104"/>
      <c r="G2716" s="105">
        <f t="shared" si="168"/>
        <v>12.58</v>
      </c>
      <c r="H2716" s="101" t="str">
        <f t="shared" si="169"/>
        <v>Sinapi 3895</v>
      </c>
      <c r="I2716" s="101" t="str">
        <f t="shared" si="170"/>
        <v>UN</v>
      </c>
      <c r="J2716" s="140" t="str">
        <f t="shared" si="171"/>
        <v>LUVA DE CORRER, PVC, DN 75 MM, PARA ESGOTO PREDIAL</v>
      </c>
    </row>
    <row r="2717" spans="1:10" x14ac:dyDescent="0.25">
      <c r="A2717" s="169">
        <v>12404</v>
      </c>
      <c r="B2717" s="169" t="s">
        <v>26184</v>
      </c>
      <c r="C2717" s="169" t="s">
        <v>10225</v>
      </c>
      <c r="D2717" s="169" t="s">
        <v>1289</v>
      </c>
      <c r="E2717" s="103" t="s">
        <v>18627</v>
      </c>
      <c r="F2717" s="104"/>
      <c r="G2717" s="105">
        <f t="shared" si="168"/>
        <v>11.07</v>
      </c>
      <c r="H2717" s="101" t="str">
        <f t="shared" si="169"/>
        <v>Sinapi 12404</v>
      </c>
      <c r="I2717" s="101" t="str">
        <f t="shared" si="170"/>
        <v>UN</v>
      </c>
      <c r="J2717" s="140" t="str">
        <f t="shared" si="171"/>
        <v>LUVA DE FERRO GALVANIZADO, COM ROSCA BSP MACHO/FEMEA, DE 3/4"</v>
      </c>
    </row>
    <row r="2718" spans="1:10" x14ac:dyDescent="0.25">
      <c r="A2718" s="169">
        <v>3939</v>
      </c>
      <c r="B2718" s="169" t="s">
        <v>26185</v>
      </c>
      <c r="C2718" s="169" t="s">
        <v>10225</v>
      </c>
      <c r="D2718" s="169" t="s">
        <v>1289</v>
      </c>
      <c r="E2718" s="103" t="s">
        <v>19296</v>
      </c>
      <c r="F2718" s="104"/>
      <c r="G2718" s="105">
        <f t="shared" si="168"/>
        <v>22.81</v>
      </c>
      <c r="H2718" s="101" t="str">
        <f t="shared" si="169"/>
        <v>Sinapi 3939</v>
      </c>
      <c r="I2718" s="101" t="str">
        <f t="shared" si="170"/>
        <v>UN</v>
      </c>
      <c r="J2718" s="140" t="str">
        <f t="shared" si="171"/>
        <v>LUVA DE FERRO GALVANIZADO, COM ROSCA BSP, DE 1 1/2"</v>
      </c>
    </row>
    <row r="2719" spans="1:10" x14ac:dyDescent="0.25">
      <c r="A2719" s="169">
        <v>3911</v>
      </c>
      <c r="B2719" s="169" t="s">
        <v>26186</v>
      </c>
      <c r="C2719" s="169" t="s">
        <v>10225</v>
      </c>
      <c r="D2719" s="169" t="s">
        <v>1289</v>
      </c>
      <c r="E2719" s="103" t="s">
        <v>16377</v>
      </c>
      <c r="F2719" s="104"/>
      <c r="G2719" s="105">
        <f t="shared" si="168"/>
        <v>18.63</v>
      </c>
      <c r="H2719" s="101" t="str">
        <f t="shared" si="169"/>
        <v>Sinapi 3911</v>
      </c>
      <c r="I2719" s="101" t="str">
        <f t="shared" si="170"/>
        <v>UN</v>
      </c>
      <c r="J2719" s="140" t="str">
        <f t="shared" si="171"/>
        <v>LUVA DE FERRO GALVANIZADO, COM ROSCA BSP, DE 1 1/4"</v>
      </c>
    </row>
    <row r="2720" spans="1:10" x14ac:dyDescent="0.25">
      <c r="A2720" s="169">
        <v>3908</v>
      </c>
      <c r="B2720" s="169" t="s">
        <v>26187</v>
      </c>
      <c r="C2720" s="169" t="s">
        <v>10225</v>
      </c>
      <c r="D2720" s="169" t="s">
        <v>1289</v>
      </c>
      <c r="E2720" s="103" t="s">
        <v>19261</v>
      </c>
      <c r="F2720" s="104"/>
      <c r="G2720" s="105">
        <f t="shared" si="168"/>
        <v>6.02</v>
      </c>
      <c r="H2720" s="101" t="str">
        <f t="shared" si="169"/>
        <v>Sinapi 3908</v>
      </c>
      <c r="I2720" s="101" t="str">
        <f t="shared" si="170"/>
        <v>UN</v>
      </c>
      <c r="J2720" s="140" t="str">
        <f t="shared" si="171"/>
        <v>LUVA DE FERRO GALVANIZADO, COM ROSCA BSP, DE 1/2"</v>
      </c>
    </row>
    <row r="2721" spans="1:10" x14ac:dyDescent="0.25">
      <c r="A2721" s="169">
        <v>3910</v>
      </c>
      <c r="B2721" s="169" t="s">
        <v>26188</v>
      </c>
      <c r="C2721" s="169" t="s">
        <v>10225</v>
      </c>
      <c r="D2721" s="169" t="s">
        <v>1289</v>
      </c>
      <c r="E2721" s="103" t="s">
        <v>19962</v>
      </c>
      <c r="F2721" s="104"/>
      <c r="G2721" s="105">
        <f t="shared" si="168"/>
        <v>13.33</v>
      </c>
      <c r="H2721" s="101" t="str">
        <f t="shared" si="169"/>
        <v>Sinapi 3910</v>
      </c>
      <c r="I2721" s="101" t="str">
        <f t="shared" si="170"/>
        <v>UN</v>
      </c>
      <c r="J2721" s="140" t="str">
        <f t="shared" si="171"/>
        <v>LUVA DE FERRO GALVANIZADO, COM ROSCA BSP, DE 1"</v>
      </c>
    </row>
    <row r="2722" spans="1:10" x14ac:dyDescent="0.25">
      <c r="A2722" s="169">
        <v>3913</v>
      </c>
      <c r="B2722" s="169" t="s">
        <v>26189</v>
      </c>
      <c r="C2722" s="169" t="s">
        <v>10225</v>
      </c>
      <c r="D2722" s="169" t="s">
        <v>1289</v>
      </c>
      <c r="E2722" s="103" t="s">
        <v>22936</v>
      </c>
      <c r="F2722" s="104"/>
      <c r="G2722" s="105">
        <f t="shared" si="168"/>
        <v>63.72</v>
      </c>
      <c r="H2722" s="101" t="str">
        <f t="shared" si="169"/>
        <v>Sinapi 3913</v>
      </c>
      <c r="I2722" s="101" t="str">
        <f t="shared" si="170"/>
        <v>UN</v>
      </c>
      <c r="J2722" s="140" t="str">
        <f t="shared" si="171"/>
        <v>LUVA DE FERRO GALVANIZADO, COM ROSCA BSP, DE 2 1/2"</v>
      </c>
    </row>
    <row r="2723" spans="1:10" x14ac:dyDescent="0.25">
      <c r="A2723" s="169">
        <v>3912</v>
      </c>
      <c r="B2723" s="169" t="s">
        <v>26191</v>
      </c>
      <c r="C2723" s="169" t="s">
        <v>10225</v>
      </c>
      <c r="D2723" s="169" t="s">
        <v>1289</v>
      </c>
      <c r="E2723" s="103" t="s">
        <v>29268</v>
      </c>
      <c r="F2723" s="104"/>
      <c r="G2723" s="105">
        <f t="shared" si="168"/>
        <v>34.93</v>
      </c>
      <c r="H2723" s="101" t="str">
        <f t="shared" si="169"/>
        <v>Sinapi 3912</v>
      </c>
      <c r="I2723" s="101" t="str">
        <f t="shared" si="170"/>
        <v>UN</v>
      </c>
      <c r="J2723" s="140" t="str">
        <f t="shared" si="171"/>
        <v>LUVA DE FERRO GALVANIZADO, COM ROSCA BSP, DE 2"</v>
      </c>
    </row>
    <row r="2724" spans="1:10" x14ac:dyDescent="0.25">
      <c r="A2724" s="169">
        <v>3909</v>
      </c>
      <c r="B2724" s="169" t="s">
        <v>26192</v>
      </c>
      <c r="C2724" s="169" t="s">
        <v>10225</v>
      </c>
      <c r="D2724" s="169" t="s">
        <v>1289</v>
      </c>
      <c r="E2724" s="103" t="s">
        <v>6106</v>
      </c>
      <c r="F2724" s="104"/>
      <c r="G2724" s="105">
        <f t="shared" si="168"/>
        <v>8.1999999999999993</v>
      </c>
      <c r="H2724" s="101" t="str">
        <f t="shared" si="169"/>
        <v>Sinapi 3909</v>
      </c>
      <c r="I2724" s="101" t="str">
        <f t="shared" si="170"/>
        <v>UN</v>
      </c>
      <c r="J2724" s="140" t="str">
        <f t="shared" si="171"/>
        <v>LUVA DE FERRO GALVANIZADO, COM ROSCA BSP, DE 3/4"</v>
      </c>
    </row>
    <row r="2725" spans="1:10" x14ac:dyDescent="0.25">
      <c r="A2725" s="169">
        <v>3914</v>
      </c>
      <c r="B2725" s="169" t="s">
        <v>26193</v>
      </c>
      <c r="C2725" s="169" t="s">
        <v>10225</v>
      </c>
      <c r="D2725" s="169" t="s">
        <v>1289</v>
      </c>
      <c r="E2725" s="103" t="s">
        <v>28487</v>
      </c>
      <c r="F2725" s="104"/>
      <c r="G2725" s="105">
        <f t="shared" si="168"/>
        <v>96.12</v>
      </c>
      <c r="H2725" s="101" t="str">
        <f t="shared" si="169"/>
        <v>Sinapi 3914</v>
      </c>
      <c r="I2725" s="101" t="str">
        <f t="shared" si="170"/>
        <v>UN</v>
      </c>
      <c r="J2725" s="140" t="str">
        <f t="shared" si="171"/>
        <v>LUVA DE FERRO GALVANIZADO, COM ROSCA BSP, DE 3"</v>
      </c>
    </row>
    <row r="2726" spans="1:10" x14ac:dyDescent="0.25">
      <c r="A2726" s="169">
        <v>3915</v>
      </c>
      <c r="B2726" s="169" t="s">
        <v>26194</v>
      </c>
      <c r="C2726" s="169" t="s">
        <v>10225</v>
      </c>
      <c r="D2726" s="169" t="s">
        <v>1289</v>
      </c>
      <c r="E2726" s="103" t="s">
        <v>30673</v>
      </c>
      <c r="F2726" s="104"/>
      <c r="G2726" s="105">
        <f t="shared" si="168"/>
        <v>151.58000000000001</v>
      </c>
      <c r="H2726" s="101" t="str">
        <f t="shared" si="169"/>
        <v>Sinapi 3915</v>
      </c>
      <c r="I2726" s="101" t="str">
        <f t="shared" si="170"/>
        <v>UN</v>
      </c>
      <c r="J2726" s="140" t="str">
        <f t="shared" si="171"/>
        <v>LUVA DE FERRO GALVANIZADO, COM ROSCA BSP, DE 4"</v>
      </c>
    </row>
    <row r="2727" spans="1:10" x14ac:dyDescent="0.25">
      <c r="A2727" s="169">
        <v>3916</v>
      </c>
      <c r="B2727" s="169" t="s">
        <v>26195</v>
      </c>
      <c r="C2727" s="169" t="s">
        <v>10225</v>
      </c>
      <c r="D2727" s="169" t="s">
        <v>1289</v>
      </c>
      <c r="E2727" s="103" t="s">
        <v>30674</v>
      </c>
      <c r="F2727" s="104"/>
      <c r="G2727" s="105">
        <f t="shared" si="168"/>
        <v>276.16000000000003</v>
      </c>
      <c r="H2727" s="101" t="str">
        <f t="shared" si="169"/>
        <v>Sinapi 3916</v>
      </c>
      <c r="I2727" s="101" t="str">
        <f t="shared" si="170"/>
        <v>UN</v>
      </c>
      <c r="J2727" s="140" t="str">
        <f t="shared" si="171"/>
        <v>LUVA DE FERRO GALVANIZADO, COM ROSCA BSP, DE 5"</v>
      </c>
    </row>
    <row r="2728" spans="1:10" x14ac:dyDescent="0.25">
      <c r="A2728" s="169">
        <v>3917</v>
      </c>
      <c r="B2728" s="169" t="s">
        <v>26196</v>
      </c>
      <c r="C2728" s="169" t="s">
        <v>10225</v>
      </c>
      <c r="D2728" s="169" t="s">
        <v>1289</v>
      </c>
      <c r="E2728" s="103" t="s">
        <v>30675</v>
      </c>
      <c r="F2728" s="104"/>
      <c r="G2728" s="105">
        <f t="shared" si="168"/>
        <v>455.49</v>
      </c>
      <c r="H2728" s="101" t="str">
        <f t="shared" si="169"/>
        <v>Sinapi 3917</v>
      </c>
      <c r="I2728" s="101" t="str">
        <f t="shared" si="170"/>
        <v>UN</v>
      </c>
      <c r="J2728" s="140" t="str">
        <f t="shared" si="171"/>
        <v>LUVA DE FERRO GALVANIZADO, COM ROSCA BSP, DE 6"</v>
      </c>
    </row>
    <row r="2729" spans="1:10" x14ac:dyDescent="0.25">
      <c r="A2729" s="169">
        <v>1904</v>
      </c>
      <c r="B2729" s="169" t="s">
        <v>26197</v>
      </c>
      <c r="C2729" s="169" t="s">
        <v>10225</v>
      </c>
      <c r="D2729" s="169" t="s">
        <v>1289</v>
      </c>
      <c r="E2729" s="103" t="s">
        <v>3523</v>
      </c>
      <c r="F2729" s="104"/>
      <c r="G2729" s="105">
        <f t="shared" si="168"/>
        <v>0.81</v>
      </c>
      <c r="H2729" s="101" t="str">
        <f t="shared" si="169"/>
        <v>Sinapi 1904</v>
      </c>
      <c r="I2729" s="101" t="str">
        <f t="shared" si="170"/>
        <v>UN</v>
      </c>
      <c r="J2729" s="140" t="str">
        <f t="shared" si="171"/>
        <v>LUVA DE PRESSAO, EM PVC, DE 20 MM, PARA ELETRODUTO FLEXIVEL</v>
      </c>
    </row>
    <row r="2730" spans="1:10" x14ac:dyDescent="0.25">
      <c r="A2730" s="169">
        <v>1899</v>
      </c>
      <c r="B2730" s="169" t="s">
        <v>26198</v>
      </c>
      <c r="C2730" s="169" t="s">
        <v>10225</v>
      </c>
      <c r="D2730" s="169" t="s">
        <v>1289</v>
      </c>
      <c r="E2730" s="103" t="s">
        <v>28558</v>
      </c>
      <c r="F2730" s="104"/>
      <c r="G2730" s="105">
        <f t="shared" si="168"/>
        <v>0.92</v>
      </c>
      <c r="H2730" s="101" t="str">
        <f t="shared" si="169"/>
        <v>Sinapi 1899</v>
      </c>
      <c r="I2730" s="101" t="str">
        <f t="shared" si="170"/>
        <v>UN</v>
      </c>
      <c r="J2730" s="140" t="str">
        <f t="shared" si="171"/>
        <v>LUVA DE PRESSAO, EM PVC, DE 25 MM, PARA ELETRODUTO FLEXIVEL</v>
      </c>
    </row>
    <row r="2731" spans="1:10" x14ac:dyDescent="0.25">
      <c r="A2731" s="169">
        <v>1900</v>
      </c>
      <c r="B2731" s="169" t="s">
        <v>26199</v>
      </c>
      <c r="C2731" s="169" t="s">
        <v>10225</v>
      </c>
      <c r="D2731" s="169" t="s">
        <v>1289</v>
      </c>
      <c r="E2731" s="103" t="s">
        <v>29678</v>
      </c>
      <c r="F2731" s="104"/>
      <c r="G2731" s="105">
        <f t="shared" si="168"/>
        <v>1.49</v>
      </c>
      <c r="H2731" s="101" t="str">
        <f t="shared" si="169"/>
        <v>Sinapi 1900</v>
      </c>
      <c r="I2731" s="101" t="str">
        <f t="shared" si="170"/>
        <v>UN</v>
      </c>
      <c r="J2731" s="140" t="str">
        <f t="shared" si="171"/>
        <v>LUVA DE PRESSAO, EM PVC, DE 32 MM, PARA ELETRODUTO FLEXIVEL</v>
      </c>
    </row>
    <row r="2732" spans="1:10" x14ac:dyDescent="0.25">
      <c r="A2732" s="169">
        <v>12407</v>
      </c>
      <c r="B2732" s="169" t="s">
        <v>26200</v>
      </c>
      <c r="C2732" s="169" t="s">
        <v>10225</v>
      </c>
      <c r="D2732" s="169" t="s">
        <v>1289</v>
      </c>
      <c r="E2732" s="103" t="s">
        <v>21039</v>
      </c>
      <c r="F2732" s="104"/>
      <c r="G2732" s="105">
        <f t="shared" si="168"/>
        <v>34.479999999999997</v>
      </c>
      <c r="H2732" s="101" t="str">
        <f t="shared" si="169"/>
        <v>Sinapi 12407</v>
      </c>
      <c r="I2732" s="101" t="str">
        <f t="shared" si="170"/>
        <v>UN</v>
      </c>
      <c r="J2732" s="140" t="str">
        <f t="shared" si="171"/>
        <v>LUVA DE REDUCAO DE FERRO GALVANIZADO, COM ROSCA BSP MACHO/FEMEA, DE 1 1/2" X 1"</v>
      </c>
    </row>
    <row r="2733" spans="1:10" x14ac:dyDescent="0.25">
      <c r="A2733" s="169">
        <v>12408</v>
      </c>
      <c r="B2733" s="169" t="s">
        <v>26201</v>
      </c>
      <c r="C2733" s="169" t="s">
        <v>10225</v>
      </c>
      <c r="D2733" s="169" t="s">
        <v>1289</v>
      </c>
      <c r="E2733" s="103" t="s">
        <v>16745</v>
      </c>
      <c r="F2733" s="104"/>
      <c r="G2733" s="105">
        <f t="shared" si="168"/>
        <v>19.46</v>
      </c>
      <c r="H2733" s="101" t="str">
        <f t="shared" si="169"/>
        <v>Sinapi 12408</v>
      </c>
      <c r="I2733" s="101" t="str">
        <f t="shared" si="170"/>
        <v>UN</v>
      </c>
      <c r="J2733" s="140" t="str">
        <f t="shared" si="171"/>
        <v>LUVA DE REDUCAO DE FERRO GALVANIZADO, COM ROSCA BSP MACHO/FEMEA, DE 1" X 1/2"</v>
      </c>
    </row>
    <row r="2734" spans="1:10" x14ac:dyDescent="0.25">
      <c r="A2734" s="169">
        <v>12409</v>
      </c>
      <c r="B2734" s="169" t="s">
        <v>26202</v>
      </c>
      <c r="C2734" s="169" t="s">
        <v>10225</v>
      </c>
      <c r="D2734" s="169" t="s">
        <v>1289</v>
      </c>
      <c r="E2734" s="103" t="s">
        <v>16745</v>
      </c>
      <c r="F2734" s="104"/>
      <c r="G2734" s="105">
        <f t="shared" si="168"/>
        <v>19.46</v>
      </c>
      <c r="H2734" s="101" t="str">
        <f t="shared" si="169"/>
        <v>Sinapi 12409</v>
      </c>
      <c r="I2734" s="101" t="str">
        <f t="shared" si="170"/>
        <v>UN</v>
      </c>
      <c r="J2734" s="140" t="str">
        <f t="shared" si="171"/>
        <v>LUVA DE REDUCAO DE FERRO GALVANIZADO, COM ROSCA BSP MACHO/FEMEA, DE 1" X 3/4"</v>
      </c>
    </row>
    <row r="2735" spans="1:10" x14ac:dyDescent="0.25">
      <c r="A2735" s="169">
        <v>12410</v>
      </c>
      <c r="B2735" s="169" t="s">
        <v>26203</v>
      </c>
      <c r="C2735" s="169" t="s">
        <v>10225</v>
      </c>
      <c r="D2735" s="169" t="s">
        <v>1289</v>
      </c>
      <c r="E2735" s="103" t="s">
        <v>14937</v>
      </c>
      <c r="F2735" s="104"/>
      <c r="G2735" s="105">
        <f t="shared" si="168"/>
        <v>13.41</v>
      </c>
      <c r="H2735" s="101" t="str">
        <f t="shared" si="169"/>
        <v>Sinapi 12410</v>
      </c>
      <c r="I2735" s="101" t="str">
        <f t="shared" si="170"/>
        <v>UN</v>
      </c>
      <c r="J2735" s="140" t="str">
        <f t="shared" si="171"/>
        <v>LUVA DE REDUCAO DE FERRO GALVANIZADO, COM ROSCA BSP MACHO/FEMEA, DE 3/4" X 1/2"</v>
      </c>
    </row>
    <row r="2736" spans="1:10" x14ac:dyDescent="0.25">
      <c r="A2736" s="169">
        <v>3936</v>
      </c>
      <c r="B2736" s="169" t="s">
        <v>26204</v>
      </c>
      <c r="C2736" s="169" t="s">
        <v>10225</v>
      </c>
      <c r="D2736" s="169" t="s">
        <v>1289</v>
      </c>
      <c r="E2736" s="103" t="s">
        <v>17406</v>
      </c>
      <c r="F2736" s="104"/>
      <c r="G2736" s="105">
        <f t="shared" si="168"/>
        <v>24.22</v>
      </c>
      <c r="H2736" s="101" t="str">
        <f t="shared" si="169"/>
        <v>Sinapi 3936</v>
      </c>
      <c r="I2736" s="101" t="str">
        <f t="shared" si="170"/>
        <v>UN</v>
      </c>
      <c r="J2736" s="140" t="str">
        <f t="shared" si="171"/>
        <v>LUVA DE REDUCAO DE FERRO GALVANIZADO, COM ROSCA BSP, DE 1 1/2" X 1 1/4"</v>
      </c>
    </row>
    <row r="2737" spans="1:10" x14ac:dyDescent="0.25">
      <c r="A2737" s="169">
        <v>3922</v>
      </c>
      <c r="B2737" s="169" t="s">
        <v>26205</v>
      </c>
      <c r="C2737" s="169" t="s">
        <v>10225</v>
      </c>
      <c r="D2737" s="169" t="s">
        <v>1289</v>
      </c>
      <c r="E2737" s="103" t="s">
        <v>18423</v>
      </c>
      <c r="F2737" s="104"/>
      <c r="G2737" s="105">
        <f t="shared" si="168"/>
        <v>22.28</v>
      </c>
      <c r="H2737" s="101" t="str">
        <f t="shared" si="169"/>
        <v>Sinapi 3922</v>
      </c>
      <c r="I2737" s="101" t="str">
        <f t="shared" si="170"/>
        <v>UN</v>
      </c>
      <c r="J2737" s="140" t="str">
        <f t="shared" si="171"/>
        <v>LUVA DE REDUCAO DE FERRO GALVANIZADO, COM ROSCA BSP, DE 1 1/2" X 1/2"</v>
      </c>
    </row>
    <row r="2738" spans="1:10" x14ac:dyDescent="0.25">
      <c r="A2738" s="169">
        <v>3924</v>
      </c>
      <c r="B2738" s="169" t="s">
        <v>26206</v>
      </c>
      <c r="C2738" s="169" t="s">
        <v>10225</v>
      </c>
      <c r="D2738" s="169" t="s">
        <v>1289</v>
      </c>
      <c r="E2738" s="103" t="s">
        <v>17406</v>
      </c>
      <c r="F2738" s="104"/>
      <c r="G2738" s="105">
        <f t="shared" si="168"/>
        <v>24.22</v>
      </c>
      <c r="H2738" s="101" t="str">
        <f t="shared" si="169"/>
        <v>Sinapi 3924</v>
      </c>
      <c r="I2738" s="101" t="str">
        <f t="shared" si="170"/>
        <v>UN</v>
      </c>
      <c r="J2738" s="140" t="str">
        <f t="shared" si="171"/>
        <v>LUVA DE REDUCAO DE FERRO GALVANIZADO, COM ROSCA BSP, DE 1 1/2" X 1"</v>
      </c>
    </row>
    <row r="2739" spans="1:10" x14ac:dyDescent="0.25">
      <c r="A2739" s="169">
        <v>3923</v>
      </c>
      <c r="B2739" s="169" t="s">
        <v>26207</v>
      </c>
      <c r="C2739" s="169" t="s">
        <v>10225</v>
      </c>
      <c r="D2739" s="169" t="s">
        <v>1289</v>
      </c>
      <c r="E2739" s="103" t="s">
        <v>17406</v>
      </c>
      <c r="F2739" s="104"/>
      <c r="G2739" s="105">
        <f t="shared" si="168"/>
        <v>24.22</v>
      </c>
      <c r="H2739" s="101" t="str">
        <f t="shared" si="169"/>
        <v>Sinapi 3923</v>
      </c>
      <c r="I2739" s="101" t="str">
        <f t="shared" si="170"/>
        <v>UN</v>
      </c>
      <c r="J2739" s="140" t="str">
        <f t="shared" si="171"/>
        <v>LUVA DE REDUCAO DE FERRO GALVANIZADO, COM ROSCA BSP, DE 1 1/2" X 3/4"</v>
      </c>
    </row>
    <row r="2740" spans="1:10" x14ac:dyDescent="0.25">
      <c r="A2740" s="169">
        <v>3937</v>
      </c>
      <c r="B2740" s="169" t="s">
        <v>26208</v>
      </c>
      <c r="C2740" s="169" t="s">
        <v>10225</v>
      </c>
      <c r="D2740" s="169" t="s">
        <v>1289</v>
      </c>
      <c r="E2740" s="103" t="s">
        <v>30676</v>
      </c>
      <c r="F2740" s="104"/>
      <c r="G2740" s="105">
        <f t="shared" si="168"/>
        <v>19.98</v>
      </c>
      <c r="H2740" s="101" t="str">
        <f t="shared" si="169"/>
        <v>Sinapi 3937</v>
      </c>
      <c r="I2740" s="101" t="str">
        <f t="shared" si="170"/>
        <v>UN</v>
      </c>
      <c r="J2740" s="140" t="str">
        <f t="shared" si="171"/>
        <v>LUVA DE REDUCAO DE FERRO GALVANIZADO, COM ROSCA BSP, DE 1 1/4" X 1/2"</v>
      </c>
    </row>
    <row r="2741" spans="1:10" x14ac:dyDescent="0.25">
      <c r="A2741" s="169">
        <v>3921</v>
      </c>
      <c r="B2741" s="169" t="s">
        <v>26209</v>
      </c>
      <c r="C2741" s="169" t="s">
        <v>10225</v>
      </c>
      <c r="D2741" s="169" t="s">
        <v>1289</v>
      </c>
      <c r="E2741" s="103" t="s">
        <v>6362</v>
      </c>
      <c r="F2741" s="104"/>
      <c r="G2741" s="105">
        <f t="shared" si="168"/>
        <v>20</v>
      </c>
      <c r="H2741" s="101" t="str">
        <f t="shared" si="169"/>
        <v>Sinapi 3921</v>
      </c>
      <c r="I2741" s="101" t="str">
        <f t="shared" si="170"/>
        <v>UN</v>
      </c>
      <c r="J2741" s="140" t="str">
        <f t="shared" si="171"/>
        <v>LUVA DE REDUCAO DE FERRO GALVANIZADO, COM ROSCA BSP, DE 1 1/4" X 1"</v>
      </c>
    </row>
    <row r="2742" spans="1:10" x14ac:dyDescent="0.25">
      <c r="A2742" s="169">
        <v>3920</v>
      </c>
      <c r="B2742" s="169" t="s">
        <v>26210</v>
      </c>
      <c r="C2742" s="169" t="s">
        <v>10225</v>
      </c>
      <c r="D2742" s="169" t="s">
        <v>1289</v>
      </c>
      <c r="E2742" s="103" t="s">
        <v>30676</v>
      </c>
      <c r="F2742" s="104"/>
      <c r="G2742" s="105">
        <f t="shared" si="168"/>
        <v>19.98</v>
      </c>
      <c r="H2742" s="101" t="str">
        <f t="shared" si="169"/>
        <v>Sinapi 3920</v>
      </c>
      <c r="I2742" s="101" t="str">
        <f t="shared" si="170"/>
        <v>UN</v>
      </c>
      <c r="J2742" s="140" t="str">
        <f t="shared" si="171"/>
        <v>LUVA DE REDUCAO DE FERRO GALVANIZADO, COM ROSCA BSP, DE 1 1/4" X 3/4"</v>
      </c>
    </row>
    <row r="2743" spans="1:10" x14ac:dyDescent="0.25">
      <c r="A2743" s="169">
        <v>3938</v>
      </c>
      <c r="B2743" s="169" t="s">
        <v>26211</v>
      </c>
      <c r="C2743" s="169" t="s">
        <v>10225</v>
      </c>
      <c r="D2743" s="169" t="s">
        <v>1289</v>
      </c>
      <c r="E2743" s="103" t="s">
        <v>21558</v>
      </c>
      <c r="F2743" s="104"/>
      <c r="G2743" s="105">
        <f t="shared" si="168"/>
        <v>13.18</v>
      </c>
      <c r="H2743" s="101" t="str">
        <f t="shared" si="169"/>
        <v>Sinapi 3938</v>
      </c>
      <c r="I2743" s="101" t="str">
        <f t="shared" si="170"/>
        <v>UN</v>
      </c>
      <c r="J2743" s="140" t="str">
        <f t="shared" si="171"/>
        <v>LUVA DE REDUCAO DE FERRO GALVANIZADO, COM ROSCA BSP, DE 1" X 1/2"</v>
      </c>
    </row>
    <row r="2744" spans="1:10" x14ac:dyDescent="0.25">
      <c r="A2744" s="169">
        <v>3919</v>
      </c>
      <c r="B2744" s="169" t="s">
        <v>26212</v>
      </c>
      <c r="C2744" s="169" t="s">
        <v>10225</v>
      </c>
      <c r="D2744" s="169" t="s">
        <v>1289</v>
      </c>
      <c r="E2744" s="103" t="s">
        <v>19963</v>
      </c>
      <c r="F2744" s="104"/>
      <c r="G2744" s="105">
        <f t="shared" si="168"/>
        <v>13.43</v>
      </c>
      <c r="H2744" s="101" t="str">
        <f t="shared" si="169"/>
        <v>Sinapi 3919</v>
      </c>
      <c r="I2744" s="101" t="str">
        <f t="shared" si="170"/>
        <v>UN</v>
      </c>
      <c r="J2744" s="140" t="str">
        <f t="shared" si="171"/>
        <v>LUVA DE REDUCAO DE FERRO GALVANIZADO, COM ROSCA BSP, DE 1" X 3/4"</v>
      </c>
    </row>
    <row r="2745" spans="1:10" x14ac:dyDescent="0.25">
      <c r="A2745" s="169">
        <v>3927</v>
      </c>
      <c r="B2745" s="169" t="s">
        <v>26213</v>
      </c>
      <c r="C2745" s="169" t="s">
        <v>10225</v>
      </c>
      <c r="D2745" s="169" t="s">
        <v>1289</v>
      </c>
      <c r="E2745" s="103" t="s">
        <v>28513</v>
      </c>
      <c r="F2745" s="104"/>
      <c r="G2745" s="105">
        <f t="shared" si="168"/>
        <v>68.040000000000006</v>
      </c>
      <c r="H2745" s="101" t="str">
        <f t="shared" si="169"/>
        <v>Sinapi 3927</v>
      </c>
      <c r="I2745" s="101" t="str">
        <f t="shared" si="170"/>
        <v>UN</v>
      </c>
      <c r="J2745" s="140" t="str">
        <f t="shared" si="171"/>
        <v>LUVA DE REDUCAO DE FERRO GALVANIZADO, COM ROSCA BSP, DE 2 1/2" X 1 1/2"</v>
      </c>
    </row>
    <row r="2746" spans="1:10" x14ac:dyDescent="0.25">
      <c r="A2746" s="169">
        <v>3928</v>
      </c>
      <c r="B2746" s="169" t="s">
        <v>26215</v>
      </c>
      <c r="C2746" s="169" t="s">
        <v>10225</v>
      </c>
      <c r="D2746" s="169" t="s">
        <v>1289</v>
      </c>
      <c r="E2746" s="103" t="s">
        <v>28513</v>
      </c>
      <c r="F2746" s="104"/>
      <c r="G2746" s="105">
        <f t="shared" si="168"/>
        <v>68.040000000000006</v>
      </c>
      <c r="H2746" s="101" t="str">
        <f t="shared" si="169"/>
        <v>Sinapi 3928</v>
      </c>
      <c r="I2746" s="101" t="str">
        <f t="shared" si="170"/>
        <v>UN</v>
      </c>
      <c r="J2746" s="140" t="str">
        <f t="shared" si="171"/>
        <v>LUVA DE REDUCAO DE FERRO GALVANIZADO, COM ROSCA BSP, DE 2 1/2" X 2"</v>
      </c>
    </row>
    <row r="2747" spans="1:10" x14ac:dyDescent="0.25">
      <c r="A2747" s="169">
        <v>3926</v>
      </c>
      <c r="B2747" s="169" t="s">
        <v>26216</v>
      </c>
      <c r="C2747" s="169" t="s">
        <v>10225</v>
      </c>
      <c r="D2747" s="169" t="s">
        <v>1289</v>
      </c>
      <c r="E2747" s="103" t="s">
        <v>30677</v>
      </c>
      <c r="F2747" s="104"/>
      <c r="G2747" s="105">
        <f t="shared" si="168"/>
        <v>38.79</v>
      </c>
      <c r="H2747" s="101" t="str">
        <f t="shared" si="169"/>
        <v>Sinapi 3926</v>
      </c>
      <c r="I2747" s="101" t="str">
        <f t="shared" si="170"/>
        <v>UN</v>
      </c>
      <c r="J2747" s="140" t="str">
        <f t="shared" si="171"/>
        <v>LUVA DE REDUCAO DE FERRO GALVANIZADO, COM ROSCA BSP, DE 2" X 1 1/2"</v>
      </c>
    </row>
    <row r="2748" spans="1:10" x14ac:dyDescent="0.25">
      <c r="A2748" s="169">
        <v>3935</v>
      </c>
      <c r="B2748" s="169" t="s">
        <v>26217</v>
      </c>
      <c r="C2748" s="169" t="s">
        <v>10225</v>
      </c>
      <c r="D2748" s="169" t="s">
        <v>1289</v>
      </c>
      <c r="E2748" s="103" t="s">
        <v>30677</v>
      </c>
      <c r="F2748" s="104"/>
      <c r="G2748" s="105">
        <f t="shared" si="168"/>
        <v>38.79</v>
      </c>
      <c r="H2748" s="101" t="str">
        <f t="shared" si="169"/>
        <v>Sinapi 3935</v>
      </c>
      <c r="I2748" s="101" t="str">
        <f t="shared" si="170"/>
        <v>UN</v>
      </c>
      <c r="J2748" s="140" t="str">
        <f t="shared" si="171"/>
        <v>LUVA DE REDUCAO DE FERRO GALVANIZADO, COM ROSCA BSP, DE 2" X 1 1/4"</v>
      </c>
    </row>
    <row r="2749" spans="1:10" x14ac:dyDescent="0.25">
      <c r="A2749" s="169">
        <v>3925</v>
      </c>
      <c r="B2749" s="169" t="s">
        <v>26218</v>
      </c>
      <c r="C2749" s="169" t="s">
        <v>10225</v>
      </c>
      <c r="D2749" s="169" t="s">
        <v>1289</v>
      </c>
      <c r="E2749" s="103" t="s">
        <v>30677</v>
      </c>
      <c r="F2749" s="104"/>
      <c r="G2749" s="105">
        <f t="shared" si="168"/>
        <v>38.79</v>
      </c>
      <c r="H2749" s="101" t="str">
        <f t="shared" si="169"/>
        <v>Sinapi 3925</v>
      </c>
      <c r="I2749" s="101" t="str">
        <f t="shared" si="170"/>
        <v>UN</v>
      </c>
      <c r="J2749" s="140" t="str">
        <f t="shared" si="171"/>
        <v>LUVA DE REDUCAO DE FERRO GALVANIZADO, COM ROSCA BSP, DE 2" X 1"</v>
      </c>
    </row>
    <row r="2750" spans="1:10" x14ac:dyDescent="0.25">
      <c r="A2750" s="169">
        <v>12406</v>
      </c>
      <c r="B2750" s="169" t="s">
        <v>26219</v>
      </c>
      <c r="C2750" s="169" t="s">
        <v>10225</v>
      </c>
      <c r="D2750" s="169" t="s">
        <v>1289</v>
      </c>
      <c r="E2750" s="103" t="s">
        <v>20994</v>
      </c>
      <c r="F2750" s="104"/>
      <c r="G2750" s="105">
        <f t="shared" si="168"/>
        <v>9.52</v>
      </c>
      <c r="H2750" s="101" t="str">
        <f t="shared" si="169"/>
        <v>Sinapi 12406</v>
      </c>
      <c r="I2750" s="101" t="str">
        <f t="shared" si="170"/>
        <v>UN</v>
      </c>
      <c r="J2750" s="140" t="str">
        <f t="shared" si="171"/>
        <v>LUVA DE REDUCAO DE FERRO GALVANIZADO, COM ROSCA BSP, DE 3/4" X 1/2"</v>
      </c>
    </row>
    <row r="2751" spans="1:10" x14ac:dyDescent="0.25">
      <c r="A2751" s="169">
        <v>3929</v>
      </c>
      <c r="B2751" s="169" t="s">
        <v>26220</v>
      </c>
      <c r="C2751" s="169" t="s">
        <v>10225</v>
      </c>
      <c r="D2751" s="169" t="s">
        <v>1289</v>
      </c>
      <c r="E2751" s="103" t="s">
        <v>23295</v>
      </c>
      <c r="F2751" s="104"/>
      <c r="G2751" s="105">
        <f t="shared" si="168"/>
        <v>103.66</v>
      </c>
      <c r="H2751" s="101" t="str">
        <f t="shared" si="169"/>
        <v>Sinapi 3929</v>
      </c>
      <c r="I2751" s="101" t="str">
        <f t="shared" si="170"/>
        <v>UN</v>
      </c>
      <c r="J2751" s="140" t="str">
        <f t="shared" si="171"/>
        <v>LUVA DE REDUCAO DE FERRO GALVANIZADO, COM ROSCA BSP, DE 3" X 1 1/2"</v>
      </c>
    </row>
    <row r="2752" spans="1:10" x14ac:dyDescent="0.25">
      <c r="A2752" s="169">
        <v>3931</v>
      </c>
      <c r="B2752" s="169" t="s">
        <v>26221</v>
      </c>
      <c r="C2752" s="169" t="s">
        <v>10225</v>
      </c>
      <c r="D2752" s="169" t="s">
        <v>1289</v>
      </c>
      <c r="E2752" s="103" t="s">
        <v>23295</v>
      </c>
      <c r="F2752" s="104"/>
      <c r="G2752" s="105">
        <f t="shared" si="168"/>
        <v>103.66</v>
      </c>
      <c r="H2752" s="101" t="str">
        <f t="shared" si="169"/>
        <v>Sinapi 3931</v>
      </c>
      <c r="I2752" s="101" t="str">
        <f t="shared" si="170"/>
        <v>UN</v>
      </c>
      <c r="J2752" s="140" t="str">
        <f t="shared" si="171"/>
        <v>LUVA DE REDUCAO DE FERRO GALVANIZADO, COM ROSCA BSP, DE 3" X 2 1/2"</v>
      </c>
    </row>
    <row r="2753" spans="1:10" x14ac:dyDescent="0.25">
      <c r="A2753" s="169">
        <v>3930</v>
      </c>
      <c r="B2753" s="169" t="s">
        <v>26222</v>
      </c>
      <c r="C2753" s="169" t="s">
        <v>10225</v>
      </c>
      <c r="D2753" s="169" t="s">
        <v>1289</v>
      </c>
      <c r="E2753" s="103" t="s">
        <v>23295</v>
      </c>
      <c r="F2753" s="104"/>
      <c r="G2753" s="105">
        <f t="shared" si="168"/>
        <v>103.66</v>
      </c>
      <c r="H2753" s="101" t="str">
        <f t="shared" si="169"/>
        <v>Sinapi 3930</v>
      </c>
      <c r="I2753" s="101" t="str">
        <f t="shared" si="170"/>
        <v>UN</v>
      </c>
      <c r="J2753" s="140" t="str">
        <f t="shared" si="171"/>
        <v>LUVA DE REDUCAO DE FERRO GALVANIZADO, COM ROSCA BSP, DE 3" X 2"</v>
      </c>
    </row>
    <row r="2754" spans="1:10" x14ac:dyDescent="0.25">
      <c r="A2754" s="169">
        <v>3932</v>
      </c>
      <c r="B2754" s="169" t="s">
        <v>26223</v>
      </c>
      <c r="C2754" s="169" t="s">
        <v>10225</v>
      </c>
      <c r="D2754" s="169" t="s">
        <v>1289</v>
      </c>
      <c r="E2754" s="103" t="s">
        <v>30678</v>
      </c>
      <c r="F2754" s="104"/>
      <c r="G2754" s="105">
        <f t="shared" si="168"/>
        <v>178.99</v>
      </c>
      <c r="H2754" s="101" t="str">
        <f t="shared" si="169"/>
        <v>Sinapi 3932</v>
      </c>
      <c r="I2754" s="101" t="str">
        <f t="shared" si="170"/>
        <v>UN</v>
      </c>
      <c r="J2754" s="140" t="str">
        <f t="shared" si="171"/>
        <v>LUVA DE REDUCAO DE FERRO GALVANIZADO, COM ROSCA BSP, DE 4" X 2 1/2"</v>
      </c>
    </row>
    <row r="2755" spans="1:10" x14ac:dyDescent="0.25">
      <c r="A2755" s="169">
        <v>3933</v>
      </c>
      <c r="B2755" s="169" t="s">
        <v>26224</v>
      </c>
      <c r="C2755" s="169" t="s">
        <v>10225</v>
      </c>
      <c r="D2755" s="169" t="s">
        <v>1289</v>
      </c>
      <c r="E2755" s="103" t="s">
        <v>30678</v>
      </c>
      <c r="F2755" s="104"/>
      <c r="G2755" s="105">
        <f t="shared" si="168"/>
        <v>178.99</v>
      </c>
      <c r="H2755" s="101" t="str">
        <f t="shared" si="169"/>
        <v>Sinapi 3933</v>
      </c>
      <c r="I2755" s="101" t="str">
        <f t="shared" si="170"/>
        <v>UN</v>
      </c>
      <c r="J2755" s="140" t="str">
        <f t="shared" si="171"/>
        <v>LUVA DE REDUCAO DE FERRO GALVANIZADO, COM ROSCA BSP, DE 4" X 2"</v>
      </c>
    </row>
    <row r="2756" spans="1:10" x14ac:dyDescent="0.25">
      <c r="A2756" s="169">
        <v>3934</v>
      </c>
      <c r="B2756" s="169" t="s">
        <v>26225</v>
      </c>
      <c r="C2756" s="169" t="s">
        <v>10225</v>
      </c>
      <c r="D2756" s="169" t="s">
        <v>1289</v>
      </c>
      <c r="E2756" s="103" t="s">
        <v>30678</v>
      </c>
      <c r="F2756" s="104"/>
      <c r="G2756" s="105">
        <f t="shared" si="168"/>
        <v>178.99</v>
      </c>
      <c r="H2756" s="101" t="str">
        <f t="shared" si="169"/>
        <v>Sinapi 3934</v>
      </c>
      <c r="I2756" s="101" t="str">
        <f t="shared" si="170"/>
        <v>UN</v>
      </c>
      <c r="J2756" s="140" t="str">
        <f t="shared" si="171"/>
        <v>LUVA DE REDUCAO DE FERRO GALVANIZADO, COM ROSCA BSP, DE 4" X 3"</v>
      </c>
    </row>
    <row r="2757" spans="1:10" x14ac:dyDescent="0.25">
      <c r="A2757" s="169">
        <v>40355</v>
      </c>
      <c r="B2757" s="169" t="s">
        <v>26226</v>
      </c>
      <c r="C2757" s="169" t="s">
        <v>10225</v>
      </c>
      <c r="D2757" s="169" t="s">
        <v>1290</v>
      </c>
      <c r="E2757" s="103" t="s">
        <v>5718</v>
      </c>
      <c r="F2757" s="104"/>
      <c r="G2757" s="105">
        <f t="shared" si="168"/>
        <v>12.72</v>
      </c>
      <c r="H2757" s="101" t="str">
        <f t="shared" si="169"/>
        <v>Sinapi 40355</v>
      </c>
      <c r="I2757" s="101" t="str">
        <f t="shared" si="170"/>
        <v>UN</v>
      </c>
      <c r="J2757" s="140" t="str">
        <f t="shared" si="171"/>
        <v>LUVA DE REDUCAO EM ACO CARBONO, COM ENCAIXE PARA SOLDA DN SW, PRESSAO 3.000 LBS, 3/4 " X 1/2"</v>
      </c>
    </row>
    <row r="2758" spans="1:10" x14ac:dyDescent="0.25">
      <c r="A2758" s="169">
        <v>40364</v>
      </c>
      <c r="B2758" s="169" t="s">
        <v>26227</v>
      </c>
      <c r="C2758" s="169" t="s">
        <v>10225</v>
      </c>
      <c r="D2758" s="169" t="s">
        <v>1290</v>
      </c>
      <c r="E2758" s="103" t="s">
        <v>19397</v>
      </c>
      <c r="F2758" s="104"/>
      <c r="G2758" s="105">
        <f t="shared" si="168"/>
        <v>59.6</v>
      </c>
      <c r="H2758" s="101" t="str">
        <f t="shared" si="169"/>
        <v>Sinapi 40364</v>
      </c>
      <c r="I2758" s="101" t="str">
        <f t="shared" si="170"/>
        <v>UN</v>
      </c>
      <c r="J2758" s="140" t="str">
        <f t="shared" si="171"/>
        <v>LUVA DE REDUCAO EM ACO CARBONO, COM ENCAIXE PARA SOLDA DN SW, PRESSAO 3.000 LBS, DN 1 1/2" X 1 1/4"</v>
      </c>
    </row>
    <row r="2759" spans="1:10" x14ac:dyDescent="0.25">
      <c r="A2759" s="169">
        <v>40361</v>
      </c>
      <c r="B2759" s="169" t="s">
        <v>26228</v>
      </c>
      <c r="C2759" s="169" t="s">
        <v>10225</v>
      </c>
      <c r="D2759" s="169" t="s">
        <v>1290</v>
      </c>
      <c r="E2759" s="103" t="s">
        <v>28617</v>
      </c>
      <c r="F2759" s="104"/>
      <c r="G2759" s="105">
        <f t="shared" si="168"/>
        <v>46.6</v>
      </c>
      <c r="H2759" s="101" t="str">
        <f t="shared" si="169"/>
        <v>Sinapi 40361</v>
      </c>
      <c r="I2759" s="101" t="str">
        <f t="shared" si="170"/>
        <v>UN</v>
      </c>
      <c r="J2759" s="140" t="str">
        <f t="shared" si="171"/>
        <v>LUVA DE REDUCAO EM ACO CARBONO, COM ENCAIXE PARA SOLDA DN SW, PRESSAO 3.000 LBS, DN 1 1/4" X 1"</v>
      </c>
    </row>
    <row r="2760" spans="1:10" x14ac:dyDescent="0.25">
      <c r="A2760" s="169">
        <v>40358</v>
      </c>
      <c r="B2760" s="169" t="s">
        <v>26229</v>
      </c>
      <c r="C2760" s="169" t="s">
        <v>10225</v>
      </c>
      <c r="D2760" s="169" t="s">
        <v>1290</v>
      </c>
      <c r="E2760" s="103" t="s">
        <v>11833</v>
      </c>
      <c r="F2760" s="104"/>
      <c r="G2760" s="105">
        <f t="shared" ref="G2760:G2823" si="172">IF(E2760="","",E2760+0)</f>
        <v>17.760000000000002</v>
      </c>
      <c r="H2760" s="101" t="str">
        <f t="shared" ref="H2760:H2823" si="173">IF(G2760="","",TRIM(CONCATENATE("Sinapi ",A2760)))</f>
        <v>Sinapi 40358</v>
      </c>
      <c r="I2760" s="101" t="str">
        <f t="shared" ref="I2760:I2823" si="174">TRIM(C2760)</f>
        <v>UN</v>
      </c>
      <c r="J2760" s="140" t="str">
        <f t="shared" si="171"/>
        <v>LUVA DE REDUCAO EM ACO CARBONO, COM ENCAIXE PARA SOLDA DN SW, PRESSAO 3.000 LBS, DN 1" X 3/4"</v>
      </c>
    </row>
    <row r="2761" spans="1:10" x14ac:dyDescent="0.25">
      <c r="A2761" s="169">
        <v>40370</v>
      </c>
      <c r="B2761" s="169" t="s">
        <v>26231</v>
      </c>
      <c r="C2761" s="169" t="s">
        <v>10225</v>
      </c>
      <c r="D2761" s="169" t="s">
        <v>1290</v>
      </c>
      <c r="E2761" s="103" t="s">
        <v>30679</v>
      </c>
      <c r="F2761" s="104"/>
      <c r="G2761" s="105">
        <f t="shared" si="172"/>
        <v>189.1</v>
      </c>
      <c r="H2761" s="101" t="str">
        <f t="shared" si="173"/>
        <v>Sinapi 40370</v>
      </c>
      <c r="I2761" s="101" t="str">
        <f t="shared" si="174"/>
        <v>UN</v>
      </c>
      <c r="J2761" s="140" t="str">
        <f t="shared" ref="J2761:J2824" si="175">TRIM(B2761)</f>
        <v>LUVA DE REDUCAO EM ACO CARBONO, COM ENCAIXE PARA SOLDA DN SW, PRESSAO 3.000 LBS, DN 2 1/2" X 2"</v>
      </c>
    </row>
    <row r="2762" spans="1:10" x14ac:dyDescent="0.25">
      <c r="A2762" s="169">
        <v>40367</v>
      </c>
      <c r="B2762" s="169" t="s">
        <v>26232</v>
      </c>
      <c r="C2762" s="169" t="s">
        <v>10225</v>
      </c>
      <c r="D2762" s="169" t="s">
        <v>1290</v>
      </c>
      <c r="E2762" s="103" t="s">
        <v>30680</v>
      </c>
      <c r="F2762" s="104"/>
      <c r="G2762" s="105">
        <f t="shared" si="172"/>
        <v>93.99</v>
      </c>
      <c r="H2762" s="101" t="str">
        <f t="shared" si="173"/>
        <v>Sinapi 40367</v>
      </c>
      <c r="I2762" s="101" t="str">
        <f t="shared" si="174"/>
        <v>UN</v>
      </c>
      <c r="J2762" s="140" t="str">
        <f t="shared" si="175"/>
        <v>LUVA DE REDUCAO EM ACO CARBONO, COM ENCAIXE PARA SOLDA DN SW, PRESSAO 3.000 LBS, DN 2" X 1 1/2"</v>
      </c>
    </row>
    <row r="2763" spans="1:10" x14ac:dyDescent="0.25">
      <c r="A2763" s="169">
        <v>40373</v>
      </c>
      <c r="B2763" s="169" t="s">
        <v>26234</v>
      </c>
      <c r="C2763" s="169" t="s">
        <v>10225</v>
      </c>
      <c r="D2763" s="169" t="s">
        <v>1290</v>
      </c>
      <c r="E2763" s="103" t="s">
        <v>30681</v>
      </c>
      <c r="F2763" s="104"/>
      <c r="G2763" s="105">
        <f t="shared" si="172"/>
        <v>255.72</v>
      </c>
      <c r="H2763" s="101" t="str">
        <f t="shared" si="173"/>
        <v>Sinapi 40373</v>
      </c>
      <c r="I2763" s="101" t="str">
        <f t="shared" si="174"/>
        <v>UN</v>
      </c>
      <c r="J2763" s="140" t="str">
        <f t="shared" si="175"/>
        <v>LUVA DE REDUCAO EM ACO CARBONO, COM ENCAIXE PARA SOLDA DN SW, PRESSAO 3.000 LBS, DN 3" X 2 1/2"</v>
      </c>
    </row>
    <row r="2764" spans="1:10" x14ac:dyDescent="0.25">
      <c r="A2764" s="169">
        <v>3907</v>
      </c>
      <c r="B2764" s="169" t="s">
        <v>26235</v>
      </c>
      <c r="C2764" s="169" t="s">
        <v>10225</v>
      </c>
      <c r="D2764" s="169" t="s">
        <v>1289</v>
      </c>
      <c r="E2764" s="103" t="s">
        <v>17713</v>
      </c>
      <c r="F2764" s="104"/>
      <c r="G2764" s="105">
        <f t="shared" si="172"/>
        <v>6.31</v>
      </c>
      <c r="H2764" s="101" t="str">
        <f t="shared" si="173"/>
        <v>Sinapi 3907</v>
      </c>
      <c r="I2764" s="101" t="str">
        <f t="shared" si="174"/>
        <v>UN</v>
      </c>
      <c r="J2764" s="140" t="str">
        <f t="shared" si="175"/>
        <v>LUVA DE REDUCAO ROSCAVEL, PVC, 1" X 3/4", PARA AGUA FRIA PREDIAL</v>
      </c>
    </row>
    <row r="2765" spans="1:10" x14ac:dyDescent="0.25">
      <c r="A2765" s="169">
        <v>3889</v>
      </c>
      <c r="B2765" s="169" t="s">
        <v>26236</v>
      </c>
      <c r="C2765" s="169" t="s">
        <v>10225</v>
      </c>
      <c r="D2765" s="169" t="s">
        <v>1289</v>
      </c>
      <c r="E2765" s="103" t="s">
        <v>5912</v>
      </c>
      <c r="F2765" s="104"/>
      <c r="G2765" s="105">
        <f t="shared" si="172"/>
        <v>4.49</v>
      </c>
      <c r="H2765" s="101" t="str">
        <f t="shared" si="173"/>
        <v>Sinapi 3889</v>
      </c>
      <c r="I2765" s="101" t="str">
        <f t="shared" si="174"/>
        <v>UN</v>
      </c>
      <c r="J2765" s="140" t="str">
        <f t="shared" si="175"/>
        <v>LUVA DE REDUCAO ROSCAVEL, PVC, 3/4" X 1/2", PARA AGUA FRIA PREDIAL</v>
      </c>
    </row>
    <row r="2766" spans="1:10" x14ac:dyDescent="0.25">
      <c r="A2766" s="169">
        <v>3868</v>
      </c>
      <c r="B2766" s="169" t="s">
        <v>26237</v>
      </c>
      <c r="C2766" s="169" t="s">
        <v>10225</v>
      </c>
      <c r="D2766" s="169" t="s">
        <v>1289</v>
      </c>
      <c r="E2766" s="103" t="s">
        <v>11134</v>
      </c>
      <c r="F2766" s="104"/>
      <c r="G2766" s="105">
        <f t="shared" si="172"/>
        <v>1.65</v>
      </c>
      <c r="H2766" s="101" t="str">
        <f t="shared" si="173"/>
        <v>Sinapi 3868</v>
      </c>
      <c r="I2766" s="101" t="str">
        <f t="shared" si="174"/>
        <v>UN</v>
      </c>
      <c r="J2766" s="140" t="str">
        <f t="shared" si="175"/>
        <v>LUVA DE REDUCAO SOLDAVEL, PVC, 25 MM X 20 MM, PARA AGUA FRIA PREDIAL</v>
      </c>
    </row>
    <row r="2767" spans="1:10" x14ac:dyDescent="0.25">
      <c r="A2767" s="169">
        <v>3869</v>
      </c>
      <c r="B2767" s="169" t="s">
        <v>26238</v>
      </c>
      <c r="C2767" s="169" t="s">
        <v>10225</v>
      </c>
      <c r="D2767" s="169" t="s">
        <v>1289</v>
      </c>
      <c r="E2767" s="103" t="s">
        <v>21207</v>
      </c>
      <c r="F2767" s="104"/>
      <c r="G2767" s="105">
        <f t="shared" si="172"/>
        <v>3.65</v>
      </c>
      <c r="H2767" s="101" t="str">
        <f t="shared" si="173"/>
        <v>Sinapi 3869</v>
      </c>
      <c r="I2767" s="101" t="str">
        <f t="shared" si="174"/>
        <v>UN</v>
      </c>
      <c r="J2767" s="140" t="str">
        <f t="shared" si="175"/>
        <v>LUVA DE REDUCAO SOLDAVEL, PVC, 32 MM X 25 MM, PARA AGUA FRIA PREDIAL</v>
      </c>
    </row>
    <row r="2768" spans="1:10" x14ac:dyDescent="0.25">
      <c r="A2768" s="169">
        <v>3872</v>
      </c>
      <c r="B2768" s="169" t="s">
        <v>26239</v>
      </c>
      <c r="C2768" s="169" t="s">
        <v>10225</v>
      </c>
      <c r="D2768" s="169" t="s">
        <v>1289</v>
      </c>
      <c r="E2768" s="103" t="s">
        <v>5263</v>
      </c>
      <c r="F2768" s="104"/>
      <c r="G2768" s="105">
        <f t="shared" si="172"/>
        <v>6.23</v>
      </c>
      <c r="H2768" s="101" t="str">
        <f t="shared" si="173"/>
        <v>Sinapi 3872</v>
      </c>
      <c r="I2768" s="101" t="str">
        <f t="shared" si="174"/>
        <v>UN</v>
      </c>
      <c r="J2768" s="140" t="str">
        <f t="shared" si="175"/>
        <v>LUVA DE REDUCAO SOLDAVEL, PVC, 40 MM X 32 MM, PARA AGUA FRIA PREDIAL</v>
      </c>
    </row>
    <row r="2769" spans="1:10" x14ac:dyDescent="0.25">
      <c r="A2769" s="169">
        <v>3850</v>
      </c>
      <c r="B2769" s="169" t="s">
        <v>26240</v>
      </c>
      <c r="C2769" s="169" t="s">
        <v>10225</v>
      </c>
      <c r="D2769" s="169" t="s">
        <v>1289</v>
      </c>
      <c r="E2769" s="103" t="s">
        <v>21354</v>
      </c>
      <c r="F2769" s="104"/>
      <c r="G2769" s="105">
        <f t="shared" si="172"/>
        <v>14.37</v>
      </c>
      <c r="H2769" s="101" t="str">
        <f t="shared" si="173"/>
        <v>Sinapi 3850</v>
      </c>
      <c r="I2769" s="101" t="str">
        <f t="shared" si="174"/>
        <v>UN</v>
      </c>
      <c r="J2769" s="140" t="str">
        <f t="shared" si="175"/>
        <v>LUVA DE REDUCAO SOLDAVEL, PVC, 60 MM X 50 MM, PARA AGUA FRIA PREDIAL</v>
      </c>
    </row>
    <row r="2770" spans="1:10" x14ac:dyDescent="0.25">
      <c r="A2770" s="169">
        <v>38023</v>
      </c>
      <c r="B2770" s="169" t="s">
        <v>26241</v>
      </c>
      <c r="C2770" s="169" t="s">
        <v>10225</v>
      </c>
      <c r="D2770" s="169" t="s">
        <v>1289</v>
      </c>
      <c r="E2770" s="103" t="s">
        <v>29540</v>
      </c>
      <c r="F2770" s="104"/>
      <c r="G2770" s="105">
        <f t="shared" si="172"/>
        <v>7.31</v>
      </c>
      <c r="H2770" s="101" t="str">
        <f t="shared" si="173"/>
        <v>Sinapi 38023</v>
      </c>
      <c r="I2770" s="101" t="str">
        <f t="shared" si="174"/>
        <v>UN</v>
      </c>
      <c r="J2770" s="140" t="str">
        <f t="shared" si="175"/>
        <v>LUVA DE REDUCAO, SOLDAVEL, PVC, 50 X 25 MM, PARA AGUA FRIA PREDIAL</v>
      </c>
    </row>
    <row r="2771" spans="1:10" x14ac:dyDescent="0.25">
      <c r="A2771" s="169">
        <v>37986</v>
      </c>
      <c r="B2771" s="169" t="s">
        <v>26242</v>
      </c>
      <c r="C2771" s="169" t="s">
        <v>10225</v>
      </c>
      <c r="D2771" s="169" t="s">
        <v>1289</v>
      </c>
      <c r="E2771" s="103" t="s">
        <v>6574</v>
      </c>
      <c r="F2771" s="104"/>
      <c r="G2771" s="105">
        <f t="shared" si="172"/>
        <v>2.79</v>
      </c>
      <c r="H2771" s="101" t="str">
        <f t="shared" si="173"/>
        <v>Sinapi 37986</v>
      </c>
      <c r="I2771" s="101" t="str">
        <f t="shared" si="174"/>
        <v>UN</v>
      </c>
      <c r="J2771" s="140" t="str">
        <f t="shared" si="175"/>
        <v>LUVA DE TRANSICAO DE CPVC X PVC, SOLDAVEL, 22 X 25 MM, PARA AGUA QUENTE</v>
      </c>
    </row>
    <row r="2772" spans="1:10" x14ac:dyDescent="0.25">
      <c r="A2772" s="169">
        <v>37987</v>
      </c>
      <c r="B2772" s="169" t="s">
        <v>26243</v>
      </c>
      <c r="C2772" s="169" t="s">
        <v>10225</v>
      </c>
      <c r="D2772" s="169" t="s">
        <v>1289</v>
      </c>
      <c r="E2772" s="103" t="s">
        <v>30682</v>
      </c>
      <c r="F2772" s="104"/>
      <c r="G2772" s="105">
        <f t="shared" si="172"/>
        <v>139.36000000000001</v>
      </c>
      <c r="H2772" s="101" t="str">
        <f t="shared" si="173"/>
        <v>Sinapi 37987</v>
      </c>
      <c r="I2772" s="101" t="str">
        <f t="shared" si="174"/>
        <v>UN</v>
      </c>
      <c r="J2772" s="140" t="str">
        <f t="shared" si="175"/>
        <v>LUVA DE TRANSICAO, CPVC, SOLDAVEL, 42 MM X 1 1/2", PARA AGUA QUENTE</v>
      </c>
    </row>
    <row r="2773" spans="1:10" x14ac:dyDescent="0.25">
      <c r="A2773" s="169">
        <v>37988</v>
      </c>
      <c r="B2773" s="169" t="s">
        <v>26244</v>
      </c>
      <c r="C2773" s="169" t="s">
        <v>10225</v>
      </c>
      <c r="D2773" s="169" t="s">
        <v>1289</v>
      </c>
      <c r="E2773" s="103" t="s">
        <v>30683</v>
      </c>
      <c r="F2773" s="104"/>
      <c r="G2773" s="105">
        <f t="shared" si="172"/>
        <v>221.44</v>
      </c>
      <c r="H2773" s="101" t="str">
        <f t="shared" si="173"/>
        <v>Sinapi 37988</v>
      </c>
      <c r="I2773" s="101" t="str">
        <f t="shared" si="174"/>
        <v>UN</v>
      </c>
      <c r="J2773" s="140" t="str">
        <f t="shared" si="175"/>
        <v>LUVA DE TRANSICAO, CPVC, SOLDAVEL, 54 MM X 2", PARA AGUA QUENTE PREDIAL</v>
      </c>
    </row>
    <row r="2774" spans="1:10" x14ac:dyDescent="0.25">
      <c r="A2774" s="169">
        <v>21120</v>
      </c>
      <c r="B2774" s="169" t="s">
        <v>26245</v>
      </c>
      <c r="C2774" s="169" t="s">
        <v>10225</v>
      </c>
      <c r="D2774" s="169" t="s">
        <v>1289</v>
      </c>
      <c r="E2774" s="103" t="s">
        <v>13754</v>
      </c>
      <c r="F2774" s="104"/>
      <c r="G2774" s="105">
        <f t="shared" si="172"/>
        <v>14.25</v>
      </c>
      <c r="H2774" s="101" t="str">
        <f t="shared" si="173"/>
        <v>Sinapi 21120</v>
      </c>
      <c r="I2774" s="101" t="str">
        <f t="shared" si="174"/>
        <v>UN</v>
      </c>
      <c r="J2774" s="140" t="str">
        <f t="shared" si="175"/>
        <v>LUVA DE TRANSICAO, CPVC, 15 MM X 1/2", PARA AGUA QUENTE PREDIAL</v>
      </c>
    </row>
    <row r="2775" spans="1:10" x14ac:dyDescent="0.25">
      <c r="A2775" s="169">
        <v>39318</v>
      </c>
      <c r="B2775" s="169" t="s">
        <v>26246</v>
      </c>
      <c r="C2775" s="169" t="s">
        <v>10225</v>
      </c>
      <c r="D2775" s="169" t="s">
        <v>1289</v>
      </c>
      <c r="E2775" s="103" t="s">
        <v>13581</v>
      </c>
      <c r="F2775" s="104"/>
      <c r="G2775" s="105">
        <f t="shared" si="172"/>
        <v>13.25</v>
      </c>
      <c r="H2775" s="101" t="str">
        <f t="shared" si="173"/>
        <v>Sinapi 39318</v>
      </c>
      <c r="I2775" s="101" t="str">
        <f t="shared" si="174"/>
        <v>UN</v>
      </c>
      <c r="J2775" s="140" t="str">
        <f t="shared" si="175"/>
        <v>LUVA DE TRANSICAO, CPVC, 22 MM X 1/2", PARA AGUA QUENTE</v>
      </c>
    </row>
    <row r="2776" spans="1:10" x14ac:dyDescent="0.25">
      <c r="A2776" s="169">
        <v>40366</v>
      </c>
      <c r="B2776" s="169" t="s">
        <v>26247</v>
      </c>
      <c r="C2776" s="169" t="s">
        <v>10225</v>
      </c>
      <c r="D2776" s="169" t="s">
        <v>1290</v>
      </c>
      <c r="E2776" s="103" t="s">
        <v>30684</v>
      </c>
      <c r="F2776" s="104"/>
      <c r="G2776" s="105">
        <f t="shared" si="172"/>
        <v>46.49</v>
      </c>
      <c r="H2776" s="101" t="str">
        <f t="shared" si="173"/>
        <v>Sinapi 40366</v>
      </c>
      <c r="I2776" s="101" t="str">
        <f t="shared" si="174"/>
        <v>UN</v>
      </c>
      <c r="J2776" s="140" t="str">
        <f t="shared" si="175"/>
        <v>LUVA EM ACO CARBONO, SOLDAVEL, PRESSAO 3.000 LBS, DN 1 1/2"</v>
      </c>
    </row>
    <row r="2777" spans="1:10" x14ac:dyDescent="0.25">
      <c r="A2777" s="169">
        <v>40363</v>
      </c>
      <c r="B2777" s="169" t="s">
        <v>26248</v>
      </c>
      <c r="C2777" s="169" t="s">
        <v>10225</v>
      </c>
      <c r="D2777" s="169" t="s">
        <v>1290</v>
      </c>
      <c r="E2777" s="103" t="s">
        <v>20064</v>
      </c>
      <c r="F2777" s="104"/>
      <c r="G2777" s="105">
        <f t="shared" si="172"/>
        <v>36.36</v>
      </c>
      <c r="H2777" s="101" t="str">
        <f t="shared" si="173"/>
        <v>Sinapi 40363</v>
      </c>
      <c r="I2777" s="101" t="str">
        <f t="shared" si="174"/>
        <v>UN</v>
      </c>
      <c r="J2777" s="140" t="str">
        <f t="shared" si="175"/>
        <v>LUVA EM ACO CARBONO, SOLDAVEL, PRESSAO 3.000 LBS, DN 1 1/4"</v>
      </c>
    </row>
    <row r="2778" spans="1:10" x14ac:dyDescent="0.25">
      <c r="A2778" s="169">
        <v>40354</v>
      </c>
      <c r="B2778" s="169" t="s">
        <v>26249</v>
      </c>
      <c r="C2778" s="169" t="s">
        <v>10225</v>
      </c>
      <c r="D2778" s="169" t="s">
        <v>1290</v>
      </c>
      <c r="E2778" s="103" t="s">
        <v>22735</v>
      </c>
      <c r="F2778" s="104"/>
      <c r="G2778" s="105">
        <f t="shared" si="172"/>
        <v>15.83</v>
      </c>
      <c r="H2778" s="101" t="str">
        <f t="shared" si="173"/>
        <v>Sinapi 40354</v>
      </c>
      <c r="I2778" s="101" t="str">
        <f t="shared" si="174"/>
        <v>UN</v>
      </c>
      <c r="J2778" s="140" t="str">
        <f t="shared" si="175"/>
        <v>LUVA EM ACO CARBONO, SOLDAVEL, PRESSAO 3.000 LBS, DN 1/2"</v>
      </c>
    </row>
    <row r="2779" spans="1:10" x14ac:dyDescent="0.25">
      <c r="A2779" s="169">
        <v>40360</v>
      </c>
      <c r="B2779" s="169" t="s">
        <v>26250</v>
      </c>
      <c r="C2779" s="169" t="s">
        <v>10225</v>
      </c>
      <c r="D2779" s="169" t="s">
        <v>1290</v>
      </c>
      <c r="E2779" s="103" t="s">
        <v>18687</v>
      </c>
      <c r="F2779" s="104"/>
      <c r="G2779" s="105">
        <f t="shared" si="172"/>
        <v>23.84</v>
      </c>
      <c r="H2779" s="101" t="str">
        <f t="shared" si="173"/>
        <v>Sinapi 40360</v>
      </c>
      <c r="I2779" s="101" t="str">
        <f t="shared" si="174"/>
        <v>UN</v>
      </c>
      <c r="J2779" s="140" t="str">
        <f t="shared" si="175"/>
        <v>LUVA EM ACO CARBONO, SOLDAVEL, PRESSAO 3.000 LBS, DN 1"</v>
      </c>
    </row>
    <row r="2780" spans="1:10" x14ac:dyDescent="0.25">
      <c r="A2780" s="169">
        <v>40372</v>
      </c>
      <c r="B2780" s="169" t="s">
        <v>26251</v>
      </c>
      <c r="C2780" s="169" t="s">
        <v>10225</v>
      </c>
      <c r="D2780" s="169" t="s">
        <v>1290</v>
      </c>
      <c r="E2780" s="103" t="s">
        <v>30685</v>
      </c>
      <c r="F2780" s="104"/>
      <c r="G2780" s="105">
        <f t="shared" si="172"/>
        <v>147.19999999999999</v>
      </c>
      <c r="H2780" s="101" t="str">
        <f t="shared" si="173"/>
        <v>Sinapi 40372</v>
      </c>
      <c r="I2780" s="101" t="str">
        <f t="shared" si="174"/>
        <v>UN</v>
      </c>
      <c r="J2780" s="140" t="str">
        <f t="shared" si="175"/>
        <v>LUVA EM ACO CARBONO, SOLDAVEL, PRESSAO 3.000 LBS, DN 2 1/2"</v>
      </c>
    </row>
    <row r="2781" spans="1:10" x14ac:dyDescent="0.25">
      <c r="A2781" s="169">
        <v>40369</v>
      </c>
      <c r="B2781" s="169" t="s">
        <v>26252</v>
      </c>
      <c r="C2781" s="169" t="s">
        <v>10225</v>
      </c>
      <c r="D2781" s="169" t="s">
        <v>1290</v>
      </c>
      <c r="E2781" s="103" t="s">
        <v>30686</v>
      </c>
      <c r="F2781" s="104"/>
      <c r="G2781" s="105">
        <f t="shared" si="172"/>
        <v>73.260000000000005</v>
      </c>
      <c r="H2781" s="101" t="str">
        <f t="shared" si="173"/>
        <v>Sinapi 40369</v>
      </c>
      <c r="I2781" s="101" t="str">
        <f t="shared" si="174"/>
        <v>UN</v>
      </c>
      <c r="J2781" s="140" t="str">
        <f t="shared" si="175"/>
        <v>LUVA EM ACO CARBONO, SOLDAVEL, PRESSAO 3.000 LBS, DN 2"</v>
      </c>
    </row>
    <row r="2782" spans="1:10" x14ac:dyDescent="0.25">
      <c r="A2782" s="169">
        <v>40357</v>
      </c>
      <c r="B2782" s="169" t="s">
        <v>26253</v>
      </c>
      <c r="C2782" s="169" t="s">
        <v>10225</v>
      </c>
      <c r="D2782" s="169" t="s">
        <v>1290</v>
      </c>
      <c r="E2782" s="103" t="s">
        <v>11833</v>
      </c>
      <c r="F2782" s="104"/>
      <c r="G2782" s="105">
        <f t="shared" si="172"/>
        <v>17.760000000000002</v>
      </c>
      <c r="H2782" s="101" t="str">
        <f t="shared" si="173"/>
        <v>Sinapi 40357</v>
      </c>
      <c r="I2782" s="101" t="str">
        <f t="shared" si="174"/>
        <v>UN</v>
      </c>
      <c r="J2782" s="140" t="str">
        <f t="shared" si="175"/>
        <v>LUVA EM ACO CARBONO, SOLDAVEL, PRESSAO 3.000 LBS, DN 3/4"</v>
      </c>
    </row>
    <row r="2783" spans="1:10" x14ac:dyDescent="0.25">
      <c r="A2783" s="169">
        <v>40375</v>
      </c>
      <c r="B2783" s="169" t="s">
        <v>26254</v>
      </c>
      <c r="C2783" s="169" t="s">
        <v>10225</v>
      </c>
      <c r="D2783" s="169" t="s">
        <v>1290</v>
      </c>
      <c r="E2783" s="103" t="s">
        <v>30687</v>
      </c>
      <c r="F2783" s="104"/>
      <c r="G2783" s="105">
        <f t="shared" si="172"/>
        <v>199.28</v>
      </c>
      <c r="H2783" s="101" t="str">
        <f t="shared" si="173"/>
        <v>Sinapi 40375</v>
      </c>
      <c r="I2783" s="101" t="str">
        <f t="shared" si="174"/>
        <v>UN</v>
      </c>
      <c r="J2783" s="140" t="str">
        <f t="shared" si="175"/>
        <v>LUVA EM ACO CARBONO, SOLDAVEL, PRESSAO 3.000 LBS, DN 3"</v>
      </c>
    </row>
    <row r="2784" spans="1:10" x14ac:dyDescent="0.25">
      <c r="A2784" s="169">
        <v>1893</v>
      </c>
      <c r="B2784" s="169" t="s">
        <v>26255</v>
      </c>
      <c r="C2784" s="169" t="s">
        <v>10225</v>
      </c>
      <c r="D2784" s="169" t="s">
        <v>1289</v>
      </c>
      <c r="E2784" s="103" t="s">
        <v>13393</v>
      </c>
      <c r="F2784" s="104"/>
      <c r="G2784" s="105">
        <f t="shared" si="172"/>
        <v>3.07</v>
      </c>
      <c r="H2784" s="101" t="str">
        <f t="shared" si="173"/>
        <v>Sinapi 1893</v>
      </c>
      <c r="I2784" s="101" t="str">
        <f t="shared" si="174"/>
        <v>UN</v>
      </c>
      <c r="J2784" s="140" t="str">
        <f t="shared" si="175"/>
        <v>LUVA EM PVC RIGIDO ROSCAVEL, DE 1 1/2", PARA ELETRODUTO</v>
      </c>
    </row>
    <row r="2785" spans="1:10" x14ac:dyDescent="0.25">
      <c r="A2785" s="169">
        <v>1902</v>
      </c>
      <c r="B2785" s="169" t="s">
        <v>26256</v>
      </c>
      <c r="C2785" s="169" t="s">
        <v>10225</v>
      </c>
      <c r="D2785" s="169" t="s">
        <v>1289</v>
      </c>
      <c r="E2785" s="103" t="s">
        <v>30552</v>
      </c>
      <c r="F2785" s="104"/>
      <c r="G2785" s="105">
        <f t="shared" si="172"/>
        <v>2.2400000000000002</v>
      </c>
      <c r="H2785" s="101" t="str">
        <f t="shared" si="173"/>
        <v>Sinapi 1902</v>
      </c>
      <c r="I2785" s="101" t="str">
        <f t="shared" si="174"/>
        <v>UN</v>
      </c>
      <c r="J2785" s="140" t="str">
        <f t="shared" si="175"/>
        <v>LUVA EM PVC RIGIDO ROSCAVEL, DE 1 1/4", PARA ELETRODUTO</v>
      </c>
    </row>
    <row r="2786" spans="1:10" x14ac:dyDescent="0.25">
      <c r="A2786" s="169">
        <v>1901</v>
      </c>
      <c r="B2786" s="169" t="s">
        <v>26257</v>
      </c>
      <c r="C2786" s="169" t="s">
        <v>10225</v>
      </c>
      <c r="D2786" s="169" t="s">
        <v>1289</v>
      </c>
      <c r="E2786" s="103" t="s">
        <v>3780</v>
      </c>
      <c r="F2786" s="104"/>
      <c r="G2786" s="105">
        <f t="shared" si="172"/>
        <v>0.7</v>
      </c>
      <c r="H2786" s="101" t="str">
        <f t="shared" si="173"/>
        <v>Sinapi 1901</v>
      </c>
      <c r="I2786" s="101" t="str">
        <f t="shared" si="174"/>
        <v>UN</v>
      </c>
      <c r="J2786" s="140" t="str">
        <f t="shared" si="175"/>
        <v>LUVA EM PVC RIGIDO ROSCAVEL, DE 1/2", PARA ELETRODUTO</v>
      </c>
    </row>
    <row r="2787" spans="1:10" x14ac:dyDescent="0.25">
      <c r="A2787" s="169">
        <v>1892</v>
      </c>
      <c r="B2787" s="169" t="s">
        <v>26258</v>
      </c>
      <c r="C2787" s="169" t="s">
        <v>10225</v>
      </c>
      <c r="D2787" s="169" t="s">
        <v>1289</v>
      </c>
      <c r="E2787" s="103" t="s">
        <v>9572</v>
      </c>
      <c r="F2787" s="104"/>
      <c r="G2787" s="105">
        <f t="shared" si="172"/>
        <v>1.44</v>
      </c>
      <c r="H2787" s="101" t="str">
        <f t="shared" si="173"/>
        <v>Sinapi 1892</v>
      </c>
      <c r="I2787" s="101" t="str">
        <f t="shared" si="174"/>
        <v>UN</v>
      </c>
      <c r="J2787" s="140" t="str">
        <f t="shared" si="175"/>
        <v>LUVA EM PVC RIGIDO ROSCAVEL, DE 1", PARA ELETRODUTO</v>
      </c>
    </row>
    <row r="2788" spans="1:10" x14ac:dyDescent="0.25">
      <c r="A2788" s="169">
        <v>1907</v>
      </c>
      <c r="B2788" s="169" t="s">
        <v>26259</v>
      </c>
      <c r="C2788" s="169" t="s">
        <v>10225</v>
      </c>
      <c r="D2788" s="169" t="s">
        <v>1289</v>
      </c>
      <c r="E2788" s="103" t="s">
        <v>13854</v>
      </c>
      <c r="F2788" s="104"/>
      <c r="G2788" s="105">
        <f t="shared" si="172"/>
        <v>9.9</v>
      </c>
      <c r="H2788" s="101" t="str">
        <f t="shared" si="173"/>
        <v>Sinapi 1907</v>
      </c>
      <c r="I2788" s="101" t="str">
        <f t="shared" si="174"/>
        <v>UN</v>
      </c>
      <c r="J2788" s="140" t="str">
        <f t="shared" si="175"/>
        <v>LUVA EM PVC RIGIDO ROSCAVEL, DE 2 1/2", PARA ELETRODUTO</v>
      </c>
    </row>
    <row r="2789" spans="1:10" x14ac:dyDescent="0.25">
      <c r="A2789" s="169">
        <v>1894</v>
      </c>
      <c r="B2789" s="169" t="s">
        <v>26260</v>
      </c>
      <c r="C2789" s="169" t="s">
        <v>10225</v>
      </c>
      <c r="D2789" s="169" t="s">
        <v>1289</v>
      </c>
      <c r="E2789" s="103" t="s">
        <v>21460</v>
      </c>
      <c r="F2789" s="104"/>
      <c r="G2789" s="105">
        <f t="shared" si="172"/>
        <v>4.45</v>
      </c>
      <c r="H2789" s="101" t="str">
        <f t="shared" si="173"/>
        <v>Sinapi 1894</v>
      </c>
      <c r="I2789" s="101" t="str">
        <f t="shared" si="174"/>
        <v>UN</v>
      </c>
      <c r="J2789" s="140" t="str">
        <f t="shared" si="175"/>
        <v>LUVA EM PVC RIGIDO ROSCAVEL, DE 2", PARA ELETRODUTO</v>
      </c>
    </row>
    <row r="2790" spans="1:10" x14ac:dyDescent="0.25">
      <c r="A2790" s="169">
        <v>1891</v>
      </c>
      <c r="B2790" s="169" t="s">
        <v>26261</v>
      </c>
      <c r="C2790" s="169" t="s">
        <v>10225</v>
      </c>
      <c r="D2790" s="169" t="s">
        <v>1289</v>
      </c>
      <c r="E2790" s="103" t="s">
        <v>16388</v>
      </c>
      <c r="F2790" s="104"/>
      <c r="G2790" s="105">
        <f t="shared" si="172"/>
        <v>1.03</v>
      </c>
      <c r="H2790" s="101" t="str">
        <f t="shared" si="173"/>
        <v>Sinapi 1891</v>
      </c>
      <c r="I2790" s="101" t="str">
        <f t="shared" si="174"/>
        <v>UN</v>
      </c>
      <c r="J2790" s="140" t="str">
        <f t="shared" si="175"/>
        <v>LUVA EM PVC RIGIDO ROSCAVEL, DE 3/4", PARA ELETRODUTO</v>
      </c>
    </row>
    <row r="2791" spans="1:10" x14ac:dyDescent="0.25">
      <c r="A2791" s="169">
        <v>1896</v>
      </c>
      <c r="B2791" s="169" t="s">
        <v>26262</v>
      </c>
      <c r="C2791" s="169" t="s">
        <v>10225</v>
      </c>
      <c r="D2791" s="169" t="s">
        <v>1289</v>
      </c>
      <c r="E2791" s="103" t="s">
        <v>25202</v>
      </c>
      <c r="F2791" s="104"/>
      <c r="G2791" s="105">
        <f t="shared" si="172"/>
        <v>13.29</v>
      </c>
      <c r="H2791" s="101" t="str">
        <f t="shared" si="173"/>
        <v>Sinapi 1896</v>
      </c>
      <c r="I2791" s="101" t="str">
        <f t="shared" si="174"/>
        <v>UN</v>
      </c>
      <c r="J2791" s="140" t="str">
        <f t="shared" si="175"/>
        <v>LUVA EM PVC RIGIDO ROSCAVEL, DE 3", PARA ELETRODUTO</v>
      </c>
    </row>
    <row r="2792" spans="1:10" x14ac:dyDescent="0.25">
      <c r="A2792" s="169">
        <v>1895</v>
      </c>
      <c r="B2792" s="169" t="s">
        <v>26263</v>
      </c>
      <c r="C2792" s="169" t="s">
        <v>10225</v>
      </c>
      <c r="D2792" s="169" t="s">
        <v>1289</v>
      </c>
      <c r="E2792" s="103" t="s">
        <v>18308</v>
      </c>
      <c r="F2792" s="104"/>
      <c r="G2792" s="105">
        <f t="shared" si="172"/>
        <v>23.36</v>
      </c>
      <c r="H2792" s="101" t="str">
        <f t="shared" si="173"/>
        <v>Sinapi 1895</v>
      </c>
      <c r="I2792" s="101" t="str">
        <f t="shared" si="174"/>
        <v>UN</v>
      </c>
      <c r="J2792" s="140" t="str">
        <f t="shared" si="175"/>
        <v>LUVA EM PVC RIGIDO ROSCAVEL, DE 4", PARA ELETRODUTO</v>
      </c>
    </row>
    <row r="2793" spans="1:10" x14ac:dyDescent="0.25">
      <c r="A2793" s="169">
        <v>2641</v>
      </c>
      <c r="B2793" s="169" t="s">
        <v>26264</v>
      </c>
      <c r="C2793" s="169" t="s">
        <v>10225</v>
      </c>
      <c r="D2793" s="169" t="s">
        <v>1289</v>
      </c>
      <c r="E2793" s="103" t="s">
        <v>18545</v>
      </c>
      <c r="F2793" s="104"/>
      <c r="G2793" s="105">
        <f t="shared" si="172"/>
        <v>28.7</v>
      </c>
      <c r="H2793" s="101" t="str">
        <f t="shared" si="173"/>
        <v>Sinapi 2641</v>
      </c>
      <c r="I2793" s="101" t="str">
        <f t="shared" si="174"/>
        <v>UN</v>
      </c>
      <c r="J2793" s="140" t="str">
        <f t="shared" si="175"/>
        <v>LUVA PARA ELETRODUTO, EM ACO GALVANIZADO ELETROLITICO, DIAMETRO DE 100 MM (4")</v>
      </c>
    </row>
    <row r="2794" spans="1:10" x14ac:dyDescent="0.25">
      <c r="A2794" s="169">
        <v>2636</v>
      </c>
      <c r="B2794" s="169" t="s">
        <v>26265</v>
      </c>
      <c r="C2794" s="169" t="s">
        <v>10225</v>
      </c>
      <c r="D2794" s="169" t="s">
        <v>1289</v>
      </c>
      <c r="E2794" s="103" t="s">
        <v>2077</v>
      </c>
      <c r="F2794" s="104"/>
      <c r="G2794" s="105">
        <f t="shared" si="172"/>
        <v>1.85</v>
      </c>
      <c r="H2794" s="101" t="str">
        <f t="shared" si="173"/>
        <v>Sinapi 2636</v>
      </c>
      <c r="I2794" s="101" t="str">
        <f t="shared" si="174"/>
        <v>UN</v>
      </c>
      <c r="J2794" s="140" t="str">
        <f t="shared" si="175"/>
        <v>LUVA PARA ELETRODUTO, EM ACO GALVANIZADO ELETROLITICO, DIAMETRO DE 15 MM (1/2")</v>
      </c>
    </row>
    <row r="2795" spans="1:10" x14ac:dyDescent="0.25">
      <c r="A2795" s="169">
        <v>2637</v>
      </c>
      <c r="B2795" s="169" t="s">
        <v>26266</v>
      </c>
      <c r="C2795" s="169" t="s">
        <v>10225</v>
      </c>
      <c r="D2795" s="169" t="s">
        <v>1289</v>
      </c>
      <c r="E2795" s="103" t="s">
        <v>8188</v>
      </c>
      <c r="F2795" s="104"/>
      <c r="G2795" s="105">
        <f t="shared" si="172"/>
        <v>1.96</v>
      </c>
      <c r="H2795" s="101" t="str">
        <f t="shared" si="173"/>
        <v>Sinapi 2637</v>
      </c>
      <c r="I2795" s="101" t="str">
        <f t="shared" si="174"/>
        <v>UN</v>
      </c>
      <c r="J2795" s="140" t="str">
        <f t="shared" si="175"/>
        <v>LUVA PARA ELETRODUTO, EM ACO GALVANIZADO ELETROLITICO, DIAMETRO DE 20 MM (3/4")</v>
      </c>
    </row>
    <row r="2796" spans="1:10" x14ac:dyDescent="0.25">
      <c r="A2796" s="169">
        <v>2638</v>
      </c>
      <c r="B2796" s="169" t="s">
        <v>26267</v>
      </c>
      <c r="C2796" s="169" t="s">
        <v>10225</v>
      </c>
      <c r="D2796" s="169" t="s">
        <v>1289</v>
      </c>
      <c r="E2796" s="103" t="s">
        <v>29383</v>
      </c>
      <c r="F2796" s="104"/>
      <c r="G2796" s="105">
        <f t="shared" si="172"/>
        <v>2.29</v>
      </c>
      <c r="H2796" s="101" t="str">
        <f t="shared" si="173"/>
        <v>Sinapi 2638</v>
      </c>
      <c r="I2796" s="101" t="str">
        <f t="shared" si="174"/>
        <v>UN</v>
      </c>
      <c r="J2796" s="140" t="str">
        <f t="shared" si="175"/>
        <v>LUVA PARA ELETRODUTO, EM ACO GALVANIZADO ELETROLITICO, DIAMETRO DE 25 MM (1")</v>
      </c>
    </row>
    <row r="2797" spans="1:10" x14ac:dyDescent="0.25">
      <c r="A2797" s="169">
        <v>2639</v>
      </c>
      <c r="B2797" s="169" t="s">
        <v>26268</v>
      </c>
      <c r="C2797" s="169" t="s">
        <v>10225</v>
      </c>
      <c r="D2797" s="169" t="s">
        <v>1289</v>
      </c>
      <c r="E2797" s="103" t="s">
        <v>3256</v>
      </c>
      <c r="F2797" s="104"/>
      <c r="G2797" s="105">
        <f t="shared" si="172"/>
        <v>4.05</v>
      </c>
      <c r="H2797" s="101" t="str">
        <f t="shared" si="173"/>
        <v>Sinapi 2639</v>
      </c>
      <c r="I2797" s="101" t="str">
        <f t="shared" si="174"/>
        <v>UN</v>
      </c>
      <c r="J2797" s="140" t="str">
        <f t="shared" si="175"/>
        <v>LUVA PARA ELETRODUTO, EM ACO GALVANIZADO ELETROLITICO, DIAMETRO DE 32 MM (1 1/4")</v>
      </c>
    </row>
    <row r="2798" spans="1:10" x14ac:dyDescent="0.25">
      <c r="A2798" s="169">
        <v>2644</v>
      </c>
      <c r="B2798" s="169" t="s">
        <v>26269</v>
      </c>
      <c r="C2798" s="169" t="s">
        <v>10225</v>
      </c>
      <c r="D2798" s="169" t="s">
        <v>1289</v>
      </c>
      <c r="E2798" s="103" t="s">
        <v>17928</v>
      </c>
      <c r="F2798" s="104"/>
      <c r="G2798" s="105">
        <f t="shared" si="172"/>
        <v>5.87</v>
      </c>
      <c r="H2798" s="101" t="str">
        <f t="shared" si="173"/>
        <v>Sinapi 2644</v>
      </c>
      <c r="I2798" s="101" t="str">
        <f t="shared" si="174"/>
        <v>UN</v>
      </c>
      <c r="J2798" s="140" t="str">
        <f t="shared" si="175"/>
        <v>LUVA PARA ELETRODUTO, EM ACO GALVANIZADO ELETROLITICO, DIAMETRO DE 40 MM (1 1/2")</v>
      </c>
    </row>
    <row r="2799" spans="1:10" x14ac:dyDescent="0.25">
      <c r="A2799" s="169">
        <v>2643</v>
      </c>
      <c r="B2799" s="169" t="s">
        <v>26270</v>
      </c>
      <c r="C2799" s="169" t="s">
        <v>10225</v>
      </c>
      <c r="D2799" s="169" t="s">
        <v>1289</v>
      </c>
      <c r="E2799" s="103" t="s">
        <v>17147</v>
      </c>
      <c r="F2799" s="104"/>
      <c r="G2799" s="105">
        <f t="shared" si="172"/>
        <v>8.18</v>
      </c>
      <c r="H2799" s="101" t="str">
        <f t="shared" si="173"/>
        <v>Sinapi 2643</v>
      </c>
      <c r="I2799" s="101" t="str">
        <f t="shared" si="174"/>
        <v>UN</v>
      </c>
      <c r="J2799" s="140" t="str">
        <f t="shared" si="175"/>
        <v>LUVA PARA ELETRODUTO, EM ACO GALVANIZADO ELETROLITICO, DIAMETRO DE 50 MM (2")</v>
      </c>
    </row>
    <row r="2800" spans="1:10" x14ac:dyDescent="0.25">
      <c r="A2800" s="169">
        <v>2640</v>
      </c>
      <c r="B2800" s="169" t="s">
        <v>26271</v>
      </c>
      <c r="C2800" s="169" t="s">
        <v>10225</v>
      </c>
      <c r="D2800" s="169" t="s">
        <v>1289</v>
      </c>
      <c r="E2800" s="103" t="s">
        <v>20068</v>
      </c>
      <c r="F2800" s="104"/>
      <c r="G2800" s="105">
        <f t="shared" si="172"/>
        <v>11.94</v>
      </c>
      <c r="H2800" s="101" t="str">
        <f t="shared" si="173"/>
        <v>Sinapi 2640</v>
      </c>
      <c r="I2800" s="101" t="str">
        <f t="shared" si="174"/>
        <v>UN</v>
      </c>
      <c r="J2800" s="140" t="str">
        <f t="shared" si="175"/>
        <v>LUVA PARA ELETRODUTO, EM ACO GALVANIZADO ELETROLITICO, DIAMETRO DE 65 MM (2 1/2")</v>
      </c>
    </row>
    <row r="2801" spans="1:10" x14ac:dyDescent="0.25">
      <c r="A2801" s="169">
        <v>2642</v>
      </c>
      <c r="B2801" s="169" t="s">
        <v>26272</v>
      </c>
      <c r="C2801" s="169" t="s">
        <v>10225</v>
      </c>
      <c r="D2801" s="169" t="s">
        <v>1289</v>
      </c>
      <c r="E2801" s="103" t="s">
        <v>30688</v>
      </c>
      <c r="F2801" s="104"/>
      <c r="G2801" s="105">
        <f t="shared" si="172"/>
        <v>18.190000000000001</v>
      </c>
      <c r="H2801" s="101" t="str">
        <f t="shared" si="173"/>
        <v>Sinapi 2642</v>
      </c>
      <c r="I2801" s="101" t="str">
        <f t="shared" si="174"/>
        <v>UN</v>
      </c>
      <c r="J2801" s="140" t="str">
        <f t="shared" si="175"/>
        <v>LUVA PARA ELETRODUTO, EM ACO GALVANIZADO ELETROLITICO, DIAMETRO DE 80 MM (3")</v>
      </c>
    </row>
    <row r="2802" spans="1:10" x14ac:dyDescent="0.25">
      <c r="A2802" s="169">
        <v>39855</v>
      </c>
      <c r="B2802" s="169" t="s">
        <v>26273</v>
      </c>
      <c r="C2802" s="169" t="s">
        <v>10225</v>
      </c>
      <c r="D2802" s="169" t="s">
        <v>1290</v>
      </c>
      <c r="E2802" s="103" t="s">
        <v>17390</v>
      </c>
      <c r="F2802" s="104"/>
      <c r="G2802" s="105">
        <f t="shared" si="172"/>
        <v>2.67</v>
      </c>
      <c r="H2802" s="101" t="str">
        <f t="shared" si="173"/>
        <v>Sinapi 39855</v>
      </c>
      <c r="I2802" s="101" t="str">
        <f t="shared" si="174"/>
        <v>UN</v>
      </c>
      <c r="J2802" s="140" t="str">
        <f t="shared" si="175"/>
        <v>LUVA PASSANTE DE COBRE (REF 601) SEM ANEL DE SOLDA, BOLSA 15 MM</v>
      </c>
    </row>
    <row r="2803" spans="1:10" x14ac:dyDescent="0.25">
      <c r="A2803" s="169">
        <v>39856</v>
      </c>
      <c r="B2803" s="169" t="s">
        <v>26274</v>
      </c>
      <c r="C2803" s="169" t="s">
        <v>10225</v>
      </c>
      <c r="D2803" s="169" t="s">
        <v>1290</v>
      </c>
      <c r="E2803" s="103" t="s">
        <v>15695</v>
      </c>
      <c r="F2803" s="104"/>
      <c r="G2803" s="105">
        <f t="shared" si="172"/>
        <v>6.3</v>
      </c>
      <c r="H2803" s="101" t="str">
        <f t="shared" si="173"/>
        <v>Sinapi 39856</v>
      </c>
      <c r="I2803" s="101" t="str">
        <f t="shared" si="174"/>
        <v>UN</v>
      </c>
      <c r="J2803" s="140" t="str">
        <f t="shared" si="175"/>
        <v>LUVA PASSANTE DE COBRE (REF 601) SEM ANEL DE SOLDA, BOLSA 22 MM</v>
      </c>
    </row>
    <row r="2804" spans="1:10" x14ac:dyDescent="0.25">
      <c r="A2804" s="169">
        <v>39857</v>
      </c>
      <c r="B2804" s="169" t="s">
        <v>26275</v>
      </c>
      <c r="C2804" s="169" t="s">
        <v>10225</v>
      </c>
      <c r="D2804" s="169" t="s">
        <v>1290</v>
      </c>
      <c r="E2804" s="103" t="s">
        <v>15530</v>
      </c>
      <c r="F2804" s="104"/>
      <c r="G2804" s="105">
        <f t="shared" si="172"/>
        <v>10.199999999999999</v>
      </c>
      <c r="H2804" s="101" t="str">
        <f t="shared" si="173"/>
        <v>Sinapi 39857</v>
      </c>
      <c r="I2804" s="101" t="str">
        <f t="shared" si="174"/>
        <v>UN</v>
      </c>
      <c r="J2804" s="140" t="str">
        <f t="shared" si="175"/>
        <v>LUVA PASSANTE DE COBRE (REF 601) SEM ANEL DE SOLDA, BOLSA 28 MM</v>
      </c>
    </row>
    <row r="2805" spans="1:10" x14ac:dyDescent="0.25">
      <c r="A2805" s="169">
        <v>39858</v>
      </c>
      <c r="B2805" s="169" t="s">
        <v>26276</v>
      </c>
      <c r="C2805" s="169" t="s">
        <v>10225</v>
      </c>
      <c r="D2805" s="169" t="s">
        <v>1290</v>
      </c>
      <c r="E2805" s="103" t="s">
        <v>21287</v>
      </c>
      <c r="F2805" s="104"/>
      <c r="G2805" s="105">
        <f t="shared" si="172"/>
        <v>22.63</v>
      </c>
      <c r="H2805" s="101" t="str">
        <f t="shared" si="173"/>
        <v>Sinapi 39858</v>
      </c>
      <c r="I2805" s="101" t="str">
        <f t="shared" si="174"/>
        <v>UN</v>
      </c>
      <c r="J2805" s="140" t="str">
        <f t="shared" si="175"/>
        <v>LUVA PASSANTE DE COBRE (REF 601) SEM ANEL DE SOLDA, BOLSA 35 MM</v>
      </c>
    </row>
    <row r="2806" spans="1:10" x14ac:dyDescent="0.25">
      <c r="A2806" s="169">
        <v>39859</v>
      </c>
      <c r="B2806" s="169" t="s">
        <v>26277</v>
      </c>
      <c r="C2806" s="169" t="s">
        <v>10225</v>
      </c>
      <c r="D2806" s="169" t="s">
        <v>1290</v>
      </c>
      <c r="E2806" s="103" t="s">
        <v>29276</v>
      </c>
      <c r="F2806" s="104"/>
      <c r="G2806" s="105">
        <f t="shared" si="172"/>
        <v>34.880000000000003</v>
      </c>
      <c r="H2806" s="101" t="str">
        <f t="shared" si="173"/>
        <v>Sinapi 39859</v>
      </c>
      <c r="I2806" s="101" t="str">
        <f t="shared" si="174"/>
        <v>UN</v>
      </c>
      <c r="J2806" s="140" t="str">
        <f t="shared" si="175"/>
        <v>LUVA PASSANTE DE COBRE (REF 601) SEM ANEL DE SOLDA, BOLSA 42 MM</v>
      </c>
    </row>
    <row r="2807" spans="1:10" x14ac:dyDescent="0.25">
      <c r="A2807" s="169">
        <v>39860</v>
      </c>
      <c r="B2807" s="169" t="s">
        <v>26278</v>
      </c>
      <c r="C2807" s="169" t="s">
        <v>10225</v>
      </c>
      <c r="D2807" s="169" t="s">
        <v>1290</v>
      </c>
      <c r="E2807" s="103" t="s">
        <v>30689</v>
      </c>
      <c r="F2807" s="104"/>
      <c r="G2807" s="105">
        <f t="shared" si="172"/>
        <v>53.53</v>
      </c>
      <c r="H2807" s="101" t="str">
        <f t="shared" si="173"/>
        <v>Sinapi 39860</v>
      </c>
      <c r="I2807" s="101" t="str">
        <f t="shared" si="174"/>
        <v>UN</v>
      </c>
      <c r="J2807" s="140" t="str">
        <f t="shared" si="175"/>
        <v>LUVA PASSANTE DE COBRE (REF 601) SEM ANEL DE SOLDA, BOLSA 54 MM</v>
      </c>
    </row>
    <row r="2808" spans="1:10" x14ac:dyDescent="0.25">
      <c r="A2808" s="169">
        <v>39861</v>
      </c>
      <c r="B2808" s="169" t="s">
        <v>26280</v>
      </c>
      <c r="C2808" s="169" t="s">
        <v>10225</v>
      </c>
      <c r="D2808" s="169" t="s">
        <v>1290</v>
      </c>
      <c r="E2808" s="103" t="s">
        <v>30658</v>
      </c>
      <c r="F2808" s="104"/>
      <c r="G2808" s="105">
        <f t="shared" si="172"/>
        <v>152.83000000000001</v>
      </c>
      <c r="H2808" s="101" t="str">
        <f t="shared" si="173"/>
        <v>Sinapi 39861</v>
      </c>
      <c r="I2808" s="101" t="str">
        <f t="shared" si="174"/>
        <v>UN</v>
      </c>
      <c r="J2808" s="140" t="str">
        <f t="shared" si="175"/>
        <v>LUVA PASSANTE DE COBRE (REF 601) SEM ANEL DE SOLDA, BOLSA 66 MM</v>
      </c>
    </row>
    <row r="2809" spans="1:10" x14ac:dyDescent="0.25">
      <c r="A2809" s="169">
        <v>3867</v>
      </c>
      <c r="B2809" s="169" t="s">
        <v>26281</v>
      </c>
      <c r="C2809" s="169" t="s">
        <v>10225</v>
      </c>
      <c r="D2809" s="169" t="s">
        <v>1289</v>
      </c>
      <c r="E2809" s="103" t="s">
        <v>30690</v>
      </c>
      <c r="F2809" s="104"/>
      <c r="G2809" s="105">
        <f t="shared" si="172"/>
        <v>87.5</v>
      </c>
      <c r="H2809" s="101" t="str">
        <f t="shared" si="173"/>
        <v>Sinapi 3867</v>
      </c>
      <c r="I2809" s="101" t="str">
        <f t="shared" si="174"/>
        <v>UN</v>
      </c>
      <c r="J2809" s="140" t="str">
        <f t="shared" si="175"/>
        <v>LUVA PVC SOLDAVEL, 110 MM, PARA AGUA FRIA PREDIAL</v>
      </c>
    </row>
    <row r="2810" spans="1:10" x14ac:dyDescent="0.25">
      <c r="A2810" s="169">
        <v>3861</v>
      </c>
      <c r="B2810" s="169" t="s">
        <v>26282</v>
      </c>
      <c r="C2810" s="169" t="s">
        <v>10225</v>
      </c>
      <c r="D2810" s="169" t="s">
        <v>1289</v>
      </c>
      <c r="E2810" s="103" t="s">
        <v>9649</v>
      </c>
      <c r="F2810" s="104"/>
      <c r="G2810" s="105">
        <f t="shared" si="172"/>
        <v>0.9</v>
      </c>
      <c r="H2810" s="101" t="str">
        <f t="shared" si="173"/>
        <v>Sinapi 3861</v>
      </c>
      <c r="I2810" s="101" t="str">
        <f t="shared" si="174"/>
        <v>UN</v>
      </c>
      <c r="J2810" s="140" t="str">
        <f t="shared" si="175"/>
        <v>LUVA PVC SOLDAVEL, 20 MM, PARA AGUA FRIA PREDIAL</v>
      </c>
    </row>
    <row r="2811" spans="1:10" x14ac:dyDescent="0.25">
      <c r="A2811" s="169">
        <v>3904</v>
      </c>
      <c r="B2811" s="169" t="s">
        <v>26283</v>
      </c>
      <c r="C2811" s="169" t="s">
        <v>10225</v>
      </c>
      <c r="D2811" s="169" t="s">
        <v>1289</v>
      </c>
      <c r="E2811" s="103" t="s">
        <v>28542</v>
      </c>
      <c r="F2811" s="104"/>
      <c r="G2811" s="105">
        <f t="shared" si="172"/>
        <v>0.96</v>
      </c>
      <c r="H2811" s="101" t="str">
        <f t="shared" si="173"/>
        <v>Sinapi 3904</v>
      </c>
      <c r="I2811" s="101" t="str">
        <f t="shared" si="174"/>
        <v>UN</v>
      </c>
      <c r="J2811" s="140" t="str">
        <f t="shared" si="175"/>
        <v>LUVA PVC SOLDAVEL, 25 MM, PARA AGUA FRIA PREDIAL</v>
      </c>
    </row>
    <row r="2812" spans="1:10" x14ac:dyDescent="0.25">
      <c r="A2812" s="169">
        <v>3903</v>
      </c>
      <c r="B2812" s="169" t="s">
        <v>26284</v>
      </c>
      <c r="C2812" s="169" t="s">
        <v>10225</v>
      </c>
      <c r="D2812" s="169" t="s">
        <v>1289</v>
      </c>
      <c r="E2812" s="103" t="s">
        <v>15577</v>
      </c>
      <c r="F2812" s="104"/>
      <c r="G2812" s="105">
        <f t="shared" si="172"/>
        <v>2.35</v>
      </c>
      <c r="H2812" s="101" t="str">
        <f t="shared" si="173"/>
        <v>Sinapi 3903</v>
      </c>
      <c r="I2812" s="101" t="str">
        <f t="shared" si="174"/>
        <v>UN</v>
      </c>
      <c r="J2812" s="140" t="str">
        <f t="shared" si="175"/>
        <v>LUVA PVC SOLDAVEL, 32 MM, PARA AGUA FRIA PREDIAL</v>
      </c>
    </row>
    <row r="2813" spans="1:10" x14ac:dyDescent="0.25">
      <c r="A2813" s="169">
        <v>3862</v>
      </c>
      <c r="B2813" s="169" t="s">
        <v>26285</v>
      </c>
      <c r="C2813" s="169" t="s">
        <v>10225</v>
      </c>
      <c r="D2813" s="169" t="s">
        <v>1289</v>
      </c>
      <c r="E2813" s="103" t="s">
        <v>14355</v>
      </c>
      <c r="F2813" s="104"/>
      <c r="G2813" s="105">
        <f t="shared" si="172"/>
        <v>5</v>
      </c>
      <c r="H2813" s="101" t="str">
        <f t="shared" si="173"/>
        <v>Sinapi 3862</v>
      </c>
      <c r="I2813" s="101" t="str">
        <f t="shared" si="174"/>
        <v>UN</v>
      </c>
      <c r="J2813" s="140" t="str">
        <f t="shared" si="175"/>
        <v>LUVA PVC SOLDAVEL, 40 MM, PARA AGUA FRIA PREDIAL</v>
      </c>
    </row>
    <row r="2814" spans="1:10" x14ac:dyDescent="0.25">
      <c r="A2814" s="169">
        <v>3863</v>
      </c>
      <c r="B2814" s="169" t="s">
        <v>26286</v>
      </c>
      <c r="C2814" s="169" t="s">
        <v>10225</v>
      </c>
      <c r="D2814" s="169" t="s">
        <v>1289</v>
      </c>
      <c r="E2814" s="103" t="s">
        <v>13433</v>
      </c>
      <c r="F2814" s="104"/>
      <c r="G2814" s="105">
        <f t="shared" si="172"/>
        <v>5.13</v>
      </c>
      <c r="H2814" s="101" t="str">
        <f t="shared" si="173"/>
        <v>Sinapi 3863</v>
      </c>
      <c r="I2814" s="101" t="str">
        <f t="shared" si="174"/>
        <v>UN</v>
      </c>
      <c r="J2814" s="140" t="str">
        <f t="shared" si="175"/>
        <v>LUVA PVC SOLDAVEL, 50 MM, PARA AGUA FRIA PREDIAL</v>
      </c>
    </row>
    <row r="2815" spans="1:10" x14ac:dyDescent="0.25">
      <c r="A2815" s="169">
        <v>3864</v>
      </c>
      <c r="B2815" s="169" t="s">
        <v>26287</v>
      </c>
      <c r="C2815" s="169" t="s">
        <v>10225</v>
      </c>
      <c r="D2815" s="169" t="s">
        <v>1289</v>
      </c>
      <c r="E2815" s="103" t="s">
        <v>29573</v>
      </c>
      <c r="F2815" s="104"/>
      <c r="G2815" s="105">
        <f t="shared" si="172"/>
        <v>15.69</v>
      </c>
      <c r="H2815" s="101" t="str">
        <f t="shared" si="173"/>
        <v>Sinapi 3864</v>
      </c>
      <c r="I2815" s="101" t="str">
        <f t="shared" si="174"/>
        <v>UN</v>
      </c>
      <c r="J2815" s="140" t="str">
        <f t="shared" si="175"/>
        <v>LUVA PVC SOLDAVEL, 60 MM, PARA AGUA FRIA PREDIAL</v>
      </c>
    </row>
    <row r="2816" spans="1:10" x14ac:dyDescent="0.25">
      <c r="A2816" s="169">
        <v>3865</v>
      </c>
      <c r="B2816" s="169" t="s">
        <v>26289</v>
      </c>
      <c r="C2816" s="169" t="s">
        <v>10225</v>
      </c>
      <c r="D2816" s="169" t="s">
        <v>1289</v>
      </c>
      <c r="E2816" s="103" t="s">
        <v>28764</v>
      </c>
      <c r="F2816" s="104"/>
      <c r="G2816" s="105">
        <f t="shared" si="172"/>
        <v>22.95</v>
      </c>
      <c r="H2816" s="101" t="str">
        <f t="shared" si="173"/>
        <v>Sinapi 3865</v>
      </c>
      <c r="I2816" s="101" t="str">
        <f t="shared" si="174"/>
        <v>UN</v>
      </c>
      <c r="J2816" s="140" t="str">
        <f t="shared" si="175"/>
        <v>LUVA PVC SOLDAVEL, 75 MM, PARA AGUA FRIA PREDIAL</v>
      </c>
    </row>
    <row r="2817" spans="1:10" x14ac:dyDescent="0.25">
      <c r="A2817" s="169">
        <v>3866</v>
      </c>
      <c r="B2817" s="169" t="s">
        <v>26290</v>
      </c>
      <c r="C2817" s="169" t="s">
        <v>10225</v>
      </c>
      <c r="D2817" s="169" t="s">
        <v>1289</v>
      </c>
      <c r="E2817" s="103" t="s">
        <v>24799</v>
      </c>
      <c r="F2817" s="104"/>
      <c r="G2817" s="105">
        <f t="shared" si="172"/>
        <v>51.53</v>
      </c>
      <c r="H2817" s="101" t="str">
        <f t="shared" si="173"/>
        <v>Sinapi 3866</v>
      </c>
      <c r="I2817" s="101" t="str">
        <f t="shared" si="174"/>
        <v>UN</v>
      </c>
      <c r="J2817" s="140" t="str">
        <f t="shared" si="175"/>
        <v>LUVA PVC SOLDAVEL, 85 MM, PARA AGUA FRIA PREDIAL</v>
      </c>
    </row>
    <row r="2818" spans="1:10" x14ac:dyDescent="0.25">
      <c r="A2818" s="169">
        <v>3878</v>
      </c>
      <c r="B2818" s="169" t="s">
        <v>26292</v>
      </c>
      <c r="C2818" s="169" t="s">
        <v>10225</v>
      </c>
      <c r="D2818" s="169" t="s">
        <v>1289</v>
      </c>
      <c r="E2818" s="103" t="s">
        <v>11117</v>
      </c>
      <c r="F2818" s="104"/>
      <c r="G2818" s="105">
        <f t="shared" si="172"/>
        <v>14.05</v>
      </c>
      <c r="H2818" s="101" t="str">
        <f t="shared" si="173"/>
        <v>Sinapi 3878</v>
      </c>
      <c r="I2818" s="101" t="str">
        <f t="shared" si="174"/>
        <v>UN</v>
      </c>
      <c r="J2818" s="140" t="str">
        <f t="shared" si="175"/>
        <v>LUVA PVC, ROSCAVEL, 1 1/2", AGUA FRIA PREDIAL</v>
      </c>
    </row>
    <row r="2819" spans="1:10" x14ac:dyDescent="0.25">
      <c r="A2819" s="169">
        <v>3883</v>
      </c>
      <c r="B2819" s="169" t="s">
        <v>26293</v>
      </c>
      <c r="C2819" s="169" t="s">
        <v>10225</v>
      </c>
      <c r="D2819" s="169" t="s">
        <v>1289</v>
      </c>
      <c r="E2819" s="103" t="s">
        <v>3218</v>
      </c>
      <c r="F2819" s="104"/>
      <c r="G2819" s="105">
        <f t="shared" si="172"/>
        <v>1.8</v>
      </c>
      <c r="H2819" s="101" t="str">
        <f t="shared" si="173"/>
        <v>Sinapi 3883</v>
      </c>
      <c r="I2819" s="101" t="str">
        <f t="shared" si="174"/>
        <v>UN</v>
      </c>
      <c r="J2819" s="140" t="str">
        <f t="shared" si="175"/>
        <v>LUVA PVC, ROSCAVEL, 1/2", AGUA FRIA PREDIAL</v>
      </c>
    </row>
    <row r="2820" spans="1:10" x14ac:dyDescent="0.25">
      <c r="A2820" s="169">
        <v>3876</v>
      </c>
      <c r="B2820" s="169" t="s">
        <v>26294</v>
      </c>
      <c r="C2820" s="169" t="s">
        <v>10225</v>
      </c>
      <c r="D2820" s="169" t="s">
        <v>1289</v>
      </c>
      <c r="E2820" s="103" t="s">
        <v>29062</v>
      </c>
      <c r="F2820" s="104"/>
      <c r="G2820" s="105">
        <f t="shared" si="172"/>
        <v>5.59</v>
      </c>
      <c r="H2820" s="101" t="str">
        <f t="shared" si="173"/>
        <v>Sinapi 3876</v>
      </c>
      <c r="I2820" s="101" t="str">
        <f t="shared" si="174"/>
        <v>UN</v>
      </c>
      <c r="J2820" s="140" t="str">
        <f t="shared" si="175"/>
        <v>LUVA PVC, ROSCAVEL, 1", AGUA FRIA PREDIAL</v>
      </c>
    </row>
    <row r="2821" spans="1:10" x14ac:dyDescent="0.25">
      <c r="A2821" s="169">
        <v>3884</v>
      </c>
      <c r="B2821" s="169" t="s">
        <v>26295</v>
      </c>
      <c r="C2821" s="169" t="s">
        <v>10225</v>
      </c>
      <c r="D2821" s="169" t="s">
        <v>1289</v>
      </c>
      <c r="E2821" s="103" t="s">
        <v>10390</v>
      </c>
      <c r="F2821" s="104"/>
      <c r="G2821" s="105">
        <f t="shared" si="172"/>
        <v>2.84</v>
      </c>
      <c r="H2821" s="101" t="str">
        <f t="shared" si="173"/>
        <v>Sinapi 3884</v>
      </c>
      <c r="I2821" s="101" t="str">
        <f t="shared" si="174"/>
        <v>UN</v>
      </c>
      <c r="J2821" s="140" t="str">
        <f t="shared" si="175"/>
        <v>LUVA PVC, ROSCAVEL, 3/4", AGUA FRIA PREDIAL</v>
      </c>
    </row>
    <row r="2822" spans="1:10" x14ac:dyDescent="0.25">
      <c r="A2822" s="169">
        <v>12892</v>
      </c>
      <c r="B2822" s="169" t="s">
        <v>26296</v>
      </c>
      <c r="C2822" s="169" t="s">
        <v>10239</v>
      </c>
      <c r="D2822" s="169" t="s">
        <v>1289</v>
      </c>
      <c r="E2822" s="103" t="s">
        <v>18563</v>
      </c>
      <c r="F2822" s="104"/>
      <c r="G2822" s="105">
        <f t="shared" si="172"/>
        <v>13.14</v>
      </c>
      <c r="H2822" s="101" t="str">
        <f t="shared" si="173"/>
        <v>Sinapi 12892</v>
      </c>
      <c r="I2822" s="101" t="str">
        <f t="shared" si="174"/>
        <v>PAR</v>
      </c>
      <c r="J2822" s="140" t="str">
        <f t="shared" si="175"/>
        <v>LUVA RASPA DE COURO, CANO CURTO (PUNHO *7* CM)</v>
      </c>
    </row>
    <row r="2823" spans="1:10" x14ac:dyDescent="0.25">
      <c r="A2823" s="169">
        <v>38447</v>
      </c>
      <c r="B2823" s="169" t="s">
        <v>26297</v>
      </c>
      <c r="C2823" s="169" t="s">
        <v>10225</v>
      </c>
      <c r="D2823" s="169" t="s">
        <v>1290</v>
      </c>
      <c r="E2823" s="103" t="s">
        <v>23289</v>
      </c>
      <c r="F2823" s="104"/>
      <c r="G2823" s="105">
        <f t="shared" si="172"/>
        <v>81.650000000000006</v>
      </c>
      <c r="H2823" s="101" t="str">
        <f t="shared" si="173"/>
        <v>Sinapi 38447</v>
      </c>
      <c r="I2823" s="101" t="str">
        <f t="shared" si="174"/>
        <v>UN</v>
      </c>
      <c r="J2823" s="140" t="str">
        <f t="shared" si="175"/>
        <v>LUVA SIMPLES PPR, F/F, SOLDAVEL, DN 110 MM, PARA AGUA QUENTE PREDIAL</v>
      </c>
    </row>
    <row r="2824" spans="1:10" x14ac:dyDescent="0.25">
      <c r="A2824" s="169">
        <v>36320</v>
      </c>
      <c r="B2824" s="169" t="s">
        <v>26298</v>
      </c>
      <c r="C2824" s="169" t="s">
        <v>10225</v>
      </c>
      <c r="D2824" s="169" t="s">
        <v>1290</v>
      </c>
      <c r="E2824" s="103" t="s">
        <v>21001</v>
      </c>
      <c r="F2824" s="104"/>
      <c r="G2824" s="105">
        <f t="shared" ref="G2824:G2887" si="176">IF(E2824="","",E2824+0)</f>
        <v>2.19</v>
      </c>
      <c r="H2824" s="101" t="str">
        <f t="shared" ref="H2824:H2887" si="177">IF(G2824="","",TRIM(CONCATENATE("Sinapi ",A2824)))</f>
        <v>Sinapi 36320</v>
      </c>
      <c r="I2824" s="101" t="str">
        <f t="shared" ref="I2824:I2887" si="178">TRIM(C2824)</f>
        <v>UN</v>
      </c>
      <c r="J2824" s="140" t="str">
        <f t="shared" si="175"/>
        <v>LUVA SIMPLES PPR, F/F, SOLDAVEL, DN 20 MM, PARA AGUA QUENTE PREDIAL</v>
      </c>
    </row>
    <row r="2825" spans="1:10" x14ac:dyDescent="0.25">
      <c r="A2825" s="169">
        <v>36324</v>
      </c>
      <c r="B2825" s="169" t="s">
        <v>26300</v>
      </c>
      <c r="C2825" s="169" t="s">
        <v>10225</v>
      </c>
      <c r="D2825" s="169" t="s">
        <v>1290</v>
      </c>
      <c r="E2825" s="103" t="s">
        <v>22775</v>
      </c>
      <c r="F2825" s="104"/>
      <c r="G2825" s="105">
        <f t="shared" si="176"/>
        <v>2</v>
      </c>
      <c r="H2825" s="101" t="str">
        <f t="shared" si="177"/>
        <v>Sinapi 36324</v>
      </c>
      <c r="I2825" s="101" t="str">
        <f t="shared" si="178"/>
        <v>UN</v>
      </c>
      <c r="J2825" s="140" t="str">
        <f t="shared" ref="J2825:J2888" si="179">TRIM(B2825)</f>
        <v>LUVA SIMPLES PPR, F/F, SOLDAVEL, DN 25 MM, PARA AGUA QUENTE PREDIAL</v>
      </c>
    </row>
    <row r="2826" spans="1:10" x14ac:dyDescent="0.25">
      <c r="A2826" s="169">
        <v>38441</v>
      </c>
      <c r="B2826" s="169" t="s">
        <v>26301</v>
      </c>
      <c r="C2826" s="169" t="s">
        <v>10225</v>
      </c>
      <c r="D2826" s="169" t="s">
        <v>1290</v>
      </c>
      <c r="E2826" s="103" t="s">
        <v>19932</v>
      </c>
      <c r="F2826" s="104"/>
      <c r="G2826" s="105">
        <f t="shared" si="176"/>
        <v>3.59</v>
      </c>
      <c r="H2826" s="101" t="str">
        <f t="shared" si="177"/>
        <v>Sinapi 38441</v>
      </c>
      <c r="I2826" s="101" t="str">
        <f t="shared" si="178"/>
        <v>UN</v>
      </c>
      <c r="J2826" s="140" t="str">
        <f t="shared" si="179"/>
        <v>LUVA SIMPLES PPR, F/F, SOLDAVEL, DN 32 MM, PARA AGUA QUENTE PREDIAL</v>
      </c>
    </row>
    <row r="2827" spans="1:10" x14ac:dyDescent="0.25">
      <c r="A2827" s="169">
        <v>38442</v>
      </c>
      <c r="B2827" s="169" t="s">
        <v>26302</v>
      </c>
      <c r="C2827" s="169" t="s">
        <v>10225</v>
      </c>
      <c r="D2827" s="169" t="s">
        <v>1290</v>
      </c>
      <c r="E2827" s="103" t="s">
        <v>15530</v>
      </c>
      <c r="F2827" s="104"/>
      <c r="G2827" s="105">
        <f t="shared" si="176"/>
        <v>10.199999999999999</v>
      </c>
      <c r="H2827" s="101" t="str">
        <f t="shared" si="177"/>
        <v>Sinapi 38442</v>
      </c>
      <c r="I2827" s="101" t="str">
        <f t="shared" si="178"/>
        <v>UN</v>
      </c>
      <c r="J2827" s="140" t="str">
        <f t="shared" si="179"/>
        <v>LUVA SIMPLES PPR, F/F, SOLDAVEL, DN 40 MM, PARA AGUA QUENTE PREDIAL</v>
      </c>
    </row>
    <row r="2828" spans="1:10" x14ac:dyDescent="0.25">
      <c r="A2828" s="169">
        <v>38443</v>
      </c>
      <c r="B2828" s="169" t="s">
        <v>26303</v>
      </c>
      <c r="C2828" s="169" t="s">
        <v>10225</v>
      </c>
      <c r="D2828" s="169" t="s">
        <v>1290</v>
      </c>
      <c r="E2828" s="103" t="s">
        <v>21808</v>
      </c>
      <c r="F2828" s="104"/>
      <c r="G2828" s="105">
        <f t="shared" si="176"/>
        <v>12.38</v>
      </c>
      <c r="H2828" s="101" t="str">
        <f t="shared" si="177"/>
        <v>Sinapi 38443</v>
      </c>
      <c r="I2828" s="101" t="str">
        <f t="shared" si="178"/>
        <v>UN</v>
      </c>
      <c r="J2828" s="140" t="str">
        <f t="shared" si="179"/>
        <v>LUVA SIMPLES PPR, F/F, SOLDAVEL, DN 50 MM, PARA AGUA QUENTE PREDIAL</v>
      </c>
    </row>
    <row r="2829" spans="1:10" x14ac:dyDescent="0.25">
      <c r="A2829" s="169">
        <v>38444</v>
      </c>
      <c r="B2829" s="169" t="s">
        <v>26304</v>
      </c>
      <c r="C2829" s="169" t="s">
        <v>10225</v>
      </c>
      <c r="D2829" s="169" t="s">
        <v>1290</v>
      </c>
      <c r="E2829" s="103" t="s">
        <v>30691</v>
      </c>
      <c r="F2829" s="104"/>
      <c r="G2829" s="105">
        <f t="shared" si="176"/>
        <v>20.79</v>
      </c>
      <c r="H2829" s="101" t="str">
        <f t="shared" si="177"/>
        <v>Sinapi 38444</v>
      </c>
      <c r="I2829" s="101" t="str">
        <f t="shared" si="178"/>
        <v>UN</v>
      </c>
      <c r="J2829" s="140" t="str">
        <f t="shared" si="179"/>
        <v>LUVA SIMPLES PPR, F/F, SOLDAVEL, DN 63 MM, PARA AGUA QUENTE PREDIAL</v>
      </c>
    </row>
    <row r="2830" spans="1:10" x14ac:dyDescent="0.25">
      <c r="A2830" s="169">
        <v>38445</v>
      </c>
      <c r="B2830" s="169" t="s">
        <v>26305</v>
      </c>
      <c r="C2830" s="169" t="s">
        <v>10225</v>
      </c>
      <c r="D2830" s="169" t="s">
        <v>1290</v>
      </c>
      <c r="E2830" s="103" t="s">
        <v>30653</v>
      </c>
      <c r="F2830" s="104"/>
      <c r="G2830" s="105">
        <f t="shared" si="176"/>
        <v>38.54</v>
      </c>
      <c r="H2830" s="101" t="str">
        <f t="shared" si="177"/>
        <v>Sinapi 38445</v>
      </c>
      <c r="I2830" s="101" t="str">
        <f t="shared" si="178"/>
        <v>UN</v>
      </c>
      <c r="J2830" s="140" t="str">
        <f t="shared" si="179"/>
        <v>LUVA SIMPLES PPR, F/F, SOLDAVEL, DN 75 MM, PARA AGUA QUENTE PREDIAL</v>
      </c>
    </row>
    <row r="2831" spans="1:10" x14ac:dyDescent="0.25">
      <c r="A2831" s="169">
        <v>38446</v>
      </c>
      <c r="B2831" s="169" t="s">
        <v>26306</v>
      </c>
      <c r="C2831" s="169" t="s">
        <v>10225</v>
      </c>
      <c r="D2831" s="169" t="s">
        <v>1290</v>
      </c>
      <c r="E2831" s="103" t="s">
        <v>29462</v>
      </c>
      <c r="F2831" s="104"/>
      <c r="G2831" s="105">
        <f t="shared" si="176"/>
        <v>63.08</v>
      </c>
      <c r="H2831" s="101" t="str">
        <f t="shared" si="177"/>
        <v>Sinapi 38446</v>
      </c>
      <c r="I2831" s="101" t="str">
        <f t="shared" si="178"/>
        <v>UN</v>
      </c>
      <c r="J2831" s="140" t="str">
        <f t="shared" si="179"/>
        <v>LUVA SIMPLES PPR, F/F, SOLDAVEL, DN 90 MM, PARA AGUA QUENTE PREDIAL</v>
      </c>
    </row>
    <row r="2832" spans="1:10" x14ac:dyDescent="0.25">
      <c r="A2832" s="169">
        <v>3837</v>
      </c>
      <c r="B2832" s="169" t="s">
        <v>26307</v>
      </c>
      <c r="C2832" s="169" t="s">
        <v>10225</v>
      </c>
      <c r="D2832" s="169" t="s">
        <v>1289</v>
      </c>
      <c r="E2832" s="103" t="s">
        <v>30692</v>
      </c>
      <c r="F2832" s="104"/>
      <c r="G2832" s="105">
        <f t="shared" si="176"/>
        <v>72.45</v>
      </c>
      <c r="H2832" s="101" t="str">
        <f t="shared" si="177"/>
        <v>Sinapi 3837</v>
      </c>
      <c r="I2832" s="101" t="str">
        <f t="shared" si="178"/>
        <v>UN</v>
      </c>
      <c r="J2832" s="140" t="str">
        <f t="shared" si="179"/>
        <v>LUVA SIMPLES, PVC PBA, JE, DN 100 / DE 110 MM, PARA REDE AGUA (NBR 10351)</v>
      </c>
    </row>
    <row r="2833" spans="1:10" x14ac:dyDescent="0.25">
      <c r="A2833" s="169">
        <v>3845</v>
      </c>
      <c r="B2833" s="169" t="s">
        <v>26308</v>
      </c>
      <c r="C2833" s="169" t="s">
        <v>10225</v>
      </c>
      <c r="D2833" s="169" t="s">
        <v>1289</v>
      </c>
      <c r="E2833" s="103" t="s">
        <v>19873</v>
      </c>
      <c r="F2833" s="104"/>
      <c r="G2833" s="105">
        <f t="shared" si="176"/>
        <v>26.47</v>
      </c>
      <c r="H2833" s="101" t="str">
        <f t="shared" si="177"/>
        <v>Sinapi 3845</v>
      </c>
      <c r="I2833" s="101" t="str">
        <f t="shared" si="178"/>
        <v>UN</v>
      </c>
      <c r="J2833" s="140" t="str">
        <f t="shared" si="179"/>
        <v>LUVA SIMPLES, PVC PBA, JE, DN 50 / DE 60 MM, PARA REDE AGUA (NBR 10351)</v>
      </c>
    </row>
    <row r="2834" spans="1:10" x14ac:dyDescent="0.25">
      <c r="A2834" s="169">
        <v>11045</v>
      </c>
      <c r="B2834" s="169" t="s">
        <v>26309</v>
      </c>
      <c r="C2834" s="169" t="s">
        <v>10225</v>
      </c>
      <c r="D2834" s="169" t="s">
        <v>1289</v>
      </c>
      <c r="E2834" s="103" t="s">
        <v>30693</v>
      </c>
      <c r="F2834" s="104"/>
      <c r="G2834" s="105">
        <f t="shared" si="176"/>
        <v>51.05</v>
      </c>
      <c r="H2834" s="101" t="str">
        <f t="shared" si="177"/>
        <v>Sinapi 11045</v>
      </c>
      <c r="I2834" s="101" t="str">
        <f t="shared" si="178"/>
        <v>UN</v>
      </c>
      <c r="J2834" s="140" t="str">
        <f t="shared" si="179"/>
        <v>LUVA SIMPLES, PVC PBA, JE, DN 75 / DE 85 MM, PARA REDE AGUA (NBR 10351)</v>
      </c>
    </row>
    <row r="2835" spans="1:10" x14ac:dyDescent="0.25">
      <c r="A2835" s="169">
        <v>20170</v>
      </c>
      <c r="B2835" s="169" t="s">
        <v>26310</v>
      </c>
      <c r="C2835" s="169" t="s">
        <v>10225</v>
      </c>
      <c r="D2835" s="169" t="s">
        <v>1289</v>
      </c>
      <c r="E2835" s="103" t="s">
        <v>16344</v>
      </c>
      <c r="F2835" s="104"/>
      <c r="G2835" s="105">
        <f t="shared" si="176"/>
        <v>13.66</v>
      </c>
      <c r="H2835" s="101" t="str">
        <f t="shared" si="177"/>
        <v>Sinapi 20170</v>
      </c>
      <c r="I2835" s="101" t="str">
        <f t="shared" si="178"/>
        <v>UN</v>
      </c>
      <c r="J2835" s="140" t="str">
        <f t="shared" si="179"/>
        <v>LUVA SIMPLES, PVC SERIE R, 100 MM, PARA ESGOTO PREDIAL</v>
      </c>
    </row>
    <row r="2836" spans="1:10" x14ac:dyDescent="0.25">
      <c r="A2836" s="169">
        <v>20171</v>
      </c>
      <c r="B2836" s="169" t="s">
        <v>26311</v>
      </c>
      <c r="C2836" s="169" t="s">
        <v>10225</v>
      </c>
      <c r="D2836" s="169" t="s">
        <v>1289</v>
      </c>
      <c r="E2836" s="103" t="s">
        <v>18611</v>
      </c>
      <c r="F2836" s="104"/>
      <c r="G2836" s="105">
        <f t="shared" si="176"/>
        <v>39.39</v>
      </c>
      <c r="H2836" s="101" t="str">
        <f t="shared" si="177"/>
        <v>Sinapi 20171</v>
      </c>
      <c r="I2836" s="101" t="str">
        <f t="shared" si="178"/>
        <v>UN</v>
      </c>
      <c r="J2836" s="140" t="str">
        <f t="shared" si="179"/>
        <v>LUVA SIMPLES, PVC SERIE R, 150 MM, PARA ESGOTO PREDIAL</v>
      </c>
    </row>
    <row r="2837" spans="1:10" x14ac:dyDescent="0.25">
      <c r="A2837" s="169">
        <v>20167</v>
      </c>
      <c r="B2837" s="169" t="s">
        <v>26312</v>
      </c>
      <c r="C2837" s="169" t="s">
        <v>10225</v>
      </c>
      <c r="D2837" s="169" t="s">
        <v>1289</v>
      </c>
      <c r="E2837" s="103" t="s">
        <v>15578</v>
      </c>
      <c r="F2837" s="104"/>
      <c r="G2837" s="105">
        <f t="shared" si="176"/>
        <v>4.95</v>
      </c>
      <c r="H2837" s="101" t="str">
        <f t="shared" si="177"/>
        <v>Sinapi 20167</v>
      </c>
      <c r="I2837" s="101" t="str">
        <f t="shared" si="178"/>
        <v>UN</v>
      </c>
      <c r="J2837" s="140" t="str">
        <f t="shared" si="179"/>
        <v>LUVA SIMPLES, PVC SERIE R, 40 MM, PARA ESGOTO PREDIAL</v>
      </c>
    </row>
    <row r="2838" spans="1:10" x14ac:dyDescent="0.25">
      <c r="A2838" s="169">
        <v>20168</v>
      </c>
      <c r="B2838" s="169" t="s">
        <v>26313</v>
      </c>
      <c r="C2838" s="169" t="s">
        <v>10225</v>
      </c>
      <c r="D2838" s="169" t="s">
        <v>1289</v>
      </c>
      <c r="E2838" s="103" t="s">
        <v>5620</v>
      </c>
      <c r="F2838" s="104"/>
      <c r="G2838" s="105">
        <f t="shared" si="176"/>
        <v>10.19</v>
      </c>
      <c r="H2838" s="101" t="str">
        <f t="shared" si="177"/>
        <v>Sinapi 20168</v>
      </c>
      <c r="I2838" s="101" t="str">
        <f t="shared" si="178"/>
        <v>UN</v>
      </c>
      <c r="J2838" s="140" t="str">
        <f t="shared" si="179"/>
        <v>LUVA SIMPLES, PVC SERIE R, 50 MM, PARA ESGOTO PREDIAL</v>
      </c>
    </row>
    <row r="2839" spans="1:10" x14ac:dyDescent="0.25">
      <c r="A2839" s="169">
        <v>20169</v>
      </c>
      <c r="B2839" s="169" t="s">
        <v>26314</v>
      </c>
      <c r="C2839" s="169" t="s">
        <v>10225</v>
      </c>
      <c r="D2839" s="169" t="s">
        <v>1289</v>
      </c>
      <c r="E2839" s="103" t="s">
        <v>18617</v>
      </c>
      <c r="F2839" s="104"/>
      <c r="G2839" s="105">
        <f t="shared" si="176"/>
        <v>11.9</v>
      </c>
      <c r="H2839" s="101" t="str">
        <f t="shared" si="177"/>
        <v>Sinapi 20169</v>
      </c>
      <c r="I2839" s="101" t="str">
        <f t="shared" si="178"/>
        <v>UN</v>
      </c>
      <c r="J2839" s="140" t="str">
        <f t="shared" si="179"/>
        <v>LUVA SIMPLES, PVC SERIE R, 75 MM, PARA ESGOTO PREDIAL</v>
      </c>
    </row>
    <row r="2840" spans="1:10" x14ac:dyDescent="0.25">
      <c r="A2840" s="169">
        <v>3899</v>
      </c>
      <c r="B2840" s="169" t="s">
        <v>26315</v>
      </c>
      <c r="C2840" s="169" t="s">
        <v>10225</v>
      </c>
      <c r="D2840" s="169" t="s">
        <v>1289</v>
      </c>
      <c r="E2840" s="103" t="s">
        <v>21066</v>
      </c>
      <c r="F2840" s="104"/>
      <c r="G2840" s="105">
        <f t="shared" si="176"/>
        <v>6.6</v>
      </c>
      <c r="H2840" s="101" t="str">
        <f t="shared" si="177"/>
        <v>Sinapi 3899</v>
      </c>
      <c r="I2840" s="101" t="str">
        <f t="shared" si="178"/>
        <v>UN</v>
      </c>
      <c r="J2840" s="140" t="str">
        <f t="shared" si="179"/>
        <v>LUVA SIMPLES, PVC, SOLDAVEL, DN 100 MM, SERIE NORMAL, PARA ESGOTO PREDIAL</v>
      </c>
    </row>
    <row r="2841" spans="1:10" x14ac:dyDescent="0.25">
      <c r="A2841" s="169">
        <v>38676</v>
      </c>
      <c r="B2841" s="169" t="s">
        <v>26316</v>
      </c>
      <c r="C2841" s="169" t="s">
        <v>10225</v>
      </c>
      <c r="D2841" s="169" t="s">
        <v>1289</v>
      </c>
      <c r="E2841" s="103" t="s">
        <v>30694</v>
      </c>
      <c r="F2841" s="104"/>
      <c r="G2841" s="105">
        <f t="shared" si="176"/>
        <v>33.01</v>
      </c>
      <c r="H2841" s="101" t="str">
        <f t="shared" si="177"/>
        <v>Sinapi 38676</v>
      </c>
      <c r="I2841" s="101" t="str">
        <f t="shared" si="178"/>
        <v>UN</v>
      </c>
      <c r="J2841" s="140" t="str">
        <f t="shared" si="179"/>
        <v>LUVA SIMPLES, PVC, SOLDAVEL, DN 150 MM, SERIE NORMAL, PARA ESGOTO PREDIAL</v>
      </c>
    </row>
    <row r="2842" spans="1:10" x14ac:dyDescent="0.25">
      <c r="A2842" s="169">
        <v>3897</v>
      </c>
      <c r="B2842" s="169" t="s">
        <v>26318</v>
      </c>
      <c r="C2842" s="169" t="s">
        <v>10225</v>
      </c>
      <c r="D2842" s="169" t="s">
        <v>1289</v>
      </c>
      <c r="E2842" s="103" t="s">
        <v>10243</v>
      </c>
      <c r="F2842" s="104"/>
      <c r="G2842" s="105">
        <f t="shared" si="176"/>
        <v>1.61</v>
      </c>
      <c r="H2842" s="101" t="str">
        <f t="shared" si="177"/>
        <v>Sinapi 3897</v>
      </c>
      <c r="I2842" s="101" t="str">
        <f t="shared" si="178"/>
        <v>UN</v>
      </c>
      <c r="J2842" s="140" t="str">
        <f t="shared" si="179"/>
        <v>LUVA SIMPLES, PVC, SOLDAVEL, DN 40 MM, SERIE NORMAL, PARA ESGOTO PREDIAL</v>
      </c>
    </row>
    <row r="2843" spans="1:10" x14ac:dyDescent="0.25">
      <c r="A2843" s="169">
        <v>3875</v>
      </c>
      <c r="B2843" s="169" t="s">
        <v>26319</v>
      </c>
      <c r="C2843" s="169" t="s">
        <v>10225</v>
      </c>
      <c r="D2843" s="169" t="s">
        <v>1289</v>
      </c>
      <c r="E2843" s="103" t="s">
        <v>17348</v>
      </c>
      <c r="F2843" s="104"/>
      <c r="G2843" s="105">
        <f t="shared" si="176"/>
        <v>3.33</v>
      </c>
      <c r="H2843" s="101" t="str">
        <f t="shared" si="177"/>
        <v>Sinapi 3875</v>
      </c>
      <c r="I2843" s="101" t="str">
        <f t="shared" si="178"/>
        <v>UN</v>
      </c>
      <c r="J2843" s="140" t="str">
        <f t="shared" si="179"/>
        <v>LUVA SIMPLES, PVC, SOLDAVEL, DN 50 MM, SERIE NORMAL, PARA ESGOTO PREDIAL</v>
      </c>
    </row>
    <row r="2844" spans="1:10" x14ac:dyDescent="0.25">
      <c r="A2844" s="169">
        <v>3898</v>
      </c>
      <c r="B2844" s="169" t="s">
        <v>26320</v>
      </c>
      <c r="C2844" s="169" t="s">
        <v>10225</v>
      </c>
      <c r="D2844" s="169" t="s">
        <v>1289</v>
      </c>
      <c r="E2844" s="103" t="s">
        <v>15770</v>
      </c>
      <c r="F2844" s="104"/>
      <c r="G2844" s="105">
        <f t="shared" si="176"/>
        <v>6.75</v>
      </c>
      <c r="H2844" s="101" t="str">
        <f t="shared" si="177"/>
        <v>Sinapi 3898</v>
      </c>
      <c r="I2844" s="101" t="str">
        <f t="shared" si="178"/>
        <v>UN</v>
      </c>
      <c r="J2844" s="140" t="str">
        <f t="shared" si="179"/>
        <v>LUVA SIMPLES, PVC, SOLDAVEL, DN 75 MM, SERIE NORMAL, PARA ESGOTO PREDIAL</v>
      </c>
    </row>
    <row r="2845" spans="1:10" x14ac:dyDescent="0.25">
      <c r="A2845" s="169">
        <v>3855</v>
      </c>
      <c r="B2845" s="169" t="s">
        <v>26321</v>
      </c>
      <c r="C2845" s="169" t="s">
        <v>10225</v>
      </c>
      <c r="D2845" s="169" t="s">
        <v>1289</v>
      </c>
      <c r="E2845" s="103" t="s">
        <v>30695</v>
      </c>
      <c r="F2845" s="104"/>
      <c r="G2845" s="105">
        <f t="shared" si="176"/>
        <v>6.07</v>
      </c>
      <c r="H2845" s="101" t="str">
        <f t="shared" si="177"/>
        <v>Sinapi 3855</v>
      </c>
      <c r="I2845" s="101" t="str">
        <f t="shared" si="178"/>
        <v>UN</v>
      </c>
      <c r="J2845" s="140" t="str">
        <f t="shared" si="179"/>
        <v>LUVA SOLDAVEL COM BUCHA DE LATAO, PVC, 20 MM X 1/2"</v>
      </c>
    </row>
    <row r="2846" spans="1:10" x14ac:dyDescent="0.25">
      <c r="A2846" s="169">
        <v>3874</v>
      </c>
      <c r="B2846" s="169" t="s">
        <v>26322</v>
      </c>
      <c r="C2846" s="169" t="s">
        <v>10225</v>
      </c>
      <c r="D2846" s="169" t="s">
        <v>1289</v>
      </c>
      <c r="E2846" s="103" t="s">
        <v>14626</v>
      </c>
      <c r="F2846" s="104"/>
      <c r="G2846" s="105">
        <f t="shared" si="176"/>
        <v>7.03</v>
      </c>
      <c r="H2846" s="101" t="str">
        <f t="shared" si="177"/>
        <v>Sinapi 3874</v>
      </c>
      <c r="I2846" s="101" t="str">
        <f t="shared" si="178"/>
        <v>UN</v>
      </c>
      <c r="J2846" s="140" t="str">
        <f t="shared" si="179"/>
        <v>LUVA SOLDAVEL COM BUCHA DE LATAO, PVC, 25 MM X 1/2"</v>
      </c>
    </row>
    <row r="2847" spans="1:10" x14ac:dyDescent="0.25">
      <c r="A2847" s="169">
        <v>3870</v>
      </c>
      <c r="B2847" s="169" t="s">
        <v>26323</v>
      </c>
      <c r="C2847" s="169" t="s">
        <v>10225</v>
      </c>
      <c r="D2847" s="169" t="s">
        <v>1289</v>
      </c>
      <c r="E2847" s="103" t="s">
        <v>23384</v>
      </c>
      <c r="F2847" s="104"/>
      <c r="G2847" s="105">
        <f t="shared" si="176"/>
        <v>7.72</v>
      </c>
      <c r="H2847" s="101" t="str">
        <f t="shared" si="177"/>
        <v>Sinapi 3870</v>
      </c>
      <c r="I2847" s="101" t="str">
        <f t="shared" si="178"/>
        <v>UN</v>
      </c>
      <c r="J2847" s="140" t="str">
        <f t="shared" si="179"/>
        <v>LUVA SOLDAVEL COM BUCHA DE LATAO, PVC, 25 MM X 3/4"</v>
      </c>
    </row>
    <row r="2848" spans="1:10" x14ac:dyDescent="0.25">
      <c r="A2848" s="169">
        <v>38678</v>
      </c>
      <c r="B2848" s="169" t="s">
        <v>26324</v>
      </c>
      <c r="C2848" s="169" t="s">
        <v>10225</v>
      </c>
      <c r="D2848" s="169" t="s">
        <v>1289</v>
      </c>
      <c r="E2848" s="103" t="s">
        <v>19379</v>
      </c>
      <c r="F2848" s="104"/>
      <c r="G2848" s="105">
        <f t="shared" si="176"/>
        <v>20.420000000000002</v>
      </c>
      <c r="H2848" s="101" t="str">
        <f t="shared" si="177"/>
        <v>Sinapi 38678</v>
      </c>
      <c r="I2848" s="101" t="str">
        <f t="shared" si="178"/>
        <v>UN</v>
      </c>
      <c r="J2848" s="140" t="str">
        <f t="shared" si="179"/>
        <v>LUVA SOLDAVEL COM BUCHA DE LATAO, PVC, 32 MM X 1"</v>
      </c>
    </row>
    <row r="2849" spans="1:10" x14ac:dyDescent="0.25">
      <c r="A2849" s="169">
        <v>3859</v>
      </c>
      <c r="B2849" s="169" t="s">
        <v>26325</v>
      </c>
      <c r="C2849" s="169" t="s">
        <v>10225</v>
      </c>
      <c r="D2849" s="169" t="s">
        <v>1289</v>
      </c>
      <c r="E2849" s="103" t="s">
        <v>2668</v>
      </c>
      <c r="F2849" s="104"/>
      <c r="G2849" s="105">
        <f t="shared" si="176"/>
        <v>1.55</v>
      </c>
      <c r="H2849" s="101" t="str">
        <f t="shared" si="177"/>
        <v>Sinapi 3859</v>
      </c>
      <c r="I2849" s="101" t="str">
        <f t="shared" si="178"/>
        <v>UN</v>
      </c>
      <c r="J2849" s="140" t="str">
        <f t="shared" si="179"/>
        <v>LUVA SOLDAVEL COM ROSCA, PVC, 20 MM X 1/2", PARA AGUA FRIA PREDIAL</v>
      </c>
    </row>
    <row r="2850" spans="1:10" x14ac:dyDescent="0.25">
      <c r="A2850" s="169">
        <v>3856</v>
      </c>
      <c r="B2850" s="169" t="s">
        <v>26326</v>
      </c>
      <c r="C2850" s="169" t="s">
        <v>10225</v>
      </c>
      <c r="D2850" s="169" t="s">
        <v>1289</v>
      </c>
      <c r="E2850" s="103" t="s">
        <v>29567</v>
      </c>
      <c r="F2850" s="104"/>
      <c r="G2850" s="105">
        <f t="shared" si="176"/>
        <v>2.16</v>
      </c>
      <c r="H2850" s="101" t="str">
        <f t="shared" si="177"/>
        <v>Sinapi 3856</v>
      </c>
      <c r="I2850" s="101" t="str">
        <f t="shared" si="178"/>
        <v>UN</v>
      </c>
      <c r="J2850" s="140" t="str">
        <f t="shared" si="179"/>
        <v>LUVA SOLDAVEL COM ROSCA, PVC, 25 MM X 1/2", PARA AGUA FRIA PREDIAL</v>
      </c>
    </row>
    <row r="2851" spans="1:10" x14ac:dyDescent="0.25">
      <c r="A2851" s="169">
        <v>3906</v>
      </c>
      <c r="B2851" s="169" t="s">
        <v>26327</v>
      </c>
      <c r="C2851" s="169" t="s">
        <v>10225</v>
      </c>
      <c r="D2851" s="169" t="s">
        <v>1289</v>
      </c>
      <c r="E2851" s="103" t="s">
        <v>23367</v>
      </c>
      <c r="F2851" s="104"/>
      <c r="G2851" s="105">
        <f t="shared" si="176"/>
        <v>1.78</v>
      </c>
      <c r="H2851" s="101" t="str">
        <f t="shared" si="177"/>
        <v>Sinapi 3906</v>
      </c>
      <c r="I2851" s="101" t="str">
        <f t="shared" si="178"/>
        <v>UN</v>
      </c>
      <c r="J2851" s="140" t="str">
        <f t="shared" si="179"/>
        <v>LUVA SOLDAVEL COM ROSCA, PVC, 25 MM X 3/4", PARA AGUA FRIA PREDIAL</v>
      </c>
    </row>
    <row r="2852" spans="1:10" x14ac:dyDescent="0.25">
      <c r="A2852" s="169">
        <v>3860</v>
      </c>
      <c r="B2852" s="169" t="s">
        <v>26328</v>
      </c>
      <c r="C2852" s="169" t="s">
        <v>10225</v>
      </c>
      <c r="D2852" s="169" t="s">
        <v>1289</v>
      </c>
      <c r="E2852" s="103" t="s">
        <v>16294</v>
      </c>
      <c r="F2852" s="104"/>
      <c r="G2852" s="105">
        <f t="shared" si="176"/>
        <v>5.29</v>
      </c>
      <c r="H2852" s="101" t="str">
        <f t="shared" si="177"/>
        <v>Sinapi 3860</v>
      </c>
      <c r="I2852" s="101" t="str">
        <f t="shared" si="178"/>
        <v>UN</v>
      </c>
      <c r="J2852" s="140" t="str">
        <f t="shared" si="179"/>
        <v>LUVA SOLDAVEL COM ROSCA, PVC, 32 MM X 1", PARA AGUA FRIA PREDIAL</v>
      </c>
    </row>
    <row r="2853" spans="1:10" x14ac:dyDescent="0.25">
      <c r="A2853" s="169">
        <v>3905</v>
      </c>
      <c r="B2853" s="169" t="s">
        <v>26329</v>
      </c>
      <c r="C2853" s="169" t="s">
        <v>10225</v>
      </c>
      <c r="D2853" s="169" t="s">
        <v>1289</v>
      </c>
      <c r="E2853" s="103" t="s">
        <v>13836</v>
      </c>
      <c r="F2853" s="104"/>
      <c r="G2853" s="105">
        <f t="shared" si="176"/>
        <v>12.13</v>
      </c>
      <c r="H2853" s="101" t="str">
        <f t="shared" si="177"/>
        <v>Sinapi 3905</v>
      </c>
      <c r="I2853" s="101" t="str">
        <f t="shared" si="178"/>
        <v>UN</v>
      </c>
      <c r="J2853" s="140" t="str">
        <f t="shared" si="179"/>
        <v>LUVA SOLDAVEL COM ROSCA, PVC, 40 MM X 1 1/4", PARA AGUA FRIA PREDIAL</v>
      </c>
    </row>
    <row r="2854" spans="1:10" x14ac:dyDescent="0.25">
      <c r="A2854" s="169">
        <v>3871</v>
      </c>
      <c r="B2854" s="169" t="s">
        <v>26330</v>
      </c>
      <c r="C2854" s="169" t="s">
        <v>10225</v>
      </c>
      <c r="D2854" s="169" t="s">
        <v>1289</v>
      </c>
      <c r="E2854" s="103" t="s">
        <v>27281</v>
      </c>
      <c r="F2854" s="104"/>
      <c r="G2854" s="105">
        <f t="shared" si="176"/>
        <v>21.47</v>
      </c>
      <c r="H2854" s="101" t="str">
        <f t="shared" si="177"/>
        <v>Sinapi 3871</v>
      </c>
      <c r="I2854" s="101" t="str">
        <f t="shared" si="178"/>
        <v>UN</v>
      </c>
      <c r="J2854" s="140" t="str">
        <f t="shared" si="179"/>
        <v>LUVA SOLDAVEL COM ROSCA, PVC, 50 MM X 1 1/2", PARA AGUA FRIA PREDIAL</v>
      </c>
    </row>
    <row r="2855" spans="1:10" x14ac:dyDescent="0.25">
      <c r="A2855" s="169">
        <v>39292</v>
      </c>
      <c r="B2855" s="169" t="s">
        <v>26331</v>
      </c>
      <c r="C2855" s="169" t="s">
        <v>10225</v>
      </c>
      <c r="D2855" s="169" t="s">
        <v>1290</v>
      </c>
      <c r="E2855" s="103" t="s">
        <v>22739</v>
      </c>
      <c r="F2855" s="104"/>
      <c r="G2855" s="105">
        <f t="shared" si="176"/>
        <v>7.58</v>
      </c>
      <c r="H2855" s="101" t="str">
        <f t="shared" si="177"/>
        <v>Sinapi 39292</v>
      </c>
      <c r="I2855" s="101" t="str">
        <f t="shared" si="178"/>
        <v>UN</v>
      </c>
      <c r="J2855" s="140" t="str">
        <f t="shared" si="179"/>
        <v>LUVA/UNIAO DE REDUCAO METALICA, PARA CONEXAO COM ANEL DESLIZANTE, DN 20 X 16 MM, EM TUBO PEX PARA INST. AGUA QUENTE/FRIA</v>
      </c>
    </row>
    <row r="2856" spans="1:10" x14ac:dyDescent="0.25">
      <c r="A2856" s="169">
        <v>39293</v>
      </c>
      <c r="B2856" s="169" t="s">
        <v>26332</v>
      </c>
      <c r="C2856" s="169" t="s">
        <v>10225</v>
      </c>
      <c r="D2856" s="169" t="s">
        <v>1290</v>
      </c>
      <c r="E2856" s="103" t="s">
        <v>19911</v>
      </c>
      <c r="F2856" s="104"/>
      <c r="G2856" s="105">
        <f t="shared" si="176"/>
        <v>11.78</v>
      </c>
      <c r="H2856" s="101" t="str">
        <f t="shared" si="177"/>
        <v>Sinapi 39293</v>
      </c>
      <c r="I2856" s="101" t="str">
        <f t="shared" si="178"/>
        <v>UN</v>
      </c>
      <c r="J2856" s="140" t="str">
        <f t="shared" si="179"/>
        <v>LUVA/UNIAO DE REDUCAO METALICA, PARA CONEXAO COM ANEL DESLIZANTE, DN 25 X 16 MM, EM TUBO PEX PARA INST. AGUA QUENTE/FRIA</v>
      </c>
    </row>
    <row r="2857" spans="1:10" x14ac:dyDescent="0.25">
      <c r="A2857" s="169">
        <v>39294</v>
      </c>
      <c r="B2857" s="169" t="s">
        <v>26333</v>
      </c>
      <c r="C2857" s="169" t="s">
        <v>10225</v>
      </c>
      <c r="D2857" s="169" t="s">
        <v>1290</v>
      </c>
      <c r="E2857" s="103" t="s">
        <v>22838</v>
      </c>
      <c r="F2857" s="104"/>
      <c r="G2857" s="105">
        <f t="shared" si="176"/>
        <v>12.59</v>
      </c>
      <c r="H2857" s="101" t="str">
        <f t="shared" si="177"/>
        <v>Sinapi 39294</v>
      </c>
      <c r="I2857" s="101" t="str">
        <f t="shared" si="178"/>
        <v>UN</v>
      </c>
      <c r="J2857" s="140" t="str">
        <f t="shared" si="179"/>
        <v>LUVA/UNIAO DE REDUCAO METALICA, PARA CONEXAO COM ANEL DESLIZANTE, DN 25 X 20 MM, EM TUBO PEX PARA INST. AGUA QUENTE/FRIA</v>
      </c>
    </row>
    <row r="2858" spans="1:10" x14ac:dyDescent="0.25">
      <c r="A2858" s="169">
        <v>39295</v>
      </c>
      <c r="B2858" s="169" t="s">
        <v>26334</v>
      </c>
      <c r="C2858" s="169" t="s">
        <v>10225</v>
      </c>
      <c r="D2858" s="169" t="s">
        <v>1290</v>
      </c>
      <c r="E2858" s="103" t="s">
        <v>22722</v>
      </c>
      <c r="F2858" s="104"/>
      <c r="G2858" s="105">
        <f t="shared" si="176"/>
        <v>17.32</v>
      </c>
      <c r="H2858" s="101" t="str">
        <f t="shared" si="177"/>
        <v>Sinapi 39295</v>
      </c>
      <c r="I2858" s="101" t="str">
        <f t="shared" si="178"/>
        <v>UN</v>
      </c>
      <c r="J2858" s="140" t="str">
        <f t="shared" si="179"/>
        <v>LUVA/UNIAO DE REDUCAO METALICA, PARA CONEXAO COM ANEL DESLIZANTE, DN 32 X 25 MM, EM TUBO PEX PARA INST. AGUA QUENTE/FRIA</v>
      </c>
    </row>
    <row r="2859" spans="1:10" x14ac:dyDescent="0.25">
      <c r="A2859" s="169">
        <v>39312</v>
      </c>
      <c r="B2859" s="169" t="s">
        <v>26335</v>
      </c>
      <c r="C2859" s="169" t="s">
        <v>10225</v>
      </c>
      <c r="D2859" s="169" t="s">
        <v>1290</v>
      </c>
      <c r="E2859" s="103" t="s">
        <v>15647</v>
      </c>
      <c r="F2859" s="104"/>
      <c r="G2859" s="105">
        <f t="shared" si="176"/>
        <v>11.62</v>
      </c>
      <c r="H2859" s="101" t="str">
        <f t="shared" si="177"/>
        <v>Sinapi 39312</v>
      </c>
      <c r="I2859" s="101" t="str">
        <f t="shared" si="178"/>
        <v>UN</v>
      </c>
      <c r="J2859" s="140" t="str">
        <f t="shared" si="179"/>
        <v>LUVA/UNIAO DE REDUCAO, PLASTICA, PARA CONEXAO COM CRIMPAGEM, DN 20 X 16 MM, EM TUBO PEX PARA INST. AGUA QUENTE/FRIA</v>
      </c>
    </row>
    <row r="2860" spans="1:10" x14ac:dyDescent="0.25">
      <c r="A2860" s="169">
        <v>39313</v>
      </c>
      <c r="B2860" s="169" t="s">
        <v>26336</v>
      </c>
      <c r="C2860" s="169" t="s">
        <v>10225</v>
      </c>
      <c r="D2860" s="169" t="s">
        <v>1290</v>
      </c>
      <c r="E2860" s="103" t="s">
        <v>19298</v>
      </c>
      <c r="F2860" s="104"/>
      <c r="G2860" s="105">
        <f t="shared" si="176"/>
        <v>15.61</v>
      </c>
      <c r="H2860" s="101" t="str">
        <f t="shared" si="177"/>
        <v>Sinapi 39313</v>
      </c>
      <c r="I2860" s="101" t="str">
        <f t="shared" si="178"/>
        <v>UN</v>
      </c>
      <c r="J2860" s="140" t="str">
        <f t="shared" si="179"/>
        <v>LUVA/UNIAO DE REDUCAO, PLASTICA, PARA CONEXAO COM CRIMPAGEM, DN 25 X 16 MM, EM TUBO PEX PARA INST. AGUA QUENTE/FRIA</v>
      </c>
    </row>
    <row r="2861" spans="1:10" x14ac:dyDescent="0.25">
      <c r="A2861" s="169">
        <v>39314</v>
      </c>
      <c r="B2861" s="169" t="s">
        <v>26337</v>
      </c>
      <c r="C2861" s="169" t="s">
        <v>10225</v>
      </c>
      <c r="D2861" s="169" t="s">
        <v>1290</v>
      </c>
      <c r="E2861" s="103" t="s">
        <v>15581</v>
      </c>
      <c r="F2861" s="104"/>
      <c r="G2861" s="105">
        <f t="shared" si="176"/>
        <v>22.97</v>
      </c>
      <c r="H2861" s="101" t="str">
        <f t="shared" si="177"/>
        <v>Sinapi 39314</v>
      </c>
      <c r="I2861" s="101" t="str">
        <f t="shared" si="178"/>
        <v>UN</v>
      </c>
      <c r="J2861" s="140" t="str">
        <f t="shared" si="179"/>
        <v>LUVA/UNIAO DE REDUCAO, PLASTICA, PARA CONEXAO COM CRIMPAGEM, DN 32 X 25 MM, EM TUBO PEX PARA INST. AGUA QUENTE/FRIA</v>
      </c>
    </row>
    <row r="2862" spans="1:10" x14ac:dyDescent="0.25">
      <c r="A2862" s="169">
        <v>39296</v>
      </c>
      <c r="B2862" s="169" t="s">
        <v>26338</v>
      </c>
      <c r="C2862" s="169" t="s">
        <v>10225</v>
      </c>
      <c r="D2862" s="169" t="s">
        <v>1290</v>
      </c>
      <c r="E2862" s="103" t="s">
        <v>17904</v>
      </c>
      <c r="F2862" s="104"/>
      <c r="G2862" s="105">
        <f t="shared" si="176"/>
        <v>6.91</v>
      </c>
      <c r="H2862" s="101" t="str">
        <f t="shared" si="177"/>
        <v>Sinapi 39296</v>
      </c>
      <c r="I2862" s="101" t="str">
        <f t="shared" si="178"/>
        <v>UN</v>
      </c>
      <c r="J2862" s="140" t="str">
        <f t="shared" si="179"/>
        <v>LUVA/UNIAO METALICA, PARA CONEXAO COM ANEL DESLIZANTE, DN 16 MM, EM TUBO PEX PARA INST. AGUA QUENTE/FRIA</v>
      </c>
    </row>
    <row r="2863" spans="1:10" x14ac:dyDescent="0.25">
      <c r="A2863" s="169">
        <v>39297</v>
      </c>
      <c r="B2863" s="169" t="s">
        <v>26339</v>
      </c>
      <c r="C2863" s="169" t="s">
        <v>10225</v>
      </c>
      <c r="D2863" s="169" t="s">
        <v>1290</v>
      </c>
      <c r="E2863" s="103" t="s">
        <v>15763</v>
      </c>
      <c r="F2863" s="104"/>
      <c r="G2863" s="105">
        <f t="shared" si="176"/>
        <v>9.3699999999999992</v>
      </c>
      <c r="H2863" s="101" t="str">
        <f t="shared" si="177"/>
        <v>Sinapi 39297</v>
      </c>
      <c r="I2863" s="101" t="str">
        <f t="shared" si="178"/>
        <v>UN</v>
      </c>
      <c r="J2863" s="140" t="str">
        <f t="shared" si="179"/>
        <v>LUVA/UNIAO METALICA, PARA CONEXAO COM ANEL DESLIZANTE, DN 20 MM, EM TUBO PEX PARA INST. AGUA QUENTE/FRIA</v>
      </c>
    </row>
    <row r="2864" spans="1:10" x14ac:dyDescent="0.25">
      <c r="A2864" s="169">
        <v>39298</v>
      </c>
      <c r="B2864" s="169" t="s">
        <v>26340</v>
      </c>
      <c r="C2864" s="169" t="s">
        <v>10225</v>
      </c>
      <c r="D2864" s="169" t="s">
        <v>1290</v>
      </c>
      <c r="E2864" s="103" t="s">
        <v>17412</v>
      </c>
      <c r="F2864" s="104"/>
      <c r="G2864" s="105">
        <f t="shared" si="176"/>
        <v>17.989999999999998</v>
      </c>
      <c r="H2864" s="101" t="str">
        <f t="shared" si="177"/>
        <v>Sinapi 39298</v>
      </c>
      <c r="I2864" s="101" t="str">
        <f t="shared" si="178"/>
        <v>UN</v>
      </c>
      <c r="J2864" s="140" t="str">
        <f t="shared" si="179"/>
        <v>LUVA/UNIAO METALICA, PARA CONEXAO COM ANEL DESLIZANTE, DN 25 MM, EM TUBO PEX PARA INST. AGUA QUENTE/FRIA</v>
      </c>
    </row>
    <row r="2865" spans="1:10" x14ac:dyDescent="0.25">
      <c r="A2865" s="169">
        <v>39299</v>
      </c>
      <c r="B2865" s="169" t="s">
        <v>26341</v>
      </c>
      <c r="C2865" s="169" t="s">
        <v>10225</v>
      </c>
      <c r="D2865" s="169" t="s">
        <v>1290</v>
      </c>
      <c r="E2865" s="103" t="s">
        <v>22827</v>
      </c>
      <c r="F2865" s="104"/>
      <c r="G2865" s="105">
        <f t="shared" si="176"/>
        <v>21.32</v>
      </c>
      <c r="H2865" s="101" t="str">
        <f t="shared" si="177"/>
        <v>Sinapi 39299</v>
      </c>
      <c r="I2865" s="101" t="str">
        <f t="shared" si="178"/>
        <v>UN</v>
      </c>
      <c r="J2865" s="140" t="str">
        <f t="shared" si="179"/>
        <v>LUVA/UNIAO METALICA, PARA CONEXAO COM ANEL DESLIZANTE, DN 32 MM, EM TUBO PEX PARA INST. AGUA QUENTE/FRIA</v>
      </c>
    </row>
    <row r="2866" spans="1:10" x14ac:dyDescent="0.25">
      <c r="A2866" s="169">
        <v>39308</v>
      </c>
      <c r="B2866" s="169" t="s">
        <v>26342</v>
      </c>
      <c r="C2866" s="169" t="s">
        <v>10225</v>
      </c>
      <c r="D2866" s="169" t="s">
        <v>1290</v>
      </c>
      <c r="E2866" s="103" t="s">
        <v>14627</v>
      </c>
      <c r="F2866" s="104"/>
      <c r="G2866" s="105">
        <f t="shared" si="176"/>
        <v>5.76</v>
      </c>
      <c r="H2866" s="101" t="str">
        <f t="shared" si="177"/>
        <v>Sinapi 39308</v>
      </c>
      <c r="I2866" s="101" t="str">
        <f t="shared" si="178"/>
        <v>UN</v>
      </c>
      <c r="J2866" s="140" t="str">
        <f t="shared" si="179"/>
        <v>LUVA/UNIAO, PLASTICA, PARA CONEXAO COM CRIMPAGEM, DN 16 MM, EM TUBO PEX PARA INST. AGUA QUENTE/FRIA</v>
      </c>
    </row>
    <row r="2867" spans="1:10" x14ac:dyDescent="0.25">
      <c r="A2867" s="169">
        <v>39309</v>
      </c>
      <c r="B2867" s="169" t="s">
        <v>26343</v>
      </c>
      <c r="C2867" s="169" t="s">
        <v>10225</v>
      </c>
      <c r="D2867" s="169" t="s">
        <v>1290</v>
      </c>
      <c r="E2867" s="103" t="s">
        <v>18558</v>
      </c>
      <c r="F2867" s="104"/>
      <c r="G2867" s="105">
        <f t="shared" si="176"/>
        <v>6.57</v>
      </c>
      <c r="H2867" s="101" t="str">
        <f t="shared" si="177"/>
        <v>Sinapi 39309</v>
      </c>
      <c r="I2867" s="101" t="str">
        <f t="shared" si="178"/>
        <v>UN</v>
      </c>
      <c r="J2867" s="140" t="str">
        <f t="shared" si="179"/>
        <v>LUVA/UNIAO, PLASTICA, PARA CONEXAO COM CRIMPAGEM, DN 20 MM, EM TUBO PEX PARA INST. AGUA QUENTE/FRIA</v>
      </c>
    </row>
    <row r="2868" spans="1:10" x14ac:dyDescent="0.25">
      <c r="A2868" s="169">
        <v>39310</v>
      </c>
      <c r="B2868" s="169" t="s">
        <v>26344</v>
      </c>
      <c r="C2868" s="169" t="s">
        <v>10225</v>
      </c>
      <c r="D2868" s="169" t="s">
        <v>1290</v>
      </c>
      <c r="E2868" s="103" t="s">
        <v>20465</v>
      </c>
      <c r="F2868" s="104"/>
      <c r="G2868" s="105">
        <f t="shared" si="176"/>
        <v>12.27</v>
      </c>
      <c r="H2868" s="101" t="str">
        <f t="shared" si="177"/>
        <v>Sinapi 39310</v>
      </c>
      <c r="I2868" s="101" t="str">
        <f t="shared" si="178"/>
        <v>UN</v>
      </c>
      <c r="J2868" s="140" t="str">
        <f t="shared" si="179"/>
        <v>LUVA/UNIAO, PLASTICA, PARA CONEXAO COM CRIMPAGEM, DN 25 MM, EM TUBO PEX PARA INST. AGUA QUENTE/FRIA</v>
      </c>
    </row>
    <row r="2869" spans="1:10" x14ac:dyDescent="0.25">
      <c r="A2869" s="169">
        <v>39311</v>
      </c>
      <c r="B2869" s="169" t="s">
        <v>26345</v>
      </c>
      <c r="C2869" s="169" t="s">
        <v>10225</v>
      </c>
      <c r="D2869" s="169" t="s">
        <v>1290</v>
      </c>
      <c r="E2869" s="103" t="s">
        <v>11446</v>
      </c>
      <c r="F2869" s="104"/>
      <c r="G2869" s="105">
        <f t="shared" si="176"/>
        <v>17.37</v>
      </c>
      <c r="H2869" s="101" t="str">
        <f t="shared" si="177"/>
        <v>Sinapi 39311</v>
      </c>
      <c r="I2869" s="101" t="str">
        <f t="shared" si="178"/>
        <v>UN</v>
      </c>
      <c r="J2869" s="140" t="str">
        <f t="shared" si="179"/>
        <v>LUVA/UNIAO, PLASTICA, PARA CONEXAO COM CRIMPAGEM, DN 32 MM, EM TUBO PEX PARA INST. AGUA QUENTE/FRIA</v>
      </c>
    </row>
    <row r="2870" spans="1:10" x14ac:dyDescent="0.25">
      <c r="A2870" s="169">
        <v>37429</v>
      </c>
      <c r="B2870" s="169" t="s">
        <v>26346</v>
      </c>
      <c r="C2870" s="169" t="s">
        <v>10225</v>
      </c>
      <c r="D2870" s="169" t="s">
        <v>1290</v>
      </c>
      <c r="E2870" s="103" t="s">
        <v>22852</v>
      </c>
      <c r="F2870" s="104"/>
      <c r="G2870" s="105">
        <f t="shared" si="176"/>
        <v>2794.13</v>
      </c>
      <c r="H2870" s="101" t="str">
        <f t="shared" si="177"/>
        <v>Sinapi 37429</v>
      </c>
      <c r="I2870" s="101" t="str">
        <f t="shared" si="178"/>
        <v>UN</v>
      </c>
      <c r="J2870" s="140" t="str">
        <f t="shared" si="179"/>
        <v>LUVA, PEAD PE 100, DE 400 MM, PARA ELETROFUSAO</v>
      </c>
    </row>
    <row r="2871" spans="1:10" x14ac:dyDescent="0.25">
      <c r="A2871" s="169">
        <v>37426</v>
      </c>
      <c r="B2871" s="169" t="s">
        <v>26347</v>
      </c>
      <c r="C2871" s="169" t="s">
        <v>10225</v>
      </c>
      <c r="D2871" s="169" t="s">
        <v>1290</v>
      </c>
      <c r="E2871" s="103" t="s">
        <v>19917</v>
      </c>
      <c r="F2871" s="104"/>
      <c r="G2871" s="105">
        <f t="shared" si="176"/>
        <v>26.88</v>
      </c>
      <c r="H2871" s="101" t="str">
        <f t="shared" si="177"/>
        <v>Sinapi 37426</v>
      </c>
      <c r="I2871" s="101" t="str">
        <f t="shared" si="178"/>
        <v>UN</v>
      </c>
      <c r="J2871" s="140" t="str">
        <f t="shared" si="179"/>
        <v>LUVA, PEAD PE 100, DE 63 MM, PARA ELETROFUSAO</v>
      </c>
    </row>
    <row r="2872" spans="1:10" x14ac:dyDescent="0.25">
      <c r="A2872" s="169">
        <v>37427</v>
      </c>
      <c r="B2872" s="169" t="s">
        <v>26348</v>
      </c>
      <c r="C2872" s="169" t="s">
        <v>10225</v>
      </c>
      <c r="D2872" s="169" t="s">
        <v>1290</v>
      </c>
      <c r="E2872" s="103" t="s">
        <v>22853</v>
      </c>
      <c r="F2872" s="104"/>
      <c r="G2872" s="105">
        <f t="shared" si="176"/>
        <v>64.11</v>
      </c>
      <c r="H2872" s="101" t="str">
        <f t="shared" si="177"/>
        <v>Sinapi 37427</v>
      </c>
      <c r="I2872" s="101" t="str">
        <f t="shared" si="178"/>
        <v>UN</v>
      </c>
      <c r="J2872" s="140" t="str">
        <f t="shared" si="179"/>
        <v>LUVA, PEAD PE 100, DE 125 MM, PARA ELETROFUSAO</v>
      </c>
    </row>
    <row r="2873" spans="1:10" x14ac:dyDescent="0.25">
      <c r="A2873" s="169">
        <v>37424</v>
      </c>
      <c r="B2873" s="169" t="s">
        <v>26349</v>
      </c>
      <c r="C2873" s="169" t="s">
        <v>10225</v>
      </c>
      <c r="D2873" s="169" t="s">
        <v>1290</v>
      </c>
      <c r="E2873" s="103" t="s">
        <v>22023</v>
      </c>
      <c r="F2873" s="104"/>
      <c r="G2873" s="105">
        <f t="shared" si="176"/>
        <v>12.35</v>
      </c>
      <c r="H2873" s="101" t="str">
        <f t="shared" si="177"/>
        <v>Sinapi 37424</v>
      </c>
      <c r="I2873" s="101" t="str">
        <f t="shared" si="178"/>
        <v>UN</v>
      </c>
      <c r="J2873" s="140" t="str">
        <f t="shared" si="179"/>
        <v>LUVA, PEAD PE 100, DE 20 MM, PARA ELETROFUSAO</v>
      </c>
    </row>
    <row r="2874" spans="1:10" x14ac:dyDescent="0.25">
      <c r="A2874" s="169">
        <v>37428</v>
      </c>
      <c r="B2874" s="169" t="s">
        <v>26350</v>
      </c>
      <c r="C2874" s="169" t="s">
        <v>10225</v>
      </c>
      <c r="D2874" s="169" t="s">
        <v>1290</v>
      </c>
      <c r="E2874" s="103" t="s">
        <v>21827</v>
      </c>
      <c r="F2874" s="104"/>
      <c r="G2874" s="105">
        <f t="shared" si="176"/>
        <v>220.95</v>
      </c>
      <c r="H2874" s="101" t="str">
        <f t="shared" si="177"/>
        <v>Sinapi 37428</v>
      </c>
      <c r="I2874" s="101" t="str">
        <f t="shared" si="178"/>
        <v>UN</v>
      </c>
      <c r="J2874" s="140" t="str">
        <f t="shared" si="179"/>
        <v>LUVA, PEAD PE 100, DE 200 MM, PARA ELETROFUSAO</v>
      </c>
    </row>
    <row r="2875" spans="1:10" x14ac:dyDescent="0.25">
      <c r="A2875" s="169">
        <v>37425</v>
      </c>
      <c r="B2875" s="169" t="s">
        <v>26351</v>
      </c>
      <c r="C2875" s="169" t="s">
        <v>10225</v>
      </c>
      <c r="D2875" s="169" t="s">
        <v>1290</v>
      </c>
      <c r="E2875" s="103" t="s">
        <v>15686</v>
      </c>
      <c r="F2875" s="104"/>
      <c r="G2875" s="105">
        <f t="shared" si="176"/>
        <v>13.31</v>
      </c>
      <c r="H2875" s="101" t="str">
        <f t="shared" si="177"/>
        <v>Sinapi 37425</v>
      </c>
      <c r="I2875" s="101" t="str">
        <f t="shared" si="178"/>
        <v>UN</v>
      </c>
      <c r="J2875" s="140" t="str">
        <f t="shared" si="179"/>
        <v>LUVA, PEAD PE 100, DE 32 MM, PARA ELETROFUSAO</v>
      </c>
    </row>
    <row r="2876" spans="1:10" x14ac:dyDescent="0.25">
      <c r="A2876" s="169">
        <v>11519</v>
      </c>
      <c r="B2876" s="169" t="s">
        <v>26352</v>
      </c>
      <c r="C2876" s="169" t="s">
        <v>10239</v>
      </c>
      <c r="D2876" s="169" t="s">
        <v>1289</v>
      </c>
      <c r="E2876" s="103" t="s">
        <v>19948</v>
      </c>
      <c r="F2876" s="104"/>
      <c r="G2876" s="105">
        <f t="shared" si="176"/>
        <v>44.86</v>
      </c>
      <c r="H2876" s="101" t="str">
        <f t="shared" si="177"/>
        <v>Sinapi 11519</v>
      </c>
      <c r="I2876" s="101" t="str">
        <f t="shared" si="178"/>
        <v>PAR</v>
      </c>
      <c r="J2876" s="140" t="str">
        <f t="shared" si="179"/>
        <v>MACANETA ALAVANCA RETA OCA, EM ZAMAC COM ACABAMENTO CROMADO, COMPRIMENTO APROX DE 15 CM</v>
      </c>
    </row>
    <row r="2877" spans="1:10" x14ac:dyDescent="0.25">
      <c r="A2877" s="169">
        <v>11520</v>
      </c>
      <c r="B2877" s="169" t="s">
        <v>26353</v>
      </c>
      <c r="C2877" s="169" t="s">
        <v>10239</v>
      </c>
      <c r="D2877" s="169" t="s">
        <v>1289</v>
      </c>
      <c r="E2877" s="103" t="s">
        <v>16406</v>
      </c>
      <c r="F2877" s="104"/>
      <c r="G2877" s="105">
        <f t="shared" si="176"/>
        <v>20.74</v>
      </c>
      <c r="H2877" s="101" t="str">
        <f t="shared" si="177"/>
        <v>Sinapi 11520</v>
      </c>
      <c r="I2877" s="101" t="str">
        <f t="shared" si="178"/>
        <v>PAR</v>
      </c>
      <c r="J2877" s="140" t="str">
        <f t="shared" si="179"/>
        <v>MACANETA ALAVANCA, RETA SIMPLES / OCA, CROMADA, COMPRIMENTO DE 10 A 16 CM, ACABAMENTO PADRAO POPULAR - SOMENTE MACANETAS</v>
      </c>
    </row>
    <row r="2878" spans="1:10" x14ac:dyDescent="0.25">
      <c r="A2878" s="169">
        <v>11518</v>
      </c>
      <c r="B2878" s="169" t="s">
        <v>26354</v>
      </c>
      <c r="C2878" s="169" t="s">
        <v>10239</v>
      </c>
      <c r="D2878" s="169" t="s">
        <v>1289</v>
      </c>
      <c r="E2878" s="103" t="s">
        <v>28557</v>
      </c>
      <c r="F2878" s="104"/>
      <c r="G2878" s="105">
        <f t="shared" si="176"/>
        <v>75.42</v>
      </c>
      <c r="H2878" s="101" t="str">
        <f t="shared" si="177"/>
        <v>Sinapi 11518</v>
      </c>
      <c r="I2878" s="101" t="str">
        <f t="shared" si="178"/>
        <v>PAR</v>
      </c>
      <c r="J2878" s="140" t="str">
        <f t="shared" si="179"/>
        <v>MACANETA BOLA, EM ZAMAC COM ACABAMENTO CROMADO, DIAMETRO DE APROX 2 1/2"</v>
      </c>
    </row>
    <row r="2879" spans="1:10" x14ac:dyDescent="0.25">
      <c r="A2879" s="169">
        <v>38473</v>
      </c>
      <c r="B2879" s="169" t="s">
        <v>26355</v>
      </c>
      <c r="C2879" s="169" t="s">
        <v>10225</v>
      </c>
      <c r="D2879" s="169" t="s">
        <v>1289</v>
      </c>
      <c r="E2879" s="103" t="s">
        <v>29158</v>
      </c>
      <c r="F2879" s="104"/>
      <c r="G2879" s="105">
        <f t="shared" si="176"/>
        <v>141.26</v>
      </c>
      <c r="H2879" s="101" t="str">
        <f t="shared" si="177"/>
        <v>Sinapi 38473</v>
      </c>
      <c r="I2879" s="101" t="str">
        <f t="shared" si="178"/>
        <v>UN</v>
      </c>
      <c r="J2879" s="140" t="str">
        <f t="shared" si="179"/>
        <v>MACARICO DE SOLDA 201 PARA EXTENSAO GLP OU ACETILENO</v>
      </c>
    </row>
    <row r="2880" spans="1:10" x14ac:dyDescent="0.25">
      <c r="A2880" s="169">
        <v>4244</v>
      </c>
      <c r="B2880" s="169" t="s">
        <v>26356</v>
      </c>
      <c r="C2880" s="169" t="s">
        <v>10228</v>
      </c>
      <c r="D2880" s="169" t="s">
        <v>1289</v>
      </c>
      <c r="E2880" s="103" t="s">
        <v>30696</v>
      </c>
      <c r="F2880" s="104"/>
      <c r="G2880" s="105">
        <f t="shared" si="176"/>
        <v>19.34</v>
      </c>
      <c r="H2880" s="101" t="str">
        <f t="shared" si="177"/>
        <v>Sinapi 4244</v>
      </c>
      <c r="I2880" s="101" t="str">
        <f t="shared" si="178"/>
        <v>H</v>
      </c>
      <c r="J2880" s="140" t="str">
        <f t="shared" si="179"/>
        <v>MACARIQUEIRO (HORISTA)</v>
      </c>
    </row>
    <row r="2881" spans="1:10" x14ac:dyDescent="0.25">
      <c r="A2881" s="169">
        <v>40977</v>
      </c>
      <c r="B2881" s="169" t="s">
        <v>26357</v>
      </c>
      <c r="C2881" s="169" t="s">
        <v>10235</v>
      </c>
      <c r="D2881" s="169" t="s">
        <v>1289</v>
      </c>
      <c r="E2881" s="103" t="s">
        <v>30697</v>
      </c>
      <c r="F2881" s="104"/>
      <c r="G2881" s="105">
        <f t="shared" si="176"/>
        <v>3369.01</v>
      </c>
      <c r="H2881" s="101" t="str">
        <f t="shared" si="177"/>
        <v>Sinapi 40977</v>
      </c>
      <c r="I2881" s="101" t="str">
        <f t="shared" si="178"/>
        <v>MES</v>
      </c>
      <c r="J2881" s="140" t="str">
        <f t="shared" si="179"/>
        <v>MACARIQUEIRO (MENSALISTA)</v>
      </c>
    </row>
    <row r="2882" spans="1:10" x14ac:dyDescent="0.25">
      <c r="A2882" s="169">
        <v>4115</v>
      </c>
      <c r="B2882" s="169" t="s">
        <v>26358</v>
      </c>
      <c r="C2882" s="169" t="s">
        <v>10229</v>
      </c>
      <c r="D2882" s="169" t="s">
        <v>1290</v>
      </c>
      <c r="E2882" s="103" t="s">
        <v>30698</v>
      </c>
      <c r="F2882" s="104"/>
      <c r="G2882" s="105">
        <f t="shared" si="176"/>
        <v>24.21</v>
      </c>
      <c r="H2882" s="101" t="str">
        <f t="shared" si="177"/>
        <v>Sinapi 4115</v>
      </c>
      <c r="I2882" s="101" t="str">
        <f t="shared" si="178"/>
        <v>M</v>
      </c>
      <c r="J2882" s="140" t="str">
        <f t="shared" si="179"/>
        <v>MADEIRA ROLICA TRATADA, D = 12 A 15 CM, H = 3,00 M, EM EUCALIPTO OU EQUIVALENTE DA REGIAO</v>
      </c>
    </row>
    <row r="2883" spans="1:10" x14ac:dyDescent="0.25">
      <c r="A2883" s="169">
        <v>4119</v>
      </c>
      <c r="B2883" s="169" t="s">
        <v>26359</v>
      </c>
      <c r="C2883" s="169" t="s">
        <v>10229</v>
      </c>
      <c r="D2883" s="169" t="s">
        <v>1290</v>
      </c>
      <c r="E2883" s="103" t="s">
        <v>30699</v>
      </c>
      <c r="F2883" s="104"/>
      <c r="G2883" s="105">
        <f t="shared" si="176"/>
        <v>48.9</v>
      </c>
      <c r="H2883" s="101" t="str">
        <f t="shared" si="177"/>
        <v>Sinapi 4119</v>
      </c>
      <c r="I2883" s="101" t="str">
        <f t="shared" si="178"/>
        <v>M</v>
      </c>
      <c r="J2883" s="140" t="str">
        <f t="shared" si="179"/>
        <v>MADEIRA ROLICA TRATADA, D = 16 A 20 CM, H = 6,00 M, EM EUCALIPTO OU EQUIVALENTE DA REGIAO</v>
      </c>
    </row>
    <row r="2884" spans="1:10" x14ac:dyDescent="0.25">
      <c r="A2884" s="169">
        <v>2794</v>
      </c>
      <c r="B2884" s="169" t="s">
        <v>26360</v>
      </c>
      <c r="C2884" s="169" t="s">
        <v>10229</v>
      </c>
      <c r="D2884" s="169" t="s">
        <v>1290</v>
      </c>
      <c r="E2884" s="103" t="s">
        <v>30700</v>
      </c>
      <c r="F2884" s="104"/>
      <c r="G2884" s="105">
        <f t="shared" si="176"/>
        <v>129.72999999999999</v>
      </c>
      <c r="H2884" s="101" t="str">
        <f t="shared" si="177"/>
        <v>Sinapi 2794</v>
      </c>
      <c r="I2884" s="101" t="str">
        <f t="shared" si="178"/>
        <v>M</v>
      </c>
      <c r="J2884" s="140" t="str">
        <f t="shared" si="179"/>
        <v>MADEIRA ROLICA TRATADA, D = 25 A 29 CM, H = 6,50 M, EM EUCALIPTO OU EQUIVALENTE DA REGIAO</v>
      </c>
    </row>
    <row r="2885" spans="1:10" x14ac:dyDescent="0.25">
      <c r="A2885" s="169">
        <v>2788</v>
      </c>
      <c r="B2885" s="169" t="s">
        <v>26361</v>
      </c>
      <c r="C2885" s="169" t="s">
        <v>10229</v>
      </c>
      <c r="D2885" s="169" t="s">
        <v>1290</v>
      </c>
      <c r="E2885" s="103" t="s">
        <v>30701</v>
      </c>
      <c r="F2885" s="104"/>
      <c r="G2885" s="105">
        <f t="shared" si="176"/>
        <v>188.99</v>
      </c>
      <c r="H2885" s="101" t="str">
        <f t="shared" si="177"/>
        <v>Sinapi 2788</v>
      </c>
      <c r="I2885" s="101" t="str">
        <f t="shared" si="178"/>
        <v>M</v>
      </c>
      <c r="J2885" s="140" t="str">
        <f t="shared" si="179"/>
        <v>MADEIRA ROLICA TRATADA, D = 30 A 34 CM, H = 6,50 M, EM EUCALIPTO OU EQUIVALENTE DA REGIAO</v>
      </c>
    </row>
    <row r="2886" spans="1:10" x14ac:dyDescent="0.25">
      <c r="A2886" s="169">
        <v>4006</v>
      </c>
      <c r="B2886" s="169" t="s">
        <v>26362</v>
      </c>
      <c r="C2886" s="169" t="s">
        <v>10234</v>
      </c>
      <c r="D2886" s="169" t="s">
        <v>1289</v>
      </c>
      <c r="E2886" s="103" t="s">
        <v>30702</v>
      </c>
      <c r="F2886" s="104"/>
      <c r="G2886" s="105">
        <f t="shared" si="176"/>
        <v>1315.34</v>
      </c>
      <c r="H2886" s="101" t="str">
        <f t="shared" si="177"/>
        <v>Sinapi 4006</v>
      </c>
      <c r="I2886" s="101" t="str">
        <f t="shared" si="178"/>
        <v>M3</v>
      </c>
      <c r="J2886" s="140" t="str">
        <f t="shared" si="179"/>
        <v>MADEIRA SERRADA EM PINUS, MISTA OU EQUIVALENTE DA REGIAO - BRUTA</v>
      </c>
    </row>
    <row r="2887" spans="1:10" x14ac:dyDescent="0.25">
      <c r="A2887" s="169">
        <v>36151</v>
      </c>
      <c r="B2887" s="169" t="s">
        <v>26363</v>
      </c>
      <c r="C2887" s="169" t="s">
        <v>10225</v>
      </c>
      <c r="D2887" s="169" t="s">
        <v>1289</v>
      </c>
      <c r="E2887" s="103" t="s">
        <v>30703</v>
      </c>
      <c r="F2887" s="104"/>
      <c r="G2887" s="105">
        <f t="shared" si="176"/>
        <v>29.2</v>
      </c>
      <c r="H2887" s="101" t="str">
        <f t="shared" si="177"/>
        <v>Sinapi 36151</v>
      </c>
      <c r="I2887" s="101" t="str">
        <f t="shared" si="178"/>
        <v>UN</v>
      </c>
      <c r="J2887" s="140" t="str">
        <f t="shared" si="179"/>
        <v>MANGOTE DE SEGURANCA EM RASPA DE COURO</v>
      </c>
    </row>
    <row r="2888" spans="1:10" x14ac:dyDescent="0.25">
      <c r="A2888" s="169">
        <v>37457</v>
      </c>
      <c r="B2888" s="169" t="s">
        <v>26364</v>
      </c>
      <c r="C2888" s="169" t="s">
        <v>10229</v>
      </c>
      <c r="D2888" s="169" t="s">
        <v>1289</v>
      </c>
      <c r="E2888" s="103" t="s">
        <v>13847</v>
      </c>
      <c r="F2888" s="104"/>
      <c r="G2888" s="105">
        <f t="shared" ref="G2888:G2951" si="180">IF(E2888="","",E2888+0)</f>
        <v>2.5299999999999998</v>
      </c>
      <c r="H2888" s="101" t="str">
        <f t="shared" ref="H2888:H2951" si="181">IF(G2888="","",TRIM(CONCATENATE("Sinapi ",A2888)))</f>
        <v>Sinapi 37457</v>
      </c>
      <c r="I2888" s="101" t="str">
        <f t="shared" ref="I2888:I2951" si="182">TRIM(C2888)</f>
        <v>M</v>
      </c>
      <c r="J2888" s="140" t="str">
        <f t="shared" si="179"/>
        <v>MANGUEIRA CRISTAL PARA NIVEL, LISA, PVC TRANSPARENTE, 3/8" X1,5 MM</v>
      </c>
    </row>
    <row r="2889" spans="1:10" x14ac:dyDescent="0.25">
      <c r="A2889" s="169">
        <v>37456</v>
      </c>
      <c r="B2889" s="169" t="s">
        <v>26365</v>
      </c>
      <c r="C2889" s="169" t="s">
        <v>10229</v>
      </c>
      <c r="D2889" s="169" t="s">
        <v>1289</v>
      </c>
      <c r="E2889" s="103" t="s">
        <v>29677</v>
      </c>
      <c r="F2889" s="104"/>
      <c r="G2889" s="105">
        <f t="shared" si="180"/>
        <v>1.33</v>
      </c>
      <c r="H2889" s="101" t="str">
        <f t="shared" si="181"/>
        <v>Sinapi 37456</v>
      </c>
      <c r="I2889" s="101" t="str">
        <f t="shared" si="182"/>
        <v>M</v>
      </c>
      <c r="J2889" s="140" t="str">
        <f t="shared" ref="J2889:J2952" si="183">TRIM(B2889)</f>
        <v>MANGUEIRA CRISTAL PARA NIVEL, LISA, PVC TRANSPARENTE, 5/16" X1 MM</v>
      </c>
    </row>
    <row r="2890" spans="1:10" x14ac:dyDescent="0.25">
      <c r="A2890" s="169">
        <v>37461</v>
      </c>
      <c r="B2890" s="169" t="s">
        <v>26366</v>
      </c>
      <c r="C2890" s="169" t="s">
        <v>10229</v>
      </c>
      <c r="D2890" s="169" t="s">
        <v>1289</v>
      </c>
      <c r="E2890" s="103" t="s">
        <v>21286</v>
      </c>
      <c r="F2890" s="104"/>
      <c r="G2890" s="105">
        <f t="shared" si="180"/>
        <v>9.42</v>
      </c>
      <c r="H2890" s="101" t="str">
        <f t="shared" si="181"/>
        <v>Sinapi 37461</v>
      </c>
      <c r="I2890" s="101" t="str">
        <f t="shared" si="182"/>
        <v>M</v>
      </c>
      <c r="J2890" s="140" t="str">
        <f t="shared" si="183"/>
        <v>MANGUEIRA CRISTAL TRANCADA, PVC COM REFORCO, COM PRESSAO DE TRABALHO (PT) 250 LBS/POL2, DE 3/4" X *2,8* MM</v>
      </c>
    </row>
    <row r="2891" spans="1:10" x14ac:dyDescent="0.25">
      <c r="A2891" s="169">
        <v>37460</v>
      </c>
      <c r="B2891" s="169" t="s">
        <v>26367</v>
      </c>
      <c r="C2891" s="169" t="s">
        <v>10229</v>
      </c>
      <c r="D2891" s="169" t="s">
        <v>1289</v>
      </c>
      <c r="E2891" s="103" t="s">
        <v>16301</v>
      </c>
      <c r="F2891" s="104"/>
      <c r="G2891" s="105">
        <f t="shared" si="180"/>
        <v>12.86</v>
      </c>
      <c r="H2891" s="101" t="str">
        <f t="shared" si="181"/>
        <v>Sinapi 37460</v>
      </c>
      <c r="I2891" s="101" t="str">
        <f t="shared" si="182"/>
        <v>M</v>
      </c>
      <c r="J2891" s="140" t="str">
        <f t="shared" si="183"/>
        <v>MANGUEIRA CRISTAL TRANCADA, PVC COM REFORCO, PRESSAO DE TRABALHO (PT) 250 LBS/POL2, DE 1" X *3,4* MM</v>
      </c>
    </row>
    <row r="2892" spans="1:10" x14ac:dyDescent="0.25">
      <c r="A2892" s="169">
        <v>37458</v>
      </c>
      <c r="B2892" s="169" t="s">
        <v>26368</v>
      </c>
      <c r="C2892" s="169" t="s">
        <v>10229</v>
      </c>
      <c r="D2892" s="169" t="s">
        <v>1288</v>
      </c>
      <c r="E2892" s="103" t="s">
        <v>21206</v>
      </c>
      <c r="F2892" s="104"/>
      <c r="G2892" s="105">
        <f t="shared" si="180"/>
        <v>3.77</v>
      </c>
      <c r="H2892" s="101" t="str">
        <f t="shared" si="181"/>
        <v>Sinapi 37458</v>
      </c>
      <c r="I2892" s="101" t="str">
        <f t="shared" si="182"/>
        <v>M</v>
      </c>
      <c r="J2892" s="140" t="str">
        <f t="shared" si="183"/>
        <v>MANGUEIRA CRISTAL, LISA, PVC TRANSPARENTE, 1/2" X 2 MM</v>
      </c>
    </row>
    <row r="2893" spans="1:10" x14ac:dyDescent="0.25">
      <c r="A2893" s="169">
        <v>37454</v>
      </c>
      <c r="B2893" s="169" t="s">
        <v>26369</v>
      </c>
      <c r="C2893" s="169" t="s">
        <v>10229</v>
      </c>
      <c r="D2893" s="169" t="s">
        <v>1289</v>
      </c>
      <c r="E2893" s="103" t="s">
        <v>10110</v>
      </c>
      <c r="F2893" s="104"/>
      <c r="G2893" s="105">
        <f t="shared" si="180"/>
        <v>0.99</v>
      </c>
      <c r="H2893" s="101" t="str">
        <f t="shared" si="181"/>
        <v>Sinapi 37454</v>
      </c>
      <c r="I2893" s="101" t="str">
        <f t="shared" si="182"/>
        <v>M</v>
      </c>
      <c r="J2893" s="140" t="str">
        <f t="shared" si="183"/>
        <v>MANGUEIRA CRISTAL, LISA, PVC TRANSPARENTE, 1/4" X1 MM</v>
      </c>
    </row>
    <row r="2894" spans="1:10" x14ac:dyDescent="0.25">
      <c r="A2894" s="169">
        <v>37455</v>
      </c>
      <c r="B2894" s="169" t="s">
        <v>26370</v>
      </c>
      <c r="C2894" s="169" t="s">
        <v>10229</v>
      </c>
      <c r="D2894" s="169" t="s">
        <v>1289</v>
      </c>
      <c r="E2894" s="103" t="s">
        <v>3201</v>
      </c>
      <c r="F2894" s="104"/>
      <c r="G2894" s="105">
        <f t="shared" si="180"/>
        <v>1.66</v>
      </c>
      <c r="H2894" s="101" t="str">
        <f t="shared" si="181"/>
        <v>Sinapi 37455</v>
      </c>
      <c r="I2894" s="101" t="str">
        <f t="shared" si="182"/>
        <v>M</v>
      </c>
      <c r="J2894" s="140" t="str">
        <f t="shared" si="183"/>
        <v>MANGUEIRA CRISTAL, LISA, PVC TRANSPARENTE, 1/4" X1,5 MM</v>
      </c>
    </row>
    <row r="2895" spans="1:10" x14ac:dyDescent="0.25">
      <c r="A2895" s="169">
        <v>37459</v>
      </c>
      <c r="B2895" s="169" t="s">
        <v>26371</v>
      </c>
      <c r="C2895" s="169" t="s">
        <v>10229</v>
      </c>
      <c r="D2895" s="169" t="s">
        <v>1289</v>
      </c>
      <c r="E2895" s="103" t="s">
        <v>16294</v>
      </c>
      <c r="F2895" s="104"/>
      <c r="G2895" s="105">
        <f t="shared" si="180"/>
        <v>5.29</v>
      </c>
      <c r="H2895" s="101" t="str">
        <f t="shared" si="181"/>
        <v>Sinapi 37459</v>
      </c>
      <c r="I2895" s="101" t="str">
        <f t="shared" si="182"/>
        <v>M</v>
      </c>
      <c r="J2895" s="140" t="str">
        <f t="shared" si="183"/>
        <v>MANGUEIRA CRISTAL, LISA, PVC TRANSPARENTE, 3/4" X 2 MM</v>
      </c>
    </row>
    <row r="2896" spans="1:10" x14ac:dyDescent="0.25">
      <c r="A2896" s="169">
        <v>21029</v>
      </c>
      <c r="B2896" s="169" t="s">
        <v>26372</v>
      </c>
      <c r="C2896" s="169" t="s">
        <v>10225</v>
      </c>
      <c r="D2896" s="169" t="s">
        <v>1288</v>
      </c>
      <c r="E2896" s="103" t="s">
        <v>30704</v>
      </c>
      <c r="F2896" s="104"/>
      <c r="G2896" s="105">
        <f t="shared" si="180"/>
        <v>480</v>
      </c>
      <c r="H2896" s="101" t="str">
        <f t="shared" si="181"/>
        <v>Sinapi 21029</v>
      </c>
      <c r="I2896" s="101" t="str">
        <f t="shared" si="182"/>
        <v>UN</v>
      </c>
      <c r="J2896" s="140" t="str">
        <f t="shared" si="183"/>
        <v>MANGUEIRA DE INCENDIO, TIPO 1, DE 1 1/2", COMPRIMENTO = 15 M, TECIDO EM FIO DE POLIESTER E TUBO INTERNO EM BORRACHA SINTETICA, COM UNIOES ENGATE RAPIDO</v>
      </c>
    </row>
    <row r="2897" spans="1:10" x14ac:dyDescent="0.25">
      <c r="A2897" s="169">
        <v>21030</v>
      </c>
      <c r="B2897" s="169" t="s">
        <v>26373</v>
      </c>
      <c r="C2897" s="169" t="s">
        <v>10225</v>
      </c>
      <c r="D2897" s="169" t="s">
        <v>1289</v>
      </c>
      <c r="E2897" s="103" t="s">
        <v>30705</v>
      </c>
      <c r="F2897" s="104"/>
      <c r="G2897" s="105">
        <f t="shared" si="180"/>
        <v>591.67999999999995</v>
      </c>
      <c r="H2897" s="101" t="str">
        <f t="shared" si="181"/>
        <v>Sinapi 21030</v>
      </c>
      <c r="I2897" s="101" t="str">
        <f t="shared" si="182"/>
        <v>UN</v>
      </c>
      <c r="J2897" s="140" t="str">
        <f t="shared" si="183"/>
        <v>MANGUEIRA DE INCENDIO, TIPO 1, DE 1 1/2", COMPRIMENTO = 20 M, TECIDO EM FIO DE POLIESTER E TUBO INTERNO EM BORRACHA SINTETICA, COM UNIOES ENGATE RAPIDO</v>
      </c>
    </row>
    <row r="2898" spans="1:10" x14ac:dyDescent="0.25">
      <c r="A2898" s="169">
        <v>21031</v>
      </c>
      <c r="B2898" s="169" t="s">
        <v>26374</v>
      </c>
      <c r="C2898" s="169" t="s">
        <v>10225</v>
      </c>
      <c r="D2898" s="169" t="s">
        <v>1289</v>
      </c>
      <c r="E2898" s="103" t="s">
        <v>30706</v>
      </c>
      <c r="F2898" s="104"/>
      <c r="G2898" s="105">
        <f t="shared" si="180"/>
        <v>736.63</v>
      </c>
      <c r="H2898" s="101" t="str">
        <f t="shared" si="181"/>
        <v>Sinapi 21031</v>
      </c>
      <c r="I2898" s="101" t="str">
        <f t="shared" si="182"/>
        <v>UN</v>
      </c>
      <c r="J2898" s="140" t="str">
        <f t="shared" si="183"/>
        <v>MANGUEIRA DE INCENDIO, TIPO 1, DE 1 1/2", COMPRIMENTO = 25 M, TECIDO EM FIO DE POLIESTER E TUBO INTERNO EM BORRACHA SINTETICA, COM UNIOES ENGATE RAPIDO</v>
      </c>
    </row>
    <row r="2899" spans="1:10" x14ac:dyDescent="0.25">
      <c r="A2899" s="169">
        <v>21032</v>
      </c>
      <c r="B2899" s="169" t="s">
        <v>26375</v>
      </c>
      <c r="C2899" s="169" t="s">
        <v>10225</v>
      </c>
      <c r="D2899" s="169" t="s">
        <v>1289</v>
      </c>
      <c r="E2899" s="103" t="s">
        <v>30707</v>
      </c>
      <c r="F2899" s="104"/>
      <c r="G2899" s="105">
        <f t="shared" si="180"/>
        <v>786.53</v>
      </c>
      <c r="H2899" s="101" t="str">
        <f t="shared" si="181"/>
        <v>Sinapi 21032</v>
      </c>
      <c r="I2899" s="101" t="str">
        <f t="shared" si="182"/>
        <v>UN</v>
      </c>
      <c r="J2899" s="140" t="str">
        <f t="shared" si="183"/>
        <v>MANGUEIRA DE INCENDIO, TIPO 1, DE 1 1/2", COMPRIMENTO = 30 M, TECIDO EM FIO DE POLIESTER E TUBO INTERNO EM BORRACHA SINTETICA, COM UNIOES ENGATE RAPIDO</v>
      </c>
    </row>
    <row r="2900" spans="1:10" x14ac:dyDescent="0.25">
      <c r="A2900" s="169">
        <v>37527</v>
      </c>
      <c r="B2900" s="169" t="s">
        <v>26376</v>
      </c>
      <c r="C2900" s="169" t="s">
        <v>10225</v>
      </c>
      <c r="D2900" s="169" t="s">
        <v>1289</v>
      </c>
      <c r="E2900" s="103" t="s">
        <v>30708</v>
      </c>
      <c r="F2900" s="104"/>
      <c r="G2900" s="105">
        <f t="shared" si="180"/>
        <v>710.49</v>
      </c>
      <c r="H2900" s="101" t="str">
        <f t="shared" si="181"/>
        <v>Sinapi 37527</v>
      </c>
      <c r="I2900" s="101" t="str">
        <f t="shared" si="182"/>
        <v>UN</v>
      </c>
      <c r="J2900" s="140" t="str">
        <f t="shared" si="183"/>
        <v>MANGUEIRA DE INCENDIO, TIPO 2, DE 1 1/2", COMPRIMENTO = 15 M, TECIDO EM FIO DE POLIESTER E TUBO INTERNO EM BORRACHA SINTETICA, COM UNIOES ENGATE RAPIDO</v>
      </c>
    </row>
    <row r="2901" spans="1:10" x14ac:dyDescent="0.25">
      <c r="A2901" s="169">
        <v>37528</v>
      </c>
      <c r="B2901" s="169" t="s">
        <v>26377</v>
      </c>
      <c r="C2901" s="169" t="s">
        <v>10225</v>
      </c>
      <c r="D2901" s="169" t="s">
        <v>1289</v>
      </c>
      <c r="E2901" s="103" t="s">
        <v>30709</v>
      </c>
      <c r="F2901" s="104"/>
      <c r="G2901" s="105">
        <f t="shared" si="180"/>
        <v>847.12</v>
      </c>
      <c r="H2901" s="101" t="str">
        <f t="shared" si="181"/>
        <v>Sinapi 37528</v>
      </c>
      <c r="I2901" s="101" t="str">
        <f t="shared" si="182"/>
        <v>UN</v>
      </c>
      <c r="J2901" s="140" t="str">
        <f t="shared" si="183"/>
        <v>MANGUEIRA DE INCENDIO, TIPO 2, DE 1 1/2", COMPRIMENTO = 20 M, TECIDO EM FIO DE POLIESTER E TUBO INTERNO EM BORRACHA SINTETICA, COM UNIOES</v>
      </c>
    </row>
    <row r="2902" spans="1:10" x14ac:dyDescent="0.25">
      <c r="A2902" s="169">
        <v>37529</v>
      </c>
      <c r="B2902" s="169" t="s">
        <v>26378</v>
      </c>
      <c r="C2902" s="169" t="s">
        <v>10225</v>
      </c>
      <c r="D2902" s="169" t="s">
        <v>1289</v>
      </c>
      <c r="E2902" s="103" t="s">
        <v>30710</v>
      </c>
      <c r="F2902" s="104"/>
      <c r="G2902" s="105">
        <f t="shared" si="180"/>
        <v>855.44</v>
      </c>
      <c r="H2902" s="101" t="str">
        <f t="shared" si="181"/>
        <v>Sinapi 37529</v>
      </c>
      <c r="I2902" s="101" t="str">
        <f t="shared" si="182"/>
        <v>UN</v>
      </c>
      <c r="J2902" s="140" t="str">
        <f t="shared" si="183"/>
        <v>MANGUEIRA DE INCENDIO, TIPO 2, DE 1 1/2", COMPRIMENTO = 25 M, TECIDO EM FIO DE POLIESTER E TUBO INTERNO EM BORRACHA SINTETICA, COM UNIOES</v>
      </c>
    </row>
    <row r="2903" spans="1:10" x14ac:dyDescent="0.25">
      <c r="A2903" s="169">
        <v>37530</v>
      </c>
      <c r="B2903" s="169" t="s">
        <v>26379</v>
      </c>
      <c r="C2903" s="169" t="s">
        <v>10225</v>
      </c>
      <c r="D2903" s="169" t="s">
        <v>1289</v>
      </c>
      <c r="E2903" s="103" t="s">
        <v>30711</v>
      </c>
      <c r="F2903" s="104"/>
      <c r="G2903" s="105">
        <f t="shared" si="180"/>
        <v>1116.83</v>
      </c>
      <c r="H2903" s="101" t="str">
        <f t="shared" si="181"/>
        <v>Sinapi 37530</v>
      </c>
      <c r="I2903" s="101" t="str">
        <f t="shared" si="182"/>
        <v>UN</v>
      </c>
      <c r="J2903" s="140" t="str">
        <f t="shared" si="183"/>
        <v>MANGUEIRA DE INCENDIO, TIPO 2, DE 1 1/2", COMPRIMENTO = 30 M, TECIDO EM FIO DE POLIESTER E TUBO INTERNO EM BORRACHA SINTETICA, COM UNIOES</v>
      </c>
    </row>
    <row r="2904" spans="1:10" x14ac:dyDescent="0.25">
      <c r="A2904" s="169">
        <v>21034</v>
      </c>
      <c r="B2904" s="169" t="s">
        <v>26380</v>
      </c>
      <c r="C2904" s="169" t="s">
        <v>10225</v>
      </c>
      <c r="D2904" s="169" t="s">
        <v>1289</v>
      </c>
      <c r="E2904" s="103" t="s">
        <v>30712</v>
      </c>
      <c r="F2904" s="104"/>
      <c r="G2904" s="105">
        <f t="shared" si="180"/>
        <v>952.87</v>
      </c>
      <c r="H2904" s="101" t="str">
        <f t="shared" si="181"/>
        <v>Sinapi 21034</v>
      </c>
      <c r="I2904" s="101" t="str">
        <f t="shared" si="182"/>
        <v>UN</v>
      </c>
      <c r="J2904" s="140" t="str">
        <f t="shared" si="183"/>
        <v>MANGUEIRA DE INCENDIO, TIPO 2, DE 2 1/2", COMPRIMENTO = 15 M, TECIDO EM FIO DE POLIESTER E TUBO INTERNO EM BORRACHA SINTETICA, COM UNIOES ENGATE RAPIDO</v>
      </c>
    </row>
    <row r="2905" spans="1:10" x14ac:dyDescent="0.25">
      <c r="A2905" s="169">
        <v>37531</v>
      </c>
      <c r="B2905" s="169" t="s">
        <v>26381</v>
      </c>
      <c r="C2905" s="169" t="s">
        <v>10225</v>
      </c>
      <c r="D2905" s="169" t="s">
        <v>1289</v>
      </c>
      <c r="E2905" s="103" t="s">
        <v>30713</v>
      </c>
      <c r="F2905" s="104"/>
      <c r="G2905" s="105">
        <f t="shared" si="180"/>
        <v>1200</v>
      </c>
      <c r="H2905" s="101" t="str">
        <f t="shared" si="181"/>
        <v>Sinapi 37531</v>
      </c>
      <c r="I2905" s="101" t="str">
        <f t="shared" si="182"/>
        <v>UN</v>
      </c>
      <c r="J2905" s="140" t="str">
        <f t="shared" si="183"/>
        <v>MANGUEIRA DE INCENDIO, TIPO 2, DE 2 1/2", COMPRIMENTO = 20 M, TECIDO EM FIO DE POLIESTER E TUBO INTERNO EM BORRACHA SINTETICA, COM UNIOES</v>
      </c>
    </row>
    <row r="2906" spans="1:10" x14ac:dyDescent="0.25">
      <c r="A2906" s="169">
        <v>21036</v>
      </c>
      <c r="B2906" s="169" t="s">
        <v>26382</v>
      </c>
      <c r="C2906" s="169" t="s">
        <v>10225</v>
      </c>
      <c r="D2906" s="169" t="s">
        <v>1289</v>
      </c>
      <c r="E2906" s="103" t="s">
        <v>30714</v>
      </c>
      <c r="F2906" s="104"/>
      <c r="G2906" s="105">
        <f t="shared" si="180"/>
        <v>1459</v>
      </c>
      <c r="H2906" s="101" t="str">
        <f t="shared" si="181"/>
        <v>Sinapi 21036</v>
      </c>
      <c r="I2906" s="101" t="str">
        <f t="shared" si="182"/>
        <v>UN</v>
      </c>
      <c r="J2906" s="140" t="str">
        <f t="shared" si="183"/>
        <v>MANGUEIRA DE INCENDIO, TIPO 2, DE 2 1/2", COMPRIMENTO = 25 M, TECIDO EM FIO DE POLIESTER E TUBO INTERNO EM BORRACHA SINTETICA, COM UNIOES ENGATE RAPIDO</v>
      </c>
    </row>
    <row r="2907" spans="1:10" x14ac:dyDescent="0.25">
      <c r="A2907" s="169">
        <v>21037</v>
      </c>
      <c r="B2907" s="169" t="s">
        <v>26383</v>
      </c>
      <c r="C2907" s="169" t="s">
        <v>10225</v>
      </c>
      <c r="D2907" s="169" t="s">
        <v>1289</v>
      </c>
      <c r="E2907" s="103" t="s">
        <v>30715</v>
      </c>
      <c r="F2907" s="104"/>
      <c r="G2907" s="105">
        <f t="shared" si="180"/>
        <v>1663.36</v>
      </c>
      <c r="H2907" s="101" t="str">
        <f t="shared" si="181"/>
        <v>Sinapi 21037</v>
      </c>
      <c r="I2907" s="101" t="str">
        <f t="shared" si="182"/>
        <v>UN</v>
      </c>
      <c r="J2907" s="140" t="str">
        <f t="shared" si="183"/>
        <v>MANGUEIRA DE INCENDIO, TIPO 2, DE 2 1/2", COMPRIMENTO = 30 M, TECIDO EM FIO DE POLIESTER E TUBO INTERNO EM BORRACHA SINTETICA, COM UNIOES ENGATE RAPIDO</v>
      </c>
    </row>
    <row r="2908" spans="1:10" x14ac:dyDescent="0.25">
      <c r="A2908" s="169">
        <v>20185</v>
      </c>
      <c r="B2908" s="169" t="s">
        <v>26384</v>
      </c>
      <c r="C2908" s="169" t="s">
        <v>10229</v>
      </c>
      <c r="D2908" s="169" t="s">
        <v>1289</v>
      </c>
      <c r="E2908" s="103" t="s">
        <v>19300</v>
      </c>
      <c r="F2908" s="104"/>
      <c r="G2908" s="105">
        <f t="shared" si="180"/>
        <v>15.31</v>
      </c>
      <c r="H2908" s="101" t="str">
        <f t="shared" si="181"/>
        <v>Sinapi 20185</v>
      </c>
      <c r="I2908" s="101" t="str">
        <f t="shared" si="182"/>
        <v>M</v>
      </c>
      <c r="J2908" s="140" t="str">
        <f t="shared" si="183"/>
        <v>MANGUEIRA DE PVC FLEXIVEL,TIPO FLAT/ACHATADA, COR LARANJA, D = 1 1/2" (40 MM), PARA CONDUCAO DE AGUA, SERVICOS LEVES E MEDIOS</v>
      </c>
    </row>
    <row r="2909" spans="1:10" x14ac:dyDescent="0.25">
      <c r="A2909" s="169">
        <v>20260</v>
      </c>
      <c r="B2909" s="169" t="s">
        <v>26385</v>
      </c>
      <c r="C2909" s="169" t="s">
        <v>10225</v>
      </c>
      <c r="D2909" s="169" t="s">
        <v>1289</v>
      </c>
      <c r="E2909" s="103" t="s">
        <v>17955</v>
      </c>
      <c r="F2909" s="104"/>
      <c r="G2909" s="105">
        <f t="shared" si="180"/>
        <v>12.31</v>
      </c>
      <c r="H2909" s="101" t="str">
        <f t="shared" si="181"/>
        <v>Sinapi 20260</v>
      </c>
      <c r="I2909" s="101" t="str">
        <f t="shared" si="182"/>
        <v>UN</v>
      </c>
      <c r="J2909" s="140" t="str">
        <f t="shared" si="183"/>
        <v>MANGUEIRA PARA GAS - GLP, PVC, TRANCADA, DIAMETRO DE 3/8", COMPRIMENTO DE 1M (NORMATIZADA)</v>
      </c>
    </row>
    <row r="2910" spans="1:10" x14ac:dyDescent="0.25">
      <c r="A2910" s="169">
        <v>37523</v>
      </c>
      <c r="B2910" s="169" t="s">
        <v>26386</v>
      </c>
      <c r="C2910" s="169" t="s">
        <v>10225</v>
      </c>
      <c r="D2910" s="169" t="s">
        <v>1290</v>
      </c>
      <c r="E2910" s="103" t="s">
        <v>30716</v>
      </c>
      <c r="F2910" s="104"/>
      <c r="G2910" s="105">
        <f t="shared" si="180"/>
        <v>579269.27</v>
      </c>
      <c r="H2910" s="101" t="str">
        <f t="shared" si="181"/>
        <v>Sinapi 37523</v>
      </c>
      <c r="I2910" s="101" t="str">
        <f t="shared" si="182"/>
        <v>UN</v>
      </c>
      <c r="J2910" s="140" t="str">
        <f t="shared" si="183"/>
        <v>MANIPULADOR TELESCOPICO, POTENCIA DE 101 HP, CAPACIDADE DE CARGA DE 3.500 KG, ALTURA MAXIMA DE ELEVACAO DE 12 M</v>
      </c>
    </row>
    <row r="2911" spans="1:10" x14ac:dyDescent="0.25">
      <c r="A2911" s="169">
        <v>37515</v>
      </c>
      <c r="B2911" s="169" t="s">
        <v>26387</v>
      </c>
      <c r="C2911" s="169" t="s">
        <v>10225</v>
      </c>
      <c r="D2911" s="169" t="s">
        <v>1290</v>
      </c>
      <c r="E2911" s="103" t="s">
        <v>30717</v>
      </c>
      <c r="F2911" s="104"/>
      <c r="G2911" s="105">
        <f t="shared" si="180"/>
        <v>515000</v>
      </c>
      <c r="H2911" s="101" t="str">
        <f t="shared" si="181"/>
        <v>Sinapi 37515</v>
      </c>
      <c r="I2911" s="101" t="str">
        <f t="shared" si="182"/>
        <v>UN</v>
      </c>
      <c r="J2911" s="140" t="str">
        <f t="shared" si="183"/>
        <v>MANIPULADOR TELESCOPICO, POTENCIA DE 85 HP, CAPACIDADE DE CARGA DE 3.500 KG, ALTURA MAXIMA DE ELEVACAO DE 12,3 M</v>
      </c>
    </row>
    <row r="2912" spans="1:10" x14ac:dyDescent="0.25">
      <c r="A2912" s="169">
        <v>12899</v>
      </c>
      <c r="B2912" s="169" t="s">
        <v>26388</v>
      </c>
      <c r="C2912" s="169" t="s">
        <v>10225</v>
      </c>
      <c r="D2912" s="169" t="s">
        <v>1290</v>
      </c>
      <c r="E2912" s="103" t="s">
        <v>30718</v>
      </c>
      <c r="F2912" s="104"/>
      <c r="G2912" s="105">
        <f t="shared" si="180"/>
        <v>114.55</v>
      </c>
      <c r="H2912" s="101" t="str">
        <f t="shared" si="181"/>
        <v>Sinapi 12899</v>
      </c>
      <c r="I2912" s="101" t="str">
        <f t="shared" si="182"/>
        <v>UN</v>
      </c>
      <c r="J2912" s="140" t="str">
        <f t="shared" si="183"/>
        <v>MANOMETRO COM CAIXA EM ACO PINTADO, ESCALA *10* KGF/CM2 (*10* BAR), DIAMETRO NOMINAL DE *63* MM, CONEXAO DE 1/4"</v>
      </c>
    </row>
    <row r="2913" spans="1:10" x14ac:dyDescent="0.25">
      <c r="A2913" s="169">
        <v>12898</v>
      </c>
      <c r="B2913" s="169" t="s">
        <v>26389</v>
      </c>
      <c r="C2913" s="169" t="s">
        <v>10225</v>
      </c>
      <c r="D2913" s="169" t="s">
        <v>1290</v>
      </c>
      <c r="E2913" s="103" t="s">
        <v>30719</v>
      </c>
      <c r="F2913" s="104"/>
      <c r="G2913" s="105">
        <f t="shared" si="180"/>
        <v>181.71</v>
      </c>
      <c r="H2913" s="101" t="str">
        <f t="shared" si="181"/>
        <v>Sinapi 12898</v>
      </c>
      <c r="I2913" s="101" t="str">
        <f t="shared" si="182"/>
        <v>UN</v>
      </c>
      <c r="J2913" s="140" t="str">
        <f t="shared" si="183"/>
        <v>MANOMETRO COM CAIXA EM ACO PINTADO, ESCALA *10* KGF/CM2 (*10* BAR), DIAMETRO NOMINAL DE 100 MM, CONEXAO DE 1/2"</v>
      </c>
    </row>
    <row r="2914" spans="1:10" x14ac:dyDescent="0.25">
      <c r="A2914" s="169">
        <v>39699</v>
      </c>
      <c r="B2914" s="169" t="s">
        <v>26390</v>
      </c>
      <c r="C2914" s="169" t="s">
        <v>10226</v>
      </c>
      <c r="D2914" s="169" t="s">
        <v>1289</v>
      </c>
      <c r="E2914" s="103" t="s">
        <v>30720</v>
      </c>
      <c r="F2914" s="104"/>
      <c r="G2914" s="105">
        <f t="shared" si="180"/>
        <v>20.07</v>
      </c>
      <c r="H2914" s="101" t="str">
        <f t="shared" si="181"/>
        <v>Sinapi 39699</v>
      </c>
      <c r="I2914" s="101" t="str">
        <f t="shared" si="182"/>
        <v>M2</v>
      </c>
      <c r="J2914" s="140" t="str">
        <f t="shared" si="183"/>
        <v>MANTA / LENCOL DE BORRACHA, SBR, ANTIRRUIDO, E = 5 MM</v>
      </c>
    </row>
    <row r="2915" spans="1:10" x14ac:dyDescent="0.25">
      <c r="A2915" s="169">
        <v>42528</v>
      </c>
      <c r="B2915" s="169" t="s">
        <v>26391</v>
      </c>
      <c r="C2915" s="169" t="s">
        <v>10226</v>
      </c>
      <c r="D2915" s="169" t="s">
        <v>1289</v>
      </c>
      <c r="E2915" s="103" t="s">
        <v>16357</v>
      </c>
      <c r="F2915" s="104"/>
      <c r="G2915" s="105">
        <f t="shared" si="180"/>
        <v>7.44</v>
      </c>
      <c r="H2915" s="101" t="str">
        <f t="shared" si="181"/>
        <v>Sinapi 42528</v>
      </c>
      <c r="I2915" s="101" t="str">
        <f t="shared" si="182"/>
        <v>M2</v>
      </c>
      <c r="J2915" s="140" t="str">
        <f t="shared" si="183"/>
        <v>MANTA ALUMINIZADA NAS DUAS FACES, PARA SUBCOBERTURA, E = *2* MM</v>
      </c>
    </row>
    <row r="2916" spans="1:10" x14ac:dyDescent="0.25">
      <c r="A2916" s="169">
        <v>39696</v>
      </c>
      <c r="B2916" s="169" t="s">
        <v>26392</v>
      </c>
      <c r="C2916" s="169" t="s">
        <v>10226</v>
      </c>
      <c r="D2916" s="169" t="s">
        <v>1288</v>
      </c>
      <c r="E2916" s="103" t="s">
        <v>15762</v>
      </c>
      <c r="F2916" s="104"/>
      <c r="G2916" s="105">
        <f t="shared" si="180"/>
        <v>5.23</v>
      </c>
      <c r="H2916" s="101" t="str">
        <f t="shared" si="181"/>
        <v>Sinapi 39696</v>
      </c>
      <c r="I2916" s="101" t="str">
        <f t="shared" si="182"/>
        <v>M2</v>
      </c>
      <c r="J2916" s="140" t="str">
        <f t="shared" si="183"/>
        <v>MANTA ALUMINIZADA 1 FACE PARA SUBCOBERTURA, E = *1* MM</v>
      </c>
    </row>
    <row r="2917" spans="1:10" x14ac:dyDescent="0.25">
      <c r="A2917" s="169">
        <v>39700</v>
      </c>
      <c r="B2917" s="169" t="s">
        <v>26393</v>
      </c>
      <c r="C2917" s="169" t="s">
        <v>10226</v>
      </c>
      <c r="D2917" s="169" t="s">
        <v>1289</v>
      </c>
      <c r="E2917" s="103" t="s">
        <v>21221</v>
      </c>
      <c r="F2917" s="104"/>
      <c r="G2917" s="105">
        <f t="shared" si="180"/>
        <v>18.510000000000002</v>
      </c>
      <c r="H2917" s="101" t="str">
        <f t="shared" si="181"/>
        <v>Sinapi 39700</v>
      </c>
      <c r="I2917" s="101" t="str">
        <f t="shared" si="182"/>
        <v>M2</v>
      </c>
      <c r="J2917" s="140" t="str">
        <f t="shared" si="183"/>
        <v>MANTA ANTIRRUIDO DE POLIESTER (PET) PARA CONTRAPISO E = *8* MM</v>
      </c>
    </row>
    <row r="2918" spans="1:10" x14ac:dyDescent="0.25">
      <c r="A2918" s="169">
        <v>11621</v>
      </c>
      <c r="B2918" s="169" t="s">
        <v>26394</v>
      </c>
      <c r="C2918" s="169" t="s">
        <v>10226</v>
      </c>
      <c r="D2918" s="169" t="s">
        <v>1289</v>
      </c>
      <c r="E2918" s="103" t="s">
        <v>30721</v>
      </c>
      <c r="F2918" s="104"/>
      <c r="G2918" s="105">
        <f t="shared" si="180"/>
        <v>36.840000000000003</v>
      </c>
      <c r="H2918" s="101" t="str">
        <f t="shared" si="181"/>
        <v>Sinapi 11621</v>
      </c>
      <c r="I2918" s="101" t="str">
        <f t="shared" si="182"/>
        <v>M2</v>
      </c>
      <c r="J2918" s="140" t="str">
        <f t="shared" si="183"/>
        <v>MANTA ASFALTICA ELASTOMERICA EM POLIESTER ALUMINIZADA 3 MM, TIPO III, CLASSE B (NBR 9952)</v>
      </c>
    </row>
    <row r="2919" spans="1:10" x14ac:dyDescent="0.25">
      <c r="A2919" s="169">
        <v>4014</v>
      </c>
      <c r="B2919" s="169" t="s">
        <v>1276</v>
      </c>
      <c r="C2919" s="169" t="s">
        <v>10226</v>
      </c>
      <c r="D2919" s="169" t="s">
        <v>1289</v>
      </c>
      <c r="E2919" s="103" t="s">
        <v>30722</v>
      </c>
      <c r="F2919" s="104"/>
      <c r="G2919" s="105">
        <f t="shared" si="180"/>
        <v>38.11</v>
      </c>
      <c r="H2919" s="101" t="str">
        <f t="shared" si="181"/>
        <v>Sinapi 4014</v>
      </c>
      <c r="I2919" s="101" t="str">
        <f t="shared" si="182"/>
        <v>M2</v>
      </c>
      <c r="J2919" s="140" t="str">
        <f t="shared" si="183"/>
        <v>MANTA ASFALTICA ELASTOMERICA EM POLIESTER 3 MM, TIPO III, CLASSE B, ACABAMENTO PP (NBR 9952)</v>
      </c>
    </row>
    <row r="2920" spans="1:10" x14ac:dyDescent="0.25">
      <c r="A2920" s="169">
        <v>4015</v>
      </c>
      <c r="B2920" s="169" t="s">
        <v>1257</v>
      </c>
      <c r="C2920" s="169" t="s">
        <v>10226</v>
      </c>
      <c r="D2920" s="169" t="s">
        <v>1289</v>
      </c>
      <c r="E2920" s="103" t="s">
        <v>28760</v>
      </c>
      <c r="F2920" s="104"/>
      <c r="G2920" s="105">
        <f t="shared" si="180"/>
        <v>46.8</v>
      </c>
      <c r="H2920" s="101" t="str">
        <f t="shared" si="181"/>
        <v>Sinapi 4015</v>
      </c>
      <c r="I2920" s="101" t="str">
        <f t="shared" si="182"/>
        <v>M2</v>
      </c>
      <c r="J2920" s="140" t="str">
        <f t="shared" si="183"/>
        <v>MANTA ASFALTICA ELASTOMERICA EM POLIESTER 4 MM, TIPO III, CLASSE B, ACABAMENTO PP (NBR 9952)</v>
      </c>
    </row>
    <row r="2921" spans="1:10" x14ac:dyDescent="0.25">
      <c r="A2921" s="169">
        <v>4017</v>
      </c>
      <c r="B2921" s="169" t="s">
        <v>26395</v>
      </c>
      <c r="C2921" s="169" t="s">
        <v>10226</v>
      </c>
      <c r="D2921" s="169" t="s">
        <v>1289</v>
      </c>
      <c r="E2921" s="103" t="s">
        <v>30723</v>
      </c>
      <c r="F2921" s="104"/>
      <c r="G2921" s="105">
        <f t="shared" si="180"/>
        <v>68.099999999999994</v>
      </c>
      <c r="H2921" s="101" t="str">
        <f t="shared" si="181"/>
        <v>Sinapi 4017</v>
      </c>
      <c r="I2921" s="101" t="str">
        <f t="shared" si="182"/>
        <v>M2</v>
      </c>
      <c r="J2921" s="140" t="str">
        <f t="shared" si="183"/>
        <v>MANTA ASFALTICA ELASTOMERICA EM POLIESTER 5 MM, TIPO III, CLASSE B, ACABAMENTO PP (NBR 9952)</v>
      </c>
    </row>
    <row r="2922" spans="1:10" x14ac:dyDescent="0.25">
      <c r="A2922" s="169">
        <v>4016</v>
      </c>
      <c r="B2922" s="169" t="s">
        <v>26396</v>
      </c>
      <c r="C2922" s="169" t="s">
        <v>10226</v>
      </c>
      <c r="D2922" s="169" t="s">
        <v>1288</v>
      </c>
      <c r="E2922" s="103" t="s">
        <v>21999</v>
      </c>
      <c r="F2922" s="104"/>
      <c r="G2922" s="105">
        <f t="shared" si="180"/>
        <v>26.9</v>
      </c>
      <c r="H2922" s="101" t="str">
        <f t="shared" si="181"/>
        <v>Sinapi 4016</v>
      </c>
      <c r="I2922" s="101" t="str">
        <f t="shared" si="182"/>
        <v>M2</v>
      </c>
      <c r="J2922" s="140" t="str">
        <f t="shared" si="183"/>
        <v>MANTA ASFALTICA ELASTOMERICA TIPO GLASS 3 MM, TIPO II, CLASSE C, ACABAMENTO PP (NBR 9952)</v>
      </c>
    </row>
    <row r="2923" spans="1:10" x14ac:dyDescent="0.25">
      <c r="A2923" s="169">
        <v>38544</v>
      </c>
      <c r="B2923" s="169" t="s">
        <v>26397</v>
      </c>
      <c r="C2923" s="169" t="s">
        <v>10226</v>
      </c>
      <c r="D2923" s="169" t="s">
        <v>1289</v>
      </c>
      <c r="E2923" s="103" t="s">
        <v>5261</v>
      </c>
      <c r="F2923" s="104"/>
      <c r="G2923" s="105">
        <f t="shared" si="180"/>
        <v>6.9</v>
      </c>
      <c r="H2923" s="101" t="str">
        <f t="shared" si="181"/>
        <v>Sinapi 38544</v>
      </c>
      <c r="I2923" s="101" t="str">
        <f t="shared" si="182"/>
        <v>M2</v>
      </c>
      <c r="J2923" s="140" t="str">
        <f t="shared" si="183"/>
        <v>MANTA DE POLIETILENO EXPANDIDO (PEBD) ANTICHAMAS, E = 8 MM</v>
      </c>
    </row>
    <row r="2924" spans="1:10" x14ac:dyDescent="0.25">
      <c r="A2924" s="169">
        <v>38545</v>
      </c>
      <c r="B2924" s="169" t="s">
        <v>26398</v>
      </c>
      <c r="C2924" s="169" t="s">
        <v>10226</v>
      </c>
      <c r="D2924" s="169" t="s">
        <v>1289</v>
      </c>
      <c r="E2924" s="103" t="s">
        <v>22734</v>
      </c>
      <c r="F2924" s="104"/>
      <c r="G2924" s="105">
        <f t="shared" si="180"/>
        <v>4.43</v>
      </c>
      <c r="H2924" s="101" t="str">
        <f t="shared" si="181"/>
        <v>Sinapi 38545</v>
      </c>
      <c r="I2924" s="101" t="str">
        <f t="shared" si="182"/>
        <v>M2</v>
      </c>
      <c r="J2924" s="140" t="str">
        <f t="shared" si="183"/>
        <v>MANTA DE POLIETILENO EXPANDIDO (PEBD), E = 5 MM</v>
      </c>
    </row>
    <row r="2925" spans="1:10" x14ac:dyDescent="0.25">
      <c r="A2925" s="169">
        <v>42527</v>
      </c>
      <c r="B2925" s="169" t="s">
        <v>26399</v>
      </c>
      <c r="C2925" s="169" t="s">
        <v>10226</v>
      </c>
      <c r="D2925" s="169" t="s">
        <v>1289</v>
      </c>
      <c r="E2925" s="103" t="s">
        <v>19904</v>
      </c>
      <c r="F2925" s="104"/>
      <c r="G2925" s="105">
        <f t="shared" si="180"/>
        <v>19.649999999999999</v>
      </c>
      <c r="H2925" s="101" t="str">
        <f t="shared" si="181"/>
        <v>Sinapi 42527</v>
      </c>
      <c r="I2925" s="101" t="str">
        <f t="shared" si="182"/>
        <v>M2</v>
      </c>
      <c r="J2925" s="140" t="str">
        <f t="shared" si="183"/>
        <v>MANTA DE POLIETILENO EXPANDIDO, COM 1 FACE METALIZADA PARA SUBCOBERTURA, E = *5* MM</v>
      </c>
    </row>
    <row r="2926" spans="1:10" x14ac:dyDescent="0.25">
      <c r="A2926" s="169">
        <v>39323</v>
      </c>
      <c r="B2926" s="169" t="s">
        <v>26400</v>
      </c>
      <c r="C2926" s="169" t="s">
        <v>10226</v>
      </c>
      <c r="D2926" s="169" t="s">
        <v>1289</v>
      </c>
      <c r="E2926" s="103" t="s">
        <v>22923</v>
      </c>
      <c r="F2926" s="104"/>
      <c r="G2926" s="105">
        <f t="shared" si="180"/>
        <v>16.920000000000002</v>
      </c>
      <c r="H2926" s="101" t="str">
        <f t="shared" si="181"/>
        <v>Sinapi 39323</v>
      </c>
      <c r="I2926" s="101" t="str">
        <f t="shared" si="182"/>
        <v>M2</v>
      </c>
      <c r="J2926" s="140" t="str">
        <f t="shared" si="183"/>
        <v>MANTA GEOTEXTIL TECIDO DE LAMINETES DE POLIPROPILENO, RESISTENCIA A TRACAO = *25* KN/M</v>
      </c>
    </row>
    <row r="2927" spans="1:10" x14ac:dyDescent="0.25">
      <c r="A2927" s="169">
        <v>626</v>
      </c>
      <c r="B2927" s="169" t="s">
        <v>888</v>
      </c>
      <c r="C2927" s="169" t="s">
        <v>10231</v>
      </c>
      <c r="D2927" s="169" t="s">
        <v>1288</v>
      </c>
      <c r="E2927" s="103" t="s">
        <v>23124</v>
      </c>
      <c r="F2927" s="104"/>
      <c r="G2927" s="105">
        <f t="shared" si="180"/>
        <v>22.08</v>
      </c>
      <c r="H2927" s="101" t="str">
        <f t="shared" si="181"/>
        <v>Sinapi 626</v>
      </c>
      <c r="I2927" s="101" t="str">
        <f t="shared" si="182"/>
        <v>KG</v>
      </c>
      <c r="J2927" s="140" t="str">
        <f t="shared" si="183"/>
        <v>MANTA LIQUIDA DE BASE ASFALTICA MODIFICADA COM A ADICAO DE ELASTOMEROS DILUIDOS EM SOLVENTE ORGANICO, APLICACAO A FRIO (MEMBRANA IMPERMEABILIZANTE ASFASTICA)</v>
      </c>
    </row>
    <row r="2928" spans="1:10" x14ac:dyDescent="0.25">
      <c r="A2928" s="169">
        <v>44504</v>
      </c>
      <c r="B2928" s="169" t="s">
        <v>26401</v>
      </c>
      <c r="C2928" s="169" t="s">
        <v>10226</v>
      </c>
      <c r="D2928" s="169" t="s">
        <v>1290</v>
      </c>
      <c r="E2928" s="103" t="s">
        <v>21461</v>
      </c>
      <c r="F2928" s="104"/>
      <c r="G2928" s="105">
        <f t="shared" si="180"/>
        <v>14.1</v>
      </c>
      <c r="H2928" s="101" t="str">
        <f t="shared" si="181"/>
        <v>Sinapi 44504</v>
      </c>
      <c r="I2928" s="101" t="str">
        <f t="shared" si="182"/>
        <v>M2</v>
      </c>
      <c r="J2928" s="140" t="str">
        <f t="shared" si="183"/>
        <v>MANTA TERMOPLASTICA, PEAD, GEOMEMBRANA LISA, E = 0,50 MM ( NBR 15352)</v>
      </c>
    </row>
    <row r="2929" spans="1:10" x14ac:dyDescent="0.25">
      <c r="A2929" s="169">
        <v>44505</v>
      </c>
      <c r="B2929" s="169" t="s">
        <v>26402</v>
      </c>
      <c r="C2929" s="169" t="s">
        <v>10226</v>
      </c>
      <c r="D2929" s="169" t="s">
        <v>1290</v>
      </c>
      <c r="E2929" s="103" t="s">
        <v>17304</v>
      </c>
      <c r="F2929" s="104"/>
      <c r="G2929" s="105">
        <f t="shared" si="180"/>
        <v>21.28</v>
      </c>
      <c r="H2929" s="101" t="str">
        <f t="shared" si="181"/>
        <v>Sinapi 44505</v>
      </c>
      <c r="I2929" s="101" t="str">
        <f t="shared" si="182"/>
        <v>M2</v>
      </c>
      <c r="J2929" s="140" t="str">
        <f t="shared" si="183"/>
        <v>MANTA TERMOPLASTICA, PEAD, GEOMEMBRANA LISA, E = 0,75 MM (NBR 15352)</v>
      </c>
    </row>
    <row r="2930" spans="1:10" x14ac:dyDescent="0.25">
      <c r="A2930" s="169">
        <v>44506</v>
      </c>
      <c r="B2930" s="169" t="s">
        <v>26403</v>
      </c>
      <c r="C2930" s="169" t="s">
        <v>10226</v>
      </c>
      <c r="D2930" s="169" t="s">
        <v>1290</v>
      </c>
      <c r="E2930" s="103" t="s">
        <v>13427</v>
      </c>
      <c r="F2930" s="104"/>
      <c r="G2930" s="105">
        <f t="shared" si="180"/>
        <v>22.58</v>
      </c>
      <c r="H2930" s="101" t="str">
        <f t="shared" si="181"/>
        <v>Sinapi 44506</v>
      </c>
      <c r="I2930" s="101" t="str">
        <f t="shared" si="182"/>
        <v>M2</v>
      </c>
      <c r="J2930" s="140" t="str">
        <f t="shared" si="183"/>
        <v>MANTA TERMOPLASTICA, PEAD, GEOMEMBRANA LISA, E = 0,80 MM (NBR 15352)</v>
      </c>
    </row>
    <row r="2931" spans="1:10" x14ac:dyDescent="0.25">
      <c r="A2931" s="169">
        <v>44507</v>
      </c>
      <c r="B2931" s="169" t="s">
        <v>26404</v>
      </c>
      <c r="C2931" s="169" t="s">
        <v>10226</v>
      </c>
      <c r="D2931" s="169" t="s">
        <v>1290</v>
      </c>
      <c r="E2931" s="103" t="s">
        <v>20357</v>
      </c>
      <c r="F2931" s="104"/>
      <c r="G2931" s="105">
        <f t="shared" si="180"/>
        <v>28.23</v>
      </c>
      <c r="H2931" s="101" t="str">
        <f t="shared" si="181"/>
        <v>Sinapi 44507</v>
      </c>
      <c r="I2931" s="101" t="str">
        <f t="shared" si="182"/>
        <v>M2</v>
      </c>
      <c r="J2931" s="140" t="str">
        <f t="shared" si="183"/>
        <v>MANTA TERMOPLASTICA, PEAD, GEOMEMBRANA LISA, E = 1,00 MM (NBR 15352)</v>
      </c>
    </row>
    <row r="2932" spans="1:10" x14ac:dyDescent="0.25">
      <c r="A2932" s="169">
        <v>44508</v>
      </c>
      <c r="B2932" s="169" t="s">
        <v>26405</v>
      </c>
      <c r="C2932" s="169" t="s">
        <v>10226</v>
      </c>
      <c r="D2932" s="169" t="s">
        <v>1290</v>
      </c>
      <c r="E2932" s="103" t="s">
        <v>22858</v>
      </c>
      <c r="F2932" s="104"/>
      <c r="G2932" s="105">
        <f t="shared" si="180"/>
        <v>42.34</v>
      </c>
      <c r="H2932" s="101" t="str">
        <f t="shared" si="181"/>
        <v>Sinapi 44508</v>
      </c>
      <c r="I2932" s="101" t="str">
        <f t="shared" si="182"/>
        <v>M2</v>
      </c>
      <c r="J2932" s="140" t="str">
        <f t="shared" si="183"/>
        <v>MANTA TERMOPLASTICA, PEAD, GEOMEMBRANA LISA, E = 1,50 MM (NBR 15352)</v>
      </c>
    </row>
    <row r="2933" spans="1:10" x14ac:dyDescent="0.25">
      <c r="A2933" s="169">
        <v>44509</v>
      </c>
      <c r="B2933" s="169" t="s">
        <v>26406</v>
      </c>
      <c r="C2933" s="169" t="s">
        <v>10226</v>
      </c>
      <c r="D2933" s="169" t="s">
        <v>1290</v>
      </c>
      <c r="E2933" s="103" t="s">
        <v>22859</v>
      </c>
      <c r="F2933" s="104"/>
      <c r="G2933" s="105">
        <f t="shared" si="180"/>
        <v>56.71</v>
      </c>
      <c r="H2933" s="101" t="str">
        <f t="shared" si="181"/>
        <v>Sinapi 44509</v>
      </c>
      <c r="I2933" s="101" t="str">
        <f t="shared" si="182"/>
        <v>M2</v>
      </c>
      <c r="J2933" s="140" t="str">
        <f t="shared" si="183"/>
        <v>MANTA TERMOPLASTICA, PEAD, GEOMEMBRANA LISA, E = 2,00 MM (NBR 15352)</v>
      </c>
    </row>
    <row r="2934" spans="1:10" x14ac:dyDescent="0.25">
      <c r="A2934" s="169">
        <v>44510</v>
      </c>
      <c r="B2934" s="169" t="s">
        <v>26407</v>
      </c>
      <c r="C2934" s="169" t="s">
        <v>10226</v>
      </c>
      <c r="D2934" s="169" t="s">
        <v>1290</v>
      </c>
      <c r="E2934" s="103" t="s">
        <v>22860</v>
      </c>
      <c r="F2934" s="104"/>
      <c r="G2934" s="105">
        <f t="shared" si="180"/>
        <v>70.430000000000007</v>
      </c>
      <c r="H2934" s="101" t="str">
        <f t="shared" si="181"/>
        <v>Sinapi 44510</v>
      </c>
      <c r="I2934" s="101" t="str">
        <f t="shared" si="182"/>
        <v>M2</v>
      </c>
      <c r="J2934" s="140" t="str">
        <f t="shared" si="183"/>
        <v>MANTA TERMOPLASTICA, PEAD, GEOMEMBRANA LISA, E = 2,50 MM (NBR 15352)</v>
      </c>
    </row>
    <row r="2935" spans="1:10" x14ac:dyDescent="0.25">
      <c r="A2935" s="169">
        <v>44512</v>
      </c>
      <c r="B2935" s="169" t="s">
        <v>26408</v>
      </c>
      <c r="C2935" s="169" t="s">
        <v>10226</v>
      </c>
      <c r="D2935" s="169" t="s">
        <v>1290</v>
      </c>
      <c r="E2935" s="103" t="s">
        <v>21102</v>
      </c>
      <c r="F2935" s="104"/>
      <c r="G2935" s="105">
        <f t="shared" si="180"/>
        <v>15.72</v>
      </c>
      <c r="H2935" s="101" t="str">
        <f t="shared" si="181"/>
        <v>Sinapi 44512</v>
      </c>
      <c r="I2935" s="101" t="str">
        <f t="shared" si="182"/>
        <v>M2</v>
      </c>
      <c r="J2935" s="140" t="str">
        <f t="shared" si="183"/>
        <v>MANTA TERMOPLASTICA, PEAD, GEOMEMBRANA TEXTURIZADA EM AMBAS AS FACES, E = 0,50 MM ( NBR 15352)</v>
      </c>
    </row>
    <row r="2936" spans="1:10" x14ac:dyDescent="0.25">
      <c r="A2936" s="169">
        <v>44513</v>
      </c>
      <c r="B2936" s="169" t="s">
        <v>26409</v>
      </c>
      <c r="C2936" s="169" t="s">
        <v>10226</v>
      </c>
      <c r="D2936" s="169" t="s">
        <v>1290</v>
      </c>
      <c r="E2936" s="103" t="s">
        <v>20445</v>
      </c>
      <c r="F2936" s="104"/>
      <c r="G2936" s="105">
        <f t="shared" si="180"/>
        <v>22.19</v>
      </c>
      <c r="H2936" s="101" t="str">
        <f t="shared" si="181"/>
        <v>Sinapi 44513</v>
      </c>
      <c r="I2936" s="101" t="str">
        <f t="shared" si="182"/>
        <v>M2</v>
      </c>
      <c r="J2936" s="140" t="str">
        <f t="shared" si="183"/>
        <v>MANTA TERMOPLASTICA, PEAD, GEOMEMBRANA TEXTURIZADA EM AMBAS AS FACES, E = 0,75 MM ( NBR 15352)</v>
      </c>
    </row>
    <row r="2937" spans="1:10" x14ac:dyDescent="0.25">
      <c r="A2937" s="169">
        <v>44514</v>
      </c>
      <c r="B2937" s="169" t="s">
        <v>26410</v>
      </c>
      <c r="C2937" s="169" t="s">
        <v>10226</v>
      </c>
      <c r="D2937" s="169" t="s">
        <v>1290</v>
      </c>
      <c r="E2937" s="103" t="s">
        <v>22861</v>
      </c>
      <c r="F2937" s="104"/>
      <c r="G2937" s="105">
        <f t="shared" si="180"/>
        <v>25.15</v>
      </c>
      <c r="H2937" s="101" t="str">
        <f t="shared" si="181"/>
        <v>Sinapi 44514</v>
      </c>
      <c r="I2937" s="101" t="str">
        <f t="shared" si="182"/>
        <v>M2</v>
      </c>
      <c r="J2937" s="140" t="str">
        <f t="shared" si="183"/>
        <v>MANTA TERMOPLASTICA, PEAD, GEOMEMBRANA TEXTURIZADA EM AMBAS AS FACES, E = 0,80 MM ( NBR 15352)</v>
      </c>
    </row>
    <row r="2938" spans="1:10" x14ac:dyDescent="0.25">
      <c r="A2938" s="169">
        <v>44515</v>
      </c>
      <c r="B2938" s="169" t="s">
        <v>26411</v>
      </c>
      <c r="C2938" s="169" t="s">
        <v>10226</v>
      </c>
      <c r="D2938" s="169" t="s">
        <v>1290</v>
      </c>
      <c r="E2938" s="103" t="s">
        <v>18303</v>
      </c>
      <c r="F2938" s="104"/>
      <c r="G2938" s="105">
        <f t="shared" si="180"/>
        <v>30.88</v>
      </c>
      <c r="H2938" s="101" t="str">
        <f t="shared" si="181"/>
        <v>Sinapi 44515</v>
      </c>
      <c r="I2938" s="101" t="str">
        <f t="shared" si="182"/>
        <v>M2</v>
      </c>
      <c r="J2938" s="140" t="str">
        <f t="shared" si="183"/>
        <v>MANTA TERMOPLASTICA, PEAD, GEOMEMBRANA TEXTURIZADA EM AMBAS AS FACES, E = 1,00 MM ( NBR 15352)</v>
      </c>
    </row>
    <row r="2939" spans="1:10" x14ac:dyDescent="0.25">
      <c r="A2939" s="169">
        <v>44511</v>
      </c>
      <c r="B2939" s="169" t="s">
        <v>26412</v>
      </c>
      <c r="C2939" s="169" t="s">
        <v>10226</v>
      </c>
      <c r="D2939" s="169" t="s">
        <v>1290</v>
      </c>
      <c r="E2939" s="103" t="s">
        <v>22862</v>
      </c>
      <c r="F2939" s="104"/>
      <c r="G2939" s="105">
        <f t="shared" si="180"/>
        <v>45.72</v>
      </c>
      <c r="H2939" s="101" t="str">
        <f t="shared" si="181"/>
        <v>Sinapi 44511</v>
      </c>
      <c r="I2939" s="101" t="str">
        <f t="shared" si="182"/>
        <v>M2</v>
      </c>
      <c r="J2939" s="140" t="str">
        <f t="shared" si="183"/>
        <v>MANTA TERMOPLASTICA, PEAD, GEOMEMBRANA TEXTURIZADA EM AMBAS AS FACES, E = 1,50 MM ( NBR 15352)</v>
      </c>
    </row>
    <row r="2940" spans="1:10" x14ac:dyDescent="0.25">
      <c r="A2940" s="169">
        <v>44516</v>
      </c>
      <c r="B2940" s="169" t="s">
        <v>26413</v>
      </c>
      <c r="C2940" s="169" t="s">
        <v>10226</v>
      </c>
      <c r="D2940" s="169" t="s">
        <v>1290</v>
      </c>
      <c r="E2940" s="103" t="s">
        <v>22024</v>
      </c>
      <c r="F2940" s="104"/>
      <c r="G2940" s="105">
        <f t="shared" si="180"/>
        <v>61.78</v>
      </c>
      <c r="H2940" s="101" t="str">
        <f t="shared" si="181"/>
        <v>Sinapi 44516</v>
      </c>
      <c r="I2940" s="101" t="str">
        <f t="shared" si="182"/>
        <v>M2</v>
      </c>
      <c r="J2940" s="140" t="str">
        <f t="shared" si="183"/>
        <v>MANTA TERMOPLASTICA, PEAD, GEOMEMBRANA TEXTURIZADA EM AMBAS AS FACES, E = 2,00 MM ( NBR 15352)</v>
      </c>
    </row>
    <row r="2941" spans="1:10" x14ac:dyDescent="0.25">
      <c r="A2941" s="169">
        <v>44517</v>
      </c>
      <c r="B2941" s="169" t="s">
        <v>26414</v>
      </c>
      <c r="C2941" s="169" t="s">
        <v>10226</v>
      </c>
      <c r="D2941" s="169" t="s">
        <v>1290</v>
      </c>
      <c r="E2941" s="103" t="s">
        <v>22825</v>
      </c>
      <c r="F2941" s="104"/>
      <c r="G2941" s="105">
        <f t="shared" si="180"/>
        <v>77.06</v>
      </c>
      <c r="H2941" s="101" t="str">
        <f t="shared" si="181"/>
        <v>Sinapi 44517</v>
      </c>
      <c r="I2941" s="101" t="str">
        <f t="shared" si="182"/>
        <v>M2</v>
      </c>
      <c r="J2941" s="140" t="str">
        <f t="shared" si="183"/>
        <v>MANTA TERMOPLASTICA, PEAD, GEOMEMBRANA TEXTURIZADA EM AMBAS AS FACES, E = 2,50 MM ( NBR 15352)</v>
      </c>
    </row>
    <row r="2942" spans="1:10" x14ac:dyDescent="0.25">
      <c r="A2942" s="169">
        <v>11479</v>
      </c>
      <c r="B2942" s="169" t="s">
        <v>26415</v>
      </c>
      <c r="C2942" s="169" t="s">
        <v>10225</v>
      </c>
      <c r="D2942" s="169" t="s">
        <v>1289</v>
      </c>
      <c r="E2942" s="103" t="s">
        <v>30724</v>
      </c>
      <c r="F2942" s="104"/>
      <c r="G2942" s="105">
        <f t="shared" si="180"/>
        <v>31.5</v>
      </c>
      <c r="H2942" s="101" t="str">
        <f t="shared" si="181"/>
        <v>Sinapi 11479</v>
      </c>
      <c r="I2942" s="101" t="str">
        <f t="shared" si="182"/>
        <v>UN</v>
      </c>
      <c r="J2942" s="140" t="str">
        <f t="shared" si="183"/>
        <v>MAQUINA DE 40 MM PARA FECHADURA DE EMBUTIR EXTERNA, EM ACO INOX</v>
      </c>
    </row>
    <row r="2943" spans="1:10" x14ac:dyDescent="0.25">
      <c r="A2943" s="169">
        <v>11481</v>
      </c>
      <c r="B2943" s="169" t="s">
        <v>26416</v>
      </c>
      <c r="C2943" s="169" t="s">
        <v>10225</v>
      </c>
      <c r="D2943" s="169" t="s">
        <v>1289</v>
      </c>
      <c r="E2943" s="103" t="s">
        <v>30725</v>
      </c>
      <c r="F2943" s="104"/>
      <c r="G2943" s="105">
        <f t="shared" si="180"/>
        <v>28.5</v>
      </c>
      <c r="H2943" s="101" t="str">
        <f t="shared" si="181"/>
        <v>Sinapi 11481</v>
      </c>
      <c r="I2943" s="101" t="str">
        <f t="shared" si="182"/>
        <v>UN</v>
      </c>
      <c r="J2943" s="140" t="str">
        <f t="shared" si="183"/>
        <v>MAQUINA DE 40 MM PARA FECHADURA, PARA PORTA DE BANHEIRO, EM ACO INOX</v>
      </c>
    </row>
    <row r="2944" spans="1:10" x14ac:dyDescent="0.25">
      <c r="A2944" s="169">
        <v>43609</v>
      </c>
      <c r="B2944" s="169" t="s">
        <v>26417</v>
      </c>
      <c r="C2944" s="169" t="s">
        <v>10225</v>
      </c>
      <c r="D2944" s="169" t="s">
        <v>1289</v>
      </c>
      <c r="E2944" s="103" t="s">
        <v>30725</v>
      </c>
      <c r="F2944" s="104"/>
      <c r="G2944" s="105">
        <f t="shared" si="180"/>
        <v>28.5</v>
      </c>
      <c r="H2944" s="101" t="str">
        <f t="shared" si="181"/>
        <v>Sinapi 43609</v>
      </c>
      <c r="I2944" s="101" t="str">
        <f t="shared" si="182"/>
        <v>UN</v>
      </c>
      <c r="J2944" s="140" t="str">
        <f t="shared" si="183"/>
        <v>MAQUINA DE 40 MM PARA FECHADURA, PARA PORTA INTERNA, EM ACO INOX</v>
      </c>
    </row>
    <row r="2945" spans="1:10" x14ac:dyDescent="0.25">
      <c r="A2945" s="169">
        <v>11478</v>
      </c>
      <c r="B2945" s="169" t="s">
        <v>26418</v>
      </c>
      <c r="C2945" s="169" t="s">
        <v>10225</v>
      </c>
      <c r="D2945" s="169" t="s">
        <v>1289</v>
      </c>
      <c r="E2945" s="103" t="s">
        <v>28745</v>
      </c>
      <c r="F2945" s="104"/>
      <c r="G2945" s="105">
        <f t="shared" si="180"/>
        <v>54.05</v>
      </c>
      <c r="H2945" s="101" t="str">
        <f t="shared" si="181"/>
        <v>Sinapi 11478</v>
      </c>
      <c r="I2945" s="101" t="str">
        <f t="shared" si="182"/>
        <v>UN</v>
      </c>
      <c r="J2945" s="140" t="str">
        <f t="shared" si="183"/>
        <v>MAQUINA DE 55 MM PARA FECHADURA DE EMBUTIR EXTERNA, EM ACO INOX</v>
      </c>
    </row>
    <row r="2946" spans="1:10" x14ac:dyDescent="0.25">
      <c r="A2946" s="169">
        <v>43608</v>
      </c>
      <c r="B2946" s="169" t="s">
        <v>26419</v>
      </c>
      <c r="C2946" s="169" t="s">
        <v>10225</v>
      </c>
      <c r="D2946" s="169" t="s">
        <v>1289</v>
      </c>
      <c r="E2946" s="103" t="s">
        <v>30726</v>
      </c>
      <c r="F2946" s="104"/>
      <c r="G2946" s="105">
        <f t="shared" si="180"/>
        <v>41.24</v>
      </c>
      <c r="H2946" s="101" t="str">
        <f t="shared" si="181"/>
        <v>Sinapi 43608</v>
      </c>
      <c r="I2946" s="101" t="str">
        <f t="shared" si="182"/>
        <v>UN</v>
      </c>
      <c r="J2946" s="140" t="str">
        <f t="shared" si="183"/>
        <v>MAQUINA DE 55 MM PARA FECHADURA, PARA PORTA DE BANHEIRO, EM ACO INOX</v>
      </c>
    </row>
    <row r="2947" spans="1:10" x14ac:dyDescent="0.25">
      <c r="A2947" s="169">
        <v>11476</v>
      </c>
      <c r="B2947" s="169" t="s">
        <v>26420</v>
      </c>
      <c r="C2947" s="169" t="s">
        <v>10225</v>
      </c>
      <c r="D2947" s="169" t="s">
        <v>1289</v>
      </c>
      <c r="E2947" s="103" t="s">
        <v>30726</v>
      </c>
      <c r="F2947" s="104"/>
      <c r="G2947" s="105">
        <f t="shared" si="180"/>
        <v>41.24</v>
      </c>
      <c r="H2947" s="101" t="str">
        <f t="shared" si="181"/>
        <v>Sinapi 11476</v>
      </c>
      <c r="I2947" s="101" t="str">
        <f t="shared" si="182"/>
        <v>UN</v>
      </c>
      <c r="J2947" s="140" t="str">
        <f t="shared" si="183"/>
        <v>MAQUINA DE 55 MM PARA FECHADURA, PARA PORTA INTERNA, EM ACO INOX</v>
      </c>
    </row>
    <row r="2948" spans="1:10" x14ac:dyDescent="0.25">
      <c r="A2948" s="169">
        <v>40637</v>
      </c>
      <c r="B2948" s="169" t="s">
        <v>26421</v>
      </c>
      <c r="C2948" s="169" t="s">
        <v>10225</v>
      </c>
      <c r="D2948" s="169" t="s">
        <v>1290</v>
      </c>
      <c r="E2948" s="103" t="s">
        <v>21520</v>
      </c>
      <c r="F2948" s="104"/>
      <c r="G2948" s="105">
        <f t="shared" si="180"/>
        <v>793072.01</v>
      </c>
      <c r="H2948" s="101" t="str">
        <f t="shared" si="181"/>
        <v>Sinapi 40637</v>
      </c>
      <c r="I2948" s="101" t="str">
        <f t="shared" si="182"/>
        <v>UN</v>
      </c>
      <c r="J2948" s="140" t="str">
        <f t="shared" si="183"/>
        <v>MAQUINA DEMARCADORA DE FAIXA DE TRAFEGO A FRIO, AUTOPROPELIDA, MOTOR DIESEL 38 HP</v>
      </c>
    </row>
    <row r="2949" spans="1:10" x14ac:dyDescent="0.25">
      <c r="A2949" s="169">
        <v>13836</v>
      </c>
      <c r="B2949" s="169" t="s">
        <v>26422</v>
      </c>
      <c r="C2949" s="169" t="s">
        <v>10225</v>
      </c>
      <c r="D2949" s="169" t="s">
        <v>1290</v>
      </c>
      <c r="E2949" s="103" t="s">
        <v>26423</v>
      </c>
      <c r="F2949" s="104"/>
      <c r="G2949" s="105">
        <f t="shared" si="180"/>
        <v>68434.17</v>
      </c>
      <c r="H2949" s="101" t="str">
        <f t="shared" si="181"/>
        <v>Sinapi 13836</v>
      </c>
      <c r="I2949" s="101" t="str">
        <f t="shared" si="182"/>
        <v>UN</v>
      </c>
      <c r="J2949" s="140" t="str">
        <f t="shared" si="183"/>
        <v>MAQUINA EXTRUSORA DE CONCRETO PARA GUIAS E SARJETAS, COM MOTOR A DIESEL DE 14 CV</v>
      </c>
    </row>
    <row r="2950" spans="1:10" x14ac:dyDescent="0.25">
      <c r="A2950" s="169">
        <v>14534</v>
      </c>
      <c r="B2950" s="169" t="s">
        <v>26424</v>
      </c>
      <c r="C2950" s="169" t="s">
        <v>10225</v>
      </c>
      <c r="D2950" s="169" t="s">
        <v>1290</v>
      </c>
      <c r="E2950" s="103" t="s">
        <v>26425</v>
      </c>
      <c r="F2950" s="104"/>
      <c r="G2950" s="105">
        <f t="shared" si="180"/>
        <v>28648.36</v>
      </c>
      <c r="H2950" s="101" t="str">
        <f t="shared" si="181"/>
        <v>Sinapi 14534</v>
      </c>
      <c r="I2950" s="101" t="str">
        <f t="shared" si="182"/>
        <v>UN</v>
      </c>
      <c r="J2950" s="140" t="str">
        <f t="shared" si="183"/>
        <v>MAQUINA MANUAL TIPO PRENSA PARA PRODUCAO DE BLOCOS E PAVIMENTOS DE CONCRETO, COM MOTOR ELETRICO TRIFASICO PARA VIBRACAO, POTENCIA TOTAL INSTALADA DE 1,5 KW</v>
      </c>
    </row>
    <row r="2951" spans="1:10" x14ac:dyDescent="0.25">
      <c r="A2951" s="169">
        <v>14619</v>
      </c>
      <c r="B2951" s="169" t="s">
        <v>26426</v>
      </c>
      <c r="C2951" s="169" t="s">
        <v>10225</v>
      </c>
      <c r="D2951" s="169" t="s">
        <v>1289</v>
      </c>
      <c r="E2951" s="103" t="s">
        <v>30727</v>
      </c>
      <c r="F2951" s="104"/>
      <c r="G2951" s="105">
        <f t="shared" si="180"/>
        <v>19339.54</v>
      </c>
      <c r="H2951" s="101" t="str">
        <f t="shared" si="181"/>
        <v>Sinapi 14619</v>
      </c>
      <c r="I2951" s="101" t="str">
        <f t="shared" si="182"/>
        <v>UN</v>
      </c>
      <c r="J2951" s="140" t="str">
        <f t="shared" si="183"/>
        <v>MAQUINA PARA CORTE COM DISCO ABRASIVO DE DIAMETRO DE 18'' (450 MM), COM MOTOR ELETRICO TRIFASICO DE 10 CV</v>
      </c>
    </row>
    <row r="2952" spans="1:10" x14ac:dyDescent="0.25">
      <c r="A2952" s="169">
        <v>14535</v>
      </c>
      <c r="B2952" s="169" t="s">
        <v>26427</v>
      </c>
      <c r="C2952" s="169" t="s">
        <v>10225</v>
      </c>
      <c r="D2952" s="169" t="s">
        <v>1290</v>
      </c>
      <c r="E2952" s="103" t="s">
        <v>26428</v>
      </c>
      <c r="F2952" s="104"/>
      <c r="G2952" s="105">
        <f t="shared" ref="G2952:G3015" si="184">IF(E2952="","",E2952+0)</f>
        <v>284337.68</v>
      </c>
      <c r="H2952" s="101" t="str">
        <f t="shared" ref="H2952:H3015" si="185">IF(G2952="","",TRIM(CONCATENATE("Sinapi ",A2952)))</f>
        <v>Sinapi 14535</v>
      </c>
      <c r="I2952" s="101" t="str">
        <f t="shared" ref="I2952:I3015" si="186">TRIM(C2952)</f>
        <v>UN</v>
      </c>
      <c r="J2952" s="140" t="str">
        <f t="shared" si="183"/>
        <v>MAQUINA TIPO PRENSA HIDRAULICA, PARA FABRICACAO DE TUBOS DE CONCRETO PARA AGUAS PLUVIAIS, DN 200 A DN 600 MM X 1000 MM DE COMPRIMENTO, COM MOTOR PRINCIPAL DE 20 CV</v>
      </c>
    </row>
    <row r="2953" spans="1:10" x14ac:dyDescent="0.25">
      <c r="A2953" s="169">
        <v>39813</v>
      </c>
      <c r="B2953" s="169" t="s">
        <v>26429</v>
      </c>
      <c r="C2953" s="169" t="s">
        <v>10225</v>
      </c>
      <c r="D2953" s="169" t="s">
        <v>1290</v>
      </c>
      <c r="E2953" s="103" t="s">
        <v>26430</v>
      </c>
      <c r="F2953" s="104"/>
      <c r="G2953" s="105">
        <f t="shared" si="184"/>
        <v>36836.910000000003</v>
      </c>
      <c r="H2953" s="101" t="str">
        <f t="shared" si="185"/>
        <v>Sinapi 39813</v>
      </c>
      <c r="I2953" s="101" t="str">
        <f t="shared" si="186"/>
        <v>UN</v>
      </c>
      <c r="J2953" s="140" t="str">
        <f t="shared" ref="J2953:J3016" si="187">TRIM(B2953)</f>
        <v>MAQUINA TIPO VASO/TANQUE/JATO DE PRESSAO PORTATIL P/ JATEAMENTO, CONTROLE AUTOMATICO E REMOTO, CAMARA DE 1 SAIDA, 280 L, DIAM. *670* MM, BICO JATO CURTO VENTURI 5/16", MANGUEIRA 1" DE 10 M, COMPLETA (VALVULAS POP UP E DOSADORA, FUNDO CONICO ETC)</v>
      </c>
    </row>
    <row r="2954" spans="1:10" x14ac:dyDescent="0.25">
      <c r="A2954" s="169">
        <v>40403</v>
      </c>
      <c r="B2954" s="169" t="s">
        <v>26431</v>
      </c>
      <c r="C2954" s="169" t="s">
        <v>10225</v>
      </c>
      <c r="D2954" s="169" t="s">
        <v>1290</v>
      </c>
      <c r="E2954" s="103" t="s">
        <v>30728</v>
      </c>
      <c r="F2954" s="104"/>
      <c r="G2954" s="105">
        <f t="shared" si="184"/>
        <v>436.8</v>
      </c>
      <c r="H2954" s="101" t="str">
        <f t="shared" si="185"/>
        <v>Sinapi 40403</v>
      </c>
      <c r="I2954" s="101" t="str">
        <f t="shared" si="186"/>
        <v>UN</v>
      </c>
      <c r="J2954" s="140" t="str">
        <f t="shared" si="187"/>
        <v>MAQUINA TRANSFORMADORA MONOFASICA PARA SOLDA ELETRICA, TENSAO DE 220 V, FREQUENCIA DE 60 HZ, FAIXA DE CORRENTE ENTRE 80 A (+/- 10 A) E 250 A, POTENCIA ENTRE 14,00 KVA E 15,0 KVA, CICLO DE TRABALHO ENTRE 10% E 20% A 250 A</v>
      </c>
    </row>
    <row r="2955" spans="1:10" x14ac:dyDescent="0.25">
      <c r="A2955" s="169">
        <v>12868</v>
      </c>
      <c r="B2955" s="169" t="s">
        <v>26432</v>
      </c>
      <c r="C2955" s="169" t="s">
        <v>10228</v>
      </c>
      <c r="D2955" s="169" t="s">
        <v>1289</v>
      </c>
      <c r="E2955" s="103" t="s">
        <v>6598</v>
      </c>
      <c r="F2955" s="104"/>
      <c r="G2955" s="105">
        <f t="shared" si="184"/>
        <v>18.39</v>
      </c>
      <c r="H2955" s="101" t="str">
        <f t="shared" si="185"/>
        <v>Sinapi 12868</v>
      </c>
      <c r="I2955" s="101" t="str">
        <f t="shared" si="186"/>
        <v>H</v>
      </c>
      <c r="J2955" s="140" t="str">
        <f t="shared" si="187"/>
        <v>MARCENEIRO (HORISTA)</v>
      </c>
    </row>
    <row r="2956" spans="1:10" x14ac:dyDescent="0.25">
      <c r="A2956" s="169">
        <v>40916</v>
      </c>
      <c r="B2956" s="169" t="s">
        <v>26433</v>
      </c>
      <c r="C2956" s="169" t="s">
        <v>10235</v>
      </c>
      <c r="D2956" s="169" t="s">
        <v>1289</v>
      </c>
      <c r="E2956" s="103" t="s">
        <v>30729</v>
      </c>
      <c r="F2956" s="104"/>
      <c r="G2956" s="105">
        <f t="shared" si="184"/>
        <v>3202.96</v>
      </c>
      <c r="H2956" s="101" t="str">
        <f t="shared" si="185"/>
        <v>Sinapi 40916</v>
      </c>
      <c r="I2956" s="101" t="str">
        <f t="shared" si="186"/>
        <v>MES</v>
      </c>
      <c r="J2956" s="140" t="str">
        <f t="shared" si="187"/>
        <v>MARCENEIRO (MENSALISTA)</v>
      </c>
    </row>
    <row r="2957" spans="1:10" x14ac:dyDescent="0.25">
      <c r="A2957" s="169">
        <v>4755</v>
      </c>
      <c r="B2957" s="169" t="s">
        <v>26434</v>
      </c>
      <c r="C2957" s="169" t="s">
        <v>10228</v>
      </c>
      <c r="D2957" s="169" t="s">
        <v>1289</v>
      </c>
      <c r="E2957" s="103" t="s">
        <v>27635</v>
      </c>
      <c r="F2957" s="104"/>
      <c r="G2957" s="105">
        <f t="shared" si="184"/>
        <v>19.86</v>
      </c>
      <c r="H2957" s="101" t="str">
        <f t="shared" si="185"/>
        <v>Sinapi 4755</v>
      </c>
      <c r="I2957" s="101" t="str">
        <f t="shared" si="186"/>
        <v>H</v>
      </c>
      <c r="J2957" s="140" t="str">
        <f t="shared" si="187"/>
        <v>MARMORISTA / GRANITEIRO (HORISTA)</v>
      </c>
    </row>
    <row r="2958" spans="1:10" x14ac:dyDescent="0.25">
      <c r="A2958" s="169">
        <v>41067</v>
      </c>
      <c r="B2958" s="169" t="s">
        <v>26435</v>
      </c>
      <c r="C2958" s="169" t="s">
        <v>10235</v>
      </c>
      <c r="D2958" s="169" t="s">
        <v>1289</v>
      </c>
      <c r="E2958" s="103" t="s">
        <v>29669</v>
      </c>
      <c r="F2958" s="104"/>
      <c r="G2958" s="105">
        <f t="shared" si="184"/>
        <v>3455.98</v>
      </c>
      <c r="H2958" s="101" t="str">
        <f t="shared" si="185"/>
        <v>Sinapi 41067</v>
      </c>
      <c r="I2958" s="101" t="str">
        <f t="shared" si="186"/>
        <v>MES</v>
      </c>
      <c r="J2958" s="140" t="str">
        <f t="shared" si="187"/>
        <v>MARMORISTA / GRANITEIRO (MENSALISTA)</v>
      </c>
    </row>
    <row r="2959" spans="1:10" x14ac:dyDescent="0.25">
      <c r="A2959" s="169">
        <v>38463</v>
      </c>
      <c r="B2959" s="169" t="s">
        <v>26436</v>
      </c>
      <c r="C2959" s="169" t="s">
        <v>10225</v>
      </c>
      <c r="D2959" s="169" t="s">
        <v>1289</v>
      </c>
      <c r="E2959" s="103" t="s">
        <v>30730</v>
      </c>
      <c r="F2959" s="104"/>
      <c r="G2959" s="105">
        <f t="shared" si="184"/>
        <v>34.31</v>
      </c>
      <c r="H2959" s="101" t="str">
        <f t="shared" si="185"/>
        <v>Sinapi 38463</v>
      </c>
      <c r="I2959" s="101" t="str">
        <f t="shared" si="186"/>
        <v>UN</v>
      </c>
      <c r="J2959" s="140" t="str">
        <f t="shared" si="187"/>
        <v>MARTELO DE SOLDADOR/PICADOR DE SOLDA</v>
      </c>
    </row>
    <row r="2960" spans="1:10" x14ac:dyDescent="0.25">
      <c r="A2960" s="169">
        <v>40703</v>
      </c>
      <c r="B2960" s="169" t="s">
        <v>26437</v>
      </c>
      <c r="C2960" s="169" t="s">
        <v>10225</v>
      </c>
      <c r="D2960" s="169" t="s">
        <v>1290</v>
      </c>
      <c r="E2960" s="103" t="s">
        <v>30731</v>
      </c>
      <c r="F2960" s="104"/>
      <c r="G2960" s="105">
        <f t="shared" si="184"/>
        <v>9336.18</v>
      </c>
      <c r="H2960" s="101" t="str">
        <f t="shared" si="185"/>
        <v>Sinapi 40703</v>
      </c>
      <c r="I2960" s="101" t="str">
        <f t="shared" si="186"/>
        <v>UN</v>
      </c>
      <c r="J2960" s="140" t="str">
        <f t="shared" si="187"/>
        <v>MARTELO DEMOLIDOR ELETRICO, COM POTENCIA DE 2.000 W, FREQUENCIA DE 1.000 IMPACTOS POR MINUTO, FORÇA DE IMPACTO ENTRE 60 E 65 J, PESO DE 30 KG</v>
      </c>
    </row>
    <row r="2961" spans="1:10" x14ac:dyDescent="0.25">
      <c r="A2961" s="169">
        <v>14531</v>
      </c>
      <c r="B2961" s="169" t="s">
        <v>26438</v>
      </c>
      <c r="C2961" s="169" t="s">
        <v>10225</v>
      </c>
      <c r="D2961" s="169" t="s">
        <v>1290</v>
      </c>
      <c r="E2961" s="103" t="s">
        <v>30732</v>
      </c>
      <c r="F2961" s="104"/>
      <c r="G2961" s="105">
        <f t="shared" si="184"/>
        <v>17406.16</v>
      </c>
      <c r="H2961" s="101" t="str">
        <f t="shared" si="185"/>
        <v>Sinapi 14531</v>
      </c>
      <c r="I2961" s="101" t="str">
        <f t="shared" si="186"/>
        <v>UN</v>
      </c>
      <c r="J2961" s="140" t="str">
        <f t="shared" si="187"/>
        <v>MARTELO DEMOLIDOR PNEUMATICO MANUAL, COM REDUCAO DE VIBRACAO, PESO DE 21 KG</v>
      </c>
    </row>
    <row r="2962" spans="1:10" x14ac:dyDescent="0.25">
      <c r="A2962" s="169">
        <v>36533</v>
      </c>
      <c r="B2962" s="169" t="s">
        <v>26439</v>
      </c>
      <c r="C2962" s="169" t="s">
        <v>10225</v>
      </c>
      <c r="D2962" s="169" t="s">
        <v>1290</v>
      </c>
      <c r="E2962" s="103" t="s">
        <v>30733</v>
      </c>
      <c r="F2962" s="104"/>
      <c r="G2962" s="105">
        <f t="shared" si="184"/>
        <v>20030.04</v>
      </c>
      <c r="H2962" s="101" t="str">
        <f t="shared" si="185"/>
        <v>Sinapi 36533</v>
      </c>
      <c r="I2962" s="101" t="str">
        <f t="shared" si="186"/>
        <v>UN</v>
      </c>
      <c r="J2962" s="140" t="str">
        <f t="shared" si="187"/>
        <v>MARTELO DEMOLIDOR PNEUMATICO MANUAL, COM REDUCAO DE VIBRACAO, PESO DE 31,5 KG</v>
      </c>
    </row>
    <row r="2963" spans="1:10" x14ac:dyDescent="0.25">
      <c r="A2963" s="169">
        <v>11616</v>
      </c>
      <c r="B2963" s="169" t="s">
        <v>26440</v>
      </c>
      <c r="C2963" s="169" t="s">
        <v>10225</v>
      </c>
      <c r="D2963" s="169" t="s">
        <v>1290</v>
      </c>
      <c r="E2963" s="103" t="s">
        <v>30734</v>
      </c>
      <c r="F2963" s="104"/>
      <c r="G2963" s="105">
        <f t="shared" si="184"/>
        <v>18918.07</v>
      </c>
      <c r="H2963" s="101" t="str">
        <f t="shared" si="185"/>
        <v>Sinapi 11616</v>
      </c>
      <c r="I2963" s="101" t="str">
        <f t="shared" si="186"/>
        <v>UN</v>
      </c>
      <c r="J2963" s="140" t="str">
        <f t="shared" si="187"/>
        <v>MARTELO DEMOLIDOR PNEUMATICO MANUAL, PADRAO, PESO DE 32 KG</v>
      </c>
    </row>
    <row r="2964" spans="1:10" x14ac:dyDescent="0.25">
      <c r="A2964" s="169">
        <v>41898</v>
      </c>
      <c r="B2964" s="169" t="s">
        <v>26441</v>
      </c>
      <c r="C2964" s="169" t="s">
        <v>10225</v>
      </c>
      <c r="D2964" s="169" t="s">
        <v>1290</v>
      </c>
      <c r="E2964" s="103" t="s">
        <v>30735</v>
      </c>
      <c r="F2964" s="104"/>
      <c r="G2964" s="105">
        <f t="shared" si="184"/>
        <v>21285.4</v>
      </c>
      <c r="H2964" s="101" t="str">
        <f t="shared" si="185"/>
        <v>Sinapi 41898</v>
      </c>
      <c r="I2964" s="101" t="str">
        <f t="shared" si="186"/>
        <v>UN</v>
      </c>
      <c r="J2964" s="140" t="str">
        <f t="shared" si="187"/>
        <v>MARTELO DEMOLIDOR PNEUMATICO MANUAL, PESO DE 28 KG, COM SILENCIADOR</v>
      </c>
    </row>
    <row r="2965" spans="1:10" x14ac:dyDescent="0.25">
      <c r="A2965" s="169">
        <v>13447</v>
      </c>
      <c r="B2965" s="169" t="s">
        <v>26442</v>
      </c>
      <c r="C2965" s="169" t="s">
        <v>10225</v>
      </c>
      <c r="D2965" s="169" t="s">
        <v>1290</v>
      </c>
      <c r="E2965" s="103" t="s">
        <v>30736</v>
      </c>
      <c r="F2965" s="104"/>
      <c r="G2965" s="105">
        <f t="shared" si="184"/>
        <v>39166.6</v>
      </c>
      <c r="H2965" s="101" t="str">
        <f t="shared" si="185"/>
        <v>Sinapi 13447</v>
      </c>
      <c r="I2965" s="101" t="str">
        <f t="shared" si="186"/>
        <v>UN</v>
      </c>
      <c r="J2965" s="140" t="str">
        <f t="shared" si="187"/>
        <v>MARTELO PERFURADOR PNEUMATICO MANUAL, DE SUPERFICIE, COM AVANCO DE COLUNA, PESO DE 22 KG</v>
      </c>
    </row>
    <row r="2966" spans="1:10" x14ac:dyDescent="0.25">
      <c r="A2966" s="169">
        <v>14529</v>
      </c>
      <c r="B2966" s="169" t="s">
        <v>26443</v>
      </c>
      <c r="C2966" s="169" t="s">
        <v>10225</v>
      </c>
      <c r="D2966" s="169" t="s">
        <v>1290</v>
      </c>
      <c r="E2966" s="103" t="s">
        <v>30737</v>
      </c>
      <c r="F2966" s="104"/>
      <c r="G2966" s="105">
        <f t="shared" si="184"/>
        <v>21904.89</v>
      </c>
      <c r="H2966" s="101" t="str">
        <f t="shared" si="185"/>
        <v>Sinapi 14529</v>
      </c>
      <c r="I2966" s="101" t="str">
        <f t="shared" si="186"/>
        <v>UN</v>
      </c>
      <c r="J2966" s="140" t="str">
        <f t="shared" si="187"/>
        <v>MARTELO PERFURADOR PNEUMATICO MANUAL, HASTE 25 X 75 MM, 21 KG</v>
      </c>
    </row>
    <row r="2967" spans="1:10" x14ac:dyDescent="0.25">
      <c r="A2967" s="169">
        <v>10747</v>
      </c>
      <c r="B2967" s="169" t="s">
        <v>26444</v>
      </c>
      <c r="C2967" s="169" t="s">
        <v>10225</v>
      </c>
      <c r="D2967" s="169" t="s">
        <v>1290</v>
      </c>
      <c r="E2967" s="103" t="s">
        <v>30738</v>
      </c>
      <c r="F2967" s="104"/>
      <c r="G2967" s="105">
        <f t="shared" si="184"/>
        <v>21492.04</v>
      </c>
      <c r="H2967" s="101" t="str">
        <f t="shared" si="185"/>
        <v>Sinapi 10747</v>
      </c>
      <c r="I2967" s="101" t="str">
        <f t="shared" si="186"/>
        <v>UN</v>
      </c>
      <c r="J2967" s="140" t="str">
        <f t="shared" si="187"/>
        <v>MARTELO PERFURADOR PNEUMATICO MANUAL, PESO DE 25 KG, COM SILENCIADOR</v>
      </c>
    </row>
    <row r="2968" spans="1:10" x14ac:dyDescent="0.25">
      <c r="A2968" s="169">
        <v>36141</v>
      </c>
      <c r="B2968" s="169" t="s">
        <v>26445</v>
      </c>
      <c r="C2968" s="169" t="s">
        <v>10225</v>
      </c>
      <c r="D2968" s="169" t="s">
        <v>1289</v>
      </c>
      <c r="E2968" s="103" t="s">
        <v>29184</v>
      </c>
      <c r="F2968" s="104"/>
      <c r="G2968" s="105">
        <f t="shared" si="184"/>
        <v>39.42</v>
      </c>
      <c r="H2968" s="101" t="str">
        <f t="shared" si="185"/>
        <v>Sinapi 36141</v>
      </c>
      <c r="I2968" s="101" t="str">
        <f t="shared" si="186"/>
        <v>UN</v>
      </c>
      <c r="J2968" s="140" t="str">
        <f t="shared" si="187"/>
        <v>MASCARA DE SEGURANCA PARA SOLDA COM ESCUDO DE CELERON E CARNEIRA DE PLASTICO COM REGULAGEM</v>
      </c>
    </row>
    <row r="2969" spans="1:10" x14ac:dyDescent="0.25">
      <c r="A2969" s="169">
        <v>43651</v>
      </c>
      <c r="B2969" s="169" t="s">
        <v>26446</v>
      </c>
      <c r="C2969" s="169" t="s">
        <v>10231</v>
      </c>
      <c r="D2969" s="169" t="s">
        <v>1289</v>
      </c>
      <c r="E2969" s="103" t="s">
        <v>19946</v>
      </c>
      <c r="F2969" s="104"/>
      <c r="G2969" s="105">
        <f t="shared" si="184"/>
        <v>6.65</v>
      </c>
      <c r="H2969" s="101" t="str">
        <f t="shared" si="185"/>
        <v>Sinapi 43651</v>
      </c>
      <c r="I2969" s="101" t="str">
        <f t="shared" si="186"/>
        <v>KG</v>
      </c>
      <c r="J2969" s="140" t="str">
        <f t="shared" si="187"/>
        <v>MASSA ACRILICA PARA SUPERFICIES INTERNAS E EXTERNAS</v>
      </c>
    </row>
    <row r="2970" spans="1:10" x14ac:dyDescent="0.25">
      <c r="A2970" s="169">
        <v>43626</v>
      </c>
      <c r="B2970" s="169" t="s">
        <v>26447</v>
      </c>
      <c r="C2970" s="169" t="s">
        <v>10231</v>
      </c>
      <c r="D2970" s="169" t="s">
        <v>1288</v>
      </c>
      <c r="E2970" s="103" t="s">
        <v>17284</v>
      </c>
      <c r="F2970" s="104"/>
      <c r="G2970" s="105">
        <f t="shared" si="184"/>
        <v>3.7</v>
      </c>
      <c r="H2970" s="101" t="str">
        <f t="shared" si="185"/>
        <v>Sinapi 43626</v>
      </c>
      <c r="I2970" s="101" t="str">
        <f t="shared" si="186"/>
        <v>KG</v>
      </c>
      <c r="J2970" s="140" t="str">
        <f t="shared" si="187"/>
        <v>MASSA CORRIDA PARA SUPERFICIES DE AMBIENTES INTERNOS</v>
      </c>
    </row>
    <row r="2971" spans="1:10" x14ac:dyDescent="0.25">
      <c r="A2971" s="169">
        <v>39434</v>
      </c>
      <c r="B2971" s="169" t="s">
        <v>11617</v>
      </c>
      <c r="C2971" s="169" t="s">
        <v>10231</v>
      </c>
      <c r="D2971" s="169" t="s">
        <v>1289</v>
      </c>
      <c r="E2971" s="103" t="s">
        <v>6045</v>
      </c>
      <c r="F2971" s="104"/>
      <c r="G2971" s="105">
        <f t="shared" si="184"/>
        <v>5.9</v>
      </c>
      <c r="H2971" s="101" t="str">
        <f t="shared" si="185"/>
        <v>Sinapi 39434</v>
      </c>
      <c r="I2971" s="101" t="str">
        <f t="shared" si="186"/>
        <v>KG</v>
      </c>
      <c r="J2971" s="140" t="str">
        <f t="shared" si="187"/>
        <v>MASSA DE REJUNTE EM PO PARA DRYWALL, A BASE DE GESSO, SECAGEM RAPIDA, PARA TRATAMENTO DE JUNTAS DE CHAPA DE GESSO (NECESSITA ADICAO DE AGUA)</v>
      </c>
    </row>
    <row r="2972" spans="1:10" x14ac:dyDescent="0.25">
      <c r="A2972" s="169">
        <v>39433</v>
      </c>
      <c r="B2972" s="169" t="s">
        <v>26448</v>
      </c>
      <c r="C2972" s="169" t="s">
        <v>10231</v>
      </c>
      <c r="D2972" s="169" t="s">
        <v>1289</v>
      </c>
      <c r="E2972" s="103" t="s">
        <v>6540</v>
      </c>
      <c r="F2972" s="104"/>
      <c r="G2972" s="105">
        <f t="shared" si="184"/>
        <v>4.6900000000000004</v>
      </c>
      <c r="H2972" s="101" t="str">
        <f t="shared" si="185"/>
        <v>Sinapi 39433</v>
      </c>
      <c r="I2972" s="101" t="str">
        <f t="shared" si="186"/>
        <v>KG</v>
      </c>
      <c r="J2972" s="140" t="str">
        <f t="shared" si="187"/>
        <v>MASSA DE REJUNTE PRONTA PARA TRATAMENTO DE JUNTAS DE CHAPA DE GESSO PARA DRYWALL, SEM ADICAO DE AGUA</v>
      </c>
    </row>
    <row r="2973" spans="1:10" x14ac:dyDescent="0.25">
      <c r="A2973" s="169">
        <v>4049</v>
      </c>
      <c r="B2973" s="169" t="s">
        <v>26449</v>
      </c>
      <c r="C2973" s="169" t="s">
        <v>10230</v>
      </c>
      <c r="D2973" s="169" t="s">
        <v>1289</v>
      </c>
      <c r="E2973" s="103" t="s">
        <v>30739</v>
      </c>
      <c r="F2973" s="104"/>
      <c r="G2973" s="105">
        <f t="shared" si="184"/>
        <v>74.260000000000005</v>
      </c>
      <c r="H2973" s="101" t="str">
        <f t="shared" si="185"/>
        <v>Sinapi 4049</v>
      </c>
      <c r="I2973" s="101" t="str">
        <f t="shared" si="186"/>
        <v>L</v>
      </c>
      <c r="J2973" s="140" t="str">
        <f t="shared" si="187"/>
        <v>MASSA EPOXI BICOMPONENTE (MASSA + CATALIZADOR)</v>
      </c>
    </row>
    <row r="2974" spans="1:10" x14ac:dyDescent="0.25">
      <c r="A2974" s="169">
        <v>38120</v>
      </c>
      <c r="B2974" s="169" t="s">
        <v>26451</v>
      </c>
      <c r="C2974" s="169" t="s">
        <v>10231</v>
      </c>
      <c r="D2974" s="169" t="s">
        <v>1289</v>
      </c>
      <c r="E2974" s="103" t="s">
        <v>29159</v>
      </c>
      <c r="F2974" s="104"/>
      <c r="G2974" s="105">
        <f t="shared" si="184"/>
        <v>157.13</v>
      </c>
      <c r="H2974" s="101" t="str">
        <f t="shared" si="185"/>
        <v>Sinapi 38120</v>
      </c>
      <c r="I2974" s="101" t="str">
        <f t="shared" si="186"/>
        <v>KG</v>
      </c>
      <c r="J2974" s="140" t="str">
        <f t="shared" si="187"/>
        <v>MASSA EPOXI BICOMPONENTE PARA REPAROS</v>
      </c>
    </row>
    <row r="2975" spans="1:10" x14ac:dyDescent="0.25">
      <c r="A2975" s="169">
        <v>43652</v>
      </c>
      <c r="B2975" s="169" t="s">
        <v>26452</v>
      </c>
      <c r="C2975" s="169" t="s">
        <v>10231</v>
      </c>
      <c r="D2975" s="169" t="s">
        <v>1289</v>
      </c>
      <c r="E2975" s="103" t="s">
        <v>20093</v>
      </c>
      <c r="F2975" s="104"/>
      <c r="G2975" s="105">
        <f t="shared" si="184"/>
        <v>14.91</v>
      </c>
      <c r="H2975" s="101" t="str">
        <f t="shared" si="185"/>
        <v>Sinapi 43652</v>
      </c>
      <c r="I2975" s="101" t="str">
        <f t="shared" si="186"/>
        <v>KG</v>
      </c>
      <c r="J2975" s="140" t="str">
        <f t="shared" si="187"/>
        <v>MASSA PARA MADEIRA - INTERIOR E EXTERIOR</v>
      </c>
    </row>
    <row r="2976" spans="1:10" x14ac:dyDescent="0.25">
      <c r="A2976" s="169">
        <v>10498</v>
      </c>
      <c r="B2976" s="169" t="s">
        <v>26453</v>
      </c>
      <c r="C2976" s="169" t="s">
        <v>10231</v>
      </c>
      <c r="D2976" s="169" t="s">
        <v>1289</v>
      </c>
      <c r="E2976" s="103" t="s">
        <v>23052</v>
      </c>
      <c r="F2976" s="104"/>
      <c r="G2976" s="105">
        <f t="shared" si="184"/>
        <v>15.91</v>
      </c>
      <c r="H2976" s="101" t="str">
        <f t="shared" si="185"/>
        <v>Sinapi 10498</v>
      </c>
      <c r="I2976" s="101" t="str">
        <f t="shared" si="186"/>
        <v>KG</v>
      </c>
      <c r="J2976" s="140" t="str">
        <f t="shared" si="187"/>
        <v>MASSA PARA VIDRO</v>
      </c>
    </row>
    <row r="2977" spans="1:10" x14ac:dyDescent="0.25">
      <c r="A2977" s="169">
        <v>4823</v>
      </c>
      <c r="B2977" s="169" t="s">
        <v>10274</v>
      </c>
      <c r="C2977" s="169" t="s">
        <v>10231</v>
      </c>
      <c r="D2977" s="169" t="s">
        <v>1289</v>
      </c>
      <c r="E2977" s="103" t="s">
        <v>30740</v>
      </c>
      <c r="F2977" s="104"/>
      <c r="G2977" s="105">
        <f t="shared" si="184"/>
        <v>41.52</v>
      </c>
      <c r="H2977" s="101" t="str">
        <f t="shared" si="185"/>
        <v>Sinapi 4823</v>
      </c>
      <c r="I2977" s="101" t="str">
        <f t="shared" si="186"/>
        <v>KG</v>
      </c>
      <c r="J2977" s="140" t="str">
        <f t="shared" si="187"/>
        <v>MASSA PLASTICA PARA MARMORE/GRANITO</v>
      </c>
    </row>
    <row r="2978" spans="1:10" x14ac:dyDescent="0.25">
      <c r="A2978" s="169">
        <v>38877</v>
      </c>
      <c r="B2978" s="169" t="s">
        <v>26454</v>
      </c>
      <c r="C2978" s="169" t="s">
        <v>10231</v>
      </c>
      <c r="D2978" s="169" t="s">
        <v>1289</v>
      </c>
      <c r="E2978" s="103" t="s">
        <v>17282</v>
      </c>
      <c r="F2978" s="104"/>
      <c r="G2978" s="105">
        <f t="shared" si="184"/>
        <v>7.99</v>
      </c>
      <c r="H2978" s="101" t="str">
        <f t="shared" si="185"/>
        <v>Sinapi 38877</v>
      </c>
      <c r="I2978" s="101" t="str">
        <f t="shared" si="186"/>
        <v>KG</v>
      </c>
      <c r="J2978" s="140" t="str">
        <f t="shared" si="187"/>
        <v>MASSA PREMIUM PARA TEXTURA LISA DE BASE ACRILICA, USO INTERNO E EXTERNO</v>
      </c>
    </row>
    <row r="2979" spans="1:10" x14ac:dyDescent="0.25">
      <c r="A2979" s="169">
        <v>34546</v>
      </c>
      <c r="B2979" s="169" t="s">
        <v>26455</v>
      </c>
      <c r="C2979" s="169" t="s">
        <v>10231</v>
      </c>
      <c r="D2979" s="169" t="s">
        <v>1289</v>
      </c>
      <c r="E2979" s="103" t="s">
        <v>19309</v>
      </c>
      <c r="F2979" s="104"/>
      <c r="G2979" s="105">
        <f t="shared" si="184"/>
        <v>8.2200000000000006</v>
      </c>
      <c r="H2979" s="101" t="str">
        <f t="shared" si="185"/>
        <v>Sinapi 34546</v>
      </c>
      <c r="I2979" s="101" t="str">
        <f t="shared" si="186"/>
        <v>KG</v>
      </c>
      <c r="J2979" s="140" t="str">
        <f t="shared" si="187"/>
        <v>MASSA PREMIUM PARA TEXTURA RUSTICA DE BASE ACRILICA, COR BRANCA, USO INTERNO E EXTERNO</v>
      </c>
    </row>
    <row r="2980" spans="1:10" x14ac:dyDescent="0.25">
      <c r="A2980" s="169">
        <v>41387</v>
      </c>
      <c r="B2980" s="169" t="s">
        <v>26456</v>
      </c>
      <c r="C2980" s="169" t="s">
        <v>10229</v>
      </c>
      <c r="D2980" s="169" t="s">
        <v>1289</v>
      </c>
      <c r="E2980" s="103" t="s">
        <v>30741</v>
      </c>
      <c r="F2980" s="104"/>
      <c r="G2980" s="105">
        <f t="shared" si="184"/>
        <v>51.44</v>
      </c>
      <c r="H2980" s="101" t="str">
        <f t="shared" si="185"/>
        <v>Sinapi 41387</v>
      </c>
      <c r="I2980" s="101" t="str">
        <f t="shared" si="186"/>
        <v>M</v>
      </c>
      <c r="J2980" s="140" t="str">
        <f t="shared" si="187"/>
        <v>MASTRO SIMPLES GALVANIZADO DIAMETRO NOMINAL 1 1/2"</v>
      </c>
    </row>
    <row r="2981" spans="1:10" x14ac:dyDescent="0.25">
      <c r="A2981" s="169">
        <v>41388</v>
      </c>
      <c r="B2981" s="169" t="s">
        <v>26457</v>
      </c>
      <c r="C2981" s="169" t="s">
        <v>10229</v>
      </c>
      <c r="D2981" s="169" t="s">
        <v>1289</v>
      </c>
      <c r="E2981" s="103" t="s">
        <v>21468</v>
      </c>
      <c r="F2981" s="104"/>
      <c r="G2981" s="105">
        <f t="shared" si="184"/>
        <v>61.71</v>
      </c>
      <c r="H2981" s="101" t="str">
        <f t="shared" si="185"/>
        <v>Sinapi 41388</v>
      </c>
      <c r="I2981" s="101" t="str">
        <f t="shared" si="186"/>
        <v>M</v>
      </c>
      <c r="J2981" s="140" t="str">
        <f t="shared" si="187"/>
        <v>MASTRO SIMPLES GALVANIZADO DIAMETRO NOMINAL 2"</v>
      </c>
    </row>
    <row r="2982" spans="1:10" x14ac:dyDescent="0.25">
      <c r="A2982" s="169">
        <v>41380</v>
      </c>
      <c r="B2982" s="169" t="s">
        <v>26458</v>
      </c>
      <c r="C2982" s="169" t="s">
        <v>10225</v>
      </c>
      <c r="D2982" s="169" t="s">
        <v>1289</v>
      </c>
      <c r="E2982" s="103" t="s">
        <v>30742</v>
      </c>
      <c r="F2982" s="104"/>
      <c r="G2982" s="105">
        <f t="shared" si="184"/>
        <v>410.6</v>
      </c>
      <c r="H2982" s="101" t="str">
        <f t="shared" si="185"/>
        <v>Sinapi 41380</v>
      </c>
      <c r="I2982" s="101" t="str">
        <f t="shared" si="186"/>
        <v>UN</v>
      </c>
      <c r="J2982" s="140" t="str">
        <f t="shared" si="187"/>
        <v>MASTRO TELESCOPICO DE 4 METROS (3 M X DN= 2" + 1 M X DN= 1 1/2")</v>
      </c>
    </row>
    <row r="2983" spans="1:10" x14ac:dyDescent="0.25">
      <c r="A2983" s="169">
        <v>41381</v>
      </c>
      <c r="B2983" s="169" t="s">
        <v>26459</v>
      </c>
      <c r="C2983" s="169" t="s">
        <v>10225</v>
      </c>
      <c r="D2983" s="169" t="s">
        <v>1289</v>
      </c>
      <c r="E2983" s="103" t="s">
        <v>30743</v>
      </c>
      <c r="F2983" s="104"/>
      <c r="G2983" s="105">
        <f t="shared" si="184"/>
        <v>430.15</v>
      </c>
      <c r="H2983" s="101" t="str">
        <f t="shared" si="185"/>
        <v>Sinapi 41381</v>
      </c>
      <c r="I2983" s="101" t="str">
        <f t="shared" si="186"/>
        <v>UN</v>
      </c>
      <c r="J2983" s="140" t="str">
        <f t="shared" si="187"/>
        <v>MASTRO TELESCOPICO GALVANIZADO 5 METROS (3 M X DN= 2" + 2 M X DN= 1 1/2")</v>
      </c>
    </row>
    <row r="2984" spans="1:10" x14ac:dyDescent="0.25">
      <c r="A2984" s="169">
        <v>41382</v>
      </c>
      <c r="B2984" s="169" t="s">
        <v>26460</v>
      </c>
      <c r="C2984" s="169" t="s">
        <v>10225</v>
      </c>
      <c r="D2984" s="169" t="s">
        <v>1289</v>
      </c>
      <c r="E2984" s="103" t="s">
        <v>30744</v>
      </c>
      <c r="F2984" s="104"/>
      <c r="G2984" s="105">
        <f t="shared" si="184"/>
        <v>416.36</v>
      </c>
      <c r="H2984" s="101" t="str">
        <f t="shared" si="185"/>
        <v>Sinapi 41382</v>
      </c>
      <c r="I2984" s="101" t="str">
        <f t="shared" si="186"/>
        <v>UN</v>
      </c>
      <c r="J2984" s="140" t="str">
        <f t="shared" si="187"/>
        <v>MASTRO TELESCOPICO GALVANIZADO 6 METROS (3 M X DN= 2" + 3 M X DN= 1Â½")</v>
      </c>
    </row>
    <row r="2985" spans="1:10" x14ac:dyDescent="0.25">
      <c r="A2985" s="169">
        <v>41383</v>
      </c>
      <c r="B2985" s="169" t="s">
        <v>26461</v>
      </c>
      <c r="C2985" s="169" t="s">
        <v>10225</v>
      </c>
      <c r="D2985" s="169" t="s">
        <v>1289</v>
      </c>
      <c r="E2985" s="103" t="s">
        <v>30745</v>
      </c>
      <c r="F2985" s="104"/>
      <c r="G2985" s="105">
        <f t="shared" si="184"/>
        <v>565.12</v>
      </c>
      <c r="H2985" s="101" t="str">
        <f t="shared" si="185"/>
        <v>Sinapi 41383</v>
      </c>
      <c r="I2985" s="101" t="str">
        <f t="shared" si="186"/>
        <v>UN</v>
      </c>
      <c r="J2985" s="140" t="str">
        <f t="shared" si="187"/>
        <v>MASTRO TELESCOPICO GALVANIZADO 7 METROS (6 M X DN= 2" + 1 M X DN= 1 1/2")</v>
      </c>
    </row>
    <row r="2986" spans="1:10" x14ac:dyDescent="0.25">
      <c r="A2986" s="169">
        <v>41385</v>
      </c>
      <c r="B2986" s="169" t="s">
        <v>26462</v>
      </c>
      <c r="C2986" s="169" t="s">
        <v>10225</v>
      </c>
      <c r="D2986" s="169" t="s">
        <v>1289</v>
      </c>
      <c r="E2986" s="103" t="s">
        <v>28663</v>
      </c>
      <c r="F2986" s="104"/>
      <c r="G2986" s="105">
        <f t="shared" si="184"/>
        <v>703.22</v>
      </c>
      <c r="H2986" s="101" t="str">
        <f t="shared" si="185"/>
        <v>Sinapi 41385</v>
      </c>
      <c r="I2986" s="101" t="str">
        <f t="shared" si="186"/>
        <v>UN</v>
      </c>
      <c r="J2986" s="140" t="str">
        <f t="shared" si="187"/>
        <v>MASTRO TELESCOPICO GALVANIZADO 9 METROS (6 M X DN= 2" + 3 M X DN= 1 1/2")</v>
      </c>
    </row>
    <row r="2987" spans="1:10" x14ac:dyDescent="0.25">
      <c r="A2987" s="169">
        <v>11079</v>
      </c>
      <c r="B2987" s="169" t="s">
        <v>26463</v>
      </c>
      <c r="C2987" s="169" t="s">
        <v>10234</v>
      </c>
      <c r="D2987" s="169" t="s">
        <v>1289</v>
      </c>
      <c r="E2987" s="103" t="s">
        <v>30746</v>
      </c>
      <c r="F2987" s="104"/>
      <c r="G2987" s="105">
        <f t="shared" si="184"/>
        <v>4920.82</v>
      </c>
      <c r="H2987" s="101" t="str">
        <f t="shared" si="185"/>
        <v>Sinapi 11079</v>
      </c>
      <c r="I2987" s="101" t="str">
        <f t="shared" si="186"/>
        <v>M3</v>
      </c>
      <c r="J2987" s="140" t="str">
        <f t="shared" si="187"/>
        <v>MATERIAL FILTRANTE (PEDREGULHO) 0,6 A 25,46 MM (POSTO PEDREIRA/FORNECEDOR, SEM FRETE)</v>
      </c>
    </row>
    <row r="2988" spans="1:10" x14ac:dyDescent="0.25">
      <c r="A2988" s="169">
        <v>11082</v>
      </c>
      <c r="B2988" s="169" t="s">
        <v>26464</v>
      </c>
      <c r="C2988" s="169" t="s">
        <v>10234</v>
      </c>
      <c r="D2988" s="169" t="s">
        <v>1289</v>
      </c>
      <c r="E2988" s="103" t="s">
        <v>30746</v>
      </c>
      <c r="F2988" s="104"/>
      <c r="G2988" s="105">
        <f t="shared" si="184"/>
        <v>4920.82</v>
      </c>
      <c r="H2988" s="101" t="str">
        <f t="shared" si="185"/>
        <v>Sinapi 11082</v>
      </c>
      <c r="I2988" s="101" t="str">
        <f t="shared" si="186"/>
        <v>M3</v>
      </c>
      <c r="J2988" s="140" t="str">
        <f t="shared" si="187"/>
        <v>MATERIAL FILTRANTE (PEDREGULHO) 38 A 25,4 MM (POSTO PEDREIRA/FORNECEDOR, SEM FRETE)</v>
      </c>
    </row>
    <row r="2989" spans="1:10" x14ac:dyDescent="0.25">
      <c r="A2989" s="169">
        <v>4058</v>
      </c>
      <c r="B2989" s="169" t="s">
        <v>26465</v>
      </c>
      <c r="C2989" s="169" t="s">
        <v>10228</v>
      </c>
      <c r="D2989" s="169" t="s">
        <v>1289</v>
      </c>
      <c r="E2989" s="103" t="s">
        <v>17951</v>
      </c>
      <c r="F2989" s="104"/>
      <c r="G2989" s="105">
        <f t="shared" si="184"/>
        <v>28</v>
      </c>
      <c r="H2989" s="101" t="str">
        <f t="shared" si="185"/>
        <v>Sinapi 4058</v>
      </c>
      <c r="I2989" s="101" t="str">
        <f t="shared" si="186"/>
        <v>H</v>
      </c>
      <c r="J2989" s="140" t="str">
        <f t="shared" si="187"/>
        <v>MECANICO DE EQUIPAMENTOS PESADOS</v>
      </c>
    </row>
    <row r="2990" spans="1:10" x14ac:dyDescent="0.25">
      <c r="A2990" s="169">
        <v>40974</v>
      </c>
      <c r="B2990" s="169" t="s">
        <v>26466</v>
      </c>
      <c r="C2990" s="169" t="s">
        <v>10235</v>
      </c>
      <c r="D2990" s="169" t="s">
        <v>1289</v>
      </c>
      <c r="E2990" s="103" t="s">
        <v>30747</v>
      </c>
      <c r="F2990" s="104"/>
      <c r="G2990" s="105">
        <f t="shared" si="184"/>
        <v>4874.51</v>
      </c>
      <c r="H2990" s="101" t="str">
        <f t="shared" si="185"/>
        <v>Sinapi 40974</v>
      </c>
      <c r="I2990" s="101" t="str">
        <f t="shared" si="186"/>
        <v>MES</v>
      </c>
      <c r="J2990" s="140" t="str">
        <f t="shared" si="187"/>
        <v>MECANICO DE EQUIPAMENTOS PESADOS (MENSALISTA)</v>
      </c>
    </row>
    <row r="2991" spans="1:10" x14ac:dyDescent="0.25">
      <c r="A2991" s="169">
        <v>34794</v>
      </c>
      <c r="B2991" s="169" t="s">
        <v>26467</v>
      </c>
      <c r="C2991" s="169" t="s">
        <v>10228</v>
      </c>
      <c r="D2991" s="169" t="s">
        <v>1289</v>
      </c>
      <c r="E2991" s="103" t="s">
        <v>23668</v>
      </c>
      <c r="F2991" s="104"/>
      <c r="G2991" s="105">
        <f t="shared" si="184"/>
        <v>20.53</v>
      </c>
      <c r="H2991" s="101" t="str">
        <f t="shared" si="185"/>
        <v>Sinapi 34794</v>
      </c>
      <c r="I2991" s="101" t="str">
        <f t="shared" si="186"/>
        <v>H</v>
      </c>
      <c r="J2991" s="140" t="str">
        <f t="shared" si="187"/>
        <v>MECANICO DE REFRIGERACAO (HORISTA)</v>
      </c>
    </row>
    <row r="2992" spans="1:10" x14ac:dyDescent="0.25">
      <c r="A2992" s="169">
        <v>40925</v>
      </c>
      <c r="B2992" s="169" t="s">
        <v>26468</v>
      </c>
      <c r="C2992" s="169" t="s">
        <v>10235</v>
      </c>
      <c r="D2992" s="169" t="s">
        <v>1289</v>
      </c>
      <c r="E2992" s="103" t="s">
        <v>30748</v>
      </c>
      <c r="F2992" s="104"/>
      <c r="G2992" s="105">
        <f t="shared" si="184"/>
        <v>3574.87</v>
      </c>
      <c r="H2992" s="101" t="str">
        <f t="shared" si="185"/>
        <v>Sinapi 40925</v>
      </c>
      <c r="I2992" s="101" t="str">
        <f t="shared" si="186"/>
        <v>MES</v>
      </c>
      <c r="J2992" s="140" t="str">
        <f t="shared" si="187"/>
        <v>MECANICO DE REFRIGERACAO (MENSALISTA)</v>
      </c>
    </row>
    <row r="2993" spans="1:10" x14ac:dyDescent="0.25">
      <c r="A2993" s="169">
        <v>13741</v>
      </c>
      <c r="B2993" s="169" t="s">
        <v>26469</v>
      </c>
      <c r="C2993" s="169" t="s">
        <v>10225</v>
      </c>
      <c r="D2993" s="169" t="s">
        <v>1289</v>
      </c>
      <c r="E2993" s="103" t="s">
        <v>30749</v>
      </c>
      <c r="F2993" s="104"/>
      <c r="G2993" s="105">
        <f t="shared" si="184"/>
        <v>3584.63</v>
      </c>
      <c r="H2993" s="101" t="str">
        <f t="shared" si="185"/>
        <v>Sinapi 13741</v>
      </c>
      <c r="I2993" s="101" t="str">
        <f t="shared" si="186"/>
        <v>UN</v>
      </c>
      <c r="J2993" s="140" t="str">
        <f t="shared" si="187"/>
        <v>MEDIDOR DE NIVEL ESTATICO E DINAMICO PARA POCO, COMPRIMENTO DE 200 M</v>
      </c>
    </row>
    <row r="2994" spans="1:10" x14ac:dyDescent="0.25">
      <c r="A2994" s="169">
        <v>3288</v>
      </c>
      <c r="B2994" s="169" t="s">
        <v>26470</v>
      </c>
      <c r="C2994" s="169" t="s">
        <v>10229</v>
      </c>
      <c r="D2994" s="169" t="s">
        <v>1288</v>
      </c>
      <c r="E2994" s="103" t="s">
        <v>30750</v>
      </c>
      <c r="F2994" s="104"/>
      <c r="G2994" s="105">
        <f t="shared" si="184"/>
        <v>12</v>
      </c>
      <c r="H2994" s="101" t="str">
        <f t="shared" si="185"/>
        <v>Sinapi 3288</v>
      </c>
      <c r="I2994" s="101" t="str">
        <f t="shared" si="186"/>
        <v>M</v>
      </c>
      <c r="J2994" s="140" t="str">
        <f t="shared" si="187"/>
        <v>MEIA CANA DE MADEIRA CEDRINHO OU EQUIVALENTE DA REGIAO, ACABAMENTO PARA FORRO PAULISTA, *2,5 X 2,5* CM</v>
      </c>
    </row>
    <row r="2995" spans="1:10" x14ac:dyDescent="0.25">
      <c r="A2995" s="169">
        <v>13587</v>
      </c>
      <c r="B2995" s="169" t="s">
        <v>26471</v>
      </c>
      <c r="C2995" s="169" t="s">
        <v>10229</v>
      </c>
      <c r="D2995" s="169" t="s">
        <v>1289</v>
      </c>
      <c r="E2995" s="103" t="s">
        <v>7321</v>
      </c>
      <c r="F2995" s="104"/>
      <c r="G2995" s="105">
        <f t="shared" si="184"/>
        <v>7.25</v>
      </c>
      <c r="H2995" s="101" t="str">
        <f t="shared" si="185"/>
        <v>Sinapi 13587</v>
      </c>
      <c r="I2995" s="101" t="str">
        <f t="shared" si="186"/>
        <v>M</v>
      </c>
      <c r="J2995" s="140" t="str">
        <f t="shared" si="187"/>
        <v>MEIA CANA DE MADEIRA PINUS OU EQUIVALENTE DA REGIAO, ACABAMENTO PARA FORRO PAULISTA, *2,5 X 2,5* CM</v>
      </c>
    </row>
    <row r="2996" spans="1:10" x14ac:dyDescent="0.25">
      <c r="A2996" s="169">
        <v>38598</v>
      </c>
      <c r="B2996" s="169" t="s">
        <v>26472</v>
      </c>
      <c r="C2996" s="169" t="s">
        <v>10225</v>
      </c>
      <c r="D2996" s="169" t="s">
        <v>1289</v>
      </c>
      <c r="E2996" s="103" t="s">
        <v>15718</v>
      </c>
      <c r="F2996" s="104"/>
      <c r="G2996" s="105">
        <f t="shared" si="184"/>
        <v>5.68</v>
      </c>
      <c r="H2996" s="101" t="str">
        <f t="shared" si="185"/>
        <v>Sinapi 38598</v>
      </c>
      <c r="I2996" s="101" t="str">
        <f t="shared" si="186"/>
        <v>UN</v>
      </c>
      <c r="J2996" s="140" t="str">
        <f t="shared" si="187"/>
        <v>MEIA CANALETA DE CONCRETO ESTRUTURAL 14 X 19 X 19 CM, FBK 14 MPA (NBR 6136)</v>
      </c>
    </row>
    <row r="2997" spans="1:10" x14ac:dyDescent="0.25">
      <c r="A2997" s="169">
        <v>38595</v>
      </c>
      <c r="B2997" s="169" t="s">
        <v>26473</v>
      </c>
      <c r="C2997" s="169" t="s">
        <v>10225</v>
      </c>
      <c r="D2997" s="169" t="s">
        <v>1289</v>
      </c>
      <c r="E2997" s="103" t="s">
        <v>13396</v>
      </c>
      <c r="F2997" s="104"/>
      <c r="G2997" s="105">
        <f t="shared" si="184"/>
        <v>4.8099999999999996</v>
      </c>
      <c r="H2997" s="101" t="str">
        <f t="shared" si="185"/>
        <v>Sinapi 38595</v>
      </c>
      <c r="I2997" s="101" t="str">
        <f t="shared" si="186"/>
        <v>UN</v>
      </c>
      <c r="J2997" s="140" t="str">
        <f t="shared" si="187"/>
        <v>MEIA CANALETA DE CONCRETO ESTRUTURAL 14 X 19 X 19 CM, FBK 4,5 MPA (NBR 6136)</v>
      </c>
    </row>
    <row r="2998" spans="1:10" x14ac:dyDescent="0.25">
      <c r="A2998" s="169">
        <v>38592</v>
      </c>
      <c r="B2998" s="169" t="s">
        <v>26474</v>
      </c>
      <c r="C2998" s="169" t="s">
        <v>10225</v>
      </c>
      <c r="D2998" s="169" t="s">
        <v>1289</v>
      </c>
      <c r="E2998" s="103" t="s">
        <v>8292</v>
      </c>
      <c r="F2998" s="104"/>
      <c r="G2998" s="105">
        <f t="shared" si="184"/>
        <v>4.8600000000000003</v>
      </c>
      <c r="H2998" s="101" t="str">
        <f t="shared" si="185"/>
        <v>Sinapi 38592</v>
      </c>
      <c r="I2998" s="101" t="str">
        <f t="shared" si="186"/>
        <v>UN</v>
      </c>
      <c r="J2998" s="140" t="str">
        <f t="shared" si="187"/>
        <v>MEIO BLOCO DE CONCRETO ESTRUTURAL 14 X 19 X 14 CM, FBK 14 MPA (NBR 6136)</v>
      </c>
    </row>
    <row r="2999" spans="1:10" x14ac:dyDescent="0.25">
      <c r="A2999" s="169">
        <v>38588</v>
      </c>
      <c r="B2999" s="169" t="s">
        <v>26475</v>
      </c>
      <c r="C2999" s="169" t="s">
        <v>10225</v>
      </c>
      <c r="D2999" s="169" t="s">
        <v>1289</v>
      </c>
      <c r="E2999" s="103" t="s">
        <v>22005</v>
      </c>
      <c r="F2999" s="104"/>
      <c r="G2999" s="105">
        <f t="shared" si="184"/>
        <v>3.89</v>
      </c>
      <c r="H2999" s="101" t="str">
        <f t="shared" si="185"/>
        <v>Sinapi 38588</v>
      </c>
      <c r="I2999" s="101" t="str">
        <f t="shared" si="186"/>
        <v>UN</v>
      </c>
      <c r="J2999" s="140" t="str">
        <f t="shared" si="187"/>
        <v>MEIO BLOCO DE CONCRETO ESTRUTURAL 14 X 19 X 14 CM, FBK 4,5 MPA (NBR 6136)</v>
      </c>
    </row>
    <row r="3000" spans="1:10" x14ac:dyDescent="0.25">
      <c r="A3000" s="169">
        <v>38593</v>
      </c>
      <c r="B3000" s="169" t="s">
        <v>26476</v>
      </c>
      <c r="C3000" s="169" t="s">
        <v>10225</v>
      </c>
      <c r="D3000" s="169" t="s">
        <v>1289</v>
      </c>
      <c r="E3000" s="103" t="s">
        <v>19327</v>
      </c>
      <c r="F3000" s="104"/>
      <c r="G3000" s="105">
        <f t="shared" si="184"/>
        <v>5.37</v>
      </c>
      <c r="H3000" s="101" t="str">
        <f t="shared" si="185"/>
        <v>Sinapi 38593</v>
      </c>
      <c r="I3000" s="101" t="str">
        <f t="shared" si="186"/>
        <v>UN</v>
      </c>
      <c r="J3000" s="140" t="str">
        <f t="shared" si="187"/>
        <v>MEIO BLOCO DE CONCRETO ESTRUTURAL 14 X 19 X 19 CM, FBK 14 MPA (NBR 6136)</v>
      </c>
    </row>
    <row r="3001" spans="1:10" x14ac:dyDescent="0.25">
      <c r="A3001" s="169">
        <v>38589</v>
      </c>
      <c r="B3001" s="169" t="s">
        <v>26477</v>
      </c>
      <c r="C3001" s="169" t="s">
        <v>10225</v>
      </c>
      <c r="D3001" s="169" t="s">
        <v>1289</v>
      </c>
      <c r="E3001" s="103" t="s">
        <v>15513</v>
      </c>
      <c r="F3001" s="104"/>
      <c r="G3001" s="105">
        <f t="shared" si="184"/>
        <v>4.08</v>
      </c>
      <c r="H3001" s="101" t="str">
        <f t="shared" si="185"/>
        <v>Sinapi 38589</v>
      </c>
      <c r="I3001" s="101" t="str">
        <f t="shared" si="186"/>
        <v>UN</v>
      </c>
      <c r="J3001" s="140" t="str">
        <f t="shared" si="187"/>
        <v>MEIO BLOCO DE CONCRETO ESTRUTURAL 14 X 19 X 19 CM, FBK 4,5 MPA (NBR 6136)</v>
      </c>
    </row>
    <row r="3002" spans="1:10" x14ac:dyDescent="0.25">
      <c r="A3002" s="169">
        <v>38594</v>
      </c>
      <c r="B3002" s="169" t="s">
        <v>26478</v>
      </c>
      <c r="C3002" s="169" t="s">
        <v>10225</v>
      </c>
      <c r="D3002" s="169" t="s">
        <v>1289</v>
      </c>
      <c r="E3002" s="103" t="s">
        <v>19871</v>
      </c>
      <c r="F3002" s="104"/>
      <c r="G3002" s="105">
        <f t="shared" si="184"/>
        <v>8.4600000000000009</v>
      </c>
      <c r="H3002" s="101" t="str">
        <f t="shared" si="185"/>
        <v>Sinapi 38594</v>
      </c>
      <c r="I3002" s="101" t="str">
        <f t="shared" si="186"/>
        <v>UN</v>
      </c>
      <c r="J3002" s="140" t="str">
        <f t="shared" si="187"/>
        <v>MEIO BLOCO DE CONCRETO ESTRUTURAL 14 X 19 X 34 CM, FBK 14 MPA (NBR 6136)</v>
      </c>
    </row>
    <row r="3003" spans="1:10" x14ac:dyDescent="0.25">
      <c r="A3003" s="169">
        <v>34773</v>
      </c>
      <c r="B3003" s="169" t="s">
        <v>26479</v>
      </c>
      <c r="C3003" s="169" t="s">
        <v>10225</v>
      </c>
      <c r="D3003" s="169" t="s">
        <v>1289</v>
      </c>
      <c r="E3003" s="103" t="s">
        <v>16376</v>
      </c>
      <c r="F3003" s="104"/>
      <c r="G3003" s="105">
        <f t="shared" si="184"/>
        <v>4.01</v>
      </c>
      <c r="H3003" s="101" t="str">
        <f t="shared" si="185"/>
        <v>Sinapi 34773</v>
      </c>
      <c r="I3003" s="101" t="str">
        <f t="shared" si="186"/>
        <v>UN</v>
      </c>
      <c r="J3003" s="140" t="str">
        <f t="shared" si="187"/>
        <v>MEIO BLOCO DE VEDACAO DE CONCRETO APARENTE 14 X 19 X 19 CM (CLASSE C - NBR 6136)</v>
      </c>
    </row>
    <row r="3004" spans="1:10" x14ac:dyDescent="0.25">
      <c r="A3004" s="169">
        <v>34769</v>
      </c>
      <c r="B3004" s="169" t="s">
        <v>26480</v>
      </c>
      <c r="C3004" s="169" t="s">
        <v>10225</v>
      </c>
      <c r="D3004" s="169" t="s">
        <v>1289</v>
      </c>
      <c r="E3004" s="103" t="s">
        <v>15198</v>
      </c>
      <c r="F3004" s="104"/>
      <c r="G3004" s="105">
        <f t="shared" si="184"/>
        <v>4.96</v>
      </c>
      <c r="H3004" s="101" t="str">
        <f t="shared" si="185"/>
        <v>Sinapi 34769</v>
      </c>
      <c r="I3004" s="101" t="str">
        <f t="shared" si="186"/>
        <v>UN</v>
      </c>
      <c r="J3004" s="140" t="str">
        <f t="shared" si="187"/>
        <v>MEIO BLOCO DE VEDACAO DE CONCRETO APARENTE 19 X 19 X 19 CM (CLASSE C - NBR 6136)</v>
      </c>
    </row>
    <row r="3005" spans="1:10" x14ac:dyDescent="0.25">
      <c r="A3005" s="169">
        <v>34763</v>
      </c>
      <c r="B3005" s="169" t="s">
        <v>26481</v>
      </c>
      <c r="C3005" s="169" t="s">
        <v>10225</v>
      </c>
      <c r="D3005" s="169" t="s">
        <v>1289</v>
      </c>
      <c r="E3005" s="103" t="s">
        <v>29750</v>
      </c>
      <c r="F3005" s="104"/>
      <c r="G3005" s="105">
        <f t="shared" si="184"/>
        <v>3.06</v>
      </c>
      <c r="H3005" s="101" t="str">
        <f t="shared" si="185"/>
        <v>Sinapi 34763</v>
      </c>
      <c r="I3005" s="101" t="str">
        <f t="shared" si="186"/>
        <v>UN</v>
      </c>
      <c r="J3005" s="140" t="str">
        <f t="shared" si="187"/>
        <v>MEIO BLOCO DE VEDACAO DE CONCRETO APARENTE 9 X 19 X 19 CM (CLASSE C - NBR 6136)</v>
      </c>
    </row>
    <row r="3006" spans="1:10" x14ac:dyDescent="0.25">
      <c r="A3006" s="169">
        <v>34774</v>
      </c>
      <c r="B3006" s="169" t="s">
        <v>26482</v>
      </c>
      <c r="C3006" s="169" t="s">
        <v>10225</v>
      </c>
      <c r="D3006" s="169" t="s">
        <v>1289</v>
      </c>
      <c r="E3006" s="103" t="s">
        <v>18597</v>
      </c>
      <c r="F3006" s="104"/>
      <c r="G3006" s="105">
        <f t="shared" si="184"/>
        <v>3.8</v>
      </c>
      <c r="H3006" s="101" t="str">
        <f t="shared" si="185"/>
        <v>Sinapi 34774</v>
      </c>
      <c r="I3006" s="101" t="str">
        <f t="shared" si="186"/>
        <v>UN</v>
      </c>
      <c r="J3006" s="140" t="str">
        <f t="shared" si="187"/>
        <v>MEIO BLOCO DE VEDACAO DE CONCRETO 14 X 19 X 19 CM (CLASSE C - NBR 6136)</v>
      </c>
    </row>
    <row r="3007" spans="1:10" x14ac:dyDescent="0.25">
      <c r="A3007" s="169">
        <v>34771</v>
      </c>
      <c r="B3007" s="169" t="s">
        <v>26483</v>
      </c>
      <c r="C3007" s="169" t="s">
        <v>10225</v>
      </c>
      <c r="D3007" s="169" t="s">
        <v>1289</v>
      </c>
      <c r="E3007" s="103" t="s">
        <v>15503</v>
      </c>
      <c r="F3007" s="104"/>
      <c r="G3007" s="105">
        <f t="shared" si="184"/>
        <v>4.59</v>
      </c>
      <c r="H3007" s="101" t="str">
        <f t="shared" si="185"/>
        <v>Sinapi 34771</v>
      </c>
      <c r="I3007" s="101" t="str">
        <f t="shared" si="186"/>
        <v>UN</v>
      </c>
      <c r="J3007" s="140" t="str">
        <f t="shared" si="187"/>
        <v>MEIO BLOCO DE VEDACAO DE CONCRETO 19 X 19 X 19 CM (CLASSE C - NBR 6136)</v>
      </c>
    </row>
    <row r="3008" spans="1:10" x14ac:dyDescent="0.25">
      <c r="A3008" s="169">
        <v>34764</v>
      </c>
      <c r="B3008" s="169" t="s">
        <v>26484</v>
      </c>
      <c r="C3008" s="169" t="s">
        <v>10225</v>
      </c>
      <c r="D3008" s="169" t="s">
        <v>1289</v>
      </c>
      <c r="E3008" s="103" t="s">
        <v>13653</v>
      </c>
      <c r="F3008" s="104"/>
      <c r="G3008" s="105">
        <f t="shared" si="184"/>
        <v>3.01</v>
      </c>
      <c r="H3008" s="101" t="str">
        <f t="shared" si="185"/>
        <v>Sinapi 34764</v>
      </c>
      <c r="I3008" s="101" t="str">
        <f t="shared" si="186"/>
        <v>UN</v>
      </c>
      <c r="J3008" s="140" t="str">
        <f t="shared" si="187"/>
        <v>MEIO BLOCO DE VEDACAO DE CONCRETO 9 X 19 X 19 CM (CLASSE C - NBR 6136)</v>
      </c>
    </row>
    <row r="3009" spans="1:10" x14ac:dyDescent="0.25">
      <c r="A3009" s="169">
        <v>34788</v>
      </c>
      <c r="B3009" s="169" t="s">
        <v>26485</v>
      </c>
      <c r="C3009" s="169" t="s">
        <v>10225</v>
      </c>
      <c r="D3009" s="169" t="s">
        <v>1289</v>
      </c>
      <c r="E3009" s="103" t="s">
        <v>20621</v>
      </c>
      <c r="F3009" s="104"/>
      <c r="G3009" s="105">
        <f t="shared" si="184"/>
        <v>1.38</v>
      </c>
      <c r="H3009" s="101" t="str">
        <f t="shared" si="185"/>
        <v>Sinapi 34788</v>
      </c>
      <c r="I3009" s="101" t="str">
        <f t="shared" si="186"/>
        <v>UN</v>
      </c>
      <c r="J3009" s="140" t="str">
        <f t="shared" si="187"/>
        <v>MEIO BLOCO ESTRUTURAL CERAMICO 14 X 19 X 14 CM, 6,0 MPA (NBR 15270)</v>
      </c>
    </row>
    <row r="3010" spans="1:10" x14ac:dyDescent="0.25">
      <c r="A3010" s="169">
        <v>34781</v>
      </c>
      <c r="B3010" s="169" t="s">
        <v>26486</v>
      </c>
      <c r="C3010" s="169" t="s">
        <v>10225</v>
      </c>
      <c r="D3010" s="169" t="s">
        <v>1289</v>
      </c>
      <c r="E3010" s="103" t="s">
        <v>10393</v>
      </c>
      <c r="F3010" s="104"/>
      <c r="G3010" s="105">
        <f t="shared" si="184"/>
        <v>1.57</v>
      </c>
      <c r="H3010" s="101" t="str">
        <f t="shared" si="185"/>
        <v>Sinapi 34781</v>
      </c>
      <c r="I3010" s="101" t="str">
        <f t="shared" si="186"/>
        <v>UN</v>
      </c>
      <c r="J3010" s="140" t="str">
        <f t="shared" si="187"/>
        <v>MEIO BLOCO ESTRUTURAL CERAMICO 14 X 19 X 19 CM, 6,0 MPA (NBR 15270)</v>
      </c>
    </row>
    <row r="3011" spans="1:10" x14ac:dyDescent="0.25">
      <c r="A3011" s="169">
        <v>41682</v>
      </c>
      <c r="B3011" s="169" t="s">
        <v>26487</v>
      </c>
      <c r="C3011" s="169" t="s">
        <v>10225</v>
      </c>
      <c r="D3011" s="169" t="s">
        <v>1289</v>
      </c>
      <c r="E3011" s="103" t="s">
        <v>30751</v>
      </c>
      <c r="F3011" s="104"/>
      <c r="G3011" s="105">
        <f t="shared" si="184"/>
        <v>47.6</v>
      </c>
      <c r="H3011" s="101" t="str">
        <f t="shared" si="185"/>
        <v>Sinapi 41682</v>
      </c>
      <c r="I3011" s="101" t="str">
        <f t="shared" si="186"/>
        <v>UN</v>
      </c>
      <c r="J3011" s="140" t="str">
        <f t="shared" si="187"/>
        <v>MEIO-FIO OU GUIA DE CONCRETO PRE MOLDADO, COMP 1 M, *30 X 10/12* CM (H X L1/L2)</v>
      </c>
    </row>
    <row r="3012" spans="1:10" x14ac:dyDescent="0.25">
      <c r="A3012" s="169">
        <v>41683</v>
      </c>
      <c r="B3012" s="169" t="s">
        <v>26488</v>
      </c>
      <c r="C3012" s="169" t="s">
        <v>10225</v>
      </c>
      <c r="D3012" s="169" t="s">
        <v>1289</v>
      </c>
      <c r="E3012" s="103" t="s">
        <v>30752</v>
      </c>
      <c r="F3012" s="104"/>
      <c r="G3012" s="105">
        <f t="shared" si="184"/>
        <v>35.020000000000003</v>
      </c>
      <c r="H3012" s="101" t="str">
        <f t="shared" si="185"/>
        <v>Sinapi 41683</v>
      </c>
      <c r="I3012" s="101" t="str">
        <f t="shared" si="186"/>
        <v>UN</v>
      </c>
      <c r="J3012" s="140" t="str">
        <f t="shared" si="187"/>
        <v>MEIO-FIO OU GUIA DE CONCRETO PRE MOLDADO, COMP 80 CM, *30 X 10/10* (H X L1/L2)</v>
      </c>
    </row>
    <row r="3013" spans="1:10" x14ac:dyDescent="0.25">
      <c r="A3013" s="169">
        <v>41680</v>
      </c>
      <c r="B3013" s="169" t="s">
        <v>26489</v>
      </c>
      <c r="C3013" s="169" t="s">
        <v>10225</v>
      </c>
      <c r="D3013" s="169" t="s">
        <v>1289</v>
      </c>
      <c r="E3013" s="103" t="s">
        <v>21516</v>
      </c>
      <c r="F3013" s="104"/>
      <c r="G3013" s="105">
        <f t="shared" si="184"/>
        <v>18.850000000000001</v>
      </c>
      <c r="H3013" s="101" t="str">
        <f t="shared" si="185"/>
        <v>Sinapi 41680</v>
      </c>
      <c r="I3013" s="101" t="str">
        <f t="shared" si="186"/>
        <v>UN</v>
      </c>
      <c r="J3013" s="140" t="str">
        <f t="shared" si="187"/>
        <v>MEIO-FIO OU GUIA DE CONCRETO PRE-MOLDADO, COMP *39* CM, *19 X 6,5/6,5* CM (H X L1/L2)</v>
      </c>
    </row>
    <row r="3014" spans="1:10" x14ac:dyDescent="0.25">
      <c r="A3014" s="169">
        <v>41679</v>
      </c>
      <c r="B3014" s="169" t="s">
        <v>26490</v>
      </c>
      <c r="C3014" s="169" t="s">
        <v>10225</v>
      </c>
      <c r="D3014" s="169" t="s">
        <v>1289</v>
      </c>
      <c r="E3014" s="103" t="s">
        <v>28603</v>
      </c>
      <c r="F3014" s="104"/>
      <c r="G3014" s="105">
        <f t="shared" si="184"/>
        <v>43.1</v>
      </c>
      <c r="H3014" s="101" t="str">
        <f t="shared" si="185"/>
        <v>Sinapi 41679</v>
      </c>
      <c r="I3014" s="101" t="str">
        <f t="shared" si="186"/>
        <v>UN</v>
      </c>
      <c r="J3014" s="140" t="str">
        <f t="shared" si="187"/>
        <v>MEIO-FIO OU GUIA DE CONCRETO PRE-MOLDADO, COMP 1 M, *20 X 12/15* CM (H X L1/L2)</v>
      </c>
    </row>
    <row r="3015" spans="1:10" x14ac:dyDescent="0.25">
      <c r="A3015" s="169">
        <v>41681</v>
      </c>
      <c r="B3015" s="169" t="s">
        <v>26491</v>
      </c>
      <c r="C3015" s="169" t="s">
        <v>10225</v>
      </c>
      <c r="D3015" s="169" t="s">
        <v>1289</v>
      </c>
      <c r="E3015" s="103" t="s">
        <v>30753</v>
      </c>
      <c r="F3015" s="104"/>
      <c r="G3015" s="105">
        <f t="shared" si="184"/>
        <v>29.5</v>
      </c>
      <c r="H3015" s="101" t="str">
        <f t="shared" si="185"/>
        <v>Sinapi 41681</v>
      </c>
      <c r="I3015" s="101" t="str">
        <f t="shared" si="186"/>
        <v>UN</v>
      </c>
      <c r="J3015" s="140" t="str">
        <f t="shared" si="187"/>
        <v>MEIO-FIO OU GUIA DE CONCRETO PRE-MOLDADO, COMP 80 CM, *25 X 08/08* CM (H X L1/L2)</v>
      </c>
    </row>
    <row r="3016" spans="1:10" x14ac:dyDescent="0.25">
      <c r="A3016" s="169">
        <v>43386</v>
      </c>
      <c r="B3016" s="169" t="s">
        <v>26492</v>
      </c>
      <c r="C3016" s="169" t="s">
        <v>10225</v>
      </c>
      <c r="D3016" s="169" t="s">
        <v>1289</v>
      </c>
      <c r="E3016" s="103" t="s">
        <v>30754</v>
      </c>
      <c r="F3016" s="104"/>
      <c r="G3016" s="105">
        <f t="shared" ref="G3016:G3079" si="188">IF(E3016="","",E3016+0)</f>
        <v>67.349999999999994</v>
      </c>
      <c r="H3016" s="101" t="str">
        <f t="shared" ref="H3016:H3079" si="189">IF(G3016="","",TRIM(CONCATENATE("Sinapi ",A3016)))</f>
        <v>Sinapi 43386</v>
      </c>
      <c r="I3016" s="101" t="str">
        <f t="shared" ref="I3016:I3079" si="190">TRIM(C3016)</f>
        <v>UN</v>
      </c>
      <c r="J3016" s="140" t="str">
        <f t="shared" si="187"/>
        <v>MEIO-FIO OU GUIA DE CONCRETO PRE-MOLDADO, TIPO CHAPEU PARA BOCA DE LOBO, DIMENSOES *1,20* X 0,15 X 0,30 M</v>
      </c>
    </row>
    <row r="3017" spans="1:10" x14ac:dyDescent="0.25">
      <c r="A3017" s="169">
        <v>4059</v>
      </c>
      <c r="B3017" s="169" t="s">
        <v>11618</v>
      </c>
      <c r="C3017" s="169" t="s">
        <v>10229</v>
      </c>
      <c r="D3017" s="169" t="s">
        <v>1289</v>
      </c>
      <c r="E3017" s="103" t="s">
        <v>30751</v>
      </c>
      <c r="F3017" s="104"/>
      <c r="G3017" s="105">
        <f t="shared" si="188"/>
        <v>47.6</v>
      </c>
      <c r="H3017" s="101" t="str">
        <f t="shared" si="189"/>
        <v>Sinapi 4059</v>
      </c>
      <c r="I3017" s="101" t="str">
        <f t="shared" si="190"/>
        <v>M</v>
      </c>
      <c r="J3017" s="140" t="str">
        <f t="shared" ref="J3017:J3080" si="191">TRIM(B3017)</f>
        <v>MEIO-FIO OU GUIA DE CONCRETO, PRE-MOLDADO, COMP 1 M, *30 X 12/15* CM (H X L1/L2)</v>
      </c>
    </row>
    <row r="3018" spans="1:10" x14ac:dyDescent="0.25">
      <c r="A3018" s="169">
        <v>4062</v>
      </c>
      <c r="B3018" s="169" t="s">
        <v>26493</v>
      </c>
      <c r="C3018" s="169" t="s">
        <v>10225</v>
      </c>
      <c r="D3018" s="169" t="s">
        <v>1289</v>
      </c>
      <c r="E3018" s="103" t="s">
        <v>30751</v>
      </c>
      <c r="F3018" s="104"/>
      <c r="G3018" s="105">
        <f t="shared" si="188"/>
        <v>47.6</v>
      </c>
      <c r="H3018" s="101" t="str">
        <f t="shared" si="189"/>
        <v>Sinapi 4062</v>
      </c>
      <c r="I3018" s="101" t="str">
        <f t="shared" si="190"/>
        <v>UN</v>
      </c>
      <c r="J3018" s="140" t="str">
        <f t="shared" si="191"/>
        <v>MEIO-FIO OU GUIA DE CONCRETO, PRE-MOLDADO, COMP 1 M, *30 X 15* CM (H X L)</v>
      </c>
    </row>
    <row r="3019" spans="1:10" x14ac:dyDescent="0.25">
      <c r="A3019" s="169">
        <v>4061</v>
      </c>
      <c r="B3019" s="169" t="s">
        <v>26494</v>
      </c>
      <c r="C3019" s="169" t="s">
        <v>10225</v>
      </c>
      <c r="D3019" s="169" t="s">
        <v>1289</v>
      </c>
      <c r="E3019" s="103" t="s">
        <v>23238</v>
      </c>
      <c r="F3019" s="104"/>
      <c r="G3019" s="105">
        <f t="shared" si="188"/>
        <v>59.27</v>
      </c>
      <c r="H3019" s="101" t="str">
        <f t="shared" si="189"/>
        <v>Sinapi 4061</v>
      </c>
      <c r="I3019" s="101" t="str">
        <f t="shared" si="190"/>
        <v>UN</v>
      </c>
      <c r="J3019" s="140" t="str">
        <f t="shared" si="191"/>
        <v>MEIO-FIO OU GUIA DE CONCRETO, PRE-MOLDADO, COMP 80 CM, *45 X 12/18* CM (H X L1/L2)</v>
      </c>
    </row>
    <row r="3020" spans="1:10" x14ac:dyDescent="0.25">
      <c r="A3020" s="169">
        <v>41315</v>
      </c>
      <c r="B3020" s="169" t="s">
        <v>26495</v>
      </c>
      <c r="C3020" s="169" t="s">
        <v>10231</v>
      </c>
      <c r="D3020" s="169" t="s">
        <v>1289</v>
      </c>
      <c r="E3020" s="103" t="s">
        <v>30755</v>
      </c>
      <c r="F3020" s="104"/>
      <c r="G3020" s="105">
        <f t="shared" si="188"/>
        <v>105.51</v>
      </c>
      <c r="H3020" s="101" t="str">
        <f t="shared" si="189"/>
        <v>Sinapi 41315</v>
      </c>
      <c r="I3020" s="101" t="str">
        <f t="shared" si="190"/>
        <v>KG</v>
      </c>
      <c r="J3020" s="140" t="str">
        <f t="shared" si="191"/>
        <v>MEMBRANA IMPERMEABILIZANTE A BASE DE POLIUREIA, BICOMPONENTE, APLICACAO A FRIO</v>
      </c>
    </row>
    <row r="3021" spans="1:10" x14ac:dyDescent="0.25">
      <c r="A3021" s="169">
        <v>43148</v>
      </c>
      <c r="B3021" s="169" t="s">
        <v>1255</v>
      </c>
      <c r="C3021" s="169" t="s">
        <v>10231</v>
      </c>
      <c r="D3021" s="169" t="s">
        <v>1289</v>
      </c>
      <c r="E3021" s="103" t="s">
        <v>30756</v>
      </c>
      <c r="F3021" s="104"/>
      <c r="G3021" s="105">
        <f t="shared" si="188"/>
        <v>71.62</v>
      </c>
      <c r="H3021" s="101" t="str">
        <f t="shared" si="189"/>
        <v>Sinapi 43148</v>
      </c>
      <c r="I3021" s="101" t="str">
        <f t="shared" si="190"/>
        <v>KG</v>
      </c>
      <c r="J3021" s="140" t="str">
        <f t="shared" si="191"/>
        <v>MEMBRANA IMPERMEABILIZANTE A BASE DE POLIURETANO</v>
      </c>
    </row>
    <row r="3022" spans="1:10" x14ac:dyDescent="0.25">
      <c r="A3022" s="169">
        <v>43147</v>
      </c>
      <c r="B3022" s="169" t="s">
        <v>1270</v>
      </c>
      <c r="C3022" s="169" t="s">
        <v>10231</v>
      </c>
      <c r="D3022" s="169" t="s">
        <v>1289</v>
      </c>
      <c r="E3022" s="103" t="s">
        <v>18691</v>
      </c>
      <c r="F3022" s="104"/>
      <c r="G3022" s="105">
        <f t="shared" si="188"/>
        <v>27.74</v>
      </c>
      <c r="H3022" s="101" t="str">
        <f t="shared" si="189"/>
        <v>Sinapi 43147</v>
      </c>
      <c r="I3022" s="101" t="str">
        <f t="shared" si="190"/>
        <v>KG</v>
      </c>
      <c r="J3022" s="140" t="str">
        <f t="shared" si="191"/>
        <v>MEMBRANA IMPERMEABILIZANTE ACRILICA MONOCOMPONENTE</v>
      </c>
    </row>
    <row r="3023" spans="1:10" x14ac:dyDescent="0.25">
      <c r="A3023" s="169">
        <v>10608</v>
      </c>
      <c r="B3023" s="169" t="s">
        <v>26497</v>
      </c>
      <c r="C3023" s="169" t="s">
        <v>10225</v>
      </c>
      <c r="D3023" s="169" t="s">
        <v>1290</v>
      </c>
      <c r="E3023" s="103" t="s">
        <v>26498</v>
      </c>
      <c r="F3023" s="104"/>
      <c r="G3023" s="105">
        <f t="shared" si="188"/>
        <v>9789.7999999999993</v>
      </c>
      <c r="H3023" s="101" t="str">
        <f t="shared" si="189"/>
        <v>Sinapi 10608</v>
      </c>
      <c r="I3023" s="101" t="str">
        <f t="shared" si="190"/>
        <v>UN</v>
      </c>
      <c r="J3023" s="140" t="str">
        <f t="shared" si="191"/>
        <v>MESA VIBRATORIA COM DIMENSOES DE 2,0 X 1,0 M, COM MOTOR ELETRICO DE 2 POLOS E POTENCIA DE 3 CV</v>
      </c>
    </row>
    <row r="3024" spans="1:10" x14ac:dyDescent="0.25">
      <c r="A3024" s="169">
        <v>4069</v>
      </c>
      <c r="B3024" s="169" t="s">
        <v>26499</v>
      </c>
      <c r="C3024" s="169" t="s">
        <v>10228</v>
      </c>
      <c r="D3024" s="169" t="s">
        <v>1289</v>
      </c>
      <c r="E3024" s="103" t="s">
        <v>29554</v>
      </c>
      <c r="F3024" s="104"/>
      <c r="G3024" s="105">
        <f t="shared" si="188"/>
        <v>39.57</v>
      </c>
      <c r="H3024" s="101" t="str">
        <f t="shared" si="189"/>
        <v>Sinapi 4069</v>
      </c>
      <c r="I3024" s="101" t="str">
        <f t="shared" si="190"/>
        <v>H</v>
      </c>
      <c r="J3024" s="140" t="str">
        <f t="shared" si="191"/>
        <v>MESTRE DE OBRAS (HORISTA)</v>
      </c>
    </row>
    <row r="3025" spans="1:10" x14ac:dyDescent="0.25">
      <c r="A3025" s="169">
        <v>40819</v>
      </c>
      <c r="B3025" s="169" t="s">
        <v>26500</v>
      </c>
      <c r="C3025" s="169" t="s">
        <v>10235</v>
      </c>
      <c r="D3025" s="169" t="s">
        <v>1289</v>
      </c>
      <c r="E3025" s="103" t="s">
        <v>30757</v>
      </c>
      <c r="F3025" s="104"/>
      <c r="G3025" s="105">
        <f t="shared" si="188"/>
        <v>6889.23</v>
      </c>
      <c r="H3025" s="101" t="str">
        <f t="shared" si="189"/>
        <v>Sinapi 40819</v>
      </c>
      <c r="I3025" s="101" t="str">
        <f t="shared" si="190"/>
        <v>MES</v>
      </c>
      <c r="J3025" s="140" t="str">
        <f t="shared" si="191"/>
        <v>MESTRE DE OBRAS (MENSALISTA)</v>
      </c>
    </row>
    <row r="3026" spans="1:10" x14ac:dyDescent="0.25">
      <c r="A3026" s="169">
        <v>34361</v>
      </c>
      <c r="B3026" s="169" t="s">
        <v>26501</v>
      </c>
      <c r="C3026" s="169" t="s">
        <v>10231</v>
      </c>
      <c r="D3026" s="169" t="s">
        <v>1289</v>
      </c>
      <c r="E3026" s="103" t="s">
        <v>15779</v>
      </c>
      <c r="F3026" s="104"/>
      <c r="G3026" s="105">
        <f t="shared" si="188"/>
        <v>20.190000000000001</v>
      </c>
      <c r="H3026" s="101" t="str">
        <f t="shared" si="189"/>
        <v>Sinapi 34361</v>
      </c>
      <c r="I3026" s="101" t="str">
        <f t="shared" si="190"/>
        <v>KG</v>
      </c>
      <c r="J3026" s="140" t="str">
        <f t="shared" si="191"/>
        <v>METACAULIM DE ALTA REATIVIDADE/CAULIM CALCINADO</v>
      </c>
    </row>
    <row r="3027" spans="1:10" x14ac:dyDescent="0.25">
      <c r="A3027" s="169">
        <v>36512</v>
      </c>
      <c r="B3027" s="169" t="s">
        <v>26502</v>
      </c>
      <c r="C3027" s="169" t="s">
        <v>10225</v>
      </c>
      <c r="D3027" s="169" t="s">
        <v>1290</v>
      </c>
      <c r="E3027" s="103" t="s">
        <v>30758</v>
      </c>
      <c r="F3027" s="104"/>
      <c r="G3027" s="105">
        <f t="shared" si="188"/>
        <v>20394.650000000001</v>
      </c>
      <c r="H3027" s="101" t="str">
        <f t="shared" si="189"/>
        <v>Sinapi 36512</v>
      </c>
      <c r="I3027" s="101" t="str">
        <f t="shared" si="190"/>
        <v>UN</v>
      </c>
      <c r="J3027" s="140" t="str">
        <f t="shared" si="191"/>
        <v>MICRO-TRATOR CORTADOR DE GRAMA COM LARGURA DO CORTE DE 107 CM, COM 2 LAMINAS E DESCARTE LATERAL</v>
      </c>
    </row>
    <row r="3028" spans="1:10" x14ac:dyDescent="0.25">
      <c r="A3028" s="169">
        <v>44478</v>
      </c>
      <c r="B3028" s="169" t="s">
        <v>26503</v>
      </c>
      <c r="C3028" s="169" t="s">
        <v>10231</v>
      </c>
      <c r="D3028" s="169" t="s">
        <v>1289</v>
      </c>
      <c r="E3028" s="103" t="s">
        <v>30759</v>
      </c>
      <c r="F3028" s="104"/>
      <c r="G3028" s="105">
        <f t="shared" si="188"/>
        <v>20.83</v>
      </c>
      <c r="H3028" s="101" t="str">
        <f t="shared" si="189"/>
        <v>Sinapi 44478</v>
      </c>
      <c r="I3028" s="101" t="str">
        <f t="shared" si="190"/>
        <v>KG</v>
      </c>
      <c r="J3028" s="140" t="str">
        <f t="shared" si="191"/>
        <v>MICROESFERAS DE VIDRO PARA SINALIZACAO HORIZONTAL VIARIA, TIPO I-B (PREMIX) - NBR 16184</v>
      </c>
    </row>
    <row r="3029" spans="1:10" x14ac:dyDescent="0.25">
      <c r="A3029" s="169">
        <v>44477</v>
      </c>
      <c r="B3029" s="169" t="s">
        <v>26504</v>
      </c>
      <c r="C3029" s="169" t="s">
        <v>10231</v>
      </c>
      <c r="D3029" s="169" t="s">
        <v>1289</v>
      </c>
      <c r="E3029" s="103" t="s">
        <v>30759</v>
      </c>
      <c r="F3029" s="104"/>
      <c r="G3029" s="105">
        <f t="shared" si="188"/>
        <v>20.83</v>
      </c>
      <c r="H3029" s="101" t="str">
        <f t="shared" si="189"/>
        <v>Sinapi 44477</v>
      </c>
      <c r="I3029" s="101" t="str">
        <f t="shared" si="190"/>
        <v>KG</v>
      </c>
      <c r="J3029" s="140" t="str">
        <f t="shared" si="191"/>
        <v>MICROESFERAS DE VIDRO PARA SINALIZACAO HORIZONTAL VIARIA, TIPO II-A (DROP-ON) - NBR 16184</v>
      </c>
    </row>
    <row r="3030" spans="1:10" x14ac:dyDescent="0.25">
      <c r="A3030" s="169">
        <v>11697</v>
      </c>
      <c r="B3030" s="169" t="s">
        <v>26505</v>
      </c>
      <c r="C3030" s="169" t="s">
        <v>10225</v>
      </c>
      <c r="D3030" s="169" t="s">
        <v>1289</v>
      </c>
      <c r="E3030" s="103" t="s">
        <v>30760</v>
      </c>
      <c r="F3030" s="104"/>
      <c r="G3030" s="105">
        <f t="shared" si="188"/>
        <v>740.65</v>
      </c>
      <c r="H3030" s="101" t="str">
        <f t="shared" si="189"/>
        <v>Sinapi 11697</v>
      </c>
      <c r="I3030" s="101" t="str">
        <f t="shared" si="190"/>
        <v>UN</v>
      </c>
      <c r="J3030" s="140" t="str">
        <f t="shared" si="191"/>
        <v>MICTORIO COLETIVO ACO INOX (AISI 304), E = 0,8 MM, DE *100 X 40 X 30* CM (C X A X P)</v>
      </c>
    </row>
    <row r="3031" spans="1:10" x14ac:dyDescent="0.25">
      <c r="A3031" s="169">
        <v>11698</v>
      </c>
      <c r="B3031" s="169" t="s">
        <v>26506</v>
      </c>
      <c r="C3031" s="169" t="s">
        <v>10225</v>
      </c>
      <c r="D3031" s="169" t="s">
        <v>1289</v>
      </c>
      <c r="E3031" s="103" t="s">
        <v>30761</v>
      </c>
      <c r="F3031" s="104"/>
      <c r="G3031" s="105">
        <f t="shared" si="188"/>
        <v>883.55</v>
      </c>
      <c r="H3031" s="101" t="str">
        <f t="shared" si="189"/>
        <v>Sinapi 11698</v>
      </c>
      <c r="I3031" s="101" t="str">
        <f t="shared" si="190"/>
        <v>UN</v>
      </c>
      <c r="J3031" s="140" t="str">
        <f t="shared" si="191"/>
        <v>MICTORIO COLETIVO ACO INOX (AISI 304), E = 0,8 MM, DE *100 X 50 X 35* CM (C X A X P)</v>
      </c>
    </row>
    <row r="3032" spans="1:10" x14ac:dyDescent="0.25">
      <c r="A3032" s="169">
        <v>11699</v>
      </c>
      <c r="B3032" s="169" t="s">
        <v>26507</v>
      </c>
      <c r="C3032" s="169" t="s">
        <v>10225</v>
      </c>
      <c r="D3032" s="169" t="s">
        <v>1289</v>
      </c>
      <c r="E3032" s="103" t="s">
        <v>30762</v>
      </c>
      <c r="F3032" s="104"/>
      <c r="G3032" s="105">
        <f t="shared" si="188"/>
        <v>976.52</v>
      </c>
      <c r="H3032" s="101" t="str">
        <f t="shared" si="189"/>
        <v>Sinapi 11699</v>
      </c>
      <c r="I3032" s="101" t="str">
        <f t="shared" si="190"/>
        <v>UN</v>
      </c>
      <c r="J3032" s="140" t="str">
        <f t="shared" si="191"/>
        <v>MICTORIO INDIVIDUAL ACO INOX (AISI 304), E = 0,8 MM, DE *50 X 45 X 35* (C X A X P)</v>
      </c>
    </row>
    <row r="3033" spans="1:10" x14ac:dyDescent="0.25">
      <c r="A3033" s="169">
        <v>10432</v>
      </c>
      <c r="B3033" s="169" t="s">
        <v>30763</v>
      </c>
      <c r="C3033" s="169" t="s">
        <v>10225</v>
      </c>
      <c r="D3033" s="169" t="s">
        <v>1289</v>
      </c>
      <c r="E3033" s="103" t="s">
        <v>30764</v>
      </c>
      <c r="F3033" s="104"/>
      <c r="G3033" s="105">
        <f t="shared" si="188"/>
        <v>346.47</v>
      </c>
      <c r="H3033" s="101" t="str">
        <f t="shared" si="189"/>
        <v>Sinapi 10432</v>
      </c>
      <c r="I3033" s="101" t="str">
        <f t="shared" si="190"/>
        <v>UN</v>
      </c>
      <c r="J3033" s="140" t="str">
        <f t="shared" si="191"/>
        <v>MICTORIO INDIVIDUAL, SIFONADO, DE LOUCA BRANCA, SEM COMPLEMENTOS</v>
      </c>
    </row>
    <row r="3034" spans="1:10" x14ac:dyDescent="0.25">
      <c r="A3034" s="169">
        <v>44020</v>
      </c>
      <c r="B3034" s="169" t="s">
        <v>26508</v>
      </c>
      <c r="C3034" s="169" t="s">
        <v>10225</v>
      </c>
      <c r="D3034" s="169" t="s">
        <v>1289</v>
      </c>
      <c r="E3034" s="103" t="s">
        <v>30765</v>
      </c>
      <c r="F3034" s="104"/>
      <c r="G3034" s="105">
        <f t="shared" si="188"/>
        <v>854.79</v>
      </c>
      <c r="H3034" s="101" t="str">
        <f t="shared" si="189"/>
        <v>Sinapi 44020</v>
      </c>
      <c r="I3034" s="101" t="str">
        <f t="shared" si="190"/>
        <v>UN</v>
      </c>
      <c r="J3034" s="140" t="str">
        <f t="shared" si="191"/>
        <v>MICTORIO INDIVIDUAL, SIFONADO, VALVULA EMBUTIDA, DE LOUCA BRANCA, SEM COMPLEMENTOS - PADRAO ALTO</v>
      </c>
    </row>
    <row r="3035" spans="1:10" x14ac:dyDescent="0.25">
      <c r="A3035" s="169">
        <v>41420</v>
      </c>
      <c r="B3035" s="169" t="s">
        <v>26509</v>
      </c>
      <c r="C3035" s="169" t="s">
        <v>10225</v>
      </c>
      <c r="D3035" s="169" t="s">
        <v>1289</v>
      </c>
      <c r="E3035" s="103" t="s">
        <v>19949</v>
      </c>
      <c r="F3035" s="104"/>
      <c r="G3035" s="105">
        <f t="shared" si="188"/>
        <v>10.47</v>
      </c>
      <c r="H3035" s="101" t="str">
        <f t="shared" si="189"/>
        <v>Sinapi 41420</v>
      </c>
      <c r="I3035" s="101" t="str">
        <f t="shared" si="190"/>
        <v>UN</v>
      </c>
      <c r="J3035" s="140" t="str">
        <f t="shared" si="191"/>
        <v>MINICAPTOR, EM ACO GALVANIZADO A FOGO, FIXACAO COM ROSCA SOBERBA OU MECANICA, H=600 MM X DN=10 MM</v>
      </c>
    </row>
    <row r="3036" spans="1:10" x14ac:dyDescent="0.25">
      <c r="A3036" s="169">
        <v>41422</v>
      </c>
      <c r="B3036" s="169" t="s">
        <v>26510</v>
      </c>
      <c r="C3036" s="169" t="s">
        <v>10225</v>
      </c>
      <c r="D3036" s="169" t="s">
        <v>1289</v>
      </c>
      <c r="E3036" s="103" t="s">
        <v>19378</v>
      </c>
      <c r="F3036" s="104"/>
      <c r="G3036" s="105">
        <f t="shared" si="188"/>
        <v>14.29</v>
      </c>
      <c r="H3036" s="101" t="str">
        <f t="shared" si="189"/>
        <v>Sinapi 41422</v>
      </c>
      <c r="I3036" s="101" t="str">
        <f t="shared" si="190"/>
        <v>UN</v>
      </c>
      <c r="J3036" s="140" t="str">
        <f t="shared" si="191"/>
        <v>MINICAPTOR, EM ACO GALVANIZADO A FOGO, FIXACAO HORIZONTAL COM BANDEIRA A 20 CM, H=600 MM E X DN=10 MM</v>
      </c>
    </row>
    <row r="3037" spans="1:10" x14ac:dyDescent="0.25">
      <c r="A3037" s="169">
        <v>41425</v>
      </c>
      <c r="B3037" s="169" t="s">
        <v>26511</v>
      </c>
      <c r="C3037" s="169" t="s">
        <v>10225</v>
      </c>
      <c r="D3037" s="169" t="s">
        <v>1289</v>
      </c>
      <c r="E3037" s="103" t="s">
        <v>29540</v>
      </c>
      <c r="F3037" s="104"/>
      <c r="G3037" s="105">
        <f t="shared" si="188"/>
        <v>7.31</v>
      </c>
      <c r="H3037" s="101" t="str">
        <f t="shared" si="189"/>
        <v>Sinapi 41425</v>
      </c>
      <c r="I3037" s="101" t="str">
        <f t="shared" si="190"/>
        <v>UN</v>
      </c>
      <c r="J3037" s="140" t="str">
        <f t="shared" si="191"/>
        <v>MINICAPTOR, EM ACO GALVANIZADO A FOGO, FIXACAO HORIZONTAL DE 1 FUROS, SEM BANDEIRA, H=300 MM X DN=10 MM</v>
      </c>
    </row>
    <row r="3038" spans="1:10" x14ac:dyDescent="0.25">
      <c r="A3038" s="169">
        <v>41426</v>
      </c>
      <c r="B3038" s="169" t="s">
        <v>26512</v>
      </c>
      <c r="C3038" s="169" t="s">
        <v>10225</v>
      </c>
      <c r="D3038" s="169" t="s">
        <v>1289</v>
      </c>
      <c r="E3038" s="103" t="s">
        <v>22889</v>
      </c>
      <c r="F3038" s="104"/>
      <c r="G3038" s="105">
        <f t="shared" si="188"/>
        <v>13.19</v>
      </c>
      <c r="H3038" s="101" t="str">
        <f t="shared" si="189"/>
        <v>Sinapi 41426</v>
      </c>
      <c r="I3038" s="101" t="str">
        <f t="shared" si="190"/>
        <v>UN</v>
      </c>
      <c r="J3038" s="140" t="str">
        <f t="shared" si="191"/>
        <v>MINICAPTOR, EM ACO GALVANIZADO A FOGO, FIXACAO HORIZONTAL DE 2 FUROS, SEM BANDEIRA, H=600 MM X DN=10 MM</v>
      </c>
    </row>
    <row r="3039" spans="1:10" x14ac:dyDescent="0.25">
      <c r="A3039" s="169">
        <v>41419</v>
      </c>
      <c r="B3039" s="169" t="s">
        <v>26513</v>
      </c>
      <c r="C3039" s="169" t="s">
        <v>10225</v>
      </c>
      <c r="D3039" s="169" t="s">
        <v>1289</v>
      </c>
      <c r="E3039" s="103" t="s">
        <v>18694</v>
      </c>
      <c r="F3039" s="104"/>
      <c r="G3039" s="105">
        <f t="shared" si="188"/>
        <v>7.69</v>
      </c>
      <c r="H3039" s="101" t="str">
        <f t="shared" si="189"/>
        <v>Sinapi 41419</v>
      </c>
      <c r="I3039" s="101" t="str">
        <f t="shared" si="190"/>
        <v>UN</v>
      </c>
      <c r="J3039" s="140" t="str">
        <f t="shared" si="191"/>
        <v>MINICAPTOR, EM ACO GALVANIZADO A FOGO,Â  FIXACAO COM ROSCA SOBERBA OU MECANICA, H=300 MM X DN=10 MM</v>
      </c>
    </row>
    <row r="3040" spans="1:10" x14ac:dyDescent="0.25">
      <c r="A3040" s="169">
        <v>41421</v>
      </c>
      <c r="B3040" s="169" t="s">
        <v>26514</v>
      </c>
      <c r="C3040" s="169" t="s">
        <v>10225</v>
      </c>
      <c r="D3040" s="169" t="s">
        <v>1289</v>
      </c>
      <c r="E3040" s="103" t="s">
        <v>17300</v>
      </c>
      <c r="F3040" s="104"/>
      <c r="G3040" s="105">
        <f t="shared" si="188"/>
        <v>10.44</v>
      </c>
      <c r="H3040" s="101" t="str">
        <f t="shared" si="189"/>
        <v>Sinapi 41421</v>
      </c>
      <c r="I3040" s="101" t="str">
        <f t="shared" si="190"/>
        <v>UN</v>
      </c>
      <c r="J3040" s="140" t="str">
        <f t="shared" si="191"/>
        <v>MINICAPTOR, EM ACO GALVANIZADO A FOGO,Â  FIXACAO HORIZONTAL COM BANDEIRA A 20 CM, H=300 MM E X DN=10 MM</v>
      </c>
    </row>
    <row r="3041" spans="1:10" x14ac:dyDescent="0.25">
      <c r="A3041" s="169">
        <v>41414</v>
      </c>
      <c r="B3041" s="169" t="s">
        <v>26515</v>
      </c>
      <c r="C3041" s="169" t="s">
        <v>10225</v>
      </c>
      <c r="D3041" s="169" t="s">
        <v>1289</v>
      </c>
      <c r="E3041" s="103" t="s">
        <v>30698</v>
      </c>
      <c r="F3041" s="104"/>
      <c r="G3041" s="105">
        <f t="shared" si="188"/>
        <v>24.21</v>
      </c>
      <c r="H3041" s="101" t="str">
        <f t="shared" si="189"/>
        <v>Sinapi 41414</v>
      </c>
      <c r="I3041" s="101" t="str">
        <f t="shared" si="190"/>
        <v>UN</v>
      </c>
      <c r="J3041" s="140" t="str">
        <f t="shared" si="191"/>
        <v>MINICAPTORES DE INSERCAO, EM ACO GALVANIZADO A FOGO, H=300 MM X DN=10 MM</v>
      </c>
    </row>
    <row r="3042" spans="1:10" x14ac:dyDescent="0.25">
      <c r="A3042" s="169">
        <v>41415</v>
      </c>
      <c r="B3042" s="169" t="s">
        <v>26516</v>
      </c>
      <c r="C3042" s="169" t="s">
        <v>10225</v>
      </c>
      <c r="D3042" s="169" t="s">
        <v>1289</v>
      </c>
      <c r="E3042" s="103" t="s">
        <v>19387</v>
      </c>
      <c r="F3042" s="104"/>
      <c r="G3042" s="105">
        <f t="shared" si="188"/>
        <v>28.19</v>
      </c>
      <c r="H3042" s="101" t="str">
        <f t="shared" si="189"/>
        <v>Sinapi 41415</v>
      </c>
      <c r="I3042" s="101" t="str">
        <f t="shared" si="190"/>
        <v>UN</v>
      </c>
      <c r="J3042" s="140" t="str">
        <f t="shared" si="191"/>
        <v>MINICAPTORES DE INSERCAO, EM ACO GALVANIZADO A FOGO, H=600,MM X DN=10,MM</v>
      </c>
    </row>
    <row r="3043" spans="1:10" x14ac:dyDescent="0.25">
      <c r="A3043" s="169">
        <v>37514</v>
      </c>
      <c r="B3043" s="169" t="s">
        <v>26517</v>
      </c>
      <c r="C3043" s="169" t="s">
        <v>10225</v>
      </c>
      <c r="D3043" s="169" t="s">
        <v>1290</v>
      </c>
      <c r="E3043" s="103" t="s">
        <v>26518</v>
      </c>
      <c r="F3043" s="104"/>
      <c r="G3043" s="105">
        <f t="shared" si="188"/>
        <v>320000</v>
      </c>
      <c r="H3043" s="101" t="str">
        <f t="shared" si="189"/>
        <v>Sinapi 37514</v>
      </c>
      <c r="I3043" s="101" t="str">
        <f t="shared" si="190"/>
        <v>UN</v>
      </c>
      <c r="J3043" s="140" t="str">
        <f t="shared" si="191"/>
        <v>MINICARREGADEIRA SOBRE RODAS, POTENCIA LIQUIDA DE *47* HP, CAPACIDADE NOMINAL DE OPERACAO DE *646* KG</v>
      </c>
    </row>
    <row r="3044" spans="1:10" x14ac:dyDescent="0.25">
      <c r="A3044" s="169">
        <v>37519</v>
      </c>
      <c r="B3044" s="169" t="s">
        <v>26519</v>
      </c>
      <c r="C3044" s="169" t="s">
        <v>10225</v>
      </c>
      <c r="D3044" s="169" t="s">
        <v>1290</v>
      </c>
      <c r="E3044" s="103" t="s">
        <v>26520</v>
      </c>
      <c r="F3044" s="104"/>
      <c r="G3044" s="105">
        <f t="shared" si="188"/>
        <v>493853.88</v>
      </c>
      <c r="H3044" s="101" t="str">
        <f t="shared" si="189"/>
        <v>Sinapi 37519</v>
      </c>
      <c r="I3044" s="101" t="str">
        <f t="shared" si="190"/>
        <v>UN</v>
      </c>
      <c r="J3044" s="140" t="str">
        <f t="shared" si="191"/>
        <v>MINICARREGADEIRA SOBRE RODAS, POTENCIA LIQUIDA DE *72* HP, CAPACIDADE NOMINAL DE OPERACAO DE *1200* KG</v>
      </c>
    </row>
    <row r="3045" spans="1:10" x14ac:dyDescent="0.25">
      <c r="A3045" s="169">
        <v>37520</v>
      </c>
      <c r="B3045" s="169" t="s">
        <v>26521</v>
      </c>
      <c r="C3045" s="169" t="s">
        <v>10225</v>
      </c>
      <c r="D3045" s="169" t="s">
        <v>1290</v>
      </c>
      <c r="E3045" s="103" t="s">
        <v>26522</v>
      </c>
      <c r="F3045" s="104"/>
      <c r="G3045" s="105">
        <f t="shared" si="188"/>
        <v>485757.92</v>
      </c>
      <c r="H3045" s="101" t="str">
        <f t="shared" si="189"/>
        <v>Sinapi 37520</v>
      </c>
      <c r="I3045" s="101" t="str">
        <f t="shared" si="190"/>
        <v>UN</v>
      </c>
      <c r="J3045" s="140" t="str">
        <f t="shared" si="191"/>
        <v>MINIESCAVADEIRA SOBRE ESTEIRAS, POTENCIA LIQUIDA DE *30* HP, PESO OPERACIONAL DE *3.500* KG</v>
      </c>
    </row>
    <row r="3046" spans="1:10" x14ac:dyDescent="0.25">
      <c r="A3046" s="169">
        <v>37521</v>
      </c>
      <c r="B3046" s="169" t="s">
        <v>26523</v>
      </c>
      <c r="C3046" s="169" t="s">
        <v>10225</v>
      </c>
      <c r="D3046" s="169" t="s">
        <v>1290</v>
      </c>
      <c r="E3046" s="103" t="s">
        <v>26524</v>
      </c>
      <c r="F3046" s="104"/>
      <c r="G3046" s="105">
        <f t="shared" si="188"/>
        <v>592624.67000000004</v>
      </c>
      <c r="H3046" s="101" t="str">
        <f t="shared" si="189"/>
        <v>Sinapi 37521</v>
      </c>
      <c r="I3046" s="101" t="str">
        <f t="shared" si="190"/>
        <v>UN</v>
      </c>
      <c r="J3046" s="140" t="str">
        <f t="shared" si="191"/>
        <v>MINIESCAVADEIRA SOBRE ESTEIRAS, POTENCIA LIQUIDA DE *42* HP, PESO OPERACIONAL DE *4.500* KG</v>
      </c>
    </row>
    <row r="3047" spans="1:10" x14ac:dyDescent="0.25">
      <c r="A3047" s="169">
        <v>37522</v>
      </c>
      <c r="B3047" s="169" t="s">
        <v>26525</v>
      </c>
      <c r="C3047" s="169" t="s">
        <v>10225</v>
      </c>
      <c r="D3047" s="169" t="s">
        <v>1290</v>
      </c>
      <c r="E3047" s="103" t="s">
        <v>26526</v>
      </c>
      <c r="F3047" s="104"/>
      <c r="G3047" s="105">
        <f t="shared" si="188"/>
        <v>610454.24</v>
      </c>
      <c r="H3047" s="101" t="str">
        <f t="shared" si="189"/>
        <v>Sinapi 37522</v>
      </c>
      <c r="I3047" s="101" t="str">
        <f t="shared" si="190"/>
        <v>UN</v>
      </c>
      <c r="J3047" s="140" t="str">
        <f t="shared" si="191"/>
        <v>MINIESCAVADEIRA SOBRE ESTEIRAS, POTENCIA LIQUIDA DE *42* HP, PESO OPERACIONAL DE *5.300* KG</v>
      </c>
    </row>
    <row r="3048" spans="1:10" x14ac:dyDescent="0.25">
      <c r="A3048" s="169">
        <v>21109</v>
      </c>
      <c r="B3048" s="169" t="s">
        <v>26527</v>
      </c>
      <c r="C3048" s="169" t="s">
        <v>10225</v>
      </c>
      <c r="D3048" s="169" t="s">
        <v>1290</v>
      </c>
      <c r="E3048" s="103" t="s">
        <v>26528</v>
      </c>
      <c r="F3048" s="104"/>
      <c r="G3048" s="105">
        <f t="shared" si="188"/>
        <v>71.48</v>
      </c>
      <c r="H3048" s="101" t="str">
        <f t="shared" si="189"/>
        <v>Sinapi 21109</v>
      </c>
      <c r="I3048" s="101" t="str">
        <f t="shared" si="190"/>
        <v>UN</v>
      </c>
      <c r="J3048" s="140" t="str">
        <f t="shared" si="191"/>
        <v>MINUTERIA ELETRONICA COLETIVA COM POTENCIA MAXIMA RESISTIVA PARA LAMPADAS FLUORESCENTES DE *300* W ( 110 V ) / *600* W ( 110 V )</v>
      </c>
    </row>
    <row r="3049" spans="1:10" x14ac:dyDescent="0.25">
      <c r="A3049" s="169">
        <v>37546</v>
      </c>
      <c r="B3049" s="169" t="s">
        <v>26529</v>
      </c>
      <c r="C3049" s="169" t="s">
        <v>10225</v>
      </c>
      <c r="D3049" s="169" t="s">
        <v>1289</v>
      </c>
      <c r="E3049" s="103" t="s">
        <v>30766</v>
      </c>
      <c r="F3049" s="104"/>
      <c r="G3049" s="105">
        <f t="shared" si="188"/>
        <v>15608.76</v>
      </c>
      <c r="H3049" s="101" t="str">
        <f t="shared" si="189"/>
        <v>Sinapi 37546</v>
      </c>
      <c r="I3049" s="101" t="str">
        <f t="shared" si="190"/>
        <v>UN</v>
      </c>
      <c r="J3049" s="140" t="str">
        <f t="shared" si="191"/>
        <v>MISTURADOR DE ARGAMASSA, EIXO HORIZONTAL, CAPACIDADE DE MISTURA 160 KG, MOTOR ELETRICO TRIFASICO 220/380 V, POTENCIA 3 CV</v>
      </c>
    </row>
    <row r="3050" spans="1:10" x14ac:dyDescent="0.25">
      <c r="A3050" s="169">
        <v>37544</v>
      </c>
      <c r="B3050" s="169" t="s">
        <v>26530</v>
      </c>
      <c r="C3050" s="169" t="s">
        <v>10225</v>
      </c>
      <c r="D3050" s="169" t="s">
        <v>1289</v>
      </c>
      <c r="E3050" s="103" t="s">
        <v>30767</v>
      </c>
      <c r="F3050" s="104"/>
      <c r="G3050" s="105">
        <f t="shared" si="188"/>
        <v>16508.89</v>
      </c>
      <c r="H3050" s="101" t="str">
        <f t="shared" si="189"/>
        <v>Sinapi 37544</v>
      </c>
      <c r="I3050" s="101" t="str">
        <f t="shared" si="190"/>
        <v>UN</v>
      </c>
      <c r="J3050" s="140" t="str">
        <f t="shared" si="191"/>
        <v>MISTURADOR DE ARGAMASSA, EIXO HORIZONTAL, CAPACIDADE DE MISTURA 300 KG, MOTOR ELETRICO TRIFASICO 220/380 V, POTENCIA 5 CV</v>
      </c>
    </row>
    <row r="3051" spans="1:10" x14ac:dyDescent="0.25">
      <c r="A3051" s="169">
        <v>37545</v>
      </c>
      <c r="B3051" s="169" t="s">
        <v>26531</v>
      </c>
      <c r="C3051" s="169" t="s">
        <v>10225</v>
      </c>
      <c r="D3051" s="169" t="s">
        <v>1289</v>
      </c>
      <c r="E3051" s="103" t="s">
        <v>30768</v>
      </c>
      <c r="F3051" s="104"/>
      <c r="G3051" s="105">
        <f t="shared" si="188"/>
        <v>19643.36</v>
      </c>
      <c r="H3051" s="101" t="str">
        <f t="shared" si="189"/>
        <v>Sinapi 37545</v>
      </c>
      <c r="I3051" s="101" t="str">
        <f t="shared" si="190"/>
        <v>UN</v>
      </c>
      <c r="J3051" s="140" t="str">
        <f t="shared" si="191"/>
        <v>MISTURADOR DE ARGAMASSA, EIXO HORIZONTAL, CAPACIDADE DE MISTURA 600 KG, MOTOR ELETRICO TRIFASICO 220/380 V, POTENCIA 7,5 CV</v>
      </c>
    </row>
    <row r="3052" spans="1:10" x14ac:dyDescent="0.25">
      <c r="A3052" s="169">
        <v>36793</v>
      </c>
      <c r="B3052" s="169" t="s">
        <v>26532</v>
      </c>
      <c r="C3052" s="169" t="s">
        <v>10225</v>
      </c>
      <c r="D3052" s="169" t="s">
        <v>1289</v>
      </c>
      <c r="E3052" s="103" t="s">
        <v>30769</v>
      </c>
      <c r="F3052" s="104"/>
      <c r="G3052" s="105">
        <f t="shared" si="188"/>
        <v>549.37</v>
      </c>
      <c r="H3052" s="101" t="str">
        <f t="shared" si="189"/>
        <v>Sinapi 36793</v>
      </c>
      <c r="I3052" s="101" t="str">
        <f t="shared" si="190"/>
        <v>UN</v>
      </c>
      <c r="J3052" s="140" t="str">
        <f t="shared" si="191"/>
        <v>MISTURADOR DE METAL CROMADO DE PAREDE PARA LAVATORIO (REF 1878)</v>
      </c>
    </row>
    <row r="3053" spans="1:10" x14ac:dyDescent="0.25">
      <c r="A3053" s="169">
        <v>11769</v>
      </c>
      <c r="B3053" s="169" t="s">
        <v>26533</v>
      </c>
      <c r="C3053" s="169" t="s">
        <v>10225</v>
      </c>
      <c r="D3053" s="169" t="s">
        <v>1289</v>
      </c>
      <c r="E3053" s="103" t="s">
        <v>30770</v>
      </c>
      <c r="F3053" s="104"/>
      <c r="G3053" s="105">
        <f t="shared" si="188"/>
        <v>242.78</v>
      </c>
      <c r="H3053" s="101" t="str">
        <f t="shared" si="189"/>
        <v>Sinapi 11769</v>
      </c>
      <c r="I3053" s="101" t="str">
        <f t="shared" si="190"/>
        <v>UN</v>
      </c>
      <c r="J3053" s="140" t="str">
        <f t="shared" si="191"/>
        <v>MISTURADOR DE METAL CROMADO, DE MESA/BANCADA, COM BICA BAIXA, PARA LAVATORIO (REF 1875)</v>
      </c>
    </row>
    <row r="3054" spans="1:10" x14ac:dyDescent="0.25">
      <c r="A3054" s="169">
        <v>11771</v>
      </c>
      <c r="B3054" s="169" t="s">
        <v>26534</v>
      </c>
      <c r="C3054" s="169" t="s">
        <v>10225</v>
      </c>
      <c r="D3054" s="169" t="s">
        <v>1289</v>
      </c>
      <c r="E3054" s="103" t="s">
        <v>30771</v>
      </c>
      <c r="F3054" s="104"/>
      <c r="G3054" s="105">
        <f t="shared" si="188"/>
        <v>297.37</v>
      </c>
      <c r="H3054" s="101" t="str">
        <f t="shared" si="189"/>
        <v>Sinapi 11771</v>
      </c>
      <c r="I3054" s="101" t="str">
        <f t="shared" si="190"/>
        <v>UN</v>
      </c>
      <c r="J3054" s="140" t="str">
        <f t="shared" si="191"/>
        <v>MISTURADOR DE PAREDE, DE METAL CROMADO, PARA COZINHA, BICA ALTA MOVEL, COM AREJADOR ARTICULADO (REF 1258)</v>
      </c>
    </row>
    <row r="3055" spans="1:10" x14ac:dyDescent="0.25">
      <c r="A3055" s="169">
        <v>39919</v>
      </c>
      <c r="B3055" s="169" t="s">
        <v>26535</v>
      </c>
      <c r="C3055" s="169" t="s">
        <v>10225</v>
      </c>
      <c r="D3055" s="169" t="s">
        <v>1289</v>
      </c>
      <c r="E3055" s="103" t="s">
        <v>30772</v>
      </c>
      <c r="F3055" s="104"/>
      <c r="G3055" s="105">
        <f t="shared" si="188"/>
        <v>78130.48</v>
      </c>
      <c r="H3055" s="101" t="str">
        <f t="shared" si="189"/>
        <v>Sinapi 39919</v>
      </c>
      <c r="I3055" s="101" t="str">
        <f t="shared" si="190"/>
        <v>UN</v>
      </c>
      <c r="J3055" s="140" t="str">
        <f t="shared" si="191"/>
        <v>MISTURADOR DUPLO HORIZONTAL DE ALTA TURBULENCIA, CAPACIDADE / VOLUME 2 X 500 LITROS, MOTORES ELETRICOS MINIMO 5 CV CADA, PARA NATA CIMENTO, ARGAMASSA E OUTROS</v>
      </c>
    </row>
    <row r="3056" spans="1:10" x14ac:dyDescent="0.25">
      <c r="A3056" s="169">
        <v>38385</v>
      </c>
      <c r="B3056" s="169" t="s">
        <v>26536</v>
      </c>
      <c r="C3056" s="169" t="s">
        <v>10225</v>
      </c>
      <c r="D3056" s="169" t="s">
        <v>1289</v>
      </c>
      <c r="E3056" s="103" t="s">
        <v>30773</v>
      </c>
      <c r="F3056" s="104"/>
      <c r="G3056" s="105">
        <f t="shared" si="188"/>
        <v>50.4</v>
      </c>
      <c r="H3056" s="101" t="str">
        <f t="shared" si="189"/>
        <v>Sinapi 38385</v>
      </c>
      <c r="I3056" s="101" t="str">
        <f t="shared" si="190"/>
        <v>UN</v>
      </c>
      <c r="J3056" s="140" t="str">
        <f t="shared" si="191"/>
        <v>MISTURADOR MANUAL DE TINTAS PARA FURADEIRA, HASTE METALICA *60* CM, COM HELICE (MEXEDOR DE TINTA)</v>
      </c>
    </row>
    <row r="3057" spans="1:10" x14ac:dyDescent="0.25">
      <c r="A3057" s="169">
        <v>36800</v>
      </c>
      <c r="B3057" s="169" t="s">
        <v>26537</v>
      </c>
      <c r="C3057" s="169" t="s">
        <v>10225</v>
      </c>
      <c r="D3057" s="169" t="s">
        <v>1289</v>
      </c>
      <c r="E3057" s="103" t="s">
        <v>30774</v>
      </c>
      <c r="F3057" s="104"/>
      <c r="G3057" s="105">
        <f t="shared" si="188"/>
        <v>145.88</v>
      </c>
      <c r="H3057" s="101" t="str">
        <f t="shared" si="189"/>
        <v>Sinapi 36800</v>
      </c>
      <c r="I3057" s="101" t="str">
        <f t="shared" si="190"/>
        <v>UN</v>
      </c>
      <c r="J3057" s="140" t="str">
        <f t="shared" si="191"/>
        <v>MISTURADOR METALICO, BASE PARA CHUVEIRO/BANHEIRA, 1/2 " OU 3/4 ", SOLDAVEL OU ROSCAVEL (NAO INCLUI ACABAMENTOS)</v>
      </c>
    </row>
    <row r="3058" spans="1:10" x14ac:dyDescent="0.25">
      <c r="A3058" s="169">
        <v>37587</v>
      </c>
      <c r="B3058" s="169" t="s">
        <v>26538</v>
      </c>
      <c r="C3058" s="169" t="s">
        <v>10225</v>
      </c>
      <c r="D3058" s="169" t="s">
        <v>1289</v>
      </c>
      <c r="E3058" s="103" t="s">
        <v>30775</v>
      </c>
      <c r="F3058" s="104"/>
      <c r="G3058" s="105">
        <f t="shared" si="188"/>
        <v>320.5</v>
      </c>
      <c r="H3058" s="101" t="str">
        <f t="shared" si="189"/>
        <v>Sinapi 37587</v>
      </c>
      <c r="I3058" s="101" t="str">
        <f t="shared" si="190"/>
        <v>UN</v>
      </c>
      <c r="J3058" s="140" t="str">
        <f t="shared" si="191"/>
        <v>MISTURADOR MONOCOMANDO PARA CHUVEIRO, BASE BRUTA, METALICO COM ACABAMENTO CROMADO</v>
      </c>
    </row>
    <row r="3059" spans="1:10" x14ac:dyDescent="0.25">
      <c r="A3059" s="169">
        <v>11561</v>
      </c>
      <c r="B3059" s="169" t="s">
        <v>26539</v>
      </c>
      <c r="C3059" s="169" t="s">
        <v>10225</v>
      </c>
      <c r="D3059" s="169" t="s">
        <v>1289</v>
      </c>
      <c r="E3059" s="103" t="s">
        <v>30776</v>
      </c>
      <c r="F3059" s="104"/>
      <c r="G3059" s="105">
        <f t="shared" si="188"/>
        <v>266.33</v>
      </c>
      <c r="H3059" s="101" t="str">
        <f t="shared" si="189"/>
        <v>Sinapi 11561</v>
      </c>
      <c r="I3059" s="101" t="str">
        <f t="shared" si="190"/>
        <v>UN</v>
      </c>
      <c r="J3059" s="140" t="str">
        <f t="shared" si="191"/>
        <v>MOLA HIDRAULICA AEREA, PARA PORTAS DE ATE 1.100 MM E PESO DE ATE 85 KG, COM CORPO EM ALUMINIO E BRACO EM ACO, SEM BRACO DE PARADA</v>
      </c>
    </row>
    <row r="3060" spans="1:10" x14ac:dyDescent="0.25">
      <c r="A3060" s="169">
        <v>43604</v>
      </c>
      <c r="B3060" s="169" t="s">
        <v>26540</v>
      </c>
      <c r="C3060" s="169" t="s">
        <v>10225</v>
      </c>
      <c r="D3060" s="169" t="s">
        <v>1289</v>
      </c>
      <c r="E3060" s="103" t="s">
        <v>30777</v>
      </c>
      <c r="F3060" s="104"/>
      <c r="G3060" s="105">
        <f t="shared" si="188"/>
        <v>141.97999999999999</v>
      </c>
      <c r="H3060" s="101" t="str">
        <f t="shared" si="189"/>
        <v>Sinapi 43604</v>
      </c>
      <c r="I3060" s="101" t="str">
        <f t="shared" si="190"/>
        <v>UN</v>
      </c>
      <c r="J3060" s="140" t="str">
        <f t="shared" si="191"/>
        <v>MOLA HIDRAULICA AEREA, PARA PORTAS DE ATE 850 MM E PESO DE ATE 50 KG, COM CORPO EM ALUMINIO E BRACO EM ACO, SEM BRACO DE PARADA</v>
      </c>
    </row>
    <row r="3061" spans="1:10" x14ac:dyDescent="0.25">
      <c r="A3061" s="169">
        <v>11560</v>
      </c>
      <c r="B3061" s="169" t="s">
        <v>26541</v>
      </c>
      <c r="C3061" s="169" t="s">
        <v>10225</v>
      </c>
      <c r="D3061" s="169" t="s">
        <v>1289</v>
      </c>
      <c r="E3061" s="103" t="s">
        <v>30778</v>
      </c>
      <c r="F3061" s="104"/>
      <c r="G3061" s="105">
        <f t="shared" si="188"/>
        <v>205.57</v>
      </c>
      <c r="H3061" s="101" t="str">
        <f t="shared" si="189"/>
        <v>Sinapi 11560</v>
      </c>
      <c r="I3061" s="101" t="str">
        <f t="shared" si="190"/>
        <v>UN</v>
      </c>
      <c r="J3061" s="140" t="str">
        <f t="shared" si="191"/>
        <v>MOLA HIDRAULICA AEREA, PARA PORTAS DE ATE 950 MM E PESO DE ATE 65 KG, COM CORPO EM ALUMINIO E BRACO EM ACO, SEM BRACO DE PARADA</v>
      </c>
    </row>
    <row r="3062" spans="1:10" x14ac:dyDescent="0.25">
      <c r="A3062" s="169">
        <v>11499</v>
      </c>
      <c r="B3062" s="169" t="s">
        <v>26542</v>
      </c>
      <c r="C3062" s="169" t="s">
        <v>10225</v>
      </c>
      <c r="D3062" s="169" t="s">
        <v>1289</v>
      </c>
      <c r="E3062" s="103" t="s">
        <v>30779</v>
      </c>
      <c r="F3062" s="104"/>
      <c r="G3062" s="105">
        <f t="shared" si="188"/>
        <v>744.64</v>
      </c>
      <c r="H3062" s="101" t="str">
        <f t="shared" si="189"/>
        <v>Sinapi 11499</v>
      </c>
      <c r="I3062" s="101" t="str">
        <f t="shared" si="190"/>
        <v>UN</v>
      </c>
      <c r="J3062" s="140" t="str">
        <f t="shared" si="191"/>
        <v>MOLA HIDRAULICA DE PISO, PARA PORTAS DE ATE 1100 MM E PESO DE ATE 120 KG, COM CORPO EM ACO INOX</v>
      </c>
    </row>
    <row r="3063" spans="1:10" x14ac:dyDescent="0.25">
      <c r="A3063" s="169">
        <v>34761</v>
      </c>
      <c r="B3063" s="169" t="s">
        <v>26543</v>
      </c>
      <c r="C3063" s="169" t="s">
        <v>10228</v>
      </c>
      <c r="D3063" s="169" t="s">
        <v>1289</v>
      </c>
      <c r="E3063" s="103" t="s">
        <v>29375</v>
      </c>
      <c r="F3063" s="104"/>
      <c r="G3063" s="105">
        <f t="shared" si="188"/>
        <v>16.809999999999999</v>
      </c>
      <c r="H3063" s="101" t="str">
        <f t="shared" si="189"/>
        <v>Sinapi 34761</v>
      </c>
      <c r="I3063" s="101" t="str">
        <f t="shared" si="190"/>
        <v>H</v>
      </c>
      <c r="J3063" s="140" t="str">
        <f t="shared" si="191"/>
        <v>MONTADOR DE ELETROELETRONICOS (HORISTA)</v>
      </c>
    </row>
    <row r="3064" spans="1:10" x14ac:dyDescent="0.25">
      <c r="A3064" s="169">
        <v>40924</v>
      </c>
      <c r="B3064" s="169" t="s">
        <v>26544</v>
      </c>
      <c r="C3064" s="169" t="s">
        <v>10235</v>
      </c>
      <c r="D3064" s="169" t="s">
        <v>1289</v>
      </c>
      <c r="E3064" s="103" t="s">
        <v>30780</v>
      </c>
      <c r="F3064" s="104"/>
      <c r="G3064" s="105">
        <f t="shared" si="188"/>
        <v>2926.87</v>
      </c>
      <c r="H3064" s="101" t="str">
        <f t="shared" si="189"/>
        <v>Sinapi 40924</v>
      </c>
      <c r="I3064" s="101" t="str">
        <f t="shared" si="190"/>
        <v>MES</v>
      </c>
      <c r="J3064" s="140" t="str">
        <f t="shared" si="191"/>
        <v>MONTADOR DE ELETROELETRONICOS (MENSALISTA)</v>
      </c>
    </row>
    <row r="3065" spans="1:10" x14ac:dyDescent="0.25">
      <c r="A3065" s="169">
        <v>40983</v>
      </c>
      <c r="B3065" s="169" t="s">
        <v>26545</v>
      </c>
      <c r="C3065" s="169" t="s">
        <v>10235</v>
      </c>
      <c r="D3065" s="169" t="s">
        <v>1289</v>
      </c>
      <c r="E3065" s="103" t="s">
        <v>30781</v>
      </c>
      <c r="F3065" s="104"/>
      <c r="G3065" s="105">
        <f t="shared" si="188"/>
        <v>2961.28</v>
      </c>
      <c r="H3065" s="101" t="str">
        <f t="shared" si="189"/>
        <v>Sinapi 40983</v>
      </c>
      <c r="I3065" s="101" t="str">
        <f t="shared" si="190"/>
        <v>MES</v>
      </c>
      <c r="J3065" s="140" t="str">
        <f t="shared" si="191"/>
        <v>MONTADOR DE ESTRUTURAS METALICAS (MENSALISTA)</v>
      </c>
    </row>
    <row r="3066" spans="1:10" x14ac:dyDescent="0.25">
      <c r="A3066" s="169">
        <v>44497</v>
      </c>
      <c r="B3066" s="169" t="s">
        <v>26546</v>
      </c>
      <c r="C3066" s="169" t="s">
        <v>10228</v>
      </c>
      <c r="D3066" s="169" t="s">
        <v>1289</v>
      </c>
      <c r="E3066" s="103" t="s">
        <v>15784</v>
      </c>
      <c r="F3066" s="104"/>
      <c r="G3066" s="105">
        <f t="shared" si="188"/>
        <v>17.010000000000002</v>
      </c>
      <c r="H3066" s="101" t="str">
        <f t="shared" si="189"/>
        <v>Sinapi 44497</v>
      </c>
      <c r="I3066" s="101" t="str">
        <f t="shared" si="190"/>
        <v>H</v>
      </c>
      <c r="J3066" s="140" t="str">
        <f t="shared" si="191"/>
        <v>MONTADOR DE ESTRUTURAS METALICAS HORISTA</v>
      </c>
    </row>
    <row r="3067" spans="1:10" x14ac:dyDescent="0.25">
      <c r="A3067" s="169">
        <v>2437</v>
      </c>
      <c r="B3067" s="169" t="s">
        <v>26547</v>
      </c>
      <c r="C3067" s="169" t="s">
        <v>10228</v>
      </c>
      <c r="D3067" s="169" t="s">
        <v>1289</v>
      </c>
      <c r="E3067" s="103" t="s">
        <v>22904</v>
      </c>
      <c r="F3067" s="104"/>
      <c r="G3067" s="105">
        <f t="shared" si="188"/>
        <v>21.17</v>
      </c>
      <c r="H3067" s="101" t="str">
        <f t="shared" si="189"/>
        <v>Sinapi 2437</v>
      </c>
      <c r="I3067" s="101" t="str">
        <f t="shared" si="190"/>
        <v>H</v>
      </c>
      <c r="J3067" s="140" t="str">
        <f t="shared" si="191"/>
        <v>MONTADOR DE MAQUINAS (HORISTA)</v>
      </c>
    </row>
    <row r="3068" spans="1:10" x14ac:dyDescent="0.25">
      <c r="A3068" s="169">
        <v>40921</v>
      </c>
      <c r="B3068" s="169" t="s">
        <v>26548</v>
      </c>
      <c r="C3068" s="169" t="s">
        <v>10235</v>
      </c>
      <c r="D3068" s="169" t="s">
        <v>1289</v>
      </c>
      <c r="E3068" s="103" t="s">
        <v>30782</v>
      </c>
      <c r="F3068" s="104"/>
      <c r="G3068" s="105">
        <f t="shared" si="188"/>
        <v>3685.62</v>
      </c>
      <c r="H3068" s="101" t="str">
        <f t="shared" si="189"/>
        <v>Sinapi 40921</v>
      </c>
      <c r="I3068" s="101" t="str">
        <f t="shared" si="190"/>
        <v>MES</v>
      </c>
      <c r="J3068" s="140" t="str">
        <f t="shared" si="191"/>
        <v>MONTADOR DE MAQUINAS (MENSALISTA)</v>
      </c>
    </row>
    <row r="3069" spans="1:10" x14ac:dyDescent="0.25">
      <c r="A3069" s="169">
        <v>14252</v>
      </c>
      <c r="B3069" s="169" t="s">
        <v>26549</v>
      </c>
      <c r="C3069" s="169" t="s">
        <v>10225</v>
      </c>
      <c r="D3069" s="169" t="s">
        <v>1289</v>
      </c>
      <c r="E3069" s="103" t="s">
        <v>30783</v>
      </c>
      <c r="F3069" s="104"/>
      <c r="G3069" s="105">
        <f t="shared" si="188"/>
        <v>3853.97</v>
      </c>
      <c r="H3069" s="101" t="str">
        <f t="shared" si="189"/>
        <v>Sinapi 14252</v>
      </c>
      <c r="I3069" s="101" t="str">
        <f t="shared" si="190"/>
        <v>UN</v>
      </c>
      <c r="J3069" s="140" t="str">
        <f t="shared" si="191"/>
        <v>MOTOBOMBA AUTOESCORVANTE MOTOR A GASOLINA, POTENCIA 6,0HP, BOCAIS 3" X 3", HM/Q = 5 MCA / 24 M3/H A 52,5 MCA / 5,0 M3/H</v>
      </c>
    </row>
    <row r="3070" spans="1:10" x14ac:dyDescent="0.25">
      <c r="A3070" s="169">
        <v>730</v>
      </c>
      <c r="B3070" s="169" t="s">
        <v>26550</v>
      </c>
      <c r="C3070" s="169" t="s">
        <v>10225</v>
      </c>
      <c r="D3070" s="169" t="s">
        <v>1289</v>
      </c>
      <c r="E3070" s="103" t="s">
        <v>30784</v>
      </c>
      <c r="F3070" s="104"/>
      <c r="G3070" s="105">
        <f t="shared" si="188"/>
        <v>10297.09</v>
      </c>
      <c r="H3070" s="101" t="str">
        <f t="shared" si="189"/>
        <v>Sinapi 730</v>
      </c>
      <c r="I3070" s="101" t="str">
        <f t="shared" si="190"/>
        <v>UN</v>
      </c>
      <c r="J3070" s="140" t="str">
        <f t="shared" si="191"/>
        <v>MOTOBOMBA AUTOESCORVANTE MOTOR ELETRICO TRIFASICO 7,4HP BOCA DIAMETRO DE SUCCAO X RECLAQUE: 2"X2", HM/ Q = 10 M / 73,5 M3/H A 28 M / 8,2 M3 /H</v>
      </c>
    </row>
    <row r="3071" spans="1:10" x14ac:dyDescent="0.25">
      <c r="A3071" s="169">
        <v>723</v>
      </c>
      <c r="B3071" s="169" t="s">
        <v>26551</v>
      </c>
      <c r="C3071" s="169" t="s">
        <v>10225</v>
      </c>
      <c r="D3071" s="169" t="s">
        <v>1289</v>
      </c>
      <c r="E3071" s="103" t="s">
        <v>30785</v>
      </c>
      <c r="F3071" s="104"/>
      <c r="G3071" s="105">
        <f t="shared" si="188"/>
        <v>5118.0200000000004</v>
      </c>
      <c r="H3071" s="101" t="str">
        <f t="shared" si="189"/>
        <v>Sinapi 723</v>
      </c>
      <c r="I3071" s="101" t="str">
        <f t="shared" si="190"/>
        <v>UN</v>
      </c>
      <c r="J3071" s="140" t="str">
        <f t="shared" si="191"/>
        <v>MOTOBOMBA AUTOESCORVANTE POTENCIA 5,42 HP, BOCAIS SUCCAO X RECALQUE 2" X 2", A GASOLINA, DIAMETRO DO ROTOR 122 MM HM/Q = 6 MCA / 33,0 M3/H A 28 MCA / 8,0 M3/H</v>
      </c>
    </row>
    <row r="3072" spans="1:10" x14ac:dyDescent="0.25">
      <c r="A3072" s="169">
        <v>36502</v>
      </c>
      <c r="B3072" s="169" t="s">
        <v>26552</v>
      </c>
      <c r="C3072" s="169" t="s">
        <v>10225</v>
      </c>
      <c r="D3072" s="169" t="s">
        <v>1289</v>
      </c>
      <c r="E3072" s="103" t="s">
        <v>30786</v>
      </c>
      <c r="F3072" s="104"/>
      <c r="G3072" s="105">
        <f t="shared" si="188"/>
        <v>4810.33</v>
      </c>
      <c r="H3072" s="101" t="str">
        <f t="shared" si="189"/>
        <v>Sinapi 36502</v>
      </c>
      <c r="I3072" s="101" t="str">
        <f t="shared" si="190"/>
        <v>UN</v>
      </c>
      <c r="J3072" s="140" t="str">
        <f t="shared" si="191"/>
        <v>MOTOBOMBA CENTRIFUGA, MOTOR A GASOLINA, POTENCIA 5,42 HP, BOCAIS 1 1/2" X 1", DIAMETRO ROTOR 143 MM HM/Q = 6 MCA / 16,8 M3/H A 38 MCA / 6,6 M3/H</v>
      </c>
    </row>
    <row r="3073" spans="1:10" x14ac:dyDescent="0.25">
      <c r="A3073" s="169">
        <v>36503</v>
      </c>
      <c r="B3073" s="169" t="s">
        <v>26553</v>
      </c>
      <c r="C3073" s="169" t="s">
        <v>10225</v>
      </c>
      <c r="D3073" s="169" t="s">
        <v>1289</v>
      </c>
      <c r="E3073" s="103" t="s">
        <v>30787</v>
      </c>
      <c r="F3073" s="104"/>
      <c r="G3073" s="105">
        <f t="shared" si="188"/>
        <v>5931.7</v>
      </c>
      <c r="H3073" s="101" t="str">
        <f t="shared" si="189"/>
        <v>Sinapi 36503</v>
      </c>
      <c r="I3073" s="101" t="str">
        <f t="shared" si="190"/>
        <v>UN</v>
      </c>
      <c r="J3073" s="140" t="str">
        <f t="shared" si="191"/>
        <v>MOTOBOMBA TRASH (PARA AGUA SUJA) AUTO ESCORVANTE, MOTOR GASOLINA DE 6,41 HP, DIAMETROS DE SUCCAO X RECALQUE: 3" X 3", HM/Q: 10/60 A 23/0</v>
      </c>
    </row>
    <row r="3074" spans="1:10" x14ac:dyDescent="0.25">
      <c r="A3074" s="169">
        <v>4090</v>
      </c>
      <c r="B3074" s="169" t="s">
        <v>26554</v>
      </c>
      <c r="C3074" s="169" t="s">
        <v>10225</v>
      </c>
      <c r="D3074" s="169" t="s">
        <v>1290</v>
      </c>
      <c r="E3074" s="103" t="s">
        <v>22866</v>
      </c>
      <c r="F3074" s="104"/>
      <c r="G3074" s="105">
        <f t="shared" si="188"/>
        <v>1110000</v>
      </c>
      <c r="H3074" s="101" t="str">
        <f t="shared" si="189"/>
        <v>Sinapi 4090</v>
      </c>
      <c r="I3074" s="101" t="str">
        <f t="shared" si="190"/>
        <v>UN</v>
      </c>
      <c r="J3074" s="140" t="str">
        <f t="shared" si="191"/>
        <v>MOTONIVELADORA POTENCIA BASICA LIQUIDA (PRIMEIRA MARCHA) 125 HP , PESO BRUTO 13843 KG, LARGURA DA LAMINA DE 3,7 M</v>
      </c>
    </row>
    <row r="3075" spans="1:10" x14ac:dyDescent="0.25">
      <c r="A3075" s="169">
        <v>13227</v>
      </c>
      <c r="B3075" s="169" t="s">
        <v>26555</v>
      </c>
      <c r="C3075" s="169" t="s">
        <v>10225</v>
      </c>
      <c r="D3075" s="169" t="s">
        <v>1290</v>
      </c>
      <c r="E3075" s="103" t="s">
        <v>22867</v>
      </c>
      <c r="F3075" s="104"/>
      <c r="G3075" s="105">
        <f t="shared" si="188"/>
        <v>1379313.41</v>
      </c>
      <c r="H3075" s="101" t="str">
        <f t="shared" si="189"/>
        <v>Sinapi 13227</v>
      </c>
      <c r="I3075" s="101" t="str">
        <f t="shared" si="190"/>
        <v>UN</v>
      </c>
      <c r="J3075" s="140" t="str">
        <f t="shared" si="191"/>
        <v>MOTONIVELADORA POTENCIA BASICA LIQUIDA (PRIMEIRA MARCHA) 171 HP, PESO BRUTO 14768 KG, LARGURA DA LAMINA DE 3,7 M</v>
      </c>
    </row>
    <row r="3076" spans="1:10" x14ac:dyDescent="0.25">
      <c r="A3076" s="169">
        <v>10597</v>
      </c>
      <c r="B3076" s="169" t="s">
        <v>26556</v>
      </c>
      <c r="C3076" s="169" t="s">
        <v>10225</v>
      </c>
      <c r="D3076" s="169" t="s">
        <v>1290</v>
      </c>
      <c r="E3076" s="103" t="s">
        <v>22868</v>
      </c>
      <c r="F3076" s="104"/>
      <c r="G3076" s="105">
        <f t="shared" si="188"/>
        <v>1451905.3</v>
      </c>
      <c r="H3076" s="101" t="str">
        <f t="shared" si="189"/>
        <v>Sinapi 10597</v>
      </c>
      <c r="I3076" s="101" t="str">
        <f t="shared" si="190"/>
        <v>UN</v>
      </c>
      <c r="J3076" s="140" t="str">
        <f t="shared" si="191"/>
        <v>MOTONIVELADORA POTENCIA BASICA LIQUIDA (PRIMEIRA MARCHA) 186 HP, PESO BRUTO 15785 KG, LARGURA DA LAMINA DE 4,3 M</v>
      </c>
    </row>
    <row r="3077" spans="1:10" x14ac:dyDescent="0.25">
      <c r="A3077" s="169">
        <v>39628</v>
      </c>
      <c r="B3077" s="169" t="s">
        <v>26557</v>
      </c>
      <c r="C3077" s="169" t="s">
        <v>10225</v>
      </c>
      <c r="D3077" s="169" t="s">
        <v>1290</v>
      </c>
      <c r="E3077" s="103" t="s">
        <v>30788</v>
      </c>
      <c r="F3077" s="104"/>
      <c r="G3077" s="105">
        <f t="shared" si="188"/>
        <v>4176.5</v>
      </c>
      <c r="H3077" s="101" t="str">
        <f t="shared" si="189"/>
        <v>Sinapi 39628</v>
      </c>
      <c r="I3077" s="101" t="str">
        <f t="shared" si="190"/>
        <v>UN</v>
      </c>
      <c r="J3077" s="140" t="str">
        <f t="shared" si="191"/>
        <v>MOTOR A DIESEL PARA VIBRADOR DE IMERSAO, DE *4,7* CV</v>
      </c>
    </row>
    <row r="3078" spans="1:10" x14ac:dyDescent="0.25">
      <c r="A3078" s="169">
        <v>39404</v>
      </c>
      <c r="B3078" s="169" t="s">
        <v>26558</v>
      </c>
      <c r="C3078" s="169" t="s">
        <v>10225</v>
      </c>
      <c r="D3078" s="169" t="s">
        <v>1290</v>
      </c>
      <c r="E3078" s="103" t="s">
        <v>30789</v>
      </c>
      <c r="F3078" s="104"/>
      <c r="G3078" s="105">
        <f t="shared" si="188"/>
        <v>2070.9899999999998</v>
      </c>
      <c r="H3078" s="101" t="str">
        <f t="shared" si="189"/>
        <v>Sinapi 39404</v>
      </c>
      <c r="I3078" s="101" t="str">
        <f t="shared" si="190"/>
        <v>UN</v>
      </c>
      <c r="J3078" s="140" t="str">
        <f t="shared" si="191"/>
        <v>MOTOR A GASOLINA PARA VIBRADOR DE IMERSAO, 4 TEMPOS, DE 5,5 CV</v>
      </c>
    </row>
    <row r="3079" spans="1:10" x14ac:dyDescent="0.25">
      <c r="A3079" s="169">
        <v>39402</v>
      </c>
      <c r="B3079" s="169" t="s">
        <v>26559</v>
      </c>
      <c r="C3079" s="169" t="s">
        <v>10225</v>
      </c>
      <c r="D3079" s="169" t="s">
        <v>1290</v>
      </c>
      <c r="E3079" s="103" t="s">
        <v>30790</v>
      </c>
      <c r="F3079" s="104"/>
      <c r="G3079" s="105">
        <f t="shared" si="188"/>
        <v>1706.1</v>
      </c>
      <c r="H3079" s="101" t="str">
        <f t="shared" si="189"/>
        <v>Sinapi 39402</v>
      </c>
      <c r="I3079" s="101" t="str">
        <f t="shared" si="190"/>
        <v>UN</v>
      </c>
      <c r="J3079" s="140" t="str">
        <f t="shared" si="191"/>
        <v>MOTOR ELETRICO PARA VIBRADOR DE IMERSAO, DE 2 CV, MONOFASICO, 110/220 V</v>
      </c>
    </row>
    <row r="3080" spans="1:10" x14ac:dyDescent="0.25">
      <c r="A3080" s="169">
        <v>39403</v>
      </c>
      <c r="B3080" s="169" t="s">
        <v>26560</v>
      </c>
      <c r="C3080" s="169" t="s">
        <v>10225</v>
      </c>
      <c r="D3080" s="169" t="s">
        <v>1290</v>
      </c>
      <c r="E3080" s="103" t="s">
        <v>30791</v>
      </c>
      <c r="F3080" s="104"/>
      <c r="G3080" s="105">
        <f t="shared" ref="G3080:G3143" si="192">IF(E3080="","",E3080+0)</f>
        <v>1668.99</v>
      </c>
      <c r="H3080" s="101" t="str">
        <f t="shared" ref="H3080:H3143" si="193">IF(G3080="","",TRIM(CONCATENATE("Sinapi ",A3080)))</f>
        <v>Sinapi 39403</v>
      </c>
      <c r="I3080" s="101" t="str">
        <f t="shared" ref="I3080:I3143" si="194">TRIM(C3080)</f>
        <v>UN</v>
      </c>
      <c r="J3080" s="140" t="str">
        <f t="shared" si="191"/>
        <v>MOTOR ELETRICO PARA VIBRADOR DE IMERSAO, DE 2 CV, TRIFASICO, 220/380 V</v>
      </c>
    </row>
    <row r="3081" spans="1:10" x14ac:dyDescent="0.25">
      <c r="A3081" s="169">
        <v>4093</v>
      </c>
      <c r="B3081" s="169" t="s">
        <v>26561</v>
      </c>
      <c r="C3081" s="169" t="s">
        <v>10228</v>
      </c>
      <c r="D3081" s="169" t="s">
        <v>1288</v>
      </c>
      <c r="E3081" s="103" t="s">
        <v>27635</v>
      </c>
      <c r="F3081" s="104"/>
      <c r="G3081" s="105">
        <f t="shared" si="192"/>
        <v>19.86</v>
      </c>
      <c r="H3081" s="101" t="str">
        <f t="shared" si="193"/>
        <v>Sinapi 4093</v>
      </c>
      <c r="I3081" s="101" t="str">
        <f t="shared" si="194"/>
        <v>H</v>
      </c>
      <c r="J3081" s="140" t="str">
        <f t="shared" ref="J3081:J3144" si="195">TRIM(B3081)</f>
        <v>MOTORISTA DE CAMINHAO (HORISTA)</v>
      </c>
    </row>
    <row r="3082" spans="1:10" x14ac:dyDescent="0.25">
      <c r="A3082" s="169">
        <v>10512</v>
      </c>
      <c r="B3082" s="169" t="s">
        <v>26562</v>
      </c>
      <c r="C3082" s="169" t="s">
        <v>10235</v>
      </c>
      <c r="D3082" s="169" t="s">
        <v>1289</v>
      </c>
      <c r="E3082" s="103" t="s">
        <v>29669</v>
      </c>
      <c r="F3082" s="104"/>
      <c r="G3082" s="105">
        <f t="shared" si="192"/>
        <v>3455.98</v>
      </c>
      <c r="H3082" s="101" t="str">
        <f t="shared" si="193"/>
        <v>Sinapi 10512</v>
      </c>
      <c r="I3082" s="101" t="str">
        <f t="shared" si="194"/>
        <v>MES</v>
      </c>
      <c r="J3082" s="140" t="str">
        <f t="shared" si="195"/>
        <v>MOTORISTA DE CAMINHAO (MENSALISTA)</v>
      </c>
    </row>
    <row r="3083" spans="1:10" x14ac:dyDescent="0.25">
      <c r="A3083" s="169">
        <v>20020</v>
      </c>
      <c r="B3083" s="169" t="s">
        <v>26563</v>
      </c>
      <c r="C3083" s="169" t="s">
        <v>10228</v>
      </c>
      <c r="D3083" s="169" t="s">
        <v>1289</v>
      </c>
      <c r="E3083" s="103" t="s">
        <v>22100</v>
      </c>
      <c r="F3083" s="104"/>
      <c r="G3083" s="105">
        <f t="shared" si="192"/>
        <v>20.64</v>
      </c>
      <c r="H3083" s="101" t="str">
        <f t="shared" si="193"/>
        <v>Sinapi 20020</v>
      </c>
      <c r="I3083" s="101" t="str">
        <f t="shared" si="194"/>
        <v>H</v>
      </c>
      <c r="J3083" s="140" t="str">
        <f t="shared" si="195"/>
        <v>MOTORISTA DE CAMINHAO-BASCULANTE (HORISTA)</v>
      </c>
    </row>
    <row r="3084" spans="1:10" x14ac:dyDescent="0.25">
      <c r="A3084" s="169">
        <v>41038</v>
      </c>
      <c r="B3084" s="169" t="s">
        <v>26564</v>
      </c>
      <c r="C3084" s="169" t="s">
        <v>10235</v>
      </c>
      <c r="D3084" s="169" t="s">
        <v>1289</v>
      </c>
      <c r="E3084" s="103" t="s">
        <v>30792</v>
      </c>
      <c r="F3084" s="104"/>
      <c r="G3084" s="105">
        <f t="shared" si="192"/>
        <v>3591.47</v>
      </c>
      <c r="H3084" s="101" t="str">
        <f t="shared" si="193"/>
        <v>Sinapi 41038</v>
      </c>
      <c r="I3084" s="101" t="str">
        <f t="shared" si="194"/>
        <v>MES</v>
      </c>
      <c r="J3084" s="140" t="str">
        <f t="shared" si="195"/>
        <v>MOTORISTA DE CAMINHAO-BASCULANTE (MENSALISTA)</v>
      </c>
    </row>
    <row r="3085" spans="1:10" x14ac:dyDescent="0.25">
      <c r="A3085" s="169">
        <v>4094</v>
      </c>
      <c r="B3085" s="169" t="s">
        <v>26565</v>
      </c>
      <c r="C3085" s="169" t="s">
        <v>10228</v>
      </c>
      <c r="D3085" s="169" t="s">
        <v>1289</v>
      </c>
      <c r="E3085" s="103" t="s">
        <v>21882</v>
      </c>
      <c r="F3085" s="104"/>
      <c r="G3085" s="105">
        <f t="shared" si="192"/>
        <v>24.69</v>
      </c>
      <c r="H3085" s="101" t="str">
        <f t="shared" si="193"/>
        <v>Sinapi 4094</v>
      </c>
      <c r="I3085" s="101" t="str">
        <f t="shared" si="194"/>
        <v>H</v>
      </c>
      <c r="J3085" s="140" t="str">
        <f t="shared" si="195"/>
        <v>MOTORISTA DE CAMINHAO-CARRETA (HORISTA)</v>
      </c>
    </row>
    <row r="3086" spans="1:10" x14ac:dyDescent="0.25">
      <c r="A3086" s="169">
        <v>40988</v>
      </c>
      <c r="B3086" s="169" t="s">
        <v>26566</v>
      </c>
      <c r="C3086" s="169" t="s">
        <v>10235</v>
      </c>
      <c r="D3086" s="169" t="s">
        <v>1289</v>
      </c>
      <c r="E3086" s="103" t="s">
        <v>30793</v>
      </c>
      <c r="F3086" s="104"/>
      <c r="G3086" s="105">
        <f t="shared" si="192"/>
        <v>4298.6099999999997</v>
      </c>
      <c r="H3086" s="101" t="str">
        <f t="shared" si="193"/>
        <v>Sinapi 40988</v>
      </c>
      <c r="I3086" s="101" t="str">
        <f t="shared" si="194"/>
        <v>MES</v>
      </c>
      <c r="J3086" s="140" t="str">
        <f t="shared" si="195"/>
        <v>MOTORISTA DE CAMINHAO-CARRETA (MENSALISTA)</v>
      </c>
    </row>
    <row r="3087" spans="1:10" x14ac:dyDescent="0.25">
      <c r="A3087" s="169">
        <v>4095</v>
      </c>
      <c r="B3087" s="169" t="s">
        <v>26567</v>
      </c>
      <c r="C3087" s="169" t="s">
        <v>10228</v>
      </c>
      <c r="D3087" s="169" t="s">
        <v>1289</v>
      </c>
      <c r="E3087" s="103" t="s">
        <v>30794</v>
      </c>
      <c r="F3087" s="104"/>
      <c r="G3087" s="105">
        <f t="shared" si="192"/>
        <v>11.91</v>
      </c>
      <c r="H3087" s="101" t="str">
        <f t="shared" si="193"/>
        <v>Sinapi 4095</v>
      </c>
      <c r="I3087" s="101" t="str">
        <f t="shared" si="194"/>
        <v>H</v>
      </c>
      <c r="J3087" s="140" t="str">
        <f t="shared" si="195"/>
        <v>MOTORISTA DE CARRO DE PASSEIO (HORISTA)</v>
      </c>
    </row>
    <row r="3088" spans="1:10" x14ac:dyDescent="0.25">
      <c r="A3088" s="169">
        <v>40990</v>
      </c>
      <c r="B3088" s="169" t="s">
        <v>26568</v>
      </c>
      <c r="C3088" s="169" t="s">
        <v>10235</v>
      </c>
      <c r="D3088" s="169" t="s">
        <v>1289</v>
      </c>
      <c r="E3088" s="103" t="s">
        <v>30795</v>
      </c>
      <c r="F3088" s="104"/>
      <c r="G3088" s="105">
        <f t="shared" si="192"/>
        <v>2075.9899999999998</v>
      </c>
      <c r="H3088" s="101" t="str">
        <f t="shared" si="193"/>
        <v>Sinapi 40990</v>
      </c>
      <c r="I3088" s="101" t="str">
        <f t="shared" si="194"/>
        <v>MES</v>
      </c>
      <c r="J3088" s="140" t="str">
        <f t="shared" si="195"/>
        <v>MOTORISTA DE CARRO DE PASSEIO (MENSALISTA)</v>
      </c>
    </row>
    <row r="3089" spans="1:10" x14ac:dyDescent="0.25">
      <c r="A3089" s="169">
        <v>4097</v>
      </c>
      <c r="B3089" s="169" t="s">
        <v>26569</v>
      </c>
      <c r="C3089" s="169" t="s">
        <v>10228</v>
      </c>
      <c r="D3089" s="169" t="s">
        <v>1289</v>
      </c>
      <c r="E3089" s="103" t="s">
        <v>17298</v>
      </c>
      <c r="F3089" s="104"/>
      <c r="G3089" s="105">
        <f t="shared" si="192"/>
        <v>18.5</v>
      </c>
      <c r="H3089" s="101" t="str">
        <f t="shared" si="193"/>
        <v>Sinapi 4097</v>
      </c>
      <c r="I3089" s="101" t="str">
        <f t="shared" si="194"/>
        <v>H</v>
      </c>
      <c r="J3089" s="140" t="str">
        <f t="shared" si="195"/>
        <v>MOTORISTA DE ONIBUS / MICRO-ONIBUS (HORISTA)</v>
      </c>
    </row>
    <row r="3090" spans="1:10" x14ac:dyDescent="0.25">
      <c r="A3090" s="169">
        <v>40994</v>
      </c>
      <c r="B3090" s="169" t="s">
        <v>26570</v>
      </c>
      <c r="C3090" s="169" t="s">
        <v>10235</v>
      </c>
      <c r="D3090" s="169" t="s">
        <v>1289</v>
      </c>
      <c r="E3090" s="103" t="s">
        <v>30796</v>
      </c>
      <c r="F3090" s="104"/>
      <c r="G3090" s="105">
        <f t="shared" si="192"/>
        <v>3222.03</v>
      </c>
      <c r="H3090" s="101" t="str">
        <f t="shared" si="193"/>
        <v>Sinapi 40994</v>
      </c>
      <c r="I3090" s="101" t="str">
        <f t="shared" si="194"/>
        <v>MES</v>
      </c>
      <c r="J3090" s="140" t="str">
        <f t="shared" si="195"/>
        <v>MOTORISTA DE ONIBUS / MICRO-ONIBUS (MENSALISTA)</v>
      </c>
    </row>
    <row r="3091" spans="1:10" x14ac:dyDescent="0.25">
      <c r="A3091" s="169">
        <v>4096</v>
      </c>
      <c r="B3091" s="169" t="s">
        <v>26571</v>
      </c>
      <c r="C3091" s="169" t="s">
        <v>10228</v>
      </c>
      <c r="D3091" s="169" t="s">
        <v>1289</v>
      </c>
      <c r="E3091" s="103" t="s">
        <v>16149</v>
      </c>
      <c r="F3091" s="104"/>
      <c r="G3091" s="105">
        <f t="shared" si="192"/>
        <v>17.87</v>
      </c>
      <c r="H3091" s="101" t="str">
        <f t="shared" si="193"/>
        <v>Sinapi 4096</v>
      </c>
      <c r="I3091" s="101" t="str">
        <f t="shared" si="194"/>
        <v>H</v>
      </c>
      <c r="J3091" s="140" t="str">
        <f t="shared" si="195"/>
        <v>MOTORISTA OPERADOR DE CAMINHAO COM MUNCK (HORISTA)</v>
      </c>
    </row>
    <row r="3092" spans="1:10" x14ac:dyDescent="0.25">
      <c r="A3092" s="169">
        <v>40992</v>
      </c>
      <c r="B3092" s="169" t="s">
        <v>26572</v>
      </c>
      <c r="C3092" s="169" t="s">
        <v>10235</v>
      </c>
      <c r="D3092" s="169" t="s">
        <v>1289</v>
      </c>
      <c r="E3092" s="103" t="s">
        <v>30797</v>
      </c>
      <c r="F3092" s="104"/>
      <c r="G3092" s="105">
        <f t="shared" si="192"/>
        <v>3114</v>
      </c>
      <c r="H3092" s="101" t="str">
        <f t="shared" si="193"/>
        <v>Sinapi 40992</v>
      </c>
      <c r="I3092" s="101" t="str">
        <f t="shared" si="194"/>
        <v>MES</v>
      </c>
      <c r="J3092" s="140" t="str">
        <f t="shared" si="195"/>
        <v>MOTORISTA OPERADOR DE CAMINHAO COM MUNCK (MENSALISTA)</v>
      </c>
    </row>
    <row r="3093" spans="1:10" x14ac:dyDescent="0.25">
      <c r="A3093" s="169">
        <v>4114</v>
      </c>
      <c r="B3093" s="169" t="s">
        <v>26573</v>
      </c>
      <c r="C3093" s="169" t="s">
        <v>10225</v>
      </c>
      <c r="D3093" s="169" t="s">
        <v>1289</v>
      </c>
      <c r="E3093" s="103" t="s">
        <v>29221</v>
      </c>
      <c r="F3093" s="104"/>
      <c r="G3093" s="105">
        <f t="shared" si="192"/>
        <v>109.11</v>
      </c>
      <c r="H3093" s="101" t="str">
        <f t="shared" si="193"/>
        <v>Sinapi 4114</v>
      </c>
      <c r="I3093" s="101" t="str">
        <f t="shared" si="194"/>
        <v>UN</v>
      </c>
      <c r="J3093" s="140" t="str">
        <f t="shared" si="195"/>
        <v>MOURAO CONCRETO CURVO, SECAO "T", H = 2,80 M + CURVA COM 0,45 M, COM FUROS PARA FIOS</v>
      </c>
    </row>
    <row r="3094" spans="1:10" x14ac:dyDescent="0.25">
      <c r="A3094" s="169">
        <v>36797</v>
      </c>
      <c r="B3094" s="169" t="s">
        <v>26574</v>
      </c>
      <c r="C3094" s="169" t="s">
        <v>10225</v>
      </c>
      <c r="D3094" s="169" t="s">
        <v>1289</v>
      </c>
      <c r="E3094" s="103" t="s">
        <v>30798</v>
      </c>
      <c r="F3094" s="104"/>
      <c r="G3094" s="105">
        <f t="shared" si="192"/>
        <v>97.15</v>
      </c>
      <c r="H3094" s="101" t="str">
        <f t="shared" si="193"/>
        <v>Sinapi 36797</v>
      </c>
      <c r="I3094" s="101" t="str">
        <f t="shared" si="194"/>
        <v>UN</v>
      </c>
      <c r="J3094" s="140" t="str">
        <f t="shared" si="195"/>
        <v>MOURAO DE CONCRETO CURVO, *10 X 10* CM, H= *2,60* M + CURVA DE 0,40 M</v>
      </c>
    </row>
    <row r="3095" spans="1:10" x14ac:dyDescent="0.25">
      <c r="A3095" s="169">
        <v>4107</v>
      </c>
      <c r="B3095" s="169" t="s">
        <v>26575</v>
      </c>
      <c r="C3095" s="169" t="s">
        <v>10225</v>
      </c>
      <c r="D3095" s="169" t="s">
        <v>1289</v>
      </c>
      <c r="E3095" s="103" t="s">
        <v>28138</v>
      </c>
      <c r="F3095" s="104"/>
      <c r="G3095" s="105">
        <f t="shared" si="192"/>
        <v>91.6</v>
      </c>
      <c r="H3095" s="101" t="str">
        <f t="shared" si="193"/>
        <v>Sinapi 4107</v>
      </c>
      <c r="I3095" s="101" t="str">
        <f t="shared" si="194"/>
        <v>UN</v>
      </c>
      <c r="J3095" s="140" t="str">
        <f t="shared" si="195"/>
        <v>MOURAO DE CONCRETO RETO, SECAO QUADARA *10 X 10* CM, H= *2,30* M</v>
      </c>
    </row>
    <row r="3096" spans="1:10" x14ac:dyDescent="0.25">
      <c r="A3096" s="169">
        <v>4102</v>
      </c>
      <c r="B3096" s="169" t="s">
        <v>26576</v>
      </c>
      <c r="C3096" s="169" t="s">
        <v>10225</v>
      </c>
      <c r="D3096" s="169" t="s">
        <v>1288</v>
      </c>
      <c r="E3096" s="103" t="s">
        <v>23164</v>
      </c>
      <c r="F3096" s="104"/>
      <c r="G3096" s="105">
        <f t="shared" si="192"/>
        <v>111.81</v>
      </c>
      <c r="H3096" s="101" t="str">
        <f t="shared" si="193"/>
        <v>Sinapi 4102</v>
      </c>
      <c r="I3096" s="101" t="str">
        <f t="shared" si="194"/>
        <v>UN</v>
      </c>
      <c r="J3096" s="140" t="str">
        <f t="shared" si="195"/>
        <v>MOURAO DE CONCRETO RETO, SECAO QUADRADA, *10 X 10* CM, H= 3,00 M</v>
      </c>
    </row>
    <row r="3097" spans="1:10" x14ac:dyDescent="0.25">
      <c r="A3097" s="169">
        <v>36799</v>
      </c>
      <c r="B3097" s="169" t="s">
        <v>26577</v>
      </c>
      <c r="C3097" s="169" t="s">
        <v>10225</v>
      </c>
      <c r="D3097" s="169" t="s">
        <v>1289</v>
      </c>
      <c r="E3097" s="103" t="s">
        <v>30799</v>
      </c>
      <c r="F3097" s="104"/>
      <c r="G3097" s="105">
        <f t="shared" si="192"/>
        <v>94.29</v>
      </c>
      <c r="H3097" s="101" t="str">
        <f t="shared" si="193"/>
        <v>Sinapi 36799</v>
      </c>
      <c r="I3097" s="101" t="str">
        <f t="shared" si="194"/>
        <v>UN</v>
      </c>
      <c r="J3097" s="140" t="str">
        <f t="shared" si="195"/>
        <v>MOURAO DE CONCRETO RETO, TIPO ESTICADOR, *10 X 10* CM, H= 2,50 M</v>
      </c>
    </row>
    <row r="3098" spans="1:10" x14ac:dyDescent="0.25">
      <c r="A3098" s="169">
        <v>2747</v>
      </c>
      <c r="B3098" s="169" t="s">
        <v>26578</v>
      </c>
      <c r="C3098" s="169" t="s">
        <v>10229</v>
      </c>
      <c r="D3098" s="169" t="s">
        <v>1290</v>
      </c>
      <c r="E3098" s="103" t="s">
        <v>30800</v>
      </c>
      <c r="F3098" s="104"/>
      <c r="G3098" s="105">
        <f t="shared" si="192"/>
        <v>27.44</v>
      </c>
      <c r="H3098" s="101" t="str">
        <f t="shared" si="193"/>
        <v>Sinapi 2747</v>
      </c>
      <c r="I3098" s="101" t="str">
        <f t="shared" si="194"/>
        <v>M</v>
      </c>
      <c r="J3098" s="140" t="str">
        <f t="shared" si="195"/>
        <v>MOURAO ROLICO DE MADEIRA TRATADA, D = 16 A 20 CM, H = 2,20 M, EM EUCALIPTO OU EQUIVALENTE DA REGIAO (PARA CERCA)</v>
      </c>
    </row>
    <row r="3099" spans="1:10" x14ac:dyDescent="0.25">
      <c r="A3099" s="169">
        <v>21138</v>
      </c>
      <c r="B3099" s="169" t="s">
        <v>26579</v>
      </c>
      <c r="C3099" s="169" t="s">
        <v>10229</v>
      </c>
      <c r="D3099" s="169" t="s">
        <v>1290</v>
      </c>
      <c r="E3099" s="103" t="s">
        <v>30801</v>
      </c>
      <c r="F3099" s="104"/>
      <c r="G3099" s="105">
        <f t="shared" si="192"/>
        <v>8.6999999999999993</v>
      </c>
      <c r="H3099" s="101" t="str">
        <f t="shared" si="193"/>
        <v>Sinapi 21138</v>
      </c>
      <c r="I3099" s="101" t="str">
        <f t="shared" si="194"/>
        <v>M</v>
      </c>
      <c r="J3099" s="140" t="str">
        <f t="shared" si="195"/>
        <v>MOURAO ROLICO DE MADEIRA TRATADA, D = 8 A 11 CM, H = 2,20 M, EM EUCALIPTO OU EQUIVALENTE DA REGIAO (PARA CERCA)</v>
      </c>
    </row>
    <row r="3100" spans="1:10" x14ac:dyDescent="0.25">
      <c r="A3100" s="169">
        <v>10826</v>
      </c>
      <c r="B3100" s="169" t="s">
        <v>26580</v>
      </c>
      <c r="C3100" s="169" t="s">
        <v>10225</v>
      </c>
      <c r="D3100" s="169" t="s">
        <v>1289</v>
      </c>
      <c r="E3100" s="103" t="s">
        <v>30802</v>
      </c>
      <c r="F3100" s="104"/>
      <c r="G3100" s="105">
        <f t="shared" si="192"/>
        <v>287.35000000000002</v>
      </c>
      <c r="H3100" s="101" t="str">
        <f t="shared" si="193"/>
        <v>Sinapi 10826</v>
      </c>
      <c r="I3100" s="101" t="str">
        <f t="shared" si="194"/>
        <v>UN</v>
      </c>
      <c r="J3100" s="140" t="str">
        <f t="shared" si="195"/>
        <v>MUDA DE ARBUSTO FLORIFERO, CLUSIA/GARDENIA/MOREIA BRANCA/ AZALEIA OU EQUIVALENTE DA REGIAO, H= *50 A 70* CM</v>
      </c>
    </row>
    <row r="3101" spans="1:10" x14ac:dyDescent="0.25">
      <c r="A3101" s="169">
        <v>365</v>
      </c>
      <c r="B3101" s="169" t="s">
        <v>26581</v>
      </c>
      <c r="C3101" s="169" t="s">
        <v>10225</v>
      </c>
      <c r="D3101" s="169" t="s">
        <v>1289</v>
      </c>
      <c r="E3101" s="103" t="s">
        <v>30217</v>
      </c>
      <c r="F3101" s="104"/>
      <c r="G3101" s="105">
        <f t="shared" si="192"/>
        <v>178.16</v>
      </c>
      <c r="H3101" s="101" t="str">
        <f t="shared" si="193"/>
        <v>Sinapi 365</v>
      </c>
      <c r="I3101" s="101" t="str">
        <f t="shared" si="194"/>
        <v>UN</v>
      </c>
      <c r="J3101" s="140" t="str">
        <f t="shared" si="195"/>
        <v>MUDA DE ARBUSTO FOLHAGEM, SANSAO-DO-CAMPO OU EQUIVALENTE DA REGIAO, H= *50 A 70* CM</v>
      </c>
    </row>
    <row r="3102" spans="1:10" x14ac:dyDescent="0.25">
      <c r="A3102" s="169">
        <v>38639</v>
      </c>
      <c r="B3102" s="169" t="s">
        <v>26582</v>
      </c>
      <c r="C3102" s="169" t="s">
        <v>10225</v>
      </c>
      <c r="D3102" s="169" t="s">
        <v>1289</v>
      </c>
      <c r="E3102" s="103" t="s">
        <v>30803</v>
      </c>
      <c r="F3102" s="104"/>
      <c r="G3102" s="105">
        <f t="shared" si="192"/>
        <v>689.65</v>
      </c>
      <c r="H3102" s="101" t="str">
        <f t="shared" si="193"/>
        <v>Sinapi 38639</v>
      </c>
      <c r="I3102" s="101" t="str">
        <f t="shared" si="194"/>
        <v>UN</v>
      </c>
      <c r="J3102" s="140" t="str">
        <f t="shared" si="195"/>
        <v>MUDA DE ARBUSTO, BUXINHO, H= *50* CM</v>
      </c>
    </row>
    <row r="3103" spans="1:10" x14ac:dyDescent="0.25">
      <c r="A3103" s="169">
        <v>38640</v>
      </c>
      <c r="B3103" s="169" t="s">
        <v>26583</v>
      </c>
      <c r="C3103" s="169" t="s">
        <v>10225</v>
      </c>
      <c r="D3103" s="169" t="s">
        <v>1289</v>
      </c>
      <c r="E3103" s="103" t="s">
        <v>13840</v>
      </c>
      <c r="F3103" s="104"/>
      <c r="G3103" s="105">
        <f t="shared" si="192"/>
        <v>10.34</v>
      </c>
      <c r="H3103" s="101" t="str">
        <f t="shared" si="193"/>
        <v>Sinapi 38640</v>
      </c>
      <c r="I3103" s="101" t="str">
        <f t="shared" si="194"/>
        <v>UN</v>
      </c>
      <c r="J3103" s="140" t="str">
        <f t="shared" si="195"/>
        <v>MUDA DE ARBUSTO, PINGO DE OURO/ VIOLETEIRA, H = *10 A 20* CM</v>
      </c>
    </row>
    <row r="3104" spans="1:10" x14ac:dyDescent="0.25">
      <c r="A3104" s="169">
        <v>358</v>
      </c>
      <c r="B3104" s="169" t="s">
        <v>26584</v>
      </c>
      <c r="C3104" s="169" t="s">
        <v>10225</v>
      </c>
      <c r="D3104" s="169" t="s">
        <v>1289</v>
      </c>
      <c r="E3104" s="103" t="s">
        <v>30804</v>
      </c>
      <c r="F3104" s="104"/>
      <c r="G3104" s="105">
        <f t="shared" si="192"/>
        <v>212.64</v>
      </c>
      <c r="H3104" s="101" t="str">
        <f t="shared" si="193"/>
        <v>Sinapi 358</v>
      </c>
      <c r="I3104" s="101" t="str">
        <f t="shared" si="194"/>
        <v>UN</v>
      </c>
      <c r="J3104" s="140" t="str">
        <f t="shared" si="195"/>
        <v>MUDA DE ARVORE ORNAMENTAL, OITI/AROEIRA SALSA/ANGICO/IPE/JACARANDA OU EQUIVALENTE DA REGIAO, H= *1* M</v>
      </c>
    </row>
    <row r="3105" spans="1:10" x14ac:dyDescent="0.25">
      <c r="A3105" s="169">
        <v>359</v>
      </c>
      <c r="B3105" s="169" t="s">
        <v>26585</v>
      </c>
      <c r="C3105" s="169" t="s">
        <v>10225</v>
      </c>
      <c r="D3105" s="169" t="s">
        <v>1289</v>
      </c>
      <c r="E3105" s="103" t="s">
        <v>30805</v>
      </c>
      <c r="F3105" s="104"/>
      <c r="G3105" s="105">
        <f t="shared" si="192"/>
        <v>436.78</v>
      </c>
      <c r="H3105" s="101" t="str">
        <f t="shared" si="193"/>
        <v>Sinapi 359</v>
      </c>
      <c r="I3105" s="101" t="str">
        <f t="shared" si="194"/>
        <v>UN</v>
      </c>
      <c r="J3105" s="140" t="str">
        <f t="shared" si="195"/>
        <v>MUDA DE ARVORE ORNAMENTAL, OITI/AROEIRA SALSA/ANGICO/IPE/JACARANDA OU EQUIVALENTE DA REGIAO, H= *2* M</v>
      </c>
    </row>
    <row r="3106" spans="1:10" x14ac:dyDescent="0.25">
      <c r="A3106" s="169">
        <v>38641</v>
      </c>
      <c r="B3106" s="169" t="s">
        <v>26586</v>
      </c>
      <c r="C3106" s="169" t="s">
        <v>10225</v>
      </c>
      <c r="D3106" s="169" t="s">
        <v>1289</v>
      </c>
      <c r="E3106" s="103" t="s">
        <v>30806</v>
      </c>
      <c r="F3106" s="104"/>
      <c r="G3106" s="105">
        <f t="shared" si="192"/>
        <v>431.03</v>
      </c>
      <c r="H3106" s="101" t="str">
        <f t="shared" si="193"/>
        <v>Sinapi 38641</v>
      </c>
      <c r="I3106" s="101" t="str">
        <f t="shared" si="194"/>
        <v>UN</v>
      </c>
      <c r="J3106" s="140" t="str">
        <f t="shared" si="195"/>
        <v>MUDA DE PALMEIRA ARECA, H= *1,50* M</v>
      </c>
    </row>
    <row r="3107" spans="1:10" x14ac:dyDescent="0.25">
      <c r="A3107" s="169">
        <v>360</v>
      </c>
      <c r="B3107" s="169" t="s">
        <v>26587</v>
      </c>
      <c r="C3107" s="169" t="s">
        <v>10225</v>
      </c>
      <c r="D3107" s="169" t="s">
        <v>1288</v>
      </c>
      <c r="E3107" s="103" t="s">
        <v>7372</v>
      </c>
      <c r="F3107" s="104"/>
      <c r="G3107" s="105">
        <f t="shared" si="192"/>
        <v>10</v>
      </c>
      <c r="H3107" s="101" t="str">
        <f t="shared" si="193"/>
        <v>Sinapi 360</v>
      </c>
      <c r="I3107" s="101" t="str">
        <f t="shared" si="194"/>
        <v>UN</v>
      </c>
      <c r="J3107" s="140" t="str">
        <f t="shared" si="195"/>
        <v>MUDA DE RASTEIRA/FORRACAO, AMENDOIM RASTEIRO/ONZE HORAS/AZULZINHA/IMPATIENS OU EQUIVALENTE DA REGIAO</v>
      </c>
    </row>
    <row r="3108" spans="1:10" x14ac:dyDescent="0.25">
      <c r="A3108" s="169">
        <v>42430</v>
      </c>
      <c r="B3108" s="169" t="s">
        <v>26588</v>
      </c>
      <c r="C3108" s="169" t="s">
        <v>10225</v>
      </c>
      <c r="D3108" s="169" t="s">
        <v>1290</v>
      </c>
      <c r="E3108" s="103" t="s">
        <v>21070</v>
      </c>
      <c r="F3108" s="104"/>
      <c r="G3108" s="105">
        <f t="shared" si="192"/>
        <v>6434.22</v>
      </c>
      <c r="H3108" s="101" t="str">
        <f t="shared" si="193"/>
        <v>Sinapi 42430</v>
      </c>
      <c r="I3108" s="101" t="str">
        <f t="shared" si="194"/>
        <v>UN</v>
      </c>
      <c r="J3108" s="140" t="str">
        <f t="shared" si="195"/>
        <v>MULTIEXERCITADOR COM SEIS FUNCOES, EM TUBO DE ACO CARBONO, PINTURA NO PROCESSO ELETROSTATICO - EQUIPAMENTO DE GINASTICA PARA ACADEMIA AO AR LIVRE / ACADEMIA DA TERCEIRA IDADE - ATI</v>
      </c>
    </row>
    <row r="3109" spans="1:10" x14ac:dyDescent="0.25">
      <c r="A3109" s="169">
        <v>4209</v>
      </c>
      <c r="B3109" s="169" t="s">
        <v>26589</v>
      </c>
      <c r="C3109" s="169" t="s">
        <v>10225</v>
      </c>
      <c r="D3109" s="169" t="s">
        <v>1289</v>
      </c>
      <c r="E3109" s="103" t="s">
        <v>21203</v>
      </c>
      <c r="F3109" s="104"/>
      <c r="G3109" s="105">
        <f t="shared" si="192"/>
        <v>22.48</v>
      </c>
      <c r="H3109" s="101" t="str">
        <f t="shared" si="193"/>
        <v>Sinapi 4209</v>
      </c>
      <c r="I3109" s="101" t="str">
        <f t="shared" si="194"/>
        <v>UN</v>
      </c>
      <c r="J3109" s="140" t="str">
        <f t="shared" si="195"/>
        <v>NIPLE DE FERRO GALVANIZADO, COM ROSCA BSP, DE 1 1/2"</v>
      </c>
    </row>
    <row r="3110" spans="1:10" x14ac:dyDescent="0.25">
      <c r="A3110" s="169">
        <v>4180</v>
      </c>
      <c r="B3110" s="169" t="s">
        <v>26590</v>
      </c>
      <c r="C3110" s="169" t="s">
        <v>10225</v>
      </c>
      <c r="D3110" s="169" t="s">
        <v>1289</v>
      </c>
      <c r="E3110" s="103" t="s">
        <v>22923</v>
      </c>
      <c r="F3110" s="104"/>
      <c r="G3110" s="105">
        <f t="shared" si="192"/>
        <v>16.920000000000002</v>
      </c>
      <c r="H3110" s="101" t="str">
        <f t="shared" si="193"/>
        <v>Sinapi 4180</v>
      </c>
      <c r="I3110" s="101" t="str">
        <f t="shared" si="194"/>
        <v>UN</v>
      </c>
      <c r="J3110" s="140" t="str">
        <f t="shared" si="195"/>
        <v>NIPLE DE FERRO GALVANIZADO, COM ROSCA BSP, DE 1 1/4"</v>
      </c>
    </row>
    <row r="3111" spans="1:10" x14ac:dyDescent="0.25">
      <c r="A3111" s="169">
        <v>4177</v>
      </c>
      <c r="B3111" s="169" t="s">
        <v>26591</v>
      </c>
      <c r="C3111" s="169" t="s">
        <v>10225</v>
      </c>
      <c r="D3111" s="169" t="s">
        <v>1289</v>
      </c>
      <c r="E3111" s="103" t="s">
        <v>16350</v>
      </c>
      <c r="F3111" s="104"/>
      <c r="G3111" s="105">
        <f t="shared" si="192"/>
        <v>5.62</v>
      </c>
      <c r="H3111" s="101" t="str">
        <f t="shared" si="193"/>
        <v>Sinapi 4177</v>
      </c>
      <c r="I3111" s="101" t="str">
        <f t="shared" si="194"/>
        <v>UN</v>
      </c>
      <c r="J3111" s="140" t="str">
        <f t="shared" si="195"/>
        <v>NIPLE DE FERRO GALVANIZADO, COM ROSCA BSP, DE 1/2"</v>
      </c>
    </row>
    <row r="3112" spans="1:10" x14ac:dyDescent="0.25">
      <c r="A3112" s="169">
        <v>4179</v>
      </c>
      <c r="B3112" s="169" t="s">
        <v>1004</v>
      </c>
      <c r="C3112" s="169" t="s">
        <v>10225</v>
      </c>
      <c r="D3112" s="169" t="s">
        <v>1289</v>
      </c>
      <c r="E3112" s="103" t="s">
        <v>12581</v>
      </c>
      <c r="F3112" s="104"/>
      <c r="G3112" s="105">
        <f t="shared" si="192"/>
        <v>11.49</v>
      </c>
      <c r="H3112" s="101" t="str">
        <f t="shared" si="193"/>
        <v>Sinapi 4179</v>
      </c>
      <c r="I3112" s="101" t="str">
        <f t="shared" si="194"/>
        <v>UN</v>
      </c>
      <c r="J3112" s="140" t="str">
        <f t="shared" si="195"/>
        <v>NIPLE DE FERRO GALVANIZADO, COM ROSCA BSP, DE 1"</v>
      </c>
    </row>
    <row r="3113" spans="1:10" x14ac:dyDescent="0.25">
      <c r="A3113" s="169">
        <v>4208</v>
      </c>
      <c r="B3113" s="169" t="s">
        <v>26592</v>
      </c>
      <c r="C3113" s="169" t="s">
        <v>10225</v>
      </c>
      <c r="D3113" s="169" t="s">
        <v>1289</v>
      </c>
      <c r="E3113" s="103" t="s">
        <v>28687</v>
      </c>
      <c r="F3113" s="104"/>
      <c r="G3113" s="105">
        <f t="shared" si="192"/>
        <v>53.5</v>
      </c>
      <c r="H3113" s="101" t="str">
        <f t="shared" si="193"/>
        <v>Sinapi 4208</v>
      </c>
      <c r="I3113" s="101" t="str">
        <f t="shared" si="194"/>
        <v>UN</v>
      </c>
      <c r="J3113" s="140" t="str">
        <f t="shared" si="195"/>
        <v>NIPLE DE FERRO GALVANIZADO, COM ROSCA BSP, DE 2 1/2"</v>
      </c>
    </row>
    <row r="3114" spans="1:10" x14ac:dyDescent="0.25">
      <c r="A3114" s="169">
        <v>4181</v>
      </c>
      <c r="B3114" s="169" t="s">
        <v>26593</v>
      </c>
      <c r="C3114" s="169" t="s">
        <v>10225</v>
      </c>
      <c r="D3114" s="169" t="s">
        <v>1289</v>
      </c>
      <c r="E3114" s="103" t="s">
        <v>28730</v>
      </c>
      <c r="F3114" s="104"/>
      <c r="G3114" s="105">
        <f t="shared" si="192"/>
        <v>34.950000000000003</v>
      </c>
      <c r="H3114" s="101" t="str">
        <f t="shared" si="193"/>
        <v>Sinapi 4181</v>
      </c>
      <c r="I3114" s="101" t="str">
        <f t="shared" si="194"/>
        <v>UN</v>
      </c>
      <c r="J3114" s="140" t="str">
        <f t="shared" si="195"/>
        <v>NIPLE DE FERRO GALVANIZADO, COM ROSCA BSP, DE 2"</v>
      </c>
    </row>
    <row r="3115" spans="1:10" x14ac:dyDescent="0.25">
      <c r="A3115" s="169">
        <v>4178</v>
      </c>
      <c r="B3115" s="169" t="s">
        <v>26594</v>
      </c>
      <c r="C3115" s="169" t="s">
        <v>10225</v>
      </c>
      <c r="D3115" s="169" t="s">
        <v>1289</v>
      </c>
      <c r="E3115" s="103" t="s">
        <v>19933</v>
      </c>
      <c r="F3115" s="104"/>
      <c r="G3115" s="105">
        <f t="shared" si="192"/>
        <v>7.79</v>
      </c>
      <c r="H3115" s="101" t="str">
        <f t="shared" si="193"/>
        <v>Sinapi 4178</v>
      </c>
      <c r="I3115" s="101" t="str">
        <f t="shared" si="194"/>
        <v>UN</v>
      </c>
      <c r="J3115" s="140" t="str">
        <f t="shared" si="195"/>
        <v>NIPLE DE FERRO GALVANIZADO, COM ROSCA BSP, DE 3/4"</v>
      </c>
    </row>
    <row r="3116" spans="1:10" x14ac:dyDescent="0.25">
      <c r="A3116" s="169">
        <v>4182</v>
      </c>
      <c r="B3116" s="169" t="s">
        <v>26596</v>
      </c>
      <c r="C3116" s="169" t="s">
        <v>10225</v>
      </c>
      <c r="D3116" s="169" t="s">
        <v>1289</v>
      </c>
      <c r="E3116" s="103" t="s">
        <v>30807</v>
      </c>
      <c r="F3116" s="104"/>
      <c r="G3116" s="105">
        <f t="shared" si="192"/>
        <v>87.03</v>
      </c>
      <c r="H3116" s="101" t="str">
        <f t="shared" si="193"/>
        <v>Sinapi 4182</v>
      </c>
      <c r="I3116" s="101" t="str">
        <f t="shared" si="194"/>
        <v>UN</v>
      </c>
      <c r="J3116" s="140" t="str">
        <f t="shared" si="195"/>
        <v>NIPLE DE FERRO GALVANIZADO, COM ROSCA BSP, DE 3"</v>
      </c>
    </row>
    <row r="3117" spans="1:10" x14ac:dyDescent="0.25">
      <c r="A3117" s="169">
        <v>4183</v>
      </c>
      <c r="B3117" s="169" t="s">
        <v>26598</v>
      </c>
      <c r="C3117" s="169" t="s">
        <v>10225</v>
      </c>
      <c r="D3117" s="169" t="s">
        <v>1289</v>
      </c>
      <c r="E3117" s="103" t="s">
        <v>30808</v>
      </c>
      <c r="F3117" s="104"/>
      <c r="G3117" s="105">
        <f t="shared" si="192"/>
        <v>140.11000000000001</v>
      </c>
      <c r="H3117" s="101" t="str">
        <f t="shared" si="193"/>
        <v>Sinapi 4183</v>
      </c>
      <c r="I3117" s="101" t="str">
        <f t="shared" si="194"/>
        <v>UN</v>
      </c>
      <c r="J3117" s="140" t="str">
        <f t="shared" si="195"/>
        <v>NIPLE DE FERRO GALVANIZADO, COM ROSCA BSP, DE 4"</v>
      </c>
    </row>
    <row r="3118" spans="1:10" x14ac:dyDescent="0.25">
      <c r="A3118" s="169">
        <v>4184</v>
      </c>
      <c r="B3118" s="169" t="s">
        <v>26599</v>
      </c>
      <c r="C3118" s="169" t="s">
        <v>10225</v>
      </c>
      <c r="D3118" s="169" t="s">
        <v>1289</v>
      </c>
      <c r="E3118" s="103" t="s">
        <v>30809</v>
      </c>
      <c r="F3118" s="104"/>
      <c r="G3118" s="105">
        <f t="shared" si="192"/>
        <v>309.29000000000002</v>
      </c>
      <c r="H3118" s="101" t="str">
        <f t="shared" si="193"/>
        <v>Sinapi 4184</v>
      </c>
      <c r="I3118" s="101" t="str">
        <f t="shared" si="194"/>
        <v>UN</v>
      </c>
      <c r="J3118" s="140" t="str">
        <f t="shared" si="195"/>
        <v>NIPLE DE FERRO GALVANIZADO, COM ROSCA BSP, DE 5"</v>
      </c>
    </row>
    <row r="3119" spans="1:10" x14ac:dyDescent="0.25">
      <c r="A3119" s="169">
        <v>4185</v>
      </c>
      <c r="B3119" s="169" t="s">
        <v>26600</v>
      </c>
      <c r="C3119" s="169" t="s">
        <v>10225</v>
      </c>
      <c r="D3119" s="169" t="s">
        <v>1289</v>
      </c>
      <c r="E3119" s="103" t="s">
        <v>30810</v>
      </c>
      <c r="F3119" s="104"/>
      <c r="G3119" s="105">
        <f t="shared" si="192"/>
        <v>513.9</v>
      </c>
      <c r="H3119" s="101" t="str">
        <f t="shared" si="193"/>
        <v>Sinapi 4185</v>
      </c>
      <c r="I3119" s="101" t="str">
        <f t="shared" si="194"/>
        <v>UN</v>
      </c>
      <c r="J3119" s="140" t="str">
        <f t="shared" si="195"/>
        <v>NIPLE DE FERRO GALVANIZADO, COM ROSCA BSP, DE 6"</v>
      </c>
    </row>
    <row r="3120" spans="1:10" x14ac:dyDescent="0.25">
      <c r="A3120" s="169">
        <v>4205</v>
      </c>
      <c r="B3120" s="169" t="s">
        <v>26601</v>
      </c>
      <c r="C3120" s="169" t="s">
        <v>10225</v>
      </c>
      <c r="D3120" s="169" t="s">
        <v>1289</v>
      </c>
      <c r="E3120" s="103" t="s">
        <v>23315</v>
      </c>
      <c r="F3120" s="104"/>
      <c r="G3120" s="105">
        <f t="shared" si="192"/>
        <v>29.68</v>
      </c>
      <c r="H3120" s="101" t="str">
        <f t="shared" si="193"/>
        <v>Sinapi 4205</v>
      </c>
      <c r="I3120" s="101" t="str">
        <f t="shared" si="194"/>
        <v>UN</v>
      </c>
      <c r="J3120" s="140" t="str">
        <f t="shared" si="195"/>
        <v>NIPLE DE REDUCAO DE FERRO GALVANIZADO, COM ROSCA BSP, DE 1 1/2" X 1 1/4"</v>
      </c>
    </row>
    <row r="3121" spans="1:10" x14ac:dyDescent="0.25">
      <c r="A3121" s="169">
        <v>4192</v>
      </c>
      <c r="B3121" s="169" t="s">
        <v>26602</v>
      </c>
      <c r="C3121" s="169" t="s">
        <v>10225</v>
      </c>
      <c r="D3121" s="169" t="s">
        <v>1289</v>
      </c>
      <c r="E3121" s="103" t="s">
        <v>23315</v>
      </c>
      <c r="F3121" s="104"/>
      <c r="G3121" s="105">
        <f t="shared" si="192"/>
        <v>29.68</v>
      </c>
      <c r="H3121" s="101" t="str">
        <f t="shared" si="193"/>
        <v>Sinapi 4192</v>
      </c>
      <c r="I3121" s="101" t="str">
        <f t="shared" si="194"/>
        <v>UN</v>
      </c>
      <c r="J3121" s="140" t="str">
        <f t="shared" si="195"/>
        <v>NIPLE DE REDUCAO DE FERRO GALVANIZADO, COM ROSCA BSP, DE 1 1/2" X 1"</v>
      </c>
    </row>
    <row r="3122" spans="1:10" x14ac:dyDescent="0.25">
      <c r="A3122" s="169">
        <v>4191</v>
      </c>
      <c r="B3122" s="169" t="s">
        <v>26603</v>
      </c>
      <c r="C3122" s="169" t="s">
        <v>10225</v>
      </c>
      <c r="D3122" s="169" t="s">
        <v>1289</v>
      </c>
      <c r="E3122" s="103" t="s">
        <v>23315</v>
      </c>
      <c r="F3122" s="104"/>
      <c r="G3122" s="105">
        <f t="shared" si="192"/>
        <v>29.68</v>
      </c>
      <c r="H3122" s="101" t="str">
        <f t="shared" si="193"/>
        <v>Sinapi 4191</v>
      </c>
      <c r="I3122" s="101" t="str">
        <f t="shared" si="194"/>
        <v>UN</v>
      </c>
      <c r="J3122" s="140" t="str">
        <f t="shared" si="195"/>
        <v>NIPLE DE REDUCAO DE FERRO GALVANIZADO, COM ROSCA BSP, DE 1 1/2" X 3/4"</v>
      </c>
    </row>
    <row r="3123" spans="1:10" x14ac:dyDescent="0.25">
      <c r="A3123" s="169">
        <v>4207</v>
      </c>
      <c r="B3123" s="169" t="s">
        <v>26604</v>
      </c>
      <c r="C3123" s="169" t="s">
        <v>10225</v>
      </c>
      <c r="D3123" s="169" t="s">
        <v>1289</v>
      </c>
      <c r="E3123" s="103" t="s">
        <v>19812</v>
      </c>
      <c r="F3123" s="104"/>
      <c r="G3123" s="105">
        <f t="shared" si="192"/>
        <v>23.88</v>
      </c>
      <c r="H3123" s="101" t="str">
        <f t="shared" si="193"/>
        <v>Sinapi 4207</v>
      </c>
      <c r="I3123" s="101" t="str">
        <f t="shared" si="194"/>
        <v>UN</v>
      </c>
      <c r="J3123" s="140" t="str">
        <f t="shared" si="195"/>
        <v>NIPLE DE REDUCAO DE FERRO GALVANIZADO, COM ROSCA BSP, DE 1 1/4" X 1/2"</v>
      </c>
    </row>
    <row r="3124" spans="1:10" x14ac:dyDescent="0.25">
      <c r="A3124" s="169">
        <v>4206</v>
      </c>
      <c r="B3124" s="169" t="s">
        <v>26605</v>
      </c>
      <c r="C3124" s="169" t="s">
        <v>10225</v>
      </c>
      <c r="D3124" s="169" t="s">
        <v>1289</v>
      </c>
      <c r="E3124" s="103" t="s">
        <v>15520</v>
      </c>
      <c r="F3124" s="104"/>
      <c r="G3124" s="105">
        <f t="shared" si="192"/>
        <v>23.19</v>
      </c>
      <c r="H3124" s="101" t="str">
        <f t="shared" si="193"/>
        <v>Sinapi 4206</v>
      </c>
      <c r="I3124" s="101" t="str">
        <f t="shared" si="194"/>
        <v>UN</v>
      </c>
      <c r="J3124" s="140" t="str">
        <f t="shared" si="195"/>
        <v>NIPLE DE REDUCAO DE FERRO GALVANIZADO, COM ROSCA BSP, DE 1 1/4" X 1"</v>
      </c>
    </row>
    <row r="3125" spans="1:10" x14ac:dyDescent="0.25">
      <c r="A3125" s="169">
        <v>4190</v>
      </c>
      <c r="B3125" s="169" t="s">
        <v>26606</v>
      </c>
      <c r="C3125" s="169" t="s">
        <v>10225</v>
      </c>
      <c r="D3125" s="169" t="s">
        <v>1289</v>
      </c>
      <c r="E3125" s="103" t="s">
        <v>15520</v>
      </c>
      <c r="F3125" s="104"/>
      <c r="G3125" s="105">
        <f t="shared" si="192"/>
        <v>23.19</v>
      </c>
      <c r="H3125" s="101" t="str">
        <f t="shared" si="193"/>
        <v>Sinapi 4190</v>
      </c>
      <c r="I3125" s="101" t="str">
        <f t="shared" si="194"/>
        <v>UN</v>
      </c>
      <c r="J3125" s="140" t="str">
        <f t="shared" si="195"/>
        <v>NIPLE DE REDUCAO DE FERRO GALVANIZADO, COM ROSCA BSP, DE 1 1/4" X 3/4"</v>
      </c>
    </row>
    <row r="3126" spans="1:10" x14ac:dyDescent="0.25">
      <c r="A3126" s="169">
        <v>4186</v>
      </c>
      <c r="B3126" s="169" t="s">
        <v>26607</v>
      </c>
      <c r="C3126" s="169" t="s">
        <v>10225</v>
      </c>
      <c r="D3126" s="169" t="s">
        <v>1289</v>
      </c>
      <c r="E3126" s="103" t="s">
        <v>14794</v>
      </c>
      <c r="F3126" s="104"/>
      <c r="G3126" s="105">
        <f t="shared" si="192"/>
        <v>6.85</v>
      </c>
      <c r="H3126" s="101" t="str">
        <f t="shared" si="193"/>
        <v>Sinapi 4186</v>
      </c>
      <c r="I3126" s="101" t="str">
        <f t="shared" si="194"/>
        <v>UN</v>
      </c>
      <c r="J3126" s="140" t="str">
        <f t="shared" si="195"/>
        <v>NIPLE DE REDUCAO DE FERRO GALVANIZADO, COM ROSCA BSP, DE 1/2" X 1/4"</v>
      </c>
    </row>
    <row r="3127" spans="1:10" x14ac:dyDescent="0.25">
      <c r="A3127" s="169">
        <v>4188</v>
      </c>
      <c r="B3127" s="169" t="s">
        <v>26608</v>
      </c>
      <c r="C3127" s="169" t="s">
        <v>10225</v>
      </c>
      <c r="D3127" s="169" t="s">
        <v>1289</v>
      </c>
      <c r="E3127" s="103" t="s">
        <v>11606</v>
      </c>
      <c r="F3127" s="104"/>
      <c r="G3127" s="105">
        <f t="shared" si="192"/>
        <v>13.99</v>
      </c>
      <c r="H3127" s="101" t="str">
        <f t="shared" si="193"/>
        <v>Sinapi 4188</v>
      </c>
      <c r="I3127" s="101" t="str">
        <f t="shared" si="194"/>
        <v>UN</v>
      </c>
      <c r="J3127" s="140" t="str">
        <f t="shared" si="195"/>
        <v>NIPLE DE REDUCAO DE FERRO GALVANIZADO, COM ROSCA BSP, DE 1" X 1/2"</v>
      </c>
    </row>
    <row r="3128" spans="1:10" x14ac:dyDescent="0.25">
      <c r="A3128" s="169">
        <v>4189</v>
      </c>
      <c r="B3128" s="169" t="s">
        <v>26609</v>
      </c>
      <c r="C3128" s="169" t="s">
        <v>10225</v>
      </c>
      <c r="D3128" s="169" t="s">
        <v>1289</v>
      </c>
      <c r="E3128" s="103" t="s">
        <v>11606</v>
      </c>
      <c r="F3128" s="104"/>
      <c r="G3128" s="105">
        <f t="shared" si="192"/>
        <v>13.99</v>
      </c>
      <c r="H3128" s="101" t="str">
        <f t="shared" si="193"/>
        <v>Sinapi 4189</v>
      </c>
      <c r="I3128" s="101" t="str">
        <f t="shared" si="194"/>
        <v>UN</v>
      </c>
      <c r="J3128" s="140" t="str">
        <f t="shared" si="195"/>
        <v>NIPLE DE REDUCAO DE FERRO GALVANIZADO, COM ROSCA BSP, DE 1" X 3/4"</v>
      </c>
    </row>
    <row r="3129" spans="1:10" x14ac:dyDescent="0.25">
      <c r="A3129" s="169">
        <v>4197</v>
      </c>
      <c r="B3129" s="169" t="s">
        <v>26610</v>
      </c>
      <c r="C3129" s="169" t="s">
        <v>10225</v>
      </c>
      <c r="D3129" s="169" t="s">
        <v>1289</v>
      </c>
      <c r="E3129" s="103" t="s">
        <v>30811</v>
      </c>
      <c r="F3129" s="104"/>
      <c r="G3129" s="105">
        <f t="shared" si="192"/>
        <v>74.099999999999994</v>
      </c>
      <c r="H3129" s="101" t="str">
        <f t="shared" si="193"/>
        <v>Sinapi 4197</v>
      </c>
      <c r="I3129" s="101" t="str">
        <f t="shared" si="194"/>
        <v>UN</v>
      </c>
      <c r="J3129" s="140" t="str">
        <f t="shared" si="195"/>
        <v>NIPLE DE REDUCAO DE FERRO GALVANIZADO, COM ROSCA BSP, DE 2 1/2" X 2"</v>
      </c>
    </row>
    <row r="3130" spans="1:10" x14ac:dyDescent="0.25">
      <c r="A3130" s="169">
        <v>4194</v>
      </c>
      <c r="B3130" s="169" t="s">
        <v>26611</v>
      </c>
      <c r="C3130" s="169" t="s">
        <v>10225</v>
      </c>
      <c r="D3130" s="169" t="s">
        <v>1289</v>
      </c>
      <c r="E3130" s="103" t="s">
        <v>22980</v>
      </c>
      <c r="F3130" s="104"/>
      <c r="G3130" s="105">
        <f t="shared" si="192"/>
        <v>44.78</v>
      </c>
      <c r="H3130" s="101" t="str">
        <f t="shared" si="193"/>
        <v>Sinapi 4194</v>
      </c>
      <c r="I3130" s="101" t="str">
        <f t="shared" si="194"/>
        <v>UN</v>
      </c>
      <c r="J3130" s="140" t="str">
        <f t="shared" si="195"/>
        <v>NIPLE DE REDUCAO DE FERRO GALVANIZADO, COM ROSCA BSP, DE 2" X 1 1/2"</v>
      </c>
    </row>
    <row r="3131" spans="1:10" x14ac:dyDescent="0.25">
      <c r="A3131" s="169">
        <v>4193</v>
      </c>
      <c r="B3131" s="169" t="s">
        <v>26612</v>
      </c>
      <c r="C3131" s="169" t="s">
        <v>10225</v>
      </c>
      <c r="D3131" s="169" t="s">
        <v>1289</v>
      </c>
      <c r="E3131" s="103" t="s">
        <v>22980</v>
      </c>
      <c r="F3131" s="104"/>
      <c r="G3131" s="105">
        <f t="shared" si="192"/>
        <v>44.78</v>
      </c>
      <c r="H3131" s="101" t="str">
        <f t="shared" si="193"/>
        <v>Sinapi 4193</v>
      </c>
      <c r="I3131" s="101" t="str">
        <f t="shared" si="194"/>
        <v>UN</v>
      </c>
      <c r="J3131" s="140" t="str">
        <f t="shared" si="195"/>
        <v>NIPLE DE REDUCAO DE FERRO GALVANIZADO, COM ROSCA BSP, DE 2" X 1 1/4"</v>
      </c>
    </row>
    <row r="3132" spans="1:10" x14ac:dyDescent="0.25">
      <c r="A3132" s="169">
        <v>4204</v>
      </c>
      <c r="B3132" s="169" t="s">
        <v>26613</v>
      </c>
      <c r="C3132" s="169" t="s">
        <v>10225</v>
      </c>
      <c r="D3132" s="169" t="s">
        <v>1289</v>
      </c>
      <c r="E3132" s="103" t="s">
        <v>22980</v>
      </c>
      <c r="F3132" s="104"/>
      <c r="G3132" s="105">
        <f t="shared" si="192"/>
        <v>44.78</v>
      </c>
      <c r="H3132" s="101" t="str">
        <f t="shared" si="193"/>
        <v>Sinapi 4204</v>
      </c>
      <c r="I3132" s="101" t="str">
        <f t="shared" si="194"/>
        <v>UN</v>
      </c>
      <c r="J3132" s="140" t="str">
        <f t="shared" si="195"/>
        <v>NIPLE DE REDUCAO DE FERRO GALVANIZADO, COM ROSCA BSP, DE 2" X 1"</v>
      </c>
    </row>
    <row r="3133" spans="1:10" x14ac:dyDescent="0.25">
      <c r="A3133" s="169">
        <v>4187</v>
      </c>
      <c r="B3133" s="169" t="s">
        <v>26614</v>
      </c>
      <c r="C3133" s="169" t="s">
        <v>10225</v>
      </c>
      <c r="D3133" s="169" t="s">
        <v>1289</v>
      </c>
      <c r="E3133" s="103" t="s">
        <v>13580</v>
      </c>
      <c r="F3133" s="104"/>
      <c r="G3133" s="105">
        <f t="shared" si="192"/>
        <v>8.92</v>
      </c>
      <c r="H3133" s="101" t="str">
        <f t="shared" si="193"/>
        <v>Sinapi 4187</v>
      </c>
      <c r="I3133" s="101" t="str">
        <f t="shared" si="194"/>
        <v>UN</v>
      </c>
      <c r="J3133" s="140" t="str">
        <f t="shared" si="195"/>
        <v>NIPLE DE REDUCAO DE FERRO GALVANIZADO, COM ROSCA BSP, DE 3/4" X 1/2"</v>
      </c>
    </row>
    <row r="3134" spans="1:10" x14ac:dyDescent="0.25">
      <c r="A3134" s="169">
        <v>4202</v>
      </c>
      <c r="B3134" s="169" t="s">
        <v>26615</v>
      </c>
      <c r="C3134" s="169" t="s">
        <v>10225</v>
      </c>
      <c r="D3134" s="169" t="s">
        <v>1289</v>
      </c>
      <c r="E3134" s="103" t="s">
        <v>30812</v>
      </c>
      <c r="F3134" s="104"/>
      <c r="G3134" s="105">
        <f t="shared" si="192"/>
        <v>135.34</v>
      </c>
      <c r="H3134" s="101" t="str">
        <f t="shared" si="193"/>
        <v>Sinapi 4202</v>
      </c>
      <c r="I3134" s="101" t="str">
        <f t="shared" si="194"/>
        <v>UN</v>
      </c>
      <c r="J3134" s="140" t="str">
        <f t="shared" si="195"/>
        <v>NIPLE DE REDUCAO DE FERRO GALVANIZADO, COM ROSCA BSP, DE 3" X 2 1/2"</v>
      </c>
    </row>
    <row r="3135" spans="1:10" x14ac:dyDescent="0.25">
      <c r="A3135" s="169">
        <v>4203</v>
      </c>
      <c r="B3135" s="169" t="s">
        <v>26617</v>
      </c>
      <c r="C3135" s="169" t="s">
        <v>10225</v>
      </c>
      <c r="D3135" s="169" t="s">
        <v>1289</v>
      </c>
      <c r="E3135" s="103" t="s">
        <v>30813</v>
      </c>
      <c r="F3135" s="104"/>
      <c r="G3135" s="105">
        <f t="shared" si="192"/>
        <v>119.52</v>
      </c>
      <c r="H3135" s="101" t="str">
        <f t="shared" si="193"/>
        <v>Sinapi 4203</v>
      </c>
      <c r="I3135" s="101" t="str">
        <f t="shared" si="194"/>
        <v>UN</v>
      </c>
      <c r="J3135" s="140" t="str">
        <f t="shared" si="195"/>
        <v>NIPLE DE REDUCAO DE FERRO GALVANIZADO, COM ROSCA BSP, DE 3" X 2"</v>
      </c>
    </row>
    <row r="3136" spans="1:10" x14ac:dyDescent="0.25">
      <c r="A3136" s="169">
        <v>40368</v>
      </c>
      <c r="B3136" s="169" t="s">
        <v>26618</v>
      </c>
      <c r="C3136" s="169" t="s">
        <v>10225</v>
      </c>
      <c r="D3136" s="169" t="s">
        <v>1290</v>
      </c>
      <c r="E3136" s="103" t="s">
        <v>30814</v>
      </c>
      <c r="F3136" s="104"/>
      <c r="G3136" s="105">
        <f t="shared" si="192"/>
        <v>56.95</v>
      </c>
      <c r="H3136" s="101" t="str">
        <f t="shared" si="193"/>
        <v>Sinapi 40368</v>
      </c>
      <c r="I3136" s="101" t="str">
        <f t="shared" si="194"/>
        <v>UN</v>
      </c>
      <c r="J3136" s="140" t="str">
        <f t="shared" si="195"/>
        <v>NIPLE SEXTAVADO EM ACO CARBONO, COM ROSCA BSP, PRESSAO 3.000 LBS, DN 1 1/2"</v>
      </c>
    </row>
    <row r="3137" spans="1:10" x14ac:dyDescent="0.25">
      <c r="A3137" s="169">
        <v>40365</v>
      </c>
      <c r="B3137" s="169" t="s">
        <v>26619</v>
      </c>
      <c r="C3137" s="169" t="s">
        <v>10225</v>
      </c>
      <c r="D3137" s="169" t="s">
        <v>1290</v>
      </c>
      <c r="E3137" s="103" t="s">
        <v>30815</v>
      </c>
      <c r="F3137" s="104"/>
      <c r="G3137" s="105">
        <f t="shared" si="192"/>
        <v>38.42</v>
      </c>
      <c r="H3137" s="101" t="str">
        <f t="shared" si="193"/>
        <v>Sinapi 40365</v>
      </c>
      <c r="I3137" s="101" t="str">
        <f t="shared" si="194"/>
        <v>UN</v>
      </c>
      <c r="J3137" s="140" t="str">
        <f t="shared" si="195"/>
        <v>NIPLE SEXTAVADO EM ACO CARBONO, COM ROSCA BSP, PRESSAO 3.000 LBS, DN 1 1/4"</v>
      </c>
    </row>
    <row r="3138" spans="1:10" x14ac:dyDescent="0.25">
      <c r="A3138" s="169">
        <v>40356</v>
      </c>
      <c r="B3138" s="169" t="s">
        <v>26620</v>
      </c>
      <c r="C3138" s="169" t="s">
        <v>10225</v>
      </c>
      <c r="D3138" s="169" t="s">
        <v>1290</v>
      </c>
      <c r="E3138" s="103" t="s">
        <v>16409</v>
      </c>
      <c r="F3138" s="104"/>
      <c r="G3138" s="105">
        <f t="shared" si="192"/>
        <v>13.13</v>
      </c>
      <c r="H3138" s="101" t="str">
        <f t="shared" si="193"/>
        <v>Sinapi 40356</v>
      </c>
      <c r="I3138" s="101" t="str">
        <f t="shared" si="194"/>
        <v>UN</v>
      </c>
      <c r="J3138" s="140" t="str">
        <f t="shared" si="195"/>
        <v>NIPLE SEXTAVADO EM ACO CARBONO, COM ROSCA BSP, PRESSAO 3.000 LBS, DN 1/2"</v>
      </c>
    </row>
    <row r="3139" spans="1:10" x14ac:dyDescent="0.25">
      <c r="A3139" s="169">
        <v>40362</v>
      </c>
      <c r="B3139" s="169" t="s">
        <v>26621</v>
      </c>
      <c r="C3139" s="169" t="s">
        <v>10225</v>
      </c>
      <c r="D3139" s="169" t="s">
        <v>1290</v>
      </c>
      <c r="E3139" s="103" t="s">
        <v>18551</v>
      </c>
      <c r="F3139" s="104"/>
      <c r="G3139" s="105">
        <f t="shared" si="192"/>
        <v>25.45</v>
      </c>
      <c r="H3139" s="101" t="str">
        <f t="shared" si="193"/>
        <v>Sinapi 40362</v>
      </c>
      <c r="I3139" s="101" t="str">
        <f t="shared" si="194"/>
        <v>UN</v>
      </c>
      <c r="J3139" s="140" t="str">
        <f t="shared" si="195"/>
        <v>NIPLE SEXTAVADO EM ACO CARBONO, COM ROSCA BSP, PRESSAO 3.000 LBS, DN 1"</v>
      </c>
    </row>
    <row r="3140" spans="1:10" x14ac:dyDescent="0.25">
      <c r="A3140" s="169">
        <v>40374</v>
      </c>
      <c r="B3140" s="169" t="s">
        <v>26622</v>
      </c>
      <c r="C3140" s="169" t="s">
        <v>10225</v>
      </c>
      <c r="D3140" s="169" t="s">
        <v>1290</v>
      </c>
      <c r="E3140" s="103" t="s">
        <v>20075</v>
      </c>
      <c r="F3140" s="104"/>
      <c r="G3140" s="105">
        <f t="shared" si="192"/>
        <v>148.85</v>
      </c>
      <c r="H3140" s="101" t="str">
        <f t="shared" si="193"/>
        <v>Sinapi 40374</v>
      </c>
      <c r="I3140" s="101" t="str">
        <f t="shared" si="194"/>
        <v>UN</v>
      </c>
      <c r="J3140" s="140" t="str">
        <f t="shared" si="195"/>
        <v>NIPLE SEXTAVADO EM ACO CARBONO, COM ROSCA BSP, PRESSAO 3.000 LBS, DN 2 1/2"</v>
      </c>
    </row>
    <row r="3141" spans="1:10" x14ac:dyDescent="0.25">
      <c r="A3141" s="169">
        <v>40371</v>
      </c>
      <c r="B3141" s="169" t="s">
        <v>26623</v>
      </c>
      <c r="C3141" s="169" t="s">
        <v>10225</v>
      </c>
      <c r="D3141" s="169" t="s">
        <v>1290</v>
      </c>
      <c r="E3141" s="103" t="s">
        <v>30816</v>
      </c>
      <c r="F3141" s="104"/>
      <c r="G3141" s="105">
        <f t="shared" si="192"/>
        <v>93.7</v>
      </c>
      <c r="H3141" s="101" t="str">
        <f t="shared" si="193"/>
        <v>Sinapi 40371</v>
      </c>
      <c r="I3141" s="101" t="str">
        <f t="shared" si="194"/>
        <v>UN</v>
      </c>
      <c r="J3141" s="140" t="str">
        <f t="shared" si="195"/>
        <v>NIPLE SEXTAVADO EM ACO CARBONO, COM ROSCA BSP, PRESSAO 3.000 LBS, DN 2"</v>
      </c>
    </row>
    <row r="3142" spans="1:10" x14ac:dyDescent="0.25">
      <c r="A3142" s="169">
        <v>40359</v>
      </c>
      <c r="B3142" s="169" t="s">
        <v>26625</v>
      </c>
      <c r="C3142" s="169" t="s">
        <v>10225</v>
      </c>
      <c r="D3142" s="169" t="s">
        <v>1290</v>
      </c>
      <c r="E3142" s="103" t="s">
        <v>20076</v>
      </c>
      <c r="F3142" s="104"/>
      <c r="G3142" s="105">
        <f t="shared" si="192"/>
        <v>16.96</v>
      </c>
      <c r="H3142" s="101" t="str">
        <f t="shared" si="193"/>
        <v>Sinapi 40359</v>
      </c>
      <c r="I3142" s="101" t="str">
        <f t="shared" si="194"/>
        <v>UN</v>
      </c>
      <c r="J3142" s="140" t="str">
        <f t="shared" si="195"/>
        <v>NIPLE SEXTAVADO EM ACO CARBONO, COM ROSCA BSP, PRESSAO 3.000 LBS, DN 3/4"</v>
      </c>
    </row>
    <row r="3143" spans="1:10" x14ac:dyDescent="0.25">
      <c r="A3143" s="169">
        <v>7595</v>
      </c>
      <c r="B3143" s="169" t="s">
        <v>26626</v>
      </c>
      <c r="C3143" s="169" t="s">
        <v>10228</v>
      </c>
      <c r="D3143" s="169" t="s">
        <v>1289</v>
      </c>
      <c r="E3143" s="103" t="s">
        <v>19380</v>
      </c>
      <c r="F3143" s="104"/>
      <c r="G3143" s="105">
        <f t="shared" si="192"/>
        <v>17.22</v>
      </c>
      <c r="H3143" s="101" t="str">
        <f t="shared" si="193"/>
        <v>Sinapi 7595</v>
      </c>
      <c r="I3143" s="101" t="str">
        <f t="shared" si="194"/>
        <v>H</v>
      </c>
      <c r="J3143" s="140" t="str">
        <f t="shared" si="195"/>
        <v>NIVELADOR (HORISTA)</v>
      </c>
    </row>
    <row r="3144" spans="1:10" x14ac:dyDescent="0.25">
      <c r="A3144" s="169">
        <v>41094</v>
      </c>
      <c r="B3144" s="169" t="s">
        <v>26627</v>
      </c>
      <c r="C3144" s="169" t="s">
        <v>10235</v>
      </c>
      <c r="D3144" s="169" t="s">
        <v>1289</v>
      </c>
      <c r="E3144" s="103" t="s">
        <v>30817</v>
      </c>
      <c r="F3144" s="104"/>
      <c r="G3144" s="105">
        <f t="shared" ref="G3144:G3207" si="196">IF(E3144="","",E3144+0)</f>
        <v>2998.18</v>
      </c>
      <c r="H3144" s="101" t="str">
        <f t="shared" ref="H3144:H3207" si="197">IF(G3144="","",TRIM(CONCATENATE("Sinapi ",A3144)))</f>
        <v>Sinapi 41094</v>
      </c>
      <c r="I3144" s="101" t="str">
        <f t="shared" ref="I3144:I3207" si="198">TRIM(C3144)</f>
        <v>MES</v>
      </c>
      <c r="J3144" s="140" t="str">
        <f t="shared" si="195"/>
        <v>NIVELADOR (MENSALISTA)</v>
      </c>
    </row>
    <row r="3145" spans="1:10" x14ac:dyDescent="0.25">
      <c r="A3145" s="169">
        <v>39609</v>
      </c>
      <c r="B3145" s="169" t="s">
        <v>26628</v>
      </c>
      <c r="C3145" s="169" t="s">
        <v>10225</v>
      </c>
      <c r="D3145" s="169" t="s">
        <v>1289</v>
      </c>
      <c r="E3145" s="103" t="s">
        <v>30818</v>
      </c>
      <c r="F3145" s="104"/>
      <c r="G3145" s="105">
        <f t="shared" si="196"/>
        <v>82545.86</v>
      </c>
      <c r="H3145" s="101" t="str">
        <f t="shared" si="197"/>
        <v>Sinapi 39609</v>
      </c>
      <c r="I3145" s="101" t="str">
        <f t="shared" si="198"/>
        <v>UN</v>
      </c>
      <c r="J3145" s="140" t="str">
        <f t="shared" ref="J3145:J3208" si="199">TRIM(B3145)</f>
        <v>NOBREAK TRIFASICO, DE 10 KVA FATOR DE POTENCIA DE 0,8, AUTONOMIA MINIMA DE 30 MINUTOS A PLENA CARGA</v>
      </c>
    </row>
    <row r="3146" spans="1:10" x14ac:dyDescent="0.25">
      <c r="A3146" s="169">
        <v>39610</v>
      </c>
      <c r="B3146" s="169" t="s">
        <v>26629</v>
      </c>
      <c r="C3146" s="169" t="s">
        <v>10225</v>
      </c>
      <c r="D3146" s="169" t="s">
        <v>1289</v>
      </c>
      <c r="E3146" s="103" t="s">
        <v>30819</v>
      </c>
      <c r="F3146" s="104"/>
      <c r="G3146" s="105">
        <f t="shared" si="196"/>
        <v>120491.21</v>
      </c>
      <c r="H3146" s="101" t="str">
        <f t="shared" si="197"/>
        <v>Sinapi 39610</v>
      </c>
      <c r="I3146" s="101" t="str">
        <f t="shared" si="198"/>
        <v>UN</v>
      </c>
      <c r="J3146" s="140" t="str">
        <f t="shared" si="199"/>
        <v>NOBREAK TRIFASICO, DE 15 KVA FATOR DE POTENCIA DE 0,8, AUTONOMIA MINIMA DE 30 MINUTOS A PLENA CARGA</v>
      </c>
    </row>
    <row r="3147" spans="1:10" x14ac:dyDescent="0.25">
      <c r="A3147" s="169">
        <v>39611</v>
      </c>
      <c r="B3147" s="169" t="s">
        <v>26630</v>
      </c>
      <c r="C3147" s="169" t="s">
        <v>10225</v>
      </c>
      <c r="D3147" s="169" t="s">
        <v>1289</v>
      </c>
      <c r="E3147" s="103" t="s">
        <v>30820</v>
      </c>
      <c r="F3147" s="104"/>
      <c r="G3147" s="105">
        <f t="shared" si="196"/>
        <v>145814.09</v>
      </c>
      <c r="H3147" s="101" t="str">
        <f t="shared" si="197"/>
        <v>Sinapi 39611</v>
      </c>
      <c r="I3147" s="101" t="str">
        <f t="shared" si="198"/>
        <v>UN</v>
      </c>
      <c r="J3147" s="140" t="str">
        <f t="shared" si="199"/>
        <v>NOBREAK TRIFASICO, DE 20 KVA FATOR DE POTENCIA DE 0,8, AUTONOMIA MINIMA DE 30 MINUTOS A PLENA CARGA</v>
      </c>
    </row>
    <row r="3148" spans="1:10" x14ac:dyDescent="0.25">
      <c r="A3148" s="169">
        <v>39612</v>
      </c>
      <c r="B3148" s="169" t="s">
        <v>26631</v>
      </c>
      <c r="C3148" s="169" t="s">
        <v>10225</v>
      </c>
      <c r="D3148" s="169" t="s">
        <v>1289</v>
      </c>
      <c r="E3148" s="103" t="s">
        <v>30821</v>
      </c>
      <c r="F3148" s="104"/>
      <c r="G3148" s="105">
        <f t="shared" si="196"/>
        <v>228421.05</v>
      </c>
      <c r="H3148" s="101" t="str">
        <f t="shared" si="197"/>
        <v>Sinapi 39612</v>
      </c>
      <c r="I3148" s="101" t="str">
        <f t="shared" si="198"/>
        <v>UN</v>
      </c>
      <c r="J3148" s="140" t="str">
        <f t="shared" si="199"/>
        <v>NOBREAK TRIFASICO, DE 25 KVA FATOR DE POTENCIA DE 0,8, AUTONOMIA MINIMA DE 30 MINUTOS A PLENA CARGA</v>
      </c>
    </row>
    <row r="3149" spans="1:10" x14ac:dyDescent="0.25">
      <c r="A3149" s="169">
        <v>39608</v>
      </c>
      <c r="B3149" s="169" t="s">
        <v>26632</v>
      </c>
      <c r="C3149" s="169" t="s">
        <v>10225</v>
      </c>
      <c r="D3149" s="169" t="s">
        <v>1289</v>
      </c>
      <c r="E3149" s="103" t="s">
        <v>30822</v>
      </c>
      <c r="F3149" s="104"/>
      <c r="G3149" s="105">
        <f t="shared" si="196"/>
        <v>66002.8</v>
      </c>
      <c r="H3149" s="101" t="str">
        <f t="shared" si="197"/>
        <v>Sinapi 39608</v>
      </c>
      <c r="I3149" s="101" t="str">
        <f t="shared" si="198"/>
        <v>UN</v>
      </c>
      <c r="J3149" s="140" t="str">
        <f t="shared" si="199"/>
        <v>NOBREAK TRIFASICO, DE 5 KVA FATOR DE POTENCIA DE 0,8, AUTONOMIA MINIMA DE 30 MINUTOS A PLENA CARGA</v>
      </c>
    </row>
    <row r="3150" spans="1:10" x14ac:dyDescent="0.25">
      <c r="A3150" s="169">
        <v>38175</v>
      </c>
      <c r="B3150" s="169" t="s">
        <v>26633</v>
      </c>
      <c r="C3150" s="169" t="s">
        <v>10225</v>
      </c>
      <c r="D3150" s="169" t="s">
        <v>1289</v>
      </c>
      <c r="E3150" s="103" t="s">
        <v>18623</v>
      </c>
      <c r="F3150" s="104"/>
      <c r="G3150" s="105">
        <f t="shared" si="196"/>
        <v>5.34</v>
      </c>
      <c r="H3150" s="101" t="str">
        <f t="shared" si="197"/>
        <v>Sinapi 38175</v>
      </c>
      <c r="I3150" s="101" t="str">
        <f t="shared" si="198"/>
        <v>UN</v>
      </c>
      <c r="J3150" s="140" t="str">
        <f t="shared" si="199"/>
        <v>NUMERO / ALGARISMO PARA RESIDENCIA (FACHADA), EM ZAMAC, COM ALTURA DE APROX *45* MM, INCLUSIVE PARAFUSOS</v>
      </c>
    </row>
    <row r="3151" spans="1:10" x14ac:dyDescent="0.25">
      <c r="A3151" s="169">
        <v>38176</v>
      </c>
      <c r="B3151" s="169" t="s">
        <v>26634</v>
      </c>
      <c r="C3151" s="169" t="s">
        <v>10225</v>
      </c>
      <c r="D3151" s="169" t="s">
        <v>1289</v>
      </c>
      <c r="E3151" s="103" t="s">
        <v>23093</v>
      </c>
      <c r="F3151" s="104"/>
      <c r="G3151" s="105">
        <f t="shared" si="196"/>
        <v>15.71</v>
      </c>
      <c r="H3151" s="101" t="str">
        <f t="shared" si="197"/>
        <v>Sinapi 38176</v>
      </c>
      <c r="I3151" s="101" t="str">
        <f t="shared" si="198"/>
        <v>UN</v>
      </c>
      <c r="J3151" s="140" t="str">
        <f t="shared" si="199"/>
        <v>NUMERO / ALGARISMO PARA RESIDENCIA (FACHADA), EM ZAMAC, COM ALTURA DE APROX 125 MM, INCLUSIVE PARAFUSOS</v>
      </c>
    </row>
    <row r="3152" spans="1:10" x14ac:dyDescent="0.25">
      <c r="A3152" s="169">
        <v>36152</v>
      </c>
      <c r="B3152" s="169" t="s">
        <v>26635</v>
      </c>
      <c r="C3152" s="169" t="s">
        <v>10225</v>
      </c>
      <c r="D3152" s="169" t="s">
        <v>1289</v>
      </c>
      <c r="E3152" s="103" t="s">
        <v>17293</v>
      </c>
      <c r="F3152" s="104"/>
      <c r="G3152" s="105">
        <f t="shared" si="196"/>
        <v>5.69</v>
      </c>
      <c r="H3152" s="101" t="str">
        <f t="shared" si="197"/>
        <v>Sinapi 36152</v>
      </c>
      <c r="I3152" s="101" t="str">
        <f t="shared" si="198"/>
        <v>UN</v>
      </c>
      <c r="J3152" s="140" t="str">
        <f t="shared" si="199"/>
        <v>OCULOS DE SEGURANCA CONTRA IMPACTOS COM LENTE INCOLOR, ARMACAO NYLON, COM PROTECAO UVA E UVB</v>
      </c>
    </row>
    <row r="3153" spans="1:10" x14ac:dyDescent="0.25">
      <c r="A3153" s="169">
        <v>11138</v>
      </c>
      <c r="B3153" s="169" t="s">
        <v>26636</v>
      </c>
      <c r="C3153" s="169" t="s">
        <v>10230</v>
      </c>
      <c r="D3153" s="169" t="s">
        <v>1289</v>
      </c>
      <c r="E3153" s="103" t="s">
        <v>11278</v>
      </c>
      <c r="F3153" s="104"/>
      <c r="G3153" s="105">
        <f t="shared" si="196"/>
        <v>4.28</v>
      </c>
      <c r="H3153" s="101" t="str">
        <f t="shared" si="197"/>
        <v>Sinapi 11138</v>
      </c>
      <c r="I3153" s="101" t="str">
        <f t="shared" si="198"/>
        <v>L</v>
      </c>
      <c r="J3153" s="140" t="str">
        <f t="shared" si="199"/>
        <v>OLEO COMBUSTIVEL BPF A GRANEL</v>
      </c>
    </row>
    <row r="3154" spans="1:10" x14ac:dyDescent="0.25">
      <c r="A3154" s="169">
        <v>4221</v>
      </c>
      <c r="B3154" s="169" t="s">
        <v>26637</v>
      </c>
      <c r="C3154" s="169" t="s">
        <v>10230</v>
      </c>
      <c r="D3154" s="169" t="s">
        <v>1288</v>
      </c>
      <c r="E3154" s="103" t="s">
        <v>19946</v>
      </c>
      <c r="F3154" s="104"/>
      <c r="G3154" s="105">
        <f t="shared" si="196"/>
        <v>6.65</v>
      </c>
      <c r="H3154" s="101" t="str">
        <f t="shared" si="197"/>
        <v>Sinapi 4221</v>
      </c>
      <c r="I3154" s="101" t="str">
        <f t="shared" si="198"/>
        <v>L</v>
      </c>
      <c r="J3154" s="140" t="str">
        <f t="shared" si="199"/>
        <v>OLEO DIESEL COMBUSTIVEL COMUM</v>
      </c>
    </row>
    <row r="3155" spans="1:10" x14ac:dyDescent="0.25">
      <c r="A3155" s="169">
        <v>4227</v>
      </c>
      <c r="B3155" s="169" t="s">
        <v>26638</v>
      </c>
      <c r="C3155" s="169" t="s">
        <v>10230</v>
      </c>
      <c r="D3155" s="169" t="s">
        <v>1288</v>
      </c>
      <c r="E3155" s="103" t="s">
        <v>20039</v>
      </c>
      <c r="F3155" s="104"/>
      <c r="G3155" s="105">
        <f t="shared" si="196"/>
        <v>27.97</v>
      </c>
      <c r="H3155" s="101" t="str">
        <f t="shared" si="197"/>
        <v>Sinapi 4227</v>
      </c>
      <c r="I3155" s="101" t="str">
        <f t="shared" si="198"/>
        <v>L</v>
      </c>
      <c r="J3155" s="140" t="str">
        <f t="shared" si="199"/>
        <v>OLEO LUBRIFICANTE PARA MOTORES DE EQUIPAMENTOS PESADOS (CAMINHOES, TRATORES, RETROS E ETC)</v>
      </c>
    </row>
    <row r="3156" spans="1:10" x14ac:dyDescent="0.25">
      <c r="A3156" s="169">
        <v>38170</v>
      </c>
      <c r="B3156" s="169" t="s">
        <v>26639</v>
      </c>
      <c r="C3156" s="169" t="s">
        <v>10225</v>
      </c>
      <c r="D3156" s="169" t="s">
        <v>1289</v>
      </c>
      <c r="E3156" s="103" t="s">
        <v>29318</v>
      </c>
      <c r="F3156" s="104"/>
      <c r="G3156" s="105">
        <f t="shared" si="196"/>
        <v>23.34</v>
      </c>
      <c r="H3156" s="101" t="str">
        <f t="shared" si="197"/>
        <v>Sinapi 38170</v>
      </c>
      <c r="I3156" s="101" t="str">
        <f t="shared" si="198"/>
        <v>UN</v>
      </c>
      <c r="J3156" s="140" t="str">
        <f t="shared" si="199"/>
        <v>OLHO MAGICO PARA PORTAS, EM LATAO, COM LENTE DE POLICARBONATO, ANGULO DE *200* GRAUS, ESPESSURA ENTRE *25 E 46* MM, INCLUINDO FECHO JANELA</v>
      </c>
    </row>
    <row r="3157" spans="1:10" x14ac:dyDescent="0.25">
      <c r="A3157" s="169">
        <v>4252</v>
      </c>
      <c r="B3157" s="169" t="s">
        <v>26640</v>
      </c>
      <c r="C3157" s="169" t="s">
        <v>10228</v>
      </c>
      <c r="D3157" s="169" t="s">
        <v>1289</v>
      </c>
      <c r="E3157" s="103" t="s">
        <v>22074</v>
      </c>
      <c r="F3157" s="104"/>
      <c r="G3157" s="105">
        <f t="shared" si="196"/>
        <v>21.02</v>
      </c>
      <c r="H3157" s="101" t="str">
        <f t="shared" si="197"/>
        <v>Sinapi 4252</v>
      </c>
      <c r="I3157" s="101" t="str">
        <f t="shared" si="198"/>
        <v>H</v>
      </c>
      <c r="J3157" s="140" t="str">
        <f t="shared" si="199"/>
        <v>OPERADOR DE BATE-ESTACAS</v>
      </c>
    </row>
    <row r="3158" spans="1:10" x14ac:dyDescent="0.25">
      <c r="A3158" s="169">
        <v>40980</v>
      </c>
      <c r="B3158" s="169" t="s">
        <v>26641</v>
      </c>
      <c r="C3158" s="169" t="s">
        <v>10235</v>
      </c>
      <c r="D3158" s="169" t="s">
        <v>1289</v>
      </c>
      <c r="E3158" s="103" t="s">
        <v>30823</v>
      </c>
      <c r="F3158" s="104"/>
      <c r="G3158" s="105">
        <f t="shared" si="196"/>
        <v>3662.26</v>
      </c>
      <c r="H3158" s="101" t="str">
        <f t="shared" si="197"/>
        <v>Sinapi 40980</v>
      </c>
      <c r="I3158" s="101" t="str">
        <f t="shared" si="198"/>
        <v>MES</v>
      </c>
      <c r="J3158" s="140" t="str">
        <f t="shared" si="199"/>
        <v>OPERADOR DE BATE-ESTACAS (MENSALISTA)</v>
      </c>
    </row>
    <row r="3159" spans="1:10" x14ac:dyDescent="0.25">
      <c r="A3159" s="169">
        <v>4243</v>
      </c>
      <c r="B3159" s="169" t="s">
        <v>26642</v>
      </c>
      <c r="C3159" s="169" t="s">
        <v>10228</v>
      </c>
      <c r="D3159" s="169" t="s">
        <v>1289</v>
      </c>
      <c r="E3159" s="103" t="s">
        <v>22020</v>
      </c>
      <c r="F3159" s="104"/>
      <c r="G3159" s="105">
        <f t="shared" si="196"/>
        <v>18.32</v>
      </c>
      <c r="H3159" s="101" t="str">
        <f t="shared" si="197"/>
        <v>Sinapi 4243</v>
      </c>
      <c r="I3159" s="101" t="str">
        <f t="shared" si="198"/>
        <v>H</v>
      </c>
      <c r="J3159" s="140" t="str">
        <f t="shared" si="199"/>
        <v>OPERADOR DE BETONEIRA (CAMINHAO)</v>
      </c>
    </row>
    <row r="3160" spans="1:10" x14ac:dyDescent="0.25">
      <c r="A3160" s="169">
        <v>41031</v>
      </c>
      <c r="B3160" s="169" t="s">
        <v>26643</v>
      </c>
      <c r="C3160" s="169" t="s">
        <v>10235</v>
      </c>
      <c r="D3160" s="169" t="s">
        <v>1289</v>
      </c>
      <c r="E3160" s="103" t="s">
        <v>30824</v>
      </c>
      <c r="F3160" s="104"/>
      <c r="G3160" s="105">
        <f t="shared" si="196"/>
        <v>3190.19</v>
      </c>
      <c r="H3160" s="101" t="str">
        <f t="shared" si="197"/>
        <v>Sinapi 41031</v>
      </c>
      <c r="I3160" s="101" t="str">
        <f t="shared" si="198"/>
        <v>MES</v>
      </c>
      <c r="J3160" s="140" t="str">
        <f t="shared" si="199"/>
        <v>OPERADOR DE BETONEIRA (CAMINHAO) (MENSALISTA)</v>
      </c>
    </row>
    <row r="3161" spans="1:10" x14ac:dyDescent="0.25">
      <c r="A3161" s="169">
        <v>37666</v>
      </c>
      <c r="B3161" s="169" t="s">
        <v>26644</v>
      </c>
      <c r="C3161" s="169" t="s">
        <v>10228</v>
      </c>
      <c r="D3161" s="169" t="s">
        <v>1289</v>
      </c>
      <c r="E3161" s="103" t="s">
        <v>10427</v>
      </c>
      <c r="F3161" s="104"/>
      <c r="G3161" s="105">
        <f t="shared" si="196"/>
        <v>17.68</v>
      </c>
      <c r="H3161" s="101" t="str">
        <f t="shared" si="197"/>
        <v>Sinapi 37666</v>
      </c>
      <c r="I3161" s="101" t="str">
        <f t="shared" si="198"/>
        <v>H</v>
      </c>
      <c r="J3161" s="140" t="str">
        <f t="shared" si="199"/>
        <v>OPERADOR DE BETONEIRA ESTACIONARIA / MISTURADOR</v>
      </c>
    </row>
    <row r="3162" spans="1:10" x14ac:dyDescent="0.25">
      <c r="A3162" s="169">
        <v>40986</v>
      </c>
      <c r="B3162" s="169" t="s">
        <v>26645</v>
      </c>
      <c r="C3162" s="169" t="s">
        <v>10235</v>
      </c>
      <c r="D3162" s="169" t="s">
        <v>1289</v>
      </c>
      <c r="E3162" s="103" t="s">
        <v>30825</v>
      </c>
      <c r="F3162" s="104"/>
      <c r="G3162" s="105">
        <f t="shared" si="196"/>
        <v>3078.63</v>
      </c>
      <c r="H3162" s="101" t="str">
        <f t="shared" si="197"/>
        <v>Sinapi 40986</v>
      </c>
      <c r="I3162" s="101" t="str">
        <f t="shared" si="198"/>
        <v>MES</v>
      </c>
      <c r="J3162" s="140" t="str">
        <f t="shared" si="199"/>
        <v>OPERADOR DE BETONEIRA ESTACIONARIA / MISTURADOR (MENSALISTA)</v>
      </c>
    </row>
    <row r="3163" spans="1:10" x14ac:dyDescent="0.25">
      <c r="A3163" s="169">
        <v>4250</v>
      </c>
      <c r="B3163" s="169" t="s">
        <v>26646</v>
      </c>
      <c r="C3163" s="169" t="s">
        <v>10228</v>
      </c>
      <c r="D3163" s="169" t="s">
        <v>1289</v>
      </c>
      <c r="E3163" s="103" t="s">
        <v>23055</v>
      </c>
      <c r="F3163" s="104"/>
      <c r="G3163" s="105">
        <f t="shared" si="196"/>
        <v>18.97</v>
      </c>
      <c r="H3163" s="101" t="str">
        <f t="shared" si="197"/>
        <v>Sinapi 4250</v>
      </c>
      <c r="I3163" s="101" t="str">
        <f t="shared" si="198"/>
        <v>H</v>
      </c>
      <c r="J3163" s="140" t="str">
        <f t="shared" si="199"/>
        <v>OPERADOR DE COMPRESSOR DE AR OU COMPRESSORISTA</v>
      </c>
    </row>
    <row r="3164" spans="1:10" x14ac:dyDescent="0.25">
      <c r="A3164" s="169">
        <v>40978</v>
      </c>
      <c r="B3164" s="169" t="s">
        <v>26647</v>
      </c>
      <c r="C3164" s="169" t="s">
        <v>10235</v>
      </c>
      <c r="D3164" s="169" t="s">
        <v>1289</v>
      </c>
      <c r="E3164" s="103" t="s">
        <v>30826</v>
      </c>
      <c r="F3164" s="104"/>
      <c r="G3164" s="105">
        <f t="shared" si="196"/>
        <v>3303.36</v>
      </c>
      <c r="H3164" s="101" t="str">
        <f t="shared" si="197"/>
        <v>Sinapi 40978</v>
      </c>
      <c r="I3164" s="101" t="str">
        <f t="shared" si="198"/>
        <v>MES</v>
      </c>
      <c r="J3164" s="140" t="str">
        <f t="shared" si="199"/>
        <v>OPERADOR DE COMPRESSOR DE AR OU COMPRESSORISTA (MENSALISTA)</v>
      </c>
    </row>
    <row r="3165" spans="1:10" x14ac:dyDescent="0.25">
      <c r="A3165" s="169">
        <v>41043</v>
      </c>
      <c r="B3165" s="169" t="s">
        <v>26648</v>
      </c>
      <c r="C3165" s="169" t="s">
        <v>10235</v>
      </c>
      <c r="D3165" s="169" t="s">
        <v>1289</v>
      </c>
      <c r="E3165" s="103" t="s">
        <v>30827</v>
      </c>
      <c r="F3165" s="104"/>
      <c r="G3165" s="105">
        <f t="shared" si="196"/>
        <v>3926.39</v>
      </c>
      <c r="H3165" s="101" t="str">
        <f t="shared" si="197"/>
        <v>Sinapi 41043</v>
      </c>
      <c r="I3165" s="101" t="str">
        <f t="shared" si="198"/>
        <v>MES</v>
      </c>
      <c r="J3165" s="140" t="str">
        <f t="shared" si="199"/>
        <v>OPERADOR DE DEMARCADORA DE FAIXAS DE TRAFEGO (MENSALISTA)</v>
      </c>
    </row>
    <row r="3166" spans="1:10" x14ac:dyDescent="0.25">
      <c r="A3166" s="169">
        <v>44501</v>
      </c>
      <c r="B3166" s="169" t="s">
        <v>26649</v>
      </c>
      <c r="C3166" s="169" t="s">
        <v>10228</v>
      </c>
      <c r="D3166" s="169" t="s">
        <v>1289</v>
      </c>
      <c r="E3166" s="103" t="s">
        <v>22829</v>
      </c>
      <c r="F3166" s="104"/>
      <c r="G3166" s="105">
        <f t="shared" si="196"/>
        <v>22.56</v>
      </c>
      <c r="H3166" s="101" t="str">
        <f t="shared" si="197"/>
        <v>Sinapi 44501</v>
      </c>
      <c r="I3166" s="101" t="str">
        <f t="shared" si="198"/>
        <v>H</v>
      </c>
      <c r="J3166" s="140" t="str">
        <f t="shared" si="199"/>
        <v>OPERADOR DE DEMARCADORA DE FAIXAS DE TRAFEGO HORISTA</v>
      </c>
    </row>
    <row r="3167" spans="1:10" x14ac:dyDescent="0.25">
      <c r="A3167" s="169">
        <v>4234</v>
      </c>
      <c r="B3167" s="169" t="s">
        <v>26650</v>
      </c>
      <c r="C3167" s="169" t="s">
        <v>10228</v>
      </c>
      <c r="D3167" s="169" t="s">
        <v>1288</v>
      </c>
      <c r="E3167" s="103" t="s">
        <v>30828</v>
      </c>
      <c r="F3167" s="104"/>
      <c r="G3167" s="105">
        <f t="shared" si="196"/>
        <v>24.72</v>
      </c>
      <c r="H3167" s="101" t="str">
        <f t="shared" si="197"/>
        <v>Sinapi 4234</v>
      </c>
      <c r="I3167" s="101" t="str">
        <f t="shared" si="198"/>
        <v>H</v>
      </c>
      <c r="J3167" s="140" t="str">
        <f t="shared" si="199"/>
        <v>OPERADOR DE ESCAVADEIRA</v>
      </c>
    </row>
    <row r="3168" spans="1:10" x14ac:dyDescent="0.25">
      <c r="A3168" s="169">
        <v>40987</v>
      </c>
      <c r="B3168" s="169" t="s">
        <v>26651</v>
      </c>
      <c r="C3168" s="169" t="s">
        <v>10235</v>
      </c>
      <c r="D3168" s="169" t="s">
        <v>1289</v>
      </c>
      <c r="E3168" s="103" t="s">
        <v>30829</v>
      </c>
      <c r="F3168" s="104"/>
      <c r="G3168" s="105">
        <f t="shared" si="196"/>
        <v>4301.1899999999996</v>
      </c>
      <c r="H3168" s="101" t="str">
        <f t="shared" si="197"/>
        <v>Sinapi 40987</v>
      </c>
      <c r="I3168" s="101" t="str">
        <f t="shared" si="198"/>
        <v>MES</v>
      </c>
      <c r="J3168" s="140" t="str">
        <f t="shared" si="199"/>
        <v>OPERADOR DE ESCAVADEIRA (MENSALISTA)</v>
      </c>
    </row>
    <row r="3169" spans="1:10" x14ac:dyDescent="0.25">
      <c r="A3169" s="169">
        <v>4253</v>
      </c>
      <c r="B3169" s="169" t="s">
        <v>26652</v>
      </c>
      <c r="C3169" s="169" t="s">
        <v>10228</v>
      </c>
      <c r="D3169" s="169" t="s">
        <v>1289</v>
      </c>
      <c r="E3169" s="103" t="s">
        <v>15784</v>
      </c>
      <c r="F3169" s="104"/>
      <c r="G3169" s="105">
        <f t="shared" si="196"/>
        <v>17.010000000000002</v>
      </c>
      <c r="H3169" s="101" t="str">
        <f t="shared" si="197"/>
        <v>Sinapi 4253</v>
      </c>
      <c r="I3169" s="101" t="str">
        <f t="shared" si="198"/>
        <v>H</v>
      </c>
      <c r="J3169" s="140" t="str">
        <f t="shared" si="199"/>
        <v>OPERADOR DE GUINCHO OU GUINCHEIRO</v>
      </c>
    </row>
    <row r="3170" spans="1:10" x14ac:dyDescent="0.25">
      <c r="A3170" s="169">
        <v>40981</v>
      </c>
      <c r="B3170" s="169" t="s">
        <v>26653</v>
      </c>
      <c r="C3170" s="169" t="s">
        <v>10235</v>
      </c>
      <c r="D3170" s="169" t="s">
        <v>1289</v>
      </c>
      <c r="E3170" s="103" t="s">
        <v>30830</v>
      </c>
      <c r="F3170" s="104"/>
      <c r="G3170" s="105">
        <f t="shared" si="196"/>
        <v>2961.26</v>
      </c>
      <c r="H3170" s="101" t="str">
        <f t="shared" si="197"/>
        <v>Sinapi 40981</v>
      </c>
      <c r="I3170" s="101" t="str">
        <f t="shared" si="198"/>
        <v>MES</v>
      </c>
      <c r="J3170" s="140" t="str">
        <f t="shared" si="199"/>
        <v>OPERADOR DE GUINCHO OU GUINCHEIRO (MENSALISTA)</v>
      </c>
    </row>
    <row r="3171" spans="1:10" x14ac:dyDescent="0.25">
      <c r="A3171" s="169">
        <v>4254</v>
      </c>
      <c r="B3171" s="169" t="s">
        <v>26654</v>
      </c>
      <c r="C3171" s="169" t="s">
        <v>10228</v>
      </c>
      <c r="D3171" s="169" t="s">
        <v>1289</v>
      </c>
      <c r="E3171" s="103" t="s">
        <v>30831</v>
      </c>
      <c r="F3171" s="104"/>
      <c r="G3171" s="105">
        <f t="shared" si="196"/>
        <v>22.12</v>
      </c>
      <c r="H3171" s="101" t="str">
        <f t="shared" si="197"/>
        <v>Sinapi 4254</v>
      </c>
      <c r="I3171" s="101" t="str">
        <f t="shared" si="198"/>
        <v>H</v>
      </c>
      <c r="J3171" s="140" t="str">
        <f t="shared" si="199"/>
        <v>OPERADOR DE GUINDASTE</v>
      </c>
    </row>
    <row r="3172" spans="1:10" x14ac:dyDescent="0.25">
      <c r="A3172" s="169">
        <v>41036</v>
      </c>
      <c r="B3172" s="169" t="s">
        <v>26655</v>
      </c>
      <c r="C3172" s="169" t="s">
        <v>10235</v>
      </c>
      <c r="D3172" s="169" t="s">
        <v>1289</v>
      </c>
      <c r="E3172" s="103" t="s">
        <v>30832</v>
      </c>
      <c r="F3172" s="104"/>
      <c r="G3172" s="105">
        <f t="shared" si="196"/>
        <v>3851.43</v>
      </c>
      <c r="H3172" s="101" t="str">
        <f t="shared" si="197"/>
        <v>Sinapi 41036</v>
      </c>
      <c r="I3172" s="101" t="str">
        <f t="shared" si="198"/>
        <v>MES</v>
      </c>
      <c r="J3172" s="140" t="str">
        <f t="shared" si="199"/>
        <v>OPERADOR DE GUINDASTE (MENSALISTA)</v>
      </c>
    </row>
    <row r="3173" spans="1:10" x14ac:dyDescent="0.25">
      <c r="A3173" s="169">
        <v>4251</v>
      </c>
      <c r="B3173" s="169" t="s">
        <v>26656</v>
      </c>
      <c r="C3173" s="169" t="s">
        <v>10228</v>
      </c>
      <c r="D3173" s="169" t="s">
        <v>1289</v>
      </c>
      <c r="E3173" s="103" t="s">
        <v>30831</v>
      </c>
      <c r="F3173" s="104"/>
      <c r="G3173" s="105">
        <f t="shared" si="196"/>
        <v>22.12</v>
      </c>
      <c r="H3173" s="101" t="str">
        <f t="shared" si="197"/>
        <v>Sinapi 4251</v>
      </c>
      <c r="I3173" s="101" t="str">
        <f t="shared" si="198"/>
        <v>H</v>
      </c>
      <c r="J3173" s="140" t="str">
        <f t="shared" si="199"/>
        <v>OPERADOR DE JATO ABRASIVO OU JATISTA</v>
      </c>
    </row>
    <row r="3174" spans="1:10" x14ac:dyDescent="0.25">
      <c r="A3174" s="169">
        <v>40979</v>
      </c>
      <c r="B3174" s="169" t="s">
        <v>26657</v>
      </c>
      <c r="C3174" s="169" t="s">
        <v>10235</v>
      </c>
      <c r="D3174" s="169" t="s">
        <v>1289</v>
      </c>
      <c r="E3174" s="103" t="s">
        <v>30833</v>
      </c>
      <c r="F3174" s="104"/>
      <c r="G3174" s="105">
        <f t="shared" si="196"/>
        <v>3850.53</v>
      </c>
      <c r="H3174" s="101" t="str">
        <f t="shared" si="197"/>
        <v>Sinapi 40979</v>
      </c>
      <c r="I3174" s="101" t="str">
        <f t="shared" si="198"/>
        <v>MES</v>
      </c>
      <c r="J3174" s="140" t="str">
        <f t="shared" si="199"/>
        <v>OPERADOR DE JATO ABRASIVO OU JATISTA (MENSALISTA)</v>
      </c>
    </row>
    <row r="3175" spans="1:10" x14ac:dyDescent="0.25">
      <c r="A3175" s="169">
        <v>4230</v>
      </c>
      <c r="B3175" s="169" t="s">
        <v>26658</v>
      </c>
      <c r="C3175" s="169" t="s">
        <v>10228</v>
      </c>
      <c r="D3175" s="169" t="s">
        <v>1289</v>
      </c>
      <c r="E3175" s="103" t="s">
        <v>14634</v>
      </c>
      <c r="F3175" s="104"/>
      <c r="G3175" s="105">
        <f t="shared" si="196"/>
        <v>15.82</v>
      </c>
      <c r="H3175" s="101" t="str">
        <f t="shared" si="197"/>
        <v>Sinapi 4230</v>
      </c>
      <c r="I3175" s="101" t="str">
        <f t="shared" si="198"/>
        <v>H</v>
      </c>
      <c r="J3175" s="140" t="str">
        <f t="shared" si="199"/>
        <v>OPERADOR DE MAQUINAS E TRATORES DIVERSOS (TERRAPLANAGEM)</v>
      </c>
    </row>
    <row r="3176" spans="1:10" x14ac:dyDescent="0.25">
      <c r="A3176" s="169">
        <v>40998</v>
      </c>
      <c r="B3176" s="169" t="s">
        <v>26659</v>
      </c>
      <c r="C3176" s="169" t="s">
        <v>10235</v>
      </c>
      <c r="D3176" s="169" t="s">
        <v>1289</v>
      </c>
      <c r="E3176" s="103" t="s">
        <v>30834</v>
      </c>
      <c r="F3176" s="104"/>
      <c r="G3176" s="105">
        <f t="shared" si="196"/>
        <v>2755.64</v>
      </c>
      <c r="H3176" s="101" t="str">
        <f t="shared" si="197"/>
        <v>Sinapi 40998</v>
      </c>
      <c r="I3176" s="101" t="str">
        <f t="shared" si="198"/>
        <v>MES</v>
      </c>
      <c r="J3176" s="140" t="str">
        <f t="shared" si="199"/>
        <v>OPERADOR DE MAQUINAS E TRATORES DIVERSOS (TERRAPLANAGEM) (MENSALISTA)</v>
      </c>
    </row>
    <row r="3177" spans="1:10" x14ac:dyDescent="0.25">
      <c r="A3177" s="169">
        <v>4257</v>
      </c>
      <c r="B3177" s="169" t="s">
        <v>26660</v>
      </c>
      <c r="C3177" s="169" t="s">
        <v>10228</v>
      </c>
      <c r="D3177" s="169" t="s">
        <v>1289</v>
      </c>
      <c r="E3177" s="103" t="s">
        <v>15784</v>
      </c>
      <c r="F3177" s="104"/>
      <c r="G3177" s="105">
        <f t="shared" si="196"/>
        <v>17.010000000000002</v>
      </c>
      <c r="H3177" s="101" t="str">
        <f t="shared" si="197"/>
        <v>Sinapi 4257</v>
      </c>
      <c r="I3177" s="101" t="str">
        <f t="shared" si="198"/>
        <v>H</v>
      </c>
      <c r="J3177" s="140" t="str">
        <f t="shared" si="199"/>
        <v>OPERADOR DE MARTELETE OU MARTELETEIRO</v>
      </c>
    </row>
    <row r="3178" spans="1:10" x14ac:dyDescent="0.25">
      <c r="A3178" s="169">
        <v>40982</v>
      </c>
      <c r="B3178" s="169" t="s">
        <v>26661</v>
      </c>
      <c r="C3178" s="169" t="s">
        <v>10235</v>
      </c>
      <c r="D3178" s="169" t="s">
        <v>1289</v>
      </c>
      <c r="E3178" s="103" t="s">
        <v>30835</v>
      </c>
      <c r="F3178" s="104"/>
      <c r="G3178" s="105">
        <f t="shared" si="196"/>
        <v>2961.3</v>
      </c>
      <c r="H3178" s="101" t="str">
        <f t="shared" si="197"/>
        <v>Sinapi 40982</v>
      </c>
      <c r="I3178" s="101" t="str">
        <f t="shared" si="198"/>
        <v>MES</v>
      </c>
      <c r="J3178" s="140" t="str">
        <f t="shared" si="199"/>
        <v>OPERADOR DE MARTELETE OU MARTELETEIRO (MENSALISTA)</v>
      </c>
    </row>
    <row r="3179" spans="1:10" x14ac:dyDescent="0.25">
      <c r="A3179" s="169">
        <v>4240</v>
      </c>
      <c r="B3179" s="169" t="s">
        <v>26662</v>
      </c>
      <c r="C3179" s="169" t="s">
        <v>10228</v>
      </c>
      <c r="D3179" s="169" t="s">
        <v>1289</v>
      </c>
      <c r="E3179" s="103" t="s">
        <v>28764</v>
      </c>
      <c r="F3179" s="104"/>
      <c r="G3179" s="105">
        <f t="shared" si="196"/>
        <v>22.95</v>
      </c>
      <c r="H3179" s="101" t="str">
        <f t="shared" si="197"/>
        <v>Sinapi 4240</v>
      </c>
      <c r="I3179" s="101" t="str">
        <f t="shared" si="198"/>
        <v>H</v>
      </c>
      <c r="J3179" s="140" t="str">
        <f t="shared" si="199"/>
        <v>OPERADOR DE MOTO SCRAPER</v>
      </c>
    </row>
    <row r="3180" spans="1:10" x14ac:dyDescent="0.25">
      <c r="A3180" s="169">
        <v>41026</v>
      </c>
      <c r="B3180" s="169" t="s">
        <v>26663</v>
      </c>
      <c r="C3180" s="169" t="s">
        <v>10235</v>
      </c>
      <c r="D3180" s="169" t="s">
        <v>1289</v>
      </c>
      <c r="E3180" s="103" t="s">
        <v>30836</v>
      </c>
      <c r="F3180" s="104"/>
      <c r="G3180" s="105">
        <f t="shared" si="196"/>
        <v>3993.31</v>
      </c>
      <c r="H3180" s="101" t="str">
        <f t="shared" si="197"/>
        <v>Sinapi 41026</v>
      </c>
      <c r="I3180" s="101" t="str">
        <f t="shared" si="198"/>
        <v>MES</v>
      </c>
      <c r="J3180" s="140" t="str">
        <f t="shared" si="199"/>
        <v>OPERADOR DE MOTO SCRAPER (MENSALISTA)</v>
      </c>
    </row>
    <row r="3181" spans="1:10" x14ac:dyDescent="0.25">
      <c r="A3181" s="169">
        <v>4239</v>
      </c>
      <c r="B3181" s="169" t="s">
        <v>26664</v>
      </c>
      <c r="C3181" s="169" t="s">
        <v>10228</v>
      </c>
      <c r="D3181" s="169" t="s">
        <v>1289</v>
      </c>
      <c r="E3181" s="103" t="s">
        <v>20061</v>
      </c>
      <c r="F3181" s="104"/>
      <c r="G3181" s="105">
        <f t="shared" si="196"/>
        <v>28.15</v>
      </c>
      <c r="H3181" s="101" t="str">
        <f t="shared" si="197"/>
        <v>Sinapi 4239</v>
      </c>
      <c r="I3181" s="101" t="str">
        <f t="shared" si="198"/>
        <v>H</v>
      </c>
      <c r="J3181" s="140" t="str">
        <f t="shared" si="199"/>
        <v>OPERADOR DE MOTONIVELADORA</v>
      </c>
    </row>
    <row r="3182" spans="1:10" x14ac:dyDescent="0.25">
      <c r="A3182" s="169">
        <v>41024</v>
      </c>
      <c r="B3182" s="169" t="s">
        <v>26665</v>
      </c>
      <c r="C3182" s="169" t="s">
        <v>10235</v>
      </c>
      <c r="D3182" s="169" t="s">
        <v>1289</v>
      </c>
      <c r="E3182" s="103" t="s">
        <v>30837</v>
      </c>
      <c r="F3182" s="104"/>
      <c r="G3182" s="105">
        <f t="shared" si="196"/>
        <v>4899.07</v>
      </c>
      <c r="H3182" s="101" t="str">
        <f t="shared" si="197"/>
        <v>Sinapi 41024</v>
      </c>
      <c r="I3182" s="101" t="str">
        <f t="shared" si="198"/>
        <v>MES</v>
      </c>
      <c r="J3182" s="140" t="str">
        <f t="shared" si="199"/>
        <v>OPERADOR DE MOTONIVELADORA (MENSALISTA)</v>
      </c>
    </row>
    <row r="3183" spans="1:10" x14ac:dyDescent="0.25">
      <c r="A3183" s="169">
        <v>4248</v>
      </c>
      <c r="B3183" s="169" t="s">
        <v>26666</v>
      </c>
      <c r="C3183" s="169" t="s">
        <v>10228</v>
      </c>
      <c r="D3183" s="169" t="s">
        <v>1289</v>
      </c>
      <c r="E3183" s="103" t="s">
        <v>19277</v>
      </c>
      <c r="F3183" s="104"/>
      <c r="G3183" s="105">
        <f t="shared" si="196"/>
        <v>21.35</v>
      </c>
      <c r="H3183" s="101" t="str">
        <f t="shared" si="197"/>
        <v>Sinapi 4248</v>
      </c>
      <c r="I3183" s="101" t="str">
        <f t="shared" si="198"/>
        <v>H</v>
      </c>
      <c r="J3183" s="140" t="str">
        <f t="shared" si="199"/>
        <v>OPERADOR DE PA CARREGADEIRA</v>
      </c>
    </row>
    <row r="3184" spans="1:10" x14ac:dyDescent="0.25">
      <c r="A3184" s="169">
        <v>41033</v>
      </c>
      <c r="B3184" s="169" t="s">
        <v>26667</v>
      </c>
      <c r="C3184" s="169" t="s">
        <v>10235</v>
      </c>
      <c r="D3184" s="169" t="s">
        <v>1289</v>
      </c>
      <c r="E3184" s="103" t="s">
        <v>30838</v>
      </c>
      <c r="F3184" s="104"/>
      <c r="G3184" s="105">
        <f t="shared" si="196"/>
        <v>3716.4</v>
      </c>
      <c r="H3184" s="101" t="str">
        <f t="shared" si="197"/>
        <v>Sinapi 41033</v>
      </c>
      <c r="I3184" s="101" t="str">
        <f t="shared" si="198"/>
        <v>MES</v>
      </c>
      <c r="J3184" s="140" t="str">
        <f t="shared" si="199"/>
        <v>OPERADOR DE PA CARREGADEIRA (MENSALISTA)</v>
      </c>
    </row>
    <row r="3185" spans="1:10" x14ac:dyDescent="0.25">
      <c r="A3185" s="169">
        <v>41040</v>
      </c>
      <c r="B3185" s="169" t="s">
        <v>26668</v>
      </c>
      <c r="C3185" s="169" t="s">
        <v>10235</v>
      </c>
      <c r="D3185" s="169" t="s">
        <v>1289</v>
      </c>
      <c r="E3185" s="103" t="s">
        <v>30839</v>
      </c>
      <c r="F3185" s="104"/>
      <c r="G3185" s="105">
        <f t="shared" si="196"/>
        <v>4122.7</v>
      </c>
      <c r="H3185" s="101" t="str">
        <f t="shared" si="197"/>
        <v>Sinapi 41040</v>
      </c>
      <c r="I3185" s="101" t="str">
        <f t="shared" si="198"/>
        <v>MES</v>
      </c>
      <c r="J3185" s="140" t="str">
        <f t="shared" si="199"/>
        <v>OPERADOR DE PAVIMENTADORA / MESA VIBROACABADORA (MENSALISTA)</v>
      </c>
    </row>
    <row r="3186" spans="1:10" x14ac:dyDescent="0.25">
      <c r="A3186" s="169">
        <v>44500</v>
      </c>
      <c r="B3186" s="169" t="s">
        <v>26669</v>
      </c>
      <c r="C3186" s="169" t="s">
        <v>10228</v>
      </c>
      <c r="D3186" s="169" t="s">
        <v>1289</v>
      </c>
      <c r="E3186" s="103" t="s">
        <v>30840</v>
      </c>
      <c r="F3186" s="104"/>
      <c r="G3186" s="105">
        <f t="shared" si="196"/>
        <v>23.68</v>
      </c>
      <c r="H3186" s="101" t="str">
        <f t="shared" si="197"/>
        <v>Sinapi 44500</v>
      </c>
      <c r="I3186" s="101" t="str">
        <f t="shared" si="198"/>
        <v>H</v>
      </c>
      <c r="J3186" s="140" t="str">
        <f t="shared" si="199"/>
        <v>OPERADOR DE PAVIMENTADORA / MESA VIBROACABADORA HORISTA</v>
      </c>
    </row>
    <row r="3187" spans="1:10" x14ac:dyDescent="0.25">
      <c r="A3187" s="169">
        <v>4238</v>
      </c>
      <c r="B3187" s="169" t="s">
        <v>26670</v>
      </c>
      <c r="C3187" s="169" t="s">
        <v>10228</v>
      </c>
      <c r="D3187" s="169" t="s">
        <v>1289</v>
      </c>
      <c r="E3187" s="103" t="s">
        <v>15522</v>
      </c>
      <c r="F3187" s="104"/>
      <c r="G3187" s="105">
        <f t="shared" si="196"/>
        <v>17.48</v>
      </c>
      <c r="H3187" s="101" t="str">
        <f t="shared" si="197"/>
        <v>Sinapi 4238</v>
      </c>
      <c r="I3187" s="101" t="str">
        <f t="shared" si="198"/>
        <v>H</v>
      </c>
      <c r="J3187" s="140" t="str">
        <f t="shared" si="199"/>
        <v>OPERADOR DE ROLO COMPACTADOR</v>
      </c>
    </row>
    <row r="3188" spans="1:10" x14ac:dyDescent="0.25">
      <c r="A3188" s="169">
        <v>41012</v>
      </c>
      <c r="B3188" s="169" t="s">
        <v>26671</v>
      </c>
      <c r="C3188" s="169" t="s">
        <v>10235</v>
      </c>
      <c r="D3188" s="169" t="s">
        <v>1289</v>
      </c>
      <c r="E3188" s="103" t="s">
        <v>30841</v>
      </c>
      <c r="F3188" s="104"/>
      <c r="G3188" s="105">
        <f t="shared" si="196"/>
        <v>3045.17</v>
      </c>
      <c r="H3188" s="101" t="str">
        <f t="shared" si="197"/>
        <v>Sinapi 41012</v>
      </c>
      <c r="I3188" s="101" t="str">
        <f t="shared" si="198"/>
        <v>MES</v>
      </c>
      <c r="J3188" s="140" t="str">
        <f t="shared" si="199"/>
        <v>OPERADOR DE ROLO COMPACTADOR (MENSALISTA)</v>
      </c>
    </row>
    <row r="3189" spans="1:10" x14ac:dyDescent="0.25">
      <c r="A3189" s="169">
        <v>4237</v>
      </c>
      <c r="B3189" s="169" t="s">
        <v>26672</v>
      </c>
      <c r="C3189" s="169" t="s">
        <v>10228</v>
      </c>
      <c r="D3189" s="169" t="s">
        <v>1289</v>
      </c>
      <c r="E3189" s="103" t="s">
        <v>22837</v>
      </c>
      <c r="F3189" s="104"/>
      <c r="G3189" s="105">
        <f t="shared" si="196"/>
        <v>18.84</v>
      </c>
      <c r="H3189" s="101" t="str">
        <f t="shared" si="197"/>
        <v>Sinapi 4237</v>
      </c>
      <c r="I3189" s="101" t="str">
        <f t="shared" si="198"/>
        <v>H</v>
      </c>
      <c r="J3189" s="140" t="str">
        <f t="shared" si="199"/>
        <v>OPERADOR DE TRATOR - EXCLUSIVE AGROPECUARIA</v>
      </c>
    </row>
    <row r="3190" spans="1:10" x14ac:dyDescent="0.25">
      <c r="A3190" s="169">
        <v>41002</v>
      </c>
      <c r="B3190" s="169" t="s">
        <v>26673</v>
      </c>
      <c r="C3190" s="169" t="s">
        <v>10235</v>
      </c>
      <c r="D3190" s="169" t="s">
        <v>1289</v>
      </c>
      <c r="E3190" s="103" t="s">
        <v>30842</v>
      </c>
      <c r="F3190" s="104"/>
      <c r="G3190" s="105">
        <f t="shared" si="196"/>
        <v>3281.62</v>
      </c>
      <c r="H3190" s="101" t="str">
        <f t="shared" si="197"/>
        <v>Sinapi 41002</v>
      </c>
      <c r="I3190" s="101" t="str">
        <f t="shared" si="198"/>
        <v>MES</v>
      </c>
      <c r="J3190" s="140" t="str">
        <f t="shared" si="199"/>
        <v>OPERADOR DE TRATOR - EXCLUSIVE AGROPECUARIA (MENSALISTA)</v>
      </c>
    </row>
    <row r="3191" spans="1:10" x14ac:dyDescent="0.25">
      <c r="A3191" s="169">
        <v>4233</v>
      </c>
      <c r="B3191" s="169" t="s">
        <v>26674</v>
      </c>
      <c r="C3191" s="169" t="s">
        <v>10228</v>
      </c>
      <c r="D3191" s="169" t="s">
        <v>1289</v>
      </c>
      <c r="E3191" s="103" t="s">
        <v>28991</v>
      </c>
      <c r="F3191" s="104"/>
      <c r="G3191" s="105">
        <f t="shared" si="196"/>
        <v>20.329999999999998</v>
      </c>
      <c r="H3191" s="101" t="str">
        <f t="shared" si="197"/>
        <v>Sinapi 4233</v>
      </c>
      <c r="I3191" s="101" t="str">
        <f t="shared" si="198"/>
        <v>H</v>
      </c>
      <c r="J3191" s="140" t="str">
        <f t="shared" si="199"/>
        <v>OPERADOR DE USINA DE ASFALTO, DE SOLOS OU DE CONCRETO</v>
      </c>
    </row>
    <row r="3192" spans="1:10" x14ac:dyDescent="0.25">
      <c r="A3192" s="169">
        <v>41001</v>
      </c>
      <c r="B3192" s="169" t="s">
        <v>26675</v>
      </c>
      <c r="C3192" s="169" t="s">
        <v>10235</v>
      </c>
      <c r="D3192" s="169" t="s">
        <v>1289</v>
      </c>
      <c r="E3192" s="103" t="s">
        <v>30843</v>
      </c>
      <c r="F3192" s="104"/>
      <c r="G3192" s="105">
        <f t="shared" si="196"/>
        <v>3540.45</v>
      </c>
      <c r="H3192" s="101" t="str">
        <f t="shared" si="197"/>
        <v>Sinapi 41001</v>
      </c>
      <c r="I3192" s="101" t="str">
        <f t="shared" si="198"/>
        <v>MES</v>
      </c>
      <c r="J3192" s="140" t="str">
        <f t="shared" si="199"/>
        <v>OPERADOR DE USINA DE ASFALTO, DE SOLOS OU DE CONCRETO (MENSALISTA)</v>
      </c>
    </row>
    <row r="3193" spans="1:10" x14ac:dyDescent="0.25">
      <c r="A3193" s="169">
        <v>2</v>
      </c>
      <c r="B3193" s="169" t="s">
        <v>93</v>
      </c>
      <c r="C3193" s="169" t="s">
        <v>10234</v>
      </c>
      <c r="D3193" s="169" t="s">
        <v>1290</v>
      </c>
      <c r="E3193" s="103" t="s">
        <v>14797</v>
      </c>
      <c r="F3193" s="104"/>
      <c r="G3193" s="105">
        <f t="shared" si="196"/>
        <v>17.2</v>
      </c>
      <c r="H3193" s="101" t="str">
        <f t="shared" si="197"/>
        <v>Sinapi 2</v>
      </c>
      <c r="I3193" s="101" t="str">
        <f t="shared" si="198"/>
        <v>M3</v>
      </c>
      <c r="J3193" s="140" t="str">
        <f t="shared" si="199"/>
        <v>OXIGENIO, RECARGA PARA CILINDRO DE CONJUNTO OXICORTE GRANDE</v>
      </c>
    </row>
    <row r="3194" spans="1:10" x14ac:dyDescent="0.25">
      <c r="A3194" s="169">
        <v>36517</v>
      </c>
      <c r="B3194" s="169" t="s">
        <v>26676</v>
      </c>
      <c r="C3194" s="169" t="s">
        <v>10225</v>
      </c>
      <c r="D3194" s="169" t="s">
        <v>1290</v>
      </c>
      <c r="E3194" s="103" t="s">
        <v>30844</v>
      </c>
      <c r="F3194" s="104"/>
      <c r="G3194" s="105">
        <f t="shared" si="196"/>
        <v>559440</v>
      </c>
      <c r="H3194" s="101" t="str">
        <f t="shared" si="197"/>
        <v>Sinapi 36517</v>
      </c>
      <c r="I3194" s="101" t="str">
        <f t="shared" si="198"/>
        <v>UN</v>
      </c>
      <c r="J3194" s="140" t="str">
        <f t="shared" si="199"/>
        <v>PA CARREGADEIRA SOBRE RODAS, POTENCIA BRUTA *127* CV, CAPACIDADE DA CACAMBA DE 2,0 A 2,4 M3, PESO OPERACIONAL MAXIMO DE 10330 KG</v>
      </c>
    </row>
    <row r="3195" spans="1:10" x14ac:dyDescent="0.25">
      <c r="A3195" s="169">
        <v>4262</v>
      </c>
      <c r="B3195" s="169" t="s">
        <v>26677</v>
      </c>
      <c r="C3195" s="169" t="s">
        <v>10225</v>
      </c>
      <c r="D3195" s="169" t="s">
        <v>1290</v>
      </c>
      <c r="E3195" s="103" t="s">
        <v>30845</v>
      </c>
      <c r="F3195" s="104"/>
      <c r="G3195" s="105">
        <f t="shared" si="196"/>
        <v>630000</v>
      </c>
      <c r="H3195" s="101" t="str">
        <f t="shared" si="197"/>
        <v>Sinapi 4262</v>
      </c>
      <c r="I3195" s="101" t="str">
        <f t="shared" si="198"/>
        <v>UN</v>
      </c>
      <c r="J3195" s="140" t="str">
        <f t="shared" si="199"/>
        <v>PA CARREGADEIRA SOBRE RODAS, POTENCIA LIQUIDA 128 HP, CAPACIDADE DA CACAMBA DE 1,7 A 2,8 M3, PESO OPERACIONAL MAXIMO DE 11632 KG</v>
      </c>
    </row>
    <row r="3196" spans="1:10" x14ac:dyDescent="0.25">
      <c r="A3196" s="169">
        <v>4263</v>
      </c>
      <c r="B3196" s="169" t="s">
        <v>26678</v>
      </c>
      <c r="C3196" s="169" t="s">
        <v>10225</v>
      </c>
      <c r="D3196" s="169" t="s">
        <v>1290</v>
      </c>
      <c r="E3196" s="103" t="s">
        <v>30846</v>
      </c>
      <c r="F3196" s="104"/>
      <c r="G3196" s="105">
        <f t="shared" si="196"/>
        <v>873599.95</v>
      </c>
      <c r="H3196" s="101" t="str">
        <f t="shared" si="197"/>
        <v>Sinapi 4263</v>
      </c>
      <c r="I3196" s="101" t="str">
        <f t="shared" si="198"/>
        <v>UN</v>
      </c>
      <c r="J3196" s="140" t="str">
        <f t="shared" si="199"/>
        <v>PA CARREGADEIRA SOBRE RODAS, POTENCIA LIQUIDA 197 HP, CAPACIDADE DA CACAMBA DE 2,5 A 3,5 M3, PESO OPERACIONAL MAXIMO DE 18338 KG</v>
      </c>
    </row>
    <row r="3197" spans="1:10" x14ac:dyDescent="0.25">
      <c r="A3197" s="169">
        <v>36518</v>
      </c>
      <c r="B3197" s="169" t="s">
        <v>26679</v>
      </c>
      <c r="C3197" s="169" t="s">
        <v>10225</v>
      </c>
      <c r="D3197" s="169" t="s">
        <v>1290</v>
      </c>
      <c r="E3197" s="103" t="s">
        <v>30847</v>
      </c>
      <c r="F3197" s="104"/>
      <c r="G3197" s="105">
        <f t="shared" si="196"/>
        <v>994559.95</v>
      </c>
      <c r="H3197" s="101" t="str">
        <f t="shared" si="197"/>
        <v>Sinapi 36518</v>
      </c>
      <c r="I3197" s="101" t="str">
        <f t="shared" si="198"/>
        <v>UN</v>
      </c>
      <c r="J3197" s="140" t="str">
        <f t="shared" si="199"/>
        <v>PA CARREGADEIRA SOBRE RODAS, POTENCIA LIQUIDA 213 HP, CAPACIDADE DA CACAMBA DE 1,9 A 3,5 M3, PESO OPERACIONAL MAXIMO DE 19234 KG</v>
      </c>
    </row>
    <row r="3198" spans="1:10" x14ac:dyDescent="0.25">
      <c r="A3198" s="169">
        <v>14221</v>
      </c>
      <c r="B3198" s="169" t="s">
        <v>26680</v>
      </c>
      <c r="C3198" s="169" t="s">
        <v>10225</v>
      </c>
      <c r="D3198" s="169" t="s">
        <v>1290</v>
      </c>
      <c r="E3198" s="103" t="s">
        <v>30848</v>
      </c>
      <c r="F3198" s="104"/>
      <c r="G3198" s="105">
        <f t="shared" si="196"/>
        <v>580439.97</v>
      </c>
      <c r="H3198" s="101" t="str">
        <f t="shared" si="197"/>
        <v>Sinapi 14221</v>
      </c>
      <c r="I3198" s="101" t="str">
        <f t="shared" si="198"/>
        <v>UN</v>
      </c>
      <c r="J3198" s="140" t="str">
        <f t="shared" si="199"/>
        <v>PA CARREGADEIRA SOBRE RODAS, POTENCIA 152 HP, CAPACIDADE DA CACAMBA DE 1,53 A 2,30 M3, PESO OPERACIONAL MAXIMO DE 10216 KG</v>
      </c>
    </row>
    <row r="3199" spans="1:10" x14ac:dyDescent="0.25">
      <c r="A3199" s="169">
        <v>38402</v>
      </c>
      <c r="B3199" s="169" t="s">
        <v>26681</v>
      </c>
      <c r="C3199" s="169" t="s">
        <v>10225</v>
      </c>
      <c r="D3199" s="169" t="s">
        <v>1289</v>
      </c>
      <c r="E3199" s="103" t="s">
        <v>6598</v>
      </c>
      <c r="F3199" s="104"/>
      <c r="G3199" s="105">
        <f t="shared" si="196"/>
        <v>18.39</v>
      </c>
      <c r="H3199" s="101" t="str">
        <f t="shared" si="197"/>
        <v>Sinapi 38402</v>
      </c>
      <c r="I3199" s="101" t="str">
        <f t="shared" si="198"/>
        <v>UN</v>
      </c>
      <c r="J3199" s="140" t="str">
        <f t="shared" si="199"/>
        <v>PA DE LIXO PLASTICA, CABO LONGO</v>
      </c>
    </row>
    <row r="3200" spans="1:10" x14ac:dyDescent="0.25">
      <c r="A3200" s="169">
        <v>3412</v>
      </c>
      <c r="B3200" s="169" t="s">
        <v>26682</v>
      </c>
      <c r="C3200" s="169" t="s">
        <v>10226</v>
      </c>
      <c r="D3200" s="169" t="s">
        <v>1290</v>
      </c>
      <c r="E3200" s="103" t="s">
        <v>16356</v>
      </c>
      <c r="F3200" s="104"/>
      <c r="G3200" s="105">
        <f t="shared" si="196"/>
        <v>26.54</v>
      </c>
      <c r="H3200" s="101" t="str">
        <f t="shared" si="197"/>
        <v>Sinapi 3412</v>
      </c>
      <c r="I3200" s="101" t="str">
        <f t="shared" si="198"/>
        <v>M2</v>
      </c>
      <c r="J3200" s="140" t="str">
        <f t="shared" si="199"/>
        <v>PAINEL DE LA DE VIDRO SEM REVESTIMENTO PSI 20, E = 25 MM, DE 1200 X 600 MM</v>
      </c>
    </row>
    <row r="3201" spans="1:10" x14ac:dyDescent="0.25">
      <c r="A3201" s="169">
        <v>3413</v>
      </c>
      <c r="B3201" s="169" t="s">
        <v>26683</v>
      </c>
      <c r="C3201" s="169" t="s">
        <v>10226</v>
      </c>
      <c r="D3201" s="169" t="s">
        <v>1290</v>
      </c>
      <c r="E3201" s="103" t="s">
        <v>30849</v>
      </c>
      <c r="F3201" s="104"/>
      <c r="G3201" s="105">
        <f t="shared" si="196"/>
        <v>59.74</v>
      </c>
      <c r="H3201" s="101" t="str">
        <f t="shared" si="197"/>
        <v>Sinapi 3413</v>
      </c>
      <c r="I3201" s="101" t="str">
        <f t="shared" si="198"/>
        <v>M2</v>
      </c>
      <c r="J3201" s="140" t="str">
        <f t="shared" si="199"/>
        <v>PAINEL DE LA DE VIDRO SEM REVESTIMENTO PSI 20, E = 50 MM, DE 1200 X 600 MM</v>
      </c>
    </row>
    <row r="3202" spans="1:10" x14ac:dyDescent="0.25">
      <c r="A3202" s="169">
        <v>39744</v>
      </c>
      <c r="B3202" s="169" t="s">
        <v>26684</v>
      </c>
      <c r="C3202" s="169" t="s">
        <v>10226</v>
      </c>
      <c r="D3202" s="169" t="s">
        <v>1290</v>
      </c>
      <c r="E3202" s="103" t="s">
        <v>30850</v>
      </c>
      <c r="F3202" s="104"/>
      <c r="G3202" s="105">
        <f t="shared" si="196"/>
        <v>46.39</v>
      </c>
      <c r="H3202" s="101" t="str">
        <f t="shared" si="197"/>
        <v>Sinapi 39744</v>
      </c>
      <c r="I3202" s="101" t="str">
        <f t="shared" si="198"/>
        <v>M2</v>
      </c>
      <c r="J3202" s="140" t="str">
        <f t="shared" si="199"/>
        <v>PAINEL DE LA DE VIDRO SEM REVESTIMENTO PSI 40, E = 25 MM, DE 1200 X 600 MM</v>
      </c>
    </row>
    <row r="3203" spans="1:10" x14ac:dyDescent="0.25">
      <c r="A3203" s="169">
        <v>39745</v>
      </c>
      <c r="B3203" s="169" t="s">
        <v>26686</v>
      </c>
      <c r="C3203" s="169" t="s">
        <v>10226</v>
      </c>
      <c r="D3203" s="169" t="s">
        <v>1290</v>
      </c>
      <c r="E3203" s="103" t="s">
        <v>23233</v>
      </c>
      <c r="F3203" s="104"/>
      <c r="G3203" s="105">
        <f t="shared" si="196"/>
        <v>97.91</v>
      </c>
      <c r="H3203" s="101" t="str">
        <f t="shared" si="197"/>
        <v>Sinapi 39745</v>
      </c>
      <c r="I3203" s="101" t="str">
        <f t="shared" si="198"/>
        <v>M2</v>
      </c>
      <c r="J3203" s="140" t="str">
        <f t="shared" si="199"/>
        <v>PAINEL DE LA DE VIDRO SEM REVESTIMENTO PSI 40, E = 50 MM, DE 1200 X 600 MM</v>
      </c>
    </row>
    <row r="3204" spans="1:10" x14ac:dyDescent="0.25">
      <c r="A3204" s="169">
        <v>39637</v>
      </c>
      <c r="B3204" s="169" t="s">
        <v>26687</v>
      </c>
      <c r="C3204" s="169" t="s">
        <v>10226</v>
      </c>
      <c r="D3204" s="169" t="s">
        <v>1289</v>
      </c>
      <c r="E3204" s="103" t="s">
        <v>30851</v>
      </c>
      <c r="F3204" s="104"/>
      <c r="G3204" s="105">
        <f t="shared" si="196"/>
        <v>137.94999999999999</v>
      </c>
      <c r="H3204" s="101" t="str">
        <f t="shared" si="197"/>
        <v>Sinapi 39637</v>
      </c>
      <c r="I3204" s="101" t="str">
        <f t="shared" si="198"/>
        <v>M2</v>
      </c>
      <c r="J3204" s="140" t="str">
        <f t="shared" si="199"/>
        <v>PAINEL ESTRUTURAL PARA LAJE SECA REVESTIDO EM PLACA CIMENTICIA, DE 1,20 X 2,50 M, E = 23 MM</v>
      </c>
    </row>
    <row r="3205" spans="1:10" x14ac:dyDescent="0.25">
      <c r="A3205" s="169">
        <v>39638</v>
      </c>
      <c r="B3205" s="169" t="s">
        <v>26688</v>
      </c>
      <c r="C3205" s="169" t="s">
        <v>10226</v>
      </c>
      <c r="D3205" s="169" t="s">
        <v>1289</v>
      </c>
      <c r="E3205" s="103" t="s">
        <v>30852</v>
      </c>
      <c r="F3205" s="104"/>
      <c r="G3205" s="105">
        <f t="shared" si="196"/>
        <v>156.09</v>
      </c>
      <c r="H3205" s="101" t="str">
        <f t="shared" si="197"/>
        <v>Sinapi 39638</v>
      </c>
      <c r="I3205" s="101" t="str">
        <f t="shared" si="198"/>
        <v>M2</v>
      </c>
      <c r="J3205" s="140" t="str">
        <f t="shared" si="199"/>
        <v>PAINEL ESTRUTURAL PARA LAJE SECA REVESTIDO EM PLACA CIMENTICIA, DE 1,20 X 2,50 M, E = 40 MM</v>
      </c>
    </row>
    <row r="3206" spans="1:10" x14ac:dyDescent="0.25">
      <c r="A3206" s="169">
        <v>39639</v>
      </c>
      <c r="B3206" s="169" t="s">
        <v>26690</v>
      </c>
      <c r="C3206" s="169" t="s">
        <v>10226</v>
      </c>
      <c r="D3206" s="169" t="s">
        <v>1289</v>
      </c>
      <c r="E3206" s="103" t="s">
        <v>30853</v>
      </c>
      <c r="F3206" s="104"/>
      <c r="G3206" s="105">
        <f t="shared" si="196"/>
        <v>235.51</v>
      </c>
      <c r="H3206" s="101" t="str">
        <f t="shared" si="197"/>
        <v>Sinapi 39639</v>
      </c>
      <c r="I3206" s="101" t="str">
        <f t="shared" si="198"/>
        <v>M2</v>
      </c>
      <c r="J3206" s="140" t="str">
        <f t="shared" si="199"/>
        <v>PAINEL ESTRUTURAL PARA LAJE SECA REVESTIDO EM PLACA CIMENTICIA, DE 1,20 X 2,50 M, E = 55 MM</v>
      </c>
    </row>
    <row r="3207" spans="1:10" x14ac:dyDescent="0.25">
      <c r="A3207" s="169">
        <v>39517</v>
      </c>
      <c r="B3207" s="169" t="s">
        <v>26691</v>
      </c>
      <c r="C3207" s="169" t="s">
        <v>10226</v>
      </c>
      <c r="D3207" s="169" t="s">
        <v>1289</v>
      </c>
      <c r="E3207" s="103" t="s">
        <v>30854</v>
      </c>
      <c r="F3207" s="104"/>
      <c r="G3207" s="105">
        <f t="shared" si="196"/>
        <v>223.23</v>
      </c>
      <c r="H3207" s="101" t="str">
        <f t="shared" si="197"/>
        <v>Sinapi 39517</v>
      </c>
      <c r="I3207" s="101" t="str">
        <f t="shared" si="198"/>
        <v>M2</v>
      </c>
      <c r="J3207" s="140" t="str">
        <f t="shared" si="199"/>
        <v>PAINEL TERMOISOLANTE PARA FECHAMENTOS VERTICAIS (INCLUI PARAFUSOS DE FIXACAO) REVESTIDO EM ACO GALVALUME, LARGURA UTIL DE 1100 MM, REVESTIMENTO COM ESPESSURA DE 0,50 MM, COM PRE-PINTURA NAS DUAS FACES, NUCLEO EM POLIURETANO (PUR) COM ESPESSURA 40/50 MM</v>
      </c>
    </row>
    <row r="3208" spans="1:10" x14ac:dyDescent="0.25">
      <c r="A3208" s="169">
        <v>39518</v>
      </c>
      <c r="B3208" s="169" t="s">
        <v>26693</v>
      </c>
      <c r="C3208" s="169" t="s">
        <v>10226</v>
      </c>
      <c r="D3208" s="169" t="s">
        <v>1289</v>
      </c>
      <c r="E3208" s="103" t="s">
        <v>28648</v>
      </c>
      <c r="F3208" s="104"/>
      <c r="G3208" s="105">
        <f t="shared" ref="G3208:G3271" si="200">IF(E3208="","",E3208+0)</f>
        <v>264.64</v>
      </c>
      <c r="H3208" s="101" t="str">
        <f t="shared" ref="H3208:H3271" si="201">IF(G3208="","",TRIM(CONCATENATE("Sinapi ",A3208)))</f>
        <v>Sinapi 39518</v>
      </c>
      <c r="I3208" s="101" t="str">
        <f t="shared" ref="I3208:I3271" si="202">TRIM(C3208)</f>
        <v>M2</v>
      </c>
      <c r="J3208" s="140" t="str">
        <f t="shared" si="199"/>
        <v>PAINEL TERMOISOLANTE PARA FECHAMENTOS VERTICAIS (INCLUI PARAFUSOS DE FIXACAO) REVESTIDO EM ACO GALVALUME, LARGURA UTIL DE 1100 MM, REVESTIMENTO COM ESPESSURA DE 0,50 MM, COM PRE-PINTURA NAS DUAS FACES, NUCLEO EM POLIURETANO (PUR) COM ESPESSURA 70/80 MM</v>
      </c>
    </row>
    <row r="3209" spans="1:10" x14ac:dyDescent="0.25">
      <c r="A3209" s="169">
        <v>38366</v>
      </c>
      <c r="B3209" s="169" t="s">
        <v>26694</v>
      </c>
      <c r="C3209" s="169" t="s">
        <v>10226</v>
      </c>
      <c r="D3209" s="169" t="s">
        <v>1289</v>
      </c>
      <c r="E3209" s="103" t="s">
        <v>19291</v>
      </c>
      <c r="F3209" s="104"/>
      <c r="G3209" s="105">
        <f t="shared" si="200"/>
        <v>3.91</v>
      </c>
      <c r="H3209" s="101" t="str">
        <f t="shared" si="201"/>
        <v>Sinapi 38366</v>
      </c>
      <c r="I3209" s="101" t="str">
        <f t="shared" si="202"/>
        <v>M2</v>
      </c>
      <c r="J3209" s="140" t="str">
        <f t="shared" ref="J3209:J3272" si="203">TRIM(B3209)</f>
        <v>PAPEL KRAFT BETUMADO</v>
      </c>
    </row>
    <row r="3210" spans="1:10" x14ac:dyDescent="0.25">
      <c r="A3210" s="169">
        <v>11703</v>
      </c>
      <c r="B3210" s="169" t="s">
        <v>26695</v>
      </c>
      <c r="C3210" s="169" t="s">
        <v>10225</v>
      </c>
      <c r="D3210" s="169" t="s">
        <v>1289</v>
      </c>
      <c r="E3210" s="103" t="s">
        <v>30855</v>
      </c>
      <c r="F3210" s="104"/>
      <c r="G3210" s="105">
        <f t="shared" si="200"/>
        <v>60.52</v>
      </c>
      <c r="H3210" s="101" t="str">
        <f t="shared" si="201"/>
        <v>Sinapi 11703</v>
      </c>
      <c r="I3210" s="101" t="str">
        <f t="shared" si="202"/>
        <v>UN</v>
      </c>
      <c r="J3210" s="140" t="str">
        <f t="shared" si="203"/>
        <v>PAPELEIRA DE PAREDE EM METAL CROMADO SEM TAMPA</v>
      </c>
    </row>
    <row r="3211" spans="1:10" x14ac:dyDescent="0.25">
      <c r="A3211" s="169">
        <v>37400</v>
      </c>
      <c r="B3211" s="169" t="s">
        <v>26696</v>
      </c>
      <c r="C3211" s="169" t="s">
        <v>10225</v>
      </c>
      <c r="D3211" s="169" t="s">
        <v>1289</v>
      </c>
      <c r="E3211" s="103" t="s">
        <v>29437</v>
      </c>
      <c r="F3211" s="104"/>
      <c r="G3211" s="105">
        <f t="shared" si="200"/>
        <v>91.1</v>
      </c>
      <c r="H3211" s="101" t="str">
        <f t="shared" si="201"/>
        <v>Sinapi 37400</v>
      </c>
      <c r="I3211" s="101" t="str">
        <f t="shared" si="202"/>
        <v>UN</v>
      </c>
      <c r="J3211" s="140" t="str">
        <f t="shared" si="203"/>
        <v>PAPELEIRA PLASTICA TIPO DISPENSER PARA PAPEL HIGIENICO ROLAO</v>
      </c>
    </row>
    <row r="3212" spans="1:10" x14ac:dyDescent="0.25">
      <c r="A3212" s="169">
        <v>25400</v>
      </c>
      <c r="B3212" s="169" t="s">
        <v>26698</v>
      </c>
      <c r="C3212" s="169" t="s">
        <v>10225</v>
      </c>
      <c r="D3212" s="169" t="s">
        <v>1289</v>
      </c>
      <c r="E3212" s="103" t="s">
        <v>30856</v>
      </c>
      <c r="F3212" s="104"/>
      <c r="G3212" s="105">
        <f t="shared" si="200"/>
        <v>4841.38</v>
      </c>
      <c r="H3212" s="101" t="str">
        <f t="shared" si="201"/>
        <v>Sinapi 25400</v>
      </c>
      <c r="I3212" s="101" t="str">
        <f t="shared" si="202"/>
        <v>UN</v>
      </c>
      <c r="J3212" s="140" t="str">
        <f t="shared" si="203"/>
        <v>PAR DE TABELAS DE BASQUETE EM COMPENSADO NAVAL, OFICIAL, 1800 X 1200 MM, INCLUINDO ARO DE METAL E REDE EM POLIPROPILENO 100% (SEM SUPORTE DE FIXACAO)</v>
      </c>
    </row>
    <row r="3213" spans="1:10" x14ac:dyDescent="0.25">
      <c r="A3213" s="169">
        <v>4276</v>
      </c>
      <c r="B3213" s="169" t="s">
        <v>26699</v>
      </c>
      <c r="C3213" s="169" t="s">
        <v>10225</v>
      </c>
      <c r="D3213" s="169" t="s">
        <v>1289</v>
      </c>
      <c r="E3213" s="103" t="s">
        <v>30857</v>
      </c>
      <c r="F3213" s="104"/>
      <c r="G3213" s="105">
        <f t="shared" si="200"/>
        <v>194.84</v>
      </c>
      <c r="H3213" s="101" t="str">
        <f t="shared" si="201"/>
        <v>Sinapi 4276</v>
      </c>
      <c r="I3213" s="101" t="str">
        <f t="shared" si="202"/>
        <v>UN</v>
      </c>
      <c r="J3213" s="140" t="str">
        <f t="shared" si="203"/>
        <v>PARA-RAIOS DE DISTRIBUICAO, TENSAO NOMINAL 15 KV, CORRENTE NOMINAL DE DESCARGA 5 KA</v>
      </c>
    </row>
    <row r="3214" spans="1:10" x14ac:dyDescent="0.25">
      <c r="A3214" s="169">
        <v>4273</v>
      </c>
      <c r="B3214" s="169" t="s">
        <v>26700</v>
      </c>
      <c r="C3214" s="169" t="s">
        <v>10225</v>
      </c>
      <c r="D3214" s="169" t="s">
        <v>1289</v>
      </c>
      <c r="E3214" s="103" t="s">
        <v>30858</v>
      </c>
      <c r="F3214" s="104"/>
      <c r="G3214" s="105">
        <f t="shared" si="200"/>
        <v>353.76</v>
      </c>
      <c r="H3214" s="101" t="str">
        <f t="shared" si="201"/>
        <v>Sinapi 4273</v>
      </c>
      <c r="I3214" s="101" t="str">
        <f t="shared" si="202"/>
        <v>UN</v>
      </c>
      <c r="J3214" s="140" t="str">
        <f t="shared" si="203"/>
        <v>PARA-RAIOS DE DISTRIBUICAO, TENSAO NOMINAL 30 KV, CORRENTE NOMINAL DE DESCARGA 10 KA</v>
      </c>
    </row>
    <row r="3215" spans="1:10" x14ac:dyDescent="0.25">
      <c r="A3215" s="169">
        <v>4274</v>
      </c>
      <c r="B3215" s="169" t="s">
        <v>26701</v>
      </c>
      <c r="C3215" s="169" t="s">
        <v>10225</v>
      </c>
      <c r="D3215" s="169" t="s">
        <v>1288</v>
      </c>
      <c r="E3215" s="103" t="s">
        <v>29990</v>
      </c>
      <c r="F3215" s="104"/>
      <c r="G3215" s="105">
        <f t="shared" si="200"/>
        <v>129.41999999999999</v>
      </c>
      <c r="H3215" s="101" t="str">
        <f t="shared" si="201"/>
        <v>Sinapi 4274</v>
      </c>
      <c r="I3215" s="101" t="str">
        <f t="shared" si="202"/>
        <v>UN</v>
      </c>
      <c r="J3215" s="140" t="str">
        <f t="shared" si="203"/>
        <v>PARA-RAIOS TIPO FRANKLIN 350 MM, EM LATAO CROMADO, DUAS DESCIDAS, PARA PROTECAO DE EDIFICACOES CONTRA DESCARGAS ATMOSFERICAS</v>
      </c>
    </row>
    <row r="3216" spans="1:10" x14ac:dyDescent="0.25">
      <c r="A3216" s="169">
        <v>39438</v>
      </c>
      <c r="B3216" s="169" t="s">
        <v>26702</v>
      </c>
      <c r="C3216" s="169" t="s">
        <v>10225</v>
      </c>
      <c r="D3216" s="169" t="s">
        <v>1290</v>
      </c>
      <c r="E3216" s="103" t="s">
        <v>2718</v>
      </c>
      <c r="F3216" s="104"/>
      <c r="G3216" s="105">
        <f t="shared" si="200"/>
        <v>0.3</v>
      </c>
      <c r="H3216" s="101" t="str">
        <f t="shared" si="201"/>
        <v>Sinapi 39438</v>
      </c>
      <c r="I3216" s="101" t="str">
        <f t="shared" si="202"/>
        <v>UN</v>
      </c>
      <c r="J3216" s="140" t="str">
        <f t="shared" si="203"/>
        <v>PARAFUSO CABECA TROMBETA E PONTA AGULHA (GN55), COMPRIMENTO 55 MM, EM ACO FOSFATIZADO, PARA FIXAR CHAPA DE GESSO EM PERFIL DRYWALL METALICO MAXIMO 0,7 MM</v>
      </c>
    </row>
    <row r="3217" spans="1:10" x14ac:dyDescent="0.25">
      <c r="A3217" s="169">
        <v>11963</v>
      </c>
      <c r="B3217" s="169" t="s">
        <v>26703</v>
      </c>
      <c r="C3217" s="169" t="s">
        <v>10225</v>
      </c>
      <c r="D3217" s="169" t="s">
        <v>1290</v>
      </c>
      <c r="E3217" s="103" t="s">
        <v>12325</v>
      </c>
      <c r="F3217" s="104"/>
      <c r="G3217" s="105">
        <f t="shared" si="200"/>
        <v>10.93</v>
      </c>
      <c r="H3217" s="101" t="str">
        <f t="shared" si="201"/>
        <v>Sinapi 11963</v>
      </c>
      <c r="I3217" s="101" t="str">
        <f t="shared" si="202"/>
        <v>UN</v>
      </c>
      <c r="J3217" s="140" t="str">
        <f t="shared" si="203"/>
        <v>PARAFUSO DE ACO TIPO CHUMBADOR PARABOLT, DIAMETRO 1/2", COMPRIMENTO 75 MM</v>
      </c>
    </row>
    <row r="3218" spans="1:10" x14ac:dyDescent="0.25">
      <c r="A3218" s="169">
        <v>11964</v>
      </c>
      <c r="B3218" s="169" t="s">
        <v>910</v>
      </c>
      <c r="C3218" s="169" t="s">
        <v>10225</v>
      </c>
      <c r="D3218" s="169" t="s">
        <v>1290</v>
      </c>
      <c r="E3218" s="103" t="s">
        <v>3769</v>
      </c>
      <c r="F3218" s="104"/>
      <c r="G3218" s="105">
        <f t="shared" si="200"/>
        <v>2.76</v>
      </c>
      <c r="H3218" s="101" t="str">
        <f t="shared" si="201"/>
        <v>Sinapi 11964</v>
      </c>
      <c r="I3218" s="101" t="str">
        <f t="shared" si="202"/>
        <v>UN</v>
      </c>
      <c r="J3218" s="140" t="str">
        <f t="shared" si="203"/>
        <v>PARAFUSO DE ACO TIPO CHUMBADOR PARABOLT, DIAMETRO 3/8", COMPRIMENTO 75 MM</v>
      </c>
    </row>
    <row r="3219" spans="1:10" x14ac:dyDescent="0.25">
      <c r="A3219" s="169">
        <v>4379</v>
      </c>
      <c r="B3219" s="169" t="s">
        <v>26704</v>
      </c>
      <c r="C3219" s="169" t="s">
        <v>10225</v>
      </c>
      <c r="D3219" s="169" t="s">
        <v>1290</v>
      </c>
      <c r="E3219" s="103" t="s">
        <v>2575</v>
      </c>
      <c r="F3219" s="104"/>
      <c r="G3219" s="105">
        <f t="shared" si="200"/>
        <v>0.06</v>
      </c>
      <c r="H3219" s="101" t="str">
        <f t="shared" si="201"/>
        <v>Sinapi 4379</v>
      </c>
      <c r="I3219" s="101" t="str">
        <f t="shared" si="202"/>
        <v>UN</v>
      </c>
      <c r="J3219" s="140" t="str">
        <f t="shared" si="203"/>
        <v>PARAFUSO DE ACO ZINCADO COM ROSCA SOBERBA, CABECA CHATA E FENDA SIMPLES, DIAMETRO 2,5 MM, COMPRIMENTO * 9,5 * MM</v>
      </c>
    </row>
    <row r="3220" spans="1:10" x14ac:dyDescent="0.25">
      <c r="A3220" s="169">
        <v>4377</v>
      </c>
      <c r="B3220" s="169" t="s">
        <v>999</v>
      </c>
      <c r="C3220" s="169" t="s">
        <v>10225</v>
      </c>
      <c r="D3220" s="169" t="s">
        <v>1290</v>
      </c>
      <c r="E3220" s="103" t="s">
        <v>3759</v>
      </c>
      <c r="F3220" s="104"/>
      <c r="G3220" s="105">
        <f t="shared" si="200"/>
        <v>0.21</v>
      </c>
      <c r="H3220" s="101" t="str">
        <f t="shared" si="201"/>
        <v>Sinapi 4377</v>
      </c>
      <c r="I3220" s="101" t="str">
        <f t="shared" si="202"/>
        <v>UN</v>
      </c>
      <c r="J3220" s="140" t="str">
        <f t="shared" si="203"/>
        <v>PARAFUSO DE ACO ZINCADO COM ROSCA SOBERBA, CABECA CHATA E FENDA SIMPLES, DIAMETRO 4,2 MM, COMPRIMENTO * 32 * MM</v>
      </c>
    </row>
    <row r="3221" spans="1:10" x14ac:dyDescent="0.25">
      <c r="A3221" s="169">
        <v>4356</v>
      </c>
      <c r="B3221" s="169" t="s">
        <v>26705</v>
      </c>
      <c r="C3221" s="169" t="s">
        <v>10225</v>
      </c>
      <c r="D3221" s="169" t="s">
        <v>1290</v>
      </c>
      <c r="E3221" s="103" t="s">
        <v>2718</v>
      </c>
      <c r="F3221" s="104"/>
      <c r="G3221" s="105">
        <f t="shared" si="200"/>
        <v>0.3</v>
      </c>
      <c r="H3221" s="101" t="str">
        <f t="shared" si="201"/>
        <v>Sinapi 4356</v>
      </c>
      <c r="I3221" s="101" t="str">
        <f t="shared" si="202"/>
        <v>UN</v>
      </c>
      <c r="J3221" s="140" t="str">
        <f t="shared" si="203"/>
        <v>PARAFUSO DE ACO ZINCADO COM ROSCA SOBERBA, CABECA CHATA E FENDA SIMPLES, DIAMETRO 4,8 MM, COMPRIMENTO 45 MM</v>
      </c>
    </row>
    <row r="3222" spans="1:10" x14ac:dyDescent="0.25">
      <c r="A3222" s="169">
        <v>13246</v>
      </c>
      <c r="B3222" s="169" t="s">
        <v>1045</v>
      </c>
      <c r="C3222" s="169" t="s">
        <v>10225</v>
      </c>
      <c r="D3222" s="169" t="s">
        <v>1290</v>
      </c>
      <c r="E3222" s="103" t="s">
        <v>8322</v>
      </c>
      <c r="F3222" s="104"/>
      <c r="G3222" s="105">
        <f t="shared" si="200"/>
        <v>0.52</v>
      </c>
      <c r="H3222" s="101" t="str">
        <f t="shared" si="201"/>
        <v>Sinapi 13246</v>
      </c>
      <c r="I3222" s="101" t="str">
        <f t="shared" si="202"/>
        <v>UN</v>
      </c>
      <c r="J3222" s="140" t="str">
        <f t="shared" si="203"/>
        <v>PARAFUSO DE FERRO POLIDO, SEXTAVADO, COM ROSCA INTEIRA, DIAMETRO 5/16", COMPRIMENTO 3/4", COM PORCA E ARRUELA LISA LEVE</v>
      </c>
    </row>
    <row r="3223" spans="1:10" x14ac:dyDescent="0.25">
      <c r="A3223" s="169">
        <v>4346</v>
      </c>
      <c r="B3223" s="169" t="s">
        <v>26706</v>
      </c>
      <c r="C3223" s="169" t="s">
        <v>10225</v>
      </c>
      <c r="D3223" s="169" t="s">
        <v>1290</v>
      </c>
      <c r="E3223" s="103" t="s">
        <v>10389</v>
      </c>
      <c r="F3223" s="104"/>
      <c r="G3223" s="105">
        <f t="shared" si="200"/>
        <v>11.71</v>
      </c>
      <c r="H3223" s="101" t="str">
        <f t="shared" si="201"/>
        <v>Sinapi 4346</v>
      </c>
      <c r="I3223" s="101" t="str">
        <f t="shared" si="202"/>
        <v>UN</v>
      </c>
      <c r="J3223" s="140" t="str">
        <f t="shared" si="203"/>
        <v>PARAFUSO DE FERRO POLIDO, SEXTAVADO, COM ROSCA PARCIAL, DIAMETRO 5/8", COMPRIMENTO 6", COM PORCA E ARRUELA DE PRESSAO MEDIA</v>
      </c>
    </row>
    <row r="3224" spans="1:10" x14ac:dyDescent="0.25">
      <c r="A3224" s="169">
        <v>11955</v>
      </c>
      <c r="B3224" s="169" t="s">
        <v>26707</v>
      </c>
      <c r="C3224" s="169" t="s">
        <v>10225</v>
      </c>
      <c r="D3224" s="169" t="s">
        <v>1290</v>
      </c>
      <c r="E3224" s="103" t="s">
        <v>13433</v>
      </c>
      <c r="F3224" s="104"/>
      <c r="G3224" s="105">
        <f t="shared" si="200"/>
        <v>5.13</v>
      </c>
      <c r="H3224" s="101" t="str">
        <f t="shared" si="201"/>
        <v>Sinapi 11955</v>
      </c>
      <c r="I3224" s="101" t="str">
        <f t="shared" si="202"/>
        <v>UN</v>
      </c>
      <c r="J3224" s="140" t="str">
        <f t="shared" si="203"/>
        <v>PARAFUSO DE LATAO COM ACABAMENTO CROMADO PARA FIXAR PECA SANITARIA, INCLUI PORCA CEGA, ARRUELA E BUCHA DE NYLON TAMANHO S-10</v>
      </c>
    </row>
    <row r="3225" spans="1:10" x14ac:dyDescent="0.25">
      <c r="A3225" s="169">
        <v>11960</v>
      </c>
      <c r="B3225" s="169" t="s">
        <v>26708</v>
      </c>
      <c r="C3225" s="169" t="s">
        <v>10225</v>
      </c>
      <c r="D3225" s="169" t="s">
        <v>1290</v>
      </c>
      <c r="E3225" s="103" t="s">
        <v>2994</v>
      </c>
      <c r="F3225" s="104"/>
      <c r="G3225" s="105">
        <f t="shared" si="200"/>
        <v>0.17</v>
      </c>
      <c r="H3225" s="101" t="str">
        <f t="shared" si="201"/>
        <v>Sinapi 11960</v>
      </c>
      <c r="I3225" s="101" t="str">
        <f t="shared" si="202"/>
        <v>UN</v>
      </c>
      <c r="J3225" s="140" t="str">
        <f t="shared" si="203"/>
        <v>PARAFUSO DE LATAO COM ROSCA SOBERBA, CABECA CHATA E FENDA SIMPLES, DIAMETRO 2,5 MM, COMPRIMENTO 12 MM</v>
      </c>
    </row>
    <row r="3226" spans="1:10" x14ac:dyDescent="0.25">
      <c r="A3226" s="169">
        <v>4333</v>
      </c>
      <c r="B3226" s="169" t="s">
        <v>26709</v>
      </c>
      <c r="C3226" s="169" t="s">
        <v>10225</v>
      </c>
      <c r="D3226" s="169" t="s">
        <v>1290</v>
      </c>
      <c r="E3226" s="103" t="s">
        <v>2718</v>
      </c>
      <c r="F3226" s="104"/>
      <c r="G3226" s="105">
        <f t="shared" si="200"/>
        <v>0.3</v>
      </c>
      <c r="H3226" s="101" t="str">
        <f t="shared" si="201"/>
        <v>Sinapi 4333</v>
      </c>
      <c r="I3226" s="101" t="str">
        <f t="shared" si="202"/>
        <v>UN</v>
      </c>
      <c r="J3226" s="140" t="str">
        <f t="shared" si="203"/>
        <v>PARAFUSO DE LATAO COM ROSCA SOBERBA, CABECA CHATA E FENDA SIMPLES, DIAMETRO 3,2 MM, COMPRIMENTO 16 MM</v>
      </c>
    </row>
    <row r="3227" spans="1:10" x14ac:dyDescent="0.25">
      <c r="A3227" s="169">
        <v>4358</v>
      </c>
      <c r="B3227" s="169" t="s">
        <v>26710</v>
      </c>
      <c r="C3227" s="169" t="s">
        <v>10225</v>
      </c>
      <c r="D3227" s="169" t="s">
        <v>1290</v>
      </c>
      <c r="E3227" s="103" t="s">
        <v>22822</v>
      </c>
      <c r="F3227" s="104"/>
      <c r="G3227" s="105">
        <f t="shared" si="200"/>
        <v>2.34</v>
      </c>
      <c r="H3227" s="101" t="str">
        <f t="shared" si="201"/>
        <v>Sinapi 4358</v>
      </c>
      <c r="I3227" s="101" t="str">
        <f t="shared" si="202"/>
        <v>UN</v>
      </c>
      <c r="J3227" s="140" t="str">
        <f t="shared" si="203"/>
        <v>PARAFUSO DE LATAO COM ROSCA SOBERBA, CABECA CHATA E FENDA SIMPLES, DIAMETRO 4,8 MM, COMPRIMENTO 65 MM</v>
      </c>
    </row>
    <row r="3228" spans="1:10" x14ac:dyDescent="0.25">
      <c r="A3228" s="169">
        <v>39435</v>
      </c>
      <c r="B3228" s="169" t="s">
        <v>26711</v>
      </c>
      <c r="C3228" s="169" t="s">
        <v>10225</v>
      </c>
      <c r="D3228" s="169" t="s">
        <v>1290</v>
      </c>
      <c r="E3228" s="103" t="s">
        <v>2883</v>
      </c>
      <c r="F3228" s="104"/>
      <c r="G3228" s="105">
        <f t="shared" si="200"/>
        <v>0.12</v>
      </c>
      <c r="H3228" s="101" t="str">
        <f t="shared" si="201"/>
        <v>Sinapi 39435</v>
      </c>
      <c r="I3228" s="101" t="str">
        <f t="shared" si="202"/>
        <v>UN</v>
      </c>
      <c r="J3228" s="140" t="str">
        <f t="shared" si="203"/>
        <v>PARAFUSO DRY WALL, EM ACO FOSFATIZADO, CABECA TROMBETA E PONTA AGULHA (TA), COMPRIMENTO 25 MM</v>
      </c>
    </row>
    <row r="3229" spans="1:10" x14ac:dyDescent="0.25">
      <c r="A3229" s="169">
        <v>39436</v>
      </c>
      <c r="B3229" s="169" t="s">
        <v>26712</v>
      </c>
      <c r="C3229" s="169" t="s">
        <v>10225</v>
      </c>
      <c r="D3229" s="169" t="s">
        <v>1290</v>
      </c>
      <c r="E3229" s="103" t="s">
        <v>9963</v>
      </c>
      <c r="F3229" s="104"/>
      <c r="G3229" s="105">
        <f t="shared" si="200"/>
        <v>0.2</v>
      </c>
      <c r="H3229" s="101" t="str">
        <f t="shared" si="201"/>
        <v>Sinapi 39436</v>
      </c>
      <c r="I3229" s="101" t="str">
        <f t="shared" si="202"/>
        <v>UN</v>
      </c>
      <c r="J3229" s="140" t="str">
        <f t="shared" si="203"/>
        <v>PARAFUSO DRY WALL, EM ACO FOSFATIZADO, CABECA TROMBETA E PONTA AGULHA (TA), COMPRIMENTO 35 MM</v>
      </c>
    </row>
    <row r="3230" spans="1:10" x14ac:dyDescent="0.25">
      <c r="A3230" s="169">
        <v>39437</v>
      </c>
      <c r="B3230" s="169" t="s">
        <v>26713</v>
      </c>
      <c r="C3230" s="169" t="s">
        <v>10225</v>
      </c>
      <c r="D3230" s="169" t="s">
        <v>1290</v>
      </c>
      <c r="E3230" s="103" t="s">
        <v>2711</v>
      </c>
      <c r="F3230" s="104"/>
      <c r="G3230" s="105">
        <f t="shared" si="200"/>
        <v>0.26</v>
      </c>
      <c r="H3230" s="101" t="str">
        <f t="shared" si="201"/>
        <v>Sinapi 39437</v>
      </c>
      <c r="I3230" s="101" t="str">
        <f t="shared" si="202"/>
        <v>UN</v>
      </c>
      <c r="J3230" s="140" t="str">
        <f t="shared" si="203"/>
        <v>PARAFUSO DRY WALL, EM ACO FOSFATIZADO, CABECA TROMBETA E PONTA AGULHA (TA), COMPRIMENTO 45 MM</v>
      </c>
    </row>
    <row r="3231" spans="1:10" x14ac:dyDescent="0.25">
      <c r="A3231" s="169">
        <v>39439</v>
      </c>
      <c r="B3231" s="169" t="s">
        <v>26714</v>
      </c>
      <c r="C3231" s="169" t="s">
        <v>10225</v>
      </c>
      <c r="D3231" s="169" t="s">
        <v>1290</v>
      </c>
      <c r="E3231" s="103" t="s">
        <v>2537</v>
      </c>
      <c r="F3231" s="104"/>
      <c r="G3231" s="105">
        <f t="shared" si="200"/>
        <v>0.18</v>
      </c>
      <c r="H3231" s="101" t="str">
        <f t="shared" si="201"/>
        <v>Sinapi 39439</v>
      </c>
      <c r="I3231" s="101" t="str">
        <f t="shared" si="202"/>
        <v>UN</v>
      </c>
      <c r="J3231" s="140" t="str">
        <f t="shared" si="203"/>
        <v>PARAFUSO DRY WALL, EM ACO FOSFATIZADO, CABECA TROMBETA E PONTA BROCA (TB), COMPRIMENTO 25 MM</v>
      </c>
    </row>
    <row r="3232" spans="1:10" x14ac:dyDescent="0.25">
      <c r="A3232" s="169">
        <v>39440</v>
      </c>
      <c r="B3232" s="169" t="s">
        <v>26715</v>
      </c>
      <c r="C3232" s="169" t="s">
        <v>10225</v>
      </c>
      <c r="D3232" s="169" t="s">
        <v>1290</v>
      </c>
      <c r="E3232" s="103" t="s">
        <v>9258</v>
      </c>
      <c r="F3232" s="104"/>
      <c r="G3232" s="105">
        <f t="shared" si="200"/>
        <v>0.23</v>
      </c>
      <c r="H3232" s="101" t="str">
        <f t="shared" si="201"/>
        <v>Sinapi 39440</v>
      </c>
      <c r="I3232" s="101" t="str">
        <f t="shared" si="202"/>
        <v>UN</v>
      </c>
      <c r="J3232" s="140" t="str">
        <f t="shared" si="203"/>
        <v>PARAFUSO DRY WALL, EM ACO FOSFATIZADO, CABECA TROMBETA E PONTA BROCA (TB), COMPRIMENTO 35 MM</v>
      </c>
    </row>
    <row r="3233" spans="1:10" x14ac:dyDescent="0.25">
      <c r="A3233" s="169">
        <v>39441</v>
      </c>
      <c r="B3233" s="169" t="s">
        <v>26716</v>
      </c>
      <c r="C3233" s="169" t="s">
        <v>10225</v>
      </c>
      <c r="D3233" s="169" t="s">
        <v>1290</v>
      </c>
      <c r="E3233" s="103" t="s">
        <v>2981</v>
      </c>
      <c r="F3233" s="104"/>
      <c r="G3233" s="105">
        <f t="shared" si="200"/>
        <v>0.28999999999999998</v>
      </c>
      <c r="H3233" s="101" t="str">
        <f t="shared" si="201"/>
        <v>Sinapi 39441</v>
      </c>
      <c r="I3233" s="101" t="str">
        <f t="shared" si="202"/>
        <v>UN</v>
      </c>
      <c r="J3233" s="140" t="str">
        <f t="shared" si="203"/>
        <v>PARAFUSO DRY WALL, EM ACO FOSFATIZADO, CABECA TROMBETA E PONTA BROCA (TB), COMPRIMENTO 45 MM</v>
      </c>
    </row>
    <row r="3234" spans="1:10" x14ac:dyDescent="0.25">
      <c r="A3234" s="169">
        <v>39442</v>
      </c>
      <c r="B3234" s="169" t="s">
        <v>26717</v>
      </c>
      <c r="C3234" s="169" t="s">
        <v>10225</v>
      </c>
      <c r="D3234" s="169" t="s">
        <v>1290</v>
      </c>
      <c r="E3234" s="103" t="s">
        <v>3759</v>
      </c>
      <c r="F3234" s="104"/>
      <c r="G3234" s="105">
        <f t="shared" si="200"/>
        <v>0.21</v>
      </c>
      <c r="H3234" s="101" t="str">
        <f t="shared" si="201"/>
        <v>Sinapi 39442</v>
      </c>
      <c r="I3234" s="101" t="str">
        <f t="shared" si="202"/>
        <v>UN</v>
      </c>
      <c r="J3234" s="140" t="str">
        <f t="shared" si="203"/>
        <v>PARAFUSO DRY WALL, EM ACO ZINCADO, CABECA LENTILHA E PONTA AGULHA (LA), LARGURA 4,2 MM, COMPRIMENTO 13 MM</v>
      </c>
    </row>
    <row r="3235" spans="1:10" x14ac:dyDescent="0.25">
      <c r="A3235" s="169">
        <v>39443</v>
      </c>
      <c r="B3235" s="169" t="s">
        <v>26718</v>
      </c>
      <c r="C3235" s="169" t="s">
        <v>10225</v>
      </c>
      <c r="D3235" s="169" t="s">
        <v>1290</v>
      </c>
      <c r="E3235" s="103" t="s">
        <v>3711</v>
      </c>
      <c r="F3235" s="104"/>
      <c r="G3235" s="105">
        <f t="shared" si="200"/>
        <v>0.28000000000000003</v>
      </c>
      <c r="H3235" s="101" t="str">
        <f t="shared" si="201"/>
        <v>Sinapi 39443</v>
      </c>
      <c r="I3235" s="101" t="str">
        <f t="shared" si="202"/>
        <v>UN</v>
      </c>
      <c r="J3235" s="140" t="str">
        <f t="shared" si="203"/>
        <v>PARAFUSO DRY WALL, EM ACO ZINCADO, CABECA LENTILHA E PONTA BROCA (LB), LARGURA 4,2 MM, COMPRIMENTO 13 MM</v>
      </c>
    </row>
    <row r="3236" spans="1:10" x14ac:dyDescent="0.25">
      <c r="A3236" s="169">
        <v>4329</v>
      </c>
      <c r="B3236" s="169" t="s">
        <v>26719</v>
      </c>
      <c r="C3236" s="169" t="s">
        <v>10225</v>
      </c>
      <c r="D3236" s="169" t="s">
        <v>1290</v>
      </c>
      <c r="E3236" s="103" t="s">
        <v>19840</v>
      </c>
      <c r="F3236" s="104"/>
      <c r="G3236" s="105">
        <f t="shared" si="200"/>
        <v>2.5</v>
      </c>
      <c r="H3236" s="101" t="str">
        <f t="shared" si="201"/>
        <v>Sinapi 4329</v>
      </c>
      <c r="I3236" s="101" t="str">
        <f t="shared" si="202"/>
        <v>UN</v>
      </c>
      <c r="J3236" s="140" t="str">
        <f t="shared" si="203"/>
        <v>PARAFUSO EM ACO GALVANIZADO, TIPO MAQUINA, SEXTAVADO, SEM PORCA, DIAMETRO 1/2", COMPRIMENTO 2"</v>
      </c>
    </row>
    <row r="3237" spans="1:10" x14ac:dyDescent="0.25">
      <c r="A3237" s="169">
        <v>4383</v>
      </c>
      <c r="B3237" s="169" t="s">
        <v>26720</v>
      </c>
      <c r="C3237" s="169" t="s">
        <v>10225</v>
      </c>
      <c r="D3237" s="169" t="s">
        <v>1290</v>
      </c>
      <c r="E3237" s="103" t="s">
        <v>17142</v>
      </c>
      <c r="F3237" s="104"/>
      <c r="G3237" s="105">
        <f t="shared" si="200"/>
        <v>22.6</v>
      </c>
      <c r="H3237" s="101" t="str">
        <f t="shared" si="201"/>
        <v>Sinapi 4383</v>
      </c>
      <c r="I3237" s="101" t="str">
        <f t="shared" si="202"/>
        <v>UN</v>
      </c>
      <c r="J3237" s="140" t="str">
        <f t="shared" si="203"/>
        <v>PARAFUSO FRANCES METRICO ZINCADO, DIAMETRO 12 MM, COMPRIMENTO 140MM, COM PORCA SEXTAVADA E ARRUELA DE PRESSAO MEDIA</v>
      </c>
    </row>
    <row r="3238" spans="1:10" x14ac:dyDescent="0.25">
      <c r="A3238" s="169">
        <v>4344</v>
      </c>
      <c r="B3238" s="169" t="s">
        <v>26721</v>
      </c>
      <c r="C3238" s="169" t="s">
        <v>10225</v>
      </c>
      <c r="D3238" s="169" t="s">
        <v>1290</v>
      </c>
      <c r="E3238" s="103" t="s">
        <v>15542</v>
      </c>
      <c r="F3238" s="104"/>
      <c r="G3238" s="105">
        <f t="shared" si="200"/>
        <v>23.69</v>
      </c>
      <c r="H3238" s="101" t="str">
        <f t="shared" si="201"/>
        <v>Sinapi 4344</v>
      </c>
      <c r="I3238" s="101" t="str">
        <f t="shared" si="202"/>
        <v>UN</v>
      </c>
      <c r="J3238" s="140" t="str">
        <f t="shared" si="203"/>
        <v>PARAFUSO FRANCES METRICO ZINCADO, DIAMETRO 12 MM, COMPRIMENTO 150 MM, COM PORCA SEXTAVADA E ARRUELA DE PRESSAO MEDIA</v>
      </c>
    </row>
    <row r="3239" spans="1:10" x14ac:dyDescent="0.25">
      <c r="A3239" s="169">
        <v>436</v>
      </c>
      <c r="B3239" s="169" t="s">
        <v>26722</v>
      </c>
      <c r="C3239" s="169" t="s">
        <v>10225</v>
      </c>
      <c r="D3239" s="169" t="s">
        <v>1290</v>
      </c>
      <c r="E3239" s="103" t="s">
        <v>13581</v>
      </c>
      <c r="F3239" s="104"/>
      <c r="G3239" s="105">
        <f t="shared" si="200"/>
        <v>13.25</v>
      </c>
      <c r="H3239" s="101" t="str">
        <f t="shared" si="201"/>
        <v>Sinapi 436</v>
      </c>
      <c r="I3239" s="101" t="str">
        <f t="shared" si="202"/>
        <v>UN</v>
      </c>
      <c r="J3239" s="140" t="str">
        <f t="shared" si="203"/>
        <v>PARAFUSO FRANCES M16 EM ACO GALVANIZADO, COMPRIMENTO = 150 MM, DIAMETRO = 16 MM, CABECA ABAULADA</v>
      </c>
    </row>
    <row r="3240" spans="1:10" x14ac:dyDescent="0.25">
      <c r="A3240" s="169">
        <v>442</v>
      </c>
      <c r="B3240" s="169" t="s">
        <v>26723</v>
      </c>
      <c r="C3240" s="169" t="s">
        <v>10225</v>
      </c>
      <c r="D3240" s="169" t="s">
        <v>1290</v>
      </c>
      <c r="E3240" s="103" t="s">
        <v>14124</v>
      </c>
      <c r="F3240" s="104"/>
      <c r="G3240" s="105">
        <f t="shared" si="200"/>
        <v>7.83</v>
      </c>
      <c r="H3240" s="101" t="str">
        <f t="shared" si="201"/>
        <v>Sinapi 442</v>
      </c>
      <c r="I3240" s="101" t="str">
        <f t="shared" si="202"/>
        <v>UN</v>
      </c>
      <c r="J3240" s="140" t="str">
        <f t="shared" si="203"/>
        <v>PARAFUSO FRANCES M16 EM ACO GALVANIZADO, COMPRIMENTO = 45 MM, DIAMETRO = 16 MM, CABECA ABAULADA</v>
      </c>
    </row>
    <row r="3241" spans="1:10" x14ac:dyDescent="0.25">
      <c r="A3241" s="169">
        <v>11953</v>
      </c>
      <c r="B3241" s="169" t="s">
        <v>26724</v>
      </c>
      <c r="C3241" s="169" t="s">
        <v>10225</v>
      </c>
      <c r="D3241" s="169" t="s">
        <v>1290</v>
      </c>
      <c r="E3241" s="103" t="s">
        <v>18602</v>
      </c>
      <c r="F3241" s="104"/>
      <c r="G3241" s="105">
        <f t="shared" si="200"/>
        <v>3.76</v>
      </c>
      <c r="H3241" s="101" t="str">
        <f t="shared" si="201"/>
        <v>Sinapi 11953</v>
      </c>
      <c r="I3241" s="101" t="str">
        <f t="shared" si="202"/>
        <v>UN</v>
      </c>
      <c r="J3241" s="140" t="str">
        <f t="shared" si="203"/>
        <v>PARAFUSO FRANCES ZINCADO, DIAMETRO 1/2'', COMPRIMENTO 2'', COM PORCA E ARRUELA</v>
      </c>
    </row>
    <row r="3242" spans="1:10" x14ac:dyDescent="0.25">
      <c r="A3242" s="169">
        <v>4335</v>
      </c>
      <c r="B3242" s="169" t="s">
        <v>26725</v>
      </c>
      <c r="C3242" s="169" t="s">
        <v>10225</v>
      </c>
      <c r="D3242" s="169" t="s">
        <v>1290</v>
      </c>
      <c r="E3242" s="103" t="s">
        <v>23052</v>
      </c>
      <c r="F3242" s="104"/>
      <c r="G3242" s="105">
        <f t="shared" si="200"/>
        <v>15.91</v>
      </c>
      <c r="H3242" s="101" t="str">
        <f t="shared" si="201"/>
        <v>Sinapi 4335</v>
      </c>
      <c r="I3242" s="101" t="str">
        <f t="shared" si="202"/>
        <v>UN</v>
      </c>
      <c r="J3242" s="140" t="str">
        <f t="shared" si="203"/>
        <v>PARAFUSO FRANCES ZINCADO, DIAMETRO 1/2", COMPRIMENTO 12", COM PORCA E ARRUELA LISA MEDIA</v>
      </c>
    </row>
    <row r="3243" spans="1:10" x14ac:dyDescent="0.25">
      <c r="A3243" s="169">
        <v>4334</v>
      </c>
      <c r="B3243" s="169" t="s">
        <v>26726</v>
      </c>
      <c r="C3243" s="169" t="s">
        <v>10225</v>
      </c>
      <c r="D3243" s="169" t="s">
        <v>1290</v>
      </c>
      <c r="E3243" s="103" t="s">
        <v>15586</v>
      </c>
      <c r="F3243" s="104"/>
      <c r="G3243" s="105">
        <f t="shared" si="200"/>
        <v>21.82</v>
      </c>
      <c r="H3243" s="101" t="str">
        <f t="shared" si="201"/>
        <v>Sinapi 4334</v>
      </c>
      <c r="I3243" s="101" t="str">
        <f t="shared" si="202"/>
        <v>UN</v>
      </c>
      <c r="J3243" s="140" t="str">
        <f t="shared" si="203"/>
        <v>PARAFUSO FRANCES ZINCADO, DIAMETRO 1/2", COMPRIMENTO 15", COM PORCA E ARRUELA LISA MEDIA</v>
      </c>
    </row>
    <row r="3244" spans="1:10" x14ac:dyDescent="0.25">
      <c r="A3244" s="169">
        <v>4343</v>
      </c>
      <c r="B3244" s="169" t="s">
        <v>26727</v>
      </c>
      <c r="C3244" s="169" t="s">
        <v>10225</v>
      </c>
      <c r="D3244" s="169" t="s">
        <v>1290</v>
      </c>
      <c r="E3244" s="103" t="s">
        <v>17386</v>
      </c>
      <c r="F3244" s="104"/>
      <c r="G3244" s="105">
        <f t="shared" si="200"/>
        <v>5.36</v>
      </c>
      <c r="H3244" s="101" t="str">
        <f t="shared" si="201"/>
        <v>Sinapi 4343</v>
      </c>
      <c r="I3244" s="101" t="str">
        <f t="shared" si="202"/>
        <v>UN</v>
      </c>
      <c r="J3244" s="140" t="str">
        <f t="shared" si="203"/>
        <v>PARAFUSO FRANCES ZINCADO, DIAMETRO 1/2", COMPRIMENTO 4", COM PORCA E ARRUELA</v>
      </c>
    </row>
    <row r="3245" spans="1:10" x14ac:dyDescent="0.25">
      <c r="A3245" s="169">
        <v>430</v>
      </c>
      <c r="B3245" s="169" t="s">
        <v>26728</v>
      </c>
      <c r="C3245" s="169" t="s">
        <v>10225</v>
      </c>
      <c r="D3245" s="169" t="s">
        <v>1290</v>
      </c>
      <c r="E3245" s="103" t="s">
        <v>5664</v>
      </c>
      <c r="F3245" s="104"/>
      <c r="G3245" s="105">
        <f t="shared" si="200"/>
        <v>11.85</v>
      </c>
      <c r="H3245" s="101" t="str">
        <f t="shared" si="201"/>
        <v>Sinapi 430</v>
      </c>
      <c r="I3245" s="101" t="str">
        <f t="shared" si="202"/>
        <v>UN</v>
      </c>
      <c r="J3245" s="140" t="str">
        <f t="shared" si="203"/>
        <v>PARAFUSO M16 EM ACO GALVANIZADO, COMPRIMENTO = 125 MM, DIAMETRO = 16 MM, ROSCA MAQUINA, CABECA QUADRADA</v>
      </c>
    </row>
    <row r="3246" spans="1:10" x14ac:dyDescent="0.25">
      <c r="A3246" s="169">
        <v>441</v>
      </c>
      <c r="B3246" s="169" t="s">
        <v>26729</v>
      </c>
      <c r="C3246" s="169" t="s">
        <v>10225</v>
      </c>
      <c r="D3246" s="169" t="s">
        <v>1290</v>
      </c>
      <c r="E3246" s="103" t="s">
        <v>17277</v>
      </c>
      <c r="F3246" s="104"/>
      <c r="G3246" s="105">
        <f t="shared" si="200"/>
        <v>13.05</v>
      </c>
      <c r="H3246" s="101" t="str">
        <f t="shared" si="201"/>
        <v>Sinapi 441</v>
      </c>
      <c r="I3246" s="101" t="str">
        <f t="shared" si="202"/>
        <v>UN</v>
      </c>
      <c r="J3246" s="140" t="str">
        <f t="shared" si="203"/>
        <v>PARAFUSO M16 EM ACO GALVANIZADO, COMPRIMENTO = 150 MM, DIAMETRO = 16 MM, ROSCA MAQUINA, CABECA QUADRADA</v>
      </c>
    </row>
    <row r="3247" spans="1:10" x14ac:dyDescent="0.25">
      <c r="A3247" s="169">
        <v>431</v>
      </c>
      <c r="B3247" s="169" t="s">
        <v>26730</v>
      </c>
      <c r="C3247" s="169" t="s">
        <v>10225</v>
      </c>
      <c r="D3247" s="169" t="s">
        <v>1290</v>
      </c>
      <c r="E3247" s="103" t="s">
        <v>5638</v>
      </c>
      <c r="F3247" s="104"/>
      <c r="G3247" s="105">
        <f t="shared" si="200"/>
        <v>15.75</v>
      </c>
      <c r="H3247" s="101" t="str">
        <f t="shared" si="201"/>
        <v>Sinapi 431</v>
      </c>
      <c r="I3247" s="101" t="str">
        <f t="shared" si="202"/>
        <v>UN</v>
      </c>
      <c r="J3247" s="140" t="str">
        <f t="shared" si="203"/>
        <v>PARAFUSO M16 EM ACO GALVANIZADO, COMPRIMENTO = 200 MM, DIAMETRO = 16 MM, ROSCA MAQUINA, CABECA QUADRADA</v>
      </c>
    </row>
    <row r="3248" spans="1:10" x14ac:dyDescent="0.25">
      <c r="A3248" s="169">
        <v>432</v>
      </c>
      <c r="B3248" s="169" t="s">
        <v>26731</v>
      </c>
      <c r="C3248" s="169" t="s">
        <v>10225</v>
      </c>
      <c r="D3248" s="169" t="s">
        <v>1290</v>
      </c>
      <c r="E3248" s="103" t="s">
        <v>13844</v>
      </c>
      <c r="F3248" s="104"/>
      <c r="G3248" s="105">
        <f t="shared" si="200"/>
        <v>17.38</v>
      </c>
      <c r="H3248" s="101" t="str">
        <f t="shared" si="201"/>
        <v>Sinapi 432</v>
      </c>
      <c r="I3248" s="101" t="str">
        <f t="shared" si="202"/>
        <v>UN</v>
      </c>
      <c r="J3248" s="140" t="str">
        <f t="shared" si="203"/>
        <v>PARAFUSO M16 EM ACO GALVANIZADO, COMPRIMENTO = 250 MM, DIAMETRO = 16 MM, ROSCA MAQUINA, CABECA QUADRADA</v>
      </c>
    </row>
    <row r="3249" spans="1:10" x14ac:dyDescent="0.25">
      <c r="A3249" s="169">
        <v>429</v>
      </c>
      <c r="B3249" s="169" t="s">
        <v>26732</v>
      </c>
      <c r="C3249" s="169" t="s">
        <v>10225</v>
      </c>
      <c r="D3249" s="169" t="s">
        <v>1290</v>
      </c>
      <c r="E3249" s="103" t="s">
        <v>14362</v>
      </c>
      <c r="F3249" s="104"/>
      <c r="G3249" s="105">
        <f t="shared" si="200"/>
        <v>23.43</v>
      </c>
      <c r="H3249" s="101" t="str">
        <f t="shared" si="201"/>
        <v>Sinapi 429</v>
      </c>
      <c r="I3249" s="101" t="str">
        <f t="shared" si="202"/>
        <v>UN</v>
      </c>
      <c r="J3249" s="140" t="str">
        <f t="shared" si="203"/>
        <v>PARAFUSO M16 EM ACO GALVANIZADO, COMPRIMENTO = 300 MM, DIAMETRO = 16 MM, ROSCA DUPLA</v>
      </c>
    </row>
    <row r="3250" spans="1:10" x14ac:dyDescent="0.25">
      <c r="A3250" s="169">
        <v>439</v>
      </c>
      <c r="B3250" s="169" t="s">
        <v>26733</v>
      </c>
      <c r="C3250" s="169" t="s">
        <v>10225</v>
      </c>
      <c r="D3250" s="169" t="s">
        <v>1290</v>
      </c>
      <c r="E3250" s="103" t="s">
        <v>16290</v>
      </c>
      <c r="F3250" s="104"/>
      <c r="G3250" s="105">
        <f t="shared" si="200"/>
        <v>19.97</v>
      </c>
      <c r="H3250" s="101" t="str">
        <f t="shared" si="201"/>
        <v>Sinapi 439</v>
      </c>
      <c r="I3250" s="101" t="str">
        <f t="shared" si="202"/>
        <v>UN</v>
      </c>
      <c r="J3250" s="140" t="str">
        <f t="shared" si="203"/>
        <v>PARAFUSO M16 EM ACO GALVANIZADO, COMPRIMENTO = 300 MM, DIAMETRO = 16 MM, ROSCA MAQUINA, CABECA QUADRADA</v>
      </c>
    </row>
    <row r="3251" spans="1:10" x14ac:dyDescent="0.25">
      <c r="A3251" s="169">
        <v>433</v>
      </c>
      <c r="B3251" s="169" t="s">
        <v>26734</v>
      </c>
      <c r="C3251" s="169" t="s">
        <v>10225</v>
      </c>
      <c r="D3251" s="169" t="s">
        <v>1290</v>
      </c>
      <c r="E3251" s="103" t="s">
        <v>16207</v>
      </c>
      <c r="F3251" s="104"/>
      <c r="G3251" s="105">
        <f t="shared" si="200"/>
        <v>23.31</v>
      </c>
      <c r="H3251" s="101" t="str">
        <f t="shared" si="201"/>
        <v>Sinapi 433</v>
      </c>
      <c r="I3251" s="101" t="str">
        <f t="shared" si="202"/>
        <v>UN</v>
      </c>
      <c r="J3251" s="140" t="str">
        <f t="shared" si="203"/>
        <v>PARAFUSO M16 EM ACO GALVANIZADO, COMPRIMENTO = 350 MM, DIAMETRO = 16 MM, ROSCA MAQUINA, CABECA QUADRADA</v>
      </c>
    </row>
    <row r="3252" spans="1:10" x14ac:dyDescent="0.25">
      <c r="A3252" s="169">
        <v>437</v>
      </c>
      <c r="B3252" s="169" t="s">
        <v>26735</v>
      </c>
      <c r="C3252" s="169" t="s">
        <v>10225</v>
      </c>
      <c r="D3252" s="169" t="s">
        <v>1290</v>
      </c>
      <c r="E3252" s="103" t="s">
        <v>19319</v>
      </c>
      <c r="F3252" s="104"/>
      <c r="G3252" s="105">
        <f t="shared" si="200"/>
        <v>30.97</v>
      </c>
      <c r="H3252" s="101" t="str">
        <f t="shared" si="201"/>
        <v>Sinapi 437</v>
      </c>
      <c r="I3252" s="101" t="str">
        <f t="shared" si="202"/>
        <v>UN</v>
      </c>
      <c r="J3252" s="140" t="str">
        <f t="shared" si="203"/>
        <v>PARAFUSO M16 EM ACO GALVANIZADO, COMPRIMENTO = 400 MM, DIAMETRO = 16 MM, ROSCA DUPLA</v>
      </c>
    </row>
    <row r="3253" spans="1:10" x14ac:dyDescent="0.25">
      <c r="A3253" s="169">
        <v>11790</v>
      </c>
      <c r="B3253" s="169" t="s">
        <v>26736</v>
      </c>
      <c r="C3253" s="169" t="s">
        <v>10225</v>
      </c>
      <c r="D3253" s="169" t="s">
        <v>1290</v>
      </c>
      <c r="E3253" s="103" t="s">
        <v>18616</v>
      </c>
      <c r="F3253" s="104"/>
      <c r="G3253" s="105">
        <f t="shared" si="200"/>
        <v>35.130000000000003</v>
      </c>
      <c r="H3253" s="101" t="str">
        <f t="shared" si="201"/>
        <v>Sinapi 11790</v>
      </c>
      <c r="I3253" s="101" t="str">
        <f t="shared" si="202"/>
        <v>UN</v>
      </c>
      <c r="J3253" s="140" t="str">
        <f t="shared" si="203"/>
        <v>PARAFUSO M16 EM ACO GALVANIZADO, COMPRIMENTO = 450 MM, DIAMETRO = 16 MM, ROSCA MAQUINA, CABECA QUADRADA</v>
      </c>
    </row>
    <row r="3254" spans="1:10" x14ac:dyDescent="0.25">
      <c r="A3254" s="169">
        <v>428</v>
      </c>
      <c r="B3254" s="169" t="s">
        <v>26737</v>
      </c>
      <c r="C3254" s="169" t="s">
        <v>10225</v>
      </c>
      <c r="D3254" s="169" t="s">
        <v>1290</v>
      </c>
      <c r="E3254" s="103" t="s">
        <v>20078</v>
      </c>
      <c r="F3254" s="104"/>
      <c r="G3254" s="105">
        <f t="shared" si="200"/>
        <v>38.200000000000003</v>
      </c>
      <c r="H3254" s="101" t="str">
        <f t="shared" si="201"/>
        <v>Sinapi 428</v>
      </c>
      <c r="I3254" s="101" t="str">
        <f t="shared" si="202"/>
        <v>UN</v>
      </c>
      <c r="J3254" s="140" t="str">
        <f t="shared" si="203"/>
        <v>PARAFUSO M16 EM ACO GALVANIZADO, COMPRIMENTO = 500 MM, DIAMETRO = 16 MM, ROSCA MAQUINA, COM CABECA SEXTAVADA E PORCA</v>
      </c>
    </row>
    <row r="3255" spans="1:10" x14ac:dyDescent="0.25">
      <c r="A3255" s="169">
        <v>4384</v>
      </c>
      <c r="B3255" s="169" t="s">
        <v>26738</v>
      </c>
      <c r="C3255" s="169" t="s">
        <v>10225</v>
      </c>
      <c r="D3255" s="169" t="s">
        <v>1290</v>
      </c>
      <c r="E3255" s="103" t="s">
        <v>21987</v>
      </c>
      <c r="F3255" s="104"/>
      <c r="G3255" s="105">
        <f t="shared" si="200"/>
        <v>25.97</v>
      </c>
      <c r="H3255" s="101" t="str">
        <f t="shared" si="201"/>
        <v>Sinapi 4384</v>
      </c>
      <c r="I3255" s="101" t="str">
        <f t="shared" si="202"/>
        <v>UN</v>
      </c>
      <c r="J3255" s="140" t="str">
        <f t="shared" si="203"/>
        <v>PARAFUSO NIQUELADO COM ACABAMENTO CROMADO PARA FIXAR PECA SANITARIA, INCLUI PORCA CEGA, ARRUELA E BUCHA DE NYLON TAMANHO S-10</v>
      </c>
    </row>
    <row r="3256" spans="1:10" x14ac:dyDescent="0.25">
      <c r="A3256" s="169">
        <v>4351</v>
      </c>
      <c r="B3256" s="169" t="s">
        <v>26739</v>
      </c>
      <c r="C3256" s="169" t="s">
        <v>10225</v>
      </c>
      <c r="D3256" s="169" t="s">
        <v>1290</v>
      </c>
      <c r="E3256" s="103" t="s">
        <v>19375</v>
      </c>
      <c r="F3256" s="104"/>
      <c r="G3256" s="105">
        <f t="shared" si="200"/>
        <v>19.260000000000002</v>
      </c>
      <c r="H3256" s="101" t="str">
        <f t="shared" si="201"/>
        <v>Sinapi 4351</v>
      </c>
      <c r="I3256" s="101" t="str">
        <f t="shared" si="202"/>
        <v>UN</v>
      </c>
      <c r="J3256" s="140" t="str">
        <f t="shared" si="203"/>
        <v>PARAFUSO NIQUELADO 3 1/2" COM ACABAMENTO CROMADO PARA FIXAR PECA SANITARIA, INCLUI PORCA CEGA, ARRUELA E BUCHA DE NYLON TAMANHO S-8</v>
      </c>
    </row>
    <row r="3257" spans="1:10" x14ac:dyDescent="0.25">
      <c r="A3257" s="169">
        <v>11054</v>
      </c>
      <c r="B3257" s="169" t="s">
        <v>26740</v>
      </c>
      <c r="C3257" s="169" t="s">
        <v>10225</v>
      </c>
      <c r="D3257" s="169" t="s">
        <v>1289</v>
      </c>
      <c r="E3257" s="103" t="s">
        <v>2841</v>
      </c>
      <c r="F3257" s="104"/>
      <c r="G3257" s="105">
        <f t="shared" si="200"/>
        <v>0.04</v>
      </c>
      <c r="H3257" s="101" t="str">
        <f t="shared" si="201"/>
        <v>Sinapi 11054</v>
      </c>
      <c r="I3257" s="101" t="str">
        <f t="shared" si="202"/>
        <v>UN</v>
      </c>
      <c r="J3257" s="140" t="str">
        <f t="shared" si="203"/>
        <v>PARAFUSO ROSCA SOBERBA ZINCADO CABECA CHATA FENDA SIMPLES 3,2 X 20 MM (3/4 ")</v>
      </c>
    </row>
    <row r="3258" spans="1:10" x14ac:dyDescent="0.25">
      <c r="A3258" s="169">
        <v>11055</v>
      </c>
      <c r="B3258" s="169" t="s">
        <v>585</v>
      </c>
      <c r="C3258" s="169" t="s">
        <v>10225</v>
      </c>
      <c r="D3258" s="169" t="s">
        <v>1289</v>
      </c>
      <c r="E3258" s="103" t="s">
        <v>2575</v>
      </c>
      <c r="F3258" s="104"/>
      <c r="G3258" s="105">
        <f t="shared" si="200"/>
        <v>0.06</v>
      </c>
      <c r="H3258" s="101" t="str">
        <f t="shared" si="201"/>
        <v>Sinapi 11055</v>
      </c>
      <c r="I3258" s="101" t="str">
        <f t="shared" si="202"/>
        <v>UN</v>
      </c>
      <c r="J3258" s="140" t="str">
        <f t="shared" si="203"/>
        <v>PARAFUSO ROSCA SOBERBA ZINCADO CABECA CHATA FENDA SIMPLES 3,5 X 25 MM (1 ")</v>
      </c>
    </row>
    <row r="3259" spans="1:10" x14ac:dyDescent="0.25">
      <c r="A3259" s="169">
        <v>11056</v>
      </c>
      <c r="B3259" s="169" t="s">
        <v>26741</v>
      </c>
      <c r="C3259" s="169" t="s">
        <v>10225</v>
      </c>
      <c r="D3259" s="169" t="s">
        <v>1289</v>
      </c>
      <c r="E3259" s="103" t="s">
        <v>3119</v>
      </c>
      <c r="F3259" s="104"/>
      <c r="G3259" s="105">
        <f t="shared" si="200"/>
        <v>7.0000000000000007E-2</v>
      </c>
      <c r="H3259" s="101" t="str">
        <f t="shared" si="201"/>
        <v>Sinapi 11056</v>
      </c>
      <c r="I3259" s="101" t="str">
        <f t="shared" si="202"/>
        <v>UN</v>
      </c>
      <c r="J3259" s="140" t="str">
        <f t="shared" si="203"/>
        <v>PARAFUSO ROSCA SOBERBA ZINCADO CABECA CHATA FENDA SIMPLES 3,8 X 30 MM (1.1/4 ")</v>
      </c>
    </row>
    <row r="3260" spans="1:10" x14ac:dyDescent="0.25">
      <c r="A3260" s="169">
        <v>11057</v>
      </c>
      <c r="B3260" s="169" t="s">
        <v>26742</v>
      </c>
      <c r="C3260" s="169" t="s">
        <v>10225</v>
      </c>
      <c r="D3260" s="169" t="s">
        <v>1289</v>
      </c>
      <c r="E3260" s="103" t="s">
        <v>3184</v>
      </c>
      <c r="F3260" s="104"/>
      <c r="G3260" s="105">
        <f t="shared" si="200"/>
        <v>0.14000000000000001</v>
      </c>
      <c r="H3260" s="101" t="str">
        <f t="shared" si="201"/>
        <v>Sinapi 11057</v>
      </c>
      <c r="I3260" s="101" t="str">
        <f t="shared" si="202"/>
        <v>UN</v>
      </c>
      <c r="J3260" s="140" t="str">
        <f t="shared" si="203"/>
        <v>PARAFUSO ROSCA SOBERBA ZINCADO CABECA CHATA FENDA SIMPLES 4,8 X 40 MM (1.1/2 ")</v>
      </c>
    </row>
    <row r="3261" spans="1:10" x14ac:dyDescent="0.25">
      <c r="A3261" s="169">
        <v>11059</v>
      </c>
      <c r="B3261" s="169" t="s">
        <v>26743</v>
      </c>
      <c r="C3261" s="169" t="s">
        <v>10225</v>
      </c>
      <c r="D3261" s="169" t="s">
        <v>1289</v>
      </c>
      <c r="E3261" s="103" t="s">
        <v>3711</v>
      </c>
      <c r="F3261" s="104"/>
      <c r="G3261" s="105">
        <f t="shared" si="200"/>
        <v>0.28000000000000003</v>
      </c>
      <c r="H3261" s="101" t="str">
        <f t="shared" si="201"/>
        <v>Sinapi 11059</v>
      </c>
      <c r="I3261" s="101" t="str">
        <f t="shared" si="202"/>
        <v>UN</v>
      </c>
      <c r="J3261" s="140" t="str">
        <f t="shared" si="203"/>
        <v>PARAFUSO ROSCA SOBERBA ZINCADO CABECA CHATA FENDA SIMPLES 5,5 X 50 MM (2 ")</v>
      </c>
    </row>
    <row r="3262" spans="1:10" x14ac:dyDescent="0.25">
      <c r="A3262" s="169">
        <v>11058</v>
      </c>
      <c r="B3262" s="169" t="s">
        <v>26744</v>
      </c>
      <c r="C3262" s="169" t="s">
        <v>10225</v>
      </c>
      <c r="D3262" s="169" t="s">
        <v>1289</v>
      </c>
      <c r="E3262" s="103" t="s">
        <v>2700</v>
      </c>
      <c r="F3262" s="104"/>
      <c r="G3262" s="105">
        <f t="shared" si="200"/>
        <v>0.36</v>
      </c>
      <c r="H3262" s="101" t="str">
        <f t="shared" si="201"/>
        <v>Sinapi 11058</v>
      </c>
      <c r="I3262" s="101" t="str">
        <f t="shared" si="202"/>
        <v>UN</v>
      </c>
      <c r="J3262" s="140" t="str">
        <f t="shared" si="203"/>
        <v>PARAFUSO ROSCA SOBERBA ZINCADO CABECA CHATA FENDA SIMPLES 5,5 X 65 MM (2.1/2 ")</v>
      </c>
    </row>
    <row r="3263" spans="1:10" x14ac:dyDescent="0.25">
      <c r="A3263" s="169">
        <v>4380</v>
      </c>
      <c r="B3263" s="169" t="s">
        <v>26745</v>
      </c>
      <c r="C3263" s="169" t="s">
        <v>10225</v>
      </c>
      <c r="D3263" s="169" t="s">
        <v>1289</v>
      </c>
      <c r="E3263" s="103" t="s">
        <v>3955</v>
      </c>
      <c r="F3263" s="104"/>
      <c r="G3263" s="105">
        <f t="shared" si="200"/>
        <v>1.22</v>
      </c>
      <c r="H3263" s="101" t="str">
        <f t="shared" si="201"/>
        <v>Sinapi 4380</v>
      </c>
      <c r="I3263" s="101" t="str">
        <f t="shared" si="202"/>
        <v>UN</v>
      </c>
      <c r="J3263" s="140" t="str">
        <f t="shared" si="203"/>
        <v>PARAFUSO ZINCADO ROSCA SOBERBA 5/16 " X 120 MM PARA TELHA FIBROCIMENTO</v>
      </c>
    </row>
    <row r="3264" spans="1:10" x14ac:dyDescent="0.25">
      <c r="A3264" s="169">
        <v>4299</v>
      </c>
      <c r="B3264" s="169" t="s">
        <v>26746</v>
      </c>
      <c r="C3264" s="169" t="s">
        <v>10225</v>
      </c>
      <c r="D3264" s="169" t="s">
        <v>1288</v>
      </c>
      <c r="E3264" s="103" t="s">
        <v>19811</v>
      </c>
      <c r="F3264" s="104"/>
      <c r="G3264" s="105">
        <f t="shared" si="200"/>
        <v>1.1499999999999999</v>
      </c>
      <c r="H3264" s="101" t="str">
        <f t="shared" si="201"/>
        <v>Sinapi 4299</v>
      </c>
      <c r="I3264" s="101" t="str">
        <f t="shared" si="202"/>
        <v>UN</v>
      </c>
      <c r="J3264" s="140" t="str">
        <f t="shared" si="203"/>
        <v>PARAFUSO ZINCADO ROSCA SOBERBA, CABECA SEXTAVADA, 5/16 " X 110 MM, PARA FIXACAO DE TELHA EM MADEIRA</v>
      </c>
    </row>
    <row r="3265" spans="1:10" x14ac:dyDescent="0.25">
      <c r="A3265" s="169">
        <v>4304</v>
      </c>
      <c r="B3265" s="169" t="s">
        <v>26747</v>
      </c>
      <c r="C3265" s="169" t="s">
        <v>10225</v>
      </c>
      <c r="D3265" s="169" t="s">
        <v>1289</v>
      </c>
      <c r="E3265" s="103" t="s">
        <v>14629</v>
      </c>
      <c r="F3265" s="104"/>
      <c r="G3265" s="105">
        <f t="shared" si="200"/>
        <v>1.56</v>
      </c>
      <c r="H3265" s="101" t="str">
        <f t="shared" si="201"/>
        <v>Sinapi 4304</v>
      </c>
      <c r="I3265" s="101" t="str">
        <f t="shared" si="202"/>
        <v>UN</v>
      </c>
      <c r="J3265" s="140" t="str">
        <f t="shared" si="203"/>
        <v>PARAFUSO ZINCADO ROSCA SOBERBA, CABECA SEXTAVADA, 5/16 " X 150 MM, PARA FIXACAO DE TELHA EM MADEIRA</v>
      </c>
    </row>
    <row r="3266" spans="1:10" x14ac:dyDescent="0.25">
      <c r="A3266" s="169">
        <v>4305</v>
      </c>
      <c r="B3266" s="169" t="s">
        <v>26748</v>
      </c>
      <c r="C3266" s="169" t="s">
        <v>10225</v>
      </c>
      <c r="D3266" s="169" t="s">
        <v>1289</v>
      </c>
      <c r="E3266" s="103" t="s">
        <v>18702</v>
      </c>
      <c r="F3266" s="104"/>
      <c r="G3266" s="105">
        <f t="shared" si="200"/>
        <v>1.82</v>
      </c>
      <c r="H3266" s="101" t="str">
        <f t="shared" si="201"/>
        <v>Sinapi 4305</v>
      </c>
      <c r="I3266" s="101" t="str">
        <f t="shared" si="202"/>
        <v>UN</v>
      </c>
      <c r="J3266" s="140" t="str">
        <f t="shared" si="203"/>
        <v>PARAFUSO ZINCADO ROSCA SOBERBA, CABECA SEXTAVADA, 5/16 " X 180 MM, PARA FIXACAO DE TELHA EM MADEIRA</v>
      </c>
    </row>
    <row r="3267" spans="1:10" x14ac:dyDescent="0.25">
      <c r="A3267" s="169">
        <v>4306</v>
      </c>
      <c r="B3267" s="169" t="s">
        <v>26749</v>
      </c>
      <c r="C3267" s="169" t="s">
        <v>10225</v>
      </c>
      <c r="D3267" s="169" t="s">
        <v>1289</v>
      </c>
      <c r="E3267" s="103" t="s">
        <v>21512</v>
      </c>
      <c r="F3267" s="104"/>
      <c r="G3267" s="105">
        <f t="shared" si="200"/>
        <v>2.11</v>
      </c>
      <c r="H3267" s="101" t="str">
        <f t="shared" si="201"/>
        <v>Sinapi 4306</v>
      </c>
      <c r="I3267" s="101" t="str">
        <f t="shared" si="202"/>
        <v>UN</v>
      </c>
      <c r="J3267" s="140" t="str">
        <f t="shared" si="203"/>
        <v>PARAFUSO ZINCADO ROSCA SOBERBA, CABECA SEXTAVADA, 5/16 " X 200 MM, PARA FIXACAO DE TELHA EM MADEIRA</v>
      </c>
    </row>
    <row r="3268" spans="1:10" x14ac:dyDescent="0.25">
      <c r="A3268" s="169">
        <v>4308</v>
      </c>
      <c r="B3268" s="169" t="s">
        <v>26750</v>
      </c>
      <c r="C3268" s="169" t="s">
        <v>10225</v>
      </c>
      <c r="D3268" s="169" t="s">
        <v>1289</v>
      </c>
      <c r="E3268" s="103" t="s">
        <v>30859</v>
      </c>
      <c r="F3268" s="104"/>
      <c r="G3268" s="105">
        <f t="shared" si="200"/>
        <v>4.38</v>
      </c>
      <c r="H3268" s="101" t="str">
        <f t="shared" si="201"/>
        <v>Sinapi 4308</v>
      </c>
      <c r="I3268" s="101" t="str">
        <f t="shared" si="202"/>
        <v>UN</v>
      </c>
      <c r="J3268" s="140" t="str">
        <f t="shared" si="203"/>
        <v>PARAFUSO ZINCADO ROSCA SOBERBA, CABECA SEXTAVADA, 5/16 " X 230 MM, PARA FIXACAO DE TELHA EM MADEIRA</v>
      </c>
    </row>
    <row r="3269" spans="1:10" x14ac:dyDescent="0.25">
      <c r="A3269" s="169">
        <v>4302</v>
      </c>
      <c r="B3269" s="169" t="s">
        <v>1191</v>
      </c>
      <c r="C3269" s="169" t="s">
        <v>10225</v>
      </c>
      <c r="D3269" s="169" t="s">
        <v>1289</v>
      </c>
      <c r="E3269" s="103" t="s">
        <v>29974</v>
      </c>
      <c r="F3269" s="104"/>
      <c r="G3269" s="105">
        <f t="shared" si="200"/>
        <v>3.28</v>
      </c>
      <c r="H3269" s="101" t="str">
        <f t="shared" si="201"/>
        <v>Sinapi 4302</v>
      </c>
      <c r="I3269" s="101" t="str">
        <f t="shared" si="202"/>
        <v>UN</v>
      </c>
      <c r="J3269" s="140" t="str">
        <f t="shared" si="203"/>
        <v>PARAFUSO ZINCADO ROSCA SOBERBA, CABECA SEXTAVADA, 5/16 " X 250 MM, PARA FIXACAO DE TELHA EM MADEIRA</v>
      </c>
    </row>
    <row r="3270" spans="1:10" x14ac:dyDescent="0.25">
      <c r="A3270" s="169">
        <v>4300</v>
      </c>
      <c r="B3270" s="169" t="s">
        <v>26751</v>
      </c>
      <c r="C3270" s="169" t="s">
        <v>10225</v>
      </c>
      <c r="D3270" s="169" t="s">
        <v>1289</v>
      </c>
      <c r="E3270" s="103" t="s">
        <v>2114</v>
      </c>
      <c r="F3270" s="104"/>
      <c r="G3270" s="105">
        <f t="shared" si="200"/>
        <v>0.78</v>
      </c>
      <c r="H3270" s="101" t="str">
        <f t="shared" si="201"/>
        <v>Sinapi 4300</v>
      </c>
      <c r="I3270" s="101" t="str">
        <f t="shared" si="202"/>
        <v>UN</v>
      </c>
      <c r="J3270" s="140" t="str">
        <f t="shared" si="203"/>
        <v>PARAFUSO ZINCADO ROSCA SOBERBA, CABECA SEXTAVADA, 5/16 " X 50 MM, PARA FIXACAO DE TELHA EM MADEIRA</v>
      </c>
    </row>
    <row r="3271" spans="1:10" x14ac:dyDescent="0.25">
      <c r="A3271" s="169">
        <v>4301</v>
      </c>
      <c r="B3271" s="169" t="s">
        <v>26752</v>
      </c>
      <c r="C3271" s="169" t="s">
        <v>10225</v>
      </c>
      <c r="D3271" s="169" t="s">
        <v>1289</v>
      </c>
      <c r="E3271" s="103" t="s">
        <v>16285</v>
      </c>
      <c r="F3271" s="104"/>
      <c r="G3271" s="105">
        <f t="shared" si="200"/>
        <v>0.95</v>
      </c>
      <c r="H3271" s="101" t="str">
        <f t="shared" si="201"/>
        <v>Sinapi 4301</v>
      </c>
      <c r="I3271" s="101" t="str">
        <f t="shared" si="202"/>
        <v>UN</v>
      </c>
      <c r="J3271" s="140" t="str">
        <f t="shared" si="203"/>
        <v>PARAFUSO ZINCADO ROSCA SOBERBA, CABECA SEXTAVADA, 5/16 " X 85 MM, PARA FIXACAO DE TELHA EM MADEIRA</v>
      </c>
    </row>
    <row r="3272" spans="1:10" x14ac:dyDescent="0.25">
      <c r="A3272" s="169">
        <v>4320</v>
      </c>
      <c r="B3272" s="169" t="s">
        <v>26753</v>
      </c>
      <c r="C3272" s="169" t="s">
        <v>10225</v>
      </c>
      <c r="D3272" s="169" t="s">
        <v>1289</v>
      </c>
      <c r="E3272" s="103" t="s">
        <v>24291</v>
      </c>
      <c r="F3272" s="104"/>
      <c r="G3272" s="105">
        <f t="shared" ref="G3272:G3335" si="204">IF(E3272="","",E3272+0)</f>
        <v>2.9</v>
      </c>
      <c r="H3272" s="101" t="str">
        <f t="shared" ref="H3272:H3335" si="205">IF(G3272="","",TRIM(CONCATENATE("Sinapi ",A3272)))</f>
        <v>Sinapi 4320</v>
      </c>
      <c r="I3272" s="101" t="str">
        <f t="shared" ref="I3272:I3335" si="206">TRIM(C3272)</f>
        <v>UN</v>
      </c>
      <c r="J3272" s="140" t="str">
        <f t="shared" si="203"/>
        <v>PARAFUSO ZINCADO 5/16 " X 250 MM PARA FIXACAO DE TELHA DE FIBROCIMENTO CANALETE 49, INCLUI BUCHA NYLON S-10</v>
      </c>
    </row>
    <row r="3273" spans="1:10" x14ac:dyDescent="0.25">
      <c r="A3273" s="169">
        <v>4318</v>
      </c>
      <c r="B3273" s="169" t="s">
        <v>26754</v>
      </c>
      <c r="C3273" s="169" t="s">
        <v>10225</v>
      </c>
      <c r="D3273" s="169" t="s">
        <v>1289</v>
      </c>
      <c r="E3273" s="103" t="s">
        <v>10275</v>
      </c>
      <c r="F3273" s="104"/>
      <c r="G3273" s="105">
        <f t="shared" si="204"/>
        <v>1.41</v>
      </c>
      <c r="H3273" s="101" t="str">
        <f t="shared" si="205"/>
        <v>Sinapi 4318</v>
      </c>
      <c r="I3273" s="101" t="str">
        <f t="shared" si="206"/>
        <v>UN</v>
      </c>
      <c r="J3273" s="140" t="str">
        <f t="shared" ref="J3273:J3336" si="207">TRIM(B3273)</f>
        <v>PARAFUSO ZINCADO 5/16 " X 85 MM PARA FIXACAO DE TELHA DE FIBROCIMENTO CANALETE 90, INCLUI BUCHA NYLON S-10</v>
      </c>
    </row>
    <row r="3274" spans="1:10" x14ac:dyDescent="0.25">
      <c r="A3274" s="169">
        <v>40547</v>
      </c>
      <c r="B3274" s="169" t="s">
        <v>193</v>
      </c>
      <c r="C3274" s="169" t="s">
        <v>10265</v>
      </c>
      <c r="D3274" s="169" t="s">
        <v>1290</v>
      </c>
      <c r="E3274" s="103" t="s">
        <v>23470</v>
      </c>
      <c r="F3274" s="104"/>
      <c r="G3274" s="105">
        <f t="shared" si="204"/>
        <v>31.56</v>
      </c>
      <c r="H3274" s="101" t="str">
        <f t="shared" si="205"/>
        <v>Sinapi 40547</v>
      </c>
      <c r="I3274" s="101" t="str">
        <f t="shared" si="206"/>
        <v>CENTO</v>
      </c>
      <c r="J3274" s="140" t="str">
        <f t="shared" si="207"/>
        <v>PARAFUSO ZINCADO, AUTOBROCANTE, FLANGEADO, 4,2 MM X 19 MM</v>
      </c>
    </row>
    <row r="3275" spans="1:10" x14ac:dyDescent="0.25">
      <c r="A3275" s="169">
        <v>11962</v>
      </c>
      <c r="B3275" s="169" t="s">
        <v>26755</v>
      </c>
      <c r="C3275" s="169" t="s">
        <v>10225</v>
      </c>
      <c r="D3275" s="169" t="s">
        <v>1290</v>
      </c>
      <c r="E3275" s="103" t="s">
        <v>2711</v>
      </c>
      <c r="F3275" s="104"/>
      <c r="G3275" s="105">
        <f t="shared" si="204"/>
        <v>0.26</v>
      </c>
      <c r="H3275" s="101" t="str">
        <f t="shared" si="205"/>
        <v>Sinapi 11962</v>
      </c>
      <c r="I3275" s="101" t="str">
        <f t="shared" si="206"/>
        <v>UN</v>
      </c>
      <c r="J3275" s="140" t="str">
        <f t="shared" si="207"/>
        <v>PARAFUSO ZINCADO, SEXTAVADO, COM ROSCA INTEIRA, DIAMETRO 1/4", COMPRIMENTO 1/2"</v>
      </c>
    </row>
    <row r="3276" spans="1:10" x14ac:dyDescent="0.25">
      <c r="A3276" s="169">
        <v>4332</v>
      </c>
      <c r="B3276" s="169" t="s">
        <v>26756</v>
      </c>
      <c r="C3276" s="169" t="s">
        <v>10225</v>
      </c>
      <c r="D3276" s="169" t="s">
        <v>1290</v>
      </c>
      <c r="E3276" s="103" t="s">
        <v>9628</v>
      </c>
      <c r="F3276" s="104"/>
      <c r="G3276" s="105">
        <f t="shared" si="204"/>
        <v>1.26</v>
      </c>
      <c r="H3276" s="101" t="str">
        <f t="shared" si="205"/>
        <v>Sinapi 4332</v>
      </c>
      <c r="I3276" s="101" t="str">
        <f t="shared" si="206"/>
        <v>UN</v>
      </c>
      <c r="J3276" s="140" t="str">
        <f t="shared" si="207"/>
        <v>PARAFUSO ZINCADO, SEXTAVADO, COM ROSCA INTEIRA, DIAMETRO 3/8", COMPRIMENTO 2"</v>
      </c>
    </row>
    <row r="3277" spans="1:10" x14ac:dyDescent="0.25">
      <c r="A3277" s="169">
        <v>4331</v>
      </c>
      <c r="B3277" s="169" t="s">
        <v>26757</v>
      </c>
      <c r="C3277" s="169" t="s">
        <v>10225</v>
      </c>
      <c r="D3277" s="169" t="s">
        <v>1290</v>
      </c>
      <c r="E3277" s="103" t="s">
        <v>28555</v>
      </c>
      <c r="F3277" s="104"/>
      <c r="G3277" s="105">
        <f t="shared" si="204"/>
        <v>4.7300000000000004</v>
      </c>
      <c r="H3277" s="101" t="str">
        <f t="shared" si="205"/>
        <v>Sinapi 4331</v>
      </c>
      <c r="I3277" s="101" t="str">
        <f t="shared" si="206"/>
        <v>UN</v>
      </c>
      <c r="J3277" s="140" t="str">
        <f t="shared" si="207"/>
        <v>PARAFUSO ZINCADO, SEXTAVADO, COM ROSCA INTEIRA, DIAMETRO 5/8", COMPRIMENTO 2 1/4"</v>
      </c>
    </row>
    <row r="3278" spans="1:10" x14ac:dyDescent="0.25">
      <c r="A3278" s="169">
        <v>4336</v>
      </c>
      <c r="B3278" s="169" t="s">
        <v>26759</v>
      </c>
      <c r="C3278" s="169" t="s">
        <v>10225</v>
      </c>
      <c r="D3278" s="169" t="s">
        <v>1290</v>
      </c>
      <c r="E3278" s="103" t="s">
        <v>16292</v>
      </c>
      <c r="F3278" s="104"/>
      <c r="G3278" s="105">
        <f t="shared" si="204"/>
        <v>6.06</v>
      </c>
      <c r="H3278" s="101" t="str">
        <f t="shared" si="205"/>
        <v>Sinapi 4336</v>
      </c>
      <c r="I3278" s="101" t="str">
        <f t="shared" si="206"/>
        <v>UN</v>
      </c>
      <c r="J3278" s="140" t="str">
        <f t="shared" si="207"/>
        <v>PARAFUSO ZINCADO, SEXTAVADO, COM ROSCA INTEIRA, DIAMETRO 5/8", COMPRIMENTO 3", COM PORCA E ARRUELA DE PRESSAO MEDIA</v>
      </c>
    </row>
    <row r="3279" spans="1:10" x14ac:dyDescent="0.25">
      <c r="A3279" s="169">
        <v>13294</v>
      </c>
      <c r="B3279" s="169" t="s">
        <v>26760</v>
      </c>
      <c r="C3279" s="169" t="s">
        <v>10225</v>
      </c>
      <c r="D3279" s="169" t="s">
        <v>1290</v>
      </c>
      <c r="E3279" s="103" t="s">
        <v>13401</v>
      </c>
      <c r="F3279" s="104"/>
      <c r="G3279" s="105">
        <f t="shared" si="204"/>
        <v>1.73</v>
      </c>
      <c r="H3279" s="101" t="str">
        <f t="shared" si="205"/>
        <v>Sinapi 13294</v>
      </c>
      <c r="I3279" s="101" t="str">
        <f t="shared" si="206"/>
        <v>UN</v>
      </c>
      <c r="J3279" s="140" t="str">
        <f t="shared" si="207"/>
        <v>PARAFUSO ZINCADO, SEXTAVADO, COM ROSCA SOBERBA, DIAMETRO 3/8", COMPRIMENTO 80 MM</v>
      </c>
    </row>
    <row r="3280" spans="1:10" x14ac:dyDescent="0.25">
      <c r="A3280" s="169">
        <v>11948</v>
      </c>
      <c r="B3280" s="169" t="s">
        <v>26761</v>
      </c>
      <c r="C3280" s="169" t="s">
        <v>10225</v>
      </c>
      <c r="D3280" s="169" t="s">
        <v>1290</v>
      </c>
      <c r="E3280" s="103" t="s">
        <v>2114</v>
      </c>
      <c r="F3280" s="104"/>
      <c r="G3280" s="105">
        <f t="shared" si="204"/>
        <v>0.78</v>
      </c>
      <c r="H3280" s="101" t="str">
        <f t="shared" si="205"/>
        <v>Sinapi 11948</v>
      </c>
      <c r="I3280" s="101" t="str">
        <f t="shared" si="206"/>
        <v>UN</v>
      </c>
      <c r="J3280" s="140" t="str">
        <f t="shared" si="207"/>
        <v>PARAFUSO ZINCADO, SEXTAVADO, COM ROSCA SOBERBA, DIAMETRO 5/16", COMPRIMENTO 40 MM</v>
      </c>
    </row>
    <row r="3281" spans="1:10" x14ac:dyDescent="0.25">
      <c r="A3281" s="169">
        <v>4382</v>
      </c>
      <c r="B3281" s="169" t="s">
        <v>26762</v>
      </c>
      <c r="C3281" s="169" t="s">
        <v>10225</v>
      </c>
      <c r="D3281" s="169" t="s">
        <v>1290</v>
      </c>
      <c r="E3281" s="103" t="s">
        <v>3966</v>
      </c>
      <c r="F3281" s="104"/>
      <c r="G3281" s="105">
        <f t="shared" si="204"/>
        <v>1.3</v>
      </c>
      <c r="H3281" s="101" t="str">
        <f t="shared" si="205"/>
        <v>Sinapi 4382</v>
      </c>
      <c r="I3281" s="101" t="str">
        <f t="shared" si="206"/>
        <v>UN</v>
      </c>
      <c r="J3281" s="140" t="str">
        <f t="shared" si="207"/>
        <v>PARAFUSO ZINCADO, SEXTAVADO, COM ROSCA SOBERBA, DIAMETRO 5/16", COMPRIMENTO 80 MM</v>
      </c>
    </row>
    <row r="3282" spans="1:10" x14ac:dyDescent="0.25">
      <c r="A3282" s="169">
        <v>4354</v>
      </c>
      <c r="B3282" s="169" t="s">
        <v>26763</v>
      </c>
      <c r="C3282" s="169" t="s">
        <v>10225</v>
      </c>
      <c r="D3282" s="169" t="s">
        <v>1290</v>
      </c>
      <c r="E3282" s="103" t="s">
        <v>21564</v>
      </c>
      <c r="F3282" s="104"/>
      <c r="G3282" s="105">
        <f t="shared" si="204"/>
        <v>54.34</v>
      </c>
      <c r="H3282" s="101" t="str">
        <f t="shared" si="205"/>
        <v>Sinapi 4354</v>
      </c>
      <c r="I3282" s="101" t="str">
        <f t="shared" si="206"/>
        <v>UN</v>
      </c>
      <c r="J3282" s="140" t="str">
        <f t="shared" si="207"/>
        <v>PARAFUSO ZINCADO, SEXTAVADO, GRAU 5, ROSCA INTEIRA, DIAMETRO 1 1/2", COMPRIMENTO 4"</v>
      </c>
    </row>
    <row r="3283" spans="1:10" x14ac:dyDescent="0.25">
      <c r="A3283" s="169">
        <v>40839</v>
      </c>
      <c r="B3283" s="169" t="s">
        <v>26764</v>
      </c>
      <c r="C3283" s="169" t="s">
        <v>10265</v>
      </c>
      <c r="D3283" s="169" t="s">
        <v>1290</v>
      </c>
      <c r="E3283" s="103" t="s">
        <v>22748</v>
      </c>
      <c r="F3283" s="104"/>
      <c r="G3283" s="105">
        <f t="shared" si="204"/>
        <v>130.77000000000001</v>
      </c>
      <c r="H3283" s="101" t="str">
        <f t="shared" si="205"/>
        <v>Sinapi 40839</v>
      </c>
      <c r="I3283" s="101" t="str">
        <f t="shared" si="206"/>
        <v>CENTO</v>
      </c>
      <c r="J3283" s="140" t="str">
        <f t="shared" si="207"/>
        <v>PARAFUSO, ASTM A307 - GRAU A, SEXTAVADO, ZINCADO, DIAMETRO 3/8" (9,52 MM), COMPRIMENTO 1 " (25,4 MM)</v>
      </c>
    </row>
    <row r="3284" spans="1:10" x14ac:dyDescent="0.25">
      <c r="A3284" s="169">
        <v>40552</v>
      </c>
      <c r="B3284" s="169" t="s">
        <v>30860</v>
      </c>
      <c r="C3284" s="169" t="s">
        <v>10265</v>
      </c>
      <c r="D3284" s="169" t="s">
        <v>1290</v>
      </c>
      <c r="E3284" s="103" t="s">
        <v>30861</v>
      </c>
      <c r="F3284" s="104"/>
      <c r="G3284" s="105">
        <f t="shared" si="204"/>
        <v>54.11</v>
      </c>
      <c r="H3284" s="101" t="str">
        <f t="shared" si="205"/>
        <v>Sinapi 40552</v>
      </c>
      <c r="I3284" s="101" t="str">
        <f t="shared" si="206"/>
        <v>CENTO</v>
      </c>
      <c r="J3284" s="140" t="str">
        <f t="shared" si="207"/>
        <v>PARAFUSO, AUTO ATARRACHANTE, CABECA CHATA, FENDA SIMPLES, 1/4" (6,35 MM) X 25 MM</v>
      </c>
    </row>
    <row r="3285" spans="1:10" x14ac:dyDescent="0.25">
      <c r="A3285" s="169">
        <v>40549</v>
      </c>
      <c r="B3285" s="169" t="s">
        <v>1239</v>
      </c>
      <c r="C3285" s="169" t="s">
        <v>10265</v>
      </c>
      <c r="D3285" s="169" t="s">
        <v>1290</v>
      </c>
      <c r="E3285" s="103" t="s">
        <v>30862</v>
      </c>
      <c r="F3285" s="104"/>
      <c r="G3285" s="105">
        <f t="shared" si="204"/>
        <v>214.19</v>
      </c>
      <c r="H3285" s="101" t="str">
        <f t="shared" si="205"/>
        <v>Sinapi 40549</v>
      </c>
      <c r="I3285" s="101" t="str">
        <f t="shared" si="206"/>
        <v>CENTO</v>
      </c>
      <c r="J3285" s="140" t="str">
        <f t="shared" si="207"/>
        <v>PARAFUSO, COMUM, ASTM A307, SEXTAVADO, DIAMETRO 1/2" (12,7 MM), COMPRIMENTO 1" (25,4 MM)</v>
      </c>
    </row>
    <row r="3286" spans="1:10" x14ac:dyDescent="0.25">
      <c r="A3286" s="169">
        <v>4385</v>
      </c>
      <c r="B3286" s="169" t="s">
        <v>26765</v>
      </c>
      <c r="C3286" s="169" t="s">
        <v>10242</v>
      </c>
      <c r="D3286" s="169" t="s">
        <v>1289</v>
      </c>
      <c r="E3286" s="103" t="s">
        <v>30863</v>
      </c>
      <c r="F3286" s="104"/>
      <c r="G3286" s="105">
        <f t="shared" si="204"/>
        <v>7254.49</v>
      </c>
      <c r="H3286" s="101" t="str">
        <f t="shared" si="205"/>
        <v>Sinapi 4385</v>
      </c>
      <c r="I3286" s="101" t="str">
        <f t="shared" si="206"/>
        <v>MIL</v>
      </c>
      <c r="J3286" s="140" t="str">
        <f t="shared" si="207"/>
        <v>PARALELEPIPEDO GRANITICO OU BASALTICO, PARA PAVIMENTACAO, SEM FRETE (VARIACAO REGIONAL DE PECAS POR M2)</v>
      </c>
    </row>
    <row r="3287" spans="1:10" x14ac:dyDescent="0.25">
      <c r="A3287" s="169">
        <v>20078</v>
      </c>
      <c r="B3287" s="169" t="s">
        <v>26766</v>
      </c>
      <c r="C3287" s="169" t="s">
        <v>10225</v>
      </c>
      <c r="D3287" s="169" t="s">
        <v>1289</v>
      </c>
      <c r="E3287" s="103" t="s">
        <v>25559</v>
      </c>
      <c r="F3287" s="104"/>
      <c r="G3287" s="105">
        <f t="shared" si="204"/>
        <v>31.85</v>
      </c>
      <c r="H3287" s="101" t="str">
        <f t="shared" si="205"/>
        <v>Sinapi 20078</v>
      </c>
      <c r="I3287" s="101" t="str">
        <f t="shared" si="206"/>
        <v>UN</v>
      </c>
      <c r="J3287" s="140" t="str">
        <f t="shared" si="207"/>
        <v>PASTA LUBRIFICANTE PARA TUBOS E CONEXOES COM JUNTA ELASTICA, EMBALAGEM DE *400* GR (USO EM PVC, ACO, POLIETILENO E OUTROS)</v>
      </c>
    </row>
    <row r="3288" spans="1:10" x14ac:dyDescent="0.25">
      <c r="A3288" s="169">
        <v>39897</v>
      </c>
      <c r="B3288" s="169" t="s">
        <v>1056</v>
      </c>
      <c r="C3288" s="169" t="s">
        <v>10225</v>
      </c>
      <c r="D3288" s="169" t="s">
        <v>1290</v>
      </c>
      <c r="E3288" s="103" t="s">
        <v>23480</v>
      </c>
      <c r="F3288" s="104"/>
      <c r="G3288" s="105">
        <f t="shared" si="204"/>
        <v>49.07</v>
      </c>
      <c r="H3288" s="101" t="str">
        <f t="shared" si="205"/>
        <v>Sinapi 39897</v>
      </c>
      <c r="I3288" s="101" t="str">
        <f t="shared" si="206"/>
        <v>UN</v>
      </c>
      <c r="J3288" s="140" t="str">
        <f t="shared" si="207"/>
        <v>PASTA PARA SOLDA DE TUBOS E CONEXOES DE COBRE (EMBALAGEM COM 250 G)</v>
      </c>
    </row>
    <row r="3289" spans="1:10" x14ac:dyDescent="0.25">
      <c r="A3289" s="169">
        <v>118</v>
      </c>
      <c r="B3289" s="169" t="s">
        <v>26768</v>
      </c>
      <c r="C3289" s="169" t="s">
        <v>10225</v>
      </c>
      <c r="D3289" s="169" t="s">
        <v>1289</v>
      </c>
      <c r="E3289" s="103" t="s">
        <v>30193</v>
      </c>
      <c r="F3289" s="104"/>
      <c r="G3289" s="105">
        <f t="shared" si="204"/>
        <v>67.34</v>
      </c>
      <c r="H3289" s="101" t="str">
        <f t="shared" si="205"/>
        <v>Sinapi 118</v>
      </c>
      <c r="I3289" s="101" t="str">
        <f t="shared" si="206"/>
        <v>UN</v>
      </c>
      <c r="J3289" s="140" t="str">
        <f t="shared" si="207"/>
        <v>PASTA VEDA JUNTAS/ROSCA, EMBALAGEM DE *500* G, PARA INSTALACOES DE AGUA, GAS E OUTROS</v>
      </c>
    </row>
    <row r="3290" spans="1:10" x14ac:dyDescent="0.25">
      <c r="A3290" s="169">
        <v>4396</v>
      </c>
      <c r="B3290" s="169" t="s">
        <v>26769</v>
      </c>
      <c r="C3290" s="169" t="s">
        <v>10226</v>
      </c>
      <c r="D3290" s="169" t="s">
        <v>1289</v>
      </c>
      <c r="E3290" s="103" t="s">
        <v>30864</v>
      </c>
      <c r="F3290" s="104"/>
      <c r="G3290" s="105">
        <f t="shared" si="204"/>
        <v>284.17</v>
      </c>
      <c r="H3290" s="101" t="str">
        <f t="shared" si="205"/>
        <v>Sinapi 4396</v>
      </c>
      <c r="I3290" s="101" t="str">
        <f t="shared" si="206"/>
        <v>M2</v>
      </c>
      <c r="J3290" s="140" t="str">
        <f t="shared" si="207"/>
        <v>PASTILHA CERAMICA/PORCELANA, REVEST INT/EXT E PISCINA, CORES BRANCA OU FRIAS, SOLIDAS, SEM MESCLAGEM/MISTURA, ACABAMENTO LISO *2,5 X 2,5* CM</v>
      </c>
    </row>
    <row r="3291" spans="1:10" x14ac:dyDescent="0.25">
      <c r="A3291" s="169">
        <v>36881</v>
      </c>
      <c r="B3291" s="169" t="s">
        <v>26770</v>
      </c>
      <c r="C3291" s="169" t="s">
        <v>10226</v>
      </c>
      <c r="D3291" s="169" t="s">
        <v>1289</v>
      </c>
      <c r="E3291" s="103" t="s">
        <v>30865</v>
      </c>
      <c r="F3291" s="104"/>
      <c r="G3291" s="105">
        <f t="shared" si="204"/>
        <v>183.02</v>
      </c>
      <c r="H3291" s="101" t="str">
        <f t="shared" si="205"/>
        <v>Sinapi 36881</v>
      </c>
      <c r="I3291" s="101" t="str">
        <f t="shared" si="206"/>
        <v>M2</v>
      </c>
      <c r="J3291" s="140" t="str">
        <f t="shared" si="207"/>
        <v>PASTILHA CERAMICA/PORCELANA, REVEST INT/EXT E PISCINA, CORES BRANCA OU FRIAS, SOLIDAS, SEM MESCLAGEM/MISTURA, ACABAMENTO LISO *5 X 5* CM</v>
      </c>
    </row>
    <row r="3292" spans="1:10" x14ac:dyDescent="0.25">
      <c r="A3292" s="169">
        <v>4397</v>
      </c>
      <c r="B3292" s="169" t="s">
        <v>26771</v>
      </c>
      <c r="C3292" s="169" t="s">
        <v>10226</v>
      </c>
      <c r="D3292" s="169" t="s">
        <v>1289</v>
      </c>
      <c r="E3292" s="103" t="s">
        <v>30866</v>
      </c>
      <c r="F3292" s="104"/>
      <c r="G3292" s="105">
        <f t="shared" si="204"/>
        <v>309.12</v>
      </c>
      <c r="H3292" s="101" t="str">
        <f t="shared" si="205"/>
        <v>Sinapi 4397</v>
      </c>
      <c r="I3292" s="101" t="str">
        <f t="shared" si="206"/>
        <v>M2</v>
      </c>
      <c r="J3292" s="140" t="str">
        <f t="shared" si="207"/>
        <v>PASTILHA CERAMICA/PORCELANA, REVEST INT/EXT E PISCINA, CORES LISAS/SOLIDAS, QUENTES, SEM MESCLAGEM/MISTURA, *2,5 X 2,5* CM</v>
      </c>
    </row>
    <row r="3293" spans="1:10" x14ac:dyDescent="0.25">
      <c r="A3293" s="169">
        <v>36882</v>
      </c>
      <c r="B3293" s="169" t="s">
        <v>26772</v>
      </c>
      <c r="C3293" s="169" t="s">
        <v>10226</v>
      </c>
      <c r="D3293" s="169" t="s">
        <v>1289</v>
      </c>
      <c r="E3293" s="103" t="s">
        <v>29088</v>
      </c>
      <c r="F3293" s="104"/>
      <c r="G3293" s="105">
        <f t="shared" si="204"/>
        <v>218.84</v>
      </c>
      <c r="H3293" s="101" t="str">
        <f t="shared" si="205"/>
        <v>Sinapi 36882</v>
      </c>
      <c r="I3293" s="101" t="str">
        <f t="shared" si="206"/>
        <v>M2</v>
      </c>
      <c r="J3293" s="140" t="str">
        <f t="shared" si="207"/>
        <v>PASTILHA CERAMICA/PORCELANA, REVEST INT/EXT E PISCINA, CORES LISAS/SOLIDAS, QUENTES, SEM MESCLAGEM/MISTURA, *5 X 5* CM</v>
      </c>
    </row>
    <row r="3294" spans="1:10" x14ac:dyDescent="0.25">
      <c r="A3294" s="169">
        <v>4751</v>
      </c>
      <c r="B3294" s="169" t="s">
        <v>26773</v>
      </c>
      <c r="C3294" s="169" t="s">
        <v>10228</v>
      </c>
      <c r="D3294" s="169" t="s">
        <v>1289</v>
      </c>
      <c r="E3294" s="103" t="s">
        <v>29377</v>
      </c>
      <c r="F3294" s="104"/>
      <c r="G3294" s="105">
        <f t="shared" si="204"/>
        <v>21.52</v>
      </c>
      <c r="H3294" s="101" t="str">
        <f t="shared" si="205"/>
        <v>Sinapi 4751</v>
      </c>
      <c r="I3294" s="101" t="str">
        <f t="shared" si="206"/>
        <v>H</v>
      </c>
      <c r="J3294" s="140" t="str">
        <f t="shared" si="207"/>
        <v>PASTILHEIRO (HORISTA)</v>
      </c>
    </row>
    <row r="3295" spans="1:10" x14ac:dyDescent="0.25">
      <c r="A3295" s="169">
        <v>41066</v>
      </c>
      <c r="B3295" s="169" t="s">
        <v>26774</v>
      </c>
      <c r="C3295" s="169" t="s">
        <v>10235</v>
      </c>
      <c r="D3295" s="169" t="s">
        <v>1289</v>
      </c>
      <c r="E3295" s="103" t="s">
        <v>30867</v>
      </c>
      <c r="F3295" s="104"/>
      <c r="G3295" s="105">
        <f t="shared" si="204"/>
        <v>3747.5</v>
      </c>
      <c r="H3295" s="101" t="str">
        <f t="shared" si="205"/>
        <v>Sinapi 41066</v>
      </c>
      <c r="I3295" s="101" t="str">
        <f t="shared" si="206"/>
        <v>MES</v>
      </c>
      <c r="J3295" s="140" t="str">
        <f t="shared" si="207"/>
        <v>PASTILHEIRO (MENSALISTA)</v>
      </c>
    </row>
    <row r="3296" spans="1:10" x14ac:dyDescent="0.25">
      <c r="A3296" s="169">
        <v>39604</v>
      </c>
      <c r="B3296" s="169" t="s">
        <v>26775</v>
      </c>
      <c r="C3296" s="169" t="s">
        <v>10225</v>
      </c>
      <c r="D3296" s="169" t="s">
        <v>1289</v>
      </c>
      <c r="E3296" s="103" t="s">
        <v>24856</v>
      </c>
      <c r="F3296" s="104"/>
      <c r="G3296" s="105">
        <f t="shared" si="204"/>
        <v>12.94</v>
      </c>
      <c r="H3296" s="101" t="str">
        <f t="shared" si="205"/>
        <v>Sinapi 39604</v>
      </c>
      <c r="I3296" s="101" t="str">
        <f t="shared" si="206"/>
        <v>UN</v>
      </c>
      <c r="J3296" s="140" t="str">
        <f t="shared" si="207"/>
        <v>PATCH CORD (CABO DE REDE), CATEGORIA 5 E (CAT 5E) UTP, 24 AWG, 4 PARES, EXTENSAO DE 1,50 M</v>
      </c>
    </row>
    <row r="3297" spans="1:10" x14ac:dyDescent="0.25">
      <c r="A3297" s="169">
        <v>39605</v>
      </c>
      <c r="B3297" s="169" t="s">
        <v>26776</v>
      </c>
      <c r="C3297" s="169" t="s">
        <v>10225</v>
      </c>
      <c r="D3297" s="169" t="s">
        <v>1289</v>
      </c>
      <c r="E3297" s="103" t="s">
        <v>14642</v>
      </c>
      <c r="F3297" s="104"/>
      <c r="G3297" s="105">
        <f t="shared" si="204"/>
        <v>14.06</v>
      </c>
      <c r="H3297" s="101" t="str">
        <f t="shared" si="205"/>
        <v>Sinapi 39605</v>
      </c>
      <c r="I3297" s="101" t="str">
        <f t="shared" si="206"/>
        <v>UN</v>
      </c>
      <c r="J3297" s="140" t="str">
        <f t="shared" si="207"/>
        <v>PATCH CORD (CABO DE REDE), CATEGORIA 5 E (CAT 5E) UTP, 24 AWG, 4 PARES, EXTENSAO DE 2,50 M</v>
      </c>
    </row>
    <row r="3298" spans="1:10" x14ac:dyDescent="0.25">
      <c r="A3298" s="169">
        <v>39606</v>
      </c>
      <c r="B3298" s="169" t="s">
        <v>26777</v>
      </c>
      <c r="C3298" s="169" t="s">
        <v>10225</v>
      </c>
      <c r="D3298" s="169" t="s">
        <v>1289</v>
      </c>
      <c r="E3298" s="103" t="s">
        <v>25914</v>
      </c>
      <c r="F3298" s="104"/>
      <c r="G3298" s="105">
        <f t="shared" si="204"/>
        <v>24.61</v>
      </c>
      <c r="H3298" s="101" t="str">
        <f t="shared" si="205"/>
        <v>Sinapi 39606</v>
      </c>
      <c r="I3298" s="101" t="str">
        <f t="shared" si="206"/>
        <v>UN</v>
      </c>
      <c r="J3298" s="140" t="str">
        <f t="shared" si="207"/>
        <v>PATCH CORD (CABO DE REDE), CATEGORIA 6 (CAT 6) UTP, 23 AWG, 4 PARES, EXTENSAO DE 1,50 M</v>
      </c>
    </row>
    <row r="3299" spans="1:10" x14ac:dyDescent="0.25">
      <c r="A3299" s="169">
        <v>39607</v>
      </c>
      <c r="B3299" s="169" t="s">
        <v>26778</v>
      </c>
      <c r="C3299" s="169" t="s">
        <v>10225</v>
      </c>
      <c r="D3299" s="169" t="s">
        <v>1289</v>
      </c>
      <c r="E3299" s="103" t="s">
        <v>30868</v>
      </c>
      <c r="F3299" s="104"/>
      <c r="G3299" s="105">
        <f t="shared" si="204"/>
        <v>33.299999999999997</v>
      </c>
      <c r="H3299" s="101" t="str">
        <f t="shared" si="205"/>
        <v>Sinapi 39607</v>
      </c>
      <c r="I3299" s="101" t="str">
        <f t="shared" si="206"/>
        <v>UN</v>
      </c>
      <c r="J3299" s="140" t="str">
        <f t="shared" si="207"/>
        <v>PATCH CORD (CABO DE REDE), CATEGORIA 6 (CAT 6) UTP, 23 AWG, 4 PARES, EXTENSAO DE 2,50 M</v>
      </c>
    </row>
    <row r="3300" spans="1:10" x14ac:dyDescent="0.25">
      <c r="A3300" s="169">
        <v>39594</v>
      </c>
      <c r="B3300" s="169" t="s">
        <v>26780</v>
      </c>
      <c r="C3300" s="169" t="s">
        <v>10225</v>
      </c>
      <c r="D3300" s="169" t="s">
        <v>1288</v>
      </c>
      <c r="E3300" s="103" t="s">
        <v>30869</v>
      </c>
      <c r="F3300" s="104"/>
      <c r="G3300" s="105">
        <f t="shared" si="204"/>
        <v>339</v>
      </c>
      <c r="H3300" s="101" t="str">
        <f t="shared" si="205"/>
        <v>Sinapi 39594</v>
      </c>
      <c r="I3300" s="101" t="str">
        <f t="shared" si="206"/>
        <v>UN</v>
      </c>
      <c r="J3300" s="140" t="str">
        <f t="shared" si="207"/>
        <v>PATCH PANEL, 24 PORTAS, CATEGORIA 5E, COM RACKS DE 19" DE LARGURA E 1 U DE ALTURA</v>
      </c>
    </row>
    <row r="3301" spans="1:10" x14ac:dyDescent="0.25">
      <c r="A3301" s="169">
        <v>39596</v>
      </c>
      <c r="B3301" s="169" t="s">
        <v>26781</v>
      </c>
      <c r="C3301" s="169" t="s">
        <v>10225</v>
      </c>
      <c r="D3301" s="169" t="s">
        <v>1289</v>
      </c>
      <c r="E3301" s="103" t="s">
        <v>30870</v>
      </c>
      <c r="F3301" s="104"/>
      <c r="G3301" s="105">
        <f t="shared" si="204"/>
        <v>907.87</v>
      </c>
      <c r="H3301" s="101" t="str">
        <f t="shared" si="205"/>
        <v>Sinapi 39596</v>
      </c>
      <c r="I3301" s="101" t="str">
        <f t="shared" si="206"/>
        <v>UN</v>
      </c>
      <c r="J3301" s="140" t="str">
        <f t="shared" si="207"/>
        <v>PATCH PANEL, 24 PORTAS, CATEGORIA 6, COM RACKS DE 19" DE LARGURA E 1 U DE ALTURA</v>
      </c>
    </row>
    <row r="3302" spans="1:10" x14ac:dyDescent="0.25">
      <c r="A3302" s="169">
        <v>39595</v>
      </c>
      <c r="B3302" s="169" t="s">
        <v>26782</v>
      </c>
      <c r="C3302" s="169" t="s">
        <v>10225</v>
      </c>
      <c r="D3302" s="169" t="s">
        <v>1289</v>
      </c>
      <c r="E3302" s="103" t="s">
        <v>30871</v>
      </c>
      <c r="F3302" s="104"/>
      <c r="G3302" s="105">
        <f t="shared" si="204"/>
        <v>2039.85</v>
      </c>
      <c r="H3302" s="101" t="str">
        <f t="shared" si="205"/>
        <v>Sinapi 39595</v>
      </c>
      <c r="I3302" s="101" t="str">
        <f t="shared" si="206"/>
        <v>UN</v>
      </c>
      <c r="J3302" s="140" t="str">
        <f t="shared" si="207"/>
        <v>PATCH PANEL, 48 PORTAS, CATEGORIA 5E, COM RACKS DE 19" DE LARGURA E 2 U DE ALTURA</v>
      </c>
    </row>
    <row r="3303" spans="1:10" x14ac:dyDescent="0.25">
      <c r="A3303" s="169">
        <v>39597</v>
      </c>
      <c r="B3303" s="169" t="s">
        <v>26783</v>
      </c>
      <c r="C3303" s="169" t="s">
        <v>10225</v>
      </c>
      <c r="D3303" s="169" t="s">
        <v>1289</v>
      </c>
      <c r="E3303" s="103" t="s">
        <v>30872</v>
      </c>
      <c r="F3303" s="104"/>
      <c r="G3303" s="105">
        <f t="shared" si="204"/>
        <v>3199.79</v>
      </c>
      <c r="H3303" s="101" t="str">
        <f t="shared" si="205"/>
        <v>Sinapi 39597</v>
      </c>
      <c r="I3303" s="101" t="str">
        <f t="shared" si="206"/>
        <v>UN</v>
      </c>
      <c r="J3303" s="140" t="str">
        <f t="shared" si="207"/>
        <v>PATCH PANEL, 48 PORTAS, CATEGORIA 6, COM RACKS DE 19" DE LARGURA E 2 U DE ALTURA</v>
      </c>
    </row>
    <row r="3304" spans="1:10" x14ac:dyDescent="0.25">
      <c r="A3304" s="169">
        <v>10731</v>
      </c>
      <c r="B3304" s="169" t="s">
        <v>26784</v>
      </c>
      <c r="C3304" s="169" t="s">
        <v>10226</v>
      </c>
      <c r="D3304" s="169" t="s">
        <v>1290</v>
      </c>
      <c r="E3304" s="103" t="s">
        <v>19413</v>
      </c>
      <c r="F3304" s="104"/>
      <c r="G3304" s="105">
        <f t="shared" si="204"/>
        <v>34.75</v>
      </c>
      <c r="H3304" s="101" t="str">
        <f t="shared" si="205"/>
        <v>Sinapi 10731</v>
      </c>
      <c r="I3304" s="101" t="str">
        <f t="shared" si="206"/>
        <v>M2</v>
      </c>
      <c r="J3304" s="140" t="str">
        <f t="shared" si="207"/>
        <v>PEDRA ARDOSIA, CINZA, *40 X 40* CM, E= *1 CM</v>
      </c>
    </row>
    <row r="3305" spans="1:10" x14ac:dyDescent="0.25">
      <c r="A3305" s="169">
        <v>4704</v>
      </c>
      <c r="B3305" s="169" t="s">
        <v>26785</v>
      </c>
      <c r="C3305" s="169" t="s">
        <v>10226</v>
      </c>
      <c r="D3305" s="169" t="s">
        <v>1290</v>
      </c>
      <c r="E3305" s="103" t="s">
        <v>26786</v>
      </c>
      <c r="F3305" s="104"/>
      <c r="G3305" s="105">
        <f t="shared" si="204"/>
        <v>31.36</v>
      </c>
      <c r="H3305" s="101" t="str">
        <f t="shared" si="205"/>
        <v>Sinapi 4704</v>
      </c>
      <c r="I3305" s="101" t="str">
        <f t="shared" si="206"/>
        <v>M2</v>
      </c>
      <c r="J3305" s="140" t="str">
        <f t="shared" si="207"/>
        <v>PEDRA ARDOSIA, CINZA, 20 X 40 CM, E= *1 CM</v>
      </c>
    </row>
    <row r="3306" spans="1:10" x14ac:dyDescent="0.25">
      <c r="A3306" s="169">
        <v>10730</v>
      </c>
      <c r="B3306" s="169" t="s">
        <v>26787</v>
      </c>
      <c r="C3306" s="169" t="s">
        <v>10226</v>
      </c>
      <c r="D3306" s="169" t="s">
        <v>1290</v>
      </c>
      <c r="E3306" s="103" t="s">
        <v>21187</v>
      </c>
      <c r="F3306" s="104"/>
      <c r="G3306" s="105">
        <f t="shared" si="204"/>
        <v>33.6</v>
      </c>
      <c r="H3306" s="101" t="str">
        <f t="shared" si="205"/>
        <v>Sinapi 10730</v>
      </c>
      <c r="I3306" s="101" t="str">
        <f t="shared" si="206"/>
        <v>M2</v>
      </c>
      <c r="J3306" s="140" t="str">
        <f t="shared" si="207"/>
        <v>PEDRA ARDOSIA, CINZA, 30 X 30, E= *1 CM</v>
      </c>
    </row>
    <row r="3307" spans="1:10" x14ac:dyDescent="0.25">
      <c r="A3307" s="169">
        <v>4729</v>
      </c>
      <c r="B3307" s="169" t="s">
        <v>26788</v>
      </c>
      <c r="C3307" s="169" t="s">
        <v>10234</v>
      </c>
      <c r="D3307" s="169" t="s">
        <v>1289</v>
      </c>
      <c r="E3307" s="103" t="s">
        <v>30873</v>
      </c>
      <c r="F3307" s="104"/>
      <c r="G3307" s="105">
        <f t="shared" si="204"/>
        <v>238.05</v>
      </c>
      <c r="H3307" s="101" t="str">
        <f t="shared" si="205"/>
        <v>Sinapi 4729</v>
      </c>
      <c r="I3307" s="101" t="str">
        <f t="shared" si="206"/>
        <v>M3</v>
      </c>
      <c r="J3307" s="140" t="str">
        <f t="shared" si="207"/>
        <v>PEDRA BRITADA GRADUADA, CLASSIFICADA (POSTO PEDREIRA/FORNECEDOR, SEM FRETE)</v>
      </c>
    </row>
    <row r="3308" spans="1:10" x14ac:dyDescent="0.25">
      <c r="A3308" s="169">
        <v>4720</v>
      </c>
      <c r="B3308" s="169" t="s">
        <v>635</v>
      </c>
      <c r="C3308" s="169" t="s">
        <v>10234</v>
      </c>
      <c r="D3308" s="169" t="s">
        <v>1289</v>
      </c>
      <c r="E3308" s="103" t="s">
        <v>30874</v>
      </c>
      <c r="F3308" s="104"/>
      <c r="G3308" s="105">
        <f t="shared" si="204"/>
        <v>272.76</v>
      </c>
      <c r="H3308" s="101" t="str">
        <f t="shared" si="205"/>
        <v>Sinapi 4720</v>
      </c>
      <c r="I3308" s="101" t="str">
        <f t="shared" si="206"/>
        <v>M3</v>
      </c>
      <c r="J3308" s="140" t="str">
        <f t="shared" si="207"/>
        <v>PEDRA BRITADA N. 0, OU PEDRISCO (4,8 A 9,5 MM) POSTO PEDREIRA/FORNECEDOR, SEM FRETE</v>
      </c>
    </row>
    <row r="3309" spans="1:10" x14ac:dyDescent="0.25">
      <c r="A3309" s="169">
        <v>4721</v>
      </c>
      <c r="B3309" s="169" t="s">
        <v>26789</v>
      </c>
      <c r="C3309" s="169" t="s">
        <v>10234</v>
      </c>
      <c r="D3309" s="169" t="s">
        <v>1289</v>
      </c>
      <c r="E3309" s="103" t="s">
        <v>30875</v>
      </c>
      <c r="F3309" s="104"/>
      <c r="G3309" s="105">
        <f t="shared" si="204"/>
        <v>236.26</v>
      </c>
      <c r="H3309" s="101" t="str">
        <f t="shared" si="205"/>
        <v>Sinapi 4721</v>
      </c>
      <c r="I3309" s="101" t="str">
        <f t="shared" si="206"/>
        <v>M3</v>
      </c>
      <c r="J3309" s="140" t="str">
        <f t="shared" si="207"/>
        <v>PEDRA BRITADA N. 1 (9,5 a 19 MM) POSTO PEDREIRA/FORNECEDOR, SEM FRETE</v>
      </c>
    </row>
    <row r="3310" spans="1:10" x14ac:dyDescent="0.25">
      <c r="A3310" s="169">
        <v>4718</v>
      </c>
      <c r="B3310" s="169" t="s">
        <v>26790</v>
      </c>
      <c r="C3310" s="169" t="s">
        <v>10234</v>
      </c>
      <c r="D3310" s="169" t="s">
        <v>1288</v>
      </c>
      <c r="E3310" s="103" t="s">
        <v>30876</v>
      </c>
      <c r="F3310" s="104"/>
      <c r="G3310" s="105">
        <f t="shared" si="204"/>
        <v>237.5</v>
      </c>
      <c r="H3310" s="101" t="str">
        <f t="shared" si="205"/>
        <v>Sinapi 4718</v>
      </c>
      <c r="I3310" s="101" t="str">
        <f t="shared" si="206"/>
        <v>M3</v>
      </c>
      <c r="J3310" s="140" t="str">
        <f t="shared" si="207"/>
        <v>PEDRA BRITADA N. 2 (19 A 38 MM) POSTO PEDREIRA/FORNECEDOR, SEM FRETE</v>
      </c>
    </row>
    <row r="3311" spans="1:10" x14ac:dyDescent="0.25">
      <c r="A3311" s="169">
        <v>4722</v>
      </c>
      <c r="B3311" s="169" t="s">
        <v>26791</v>
      </c>
      <c r="C3311" s="169" t="s">
        <v>10234</v>
      </c>
      <c r="D3311" s="169" t="s">
        <v>1289</v>
      </c>
      <c r="E3311" s="103" t="s">
        <v>30877</v>
      </c>
      <c r="F3311" s="104"/>
      <c r="G3311" s="105">
        <f t="shared" si="204"/>
        <v>223.17</v>
      </c>
      <c r="H3311" s="101" t="str">
        <f t="shared" si="205"/>
        <v>Sinapi 4722</v>
      </c>
      <c r="I3311" s="101" t="str">
        <f t="shared" si="206"/>
        <v>M3</v>
      </c>
      <c r="J3311" s="140" t="str">
        <f t="shared" si="207"/>
        <v>PEDRA BRITADA N. 3 (38 A 50 MM) POSTO PEDREIRA/FORNECEDOR, SEM FRETE</v>
      </c>
    </row>
    <row r="3312" spans="1:10" x14ac:dyDescent="0.25">
      <c r="A3312" s="169">
        <v>4723</v>
      </c>
      <c r="B3312" s="169" t="s">
        <v>26792</v>
      </c>
      <c r="C3312" s="169" t="s">
        <v>10234</v>
      </c>
      <c r="D3312" s="169" t="s">
        <v>1289</v>
      </c>
      <c r="E3312" s="103" t="s">
        <v>30878</v>
      </c>
      <c r="F3312" s="104"/>
      <c r="G3312" s="105">
        <f t="shared" si="204"/>
        <v>221.24</v>
      </c>
      <c r="H3312" s="101" t="str">
        <f t="shared" si="205"/>
        <v>Sinapi 4723</v>
      </c>
      <c r="I3312" s="101" t="str">
        <f t="shared" si="206"/>
        <v>M3</v>
      </c>
      <c r="J3312" s="140" t="str">
        <f t="shared" si="207"/>
        <v>PEDRA BRITADA N. 4 (50 A 76 MM) POSTO PEDREIRA/FORNECEDOR, SEM FRETE</v>
      </c>
    </row>
    <row r="3313" spans="1:10" x14ac:dyDescent="0.25">
      <c r="A3313" s="169">
        <v>4727</v>
      </c>
      <c r="B3313" s="169" t="s">
        <v>26793</v>
      </c>
      <c r="C3313" s="169" t="s">
        <v>10234</v>
      </c>
      <c r="D3313" s="169" t="s">
        <v>1289</v>
      </c>
      <c r="E3313" s="103" t="s">
        <v>30879</v>
      </c>
      <c r="F3313" s="104"/>
      <c r="G3313" s="105">
        <f t="shared" si="204"/>
        <v>202.5</v>
      </c>
      <c r="H3313" s="101" t="str">
        <f t="shared" si="205"/>
        <v>Sinapi 4727</v>
      </c>
      <c r="I3313" s="101" t="str">
        <f t="shared" si="206"/>
        <v>M3</v>
      </c>
      <c r="J3313" s="140" t="str">
        <f t="shared" si="207"/>
        <v>PEDRA BRITADA N. 5 (76 A 100 MM) POSTO PEDREIRA/FORNECEDOR, SEM FRETE</v>
      </c>
    </row>
    <row r="3314" spans="1:10" x14ac:dyDescent="0.25">
      <c r="A3314" s="169">
        <v>4748</v>
      </c>
      <c r="B3314" s="169" t="s">
        <v>26794</v>
      </c>
      <c r="C3314" s="169" t="s">
        <v>10234</v>
      </c>
      <c r="D3314" s="169" t="s">
        <v>1289</v>
      </c>
      <c r="E3314" s="103" t="s">
        <v>30880</v>
      </c>
      <c r="F3314" s="104"/>
      <c r="G3314" s="105">
        <f t="shared" si="204"/>
        <v>218.21</v>
      </c>
      <c r="H3314" s="101" t="str">
        <f t="shared" si="205"/>
        <v>Sinapi 4748</v>
      </c>
      <c r="I3314" s="101" t="str">
        <f t="shared" si="206"/>
        <v>M3</v>
      </c>
      <c r="J3314" s="140" t="str">
        <f t="shared" si="207"/>
        <v>PEDRA BRITADA OU BICA CORRIDA, NAO CLASSIFICADA (POSTO PEDREIRA/FORNECEDOR, SEM FRETE)</v>
      </c>
    </row>
    <row r="3315" spans="1:10" x14ac:dyDescent="0.25">
      <c r="A3315" s="169">
        <v>4730</v>
      </c>
      <c r="B3315" s="169" t="s">
        <v>26795</v>
      </c>
      <c r="C3315" s="169" t="s">
        <v>10234</v>
      </c>
      <c r="D3315" s="169" t="s">
        <v>1289</v>
      </c>
      <c r="E3315" s="103" t="s">
        <v>30881</v>
      </c>
      <c r="F3315" s="104"/>
      <c r="G3315" s="105">
        <f t="shared" si="204"/>
        <v>222.07</v>
      </c>
      <c r="H3315" s="101" t="str">
        <f t="shared" si="205"/>
        <v>Sinapi 4730</v>
      </c>
      <c r="I3315" s="101" t="str">
        <f t="shared" si="206"/>
        <v>M3</v>
      </c>
      <c r="J3315" s="140" t="str">
        <f t="shared" si="207"/>
        <v>PEDRA DE MAO OU PEDRA RACHAO PARA ARRIMO/FUNDACAO (POSTO PEDREIRA/FORNECEDOR, SEM FRETE)</v>
      </c>
    </row>
    <row r="3316" spans="1:10" x14ac:dyDescent="0.25">
      <c r="A3316" s="169">
        <v>13186</v>
      </c>
      <c r="B3316" s="169" t="s">
        <v>26796</v>
      </c>
      <c r="C3316" s="169" t="s">
        <v>10234</v>
      </c>
      <c r="D3316" s="169" t="s">
        <v>1289</v>
      </c>
      <c r="E3316" s="103" t="s">
        <v>30882</v>
      </c>
      <c r="F3316" s="104"/>
      <c r="G3316" s="105">
        <f t="shared" si="204"/>
        <v>256.23</v>
      </c>
      <c r="H3316" s="101" t="str">
        <f t="shared" si="205"/>
        <v>Sinapi 13186</v>
      </c>
      <c r="I3316" s="101" t="str">
        <f t="shared" si="206"/>
        <v>M3</v>
      </c>
      <c r="J3316" s="140" t="str">
        <f t="shared" si="207"/>
        <v>PEDRA GRANITICA OU BASALTICA IRREGULAR, FAIXA GRANULOMETRICA 100 A 150 MM PARA PAVIMENTACAO OU CALCAMENTO POLIEDRICO, POSTO PEDREIRA / FORNECEDOR (SEM FRETE)</v>
      </c>
    </row>
    <row r="3317" spans="1:10" x14ac:dyDescent="0.25">
      <c r="A3317" s="169">
        <v>10737</v>
      </c>
      <c r="B3317" s="169" t="s">
        <v>26797</v>
      </c>
      <c r="C3317" s="169" t="s">
        <v>10226</v>
      </c>
      <c r="D3317" s="169" t="s">
        <v>1290</v>
      </c>
      <c r="E3317" s="103" t="s">
        <v>26798</v>
      </c>
      <c r="F3317" s="104"/>
      <c r="G3317" s="105">
        <f t="shared" si="204"/>
        <v>109.2</v>
      </c>
      <c r="H3317" s="101" t="str">
        <f t="shared" si="205"/>
        <v>Sinapi 10737</v>
      </c>
      <c r="I3317" s="101" t="str">
        <f t="shared" si="206"/>
        <v>M2</v>
      </c>
      <c r="J3317" s="140" t="str">
        <f t="shared" si="207"/>
        <v>PEDRA GRANITICA OU BASALTO, CACO, RETALHO, CAVACO, TIPO MIRACEMA, MADEIRA, PADUANA, RACHINHA, SANTA ISABEL OU OUTRAS SIMILARES, E= *1,0 A *2,0 CM</v>
      </c>
    </row>
    <row r="3318" spans="1:10" x14ac:dyDescent="0.25">
      <c r="A3318" s="169">
        <v>10734</v>
      </c>
      <c r="B3318" s="169" t="s">
        <v>26799</v>
      </c>
      <c r="C3318" s="169" t="s">
        <v>10226</v>
      </c>
      <c r="D3318" s="169" t="s">
        <v>1290</v>
      </c>
      <c r="E3318" s="103" t="s">
        <v>23291</v>
      </c>
      <c r="F3318" s="104"/>
      <c r="G3318" s="105">
        <f t="shared" si="204"/>
        <v>64.959999999999994</v>
      </c>
      <c r="H3318" s="101" t="str">
        <f t="shared" si="205"/>
        <v>Sinapi 10734</v>
      </c>
      <c r="I3318" s="101" t="str">
        <f t="shared" si="206"/>
        <v>M2</v>
      </c>
      <c r="J3318" s="140" t="str">
        <f t="shared" si="207"/>
        <v>PEDRA GRANITICA, SERRADA, TIPO MIRACEMA, MADEIRA, PADUANA, RACHINHA, SANTA ISABEL OU OUTRAS SIMILARES, *11,5 X *23 CM, E= *1,0 A *2,0 CM</v>
      </c>
    </row>
    <row r="3319" spans="1:10" x14ac:dyDescent="0.25">
      <c r="A3319" s="169">
        <v>4708</v>
      </c>
      <c r="B3319" s="169" t="s">
        <v>26800</v>
      </c>
      <c r="C3319" s="169" t="s">
        <v>10226</v>
      </c>
      <c r="D3319" s="169" t="s">
        <v>1290</v>
      </c>
      <c r="E3319" s="103" t="s">
        <v>26801</v>
      </c>
      <c r="F3319" s="104"/>
      <c r="G3319" s="105">
        <f t="shared" si="204"/>
        <v>126</v>
      </c>
      <c r="H3319" s="101" t="str">
        <f t="shared" si="205"/>
        <v>Sinapi 4708</v>
      </c>
      <c r="I3319" s="101" t="str">
        <f t="shared" si="206"/>
        <v>M2</v>
      </c>
      <c r="J3319" s="140" t="str">
        <f t="shared" si="207"/>
        <v>PEDRA PORTUGUESA OU PETIT PAVE, BRANCA OU PRETA</v>
      </c>
    </row>
    <row r="3320" spans="1:10" x14ac:dyDescent="0.25">
      <c r="A3320" s="169">
        <v>4712</v>
      </c>
      <c r="B3320" s="169" t="s">
        <v>26802</v>
      </c>
      <c r="C3320" s="169" t="s">
        <v>10226</v>
      </c>
      <c r="D3320" s="169" t="s">
        <v>1290</v>
      </c>
      <c r="E3320" s="103" t="s">
        <v>24490</v>
      </c>
      <c r="F3320" s="104"/>
      <c r="G3320" s="105">
        <f t="shared" si="204"/>
        <v>61.6</v>
      </c>
      <c r="H3320" s="101" t="str">
        <f t="shared" si="205"/>
        <v>Sinapi 4712</v>
      </c>
      <c r="I3320" s="101" t="str">
        <f t="shared" si="206"/>
        <v>M2</v>
      </c>
      <c r="J3320" s="140" t="str">
        <f t="shared" si="207"/>
        <v>PEDRA QUARTZITO OU CALCARIO LAMINADO, CACO, TIPO CARIRI, ITACOLOMI, LAGOA SANTA, LUMINARIA, PIRENOPOLIS, SAO TOME OU OUTRAS SIMILARES DA REGIAO, E= *1,5 A *2,5 CM</v>
      </c>
    </row>
    <row r="3321" spans="1:10" x14ac:dyDescent="0.25">
      <c r="A3321" s="169">
        <v>4710</v>
      </c>
      <c r="B3321" s="169" t="s">
        <v>26803</v>
      </c>
      <c r="C3321" s="169" t="s">
        <v>10226</v>
      </c>
      <c r="D3321" s="169" t="s">
        <v>1290</v>
      </c>
      <c r="E3321" s="103" t="s">
        <v>26804</v>
      </c>
      <c r="F3321" s="104"/>
      <c r="G3321" s="105">
        <f t="shared" si="204"/>
        <v>197.55</v>
      </c>
      <c r="H3321" s="101" t="str">
        <f t="shared" si="205"/>
        <v>Sinapi 4710</v>
      </c>
      <c r="I3321" s="101" t="str">
        <f t="shared" si="206"/>
        <v>M2</v>
      </c>
      <c r="J3321" s="140" t="str">
        <f t="shared" si="207"/>
        <v>PEDRA QUARTZITO OU CALCARIO LAMINADO, SERRADA, TIPO CARIRI, ITACOLOMI, LAGOA SANTA, LUMINARIA, PIRENOPOLIS, SAO TOME OU OUTRAS SIMILARES DA REGIAO, *20 X *40 CM, E= *1,5 A *2,5 CM</v>
      </c>
    </row>
    <row r="3322" spans="1:10" x14ac:dyDescent="0.25">
      <c r="A3322" s="169">
        <v>4746</v>
      </c>
      <c r="B3322" s="169" t="s">
        <v>26805</v>
      </c>
      <c r="C3322" s="169" t="s">
        <v>10234</v>
      </c>
      <c r="D3322" s="169" t="s">
        <v>1289</v>
      </c>
      <c r="E3322" s="103" t="s">
        <v>30883</v>
      </c>
      <c r="F3322" s="104"/>
      <c r="G3322" s="105">
        <f t="shared" si="204"/>
        <v>165.86</v>
      </c>
      <c r="H3322" s="101" t="str">
        <f t="shared" si="205"/>
        <v>Sinapi 4746</v>
      </c>
      <c r="I3322" s="101" t="str">
        <f t="shared" si="206"/>
        <v>M3</v>
      </c>
      <c r="J3322" s="140" t="str">
        <f t="shared" si="207"/>
        <v>PEDREGULHO OU PICARRA DE JAZIDA, AO NATURAL, PARA BASE DE PAVIMENTACAO (RETIRADO NA JAZIDA, SEM TRANSPORTE)</v>
      </c>
    </row>
    <row r="3323" spans="1:10" x14ac:dyDescent="0.25">
      <c r="A3323" s="169">
        <v>4750</v>
      </c>
      <c r="B3323" s="169" t="s">
        <v>26806</v>
      </c>
      <c r="C3323" s="169" t="s">
        <v>10228</v>
      </c>
      <c r="D3323" s="169" t="s">
        <v>1288</v>
      </c>
      <c r="E3323" s="103" t="s">
        <v>27635</v>
      </c>
      <c r="F3323" s="104"/>
      <c r="G3323" s="105">
        <f t="shared" si="204"/>
        <v>19.86</v>
      </c>
      <c r="H3323" s="101" t="str">
        <f t="shared" si="205"/>
        <v>Sinapi 4750</v>
      </c>
      <c r="I3323" s="101" t="str">
        <f t="shared" si="206"/>
        <v>H</v>
      </c>
      <c r="J3323" s="140" t="str">
        <f t="shared" si="207"/>
        <v>PEDREIRO (HORISTA)</v>
      </c>
    </row>
    <row r="3324" spans="1:10" x14ac:dyDescent="0.25">
      <c r="A3324" s="169">
        <v>41065</v>
      </c>
      <c r="B3324" s="169" t="s">
        <v>26807</v>
      </c>
      <c r="C3324" s="169" t="s">
        <v>10235</v>
      </c>
      <c r="D3324" s="169" t="s">
        <v>1289</v>
      </c>
      <c r="E3324" s="103" t="s">
        <v>29669</v>
      </c>
      <c r="F3324" s="104"/>
      <c r="G3324" s="105">
        <f t="shared" si="204"/>
        <v>3455.98</v>
      </c>
      <c r="H3324" s="101" t="str">
        <f t="shared" si="205"/>
        <v>Sinapi 41065</v>
      </c>
      <c r="I3324" s="101" t="str">
        <f t="shared" si="206"/>
        <v>MES</v>
      </c>
      <c r="J3324" s="140" t="str">
        <f t="shared" si="207"/>
        <v>PEDREIRO (MENSALISTA)</v>
      </c>
    </row>
    <row r="3325" spans="1:10" x14ac:dyDescent="0.25">
      <c r="A3325" s="169">
        <v>34747</v>
      </c>
      <c r="B3325" s="169" t="s">
        <v>26808</v>
      </c>
      <c r="C3325" s="169" t="s">
        <v>10229</v>
      </c>
      <c r="D3325" s="169" t="s">
        <v>1289</v>
      </c>
      <c r="E3325" s="103" t="s">
        <v>30884</v>
      </c>
      <c r="F3325" s="104"/>
      <c r="G3325" s="105">
        <f t="shared" si="204"/>
        <v>177.12</v>
      </c>
      <c r="H3325" s="101" t="str">
        <f t="shared" si="205"/>
        <v>Sinapi 34747</v>
      </c>
      <c r="I3325" s="101" t="str">
        <f t="shared" si="206"/>
        <v>M</v>
      </c>
      <c r="J3325" s="140" t="str">
        <f t="shared" si="207"/>
        <v>PEITORIL EM MARMORE, POLIDO, BRANCO COMUM, L= *15* CM, E= *2,0* CM, COM PINGADEIRA</v>
      </c>
    </row>
    <row r="3326" spans="1:10" x14ac:dyDescent="0.25">
      <c r="A3326" s="169">
        <v>4826</v>
      </c>
      <c r="B3326" s="169" t="s">
        <v>26809</v>
      </c>
      <c r="C3326" s="169" t="s">
        <v>10229</v>
      </c>
      <c r="D3326" s="169" t="s">
        <v>1289</v>
      </c>
      <c r="E3326" s="103" t="s">
        <v>30885</v>
      </c>
      <c r="F3326" s="104"/>
      <c r="G3326" s="105">
        <f t="shared" si="204"/>
        <v>190.44</v>
      </c>
      <c r="H3326" s="101" t="str">
        <f t="shared" si="205"/>
        <v>Sinapi 4826</v>
      </c>
      <c r="I3326" s="101" t="str">
        <f t="shared" si="206"/>
        <v>M</v>
      </c>
      <c r="J3326" s="140" t="str">
        <f t="shared" si="207"/>
        <v>PEITORIL EM MARMORE, POLIDO, BRANCO COMUM, L= *15* CM, E= *3* CM, CORTE RETO</v>
      </c>
    </row>
    <row r="3327" spans="1:10" x14ac:dyDescent="0.25">
      <c r="A3327" s="169">
        <v>41975</v>
      </c>
      <c r="B3327" s="169" t="s">
        <v>26810</v>
      </c>
      <c r="C3327" s="169" t="s">
        <v>10226</v>
      </c>
      <c r="D3327" s="169" t="s">
        <v>1290</v>
      </c>
      <c r="E3327" s="103" t="s">
        <v>22875</v>
      </c>
      <c r="F3327" s="104"/>
      <c r="G3327" s="105">
        <f t="shared" si="204"/>
        <v>94.34</v>
      </c>
      <c r="H3327" s="101" t="str">
        <f t="shared" si="205"/>
        <v>Sinapi 41975</v>
      </c>
      <c r="I3327" s="101" t="str">
        <f t="shared" si="206"/>
        <v>M2</v>
      </c>
      <c r="J3327" s="140" t="str">
        <f t="shared" si="207"/>
        <v>PEITORIL PRE-MOLDADO EM GRANILITE, MARMORITE OU GRANITINA, L = *15* CM</v>
      </c>
    </row>
    <row r="3328" spans="1:10" x14ac:dyDescent="0.25">
      <c r="A3328" s="169">
        <v>4825</v>
      </c>
      <c r="B3328" s="169" t="s">
        <v>26811</v>
      </c>
      <c r="C3328" s="169" t="s">
        <v>10229</v>
      </c>
      <c r="D3328" s="169" t="s">
        <v>1289</v>
      </c>
      <c r="E3328" s="103" t="s">
        <v>30886</v>
      </c>
      <c r="F3328" s="104"/>
      <c r="G3328" s="105">
        <f t="shared" si="204"/>
        <v>263.61</v>
      </c>
      <c r="H3328" s="101" t="str">
        <f t="shared" si="205"/>
        <v>Sinapi 4825</v>
      </c>
      <c r="I3328" s="101" t="str">
        <f t="shared" si="206"/>
        <v>M</v>
      </c>
      <c r="J3328" s="140" t="str">
        <f t="shared" si="207"/>
        <v>PEITORIL/ SOLEIRA EM MARMORE, POLIDO, BRANCO COMUM, L= *25* CM, E= *3* CM, CORTE RETO</v>
      </c>
    </row>
    <row r="3329" spans="1:10" x14ac:dyDescent="0.25">
      <c r="A3329" s="169">
        <v>34744</v>
      </c>
      <c r="B3329" s="169" t="s">
        <v>26812</v>
      </c>
      <c r="C3329" s="169" t="s">
        <v>10226</v>
      </c>
      <c r="D3329" s="169" t="s">
        <v>1290</v>
      </c>
      <c r="E3329" s="103" t="s">
        <v>13756</v>
      </c>
      <c r="F3329" s="104"/>
      <c r="G3329" s="105">
        <f t="shared" si="204"/>
        <v>23.25</v>
      </c>
      <c r="H3329" s="101" t="str">
        <f t="shared" si="205"/>
        <v>Sinapi 34744</v>
      </c>
      <c r="I3329" s="101" t="str">
        <f t="shared" si="206"/>
        <v>M2</v>
      </c>
      <c r="J3329" s="140" t="str">
        <f t="shared" si="207"/>
        <v>PELICULA REFLETIVA, GT 7 ANOS PARA SINALIZACAO VERTICAL</v>
      </c>
    </row>
    <row r="3330" spans="1:10" x14ac:dyDescent="0.25">
      <c r="A3330" s="169">
        <v>39430</v>
      </c>
      <c r="B3330" s="169" t="s">
        <v>26813</v>
      </c>
      <c r="C3330" s="169" t="s">
        <v>10225</v>
      </c>
      <c r="D3330" s="169" t="s">
        <v>1289</v>
      </c>
      <c r="E3330" s="103" t="s">
        <v>17348</v>
      </c>
      <c r="F3330" s="104"/>
      <c r="G3330" s="105">
        <f t="shared" si="204"/>
        <v>3.33</v>
      </c>
      <c r="H3330" s="101" t="str">
        <f t="shared" si="205"/>
        <v>Sinapi 39430</v>
      </c>
      <c r="I3330" s="101" t="str">
        <f t="shared" si="206"/>
        <v>UN</v>
      </c>
      <c r="J3330" s="140" t="str">
        <f t="shared" si="207"/>
        <v>PENDURAL OU PRESILHA REGULADORA, EM ACO GALVANIZADO, COM CORPO, MOLA E REBITE, PARA PERFIL TIPO CANALETA DE ESTRUTURA EM FORROS DRYWALL</v>
      </c>
    </row>
    <row r="3331" spans="1:10" x14ac:dyDescent="0.25">
      <c r="A3331" s="169">
        <v>39573</v>
      </c>
      <c r="B3331" s="169" t="s">
        <v>26814</v>
      </c>
      <c r="C3331" s="169" t="s">
        <v>10225</v>
      </c>
      <c r="D3331" s="169" t="s">
        <v>1289</v>
      </c>
      <c r="E3331" s="103" t="s">
        <v>29974</v>
      </c>
      <c r="F3331" s="104"/>
      <c r="G3331" s="105">
        <f t="shared" si="204"/>
        <v>3.28</v>
      </c>
      <c r="H3331" s="101" t="str">
        <f t="shared" si="205"/>
        <v>Sinapi 39573</v>
      </c>
      <c r="I3331" s="101" t="str">
        <f t="shared" si="206"/>
        <v>UN</v>
      </c>
      <c r="J3331" s="140" t="str">
        <f t="shared" si="207"/>
        <v>PENDURAL OU REGULADOR, COM MOLA, EM ACO GALVANIZADO, PARA PERFIL TIPO T CLICADO DE FORROS REMOVIVEL</v>
      </c>
    </row>
    <row r="3332" spans="1:10" x14ac:dyDescent="0.25">
      <c r="A3332" s="169">
        <v>38410</v>
      </c>
      <c r="B3332" s="169" t="s">
        <v>26815</v>
      </c>
      <c r="C3332" s="169" t="s">
        <v>10225</v>
      </c>
      <c r="D3332" s="169" t="s">
        <v>1289</v>
      </c>
      <c r="E3332" s="103" t="s">
        <v>30887</v>
      </c>
      <c r="F3332" s="104"/>
      <c r="G3332" s="105">
        <f t="shared" si="204"/>
        <v>18277.64</v>
      </c>
      <c r="H3332" s="101" t="str">
        <f t="shared" si="205"/>
        <v>Sinapi 38410</v>
      </c>
      <c r="I3332" s="101" t="str">
        <f t="shared" si="206"/>
        <v>UN</v>
      </c>
      <c r="J3332" s="140" t="str">
        <f t="shared" si="207"/>
        <v>PENEIRA ROTATIVA COM MOTOR ELETRICO TRIFASICO DE 2 CV, CILINDRO DE 1 M X 0,60 M, COM FUROS DE 3,17 MM</v>
      </c>
    </row>
    <row r="3333" spans="1:10" x14ac:dyDescent="0.25">
      <c r="A3333" s="169">
        <v>41596</v>
      </c>
      <c r="B3333" s="169" t="s">
        <v>26816</v>
      </c>
      <c r="C3333" s="169" t="s">
        <v>10231</v>
      </c>
      <c r="D3333" s="169" t="s">
        <v>1290</v>
      </c>
      <c r="E3333" s="103" t="s">
        <v>23246</v>
      </c>
      <c r="F3333" s="104"/>
      <c r="G3333" s="105">
        <f t="shared" si="204"/>
        <v>14.18</v>
      </c>
      <c r="H3333" s="101" t="str">
        <f t="shared" si="205"/>
        <v>Sinapi 41596</v>
      </c>
      <c r="I3333" s="101" t="str">
        <f t="shared" si="206"/>
        <v>KG</v>
      </c>
      <c r="J3333" s="140" t="str">
        <f t="shared" si="207"/>
        <v>PERFIL "H" DE ACO LAMINADO, "HP" 250 X 62,0</v>
      </c>
    </row>
    <row r="3334" spans="1:10" x14ac:dyDescent="0.25">
      <c r="A3334" s="169">
        <v>41598</v>
      </c>
      <c r="B3334" s="169" t="s">
        <v>26817</v>
      </c>
      <c r="C3334" s="169" t="s">
        <v>10231</v>
      </c>
      <c r="D3334" s="169" t="s">
        <v>1290</v>
      </c>
      <c r="E3334" s="103" t="s">
        <v>23246</v>
      </c>
      <c r="F3334" s="104"/>
      <c r="G3334" s="105">
        <f t="shared" si="204"/>
        <v>14.18</v>
      </c>
      <c r="H3334" s="101" t="str">
        <f t="shared" si="205"/>
        <v>Sinapi 41598</v>
      </c>
      <c r="I3334" s="101" t="str">
        <f t="shared" si="206"/>
        <v>KG</v>
      </c>
      <c r="J3334" s="140" t="str">
        <f t="shared" si="207"/>
        <v>PERFIL "H" DE ACO LAMINADO, "HP" 310 X 79,0</v>
      </c>
    </row>
    <row r="3335" spans="1:10" x14ac:dyDescent="0.25">
      <c r="A3335" s="169">
        <v>41594</v>
      </c>
      <c r="B3335" s="169" t="s">
        <v>26818</v>
      </c>
      <c r="C3335" s="169" t="s">
        <v>10231</v>
      </c>
      <c r="D3335" s="169" t="s">
        <v>1290</v>
      </c>
      <c r="E3335" s="103" t="s">
        <v>20204</v>
      </c>
      <c r="F3335" s="104"/>
      <c r="G3335" s="105">
        <f t="shared" si="204"/>
        <v>14.4</v>
      </c>
      <c r="H3335" s="101" t="str">
        <f t="shared" si="205"/>
        <v>Sinapi 41594</v>
      </c>
      <c r="I3335" s="101" t="str">
        <f t="shared" si="206"/>
        <v>KG</v>
      </c>
      <c r="J3335" s="140" t="str">
        <f t="shared" si="207"/>
        <v>PERFIL "H" DE ACO LAMINADO, "W" 200 X 35,9</v>
      </c>
    </row>
    <row r="3336" spans="1:10" x14ac:dyDescent="0.25">
      <c r="A3336" s="169">
        <v>43663</v>
      </c>
      <c r="B3336" s="169" t="s">
        <v>26819</v>
      </c>
      <c r="C3336" s="169" t="s">
        <v>10231</v>
      </c>
      <c r="D3336" s="169" t="s">
        <v>1290</v>
      </c>
      <c r="E3336" s="103" t="s">
        <v>13648</v>
      </c>
      <c r="F3336" s="104"/>
      <c r="G3336" s="105">
        <f t="shared" ref="G3336:G3399" si="208">IF(E3336="","",E3336+0)</f>
        <v>11.86</v>
      </c>
      <c r="H3336" s="101" t="str">
        <f t="shared" ref="H3336:H3399" si="209">IF(G3336="","",TRIM(CONCATENATE("Sinapi ",A3336)))</f>
        <v>Sinapi 43663</v>
      </c>
      <c r="I3336" s="101" t="str">
        <f t="shared" ref="I3336:I3399" si="210">TRIM(C3336)</f>
        <v>KG</v>
      </c>
      <c r="J3336" s="140" t="str">
        <f t="shared" si="207"/>
        <v>PERFIL "I" DE ACO LAMINADO, ABAS INCLINADAS, "I" 102 X 12,7</v>
      </c>
    </row>
    <row r="3337" spans="1:10" x14ac:dyDescent="0.25">
      <c r="A3337" s="169">
        <v>4766</v>
      </c>
      <c r="B3337" s="169" t="s">
        <v>26820</v>
      </c>
      <c r="C3337" s="169" t="s">
        <v>10231</v>
      </c>
      <c r="D3337" s="169" t="s">
        <v>1290</v>
      </c>
      <c r="E3337" s="103" t="s">
        <v>2164</v>
      </c>
      <c r="F3337" s="104"/>
      <c r="G3337" s="105">
        <f t="shared" si="208"/>
        <v>11.17</v>
      </c>
      <c r="H3337" s="101" t="str">
        <f t="shared" si="209"/>
        <v>Sinapi 4766</v>
      </c>
      <c r="I3337" s="101" t="str">
        <f t="shared" si="210"/>
        <v>KG</v>
      </c>
      <c r="J3337" s="140" t="str">
        <f t="shared" ref="J3337:J3400" si="211">TRIM(B3337)</f>
        <v>PERFIL "I" DE ACO LAMINADO, ABAS INCLINADAS, "I" 152 X 22</v>
      </c>
    </row>
    <row r="3338" spans="1:10" x14ac:dyDescent="0.25">
      <c r="A3338" s="169">
        <v>43664</v>
      </c>
      <c r="B3338" s="169" t="s">
        <v>26821</v>
      </c>
      <c r="C3338" s="169" t="s">
        <v>10231</v>
      </c>
      <c r="D3338" s="169" t="s">
        <v>1290</v>
      </c>
      <c r="E3338" s="103" t="s">
        <v>17933</v>
      </c>
      <c r="F3338" s="104"/>
      <c r="G3338" s="105">
        <f t="shared" si="208"/>
        <v>11.93</v>
      </c>
      <c r="H3338" s="101" t="str">
        <f t="shared" si="209"/>
        <v>Sinapi 43664</v>
      </c>
      <c r="I3338" s="101" t="str">
        <f t="shared" si="210"/>
        <v>KG</v>
      </c>
      <c r="J3338" s="140" t="str">
        <f t="shared" si="211"/>
        <v>PERFIL "I" DE ACO LAMINADO, ABAS INCLINADAS, "I" 203 X 34,3</v>
      </c>
    </row>
    <row r="3339" spans="1:10" x14ac:dyDescent="0.25">
      <c r="A3339" s="169">
        <v>43082</v>
      </c>
      <c r="B3339" s="169" t="s">
        <v>26822</v>
      </c>
      <c r="C3339" s="169" t="s">
        <v>10231</v>
      </c>
      <c r="D3339" s="169" t="s">
        <v>1290</v>
      </c>
      <c r="E3339" s="103" t="s">
        <v>16304</v>
      </c>
      <c r="F3339" s="104"/>
      <c r="G3339" s="105">
        <f t="shared" si="208"/>
        <v>13</v>
      </c>
      <c r="H3339" s="101" t="str">
        <f t="shared" si="209"/>
        <v>Sinapi 43082</v>
      </c>
      <c r="I3339" s="101" t="str">
        <f t="shared" si="210"/>
        <v>KG</v>
      </c>
      <c r="J3339" s="140" t="str">
        <f t="shared" si="211"/>
        <v>PERFIL "I" DE ACO LAMINADO, ABAS PARALELAS, "W", QUALQUER BITOLA</v>
      </c>
    </row>
    <row r="3340" spans="1:10" x14ac:dyDescent="0.25">
      <c r="A3340" s="169">
        <v>43665</v>
      </c>
      <c r="B3340" s="169" t="s">
        <v>26823</v>
      </c>
      <c r="C3340" s="169" t="s">
        <v>10231</v>
      </c>
      <c r="D3340" s="169" t="s">
        <v>1290</v>
      </c>
      <c r="E3340" s="103" t="s">
        <v>2164</v>
      </c>
      <c r="F3340" s="104"/>
      <c r="G3340" s="105">
        <f t="shared" si="208"/>
        <v>11.17</v>
      </c>
      <c r="H3340" s="101" t="str">
        <f t="shared" si="209"/>
        <v>Sinapi 43665</v>
      </c>
      <c r="I3340" s="101" t="str">
        <f t="shared" si="210"/>
        <v>KG</v>
      </c>
      <c r="J3340" s="140" t="str">
        <f t="shared" si="211"/>
        <v>PERFIL "U" DE ACO LAMINADO, "U" 102 X 9,3</v>
      </c>
    </row>
    <row r="3341" spans="1:10" x14ac:dyDescent="0.25">
      <c r="A3341" s="169">
        <v>10966</v>
      </c>
      <c r="B3341" s="169" t="s">
        <v>26824</v>
      </c>
      <c r="C3341" s="169" t="s">
        <v>10231</v>
      </c>
      <c r="D3341" s="169" t="s">
        <v>1290</v>
      </c>
      <c r="E3341" s="103" t="s">
        <v>13648</v>
      </c>
      <c r="F3341" s="104"/>
      <c r="G3341" s="105">
        <f t="shared" si="208"/>
        <v>11.86</v>
      </c>
      <c r="H3341" s="101" t="str">
        <f t="shared" si="209"/>
        <v>Sinapi 10966</v>
      </c>
      <c r="I3341" s="101" t="str">
        <f t="shared" si="210"/>
        <v>KG</v>
      </c>
      <c r="J3341" s="140" t="str">
        <f t="shared" si="211"/>
        <v>PERFIL "U" DE ACO LAMINADO, "U" 152 X 15,6</v>
      </c>
    </row>
    <row r="3342" spans="1:10" x14ac:dyDescent="0.25">
      <c r="A3342" s="169">
        <v>43692</v>
      </c>
      <c r="B3342" s="169" t="s">
        <v>26825</v>
      </c>
      <c r="C3342" s="169" t="s">
        <v>10231</v>
      </c>
      <c r="D3342" s="169" t="s">
        <v>1290</v>
      </c>
      <c r="E3342" s="103" t="s">
        <v>13648</v>
      </c>
      <c r="F3342" s="104"/>
      <c r="G3342" s="105">
        <f t="shared" si="208"/>
        <v>11.86</v>
      </c>
      <c r="H3342" s="101" t="str">
        <f t="shared" si="209"/>
        <v>Sinapi 43692</v>
      </c>
      <c r="I3342" s="101" t="str">
        <f t="shared" si="210"/>
        <v>KG</v>
      </c>
      <c r="J3342" s="140" t="str">
        <f t="shared" si="211"/>
        <v>PERFIL "U" EM CHAPA ACO DOBRADA, E = 3,04 MM, H = 20 CM, ABAS = 5 CM (4,47 KG/M)</v>
      </c>
    </row>
    <row r="3343" spans="1:10" x14ac:dyDescent="0.25">
      <c r="A3343" s="169">
        <v>43083</v>
      </c>
      <c r="B3343" s="169" t="s">
        <v>1240</v>
      </c>
      <c r="C3343" s="169" t="s">
        <v>10231</v>
      </c>
      <c r="D3343" s="169" t="s">
        <v>1290</v>
      </c>
      <c r="E3343" s="103" t="s">
        <v>20622</v>
      </c>
      <c r="F3343" s="104"/>
      <c r="G3343" s="105">
        <f t="shared" si="208"/>
        <v>11.26</v>
      </c>
      <c r="H3343" s="101" t="str">
        <f t="shared" si="209"/>
        <v>Sinapi 43083</v>
      </c>
      <c r="I3343" s="101" t="str">
        <f t="shared" si="210"/>
        <v>KG</v>
      </c>
      <c r="J3343" s="140" t="str">
        <f t="shared" si="211"/>
        <v>PERFIL "U" ENRIJECIDO DE ACO GALVANIZADO, DOBRADO, 150 X 60 X 20 MM, E = 3,00 MM OU 200 X 75 X 25 MM, E = 3,75 MM</v>
      </c>
    </row>
    <row r="3344" spans="1:10" x14ac:dyDescent="0.25">
      <c r="A3344" s="169">
        <v>40535</v>
      </c>
      <c r="B3344" s="169" t="s">
        <v>26826</v>
      </c>
      <c r="C3344" s="169" t="s">
        <v>10231</v>
      </c>
      <c r="D3344" s="169" t="s">
        <v>1290</v>
      </c>
      <c r="E3344" s="103" t="s">
        <v>20622</v>
      </c>
      <c r="F3344" s="104"/>
      <c r="G3344" s="105">
        <f t="shared" si="208"/>
        <v>11.26</v>
      </c>
      <c r="H3344" s="101" t="str">
        <f t="shared" si="209"/>
        <v>Sinapi 40535</v>
      </c>
      <c r="I3344" s="101" t="str">
        <f t="shared" si="210"/>
        <v>KG</v>
      </c>
      <c r="J3344" s="140" t="str">
        <f t="shared" si="211"/>
        <v>PERFIL "U" SIMPLES DE ACO GALVANIZADO DOBRADO 75 X *40* MM, E = 2,65 MM</v>
      </c>
    </row>
    <row r="3345" spans="1:10" x14ac:dyDescent="0.25">
      <c r="A3345" s="169">
        <v>39427</v>
      </c>
      <c r="B3345" s="169" t="s">
        <v>26827</v>
      </c>
      <c r="C3345" s="169" t="s">
        <v>10229</v>
      </c>
      <c r="D3345" s="169" t="s">
        <v>1289</v>
      </c>
      <c r="E3345" s="103" t="s">
        <v>14897</v>
      </c>
      <c r="F3345" s="104"/>
      <c r="G3345" s="105">
        <f t="shared" si="208"/>
        <v>8.83</v>
      </c>
      <c r="H3345" s="101" t="str">
        <f t="shared" si="209"/>
        <v>Sinapi 39427</v>
      </c>
      <c r="I3345" s="101" t="str">
        <f t="shared" si="210"/>
        <v>M</v>
      </c>
      <c r="J3345" s="140" t="str">
        <f t="shared" si="211"/>
        <v>PERFIL CANALETA, FORMATO C, EM ACO ZINCADO, PARA ESTRUTURA FORRO DRYWALL, E = 0,5 MM, *46 X 18* (L X H), COMPRIMENTO 3 M</v>
      </c>
    </row>
    <row r="3346" spans="1:10" x14ac:dyDescent="0.25">
      <c r="A3346" s="169">
        <v>39424</v>
      </c>
      <c r="B3346" s="169" t="s">
        <v>26828</v>
      </c>
      <c r="C3346" s="169" t="s">
        <v>10229</v>
      </c>
      <c r="D3346" s="169" t="s">
        <v>1289</v>
      </c>
      <c r="E3346" s="103" t="s">
        <v>12327</v>
      </c>
      <c r="F3346" s="104"/>
      <c r="G3346" s="105">
        <f t="shared" si="208"/>
        <v>5.25</v>
      </c>
      <c r="H3346" s="101" t="str">
        <f t="shared" si="209"/>
        <v>Sinapi 39424</v>
      </c>
      <c r="I3346" s="101" t="str">
        <f t="shared" si="210"/>
        <v>M</v>
      </c>
      <c r="J3346" s="140" t="str">
        <f t="shared" si="211"/>
        <v>PERFIL CANTONEIRA L, LISA, EM ACO, 25 X 30 MM, E = 0,5 MM, PARA ESTRUTURA DRYWALL</v>
      </c>
    </row>
    <row r="3347" spans="1:10" x14ac:dyDescent="0.25">
      <c r="A3347" s="169">
        <v>39425</v>
      </c>
      <c r="B3347" s="169" t="s">
        <v>26829</v>
      </c>
      <c r="C3347" s="169" t="s">
        <v>10229</v>
      </c>
      <c r="D3347" s="169" t="s">
        <v>1289</v>
      </c>
      <c r="E3347" s="103" t="s">
        <v>17371</v>
      </c>
      <c r="F3347" s="104"/>
      <c r="G3347" s="105">
        <f t="shared" si="208"/>
        <v>5.18</v>
      </c>
      <c r="H3347" s="101" t="str">
        <f t="shared" si="209"/>
        <v>Sinapi 39425</v>
      </c>
      <c r="I3347" s="101" t="str">
        <f t="shared" si="210"/>
        <v>M</v>
      </c>
      <c r="J3347" s="140" t="str">
        <f t="shared" si="211"/>
        <v>PERFIL CANTONEIRA L, PERFURADA, EM ACO, 23 X 23 MM, E = 0,5 MM, PARA ESTRUTURA DRYWALL</v>
      </c>
    </row>
    <row r="3348" spans="1:10" x14ac:dyDescent="0.25">
      <c r="A3348" s="169">
        <v>40664</v>
      </c>
      <c r="B3348" s="169" t="s">
        <v>26830</v>
      </c>
      <c r="C3348" s="169" t="s">
        <v>10231</v>
      </c>
      <c r="D3348" s="169" t="s">
        <v>1290</v>
      </c>
      <c r="E3348" s="103" t="s">
        <v>23138</v>
      </c>
      <c r="F3348" s="104"/>
      <c r="G3348" s="105">
        <f t="shared" si="208"/>
        <v>23.1</v>
      </c>
      <c r="H3348" s="101" t="str">
        <f t="shared" si="209"/>
        <v>Sinapi 40664</v>
      </c>
      <c r="I3348" s="101" t="str">
        <f t="shared" si="210"/>
        <v>KG</v>
      </c>
      <c r="J3348" s="140" t="str">
        <f t="shared" si="211"/>
        <v>PERFIL CARTOLA DE ACO GALVANIZADO, *20 X 30 X 10* MM, E = 0,8 MM</v>
      </c>
    </row>
    <row r="3349" spans="1:10" x14ac:dyDescent="0.25">
      <c r="A3349" s="169">
        <v>34360</v>
      </c>
      <c r="B3349" s="169" t="s">
        <v>710</v>
      </c>
      <c r="C3349" s="169" t="s">
        <v>10231</v>
      </c>
      <c r="D3349" s="169" t="s">
        <v>1290</v>
      </c>
      <c r="E3349" s="103" t="s">
        <v>22799</v>
      </c>
      <c r="F3349" s="104"/>
      <c r="G3349" s="105">
        <f t="shared" si="208"/>
        <v>38.68</v>
      </c>
      <c r="H3349" s="101" t="str">
        <f t="shared" si="209"/>
        <v>Sinapi 34360</v>
      </c>
      <c r="I3349" s="101" t="str">
        <f t="shared" si="210"/>
        <v>KG</v>
      </c>
      <c r="J3349" s="140" t="str">
        <f t="shared" si="211"/>
        <v>PERFIL DE ALUMINIO ANODIZADO</v>
      </c>
    </row>
    <row r="3350" spans="1:10" x14ac:dyDescent="0.25">
      <c r="A3350" s="169">
        <v>20259</v>
      </c>
      <c r="B3350" s="169" t="s">
        <v>1046</v>
      </c>
      <c r="C3350" s="169" t="s">
        <v>10229</v>
      </c>
      <c r="D3350" s="169" t="s">
        <v>1289</v>
      </c>
      <c r="E3350" s="103" t="s">
        <v>16358</v>
      </c>
      <c r="F3350" s="104"/>
      <c r="G3350" s="105">
        <f t="shared" si="208"/>
        <v>20.5</v>
      </c>
      <c r="H3350" s="101" t="str">
        <f t="shared" si="209"/>
        <v>Sinapi 20259</v>
      </c>
      <c r="I3350" s="101" t="str">
        <f t="shared" si="210"/>
        <v>M</v>
      </c>
      <c r="J3350" s="140" t="str">
        <f t="shared" si="211"/>
        <v>PERFIL DE BORRACHA EPDM MACICO *12 X 15* MM PARA ESQUADRIAS</v>
      </c>
    </row>
    <row r="3351" spans="1:10" x14ac:dyDescent="0.25">
      <c r="A3351" s="169">
        <v>14077</v>
      </c>
      <c r="B3351" s="169" t="s">
        <v>26832</v>
      </c>
      <c r="C3351" s="169" t="s">
        <v>10229</v>
      </c>
      <c r="D3351" s="169" t="s">
        <v>1289</v>
      </c>
      <c r="E3351" s="103" t="s">
        <v>30888</v>
      </c>
      <c r="F3351" s="104"/>
      <c r="G3351" s="105">
        <f t="shared" si="208"/>
        <v>313.77</v>
      </c>
      <c r="H3351" s="101" t="str">
        <f t="shared" si="209"/>
        <v>Sinapi 14077</v>
      </c>
      <c r="I3351" s="101" t="str">
        <f t="shared" si="210"/>
        <v>M</v>
      </c>
      <c r="J3351" s="140" t="str">
        <f t="shared" si="211"/>
        <v>PERFIL ELASTOMERICO PRE-FORMADO EM EPMD, PARA JUNTA DE DILATACAO DE PISOS COM POUCA SOLICITACAO, 15 MM DE LARGURA, MOVIMENTACAO DE *11 A 19* MM</v>
      </c>
    </row>
    <row r="3352" spans="1:10" x14ac:dyDescent="0.25">
      <c r="A3352" s="169">
        <v>3678</v>
      </c>
      <c r="B3352" s="169" t="s">
        <v>26833</v>
      </c>
      <c r="C3352" s="169" t="s">
        <v>10229</v>
      </c>
      <c r="D3352" s="169" t="s">
        <v>1289</v>
      </c>
      <c r="E3352" s="103" t="s">
        <v>30889</v>
      </c>
      <c r="F3352" s="104"/>
      <c r="G3352" s="105">
        <f t="shared" si="208"/>
        <v>141.82</v>
      </c>
      <c r="H3352" s="101" t="str">
        <f t="shared" si="209"/>
        <v>Sinapi 3678</v>
      </c>
      <c r="I3352" s="101" t="str">
        <f t="shared" si="210"/>
        <v>M</v>
      </c>
      <c r="J3352" s="140" t="str">
        <f t="shared" si="211"/>
        <v>PERFIL ELASTOMERICO PRE-FORMADO EM EPMD, PARA JUNTA DE DILATACAO DE USO GERAL EM MEDIAS SOLICITACOES, 8 MM DE LARGURA, MOVIMENTACAO DE *5 A 11* MM</v>
      </c>
    </row>
    <row r="3353" spans="1:10" x14ac:dyDescent="0.25">
      <c r="A3353" s="169">
        <v>585</v>
      </c>
      <c r="B3353" s="169" t="s">
        <v>30890</v>
      </c>
      <c r="C3353" s="169" t="s">
        <v>10231</v>
      </c>
      <c r="D3353" s="169" t="s">
        <v>1290</v>
      </c>
      <c r="E3353" s="103" t="s">
        <v>24377</v>
      </c>
      <c r="F3353" s="104"/>
      <c r="G3353" s="105">
        <f t="shared" si="208"/>
        <v>30.94</v>
      </c>
      <c r="H3353" s="101" t="str">
        <f t="shared" si="209"/>
        <v>Sinapi 585</v>
      </c>
      <c r="I3353" s="101" t="str">
        <f t="shared" si="210"/>
        <v>KG</v>
      </c>
      <c r="J3353" s="140" t="str">
        <f t="shared" si="211"/>
        <v>PERFIL EM ALUMINIO, FORMATO U, ABAS IGUAIS, LARGURA DE 25,4 MM (1"), ESPESSURA DE 2,38 MM (3/32") E PESO LINEAR DE APROXIMADAMENTE 0,460 KG/M</v>
      </c>
    </row>
    <row r="3354" spans="1:10" x14ac:dyDescent="0.25">
      <c r="A3354" s="169">
        <v>39418</v>
      </c>
      <c r="B3354" s="169" t="s">
        <v>26834</v>
      </c>
      <c r="C3354" s="169" t="s">
        <v>10229</v>
      </c>
      <c r="D3354" s="169" t="s">
        <v>1289</v>
      </c>
      <c r="E3354" s="103" t="s">
        <v>12101</v>
      </c>
      <c r="F3354" s="104"/>
      <c r="G3354" s="105">
        <f t="shared" si="208"/>
        <v>9.85</v>
      </c>
      <c r="H3354" s="101" t="str">
        <f t="shared" si="209"/>
        <v>Sinapi 39418</v>
      </c>
      <c r="I3354" s="101" t="str">
        <f t="shared" si="210"/>
        <v>M</v>
      </c>
      <c r="J3354" s="140" t="str">
        <f t="shared" si="211"/>
        <v>PERFIL GUIA, FORMATO U, EM ACO ZINCADO, PARA ESTRUTURA PAREDE DRYWALL, E = 0,5 MM, 48 X 3000 MM (L X C)</v>
      </c>
    </row>
    <row r="3355" spans="1:10" x14ac:dyDescent="0.25">
      <c r="A3355" s="169">
        <v>39419</v>
      </c>
      <c r="B3355" s="169" t="s">
        <v>26835</v>
      </c>
      <c r="C3355" s="169" t="s">
        <v>10229</v>
      </c>
      <c r="D3355" s="169" t="s">
        <v>1289</v>
      </c>
      <c r="E3355" s="103" t="s">
        <v>29183</v>
      </c>
      <c r="F3355" s="104"/>
      <c r="G3355" s="105">
        <f t="shared" si="208"/>
        <v>12.01</v>
      </c>
      <c r="H3355" s="101" t="str">
        <f t="shared" si="209"/>
        <v>Sinapi 39419</v>
      </c>
      <c r="I3355" s="101" t="str">
        <f t="shared" si="210"/>
        <v>M</v>
      </c>
      <c r="J3355" s="140" t="str">
        <f t="shared" si="211"/>
        <v>PERFIL GUIA, FORMATO U, EM ACO ZINCADO, PARA ESTRUTURA PAREDE DRYWALL, E = 0,5 MM, 70 X 3000 MM (L X C)</v>
      </c>
    </row>
    <row r="3356" spans="1:10" x14ac:dyDescent="0.25">
      <c r="A3356" s="169">
        <v>39420</v>
      </c>
      <c r="B3356" s="169" t="s">
        <v>26836</v>
      </c>
      <c r="C3356" s="169" t="s">
        <v>10229</v>
      </c>
      <c r="D3356" s="169" t="s">
        <v>1289</v>
      </c>
      <c r="E3356" s="103" t="s">
        <v>13581</v>
      </c>
      <c r="F3356" s="104"/>
      <c r="G3356" s="105">
        <f t="shared" si="208"/>
        <v>13.25</v>
      </c>
      <c r="H3356" s="101" t="str">
        <f t="shared" si="209"/>
        <v>Sinapi 39420</v>
      </c>
      <c r="I3356" s="101" t="str">
        <f t="shared" si="210"/>
        <v>M</v>
      </c>
      <c r="J3356" s="140" t="str">
        <f t="shared" si="211"/>
        <v>PERFIL GUIA, FORMATO U, EM ACO ZINCADO, PARA ESTRUTURA PAREDE DRYWALL, E = 0,5 MM, 90 X 3000 MM (L X C)</v>
      </c>
    </row>
    <row r="3357" spans="1:10" x14ac:dyDescent="0.25">
      <c r="A3357" s="169">
        <v>39571</v>
      </c>
      <c r="B3357" s="169" t="s">
        <v>26837</v>
      </c>
      <c r="C3357" s="169" t="s">
        <v>10229</v>
      </c>
      <c r="D3357" s="169" t="s">
        <v>1289</v>
      </c>
      <c r="E3357" s="103" t="s">
        <v>28932</v>
      </c>
      <c r="F3357" s="104"/>
      <c r="G3357" s="105">
        <f t="shared" si="208"/>
        <v>8.01</v>
      </c>
      <c r="H3357" s="101" t="str">
        <f t="shared" si="209"/>
        <v>Sinapi 39571</v>
      </c>
      <c r="I3357" s="101" t="str">
        <f t="shared" si="210"/>
        <v>M</v>
      </c>
      <c r="J3357" s="140" t="str">
        <f t="shared" si="211"/>
        <v>PERFIL LONGARINA (PRINCIPAL), T CLICADO, EM ACO, BRANCO NAS FACES APARENTES, PARA FORRO REMOVIVEL, 24 X 32 X 3750 MM (L X H X C</v>
      </c>
    </row>
    <row r="3358" spans="1:10" x14ac:dyDescent="0.25">
      <c r="A3358" s="169">
        <v>39421</v>
      </c>
      <c r="B3358" s="169" t="s">
        <v>26838</v>
      </c>
      <c r="C3358" s="169" t="s">
        <v>10229</v>
      </c>
      <c r="D3358" s="169" t="s">
        <v>1289</v>
      </c>
      <c r="E3358" s="103" t="s">
        <v>12332</v>
      </c>
      <c r="F3358" s="104"/>
      <c r="G3358" s="105">
        <f t="shared" si="208"/>
        <v>11.67</v>
      </c>
      <c r="H3358" s="101" t="str">
        <f t="shared" si="209"/>
        <v>Sinapi 39421</v>
      </c>
      <c r="I3358" s="101" t="str">
        <f t="shared" si="210"/>
        <v>M</v>
      </c>
      <c r="J3358" s="140" t="str">
        <f t="shared" si="211"/>
        <v>PERFIL MONTANTE, FORMATO C, EM ACO ZINCADO, PARA ESTRUTURA PAREDE DRYWALL, E = 0,5 MM, 48 X 3000 MM (L X C)</v>
      </c>
    </row>
    <row r="3359" spans="1:10" x14ac:dyDescent="0.25">
      <c r="A3359" s="169">
        <v>39422</v>
      </c>
      <c r="B3359" s="169" t="s">
        <v>26839</v>
      </c>
      <c r="C3359" s="169" t="s">
        <v>10229</v>
      </c>
      <c r="D3359" s="169" t="s">
        <v>1288</v>
      </c>
      <c r="E3359" s="103" t="s">
        <v>5038</v>
      </c>
      <c r="F3359" s="104"/>
      <c r="G3359" s="105">
        <f t="shared" si="208"/>
        <v>13.62</v>
      </c>
      <c r="H3359" s="101" t="str">
        <f t="shared" si="209"/>
        <v>Sinapi 39422</v>
      </c>
      <c r="I3359" s="101" t="str">
        <f t="shared" si="210"/>
        <v>M</v>
      </c>
      <c r="J3359" s="140" t="str">
        <f t="shared" si="211"/>
        <v>PERFIL MONTANTE, FORMATO C, EM ACO ZINCADO, PARA ESTRUTURA PAREDE DRYWALL, E = 0,5 MM, 70 X 3000 MM (L X C)</v>
      </c>
    </row>
    <row r="3360" spans="1:10" x14ac:dyDescent="0.25">
      <c r="A3360" s="169">
        <v>39423</v>
      </c>
      <c r="B3360" s="169" t="s">
        <v>26840</v>
      </c>
      <c r="C3360" s="169" t="s">
        <v>10229</v>
      </c>
      <c r="D3360" s="169" t="s">
        <v>1289</v>
      </c>
      <c r="E3360" s="103" t="s">
        <v>23472</v>
      </c>
      <c r="F3360" s="104"/>
      <c r="G3360" s="105">
        <f t="shared" si="208"/>
        <v>15.81</v>
      </c>
      <c r="H3360" s="101" t="str">
        <f t="shared" si="209"/>
        <v>Sinapi 39423</v>
      </c>
      <c r="I3360" s="101" t="str">
        <f t="shared" si="210"/>
        <v>M</v>
      </c>
      <c r="J3360" s="140" t="str">
        <f t="shared" si="211"/>
        <v>PERFIL MONTANTE, FORMATO C, EM ACO ZINCADO, PARA ESTRUTURA PAREDE DRYWALL, E = 0,5 MM, 90 X 3000 MM (L X C)</v>
      </c>
    </row>
    <row r="3361" spans="1:10" x14ac:dyDescent="0.25">
      <c r="A3361" s="169">
        <v>39426</v>
      </c>
      <c r="B3361" s="169" t="s">
        <v>26841</v>
      </c>
      <c r="C3361" s="169" t="s">
        <v>10229</v>
      </c>
      <c r="D3361" s="169" t="s">
        <v>1289</v>
      </c>
      <c r="E3361" s="103" t="s">
        <v>30891</v>
      </c>
      <c r="F3361" s="104"/>
      <c r="G3361" s="105">
        <f t="shared" si="208"/>
        <v>35.549999999999997</v>
      </c>
      <c r="H3361" s="101" t="str">
        <f t="shared" si="209"/>
        <v>Sinapi 39426</v>
      </c>
      <c r="I3361" s="101" t="str">
        <f t="shared" si="210"/>
        <v>M</v>
      </c>
      <c r="J3361" s="140" t="str">
        <f t="shared" si="211"/>
        <v>PERFIL RODAPE DE IMPERMEABILIZACAO, FORMATO L, EM ACO ZINCADO, PARA ESTRUTURA DRYWALL, E = 0,5 MM, 220 X 3000 MM (H X C)</v>
      </c>
    </row>
    <row r="3362" spans="1:10" x14ac:dyDescent="0.25">
      <c r="A3362" s="169">
        <v>39429</v>
      </c>
      <c r="B3362" s="169" t="s">
        <v>26842</v>
      </c>
      <c r="C3362" s="169" t="s">
        <v>10229</v>
      </c>
      <c r="D3362" s="169" t="s">
        <v>1289</v>
      </c>
      <c r="E3362" s="103" t="s">
        <v>15773</v>
      </c>
      <c r="F3362" s="104"/>
      <c r="G3362" s="105">
        <f t="shared" si="208"/>
        <v>11.21</v>
      </c>
      <c r="H3362" s="101" t="str">
        <f t="shared" si="209"/>
        <v>Sinapi 39429</v>
      </c>
      <c r="I3362" s="101" t="str">
        <f t="shared" si="210"/>
        <v>M</v>
      </c>
      <c r="J3362" s="140" t="str">
        <f t="shared" si="211"/>
        <v>PERFIL TABICA ABERTA, PERFURADA, FORMATO Z, EM ACO GALVANIZADO NATURAL, LARGURA APROXIMADA 40 MM, PARA ESTRUTURA FORRO DRYWALL</v>
      </c>
    </row>
    <row r="3363" spans="1:10" x14ac:dyDescent="0.25">
      <c r="A3363" s="169">
        <v>39428</v>
      </c>
      <c r="B3363" s="169" t="s">
        <v>26843</v>
      </c>
      <c r="C3363" s="169" t="s">
        <v>10229</v>
      </c>
      <c r="D3363" s="169" t="s">
        <v>1289</v>
      </c>
      <c r="E3363" s="103" t="s">
        <v>30892</v>
      </c>
      <c r="F3363" s="104"/>
      <c r="G3363" s="105">
        <f t="shared" si="208"/>
        <v>8.57</v>
      </c>
      <c r="H3363" s="101" t="str">
        <f t="shared" si="209"/>
        <v>Sinapi 39428</v>
      </c>
      <c r="I3363" s="101" t="str">
        <f t="shared" si="210"/>
        <v>M</v>
      </c>
      <c r="J3363" s="140" t="str">
        <f t="shared" si="211"/>
        <v>PERFIL TABICA FECHADA, LISA, FORMATO Z, EM ACO GALVANIZADO NATURAL, LARGURA TOTAL NA HORIZONTAL *40* MM, PARA ESTRUTURA FORRO DRYWALL</v>
      </c>
    </row>
    <row r="3364" spans="1:10" x14ac:dyDescent="0.25">
      <c r="A3364" s="169">
        <v>39572</v>
      </c>
      <c r="B3364" s="169" t="s">
        <v>26844</v>
      </c>
      <c r="C3364" s="169" t="s">
        <v>10229</v>
      </c>
      <c r="D3364" s="169" t="s">
        <v>1289</v>
      </c>
      <c r="E3364" s="103" t="s">
        <v>21994</v>
      </c>
      <c r="F3364" s="104"/>
      <c r="G3364" s="105">
        <f t="shared" si="208"/>
        <v>7.42</v>
      </c>
      <c r="H3364" s="101" t="str">
        <f t="shared" si="209"/>
        <v>Sinapi 39572</v>
      </c>
      <c r="I3364" s="101" t="str">
        <f t="shared" si="210"/>
        <v>M</v>
      </c>
      <c r="J3364" s="140" t="str">
        <f t="shared" si="211"/>
        <v>PERFIL TIPO CANTONEIRA EM L, EM ACO GALVANIZADO, BRANCO, PARA FORRO REMOVIVEL, *23* X 3000 MM (L X C)</v>
      </c>
    </row>
    <row r="3365" spans="1:10" x14ac:dyDescent="0.25">
      <c r="A3365" s="169">
        <v>39570</v>
      </c>
      <c r="B3365" s="169" t="s">
        <v>26845</v>
      </c>
      <c r="C3365" s="169" t="s">
        <v>10229</v>
      </c>
      <c r="D3365" s="169" t="s">
        <v>1289</v>
      </c>
      <c r="E3365" s="103" t="s">
        <v>22085</v>
      </c>
      <c r="F3365" s="104"/>
      <c r="G3365" s="105">
        <f t="shared" si="208"/>
        <v>7.87</v>
      </c>
      <c r="H3365" s="101" t="str">
        <f t="shared" si="209"/>
        <v>Sinapi 39570</v>
      </c>
      <c r="I3365" s="101" t="str">
        <f t="shared" si="210"/>
        <v>M</v>
      </c>
      <c r="J3365" s="140" t="str">
        <f t="shared" si="211"/>
        <v>PERFIL TRAVESSA (SECUNDARIO), T CLICADO, EM ACO GALVANIZADO , BRANCO, PARA FORRO REMOVIVEL, 24 X 1250 MM (L X C)</v>
      </c>
    </row>
    <row r="3366" spans="1:10" x14ac:dyDescent="0.25">
      <c r="A3366" s="169">
        <v>39569</v>
      </c>
      <c r="B3366" s="169" t="s">
        <v>26846</v>
      </c>
      <c r="C3366" s="169" t="s">
        <v>10229</v>
      </c>
      <c r="D3366" s="169" t="s">
        <v>1289</v>
      </c>
      <c r="E3366" s="103" t="s">
        <v>15514</v>
      </c>
      <c r="F3366" s="104"/>
      <c r="G3366" s="105">
        <f t="shared" si="208"/>
        <v>7.77</v>
      </c>
      <c r="H3366" s="101" t="str">
        <f t="shared" si="209"/>
        <v>Sinapi 39569</v>
      </c>
      <c r="I3366" s="101" t="str">
        <f t="shared" si="210"/>
        <v>M</v>
      </c>
      <c r="J3366" s="140" t="str">
        <f t="shared" si="211"/>
        <v>PERFIL TRAVESSA (SECUNDARIO), T CLICADO, EM ACO GALVANIZADO, BRANCO, PARA FORRO REMOVIVEL, 24 X 625 MM (L X C)</v>
      </c>
    </row>
    <row r="3367" spans="1:10" x14ac:dyDescent="0.25">
      <c r="A3367" s="169">
        <v>11552</v>
      </c>
      <c r="B3367" s="169" t="s">
        <v>26847</v>
      </c>
      <c r="C3367" s="169" t="s">
        <v>10229</v>
      </c>
      <c r="D3367" s="169" t="s">
        <v>1289</v>
      </c>
      <c r="E3367" s="103" t="s">
        <v>14948</v>
      </c>
      <c r="F3367" s="104"/>
      <c r="G3367" s="105">
        <f t="shared" si="208"/>
        <v>8.24</v>
      </c>
      <c r="H3367" s="101" t="str">
        <f t="shared" si="209"/>
        <v>Sinapi 11552</v>
      </c>
      <c r="I3367" s="101" t="str">
        <f t="shared" si="210"/>
        <v>M</v>
      </c>
      <c r="J3367" s="140" t="str">
        <f t="shared" si="211"/>
        <v>PERFIL U DE ABAS IGUAIS, EM ALUMINIO, 1/2" (1,27 X 1,27 CM), PARA PORTA OU JANELA DE CORRER</v>
      </c>
    </row>
    <row r="3368" spans="1:10" x14ac:dyDescent="0.25">
      <c r="A3368" s="169">
        <v>40598</v>
      </c>
      <c r="B3368" s="169" t="s">
        <v>26848</v>
      </c>
      <c r="C3368" s="169" t="s">
        <v>10231</v>
      </c>
      <c r="D3368" s="169" t="s">
        <v>1290</v>
      </c>
      <c r="E3368" s="103" t="s">
        <v>20066</v>
      </c>
      <c r="F3368" s="104"/>
      <c r="G3368" s="105">
        <f t="shared" si="208"/>
        <v>10.98</v>
      </c>
      <c r="H3368" s="101" t="str">
        <f t="shared" si="209"/>
        <v>Sinapi 40598</v>
      </c>
      <c r="I3368" s="101" t="str">
        <f t="shared" si="210"/>
        <v>KG</v>
      </c>
      <c r="J3368" s="140" t="str">
        <f t="shared" si="211"/>
        <v>PERFIL UDC ("U" DOBRADO DE CHAPA) SIMPLES DE ACO LAMINADO, GALVANIZADO, ASTM A36, 127 X 50 MM, E= 3 MM</v>
      </c>
    </row>
    <row r="3369" spans="1:10" x14ac:dyDescent="0.25">
      <c r="A3369" s="169">
        <v>39029</v>
      </c>
      <c r="B3369" s="169" t="s">
        <v>26849</v>
      </c>
      <c r="C3369" s="169" t="s">
        <v>10229</v>
      </c>
      <c r="D3369" s="169" t="s">
        <v>1289</v>
      </c>
      <c r="E3369" s="103" t="s">
        <v>30893</v>
      </c>
      <c r="F3369" s="104"/>
      <c r="G3369" s="105">
        <f t="shared" si="208"/>
        <v>25.1</v>
      </c>
      <c r="H3369" s="101" t="str">
        <f t="shared" si="209"/>
        <v>Sinapi 39029</v>
      </c>
      <c r="I3369" s="101" t="str">
        <f t="shared" si="210"/>
        <v>M</v>
      </c>
      <c r="J3369" s="140" t="str">
        <f t="shared" si="211"/>
        <v>PERFILADO PERFURADO DUPLO 38 X 76 MM, CHAPA 22</v>
      </c>
    </row>
    <row r="3370" spans="1:10" x14ac:dyDescent="0.25">
      <c r="A3370" s="169">
        <v>39028</v>
      </c>
      <c r="B3370" s="169" t="s">
        <v>26850</v>
      </c>
      <c r="C3370" s="169" t="s">
        <v>10229</v>
      </c>
      <c r="D3370" s="169" t="s">
        <v>1289</v>
      </c>
      <c r="E3370" s="103" t="s">
        <v>30894</v>
      </c>
      <c r="F3370" s="104"/>
      <c r="G3370" s="105">
        <f t="shared" si="208"/>
        <v>14.61</v>
      </c>
      <c r="H3370" s="101" t="str">
        <f t="shared" si="209"/>
        <v>Sinapi 39028</v>
      </c>
      <c r="I3370" s="101" t="str">
        <f t="shared" si="210"/>
        <v>M</v>
      </c>
      <c r="J3370" s="140" t="str">
        <f t="shared" si="211"/>
        <v>PERFILADO PERFURADO SIMPLES 38 X 38 MM, CHAPA 22</v>
      </c>
    </row>
    <row r="3371" spans="1:10" x14ac:dyDescent="0.25">
      <c r="A3371" s="169">
        <v>39328</v>
      </c>
      <c r="B3371" s="169" t="s">
        <v>26851</v>
      </c>
      <c r="C3371" s="169" t="s">
        <v>10229</v>
      </c>
      <c r="D3371" s="169" t="s">
        <v>1289</v>
      </c>
      <c r="E3371" s="103" t="s">
        <v>17400</v>
      </c>
      <c r="F3371" s="104"/>
      <c r="G3371" s="105">
        <f t="shared" si="208"/>
        <v>8.0299999999999994</v>
      </c>
      <c r="H3371" s="101" t="str">
        <f t="shared" si="209"/>
        <v>Sinapi 39328</v>
      </c>
      <c r="I3371" s="101" t="str">
        <f t="shared" si="210"/>
        <v>M</v>
      </c>
      <c r="J3371" s="140" t="str">
        <f t="shared" si="211"/>
        <v>PERFILADO PERFURADO 19 X 38 MM, CHAPA 22</v>
      </c>
    </row>
    <row r="3372" spans="1:10" x14ac:dyDescent="0.25">
      <c r="A3372" s="169">
        <v>38541</v>
      </c>
      <c r="B3372" s="169" t="s">
        <v>26852</v>
      </c>
      <c r="C3372" s="169" t="s">
        <v>10225</v>
      </c>
      <c r="D3372" s="169" t="s">
        <v>1290</v>
      </c>
      <c r="E3372" s="103" t="s">
        <v>30895</v>
      </c>
      <c r="F3372" s="104"/>
      <c r="G3372" s="105">
        <f t="shared" si="208"/>
        <v>3973509.68</v>
      </c>
      <c r="H3372" s="101" t="str">
        <f t="shared" si="209"/>
        <v>Sinapi 38541</v>
      </c>
      <c r="I3372" s="101" t="str">
        <f t="shared" si="210"/>
        <v>UN</v>
      </c>
      <c r="J3372" s="140" t="str">
        <f t="shared" si="211"/>
        <v>PERFURATRIZ COM TORRE METALICA PARA EXECUCAO DE ESTACA HELICE CONTINUA, PROFUNDIDADE MAXIMA DE 30 M, DIAMETRO MAXIMO DE 800 MM, POTENCIA INSTALADA DE 268 HP, MESA ROTATIVA COM TORQUE MAXIMO DE 170 KNM</v>
      </c>
    </row>
    <row r="3373" spans="1:10" x14ac:dyDescent="0.25">
      <c r="A3373" s="169">
        <v>38542</v>
      </c>
      <c r="B3373" s="169" t="s">
        <v>26853</v>
      </c>
      <c r="C3373" s="169" t="s">
        <v>10225</v>
      </c>
      <c r="D3373" s="169" t="s">
        <v>1290</v>
      </c>
      <c r="E3373" s="103" t="s">
        <v>30896</v>
      </c>
      <c r="F3373" s="104"/>
      <c r="G3373" s="105">
        <f t="shared" si="208"/>
        <v>6178647.7699999996</v>
      </c>
      <c r="H3373" s="101" t="str">
        <f t="shared" si="209"/>
        <v>Sinapi 38542</v>
      </c>
      <c r="I3373" s="101" t="str">
        <f t="shared" si="210"/>
        <v>UN</v>
      </c>
      <c r="J3373" s="140" t="str">
        <f t="shared" si="211"/>
        <v>PERFURATRIZ COM TORRE METALICA PARA EXECUCAO DE ESTACA HELICE CONTINUA, PROFUNDIDADE MAXIMA DE 32 M, DIAMETRO MAXIMO DE 1000 MM, POTENCIA INSTALADA DE 350 HP, MESA ROTATIVA COM TORQUE MAXIMO DE 263 KNM</v>
      </c>
    </row>
    <row r="3374" spans="1:10" x14ac:dyDescent="0.25">
      <c r="A3374" s="169">
        <v>38543</v>
      </c>
      <c r="B3374" s="169" t="s">
        <v>26854</v>
      </c>
      <c r="C3374" s="169" t="s">
        <v>10225</v>
      </c>
      <c r="D3374" s="169" t="s">
        <v>1290</v>
      </c>
      <c r="E3374" s="103" t="s">
        <v>30897</v>
      </c>
      <c r="F3374" s="104"/>
      <c r="G3374" s="105">
        <f t="shared" si="208"/>
        <v>1512703.46</v>
      </c>
      <c r="H3374" s="101" t="str">
        <f t="shared" si="209"/>
        <v>Sinapi 38543</v>
      </c>
      <c r="I3374" s="101" t="str">
        <f t="shared" si="210"/>
        <v>UN</v>
      </c>
      <c r="J3374" s="140" t="str">
        <f t="shared" si="211"/>
        <v>PERFURATRIZ HIDRAULICA COM TRADO CURTO ACOPLADO, PROFUNDIDADE MAXIMA DE 20 M, DIAMETRO MAXIMO DE 1500 MM, POTENCIA INSTALADA DE 137 HP, MESA ROTATIVA COM TORQUE MAXIMO DE 30 KNM (INCLUI MONTAGEM, NAO INCLUI CAMINHAO)</v>
      </c>
    </row>
    <row r="3375" spans="1:10" x14ac:dyDescent="0.25">
      <c r="A3375" s="169">
        <v>40406</v>
      </c>
      <c r="B3375" s="169" t="s">
        <v>26855</v>
      </c>
      <c r="C3375" s="169" t="s">
        <v>10225</v>
      </c>
      <c r="D3375" s="169" t="s">
        <v>1290</v>
      </c>
      <c r="E3375" s="103" t="s">
        <v>30898</v>
      </c>
      <c r="F3375" s="104"/>
      <c r="G3375" s="105">
        <f t="shared" si="208"/>
        <v>62872.02</v>
      </c>
      <c r="H3375" s="101" t="str">
        <f t="shared" si="209"/>
        <v>Sinapi 40406</v>
      </c>
      <c r="I3375" s="101" t="str">
        <f t="shared" si="210"/>
        <v>UN</v>
      </c>
      <c r="J3375" s="140" t="str">
        <f t="shared" si="211"/>
        <v>PERFURATRIZ MANUAL, TORQUE MAXIMO 55 KGF.M, POTENCIA 5 CV, COM DIAMETRO MAXIMO 8 1/2" (INCLUI SUPORTE/CHASSI TIPO MESA)</v>
      </c>
    </row>
    <row r="3376" spans="1:10" x14ac:dyDescent="0.25">
      <c r="A3376" s="169">
        <v>40789</v>
      </c>
      <c r="B3376" s="169" t="s">
        <v>26856</v>
      </c>
      <c r="C3376" s="169" t="s">
        <v>10225</v>
      </c>
      <c r="D3376" s="169" t="s">
        <v>1290</v>
      </c>
      <c r="E3376" s="103" t="s">
        <v>30899</v>
      </c>
      <c r="F3376" s="104"/>
      <c r="G3376" s="105">
        <f t="shared" si="208"/>
        <v>9060.5</v>
      </c>
      <c r="H3376" s="101" t="str">
        <f t="shared" si="209"/>
        <v>Sinapi 40789</v>
      </c>
      <c r="I3376" s="101" t="str">
        <f t="shared" si="210"/>
        <v>UN</v>
      </c>
      <c r="J3376" s="140" t="str">
        <f t="shared" si="211"/>
        <v>PERFURATRIZ MANUAL, TORQUE MAXIMO 83 N.M, POTENCIA 5 CV, COM DIAMETRO MAXIMO 4" (NAO INCLUI SUPORTE / CHASSI)</v>
      </c>
    </row>
    <row r="3377" spans="1:10" x14ac:dyDescent="0.25">
      <c r="A3377" s="169">
        <v>40791</v>
      </c>
      <c r="B3377" s="169" t="s">
        <v>26857</v>
      </c>
      <c r="C3377" s="169" t="s">
        <v>10225</v>
      </c>
      <c r="D3377" s="169" t="s">
        <v>1290</v>
      </c>
      <c r="E3377" s="103" t="s">
        <v>30900</v>
      </c>
      <c r="F3377" s="104"/>
      <c r="G3377" s="105">
        <f t="shared" si="208"/>
        <v>28363.31</v>
      </c>
      <c r="H3377" s="101" t="str">
        <f t="shared" si="209"/>
        <v>Sinapi 40791</v>
      </c>
      <c r="I3377" s="101" t="str">
        <f t="shared" si="210"/>
        <v>UN</v>
      </c>
      <c r="J3377" s="140" t="str">
        <f t="shared" si="211"/>
        <v>PERFURATRIZ MANUAL, TORQUE MAXIMO 83 N.M, POTENCIA 5 CV, COM DIAMETRO MAXIMO 4", PARA SOLO GRAMPEADO (INCLUI SUPORTE OU CHASSI TIPO MESA)</v>
      </c>
    </row>
    <row r="3378" spans="1:10" x14ac:dyDescent="0.25">
      <c r="A3378" s="169">
        <v>11651</v>
      </c>
      <c r="B3378" s="169" t="s">
        <v>26858</v>
      </c>
      <c r="C3378" s="169" t="s">
        <v>10225</v>
      </c>
      <c r="D3378" s="169" t="s">
        <v>1290</v>
      </c>
      <c r="E3378" s="103" t="s">
        <v>30901</v>
      </c>
      <c r="F3378" s="104"/>
      <c r="G3378" s="105">
        <f t="shared" si="208"/>
        <v>15512.3</v>
      </c>
      <c r="H3378" s="101" t="str">
        <f t="shared" si="209"/>
        <v>Sinapi 11651</v>
      </c>
      <c r="I3378" s="101" t="str">
        <f t="shared" si="210"/>
        <v>UN</v>
      </c>
      <c r="J3378" s="140" t="str">
        <f t="shared" si="211"/>
        <v>PERFURATRIZ PNEUMATICA MANUAL DE PESO MEDIO, 18KG, COMPRIMENTO DE CURSO DE 6 M, DIAMETRO DO PISTAO DE 5,5 CM</v>
      </c>
    </row>
    <row r="3379" spans="1:10" x14ac:dyDescent="0.25">
      <c r="A3379" s="169">
        <v>40435</v>
      </c>
      <c r="B3379" s="169" t="s">
        <v>26859</v>
      </c>
      <c r="C3379" s="169" t="s">
        <v>10225</v>
      </c>
      <c r="D3379" s="169" t="s">
        <v>1290</v>
      </c>
      <c r="E3379" s="103" t="s">
        <v>30902</v>
      </c>
      <c r="F3379" s="104"/>
      <c r="G3379" s="105">
        <f t="shared" si="208"/>
        <v>829856.31</v>
      </c>
      <c r="H3379" s="101" t="str">
        <f t="shared" si="209"/>
        <v>Sinapi 40435</v>
      </c>
      <c r="I3379" s="101" t="str">
        <f t="shared" si="210"/>
        <v>UN</v>
      </c>
      <c r="J3379" s="140" t="str">
        <f t="shared" si="211"/>
        <v>PERFURATRIZ SOBRE ESTEIRA, TORQUE MAXIMO DE 600 KGF, POTENCIA ENTRE 50 E 60 HP, DIAMETRO MAXIMO DE 10"</v>
      </c>
    </row>
    <row r="3380" spans="1:10" x14ac:dyDescent="0.25">
      <c r="A3380" s="169">
        <v>39012</v>
      </c>
      <c r="B3380" s="169" t="s">
        <v>26860</v>
      </c>
      <c r="C3380" s="169" t="s">
        <v>10225</v>
      </c>
      <c r="D3380" s="169" t="s">
        <v>1290</v>
      </c>
      <c r="E3380" s="103" t="s">
        <v>30903</v>
      </c>
      <c r="F3380" s="104"/>
      <c r="G3380" s="105">
        <f t="shared" si="208"/>
        <v>865840.34</v>
      </c>
      <c r="H3380" s="101" t="str">
        <f t="shared" si="209"/>
        <v>Sinapi 39012</v>
      </c>
      <c r="I3380" s="101" t="str">
        <f t="shared" si="210"/>
        <v>UN</v>
      </c>
      <c r="J3380" s="140" t="str">
        <f t="shared" si="211"/>
        <v>PERFURATRIZ SOBRE ESTEIRA, TORQUE MAXIMO 600 KGF, PESO MEDIO 1000 KG, POTENCIA 20 HP, DIAMETRO MAXIMO 10"</v>
      </c>
    </row>
    <row r="3381" spans="1:10" x14ac:dyDescent="0.25">
      <c r="A3381" s="169">
        <v>13617</v>
      </c>
      <c r="B3381" s="169" t="s">
        <v>26861</v>
      </c>
      <c r="C3381" s="169" t="s">
        <v>10225</v>
      </c>
      <c r="D3381" s="169" t="s">
        <v>1289</v>
      </c>
      <c r="E3381" s="103" t="s">
        <v>30904</v>
      </c>
      <c r="F3381" s="104"/>
      <c r="G3381" s="105">
        <f t="shared" si="208"/>
        <v>100870.38</v>
      </c>
      <c r="H3381" s="101" t="str">
        <f t="shared" si="209"/>
        <v>Sinapi 13617</v>
      </c>
      <c r="I3381" s="101" t="str">
        <f t="shared" si="210"/>
        <v>UN</v>
      </c>
      <c r="J3381" s="140" t="str">
        <f t="shared" si="211"/>
        <v>PICAPE CABINE SIMPLES COM MOTOR 1.6 FLEX, CAMBIO MANUAL, POTENCIA 101/104 CV, 2 PORTAS</v>
      </c>
    </row>
    <row r="3382" spans="1:10" x14ac:dyDescent="0.25">
      <c r="A3382" s="169">
        <v>35274</v>
      </c>
      <c r="B3382" s="169" t="s">
        <v>30905</v>
      </c>
      <c r="C3382" s="169" t="s">
        <v>10229</v>
      </c>
      <c r="D3382" s="169" t="s">
        <v>1289</v>
      </c>
      <c r="E3382" s="103" t="s">
        <v>30906</v>
      </c>
      <c r="F3382" s="104"/>
      <c r="G3382" s="105">
        <f t="shared" si="208"/>
        <v>42.82</v>
      </c>
      <c r="H3382" s="101" t="str">
        <f t="shared" si="209"/>
        <v>Sinapi 35274</v>
      </c>
      <c r="I3382" s="101" t="str">
        <f t="shared" si="210"/>
        <v>M</v>
      </c>
      <c r="J3382" s="140" t="str">
        <f t="shared" si="211"/>
        <v>PILAR QUADRADO NAO APARELHADO *10 X 10* CM, EM MACARANDUBA/MASSARANDUBA, ANGELIM OU EQUIVALENTE DA REGIAO - BRUTA</v>
      </c>
    </row>
    <row r="3383" spans="1:10" x14ac:dyDescent="0.25">
      <c r="A3383" s="169">
        <v>35275</v>
      </c>
      <c r="B3383" s="169" t="s">
        <v>30907</v>
      </c>
      <c r="C3383" s="169" t="s">
        <v>10229</v>
      </c>
      <c r="D3383" s="169" t="s">
        <v>1289</v>
      </c>
      <c r="E3383" s="103" t="s">
        <v>30908</v>
      </c>
      <c r="F3383" s="104"/>
      <c r="G3383" s="105">
        <f t="shared" si="208"/>
        <v>90.88</v>
      </c>
      <c r="H3383" s="101" t="str">
        <f t="shared" si="209"/>
        <v>Sinapi 35275</v>
      </c>
      <c r="I3383" s="101" t="str">
        <f t="shared" si="210"/>
        <v>M</v>
      </c>
      <c r="J3383" s="140" t="str">
        <f t="shared" si="211"/>
        <v>PILAR QUADRADO NAO APARELHADO *15 X 15* CM, EM MACARANDUBA/MASSARANDUBA, ANGELIM OU EQUIVALENTE DA REGIAO - BRUTA</v>
      </c>
    </row>
    <row r="3384" spans="1:10" x14ac:dyDescent="0.25">
      <c r="A3384" s="169">
        <v>35276</v>
      </c>
      <c r="B3384" s="169" t="s">
        <v>30909</v>
      </c>
      <c r="C3384" s="169" t="s">
        <v>10229</v>
      </c>
      <c r="D3384" s="169" t="s">
        <v>1289</v>
      </c>
      <c r="E3384" s="103" t="s">
        <v>30910</v>
      </c>
      <c r="F3384" s="104"/>
      <c r="G3384" s="105">
        <f t="shared" si="208"/>
        <v>158.13</v>
      </c>
      <c r="H3384" s="101" t="str">
        <f t="shared" si="209"/>
        <v>Sinapi 35276</v>
      </c>
      <c r="I3384" s="101" t="str">
        <f t="shared" si="210"/>
        <v>M</v>
      </c>
      <c r="J3384" s="140" t="str">
        <f t="shared" si="211"/>
        <v>PILAR QUADRADO NAO APARELHADO *20 X 20* CM, EM MACARANDUBA/MASSARANDUBA, ANGELIM OU EQUIVALENTE DA REGIAO - BRUTA</v>
      </c>
    </row>
    <row r="3385" spans="1:10" x14ac:dyDescent="0.25">
      <c r="A3385" s="169">
        <v>38386</v>
      </c>
      <c r="B3385" s="169" t="s">
        <v>26864</v>
      </c>
      <c r="C3385" s="169" t="s">
        <v>10225</v>
      </c>
      <c r="D3385" s="169" t="s">
        <v>1289</v>
      </c>
      <c r="E3385" s="103" t="s">
        <v>5225</v>
      </c>
      <c r="F3385" s="104"/>
      <c r="G3385" s="105">
        <f t="shared" si="208"/>
        <v>5.41</v>
      </c>
      <c r="H3385" s="101" t="str">
        <f t="shared" si="209"/>
        <v>Sinapi 38386</v>
      </c>
      <c r="I3385" s="101" t="str">
        <f t="shared" si="210"/>
        <v>UN</v>
      </c>
      <c r="J3385" s="140" t="str">
        <f t="shared" si="211"/>
        <v>PINCEL CHATO (TRINCHA) CERDAS GRIS 1.1/2 " (38 MM)</v>
      </c>
    </row>
    <row r="3386" spans="1:10" x14ac:dyDescent="0.25">
      <c r="A3386" s="169">
        <v>11091</v>
      </c>
      <c r="B3386" s="169" t="s">
        <v>26865</v>
      </c>
      <c r="C3386" s="169" t="s">
        <v>10225</v>
      </c>
      <c r="D3386" s="169" t="s">
        <v>1289</v>
      </c>
      <c r="E3386" s="103" t="s">
        <v>15649</v>
      </c>
      <c r="F3386" s="104"/>
      <c r="G3386" s="105">
        <f t="shared" si="208"/>
        <v>1.4</v>
      </c>
      <c r="H3386" s="101" t="str">
        <f t="shared" si="209"/>
        <v>Sinapi 11091</v>
      </c>
      <c r="I3386" s="101" t="str">
        <f t="shared" si="210"/>
        <v>UN</v>
      </c>
      <c r="J3386" s="140" t="str">
        <f t="shared" si="211"/>
        <v>PINGADEIRA PLASTICA PARA TELHA DE FIBROCIMENTO CANALETE 49/KALHETA OU CANALETE 90/KALHETAO</v>
      </c>
    </row>
    <row r="3387" spans="1:10" x14ac:dyDescent="0.25">
      <c r="A3387" s="169">
        <v>37586</v>
      </c>
      <c r="B3387" s="169" t="s">
        <v>26866</v>
      </c>
      <c r="C3387" s="169" t="s">
        <v>10265</v>
      </c>
      <c r="D3387" s="169" t="s">
        <v>1290</v>
      </c>
      <c r="E3387" s="103" t="s">
        <v>19867</v>
      </c>
      <c r="F3387" s="104"/>
      <c r="G3387" s="105">
        <f t="shared" si="208"/>
        <v>45.05</v>
      </c>
      <c r="H3387" s="101" t="str">
        <f t="shared" si="209"/>
        <v>Sinapi 37586</v>
      </c>
      <c r="I3387" s="101" t="str">
        <f t="shared" si="210"/>
        <v>CENTO</v>
      </c>
      <c r="J3387" s="140" t="str">
        <f t="shared" si="211"/>
        <v>PINO DE ACO COM ARRUELA CONICA, DIAMETRO ARRUELA = *23* MM E COMP HASTE = *27* MM (ACAO INDIRETA)</v>
      </c>
    </row>
    <row r="3388" spans="1:10" x14ac:dyDescent="0.25">
      <c r="A3388" s="169">
        <v>37395</v>
      </c>
      <c r="B3388" s="169" t="s">
        <v>26867</v>
      </c>
      <c r="C3388" s="169" t="s">
        <v>10265</v>
      </c>
      <c r="D3388" s="169" t="s">
        <v>1290</v>
      </c>
      <c r="E3388" s="103" t="s">
        <v>22878</v>
      </c>
      <c r="F3388" s="104"/>
      <c r="G3388" s="105">
        <f t="shared" si="208"/>
        <v>38.74</v>
      </c>
      <c r="H3388" s="101" t="str">
        <f t="shared" si="209"/>
        <v>Sinapi 37395</v>
      </c>
      <c r="I3388" s="101" t="str">
        <f t="shared" si="210"/>
        <v>CENTO</v>
      </c>
      <c r="J3388" s="140" t="str">
        <f t="shared" si="211"/>
        <v>PINO DE ACO COM FURO, HASTE = 27 MM (ACAO DIRETA)</v>
      </c>
    </row>
    <row r="3389" spans="1:10" x14ac:dyDescent="0.25">
      <c r="A3389" s="169">
        <v>14147</v>
      </c>
      <c r="B3389" s="169" t="s">
        <v>26868</v>
      </c>
      <c r="C3389" s="169" t="s">
        <v>10265</v>
      </c>
      <c r="D3389" s="169" t="s">
        <v>1290</v>
      </c>
      <c r="E3389" s="103" t="s">
        <v>19983</v>
      </c>
      <c r="F3389" s="104"/>
      <c r="G3389" s="105">
        <f t="shared" si="208"/>
        <v>51.39</v>
      </c>
      <c r="H3389" s="101" t="str">
        <f t="shared" si="209"/>
        <v>Sinapi 14147</v>
      </c>
      <c r="I3389" s="101" t="str">
        <f t="shared" si="210"/>
        <v>CENTO</v>
      </c>
      <c r="J3389" s="140" t="str">
        <f t="shared" si="211"/>
        <v>PINO DE ACO COM ROSCA 1/4 ", COMPRIMENTO DA HASTE = 30 MM E ROSCA = 20 MM (ACAO DIRETA)</v>
      </c>
    </row>
    <row r="3390" spans="1:10" x14ac:dyDescent="0.25">
      <c r="A3390" s="169">
        <v>37396</v>
      </c>
      <c r="B3390" s="169" t="s">
        <v>26869</v>
      </c>
      <c r="C3390" s="169" t="s">
        <v>10265</v>
      </c>
      <c r="D3390" s="169" t="s">
        <v>1290</v>
      </c>
      <c r="E3390" s="103" t="s">
        <v>22879</v>
      </c>
      <c r="F3390" s="104"/>
      <c r="G3390" s="105">
        <f t="shared" si="208"/>
        <v>31.7</v>
      </c>
      <c r="H3390" s="101" t="str">
        <f t="shared" si="209"/>
        <v>Sinapi 37396</v>
      </c>
      <c r="I3390" s="101" t="str">
        <f t="shared" si="210"/>
        <v>CENTO</v>
      </c>
      <c r="J3390" s="140" t="str">
        <f t="shared" si="211"/>
        <v>PINO DE ACO LISO 1/4 ", HASTE = *36,5* MM (ACAO DIRETA)</v>
      </c>
    </row>
    <row r="3391" spans="1:10" x14ac:dyDescent="0.25">
      <c r="A3391" s="169">
        <v>37397</v>
      </c>
      <c r="B3391" s="169" t="s">
        <v>26870</v>
      </c>
      <c r="C3391" s="169" t="s">
        <v>10265</v>
      </c>
      <c r="D3391" s="169" t="s">
        <v>1290</v>
      </c>
      <c r="E3391" s="103" t="s">
        <v>20346</v>
      </c>
      <c r="F3391" s="104"/>
      <c r="G3391" s="105">
        <f t="shared" si="208"/>
        <v>33.21</v>
      </c>
      <c r="H3391" s="101" t="str">
        <f t="shared" si="209"/>
        <v>Sinapi 37397</v>
      </c>
      <c r="I3391" s="101" t="str">
        <f t="shared" si="210"/>
        <v>CENTO</v>
      </c>
      <c r="J3391" s="140" t="str">
        <f t="shared" si="211"/>
        <v>PINO DE ACO LISO 1/4 ", HASTE = *53* MM (ACAO DIRETA)</v>
      </c>
    </row>
    <row r="3392" spans="1:10" x14ac:dyDescent="0.25">
      <c r="A3392" s="169">
        <v>43606</v>
      </c>
      <c r="B3392" s="169" t="s">
        <v>26871</v>
      </c>
      <c r="C3392" s="169" t="s">
        <v>10225</v>
      </c>
      <c r="D3392" s="169" t="s">
        <v>1289</v>
      </c>
      <c r="E3392" s="103" t="s">
        <v>28560</v>
      </c>
      <c r="F3392" s="104"/>
      <c r="G3392" s="105">
        <f t="shared" si="208"/>
        <v>9.8699999999999992</v>
      </c>
      <c r="H3392" s="101" t="str">
        <f t="shared" si="209"/>
        <v>Sinapi 43606</v>
      </c>
      <c r="I3392" s="101" t="str">
        <f t="shared" si="210"/>
        <v>UN</v>
      </c>
      <c r="J3392" s="140" t="str">
        <f t="shared" si="211"/>
        <v>PINO GUIA RETO, EM LATAO, CHAPA COM 3 MM DE ESPESSURA E GUIA COM ROLETE DE 9 MM</v>
      </c>
    </row>
    <row r="3393" spans="1:10" x14ac:dyDescent="0.25">
      <c r="A3393" s="169">
        <v>444</v>
      </c>
      <c r="B3393" s="169" t="s">
        <v>26872</v>
      </c>
      <c r="C3393" s="169" t="s">
        <v>10225</v>
      </c>
      <c r="D3393" s="169" t="s">
        <v>1289</v>
      </c>
      <c r="E3393" s="103" t="s">
        <v>29866</v>
      </c>
      <c r="F3393" s="104"/>
      <c r="G3393" s="105">
        <f t="shared" si="208"/>
        <v>22.4</v>
      </c>
      <c r="H3393" s="101" t="str">
        <f t="shared" si="209"/>
        <v>Sinapi 444</v>
      </c>
      <c r="I3393" s="101" t="str">
        <f t="shared" si="210"/>
        <v>UN</v>
      </c>
      <c r="J3393" s="140" t="str">
        <f t="shared" si="211"/>
        <v>PINO ROSCA EXTERNA, EM ACO GALVANIZADO, PARA ISOLADOR DE 15KV, DIAMETRO 25 MM, COMPRIMENTO *290* MM</v>
      </c>
    </row>
    <row r="3394" spans="1:10" x14ac:dyDescent="0.25">
      <c r="A3394" s="169">
        <v>445</v>
      </c>
      <c r="B3394" s="169" t="s">
        <v>26873</v>
      </c>
      <c r="C3394" s="169" t="s">
        <v>10225</v>
      </c>
      <c r="D3394" s="169" t="s">
        <v>1289</v>
      </c>
      <c r="E3394" s="103" t="s">
        <v>30911</v>
      </c>
      <c r="F3394" s="104"/>
      <c r="G3394" s="105">
        <f t="shared" si="208"/>
        <v>30.66</v>
      </c>
      <c r="H3394" s="101" t="str">
        <f t="shared" si="209"/>
        <v>Sinapi 445</v>
      </c>
      <c r="I3394" s="101" t="str">
        <f t="shared" si="210"/>
        <v>UN</v>
      </c>
      <c r="J3394" s="140" t="str">
        <f t="shared" si="211"/>
        <v>PINO ROSCA EXTERNA, EM ACO GALVANIZADO, PARA ISOLADOR DE 25KV, DIAMETRO 35MM, COMPRIMENTO *320* MM</v>
      </c>
    </row>
    <row r="3395" spans="1:10" x14ac:dyDescent="0.25">
      <c r="A3395" s="169">
        <v>4783</v>
      </c>
      <c r="B3395" s="169" t="s">
        <v>26874</v>
      </c>
      <c r="C3395" s="169" t="s">
        <v>10228</v>
      </c>
      <c r="D3395" s="169" t="s">
        <v>1288</v>
      </c>
      <c r="E3395" s="103" t="s">
        <v>27635</v>
      </c>
      <c r="F3395" s="104"/>
      <c r="G3395" s="105">
        <f t="shared" si="208"/>
        <v>19.86</v>
      </c>
      <c r="H3395" s="101" t="str">
        <f t="shared" si="209"/>
        <v>Sinapi 4783</v>
      </c>
      <c r="I3395" s="101" t="str">
        <f t="shared" si="210"/>
        <v>H</v>
      </c>
      <c r="J3395" s="140" t="str">
        <f t="shared" si="211"/>
        <v>PINTOR (HORISTA)</v>
      </c>
    </row>
    <row r="3396" spans="1:10" x14ac:dyDescent="0.25">
      <c r="A3396" s="169">
        <v>41079</v>
      </c>
      <c r="B3396" s="169" t="s">
        <v>26875</v>
      </c>
      <c r="C3396" s="169" t="s">
        <v>10235</v>
      </c>
      <c r="D3396" s="169" t="s">
        <v>1289</v>
      </c>
      <c r="E3396" s="103" t="s">
        <v>29669</v>
      </c>
      <c r="F3396" s="104"/>
      <c r="G3396" s="105">
        <f t="shared" si="208"/>
        <v>3455.98</v>
      </c>
      <c r="H3396" s="101" t="str">
        <f t="shared" si="209"/>
        <v>Sinapi 41079</v>
      </c>
      <c r="I3396" s="101" t="str">
        <f t="shared" si="210"/>
        <v>MES</v>
      </c>
      <c r="J3396" s="140" t="str">
        <f t="shared" si="211"/>
        <v>PINTOR (MENSALISTA)</v>
      </c>
    </row>
    <row r="3397" spans="1:10" x14ac:dyDescent="0.25">
      <c r="A3397" s="169">
        <v>12874</v>
      </c>
      <c r="B3397" s="169" t="s">
        <v>26876</v>
      </c>
      <c r="C3397" s="169" t="s">
        <v>10228</v>
      </c>
      <c r="D3397" s="169" t="s">
        <v>1289</v>
      </c>
      <c r="E3397" s="103" t="s">
        <v>15507</v>
      </c>
      <c r="F3397" s="104"/>
      <c r="G3397" s="105">
        <f t="shared" si="208"/>
        <v>19.27</v>
      </c>
      <c r="H3397" s="101" t="str">
        <f t="shared" si="209"/>
        <v>Sinapi 12874</v>
      </c>
      <c r="I3397" s="101" t="str">
        <f t="shared" si="210"/>
        <v>H</v>
      </c>
      <c r="J3397" s="140" t="str">
        <f t="shared" si="211"/>
        <v>PINTOR DE LETREIROS (HORISTA)</v>
      </c>
    </row>
    <row r="3398" spans="1:10" x14ac:dyDescent="0.25">
      <c r="A3398" s="169">
        <v>41082</v>
      </c>
      <c r="B3398" s="169" t="s">
        <v>26877</v>
      </c>
      <c r="C3398" s="169" t="s">
        <v>10235</v>
      </c>
      <c r="D3398" s="169" t="s">
        <v>1289</v>
      </c>
      <c r="E3398" s="103" t="s">
        <v>30912</v>
      </c>
      <c r="F3398" s="104"/>
      <c r="G3398" s="105">
        <f t="shared" si="208"/>
        <v>3355.98</v>
      </c>
      <c r="H3398" s="101" t="str">
        <f t="shared" si="209"/>
        <v>Sinapi 41082</v>
      </c>
      <c r="I3398" s="101" t="str">
        <f t="shared" si="210"/>
        <v>MES</v>
      </c>
      <c r="J3398" s="140" t="str">
        <f t="shared" si="211"/>
        <v>PINTOR DE LETREIROS (MENSALISTA)</v>
      </c>
    </row>
    <row r="3399" spans="1:10" x14ac:dyDescent="0.25">
      <c r="A3399" s="169">
        <v>4785</v>
      </c>
      <c r="B3399" s="169" t="s">
        <v>26878</v>
      </c>
      <c r="C3399" s="169" t="s">
        <v>10228</v>
      </c>
      <c r="D3399" s="169" t="s">
        <v>1289</v>
      </c>
      <c r="E3399" s="103" t="s">
        <v>27635</v>
      </c>
      <c r="F3399" s="104"/>
      <c r="G3399" s="105">
        <f t="shared" si="208"/>
        <v>19.86</v>
      </c>
      <c r="H3399" s="101" t="str">
        <f t="shared" si="209"/>
        <v>Sinapi 4785</v>
      </c>
      <c r="I3399" s="101" t="str">
        <f t="shared" si="210"/>
        <v>H</v>
      </c>
      <c r="J3399" s="140" t="str">
        <f t="shared" si="211"/>
        <v>PINTOR PARA TINTA EPOXI (HORISTA)</v>
      </c>
    </row>
    <row r="3400" spans="1:10" x14ac:dyDescent="0.25">
      <c r="A3400" s="169">
        <v>41081</v>
      </c>
      <c r="B3400" s="169" t="s">
        <v>26879</v>
      </c>
      <c r="C3400" s="169" t="s">
        <v>10235</v>
      </c>
      <c r="D3400" s="169" t="s">
        <v>1289</v>
      </c>
      <c r="E3400" s="103" t="s">
        <v>29669</v>
      </c>
      <c r="F3400" s="104"/>
      <c r="G3400" s="105">
        <f t="shared" ref="G3400:G3463" si="212">IF(E3400="","",E3400+0)</f>
        <v>3455.98</v>
      </c>
      <c r="H3400" s="101" t="str">
        <f t="shared" ref="H3400:H3463" si="213">IF(G3400="","",TRIM(CONCATENATE("Sinapi ",A3400)))</f>
        <v>Sinapi 41081</v>
      </c>
      <c r="I3400" s="101" t="str">
        <f t="shared" ref="I3400:I3463" si="214">TRIM(C3400)</f>
        <v>MES</v>
      </c>
      <c r="J3400" s="140" t="str">
        <f t="shared" si="211"/>
        <v>PINTOR PARA TINTA EPOXI (MENSALISTA)</v>
      </c>
    </row>
    <row r="3401" spans="1:10" x14ac:dyDescent="0.25">
      <c r="A3401" s="169">
        <v>4801</v>
      </c>
      <c r="B3401" s="169" t="s">
        <v>26880</v>
      </c>
      <c r="C3401" s="169" t="s">
        <v>10226</v>
      </c>
      <c r="D3401" s="169" t="s">
        <v>1289</v>
      </c>
      <c r="E3401" s="103" t="s">
        <v>23730</v>
      </c>
      <c r="F3401" s="104"/>
      <c r="G3401" s="105">
        <f t="shared" si="212"/>
        <v>95.65</v>
      </c>
      <c r="H3401" s="101" t="str">
        <f t="shared" si="213"/>
        <v>Sinapi 4801</v>
      </c>
      <c r="I3401" s="101" t="str">
        <f t="shared" si="214"/>
        <v>M2</v>
      </c>
      <c r="J3401" s="140" t="str">
        <f t="shared" ref="J3401:J3464" si="215">TRIM(B3401)</f>
        <v>PISO DE BORRACHA CANELADO EM PLACAS 50 X 50 CM, E = *3,5* MM, PARA COLA</v>
      </c>
    </row>
    <row r="3402" spans="1:10" x14ac:dyDescent="0.25">
      <c r="A3402" s="169">
        <v>4794</v>
      </c>
      <c r="B3402" s="169" t="s">
        <v>26881</v>
      </c>
      <c r="C3402" s="169" t="s">
        <v>10226</v>
      </c>
      <c r="D3402" s="169" t="s">
        <v>1289</v>
      </c>
      <c r="E3402" s="103" t="s">
        <v>30913</v>
      </c>
      <c r="F3402" s="104"/>
      <c r="G3402" s="105">
        <f t="shared" si="212"/>
        <v>435.61</v>
      </c>
      <c r="H3402" s="101" t="str">
        <f t="shared" si="213"/>
        <v>Sinapi 4794</v>
      </c>
      <c r="I3402" s="101" t="str">
        <f t="shared" si="214"/>
        <v>M2</v>
      </c>
      <c r="J3402" s="140" t="str">
        <f t="shared" si="215"/>
        <v>PISO DE BORRACHA ESPORTIVO EM PLACAS 50 X 50 CM, E = 15 MM, PARA ARGAMASSA, PRETO</v>
      </c>
    </row>
    <row r="3403" spans="1:10" x14ac:dyDescent="0.25">
      <c r="A3403" s="169">
        <v>4796</v>
      </c>
      <c r="B3403" s="169" t="s">
        <v>26882</v>
      </c>
      <c r="C3403" s="169" t="s">
        <v>10226</v>
      </c>
      <c r="D3403" s="169" t="s">
        <v>1289</v>
      </c>
      <c r="E3403" s="103" t="s">
        <v>30914</v>
      </c>
      <c r="F3403" s="104"/>
      <c r="G3403" s="105">
        <f t="shared" si="212"/>
        <v>264.58999999999997</v>
      </c>
      <c r="H3403" s="101" t="str">
        <f t="shared" si="213"/>
        <v>Sinapi 4796</v>
      </c>
      <c r="I3403" s="101" t="str">
        <f t="shared" si="214"/>
        <v>M2</v>
      </c>
      <c r="J3403" s="140" t="str">
        <f t="shared" si="215"/>
        <v>PISO DE BORRACHA FRISADO OU PASTILHADO, PRETO, EM PLACAS 50 X 50 CM, E = 7 MM, PARA ARGAMASSA</v>
      </c>
    </row>
    <row r="3404" spans="1:10" x14ac:dyDescent="0.25">
      <c r="A3404" s="169">
        <v>4800</v>
      </c>
      <c r="B3404" s="169" t="s">
        <v>10276</v>
      </c>
      <c r="C3404" s="169" t="s">
        <v>10226</v>
      </c>
      <c r="D3404" s="169" t="s">
        <v>1289</v>
      </c>
      <c r="E3404" s="103" t="s">
        <v>29463</v>
      </c>
      <c r="F3404" s="104"/>
      <c r="G3404" s="105">
        <f t="shared" si="212"/>
        <v>72.760000000000005</v>
      </c>
      <c r="H3404" s="101" t="str">
        <f t="shared" si="213"/>
        <v>Sinapi 4800</v>
      </c>
      <c r="I3404" s="101" t="str">
        <f t="shared" si="214"/>
        <v>M2</v>
      </c>
      <c r="J3404" s="140" t="str">
        <f t="shared" si="215"/>
        <v>PISO DE BORRACHA PASTILHADO EM PLACAS 50 X 50 CM, E = *3,5* MM, PARA COLA, PRETO</v>
      </c>
    </row>
    <row r="3405" spans="1:10" x14ac:dyDescent="0.25">
      <c r="A3405" s="169">
        <v>4795</v>
      </c>
      <c r="B3405" s="169" t="s">
        <v>26883</v>
      </c>
      <c r="C3405" s="169" t="s">
        <v>10226</v>
      </c>
      <c r="D3405" s="169" t="s">
        <v>1289</v>
      </c>
      <c r="E3405" s="103" t="s">
        <v>30915</v>
      </c>
      <c r="F3405" s="104"/>
      <c r="G3405" s="105">
        <f t="shared" si="212"/>
        <v>424.05</v>
      </c>
      <c r="H3405" s="101" t="str">
        <f t="shared" si="213"/>
        <v>Sinapi 4795</v>
      </c>
      <c r="I3405" s="101" t="str">
        <f t="shared" si="214"/>
        <v>M2</v>
      </c>
      <c r="J3405" s="140" t="str">
        <f t="shared" si="215"/>
        <v>PISO DE BORRACHA PASTILHADO EM PLACAS 50 X 50 CM, E = 15 MM, PARA ARGAMASSA, PRETO</v>
      </c>
    </row>
    <row r="3406" spans="1:10" x14ac:dyDescent="0.25">
      <c r="A3406" s="169">
        <v>39694</v>
      </c>
      <c r="B3406" s="169" t="s">
        <v>26884</v>
      </c>
      <c r="C3406" s="169" t="s">
        <v>10226</v>
      </c>
      <c r="D3406" s="169" t="s">
        <v>1289</v>
      </c>
      <c r="E3406" s="103" t="s">
        <v>30916</v>
      </c>
      <c r="F3406" s="104"/>
      <c r="G3406" s="105">
        <f t="shared" si="212"/>
        <v>354.65</v>
      </c>
      <c r="H3406" s="101" t="str">
        <f t="shared" si="213"/>
        <v>Sinapi 39694</v>
      </c>
      <c r="I3406" s="101" t="str">
        <f t="shared" si="214"/>
        <v>M2</v>
      </c>
      <c r="J3406" s="140" t="str">
        <f t="shared" si="215"/>
        <v>PISO ELEVADO COM 2 PLACAS DE ACO COM ENCHIMENTO DE CONCRETO CELULAR, INCLUSO BASE/HASTE/CRUZETAS, 60 X 60 CM, H = *28* CM, RESISTENCIA CARGA CONCENTRADA 496 KG (COM COLOCACAO)</v>
      </c>
    </row>
    <row r="3407" spans="1:10" x14ac:dyDescent="0.25">
      <c r="A3407" s="169">
        <v>1292</v>
      </c>
      <c r="B3407" s="169" t="s">
        <v>26885</v>
      </c>
      <c r="C3407" s="169" t="s">
        <v>10226</v>
      </c>
      <c r="D3407" s="169" t="s">
        <v>1289</v>
      </c>
      <c r="E3407" s="103" t="s">
        <v>29125</v>
      </c>
      <c r="F3407" s="104"/>
      <c r="G3407" s="105">
        <f t="shared" si="212"/>
        <v>101.72</v>
      </c>
      <c r="H3407" s="101" t="str">
        <f t="shared" si="213"/>
        <v>Sinapi 1292</v>
      </c>
      <c r="I3407" s="101" t="str">
        <f t="shared" si="214"/>
        <v>M2</v>
      </c>
      <c r="J3407" s="140" t="str">
        <f t="shared" si="215"/>
        <v>PISO EM CERAMICA ESMALTADA EXTRA, PEI MAIOR OU IGUAL A 4, FORMATO MAIOR QUE 2025 CM2</v>
      </c>
    </row>
    <row r="3408" spans="1:10" x14ac:dyDescent="0.25">
      <c r="A3408" s="169">
        <v>1287</v>
      </c>
      <c r="B3408" s="169" t="s">
        <v>26886</v>
      </c>
      <c r="C3408" s="169" t="s">
        <v>10226</v>
      </c>
      <c r="D3408" s="169" t="s">
        <v>1288</v>
      </c>
      <c r="E3408" s="103" t="s">
        <v>30917</v>
      </c>
      <c r="F3408" s="104"/>
      <c r="G3408" s="105">
        <f t="shared" si="212"/>
        <v>49.9</v>
      </c>
      <c r="H3408" s="101" t="str">
        <f t="shared" si="213"/>
        <v>Sinapi 1287</v>
      </c>
      <c r="I3408" s="101" t="str">
        <f t="shared" si="214"/>
        <v>M2</v>
      </c>
      <c r="J3408" s="140" t="str">
        <f t="shared" si="215"/>
        <v>PISO EM CERAMICA ESMALTADA EXTRA, PEI MAIOR OU IGUAL A 4, FORMATO MENOR OU IGUAL A 2025 CM2</v>
      </c>
    </row>
    <row r="3409" spans="1:10" x14ac:dyDescent="0.25">
      <c r="A3409" s="169">
        <v>1297</v>
      </c>
      <c r="B3409" s="169" t="s">
        <v>26887</v>
      </c>
      <c r="C3409" s="169" t="s">
        <v>10226</v>
      </c>
      <c r="D3409" s="169" t="s">
        <v>1289</v>
      </c>
      <c r="E3409" s="103" t="s">
        <v>29226</v>
      </c>
      <c r="F3409" s="104"/>
      <c r="G3409" s="105">
        <f t="shared" si="212"/>
        <v>41.39</v>
      </c>
      <c r="H3409" s="101" t="str">
        <f t="shared" si="213"/>
        <v>Sinapi 1297</v>
      </c>
      <c r="I3409" s="101" t="str">
        <f t="shared" si="214"/>
        <v>M2</v>
      </c>
      <c r="J3409" s="140" t="str">
        <f t="shared" si="215"/>
        <v>PISO EM CERAMICA ESMALTADA, COMERCIAL (PADRAO POPULAR), PEI MAIOR OU IGUAL A 3, FORMATO MENOR OU IGUAL A 2025 CM2</v>
      </c>
    </row>
    <row r="3410" spans="1:10" x14ac:dyDescent="0.25">
      <c r="A3410" s="169">
        <v>4786</v>
      </c>
      <c r="B3410" s="169" t="s">
        <v>26888</v>
      </c>
      <c r="C3410" s="169" t="s">
        <v>10226</v>
      </c>
      <c r="D3410" s="169" t="s">
        <v>1290</v>
      </c>
      <c r="E3410" s="103" t="s">
        <v>22880</v>
      </c>
      <c r="F3410" s="104"/>
      <c r="G3410" s="105">
        <f t="shared" si="212"/>
        <v>108.5</v>
      </c>
      <c r="H3410" s="101" t="str">
        <f t="shared" si="213"/>
        <v>Sinapi 4786</v>
      </c>
      <c r="I3410" s="101" t="str">
        <f t="shared" si="214"/>
        <v>M2</v>
      </c>
      <c r="J3410" s="140" t="str">
        <f t="shared" si="215"/>
        <v>PISO EM GRANILITE, MARMORITE OU GRANITINA, AGREGADO COR PRETO, CINZA, PALHA OU BRANCO, E= *8* MM (INCLUSO EXECUCAO)</v>
      </c>
    </row>
    <row r="3411" spans="1:10" x14ac:dyDescent="0.25">
      <c r="A3411" s="169">
        <v>10840</v>
      </c>
      <c r="B3411" s="169" t="s">
        <v>26889</v>
      </c>
      <c r="C3411" s="169" t="s">
        <v>10226</v>
      </c>
      <c r="D3411" s="169" t="s">
        <v>1288</v>
      </c>
      <c r="E3411" s="103" t="s">
        <v>30918</v>
      </c>
      <c r="F3411" s="104"/>
      <c r="G3411" s="105">
        <f t="shared" si="212"/>
        <v>800</v>
      </c>
      <c r="H3411" s="101" t="str">
        <f t="shared" si="213"/>
        <v>Sinapi 10840</v>
      </c>
      <c r="I3411" s="101" t="str">
        <f t="shared" si="214"/>
        <v>M2</v>
      </c>
      <c r="J3411" s="140" t="str">
        <f t="shared" si="215"/>
        <v>PISO EM GRANITO, POLIDO, TIPO AMENDOA/ AMARELO CAPRI/ AMARELO DOURADO CARIOCA OU OUTROS EQUIVALENTES DA REGIAO, FORMATO MENOR OU IGUAL A 3025 CM2, E= *2* CM</v>
      </c>
    </row>
    <row r="3412" spans="1:10" x14ac:dyDescent="0.25">
      <c r="A3412" s="169">
        <v>10841</v>
      </c>
      <c r="B3412" s="169" t="s">
        <v>26890</v>
      </c>
      <c r="C3412" s="169" t="s">
        <v>10226</v>
      </c>
      <c r="D3412" s="169" t="s">
        <v>1289</v>
      </c>
      <c r="E3412" s="103" t="s">
        <v>30919</v>
      </c>
      <c r="F3412" s="104"/>
      <c r="G3412" s="105">
        <f t="shared" si="212"/>
        <v>603.77</v>
      </c>
      <c r="H3412" s="101" t="str">
        <f t="shared" si="213"/>
        <v>Sinapi 10841</v>
      </c>
      <c r="I3412" s="101" t="str">
        <f t="shared" si="214"/>
        <v>M2</v>
      </c>
      <c r="J3412" s="140" t="str">
        <f t="shared" si="215"/>
        <v>PISO EM GRANITO, POLIDO, TIPO ANDORINHA/ QUARTZ/ CASTELO/ CORUMBA OU OUTROS EQUIVALENTES DA REGIAO, FORMATO MENOR OU IGUAL A 3025 CM2, E= *2* CM</v>
      </c>
    </row>
    <row r="3413" spans="1:10" x14ac:dyDescent="0.25">
      <c r="A3413" s="169">
        <v>44540</v>
      </c>
      <c r="B3413" s="169" t="s">
        <v>26891</v>
      </c>
      <c r="C3413" s="169" t="s">
        <v>10226</v>
      </c>
      <c r="D3413" s="169" t="s">
        <v>1289</v>
      </c>
      <c r="E3413" s="103" t="s">
        <v>30920</v>
      </c>
      <c r="F3413" s="104"/>
      <c r="G3413" s="105">
        <f t="shared" si="212"/>
        <v>771.48</v>
      </c>
      <c r="H3413" s="101" t="str">
        <f t="shared" si="213"/>
        <v>Sinapi 44540</v>
      </c>
      <c r="I3413" s="101" t="str">
        <f t="shared" si="214"/>
        <v>M2</v>
      </c>
      <c r="J3413" s="140" t="str">
        <f t="shared" si="215"/>
        <v>PISO EM GRANITO, POLIDO, TIPO MARFIM, DALLAS, CARAVELAS OU OUTROS EQUIVALENTES DA REGIAO, FORMATO MENOR OU IGUAL A 3025 CM2, E= *2*CM</v>
      </c>
    </row>
    <row r="3414" spans="1:10" x14ac:dyDescent="0.25">
      <c r="A3414" s="169">
        <v>10842</v>
      </c>
      <c r="B3414" s="169" t="s">
        <v>26892</v>
      </c>
      <c r="C3414" s="169" t="s">
        <v>10226</v>
      </c>
      <c r="D3414" s="169" t="s">
        <v>1289</v>
      </c>
      <c r="E3414" s="103" t="s">
        <v>30921</v>
      </c>
      <c r="F3414" s="104"/>
      <c r="G3414" s="105">
        <f t="shared" si="212"/>
        <v>872.11</v>
      </c>
      <c r="H3414" s="101" t="str">
        <f t="shared" si="213"/>
        <v>Sinapi 10842</v>
      </c>
      <c r="I3414" s="101" t="str">
        <f t="shared" si="214"/>
        <v>M2</v>
      </c>
      <c r="J3414" s="140" t="str">
        <f t="shared" si="215"/>
        <v>PISO EM GRANITO, POLIDO, TIPO PRETO SAO GABRIEL/ TIJUCA OU OUTROS EQUIVALENTES DA REGIAO, FORMATO MENOR OU IGUAL A 3025 CM2, E= *2* CM</v>
      </c>
    </row>
    <row r="3415" spans="1:10" x14ac:dyDescent="0.25">
      <c r="A3415" s="169">
        <v>21108</v>
      </c>
      <c r="B3415" s="169" t="s">
        <v>1086</v>
      </c>
      <c r="C3415" s="169" t="s">
        <v>10226</v>
      </c>
      <c r="D3415" s="169" t="s">
        <v>1289</v>
      </c>
      <c r="E3415" s="103" t="s">
        <v>30922</v>
      </c>
      <c r="F3415" s="104"/>
      <c r="G3415" s="105">
        <f t="shared" si="212"/>
        <v>135.58000000000001</v>
      </c>
      <c r="H3415" s="101" t="str">
        <f t="shared" si="213"/>
        <v>Sinapi 21108</v>
      </c>
      <c r="I3415" s="101" t="str">
        <f t="shared" si="214"/>
        <v>M2</v>
      </c>
      <c r="J3415" s="140" t="str">
        <f t="shared" si="215"/>
        <v>PISO EM PORCELANATO RETIFICADO EXTRA, FORMATO MENOR OU IGUAL A 2025 CM2</v>
      </c>
    </row>
    <row r="3416" spans="1:10" x14ac:dyDescent="0.25">
      <c r="A3416" s="169">
        <v>38180</v>
      </c>
      <c r="B3416" s="169" t="s">
        <v>26893</v>
      </c>
      <c r="C3416" s="169" t="s">
        <v>10226</v>
      </c>
      <c r="D3416" s="169" t="s">
        <v>1289</v>
      </c>
      <c r="E3416" s="103" t="s">
        <v>30923</v>
      </c>
      <c r="F3416" s="104"/>
      <c r="G3416" s="105">
        <f t="shared" si="212"/>
        <v>213.02</v>
      </c>
      <c r="H3416" s="101" t="str">
        <f t="shared" si="213"/>
        <v>Sinapi 38180</v>
      </c>
      <c r="I3416" s="101" t="str">
        <f t="shared" si="214"/>
        <v>M2</v>
      </c>
      <c r="J3416" s="140" t="str">
        <f t="shared" si="215"/>
        <v>PISO EM REGUA VINILICA SEMIFLEXIVEL, ENCAIXE CLICADO, E = 4 MM (SEM COLOCACAO)</v>
      </c>
    </row>
    <row r="3417" spans="1:10" x14ac:dyDescent="0.25">
      <c r="A3417" s="169">
        <v>40648</v>
      </c>
      <c r="B3417" s="169" t="s">
        <v>26894</v>
      </c>
      <c r="C3417" s="169" t="s">
        <v>10226</v>
      </c>
      <c r="D3417" s="169" t="s">
        <v>1290</v>
      </c>
      <c r="E3417" s="103" t="s">
        <v>22881</v>
      </c>
      <c r="F3417" s="104"/>
      <c r="G3417" s="105">
        <f t="shared" si="212"/>
        <v>208.32</v>
      </c>
      <c r="H3417" s="101" t="str">
        <f t="shared" si="213"/>
        <v>Sinapi 40648</v>
      </c>
      <c r="I3417" s="101" t="str">
        <f t="shared" si="214"/>
        <v>M2</v>
      </c>
      <c r="J3417" s="140" t="str">
        <f t="shared" si="215"/>
        <v>PISO EPOXI AUTONIVELANTE, ESPESSURA *4* MM (INCLUSO EXECUCAO)</v>
      </c>
    </row>
    <row r="3418" spans="1:10" x14ac:dyDescent="0.25">
      <c r="A3418" s="169">
        <v>40649</v>
      </c>
      <c r="B3418" s="169" t="s">
        <v>26895</v>
      </c>
      <c r="C3418" s="169" t="s">
        <v>10226</v>
      </c>
      <c r="D3418" s="169" t="s">
        <v>1290</v>
      </c>
      <c r="E3418" s="103" t="s">
        <v>22882</v>
      </c>
      <c r="F3418" s="104"/>
      <c r="G3418" s="105">
        <f t="shared" si="212"/>
        <v>121.34</v>
      </c>
      <c r="H3418" s="101" t="str">
        <f t="shared" si="213"/>
        <v>Sinapi 40649</v>
      </c>
      <c r="I3418" s="101" t="str">
        <f t="shared" si="214"/>
        <v>M2</v>
      </c>
      <c r="J3418" s="140" t="str">
        <f t="shared" si="215"/>
        <v>PISO EPOXI MULTILAYER, ESPESSURA *2* MM (INCLUSO EXECUCAO)</v>
      </c>
    </row>
    <row r="3419" spans="1:10" x14ac:dyDescent="0.25">
      <c r="A3419" s="169">
        <v>40650</v>
      </c>
      <c r="B3419" s="169" t="s">
        <v>26896</v>
      </c>
      <c r="C3419" s="169" t="s">
        <v>10226</v>
      </c>
      <c r="D3419" s="169" t="s">
        <v>1290</v>
      </c>
      <c r="E3419" s="103" t="s">
        <v>22883</v>
      </c>
      <c r="F3419" s="104"/>
      <c r="G3419" s="105">
        <f t="shared" si="212"/>
        <v>156.24</v>
      </c>
      <c r="H3419" s="101" t="str">
        <f t="shared" si="213"/>
        <v>Sinapi 40650</v>
      </c>
      <c r="I3419" s="101" t="str">
        <f t="shared" si="214"/>
        <v>M2</v>
      </c>
      <c r="J3419" s="140" t="str">
        <f t="shared" si="215"/>
        <v>PISO FULGET (GRANITO LAVADO) EM PLACAS DE *40 X 40* CM, E = 2,0 CM (SEM COLOCACAO)</v>
      </c>
    </row>
    <row r="3420" spans="1:10" x14ac:dyDescent="0.25">
      <c r="A3420" s="169">
        <v>40651</v>
      </c>
      <c r="B3420" s="169" t="s">
        <v>26897</v>
      </c>
      <c r="C3420" s="169" t="s">
        <v>10226</v>
      </c>
      <c r="D3420" s="169" t="s">
        <v>1290</v>
      </c>
      <c r="E3420" s="103" t="s">
        <v>22884</v>
      </c>
      <c r="F3420" s="104"/>
      <c r="G3420" s="105">
        <f t="shared" si="212"/>
        <v>288.17</v>
      </c>
      <c r="H3420" s="101" t="str">
        <f t="shared" si="213"/>
        <v>Sinapi 40651</v>
      </c>
      <c r="I3420" s="101" t="str">
        <f t="shared" si="214"/>
        <v>M2</v>
      </c>
      <c r="J3420" s="140" t="str">
        <f t="shared" si="215"/>
        <v>PISO FULGET (GRANITO LAVADO) EM PLACAS DE *75 X 75* CM, E = 2,0 CM (SEM COLOCACAO)</v>
      </c>
    </row>
    <row r="3421" spans="1:10" x14ac:dyDescent="0.25">
      <c r="A3421" s="169">
        <v>40652</v>
      </c>
      <c r="B3421" s="169" t="s">
        <v>26898</v>
      </c>
      <c r="C3421" s="169" t="s">
        <v>10226</v>
      </c>
      <c r="D3421" s="169" t="s">
        <v>1290</v>
      </c>
      <c r="E3421" s="103" t="s">
        <v>22885</v>
      </c>
      <c r="F3421" s="104"/>
      <c r="G3421" s="105">
        <f t="shared" si="212"/>
        <v>154.5</v>
      </c>
      <c r="H3421" s="101" t="str">
        <f t="shared" si="213"/>
        <v>Sinapi 40652</v>
      </c>
      <c r="I3421" s="101" t="str">
        <f t="shared" si="214"/>
        <v>M2</v>
      </c>
      <c r="J3421" s="140" t="str">
        <f t="shared" si="215"/>
        <v>PISO FULGET (GRANITO LAVADO) MOLDADO IN LOCO (INCLUSO EXECUCAO)</v>
      </c>
    </row>
    <row r="3422" spans="1:10" x14ac:dyDescent="0.25">
      <c r="A3422" s="169">
        <v>40647</v>
      </c>
      <c r="B3422" s="169" t="s">
        <v>26899</v>
      </c>
      <c r="C3422" s="169" t="s">
        <v>10226</v>
      </c>
      <c r="D3422" s="169" t="s">
        <v>1290</v>
      </c>
      <c r="E3422" s="103" t="s">
        <v>22886</v>
      </c>
      <c r="F3422" s="104"/>
      <c r="G3422" s="105">
        <f t="shared" si="212"/>
        <v>170.12</v>
      </c>
      <c r="H3422" s="101" t="str">
        <f t="shared" si="213"/>
        <v>Sinapi 40647</v>
      </c>
      <c r="I3422" s="101" t="str">
        <f t="shared" si="214"/>
        <v>M2</v>
      </c>
      <c r="J3422" s="140" t="str">
        <f t="shared" si="215"/>
        <v>PISO INDUSTRIAL EM CONCRETO ARMADO DE ACABAMENTO POLIDO, ESPESSURA 12 CM (CIMENTO QUEIMADO) (INCLUSO EXECUCAO)</v>
      </c>
    </row>
    <row r="3423" spans="1:10" x14ac:dyDescent="0.25">
      <c r="A3423" s="169">
        <v>40653</v>
      </c>
      <c r="B3423" s="169" t="s">
        <v>26900</v>
      </c>
      <c r="C3423" s="169" t="s">
        <v>10226</v>
      </c>
      <c r="D3423" s="169" t="s">
        <v>1290</v>
      </c>
      <c r="E3423" s="103" t="s">
        <v>22887</v>
      </c>
      <c r="F3423" s="104"/>
      <c r="G3423" s="105">
        <f t="shared" si="212"/>
        <v>130.19999999999999</v>
      </c>
      <c r="H3423" s="101" t="str">
        <f t="shared" si="213"/>
        <v>Sinapi 40653</v>
      </c>
      <c r="I3423" s="101" t="str">
        <f t="shared" si="214"/>
        <v>M2</v>
      </c>
      <c r="J3423" s="140" t="str">
        <f t="shared" si="215"/>
        <v>PISO KORODUR (INCLUSO EXECUCAO)</v>
      </c>
    </row>
    <row r="3424" spans="1:10" x14ac:dyDescent="0.25">
      <c r="A3424" s="169">
        <v>36178</v>
      </c>
      <c r="B3424" s="169" t="s">
        <v>26901</v>
      </c>
      <c r="C3424" s="169" t="s">
        <v>10225</v>
      </c>
      <c r="D3424" s="169" t="s">
        <v>1289</v>
      </c>
      <c r="E3424" s="103" t="s">
        <v>30924</v>
      </c>
      <c r="F3424" s="104"/>
      <c r="G3424" s="105">
        <f t="shared" si="212"/>
        <v>25.22</v>
      </c>
      <c r="H3424" s="101" t="str">
        <f t="shared" si="213"/>
        <v>Sinapi 36178</v>
      </c>
      <c r="I3424" s="101" t="str">
        <f t="shared" si="214"/>
        <v>UN</v>
      </c>
      <c r="J3424" s="140" t="str">
        <f t="shared" si="215"/>
        <v>PISO PODOTATIL DE CONCRETO - DIRECIONAL E ALERTA, *40 X 40 X 2,5* CM</v>
      </c>
    </row>
    <row r="3425" spans="1:10" x14ac:dyDescent="0.25">
      <c r="A3425" s="169">
        <v>38195</v>
      </c>
      <c r="B3425" s="169" t="s">
        <v>26902</v>
      </c>
      <c r="C3425" s="169" t="s">
        <v>10226</v>
      </c>
      <c r="D3425" s="169" t="s">
        <v>1289</v>
      </c>
      <c r="E3425" s="103" t="s">
        <v>30925</v>
      </c>
      <c r="F3425" s="104"/>
      <c r="G3425" s="105">
        <f t="shared" si="212"/>
        <v>160.12</v>
      </c>
      <c r="H3425" s="101" t="str">
        <f t="shared" si="213"/>
        <v>Sinapi 38195</v>
      </c>
      <c r="I3425" s="101" t="str">
        <f t="shared" si="214"/>
        <v>M2</v>
      </c>
      <c r="J3425" s="140" t="str">
        <f t="shared" si="215"/>
        <v>PISO PORCELANATO, BORDA RETA, EXTRA, FORMATO MAIOR QUE 2025 CM2</v>
      </c>
    </row>
    <row r="3426" spans="1:10" x14ac:dyDescent="0.25">
      <c r="A3426" s="169">
        <v>38181</v>
      </c>
      <c r="B3426" s="169" t="s">
        <v>1034</v>
      </c>
      <c r="C3426" s="169" t="s">
        <v>10226</v>
      </c>
      <c r="D3426" s="169" t="s">
        <v>1289</v>
      </c>
      <c r="E3426" s="103" t="s">
        <v>30926</v>
      </c>
      <c r="F3426" s="104"/>
      <c r="G3426" s="105">
        <f t="shared" si="212"/>
        <v>290.81</v>
      </c>
      <c r="H3426" s="101" t="str">
        <f t="shared" si="213"/>
        <v>Sinapi 38181</v>
      </c>
      <c r="I3426" s="101" t="str">
        <f t="shared" si="214"/>
        <v>M2</v>
      </c>
      <c r="J3426" s="140" t="str">
        <f t="shared" si="215"/>
        <v>PISO TATIL ALERTA OU DIRECIONAL, DE BORRACHA, COLORIDO, 25 X 25 CM, E = 5 MM, PARA COLA</v>
      </c>
    </row>
    <row r="3427" spans="1:10" x14ac:dyDescent="0.25">
      <c r="A3427" s="169">
        <v>38182</v>
      </c>
      <c r="B3427" s="169" t="s">
        <v>26903</v>
      </c>
      <c r="C3427" s="169" t="s">
        <v>10226</v>
      </c>
      <c r="D3427" s="169" t="s">
        <v>1289</v>
      </c>
      <c r="E3427" s="103" t="s">
        <v>30927</v>
      </c>
      <c r="F3427" s="104"/>
      <c r="G3427" s="105">
        <f t="shared" si="212"/>
        <v>277.01</v>
      </c>
      <c r="H3427" s="101" t="str">
        <f t="shared" si="213"/>
        <v>Sinapi 38182</v>
      </c>
      <c r="I3427" s="101" t="str">
        <f t="shared" si="214"/>
        <v>M2</v>
      </c>
      <c r="J3427" s="140" t="str">
        <f t="shared" si="215"/>
        <v>PISO TATIL DE ALERTA OU DIRECIONAL DE BORRACHA, PRETO, 25 X 25 CM, E = 5 MM, PARA COLA</v>
      </c>
    </row>
    <row r="3428" spans="1:10" x14ac:dyDescent="0.25">
      <c r="A3428" s="169">
        <v>38186</v>
      </c>
      <c r="B3428" s="169" t="s">
        <v>26904</v>
      </c>
      <c r="C3428" s="169" t="s">
        <v>10226</v>
      </c>
      <c r="D3428" s="169" t="s">
        <v>1289</v>
      </c>
      <c r="E3428" s="103" t="s">
        <v>30928</v>
      </c>
      <c r="F3428" s="104"/>
      <c r="G3428" s="105">
        <f t="shared" si="212"/>
        <v>720.04</v>
      </c>
      <c r="H3428" s="101" t="str">
        <f t="shared" si="213"/>
        <v>Sinapi 38186</v>
      </c>
      <c r="I3428" s="101" t="str">
        <f t="shared" si="214"/>
        <v>M2</v>
      </c>
      <c r="J3428" s="140" t="str">
        <f t="shared" si="215"/>
        <v>PISO TATIL DE ALERTA OU DIRECIONAL, DE BORRACHA, COLORIDO, 25 X 25 CM, E = 12 MM, PARA ARGAMASSA</v>
      </c>
    </row>
    <row r="3429" spans="1:10" x14ac:dyDescent="0.25">
      <c r="A3429" s="169">
        <v>38185</v>
      </c>
      <c r="B3429" s="169" t="s">
        <v>26905</v>
      </c>
      <c r="C3429" s="169" t="s">
        <v>10226</v>
      </c>
      <c r="D3429" s="169" t="s">
        <v>1289</v>
      </c>
      <c r="E3429" s="103" t="s">
        <v>30929</v>
      </c>
      <c r="F3429" s="104"/>
      <c r="G3429" s="105">
        <f t="shared" si="212"/>
        <v>641.09</v>
      </c>
      <c r="H3429" s="101" t="str">
        <f t="shared" si="213"/>
        <v>Sinapi 38185</v>
      </c>
      <c r="I3429" s="101" t="str">
        <f t="shared" si="214"/>
        <v>M2</v>
      </c>
      <c r="J3429" s="140" t="str">
        <f t="shared" si="215"/>
        <v>PISO TATIL DE ALERTA OU DIRECIONAL, DE BORRACHA, PRETO, 25 X 25 CM, E = 12 MM, PARA ARGAMASSA</v>
      </c>
    </row>
    <row r="3430" spans="1:10" x14ac:dyDescent="0.25">
      <c r="A3430" s="169">
        <v>40654</v>
      </c>
      <c r="B3430" s="169" t="s">
        <v>26906</v>
      </c>
      <c r="C3430" s="169" t="s">
        <v>10226</v>
      </c>
      <c r="D3430" s="169" t="s">
        <v>1290</v>
      </c>
      <c r="E3430" s="103" t="s">
        <v>21456</v>
      </c>
      <c r="F3430" s="104"/>
      <c r="G3430" s="105">
        <f t="shared" si="212"/>
        <v>202.24</v>
      </c>
      <c r="H3430" s="101" t="str">
        <f t="shared" si="213"/>
        <v>Sinapi 40654</v>
      </c>
      <c r="I3430" s="101" t="str">
        <f t="shared" si="214"/>
        <v>M2</v>
      </c>
      <c r="J3430" s="140" t="str">
        <f t="shared" si="215"/>
        <v>PISO URETANO, VERSAO REVESTIMENTO AUTONIVELANTE, ESPESSURA VARIÁVEL DE 3 A 4 MM (INCLUSO EXECUCAO)</v>
      </c>
    </row>
    <row r="3431" spans="1:10" x14ac:dyDescent="0.25">
      <c r="A3431" s="169">
        <v>44541</v>
      </c>
      <c r="B3431" s="169" t="s">
        <v>26907</v>
      </c>
      <c r="C3431" s="169" t="s">
        <v>10226</v>
      </c>
      <c r="D3431" s="169" t="s">
        <v>1289</v>
      </c>
      <c r="E3431" s="103" t="s">
        <v>30930</v>
      </c>
      <c r="F3431" s="104"/>
      <c r="G3431" s="105">
        <f t="shared" si="212"/>
        <v>637.30999999999995</v>
      </c>
      <c r="H3431" s="101" t="str">
        <f t="shared" si="213"/>
        <v>Sinapi 44541</v>
      </c>
      <c r="I3431" s="101" t="str">
        <f t="shared" si="214"/>
        <v>M2</v>
      </c>
      <c r="J3431" s="140" t="str">
        <f t="shared" si="215"/>
        <v>PISO/ REVESTIMENTO EM GRANITO, POLIDO, TIPO ANDORINHA/ QUARTZ/ CASTELO/ CORUMBA OU OUTROS EQUIVALENTES DA REGIAO, FORMATO MAIOR OU IGUAL A 3025 CM2, E = *2*CM</v>
      </c>
    </row>
    <row r="3432" spans="1:10" x14ac:dyDescent="0.25">
      <c r="A3432" s="169">
        <v>4822</v>
      </c>
      <c r="B3432" s="169" t="s">
        <v>26908</v>
      </c>
      <c r="C3432" s="169" t="s">
        <v>10226</v>
      </c>
      <c r="D3432" s="169" t="s">
        <v>1289</v>
      </c>
      <c r="E3432" s="103" t="s">
        <v>30931</v>
      </c>
      <c r="F3432" s="104"/>
      <c r="G3432" s="105">
        <f t="shared" si="212"/>
        <v>729.67</v>
      </c>
      <c r="H3432" s="101" t="str">
        <f t="shared" si="213"/>
        <v>Sinapi 4822</v>
      </c>
      <c r="I3432" s="101" t="str">
        <f t="shared" si="214"/>
        <v>M2</v>
      </c>
      <c r="J3432" s="140" t="str">
        <f t="shared" si="215"/>
        <v>PISO/ REVESTIMENTO EM MARMORE, POLIDO, BRANCO COMUM, FORMATO MAIOR OU IGUAL A 3025 CM2, E = *2* CM</v>
      </c>
    </row>
    <row r="3433" spans="1:10" x14ac:dyDescent="0.25">
      <c r="A3433" s="169">
        <v>4818</v>
      </c>
      <c r="B3433" s="169" t="s">
        <v>26909</v>
      </c>
      <c r="C3433" s="169" t="s">
        <v>10226</v>
      </c>
      <c r="D3433" s="169" t="s">
        <v>1288</v>
      </c>
      <c r="E3433" s="103" t="s">
        <v>30932</v>
      </c>
      <c r="F3433" s="104"/>
      <c r="G3433" s="105">
        <f t="shared" si="212"/>
        <v>750</v>
      </c>
      <c r="H3433" s="101" t="str">
        <f t="shared" si="213"/>
        <v>Sinapi 4818</v>
      </c>
      <c r="I3433" s="101" t="str">
        <f t="shared" si="214"/>
        <v>M2</v>
      </c>
      <c r="J3433" s="140" t="str">
        <f t="shared" si="215"/>
        <v>PISO/ REVESTIMENTO EM MARMORE, POLIDO, BRANCO COMUM, FORMATO MENOR OU IGUAL A 3025 CM2, E = *2* CM</v>
      </c>
    </row>
    <row r="3434" spans="1:10" x14ac:dyDescent="0.25">
      <c r="A3434" s="169">
        <v>39567</v>
      </c>
      <c r="B3434" s="169" t="s">
        <v>26910</v>
      </c>
      <c r="C3434" s="169" t="s">
        <v>10226</v>
      </c>
      <c r="D3434" s="169" t="s">
        <v>1289</v>
      </c>
      <c r="E3434" s="103" t="s">
        <v>29164</v>
      </c>
      <c r="F3434" s="104"/>
      <c r="G3434" s="105">
        <f t="shared" si="212"/>
        <v>71.45</v>
      </c>
      <c r="H3434" s="101" t="str">
        <f t="shared" si="213"/>
        <v>Sinapi 39567</v>
      </c>
      <c r="I3434" s="101" t="str">
        <f t="shared" si="214"/>
        <v>M2</v>
      </c>
      <c r="J3434" s="140" t="str">
        <f t="shared" si="215"/>
        <v>PLACA / CHAPA DE GESSO ACARTONADO, ACABAMENTO VINILICO LISO EM UMA DAS FACES, COR BRANCA, BORDA QUADRADA, E = 9,5 MM, *625 X 1250* MM (L X C), PARA FORRO REMOVIVEL</v>
      </c>
    </row>
    <row r="3435" spans="1:10" x14ac:dyDescent="0.25">
      <c r="A3435" s="169">
        <v>39566</v>
      </c>
      <c r="B3435" s="169" t="s">
        <v>26911</v>
      </c>
      <c r="C3435" s="169" t="s">
        <v>10226</v>
      </c>
      <c r="D3435" s="169" t="s">
        <v>1289</v>
      </c>
      <c r="E3435" s="103" t="s">
        <v>23105</v>
      </c>
      <c r="F3435" s="104"/>
      <c r="G3435" s="105">
        <f t="shared" si="212"/>
        <v>75.62</v>
      </c>
      <c r="H3435" s="101" t="str">
        <f t="shared" si="213"/>
        <v>Sinapi 39566</v>
      </c>
      <c r="I3435" s="101" t="str">
        <f t="shared" si="214"/>
        <v>M2</v>
      </c>
      <c r="J3435" s="140" t="str">
        <f t="shared" si="215"/>
        <v>PLACA / CHAPA DE GESSO ACARTONADO, ACABAMENTO VINILICO LISO EM UMA DAS FACES, COR BRANCA, BORDA QUADRADA, E = 9,5 MM, *625 X 625* MM (L X C), PARA FORRO REMOVIVEL</v>
      </c>
    </row>
    <row r="3436" spans="1:10" x14ac:dyDescent="0.25">
      <c r="A3436" s="169">
        <v>39416</v>
      </c>
      <c r="B3436" s="169" t="s">
        <v>26912</v>
      </c>
      <c r="C3436" s="169" t="s">
        <v>10226</v>
      </c>
      <c r="D3436" s="169" t="s">
        <v>1289</v>
      </c>
      <c r="E3436" s="103" t="s">
        <v>21485</v>
      </c>
      <c r="F3436" s="104"/>
      <c r="G3436" s="105">
        <f t="shared" si="212"/>
        <v>46.09</v>
      </c>
      <c r="H3436" s="101" t="str">
        <f t="shared" si="213"/>
        <v>Sinapi 39416</v>
      </c>
      <c r="I3436" s="101" t="str">
        <f t="shared" si="214"/>
        <v>M2</v>
      </c>
      <c r="J3436" s="140" t="str">
        <f t="shared" si="215"/>
        <v>PLACA / CHAPA DE GESSO ACARTONADO, RESISTENTE A UMIDADE (RU), COR VERDE, E = 12,5 MM, 1200 X 1800 MM (L X C)</v>
      </c>
    </row>
    <row r="3437" spans="1:10" x14ac:dyDescent="0.25">
      <c r="A3437" s="169">
        <v>39417</v>
      </c>
      <c r="B3437" s="169" t="s">
        <v>26913</v>
      </c>
      <c r="C3437" s="169" t="s">
        <v>10226</v>
      </c>
      <c r="D3437" s="169" t="s">
        <v>1289</v>
      </c>
      <c r="E3437" s="103" t="s">
        <v>23732</v>
      </c>
      <c r="F3437" s="104"/>
      <c r="G3437" s="105">
        <f t="shared" si="212"/>
        <v>44.95</v>
      </c>
      <c r="H3437" s="101" t="str">
        <f t="shared" si="213"/>
        <v>Sinapi 39417</v>
      </c>
      <c r="I3437" s="101" t="str">
        <f t="shared" si="214"/>
        <v>M2</v>
      </c>
      <c r="J3437" s="140" t="str">
        <f t="shared" si="215"/>
        <v>PLACA / CHAPA DE GESSO ACARTONADO, RESISTENTE A UMIDADE (RU), COR VERDE, E = 12,5 MM, 1200 X 2400 MM (L X C)</v>
      </c>
    </row>
    <row r="3438" spans="1:10" x14ac:dyDescent="0.25">
      <c r="A3438" s="169">
        <v>43742</v>
      </c>
      <c r="B3438" s="169" t="s">
        <v>26914</v>
      </c>
      <c r="C3438" s="169" t="s">
        <v>10226</v>
      </c>
      <c r="D3438" s="169" t="s">
        <v>1289</v>
      </c>
      <c r="E3438" s="103" t="s">
        <v>30933</v>
      </c>
      <c r="F3438" s="104"/>
      <c r="G3438" s="105">
        <f t="shared" si="212"/>
        <v>48.49</v>
      </c>
      <c r="H3438" s="101" t="str">
        <f t="shared" si="213"/>
        <v>Sinapi 43742</v>
      </c>
      <c r="I3438" s="101" t="str">
        <f t="shared" si="214"/>
        <v>M2</v>
      </c>
      <c r="J3438" s="140" t="str">
        <f t="shared" si="215"/>
        <v>PLACA / CHAPA DE GESSO ACARTONADO, RESISTENTE A UMIDADE (RU), COR VERDE, E = 15 MM, 1200 X 2400 MM (L X C)</v>
      </c>
    </row>
    <row r="3439" spans="1:10" x14ac:dyDescent="0.25">
      <c r="A3439" s="169">
        <v>39414</v>
      </c>
      <c r="B3439" s="169" t="s">
        <v>26915</v>
      </c>
      <c r="C3439" s="169" t="s">
        <v>10226</v>
      </c>
      <c r="D3439" s="169" t="s">
        <v>1289</v>
      </c>
      <c r="E3439" s="103" t="s">
        <v>29035</v>
      </c>
      <c r="F3439" s="104"/>
      <c r="G3439" s="105">
        <f t="shared" si="212"/>
        <v>43.65</v>
      </c>
      <c r="H3439" s="101" t="str">
        <f t="shared" si="213"/>
        <v>Sinapi 39414</v>
      </c>
      <c r="I3439" s="101" t="str">
        <f t="shared" si="214"/>
        <v>M2</v>
      </c>
      <c r="J3439" s="140" t="str">
        <f t="shared" si="215"/>
        <v>PLACA / CHAPA DE GESSO ACARTONADO, RESISTENTE AO FOGO (RF), COR ROSA, E = 12,5 MM, 1200 X 1800 MM (L X C)</v>
      </c>
    </row>
    <row r="3440" spans="1:10" x14ac:dyDescent="0.25">
      <c r="A3440" s="169">
        <v>39415</v>
      </c>
      <c r="B3440" s="169" t="s">
        <v>26916</v>
      </c>
      <c r="C3440" s="169" t="s">
        <v>10226</v>
      </c>
      <c r="D3440" s="169" t="s">
        <v>1289</v>
      </c>
      <c r="E3440" s="103" t="s">
        <v>23073</v>
      </c>
      <c r="F3440" s="104"/>
      <c r="G3440" s="105">
        <f t="shared" si="212"/>
        <v>37.619999999999997</v>
      </c>
      <c r="H3440" s="101" t="str">
        <f t="shared" si="213"/>
        <v>Sinapi 39415</v>
      </c>
      <c r="I3440" s="101" t="str">
        <f t="shared" si="214"/>
        <v>M2</v>
      </c>
      <c r="J3440" s="140" t="str">
        <f t="shared" si="215"/>
        <v>PLACA / CHAPA DE GESSO ACARTONADO, RESISTENTE AO FOGO (RF), COR ROSA, E = 12,5 MM, 1200 X 2400 MM (L X C)</v>
      </c>
    </row>
    <row r="3441" spans="1:10" x14ac:dyDescent="0.25">
      <c r="A3441" s="169">
        <v>43740</v>
      </c>
      <c r="B3441" s="169" t="s">
        <v>26917</v>
      </c>
      <c r="C3441" s="169" t="s">
        <v>10226</v>
      </c>
      <c r="D3441" s="169" t="s">
        <v>1289</v>
      </c>
      <c r="E3441" s="103" t="s">
        <v>21977</v>
      </c>
      <c r="F3441" s="104"/>
      <c r="G3441" s="105">
        <f t="shared" si="212"/>
        <v>45.95</v>
      </c>
      <c r="H3441" s="101" t="str">
        <f t="shared" si="213"/>
        <v>Sinapi 43740</v>
      </c>
      <c r="I3441" s="101" t="str">
        <f t="shared" si="214"/>
        <v>M2</v>
      </c>
      <c r="J3441" s="140" t="str">
        <f t="shared" si="215"/>
        <v>PLACA / CHAPA DE GESSO ACARTONADO, RESISTENTE AO FOGO (RF), COR ROSA, E = 15 MM, 1200 X 2400 MM (L X C)</v>
      </c>
    </row>
    <row r="3442" spans="1:10" x14ac:dyDescent="0.25">
      <c r="A3442" s="169">
        <v>39412</v>
      </c>
      <c r="B3442" s="169" t="s">
        <v>26918</v>
      </c>
      <c r="C3442" s="169" t="s">
        <v>10226</v>
      </c>
      <c r="D3442" s="169" t="s">
        <v>1288</v>
      </c>
      <c r="E3442" s="103" t="s">
        <v>30934</v>
      </c>
      <c r="F3442" s="104"/>
      <c r="G3442" s="105">
        <f t="shared" si="212"/>
        <v>31.51</v>
      </c>
      <c r="H3442" s="101" t="str">
        <f t="shared" si="213"/>
        <v>Sinapi 39412</v>
      </c>
      <c r="I3442" s="101" t="str">
        <f t="shared" si="214"/>
        <v>M2</v>
      </c>
      <c r="J3442" s="140" t="str">
        <f t="shared" si="215"/>
        <v>PLACA / CHAPA DE GESSO ACARTONADO, STANDARD (ST), COR BRANCA, E = 12,5 MM, 1200 X 1800 MM (L X C)</v>
      </c>
    </row>
    <row r="3443" spans="1:10" x14ac:dyDescent="0.25">
      <c r="A3443" s="169">
        <v>39413</v>
      </c>
      <c r="B3443" s="169" t="s">
        <v>11619</v>
      </c>
      <c r="C3443" s="169" t="s">
        <v>10226</v>
      </c>
      <c r="D3443" s="169" t="s">
        <v>1289</v>
      </c>
      <c r="E3443" s="103" t="s">
        <v>30935</v>
      </c>
      <c r="F3443" s="104"/>
      <c r="G3443" s="105">
        <f t="shared" si="212"/>
        <v>34.07</v>
      </c>
      <c r="H3443" s="101" t="str">
        <f t="shared" si="213"/>
        <v>Sinapi 39413</v>
      </c>
      <c r="I3443" s="101" t="str">
        <f t="shared" si="214"/>
        <v>M2</v>
      </c>
      <c r="J3443" s="140" t="str">
        <f t="shared" si="215"/>
        <v>PLACA / CHAPA DE GESSO ACARTONADO, STANDARD (ST), COR BRANCA, E = 12,5 MM, 1200 X 2400 MM (L X C)</v>
      </c>
    </row>
    <row r="3444" spans="1:10" x14ac:dyDescent="0.25">
      <c r="A3444" s="169">
        <v>43741</v>
      </c>
      <c r="B3444" s="169" t="s">
        <v>26919</v>
      </c>
      <c r="C3444" s="169" t="s">
        <v>10226</v>
      </c>
      <c r="D3444" s="169" t="s">
        <v>1289</v>
      </c>
      <c r="E3444" s="103" t="s">
        <v>22730</v>
      </c>
      <c r="F3444" s="104"/>
      <c r="G3444" s="105">
        <f t="shared" si="212"/>
        <v>36.33</v>
      </c>
      <c r="H3444" s="101" t="str">
        <f t="shared" si="213"/>
        <v>Sinapi 43741</v>
      </c>
      <c r="I3444" s="101" t="str">
        <f t="shared" si="214"/>
        <v>M2</v>
      </c>
      <c r="J3444" s="140" t="str">
        <f t="shared" si="215"/>
        <v>PLACA / CHAPA DE GESSO ACARTONADO, STANDARD (ST), COR BRANCA, E = 15 MM, 1200 X 2400 MM (L X C)</v>
      </c>
    </row>
    <row r="3445" spans="1:10" x14ac:dyDescent="0.25">
      <c r="A3445" s="169">
        <v>11062</v>
      </c>
      <c r="B3445" s="169" t="s">
        <v>26920</v>
      </c>
      <c r="C3445" s="169" t="s">
        <v>10226</v>
      </c>
      <c r="D3445" s="169" t="s">
        <v>1289</v>
      </c>
      <c r="E3445" s="103" t="s">
        <v>29451</v>
      </c>
      <c r="F3445" s="104"/>
      <c r="G3445" s="105">
        <f t="shared" si="212"/>
        <v>71.790000000000006</v>
      </c>
      <c r="H3445" s="101" t="str">
        <f t="shared" si="213"/>
        <v>Sinapi 11062</v>
      </c>
      <c r="I3445" s="101" t="str">
        <f t="shared" si="214"/>
        <v>M2</v>
      </c>
      <c r="J3445" s="140" t="str">
        <f t="shared" si="215"/>
        <v>PLACA CIMENTICIA LISA E = 10 MM, DE 1,20 X *2,50* M (SEM AMIANTO)</v>
      </c>
    </row>
    <row r="3446" spans="1:10" x14ac:dyDescent="0.25">
      <c r="A3446" s="169">
        <v>11063</v>
      </c>
      <c r="B3446" s="169" t="s">
        <v>26921</v>
      </c>
      <c r="C3446" s="169" t="s">
        <v>10226</v>
      </c>
      <c r="D3446" s="169" t="s">
        <v>1289</v>
      </c>
      <c r="E3446" s="103" t="s">
        <v>30936</v>
      </c>
      <c r="F3446" s="104"/>
      <c r="G3446" s="105">
        <f t="shared" si="212"/>
        <v>43.94</v>
      </c>
      <c r="H3446" s="101" t="str">
        <f t="shared" si="213"/>
        <v>Sinapi 11063</v>
      </c>
      <c r="I3446" s="101" t="str">
        <f t="shared" si="214"/>
        <v>M2</v>
      </c>
      <c r="J3446" s="140" t="str">
        <f t="shared" si="215"/>
        <v>PLACA CIMENTICIA LISA E = 6 MM, DE 1,20 X *2,50* M (SEM AMIANTO)</v>
      </c>
    </row>
    <row r="3447" spans="1:10" x14ac:dyDescent="0.25">
      <c r="A3447" s="169">
        <v>13521</v>
      </c>
      <c r="B3447" s="169" t="s">
        <v>26922</v>
      </c>
      <c r="C3447" s="169" t="s">
        <v>10225</v>
      </c>
      <c r="D3447" s="169" t="s">
        <v>1290</v>
      </c>
      <c r="E3447" s="103" t="s">
        <v>21072</v>
      </c>
      <c r="F3447" s="104"/>
      <c r="G3447" s="105">
        <f t="shared" si="212"/>
        <v>82.5</v>
      </c>
      <c r="H3447" s="101" t="str">
        <f t="shared" si="213"/>
        <v>Sinapi 13521</v>
      </c>
      <c r="I3447" s="101" t="str">
        <f t="shared" si="214"/>
        <v>UN</v>
      </c>
      <c r="J3447" s="140" t="str">
        <f t="shared" si="215"/>
        <v>PLACA DE ACO ESMALTADA PARA IDENTIFICACAO DE RUA, *45 CM X 20* CM</v>
      </c>
    </row>
    <row r="3448" spans="1:10" x14ac:dyDescent="0.25">
      <c r="A3448" s="169">
        <v>10851</v>
      </c>
      <c r="B3448" s="169" t="s">
        <v>26923</v>
      </c>
      <c r="C3448" s="169" t="s">
        <v>10225</v>
      </c>
      <c r="D3448" s="169" t="s">
        <v>1290</v>
      </c>
      <c r="E3448" s="103" t="s">
        <v>26924</v>
      </c>
      <c r="F3448" s="104"/>
      <c r="G3448" s="105">
        <f t="shared" si="212"/>
        <v>82.56</v>
      </c>
      <c r="H3448" s="101" t="str">
        <f t="shared" si="213"/>
        <v>Sinapi 10851</v>
      </c>
      <c r="I3448" s="101" t="str">
        <f t="shared" si="214"/>
        <v>UN</v>
      </c>
      <c r="J3448" s="140" t="str">
        <f t="shared" si="215"/>
        <v>PLACA DE ACRILICO TRANSPARENTE ADESIVADA PARA SINALIZACAO DE PORTAS, BORDA POLIDA, DE *25 X 8*, E = 6 MM (NAO INCLUI ACESSORIOS PARA FIXACAO)</v>
      </c>
    </row>
    <row r="3449" spans="1:10" x14ac:dyDescent="0.25">
      <c r="A3449" s="169">
        <v>39515</v>
      </c>
      <c r="B3449" s="169" t="s">
        <v>26925</v>
      </c>
      <c r="C3449" s="169" t="s">
        <v>10225</v>
      </c>
      <c r="D3449" s="169" t="s">
        <v>1290</v>
      </c>
      <c r="E3449" s="103" t="s">
        <v>30937</v>
      </c>
      <c r="F3449" s="104"/>
      <c r="G3449" s="105">
        <f t="shared" si="212"/>
        <v>51.38</v>
      </c>
      <c r="H3449" s="101" t="str">
        <f t="shared" si="213"/>
        <v>Sinapi 39515</v>
      </c>
      <c r="I3449" s="101" t="str">
        <f t="shared" si="214"/>
        <v>UN</v>
      </c>
      <c r="J3449" s="140" t="str">
        <f t="shared" si="215"/>
        <v>PLACA DE FIBRA MINERAL PARA FORRO, DE 1250 X 625 MM, E = 15 MM, BORDA RETA, COM PINTURA ANTIMOFO (NAO INCLUI PERFIS)</v>
      </c>
    </row>
    <row r="3450" spans="1:10" x14ac:dyDescent="0.25">
      <c r="A3450" s="169">
        <v>39516</v>
      </c>
      <c r="B3450" s="169" t="s">
        <v>26926</v>
      </c>
      <c r="C3450" s="169" t="s">
        <v>10225</v>
      </c>
      <c r="D3450" s="169" t="s">
        <v>1290</v>
      </c>
      <c r="E3450" s="103" t="s">
        <v>28238</v>
      </c>
      <c r="F3450" s="104"/>
      <c r="G3450" s="105">
        <f t="shared" si="212"/>
        <v>43.32</v>
      </c>
      <c r="H3450" s="101" t="str">
        <f t="shared" si="213"/>
        <v>Sinapi 39516</v>
      </c>
      <c r="I3450" s="101" t="str">
        <f t="shared" si="214"/>
        <v>UN</v>
      </c>
      <c r="J3450" s="140" t="str">
        <f t="shared" si="215"/>
        <v>PLACA DE FIBRA MINERAL PARA FORRO, DE 625 X 625 MM, E = 15 MM, BORDA REBAIXADA PARA PERFIL 24 MM, COM PINTURA ANTIMOFO (NAO INCLUI PERFIS)</v>
      </c>
    </row>
    <row r="3451" spans="1:10" x14ac:dyDescent="0.25">
      <c r="A3451" s="169">
        <v>39514</v>
      </c>
      <c r="B3451" s="169" t="s">
        <v>26928</v>
      </c>
      <c r="C3451" s="169" t="s">
        <v>10225</v>
      </c>
      <c r="D3451" s="169" t="s">
        <v>1290</v>
      </c>
      <c r="E3451" s="103" t="s">
        <v>23005</v>
      </c>
      <c r="F3451" s="104"/>
      <c r="G3451" s="105">
        <f t="shared" si="212"/>
        <v>26.95</v>
      </c>
      <c r="H3451" s="101" t="str">
        <f t="shared" si="213"/>
        <v>Sinapi 39514</v>
      </c>
      <c r="I3451" s="101" t="str">
        <f t="shared" si="214"/>
        <v>UN</v>
      </c>
      <c r="J3451" s="140" t="str">
        <f t="shared" si="215"/>
        <v>PLACA DE FIBRA MINERAL PARA FORRO, DE 625 X 625 MM, E = 15 MM, BORDA RETA, COM PINTURA ANTIMOFO (NAO INCLUI PERFIS)</v>
      </c>
    </row>
    <row r="3452" spans="1:10" x14ac:dyDescent="0.25">
      <c r="A3452" s="169">
        <v>4812</v>
      </c>
      <c r="B3452" s="169" t="s">
        <v>11620</v>
      </c>
      <c r="C3452" s="169" t="s">
        <v>10226</v>
      </c>
      <c r="D3452" s="169" t="s">
        <v>1289</v>
      </c>
      <c r="E3452" s="103" t="s">
        <v>22824</v>
      </c>
      <c r="F3452" s="104"/>
      <c r="G3452" s="105">
        <f t="shared" si="212"/>
        <v>18.899999999999999</v>
      </c>
      <c r="H3452" s="101" t="str">
        <f t="shared" si="213"/>
        <v>Sinapi 4812</v>
      </c>
      <c r="I3452" s="101" t="str">
        <f t="shared" si="214"/>
        <v>M2</v>
      </c>
      <c r="J3452" s="140" t="str">
        <f t="shared" si="215"/>
        <v>PLACA DE GESSO PARA FORRO, *60 X 60* CM, ESPESSURA DE 12 MM (SEM COLOCACAO)</v>
      </c>
    </row>
    <row r="3453" spans="1:10" x14ac:dyDescent="0.25">
      <c r="A3453" s="169">
        <v>10849</v>
      </c>
      <c r="B3453" s="169" t="s">
        <v>26929</v>
      </c>
      <c r="C3453" s="169" t="s">
        <v>10225</v>
      </c>
      <c r="D3453" s="169" t="s">
        <v>1290</v>
      </c>
      <c r="E3453" s="103" t="s">
        <v>21073</v>
      </c>
      <c r="F3453" s="104"/>
      <c r="G3453" s="105">
        <f t="shared" si="212"/>
        <v>1200.01</v>
      </c>
      <c r="H3453" s="101" t="str">
        <f t="shared" si="213"/>
        <v>Sinapi 10849</v>
      </c>
      <c r="I3453" s="101" t="str">
        <f t="shared" si="214"/>
        <v>UN</v>
      </c>
      <c r="J3453" s="140" t="str">
        <f t="shared" si="215"/>
        <v>PLACA DE INAUGURACAO EM BRONZE *35X 50*CM</v>
      </c>
    </row>
    <row r="3454" spans="1:10" x14ac:dyDescent="0.25">
      <c r="A3454" s="169">
        <v>10848</v>
      </c>
      <c r="B3454" s="169" t="s">
        <v>26930</v>
      </c>
      <c r="C3454" s="169" t="s">
        <v>10225</v>
      </c>
      <c r="D3454" s="169" t="s">
        <v>1290</v>
      </c>
      <c r="E3454" s="103" t="s">
        <v>20631</v>
      </c>
      <c r="F3454" s="104"/>
      <c r="G3454" s="105">
        <f t="shared" si="212"/>
        <v>753.75</v>
      </c>
      <c r="H3454" s="101" t="str">
        <f t="shared" si="213"/>
        <v>Sinapi 10848</v>
      </c>
      <c r="I3454" s="101" t="str">
        <f t="shared" si="214"/>
        <v>UN</v>
      </c>
      <c r="J3454" s="140" t="str">
        <f t="shared" si="215"/>
        <v>PLACA DE INAUGURACAO METALICA, *40* CM X *60* CM</v>
      </c>
    </row>
    <row r="3455" spans="1:10" x14ac:dyDescent="0.25">
      <c r="A3455" s="169">
        <v>4813</v>
      </c>
      <c r="B3455" s="169" t="s">
        <v>26931</v>
      </c>
      <c r="C3455" s="169" t="s">
        <v>10226</v>
      </c>
      <c r="D3455" s="169" t="s">
        <v>1290</v>
      </c>
      <c r="E3455" s="103" t="s">
        <v>21074</v>
      </c>
      <c r="F3455" s="104"/>
      <c r="G3455" s="105">
        <f t="shared" si="212"/>
        <v>250</v>
      </c>
      <c r="H3455" s="101" t="str">
        <f t="shared" si="213"/>
        <v>Sinapi 4813</v>
      </c>
      <c r="I3455" s="101" t="str">
        <f t="shared" si="214"/>
        <v>M2</v>
      </c>
      <c r="J3455" s="140" t="str">
        <f t="shared" si="215"/>
        <v>PLACA DE OBRA (PARA CONSTRUCAO CIVIL) EM CHAPA GALVANIZADA *N. 22*, ADESIVADA, DE *2,4 X 1,2* M (SEM POSTES PARA FIXACAO)</v>
      </c>
    </row>
    <row r="3456" spans="1:10" x14ac:dyDescent="0.25">
      <c r="A3456" s="169">
        <v>37560</v>
      </c>
      <c r="B3456" s="169" t="s">
        <v>26932</v>
      </c>
      <c r="C3456" s="169" t="s">
        <v>10225</v>
      </c>
      <c r="D3456" s="169" t="s">
        <v>1290</v>
      </c>
      <c r="E3456" s="103" t="s">
        <v>30938</v>
      </c>
      <c r="F3456" s="104"/>
      <c r="G3456" s="105">
        <f t="shared" si="212"/>
        <v>43.39</v>
      </c>
      <c r="H3456" s="101" t="str">
        <f t="shared" si="213"/>
        <v>Sinapi 37560</v>
      </c>
      <c r="I3456" s="101" t="str">
        <f t="shared" si="214"/>
        <v>UN</v>
      </c>
      <c r="J3456" s="140" t="str">
        <f t="shared" si="215"/>
        <v>PLACA DE SINALIZACAO DE SEGURANCA CONTRA INCENDIO - ALERTA, TRIANGULAR, BASE DE *30* CM, EM PVC *2* MM ANTI-CHAMAS (SIMBOLOS, CORES E PICTOGRAMAS CONFORME NBR 16820)</v>
      </c>
    </row>
    <row r="3457" spans="1:10" x14ac:dyDescent="0.25">
      <c r="A3457" s="169">
        <v>37557</v>
      </c>
      <c r="B3457" s="169" t="s">
        <v>26933</v>
      </c>
      <c r="C3457" s="169" t="s">
        <v>10225</v>
      </c>
      <c r="D3457" s="169" t="s">
        <v>1290</v>
      </c>
      <c r="E3457" s="103" t="s">
        <v>13650</v>
      </c>
      <c r="F3457" s="104"/>
      <c r="G3457" s="105">
        <f t="shared" si="212"/>
        <v>13.17</v>
      </c>
      <c r="H3457" s="101" t="str">
        <f t="shared" si="213"/>
        <v>Sinapi 37557</v>
      </c>
      <c r="I3457" s="101" t="str">
        <f t="shared" si="214"/>
        <v>UN</v>
      </c>
      <c r="J3457" s="140" t="str">
        <f t="shared" si="215"/>
        <v>PLACA DE SINALIZACAO DE SEGURANCA CONTRA INCENDIO, FOTOLUMINESCENTE, QUADRADA, *14 X 14* CM, EM PVC *2* MM ANTI-CHAMAS (SIMBOLOS, CORES E PICTOGRAMAS CONFORME NBR 16820)</v>
      </c>
    </row>
    <row r="3458" spans="1:10" x14ac:dyDescent="0.25">
      <c r="A3458" s="169">
        <v>37556</v>
      </c>
      <c r="B3458" s="169" t="s">
        <v>26934</v>
      </c>
      <c r="C3458" s="169" t="s">
        <v>10225</v>
      </c>
      <c r="D3458" s="169" t="s">
        <v>1290</v>
      </c>
      <c r="E3458" s="103" t="s">
        <v>30939</v>
      </c>
      <c r="F3458" s="104"/>
      <c r="G3458" s="105">
        <f t="shared" si="212"/>
        <v>25.49</v>
      </c>
      <c r="H3458" s="101" t="str">
        <f t="shared" si="213"/>
        <v>Sinapi 37556</v>
      </c>
      <c r="I3458" s="101" t="str">
        <f t="shared" si="214"/>
        <v>UN</v>
      </c>
      <c r="J3458" s="140" t="str">
        <f t="shared" si="215"/>
        <v>PLACA DE SINALIZACAO DE SEGURANCA CONTRA INCENDIO, FOTOLUMINESCENTE, QUADRADA, *20 X 20* CM, EM PVC *2* MM ANTI-CHAMAS (SIMBOLOS, CORES E PICTOGRAMAS CONFORME NBR 16820)</v>
      </c>
    </row>
    <row r="3459" spans="1:10" x14ac:dyDescent="0.25">
      <c r="A3459" s="169">
        <v>37559</v>
      </c>
      <c r="B3459" s="169" t="s">
        <v>26935</v>
      </c>
      <c r="C3459" s="169" t="s">
        <v>10225</v>
      </c>
      <c r="D3459" s="169" t="s">
        <v>1290</v>
      </c>
      <c r="E3459" s="103" t="s">
        <v>29367</v>
      </c>
      <c r="F3459" s="104"/>
      <c r="G3459" s="105">
        <f t="shared" si="212"/>
        <v>31.27</v>
      </c>
      <c r="H3459" s="101" t="str">
        <f t="shared" si="213"/>
        <v>Sinapi 37559</v>
      </c>
      <c r="I3459" s="101" t="str">
        <f t="shared" si="214"/>
        <v>UN</v>
      </c>
      <c r="J3459" s="140" t="str">
        <f t="shared" si="215"/>
        <v>PLACA DE SINALIZACAO DE SEGURANCA CONTRA INCENDIO, FOTOLUMINESCENTE, RETANGULAR, *12 X 40* CM, EM PVC *2* MM ANTI-CHAMAS (SIMBOLOS, CORES E PICTOGRAMAS CONFORME NBR 16820)</v>
      </c>
    </row>
    <row r="3460" spans="1:10" x14ac:dyDescent="0.25">
      <c r="A3460" s="169">
        <v>37539</v>
      </c>
      <c r="B3460" s="169" t="s">
        <v>26936</v>
      </c>
      <c r="C3460" s="169" t="s">
        <v>10225</v>
      </c>
      <c r="D3460" s="169" t="s">
        <v>1290</v>
      </c>
      <c r="E3460" s="103" t="s">
        <v>13600</v>
      </c>
      <c r="F3460" s="104"/>
      <c r="G3460" s="105">
        <f t="shared" si="212"/>
        <v>22.04</v>
      </c>
      <c r="H3460" s="101" t="str">
        <f t="shared" si="213"/>
        <v>Sinapi 37539</v>
      </c>
      <c r="I3460" s="101" t="str">
        <f t="shared" si="214"/>
        <v>UN</v>
      </c>
      <c r="J3460" s="140" t="str">
        <f t="shared" si="215"/>
        <v>PLACA DE SINALIZACAO DE SEGURANCA CONTRA INCENDIO, FOTOLUMINESCENTE, RETANGULAR, *13 X 26* CM, EM PVC *2* MM ANTI-CHAMAS (SIMBOLOS, CORES E PICTOGRAMAS CONFORME NBR 16820)</v>
      </c>
    </row>
    <row r="3461" spans="1:10" x14ac:dyDescent="0.25">
      <c r="A3461" s="169">
        <v>37558</v>
      </c>
      <c r="B3461" s="169" t="s">
        <v>26937</v>
      </c>
      <c r="C3461" s="169" t="s">
        <v>10225</v>
      </c>
      <c r="D3461" s="169" t="s">
        <v>1290</v>
      </c>
      <c r="E3461" s="103" t="s">
        <v>30940</v>
      </c>
      <c r="F3461" s="104"/>
      <c r="G3461" s="105">
        <f t="shared" si="212"/>
        <v>41.09</v>
      </c>
      <c r="H3461" s="101" t="str">
        <f t="shared" si="213"/>
        <v>Sinapi 37558</v>
      </c>
      <c r="I3461" s="101" t="str">
        <f t="shared" si="214"/>
        <v>UN</v>
      </c>
      <c r="J3461" s="140" t="str">
        <f t="shared" si="215"/>
        <v>PLACA DE SINALIZACAO DE SEGURANCA CONTRA INCENDIO, FOTOLUMINESCENTE, RETANGULAR, *20 X 40* CM, EM PVC *2* MM ANTI-CHAMAS (SIMBOLOS, CORES E PICTOGRAMAS CONFORME NBR 16820)</v>
      </c>
    </row>
    <row r="3462" spans="1:10" x14ac:dyDescent="0.25">
      <c r="A3462" s="169">
        <v>34723</v>
      </c>
      <c r="B3462" s="169" t="s">
        <v>26938</v>
      </c>
      <c r="C3462" s="169" t="s">
        <v>10226</v>
      </c>
      <c r="D3462" s="169" t="s">
        <v>1290</v>
      </c>
      <c r="E3462" s="103" t="s">
        <v>21075</v>
      </c>
      <c r="F3462" s="104"/>
      <c r="G3462" s="105">
        <f t="shared" si="212"/>
        <v>577.5</v>
      </c>
      <c r="H3462" s="101" t="str">
        <f t="shared" si="213"/>
        <v>Sinapi 34723</v>
      </c>
      <c r="I3462" s="101" t="str">
        <f t="shared" si="214"/>
        <v>M2</v>
      </c>
      <c r="J3462" s="140" t="str">
        <f t="shared" si="215"/>
        <v>PLACA DE SINALIZACAO EM CHAPA DE ACO NUM 16 COM PINTURA REFLETIVA</v>
      </c>
    </row>
    <row r="3463" spans="1:10" x14ac:dyDescent="0.25">
      <c r="A3463" s="169">
        <v>34721</v>
      </c>
      <c r="B3463" s="169" t="s">
        <v>26939</v>
      </c>
      <c r="C3463" s="169" t="s">
        <v>10226</v>
      </c>
      <c r="D3463" s="169" t="s">
        <v>1290</v>
      </c>
      <c r="E3463" s="103" t="s">
        <v>21076</v>
      </c>
      <c r="F3463" s="104"/>
      <c r="G3463" s="105">
        <f t="shared" si="212"/>
        <v>720</v>
      </c>
      <c r="H3463" s="101" t="str">
        <f t="shared" si="213"/>
        <v>Sinapi 34721</v>
      </c>
      <c r="I3463" s="101" t="str">
        <f t="shared" si="214"/>
        <v>M2</v>
      </c>
      <c r="J3463" s="140" t="str">
        <f t="shared" si="215"/>
        <v>PLACA DE SINALIZACAO EM CHAPA DE ALUMINIO COM PINTURA REFLETIVA, E = 2 MM</v>
      </c>
    </row>
    <row r="3464" spans="1:10" x14ac:dyDescent="0.25">
      <c r="A3464" s="169">
        <v>4309</v>
      </c>
      <c r="B3464" s="169" t="s">
        <v>26940</v>
      </c>
      <c r="C3464" s="169" t="s">
        <v>10225</v>
      </c>
      <c r="D3464" s="169" t="s">
        <v>1289</v>
      </c>
      <c r="E3464" s="103" t="s">
        <v>5582</v>
      </c>
      <c r="F3464" s="104"/>
      <c r="G3464" s="105">
        <f t="shared" ref="G3464:G3527" si="216">IF(E3464="","",E3464+0)</f>
        <v>6.29</v>
      </c>
      <c r="H3464" s="101" t="str">
        <f t="shared" ref="H3464:H3527" si="217">IF(G3464="","",TRIM(CONCATENATE("Sinapi ",A3464)))</f>
        <v>Sinapi 4309</v>
      </c>
      <c r="I3464" s="101" t="str">
        <f t="shared" ref="I3464:I3527" si="218">TRIM(C3464)</f>
        <v>UN</v>
      </c>
      <c r="J3464" s="140" t="str">
        <f t="shared" si="215"/>
        <v>PLACA DE VENTILACAO PARA TELHA DE FIBROCIMENTO CANALETE 49 KALHETA</v>
      </c>
    </row>
    <row r="3465" spans="1:10" x14ac:dyDescent="0.25">
      <c r="A3465" s="169">
        <v>4307</v>
      </c>
      <c r="B3465" s="169" t="s">
        <v>26941</v>
      </c>
      <c r="C3465" s="169" t="s">
        <v>10225</v>
      </c>
      <c r="D3465" s="169" t="s">
        <v>1289</v>
      </c>
      <c r="E3465" s="103" t="s">
        <v>15635</v>
      </c>
      <c r="F3465" s="104"/>
      <c r="G3465" s="105">
        <f t="shared" si="216"/>
        <v>10.76</v>
      </c>
      <c r="H3465" s="101" t="str">
        <f t="shared" si="217"/>
        <v>Sinapi 4307</v>
      </c>
      <c r="I3465" s="101" t="str">
        <f t="shared" si="218"/>
        <v>UN</v>
      </c>
      <c r="J3465" s="140" t="str">
        <f t="shared" ref="J3465:J3528" si="219">TRIM(B3465)</f>
        <v>PLACA DE VENTILACAO PARA TELHA DE FIBROCIMENTO, CANALETE 90 OU KALHETAO</v>
      </c>
    </row>
    <row r="3466" spans="1:10" x14ac:dyDescent="0.25">
      <c r="A3466" s="169">
        <v>10850</v>
      </c>
      <c r="B3466" s="169" t="s">
        <v>26942</v>
      </c>
      <c r="C3466" s="169" t="s">
        <v>10225</v>
      </c>
      <c r="D3466" s="169" t="s">
        <v>1290</v>
      </c>
      <c r="E3466" s="103" t="s">
        <v>17936</v>
      </c>
      <c r="F3466" s="104"/>
      <c r="G3466" s="105">
        <f t="shared" si="216"/>
        <v>37.5</v>
      </c>
      <c r="H3466" s="101" t="str">
        <f t="shared" si="217"/>
        <v>Sinapi 10850</v>
      </c>
      <c r="I3466" s="101" t="str">
        <f t="shared" si="218"/>
        <v>UN</v>
      </c>
      <c r="J3466" s="140" t="str">
        <f t="shared" si="219"/>
        <v>PLACA NUMERACAO RESIDENCIAL EM CHAPA GALVANIZADA ESMALTADA 12 X 18 CM</v>
      </c>
    </row>
    <row r="3467" spans="1:10" x14ac:dyDescent="0.25">
      <c r="A3467" s="169">
        <v>42438</v>
      </c>
      <c r="B3467" s="169" t="s">
        <v>30941</v>
      </c>
      <c r="C3467" s="169" t="s">
        <v>10225</v>
      </c>
      <c r="D3467" s="169" t="s">
        <v>1290</v>
      </c>
      <c r="E3467" s="103" t="s">
        <v>21077</v>
      </c>
      <c r="F3467" s="104"/>
      <c r="G3467" s="105">
        <f t="shared" si="216"/>
        <v>2090.75</v>
      </c>
      <c r="H3467" s="101" t="str">
        <f t="shared" si="217"/>
        <v>Sinapi 42438</v>
      </c>
      <c r="I3467" s="101" t="str">
        <f t="shared" si="218"/>
        <v>UN</v>
      </c>
      <c r="J3467" s="140" t="str">
        <f t="shared" si="219"/>
        <v>PLACA ORIENTATIVA SOBRE EXERCICIOS, 2,00 M X 1,00 M ( CHAPA GALVANIZADA #20), ESTRUTURA EM TUBOS REDONDOS DE ACO CARBONO, PINTURA NO PROCESSO ELETROSTATICO, ADESIVO FRENTE E VERSO - PARA ACADEMIA AO AR LIVRE / ACADEMIA DA TERCEIRA IDADE - ATI</v>
      </c>
    </row>
    <row r="3468" spans="1:10" x14ac:dyDescent="0.25">
      <c r="A3468" s="169">
        <v>4792</v>
      </c>
      <c r="B3468" s="169" t="s">
        <v>26943</v>
      </c>
      <c r="C3468" s="169" t="s">
        <v>10226</v>
      </c>
      <c r="D3468" s="169" t="s">
        <v>1289</v>
      </c>
      <c r="E3468" s="103" t="s">
        <v>30942</v>
      </c>
      <c r="F3468" s="104"/>
      <c r="G3468" s="105">
        <f t="shared" si="216"/>
        <v>204.49</v>
      </c>
      <c r="H3468" s="101" t="str">
        <f t="shared" si="217"/>
        <v>Sinapi 4792</v>
      </c>
      <c r="I3468" s="101" t="str">
        <f t="shared" si="218"/>
        <v>M2</v>
      </c>
      <c r="J3468" s="140" t="str">
        <f t="shared" si="219"/>
        <v>PLACA VINILICA SEMIFLEXIVEL PARA PISOS, E = 3,2 MM, 30 X 30 CM (SEM COLOCACAO)</v>
      </c>
    </row>
    <row r="3469" spans="1:10" x14ac:dyDescent="0.25">
      <c r="A3469" s="169">
        <v>4790</v>
      </c>
      <c r="B3469" s="169" t="s">
        <v>983</v>
      </c>
      <c r="C3469" s="169" t="s">
        <v>10226</v>
      </c>
      <c r="D3469" s="169" t="s">
        <v>1288</v>
      </c>
      <c r="E3469" s="103" t="s">
        <v>30943</v>
      </c>
      <c r="F3469" s="104"/>
      <c r="G3469" s="105">
        <f t="shared" si="216"/>
        <v>122.95</v>
      </c>
      <c r="H3469" s="101" t="str">
        <f t="shared" si="217"/>
        <v>Sinapi 4790</v>
      </c>
      <c r="I3469" s="101" t="str">
        <f t="shared" si="218"/>
        <v>M2</v>
      </c>
      <c r="J3469" s="140" t="str">
        <f t="shared" si="219"/>
        <v>PLACA VINILICA SEMIFLEXIVEL PARA REVESTIMENTO DE PISOS E PAREDES, E = 2 MM (SEM COLOCACAO)</v>
      </c>
    </row>
    <row r="3470" spans="1:10" x14ac:dyDescent="0.25">
      <c r="A3470" s="169">
        <v>40671</v>
      </c>
      <c r="B3470" s="169" t="s">
        <v>26944</v>
      </c>
      <c r="C3470" s="169" t="s">
        <v>10226</v>
      </c>
      <c r="D3470" s="169" t="s">
        <v>1289</v>
      </c>
      <c r="E3470" s="103" t="s">
        <v>30944</v>
      </c>
      <c r="F3470" s="104"/>
      <c r="G3470" s="105">
        <f t="shared" si="216"/>
        <v>165.55</v>
      </c>
      <c r="H3470" s="101" t="str">
        <f t="shared" si="217"/>
        <v>Sinapi 40671</v>
      </c>
      <c r="I3470" s="101" t="str">
        <f t="shared" si="218"/>
        <v>M2</v>
      </c>
      <c r="J3470" s="140" t="str">
        <f t="shared" si="219"/>
        <v>PLACA/PISO DE CONCRETO POROSO/ PAVIMENTO PERMEAVEL/BLOCO DRENANTE DE CONCRETO, 40 CM X 40 CM, E = 6 CM, COR NATURAL</v>
      </c>
    </row>
    <row r="3471" spans="1:10" x14ac:dyDescent="0.25">
      <c r="A3471" s="169">
        <v>7552</v>
      </c>
      <c r="B3471" s="169" t="s">
        <v>26945</v>
      </c>
      <c r="C3471" s="169" t="s">
        <v>10225</v>
      </c>
      <c r="D3471" s="169" t="s">
        <v>1289</v>
      </c>
      <c r="E3471" s="103" t="s">
        <v>20640</v>
      </c>
      <c r="F3471" s="104"/>
      <c r="G3471" s="105">
        <f t="shared" si="216"/>
        <v>26.7</v>
      </c>
      <c r="H3471" s="101" t="str">
        <f t="shared" si="217"/>
        <v>Sinapi 7552</v>
      </c>
      <c r="I3471" s="101" t="str">
        <f t="shared" si="218"/>
        <v>UN</v>
      </c>
      <c r="J3471" s="140" t="str">
        <f t="shared" si="219"/>
        <v>PLACA/TAMPA CEGA EM LATAO ESCOVADO PARA CONDULETE EM LIGA DE ALUMINIO 4 X 4"</v>
      </c>
    </row>
    <row r="3472" spans="1:10" x14ac:dyDescent="0.25">
      <c r="A3472" s="169">
        <v>4893</v>
      </c>
      <c r="B3472" s="169" t="s">
        <v>26946</v>
      </c>
      <c r="C3472" s="169" t="s">
        <v>10225</v>
      </c>
      <c r="D3472" s="169" t="s">
        <v>1289</v>
      </c>
      <c r="E3472" s="103" t="s">
        <v>16381</v>
      </c>
      <c r="F3472" s="104"/>
      <c r="G3472" s="105">
        <f t="shared" si="216"/>
        <v>14.02</v>
      </c>
      <c r="H3472" s="101" t="str">
        <f t="shared" si="217"/>
        <v>Sinapi 4893</v>
      </c>
      <c r="I3472" s="101" t="str">
        <f t="shared" si="218"/>
        <v>UN</v>
      </c>
      <c r="J3472" s="140" t="str">
        <f t="shared" si="219"/>
        <v>PLUG OU BUJAO DE FERRO GALVANIZADO, DE 1 1/2"</v>
      </c>
    </row>
    <row r="3473" spans="1:10" x14ac:dyDescent="0.25">
      <c r="A3473" s="169">
        <v>4894</v>
      </c>
      <c r="B3473" s="169" t="s">
        <v>26947</v>
      </c>
      <c r="C3473" s="169" t="s">
        <v>10225</v>
      </c>
      <c r="D3473" s="169" t="s">
        <v>1289</v>
      </c>
      <c r="E3473" s="103" t="s">
        <v>7420</v>
      </c>
      <c r="F3473" s="104"/>
      <c r="G3473" s="105">
        <f t="shared" si="216"/>
        <v>12.03</v>
      </c>
      <c r="H3473" s="101" t="str">
        <f t="shared" si="217"/>
        <v>Sinapi 4894</v>
      </c>
      <c r="I3473" s="101" t="str">
        <f t="shared" si="218"/>
        <v>UN</v>
      </c>
      <c r="J3473" s="140" t="str">
        <f t="shared" si="219"/>
        <v>PLUG OU BUJAO DE FERRO GALVANIZADO, DE 1 1/4"</v>
      </c>
    </row>
    <row r="3474" spans="1:10" x14ac:dyDescent="0.25">
      <c r="A3474" s="169">
        <v>4888</v>
      </c>
      <c r="B3474" s="169" t="s">
        <v>1005</v>
      </c>
      <c r="C3474" s="169" t="s">
        <v>10225</v>
      </c>
      <c r="D3474" s="169" t="s">
        <v>1289</v>
      </c>
      <c r="E3474" s="103" t="s">
        <v>16302</v>
      </c>
      <c r="F3474" s="104"/>
      <c r="G3474" s="105">
        <f t="shared" si="216"/>
        <v>4.0999999999999996</v>
      </c>
      <c r="H3474" s="101" t="str">
        <f t="shared" si="217"/>
        <v>Sinapi 4888</v>
      </c>
      <c r="I3474" s="101" t="str">
        <f t="shared" si="218"/>
        <v>UN</v>
      </c>
      <c r="J3474" s="140" t="str">
        <f t="shared" si="219"/>
        <v>PLUG OU BUJAO DE FERRO GALVANIZADO, DE 1/2"</v>
      </c>
    </row>
    <row r="3475" spans="1:10" x14ac:dyDescent="0.25">
      <c r="A3475" s="169">
        <v>4890</v>
      </c>
      <c r="B3475" s="169" t="s">
        <v>26948</v>
      </c>
      <c r="C3475" s="169" t="s">
        <v>10225</v>
      </c>
      <c r="D3475" s="169" t="s">
        <v>1289</v>
      </c>
      <c r="E3475" s="103" t="s">
        <v>16420</v>
      </c>
      <c r="F3475" s="104"/>
      <c r="G3475" s="105">
        <f t="shared" si="216"/>
        <v>7.7</v>
      </c>
      <c r="H3475" s="101" t="str">
        <f t="shared" si="217"/>
        <v>Sinapi 4890</v>
      </c>
      <c r="I3475" s="101" t="str">
        <f t="shared" si="218"/>
        <v>UN</v>
      </c>
      <c r="J3475" s="140" t="str">
        <f t="shared" si="219"/>
        <v>PLUG OU BUJAO DE FERRO GALVANIZADO, DE 1"</v>
      </c>
    </row>
    <row r="3476" spans="1:10" x14ac:dyDescent="0.25">
      <c r="A3476" s="169">
        <v>12411</v>
      </c>
      <c r="B3476" s="169" t="s">
        <v>26949</v>
      </c>
      <c r="C3476" s="169" t="s">
        <v>10225</v>
      </c>
      <c r="D3476" s="169" t="s">
        <v>1289</v>
      </c>
      <c r="E3476" s="103" t="s">
        <v>30945</v>
      </c>
      <c r="F3476" s="104"/>
      <c r="G3476" s="105">
        <f t="shared" si="216"/>
        <v>41.46</v>
      </c>
      <c r="H3476" s="101" t="str">
        <f t="shared" si="217"/>
        <v>Sinapi 12411</v>
      </c>
      <c r="I3476" s="101" t="str">
        <f t="shared" si="218"/>
        <v>UN</v>
      </c>
      <c r="J3476" s="140" t="str">
        <f t="shared" si="219"/>
        <v>PLUG OU BUJAO DE FERRO GALVANIZADO, DE 2 1/2"</v>
      </c>
    </row>
    <row r="3477" spans="1:10" x14ac:dyDescent="0.25">
      <c r="A3477" s="169">
        <v>4891</v>
      </c>
      <c r="B3477" s="169" t="s">
        <v>26951</v>
      </c>
      <c r="C3477" s="169" t="s">
        <v>10225</v>
      </c>
      <c r="D3477" s="169" t="s">
        <v>1289</v>
      </c>
      <c r="E3477" s="103" t="s">
        <v>18559</v>
      </c>
      <c r="F3477" s="104"/>
      <c r="G3477" s="105">
        <f t="shared" si="216"/>
        <v>20.73</v>
      </c>
      <c r="H3477" s="101" t="str">
        <f t="shared" si="217"/>
        <v>Sinapi 4891</v>
      </c>
      <c r="I3477" s="101" t="str">
        <f t="shared" si="218"/>
        <v>UN</v>
      </c>
      <c r="J3477" s="140" t="str">
        <f t="shared" si="219"/>
        <v>PLUG OU BUJAO DE FERRO GALVANIZADO, DE 2"</v>
      </c>
    </row>
    <row r="3478" spans="1:10" x14ac:dyDescent="0.25">
      <c r="A3478" s="169">
        <v>4889</v>
      </c>
      <c r="B3478" s="169" t="s">
        <v>26952</v>
      </c>
      <c r="C3478" s="169" t="s">
        <v>10225</v>
      </c>
      <c r="D3478" s="169" t="s">
        <v>1289</v>
      </c>
      <c r="E3478" s="103" t="s">
        <v>29973</v>
      </c>
      <c r="F3478" s="104"/>
      <c r="G3478" s="105">
        <f t="shared" si="216"/>
        <v>5.54</v>
      </c>
      <c r="H3478" s="101" t="str">
        <f t="shared" si="217"/>
        <v>Sinapi 4889</v>
      </c>
      <c r="I3478" s="101" t="str">
        <f t="shared" si="218"/>
        <v>UN</v>
      </c>
      <c r="J3478" s="140" t="str">
        <f t="shared" si="219"/>
        <v>PLUG OU BUJAO DE FERRO GALVANIZADO, DE 3/4"</v>
      </c>
    </row>
    <row r="3479" spans="1:10" x14ac:dyDescent="0.25">
      <c r="A3479" s="169">
        <v>4892</v>
      </c>
      <c r="B3479" s="169" t="s">
        <v>26953</v>
      </c>
      <c r="C3479" s="169" t="s">
        <v>10225</v>
      </c>
      <c r="D3479" s="169" t="s">
        <v>1289</v>
      </c>
      <c r="E3479" s="103" t="s">
        <v>30946</v>
      </c>
      <c r="F3479" s="104"/>
      <c r="G3479" s="105">
        <f t="shared" si="216"/>
        <v>58.05</v>
      </c>
      <c r="H3479" s="101" t="str">
        <f t="shared" si="217"/>
        <v>Sinapi 4892</v>
      </c>
      <c r="I3479" s="101" t="str">
        <f t="shared" si="218"/>
        <v>UN</v>
      </c>
      <c r="J3479" s="140" t="str">
        <f t="shared" si="219"/>
        <v>PLUG OU BUJAO DE FERRO GALVANIZADO, DE 3"</v>
      </c>
    </row>
    <row r="3480" spans="1:10" x14ac:dyDescent="0.25">
      <c r="A3480" s="169">
        <v>12412</v>
      </c>
      <c r="B3480" s="169" t="s">
        <v>26954</v>
      </c>
      <c r="C3480" s="169" t="s">
        <v>10225</v>
      </c>
      <c r="D3480" s="169" t="s">
        <v>1289</v>
      </c>
      <c r="E3480" s="103" t="s">
        <v>30316</v>
      </c>
      <c r="F3480" s="104"/>
      <c r="G3480" s="105">
        <f t="shared" si="216"/>
        <v>107.89</v>
      </c>
      <c r="H3480" s="101" t="str">
        <f t="shared" si="217"/>
        <v>Sinapi 12412</v>
      </c>
      <c r="I3480" s="101" t="str">
        <f t="shared" si="218"/>
        <v>UN</v>
      </c>
      <c r="J3480" s="140" t="str">
        <f t="shared" si="219"/>
        <v>PLUG OU BUJAO DE FERRO GALVANIZADO, DE 4"</v>
      </c>
    </row>
    <row r="3481" spans="1:10" x14ac:dyDescent="0.25">
      <c r="A3481" s="169">
        <v>4907</v>
      </c>
      <c r="B3481" s="169" t="s">
        <v>26956</v>
      </c>
      <c r="C3481" s="169" t="s">
        <v>10225</v>
      </c>
      <c r="D3481" s="169" t="s">
        <v>1289</v>
      </c>
      <c r="E3481" s="103" t="s">
        <v>18713</v>
      </c>
      <c r="F3481" s="104"/>
      <c r="G3481" s="105">
        <f t="shared" si="216"/>
        <v>21.44</v>
      </c>
      <c r="H3481" s="101" t="str">
        <f t="shared" si="217"/>
        <v>Sinapi 4907</v>
      </c>
      <c r="I3481" s="101" t="str">
        <f t="shared" si="218"/>
        <v>UN</v>
      </c>
      <c r="J3481" s="140" t="str">
        <f t="shared" si="219"/>
        <v>PLUG PVC, JE, DN 100 MM, PARA REDE COLETORA ESGOTO</v>
      </c>
    </row>
    <row r="3482" spans="1:10" x14ac:dyDescent="0.25">
      <c r="A3482" s="169">
        <v>4902</v>
      </c>
      <c r="B3482" s="169" t="s">
        <v>26957</v>
      </c>
      <c r="C3482" s="169" t="s">
        <v>10225</v>
      </c>
      <c r="D3482" s="169" t="s">
        <v>1289</v>
      </c>
      <c r="E3482" s="103" t="s">
        <v>30947</v>
      </c>
      <c r="F3482" s="104"/>
      <c r="G3482" s="105">
        <f t="shared" si="216"/>
        <v>55.63</v>
      </c>
      <c r="H3482" s="101" t="str">
        <f t="shared" si="217"/>
        <v>Sinapi 4902</v>
      </c>
      <c r="I3482" s="101" t="str">
        <f t="shared" si="218"/>
        <v>UN</v>
      </c>
      <c r="J3482" s="140" t="str">
        <f t="shared" si="219"/>
        <v>PLUG PVC, JE, DN 150 MM, PARA REDE COLETORA ESGOTO</v>
      </c>
    </row>
    <row r="3483" spans="1:10" x14ac:dyDescent="0.25">
      <c r="A3483" s="169">
        <v>11096</v>
      </c>
      <c r="B3483" s="169" t="s">
        <v>26958</v>
      </c>
      <c r="C3483" s="169" t="s">
        <v>10231</v>
      </c>
      <c r="D3483" s="169" t="s">
        <v>1289</v>
      </c>
      <c r="E3483" s="103" t="s">
        <v>15508</v>
      </c>
      <c r="F3483" s="104"/>
      <c r="G3483" s="105">
        <f t="shared" si="216"/>
        <v>3.25</v>
      </c>
      <c r="H3483" s="101" t="str">
        <f t="shared" si="217"/>
        <v>Sinapi 11096</v>
      </c>
      <c r="I3483" s="101" t="str">
        <f t="shared" si="218"/>
        <v>KG</v>
      </c>
      <c r="J3483" s="140" t="str">
        <f t="shared" si="219"/>
        <v>PO DE MARMORE (POSTO PEDREIRA/FORNECEDOR, SEM FRETE)</v>
      </c>
    </row>
    <row r="3484" spans="1:10" x14ac:dyDescent="0.25">
      <c r="A3484" s="169">
        <v>4741</v>
      </c>
      <c r="B3484" s="169" t="s">
        <v>1136</v>
      </c>
      <c r="C3484" s="169" t="s">
        <v>10234</v>
      </c>
      <c r="D3484" s="169" t="s">
        <v>1289</v>
      </c>
      <c r="E3484" s="103" t="s">
        <v>30877</v>
      </c>
      <c r="F3484" s="104"/>
      <c r="G3484" s="105">
        <f t="shared" si="216"/>
        <v>223.17</v>
      </c>
      <c r="H3484" s="101" t="str">
        <f t="shared" si="217"/>
        <v>Sinapi 4741</v>
      </c>
      <c r="I3484" s="101" t="str">
        <f t="shared" si="218"/>
        <v>M3</v>
      </c>
      <c r="J3484" s="140" t="str">
        <f t="shared" si="219"/>
        <v>PO DE PEDRA (POSTO PEDREIRA/FORNECEDOR, SEM FRETE)</v>
      </c>
    </row>
    <row r="3485" spans="1:10" x14ac:dyDescent="0.25">
      <c r="A3485" s="169">
        <v>4752</v>
      </c>
      <c r="B3485" s="169" t="s">
        <v>26959</v>
      </c>
      <c r="C3485" s="169" t="s">
        <v>10228</v>
      </c>
      <c r="D3485" s="169" t="s">
        <v>1289</v>
      </c>
      <c r="E3485" s="103" t="s">
        <v>22720</v>
      </c>
      <c r="F3485" s="104"/>
      <c r="G3485" s="105">
        <f t="shared" si="216"/>
        <v>18.2</v>
      </c>
      <c r="H3485" s="101" t="str">
        <f t="shared" si="217"/>
        <v>Sinapi 4752</v>
      </c>
      <c r="I3485" s="101" t="str">
        <f t="shared" si="218"/>
        <v>H</v>
      </c>
      <c r="J3485" s="140" t="str">
        <f t="shared" si="219"/>
        <v>POCEIRO / ESCAVADOR DE VALAS E TUBULOES</v>
      </c>
    </row>
    <row r="3486" spans="1:10" x14ac:dyDescent="0.25">
      <c r="A3486" s="169">
        <v>41091</v>
      </c>
      <c r="B3486" s="169" t="s">
        <v>26960</v>
      </c>
      <c r="C3486" s="169" t="s">
        <v>10235</v>
      </c>
      <c r="D3486" s="169" t="s">
        <v>1289</v>
      </c>
      <c r="E3486" s="103" t="s">
        <v>30948</v>
      </c>
      <c r="F3486" s="104"/>
      <c r="G3486" s="105">
        <f t="shared" si="216"/>
        <v>3168.16</v>
      </c>
      <c r="H3486" s="101" t="str">
        <f t="shared" si="217"/>
        <v>Sinapi 41091</v>
      </c>
      <c r="I3486" s="101" t="str">
        <f t="shared" si="218"/>
        <v>MES</v>
      </c>
      <c r="J3486" s="140" t="str">
        <f t="shared" si="219"/>
        <v>POCEIRO / ESCAVADOR DE VALAS E TUBULOES (MENSALISTA)</v>
      </c>
    </row>
    <row r="3487" spans="1:10" x14ac:dyDescent="0.25">
      <c r="A3487" s="169">
        <v>13954</v>
      </c>
      <c r="B3487" s="169" t="s">
        <v>26961</v>
      </c>
      <c r="C3487" s="169" t="s">
        <v>10225</v>
      </c>
      <c r="D3487" s="169" t="s">
        <v>1290</v>
      </c>
      <c r="E3487" s="103" t="s">
        <v>30949</v>
      </c>
      <c r="F3487" s="104"/>
      <c r="G3487" s="105">
        <f t="shared" si="216"/>
        <v>6621.59</v>
      </c>
      <c r="H3487" s="101" t="str">
        <f t="shared" si="217"/>
        <v>Sinapi 13954</v>
      </c>
      <c r="I3487" s="101" t="str">
        <f t="shared" si="218"/>
        <v>UN</v>
      </c>
      <c r="J3487" s="140" t="str">
        <f t="shared" si="219"/>
        <v>POLIDORA DE PISO (POLITRIZ) ELETRICA, MOTOR MONOFASICO DE 4 HP, PESO DE 100 KG, DIAMETRO DO TRABALHO DE 450 MM</v>
      </c>
    </row>
    <row r="3488" spans="1:10" x14ac:dyDescent="0.25">
      <c r="A3488" s="169">
        <v>3411</v>
      </c>
      <c r="B3488" s="169" t="s">
        <v>1247</v>
      </c>
      <c r="C3488" s="169" t="s">
        <v>10231</v>
      </c>
      <c r="D3488" s="169" t="s">
        <v>1290</v>
      </c>
      <c r="E3488" s="103" t="s">
        <v>30950</v>
      </c>
      <c r="F3488" s="104"/>
      <c r="G3488" s="105">
        <f t="shared" si="216"/>
        <v>74.489999999999995</v>
      </c>
      <c r="H3488" s="101" t="str">
        <f t="shared" si="217"/>
        <v>Sinapi 3411</v>
      </c>
      <c r="I3488" s="101" t="str">
        <f t="shared" si="218"/>
        <v>KG</v>
      </c>
      <c r="J3488" s="140" t="str">
        <f t="shared" si="219"/>
        <v>POLIESTIRENO EXPANDIDO/EPS (ISOPOR), PEROLAS, PARA CONCRETO LEVE</v>
      </c>
    </row>
    <row r="3489" spans="1:10" x14ac:dyDescent="0.25">
      <c r="A3489" s="169">
        <v>39995</v>
      </c>
      <c r="B3489" s="169" t="s">
        <v>26962</v>
      </c>
      <c r="C3489" s="169" t="s">
        <v>10234</v>
      </c>
      <c r="D3489" s="169" t="s">
        <v>1290</v>
      </c>
      <c r="E3489" s="103" t="s">
        <v>30951</v>
      </c>
      <c r="F3489" s="104"/>
      <c r="G3489" s="105">
        <f t="shared" si="216"/>
        <v>573.1</v>
      </c>
      <c r="H3489" s="101" t="str">
        <f t="shared" si="217"/>
        <v>Sinapi 39995</v>
      </c>
      <c r="I3489" s="101" t="str">
        <f t="shared" si="218"/>
        <v>M3</v>
      </c>
      <c r="J3489" s="140" t="str">
        <f t="shared" si="219"/>
        <v>POLIESTIRENO EXPANDIDO/EPS (ISOPOR), TIPO 2F, BLOCO</v>
      </c>
    </row>
    <row r="3490" spans="1:10" x14ac:dyDescent="0.25">
      <c r="A3490" s="169">
        <v>11615</v>
      </c>
      <c r="B3490" s="169" t="s">
        <v>26963</v>
      </c>
      <c r="C3490" s="169" t="s">
        <v>10226</v>
      </c>
      <c r="D3490" s="169" t="s">
        <v>1290</v>
      </c>
      <c r="E3490" s="103" t="s">
        <v>8292</v>
      </c>
      <c r="F3490" s="104"/>
      <c r="G3490" s="105">
        <f t="shared" si="216"/>
        <v>4.8600000000000003</v>
      </c>
      <c r="H3490" s="101" t="str">
        <f t="shared" si="217"/>
        <v>Sinapi 11615</v>
      </c>
      <c r="I3490" s="101" t="str">
        <f t="shared" si="218"/>
        <v>M2</v>
      </c>
      <c r="J3490" s="140" t="str">
        <f t="shared" si="219"/>
        <v>POLIESTIRENO EXPANDIDO/EPS (ISOPOR), TIPO 2F, PLACA, ISOLAMENTO TERMOACUSTICO, E = 10 MM, 1000 X 500 MM</v>
      </c>
    </row>
    <row r="3491" spans="1:10" x14ac:dyDescent="0.25">
      <c r="A3491" s="169">
        <v>3408</v>
      </c>
      <c r="B3491" s="169" t="s">
        <v>1219</v>
      </c>
      <c r="C3491" s="169" t="s">
        <v>10226</v>
      </c>
      <c r="D3491" s="169" t="s">
        <v>1290</v>
      </c>
      <c r="E3491" s="103" t="s">
        <v>3578</v>
      </c>
      <c r="F3491" s="104"/>
      <c r="G3491" s="105">
        <f t="shared" si="216"/>
        <v>12.91</v>
      </c>
      <c r="H3491" s="101" t="str">
        <f t="shared" si="217"/>
        <v>Sinapi 3408</v>
      </c>
      <c r="I3491" s="101" t="str">
        <f t="shared" si="218"/>
        <v>M2</v>
      </c>
      <c r="J3491" s="140" t="str">
        <f t="shared" si="219"/>
        <v>POLIESTIRENO EXPANDIDO/EPS (ISOPOR), TIPO 2F, PLACA, ISOLAMENTO TERMOACUSTICO, E = 20 MM, 1000 X 500 MM</v>
      </c>
    </row>
    <row r="3492" spans="1:10" x14ac:dyDescent="0.25">
      <c r="A3492" s="169">
        <v>3409</v>
      </c>
      <c r="B3492" s="169" t="s">
        <v>26964</v>
      </c>
      <c r="C3492" s="169" t="s">
        <v>10226</v>
      </c>
      <c r="D3492" s="169" t="s">
        <v>1290</v>
      </c>
      <c r="E3492" s="103" t="s">
        <v>30335</v>
      </c>
      <c r="F3492" s="104"/>
      <c r="G3492" s="105">
        <f t="shared" si="216"/>
        <v>32.270000000000003</v>
      </c>
      <c r="H3492" s="101" t="str">
        <f t="shared" si="217"/>
        <v>Sinapi 3409</v>
      </c>
      <c r="I3492" s="101" t="str">
        <f t="shared" si="218"/>
        <v>M2</v>
      </c>
      <c r="J3492" s="140" t="str">
        <f t="shared" si="219"/>
        <v>POLIESTIRENO EXPANDIDO/EPS (ISOPOR), TIPO 2F, PLACA, ISOLAMENTO TERMOACUSTICO, E = 50 MM, 1000 X 500 MM</v>
      </c>
    </row>
    <row r="3493" spans="1:10" x14ac:dyDescent="0.25">
      <c r="A3493" s="169">
        <v>11427</v>
      </c>
      <c r="B3493" s="169" t="s">
        <v>26965</v>
      </c>
      <c r="C3493" s="169" t="s">
        <v>10231</v>
      </c>
      <c r="D3493" s="169" t="s">
        <v>1290</v>
      </c>
      <c r="E3493" s="103" t="s">
        <v>28141</v>
      </c>
      <c r="F3493" s="104"/>
      <c r="G3493" s="105">
        <f t="shared" si="216"/>
        <v>94.19</v>
      </c>
      <c r="H3493" s="101" t="str">
        <f t="shared" si="217"/>
        <v>Sinapi 11427</v>
      </c>
      <c r="I3493" s="101" t="str">
        <f t="shared" si="218"/>
        <v>KG</v>
      </c>
      <c r="J3493" s="140" t="str">
        <f t="shared" si="219"/>
        <v>POLVORA NEGRA</v>
      </c>
    </row>
    <row r="3494" spans="1:10" x14ac:dyDescent="0.25">
      <c r="A3494" s="169">
        <v>4491</v>
      </c>
      <c r="B3494" s="169" t="s">
        <v>11621</v>
      </c>
      <c r="C3494" s="169" t="s">
        <v>10229</v>
      </c>
      <c r="D3494" s="169" t="s">
        <v>1289</v>
      </c>
      <c r="E3494" s="103" t="s">
        <v>22060</v>
      </c>
      <c r="F3494" s="104"/>
      <c r="G3494" s="105">
        <f t="shared" si="216"/>
        <v>5.84</v>
      </c>
      <c r="H3494" s="101" t="str">
        <f t="shared" si="217"/>
        <v>Sinapi 4491</v>
      </c>
      <c r="I3494" s="101" t="str">
        <f t="shared" si="218"/>
        <v>M</v>
      </c>
      <c r="J3494" s="140" t="str">
        <f t="shared" si="219"/>
        <v>PONTALETE *7,5 X 7,5* CM EM PINUS, MISTA OU EQUIVALENTE DA REGIAO - BRUTA</v>
      </c>
    </row>
    <row r="3495" spans="1:10" x14ac:dyDescent="0.25">
      <c r="A3495" s="169">
        <v>2745</v>
      </c>
      <c r="B3495" s="169" t="s">
        <v>26967</v>
      </c>
      <c r="C3495" s="169" t="s">
        <v>10229</v>
      </c>
      <c r="D3495" s="169" t="s">
        <v>1290</v>
      </c>
      <c r="E3495" s="103" t="s">
        <v>15759</v>
      </c>
      <c r="F3495" s="104"/>
      <c r="G3495" s="105">
        <f t="shared" si="216"/>
        <v>3.2</v>
      </c>
      <c r="H3495" s="101" t="str">
        <f t="shared" si="217"/>
        <v>Sinapi 2745</v>
      </c>
      <c r="I3495" s="101" t="str">
        <f t="shared" si="218"/>
        <v>M</v>
      </c>
      <c r="J3495" s="140" t="str">
        <f t="shared" si="219"/>
        <v>PONTALETE ROLIÇO SEM TRATAMENTO, D = 8 A 11 CM, H = 3 M, EM EUCALIPTO OU EQUIVALENTE DA REGIAO - BRUTA (PARA ESCORAMENTO)</v>
      </c>
    </row>
    <row r="3496" spans="1:10" x14ac:dyDescent="0.25">
      <c r="A3496" s="169">
        <v>14439</v>
      </c>
      <c r="B3496" s="169" t="s">
        <v>26968</v>
      </c>
      <c r="C3496" s="169" t="s">
        <v>10229</v>
      </c>
      <c r="D3496" s="169" t="s">
        <v>1290</v>
      </c>
      <c r="E3496" s="103" t="s">
        <v>21559</v>
      </c>
      <c r="F3496" s="104"/>
      <c r="G3496" s="105">
        <f t="shared" si="216"/>
        <v>3.97</v>
      </c>
      <c r="H3496" s="101" t="str">
        <f t="shared" si="217"/>
        <v>Sinapi 14439</v>
      </c>
      <c r="I3496" s="101" t="str">
        <f t="shared" si="218"/>
        <v>M</v>
      </c>
      <c r="J3496" s="140" t="str">
        <f t="shared" si="219"/>
        <v>PONTALETE ROLIÇO SEM TRATAMENTO, D = 8 A 11 CM, H = 6 M, EM EUCALIPTO OU EQUIVALENTE DA REGIAO - BRUTA (PARA ESCORAMENTO)</v>
      </c>
    </row>
    <row r="3497" spans="1:10" x14ac:dyDescent="0.25">
      <c r="A3497" s="169">
        <v>44496</v>
      </c>
      <c r="B3497" s="169" t="s">
        <v>26969</v>
      </c>
      <c r="C3497" s="169" t="s">
        <v>10225</v>
      </c>
      <c r="D3497" s="169" t="s">
        <v>1289</v>
      </c>
      <c r="E3497" s="103" t="s">
        <v>30952</v>
      </c>
      <c r="F3497" s="104"/>
      <c r="G3497" s="105">
        <f t="shared" si="216"/>
        <v>170.33</v>
      </c>
      <c r="H3497" s="101" t="str">
        <f t="shared" si="217"/>
        <v>Sinapi 44496</v>
      </c>
      <c r="I3497" s="101" t="str">
        <f t="shared" si="218"/>
        <v>UN</v>
      </c>
      <c r="J3497" s="140" t="str">
        <f t="shared" si="219"/>
        <v>PONTEIRO PARA MARTELO ROMPEDOR, DIAMETRO = *28* MM, COMPRIMENTO = *520* MM, ENCAIXE SEXTAVADO</v>
      </c>
    </row>
    <row r="3498" spans="1:10" x14ac:dyDescent="0.25">
      <c r="A3498" s="169">
        <v>12362</v>
      </c>
      <c r="B3498" s="169" t="s">
        <v>26970</v>
      </c>
      <c r="C3498" s="169" t="s">
        <v>10225</v>
      </c>
      <c r="D3498" s="169" t="s">
        <v>1289</v>
      </c>
      <c r="E3498" s="103" t="s">
        <v>30953</v>
      </c>
      <c r="F3498" s="104"/>
      <c r="G3498" s="105">
        <f t="shared" si="216"/>
        <v>12.17</v>
      </c>
      <c r="H3498" s="101" t="str">
        <f t="shared" si="217"/>
        <v>Sinapi 12362</v>
      </c>
      <c r="I3498" s="101" t="str">
        <f t="shared" si="218"/>
        <v>UN</v>
      </c>
      <c r="J3498" s="140" t="str">
        <f t="shared" si="219"/>
        <v>PORCA OLHAL EM ACO GALVANIZADO, ESPESSURA 16MM, ABERTURA 21MM</v>
      </c>
    </row>
    <row r="3499" spans="1:10" x14ac:dyDescent="0.25">
      <c r="A3499" s="169">
        <v>421</v>
      </c>
      <c r="B3499" s="169" t="s">
        <v>26971</v>
      </c>
      <c r="C3499" s="169" t="s">
        <v>10225</v>
      </c>
      <c r="D3499" s="169" t="s">
        <v>1290</v>
      </c>
      <c r="E3499" s="103" t="s">
        <v>16371</v>
      </c>
      <c r="F3499" s="104"/>
      <c r="G3499" s="105">
        <f t="shared" si="216"/>
        <v>23.07</v>
      </c>
      <c r="H3499" s="101" t="str">
        <f t="shared" si="217"/>
        <v>Sinapi 421</v>
      </c>
      <c r="I3499" s="101" t="str">
        <f t="shared" si="218"/>
        <v>UN</v>
      </c>
      <c r="J3499" s="140" t="str">
        <f t="shared" si="219"/>
        <v>PORCA OLHAL M 16, EM ACO GALVANIZADO, DIAMETRO = 16 MM</v>
      </c>
    </row>
    <row r="3500" spans="1:10" x14ac:dyDescent="0.25">
      <c r="A3500" s="169">
        <v>14148</v>
      </c>
      <c r="B3500" s="169" t="s">
        <v>26972</v>
      </c>
      <c r="C3500" s="169" t="s">
        <v>10225</v>
      </c>
      <c r="D3500" s="169" t="s">
        <v>1290</v>
      </c>
      <c r="E3500" s="103" t="s">
        <v>2115</v>
      </c>
      <c r="F3500" s="104"/>
      <c r="G3500" s="105">
        <f t="shared" si="216"/>
        <v>0.87</v>
      </c>
      <c r="H3500" s="101" t="str">
        <f t="shared" si="217"/>
        <v>Sinapi 14148</v>
      </c>
      <c r="I3500" s="101" t="str">
        <f t="shared" si="218"/>
        <v>UN</v>
      </c>
      <c r="J3500" s="140" t="str">
        <f t="shared" si="219"/>
        <v>PORCA UNIAO/JUNCAO ZINCADA SEXTAVADA 1/4 ", CHAVE 7/16 ", COMPRIMENTO = 25 MM</v>
      </c>
    </row>
    <row r="3501" spans="1:10" x14ac:dyDescent="0.25">
      <c r="A3501" s="169">
        <v>4341</v>
      </c>
      <c r="B3501" s="169" t="s">
        <v>26973</v>
      </c>
      <c r="C3501" s="169" t="s">
        <v>10225</v>
      </c>
      <c r="D3501" s="169" t="s">
        <v>1290</v>
      </c>
      <c r="E3501" s="103" t="s">
        <v>16300</v>
      </c>
      <c r="F3501" s="104"/>
      <c r="G3501" s="105">
        <f t="shared" si="216"/>
        <v>1.17</v>
      </c>
      <c r="H3501" s="101" t="str">
        <f t="shared" si="217"/>
        <v>Sinapi 4341</v>
      </c>
      <c r="I3501" s="101" t="str">
        <f t="shared" si="218"/>
        <v>UN</v>
      </c>
      <c r="J3501" s="140" t="str">
        <f t="shared" si="219"/>
        <v>PORCA ZINCADA, QUADRADA, DIAMETRO 3/8"</v>
      </c>
    </row>
    <row r="3502" spans="1:10" x14ac:dyDescent="0.25">
      <c r="A3502" s="169">
        <v>4337</v>
      </c>
      <c r="B3502" s="169" t="s">
        <v>26974</v>
      </c>
      <c r="C3502" s="169" t="s">
        <v>10225</v>
      </c>
      <c r="D3502" s="169" t="s">
        <v>1290</v>
      </c>
      <c r="E3502" s="103" t="s">
        <v>30954</v>
      </c>
      <c r="F3502" s="104"/>
      <c r="G3502" s="105">
        <f t="shared" si="216"/>
        <v>2.95</v>
      </c>
      <c r="H3502" s="101" t="str">
        <f t="shared" si="217"/>
        <v>Sinapi 4337</v>
      </c>
      <c r="I3502" s="101" t="str">
        <f t="shared" si="218"/>
        <v>UN</v>
      </c>
      <c r="J3502" s="140" t="str">
        <f t="shared" si="219"/>
        <v>PORCA ZINCADA, QUADRADA, DIAMETRO 5/8"</v>
      </c>
    </row>
    <row r="3503" spans="1:10" x14ac:dyDescent="0.25">
      <c r="A3503" s="169">
        <v>4339</v>
      </c>
      <c r="B3503" s="169" t="s">
        <v>26975</v>
      </c>
      <c r="C3503" s="169" t="s">
        <v>10225</v>
      </c>
      <c r="D3503" s="169" t="s">
        <v>1290</v>
      </c>
      <c r="E3503" s="103" t="s">
        <v>8324</v>
      </c>
      <c r="F3503" s="104"/>
      <c r="G3503" s="105">
        <f t="shared" si="216"/>
        <v>0.63</v>
      </c>
      <c r="H3503" s="101" t="str">
        <f t="shared" si="217"/>
        <v>Sinapi 4339</v>
      </c>
      <c r="I3503" s="101" t="str">
        <f t="shared" si="218"/>
        <v>UN</v>
      </c>
      <c r="J3503" s="140" t="str">
        <f t="shared" si="219"/>
        <v>PORCA ZINCADA, SEXTAVADA, DIAMETRO 1/2"</v>
      </c>
    </row>
    <row r="3504" spans="1:10" x14ac:dyDescent="0.25">
      <c r="A3504" s="169">
        <v>39997</v>
      </c>
      <c r="B3504" s="169" t="s">
        <v>341</v>
      </c>
      <c r="C3504" s="169" t="s">
        <v>10225</v>
      </c>
      <c r="D3504" s="169" t="s">
        <v>1290</v>
      </c>
      <c r="E3504" s="103" t="s">
        <v>3420</v>
      </c>
      <c r="F3504" s="104"/>
      <c r="G3504" s="105">
        <f t="shared" si="216"/>
        <v>0.35</v>
      </c>
      <c r="H3504" s="101" t="str">
        <f t="shared" si="217"/>
        <v>Sinapi 39997</v>
      </c>
      <c r="I3504" s="101" t="str">
        <f t="shared" si="218"/>
        <v>UN</v>
      </c>
      <c r="J3504" s="140" t="str">
        <f t="shared" si="219"/>
        <v>PORCA ZINCADA, SEXTAVADA, DIAMETRO 1/4"</v>
      </c>
    </row>
    <row r="3505" spans="1:10" x14ac:dyDescent="0.25">
      <c r="A3505" s="169">
        <v>11971</v>
      </c>
      <c r="B3505" s="169" t="s">
        <v>26976</v>
      </c>
      <c r="C3505" s="169" t="s">
        <v>10225</v>
      </c>
      <c r="D3505" s="169" t="s">
        <v>1290</v>
      </c>
      <c r="E3505" s="103" t="s">
        <v>14796</v>
      </c>
      <c r="F3505" s="104"/>
      <c r="G3505" s="105">
        <f t="shared" si="216"/>
        <v>4.8899999999999997</v>
      </c>
      <c r="H3505" s="101" t="str">
        <f t="shared" si="217"/>
        <v>Sinapi 11971</v>
      </c>
      <c r="I3505" s="101" t="str">
        <f t="shared" si="218"/>
        <v>UN</v>
      </c>
      <c r="J3505" s="140" t="str">
        <f t="shared" si="219"/>
        <v>PORCA ZINCADA, SEXTAVADA, DIAMETRO 1"</v>
      </c>
    </row>
    <row r="3506" spans="1:10" x14ac:dyDescent="0.25">
      <c r="A3506" s="169">
        <v>4342</v>
      </c>
      <c r="B3506" s="169" t="s">
        <v>26977</v>
      </c>
      <c r="C3506" s="169" t="s">
        <v>10225</v>
      </c>
      <c r="D3506" s="169" t="s">
        <v>1290</v>
      </c>
      <c r="E3506" s="103" t="s">
        <v>2711</v>
      </c>
      <c r="F3506" s="104"/>
      <c r="G3506" s="105">
        <f t="shared" si="216"/>
        <v>0.26</v>
      </c>
      <c r="H3506" s="101" t="str">
        <f t="shared" si="217"/>
        <v>Sinapi 4342</v>
      </c>
      <c r="I3506" s="101" t="str">
        <f t="shared" si="218"/>
        <v>UN</v>
      </c>
      <c r="J3506" s="140" t="str">
        <f t="shared" si="219"/>
        <v>PORCA ZINCADA, SEXTAVADA, DIAMETRO 3/8"</v>
      </c>
    </row>
    <row r="3507" spans="1:10" x14ac:dyDescent="0.25">
      <c r="A3507" s="169">
        <v>4330</v>
      </c>
      <c r="B3507" s="169" t="s">
        <v>26978</v>
      </c>
      <c r="C3507" s="169" t="s">
        <v>10225</v>
      </c>
      <c r="D3507" s="169" t="s">
        <v>1290</v>
      </c>
      <c r="E3507" s="103" t="s">
        <v>2994</v>
      </c>
      <c r="F3507" s="104"/>
      <c r="G3507" s="105">
        <f t="shared" si="216"/>
        <v>0.17</v>
      </c>
      <c r="H3507" s="101" t="str">
        <f t="shared" si="217"/>
        <v>Sinapi 4330</v>
      </c>
      <c r="I3507" s="101" t="str">
        <f t="shared" si="218"/>
        <v>UN</v>
      </c>
      <c r="J3507" s="140" t="str">
        <f t="shared" si="219"/>
        <v>PORCA ZINCADA, SEXTAVADA, DIAMETRO 5/16"</v>
      </c>
    </row>
    <row r="3508" spans="1:10" x14ac:dyDescent="0.25">
      <c r="A3508" s="169">
        <v>4340</v>
      </c>
      <c r="B3508" s="169" t="s">
        <v>26979</v>
      </c>
      <c r="C3508" s="169" t="s">
        <v>10225</v>
      </c>
      <c r="D3508" s="169" t="s">
        <v>1290</v>
      </c>
      <c r="E3508" s="103" t="s">
        <v>23388</v>
      </c>
      <c r="F3508" s="104"/>
      <c r="G3508" s="105">
        <f t="shared" si="216"/>
        <v>1.36</v>
      </c>
      <c r="H3508" s="101" t="str">
        <f t="shared" si="217"/>
        <v>Sinapi 4340</v>
      </c>
      <c r="I3508" s="101" t="str">
        <f t="shared" si="218"/>
        <v>UN</v>
      </c>
      <c r="J3508" s="140" t="str">
        <f t="shared" si="219"/>
        <v>PORCA ZINCADA, SEXTAVADA, DIAMETRO 5/8"</v>
      </c>
    </row>
    <row r="3509" spans="1:10" x14ac:dyDescent="0.25">
      <c r="A3509" s="169">
        <v>5088</v>
      </c>
      <c r="B3509" s="169" t="s">
        <v>26980</v>
      </c>
      <c r="C3509" s="169" t="s">
        <v>10225</v>
      </c>
      <c r="D3509" s="169" t="s">
        <v>1289</v>
      </c>
      <c r="E3509" s="103" t="s">
        <v>16420</v>
      </c>
      <c r="F3509" s="104"/>
      <c r="G3509" s="105">
        <f t="shared" si="216"/>
        <v>7.7</v>
      </c>
      <c r="H3509" s="101" t="str">
        <f t="shared" si="217"/>
        <v>Sinapi 5088</v>
      </c>
      <c r="I3509" s="101" t="str">
        <f t="shared" si="218"/>
        <v>UN</v>
      </c>
      <c r="J3509" s="140" t="str">
        <f t="shared" si="219"/>
        <v>PORTA CADEADO EM ACO GALVANIZADO, COMPRIMENTO DE 3 1/2"</v>
      </c>
    </row>
    <row r="3510" spans="1:10" x14ac:dyDescent="0.25">
      <c r="A3510" s="169">
        <v>11154</v>
      </c>
      <c r="B3510" s="169" t="s">
        <v>26981</v>
      </c>
      <c r="C3510" s="169" t="s">
        <v>10225</v>
      </c>
      <c r="D3510" s="169" t="s">
        <v>1290</v>
      </c>
      <c r="E3510" s="103" t="s">
        <v>30955</v>
      </c>
      <c r="F3510" s="104"/>
      <c r="G3510" s="105">
        <f t="shared" si="216"/>
        <v>1509.43</v>
      </c>
      <c r="H3510" s="101" t="str">
        <f t="shared" si="217"/>
        <v>Sinapi 11154</v>
      </c>
      <c r="I3510" s="101" t="str">
        <f t="shared" si="218"/>
        <v>UN</v>
      </c>
      <c r="J3510" s="140" t="str">
        <f t="shared" si="219"/>
        <v>PORTA CORTA-FOGO PARA SAIDA DE EMERGENCIA, COM FECHADURA, VAO LUZ DE 90 X 210 CM, CLASSE P-90 (NBR 11742)</v>
      </c>
    </row>
    <row r="3511" spans="1:10" x14ac:dyDescent="0.25">
      <c r="A3511" s="169">
        <v>4989</v>
      </c>
      <c r="B3511" s="169" t="s">
        <v>26982</v>
      </c>
      <c r="C3511" s="169" t="s">
        <v>10225</v>
      </c>
      <c r="D3511" s="169" t="s">
        <v>1289</v>
      </c>
      <c r="E3511" s="103" t="s">
        <v>30956</v>
      </c>
      <c r="F3511" s="104"/>
      <c r="G3511" s="105">
        <f t="shared" si="216"/>
        <v>394.83</v>
      </c>
      <c r="H3511" s="101" t="str">
        <f t="shared" si="217"/>
        <v>Sinapi 4989</v>
      </c>
      <c r="I3511" s="101" t="str">
        <f t="shared" si="218"/>
        <v>UN</v>
      </c>
      <c r="J3511" s="140" t="str">
        <f t="shared" si="219"/>
        <v>PORTA DE ABRIR / GIRO, DE MADEIRA FOLHA MEDIA (NBR 15930) DE 1000 X 2100 MM, DE 35 MM A 40 MM DE ESPESSURA, NUCLEO SEMI-SOLIDO (SARRAFEADO), CAPA LISA EM HDF, ACABAMENTO EM LAMINADO NATURAL PARA VERNIZ</v>
      </c>
    </row>
    <row r="3512" spans="1:10" x14ac:dyDescent="0.25">
      <c r="A3512" s="169">
        <v>4982</v>
      </c>
      <c r="B3512" s="169" t="s">
        <v>26983</v>
      </c>
      <c r="C3512" s="169" t="s">
        <v>10225</v>
      </c>
      <c r="D3512" s="169" t="s">
        <v>1289</v>
      </c>
      <c r="E3512" s="103" t="s">
        <v>30957</v>
      </c>
      <c r="F3512" s="104"/>
      <c r="G3512" s="105">
        <f t="shared" si="216"/>
        <v>370.33</v>
      </c>
      <c r="H3512" s="101" t="str">
        <f t="shared" si="217"/>
        <v>Sinapi 4982</v>
      </c>
      <c r="I3512" s="101" t="str">
        <f t="shared" si="218"/>
        <v>UN</v>
      </c>
      <c r="J3512" s="140" t="str">
        <f t="shared" si="219"/>
        <v>PORTA DE ABRIR / GIRO, DE MADEIRA FOLHA MEDIA (NBR 15930) DE 1000 X 2100 MM, DE 35 MM A 40 MM DE ESPESSURA, NUCLEO SEMI-SOLIDO (SARRAFEADO), CAPA LISA EM HDF, ACABAMENTO EM PRIMER PARA PINTURA</v>
      </c>
    </row>
    <row r="3513" spans="1:10" x14ac:dyDescent="0.25">
      <c r="A3513" s="169">
        <v>4962</v>
      </c>
      <c r="B3513" s="169" t="s">
        <v>26984</v>
      </c>
      <c r="C3513" s="169" t="s">
        <v>10225</v>
      </c>
      <c r="D3513" s="169" t="s">
        <v>1289</v>
      </c>
      <c r="E3513" s="103" t="s">
        <v>30958</v>
      </c>
      <c r="F3513" s="104"/>
      <c r="G3513" s="105">
        <f t="shared" si="216"/>
        <v>292.05</v>
      </c>
      <c r="H3513" s="101" t="str">
        <f t="shared" si="217"/>
        <v>Sinapi 4962</v>
      </c>
      <c r="I3513" s="101" t="str">
        <f t="shared" si="218"/>
        <v>UN</v>
      </c>
      <c r="J3513" s="140" t="str">
        <f t="shared" si="219"/>
        <v>PORTA DE ABRIR / GIRO, DE MADEIRA FOLHA MEDIA (NBR 15930) DE 700 X 2100 MM, DE 35 MM A 40 MM DE ESPESSURA, NUCLEO SEMI-SOLIDO (SARRAFEADO), CAPA FRISADA EM HDF, ACABAMENTO MELAMINICO EM PADRAO MADEIRA</v>
      </c>
    </row>
    <row r="3514" spans="1:10" x14ac:dyDescent="0.25">
      <c r="A3514" s="169">
        <v>4981</v>
      </c>
      <c r="B3514" s="169" t="s">
        <v>26985</v>
      </c>
      <c r="C3514" s="169" t="s">
        <v>10225</v>
      </c>
      <c r="D3514" s="169" t="s">
        <v>1288</v>
      </c>
      <c r="E3514" s="103" t="s">
        <v>23824</v>
      </c>
      <c r="F3514" s="104"/>
      <c r="G3514" s="105">
        <f t="shared" si="216"/>
        <v>260</v>
      </c>
      <c r="H3514" s="101" t="str">
        <f t="shared" si="217"/>
        <v>Sinapi 4981</v>
      </c>
      <c r="I3514" s="101" t="str">
        <f t="shared" si="218"/>
        <v>UN</v>
      </c>
      <c r="J3514" s="140" t="str">
        <f t="shared" si="219"/>
        <v>PORTA DE ABRIR / GIRO, DE MADEIRA FOLHA MEDIA (NBR 15930) DE 700 X 2100 MM, DE 35 MM A 40 MM DE ESPESSURA, NUCLEO SEMI-SOLIDO (SARRAFEADO), CAPA LISA EM HDF, ACABAMENTO EM LAMINADO NATURAL PARA VERNIZ</v>
      </c>
    </row>
    <row r="3515" spans="1:10" x14ac:dyDescent="0.25">
      <c r="A3515" s="169">
        <v>4964</v>
      </c>
      <c r="B3515" s="169" t="s">
        <v>26986</v>
      </c>
      <c r="C3515" s="169" t="s">
        <v>10225</v>
      </c>
      <c r="D3515" s="169" t="s">
        <v>1289</v>
      </c>
      <c r="E3515" s="103" t="s">
        <v>30959</v>
      </c>
      <c r="F3515" s="104"/>
      <c r="G3515" s="105">
        <f t="shared" si="216"/>
        <v>329.84</v>
      </c>
      <c r="H3515" s="101" t="str">
        <f t="shared" si="217"/>
        <v>Sinapi 4964</v>
      </c>
      <c r="I3515" s="101" t="str">
        <f t="shared" si="218"/>
        <v>UN</v>
      </c>
      <c r="J3515" s="140" t="str">
        <f t="shared" si="219"/>
        <v>PORTA DE ABRIR / GIRO, DE MADEIRA FOLHA MEDIA (NBR 15930) DE 800 X 2100 MM, DE 35 MM A 40 MM DE ESPESSURA, NUCLEO SEMI-SOLIDO (SARRAFEADO), CAPA FRISADA EM HDF, ACABAMENTO MELAMINICO EM PADRAO MADEIRA</v>
      </c>
    </row>
    <row r="3516" spans="1:10" x14ac:dyDescent="0.25">
      <c r="A3516" s="169">
        <v>4992</v>
      </c>
      <c r="B3516" s="169" t="s">
        <v>26987</v>
      </c>
      <c r="C3516" s="169" t="s">
        <v>10225</v>
      </c>
      <c r="D3516" s="169" t="s">
        <v>1289</v>
      </c>
      <c r="E3516" s="103" t="s">
        <v>30960</v>
      </c>
      <c r="F3516" s="104"/>
      <c r="G3516" s="105">
        <f t="shared" si="216"/>
        <v>322.2</v>
      </c>
      <c r="H3516" s="101" t="str">
        <f t="shared" si="217"/>
        <v>Sinapi 4992</v>
      </c>
      <c r="I3516" s="101" t="str">
        <f t="shared" si="218"/>
        <v>UN</v>
      </c>
      <c r="J3516" s="140" t="str">
        <f t="shared" si="219"/>
        <v>PORTA DE ABRIR / GIRO, DE MADEIRA FOLHA MEDIA (NBR 15930) DE 800 X 2100 MM, DE 35 MM A 40 MM DE ESPESSURA, NUCLEO SEMI-SOLIDO (SARRAFEADO), CAPA LISA EM HDF, ACABAMENTO EM LAMINADO NATURAL PARA VERNIZ</v>
      </c>
    </row>
    <row r="3517" spans="1:10" x14ac:dyDescent="0.25">
      <c r="A3517" s="169">
        <v>4987</v>
      </c>
      <c r="B3517" s="169" t="s">
        <v>26988</v>
      </c>
      <c r="C3517" s="169" t="s">
        <v>10225</v>
      </c>
      <c r="D3517" s="169" t="s">
        <v>1289</v>
      </c>
      <c r="E3517" s="103" t="s">
        <v>30961</v>
      </c>
      <c r="F3517" s="104"/>
      <c r="G3517" s="105">
        <f t="shared" si="216"/>
        <v>368.62</v>
      </c>
      <c r="H3517" s="101" t="str">
        <f t="shared" si="217"/>
        <v>Sinapi 4987</v>
      </c>
      <c r="I3517" s="101" t="str">
        <f t="shared" si="218"/>
        <v>UN</v>
      </c>
      <c r="J3517" s="140" t="str">
        <f t="shared" si="219"/>
        <v>PORTA DE ABRIR / GIRO, DE MADEIRA FOLHA MEDIA (NBR 15930) DE 900 X 2100 MM, DE 35 MM A 40 MM DE ESPESSURA, NUCLEO SEMI-SOLIDO (SARRAFEADO), CAPA LISA EM HDF, ACABAMENTO EM LAMINADO NATURAL PARA VERNIZ</v>
      </c>
    </row>
    <row r="3518" spans="1:10" x14ac:dyDescent="0.25">
      <c r="A3518" s="169">
        <v>4930</v>
      </c>
      <c r="B3518" s="169" t="s">
        <v>26989</v>
      </c>
      <c r="C3518" s="169" t="s">
        <v>10226</v>
      </c>
      <c r="D3518" s="169" t="s">
        <v>1290</v>
      </c>
      <c r="E3518" s="103" t="s">
        <v>30962</v>
      </c>
      <c r="F3518" s="104"/>
      <c r="G3518" s="105">
        <f t="shared" si="216"/>
        <v>639.34</v>
      </c>
      <c r="H3518" s="101" t="str">
        <f t="shared" si="217"/>
        <v>Sinapi 4930</v>
      </c>
      <c r="I3518" s="101" t="str">
        <f t="shared" si="218"/>
        <v>M2</v>
      </c>
      <c r="J3518" s="140" t="str">
        <f t="shared" si="219"/>
        <v>PORTA DE ABRIR / GIRO, EM GRADIL FERRO, COM BARRA CHATA 3 CM X 1/4", COM REQUADRO E GUARNICAO - COMPLETO - ACABAMENTO NATURAL</v>
      </c>
    </row>
    <row r="3519" spans="1:10" x14ac:dyDescent="0.25">
      <c r="A3519" s="169">
        <v>39021</v>
      </c>
      <c r="B3519" s="169" t="s">
        <v>26990</v>
      </c>
      <c r="C3519" s="169" t="s">
        <v>10225</v>
      </c>
      <c r="D3519" s="169" t="s">
        <v>1290</v>
      </c>
      <c r="E3519" s="103" t="s">
        <v>30963</v>
      </c>
      <c r="F3519" s="104"/>
      <c r="G3519" s="105">
        <f t="shared" si="216"/>
        <v>679.78</v>
      </c>
      <c r="H3519" s="101" t="str">
        <f t="shared" si="217"/>
        <v>Sinapi 39021</v>
      </c>
      <c r="I3519" s="101" t="str">
        <f t="shared" si="218"/>
        <v>UN</v>
      </c>
      <c r="J3519" s="140" t="str">
        <f t="shared" si="219"/>
        <v>PORTA DE ABRIR EM ACO COM DIVISAO HORIZONTAL PARA VIDROS, COM FUNDO ANTICORROSIVO/PRIMER DE PROTECAO, SEM GUARNICAO/ALIZAR/VISTA, VIDROS NAO INCLUSOS, 90 X 210 CM</v>
      </c>
    </row>
    <row r="3520" spans="1:10" x14ac:dyDescent="0.25">
      <c r="A3520" s="169">
        <v>39022</v>
      </c>
      <c r="B3520" s="169" t="s">
        <v>26991</v>
      </c>
      <c r="C3520" s="169" t="s">
        <v>10225</v>
      </c>
      <c r="D3520" s="169" t="s">
        <v>1290</v>
      </c>
      <c r="E3520" s="103" t="s">
        <v>30964</v>
      </c>
      <c r="F3520" s="104"/>
      <c r="G3520" s="105">
        <f t="shared" si="216"/>
        <v>608.9</v>
      </c>
      <c r="H3520" s="101" t="str">
        <f t="shared" si="217"/>
        <v>Sinapi 39022</v>
      </c>
      <c r="I3520" s="101" t="str">
        <f t="shared" si="218"/>
        <v>UN</v>
      </c>
      <c r="J3520" s="140" t="str">
        <f t="shared" si="219"/>
        <v>PORTA DE ABRIR EM ACO TIPO VENEZIANA, COM FUNDO ANTICORROSIVO / PRIMER DE PROTECAO, SEM GUARNICAO/ALIZAR/VISTA, 90 X 210 CM</v>
      </c>
    </row>
    <row r="3521" spans="1:10" x14ac:dyDescent="0.25">
      <c r="A3521" s="169">
        <v>39024</v>
      </c>
      <c r="B3521" s="169" t="s">
        <v>26992</v>
      </c>
      <c r="C3521" s="169" t="s">
        <v>10225</v>
      </c>
      <c r="D3521" s="169" t="s">
        <v>1290</v>
      </c>
      <c r="E3521" s="103" t="s">
        <v>30965</v>
      </c>
      <c r="F3521" s="104"/>
      <c r="G3521" s="105">
        <f t="shared" si="216"/>
        <v>755.08</v>
      </c>
      <c r="H3521" s="101" t="str">
        <f t="shared" si="217"/>
        <v>Sinapi 39024</v>
      </c>
      <c r="I3521" s="101" t="str">
        <f t="shared" si="218"/>
        <v>UN</v>
      </c>
      <c r="J3521" s="140" t="str">
        <f t="shared" si="219"/>
        <v>PORTA DE ABRIR EM ALUMINIO COM DIVISAO HORIZONTAL PARA VIDROS, ACABAMENTO ANODIZADO NATURAL, VIDROS INCLUSOS, SEM GUARNICAO/ALIZAR/VISTA , 87 X 210 CM</v>
      </c>
    </row>
    <row r="3522" spans="1:10" x14ac:dyDescent="0.25">
      <c r="A3522" s="169">
        <v>4914</v>
      </c>
      <c r="B3522" s="169" t="s">
        <v>26993</v>
      </c>
      <c r="C3522" s="169" t="s">
        <v>10226</v>
      </c>
      <c r="D3522" s="169" t="s">
        <v>1290</v>
      </c>
      <c r="E3522" s="103" t="s">
        <v>30966</v>
      </c>
      <c r="F3522" s="104"/>
      <c r="G3522" s="105">
        <f t="shared" si="216"/>
        <v>612.24</v>
      </c>
      <c r="H3522" s="101" t="str">
        <f t="shared" si="217"/>
        <v>Sinapi 4914</v>
      </c>
      <c r="I3522" s="101" t="str">
        <f t="shared" si="218"/>
        <v>M2</v>
      </c>
      <c r="J3522" s="140" t="str">
        <f t="shared" si="219"/>
        <v>PORTA DE ABRIR EM ALUMINIO COM LAMBRI HORIZONTAL/LAMINADA, ACABAMENTO ANODIZADO NATURAL, SEM GUARNICAO/ALIZAR/VISTA</v>
      </c>
    </row>
    <row r="3523" spans="1:10" x14ac:dyDescent="0.25">
      <c r="A3523" s="169">
        <v>4917</v>
      </c>
      <c r="B3523" s="169" t="s">
        <v>26994</v>
      </c>
      <c r="C3523" s="169" t="s">
        <v>10226</v>
      </c>
      <c r="D3523" s="169" t="s">
        <v>1290</v>
      </c>
      <c r="E3523" s="103" t="s">
        <v>30967</v>
      </c>
      <c r="F3523" s="104"/>
      <c r="G3523" s="105">
        <f t="shared" si="216"/>
        <v>422.82</v>
      </c>
      <c r="H3523" s="101" t="str">
        <f t="shared" si="217"/>
        <v>Sinapi 4917</v>
      </c>
      <c r="I3523" s="101" t="str">
        <f t="shared" si="218"/>
        <v>M2</v>
      </c>
      <c r="J3523" s="140" t="str">
        <f t="shared" si="219"/>
        <v>PORTA DE ABRIR EM ALUMINIO TIPO VENEZIANA, ACABAMENTO ANODIZADO NATURAL, SEM GUARNICAO/ALIZAR/VISTA</v>
      </c>
    </row>
    <row r="3524" spans="1:10" x14ac:dyDescent="0.25">
      <c r="A3524" s="169">
        <v>39025</v>
      </c>
      <c r="B3524" s="169" t="s">
        <v>997</v>
      </c>
      <c r="C3524" s="169" t="s">
        <v>10225</v>
      </c>
      <c r="D3524" s="169" t="s">
        <v>1290</v>
      </c>
      <c r="E3524" s="103" t="s">
        <v>30968</v>
      </c>
      <c r="F3524" s="104"/>
      <c r="G3524" s="105">
        <f t="shared" si="216"/>
        <v>774.26</v>
      </c>
      <c r="H3524" s="101" t="str">
        <f t="shared" si="217"/>
        <v>Sinapi 39025</v>
      </c>
      <c r="I3524" s="101" t="str">
        <f t="shared" si="218"/>
        <v>UN</v>
      </c>
      <c r="J3524" s="140" t="str">
        <f t="shared" si="219"/>
        <v>PORTA DE ABRIR EM ALUMINIO TIPO VENEZIANA, ACABAMENTO ANODIZADO NATURAL, SEM GUARNICAO/ALIZAR/VISTA, 87 X 210 CM</v>
      </c>
    </row>
    <row r="3525" spans="1:10" x14ac:dyDescent="0.25">
      <c r="A3525" s="169">
        <v>4922</v>
      </c>
      <c r="B3525" s="169" t="s">
        <v>26996</v>
      </c>
      <c r="C3525" s="169" t="s">
        <v>10226</v>
      </c>
      <c r="D3525" s="169" t="s">
        <v>1290</v>
      </c>
      <c r="E3525" s="103" t="s">
        <v>30969</v>
      </c>
      <c r="F3525" s="104"/>
      <c r="G3525" s="105">
        <f t="shared" si="216"/>
        <v>392.2</v>
      </c>
      <c r="H3525" s="101" t="str">
        <f t="shared" si="217"/>
        <v>Sinapi 4922</v>
      </c>
      <c r="I3525" s="101" t="str">
        <f t="shared" si="218"/>
        <v>M2</v>
      </c>
      <c r="J3525" s="140" t="str">
        <f t="shared" si="219"/>
        <v>PORTA DE CORRER EM ALUMINIO, DUAS FOLHAS MOVEIS COM VIDRO, FECHADURA E PUXADOR EMBUTIDO, ACABAMENTO ANODIZADO NATURAL, SEM GUARNICAO/ALIZAR/VISTA</v>
      </c>
    </row>
    <row r="3526" spans="1:10" x14ac:dyDescent="0.25">
      <c r="A3526" s="169">
        <v>4911</v>
      </c>
      <c r="B3526" s="169" t="s">
        <v>1001</v>
      </c>
      <c r="C3526" s="169" t="s">
        <v>10226</v>
      </c>
      <c r="D3526" s="169" t="s">
        <v>1289</v>
      </c>
      <c r="E3526" s="103" t="s">
        <v>30970</v>
      </c>
      <c r="F3526" s="104"/>
      <c r="G3526" s="105">
        <f t="shared" si="216"/>
        <v>393.4</v>
      </c>
      <c r="H3526" s="101" t="str">
        <f t="shared" si="217"/>
        <v>Sinapi 4911</v>
      </c>
      <c r="I3526" s="101" t="str">
        <f t="shared" si="218"/>
        <v>M2</v>
      </c>
      <c r="J3526" s="140" t="str">
        <f t="shared" si="219"/>
        <v>PORTA DE ENROLAR MANUAL COMPLETA, ARTICULADA RAIADA LARGA, EM ACO GALVANIZADO NATURAL, CHAPA NUMERO 24 (SEM INSTALACAO)</v>
      </c>
    </row>
    <row r="3527" spans="1:10" x14ac:dyDescent="0.25">
      <c r="A3527" s="169">
        <v>37518</v>
      </c>
      <c r="B3527" s="169" t="s">
        <v>26997</v>
      </c>
      <c r="C3527" s="169" t="s">
        <v>10226</v>
      </c>
      <c r="D3527" s="169" t="s">
        <v>1289</v>
      </c>
      <c r="E3527" s="103" t="s">
        <v>30971</v>
      </c>
      <c r="F3527" s="104"/>
      <c r="G3527" s="105">
        <f t="shared" si="216"/>
        <v>639.27</v>
      </c>
      <c r="H3527" s="101" t="str">
        <f t="shared" si="217"/>
        <v>Sinapi 37518</v>
      </c>
      <c r="I3527" s="101" t="str">
        <f t="shared" si="218"/>
        <v>M2</v>
      </c>
      <c r="J3527" s="140" t="str">
        <f t="shared" si="219"/>
        <v>PORTA DE ENROLAR MANUAL COMPLETA, PERFIL MEIA CANA CEGA, EM ACO GALVANIZADO COM PINTURA ELETROSTATICA, CHAPA NUMERO 24 " (SEM INSTALACAO)</v>
      </c>
    </row>
    <row r="3528" spans="1:10" x14ac:dyDescent="0.25">
      <c r="A3528" s="169">
        <v>4910</v>
      </c>
      <c r="B3528" s="169" t="s">
        <v>26998</v>
      </c>
      <c r="C3528" s="169" t="s">
        <v>10226</v>
      </c>
      <c r="D3528" s="169" t="s">
        <v>1289</v>
      </c>
      <c r="E3528" s="103" t="s">
        <v>28659</v>
      </c>
      <c r="F3528" s="104"/>
      <c r="G3528" s="105">
        <f t="shared" ref="G3528:G3591" si="220">IF(E3528="","",E3528+0)</f>
        <v>538.91</v>
      </c>
      <c r="H3528" s="101" t="str">
        <f t="shared" ref="H3528:H3591" si="221">IF(G3528="","",TRIM(CONCATENATE("Sinapi ",A3528)))</f>
        <v>Sinapi 4910</v>
      </c>
      <c r="I3528" s="101" t="str">
        <f t="shared" ref="I3528:I3591" si="222">TRIM(C3528)</f>
        <v>M2</v>
      </c>
      <c r="J3528" s="140" t="str">
        <f t="shared" si="219"/>
        <v>PORTA DE ENROLAR MANUAL COMPLETA, PERFIL MEIA CANA CEGA, EM ACO GALVANIZADO NATURAL, CHAPA NUMERO 24 (SEM INSTALACAO)</v>
      </c>
    </row>
    <row r="3529" spans="1:10" x14ac:dyDescent="0.25">
      <c r="A3529" s="169">
        <v>4943</v>
      </c>
      <c r="B3529" s="169" t="s">
        <v>26999</v>
      </c>
      <c r="C3529" s="169" t="s">
        <v>10226</v>
      </c>
      <c r="D3529" s="169" t="s">
        <v>1289</v>
      </c>
      <c r="E3529" s="103" t="s">
        <v>30972</v>
      </c>
      <c r="F3529" s="104"/>
      <c r="G3529" s="105">
        <f t="shared" si="220"/>
        <v>802.85</v>
      </c>
      <c r="H3529" s="101" t="str">
        <f t="shared" si="221"/>
        <v>Sinapi 4943</v>
      </c>
      <c r="I3529" s="101" t="str">
        <f t="shared" si="222"/>
        <v>M2</v>
      </c>
      <c r="J3529" s="140" t="str">
        <f t="shared" ref="J3529:J3592" si="223">TRIM(B3529)</f>
        <v>PORTA DE ENROLAR MANUAL COMPLETA, PERFIL MEIA CANA VAZADA TIJOLINHO, EM ACO GALVANIZADO NATURAL, CHAPA NUMERO 24 (SEM INSTALACAO)</v>
      </c>
    </row>
    <row r="3530" spans="1:10" x14ac:dyDescent="0.25">
      <c r="A3530" s="169">
        <v>5002</v>
      </c>
      <c r="B3530" s="169" t="s">
        <v>27000</v>
      </c>
      <c r="C3530" s="169" t="s">
        <v>10226</v>
      </c>
      <c r="D3530" s="169" t="s">
        <v>1289</v>
      </c>
      <c r="E3530" s="103" t="s">
        <v>30973</v>
      </c>
      <c r="F3530" s="104"/>
      <c r="G3530" s="105">
        <f t="shared" si="220"/>
        <v>299.27999999999997</v>
      </c>
      <c r="H3530" s="101" t="str">
        <f t="shared" si="221"/>
        <v>Sinapi 5002</v>
      </c>
      <c r="I3530" s="101" t="str">
        <f t="shared" si="222"/>
        <v>M2</v>
      </c>
      <c r="J3530" s="140" t="str">
        <f t="shared" si="223"/>
        <v>PORTA DE MADEIRA QUADRICULADA PARA VIDRO, DE CORRER (EUCALIPTO OU EQUIVALENTE REGIONAL), E = *3,5* CM</v>
      </c>
    </row>
    <row r="3531" spans="1:10" x14ac:dyDescent="0.25">
      <c r="A3531" s="169">
        <v>4977</v>
      </c>
      <c r="B3531" s="169" t="s">
        <v>27001</v>
      </c>
      <c r="C3531" s="169" t="s">
        <v>10226</v>
      </c>
      <c r="D3531" s="169" t="s">
        <v>1289</v>
      </c>
      <c r="E3531" s="103" t="s">
        <v>30974</v>
      </c>
      <c r="F3531" s="104"/>
      <c r="G3531" s="105">
        <f t="shared" si="220"/>
        <v>202.03</v>
      </c>
      <c r="H3531" s="101" t="str">
        <f t="shared" si="221"/>
        <v>Sinapi 4977</v>
      </c>
      <c r="I3531" s="101" t="str">
        <f t="shared" si="222"/>
        <v>M2</v>
      </c>
      <c r="J3531" s="140" t="str">
        <f t="shared" si="223"/>
        <v>PORTA DE MADEIRA TIPO VENEZIANA (EUCALIPTO OU EQUIVALENTE REGIONAL), E = *3,5* CM</v>
      </c>
    </row>
    <row r="3532" spans="1:10" x14ac:dyDescent="0.25">
      <c r="A3532" s="169">
        <v>5028</v>
      </c>
      <c r="B3532" s="169" t="s">
        <v>27002</v>
      </c>
      <c r="C3532" s="169" t="s">
        <v>10226</v>
      </c>
      <c r="D3532" s="169" t="s">
        <v>1289</v>
      </c>
      <c r="E3532" s="103" t="s">
        <v>30975</v>
      </c>
      <c r="F3532" s="104"/>
      <c r="G3532" s="105">
        <f t="shared" si="220"/>
        <v>494.33</v>
      </c>
      <c r="H3532" s="101" t="str">
        <f t="shared" si="221"/>
        <v>Sinapi 5028</v>
      </c>
      <c r="I3532" s="101" t="str">
        <f t="shared" si="222"/>
        <v>M2</v>
      </c>
      <c r="J3532" s="140" t="str">
        <f t="shared" si="223"/>
        <v>PORTA DE MADEIRA-DE-LEI QUADRICULADA PARA VIDRO, DE CORRER (ANGELIM OU EQUIVALENTE REGIONAL), E = *3,5* CM</v>
      </c>
    </row>
    <row r="3533" spans="1:10" x14ac:dyDescent="0.25">
      <c r="A3533" s="169">
        <v>4998</v>
      </c>
      <c r="B3533" s="169" t="s">
        <v>27003</v>
      </c>
      <c r="C3533" s="169" t="s">
        <v>10226</v>
      </c>
      <c r="D3533" s="169" t="s">
        <v>1289</v>
      </c>
      <c r="E3533" s="103" t="s">
        <v>30976</v>
      </c>
      <c r="F3533" s="104"/>
      <c r="G3533" s="105">
        <f t="shared" si="220"/>
        <v>410.55</v>
      </c>
      <c r="H3533" s="101" t="str">
        <f t="shared" si="221"/>
        <v>Sinapi 4998</v>
      </c>
      <c r="I3533" s="101" t="str">
        <f t="shared" si="222"/>
        <v>M2</v>
      </c>
      <c r="J3533" s="140" t="str">
        <f t="shared" si="223"/>
        <v>PORTA DE MADEIRA-DE-LEI TIPO MEXICANA SEM EMENDA (ANGELIM OU EQUIVALENTE REGIONAL), E = *3,5* CM</v>
      </c>
    </row>
    <row r="3534" spans="1:10" x14ac:dyDescent="0.25">
      <c r="A3534" s="169">
        <v>4969</v>
      </c>
      <c r="B3534" s="169" t="s">
        <v>27004</v>
      </c>
      <c r="C3534" s="169" t="s">
        <v>10226</v>
      </c>
      <c r="D3534" s="169" t="s">
        <v>1288</v>
      </c>
      <c r="E3534" s="103" t="s">
        <v>30977</v>
      </c>
      <c r="F3534" s="104"/>
      <c r="G3534" s="105">
        <f t="shared" si="220"/>
        <v>285.73</v>
      </c>
      <c r="H3534" s="101" t="str">
        <f t="shared" si="221"/>
        <v>Sinapi 4969</v>
      </c>
      <c r="I3534" s="101" t="str">
        <f t="shared" si="222"/>
        <v>M2</v>
      </c>
      <c r="J3534" s="140" t="str">
        <f t="shared" si="223"/>
        <v>PORTA DE MADEIRA-DE-LEI TIPO VENEZIANA (ANGELIM OU EQUIVALENTE REGIONAL), E = *3,5* CM</v>
      </c>
    </row>
    <row r="3535" spans="1:10" x14ac:dyDescent="0.25">
      <c r="A3535" s="169">
        <v>11364</v>
      </c>
      <c r="B3535" s="169" t="s">
        <v>27005</v>
      </c>
      <c r="C3535" s="169" t="s">
        <v>10225</v>
      </c>
      <c r="D3535" s="169" t="s">
        <v>1289</v>
      </c>
      <c r="E3535" s="103" t="s">
        <v>30978</v>
      </c>
      <c r="F3535" s="104"/>
      <c r="G3535" s="105">
        <f t="shared" si="220"/>
        <v>223.36</v>
      </c>
      <c r="H3535" s="101" t="str">
        <f t="shared" si="221"/>
        <v>Sinapi 11364</v>
      </c>
      <c r="I3535" s="101" t="str">
        <f t="shared" si="222"/>
        <v>UN</v>
      </c>
      <c r="J3535" s="140" t="str">
        <f t="shared" si="223"/>
        <v>PORTA DE MADEIRA, FOLHA LEVE (NBR 15930) DE 600 X 2100 MM, DE 35 MM A 40 MM DE ESPESSURA, NUCLEO COLMEIA, CAPA LISA EM HDF, ACABAMENTO EM PRIMER PARA PINTURA</v>
      </c>
    </row>
    <row r="3536" spans="1:10" x14ac:dyDescent="0.25">
      <c r="A3536" s="169">
        <v>11365</v>
      </c>
      <c r="B3536" s="169" t="s">
        <v>27006</v>
      </c>
      <c r="C3536" s="169" t="s">
        <v>10225</v>
      </c>
      <c r="D3536" s="169" t="s">
        <v>1289</v>
      </c>
      <c r="E3536" s="103" t="s">
        <v>30979</v>
      </c>
      <c r="F3536" s="104"/>
      <c r="G3536" s="105">
        <f t="shared" si="220"/>
        <v>231.79</v>
      </c>
      <c r="H3536" s="101" t="str">
        <f t="shared" si="221"/>
        <v>Sinapi 11365</v>
      </c>
      <c r="I3536" s="101" t="str">
        <f t="shared" si="222"/>
        <v>UN</v>
      </c>
      <c r="J3536" s="140" t="str">
        <f t="shared" si="223"/>
        <v>PORTA DE MADEIRA, FOLHA LEVE (NBR 15930) DE 700 X 2100 MM, DE 35 MM A 40 MM DE ESPESSURA, NUCLEO COLMEIA, CAPA LISA EM HDF, ACABAMENTO EM PRIMER PARA PINTURA</v>
      </c>
    </row>
    <row r="3537" spans="1:10" x14ac:dyDescent="0.25">
      <c r="A3537" s="169">
        <v>11366</v>
      </c>
      <c r="B3537" s="169" t="s">
        <v>27007</v>
      </c>
      <c r="C3537" s="169" t="s">
        <v>10225</v>
      </c>
      <c r="D3537" s="169" t="s">
        <v>1289</v>
      </c>
      <c r="E3537" s="103" t="s">
        <v>30980</v>
      </c>
      <c r="F3537" s="104"/>
      <c r="G3537" s="105">
        <f t="shared" si="220"/>
        <v>246.4</v>
      </c>
      <c r="H3537" s="101" t="str">
        <f t="shared" si="221"/>
        <v>Sinapi 11366</v>
      </c>
      <c r="I3537" s="101" t="str">
        <f t="shared" si="222"/>
        <v>UN</v>
      </c>
      <c r="J3537" s="140" t="str">
        <f t="shared" si="223"/>
        <v>PORTA DE MADEIRA, FOLHA LEVE (NBR 15930) DE 800 X 2100 MM, DE 35 MM A 40 MM DE ESPESSURA, NUCLEO COLMEIA, CAPA LISA EM HDF, ACABAMENTO EM PRIMER PARA PINTURA</v>
      </c>
    </row>
    <row r="3538" spans="1:10" x14ac:dyDescent="0.25">
      <c r="A3538" s="169">
        <v>43777</v>
      </c>
      <c r="B3538" s="169" t="s">
        <v>27008</v>
      </c>
      <c r="C3538" s="169" t="s">
        <v>10225</v>
      </c>
      <c r="D3538" s="169" t="s">
        <v>1289</v>
      </c>
      <c r="E3538" s="103" t="s">
        <v>30981</v>
      </c>
      <c r="F3538" s="104"/>
      <c r="G3538" s="105">
        <f t="shared" si="220"/>
        <v>289.43</v>
      </c>
      <c r="H3538" s="101" t="str">
        <f t="shared" si="221"/>
        <v>Sinapi 43777</v>
      </c>
      <c r="I3538" s="101" t="str">
        <f t="shared" si="222"/>
        <v>UN</v>
      </c>
      <c r="J3538" s="140" t="str">
        <f t="shared" si="223"/>
        <v>PORTA DE MADEIRA, FOLHA LEVE (NBR 15930), DE 600 X 2100 MM, E = 35 MM, NUCLEO COLMEIA, CAPA LISA EM HDF, ACABAMENTO MELAMINICO EM PADRAO MADEIRA</v>
      </c>
    </row>
    <row r="3539" spans="1:10" x14ac:dyDescent="0.25">
      <c r="A3539" s="169">
        <v>20322</v>
      </c>
      <c r="B3539" s="169" t="s">
        <v>27009</v>
      </c>
      <c r="C3539" s="169" t="s">
        <v>10225</v>
      </c>
      <c r="D3539" s="169" t="s">
        <v>1289</v>
      </c>
      <c r="E3539" s="103" t="s">
        <v>30982</v>
      </c>
      <c r="F3539" s="104"/>
      <c r="G3539" s="105">
        <f t="shared" si="220"/>
        <v>268.68</v>
      </c>
      <c r="H3539" s="101" t="str">
        <f t="shared" si="221"/>
        <v>Sinapi 20322</v>
      </c>
      <c r="I3539" s="101" t="str">
        <f t="shared" si="222"/>
        <v>UN</v>
      </c>
      <c r="J3539" s="140" t="str">
        <f t="shared" si="223"/>
        <v>PORTA DE MADEIRA, FOLHA MEDIA (NBR 15930) DE 600 X 2100 MM, DE 35 MM A 40 MM DE ESPESSURA, NUCLEO SEMI-SOLIDO (SARRAFEADO), CAPA FRISADA EM HDF, ACABAMENTO MELAMINICO EM PADRAO MADEIRA</v>
      </c>
    </row>
    <row r="3540" spans="1:10" x14ac:dyDescent="0.25">
      <c r="A3540" s="169">
        <v>10553</v>
      </c>
      <c r="B3540" s="169" t="s">
        <v>27010</v>
      </c>
      <c r="C3540" s="169" t="s">
        <v>10225</v>
      </c>
      <c r="D3540" s="169" t="s">
        <v>1289</v>
      </c>
      <c r="E3540" s="103" t="s">
        <v>30983</v>
      </c>
      <c r="F3540" s="104"/>
      <c r="G3540" s="105">
        <f t="shared" si="220"/>
        <v>243.96</v>
      </c>
      <c r="H3540" s="101" t="str">
        <f t="shared" si="221"/>
        <v>Sinapi 10553</v>
      </c>
      <c r="I3540" s="101" t="str">
        <f t="shared" si="222"/>
        <v>UN</v>
      </c>
      <c r="J3540" s="140" t="str">
        <f t="shared" si="223"/>
        <v>PORTA DE MADEIRA, FOLHA MEDIA (NBR 15930) DE 600 X 2100 MM, DE 35 MM A 40 MM DE ESPESSURA, NUCLEO SEMI-SOLIDO (SARRAFEADO), CAPA LISA EM HDF, ACABAMENTO EM PRIMER PARA PINTURA</v>
      </c>
    </row>
    <row r="3541" spans="1:10" x14ac:dyDescent="0.25">
      <c r="A3541" s="169">
        <v>5020</v>
      </c>
      <c r="B3541" s="169" t="s">
        <v>27011</v>
      </c>
      <c r="C3541" s="169" t="s">
        <v>10225</v>
      </c>
      <c r="D3541" s="169" t="s">
        <v>1289</v>
      </c>
      <c r="E3541" s="103" t="s">
        <v>30984</v>
      </c>
      <c r="F3541" s="104"/>
      <c r="G3541" s="105">
        <f t="shared" si="220"/>
        <v>257.20999999999998</v>
      </c>
      <c r="H3541" s="101" t="str">
        <f t="shared" si="221"/>
        <v>Sinapi 5020</v>
      </c>
      <c r="I3541" s="101" t="str">
        <f t="shared" si="222"/>
        <v>UN</v>
      </c>
      <c r="J3541" s="140" t="str">
        <f t="shared" si="223"/>
        <v>PORTA DE MADEIRA, FOLHA MEDIA (NBR 15930) DE 600 X 2100 MM, DE 35 MM A 40 MM DE ESPESSURA, NUCLEO SEMI-SOLIDO (SARRAFEADO), CAPA LISA EM HDF, ACABAMENTO LAMINADO NATURAL PARA VERNIZ</v>
      </c>
    </row>
    <row r="3542" spans="1:10" x14ac:dyDescent="0.25">
      <c r="A3542" s="169">
        <v>10554</v>
      </c>
      <c r="B3542" s="169" t="s">
        <v>27012</v>
      </c>
      <c r="C3542" s="169" t="s">
        <v>10225</v>
      </c>
      <c r="D3542" s="169" t="s">
        <v>1289</v>
      </c>
      <c r="E3542" s="103" t="s">
        <v>30985</v>
      </c>
      <c r="F3542" s="104"/>
      <c r="G3542" s="105">
        <f t="shared" si="220"/>
        <v>246.12</v>
      </c>
      <c r="H3542" s="101" t="str">
        <f t="shared" si="221"/>
        <v>Sinapi 10554</v>
      </c>
      <c r="I3542" s="101" t="str">
        <f t="shared" si="222"/>
        <v>UN</v>
      </c>
      <c r="J3542" s="140" t="str">
        <f t="shared" si="223"/>
        <v>PORTA DE MADEIRA, FOLHA MEDIA (NBR 15930) DE 700 X 2100 MM, DE 35 MM A 40 MM DE ESPESSURA, NUCLEO SEMI-SOLIDO (SARRAFEADO), CAPA LISA EM HDF, ACABAMENTO EM PRIMER PARA PINTURA</v>
      </c>
    </row>
    <row r="3543" spans="1:10" x14ac:dyDescent="0.25">
      <c r="A3543" s="169">
        <v>10555</v>
      </c>
      <c r="B3543" s="169" t="s">
        <v>27013</v>
      </c>
      <c r="C3543" s="169" t="s">
        <v>10225</v>
      </c>
      <c r="D3543" s="169" t="s">
        <v>1289</v>
      </c>
      <c r="E3543" s="103" t="s">
        <v>30986</v>
      </c>
      <c r="F3543" s="104"/>
      <c r="G3543" s="105">
        <f t="shared" si="220"/>
        <v>268.39999999999998</v>
      </c>
      <c r="H3543" s="101" t="str">
        <f t="shared" si="221"/>
        <v>Sinapi 10555</v>
      </c>
      <c r="I3543" s="101" t="str">
        <f t="shared" si="222"/>
        <v>UN</v>
      </c>
      <c r="J3543" s="140" t="str">
        <f t="shared" si="223"/>
        <v>PORTA DE MADEIRA, FOLHA MEDIA (NBR 15930) DE 800 X 2100 MM, DE 35 MM A 40 MM DE ESPESSURA, NUCLEO SEMI-SOLIDO (SARRAFEADO), CAPA LISA EM HDF, ACABAMENTO EM PRIMER PARA PINTURA</v>
      </c>
    </row>
    <row r="3544" spans="1:10" x14ac:dyDescent="0.25">
      <c r="A3544" s="169">
        <v>10556</v>
      </c>
      <c r="B3544" s="169" t="s">
        <v>27014</v>
      </c>
      <c r="C3544" s="169" t="s">
        <v>10225</v>
      </c>
      <c r="D3544" s="169" t="s">
        <v>1289</v>
      </c>
      <c r="E3544" s="103" t="s">
        <v>30987</v>
      </c>
      <c r="F3544" s="104"/>
      <c r="G3544" s="105">
        <f t="shared" si="220"/>
        <v>356.87</v>
      </c>
      <c r="H3544" s="101" t="str">
        <f t="shared" si="221"/>
        <v>Sinapi 10556</v>
      </c>
      <c r="I3544" s="101" t="str">
        <f t="shared" si="222"/>
        <v>UN</v>
      </c>
      <c r="J3544" s="140" t="str">
        <f t="shared" si="223"/>
        <v>PORTA DE MADEIRA, FOLHA MEDIA (NBR 15930) DE 900 X 2100 MM, DE 35 MM A 40 MM DE ESPESSURA, NUCLEO SEMI-SOLIDO (SARRAFEADO), CAPA LISA EM HDF, ACABAMENTO EM PRIMER PARA PINTURA</v>
      </c>
    </row>
    <row r="3545" spans="1:10" x14ac:dyDescent="0.25">
      <c r="A3545" s="169">
        <v>39502</v>
      </c>
      <c r="B3545" s="169" t="s">
        <v>27015</v>
      </c>
      <c r="C3545" s="169" t="s">
        <v>10225</v>
      </c>
      <c r="D3545" s="169" t="s">
        <v>1289</v>
      </c>
      <c r="E3545" s="103" t="s">
        <v>30988</v>
      </c>
      <c r="F3545" s="104"/>
      <c r="G3545" s="105">
        <f t="shared" si="220"/>
        <v>501.13</v>
      </c>
      <c r="H3545" s="101" t="str">
        <f t="shared" si="221"/>
        <v>Sinapi 39502</v>
      </c>
      <c r="I3545" s="101" t="str">
        <f t="shared" si="222"/>
        <v>UN</v>
      </c>
      <c r="J3545" s="140" t="str">
        <f t="shared" si="223"/>
        <v>PORTA DE MADEIRA, FOLHA PESADA (NBR 15930) DE 800 X 2100 MM, DE 40 MM A 45 MM DE ESPESSURA, NUCLEO SOLIDO, CAPA LISA EM HDF, ACABAMENTO EM LAMINADO NATURAL PARA VERNIZ</v>
      </c>
    </row>
    <row r="3546" spans="1:10" x14ac:dyDescent="0.25">
      <c r="A3546" s="169">
        <v>39504</v>
      </c>
      <c r="B3546" s="169" t="s">
        <v>27016</v>
      </c>
      <c r="C3546" s="169" t="s">
        <v>10225</v>
      </c>
      <c r="D3546" s="169" t="s">
        <v>1289</v>
      </c>
      <c r="E3546" s="103" t="s">
        <v>30989</v>
      </c>
      <c r="F3546" s="104"/>
      <c r="G3546" s="105">
        <f t="shared" si="220"/>
        <v>554.16</v>
      </c>
      <c r="H3546" s="101" t="str">
        <f t="shared" si="221"/>
        <v>Sinapi 39504</v>
      </c>
      <c r="I3546" s="101" t="str">
        <f t="shared" si="222"/>
        <v>UN</v>
      </c>
      <c r="J3546" s="140" t="str">
        <f t="shared" si="223"/>
        <v>PORTA DE MADEIRA, FOLHA PESADA (NBR 15930) DE 800 X 2100 MM, DE 40 MM A 45 MM DE ESPESSURA, NUCLEO SOLIDO, CAPA LISA EM HDF, ACABAMENTO EM PRIMER PARA PINTURA</v>
      </c>
    </row>
    <row r="3547" spans="1:10" x14ac:dyDescent="0.25">
      <c r="A3547" s="169">
        <v>39503</v>
      </c>
      <c r="B3547" s="169" t="s">
        <v>27017</v>
      </c>
      <c r="C3547" s="169" t="s">
        <v>10225</v>
      </c>
      <c r="D3547" s="169" t="s">
        <v>1289</v>
      </c>
      <c r="E3547" s="103" t="s">
        <v>30990</v>
      </c>
      <c r="F3547" s="104"/>
      <c r="G3547" s="105">
        <f t="shared" si="220"/>
        <v>583.23</v>
      </c>
      <c r="H3547" s="101" t="str">
        <f t="shared" si="221"/>
        <v>Sinapi 39503</v>
      </c>
      <c r="I3547" s="101" t="str">
        <f t="shared" si="222"/>
        <v>UN</v>
      </c>
      <c r="J3547" s="140" t="str">
        <f t="shared" si="223"/>
        <v>PORTA DE MADEIRA, FOLHA PESADA (NBR 15930) DE 900 X 2100 MM, DE 40 MM A 45 MM DE ESPESSURA, NUCLEO SOLIDO, CAPA LISA EM HDF, ACABAMENTO EM LAMINADO NATURAL PARA VERNIZ</v>
      </c>
    </row>
    <row r="3548" spans="1:10" x14ac:dyDescent="0.25">
      <c r="A3548" s="169">
        <v>39505</v>
      </c>
      <c r="B3548" s="169" t="s">
        <v>27018</v>
      </c>
      <c r="C3548" s="169" t="s">
        <v>10225</v>
      </c>
      <c r="D3548" s="169" t="s">
        <v>1289</v>
      </c>
      <c r="E3548" s="103" t="s">
        <v>30991</v>
      </c>
      <c r="F3548" s="104"/>
      <c r="G3548" s="105">
        <f t="shared" si="220"/>
        <v>628.52</v>
      </c>
      <c r="H3548" s="101" t="str">
        <f t="shared" si="221"/>
        <v>Sinapi 39505</v>
      </c>
      <c r="I3548" s="101" t="str">
        <f t="shared" si="222"/>
        <v>UN</v>
      </c>
      <c r="J3548" s="140" t="str">
        <f t="shared" si="223"/>
        <v>PORTA DE MADEIRA, FOLHA PESADA (NBR 15930) DE 900 X 2100 MM, DE 40 MM A 45 MM DE ESPESSURA, NUCLEO SOLIDO, CAPA LISA EM HDF, ACABAMENTO EM PRIMER PARA PINTURA</v>
      </c>
    </row>
    <row r="3549" spans="1:10" x14ac:dyDescent="0.25">
      <c r="A3549" s="169">
        <v>44471</v>
      </c>
      <c r="B3549" s="169" t="s">
        <v>27019</v>
      </c>
      <c r="C3549" s="169" t="s">
        <v>10225</v>
      </c>
      <c r="D3549" s="169" t="s">
        <v>1290</v>
      </c>
      <c r="E3549" s="103" t="s">
        <v>30992</v>
      </c>
      <c r="F3549" s="104"/>
      <c r="G3549" s="105">
        <f t="shared" si="220"/>
        <v>567.70000000000005</v>
      </c>
      <c r="H3549" s="101" t="str">
        <f t="shared" si="221"/>
        <v>Sinapi 44471</v>
      </c>
      <c r="I3549" s="101" t="str">
        <f t="shared" si="222"/>
        <v>UN</v>
      </c>
      <c r="J3549" s="140" t="str">
        <f t="shared" si="223"/>
        <v>PORTA DENTE PARA FRESADORA</v>
      </c>
    </row>
    <row r="3550" spans="1:10" x14ac:dyDescent="0.25">
      <c r="A3550" s="169">
        <v>4944</v>
      </c>
      <c r="B3550" s="169" t="s">
        <v>27020</v>
      </c>
      <c r="C3550" s="169" t="s">
        <v>10226</v>
      </c>
      <c r="D3550" s="169" t="s">
        <v>1289</v>
      </c>
      <c r="E3550" s="103" t="s">
        <v>30993</v>
      </c>
      <c r="F3550" s="104"/>
      <c r="G3550" s="105">
        <f t="shared" si="220"/>
        <v>1200.27</v>
      </c>
      <c r="H3550" s="101" t="str">
        <f t="shared" si="221"/>
        <v>Sinapi 4944</v>
      </c>
      <c r="I3550" s="101" t="str">
        <f t="shared" si="222"/>
        <v>M2</v>
      </c>
      <c r="J3550" s="140" t="str">
        <f t="shared" si="223"/>
        <v>PORTA GRADE DE ENROLAR MANUAL COMPLETA, PERFIL TUBULAR TIJOLINHO 3/4 ", EM ACO GALVANIZADO NATURAL (SEM INSTALACAO)</v>
      </c>
    </row>
    <row r="3551" spans="1:10" x14ac:dyDescent="0.25">
      <c r="A3551" s="169">
        <v>21102</v>
      </c>
      <c r="B3551" s="169" t="s">
        <v>27021</v>
      </c>
      <c r="C3551" s="169" t="s">
        <v>10225</v>
      </c>
      <c r="D3551" s="169" t="s">
        <v>1289</v>
      </c>
      <c r="E3551" s="103" t="s">
        <v>29468</v>
      </c>
      <c r="F3551" s="104"/>
      <c r="G3551" s="105">
        <f t="shared" si="220"/>
        <v>72</v>
      </c>
      <c r="H3551" s="101" t="str">
        <f t="shared" si="221"/>
        <v>Sinapi 21102</v>
      </c>
      <c r="I3551" s="101" t="str">
        <f t="shared" si="222"/>
        <v>UN</v>
      </c>
      <c r="J3551" s="140" t="str">
        <f t="shared" si="223"/>
        <v>PORTA TOALHA BANHO EM METAL CROMADO, TIPO BARRA</v>
      </c>
    </row>
    <row r="3552" spans="1:10" x14ac:dyDescent="0.25">
      <c r="A3552" s="169">
        <v>21101</v>
      </c>
      <c r="B3552" s="169" t="s">
        <v>27022</v>
      </c>
      <c r="C3552" s="169" t="s">
        <v>10225</v>
      </c>
      <c r="D3552" s="169" t="s">
        <v>1289</v>
      </c>
      <c r="E3552" s="103" t="s">
        <v>28477</v>
      </c>
      <c r="F3552" s="104"/>
      <c r="G3552" s="105">
        <f t="shared" si="220"/>
        <v>46.23</v>
      </c>
      <c r="H3552" s="101" t="str">
        <f t="shared" si="221"/>
        <v>Sinapi 21101</v>
      </c>
      <c r="I3552" s="101" t="str">
        <f t="shared" si="222"/>
        <v>UN</v>
      </c>
      <c r="J3552" s="140" t="str">
        <f t="shared" si="223"/>
        <v>PORTA TOALHA ROSTO EM METAL CROMADO, TIPO ARGOLA</v>
      </c>
    </row>
    <row r="3553" spans="1:10" x14ac:dyDescent="0.25">
      <c r="A3553" s="169">
        <v>34713</v>
      </c>
      <c r="B3553" s="169" t="s">
        <v>27023</v>
      </c>
      <c r="C3553" s="169" t="s">
        <v>10226</v>
      </c>
      <c r="D3553" s="169" t="s">
        <v>1289</v>
      </c>
      <c r="E3553" s="103" t="s">
        <v>30994</v>
      </c>
      <c r="F3553" s="104"/>
      <c r="G3553" s="105">
        <f t="shared" si="220"/>
        <v>644.63</v>
      </c>
      <c r="H3553" s="101" t="str">
        <f t="shared" si="221"/>
        <v>Sinapi 34713</v>
      </c>
      <c r="I3553" s="101" t="str">
        <f t="shared" si="222"/>
        <v>M2</v>
      </c>
      <c r="J3553" s="140" t="str">
        <f t="shared" si="223"/>
        <v>PORTA VIDRO TEMPERADO INCOLOR, 2 FOLHAS DE CORRER, E = 10 MM (SEM FERRAGENS E SEM COLOCACAO)</v>
      </c>
    </row>
    <row r="3554" spans="1:10" x14ac:dyDescent="0.25">
      <c r="A3554" s="169">
        <v>37563</v>
      </c>
      <c r="B3554" s="169" t="s">
        <v>27024</v>
      </c>
      <c r="C3554" s="169" t="s">
        <v>10226</v>
      </c>
      <c r="D3554" s="169" t="s">
        <v>1290</v>
      </c>
      <c r="E3554" s="103" t="s">
        <v>30995</v>
      </c>
      <c r="F3554" s="104"/>
      <c r="G3554" s="105">
        <f t="shared" si="220"/>
        <v>703.51</v>
      </c>
      <c r="H3554" s="101" t="str">
        <f t="shared" si="221"/>
        <v>Sinapi 37563</v>
      </c>
      <c r="I3554" s="101" t="str">
        <f t="shared" si="222"/>
        <v>M2</v>
      </c>
      <c r="J3554" s="140" t="str">
        <f t="shared" si="223"/>
        <v>PORTAO BASCULANTE, MANUAL, EM ACO GALVANIZADO, CHAPA 26, TIPO LAMBRIL, COM REQUADRO, ACABAMENTO NATURAL</v>
      </c>
    </row>
    <row r="3555" spans="1:10" x14ac:dyDescent="0.25">
      <c r="A3555" s="169">
        <v>4948</v>
      </c>
      <c r="B3555" s="169" t="s">
        <v>27025</v>
      </c>
      <c r="C3555" s="169" t="s">
        <v>10226</v>
      </c>
      <c r="D3555" s="169" t="s">
        <v>1290</v>
      </c>
      <c r="E3555" s="103" t="s">
        <v>30996</v>
      </c>
      <c r="F3555" s="104"/>
      <c r="G3555" s="105">
        <f t="shared" si="220"/>
        <v>612.07000000000005</v>
      </c>
      <c r="H3555" s="101" t="str">
        <f t="shared" si="221"/>
        <v>Sinapi 4948</v>
      </c>
      <c r="I3555" s="101" t="str">
        <f t="shared" si="222"/>
        <v>M2</v>
      </c>
      <c r="J3555" s="140" t="str">
        <f t="shared" si="223"/>
        <v>PORTAO DE ABRIR / GIRO, EM GRADIL DE METALON REDONDO DE 3/4" VERTICAL, COM REQUADRO, ACABAMENTO NATURAL - COMPLETO</v>
      </c>
    </row>
    <row r="3556" spans="1:10" x14ac:dyDescent="0.25">
      <c r="A3556" s="169">
        <v>37561</v>
      </c>
      <c r="B3556" s="169" t="s">
        <v>27026</v>
      </c>
      <c r="C3556" s="169" t="s">
        <v>10226</v>
      </c>
      <c r="D3556" s="169" t="s">
        <v>1290</v>
      </c>
      <c r="E3556" s="103" t="s">
        <v>30997</v>
      </c>
      <c r="F3556" s="104"/>
      <c r="G3556" s="105">
        <f t="shared" si="220"/>
        <v>570.84</v>
      </c>
      <c r="H3556" s="101" t="str">
        <f t="shared" si="221"/>
        <v>Sinapi 37561</v>
      </c>
      <c r="I3556" s="101" t="str">
        <f t="shared" si="222"/>
        <v>M2</v>
      </c>
      <c r="J3556" s="140" t="str">
        <f t="shared" si="223"/>
        <v>PORTAO DE CORRER EM CHAPA TIPO PAINEL LAMBRIL QUADRADO, COM PORTA SOCIAL COMPLETA INCLUIDA, COM REQUADRO, ACABAMENTO NATURAL, COM TRILHOS E ROLDANAS</v>
      </c>
    </row>
    <row r="3557" spans="1:10" x14ac:dyDescent="0.25">
      <c r="A3557" s="169">
        <v>37562</v>
      </c>
      <c r="B3557" s="169" t="s">
        <v>27027</v>
      </c>
      <c r="C3557" s="169" t="s">
        <v>10226</v>
      </c>
      <c r="D3557" s="169" t="s">
        <v>1290</v>
      </c>
      <c r="E3557" s="103" t="s">
        <v>30998</v>
      </c>
      <c r="F3557" s="104"/>
      <c r="G3557" s="105">
        <f t="shared" si="220"/>
        <v>748.43</v>
      </c>
      <c r="H3557" s="101" t="str">
        <f t="shared" si="221"/>
        <v>Sinapi 37562</v>
      </c>
      <c r="I3557" s="101" t="str">
        <f t="shared" si="222"/>
        <v>M2</v>
      </c>
      <c r="J3557" s="140" t="str">
        <f t="shared" si="223"/>
        <v>PORTAO DE CORRER EM GRADIL FIXO DE BARRA DE FERRO CHATA DE 3 X 1/4" NA VERTICAL, SEM REQUADRO, ACABAMENTO NATURAL, COM TRILHOS E ROLDANAS</v>
      </c>
    </row>
    <row r="3558" spans="1:10" x14ac:dyDescent="0.25">
      <c r="A3558" s="169">
        <v>14164</v>
      </c>
      <c r="B3558" s="169" t="s">
        <v>27028</v>
      </c>
      <c r="C3558" s="169" t="s">
        <v>10225</v>
      </c>
      <c r="D3558" s="169" t="s">
        <v>1290</v>
      </c>
      <c r="E3558" s="103" t="s">
        <v>20082</v>
      </c>
      <c r="F3558" s="104"/>
      <c r="G3558" s="105">
        <f t="shared" si="220"/>
        <v>2009.86</v>
      </c>
      <c r="H3558" s="101" t="str">
        <f t="shared" si="221"/>
        <v>Sinapi 14164</v>
      </c>
      <c r="I3558" s="101" t="str">
        <f t="shared" si="222"/>
        <v>UN</v>
      </c>
      <c r="J3558" s="140" t="str">
        <f t="shared" si="223"/>
        <v>POSTE CONICO CONTINUO EM ACO GALVANIZADO, CURVO, BRACO DUPLO, ENGASTADO, H = 9 M, DIAMETRO INFERIOR = *135* MM</v>
      </c>
    </row>
    <row r="3559" spans="1:10" x14ac:dyDescent="0.25">
      <c r="A3559" s="169">
        <v>14163</v>
      </c>
      <c r="B3559" s="169" t="s">
        <v>27029</v>
      </c>
      <c r="C3559" s="169" t="s">
        <v>10225</v>
      </c>
      <c r="D3559" s="169" t="s">
        <v>1290</v>
      </c>
      <c r="E3559" s="103" t="s">
        <v>20083</v>
      </c>
      <c r="F3559" s="104"/>
      <c r="G3559" s="105">
        <f t="shared" si="220"/>
        <v>2284.34</v>
      </c>
      <c r="H3559" s="101" t="str">
        <f t="shared" si="221"/>
        <v>Sinapi 14163</v>
      </c>
      <c r="I3559" s="101" t="str">
        <f t="shared" si="222"/>
        <v>UN</v>
      </c>
      <c r="J3559" s="140" t="str">
        <f t="shared" si="223"/>
        <v>POSTE CONICO CONTINUO EM ACO GALVANIZADO, CURVO, BRACO DUPLO, FLANGEADO, H = 9 M, DIAMETRO INFERIOR = *135* MM</v>
      </c>
    </row>
    <row r="3560" spans="1:10" x14ac:dyDescent="0.25">
      <c r="A3560" s="169">
        <v>5051</v>
      </c>
      <c r="B3560" s="169" t="s">
        <v>27030</v>
      </c>
      <c r="C3560" s="169" t="s">
        <v>10225</v>
      </c>
      <c r="D3560" s="169" t="s">
        <v>1290</v>
      </c>
      <c r="E3560" s="103" t="s">
        <v>20084</v>
      </c>
      <c r="F3560" s="104"/>
      <c r="G3560" s="105">
        <f t="shared" si="220"/>
        <v>1942.8</v>
      </c>
      <c r="H3560" s="101" t="str">
        <f t="shared" si="221"/>
        <v>Sinapi 5051</v>
      </c>
      <c r="I3560" s="101" t="str">
        <f t="shared" si="222"/>
        <v>UN</v>
      </c>
      <c r="J3560" s="140" t="str">
        <f t="shared" si="223"/>
        <v>POSTE CONICO CONTINUO EM ACO GALVANIZADO, CURVO, BRACO SIMPLES, ENGASTADO, H = 9 M, DIAMETRO INFERIOR = *135* MM</v>
      </c>
    </row>
    <row r="3561" spans="1:10" x14ac:dyDescent="0.25">
      <c r="A3561" s="169">
        <v>14162</v>
      </c>
      <c r="B3561" s="169" t="s">
        <v>27031</v>
      </c>
      <c r="C3561" s="169" t="s">
        <v>10225</v>
      </c>
      <c r="D3561" s="169" t="s">
        <v>1290</v>
      </c>
      <c r="E3561" s="103" t="s">
        <v>20085</v>
      </c>
      <c r="F3561" s="104"/>
      <c r="G3561" s="105">
        <f t="shared" si="220"/>
        <v>1939.98</v>
      </c>
      <c r="H3561" s="101" t="str">
        <f t="shared" si="221"/>
        <v>Sinapi 14162</v>
      </c>
      <c r="I3561" s="101" t="str">
        <f t="shared" si="222"/>
        <v>UN</v>
      </c>
      <c r="J3561" s="140" t="str">
        <f t="shared" si="223"/>
        <v>POSTE CONICO CONTINUO EM ACO GALVANIZADO, CURVO, BRACO SIMPLES, FLANGEADO, H = 9 M, DIAMETRO INFERIOR = *135* MM</v>
      </c>
    </row>
    <row r="3562" spans="1:10" x14ac:dyDescent="0.25">
      <c r="A3562" s="169">
        <v>5052</v>
      </c>
      <c r="B3562" s="169" t="s">
        <v>27032</v>
      </c>
      <c r="C3562" s="169" t="s">
        <v>10225</v>
      </c>
      <c r="D3562" s="169" t="s">
        <v>1290</v>
      </c>
      <c r="E3562" s="103" t="s">
        <v>20086</v>
      </c>
      <c r="F3562" s="104"/>
      <c r="G3562" s="105">
        <f t="shared" si="220"/>
        <v>1447.5</v>
      </c>
      <c r="H3562" s="101" t="str">
        <f t="shared" si="221"/>
        <v>Sinapi 5052</v>
      </c>
      <c r="I3562" s="101" t="str">
        <f t="shared" si="222"/>
        <v>UN</v>
      </c>
      <c r="J3562" s="140" t="str">
        <f t="shared" si="223"/>
        <v>POSTE CONICO CONTINUO EM ACO GALVANIZADO, CURVO, BRACO SIMPLES, FLANGEADO, H = 7 M, DIAMETRO INFERIOR = *125* MM</v>
      </c>
    </row>
    <row r="3563" spans="1:10" x14ac:dyDescent="0.25">
      <c r="A3563" s="169">
        <v>14166</v>
      </c>
      <c r="B3563" s="169" t="s">
        <v>27033</v>
      </c>
      <c r="C3563" s="169" t="s">
        <v>10225</v>
      </c>
      <c r="D3563" s="169" t="s">
        <v>1290</v>
      </c>
      <c r="E3563" s="103" t="s">
        <v>20087</v>
      </c>
      <c r="F3563" s="104"/>
      <c r="G3563" s="105">
        <f t="shared" si="220"/>
        <v>1465.88</v>
      </c>
      <c r="H3563" s="101" t="str">
        <f t="shared" si="221"/>
        <v>Sinapi 14166</v>
      </c>
      <c r="I3563" s="101" t="str">
        <f t="shared" si="222"/>
        <v>UN</v>
      </c>
      <c r="J3563" s="140" t="str">
        <f t="shared" si="223"/>
        <v>POSTE CONICO CONTINUO EM ACO GALVANIZADO, RETO, ENGASTADO, H = 7 M, DIAMETRO INFERIOR = *125* MM</v>
      </c>
    </row>
    <row r="3564" spans="1:10" x14ac:dyDescent="0.25">
      <c r="A3564" s="169">
        <v>14165</v>
      </c>
      <c r="B3564" s="169" t="s">
        <v>27034</v>
      </c>
      <c r="C3564" s="169" t="s">
        <v>10225</v>
      </c>
      <c r="D3564" s="169" t="s">
        <v>1290</v>
      </c>
      <c r="E3564" s="103" t="s">
        <v>20088</v>
      </c>
      <c r="F3564" s="104"/>
      <c r="G3564" s="105">
        <f t="shared" si="220"/>
        <v>2030.77</v>
      </c>
      <c r="H3564" s="101" t="str">
        <f t="shared" si="221"/>
        <v>Sinapi 14165</v>
      </c>
      <c r="I3564" s="101" t="str">
        <f t="shared" si="222"/>
        <v>UN</v>
      </c>
      <c r="J3564" s="140" t="str">
        <f t="shared" si="223"/>
        <v>POSTE CONICO CONTINUO EM ACO GALVANIZADO, RETO, ENGASTADO, H = 9 M, DIAMETRO INFERIOR = *145* MM</v>
      </c>
    </row>
    <row r="3565" spans="1:10" x14ac:dyDescent="0.25">
      <c r="A3565" s="169">
        <v>5050</v>
      </c>
      <c r="B3565" s="169" t="s">
        <v>27035</v>
      </c>
      <c r="C3565" s="169" t="s">
        <v>10225</v>
      </c>
      <c r="D3565" s="169" t="s">
        <v>1290</v>
      </c>
      <c r="E3565" s="103" t="s">
        <v>20089</v>
      </c>
      <c r="F3565" s="104"/>
      <c r="G3565" s="105">
        <f t="shared" si="220"/>
        <v>499.82</v>
      </c>
      <c r="H3565" s="101" t="str">
        <f t="shared" si="221"/>
        <v>Sinapi 5050</v>
      </c>
      <c r="I3565" s="101" t="str">
        <f t="shared" si="222"/>
        <v>UN</v>
      </c>
      <c r="J3565" s="140" t="str">
        <f t="shared" si="223"/>
        <v>POSTE CONICO CONTINUO EM ACO GALVANIZADO, RETO, FLANGEADO, H = 3 M, DIAMETRO INFERIOR = *95* MM</v>
      </c>
    </row>
    <row r="3566" spans="1:10" x14ac:dyDescent="0.25">
      <c r="A3566" s="169">
        <v>12366</v>
      </c>
      <c r="B3566" s="169" t="s">
        <v>27036</v>
      </c>
      <c r="C3566" s="169" t="s">
        <v>10225</v>
      </c>
      <c r="D3566" s="169" t="s">
        <v>1289</v>
      </c>
      <c r="E3566" s="103" t="s">
        <v>30999</v>
      </c>
      <c r="F3566" s="104"/>
      <c r="G3566" s="105">
        <f t="shared" si="220"/>
        <v>2142.96</v>
      </c>
      <c r="H3566" s="101" t="str">
        <f t="shared" si="221"/>
        <v>Sinapi 12366</v>
      </c>
      <c r="I3566" s="101" t="str">
        <f t="shared" si="222"/>
        <v>UN</v>
      </c>
      <c r="J3566" s="140" t="str">
        <f t="shared" si="223"/>
        <v>POSTE DE CONCRETO ARMADO DE SECAO CIRCULAR, EXTENSAO DE 10,00 M, RESISTENCIA DE 150 A 200 DAN, TIPO C-14</v>
      </c>
    </row>
    <row r="3567" spans="1:10" x14ac:dyDescent="0.25">
      <c r="A3567" s="169">
        <v>5045</v>
      </c>
      <c r="B3567" s="169" t="s">
        <v>27037</v>
      </c>
      <c r="C3567" s="169" t="s">
        <v>10225</v>
      </c>
      <c r="D3567" s="169" t="s">
        <v>1289</v>
      </c>
      <c r="E3567" s="103" t="s">
        <v>31000</v>
      </c>
      <c r="F3567" s="104"/>
      <c r="G3567" s="105">
        <f t="shared" si="220"/>
        <v>2960.38</v>
      </c>
      <c r="H3567" s="101" t="str">
        <f t="shared" si="221"/>
        <v>Sinapi 5045</v>
      </c>
      <c r="I3567" s="101" t="str">
        <f t="shared" si="222"/>
        <v>UN</v>
      </c>
      <c r="J3567" s="140" t="str">
        <f t="shared" si="223"/>
        <v>POSTE DE CONCRETO ARMADO DE SECAO CIRCULAR, EXTENSAO DE 11,00 M, RESISTENCIA DE 200 A 300 DAN, TIPO C-14</v>
      </c>
    </row>
    <row r="3568" spans="1:10" x14ac:dyDescent="0.25">
      <c r="A3568" s="169">
        <v>5035</v>
      </c>
      <c r="B3568" s="169" t="s">
        <v>27038</v>
      </c>
      <c r="C3568" s="169" t="s">
        <v>10225</v>
      </c>
      <c r="D3568" s="169" t="s">
        <v>1289</v>
      </c>
      <c r="E3568" s="103" t="s">
        <v>31001</v>
      </c>
      <c r="F3568" s="104"/>
      <c r="G3568" s="105">
        <f t="shared" si="220"/>
        <v>3403.73</v>
      </c>
      <c r="H3568" s="101" t="str">
        <f t="shared" si="221"/>
        <v>Sinapi 5035</v>
      </c>
      <c r="I3568" s="101" t="str">
        <f t="shared" si="222"/>
        <v>UN</v>
      </c>
      <c r="J3568" s="140" t="str">
        <f t="shared" si="223"/>
        <v>POSTE DE CONCRETO ARMADO DE SECAO CIRCULAR, EXTENSAO DE 11,00 M, RESISTENCIA DE 300 A 400 DAN, TIPO C-17</v>
      </c>
    </row>
    <row r="3569" spans="1:10" x14ac:dyDescent="0.25">
      <c r="A3569" s="169">
        <v>41180</v>
      </c>
      <c r="B3569" s="169" t="s">
        <v>27039</v>
      </c>
      <c r="C3569" s="169" t="s">
        <v>10225</v>
      </c>
      <c r="D3569" s="169" t="s">
        <v>1289</v>
      </c>
      <c r="E3569" s="103" t="s">
        <v>31002</v>
      </c>
      <c r="F3569" s="104"/>
      <c r="G3569" s="105">
        <f t="shared" si="220"/>
        <v>7651.54</v>
      </c>
      <c r="H3569" s="101" t="str">
        <f t="shared" si="221"/>
        <v>Sinapi 41180</v>
      </c>
      <c r="I3569" s="101" t="str">
        <f t="shared" si="222"/>
        <v>UN</v>
      </c>
      <c r="J3569" s="140" t="str">
        <f t="shared" si="223"/>
        <v>POSTE DE CONCRETO ARMADO DE SECAO CIRCULAR, EXTENSAO DE 13,00 M, RESISTENCIA DE 1000 DAN, TIPO C-23</v>
      </c>
    </row>
    <row r="3570" spans="1:10" x14ac:dyDescent="0.25">
      <c r="A3570" s="169">
        <v>41181</v>
      </c>
      <c r="B3570" s="169" t="s">
        <v>27040</v>
      </c>
      <c r="C3570" s="169" t="s">
        <v>10225</v>
      </c>
      <c r="D3570" s="169" t="s">
        <v>1289</v>
      </c>
      <c r="E3570" s="103" t="s">
        <v>31003</v>
      </c>
      <c r="F3570" s="104"/>
      <c r="G3570" s="105">
        <f t="shared" si="220"/>
        <v>10130.39</v>
      </c>
      <c r="H3570" s="101" t="str">
        <f t="shared" si="221"/>
        <v>Sinapi 41181</v>
      </c>
      <c r="I3570" s="101" t="str">
        <f t="shared" si="222"/>
        <v>UN</v>
      </c>
      <c r="J3570" s="140" t="str">
        <f t="shared" si="223"/>
        <v>POSTE DE CONCRETO ARMADO DE SECAO CIRCULAR, EXTENSAO DE 13,00 M, RESISTENCIA DE 1500 DAN, TIPO C-29</v>
      </c>
    </row>
    <row r="3571" spans="1:10" x14ac:dyDescent="0.25">
      <c r="A3571" s="169">
        <v>41182</v>
      </c>
      <c r="B3571" s="169" t="s">
        <v>27041</v>
      </c>
      <c r="C3571" s="169" t="s">
        <v>10225</v>
      </c>
      <c r="D3571" s="169" t="s">
        <v>1289</v>
      </c>
      <c r="E3571" s="103" t="s">
        <v>31004</v>
      </c>
      <c r="F3571" s="104"/>
      <c r="G3571" s="105">
        <f t="shared" si="220"/>
        <v>14532.89</v>
      </c>
      <c r="H3571" s="101" t="str">
        <f t="shared" si="221"/>
        <v>Sinapi 41182</v>
      </c>
      <c r="I3571" s="101" t="str">
        <f t="shared" si="222"/>
        <v>UN</v>
      </c>
      <c r="J3571" s="140" t="str">
        <f t="shared" si="223"/>
        <v>POSTE DE CONCRETO ARMADO DE SECAO CIRCULAR, EXTENSAO DE 13,00 M, RESISTENCIA DE 2000 DAN, TIPO C-29</v>
      </c>
    </row>
    <row r="3572" spans="1:10" x14ac:dyDescent="0.25">
      <c r="A3572" s="169">
        <v>41183</v>
      </c>
      <c r="B3572" s="169" t="s">
        <v>27042</v>
      </c>
      <c r="C3572" s="169" t="s">
        <v>10225</v>
      </c>
      <c r="D3572" s="169" t="s">
        <v>1289</v>
      </c>
      <c r="E3572" s="103" t="s">
        <v>31005</v>
      </c>
      <c r="F3572" s="104"/>
      <c r="G3572" s="105">
        <f t="shared" si="220"/>
        <v>18144.61</v>
      </c>
      <c r="H3572" s="101" t="str">
        <f t="shared" si="221"/>
        <v>Sinapi 41183</v>
      </c>
      <c r="I3572" s="101" t="str">
        <f t="shared" si="222"/>
        <v>UN</v>
      </c>
      <c r="J3572" s="140" t="str">
        <f t="shared" si="223"/>
        <v>POSTE DE CONCRETO ARMADO DE SECAO CIRCULAR, EXTENSAO DE 13,00 M, RESISTENCIA DE 2500 DAN, TIPO C-29</v>
      </c>
    </row>
    <row r="3573" spans="1:10" x14ac:dyDescent="0.25">
      <c r="A3573" s="169">
        <v>41184</v>
      </c>
      <c r="B3573" s="169" t="s">
        <v>27043</v>
      </c>
      <c r="C3573" s="169" t="s">
        <v>10225</v>
      </c>
      <c r="D3573" s="169" t="s">
        <v>1289</v>
      </c>
      <c r="E3573" s="103" t="s">
        <v>31006</v>
      </c>
      <c r="F3573" s="104"/>
      <c r="G3573" s="105">
        <f t="shared" si="220"/>
        <v>27626.27</v>
      </c>
      <c r="H3573" s="101" t="str">
        <f t="shared" si="221"/>
        <v>Sinapi 41184</v>
      </c>
      <c r="I3573" s="101" t="str">
        <f t="shared" si="222"/>
        <v>UN</v>
      </c>
      <c r="J3573" s="140" t="str">
        <f t="shared" si="223"/>
        <v>POSTE DE CONCRETO ARMADO DE SECAO CIRCULAR, EXTENSAO DE 13,00 M, RESISTENCIA DE 3000 DAN, TIPO C-29</v>
      </c>
    </row>
    <row r="3574" spans="1:10" x14ac:dyDescent="0.25">
      <c r="A3574" s="169">
        <v>41185</v>
      </c>
      <c r="B3574" s="169" t="s">
        <v>27044</v>
      </c>
      <c r="C3574" s="169" t="s">
        <v>10225</v>
      </c>
      <c r="D3574" s="169" t="s">
        <v>1289</v>
      </c>
      <c r="E3574" s="103" t="s">
        <v>31007</v>
      </c>
      <c r="F3574" s="104"/>
      <c r="G3574" s="105">
        <f t="shared" si="220"/>
        <v>10245.07</v>
      </c>
      <c r="H3574" s="101" t="str">
        <f t="shared" si="221"/>
        <v>Sinapi 41185</v>
      </c>
      <c r="I3574" s="101" t="str">
        <f t="shared" si="222"/>
        <v>UN</v>
      </c>
      <c r="J3574" s="140" t="str">
        <f t="shared" si="223"/>
        <v>POSTE DE CONCRETO ARMADO DE SECAO CIRCULAR, EXTENSAO DE 14,00 M, RESISTENCIA DE 1000 DAN, TIPO C-23</v>
      </c>
    </row>
    <row r="3575" spans="1:10" x14ac:dyDescent="0.25">
      <c r="A3575" s="169">
        <v>41186</v>
      </c>
      <c r="B3575" s="169" t="s">
        <v>27045</v>
      </c>
      <c r="C3575" s="169" t="s">
        <v>10225</v>
      </c>
      <c r="D3575" s="169" t="s">
        <v>1289</v>
      </c>
      <c r="E3575" s="103" t="s">
        <v>31008</v>
      </c>
      <c r="F3575" s="104"/>
      <c r="G3575" s="105">
        <f t="shared" si="220"/>
        <v>14357.27</v>
      </c>
      <c r="H3575" s="101" t="str">
        <f t="shared" si="221"/>
        <v>Sinapi 41186</v>
      </c>
      <c r="I3575" s="101" t="str">
        <f t="shared" si="222"/>
        <v>UN</v>
      </c>
      <c r="J3575" s="140" t="str">
        <f t="shared" si="223"/>
        <v>POSTE DE CONCRETO ARMADO DE SECAO CIRCULAR, EXTENSAO DE 14,00 M, RESISTENCIA DE 1500 DAN, TIPO C-29</v>
      </c>
    </row>
    <row r="3576" spans="1:10" x14ac:dyDescent="0.25">
      <c r="A3576" s="169">
        <v>41187</v>
      </c>
      <c r="B3576" s="169" t="s">
        <v>27046</v>
      </c>
      <c r="C3576" s="169" t="s">
        <v>10225</v>
      </c>
      <c r="D3576" s="169" t="s">
        <v>1289</v>
      </c>
      <c r="E3576" s="103" t="s">
        <v>31009</v>
      </c>
      <c r="F3576" s="104"/>
      <c r="G3576" s="105">
        <f t="shared" si="220"/>
        <v>19254.29</v>
      </c>
      <c r="H3576" s="101" t="str">
        <f t="shared" si="221"/>
        <v>Sinapi 41187</v>
      </c>
      <c r="I3576" s="101" t="str">
        <f t="shared" si="222"/>
        <v>UN</v>
      </c>
      <c r="J3576" s="140" t="str">
        <f t="shared" si="223"/>
        <v>POSTE DE CONCRETO ARMADO DE SECAO CIRCULAR, EXTENSAO DE 14,00 M, RESISTENCIA DE 2000 DAN, TIPO C-29</v>
      </c>
    </row>
    <row r="3577" spans="1:10" x14ac:dyDescent="0.25">
      <c r="A3577" s="169">
        <v>41188</v>
      </c>
      <c r="B3577" s="169" t="s">
        <v>27047</v>
      </c>
      <c r="C3577" s="169" t="s">
        <v>10225</v>
      </c>
      <c r="D3577" s="169" t="s">
        <v>1289</v>
      </c>
      <c r="E3577" s="103" t="s">
        <v>31010</v>
      </c>
      <c r="F3577" s="104"/>
      <c r="G3577" s="105">
        <f t="shared" si="220"/>
        <v>24621.95</v>
      </c>
      <c r="H3577" s="101" t="str">
        <f t="shared" si="221"/>
        <v>Sinapi 41188</v>
      </c>
      <c r="I3577" s="101" t="str">
        <f t="shared" si="222"/>
        <v>UN</v>
      </c>
      <c r="J3577" s="140" t="str">
        <f t="shared" si="223"/>
        <v>POSTE DE CONCRETO ARMADO DE SECAO CIRCULAR, EXTENSAO DE 14,00 M, RESISTENCIA DE 2500 DAN, TIPO C-29</v>
      </c>
    </row>
    <row r="3578" spans="1:10" x14ac:dyDescent="0.25">
      <c r="A3578" s="169">
        <v>5036</v>
      </c>
      <c r="B3578" s="169" t="s">
        <v>27048</v>
      </c>
      <c r="C3578" s="169" t="s">
        <v>10225</v>
      </c>
      <c r="D3578" s="169" t="s">
        <v>1289</v>
      </c>
      <c r="E3578" s="103" t="s">
        <v>31011</v>
      </c>
      <c r="F3578" s="104"/>
      <c r="G3578" s="105">
        <f t="shared" si="220"/>
        <v>5221.9399999999996</v>
      </c>
      <c r="H3578" s="101" t="str">
        <f t="shared" si="221"/>
        <v>Sinapi 5036</v>
      </c>
      <c r="I3578" s="101" t="str">
        <f t="shared" si="222"/>
        <v>UN</v>
      </c>
      <c r="J3578" s="140" t="str">
        <f t="shared" si="223"/>
        <v>POSTE DE CONCRETO ARMADO DE SECAO CIRCULAR, EXTENSAO DE 14,00 M, RESISTENCIA DE 300 A 400 DAN, TIPO C-17</v>
      </c>
    </row>
    <row r="3579" spans="1:10" x14ac:dyDescent="0.25">
      <c r="A3579" s="169">
        <v>41189</v>
      </c>
      <c r="B3579" s="169" t="s">
        <v>27049</v>
      </c>
      <c r="C3579" s="169" t="s">
        <v>10225</v>
      </c>
      <c r="D3579" s="169" t="s">
        <v>1289</v>
      </c>
      <c r="E3579" s="103" t="s">
        <v>31012</v>
      </c>
      <c r="F3579" s="104"/>
      <c r="G3579" s="105">
        <f t="shared" si="220"/>
        <v>31654.09</v>
      </c>
      <c r="H3579" s="101" t="str">
        <f t="shared" si="221"/>
        <v>Sinapi 41189</v>
      </c>
      <c r="I3579" s="101" t="str">
        <f t="shared" si="222"/>
        <v>UN</v>
      </c>
      <c r="J3579" s="140" t="str">
        <f t="shared" si="223"/>
        <v>POSTE DE CONCRETO ARMADO DE SECAO CIRCULAR, EXTENSAO DE 14,00 M, RESISTENCIA DE 3000 DAN, TIPO C-29</v>
      </c>
    </row>
    <row r="3580" spans="1:10" x14ac:dyDescent="0.25">
      <c r="A3580" s="169">
        <v>41190</v>
      </c>
      <c r="B3580" s="169" t="s">
        <v>27050</v>
      </c>
      <c r="C3580" s="169" t="s">
        <v>10225</v>
      </c>
      <c r="D3580" s="169" t="s">
        <v>1289</v>
      </c>
      <c r="E3580" s="103" t="s">
        <v>31013</v>
      </c>
      <c r="F3580" s="104"/>
      <c r="G3580" s="105">
        <f t="shared" si="220"/>
        <v>11008.18</v>
      </c>
      <c r="H3580" s="101" t="str">
        <f t="shared" si="221"/>
        <v>Sinapi 41190</v>
      </c>
      <c r="I3580" s="101" t="str">
        <f t="shared" si="222"/>
        <v>UN</v>
      </c>
      <c r="J3580" s="140" t="str">
        <f t="shared" si="223"/>
        <v>POSTE DE CONCRETO ARMADO DE SECAO CIRCULAR, EXTENSAO DE 15,00 M, RESISTENCIA DE 1000 DAN, TIPO C-23</v>
      </c>
    </row>
    <row r="3581" spans="1:10" x14ac:dyDescent="0.25">
      <c r="A3581" s="169">
        <v>41191</v>
      </c>
      <c r="B3581" s="169" t="s">
        <v>27051</v>
      </c>
      <c r="C3581" s="169" t="s">
        <v>10225</v>
      </c>
      <c r="D3581" s="169" t="s">
        <v>1289</v>
      </c>
      <c r="E3581" s="103" t="s">
        <v>31014</v>
      </c>
      <c r="F3581" s="104"/>
      <c r="G3581" s="105">
        <f t="shared" si="220"/>
        <v>16880.64</v>
      </c>
      <c r="H3581" s="101" t="str">
        <f t="shared" si="221"/>
        <v>Sinapi 41191</v>
      </c>
      <c r="I3581" s="101" t="str">
        <f t="shared" si="222"/>
        <v>UN</v>
      </c>
      <c r="J3581" s="140" t="str">
        <f t="shared" si="223"/>
        <v>POSTE DE CONCRETO ARMADO DE SECAO CIRCULAR, EXTENSAO DE 15,00 M, RESISTENCIA DE 1500 DAN, TIPO C-29</v>
      </c>
    </row>
    <row r="3582" spans="1:10" x14ac:dyDescent="0.25">
      <c r="A3582" s="169">
        <v>41192</v>
      </c>
      <c r="B3582" s="169" t="s">
        <v>27052</v>
      </c>
      <c r="C3582" s="169" t="s">
        <v>10225</v>
      </c>
      <c r="D3582" s="169" t="s">
        <v>1289</v>
      </c>
      <c r="E3582" s="103" t="s">
        <v>31015</v>
      </c>
      <c r="F3582" s="104"/>
      <c r="G3582" s="105">
        <f t="shared" si="220"/>
        <v>17597.939999999999</v>
      </c>
      <c r="H3582" s="101" t="str">
        <f t="shared" si="221"/>
        <v>Sinapi 41192</v>
      </c>
      <c r="I3582" s="101" t="str">
        <f t="shared" si="222"/>
        <v>UN</v>
      </c>
      <c r="J3582" s="140" t="str">
        <f t="shared" si="223"/>
        <v>POSTE DE CONCRETO ARMADO DE SECAO CIRCULAR, EXTENSAO DE 15,00 M, RESISTENCIA DE 2000 DAN, TIPO C-29</v>
      </c>
    </row>
    <row r="3583" spans="1:10" x14ac:dyDescent="0.25">
      <c r="A3583" s="169">
        <v>41193</v>
      </c>
      <c r="B3583" s="169" t="s">
        <v>27053</v>
      </c>
      <c r="C3583" s="169" t="s">
        <v>10225</v>
      </c>
      <c r="D3583" s="169" t="s">
        <v>1289</v>
      </c>
      <c r="E3583" s="103" t="s">
        <v>31016</v>
      </c>
      <c r="F3583" s="104"/>
      <c r="G3583" s="105">
        <f t="shared" si="220"/>
        <v>28754.44</v>
      </c>
      <c r="H3583" s="101" t="str">
        <f t="shared" si="221"/>
        <v>Sinapi 41193</v>
      </c>
      <c r="I3583" s="101" t="str">
        <f t="shared" si="222"/>
        <v>UN</v>
      </c>
      <c r="J3583" s="140" t="str">
        <f t="shared" si="223"/>
        <v>POSTE DE CONCRETO ARMADO DE SECAO CIRCULAR, EXTENSAO DE 15,00 M, RESISTENCIA DE 2500 DAN, TIPO C-29</v>
      </c>
    </row>
    <row r="3584" spans="1:10" x14ac:dyDescent="0.25">
      <c r="A3584" s="169">
        <v>41194</v>
      </c>
      <c r="B3584" s="169" t="s">
        <v>27054</v>
      </c>
      <c r="C3584" s="169" t="s">
        <v>10225</v>
      </c>
      <c r="D3584" s="169" t="s">
        <v>1289</v>
      </c>
      <c r="E3584" s="103" t="s">
        <v>31017</v>
      </c>
      <c r="F3584" s="104"/>
      <c r="G3584" s="105">
        <f t="shared" si="220"/>
        <v>34310.57</v>
      </c>
      <c r="H3584" s="101" t="str">
        <f t="shared" si="221"/>
        <v>Sinapi 41194</v>
      </c>
      <c r="I3584" s="101" t="str">
        <f t="shared" si="222"/>
        <v>UN</v>
      </c>
      <c r="J3584" s="140" t="str">
        <f t="shared" si="223"/>
        <v>POSTE DE CONCRETO ARMADO DE SECAO CIRCULAR, EXTENSAO DE 15,00 M, RESISTENCIA DE 3000 DAN, TIPO C-29</v>
      </c>
    </row>
    <row r="3585" spans="1:10" x14ac:dyDescent="0.25">
      <c r="A3585" s="169">
        <v>5044</v>
      </c>
      <c r="B3585" s="169" t="s">
        <v>27055</v>
      </c>
      <c r="C3585" s="169" t="s">
        <v>10225</v>
      </c>
      <c r="D3585" s="169" t="s">
        <v>1289</v>
      </c>
      <c r="E3585" s="103" t="s">
        <v>31018</v>
      </c>
      <c r="F3585" s="104"/>
      <c r="G3585" s="105">
        <f t="shared" si="220"/>
        <v>1846.26</v>
      </c>
      <c r="H3585" s="101" t="str">
        <f t="shared" si="221"/>
        <v>Sinapi 5044</v>
      </c>
      <c r="I3585" s="101" t="str">
        <f t="shared" si="222"/>
        <v>UN</v>
      </c>
      <c r="J3585" s="140" t="str">
        <f t="shared" si="223"/>
        <v>POSTE DE CONCRETO ARMADO DE SECAO CIRCULAR, EXTENSAO DE 9,00 M, RESISTENCIA DE 200 A 300 DAN, TIPO C-14</v>
      </c>
    </row>
    <row r="3586" spans="1:10" x14ac:dyDescent="0.25">
      <c r="A3586" s="169">
        <v>5059</v>
      </c>
      <c r="B3586" s="169" t="s">
        <v>27056</v>
      </c>
      <c r="C3586" s="169" t="s">
        <v>10225</v>
      </c>
      <c r="D3586" s="169" t="s">
        <v>1289</v>
      </c>
      <c r="E3586" s="103" t="s">
        <v>31019</v>
      </c>
      <c r="F3586" s="104"/>
      <c r="G3586" s="105">
        <f t="shared" si="220"/>
        <v>2207.9</v>
      </c>
      <c r="H3586" s="101" t="str">
        <f t="shared" si="221"/>
        <v>Sinapi 5059</v>
      </c>
      <c r="I3586" s="101" t="str">
        <f t="shared" si="222"/>
        <v>UN</v>
      </c>
      <c r="J3586" s="140" t="str">
        <f t="shared" si="223"/>
        <v>POSTE DE CONCRETO ARMADO DE SECAO CIRCULAR, EXTENSAO DE 9,00 M, RESISTENCIA DE 300 A 400 DAN, TIPO C-17</v>
      </c>
    </row>
    <row r="3587" spans="1:10" x14ac:dyDescent="0.25">
      <c r="A3587" s="169">
        <v>41201</v>
      </c>
      <c r="B3587" s="169" t="s">
        <v>27057</v>
      </c>
      <c r="C3587" s="169" t="s">
        <v>10225</v>
      </c>
      <c r="D3587" s="169" t="s">
        <v>1289</v>
      </c>
      <c r="E3587" s="103" t="s">
        <v>31020</v>
      </c>
      <c r="F3587" s="104"/>
      <c r="G3587" s="105">
        <f t="shared" si="220"/>
        <v>4480.75</v>
      </c>
      <c r="H3587" s="101" t="str">
        <f t="shared" si="221"/>
        <v>Sinapi 41201</v>
      </c>
      <c r="I3587" s="101" t="str">
        <f t="shared" si="222"/>
        <v>UN</v>
      </c>
      <c r="J3587" s="140" t="str">
        <f t="shared" si="223"/>
        <v>POSTE DE CONCRETO ARMADO DE SECAO DUPLO T, EXTENSAO DE 10,00 M, RESISTENCIA DE 1000 DAN, TIPO B-1,5</v>
      </c>
    </row>
    <row r="3588" spans="1:10" x14ac:dyDescent="0.25">
      <c r="A3588" s="169">
        <v>41199</v>
      </c>
      <c r="B3588" s="169" t="s">
        <v>27058</v>
      </c>
      <c r="C3588" s="169" t="s">
        <v>10225</v>
      </c>
      <c r="D3588" s="169" t="s">
        <v>1289</v>
      </c>
      <c r="E3588" s="103" t="s">
        <v>31021</v>
      </c>
      <c r="F3588" s="104"/>
      <c r="G3588" s="105">
        <f t="shared" si="220"/>
        <v>1439.84</v>
      </c>
      <c r="H3588" s="101" t="str">
        <f t="shared" si="221"/>
        <v>Sinapi 41199</v>
      </c>
      <c r="I3588" s="101" t="str">
        <f t="shared" si="222"/>
        <v>UN</v>
      </c>
      <c r="J3588" s="140" t="str">
        <f t="shared" si="223"/>
        <v>POSTE DE CONCRETO ARMADO DE SECAO DUPLO T, EXTENSAO DE 10,00 M, RESISTENCIA DE 150 DAN, TIPO D</v>
      </c>
    </row>
    <row r="3589" spans="1:10" x14ac:dyDescent="0.25">
      <c r="A3589" s="169">
        <v>5057</v>
      </c>
      <c r="B3589" s="169" t="s">
        <v>27059</v>
      </c>
      <c r="C3589" s="169" t="s">
        <v>10225</v>
      </c>
      <c r="D3589" s="169" t="s">
        <v>1289</v>
      </c>
      <c r="E3589" s="103" t="s">
        <v>31022</v>
      </c>
      <c r="F3589" s="104"/>
      <c r="G3589" s="105">
        <f t="shared" si="220"/>
        <v>1949.27</v>
      </c>
      <c r="H3589" s="101" t="str">
        <f t="shared" si="221"/>
        <v>Sinapi 5057</v>
      </c>
      <c r="I3589" s="101" t="str">
        <f t="shared" si="222"/>
        <v>UN</v>
      </c>
      <c r="J3589" s="140" t="str">
        <f t="shared" si="223"/>
        <v>POSTE DE CONCRETO ARMADO DE SECAO DUPLO T, EXTENSAO DE 10,00 M, RESISTENCIA DE 300 A 400 DAN, TIPO B OU D</v>
      </c>
    </row>
    <row r="3590" spans="1:10" x14ac:dyDescent="0.25">
      <c r="A3590" s="169">
        <v>41200</v>
      </c>
      <c r="B3590" s="169" t="s">
        <v>27060</v>
      </c>
      <c r="C3590" s="169" t="s">
        <v>10225</v>
      </c>
      <c r="D3590" s="169" t="s">
        <v>1289</v>
      </c>
      <c r="E3590" s="103" t="s">
        <v>31023</v>
      </c>
      <c r="F3590" s="104"/>
      <c r="G3590" s="105">
        <f t="shared" si="220"/>
        <v>2802.43</v>
      </c>
      <c r="H3590" s="101" t="str">
        <f t="shared" si="221"/>
        <v>Sinapi 41200</v>
      </c>
      <c r="I3590" s="101" t="str">
        <f t="shared" si="222"/>
        <v>UN</v>
      </c>
      <c r="J3590" s="140" t="str">
        <f t="shared" si="223"/>
        <v>POSTE DE CONCRETO ARMADO DE SECAO DUPLO T, EXTENSAO DE 10,00 M, RESISTENCIA DE 600 DAN, TIPO B</v>
      </c>
    </row>
    <row r="3591" spans="1:10" x14ac:dyDescent="0.25">
      <c r="A3591" s="169">
        <v>41205</v>
      </c>
      <c r="B3591" s="169" t="s">
        <v>27061</v>
      </c>
      <c r="C3591" s="169" t="s">
        <v>10225</v>
      </c>
      <c r="D3591" s="169" t="s">
        <v>1289</v>
      </c>
      <c r="E3591" s="103" t="s">
        <v>31024</v>
      </c>
      <c r="F3591" s="104"/>
      <c r="G3591" s="105">
        <f t="shared" si="220"/>
        <v>5192.83</v>
      </c>
      <c r="H3591" s="101" t="str">
        <f t="shared" si="221"/>
        <v>Sinapi 41205</v>
      </c>
      <c r="I3591" s="101" t="str">
        <f t="shared" si="222"/>
        <v>UN</v>
      </c>
      <c r="J3591" s="140" t="str">
        <f t="shared" si="223"/>
        <v>POSTE DE CONCRETO ARMADO DE SECAO DUPLO T, EXTENSAO DE 11,00 M, RESISTENCIA DE 1000 DAN, TIPO B-1,5</v>
      </c>
    </row>
    <row r="3592" spans="1:10" x14ac:dyDescent="0.25">
      <c r="A3592" s="169">
        <v>41202</v>
      </c>
      <c r="B3592" s="169" t="s">
        <v>27062</v>
      </c>
      <c r="C3592" s="169" t="s">
        <v>10225</v>
      </c>
      <c r="D3592" s="169" t="s">
        <v>1289</v>
      </c>
      <c r="E3592" s="103" t="s">
        <v>31025</v>
      </c>
      <c r="F3592" s="104"/>
      <c r="G3592" s="105">
        <f t="shared" ref="G3592:G3655" si="224">IF(E3592="","",E3592+0)</f>
        <v>1515.3</v>
      </c>
      <c r="H3592" s="101" t="str">
        <f t="shared" ref="H3592:H3655" si="225">IF(G3592="","",TRIM(CONCATENATE("Sinapi ",A3592)))</f>
        <v>Sinapi 41202</v>
      </c>
      <c r="I3592" s="101" t="str">
        <f t="shared" ref="I3592:I3655" si="226">TRIM(C3592)</f>
        <v>UN</v>
      </c>
      <c r="J3592" s="140" t="str">
        <f t="shared" si="223"/>
        <v>POSTE DE CONCRETO ARMADO DE SECAO DUPLO T, EXTENSAO DE 11,00 M, RESISTENCIA DE 150 DAN, TIPO D</v>
      </c>
    </row>
    <row r="3593" spans="1:10" x14ac:dyDescent="0.25">
      <c r="A3593" s="169">
        <v>41206</v>
      </c>
      <c r="B3593" s="169" t="s">
        <v>27063</v>
      </c>
      <c r="C3593" s="169" t="s">
        <v>10225</v>
      </c>
      <c r="D3593" s="169" t="s">
        <v>1289</v>
      </c>
      <c r="E3593" s="103" t="s">
        <v>31026</v>
      </c>
      <c r="F3593" s="104"/>
      <c r="G3593" s="105">
        <f t="shared" si="224"/>
        <v>6846.52</v>
      </c>
      <c r="H3593" s="101" t="str">
        <f t="shared" si="225"/>
        <v>Sinapi 41206</v>
      </c>
      <c r="I3593" s="101" t="str">
        <f t="shared" si="226"/>
        <v>UN</v>
      </c>
      <c r="J3593" s="140" t="str">
        <f t="shared" ref="J3593:J3656" si="227">TRIM(B3593)</f>
        <v>POSTE DE CONCRETO ARMADO DE SECAO DUPLO T, EXTENSAO DE 11,00 M, RESISTENCIA DE 1500 DAN, TIPO B-3,0</v>
      </c>
    </row>
    <row r="3594" spans="1:10" x14ac:dyDescent="0.25">
      <c r="A3594" s="169">
        <v>12372</v>
      </c>
      <c r="B3594" s="169" t="s">
        <v>27064</v>
      </c>
      <c r="C3594" s="169" t="s">
        <v>10225</v>
      </c>
      <c r="D3594" s="169" t="s">
        <v>1289</v>
      </c>
      <c r="E3594" s="103" t="s">
        <v>31027</v>
      </c>
      <c r="F3594" s="104"/>
      <c r="G3594" s="105">
        <f t="shared" si="224"/>
        <v>1591.08</v>
      </c>
      <c r="H3594" s="101" t="str">
        <f t="shared" si="225"/>
        <v>Sinapi 12372</v>
      </c>
      <c r="I3594" s="101" t="str">
        <f t="shared" si="226"/>
        <v>UN</v>
      </c>
      <c r="J3594" s="140" t="str">
        <f t="shared" si="227"/>
        <v>POSTE DE CONCRETO ARMADO DE SECAO DUPLO T, EXTENSAO DE 11,00 M, RESISTENCIA DE 200 DAN, TIPO D</v>
      </c>
    </row>
    <row r="3595" spans="1:10" x14ac:dyDescent="0.25">
      <c r="A3595" s="169">
        <v>41207</v>
      </c>
      <c r="B3595" s="169" t="s">
        <v>27065</v>
      </c>
      <c r="C3595" s="169" t="s">
        <v>10225</v>
      </c>
      <c r="D3595" s="169" t="s">
        <v>1289</v>
      </c>
      <c r="E3595" s="103" t="s">
        <v>31028</v>
      </c>
      <c r="F3595" s="104"/>
      <c r="G3595" s="105">
        <f t="shared" si="224"/>
        <v>9216.7800000000007</v>
      </c>
      <c r="H3595" s="101" t="str">
        <f t="shared" si="225"/>
        <v>Sinapi 41207</v>
      </c>
      <c r="I3595" s="101" t="str">
        <f t="shared" si="226"/>
        <v>UN</v>
      </c>
      <c r="J3595" s="140" t="str">
        <f t="shared" si="227"/>
        <v>POSTE DE CONCRETO ARMADO DE SECAO DUPLO T, EXTENSAO DE 11,00 M, RESISTENCIA DE 2000 DAN, TIPO B-4,5</v>
      </c>
    </row>
    <row r="3596" spans="1:10" x14ac:dyDescent="0.25">
      <c r="A3596" s="169">
        <v>41203</v>
      </c>
      <c r="B3596" s="169" t="s">
        <v>27066</v>
      </c>
      <c r="C3596" s="169" t="s">
        <v>10225</v>
      </c>
      <c r="D3596" s="169" t="s">
        <v>1289</v>
      </c>
      <c r="E3596" s="103" t="s">
        <v>31029</v>
      </c>
      <c r="F3596" s="104"/>
      <c r="G3596" s="105">
        <f t="shared" si="224"/>
        <v>2427.35</v>
      </c>
      <c r="H3596" s="101" t="str">
        <f t="shared" si="225"/>
        <v>Sinapi 41203</v>
      </c>
      <c r="I3596" s="101" t="str">
        <f t="shared" si="226"/>
        <v>UN</v>
      </c>
      <c r="J3596" s="140" t="str">
        <f t="shared" si="227"/>
        <v>POSTE DE CONCRETO ARMADO DE SECAO DUPLO T, EXTENSAO DE 11,00 M, RESISTENCIA DE 300 DAN, TIPO B</v>
      </c>
    </row>
    <row r="3597" spans="1:10" x14ac:dyDescent="0.25">
      <c r="A3597" s="169">
        <v>41204</v>
      </c>
      <c r="B3597" s="169" t="s">
        <v>27067</v>
      </c>
      <c r="C3597" s="169" t="s">
        <v>10225</v>
      </c>
      <c r="D3597" s="169" t="s">
        <v>1289</v>
      </c>
      <c r="E3597" s="103" t="s">
        <v>31030</v>
      </c>
      <c r="F3597" s="104"/>
      <c r="G3597" s="105">
        <f t="shared" si="224"/>
        <v>3431.66</v>
      </c>
      <c r="H3597" s="101" t="str">
        <f t="shared" si="225"/>
        <v>Sinapi 41204</v>
      </c>
      <c r="I3597" s="101" t="str">
        <f t="shared" si="226"/>
        <v>UN</v>
      </c>
      <c r="J3597" s="140" t="str">
        <f t="shared" si="227"/>
        <v>POSTE DE CONCRETO ARMADO DE SECAO DUPLO T, EXTENSAO DE 11,00 M, RESISTENCIA DE 600 DAN, TIPO B</v>
      </c>
    </row>
    <row r="3598" spans="1:10" x14ac:dyDescent="0.25">
      <c r="A3598" s="169">
        <v>41210</v>
      </c>
      <c r="B3598" s="169" t="s">
        <v>27068</v>
      </c>
      <c r="C3598" s="169" t="s">
        <v>10225</v>
      </c>
      <c r="D3598" s="169" t="s">
        <v>1289</v>
      </c>
      <c r="E3598" s="103" t="s">
        <v>31031</v>
      </c>
      <c r="F3598" s="104"/>
      <c r="G3598" s="105">
        <f t="shared" si="224"/>
        <v>5732.49</v>
      </c>
      <c r="H3598" s="101" t="str">
        <f t="shared" si="225"/>
        <v>Sinapi 41210</v>
      </c>
      <c r="I3598" s="101" t="str">
        <f t="shared" si="226"/>
        <v>UN</v>
      </c>
      <c r="J3598" s="140" t="str">
        <f t="shared" si="227"/>
        <v>POSTE DE CONCRETO ARMADO DE SECAO DUPLO T, EXTENSAO DE 12,00 M, RESISTENCIA DE 1000 DAN, TIPO B-1,5</v>
      </c>
    </row>
    <row r="3599" spans="1:10" x14ac:dyDescent="0.25">
      <c r="A3599" s="169">
        <v>41208</v>
      </c>
      <c r="B3599" s="169" t="s">
        <v>27069</v>
      </c>
      <c r="C3599" s="169" t="s">
        <v>10225</v>
      </c>
      <c r="D3599" s="169" t="s">
        <v>1289</v>
      </c>
      <c r="E3599" s="103" t="s">
        <v>31032</v>
      </c>
      <c r="F3599" s="104"/>
      <c r="G3599" s="105">
        <f t="shared" si="224"/>
        <v>2006.71</v>
      </c>
      <c r="H3599" s="101" t="str">
        <f t="shared" si="225"/>
        <v>Sinapi 41208</v>
      </c>
      <c r="I3599" s="101" t="str">
        <f t="shared" si="226"/>
        <v>UN</v>
      </c>
      <c r="J3599" s="140" t="str">
        <f t="shared" si="227"/>
        <v>POSTE DE CONCRETO ARMADO DE SECAO DUPLO T, EXTENSAO DE 12,00 M, RESISTENCIA DE 150 DAN, TIPO D</v>
      </c>
    </row>
    <row r="3600" spans="1:10" x14ac:dyDescent="0.25">
      <c r="A3600" s="169">
        <v>41211</v>
      </c>
      <c r="B3600" s="169" t="s">
        <v>27070</v>
      </c>
      <c r="C3600" s="169" t="s">
        <v>10225</v>
      </c>
      <c r="D3600" s="169" t="s">
        <v>1289</v>
      </c>
      <c r="E3600" s="103" t="s">
        <v>31033</v>
      </c>
      <c r="F3600" s="104"/>
      <c r="G3600" s="105">
        <f t="shared" si="224"/>
        <v>8077</v>
      </c>
      <c r="H3600" s="101" t="str">
        <f t="shared" si="225"/>
        <v>Sinapi 41211</v>
      </c>
      <c r="I3600" s="101" t="str">
        <f t="shared" si="226"/>
        <v>UN</v>
      </c>
      <c r="J3600" s="140" t="str">
        <f t="shared" si="227"/>
        <v>POSTE DE CONCRETO ARMADO DE SECAO DUPLO T, EXTENSAO DE 12,00 M, RESISTENCIA DE 1500 DAN, TIPO B-3,0</v>
      </c>
    </row>
    <row r="3601" spans="1:10" x14ac:dyDescent="0.25">
      <c r="A3601" s="169">
        <v>13339</v>
      </c>
      <c r="B3601" s="169" t="s">
        <v>27071</v>
      </c>
      <c r="C3601" s="169" t="s">
        <v>10225</v>
      </c>
      <c r="D3601" s="169" t="s">
        <v>1289</v>
      </c>
      <c r="E3601" s="103" t="s">
        <v>31034</v>
      </c>
      <c r="F3601" s="104"/>
      <c r="G3601" s="105">
        <f t="shared" si="224"/>
        <v>2719.57</v>
      </c>
      <c r="H3601" s="101" t="str">
        <f t="shared" si="225"/>
        <v>Sinapi 13339</v>
      </c>
      <c r="I3601" s="101" t="str">
        <f t="shared" si="226"/>
        <v>UN</v>
      </c>
      <c r="J3601" s="140" t="str">
        <f t="shared" si="227"/>
        <v>POSTE DE CONCRETO ARMADO DE SECAO DUPLO T, EXTENSAO DE 12,00 M, RESISTENCIA DE 300 A 400 DAN, TIPO B OU D</v>
      </c>
    </row>
    <row r="3602" spans="1:10" x14ac:dyDescent="0.25">
      <c r="A3602" s="169">
        <v>41213</v>
      </c>
      <c r="B3602" s="169" t="s">
        <v>27072</v>
      </c>
      <c r="C3602" s="169" t="s">
        <v>10225</v>
      </c>
      <c r="D3602" s="169" t="s">
        <v>1289</v>
      </c>
      <c r="E3602" s="103" t="s">
        <v>31035</v>
      </c>
      <c r="F3602" s="104"/>
      <c r="G3602" s="105">
        <f t="shared" si="224"/>
        <v>16741.63</v>
      </c>
      <c r="H3602" s="101" t="str">
        <f t="shared" si="225"/>
        <v>Sinapi 41213</v>
      </c>
      <c r="I3602" s="101" t="str">
        <f t="shared" si="226"/>
        <v>UN</v>
      </c>
      <c r="J3602" s="140" t="str">
        <f t="shared" si="227"/>
        <v>POSTE DE CONCRETO ARMADO DE SECAO DUPLO T, EXTENSAO DE 12,00 M, RESISTENCIA DE 3000 DAN, TIPO B-6,0</v>
      </c>
    </row>
    <row r="3603" spans="1:10" x14ac:dyDescent="0.25">
      <c r="A3603" s="169">
        <v>41209</v>
      </c>
      <c r="B3603" s="169" t="s">
        <v>27073</v>
      </c>
      <c r="C3603" s="169" t="s">
        <v>10225</v>
      </c>
      <c r="D3603" s="169" t="s">
        <v>1289</v>
      </c>
      <c r="E3603" s="103" t="s">
        <v>31036</v>
      </c>
      <c r="F3603" s="104"/>
      <c r="G3603" s="105">
        <f t="shared" si="224"/>
        <v>3741.79</v>
      </c>
      <c r="H3603" s="101" t="str">
        <f t="shared" si="225"/>
        <v>Sinapi 41209</v>
      </c>
      <c r="I3603" s="101" t="str">
        <f t="shared" si="226"/>
        <v>UN</v>
      </c>
      <c r="J3603" s="140" t="str">
        <f t="shared" si="227"/>
        <v>POSTE DE CONCRETO ARMADO DE SECAO DUPLO T, EXTENSAO DE 12,00 M, RESISTENCIA DE 600 DAN, TIPO B</v>
      </c>
    </row>
    <row r="3604" spans="1:10" x14ac:dyDescent="0.25">
      <c r="A3604" s="169">
        <v>41216</v>
      </c>
      <c r="B3604" s="169" t="s">
        <v>27074</v>
      </c>
      <c r="C3604" s="169" t="s">
        <v>10225</v>
      </c>
      <c r="D3604" s="169" t="s">
        <v>1289</v>
      </c>
      <c r="E3604" s="103" t="s">
        <v>31037</v>
      </c>
      <c r="F3604" s="104"/>
      <c r="G3604" s="105">
        <f t="shared" si="224"/>
        <v>7008.87</v>
      </c>
      <c r="H3604" s="101" t="str">
        <f t="shared" si="225"/>
        <v>Sinapi 41216</v>
      </c>
      <c r="I3604" s="101" t="str">
        <f t="shared" si="226"/>
        <v>UN</v>
      </c>
      <c r="J3604" s="140" t="str">
        <f t="shared" si="227"/>
        <v>POSTE DE CONCRETO ARMADO DE SECAO DUPLO T, EXTENSAO DE 13,00 M, RESISTENCIA DE 1000 DAN, TIPO B-1,5</v>
      </c>
    </row>
    <row r="3605" spans="1:10" x14ac:dyDescent="0.25">
      <c r="A3605" s="169">
        <v>41217</v>
      </c>
      <c r="B3605" s="169" t="s">
        <v>27075</v>
      </c>
      <c r="C3605" s="169" t="s">
        <v>10225</v>
      </c>
      <c r="D3605" s="169" t="s">
        <v>1289</v>
      </c>
      <c r="E3605" s="103" t="s">
        <v>31038</v>
      </c>
      <c r="F3605" s="104"/>
      <c r="G3605" s="105">
        <f t="shared" si="224"/>
        <v>11237.71</v>
      </c>
      <c r="H3605" s="101" t="str">
        <f t="shared" si="225"/>
        <v>Sinapi 41217</v>
      </c>
      <c r="I3605" s="101" t="str">
        <f t="shared" si="226"/>
        <v>UN</v>
      </c>
      <c r="J3605" s="140" t="str">
        <f t="shared" si="227"/>
        <v>POSTE DE CONCRETO ARMADO DE SECAO DUPLO T, EXTENSAO DE 13,00 M, RESISTENCIA DE 1500 DAN, TIPO B-3,0</v>
      </c>
    </row>
    <row r="3606" spans="1:10" x14ac:dyDescent="0.25">
      <c r="A3606" s="169">
        <v>41218</v>
      </c>
      <c r="B3606" s="169" t="s">
        <v>27076</v>
      </c>
      <c r="C3606" s="169" t="s">
        <v>10225</v>
      </c>
      <c r="D3606" s="169" t="s">
        <v>1289</v>
      </c>
      <c r="E3606" s="103" t="s">
        <v>31039</v>
      </c>
      <c r="F3606" s="104"/>
      <c r="G3606" s="105">
        <f t="shared" si="224"/>
        <v>15070.11</v>
      </c>
      <c r="H3606" s="101" t="str">
        <f t="shared" si="225"/>
        <v>Sinapi 41218</v>
      </c>
      <c r="I3606" s="101" t="str">
        <f t="shared" si="226"/>
        <v>UN</v>
      </c>
      <c r="J3606" s="140" t="str">
        <f t="shared" si="227"/>
        <v>POSTE DE CONCRETO ARMADO DE SECAO DUPLO T, EXTENSAO DE 13,00 M, RESISTENCIA DE 2000 DAN, TIPO B-4,5</v>
      </c>
    </row>
    <row r="3607" spans="1:10" x14ac:dyDescent="0.25">
      <c r="A3607" s="169">
        <v>41214</v>
      </c>
      <c r="B3607" s="169" t="s">
        <v>27077</v>
      </c>
      <c r="C3607" s="169" t="s">
        <v>10225</v>
      </c>
      <c r="D3607" s="169" t="s">
        <v>1289</v>
      </c>
      <c r="E3607" s="103" t="s">
        <v>31040</v>
      </c>
      <c r="F3607" s="104"/>
      <c r="G3607" s="105">
        <f t="shared" si="224"/>
        <v>3177.5</v>
      </c>
      <c r="H3607" s="101" t="str">
        <f t="shared" si="225"/>
        <v>Sinapi 41214</v>
      </c>
      <c r="I3607" s="101" t="str">
        <f t="shared" si="226"/>
        <v>UN</v>
      </c>
      <c r="J3607" s="140" t="str">
        <f t="shared" si="227"/>
        <v>POSTE DE CONCRETO ARMADO DE SECAO DUPLO T, EXTENSAO DE 13,00 M, RESISTENCIA DE 300 DAN, TIPO B</v>
      </c>
    </row>
    <row r="3608" spans="1:10" x14ac:dyDescent="0.25">
      <c r="A3608" s="169">
        <v>41215</v>
      </c>
      <c r="B3608" s="169" t="s">
        <v>27078</v>
      </c>
      <c r="C3608" s="169" t="s">
        <v>10225</v>
      </c>
      <c r="D3608" s="169" t="s">
        <v>1289</v>
      </c>
      <c r="E3608" s="103" t="s">
        <v>31041</v>
      </c>
      <c r="F3608" s="104"/>
      <c r="G3608" s="105">
        <f t="shared" si="224"/>
        <v>4784.17</v>
      </c>
      <c r="H3608" s="101" t="str">
        <f t="shared" si="225"/>
        <v>Sinapi 41215</v>
      </c>
      <c r="I3608" s="101" t="str">
        <f t="shared" si="226"/>
        <v>UN</v>
      </c>
      <c r="J3608" s="140" t="str">
        <f t="shared" si="227"/>
        <v>POSTE DE CONCRETO ARMADO DE SECAO DUPLO T, EXTENSAO DE 13,00 M, RESISTENCIA DE 600 DAN, TIPO B</v>
      </c>
    </row>
    <row r="3609" spans="1:10" x14ac:dyDescent="0.25">
      <c r="A3609" s="169">
        <v>41221</v>
      </c>
      <c r="B3609" s="169" t="s">
        <v>27079</v>
      </c>
      <c r="C3609" s="169" t="s">
        <v>10225</v>
      </c>
      <c r="D3609" s="169" t="s">
        <v>1289</v>
      </c>
      <c r="E3609" s="103" t="s">
        <v>31042</v>
      </c>
      <c r="F3609" s="104"/>
      <c r="G3609" s="105">
        <f t="shared" si="224"/>
        <v>13852.62</v>
      </c>
      <c r="H3609" s="101" t="str">
        <f t="shared" si="225"/>
        <v>Sinapi 41221</v>
      </c>
      <c r="I3609" s="101" t="str">
        <f t="shared" si="226"/>
        <v>UN</v>
      </c>
      <c r="J3609" s="140" t="str">
        <f t="shared" si="227"/>
        <v>POSTE DE CONCRETO ARMADO DE SECAO DUPLO T, EXTENSAO DE 15,00 M, RESISTENCIA DE 1500 DAN, TIPO B-3,0</v>
      </c>
    </row>
    <row r="3610" spans="1:10" x14ac:dyDescent="0.25">
      <c r="A3610" s="169">
        <v>41222</v>
      </c>
      <c r="B3610" s="169" t="s">
        <v>27080</v>
      </c>
      <c r="C3610" s="169" t="s">
        <v>10225</v>
      </c>
      <c r="D3610" s="169" t="s">
        <v>1289</v>
      </c>
      <c r="E3610" s="103" t="s">
        <v>31043</v>
      </c>
      <c r="F3610" s="104"/>
      <c r="G3610" s="105">
        <f t="shared" si="224"/>
        <v>19823.27</v>
      </c>
      <c r="H3610" s="101" t="str">
        <f t="shared" si="225"/>
        <v>Sinapi 41222</v>
      </c>
      <c r="I3610" s="101" t="str">
        <f t="shared" si="226"/>
        <v>UN</v>
      </c>
      <c r="J3610" s="140" t="str">
        <f t="shared" si="227"/>
        <v>POSTE DE CONCRETO ARMADO DE SECAO DUPLO T, EXTENSAO DE 15,00 M, RESISTENCIA DE 2000 DAN, TIPO B-4,5</v>
      </c>
    </row>
    <row r="3611" spans="1:10" x14ac:dyDescent="0.25">
      <c r="A3611" s="169">
        <v>41195</v>
      </c>
      <c r="B3611" s="169" t="s">
        <v>27081</v>
      </c>
      <c r="C3611" s="169" t="s">
        <v>10225</v>
      </c>
      <c r="D3611" s="169" t="s">
        <v>1289</v>
      </c>
      <c r="E3611" s="103" t="s">
        <v>31044</v>
      </c>
      <c r="F3611" s="104"/>
      <c r="G3611" s="105">
        <f t="shared" si="224"/>
        <v>1018.86</v>
      </c>
      <c r="H3611" s="101" t="str">
        <f t="shared" si="225"/>
        <v>Sinapi 41195</v>
      </c>
      <c r="I3611" s="101" t="str">
        <f t="shared" si="226"/>
        <v>UN</v>
      </c>
      <c r="J3611" s="140" t="str">
        <f t="shared" si="227"/>
        <v>POSTE DE CONCRETO ARMADO DE SECAO DUPLO T, EXTENSAO DE 8,00 M, RESISTENCIA DE 150 DAN, TIPO D</v>
      </c>
    </row>
    <row r="3612" spans="1:10" x14ac:dyDescent="0.25">
      <c r="A3612" s="169">
        <v>41198</v>
      </c>
      <c r="B3612" s="169" t="s">
        <v>27082</v>
      </c>
      <c r="C3612" s="169" t="s">
        <v>10225</v>
      </c>
      <c r="D3612" s="169" t="s">
        <v>1289</v>
      </c>
      <c r="E3612" s="103" t="s">
        <v>31045</v>
      </c>
      <c r="F3612" s="104"/>
      <c r="G3612" s="105">
        <f t="shared" si="224"/>
        <v>3981.46</v>
      </c>
      <c r="H3612" s="101" t="str">
        <f t="shared" si="225"/>
        <v>Sinapi 41198</v>
      </c>
      <c r="I3612" s="101" t="str">
        <f t="shared" si="226"/>
        <v>UN</v>
      </c>
      <c r="J3612" s="140" t="str">
        <f t="shared" si="227"/>
        <v>POSTE DE CONCRETO ARMADO DE SECAO DUPLO T, EXTENSAO DE 9,00 M, RESISTENCIA DE 1000 DAN, TIPO B-1,5</v>
      </c>
    </row>
    <row r="3613" spans="1:10" x14ac:dyDescent="0.25">
      <c r="A3613" s="169">
        <v>41196</v>
      </c>
      <c r="B3613" s="169" t="s">
        <v>27083</v>
      </c>
      <c r="C3613" s="169" t="s">
        <v>10225</v>
      </c>
      <c r="D3613" s="169" t="s">
        <v>1289</v>
      </c>
      <c r="E3613" s="103" t="s">
        <v>31046</v>
      </c>
      <c r="F3613" s="104"/>
      <c r="G3613" s="105">
        <f t="shared" si="224"/>
        <v>1262.94</v>
      </c>
      <c r="H3613" s="101" t="str">
        <f t="shared" si="225"/>
        <v>Sinapi 41196</v>
      </c>
      <c r="I3613" s="101" t="str">
        <f t="shared" si="226"/>
        <v>UN</v>
      </c>
      <c r="J3613" s="140" t="str">
        <f t="shared" si="227"/>
        <v>POSTE DE CONCRETO ARMADO DE SECAO DUPLO T, EXTENSAO DE 9,00 M, RESISTENCIA DE 150 DAN, TIPO D</v>
      </c>
    </row>
    <row r="3614" spans="1:10" x14ac:dyDescent="0.25">
      <c r="A3614" s="169">
        <v>5033</v>
      </c>
      <c r="B3614" s="169" t="s">
        <v>27084</v>
      </c>
      <c r="C3614" s="169" t="s">
        <v>10225</v>
      </c>
      <c r="D3614" s="169" t="s">
        <v>1288</v>
      </c>
      <c r="E3614" s="103" t="s">
        <v>31047</v>
      </c>
      <c r="F3614" s="104"/>
      <c r="G3614" s="105">
        <f t="shared" si="224"/>
        <v>1658.17</v>
      </c>
      <c r="H3614" s="101" t="str">
        <f t="shared" si="225"/>
        <v>Sinapi 5033</v>
      </c>
      <c r="I3614" s="101" t="str">
        <f t="shared" si="226"/>
        <v>UN</v>
      </c>
      <c r="J3614" s="140" t="str">
        <f t="shared" si="227"/>
        <v>POSTE DE CONCRETO ARMADO DE SECAO DUPLO T, EXTENSAO DE 9,00 M, RESISTENCIA DE 300 A 400 DAN, TIPO B OU D</v>
      </c>
    </row>
    <row r="3615" spans="1:10" x14ac:dyDescent="0.25">
      <c r="A3615" s="169">
        <v>41197</v>
      </c>
      <c r="B3615" s="169" t="s">
        <v>27085</v>
      </c>
      <c r="C3615" s="169" t="s">
        <v>10225</v>
      </c>
      <c r="D3615" s="169" t="s">
        <v>1289</v>
      </c>
      <c r="E3615" s="103" t="s">
        <v>31048</v>
      </c>
      <c r="F3615" s="104"/>
      <c r="G3615" s="105">
        <f t="shared" si="224"/>
        <v>2463</v>
      </c>
      <c r="H3615" s="101" t="str">
        <f t="shared" si="225"/>
        <v>Sinapi 41197</v>
      </c>
      <c r="I3615" s="101" t="str">
        <f t="shared" si="226"/>
        <v>UN</v>
      </c>
      <c r="J3615" s="140" t="str">
        <f t="shared" si="227"/>
        <v>POSTE DE CONCRETO ARMADO DE SECAO DUPLO T, EXTENSAO DE 9,00 M, RESISTENCIA DE 600 DAN, TIPO B</v>
      </c>
    </row>
    <row r="3616" spans="1:10" x14ac:dyDescent="0.25">
      <c r="A3616" s="169">
        <v>12388</v>
      </c>
      <c r="B3616" s="169" t="s">
        <v>27086</v>
      </c>
      <c r="C3616" s="169" t="s">
        <v>10225</v>
      </c>
      <c r="D3616" s="169" t="s">
        <v>1290</v>
      </c>
      <c r="E3616" s="103" t="s">
        <v>20090</v>
      </c>
      <c r="F3616" s="104"/>
      <c r="G3616" s="105">
        <f t="shared" si="224"/>
        <v>295.85000000000002</v>
      </c>
      <c r="H3616" s="101" t="str">
        <f t="shared" si="225"/>
        <v>Sinapi 12388</v>
      </c>
      <c r="I3616" s="101" t="str">
        <f t="shared" si="226"/>
        <v>UN</v>
      </c>
      <c r="J3616" s="140" t="str">
        <f t="shared" si="227"/>
        <v>POSTE DECORATIVO PARA JARDIM EM ACO TUBULAR, SEM LUMINARIA, H = *2,5* M</v>
      </c>
    </row>
    <row r="3617" spans="1:10" x14ac:dyDescent="0.25">
      <c r="A3617" s="169">
        <v>2731</v>
      </c>
      <c r="B3617" s="169" t="s">
        <v>27087</v>
      </c>
      <c r="C3617" s="169" t="s">
        <v>10229</v>
      </c>
      <c r="D3617" s="169" t="s">
        <v>1290</v>
      </c>
      <c r="E3617" s="103" t="s">
        <v>25821</v>
      </c>
      <c r="F3617" s="104"/>
      <c r="G3617" s="105">
        <f t="shared" si="224"/>
        <v>91.42</v>
      </c>
      <c r="H3617" s="101" t="str">
        <f t="shared" si="225"/>
        <v>Sinapi 2731</v>
      </c>
      <c r="I3617" s="101" t="str">
        <f t="shared" si="226"/>
        <v>M</v>
      </c>
      <c r="J3617" s="140" t="str">
        <f t="shared" si="227"/>
        <v>POSTE ROLICO DE MADEIRA TRATADA, D = 20 A 25 CM, H = 12,00 M, EM EUCALIPTO OU EQUIVALENTE DA REGIAO</v>
      </c>
    </row>
    <row r="3618" spans="1:10" x14ac:dyDescent="0.25">
      <c r="A3618" s="169">
        <v>41457</v>
      </c>
      <c r="B3618" s="169" t="s">
        <v>27088</v>
      </c>
      <c r="C3618" s="169" t="s">
        <v>10225</v>
      </c>
      <c r="D3618" s="169" t="s">
        <v>1289</v>
      </c>
      <c r="E3618" s="103" t="s">
        <v>31049</v>
      </c>
      <c r="F3618" s="104"/>
      <c r="G3618" s="105">
        <f t="shared" si="224"/>
        <v>1526</v>
      </c>
      <c r="H3618" s="101" t="str">
        <f t="shared" si="225"/>
        <v>Sinapi 41457</v>
      </c>
      <c r="I3618" s="101" t="str">
        <f t="shared" si="226"/>
        <v>UN</v>
      </c>
      <c r="J3618" s="140" t="str">
        <f t="shared" si="227"/>
        <v>POSTES METALICOS AUTOPORTANTES, CONICO OU TELESCOPICO, PARA SPDA, ALTURA 10 METROS LIVRES</v>
      </c>
    </row>
    <row r="3619" spans="1:10" x14ac:dyDescent="0.25">
      <c r="A3619" s="169">
        <v>41458</v>
      </c>
      <c r="B3619" s="169" t="s">
        <v>27089</v>
      </c>
      <c r="C3619" s="169" t="s">
        <v>10225</v>
      </c>
      <c r="D3619" s="169" t="s">
        <v>1289</v>
      </c>
      <c r="E3619" s="103" t="s">
        <v>31050</v>
      </c>
      <c r="F3619" s="104"/>
      <c r="G3619" s="105">
        <f t="shared" si="224"/>
        <v>2130.38</v>
      </c>
      <c r="H3619" s="101" t="str">
        <f t="shared" si="225"/>
        <v>Sinapi 41458</v>
      </c>
      <c r="I3619" s="101" t="str">
        <f t="shared" si="226"/>
        <v>UN</v>
      </c>
      <c r="J3619" s="140" t="str">
        <f t="shared" si="227"/>
        <v>POSTES METALICOS AUTOPORTANTES, CONICO OU TELESCOPICO, PARA SPDA, ALTURA 12 METROS LIVRES</v>
      </c>
    </row>
    <row r="3620" spans="1:10" x14ac:dyDescent="0.25">
      <c r="A3620" s="169">
        <v>41459</v>
      </c>
      <c r="B3620" s="169" t="s">
        <v>27090</v>
      </c>
      <c r="C3620" s="169" t="s">
        <v>10225</v>
      </c>
      <c r="D3620" s="169" t="s">
        <v>1289</v>
      </c>
      <c r="E3620" s="103" t="s">
        <v>31051</v>
      </c>
      <c r="F3620" s="104"/>
      <c r="G3620" s="105">
        <f t="shared" si="224"/>
        <v>2971.71</v>
      </c>
      <c r="H3620" s="101" t="str">
        <f t="shared" si="225"/>
        <v>Sinapi 41459</v>
      </c>
      <c r="I3620" s="101" t="str">
        <f t="shared" si="226"/>
        <v>UN</v>
      </c>
      <c r="J3620" s="140" t="str">
        <f t="shared" si="227"/>
        <v>POSTES METALICOS AUTOPORTANTES, CONICO OU TELESCOPICO, PARA SPDA, ALTURA 15 METROS LIVRES</v>
      </c>
    </row>
    <row r="3621" spans="1:10" x14ac:dyDescent="0.25">
      <c r="A3621" s="169">
        <v>41461</v>
      </c>
      <c r="B3621" s="169" t="s">
        <v>27091</v>
      </c>
      <c r="C3621" s="169" t="s">
        <v>10225</v>
      </c>
      <c r="D3621" s="169" t="s">
        <v>1289</v>
      </c>
      <c r="E3621" s="103" t="s">
        <v>31052</v>
      </c>
      <c r="F3621" s="104"/>
      <c r="G3621" s="105">
        <f t="shared" si="224"/>
        <v>4051.78</v>
      </c>
      <c r="H3621" s="101" t="str">
        <f t="shared" si="225"/>
        <v>Sinapi 41461</v>
      </c>
      <c r="I3621" s="101" t="str">
        <f t="shared" si="226"/>
        <v>UN</v>
      </c>
      <c r="J3621" s="140" t="str">
        <f t="shared" si="227"/>
        <v>POSTES METALICOS AUTOPORTANTES, CONICO OU TELESCOPICO, PARA SPDA, ALTURA 20 METROS LIVRES</v>
      </c>
    </row>
    <row r="3622" spans="1:10" x14ac:dyDescent="0.25">
      <c r="A3622" s="169">
        <v>44537</v>
      </c>
      <c r="B3622" s="169" t="s">
        <v>27092</v>
      </c>
      <c r="C3622" s="169" t="s">
        <v>10247</v>
      </c>
      <c r="D3622" s="169" t="s">
        <v>1289</v>
      </c>
      <c r="E3622" s="103" t="s">
        <v>31053</v>
      </c>
      <c r="F3622" s="104"/>
      <c r="G3622" s="105">
        <f t="shared" si="224"/>
        <v>419.32</v>
      </c>
      <c r="H3622" s="101" t="str">
        <f t="shared" si="225"/>
        <v>Sinapi 44537</v>
      </c>
      <c r="I3622" s="101" t="str">
        <f t="shared" si="226"/>
        <v>T</v>
      </c>
      <c r="J3622" s="140" t="str">
        <f t="shared" si="227"/>
        <v>POZOLANA DE CLASSE C</v>
      </c>
    </row>
    <row r="3623" spans="1:10" x14ac:dyDescent="0.25">
      <c r="A3623" s="169">
        <v>11844</v>
      </c>
      <c r="B3623" s="169" t="s">
        <v>31054</v>
      </c>
      <c r="C3623" s="169" t="s">
        <v>10229</v>
      </c>
      <c r="D3623" s="169" t="s">
        <v>1289</v>
      </c>
      <c r="E3623" s="103" t="s">
        <v>22800</v>
      </c>
      <c r="F3623" s="104"/>
      <c r="G3623" s="105">
        <f t="shared" si="224"/>
        <v>44.84</v>
      </c>
      <c r="H3623" s="101" t="str">
        <f t="shared" si="225"/>
        <v>Sinapi 11844</v>
      </c>
      <c r="I3623" s="101" t="str">
        <f t="shared" si="226"/>
        <v>M</v>
      </c>
      <c r="J3623" s="140" t="str">
        <f t="shared" si="227"/>
        <v>PRANCHA APARELHADA *4 X 30* CM, EM MACARANDUBA/MASSARANDUBA, ANGELIM OU EQUIVALENTE DA REGIAO</v>
      </c>
    </row>
    <row r="3624" spans="1:10" x14ac:dyDescent="0.25">
      <c r="A3624" s="169">
        <v>4465</v>
      </c>
      <c r="B3624" s="169" t="s">
        <v>31055</v>
      </c>
      <c r="C3624" s="169" t="s">
        <v>10229</v>
      </c>
      <c r="D3624" s="169" t="s">
        <v>1289</v>
      </c>
      <c r="E3624" s="103" t="s">
        <v>21737</v>
      </c>
      <c r="F3624" s="104"/>
      <c r="G3624" s="105">
        <f t="shared" si="224"/>
        <v>37.26</v>
      </c>
      <c r="H3624" s="101" t="str">
        <f t="shared" si="225"/>
        <v>Sinapi 4465</v>
      </c>
      <c r="I3624" s="101" t="str">
        <f t="shared" si="226"/>
        <v>M</v>
      </c>
      <c r="J3624" s="140" t="str">
        <f t="shared" si="227"/>
        <v>PRANCHA NAO APARELHADA *6 X 25* CM, EM MACARANDUBA/MASSARANDUBA, ANGELIM OU EQUIVALENTE DA REGIAO - BRUTA</v>
      </c>
    </row>
    <row r="3625" spans="1:10" x14ac:dyDescent="0.25">
      <c r="A3625" s="169">
        <v>35273</v>
      </c>
      <c r="B3625" s="169" t="s">
        <v>31056</v>
      </c>
      <c r="C3625" s="169" t="s">
        <v>10229</v>
      </c>
      <c r="D3625" s="169" t="s">
        <v>1289</v>
      </c>
      <c r="E3625" s="103" t="s">
        <v>29374</v>
      </c>
      <c r="F3625" s="104"/>
      <c r="G3625" s="105">
        <f t="shared" si="224"/>
        <v>44.69</v>
      </c>
      <c r="H3625" s="101" t="str">
        <f t="shared" si="225"/>
        <v>Sinapi 35273</v>
      </c>
      <c r="I3625" s="101" t="str">
        <f t="shared" si="226"/>
        <v>M</v>
      </c>
      <c r="J3625" s="140" t="str">
        <f t="shared" si="227"/>
        <v>PRANCHA NAO APARELHADA *6 X 30* CM, EM MACARANDUBA/MASSARANDUBA, ANGELIM OU EQUIVALENTE DA REGIAO - BRUTA</v>
      </c>
    </row>
    <row r="3626" spans="1:10" x14ac:dyDescent="0.25">
      <c r="A3626" s="169">
        <v>4470</v>
      </c>
      <c r="B3626" s="169" t="s">
        <v>31057</v>
      </c>
      <c r="C3626" s="169" t="s">
        <v>10229</v>
      </c>
      <c r="D3626" s="169" t="s">
        <v>1289</v>
      </c>
      <c r="E3626" s="103" t="s">
        <v>31058</v>
      </c>
      <c r="F3626" s="104"/>
      <c r="G3626" s="105">
        <f t="shared" si="224"/>
        <v>103.13</v>
      </c>
      <c r="H3626" s="101" t="str">
        <f t="shared" si="225"/>
        <v>Sinapi 4470</v>
      </c>
      <c r="I3626" s="101" t="str">
        <f t="shared" si="226"/>
        <v>M</v>
      </c>
      <c r="J3626" s="140" t="str">
        <f t="shared" si="227"/>
        <v>PRANCHA NAO APARELHADA *6 X 40* CM, EM MACARANDUBA/MASSARANDUBA, ANGELIM OU EQUIVALENTE DA REGIAO - BRUTA</v>
      </c>
    </row>
    <row r="3627" spans="1:10" x14ac:dyDescent="0.25">
      <c r="A3627" s="169">
        <v>20204</v>
      </c>
      <c r="B3627" s="169" t="s">
        <v>31059</v>
      </c>
      <c r="C3627" s="169" t="s">
        <v>10229</v>
      </c>
      <c r="D3627" s="169" t="s">
        <v>1289</v>
      </c>
      <c r="E3627" s="103" t="s">
        <v>31060</v>
      </c>
      <c r="F3627" s="104"/>
      <c r="G3627" s="105">
        <f t="shared" si="224"/>
        <v>68.75</v>
      </c>
      <c r="H3627" s="101" t="str">
        <f t="shared" si="225"/>
        <v>Sinapi 20204</v>
      </c>
      <c r="I3627" s="101" t="str">
        <f t="shared" si="226"/>
        <v>M</v>
      </c>
      <c r="J3627" s="140" t="str">
        <f t="shared" si="227"/>
        <v>PRANCHAO APARELHADO *7,5 X 23* CM, EM MACARANDUBA/MASSARANDUBA, ANGELIM OU EQUIVALENTE DA REGIAO</v>
      </c>
    </row>
    <row r="3628" spans="1:10" x14ac:dyDescent="0.25">
      <c r="A3628" s="169">
        <v>20208</v>
      </c>
      <c r="B3628" s="169" t="s">
        <v>31061</v>
      </c>
      <c r="C3628" s="169" t="s">
        <v>10229</v>
      </c>
      <c r="D3628" s="169" t="s">
        <v>1289</v>
      </c>
      <c r="E3628" s="103" t="s">
        <v>31062</v>
      </c>
      <c r="F3628" s="104"/>
      <c r="G3628" s="105">
        <f t="shared" si="224"/>
        <v>92.81</v>
      </c>
      <c r="H3628" s="101" t="str">
        <f t="shared" si="225"/>
        <v>Sinapi 20208</v>
      </c>
      <c r="I3628" s="101" t="str">
        <f t="shared" si="226"/>
        <v>M</v>
      </c>
      <c r="J3628" s="140" t="str">
        <f t="shared" si="227"/>
        <v>PRANCHAO APARELHADO *8 X 30* CM, EM MACARANDUBA/MASSARANDUBA, ANGELIM OU EQUIVALENTE DA REGIAO</v>
      </c>
    </row>
    <row r="3629" spans="1:10" x14ac:dyDescent="0.25">
      <c r="A3629" s="169">
        <v>4437</v>
      </c>
      <c r="B3629" s="169" t="s">
        <v>31063</v>
      </c>
      <c r="C3629" s="169" t="s">
        <v>10229</v>
      </c>
      <c r="D3629" s="169" t="s">
        <v>1289</v>
      </c>
      <c r="E3629" s="103" t="s">
        <v>28511</v>
      </c>
      <c r="F3629" s="104"/>
      <c r="G3629" s="105">
        <f t="shared" si="224"/>
        <v>77.34</v>
      </c>
      <c r="H3629" s="101" t="str">
        <f t="shared" si="225"/>
        <v>Sinapi 4437</v>
      </c>
      <c r="I3629" s="101" t="str">
        <f t="shared" si="226"/>
        <v>M</v>
      </c>
      <c r="J3629" s="140" t="str">
        <f t="shared" si="227"/>
        <v>PRANCHAO NAO APARELHADO *7,5 X 23* CM, EM MACARANDUBA/MASSARANDUBA, ANGELIM OU EQUIVALENTE DA REGIAO - BRUTA</v>
      </c>
    </row>
    <row r="3630" spans="1:10" x14ac:dyDescent="0.25">
      <c r="A3630" s="169">
        <v>14580</v>
      </c>
      <c r="B3630" s="169" t="s">
        <v>31064</v>
      </c>
      <c r="C3630" s="169" t="s">
        <v>10229</v>
      </c>
      <c r="D3630" s="169" t="s">
        <v>1289</v>
      </c>
      <c r="E3630" s="103" t="s">
        <v>28511</v>
      </c>
      <c r="F3630" s="104"/>
      <c r="G3630" s="105">
        <f t="shared" si="224"/>
        <v>77.34</v>
      </c>
      <c r="H3630" s="101" t="str">
        <f t="shared" si="225"/>
        <v>Sinapi 14580</v>
      </c>
      <c r="I3630" s="101" t="str">
        <f t="shared" si="226"/>
        <v>M</v>
      </c>
      <c r="J3630" s="140" t="str">
        <f t="shared" si="227"/>
        <v>PRANCHAO NAO APARELHADO *8 X 30* CM, EM MACARANDUBA/MASSARANDUBA, ANGELIM OU EQUIVALENTE DA REGIAO - BRUTA</v>
      </c>
    </row>
    <row r="3631" spans="1:10" x14ac:dyDescent="0.25">
      <c r="A3631" s="169">
        <v>40304</v>
      </c>
      <c r="B3631" s="169" t="s">
        <v>10277</v>
      </c>
      <c r="C3631" s="169" t="s">
        <v>10231</v>
      </c>
      <c r="D3631" s="169" t="s">
        <v>1289</v>
      </c>
      <c r="E3631" s="103" t="s">
        <v>21169</v>
      </c>
      <c r="F3631" s="104"/>
      <c r="G3631" s="105">
        <f t="shared" si="224"/>
        <v>26.37</v>
      </c>
      <c r="H3631" s="101" t="str">
        <f t="shared" si="225"/>
        <v>Sinapi 40304</v>
      </c>
      <c r="I3631" s="101" t="str">
        <f t="shared" si="226"/>
        <v>KG</v>
      </c>
      <c r="J3631" s="140" t="str">
        <f t="shared" si="227"/>
        <v>PREGO DE ACO POLIDO COM CABECA DUPLA 17 X 27 (2 1/2 X 11)</v>
      </c>
    </row>
    <row r="3632" spans="1:10" x14ac:dyDescent="0.25">
      <c r="A3632" s="169">
        <v>5065</v>
      </c>
      <c r="B3632" s="169" t="s">
        <v>27093</v>
      </c>
      <c r="C3632" s="169" t="s">
        <v>10231</v>
      </c>
      <c r="D3632" s="169" t="s">
        <v>1289</v>
      </c>
      <c r="E3632" s="103" t="s">
        <v>27502</v>
      </c>
      <c r="F3632" s="104"/>
      <c r="G3632" s="105">
        <f t="shared" si="224"/>
        <v>40.630000000000003</v>
      </c>
      <c r="H3632" s="101" t="str">
        <f t="shared" si="225"/>
        <v>Sinapi 5065</v>
      </c>
      <c r="I3632" s="101" t="str">
        <f t="shared" si="226"/>
        <v>KG</v>
      </c>
      <c r="J3632" s="140" t="str">
        <f t="shared" si="227"/>
        <v>PREGO DE ACO POLIDO COM CABECA 10 X 10 (7/8 X 17)</v>
      </c>
    </row>
    <row r="3633" spans="1:10" x14ac:dyDescent="0.25">
      <c r="A3633" s="169">
        <v>5072</v>
      </c>
      <c r="B3633" s="169" t="s">
        <v>27095</v>
      </c>
      <c r="C3633" s="169" t="s">
        <v>10231</v>
      </c>
      <c r="D3633" s="169" t="s">
        <v>1289</v>
      </c>
      <c r="E3633" s="103" t="s">
        <v>20482</v>
      </c>
      <c r="F3633" s="104"/>
      <c r="G3633" s="105">
        <f t="shared" si="224"/>
        <v>37.590000000000003</v>
      </c>
      <c r="H3633" s="101" t="str">
        <f t="shared" si="225"/>
        <v>Sinapi 5072</v>
      </c>
      <c r="I3633" s="101" t="str">
        <f t="shared" si="226"/>
        <v>KG</v>
      </c>
      <c r="J3633" s="140" t="str">
        <f t="shared" si="227"/>
        <v>PREGO DE ACO POLIDO COM CABECA 10 X 11 (1 X 17)</v>
      </c>
    </row>
    <row r="3634" spans="1:10" x14ac:dyDescent="0.25">
      <c r="A3634" s="169">
        <v>5066</v>
      </c>
      <c r="B3634" s="169" t="s">
        <v>1296</v>
      </c>
      <c r="C3634" s="169" t="s">
        <v>10231</v>
      </c>
      <c r="D3634" s="169" t="s">
        <v>1289</v>
      </c>
      <c r="E3634" s="103" t="s">
        <v>20061</v>
      </c>
      <c r="F3634" s="104"/>
      <c r="G3634" s="105">
        <f t="shared" si="224"/>
        <v>28.15</v>
      </c>
      <c r="H3634" s="101" t="str">
        <f t="shared" si="225"/>
        <v>Sinapi 5066</v>
      </c>
      <c r="I3634" s="101" t="str">
        <f t="shared" si="226"/>
        <v>KG</v>
      </c>
      <c r="J3634" s="140" t="str">
        <f t="shared" si="227"/>
        <v>PREGO DE ACO POLIDO COM CABECA 12 X 12</v>
      </c>
    </row>
    <row r="3635" spans="1:10" x14ac:dyDescent="0.25">
      <c r="A3635" s="169">
        <v>5063</v>
      </c>
      <c r="B3635" s="169" t="s">
        <v>27096</v>
      </c>
      <c r="C3635" s="169" t="s">
        <v>10231</v>
      </c>
      <c r="D3635" s="169" t="s">
        <v>1289</v>
      </c>
      <c r="E3635" s="103" t="s">
        <v>30939</v>
      </c>
      <c r="F3635" s="104"/>
      <c r="G3635" s="105">
        <f t="shared" si="224"/>
        <v>25.49</v>
      </c>
      <c r="H3635" s="101" t="str">
        <f t="shared" si="225"/>
        <v>Sinapi 5063</v>
      </c>
      <c r="I3635" s="101" t="str">
        <f t="shared" si="226"/>
        <v>KG</v>
      </c>
      <c r="J3635" s="140" t="str">
        <f t="shared" si="227"/>
        <v>PREGO DE ACO POLIDO COM CABECA 14 X 18 (1 1/2 X 14)</v>
      </c>
    </row>
    <row r="3636" spans="1:10" x14ac:dyDescent="0.25">
      <c r="A3636" s="169">
        <v>20247</v>
      </c>
      <c r="B3636" s="169" t="s">
        <v>1015</v>
      </c>
      <c r="C3636" s="169" t="s">
        <v>10231</v>
      </c>
      <c r="D3636" s="169" t="s">
        <v>1289</v>
      </c>
      <c r="E3636" s="103" t="s">
        <v>20127</v>
      </c>
      <c r="F3636" s="104"/>
      <c r="G3636" s="105">
        <f t="shared" si="224"/>
        <v>23.65</v>
      </c>
      <c r="H3636" s="101" t="str">
        <f t="shared" si="225"/>
        <v>Sinapi 20247</v>
      </c>
      <c r="I3636" s="101" t="str">
        <f t="shared" si="226"/>
        <v>KG</v>
      </c>
      <c r="J3636" s="140" t="str">
        <f t="shared" si="227"/>
        <v>PREGO DE ACO POLIDO COM CABECA 15 X 15 (1 1/4 X 13)</v>
      </c>
    </row>
    <row r="3637" spans="1:10" x14ac:dyDescent="0.25">
      <c r="A3637" s="169">
        <v>5074</v>
      </c>
      <c r="B3637" s="169" t="s">
        <v>27097</v>
      </c>
      <c r="C3637" s="169" t="s">
        <v>10231</v>
      </c>
      <c r="D3637" s="169" t="s">
        <v>1289</v>
      </c>
      <c r="E3637" s="103" t="s">
        <v>15667</v>
      </c>
      <c r="F3637" s="104"/>
      <c r="G3637" s="105">
        <f t="shared" si="224"/>
        <v>23.93</v>
      </c>
      <c r="H3637" s="101" t="str">
        <f t="shared" si="225"/>
        <v>Sinapi 5074</v>
      </c>
      <c r="I3637" s="101" t="str">
        <f t="shared" si="226"/>
        <v>KG</v>
      </c>
      <c r="J3637" s="140" t="str">
        <f t="shared" si="227"/>
        <v>PREGO DE ACO POLIDO COM CABECA 15 X 18 (1 1/2 X 13)</v>
      </c>
    </row>
    <row r="3638" spans="1:10" x14ac:dyDescent="0.25">
      <c r="A3638" s="169">
        <v>5067</v>
      </c>
      <c r="B3638" s="169" t="s">
        <v>27099</v>
      </c>
      <c r="C3638" s="169" t="s">
        <v>10231</v>
      </c>
      <c r="D3638" s="169" t="s">
        <v>1289</v>
      </c>
      <c r="E3638" s="103" t="s">
        <v>19879</v>
      </c>
      <c r="F3638" s="104"/>
      <c r="G3638" s="105">
        <f t="shared" si="224"/>
        <v>22.77</v>
      </c>
      <c r="H3638" s="101" t="str">
        <f t="shared" si="225"/>
        <v>Sinapi 5067</v>
      </c>
      <c r="I3638" s="101" t="str">
        <f t="shared" si="226"/>
        <v>KG</v>
      </c>
      <c r="J3638" s="140" t="str">
        <f t="shared" si="227"/>
        <v>PREGO DE ACO POLIDO COM CABECA 16 X 24 (2 1/4 X 12)</v>
      </c>
    </row>
    <row r="3639" spans="1:10" x14ac:dyDescent="0.25">
      <c r="A3639" s="169">
        <v>5078</v>
      </c>
      <c r="B3639" s="169" t="s">
        <v>27100</v>
      </c>
      <c r="C3639" s="169" t="s">
        <v>10231</v>
      </c>
      <c r="D3639" s="169" t="s">
        <v>1289</v>
      </c>
      <c r="E3639" s="103" t="s">
        <v>18696</v>
      </c>
      <c r="F3639" s="104"/>
      <c r="G3639" s="105">
        <f t="shared" si="224"/>
        <v>22.51</v>
      </c>
      <c r="H3639" s="101" t="str">
        <f t="shared" si="225"/>
        <v>Sinapi 5078</v>
      </c>
      <c r="I3639" s="101" t="str">
        <f t="shared" si="226"/>
        <v>KG</v>
      </c>
      <c r="J3639" s="140" t="str">
        <f t="shared" si="227"/>
        <v>PREGO DE ACO POLIDO COM CABECA 16 X 27 (2 1/2 X 12)</v>
      </c>
    </row>
    <row r="3640" spans="1:10" x14ac:dyDescent="0.25">
      <c r="A3640" s="169">
        <v>5068</v>
      </c>
      <c r="B3640" s="169" t="s">
        <v>1235</v>
      </c>
      <c r="C3640" s="169" t="s">
        <v>10231</v>
      </c>
      <c r="D3640" s="169" t="s">
        <v>1289</v>
      </c>
      <c r="E3640" s="103" t="s">
        <v>19360</v>
      </c>
      <c r="F3640" s="104"/>
      <c r="G3640" s="105">
        <f t="shared" si="224"/>
        <v>21.36</v>
      </c>
      <c r="H3640" s="101" t="str">
        <f t="shared" si="225"/>
        <v>Sinapi 5068</v>
      </c>
      <c r="I3640" s="101" t="str">
        <f t="shared" si="226"/>
        <v>KG</v>
      </c>
      <c r="J3640" s="140" t="str">
        <f t="shared" si="227"/>
        <v>PREGO DE ACO POLIDO COM CABECA 17 X 21 (2 X 11)</v>
      </c>
    </row>
    <row r="3641" spans="1:10" x14ac:dyDescent="0.25">
      <c r="A3641" s="169">
        <v>5073</v>
      </c>
      <c r="B3641" s="169" t="s">
        <v>27102</v>
      </c>
      <c r="C3641" s="169" t="s">
        <v>10231</v>
      </c>
      <c r="D3641" s="169" t="s">
        <v>1289</v>
      </c>
      <c r="E3641" s="103" t="s">
        <v>15559</v>
      </c>
      <c r="F3641" s="104"/>
      <c r="G3641" s="105">
        <f t="shared" si="224"/>
        <v>21.77</v>
      </c>
      <c r="H3641" s="101" t="str">
        <f t="shared" si="225"/>
        <v>Sinapi 5073</v>
      </c>
      <c r="I3641" s="101" t="str">
        <f t="shared" si="226"/>
        <v>KG</v>
      </c>
      <c r="J3641" s="140" t="str">
        <f t="shared" si="227"/>
        <v>PREGO DE ACO POLIDO COM CABECA 17 X 24 (2 1/4 X 11)</v>
      </c>
    </row>
    <row r="3642" spans="1:10" x14ac:dyDescent="0.25">
      <c r="A3642" s="169">
        <v>5069</v>
      </c>
      <c r="B3642" s="169" t="s">
        <v>27103</v>
      </c>
      <c r="C3642" s="169" t="s">
        <v>10231</v>
      </c>
      <c r="D3642" s="169" t="s">
        <v>1289</v>
      </c>
      <c r="E3642" s="103" t="s">
        <v>15559</v>
      </c>
      <c r="F3642" s="104"/>
      <c r="G3642" s="105">
        <f t="shared" si="224"/>
        <v>21.77</v>
      </c>
      <c r="H3642" s="101" t="str">
        <f t="shared" si="225"/>
        <v>Sinapi 5069</v>
      </c>
      <c r="I3642" s="101" t="str">
        <f t="shared" si="226"/>
        <v>KG</v>
      </c>
      <c r="J3642" s="140" t="str">
        <f t="shared" si="227"/>
        <v>PREGO DE ACO POLIDO COM CABECA 17 X 27 (2 1/2 X 11)</v>
      </c>
    </row>
    <row r="3643" spans="1:10" x14ac:dyDescent="0.25">
      <c r="A3643" s="169">
        <v>5070</v>
      </c>
      <c r="B3643" s="169" t="s">
        <v>27104</v>
      </c>
      <c r="C3643" s="169" t="s">
        <v>10231</v>
      </c>
      <c r="D3643" s="169" t="s">
        <v>1289</v>
      </c>
      <c r="E3643" s="103" t="s">
        <v>29257</v>
      </c>
      <c r="F3643" s="104"/>
      <c r="G3643" s="105">
        <f t="shared" si="224"/>
        <v>22.01</v>
      </c>
      <c r="H3643" s="101" t="str">
        <f t="shared" si="225"/>
        <v>Sinapi 5070</v>
      </c>
      <c r="I3643" s="101" t="str">
        <f t="shared" si="226"/>
        <v>KG</v>
      </c>
      <c r="J3643" s="140" t="str">
        <f t="shared" si="227"/>
        <v>PREGO DE ACO POLIDO COM CABECA 17 X 30 (2 3/4 X 11)</v>
      </c>
    </row>
    <row r="3644" spans="1:10" x14ac:dyDescent="0.25">
      <c r="A3644" s="169">
        <v>5071</v>
      </c>
      <c r="B3644" s="169" t="s">
        <v>27105</v>
      </c>
      <c r="C3644" s="169" t="s">
        <v>10231</v>
      </c>
      <c r="D3644" s="169" t="s">
        <v>1289</v>
      </c>
      <c r="E3644" s="103" t="s">
        <v>19360</v>
      </c>
      <c r="F3644" s="104"/>
      <c r="G3644" s="105">
        <f t="shared" si="224"/>
        <v>21.36</v>
      </c>
      <c r="H3644" s="101" t="str">
        <f t="shared" si="225"/>
        <v>Sinapi 5071</v>
      </c>
      <c r="I3644" s="101" t="str">
        <f t="shared" si="226"/>
        <v>KG</v>
      </c>
      <c r="J3644" s="140" t="str">
        <f t="shared" si="227"/>
        <v>PREGO DE ACO POLIDO COM CABECA 18 X 24 (2 1/4 X 10)</v>
      </c>
    </row>
    <row r="3645" spans="1:10" x14ac:dyDescent="0.25">
      <c r="A3645" s="169">
        <v>5061</v>
      </c>
      <c r="B3645" s="169" t="s">
        <v>27106</v>
      </c>
      <c r="C3645" s="169" t="s">
        <v>10231</v>
      </c>
      <c r="D3645" s="169" t="s">
        <v>1288</v>
      </c>
      <c r="E3645" s="103" t="s">
        <v>23213</v>
      </c>
      <c r="F3645" s="104"/>
      <c r="G3645" s="105">
        <f t="shared" si="224"/>
        <v>21</v>
      </c>
      <c r="H3645" s="101" t="str">
        <f t="shared" si="225"/>
        <v>Sinapi 5061</v>
      </c>
      <c r="I3645" s="101" t="str">
        <f t="shared" si="226"/>
        <v>KG</v>
      </c>
      <c r="J3645" s="140" t="str">
        <f t="shared" si="227"/>
        <v>PREGO DE ACO POLIDO COM CABECA 18 X 27 (2 1/2 X 10)</v>
      </c>
    </row>
    <row r="3646" spans="1:10" x14ac:dyDescent="0.25">
      <c r="A3646" s="169">
        <v>5075</v>
      </c>
      <c r="B3646" s="169" t="s">
        <v>74</v>
      </c>
      <c r="C3646" s="169" t="s">
        <v>10231</v>
      </c>
      <c r="D3646" s="169" t="s">
        <v>1289</v>
      </c>
      <c r="E3646" s="103" t="s">
        <v>19360</v>
      </c>
      <c r="F3646" s="104"/>
      <c r="G3646" s="105">
        <f t="shared" si="224"/>
        <v>21.36</v>
      </c>
      <c r="H3646" s="101" t="str">
        <f t="shared" si="225"/>
        <v>Sinapi 5075</v>
      </c>
      <c r="I3646" s="101" t="str">
        <f t="shared" si="226"/>
        <v>KG</v>
      </c>
      <c r="J3646" s="140" t="str">
        <f t="shared" si="227"/>
        <v>PREGO DE ACO POLIDO COM CABECA 18 X 30 (2 3/4 X 10)</v>
      </c>
    </row>
    <row r="3647" spans="1:10" x14ac:dyDescent="0.25">
      <c r="A3647" s="169">
        <v>39027</v>
      </c>
      <c r="B3647" s="169" t="s">
        <v>27107</v>
      </c>
      <c r="C3647" s="169" t="s">
        <v>10231</v>
      </c>
      <c r="D3647" s="169" t="s">
        <v>1289</v>
      </c>
      <c r="E3647" s="103" t="s">
        <v>16204</v>
      </c>
      <c r="F3647" s="104"/>
      <c r="G3647" s="105">
        <f t="shared" si="224"/>
        <v>21.34</v>
      </c>
      <c r="H3647" s="101" t="str">
        <f t="shared" si="225"/>
        <v>Sinapi 39027</v>
      </c>
      <c r="I3647" s="101" t="str">
        <f t="shared" si="226"/>
        <v>KG</v>
      </c>
      <c r="J3647" s="140" t="str">
        <f t="shared" si="227"/>
        <v>PREGO DE ACO POLIDO COM CABECA 19 X 36 (3 1/4 X 9)</v>
      </c>
    </row>
    <row r="3648" spans="1:10" x14ac:dyDescent="0.25">
      <c r="A3648" s="169">
        <v>5062</v>
      </c>
      <c r="B3648" s="169" t="s">
        <v>27108</v>
      </c>
      <c r="C3648" s="169" t="s">
        <v>10231</v>
      </c>
      <c r="D3648" s="169" t="s">
        <v>1289</v>
      </c>
      <c r="E3648" s="103" t="s">
        <v>21592</v>
      </c>
      <c r="F3648" s="104"/>
      <c r="G3648" s="105">
        <f t="shared" si="224"/>
        <v>21.64</v>
      </c>
      <c r="H3648" s="101" t="str">
        <f t="shared" si="225"/>
        <v>Sinapi 5062</v>
      </c>
      <c r="I3648" s="101" t="str">
        <f t="shared" si="226"/>
        <v>KG</v>
      </c>
      <c r="J3648" s="140" t="str">
        <f t="shared" si="227"/>
        <v>PREGO DE ACO POLIDO COM CABECA 19 X 33 (3 X 9)</v>
      </c>
    </row>
    <row r="3649" spans="1:10" x14ac:dyDescent="0.25">
      <c r="A3649" s="169">
        <v>40568</v>
      </c>
      <c r="B3649" s="169" t="s">
        <v>27110</v>
      </c>
      <c r="C3649" s="169" t="s">
        <v>10231</v>
      </c>
      <c r="D3649" s="169" t="s">
        <v>1289</v>
      </c>
      <c r="E3649" s="103" t="s">
        <v>29377</v>
      </c>
      <c r="F3649" s="104"/>
      <c r="G3649" s="105">
        <f t="shared" si="224"/>
        <v>21.52</v>
      </c>
      <c r="H3649" s="101" t="str">
        <f t="shared" si="225"/>
        <v>Sinapi 40568</v>
      </c>
      <c r="I3649" s="101" t="str">
        <f t="shared" si="226"/>
        <v>KG</v>
      </c>
      <c r="J3649" s="140" t="str">
        <f t="shared" si="227"/>
        <v>PREGO DE ACO POLIDO COM CABECA 22 X 48 (4 1/4 X 5)</v>
      </c>
    </row>
    <row r="3650" spans="1:10" x14ac:dyDescent="0.25">
      <c r="A3650" s="169">
        <v>39026</v>
      </c>
      <c r="B3650" s="169" t="s">
        <v>10278</v>
      </c>
      <c r="C3650" s="169" t="s">
        <v>10231</v>
      </c>
      <c r="D3650" s="169" t="s">
        <v>1289</v>
      </c>
      <c r="E3650" s="103" t="s">
        <v>15082</v>
      </c>
      <c r="F3650" s="104"/>
      <c r="G3650" s="105">
        <f t="shared" si="224"/>
        <v>24.02</v>
      </c>
      <c r="H3650" s="101" t="str">
        <f t="shared" si="225"/>
        <v>Sinapi 39026</v>
      </c>
      <c r="I3650" s="101" t="str">
        <f t="shared" si="226"/>
        <v>KG</v>
      </c>
      <c r="J3650" s="140" t="str">
        <f t="shared" si="227"/>
        <v>PREGO DE ACO POLIDO SEM CABECA 15 X 15 (1 1/4 X 13)</v>
      </c>
    </row>
    <row r="3651" spans="1:10" x14ac:dyDescent="0.25">
      <c r="A3651" s="169">
        <v>42431</v>
      </c>
      <c r="B3651" s="169" t="s">
        <v>27111</v>
      </c>
      <c r="C3651" s="169" t="s">
        <v>10225</v>
      </c>
      <c r="D3651" s="169" t="s">
        <v>1290</v>
      </c>
      <c r="E3651" s="103" t="s">
        <v>21078</v>
      </c>
      <c r="F3651" s="104"/>
      <c r="G3651" s="105">
        <f t="shared" si="224"/>
        <v>3957.85</v>
      </c>
      <c r="H3651" s="101" t="str">
        <f t="shared" si="225"/>
        <v>Sinapi 42431</v>
      </c>
      <c r="I3651" s="101" t="str">
        <f t="shared" si="226"/>
        <v>UN</v>
      </c>
      <c r="J3651" s="140" t="str">
        <f t="shared" si="227"/>
        <v>PRESSAO DE PERNAS TRIPLO, EM TUBO DE ACO CARBONO, PINTURA NO PROCESSO ELETROSTATICO - EQUIPAMENTO DE GINASTICA PARA ACADEMIA AO AR LIVRE / ACADEMIA DA TERCEIRA IDADE - ATI</v>
      </c>
    </row>
    <row r="3652" spans="1:10" x14ac:dyDescent="0.25">
      <c r="A3652" s="169">
        <v>44074</v>
      </c>
      <c r="B3652" s="169" t="s">
        <v>27112</v>
      </c>
      <c r="C3652" s="169" t="s">
        <v>10230</v>
      </c>
      <c r="D3652" s="169" t="s">
        <v>1289</v>
      </c>
      <c r="E3652" s="103" t="s">
        <v>31065</v>
      </c>
      <c r="F3652" s="104"/>
      <c r="G3652" s="105">
        <f t="shared" si="224"/>
        <v>669.77</v>
      </c>
      <c r="H3652" s="101" t="str">
        <f t="shared" si="225"/>
        <v>Sinapi 44074</v>
      </c>
      <c r="I3652" s="101" t="str">
        <f t="shared" si="226"/>
        <v>L</v>
      </c>
      <c r="J3652" s="140" t="str">
        <f t="shared" si="227"/>
        <v>PRIMER DE POLIURETANO</v>
      </c>
    </row>
    <row r="3653" spans="1:10" x14ac:dyDescent="0.25">
      <c r="A3653" s="169">
        <v>44072</v>
      </c>
      <c r="B3653" s="169" t="s">
        <v>27113</v>
      </c>
      <c r="C3653" s="169" t="s">
        <v>10230</v>
      </c>
      <c r="D3653" s="169" t="s">
        <v>1289</v>
      </c>
      <c r="E3653" s="103" t="s">
        <v>31066</v>
      </c>
      <c r="F3653" s="104"/>
      <c r="G3653" s="105">
        <f t="shared" si="224"/>
        <v>103.5</v>
      </c>
      <c r="H3653" s="101" t="str">
        <f t="shared" si="225"/>
        <v>Sinapi 44072</v>
      </c>
      <c r="I3653" s="101" t="str">
        <f t="shared" si="226"/>
        <v>L</v>
      </c>
      <c r="J3653" s="140" t="str">
        <f t="shared" si="227"/>
        <v>PRIMER EPOXI / EPOXIDICO</v>
      </c>
    </row>
    <row r="3654" spans="1:10" x14ac:dyDescent="0.25">
      <c r="A3654" s="169">
        <v>511</v>
      </c>
      <c r="B3654" s="169" t="s">
        <v>1250</v>
      </c>
      <c r="C3654" s="169" t="s">
        <v>10230</v>
      </c>
      <c r="D3654" s="169" t="s">
        <v>1288</v>
      </c>
      <c r="E3654" s="103" t="s">
        <v>31067</v>
      </c>
      <c r="F3654" s="104"/>
      <c r="G3654" s="105">
        <f t="shared" si="224"/>
        <v>31.54</v>
      </c>
      <c r="H3654" s="101" t="str">
        <f t="shared" si="225"/>
        <v>Sinapi 511</v>
      </c>
      <c r="I3654" s="101" t="str">
        <f t="shared" si="226"/>
        <v>L</v>
      </c>
      <c r="J3654" s="140" t="str">
        <f t="shared" si="227"/>
        <v>PRIMER PARA MANTA ASFALTICA A BASE DE ASFALTO MODIFICADO DILUIDO EM SOLVENTE, APLICACAO A FRIO</v>
      </c>
    </row>
    <row r="3655" spans="1:10" x14ac:dyDescent="0.25">
      <c r="A3655" s="169">
        <v>37540</v>
      </c>
      <c r="B3655" s="169" t="s">
        <v>27114</v>
      </c>
      <c r="C3655" s="169" t="s">
        <v>10225</v>
      </c>
      <c r="D3655" s="169" t="s">
        <v>1289</v>
      </c>
      <c r="E3655" s="103" t="s">
        <v>31068</v>
      </c>
      <c r="F3655" s="104"/>
      <c r="G3655" s="105">
        <f t="shared" si="224"/>
        <v>101559.92</v>
      </c>
      <c r="H3655" s="101" t="str">
        <f t="shared" si="225"/>
        <v>Sinapi 37540</v>
      </c>
      <c r="I3655" s="101" t="str">
        <f t="shared" si="226"/>
        <v>UN</v>
      </c>
      <c r="J3655" s="140" t="str">
        <f t="shared" si="227"/>
        <v>PROJETOR DE ARGAMASSA, CAPACIDADE DE PROJECAO 1,5 M3/H, ALCANCE DA PROJECAO 30 ATE 60 M, MOTOR ELETRICO TRIFASICO</v>
      </c>
    </row>
    <row r="3656" spans="1:10" x14ac:dyDescent="0.25">
      <c r="A3656" s="169">
        <v>37548</v>
      </c>
      <c r="B3656" s="169" t="s">
        <v>27115</v>
      </c>
      <c r="C3656" s="169" t="s">
        <v>10225</v>
      </c>
      <c r="D3656" s="169" t="s">
        <v>1289</v>
      </c>
      <c r="E3656" s="103" t="s">
        <v>31069</v>
      </c>
      <c r="F3656" s="104"/>
      <c r="G3656" s="105">
        <f t="shared" ref="G3656:G3719" si="228">IF(E3656="","",E3656+0)</f>
        <v>134617.17000000001</v>
      </c>
      <c r="H3656" s="101" t="str">
        <f t="shared" ref="H3656:H3719" si="229">IF(G3656="","",TRIM(CONCATENATE("Sinapi ",A3656)))</f>
        <v>Sinapi 37548</v>
      </c>
      <c r="I3656" s="101" t="str">
        <f t="shared" ref="I3656:I3719" si="230">TRIM(C3656)</f>
        <v>UN</v>
      </c>
      <c r="J3656" s="140" t="str">
        <f t="shared" si="227"/>
        <v>PROJETOR DE ARGAMASSA, CAPACIDADE DE PROJECAO 2,0 M3/H, ALCANCE DA PROJECAO ATE 50 M, MOTOR ELETRICO TRIFASICO</v>
      </c>
    </row>
    <row r="3657" spans="1:10" x14ac:dyDescent="0.25">
      <c r="A3657" s="169">
        <v>39828</v>
      </c>
      <c r="B3657" s="169" t="s">
        <v>27116</v>
      </c>
      <c r="C3657" s="169" t="s">
        <v>10225</v>
      </c>
      <c r="D3657" s="169" t="s">
        <v>1289</v>
      </c>
      <c r="E3657" s="103" t="s">
        <v>31070</v>
      </c>
      <c r="F3657" s="104"/>
      <c r="G3657" s="105">
        <f t="shared" si="228"/>
        <v>807.57</v>
      </c>
      <c r="H3657" s="101" t="str">
        <f t="shared" si="229"/>
        <v>Sinapi 39828</v>
      </c>
      <c r="I3657" s="101" t="str">
        <f t="shared" si="230"/>
        <v>UN</v>
      </c>
      <c r="J3657" s="140" t="str">
        <f t="shared" ref="J3657:J3720" si="231">TRIM(B3657)</f>
        <v>PROJETOR PNEUMATICO DE ARGAMASSA PARA CHAPISCO E REBOCO COM RECIPIENTE ACOPLADO, TIPO CANEQUNHA, COM VOLUME DE 1,50 L, SEM COMPRESSOR</v>
      </c>
    </row>
    <row r="3658" spans="1:10" x14ac:dyDescent="0.25">
      <c r="A3658" s="169">
        <v>12273</v>
      </c>
      <c r="B3658" s="169" t="s">
        <v>27117</v>
      </c>
      <c r="C3658" s="169" t="s">
        <v>10225</v>
      </c>
      <c r="D3658" s="169" t="s">
        <v>1290</v>
      </c>
      <c r="E3658" s="103" t="s">
        <v>23152</v>
      </c>
      <c r="F3658" s="104"/>
      <c r="G3658" s="105">
        <f t="shared" si="228"/>
        <v>113.69</v>
      </c>
      <c r="H3658" s="101" t="str">
        <f t="shared" si="229"/>
        <v>Sinapi 12273</v>
      </c>
      <c r="I3658" s="101" t="str">
        <f t="shared" si="230"/>
        <v>UN</v>
      </c>
      <c r="J3658" s="140" t="str">
        <f t="shared" si="231"/>
        <v>PROJETOR RETANGULAR FECHADO PARA LAMPADA VAPOR DE MERCURIO/SODIO 250 W A 500 W, CABECEIRAS EM ALUMINIO FUNDIDO, CORPO EM ALUMINIO ANODIZADO, PARA LAMPADA E40 FECHAMENTO EM VIDRO TEMPERADO.</v>
      </c>
    </row>
    <row r="3659" spans="1:10" x14ac:dyDescent="0.25">
      <c r="A3659" s="169">
        <v>38392</v>
      </c>
      <c r="B3659" s="169" t="s">
        <v>27118</v>
      </c>
      <c r="C3659" s="169" t="s">
        <v>10225</v>
      </c>
      <c r="D3659" s="169" t="s">
        <v>1289</v>
      </c>
      <c r="E3659" s="103" t="s">
        <v>31071</v>
      </c>
      <c r="F3659" s="104"/>
      <c r="G3659" s="105">
        <f t="shared" si="228"/>
        <v>59.66</v>
      </c>
      <c r="H3659" s="101" t="str">
        <f t="shared" si="229"/>
        <v>Sinapi 38392</v>
      </c>
      <c r="I3659" s="101" t="str">
        <f t="shared" si="230"/>
        <v>UN</v>
      </c>
      <c r="J3659" s="140" t="str">
        <f t="shared" si="231"/>
        <v>PROLONGADOR/EXTENSOR PARA ROLO DE PINTURA 3 M</v>
      </c>
    </row>
    <row r="3660" spans="1:10" x14ac:dyDescent="0.25">
      <c r="A3660" s="169">
        <v>11735</v>
      </c>
      <c r="B3660" s="169" t="s">
        <v>27120</v>
      </c>
      <c r="C3660" s="169" t="s">
        <v>10225</v>
      </c>
      <c r="D3660" s="169" t="s">
        <v>1289</v>
      </c>
      <c r="E3660" s="103" t="s">
        <v>30209</v>
      </c>
      <c r="F3660" s="104"/>
      <c r="G3660" s="105">
        <f t="shared" si="228"/>
        <v>9.01</v>
      </c>
      <c r="H3660" s="101" t="str">
        <f t="shared" si="229"/>
        <v>Sinapi 11735</v>
      </c>
      <c r="I3660" s="101" t="str">
        <f t="shared" si="230"/>
        <v>UN</v>
      </c>
      <c r="J3660" s="140" t="str">
        <f t="shared" si="231"/>
        <v>PROLONGAMENTO / PROLONGADOR PARA CAIXA SIFONADA, PVC, 100 MM X 200 MM (NBR 5688)</v>
      </c>
    </row>
    <row r="3661" spans="1:10" x14ac:dyDescent="0.25">
      <c r="A3661" s="169">
        <v>11737</v>
      </c>
      <c r="B3661" s="169" t="s">
        <v>27121</v>
      </c>
      <c r="C3661" s="169" t="s">
        <v>10225</v>
      </c>
      <c r="D3661" s="169" t="s">
        <v>1289</v>
      </c>
      <c r="E3661" s="103" t="s">
        <v>21367</v>
      </c>
      <c r="F3661" s="104"/>
      <c r="G3661" s="105">
        <f t="shared" si="228"/>
        <v>12.77</v>
      </c>
      <c r="H3661" s="101" t="str">
        <f t="shared" si="229"/>
        <v>Sinapi 11737</v>
      </c>
      <c r="I3661" s="101" t="str">
        <f t="shared" si="230"/>
        <v>UN</v>
      </c>
      <c r="J3661" s="140" t="str">
        <f t="shared" si="231"/>
        <v>PROLONGAMENTO / PROLONGADOR PARA CAIXA SIFONADA, PVC, 150 MM X 150 MM (NBR 5688)</v>
      </c>
    </row>
    <row r="3662" spans="1:10" x14ac:dyDescent="0.25">
      <c r="A3662" s="169">
        <v>11738</v>
      </c>
      <c r="B3662" s="169" t="s">
        <v>27122</v>
      </c>
      <c r="C3662" s="169" t="s">
        <v>10225</v>
      </c>
      <c r="D3662" s="169" t="s">
        <v>1289</v>
      </c>
      <c r="E3662" s="103" t="s">
        <v>19311</v>
      </c>
      <c r="F3662" s="104"/>
      <c r="G3662" s="105">
        <f t="shared" si="228"/>
        <v>16.11</v>
      </c>
      <c r="H3662" s="101" t="str">
        <f t="shared" si="229"/>
        <v>Sinapi 11738</v>
      </c>
      <c r="I3662" s="101" t="str">
        <f t="shared" si="230"/>
        <v>UN</v>
      </c>
      <c r="J3662" s="140" t="str">
        <f t="shared" si="231"/>
        <v>PROLONGAMENTO / PROLONGADOR PARA CAIXA SIFONADA, PVC, 150 MM X 200 MM (NBR 5688)</v>
      </c>
    </row>
    <row r="3663" spans="1:10" x14ac:dyDescent="0.25">
      <c r="A3663" s="169">
        <v>36143</v>
      </c>
      <c r="B3663" s="169" t="s">
        <v>27124</v>
      </c>
      <c r="C3663" s="169" t="s">
        <v>10225</v>
      </c>
      <c r="D3663" s="169" t="s">
        <v>1289</v>
      </c>
      <c r="E3663" s="103" t="s">
        <v>29867</v>
      </c>
      <c r="F3663" s="104"/>
      <c r="G3663" s="105">
        <f t="shared" si="228"/>
        <v>29.93</v>
      </c>
      <c r="H3663" s="101" t="str">
        <f t="shared" si="229"/>
        <v>Sinapi 36143</v>
      </c>
      <c r="I3663" s="101" t="str">
        <f t="shared" si="230"/>
        <v>UN</v>
      </c>
      <c r="J3663" s="140" t="str">
        <f t="shared" si="231"/>
        <v>PROTETOR AUDITIVO TIPO CONCHA COM ABAFADOR DE RUIDOS, ATENUACAO ACIMA DE 22 DB</v>
      </c>
    </row>
    <row r="3664" spans="1:10" x14ac:dyDescent="0.25">
      <c r="A3664" s="169">
        <v>36142</v>
      </c>
      <c r="B3664" s="169" t="s">
        <v>27125</v>
      </c>
      <c r="C3664" s="169" t="s">
        <v>10225</v>
      </c>
      <c r="D3664" s="169" t="s">
        <v>1289</v>
      </c>
      <c r="E3664" s="103" t="s">
        <v>21001</v>
      </c>
      <c r="F3664" s="104"/>
      <c r="G3664" s="105">
        <f t="shared" si="228"/>
        <v>2.19</v>
      </c>
      <c r="H3664" s="101" t="str">
        <f t="shared" si="229"/>
        <v>Sinapi 36142</v>
      </c>
      <c r="I3664" s="101" t="str">
        <f t="shared" si="230"/>
        <v>UN</v>
      </c>
      <c r="J3664" s="140" t="str">
        <f t="shared" si="231"/>
        <v>PROTETOR AUDITIVO TIPO PLUG DE INSERCAO COM CORDAO, ATENUACAO SUPERIOR A 15 DB</v>
      </c>
    </row>
    <row r="3665" spans="1:10" x14ac:dyDescent="0.25">
      <c r="A3665" s="169">
        <v>36146</v>
      </c>
      <c r="B3665" s="169" t="s">
        <v>27126</v>
      </c>
      <c r="C3665" s="169" t="s">
        <v>10225</v>
      </c>
      <c r="D3665" s="169" t="s">
        <v>1289</v>
      </c>
      <c r="E3665" s="103" t="s">
        <v>31072</v>
      </c>
      <c r="F3665" s="104"/>
      <c r="G3665" s="105">
        <f t="shared" si="228"/>
        <v>248.2</v>
      </c>
      <c r="H3665" s="101" t="str">
        <f t="shared" si="229"/>
        <v>Sinapi 36146</v>
      </c>
      <c r="I3665" s="101" t="str">
        <f t="shared" si="230"/>
        <v>UN</v>
      </c>
      <c r="J3665" s="140" t="str">
        <f t="shared" si="231"/>
        <v>PROTETOR SOLAR FPS 30, EMBALAGEM 2 LITROS</v>
      </c>
    </row>
    <row r="3666" spans="1:10" x14ac:dyDescent="0.25">
      <c r="A3666" s="169">
        <v>39015</v>
      </c>
      <c r="B3666" s="169" t="s">
        <v>27127</v>
      </c>
      <c r="C3666" s="169" t="s">
        <v>10225</v>
      </c>
      <c r="D3666" s="169" t="s">
        <v>1290</v>
      </c>
      <c r="E3666" s="103" t="s">
        <v>15761</v>
      </c>
      <c r="F3666" s="104"/>
      <c r="G3666" s="105">
        <f t="shared" si="228"/>
        <v>0.97</v>
      </c>
      <c r="H3666" s="101" t="str">
        <f t="shared" si="229"/>
        <v>Sinapi 39015</v>
      </c>
      <c r="I3666" s="101" t="str">
        <f t="shared" si="230"/>
        <v>UN</v>
      </c>
      <c r="J3666" s="140" t="str">
        <f t="shared" si="231"/>
        <v>PROTETOR/PONTEIRA PLASTICA PARA PONTA DE VERGALHAO DE ATE 1", TIPO PROTETOR DE ESPERA</v>
      </c>
    </row>
    <row r="3667" spans="1:10" x14ac:dyDescent="0.25">
      <c r="A3667" s="169">
        <v>38377</v>
      </c>
      <c r="B3667" s="169" t="s">
        <v>27128</v>
      </c>
      <c r="C3667" s="169" t="s">
        <v>10225</v>
      </c>
      <c r="D3667" s="169" t="s">
        <v>1289</v>
      </c>
      <c r="E3667" s="103" t="s">
        <v>23201</v>
      </c>
      <c r="F3667" s="104"/>
      <c r="G3667" s="105">
        <f t="shared" si="228"/>
        <v>54.87</v>
      </c>
      <c r="H3667" s="101" t="str">
        <f t="shared" si="229"/>
        <v>Sinapi 38377</v>
      </c>
      <c r="I3667" s="101" t="str">
        <f t="shared" si="230"/>
        <v>UN</v>
      </c>
      <c r="J3667" s="140" t="str">
        <f t="shared" si="231"/>
        <v>PRUMO DE CENTRO EM ACO *400* G</v>
      </c>
    </row>
    <row r="3668" spans="1:10" x14ac:dyDescent="0.25">
      <c r="A3668" s="169">
        <v>38376</v>
      </c>
      <c r="B3668" s="169" t="s">
        <v>27129</v>
      </c>
      <c r="C3668" s="169" t="s">
        <v>10225</v>
      </c>
      <c r="D3668" s="169" t="s">
        <v>1289</v>
      </c>
      <c r="E3668" s="103" t="s">
        <v>21482</v>
      </c>
      <c r="F3668" s="104"/>
      <c r="G3668" s="105">
        <f t="shared" si="228"/>
        <v>62.56</v>
      </c>
      <c r="H3668" s="101" t="str">
        <f t="shared" si="229"/>
        <v>Sinapi 38376</v>
      </c>
      <c r="I3668" s="101" t="str">
        <f t="shared" si="230"/>
        <v>UN</v>
      </c>
      <c r="J3668" s="140" t="str">
        <f t="shared" si="231"/>
        <v>PRUMO DE PAREDE EM ACO 700 A 750 G</v>
      </c>
    </row>
    <row r="3669" spans="1:10" x14ac:dyDescent="0.25">
      <c r="A3669" s="169">
        <v>38116</v>
      </c>
      <c r="B3669" s="169" t="s">
        <v>10279</v>
      </c>
      <c r="C3669" s="169" t="s">
        <v>10225</v>
      </c>
      <c r="D3669" s="169" t="s">
        <v>1289</v>
      </c>
      <c r="E3669" s="103" t="s">
        <v>20625</v>
      </c>
      <c r="F3669" s="104"/>
      <c r="G3669" s="105">
        <f t="shared" si="228"/>
        <v>7.51</v>
      </c>
      <c r="H3669" s="101" t="str">
        <f t="shared" si="229"/>
        <v>Sinapi 38116</v>
      </c>
      <c r="I3669" s="101" t="str">
        <f t="shared" si="230"/>
        <v>UN</v>
      </c>
      <c r="J3669" s="140" t="str">
        <f t="shared" si="231"/>
        <v>PULSADOR CAMPAINHA 10A, 250V (APENAS MODULO)</v>
      </c>
    </row>
    <row r="3670" spans="1:10" x14ac:dyDescent="0.25">
      <c r="A3670" s="169">
        <v>38066</v>
      </c>
      <c r="B3670" s="169" t="s">
        <v>27131</v>
      </c>
      <c r="C3670" s="169" t="s">
        <v>10225</v>
      </c>
      <c r="D3670" s="169" t="s">
        <v>1289</v>
      </c>
      <c r="E3670" s="103" t="s">
        <v>15506</v>
      </c>
      <c r="F3670" s="104"/>
      <c r="G3670" s="105">
        <f t="shared" si="228"/>
        <v>12.39</v>
      </c>
      <c r="H3670" s="101" t="str">
        <f t="shared" si="229"/>
        <v>Sinapi 38066</v>
      </c>
      <c r="I3670" s="101" t="str">
        <f t="shared" si="230"/>
        <v>UN</v>
      </c>
      <c r="J3670" s="140" t="str">
        <f t="shared" si="231"/>
        <v>PULSADOR CAMPAINHA 10A, 250V, CONJUNTO MONTADO PARA EMBUTIR 4" X 2" (PLACA + SUPORTE + MODULO)</v>
      </c>
    </row>
    <row r="3671" spans="1:10" x14ac:dyDescent="0.25">
      <c r="A3671" s="169">
        <v>38117</v>
      </c>
      <c r="B3671" s="169" t="s">
        <v>27132</v>
      </c>
      <c r="C3671" s="169" t="s">
        <v>10225</v>
      </c>
      <c r="D3671" s="169" t="s">
        <v>1289</v>
      </c>
      <c r="E3671" s="103" t="s">
        <v>17918</v>
      </c>
      <c r="F3671" s="104"/>
      <c r="G3671" s="105">
        <f t="shared" si="228"/>
        <v>12.78</v>
      </c>
      <c r="H3671" s="101" t="str">
        <f t="shared" si="229"/>
        <v>Sinapi 38117</v>
      </c>
      <c r="I3671" s="101" t="str">
        <f t="shared" si="230"/>
        <v>UN</v>
      </c>
      <c r="J3671" s="140" t="str">
        <f t="shared" si="231"/>
        <v>PULSADOR MINUTERIA 10A, 250V (APENAS MODULO)</v>
      </c>
    </row>
    <row r="3672" spans="1:10" x14ac:dyDescent="0.25">
      <c r="A3672" s="169">
        <v>38067</v>
      </c>
      <c r="B3672" s="169" t="s">
        <v>27133</v>
      </c>
      <c r="C3672" s="169" t="s">
        <v>10225</v>
      </c>
      <c r="D3672" s="169" t="s">
        <v>1289</v>
      </c>
      <c r="E3672" s="103" t="s">
        <v>14126</v>
      </c>
      <c r="F3672" s="104"/>
      <c r="G3672" s="105">
        <f t="shared" si="228"/>
        <v>17.440000000000001</v>
      </c>
      <c r="H3672" s="101" t="str">
        <f t="shared" si="229"/>
        <v>Sinapi 38067</v>
      </c>
      <c r="I3672" s="101" t="str">
        <f t="shared" si="230"/>
        <v>UN</v>
      </c>
      <c r="J3672" s="140" t="str">
        <f t="shared" si="231"/>
        <v>PULSADOR MINUTERIA 10A, 250V, CONJUNTO MONTADO PARA EMBUTIR 4" X 2" (PLACA + SUPORTE + MODULO)</v>
      </c>
    </row>
    <row r="3673" spans="1:10" x14ac:dyDescent="0.25">
      <c r="A3673" s="169">
        <v>11522</v>
      </c>
      <c r="B3673" s="169" t="s">
        <v>27135</v>
      </c>
      <c r="C3673" s="169" t="s">
        <v>10225</v>
      </c>
      <c r="D3673" s="169" t="s">
        <v>1289</v>
      </c>
      <c r="E3673" s="103" t="s">
        <v>15567</v>
      </c>
      <c r="F3673" s="104"/>
      <c r="G3673" s="105">
        <f t="shared" si="228"/>
        <v>14.93</v>
      </c>
      <c r="H3673" s="101" t="str">
        <f t="shared" si="229"/>
        <v>Sinapi 11522</v>
      </c>
      <c r="I3673" s="101" t="str">
        <f t="shared" si="230"/>
        <v>UN</v>
      </c>
      <c r="J3673" s="140" t="str">
        <f t="shared" si="231"/>
        <v>PUXADOR DE EMBUTIR TIPO CONCHA, COM FURO PARA CHAVE, EM LATAO CROMADO, COMPRIMENTO DE APROX *100* MM E LARGURA DE APROX *40* MM</v>
      </c>
    </row>
    <row r="3674" spans="1:10" x14ac:dyDescent="0.25">
      <c r="A3674" s="169">
        <v>43600</v>
      </c>
      <c r="B3674" s="169" t="s">
        <v>27136</v>
      </c>
      <c r="C3674" s="169" t="s">
        <v>10225</v>
      </c>
      <c r="D3674" s="169" t="s">
        <v>1289</v>
      </c>
      <c r="E3674" s="103" t="s">
        <v>30212</v>
      </c>
      <c r="F3674" s="104"/>
      <c r="G3674" s="105">
        <f t="shared" si="228"/>
        <v>59.82</v>
      </c>
      <c r="H3674" s="101" t="str">
        <f t="shared" si="229"/>
        <v>Sinapi 43600</v>
      </c>
      <c r="I3674" s="101" t="str">
        <f t="shared" si="230"/>
        <v>UN</v>
      </c>
      <c r="J3674" s="140" t="str">
        <f t="shared" si="231"/>
        <v>PUXADOR TIPO ALCA, EM ZAMAC CROMADO, COM COMPRIMENTO DE APROX 150 MM, COM ROSETA PARA PORTAS DE MADEIRAS, INCLUINDO PARAFUSOS</v>
      </c>
    </row>
    <row r="3675" spans="1:10" x14ac:dyDescent="0.25">
      <c r="A3675" s="169">
        <v>5080</v>
      </c>
      <c r="B3675" s="169" t="s">
        <v>27137</v>
      </c>
      <c r="C3675" s="169" t="s">
        <v>10225</v>
      </c>
      <c r="D3675" s="169" t="s">
        <v>1289</v>
      </c>
      <c r="E3675" s="103" t="s">
        <v>23268</v>
      </c>
      <c r="F3675" s="104"/>
      <c r="G3675" s="105">
        <f t="shared" si="228"/>
        <v>23.33</v>
      </c>
      <c r="H3675" s="101" t="str">
        <f t="shared" si="229"/>
        <v>Sinapi 5080</v>
      </c>
      <c r="I3675" s="101" t="str">
        <f t="shared" si="230"/>
        <v>UN</v>
      </c>
      <c r="J3675" s="140" t="str">
        <f t="shared" si="231"/>
        <v>PUXADOR TIPO ALCA, EM ZAMAC CROMADO, COM ROSETAS, COMPRIMENTO DE APROX *100* MM, PARA PORTAS E JANELAS DE MADEIRA, INCLUINDO PARAFUSOS</v>
      </c>
    </row>
    <row r="3676" spans="1:10" x14ac:dyDescent="0.25">
      <c r="A3676" s="169">
        <v>38168</v>
      </c>
      <c r="B3676" s="169" t="s">
        <v>27138</v>
      </c>
      <c r="C3676" s="169" t="s">
        <v>10225</v>
      </c>
      <c r="D3676" s="169" t="s">
        <v>1289</v>
      </c>
      <c r="E3676" s="103" t="s">
        <v>29210</v>
      </c>
      <c r="F3676" s="104"/>
      <c r="G3676" s="105">
        <f t="shared" si="228"/>
        <v>162.86000000000001</v>
      </c>
      <c r="H3676" s="101" t="str">
        <f t="shared" si="229"/>
        <v>Sinapi 38168</v>
      </c>
      <c r="I3676" s="101" t="str">
        <f t="shared" si="230"/>
        <v>UN</v>
      </c>
      <c r="J3676" s="140" t="str">
        <f t="shared" si="231"/>
        <v>PUXADOR TUBULAR RETO DUPLO, EM ALUMINIO CROMADO, COMPRIMENTO DE APROX 400 MM E DIAMETRO DE 25 MM (1")</v>
      </c>
    </row>
    <row r="3677" spans="1:10" x14ac:dyDescent="0.25">
      <c r="A3677" s="169">
        <v>43601</v>
      </c>
      <c r="B3677" s="169" t="s">
        <v>27139</v>
      </c>
      <c r="C3677" s="169" t="s">
        <v>10225</v>
      </c>
      <c r="D3677" s="169" t="s">
        <v>1289</v>
      </c>
      <c r="E3677" s="103" t="s">
        <v>31073</v>
      </c>
      <c r="F3677" s="104"/>
      <c r="G3677" s="105">
        <f t="shared" si="228"/>
        <v>81.430000000000007</v>
      </c>
      <c r="H3677" s="101" t="str">
        <f t="shared" si="229"/>
        <v>Sinapi 43601</v>
      </c>
      <c r="I3677" s="101" t="str">
        <f t="shared" si="230"/>
        <v>UN</v>
      </c>
      <c r="J3677" s="140" t="str">
        <f t="shared" si="231"/>
        <v>PUXADOR TUBULAR RETO SIMPLES, EM ALUMINIO CROMADO, COM COMPRIMENTO DE APROX 400 MM E DIAMETRO DE 25 MM</v>
      </c>
    </row>
    <row r="3678" spans="1:10" x14ac:dyDescent="0.25">
      <c r="A3678" s="169">
        <v>13393</v>
      </c>
      <c r="B3678" s="169" t="s">
        <v>27140</v>
      </c>
      <c r="C3678" s="169" t="s">
        <v>10225</v>
      </c>
      <c r="D3678" s="169" t="s">
        <v>1289</v>
      </c>
      <c r="E3678" s="103" t="s">
        <v>31074</v>
      </c>
      <c r="F3678" s="104"/>
      <c r="G3678" s="105">
        <f t="shared" si="228"/>
        <v>408.19</v>
      </c>
      <c r="H3678" s="101" t="str">
        <f t="shared" si="229"/>
        <v>Sinapi 13393</v>
      </c>
      <c r="I3678" s="101" t="str">
        <f t="shared" si="230"/>
        <v>UN</v>
      </c>
      <c r="J3678" s="140" t="str">
        <f t="shared" si="231"/>
        <v>QUADRO DE DISTRIBUICAO COM BARRAMENTO TRIFASICO, DE EMBUTIR, EM CHAPA DE ACO GALVANIZADO, PARA 12 DISJUNTORES DIN, 100 A</v>
      </c>
    </row>
    <row r="3679" spans="1:10" x14ac:dyDescent="0.25">
      <c r="A3679" s="169">
        <v>13395</v>
      </c>
      <c r="B3679" s="169" t="s">
        <v>27141</v>
      </c>
      <c r="C3679" s="169" t="s">
        <v>10225</v>
      </c>
      <c r="D3679" s="169" t="s">
        <v>1289</v>
      </c>
      <c r="E3679" s="103" t="s">
        <v>31075</v>
      </c>
      <c r="F3679" s="104"/>
      <c r="G3679" s="105">
        <f t="shared" si="228"/>
        <v>572.03</v>
      </c>
      <c r="H3679" s="101" t="str">
        <f t="shared" si="229"/>
        <v>Sinapi 13395</v>
      </c>
      <c r="I3679" s="101" t="str">
        <f t="shared" si="230"/>
        <v>UN</v>
      </c>
      <c r="J3679" s="140" t="str">
        <f t="shared" si="231"/>
        <v>QUADRO DE DISTRIBUICAO COM BARRAMENTO TRIFASICO, DE EMBUTIR, EM CHAPA DE ACO GALVANIZADO, PARA 18 DISJUNTORES DIN, 100 A, INCLUINDO BARRAMENTO</v>
      </c>
    </row>
    <row r="3680" spans="1:10" x14ac:dyDescent="0.25">
      <c r="A3680" s="169">
        <v>12039</v>
      </c>
      <c r="B3680" s="169" t="s">
        <v>27142</v>
      </c>
      <c r="C3680" s="169" t="s">
        <v>10225</v>
      </c>
      <c r="D3680" s="169" t="s">
        <v>1289</v>
      </c>
      <c r="E3680" s="103" t="s">
        <v>31076</v>
      </c>
      <c r="F3680" s="104"/>
      <c r="G3680" s="105">
        <f t="shared" si="228"/>
        <v>601.14</v>
      </c>
      <c r="H3680" s="101" t="str">
        <f t="shared" si="229"/>
        <v>Sinapi 12039</v>
      </c>
      <c r="I3680" s="101" t="str">
        <f t="shared" si="230"/>
        <v>UN</v>
      </c>
      <c r="J3680" s="140" t="str">
        <f t="shared" si="231"/>
        <v>QUADRO DE DISTRIBUICAO COM BARRAMENTO TRIFASICO, DE EMBUTIR, EM CHAPA DE ACO GALVANIZADO, PARA 24 DISJUNTORES DIN, 100 A</v>
      </c>
    </row>
    <row r="3681" spans="1:10" x14ac:dyDescent="0.25">
      <c r="A3681" s="169">
        <v>13396</v>
      </c>
      <c r="B3681" s="169" t="s">
        <v>27143</v>
      </c>
      <c r="C3681" s="169" t="s">
        <v>10225</v>
      </c>
      <c r="D3681" s="169" t="s">
        <v>1289</v>
      </c>
      <c r="E3681" s="103" t="s">
        <v>31077</v>
      </c>
      <c r="F3681" s="104"/>
      <c r="G3681" s="105">
        <f t="shared" si="228"/>
        <v>844.27</v>
      </c>
      <c r="H3681" s="101" t="str">
        <f t="shared" si="229"/>
        <v>Sinapi 13396</v>
      </c>
      <c r="I3681" s="101" t="str">
        <f t="shared" si="230"/>
        <v>UN</v>
      </c>
      <c r="J3681" s="140" t="str">
        <f t="shared" si="231"/>
        <v>QUADRO DE DISTRIBUICAO COM BARRAMENTO TRIFASICO, DE EMBUTIR, EM CHAPA DE ACO GALVANIZADO, PARA 28 DISJUNTORES DIN, 100 A</v>
      </c>
    </row>
    <row r="3682" spans="1:10" x14ac:dyDescent="0.25">
      <c r="A3682" s="169">
        <v>12041</v>
      </c>
      <c r="B3682" s="169" t="s">
        <v>27144</v>
      </c>
      <c r="C3682" s="169" t="s">
        <v>10225</v>
      </c>
      <c r="D3682" s="169" t="s">
        <v>1289</v>
      </c>
      <c r="E3682" s="103" t="s">
        <v>31078</v>
      </c>
      <c r="F3682" s="104"/>
      <c r="G3682" s="105">
        <f t="shared" si="228"/>
        <v>689.4</v>
      </c>
      <c r="H3682" s="101" t="str">
        <f t="shared" si="229"/>
        <v>Sinapi 12041</v>
      </c>
      <c r="I3682" s="101" t="str">
        <f t="shared" si="230"/>
        <v>UN</v>
      </c>
      <c r="J3682" s="140" t="str">
        <f t="shared" si="231"/>
        <v>QUADRO DE DISTRIBUICAO COM BARRAMENTO TRIFASICO, DE EMBUTIR, EM CHAPA DE ACO GALVANIZADO, PARA 30 DISJUNTORES DIN, 150 A</v>
      </c>
    </row>
    <row r="3683" spans="1:10" x14ac:dyDescent="0.25">
      <c r="A3683" s="169">
        <v>12043</v>
      </c>
      <c r="B3683" s="169" t="s">
        <v>27145</v>
      </c>
      <c r="C3683" s="169" t="s">
        <v>10225</v>
      </c>
      <c r="D3683" s="169" t="s">
        <v>1289</v>
      </c>
      <c r="E3683" s="103" t="s">
        <v>31079</v>
      </c>
      <c r="F3683" s="104"/>
      <c r="G3683" s="105">
        <f t="shared" si="228"/>
        <v>1455.55</v>
      </c>
      <c r="H3683" s="101" t="str">
        <f t="shared" si="229"/>
        <v>Sinapi 12043</v>
      </c>
      <c r="I3683" s="101" t="str">
        <f t="shared" si="230"/>
        <v>UN</v>
      </c>
      <c r="J3683" s="140" t="str">
        <f t="shared" si="231"/>
        <v>QUADRO DE DISTRIBUICAO COM BARRAMENTO TRIFASICO, DE EMBUTIR, EM CHAPA DE ACO GALVANIZADO, PARA 30 DISJUNTORES DIN, 225 A</v>
      </c>
    </row>
    <row r="3684" spans="1:10" x14ac:dyDescent="0.25">
      <c r="A3684" s="169">
        <v>39762</v>
      </c>
      <c r="B3684" s="169" t="s">
        <v>27146</v>
      </c>
      <c r="C3684" s="169" t="s">
        <v>10225</v>
      </c>
      <c r="D3684" s="169" t="s">
        <v>1289</v>
      </c>
      <c r="E3684" s="103" t="s">
        <v>31080</v>
      </c>
      <c r="F3684" s="104"/>
      <c r="G3684" s="105">
        <f t="shared" si="228"/>
        <v>692.88</v>
      </c>
      <c r="H3684" s="101" t="str">
        <f t="shared" si="229"/>
        <v>Sinapi 39762</v>
      </c>
      <c r="I3684" s="101" t="str">
        <f t="shared" si="230"/>
        <v>UN</v>
      </c>
      <c r="J3684" s="140" t="str">
        <f t="shared" si="231"/>
        <v>QUADRO DE DISTRIBUICAO COM BARRAMENTO TRIFASICO, DE EMBUTIR, EM CHAPA DE ACO GALVANIZADO, PARA 36 DISJUNTORES DIN, 100 A</v>
      </c>
    </row>
    <row r="3685" spans="1:10" x14ac:dyDescent="0.25">
      <c r="A3685" s="169">
        <v>12042</v>
      </c>
      <c r="B3685" s="169" t="s">
        <v>27147</v>
      </c>
      <c r="C3685" s="169" t="s">
        <v>10225</v>
      </c>
      <c r="D3685" s="169" t="s">
        <v>1289</v>
      </c>
      <c r="E3685" s="103" t="s">
        <v>31081</v>
      </c>
      <c r="F3685" s="104"/>
      <c r="G3685" s="105">
        <f t="shared" si="228"/>
        <v>1011.58</v>
      </c>
      <c r="H3685" s="101" t="str">
        <f t="shared" si="229"/>
        <v>Sinapi 12042</v>
      </c>
      <c r="I3685" s="101" t="str">
        <f t="shared" si="230"/>
        <v>UN</v>
      </c>
      <c r="J3685" s="140" t="str">
        <f t="shared" si="231"/>
        <v>QUADRO DE DISTRIBUICAO COM BARRAMENTO TRIFASICO, DE EMBUTIR, EM CHAPA DE ACO GALVANIZADO, PARA 40 DISJUNTORES DIN, 100 A</v>
      </c>
    </row>
    <row r="3686" spans="1:10" x14ac:dyDescent="0.25">
      <c r="A3686" s="169">
        <v>39763</v>
      </c>
      <c r="B3686" s="169" t="s">
        <v>27149</v>
      </c>
      <c r="C3686" s="169" t="s">
        <v>10225</v>
      </c>
      <c r="D3686" s="169" t="s">
        <v>1289</v>
      </c>
      <c r="E3686" s="103" t="s">
        <v>31082</v>
      </c>
      <c r="F3686" s="104"/>
      <c r="G3686" s="105">
        <f t="shared" si="228"/>
        <v>1183.93</v>
      </c>
      <c r="H3686" s="101" t="str">
        <f t="shared" si="229"/>
        <v>Sinapi 39763</v>
      </c>
      <c r="I3686" s="101" t="str">
        <f t="shared" si="230"/>
        <v>UN</v>
      </c>
      <c r="J3686" s="140" t="str">
        <f t="shared" si="231"/>
        <v>QUADRO DE DISTRIBUICAO COM BARRAMENTO TRIFASICO, DE EMBUTIR, EM CHAPA DE ACO GALVANIZADO, PARA 48 DISJUNTORES DIN, 100 A</v>
      </c>
    </row>
    <row r="3687" spans="1:10" x14ac:dyDescent="0.25">
      <c r="A3687" s="169">
        <v>39760</v>
      </c>
      <c r="B3687" s="169" t="s">
        <v>27150</v>
      </c>
      <c r="C3687" s="169" t="s">
        <v>10225</v>
      </c>
      <c r="D3687" s="169" t="s">
        <v>1289</v>
      </c>
      <c r="E3687" s="103" t="s">
        <v>31083</v>
      </c>
      <c r="F3687" s="104"/>
      <c r="G3687" s="105">
        <f t="shared" si="228"/>
        <v>1180.03</v>
      </c>
      <c r="H3687" s="101" t="str">
        <f t="shared" si="229"/>
        <v>Sinapi 39760</v>
      </c>
      <c r="I3687" s="101" t="str">
        <f t="shared" si="230"/>
        <v>UN</v>
      </c>
      <c r="J3687" s="140" t="str">
        <f t="shared" si="231"/>
        <v>QUADRO DE DISTRIBUICAO COM BARRAMENTO TRIFASICO, DE SOBREPOR, EM CHAPA DE ACO GALVANIZADO, PARA *42* DISJUNTORES DIN, 100 A</v>
      </c>
    </row>
    <row r="3688" spans="1:10" x14ac:dyDescent="0.25">
      <c r="A3688" s="169">
        <v>39756</v>
      </c>
      <c r="B3688" s="169" t="s">
        <v>27151</v>
      </c>
      <c r="C3688" s="169" t="s">
        <v>10225</v>
      </c>
      <c r="D3688" s="169" t="s">
        <v>1289</v>
      </c>
      <c r="E3688" s="103" t="s">
        <v>31084</v>
      </c>
      <c r="F3688" s="104"/>
      <c r="G3688" s="105">
        <f t="shared" si="228"/>
        <v>423.7</v>
      </c>
      <c r="H3688" s="101" t="str">
        <f t="shared" si="229"/>
        <v>Sinapi 39756</v>
      </c>
      <c r="I3688" s="101" t="str">
        <f t="shared" si="230"/>
        <v>UN</v>
      </c>
      <c r="J3688" s="140" t="str">
        <f t="shared" si="231"/>
        <v>QUADRO DE DISTRIBUICAO COM BARRAMENTO TRIFASICO, DE SOBREPOR, EM CHAPA DE ACO GALVANIZADO, PARA 12 DISJUNTORES DIN, 100 A</v>
      </c>
    </row>
    <row r="3689" spans="1:10" x14ac:dyDescent="0.25">
      <c r="A3689" s="169">
        <v>12038</v>
      </c>
      <c r="B3689" s="169" t="s">
        <v>10280</v>
      </c>
      <c r="C3689" s="169" t="s">
        <v>10225</v>
      </c>
      <c r="D3689" s="169" t="s">
        <v>1289</v>
      </c>
      <c r="E3689" s="103" t="s">
        <v>31085</v>
      </c>
      <c r="F3689" s="104"/>
      <c r="G3689" s="105">
        <f t="shared" si="228"/>
        <v>529.42999999999995</v>
      </c>
      <c r="H3689" s="101" t="str">
        <f t="shared" si="229"/>
        <v>Sinapi 12038</v>
      </c>
      <c r="I3689" s="101" t="str">
        <f t="shared" si="230"/>
        <v>UN</v>
      </c>
      <c r="J3689" s="140" t="str">
        <f t="shared" si="231"/>
        <v>QUADRO DE DISTRIBUICAO COM BARRAMENTO TRIFASICO, DE SOBREPOR, EM CHAPA DE ACO GALVANIZADO, PARA 18 DISJUNTORES DIN, 100 A</v>
      </c>
    </row>
    <row r="3690" spans="1:10" x14ac:dyDescent="0.25">
      <c r="A3690" s="169">
        <v>39757</v>
      </c>
      <c r="B3690" s="169" t="s">
        <v>27152</v>
      </c>
      <c r="C3690" s="169" t="s">
        <v>10225</v>
      </c>
      <c r="D3690" s="169" t="s">
        <v>1289</v>
      </c>
      <c r="E3690" s="103" t="s">
        <v>31086</v>
      </c>
      <c r="F3690" s="104"/>
      <c r="G3690" s="105">
        <f t="shared" si="228"/>
        <v>489.56</v>
      </c>
      <c r="H3690" s="101" t="str">
        <f t="shared" si="229"/>
        <v>Sinapi 39757</v>
      </c>
      <c r="I3690" s="101" t="str">
        <f t="shared" si="230"/>
        <v>UN</v>
      </c>
      <c r="J3690" s="140" t="str">
        <f t="shared" si="231"/>
        <v>QUADRO DE DISTRIBUICAO COM BARRAMENTO TRIFASICO, DE SOBREPOR, EM CHAPA DE ACO GALVANIZADO, PARA 28 DISJUNTORES DIN, 100 A</v>
      </c>
    </row>
    <row r="3691" spans="1:10" x14ac:dyDescent="0.25">
      <c r="A3691" s="169">
        <v>39758</v>
      </c>
      <c r="B3691" s="169" t="s">
        <v>27153</v>
      </c>
      <c r="C3691" s="169" t="s">
        <v>10225</v>
      </c>
      <c r="D3691" s="169" t="s">
        <v>1289</v>
      </c>
      <c r="E3691" s="103" t="s">
        <v>31087</v>
      </c>
      <c r="F3691" s="104"/>
      <c r="G3691" s="105">
        <f t="shared" si="228"/>
        <v>713.46</v>
      </c>
      <c r="H3691" s="101" t="str">
        <f t="shared" si="229"/>
        <v>Sinapi 39758</v>
      </c>
      <c r="I3691" s="101" t="str">
        <f t="shared" si="230"/>
        <v>UN</v>
      </c>
      <c r="J3691" s="140" t="str">
        <f t="shared" si="231"/>
        <v>QUADRO DE DISTRIBUICAO COM BARRAMENTO TRIFASICO, DE SOBREPOR, EM CHAPA DE ACO GALVANIZADO, PARA 30 DISJUNTORES DIN, 100 A</v>
      </c>
    </row>
    <row r="3692" spans="1:10" x14ac:dyDescent="0.25">
      <c r="A3692" s="169">
        <v>39759</v>
      </c>
      <c r="B3692" s="169" t="s">
        <v>27154</v>
      </c>
      <c r="C3692" s="169" t="s">
        <v>10225</v>
      </c>
      <c r="D3692" s="169" t="s">
        <v>1289</v>
      </c>
      <c r="E3692" s="103" t="s">
        <v>31088</v>
      </c>
      <c r="F3692" s="104"/>
      <c r="G3692" s="105">
        <f t="shared" si="228"/>
        <v>881.13</v>
      </c>
      <c r="H3692" s="101" t="str">
        <f t="shared" si="229"/>
        <v>Sinapi 39759</v>
      </c>
      <c r="I3692" s="101" t="str">
        <f t="shared" si="230"/>
        <v>UN</v>
      </c>
      <c r="J3692" s="140" t="str">
        <f t="shared" si="231"/>
        <v>QUADRO DE DISTRIBUICAO COM BARRAMENTO TRIFASICO, DE SOBREPOR, EM CHAPA DE ACO GALVANIZADO, PARA 36 DISJUNTORES DIN, 100 A</v>
      </c>
    </row>
    <row r="3693" spans="1:10" x14ac:dyDescent="0.25">
      <c r="A3693" s="169">
        <v>39761</v>
      </c>
      <c r="B3693" s="169" t="s">
        <v>27155</v>
      </c>
      <c r="C3693" s="169" t="s">
        <v>10225</v>
      </c>
      <c r="D3693" s="169" t="s">
        <v>1289</v>
      </c>
      <c r="E3693" s="103" t="s">
        <v>31089</v>
      </c>
      <c r="F3693" s="104"/>
      <c r="G3693" s="105">
        <f t="shared" si="228"/>
        <v>1059.1400000000001</v>
      </c>
      <c r="H3693" s="101" t="str">
        <f t="shared" si="229"/>
        <v>Sinapi 39761</v>
      </c>
      <c r="I3693" s="101" t="str">
        <f t="shared" si="230"/>
        <v>UN</v>
      </c>
      <c r="J3693" s="140" t="str">
        <f t="shared" si="231"/>
        <v>QUADRO DE DISTRIBUICAO COM BARRAMENTO TRIFASICO, DE SOBREPOR, EM CHAPA DE ACO GALVANIZADO, PARA 48 DISJUNTORES DIN, 100 A</v>
      </c>
    </row>
    <row r="3694" spans="1:10" x14ac:dyDescent="0.25">
      <c r="A3694" s="169">
        <v>39805</v>
      </c>
      <c r="B3694" s="169" t="s">
        <v>27156</v>
      </c>
      <c r="C3694" s="169" t="s">
        <v>10225</v>
      </c>
      <c r="D3694" s="169" t="s">
        <v>1289</v>
      </c>
      <c r="E3694" s="103" t="s">
        <v>31090</v>
      </c>
      <c r="F3694" s="104"/>
      <c r="G3694" s="105">
        <f t="shared" si="228"/>
        <v>143.12</v>
      </c>
      <c r="H3694" s="101" t="str">
        <f t="shared" si="229"/>
        <v>Sinapi 39805</v>
      </c>
      <c r="I3694" s="101" t="str">
        <f t="shared" si="230"/>
        <v>UN</v>
      </c>
      <c r="J3694" s="140" t="str">
        <f t="shared" si="231"/>
        <v>QUADRO DE DISTRIBUICAO, EM PVC, DE EMBUTIR, COM BARRAMENTO TERRA / NEUTRO, PARA 12 DISJUNTORES NEMA OU 16 DISJUNTORES DIN</v>
      </c>
    </row>
    <row r="3695" spans="1:10" x14ac:dyDescent="0.25">
      <c r="A3695" s="169">
        <v>39806</v>
      </c>
      <c r="B3695" s="169" t="s">
        <v>27157</v>
      </c>
      <c r="C3695" s="169" t="s">
        <v>10225</v>
      </c>
      <c r="D3695" s="169" t="s">
        <v>1289</v>
      </c>
      <c r="E3695" s="103" t="s">
        <v>31091</v>
      </c>
      <c r="F3695" s="104"/>
      <c r="G3695" s="105">
        <f t="shared" si="228"/>
        <v>265.16000000000003</v>
      </c>
      <c r="H3695" s="101" t="str">
        <f t="shared" si="229"/>
        <v>Sinapi 39806</v>
      </c>
      <c r="I3695" s="101" t="str">
        <f t="shared" si="230"/>
        <v>UN</v>
      </c>
      <c r="J3695" s="140" t="str">
        <f t="shared" si="231"/>
        <v>QUADRO DE DISTRIBUICAO, EM PVC, DE EMBUTIR, COM BARRAMENTO TERRA / NEUTRO, PARA 18 DISJUNTORES NEMA OU 24 DISJUNTORES DIN</v>
      </c>
    </row>
    <row r="3696" spans="1:10" x14ac:dyDescent="0.25">
      <c r="A3696" s="169">
        <v>39807</v>
      </c>
      <c r="B3696" s="169" t="s">
        <v>27158</v>
      </c>
      <c r="C3696" s="169" t="s">
        <v>10225</v>
      </c>
      <c r="D3696" s="169" t="s">
        <v>1289</v>
      </c>
      <c r="E3696" s="103" t="s">
        <v>31092</v>
      </c>
      <c r="F3696" s="104"/>
      <c r="G3696" s="105">
        <f t="shared" si="228"/>
        <v>574.66</v>
      </c>
      <c r="H3696" s="101" t="str">
        <f t="shared" si="229"/>
        <v>Sinapi 39807</v>
      </c>
      <c r="I3696" s="101" t="str">
        <f t="shared" si="230"/>
        <v>UN</v>
      </c>
      <c r="J3696" s="140" t="str">
        <f t="shared" si="231"/>
        <v>QUADRO DE DISTRIBUICAO, EM PVC, DE EMBUTIR, COM BARRAMENTO TERRA / NEUTRO, PARA 27 DISJUNTORES NEMA OU 36 DISJUNTORES DIN</v>
      </c>
    </row>
    <row r="3697" spans="1:10" x14ac:dyDescent="0.25">
      <c r="A3697" s="169">
        <v>43100</v>
      </c>
      <c r="B3697" s="169" t="s">
        <v>27159</v>
      </c>
      <c r="C3697" s="169" t="s">
        <v>10225</v>
      </c>
      <c r="D3697" s="169" t="s">
        <v>1289</v>
      </c>
      <c r="E3697" s="103" t="s">
        <v>31093</v>
      </c>
      <c r="F3697" s="104"/>
      <c r="G3697" s="105">
        <f t="shared" si="228"/>
        <v>449.26</v>
      </c>
      <c r="H3697" s="101" t="str">
        <f t="shared" si="229"/>
        <v>Sinapi 43100</v>
      </c>
      <c r="I3697" s="101" t="str">
        <f t="shared" si="230"/>
        <v>UN</v>
      </c>
      <c r="J3697" s="140" t="str">
        <f t="shared" si="231"/>
        <v>QUADRO DE DISTRIBUICAO, EM PVC, DE EMBUTIR, COM BARRAMENTO TERRA / NEUTRO, PARA 48 DISJUNTORES DIN</v>
      </c>
    </row>
    <row r="3698" spans="1:10" x14ac:dyDescent="0.25">
      <c r="A3698" s="169">
        <v>39804</v>
      </c>
      <c r="B3698" s="169" t="s">
        <v>27160</v>
      </c>
      <c r="C3698" s="169" t="s">
        <v>10225</v>
      </c>
      <c r="D3698" s="169" t="s">
        <v>1289</v>
      </c>
      <c r="E3698" s="103" t="s">
        <v>31094</v>
      </c>
      <c r="F3698" s="104"/>
      <c r="G3698" s="105">
        <f t="shared" si="228"/>
        <v>84.04</v>
      </c>
      <c r="H3698" s="101" t="str">
        <f t="shared" si="229"/>
        <v>Sinapi 39804</v>
      </c>
      <c r="I3698" s="101" t="str">
        <f t="shared" si="230"/>
        <v>UN</v>
      </c>
      <c r="J3698" s="140" t="str">
        <f t="shared" si="231"/>
        <v>QUADRO DE DISTRIBUICAO, EM PVC, DE EMBUTIR, COM BARRAMENTO TERRA / NEUTRO, PARA 6 DISJUNTORES NEMA OU 8 DISJUNTORES DIN</v>
      </c>
    </row>
    <row r="3699" spans="1:10" x14ac:dyDescent="0.25">
      <c r="A3699" s="169">
        <v>39796</v>
      </c>
      <c r="B3699" s="169" t="s">
        <v>27161</v>
      </c>
      <c r="C3699" s="169" t="s">
        <v>10225</v>
      </c>
      <c r="D3699" s="169" t="s">
        <v>1289</v>
      </c>
      <c r="E3699" s="103" t="s">
        <v>31095</v>
      </c>
      <c r="F3699" s="104"/>
      <c r="G3699" s="105">
        <f t="shared" si="228"/>
        <v>87.04</v>
      </c>
      <c r="H3699" s="101" t="str">
        <f t="shared" si="229"/>
        <v>Sinapi 39796</v>
      </c>
      <c r="I3699" s="101" t="str">
        <f t="shared" si="230"/>
        <v>UN</v>
      </c>
      <c r="J3699" s="140" t="str">
        <f t="shared" si="231"/>
        <v>QUADRO DE DISTRIBUICAO, SEM BARRAMENTO, EM PVC, DE EMBUTIR, PARA 12 DISJUNTORES NEMA OU 16 DISJUNTORES DIN</v>
      </c>
    </row>
    <row r="3700" spans="1:10" x14ac:dyDescent="0.25">
      <c r="A3700" s="169">
        <v>39797</v>
      </c>
      <c r="B3700" s="169" t="s">
        <v>27162</v>
      </c>
      <c r="C3700" s="169" t="s">
        <v>10225</v>
      </c>
      <c r="D3700" s="169" t="s">
        <v>1288</v>
      </c>
      <c r="E3700" s="103" t="s">
        <v>31096</v>
      </c>
      <c r="F3700" s="104"/>
      <c r="G3700" s="105">
        <f t="shared" si="228"/>
        <v>136.63999999999999</v>
      </c>
      <c r="H3700" s="101" t="str">
        <f t="shared" si="229"/>
        <v>Sinapi 39797</v>
      </c>
      <c r="I3700" s="101" t="str">
        <f t="shared" si="230"/>
        <v>UN</v>
      </c>
      <c r="J3700" s="140" t="str">
        <f t="shared" si="231"/>
        <v>QUADRO DE DISTRIBUICAO, SEM BARRAMENTO, EM PVC, DE EMBUTIR, PARA 18 DISJUNTORES NEMA OU 24 DISJUNTORES DIN</v>
      </c>
    </row>
    <row r="3701" spans="1:10" x14ac:dyDescent="0.25">
      <c r="A3701" s="169">
        <v>39798</v>
      </c>
      <c r="B3701" s="169" t="s">
        <v>27163</v>
      </c>
      <c r="C3701" s="169" t="s">
        <v>10225</v>
      </c>
      <c r="D3701" s="169" t="s">
        <v>1289</v>
      </c>
      <c r="E3701" s="103" t="s">
        <v>31097</v>
      </c>
      <c r="F3701" s="104"/>
      <c r="G3701" s="105">
        <f t="shared" si="228"/>
        <v>234.38</v>
      </c>
      <c r="H3701" s="101" t="str">
        <f t="shared" si="229"/>
        <v>Sinapi 39798</v>
      </c>
      <c r="I3701" s="101" t="str">
        <f t="shared" si="230"/>
        <v>UN</v>
      </c>
      <c r="J3701" s="140" t="str">
        <f t="shared" si="231"/>
        <v>QUADRO DE DISTRIBUICAO, SEM BARRAMENTO, EM PVC, DE EMBUTIR, PARA 27 DISJUNTORES NEMA OU 36 DISJUNTORES DIN</v>
      </c>
    </row>
    <row r="3702" spans="1:10" x14ac:dyDescent="0.25">
      <c r="A3702" s="169">
        <v>39794</v>
      </c>
      <c r="B3702" s="169" t="s">
        <v>27164</v>
      </c>
      <c r="C3702" s="169" t="s">
        <v>10225</v>
      </c>
      <c r="D3702" s="169" t="s">
        <v>1289</v>
      </c>
      <c r="E3702" s="103" t="s">
        <v>20992</v>
      </c>
      <c r="F3702" s="104"/>
      <c r="G3702" s="105">
        <f t="shared" si="228"/>
        <v>36.950000000000003</v>
      </c>
      <c r="H3702" s="101" t="str">
        <f t="shared" si="229"/>
        <v>Sinapi 39794</v>
      </c>
      <c r="I3702" s="101" t="str">
        <f t="shared" si="230"/>
        <v>UN</v>
      </c>
      <c r="J3702" s="140" t="str">
        <f t="shared" si="231"/>
        <v>QUADRO DE DISTRIBUICAO, SEM BARRAMENTO, EM PVC, DE EMBUTIR, PARA 3 DISJUNTORES NEMA OU 4 DISJUNTORES DIN</v>
      </c>
    </row>
    <row r="3703" spans="1:10" x14ac:dyDescent="0.25">
      <c r="A3703" s="169">
        <v>39795</v>
      </c>
      <c r="B3703" s="169" t="s">
        <v>27165</v>
      </c>
      <c r="C3703" s="169" t="s">
        <v>10225</v>
      </c>
      <c r="D3703" s="169" t="s">
        <v>1289</v>
      </c>
      <c r="E3703" s="103" t="s">
        <v>31098</v>
      </c>
      <c r="F3703" s="104"/>
      <c r="G3703" s="105">
        <f t="shared" si="228"/>
        <v>58.37</v>
      </c>
      <c r="H3703" s="101" t="str">
        <f t="shared" si="229"/>
        <v>Sinapi 39795</v>
      </c>
      <c r="I3703" s="101" t="str">
        <f t="shared" si="230"/>
        <v>UN</v>
      </c>
      <c r="J3703" s="140" t="str">
        <f t="shared" si="231"/>
        <v>QUADRO DE DISTRIBUICAO, SEM BARRAMENTO, EM PVC, DE EMBUTIR, PARA 6 DISJUNTORES NEMA OU 8 DISJUNTORES DIN</v>
      </c>
    </row>
    <row r="3704" spans="1:10" x14ac:dyDescent="0.25">
      <c r="A3704" s="169">
        <v>39799</v>
      </c>
      <c r="B3704" s="169" t="s">
        <v>27166</v>
      </c>
      <c r="C3704" s="169" t="s">
        <v>10225</v>
      </c>
      <c r="D3704" s="169" t="s">
        <v>1289</v>
      </c>
      <c r="E3704" s="103" t="s">
        <v>29280</v>
      </c>
      <c r="F3704" s="104"/>
      <c r="G3704" s="105">
        <f t="shared" si="228"/>
        <v>43.06</v>
      </c>
      <c r="H3704" s="101" t="str">
        <f t="shared" si="229"/>
        <v>Sinapi 39799</v>
      </c>
      <c r="I3704" s="101" t="str">
        <f t="shared" si="230"/>
        <v>UN</v>
      </c>
      <c r="J3704" s="140" t="str">
        <f t="shared" si="231"/>
        <v>QUADRO DE DISTRIBUICAO, SEM BARRAMENTO, EM PVC, DE SOBREPOR, PARA 3 DISJUNTORES NEMA OU 4 DISJUNTORES DIN</v>
      </c>
    </row>
    <row r="3705" spans="1:10" x14ac:dyDescent="0.25">
      <c r="A3705" s="169">
        <v>39801</v>
      </c>
      <c r="B3705" s="169" t="s">
        <v>27167</v>
      </c>
      <c r="C3705" s="169" t="s">
        <v>10225</v>
      </c>
      <c r="D3705" s="169" t="s">
        <v>1289</v>
      </c>
      <c r="E3705" s="103" t="s">
        <v>31099</v>
      </c>
      <c r="F3705" s="104"/>
      <c r="G3705" s="105">
        <f t="shared" si="228"/>
        <v>123.26</v>
      </c>
      <c r="H3705" s="101" t="str">
        <f t="shared" si="229"/>
        <v>Sinapi 39801</v>
      </c>
      <c r="I3705" s="101" t="str">
        <f t="shared" si="230"/>
        <v>UN</v>
      </c>
      <c r="J3705" s="140" t="str">
        <f t="shared" si="231"/>
        <v>QUADRO DE DISTRIBUICAO, SEM BARRAMENTO, EM PVC, DE SOBREPOR, PARA 12 DISJUNTORES NEMA OU 16 DISJUNTORES DIN</v>
      </c>
    </row>
    <row r="3706" spans="1:10" x14ac:dyDescent="0.25">
      <c r="A3706" s="169">
        <v>39802</v>
      </c>
      <c r="B3706" s="169" t="s">
        <v>27168</v>
      </c>
      <c r="C3706" s="169" t="s">
        <v>10225</v>
      </c>
      <c r="D3706" s="169" t="s">
        <v>1289</v>
      </c>
      <c r="E3706" s="103" t="s">
        <v>31100</v>
      </c>
      <c r="F3706" s="104"/>
      <c r="G3706" s="105">
        <f t="shared" si="228"/>
        <v>180.67</v>
      </c>
      <c r="H3706" s="101" t="str">
        <f t="shared" si="229"/>
        <v>Sinapi 39802</v>
      </c>
      <c r="I3706" s="101" t="str">
        <f t="shared" si="230"/>
        <v>UN</v>
      </c>
      <c r="J3706" s="140" t="str">
        <f t="shared" si="231"/>
        <v>QUADRO DE DISTRIBUICAO, SEM BARRAMENTO, EM PVC, DE SOBREPOR, PARA 18 DISJUNTORES NEMA OU 24 DISJUNTORES DIN</v>
      </c>
    </row>
    <row r="3707" spans="1:10" x14ac:dyDescent="0.25">
      <c r="A3707" s="169">
        <v>39803</v>
      </c>
      <c r="B3707" s="169" t="s">
        <v>27169</v>
      </c>
      <c r="C3707" s="169" t="s">
        <v>10225</v>
      </c>
      <c r="D3707" s="169" t="s">
        <v>1289</v>
      </c>
      <c r="E3707" s="103" t="s">
        <v>31101</v>
      </c>
      <c r="F3707" s="104"/>
      <c r="G3707" s="105">
        <f t="shared" si="228"/>
        <v>252.04</v>
      </c>
      <c r="H3707" s="101" t="str">
        <f t="shared" si="229"/>
        <v>Sinapi 39803</v>
      </c>
      <c r="I3707" s="101" t="str">
        <f t="shared" si="230"/>
        <v>UN</v>
      </c>
      <c r="J3707" s="140" t="str">
        <f t="shared" si="231"/>
        <v>QUADRO DE DISTRIBUICAO, SEM BARRAMENTO, EM PVC, DE SOBREPOR, PARA 27 DISJUNTORES NEMA OU 36 DISJUNTORES DIN</v>
      </c>
    </row>
    <row r="3708" spans="1:10" x14ac:dyDescent="0.25">
      <c r="A3708" s="169">
        <v>39800</v>
      </c>
      <c r="B3708" s="169" t="s">
        <v>27170</v>
      </c>
      <c r="C3708" s="169" t="s">
        <v>10225</v>
      </c>
      <c r="D3708" s="169" t="s">
        <v>1289</v>
      </c>
      <c r="E3708" s="103" t="s">
        <v>29068</v>
      </c>
      <c r="F3708" s="104"/>
      <c r="G3708" s="105">
        <f t="shared" si="228"/>
        <v>73.36</v>
      </c>
      <c r="H3708" s="101" t="str">
        <f t="shared" si="229"/>
        <v>Sinapi 39800</v>
      </c>
      <c r="I3708" s="101" t="str">
        <f t="shared" si="230"/>
        <v>UN</v>
      </c>
      <c r="J3708" s="140" t="str">
        <f t="shared" si="231"/>
        <v>QUADRO DE DISTRIBUICAO, SEM BARRAMENTO, EM PVC, DE SOBREPOR, PARA 6 DISJUNTORES NEMA OU 8 DISJUNTORES DIN</v>
      </c>
    </row>
    <row r="3709" spans="1:10" x14ac:dyDescent="0.25">
      <c r="A3709" s="169">
        <v>43837</v>
      </c>
      <c r="B3709" s="169" t="s">
        <v>27171</v>
      </c>
      <c r="C3709" s="169" t="s">
        <v>10225</v>
      </c>
      <c r="D3709" s="169" t="s">
        <v>1289</v>
      </c>
      <c r="E3709" s="103" t="s">
        <v>31102</v>
      </c>
      <c r="F3709" s="104"/>
      <c r="G3709" s="105">
        <f t="shared" si="228"/>
        <v>1355.75</v>
      </c>
      <c r="H3709" s="101" t="str">
        <f t="shared" si="229"/>
        <v>Sinapi 43837</v>
      </c>
      <c r="I3709" s="101" t="str">
        <f t="shared" si="230"/>
        <v>UN</v>
      </c>
      <c r="J3709" s="140" t="str">
        <f t="shared" si="231"/>
        <v>RACK DE PISO PARA SERVIDOR, ABERTO, EM COLUNA, 44U X *570* MM</v>
      </c>
    </row>
    <row r="3710" spans="1:10" x14ac:dyDescent="0.25">
      <c r="A3710" s="169">
        <v>43836</v>
      </c>
      <c r="B3710" s="169" t="s">
        <v>27172</v>
      </c>
      <c r="C3710" s="169" t="s">
        <v>10225</v>
      </c>
      <c r="D3710" s="169" t="s">
        <v>1289</v>
      </c>
      <c r="E3710" s="103" t="s">
        <v>31103</v>
      </c>
      <c r="F3710" s="104"/>
      <c r="G3710" s="105">
        <f t="shared" si="228"/>
        <v>2758.72</v>
      </c>
      <c r="H3710" s="101" t="str">
        <f t="shared" si="229"/>
        <v>Sinapi 43836</v>
      </c>
      <c r="I3710" s="101" t="str">
        <f t="shared" si="230"/>
        <v>UN</v>
      </c>
      <c r="J3710" s="140" t="str">
        <f t="shared" si="231"/>
        <v>RACK DE PISO PARA SERVIDOR, FECHADO, 44U, COM PORTA, 44U X *570* MM</v>
      </c>
    </row>
    <row r="3711" spans="1:10" x14ac:dyDescent="0.25">
      <c r="A3711" s="169">
        <v>21059</v>
      </c>
      <c r="B3711" s="169" t="s">
        <v>27173</v>
      </c>
      <c r="C3711" s="169" t="s">
        <v>10225</v>
      </c>
      <c r="D3711" s="169" t="s">
        <v>1290</v>
      </c>
      <c r="E3711" s="103" t="s">
        <v>21530</v>
      </c>
      <c r="F3711" s="104"/>
      <c r="G3711" s="105">
        <f t="shared" si="228"/>
        <v>61.13</v>
      </c>
      <c r="H3711" s="101" t="str">
        <f t="shared" si="229"/>
        <v>Sinapi 21059</v>
      </c>
      <c r="I3711" s="101" t="str">
        <f t="shared" si="230"/>
        <v>UN</v>
      </c>
      <c r="J3711" s="140" t="str">
        <f t="shared" si="231"/>
        <v>RALO FOFO COM REQUADRO, QUADRADO 150 X 150 MM</v>
      </c>
    </row>
    <row r="3712" spans="1:10" x14ac:dyDescent="0.25">
      <c r="A3712" s="169">
        <v>11234</v>
      </c>
      <c r="B3712" s="169" t="s">
        <v>27174</v>
      </c>
      <c r="C3712" s="169" t="s">
        <v>10225</v>
      </c>
      <c r="D3712" s="169" t="s">
        <v>1290</v>
      </c>
      <c r="E3712" s="103" t="s">
        <v>21531</v>
      </c>
      <c r="F3712" s="104"/>
      <c r="G3712" s="105">
        <f t="shared" si="228"/>
        <v>92.14</v>
      </c>
      <c r="H3712" s="101" t="str">
        <f t="shared" si="229"/>
        <v>Sinapi 11234</v>
      </c>
      <c r="I3712" s="101" t="str">
        <f t="shared" si="230"/>
        <v>UN</v>
      </c>
      <c r="J3712" s="140" t="str">
        <f t="shared" si="231"/>
        <v>RALO FOFO COM REQUADRO, QUADRADO 200 X 200 MM</v>
      </c>
    </row>
    <row r="3713" spans="1:10" x14ac:dyDescent="0.25">
      <c r="A3713" s="169">
        <v>21060</v>
      </c>
      <c r="B3713" s="169" t="s">
        <v>27175</v>
      </c>
      <c r="C3713" s="169" t="s">
        <v>10225</v>
      </c>
      <c r="D3713" s="169" t="s">
        <v>1290</v>
      </c>
      <c r="E3713" s="103" t="s">
        <v>21532</v>
      </c>
      <c r="F3713" s="104"/>
      <c r="G3713" s="105">
        <f t="shared" si="228"/>
        <v>113.41</v>
      </c>
      <c r="H3713" s="101" t="str">
        <f t="shared" si="229"/>
        <v>Sinapi 21060</v>
      </c>
      <c r="I3713" s="101" t="str">
        <f t="shared" si="230"/>
        <v>UN</v>
      </c>
      <c r="J3713" s="140" t="str">
        <f t="shared" si="231"/>
        <v>RALO FOFO COM REQUADRO, QUADRADO 250 X 250 MM</v>
      </c>
    </row>
    <row r="3714" spans="1:10" x14ac:dyDescent="0.25">
      <c r="A3714" s="169">
        <v>21061</v>
      </c>
      <c r="B3714" s="169" t="s">
        <v>27176</v>
      </c>
      <c r="C3714" s="169" t="s">
        <v>10225</v>
      </c>
      <c r="D3714" s="169" t="s">
        <v>1290</v>
      </c>
      <c r="E3714" s="103" t="s">
        <v>21332</v>
      </c>
      <c r="F3714" s="104"/>
      <c r="G3714" s="105">
        <f t="shared" si="228"/>
        <v>141.76</v>
      </c>
      <c r="H3714" s="101" t="str">
        <f t="shared" si="229"/>
        <v>Sinapi 21061</v>
      </c>
      <c r="I3714" s="101" t="str">
        <f t="shared" si="230"/>
        <v>UN</v>
      </c>
      <c r="J3714" s="140" t="str">
        <f t="shared" si="231"/>
        <v>RALO FOFO COM REQUADRO, QUADRADO 300 X 300 MM</v>
      </c>
    </row>
    <row r="3715" spans="1:10" x14ac:dyDescent="0.25">
      <c r="A3715" s="169">
        <v>21062</v>
      </c>
      <c r="B3715" s="169" t="s">
        <v>27177</v>
      </c>
      <c r="C3715" s="169" t="s">
        <v>10225</v>
      </c>
      <c r="D3715" s="169" t="s">
        <v>1290</v>
      </c>
      <c r="E3715" s="103" t="s">
        <v>17906</v>
      </c>
      <c r="F3715" s="104"/>
      <c r="G3715" s="105">
        <f t="shared" si="228"/>
        <v>223.28</v>
      </c>
      <c r="H3715" s="101" t="str">
        <f t="shared" si="229"/>
        <v>Sinapi 21062</v>
      </c>
      <c r="I3715" s="101" t="str">
        <f t="shared" si="230"/>
        <v>UN</v>
      </c>
      <c r="J3715" s="140" t="str">
        <f t="shared" si="231"/>
        <v>RALO FOFO COM REQUADRO, QUADRADO 400 X 400 MM</v>
      </c>
    </row>
    <row r="3716" spans="1:10" x14ac:dyDescent="0.25">
      <c r="A3716" s="169">
        <v>11708</v>
      </c>
      <c r="B3716" s="169" t="s">
        <v>27178</v>
      </c>
      <c r="C3716" s="169" t="s">
        <v>10225</v>
      </c>
      <c r="D3716" s="169" t="s">
        <v>1290</v>
      </c>
      <c r="E3716" s="103" t="s">
        <v>16351</v>
      </c>
      <c r="F3716" s="104"/>
      <c r="G3716" s="105">
        <f t="shared" si="228"/>
        <v>24.36</v>
      </c>
      <c r="H3716" s="101" t="str">
        <f t="shared" si="229"/>
        <v>Sinapi 11708</v>
      </c>
      <c r="I3716" s="101" t="str">
        <f t="shared" si="230"/>
        <v>UN</v>
      </c>
      <c r="J3716" s="140" t="str">
        <f t="shared" si="231"/>
        <v>RALO FOFO SEMIESFERICO, 100 MM, PARA LAJES/ CALHAS</v>
      </c>
    </row>
    <row r="3717" spans="1:10" x14ac:dyDescent="0.25">
      <c r="A3717" s="169">
        <v>11709</v>
      </c>
      <c r="B3717" s="169" t="s">
        <v>1211</v>
      </c>
      <c r="C3717" s="169" t="s">
        <v>10225</v>
      </c>
      <c r="D3717" s="169" t="s">
        <v>1290</v>
      </c>
      <c r="E3717" s="103" t="s">
        <v>21533</v>
      </c>
      <c r="F3717" s="104"/>
      <c r="G3717" s="105">
        <f t="shared" si="228"/>
        <v>57.23</v>
      </c>
      <c r="H3717" s="101" t="str">
        <f t="shared" si="229"/>
        <v>Sinapi 11709</v>
      </c>
      <c r="I3717" s="101" t="str">
        <f t="shared" si="230"/>
        <v>UN</v>
      </c>
      <c r="J3717" s="140" t="str">
        <f t="shared" si="231"/>
        <v>RALO FOFO SEMIESFERICO, 150 MM, PARA LAJES/ CALHAS</v>
      </c>
    </row>
    <row r="3718" spans="1:10" x14ac:dyDescent="0.25">
      <c r="A3718" s="169">
        <v>11710</v>
      </c>
      <c r="B3718" s="169" t="s">
        <v>27179</v>
      </c>
      <c r="C3718" s="169" t="s">
        <v>10225</v>
      </c>
      <c r="D3718" s="169" t="s">
        <v>1290</v>
      </c>
      <c r="E3718" s="103" t="s">
        <v>21534</v>
      </c>
      <c r="F3718" s="104"/>
      <c r="G3718" s="105">
        <f t="shared" si="228"/>
        <v>131.57</v>
      </c>
      <c r="H3718" s="101" t="str">
        <f t="shared" si="229"/>
        <v>Sinapi 11710</v>
      </c>
      <c r="I3718" s="101" t="str">
        <f t="shared" si="230"/>
        <v>UN</v>
      </c>
      <c r="J3718" s="140" t="str">
        <f t="shared" si="231"/>
        <v>RALO FOFO SEMIESFERICO, 200 MM, PARA LAJES/ CALHAS</v>
      </c>
    </row>
    <row r="3719" spans="1:10" x14ac:dyDescent="0.25">
      <c r="A3719" s="169">
        <v>11707</v>
      </c>
      <c r="B3719" s="169" t="s">
        <v>27180</v>
      </c>
      <c r="C3719" s="169" t="s">
        <v>10225</v>
      </c>
      <c r="D3719" s="169" t="s">
        <v>1290</v>
      </c>
      <c r="E3719" s="103" t="s">
        <v>15545</v>
      </c>
      <c r="F3719" s="104"/>
      <c r="G3719" s="105">
        <f t="shared" si="228"/>
        <v>18.25</v>
      </c>
      <c r="H3719" s="101" t="str">
        <f t="shared" si="229"/>
        <v>Sinapi 11707</v>
      </c>
      <c r="I3719" s="101" t="str">
        <f t="shared" si="230"/>
        <v>UN</v>
      </c>
      <c r="J3719" s="140" t="str">
        <f t="shared" si="231"/>
        <v>RALO FOFO SEMIESFERICO, 75 MM, PARA LAJES/ CALHAS</v>
      </c>
    </row>
    <row r="3720" spans="1:10" x14ac:dyDescent="0.25">
      <c r="A3720" s="169">
        <v>5102</v>
      </c>
      <c r="B3720" s="169" t="s">
        <v>27181</v>
      </c>
      <c r="C3720" s="169" t="s">
        <v>10225</v>
      </c>
      <c r="D3720" s="169" t="s">
        <v>1289</v>
      </c>
      <c r="E3720" s="103" t="s">
        <v>22961</v>
      </c>
      <c r="F3720" s="104"/>
      <c r="G3720" s="105">
        <f t="shared" ref="G3720:G3783" si="232">IF(E3720="","",E3720+0)</f>
        <v>12.66</v>
      </c>
      <c r="H3720" s="101" t="str">
        <f t="shared" ref="H3720:H3783" si="233">IF(G3720="","",TRIM(CONCATENATE("Sinapi ",A3720)))</f>
        <v>Sinapi 5102</v>
      </c>
      <c r="I3720" s="101" t="str">
        <f t="shared" ref="I3720:I3783" si="234">TRIM(C3720)</f>
        <v>UN</v>
      </c>
      <c r="J3720" s="140" t="str">
        <f t="shared" si="231"/>
        <v>RALO SECO / RALO DE PASSAGEM EM PVC, QUADRADO, 100 X 100 X 53 MM, SAIDA 40 MM, COM GRELHA BRANCA</v>
      </c>
    </row>
    <row r="3721" spans="1:10" x14ac:dyDescent="0.25">
      <c r="A3721" s="169">
        <v>11739</v>
      </c>
      <c r="B3721" s="169" t="s">
        <v>27182</v>
      </c>
      <c r="C3721" s="169" t="s">
        <v>10225</v>
      </c>
      <c r="D3721" s="169" t="s">
        <v>1289</v>
      </c>
      <c r="E3721" s="103" t="s">
        <v>11137</v>
      </c>
      <c r="F3721" s="104"/>
      <c r="G3721" s="105">
        <f t="shared" si="232"/>
        <v>9.02</v>
      </c>
      <c r="H3721" s="101" t="str">
        <f t="shared" si="233"/>
        <v>Sinapi 11739</v>
      </c>
      <c r="I3721" s="101" t="str">
        <f t="shared" si="234"/>
        <v>UN</v>
      </c>
      <c r="J3721" s="140" t="str">
        <f t="shared" ref="J3721:J3784" si="235">TRIM(B3721)</f>
        <v>RALO SECO CONICO, PVC, 100 X 40 MM, COM GRELHA REDONDA BRANCA</v>
      </c>
    </row>
    <row r="3722" spans="1:10" x14ac:dyDescent="0.25">
      <c r="A3722" s="169">
        <v>11711</v>
      </c>
      <c r="B3722" s="169" t="s">
        <v>27183</v>
      </c>
      <c r="C3722" s="169" t="s">
        <v>10225</v>
      </c>
      <c r="D3722" s="169" t="s">
        <v>1289</v>
      </c>
      <c r="E3722" s="103" t="s">
        <v>15133</v>
      </c>
      <c r="F3722" s="104"/>
      <c r="G3722" s="105">
        <f t="shared" si="232"/>
        <v>10.54</v>
      </c>
      <c r="H3722" s="101" t="str">
        <f t="shared" si="233"/>
        <v>Sinapi 11711</v>
      </c>
      <c r="I3722" s="101" t="str">
        <f t="shared" si="234"/>
        <v>UN</v>
      </c>
      <c r="J3722" s="140" t="str">
        <f t="shared" si="235"/>
        <v>RALO SECO CONICO, PVC, 100 X 40 MM, COM GRELHA QUADRADA BRANCA</v>
      </c>
    </row>
    <row r="3723" spans="1:10" x14ac:dyDescent="0.25">
      <c r="A3723" s="169">
        <v>11741</v>
      </c>
      <c r="B3723" s="169" t="s">
        <v>27184</v>
      </c>
      <c r="C3723" s="169" t="s">
        <v>10225</v>
      </c>
      <c r="D3723" s="169" t="s">
        <v>1289</v>
      </c>
      <c r="E3723" s="103" t="s">
        <v>15698</v>
      </c>
      <c r="F3723" s="104"/>
      <c r="G3723" s="105">
        <f t="shared" si="232"/>
        <v>11.48</v>
      </c>
      <c r="H3723" s="101" t="str">
        <f t="shared" si="233"/>
        <v>Sinapi 11741</v>
      </c>
      <c r="I3723" s="101" t="str">
        <f t="shared" si="234"/>
        <v>UN</v>
      </c>
      <c r="J3723" s="140" t="str">
        <f t="shared" si="235"/>
        <v>RALO SIFONADO CILINDRICO, PVC, 100 X 40 MM, COM GRELHA REDONDA BRANCA</v>
      </c>
    </row>
    <row r="3724" spans="1:10" x14ac:dyDescent="0.25">
      <c r="A3724" s="169">
        <v>11745</v>
      </c>
      <c r="B3724" s="169" t="s">
        <v>27185</v>
      </c>
      <c r="C3724" s="169" t="s">
        <v>10225</v>
      </c>
      <c r="D3724" s="169" t="s">
        <v>1289</v>
      </c>
      <c r="E3724" s="103" t="s">
        <v>23160</v>
      </c>
      <c r="F3724" s="104"/>
      <c r="G3724" s="105">
        <f t="shared" si="232"/>
        <v>15.13</v>
      </c>
      <c r="H3724" s="101" t="str">
        <f t="shared" si="233"/>
        <v>Sinapi 11745</v>
      </c>
      <c r="I3724" s="101" t="str">
        <f t="shared" si="234"/>
        <v>UN</v>
      </c>
      <c r="J3724" s="140" t="str">
        <f t="shared" si="235"/>
        <v>RALO SIFONADO QUADRADO, PVC, 100 X 53 MM, SAIDA 40 MM, COM GRELHA QUADRADA BRANCA</v>
      </c>
    </row>
    <row r="3725" spans="1:10" x14ac:dyDescent="0.25">
      <c r="A3725" s="169">
        <v>11743</v>
      </c>
      <c r="B3725" s="169" t="s">
        <v>27186</v>
      </c>
      <c r="C3725" s="169" t="s">
        <v>10225</v>
      </c>
      <c r="D3725" s="169" t="s">
        <v>1289</v>
      </c>
      <c r="E3725" s="103" t="s">
        <v>19304</v>
      </c>
      <c r="F3725" s="104"/>
      <c r="G3725" s="105">
        <f t="shared" si="232"/>
        <v>9.64</v>
      </c>
      <c r="H3725" s="101" t="str">
        <f t="shared" si="233"/>
        <v>Sinapi 11743</v>
      </c>
      <c r="I3725" s="101" t="str">
        <f t="shared" si="234"/>
        <v>UN</v>
      </c>
      <c r="J3725" s="140" t="str">
        <f t="shared" si="235"/>
        <v>RALO SIFONADO REDONDO CONICO, PVC, 100 X 40 MM, COM GRELHA REDONDA BRANCA</v>
      </c>
    </row>
    <row r="3726" spans="1:10" x14ac:dyDescent="0.25">
      <c r="A3726" s="169">
        <v>40985</v>
      </c>
      <c r="B3726" s="169" t="s">
        <v>27187</v>
      </c>
      <c r="C3726" s="169" t="s">
        <v>10235</v>
      </c>
      <c r="D3726" s="169" t="s">
        <v>1289</v>
      </c>
      <c r="E3726" s="103" t="s">
        <v>29686</v>
      </c>
      <c r="F3726" s="104"/>
      <c r="G3726" s="105">
        <f t="shared" si="232"/>
        <v>2788.62</v>
      </c>
      <c r="H3726" s="101" t="str">
        <f t="shared" si="233"/>
        <v>Sinapi 40985</v>
      </c>
      <c r="I3726" s="101" t="str">
        <f t="shared" si="234"/>
        <v>MES</v>
      </c>
      <c r="J3726" s="140" t="str">
        <f t="shared" si="235"/>
        <v>RASTELEIRO (MENSALISTA)</v>
      </c>
    </row>
    <row r="3727" spans="1:10" x14ac:dyDescent="0.25">
      <c r="A3727" s="169">
        <v>44502</v>
      </c>
      <c r="B3727" s="169" t="s">
        <v>27188</v>
      </c>
      <c r="C3727" s="169" t="s">
        <v>10228</v>
      </c>
      <c r="D3727" s="169" t="s">
        <v>1289</v>
      </c>
      <c r="E3727" s="103" t="s">
        <v>20358</v>
      </c>
      <c r="F3727" s="104"/>
      <c r="G3727" s="105">
        <f t="shared" si="232"/>
        <v>16.010000000000002</v>
      </c>
      <c r="H3727" s="101" t="str">
        <f t="shared" si="233"/>
        <v>Sinapi 44502</v>
      </c>
      <c r="I3727" s="101" t="str">
        <f t="shared" si="234"/>
        <v>H</v>
      </c>
      <c r="J3727" s="140" t="str">
        <f t="shared" si="235"/>
        <v>RASTELEIRO HORISTA</v>
      </c>
    </row>
    <row r="3728" spans="1:10" x14ac:dyDescent="0.25">
      <c r="A3728" s="169">
        <v>1088</v>
      </c>
      <c r="B3728" s="169" t="s">
        <v>27189</v>
      </c>
      <c r="C3728" s="169" t="s">
        <v>10225</v>
      </c>
      <c r="D3728" s="169" t="s">
        <v>1290</v>
      </c>
      <c r="E3728" s="103" t="s">
        <v>27190</v>
      </c>
      <c r="F3728" s="104"/>
      <c r="G3728" s="105">
        <f t="shared" si="232"/>
        <v>30.21</v>
      </c>
      <c r="H3728" s="101" t="str">
        <f t="shared" si="233"/>
        <v>Sinapi 1088</v>
      </c>
      <c r="I3728" s="101" t="str">
        <f t="shared" si="234"/>
        <v>UN</v>
      </c>
      <c r="J3728" s="140" t="str">
        <f t="shared" si="235"/>
        <v>REATOR ELETRONICO BIVOLT PARA 1 LAMPADA FLUORESCENTE DE 18/20 W</v>
      </c>
    </row>
    <row r="3729" spans="1:10" x14ac:dyDescent="0.25">
      <c r="A3729" s="169">
        <v>1087</v>
      </c>
      <c r="B3729" s="169" t="s">
        <v>27191</v>
      </c>
      <c r="C3729" s="169" t="s">
        <v>10225</v>
      </c>
      <c r="D3729" s="169" t="s">
        <v>1290</v>
      </c>
      <c r="E3729" s="103" t="s">
        <v>19903</v>
      </c>
      <c r="F3729" s="104"/>
      <c r="G3729" s="105">
        <f t="shared" si="232"/>
        <v>37.729999999999997</v>
      </c>
      <c r="H3729" s="101" t="str">
        <f t="shared" si="233"/>
        <v>Sinapi 1087</v>
      </c>
      <c r="I3729" s="101" t="str">
        <f t="shared" si="234"/>
        <v>UN</v>
      </c>
      <c r="J3729" s="140" t="str">
        <f t="shared" si="235"/>
        <v>REATOR ELETRONICO BIVOLT PARA 1 LAMPADA FLUORESCENTE DE 36/40 W</v>
      </c>
    </row>
    <row r="3730" spans="1:10" x14ac:dyDescent="0.25">
      <c r="A3730" s="169">
        <v>38777</v>
      </c>
      <c r="B3730" s="169" t="s">
        <v>27192</v>
      </c>
      <c r="C3730" s="169" t="s">
        <v>10225</v>
      </c>
      <c r="D3730" s="169" t="s">
        <v>1290</v>
      </c>
      <c r="E3730" s="103" t="s">
        <v>21380</v>
      </c>
      <c r="F3730" s="104"/>
      <c r="G3730" s="105">
        <f t="shared" si="232"/>
        <v>75.150000000000006</v>
      </c>
      <c r="H3730" s="101" t="str">
        <f t="shared" si="233"/>
        <v>Sinapi 38777</v>
      </c>
      <c r="I3730" s="101" t="str">
        <f t="shared" si="234"/>
        <v>UN</v>
      </c>
      <c r="J3730" s="140" t="str">
        <f t="shared" si="235"/>
        <v>REATOR ELETRONICO BIVOLT PARA 2 LAMPADAS FLUORESCENTES DE 14 W</v>
      </c>
    </row>
    <row r="3731" spans="1:10" x14ac:dyDescent="0.25">
      <c r="A3731" s="169">
        <v>1086</v>
      </c>
      <c r="B3731" s="169" t="s">
        <v>27193</v>
      </c>
      <c r="C3731" s="169" t="s">
        <v>10225</v>
      </c>
      <c r="D3731" s="169" t="s">
        <v>1290</v>
      </c>
      <c r="E3731" s="103" t="s">
        <v>23325</v>
      </c>
      <c r="F3731" s="104"/>
      <c r="G3731" s="105">
        <f t="shared" si="232"/>
        <v>39.659999999999997</v>
      </c>
      <c r="H3731" s="101" t="str">
        <f t="shared" si="233"/>
        <v>Sinapi 1086</v>
      </c>
      <c r="I3731" s="101" t="str">
        <f t="shared" si="234"/>
        <v>UN</v>
      </c>
      <c r="J3731" s="140" t="str">
        <f t="shared" si="235"/>
        <v>REATOR ELETRONICO BIVOLT PARA 2 LAMPADAS FLUORESCENTES DE 18/20 W</v>
      </c>
    </row>
    <row r="3732" spans="1:10" x14ac:dyDescent="0.25">
      <c r="A3732" s="169">
        <v>1079</v>
      </c>
      <c r="B3732" s="169" t="s">
        <v>27194</v>
      </c>
      <c r="C3732" s="169" t="s">
        <v>10225</v>
      </c>
      <c r="D3732" s="169" t="s">
        <v>1290</v>
      </c>
      <c r="E3732" s="103" t="s">
        <v>27195</v>
      </c>
      <c r="F3732" s="104"/>
      <c r="G3732" s="105">
        <f t="shared" si="232"/>
        <v>40.99</v>
      </c>
      <c r="H3732" s="101" t="str">
        <f t="shared" si="233"/>
        <v>Sinapi 1079</v>
      </c>
      <c r="I3732" s="101" t="str">
        <f t="shared" si="234"/>
        <v>UN</v>
      </c>
      <c r="J3732" s="140" t="str">
        <f t="shared" si="235"/>
        <v>REATOR ELETRONICO BIVOLT PARA 2 LAMPADAS FLUORESCENTES DE 36/40 W</v>
      </c>
    </row>
    <row r="3733" spans="1:10" x14ac:dyDescent="0.25">
      <c r="A3733" s="169">
        <v>39374</v>
      </c>
      <c r="B3733" s="169" t="s">
        <v>27196</v>
      </c>
      <c r="C3733" s="169" t="s">
        <v>10225</v>
      </c>
      <c r="D3733" s="169" t="s">
        <v>1288</v>
      </c>
      <c r="E3733" s="103" t="s">
        <v>31104</v>
      </c>
      <c r="F3733" s="104"/>
      <c r="G3733" s="105">
        <f t="shared" si="232"/>
        <v>135.26</v>
      </c>
      <c r="H3733" s="101" t="str">
        <f t="shared" si="233"/>
        <v>Sinapi 39374</v>
      </c>
      <c r="I3733" s="101" t="str">
        <f t="shared" si="234"/>
        <v>UN</v>
      </c>
      <c r="J3733" s="140" t="str">
        <f t="shared" si="235"/>
        <v>REATOR INTERNO/INTEGRADO PARA LAMPADA VAPOR METALICO 400 W, ALTO FATOR DE POTENCIA</v>
      </c>
    </row>
    <row r="3734" spans="1:10" x14ac:dyDescent="0.25">
      <c r="A3734" s="169">
        <v>1082</v>
      </c>
      <c r="B3734" s="169" t="s">
        <v>27197</v>
      </c>
      <c r="C3734" s="169" t="s">
        <v>10225</v>
      </c>
      <c r="D3734" s="169" t="s">
        <v>1290</v>
      </c>
      <c r="E3734" s="103" t="s">
        <v>27198</v>
      </c>
      <c r="F3734" s="104"/>
      <c r="G3734" s="105">
        <f t="shared" si="232"/>
        <v>257.70999999999998</v>
      </c>
      <c r="H3734" s="101" t="str">
        <f t="shared" si="233"/>
        <v>Sinapi 1082</v>
      </c>
      <c r="I3734" s="101" t="str">
        <f t="shared" si="234"/>
        <v>UN</v>
      </c>
      <c r="J3734" s="140" t="str">
        <f t="shared" si="235"/>
        <v>REATOR P/ LAMPADA VAPOR DE SODIO 250W USO EXT</v>
      </c>
    </row>
    <row r="3735" spans="1:10" x14ac:dyDescent="0.25">
      <c r="A3735" s="169">
        <v>12316</v>
      </c>
      <c r="B3735" s="169" t="s">
        <v>27199</v>
      </c>
      <c r="C3735" s="169" t="s">
        <v>10225</v>
      </c>
      <c r="D3735" s="169" t="s">
        <v>1290</v>
      </c>
      <c r="E3735" s="103" t="s">
        <v>27200</v>
      </c>
      <c r="F3735" s="104"/>
      <c r="G3735" s="105">
        <f t="shared" si="232"/>
        <v>118.12</v>
      </c>
      <c r="H3735" s="101" t="str">
        <f t="shared" si="233"/>
        <v>Sinapi 12316</v>
      </c>
      <c r="I3735" s="101" t="str">
        <f t="shared" si="234"/>
        <v>UN</v>
      </c>
      <c r="J3735" s="140" t="str">
        <f t="shared" si="235"/>
        <v>REATOR P/ 1 LAMPADA VAPOR DE MERCURIO 125W USO EXT</v>
      </c>
    </row>
    <row r="3736" spans="1:10" x14ac:dyDescent="0.25">
      <c r="A3736" s="169">
        <v>12317</v>
      </c>
      <c r="B3736" s="169" t="s">
        <v>27201</v>
      </c>
      <c r="C3736" s="169" t="s">
        <v>10225</v>
      </c>
      <c r="D3736" s="169" t="s">
        <v>1290</v>
      </c>
      <c r="E3736" s="103" t="s">
        <v>27202</v>
      </c>
      <c r="F3736" s="104"/>
      <c r="G3736" s="105">
        <f t="shared" si="232"/>
        <v>140.86000000000001</v>
      </c>
      <c r="H3736" s="101" t="str">
        <f t="shared" si="233"/>
        <v>Sinapi 12317</v>
      </c>
      <c r="I3736" s="101" t="str">
        <f t="shared" si="234"/>
        <v>UN</v>
      </c>
      <c r="J3736" s="140" t="str">
        <f t="shared" si="235"/>
        <v>REATOR P/ 1 LAMPADA VAPOR DE MERCURIO 250W USO EXT</v>
      </c>
    </row>
    <row r="3737" spans="1:10" x14ac:dyDescent="0.25">
      <c r="A3737" s="169">
        <v>12318</v>
      </c>
      <c r="B3737" s="169" t="s">
        <v>27203</v>
      </c>
      <c r="C3737" s="169" t="s">
        <v>10225</v>
      </c>
      <c r="D3737" s="169" t="s">
        <v>1290</v>
      </c>
      <c r="E3737" s="103" t="s">
        <v>27204</v>
      </c>
      <c r="F3737" s="104"/>
      <c r="G3737" s="105">
        <f t="shared" si="232"/>
        <v>162.27000000000001</v>
      </c>
      <c r="H3737" s="101" t="str">
        <f t="shared" si="233"/>
        <v>Sinapi 12318</v>
      </c>
      <c r="I3737" s="101" t="str">
        <f t="shared" si="234"/>
        <v>UN</v>
      </c>
      <c r="J3737" s="140" t="str">
        <f t="shared" si="235"/>
        <v>REATOR P/ 1 LAMPADA VAPOR DE MERCURIO 400W USO EXT</v>
      </c>
    </row>
    <row r="3738" spans="1:10" x14ac:dyDescent="0.25">
      <c r="A3738" s="169">
        <v>5104</v>
      </c>
      <c r="B3738" s="169" t="s">
        <v>31105</v>
      </c>
      <c r="C3738" s="169" t="s">
        <v>10231</v>
      </c>
      <c r="D3738" s="169" t="s">
        <v>1290</v>
      </c>
      <c r="E3738" s="103" t="s">
        <v>28580</v>
      </c>
      <c r="F3738" s="104"/>
      <c r="G3738" s="105">
        <f t="shared" si="232"/>
        <v>63.07</v>
      </c>
      <c r="H3738" s="101" t="str">
        <f t="shared" si="233"/>
        <v>Sinapi 5104</v>
      </c>
      <c r="I3738" s="101" t="str">
        <f t="shared" si="234"/>
        <v>KG</v>
      </c>
      <c r="J3738" s="140" t="str">
        <f t="shared" si="235"/>
        <v>REBITE DE REPUXO EM ALUMINIO VAZADO, DIAMETRO 3,2 X 8 MM DE COMPRIMENTO (1KG = 1025 UNIDADES)</v>
      </c>
    </row>
    <row r="3739" spans="1:10" x14ac:dyDescent="0.25">
      <c r="A3739" s="169">
        <v>44530</v>
      </c>
      <c r="B3739" s="169" t="s">
        <v>27206</v>
      </c>
      <c r="C3739" s="169" t="s">
        <v>10225</v>
      </c>
      <c r="D3739" s="169" t="s">
        <v>1289</v>
      </c>
      <c r="E3739" s="103" t="s">
        <v>31106</v>
      </c>
      <c r="F3739" s="104"/>
      <c r="G3739" s="105">
        <f t="shared" si="232"/>
        <v>60.5</v>
      </c>
      <c r="H3739" s="101" t="str">
        <f t="shared" si="233"/>
        <v>Sinapi 44530</v>
      </c>
      <c r="I3739" s="101" t="str">
        <f t="shared" si="234"/>
        <v>UN</v>
      </c>
      <c r="J3739" s="140" t="str">
        <f t="shared" si="235"/>
        <v>REBOLO ABRASIVO RETO DE USO GERAL GRAO 36, DE 6 X 1 " ( DIAMETRO X ALTURA)</v>
      </c>
    </row>
    <row r="3740" spans="1:10" x14ac:dyDescent="0.25">
      <c r="A3740" s="169">
        <v>2710</v>
      </c>
      <c r="B3740" s="169" t="s">
        <v>27207</v>
      </c>
      <c r="C3740" s="169" t="s">
        <v>10225</v>
      </c>
      <c r="D3740" s="169" t="s">
        <v>1289</v>
      </c>
      <c r="E3740" s="103" t="s">
        <v>31107</v>
      </c>
      <c r="F3740" s="104"/>
      <c r="G3740" s="105">
        <f t="shared" si="232"/>
        <v>48.32</v>
      </c>
      <c r="H3740" s="101" t="str">
        <f t="shared" si="233"/>
        <v>Sinapi 2710</v>
      </c>
      <c r="I3740" s="101" t="str">
        <f t="shared" si="234"/>
        <v>UN</v>
      </c>
      <c r="J3740" s="140" t="str">
        <f t="shared" si="235"/>
        <v>REBOLO ABRASIVO RETO DE USO GERAL GRAO 36, DE 6 X 3/4 " (DIAMETRO X ALTURA)</v>
      </c>
    </row>
    <row r="3741" spans="1:10" x14ac:dyDescent="0.25">
      <c r="A3741" s="169">
        <v>14575</v>
      </c>
      <c r="B3741" s="169" t="s">
        <v>27208</v>
      </c>
      <c r="C3741" s="169" t="s">
        <v>10225</v>
      </c>
      <c r="D3741" s="169" t="s">
        <v>1290</v>
      </c>
      <c r="E3741" s="103" t="s">
        <v>31108</v>
      </c>
      <c r="F3741" s="104"/>
      <c r="G3741" s="105">
        <f t="shared" si="232"/>
        <v>5734191.1799999997</v>
      </c>
      <c r="H3741" s="101" t="str">
        <f t="shared" si="233"/>
        <v>Sinapi 14575</v>
      </c>
      <c r="I3741" s="101" t="str">
        <f t="shared" si="234"/>
        <v>UN</v>
      </c>
      <c r="J3741" s="140" t="str">
        <f t="shared" si="235"/>
        <v>RECICLADORA DE ASFALTO A FRIO SOBRE RODAS, LARG. FRESAGEM 2,00 M, POT. 315 KW/422 HP</v>
      </c>
    </row>
    <row r="3742" spans="1:10" x14ac:dyDescent="0.25">
      <c r="A3742" s="169">
        <v>20043</v>
      </c>
      <c r="B3742" s="169" t="s">
        <v>27209</v>
      </c>
      <c r="C3742" s="169" t="s">
        <v>10225</v>
      </c>
      <c r="D3742" s="169" t="s">
        <v>1289</v>
      </c>
      <c r="E3742" s="103" t="s">
        <v>2774</v>
      </c>
      <c r="F3742" s="104"/>
      <c r="G3742" s="105">
        <f t="shared" si="232"/>
        <v>9.0299999999999994</v>
      </c>
      <c r="H3742" s="101" t="str">
        <f t="shared" si="233"/>
        <v>Sinapi 20043</v>
      </c>
      <c r="I3742" s="101" t="str">
        <f t="shared" si="234"/>
        <v>UN</v>
      </c>
      <c r="J3742" s="140" t="str">
        <f t="shared" si="235"/>
        <v>REDUCAO EXCENTRICA PVC, DN 100 X 50 MM, PARA ESGOTO PREDIAL</v>
      </c>
    </row>
    <row r="3743" spans="1:10" x14ac:dyDescent="0.25">
      <c r="A3743" s="169">
        <v>20044</v>
      </c>
      <c r="B3743" s="169" t="s">
        <v>27210</v>
      </c>
      <c r="C3743" s="169" t="s">
        <v>10225</v>
      </c>
      <c r="D3743" s="169" t="s">
        <v>1289</v>
      </c>
      <c r="E3743" s="103" t="s">
        <v>19949</v>
      </c>
      <c r="F3743" s="104"/>
      <c r="G3743" s="105">
        <f t="shared" si="232"/>
        <v>10.47</v>
      </c>
      <c r="H3743" s="101" t="str">
        <f t="shared" si="233"/>
        <v>Sinapi 20044</v>
      </c>
      <c r="I3743" s="101" t="str">
        <f t="shared" si="234"/>
        <v>UN</v>
      </c>
      <c r="J3743" s="140" t="str">
        <f t="shared" si="235"/>
        <v>REDUCAO EXCENTRICA PVC, DN 100 X 75 MM, PARA ESGOTO PREDIAL</v>
      </c>
    </row>
    <row r="3744" spans="1:10" x14ac:dyDescent="0.25">
      <c r="A3744" s="169">
        <v>20042</v>
      </c>
      <c r="B3744" s="169" t="s">
        <v>27211</v>
      </c>
      <c r="C3744" s="169" t="s">
        <v>10225</v>
      </c>
      <c r="D3744" s="169" t="s">
        <v>1289</v>
      </c>
      <c r="E3744" s="103" t="s">
        <v>14124</v>
      </c>
      <c r="F3744" s="104"/>
      <c r="G3744" s="105">
        <f t="shared" si="232"/>
        <v>7.83</v>
      </c>
      <c r="H3744" s="101" t="str">
        <f t="shared" si="233"/>
        <v>Sinapi 20042</v>
      </c>
      <c r="I3744" s="101" t="str">
        <f t="shared" si="234"/>
        <v>UN</v>
      </c>
      <c r="J3744" s="140" t="str">
        <f t="shared" si="235"/>
        <v>REDUCAO EXCENTRICA PVC, DN 75 X 50 MM, PARA ESGOTO PREDIAL</v>
      </c>
    </row>
    <row r="3745" spans="1:10" x14ac:dyDescent="0.25">
      <c r="A3745" s="169">
        <v>20046</v>
      </c>
      <c r="B3745" s="169" t="s">
        <v>27212</v>
      </c>
      <c r="C3745" s="169" t="s">
        <v>10225</v>
      </c>
      <c r="D3745" s="169" t="s">
        <v>1289</v>
      </c>
      <c r="E3745" s="103" t="s">
        <v>21838</v>
      </c>
      <c r="F3745" s="104"/>
      <c r="G3745" s="105">
        <f t="shared" si="232"/>
        <v>18.54</v>
      </c>
      <c r="H3745" s="101" t="str">
        <f t="shared" si="233"/>
        <v>Sinapi 20046</v>
      </c>
      <c r="I3745" s="101" t="str">
        <f t="shared" si="234"/>
        <v>UN</v>
      </c>
      <c r="J3745" s="140" t="str">
        <f t="shared" si="235"/>
        <v>REDUCAO EXCENTRICA PVC, SERIE R, DN 100 X 75 MM, PARA ESGOTO PREDIAL</v>
      </c>
    </row>
    <row r="3746" spans="1:10" x14ac:dyDescent="0.25">
      <c r="A3746" s="169">
        <v>20047</v>
      </c>
      <c r="B3746" s="169" t="s">
        <v>1209</v>
      </c>
      <c r="C3746" s="169" t="s">
        <v>10225</v>
      </c>
      <c r="D3746" s="169" t="s">
        <v>1289</v>
      </c>
      <c r="E3746" s="103" t="s">
        <v>30154</v>
      </c>
      <c r="F3746" s="104"/>
      <c r="G3746" s="105">
        <f t="shared" si="232"/>
        <v>55.61</v>
      </c>
      <c r="H3746" s="101" t="str">
        <f t="shared" si="233"/>
        <v>Sinapi 20047</v>
      </c>
      <c r="I3746" s="101" t="str">
        <f t="shared" si="234"/>
        <v>UN</v>
      </c>
      <c r="J3746" s="140" t="str">
        <f t="shared" si="235"/>
        <v>REDUCAO EXCENTRICA PVC, SERIE R, DN 150 X 100 MM, PARA ESGOTO PREDIAL</v>
      </c>
    </row>
    <row r="3747" spans="1:10" x14ac:dyDescent="0.25">
      <c r="A3747" s="169">
        <v>20045</v>
      </c>
      <c r="B3747" s="169" t="s">
        <v>27213</v>
      </c>
      <c r="C3747" s="169" t="s">
        <v>10225</v>
      </c>
      <c r="D3747" s="169" t="s">
        <v>1289</v>
      </c>
      <c r="E3747" s="103" t="s">
        <v>19389</v>
      </c>
      <c r="F3747" s="104"/>
      <c r="G3747" s="105">
        <f t="shared" si="232"/>
        <v>9.3800000000000008</v>
      </c>
      <c r="H3747" s="101" t="str">
        <f t="shared" si="233"/>
        <v>Sinapi 20045</v>
      </c>
      <c r="I3747" s="101" t="str">
        <f t="shared" si="234"/>
        <v>UN</v>
      </c>
      <c r="J3747" s="140" t="str">
        <f t="shared" si="235"/>
        <v>REDUCAO EXCENTRICA PVC, SERIE R, DN 75 X 50 MM, PARA ESGOTO PREDIAL</v>
      </c>
    </row>
    <row r="3748" spans="1:10" x14ac:dyDescent="0.25">
      <c r="A3748" s="169">
        <v>20972</v>
      </c>
      <c r="B3748" s="169" t="s">
        <v>27214</v>
      </c>
      <c r="C3748" s="169" t="s">
        <v>10225</v>
      </c>
      <c r="D3748" s="169" t="s">
        <v>1289</v>
      </c>
      <c r="E3748" s="103" t="s">
        <v>31109</v>
      </c>
      <c r="F3748" s="104"/>
      <c r="G3748" s="105">
        <f t="shared" si="232"/>
        <v>111.71</v>
      </c>
      <c r="H3748" s="101" t="str">
        <f t="shared" si="233"/>
        <v>Sinapi 20972</v>
      </c>
      <c r="I3748" s="101" t="str">
        <f t="shared" si="234"/>
        <v>UN</v>
      </c>
      <c r="J3748" s="140" t="str">
        <f t="shared" si="235"/>
        <v>REDUCAO FIXA TIPO STORZ, ENGATE RAPIDO 2.1/2" X 1.1/2", EM LATAO, PARA INSTALACAO PREDIAL COMBATE A INCENDIO PREDIAL</v>
      </c>
    </row>
    <row r="3749" spans="1:10" x14ac:dyDescent="0.25">
      <c r="A3749" s="169">
        <v>11321</v>
      </c>
      <c r="B3749" s="169" t="s">
        <v>27215</v>
      </c>
      <c r="C3749" s="169" t="s">
        <v>10225</v>
      </c>
      <c r="D3749" s="169" t="s">
        <v>1289</v>
      </c>
      <c r="E3749" s="103" t="s">
        <v>31110</v>
      </c>
      <c r="F3749" s="104"/>
      <c r="G3749" s="105">
        <f t="shared" si="232"/>
        <v>47.09</v>
      </c>
      <c r="H3749" s="101" t="str">
        <f t="shared" si="233"/>
        <v>Sinapi 11321</v>
      </c>
      <c r="I3749" s="101" t="str">
        <f t="shared" si="234"/>
        <v>UN</v>
      </c>
      <c r="J3749" s="140" t="str">
        <f t="shared" si="235"/>
        <v>REDUCAO PVC PBA, JE, PB, DN 100 X 50 / DE 110 X 60 MM, PARA REDE DE AGUA</v>
      </c>
    </row>
    <row r="3750" spans="1:10" x14ac:dyDescent="0.25">
      <c r="A3750" s="169">
        <v>11323</v>
      </c>
      <c r="B3750" s="169" t="s">
        <v>27216</v>
      </c>
      <c r="C3750" s="169" t="s">
        <v>10225</v>
      </c>
      <c r="D3750" s="169" t="s">
        <v>1289</v>
      </c>
      <c r="E3750" s="103" t="s">
        <v>30430</v>
      </c>
      <c r="F3750" s="104"/>
      <c r="G3750" s="105">
        <f t="shared" si="232"/>
        <v>54.16</v>
      </c>
      <c r="H3750" s="101" t="str">
        <f t="shared" si="233"/>
        <v>Sinapi 11323</v>
      </c>
      <c r="I3750" s="101" t="str">
        <f t="shared" si="234"/>
        <v>UN</v>
      </c>
      <c r="J3750" s="140" t="str">
        <f t="shared" si="235"/>
        <v>REDUCAO PVC PBA, JE, PB, DN 100 X 75 / DE 110 X 85 MM, PARA REDE DE AGUA</v>
      </c>
    </row>
    <row r="3751" spans="1:10" x14ac:dyDescent="0.25">
      <c r="A3751" s="169">
        <v>20327</v>
      </c>
      <c r="B3751" s="169" t="s">
        <v>27217</v>
      </c>
      <c r="C3751" s="169" t="s">
        <v>10225</v>
      </c>
      <c r="D3751" s="169" t="s">
        <v>1289</v>
      </c>
      <c r="E3751" s="103" t="s">
        <v>19263</v>
      </c>
      <c r="F3751" s="104"/>
      <c r="G3751" s="105">
        <f t="shared" si="232"/>
        <v>30.73</v>
      </c>
      <c r="H3751" s="101" t="str">
        <f t="shared" si="233"/>
        <v>Sinapi 20327</v>
      </c>
      <c r="I3751" s="101" t="str">
        <f t="shared" si="234"/>
        <v>UN</v>
      </c>
      <c r="J3751" s="140" t="str">
        <f t="shared" si="235"/>
        <v>REDUCAO PVC PBA, JE, PB, DN 75 X 50 / DE 85 X 60 MM, PARA REDE DE AGUA</v>
      </c>
    </row>
    <row r="3752" spans="1:10" x14ac:dyDescent="0.25">
      <c r="A3752" s="169">
        <v>13390</v>
      </c>
      <c r="B3752" s="169" t="s">
        <v>27218</v>
      </c>
      <c r="C3752" s="169" t="s">
        <v>10225</v>
      </c>
      <c r="D3752" s="169" t="s">
        <v>1290</v>
      </c>
      <c r="E3752" s="103" t="s">
        <v>27219</v>
      </c>
      <c r="F3752" s="104"/>
      <c r="G3752" s="105">
        <f t="shared" si="232"/>
        <v>149.07</v>
      </c>
      <c r="H3752" s="101" t="str">
        <f t="shared" si="233"/>
        <v>Sinapi 13390</v>
      </c>
      <c r="I3752" s="101" t="str">
        <f t="shared" si="234"/>
        <v>UN</v>
      </c>
      <c r="J3752" s="140" t="str">
        <f t="shared" si="235"/>
        <v>REFLETOR REDONDO EM ALUMINIO ANODIZADO PARA LAMPADA VAPOR DE MERCURIO/SODIO, CORPO EM ALUMINIO COM PINTURA EPOXI, PARA LAMPADA E-27 DE 300 W, COM SUPORTE REDONDO E ALCA REGULAVEL PARA FIXACAO.</v>
      </c>
    </row>
    <row r="3753" spans="1:10" x14ac:dyDescent="0.25">
      <c r="A3753" s="169">
        <v>6034</v>
      </c>
      <c r="B3753" s="169" t="s">
        <v>27220</v>
      </c>
      <c r="C3753" s="169" t="s">
        <v>10225</v>
      </c>
      <c r="D3753" s="169" t="s">
        <v>1289</v>
      </c>
      <c r="E3753" s="103" t="s">
        <v>24625</v>
      </c>
      <c r="F3753" s="104"/>
      <c r="G3753" s="105">
        <f t="shared" si="232"/>
        <v>9.68</v>
      </c>
      <c r="H3753" s="101" t="str">
        <f t="shared" si="233"/>
        <v>Sinapi 6034</v>
      </c>
      <c r="I3753" s="101" t="str">
        <f t="shared" si="234"/>
        <v>UN</v>
      </c>
      <c r="J3753" s="140" t="str">
        <f t="shared" si="235"/>
        <v>REGISTRO DE ESFERA DE PASSEIO, PVC PARA POLIETILENO, 20 MM</v>
      </c>
    </row>
    <row r="3754" spans="1:10" x14ac:dyDescent="0.25">
      <c r="A3754" s="169">
        <v>6036</v>
      </c>
      <c r="B3754" s="169" t="s">
        <v>27221</v>
      </c>
      <c r="C3754" s="169" t="s">
        <v>10225</v>
      </c>
      <c r="D3754" s="169" t="s">
        <v>1289</v>
      </c>
      <c r="E3754" s="103" t="s">
        <v>22889</v>
      </c>
      <c r="F3754" s="104"/>
      <c r="G3754" s="105">
        <f t="shared" si="232"/>
        <v>13.19</v>
      </c>
      <c r="H3754" s="101" t="str">
        <f t="shared" si="233"/>
        <v>Sinapi 6036</v>
      </c>
      <c r="I3754" s="101" t="str">
        <f t="shared" si="234"/>
        <v>UN</v>
      </c>
      <c r="J3754" s="140" t="str">
        <f t="shared" si="235"/>
        <v>REGISTRO DE ESFERA PVC, COM BORBOLETA, COM ROSCA EXTERNA, DE 1/2"</v>
      </c>
    </row>
    <row r="3755" spans="1:10" x14ac:dyDescent="0.25">
      <c r="A3755" s="169">
        <v>6031</v>
      </c>
      <c r="B3755" s="169" t="s">
        <v>27222</v>
      </c>
      <c r="C3755" s="169" t="s">
        <v>10225</v>
      </c>
      <c r="D3755" s="169" t="s">
        <v>1288</v>
      </c>
      <c r="E3755" s="103" t="s">
        <v>8527</v>
      </c>
      <c r="F3755" s="104"/>
      <c r="G3755" s="105">
        <f t="shared" si="232"/>
        <v>15.5</v>
      </c>
      <c r="H3755" s="101" t="str">
        <f t="shared" si="233"/>
        <v>Sinapi 6031</v>
      </c>
      <c r="I3755" s="101" t="str">
        <f t="shared" si="234"/>
        <v>UN</v>
      </c>
      <c r="J3755" s="140" t="str">
        <f t="shared" si="235"/>
        <v>REGISTRO DE ESFERA PVC, COM BORBOLETA, COM ROSCA EXTERNA, DE 3/4"</v>
      </c>
    </row>
    <row r="3756" spans="1:10" x14ac:dyDescent="0.25">
      <c r="A3756" s="169">
        <v>6029</v>
      </c>
      <c r="B3756" s="169" t="s">
        <v>27223</v>
      </c>
      <c r="C3756" s="169" t="s">
        <v>10225</v>
      </c>
      <c r="D3756" s="169" t="s">
        <v>1289</v>
      </c>
      <c r="E3756" s="103" t="s">
        <v>5627</v>
      </c>
      <c r="F3756" s="104"/>
      <c r="G3756" s="105">
        <f t="shared" si="232"/>
        <v>15.66</v>
      </c>
      <c r="H3756" s="101" t="str">
        <f t="shared" si="233"/>
        <v>Sinapi 6029</v>
      </c>
      <c r="I3756" s="101" t="str">
        <f t="shared" si="234"/>
        <v>UN</v>
      </c>
      <c r="J3756" s="140" t="str">
        <f t="shared" si="235"/>
        <v>REGISTRO DE ESFERA PVC, COM CABECA QUADRADA, COM ROSCA EXTERNA, 1/2"</v>
      </c>
    </row>
    <row r="3757" spans="1:10" x14ac:dyDescent="0.25">
      <c r="A3757" s="169">
        <v>6033</v>
      </c>
      <c r="B3757" s="169" t="s">
        <v>27224</v>
      </c>
      <c r="C3757" s="169" t="s">
        <v>10225</v>
      </c>
      <c r="D3757" s="169" t="s">
        <v>1289</v>
      </c>
      <c r="E3757" s="103" t="s">
        <v>22100</v>
      </c>
      <c r="F3757" s="104"/>
      <c r="G3757" s="105">
        <f t="shared" si="232"/>
        <v>20.64</v>
      </c>
      <c r="H3757" s="101" t="str">
        <f t="shared" si="233"/>
        <v>Sinapi 6033</v>
      </c>
      <c r="I3757" s="101" t="str">
        <f t="shared" si="234"/>
        <v>UN</v>
      </c>
      <c r="J3757" s="140" t="str">
        <f t="shared" si="235"/>
        <v>REGISTRO DE ESFERA PVC, COM CABECA QUADRADA, COM ROSCA EXTERNA, 3/4"</v>
      </c>
    </row>
    <row r="3758" spans="1:10" x14ac:dyDescent="0.25">
      <c r="A3758" s="169">
        <v>11672</v>
      </c>
      <c r="B3758" s="169" t="s">
        <v>27225</v>
      </c>
      <c r="C3758" s="169" t="s">
        <v>10225</v>
      </c>
      <c r="D3758" s="169" t="s">
        <v>1289</v>
      </c>
      <c r="E3758" s="103" t="s">
        <v>22789</v>
      </c>
      <c r="F3758" s="104"/>
      <c r="G3758" s="105">
        <f t="shared" si="232"/>
        <v>44.91</v>
      </c>
      <c r="H3758" s="101" t="str">
        <f t="shared" si="233"/>
        <v>Sinapi 11672</v>
      </c>
      <c r="I3758" s="101" t="str">
        <f t="shared" si="234"/>
        <v>UN</v>
      </c>
      <c r="J3758" s="140" t="str">
        <f t="shared" si="235"/>
        <v>REGISTRO DE ESFERA, PVC, COM VOLANTE, VS, ROSCAVEL, DN 1 1/2", COM CORPO DIVIDIDO</v>
      </c>
    </row>
    <row r="3759" spans="1:10" x14ac:dyDescent="0.25">
      <c r="A3759" s="169">
        <v>11669</v>
      </c>
      <c r="B3759" s="169" t="s">
        <v>27226</v>
      </c>
      <c r="C3759" s="169" t="s">
        <v>10225</v>
      </c>
      <c r="D3759" s="169" t="s">
        <v>1289</v>
      </c>
      <c r="E3759" s="103" t="s">
        <v>29413</v>
      </c>
      <c r="F3759" s="104"/>
      <c r="G3759" s="105">
        <f t="shared" si="232"/>
        <v>42.77</v>
      </c>
      <c r="H3759" s="101" t="str">
        <f t="shared" si="233"/>
        <v>Sinapi 11669</v>
      </c>
      <c r="I3759" s="101" t="str">
        <f t="shared" si="234"/>
        <v>UN</v>
      </c>
      <c r="J3759" s="140" t="str">
        <f t="shared" si="235"/>
        <v>REGISTRO DE ESFERA, PVC, COM VOLANTE, VS, ROSCAVEL, DN 1 1/4", COM CORPO DIVIDIDO</v>
      </c>
    </row>
    <row r="3760" spans="1:10" x14ac:dyDescent="0.25">
      <c r="A3760" s="169">
        <v>11670</v>
      </c>
      <c r="B3760" s="169" t="s">
        <v>27227</v>
      </c>
      <c r="C3760" s="169" t="s">
        <v>10225</v>
      </c>
      <c r="D3760" s="169" t="s">
        <v>1289</v>
      </c>
      <c r="E3760" s="103" t="s">
        <v>21195</v>
      </c>
      <c r="F3760" s="104"/>
      <c r="G3760" s="105">
        <f t="shared" si="232"/>
        <v>16.38</v>
      </c>
      <c r="H3760" s="101" t="str">
        <f t="shared" si="233"/>
        <v>Sinapi 11670</v>
      </c>
      <c r="I3760" s="101" t="str">
        <f t="shared" si="234"/>
        <v>UN</v>
      </c>
      <c r="J3760" s="140" t="str">
        <f t="shared" si="235"/>
        <v>REGISTRO DE ESFERA, PVC, COM VOLANTE, VS, ROSCAVEL, DN 1/2", COM CORPO DIVIDIDO</v>
      </c>
    </row>
    <row r="3761" spans="1:10" x14ac:dyDescent="0.25">
      <c r="A3761" s="169">
        <v>20055</v>
      </c>
      <c r="B3761" s="169" t="s">
        <v>27228</v>
      </c>
      <c r="C3761" s="169" t="s">
        <v>10225</v>
      </c>
      <c r="D3761" s="169" t="s">
        <v>1289</v>
      </c>
      <c r="E3761" s="103" t="s">
        <v>29802</v>
      </c>
      <c r="F3761" s="104"/>
      <c r="G3761" s="105">
        <f t="shared" si="232"/>
        <v>32.03</v>
      </c>
      <c r="H3761" s="101" t="str">
        <f t="shared" si="233"/>
        <v>Sinapi 20055</v>
      </c>
      <c r="I3761" s="101" t="str">
        <f t="shared" si="234"/>
        <v>UN</v>
      </c>
      <c r="J3761" s="140" t="str">
        <f t="shared" si="235"/>
        <v>REGISTRO DE ESFERA, PVC, COM VOLANTE, VS, ROSCAVEL, DN 1", COM CORPO DIVIDIDO</v>
      </c>
    </row>
    <row r="3762" spans="1:10" x14ac:dyDescent="0.25">
      <c r="A3762" s="169">
        <v>11671</v>
      </c>
      <c r="B3762" s="169" t="s">
        <v>27229</v>
      </c>
      <c r="C3762" s="169" t="s">
        <v>10225</v>
      </c>
      <c r="D3762" s="169" t="s">
        <v>1289</v>
      </c>
      <c r="E3762" s="103" t="s">
        <v>23176</v>
      </c>
      <c r="F3762" s="104"/>
      <c r="G3762" s="105">
        <f t="shared" si="232"/>
        <v>68.73</v>
      </c>
      <c r="H3762" s="101" t="str">
        <f t="shared" si="233"/>
        <v>Sinapi 11671</v>
      </c>
      <c r="I3762" s="101" t="str">
        <f t="shared" si="234"/>
        <v>UN</v>
      </c>
      <c r="J3762" s="140" t="str">
        <f t="shared" si="235"/>
        <v>REGISTRO DE ESFERA, PVC, COM VOLANTE, VS, ROSCAVEL, DN 2", COM CORPO DIVIDIDO</v>
      </c>
    </row>
    <row r="3763" spans="1:10" x14ac:dyDescent="0.25">
      <c r="A3763" s="169">
        <v>6032</v>
      </c>
      <c r="B3763" s="169" t="s">
        <v>27230</v>
      </c>
      <c r="C3763" s="169" t="s">
        <v>10225</v>
      </c>
      <c r="D3763" s="169" t="s">
        <v>1289</v>
      </c>
      <c r="E3763" s="103" t="s">
        <v>24403</v>
      </c>
      <c r="F3763" s="104"/>
      <c r="G3763" s="105">
        <f t="shared" si="232"/>
        <v>19.63</v>
      </c>
      <c r="H3763" s="101" t="str">
        <f t="shared" si="233"/>
        <v>Sinapi 6032</v>
      </c>
      <c r="I3763" s="101" t="str">
        <f t="shared" si="234"/>
        <v>UN</v>
      </c>
      <c r="J3763" s="140" t="str">
        <f t="shared" si="235"/>
        <v>REGISTRO DE ESFERA, PVC, COM VOLANTE, VS, ROSCAVEL, DN 3/4", COM CORPO DIVIDIDO</v>
      </c>
    </row>
    <row r="3764" spans="1:10" x14ac:dyDescent="0.25">
      <c r="A3764" s="169">
        <v>11673</v>
      </c>
      <c r="B3764" s="169" t="s">
        <v>27231</v>
      </c>
      <c r="C3764" s="169" t="s">
        <v>10225</v>
      </c>
      <c r="D3764" s="169" t="s">
        <v>1289</v>
      </c>
      <c r="E3764" s="103" t="s">
        <v>31111</v>
      </c>
      <c r="F3764" s="104"/>
      <c r="G3764" s="105">
        <f t="shared" si="232"/>
        <v>15.46</v>
      </c>
      <c r="H3764" s="101" t="str">
        <f t="shared" si="233"/>
        <v>Sinapi 11673</v>
      </c>
      <c r="I3764" s="101" t="str">
        <f t="shared" si="234"/>
        <v>UN</v>
      </c>
      <c r="J3764" s="140" t="str">
        <f t="shared" si="235"/>
        <v>REGISTRO DE ESFERA, PVC, COM VOLANTE, VS, SOLDAVEL, DN 20 MM, COM CORPO DIVIDIDO</v>
      </c>
    </row>
    <row r="3765" spans="1:10" x14ac:dyDescent="0.25">
      <c r="A3765" s="169">
        <v>11674</v>
      </c>
      <c r="B3765" s="169" t="s">
        <v>27232</v>
      </c>
      <c r="C3765" s="169" t="s">
        <v>10225</v>
      </c>
      <c r="D3765" s="169" t="s">
        <v>1289</v>
      </c>
      <c r="E3765" s="103" t="s">
        <v>21124</v>
      </c>
      <c r="F3765" s="104"/>
      <c r="G3765" s="105">
        <f t="shared" si="232"/>
        <v>19.91</v>
      </c>
      <c r="H3765" s="101" t="str">
        <f t="shared" si="233"/>
        <v>Sinapi 11674</v>
      </c>
      <c r="I3765" s="101" t="str">
        <f t="shared" si="234"/>
        <v>UN</v>
      </c>
      <c r="J3765" s="140" t="str">
        <f t="shared" si="235"/>
        <v>REGISTRO DE ESFERA, PVC, COM VOLANTE, VS, SOLDAVEL, DN 25 MM, COM CORPO DIVIDIDO</v>
      </c>
    </row>
    <row r="3766" spans="1:10" x14ac:dyDescent="0.25">
      <c r="A3766" s="169">
        <v>11675</v>
      </c>
      <c r="B3766" s="169" t="s">
        <v>27233</v>
      </c>
      <c r="C3766" s="169" t="s">
        <v>10225</v>
      </c>
      <c r="D3766" s="169" t="s">
        <v>1289</v>
      </c>
      <c r="E3766" s="103" t="s">
        <v>31112</v>
      </c>
      <c r="F3766" s="104"/>
      <c r="G3766" s="105">
        <f t="shared" si="232"/>
        <v>31.6</v>
      </c>
      <c r="H3766" s="101" t="str">
        <f t="shared" si="233"/>
        <v>Sinapi 11675</v>
      </c>
      <c r="I3766" s="101" t="str">
        <f t="shared" si="234"/>
        <v>UN</v>
      </c>
      <c r="J3766" s="140" t="str">
        <f t="shared" si="235"/>
        <v>REGISTRO DE ESFERA, PVC, COM VOLANTE, VS, SOLDAVEL, DN 32 MM, COM CORPO DIVIDIDO</v>
      </c>
    </row>
    <row r="3767" spans="1:10" x14ac:dyDescent="0.25">
      <c r="A3767" s="169">
        <v>11676</v>
      </c>
      <c r="B3767" s="169" t="s">
        <v>27234</v>
      </c>
      <c r="C3767" s="169" t="s">
        <v>10225</v>
      </c>
      <c r="D3767" s="169" t="s">
        <v>1289</v>
      </c>
      <c r="E3767" s="103" t="s">
        <v>24497</v>
      </c>
      <c r="F3767" s="104"/>
      <c r="G3767" s="105">
        <f t="shared" si="232"/>
        <v>42.27</v>
      </c>
      <c r="H3767" s="101" t="str">
        <f t="shared" si="233"/>
        <v>Sinapi 11676</v>
      </c>
      <c r="I3767" s="101" t="str">
        <f t="shared" si="234"/>
        <v>UN</v>
      </c>
      <c r="J3767" s="140" t="str">
        <f t="shared" si="235"/>
        <v>REGISTRO DE ESFERA, PVC, COM VOLANTE, VS, SOLDAVEL, DN 40 MM, COM CORPO DIVIDIDO</v>
      </c>
    </row>
    <row r="3768" spans="1:10" x14ac:dyDescent="0.25">
      <c r="A3768" s="169">
        <v>11677</v>
      </c>
      <c r="B3768" s="169" t="s">
        <v>27235</v>
      </c>
      <c r="C3768" s="169" t="s">
        <v>10225</v>
      </c>
      <c r="D3768" s="169" t="s">
        <v>1289</v>
      </c>
      <c r="E3768" s="103" t="s">
        <v>29035</v>
      </c>
      <c r="F3768" s="104"/>
      <c r="G3768" s="105">
        <f t="shared" si="232"/>
        <v>43.65</v>
      </c>
      <c r="H3768" s="101" t="str">
        <f t="shared" si="233"/>
        <v>Sinapi 11677</v>
      </c>
      <c r="I3768" s="101" t="str">
        <f t="shared" si="234"/>
        <v>UN</v>
      </c>
      <c r="J3768" s="140" t="str">
        <f t="shared" si="235"/>
        <v>REGISTRO DE ESFERA, PVC, COM VOLANTE, VS, SOLDAVEL, DN 50 MM, COM CORPO DIVIDIDO</v>
      </c>
    </row>
    <row r="3769" spans="1:10" x14ac:dyDescent="0.25">
      <c r="A3769" s="169">
        <v>11678</v>
      </c>
      <c r="B3769" s="169" t="s">
        <v>27236</v>
      </c>
      <c r="C3769" s="169" t="s">
        <v>10225</v>
      </c>
      <c r="D3769" s="169" t="s">
        <v>1289</v>
      </c>
      <c r="E3769" s="103" t="s">
        <v>31113</v>
      </c>
      <c r="F3769" s="104"/>
      <c r="G3769" s="105">
        <f t="shared" si="232"/>
        <v>79.95</v>
      </c>
      <c r="H3769" s="101" t="str">
        <f t="shared" si="233"/>
        <v>Sinapi 11678</v>
      </c>
      <c r="I3769" s="101" t="str">
        <f t="shared" si="234"/>
        <v>UN</v>
      </c>
      <c r="J3769" s="140" t="str">
        <f t="shared" si="235"/>
        <v>REGISTRO DE ESFERA, PVC, COM VOLANTE, VS, SOLDAVEL, DN 60 MM, COM CORPO DIVIDIDO</v>
      </c>
    </row>
    <row r="3770" spans="1:10" x14ac:dyDescent="0.25">
      <c r="A3770" s="169">
        <v>6038</v>
      </c>
      <c r="B3770" s="169" t="s">
        <v>27237</v>
      </c>
      <c r="C3770" s="169" t="s">
        <v>10225</v>
      </c>
      <c r="D3770" s="169" t="s">
        <v>1289</v>
      </c>
      <c r="E3770" s="103" t="s">
        <v>7426</v>
      </c>
      <c r="F3770" s="104"/>
      <c r="G3770" s="105">
        <f t="shared" si="232"/>
        <v>5.07</v>
      </c>
      <c r="H3770" s="101" t="str">
        <f t="shared" si="233"/>
        <v>Sinapi 6038</v>
      </c>
      <c r="I3770" s="101" t="str">
        <f t="shared" si="234"/>
        <v>UN</v>
      </c>
      <c r="J3770" s="140" t="str">
        <f t="shared" si="235"/>
        <v>REGISTRO DE PRESSAO PVC, ROSCAVEL, VOLANTE SIMPLES, DE 1/2"</v>
      </c>
    </row>
    <row r="3771" spans="1:10" x14ac:dyDescent="0.25">
      <c r="A3771" s="169">
        <v>11718</v>
      </c>
      <c r="B3771" s="169" t="s">
        <v>27238</v>
      </c>
      <c r="C3771" s="169" t="s">
        <v>10225</v>
      </c>
      <c r="D3771" s="169" t="s">
        <v>1289</v>
      </c>
      <c r="E3771" s="103" t="s">
        <v>19895</v>
      </c>
      <c r="F3771" s="104"/>
      <c r="G3771" s="105">
        <f t="shared" si="232"/>
        <v>14.46</v>
      </c>
      <c r="H3771" s="101" t="str">
        <f t="shared" si="233"/>
        <v>Sinapi 11718</v>
      </c>
      <c r="I3771" s="101" t="str">
        <f t="shared" si="234"/>
        <v>UN</v>
      </c>
      <c r="J3771" s="140" t="str">
        <f t="shared" si="235"/>
        <v>REGISTRO DE PRESSAO PVC, ROSCAVEL, VOLANTE SIMPLES, DE 3/4"</v>
      </c>
    </row>
    <row r="3772" spans="1:10" x14ac:dyDescent="0.25">
      <c r="A3772" s="169">
        <v>6037</v>
      </c>
      <c r="B3772" s="169" t="s">
        <v>27239</v>
      </c>
      <c r="C3772" s="169" t="s">
        <v>10225</v>
      </c>
      <c r="D3772" s="169" t="s">
        <v>1289</v>
      </c>
      <c r="E3772" s="103" t="s">
        <v>23163</v>
      </c>
      <c r="F3772" s="104"/>
      <c r="G3772" s="105">
        <f t="shared" si="232"/>
        <v>10.55</v>
      </c>
      <c r="H3772" s="101" t="str">
        <f t="shared" si="233"/>
        <v>Sinapi 6037</v>
      </c>
      <c r="I3772" s="101" t="str">
        <f t="shared" si="234"/>
        <v>UN</v>
      </c>
      <c r="J3772" s="140" t="str">
        <f t="shared" si="235"/>
        <v>REGISTRO DE PRESSAO PVC, SOLDAVEL, VOLANTE SIMPLES, DE 20 MM</v>
      </c>
    </row>
    <row r="3773" spans="1:10" x14ac:dyDescent="0.25">
      <c r="A3773" s="169">
        <v>11719</v>
      </c>
      <c r="B3773" s="169" t="s">
        <v>27240</v>
      </c>
      <c r="C3773" s="169" t="s">
        <v>10225</v>
      </c>
      <c r="D3773" s="169" t="s">
        <v>1289</v>
      </c>
      <c r="E3773" s="103" t="s">
        <v>14950</v>
      </c>
      <c r="F3773" s="104"/>
      <c r="G3773" s="105">
        <f t="shared" si="232"/>
        <v>11.73</v>
      </c>
      <c r="H3773" s="101" t="str">
        <f t="shared" si="233"/>
        <v>Sinapi 11719</v>
      </c>
      <c r="I3773" s="101" t="str">
        <f t="shared" si="234"/>
        <v>UN</v>
      </c>
      <c r="J3773" s="140" t="str">
        <f t="shared" si="235"/>
        <v>REGISTRO DE PRESSAO PVC, SOLDAVEL, VOLANTE SIMPLES, DE 25 MM</v>
      </c>
    </row>
    <row r="3774" spans="1:10" x14ac:dyDescent="0.25">
      <c r="A3774" s="169">
        <v>6019</v>
      </c>
      <c r="B3774" s="169" t="s">
        <v>27241</v>
      </c>
      <c r="C3774" s="169" t="s">
        <v>10225</v>
      </c>
      <c r="D3774" s="169" t="s">
        <v>1289</v>
      </c>
      <c r="E3774" s="103" t="s">
        <v>22791</v>
      </c>
      <c r="F3774" s="104"/>
      <c r="G3774" s="105">
        <f t="shared" si="232"/>
        <v>34.81</v>
      </c>
      <c r="H3774" s="101" t="str">
        <f t="shared" si="233"/>
        <v>Sinapi 6019</v>
      </c>
      <c r="I3774" s="101" t="str">
        <f t="shared" si="234"/>
        <v>UN</v>
      </c>
      <c r="J3774" s="140" t="str">
        <f t="shared" si="235"/>
        <v>REGISTRO GAVETA BRUTO EM LATAO FORJADO, BITOLA 1 " (REF 1509)</v>
      </c>
    </row>
    <row r="3775" spans="1:10" x14ac:dyDescent="0.25">
      <c r="A3775" s="169">
        <v>6010</v>
      </c>
      <c r="B3775" s="169" t="s">
        <v>27243</v>
      </c>
      <c r="C3775" s="169" t="s">
        <v>10225</v>
      </c>
      <c r="D3775" s="169" t="s">
        <v>1289</v>
      </c>
      <c r="E3775" s="103" t="s">
        <v>22930</v>
      </c>
      <c r="F3775" s="104"/>
      <c r="G3775" s="105">
        <f t="shared" si="232"/>
        <v>59.9</v>
      </c>
      <c r="H3775" s="101" t="str">
        <f t="shared" si="233"/>
        <v>Sinapi 6010</v>
      </c>
      <c r="I3775" s="101" t="str">
        <f t="shared" si="234"/>
        <v>UN</v>
      </c>
      <c r="J3775" s="140" t="str">
        <f t="shared" si="235"/>
        <v>REGISTRO GAVETA BRUTO EM LATAO FORJADO, BITOLA 1 1/2 " (REF 1509)</v>
      </c>
    </row>
    <row r="3776" spans="1:10" x14ac:dyDescent="0.25">
      <c r="A3776" s="169">
        <v>6017</v>
      </c>
      <c r="B3776" s="169" t="s">
        <v>27245</v>
      </c>
      <c r="C3776" s="169" t="s">
        <v>10225</v>
      </c>
      <c r="D3776" s="169" t="s">
        <v>1289</v>
      </c>
      <c r="E3776" s="103" t="s">
        <v>23062</v>
      </c>
      <c r="F3776" s="104"/>
      <c r="G3776" s="105">
        <f t="shared" si="232"/>
        <v>47.45</v>
      </c>
      <c r="H3776" s="101" t="str">
        <f t="shared" si="233"/>
        <v>Sinapi 6017</v>
      </c>
      <c r="I3776" s="101" t="str">
        <f t="shared" si="234"/>
        <v>UN</v>
      </c>
      <c r="J3776" s="140" t="str">
        <f t="shared" si="235"/>
        <v>REGISTRO GAVETA BRUTO EM LATAO FORJADO, BITOLA 1 1/4 " (REF 1509)</v>
      </c>
    </row>
    <row r="3777" spans="1:10" x14ac:dyDescent="0.25">
      <c r="A3777" s="169">
        <v>6020</v>
      </c>
      <c r="B3777" s="169" t="s">
        <v>27246</v>
      </c>
      <c r="C3777" s="169" t="s">
        <v>10225</v>
      </c>
      <c r="D3777" s="169" t="s">
        <v>1289</v>
      </c>
      <c r="E3777" s="103" t="s">
        <v>21048</v>
      </c>
      <c r="F3777" s="104"/>
      <c r="G3777" s="105">
        <f t="shared" si="232"/>
        <v>20.91</v>
      </c>
      <c r="H3777" s="101" t="str">
        <f t="shared" si="233"/>
        <v>Sinapi 6020</v>
      </c>
      <c r="I3777" s="101" t="str">
        <f t="shared" si="234"/>
        <v>UN</v>
      </c>
      <c r="J3777" s="140" t="str">
        <f t="shared" si="235"/>
        <v>REGISTRO GAVETA BRUTO EM LATAO FORJADO, BITOLA 1/2 " (REF 1509)</v>
      </c>
    </row>
    <row r="3778" spans="1:10" x14ac:dyDescent="0.25">
      <c r="A3778" s="169">
        <v>6028</v>
      </c>
      <c r="B3778" s="169" t="s">
        <v>27248</v>
      </c>
      <c r="C3778" s="169" t="s">
        <v>10225</v>
      </c>
      <c r="D3778" s="169" t="s">
        <v>1289</v>
      </c>
      <c r="E3778" s="103" t="s">
        <v>31114</v>
      </c>
      <c r="F3778" s="104"/>
      <c r="G3778" s="105">
        <f t="shared" si="232"/>
        <v>83.44</v>
      </c>
      <c r="H3778" s="101" t="str">
        <f t="shared" si="233"/>
        <v>Sinapi 6028</v>
      </c>
      <c r="I3778" s="101" t="str">
        <f t="shared" si="234"/>
        <v>UN</v>
      </c>
      <c r="J3778" s="140" t="str">
        <f t="shared" si="235"/>
        <v>REGISTRO GAVETA BRUTO EM LATAO FORJADO, BITOLA 2 " (REF 1509)</v>
      </c>
    </row>
    <row r="3779" spans="1:10" x14ac:dyDescent="0.25">
      <c r="A3779" s="169">
        <v>6011</v>
      </c>
      <c r="B3779" s="169" t="s">
        <v>27249</v>
      </c>
      <c r="C3779" s="169" t="s">
        <v>10225</v>
      </c>
      <c r="D3779" s="169" t="s">
        <v>1289</v>
      </c>
      <c r="E3779" s="103" t="s">
        <v>31115</v>
      </c>
      <c r="F3779" s="104"/>
      <c r="G3779" s="105">
        <f t="shared" si="232"/>
        <v>173.04</v>
      </c>
      <c r="H3779" s="101" t="str">
        <f t="shared" si="233"/>
        <v>Sinapi 6011</v>
      </c>
      <c r="I3779" s="101" t="str">
        <f t="shared" si="234"/>
        <v>UN</v>
      </c>
      <c r="J3779" s="140" t="str">
        <f t="shared" si="235"/>
        <v>REGISTRO GAVETA BRUTO EM LATAO FORJADO, BITOLA 2 1/2 " (REF 1509)</v>
      </c>
    </row>
    <row r="3780" spans="1:10" x14ac:dyDescent="0.25">
      <c r="A3780" s="169">
        <v>6012</v>
      </c>
      <c r="B3780" s="169" t="s">
        <v>27250</v>
      </c>
      <c r="C3780" s="169" t="s">
        <v>10225</v>
      </c>
      <c r="D3780" s="169" t="s">
        <v>1289</v>
      </c>
      <c r="E3780" s="103" t="s">
        <v>24276</v>
      </c>
      <c r="F3780" s="104"/>
      <c r="G3780" s="105">
        <f t="shared" si="232"/>
        <v>209.5</v>
      </c>
      <c r="H3780" s="101" t="str">
        <f t="shared" si="233"/>
        <v>Sinapi 6012</v>
      </c>
      <c r="I3780" s="101" t="str">
        <f t="shared" si="234"/>
        <v>UN</v>
      </c>
      <c r="J3780" s="140" t="str">
        <f t="shared" si="235"/>
        <v>REGISTRO GAVETA BRUTO EM LATAO FORJADO, BITOLA 3 " (REF 1509)</v>
      </c>
    </row>
    <row r="3781" spans="1:10" x14ac:dyDescent="0.25">
      <c r="A3781" s="169">
        <v>6016</v>
      </c>
      <c r="B3781" s="169" t="s">
        <v>27251</v>
      </c>
      <c r="C3781" s="169" t="s">
        <v>10225</v>
      </c>
      <c r="D3781" s="169" t="s">
        <v>1289</v>
      </c>
      <c r="E3781" s="103" t="s">
        <v>16296</v>
      </c>
      <c r="F3781" s="104"/>
      <c r="G3781" s="105">
        <f t="shared" si="232"/>
        <v>22.05</v>
      </c>
      <c r="H3781" s="101" t="str">
        <f t="shared" si="233"/>
        <v>Sinapi 6016</v>
      </c>
      <c r="I3781" s="101" t="str">
        <f t="shared" si="234"/>
        <v>UN</v>
      </c>
      <c r="J3781" s="140" t="str">
        <f t="shared" si="235"/>
        <v>REGISTRO GAVETA BRUTO EM LATAO FORJADO, BITOLA 3/4 " (REF 1509)</v>
      </c>
    </row>
    <row r="3782" spans="1:10" x14ac:dyDescent="0.25">
      <c r="A3782" s="169">
        <v>6027</v>
      </c>
      <c r="B3782" s="169" t="s">
        <v>27252</v>
      </c>
      <c r="C3782" s="169" t="s">
        <v>10225</v>
      </c>
      <c r="D3782" s="169" t="s">
        <v>1289</v>
      </c>
      <c r="E3782" s="103" t="s">
        <v>31116</v>
      </c>
      <c r="F3782" s="104"/>
      <c r="G3782" s="105">
        <f t="shared" si="232"/>
        <v>436.52</v>
      </c>
      <c r="H3782" s="101" t="str">
        <f t="shared" si="233"/>
        <v>Sinapi 6027</v>
      </c>
      <c r="I3782" s="101" t="str">
        <f t="shared" si="234"/>
        <v>UN</v>
      </c>
      <c r="J3782" s="140" t="str">
        <f t="shared" si="235"/>
        <v>REGISTRO GAVETA BRUTO EM LATAO FORJADO, BITOLA 4 " (REF 1509)</v>
      </c>
    </row>
    <row r="3783" spans="1:10" x14ac:dyDescent="0.25">
      <c r="A3783" s="169">
        <v>6013</v>
      </c>
      <c r="B3783" s="169" t="s">
        <v>27253</v>
      </c>
      <c r="C3783" s="169" t="s">
        <v>10225</v>
      </c>
      <c r="D3783" s="169" t="s">
        <v>1289</v>
      </c>
      <c r="E3783" s="103" t="s">
        <v>29108</v>
      </c>
      <c r="F3783" s="104"/>
      <c r="G3783" s="105">
        <f t="shared" si="232"/>
        <v>65.87</v>
      </c>
      <c r="H3783" s="101" t="str">
        <f t="shared" si="233"/>
        <v>Sinapi 6013</v>
      </c>
      <c r="I3783" s="101" t="str">
        <f t="shared" si="234"/>
        <v>UN</v>
      </c>
      <c r="J3783" s="140" t="str">
        <f t="shared" si="235"/>
        <v>REGISTRO GAVETA COM ACABAMENTO E CANOPLA CROMADOS, SIMPLES, BITOLA 1 " (REF 1509)</v>
      </c>
    </row>
    <row r="3784" spans="1:10" x14ac:dyDescent="0.25">
      <c r="A3784" s="169">
        <v>6015</v>
      </c>
      <c r="B3784" s="169" t="s">
        <v>27254</v>
      </c>
      <c r="C3784" s="169" t="s">
        <v>10225</v>
      </c>
      <c r="D3784" s="169" t="s">
        <v>1289</v>
      </c>
      <c r="E3784" s="103" t="s">
        <v>23193</v>
      </c>
      <c r="F3784" s="104"/>
      <c r="G3784" s="105">
        <f t="shared" ref="G3784:G3847" si="236">IF(E3784="","",E3784+0)</f>
        <v>95.79</v>
      </c>
      <c r="H3784" s="101" t="str">
        <f t="shared" ref="H3784:H3847" si="237">IF(G3784="","",TRIM(CONCATENATE("Sinapi ",A3784)))</f>
        <v>Sinapi 6015</v>
      </c>
      <c r="I3784" s="101" t="str">
        <f t="shared" ref="I3784:I3847" si="238">TRIM(C3784)</f>
        <v>UN</v>
      </c>
      <c r="J3784" s="140" t="str">
        <f t="shared" si="235"/>
        <v>REGISTRO GAVETA COM ACABAMENTO E CANOPLA CROMADOS, SIMPLES, BITOLA 1 1/2 " (REF 1509)</v>
      </c>
    </row>
    <row r="3785" spans="1:10" x14ac:dyDescent="0.25">
      <c r="A3785" s="169">
        <v>6014</v>
      </c>
      <c r="B3785" s="169" t="s">
        <v>27255</v>
      </c>
      <c r="C3785" s="169" t="s">
        <v>10225</v>
      </c>
      <c r="D3785" s="169" t="s">
        <v>1289</v>
      </c>
      <c r="E3785" s="103" t="s">
        <v>31117</v>
      </c>
      <c r="F3785" s="104"/>
      <c r="G3785" s="105">
        <f t="shared" si="236"/>
        <v>91.58</v>
      </c>
      <c r="H3785" s="101" t="str">
        <f t="shared" si="237"/>
        <v>Sinapi 6014</v>
      </c>
      <c r="I3785" s="101" t="str">
        <f t="shared" si="238"/>
        <v>UN</v>
      </c>
      <c r="J3785" s="140" t="str">
        <f t="shared" ref="J3785:J3848" si="239">TRIM(B3785)</f>
        <v>REGISTRO GAVETA COM ACABAMENTO E CANOPLA CROMADOS, SIMPLES, BITOLA 1 1/4 " (REF 1509)</v>
      </c>
    </row>
    <row r="3786" spans="1:10" x14ac:dyDescent="0.25">
      <c r="A3786" s="169">
        <v>6006</v>
      </c>
      <c r="B3786" s="169" t="s">
        <v>27256</v>
      </c>
      <c r="C3786" s="169" t="s">
        <v>10225</v>
      </c>
      <c r="D3786" s="169" t="s">
        <v>1289</v>
      </c>
      <c r="E3786" s="103" t="s">
        <v>28517</v>
      </c>
      <c r="F3786" s="104"/>
      <c r="G3786" s="105">
        <f t="shared" si="236"/>
        <v>47.7</v>
      </c>
      <c r="H3786" s="101" t="str">
        <f t="shared" si="237"/>
        <v>Sinapi 6006</v>
      </c>
      <c r="I3786" s="101" t="str">
        <f t="shared" si="238"/>
        <v>UN</v>
      </c>
      <c r="J3786" s="140" t="str">
        <f t="shared" si="239"/>
        <v>REGISTRO GAVETA COM ACABAMENTO E CANOPLA CROMADOS, SIMPLES, BITOLA 1/2 " (REF 1509)</v>
      </c>
    </row>
    <row r="3787" spans="1:10" x14ac:dyDescent="0.25">
      <c r="A3787" s="169">
        <v>6005</v>
      </c>
      <c r="B3787" s="169" t="s">
        <v>27258</v>
      </c>
      <c r="C3787" s="169" t="s">
        <v>10225</v>
      </c>
      <c r="D3787" s="169" t="s">
        <v>1288</v>
      </c>
      <c r="E3787" s="103" t="s">
        <v>31118</v>
      </c>
      <c r="F3787" s="104"/>
      <c r="G3787" s="105">
        <f t="shared" si="236"/>
        <v>53.81</v>
      </c>
      <c r="H3787" s="101" t="str">
        <f t="shared" si="237"/>
        <v>Sinapi 6005</v>
      </c>
      <c r="I3787" s="101" t="str">
        <f t="shared" si="238"/>
        <v>UN</v>
      </c>
      <c r="J3787" s="140" t="str">
        <f t="shared" si="239"/>
        <v>REGISTRO GAVETA COM ACABAMENTO E CANOPLA CROMADOS, SIMPLES, BITOLA 3/4 " (REF 1509)</v>
      </c>
    </row>
    <row r="3788" spans="1:10" x14ac:dyDescent="0.25">
      <c r="A3788" s="169">
        <v>11756</v>
      </c>
      <c r="B3788" s="169" t="s">
        <v>27259</v>
      </c>
      <c r="C3788" s="169" t="s">
        <v>10225</v>
      </c>
      <c r="D3788" s="169" t="s">
        <v>1289</v>
      </c>
      <c r="E3788" s="103" t="s">
        <v>31119</v>
      </c>
      <c r="F3788" s="104"/>
      <c r="G3788" s="105">
        <f t="shared" si="236"/>
        <v>25.7</v>
      </c>
      <c r="H3788" s="101" t="str">
        <f t="shared" si="237"/>
        <v>Sinapi 11756</v>
      </c>
      <c r="I3788" s="101" t="str">
        <f t="shared" si="238"/>
        <v>UN</v>
      </c>
      <c r="J3788" s="140" t="str">
        <f t="shared" si="239"/>
        <v>REGISTRO OU REGULADOR DE GAS COZINHA, VAZAO DE 2 KG/H, 2,8 KPA</v>
      </c>
    </row>
    <row r="3789" spans="1:10" x14ac:dyDescent="0.25">
      <c r="A3789" s="169">
        <v>10904</v>
      </c>
      <c r="B3789" s="169" t="s">
        <v>27260</v>
      </c>
      <c r="C3789" s="169" t="s">
        <v>10225</v>
      </c>
      <c r="D3789" s="169" t="s">
        <v>1288</v>
      </c>
      <c r="E3789" s="103" t="s">
        <v>27544</v>
      </c>
      <c r="F3789" s="104"/>
      <c r="G3789" s="105">
        <f t="shared" si="236"/>
        <v>156.4</v>
      </c>
      <c r="H3789" s="101" t="str">
        <f t="shared" si="237"/>
        <v>Sinapi 10904</v>
      </c>
      <c r="I3789" s="101" t="str">
        <f t="shared" si="238"/>
        <v>UN</v>
      </c>
      <c r="J3789" s="140" t="str">
        <f t="shared" si="239"/>
        <v>REGISTRO OU VALVULA GLOBO ANGULAR EM LATAO, PARA HIDRANTES EM INSTALACAO PREDIAL DE INCENDIO, 45 GRAUS, DIAMETRO DE 2 1/2", COM VOLANTE, CLASSE DE PRESSAO DE ATE 200 PSI</v>
      </c>
    </row>
    <row r="3790" spans="1:10" x14ac:dyDescent="0.25">
      <c r="A3790" s="169">
        <v>11752</v>
      </c>
      <c r="B3790" s="169" t="s">
        <v>27261</v>
      </c>
      <c r="C3790" s="169" t="s">
        <v>10225</v>
      </c>
      <c r="D3790" s="169" t="s">
        <v>1289</v>
      </c>
      <c r="E3790" s="103" t="s">
        <v>19960</v>
      </c>
      <c r="F3790" s="104"/>
      <c r="G3790" s="105">
        <f t="shared" si="236"/>
        <v>14.82</v>
      </c>
      <c r="H3790" s="101" t="str">
        <f t="shared" si="237"/>
        <v>Sinapi 11752</v>
      </c>
      <c r="I3790" s="101" t="str">
        <f t="shared" si="238"/>
        <v>UN</v>
      </c>
      <c r="J3790" s="140" t="str">
        <f t="shared" si="239"/>
        <v>REGISTRO PRESSAO BRUTO EM LATAO FORJADO, BITOLA 1/2 " (REF 1400)</v>
      </c>
    </row>
    <row r="3791" spans="1:10" x14ac:dyDescent="0.25">
      <c r="A3791" s="169">
        <v>11753</v>
      </c>
      <c r="B3791" s="169" t="s">
        <v>27262</v>
      </c>
      <c r="C3791" s="169" t="s">
        <v>10225</v>
      </c>
      <c r="D3791" s="169" t="s">
        <v>1289</v>
      </c>
      <c r="E3791" s="103" t="s">
        <v>19874</v>
      </c>
      <c r="F3791" s="104"/>
      <c r="G3791" s="105">
        <f t="shared" si="236"/>
        <v>17.690000000000001</v>
      </c>
      <c r="H3791" s="101" t="str">
        <f t="shared" si="237"/>
        <v>Sinapi 11753</v>
      </c>
      <c r="I3791" s="101" t="str">
        <f t="shared" si="238"/>
        <v>UN</v>
      </c>
      <c r="J3791" s="140" t="str">
        <f t="shared" si="239"/>
        <v>REGISTRO PRESSAO BRUTO EM LATAO FORJADO, BITOLA 3/4 " (REF 1400)</v>
      </c>
    </row>
    <row r="3792" spans="1:10" x14ac:dyDescent="0.25">
      <c r="A3792" s="169">
        <v>6021</v>
      </c>
      <c r="B3792" s="169" t="s">
        <v>27263</v>
      </c>
      <c r="C3792" s="169" t="s">
        <v>10225</v>
      </c>
      <c r="D3792" s="169" t="s">
        <v>1289</v>
      </c>
      <c r="E3792" s="103" t="s">
        <v>28551</v>
      </c>
      <c r="F3792" s="104"/>
      <c r="G3792" s="105">
        <f t="shared" si="236"/>
        <v>49.09</v>
      </c>
      <c r="H3792" s="101" t="str">
        <f t="shared" si="237"/>
        <v>Sinapi 6021</v>
      </c>
      <c r="I3792" s="101" t="str">
        <f t="shared" si="238"/>
        <v>UN</v>
      </c>
      <c r="J3792" s="140" t="str">
        <f t="shared" si="239"/>
        <v>REGISTRO PRESSAO COM ACABAMENTO E CANOPLA CROMADA, SIMPLES, BITOLA 1/2 " (REF 1416)</v>
      </c>
    </row>
    <row r="3793" spans="1:10" x14ac:dyDescent="0.25">
      <c r="A3793" s="169">
        <v>6024</v>
      </c>
      <c r="B3793" s="169" t="s">
        <v>27264</v>
      </c>
      <c r="C3793" s="169" t="s">
        <v>10225</v>
      </c>
      <c r="D3793" s="169" t="s">
        <v>1289</v>
      </c>
      <c r="E3793" s="103" t="s">
        <v>31120</v>
      </c>
      <c r="F3793" s="104"/>
      <c r="G3793" s="105">
        <f t="shared" si="236"/>
        <v>50.75</v>
      </c>
      <c r="H3793" s="101" t="str">
        <f t="shared" si="237"/>
        <v>Sinapi 6024</v>
      </c>
      <c r="I3793" s="101" t="str">
        <f t="shared" si="238"/>
        <v>UN</v>
      </c>
      <c r="J3793" s="140" t="str">
        <f t="shared" si="239"/>
        <v>REGISTRO PRESSAO COM ACABAMENTO E CANOPLA CROMADA, SIMPLES, BITOLA 3/4 " (REF 1416)</v>
      </c>
    </row>
    <row r="3794" spans="1:10" x14ac:dyDescent="0.25">
      <c r="A3794" s="169">
        <v>38379</v>
      </c>
      <c r="B3794" s="169" t="s">
        <v>27265</v>
      </c>
      <c r="C3794" s="169" t="s">
        <v>10229</v>
      </c>
      <c r="D3794" s="169" t="s">
        <v>1289</v>
      </c>
      <c r="E3794" s="103" t="s">
        <v>29448</v>
      </c>
      <c r="F3794" s="104"/>
      <c r="G3794" s="105">
        <f t="shared" si="236"/>
        <v>73.41</v>
      </c>
      <c r="H3794" s="101" t="str">
        <f t="shared" si="237"/>
        <v>Sinapi 38379</v>
      </c>
      <c r="I3794" s="101" t="str">
        <f t="shared" si="238"/>
        <v>M</v>
      </c>
      <c r="J3794" s="140" t="str">
        <f t="shared" si="239"/>
        <v>REGUA DE ALUMINIO PARA PEDREIRO 2 X 1 "</v>
      </c>
    </row>
    <row r="3795" spans="1:10" x14ac:dyDescent="0.25">
      <c r="A3795" s="169">
        <v>13897</v>
      </c>
      <c r="B3795" s="169" t="s">
        <v>27266</v>
      </c>
      <c r="C3795" s="169" t="s">
        <v>10225</v>
      </c>
      <c r="D3795" s="169" t="s">
        <v>1290</v>
      </c>
      <c r="E3795" s="103" t="s">
        <v>31121</v>
      </c>
      <c r="F3795" s="104"/>
      <c r="G3795" s="105">
        <f t="shared" si="236"/>
        <v>6038.89</v>
      </c>
      <c r="H3795" s="101" t="str">
        <f t="shared" si="237"/>
        <v>Sinapi 13897</v>
      </c>
      <c r="I3795" s="101" t="str">
        <f t="shared" si="238"/>
        <v>UN</v>
      </c>
      <c r="J3795" s="140" t="str">
        <f t="shared" si="239"/>
        <v>REGUA VIBRADORA DUPLA PARA CONCRETO A GASOLINA 5,5 HP, PESO DE 60 KG, COMPRIMENTO 4 M</v>
      </c>
    </row>
    <row r="3796" spans="1:10" x14ac:dyDescent="0.25">
      <c r="A3796" s="169">
        <v>10640</v>
      </c>
      <c r="B3796" s="169" t="s">
        <v>27267</v>
      </c>
      <c r="C3796" s="169" t="s">
        <v>10225</v>
      </c>
      <c r="D3796" s="169" t="s">
        <v>1290</v>
      </c>
      <c r="E3796" s="103" t="s">
        <v>31122</v>
      </c>
      <c r="F3796" s="104"/>
      <c r="G3796" s="105">
        <f t="shared" si="236"/>
        <v>13078.97</v>
      </c>
      <c r="H3796" s="101" t="str">
        <f t="shared" si="237"/>
        <v>Sinapi 10640</v>
      </c>
      <c r="I3796" s="101" t="str">
        <f t="shared" si="238"/>
        <v>UN</v>
      </c>
      <c r="J3796" s="140" t="str">
        <f t="shared" si="239"/>
        <v>REGUA VIBRATORIA DE CONCRETO TRELICADA, EQUIPADA COM MOTOR A GASOLINA DE 9 HP</v>
      </c>
    </row>
    <row r="3797" spans="1:10" x14ac:dyDescent="0.25">
      <c r="A3797" s="169">
        <v>34357</v>
      </c>
      <c r="B3797" s="169" t="s">
        <v>27268</v>
      </c>
      <c r="C3797" s="169" t="s">
        <v>10231</v>
      </c>
      <c r="D3797" s="169" t="s">
        <v>1289</v>
      </c>
      <c r="E3797" s="103" t="s">
        <v>20120</v>
      </c>
      <c r="F3797" s="104"/>
      <c r="G3797" s="105">
        <f t="shared" si="236"/>
        <v>6.92</v>
      </c>
      <c r="H3797" s="101" t="str">
        <f t="shared" si="237"/>
        <v>Sinapi 34357</v>
      </c>
      <c r="I3797" s="101" t="str">
        <f t="shared" si="238"/>
        <v>KG</v>
      </c>
      <c r="J3797" s="140" t="str">
        <f t="shared" si="239"/>
        <v>REJUNTE CIMENTICIO, QUALQUER COR</v>
      </c>
    </row>
    <row r="3798" spans="1:10" x14ac:dyDescent="0.25">
      <c r="A3798" s="169">
        <v>37329</v>
      </c>
      <c r="B3798" s="169" t="s">
        <v>10395</v>
      </c>
      <c r="C3798" s="169" t="s">
        <v>10231</v>
      </c>
      <c r="D3798" s="169" t="s">
        <v>1289</v>
      </c>
      <c r="E3798" s="103" t="s">
        <v>21368</v>
      </c>
      <c r="F3798" s="104"/>
      <c r="G3798" s="105">
        <f t="shared" si="236"/>
        <v>145.93</v>
      </c>
      <c r="H3798" s="101" t="str">
        <f t="shared" si="237"/>
        <v>Sinapi 37329</v>
      </c>
      <c r="I3798" s="101" t="str">
        <f t="shared" si="238"/>
        <v>KG</v>
      </c>
      <c r="J3798" s="140" t="str">
        <f t="shared" si="239"/>
        <v>REJUNTE EPOXI, QUALQUER COR</v>
      </c>
    </row>
    <row r="3799" spans="1:10" x14ac:dyDescent="0.25">
      <c r="A3799" s="169">
        <v>2510</v>
      </c>
      <c r="B3799" s="169" t="s">
        <v>27269</v>
      </c>
      <c r="C3799" s="169" t="s">
        <v>10225</v>
      </c>
      <c r="D3799" s="169" t="s">
        <v>1290</v>
      </c>
      <c r="E3799" s="103" t="s">
        <v>20347</v>
      </c>
      <c r="F3799" s="104"/>
      <c r="G3799" s="105">
        <f t="shared" si="236"/>
        <v>37.33</v>
      </c>
      <c r="H3799" s="101" t="str">
        <f t="shared" si="237"/>
        <v>Sinapi 2510</v>
      </c>
      <c r="I3799" s="101" t="str">
        <f t="shared" si="238"/>
        <v>UN</v>
      </c>
      <c r="J3799" s="140" t="str">
        <f t="shared" si="239"/>
        <v>RELE FOTOELETRICO INTERNO E EXTERNO BIVOLT 1000 W, DE CONECTOR, SEM BASE</v>
      </c>
    </row>
    <row r="3800" spans="1:10" x14ac:dyDescent="0.25">
      <c r="A3800" s="169">
        <v>12359</v>
      </c>
      <c r="B3800" s="169" t="s">
        <v>27270</v>
      </c>
      <c r="C3800" s="169" t="s">
        <v>10225</v>
      </c>
      <c r="D3800" s="169" t="s">
        <v>1290</v>
      </c>
      <c r="E3800" s="103" t="s">
        <v>31123</v>
      </c>
      <c r="F3800" s="104"/>
      <c r="G3800" s="105">
        <f t="shared" si="236"/>
        <v>164.12</v>
      </c>
      <c r="H3800" s="101" t="str">
        <f t="shared" si="237"/>
        <v>Sinapi 12359</v>
      </c>
      <c r="I3800" s="101" t="str">
        <f t="shared" si="238"/>
        <v>UN</v>
      </c>
      <c r="J3800" s="140" t="str">
        <f t="shared" si="239"/>
        <v>RELE TERMICO BIMETAL PARA USO EM MOTORES TRIFASICOS, TENSAO 380 V, POTENCIA ATE 15 CV, CORRENTE NOMINAL MAXIMA 22 A</v>
      </c>
    </row>
    <row r="3801" spans="1:10" x14ac:dyDescent="0.25">
      <c r="A3801" s="169">
        <v>7353</v>
      </c>
      <c r="B3801" s="169" t="s">
        <v>27271</v>
      </c>
      <c r="C3801" s="169" t="s">
        <v>10230</v>
      </c>
      <c r="D3801" s="169" t="s">
        <v>1289</v>
      </c>
      <c r="E3801" s="103" t="s">
        <v>21329</v>
      </c>
      <c r="F3801" s="104"/>
      <c r="G3801" s="105">
        <f t="shared" si="236"/>
        <v>37.11</v>
      </c>
      <c r="H3801" s="101" t="str">
        <f t="shared" si="237"/>
        <v>Sinapi 7353</v>
      </c>
      <c r="I3801" s="101" t="str">
        <f t="shared" si="238"/>
        <v>L</v>
      </c>
      <c r="J3801" s="140" t="str">
        <f t="shared" si="239"/>
        <v>RESINA ACRILICA PREMIUM BASE AGUA - COR BRANCA</v>
      </c>
    </row>
    <row r="3802" spans="1:10" x14ac:dyDescent="0.25">
      <c r="A3802" s="169">
        <v>36144</v>
      </c>
      <c r="B3802" s="169" t="s">
        <v>27272</v>
      </c>
      <c r="C3802" s="169" t="s">
        <v>10225</v>
      </c>
      <c r="D3802" s="169" t="s">
        <v>1289</v>
      </c>
      <c r="E3802" s="103" t="s">
        <v>3617</v>
      </c>
      <c r="F3802" s="104"/>
      <c r="G3802" s="105">
        <f t="shared" si="236"/>
        <v>1.63</v>
      </c>
      <c r="H3802" s="101" t="str">
        <f t="shared" si="237"/>
        <v>Sinapi 36144</v>
      </c>
      <c r="I3802" s="101" t="str">
        <f t="shared" si="238"/>
        <v>UN</v>
      </c>
      <c r="J3802" s="140" t="str">
        <f t="shared" si="239"/>
        <v>RESPIRADOR DESCARTAVEL SEM VALVULA DE EXALACAO, PFF 1</v>
      </c>
    </row>
    <row r="3803" spans="1:10" x14ac:dyDescent="0.25">
      <c r="A3803" s="169">
        <v>10518</v>
      </c>
      <c r="B3803" s="169" t="s">
        <v>27274</v>
      </c>
      <c r="C3803" s="169" t="s">
        <v>10225</v>
      </c>
      <c r="D3803" s="169" t="s">
        <v>1290</v>
      </c>
      <c r="E3803" s="103" t="s">
        <v>31124</v>
      </c>
      <c r="F3803" s="104"/>
      <c r="G3803" s="105">
        <f t="shared" si="236"/>
        <v>129.04</v>
      </c>
      <c r="H3803" s="101" t="str">
        <f t="shared" si="237"/>
        <v>Sinapi 10518</v>
      </c>
      <c r="I3803" s="101" t="str">
        <f t="shared" si="238"/>
        <v>UN</v>
      </c>
      <c r="J3803" s="140" t="str">
        <f t="shared" si="239"/>
        <v>RETARDO PARA CORDEL DETONANTE</v>
      </c>
    </row>
    <row r="3804" spans="1:10" x14ac:dyDescent="0.25">
      <c r="A3804" s="169">
        <v>36530</v>
      </c>
      <c r="B3804" s="169" t="s">
        <v>27275</v>
      </c>
      <c r="C3804" s="169" t="s">
        <v>10225</v>
      </c>
      <c r="D3804" s="169" t="s">
        <v>1290</v>
      </c>
      <c r="E3804" s="103" t="s">
        <v>31125</v>
      </c>
      <c r="F3804" s="104"/>
      <c r="G3804" s="105">
        <f t="shared" si="236"/>
        <v>368780.48</v>
      </c>
      <c r="H3804" s="101" t="str">
        <f t="shared" si="237"/>
        <v>Sinapi 36530</v>
      </c>
      <c r="I3804" s="101" t="str">
        <f t="shared" si="238"/>
        <v>UN</v>
      </c>
      <c r="J3804" s="140" t="str">
        <f t="shared" si="239"/>
        <v>RETROESCAVADEIRA SOBRE RODAS COM CARREGADEIRA, TRACAO 4 X 2, POTENCIA LIQUIDA 79 HP, PESO OPERACIONAL MINIMO DE 6570 KG, CAPACIDADE DA CARREGADEIRA DE 1,00 M3 E DA RETROESCAVADEIRA MINIMA DE 0,20 M3, PROFUNDIDADE DE ESCAVACAO MAXIMA DE 4,37 M</v>
      </c>
    </row>
    <row r="3805" spans="1:10" x14ac:dyDescent="0.25">
      <c r="A3805" s="169">
        <v>6046</v>
      </c>
      <c r="B3805" s="169" t="s">
        <v>27276</v>
      </c>
      <c r="C3805" s="169" t="s">
        <v>10225</v>
      </c>
      <c r="D3805" s="169" t="s">
        <v>1290</v>
      </c>
      <c r="E3805" s="103" t="s">
        <v>31126</v>
      </c>
      <c r="F3805" s="104"/>
      <c r="G3805" s="105">
        <f t="shared" si="236"/>
        <v>400000</v>
      </c>
      <c r="H3805" s="101" t="str">
        <f t="shared" si="237"/>
        <v>Sinapi 6046</v>
      </c>
      <c r="I3805" s="101" t="str">
        <f t="shared" si="238"/>
        <v>UN</v>
      </c>
      <c r="J3805" s="140" t="str">
        <f t="shared" si="239"/>
        <v>RETROESCAVADEIRA SOBRE RODAS COM CARREGADEIRA, TRACAO 4 X 4, POTENCIA LIQUIDA 72 HP, PESO OPERACIONAL MINIMO DE 7140 KG, CAPACIDADE MINIMA DA CARREGADEIRA DE 0,79 M3 E DA RETROESCAVADEIRA MINIMA DE 0,18 M3, PROFUNDIDADE DE ESCAVACAO MAXIMA DE 4,50 M</v>
      </c>
    </row>
    <row r="3806" spans="1:10" x14ac:dyDescent="0.25">
      <c r="A3806" s="169">
        <v>36531</v>
      </c>
      <c r="B3806" s="169" t="s">
        <v>27277</v>
      </c>
      <c r="C3806" s="169" t="s">
        <v>10225</v>
      </c>
      <c r="D3806" s="169" t="s">
        <v>1290</v>
      </c>
      <c r="E3806" s="103" t="s">
        <v>31127</v>
      </c>
      <c r="F3806" s="104"/>
      <c r="G3806" s="105">
        <f t="shared" si="236"/>
        <v>414634.12</v>
      </c>
      <c r="H3806" s="101" t="str">
        <f t="shared" si="237"/>
        <v>Sinapi 36531</v>
      </c>
      <c r="I3806" s="101" t="str">
        <f t="shared" si="238"/>
        <v>UN</v>
      </c>
      <c r="J3806" s="140" t="str">
        <f t="shared" si="239"/>
        <v>RETROESCAVADEIRA SOBRE RODAS COM CARREGADEIRA, TRACAO 4 X 4, POTENCIA LIQUIDA 88 HP, PESO OPERACIONAL MINIMO DE 6674 KG, CAPACIDADE DA CARREGADEIRA DE 1,00 M3 E DA RETROESCAVADEIRA MINIMA DE 0,26 M3, PROFUNDIDADE DE ESCAVACAO MAXIMA DE 4,37 M</v>
      </c>
    </row>
    <row r="3807" spans="1:10" x14ac:dyDescent="0.25">
      <c r="A3807" s="169">
        <v>34684</v>
      </c>
      <c r="B3807" s="169" t="s">
        <v>27278</v>
      </c>
      <c r="C3807" s="169" t="s">
        <v>10226</v>
      </c>
      <c r="D3807" s="169" t="s">
        <v>1290</v>
      </c>
      <c r="E3807" s="103" t="s">
        <v>22902</v>
      </c>
      <c r="F3807" s="104"/>
      <c r="G3807" s="105">
        <f t="shared" si="236"/>
        <v>256.62</v>
      </c>
      <c r="H3807" s="101" t="str">
        <f t="shared" si="237"/>
        <v>Sinapi 34684</v>
      </c>
      <c r="I3807" s="101" t="str">
        <f t="shared" si="238"/>
        <v>M2</v>
      </c>
      <c r="J3807" s="140" t="str">
        <f t="shared" si="239"/>
        <v>REVESTIMENTO DE PAREDE EM GRANILITE, MARMORITE OU GRANITINA - ESP = 5 MM (INCLUSO EXECUCAO)</v>
      </c>
    </row>
    <row r="3808" spans="1:10" x14ac:dyDescent="0.25">
      <c r="A3808" s="169">
        <v>34683</v>
      </c>
      <c r="B3808" s="169" t="s">
        <v>27279</v>
      </c>
      <c r="C3808" s="169" t="s">
        <v>10226</v>
      </c>
      <c r="D3808" s="169" t="s">
        <v>1290</v>
      </c>
      <c r="E3808" s="103" t="s">
        <v>22903</v>
      </c>
      <c r="F3808" s="104"/>
      <c r="G3808" s="105">
        <f t="shared" si="236"/>
        <v>160.38999999999999</v>
      </c>
      <c r="H3808" s="101" t="str">
        <f t="shared" si="237"/>
        <v>Sinapi 34683</v>
      </c>
      <c r="I3808" s="101" t="str">
        <f t="shared" si="238"/>
        <v>M2</v>
      </c>
      <c r="J3808" s="140" t="str">
        <f t="shared" si="239"/>
        <v>REVESTIMENTO DE PAREDE EM GRANILITE, MARMORITE OU GRANITINA COLORIDO - ESP = 5 MM (INCLUSO EXECUCAO)</v>
      </c>
    </row>
    <row r="3809" spans="1:10" x14ac:dyDescent="0.25">
      <c r="A3809" s="169">
        <v>533</v>
      </c>
      <c r="B3809" s="169" t="s">
        <v>27280</v>
      </c>
      <c r="C3809" s="169" t="s">
        <v>10226</v>
      </c>
      <c r="D3809" s="169" t="s">
        <v>1289</v>
      </c>
      <c r="E3809" s="103" t="s">
        <v>22104</v>
      </c>
      <c r="F3809" s="104"/>
      <c r="G3809" s="105">
        <f t="shared" si="236"/>
        <v>33.89</v>
      </c>
      <c r="H3809" s="101" t="str">
        <f t="shared" si="237"/>
        <v>Sinapi 533</v>
      </c>
      <c r="I3809" s="101" t="str">
        <f t="shared" si="238"/>
        <v>M2</v>
      </c>
      <c r="J3809" s="140" t="str">
        <f t="shared" si="239"/>
        <v>REVESTIMENTO EM CERAMICA ESMALTADA COMERCIAL, PEI MENOR OU IGUAL A 3, FORMATO MENOR OU IGUAL A 2025 CM2</v>
      </c>
    </row>
    <row r="3810" spans="1:10" x14ac:dyDescent="0.25">
      <c r="A3810" s="169">
        <v>10515</v>
      </c>
      <c r="B3810" s="169" t="s">
        <v>139</v>
      </c>
      <c r="C3810" s="169" t="s">
        <v>10226</v>
      </c>
      <c r="D3810" s="169" t="s">
        <v>1289</v>
      </c>
      <c r="E3810" s="103" t="s">
        <v>31128</v>
      </c>
      <c r="F3810" s="104"/>
      <c r="G3810" s="105">
        <f t="shared" si="236"/>
        <v>63.93</v>
      </c>
      <c r="H3810" s="101" t="str">
        <f t="shared" si="237"/>
        <v>Sinapi 10515</v>
      </c>
      <c r="I3810" s="101" t="str">
        <f t="shared" si="238"/>
        <v>M2</v>
      </c>
      <c r="J3810" s="140" t="str">
        <f t="shared" si="239"/>
        <v>REVESTIMENTO EM CERAMICA ESMALTADA EXTRA, PEI MAIOR OU IGUAL 4, FORMATO MAIOR A 2025 CM2</v>
      </c>
    </row>
    <row r="3811" spans="1:10" x14ac:dyDescent="0.25">
      <c r="A3811" s="169">
        <v>536</v>
      </c>
      <c r="B3811" s="169" t="s">
        <v>27282</v>
      </c>
      <c r="C3811" s="169" t="s">
        <v>10226</v>
      </c>
      <c r="D3811" s="169" t="s">
        <v>1288</v>
      </c>
      <c r="E3811" s="103" t="s">
        <v>31129</v>
      </c>
      <c r="F3811" s="104"/>
      <c r="G3811" s="105">
        <f t="shared" si="236"/>
        <v>46.25</v>
      </c>
      <c r="H3811" s="101" t="str">
        <f t="shared" si="237"/>
        <v>Sinapi 536</v>
      </c>
      <c r="I3811" s="101" t="str">
        <f t="shared" si="238"/>
        <v>M2</v>
      </c>
      <c r="J3811" s="140" t="str">
        <f t="shared" si="239"/>
        <v>REVESTIMENTO EM CERAMICA ESMALTADA EXTRA, PEI MENOR OU IGUAL A 3, FORMATO MENOR OU IGUAL A 2025 CM2</v>
      </c>
    </row>
    <row r="3812" spans="1:10" x14ac:dyDescent="0.25">
      <c r="A3812" s="169">
        <v>153</v>
      </c>
      <c r="B3812" s="169" t="s">
        <v>27283</v>
      </c>
      <c r="C3812" s="169" t="s">
        <v>10230</v>
      </c>
      <c r="D3812" s="169" t="s">
        <v>1289</v>
      </c>
      <c r="E3812" s="103" t="s">
        <v>31130</v>
      </c>
      <c r="F3812" s="104"/>
      <c r="G3812" s="105">
        <f t="shared" si="236"/>
        <v>116.13</v>
      </c>
      <c r="H3812" s="101" t="str">
        <f t="shared" si="237"/>
        <v>Sinapi 153</v>
      </c>
      <c r="I3812" s="101" t="str">
        <f t="shared" si="238"/>
        <v>L</v>
      </c>
      <c r="J3812" s="140" t="str">
        <f t="shared" si="239"/>
        <v>REVESTIMENTO EPOXI DE ALTA RESISTENCIA QUIMICA, ISENTO DE SOLVENTES, BICOMPONENTE</v>
      </c>
    </row>
    <row r="3813" spans="1:10" x14ac:dyDescent="0.25">
      <c r="A3813" s="169">
        <v>34682</v>
      </c>
      <c r="B3813" s="169" t="s">
        <v>27284</v>
      </c>
      <c r="C3813" s="169" t="s">
        <v>10226</v>
      </c>
      <c r="D3813" s="169" t="s">
        <v>1290</v>
      </c>
      <c r="E3813" s="103" t="s">
        <v>22046</v>
      </c>
      <c r="F3813" s="104"/>
      <c r="G3813" s="105">
        <f t="shared" si="236"/>
        <v>122.65</v>
      </c>
      <c r="H3813" s="101" t="str">
        <f t="shared" si="237"/>
        <v>Sinapi 34682</v>
      </c>
      <c r="I3813" s="101" t="str">
        <f t="shared" si="238"/>
        <v>M2</v>
      </c>
      <c r="J3813" s="140" t="str">
        <f t="shared" si="239"/>
        <v>REVESTIMENTO PARA ESCADA EM GRANILITE, MARMORITE OU GRANITINA ESP = 8 MM (INCLUSO EXECUCAO)</v>
      </c>
    </row>
    <row r="3814" spans="1:10" x14ac:dyDescent="0.25">
      <c r="A3814" s="169">
        <v>20205</v>
      </c>
      <c r="B3814" s="169" t="s">
        <v>31131</v>
      </c>
      <c r="C3814" s="169" t="s">
        <v>10229</v>
      </c>
      <c r="D3814" s="169" t="s">
        <v>1289</v>
      </c>
      <c r="E3814" s="103" t="s">
        <v>19270</v>
      </c>
      <c r="F3814" s="104"/>
      <c r="G3814" s="105">
        <f t="shared" si="236"/>
        <v>2.86</v>
      </c>
      <c r="H3814" s="101" t="str">
        <f t="shared" si="237"/>
        <v>Sinapi 20205</v>
      </c>
      <c r="I3814" s="101" t="str">
        <f t="shared" si="238"/>
        <v>M</v>
      </c>
      <c r="J3814" s="140" t="str">
        <f t="shared" si="239"/>
        <v>RIPA APARELHADA *1,5 X 5* CM, EM MACARANDUBA/MASSARANDUBA, ANGELIM OU EQUIVALENTE DA REGIAO</v>
      </c>
    </row>
    <row r="3815" spans="1:10" x14ac:dyDescent="0.25">
      <c r="A3815" s="169">
        <v>4412</v>
      </c>
      <c r="B3815" s="169" t="s">
        <v>31132</v>
      </c>
      <c r="C3815" s="169" t="s">
        <v>10229</v>
      </c>
      <c r="D3815" s="169" t="s">
        <v>1289</v>
      </c>
      <c r="E3815" s="103" t="s">
        <v>27273</v>
      </c>
      <c r="F3815" s="104"/>
      <c r="G3815" s="105">
        <f t="shared" si="236"/>
        <v>1.71</v>
      </c>
      <c r="H3815" s="101" t="str">
        <f t="shared" si="237"/>
        <v>Sinapi 4412</v>
      </c>
      <c r="I3815" s="101" t="str">
        <f t="shared" si="238"/>
        <v>M</v>
      </c>
      <c r="J3815" s="140" t="str">
        <f t="shared" si="239"/>
        <v>RIPA NAO APARELHADA *1 X 3* CM, EM MACARANDUBA/MASSARANDUBA, ANGELIM OU EQUIVALENTE DA REGIAO - BRUTA</v>
      </c>
    </row>
    <row r="3816" spans="1:10" x14ac:dyDescent="0.25">
      <c r="A3816" s="169">
        <v>4408</v>
      </c>
      <c r="B3816" s="169" t="s">
        <v>31133</v>
      </c>
      <c r="C3816" s="169" t="s">
        <v>10229</v>
      </c>
      <c r="D3816" s="169" t="s">
        <v>1289</v>
      </c>
      <c r="E3816" s="103" t="s">
        <v>15724</v>
      </c>
      <c r="F3816" s="104"/>
      <c r="G3816" s="105">
        <f t="shared" si="236"/>
        <v>2.14</v>
      </c>
      <c r="H3816" s="101" t="str">
        <f t="shared" si="237"/>
        <v>Sinapi 4408</v>
      </c>
      <c r="I3816" s="101" t="str">
        <f t="shared" si="238"/>
        <v>M</v>
      </c>
      <c r="J3816" s="140" t="str">
        <f t="shared" si="239"/>
        <v>RIPA NAO APARELHADA, *1,5 X 5* CM, EM MACARANDUBA/MASSARANDUBA, ANGELIM OU EQUIVALENTE DA REGIAO - BRUTA</v>
      </c>
    </row>
    <row r="3817" spans="1:10" x14ac:dyDescent="0.25">
      <c r="A3817" s="169">
        <v>36250</v>
      </c>
      <c r="B3817" s="169" t="s">
        <v>27285</v>
      </c>
      <c r="C3817" s="169" t="s">
        <v>10229</v>
      </c>
      <c r="D3817" s="169" t="s">
        <v>1289</v>
      </c>
      <c r="E3817" s="103" t="s">
        <v>20032</v>
      </c>
      <c r="F3817" s="104"/>
      <c r="G3817" s="105">
        <f t="shared" si="236"/>
        <v>4.2</v>
      </c>
      <c r="H3817" s="101" t="str">
        <f t="shared" si="237"/>
        <v>Sinapi 36250</v>
      </c>
      <c r="I3817" s="101" t="str">
        <f t="shared" si="238"/>
        <v>M</v>
      </c>
      <c r="J3817" s="140" t="str">
        <f t="shared" si="239"/>
        <v>RODAFORRO EM PVC, PARA FORRO DE PVC, COMPRIMENTO 6 M</v>
      </c>
    </row>
    <row r="3818" spans="1:10" x14ac:dyDescent="0.25">
      <c r="A3818" s="169">
        <v>10857</v>
      </c>
      <c r="B3818" s="169" t="s">
        <v>27286</v>
      </c>
      <c r="C3818" s="169" t="s">
        <v>10229</v>
      </c>
      <c r="D3818" s="169" t="s">
        <v>1290</v>
      </c>
      <c r="E3818" s="103" t="s">
        <v>8806</v>
      </c>
      <c r="F3818" s="104"/>
      <c r="G3818" s="105">
        <f t="shared" si="236"/>
        <v>13.53</v>
      </c>
      <c r="H3818" s="101" t="str">
        <f t="shared" si="237"/>
        <v>Sinapi 10857</v>
      </c>
      <c r="I3818" s="101" t="str">
        <f t="shared" si="238"/>
        <v>M</v>
      </c>
      <c r="J3818" s="140" t="str">
        <f t="shared" si="239"/>
        <v>RODAPE ARDOSIA, CINZA, 10 CM, E= *1CM</v>
      </c>
    </row>
    <row r="3819" spans="1:10" x14ac:dyDescent="0.25">
      <c r="A3819" s="169">
        <v>4803</v>
      </c>
      <c r="B3819" s="169" t="s">
        <v>27287</v>
      </c>
      <c r="C3819" s="169" t="s">
        <v>10229</v>
      </c>
      <c r="D3819" s="169" t="s">
        <v>1289</v>
      </c>
      <c r="E3819" s="103" t="s">
        <v>27094</v>
      </c>
      <c r="F3819" s="104"/>
      <c r="G3819" s="105">
        <f t="shared" si="236"/>
        <v>38.89</v>
      </c>
      <c r="H3819" s="101" t="str">
        <f t="shared" si="237"/>
        <v>Sinapi 4803</v>
      </c>
      <c r="I3819" s="101" t="str">
        <f t="shared" si="238"/>
        <v>M</v>
      </c>
      <c r="J3819" s="140" t="str">
        <f t="shared" si="239"/>
        <v>RODAPE DE BORRACHA LISO, H = 70 MM, E = *2* MM, PARA ARGAMASSA, PRETO</v>
      </c>
    </row>
    <row r="3820" spans="1:10" x14ac:dyDescent="0.25">
      <c r="A3820" s="169">
        <v>6186</v>
      </c>
      <c r="B3820" s="169" t="s">
        <v>10281</v>
      </c>
      <c r="C3820" s="169" t="s">
        <v>10229</v>
      </c>
      <c r="D3820" s="169" t="s">
        <v>1289</v>
      </c>
      <c r="E3820" s="103" t="s">
        <v>7321</v>
      </c>
      <c r="F3820" s="104"/>
      <c r="G3820" s="105">
        <f t="shared" si="236"/>
        <v>7.25</v>
      </c>
      <c r="H3820" s="101" t="str">
        <f t="shared" si="237"/>
        <v>Sinapi 6186</v>
      </c>
      <c r="I3820" s="101" t="str">
        <f t="shared" si="238"/>
        <v>M</v>
      </c>
      <c r="J3820" s="140" t="str">
        <f t="shared" si="239"/>
        <v>RODAPE DE MADEIRA MACICA CUMARU/IPE CHAMPANHE OU EQUIVALENTE DA REGIAO, *1,5 X 7 CM</v>
      </c>
    </row>
    <row r="3821" spans="1:10" x14ac:dyDescent="0.25">
      <c r="A3821" s="169">
        <v>4829</v>
      </c>
      <c r="B3821" s="169" t="s">
        <v>27290</v>
      </c>
      <c r="C3821" s="169" t="s">
        <v>10229</v>
      </c>
      <c r="D3821" s="169" t="s">
        <v>1289</v>
      </c>
      <c r="E3821" s="103" t="s">
        <v>31134</v>
      </c>
      <c r="F3821" s="104"/>
      <c r="G3821" s="105">
        <f t="shared" si="236"/>
        <v>89.29</v>
      </c>
      <c r="H3821" s="101" t="str">
        <f t="shared" si="237"/>
        <v>Sinapi 4829</v>
      </c>
      <c r="I3821" s="101" t="str">
        <f t="shared" si="238"/>
        <v>M</v>
      </c>
      <c r="J3821" s="140" t="str">
        <f t="shared" si="239"/>
        <v>RODAPE EM MARMORE, POLIDO, BRANCO COMUM, L= *7* CM, E= *2* CM, CORTE RETO</v>
      </c>
    </row>
    <row r="3822" spans="1:10" x14ac:dyDescent="0.25">
      <c r="A3822" s="169">
        <v>39829</v>
      </c>
      <c r="B3822" s="169" t="s">
        <v>27291</v>
      </c>
      <c r="C3822" s="169" t="s">
        <v>10229</v>
      </c>
      <c r="D3822" s="169" t="s">
        <v>1290</v>
      </c>
      <c r="E3822" s="103" t="s">
        <v>19398</v>
      </c>
      <c r="F3822" s="104"/>
      <c r="G3822" s="105">
        <f t="shared" si="236"/>
        <v>37</v>
      </c>
      <c r="H3822" s="101" t="str">
        <f t="shared" si="237"/>
        <v>Sinapi 39829</v>
      </c>
      <c r="I3822" s="101" t="str">
        <f t="shared" si="238"/>
        <v>M</v>
      </c>
      <c r="J3822" s="140" t="str">
        <f t="shared" si="239"/>
        <v>RODAPE EM POLIESTIRENO, BRANCO, H = *5* CM, E = *1,5* CM</v>
      </c>
    </row>
    <row r="3823" spans="1:10" x14ac:dyDescent="0.25">
      <c r="A3823" s="169">
        <v>20231</v>
      </c>
      <c r="B3823" s="169" t="s">
        <v>27292</v>
      </c>
      <c r="C3823" s="169" t="s">
        <v>10229</v>
      </c>
      <c r="D3823" s="169" t="s">
        <v>1289</v>
      </c>
      <c r="E3823" s="103" t="s">
        <v>31135</v>
      </c>
      <c r="F3823" s="104"/>
      <c r="G3823" s="105">
        <f t="shared" si="236"/>
        <v>119.07</v>
      </c>
      <c r="H3823" s="101" t="str">
        <f t="shared" si="237"/>
        <v>Sinapi 20231</v>
      </c>
      <c r="I3823" s="101" t="str">
        <f t="shared" si="238"/>
        <v>M</v>
      </c>
      <c r="J3823" s="140" t="str">
        <f t="shared" si="239"/>
        <v>RODAPE OU RODABANCADA EM GRANITO, POLIDO, TIPO ANDORINHA/ QUARTZ/ CASTELO/ CORUMBA OU OUTROS EQUIVALENTES DA REGIAO, H= 10 CM, E= *2,0* CM</v>
      </c>
    </row>
    <row r="3824" spans="1:10" x14ac:dyDescent="0.25">
      <c r="A3824" s="169">
        <v>4804</v>
      </c>
      <c r="B3824" s="169" t="s">
        <v>27293</v>
      </c>
      <c r="C3824" s="169" t="s">
        <v>10229</v>
      </c>
      <c r="D3824" s="169" t="s">
        <v>1289</v>
      </c>
      <c r="E3824" s="103" t="s">
        <v>31136</v>
      </c>
      <c r="F3824" s="104"/>
      <c r="G3824" s="105">
        <f t="shared" si="236"/>
        <v>29.85</v>
      </c>
      <c r="H3824" s="101" t="str">
        <f t="shared" si="237"/>
        <v>Sinapi 4804</v>
      </c>
      <c r="I3824" s="101" t="str">
        <f t="shared" si="238"/>
        <v>M</v>
      </c>
      <c r="J3824" s="140" t="str">
        <f t="shared" si="239"/>
        <v>RODAPE PLANO PARA PISO VINILICO, H = 5 CM</v>
      </c>
    </row>
    <row r="3825" spans="1:10" x14ac:dyDescent="0.25">
      <c r="A3825" s="169">
        <v>34680</v>
      </c>
      <c r="B3825" s="169" t="s">
        <v>27294</v>
      </c>
      <c r="C3825" s="169" t="s">
        <v>10229</v>
      </c>
      <c r="D3825" s="169" t="s">
        <v>1290</v>
      </c>
      <c r="E3825" s="103" t="s">
        <v>19903</v>
      </c>
      <c r="F3825" s="104"/>
      <c r="G3825" s="105">
        <f t="shared" si="236"/>
        <v>37.729999999999997</v>
      </c>
      <c r="H3825" s="101" t="str">
        <f t="shared" si="237"/>
        <v>Sinapi 34680</v>
      </c>
      <c r="I3825" s="101" t="str">
        <f t="shared" si="238"/>
        <v>M</v>
      </c>
      <c r="J3825" s="140" t="str">
        <f t="shared" si="239"/>
        <v>RODAPE PRE-MOLDADO DE GRANILITE, MARMORITE OU GRANITINA L = 10 CM</v>
      </c>
    </row>
    <row r="3826" spans="1:10" x14ac:dyDescent="0.25">
      <c r="A3826" s="169">
        <v>11573</v>
      </c>
      <c r="B3826" s="169" t="s">
        <v>27295</v>
      </c>
      <c r="C3826" s="169" t="s">
        <v>10225</v>
      </c>
      <c r="D3826" s="169" t="s">
        <v>1289</v>
      </c>
      <c r="E3826" s="103" t="s">
        <v>22793</v>
      </c>
      <c r="F3826" s="104"/>
      <c r="G3826" s="105">
        <f t="shared" si="236"/>
        <v>6.68</v>
      </c>
      <c r="H3826" s="101" t="str">
        <f t="shared" si="237"/>
        <v>Sinapi 11573</v>
      </c>
      <c r="I3826" s="101" t="str">
        <f t="shared" si="238"/>
        <v>UN</v>
      </c>
      <c r="J3826" s="140" t="str">
        <f t="shared" si="239"/>
        <v>RODIZIO TIPO NAPOLEAO PARA JANELAS DE CORRER, EM ZAMAC, COMPRIMENTO DE APROX 60 CM, COM ROLAMENTO EM ACO</v>
      </c>
    </row>
    <row r="3827" spans="1:10" x14ac:dyDescent="0.25">
      <c r="A3827" s="169">
        <v>38401</v>
      </c>
      <c r="B3827" s="169" t="s">
        <v>27296</v>
      </c>
      <c r="C3827" s="169" t="s">
        <v>10225</v>
      </c>
      <c r="D3827" s="169" t="s">
        <v>1289</v>
      </c>
      <c r="E3827" s="103" t="s">
        <v>17354</v>
      </c>
      <c r="F3827" s="104"/>
      <c r="G3827" s="105">
        <f t="shared" si="236"/>
        <v>21.89</v>
      </c>
      <c r="H3827" s="101" t="str">
        <f t="shared" si="237"/>
        <v>Sinapi 38401</v>
      </c>
      <c r="I3827" s="101" t="str">
        <f t="shared" si="238"/>
        <v>UN</v>
      </c>
      <c r="J3827" s="140" t="str">
        <f t="shared" si="239"/>
        <v>RODO PARA CHAO 40 CM COM CABO</v>
      </c>
    </row>
    <row r="3828" spans="1:10" x14ac:dyDescent="0.25">
      <c r="A3828" s="169">
        <v>11575</v>
      </c>
      <c r="B3828" s="169" t="s">
        <v>27297</v>
      </c>
      <c r="C3828" s="169" t="s">
        <v>10225</v>
      </c>
      <c r="D3828" s="169" t="s">
        <v>1289</v>
      </c>
      <c r="E3828" s="103" t="s">
        <v>21463</v>
      </c>
      <c r="F3828" s="104"/>
      <c r="G3828" s="105">
        <f t="shared" si="236"/>
        <v>64.42</v>
      </c>
      <c r="H3828" s="101" t="str">
        <f t="shared" si="237"/>
        <v>Sinapi 11575</v>
      </c>
      <c r="I3828" s="101" t="str">
        <f t="shared" si="238"/>
        <v>UN</v>
      </c>
      <c r="J3828" s="140" t="str">
        <f t="shared" si="239"/>
        <v>ROLDANA CONCAVA DUPLA, 4 RODAS, EM ZAMAC COM CHAPA DE LATAO, ROLAMENTOS EM ACO, PARA PORTAS E JANELAS DE CORRER</v>
      </c>
    </row>
    <row r="3829" spans="1:10" x14ac:dyDescent="0.25">
      <c r="A3829" s="169">
        <v>38179</v>
      </c>
      <c r="B3829" s="169" t="s">
        <v>27298</v>
      </c>
      <c r="C3829" s="169" t="s">
        <v>10225</v>
      </c>
      <c r="D3829" s="169" t="s">
        <v>1289</v>
      </c>
      <c r="E3829" s="103" t="s">
        <v>31137</v>
      </c>
      <c r="F3829" s="104"/>
      <c r="G3829" s="105">
        <f t="shared" si="236"/>
        <v>53.27</v>
      </c>
      <c r="H3829" s="101" t="str">
        <f t="shared" si="237"/>
        <v>Sinapi 38179</v>
      </c>
      <c r="I3829" s="101" t="str">
        <f t="shared" si="238"/>
        <v>UN</v>
      </c>
      <c r="J3829" s="140" t="str">
        <f t="shared" si="239"/>
        <v>ROLDANA CONCAVA DUPLA, 4 RODAS, PARA PORTA DE CORRER, EM ZAMAC COM CHAPA DE ACO, ROLAMENTO INTERNO BLINDADO DE ACO REVESTIDO EM NYLON</v>
      </c>
    </row>
    <row r="3830" spans="1:10" x14ac:dyDescent="0.25">
      <c r="A3830" s="169">
        <v>20256</v>
      </c>
      <c r="B3830" s="169" t="s">
        <v>27299</v>
      </c>
      <c r="C3830" s="169" t="s">
        <v>10225</v>
      </c>
      <c r="D3830" s="169" t="s">
        <v>1289</v>
      </c>
      <c r="E3830" s="103" t="s">
        <v>2851</v>
      </c>
      <c r="F3830" s="104"/>
      <c r="G3830" s="105">
        <f t="shared" si="236"/>
        <v>0.45</v>
      </c>
      <c r="H3830" s="101" t="str">
        <f t="shared" si="237"/>
        <v>Sinapi 20256</v>
      </c>
      <c r="I3830" s="101" t="str">
        <f t="shared" si="238"/>
        <v>UN</v>
      </c>
      <c r="J3830" s="140" t="str">
        <f t="shared" si="239"/>
        <v>ROLDANA PLASTICA COM PREGO, TAMANHO 30 X 30 MM, PARA INSTALACAO ELETRICA APARENTE</v>
      </c>
    </row>
    <row r="3831" spans="1:10" x14ac:dyDescent="0.25">
      <c r="A3831" s="169">
        <v>14511</v>
      </c>
      <c r="B3831" s="169" t="s">
        <v>27300</v>
      </c>
      <c r="C3831" s="169" t="s">
        <v>10225</v>
      </c>
      <c r="D3831" s="169" t="s">
        <v>1290</v>
      </c>
      <c r="E3831" s="103" t="s">
        <v>27301</v>
      </c>
      <c r="F3831" s="104"/>
      <c r="G3831" s="105">
        <f t="shared" si="236"/>
        <v>979036.57</v>
      </c>
      <c r="H3831" s="101" t="str">
        <f t="shared" si="237"/>
        <v>Sinapi 14511</v>
      </c>
      <c r="I3831" s="101" t="str">
        <f t="shared" si="238"/>
        <v>UN</v>
      </c>
      <c r="J3831" s="140" t="str">
        <f t="shared" si="239"/>
        <v>ROLO COMPACTADOR DE PNEUS, ESTATICO, PRESSAO VARIAVEL, POTENCIA 110 HP, PESO SEM/COM LASTRO 10,8/27 T, LARGURA DE ROLAGEM 2,30 M</v>
      </c>
    </row>
    <row r="3832" spans="1:10" x14ac:dyDescent="0.25">
      <c r="A3832" s="169">
        <v>10642</v>
      </c>
      <c r="B3832" s="169" t="s">
        <v>27302</v>
      </c>
      <c r="C3832" s="169" t="s">
        <v>10225</v>
      </c>
      <c r="D3832" s="169" t="s">
        <v>1290</v>
      </c>
      <c r="E3832" s="103" t="s">
        <v>27303</v>
      </c>
      <c r="F3832" s="104"/>
      <c r="G3832" s="105">
        <f t="shared" si="236"/>
        <v>922300</v>
      </c>
      <c r="H3832" s="101" t="str">
        <f t="shared" si="237"/>
        <v>Sinapi 10642</v>
      </c>
      <c r="I3832" s="101" t="str">
        <f t="shared" si="238"/>
        <v>UN</v>
      </c>
      <c r="J3832" s="140" t="str">
        <f t="shared" si="239"/>
        <v>ROLO COMPACTADOR DE PNEUS, ESTATICO, PRESSAO VARIAVEL, POTENCIA 111 HP, PESO SEM/COM LASTRO 9,5/26,0 T, LARGURA DE ROLAGEM 1,90 M</v>
      </c>
    </row>
    <row r="3833" spans="1:10" x14ac:dyDescent="0.25">
      <c r="A3833" s="169">
        <v>14489</v>
      </c>
      <c r="B3833" s="169" t="s">
        <v>27304</v>
      </c>
      <c r="C3833" s="169" t="s">
        <v>10225</v>
      </c>
      <c r="D3833" s="169" t="s">
        <v>1290</v>
      </c>
      <c r="E3833" s="103" t="s">
        <v>27305</v>
      </c>
      <c r="F3833" s="104"/>
      <c r="G3833" s="105">
        <f t="shared" si="236"/>
        <v>818062.94</v>
      </c>
      <c r="H3833" s="101" t="str">
        <f t="shared" si="237"/>
        <v>Sinapi 14489</v>
      </c>
      <c r="I3833" s="101" t="str">
        <f t="shared" si="238"/>
        <v>UN</v>
      </c>
      <c r="J3833" s="140" t="str">
        <f t="shared" si="239"/>
        <v>ROLO COMPACTADOR PE DE CARNEIRO VIBRATORIO, POTENCIA 125 HP, PESO OPERACIONAL SEM/COM LASTRO 11,95/13,30 T, IMPACTO DINAMICO 38,5/22,5 T, LARGURA DE TRABALHO 2,15 M</v>
      </c>
    </row>
    <row r="3834" spans="1:10" x14ac:dyDescent="0.25">
      <c r="A3834" s="169">
        <v>14513</v>
      </c>
      <c r="B3834" s="169" t="s">
        <v>27306</v>
      </c>
      <c r="C3834" s="169" t="s">
        <v>10225</v>
      </c>
      <c r="D3834" s="169" t="s">
        <v>1290</v>
      </c>
      <c r="E3834" s="103" t="s">
        <v>27307</v>
      </c>
      <c r="F3834" s="104"/>
      <c r="G3834" s="105">
        <f t="shared" si="236"/>
        <v>613566.62</v>
      </c>
      <c r="H3834" s="101" t="str">
        <f t="shared" si="237"/>
        <v>Sinapi 14513</v>
      </c>
      <c r="I3834" s="101" t="str">
        <f t="shared" si="238"/>
        <v>UN</v>
      </c>
      <c r="J3834" s="140" t="str">
        <f t="shared" si="239"/>
        <v>ROLO COMPACTADOR PE DE CARNEIRO VIBRATORIO, POTENCIA 80 HP, PESO OPERACIONAL SEM/COM LASTRO 7,4/8,8 T, LARGURA DE TRABALHO 1,68 M</v>
      </c>
    </row>
    <row r="3835" spans="1:10" x14ac:dyDescent="0.25">
      <c r="A3835" s="169">
        <v>13600</v>
      </c>
      <c r="B3835" s="169" t="s">
        <v>27308</v>
      </c>
      <c r="C3835" s="169" t="s">
        <v>10225</v>
      </c>
      <c r="D3835" s="169" t="s">
        <v>1290</v>
      </c>
      <c r="E3835" s="103" t="s">
        <v>27309</v>
      </c>
      <c r="F3835" s="104"/>
      <c r="G3835" s="105">
        <f t="shared" si="236"/>
        <v>791673.72</v>
      </c>
      <c r="H3835" s="101" t="str">
        <f t="shared" si="237"/>
        <v>Sinapi 13600</v>
      </c>
      <c r="I3835" s="101" t="str">
        <f t="shared" si="238"/>
        <v>UN</v>
      </c>
      <c r="J3835" s="140" t="str">
        <f t="shared" si="239"/>
        <v>ROLO COMPACTADOR VIBRATORIO DE UM CILINDRO LISO DE ACO, POTENCIA 125 HP, PESO SEM/COM LASTRO 10,75/12,92 T, IMPACTO DINAMICO 31,5/18,5 T, LARGURA TRABALHO 2,15 M</v>
      </c>
    </row>
    <row r="3836" spans="1:10" x14ac:dyDescent="0.25">
      <c r="A3836" s="169">
        <v>10646</v>
      </c>
      <c r="B3836" s="169" t="s">
        <v>27310</v>
      </c>
      <c r="C3836" s="169" t="s">
        <v>10225</v>
      </c>
      <c r="D3836" s="169" t="s">
        <v>1290</v>
      </c>
      <c r="E3836" s="103" t="s">
        <v>27311</v>
      </c>
      <c r="F3836" s="104"/>
      <c r="G3836" s="105">
        <f t="shared" si="236"/>
        <v>590140.01</v>
      </c>
      <c r="H3836" s="101" t="str">
        <f t="shared" si="237"/>
        <v>Sinapi 10646</v>
      </c>
      <c r="I3836" s="101" t="str">
        <f t="shared" si="238"/>
        <v>UN</v>
      </c>
      <c r="J3836" s="140" t="str">
        <f t="shared" si="239"/>
        <v>ROLO COMPACTADOR VIBRATORIO DE UM CILINDRO, ACO LISO, POTENCIA 80 HP, PESO OPERACIONAL MAXIMO 8,1 T, IMPACTO DINAMICO 16,15/9,5 T, LARGURA TRABALHO 1,68 M</v>
      </c>
    </row>
    <row r="3837" spans="1:10" x14ac:dyDescent="0.25">
      <c r="A3837" s="169">
        <v>6070</v>
      </c>
      <c r="B3837" s="169" t="s">
        <v>27312</v>
      </c>
      <c r="C3837" s="169" t="s">
        <v>10225</v>
      </c>
      <c r="D3837" s="169" t="s">
        <v>1290</v>
      </c>
      <c r="E3837" s="103" t="s">
        <v>27313</v>
      </c>
      <c r="F3837" s="104"/>
      <c r="G3837" s="105">
        <f t="shared" si="236"/>
        <v>806353.7</v>
      </c>
      <c r="H3837" s="101" t="str">
        <f t="shared" si="237"/>
        <v>Sinapi 6070</v>
      </c>
      <c r="I3837" s="101" t="str">
        <f t="shared" si="238"/>
        <v>UN</v>
      </c>
      <c r="J3837" s="140" t="str">
        <f t="shared" si="239"/>
        <v>ROLO COMPACTADOR VIBRATORIO PE DE CARNEIRO, COM CONTROLE REMOTO POR RADIO, POTENCIA 12,5 KW, PESO OPERACIONAL DE 1,675 T, LARGURA DE TRABALHO 0,85 M</v>
      </c>
    </row>
    <row r="3838" spans="1:10" x14ac:dyDescent="0.25">
      <c r="A3838" s="169">
        <v>6069</v>
      </c>
      <c r="B3838" s="169" t="s">
        <v>27314</v>
      </c>
      <c r="C3838" s="169" t="s">
        <v>10225</v>
      </c>
      <c r="D3838" s="169" t="s">
        <v>1290</v>
      </c>
      <c r="E3838" s="103" t="s">
        <v>27315</v>
      </c>
      <c r="F3838" s="104"/>
      <c r="G3838" s="105">
        <f t="shared" si="236"/>
        <v>178135.69</v>
      </c>
      <c r="H3838" s="101" t="str">
        <f t="shared" si="237"/>
        <v>Sinapi 6069</v>
      </c>
      <c r="I3838" s="101" t="str">
        <f t="shared" si="238"/>
        <v>UN</v>
      </c>
      <c r="J3838" s="140" t="str">
        <f t="shared" si="239"/>
        <v>ROLO COMPACTADOR VIBRATORIO REBOCAVEL, CILINDRO DE ACO LISO, POTENCIA DE TRACAO DE 65 CV, PESO DE 4,7 T, IMPACTO DINAMICO TOTAL DE 18,3 T, LARGURA DO ROLO 1,67 M</v>
      </c>
    </row>
    <row r="3839" spans="1:10" x14ac:dyDescent="0.25">
      <c r="A3839" s="169">
        <v>14626</v>
      </c>
      <c r="B3839" s="169" t="s">
        <v>27316</v>
      </c>
      <c r="C3839" s="169" t="s">
        <v>10225</v>
      </c>
      <c r="D3839" s="169" t="s">
        <v>1290</v>
      </c>
      <c r="E3839" s="103" t="s">
        <v>27317</v>
      </c>
      <c r="F3839" s="104"/>
      <c r="G3839" s="105">
        <f t="shared" si="236"/>
        <v>882772.89</v>
      </c>
      <c r="H3839" s="101" t="str">
        <f t="shared" si="237"/>
        <v>Sinapi 14626</v>
      </c>
      <c r="I3839" s="101" t="str">
        <f t="shared" si="238"/>
        <v>UN</v>
      </c>
      <c r="J3839" s="140" t="str">
        <f t="shared" si="239"/>
        <v>ROLO COMPACTADOR VIBRATORIO TANDEM, ACO LISO, POTENCIA 125 HP, PESO SEM/COM LASTRO 10,20/11,65 T, LARGURA DE TRABALHO 1,73 M</v>
      </c>
    </row>
    <row r="3840" spans="1:10" x14ac:dyDescent="0.25">
      <c r="A3840" s="169">
        <v>6067</v>
      </c>
      <c r="B3840" s="169" t="s">
        <v>27318</v>
      </c>
      <c r="C3840" s="169" t="s">
        <v>10225</v>
      </c>
      <c r="D3840" s="169" t="s">
        <v>1290</v>
      </c>
      <c r="E3840" s="103" t="s">
        <v>27319</v>
      </c>
      <c r="F3840" s="104"/>
      <c r="G3840" s="105">
        <f t="shared" si="236"/>
        <v>724664.29</v>
      </c>
      <c r="H3840" s="101" t="str">
        <f t="shared" si="237"/>
        <v>Sinapi 6067</v>
      </c>
      <c r="I3840" s="101" t="str">
        <f t="shared" si="238"/>
        <v>UN</v>
      </c>
      <c r="J3840" s="140" t="str">
        <f t="shared" si="239"/>
        <v>ROLO COMPACTADOR VIBRATORIO TANDEM, ACO LISO, POTENCIA 58 CV, PESO SEM/COM LASTRO 6,5/9,4 T, LARGURA DE TRABALHO 1,20 M</v>
      </c>
    </row>
    <row r="3841" spans="1:10" x14ac:dyDescent="0.25">
      <c r="A3841" s="169">
        <v>38393</v>
      </c>
      <c r="B3841" s="169" t="s">
        <v>27320</v>
      </c>
      <c r="C3841" s="169" t="s">
        <v>10225</v>
      </c>
      <c r="D3841" s="169" t="s">
        <v>1288</v>
      </c>
      <c r="E3841" s="103" t="s">
        <v>23271</v>
      </c>
      <c r="F3841" s="104"/>
      <c r="G3841" s="105">
        <f t="shared" si="236"/>
        <v>16.71</v>
      </c>
      <c r="H3841" s="101" t="str">
        <f t="shared" si="237"/>
        <v>Sinapi 38393</v>
      </c>
      <c r="I3841" s="101" t="str">
        <f t="shared" si="238"/>
        <v>UN</v>
      </c>
      <c r="J3841" s="140" t="str">
        <f t="shared" si="239"/>
        <v>ROLO DE ESPUMA POLIESTER 23 CM (SEM CABO)</v>
      </c>
    </row>
    <row r="3842" spans="1:10" x14ac:dyDescent="0.25">
      <c r="A3842" s="169">
        <v>38390</v>
      </c>
      <c r="B3842" s="169" t="s">
        <v>27321</v>
      </c>
      <c r="C3842" s="169" t="s">
        <v>10225</v>
      </c>
      <c r="D3842" s="169" t="s">
        <v>1289</v>
      </c>
      <c r="E3842" s="103" t="s">
        <v>28395</v>
      </c>
      <c r="F3842" s="104"/>
      <c r="G3842" s="105">
        <f t="shared" si="236"/>
        <v>37.06</v>
      </c>
      <c r="H3842" s="101" t="str">
        <f t="shared" si="237"/>
        <v>Sinapi 38390</v>
      </c>
      <c r="I3842" s="101" t="str">
        <f t="shared" si="238"/>
        <v>UN</v>
      </c>
      <c r="J3842" s="140" t="str">
        <f t="shared" si="239"/>
        <v>ROLO DE LA DE CARNEIRO 23 CM (SEM CABO)</v>
      </c>
    </row>
    <row r="3843" spans="1:10" x14ac:dyDescent="0.25">
      <c r="A3843" s="169">
        <v>36532</v>
      </c>
      <c r="B3843" s="169" t="s">
        <v>27322</v>
      </c>
      <c r="C3843" s="169" t="s">
        <v>10225</v>
      </c>
      <c r="D3843" s="169" t="s">
        <v>1290</v>
      </c>
      <c r="E3843" s="103" t="s">
        <v>31138</v>
      </c>
      <c r="F3843" s="104"/>
      <c r="G3843" s="105">
        <f t="shared" si="236"/>
        <v>24258.799999999999</v>
      </c>
      <c r="H3843" s="101" t="str">
        <f t="shared" si="237"/>
        <v>Sinapi 36532</v>
      </c>
      <c r="I3843" s="101" t="str">
        <f t="shared" si="238"/>
        <v>UN</v>
      </c>
      <c r="J3843" s="140" t="str">
        <f t="shared" si="239"/>
        <v>ROMPEDOR ELETRICO PESO 26 KG, POTENCIA OPERACIONAL DE 2,5 KW</v>
      </c>
    </row>
    <row r="3844" spans="1:10" x14ac:dyDescent="0.25">
      <c r="A3844" s="169">
        <v>11578</v>
      </c>
      <c r="B3844" s="169" t="s">
        <v>27323</v>
      </c>
      <c r="C3844" s="169" t="s">
        <v>10225</v>
      </c>
      <c r="D3844" s="169" t="s">
        <v>1289</v>
      </c>
      <c r="E3844" s="103" t="s">
        <v>17275</v>
      </c>
      <c r="F3844" s="104"/>
      <c r="G3844" s="105">
        <f t="shared" si="236"/>
        <v>13.91</v>
      </c>
      <c r="H3844" s="101" t="str">
        <f t="shared" si="237"/>
        <v>Sinapi 11578</v>
      </c>
      <c r="I3844" s="101" t="str">
        <f t="shared" si="238"/>
        <v>UN</v>
      </c>
      <c r="J3844" s="140" t="str">
        <f t="shared" si="239"/>
        <v>ROSETA QUADRADA, SEM FUROS, EM ACO INOX POLIDO, LARGURA APROXIMADA DE 50 MM, PARA FECHADURA DE PORTA - PARAFUSOS INCLUIDOS</v>
      </c>
    </row>
    <row r="3845" spans="1:10" x14ac:dyDescent="0.25">
      <c r="A3845" s="169">
        <v>11577</v>
      </c>
      <c r="B3845" s="169" t="s">
        <v>27324</v>
      </c>
      <c r="C3845" s="169" t="s">
        <v>10225</v>
      </c>
      <c r="D3845" s="169" t="s">
        <v>1289</v>
      </c>
      <c r="E3845" s="103" t="s">
        <v>23056</v>
      </c>
      <c r="F3845" s="104"/>
      <c r="G3845" s="105">
        <f t="shared" si="236"/>
        <v>13.27</v>
      </c>
      <c r="H3845" s="101" t="str">
        <f t="shared" si="237"/>
        <v>Sinapi 11577</v>
      </c>
      <c r="I3845" s="101" t="str">
        <f t="shared" si="238"/>
        <v>UN</v>
      </c>
      <c r="J3845" s="140" t="str">
        <f t="shared" si="239"/>
        <v>ROSETA REDONDA DE SOBREPOR, SEM FUROS, EM ACO INOX POLIDO, DIAMETRO APROXIMADO DE 50 MM, PARA FECHADURA DE PORTA - PARAFUSOS INCLUIDOS</v>
      </c>
    </row>
    <row r="3846" spans="1:10" x14ac:dyDescent="0.25">
      <c r="A3846" s="169">
        <v>42432</v>
      </c>
      <c r="B3846" s="169" t="s">
        <v>27325</v>
      </c>
      <c r="C3846" s="169" t="s">
        <v>10225</v>
      </c>
      <c r="D3846" s="169" t="s">
        <v>1290</v>
      </c>
      <c r="E3846" s="103" t="s">
        <v>21084</v>
      </c>
      <c r="F3846" s="104"/>
      <c r="G3846" s="105">
        <f t="shared" si="236"/>
        <v>2424.64</v>
      </c>
      <c r="H3846" s="101" t="str">
        <f t="shared" si="237"/>
        <v>Sinapi 42432</v>
      </c>
      <c r="I3846" s="101" t="str">
        <f t="shared" si="238"/>
        <v>UN</v>
      </c>
      <c r="J3846" s="140" t="str">
        <f t="shared" si="239"/>
        <v>ROTACAO DIAGONAL DUPLA, APARELHO TRIPLO, EM TUBO DE ACO CARBONO, PINTURA NO PROCESSO ELETROSTATICO - EQUIPAMENTO DE GINASTICA PARA ACADEMIA AO AR LIVRE / ACADEMIA DA TERCEIRA IDADE - ATI</v>
      </c>
    </row>
    <row r="3847" spans="1:10" x14ac:dyDescent="0.25">
      <c r="A3847" s="169">
        <v>42437</v>
      </c>
      <c r="B3847" s="169" t="s">
        <v>27326</v>
      </c>
      <c r="C3847" s="169" t="s">
        <v>10225</v>
      </c>
      <c r="D3847" s="169" t="s">
        <v>1290</v>
      </c>
      <c r="E3847" s="103" t="s">
        <v>21085</v>
      </c>
      <c r="F3847" s="104"/>
      <c r="G3847" s="105">
        <f t="shared" si="236"/>
        <v>1843.37</v>
      </c>
      <c r="H3847" s="101" t="str">
        <f t="shared" si="237"/>
        <v>Sinapi 42437</v>
      </c>
      <c r="I3847" s="101" t="str">
        <f t="shared" si="238"/>
        <v>UN</v>
      </c>
      <c r="J3847" s="140" t="str">
        <f t="shared" si="239"/>
        <v>ROTACAO VERTICAL DUPLO, EM TUBO DE ACO CARBONO, PINTURA NO PROCESSO ELETROSTATICO - EQUIPAMENTO DE GINASTICA PARA ACADEMIA AO AR LIVRE / ACADEMIA DA TERCEIRA IDADE - ATI</v>
      </c>
    </row>
    <row r="3848" spans="1:10" x14ac:dyDescent="0.25">
      <c r="A3848" s="169">
        <v>1116</v>
      </c>
      <c r="B3848" s="169" t="s">
        <v>27327</v>
      </c>
      <c r="C3848" s="169" t="s">
        <v>10229</v>
      </c>
      <c r="D3848" s="169" t="s">
        <v>1289</v>
      </c>
      <c r="E3848" s="103" t="s">
        <v>14943</v>
      </c>
      <c r="F3848" s="104"/>
      <c r="G3848" s="105">
        <f t="shared" ref="G3848:G3911" si="240">IF(E3848="","",E3848+0)</f>
        <v>23.45</v>
      </c>
      <c r="H3848" s="101" t="str">
        <f t="shared" ref="H3848:H3911" si="241">IF(G3848="","",TRIM(CONCATENATE("Sinapi ",A3848)))</f>
        <v>Sinapi 1116</v>
      </c>
      <c r="I3848" s="101" t="str">
        <f t="shared" ref="I3848:I3911" si="242">TRIM(C3848)</f>
        <v>M</v>
      </c>
      <c r="J3848" s="140" t="str">
        <f t="shared" si="239"/>
        <v>RUFO EXTERNO DE CHAPA DE ACO GALVANIZADA NUM 26, CORTE 25 CM</v>
      </c>
    </row>
    <row r="3849" spans="1:10" x14ac:dyDescent="0.25">
      <c r="A3849" s="169">
        <v>1115</v>
      </c>
      <c r="B3849" s="169" t="s">
        <v>27328</v>
      </c>
      <c r="C3849" s="169" t="s">
        <v>10229</v>
      </c>
      <c r="D3849" s="169" t="s">
        <v>1289</v>
      </c>
      <c r="E3849" s="103" t="s">
        <v>21350</v>
      </c>
      <c r="F3849" s="104"/>
      <c r="G3849" s="105">
        <f t="shared" si="240"/>
        <v>28.1</v>
      </c>
      <c r="H3849" s="101" t="str">
        <f t="shared" si="241"/>
        <v>Sinapi 1115</v>
      </c>
      <c r="I3849" s="101" t="str">
        <f t="shared" si="242"/>
        <v>M</v>
      </c>
      <c r="J3849" s="140" t="str">
        <f t="shared" ref="J3849:J3912" si="243">TRIM(B3849)</f>
        <v>RUFO EXTERNO DE CHAPA DE ACO GALVANIZADA NUM 26, CORTE 28 CM</v>
      </c>
    </row>
    <row r="3850" spans="1:10" x14ac:dyDescent="0.25">
      <c r="A3850" s="169">
        <v>1113</v>
      </c>
      <c r="B3850" s="169" t="s">
        <v>27329</v>
      </c>
      <c r="C3850" s="169" t="s">
        <v>10229</v>
      </c>
      <c r="D3850" s="169" t="s">
        <v>1289</v>
      </c>
      <c r="E3850" s="103" t="s">
        <v>28600</v>
      </c>
      <c r="F3850" s="104"/>
      <c r="G3850" s="105">
        <f t="shared" si="240"/>
        <v>32.85</v>
      </c>
      <c r="H3850" s="101" t="str">
        <f t="shared" si="241"/>
        <v>Sinapi 1113</v>
      </c>
      <c r="I3850" s="101" t="str">
        <f t="shared" si="242"/>
        <v>M</v>
      </c>
      <c r="J3850" s="140" t="str">
        <f t="shared" si="243"/>
        <v>RUFO EXTERNO/INTERNO DE CHAPA DE ACO GALVANIZADA NUM 26, CORTE 33 CM</v>
      </c>
    </row>
    <row r="3851" spans="1:10" x14ac:dyDescent="0.25">
      <c r="A3851" s="169">
        <v>1114</v>
      </c>
      <c r="B3851" s="169" t="s">
        <v>27330</v>
      </c>
      <c r="C3851" s="169" t="s">
        <v>10229</v>
      </c>
      <c r="D3851" s="169" t="s">
        <v>1289</v>
      </c>
      <c r="E3851" s="103" t="s">
        <v>26831</v>
      </c>
      <c r="F3851" s="104"/>
      <c r="G3851" s="105">
        <f t="shared" si="240"/>
        <v>39.14</v>
      </c>
      <c r="H3851" s="101" t="str">
        <f t="shared" si="241"/>
        <v>Sinapi 1114</v>
      </c>
      <c r="I3851" s="101" t="str">
        <f t="shared" si="242"/>
        <v>M</v>
      </c>
      <c r="J3851" s="140" t="str">
        <f t="shared" si="243"/>
        <v>RUFO INTERNO DE CHAPA DE ACO GALVANIZADA NUM 26, CORTE 50 CM</v>
      </c>
    </row>
    <row r="3852" spans="1:10" x14ac:dyDescent="0.25">
      <c r="A3852" s="169">
        <v>40873</v>
      </c>
      <c r="B3852" s="169" t="s">
        <v>1230</v>
      </c>
      <c r="C3852" s="169" t="s">
        <v>10229</v>
      </c>
      <c r="D3852" s="169" t="s">
        <v>1289</v>
      </c>
      <c r="E3852" s="103" t="s">
        <v>31139</v>
      </c>
      <c r="F3852" s="104"/>
      <c r="G3852" s="105">
        <f t="shared" si="240"/>
        <v>30.62</v>
      </c>
      <c r="H3852" s="101" t="str">
        <f t="shared" si="241"/>
        <v>Sinapi 40873</v>
      </c>
      <c r="I3852" s="101" t="str">
        <f t="shared" si="242"/>
        <v>M</v>
      </c>
      <c r="J3852" s="140" t="str">
        <f t="shared" si="243"/>
        <v>RUFO INTERNO/EXTERNO DE CHAPA DE ACO GALVANIZADA NUM 24, CORTE 25 CM</v>
      </c>
    </row>
    <row r="3853" spans="1:10" x14ac:dyDescent="0.25">
      <c r="A3853" s="169">
        <v>20214</v>
      </c>
      <c r="B3853" s="169" t="s">
        <v>27331</v>
      </c>
      <c r="C3853" s="169" t="s">
        <v>10225</v>
      </c>
      <c r="D3853" s="169" t="s">
        <v>1289</v>
      </c>
      <c r="E3853" s="103" t="s">
        <v>31140</v>
      </c>
      <c r="F3853" s="104"/>
      <c r="G3853" s="105">
        <f t="shared" si="240"/>
        <v>80.53</v>
      </c>
      <c r="H3853" s="101" t="str">
        <f t="shared" si="241"/>
        <v>Sinapi 20214</v>
      </c>
      <c r="I3853" s="101" t="str">
        <f t="shared" si="242"/>
        <v>UN</v>
      </c>
      <c r="J3853" s="140" t="str">
        <f t="shared" si="243"/>
        <v>RUFO PARA TELHA ESTRUTURAL DE FIBROCIMENTO 1 ABA (SEM AMIANTO)</v>
      </c>
    </row>
    <row r="3854" spans="1:10" x14ac:dyDescent="0.25">
      <c r="A3854" s="169">
        <v>7237</v>
      </c>
      <c r="B3854" s="169" t="s">
        <v>27332</v>
      </c>
      <c r="C3854" s="169" t="s">
        <v>10225</v>
      </c>
      <c r="D3854" s="169" t="s">
        <v>1289</v>
      </c>
      <c r="E3854" s="103" t="s">
        <v>31141</v>
      </c>
      <c r="F3854" s="104"/>
      <c r="G3854" s="105">
        <f t="shared" si="240"/>
        <v>78.84</v>
      </c>
      <c r="H3854" s="101" t="str">
        <f t="shared" si="241"/>
        <v>Sinapi 7237</v>
      </c>
      <c r="I3854" s="101" t="str">
        <f t="shared" si="242"/>
        <v>UN</v>
      </c>
      <c r="J3854" s="140" t="str">
        <f t="shared" si="243"/>
        <v>RUFO PARA TELHA ONDULADA DE FIBROCIMENTO, E = 6 MM, ABA *260* MM, COMPRIMENTO 1100 MM (SEM AMIANTO)</v>
      </c>
    </row>
    <row r="3855" spans="1:10" x14ac:dyDescent="0.25">
      <c r="A3855" s="169">
        <v>11757</v>
      </c>
      <c r="B3855" s="169" t="s">
        <v>27333</v>
      </c>
      <c r="C3855" s="169" t="s">
        <v>10225</v>
      </c>
      <c r="D3855" s="169" t="s">
        <v>1288</v>
      </c>
      <c r="E3855" s="103" t="s">
        <v>20025</v>
      </c>
      <c r="F3855" s="104"/>
      <c r="G3855" s="105">
        <f t="shared" si="240"/>
        <v>59</v>
      </c>
      <c r="H3855" s="101" t="str">
        <f t="shared" si="241"/>
        <v>Sinapi 11757</v>
      </c>
      <c r="I3855" s="101" t="str">
        <f t="shared" si="242"/>
        <v>UN</v>
      </c>
      <c r="J3855" s="140" t="str">
        <f t="shared" si="243"/>
        <v>SABONETEIRA DE PAREDE EM METAL CROMADO</v>
      </c>
    </row>
    <row r="3856" spans="1:10" x14ac:dyDescent="0.25">
      <c r="A3856" s="169">
        <v>11758</v>
      </c>
      <c r="B3856" s="169" t="s">
        <v>27334</v>
      </c>
      <c r="C3856" s="169" t="s">
        <v>10225</v>
      </c>
      <c r="D3856" s="169" t="s">
        <v>1288</v>
      </c>
      <c r="E3856" s="103" t="s">
        <v>30690</v>
      </c>
      <c r="F3856" s="104"/>
      <c r="G3856" s="105">
        <f t="shared" si="240"/>
        <v>87.5</v>
      </c>
      <c r="H3856" s="101" t="str">
        <f t="shared" si="241"/>
        <v>Sinapi 11758</v>
      </c>
      <c r="I3856" s="101" t="str">
        <f t="shared" si="242"/>
        <v>UN</v>
      </c>
      <c r="J3856" s="140" t="str">
        <f t="shared" si="243"/>
        <v>SABONETEIRA PLASTICA TIPO DISPENSER PARA SABONETE LIQUIDO COM RESERVATORIO 800 A 1500 ML</v>
      </c>
    </row>
    <row r="3857" spans="1:10" x14ac:dyDescent="0.25">
      <c r="A3857" s="169">
        <v>37526</v>
      </c>
      <c r="B3857" s="169" t="s">
        <v>27335</v>
      </c>
      <c r="C3857" s="169" t="s">
        <v>10225</v>
      </c>
      <c r="D3857" s="169" t="s">
        <v>1289</v>
      </c>
      <c r="E3857" s="103" t="s">
        <v>16419</v>
      </c>
      <c r="F3857" s="104"/>
      <c r="G3857" s="105">
        <f t="shared" si="240"/>
        <v>5.39</v>
      </c>
      <c r="H3857" s="101" t="str">
        <f t="shared" si="241"/>
        <v>Sinapi 37526</v>
      </c>
      <c r="I3857" s="101" t="str">
        <f t="shared" si="242"/>
        <v>UN</v>
      </c>
      <c r="J3857" s="140" t="str">
        <f t="shared" si="243"/>
        <v>SACO DE RAFIA PARA ENTULHO, NOVO, LISO (SEM CLICHE), *60 x 90* CM</v>
      </c>
    </row>
    <row r="3858" spans="1:10" x14ac:dyDescent="0.25">
      <c r="A3858" s="169">
        <v>6076</v>
      </c>
      <c r="B3858" s="169" t="s">
        <v>27336</v>
      </c>
      <c r="C3858" s="169" t="s">
        <v>10234</v>
      </c>
      <c r="D3858" s="169" t="s">
        <v>1290</v>
      </c>
      <c r="E3858" s="103" t="s">
        <v>28735</v>
      </c>
      <c r="F3858" s="104"/>
      <c r="G3858" s="105">
        <f t="shared" si="240"/>
        <v>65</v>
      </c>
      <c r="H3858" s="101" t="str">
        <f t="shared" si="241"/>
        <v>Sinapi 6076</v>
      </c>
      <c r="I3858" s="101" t="str">
        <f t="shared" si="242"/>
        <v>M3</v>
      </c>
      <c r="J3858" s="140" t="str">
        <f t="shared" si="243"/>
        <v>SAIBRO PARA ARGAMASSA (COLETADO NO COMERCIO)</v>
      </c>
    </row>
    <row r="3859" spans="1:10" x14ac:dyDescent="0.25">
      <c r="A3859" s="169">
        <v>13109</v>
      </c>
      <c r="B3859" s="169" t="s">
        <v>27337</v>
      </c>
      <c r="C3859" s="169" t="s">
        <v>10225</v>
      </c>
      <c r="D3859" s="169" t="s">
        <v>1290</v>
      </c>
      <c r="E3859" s="103" t="s">
        <v>27338</v>
      </c>
      <c r="F3859" s="104"/>
      <c r="G3859" s="105">
        <f t="shared" si="240"/>
        <v>270.93</v>
      </c>
      <c r="H3859" s="101" t="str">
        <f t="shared" si="241"/>
        <v>Sinapi 13109</v>
      </c>
      <c r="I3859" s="101" t="str">
        <f t="shared" si="242"/>
        <v>UN</v>
      </c>
      <c r="J3859" s="140" t="str">
        <f t="shared" si="243"/>
        <v>SAPATA DE PVC ADITIVADO NERVURADO D = 6"</v>
      </c>
    </row>
    <row r="3860" spans="1:10" x14ac:dyDescent="0.25">
      <c r="A3860" s="169">
        <v>13110</v>
      </c>
      <c r="B3860" s="169" t="s">
        <v>27339</v>
      </c>
      <c r="C3860" s="169" t="s">
        <v>10225</v>
      </c>
      <c r="D3860" s="169" t="s">
        <v>1290</v>
      </c>
      <c r="E3860" s="103" t="s">
        <v>27340</v>
      </c>
      <c r="F3860" s="104"/>
      <c r="G3860" s="105">
        <f t="shared" si="240"/>
        <v>356.56</v>
      </c>
      <c r="H3860" s="101" t="str">
        <f t="shared" si="241"/>
        <v>Sinapi 13110</v>
      </c>
      <c r="I3860" s="101" t="str">
        <f t="shared" si="242"/>
        <v>UN</v>
      </c>
      <c r="J3860" s="140" t="str">
        <f t="shared" si="243"/>
        <v>SAPATA DE PVC ADITIVADO NERVURADO D = 8"</v>
      </c>
    </row>
    <row r="3861" spans="1:10" x14ac:dyDescent="0.25">
      <c r="A3861" s="169">
        <v>7581</v>
      </c>
      <c r="B3861" s="169" t="s">
        <v>27341</v>
      </c>
      <c r="C3861" s="169" t="s">
        <v>10225</v>
      </c>
      <c r="D3861" s="169" t="s">
        <v>1289</v>
      </c>
      <c r="E3861" s="103" t="s">
        <v>14637</v>
      </c>
      <c r="F3861" s="104"/>
      <c r="G3861" s="105">
        <f t="shared" si="240"/>
        <v>3.21</v>
      </c>
      <c r="H3861" s="101" t="str">
        <f t="shared" si="241"/>
        <v>Sinapi 7581</v>
      </c>
      <c r="I3861" s="101" t="str">
        <f t="shared" si="242"/>
        <v>UN</v>
      </c>
      <c r="J3861" s="140" t="str">
        <f t="shared" si="243"/>
        <v>SAPATILHA EM ACO GALVANIZADO PARA CABOS COM DIAMETRO NOMINAL ATE 5/8"</v>
      </c>
    </row>
    <row r="3862" spans="1:10" x14ac:dyDescent="0.25">
      <c r="A3862" s="169">
        <v>4509</v>
      </c>
      <c r="B3862" s="169" t="s">
        <v>11622</v>
      </c>
      <c r="C3862" s="169" t="s">
        <v>10229</v>
      </c>
      <c r="D3862" s="169" t="s">
        <v>1289</v>
      </c>
      <c r="E3862" s="103" t="s">
        <v>23874</v>
      </c>
      <c r="F3862" s="104"/>
      <c r="G3862" s="105">
        <f t="shared" si="240"/>
        <v>2.96</v>
      </c>
      <c r="H3862" s="101" t="str">
        <f t="shared" si="241"/>
        <v>Sinapi 4509</v>
      </c>
      <c r="I3862" s="101" t="str">
        <f t="shared" si="242"/>
        <v>M</v>
      </c>
      <c r="J3862" s="140" t="str">
        <f t="shared" si="243"/>
        <v>SARRAFO *2,5 X 10* CM EM PINUS, MISTA OU EQUIVALENTE DA REGIAO - BRUTA</v>
      </c>
    </row>
    <row r="3863" spans="1:10" x14ac:dyDescent="0.25">
      <c r="A3863" s="169">
        <v>4512</v>
      </c>
      <c r="B3863" s="169" t="s">
        <v>27342</v>
      </c>
      <c r="C3863" s="169" t="s">
        <v>10229</v>
      </c>
      <c r="D3863" s="169" t="s">
        <v>1289</v>
      </c>
      <c r="E3863" s="103" t="s">
        <v>10275</v>
      </c>
      <c r="F3863" s="104"/>
      <c r="G3863" s="105">
        <f t="shared" si="240"/>
        <v>1.41</v>
      </c>
      <c r="H3863" s="101" t="str">
        <f t="shared" si="241"/>
        <v>Sinapi 4512</v>
      </c>
      <c r="I3863" s="101" t="str">
        <f t="shared" si="242"/>
        <v>M</v>
      </c>
      <c r="J3863" s="140" t="str">
        <f t="shared" si="243"/>
        <v>SARRAFO *2,5 X 5* CM EM PINUS, MISTA OU EQUIVALENTE DA REGIAO - BRUTA</v>
      </c>
    </row>
    <row r="3864" spans="1:10" x14ac:dyDescent="0.25">
      <c r="A3864" s="169">
        <v>4517</v>
      </c>
      <c r="B3864" s="169" t="s">
        <v>11623</v>
      </c>
      <c r="C3864" s="169" t="s">
        <v>10229</v>
      </c>
      <c r="D3864" s="169" t="s">
        <v>1289</v>
      </c>
      <c r="E3864" s="103" t="s">
        <v>18557</v>
      </c>
      <c r="F3864" s="104"/>
      <c r="G3864" s="105">
        <f t="shared" si="240"/>
        <v>2.04</v>
      </c>
      <c r="H3864" s="101" t="str">
        <f t="shared" si="241"/>
        <v>Sinapi 4517</v>
      </c>
      <c r="I3864" s="101" t="str">
        <f t="shared" si="242"/>
        <v>M</v>
      </c>
      <c r="J3864" s="140" t="str">
        <f t="shared" si="243"/>
        <v>SARRAFO *2,5 X 7,5* CM EM PINUS, MISTA OU EQUIVALENTE DA REGIAO - BRUTA</v>
      </c>
    </row>
    <row r="3865" spans="1:10" x14ac:dyDescent="0.25">
      <c r="A3865" s="169">
        <v>20206</v>
      </c>
      <c r="B3865" s="169" t="s">
        <v>31142</v>
      </c>
      <c r="C3865" s="169" t="s">
        <v>10229</v>
      </c>
      <c r="D3865" s="169" t="s">
        <v>1289</v>
      </c>
      <c r="E3865" s="103" t="s">
        <v>13752</v>
      </c>
      <c r="F3865" s="104"/>
      <c r="G3865" s="105">
        <f t="shared" si="240"/>
        <v>7.73</v>
      </c>
      <c r="H3865" s="101" t="str">
        <f t="shared" si="241"/>
        <v>Sinapi 20206</v>
      </c>
      <c r="I3865" s="101" t="str">
        <f t="shared" si="242"/>
        <v>M</v>
      </c>
      <c r="J3865" s="140" t="str">
        <f t="shared" si="243"/>
        <v>SARRAFO APARELHADO *2 X 10* CM, EM MACARANDUBA/MASSARANDUBA, ANGELIM OU EQUIVALENTE DA REGIAO</v>
      </c>
    </row>
    <row r="3866" spans="1:10" x14ac:dyDescent="0.25">
      <c r="A3866" s="169">
        <v>4460</v>
      </c>
      <c r="B3866" s="169" t="s">
        <v>31143</v>
      </c>
      <c r="C3866" s="169" t="s">
        <v>10229</v>
      </c>
      <c r="D3866" s="169" t="s">
        <v>1289</v>
      </c>
      <c r="E3866" s="103" t="s">
        <v>21536</v>
      </c>
      <c r="F3866" s="104"/>
      <c r="G3866" s="105">
        <f t="shared" si="240"/>
        <v>7.94</v>
      </c>
      <c r="H3866" s="101" t="str">
        <f t="shared" si="241"/>
        <v>Sinapi 4460</v>
      </c>
      <c r="I3866" s="101" t="str">
        <f t="shared" si="242"/>
        <v>M</v>
      </c>
      <c r="J3866" s="140" t="str">
        <f t="shared" si="243"/>
        <v>SARRAFO NAO APARELHADO *2,5 X 10* CM, EM MACARANDUBA/MASSARANDUBA, ANGELIM OU EQUIVALENTE DA REGIAO - BRUTA</v>
      </c>
    </row>
    <row r="3867" spans="1:10" x14ac:dyDescent="0.25">
      <c r="A3867" s="169">
        <v>4415</v>
      </c>
      <c r="B3867" s="169" t="s">
        <v>31144</v>
      </c>
      <c r="C3867" s="169" t="s">
        <v>10229</v>
      </c>
      <c r="D3867" s="169" t="s">
        <v>1289</v>
      </c>
      <c r="E3867" s="103" t="s">
        <v>31145</v>
      </c>
      <c r="F3867" s="104"/>
      <c r="G3867" s="105">
        <f t="shared" si="240"/>
        <v>4.25</v>
      </c>
      <c r="H3867" s="101" t="str">
        <f t="shared" si="241"/>
        <v>Sinapi 4415</v>
      </c>
      <c r="I3867" s="101" t="str">
        <f t="shared" si="242"/>
        <v>M</v>
      </c>
      <c r="J3867" s="140" t="str">
        <f t="shared" si="243"/>
        <v>SARRAFO NAO APARELHADO *2,5 X 5* CM, EM MACARANDUBA/MASSARANDUBA, ANGELIM, PEROBA-ROSA OU EQUIVALENTE DA REGIAO - BRUTA</v>
      </c>
    </row>
    <row r="3868" spans="1:10" x14ac:dyDescent="0.25">
      <c r="A3868" s="169">
        <v>4417</v>
      </c>
      <c r="B3868" s="169" t="s">
        <v>31146</v>
      </c>
      <c r="C3868" s="169" t="s">
        <v>10229</v>
      </c>
      <c r="D3868" s="169" t="s">
        <v>1289</v>
      </c>
      <c r="E3868" s="103" t="s">
        <v>21324</v>
      </c>
      <c r="F3868" s="104"/>
      <c r="G3868" s="105">
        <f t="shared" si="240"/>
        <v>6.12</v>
      </c>
      <c r="H3868" s="101" t="str">
        <f t="shared" si="241"/>
        <v>Sinapi 4417</v>
      </c>
      <c r="I3868" s="101" t="str">
        <f t="shared" si="242"/>
        <v>M</v>
      </c>
      <c r="J3868" s="140" t="str">
        <f t="shared" si="243"/>
        <v>SARRAFO NAO APARELHADO *2,5 X 7* CM, EM MACARANDUBA/MASSARANDUBA, ANGELIM, PEROBA-ROSA OU EQUIVALENTE DA REGIAO - BRUTA</v>
      </c>
    </row>
    <row r="3869" spans="1:10" x14ac:dyDescent="0.25">
      <c r="A3869" s="169">
        <v>37373</v>
      </c>
      <c r="B3869" s="169" t="s">
        <v>27344</v>
      </c>
      <c r="C3869" s="169" t="s">
        <v>10228</v>
      </c>
      <c r="D3869" s="169" t="s">
        <v>1288</v>
      </c>
      <c r="E3869" s="103" t="s">
        <v>3119</v>
      </c>
      <c r="F3869" s="104"/>
      <c r="G3869" s="105">
        <f t="shared" si="240"/>
        <v>7.0000000000000007E-2</v>
      </c>
      <c r="H3869" s="101" t="str">
        <f t="shared" si="241"/>
        <v>Sinapi 37373</v>
      </c>
      <c r="I3869" s="101" t="str">
        <f t="shared" si="242"/>
        <v>H</v>
      </c>
      <c r="J3869" s="140" t="str">
        <f t="shared" si="243"/>
        <v>SEGURO - HORISTA (COLETADO CAIXA - ENCARGOS COMPLEMENTARES)</v>
      </c>
    </row>
    <row r="3870" spans="1:10" x14ac:dyDescent="0.25">
      <c r="A3870" s="169">
        <v>40864</v>
      </c>
      <c r="B3870" s="169" t="s">
        <v>27345</v>
      </c>
      <c r="C3870" s="169" t="s">
        <v>10235</v>
      </c>
      <c r="D3870" s="169" t="s">
        <v>1288</v>
      </c>
      <c r="E3870" s="103" t="s">
        <v>16445</v>
      </c>
      <c r="F3870" s="104"/>
      <c r="G3870" s="105">
        <f t="shared" si="240"/>
        <v>12.89</v>
      </c>
      <c r="H3870" s="101" t="str">
        <f t="shared" si="241"/>
        <v>Sinapi 40864</v>
      </c>
      <c r="I3870" s="101" t="str">
        <f t="shared" si="242"/>
        <v>MES</v>
      </c>
      <c r="J3870" s="140" t="str">
        <f t="shared" si="243"/>
        <v>SEGURO - MENSALISTA (COLETADO CAIXA - ENCARGOS COMPLEMENTARES)</v>
      </c>
    </row>
    <row r="3871" spans="1:10" x14ac:dyDescent="0.25">
      <c r="A3871" s="169">
        <v>4734</v>
      </c>
      <c r="B3871" s="169" t="s">
        <v>27346</v>
      </c>
      <c r="C3871" s="169" t="s">
        <v>10234</v>
      </c>
      <c r="D3871" s="169" t="s">
        <v>1289</v>
      </c>
      <c r="E3871" s="103" t="s">
        <v>31147</v>
      </c>
      <c r="F3871" s="104"/>
      <c r="G3871" s="105">
        <f t="shared" si="240"/>
        <v>776.64</v>
      </c>
      <c r="H3871" s="101" t="str">
        <f t="shared" si="241"/>
        <v>Sinapi 4734</v>
      </c>
      <c r="I3871" s="101" t="str">
        <f t="shared" si="242"/>
        <v>M3</v>
      </c>
      <c r="J3871" s="140" t="str">
        <f t="shared" si="243"/>
        <v>SEIXO ROLADO PARA APLICACAO EM CONCRETO (POSTO PEDREIRA/FORNECEDOR, SEM FRETE)</v>
      </c>
    </row>
    <row r="3872" spans="1:10" x14ac:dyDescent="0.25">
      <c r="A3872" s="169">
        <v>6085</v>
      </c>
      <c r="B3872" s="169" t="s">
        <v>27347</v>
      </c>
      <c r="C3872" s="169" t="s">
        <v>10230</v>
      </c>
      <c r="D3872" s="169" t="s">
        <v>1288</v>
      </c>
      <c r="E3872" s="103" t="s">
        <v>6550</v>
      </c>
      <c r="F3872" s="104"/>
      <c r="G3872" s="105">
        <f t="shared" si="240"/>
        <v>10.56</v>
      </c>
      <c r="H3872" s="101" t="str">
        <f t="shared" si="241"/>
        <v>Sinapi 6085</v>
      </c>
      <c r="I3872" s="101" t="str">
        <f t="shared" si="242"/>
        <v>L</v>
      </c>
      <c r="J3872" s="140" t="str">
        <f t="shared" si="243"/>
        <v>SELADOR ACRILICO OPACO PREMIUM INTERIOR/EXTERIOR</v>
      </c>
    </row>
    <row r="3873" spans="1:10" x14ac:dyDescent="0.25">
      <c r="A3873" s="169">
        <v>38396</v>
      </c>
      <c r="B3873" s="169" t="s">
        <v>27348</v>
      </c>
      <c r="C3873" s="169" t="s">
        <v>10225</v>
      </c>
      <c r="D3873" s="169" t="s">
        <v>1289</v>
      </c>
      <c r="E3873" s="103" t="s">
        <v>31148</v>
      </c>
      <c r="F3873" s="104"/>
      <c r="G3873" s="105">
        <f t="shared" si="240"/>
        <v>579.41</v>
      </c>
      <c r="H3873" s="101" t="str">
        <f t="shared" si="241"/>
        <v>Sinapi 38396</v>
      </c>
      <c r="I3873" s="101" t="str">
        <f t="shared" si="242"/>
        <v>UN</v>
      </c>
      <c r="J3873" s="140" t="str">
        <f t="shared" si="243"/>
        <v>SELADOR HORIZONTAL PARA FITA DE ACO 1 "</v>
      </c>
    </row>
    <row r="3874" spans="1:10" x14ac:dyDescent="0.25">
      <c r="A3874" s="169">
        <v>11622</v>
      </c>
      <c r="B3874" s="169" t="s">
        <v>1134</v>
      </c>
      <c r="C3874" s="169" t="s">
        <v>10231</v>
      </c>
      <c r="D3874" s="169" t="s">
        <v>1289</v>
      </c>
      <c r="E3874" s="103" t="s">
        <v>31149</v>
      </c>
      <c r="F3874" s="104"/>
      <c r="G3874" s="105">
        <f t="shared" si="240"/>
        <v>87.51</v>
      </c>
      <c r="H3874" s="101" t="str">
        <f t="shared" si="241"/>
        <v>Sinapi 11622</v>
      </c>
      <c r="I3874" s="101" t="str">
        <f t="shared" si="242"/>
        <v>KG</v>
      </c>
      <c r="J3874" s="140" t="str">
        <f t="shared" si="243"/>
        <v>SELANTE A BASE DE ALCATRAO E POLIURETANO PARA JUNTAS HORIZONTAIS</v>
      </c>
    </row>
    <row r="3875" spans="1:10" x14ac:dyDescent="0.25">
      <c r="A3875" s="169">
        <v>43143</v>
      </c>
      <c r="B3875" s="169" t="s">
        <v>27349</v>
      </c>
      <c r="C3875" s="169" t="s">
        <v>10230</v>
      </c>
      <c r="D3875" s="169" t="s">
        <v>1289</v>
      </c>
      <c r="E3875" s="103" t="s">
        <v>21176</v>
      </c>
      <c r="F3875" s="104"/>
      <c r="G3875" s="105">
        <f t="shared" si="240"/>
        <v>33.049999999999997</v>
      </c>
      <c r="H3875" s="101" t="str">
        <f t="shared" si="241"/>
        <v>Sinapi 43143</v>
      </c>
      <c r="I3875" s="101" t="str">
        <f t="shared" si="242"/>
        <v>L</v>
      </c>
      <c r="J3875" s="140" t="str">
        <f t="shared" si="243"/>
        <v>SELANTE ACRILICO PARA TRATAMENTO / ACABAMENTO SUPERFICIAL DE CONCRETO ESTAMPADO, APARENTE, PEDRAS E OUTROS</v>
      </c>
    </row>
    <row r="3876" spans="1:10" x14ac:dyDescent="0.25">
      <c r="A3876" s="169">
        <v>7317</v>
      </c>
      <c r="B3876" s="169" t="s">
        <v>27350</v>
      </c>
      <c r="C3876" s="169" t="s">
        <v>10231</v>
      </c>
      <c r="D3876" s="169" t="s">
        <v>1289</v>
      </c>
      <c r="E3876" s="103" t="s">
        <v>26950</v>
      </c>
      <c r="F3876" s="104"/>
      <c r="G3876" s="105">
        <f t="shared" si="240"/>
        <v>46.54</v>
      </c>
      <c r="H3876" s="101" t="str">
        <f t="shared" si="241"/>
        <v>Sinapi 7317</v>
      </c>
      <c r="I3876" s="101" t="str">
        <f t="shared" si="242"/>
        <v>KG</v>
      </c>
      <c r="J3876" s="140" t="str">
        <f t="shared" si="243"/>
        <v>SELANTE DE BASE ASFALTICA PARA VEDACAO</v>
      </c>
    </row>
    <row r="3877" spans="1:10" x14ac:dyDescent="0.25">
      <c r="A3877" s="169">
        <v>142</v>
      </c>
      <c r="B3877" s="169" t="s">
        <v>937</v>
      </c>
      <c r="C3877" s="169" t="s">
        <v>10282</v>
      </c>
      <c r="D3877" s="169" t="s">
        <v>1289</v>
      </c>
      <c r="E3877" s="103" t="s">
        <v>31150</v>
      </c>
      <c r="F3877" s="104"/>
      <c r="G3877" s="105">
        <f t="shared" si="240"/>
        <v>41.29</v>
      </c>
      <c r="H3877" s="101" t="str">
        <f t="shared" si="241"/>
        <v>Sinapi 142</v>
      </c>
      <c r="I3877" s="101" t="str">
        <f t="shared" si="242"/>
        <v>310ML</v>
      </c>
      <c r="J3877" s="140" t="str">
        <f t="shared" si="243"/>
        <v>SELANTE ELASTICO MONOCOMPONENTE A BASE DE POLIURETANO (PU) PARA JUNTAS DIVERSAS</v>
      </c>
    </row>
    <row r="3878" spans="1:10" x14ac:dyDescent="0.25">
      <c r="A3878" s="169">
        <v>43142</v>
      </c>
      <c r="B3878" s="169" t="s">
        <v>1093</v>
      </c>
      <c r="C3878" s="169" t="s">
        <v>10230</v>
      </c>
      <c r="D3878" s="169" t="s">
        <v>1289</v>
      </c>
      <c r="E3878" s="103" t="s">
        <v>31151</v>
      </c>
      <c r="F3878" s="104"/>
      <c r="G3878" s="105">
        <f t="shared" si="240"/>
        <v>187.56</v>
      </c>
      <c r="H3878" s="101" t="str">
        <f t="shared" si="241"/>
        <v>Sinapi 43142</v>
      </c>
      <c r="I3878" s="101" t="str">
        <f t="shared" si="242"/>
        <v>L</v>
      </c>
      <c r="J3878" s="140" t="str">
        <f t="shared" si="243"/>
        <v>SELANTE MONOCOMPONENTE A BASE DE SILICONE DE BAIXO MODULO, PARA JUNTAS DE PAVIMENTACAO</v>
      </c>
    </row>
    <row r="3879" spans="1:10" x14ac:dyDescent="0.25">
      <c r="A3879" s="169">
        <v>38123</v>
      </c>
      <c r="B3879" s="169" t="s">
        <v>27352</v>
      </c>
      <c r="C3879" s="169" t="s">
        <v>10231</v>
      </c>
      <c r="D3879" s="169" t="s">
        <v>1289</v>
      </c>
      <c r="E3879" s="103" t="s">
        <v>28849</v>
      </c>
      <c r="F3879" s="104"/>
      <c r="G3879" s="105">
        <f t="shared" si="240"/>
        <v>66.760000000000005</v>
      </c>
      <c r="H3879" s="101" t="str">
        <f t="shared" si="241"/>
        <v>Sinapi 38123</v>
      </c>
      <c r="I3879" s="101" t="str">
        <f t="shared" si="242"/>
        <v>KG</v>
      </c>
      <c r="J3879" s="140" t="str">
        <f t="shared" si="243"/>
        <v>SELANTE TIPO VEDA CALHA PARA METAL E FIBROCIMENTO</v>
      </c>
    </row>
    <row r="3880" spans="1:10" x14ac:dyDescent="0.25">
      <c r="A3880" s="169">
        <v>42699</v>
      </c>
      <c r="B3880" s="169" t="s">
        <v>27353</v>
      </c>
      <c r="C3880" s="169" t="s">
        <v>10225</v>
      </c>
      <c r="D3880" s="169" t="s">
        <v>1289</v>
      </c>
      <c r="E3880" s="103" t="s">
        <v>20102</v>
      </c>
      <c r="F3880" s="104"/>
      <c r="G3880" s="105">
        <f t="shared" si="240"/>
        <v>32.49</v>
      </c>
      <c r="H3880" s="101" t="str">
        <f t="shared" si="241"/>
        <v>Sinapi 42699</v>
      </c>
      <c r="I3880" s="101" t="str">
        <f t="shared" si="242"/>
        <v>UN</v>
      </c>
      <c r="J3880" s="140" t="str">
        <f t="shared" si="243"/>
        <v>SELIM PVC, COM TRAVA, JE, 90 GRAUS, DN 125 X 100 MM OU 150 X 100 MM, PARA REDE COLETORA ESGOTO</v>
      </c>
    </row>
    <row r="3881" spans="1:10" x14ac:dyDescent="0.25">
      <c r="A3881" s="169">
        <v>37743</v>
      </c>
      <c r="B3881" s="169" t="s">
        <v>27355</v>
      </c>
      <c r="C3881" s="169" t="s">
        <v>10225</v>
      </c>
      <c r="D3881" s="169" t="s">
        <v>1290</v>
      </c>
      <c r="E3881" s="103" t="s">
        <v>31152</v>
      </c>
      <c r="F3881" s="104"/>
      <c r="G3881" s="105">
        <f t="shared" si="240"/>
        <v>216505.66</v>
      </c>
      <c r="H3881" s="101" t="str">
        <f t="shared" si="241"/>
        <v>Sinapi 37743</v>
      </c>
      <c r="I3881" s="101" t="str">
        <f t="shared" si="242"/>
        <v>UN</v>
      </c>
      <c r="J3881" s="140" t="str">
        <f t="shared" si="243"/>
        <v>SEMIRREBOQUE COM DOIS EIXOS EM TANDEM TIPO BASCULANTE COM CACAMBA METALICA 14 M3 (INCLUI MONTAGEM, NAO INCLUI CAVALO MECANICO)</v>
      </c>
    </row>
    <row r="3882" spans="1:10" x14ac:dyDescent="0.25">
      <c r="A3882" s="169">
        <v>37744</v>
      </c>
      <c r="B3882" s="169" t="s">
        <v>27356</v>
      </c>
      <c r="C3882" s="169" t="s">
        <v>10225</v>
      </c>
      <c r="D3882" s="169" t="s">
        <v>1290</v>
      </c>
      <c r="E3882" s="103" t="s">
        <v>31153</v>
      </c>
      <c r="F3882" s="104"/>
      <c r="G3882" s="105">
        <f t="shared" si="240"/>
        <v>254569.93</v>
      </c>
      <c r="H3882" s="101" t="str">
        <f t="shared" si="241"/>
        <v>Sinapi 37744</v>
      </c>
      <c r="I3882" s="101" t="str">
        <f t="shared" si="242"/>
        <v>UN</v>
      </c>
      <c r="J3882" s="140" t="str">
        <f t="shared" si="243"/>
        <v>SEMIRREBOQUE COM TRES EIXOS EM TANDEM TIPO BASCULANTE COM CACAMBA METALICA 18 M3 (INCLUI MONTAGEM, NAO INCLUI CAVALO MECANICO)</v>
      </c>
    </row>
    <row r="3883" spans="1:10" x14ac:dyDescent="0.25">
      <c r="A3883" s="169">
        <v>37741</v>
      </c>
      <c r="B3883" s="169" t="s">
        <v>27357</v>
      </c>
      <c r="C3883" s="169" t="s">
        <v>10225</v>
      </c>
      <c r="D3883" s="169" t="s">
        <v>1290</v>
      </c>
      <c r="E3883" s="103" t="s">
        <v>31154</v>
      </c>
      <c r="F3883" s="104"/>
      <c r="G3883" s="105">
        <f t="shared" si="240"/>
        <v>196867.41</v>
      </c>
      <c r="H3883" s="101" t="str">
        <f t="shared" si="241"/>
        <v>Sinapi 37741</v>
      </c>
      <c r="I3883" s="101" t="str">
        <f t="shared" si="242"/>
        <v>UN</v>
      </c>
      <c r="J3883" s="140" t="str">
        <f t="shared" si="243"/>
        <v>SEMIRREBOQUE COM TRES EIXOS, PARA TRANSPORTE DE CARGA SECA, DIMENSOES APROXIMADAS 2,60 X 12,50 X 0,50 M (NAO INCLUI CAVALO MECANICO)</v>
      </c>
    </row>
    <row r="3884" spans="1:10" x14ac:dyDescent="0.25">
      <c r="A3884" s="169">
        <v>39396</v>
      </c>
      <c r="B3884" s="169" t="s">
        <v>27358</v>
      </c>
      <c r="C3884" s="169" t="s">
        <v>10225</v>
      </c>
      <c r="D3884" s="169" t="s">
        <v>1290</v>
      </c>
      <c r="E3884" s="103" t="s">
        <v>23340</v>
      </c>
      <c r="F3884" s="104"/>
      <c r="G3884" s="105">
        <f t="shared" si="240"/>
        <v>73.11</v>
      </c>
      <c r="H3884" s="101" t="str">
        <f t="shared" si="241"/>
        <v>Sinapi 39396</v>
      </c>
      <c r="I3884" s="101" t="str">
        <f t="shared" si="242"/>
        <v>UN</v>
      </c>
      <c r="J3884" s="140" t="str">
        <f t="shared" si="243"/>
        <v>SENSOR DE PRESENCA BIVOLT COM FOTOCELULA PARA QUALQUER TIPO DE LAMPADA, POTENCIA MAXIMA *1000* W, USO EXTERNO</v>
      </c>
    </row>
    <row r="3885" spans="1:10" x14ac:dyDescent="0.25">
      <c r="A3885" s="169">
        <v>39392</v>
      </c>
      <c r="B3885" s="169" t="s">
        <v>27359</v>
      </c>
      <c r="C3885" s="169" t="s">
        <v>10225</v>
      </c>
      <c r="D3885" s="169" t="s">
        <v>1290</v>
      </c>
      <c r="E3885" s="103" t="s">
        <v>27360</v>
      </c>
      <c r="F3885" s="104"/>
      <c r="G3885" s="105">
        <f t="shared" si="240"/>
        <v>82.47</v>
      </c>
      <c r="H3885" s="101" t="str">
        <f t="shared" si="241"/>
        <v>Sinapi 39392</v>
      </c>
      <c r="I3885" s="101" t="str">
        <f t="shared" si="242"/>
        <v>UN</v>
      </c>
      <c r="J3885" s="140" t="str">
        <f t="shared" si="243"/>
        <v>SENSOR DE PRESENCA BIVOLT DE PAREDE COM FOTOCELULA PARA QUALQUER TIPO DE LAMPADA POTENCIA MAXIMA *1000* W, USO INTERNO</v>
      </c>
    </row>
    <row r="3886" spans="1:10" x14ac:dyDescent="0.25">
      <c r="A3886" s="169">
        <v>39393</v>
      </c>
      <c r="B3886" s="169" t="s">
        <v>27361</v>
      </c>
      <c r="C3886" s="169" t="s">
        <v>10225</v>
      </c>
      <c r="D3886" s="169" t="s">
        <v>1290</v>
      </c>
      <c r="E3886" s="103" t="s">
        <v>21441</v>
      </c>
      <c r="F3886" s="104"/>
      <c r="G3886" s="105">
        <f t="shared" si="240"/>
        <v>51</v>
      </c>
      <c r="H3886" s="101" t="str">
        <f t="shared" si="241"/>
        <v>Sinapi 39393</v>
      </c>
      <c r="I3886" s="101" t="str">
        <f t="shared" si="242"/>
        <v>UN</v>
      </c>
      <c r="J3886" s="140" t="str">
        <f t="shared" si="243"/>
        <v>SENSOR DE PRESENCA BIVOLT DE PAREDE SEM FOTOCELULA PARA QUALQUER TIPO DE LAMPADA POTENCIA MAXIMA *1000* W, USO INTERNO</v>
      </c>
    </row>
    <row r="3887" spans="1:10" x14ac:dyDescent="0.25">
      <c r="A3887" s="169">
        <v>39394</v>
      </c>
      <c r="B3887" s="169" t="s">
        <v>27362</v>
      </c>
      <c r="C3887" s="169" t="s">
        <v>10225</v>
      </c>
      <c r="D3887" s="169" t="s">
        <v>1290</v>
      </c>
      <c r="E3887" s="103" t="s">
        <v>27363</v>
      </c>
      <c r="F3887" s="104"/>
      <c r="G3887" s="105">
        <f t="shared" si="240"/>
        <v>57.4</v>
      </c>
      <c r="H3887" s="101" t="str">
        <f t="shared" si="241"/>
        <v>Sinapi 39394</v>
      </c>
      <c r="I3887" s="101" t="str">
        <f t="shared" si="242"/>
        <v>UN</v>
      </c>
      <c r="J3887" s="140" t="str">
        <f t="shared" si="243"/>
        <v>SENSOR DE PRESENCA BIVOLT DE TETO COM FOTOCELULA PARA QUALQUER TIPO DE LAMPADA POTENCIA MAXIMA *1000* W, USO INTERNO</v>
      </c>
    </row>
    <row r="3888" spans="1:10" x14ac:dyDescent="0.25">
      <c r="A3888" s="169">
        <v>39395</v>
      </c>
      <c r="B3888" s="169" t="s">
        <v>27364</v>
      </c>
      <c r="C3888" s="169" t="s">
        <v>10225</v>
      </c>
      <c r="D3888" s="169" t="s">
        <v>1290</v>
      </c>
      <c r="E3888" s="103" t="s">
        <v>19377</v>
      </c>
      <c r="F3888" s="104"/>
      <c r="G3888" s="105">
        <f t="shared" si="240"/>
        <v>53.38</v>
      </c>
      <c r="H3888" s="101" t="str">
        <f t="shared" si="241"/>
        <v>Sinapi 39395</v>
      </c>
      <c r="I3888" s="101" t="str">
        <f t="shared" si="242"/>
        <v>UN</v>
      </c>
      <c r="J3888" s="140" t="str">
        <f t="shared" si="243"/>
        <v>SENSOR DE PRESENCA BIVOLT DE TETO SEM FOTOCELULA PARA QUALQUER TIPO DE LAMPADA POTENCIA MAXIMA *900* W, USO INTERNO</v>
      </c>
    </row>
    <row r="3889" spans="1:10" x14ac:dyDescent="0.25">
      <c r="A3889" s="169">
        <v>14618</v>
      </c>
      <c r="B3889" s="169" t="s">
        <v>27365</v>
      </c>
      <c r="C3889" s="169" t="s">
        <v>10225</v>
      </c>
      <c r="D3889" s="169" t="s">
        <v>1289</v>
      </c>
      <c r="E3889" s="103" t="s">
        <v>31155</v>
      </c>
      <c r="F3889" s="104"/>
      <c r="G3889" s="105">
        <f t="shared" si="240"/>
        <v>1651.44</v>
      </c>
      <c r="H3889" s="101" t="str">
        <f t="shared" si="241"/>
        <v>Sinapi 14618</v>
      </c>
      <c r="I3889" s="101" t="str">
        <f t="shared" si="242"/>
        <v>UN</v>
      </c>
      <c r="J3889" s="140" t="str">
        <f t="shared" si="243"/>
        <v>SERRA CIRCULAR DE BANCADA COM MOTOR ELETRICO, POTENCIA DE *1600* W, PARA DISCO DE DIAMETRO DE 10" (250 MM)</v>
      </c>
    </row>
    <row r="3890" spans="1:10" x14ac:dyDescent="0.25">
      <c r="A3890" s="169">
        <v>40269</v>
      </c>
      <c r="B3890" s="169" t="s">
        <v>27366</v>
      </c>
      <c r="C3890" s="169" t="s">
        <v>10225</v>
      </c>
      <c r="D3890" s="169" t="s">
        <v>1289</v>
      </c>
      <c r="E3890" s="103" t="s">
        <v>31156</v>
      </c>
      <c r="F3890" s="104"/>
      <c r="G3890" s="105">
        <f t="shared" si="240"/>
        <v>6653.52</v>
      </c>
      <c r="H3890" s="101" t="str">
        <f t="shared" si="241"/>
        <v>Sinapi 40269</v>
      </c>
      <c r="I3890" s="101" t="str">
        <f t="shared" si="242"/>
        <v>UN</v>
      </c>
      <c r="J3890" s="140" t="str">
        <f t="shared" si="243"/>
        <v>SERRA CIRCULAR DE BANCADA, MODELO PICA-PAU, DIAMETRO DE 350 MM. CARACTERISTICAS DO MOTOR: TRIFASICO, POTENCIA DE 5 HP, FREQUENCIA DE 60 HZ</v>
      </c>
    </row>
    <row r="3891" spans="1:10" x14ac:dyDescent="0.25">
      <c r="A3891" s="169">
        <v>6110</v>
      </c>
      <c r="B3891" s="169" t="s">
        <v>27367</v>
      </c>
      <c r="C3891" s="169" t="s">
        <v>10228</v>
      </c>
      <c r="D3891" s="169" t="s">
        <v>1289</v>
      </c>
      <c r="E3891" s="103" t="s">
        <v>27635</v>
      </c>
      <c r="F3891" s="104"/>
      <c r="G3891" s="105">
        <f t="shared" si="240"/>
        <v>19.86</v>
      </c>
      <c r="H3891" s="101" t="str">
        <f t="shared" si="241"/>
        <v>Sinapi 6110</v>
      </c>
      <c r="I3891" s="101" t="str">
        <f t="shared" si="242"/>
        <v>H</v>
      </c>
      <c r="J3891" s="140" t="str">
        <f t="shared" si="243"/>
        <v>SERRALHEIRO (HORISTA)</v>
      </c>
    </row>
    <row r="3892" spans="1:10" x14ac:dyDescent="0.25">
      <c r="A3892" s="169">
        <v>40910</v>
      </c>
      <c r="B3892" s="169" t="s">
        <v>27368</v>
      </c>
      <c r="C3892" s="169" t="s">
        <v>10235</v>
      </c>
      <c r="D3892" s="169" t="s">
        <v>1289</v>
      </c>
      <c r="E3892" s="103" t="s">
        <v>29669</v>
      </c>
      <c r="F3892" s="104"/>
      <c r="G3892" s="105">
        <f t="shared" si="240"/>
        <v>3455.98</v>
      </c>
      <c r="H3892" s="101" t="str">
        <f t="shared" si="241"/>
        <v>Sinapi 40910</v>
      </c>
      <c r="I3892" s="101" t="str">
        <f t="shared" si="242"/>
        <v>MES</v>
      </c>
      <c r="J3892" s="140" t="str">
        <f t="shared" si="243"/>
        <v>SERRALHEIRO (MENSALISTA)</v>
      </c>
    </row>
    <row r="3893" spans="1:10" x14ac:dyDescent="0.25">
      <c r="A3893" s="169">
        <v>6111</v>
      </c>
      <c r="B3893" s="169" t="s">
        <v>27369</v>
      </c>
      <c r="C3893" s="169" t="s">
        <v>10228</v>
      </c>
      <c r="D3893" s="169" t="s">
        <v>1288</v>
      </c>
      <c r="E3893" s="103" t="s">
        <v>10273</v>
      </c>
      <c r="F3893" s="104"/>
      <c r="G3893" s="105">
        <f t="shared" si="240"/>
        <v>13.38</v>
      </c>
      <c r="H3893" s="101" t="str">
        <f t="shared" si="241"/>
        <v>Sinapi 6111</v>
      </c>
      <c r="I3893" s="101" t="str">
        <f t="shared" si="242"/>
        <v>H</v>
      </c>
      <c r="J3893" s="140" t="str">
        <f t="shared" si="243"/>
        <v>SERVENTE DE OBRAS</v>
      </c>
    </row>
    <row r="3894" spans="1:10" x14ac:dyDescent="0.25">
      <c r="A3894" s="169">
        <v>41084</v>
      </c>
      <c r="B3894" s="169" t="s">
        <v>27370</v>
      </c>
      <c r="C3894" s="169" t="s">
        <v>10235</v>
      </c>
      <c r="D3894" s="169" t="s">
        <v>1289</v>
      </c>
      <c r="E3894" s="103" t="s">
        <v>29687</v>
      </c>
      <c r="F3894" s="104"/>
      <c r="G3894" s="105">
        <f t="shared" si="240"/>
        <v>2329.0300000000002</v>
      </c>
      <c r="H3894" s="101" t="str">
        <f t="shared" si="241"/>
        <v>Sinapi 41084</v>
      </c>
      <c r="I3894" s="101" t="str">
        <f t="shared" si="242"/>
        <v>MES</v>
      </c>
      <c r="J3894" s="140" t="str">
        <f t="shared" si="243"/>
        <v>SERVENTE DE OBRAS (MENSALISTA)</v>
      </c>
    </row>
    <row r="3895" spans="1:10" x14ac:dyDescent="0.25">
      <c r="A3895" s="169">
        <v>44535</v>
      </c>
      <c r="B3895" s="169" t="s">
        <v>27371</v>
      </c>
      <c r="C3895" s="169" t="s">
        <v>10234</v>
      </c>
      <c r="D3895" s="169" t="s">
        <v>1289</v>
      </c>
      <c r="E3895" s="103" t="s">
        <v>31157</v>
      </c>
      <c r="F3895" s="104"/>
      <c r="G3895" s="105">
        <f t="shared" si="240"/>
        <v>113.61</v>
      </c>
      <c r="H3895" s="101" t="str">
        <f t="shared" si="241"/>
        <v>Sinapi 44535</v>
      </c>
      <c r="I3895" s="101" t="str">
        <f t="shared" si="242"/>
        <v>M3</v>
      </c>
      <c r="J3895" s="140" t="str">
        <f t="shared" si="243"/>
        <v>SERVICO DE BOMBEAMENTO DE CONCRETO COM CONSUMO MINIMO DE 40 M3, (DISPONIBILIZACAO DE BOMBA), SEM O LANCAMENTO</v>
      </c>
    </row>
    <row r="3896" spans="1:10" x14ac:dyDescent="0.25">
      <c r="A3896" s="169">
        <v>44945</v>
      </c>
      <c r="B3896" s="169" t="s">
        <v>27373</v>
      </c>
      <c r="C3896" s="169" t="s">
        <v>10225</v>
      </c>
      <c r="D3896" s="169" t="s">
        <v>1288</v>
      </c>
      <c r="E3896" s="103" t="s">
        <v>19359</v>
      </c>
      <c r="F3896" s="104"/>
      <c r="G3896" s="105">
        <f t="shared" si="240"/>
        <v>8</v>
      </c>
      <c r="H3896" s="101" t="str">
        <f t="shared" si="241"/>
        <v>Sinapi 44945</v>
      </c>
      <c r="I3896" s="101" t="str">
        <f t="shared" si="242"/>
        <v>UN</v>
      </c>
      <c r="J3896" s="140" t="str">
        <f t="shared" si="243"/>
        <v>SIFAO / TUBO SINFONADO EXTENSIVEL/SANFONADO, UNIVERSAL/ SIMPLES, ENTRE *50 A 70* CM, DE PLASTICO BRANCO</v>
      </c>
    </row>
    <row r="3897" spans="1:10" x14ac:dyDescent="0.25">
      <c r="A3897" s="169">
        <v>38637</v>
      </c>
      <c r="B3897" s="169" t="s">
        <v>27374</v>
      </c>
      <c r="C3897" s="169" t="s">
        <v>10225</v>
      </c>
      <c r="D3897" s="169" t="s">
        <v>1289</v>
      </c>
      <c r="E3897" s="103" t="s">
        <v>31158</v>
      </c>
      <c r="F3897" s="104"/>
      <c r="G3897" s="105">
        <f t="shared" si="240"/>
        <v>187.26</v>
      </c>
      <c r="H3897" s="101" t="str">
        <f t="shared" si="241"/>
        <v>Sinapi 38637</v>
      </c>
      <c r="I3897" s="101" t="str">
        <f t="shared" si="242"/>
        <v>UN</v>
      </c>
      <c r="J3897" s="140" t="str">
        <f t="shared" si="243"/>
        <v>SIFAO EM METAL CROMADO PARA PIA AMERICANA, 1.1/2 X 1.1/2 "</v>
      </c>
    </row>
    <row r="3898" spans="1:10" x14ac:dyDescent="0.25">
      <c r="A3898" s="169">
        <v>6150</v>
      </c>
      <c r="B3898" s="169" t="s">
        <v>27375</v>
      </c>
      <c r="C3898" s="169" t="s">
        <v>10225</v>
      </c>
      <c r="D3898" s="169" t="s">
        <v>1289</v>
      </c>
      <c r="E3898" s="103" t="s">
        <v>31159</v>
      </c>
      <c r="F3898" s="104"/>
      <c r="G3898" s="105">
        <f t="shared" si="240"/>
        <v>189.55</v>
      </c>
      <c r="H3898" s="101" t="str">
        <f t="shared" si="241"/>
        <v>Sinapi 6150</v>
      </c>
      <c r="I3898" s="101" t="str">
        <f t="shared" si="242"/>
        <v>UN</v>
      </c>
      <c r="J3898" s="140" t="str">
        <f t="shared" si="243"/>
        <v>SIFAO EM METAL CROMADO PARA PIA AMERICANA, 1.1/2 X 2 "</v>
      </c>
    </row>
    <row r="3899" spans="1:10" x14ac:dyDescent="0.25">
      <c r="A3899" s="169">
        <v>6136</v>
      </c>
      <c r="B3899" s="169" t="s">
        <v>27376</v>
      </c>
      <c r="C3899" s="169" t="s">
        <v>10225</v>
      </c>
      <c r="D3899" s="169" t="s">
        <v>1288</v>
      </c>
      <c r="E3899" s="103" t="s">
        <v>31160</v>
      </c>
      <c r="F3899" s="104"/>
      <c r="G3899" s="105">
        <f t="shared" si="240"/>
        <v>149</v>
      </c>
      <c r="H3899" s="101" t="str">
        <f t="shared" si="241"/>
        <v>Sinapi 6136</v>
      </c>
      <c r="I3899" s="101" t="str">
        <f t="shared" si="242"/>
        <v>UN</v>
      </c>
      <c r="J3899" s="140" t="str">
        <f t="shared" si="243"/>
        <v>SIFAO EM METAL CROMADO PARA PIA OU LAVATORIO, 1 X 1.1/2 "</v>
      </c>
    </row>
    <row r="3900" spans="1:10" x14ac:dyDescent="0.25">
      <c r="A3900" s="169">
        <v>38638</v>
      </c>
      <c r="B3900" s="169" t="s">
        <v>27377</v>
      </c>
      <c r="C3900" s="169" t="s">
        <v>10225</v>
      </c>
      <c r="D3900" s="169" t="s">
        <v>1289</v>
      </c>
      <c r="E3900" s="103" t="s">
        <v>31161</v>
      </c>
      <c r="F3900" s="104"/>
      <c r="G3900" s="105">
        <f t="shared" si="240"/>
        <v>157.80000000000001</v>
      </c>
      <c r="H3900" s="101" t="str">
        <f t="shared" si="241"/>
        <v>Sinapi 38638</v>
      </c>
      <c r="I3900" s="101" t="str">
        <f t="shared" si="242"/>
        <v>UN</v>
      </c>
      <c r="J3900" s="140" t="str">
        <f t="shared" si="243"/>
        <v>SIFAO EM METAL CROMADO PARA TANQUE, 1.1/4 X 1.1/2 "</v>
      </c>
    </row>
    <row r="3901" spans="1:10" x14ac:dyDescent="0.25">
      <c r="A3901" s="169">
        <v>20262</v>
      </c>
      <c r="B3901" s="169" t="s">
        <v>27378</v>
      </c>
      <c r="C3901" s="169" t="s">
        <v>10225</v>
      </c>
      <c r="D3901" s="169" t="s">
        <v>1289</v>
      </c>
      <c r="E3901" s="103" t="s">
        <v>20644</v>
      </c>
      <c r="F3901" s="104"/>
      <c r="G3901" s="105">
        <f t="shared" si="240"/>
        <v>14.65</v>
      </c>
      <c r="H3901" s="101" t="str">
        <f t="shared" si="241"/>
        <v>Sinapi 20262</v>
      </c>
      <c r="I3901" s="101" t="str">
        <f t="shared" si="242"/>
        <v>UN</v>
      </c>
      <c r="J3901" s="140" t="str">
        <f t="shared" si="243"/>
        <v>SIFAO PLASTICO EXTENSIVEL UNIVERSAL, TIPO COPO</v>
      </c>
    </row>
    <row r="3902" spans="1:10" x14ac:dyDescent="0.25">
      <c r="A3902" s="169">
        <v>6145</v>
      </c>
      <c r="B3902" s="169" t="s">
        <v>27379</v>
      </c>
      <c r="C3902" s="169" t="s">
        <v>10225</v>
      </c>
      <c r="D3902" s="169" t="s">
        <v>1289</v>
      </c>
      <c r="E3902" s="103" t="s">
        <v>18109</v>
      </c>
      <c r="F3902" s="104"/>
      <c r="G3902" s="105">
        <f t="shared" si="240"/>
        <v>16.18</v>
      </c>
      <c r="H3902" s="101" t="str">
        <f t="shared" si="241"/>
        <v>Sinapi 6145</v>
      </c>
      <c r="I3902" s="101" t="str">
        <f t="shared" si="242"/>
        <v>UN</v>
      </c>
      <c r="J3902" s="140" t="str">
        <f t="shared" si="243"/>
        <v>SIFAO PLASTICO TIPO COPO PARA PIA AMERICANA 1.1/2 X 1.1/2 "</v>
      </c>
    </row>
    <row r="3903" spans="1:10" x14ac:dyDescent="0.25">
      <c r="A3903" s="169">
        <v>6149</v>
      </c>
      <c r="B3903" s="169" t="s">
        <v>27380</v>
      </c>
      <c r="C3903" s="169" t="s">
        <v>10225</v>
      </c>
      <c r="D3903" s="169" t="s">
        <v>1289</v>
      </c>
      <c r="E3903" s="103" t="s">
        <v>19866</v>
      </c>
      <c r="F3903" s="104"/>
      <c r="G3903" s="105">
        <f t="shared" si="240"/>
        <v>10.7</v>
      </c>
      <c r="H3903" s="101" t="str">
        <f t="shared" si="241"/>
        <v>Sinapi 6149</v>
      </c>
      <c r="I3903" s="101" t="str">
        <f t="shared" si="242"/>
        <v>UN</v>
      </c>
      <c r="J3903" s="140" t="str">
        <f t="shared" si="243"/>
        <v>SIFAO PLASTICO TIPO COPO PARA PIA OU LAVATORIO, 1 X 1.1/2 "</v>
      </c>
    </row>
    <row r="3904" spans="1:10" x14ac:dyDescent="0.25">
      <c r="A3904" s="169">
        <v>6146</v>
      </c>
      <c r="B3904" s="169" t="s">
        <v>27381</v>
      </c>
      <c r="C3904" s="169" t="s">
        <v>10225</v>
      </c>
      <c r="D3904" s="169" t="s">
        <v>1289</v>
      </c>
      <c r="E3904" s="103" t="s">
        <v>19941</v>
      </c>
      <c r="F3904" s="104"/>
      <c r="G3904" s="105">
        <f t="shared" si="240"/>
        <v>15.38</v>
      </c>
      <c r="H3904" s="101" t="str">
        <f t="shared" si="241"/>
        <v>Sinapi 6146</v>
      </c>
      <c r="I3904" s="101" t="str">
        <f t="shared" si="242"/>
        <v>UN</v>
      </c>
      <c r="J3904" s="140" t="str">
        <f t="shared" si="243"/>
        <v>SIFAO PLASTICO TIPO COPO PARA TANQUE, 1.1/4 X 1.1/2 "</v>
      </c>
    </row>
    <row r="3905" spans="1:10" x14ac:dyDescent="0.25">
      <c r="A3905" s="169">
        <v>44536</v>
      </c>
      <c r="B3905" s="169" t="s">
        <v>27383</v>
      </c>
      <c r="C3905" s="169" t="s">
        <v>10231</v>
      </c>
      <c r="D3905" s="169" t="s">
        <v>1289</v>
      </c>
      <c r="E3905" s="103" t="s">
        <v>17974</v>
      </c>
      <c r="F3905" s="104"/>
      <c r="G3905" s="105">
        <f t="shared" si="240"/>
        <v>3.47</v>
      </c>
      <c r="H3905" s="101" t="str">
        <f t="shared" si="241"/>
        <v>Sinapi 44536</v>
      </c>
      <c r="I3905" s="101" t="str">
        <f t="shared" si="242"/>
        <v>KG</v>
      </c>
      <c r="J3905" s="140" t="str">
        <f t="shared" si="243"/>
        <v>SILICA ATIVA PARA ADICAO EM CONCRETO E ARGAMASSA</v>
      </c>
    </row>
    <row r="3906" spans="1:10" x14ac:dyDescent="0.25">
      <c r="A3906" s="169">
        <v>39961</v>
      </c>
      <c r="B3906" s="169" t="s">
        <v>27384</v>
      </c>
      <c r="C3906" s="169" t="s">
        <v>10225</v>
      </c>
      <c r="D3906" s="169" t="s">
        <v>1289</v>
      </c>
      <c r="E3906" s="103" t="s">
        <v>31162</v>
      </c>
      <c r="F3906" s="104"/>
      <c r="G3906" s="105">
        <f t="shared" si="240"/>
        <v>27.28</v>
      </c>
      <c r="H3906" s="101" t="str">
        <f t="shared" si="241"/>
        <v>Sinapi 39961</v>
      </c>
      <c r="I3906" s="101" t="str">
        <f t="shared" si="242"/>
        <v>UN</v>
      </c>
      <c r="J3906" s="140" t="str">
        <f t="shared" si="243"/>
        <v>SILICONE ACETICO USO GERAL INCOLOR 280 G</v>
      </c>
    </row>
    <row r="3907" spans="1:10" x14ac:dyDescent="0.25">
      <c r="A3907" s="169">
        <v>42433</v>
      </c>
      <c r="B3907" s="169" t="s">
        <v>27385</v>
      </c>
      <c r="C3907" s="169" t="s">
        <v>10225</v>
      </c>
      <c r="D3907" s="169" t="s">
        <v>1290</v>
      </c>
      <c r="E3907" s="103" t="s">
        <v>21087</v>
      </c>
      <c r="F3907" s="104"/>
      <c r="G3907" s="105">
        <f t="shared" si="240"/>
        <v>4789.18</v>
      </c>
      <c r="H3907" s="101" t="str">
        <f t="shared" si="241"/>
        <v>Sinapi 42433</v>
      </c>
      <c r="I3907" s="101" t="str">
        <f t="shared" si="242"/>
        <v>UN</v>
      </c>
      <c r="J3907" s="140" t="str">
        <f t="shared" si="243"/>
        <v>SIMULADOR DE CAMINHADA TRIPLO, EM TUBO DE ACO CARBONO, PINTURA NO PROCESSO ELETROSTATICO - EQUIPAMENTO DE GINASTICA PARA ACADEMIA AO AR LIVRE / ACADEMIA DA TERCEIRA IDADE - ATI</v>
      </c>
    </row>
    <row r="3908" spans="1:10" x14ac:dyDescent="0.25">
      <c r="A3908" s="169">
        <v>42434</v>
      </c>
      <c r="B3908" s="169" t="s">
        <v>27386</v>
      </c>
      <c r="C3908" s="169" t="s">
        <v>10225</v>
      </c>
      <c r="D3908" s="169" t="s">
        <v>1290</v>
      </c>
      <c r="E3908" s="103" t="s">
        <v>21088</v>
      </c>
      <c r="F3908" s="104"/>
      <c r="G3908" s="105">
        <f t="shared" si="240"/>
        <v>5175.3999999999996</v>
      </c>
      <c r="H3908" s="101" t="str">
        <f t="shared" si="241"/>
        <v>Sinapi 42434</v>
      </c>
      <c r="I3908" s="101" t="str">
        <f t="shared" si="242"/>
        <v>UN</v>
      </c>
      <c r="J3908" s="140" t="str">
        <f t="shared" si="243"/>
        <v>SIMULADOR DE CAVALGADA TRIPLO, EM TUBO DE ACO CARBONO, PINTURA NO PROCESSO ELETROSTATICO - EQUIPAMENTO DE GINASTICA PARA ACADEMIA AO AR LIVRE / ACADEMIA DA TERCEIRA IDADE - ATI</v>
      </c>
    </row>
    <row r="3909" spans="1:10" x14ac:dyDescent="0.25">
      <c r="A3909" s="169">
        <v>42435</v>
      </c>
      <c r="B3909" s="169" t="s">
        <v>27387</v>
      </c>
      <c r="C3909" s="169" t="s">
        <v>10225</v>
      </c>
      <c r="D3909" s="169" t="s">
        <v>1290</v>
      </c>
      <c r="E3909" s="103" t="s">
        <v>21089</v>
      </c>
      <c r="F3909" s="104"/>
      <c r="G3909" s="105">
        <f t="shared" si="240"/>
        <v>2580.7800000000002</v>
      </c>
      <c r="H3909" s="101" t="str">
        <f t="shared" si="241"/>
        <v>Sinapi 42435</v>
      </c>
      <c r="I3909" s="101" t="str">
        <f t="shared" si="242"/>
        <v>UN</v>
      </c>
      <c r="J3909" s="140" t="str">
        <f t="shared" si="243"/>
        <v>SIMULADOR DE REMO INDIVIDUAL, EM TUBO DE ACO CARBONO, PINTURA NO PROCESSO ELETROSTATICO - EQUIPAMENTO DE GINASTICA PARA ACADEMIA AO AR LIVRE / ACADEMIA DA TERCEIRA IDADE - ATI</v>
      </c>
    </row>
    <row r="3910" spans="1:10" x14ac:dyDescent="0.25">
      <c r="A3910" s="169">
        <v>38061</v>
      </c>
      <c r="B3910" s="169" t="s">
        <v>27388</v>
      </c>
      <c r="C3910" s="169" t="s">
        <v>10225</v>
      </c>
      <c r="D3910" s="169" t="s">
        <v>1289</v>
      </c>
      <c r="E3910" s="103" t="s">
        <v>31163</v>
      </c>
      <c r="F3910" s="104"/>
      <c r="G3910" s="105">
        <f t="shared" si="240"/>
        <v>46.14</v>
      </c>
      <c r="H3910" s="101" t="str">
        <f t="shared" si="241"/>
        <v>Sinapi 38061</v>
      </c>
      <c r="I3910" s="101" t="str">
        <f t="shared" si="242"/>
        <v>UN</v>
      </c>
      <c r="J3910" s="140" t="str">
        <f t="shared" si="243"/>
        <v>SINALIZADOR NOTURNO SIMPLES PARA PARA-RAIOS, SEM RELE FOTOELETRICO</v>
      </c>
    </row>
    <row r="3911" spans="1:10" x14ac:dyDescent="0.25">
      <c r="A3911" s="169">
        <v>20250</v>
      </c>
      <c r="B3911" s="169" t="s">
        <v>27389</v>
      </c>
      <c r="C3911" s="169" t="s">
        <v>10231</v>
      </c>
      <c r="D3911" s="169" t="s">
        <v>1288</v>
      </c>
      <c r="E3911" s="103" t="s">
        <v>19912</v>
      </c>
      <c r="F3911" s="104"/>
      <c r="G3911" s="105">
        <f t="shared" si="240"/>
        <v>24.26</v>
      </c>
      <c r="H3911" s="101" t="str">
        <f t="shared" si="241"/>
        <v>Sinapi 20250</v>
      </c>
      <c r="I3911" s="101" t="str">
        <f t="shared" si="242"/>
        <v>KG</v>
      </c>
      <c r="J3911" s="140" t="str">
        <f t="shared" si="243"/>
        <v>SISAL EM FIBRA / ESTOPA SISAL PARA GESSO</v>
      </c>
    </row>
    <row r="3912" spans="1:10" x14ac:dyDescent="0.25">
      <c r="A3912" s="169">
        <v>13388</v>
      </c>
      <c r="B3912" s="169" t="s">
        <v>1227</v>
      </c>
      <c r="C3912" s="169" t="s">
        <v>10231</v>
      </c>
      <c r="D3912" s="169" t="s">
        <v>1289</v>
      </c>
      <c r="E3912" s="103" t="s">
        <v>31164</v>
      </c>
      <c r="F3912" s="104"/>
      <c r="G3912" s="105">
        <f t="shared" ref="G3912:G3975" si="244">IF(E3912="","",E3912+0)</f>
        <v>146.47999999999999</v>
      </c>
      <c r="H3912" s="101" t="str">
        <f t="shared" ref="H3912:H3975" si="245">IF(G3912="","",TRIM(CONCATENATE("Sinapi ",A3912)))</f>
        <v>Sinapi 13388</v>
      </c>
      <c r="I3912" s="101" t="str">
        <f t="shared" ref="I3912:I3975" si="246">TRIM(C3912)</f>
        <v>KG</v>
      </c>
      <c r="J3912" s="140" t="str">
        <f t="shared" si="243"/>
        <v>SOLDA EM BARRA DE ESTANHO-CHUMBO 50/50</v>
      </c>
    </row>
    <row r="3913" spans="1:10" x14ac:dyDescent="0.25">
      <c r="A3913" s="169">
        <v>39914</v>
      </c>
      <c r="B3913" s="169" t="s">
        <v>27390</v>
      </c>
      <c r="C3913" s="169" t="s">
        <v>10231</v>
      </c>
      <c r="D3913" s="169" t="s">
        <v>1290</v>
      </c>
      <c r="E3913" s="103" t="s">
        <v>31165</v>
      </c>
      <c r="F3913" s="104"/>
      <c r="G3913" s="105">
        <f t="shared" si="244"/>
        <v>231.97</v>
      </c>
      <c r="H3913" s="101" t="str">
        <f t="shared" si="245"/>
        <v>Sinapi 39914</v>
      </c>
      <c r="I3913" s="101" t="str">
        <f t="shared" si="246"/>
        <v>KG</v>
      </c>
      <c r="J3913" s="140" t="str">
        <f t="shared" ref="J3913:J3976" si="247">TRIM(B3913)</f>
        <v>SOLDA EM VARETA FOSCOPER, D = *2,5* MM X COMPRIMENTO 500 MM</v>
      </c>
    </row>
    <row r="3914" spans="1:10" x14ac:dyDescent="0.25">
      <c r="A3914" s="169">
        <v>12732</v>
      </c>
      <c r="B3914" s="169" t="s">
        <v>1055</v>
      </c>
      <c r="C3914" s="169" t="s">
        <v>10225</v>
      </c>
      <c r="D3914" s="169" t="s">
        <v>1290</v>
      </c>
      <c r="E3914" s="103" t="s">
        <v>31166</v>
      </c>
      <c r="F3914" s="104"/>
      <c r="G3914" s="105">
        <f t="shared" si="244"/>
        <v>267.66000000000003</v>
      </c>
      <c r="H3914" s="101" t="str">
        <f t="shared" si="245"/>
        <v>Sinapi 12732</v>
      </c>
      <c r="I3914" s="101" t="str">
        <f t="shared" si="246"/>
        <v>UN</v>
      </c>
      <c r="J3914" s="140" t="str">
        <f t="shared" si="247"/>
        <v>SOLDA ESTANHO/COBRE PARA CONEXOES DE COBRE, FIO 2,5 MM, CARRETEL 500 GR (SEM CHUMBO)</v>
      </c>
    </row>
    <row r="3915" spans="1:10" x14ac:dyDescent="0.25">
      <c r="A3915" s="169">
        <v>6160</v>
      </c>
      <c r="B3915" s="169" t="s">
        <v>27391</v>
      </c>
      <c r="C3915" s="169" t="s">
        <v>10228</v>
      </c>
      <c r="D3915" s="169" t="s">
        <v>1288</v>
      </c>
      <c r="E3915" s="103" t="s">
        <v>27635</v>
      </c>
      <c r="F3915" s="104"/>
      <c r="G3915" s="105">
        <f t="shared" si="244"/>
        <v>19.86</v>
      </c>
      <c r="H3915" s="101" t="str">
        <f t="shared" si="245"/>
        <v>Sinapi 6160</v>
      </c>
      <c r="I3915" s="101" t="str">
        <f t="shared" si="246"/>
        <v>H</v>
      </c>
      <c r="J3915" s="140" t="str">
        <f t="shared" si="247"/>
        <v>SOLDADOR (HORISTA)</v>
      </c>
    </row>
    <row r="3916" spans="1:10" x14ac:dyDescent="0.25">
      <c r="A3916" s="169">
        <v>41087</v>
      </c>
      <c r="B3916" s="169" t="s">
        <v>27392</v>
      </c>
      <c r="C3916" s="169" t="s">
        <v>10235</v>
      </c>
      <c r="D3916" s="169" t="s">
        <v>1289</v>
      </c>
      <c r="E3916" s="103" t="s">
        <v>29669</v>
      </c>
      <c r="F3916" s="104"/>
      <c r="G3916" s="105">
        <f t="shared" si="244"/>
        <v>3455.98</v>
      </c>
      <c r="H3916" s="101" t="str">
        <f t="shared" si="245"/>
        <v>Sinapi 41087</v>
      </c>
      <c r="I3916" s="101" t="str">
        <f t="shared" si="246"/>
        <v>MES</v>
      </c>
      <c r="J3916" s="140" t="str">
        <f t="shared" si="247"/>
        <v>SOLDADOR (MENSALISTA)</v>
      </c>
    </row>
    <row r="3917" spans="1:10" x14ac:dyDescent="0.25">
      <c r="A3917" s="169">
        <v>6166</v>
      </c>
      <c r="B3917" s="169" t="s">
        <v>27393</v>
      </c>
      <c r="C3917" s="169" t="s">
        <v>10228</v>
      </c>
      <c r="D3917" s="169" t="s">
        <v>1289</v>
      </c>
      <c r="E3917" s="103" t="s">
        <v>23268</v>
      </c>
      <c r="F3917" s="104"/>
      <c r="G3917" s="105">
        <f t="shared" si="244"/>
        <v>23.33</v>
      </c>
      <c r="H3917" s="101" t="str">
        <f t="shared" si="245"/>
        <v>Sinapi 6166</v>
      </c>
      <c r="I3917" s="101" t="str">
        <f t="shared" si="246"/>
        <v>H</v>
      </c>
      <c r="J3917" s="140" t="str">
        <f t="shared" si="247"/>
        <v>SOLDADOR ELETRICO (PARA SOLDA A SER TESTADA COM RAIOS "X") (HORISTA)</v>
      </c>
    </row>
    <row r="3918" spans="1:10" x14ac:dyDescent="0.25">
      <c r="A3918" s="169">
        <v>41088</v>
      </c>
      <c r="B3918" s="169" t="s">
        <v>27394</v>
      </c>
      <c r="C3918" s="169" t="s">
        <v>10235</v>
      </c>
      <c r="D3918" s="169" t="s">
        <v>1289</v>
      </c>
      <c r="E3918" s="103" t="s">
        <v>31167</v>
      </c>
      <c r="F3918" s="104"/>
      <c r="G3918" s="105">
        <f t="shared" si="244"/>
        <v>4061.2</v>
      </c>
      <c r="H3918" s="101" t="str">
        <f t="shared" si="245"/>
        <v>Sinapi 41088</v>
      </c>
      <c r="I3918" s="101" t="str">
        <f t="shared" si="246"/>
        <v>MES</v>
      </c>
      <c r="J3918" s="140" t="str">
        <f t="shared" si="247"/>
        <v>SOLDADOR ELETRICO (PARA SOLDA A SER TESTADA COM RAIOS "X") (MENSALISTA)</v>
      </c>
    </row>
    <row r="3919" spans="1:10" x14ac:dyDescent="0.25">
      <c r="A3919" s="169">
        <v>20232</v>
      </c>
      <c r="B3919" s="169" t="s">
        <v>27395</v>
      </c>
      <c r="C3919" s="169" t="s">
        <v>10229</v>
      </c>
      <c r="D3919" s="169" t="s">
        <v>1289</v>
      </c>
      <c r="E3919" s="103" t="s">
        <v>31168</v>
      </c>
      <c r="F3919" s="104"/>
      <c r="G3919" s="105">
        <f t="shared" si="244"/>
        <v>168.55</v>
      </c>
      <c r="H3919" s="101" t="str">
        <f t="shared" si="245"/>
        <v>Sinapi 20232</v>
      </c>
      <c r="I3919" s="101" t="str">
        <f t="shared" si="246"/>
        <v>M</v>
      </c>
      <c r="J3919" s="140" t="str">
        <f t="shared" si="247"/>
        <v>SOLEIRA EM GRANITO, POLIDO, TIPO ANDORINHA/ QUARTZ/ CASTELO/ CORUMBA OU OUTROS EQUIVALENTES DA REGIAO, L= *15* CM, E= *2,0* CM</v>
      </c>
    </row>
    <row r="3920" spans="1:10" x14ac:dyDescent="0.25">
      <c r="A3920" s="169">
        <v>10856</v>
      </c>
      <c r="B3920" s="169" t="s">
        <v>27396</v>
      </c>
      <c r="C3920" s="169" t="s">
        <v>10229</v>
      </c>
      <c r="D3920" s="169" t="s">
        <v>1290</v>
      </c>
      <c r="E3920" s="103" t="s">
        <v>22908</v>
      </c>
      <c r="F3920" s="104"/>
      <c r="G3920" s="105">
        <f t="shared" si="244"/>
        <v>103.78</v>
      </c>
      <c r="H3920" s="101" t="str">
        <f t="shared" si="245"/>
        <v>Sinapi 10856</v>
      </c>
      <c r="I3920" s="101" t="str">
        <f t="shared" si="246"/>
        <v>M</v>
      </c>
      <c r="J3920" s="140" t="str">
        <f t="shared" si="247"/>
        <v>SOLEIRA PRE-MOLDADA EM GRANILITE, MARMORITE OU GRANITINA, L = *15 CM</v>
      </c>
    </row>
    <row r="3921" spans="1:10" x14ac:dyDescent="0.25">
      <c r="A3921" s="169">
        <v>4828</v>
      </c>
      <c r="B3921" s="169" t="s">
        <v>27397</v>
      </c>
      <c r="C3921" s="169" t="s">
        <v>10229</v>
      </c>
      <c r="D3921" s="169" t="s">
        <v>1289</v>
      </c>
      <c r="E3921" s="103" t="s">
        <v>28934</v>
      </c>
      <c r="F3921" s="104"/>
      <c r="G3921" s="105">
        <f t="shared" si="244"/>
        <v>133.27000000000001</v>
      </c>
      <c r="H3921" s="101" t="str">
        <f t="shared" si="245"/>
        <v>Sinapi 4828</v>
      </c>
      <c r="I3921" s="101" t="str">
        <f t="shared" si="246"/>
        <v>M</v>
      </c>
      <c r="J3921" s="140" t="str">
        <f t="shared" si="247"/>
        <v>SOLEIRA/ PEITORIL EM MARMORE, POLIDO, BRANCO COMUM, L= *15* CM, E= *2* CM, CORTE RETO</v>
      </c>
    </row>
    <row r="3922" spans="1:10" x14ac:dyDescent="0.25">
      <c r="A3922" s="169">
        <v>20249</v>
      </c>
      <c r="B3922" s="169" t="s">
        <v>27398</v>
      </c>
      <c r="C3922" s="169" t="s">
        <v>10229</v>
      </c>
      <c r="D3922" s="169" t="s">
        <v>1289</v>
      </c>
      <c r="E3922" s="103" t="s">
        <v>31169</v>
      </c>
      <c r="F3922" s="104"/>
      <c r="G3922" s="105">
        <f t="shared" si="244"/>
        <v>72.98</v>
      </c>
      <c r="H3922" s="101" t="str">
        <f t="shared" si="245"/>
        <v>Sinapi 20249</v>
      </c>
      <c r="I3922" s="101" t="str">
        <f t="shared" si="246"/>
        <v>M</v>
      </c>
      <c r="J3922" s="140" t="str">
        <f t="shared" si="247"/>
        <v>SOLEIRA/ TABEIRA EM MARMORE, POLIDO, BRANCO COMUM, L= 5 CM, E= *2,0* CM</v>
      </c>
    </row>
    <row r="3923" spans="1:10" x14ac:dyDescent="0.25">
      <c r="A3923" s="169">
        <v>11609</v>
      </c>
      <c r="B3923" s="169" t="s">
        <v>27399</v>
      </c>
      <c r="C3923" s="169" t="s">
        <v>10230</v>
      </c>
      <c r="D3923" s="169" t="s">
        <v>1289</v>
      </c>
      <c r="E3923" s="103" t="s">
        <v>23478</v>
      </c>
      <c r="F3923" s="104"/>
      <c r="G3923" s="105">
        <f t="shared" si="244"/>
        <v>14.54</v>
      </c>
      <c r="H3923" s="101" t="str">
        <f t="shared" si="245"/>
        <v>Sinapi 11609</v>
      </c>
      <c r="I3923" s="101" t="str">
        <f t="shared" si="246"/>
        <v>L</v>
      </c>
      <c r="J3923" s="140" t="str">
        <f t="shared" si="247"/>
        <v>SOLUCAO ASFALTICA ELASTOMERICA PARA IMPRIMACAO, APLICACAO A FRIO</v>
      </c>
    </row>
    <row r="3924" spans="1:10" x14ac:dyDescent="0.25">
      <c r="A3924" s="169">
        <v>20083</v>
      </c>
      <c r="B3924" s="169" t="s">
        <v>27400</v>
      </c>
      <c r="C3924" s="169" t="s">
        <v>10225</v>
      </c>
      <c r="D3924" s="169" t="s">
        <v>1289</v>
      </c>
      <c r="E3924" s="103" t="s">
        <v>31170</v>
      </c>
      <c r="F3924" s="104"/>
      <c r="G3924" s="105">
        <f t="shared" si="244"/>
        <v>87.43</v>
      </c>
      <c r="H3924" s="101" t="str">
        <f t="shared" si="245"/>
        <v>Sinapi 20083</v>
      </c>
      <c r="I3924" s="101" t="str">
        <f t="shared" si="246"/>
        <v>UN</v>
      </c>
      <c r="J3924" s="140" t="str">
        <f t="shared" si="247"/>
        <v>SOLUCAO PREPARADORA / LIMPADORA PARA PVC, FRASCO COM 1000 CM3</v>
      </c>
    </row>
    <row r="3925" spans="1:10" x14ac:dyDescent="0.25">
      <c r="A3925" s="169">
        <v>10691</v>
      </c>
      <c r="B3925" s="169" t="s">
        <v>27402</v>
      </c>
      <c r="C3925" s="169" t="s">
        <v>10230</v>
      </c>
      <c r="D3925" s="169" t="s">
        <v>1290</v>
      </c>
      <c r="E3925" s="103" t="s">
        <v>21539</v>
      </c>
      <c r="F3925" s="104"/>
      <c r="G3925" s="105">
        <f t="shared" si="244"/>
        <v>83.23</v>
      </c>
      <c r="H3925" s="101" t="str">
        <f t="shared" si="245"/>
        <v>Sinapi 10691</v>
      </c>
      <c r="I3925" s="101" t="str">
        <f t="shared" si="246"/>
        <v>L</v>
      </c>
      <c r="J3925" s="140" t="str">
        <f t="shared" si="247"/>
        <v>SOLVENTE PARA COLA (PARA LAMINADO MELAMINICO) A BASE DE RESINA SINTETICA</v>
      </c>
    </row>
    <row r="3926" spans="1:10" x14ac:dyDescent="0.25">
      <c r="A3926" s="169">
        <v>12295</v>
      </c>
      <c r="B3926" s="169" t="s">
        <v>27403</v>
      </c>
      <c r="C3926" s="169" t="s">
        <v>10225</v>
      </c>
      <c r="D3926" s="169" t="s">
        <v>1289</v>
      </c>
      <c r="E3926" s="103" t="s">
        <v>18597</v>
      </c>
      <c r="F3926" s="104"/>
      <c r="G3926" s="105">
        <f t="shared" si="244"/>
        <v>3.8</v>
      </c>
      <c r="H3926" s="101" t="str">
        <f t="shared" si="245"/>
        <v>Sinapi 12295</v>
      </c>
      <c r="I3926" s="101" t="str">
        <f t="shared" si="246"/>
        <v>UN</v>
      </c>
      <c r="J3926" s="140" t="str">
        <f t="shared" si="247"/>
        <v>SOQUETE DE BAQUELITE BASE E27, PARA LAMPADAS</v>
      </c>
    </row>
    <row r="3927" spans="1:10" x14ac:dyDescent="0.25">
      <c r="A3927" s="169">
        <v>12296</v>
      </c>
      <c r="B3927" s="169" t="s">
        <v>27404</v>
      </c>
      <c r="C3927" s="169" t="s">
        <v>10225</v>
      </c>
      <c r="D3927" s="169" t="s">
        <v>1289</v>
      </c>
      <c r="E3927" s="103" t="s">
        <v>21284</v>
      </c>
      <c r="F3927" s="104"/>
      <c r="G3927" s="105">
        <f t="shared" si="244"/>
        <v>4.92</v>
      </c>
      <c r="H3927" s="101" t="str">
        <f t="shared" si="245"/>
        <v>Sinapi 12296</v>
      </c>
      <c r="I3927" s="101" t="str">
        <f t="shared" si="246"/>
        <v>UN</v>
      </c>
      <c r="J3927" s="140" t="str">
        <f t="shared" si="247"/>
        <v>SOQUETE DE PORCELANA BASE E27, FIXO DE TETO, PARA LAMPADAS</v>
      </c>
    </row>
    <row r="3928" spans="1:10" x14ac:dyDescent="0.25">
      <c r="A3928" s="169">
        <v>12294</v>
      </c>
      <c r="B3928" s="169" t="s">
        <v>27405</v>
      </c>
      <c r="C3928" s="169" t="s">
        <v>10225</v>
      </c>
      <c r="D3928" s="169" t="s">
        <v>1289</v>
      </c>
      <c r="E3928" s="103" t="s">
        <v>14640</v>
      </c>
      <c r="F3928" s="104"/>
      <c r="G3928" s="105">
        <f t="shared" si="244"/>
        <v>11.81</v>
      </c>
      <c r="H3928" s="101" t="str">
        <f t="shared" si="245"/>
        <v>Sinapi 12294</v>
      </c>
      <c r="I3928" s="101" t="str">
        <f t="shared" si="246"/>
        <v>UN</v>
      </c>
      <c r="J3928" s="140" t="str">
        <f t="shared" si="247"/>
        <v>SOQUETE DE PORCELANA BASE E27, PARA USO AO TEMPO, PARA LAMPADAS</v>
      </c>
    </row>
    <row r="3929" spans="1:10" x14ac:dyDescent="0.25">
      <c r="A3929" s="169">
        <v>14543</v>
      </c>
      <c r="B3929" s="169" t="s">
        <v>27406</v>
      </c>
      <c r="C3929" s="169" t="s">
        <v>10225</v>
      </c>
      <c r="D3929" s="169" t="s">
        <v>1289</v>
      </c>
      <c r="E3929" s="103" t="s">
        <v>17880</v>
      </c>
      <c r="F3929" s="104"/>
      <c r="G3929" s="105">
        <f t="shared" si="244"/>
        <v>8.43</v>
      </c>
      <c r="H3929" s="101" t="str">
        <f t="shared" si="245"/>
        <v>Sinapi 14543</v>
      </c>
      <c r="I3929" s="101" t="str">
        <f t="shared" si="246"/>
        <v>UN</v>
      </c>
      <c r="J3929" s="140" t="str">
        <f t="shared" si="247"/>
        <v>SOQUETE DE PVC / TERMOPLASTICO BASE E27, COM CHAVE, PARA LAMPADAS</v>
      </c>
    </row>
    <row r="3930" spans="1:10" x14ac:dyDescent="0.25">
      <c r="A3930" s="169">
        <v>13329</v>
      </c>
      <c r="B3930" s="169" t="s">
        <v>27407</v>
      </c>
      <c r="C3930" s="169" t="s">
        <v>10225</v>
      </c>
      <c r="D3930" s="169" t="s">
        <v>1288</v>
      </c>
      <c r="E3930" s="103" t="s">
        <v>15578</v>
      </c>
      <c r="F3930" s="104"/>
      <c r="G3930" s="105">
        <f t="shared" si="244"/>
        <v>4.95</v>
      </c>
      <c r="H3930" s="101" t="str">
        <f t="shared" si="245"/>
        <v>Sinapi 13329</v>
      </c>
      <c r="I3930" s="101" t="str">
        <f t="shared" si="246"/>
        <v>UN</v>
      </c>
      <c r="J3930" s="140" t="str">
        <f t="shared" si="247"/>
        <v>SOQUETE DE PVC / TERMOPLASTICO BASE E27, COM RABICHO, PARA LAMPADAS</v>
      </c>
    </row>
    <row r="3931" spans="1:10" x14ac:dyDescent="0.25">
      <c r="A3931" s="169">
        <v>21047</v>
      </c>
      <c r="B3931" s="169" t="s">
        <v>27408</v>
      </c>
      <c r="C3931" s="169" t="s">
        <v>10225</v>
      </c>
      <c r="D3931" s="169" t="s">
        <v>1290</v>
      </c>
      <c r="E3931" s="103" t="s">
        <v>31171</v>
      </c>
      <c r="F3931" s="104"/>
      <c r="G3931" s="105">
        <f t="shared" si="244"/>
        <v>39.549999999999997</v>
      </c>
      <c r="H3931" s="101" t="str">
        <f t="shared" si="245"/>
        <v>Sinapi 21047</v>
      </c>
      <c r="I3931" s="101" t="str">
        <f t="shared" si="246"/>
        <v>UN</v>
      </c>
      <c r="J3931" s="140" t="str">
        <f t="shared" si="247"/>
        <v>SPRINKLER TIPO PENDENTE, BULBO AMARELO DE RESPOSTA RAPIDA, 79 GRAUS CELSIUS, ACABAMENTO CROMADO, D = 20 MM (3/4")</v>
      </c>
    </row>
    <row r="3932" spans="1:10" x14ac:dyDescent="0.25">
      <c r="A3932" s="169">
        <v>21042</v>
      </c>
      <c r="B3932" s="169" t="s">
        <v>27409</v>
      </c>
      <c r="C3932" s="169" t="s">
        <v>10225</v>
      </c>
      <c r="D3932" s="169" t="s">
        <v>1290</v>
      </c>
      <c r="E3932" s="103" t="s">
        <v>17623</v>
      </c>
      <c r="F3932" s="104"/>
      <c r="G3932" s="105">
        <f t="shared" si="244"/>
        <v>30.48</v>
      </c>
      <c r="H3932" s="101" t="str">
        <f t="shared" si="245"/>
        <v>Sinapi 21042</v>
      </c>
      <c r="I3932" s="101" t="str">
        <f t="shared" si="246"/>
        <v>UN</v>
      </c>
      <c r="J3932" s="140" t="str">
        <f t="shared" si="247"/>
        <v>SPRINKLER TIPO PENDENTE, BULBO AMARELO DE RESPOSTA RAPIDA, 79 GRAUS CELSIUS, ACABAMENTO NATURAL OU CROMADO, D = 15 MM (1/2")</v>
      </c>
    </row>
    <row r="3933" spans="1:10" x14ac:dyDescent="0.25">
      <c r="A3933" s="169">
        <v>21043</v>
      </c>
      <c r="B3933" s="169" t="s">
        <v>27410</v>
      </c>
      <c r="C3933" s="169" t="s">
        <v>10225</v>
      </c>
      <c r="D3933" s="169" t="s">
        <v>1290</v>
      </c>
      <c r="E3933" s="103" t="s">
        <v>31172</v>
      </c>
      <c r="F3933" s="104"/>
      <c r="G3933" s="105">
        <f t="shared" si="244"/>
        <v>38.5</v>
      </c>
      <c r="H3933" s="101" t="str">
        <f t="shared" si="245"/>
        <v>Sinapi 21043</v>
      </c>
      <c r="I3933" s="101" t="str">
        <f t="shared" si="246"/>
        <v>UN</v>
      </c>
      <c r="J3933" s="140" t="str">
        <f t="shared" si="247"/>
        <v>SPRINKLER TIPO PENDENTE, BULBO AMARELO DE RESPOSTA RAPIDA, 79 GRAUS CELSIUS, ACABAMENTO NATURAL, D = 20 MM (3/4")</v>
      </c>
    </row>
    <row r="3934" spans="1:10" x14ac:dyDescent="0.25">
      <c r="A3934" s="169">
        <v>21044</v>
      </c>
      <c r="B3934" s="169" t="s">
        <v>27411</v>
      </c>
      <c r="C3934" s="169" t="s">
        <v>10225</v>
      </c>
      <c r="D3934" s="169" t="s">
        <v>1290</v>
      </c>
      <c r="E3934" s="103" t="s">
        <v>31173</v>
      </c>
      <c r="F3934" s="104"/>
      <c r="G3934" s="105">
        <f t="shared" si="244"/>
        <v>26.82</v>
      </c>
      <c r="H3934" s="101" t="str">
        <f t="shared" si="245"/>
        <v>Sinapi 21044</v>
      </c>
      <c r="I3934" s="101" t="str">
        <f t="shared" si="246"/>
        <v>UN</v>
      </c>
      <c r="J3934" s="140" t="str">
        <f t="shared" si="247"/>
        <v>SPRINKLER TIPO PENDENTE, BULBO VERMELHO DE RESPOSTA RAPIDA, 68 GRAUS CELSIUS, ACABAMENTO CROMADO, D = 15 MM (1/2")</v>
      </c>
    </row>
    <row r="3935" spans="1:10" x14ac:dyDescent="0.25">
      <c r="A3935" s="169">
        <v>21045</v>
      </c>
      <c r="B3935" s="169" t="s">
        <v>27412</v>
      </c>
      <c r="C3935" s="169" t="s">
        <v>10225</v>
      </c>
      <c r="D3935" s="169" t="s">
        <v>1290</v>
      </c>
      <c r="E3935" s="103" t="s">
        <v>22745</v>
      </c>
      <c r="F3935" s="104"/>
      <c r="G3935" s="105">
        <f t="shared" si="244"/>
        <v>36.74</v>
      </c>
      <c r="H3935" s="101" t="str">
        <f t="shared" si="245"/>
        <v>Sinapi 21045</v>
      </c>
      <c r="I3935" s="101" t="str">
        <f t="shared" si="246"/>
        <v>UN</v>
      </c>
      <c r="J3935" s="140" t="str">
        <f t="shared" si="247"/>
        <v>SPRINKLER TIPO PENDENTE, BULBO VERMELHO DE RESPOSTA RAPIDA, 68 GRAUS CELSIUS, ACABAMENTO CROMADO, D = 20 MM (3/4")</v>
      </c>
    </row>
    <row r="3936" spans="1:10" x14ac:dyDescent="0.25">
      <c r="A3936" s="169">
        <v>21041</v>
      </c>
      <c r="B3936" s="169" t="s">
        <v>27413</v>
      </c>
      <c r="C3936" s="169" t="s">
        <v>10225</v>
      </c>
      <c r="D3936" s="169" t="s">
        <v>1290</v>
      </c>
      <c r="E3936" s="103" t="s">
        <v>27844</v>
      </c>
      <c r="F3936" s="104"/>
      <c r="G3936" s="105">
        <f t="shared" si="244"/>
        <v>31.68</v>
      </c>
      <c r="H3936" s="101" t="str">
        <f t="shared" si="245"/>
        <v>Sinapi 21041</v>
      </c>
      <c r="I3936" s="101" t="str">
        <f t="shared" si="246"/>
        <v>UN</v>
      </c>
      <c r="J3936" s="140" t="str">
        <f t="shared" si="247"/>
        <v>SPRINKLER TIPO PENDENTE, BULBO VERMELHO DE RESPOSTA RAPIDA, 68 GRAUS CELSIUS, ACABAMENTO NATURAL, D = 20 MM (3/4")</v>
      </c>
    </row>
    <row r="3937" spans="1:10" x14ac:dyDescent="0.25">
      <c r="A3937" s="169">
        <v>21040</v>
      </c>
      <c r="B3937" s="169" t="s">
        <v>27414</v>
      </c>
      <c r="C3937" s="169" t="s">
        <v>10225</v>
      </c>
      <c r="D3937" s="169" t="s">
        <v>1290</v>
      </c>
      <c r="E3937" s="103" t="s">
        <v>19385</v>
      </c>
      <c r="F3937" s="104"/>
      <c r="G3937" s="105">
        <f t="shared" si="244"/>
        <v>26.25</v>
      </c>
      <c r="H3937" s="101" t="str">
        <f t="shared" si="245"/>
        <v>Sinapi 21040</v>
      </c>
      <c r="I3937" s="101" t="str">
        <f t="shared" si="246"/>
        <v>UN</v>
      </c>
      <c r="J3937" s="140" t="str">
        <f t="shared" si="247"/>
        <v>SPRINKLER TIPO PENDENTE, BULBO VERMELHO RESPOSTA RAPIDA, 68 GRAUS CELSIUS, ACABAMENTO NATURAL, D = 15 MM (1/2")</v>
      </c>
    </row>
    <row r="3938" spans="1:10" x14ac:dyDescent="0.25">
      <c r="A3938" s="169">
        <v>14149</v>
      </c>
      <c r="B3938" s="169" t="s">
        <v>27415</v>
      </c>
      <c r="C3938" s="169" t="s">
        <v>10265</v>
      </c>
      <c r="D3938" s="169" t="s">
        <v>1290</v>
      </c>
      <c r="E3938" s="103" t="s">
        <v>22909</v>
      </c>
      <c r="F3938" s="104"/>
      <c r="G3938" s="105">
        <f t="shared" si="244"/>
        <v>182.88</v>
      </c>
      <c r="H3938" s="101" t="str">
        <f t="shared" si="245"/>
        <v>Sinapi 14149</v>
      </c>
      <c r="I3938" s="101" t="str">
        <f t="shared" si="246"/>
        <v>CENTO</v>
      </c>
      <c r="J3938" s="140" t="str">
        <f t="shared" si="247"/>
        <v>SUPORTE "Y" PARA FITA PERFURADA</v>
      </c>
    </row>
    <row r="3939" spans="1:10" x14ac:dyDescent="0.25">
      <c r="A3939" s="169">
        <v>38099</v>
      </c>
      <c r="B3939" s="169" t="s">
        <v>27416</v>
      </c>
      <c r="C3939" s="169" t="s">
        <v>10225</v>
      </c>
      <c r="D3939" s="169" t="s">
        <v>1289</v>
      </c>
      <c r="E3939" s="103" t="s">
        <v>16375</v>
      </c>
      <c r="F3939" s="104"/>
      <c r="G3939" s="105">
        <f t="shared" si="244"/>
        <v>1.97</v>
      </c>
      <c r="H3939" s="101" t="str">
        <f t="shared" si="245"/>
        <v>Sinapi 38099</v>
      </c>
      <c r="I3939" s="101" t="str">
        <f t="shared" si="246"/>
        <v>UN</v>
      </c>
      <c r="J3939" s="140" t="str">
        <f t="shared" si="247"/>
        <v>SUPORTE DE FIXACAO PARA ESPELHO / PLACA 4" X 2", PARA 3 MODULOS, PARA INSTALACAO DE TOMADAS E INTERRUPTORES (SOMENTE SUPORTE)</v>
      </c>
    </row>
    <row r="3940" spans="1:10" x14ac:dyDescent="0.25">
      <c r="A3940" s="169">
        <v>38100</v>
      </c>
      <c r="B3940" s="169" t="s">
        <v>27417</v>
      </c>
      <c r="C3940" s="169" t="s">
        <v>10225</v>
      </c>
      <c r="D3940" s="169" t="s">
        <v>1289</v>
      </c>
      <c r="E3940" s="103" t="s">
        <v>14926</v>
      </c>
      <c r="F3940" s="104"/>
      <c r="G3940" s="105">
        <f t="shared" si="244"/>
        <v>3.22</v>
      </c>
      <c r="H3940" s="101" t="str">
        <f t="shared" si="245"/>
        <v>Sinapi 38100</v>
      </c>
      <c r="I3940" s="101" t="str">
        <f t="shared" si="246"/>
        <v>UN</v>
      </c>
      <c r="J3940" s="140" t="str">
        <f t="shared" si="247"/>
        <v>SUPORTE DE FIXACAO PARA ESPELHO / PLACA 4" X 4", PARA 6 MODULOS, PARA INSTALACAO DE TOMADAS E INTERRUPTORES (SOMENTE SUPORTE)</v>
      </c>
    </row>
    <row r="3941" spans="1:10" x14ac:dyDescent="0.25">
      <c r="A3941" s="169">
        <v>7576</v>
      </c>
      <c r="B3941" s="169" t="s">
        <v>27418</v>
      </c>
      <c r="C3941" s="169" t="s">
        <v>10225</v>
      </c>
      <c r="D3941" s="169" t="s">
        <v>1289</v>
      </c>
      <c r="E3941" s="103" t="s">
        <v>31174</v>
      </c>
      <c r="F3941" s="104"/>
      <c r="G3941" s="105">
        <f t="shared" si="244"/>
        <v>131.88</v>
      </c>
      <c r="H3941" s="101" t="str">
        <f t="shared" si="245"/>
        <v>Sinapi 7576</v>
      </c>
      <c r="I3941" s="101" t="str">
        <f t="shared" si="246"/>
        <v>UN</v>
      </c>
      <c r="J3941" s="140" t="str">
        <f t="shared" si="247"/>
        <v>SUPORTE EM ACO GALVANIZADO PARA TRANSFORMADOR PARA POSTE DUPLO T 185 X 95 MM, CHAPA DE 5/16"</v>
      </c>
    </row>
    <row r="3942" spans="1:10" x14ac:dyDescent="0.25">
      <c r="A3942" s="169">
        <v>3384</v>
      </c>
      <c r="B3942" s="169" t="s">
        <v>27419</v>
      </c>
      <c r="C3942" s="169" t="s">
        <v>10225</v>
      </c>
      <c r="D3942" s="169" t="s">
        <v>1289</v>
      </c>
      <c r="E3942" s="103" t="s">
        <v>2480</v>
      </c>
      <c r="F3942" s="104"/>
      <c r="G3942" s="105">
        <f t="shared" si="244"/>
        <v>6.84</v>
      </c>
      <c r="H3942" s="101" t="str">
        <f t="shared" si="245"/>
        <v>Sinapi 3384</v>
      </c>
      <c r="I3942" s="101" t="str">
        <f t="shared" si="246"/>
        <v>UN</v>
      </c>
      <c r="J3942" s="140" t="str">
        <f t="shared" si="247"/>
        <v>SUPORTE GUIA SIMPLES COM ROLDANA EM POLIPROPILENO PARA CHUMBAR, H = 20 CM</v>
      </c>
    </row>
    <row r="3943" spans="1:10" x14ac:dyDescent="0.25">
      <c r="A3943" s="169">
        <v>7572</v>
      </c>
      <c r="B3943" s="169" t="s">
        <v>27420</v>
      </c>
      <c r="C3943" s="169" t="s">
        <v>10225</v>
      </c>
      <c r="D3943" s="169" t="s">
        <v>1289</v>
      </c>
      <c r="E3943" s="103" t="s">
        <v>20057</v>
      </c>
      <c r="F3943" s="104"/>
      <c r="G3943" s="105">
        <f t="shared" si="244"/>
        <v>7.54</v>
      </c>
      <c r="H3943" s="101" t="str">
        <f t="shared" si="245"/>
        <v>Sinapi 7572</v>
      </c>
      <c r="I3943" s="101" t="str">
        <f t="shared" si="246"/>
        <v>UN</v>
      </c>
      <c r="J3943" s="140" t="str">
        <f t="shared" si="247"/>
        <v>SUPORTE ISOLADOR REFORCADO DIAMETRO NOMINAL 5/16", COM ROSCA SOBERBA E BUCHA</v>
      </c>
    </row>
    <row r="3944" spans="1:10" x14ac:dyDescent="0.25">
      <c r="A3944" s="169">
        <v>3396</v>
      </c>
      <c r="B3944" s="169" t="s">
        <v>27421</v>
      </c>
      <c r="C3944" s="169" t="s">
        <v>10225</v>
      </c>
      <c r="D3944" s="169" t="s">
        <v>1289</v>
      </c>
      <c r="E3944" s="103" t="s">
        <v>6500</v>
      </c>
      <c r="F3944" s="104"/>
      <c r="G3944" s="105">
        <f t="shared" si="244"/>
        <v>5.0999999999999996</v>
      </c>
      <c r="H3944" s="101" t="str">
        <f t="shared" si="245"/>
        <v>Sinapi 3396</v>
      </c>
      <c r="I3944" s="101" t="str">
        <f t="shared" si="246"/>
        <v>UN</v>
      </c>
      <c r="J3944" s="140" t="str">
        <f t="shared" si="247"/>
        <v>SUPORTE ISOLADOR SIMPLES DIAMETRO NOMINAL 5/16", COM ROSCA SOBERBA E BUCHA</v>
      </c>
    </row>
    <row r="3945" spans="1:10" x14ac:dyDescent="0.25">
      <c r="A3945" s="169">
        <v>37590</v>
      </c>
      <c r="B3945" s="169" t="s">
        <v>27422</v>
      </c>
      <c r="C3945" s="169" t="s">
        <v>10225</v>
      </c>
      <c r="D3945" s="169" t="s">
        <v>1290</v>
      </c>
      <c r="E3945" s="103" t="s">
        <v>31175</v>
      </c>
      <c r="F3945" s="104"/>
      <c r="G3945" s="105">
        <f t="shared" si="244"/>
        <v>21.92</v>
      </c>
      <c r="H3945" s="101" t="str">
        <f t="shared" si="245"/>
        <v>Sinapi 37590</v>
      </c>
      <c r="I3945" s="101" t="str">
        <f t="shared" si="246"/>
        <v>UN</v>
      </c>
      <c r="J3945" s="140" t="str">
        <f t="shared" si="247"/>
        <v>SUPORTE MAO-FRANCESA EM ACO, ABAS IGUAIS 30 CM, CAPACIDADE MINIMA 60 KG, BRANCO</v>
      </c>
    </row>
    <row r="3946" spans="1:10" x14ac:dyDescent="0.25">
      <c r="A3946" s="169">
        <v>37591</v>
      </c>
      <c r="B3946" s="169" t="s">
        <v>10283</v>
      </c>
      <c r="C3946" s="169" t="s">
        <v>10225</v>
      </c>
      <c r="D3946" s="169" t="s">
        <v>1290</v>
      </c>
      <c r="E3946" s="103" t="s">
        <v>18714</v>
      </c>
      <c r="F3946" s="104"/>
      <c r="G3946" s="105">
        <f t="shared" si="244"/>
        <v>26.35</v>
      </c>
      <c r="H3946" s="101" t="str">
        <f t="shared" si="245"/>
        <v>Sinapi 37591</v>
      </c>
      <c r="I3946" s="101" t="str">
        <f t="shared" si="246"/>
        <v>UN</v>
      </c>
      <c r="J3946" s="140" t="str">
        <f t="shared" si="247"/>
        <v>SUPORTE MAO-FRANCESA EM ACO, ABAS IGUAIS 40 CM, CAPACIDADE MINIMA 70 KG, BRANCO</v>
      </c>
    </row>
    <row r="3947" spans="1:10" x14ac:dyDescent="0.25">
      <c r="A3947" s="169">
        <v>12626</v>
      </c>
      <c r="B3947" s="169" t="s">
        <v>27423</v>
      </c>
      <c r="C3947" s="169" t="s">
        <v>10225</v>
      </c>
      <c r="D3947" s="169" t="s">
        <v>1289</v>
      </c>
      <c r="E3947" s="103" t="s">
        <v>30248</v>
      </c>
      <c r="F3947" s="104"/>
      <c r="G3947" s="105">
        <f t="shared" si="244"/>
        <v>41.1</v>
      </c>
      <c r="H3947" s="101" t="str">
        <f t="shared" si="245"/>
        <v>Sinapi 12626</v>
      </c>
      <c r="I3947" s="101" t="str">
        <f t="shared" si="246"/>
        <v>UN</v>
      </c>
      <c r="J3947" s="140" t="str">
        <f t="shared" si="247"/>
        <v>SUPORTE METALICO PARA CALHA PLUVIAL, ZINCADO, DOBRADO, DIAMETRO ENTRE 119 E 170 MM, PARA DRENAGEM PLUVIAL PREDIAL</v>
      </c>
    </row>
    <row r="3948" spans="1:10" x14ac:dyDescent="0.25">
      <c r="A3948" s="169">
        <v>11033</v>
      </c>
      <c r="B3948" s="169" t="s">
        <v>27424</v>
      </c>
      <c r="C3948" s="169" t="s">
        <v>10225</v>
      </c>
      <c r="D3948" s="169" t="s">
        <v>1289</v>
      </c>
      <c r="E3948" s="103" t="s">
        <v>19261</v>
      </c>
      <c r="F3948" s="104"/>
      <c r="G3948" s="105">
        <f t="shared" si="244"/>
        <v>6.02</v>
      </c>
      <c r="H3948" s="101" t="str">
        <f t="shared" si="245"/>
        <v>Sinapi 11033</v>
      </c>
      <c r="I3948" s="101" t="str">
        <f t="shared" si="246"/>
        <v>UN</v>
      </c>
      <c r="J3948" s="140" t="str">
        <f t="shared" si="247"/>
        <v>SUPORTE PARA CALHA DE 150 MM EM FERRO GALVANIZADO</v>
      </c>
    </row>
    <row r="3949" spans="1:10" x14ac:dyDescent="0.25">
      <c r="A3949" s="169">
        <v>390</v>
      </c>
      <c r="B3949" s="169" t="s">
        <v>27425</v>
      </c>
      <c r="C3949" s="169" t="s">
        <v>10225</v>
      </c>
      <c r="D3949" s="169" t="s">
        <v>1289</v>
      </c>
      <c r="E3949" s="103" t="s">
        <v>19832</v>
      </c>
      <c r="F3949" s="104"/>
      <c r="G3949" s="105">
        <f t="shared" si="244"/>
        <v>9.2200000000000006</v>
      </c>
      <c r="H3949" s="101" t="str">
        <f t="shared" si="245"/>
        <v>Sinapi 390</v>
      </c>
      <c r="I3949" s="101" t="str">
        <f t="shared" si="246"/>
        <v>UN</v>
      </c>
      <c r="J3949" s="140" t="str">
        <f t="shared" si="247"/>
        <v>SUPORTE PARA TUBO DIAMETRO NOMINAL 2", COM ROSCA MECANICA</v>
      </c>
    </row>
    <row r="3950" spans="1:10" x14ac:dyDescent="0.25">
      <c r="A3950" s="169">
        <v>42436</v>
      </c>
      <c r="B3950" s="169" t="s">
        <v>27426</v>
      </c>
      <c r="C3950" s="169" t="s">
        <v>10225</v>
      </c>
      <c r="D3950" s="169" t="s">
        <v>1290</v>
      </c>
      <c r="E3950" s="103" t="s">
        <v>21090</v>
      </c>
      <c r="F3950" s="104"/>
      <c r="G3950" s="105">
        <f t="shared" si="244"/>
        <v>2701.34</v>
      </c>
      <c r="H3950" s="101" t="str">
        <f t="shared" si="245"/>
        <v>Sinapi 42436</v>
      </c>
      <c r="I3950" s="101" t="str">
        <f t="shared" si="246"/>
        <v>UN</v>
      </c>
      <c r="J3950" s="140" t="str">
        <f t="shared" si="247"/>
        <v>SURF DUPLO, EM TUBO DE ACO CARBONO, PINTURA NO PROCESSO ELETROSTATICO - EQUIPAMENTO DE GINASTICA PARA ACADEMIA AO AR LIVRE / ACADEMIA DA TERCEIRA IDADE - ATI</v>
      </c>
    </row>
    <row r="3951" spans="1:10" x14ac:dyDescent="0.25">
      <c r="A3951" s="169">
        <v>6194</v>
      </c>
      <c r="B3951" s="169" t="s">
        <v>27428</v>
      </c>
      <c r="C3951" s="169" t="s">
        <v>10229</v>
      </c>
      <c r="D3951" s="169" t="s">
        <v>1289</v>
      </c>
      <c r="E3951" s="103" t="s">
        <v>20050</v>
      </c>
      <c r="F3951" s="104"/>
      <c r="G3951" s="105">
        <f t="shared" si="244"/>
        <v>4.17</v>
      </c>
      <c r="H3951" s="101" t="str">
        <f t="shared" si="245"/>
        <v>Sinapi 6194</v>
      </c>
      <c r="I3951" s="101" t="str">
        <f t="shared" si="246"/>
        <v>M</v>
      </c>
      <c r="J3951" s="140" t="str">
        <f t="shared" si="247"/>
        <v>TABUA *2,5 X 15 CM EM PINUS, MISTA OU EQUIVALENTE DA REGIAO - BRUTA</v>
      </c>
    </row>
    <row r="3952" spans="1:10" x14ac:dyDescent="0.25">
      <c r="A3952" s="169">
        <v>10567</v>
      </c>
      <c r="B3952" s="169" t="s">
        <v>27429</v>
      </c>
      <c r="C3952" s="169" t="s">
        <v>10229</v>
      </c>
      <c r="D3952" s="169" t="s">
        <v>1289</v>
      </c>
      <c r="E3952" s="103" t="s">
        <v>21066</v>
      </c>
      <c r="F3952" s="104"/>
      <c r="G3952" s="105">
        <f t="shared" si="244"/>
        <v>6.6</v>
      </c>
      <c r="H3952" s="101" t="str">
        <f t="shared" si="245"/>
        <v>Sinapi 10567</v>
      </c>
      <c r="I3952" s="101" t="str">
        <f t="shared" si="246"/>
        <v>M</v>
      </c>
      <c r="J3952" s="140" t="str">
        <f t="shared" si="247"/>
        <v>TABUA *2,5 X 23* CM EM PINUS, MISTA OU EQUIVALENTE DA REGIAO - BRUTA</v>
      </c>
    </row>
    <row r="3953" spans="1:10" x14ac:dyDescent="0.25">
      <c r="A3953" s="169">
        <v>6212</v>
      </c>
      <c r="B3953" s="169" t="s">
        <v>11624</v>
      </c>
      <c r="C3953" s="169" t="s">
        <v>10229</v>
      </c>
      <c r="D3953" s="169" t="s">
        <v>1288</v>
      </c>
      <c r="E3953" s="103" t="s">
        <v>5566</v>
      </c>
      <c r="F3953" s="104"/>
      <c r="G3953" s="105">
        <f t="shared" si="244"/>
        <v>9.69</v>
      </c>
      <c r="H3953" s="101" t="str">
        <f t="shared" si="245"/>
        <v>Sinapi 6212</v>
      </c>
      <c r="I3953" s="101" t="str">
        <f t="shared" si="246"/>
        <v>M</v>
      </c>
      <c r="J3953" s="140" t="str">
        <f t="shared" si="247"/>
        <v>TABUA *2,5 X 30 CM EM PINUS, MISTA OU EQUIVALENTE DA REGIAO - BRUTA</v>
      </c>
    </row>
    <row r="3954" spans="1:10" x14ac:dyDescent="0.25">
      <c r="A3954" s="169">
        <v>3993</v>
      </c>
      <c r="B3954" s="169" t="s">
        <v>31176</v>
      </c>
      <c r="C3954" s="169" t="s">
        <v>10226</v>
      </c>
      <c r="D3954" s="169" t="s">
        <v>1289</v>
      </c>
      <c r="E3954" s="103" t="s">
        <v>31177</v>
      </c>
      <c r="F3954" s="104"/>
      <c r="G3954" s="105">
        <f t="shared" si="244"/>
        <v>102.75</v>
      </c>
      <c r="H3954" s="101" t="str">
        <f t="shared" si="245"/>
        <v>Sinapi 3993</v>
      </c>
      <c r="I3954" s="101" t="str">
        <f t="shared" si="246"/>
        <v>M2</v>
      </c>
      <c r="J3954" s="140" t="str">
        <f t="shared" si="247"/>
        <v>TABUA APARELHADA *2,5 X 15* CM, EM MACARANDUBA/MASSARANDUBA, ANGELIM OU EQUIVALENTE DA REGIAO</v>
      </c>
    </row>
    <row r="3955" spans="1:10" x14ac:dyDescent="0.25">
      <c r="A3955" s="169">
        <v>3990</v>
      </c>
      <c r="B3955" s="169" t="s">
        <v>31178</v>
      </c>
      <c r="C3955" s="169" t="s">
        <v>10229</v>
      </c>
      <c r="D3955" s="169" t="s">
        <v>1289</v>
      </c>
      <c r="E3955" s="103" t="s">
        <v>18613</v>
      </c>
      <c r="F3955" s="104"/>
      <c r="G3955" s="105">
        <f t="shared" si="244"/>
        <v>19.329999999999998</v>
      </c>
      <c r="H3955" s="101" t="str">
        <f t="shared" si="245"/>
        <v>Sinapi 3990</v>
      </c>
      <c r="I3955" s="101" t="str">
        <f t="shared" si="246"/>
        <v>M</v>
      </c>
      <c r="J3955" s="140" t="str">
        <f t="shared" si="247"/>
        <v>TABUA APARELHADA *2,5 X 25* CM, EM MACARANDUBA/MASSARANDUBA, ANGELIM OU EQUIVALENTE DA REGIAO</v>
      </c>
    </row>
    <row r="3956" spans="1:10" x14ac:dyDescent="0.25">
      <c r="A3956" s="169">
        <v>3992</v>
      </c>
      <c r="B3956" s="169" t="s">
        <v>31179</v>
      </c>
      <c r="C3956" s="169" t="s">
        <v>10229</v>
      </c>
      <c r="D3956" s="169" t="s">
        <v>1289</v>
      </c>
      <c r="E3956" s="103" t="s">
        <v>31180</v>
      </c>
      <c r="F3956" s="104"/>
      <c r="G3956" s="105">
        <f t="shared" si="244"/>
        <v>26.1</v>
      </c>
      <c r="H3956" s="101" t="str">
        <f t="shared" si="245"/>
        <v>Sinapi 3992</v>
      </c>
      <c r="I3956" s="101" t="str">
        <f t="shared" si="246"/>
        <v>M</v>
      </c>
      <c r="J3956" s="140" t="str">
        <f t="shared" si="247"/>
        <v>TABUA APARELHADA *2,5 X 30* CM, EM MACARANDUBA/MASSARANDUBA, ANGELIM OU EQUIVALENTE DA REGIAO</v>
      </c>
    </row>
    <row r="3957" spans="1:10" x14ac:dyDescent="0.25">
      <c r="A3957" s="169">
        <v>6178</v>
      </c>
      <c r="B3957" s="169" t="s">
        <v>27430</v>
      </c>
      <c r="C3957" s="169" t="s">
        <v>10226</v>
      </c>
      <c r="D3957" s="169" t="s">
        <v>1289</v>
      </c>
      <c r="E3957" s="103" t="s">
        <v>31181</v>
      </c>
      <c r="F3957" s="104"/>
      <c r="G3957" s="105">
        <f t="shared" si="244"/>
        <v>120.97</v>
      </c>
      <c r="H3957" s="101" t="str">
        <f t="shared" si="245"/>
        <v>Sinapi 6178</v>
      </c>
      <c r="I3957" s="101" t="str">
        <f t="shared" si="246"/>
        <v>M2</v>
      </c>
      <c r="J3957" s="140" t="str">
        <f t="shared" si="247"/>
        <v>TABUA DE MADEIRA PARA PISO, CUMARU/IPE CHAMPANHE OU EQUIVALENTE DA REGIAO, ENCAIXE MACHO/FEMEA, *10 X 2* CM</v>
      </c>
    </row>
    <row r="3958" spans="1:10" x14ac:dyDescent="0.25">
      <c r="A3958" s="169">
        <v>6180</v>
      </c>
      <c r="B3958" s="169" t="s">
        <v>27431</v>
      </c>
      <c r="C3958" s="169" t="s">
        <v>10226</v>
      </c>
      <c r="D3958" s="169" t="s">
        <v>1288</v>
      </c>
      <c r="E3958" s="103" t="s">
        <v>29208</v>
      </c>
      <c r="F3958" s="104"/>
      <c r="G3958" s="105">
        <f t="shared" si="244"/>
        <v>130.56</v>
      </c>
      <c r="H3958" s="101" t="str">
        <f t="shared" si="245"/>
        <v>Sinapi 6180</v>
      </c>
      <c r="I3958" s="101" t="str">
        <f t="shared" si="246"/>
        <v>M2</v>
      </c>
      <c r="J3958" s="140" t="str">
        <f t="shared" si="247"/>
        <v>TABUA DE MADEIRA PARA PISO, CUMARU/IPE CHAMPANHE OU EQUIVALENTE DA REGIAO, ENCAIXE MACHO/FEMEA, *15 X 2* CM</v>
      </c>
    </row>
    <row r="3959" spans="1:10" x14ac:dyDescent="0.25">
      <c r="A3959" s="169">
        <v>6182</v>
      </c>
      <c r="B3959" s="169" t="s">
        <v>27432</v>
      </c>
      <c r="C3959" s="169" t="s">
        <v>10226</v>
      </c>
      <c r="D3959" s="169" t="s">
        <v>1289</v>
      </c>
      <c r="E3959" s="103" t="s">
        <v>28746</v>
      </c>
      <c r="F3959" s="104"/>
      <c r="G3959" s="105">
        <f t="shared" si="244"/>
        <v>162.05000000000001</v>
      </c>
      <c r="H3959" s="101" t="str">
        <f t="shared" si="245"/>
        <v>Sinapi 6182</v>
      </c>
      <c r="I3959" s="101" t="str">
        <f t="shared" si="246"/>
        <v>M2</v>
      </c>
      <c r="J3959" s="140" t="str">
        <f t="shared" si="247"/>
        <v>TABUA DE MADEIRA PARA PISO, IPE (CERNE) OU EQUIVALENTE DA REGIAO, ENCAIXE MACHO/FEMEA, *20 X 2* CM</v>
      </c>
    </row>
    <row r="3960" spans="1:10" x14ac:dyDescent="0.25">
      <c r="A3960" s="169">
        <v>43614</v>
      </c>
      <c r="B3960" s="169" t="s">
        <v>31182</v>
      </c>
      <c r="C3960" s="169" t="s">
        <v>10229</v>
      </c>
      <c r="D3960" s="169" t="s">
        <v>1289</v>
      </c>
      <c r="E3960" s="103" t="s">
        <v>31183</v>
      </c>
      <c r="F3960" s="104"/>
      <c r="G3960" s="105">
        <f t="shared" si="244"/>
        <v>13.06</v>
      </c>
      <c r="H3960" s="101" t="str">
        <f t="shared" si="245"/>
        <v>Sinapi 43614</v>
      </c>
      <c r="I3960" s="101" t="str">
        <f t="shared" si="246"/>
        <v>M</v>
      </c>
      <c r="J3960" s="140" t="str">
        <f t="shared" si="247"/>
        <v>TABUA NAO APARELHADA *2,5 X 15* CM, EM MACARANDUBA/MASSARANDUBA, ANGELIM OU EQUIVALENTE DA REGIAO - BRUTA</v>
      </c>
    </row>
    <row r="3961" spans="1:10" x14ac:dyDescent="0.25">
      <c r="A3961" s="169">
        <v>6193</v>
      </c>
      <c r="B3961" s="169" t="s">
        <v>31184</v>
      </c>
      <c r="C3961" s="169" t="s">
        <v>10229</v>
      </c>
      <c r="D3961" s="169" t="s">
        <v>1289</v>
      </c>
      <c r="E3961" s="103" t="s">
        <v>28996</v>
      </c>
      <c r="F3961" s="104"/>
      <c r="G3961" s="105">
        <f t="shared" si="244"/>
        <v>15.89</v>
      </c>
      <c r="H3961" s="101" t="str">
        <f t="shared" si="245"/>
        <v>Sinapi 6193</v>
      </c>
      <c r="I3961" s="101" t="str">
        <f t="shared" si="246"/>
        <v>M</v>
      </c>
      <c r="J3961" s="140" t="str">
        <f t="shared" si="247"/>
        <v>TABUA NAO APARELHADA *2,5 X 20* CM, EM MACARANDUBA/MASSARANDUBA, ANGELIM OU EQUIVALENTE DA REGIAO - BRUTA</v>
      </c>
    </row>
    <row r="3962" spans="1:10" x14ac:dyDescent="0.25">
      <c r="A3962" s="169">
        <v>6189</v>
      </c>
      <c r="B3962" s="169" t="s">
        <v>31185</v>
      </c>
      <c r="C3962" s="169" t="s">
        <v>10229</v>
      </c>
      <c r="D3962" s="169" t="s">
        <v>1289</v>
      </c>
      <c r="E3962" s="103" t="s">
        <v>22071</v>
      </c>
      <c r="F3962" s="104"/>
      <c r="G3962" s="105">
        <f t="shared" si="244"/>
        <v>23.2</v>
      </c>
      <c r="H3962" s="101" t="str">
        <f t="shared" si="245"/>
        <v>Sinapi 6189</v>
      </c>
      <c r="I3962" s="101" t="str">
        <f t="shared" si="246"/>
        <v>M</v>
      </c>
      <c r="J3962" s="140" t="str">
        <f t="shared" si="247"/>
        <v>TABUA NAO APARELHADA *2,5 X 30* CM, EM MACARANDUBA/MASSARANDUBA, ANGELIM OU EQUIVALENTE DA REGIAO - BRUTA</v>
      </c>
    </row>
    <row r="3963" spans="1:10" x14ac:dyDescent="0.25">
      <c r="A3963" s="169">
        <v>6214</v>
      </c>
      <c r="B3963" s="169" t="s">
        <v>1102</v>
      </c>
      <c r="C3963" s="169" t="s">
        <v>10226</v>
      </c>
      <c r="D3963" s="169" t="s">
        <v>1289</v>
      </c>
      <c r="E3963" s="103" t="s">
        <v>23322</v>
      </c>
      <c r="F3963" s="104"/>
      <c r="G3963" s="105">
        <f t="shared" si="244"/>
        <v>75.77</v>
      </c>
      <c r="H3963" s="101" t="str">
        <f t="shared" si="245"/>
        <v>Sinapi 6214</v>
      </c>
      <c r="I3963" s="101" t="str">
        <f t="shared" si="246"/>
        <v>M2</v>
      </c>
      <c r="J3963" s="140" t="str">
        <f t="shared" si="247"/>
        <v>TACO DE MADEIRA PARA PISO, IPE (CERNE) OU EQUIVALENTE DA REGIAO, 7 X 42 CM, E = 2 CM</v>
      </c>
    </row>
    <row r="3964" spans="1:10" x14ac:dyDescent="0.25">
      <c r="A3964" s="169">
        <v>36153</v>
      </c>
      <c r="B3964" s="169" t="s">
        <v>27433</v>
      </c>
      <c r="C3964" s="169" t="s">
        <v>10225</v>
      </c>
      <c r="D3964" s="169" t="s">
        <v>1289</v>
      </c>
      <c r="E3964" s="103" t="s">
        <v>31186</v>
      </c>
      <c r="F3964" s="104"/>
      <c r="G3964" s="105">
        <f t="shared" si="244"/>
        <v>195.27</v>
      </c>
      <c r="H3964" s="101" t="str">
        <f t="shared" si="245"/>
        <v>Sinapi 36153</v>
      </c>
      <c r="I3964" s="101" t="str">
        <f t="shared" si="246"/>
        <v>UN</v>
      </c>
      <c r="J3964" s="140" t="str">
        <f t="shared" si="247"/>
        <v>TALABARTE DE SEGURANCA, 2 MOSQUETOES TRAVA DUPLA *53* MM DE ABERTURA, COM ABSORVEDOR DE ENERGIA</v>
      </c>
    </row>
    <row r="3965" spans="1:10" x14ac:dyDescent="0.25">
      <c r="A3965" s="169">
        <v>10740</v>
      </c>
      <c r="B3965" s="169" t="s">
        <v>27434</v>
      </c>
      <c r="C3965" s="169" t="s">
        <v>10225</v>
      </c>
      <c r="D3965" s="169" t="s">
        <v>1290</v>
      </c>
      <c r="E3965" s="103" t="s">
        <v>31187</v>
      </c>
      <c r="F3965" s="104"/>
      <c r="G3965" s="105">
        <f t="shared" si="244"/>
        <v>11222.98</v>
      </c>
      <c r="H3965" s="101" t="str">
        <f t="shared" si="245"/>
        <v>Sinapi 10740</v>
      </c>
      <c r="I3965" s="101" t="str">
        <f t="shared" si="246"/>
        <v>UN</v>
      </c>
      <c r="J3965" s="140" t="str">
        <f t="shared" si="247"/>
        <v>TALHA ELETRICA 3 T, VELOCIDADE 2,1 M / MIN, POTENCIA 1,3 KW</v>
      </c>
    </row>
    <row r="3966" spans="1:10" x14ac:dyDescent="0.25">
      <c r="A3966" s="169">
        <v>13914</v>
      </c>
      <c r="B3966" s="169" t="s">
        <v>27435</v>
      </c>
      <c r="C3966" s="169" t="s">
        <v>10225</v>
      </c>
      <c r="D3966" s="169" t="s">
        <v>1290</v>
      </c>
      <c r="E3966" s="103" t="s">
        <v>31188</v>
      </c>
      <c r="F3966" s="104"/>
      <c r="G3966" s="105">
        <f t="shared" si="244"/>
        <v>812.02</v>
      </c>
      <c r="H3966" s="101" t="str">
        <f t="shared" si="245"/>
        <v>Sinapi 13914</v>
      </c>
      <c r="I3966" s="101" t="str">
        <f t="shared" si="246"/>
        <v>UN</v>
      </c>
      <c r="J3966" s="140" t="str">
        <f t="shared" si="247"/>
        <v>TALHA MANUAL DE CORRENTE, CAPACIDADE DE 1 T COM ELEVACAO DE 3 M</v>
      </c>
    </row>
    <row r="3967" spans="1:10" x14ac:dyDescent="0.25">
      <c r="A3967" s="169">
        <v>10742</v>
      </c>
      <c r="B3967" s="169" t="s">
        <v>27436</v>
      </c>
      <c r="C3967" s="169" t="s">
        <v>10225</v>
      </c>
      <c r="D3967" s="169" t="s">
        <v>1290</v>
      </c>
      <c r="E3967" s="103" t="s">
        <v>31189</v>
      </c>
      <c r="F3967" s="104"/>
      <c r="G3967" s="105">
        <f t="shared" si="244"/>
        <v>1184.3499999999999</v>
      </c>
      <c r="H3967" s="101" t="str">
        <f t="shared" si="245"/>
        <v>Sinapi 10742</v>
      </c>
      <c r="I3967" s="101" t="str">
        <f t="shared" si="246"/>
        <v>UN</v>
      </c>
      <c r="J3967" s="140" t="str">
        <f t="shared" si="247"/>
        <v>TALHA MANUAL DE CORRENTE, CAPACIDADE DE 2 T COM ELEVACAO DE 3 M</v>
      </c>
    </row>
    <row r="3968" spans="1:10" x14ac:dyDescent="0.25">
      <c r="A3968" s="169">
        <v>38465</v>
      </c>
      <c r="B3968" s="169" t="s">
        <v>27437</v>
      </c>
      <c r="C3968" s="169" t="s">
        <v>10225</v>
      </c>
      <c r="D3968" s="169" t="s">
        <v>1289</v>
      </c>
      <c r="E3968" s="103" t="s">
        <v>29294</v>
      </c>
      <c r="F3968" s="104"/>
      <c r="G3968" s="105">
        <f t="shared" si="244"/>
        <v>34.99</v>
      </c>
      <c r="H3968" s="101" t="str">
        <f t="shared" si="245"/>
        <v>Sinapi 38465</v>
      </c>
      <c r="I3968" s="101" t="str">
        <f t="shared" si="246"/>
        <v>UN</v>
      </c>
      <c r="J3968" s="140" t="str">
        <f t="shared" si="247"/>
        <v>TALHADEIRA COM PUNHO DE PROTECAO *20 X 250* MM</v>
      </c>
    </row>
    <row r="3969" spans="1:10" x14ac:dyDescent="0.25">
      <c r="A3969" s="169">
        <v>7543</v>
      </c>
      <c r="B3969" s="169" t="s">
        <v>27438</v>
      </c>
      <c r="C3969" s="169" t="s">
        <v>10225</v>
      </c>
      <c r="D3969" s="169" t="s">
        <v>1289</v>
      </c>
      <c r="E3969" s="103" t="s">
        <v>22785</v>
      </c>
      <c r="F3969" s="104"/>
      <c r="G3969" s="105">
        <f t="shared" si="244"/>
        <v>4.63</v>
      </c>
      <c r="H3969" s="101" t="str">
        <f t="shared" si="245"/>
        <v>Sinapi 7543</v>
      </c>
      <c r="I3969" s="101" t="str">
        <f t="shared" si="246"/>
        <v>UN</v>
      </c>
      <c r="J3969" s="140" t="str">
        <f t="shared" si="247"/>
        <v>TAMPA CEGA EM PVC PARA CONDULETE 4 X 2"</v>
      </c>
    </row>
    <row r="3970" spans="1:10" x14ac:dyDescent="0.25">
      <c r="A3970" s="169">
        <v>43427</v>
      </c>
      <c r="B3970" s="169" t="s">
        <v>27439</v>
      </c>
      <c r="C3970" s="169" t="s">
        <v>10225</v>
      </c>
      <c r="D3970" s="169" t="s">
        <v>1289</v>
      </c>
      <c r="E3970" s="103" t="s">
        <v>31190</v>
      </c>
      <c r="F3970" s="104"/>
      <c r="G3970" s="105">
        <f t="shared" si="244"/>
        <v>1953.31</v>
      </c>
      <c r="H3970" s="101" t="str">
        <f t="shared" si="245"/>
        <v>Sinapi 43427</v>
      </c>
      <c r="I3970" s="101" t="str">
        <f t="shared" si="246"/>
        <v>UN</v>
      </c>
      <c r="J3970" s="140" t="str">
        <f t="shared" si="247"/>
        <v>TAMPA DE CONCRETO ARMADO PARA FOSSA SEPTICA, DIAMETRO NOMINAL DE 3,00 M E ESPESSURA MINIMA DE 100 MM</v>
      </c>
    </row>
    <row r="3971" spans="1:10" x14ac:dyDescent="0.25">
      <c r="A3971" s="169">
        <v>41613</v>
      </c>
      <c r="B3971" s="169" t="s">
        <v>27440</v>
      </c>
      <c r="C3971" s="169" t="s">
        <v>10225</v>
      </c>
      <c r="D3971" s="169" t="s">
        <v>1289</v>
      </c>
      <c r="E3971" s="103" t="s">
        <v>28986</v>
      </c>
      <c r="F3971" s="104"/>
      <c r="G3971" s="105">
        <f t="shared" si="244"/>
        <v>125.56</v>
      </c>
      <c r="H3971" s="101" t="str">
        <f t="shared" si="245"/>
        <v>Sinapi 41613</v>
      </c>
      <c r="I3971" s="101" t="str">
        <f t="shared" si="246"/>
        <v>UN</v>
      </c>
      <c r="J3971" s="140" t="str">
        <f t="shared" si="247"/>
        <v>TAMPA DE CONCRETO ARMADO PARA FOSSA, D = *0,90* M, E = 0,05 M</v>
      </c>
    </row>
    <row r="3972" spans="1:10" x14ac:dyDescent="0.25">
      <c r="A3972" s="169">
        <v>41614</v>
      </c>
      <c r="B3972" s="169" t="s">
        <v>27441</v>
      </c>
      <c r="C3972" s="169" t="s">
        <v>10225</v>
      </c>
      <c r="D3972" s="169" t="s">
        <v>1289</v>
      </c>
      <c r="E3972" s="103" t="s">
        <v>31191</v>
      </c>
      <c r="F3972" s="104"/>
      <c r="G3972" s="105">
        <f t="shared" si="244"/>
        <v>159.99</v>
      </c>
      <c r="H3972" s="101" t="str">
        <f t="shared" si="245"/>
        <v>Sinapi 41614</v>
      </c>
      <c r="I3972" s="101" t="str">
        <f t="shared" si="246"/>
        <v>UN</v>
      </c>
      <c r="J3972" s="140" t="str">
        <f t="shared" si="247"/>
        <v>TAMPA DE CONCRETO ARMADO PARA FOSSA, D = *1,10* M, E = 0,05 M</v>
      </c>
    </row>
    <row r="3973" spans="1:10" x14ac:dyDescent="0.25">
      <c r="A3973" s="169">
        <v>41615</v>
      </c>
      <c r="B3973" s="169" t="s">
        <v>27442</v>
      </c>
      <c r="C3973" s="169" t="s">
        <v>10225</v>
      </c>
      <c r="D3973" s="169" t="s">
        <v>1289</v>
      </c>
      <c r="E3973" s="103" t="s">
        <v>31192</v>
      </c>
      <c r="F3973" s="104"/>
      <c r="G3973" s="105">
        <f t="shared" si="244"/>
        <v>247.27</v>
      </c>
      <c r="H3973" s="101" t="str">
        <f t="shared" si="245"/>
        <v>Sinapi 41615</v>
      </c>
      <c r="I3973" s="101" t="str">
        <f t="shared" si="246"/>
        <v>UN</v>
      </c>
      <c r="J3973" s="140" t="str">
        <f t="shared" si="247"/>
        <v>TAMPA DE CONCRETO ARMADO PARA FOSSA, D = *1,35* M, E = 0,05 M</v>
      </c>
    </row>
    <row r="3974" spans="1:10" x14ac:dyDescent="0.25">
      <c r="A3974" s="169">
        <v>41616</v>
      </c>
      <c r="B3974" s="169" t="s">
        <v>27443</v>
      </c>
      <c r="C3974" s="169" t="s">
        <v>10225</v>
      </c>
      <c r="D3974" s="169" t="s">
        <v>1289</v>
      </c>
      <c r="E3974" s="103" t="s">
        <v>31193</v>
      </c>
      <c r="F3974" s="104"/>
      <c r="G3974" s="105">
        <f t="shared" si="244"/>
        <v>369.46</v>
      </c>
      <c r="H3974" s="101" t="str">
        <f t="shared" si="245"/>
        <v>Sinapi 41616</v>
      </c>
      <c r="I3974" s="101" t="str">
        <f t="shared" si="246"/>
        <v>UN</v>
      </c>
      <c r="J3974" s="140" t="str">
        <f t="shared" si="247"/>
        <v>TAMPA DE CONCRETO ARMADO PARA FOSSA, D = 1,50 M, E = 0,05 M</v>
      </c>
    </row>
    <row r="3975" spans="1:10" x14ac:dyDescent="0.25">
      <c r="A3975" s="169">
        <v>41617</v>
      </c>
      <c r="B3975" s="169" t="s">
        <v>27444</v>
      </c>
      <c r="C3975" s="169" t="s">
        <v>10225</v>
      </c>
      <c r="D3975" s="169" t="s">
        <v>1289</v>
      </c>
      <c r="E3975" s="103" t="s">
        <v>31194</v>
      </c>
      <c r="F3975" s="104"/>
      <c r="G3975" s="105">
        <f t="shared" si="244"/>
        <v>734.64</v>
      </c>
      <c r="H3975" s="101" t="str">
        <f t="shared" si="245"/>
        <v>Sinapi 41617</v>
      </c>
      <c r="I3975" s="101" t="str">
        <f t="shared" si="246"/>
        <v>UN</v>
      </c>
      <c r="J3975" s="140" t="str">
        <f t="shared" si="247"/>
        <v>TAMPA DE CONCRETO ARMADO PARA FOSSA, D = 2,00 M, E = 0,05 M</v>
      </c>
    </row>
    <row r="3976" spans="1:10" x14ac:dyDescent="0.25">
      <c r="A3976" s="169">
        <v>41618</v>
      </c>
      <c r="B3976" s="169" t="s">
        <v>27445</v>
      </c>
      <c r="C3976" s="169" t="s">
        <v>10225</v>
      </c>
      <c r="D3976" s="169" t="s">
        <v>1289</v>
      </c>
      <c r="E3976" s="103" t="s">
        <v>31195</v>
      </c>
      <c r="F3976" s="104"/>
      <c r="G3976" s="105">
        <f t="shared" ref="G3976:G4039" si="248">IF(E3976="","",E3976+0)</f>
        <v>1352.43</v>
      </c>
      <c r="H3976" s="101" t="str">
        <f t="shared" ref="H3976:H4039" si="249">IF(G3976="","",TRIM(CONCATENATE("Sinapi ",A3976)))</f>
        <v>Sinapi 41618</v>
      </c>
      <c r="I3976" s="101" t="str">
        <f t="shared" ref="I3976:I4039" si="250">TRIM(C3976)</f>
        <v>UN</v>
      </c>
      <c r="J3976" s="140" t="str">
        <f t="shared" si="247"/>
        <v>TAMPA DE CONCRETO ARMADO PARA FOSSA, D = 2,50 M, E = 0,05 M</v>
      </c>
    </row>
    <row r="3977" spans="1:10" x14ac:dyDescent="0.25">
      <c r="A3977" s="169">
        <v>43428</v>
      </c>
      <c r="B3977" s="169" t="s">
        <v>27446</v>
      </c>
      <c r="C3977" s="169" t="s">
        <v>10225</v>
      </c>
      <c r="D3977" s="169" t="s">
        <v>1289</v>
      </c>
      <c r="E3977" s="103" t="s">
        <v>31196</v>
      </c>
      <c r="F3977" s="104"/>
      <c r="G3977" s="105">
        <f t="shared" si="248"/>
        <v>2375.5700000000002</v>
      </c>
      <c r="H3977" s="101" t="str">
        <f t="shared" si="249"/>
        <v>Sinapi 43428</v>
      </c>
      <c r="I3977" s="101" t="str">
        <f t="shared" si="250"/>
        <v>UN</v>
      </c>
      <c r="J3977" s="140" t="str">
        <f t="shared" ref="J3977:J4040" si="251">TRIM(B3977)</f>
        <v>TAMPA DE CONCRETO ARMADO PARA POCO DE INSPECAO, COM FURO E TAMPINHA, DIAMETRO NOMINAL DE 3,00 M E ESPESSURA MINIMA DE 100 MM</v>
      </c>
    </row>
    <row r="3978" spans="1:10" x14ac:dyDescent="0.25">
      <c r="A3978" s="169">
        <v>41619</v>
      </c>
      <c r="B3978" s="169" t="s">
        <v>27447</v>
      </c>
      <c r="C3978" s="169" t="s">
        <v>10225</v>
      </c>
      <c r="D3978" s="169" t="s">
        <v>1289</v>
      </c>
      <c r="E3978" s="103" t="s">
        <v>29588</v>
      </c>
      <c r="F3978" s="104"/>
      <c r="G3978" s="105">
        <f t="shared" si="248"/>
        <v>153.91</v>
      </c>
      <c r="H3978" s="101" t="str">
        <f t="shared" si="249"/>
        <v>Sinapi 41619</v>
      </c>
      <c r="I3978" s="101" t="str">
        <f t="shared" si="250"/>
        <v>UN</v>
      </c>
      <c r="J3978" s="140" t="str">
        <f t="shared" si="251"/>
        <v>TAMPA DE CONCRETO ARMADO PARA POCO, COM FURO E TAMPINHA, D = *0,90* M, E = 0,05 M</v>
      </c>
    </row>
    <row r="3979" spans="1:10" x14ac:dyDescent="0.25">
      <c r="A3979" s="169">
        <v>41620</v>
      </c>
      <c r="B3979" s="169" t="s">
        <v>27448</v>
      </c>
      <c r="C3979" s="169" t="s">
        <v>10225</v>
      </c>
      <c r="D3979" s="169" t="s">
        <v>1289</v>
      </c>
      <c r="E3979" s="103" t="s">
        <v>29458</v>
      </c>
      <c r="F3979" s="104"/>
      <c r="G3979" s="105">
        <f t="shared" si="248"/>
        <v>194.42</v>
      </c>
      <c r="H3979" s="101" t="str">
        <f t="shared" si="249"/>
        <v>Sinapi 41620</v>
      </c>
      <c r="I3979" s="101" t="str">
        <f t="shared" si="250"/>
        <v>UN</v>
      </c>
      <c r="J3979" s="140" t="str">
        <f t="shared" si="251"/>
        <v>TAMPA DE CONCRETO ARMADO PARA POCO, COM FURO E TAMPINHA, D = *1,10* M, E = 0,05 M</v>
      </c>
    </row>
    <row r="3980" spans="1:10" x14ac:dyDescent="0.25">
      <c r="A3980" s="169">
        <v>41622</v>
      </c>
      <c r="B3980" s="169" t="s">
        <v>27449</v>
      </c>
      <c r="C3980" s="169" t="s">
        <v>10225</v>
      </c>
      <c r="D3980" s="169" t="s">
        <v>1289</v>
      </c>
      <c r="E3980" s="103" t="s">
        <v>31197</v>
      </c>
      <c r="F3980" s="104"/>
      <c r="G3980" s="105">
        <f t="shared" si="248"/>
        <v>337.19</v>
      </c>
      <c r="H3980" s="101" t="str">
        <f t="shared" si="249"/>
        <v>Sinapi 41622</v>
      </c>
      <c r="I3980" s="101" t="str">
        <f t="shared" si="250"/>
        <v>UN</v>
      </c>
      <c r="J3980" s="140" t="str">
        <f t="shared" si="251"/>
        <v>TAMPA DE CONCRETO ARMADO PARA POCO, COM FURO E TAMPINHA, D = *1,35* M, E = 0,05 M</v>
      </c>
    </row>
    <row r="3981" spans="1:10" x14ac:dyDescent="0.25">
      <c r="A3981" s="169">
        <v>41623</v>
      </c>
      <c r="B3981" s="169" t="s">
        <v>27450</v>
      </c>
      <c r="C3981" s="169" t="s">
        <v>10225</v>
      </c>
      <c r="D3981" s="169" t="s">
        <v>1289</v>
      </c>
      <c r="E3981" s="103" t="s">
        <v>31198</v>
      </c>
      <c r="F3981" s="104"/>
      <c r="G3981" s="105">
        <f t="shared" si="248"/>
        <v>518.45000000000005</v>
      </c>
      <c r="H3981" s="101" t="str">
        <f t="shared" si="249"/>
        <v>Sinapi 41623</v>
      </c>
      <c r="I3981" s="101" t="str">
        <f t="shared" si="250"/>
        <v>UN</v>
      </c>
      <c r="J3981" s="140" t="str">
        <f t="shared" si="251"/>
        <v>TAMPA DE CONCRETO ARMADO PARA POCO, COM FURO E TAMPINHA, D = 1,50 M, E = 0,05 M</v>
      </c>
    </row>
    <row r="3982" spans="1:10" x14ac:dyDescent="0.25">
      <c r="A3982" s="169">
        <v>41624</v>
      </c>
      <c r="B3982" s="169" t="s">
        <v>27451</v>
      </c>
      <c r="C3982" s="169" t="s">
        <v>10225</v>
      </c>
      <c r="D3982" s="169" t="s">
        <v>1289</v>
      </c>
      <c r="E3982" s="103" t="s">
        <v>31199</v>
      </c>
      <c r="F3982" s="104"/>
      <c r="G3982" s="105">
        <f t="shared" si="248"/>
        <v>972.1</v>
      </c>
      <c r="H3982" s="101" t="str">
        <f t="shared" si="249"/>
        <v>Sinapi 41624</v>
      </c>
      <c r="I3982" s="101" t="str">
        <f t="shared" si="250"/>
        <v>UN</v>
      </c>
      <c r="J3982" s="140" t="str">
        <f t="shared" si="251"/>
        <v>TAMPA DE CONCRETO ARMADO PARA POCO, COM FURO E TAMPINHA, D = 2,00 M, E = 0,05 M</v>
      </c>
    </row>
    <row r="3983" spans="1:10" x14ac:dyDescent="0.25">
      <c r="A3983" s="169">
        <v>41625</v>
      </c>
      <c r="B3983" s="169" t="s">
        <v>27452</v>
      </c>
      <c r="C3983" s="169" t="s">
        <v>10225</v>
      </c>
      <c r="D3983" s="169" t="s">
        <v>1289</v>
      </c>
      <c r="E3983" s="103" t="s">
        <v>31200</v>
      </c>
      <c r="F3983" s="104"/>
      <c r="G3983" s="105">
        <f t="shared" si="248"/>
        <v>1495.61</v>
      </c>
      <c r="H3983" s="101" t="str">
        <f t="shared" si="249"/>
        <v>Sinapi 41625</v>
      </c>
      <c r="I3983" s="101" t="str">
        <f t="shared" si="250"/>
        <v>UN</v>
      </c>
      <c r="J3983" s="140" t="str">
        <f t="shared" si="251"/>
        <v>TAMPA DE CONCRETO ARMADO PARA POCO, COM FURO E TAMPINHA, D = 2,50 M, E = 0,05 M</v>
      </c>
    </row>
    <row r="3984" spans="1:10" x14ac:dyDescent="0.25">
      <c r="A3984" s="169">
        <v>39352</v>
      </c>
      <c r="B3984" s="169" t="s">
        <v>27453</v>
      </c>
      <c r="C3984" s="169" t="s">
        <v>10225</v>
      </c>
      <c r="D3984" s="169" t="s">
        <v>1289</v>
      </c>
      <c r="E3984" s="103" t="s">
        <v>19270</v>
      </c>
      <c r="F3984" s="104"/>
      <c r="G3984" s="105">
        <f t="shared" si="248"/>
        <v>2.86</v>
      </c>
      <c r="H3984" s="101" t="str">
        <f t="shared" si="249"/>
        <v>Sinapi 39352</v>
      </c>
      <c r="I3984" s="101" t="str">
        <f t="shared" si="250"/>
        <v>UN</v>
      </c>
      <c r="J3984" s="140" t="str">
        <f t="shared" si="251"/>
        <v>TAMPA PARA CONDULETE, EM PVC, PARA TOMADA HEXAGONAL</v>
      </c>
    </row>
    <row r="3985" spans="1:10" x14ac:dyDescent="0.25">
      <c r="A3985" s="169">
        <v>39346</v>
      </c>
      <c r="B3985" s="169" t="s">
        <v>27455</v>
      </c>
      <c r="C3985" s="169" t="s">
        <v>10225</v>
      </c>
      <c r="D3985" s="169" t="s">
        <v>1289</v>
      </c>
      <c r="E3985" s="103" t="s">
        <v>19270</v>
      </c>
      <c r="F3985" s="104"/>
      <c r="G3985" s="105">
        <f t="shared" si="248"/>
        <v>2.86</v>
      </c>
      <c r="H3985" s="101" t="str">
        <f t="shared" si="249"/>
        <v>Sinapi 39346</v>
      </c>
      <c r="I3985" s="101" t="str">
        <f t="shared" si="250"/>
        <v>UN</v>
      </c>
      <c r="J3985" s="140" t="str">
        <f t="shared" si="251"/>
        <v>TAMPA PARA CONDULETE, EM PVC, PARA 1 INTERRUPTOR</v>
      </c>
    </row>
    <row r="3986" spans="1:10" x14ac:dyDescent="0.25">
      <c r="A3986" s="169">
        <v>39350</v>
      </c>
      <c r="B3986" s="169" t="s">
        <v>27456</v>
      </c>
      <c r="C3986" s="169" t="s">
        <v>10225</v>
      </c>
      <c r="D3986" s="169" t="s">
        <v>1289</v>
      </c>
      <c r="E3986" s="103" t="s">
        <v>13393</v>
      </c>
      <c r="F3986" s="104"/>
      <c r="G3986" s="105">
        <f t="shared" si="248"/>
        <v>3.07</v>
      </c>
      <c r="H3986" s="101" t="str">
        <f t="shared" si="249"/>
        <v>Sinapi 39350</v>
      </c>
      <c r="I3986" s="101" t="str">
        <f t="shared" si="250"/>
        <v>UN</v>
      </c>
      <c r="J3986" s="140" t="str">
        <f t="shared" si="251"/>
        <v>TAMPA PARA CONDULETE, EM PVC, PARA 1 MODULO RJ</v>
      </c>
    </row>
    <row r="3987" spans="1:10" x14ac:dyDescent="0.25">
      <c r="A3987" s="169">
        <v>39351</v>
      </c>
      <c r="B3987" s="169" t="s">
        <v>27457</v>
      </c>
      <c r="C3987" s="169" t="s">
        <v>10225</v>
      </c>
      <c r="D3987" s="169" t="s">
        <v>1289</v>
      </c>
      <c r="E3987" s="103" t="s">
        <v>24900</v>
      </c>
      <c r="F3987" s="104"/>
      <c r="G3987" s="105">
        <f t="shared" si="248"/>
        <v>3.56</v>
      </c>
      <c r="H3987" s="101" t="str">
        <f t="shared" si="249"/>
        <v>Sinapi 39351</v>
      </c>
      <c r="I3987" s="101" t="str">
        <f t="shared" si="250"/>
        <v>UN</v>
      </c>
      <c r="J3987" s="140" t="str">
        <f t="shared" si="251"/>
        <v>TAMPA PARA CONDULETE, EM PVC, PARA 2 MODULOS RJ</v>
      </c>
    </row>
    <row r="3988" spans="1:10" x14ac:dyDescent="0.25">
      <c r="A3988" s="169">
        <v>38837</v>
      </c>
      <c r="B3988" s="169" t="s">
        <v>27458</v>
      </c>
      <c r="C3988" s="169" t="s">
        <v>10225</v>
      </c>
      <c r="D3988" s="169" t="s">
        <v>1290</v>
      </c>
      <c r="E3988" s="103" t="s">
        <v>17378</v>
      </c>
      <c r="F3988" s="104"/>
      <c r="G3988" s="105">
        <f t="shared" si="248"/>
        <v>7.53</v>
      </c>
      <c r="H3988" s="101" t="str">
        <f t="shared" si="249"/>
        <v>Sinapi 38837</v>
      </c>
      <c r="I3988" s="101" t="str">
        <f t="shared" si="250"/>
        <v>UN</v>
      </c>
      <c r="J3988" s="140" t="str">
        <f t="shared" si="251"/>
        <v>TAMPAO / CAP, ROSCA MACHO, DN 1", PARA TUBO PEX PARA INST. AGUA QUENTE/FRIA</v>
      </c>
    </row>
    <row r="3989" spans="1:10" x14ac:dyDescent="0.25">
      <c r="A3989" s="169">
        <v>38836</v>
      </c>
      <c r="B3989" s="169" t="s">
        <v>27459</v>
      </c>
      <c r="C3989" s="169" t="s">
        <v>10225</v>
      </c>
      <c r="D3989" s="169" t="s">
        <v>1290</v>
      </c>
      <c r="E3989" s="103" t="s">
        <v>15758</v>
      </c>
      <c r="F3989" s="104"/>
      <c r="G3989" s="105">
        <f t="shared" si="248"/>
        <v>5.26</v>
      </c>
      <c r="H3989" s="101" t="str">
        <f t="shared" si="249"/>
        <v>Sinapi 38836</v>
      </c>
      <c r="I3989" s="101" t="str">
        <f t="shared" si="250"/>
        <v>UN</v>
      </c>
      <c r="J3989" s="140" t="str">
        <f t="shared" si="251"/>
        <v>TAMPAO / CAP, ROSCA MACHO, DN 3/4", PARA TUBO PEX PARA INST. AGUA QUENTE/FRIA</v>
      </c>
    </row>
    <row r="3990" spans="1:10" x14ac:dyDescent="0.25">
      <c r="A3990" s="169">
        <v>2666</v>
      </c>
      <c r="B3990" s="169" t="s">
        <v>27460</v>
      </c>
      <c r="C3990" s="169" t="s">
        <v>10225</v>
      </c>
      <c r="D3990" s="169" t="s">
        <v>1290</v>
      </c>
      <c r="E3990" s="103" t="s">
        <v>14635</v>
      </c>
      <c r="F3990" s="104"/>
      <c r="G3990" s="105">
        <f t="shared" si="248"/>
        <v>6.81</v>
      </c>
      <c r="H3990" s="101" t="str">
        <f t="shared" si="249"/>
        <v>Sinapi 2666</v>
      </c>
      <c r="I3990" s="101" t="str">
        <f t="shared" si="250"/>
        <v>UN</v>
      </c>
      <c r="J3990" s="140" t="str">
        <f t="shared" si="251"/>
        <v>TAMPAO / TERMINAL / PLUG, D = 1 1/4" , PARA DUTO CORRUGADO PEAD (CABEAMENTO SUBTERRANEO)</v>
      </c>
    </row>
    <row r="3991" spans="1:10" x14ac:dyDescent="0.25">
      <c r="A3991" s="169">
        <v>2668</v>
      </c>
      <c r="B3991" s="169" t="s">
        <v>27461</v>
      </c>
      <c r="C3991" s="169" t="s">
        <v>10225</v>
      </c>
      <c r="D3991" s="169" t="s">
        <v>1290</v>
      </c>
      <c r="E3991" s="103" t="s">
        <v>14628</v>
      </c>
      <c r="F3991" s="104"/>
      <c r="G3991" s="105">
        <f t="shared" si="248"/>
        <v>7.78</v>
      </c>
      <c r="H3991" s="101" t="str">
        <f t="shared" si="249"/>
        <v>Sinapi 2668</v>
      </c>
      <c r="I3991" s="101" t="str">
        <f t="shared" si="250"/>
        <v>UN</v>
      </c>
      <c r="J3991" s="140" t="str">
        <f t="shared" si="251"/>
        <v>TAMPAO / TERMINAL / PLUG, D = 2" , PARA DUTO CORRUGADO PEAD (CABEAMENTO SUBTERRANEO)</v>
      </c>
    </row>
    <row r="3992" spans="1:10" x14ac:dyDescent="0.25">
      <c r="A3992" s="169">
        <v>2664</v>
      </c>
      <c r="B3992" s="169" t="s">
        <v>27462</v>
      </c>
      <c r="C3992" s="169" t="s">
        <v>10225</v>
      </c>
      <c r="D3992" s="169" t="s">
        <v>1290</v>
      </c>
      <c r="E3992" s="103" t="s">
        <v>21111</v>
      </c>
      <c r="F3992" s="104"/>
      <c r="G3992" s="105">
        <f t="shared" si="248"/>
        <v>11.47</v>
      </c>
      <c r="H3992" s="101" t="str">
        <f t="shared" si="249"/>
        <v>Sinapi 2664</v>
      </c>
      <c r="I3992" s="101" t="str">
        <f t="shared" si="250"/>
        <v>UN</v>
      </c>
      <c r="J3992" s="140" t="str">
        <f t="shared" si="251"/>
        <v>TAMPAO / TERMINAL / PLUG, D = 3" , PARA DUTO CORRUGADO PEAD (CABEAMENTO SUBTERRANEO)</v>
      </c>
    </row>
    <row r="3993" spans="1:10" x14ac:dyDescent="0.25">
      <c r="A3993" s="169">
        <v>2662</v>
      </c>
      <c r="B3993" s="169" t="s">
        <v>27463</v>
      </c>
      <c r="C3993" s="169" t="s">
        <v>10225</v>
      </c>
      <c r="D3993" s="169" t="s">
        <v>1290</v>
      </c>
      <c r="E3993" s="103" t="s">
        <v>16414</v>
      </c>
      <c r="F3993" s="104"/>
      <c r="G3993" s="105">
        <f t="shared" si="248"/>
        <v>14.07</v>
      </c>
      <c r="H3993" s="101" t="str">
        <f t="shared" si="249"/>
        <v>Sinapi 2662</v>
      </c>
      <c r="I3993" s="101" t="str">
        <f t="shared" si="250"/>
        <v>UN</v>
      </c>
      <c r="J3993" s="140" t="str">
        <f t="shared" si="251"/>
        <v>TAMPAO / TERMINAL / PLUG, D = 4" , PARA DUTO CORRUGADO PEAD (CABEAMENTO SUBTERRANEO)</v>
      </c>
    </row>
    <row r="3994" spans="1:10" x14ac:dyDescent="0.25">
      <c r="A3994" s="169">
        <v>20964</v>
      </c>
      <c r="B3994" s="169" t="s">
        <v>27464</v>
      </c>
      <c r="C3994" s="169" t="s">
        <v>10225</v>
      </c>
      <c r="D3994" s="169" t="s">
        <v>1289</v>
      </c>
      <c r="E3994" s="103" t="s">
        <v>31201</v>
      </c>
      <c r="F3994" s="104"/>
      <c r="G3994" s="105">
        <f t="shared" si="248"/>
        <v>61.07</v>
      </c>
      <c r="H3994" s="101" t="str">
        <f t="shared" si="249"/>
        <v>Sinapi 20964</v>
      </c>
      <c r="I3994" s="101" t="str">
        <f t="shared" si="250"/>
        <v>UN</v>
      </c>
      <c r="J3994" s="140" t="str">
        <f t="shared" si="251"/>
        <v>TAMPAO COM CORRENTE, EM LATAO, ENGATE RAPIDO 1 1/2", PARA INSTALACAO PREDIAL DE COMBATE A INCENDIO</v>
      </c>
    </row>
    <row r="3995" spans="1:10" x14ac:dyDescent="0.25">
      <c r="A3995" s="169">
        <v>10905</v>
      </c>
      <c r="B3995" s="169" t="s">
        <v>27465</v>
      </c>
      <c r="C3995" s="169" t="s">
        <v>10225</v>
      </c>
      <c r="D3995" s="169" t="s">
        <v>1289</v>
      </c>
      <c r="E3995" s="103" t="s">
        <v>31202</v>
      </c>
      <c r="F3995" s="104"/>
      <c r="G3995" s="105">
        <f t="shared" si="248"/>
        <v>81.92</v>
      </c>
      <c r="H3995" s="101" t="str">
        <f t="shared" si="249"/>
        <v>Sinapi 10905</v>
      </c>
      <c r="I3995" s="101" t="str">
        <f t="shared" si="250"/>
        <v>UN</v>
      </c>
      <c r="J3995" s="140" t="str">
        <f t="shared" si="251"/>
        <v>TAMPAO COM CORRENTE, EM LATAO, ENGATE RAPIDO 2 1/2", PARA INSTALACAO PREDIAL DE COMBATE A INCENDIO</v>
      </c>
    </row>
    <row r="3996" spans="1:10" x14ac:dyDescent="0.25">
      <c r="A3996" s="169">
        <v>11289</v>
      </c>
      <c r="B3996" s="169" t="s">
        <v>1037</v>
      </c>
      <c r="C3996" s="169" t="s">
        <v>10225</v>
      </c>
      <c r="D3996" s="169" t="s">
        <v>1290</v>
      </c>
      <c r="E3996" s="103" t="s">
        <v>21541</v>
      </c>
      <c r="F3996" s="104"/>
      <c r="G3996" s="105">
        <f t="shared" si="248"/>
        <v>99.23</v>
      </c>
      <c r="H3996" s="101" t="str">
        <f t="shared" si="249"/>
        <v>Sinapi 11289</v>
      </c>
      <c r="I3996" s="101" t="str">
        <f t="shared" si="250"/>
        <v>UN</v>
      </c>
      <c r="J3996" s="140" t="str">
        <f t="shared" si="251"/>
        <v>TAMPAO FOFO ARTICULADO P/ REGISTRO, CLASSE A15 CARGA MAX 1,5 T, *200 X 200* MM</v>
      </c>
    </row>
    <row r="3997" spans="1:10" x14ac:dyDescent="0.25">
      <c r="A3997" s="169">
        <v>11241</v>
      </c>
      <c r="B3997" s="169" t="s">
        <v>879</v>
      </c>
      <c r="C3997" s="169" t="s">
        <v>10225</v>
      </c>
      <c r="D3997" s="169" t="s">
        <v>1290</v>
      </c>
      <c r="E3997" s="103" t="s">
        <v>21542</v>
      </c>
      <c r="F3997" s="104"/>
      <c r="G3997" s="105">
        <f t="shared" si="248"/>
        <v>248.09</v>
      </c>
      <c r="H3997" s="101" t="str">
        <f t="shared" si="249"/>
        <v>Sinapi 11241</v>
      </c>
      <c r="I3997" s="101" t="str">
        <f t="shared" si="250"/>
        <v>UN</v>
      </c>
      <c r="J3997" s="140" t="str">
        <f t="shared" si="251"/>
        <v>TAMPAO FOFO ARTICULADO P/ REGISTRO, CLASSE A15 CARGA MAXIMA 1,5 T, *400 X 400* MM</v>
      </c>
    </row>
    <row r="3998" spans="1:10" x14ac:dyDescent="0.25">
      <c r="A3998" s="169">
        <v>11301</v>
      </c>
      <c r="B3998" s="169" t="s">
        <v>27466</v>
      </c>
      <c r="C3998" s="169" t="s">
        <v>10225</v>
      </c>
      <c r="D3998" s="169" t="s">
        <v>1290</v>
      </c>
      <c r="E3998" s="103" t="s">
        <v>21543</v>
      </c>
      <c r="F3998" s="104"/>
      <c r="G3998" s="105">
        <f t="shared" si="248"/>
        <v>629.09</v>
      </c>
      <c r="H3998" s="101" t="str">
        <f t="shared" si="249"/>
        <v>Sinapi 11301</v>
      </c>
      <c r="I3998" s="101" t="str">
        <f t="shared" si="250"/>
        <v>UN</v>
      </c>
      <c r="J3998" s="140" t="str">
        <f t="shared" si="251"/>
        <v>TAMPAO FOFO ARTICULADO, CLASSE B125 CARGA MAX 12,5 T, REDONDO, TAMPA 600 MM (COM INSCRICAO EM RELEVO DO TIPO DE REDE)</v>
      </c>
    </row>
    <row r="3999" spans="1:10" x14ac:dyDescent="0.25">
      <c r="A3999" s="169">
        <v>21090</v>
      </c>
      <c r="B3999" s="169" t="s">
        <v>27467</v>
      </c>
      <c r="C3999" s="169" t="s">
        <v>10225</v>
      </c>
      <c r="D3999" s="169" t="s">
        <v>1290</v>
      </c>
      <c r="E3999" s="103" t="s">
        <v>21544</v>
      </c>
      <c r="F3999" s="104"/>
      <c r="G3999" s="105">
        <f t="shared" si="248"/>
        <v>770.86</v>
      </c>
      <c r="H3999" s="101" t="str">
        <f t="shared" si="249"/>
        <v>Sinapi 21090</v>
      </c>
      <c r="I3999" s="101" t="str">
        <f t="shared" si="250"/>
        <v>UN</v>
      </c>
      <c r="J3999" s="140" t="str">
        <f t="shared" si="251"/>
        <v>TAMPAO FOFO ARTICULADO, CLASSE D400 CARGA MAX 40 T, REDONDO, TAMPA 600 MM (COM INSCRICAO EM RELEVO DO TIPO DE REDE)</v>
      </c>
    </row>
    <row r="4000" spans="1:10" x14ac:dyDescent="0.25">
      <c r="A4000" s="169">
        <v>11315</v>
      </c>
      <c r="B4000" s="169" t="s">
        <v>31203</v>
      </c>
      <c r="C4000" s="169" t="s">
        <v>10225</v>
      </c>
      <c r="D4000" s="169" t="s">
        <v>1290</v>
      </c>
      <c r="E4000" s="103" t="s">
        <v>21545</v>
      </c>
      <c r="F4000" s="104"/>
      <c r="G4000" s="105">
        <f t="shared" si="248"/>
        <v>150.62</v>
      </c>
      <c r="H4000" s="101" t="str">
        <f t="shared" si="249"/>
        <v>Sinapi 11315</v>
      </c>
      <c r="I4000" s="101" t="str">
        <f t="shared" si="250"/>
        <v>UN</v>
      </c>
      <c r="J4000" s="140" t="str">
        <f t="shared" si="251"/>
        <v>TAMPAO FOFO SIMPLES COM BASE / REQUADRO, CLASSE A15 CARGA MAX. 1,5 T, 300 X 300 MM (COM INSCRICAO EM RELEVO DO TIPO DE REDE)</v>
      </c>
    </row>
    <row r="4001" spans="1:10" x14ac:dyDescent="0.25">
      <c r="A4001" s="169">
        <v>21071</v>
      </c>
      <c r="B4001" s="169" t="s">
        <v>31204</v>
      </c>
      <c r="C4001" s="169" t="s">
        <v>10225</v>
      </c>
      <c r="D4001" s="169" t="s">
        <v>1290</v>
      </c>
      <c r="E4001" s="103" t="s">
        <v>21546</v>
      </c>
      <c r="F4001" s="104"/>
      <c r="G4001" s="105">
        <f t="shared" si="248"/>
        <v>230.37</v>
      </c>
      <c r="H4001" s="101" t="str">
        <f t="shared" si="249"/>
        <v>Sinapi 21071</v>
      </c>
      <c r="I4001" s="101" t="str">
        <f t="shared" si="250"/>
        <v>UN</v>
      </c>
      <c r="J4001" s="140" t="str">
        <f t="shared" si="251"/>
        <v>TAMPAO FOFO SIMPLES COM BASE / REQUADRO, CLASSE A15 CARGA MAX. 1,5 T, 400 X 400 MM (COM INSCRICAO EM RELEVO DO TIPO DE REDE)</v>
      </c>
    </row>
    <row r="4002" spans="1:10" x14ac:dyDescent="0.25">
      <c r="A4002" s="169">
        <v>14112</v>
      </c>
      <c r="B4002" s="169" t="s">
        <v>31205</v>
      </c>
      <c r="C4002" s="169" t="s">
        <v>10225</v>
      </c>
      <c r="D4002" s="169" t="s">
        <v>1290</v>
      </c>
      <c r="E4002" s="103" t="s">
        <v>21547</v>
      </c>
      <c r="F4002" s="104"/>
      <c r="G4002" s="105">
        <f t="shared" si="248"/>
        <v>321.63</v>
      </c>
      <c r="H4002" s="101" t="str">
        <f t="shared" si="249"/>
        <v>Sinapi 14112</v>
      </c>
      <c r="I4002" s="101" t="str">
        <f t="shared" si="250"/>
        <v>UN</v>
      </c>
      <c r="J4002" s="140" t="str">
        <f t="shared" si="251"/>
        <v>TAMPAO FOFO SIMPLES COM BASE / REQUADRO, CLASSE A15 CARGA MAX. 1,5 T, 400 X 600 MM (COM INSCRICAO EM RELEVO DO TIPO DE REDE)</v>
      </c>
    </row>
    <row r="4003" spans="1:10" x14ac:dyDescent="0.25">
      <c r="A4003" s="169">
        <v>11316</v>
      </c>
      <c r="B4003" s="169" t="s">
        <v>31206</v>
      </c>
      <c r="C4003" s="169" t="s">
        <v>10225</v>
      </c>
      <c r="D4003" s="169" t="s">
        <v>1290</v>
      </c>
      <c r="E4003" s="103" t="s">
        <v>21548</v>
      </c>
      <c r="F4003" s="104"/>
      <c r="G4003" s="105">
        <f t="shared" si="248"/>
        <v>496.18</v>
      </c>
      <c r="H4003" s="101" t="str">
        <f t="shared" si="249"/>
        <v>Sinapi 11316</v>
      </c>
      <c r="I4003" s="101" t="str">
        <f t="shared" si="250"/>
        <v>UN</v>
      </c>
      <c r="J4003" s="140" t="str">
        <f t="shared" si="251"/>
        <v>TAMPAO FOFO SIMPLES COM BASE / REQUADRO, CLASSE B125 CARGA MAX. 12,5 T, REDONDO, TAMPA 500 MM (COM INSCRICAO EM RELEVO DO TIPO DE REDE)</v>
      </c>
    </row>
    <row r="4004" spans="1:10" x14ac:dyDescent="0.25">
      <c r="A4004" s="169">
        <v>6243</v>
      </c>
      <c r="B4004" s="169" t="s">
        <v>31207</v>
      </c>
      <c r="C4004" s="169" t="s">
        <v>10225</v>
      </c>
      <c r="D4004" s="169" t="s">
        <v>1290</v>
      </c>
      <c r="E4004" s="103" t="s">
        <v>21549</v>
      </c>
      <c r="F4004" s="104"/>
      <c r="G4004" s="105">
        <f t="shared" si="248"/>
        <v>571.5</v>
      </c>
      <c r="H4004" s="101" t="str">
        <f t="shared" si="249"/>
        <v>Sinapi 6243</v>
      </c>
      <c r="I4004" s="101" t="str">
        <f t="shared" si="250"/>
        <v>UN</v>
      </c>
      <c r="J4004" s="140" t="str">
        <f t="shared" si="251"/>
        <v>TAMPAO FOFO SIMPLES COM BASE / REQUADRO, CLASSE B125 CARGA MAX. 12,5 T, REDONDO, TAMPA 600 MM (COM INSCRICAO EM RELEVO DO TIPO DE REDE)</v>
      </c>
    </row>
    <row r="4005" spans="1:10" x14ac:dyDescent="0.25">
      <c r="A4005" s="169">
        <v>6240</v>
      </c>
      <c r="B4005" s="169" t="s">
        <v>31208</v>
      </c>
      <c r="C4005" s="169" t="s">
        <v>10225</v>
      </c>
      <c r="D4005" s="169" t="s">
        <v>1290</v>
      </c>
      <c r="E4005" s="103" t="s">
        <v>21550</v>
      </c>
      <c r="F4005" s="104"/>
      <c r="G4005" s="105">
        <f t="shared" si="248"/>
        <v>756.68</v>
      </c>
      <c r="H4005" s="101" t="str">
        <f t="shared" si="249"/>
        <v>Sinapi 6240</v>
      </c>
      <c r="I4005" s="101" t="str">
        <f t="shared" si="250"/>
        <v>UN</v>
      </c>
      <c r="J4005" s="140" t="str">
        <f t="shared" si="251"/>
        <v>TAMPAO FOFO SIMPLES COM BASE / REQUADRO, CLASSE D400 CARGA MAX. 40 T, REDONDO, TAMPA 600 MM, REDE PLUVIAL/ESGOTO (COM INSCRICAO EM RELEVO DO TIPO DE REDE)</v>
      </c>
    </row>
    <row r="4006" spans="1:10" x14ac:dyDescent="0.25">
      <c r="A4006" s="169">
        <v>11296</v>
      </c>
      <c r="B4006" s="169" t="s">
        <v>31209</v>
      </c>
      <c r="C4006" s="169" t="s">
        <v>10225</v>
      </c>
      <c r="D4006" s="169" t="s">
        <v>1290</v>
      </c>
      <c r="E4006" s="103" t="s">
        <v>21551</v>
      </c>
      <c r="F4006" s="104"/>
      <c r="G4006" s="105">
        <f t="shared" si="248"/>
        <v>2410.9299999999998</v>
      </c>
      <c r="H4006" s="101" t="str">
        <f t="shared" si="249"/>
        <v>Sinapi 11296</v>
      </c>
      <c r="I4006" s="101" t="str">
        <f t="shared" si="250"/>
        <v>UN</v>
      </c>
      <c r="J4006" s="140" t="str">
        <f t="shared" si="251"/>
        <v>TAMPAO FOFO SIMPLES COM BASE / REQUADRO, CLASSE D400 CARGA MAX. 40 T, REDONDO, TAMPA 900 MM (COM INSCRICAO EM RELEVO DO TIPO DE REDE)</v>
      </c>
    </row>
    <row r="4007" spans="1:10" x14ac:dyDescent="0.25">
      <c r="A4007" s="169">
        <v>11299</v>
      </c>
      <c r="B4007" s="169" t="s">
        <v>31210</v>
      </c>
      <c r="C4007" s="169" t="s">
        <v>10225</v>
      </c>
      <c r="D4007" s="169" t="s">
        <v>1290</v>
      </c>
      <c r="E4007" s="103" t="s">
        <v>21552</v>
      </c>
      <c r="F4007" s="104"/>
      <c r="G4007" s="105">
        <f t="shared" si="248"/>
        <v>816.04</v>
      </c>
      <c r="H4007" s="101" t="str">
        <f t="shared" si="249"/>
        <v>Sinapi 11299</v>
      </c>
      <c r="I4007" s="101" t="str">
        <f t="shared" si="250"/>
        <v>UN</v>
      </c>
      <c r="J4007" s="140" t="str">
        <f t="shared" si="251"/>
        <v>TAMPAO FOFO SIMPLES COM BASE / REQUADRO, R-2, CLASSE A15 CARGA MAX. 1,5 T, 550 X 1100 MM (COM INSCRICAO EM RELEVO DO TIPO DE REDE)</v>
      </c>
    </row>
    <row r="4008" spans="1:10" x14ac:dyDescent="0.25">
      <c r="A4008" s="169">
        <v>11688</v>
      </c>
      <c r="B4008" s="169" t="s">
        <v>27468</v>
      </c>
      <c r="C4008" s="169" t="s">
        <v>10225</v>
      </c>
      <c r="D4008" s="169" t="s">
        <v>1289</v>
      </c>
      <c r="E4008" s="103" t="s">
        <v>31211</v>
      </c>
      <c r="F4008" s="104"/>
      <c r="G4008" s="105">
        <f t="shared" si="248"/>
        <v>530.29999999999995</v>
      </c>
      <c r="H4008" s="101" t="str">
        <f t="shared" si="249"/>
        <v>Sinapi 11688</v>
      </c>
      <c r="I4008" s="101" t="str">
        <f t="shared" si="250"/>
        <v>UN</v>
      </c>
      <c r="J4008" s="140" t="str">
        <f t="shared" si="251"/>
        <v>TANQUE ACO INOXIDAVEL (ACO 304) COM ESFREGADOR E VALVULA, DE *50 X 40 X 22* CM</v>
      </c>
    </row>
    <row r="4009" spans="1:10" x14ac:dyDescent="0.25">
      <c r="A4009" s="169">
        <v>37736</v>
      </c>
      <c r="B4009" s="169" t="s">
        <v>27469</v>
      </c>
      <c r="C4009" s="169" t="s">
        <v>10225</v>
      </c>
      <c r="D4009" s="169" t="s">
        <v>1290</v>
      </c>
      <c r="E4009" s="103" t="s">
        <v>27470</v>
      </c>
      <c r="F4009" s="104"/>
      <c r="G4009" s="105">
        <f t="shared" si="248"/>
        <v>83450</v>
      </c>
      <c r="H4009" s="101" t="str">
        <f t="shared" si="249"/>
        <v>Sinapi 37736</v>
      </c>
      <c r="I4009" s="101" t="str">
        <f t="shared" si="250"/>
        <v>UN</v>
      </c>
      <c r="J4009" s="140" t="str">
        <f t="shared" si="251"/>
        <v>TANQUE DE ACO CARBONO NAO REVESTIDO, PARA TRANSPORTE DE AGUA COM CAPACIDADE DE 10 M3, COM BOMBA CENTRIFUGA POR TOMADA DE FORCA, VAZAO MAXIMA *75* M3/H (INCLUI MONTAGEM, NAO INCLUI CAMINHAO)</v>
      </c>
    </row>
    <row r="4010" spans="1:10" x14ac:dyDescent="0.25">
      <c r="A4010" s="169">
        <v>37739</v>
      </c>
      <c r="B4010" s="169" t="s">
        <v>27471</v>
      </c>
      <c r="C4010" s="169" t="s">
        <v>10225</v>
      </c>
      <c r="D4010" s="169" t="s">
        <v>1290</v>
      </c>
      <c r="E4010" s="103" t="s">
        <v>27472</v>
      </c>
      <c r="F4010" s="104"/>
      <c r="G4010" s="105">
        <f t="shared" si="248"/>
        <v>102707.68</v>
      </c>
      <c r="H4010" s="101" t="str">
        <f t="shared" si="249"/>
        <v>Sinapi 37739</v>
      </c>
      <c r="I4010" s="101" t="str">
        <f t="shared" si="250"/>
        <v>UN</v>
      </c>
      <c r="J4010" s="140" t="str">
        <f t="shared" si="251"/>
        <v>TANQUE DE ACO PARA TRANSPORTE DE AGUA COM CAPACIDADE DE 14 M3 (INCLUI MONTAGEM, NAO INCLUI CAMINHAO)</v>
      </c>
    </row>
    <row r="4011" spans="1:10" x14ac:dyDescent="0.25">
      <c r="A4011" s="169">
        <v>37740</v>
      </c>
      <c r="B4011" s="169" t="s">
        <v>27473</v>
      </c>
      <c r="C4011" s="169" t="s">
        <v>10225</v>
      </c>
      <c r="D4011" s="169" t="s">
        <v>1290</v>
      </c>
      <c r="E4011" s="103" t="s">
        <v>27474</v>
      </c>
      <c r="F4011" s="104"/>
      <c r="G4011" s="105">
        <f t="shared" si="248"/>
        <v>58610.36</v>
      </c>
      <c r="H4011" s="101" t="str">
        <f t="shared" si="249"/>
        <v>Sinapi 37740</v>
      </c>
      <c r="I4011" s="101" t="str">
        <f t="shared" si="250"/>
        <v>UN</v>
      </c>
      <c r="J4011" s="140" t="str">
        <f t="shared" si="251"/>
        <v>TANQUE DE ACO PARA TRANSPORTE DE AGUA COM CAPACIDADE DE 4 M3 (INCLUI MONTAGEM, NAO INCLUI CAMINHAO)</v>
      </c>
    </row>
    <row r="4012" spans="1:10" x14ac:dyDescent="0.25">
      <c r="A4012" s="169">
        <v>37738</v>
      </c>
      <c r="B4012" s="169" t="s">
        <v>27475</v>
      </c>
      <c r="C4012" s="169" t="s">
        <v>10225</v>
      </c>
      <c r="D4012" s="169" t="s">
        <v>1290</v>
      </c>
      <c r="E4012" s="103" t="s">
        <v>27476</v>
      </c>
      <c r="F4012" s="104"/>
      <c r="G4012" s="105">
        <f t="shared" si="248"/>
        <v>69634.7</v>
      </c>
      <c r="H4012" s="101" t="str">
        <f t="shared" si="249"/>
        <v>Sinapi 37738</v>
      </c>
      <c r="I4012" s="101" t="str">
        <f t="shared" si="250"/>
        <v>UN</v>
      </c>
      <c r="J4012" s="140" t="str">
        <f t="shared" si="251"/>
        <v>TANQUE DE ACO PARA TRANSPORTE DE AGUA COM CAPACIDADE DE 6 M3 (INCLUI MONTAGEM, NAO INCLUI CAMINHAO)</v>
      </c>
    </row>
    <row r="4013" spans="1:10" x14ac:dyDescent="0.25">
      <c r="A4013" s="169">
        <v>37737</v>
      </c>
      <c r="B4013" s="169" t="s">
        <v>27477</v>
      </c>
      <c r="C4013" s="169" t="s">
        <v>10225</v>
      </c>
      <c r="D4013" s="169" t="s">
        <v>1290</v>
      </c>
      <c r="E4013" s="103" t="s">
        <v>27478</v>
      </c>
      <c r="F4013" s="104"/>
      <c r="G4013" s="105">
        <f t="shared" si="248"/>
        <v>55400.75</v>
      </c>
      <c r="H4013" s="101" t="str">
        <f t="shared" si="249"/>
        <v>Sinapi 37737</v>
      </c>
      <c r="I4013" s="101" t="str">
        <f t="shared" si="250"/>
        <v>UN</v>
      </c>
      <c r="J4013" s="140" t="str">
        <f t="shared" si="251"/>
        <v>TANQUE DE ACO PARA TRANSPORTE DE AGUA COM CAPACIDADE DE 8 M3 (INCLUI MONTAGEM, NAO INCLUI CAMINHAO)</v>
      </c>
    </row>
    <row r="4014" spans="1:10" x14ac:dyDescent="0.25">
      <c r="A4014" s="169">
        <v>25014</v>
      </c>
      <c r="B4014" s="169" t="s">
        <v>27479</v>
      </c>
      <c r="C4014" s="169" t="s">
        <v>10225</v>
      </c>
      <c r="D4014" s="169" t="s">
        <v>1290</v>
      </c>
      <c r="E4014" s="103" t="s">
        <v>27480</v>
      </c>
      <c r="F4014" s="104"/>
      <c r="G4014" s="105">
        <f t="shared" si="248"/>
        <v>116034.57</v>
      </c>
      <c r="H4014" s="101" t="str">
        <f t="shared" si="249"/>
        <v>Sinapi 25014</v>
      </c>
      <c r="I4014" s="101" t="str">
        <f t="shared" si="250"/>
        <v>UN</v>
      </c>
      <c r="J4014" s="140" t="str">
        <f t="shared" si="251"/>
        <v>TANQUE DE ASFALTO ESTACIONARIO COM MACARICO, CAPACIDADE 20.000 L</v>
      </c>
    </row>
    <row r="4015" spans="1:10" x14ac:dyDescent="0.25">
      <c r="A4015" s="169">
        <v>25013</v>
      </c>
      <c r="B4015" s="169" t="s">
        <v>27481</v>
      </c>
      <c r="C4015" s="169" t="s">
        <v>10225</v>
      </c>
      <c r="D4015" s="169" t="s">
        <v>1290</v>
      </c>
      <c r="E4015" s="103" t="s">
        <v>27482</v>
      </c>
      <c r="F4015" s="104"/>
      <c r="G4015" s="105">
        <f t="shared" si="248"/>
        <v>121616.51</v>
      </c>
      <c r="H4015" s="101" t="str">
        <f t="shared" si="249"/>
        <v>Sinapi 25013</v>
      </c>
      <c r="I4015" s="101" t="str">
        <f t="shared" si="250"/>
        <v>UN</v>
      </c>
      <c r="J4015" s="140" t="str">
        <f t="shared" si="251"/>
        <v>TANQUE DE ASFALTO ESTACIONARIO COM SERPENTINA, CAPACIDADE 20.000 L</v>
      </c>
    </row>
    <row r="4016" spans="1:10" x14ac:dyDescent="0.25">
      <c r="A4016" s="169">
        <v>14405</v>
      </c>
      <c r="B4016" s="169" t="s">
        <v>27483</v>
      </c>
      <c r="C4016" s="169" t="s">
        <v>10225</v>
      </c>
      <c r="D4016" s="169" t="s">
        <v>1290</v>
      </c>
      <c r="E4016" s="103" t="s">
        <v>27484</v>
      </c>
      <c r="F4016" s="104"/>
      <c r="G4016" s="105">
        <f t="shared" si="248"/>
        <v>142758.1</v>
      </c>
      <c r="H4016" s="101" t="str">
        <f t="shared" si="249"/>
        <v>Sinapi 14405</v>
      </c>
      <c r="I4016" s="101" t="str">
        <f t="shared" si="250"/>
        <v>UN</v>
      </c>
      <c r="J4016" s="140" t="str">
        <f t="shared" si="251"/>
        <v>TANQUE DE ASFALTO ESTACIONARIO COM SERPENTINA, CAPACIDADE 30.000 L</v>
      </c>
    </row>
    <row r="4017" spans="1:10" x14ac:dyDescent="0.25">
      <c r="A4017" s="169">
        <v>20271</v>
      </c>
      <c r="B4017" s="169" t="s">
        <v>27485</v>
      </c>
      <c r="C4017" s="169" t="s">
        <v>10225</v>
      </c>
      <c r="D4017" s="169" t="s">
        <v>1289</v>
      </c>
      <c r="E4017" s="103" t="s">
        <v>31212</v>
      </c>
      <c r="F4017" s="104"/>
      <c r="G4017" s="105">
        <f t="shared" si="248"/>
        <v>519.11</v>
      </c>
      <c r="H4017" s="101" t="str">
        <f t="shared" si="249"/>
        <v>Sinapi 20271</v>
      </c>
      <c r="I4017" s="101" t="str">
        <f t="shared" si="250"/>
        <v>UN</v>
      </c>
      <c r="J4017" s="140" t="str">
        <f t="shared" si="251"/>
        <v>TANQUE DE LOUCA BRANCA, COM COLUNA, *30* L</v>
      </c>
    </row>
    <row r="4018" spans="1:10" x14ac:dyDescent="0.25">
      <c r="A4018" s="169">
        <v>10423</v>
      </c>
      <c r="B4018" s="169" t="s">
        <v>27486</v>
      </c>
      <c r="C4018" s="169" t="s">
        <v>10225</v>
      </c>
      <c r="D4018" s="169" t="s">
        <v>1289</v>
      </c>
      <c r="E4018" s="103" t="s">
        <v>31213</v>
      </c>
      <c r="F4018" s="104"/>
      <c r="G4018" s="105">
        <f t="shared" si="248"/>
        <v>381.15</v>
      </c>
      <c r="H4018" s="101" t="str">
        <f t="shared" si="249"/>
        <v>Sinapi 10423</v>
      </c>
      <c r="I4018" s="101" t="str">
        <f t="shared" si="250"/>
        <v>UN</v>
      </c>
      <c r="J4018" s="140" t="str">
        <f t="shared" si="251"/>
        <v>TANQUE DE LOUCA BRANCA, SUSPENSO, *20* L</v>
      </c>
    </row>
    <row r="4019" spans="1:10" x14ac:dyDescent="0.25">
      <c r="A4019" s="169">
        <v>36790</v>
      </c>
      <c r="B4019" s="169" t="s">
        <v>27487</v>
      </c>
      <c r="C4019" s="169" t="s">
        <v>10225</v>
      </c>
      <c r="D4019" s="169" t="s">
        <v>1289</v>
      </c>
      <c r="E4019" s="103" t="s">
        <v>31214</v>
      </c>
      <c r="F4019" s="104"/>
      <c r="G4019" s="105">
        <f t="shared" si="248"/>
        <v>388.55</v>
      </c>
      <c r="H4019" s="101" t="str">
        <f t="shared" si="249"/>
        <v>Sinapi 36790</v>
      </c>
      <c r="I4019" s="101" t="str">
        <f t="shared" si="250"/>
        <v>UN</v>
      </c>
      <c r="J4019" s="140" t="str">
        <f t="shared" si="251"/>
        <v>TANQUE DUPLO EM MARMORE SINTETICO COM CUBA LISA E ESFREGADOR, *110 X 60* CM</v>
      </c>
    </row>
    <row r="4020" spans="1:10" x14ac:dyDescent="0.25">
      <c r="A4020" s="169">
        <v>37589</v>
      </c>
      <c r="B4020" s="169" t="s">
        <v>27488</v>
      </c>
      <c r="C4020" s="169" t="s">
        <v>10225</v>
      </c>
      <c r="D4020" s="169" t="s">
        <v>1289</v>
      </c>
      <c r="E4020" s="103" t="s">
        <v>31215</v>
      </c>
      <c r="F4020" s="104"/>
      <c r="G4020" s="105">
        <f t="shared" si="248"/>
        <v>476.08</v>
      </c>
      <c r="H4020" s="101" t="str">
        <f t="shared" si="249"/>
        <v>Sinapi 37589</v>
      </c>
      <c r="I4020" s="101" t="str">
        <f t="shared" si="250"/>
        <v>UN</v>
      </c>
      <c r="J4020" s="140" t="str">
        <f t="shared" si="251"/>
        <v>TANQUE SIMPLES EM MARMORE SINTETICO COM COLUNA, CAPACIDADE *22* L, *60 X 46* CM</v>
      </c>
    </row>
    <row r="4021" spans="1:10" x14ac:dyDescent="0.25">
      <c r="A4021" s="169">
        <v>11690</v>
      </c>
      <c r="B4021" s="169" t="s">
        <v>27489</v>
      </c>
      <c r="C4021" s="169" t="s">
        <v>10225</v>
      </c>
      <c r="D4021" s="169" t="s">
        <v>1289</v>
      </c>
      <c r="E4021" s="103" t="s">
        <v>31216</v>
      </c>
      <c r="F4021" s="104"/>
      <c r="G4021" s="105">
        <f t="shared" si="248"/>
        <v>252.9</v>
      </c>
      <c r="H4021" s="101" t="str">
        <f t="shared" si="249"/>
        <v>Sinapi 11690</v>
      </c>
      <c r="I4021" s="101" t="str">
        <f t="shared" si="250"/>
        <v>UN</v>
      </c>
      <c r="J4021" s="140" t="str">
        <f t="shared" si="251"/>
        <v>TANQUE SIMPLES EM MARMORE SINTETICO DE FIXAR NA PAREDE, CAPACIDADE *22* L, *60 X 46* CM</v>
      </c>
    </row>
    <row r="4022" spans="1:10" x14ac:dyDescent="0.25">
      <c r="A4022" s="169">
        <v>20234</v>
      </c>
      <c r="B4022" s="169" t="s">
        <v>27490</v>
      </c>
      <c r="C4022" s="169" t="s">
        <v>10225</v>
      </c>
      <c r="D4022" s="169" t="s">
        <v>1289</v>
      </c>
      <c r="E4022" s="103" t="s">
        <v>31217</v>
      </c>
      <c r="F4022" s="104"/>
      <c r="G4022" s="105">
        <f t="shared" si="248"/>
        <v>320.06</v>
      </c>
      <c r="H4022" s="101" t="str">
        <f t="shared" si="249"/>
        <v>Sinapi 20234</v>
      </c>
      <c r="I4022" s="101" t="str">
        <f t="shared" si="250"/>
        <v>UN</v>
      </c>
      <c r="J4022" s="140" t="str">
        <f t="shared" si="251"/>
        <v>TANQUE SIMPLES EM MARMORE SINTETICO SUSPENSO, CAPACIDADE *38* L, *60 X 60* CM</v>
      </c>
    </row>
    <row r="4023" spans="1:10" x14ac:dyDescent="0.25">
      <c r="A4023" s="169">
        <v>4763</v>
      </c>
      <c r="B4023" s="169" t="s">
        <v>27491</v>
      </c>
      <c r="C4023" s="169" t="s">
        <v>10228</v>
      </c>
      <c r="D4023" s="169" t="s">
        <v>1289</v>
      </c>
      <c r="E4023" s="103" t="s">
        <v>27635</v>
      </c>
      <c r="F4023" s="104"/>
      <c r="G4023" s="105">
        <f t="shared" si="248"/>
        <v>19.86</v>
      </c>
      <c r="H4023" s="101" t="str">
        <f t="shared" si="249"/>
        <v>Sinapi 4763</v>
      </c>
      <c r="I4023" s="101" t="str">
        <f t="shared" si="250"/>
        <v>H</v>
      </c>
      <c r="J4023" s="140" t="str">
        <f t="shared" si="251"/>
        <v>TAQUEADOR OU TAQUEIRO (HORISTA)</v>
      </c>
    </row>
    <row r="4024" spans="1:10" x14ac:dyDescent="0.25">
      <c r="A4024" s="169">
        <v>41070</v>
      </c>
      <c r="B4024" s="169" t="s">
        <v>27492</v>
      </c>
      <c r="C4024" s="169" t="s">
        <v>10235</v>
      </c>
      <c r="D4024" s="169" t="s">
        <v>1289</v>
      </c>
      <c r="E4024" s="103" t="s">
        <v>29669</v>
      </c>
      <c r="F4024" s="104"/>
      <c r="G4024" s="105">
        <f t="shared" si="248"/>
        <v>3455.98</v>
      </c>
      <c r="H4024" s="101" t="str">
        <f t="shared" si="249"/>
        <v>Sinapi 41070</v>
      </c>
      <c r="I4024" s="101" t="str">
        <f t="shared" si="250"/>
        <v>MES</v>
      </c>
      <c r="J4024" s="140" t="str">
        <f t="shared" si="251"/>
        <v>TAQUEADOR OU TAQUEIRO (MENSALISTA)</v>
      </c>
    </row>
    <row r="4025" spans="1:10" x14ac:dyDescent="0.25">
      <c r="A4025" s="169">
        <v>44480</v>
      </c>
      <c r="B4025" s="169" t="s">
        <v>27493</v>
      </c>
      <c r="C4025" s="169" t="s">
        <v>10234</v>
      </c>
      <c r="D4025" s="169" t="s">
        <v>1289</v>
      </c>
      <c r="E4025" s="103" t="s">
        <v>31218</v>
      </c>
      <c r="F4025" s="104"/>
      <c r="G4025" s="105">
        <f t="shared" si="248"/>
        <v>20.05</v>
      </c>
      <c r="H4025" s="101" t="str">
        <f t="shared" si="249"/>
        <v>Sinapi 44480</v>
      </c>
      <c r="I4025" s="101" t="str">
        <f t="shared" si="250"/>
        <v>M3</v>
      </c>
      <c r="J4025" s="140" t="str">
        <f t="shared" si="251"/>
        <v>TARIFA "A" ENTRE 0 E 20M3 FORNECIMENTO D'AGUA</v>
      </c>
    </row>
    <row r="4026" spans="1:10" x14ac:dyDescent="0.25">
      <c r="A4026" s="169">
        <v>11457</v>
      </c>
      <c r="B4026" s="169" t="s">
        <v>27494</v>
      </c>
      <c r="C4026" s="169" t="s">
        <v>10225</v>
      </c>
      <c r="D4026" s="169" t="s">
        <v>1289</v>
      </c>
      <c r="E4026" s="103" t="s">
        <v>26094</v>
      </c>
      <c r="F4026" s="104"/>
      <c r="G4026" s="105">
        <f t="shared" si="248"/>
        <v>52.66</v>
      </c>
      <c r="H4026" s="101" t="str">
        <f t="shared" si="249"/>
        <v>Sinapi 11457</v>
      </c>
      <c r="I4026" s="101" t="str">
        <f t="shared" si="250"/>
        <v>UN</v>
      </c>
      <c r="J4026" s="140" t="str">
        <f t="shared" si="251"/>
        <v>TARJETA LIVRE / OCUPADO PARA PORTA DE BANHEIRO, CORPO EM ZAMAC E ESPELHO EM LATAO</v>
      </c>
    </row>
    <row r="4027" spans="1:10" x14ac:dyDescent="0.25">
      <c r="A4027" s="169">
        <v>44073</v>
      </c>
      <c r="B4027" s="169" t="s">
        <v>27495</v>
      </c>
      <c r="C4027" s="169" t="s">
        <v>10229</v>
      </c>
      <c r="D4027" s="169" t="s">
        <v>1289</v>
      </c>
      <c r="E4027" s="103" t="s">
        <v>2114</v>
      </c>
      <c r="F4027" s="104"/>
      <c r="G4027" s="105">
        <f t="shared" si="248"/>
        <v>0.78</v>
      </c>
      <c r="H4027" s="101" t="str">
        <f t="shared" si="249"/>
        <v>Sinapi 44073</v>
      </c>
      <c r="I4027" s="101" t="str">
        <f t="shared" si="250"/>
        <v>M</v>
      </c>
      <c r="J4027" s="140" t="str">
        <f t="shared" si="251"/>
        <v>TARUGO DELIMITADOR DE PROFUNDIDADE EM ESPUMA DE POLIETILENO DE BAIXA DENSIDADE 10 MM, CINZA</v>
      </c>
    </row>
    <row r="4028" spans="1:10" x14ac:dyDescent="0.25">
      <c r="A4028" s="169">
        <v>44253</v>
      </c>
      <c r="B4028" s="169" t="s">
        <v>27496</v>
      </c>
      <c r="C4028" s="169" t="s">
        <v>10225</v>
      </c>
      <c r="D4028" s="169" t="s">
        <v>1289</v>
      </c>
      <c r="E4028" s="103" t="s">
        <v>31219</v>
      </c>
      <c r="F4028" s="104"/>
      <c r="G4028" s="105">
        <f t="shared" si="248"/>
        <v>322.7</v>
      </c>
      <c r="H4028" s="101" t="str">
        <f t="shared" si="249"/>
        <v>Sinapi 44253</v>
      </c>
      <c r="I4028" s="101" t="str">
        <f t="shared" si="250"/>
        <v>UN</v>
      </c>
      <c r="J4028" s="140" t="str">
        <f t="shared" si="251"/>
        <v>TE CPVC, SOLDAVEL, 90 GRAUS, 114 MM, PARA AGUA QUENTE PREDIAL</v>
      </c>
    </row>
    <row r="4029" spans="1:10" x14ac:dyDescent="0.25">
      <c r="A4029" s="169">
        <v>21121</v>
      </c>
      <c r="B4029" s="169" t="s">
        <v>27497</v>
      </c>
      <c r="C4029" s="169" t="s">
        <v>10225</v>
      </c>
      <c r="D4029" s="169" t="s">
        <v>1289</v>
      </c>
      <c r="E4029" s="103" t="s">
        <v>22785</v>
      </c>
      <c r="F4029" s="104"/>
      <c r="G4029" s="105">
        <f t="shared" si="248"/>
        <v>4.63</v>
      </c>
      <c r="H4029" s="101" t="str">
        <f t="shared" si="249"/>
        <v>Sinapi 21121</v>
      </c>
      <c r="I4029" s="101" t="str">
        <f t="shared" si="250"/>
        <v>UN</v>
      </c>
      <c r="J4029" s="140" t="str">
        <f t="shared" si="251"/>
        <v>TE CPVC, SOLDAVEL, 90 GRAUS, 15 MM, PARA AGUA QUENTE PREDIAL</v>
      </c>
    </row>
    <row r="4030" spans="1:10" x14ac:dyDescent="0.25">
      <c r="A4030" s="169">
        <v>38010</v>
      </c>
      <c r="B4030" s="169" t="s">
        <v>27498</v>
      </c>
      <c r="C4030" s="169" t="s">
        <v>10225</v>
      </c>
      <c r="D4030" s="169" t="s">
        <v>1289</v>
      </c>
      <c r="E4030" s="103" t="s">
        <v>14627</v>
      </c>
      <c r="F4030" s="104"/>
      <c r="G4030" s="105">
        <f t="shared" si="248"/>
        <v>5.76</v>
      </c>
      <c r="H4030" s="101" t="str">
        <f t="shared" si="249"/>
        <v>Sinapi 38010</v>
      </c>
      <c r="I4030" s="101" t="str">
        <f t="shared" si="250"/>
        <v>UN</v>
      </c>
      <c r="J4030" s="140" t="str">
        <f t="shared" si="251"/>
        <v>TE CPVC, SOLDAVEL, 90 GRAUS, 22 MM, PARA AGUA QUENTE PREDIAL</v>
      </c>
    </row>
    <row r="4031" spans="1:10" x14ac:dyDescent="0.25">
      <c r="A4031" s="169">
        <v>38011</v>
      </c>
      <c r="B4031" s="169" t="s">
        <v>27499</v>
      </c>
      <c r="C4031" s="169" t="s">
        <v>10225</v>
      </c>
      <c r="D4031" s="169" t="s">
        <v>1289</v>
      </c>
      <c r="E4031" s="103" t="s">
        <v>22848</v>
      </c>
      <c r="F4031" s="104"/>
      <c r="G4031" s="105">
        <f t="shared" si="248"/>
        <v>11.55</v>
      </c>
      <c r="H4031" s="101" t="str">
        <f t="shared" si="249"/>
        <v>Sinapi 38011</v>
      </c>
      <c r="I4031" s="101" t="str">
        <f t="shared" si="250"/>
        <v>UN</v>
      </c>
      <c r="J4031" s="140" t="str">
        <f t="shared" si="251"/>
        <v>TE CPVC, SOLDAVEL, 90 GRAUS, 28 MM, PARA AGUA QUENTE PREDIAL</v>
      </c>
    </row>
    <row r="4032" spans="1:10" x14ac:dyDescent="0.25">
      <c r="A4032" s="169">
        <v>38012</v>
      </c>
      <c r="B4032" s="169" t="s">
        <v>27500</v>
      </c>
      <c r="C4032" s="169" t="s">
        <v>10225</v>
      </c>
      <c r="D4032" s="169" t="s">
        <v>1289</v>
      </c>
      <c r="E4032" s="103" t="s">
        <v>31220</v>
      </c>
      <c r="F4032" s="104"/>
      <c r="G4032" s="105">
        <f t="shared" si="248"/>
        <v>44.05</v>
      </c>
      <c r="H4032" s="101" t="str">
        <f t="shared" si="249"/>
        <v>Sinapi 38012</v>
      </c>
      <c r="I4032" s="101" t="str">
        <f t="shared" si="250"/>
        <v>UN</v>
      </c>
      <c r="J4032" s="140" t="str">
        <f t="shared" si="251"/>
        <v>TE CPVC, SOLDAVEL, 90 GRAUS, 35 MM, PARA AGUA QUENTE PREDIAL</v>
      </c>
    </row>
    <row r="4033" spans="1:10" x14ac:dyDescent="0.25">
      <c r="A4033" s="169">
        <v>38013</v>
      </c>
      <c r="B4033" s="169" t="s">
        <v>27501</v>
      </c>
      <c r="C4033" s="169" t="s">
        <v>10225</v>
      </c>
      <c r="D4033" s="169" t="s">
        <v>1289</v>
      </c>
      <c r="E4033" s="103" t="s">
        <v>31221</v>
      </c>
      <c r="F4033" s="104"/>
      <c r="G4033" s="105">
        <f t="shared" si="248"/>
        <v>56.59</v>
      </c>
      <c r="H4033" s="101" t="str">
        <f t="shared" si="249"/>
        <v>Sinapi 38013</v>
      </c>
      <c r="I4033" s="101" t="str">
        <f t="shared" si="250"/>
        <v>UN</v>
      </c>
      <c r="J4033" s="140" t="str">
        <f t="shared" si="251"/>
        <v>TE CPVC, SOLDAVEL, 90 GRAUS, 42 MM, PARA AGUA QUENTE PREDIAL</v>
      </c>
    </row>
    <row r="4034" spans="1:10" x14ac:dyDescent="0.25">
      <c r="A4034" s="169">
        <v>38014</v>
      </c>
      <c r="B4034" s="169" t="s">
        <v>27503</v>
      </c>
      <c r="C4034" s="169" t="s">
        <v>10225</v>
      </c>
      <c r="D4034" s="169" t="s">
        <v>1289</v>
      </c>
      <c r="E4034" s="103" t="s">
        <v>31222</v>
      </c>
      <c r="F4034" s="104"/>
      <c r="G4034" s="105">
        <f t="shared" si="248"/>
        <v>94.5</v>
      </c>
      <c r="H4034" s="101" t="str">
        <f t="shared" si="249"/>
        <v>Sinapi 38014</v>
      </c>
      <c r="I4034" s="101" t="str">
        <f t="shared" si="250"/>
        <v>UN</v>
      </c>
      <c r="J4034" s="140" t="str">
        <f t="shared" si="251"/>
        <v>TE CPVC, SOLDAVEL, 90 GRAUS, 54 MM, PARA AGUA QUENTE PREDIAL</v>
      </c>
    </row>
    <row r="4035" spans="1:10" x14ac:dyDescent="0.25">
      <c r="A4035" s="169">
        <v>38015</v>
      </c>
      <c r="B4035" s="169" t="s">
        <v>27504</v>
      </c>
      <c r="C4035" s="169" t="s">
        <v>10225</v>
      </c>
      <c r="D4035" s="169" t="s">
        <v>1289</v>
      </c>
      <c r="E4035" s="103" t="s">
        <v>28637</v>
      </c>
      <c r="F4035" s="104"/>
      <c r="G4035" s="105">
        <f t="shared" si="248"/>
        <v>222.17</v>
      </c>
      <c r="H4035" s="101" t="str">
        <f t="shared" si="249"/>
        <v>Sinapi 38015</v>
      </c>
      <c r="I4035" s="101" t="str">
        <f t="shared" si="250"/>
        <v>UN</v>
      </c>
      <c r="J4035" s="140" t="str">
        <f t="shared" si="251"/>
        <v>TE CPVC, SOLDAVEL, 90 GRAUS, 73 MM, PARA AGUA QUENTE PREDIAL</v>
      </c>
    </row>
    <row r="4036" spans="1:10" x14ac:dyDescent="0.25">
      <c r="A4036" s="169">
        <v>38016</v>
      </c>
      <c r="B4036" s="169" t="s">
        <v>27505</v>
      </c>
      <c r="C4036" s="169" t="s">
        <v>10225</v>
      </c>
      <c r="D4036" s="169" t="s">
        <v>1289</v>
      </c>
      <c r="E4036" s="103" t="s">
        <v>31223</v>
      </c>
      <c r="F4036" s="104"/>
      <c r="G4036" s="105">
        <f t="shared" si="248"/>
        <v>258.36</v>
      </c>
      <c r="H4036" s="101" t="str">
        <f t="shared" si="249"/>
        <v>Sinapi 38016</v>
      </c>
      <c r="I4036" s="101" t="str">
        <f t="shared" si="250"/>
        <v>UN</v>
      </c>
      <c r="J4036" s="140" t="str">
        <f t="shared" si="251"/>
        <v>TE CPVC, SOLDAVEL, 90 GRAUS, 89 MM, PARA AGUA QUENTE PREDIAL</v>
      </c>
    </row>
    <row r="4037" spans="1:10" x14ac:dyDescent="0.25">
      <c r="A4037" s="169">
        <v>12741</v>
      </c>
      <c r="B4037" s="169" t="s">
        <v>27506</v>
      </c>
      <c r="C4037" s="169" t="s">
        <v>10225</v>
      </c>
      <c r="D4037" s="169" t="s">
        <v>1290</v>
      </c>
      <c r="E4037" s="103" t="s">
        <v>31224</v>
      </c>
      <c r="F4037" s="104"/>
      <c r="G4037" s="105">
        <f t="shared" si="248"/>
        <v>1285.23</v>
      </c>
      <c r="H4037" s="101" t="str">
        <f t="shared" si="249"/>
        <v>Sinapi 12741</v>
      </c>
      <c r="I4037" s="101" t="str">
        <f t="shared" si="250"/>
        <v>UN</v>
      </c>
      <c r="J4037" s="140" t="str">
        <f t="shared" si="251"/>
        <v>TE DE COBRE (REF 611) SEM ANEL DE SOLDA, BOLSA X BOLSA X BOLSA, 104 MM</v>
      </c>
    </row>
    <row r="4038" spans="1:10" x14ac:dyDescent="0.25">
      <c r="A4038" s="169">
        <v>12733</v>
      </c>
      <c r="B4038" s="169" t="s">
        <v>27507</v>
      </c>
      <c r="C4038" s="169" t="s">
        <v>10225</v>
      </c>
      <c r="D4038" s="169" t="s">
        <v>1290</v>
      </c>
      <c r="E4038" s="103" t="s">
        <v>29336</v>
      </c>
      <c r="F4038" s="104"/>
      <c r="G4038" s="105">
        <f t="shared" si="248"/>
        <v>6.46</v>
      </c>
      <c r="H4038" s="101" t="str">
        <f t="shared" si="249"/>
        <v>Sinapi 12733</v>
      </c>
      <c r="I4038" s="101" t="str">
        <f t="shared" si="250"/>
        <v>UN</v>
      </c>
      <c r="J4038" s="140" t="str">
        <f t="shared" si="251"/>
        <v>TE DE COBRE (REF 611) SEM ANEL DE SOLDA, BOLSA X BOLSA X BOLSA, 15 MM</v>
      </c>
    </row>
    <row r="4039" spans="1:10" x14ac:dyDescent="0.25">
      <c r="A4039" s="169">
        <v>12734</v>
      </c>
      <c r="B4039" s="169" t="s">
        <v>27508</v>
      </c>
      <c r="C4039" s="169" t="s">
        <v>10225</v>
      </c>
      <c r="D4039" s="169" t="s">
        <v>1290</v>
      </c>
      <c r="E4039" s="103" t="s">
        <v>30327</v>
      </c>
      <c r="F4039" s="104"/>
      <c r="G4039" s="105">
        <f t="shared" si="248"/>
        <v>13.78</v>
      </c>
      <c r="H4039" s="101" t="str">
        <f t="shared" si="249"/>
        <v>Sinapi 12734</v>
      </c>
      <c r="I4039" s="101" t="str">
        <f t="shared" si="250"/>
        <v>UN</v>
      </c>
      <c r="J4039" s="140" t="str">
        <f t="shared" si="251"/>
        <v>TE DE COBRE (REF 611) SEM ANEL DE SOLDA, BOLSA X BOLSA X BOLSA, 22 MM</v>
      </c>
    </row>
    <row r="4040" spans="1:10" x14ac:dyDescent="0.25">
      <c r="A4040" s="169">
        <v>12735</v>
      </c>
      <c r="B4040" s="169" t="s">
        <v>27509</v>
      </c>
      <c r="C4040" s="169" t="s">
        <v>10225</v>
      </c>
      <c r="D4040" s="169" t="s">
        <v>1290</v>
      </c>
      <c r="E4040" s="103" t="s">
        <v>17891</v>
      </c>
      <c r="F4040" s="104"/>
      <c r="G4040" s="105">
        <f t="shared" ref="G4040:G4103" si="252">IF(E4040="","",E4040+0)</f>
        <v>22.67</v>
      </c>
      <c r="H4040" s="101" t="str">
        <f t="shared" ref="H4040:H4103" si="253">IF(G4040="","",TRIM(CONCATENATE("Sinapi ",A4040)))</f>
        <v>Sinapi 12735</v>
      </c>
      <c r="I4040" s="101" t="str">
        <f t="shared" ref="I4040:I4103" si="254">TRIM(C4040)</f>
        <v>UN</v>
      </c>
      <c r="J4040" s="140" t="str">
        <f t="shared" si="251"/>
        <v>TE DE COBRE (REF 611) SEM ANEL DE SOLDA, BOLSA X BOLSA X BOLSA, 28 MM</v>
      </c>
    </row>
    <row r="4041" spans="1:10" x14ac:dyDescent="0.25">
      <c r="A4041" s="169">
        <v>12736</v>
      </c>
      <c r="B4041" s="169" t="s">
        <v>27510</v>
      </c>
      <c r="C4041" s="169" t="s">
        <v>10225</v>
      </c>
      <c r="D4041" s="169" t="s">
        <v>1290</v>
      </c>
      <c r="E4041" s="103" t="s">
        <v>18085</v>
      </c>
      <c r="F4041" s="104"/>
      <c r="G4041" s="105">
        <f t="shared" si="252"/>
        <v>51.83</v>
      </c>
      <c r="H4041" s="101" t="str">
        <f t="shared" si="253"/>
        <v>Sinapi 12736</v>
      </c>
      <c r="I4041" s="101" t="str">
        <f t="shared" si="254"/>
        <v>UN</v>
      </c>
      <c r="J4041" s="140" t="str">
        <f t="shared" ref="J4041:J4104" si="255">TRIM(B4041)</f>
        <v>TE DE COBRE (REF 611) SEM ANEL DE SOLDA, BOLSA X BOLSA X BOLSA, 35 MM</v>
      </c>
    </row>
    <row r="4042" spans="1:10" x14ac:dyDescent="0.25">
      <c r="A4042" s="169">
        <v>12737</v>
      </c>
      <c r="B4042" s="169" t="s">
        <v>27511</v>
      </c>
      <c r="C4042" s="169" t="s">
        <v>10225</v>
      </c>
      <c r="D4042" s="169" t="s">
        <v>1290</v>
      </c>
      <c r="E4042" s="103" t="s">
        <v>28713</v>
      </c>
      <c r="F4042" s="104"/>
      <c r="G4042" s="105">
        <f t="shared" si="252"/>
        <v>66.78</v>
      </c>
      <c r="H4042" s="101" t="str">
        <f t="shared" si="253"/>
        <v>Sinapi 12737</v>
      </c>
      <c r="I4042" s="101" t="str">
        <f t="shared" si="254"/>
        <v>UN</v>
      </c>
      <c r="J4042" s="140" t="str">
        <f t="shared" si="255"/>
        <v>TE DE COBRE (REF 611) SEM ANEL DE SOLDA, BOLSA X BOLSA X BOLSA, 42 MM</v>
      </c>
    </row>
    <row r="4043" spans="1:10" x14ac:dyDescent="0.25">
      <c r="A4043" s="169">
        <v>12738</v>
      </c>
      <c r="B4043" s="169" t="s">
        <v>27512</v>
      </c>
      <c r="C4043" s="169" t="s">
        <v>10225</v>
      </c>
      <c r="D4043" s="169" t="s">
        <v>1290</v>
      </c>
      <c r="E4043" s="103" t="s">
        <v>22090</v>
      </c>
      <c r="F4043" s="104"/>
      <c r="G4043" s="105">
        <f t="shared" si="252"/>
        <v>131.97999999999999</v>
      </c>
      <c r="H4043" s="101" t="str">
        <f t="shared" si="253"/>
        <v>Sinapi 12738</v>
      </c>
      <c r="I4043" s="101" t="str">
        <f t="shared" si="254"/>
        <v>UN</v>
      </c>
      <c r="J4043" s="140" t="str">
        <f t="shared" si="255"/>
        <v>TE DE COBRE (REF 611) SEM ANEL DE SOLDA, BOLSA X BOLSA X BOLSA, 54 MM</v>
      </c>
    </row>
    <row r="4044" spans="1:10" x14ac:dyDescent="0.25">
      <c r="A4044" s="169">
        <v>12739</v>
      </c>
      <c r="B4044" s="169" t="s">
        <v>27513</v>
      </c>
      <c r="C4044" s="169" t="s">
        <v>10225</v>
      </c>
      <c r="D4044" s="169" t="s">
        <v>1290</v>
      </c>
      <c r="E4044" s="103" t="s">
        <v>31225</v>
      </c>
      <c r="F4044" s="104"/>
      <c r="G4044" s="105">
        <f t="shared" si="252"/>
        <v>375.71</v>
      </c>
      <c r="H4044" s="101" t="str">
        <f t="shared" si="253"/>
        <v>Sinapi 12739</v>
      </c>
      <c r="I4044" s="101" t="str">
        <f t="shared" si="254"/>
        <v>UN</v>
      </c>
      <c r="J4044" s="140" t="str">
        <f t="shared" si="255"/>
        <v>TE DE COBRE (REF 611) SEM ANEL DE SOLDA, BOLSA X BOLSA X BOLSA, 66 MM</v>
      </c>
    </row>
    <row r="4045" spans="1:10" x14ac:dyDescent="0.25">
      <c r="A4045" s="169">
        <v>12740</v>
      </c>
      <c r="B4045" s="169" t="s">
        <v>27514</v>
      </c>
      <c r="C4045" s="169" t="s">
        <v>10225</v>
      </c>
      <c r="D4045" s="169" t="s">
        <v>1290</v>
      </c>
      <c r="E4045" s="103" t="s">
        <v>29160</v>
      </c>
      <c r="F4045" s="104"/>
      <c r="G4045" s="105">
        <f t="shared" si="252"/>
        <v>587.82000000000005</v>
      </c>
      <c r="H4045" s="101" t="str">
        <f t="shared" si="253"/>
        <v>Sinapi 12740</v>
      </c>
      <c r="I4045" s="101" t="str">
        <f t="shared" si="254"/>
        <v>UN</v>
      </c>
      <c r="J4045" s="140" t="str">
        <f t="shared" si="255"/>
        <v>TE DE COBRE (REF 611) SEM ANEL DE SOLDA, BOLSA X BOLSA X BOLSA, 79 MM</v>
      </c>
    </row>
    <row r="4046" spans="1:10" x14ac:dyDescent="0.25">
      <c r="A4046" s="169">
        <v>6297</v>
      </c>
      <c r="B4046" s="169" t="s">
        <v>27515</v>
      </c>
      <c r="C4046" s="169" t="s">
        <v>10225</v>
      </c>
      <c r="D4046" s="169" t="s">
        <v>1289</v>
      </c>
      <c r="E4046" s="103" t="s">
        <v>29929</v>
      </c>
      <c r="F4046" s="104"/>
      <c r="G4046" s="105">
        <f t="shared" si="252"/>
        <v>41.65</v>
      </c>
      <c r="H4046" s="101" t="str">
        <f t="shared" si="253"/>
        <v>Sinapi 6297</v>
      </c>
      <c r="I4046" s="101" t="str">
        <f t="shared" si="254"/>
        <v>UN</v>
      </c>
      <c r="J4046" s="140" t="str">
        <f t="shared" si="255"/>
        <v>TE DE FERRO GALVANIZADO, DE 1 1/2"</v>
      </c>
    </row>
    <row r="4047" spans="1:10" x14ac:dyDescent="0.25">
      <c r="A4047" s="169">
        <v>6296</v>
      </c>
      <c r="B4047" s="169" t="s">
        <v>27516</v>
      </c>
      <c r="C4047" s="169" t="s">
        <v>10225</v>
      </c>
      <c r="D4047" s="169" t="s">
        <v>1289</v>
      </c>
      <c r="E4047" s="103" t="s">
        <v>29821</v>
      </c>
      <c r="F4047" s="104"/>
      <c r="G4047" s="105">
        <f t="shared" si="252"/>
        <v>32.869999999999997</v>
      </c>
      <c r="H4047" s="101" t="str">
        <f t="shared" si="253"/>
        <v>Sinapi 6296</v>
      </c>
      <c r="I4047" s="101" t="str">
        <f t="shared" si="254"/>
        <v>UN</v>
      </c>
      <c r="J4047" s="140" t="str">
        <f t="shared" si="255"/>
        <v>TE DE FERRO GALVANIZADO, DE 1 1/4"</v>
      </c>
    </row>
    <row r="4048" spans="1:10" x14ac:dyDescent="0.25">
      <c r="A4048" s="169">
        <v>6294</v>
      </c>
      <c r="B4048" s="169" t="s">
        <v>27517</v>
      </c>
      <c r="C4048" s="169" t="s">
        <v>10225</v>
      </c>
      <c r="D4048" s="169" t="s">
        <v>1289</v>
      </c>
      <c r="E4048" s="103" t="s">
        <v>15763</v>
      </c>
      <c r="F4048" s="104"/>
      <c r="G4048" s="105">
        <f t="shared" si="252"/>
        <v>9.3699999999999992</v>
      </c>
      <c r="H4048" s="101" t="str">
        <f t="shared" si="253"/>
        <v>Sinapi 6294</v>
      </c>
      <c r="I4048" s="101" t="str">
        <f t="shared" si="254"/>
        <v>UN</v>
      </c>
      <c r="J4048" s="140" t="str">
        <f t="shared" si="255"/>
        <v>TE DE FERRO GALVANIZADO, DE 1/2"</v>
      </c>
    </row>
    <row r="4049" spans="1:10" x14ac:dyDescent="0.25">
      <c r="A4049" s="169">
        <v>6323</v>
      </c>
      <c r="B4049" s="169" t="s">
        <v>27518</v>
      </c>
      <c r="C4049" s="169" t="s">
        <v>10225</v>
      </c>
      <c r="D4049" s="169" t="s">
        <v>1289</v>
      </c>
      <c r="E4049" s="103" t="s">
        <v>30509</v>
      </c>
      <c r="F4049" s="104"/>
      <c r="G4049" s="105">
        <f t="shared" si="252"/>
        <v>21.48</v>
      </c>
      <c r="H4049" s="101" t="str">
        <f t="shared" si="253"/>
        <v>Sinapi 6323</v>
      </c>
      <c r="I4049" s="101" t="str">
        <f t="shared" si="254"/>
        <v>UN</v>
      </c>
      <c r="J4049" s="140" t="str">
        <f t="shared" si="255"/>
        <v>TE DE FERRO GALVANIZADO, DE 1"</v>
      </c>
    </row>
    <row r="4050" spans="1:10" x14ac:dyDescent="0.25">
      <c r="A4050" s="169">
        <v>6299</v>
      </c>
      <c r="B4050" s="169" t="s">
        <v>27519</v>
      </c>
      <c r="C4050" s="169" t="s">
        <v>10225</v>
      </c>
      <c r="D4050" s="169" t="s">
        <v>1289</v>
      </c>
      <c r="E4050" s="103" t="s">
        <v>31226</v>
      </c>
      <c r="F4050" s="104"/>
      <c r="G4050" s="105">
        <f t="shared" si="252"/>
        <v>125.26</v>
      </c>
      <c r="H4050" s="101" t="str">
        <f t="shared" si="253"/>
        <v>Sinapi 6299</v>
      </c>
      <c r="I4050" s="101" t="str">
        <f t="shared" si="254"/>
        <v>UN</v>
      </c>
      <c r="J4050" s="140" t="str">
        <f t="shared" si="255"/>
        <v>TE DE FERRO GALVANIZADO, DE 2 1/2"</v>
      </c>
    </row>
    <row r="4051" spans="1:10" x14ac:dyDescent="0.25">
      <c r="A4051" s="169">
        <v>6298</v>
      </c>
      <c r="B4051" s="169" t="s">
        <v>27520</v>
      </c>
      <c r="C4051" s="169" t="s">
        <v>10225</v>
      </c>
      <c r="D4051" s="169" t="s">
        <v>1289</v>
      </c>
      <c r="E4051" s="103" t="s">
        <v>31227</v>
      </c>
      <c r="F4051" s="104"/>
      <c r="G4051" s="105">
        <f t="shared" si="252"/>
        <v>65.97</v>
      </c>
      <c r="H4051" s="101" t="str">
        <f t="shared" si="253"/>
        <v>Sinapi 6298</v>
      </c>
      <c r="I4051" s="101" t="str">
        <f t="shared" si="254"/>
        <v>UN</v>
      </c>
      <c r="J4051" s="140" t="str">
        <f t="shared" si="255"/>
        <v>TE DE FERRO GALVANIZADO, DE 2"</v>
      </c>
    </row>
    <row r="4052" spans="1:10" x14ac:dyDescent="0.25">
      <c r="A4052" s="169">
        <v>6295</v>
      </c>
      <c r="B4052" s="169" t="s">
        <v>27522</v>
      </c>
      <c r="C4052" s="169" t="s">
        <v>10225</v>
      </c>
      <c r="D4052" s="169" t="s">
        <v>1289</v>
      </c>
      <c r="E4052" s="103" t="s">
        <v>24472</v>
      </c>
      <c r="F4052" s="104"/>
      <c r="G4052" s="105">
        <f t="shared" si="252"/>
        <v>13.34</v>
      </c>
      <c r="H4052" s="101" t="str">
        <f t="shared" si="253"/>
        <v>Sinapi 6295</v>
      </c>
      <c r="I4052" s="101" t="str">
        <f t="shared" si="254"/>
        <v>UN</v>
      </c>
      <c r="J4052" s="140" t="str">
        <f t="shared" si="255"/>
        <v>TE DE FERRO GALVANIZADO, DE 3/4"</v>
      </c>
    </row>
    <row r="4053" spans="1:10" x14ac:dyDescent="0.25">
      <c r="A4053" s="169">
        <v>6322</v>
      </c>
      <c r="B4053" s="169" t="s">
        <v>27523</v>
      </c>
      <c r="C4053" s="169" t="s">
        <v>10225</v>
      </c>
      <c r="D4053" s="169" t="s">
        <v>1289</v>
      </c>
      <c r="E4053" s="103" t="s">
        <v>31228</v>
      </c>
      <c r="F4053" s="104"/>
      <c r="G4053" s="105">
        <f t="shared" si="252"/>
        <v>167.77</v>
      </c>
      <c r="H4053" s="101" t="str">
        <f t="shared" si="253"/>
        <v>Sinapi 6322</v>
      </c>
      <c r="I4053" s="101" t="str">
        <f t="shared" si="254"/>
        <v>UN</v>
      </c>
      <c r="J4053" s="140" t="str">
        <f t="shared" si="255"/>
        <v>TE DE FERRO GALVANIZADO, DE 3"</v>
      </c>
    </row>
    <row r="4054" spans="1:10" x14ac:dyDescent="0.25">
      <c r="A4054" s="169">
        <v>6300</v>
      </c>
      <c r="B4054" s="169" t="s">
        <v>27524</v>
      </c>
      <c r="C4054" s="169" t="s">
        <v>10225</v>
      </c>
      <c r="D4054" s="169" t="s">
        <v>1289</v>
      </c>
      <c r="E4054" s="103" t="s">
        <v>31229</v>
      </c>
      <c r="F4054" s="104"/>
      <c r="G4054" s="105">
        <f t="shared" si="252"/>
        <v>309.3</v>
      </c>
      <c r="H4054" s="101" t="str">
        <f t="shared" si="253"/>
        <v>Sinapi 6300</v>
      </c>
      <c r="I4054" s="101" t="str">
        <f t="shared" si="254"/>
        <v>UN</v>
      </c>
      <c r="J4054" s="140" t="str">
        <f t="shared" si="255"/>
        <v>TE DE FERRO GALVANIZADO, DE 4"</v>
      </c>
    </row>
    <row r="4055" spans="1:10" x14ac:dyDescent="0.25">
      <c r="A4055" s="169">
        <v>6321</v>
      </c>
      <c r="B4055" s="169" t="s">
        <v>27525</v>
      </c>
      <c r="C4055" s="169" t="s">
        <v>10225</v>
      </c>
      <c r="D4055" s="169" t="s">
        <v>1289</v>
      </c>
      <c r="E4055" s="103" t="s">
        <v>31230</v>
      </c>
      <c r="F4055" s="104"/>
      <c r="G4055" s="105">
        <f t="shared" si="252"/>
        <v>441.82</v>
      </c>
      <c r="H4055" s="101" t="str">
        <f t="shared" si="253"/>
        <v>Sinapi 6321</v>
      </c>
      <c r="I4055" s="101" t="str">
        <f t="shared" si="254"/>
        <v>UN</v>
      </c>
      <c r="J4055" s="140" t="str">
        <f t="shared" si="255"/>
        <v>TE DE FERRO GALVANIZADO, DE 5"</v>
      </c>
    </row>
    <row r="4056" spans="1:10" x14ac:dyDescent="0.25">
      <c r="A4056" s="169">
        <v>6301</v>
      </c>
      <c r="B4056" s="169" t="s">
        <v>27526</v>
      </c>
      <c r="C4056" s="169" t="s">
        <v>10225</v>
      </c>
      <c r="D4056" s="169" t="s">
        <v>1289</v>
      </c>
      <c r="E4056" s="103" t="s">
        <v>31231</v>
      </c>
      <c r="F4056" s="104"/>
      <c r="G4056" s="105">
        <f t="shared" si="252"/>
        <v>1035.57</v>
      </c>
      <c r="H4056" s="101" t="str">
        <f t="shared" si="253"/>
        <v>Sinapi 6301</v>
      </c>
      <c r="I4056" s="101" t="str">
        <f t="shared" si="254"/>
        <v>UN</v>
      </c>
      <c r="J4056" s="140" t="str">
        <f t="shared" si="255"/>
        <v>TE DE FERRO GALVANIZADO, DE 6"</v>
      </c>
    </row>
    <row r="4057" spans="1:10" x14ac:dyDescent="0.25">
      <c r="A4057" s="169">
        <v>7105</v>
      </c>
      <c r="B4057" s="169" t="s">
        <v>27527</v>
      </c>
      <c r="C4057" s="169" t="s">
        <v>10225</v>
      </c>
      <c r="D4057" s="169" t="s">
        <v>1289</v>
      </c>
      <c r="E4057" s="103" t="s">
        <v>16211</v>
      </c>
      <c r="F4057" s="104"/>
      <c r="G4057" s="105">
        <f t="shared" si="252"/>
        <v>41.3</v>
      </c>
      <c r="H4057" s="101" t="str">
        <f t="shared" si="253"/>
        <v>Sinapi 7105</v>
      </c>
      <c r="I4057" s="101" t="str">
        <f t="shared" si="254"/>
        <v>UN</v>
      </c>
      <c r="J4057" s="140" t="str">
        <f t="shared" si="255"/>
        <v>TE DE INSPECAO, PVC, 100 X 75 MM, SERIE NORMAL PARA ESGOTO PREDIAL</v>
      </c>
    </row>
    <row r="4058" spans="1:10" x14ac:dyDescent="0.25">
      <c r="A4058" s="169">
        <v>20183</v>
      </c>
      <c r="B4058" s="169" t="s">
        <v>27528</v>
      </c>
      <c r="C4058" s="169" t="s">
        <v>10225</v>
      </c>
      <c r="D4058" s="169" t="s">
        <v>1289</v>
      </c>
      <c r="E4058" s="103" t="s">
        <v>28670</v>
      </c>
      <c r="F4058" s="104"/>
      <c r="G4058" s="105">
        <f t="shared" si="252"/>
        <v>50.89</v>
      </c>
      <c r="H4058" s="101" t="str">
        <f t="shared" si="253"/>
        <v>Sinapi 20183</v>
      </c>
      <c r="I4058" s="101" t="str">
        <f t="shared" si="254"/>
        <v>UN</v>
      </c>
      <c r="J4058" s="140" t="str">
        <f t="shared" si="255"/>
        <v>TE DE INSPECAO, PVC, SERIE R, 100 X 75 MM, PARA ESGOTO PREDIAL</v>
      </c>
    </row>
    <row r="4059" spans="1:10" x14ac:dyDescent="0.25">
      <c r="A4059" s="169">
        <v>38448</v>
      </c>
      <c r="B4059" s="169" t="s">
        <v>27529</v>
      </c>
      <c r="C4059" s="169" t="s">
        <v>10225</v>
      </c>
      <c r="D4059" s="169" t="s">
        <v>1289</v>
      </c>
      <c r="E4059" s="103" t="s">
        <v>31232</v>
      </c>
      <c r="F4059" s="104"/>
      <c r="G4059" s="105">
        <f t="shared" si="252"/>
        <v>230.92</v>
      </c>
      <c r="H4059" s="101" t="str">
        <f t="shared" si="253"/>
        <v>Sinapi 38448</v>
      </c>
      <c r="I4059" s="101" t="str">
        <f t="shared" si="254"/>
        <v>UN</v>
      </c>
      <c r="J4059" s="140" t="str">
        <f t="shared" si="255"/>
        <v>TE DE INSPECAO, PVC, SERIE R, 150 X 100 MM, PARA ESGOTO PREDIAL</v>
      </c>
    </row>
    <row r="4060" spans="1:10" x14ac:dyDescent="0.25">
      <c r="A4060" s="169">
        <v>20182</v>
      </c>
      <c r="B4060" s="169" t="s">
        <v>27530</v>
      </c>
      <c r="C4060" s="169" t="s">
        <v>10225</v>
      </c>
      <c r="D4060" s="169" t="s">
        <v>1289</v>
      </c>
      <c r="E4060" s="103" t="s">
        <v>21361</v>
      </c>
      <c r="F4060" s="104"/>
      <c r="G4060" s="105">
        <f t="shared" si="252"/>
        <v>29.59</v>
      </c>
      <c r="H4060" s="101" t="str">
        <f t="shared" si="253"/>
        <v>Sinapi 20182</v>
      </c>
      <c r="I4060" s="101" t="str">
        <f t="shared" si="254"/>
        <v>UN</v>
      </c>
      <c r="J4060" s="140" t="str">
        <f t="shared" si="255"/>
        <v>TE DE INSPECAO, PVC, SERIE R, 75 X 75 MM, PARA ESGOTO PREDIAL</v>
      </c>
    </row>
    <row r="4061" spans="1:10" x14ac:dyDescent="0.25">
      <c r="A4061" s="169">
        <v>7119</v>
      </c>
      <c r="B4061" s="169" t="s">
        <v>27531</v>
      </c>
      <c r="C4061" s="169" t="s">
        <v>10225</v>
      </c>
      <c r="D4061" s="169" t="s">
        <v>1289</v>
      </c>
      <c r="E4061" s="103" t="s">
        <v>13581</v>
      </c>
      <c r="F4061" s="104"/>
      <c r="G4061" s="105">
        <f t="shared" si="252"/>
        <v>13.25</v>
      </c>
      <c r="H4061" s="101" t="str">
        <f t="shared" si="253"/>
        <v>Sinapi 7119</v>
      </c>
      <c r="I4061" s="101" t="str">
        <f t="shared" si="254"/>
        <v>UN</v>
      </c>
      <c r="J4061" s="140" t="str">
        <f t="shared" si="255"/>
        <v>TE DE REDUCAO COM ROSCA, PVC, 90 GRAUS, 1 X 3/4", PARA AGUA FRIA PREDIAL</v>
      </c>
    </row>
    <row r="4062" spans="1:10" x14ac:dyDescent="0.25">
      <c r="A4062" s="169">
        <v>7126</v>
      </c>
      <c r="B4062" s="169" t="s">
        <v>27532</v>
      </c>
      <c r="C4062" s="169" t="s">
        <v>10225</v>
      </c>
      <c r="D4062" s="169" t="s">
        <v>1289</v>
      </c>
      <c r="E4062" s="103" t="s">
        <v>19982</v>
      </c>
      <c r="F4062" s="104"/>
      <c r="G4062" s="105">
        <f t="shared" si="252"/>
        <v>27.04</v>
      </c>
      <c r="H4062" s="101" t="str">
        <f t="shared" si="253"/>
        <v>Sinapi 7126</v>
      </c>
      <c r="I4062" s="101" t="str">
        <f t="shared" si="254"/>
        <v>UN</v>
      </c>
      <c r="J4062" s="140" t="str">
        <f t="shared" si="255"/>
        <v>TE DE REDUCAO COM ROSCA, PVC, 90 GRAUS, 1.1/2" X 3/4", AGUA FRIA PREDIAL</v>
      </c>
    </row>
    <row r="4063" spans="1:10" x14ac:dyDescent="0.25">
      <c r="A4063" s="169">
        <v>7120</v>
      </c>
      <c r="B4063" s="169" t="s">
        <v>27534</v>
      </c>
      <c r="C4063" s="169" t="s">
        <v>10225</v>
      </c>
      <c r="D4063" s="169" t="s">
        <v>1289</v>
      </c>
      <c r="E4063" s="103" t="s">
        <v>14786</v>
      </c>
      <c r="F4063" s="104"/>
      <c r="G4063" s="105">
        <f t="shared" si="252"/>
        <v>10.16</v>
      </c>
      <c r="H4063" s="101" t="str">
        <f t="shared" si="253"/>
        <v>Sinapi 7120</v>
      </c>
      <c r="I4063" s="101" t="str">
        <f t="shared" si="254"/>
        <v>UN</v>
      </c>
      <c r="J4063" s="140" t="str">
        <f t="shared" si="255"/>
        <v>TE DE REDUCAO COM ROSCA, PVC, 90 GRAUS, 3/4 X 1/2", PARA AGUA FRIA PREDIAL</v>
      </c>
    </row>
    <row r="4064" spans="1:10" x14ac:dyDescent="0.25">
      <c r="A4064" s="169">
        <v>6319</v>
      </c>
      <c r="B4064" s="169" t="s">
        <v>27535</v>
      </c>
      <c r="C4064" s="169" t="s">
        <v>10225</v>
      </c>
      <c r="D4064" s="169" t="s">
        <v>1289</v>
      </c>
      <c r="E4064" s="103" t="s">
        <v>31233</v>
      </c>
      <c r="F4064" s="104"/>
      <c r="G4064" s="105">
        <f t="shared" si="252"/>
        <v>48.93</v>
      </c>
      <c r="H4064" s="101" t="str">
        <f t="shared" si="253"/>
        <v>Sinapi 6319</v>
      </c>
      <c r="I4064" s="101" t="str">
        <f t="shared" si="254"/>
        <v>UN</v>
      </c>
      <c r="J4064" s="140" t="str">
        <f t="shared" si="255"/>
        <v>TE DE REDUCAO DE FERRO GALVANIZADO, COM ROSCA BSP, DE 1 1/2" X 1"</v>
      </c>
    </row>
    <row r="4065" spans="1:10" x14ac:dyDescent="0.25">
      <c r="A4065" s="169">
        <v>6304</v>
      </c>
      <c r="B4065" s="169" t="s">
        <v>27536</v>
      </c>
      <c r="C4065" s="169" t="s">
        <v>10225</v>
      </c>
      <c r="D4065" s="169" t="s">
        <v>1289</v>
      </c>
      <c r="E4065" s="103" t="s">
        <v>31233</v>
      </c>
      <c r="F4065" s="104"/>
      <c r="G4065" s="105">
        <f t="shared" si="252"/>
        <v>48.93</v>
      </c>
      <c r="H4065" s="101" t="str">
        <f t="shared" si="253"/>
        <v>Sinapi 6304</v>
      </c>
      <c r="I4065" s="101" t="str">
        <f t="shared" si="254"/>
        <v>UN</v>
      </c>
      <c r="J4065" s="140" t="str">
        <f t="shared" si="255"/>
        <v>TE DE REDUCAO DE FERRO GALVANIZADO, COM ROSCA BSP, DE 1 1/2" X 3/4"</v>
      </c>
    </row>
    <row r="4066" spans="1:10" x14ac:dyDescent="0.25">
      <c r="A4066" s="169">
        <v>21116</v>
      </c>
      <c r="B4066" s="169" t="s">
        <v>27537</v>
      </c>
      <c r="C4066" s="169" t="s">
        <v>10225</v>
      </c>
      <c r="D4066" s="169" t="s">
        <v>1289</v>
      </c>
      <c r="E4066" s="103" t="s">
        <v>31234</v>
      </c>
      <c r="F4066" s="104"/>
      <c r="G4066" s="105">
        <f t="shared" si="252"/>
        <v>37.049999999999997</v>
      </c>
      <c r="H4066" s="101" t="str">
        <f t="shared" si="253"/>
        <v>Sinapi 21116</v>
      </c>
      <c r="I4066" s="101" t="str">
        <f t="shared" si="254"/>
        <v>UN</v>
      </c>
      <c r="J4066" s="140" t="str">
        <f t="shared" si="255"/>
        <v>TE DE REDUCAO DE FERRO GALVANIZADO, COM ROSCA BSP, DE 1 1/4" X 3/4"</v>
      </c>
    </row>
    <row r="4067" spans="1:10" x14ac:dyDescent="0.25">
      <c r="A4067" s="169">
        <v>6320</v>
      </c>
      <c r="B4067" s="169" t="s">
        <v>1006</v>
      </c>
      <c r="C4067" s="169" t="s">
        <v>10225</v>
      </c>
      <c r="D4067" s="169" t="s">
        <v>1289</v>
      </c>
      <c r="E4067" s="103" t="s">
        <v>20646</v>
      </c>
      <c r="F4067" s="104"/>
      <c r="G4067" s="105">
        <f t="shared" si="252"/>
        <v>25.2</v>
      </c>
      <c r="H4067" s="101" t="str">
        <f t="shared" si="253"/>
        <v>Sinapi 6320</v>
      </c>
      <c r="I4067" s="101" t="str">
        <f t="shared" si="254"/>
        <v>UN</v>
      </c>
      <c r="J4067" s="140" t="str">
        <f t="shared" si="255"/>
        <v>TE DE REDUCAO DE FERRO GALVANIZADO, COM ROSCA BSP, DE 1" X 1/2"</v>
      </c>
    </row>
    <row r="4068" spans="1:10" x14ac:dyDescent="0.25">
      <c r="A4068" s="169">
        <v>6303</v>
      </c>
      <c r="B4068" s="169" t="s">
        <v>27539</v>
      </c>
      <c r="C4068" s="169" t="s">
        <v>10225</v>
      </c>
      <c r="D4068" s="169" t="s">
        <v>1289</v>
      </c>
      <c r="E4068" s="103" t="s">
        <v>20646</v>
      </c>
      <c r="F4068" s="104"/>
      <c r="G4068" s="105">
        <f t="shared" si="252"/>
        <v>25.2</v>
      </c>
      <c r="H4068" s="101" t="str">
        <f t="shared" si="253"/>
        <v>Sinapi 6303</v>
      </c>
      <c r="I4068" s="101" t="str">
        <f t="shared" si="254"/>
        <v>UN</v>
      </c>
      <c r="J4068" s="140" t="str">
        <f t="shared" si="255"/>
        <v>TE DE REDUCAO DE FERRO GALVANIZADO, COM ROSCA BSP, DE 1" X 3/4"</v>
      </c>
    </row>
    <row r="4069" spans="1:10" x14ac:dyDescent="0.25">
      <c r="A4069" s="169">
        <v>6308</v>
      </c>
      <c r="B4069" s="169" t="s">
        <v>27540</v>
      </c>
      <c r="C4069" s="169" t="s">
        <v>10225</v>
      </c>
      <c r="D4069" s="169" t="s">
        <v>1289</v>
      </c>
      <c r="E4069" s="103" t="s">
        <v>31235</v>
      </c>
      <c r="F4069" s="104"/>
      <c r="G4069" s="105">
        <f t="shared" si="252"/>
        <v>135.38999999999999</v>
      </c>
      <c r="H4069" s="101" t="str">
        <f t="shared" si="253"/>
        <v>Sinapi 6308</v>
      </c>
      <c r="I4069" s="101" t="str">
        <f t="shared" si="254"/>
        <v>UN</v>
      </c>
      <c r="J4069" s="140" t="str">
        <f t="shared" si="255"/>
        <v>TE DE REDUCAO DE FERRO GALVANIZADO, COM ROSCA BSP, DE 2 1/2" X 1 1/2"</v>
      </c>
    </row>
    <row r="4070" spans="1:10" x14ac:dyDescent="0.25">
      <c r="A4070" s="169">
        <v>6317</v>
      </c>
      <c r="B4070" s="169" t="s">
        <v>27541</v>
      </c>
      <c r="C4070" s="169" t="s">
        <v>10225</v>
      </c>
      <c r="D4070" s="169" t="s">
        <v>1289</v>
      </c>
      <c r="E4070" s="103" t="s">
        <v>31235</v>
      </c>
      <c r="F4070" s="104"/>
      <c r="G4070" s="105">
        <f t="shared" si="252"/>
        <v>135.38999999999999</v>
      </c>
      <c r="H4070" s="101" t="str">
        <f t="shared" si="253"/>
        <v>Sinapi 6317</v>
      </c>
      <c r="I4070" s="101" t="str">
        <f t="shared" si="254"/>
        <v>UN</v>
      </c>
      <c r="J4070" s="140" t="str">
        <f t="shared" si="255"/>
        <v>TE DE REDUCAO DE FERRO GALVANIZADO, COM ROSCA BSP, DE 2 1/2" X 1 1/4"</v>
      </c>
    </row>
    <row r="4071" spans="1:10" x14ac:dyDescent="0.25">
      <c r="A4071" s="169">
        <v>6307</v>
      </c>
      <c r="B4071" s="169" t="s">
        <v>27542</v>
      </c>
      <c r="C4071" s="169" t="s">
        <v>10225</v>
      </c>
      <c r="D4071" s="169" t="s">
        <v>1289</v>
      </c>
      <c r="E4071" s="103" t="s">
        <v>31235</v>
      </c>
      <c r="F4071" s="104"/>
      <c r="G4071" s="105">
        <f t="shared" si="252"/>
        <v>135.38999999999999</v>
      </c>
      <c r="H4071" s="101" t="str">
        <f t="shared" si="253"/>
        <v>Sinapi 6307</v>
      </c>
      <c r="I4071" s="101" t="str">
        <f t="shared" si="254"/>
        <v>UN</v>
      </c>
      <c r="J4071" s="140" t="str">
        <f t="shared" si="255"/>
        <v>TE DE REDUCAO DE FERRO GALVANIZADO, COM ROSCA BSP, DE 2 1/2" X 1"</v>
      </c>
    </row>
    <row r="4072" spans="1:10" x14ac:dyDescent="0.25">
      <c r="A4072" s="169">
        <v>6309</v>
      </c>
      <c r="B4072" s="169" t="s">
        <v>27543</v>
      </c>
      <c r="C4072" s="169" t="s">
        <v>10225</v>
      </c>
      <c r="D4072" s="169" t="s">
        <v>1289</v>
      </c>
      <c r="E4072" s="103" t="s">
        <v>31236</v>
      </c>
      <c r="F4072" s="104"/>
      <c r="G4072" s="105">
        <f t="shared" si="252"/>
        <v>139.32</v>
      </c>
      <c r="H4072" s="101" t="str">
        <f t="shared" si="253"/>
        <v>Sinapi 6309</v>
      </c>
      <c r="I4072" s="101" t="str">
        <f t="shared" si="254"/>
        <v>UN</v>
      </c>
      <c r="J4072" s="140" t="str">
        <f t="shared" si="255"/>
        <v>TE DE REDUCAO DE FERRO GALVANIZADO, COM ROSCA BSP, DE 2 1/2" X 2"</v>
      </c>
    </row>
    <row r="4073" spans="1:10" x14ac:dyDescent="0.25">
      <c r="A4073" s="169">
        <v>6318</v>
      </c>
      <c r="B4073" s="169" t="s">
        <v>27545</v>
      </c>
      <c r="C4073" s="169" t="s">
        <v>10225</v>
      </c>
      <c r="D4073" s="169" t="s">
        <v>1289</v>
      </c>
      <c r="E4073" s="103" t="s">
        <v>28671</v>
      </c>
      <c r="F4073" s="104"/>
      <c r="G4073" s="105">
        <f t="shared" si="252"/>
        <v>73.03</v>
      </c>
      <c r="H4073" s="101" t="str">
        <f t="shared" si="253"/>
        <v>Sinapi 6318</v>
      </c>
      <c r="I4073" s="101" t="str">
        <f t="shared" si="254"/>
        <v>UN</v>
      </c>
      <c r="J4073" s="140" t="str">
        <f t="shared" si="255"/>
        <v>TE DE REDUCAO DE FERRO GALVANIZADO, COM ROSCA BSP, DE 2" X 1 1/2"</v>
      </c>
    </row>
    <row r="4074" spans="1:10" x14ac:dyDescent="0.25">
      <c r="A4074" s="169">
        <v>6306</v>
      </c>
      <c r="B4074" s="169" t="s">
        <v>27546</v>
      </c>
      <c r="C4074" s="169" t="s">
        <v>10225</v>
      </c>
      <c r="D4074" s="169" t="s">
        <v>1289</v>
      </c>
      <c r="E4074" s="103" t="s">
        <v>28671</v>
      </c>
      <c r="F4074" s="104"/>
      <c r="G4074" s="105">
        <f t="shared" si="252"/>
        <v>73.03</v>
      </c>
      <c r="H4074" s="101" t="str">
        <f t="shared" si="253"/>
        <v>Sinapi 6306</v>
      </c>
      <c r="I4074" s="101" t="str">
        <f t="shared" si="254"/>
        <v>UN</v>
      </c>
      <c r="J4074" s="140" t="str">
        <f t="shared" si="255"/>
        <v>TE DE REDUCAO DE FERRO GALVANIZADO, COM ROSCA BSP, DE 2" X 1 1/4"</v>
      </c>
    </row>
    <row r="4075" spans="1:10" x14ac:dyDescent="0.25">
      <c r="A4075" s="169">
        <v>6305</v>
      </c>
      <c r="B4075" s="169" t="s">
        <v>27547</v>
      </c>
      <c r="C4075" s="169" t="s">
        <v>10225</v>
      </c>
      <c r="D4075" s="169" t="s">
        <v>1289</v>
      </c>
      <c r="E4075" s="103" t="s">
        <v>28671</v>
      </c>
      <c r="F4075" s="104"/>
      <c r="G4075" s="105">
        <f t="shared" si="252"/>
        <v>73.03</v>
      </c>
      <c r="H4075" s="101" t="str">
        <f t="shared" si="253"/>
        <v>Sinapi 6305</v>
      </c>
      <c r="I4075" s="101" t="str">
        <f t="shared" si="254"/>
        <v>UN</v>
      </c>
      <c r="J4075" s="140" t="str">
        <f t="shared" si="255"/>
        <v>TE DE REDUCAO DE FERRO GALVANIZADO, COM ROSCA BSP, DE 2" X 1"</v>
      </c>
    </row>
    <row r="4076" spans="1:10" x14ac:dyDescent="0.25">
      <c r="A4076" s="169">
        <v>6302</v>
      </c>
      <c r="B4076" s="169" t="s">
        <v>27548</v>
      </c>
      <c r="C4076" s="169" t="s">
        <v>10225</v>
      </c>
      <c r="D4076" s="169" t="s">
        <v>1289</v>
      </c>
      <c r="E4076" s="103" t="s">
        <v>21717</v>
      </c>
      <c r="F4076" s="104"/>
      <c r="G4076" s="105">
        <f t="shared" si="252"/>
        <v>15.49</v>
      </c>
      <c r="H4076" s="101" t="str">
        <f t="shared" si="253"/>
        <v>Sinapi 6302</v>
      </c>
      <c r="I4076" s="101" t="str">
        <f t="shared" si="254"/>
        <v>UN</v>
      </c>
      <c r="J4076" s="140" t="str">
        <f t="shared" si="255"/>
        <v>TE DE REDUCAO DE FERRO GALVANIZADO, COM ROSCA BSP, DE 3/4" X 1/2"</v>
      </c>
    </row>
    <row r="4077" spans="1:10" x14ac:dyDescent="0.25">
      <c r="A4077" s="169">
        <v>6312</v>
      </c>
      <c r="B4077" s="169" t="s">
        <v>27549</v>
      </c>
      <c r="C4077" s="169" t="s">
        <v>10225</v>
      </c>
      <c r="D4077" s="169" t="s">
        <v>1289</v>
      </c>
      <c r="E4077" s="103" t="s">
        <v>31237</v>
      </c>
      <c r="F4077" s="104"/>
      <c r="G4077" s="105">
        <f t="shared" si="252"/>
        <v>194.74</v>
      </c>
      <c r="H4077" s="101" t="str">
        <f t="shared" si="253"/>
        <v>Sinapi 6312</v>
      </c>
      <c r="I4077" s="101" t="str">
        <f t="shared" si="254"/>
        <v>UN</v>
      </c>
      <c r="J4077" s="140" t="str">
        <f t="shared" si="255"/>
        <v>TE DE REDUCAO DE FERRO GALVANIZADO, COM ROSCA BSP, DE 3" X 1 1/2"</v>
      </c>
    </row>
    <row r="4078" spans="1:10" x14ac:dyDescent="0.25">
      <c r="A4078" s="169">
        <v>6311</v>
      </c>
      <c r="B4078" s="169" t="s">
        <v>27550</v>
      </c>
      <c r="C4078" s="169" t="s">
        <v>10225</v>
      </c>
      <c r="D4078" s="169" t="s">
        <v>1289</v>
      </c>
      <c r="E4078" s="103" t="s">
        <v>31237</v>
      </c>
      <c r="F4078" s="104"/>
      <c r="G4078" s="105">
        <f t="shared" si="252"/>
        <v>194.74</v>
      </c>
      <c r="H4078" s="101" t="str">
        <f t="shared" si="253"/>
        <v>Sinapi 6311</v>
      </c>
      <c r="I4078" s="101" t="str">
        <f t="shared" si="254"/>
        <v>UN</v>
      </c>
      <c r="J4078" s="140" t="str">
        <f t="shared" si="255"/>
        <v>TE DE REDUCAO DE FERRO GALVANIZADO, COM ROSCA BSP, DE 3" X 1 1/4"</v>
      </c>
    </row>
    <row r="4079" spans="1:10" x14ac:dyDescent="0.25">
      <c r="A4079" s="169">
        <v>6310</v>
      </c>
      <c r="B4079" s="169" t="s">
        <v>27551</v>
      </c>
      <c r="C4079" s="169" t="s">
        <v>10225</v>
      </c>
      <c r="D4079" s="169" t="s">
        <v>1289</v>
      </c>
      <c r="E4079" s="103" t="s">
        <v>31237</v>
      </c>
      <c r="F4079" s="104"/>
      <c r="G4079" s="105">
        <f t="shared" si="252"/>
        <v>194.74</v>
      </c>
      <c r="H4079" s="101" t="str">
        <f t="shared" si="253"/>
        <v>Sinapi 6310</v>
      </c>
      <c r="I4079" s="101" t="str">
        <f t="shared" si="254"/>
        <v>UN</v>
      </c>
      <c r="J4079" s="140" t="str">
        <f t="shared" si="255"/>
        <v>TE DE REDUCAO DE FERRO GALVANIZADO, COM ROSCA BSP, DE 3" X 1"</v>
      </c>
    </row>
    <row r="4080" spans="1:10" x14ac:dyDescent="0.25">
      <c r="A4080" s="169">
        <v>6314</v>
      </c>
      <c r="B4080" s="169" t="s">
        <v>27552</v>
      </c>
      <c r="C4080" s="169" t="s">
        <v>10225</v>
      </c>
      <c r="D4080" s="169" t="s">
        <v>1289</v>
      </c>
      <c r="E4080" s="103" t="s">
        <v>31237</v>
      </c>
      <c r="F4080" s="104"/>
      <c r="G4080" s="105">
        <f t="shared" si="252"/>
        <v>194.74</v>
      </c>
      <c r="H4080" s="101" t="str">
        <f t="shared" si="253"/>
        <v>Sinapi 6314</v>
      </c>
      <c r="I4080" s="101" t="str">
        <f t="shared" si="254"/>
        <v>UN</v>
      </c>
      <c r="J4080" s="140" t="str">
        <f t="shared" si="255"/>
        <v>TE DE REDUCAO DE FERRO GALVANIZADO, COM ROSCA BSP, DE 3" X 2 1/2"</v>
      </c>
    </row>
    <row r="4081" spans="1:10" x14ac:dyDescent="0.25">
      <c r="A4081" s="169">
        <v>6313</v>
      </c>
      <c r="B4081" s="169" t="s">
        <v>27553</v>
      </c>
      <c r="C4081" s="169" t="s">
        <v>10225</v>
      </c>
      <c r="D4081" s="169" t="s">
        <v>1289</v>
      </c>
      <c r="E4081" s="103" t="s">
        <v>31237</v>
      </c>
      <c r="F4081" s="104"/>
      <c r="G4081" s="105">
        <f t="shared" si="252"/>
        <v>194.74</v>
      </c>
      <c r="H4081" s="101" t="str">
        <f t="shared" si="253"/>
        <v>Sinapi 6313</v>
      </c>
      <c r="I4081" s="101" t="str">
        <f t="shared" si="254"/>
        <v>UN</v>
      </c>
      <c r="J4081" s="140" t="str">
        <f t="shared" si="255"/>
        <v>TE DE REDUCAO DE FERRO GALVANIZADO, COM ROSCA BSP, DE 3" X 2"</v>
      </c>
    </row>
    <row r="4082" spans="1:10" x14ac:dyDescent="0.25">
      <c r="A4082" s="169">
        <v>6315</v>
      </c>
      <c r="B4082" s="169" t="s">
        <v>27554</v>
      </c>
      <c r="C4082" s="169" t="s">
        <v>10225</v>
      </c>
      <c r="D4082" s="169" t="s">
        <v>1289</v>
      </c>
      <c r="E4082" s="103" t="s">
        <v>31238</v>
      </c>
      <c r="F4082" s="104"/>
      <c r="G4082" s="105">
        <f t="shared" si="252"/>
        <v>368.73</v>
      </c>
      <c r="H4082" s="101" t="str">
        <f t="shared" si="253"/>
        <v>Sinapi 6315</v>
      </c>
      <c r="I4082" s="101" t="str">
        <f t="shared" si="254"/>
        <v>UN</v>
      </c>
      <c r="J4082" s="140" t="str">
        <f t="shared" si="255"/>
        <v>TE DE REDUCAO DE FERRO GALVANIZADO, COM ROSCA BSP, DE 4" X 2"</v>
      </c>
    </row>
    <row r="4083" spans="1:10" x14ac:dyDescent="0.25">
      <c r="A4083" s="169">
        <v>6316</v>
      </c>
      <c r="B4083" s="169" t="s">
        <v>27555</v>
      </c>
      <c r="C4083" s="169" t="s">
        <v>10225</v>
      </c>
      <c r="D4083" s="169" t="s">
        <v>1289</v>
      </c>
      <c r="E4083" s="103" t="s">
        <v>31238</v>
      </c>
      <c r="F4083" s="104"/>
      <c r="G4083" s="105">
        <f t="shared" si="252"/>
        <v>368.73</v>
      </c>
      <c r="H4083" s="101" t="str">
        <f t="shared" si="253"/>
        <v>Sinapi 6316</v>
      </c>
      <c r="I4083" s="101" t="str">
        <f t="shared" si="254"/>
        <v>UN</v>
      </c>
      <c r="J4083" s="140" t="str">
        <f t="shared" si="255"/>
        <v>TE DE REDUCAO DE FERRO GALVANIZADO, COM ROSCA BSP, DE 4" X 3"</v>
      </c>
    </row>
    <row r="4084" spans="1:10" x14ac:dyDescent="0.25">
      <c r="A4084" s="169">
        <v>39324</v>
      </c>
      <c r="B4084" s="169" t="s">
        <v>27556</v>
      </c>
      <c r="C4084" s="169" t="s">
        <v>10225</v>
      </c>
      <c r="D4084" s="169" t="s">
        <v>1289</v>
      </c>
      <c r="E4084" s="103" t="s">
        <v>19261</v>
      </c>
      <c r="F4084" s="104"/>
      <c r="G4084" s="105">
        <f t="shared" si="252"/>
        <v>6.02</v>
      </c>
      <c r="H4084" s="101" t="str">
        <f t="shared" si="253"/>
        <v>Sinapi 39324</v>
      </c>
      <c r="I4084" s="101" t="str">
        <f t="shared" si="254"/>
        <v>UN</v>
      </c>
      <c r="J4084" s="140" t="str">
        <f t="shared" si="255"/>
        <v>TE DE REDUCAO, CPVC, 22 X 15 MM, PARA AGUA QUENTE PREDIAL</v>
      </c>
    </row>
    <row r="4085" spans="1:10" x14ac:dyDescent="0.25">
      <c r="A4085" s="169">
        <v>39325</v>
      </c>
      <c r="B4085" s="169" t="s">
        <v>27557</v>
      </c>
      <c r="C4085" s="169" t="s">
        <v>10225</v>
      </c>
      <c r="D4085" s="169" t="s">
        <v>1289</v>
      </c>
      <c r="E4085" s="103" t="s">
        <v>12105</v>
      </c>
      <c r="F4085" s="104"/>
      <c r="G4085" s="105">
        <f t="shared" si="252"/>
        <v>9.08</v>
      </c>
      <c r="H4085" s="101" t="str">
        <f t="shared" si="253"/>
        <v>Sinapi 39325</v>
      </c>
      <c r="I4085" s="101" t="str">
        <f t="shared" si="254"/>
        <v>UN</v>
      </c>
      <c r="J4085" s="140" t="str">
        <f t="shared" si="255"/>
        <v>TE DE REDUCAO, CPVC, 28 X 22 MM, PARA AGUA QUENTE PREDIAL</v>
      </c>
    </row>
    <row r="4086" spans="1:10" x14ac:dyDescent="0.25">
      <c r="A4086" s="169">
        <v>39326</v>
      </c>
      <c r="B4086" s="169" t="s">
        <v>27558</v>
      </c>
      <c r="C4086" s="169" t="s">
        <v>10225</v>
      </c>
      <c r="D4086" s="169" t="s">
        <v>1289</v>
      </c>
      <c r="E4086" s="103" t="s">
        <v>31239</v>
      </c>
      <c r="F4086" s="104"/>
      <c r="G4086" s="105">
        <f t="shared" si="252"/>
        <v>32.58</v>
      </c>
      <c r="H4086" s="101" t="str">
        <f t="shared" si="253"/>
        <v>Sinapi 39326</v>
      </c>
      <c r="I4086" s="101" t="str">
        <f t="shared" si="254"/>
        <v>UN</v>
      </c>
      <c r="J4086" s="140" t="str">
        <f t="shared" si="255"/>
        <v>TE DE REDUCAO, CPVC, 35 X 28 MM, PARA AGUA QUENTE PREDIAL</v>
      </c>
    </row>
    <row r="4087" spans="1:10" x14ac:dyDescent="0.25">
      <c r="A4087" s="169">
        <v>39327</v>
      </c>
      <c r="B4087" s="169" t="s">
        <v>27560</v>
      </c>
      <c r="C4087" s="169" t="s">
        <v>10225</v>
      </c>
      <c r="D4087" s="169" t="s">
        <v>1289</v>
      </c>
      <c r="E4087" s="103" t="s">
        <v>28532</v>
      </c>
      <c r="F4087" s="104"/>
      <c r="G4087" s="105">
        <f t="shared" si="252"/>
        <v>49.15</v>
      </c>
      <c r="H4087" s="101" t="str">
        <f t="shared" si="253"/>
        <v>Sinapi 39327</v>
      </c>
      <c r="I4087" s="101" t="str">
        <f t="shared" si="254"/>
        <v>UN</v>
      </c>
      <c r="J4087" s="140" t="str">
        <f t="shared" si="255"/>
        <v>TE DE REDUCAO, CPVC, 42 X 35 MM, PARA AGUA QUENTE PREDIAL</v>
      </c>
    </row>
    <row r="4088" spans="1:10" x14ac:dyDescent="0.25">
      <c r="A4088" s="169">
        <v>11378</v>
      </c>
      <c r="B4088" s="169" t="s">
        <v>27561</v>
      </c>
      <c r="C4088" s="169" t="s">
        <v>10225</v>
      </c>
      <c r="D4088" s="169" t="s">
        <v>1289</v>
      </c>
      <c r="E4088" s="103" t="s">
        <v>23236</v>
      </c>
      <c r="F4088" s="104"/>
      <c r="G4088" s="105">
        <f t="shared" si="252"/>
        <v>147.29</v>
      </c>
      <c r="H4088" s="101" t="str">
        <f t="shared" si="253"/>
        <v>Sinapi 11378</v>
      </c>
      <c r="I4088" s="101" t="str">
        <f t="shared" si="254"/>
        <v>UN</v>
      </c>
      <c r="J4088" s="140" t="str">
        <f t="shared" si="255"/>
        <v>TE DE REDUCAO, PVC PBA, BBB, JE, DN 100 X 50 / DE 110 X 60 MM, PARA REDE AGUA (NBR 10351)</v>
      </c>
    </row>
    <row r="4089" spans="1:10" x14ac:dyDescent="0.25">
      <c r="A4089" s="169">
        <v>11379</v>
      </c>
      <c r="B4089" s="169" t="s">
        <v>27562</v>
      </c>
      <c r="C4089" s="169" t="s">
        <v>10225</v>
      </c>
      <c r="D4089" s="169" t="s">
        <v>1289</v>
      </c>
      <c r="E4089" s="103" t="s">
        <v>31240</v>
      </c>
      <c r="F4089" s="104"/>
      <c r="G4089" s="105">
        <f t="shared" si="252"/>
        <v>124.46</v>
      </c>
      <c r="H4089" s="101" t="str">
        <f t="shared" si="253"/>
        <v>Sinapi 11379</v>
      </c>
      <c r="I4089" s="101" t="str">
        <f t="shared" si="254"/>
        <v>UN</v>
      </c>
      <c r="J4089" s="140" t="str">
        <f t="shared" si="255"/>
        <v>TE DE REDUCAO, PVC PBA, BBB, JE, DN 100 X 75 / DE 110 X 85 MM, PARA REDE AGUA (NBR 10351)</v>
      </c>
    </row>
    <row r="4090" spans="1:10" x14ac:dyDescent="0.25">
      <c r="A4090" s="169">
        <v>11493</v>
      </c>
      <c r="B4090" s="169" t="s">
        <v>27563</v>
      </c>
      <c r="C4090" s="169" t="s">
        <v>10225</v>
      </c>
      <c r="D4090" s="169" t="s">
        <v>1289</v>
      </c>
      <c r="E4090" s="103" t="s">
        <v>29451</v>
      </c>
      <c r="F4090" s="104"/>
      <c r="G4090" s="105">
        <f t="shared" si="252"/>
        <v>71.790000000000006</v>
      </c>
      <c r="H4090" s="101" t="str">
        <f t="shared" si="253"/>
        <v>Sinapi 11493</v>
      </c>
      <c r="I4090" s="101" t="str">
        <f t="shared" si="254"/>
        <v>UN</v>
      </c>
      <c r="J4090" s="140" t="str">
        <f t="shared" si="255"/>
        <v>TE DE REDUCAO, PVC PBA, BBB, JE, DN 75 X 50 / DE 85 X 60 MM, PARA REDE AGUA (NBR 10351)</v>
      </c>
    </row>
    <row r="4091" spans="1:10" x14ac:dyDescent="0.25">
      <c r="A4091" s="169">
        <v>7106</v>
      </c>
      <c r="B4091" s="169" t="s">
        <v>27564</v>
      </c>
      <c r="C4091" s="169" t="s">
        <v>10225</v>
      </c>
      <c r="D4091" s="169" t="s">
        <v>1289</v>
      </c>
      <c r="E4091" s="103" t="s">
        <v>31241</v>
      </c>
      <c r="F4091" s="104"/>
      <c r="G4091" s="105">
        <f t="shared" si="252"/>
        <v>167.31</v>
      </c>
      <c r="H4091" s="101" t="str">
        <f t="shared" si="253"/>
        <v>Sinapi 7106</v>
      </c>
      <c r="I4091" s="101" t="str">
        <f t="shared" si="254"/>
        <v>UN</v>
      </c>
      <c r="J4091" s="140" t="str">
        <f t="shared" si="255"/>
        <v>TE DE REDUCAO, PVC, SOLDAVEL, 90 GRAUS, 110 MM X 60 MM, PARA AGUA FRIA PREDIAL</v>
      </c>
    </row>
    <row r="4092" spans="1:10" x14ac:dyDescent="0.25">
      <c r="A4092" s="169">
        <v>7104</v>
      </c>
      <c r="B4092" s="169" t="s">
        <v>27565</v>
      </c>
      <c r="C4092" s="169" t="s">
        <v>10225</v>
      </c>
      <c r="D4092" s="169" t="s">
        <v>1289</v>
      </c>
      <c r="E4092" s="103" t="s">
        <v>12329</v>
      </c>
      <c r="F4092" s="104"/>
      <c r="G4092" s="105">
        <f t="shared" si="252"/>
        <v>4.51</v>
      </c>
      <c r="H4092" s="101" t="str">
        <f t="shared" si="253"/>
        <v>Sinapi 7104</v>
      </c>
      <c r="I4092" s="101" t="str">
        <f t="shared" si="254"/>
        <v>UN</v>
      </c>
      <c r="J4092" s="140" t="str">
        <f t="shared" si="255"/>
        <v>TE DE REDUCAO, PVC, SOLDAVEL, 90 GRAUS, 25 MM X 20 MM, PARA AGUA FRIA PREDIAL</v>
      </c>
    </row>
    <row r="4093" spans="1:10" x14ac:dyDescent="0.25">
      <c r="A4093" s="169">
        <v>7136</v>
      </c>
      <c r="B4093" s="169" t="s">
        <v>27566</v>
      </c>
      <c r="C4093" s="169" t="s">
        <v>10225</v>
      </c>
      <c r="D4093" s="169" t="s">
        <v>1289</v>
      </c>
      <c r="E4093" s="103" t="s">
        <v>30194</v>
      </c>
      <c r="F4093" s="104"/>
      <c r="G4093" s="105">
        <f t="shared" si="252"/>
        <v>7.85</v>
      </c>
      <c r="H4093" s="101" t="str">
        <f t="shared" si="253"/>
        <v>Sinapi 7136</v>
      </c>
      <c r="I4093" s="101" t="str">
        <f t="shared" si="254"/>
        <v>UN</v>
      </c>
      <c r="J4093" s="140" t="str">
        <f t="shared" si="255"/>
        <v>TE DE REDUCAO, PVC, SOLDAVEL, 90 GRAUS, 32 MM X 25 MM, PARA AGUA FRIA PREDIAL</v>
      </c>
    </row>
    <row r="4094" spans="1:10" x14ac:dyDescent="0.25">
      <c r="A4094" s="169">
        <v>7128</v>
      </c>
      <c r="B4094" s="169" t="s">
        <v>27567</v>
      </c>
      <c r="C4094" s="169" t="s">
        <v>10225</v>
      </c>
      <c r="D4094" s="169" t="s">
        <v>1289</v>
      </c>
      <c r="E4094" s="103" t="s">
        <v>5620</v>
      </c>
      <c r="F4094" s="104"/>
      <c r="G4094" s="105">
        <f t="shared" si="252"/>
        <v>10.19</v>
      </c>
      <c r="H4094" s="101" t="str">
        <f t="shared" si="253"/>
        <v>Sinapi 7128</v>
      </c>
      <c r="I4094" s="101" t="str">
        <f t="shared" si="254"/>
        <v>UN</v>
      </c>
      <c r="J4094" s="140" t="str">
        <f t="shared" si="255"/>
        <v>TE DE REDUCAO, PVC, SOLDAVEL, 90 GRAUS, 40 MM X 32 MM, PARA AGUA FRIA PREDIAL</v>
      </c>
    </row>
    <row r="4095" spans="1:10" x14ac:dyDescent="0.25">
      <c r="A4095" s="169">
        <v>7108</v>
      </c>
      <c r="B4095" s="169" t="s">
        <v>27568</v>
      </c>
      <c r="C4095" s="169" t="s">
        <v>10225</v>
      </c>
      <c r="D4095" s="169" t="s">
        <v>1289</v>
      </c>
      <c r="E4095" s="103" t="s">
        <v>14786</v>
      </c>
      <c r="F4095" s="104"/>
      <c r="G4095" s="105">
        <f t="shared" si="252"/>
        <v>10.16</v>
      </c>
      <c r="H4095" s="101" t="str">
        <f t="shared" si="253"/>
        <v>Sinapi 7108</v>
      </c>
      <c r="I4095" s="101" t="str">
        <f t="shared" si="254"/>
        <v>UN</v>
      </c>
      <c r="J4095" s="140" t="str">
        <f t="shared" si="255"/>
        <v>TE DE REDUCAO, PVC, SOLDAVEL, 90 GRAUS, 50 MM X 20 MM, PARA AGUA FRIA PREDIAL</v>
      </c>
    </row>
    <row r="4096" spans="1:10" x14ac:dyDescent="0.25">
      <c r="A4096" s="169">
        <v>7129</v>
      </c>
      <c r="B4096" s="169" t="s">
        <v>27569</v>
      </c>
      <c r="C4096" s="169" t="s">
        <v>10225</v>
      </c>
      <c r="D4096" s="169" t="s">
        <v>1289</v>
      </c>
      <c r="E4096" s="103" t="s">
        <v>27343</v>
      </c>
      <c r="F4096" s="104"/>
      <c r="G4096" s="105">
        <f t="shared" si="252"/>
        <v>11.96</v>
      </c>
      <c r="H4096" s="101" t="str">
        <f t="shared" si="253"/>
        <v>Sinapi 7129</v>
      </c>
      <c r="I4096" s="101" t="str">
        <f t="shared" si="254"/>
        <v>UN</v>
      </c>
      <c r="J4096" s="140" t="str">
        <f t="shared" si="255"/>
        <v>TE DE REDUCAO, PVC, SOLDAVEL, 90 GRAUS, 50 MM X 25 MM, PARA AGUA FRIA PREDIAL</v>
      </c>
    </row>
    <row r="4097" spans="1:10" x14ac:dyDescent="0.25">
      <c r="A4097" s="169">
        <v>7130</v>
      </c>
      <c r="B4097" s="169" t="s">
        <v>27570</v>
      </c>
      <c r="C4097" s="169" t="s">
        <v>10225</v>
      </c>
      <c r="D4097" s="169" t="s">
        <v>1289</v>
      </c>
      <c r="E4097" s="103" t="s">
        <v>13844</v>
      </c>
      <c r="F4097" s="104"/>
      <c r="G4097" s="105">
        <f t="shared" si="252"/>
        <v>17.38</v>
      </c>
      <c r="H4097" s="101" t="str">
        <f t="shared" si="253"/>
        <v>Sinapi 7130</v>
      </c>
      <c r="I4097" s="101" t="str">
        <f t="shared" si="254"/>
        <v>UN</v>
      </c>
      <c r="J4097" s="140" t="str">
        <f t="shared" si="255"/>
        <v>TE DE REDUCAO, PVC, SOLDAVEL, 90 GRAUS, 50 MM X 32 MM, PARA AGUA FRIA PREDIAL</v>
      </c>
    </row>
    <row r="4098" spans="1:10" x14ac:dyDescent="0.25">
      <c r="A4098" s="169">
        <v>7131</v>
      </c>
      <c r="B4098" s="169" t="s">
        <v>27571</v>
      </c>
      <c r="C4098" s="169" t="s">
        <v>10225</v>
      </c>
      <c r="D4098" s="169" t="s">
        <v>1289</v>
      </c>
      <c r="E4098" s="103" t="s">
        <v>17958</v>
      </c>
      <c r="F4098" s="104"/>
      <c r="G4098" s="105">
        <f t="shared" si="252"/>
        <v>21.25</v>
      </c>
      <c r="H4098" s="101" t="str">
        <f t="shared" si="253"/>
        <v>Sinapi 7131</v>
      </c>
      <c r="I4098" s="101" t="str">
        <f t="shared" si="254"/>
        <v>UN</v>
      </c>
      <c r="J4098" s="140" t="str">
        <f t="shared" si="255"/>
        <v>TE DE REDUCAO, PVC, SOLDAVEL, 90 GRAUS, 50 MM X 40 MM, PARA AGUA FRIA PREDIAL</v>
      </c>
    </row>
    <row r="4099" spans="1:10" x14ac:dyDescent="0.25">
      <c r="A4099" s="169">
        <v>7132</v>
      </c>
      <c r="B4099" s="169" t="s">
        <v>27572</v>
      </c>
      <c r="C4099" s="169" t="s">
        <v>10225</v>
      </c>
      <c r="D4099" s="169" t="s">
        <v>1289</v>
      </c>
      <c r="E4099" s="103" t="s">
        <v>19972</v>
      </c>
      <c r="F4099" s="104"/>
      <c r="G4099" s="105">
        <f t="shared" si="252"/>
        <v>50.05</v>
      </c>
      <c r="H4099" s="101" t="str">
        <f t="shared" si="253"/>
        <v>Sinapi 7132</v>
      </c>
      <c r="I4099" s="101" t="str">
        <f t="shared" si="254"/>
        <v>UN</v>
      </c>
      <c r="J4099" s="140" t="str">
        <f t="shared" si="255"/>
        <v>TE DE REDUCAO, PVC, SOLDAVEL, 90 GRAUS, 75 MM X 50 MM, PARA AGUA FRIA PREDIAL</v>
      </c>
    </row>
    <row r="4100" spans="1:10" x14ac:dyDescent="0.25">
      <c r="A4100" s="169">
        <v>7133</v>
      </c>
      <c r="B4100" s="169" t="s">
        <v>27573</v>
      </c>
      <c r="C4100" s="169" t="s">
        <v>10225</v>
      </c>
      <c r="D4100" s="169" t="s">
        <v>1289</v>
      </c>
      <c r="E4100" s="103" t="s">
        <v>29938</v>
      </c>
      <c r="F4100" s="104"/>
      <c r="G4100" s="105">
        <f t="shared" si="252"/>
        <v>115.65</v>
      </c>
      <c r="H4100" s="101" t="str">
        <f t="shared" si="253"/>
        <v>Sinapi 7133</v>
      </c>
      <c r="I4100" s="101" t="str">
        <f t="shared" si="254"/>
        <v>UN</v>
      </c>
      <c r="J4100" s="140" t="str">
        <f t="shared" si="255"/>
        <v>TE DE REDUCAO, PVC, SOLDAVEL, 90 GRAUS, 85 MM X 60 MM, PARA AGUA FRIA PREDIAL</v>
      </c>
    </row>
    <row r="4101" spans="1:10" x14ac:dyDescent="0.25">
      <c r="A4101" s="169">
        <v>37420</v>
      </c>
      <c r="B4101" s="169" t="s">
        <v>27574</v>
      </c>
      <c r="C4101" s="169" t="s">
        <v>10225</v>
      </c>
      <c r="D4101" s="169" t="s">
        <v>1290</v>
      </c>
      <c r="E4101" s="103" t="s">
        <v>19837</v>
      </c>
      <c r="F4101" s="104"/>
      <c r="G4101" s="105">
        <f t="shared" si="252"/>
        <v>38.409999999999997</v>
      </c>
      <c r="H4101" s="101" t="str">
        <f t="shared" si="253"/>
        <v>Sinapi 37420</v>
      </c>
      <c r="I4101" s="101" t="str">
        <f t="shared" si="254"/>
        <v>UN</v>
      </c>
      <c r="J4101" s="140" t="str">
        <f t="shared" si="255"/>
        <v>TE DE SERVICO INTEGRADO, EM POLIPROPILENO (PP), PARA TUBOS EM PEAD/PVC, 60 X 20 MM - LIGACAO PREDIAL DE AGUA</v>
      </c>
    </row>
    <row r="4102" spans="1:10" x14ac:dyDescent="0.25">
      <c r="A4102" s="169">
        <v>37421</v>
      </c>
      <c r="B4102" s="169" t="s">
        <v>27575</v>
      </c>
      <c r="C4102" s="169" t="s">
        <v>10225</v>
      </c>
      <c r="D4102" s="169" t="s">
        <v>1290</v>
      </c>
      <c r="E4102" s="103" t="s">
        <v>31242</v>
      </c>
      <c r="F4102" s="104"/>
      <c r="G4102" s="105">
        <f t="shared" si="252"/>
        <v>52.5</v>
      </c>
      <c r="H4102" s="101" t="str">
        <f t="shared" si="253"/>
        <v>Sinapi 37421</v>
      </c>
      <c r="I4102" s="101" t="str">
        <f t="shared" si="254"/>
        <v>UN</v>
      </c>
      <c r="J4102" s="140" t="str">
        <f t="shared" si="255"/>
        <v>TE DE SERVICO INTEGRADO, EM POLIPROPILENO (PP), PARA TUBOS EM PEAD/PVC, 60 X 32 MM - LIGACAO PREDIAL DE AGUA</v>
      </c>
    </row>
    <row r="4103" spans="1:10" x14ac:dyDescent="0.25">
      <c r="A4103" s="169">
        <v>37422</v>
      </c>
      <c r="B4103" s="169" t="s">
        <v>27576</v>
      </c>
      <c r="C4103" s="169" t="s">
        <v>10225</v>
      </c>
      <c r="D4103" s="169" t="s">
        <v>1290</v>
      </c>
      <c r="E4103" s="103" t="s">
        <v>29004</v>
      </c>
      <c r="F4103" s="104"/>
      <c r="G4103" s="105">
        <f t="shared" si="252"/>
        <v>49.14</v>
      </c>
      <c r="H4103" s="101" t="str">
        <f t="shared" si="253"/>
        <v>Sinapi 37422</v>
      </c>
      <c r="I4103" s="101" t="str">
        <f t="shared" si="254"/>
        <v>UN</v>
      </c>
      <c r="J4103" s="140" t="str">
        <f t="shared" si="255"/>
        <v>TE DE SERVICO INTEGRADO, EM POLIPROPILENO (PP), PARA TUBOS EM PEAD, 63 X 20 MM - LIGACAO PREDIAL DE AGUA</v>
      </c>
    </row>
    <row r="4104" spans="1:10" x14ac:dyDescent="0.25">
      <c r="A4104" s="169">
        <v>37443</v>
      </c>
      <c r="B4104" s="169" t="s">
        <v>27577</v>
      </c>
      <c r="C4104" s="169" t="s">
        <v>10225</v>
      </c>
      <c r="D4104" s="169" t="s">
        <v>1290</v>
      </c>
      <c r="E4104" s="103" t="s">
        <v>22914</v>
      </c>
      <c r="F4104" s="104"/>
      <c r="G4104" s="105">
        <f t="shared" ref="G4104:G4167" si="256">IF(E4104="","",E4104+0)</f>
        <v>200.61</v>
      </c>
      <c r="H4104" s="101" t="str">
        <f t="shared" ref="H4104:H4167" si="257">IF(G4104="","",TRIM(CONCATENATE("Sinapi ",A4104)))</f>
        <v>Sinapi 37443</v>
      </c>
      <c r="I4104" s="101" t="str">
        <f t="shared" ref="I4104:I4167" si="258">TRIM(C4104)</f>
        <v>UN</v>
      </c>
      <c r="J4104" s="140" t="str">
        <f t="shared" si="255"/>
        <v>TE DE SERVICO, PEAD PE 100, DE 125 X 20 MM, PARA ELETROFUSAO</v>
      </c>
    </row>
    <row r="4105" spans="1:10" x14ac:dyDescent="0.25">
      <c r="A4105" s="169">
        <v>37444</v>
      </c>
      <c r="B4105" s="169" t="s">
        <v>27578</v>
      </c>
      <c r="C4105" s="169" t="s">
        <v>10225</v>
      </c>
      <c r="D4105" s="169" t="s">
        <v>1290</v>
      </c>
      <c r="E4105" s="103" t="s">
        <v>22915</v>
      </c>
      <c r="F4105" s="104"/>
      <c r="G4105" s="105">
        <f t="shared" si="256"/>
        <v>204.01</v>
      </c>
      <c r="H4105" s="101" t="str">
        <f t="shared" si="257"/>
        <v>Sinapi 37444</v>
      </c>
      <c r="I4105" s="101" t="str">
        <f t="shared" si="258"/>
        <v>UN</v>
      </c>
      <c r="J4105" s="140" t="str">
        <f t="shared" ref="J4105:J4168" si="259">TRIM(B4105)</f>
        <v>TE DE SERVICO, PEAD PE 100, DE 125 X 32 MM, PARA ELETROFUSAO</v>
      </c>
    </row>
    <row r="4106" spans="1:10" x14ac:dyDescent="0.25">
      <c r="A4106" s="169">
        <v>37445</v>
      </c>
      <c r="B4106" s="169" t="s">
        <v>27579</v>
      </c>
      <c r="C4106" s="169" t="s">
        <v>10225</v>
      </c>
      <c r="D4106" s="169" t="s">
        <v>1290</v>
      </c>
      <c r="E4106" s="103" t="s">
        <v>22916</v>
      </c>
      <c r="F4106" s="104"/>
      <c r="G4106" s="105">
        <f t="shared" si="256"/>
        <v>309.23</v>
      </c>
      <c r="H4106" s="101" t="str">
        <f t="shared" si="257"/>
        <v>Sinapi 37445</v>
      </c>
      <c r="I4106" s="101" t="str">
        <f t="shared" si="258"/>
        <v>UN</v>
      </c>
      <c r="J4106" s="140" t="str">
        <f t="shared" si="259"/>
        <v>TE DE SERVICO, PEAD PE 100, DE 125 X 63 MM, PARA ELETROFUSAO</v>
      </c>
    </row>
    <row r="4107" spans="1:10" x14ac:dyDescent="0.25">
      <c r="A4107" s="169">
        <v>37446</v>
      </c>
      <c r="B4107" s="169" t="s">
        <v>27580</v>
      </c>
      <c r="C4107" s="169" t="s">
        <v>10225</v>
      </c>
      <c r="D4107" s="169" t="s">
        <v>1290</v>
      </c>
      <c r="E4107" s="103" t="s">
        <v>22917</v>
      </c>
      <c r="F4107" s="104"/>
      <c r="G4107" s="105">
        <f t="shared" si="256"/>
        <v>337.11</v>
      </c>
      <c r="H4107" s="101" t="str">
        <f t="shared" si="257"/>
        <v>Sinapi 37446</v>
      </c>
      <c r="I4107" s="101" t="str">
        <f t="shared" si="258"/>
        <v>UN</v>
      </c>
      <c r="J4107" s="140" t="str">
        <f t="shared" si="259"/>
        <v>TE DE SERVICO, PEAD PE 100, DE 200 X 20 MM, PARA ELETROFUSAO</v>
      </c>
    </row>
    <row r="4108" spans="1:10" x14ac:dyDescent="0.25">
      <c r="A4108" s="169">
        <v>37447</v>
      </c>
      <c r="B4108" s="169" t="s">
        <v>27581</v>
      </c>
      <c r="C4108" s="169" t="s">
        <v>10225</v>
      </c>
      <c r="D4108" s="169" t="s">
        <v>1290</v>
      </c>
      <c r="E4108" s="103" t="s">
        <v>22918</v>
      </c>
      <c r="F4108" s="104"/>
      <c r="G4108" s="105">
        <f t="shared" si="256"/>
        <v>342.38</v>
      </c>
      <c r="H4108" s="101" t="str">
        <f t="shared" si="257"/>
        <v>Sinapi 37447</v>
      </c>
      <c r="I4108" s="101" t="str">
        <f t="shared" si="258"/>
        <v>UN</v>
      </c>
      <c r="J4108" s="140" t="str">
        <f t="shared" si="259"/>
        <v>TE DE SERVICO, PEAD PE 100, DE 200 X 32 MM, PARA ELETROFUSAO</v>
      </c>
    </row>
    <row r="4109" spans="1:10" x14ac:dyDescent="0.25">
      <c r="A4109" s="169">
        <v>37448</v>
      </c>
      <c r="B4109" s="169" t="s">
        <v>27582</v>
      </c>
      <c r="C4109" s="169" t="s">
        <v>10225</v>
      </c>
      <c r="D4109" s="169" t="s">
        <v>1290</v>
      </c>
      <c r="E4109" s="103" t="s">
        <v>22919</v>
      </c>
      <c r="F4109" s="104"/>
      <c r="G4109" s="105">
        <f t="shared" si="256"/>
        <v>469.63</v>
      </c>
      <c r="H4109" s="101" t="str">
        <f t="shared" si="257"/>
        <v>Sinapi 37448</v>
      </c>
      <c r="I4109" s="101" t="str">
        <f t="shared" si="258"/>
        <v>UN</v>
      </c>
      <c r="J4109" s="140" t="str">
        <f t="shared" si="259"/>
        <v>TE DE SERVICO, PEAD PE 100, DE 200 X 63 MM, PARA ELETROFUSAO</v>
      </c>
    </row>
    <row r="4110" spans="1:10" x14ac:dyDescent="0.25">
      <c r="A4110" s="169">
        <v>37440</v>
      </c>
      <c r="B4110" s="169" t="s">
        <v>27583</v>
      </c>
      <c r="C4110" s="169" t="s">
        <v>10225</v>
      </c>
      <c r="D4110" s="169" t="s">
        <v>1290</v>
      </c>
      <c r="E4110" s="103" t="s">
        <v>22920</v>
      </c>
      <c r="F4110" s="104"/>
      <c r="G4110" s="105">
        <f t="shared" si="256"/>
        <v>159.22999999999999</v>
      </c>
      <c r="H4110" s="101" t="str">
        <f t="shared" si="257"/>
        <v>Sinapi 37440</v>
      </c>
      <c r="I4110" s="101" t="str">
        <f t="shared" si="258"/>
        <v>UN</v>
      </c>
      <c r="J4110" s="140" t="str">
        <f t="shared" si="259"/>
        <v>TE DE SERVICO, PEAD PE 100, DE 63 X 20 MM, PARA ELETROFUSAO</v>
      </c>
    </row>
    <row r="4111" spans="1:10" x14ac:dyDescent="0.25">
      <c r="A4111" s="169">
        <v>37441</v>
      </c>
      <c r="B4111" s="169" t="s">
        <v>27584</v>
      </c>
      <c r="C4111" s="169" t="s">
        <v>10225</v>
      </c>
      <c r="D4111" s="169" t="s">
        <v>1290</v>
      </c>
      <c r="E4111" s="103" t="s">
        <v>22920</v>
      </c>
      <c r="F4111" s="104"/>
      <c r="G4111" s="105">
        <f t="shared" si="256"/>
        <v>159.22999999999999</v>
      </c>
      <c r="H4111" s="101" t="str">
        <f t="shared" si="257"/>
        <v>Sinapi 37441</v>
      </c>
      <c r="I4111" s="101" t="str">
        <f t="shared" si="258"/>
        <v>UN</v>
      </c>
      <c r="J4111" s="140" t="str">
        <f t="shared" si="259"/>
        <v>TE DE SERVICO, PEAD PE 100, DE 63 X 32 MM, PARA ELETROFUSAO</v>
      </c>
    </row>
    <row r="4112" spans="1:10" x14ac:dyDescent="0.25">
      <c r="A4112" s="169">
        <v>37442</v>
      </c>
      <c r="B4112" s="169" t="s">
        <v>27585</v>
      </c>
      <c r="C4112" s="169" t="s">
        <v>10225</v>
      </c>
      <c r="D4112" s="169" t="s">
        <v>1290</v>
      </c>
      <c r="E4112" s="103" t="s">
        <v>22921</v>
      </c>
      <c r="F4112" s="104"/>
      <c r="G4112" s="105">
        <f t="shared" si="256"/>
        <v>191.78</v>
      </c>
      <c r="H4112" s="101" t="str">
        <f t="shared" si="257"/>
        <v>Sinapi 37442</v>
      </c>
      <c r="I4112" s="101" t="str">
        <f t="shared" si="258"/>
        <v>UN</v>
      </c>
      <c r="J4112" s="140" t="str">
        <f t="shared" si="259"/>
        <v>TE DE SERVICO, PEAD PE 100, DE 63 X 63 MM, PARA ELETROFUSAO</v>
      </c>
    </row>
    <row r="4113" spans="1:10" x14ac:dyDescent="0.25">
      <c r="A4113" s="169">
        <v>38017</v>
      </c>
      <c r="B4113" s="169" t="s">
        <v>27586</v>
      </c>
      <c r="C4113" s="169" t="s">
        <v>10225</v>
      </c>
      <c r="D4113" s="169" t="s">
        <v>1289</v>
      </c>
      <c r="E4113" s="103" t="s">
        <v>29559</v>
      </c>
      <c r="F4113" s="104"/>
      <c r="G4113" s="105">
        <f t="shared" si="256"/>
        <v>12.32</v>
      </c>
      <c r="H4113" s="101" t="str">
        <f t="shared" si="257"/>
        <v>Sinapi 38017</v>
      </c>
      <c r="I4113" s="101" t="str">
        <f t="shared" si="258"/>
        <v>UN</v>
      </c>
      <c r="J4113" s="140" t="str">
        <f t="shared" si="259"/>
        <v>TE DE TRANSICAO, CPVC, SOLDAVEL, 15 MM X 1/2", PARA AGUA QUENTE</v>
      </c>
    </row>
    <row r="4114" spans="1:10" x14ac:dyDescent="0.25">
      <c r="A4114" s="169">
        <v>38018</v>
      </c>
      <c r="B4114" s="169" t="s">
        <v>27587</v>
      </c>
      <c r="C4114" s="169" t="s">
        <v>10225</v>
      </c>
      <c r="D4114" s="169" t="s">
        <v>1289</v>
      </c>
      <c r="E4114" s="103" t="s">
        <v>17959</v>
      </c>
      <c r="F4114" s="104"/>
      <c r="G4114" s="105">
        <f t="shared" si="256"/>
        <v>13.85</v>
      </c>
      <c r="H4114" s="101" t="str">
        <f t="shared" si="257"/>
        <v>Sinapi 38018</v>
      </c>
      <c r="I4114" s="101" t="str">
        <f t="shared" si="258"/>
        <v>UN</v>
      </c>
      <c r="J4114" s="140" t="str">
        <f t="shared" si="259"/>
        <v>TE DE TRANSICAO, CPVC, SOLDAVEL, 22 MM X 1/2", PARA AGUA QUENTE</v>
      </c>
    </row>
    <row r="4115" spans="1:10" x14ac:dyDescent="0.25">
      <c r="A4115" s="169">
        <v>39895</v>
      </c>
      <c r="B4115" s="169" t="s">
        <v>27588</v>
      </c>
      <c r="C4115" s="169" t="s">
        <v>10225</v>
      </c>
      <c r="D4115" s="169" t="s">
        <v>1290</v>
      </c>
      <c r="E4115" s="103" t="s">
        <v>28554</v>
      </c>
      <c r="F4115" s="104"/>
      <c r="G4115" s="105">
        <f t="shared" si="256"/>
        <v>46.69</v>
      </c>
      <c r="H4115" s="101" t="str">
        <f t="shared" si="257"/>
        <v>Sinapi 39895</v>
      </c>
      <c r="I4115" s="101" t="str">
        <f t="shared" si="258"/>
        <v>UN</v>
      </c>
      <c r="J4115" s="140" t="str">
        <f t="shared" si="259"/>
        <v>TE DUPLA CURVA BRONZE/LATAO (REF 764) SEM ANEL DE SOLDA, ROSCA F X BOLSA X ROSCA F, 1/2" X 15 X 1/2"</v>
      </c>
    </row>
    <row r="4116" spans="1:10" x14ac:dyDescent="0.25">
      <c r="A4116" s="169">
        <v>39896</v>
      </c>
      <c r="B4116" s="169" t="s">
        <v>27589</v>
      </c>
      <c r="C4116" s="169" t="s">
        <v>10225</v>
      </c>
      <c r="D4116" s="169" t="s">
        <v>1290</v>
      </c>
      <c r="E4116" s="103" t="s">
        <v>31243</v>
      </c>
      <c r="F4116" s="104"/>
      <c r="G4116" s="105">
        <f t="shared" si="256"/>
        <v>68.430000000000007</v>
      </c>
      <c r="H4116" s="101" t="str">
        <f t="shared" si="257"/>
        <v>Sinapi 39896</v>
      </c>
      <c r="I4116" s="101" t="str">
        <f t="shared" si="258"/>
        <v>UN</v>
      </c>
      <c r="J4116" s="140" t="str">
        <f t="shared" si="259"/>
        <v>TE DUPLA CURVA BRONZE/LATAO (REF 764) SEM ANEL DE SOLDA, ROSCA F X BOLSA X ROSCA F, 3/4" X 22 X 3/4"</v>
      </c>
    </row>
    <row r="4117" spans="1:10" x14ac:dyDescent="0.25">
      <c r="A4117" s="169">
        <v>38873</v>
      </c>
      <c r="B4117" s="169" t="s">
        <v>27590</v>
      </c>
      <c r="C4117" s="169" t="s">
        <v>10225</v>
      </c>
      <c r="D4117" s="169" t="s">
        <v>1290</v>
      </c>
      <c r="E4117" s="103" t="s">
        <v>10409</v>
      </c>
      <c r="F4117" s="104"/>
      <c r="G4117" s="105">
        <f t="shared" si="256"/>
        <v>14.35</v>
      </c>
      <c r="H4117" s="101" t="str">
        <f t="shared" si="257"/>
        <v>Sinapi 38873</v>
      </c>
      <c r="I4117" s="101" t="str">
        <f t="shared" si="258"/>
        <v>UN</v>
      </c>
      <c r="J4117" s="140" t="str">
        <f t="shared" si="259"/>
        <v>TE METALICO, PARA CONEXAO COM ANEL DESLIZANTE, DN 16 MM, EM TUBO PEX PARA INST. AGUA QUENTE/FRIA</v>
      </c>
    </row>
    <row r="4118" spans="1:10" x14ac:dyDescent="0.25">
      <c r="A4118" s="169">
        <v>38874</v>
      </c>
      <c r="B4118" s="169" t="s">
        <v>27591</v>
      </c>
      <c r="C4118" s="169" t="s">
        <v>10225</v>
      </c>
      <c r="D4118" s="169" t="s">
        <v>1290</v>
      </c>
      <c r="E4118" s="103" t="s">
        <v>19966</v>
      </c>
      <c r="F4118" s="104"/>
      <c r="G4118" s="105">
        <f t="shared" si="256"/>
        <v>18.170000000000002</v>
      </c>
      <c r="H4118" s="101" t="str">
        <f t="shared" si="257"/>
        <v>Sinapi 38874</v>
      </c>
      <c r="I4118" s="101" t="str">
        <f t="shared" si="258"/>
        <v>UN</v>
      </c>
      <c r="J4118" s="140" t="str">
        <f t="shared" si="259"/>
        <v>TE METALICO, PARA CONEXAO COM ANEL DESLIZANTE, DN 20 MM, EM TUBO PEX PARA INST. AGUA QUENTE/FRIA</v>
      </c>
    </row>
    <row r="4119" spans="1:10" x14ac:dyDescent="0.25">
      <c r="A4119" s="169">
        <v>38875</v>
      </c>
      <c r="B4119" s="169" t="s">
        <v>27592</v>
      </c>
      <c r="C4119" s="169" t="s">
        <v>10225</v>
      </c>
      <c r="D4119" s="169" t="s">
        <v>1290</v>
      </c>
      <c r="E4119" s="103" t="s">
        <v>27593</v>
      </c>
      <c r="F4119" s="104"/>
      <c r="G4119" s="105">
        <f t="shared" si="256"/>
        <v>28.8</v>
      </c>
      <c r="H4119" s="101" t="str">
        <f t="shared" si="257"/>
        <v>Sinapi 38875</v>
      </c>
      <c r="I4119" s="101" t="str">
        <f t="shared" si="258"/>
        <v>UN</v>
      </c>
      <c r="J4119" s="140" t="str">
        <f t="shared" si="259"/>
        <v>TE METALICO, PARA CONEXAO COM ANEL DESLIZANTE, DN 25 MM, EM TUBO PEX PARA INST. AGUA QUENTE/FRIA</v>
      </c>
    </row>
    <row r="4120" spans="1:10" x14ac:dyDescent="0.25">
      <c r="A4120" s="169">
        <v>38876</v>
      </c>
      <c r="B4120" s="169" t="s">
        <v>27594</v>
      </c>
      <c r="C4120" s="169" t="s">
        <v>10225</v>
      </c>
      <c r="D4120" s="169" t="s">
        <v>1290</v>
      </c>
      <c r="E4120" s="103" t="s">
        <v>23287</v>
      </c>
      <c r="F4120" s="104"/>
      <c r="G4120" s="105">
        <f t="shared" si="256"/>
        <v>38.700000000000003</v>
      </c>
      <c r="H4120" s="101" t="str">
        <f t="shared" si="257"/>
        <v>Sinapi 38876</v>
      </c>
      <c r="I4120" s="101" t="str">
        <f t="shared" si="258"/>
        <v>UN</v>
      </c>
      <c r="J4120" s="140" t="str">
        <f t="shared" si="259"/>
        <v>TE METALICO, PARA CONEXAO COM ANEL DESLIZANTE, DN 32 MM, EM TUBO PEX PARA INST. AGUA QUENTE/FRIA</v>
      </c>
    </row>
    <row r="4121" spans="1:10" x14ac:dyDescent="0.25">
      <c r="A4121" s="169">
        <v>39000</v>
      </c>
      <c r="B4121" s="169" t="s">
        <v>27595</v>
      </c>
      <c r="C4121" s="169" t="s">
        <v>10225</v>
      </c>
      <c r="D4121" s="169" t="s">
        <v>1290</v>
      </c>
      <c r="E4121" s="103" t="s">
        <v>22017</v>
      </c>
      <c r="F4121" s="104"/>
      <c r="G4121" s="105">
        <f t="shared" si="256"/>
        <v>29.79</v>
      </c>
      <c r="H4121" s="101" t="str">
        <f t="shared" si="257"/>
        <v>Sinapi 39000</v>
      </c>
      <c r="I4121" s="101" t="str">
        <f t="shared" si="258"/>
        <v>UN</v>
      </c>
      <c r="J4121" s="140" t="str">
        <f t="shared" si="259"/>
        <v>TE MISTURADOR COM INSERTO METALICO, FEMEA, PPR, DN 25 MM X 3/4", PARA AGUA QUENTE E FRIA PREDIAL</v>
      </c>
    </row>
    <row r="4122" spans="1:10" x14ac:dyDescent="0.25">
      <c r="A4122" s="169">
        <v>38674</v>
      </c>
      <c r="B4122" s="169" t="s">
        <v>10285</v>
      </c>
      <c r="C4122" s="169" t="s">
        <v>10225</v>
      </c>
      <c r="D4122" s="169" t="s">
        <v>1289</v>
      </c>
      <c r="E4122" s="103" t="s">
        <v>21099</v>
      </c>
      <c r="F4122" s="104"/>
      <c r="G4122" s="105">
        <f t="shared" si="256"/>
        <v>41.44</v>
      </c>
      <c r="H4122" s="101" t="str">
        <f t="shared" si="257"/>
        <v>Sinapi 38674</v>
      </c>
      <c r="I4122" s="101" t="str">
        <f t="shared" si="258"/>
        <v>UN</v>
      </c>
      <c r="J4122" s="140" t="str">
        <f t="shared" si="259"/>
        <v>TE MISTURADOR DE TRANSICAO, CPVC, COM ROSCA, 22 MM X 3/4", PARA AGUA QUENTE</v>
      </c>
    </row>
    <row r="4123" spans="1:10" x14ac:dyDescent="0.25">
      <c r="A4123" s="169">
        <v>38019</v>
      </c>
      <c r="B4123" s="169" t="s">
        <v>27596</v>
      </c>
      <c r="C4123" s="169" t="s">
        <v>10225</v>
      </c>
      <c r="D4123" s="169" t="s">
        <v>1289</v>
      </c>
      <c r="E4123" s="103" t="s">
        <v>28556</v>
      </c>
      <c r="F4123" s="104"/>
      <c r="G4123" s="105">
        <f t="shared" si="256"/>
        <v>8.77</v>
      </c>
      <c r="H4123" s="101" t="str">
        <f t="shared" si="257"/>
        <v>Sinapi 38019</v>
      </c>
      <c r="I4123" s="101" t="str">
        <f t="shared" si="258"/>
        <v>UN</v>
      </c>
      <c r="J4123" s="140" t="str">
        <f t="shared" si="259"/>
        <v>TE MISTURADOR, CPVC, SOLDAVEL, 15 MM, PARA AGUA QUENTE</v>
      </c>
    </row>
    <row r="4124" spans="1:10" x14ac:dyDescent="0.25">
      <c r="A4124" s="169">
        <v>38020</v>
      </c>
      <c r="B4124" s="169" t="s">
        <v>27597</v>
      </c>
      <c r="C4124" s="169" t="s">
        <v>10225</v>
      </c>
      <c r="D4124" s="169" t="s">
        <v>1289</v>
      </c>
      <c r="E4124" s="103" t="s">
        <v>14341</v>
      </c>
      <c r="F4124" s="104"/>
      <c r="G4124" s="105">
        <f t="shared" si="256"/>
        <v>10.8</v>
      </c>
      <c r="H4124" s="101" t="str">
        <f t="shared" si="257"/>
        <v>Sinapi 38020</v>
      </c>
      <c r="I4124" s="101" t="str">
        <f t="shared" si="258"/>
        <v>UN</v>
      </c>
      <c r="J4124" s="140" t="str">
        <f t="shared" si="259"/>
        <v>TE MISTURADOR, CPVC, SOLDAVEL, 22 MM, PARA AGUA QUENTE</v>
      </c>
    </row>
    <row r="4125" spans="1:10" x14ac:dyDescent="0.25">
      <c r="A4125" s="169">
        <v>38454</v>
      </c>
      <c r="B4125" s="169" t="s">
        <v>27598</v>
      </c>
      <c r="C4125" s="169" t="s">
        <v>10225</v>
      </c>
      <c r="D4125" s="169" t="s">
        <v>1290</v>
      </c>
      <c r="E4125" s="103" t="s">
        <v>2164</v>
      </c>
      <c r="F4125" s="104"/>
      <c r="G4125" s="105">
        <f t="shared" si="256"/>
        <v>11.17</v>
      </c>
      <c r="H4125" s="101" t="str">
        <f t="shared" si="257"/>
        <v>Sinapi 38454</v>
      </c>
      <c r="I4125" s="101" t="str">
        <f t="shared" si="258"/>
        <v>UN</v>
      </c>
      <c r="J4125" s="140" t="str">
        <f t="shared" si="259"/>
        <v>TE MISTURADOR, PPR, F/M/M, DN 20 X 20 MM, PARA AGUA QUENTE PREDIAL</v>
      </c>
    </row>
    <row r="4126" spans="1:10" x14ac:dyDescent="0.25">
      <c r="A4126" s="169">
        <v>38455</v>
      </c>
      <c r="B4126" s="169" t="s">
        <v>27599</v>
      </c>
      <c r="C4126" s="169" t="s">
        <v>10225</v>
      </c>
      <c r="D4126" s="169" t="s">
        <v>1290</v>
      </c>
      <c r="E4126" s="103" t="s">
        <v>16379</v>
      </c>
      <c r="F4126" s="104"/>
      <c r="G4126" s="105">
        <f t="shared" si="256"/>
        <v>14.95</v>
      </c>
      <c r="H4126" s="101" t="str">
        <f t="shared" si="257"/>
        <v>Sinapi 38455</v>
      </c>
      <c r="I4126" s="101" t="str">
        <f t="shared" si="258"/>
        <v>UN</v>
      </c>
      <c r="J4126" s="140" t="str">
        <f t="shared" si="259"/>
        <v>TE MISTURADOR, PPR, F/M/M, DN 25 X 25 MM, PARA AGUA QUENTE PREDIAL</v>
      </c>
    </row>
    <row r="4127" spans="1:10" x14ac:dyDescent="0.25">
      <c r="A4127" s="169">
        <v>38462</v>
      </c>
      <c r="B4127" s="169" t="s">
        <v>27601</v>
      </c>
      <c r="C4127" s="169" t="s">
        <v>10225</v>
      </c>
      <c r="D4127" s="169" t="s">
        <v>1290</v>
      </c>
      <c r="E4127" s="103" t="s">
        <v>31244</v>
      </c>
      <c r="F4127" s="104"/>
      <c r="G4127" s="105">
        <f t="shared" si="256"/>
        <v>241.08</v>
      </c>
      <c r="H4127" s="101" t="str">
        <f t="shared" si="257"/>
        <v>Sinapi 38462</v>
      </c>
      <c r="I4127" s="101" t="str">
        <f t="shared" si="258"/>
        <v>UN</v>
      </c>
      <c r="J4127" s="140" t="str">
        <f t="shared" si="259"/>
        <v>TE NORMAL, PPR, F/F/F, SOLDAVEL, 90 GRAUS, DN 110 X 110 X 110 MM, PARA AGUA QUENTE PREDIAL</v>
      </c>
    </row>
    <row r="4128" spans="1:10" x14ac:dyDescent="0.25">
      <c r="A4128" s="169">
        <v>36362</v>
      </c>
      <c r="B4128" s="169" t="s">
        <v>27603</v>
      </c>
      <c r="C4128" s="169" t="s">
        <v>10225</v>
      </c>
      <c r="D4128" s="169" t="s">
        <v>1290</v>
      </c>
      <c r="E4128" s="103" t="s">
        <v>17348</v>
      </c>
      <c r="F4128" s="104"/>
      <c r="G4128" s="105">
        <f t="shared" si="256"/>
        <v>3.33</v>
      </c>
      <c r="H4128" s="101" t="str">
        <f t="shared" si="257"/>
        <v>Sinapi 36362</v>
      </c>
      <c r="I4128" s="101" t="str">
        <f t="shared" si="258"/>
        <v>UN</v>
      </c>
      <c r="J4128" s="140" t="str">
        <f t="shared" si="259"/>
        <v>TE NORMAL, PPR, F/F/F, SOLDAVEL, 90 GRAUS, DN 20 X 20 X 20 MM, PARA AGUA QUENTE PREDIAL</v>
      </c>
    </row>
    <row r="4129" spans="1:10" x14ac:dyDescent="0.25">
      <c r="A4129" s="169">
        <v>36298</v>
      </c>
      <c r="B4129" s="169" t="s">
        <v>27604</v>
      </c>
      <c r="C4129" s="169" t="s">
        <v>10225</v>
      </c>
      <c r="D4129" s="169" t="s">
        <v>1290</v>
      </c>
      <c r="E4129" s="103" t="s">
        <v>19270</v>
      </c>
      <c r="F4129" s="104"/>
      <c r="G4129" s="105">
        <f t="shared" si="256"/>
        <v>2.86</v>
      </c>
      <c r="H4129" s="101" t="str">
        <f t="shared" si="257"/>
        <v>Sinapi 36298</v>
      </c>
      <c r="I4129" s="101" t="str">
        <f t="shared" si="258"/>
        <v>UN</v>
      </c>
      <c r="J4129" s="140" t="str">
        <f t="shared" si="259"/>
        <v>TE NORMAL, PPR, F/F/F, SOLDAVEL, 90 GRAUS, DN 25 X 25 X 25 MM, PARA AGUA QUENTE PREDIAL</v>
      </c>
    </row>
    <row r="4130" spans="1:10" x14ac:dyDescent="0.25">
      <c r="A4130" s="169">
        <v>38456</v>
      </c>
      <c r="B4130" s="169" t="s">
        <v>27605</v>
      </c>
      <c r="C4130" s="169" t="s">
        <v>10225</v>
      </c>
      <c r="D4130" s="169" t="s">
        <v>1290</v>
      </c>
      <c r="E4130" s="103" t="s">
        <v>22877</v>
      </c>
      <c r="F4130" s="104"/>
      <c r="G4130" s="105">
        <f t="shared" si="256"/>
        <v>7.13</v>
      </c>
      <c r="H4130" s="101" t="str">
        <f t="shared" si="257"/>
        <v>Sinapi 38456</v>
      </c>
      <c r="I4130" s="101" t="str">
        <f t="shared" si="258"/>
        <v>UN</v>
      </c>
      <c r="J4130" s="140" t="str">
        <f t="shared" si="259"/>
        <v>TE NORMAL, PPR, F/F/F, SOLDAVEL, 90 GRAUS, DN 32 X 32 X 32 MM, PARA AGUA QUENTE PREDIAL</v>
      </c>
    </row>
    <row r="4131" spans="1:10" x14ac:dyDescent="0.25">
      <c r="A4131" s="169">
        <v>38457</v>
      </c>
      <c r="B4131" s="169" t="s">
        <v>27606</v>
      </c>
      <c r="C4131" s="169" t="s">
        <v>10225</v>
      </c>
      <c r="D4131" s="169" t="s">
        <v>1290</v>
      </c>
      <c r="E4131" s="103" t="s">
        <v>27859</v>
      </c>
      <c r="F4131" s="104"/>
      <c r="G4131" s="105">
        <f t="shared" si="256"/>
        <v>12.99</v>
      </c>
      <c r="H4131" s="101" t="str">
        <f t="shared" si="257"/>
        <v>Sinapi 38457</v>
      </c>
      <c r="I4131" s="101" t="str">
        <f t="shared" si="258"/>
        <v>UN</v>
      </c>
      <c r="J4131" s="140" t="str">
        <f t="shared" si="259"/>
        <v>TE NORMAL, PPR, F/F/F, SOLDAVEL, 90 GRAUS, DN 40 X 40 X 40 MM, PARA AGUA QUENTE PREDIAL</v>
      </c>
    </row>
    <row r="4132" spans="1:10" x14ac:dyDescent="0.25">
      <c r="A4132" s="169">
        <v>38458</v>
      </c>
      <c r="B4132" s="169" t="s">
        <v>27608</v>
      </c>
      <c r="C4132" s="169" t="s">
        <v>10225</v>
      </c>
      <c r="D4132" s="169" t="s">
        <v>1290</v>
      </c>
      <c r="E4132" s="103" t="s">
        <v>20469</v>
      </c>
      <c r="F4132" s="104"/>
      <c r="G4132" s="105">
        <f t="shared" si="256"/>
        <v>25.02</v>
      </c>
      <c r="H4132" s="101" t="str">
        <f t="shared" si="257"/>
        <v>Sinapi 38458</v>
      </c>
      <c r="I4132" s="101" t="str">
        <f t="shared" si="258"/>
        <v>UN</v>
      </c>
      <c r="J4132" s="140" t="str">
        <f t="shared" si="259"/>
        <v>TE NORMAL, PPR, F/F/F, SOLDAVEL, 90 GRAUS, DN 50 X 50 X 50 MM, PARA AGUA QUENTE PREDIAL</v>
      </c>
    </row>
    <row r="4133" spans="1:10" x14ac:dyDescent="0.25">
      <c r="A4133" s="169">
        <v>38459</v>
      </c>
      <c r="B4133" s="169" t="s">
        <v>27609</v>
      </c>
      <c r="C4133" s="169" t="s">
        <v>10225</v>
      </c>
      <c r="D4133" s="169" t="s">
        <v>1290</v>
      </c>
      <c r="E4133" s="103" t="s">
        <v>31245</v>
      </c>
      <c r="F4133" s="104"/>
      <c r="G4133" s="105">
        <f t="shared" si="256"/>
        <v>39.340000000000003</v>
      </c>
      <c r="H4133" s="101" t="str">
        <f t="shared" si="257"/>
        <v>Sinapi 38459</v>
      </c>
      <c r="I4133" s="101" t="str">
        <f t="shared" si="258"/>
        <v>UN</v>
      </c>
      <c r="J4133" s="140" t="str">
        <f t="shared" si="259"/>
        <v>TE NORMAL, PPR, F/F/F, SOLDAVEL, 90 GRAUS, DN 63 X 63 X 63 MM, PARA AGUA QUENTE PREDIAL</v>
      </c>
    </row>
    <row r="4134" spans="1:10" x14ac:dyDescent="0.25">
      <c r="A4134" s="169">
        <v>38460</v>
      </c>
      <c r="B4134" s="169" t="s">
        <v>27610</v>
      </c>
      <c r="C4134" s="169" t="s">
        <v>10225</v>
      </c>
      <c r="D4134" s="169" t="s">
        <v>1290</v>
      </c>
      <c r="E4134" s="103" t="s">
        <v>31246</v>
      </c>
      <c r="F4134" s="104"/>
      <c r="G4134" s="105">
        <f t="shared" si="256"/>
        <v>84.39</v>
      </c>
      <c r="H4134" s="101" t="str">
        <f t="shared" si="257"/>
        <v>Sinapi 38460</v>
      </c>
      <c r="I4134" s="101" t="str">
        <f t="shared" si="258"/>
        <v>UN</v>
      </c>
      <c r="J4134" s="140" t="str">
        <f t="shared" si="259"/>
        <v>TE NORMAL, PPR, F/F/F, SOLDAVEL, 90 GRAUS, DN 75 X 75 X 75 MM, PARA AGUA QUENTE PREDIAL</v>
      </c>
    </row>
    <row r="4135" spans="1:10" x14ac:dyDescent="0.25">
      <c r="A4135" s="169">
        <v>38461</v>
      </c>
      <c r="B4135" s="169" t="s">
        <v>27611</v>
      </c>
      <c r="C4135" s="169" t="s">
        <v>10225</v>
      </c>
      <c r="D4135" s="169" t="s">
        <v>1290</v>
      </c>
      <c r="E4135" s="103" t="s">
        <v>31247</v>
      </c>
      <c r="F4135" s="104"/>
      <c r="G4135" s="105">
        <f t="shared" si="256"/>
        <v>113.25</v>
      </c>
      <c r="H4135" s="101" t="str">
        <f t="shared" si="257"/>
        <v>Sinapi 38461</v>
      </c>
      <c r="I4135" s="101" t="str">
        <f t="shared" si="258"/>
        <v>UN</v>
      </c>
      <c r="J4135" s="140" t="str">
        <f t="shared" si="259"/>
        <v>TE NORMAL, PPR, F/F/F, SOLDAVEL, 90 GRAUS, DN 90 X 90 X 90 MM, PARA AGUA QUENTE PREDIAL</v>
      </c>
    </row>
    <row r="4136" spans="1:10" x14ac:dyDescent="0.25">
      <c r="A4136" s="169">
        <v>7094</v>
      </c>
      <c r="B4136" s="169" t="s">
        <v>27612</v>
      </c>
      <c r="C4136" s="169" t="s">
        <v>10225</v>
      </c>
      <c r="D4136" s="169" t="s">
        <v>1289</v>
      </c>
      <c r="E4136" s="103" t="s">
        <v>15510</v>
      </c>
      <c r="F4136" s="104"/>
      <c r="G4136" s="105">
        <f t="shared" si="256"/>
        <v>14.72</v>
      </c>
      <c r="H4136" s="101" t="str">
        <f t="shared" si="257"/>
        <v>Sinapi 7094</v>
      </c>
      <c r="I4136" s="101" t="str">
        <f t="shared" si="258"/>
        <v>UN</v>
      </c>
      <c r="J4136" s="140" t="str">
        <f t="shared" si="259"/>
        <v>TE PVC ROSCAVEL 90 GRAUS, 1", PARA AGUA FRIA PREDIAL</v>
      </c>
    </row>
    <row r="4137" spans="1:10" x14ac:dyDescent="0.25">
      <c r="A4137" s="169">
        <v>7116</v>
      </c>
      <c r="B4137" s="169" t="s">
        <v>27613</v>
      </c>
      <c r="C4137" s="169" t="s">
        <v>10225</v>
      </c>
      <c r="D4137" s="169" t="s">
        <v>1289</v>
      </c>
      <c r="E4137" s="103" t="s">
        <v>17284</v>
      </c>
      <c r="F4137" s="104"/>
      <c r="G4137" s="105">
        <f t="shared" si="256"/>
        <v>3.7</v>
      </c>
      <c r="H4137" s="101" t="str">
        <f t="shared" si="257"/>
        <v>Sinapi 7116</v>
      </c>
      <c r="I4137" s="101" t="str">
        <f t="shared" si="258"/>
        <v>UN</v>
      </c>
      <c r="J4137" s="140" t="str">
        <f t="shared" si="259"/>
        <v>TE PVC SOLDAVEL, BBB, 90 GRAUS, DN 40 MM, PARA ESGOTO SECUNDARIO PREDIAL</v>
      </c>
    </row>
    <row r="4138" spans="1:10" x14ac:dyDescent="0.25">
      <c r="A4138" s="169">
        <v>7118</v>
      </c>
      <c r="B4138" s="169" t="s">
        <v>27614</v>
      </c>
      <c r="C4138" s="169" t="s">
        <v>10225</v>
      </c>
      <c r="D4138" s="169" t="s">
        <v>1289</v>
      </c>
      <c r="E4138" s="103" t="s">
        <v>18723</v>
      </c>
      <c r="F4138" s="104"/>
      <c r="G4138" s="105">
        <f t="shared" si="256"/>
        <v>30.28</v>
      </c>
      <c r="H4138" s="101" t="str">
        <f t="shared" si="257"/>
        <v>Sinapi 7118</v>
      </c>
      <c r="I4138" s="101" t="str">
        <f t="shared" si="258"/>
        <v>UN</v>
      </c>
      <c r="J4138" s="140" t="str">
        <f t="shared" si="259"/>
        <v>TE PVC, ROSCAVEL, 90 GRAUS, 1 1/2", AGUA FRIA PREDIAL</v>
      </c>
    </row>
    <row r="4139" spans="1:10" x14ac:dyDescent="0.25">
      <c r="A4139" s="169">
        <v>7098</v>
      </c>
      <c r="B4139" s="169" t="s">
        <v>27615</v>
      </c>
      <c r="C4139" s="169" t="s">
        <v>10225</v>
      </c>
      <c r="D4139" s="169" t="s">
        <v>1289</v>
      </c>
      <c r="E4139" s="103" t="s">
        <v>21437</v>
      </c>
      <c r="F4139" s="104"/>
      <c r="G4139" s="105">
        <f t="shared" si="256"/>
        <v>4.5</v>
      </c>
      <c r="H4139" s="101" t="str">
        <f t="shared" si="257"/>
        <v>Sinapi 7098</v>
      </c>
      <c r="I4139" s="101" t="str">
        <f t="shared" si="258"/>
        <v>UN</v>
      </c>
      <c r="J4139" s="140" t="str">
        <f t="shared" si="259"/>
        <v>TE PVC, ROSCAVEL, 90 GRAUS, 1/2", AGUA FRIA PREDIAL</v>
      </c>
    </row>
    <row r="4140" spans="1:10" x14ac:dyDescent="0.25">
      <c r="A4140" s="169">
        <v>7110</v>
      </c>
      <c r="B4140" s="169" t="s">
        <v>27616</v>
      </c>
      <c r="C4140" s="169" t="s">
        <v>10225</v>
      </c>
      <c r="D4140" s="169" t="s">
        <v>1289</v>
      </c>
      <c r="E4140" s="103" t="s">
        <v>28999</v>
      </c>
      <c r="F4140" s="104"/>
      <c r="G4140" s="105">
        <f t="shared" si="256"/>
        <v>57.56</v>
      </c>
      <c r="H4140" s="101" t="str">
        <f t="shared" si="257"/>
        <v>Sinapi 7110</v>
      </c>
      <c r="I4140" s="101" t="str">
        <f t="shared" si="258"/>
        <v>UN</v>
      </c>
      <c r="J4140" s="140" t="str">
        <f t="shared" si="259"/>
        <v>TE PVC, ROSCAVEL, 90 GRAUS, 2", AGUA FRIA PREDIAL</v>
      </c>
    </row>
    <row r="4141" spans="1:10" x14ac:dyDescent="0.25">
      <c r="A4141" s="169">
        <v>7123</v>
      </c>
      <c r="B4141" s="169" t="s">
        <v>27617</v>
      </c>
      <c r="C4141" s="169" t="s">
        <v>10225</v>
      </c>
      <c r="D4141" s="169" t="s">
        <v>1289</v>
      </c>
      <c r="E4141" s="103" t="s">
        <v>6042</v>
      </c>
      <c r="F4141" s="104"/>
      <c r="G4141" s="105">
        <f t="shared" si="256"/>
        <v>5.44</v>
      </c>
      <c r="H4141" s="101" t="str">
        <f t="shared" si="257"/>
        <v>Sinapi 7123</v>
      </c>
      <c r="I4141" s="101" t="str">
        <f t="shared" si="258"/>
        <v>UN</v>
      </c>
      <c r="J4141" s="140" t="str">
        <f t="shared" si="259"/>
        <v>TE PVC, ROSCAVEL, 90 GRAUS, 3/4", AGUA FRIA PREDIAL</v>
      </c>
    </row>
    <row r="4142" spans="1:10" x14ac:dyDescent="0.25">
      <c r="A4142" s="169">
        <v>7121</v>
      </c>
      <c r="B4142" s="169" t="s">
        <v>27618</v>
      </c>
      <c r="C4142" s="169" t="s">
        <v>10225</v>
      </c>
      <c r="D4142" s="169" t="s">
        <v>1289</v>
      </c>
      <c r="E4142" s="103" t="s">
        <v>15635</v>
      </c>
      <c r="F4142" s="104"/>
      <c r="G4142" s="105">
        <f t="shared" si="256"/>
        <v>10.76</v>
      </c>
      <c r="H4142" s="101" t="str">
        <f t="shared" si="257"/>
        <v>Sinapi 7121</v>
      </c>
      <c r="I4142" s="101" t="str">
        <f t="shared" si="258"/>
        <v>UN</v>
      </c>
      <c r="J4142" s="140" t="str">
        <f t="shared" si="259"/>
        <v>TE PVC, SOLDAVEL, COM BUCHA DE LATAO NA BOLSA CENTRAL, 90 GRAUS, 20 MM X 1/2", PARA AGUA FRIA PREDIAL</v>
      </c>
    </row>
    <row r="4143" spans="1:10" x14ac:dyDescent="0.25">
      <c r="A4143" s="169">
        <v>7137</v>
      </c>
      <c r="B4143" s="169" t="s">
        <v>27619</v>
      </c>
      <c r="C4143" s="169" t="s">
        <v>10225</v>
      </c>
      <c r="D4143" s="169" t="s">
        <v>1289</v>
      </c>
      <c r="E4143" s="103" t="s">
        <v>11614</v>
      </c>
      <c r="F4143" s="104"/>
      <c r="G4143" s="105">
        <f t="shared" si="256"/>
        <v>11.76</v>
      </c>
      <c r="H4143" s="101" t="str">
        <f t="shared" si="257"/>
        <v>Sinapi 7137</v>
      </c>
      <c r="I4143" s="101" t="str">
        <f t="shared" si="258"/>
        <v>UN</v>
      </c>
      <c r="J4143" s="140" t="str">
        <f t="shared" si="259"/>
        <v>TE PVC, SOLDAVEL, COM BUCHA DE LATAO NA BOLSA CENTRAL, 90 GRAUS, 25 MM X 1/2", PARA AGUA FRIA PREDIAL</v>
      </c>
    </row>
    <row r="4144" spans="1:10" x14ac:dyDescent="0.25">
      <c r="A4144" s="169">
        <v>7122</v>
      </c>
      <c r="B4144" s="169" t="s">
        <v>27620</v>
      </c>
      <c r="C4144" s="169" t="s">
        <v>10225</v>
      </c>
      <c r="D4144" s="169" t="s">
        <v>1289</v>
      </c>
      <c r="E4144" s="103" t="s">
        <v>24856</v>
      </c>
      <c r="F4144" s="104"/>
      <c r="G4144" s="105">
        <f t="shared" si="256"/>
        <v>12.94</v>
      </c>
      <c r="H4144" s="101" t="str">
        <f t="shared" si="257"/>
        <v>Sinapi 7122</v>
      </c>
      <c r="I4144" s="101" t="str">
        <f t="shared" si="258"/>
        <v>UN</v>
      </c>
      <c r="J4144" s="140" t="str">
        <f t="shared" si="259"/>
        <v>TE PVC, SOLDAVEL, COM BUCHA DE LATAO NA BOLSA CENTRAL, 90 GRAUS, 25 MM X 3/4", PARA AGUA FRIA PREDIAL</v>
      </c>
    </row>
    <row r="4145" spans="1:10" x14ac:dyDescent="0.25">
      <c r="A4145" s="169">
        <v>7114</v>
      </c>
      <c r="B4145" s="169" t="s">
        <v>27621</v>
      </c>
      <c r="C4145" s="169" t="s">
        <v>10225</v>
      </c>
      <c r="D4145" s="169" t="s">
        <v>1289</v>
      </c>
      <c r="E4145" s="103" t="s">
        <v>18689</v>
      </c>
      <c r="F4145" s="104"/>
      <c r="G4145" s="105">
        <f t="shared" si="256"/>
        <v>15.05</v>
      </c>
      <c r="H4145" s="101" t="str">
        <f t="shared" si="257"/>
        <v>Sinapi 7114</v>
      </c>
      <c r="I4145" s="101" t="str">
        <f t="shared" si="258"/>
        <v>UN</v>
      </c>
      <c r="J4145" s="140" t="str">
        <f t="shared" si="259"/>
        <v>TE PVC, SOLDAVEL, COM BUCHA DE LATAO NA BOLSA CENTRAL, 90 GRAUS, 32 MM X 3/4", PARA AGUA FRIA PREDIAL</v>
      </c>
    </row>
    <row r="4146" spans="1:10" x14ac:dyDescent="0.25">
      <c r="A4146" s="169">
        <v>7109</v>
      </c>
      <c r="B4146" s="169" t="s">
        <v>27622</v>
      </c>
      <c r="C4146" s="169" t="s">
        <v>10225</v>
      </c>
      <c r="D4146" s="169" t="s">
        <v>1289</v>
      </c>
      <c r="E4146" s="103" t="s">
        <v>14924</v>
      </c>
      <c r="F4146" s="104"/>
      <c r="G4146" s="105">
        <f t="shared" si="256"/>
        <v>2.98</v>
      </c>
      <c r="H4146" s="101" t="str">
        <f t="shared" si="257"/>
        <v>Sinapi 7109</v>
      </c>
      <c r="I4146" s="101" t="str">
        <f t="shared" si="258"/>
        <v>UN</v>
      </c>
      <c r="J4146" s="140" t="str">
        <f t="shared" si="259"/>
        <v>TE PVC, SOLDAVEL, COM ROSCA NA BOLSA CENTRAL, 90 GRAUS, 20 MM X 1/2", PARA AGUA FRIA PREDIAL</v>
      </c>
    </row>
    <row r="4147" spans="1:10" x14ac:dyDescent="0.25">
      <c r="A4147" s="169">
        <v>7135</v>
      </c>
      <c r="B4147" s="169" t="s">
        <v>27623</v>
      </c>
      <c r="C4147" s="169" t="s">
        <v>10225</v>
      </c>
      <c r="D4147" s="169" t="s">
        <v>1289</v>
      </c>
      <c r="E4147" s="103" t="s">
        <v>5176</v>
      </c>
      <c r="F4147" s="104"/>
      <c r="G4147" s="105">
        <f t="shared" si="256"/>
        <v>6.11</v>
      </c>
      <c r="H4147" s="101" t="str">
        <f t="shared" si="257"/>
        <v>Sinapi 7135</v>
      </c>
      <c r="I4147" s="101" t="str">
        <f t="shared" si="258"/>
        <v>UN</v>
      </c>
      <c r="J4147" s="140" t="str">
        <f t="shared" si="259"/>
        <v>TE PVC, SOLDAVEL, COM ROSCA NA BOLSA CENTRAL, 90 GRAUS, 25 MM X 1/2", PARA AGUA FRIA PREDIAL</v>
      </c>
    </row>
    <row r="4148" spans="1:10" x14ac:dyDescent="0.25">
      <c r="A4148" s="169">
        <v>37947</v>
      </c>
      <c r="B4148" s="169" t="s">
        <v>27624</v>
      </c>
      <c r="C4148" s="169" t="s">
        <v>10225</v>
      </c>
      <c r="D4148" s="169" t="s">
        <v>1289</v>
      </c>
      <c r="E4148" s="103" t="s">
        <v>15665</v>
      </c>
      <c r="F4148" s="104"/>
      <c r="G4148" s="105">
        <f t="shared" si="256"/>
        <v>4.97</v>
      </c>
      <c r="H4148" s="101" t="str">
        <f t="shared" si="257"/>
        <v>Sinapi 37947</v>
      </c>
      <c r="I4148" s="101" t="str">
        <f t="shared" si="258"/>
        <v>UN</v>
      </c>
      <c r="J4148" s="140" t="str">
        <f t="shared" si="259"/>
        <v>TE PVC, SOLDAVEL, COM ROSCA NA BOLSA CENTRAL, 90 GRAUS, 25 MM X 3/4", PARA AGUA FRIA PREDIAL</v>
      </c>
    </row>
    <row r="4149" spans="1:10" x14ac:dyDescent="0.25">
      <c r="A4149" s="169">
        <v>7103</v>
      </c>
      <c r="B4149" s="169" t="s">
        <v>27625</v>
      </c>
      <c r="C4149" s="169" t="s">
        <v>10225</v>
      </c>
      <c r="D4149" s="169" t="s">
        <v>1289</v>
      </c>
      <c r="E4149" s="103" t="s">
        <v>12294</v>
      </c>
      <c r="F4149" s="104"/>
      <c r="G4149" s="105">
        <f t="shared" si="256"/>
        <v>16.190000000000001</v>
      </c>
      <c r="H4149" s="101" t="str">
        <f t="shared" si="257"/>
        <v>Sinapi 7103</v>
      </c>
      <c r="I4149" s="101" t="str">
        <f t="shared" si="258"/>
        <v>UN</v>
      </c>
      <c r="J4149" s="140" t="str">
        <f t="shared" si="259"/>
        <v>TE PVC, SOLDAVEL, COM ROSCA NA BOLSA CENTRAL, 90 GRAUS, 32 MM X 3/4", PARA AGUA FRIA PREDIAL</v>
      </c>
    </row>
    <row r="4150" spans="1:10" x14ac:dyDescent="0.25">
      <c r="A4150" s="169">
        <v>40419</v>
      </c>
      <c r="B4150" s="169" t="s">
        <v>27626</v>
      </c>
      <c r="C4150" s="169" t="s">
        <v>10225</v>
      </c>
      <c r="D4150" s="169" t="s">
        <v>1290</v>
      </c>
      <c r="E4150" s="103" t="s">
        <v>19364</v>
      </c>
      <c r="F4150" s="104"/>
      <c r="G4150" s="105">
        <f t="shared" si="256"/>
        <v>36.93</v>
      </c>
      <c r="H4150" s="101" t="str">
        <f t="shared" si="257"/>
        <v>Sinapi 40419</v>
      </c>
      <c r="I4150" s="101" t="str">
        <f t="shared" si="258"/>
        <v>UN</v>
      </c>
      <c r="J4150" s="140" t="str">
        <f t="shared" si="259"/>
        <v>TE RANHURADO EM FERRO FUNDIDO, DN 50 (2")</v>
      </c>
    </row>
    <row r="4151" spans="1:10" x14ac:dyDescent="0.25">
      <c r="A4151" s="169">
        <v>40420</v>
      </c>
      <c r="B4151" s="169" t="s">
        <v>27627</v>
      </c>
      <c r="C4151" s="169" t="s">
        <v>10225</v>
      </c>
      <c r="D4151" s="169" t="s">
        <v>1290</v>
      </c>
      <c r="E4151" s="103" t="s">
        <v>20552</v>
      </c>
      <c r="F4151" s="104"/>
      <c r="G4151" s="105">
        <f t="shared" si="256"/>
        <v>53.88</v>
      </c>
      <c r="H4151" s="101" t="str">
        <f t="shared" si="257"/>
        <v>Sinapi 40420</v>
      </c>
      <c r="I4151" s="101" t="str">
        <f t="shared" si="258"/>
        <v>UN</v>
      </c>
      <c r="J4151" s="140" t="str">
        <f t="shared" si="259"/>
        <v>TE RANHURADO EM FERRO FUNDIDO, DN 65 (2 1/2")</v>
      </c>
    </row>
    <row r="4152" spans="1:10" x14ac:dyDescent="0.25">
      <c r="A4152" s="169">
        <v>40421</v>
      </c>
      <c r="B4152" s="169" t="s">
        <v>27628</v>
      </c>
      <c r="C4152" s="169" t="s">
        <v>10225</v>
      </c>
      <c r="D4152" s="169" t="s">
        <v>1290</v>
      </c>
      <c r="E4152" s="103" t="s">
        <v>21093</v>
      </c>
      <c r="F4152" s="104"/>
      <c r="G4152" s="105">
        <f t="shared" si="256"/>
        <v>57.36</v>
      </c>
      <c r="H4152" s="101" t="str">
        <f t="shared" si="257"/>
        <v>Sinapi 40421</v>
      </c>
      <c r="I4152" s="101" t="str">
        <f t="shared" si="258"/>
        <v>UN</v>
      </c>
      <c r="J4152" s="140" t="str">
        <f t="shared" si="259"/>
        <v>TE RANHURADO EM FERRO FUNDIDO, DN 80 (3")</v>
      </c>
    </row>
    <row r="4153" spans="1:10" x14ac:dyDescent="0.25">
      <c r="A4153" s="169">
        <v>38905</v>
      </c>
      <c r="B4153" s="169" t="s">
        <v>27629</v>
      </c>
      <c r="C4153" s="169" t="s">
        <v>10225</v>
      </c>
      <c r="D4153" s="169" t="s">
        <v>1290</v>
      </c>
      <c r="E4153" s="103" t="s">
        <v>27630</v>
      </c>
      <c r="F4153" s="104"/>
      <c r="G4153" s="105">
        <f t="shared" si="256"/>
        <v>18.57</v>
      </c>
      <c r="H4153" s="101" t="str">
        <f t="shared" si="257"/>
        <v>Sinapi 38905</v>
      </c>
      <c r="I4153" s="101" t="str">
        <f t="shared" si="258"/>
        <v>UN</v>
      </c>
      <c r="J4153" s="140" t="str">
        <f t="shared" si="259"/>
        <v>TE ROSCA FEMEA, METALICO, PARA CONEXAO COM ANEL DESLIZANTE, DN 16 MM X 1/2", EM TUBO PEX PARA INST. AGUA QUENTE/FRIA</v>
      </c>
    </row>
    <row r="4154" spans="1:10" x14ac:dyDescent="0.25">
      <c r="A4154" s="169">
        <v>38907</v>
      </c>
      <c r="B4154" s="169" t="s">
        <v>27631</v>
      </c>
      <c r="C4154" s="169" t="s">
        <v>10225</v>
      </c>
      <c r="D4154" s="169" t="s">
        <v>1290</v>
      </c>
      <c r="E4154" s="103" t="s">
        <v>15568</v>
      </c>
      <c r="F4154" s="104"/>
      <c r="G4154" s="105">
        <f t="shared" si="256"/>
        <v>17.899999999999999</v>
      </c>
      <c r="H4154" s="101" t="str">
        <f t="shared" si="257"/>
        <v>Sinapi 38907</v>
      </c>
      <c r="I4154" s="101" t="str">
        <f t="shared" si="258"/>
        <v>UN</v>
      </c>
      <c r="J4154" s="140" t="str">
        <f t="shared" si="259"/>
        <v>TE ROSCA FEMEA, METALICO, PARA CONEXAO COM ANEL DESLIZANTE, DN 20 MM X 1/2", EM TUBO PEX PARA INST. AGUA QUENTE/FRIA</v>
      </c>
    </row>
    <row r="4155" spans="1:10" x14ac:dyDescent="0.25">
      <c r="A4155" s="169">
        <v>38910</v>
      </c>
      <c r="B4155" s="169" t="s">
        <v>27632</v>
      </c>
      <c r="C4155" s="169" t="s">
        <v>10225</v>
      </c>
      <c r="D4155" s="169" t="s">
        <v>1290</v>
      </c>
      <c r="E4155" s="103" t="s">
        <v>23108</v>
      </c>
      <c r="F4155" s="104"/>
      <c r="G4155" s="105">
        <f t="shared" si="256"/>
        <v>20.94</v>
      </c>
      <c r="H4155" s="101" t="str">
        <f t="shared" si="257"/>
        <v>Sinapi 38910</v>
      </c>
      <c r="I4155" s="101" t="str">
        <f t="shared" si="258"/>
        <v>UN</v>
      </c>
      <c r="J4155" s="140" t="str">
        <f t="shared" si="259"/>
        <v>TE ROSCA FEMEA, METALICO, PARA CONEXAO COM ANEL DESLIZANTE, DN 25 MM X 3/4", EM TUBO PEX PARA INST. AGUA QUENTE/FRIA</v>
      </c>
    </row>
    <row r="4156" spans="1:10" x14ac:dyDescent="0.25">
      <c r="A4156" s="169">
        <v>11655</v>
      </c>
      <c r="B4156" s="169" t="s">
        <v>27633</v>
      </c>
      <c r="C4156" s="169" t="s">
        <v>10225</v>
      </c>
      <c r="D4156" s="169" t="s">
        <v>1289</v>
      </c>
      <c r="E4156" s="103" t="s">
        <v>19318</v>
      </c>
      <c r="F4156" s="104"/>
      <c r="G4156" s="105">
        <f t="shared" si="256"/>
        <v>17.12</v>
      </c>
      <c r="H4156" s="101" t="str">
        <f t="shared" si="257"/>
        <v>Sinapi 11655</v>
      </c>
      <c r="I4156" s="101" t="str">
        <f t="shared" si="258"/>
        <v>UN</v>
      </c>
      <c r="J4156" s="140" t="str">
        <f t="shared" si="259"/>
        <v>TE SANITARIO DE REDUCAO, PVC, DN 100 X 50 MM, SERIE NORMAL, PARA ESGOTO PREDIAL</v>
      </c>
    </row>
    <row r="4157" spans="1:10" x14ac:dyDescent="0.25">
      <c r="A4157" s="169">
        <v>11656</v>
      </c>
      <c r="B4157" s="169" t="s">
        <v>27634</v>
      </c>
      <c r="C4157" s="169" t="s">
        <v>10225</v>
      </c>
      <c r="D4157" s="169" t="s">
        <v>1289</v>
      </c>
      <c r="E4157" s="103" t="s">
        <v>19904</v>
      </c>
      <c r="F4157" s="104"/>
      <c r="G4157" s="105">
        <f t="shared" si="256"/>
        <v>19.649999999999999</v>
      </c>
      <c r="H4157" s="101" t="str">
        <f t="shared" si="257"/>
        <v>Sinapi 11656</v>
      </c>
      <c r="I4157" s="101" t="str">
        <f t="shared" si="258"/>
        <v>UN</v>
      </c>
      <c r="J4157" s="140" t="str">
        <f t="shared" si="259"/>
        <v>TE SANITARIO DE REDUCAO, PVC, DN 100 X 75 MM, SERIE NORMAL PARA ESGOTO PREDIAL</v>
      </c>
    </row>
    <row r="4158" spans="1:10" x14ac:dyDescent="0.25">
      <c r="A4158" s="169">
        <v>7091</v>
      </c>
      <c r="B4158" s="169" t="s">
        <v>27636</v>
      </c>
      <c r="C4158" s="169" t="s">
        <v>10225</v>
      </c>
      <c r="D4158" s="169" t="s">
        <v>1289</v>
      </c>
      <c r="E4158" s="103" t="s">
        <v>13853</v>
      </c>
      <c r="F4158" s="104"/>
      <c r="G4158" s="105">
        <f t="shared" si="256"/>
        <v>16.100000000000001</v>
      </c>
      <c r="H4158" s="101" t="str">
        <f t="shared" si="257"/>
        <v>Sinapi 7091</v>
      </c>
      <c r="I4158" s="101" t="str">
        <f t="shared" si="258"/>
        <v>UN</v>
      </c>
      <c r="J4158" s="140" t="str">
        <f t="shared" si="259"/>
        <v>TE SANITARIO, PVC, DN 100 X 100 MM, SERIE NORMAL, PARA ESGOTO PREDIAL</v>
      </c>
    </row>
    <row r="4159" spans="1:10" x14ac:dyDescent="0.25">
      <c r="A4159" s="169">
        <v>37948</v>
      </c>
      <c r="B4159" s="169" t="s">
        <v>27637</v>
      </c>
      <c r="C4159" s="169" t="s">
        <v>10225</v>
      </c>
      <c r="D4159" s="169" t="s">
        <v>1289</v>
      </c>
      <c r="E4159" s="103" t="s">
        <v>19286</v>
      </c>
      <c r="F4159" s="104"/>
      <c r="G4159" s="105">
        <f t="shared" si="256"/>
        <v>3.73</v>
      </c>
      <c r="H4159" s="101" t="str">
        <f t="shared" si="257"/>
        <v>Sinapi 37948</v>
      </c>
      <c r="I4159" s="101" t="str">
        <f t="shared" si="258"/>
        <v>UN</v>
      </c>
      <c r="J4159" s="140" t="str">
        <f t="shared" si="259"/>
        <v>TE SANITARIO, PVC, DN 40 X 40 MM, SERIE NORMAL, PARA ESGOTO PREDIAL</v>
      </c>
    </row>
    <row r="4160" spans="1:10" x14ac:dyDescent="0.25">
      <c r="A4160" s="169">
        <v>7097</v>
      </c>
      <c r="B4160" s="169" t="s">
        <v>27638</v>
      </c>
      <c r="C4160" s="169" t="s">
        <v>10225</v>
      </c>
      <c r="D4160" s="169" t="s">
        <v>1289</v>
      </c>
      <c r="E4160" s="103" t="s">
        <v>21706</v>
      </c>
      <c r="F4160" s="104"/>
      <c r="G4160" s="105">
        <f t="shared" si="256"/>
        <v>7.56</v>
      </c>
      <c r="H4160" s="101" t="str">
        <f t="shared" si="257"/>
        <v>Sinapi 7097</v>
      </c>
      <c r="I4160" s="101" t="str">
        <f t="shared" si="258"/>
        <v>UN</v>
      </c>
      <c r="J4160" s="140" t="str">
        <f t="shared" si="259"/>
        <v>TE SANITARIO, PVC, DN 50 X 50 MM, SERIE NORMAL, PARA ESGOTO PREDIAL</v>
      </c>
    </row>
    <row r="4161" spans="1:10" x14ac:dyDescent="0.25">
      <c r="A4161" s="169">
        <v>11658</v>
      </c>
      <c r="B4161" s="169" t="s">
        <v>27639</v>
      </c>
      <c r="C4161" s="169" t="s">
        <v>10225</v>
      </c>
      <c r="D4161" s="169" t="s">
        <v>1289</v>
      </c>
      <c r="E4161" s="103" t="s">
        <v>23271</v>
      </c>
      <c r="F4161" s="104"/>
      <c r="G4161" s="105">
        <f t="shared" si="256"/>
        <v>16.71</v>
      </c>
      <c r="H4161" s="101" t="str">
        <f t="shared" si="257"/>
        <v>Sinapi 11658</v>
      </c>
      <c r="I4161" s="101" t="str">
        <f t="shared" si="258"/>
        <v>UN</v>
      </c>
      <c r="J4161" s="140" t="str">
        <f t="shared" si="259"/>
        <v>TE SANITARIO, PVC, DN 75 X 75 MM, SERIE NORMAL PARA ESGOTO PREDIAL</v>
      </c>
    </row>
    <row r="4162" spans="1:10" x14ac:dyDescent="0.25">
      <c r="A4162" s="169">
        <v>7146</v>
      </c>
      <c r="B4162" s="169" t="s">
        <v>27640</v>
      </c>
      <c r="C4162" s="169" t="s">
        <v>10225</v>
      </c>
      <c r="D4162" s="169" t="s">
        <v>1289</v>
      </c>
      <c r="E4162" s="103" t="s">
        <v>31248</v>
      </c>
      <c r="F4162" s="104"/>
      <c r="G4162" s="105">
        <f t="shared" si="256"/>
        <v>197.02</v>
      </c>
      <c r="H4162" s="101" t="str">
        <f t="shared" si="257"/>
        <v>Sinapi 7146</v>
      </c>
      <c r="I4162" s="101" t="str">
        <f t="shared" si="258"/>
        <v>UN</v>
      </c>
      <c r="J4162" s="140" t="str">
        <f t="shared" si="259"/>
        <v>TE SOLDAVEL, PVC, 90 GRAUS, 110 MM, PARA AGUA FRIA PREDIAL (NBR 5648)</v>
      </c>
    </row>
    <row r="4163" spans="1:10" x14ac:dyDescent="0.25">
      <c r="A4163" s="169">
        <v>7138</v>
      </c>
      <c r="B4163" s="169" t="s">
        <v>27641</v>
      </c>
      <c r="C4163" s="169" t="s">
        <v>10225</v>
      </c>
      <c r="D4163" s="169" t="s">
        <v>1289</v>
      </c>
      <c r="E4163" s="103" t="s">
        <v>16199</v>
      </c>
      <c r="F4163" s="104"/>
      <c r="G4163" s="105">
        <f t="shared" si="256"/>
        <v>1.25</v>
      </c>
      <c r="H4163" s="101" t="str">
        <f t="shared" si="257"/>
        <v>Sinapi 7138</v>
      </c>
      <c r="I4163" s="101" t="str">
        <f t="shared" si="258"/>
        <v>UN</v>
      </c>
      <c r="J4163" s="140" t="str">
        <f t="shared" si="259"/>
        <v>TE SOLDAVEL, PVC, 90 GRAUS, 20 MM, PARA AGUA FRIA PREDIAL (NBR 5648)</v>
      </c>
    </row>
    <row r="4164" spans="1:10" x14ac:dyDescent="0.25">
      <c r="A4164" s="169">
        <v>7139</v>
      </c>
      <c r="B4164" s="169" t="s">
        <v>27642</v>
      </c>
      <c r="C4164" s="169" t="s">
        <v>10225</v>
      </c>
      <c r="D4164" s="169" t="s">
        <v>1289</v>
      </c>
      <c r="E4164" s="103" t="s">
        <v>10275</v>
      </c>
      <c r="F4164" s="104"/>
      <c r="G4164" s="105">
        <f t="shared" si="256"/>
        <v>1.41</v>
      </c>
      <c r="H4164" s="101" t="str">
        <f t="shared" si="257"/>
        <v>Sinapi 7139</v>
      </c>
      <c r="I4164" s="101" t="str">
        <f t="shared" si="258"/>
        <v>UN</v>
      </c>
      <c r="J4164" s="140" t="str">
        <f t="shared" si="259"/>
        <v>TE SOLDAVEL, PVC, 90 GRAUS, 25 MM, PARA AGUA FRIA PREDIAL (NBR 5648)</v>
      </c>
    </row>
    <row r="4165" spans="1:10" x14ac:dyDescent="0.25">
      <c r="A4165" s="169">
        <v>7140</v>
      </c>
      <c r="B4165" s="169" t="s">
        <v>27643</v>
      </c>
      <c r="C4165" s="169" t="s">
        <v>10225</v>
      </c>
      <c r="D4165" s="169" t="s">
        <v>1289</v>
      </c>
      <c r="E4165" s="103" t="s">
        <v>22734</v>
      </c>
      <c r="F4165" s="104"/>
      <c r="G4165" s="105">
        <f t="shared" si="256"/>
        <v>4.43</v>
      </c>
      <c r="H4165" s="101" t="str">
        <f t="shared" si="257"/>
        <v>Sinapi 7140</v>
      </c>
      <c r="I4165" s="101" t="str">
        <f t="shared" si="258"/>
        <v>UN</v>
      </c>
      <c r="J4165" s="140" t="str">
        <f t="shared" si="259"/>
        <v>TE SOLDAVEL, PVC, 90 GRAUS, 32 MM, PARA AGUA FRIA PREDIAL (NBR 5648)</v>
      </c>
    </row>
    <row r="4166" spans="1:10" x14ac:dyDescent="0.25">
      <c r="A4166" s="169">
        <v>7141</v>
      </c>
      <c r="B4166" s="169" t="s">
        <v>27644</v>
      </c>
      <c r="C4166" s="169" t="s">
        <v>10225</v>
      </c>
      <c r="D4166" s="169" t="s">
        <v>1289</v>
      </c>
      <c r="E4166" s="103" t="s">
        <v>16293</v>
      </c>
      <c r="F4166" s="104"/>
      <c r="G4166" s="105">
        <f t="shared" si="256"/>
        <v>10.84</v>
      </c>
      <c r="H4166" s="101" t="str">
        <f t="shared" si="257"/>
        <v>Sinapi 7141</v>
      </c>
      <c r="I4166" s="101" t="str">
        <f t="shared" si="258"/>
        <v>UN</v>
      </c>
      <c r="J4166" s="140" t="str">
        <f t="shared" si="259"/>
        <v>TE SOLDAVEL, PVC, 90 GRAUS, 40 MM, PARA AGUA FRIA PREDIAL (NBR 5648)</v>
      </c>
    </row>
    <row r="4167" spans="1:10" x14ac:dyDescent="0.25">
      <c r="A4167" s="169">
        <v>7143</v>
      </c>
      <c r="B4167" s="169" t="s">
        <v>27645</v>
      </c>
      <c r="C4167" s="169" t="s">
        <v>10225</v>
      </c>
      <c r="D4167" s="169" t="s">
        <v>1289</v>
      </c>
      <c r="E4167" s="103" t="s">
        <v>22055</v>
      </c>
      <c r="F4167" s="104"/>
      <c r="G4167" s="105">
        <f t="shared" si="256"/>
        <v>36.369999999999997</v>
      </c>
      <c r="H4167" s="101" t="str">
        <f t="shared" si="257"/>
        <v>Sinapi 7143</v>
      </c>
      <c r="I4167" s="101" t="str">
        <f t="shared" si="258"/>
        <v>UN</v>
      </c>
      <c r="J4167" s="140" t="str">
        <f t="shared" si="259"/>
        <v>TE SOLDAVEL, PVC, 90 GRAUS, 60 MM, PARA AGUA FRIA PREDIAL (NBR 5648)</v>
      </c>
    </row>
    <row r="4168" spans="1:10" x14ac:dyDescent="0.25">
      <c r="A4168" s="169">
        <v>7144</v>
      </c>
      <c r="B4168" s="169" t="s">
        <v>27646</v>
      </c>
      <c r="C4168" s="169" t="s">
        <v>10225</v>
      </c>
      <c r="D4168" s="169" t="s">
        <v>1289</v>
      </c>
      <c r="E4168" s="103" t="s">
        <v>31249</v>
      </c>
      <c r="F4168" s="104"/>
      <c r="G4168" s="105">
        <f t="shared" ref="G4168:G4231" si="260">IF(E4168="","",E4168+0)</f>
        <v>67.48</v>
      </c>
      <c r="H4168" s="101" t="str">
        <f t="shared" ref="H4168:H4231" si="261">IF(G4168="","",TRIM(CONCATENATE("Sinapi ",A4168)))</f>
        <v>Sinapi 7144</v>
      </c>
      <c r="I4168" s="101" t="str">
        <f t="shared" ref="I4168:I4231" si="262">TRIM(C4168)</f>
        <v>UN</v>
      </c>
      <c r="J4168" s="140" t="str">
        <f t="shared" si="259"/>
        <v>TE SOLDAVEL, PVC, 90 GRAUS, 75 MM, PARA AGUA FRIA PREDIAL (NBR 5648)</v>
      </c>
    </row>
    <row r="4169" spans="1:10" x14ac:dyDescent="0.25">
      <c r="A4169" s="169">
        <v>7145</v>
      </c>
      <c r="B4169" s="169" t="s">
        <v>27648</v>
      </c>
      <c r="C4169" s="169" t="s">
        <v>10225</v>
      </c>
      <c r="D4169" s="169" t="s">
        <v>1289</v>
      </c>
      <c r="E4169" s="103" t="s">
        <v>31250</v>
      </c>
      <c r="F4169" s="104"/>
      <c r="G4169" s="105">
        <f t="shared" si="260"/>
        <v>91.76</v>
      </c>
      <c r="H4169" s="101" t="str">
        <f t="shared" si="261"/>
        <v>Sinapi 7145</v>
      </c>
      <c r="I4169" s="101" t="str">
        <f t="shared" si="262"/>
        <v>UN</v>
      </c>
      <c r="J4169" s="140" t="str">
        <f t="shared" ref="J4169:J4232" si="263">TRIM(B4169)</f>
        <v>TE SOLDAVEL, PVC, 90 GRAUS, 85 MM, PARA AGUA FRIA PREDIAL (NBR 5648)</v>
      </c>
    </row>
    <row r="4170" spans="1:10" x14ac:dyDescent="0.25">
      <c r="A4170" s="169">
        <v>7142</v>
      </c>
      <c r="B4170" s="169" t="s">
        <v>27649</v>
      </c>
      <c r="C4170" s="169" t="s">
        <v>10225</v>
      </c>
      <c r="D4170" s="169" t="s">
        <v>1289</v>
      </c>
      <c r="E4170" s="103" t="s">
        <v>31251</v>
      </c>
      <c r="F4170" s="104"/>
      <c r="G4170" s="105">
        <f t="shared" si="260"/>
        <v>11.33</v>
      </c>
      <c r="H4170" s="101" t="str">
        <f t="shared" si="261"/>
        <v>Sinapi 7142</v>
      </c>
      <c r="I4170" s="101" t="str">
        <f t="shared" si="262"/>
        <v>UN</v>
      </c>
      <c r="J4170" s="140" t="str">
        <f t="shared" si="263"/>
        <v>TE SOLDAVEL, PVC, 90 GRAUS,50 MM, PARA AGUA FRIA PREDIAL (NBR 5648)</v>
      </c>
    </row>
    <row r="4171" spans="1:10" x14ac:dyDescent="0.25">
      <c r="A4171" s="169">
        <v>3593</v>
      </c>
      <c r="B4171" s="169" t="s">
        <v>27650</v>
      </c>
      <c r="C4171" s="169" t="s">
        <v>10225</v>
      </c>
      <c r="D4171" s="169" t="s">
        <v>1289</v>
      </c>
      <c r="E4171" s="103" t="s">
        <v>29111</v>
      </c>
      <c r="F4171" s="104"/>
      <c r="G4171" s="105">
        <f t="shared" si="260"/>
        <v>90.39</v>
      </c>
      <c r="H4171" s="101" t="str">
        <f t="shared" si="261"/>
        <v>Sinapi 3593</v>
      </c>
      <c r="I4171" s="101" t="str">
        <f t="shared" si="262"/>
        <v>UN</v>
      </c>
      <c r="J4171" s="140" t="str">
        <f t="shared" si="263"/>
        <v>TE 45 GRAUS DE FERRO GALVANIZADO, COM ROSCA BSP, DE 1 1/2"</v>
      </c>
    </row>
    <row r="4172" spans="1:10" x14ac:dyDescent="0.25">
      <c r="A4172" s="169">
        <v>3588</v>
      </c>
      <c r="B4172" s="169" t="s">
        <v>27652</v>
      </c>
      <c r="C4172" s="169" t="s">
        <v>10225</v>
      </c>
      <c r="D4172" s="169" t="s">
        <v>1289</v>
      </c>
      <c r="E4172" s="103" t="s">
        <v>31252</v>
      </c>
      <c r="F4172" s="104"/>
      <c r="G4172" s="105">
        <f t="shared" si="260"/>
        <v>69.67</v>
      </c>
      <c r="H4172" s="101" t="str">
        <f t="shared" si="261"/>
        <v>Sinapi 3588</v>
      </c>
      <c r="I4172" s="101" t="str">
        <f t="shared" si="262"/>
        <v>UN</v>
      </c>
      <c r="J4172" s="140" t="str">
        <f t="shared" si="263"/>
        <v>TE 45 GRAUS DE FERRO GALVANIZADO, COM ROSCA BSP, DE 1 1/4"</v>
      </c>
    </row>
    <row r="4173" spans="1:10" x14ac:dyDescent="0.25">
      <c r="A4173" s="169">
        <v>3585</v>
      </c>
      <c r="B4173" s="169" t="s">
        <v>27653</v>
      </c>
      <c r="C4173" s="169" t="s">
        <v>10225</v>
      </c>
      <c r="D4173" s="169" t="s">
        <v>1289</v>
      </c>
      <c r="E4173" s="103" t="s">
        <v>29377</v>
      </c>
      <c r="F4173" s="104"/>
      <c r="G4173" s="105">
        <f t="shared" si="260"/>
        <v>21.52</v>
      </c>
      <c r="H4173" s="101" t="str">
        <f t="shared" si="261"/>
        <v>Sinapi 3585</v>
      </c>
      <c r="I4173" s="101" t="str">
        <f t="shared" si="262"/>
        <v>UN</v>
      </c>
      <c r="J4173" s="140" t="str">
        <f t="shared" si="263"/>
        <v>TE 45 GRAUS DE FERRO GALVANIZADO, COM ROSCA BSP, DE 1/2"</v>
      </c>
    </row>
    <row r="4174" spans="1:10" x14ac:dyDescent="0.25">
      <c r="A4174" s="169">
        <v>3587</v>
      </c>
      <c r="B4174" s="169" t="s">
        <v>27654</v>
      </c>
      <c r="C4174" s="169" t="s">
        <v>10225</v>
      </c>
      <c r="D4174" s="169" t="s">
        <v>1289</v>
      </c>
      <c r="E4174" s="103" t="s">
        <v>31253</v>
      </c>
      <c r="F4174" s="104"/>
      <c r="G4174" s="105">
        <f t="shared" si="260"/>
        <v>43.23</v>
      </c>
      <c r="H4174" s="101" t="str">
        <f t="shared" si="261"/>
        <v>Sinapi 3587</v>
      </c>
      <c r="I4174" s="101" t="str">
        <f t="shared" si="262"/>
        <v>UN</v>
      </c>
      <c r="J4174" s="140" t="str">
        <f t="shared" si="263"/>
        <v>TE 45 GRAUS DE FERRO GALVANIZADO, COM ROSCA BSP, DE 1"</v>
      </c>
    </row>
    <row r="4175" spans="1:10" x14ac:dyDescent="0.25">
      <c r="A4175" s="169">
        <v>3590</v>
      </c>
      <c r="B4175" s="169" t="s">
        <v>27655</v>
      </c>
      <c r="C4175" s="169" t="s">
        <v>10225</v>
      </c>
      <c r="D4175" s="169" t="s">
        <v>1289</v>
      </c>
      <c r="E4175" s="103" t="s">
        <v>31254</v>
      </c>
      <c r="F4175" s="104"/>
      <c r="G4175" s="105">
        <f t="shared" si="260"/>
        <v>256.64</v>
      </c>
      <c r="H4175" s="101" t="str">
        <f t="shared" si="261"/>
        <v>Sinapi 3590</v>
      </c>
      <c r="I4175" s="101" t="str">
        <f t="shared" si="262"/>
        <v>UN</v>
      </c>
      <c r="J4175" s="140" t="str">
        <f t="shared" si="263"/>
        <v>TE 45 GRAUS DE FERRO GALVANIZADO, COM ROSCA BSP, DE 2 1/2"</v>
      </c>
    </row>
    <row r="4176" spans="1:10" x14ac:dyDescent="0.25">
      <c r="A4176" s="169">
        <v>3589</v>
      </c>
      <c r="B4176" s="169" t="s">
        <v>27656</v>
      </c>
      <c r="C4176" s="169" t="s">
        <v>10225</v>
      </c>
      <c r="D4176" s="169" t="s">
        <v>1289</v>
      </c>
      <c r="E4176" s="103" t="s">
        <v>31255</v>
      </c>
      <c r="F4176" s="104"/>
      <c r="G4176" s="105">
        <f t="shared" si="260"/>
        <v>137.75</v>
      </c>
      <c r="H4176" s="101" t="str">
        <f t="shared" si="261"/>
        <v>Sinapi 3589</v>
      </c>
      <c r="I4176" s="101" t="str">
        <f t="shared" si="262"/>
        <v>UN</v>
      </c>
      <c r="J4176" s="140" t="str">
        <f t="shared" si="263"/>
        <v>TE 45 GRAUS DE FERRO GALVANIZADO, COM ROSCA BSP, DE 2"</v>
      </c>
    </row>
    <row r="4177" spans="1:10" x14ac:dyDescent="0.25">
      <c r="A4177" s="169">
        <v>3586</v>
      </c>
      <c r="B4177" s="169" t="s">
        <v>27657</v>
      </c>
      <c r="C4177" s="169" t="s">
        <v>10225</v>
      </c>
      <c r="D4177" s="169" t="s">
        <v>1289</v>
      </c>
      <c r="E4177" s="103" t="s">
        <v>16307</v>
      </c>
      <c r="F4177" s="104"/>
      <c r="G4177" s="105">
        <f t="shared" si="260"/>
        <v>28.18</v>
      </c>
      <c r="H4177" s="101" t="str">
        <f t="shared" si="261"/>
        <v>Sinapi 3586</v>
      </c>
      <c r="I4177" s="101" t="str">
        <f t="shared" si="262"/>
        <v>UN</v>
      </c>
      <c r="J4177" s="140" t="str">
        <f t="shared" si="263"/>
        <v>TE 45 GRAUS DE FERRO GALVANIZADO, COM ROSCA BSP, DE 3/4"</v>
      </c>
    </row>
    <row r="4178" spans="1:10" x14ac:dyDescent="0.25">
      <c r="A4178" s="169">
        <v>3592</v>
      </c>
      <c r="B4178" s="169" t="s">
        <v>27658</v>
      </c>
      <c r="C4178" s="169" t="s">
        <v>10225</v>
      </c>
      <c r="D4178" s="169" t="s">
        <v>1289</v>
      </c>
      <c r="E4178" s="103" t="s">
        <v>31256</v>
      </c>
      <c r="F4178" s="104"/>
      <c r="G4178" s="105">
        <f t="shared" si="260"/>
        <v>405.67</v>
      </c>
      <c r="H4178" s="101" t="str">
        <f t="shared" si="261"/>
        <v>Sinapi 3592</v>
      </c>
      <c r="I4178" s="101" t="str">
        <f t="shared" si="262"/>
        <v>UN</v>
      </c>
      <c r="J4178" s="140" t="str">
        <f t="shared" si="263"/>
        <v>TE 45 GRAUS DE FERRO GALVANIZADO, COM ROSCA BSP, DE 3"</v>
      </c>
    </row>
    <row r="4179" spans="1:10" x14ac:dyDescent="0.25">
      <c r="A4179" s="169">
        <v>3591</v>
      </c>
      <c r="B4179" s="169" t="s">
        <v>27659</v>
      </c>
      <c r="C4179" s="169" t="s">
        <v>10225</v>
      </c>
      <c r="D4179" s="169" t="s">
        <v>1289</v>
      </c>
      <c r="E4179" s="103" t="s">
        <v>31257</v>
      </c>
      <c r="F4179" s="104"/>
      <c r="G4179" s="105">
        <f t="shared" si="260"/>
        <v>650.30999999999995</v>
      </c>
      <c r="H4179" s="101" t="str">
        <f t="shared" si="261"/>
        <v>Sinapi 3591</v>
      </c>
      <c r="I4179" s="101" t="str">
        <f t="shared" si="262"/>
        <v>UN</v>
      </c>
      <c r="J4179" s="140" t="str">
        <f t="shared" si="263"/>
        <v>TE 45 GRAUS DE FERRO GALVANIZADO, COM ROSCA BSP, DE 4"</v>
      </c>
    </row>
    <row r="4180" spans="1:10" x14ac:dyDescent="0.25">
      <c r="A4180" s="169">
        <v>40396</v>
      </c>
      <c r="B4180" s="169" t="s">
        <v>27660</v>
      </c>
      <c r="C4180" s="169" t="s">
        <v>10225</v>
      </c>
      <c r="D4180" s="169" t="s">
        <v>1290</v>
      </c>
      <c r="E4180" s="103" t="s">
        <v>31258</v>
      </c>
      <c r="F4180" s="104"/>
      <c r="G4180" s="105">
        <f t="shared" si="260"/>
        <v>132.28</v>
      </c>
      <c r="H4180" s="101" t="str">
        <f t="shared" si="261"/>
        <v>Sinapi 40396</v>
      </c>
      <c r="I4180" s="101" t="str">
        <f t="shared" si="262"/>
        <v>UN</v>
      </c>
      <c r="J4180" s="140" t="str">
        <f t="shared" si="263"/>
        <v>TE 90 GRAUS EM ACO CARBONO, SOLDAVEL, PRESSAO 3.000 LBS, DN 1 1/2"</v>
      </c>
    </row>
    <row r="4181" spans="1:10" x14ac:dyDescent="0.25">
      <c r="A4181" s="169">
        <v>40395</v>
      </c>
      <c r="B4181" s="169" t="s">
        <v>27661</v>
      </c>
      <c r="C4181" s="169" t="s">
        <v>10225</v>
      </c>
      <c r="D4181" s="169" t="s">
        <v>1290</v>
      </c>
      <c r="E4181" s="103" t="s">
        <v>31259</v>
      </c>
      <c r="F4181" s="104"/>
      <c r="G4181" s="105">
        <f t="shared" si="260"/>
        <v>101.52</v>
      </c>
      <c r="H4181" s="101" t="str">
        <f t="shared" si="261"/>
        <v>Sinapi 40395</v>
      </c>
      <c r="I4181" s="101" t="str">
        <f t="shared" si="262"/>
        <v>UN</v>
      </c>
      <c r="J4181" s="140" t="str">
        <f t="shared" si="263"/>
        <v>TE 90 GRAUS EM ACO CARBONO, SOLDAVEL, PRESSAO 3.000 LBS, DN 1 1/4"</v>
      </c>
    </row>
    <row r="4182" spans="1:10" x14ac:dyDescent="0.25">
      <c r="A4182" s="169">
        <v>40392</v>
      </c>
      <c r="B4182" s="169" t="s">
        <v>27662</v>
      </c>
      <c r="C4182" s="169" t="s">
        <v>10225</v>
      </c>
      <c r="D4182" s="169" t="s">
        <v>1290</v>
      </c>
      <c r="E4182" s="103" t="s">
        <v>29270</v>
      </c>
      <c r="F4182" s="104"/>
      <c r="G4182" s="105">
        <f t="shared" si="260"/>
        <v>32.659999999999997</v>
      </c>
      <c r="H4182" s="101" t="str">
        <f t="shared" si="261"/>
        <v>Sinapi 40392</v>
      </c>
      <c r="I4182" s="101" t="str">
        <f t="shared" si="262"/>
        <v>UN</v>
      </c>
      <c r="J4182" s="140" t="str">
        <f t="shared" si="263"/>
        <v>TE 90 GRAUS EM ACO CARBONO, SOLDAVEL, PRESSAO 3.000 LBS, DN 1/2"</v>
      </c>
    </row>
    <row r="4183" spans="1:10" x14ac:dyDescent="0.25">
      <c r="A4183" s="169">
        <v>40394</v>
      </c>
      <c r="B4183" s="169" t="s">
        <v>27663</v>
      </c>
      <c r="C4183" s="169" t="s">
        <v>10225</v>
      </c>
      <c r="D4183" s="169" t="s">
        <v>1290</v>
      </c>
      <c r="E4183" s="103" t="s">
        <v>31260</v>
      </c>
      <c r="F4183" s="104"/>
      <c r="G4183" s="105">
        <f t="shared" si="260"/>
        <v>66.09</v>
      </c>
      <c r="H4183" s="101" t="str">
        <f t="shared" si="261"/>
        <v>Sinapi 40394</v>
      </c>
      <c r="I4183" s="101" t="str">
        <f t="shared" si="262"/>
        <v>UN</v>
      </c>
      <c r="J4183" s="140" t="str">
        <f t="shared" si="263"/>
        <v>TE 90 GRAUS EM ACO CARBONO, SOLDAVEL, PRESSAO 3.000 LBS, DN 1"</v>
      </c>
    </row>
    <row r="4184" spans="1:10" x14ac:dyDescent="0.25">
      <c r="A4184" s="169">
        <v>40398</v>
      </c>
      <c r="B4184" s="169" t="s">
        <v>27664</v>
      </c>
      <c r="C4184" s="169" t="s">
        <v>10225</v>
      </c>
      <c r="D4184" s="169" t="s">
        <v>1290</v>
      </c>
      <c r="E4184" s="103" t="s">
        <v>31261</v>
      </c>
      <c r="F4184" s="104"/>
      <c r="G4184" s="105">
        <f t="shared" si="260"/>
        <v>424.39</v>
      </c>
      <c r="H4184" s="101" t="str">
        <f t="shared" si="261"/>
        <v>Sinapi 40398</v>
      </c>
      <c r="I4184" s="101" t="str">
        <f t="shared" si="262"/>
        <v>UN</v>
      </c>
      <c r="J4184" s="140" t="str">
        <f t="shared" si="263"/>
        <v>TE 90 GRAUS EM ACO CARBONO, SOLDAVEL, PRESSAO 3.000 LBS, DN 2 1/2"</v>
      </c>
    </row>
    <row r="4185" spans="1:10" x14ac:dyDescent="0.25">
      <c r="A4185" s="169">
        <v>40397</v>
      </c>
      <c r="B4185" s="169" t="s">
        <v>27665</v>
      </c>
      <c r="C4185" s="169" t="s">
        <v>10225</v>
      </c>
      <c r="D4185" s="169" t="s">
        <v>1290</v>
      </c>
      <c r="E4185" s="103" t="s">
        <v>27763</v>
      </c>
      <c r="F4185" s="104"/>
      <c r="G4185" s="105">
        <f t="shared" si="260"/>
        <v>217.34</v>
      </c>
      <c r="H4185" s="101" t="str">
        <f t="shared" si="261"/>
        <v>Sinapi 40397</v>
      </c>
      <c r="I4185" s="101" t="str">
        <f t="shared" si="262"/>
        <v>UN</v>
      </c>
      <c r="J4185" s="140" t="str">
        <f t="shared" si="263"/>
        <v>TE 90 GRAUS EM ACO CARBONO, SOLDAVEL, PRESSAO 3.000 LBS, DN 2"</v>
      </c>
    </row>
    <row r="4186" spans="1:10" x14ac:dyDescent="0.25">
      <c r="A4186" s="169">
        <v>40393</v>
      </c>
      <c r="B4186" s="169" t="s">
        <v>27666</v>
      </c>
      <c r="C4186" s="169" t="s">
        <v>10225</v>
      </c>
      <c r="D4186" s="169" t="s">
        <v>1290</v>
      </c>
      <c r="E4186" s="103" t="s">
        <v>20103</v>
      </c>
      <c r="F4186" s="104"/>
      <c r="G4186" s="105">
        <f t="shared" si="260"/>
        <v>42.07</v>
      </c>
      <c r="H4186" s="101" t="str">
        <f t="shared" si="261"/>
        <v>Sinapi 40393</v>
      </c>
      <c r="I4186" s="101" t="str">
        <f t="shared" si="262"/>
        <v>UN</v>
      </c>
      <c r="J4186" s="140" t="str">
        <f t="shared" si="263"/>
        <v>TE 90 GRAUS EM ACO CARBONO, SOLDAVEL, PRESSAO 3.000 LBS, DN 3/4"</v>
      </c>
    </row>
    <row r="4187" spans="1:10" x14ac:dyDescent="0.25">
      <c r="A4187" s="169">
        <v>40399</v>
      </c>
      <c r="B4187" s="169" t="s">
        <v>27667</v>
      </c>
      <c r="C4187" s="169" t="s">
        <v>10225</v>
      </c>
      <c r="D4187" s="169" t="s">
        <v>1290</v>
      </c>
      <c r="E4187" s="103" t="s">
        <v>31262</v>
      </c>
      <c r="F4187" s="104"/>
      <c r="G4187" s="105">
        <f t="shared" si="260"/>
        <v>694.3</v>
      </c>
      <c r="H4187" s="101" t="str">
        <f t="shared" si="261"/>
        <v>Sinapi 40399</v>
      </c>
      <c r="I4187" s="101" t="str">
        <f t="shared" si="262"/>
        <v>UN</v>
      </c>
      <c r="J4187" s="140" t="str">
        <f t="shared" si="263"/>
        <v>TE 90 GRAUS EM ACO CARBONO, SOLDAVEL, PRESSAO 3.000 LBS, DN 3"</v>
      </c>
    </row>
    <row r="4188" spans="1:10" x14ac:dyDescent="0.25">
      <c r="A4188" s="169">
        <v>39322</v>
      </c>
      <c r="B4188" s="169" t="s">
        <v>27668</v>
      </c>
      <c r="C4188" s="169" t="s">
        <v>10225</v>
      </c>
      <c r="D4188" s="169" t="s">
        <v>1290</v>
      </c>
      <c r="E4188" s="103" t="s">
        <v>14897</v>
      </c>
      <c r="F4188" s="104"/>
      <c r="G4188" s="105">
        <f t="shared" si="260"/>
        <v>8.83</v>
      </c>
      <c r="H4188" s="101" t="str">
        <f t="shared" si="261"/>
        <v>Sinapi 39322</v>
      </c>
      <c r="I4188" s="101" t="str">
        <f t="shared" si="262"/>
        <v>UN</v>
      </c>
      <c r="J4188" s="140" t="str">
        <f t="shared" si="263"/>
        <v>TE, PLASTICO, DN 16 MM, PARA CONEXAO COM CRIMPAGEM, EM TUBO PEX PARA INST. AGUA QUENTE/FRIA</v>
      </c>
    </row>
    <row r="4189" spans="1:10" x14ac:dyDescent="0.25">
      <c r="A4189" s="169">
        <v>39289</v>
      </c>
      <c r="B4189" s="169" t="s">
        <v>27669</v>
      </c>
      <c r="C4189" s="169" t="s">
        <v>10225</v>
      </c>
      <c r="D4189" s="169" t="s">
        <v>1290</v>
      </c>
      <c r="E4189" s="103" t="s">
        <v>19865</v>
      </c>
      <c r="F4189" s="104"/>
      <c r="G4189" s="105">
        <f t="shared" si="260"/>
        <v>16.46</v>
      </c>
      <c r="H4189" s="101" t="str">
        <f t="shared" si="261"/>
        <v>Sinapi 39289</v>
      </c>
      <c r="I4189" s="101" t="str">
        <f t="shared" si="262"/>
        <v>UN</v>
      </c>
      <c r="J4189" s="140" t="str">
        <f t="shared" si="263"/>
        <v>TE, PLASTICO, DN 20 MM, PARA CONEXAO COM CRIMPAGEM, EM TUBO PEX PARA INST. AGUA QUENTE/FRIA</v>
      </c>
    </row>
    <row r="4190" spans="1:10" x14ac:dyDescent="0.25">
      <c r="A4190" s="169">
        <v>39290</v>
      </c>
      <c r="B4190" s="169" t="s">
        <v>27670</v>
      </c>
      <c r="C4190" s="169" t="s">
        <v>10225</v>
      </c>
      <c r="D4190" s="169" t="s">
        <v>1290</v>
      </c>
      <c r="E4190" s="103" t="s">
        <v>27671</v>
      </c>
      <c r="F4190" s="104"/>
      <c r="G4190" s="105">
        <f t="shared" si="260"/>
        <v>27.8</v>
      </c>
      <c r="H4190" s="101" t="str">
        <f t="shared" si="261"/>
        <v>Sinapi 39290</v>
      </c>
      <c r="I4190" s="101" t="str">
        <f t="shared" si="262"/>
        <v>UN</v>
      </c>
      <c r="J4190" s="140" t="str">
        <f t="shared" si="263"/>
        <v>TE, PLASTICO, DN 25 MM, PARA CONEXAO COM CRIMPAGEM, EM TUBO PEX PARA INST. AGUA QUENTE/FRIA</v>
      </c>
    </row>
    <row r="4191" spans="1:10" x14ac:dyDescent="0.25">
      <c r="A4191" s="169">
        <v>39291</v>
      </c>
      <c r="B4191" s="169" t="s">
        <v>27672</v>
      </c>
      <c r="C4191" s="169" t="s">
        <v>10225</v>
      </c>
      <c r="D4191" s="169" t="s">
        <v>1290</v>
      </c>
      <c r="E4191" s="103" t="s">
        <v>22103</v>
      </c>
      <c r="F4191" s="104"/>
      <c r="G4191" s="105">
        <f t="shared" si="260"/>
        <v>30.74</v>
      </c>
      <c r="H4191" s="101" t="str">
        <f t="shared" si="261"/>
        <v>Sinapi 39291</v>
      </c>
      <c r="I4191" s="101" t="str">
        <f t="shared" si="262"/>
        <v>UN</v>
      </c>
      <c r="J4191" s="140" t="str">
        <f t="shared" si="263"/>
        <v>TE, PLASTICO, DN 32 MM, PARA CONEXAO COM CRIMPAGEM, EM TUBO PEX PARA INST. AGUA QUENTE/FRIA</v>
      </c>
    </row>
    <row r="4192" spans="1:10" x14ac:dyDescent="0.25">
      <c r="A4192" s="169">
        <v>41892</v>
      </c>
      <c r="B4192" s="169" t="s">
        <v>27673</v>
      </c>
      <c r="C4192" s="169" t="s">
        <v>10225</v>
      </c>
      <c r="D4192" s="169" t="s">
        <v>1289</v>
      </c>
      <c r="E4192" s="103" t="s">
        <v>31263</v>
      </c>
      <c r="F4192" s="104"/>
      <c r="G4192" s="105">
        <f t="shared" si="260"/>
        <v>185.35</v>
      </c>
      <c r="H4192" s="101" t="str">
        <f t="shared" si="261"/>
        <v>Sinapi 41892</v>
      </c>
      <c r="I4192" s="101" t="str">
        <f t="shared" si="262"/>
        <v>UN</v>
      </c>
      <c r="J4192" s="140" t="str">
        <f t="shared" si="263"/>
        <v>TE, PVC PBA, BBB, 90 GRAUS, DN 100 / DE 110 MM, PARA REDE AGUA (NBR 10351)</v>
      </c>
    </row>
    <row r="4193" spans="1:10" x14ac:dyDescent="0.25">
      <c r="A4193" s="169">
        <v>7048</v>
      </c>
      <c r="B4193" s="169" t="s">
        <v>27674</v>
      </c>
      <c r="C4193" s="169" t="s">
        <v>10225</v>
      </c>
      <c r="D4193" s="169" t="s">
        <v>1289</v>
      </c>
      <c r="E4193" s="103" t="s">
        <v>31264</v>
      </c>
      <c r="F4193" s="104"/>
      <c r="G4193" s="105">
        <f t="shared" si="260"/>
        <v>40.01</v>
      </c>
      <c r="H4193" s="101" t="str">
        <f t="shared" si="261"/>
        <v>Sinapi 7048</v>
      </c>
      <c r="I4193" s="101" t="str">
        <f t="shared" si="262"/>
        <v>UN</v>
      </c>
      <c r="J4193" s="140" t="str">
        <f t="shared" si="263"/>
        <v>TE, PVC PBA, BBB, 90 GRAUS, DN 50 / DE 60 MM, PARA REDE AGUA (NBR 10351)</v>
      </c>
    </row>
    <row r="4194" spans="1:10" x14ac:dyDescent="0.25">
      <c r="A4194" s="169">
        <v>7088</v>
      </c>
      <c r="B4194" s="169" t="s">
        <v>27675</v>
      </c>
      <c r="C4194" s="169" t="s">
        <v>10225</v>
      </c>
      <c r="D4194" s="169" t="s">
        <v>1289</v>
      </c>
      <c r="E4194" s="103" t="s">
        <v>31265</v>
      </c>
      <c r="F4194" s="104"/>
      <c r="G4194" s="105">
        <f t="shared" si="260"/>
        <v>87.48</v>
      </c>
      <c r="H4194" s="101" t="str">
        <f t="shared" si="261"/>
        <v>Sinapi 7088</v>
      </c>
      <c r="I4194" s="101" t="str">
        <f t="shared" si="262"/>
        <v>UN</v>
      </c>
      <c r="J4194" s="140" t="str">
        <f t="shared" si="263"/>
        <v>TE, PVC PBA, BBB, 90 GRAUS, DN 75 / DE 85 MM, PARA REDE AGUA (NBR 10351)</v>
      </c>
    </row>
    <row r="4195" spans="1:10" x14ac:dyDescent="0.25">
      <c r="A4195" s="169">
        <v>20179</v>
      </c>
      <c r="B4195" s="169" t="s">
        <v>27676</v>
      </c>
      <c r="C4195" s="169" t="s">
        <v>10225</v>
      </c>
      <c r="D4195" s="169" t="s">
        <v>1289</v>
      </c>
      <c r="E4195" s="103" t="s">
        <v>31220</v>
      </c>
      <c r="F4195" s="104"/>
      <c r="G4195" s="105">
        <f t="shared" si="260"/>
        <v>44.05</v>
      </c>
      <c r="H4195" s="101" t="str">
        <f t="shared" si="261"/>
        <v>Sinapi 20179</v>
      </c>
      <c r="I4195" s="101" t="str">
        <f t="shared" si="262"/>
        <v>UN</v>
      </c>
      <c r="J4195" s="140" t="str">
        <f t="shared" si="263"/>
        <v>TE, PVC, SERIE R, 100 X 100 MM, PARA ESGOTO PREDIAL</v>
      </c>
    </row>
    <row r="4196" spans="1:10" x14ac:dyDescent="0.25">
      <c r="A4196" s="169">
        <v>20178</v>
      </c>
      <c r="B4196" s="169" t="s">
        <v>27678</v>
      </c>
      <c r="C4196" s="169" t="s">
        <v>10225</v>
      </c>
      <c r="D4196" s="169" t="s">
        <v>1289</v>
      </c>
      <c r="E4196" s="103" t="s">
        <v>31266</v>
      </c>
      <c r="F4196" s="104"/>
      <c r="G4196" s="105">
        <f t="shared" si="260"/>
        <v>52.8</v>
      </c>
      <c r="H4196" s="101" t="str">
        <f t="shared" si="261"/>
        <v>Sinapi 20178</v>
      </c>
      <c r="I4196" s="101" t="str">
        <f t="shared" si="262"/>
        <v>UN</v>
      </c>
      <c r="J4196" s="140" t="str">
        <f t="shared" si="263"/>
        <v>TE, PVC, SERIE R, 100 X 75 MM, PARA ESGOTO PREDIAL</v>
      </c>
    </row>
    <row r="4197" spans="1:10" x14ac:dyDescent="0.25">
      <c r="A4197" s="169">
        <v>20180</v>
      </c>
      <c r="B4197" s="169" t="s">
        <v>27679</v>
      </c>
      <c r="C4197" s="169" t="s">
        <v>10225</v>
      </c>
      <c r="D4197" s="169" t="s">
        <v>1289</v>
      </c>
      <c r="E4197" s="103" t="s">
        <v>31267</v>
      </c>
      <c r="F4197" s="104"/>
      <c r="G4197" s="105">
        <f t="shared" si="260"/>
        <v>87.15</v>
      </c>
      <c r="H4197" s="101" t="str">
        <f t="shared" si="261"/>
        <v>Sinapi 20180</v>
      </c>
      <c r="I4197" s="101" t="str">
        <f t="shared" si="262"/>
        <v>UN</v>
      </c>
      <c r="J4197" s="140" t="str">
        <f t="shared" si="263"/>
        <v>TE, PVC, SERIE R, 150 X 100 MM, PARA ESGOTO PREDIAL</v>
      </c>
    </row>
    <row r="4198" spans="1:10" x14ac:dyDescent="0.25">
      <c r="A4198" s="169">
        <v>20181</v>
      </c>
      <c r="B4198" s="169" t="s">
        <v>27680</v>
      </c>
      <c r="C4198" s="169" t="s">
        <v>10225</v>
      </c>
      <c r="D4198" s="169" t="s">
        <v>1289</v>
      </c>
      <c r="E4198" s="103" t="s">
        <v>31268</v>
      </c>
      <c r="F4198" s="104"/>
      <c r="G4198" s="105">
        <f t="shared" si="260"/>
        <v>116.69</v>
      </c>
      <c r="H4198" s="101" t="str">
        <f t="shared" si="261"/>
        <v>Sinapi 20181</v>
      </c>
      <c r="I4198" s="101" t="str">
        <f t="shared" si="262"/>
        <v>UN</v>
      </c>
      <c r="J4198" s="140" t="str">
        <f t="shared" si="263"/>
        <v>TE, PVC, SERIE R, 150 X 150 MM, PARA ESGOTO PREDIAL</v>
      </c>
    </row>
    <row r="4199" spans="1:10" x14ac:dyDescent="0.25">
      <c r="A4199" s="169">
        <v>20177</v>
      </c>
      <c r="B4199" s="169" t="s">
        <v>27682</v>
      </c>
      <c r="C4199" s="169" t="s">
        <v>10225</v>
      </c>
      <c r="D4199" s="169" t="s">
        <v>1289</v>
      </c>
      <c r="E4199" s="103" t="s">
        <v>23184</v>
      </c>
      <c r="F4199" s="104"/>
      <c r="G4199" s="105">
        <f t="shared" si="260"/>
        <v>28.86</v>
      </c>
      <c r="H4199" s="101" t="str">
        <f t="shared" si="261"/>
        <v>Sinapi 20177</v>
      </c>
      <c r="I4199" s="101" t="str">
        <f t="shared" si="262"/>
        <v>UN</v>
      </c>
      <c r="J4199" s="140" t="str">
        <f t="shared" si="263"/>
        <v>TE, PVC, SERIE R, 75 X 75 MM, PARA ESGOTO PREDIAL</v>
      </c>
    </row>
    <row r="4200" spans="1:10" x14ac:dyDescent="0.25">
      <c r="A4200" s="169">
        <v>7070</v>
      </c>
      <c r="B4200" s="169" t="s">
        <v>27684</v>
      </c>
      <c r="C4200" s="169" t="s">
        <v>10225</v>
      </c>
      <c r="D4200" s="169" t="s">
        <v>1289</v>
      </c>
      <c r="E4200" s="103" t="s">
        <v>31269</v>
      </c>
      <c r="F4200" s="104"/>
      <c r="G4200" s="105">
        <f t="shared" si="260"/>
        <v>207.12</v>
      </c>
      <c r="H4200" s="101" t="str">
        <f t="shared" si="261"/>
        <v>Sinapi 7070</v>
      </c>
      <c r="I4200" s="101" t="str">
        <f t="shared" si="262"/>
        <v>UN</v>
      </c>
      <c r="J4200" s="140" t="str">
        <f t="shared" si="263"/>
        <v>TE, PVC, 90 GRAUS, BBB, JE, DN 200 MM, PARA REDE COLETORA ESGOTO</v>
      </c>
    </row>
    <row r="4201" spans="1:10" x14ac:dyDescent="0.25">
      <c r="A4201" s="169">
        <v>40945</v>
      </c>
      <c r="B4201" s="169" t="s">
        <v>27685</v>
      </c>
      <c r="C4201" s="169" t="s">
        <v>10228</v>
      </c>
      <c r="D4201" s="169" t="s">
        <v>1289</v>
      </c>
      <c r="E4201" s="103" t="s">
        <v>16408</v>
      </c>
      <c r="F4201" s="104"/>
      <c r="G4201" s="105">
        <f t="shared" si="260"/>
        <v>23.7</v>
      </c>
      <c r="H4201" s="101" t="str">
        <f t="shared" si="261"/>
        <v>Sinapi 40945</v>
      </c>
      <c r="I4201" s="101" t="str">
        <f t="shared" si="262"/>
        <v>H</v>
      </c>
      <c r="J4201" s="140" t="str">
        <f t="shared" si="263"/>
        <v>TECNICO DE EDIFICACOES (HORISTA)</v>
      </c>
    </row>
    <row r="4202" spans="1:10" x14ac:dyDescent="0.25">
      <c r="A4202" s="169">
        <v>40946</v>
      </c>
      <c r="B4202" s="169" t="s">
        <v>27686</v>
      </c>
      <c r="C4202" s="169" t="s">
        <v>10235</v>
      </c>
      <c r="D4202" s="169" t="s">
        <v>1289</v>
      </c>
      <c r="E4202" s="103" t="s">
        <v>31270</v>
      </c>
      <c r="F4202" s="104"/>
      <c r="G4202" s="105">
        <f t="shared" si="260"/>
        <v>4125.66</v>
      </c>
      <c r="H4202" s="101" t="str">
        <f t="shared" si="261"/>
        <v>Sinapi 40946</v>
      </c>
      <c r="I4202" s="101" t="str">
        <f t="shared" si="262"/>
        <v>MES</v>
      </c>
      <c r="J4202" s="140" t="str">
        <f t="shared" si="263"/>
        <v>TECNICO DE EDIFICACOES (MENSALISTA)</v>
      </c>
    </row>
    <row r="4203" spans="1:10" x14ac:dyDescent="0.25">
      <c r="A4203" s="169">
        <v>7153</v>
      </c>
      <c r="B4203" s="169" t="s">
        <v>27687</v>
      </c>
      <c r="C4203" s="169" t="s">
        <v>10228</v>
      </c>
      <c r="D4203" s="169" t="s">
        <v>1289</v>
      </c>
      <c r="E4203" s="103" t="s">
        <v>23668</v>
      </c>
      <c r="F4203" s="104"/>
      <c r="G4203" s="105">
        <f t="shared" si="260"/>
        <v>20.53</v>
      </c>
      <c r="H4203" s="101" t="str">
        <f t="shared" si="261"/>
        <v>Sinapi 7153</v>
      </c>
      <c r="I4203" s="101" t="str">
        <f t="shared" si="262"/>
        <v>H</v>
      </c>
      <c r="J4203" s="140" t="str">
        <f t="shared" si="263"/>
        <v>TECNICO EM LABORATORIO E CAMPO DE CONSTRUCAO CIVIL (HORISTA)</v>
      </c>
    </row>
    <row r="4204" spans="1:10" x14ac:dyDescent="0.25">
      <c r="A4204" s="169">
        <v>41089</v>
      </c>
      <c r="B4204" s="169" t="s">
        <v>27688</v>
      </c>
      <c r="C4204" s="169" t="s">
        <v>10235</v>
      </c>
      <c r="D4204" s="169" t="s">
        <v>1289</v>
      </c>
      <c r="E4204" s="103" t="s">
        <v>31271</v>
      </c>
      <c r="F4204" s="104"/>
      <c r="G4204" s="105">
        <f t="shared" si="260"/>
        <v>3573.6</v>
      </c>
      <c r="H4204" s="101" t="str">
        <f t="shared" si="261"/>
        <v>Sinapi 41089</v>
      </c>
      <c r="I4204" s="101" t="str">
        <f t="shared" si="262"/>
        <v>MES</v>
      </c>
      <c r="J4204" s="140" t="str">
        <f t="shared" si="263"/>
        <v>TECNICO EM LABORATORIO E CAMPO DE CONSTRUCAO CIVIL (MENSALISTA)</v>
      </c>
    </row>
    <row r="4205" spans="1:10" x14ac:dyDescent="0.25">
      <c r="A4205" s="169">
        <v>40943</v>
      </c>
      <c r="B4205" s="169" t="s">
        <v>27689</v>
      </c>
      <c r="C4205" s="169" t="s">
        <v>10228</v>
      </c>
      <c r="D4205" s="169" t="s">
        <v>1289</v>
      </c>
      <c r="E4205" s="103" t="s">
        <v>23138</v>
      </c>
      <c r="F4205" s="104"/>
      <c r="G4205" s="105">
        <f t="shared" si="260"/>
        <v>23.1</v>
      </c>
      <c r="H4205" s="101" t="str">
        <f t="shared" si="261"/>
        <v>Sinapi 40943</v>
      </c>
      <c r="I4205" s="101" t="str">
        <f t="shared" si="262"/>
        <v>H</v>
      </c>
      <c r="J4205" s="140" t="str">
        <f t="shared" si="263"/>
        <v>TECNICO EM SEGURANCA DO TRABALHO (HORISTA)</v>
      </c>
    </row>
    <row r="4206" spans="1:10" x14ac:dyDescent="0.25">
      <c r="A4206" s="169">
        <v>40944</v>
      </c>
      <c r="B4206" s="169" t="s">
        <v>27690</v>
      </c>
      <c r="C4206" s="169" t="s">
        <v>10235</v>
      </c>
      <c r="D4206" s="169" t="s">
        <v>1289</v>
      </c>
      <c r="E4206" s="103" t="s">
        <v>31272</v>
      </c>
      <c r="F4206" s="104"/>
      <c r="G4206" s="105">
        <f t="shared" si="260"/>
        <v>4021.14</v>
      </c>
      <c r="H4206" s="101" t="str">
        <f t="shared" si="261"/>
        <v>Sinapi 40944</v>
      </c>
      <c r="I4206" s="101" t="str">
        <f t="shared" si="262"/>
        <v>MES</v>
      </c>
      <c r="J4206" s="140" t="str">
        <f t="shared" si="263"/>
        <v>TECNICO EM SEGURANCA DO TRABALHO (MENSALISTA)</v>
      </c>
    </row>
    <row r="4207" spans="1:10" x14ac:dyDescent="0.25">
      <c r="A4207" s="169">
        <v>6175</v>
      </c>
      <c r="B4207" s="169" t="s">
        <v>27691</v>
      </c>
      <c r="C4207" s="169" t="s">
        <v>10228</v>
      </c>
      <c r="D4207" s="169" t="s">
        <v>1289</v>
      </c>
      <c r="E4207" s="103" t="s">
        <v>14934</v>
      </c>
      <c r="F4207" s="104"/>
      <c r="G4207" s="105">
        <f t="shared" si="260"/>
        <v>25.62</v>
      </c>
      <c r="H4207" s="101" t="str">
        <f t="shared" si="261"/>
        <v>Sinapi 6175</v>
      </c>
      <c r="I4207" s="101" t="str">
        <f t="shared" si="262"/>
        <v>H</v>
      </c>
      <c r="J4207" s="140" t="str">
        <f t="shared" si="263"/>
        <v>TECNICO EM SONDAGEM</v>
      </c>
    </row>
    <row r="4208" spans="1:10" x14ac:dyDescent="0.25">
      <c r="A4208" s="169">
        <v>41092</v>
      </c>
      <c r="B4208" s="169" t="s">
        <v>27692</v>
      </c>
      <c r="C4208" s="169" t="s">
        <v>10235</v>
      </c>
      <c r="D4208" s="169" t="s">
        <v>1289</v>
      </c>
      <c r="E4208" s="103" t="s">
        <v>31273</v>
      </c>
      <c r="F4208" s="104"/>
      <c r="G4208" s="105">
        <f t="shared" si="260"/>
        <v>4459.58</v>
      </c>
      <c r="H4208" s="101" t="str">
        <f t="shared" si="261"/>
        <v>Sinapi 41092</v>
      </c>
      <c r="I4208" s="101" t="str">
        <f t="shared" si="262"/>
        <v>MES</v>
      </c>
      <c r="J4208" s="140" t="str">
        <f t="shared" si="263"/>
        <v>TECNICO EM SONDAGEM (MENSALISTA)</v>
      </c>
    </row>
    <row r="4209" spans="1:10" x14ac:dyDescent="0.25">
      <c r="A4209" s="169">
        <v>37712</v>
      </c>
      <c r="B4209" s="169" t="s">
        <v>27693</v>
      </c>
      <c r="C4209" s="169" t="s">
        <v>10226</v>
      </c>
      <c r="D4209" s="169" t="s">
        <v>1289</v>
      </c>
      <c r="E4209" s="103" t="s">
        <v>31274</v>
      </c>
      <c r="F4209" s="104"/>
      <c r="G4209" s="105">
        <f t="shared" si="260"/>
        <v>84.92</v>
      </c>
      <c r="H4209" s="101" t="str">
        <f t="shared" si="261"/>
        <v>Sinapi 37712</v>
      </c>
      <c r="I4209" s="101" t="str">
        <f t="shared" si="262"/>
        <v>M2</v>
      </c>
      <c r="J4209" s="140" t="str">
        <f t="shared" si="263"/>
        <v>TELA ARAME GALVANIZADO REVESTIDO COM POLIMERO, MALHA HEXAGONAL DUPLA TORCAO, 8 X 10 CM (ZN/AL REVESTIDO COM POLIMERO), FIO *2,4* MM</v>
      </c>
    </row>
    <row r="4210" spans="1:10" x14ac:dyDescent="0.25">
      <c r="A4210" s="169">
        <v>34547</v>
      </c>
      <c r="B4210" s="169" t="s">
        <v>27694</v>
      </c>
      <c r="C4210" s="169" t="s">
        <v>10229</v>
      </c>
      <c r="D4210" s="169" t="s">
        <v>1290</v>
      </c>
      <c r="E4210" s="103" t="s">
        <v>17348</v>
      </c>
      <c r="F4210" s="104"/>
      <c r="G4210" s="105">
        <f t="shared" si="260"/>
        <v>3.33</v>
      </c>
      <c r="H4210" s="101" t="str">
        <f t="shared" si="261"/>
        <v>Sinapi 34547</v>
      </c>
      <c r="I4210" s="101" t="str">
        <f t="shared" si="262"/>
        <v>M</v>
      </c>
      <c r="J4210" s="140" t="str">
        <f t="shared" si="263"/>
        <v>TELA DE ACO SOLDADA GALVANIZADA/ZINCADA PARA ALVENARIA, FIO D = *1,20 A 1,70* MM, MALHA 15 X 15 MM, (C X L) *50 X 12* CM</v>
      </c>
    </row>
    <row r="4211" spans="1:10" x14ac:dyDescent="0.25">
      <c r="A4211" s="169">
        <v>34548</v>
      </c>
      <c r="B4211" s="169" t="s">
        <v>27695</v>
      </c>
      <c r="C4211" s="169" t="s">
        <v>10229</v>
      </c>
      <c r="D4211" s="169" t="s">
        <v>1290</v>
      </c>
      <c r="E4211" s="103" t="s">
        <v>2090</v>
      </c>
      <c r="F4211" s="104"/>
      <c r="G4211" s="105">
        <f t="shared" si="260"/>
        <v>5.46</v>
      </c>
      <c r="H4211" s="101" t="str">
        <f t="shared" si="261"/>
        <v>Sinapi 34548</v>
      </c>
      <c r="I4211" s="101" t="str">
        <f t="shared" si="262"/>
        <v>M</v>
      </c>
      <c r="J4211" s="140" t="str">
        <f t="shared" si="263"/>
        <v>TELA DE ACO SOLDADA GALVANIZADA/ZINCADA PARA ALVENARIA, FIO D = *1,20 A 1,70* MM, MALHA 15 X 15 MM, (C X L) *50 X 17,5* CM</v>
      </c>
    </row>
    <row r="4212" spans="1:10" x14ac:dyDescent="0.25">
      <c r="A4212" s="169">
        <v>34558</v>
      </c>
      <c r="B4212" s="169" t="s">
        <v>27696</v>
      </c>
      <c r="C4212" s="169" t="s">
        <v>10229</v>
      </c>
      <c r="D4212" s="169" t="s">
        <v>1290</v>
      </c>
      <c r="E4212" s="103" t="s">
        <v>22741</v>
      </c>
      <c r="F4212" s="104"/>
      <c r="G4212" s="105">
        <f t="shared" si="260"/>
        <v>2.71</v>
      </c>
      <c r="H4212" s="101" t="str">
        <f t="shared" si="261"/>
        <v>Sinapi 34558</v>
      </c>
      <c r="I4212" s="101" t="str">
        <f t="shared" si="262"/>
        <v>M</v>
      </c>
      <c r="J4212" s="140" t="str">
        <f t="shared" si="263"/>
        <v>TELA DE ACO SOLDADA GALVANIZADA/ZINCADA PARA ALVENARIA, FIO D = *1,20 A 1,70* MM, MALHA 15 X 15 MM, (C X L) *50 X 10,5* CM</v>
      </c>
    </row>
    <row r="4213" spans="1:10" x14ac:dyDescent="0.25">
      <c r="A4213" s="169">
        <v>34550</v>
      </c>
      <c r="B4213" s="169" t="s">
        <v>27697</v>
      </c>
      <c r="C4213" s="169" t="s">
        <v>10229</v>
      </c>
      <c r="D4213" s="169" t="s">
        <v>1290</v>
      </c>
      <c r="E4213" s="103" t="s">
        <v>9572</v>
      </c>
      <c r="F4213" s="104"/>
      <c r="G4213" s="105">
        <f t="shared" si="260"/>
        <v>1.44</v>
      </c>
      <c r="H4213" s="101" t="str">
        <f t="shared" si="261"/>
        <v>Sinapi 34550</v>
      </c>
      <c r="I4213" s="101" t="str">
        <f t="shared" si="262"/>
        <v>M</v>
      </c>
      <c r="J4213" s="140" t="str">
        <f t="shared" si="263"/>
        <v>TELA DE ACO SOLDADA GALVANIZADA/ZINCADA PARA ALVENARIA, FIO D = *1,20 A 1,70* MM, MALHA 15 X 15 MM, (C X L) *50 X 6* CM</v>
      </c>
    </row>
    <row r="4214" spans="1:10" x14ac:dyDescent="0.25">
      <c r="A4214" s="169">
        <v>34557</v>
      </c>
      <c r="B4214" s="169" t="s">
        <v>27698</v>
      </c>
      <c r="C4214" s="169" t="s">
        <v>10229</v>
      </c>
      <c r="D4214" s="169" t="s">
        <v>1290</v>
      </c>
      <c r="E4214" s="103" t="s">
        <v>21512</v>
      </c>
      <c r="F4214" s="104"/>
      <c r="G4214" s="105">
        <f t="shared" si="260"/>
        <v>2.11</v>
      </c>
      <c r="H4214" s="101" t="str">
        <f t="shared" si="261"/>
        <v>Sinapi 34557</v>
      </c>
      <c r="I4214" s="101" t="str">
        <f t="shared" si="262"/>
        <v>M</v>
      </c>
      <c r="J4214" s="140" t="str">
        <f t="shared" si="263"/>
        <v>TELA DE ACO SOLDADA GALVANIZADA/ZINCADA PARA ALVENARIA, FIO D = *1,20 A 1,70* MM, MALHA 15 X 15 MM, (C X L) *50 X 7,5* CM</v>
      </c>
    </row>
    <row r="4215" spans="1:10" x14ac:dyDescent="0.25">
      <c r="A4215" s="169">
        <v>37411</v>
      </c>
      <c r="B4215" s="169" t="s">
        <v>27699</v>
      </c>
      <c r="C4215" s="169" t="s">
        <v>10226</v>
      </c>
      <c r="D4215" s="169" t="s">
        <v>1290</v>
      </c>
      <c r="E4215" s="103" t="s">
        <v>13646</v>
      </c>
      <c r="F4215" s="104"/>
      <c r="G4215" s="105">
        <f t="shared" si="260"/>
        <v>15.42</v>
      </c>
      <c r="H4215" s="101" t="str">
        <f t="shared" si="261"/>
        <v>Sinapi 37411</v>
      </c>
      <c r="I4215" s="101" t="str">
        <f t="shared" si="262"/>
        <v>M2</v>
      </c>
      <c r="J4215" s="140" t="str">
        <f t="shared" si="263"/>
        <v>TELA DE ACO SOLDADA GALVANIZADA/ZINCADA PARA ALVENARIA, FIO D = *1,24 MM, MALHA 25 X 25 MM</v>
      </c>
    </row>
    <row r="4216" spans="1:10" x14ac:dyDescent="0.25">
      <c r="A4216" s="169">
        <v>39508</v>
      </c>
      <c r="B4216" s="169" t="s">
        <v>27700</v>
      </c>
      <c r="C4216" s="169" t="s">
        <v>10226</v>
      </c>
      <c r="D4216" s="169" t="s">
        <v>1290</v>
      </c>
      <c r="E4216" s="103" t="s">
        <v>29825</v>
      </c>
      <c r="F4216" s="104"/>
      <c r="G4216" s="105">
        <f t="shared" si="260"/>
        <v>8.66</v>
      </c>
      <c r="H4216" s="101" t="str">
        <f t="shared" si="261"/>
        <v>Sinapi 39508</v>
      </c>
      <c r="I4216" s="101" t="str">
        <f t="shared" si="262"/>
        <v>M2</v>
      </c>
      <c r="J4216" s="140" t="str">
        <f t="shared" si="263"/>
        <v>TELA DE ACO SOLDADA NERVURADA, CA-60, L-159, (1,69 KG/M2), DIAMETRO DO FIO = 4,5 MM, LARGURA = 2,45 M, ESPACAMENTO DA MALHA = 30 X 10 CM</v>
      </c>
    </row>
    <row r="4217" spans="1:10" x14ac:dyDescent="0.25">
      <c r="A4217" s="169">
        <v>39507</v>
      </c>
      <c r="B4217" s="169" t="s">
        <v>27701</v>
      </c>
      <c r="C4217" s="169" t="s">
        <v>10226</v>
      </c>
      <c r="D4217" s="169" t="s">
        <v>1290</v>
      </c>
      <c r="E4217" s="103" t="s">
        <v>14121</v>
      </c>
      <c r="F4217" s="104"/>
      <c r="G4217" s="105">
        <f t="shared" si="260"/>
        <v>12.93</v>
      </c>
      <c r="H4217" s="101" t="str">
        <f t="shared" si="261"/>
        <v>Sinapi 39507</v>
      </c>
      <c r="I4217" s="101" t="str">
        <f t="shared" si="262"/>
        <v>M2</v>
      </c>
      <c r="J4217" s="140" t="str">
        <f t="shared" si="263"/>
        <v>TELA DE ACO SOLDADA NERVURADA, CA-60, Q-113, (1,8 KG/M2), DIAMETRO DO FIO = 3,8 MM, LARGURA = 2,45 M, ESPACAMENTO DA MALHA = 10 X 10 CM</v>
      </c>
    </row>
    <row r="4218" spans="1:10" x14ac:dyDescent="0.25">
      <c r="A4218" s="169">
        <v>7155</v>
      </c>
      <c r="B4218" s="169" t="s">
        <v>27702</v>
      </c>
      <c r="C4218" s="169" t="s">
        <v>10226</v>
      </c>
      <c r="D4218" s="169" t="s">
        <v>1290</v>
      </c>
      <c r="E4218" s="103" t="s">
        <v>15525</v>
      </c>
      <c r="F4218" s="104"/>
      <c r="G4218" s="105">
        <f t="shared" si="260"/>
        <v>16.59</v>
      </c>
      <c r="H4218" s="101" t="str">
        <f t="shared" si="261"/>
        <v>Sinapi 7155</v>
      </c>
      <c r="I4218" s="101" t="str">
        <f t="shared" si="262"/>
        <v>M2</v>
      </c>
      <c r="J4218" s="140" t="str">
        <f t="shared" si="263"/>
        <v>TELA DE ACO SOLDADA NERVURADA, CA-60, Q-138, (2,20 KG/M2), DIAMETRO DO FIO = 4,2 MM, LARGURA = 2,45 M, ESPACAMENTO DA MALHA = 10 X 10 CM</v>
      </c>
    </row>
    <row r="4219" spans="1:10" x14ac:dyDescent="0.25">
      <c r="A4219" s="169">
        <v>42406</v>
      </c>
      <c r="B4219" s="169" t="s">
        <v>27703</v>
      </c>
      <c r="C4219" s="169" t="s">
        <v>10226</v>
      </c>
      <c r="D4219" s="169" t="s">
        <v>1290</v>
      </c>
      <c r="E4219" s="103" t="s">
        <v>25912</v>
      </c>
      <c r="F4219" s="104"/>
      <c r="G4219" s="105">
        <f t="shared" si="260"/>
        <v>19.03</v>
      </c>
      <c r="H4219" s="101" t="str">
        <f t="shared" si="261"/>
        <v>Sinapi 42406</v>
      </c>
      <c r="I4219" s="101" t="str">
        <f t="shared" si="262"/>
        <v>M2</v>
      </c>
      <c r="J4219" s="140" t="str">
        <f t="shared" si="263"/>
        <v>TELA DE ACO SOLDADA NERVURADA, CA-60, Q-159, (2,52 KG/M2), DIAMETRO DO FIO = 4,5 MM, LARGURA = 2,45 M, ESPACAMENTO DA MALHA = 10 X 10 CM</v>
      </c>
    </row>
    <row r="4220" spans="1:10" x14ac:dyDescent="0.25">
      <c r="A4220" s="169">
        <v>7156</v>
      </c>
      <c r="B4220" s="169" t="s">
        <v>943</v>
      </c>
      <c r="C4220" s="169" t="s">
        <v>10226</v>
      </c>
      <c r="D4220" s="169" t="s">
        <v>1290</v>
      </c>
      <c r="E4220" s="103" t="s">
        <v>16367</v>
      </c>
      <c r="F4220" s="104"/>
      <c r="G4220" s="105">
        <f t="shared" si="260"/>
        <v>23.81</v>
      </c>
      <c r="H4220" s="101" t="str">
        <f t="shared" si="261"/>
        <v>Sinapi 7156</v>
      </c>
      <c r="I4220" s="101" t="str">
        <f t="shared" si="262"/>
        <v>M2</v>
      </c>
      <c r="J4220" s="140" t="str">
        <f t="shared" si="263"/>
        <v>TELA DE ACO SOLDADA NERVURADA, CA-60, Q-196, (3,11 KG/M2), DIAMETRO DO FIO = 5,0 MM, LARGURA = 2,45 M, ESPACAMENTO DA MALHA = 10 X 10 CM</v>
      </c>
    </row>
    <row r="4221" spans="1:10" x14ac:dyDescent="0.25">
      <c r="A4221" s="169">
        <v>43127</v>
      </c>
      <c r="B4221" s="169" t="s">
        <v>27704</v>
      </c>
      <c r="C4221" s="169" t="s">
        <v>10226</v>
      </c>
      <c r="D4221" s="169" t="s">
        <v>1290</v>
      </c>
      <c r="E4221" s="103" t="s">
        <v>30935</v>
      </c>
      <c r="F4221" s="104"/>
      <c r="G4221" s="105">
        <f t="shared" si="260"/>
        <v>34.07</v>
      </c>
      <c r="H4221" s="101" t="str">
        <f t="shared" si="261"/>
        <v>Sinapi 43127</v>
      </c>
      <c r="I4221" s="101" t="str">
        <f t="shared" si="262"/>
        <v>M2</v>
      </c>
      <c r="J4221" s="140" t="str">
        <f t="shared" si="263"/>
        <v>TELA DE ACO SOLDADA NERVURADA, CA-60, Q-283 (4,48 KG/M2), DIAMETRO DO FIO = 6,0 MM, LARGURA = 2,45 X 6,00 M DE COMPRIMENTO, ESPACAMENTO DA MALHA = 10 X 10 CM</v>
      </c>
    </row>
    <row r="4222" spans="1:10" x14ac:dyDescent="0.25">
      <c r="A4222" s="169">
        <v>10917</v>
      </c>
      <c r="B4222" s="169" t="s">
        <v>27705</v>
      </c>
      <c r="C4222" s="169" t="s">
        <v>10226</v>
      </c>
      <c r="D4222" s="169" t="s">
        <v>1290</v>
      </c>
      <c r="E4222" s="103" t="s">
        <v>18572</v>
      </c>
      <c r="F4222" s="104"/>
      <c r="G4222" s="105">
        <f t="shared" si="260"/>
        <v>7.19</v>
      </c>
      <c r="H4222" s="101" t="str">
        <f t="shared" si="261"/>
        <v>Sinapi 10917</v>
      </c>
      <c r="I4222" s="101" t="str">
        <f t="shared" si="262"/>
        <v>M2</v>
      </c>
      <c r="J4222" s="140" t="str">
        <f t="shared" si="263"/>
        <v>TELA DE ACO SOLDADA NERVURADA, CA-60, Q-61, (0,97 KG/M2), DIAMETRO DO FIO = 3,4 MM, LARGURA = 2,45 M, ESPACAMENTO DA MALHA = 15 X 15 CM</v>
      </c>
    </row>
    <row r="4223" spans="1:10" x14ac:dyDescent="0.25">
      <c r="A4223" s="169">
        <v>21141</v>
      </c>
      <c r="B4223" s="169" t="s">
        <v>1237</v>
      </c>
      <c r="C4223" s="169" t="s">
        <v>10226</v>
      </c>
      <c r="D4223" s="169" t="s">
        <v>1290</v>
      </c>
      <c r="E4223" s="103" t="s">
        <v>17913</v>
      </c>
      <c r="F4223" s="104"/>
      <c r="G4223" s="105">
        <f t="shared" si="260"/>
        <v>11.13</v>
      </c>
      <c r="H4223" s="101" t="str">
        <f t="shared" si="261"/>
        <v>Sinapi 21141</v>
      </c>
      <c r="I4223" s="101" t="str">
        <f t="shared" si="262"/>
        <v>M2</v>
      </c>
      <c r="J4223" s="140" t="str">
        <f t="shared" si="263"/>
        <v>TELA DE ACO SOLDADA NERVURADA, CA-60, Q-92, (1,48 KG/M2), DIAMETRO DO FIO = 4,2 MM, LARGURA = 2,45 X 60 M DE COMPRIMENTO, ESPACAMENTO DA MALHA = 15 X 15 CM</v>
      </c>
    </row>
    <row r="4224" spans="1:10" x14ac:dyDescent="0.25">
      <c r="A4224" s="169">
        <v>39509</v>
      </c>
      <c r="B4224" s="169" t="s">
        <v>27706</v>
      </c>
      <c r="C4224" s="169" t="s">
        <v>10226</v>
      </c>
      <c r="D4224" s="169" t="s">
        <v>1290</v>
      </c>
      <c r="E4224" s="103" t="s">
        <v>15675</v>
      </c>
      <c r="F4224" s="104"/>
      <c r="G4224" s="105">
        <f t="shared" si="260"/>
        <v>10.71</v>
      </c>
      <c r="H4224" s="101" t="str">
        <f t="shared" si="261"/>
        <v>Sinapi 39509</v>
      </c>
      <c r="I4224" s="101" t="str">
        <f t="shared" si="262"/>
        <v>M2</v>
      </c>
      <c r="J4224" s="140" t="str">
        <f t="shared" si="263"/>
        <v>TELA DE ACO SOLDADA NERVURADA, CA-60, T-196, (2,11 KG/M2), DIAMETRO DO FIO = 5,0 MM, LARGURA = 2,45 M, ESPACAMENTO DA MALHA = 30 X 10 CM</v>
      </c>
    </row>
    <row r="4225" spans="1:10" x14ac:dyDescent="0.25">
      <c r="A4225" s="169">
        <v>44529</v>
      </c>
      <c r="B4225" s="169" t="s">
        <v>27707</v>
      </c>
      <c r="C4225" s="169" t="s">
        <v>10226</v>
      </c>
      <c r="D4225" s="169" t="s">
        <v>1289</v>
      </c>
      <c r="E4225" s="103" t="s">
        <v>22851</v>
      </c>
      <c r="F4225" s="104"/>
      <c r="G4225" s="105">
        <f t="shared" si="260"/>
        <v>21.78</v>
      </c>
      <c r="H4225" s="101" t="str">
        <f t="shared" si="261"/>
        <v>Sinapi 44529</v>
      </c>
      <c r="I4225" s="101" t="str">
        <f t="shared" si="262"/>
        <v>M2</v>
      </c>
      <c r="J4225" s="140" t="str">
        <f t="shared" si="263"/>
        <v>TELA DE ANIAGEM ( JUTA)</v>
      </c>
    </row>
    <row r="4226" spans="1:10" x14ac:dyDescent="0.25">
      <c r="A4226" s="169">
        <v>7167</v>
      </c>
      <c r="B4226" s="169" t="s">
        <v>27708</v>
      </c>
      <c r="C4226" s="169" t="s">
        <v>10226</v>
      </c>
      <c r="D4226" s="169" t="s">
        <v>1289</v>
      </c>
      <c r="E4226" s="103" t="s">
        <v>21595</v>
      </c>
      <c r="F4226" s="104"/>
      <c r="G4226" s="105">
        <f t="shared" si="260"/>
        <v>32.380000000000003</v>
      </c>
      <c r="H4226" s="101" t="str">
        <f t="shared" si="261"/>
        <v>Sinapi 7167</v>
      </c>
      <c r="I4226" s="101" t="str">
        <f t="shared" si="262"/>
        <v>M2</v>
      </c>
      <c r="J4226" s="140" t="str">
        <f t="shared" si="263"/>
        <v>TELA DE ARAME GALVANIZADA QUADRANGULAR / LOSANGULAR, FIO 2,11 MM (14 BWG), MALHA 5 X 5 CM, H = 2 M</v>
      </c>
    </row>
    <row r="4227" spans="1:10" x14ac:dyDescent="0.25">
      <c r="A4227" s="169">
        <v>10928</v>
      </c>
      <c r="B4227" s="169" t="s">
        <v>27709</v>
      </c>
      <c r="C4227" s="169" t="s">
        <v>10226</v>
      </c>
      <c r="D4227" s="169" t="s">
        <v>1289</v>
      </c>
      <c r="E4227" s="103" t="s">
        <v>22841</v>
      </c>
      <c r="F4227" s="104"/>
      <c r="G4227" s="105">
        <f t="shared" si="260"/>
        <v>18.61</v>
      </c>
      <c r="H4227" s="101" t="str">
        <f t="shared" si="261"/>
        <v>Sinapi 10928</v>
      </c>
      <c r="I4227" s="101" t="str">
        <f t="shared" si="262"/>
        <v>M2</v>
      </c>
      <c r="J4227" s="140" t="str">
        <f t="shared" si="263"/>
        <v>TELA DE ARAME GALVANIZADA QUADRANGULAR / LOSANGULAR, FIO 2,11 MM (14 BWG), MALHA 8 X 8 CM, H = 2 M</v>
      </c>
    </row>
    <row r="4228" spans="1:10" x14ac:dyDescent="0.25">
      <c r="A4228" s="169">
        <v>10933</v>
      </c>
      <c r="B4228" s="169" t="s">
        <v>27710</v>
      </c>
      <c r="C4228" s="169" t="s">
        <v>10226</v>
      </c>
      <c r="D4228" s="169" t="s">
        <v>1289</v>
      </c>
      <c r="E4228" s="103" t="s">
        <v>21327</v>
      </c>
      <c r="F4228" s="104"/>
      <c r="G4228" s="105">
        <f t="shared" si="260"/>
        <v>28.06</v>
      </c>
      <c r="H4228" s="101" t="str">
        <f t="shared" si="261"/>
        <v>Sinapi 10933</v>
      </c>
      <c r="I4228" s="101" t="str">
        <f t="shared" si="262"/>
        <v>M2</v>
      </c>
      <c r="J4228" s="140" t="str">
        <f t="shared" si="263"/>
        <v>TELA DE ARAME GALVANIZADA QUADRANGULAR / LOSANGULAR, FIO 2,77 MM (12 BWG), MALHA 10 X 10 CM, H = 2 M</v>
      </c>
    </row>
    <row r="4229" spans="1:10" x14ac:dyDescent="0.25">
      <c r="A4229" s="169">
        <v>7158</v>
      </c>
      <c r="B4229" s="169" t="s">
        <v>10286</v>
      </c>
      <c r="C4229" s="169" t="s">
        <v>10226</v>
      </c>
      <c r="D4229" s="169" t="s">
        <v>1288</v>
      </c>
      <c r="E4229" s="103" t="s">
        <v>30751</v>
      </c>
      <c r="F4229" s="104"/>
      <c r="G4229" s="105">
        <f t="shared" si="260"/>
        <v>47.6</v>
      </c>
      <c r="H4229" s="101" t="str">
        <f t="shared" si="261"/>
        <v>Sinapi 7158</v>
      </c>
      <c r="I4229" s="101" t="str">
        <f t="shared" si="262"/>
        <v>M2</v>
      </c>
      <c r="J4229" s="140" t="str">
        <f t="shared" si="263"/>
        <v>TELA DE ARAME GALVANIZADA QUADRANGULAR / LOSANGULAR, FIO 2,77 MM (12 BWG), MALHA 5 X 5 CM, H = 2 M</v>
      </c>
    </row>
    <row r="4230" spans="1:10" x14ac:dyDescent="0.25">
      <c r="A4230" s="169">
        <v>10927</v>
      </c>
      <c r="B4230" s="169" t="s">
        <v>27712</v>
      </c>
      <c r="C4230" s="169" t="s">
        <v>10226</v>
      </c>
      <c r="D4230" s="169" t="s">
        <v>1289</v>
      </c>
      <c r="E4230" s="103" t="s">
        <v>31275</v>
      </c>
      <c r="F4230" s="104"/>
      <c r="G4230" s="105">
        <f t="shared" si="260"/>
        <v>30.44</v>
      </c>
      <c r="H4230" s="101" t="str">
        <f t="shared" si="261"/>
        <v>Sinapi 10927</v>
      </c>
      <c r="I4230" s="101" t="str">
        <f t="shared" si="262"/>
        <v>M2</v>
      </c>
      <c r="J4230" s="140" t="str">
        <f t="shared" si="263"/>
        <v>TELA DE ARAME GALVANIZADA QUADRANGULAR / LOSANGULAR, FIO 2,77 MM (12 BWG), MALHA 8 X 8 CM, H = 2 M</v>
      </c>
    </row>
    <row r="4231" spans="1:10" x14ac:dyDescent="0.25">
      <c r="A4231" s="169">
        <v>7162</v>
      </c>
      <c r="B4231" s="169" t="s">
        <v>27713</v>
      </c>
      <c r="C4231" s="169" t="s">
        <v>10226</v>
      </c>
      <c r="D4231" s="169" t="s">
        <v>1289</v>
      </c>
      <c r="E4231" s="103" t="s">
        <v>30950</v>
      </c>
      <c r="F4231" s="104"/>
      <c r="G4231" s="105">
        <f t="shared" si="260"/>
        <v>74.489999999999995</v>
      </c>
      <c r="H4231" s="101" t="str">
        <f t="shared" si="261"/>
        <v>Sinapi 7162</v>
      </c>
      <c r="I4231" s="101" t="str">
        <f t="shared" si="262"/>
        <v>M2</v>
      </c>
      <c r="J4231" s="140" t="str">
        <f t="shared" si="263"/>
        <v>TELA DE ARAME GALVANIZADA QUADRANGULAR / LOSANGULAR, FIO 3,4 MM (10 BWG), MALHA 5 X 5 CM, H = 2 M</v>
      </c>
    </row>
    <row r="4232" spans="1:10" x14ac:dyDescent="0.25">
      <c r="A4232" s="169">
        <v>10932</v>
      </c>
      <c r="B4232" s="169" t="s">
        <v>27714</v>
      </c>
      <c r="C4232" s="169" t="s">
        <v>10226</v>
      </c>
      <c r="D4232" s="169" t="s">
        <v>1289</v>
      </c>
      <c r="E4232" s="103" t="s">
        <v>31276</v>
      </c>
      <c r="F4232" s="104"/>
      <c r="G4232" s="105">
        <f t="shared" ref="G4232:G4295" si="264">IF(E4232="","",E4232+0)</f>
        <v>129.56</v>
      </c>
      <c r="H4232" s="101" t="str">
        <f t="shared" ref="H4232:H4295" si="265">IF(G4232="","",TRIM(CONCATENATE("Sinapi ",A4232)))</f>
        <v>Sinapi 10932</v>
      </c>
      <c r="I4232" s="101" t="str">
        <f t="shared" ref="I4232:I4295" si="266">TRIM(C4232)</f>
        <v>M2</v>
      </c>
      <c r="J4232" s="140" t="str">
        <f t="shared" si="263"/>
        <v>TELA DE ARAME GALVANIZADA QUADRANGULAR / LOSANGULAR, FIO 4,19 MM (8 BWG), MALHA 5 X 5 CM, H = 2 M</v>
      </c>
    </row>
    <row r="4233" spans="1:10" x14ac:dyDescent="0.25">
      <c r="A4233" s="169">
        <v>10937</v>
      </c>
      <c r="B4233" s="169" t="s">
        <v>27715</v>
      </c>
      <c r="C4233" s="169" t="s">
        <v>10226</v>
      </c>
      <c r="D4233" s="169" t="s">
        <v>1289</v>
      </c>
      <c r="E4233" s="103" t="s">
        <v>30868</v>
      </c>
      <c r="F4233" s="104"/>
      <c r="G4233" s="105">
        <f t="shared" si="264"/>
        <v>33.299999999999997</v>
      </c>
      <c r="H4233" s="101" t="str">
        <f t="shared" si="265"/>
        <v>Sinapi 10937</v>
      </c>
      <c r="I4233" s="101" t="str">
        <f t="shared" si="266"/>
        <v>M2</v>
      </c>
      <c r="J4233" s="140" t="str">
        <f t="shared" ref="J4233:J4296" si="267">TRIM(B4233)</f>
        <v>TELA DE ARAME GALVANIZADA REVESTIDA EM PVC, QUADRANGULAR / LOSANGULAR, FIO 2,11 MM (14 BWG), BITOLA FINAL = *2,8* MM, MALHA *8 X 8* CM, H = 2 M</v>
      </c>
    </row>
    <row r="4234" spans="1:10" x14ac:dyDescent="0.25">
      <c r="A4234" s="169">
        <v>10935</v>
      </c>
      <c r="B4234" s="169" t="s">
        <v>27716</v>
      </c>
      <c r="C4234" s="169" t="s">
        <v>10226</v>
      </c>
      <c r="D4234" s="169" t="s">
        <v>1289</v>
      </c>
      <c r="E4234" s="103" t="s">
        <v>28738</v>
      </c>
      <c r="F4234" s="104"/>
      <c r="G4234" s="105">
        <f t="shared" si="264"/>
        <v>57.75</v>
      </c>
      <c r="H4234" s="101" t="str">
        <f t="shared" si="265"/>
        <v>Sinapi 10935</v>
      </c>
      <c r="I4234" s="101" t="str">
        <f t="shared" si="266"/>
        <v>M2</v>
      </c>
      <c r="J4234" s="140" t="str">
        <f t="shared" si="267"/>
        <v>TELA DE ARAME GALVANIZADA REVESTIDA EM PVC, QUADRANGULAR / LOSANGULAR, FIO 2,77 MM (12 BWG), BITOLA FINAL = *3,8* MM, MALHA 7,5 X 7,5 CM, H = 2 M</v>
      </c>
    </row>
    <row r="4235" spans="1:10" x14ac:dyDescent="0.25">
      <c r="A4235" s="169">
        <v>10931</v>
      </c>
      <c r="B4235" s="169" t="s">
        <v>894</v>
      </c>
      <c r="C4235" s="169" t="s">
        <v>10226</v>
      </c>
      <c r="D4235" s="169" t="s">
        <v>1289</v>
      </c>
      <c r="E4235" s="103" t="s">
        <v>27382</v>
      </c>
      <c r="F4235" s="104"/>
      <c r="G4235" s="105">
        <f t="shared" si="264"/>
        <v>16.239999999999998</v>
      </c>
      <c r="H4235" s="101" t="str">
        <f t="shared" si="265"/>
        <v>Sinapi 10931</v>
      </c>
      <c r="I4235" s="101" t="str">
        <f t="shared" si="266"/>
        <v>M2</v>
      </c>
      <c r="J4235" s="140" t="str">
        <f t="shared" si="267"/>
        <v>TELA DE ARAME GALVANIZADA, HEXAGONAL, FIO 0,56 MM (24 BWG), MALHA 1/2", H = 1 M</v>
      </c>
    </row>
    <row r="4236" spans="1:10" x14ac:dyDescent="0.25">
      <c r="A4236" s="169">
        <v>7164</v>
      </c>
      <c r="B4236" s="169" t="s">
        <v>27717</v>
      </c>
      <c r="C4236" s="169" t="s">
        <v>10226</v>
      </c>
      <c r="D4236" s="169" t="s">
        <v>1289</v>
      </c>
      <c r="E4236" s="103" t="s">
        <v>29231</v>
      </c>
      <c r="F4236" s="104"/>
      <c r="G4236" s="105">
        <f t="shared" si="264"/>
        <v>53.76</v>
      </c>
      <c r="H4236" s="101" t="str">
        <f t="shared" si="265"/>
        <v>Sinapi 7164</v>
      </c>
      <c r="I4236" s="101" t="str">
        <f t="shared" si="266"/>
        <v>M2</v>
      </c>
      <c r="J4236" s="140" t="str">
        <f t="shared" si="267"/>
        <v>TELA DE ARAME ONDULADA, FIO *2,77* MM (12 BWG), MALHA 5 X 5 CM, H = 2 M</v>
      </c>
    </row>
    <row r="4237" spans="1:10" x14ac:dyDescent="0.25">
      <c r="A4237" s="169">
        <v>36887</v>
      </c>
      <c r="B4237" s="169" t="s">
        <v>27718</v>
      </c>
      <c r="C4237" s="169" t="s">
        <v>10226</v>
      </c>
      <c r="D4237" s="169" t="s">
        <v>1289</v>
      </c>
      <c r="E4237" s="103" t="s">
        <v>23316</v>
      </c>
      <c r="F4237" s="104"/>
      <c r="G4237" s="105">
        <f t="shared" si="264"/>
        <v>11.64</v>
      </c>
      <c r="H4237" s="101" t="str">
        <f t="shared" si="265"/>
        <v>Sinapi 36887</v>
      </c>
      <c r="I4237" s="101" t="str">
        <f t="shared" si="266"/>
        <v>M2</v>
      </c>
      <c r="J4237" s="140" t="str">
        <f t="shared" si="267"/>
        <v>TELA DE FIBRA DE VIDRO, ACABAMENTO ANTI-ALCALINO, MALHA 10 X 10 MM</v>
      </c>
    </row>
    <row r="4238" spans="1:10" x14ac:dyDescent="0.25">
      <c r="A4238" s="169">
        <v>34630</v>
      </c>
      <c r="B4238" s="169" t="s">
        <v>27719</v>
      </c>
      <c r="C4238" s="169" t="s">
        <v>10225</v>
      </c>
      <c r="D4238" s="169" t="s">
        <v>1289</v>
      </c>
      <c r="E4238" s="103" t="s">
        <v>31277</v>
      </c>
      <c r="F4238" s="104"/>
      <c r="G4238" s="105">
        <f t="shared" si="264"/>
        <v>1380.22</v>
      </c>
      <c r="H4238" s="101" t="str">
        <f t="shared" si="265"/>
        <v>Sinapi 34630</v>
      </c>
      <c r="I4238" s="101" t="str">
        <f t="shared" si="266"/>
        <v>UN</v>
      </c>
      <c r="J4238" s="140" t="str">
        <f t="shared" si="267"/>
        <v>TELA EM MALHA HEXAGONAL DE DUPLA TORCAO 8 X 10 CM (ZN/AL REVESTIDO COM POLIMERO), FIO 2,7 MM, COM GEOMANTA OU BIOMANTA, DIMENSOES 4,0 X 2,0 X 0,6 M, COM INCLINACAO DE 70 GRAUS, PARA SOLO REFORCADO</v>
      </c>
    </row>
    <row r="4239" spans="1:10" x14ac:dyDescent="0.25">
      <c r="A4239" s="169">
        <v>7161</v>
      </c>
      <c r="B4239" s="169" t="s">
        <v>10287</v>
      </c>
      <c r="C4239" s="169" t="s">
        <v>10226</v>
      </c>
      <c r="D4239" s="169" t="s">
        <v>1289</v>
      </c>
      <c r="E4239" s="103" t="s">
        <v>3792</v>
      </c>
      <c r="F4239" s="104"/>
      <c r="G4239" s="105">
        <f t="shared" si="264"/>
        <v>6.69</v>
      </c>
      <c r="H4239" s="101" t="str">
        <f t="shared" si="265"/>
        <v>Sinapi 7161</v>
      </c>
      <c r="I4239" s="101" t="str">
        <f t="shared" si="266"/>
        <v>M2</v>
      </c>
      <c r="J4239" s="140" t="str">
        <f t="shared" si="267"/>
        <v>TELA EM METAL PARA ESTUQUE (DEPLOYE)</v>
      </c>
    </row>
    <row r="4240" spans="1:10" x14ac:dyDescent="0.25">
      <c r="A4240" s="169">
        <v>7170</v>
      </c>
      <c r="B4240" s="169" t="s">
        <v>869</v>
      </c>
      <c r="C4240" s="169" t="s">
        <v>10226</v>
      </c>
      <c r="D4240" s="169" t="s">
        <v>1289</v>
      </c>
      <c r="E4240" s="103" t="s">
        <v>20042</v>
      </c>
      <c r="F4240" s="104"/>
      <c r="G4240" s="105">
        <f t="shared" si="264"/>
        <v>2.81</v>
      </c>
      <c r="H4240" s="101" t="str">
        <f t="shared" si="265"/>
        <v>Sinapi 7170</v>
      </c>
      <c r="I4240" s="101" t="str">
        <f t="shared" si="266"/>
        <v>M2</v>
      </c>
      <c r="J4240" s="140" t="str">
        <f t="shared" si="267"/>
        <v>TELA FACHADEIRA EM POLIETILENO, ROLO DE 3 X 100 M (L X C), COR BRANCA, SEM LOGOMARCA - PARA PROTECAO DE OBRAS</v>
      </c>
    </row>
    <row r="4241" spans="1:10" x14ac:dyDescent="0.25">
      <c r="A4241" s="169">
        <v>37524</v>
      </c>
      <c r="B4241" s="169" t="s">
        <v>10288</v>
      </c>
      <c r="C4241" s="169" t="s">
        <v>10229</v>
      </c>
      <c r="D4241" s="169" t="s">
        <v>1288</v>
      </c>
      <c r="E4241" s="103" t="s">
        <v>22727</v>
      </c>
      <c r="F4241" s="104"/>
      <c r="G4241" s="105">
        <f t="shared" si="264"/>
        <v>2.57</v>
      </c>
      <c r="H4241" s="101" t="str">
        <f t="shared" si="265"/>
        <v>Sinapi 37524</v>
      </c>
      <c r="I4241" s="101" t="str">
        <f t="shared" si="266"/>
        <v>M</v>
      </c>
      <c r="J4241" s="140" t="str">
        <f t="shared" si="267"/>
        <v>TELA PLASTICA LARANJA, TIPO TAPUME PARA SINALIZACAO, MALHA RETANGULAR, ROLO 1.20 X 50 M (L X C)</v>
      </c>
    </row>
    <row r="4242" spans="1:10" x14ac:dyDescent="0.25">
      <c r="A4242" s="169">
        <v>37525</v>
      </c>
      <c r="B4242" s="169" t="s">
        <v>27720</v>
      </c>
      <c r="C4242" s="169" t="s">
        <v>10229</v>
      </c>
      <c r="D4242" s="169" t="s">
        <v>1289</v>
      </c>
      <c r="E4242" s="103" t="s">
        <v>17283</v>
      </c>
      <c r="F4242" s="104"/>
      <c r="G4242" s="105">
        <f t="shared" si="264"/>
        <v>3.51</v>
      </c>
      <c r="H4242" s="101" t="str">
        <f t="shared" si="265"/>
        <v>Sinapi 37525</v>
      </c>
      <c r="I4242" s="101" t="str">
        <f t="shared" si="266"/>
        <v>M</v>
      </c>
      <c r="J4242" s="140" t="str">
        <f t="shared" si="267"/>
        <v>TELA PLASTICA TECIDA LISTRADA BRANCA E LARANJA, TIPO GUARDA CORPO, EM POLIETILENO MONOFILADO, ROLO 1,20 X 50 M (L X C)</v>
      </c>
    </row>
    <row r="4243" spans="1:10" x14ac:dyDescent="0.25">
      <c r="A4243" s="169">
        <v>36789</v>
      </c>
      <c r="B4243" s="169" t="s">
        <v>27721</v>
      </c>
      <c r="C4243" s="169" t="s">
        <v>10225</v>
      </c>
      <c r="D4243" s="169" t="s">
        <v>1289</v>
      </c>
      <c r="E4243" s="103" t="s">
        <v>15724</v>
      </c>
      <c r="F4243" s="104"/>
      <c r="G4243" s="105">
        <f t="shared" si="264"/>
        <v>2.14</v>
      </c>
      <c r="H4243" s="101" t="str">
        <f t="shared" si="265"/>
        <v>Sinapi 36789</v>
      </c>
      <c r="I4243" s="101" t="str">
        <f t="shared" si="266"/>
        <v>UN</v>
      </c>
      <c r="J4243" s="140" t="str">
        <f t="shared" si="267"/>
        <v>TELHA CERAMICA TIPO AMERICANA, COMPRIMENTO DE *45* CM, RENDIMENTO DE *12* TELHAS/M2</v>
      </c>
    </row>
    <row r="4244" spans="1:10" x14ac:dyDescent="0.25">
      <c r="A4244" s="169">
        <v>7173</v>
      </c>
      <c r="B4244" s="169" t="s">
        <v>27722</v>
      </c>
      <c r="C4244" s="169" t="s">
        <v>10242</v>
      </c>
      <c r="D4244" s="169" t="s">
        <v>1288</v>
      </c>
      <c r="E4244" s="103" t="s">
        <v>31278</v>
      </c>
      <c r="F4244" s="104"/>
      <c r="G4244" s="105">
        <f t="shared" si="264"/>
        <v>1386.16</v>
      </c>
      <c r="H4244" s="101" t="str">
        <f t="shared" si="265"/>
        <v>Sinapi 7173</v>
      </c>
      <c r="I4244" s="101" t="str">
        <f t="shared" si="266"/>
        <v>MIL</v>
      </c>
      <c r="J4244" s="140" t="str">
        <f t="shared" si="267"/>
        <v>TELHA DE BARRO / CERAMICA, NAO ESMALTADA, TIPO COLONIAL, CANAL, PLAN, PAULISTA, COMPRIMENTO DE *44 A 50* CM, RENDIMENTO DE COBERTURA DE *26* TELHAS/M2</v>
      </c>
    </row>
    <row r="4245" spans="1:10" x14ac:dyDescent="0.25">
      <c r="A4245" s="169">
        <v>7175</v>
      </c>
      <c r="B4245" s="169" t="s">
        <v>27723</v>
      </c>
      <c r="C4245" s="169" t="s">
        <v>10225</v>
      </c>
      <c r="D4245" s="169" t="s">
        <v>1289</v>
      </c>
      <c r="E4245" s="103" t="s">
        <v>14629</v>
      </c>
      <c r="F4245" s="104"/>
      <c r="G4245" s="105">
        <f t="shared" si="264"/>
        <v>1.56</v>
      </c>
      <c r="H4245" s="101" t="str">
        <f t="shared" si="265"/>
        <v>Sinapi 7175</v>
      </c>
      <c r="I4245" s="101" t="str">
        <f t="shared" si="266"/>
        <v>UN</v>
      </c>
      <c r="J4245" s="140" t="str">
        <f t="shared" si="267"/>
        <v>TELHA DE BARRO / CERAMICA, NAO ESMALTADA, TIPO ROMANA, AMERICANA, PORTUGUESA, FRANCESA, COMPRIMENTO DE *41* CM, RENDIMENTO DE *16* TELHAS/M2</v>
      </c>
    </row>
    <row r="4246" spans="1:10" x14ac:dyDescent="0.25">
      <c r="A4246" s="169">
        <v>40741</v>
      </c>
      <c r="B4246" s="169" t="s">
        <v>27724</v>
      </c>
      <c r="C4246" s="169" t="s">
        <v>10225</v>
      </c>
      <c r="D4246" s="169" t="s">
        <v>1289</v>
      </c>
      <c r="E4246" s="103" t="s">
        <v>17371</v>
      </c>
      <c r="F4246" s="104"/>
      <c r="G4246" s="105">
        <f t="shared" si="264"/>
        <v>5.18</v>
      </c>
      <c r="H4246" s="101" t="str">
        <f t="shared" si="265"/>
        <v>Sinapi 40741</v>
      </c>
      <c r="I4246" s="101" t="str">
        <f t="shared" si="266"/>
        <v>UN</v>
      </c>
      <c r="J4246" s="140" t="str">
        <f t="shared" si="267"/>
        <v>TELHA DE CONCRETO TIPO CLASSICA, COR CINZA, COMPRIMENTO DE *42* CM, RENDIMENTO DE *10* TELHAS/M2</v>
      </c>
    </row>
    <row r="4247" spans="1:10" x14ac:dyDescent="0.25">
      <c r="A4247" s="169">
        <v>7184</v>
      </c>
      <c r="B4247" s="169" t="s">
        <v>27725</v>
      </c>
      <c r="C4247" s="169" t="s">
        <v>10226</v>
      </c>
      <c r="D4247" s="169" t="s">
        <v>1290</v>
      </c>
      <c r="E4247" s="103" t="s">
        <v>20344</v>
      </c>
      <c r="F4247" s="104"/>
      <c r="G4247" s="105">
        <f t="shared" si="264"/>
        <v>52.54</v>
      </c>
      <c r="H4247" s="101" t="str">
        <f t="shared" si="265"/>
        <v>Sinapi 7184</v>
      </c>
      <c r="I4247" s="101" t="str">
        <f t="shared" si="266"/>
        <v>M2</v>
      </c>
      <c r="J4247" s="140" t="str">
        <f t="shared" si="267"/>
        <v>TELHA DE FIBRA DE VIDRO ONDULADA INCOLOR, E = 0,6 MM, DE *0,50 X 2,44* M</v>
      </c>
    </row>
    <row r="4248" spans="1:10" x14ac:dyDescent="0.25">
      <c r="A4248" s="169">
        <v>34458</v>
      </c>
      <c r="B4248" s="169" t="s">
        <v>27726</v>
      </c>
      <c r="C4248" s="169" t="s">
        <v>10225</v>
      </c>
      <c r="D4248" s="169" t="s">
        <v>1289</v>
      </c>
      <c r="E4248" s="103" t="s">
        <v>31279</v>
      </c>
      <c r="F4248" s="104"/>
      <c r="G4248" s="105">
        <f t="shared" si="264"/>
        <v>219.93</v>
      </c>
      <c r="H4248" s="101" t="str">
        <f t="shared" si="265"/>
        <v>Sinapi 34458</v>
      </c>
      <c r="I4248" s="101" t="str">
        <f t="shared" si="266"/>
        <v>UN</v>
      </c>
      <c r="J4248" s="140" t="str">
        <f t="shared" si="267"/>
        <v>TELHA DE FIBROCIMENTO E = 6 MM, DE 3,00 X 1,06 M (SEM AMIANTO)</v>
      </c>
    </row>
    <row r="4249" spans="1:10" x14ac:dyDescent="0.25">
      <c r="A4249" s="169">
        <v>34464</v>
      </c>
      <c r="B4249" s="169" t="s">
        <v>27727</v>
      </c>
      <c r="C4249" s="169" t="s">
        <v>10225</v>
      </c>
      <c r="D4249" s="169" t="s">
        <v>1289</v>
      </c>
      <c r="E4249" s="103" t="s">
        <v>31280</v>
      </c>
      <c r="F4249" s="104"/>
      <c r="G4249" s="105">
        <f t="shared" si="264"/>
        <v>327.38</v>
      </c>
      <c r="H4249" s="101" t="str">
        <f t="shared" si="265"/>
        <v>Sinapi 34464</v>
      </c>
      <c r="I4249" s="101" t="str">
        <f t="shared" si="266"/>
        <v>UN</v>
      </c>
      <c r="J4249" s="140" t="str">
        <f t="shared" si="267"/>
        <v>TELHA DE FIBROCIMENTO E = 6 MM, DE 4,10 X 1,06 M (SEM AMIANTO)</v>
      </c>
    </row>
    <row r="4250" spans="1:10" x14ac:dyDescent="0.25">
      <c r="A4250" s="169">
        <v>34468</v>
      </c>
      <c r="B4250" s="169" t="s">
        <v>27729</v>
      </c>
      <c r="C4250" s="169" t="s">
        <v>10225</v>
      </c>
      <c r="D4250" s="169" t="s">
        <v>1289</v>
      </c>
      <c r="E4250" s="103" t="s">
        <v>31281</v>
      </c>
      <c r="F4250" s="104"/>
      <c r="G4250" s="105">
        <f t="shared" si="264"/>
        <v>412.74</v>
      </c>
      <c r="H4250" s="101" t="str">
        <f t="shared" si="265"/>
        <v>Sinapi 34468</v>
      </c>
      <c r="I4250" s="101" t="str">
        <f t="shared" si="266"/>
        <v>UN</v>
      </c>
      <c r="J4250" s="140" t="str">
        <f t="shared" si="267"/>
        <v>TELHA DE FIBROCIMENTO E = 6 MM, DE 4,60 X 1,06 M (SEM AMIANTO)</v>
      </c>
    </row>
    <row r="4251" spans="1:10" x14ac:dyDescent="0.25">
      <c r="A4251" s="169">
        <v>34473</v>
      </c>
      <c r="B4251" s="169" t="s">
        <v>27730</v>
      </c>
      <c r="C4251" s="169" t="s">
        <v>10225</v>
      </c>
      <c r="D4251" s="169" t="s">
        <v>1289</v>
      </c>
      <c r="E4251" s="103" t="s">
        <v>31282</v>
      </c>
      <c r="F4251" s="104"/>
      <c r="G4251" s="105">
        <f t="shared" si="264"/>
        <v>250.37</v>
      </c>
      <c r="H4251" s="101" t="str">
        <f t="shared" si="265"/>
        <v>Sinapi 34473</v>
      </c>
      <c r="I4251" s="101" t="str">
        <f t="shared" si="266"/>
        <v>UN</v>
      </c>
      <c r="J4251" s="140" t="str">
        <f t="shared" si="267"/>
        <v>TELHA DE FIBROCIMENTO E = 8 MM, DE 3,00 X 1,06 M (SEM AMIANTO)</v>
      </c>
    </row>
    <row r="4252" spans="1:10" x14ac:dyDescent="0.25">
      <c r="A4252" s="169">
        <v>34480</v>
      </c>
      <c r="B4252" s="169" t="s">
        <v>27731</v>
      </c>
      <c r="C4252" s="169" t="s">
        <v>10225</v>
      </c>
      <c r="D4252" s="169" t="s">
        <v>1289</v>
      </c>
      <c r="E4252" s="103" t="s">
        <v>31283</v>
      </c>
      <c r="F4252" s="104"/>
      <c r="G4252" s="105">
        <f t="shared" si="264"/>
        <v>462.7</v>
      </c>
      <c r="H4252" s="101" t="str">
        <f t="shared" si="265"/>
        <v>Sinapi 34480</v>
      </c>
      <c r="I4252" s="101" t="str">
        <f t="shared" si="266"/>
        <v>UN</v>
      </c>
      <c r="J4252" s="140" t="str">
        <f t="shared" si="267"/>
        <v>TELHA DE FIBROCIMENTO E = 8 MM, DE 4,10 X 1,06 M (SEM AMIANTO)</v>
      </c>
    </row>
    <row r="4253" spans="1:10" x14ac:dyDescent="0.25">
      <c r="A4253" s="169">
        <v>34486</v>
      </c>
      <c r="B4253" s="169" t="s">
        <v>27732</v>
      </c>
      <c r="C4253" s="169" t="s">
        <v>10225</v>
      </c>
      <c r="D4253" s="169" t="s">
        <v>1289</v>
      </c>
      <c r="E4253" s="103" t="s">
        <v>31284</v>
      </c>
      <c r="F4253" s="104"/>
      <c r="G4253" s="105">
        <f t="shared" si="264"/>
        <v>547.82000000000005</v>
      </c>
      <c r="H4253" s="101" t="str">
        <f t="shared" si="265"/>
        <v>Sinapi 34486</v>
      </c>
      <c r="I4253" s="101" t="str">
        <f t="shared" si="266"/>
        <v>UN</v>
      </c>
      <c r="J4253" s="140" t="str">
        <f t="shared" si="267"/>
        <v>TELHA DE FIBROCIMENTO E = 8 MM, DE 4,60 X 1,06 M (SEM AMIANTO)</v>
      </c>
    </row>
    <row r="4254" spans="1:10" x14ac:dyDescent="0.25">
      <c r="A4254" s="169">
        <v>7190</v>
      </c>
      <c r="B4254" s="169" t="s">
        <v>27733</v>
      </c>
      <c r="C4254" s="169" t="s">
        <v>10225</v>
      </c>
      <c r="D4254" s="169" t="s">
        <v>1289</v>
      </c>
      <c r="E4254" s="103" t="s">
        <v>30411</v>
      </c>
      <c r="F4254" s="104"/>
      <c r="G4254" s="105">
        <f t="shared" si="264"/>
        <v>18.29</v>
      </c>
      <c r="H4254" s="101" t="str">
        <f t="shared" si="265"/>
        <v>Sinapi 7190</v>
      </c>
      <c r="I4254" s="101" t="str">
        <f t="shared" si="266"/>
        <v>UN</v>
      </c>
      <c r="J4254" s="140" t="str">
        <f t="shared" si="267"/>
        <v>TELHA DE FIBROCIMENTO ONDULADA E = 4 MM, DE 1,22 X 0,50 M (SEM AMIANTO)</v>
      </c>
    </row>
    <row r="4255" spans="1:10" x14ac:dyDescent="0.25">
      <c r="A4255" s="169">
        <v>34417</v>
      </c>
      <c r="B4255" s="169" t="s">
        <v>27734</v>
      </c>
      <c r="C4255" s="169" t="s">
        <v>10225</v>
      </c>
      <c r="D4255" s="169" t="s">
        <v>1289</v>
      </c>
      <c r="E4255" s="103" t="s">
        <v>31285</v>
      </c>
      <c r="F4255" s="104"/>
      <c r="G4255" s="105">
        <f t="shared" si="264"/>
        <v>29.27</v>
      </c>
      <c r="H4255" s="101" t="str">
        <f t="shared" si="265"/>
        <v>Sinapi 34417</v>
      </c>
      <c r="I4255" s="101" t="str">
        <f t="shared" si="266"/>
        <v>UN</v>
      </c>
      <c r="J4255" s="140" t="str">
        <f t="shared" si="267"/>
        <v>TELHA DE FIBROCIMENTO ONDULADA E = 4 MM, DE 2,13 X 0,50 M (SEM AMIANTO)</v>
      </c>
    </row>
    <row r="4256" spans="1:10" x14ac:dyDescent="0.25">
      <c r="A4256" s="169">
        <v>7213</v>
      </c>
      <c r="B4256" s="169" t="s">
        <v>27735</v>
      </c>
      <c r="C4256" s="169" t="s">
        <v>10226</v>
      </c>
      <c r="D4256" s="169" t="s">
        <v>1289</v>
      </c>
      <c r="E4256" s="103" t="s">
        <v>25145</v>
      </c>
      <c r="F4256" s="104"/>
      <c r="G4256" s="105">
        <f t="shared" si="264"/>
        <v>26.84</v>
      </c>
      <c r="H4256" s="101" t="str">
        <f t="shared" si="265"/>
        <v>Sinapi 7213</v>
      </c>
      <c r="I4256" s="101" t="str">
        <f t="shared" si="266"/>
        <v>M2</v>
      </c>
      <c r="J4256" s="140" t="str">
        <f t="shared" si="267"/>
        <v>TELHA DE FIBROCIMENTO ONDULADA E = 4 MM, DE 2,44 X 0,50 M (SEM AMIANTO)</v>
      </c>
    </row>
    <row r="4257" spans="1:10" x14ac:dyDescent="0.25">
      <c r="A4257" s="169">
        <v>7195</v>
      </c>
      <c r="B4257" s="169" t="s">
        <v>27736</v>
      </c>
      <c r="C4257" s="169" t="s">
        <v>10225</v>
      </c>
      <c r="D4257" s="169" t="s">
        <v>1289</v>
      </c>
      <c r="E4257" s="103" t="s">
        <v>30191</v>
      </c>
      <c r="F4257" s="104"/>
      <c r="G4257" s="105">
        <f t="shared" si="264"/>
        <v>78.81</v>
      </c>
      <c r="H4257" s="101" t="str">
        <f t="shared" si="265"/>
        <v>Sinapi 7195</v>
      </c>
      <c r="I4257" s="101" t="str">
        <f t="shared" si="266"/>
        <v>UN</v>
      </c>
      <c r="J4257" s="140" t="str">
        <f t="shared" si="267"/>
        <v>TELHA DE FIBROCIMENTO ONDULADA E = 6 MM, DE 1,53 X 1,10 M (SEM AMIANTO)</v>
      </c>
    </row>
    <row r="4258" spans="1:10" x14ac:dyDescent="0.25">
      <c r="A4258" s="169">
        <v>7186</v>
      </c>
      <c r="B4258" s="169" t="s">
        <v>27737</v>
      </c>
      <c r="C4258" s="169" t="s">
        <v>10225</v>
      </c>
      <c r="D4258" s="169" t="s">
        <v>1288</v>
      </c>
      <c r="E4258" s="103" t="s">
        <v>31286</v>
      </c>
      <c r="F4258" s="104"/>
      <c r="G4258" s="105">
        <f t="shared" si="264"/>
        <v>85.85</v>
      </c>
      <c r="H4258" s="101" t="str">
        <f t="shared" si="265"/>
        <v>Sinapi 7186</v>
      </c>
      <c r="I4258" s="101" t="str">
        <f t="shared" si="266"/>
        <v>UN</v>
      </c>
      <c r="J4258" s="140" t="str">
        <f t="shared" si="267"/>
        <v>TELHA DE FIBROCIMENTO ONDULADA E = 6 MM, DE 1,83 X 1,10 M (SEM AMIANTO)</v>
      </c>
    </row>
    <row r="4259" spans="1:10" x14ac:dyDescent="0.25">
      <c r="A4259" s="169">
        <v>7194</v>
      </c>
      <c r="B4259" s="169" t="s">
        <v>1192</v>
      </c>
      <c r="C4259" s="169" t="s">
        <v>10226</v>
      </c>
      <c r="D4259" s="169" t="s">
        <v>1289</v>
      </c>
      <c r="E4259" s="103" t="s">
        <v>21040</v>
      </c>
      <c r="F4259" s="104"/>
      <c r="G4259" s="105">
        <f t="shared" si="264"/>
        <v>39.58</v>
      </c>
      <c r="H4259" s="101" t="str">
        <f t="shared" si="265"/>
        <v>Sinapi 7194</v>
      </c>
      <c r="I4259" s="101" t="str">
        <f t="shared" si="266"/>
        <v>M2</v>
      </c>
      <c r="J4259" s="140" t="str">
        <f t="shared" si="267"/>
        <v>TELHA DE FIBROCIMENTO ONDULADA E = 6 MM, DE 2,44 X 1,10 M (SEM AMIANTO)</v>
      </c>
    </row>
    <row r="4260" spans="1:10" x14ac:dyDescent="0.25">
      <c r="A4260" s="169">
        <v>7197</v>
      </c>
      <c r="B4260" s="169" t="s">
        <v>27738</v>
      </c>
      <c r="C4260" s="169" t="s">
        <v>10225</v>
      </c>
      <c r="D4260" s="169" t="s">
        <v>1289</v>
      </c>
      <c r="E4260" s="103" t="s">
        <v>31287</v>
      </c>
      <c r="F4260" s="104"/>
      <c r="G4260" s="105">
        <f t="shared" si="264"/>
        <v>167.06</v>
      </c>
      <c r="H4260" s="101" t="str">
        <f t="shared" si="265"/>
        <v>Sinapi 7197</v>
      </c>
      <c r="I4260" s="101" t="str">
        <f t="shared" si="266"/>
        <v>UN</v>
      </c>
      <c r="J4260" s="140" t="str">
        <f t="shared" si="267"/>
        <v>TELHA DE FIBROCIMENTO ONDULADA E = 6 MM, DE 3,66 X 1,10 M (SEM AMIANTO)</v>
      </c>
    </row>
    <row r="4261" spans="1:10" x14ac:dyDescent="0.25">
      <c r="A4261" s="169">
        <v>7192</v>
      </c>
      <c r="B4261" s="169" t="s">
        <v>27739</v>
      </c>
      <c r="C4261" s="169" t="s">
        <v>10225</v>
      </c>
      <c r="D4261" s="169" t="s">
        <v>1289</v>
      </c>
      <c r="E4261" s="103" t="s">
        <v>31288</v>
      </c>
      <c r="F4261" s="104"/>
      <c r="G4261" s="105">
        <f t="shared" si="264"/>
        <v>149.68</v>
      </c>
      <c r="H4261" s="101" t="str">
        <f t="shared" si="265"/>
        <v>Sinapi 7192</v>
      </c>
      <c r="I4261" s="101" t="str">
        <f t="shared" si="266"/>
        <v>UN</v>
      </c>
      <c r="J4261" s="140" t="str">
        <f t="shared" si="267"/>
        <v>TELHA DE FIBROCIMENTO ONDULADA E = 8 MM, DE 1,53 X 1,10 M (SEM AMIANTO)</v>
      </c>
    </row>
    <row r="4262" spans="1:10" x14ac:dyDescent="0.25">
      <c r="A4262" s="169">
        <v>7193</v>
      </c>
      <c r="B4262" s="169" t="s">
        <v>27741</v>
      </c>
      <c r="C4262" s="169" t="s">
        <v>10225</v>
      </c>
      <c r="D4262" s="169" t="s">
        <v>1289</v>
      </c>
      <c r="E4262" s="103" t="s">
        <v>31289</v>
      </c>
      <c r="F4262" s="104"/>
      <c r="G4262" s="105">
        <f t="shared" si="264"/>
        <v>168.51</v>
      </c>
      <c r="H4262" s="101" t="str">
        <f t="shared" si="265"/>
        <v>Sinapi 7193</v>
      </c>
      <c r="I4262" s="101" t="str">
        <f t="shared" si="266"/>
        <v>UN</v>
      </c>
      <c r="J4262" s="140" t="str">
        <f t="shared" si="267"/>
        <v>TELHA DE FIBROCIMENTO ONDULADA E = 8 MM, DE 1,83 X 1,10 M (SEM AMIANTO)</v>
      </c>
    </row>
    <row r="4263" spans="1:10" x14ac:dyDescent="0.25">
      <c r="A4263" s="169">
        <v>7189</v>
      </c>
      <c r="B4263" s="169" t="s">
        <v>27742</v>
      </c>
      <c r="C4263" s="169" t="s">
        <v>10225</v>
      </c>
      <c r="D4263" s="169" t="s">
        <v>1289</v>
      </c>
      <c r="E4263" s="103" t="s">
        <v>31290</v>
      </c>
      <c r="F4263" s="104"/>
      <c r="G4263" s="105">
        <f t="shared" si="264"/>
        <v>195.83</v>
      </c>
      <c r="H4263" s="101" t="str">
        <f t="shared" si="265"/>
        <v>Sinapi 7189</v>
      </c>
      <c r="I4263" s="101" t="str">
        <f t="shared" si="266"/>
        <v>UN</v>
      </c>
      <c r="J4263" s="140" t="str">
        <f t="shared" si="267"/>
        <v>TELHA DE FIBROCIMENTO ONDULADA E = 8 MM, DE 2,44 X 1,10 M (SEM AMIANTO)</v>
      </c>
    </row>
    <row r="4264" spans="1:10" x14ac:dyDescent="0.25">
      <c r="A4264" s="169">
        <v>34402</v>
      </c>
      <c r="B4264" s="169" t="s">
        <v>27744</v>
      </c>
      <c r="C4264" s="169" t="s">
        <v>10225</v>
      </c>
      <c r="D4264" s="169" t="s">
        <v>1289</v>
      </c>
      <c r="E4264" s="103" t="s">
        <v>31291</v>
      </c>
      <c r="F4264" s="104"/>
      <c r="G4264" s="105">
        <f t="shared" si="264"/>
        <v>276.47000000000003</v>
      </c>
      <c r="H4264" s="101" t="str">
        <f t="shared" si="265"/>
        <v>Sinapi 34402</v>
      </c>
      <c r="I4264" s="101" t="str">
        <f t="shared" si="266"/>
        <v>UN</v>
      </c>
      <c r="J4264" s="140" t="str">
        <f t="shared" si="267"/>
        <v>TELHA DE FIBROCIMENTO ONDULADA E = 8 MM, DE 3,66 X 1,10 M (SEM AMIANTO)</v>
      </c>
    </row>
    <row r="4265" spans="1:10" x14ac:dyDescent="0.25">
      <c r="A4265" s="169">
        <v>7245</v>
      </c>
      <c r="B4265" s="169" t="s">
        <v>27745</v>
      </c>
      <c r="C4265" s="169" t="s">
        <v>10225</v>
      </c>
      <c r="D4265" s="169" t="s">
        <v>1289</v>
      </c>
      <c r="E4265" s="103" t="s">
        <v>21363</v>
      </c>
      <c r="F4265" s="104"/>
      <c r="G4265" s="105">
        <f t="shared" si="264"/>
        <v>52.55</v>
      </c>
      <c r="H4265" s="101" t="str">
        <f t="shared" si="265"/>
        <v>Sinapi 7245</v>
      </c>
      <c r="I4265" s="101" t="str">
        <f t="shared" si="266"/>
        <v>UN</v>
      </c>
      <c r="J4265" s="140" t="str">
        <f t="shared" si="267"/>
        <v>TELHA DE VIDRO TIPO FRANCESA, *39 X 23* CM</v>
      </c>
    </row>
    <row r="4266" spans="1:10" x14ac:dyDescent="0.25">
      <c r="A4266" s="169">
        <v>34425</v>
      </c>
      <c r="B4266" s="169" t="s">
        <v>27746</v>
      </c>
      <c r="C4266" s="169" t="s">
        <v>10225</v>
      </c>
      <c r="D4266" s="169" t="s">
        <v>1289</v>
      </c>
      <c r="E4266" s="103" t="s">
        <v>31292</v>
      </c>
      <c r="F4266" s="104"/>
      <c r="G4266" s="105">
        <f t="shared" si="264"/>
        <v>177.6</v>
      </c>
      <c r="H4266" s="101" t="str">
        <f t="shared" si="265"/>
        <v>Sinapi 34425</v>
      </c>
      <c r="I4266" s="101" t="str">
        <f t="shared" si="266"/>
        <v>UN</v>
      </c>
      <c r="J4266" s="140" t="str">
        <f t="shared" si="267"/>
        <v>TELHA ESTRUTURAL DE FIBROCIMENTO 1 ABA, DE 0,52 X 2,00 M (SEM AMIANTO)</v>
      </c>
    </row>
    <row r="4267" spans="1:10" x14ac:dyDescent="0.25">
      <c r="A4267" s="169">
        <v>7223</v>
      </c>
      <c r="B4267" s="169" t="s">
        <v>27747</v>
      </c>
      <c r="C4267" s="169" t="s">
        <v>10225</v>
      </c>
      <c r="D4267" s="169" t="s">
        <v>1289</v>
      </c>
      <c r="E4267" s="103" t="s">
        <v>31293</v>
      </c>
      <c r="F4267" s="104"/>
      <c r="G4267" s="105">
        <f t="shared" si="264"/>
        <v>197.92</v>
      </c>
      <c r="H4267" s="101" t="str">
        <f t="shared" si="265"/>
        <v>Sinapi 7223</v>
      </c>
      <c r="I4267" s="101" t="str">
        <f t="shared" si="266"/>
        <v>UN</v>
      </c>
      <c r="J4267" s="140" t="str">
        <f t="shared" si="267"/>
        <v>TELHA ESTRUTURAL DE FIBROCIMENTO 1 ABA, DE 0,52 X 2,50 M (SEM AMIANTO)</v>
      </c>
    </row>
    <row r="4268" spans="1:10" x14ac:dyDescent="0.25">
      <c r="A4268" s="169">
        <v>7234</v>
      </c>
      <c r="B4268" s="169" t="s">
        <v>27748</v>
      </c>
      <c r="C4268" s="169" t="s">
        <v>10225</v>
      </c>
      <c r="D4268" s="169" t="s">
        <v>1289</v>
      </c>
      <c r="E4268" s="103" t="s">
        <v>31294</v>
      </c>
      <c r="F4268" s="104"/>
      <c r="G4268" s="105">
        <f t="shared" si="264"/>
        <v>298.66000000000003</v>
      </c>
      <c r="H4268" s="101" t="str">
        <f t="shared" si="265"/>
        <v>Sinapi 7234</v>
      </c>
      <c r="I4268" s="101" t="str">
        <f t="shared" si="266"/>
        <v>UN</v>
      </c>
      <c r="J4268" s="140" t="str">
        <f t="shared" si="267"/>
        <v>TELHA ESTRUTURAL DE FIBROCIMENTO 1 ABA, DE 0,52 X 3,60 M (SEM AMIANTO)</v>
      </c>
    </row>
    <row r="4269" spans="1:10" x14ac:dyDescent="0.25">
      <c r="A4269" s="169">
        <v>7224</v>
      </c>
      <c r="B4269" s="169" t="s">
        <v>27750</v>
      </c>
      <c r="C4269" s="169" t="s">
        <v>10225</v>
      </c>
      <c r="D4269" s="169" t="s">
        <v>1289</v>
      </c>
      <c r="E4269" s="103" t="s">
        <v>31295</v>
      </c>
      <c r="F4269" s="104"/>
      <c r="G4269" s="105">
        <f t="shared" si="264"/>
        <v>363.85</v>
      </c>
      <c r="H4269" s="101" t="str">
        <f t="shared" si="265"/>
        <v>Sinapi 7224</v>
      </c>
      <c r="I4269" s="101" t="str">
        <f t="shared" si="266"/>
        <v>UN</v>
      </c>
      <c r="J4269" s="140" t="str">
        <f t="shared" si="267"/>
        <v>TELHA ESTRUTURAL DE FIBROCIMENTO 1 ABA, DE 0,52 X 4,00 M (SEM AMIANTO)</v>
      </c>
    </row>
    <row r="4270" spans="1:10" x14ac:dyDescent="0.25">
      <c r="A4270" s="169">
        <v>7225</v>
      </c>
      <c r="B4270" s="169" t="s">
        <v>27752</v>
      </c>
      <c r="C4270" s="169" t="s">
        <v>10225</v>
      </c>
      <c r="D4270" s="169" t="s">
        <v>1289</v>
      </c>
      <c r="E4270" s="103" t="s">
        <v>31296</v>
      </c>
      <c r="F4270" s="104"/>
      <c r="G4270" s="105">
        <f t="shared" si="264"/>
        <v>390.14</v>
      </c>
      <c r="H4270" s="101" t="str">
        <f t="shared" si="265"/>
        <v>Sinapi 7225</v>
      </c>
      <c r="I4270" s="101" t="str">
        <f t="shared" si="266"/>
        <v>UN</v>
      </c>
      <c r="J4270" s="140" t="str">
        <f t="shared" si="267"/>
        <v>TELHA ESTRUTURAL DE FIBROCIMENTO 1 ABA, DE 0,52 X 5,00 M (SEM AMIANTO)</v>
      </c>
    </row>
    <row r="4271" spans="1:10" x14ac:dyDescent="0.25">
      <c r="A4271" s="169">
        <v>7226</v>
      </c>
      <c r="B4271" s="169" t="s">
        <v>27753</v>
      </c>
      <c r="C4271" s="169" t="s">
        <v>10225</v>
      </c>
      <c r="D4271" s="169" t="s">
        <v>1289</v>
      </c>
      <c r="E4271" s="103" t="s">
        <v>31297</v>
      </c>
      <c r="F4271" s="104"/>
      <c r="G4271" s="105">
        <f t="shared" si="264"/>
        <v>416.33</v>
      </c>
      <c r="H4271" s="101" t="str">
        <f t="shared" si="265"/>
        <v>Sinapi 7226</v>
      </c>
      <c r="I4271" s="101" t="str">
        <f t="shared" si="266"/>
        <v>UN</v>
      </c>
      <c r="J4271" s="140" t="str">
        <f t="shared" si="267"/>
        <v>TELHA ESTRUTURAL DE FIBROCIMENTO 1 ABA, DE 0,52 X 5,50 M (SEM AMIANTO)</v>
      </c>
    </row>
    <row r="4272" spans="1:10" x14ac:dyDescent="0.25">
      <c r="A4272" s="169">
        <v>7227</v>
      </c>
      <c r="B4272" s="169" t="s">
        <v>27754</v>
      </c>
      <c r="C4272" s="169" t="s">
        <v>10225</v>
      </c>
      <c r="D4272" s="169" t="s">
        <v>1289</v>
      </c>
      <c r="E4272" s="103" t="s">
        <v>31298</v>
      </c>
      <c r="F4272" s="104"/>
      <c r="G4272" s="105">
        <f t="shared" si="264"/>
        <v>473.9</v>
      </c>
      <c r="H4272" s="101" t="str">
        <f t="shared" si="265"/>
        <v>Sinapi 7227</v>
      </c>
      <c r="I4272" s="101" t="str">
        <f t="shared" si="266"/>
        <v>UN</v>
      </c>
      <c r="J4272" s="140" t="str">
        <f t="shared" si="267"/>
        <v>TELHA ESTRUTURAL DE FIBROCIMENTO 1 ABA, DE 0,52 X 6,50 M (SEM AMIANTO)</v>
      </c>
    </row>
    <row r="4273" spans="1:10" x14ac:dyDescent="0.25">
      <c r="A4273" s="169">
        <v>7212</v>
      </c>
      <c r="B4273" s="169" t="s">
        <v>27755</v>
      </c>
      <c r="C4273" s="169" t="s">
        <v>10225</v>
      </c>
      <c r="D4273" s="169" t="s">
        <v>1289</v>
      </c>
      <c r="E4273" s="103" t="s">
        <v>31299</v>
      </c>
      <c r="F4273" s="104"/>
      <c r="G4273" s="105">
        <f t="shared" si="264"/>
        <v>520.70000000000005</v>
      </c>
      <c r="H4273" s="101" t="str">
        <f t="shared" si="265"/>
        <v>Sinapi 7212</v>
      </c>
      <c r="I4273" s="101" t="str">
        <f t="shared" si="266"/>
        <v>UN</v>
      </c>
      <c r="J4273" s="140" t="str">
        <f t="shared" si="267"/>
        <v>TELHA ESTRUTURAL DE FIBROCIMENTO 1 ABA, DE 0,52 X 7,20 M (SEM AMIANTO)</v>
      </c>
    </row>
    <row r="4274" spans="1:10" x14ac:dyDescent="0.25">
      <c r="A4274" s="169">
        <v>7229</v>
      </c>
      <c r="B4274" s="169" t="s">
        <v>27756</v>
      </c>
      <c r="C4274" s="169" t="s">
        <v>10225</v>
      </c>
      <c r="D4274" s="169" t="s">
        <v>1289</v>
      </c>
      <c r="E4274" s="103" t="s">
        <v>31300</v>
      </c>
      <c r="F4274" s="104"/>
      <c r="G4274" s="105">
        <f t="shared" si="264"/>
        <v>330.05</v>
      </c>
      <c r="H4274" s="101" t="str">
        <f t="shared" si="265"/>
        <v>Sinapi 7229</v>
      </c>
      <c r="I4274" s="101" t="str">
        <f t="shared" si="266"/>
        <v>UN</v>
      </c>
      <c r="J4274" s="140" t="str">
        <f t="shared" si="267"/>
        <v>TELHA ESTRUTURAL DE FIBROCIMENTO 2 ABAS, DE 1,00 X 3,00 M (SEM AMIANTO)</v>
      </c>
    </row>
    <row r="4275" spans="1:10" x14ac:dyDescent="0.25">
      <c r="A4275" s="169">
        <v>7230</v>
      </c>
      <c r="B4275" s="169" t="s">
        <v>27757</v>
      </c>
      <c r="C4275" s="169" t="s">
        <v>10225</v>
      </c>
      <c r="D4275" s="169" t="s">
        <v>1289</v>
      </c>
      <c r="E4275" s="103" t="s">
        <v>31301</v>
      </c>
      <c r="F4275" s="104"/>
      <c r="G4275" s="105">
        <f t="shared" si="264"/>
        <v>549.47</v>
      </c>
      <c r="H4275" s="101" t="str">
        <f t="shared" si="265"/>
        <v>Sinapi 7230</v>
      </c>
      <c r="I4275" s="101" t="str">
        <f t="shared" si="266"/>
        <v>UN</v>
      </c>
      <c r="J4275" s="140" t="str">
        <f t="shared" si="267"/>
        <v>TELHA ESTRUTURAL DE FIBROCIMENTO 2 ABAS, DE 1,00 X 4,60 M (SEM AMIANTO)</v>
      </c>
    </row>
    <row r="4276" spans="1:10" x14ac:dyDescent="0.25">
      <c r="A4276" s="169">
        <v>7231</v>
      </c>
      <c r="B4276" s="169" t="s">
        <v>27758</v>
      </c>
      <c r="C4276" s="169" t="s">
        <v>10225</v>
      </c>
      <c r="D4276" s="169" t="s">
        <v>1289</v>
      </c>
      <c r="E4276" s="103" t="s">
        <v>31302</v>
      </c>
      <c r="F4276" s="104"/>
      <c r="G4276" s="105">
        <f t="shared" si="264"/>
        <v>779.48</v>
      </c>
      <c r="H4276" s="101" t="str">
        <f t="shared" si="265"/>
        <v>Sinapi 7231</v>
      </c>
      <c r="I4276" s="101" t="str">
        <f t="shared" si="266"/>
        <v>UN</v>
      </c>
      <c r="J4276" s="140" t="str">
        <f t="shared" si="267"/>
        <v>TELHA ESTRUTURAL DE FIBROCIMENTO 2 ABAS, DE 1,00 X 6,00 M (SEM AMIANTO)</v>
      </c>
    </row>
    <row r="4277" spans="1:10" x14ac:dyDescent="0.25">
      <c r="A4277" s="169">
        <v>7220</v>
      </c>
      <c r="B4277" s="169" t="s">
        <v>27759</v>
      </c>
      <c r="C4277" s="169" t="s">
        <v>10225</v>
      </c>
      <c r="D4277" s="169" t="s">
        <v>1289</v>
      </c>
      <c r="E4277" s="103" t="s">
        <v>31303</v>
      </c>
      <c r="F4277" s="104"/>
      <c r="G4277" s="105">
        <f t="shared" si="264"/>
        <v>962.18</v>
      </c>
      <c r="H4277" s="101" t="str">
        <f t="shared" si="265"/>
        <v>Sinapi 7220</v>
      </c>
      <c r="I4277" s="101" t="str">
        <f t="shared" si="266"/>
        <v>UN</v>
      </c>
      <c r="J4277" s="140" t="str">
        <f t="shared" si="267"/>
        <v>TELHA ESTRUTURAL DE FIBROCIMENTO 2 ABAS, DE 1,00 X 7,40 M (SEM AMIANTO)</v>
      </c>
    </row>
    <row r="4278" spans="1:10" x14ac:dyDescent="0.25">
      <c r="A4278" s="169">
        <v>34447</v>
      </c>
      <c r="B4278" s="169" t="s">
        <v>27760</v>
      </c>
      <c r="C4278" s="169" t="s">
        <v>10225</v>
      </c>
      <c r="D4278" s="169" t="s">
        <v>1289</v>
      </c>
      <c r="E4278" s="103" t="s">
        <v>31304</v>
      </c>
      <c r="F4278" s="104"/>
      <c r="G4278" s="105">
        <f t="shared" si="264"/>
        <v>1075.8599999999999</v>
      </c>
      <c r="H4278" s="101" t="str">
        <f t="shared" si="265"/>
        <v>Sinapi 34447</v>
      </c>
      <c r="I4278" s="101" t="str">
        <f t="shared" si="266"/>
        <v>UN</v>
      </c>
      <c r="J4278" s="140" t="str">
        <f t="shared" si="267"/>
        <v>TELHA ESTRUTURAL DE FIBROCIMENTO 2 ABAS, DE 1,00 X 8,20 M (SEM AMIANTO)</v>
      </c>
    </row>
    <row r="4279" spans="1:10" x14ac:dyDescent="0.25">
      <c r="A4279" s="169">
        <v>7233</v>
      </c>
      <c r="B4279" s="169" t="s">
        <v>27761</v>
      </c>
      <c r="C4279" s="169" t="s">
        <v>10225</v>
      </c>
      <c r="D4279" s="169" t="s">
        <v>1289</v>
      </c>
      <c r="E4279" s="103" t="s">
        <v>31305</v>
      </c>
      <c r="F4279" s="104"/>
      <c r="G4279" s="105">
        <f t="shared" si="264"/>
        <v>1234.18</v>
      </c>
      <c r="H4279" s="101" t="str">
        <f t="shared" si="265"/>
        <v>Sinapi 7233</v>
      </c>
      <c r="I4279" s="101" t="str">
        <f t="shared" si="266"/>
        <v>UN</v>
      </c>
      <c r="J4279" s="140" t="str">
        <f t="shared" si="267"/>
        <v>TELHA ESTRUTURAL DE FIBROCIMENTO 2 ABAS, DE 1,00 X 9,20 M (SEM AMIANTO)</v>
      </c>
    </row>
    <row r="4280" spans="1:10" x14ac:dyDescent="0.25">
      <c r="A4280" s="169">
        <v>40740</v>
      </c>
      <c r="B4280" s="169" t="s">
        <v>27762</v>
      </c>
      <c r="C4280" s="169" t="s">
        <v>10226</v>
      </c>
      <c r="D4280" s="169" t="s">
        <v>1289</v>
      </c>
      <c r="E4280" s="103" t="s">
        <v>31306</v>
      </c>
      <c r="F4280" s="104"/>
      <c r="G4280" s="105">
        <f t="shared" si="264"/>
        <v>160.41</v>
      </c>
      <c r="H4280" s="101" t="str">
        <f t="shared" si="265"/>
        <v>Sinapi 40740</v>
      </c>
      <c r="I4280" s="101" t="str">
        <f t="shared" si="266"/>
        <v>M2</v>
      </c>
      <c r="J4280" s="140" t="str">
        <f t="shared" si="267"/>
        <v>TELHA GALVALUME COM ISOLAMENTO TERMOACUSTICO EM ESPUMA RIGIDA DE POLIURETANO (PU) INJETADO, ESPESSURA DE 30 MM, DENSIDADE DE 35 KG/M3, REVESTIMENTO EM TELHA TRAPEZOIDAL NAS DUAS FACES COM ESPESSURA DE 0,50 MM CADA, ACABAMENTO NATURAL (NAO INCLUI ACESSORIOS DE FIXACAO)</v>
      </c>
    </row>
    <row r="4281" spans="1:10" x14ac:dyDescent="0.25">
      <c r="A4281" s="169">
        <v>25007</v>
      </c>
      <c r="B4281" s="169" t="s">
        <v>27764</v>
      </c>
      <c r="C4281" s="169" t="s">
        <v>10226</v>
      </c>
      <c r="D4281" s="169" t="s">
        <v>1288</v>
      </c>
      <c r="E4281" s="103" t="s">
        <v>23145</v>
      </c>
      <c r="F4281" s="104"/>
      <c r="G4281" s="105">
        <f t="shared" si="264"/>
        <v>45.9</v>
      </c>
      <c r="H4281" s="101" t="str">
        <f t="shared" si="265"/>
        <v>Sinapi 25007</v>
      </c>
      <c r="I4281" s="101" t="str">
        <f t="shared" si="266"/>
        <v>M2</v>
      </c>
      <c r="J4281" s="140" t="str">
        <f t="shared" si="267"/>
        <v>TELHA ONDULADA EM ACO ZINCADO, ALTURA DE 17 MM, ESPESSURA DE 0,50 MM, LARGURA UTIL DE APROXIMADAMENTE 985 MM, SEM PINTURA</v>
      </c>
    </row>
    <row r="4282" spans="1:10" x14ac:dyDescent="0.25">
      <c r="A4282" s="169">
        <v>43071</v>
      </c>
      <c r="B4282" s="169" t="s">
        <v>27766</v>
      </c>
      <c r="C4282" s="169" t="s">
        <v>10226</v>
      </c>
      <c r="D4282" s="169" t="s">
        <v>1289</v>
      </c>
      <c r="E4282" s="103" t="s">
        <v>28456</v>
      </c>
      <c r="F4282" s="104"/>
      <c r="G4282" s="105">
        <f t="shared" si="264"/>
        <v>180.62</v>
      </c>
      <c r="H4282" s="101" t="str">
        <f t="shared" si="265"/>
        <v>Sinapi 43071</v>
      </c>
      <c r="I4282" s="101" t="str">
        <f t="shared" si="266"/>
        <v>M2</v>
      </c>
      <c r="J4282" s="140" t="str">
        <f t="shared" si="267"/>
        <v>TELHA TERMOISOLANTE REVESTIDA EM ACO GALVALUME, FACE SUPERIOR TRAPEZOIDAL E FACE INFERIOR PLANA (NAO INCLUI ACESSORIOS DE FIXACAO), REVEST COM ESPESSURA DE 0,50 MM, COM PRE-PINTURA DE COR BRANCA NAS DUAS FACES, NUCLEO EM POLIIOCIANURATO (PIR) COM ESPESSURA DE 50 MM</v>
      </c>
    </row>
    <row r="4283" spans="1:10" x14ac:dyDescent="0.25">
      <c r="A4283" s="169">
        <v>39520</v>
      </c>
      <c r="B4283" s="169" t="s">
        <v>27767</v>
      </c>
      <c r="C4283" s="169" t="s">
        <v>10226</v>
      </c>
      <c r="D4283" s="169" t="s">
        <v>1289</v>
      </c>
      <c r="E4283" s="103" t="s">
        <v>31307</v>
      </c>
      <c r="F4283" s="104"/>
      <c r="G4283" s="105">
        <f t="shared" si="264"/>
        <v>147.35</v>
      </c>
      <c r="H4283" s="101" t="str">
        <f t="shared" si="265"/>
        <v>Sinapi 39520</v>
      </c>
      <c r="I4283" s="101" t="str">
        <f t="shared" si="266"/>
        <v>M2</v>
      </c>
      <c r="J4283" s="140" t="str">
        <f t="shared" si="267"/>
        <v>TELHA TERMOISOLANTE REVESTIDA EM ACO GALVANIZADO, FACE SUPERIOR EM TELHA TRAPEZOIDAL E FACE INFERIOR EM CHAPA PLANA (SEM ACESSORIOS DE FIXACAO), REVESTIMENTO COM ESPESSURA DE 0,50 MM COM PRE-PINTURA NAS DUAS FACES, NUCLEO EM POLIESTIRENO (EPS) DE 30 MM</v>
      </c>
    </row>
    <row r="4284" spans="1:10" x14ac:dyDescent="0.25">
      <c r="A4284" s="169">
        <v>39521</v>
      </c>
      <c r="B4284" s="169" t="s">
        <v>27768</v>
      </c>
      <c r="C4284" s="169" t="s">
        <v>10226</v>
      </c>
      <c r="D4284" s="169" t="s">
        <v>1289</v>
      </c>
      <c r="E4284" s="103" t="s">
        <v>28301</v>
      </c>
      <c r="F4284" s="104"/>
      <c r="G4284" s="105">
        <f t="shared" si="264"/>
        <v>152.16999999999999</v>
      </c>
      <c r="H4284" s="101" t="str">
        <f t="shared" si="265"/>
        <v>Sinapi 39521</v>
      </c>
      <c r="I4284" s="101" t="str">
        <f t="shared" si="266"/>
        <v>M2</v>
      </c>
      <c r="J4284" s="140" t="str">
        <f t="shared" si="267"/>
        <v>TELHA TERMOISOLANTE REVESTIDA EM ACO GALVANIZADO, FACE SUPERIOR EM TELHA TRAPEZOIDAL E FACE INFERIOR EM CHAPA PLANA (SEM ACESSORIOS DE FIXACAO), REVESTIMENTO COM ESPESSURA DE 0,50 MM COM PRE-PINTURA NAS DUAS FACES, NUCLEO EM POLIESTIRENO (EPS) DE 50 MM</v>
      </c>
    </row>
    <row r="4285" spans="1:10" x14ac:dyDescent="0.25">
      <c r="A4285" s="169">
        <v>39522</v>
      </c>
      <c r="B4285" s="169" t="s">
        <v>27769</v>
      </c>
      <c r="C4285" s="169" t="s">
        <v>10226</v>
      </c>
      <c r="D4285" s="169" t="s">
        <v>1289</v>
      </c>
      <c r="E4285" s="103" t="s">
        <v>29159</v>
      </c>
      <c r="F4285" s="104"/>
      <c r="G4285" s="105">
        <f t="shared" si="264"/>
        <v>157.13</v>
      </c>
      <c r="H4285" s="101" t="str">
        <f t="shared" si="265"/>
        <v>Sinapi 39522</v>
      </c>
      <c r="I4285" s="101" t="str">
        <f t="shared" si="266"/>
        <v>M2</v>
      </c>
      <c r="J4285" s="140" t="str">
        <f t="shared" si="267"/>
        <v>TELHA TERMOISOLANTE REVESTIDA EM ACO GALVANIZADO, FACES SUPERIOR E INFERIOR EM TELHA TRAPEZOIDAL (SEM ACESSORIOS DE FIXACAO), REVESTIMENTO COM ESPESSURA DE 0,50 MM COM PRE-PINTURA NAS DUAS FACES, NUCLEO EM POLIESTIRENO (EPS) DE 50 MM</v>
      </c>
    </row>
    <row r="4286" spans="1:10" x14ac:dyDescent="0.25">
      <c r="A4286" s="169">
        <v>7243</v>
      </c>
      <c r="B4286" s="169" t="s">
        <v>10289</v>
      </c>
      <c r="C4286" s="169" t="s">
        <v>10226</v>
      </c>
      <c r="D4286" s="169" t="s">
        <v>1289</v>
      </c>
      <c r="E4286" s="103" t="s">
        <v>20123</v>
      </c>
      <c r="F4286" s="104"/>
      <c r="G4286" s="105">
        <f t="shared" si="264"/>
        <v>47.96</v>
      </c>
      <c r="H4286" s="101" t="str">
        <f t="shared" si="265"/>
        <v>Sinapi 7243</v>
      </c>
      <c r="I4286" s="101" t="str">
        <f t="shared" si="266"/>
        <v>M2</v>
      </c>
      <c r="J4286" s="140" t="str">
        <f t="shared" si="267"/>
        <v>TELHA TRAPEZOIDAL EM ACO ZINCADO, SEM PINTURA, ALTURA DE APROXIMADAMENTE 40 MM, ESPESSURA DE 0,50 MM E LARGURA UTIL DE 980 MM</v>
      </c>
    </row>
    <row r="4287" spans="1:10" x14ac:dyDescent="0.25">
      <c r="A4287" s="169">
        <v>11067</v>
      </c>
      <c r="B4287" s="169" t="s">
        <v>27770</v>
      </c>
      <c r="C4287" s="169" t="s">
        <v>10225</v>
      </c>
      <c r="D4287" s="169" t="s">
        <v>1290</v>
      </c>
      <c r="E4287" s="103" t="s">
        <v>31308</v>
      </c>
      <c r="F4287" s="104"/>
      <c r="G4287" s="105">
        <f t="shared" si="264"/>
        <v>352.37</v>
      </c>
      <c r="H4287" s="101" t="str">
        <f t="shared" si="265"/>
        <v>Sinapi 11067</v>
      </c>
      <c r="I4287" s="101" t="str">
        <f t="shared" si="266"/>
        <v>UN</v>
      </c>
      <c r="J4287" s="140" t="str">
        <f t="shared" si="267"/>
        <v>TELHA TRAPEZOIDAL EM ALUMINIO, ALTURA DE *38* MM E ESPESSURA DE 0,5 MM (LARGURA TOTAL DE 1056 MM E COMPRIMENTO DE 5000 MM)</v>
      </c>
    </row>
    <row r="4288" spans="1:10" x14ac:dyDescent="0.25">
      <c r="A4288" s="169">
        <v>11068</v>
      </c>
      <c r="B4288" s="169" t="s">
        <v>27771</v>
      </c>
      <c r="C4288" s="169" t="s">
        <v>10225</v>
      </c>
      <c r="D4288" s="169" t="s">
        <v>1290</v>
      </c>
      <c r="E4288" s="103" t="s">
        <v>31309</v>
      </c>
      <c r="F4288" s="104"/>
      <c r="G4288" s="105">
        <f t="shared" si="264"/>
        <v>445.16</v>
      </c>
      <c r="H4288" s="101" t="str">
        <f t="shared" si="265"/>
        <v>Sinapi 11068</v>
      </c>
      <c r="I4288" s="101" t="str">
        <f t="shared" si="266"/>
        <v>UN</v>
      </c>
      <c r="J4288" s="140" t="str">
        <f t="shared" si="267"/>
        <v>TELHA TRAPEZOIDAL EM ALUMINIO, ALTURA DE *38* MM E ESPESSURA DE 0,7 MM (LARGURA TOTAL DE 1056 MM E COMPRIMENTO DE 5000 MM)</v>
      </c>
    </row>
    <row r="4289" spans="1:10" x14ac:dyDescent="0.25">
      <c r="A4289" s="169">
        <v>7246</v>
      </c>
      <c r="B4289" s="169" t="s">
        <v>27772</v>
      </c>
      <c r="C4289" s="169" t="s">
        <v>10225</v>
      </c>
      <c r="D4289" s="169" t="s">
        <v>1289</v>
      </c>
      <c r="E4289" s="103" t="s">
        <v>23301</v>
      </c>
      <c r="F4289" s="104"/>
      <c r="G4289" s="105">
        <f t="shared" si="264"/>
        <v>58.03</v>
      </c>
      <c r="H4289" s="101" t="str">
        <f t="shared" si="265"/>
        <v>Sinapi 7246</v>
      </c>
      <c r="I4289" s="101" t="str">
        <f t="shared" si="266"/>
        <v>UN</v>
      </c>
      <c r="J4289" s="140" t="str">
        <f t="shared" si="267"/>
        <v>TELHA VIDRO TIPO CANAL OU COLONIAL, C = 46 A 50 CM</v>
      </c>
    </row>
    <row r="4290" spans="1:10" x14ac:dyDescent="0.25">
      <c r="A4290" s="169">
        <v>41097</v>
      </c>
      <c r="B4290" s="169" t="s">
        <v>27773</v>
      </c>
      <c r="C4290" s="169" t="s">
        <v>10235</v>
      </c>
      <c r="D4290" s="169" t="s">
        <v>1289</v>
      </c>
      <c r="E4290" s="103" t="s">
        <v>31310</v>
      </c>
      <c r="F4290" s="104"/>
      <c r="G4290" s="105">
        <f t="shared" si="264"/>
        <v>3414.89</v>
      </c>
      <c r="H4290" s="101" t="str">
        <f t="shared" si="265"/>
        <v>Sinapi 41097</v>
      </c>
      <c r="I4290" s="101" t="str">
        <f t="shared" si="266"/>
        <v>MES</v>
      </c>
      <c r="J4290" s="140" t="str">
        <f t="shared" si="267"/>
        <v>TELHADOR (MENSALISTA)</v>
      </c>
    </row>
    <row r="4291" spans="1:10" x14ac:dyDescent="0.25">
      <c r="A4291" s="169">
        <v>12869</v>
      </c>
      <c r="B4291" s="169" t="s">
        <v>27774</v>
      </c>
      <c r="C4291" s="169" t="s">
        <v>10228</v>
      </c>
      <c r="D4291" s="169" t="s">
        <v>1289</v>
      </c>
      <c r="E4291" s="103" t="s">
        <v>21505</v>
      </c>
      <c r="F4291" s="104"/>
      <c r="G4291" s="105">
        <f t="shared" si="264"/>
        <v>19.62</v>
      </c>
      <c r="H4291" s="101" t="str">
        <f t="shared" si="265"/>
        <v>Sinapi 12869</v>
      </c>
      <c r="I4291" s="101" t="str">
        <f t="shared" si="266"/>
        <v>H</v>
      </c>
      <c r="J4291" s="140" t="str">
        <f t="shared" si="267"/>
        <v>TELHADOR (HORISTA)</v>
      </c>
    </row>
    <row r="4292" spans="1:10" x14ac:dyDescent="0.25">
      <c r="A4292" s="169">
        <v>1574</v>
      </c>
      <c r="B4292" s="169" t="s">
        <v>27775</v>
      </c>
      <c r="C4292" s="169" t="s">
        <v>10225</v>
      </c>
      <c r="D4292" s="169" t="s">
        <v>1289</v>
      </c>
      <c r="E4292" s="103" t="s">
        <v>18552</v>
      </c>
      <c r="F4292" s="104"/>
      <c r="G4292" s="105">
        <f t="shared" si="264"/>
        <v>1.77</v>
      </c>
      <c r="H4292" s="101" t="str">
        <f t="shared" si="265"/>
        <v>Sinapi 1574</v>
      </c>
      <c r="I4292" s="101" t="str">
        <f t="shared" si="266"/>
        <v>UN</v>
      </c>
      <c r="J4292" s="140" t="str">
        <f t="shared" si="267"/>
        <v>TERMINAL A COMPRESSAO EM COBRE ESTANHADO PARA CABO 10 MM2, 1 FURO E 1 COMPRESSAO, PARA PARAFUSO DE FIXACAO M6</v>
      </c>
    </row>
    <row r="4293" spans="1:10" x14ac:dyDescent="0.25">
      <c r="A4293" s="169">
        <v>1581</v>
      </c>
      <c r="B4293" s="169" t="s">
        <v>27776</v>
      </c>
      <c r="C4293" s="169" t="s">
        <v>10225</v>
      </c>
      <c r="D4293" s="169" t="s">
        <v>1289</v>
      </c>
      <c r="E4293" s="103" t="s">
        <v>28559</v>
      </c>
      <c r="F4293" s="104"/>
      <c r="G4293" s="105">
        <f t="shared" si="264"/>
        <v>12.3</v>
      </c>
      <c r="H4293" s="101" t="str">
        <f t="shared" si="265"/>
        <v>Sinapi 1581</v>
      </c>
      <c r="I4293" s="101" t="str">
        <f t="shared" si="266"/>
        <v>UN</v>
      </c>
      <c r="J4293" s="140" t="str">
        <f t="shared" si="267"/>
        <v>TERMINAL A COMPRESSAO EM COBRE ESTANHADO PARA CABO 120 MM2, 1 FURO E 1 COMPRESSAO, PARA PARAFUSO DE FIXACAO M12</v>
      </c>
    </row>
    <row r="4294" spans="1:10" x14ac:dyDescent="0.25">
      <c r="A4294" s="169">
        <v>1575</v>
      </c>
      <c r="B4294" s="169" t="s">
        <v>27777</v>
      </c>
      <c r="C4294" s="169" t="s">
        <v>10225</v>
      </c>
      <c r="D4294" s="169" t="s">
        <v>1289</v>
      </c>
      <c r="E4294" s="103" t="s">
        <v>21051</v>
      </c>
      <c r="F4294" s="104"/>
      <c r="G4294" s="105">
        <f t="shared" si="264"/>
        <v>2.1</v>
      </c>
      <c r="H4294" s="101" t="str">
        <f t="shared" si="265"/>
        <v>Sinapi 1575</v>
      </c>
      <c r="I4294" s="101" t="str">
        <f t="shared" si="266"/>
        <v>UN</v>
      </c>
      <c r="J4294" s="140" t="str">
        <f t="shared" si="267"/>
        <v>TERMINAL A COMPRESSAO EM COBRE ESTANHADO PARA CABO 16 MM2, 1 FURO E 1 COMPRESSAO, PARA PARAFUSO DE FIXACAO M6</v>
      </c>
    </row>
    <row r="4295" spans="1:10" x14ac:dyDescent="0.25">
      <c r="A4295" s="169">
        <v>1570</v>
      </c>
      <c r="B4295" s="169" t="s">
        <v>27778</v>
      </c>
      <c r="C4295" s="169" t="s">
        <v>10225</v>
      </c>
      <c r="D4295" s="169" t="s">
        <v>1289</v>
      </c>
      <c r="E4295" s="103" t="s">
        <v>16200</v>
      </c>
      <c r="F4295" s="104"/>
      <c r="G4295" s="105">
        <f t="shared" si="264"/>
        <v>1.06</v>
      </c>
      <c r="H4295" s="101" t="str">
        <f t="shared" si="265"/>
        <v>Sinapi 1570</v>
      </c>
      <c r="I4295" s="101" t="str">
        <f t="shared" si="266"/>
        <v>UN</v>
      </c>
      <c r="J4295" s="140" t="str">
        <f t="shared" si="267"/>
        <v>TERMINAL A COMPRESSAO EM COBRE ESTANHADO PARA CABO 2,5 MM2, 1 FURO E 1 COMPRESSAO, PARA PARAFUSO DE FIXACAO M5</v>
      </c>
    </row>
    <row r="4296" spans="1:10" x14ac:dyDescent="0.25">
      <c r="A4296" s="169">
        <v>1576</v>
      </c>
      <c r="B4296" s="169" t="s">
        <v>27779</v>
      </c>
      <c r="C4296" s="169" t="s">
        <v>10225</v>
      </c>
      <c r="D4296" s="169" t="s">
        <v>1289</v>
      </c>
      <c r="E4296" s="103" t="s">
        <v>22708</v>
      </c>
      <c r="F4296" s="104"/>
      <c r="G4296" s="105">
        <f t="shared" ref="G4296:G4359" si="268">IF(E4296="","",E4296+0)</f>
        <v>2.91</v>
      </c>
      <c r="H4296" s="101" t="str">
        <f t="shared" ref="H4296:H4359" si="269">IF(G4296="","",TRIM(CONCATENATE("Sinapi ",A4296)))</f>
        <v>Sinapi 1576</v>
      </c>
      <c r="I4296" s="101" t="str">
        <f t="shared" ref="I4296:I4359" si="270">TRIM(C4296)</f>
        <v>UN</v>
      </c>
      <c r="J4296" s="140" t="str">
        <f t="shared" si="267"/>
        <v>TERMINAL A COMPRESSAO EM COBRE ESTANHADO PARA CABO 25 MM2, 1 FURO E 1 COMPRESSAO, PARA PARAFUSO DE FIXACAO M8</v>
      </c>
    </row>
    <row r="4297" spans="1:10" x14ac:dyDescent="0.25">
      <c r="A4297" s="169">
        <v>1577</v>
      </c>
      <c r="B4297" s="169" t="s">
        <v>27781</v>
      </c>
      <c r="C4297" s="169" t="s">
        <v>10225</v>
      </c>
      <c r="D4297" s="169" t="s">
        <v>1289</v>
      </c>
      <c r="E4297" s="103" t="s">
        <v>29974</v>
      </c>
      <c r="F4297" s="104"/>
      <c r="G4297" s="105">
        <f t="shared" si="268"/>
        <v>3.28</v>
      </c>
      <c r="H4297" s="101" t="str">
        <f t="shared" si="269"/>
        <v>Sinapi 1577</v>
      </c>
      <c r="I4297" s="101" t="str">
        <f t="shared" si="270"/>
        <v>UN</v>
      </c>
      <c r="J4297" s="140" t="str">
        <f t="shared" ref="J4297:J4360" si="271">TRIM(B4297)</f>
        <v>TERMINAL A COMPRESSAO EM COBRE ESTANHADO PARA CABO 35 MM2, 1 FURO E 1 COMPRESSAO, PARA PARAFUSO DE FIXACAO M8</v>
      </c>
    </row>
    <row r="4298" spans="1:10" x14ac:dyDescent="0.25">
      <c r="A4298" s="169">
        <v>1571</v>
      </c>
      <c r="B4298" s="169" t="s">
        <v>27782</v>
      </c>
      <c r="C4298" s="169" t="s">
        <v>10225</v>
      </c>
      <c r="D4298" s="169" t="s">
        <v>1289</v>
      </c>
      <c r="E4298" s="103" t="s">
        <v>8384</v>
      </c>
      <c r="F4298" s="104"/>
      <c r="G4298" s="105">
        <f t="shared" si="268"/>
        <v>1.37</v>
      </c>
      <c r="H4298" s="101" t="str">
        <f t="shared" si="269"/>
        <v>Sinapi 1571</v>
      </c>
      <c r="I4298" s="101" t="str">
        <f t="shared" si="270"/>
        <v>UN</v>
      </c>
      <c r="J4298" s="140" t="str">
        <f t="shared" si="271"/>
        <v>TERMINAL A COMPRESSAO EM COBRE ESTANHADO PARA CABO 4 MM2, 1 FURO E 1 COMPRESSAO, PARA PARAFUSO DE FIXACAO M5</v>
      </c>
    </row>
    <row r="4299" spans="1:10" x14ac:dyDescent="0.25">
      <c r="A4299" s="169">
        <v>1578</v>
      </c>
      <c r="B4299" s="169" t="s">
        <v>27783</v>
      </c>
      <c r="C4299" s="169" t="s">
        <v>10225</v>
      </c>
      <c r="D4299" s="169" t="s">
        <v>1289</v>
      </c>
      <c r="E4299" s="103" t="s">
        <v>17924</v>
      </c>
      <c r="F4299" s="104"/>
      <c r="G4299" s="105">
        <f t="shared" si="268"/>
        <v>5.7</v>
      </c>
      <c r="H4299" s="101" t="str">
        <f t="shared" si="269"/>
        <v>Sinapi 1578</v>
      </c>
      <c r="I4299" s="101" t="str">
        <f t="shared" si="270"/>
        <v>UN</v>
      </c>
      <c r="J4299" s="140" t="str">
        <f t="shared" si="271"/>
        <v>TERMINAL A COMPRESSAO EM COBRE ESTANHADO PARA CABO 50 MM2, 1 FURO E 1 COMPRESSAO, PARA PARAFUSO DE FIXACAO M8</v>
      </c>
    </row>
    <row r="4300" spans="1:10" x14ac:dyDescent="0.25">
      <c r="A4300" s="169">
        <v>1573</v>
      </c>
      <c r="B4300" s="169" t="s">
        <v>27784</v>
      </c>
      <c r="C4300" s="169" t="s">
        <v>10225</v>
      </c>
      <c r="D4300" s="169" t="s">
        <v>1289</v>
      </c>
      <c r="E4300" s="103" t="s">
        <v>17969</v>
      </c>
      <c r="F4300" s="104"/>
      <c r="G4300" s="105">
        <f t="shared" si="268"/>
        <v>1.64</v>
      </c>
      <c r="H4300" s="101" t="str">
        <f t="shared" si="269"/>
        <v>Sinapi 1573</v>
      </c>
      <c r="I4300" s="101" t="str">
        <f t="shared" si="270"/>
        <v>UN</v>
      </c>
      <c r="J4300" s="140" t="str">
        <f t="shared" si="271"/>
        <v>TERMINAL A COMPRESSAO EM COBRE ESTANHADO PARA CABO 6 MM2, 1 FURO E 1 COMPRESSAO, PARA PARAFUSO DE FIXACAO M6</v>
      </c>
    </row>
    <row r="4301" spans="1:10" x14ac:dyDescent="0.25">
      <c r="A4301" s="169">
        <v>1579</v>
      </c>
      <c r="B4301" s="169" t="s">
        <v>27785</v>
      </c>
      <c r="C4301" s="169" t="s">
        <v>10225</v>
      </c>
      <c r="D4301" s="169" t="s">
        <v>1289</v>
      </c>
      <c r="E4301" s="103" t="s">
        <v>17396</v>
      </c>
      <c r="F4301" s="104"/>
      <c r="G4301" s="105">
        <f t="shared" si="268"/>
        <v>7.1</v>
      </c>
      <c r="H4301" s="101" t="str">
        <f t="shared" si="269"/>
        <v>Sinapi 1579</v>
      </c>
      <c r="I4301" s="101" t="str">
        <f t="shared" si="270"/>
        <v>UN</v>
      </c>
      <c r="J4301" s="140" t="str">
        <f t="shared" si="271"/>
        <v>TERMINAL A COMPRESSAO EM COBRE ESTANHADO PARA CABO 70 MM2, 1 FURO E 1 COMPRESSAO, PARA PARAFUSO DE FIXACAO M10</v>
      </c>
    </row>
    <row r="4302" spans="1:10" x14ac:dyDescent="0.25">
      <c r="A4302" s="169">
        <v>1580</v>
      </c>
      <c r="B4302" s="169" t="s">
        <v>27786</v>
      </c>
      <c r="C4302" s="169" t="s">
        <v>10225</v>
      </c>
      <c r="D4302" s="169" t="s">
        <v>1289</v>
      </c>
      <c r="E4302" s="103" t="s">
        <v>22876</v>
      </c>
      <c r="F4302" s="104"/>
      <c r="G4302" s="105">
        <f t="shared" si="268"/>
        <v>8.75</v>
      </c>
      <c r="H4302" s="101" t="str">
        <f t="shared" si="269"/>
        <v>Sinapi 1580</v>
      </c>
      <c r="I4302" s="101" t="str">
        <f t="shared" si="270"/>
        <v>UN</v>
      </c>
      <c r="J4302" s="140" t="str">
        <f t="shared" si="271"/>
        <v>TERMINAL A COMPRESSAO EM COBRE ESTANHADO PARA CABO 95 MM2, 1 FURO E 1 COMPRESSAO, PARA PARAFUSO DE FIXACAO M12</v>
      </c>
    </row>
    <row r="4303" spans="1:10" x14ac:dyDescent="0.25">
      <c r="A4303" s="169">
        <v>39321</v>
      </c>
      <c r="B4303" s="169" t="s">
        <v>27787</v>
      </c>
      <c r="C4303" s="169" t="s">
        <v>10225</v>
      </c>
      <c r="D4303" s="169" t="s">
        <v>1289</v>
      </c>
      <c r="E4303" s="103" t="s">
        <v>20653</v>
      </c>
      <c r="F4303" s="104"/>
      <c r="G4303" s="105">
        <f t="shared" si="268"/>
        <v>22.07</v>
      </c>
      <c r="H4303" s="101" t="str">
        <f t="shared" si="269"/>
        <v>Sinapi 39321</v>
      </c>
      <c r="I4303" s="101" t="str">
        <f t="shared" si="270"/>
        <v>UN</v>
      </c>
      <c r="J4303" s="140" t="str">
        <f t="shared" si="271"/>
        <v>TERMINAL DE VENTILACAO, 100 MM, SERIE NORMAL, ESGOTO PREDIAL</v>
      </c>
    </row>
    <row r="4304" spans="1:10" x14ac:dyDescent="0.25">
      <c r="A4304" s="169">
        <v>39319</v>
      </c>
      <c r="B4304" s="169" t="s">
        <v>27789</v>
      </c>
      <c r="C4304" s="169" t="s">
        <v>10225</v>
      </c>
      <c r="D4304" s="169" t="s">
        <v>1289</v>
      </c>
      <c r="E4304" s="103" t="s">
        <v>20121</v>
      </c>
      <c r="F4304" s="104"/>
      <c r="G4304" s="105">
        <f t="shared" si="268"/>
        <v>9.18</v>
      </c>
      <c r="H4304" s="101" t="str">
        <f t="shared" si="269"/>
        <v>Sinapi 39319</v>
      </c>
      <c r="I4304" s="101" t="str">
        <f t="shared" si="270"/>
        <v>UN</v>
      </c>
      <c r="J4304" s="140" t="str">
        <f t="shared" si="271"/>
        <v>TERMINAL DE VENTILACAO, 50 MM, SERIE NORMAL, ESGOTO PREDIAL</v>
      </c>
    </row>
    <row r="4305" spans="1:10" x14ac:dyDescent="0.25">
      <c r="A4305" s="169">
        <v>39320</v>
      </c>
      <c r="B4305" s="169" t="s">
        <v>27790</v>
      </c>
      <c r="C4305" s="169" t="s">
        <v>10225</v>
      </c>
      <c r="D4305" s="169" t="s">
        <v>1289</v>
      </c>
      <c r="E4305" s="103" t="s">
        <v>29747</v>
      </c>
      <c r="F4305" s="104"/>
      <c r="G4305" s="105">
        <f t="shared" si="268"/>
        <v>17.66</v>
      </c>
      <c r="H4305" s="101" t="str">
        <f t="shared" si="269"/>
        <v>Sinapi 39320</v>
      </c>
      <c r="I4305" s="101" t="str">
        <f t="shared" si="270"/>
        <v>UN</v>
      </c>
      <c r="J4305" s="140" t="str">
        <f t="shared" si="271"/>
        <v>TERMINAL DE VENTILACAO, 75 MM, SERIE NORMAL, ESGOTO PREDIAL</v>
      </c>
    </row>
    <row r="4306" spans="1:10" x14ac:dyDescent="0.25">
      <c r="A4306" s="169">
        <v>1591</v>
      </c>
      <c r="B4306" s="169" t="s">
        <v>27791</v>
      </c>
      <c r="C4306" s="169" t="s">
        <v>10225</v>
      </c>
      <c r="D4306" s="169" t="s">
        <v>1289</v>
      </c>
      <c r="E4306" s="103" t="s">
        <v>22041</v>
      </c>
      <c r="F4306" s="104"/>
      <c r="G4306" s="105">
        <f t="shared" si="268"/>
        <v>27.13</v>
      </c>
      <c r="H4306" s="101" t="str">
        <f t="shared" si="269"/>
        <v>Sinapi 1591</v>
      </c>
      <c r="I4306" s="101" t="str">
        <f t="shared" si="270"/>
        <v>UN</v>
      </c>
      <c r="J4306" s="140" t="str">
        <f t="shared" si="271"/>
        <v>TERMINAL METALICO A PRESSAO PARA 1 CABO DE 120 MM2, COM 1 FURO DE FIXACAO</v>
      </c>
    </row>
    <row r="4307" spans="1:10" x14ac:dyDescent="0.25">
      <c r="A4307" s="169">
        <v>1547</v>
      </c>
      <c r="B4307" s="169" t="s">
        <v>27792</v>
      </c>
      <c r="C4307" s="169" t="s">
        <v>10225</v>
      </c>
      <c r="D4307" s="169" t="s">
        <v>1289</v>
      </c>
      <c r="E4307" s="103" t="s">
        <v>31311</v>
      </c>
      <c r="F4307" s="104"/>
      <c r="G4307" s="105">
        <f t="shared" si="268"/>
        <v>142.18</v>
      </c>
      <c r="H4307" s="101" t="str">
        <f t="shared" si="269"/>
        <v>Sinapi 1547</v>
      </c>
      <c r="I4307" s="101" t="str">
        <f t="shared" si="270"/>
        <v>UN</v>
      </c>
      <c r="J4307" s="140" t="str">
        <f t="shared" si="271"/>
        <v>TERMINAL METALICO A PRESSAO PARA 1 CABO DE 150 A 185 MM2, COM 2 FUROS PARA FIXACAO</v>
      </c>
    </row>
    <row r="4308" spans="1:10" x14ac:dyDescent="0.25">
      <c r="A4308" s="169">
        <v>38196</v>
      </c>
      <c r="B4308" s="169" t="s">
        <v>27793</v>
      </c>
      <c r="C4308" s="169" t="s">
        <v>10225</v>
      </c>
      <c r="D4308" s="169" t="s">
        <v>1289</v>
      </c>
      <c r="E4308" s="103" t="s">
        <v>28550</v>
      </c>
      <c r="F4308" s="104"/>
      <c r="G4308" s="105">
        <f t="shared" si="268"/>
        <v>27.69</v>
      </c>
      <c r="H4308" s="101" t="str">
        <f t="shared" si="269"/>
        <v>Sinapi 38196</v>
      </c>
      <c r="I4308" s="101" t="str">
        <f t="shared" si="270"/>
        <v>UN</v>
      </c>
      <c r="J4308" s="140" t="str">
        <f t="shared" si="271"/>
        <v>TERMINAL METALICO A PRESSAO PARA 1 CABO DE 150 MM2, COM 1 FURO DE FIXACAO</v>
      </c>
    </row>
    <row r="4309" spans="1:10" x14ac:dyDescent="0.25">
      <c r="A4309" s="169">
        <v>1543</v>
      </c>
      <c r="B4309" s="169" t="s">
        <v>27794</v>
      </c>
      <c r="C4309" s="169" t="s">
        <v>10225</v>
      </c>
      <c r="D4309" s="169" t="s">
        <v>1289</v>
      </c>
      <c r="E4309" s="103" t="s">
        <v>21570</v>
      </c>
      <c r="F4309" s="104"/>
      <c r="G4309" s="105">
        <f t="shared" si="268"/>
        <v>29.43</v>
      </c>
      <c r="H4309" s="101" t="str">
        <f t="shared" si="269"/>
        <v>Sinapi 1543</v>
      </c>
      <c r="I4309" s="101" t="str">
        <f t="shared" si="270"/>
        <v>UN</v>
      </c>
      <c r="J4309" s="140" t="str">
        <f t="shared" si="271"/>
        <v>TERMINAL METALICO A PRESSAO PARA 1 CABO DE 16 A 25 MM2, COM 2 FUROS PARA FIXACAO</v>
      </c>
    </row>
    <row r="4310" spans="1:10" x14ac:dyDescent="0.25">
      <c r="A4310" s="169">
        <v>1585</v>
      </c>
      <c r="B4310" s="169" t="s">
        <v>27795</v>
      </c>
      <c r="C4310" s="169" t="s">
        <v>10225</v>
      </c>
      <c r="D4310" s="169" t="s">
        <v>1289</v>
      </c>
      <c r="E4310" s="103" t="s">
        <v>17924</v>
      </c>
      <c r="F4310" s="104"/>
      <c r="G4310" s="105">
        <f t="shared" si="268"/>
        <v>5.7</v>
      </c>
      <c r="H4310" s="101" t="str">
        <f t="shared" si="269"/>
        <v>Sinapi 1585</v>
      </c>
      <c r="I4310" s="101" t="str">
        <f t="shared" si="270"/>
        <v>UN</v>
      </c>
      <c r="J4310" s="140" t="str">
        <f t="shared" si="271"/>
        <v>TERMINAL METALICO A PRESSAO PARA 1 CABO DE 16 MM2, COM 1 FURO DE FIXACAO</v>
      </c>
    </row>
    <row r="4311" spans="1:10" x14ac:dyDescent="0.25">
      <c r="A4311" s="169">
        <v>1593</v>
      </c>
      <c r="B4311" s="169" t="s">
        <v>27796</v>
      </c>
      <c r="C4311" s="169" t="s">
        <v>10225</v>
      </c>
      <c r="D4311" s="169" t="s">
        <v>1289</v>
      </c>
      <c r="E4311" s="103" t="s">
        <v>31312</v>
      </c>
      <c r="F4311" s="104"/>
      <c r="G4311" s="105">
        <f t="shared" si="268"/>
        <v>30.26</v>
      </c>
      <c r="H4311" s="101" t="str">
        <f t="shared" si="269"/>
        <v>Sinapi 1593</v>
      </c>
      <c r="I4311" s="101" t="str">
        <f t="shared" si="270"/>
        <v>UN</v>
      </c>
      <c r="J4311" s="140" t="str">
        <f t="shared" si="271"/>
        <v>TERMINAL METALICO A PRESSAO PARA 1 CABO DE 185 MM2, COM 1 FURO DE FIXACAO</v>
      </c>
    </row>
    <row r="4312" spans="1:10" x14ac:dyDescent="0.25">
      <c r="A4312" s="169">
        <v>11838</v>
      </c>
      <c r="B4312" s="169" t="s">
        <v>27797</v>
      </c>
      <c r="C4312" s="169" t="s">
        <v>10225</v>
      </c>
      <c r="D4312" s="169" t="s">
        <v>1289</v>
      </c>
      <c r="E4312" s="103" t="s">
        <v>20624</v>
      </c>
      <c r="F4312" s="104"/>
      <c r="G4312" s="105">
        <f t="shared" si="268"/>
        <v>39.93</v>
      </c>
      <c r="H4312" s="101" t="str">
        <f t="shared" si="269"/>
        <v>Sinapi 11838</v>
      </c>
      <c r="I4312" s="101" t="str">
        <f t="shared" si="270"/>
        <v>UN</v>
      </c>
      <c r="J4312" s="140" t="str">
        <f t="shared" si="271"/>
        <v>TERMINAL METALICO A PRESSAO PARA 1 CABO DE 240 MM2, COM 1 FURO DE FIXACAO</v>
      </c>
    </row>
    <row r="4313" spans="1:10" x14ac:dyDescent="0.25">
      <c r="A4313" s="169">
        <v>1594</v>
      </c>
      <c r="B4313" s="169" t="s">
        <v>27798</v>
      </c>
      <c r="C4313" s="169" t="s">
        <v>10225</v>
      </c>
      <c r="D4313" s="169" t="s">
        <v>1289</v>
      </c>
      <c r="E4313" s="103" t="s">
        <v>21083</v>
      </c>
      <c r="F4313" s="104"/>
      <c r="G4313" s="105">
        <f t="shared" si="268"/>
        <v>40.369999999999997</v>
      </c>
      <c r="H4313" s="101" t="str">
        <f t="shared" si="269"/>
        <v>Sinapi 1594</v>
      </c>
      <c r="I4313" s="101" t="str">
        <f t="shared" si="270"/>
        <v>UN</v>
      </c>
      <c r="J4313" s="140" t="str">
        <f t="shared" si="271"/>
        <v>TERMINAL METALICO A PRESSAO PARA 1 CABO DE 25 A 35 MM2, COM 2 FUROS PARA FIXACAO</v>
      </c>
    </row>
    <row r="4314" spans="1:10" x14ac:dyDescent="0.25">
      <c r="A4314" s="169">
        <v>1586</v>
      </c>
      <c r="B4314" s="169" t="s">
        <v>27799</v>
      </c>
      <c r="C4314" s="169" t="s">
        <v>10225</v>
      </c>
      <c r="D4314" s="169" t="s">
        <v>1289</v>
      </c>
      <c r="E4314" s="103" t="s">
        <v>23182</v>
      </c>
      <c r="F4314" s="104"/>
      <c r="G4314" s="105">
        <f t="shared" si="268"/>
        <v>7.21</v>
      </c>
      <c r="H4314" s="101" t="str">
        <f t="shared" si="269"/>
        <v>Sinapi 1586</v>
      </c>
      <c r="I4314" s="101" t="str">
        <f t="shared" si="270"/>
        <v>UN</v>
      </c>
      <c r="J4314" s="140" t="str">
        <f t="shared" si="271"/>
        <v>TERMINAL METALICO A PRESSAO PARA 1 CABO DE 25 MM2, COM 1 FURO DE FIXACAO</v>
      </c>
    </row>
    <row r="4315" spans="1:10" x14ac:dyDescent="0.25">
      <c r="A4315" s="169">
        <v>11839</v>
      </c>
      <c r="B4315" s="169" t="s">
        <v>27800</v>
      </c>
      <c r="C4315" s="169" t="s">
        <v>10225</v>
      </c>
      <c r="D4315" s="169" t="s">
        <v>1289</v>
      </c>
      <c r="E4315" s="103" t="s">
        <v>26685</v>
      </c>
      <c r="F4315" s="104"/>
      <c r="G4315" s="105">
        <f t="shared" si="268"/>
        <v>58.1</v>
      </c>
      <c r="H4315" s="101" t="str">
        <f t="shared" si="269"/>
        <v>Sinapi 11839</v>
      </c>
      <c r="I4315" s="101" t="str">
        <f t="shared" si="270"/>
        <v>UN</v>
      </c>
      <c r="J4315" s="140" t="str">
        <f t="shared" si="271"/>
        <v>TERMINAL METALICO A PRESSAO PARA 1 CABO DE 300 MM2, COM 1 FURO DE FIXACAO</v>
      </c>
    </row>
    <row r="4316" spans="1:10" x14ac:dyDescent="0.25">
      <c r="A4316" s="169">
        <v>1587</v>
      </c>
      <c r="B4316" s="169" t="s">
        <v>27801</v>
      </c>
      <c r="C4316" s="169" t="s">
        <v>10225</v>
      </c>
      <c r="D4316" s="169" t="s">
        <v>1289</v>
      </c>
      <c r="E4316" s="103" t="s">
        <v>5223</v>
      </c>
      <c r="F4316" s="104"/>
      <c r="G4316" s="105">
        <f t="shared" si="268"/>
        <v>7.34</v>
      </c>
      <c r="H4316" s="101" t="str">
        <f t="shared" si="269"/>
        <v>Sinapi 1587</v>
      </c>
      <c r="I4316" s="101" t="str">
        <f t="shared" si="270"/>
        <v>UN</v>
      </c>
      <c r="J4316" s="140" t="str">
        <f t="shared" si="271"/>
        <v>TERMINAL METALICO A PRESSAO PARA 1 CABO DE 35 MM2, COM 1 FURO DE FIXACAO</v>
      </c>
    </row>
    <row r="4317" spans="1:10" x14ac:dyDescent="0.25">
      <c r="A4317" s="169">
        <v>1545</v>
      </c>
      <c r="B4317" s="169" t="s">
        <v>27802</v>
      </c>
      <c r="C4317" s="169" t="s">
        <v>10225</v>
      </c>
      <c r="D4317" s="169" t="s">
        <v>1289</v>
      </c>
      <c r="E4317" s="103" t="s">
        <v>31313</v>
      </c>
      <c r="F4317" s="104"/>
      <c r="G4317" s="105">
        <f t="shared" si="268"/>
        <v>69.72</v>
      </c>
      <c r="H4317" s="101" t="str">
        <f t="shared" si="269"/>
        <v>Sinapi 1545</v>
      </c>
      <c r="I4317" s="101" t="str">
        <f t="shared" si="270"/>
        <v>UN</v>
      </c>
      <c r="J4317" s="140" t="str">
        <f t="shared" si="271"/>
        <v>TERMINAL METALICO A PRESSAO PARA 1 CABO DE 50 A 70 MM2, COM 2 FUROS PARA FIXACAO</v>
      </c>
    </row>
    <row r="4318" spans="1:10" x14ac:dyDescent="0.25">
      <c r="A4318" s="169">
        <v>1588</v>
      </c>
      <c r="B4318" s="169" t="s">
        <v>27803</v>
      </c>
      <c r="C4318" s="169" t="s">
        <v>10225</v>
      </c>
      <c r="D4318" s="169" t="s">
        <v>1289</v>
      </c>
      <c r="E4318" s="103" t="s">
        <v>17144</v>
      </c>
      <c r="F4318" s="104"/>
      <c r="G4318" s="105">
        <f t="shared" si="268"/>
        <v>10.08</v>
      </c>
      <c r="H4318" s="101" t="str">
        <f t="shared" si="269"/>
        <v>Sinapi 1588</v>
      </c>
      <c r="I4318" s="101" t="str">
        <f t="shared" si="270"/>
        <v>UN</v>
      </c>
      <c r="J4318" s="140" t="str">
        <f t="shared" si="271"/>
        <v>TERMINAL METALICO A PRESSAO PARA 1 CABO DE 50 MM2, COM 1 FURO DE FIXACAO</v>
      </c>
    </row>
    <row r="4319" spans="1:10" x14ac:dyDescent="0.25">
      <c r="A4319" s="169">
        <v>1535</v>
      </c>
      <c r="B4319" s="169" t="s">
        <v>27804</v>
      </c>
      <c r="C4319" s="169" t="s">
        <v>10225</v>
      </c>
      <c r="D4319" s="169" t="s">
        <v>1289</v>
      </c>
      <c r="E4319" s="103" t="s">
        <v>14636</v>
      </c>
      <c r="F4319" s="104"/>
      <c r="G4319" s="105">
        <f t="shared" si="268"/>
        <v>5.8</v>
      </c>
      <c r="H4319" s="101" t="str">
        <f t="shared" si="269"/>
        <v>Sinapi 1535</v>
      </c>
      <c r="I4319" s="101" t="str">
        <f t="shared" si="270"/>
        <v>UN</v>
      </c>
      <c r="J4319" s="140" t="str">
        <f t="shared" si="271"/>
        <v>TERMINAL METALICO A PRESSAO PARA 1 CABO DE 6 A 10 MM2, COM 1 FURO DE FIXACAO</v>
      </c>
    </row>
    <row r="4320" spans="1:10" x14ac:dyDescent="0.25">
      <c r="A4320" s="169">
        <v>1589</v>
      </c>
      <c r="B4320" s="169" t="s">
        <v>27805</v>
      </c>
      <c r="C4320" s="169" t="s">
        <v>10225</v>
      </c>
      <c r="D4320" s="169" t="s">
        <v>1289</v>
      </c>
      <c r="E4320" s="103" t="s">
        <v>18356</v>
      </c>
      <c r="F4320" s="104"/>
      <c r="G4320" s="105">
        <f t="shared" si="268"/>
        <v>10.39</v>
      </c>
      <c r="H4320" s="101" t="str">
        <f t="shared" si="269"/>
        <v>Sinapi 1589</v>
      </c>
      <c r="I4320" s="101" t="str">
        <f t="shared" si="270"/>
        <v>UN</v>
      </c>
      <c r="J4320" s="140" t="str">
        <f t="shared" si="271"/>
        <v>TERMINAL METALICO A PRESSAO PARA 1 CABO DE 70 MM2, COM 1 FURO DE FIXACAO</v>
      </c>
    </row>
    <row r="4321" spans="1:10" x14ac:dyDescent="0.25">
      <c r="A4321" s="169">
        <v>1546</v>
      </c>
      <c r="B4321" s="169" t="s">
        <v>27806</v>
      </c>
      <c r="C4321" s="169" t="s">
        <v>10225</v>
      </c>
      <c r="D4321" s="169" t="s">
        <v>1289</v>
      </c>
      <c r="E4321" s="103" t="s">
        <v>31314</v>
      </c>
      <c r="F4321" s="104"/>
      <c r="G4321" s="105">
        <f t="shared" si="268"/>
        <v>117.65</v>
      </c>
      <c r="H4321" s="101" t="str">
        <f t="shared" si="269"/>
        <v>Sinapi 1546</v>
      </c>
      <c r="I4321" s="101" t="str">
        <f t="shared" si="270"/>
        <v>UN</v>
      </c>
      <c r="J4321" s="140" t="str">
        <f t="shared" si="271"/>
        <v>TERMINAL METALICO A PRESSAO PARA 1 CABO DE 95 A 120 MM2, COM 2 FUROS PARA FIXACAO</v>
      </c>
    </row>
    <row r="4322" spans="1:10" x14ac:dyDescent="0.25">
      <c r="A4322" s="169">
        <v>1590</v>
      </c>
      <c r="B4322" s="169" t="s">
        <v>27807</v>
      </c>
      <c r="C4322" s="169" t="s">
        <v>10225</v>
      </c>
      <c r="D4322" s="169" t="s">
        <v>1289</v>
      </c>
      <c r="E4322" s="103" t="s">
        <v>30331</v>
      </c>
      <c r="F4322" s="104"/>
      <c r="G4322" s="105">
        <f t="shared" si="268"/>
        <v>18.3</v>
      </c>
      <c r="H4322" s="101" t="str">
        <f t="shared" si="269"/>
        <v>Sinapi 1590</v>
      </c>
      <c r="I4322" s="101" t="str">
        <f t="shared" si="270"/>
        <v>UN</v>
      </c>
      <c r="J4322" s="140" t="str">
        <f t="shared" si="271"/>
        <v>TERMINAL METALICO A PRESSAO PARA 1 CABO DE 95 MM2, COM 1 FURO DE FIXACAO</v>
      </c>
    </row>
    <row r="4323" spans="1:10" x14ac:dyDescent="0.25">
      <c r="A4323" s="169">
        <v>1542</v>
      </c>
      <c r="B4323" s="169" t="s">
        <v>27808</v>
      </c>
      <c r="C4323" s="169" t="s">
        <v>10225</v>
      </c>
      <c r="D4323" s="169" t="s">
        <v>1289</v>
      </c>
      <c r="E4323" s="103" t="s">
        <v>20010</v>
      </c>
      <c r="F4323" s="104"/>
      <c r="G4323" s="105">
        <f t="shared" si="268"/>
        <v>24.24</v>
      </c>
      <c r="H4323" s="101" t="str">
        <f t="shared" si="269"/>
        <v>Sinapi 1542</v>
      </c>
      <c r="I4323" s="101" t="str">
        <f t="shared" si="270"/>
        <v>UN</v>
      </c>
      <c r="J4323" s="140" t="str">
        <f t="shared" si="271"/>
        <v>TERMINAL METALICO A PRESSAO 1 CABO, PARA CABOS DE 4 A 10 MM2, COM 2 FUROS PARA FIXACAO</v>
      </c>
    </row>
    <row r="4324" spans="1:10" x14ac:dyDescent="0.25">
      <c r="A4324" s="169">
        <v>38415</v>
      </c>
      <c r="B4324" s="169" t="s">
        <v>27809</v>
      </c>
      <c r="C4324" s="169" t="s">
        <v>10225</v>
      </c>
      <c r="D4324" s="169" t="s">
        <v>1289</v>
      </c>
      <c r="E4324" s="103" t="s">
        <v>31315</v>
      </c>
      <c r="F4324" s="104"/>
      <c r="G4324" s="105">
        <f t="shared" si="268"/>
        <v>1224.6099999999999</v>
      </c>
      <c r="H4324" s="101" t="str">
        <f t="shared" si="269"/>
        <v>Sinapi 38415</v>
      </c>
      <c r="I4324" s="101" t="str">
        <f t="shared" si="270"/>
        <v>UN</v>
      </c>
      <c r="J4324" s="140" t="str">
        <f t="shared" si="271"/>
        <v>TERMOFUSORA PARA TUBOS E CONEXOES EM PPR COM DIAMETROS DE 20 A 63 MM, POTENCIA DE 800 W, TENSAO 220 V</v>
      </c>
    </row>
    <row r="4325" spans="1:10" x14ac:dyDescent="0.25">
      <c r="A4325" s="169">
        <v>38414</v>
      </c>
      <c r="B4325" s="169" t="s">
        <v>27810</v>
      </c>
      <c r="C4325" s="169" t="s">
        <v>10225</v>
      </c>
      <c r="D4325" s="169" t="s">
        <v>1289</v>
      </c>
      <c r="E4325" s="103" t="s">
        <v>31316</v>
      </c>
      <c r="F4325" s="104"/>
      <c r="G4325" s="105">
        <f t="shared" si="268"/>
        <v>1718.76</v>
      </c>
      <c r="H4325" s="101" t="str">
        <f t="shared" si="269"/>
        <v>Sinapi 38414</v>
      </c>
      <c r="I4325" s="101" t="str">
        <f t="shared" si="270"/>
        <v>UN</v>
      </c>
      <c r="J4325" s="140" t="str">
        <f t="shared" si="271"/>
        <v>TERMOFUSORA PARA TUBOS E CONEXOES EM PPR COM DIAMETROS DE 75 A 110 MM, POTENCIA DE *1100* W, TENSAO 220 V</v>
      </c>
    </row>
    <row r="4326" spans="1:10" x14ac:dyDescent="0.25">
      <c r="A4326" s="169">
        <v>38128</v>
      </c>
      <c r="B4326" s="169" t="s">
        <v>27811</v>
      </c>
      <c r="C4326" s="169" t="s">
        <v>10231</v>
      </c>
      <c r="D4326" s="169" t="s">
        <v>1288</v>
      </c>
      <c r="E4326" s="103" t="s">
        <v>19878</v>
      </c>
      <c r="F4326" s="104"/>
      <c r="G4326" s="105">
        <f t="shared" si="268"/>
        <v>1.2</v>
      </c>
      <c r="H4326" s="101" t="str">
        <f t="shared" si="269"/>
        <v>Sinapi 38128</v>
      </c>
      <c r="I4326" s="101" t="str">
        <f t="shared" si="270"/>
        <v>KG</v>
      </c>
      <c r="J4326" s="140" t="str">
        <f t="shared" si="271"/>
        <v>TERRA VEGETAL (ENSACADA)</v>
      </c>
    </row>
    <row r="4327" spans="1:10" x14ac:dyDescent="0.25">
      <c r="A4327" s="169">
        <v>7253</v>
      </c>
      <c r="B4327" s="169" t="s">
        <v>956</v>
      </c>
      <c r="C4327" s="169" t="s">
        <v>10234</v>
      </c>
      <c r="D4327" s="169" t="s">
        <v>1289</v>
      </c>
      <c r="E4327" s="103" t="s">
        <v>25361</v>
      </c>
      <c r="F4327" s="104"/>
      <c r="G4327" s="105">
        <f t="shared" si="268"/>
        <v>257.14</v>
      </c>
      <c r="H4327" s="101" t="str">
        <f t="shared" si="269"/>
        <v>Sinapi 7253</v>
      </c>
      <c r="I4327" s="101" t="str">
        <f t="shared" si="270"/>
        <v>M3</v>
      </c>
      <c r="J4327" s="140" t="str">
        <f t="shared" si="271"/>
        <v>TERRA VEGETAL (GRANEL)</v>
      </c>
    </row>
    <row r="4328" spans="1:10" x14ac:dyDescent="0.25">
      <c r="A4328" s="169">
        <v>4806</v>
      </c>
      <c r="B4328" s="169" t="s">
        <v>27812</v>
      </c>
      <c r="C4328" s="169" t="s">
        <v>10229</v>
      </c>
      <c r="D4328" s="169" t="s">
        <v>1289</v>
      </c>
      <c r="E4328" s="103" t="s">
        <v>13427</v>
      </c>
      <c r="F4328" s="104"/>
      <c r="G4328" s="105">
        <f t="shared" si="268"/>
        <v>22.58</v>
      </c>
      <c r="H4328" s="101" t="str">
        <f t="shared" si="269"/>
        <v>Sinapi 4806</v>
      </c>
      <c r="I4328" s="101" t="str">
        <f t="shared" si="270"/>
        <v>M</v>
      </c>
      <c r="J4328" s="140" t="str">
        <f t="shared" si="271"/>
        <v>TESTEIRA ANTIDERRAPANTE PARA PISO VINILICO *5 X 2,5* CM, E = 2 MM</v>
      </c>
    </row>
    <row r="4329" spans="1:10" x14ac:dyDescent="0.25">
      <c r="A4329" s="169">
        <v>34401</v>
      </c>
      <c r="B4329" s="169" t="s">
        <v>27813</v>
      </c>
      <c r="C4329" s="169" t="s">
        <v>10225</v>
      </c>
      <c r="D4329" s="169" t="s">
        <v>1289</v>
      </c>
      <c r="E4329" s="103" t="s">
        <v>3812</v>
      </c>
      <c r="F4329" s="104"/>
      <c r="G4329" s="105">
        <f t="shared" si="268"/>
        <v>1.79</v>
      </c>
      <c r="H4329" s="101" t="str">
        <f t="shared" si="269"/>
        <v>Sinapi 34401</v>
      </c>
      <c r="I4329" s="101" t="str">
        <f t="shared" si="270"/>
        <v>UN</v>
      </c>
      <c r="J4329" s="140" t="str">
        <f t="shared" si="271"/>
        <v>TIJOLO CERAMICO LAMINADO 5,5 X 11 X 23 CM (L X A X C)</v>
      </c>
    </row>
    <row r="4330" spans="1:10" x14ac:dyDescent="0.25">
      <c r="A4330" s="169">
        <v>7260</v>
      </c>
      <c r="B4330" s="169" t="s">
        <v>27814</v>
      </c>
      <c r="C4330" s="169" t="s">
        <v>10225</v>
      </c>
      <c r="D4330" s="169" t="s">
        <v>1289</v>
      </c>
      <c r="E4330" s="103" t="s">
        <v>9573</v>
      </c>
      <c r="F4330" s="104"/>
      <c r="G4330" s="105">
        <f t="shared" si="268"/>
        <v>1.59</v>
      </c>
      <c r="H4330" s="101" t="str">
        <f t="shared" si="269"/>
        <v>Sinapi 7260</v>
      </c>
      <c r="I4330" s="101" t="str">
        <f t="shared" si="270"/>
        <v>UN</v>
      </c>
      <c r="J4330" s="140" t="str">
        <f t="shared" si="271"/>
        <v>TIJOLO CERAMICO MACICO APARENTE *6 X 12 X 24* CM (L X A X C)</v>
      </c>
    </row>
    <row r="4331" spans="1:10" x14ac:dyDescent="0.25">
      <c r="A4331" s="169">
        <v>7256</v>
      </c>
      <c r="B4331" s="169" t="s">
        <v>27815</v>
      </c>
      <c r="C4331" s="169" t="s">
        <v>10225</v>
      </c>
      <c r="D4331" s="169" t="s">
        <v>1289</v>
      </c>
      <c r="E4331" s="103" t="s">
        <v>10393</v>
      </c>
      <c r="F4331" s="104"/>
      <c r="G4331" s="105">
        <f t="shared" si="268"/>
        <v>1.57</v>
      </c>
      <c r="H4331" s="101" t="str">
        <f t="shared" si="269"/>
        <v>Sinapi 7256</v>
      </c>
      <c r="I4331" s="101" t="str">
        <f t="shared" si="270"/>
        <v>UN</v>
      </c>
      <c r="J4331" s="140" t="str">
        <f t="shared" si="271"/>
        <v>TIJOLO CERAMICO MACICO APARENTE 2 FUROS, *6,5 X 10 X 20* CM (L X A X C)</v>
      </c>
    </row>
    <row r="4332" spans="1:10" x14ac:dyDescent="0.25">
      <c r="A4332" s="169">
        <v>7258</v>
      </c>
      <c r="B4332" s="169" t="s">
        <v>10396</v>
      </c>
      <c r="C4332" s="169" t="s">
        <v>10225</v>
      </c>
      <c r="D4332" s="169" t="s">
        <v>1289</v>
      </c>
      <c r="E4332" s="103" t="s">
        <v>3117</v>
      </c>
      <c r="F4332" s="104"/>
      <c r="G4332" s="105">
        <f t="shared" si="268"/>
        <v>0.64</v>
      </c>
      <c r="H4332" s="101" t="str">
        <f t="shared" si="269"/>
        <v>Sinapi 7258</v>
      </c>
      <c r="I4332" s="101" t="str">
        <f t="shared" si="270"/>
        <v>UN</v>
      </c>
      <c r="J4332" s="140" t="str">
        <f t="shared" si="271"/>
        <v>TIJOLO CERAMICO MACICO COMUM *5 X 10 X 20* CM (L X A X C)</v>
      </c>
    </row>
    <row r="4333" spans="1:10" x14ac:dyDescent="0.25">
      <c r="A4333" s="169">
        <v>34400</v>
      </c>
      <c r="B4333" s="169" t="s">
        <v>27816</v>
      </c>
      <c r="C4333" s="169" t="s">
        <v>10225</v>
      </c>
      <c r="D4333" s="169" t="s">
        <v>1289</v>
      </c>
      <c r="E4333" s="103" t="s">
        <v>3769</v>
      </c>
      <c r="F4333" s="104"/>
      <c r="G4333" s="105">
        <f t="shared" si="268"/>
        <v>2.76</v>
      </c>
      <c r="H4333" s="101" t="str">
        <f t="shared" si="269"/>
        <v>Sinapi 34400</v>
      </c>
      <c r="I4333" s="101" t="str">
        <f t="shared" si="270"/>
        <v>UN</v>
      </c>
      <c r="J4333" s="140" t="str">
        <f t="shared" si="271"/>
        <v>TIJOLO CERAMICO REFRATARIO 2,5 X 11,4 X 22,9 CM (L X A X C)</v>
      </c>
    </row>
    <row r="4334" spans="1:10" x14ac:dyDescent="0.25">
      <c r="A4334" s="169">
        <v>10617</v>
      </c>
      <c r="B4334" s="169" t="s">
        <v>27817</v>
      </c>
      <c r="C4334" s="169" t="s">
        <v>10225</v>
      </c>
      <c r="D4334" s="169" t="s">
        <v>1289</v>
      </c>
      <c r="E4334" s="103" t="s">
        <v>20471</v>
      </c>
      <c r="F4334" s="104"/>
      <c r="G4334" s="105">
        <f t="shared" si="268"/>
        <v>5.27</v>
      </c>
      <c r="H4334" s="101" t="str">
        <f t="shared" si="269"/>
        <v>Sinapi 10617</v>
      </c>
      <c r="I4334" s="101" t="str">
        <f t="shared" si="270"/>
        <v>UN</v>
      </c>
      <c r="J4334" s="140" t="str">
        <f t="shared" si="271"/>
        <v>TIJOLO CERAMICO REFRATARIO 6,3 X 11,4 X 22,9 CM (L X A X C)</v>
      </c>
    </row>
    <row r="4335" spans="1:10" x14ac:dyDescent="0.25">
      <c r="A4335" s="169">
        <v>44261</v>
      </c>
      <c r="B4335" s="169" t="s">
        <v>27818</v>
      </c>
      <c r="C4335" s="169" t="s">
        <v>10225</v>
      </c>
      <c r="D4335" s="169" t="s">
        <v>1289</v>
      </c>
      <c r="E4335" s="103" t="s">
        <v>31317</v>
      </c>
      <c r="F4335" s="104"/>
      <c r="G4335" s="105">
        <f t="shared" si="268"/>
        <v>146.65</v>
      </c>
      <c r="H4335" s="101" t="str">
        <f t="shared" si="269"/>
        <v>Sinapi 44261</v>
      </c>
      <c r="I4335" s="101" t="str">
        <f t="shared" si="270"/>
        <v>UN</v>
      </c>
      <c r="J4335" s="140" t="str">
        <f t="shared" si="271"/>
        <v>TIL CONDOMINIAL, PVC, DN 100 X 100 MM, PARA REDE COLETORA DE ESGOTO</v>
      </c>
    </row>
    <row r="4336" spans="1:10" x14ac:dyDescent="0.25">
      <c r="A4336" s="169">
        <v>7274</v>
      </c>
      <c r="B4336" s="169" t="s">
        <v>27819</v>
      </c>
      <c r="C4336" s="169" t="s">
        <v>10225</v>
      </c>
      <c r="D4336" s="169" t="s">
        <v>1289</v>
      </c>
      <c r="E4336" s="103" t="s">
        <v>31318</v>
      </c>
      <c r="F4336" s="104"/>
      <c r="G4336" s="105">
        <f t="shared" si="268"/>
        <v>70.989999999999995</v>
      </c>
      <c r="H4336" s="101" t="str">
        <f t="shared" si="269"/>
        <v>Sinapi 7274</v>
      </c>
      <c r="I4336" s="101" t="str">
        <f t="shared" si="270"/>
        <v>UN</v>
      </c>
      <c r="J4336" s="140" t="str">
        <f t="shared" si="271"/>
        <v>TIL PARA LIGACAO PREDIAL, EM PVC, JE, BBB, DN 100 X 100 MM, PARA REDE COLETORA ESGOTO</v>
      </c>
    </row>
    <row r="4337" spans="1:10" x14ac:dyDescent="0.25">
      <c r="A4337" s="169">
        <v>44326</v>
      </c>
      <c r="B4337" s="169" t="s">
        <v>27820</v>
      </c>
      <c r="C4337" s="169" t="s">
        <v>10225</v>
      </c>
      <c r="D4337" s="169" t="s">
        <v>1289</v>
      </c>
      <c r="E4337" s="103" t="s">
        <v>31319</v>
      </c>
      <c r="F4337" s="104"/>
      <c r="G4337" s="105">
        <f t="shared" si="268"/>
        <v>1533.36</v>
      </c>
      <c r="H4337" s="101" t="str">
        <f t="shared" si="269"/>
        <v>Sinapi 44326</v>
      </c>
      <c r="I4337" s="101" t="str">
        <f t="shared" si="270"/>
        <v>UN</v>
      </c>
      <c r="J4337" s="140" t="str">
        <f t="shared" si="271"/>
        <v>TIL RADIAL, PVC, JE, BBB, DN 300 X 200 MM, PARA REDE COLETORA DE ESGOTO (NBR 10.569)</v>
      </c>
    </row>
    <row r="4338" spans="1:10" x14ac:dyDescent="0.25">
      <c r="A4338" s="169">
        <v>154</v>
      </c>
      <c r="B4338" s="169" t="s">
        <v>27821</v>
      </c>
      <c r="C4338" s="169" t="s">
        <v>10230</v>
      </c>
      <c r="D4338" s="169" t="s">
        <v>1289</v>
      </c>
      <c r="E4338" s="103" t="s">
        <v>31320</v>
      </c>
      <c r="F4338" s="104"/>
      <c r="G4338" s="105">
        <f t="shared" si="268"/>
        <v>87.3</v>
      </c>
      <c r="H4338" s="101" t="str">
        <f t="shared" si="269"/>
        <v>Sinapi 154</v>
      </c>
      <c r="I4338" s="101" t="str">
        <f t="shared" si="270"/>
        <v>L</v>
      </c>
      <c r="J4338" s="140" t="str">
        <f t="shared" si="271"/>
        <v>TINTA / REVESTIMENTO A BASE DE RESINA EPOXI COM ALCATRAO, BICOMPONENTE</v>
      </c>
    </row>
    <row r="4339" spans="1:10" x14ac:dyDescent="0.25">
      <c r="A4339" s="169">
        <v>38121</v>
      </c>
      <c r="B4339" s="169" t="s">
        <v>27823</v>
      </c>
      <c r="C4339" s="169" t="s">
        <v>10230</v>
      </c>
      <c r="D4339" s="169" t="s">
        <v>1289</v>
      </c>
      <c r="E4339" s="103" t="s">
        <v>15637</v>
      </c>
      <c r="F4339" s="104"/>
      <c r="G4339" s="105">
        <f t="shared" si="268"/>
        <v>19.5</v>
      </c>
      <c r="H4339" s="101" t="str">
        <f t="shared" si="269"/>
        <v>Sinapi 38121</v>
      </c>
      <c r="I4339" s="101" t="str">
        <f t="shared" si="270"/>
        <v>L</v>
      </c>
      <c r="J4339" s="140" t="str">
        <f t="shared" si="271"/>
        <v>TINTA A BASE DE RESINA ACRILICA EMULSIONADA EM AGUA, PARA SINALIZACAO HORIZONTAL VIARIA (NBR 13699:2012)</v>
      </c>
    </row>
    <row r="4340" spans="1:10" x14ac:dyDescent="0.25">
      <c r="A4340" s="169">
        <v>43776</v>
      </c>
      <c r="B4340" s="169" t="s">
        <v>27825</v>
      </c>
      <c r="C4340" s="169" t="s">
        <v>10230</v>
      </c>
      <c r="D4340" s="169" t="s">
        <v>1289</v>
      </c>
      <c r="E4340" s="103" t="s">
        <v>15520</v>
      </c>
      <c r="F4340" s="104"/>
      <c r="G4340" s="105">
        <f t="shared" si="268"/>
        <v>23.19</v>
      </c>
      <c r="H4340" s="101" t="str">
        <f t="shared" si="269"/>
        <v>Sinapi 43776</v>
      </c>
      <c r="I4340" s="101" t="str">
        <f t="shared" si="270"/>
        <v>L</v>
      </c>
      <c r="J4340" s="140" t="str">
        <f t="shared" si="271"/>
        <v>TINTA A OLEO BRILHANTE, PARA MADEIRAS E METAIS</v>
      </c>
    </row>
    <row r="4341" spans="1:10" x14ac:dyDescent="0.25">
      <c r="A4341" s="169">
        <v>7343</v>
      </c>
      <c r="B4341" s="169" t="s">
        <v>27826</v>
      </c>
      <c r="C4341" s="169" t="s">
        <v>10230</v>
      </c>
      <c r="D4341" s="169" t="s">
        <v>1289</v>
      </c>
      <c r="E4341" s="103" t="s">
        <v>21965</v>
      </c>
      <c r="F4341" s="104"/>
      <c r="G4341" s="105">
        <f t="shared" si="268"/>
        <v>17.25</v>
      </c>
      <c r="H4341" s="101" t="str">
        <f t="shared" si="269"/>
        <v>Sinapi 7343</v>
      </c>
      <c r="I4341" s="101" t="str">
        <f t="shared" si="270"/>
        <v>L</v>
      </c>
      <c r="J4341" s="140" t="str">
        <f t="shared" si="271"/>
        <v>TINTA ACRILICA A BASE DE SOLVENTE, PARA SINALIZACAO HORIZONTAL VIARIA (NBR 11862)</v>
      </c>
    </row>
    <row r="4342" spans="1:10" x14ac:dyDescent="0.25">
      <c r="A4342" s="169">
        <v>7348</v>
      </c>
      <c r="B4342" s="169" t="s">
        <v>961</v>
      </c>
      <c r="C4342" s="169" t="s">
        <v>10230</v>
      </c>
      <c r="D4342" s="169" t="s">
        <v>1289</v>
      </c>
      <c r="E4342" s="103" t="s">
        <v>18719</v>
      </c>
      <c r="F4342" s="104"/>
      <c r="G4342" s="105">
        <f t="shared" si="268"/>
        <v>22.46</v>
      </c>
      <c r="H4342" s="101" t="str">
        <f t="shared" si="269"/>
        <v>Sinapi 7348</v>
      </c>
      <c r="I4342" s="101" t="str">
        <f t="shared" si="270"/>
        <v>L</v>
      </c>
      <c r="J4342" s="140" t="str">
        <f t="shared" si="271"/>
        <v>TINTA ACRILICA PREMIUM PARA PISO</v>
      </c>
    </row>
    <row r="4343" spans="1:10" x14ac:dyDescent="0.25">
      <c r="A4343" s="169">
        <v>7313</v>
      </c>
      <c r="B4343" s="169" t="s">
        <v>27828</v>
      </c>
      <c r="C4343" s="169" t="s">
        <v>10230</v>
      </c>
      <c r="D4343" s="169" t="s">
        <v>1289</v>
      </c>
      <c r="E4343" s="103" t="s">
        <v>19416</v>
      </c>
      <c r="F4343" s="104"/>
      <c r="G4343" s="105">
        <f t="shared" si="268"/>
        <v>24.57</v>
      </c>
      <c r="H4343" s="101" t="str">
        <f t="shared" si="269"/>
        <v>Sinapi 7313</v>
      </c>
      <c r="I4343" s="101" t="str">
        <f t="shared" si="270"/>
        <v>L</v>
      </c>
      <c r="J4343" s="140" t="str">
        <f t="shared" si="271"/>
        <v>TINTA ASFALTICA IMPERMEABILIZANTE DILUIDA EM SOLVENTE, PARA MATERIAIS CIMENTICIOS, METAL E MADEIRA</v>
      </c>
    </row>
    <row r="4344" spans="1:10" x14ac:dyDescent="0.25">
      <c r="A4344" s="169">
        <v>7319</v>
      </c>
      <c r="B4344" s="169" t="s">
        <v>27829</v>
      </c>
      <c r="C4344" s="169" t="s">
        <v>10230</v>
      </c>
      <c r="D4344" s="169" t="s">
        <v>1289</v>
      </c>
      <c r="E4344" s="103" t="s">
        <v>14642</v>
      </c>
      <c r="F4344" s="104"/>
      <c r="G4344" s="105">
        <f t="shared" si="268"/>
        <v>14.06</v>
      </c>
      <c r="H4344" s="101" t="str">
        <f t="shared" si="269"/>
        <v>Sinapi 7319</v>
      </c>
      <c r="I4344" s="101" t="str">
        <f t="shared" si="270"/>
        <v>L</v>
      </c>
      <c r="J4344" s="140" t="str">
        <f t="shared" si="271"/>
        <v>TINTA ASFALTICA IMPERMEABILIZANTE DISPERSA EM AGUA, PARA MATERIAIS CIMENTICIOS</v>
      </c>
    </row>
    <row r="4345" spans="1:10" x14ac:dyDescent="0.25">
      <c r="A4345" s="169">
        <v>7314</v>
      </c>
      <c r="B4345" s="169" t="s">
        <v>27830</v>
      </c>
      <c r="C4345" s="169" t="s">
        <v>10230</v>
      </c>
      <c r="D4345" s="169" t="s">
        <v>1289</v>
      </c>
      <c r="E4345" s="103" t="s">
        <v>31321</v>
      </c>
      <c r="F4345" s="104"/>
      <c r="G4345" s="105">
        <f t="shared" si="268"/>
        <v>77.209999999999994</v>
      </c>
      <c r="H4345" s="101" t="str">
        <f t="shared" si="269"/>
        <v>Sinapi 7314</v>
      </c>
      <c r="I4345" s="101" t="str">
        <f t="shared" si="270"/>
        <v>L</v>
      </c>
      <c r="J4345" s="140" t="str">
        <f t="shared" si="271"/>
        <v>TINTA BORRACHA CLORADA, ACABAMENTO SEMIBRILHO, QUALQUER COR</v>
      </c>
    </row>
    <row r="4346" spans="1:10" x14ac:dyDescent="0.25">
      <c r="A4346" s="169">
        <v>7304</v>
      </c>
      <c r="B4346" s="169" t="s">
        <v>27831</v>
      </c>
      <c r="C4346" s="169" t="s">
        <v>10230</v>
      </c>
      <c r="D4346" s="169" t="s">
        <v>1289</v>
      </c>
      <c r="E4346" s="103" t="s">
        <v>21872</v>
      </c>
      <c r="F4346" s="104"/>
      <c r="G4346" s="105">
        <f t="shared" si="268"/>
        <v>68.739999999999995</v>
      </c>
      <c r="H4346" s="101" t="str">
        <f t="shared" si="269"/>
        <v>Sinapi 7304</v>
      </c>
      <c r="I4346" s="101" t="str">
        <f t="shared" si="270"/>
        <v>L</v>
      </c>
      <c r="J4346" s="140" t="str">
        <f t="shared" si="271"/>
        <v>TINTA EPOXI BASE AGUA PREMIUM, BRANCA</v>
      </c>
    </row>
    <row r="4347" spans="1:10" x14ac:dyDescent="0.25">
      <c r="A4347" s="169">
        <v>43649</v>
      </c>
      <c r="B4347" s="169" t="s">
        <v>27832</v>
      </c>
      <c r="C4347" s="169" t="s">
        <v>10230</v>
      </c>
      <c r="D4347" s="169" t="s">
        <v>1289</v>
      </c>
      <c r="E4347" s="103" t="s">
        <v>30891</v>
      </c>
      <c r="F4347" s="104"/>
      <c r="G4347" s="105">
        <f t="shared" si="268"/>
        <v>35.549999999999997</v>
      </c>
      <c r="H4347" s="101" t="str">
        <f t="shared" si="269"/>
        <v>Sinapi 43649</v>
      </c>
      <c r="I4347" s="101" t="str">
        <f t="shared" si="270"/>
        <v>L</v>
      </c>
      <c r="J4347" s="140" t="str">
        <f t="shared" si="271"/>
        <v>TINTA ESMALTE BASE AGUA PREMIUM ACETINADO</v>
      </c>
    </row>
    <row r="4348" spans="1:10" x14ac:dyDescent="0.25">
      <c r="A4348" s="169">
        <v>43650</v>
      </c>
      <c r="B4348" s="169" t="s">
        <v>27834</v>
      </c>
      <c r="C4348" s="169" t="s">
        <v>10230</v>
      </c>
      <c r="D4348" s="169" t="s">
        <v>1289</v>
      </c>
      <c r="E4348" s="103" t="s">
        <v>21187</v>
      </c>
      <c r="F4348" s="104"/>
      <c r="G4348" s="105">
        <f t="shared" si="268"/>
        <v>33.6</v>
      </c>
      <c r="H4348" s="101" t="str">
        <f t="shared" si="269"/>
        <v>Sinapi 43650</v>
      </c>
      <c r="I4348" s="101" t="str">
        <f t="shared" si="270"/>
        <v>L</v>
      </c>
      <c r="J4348" s="140" t="str">
        <f t="shared" si="271"/>
        <v>TINTA ESMALTE BASE AGUA PREMIUM BRILHANTE</v>
      </c>
    </row>
    <row r="4349" spans="1:10" x14ac:dyDescent="0.25">
      <c r="A4349" s="169">
        <v>7311</v>
      </c>
      <c r="B4349" s="169" t="s">
        <v>27835</v>
      </c>
      <c r="C4349" s="169" t="s">
        <v>10230</v>
      </c>
      <c r="D4349" s="169" t="s">
        <v>1289</v>
      </c>
      <c r="E4349" s="103" t="s">
        <v>31322</v>
      </c>
      <c r="F4349" s="104"/>
      <c r="G4349" s="105">
        <f t="shared" si="268"/>
        <v>34.409999999999997</v>
      </c>
      <c r="H4349" s="101" t="str">
        <f t="shared" si="269"/>
        <v>Sinapi 7311</v>
      </c>
      <c r="I4349" s="101" t="str">
        <f t="shared" si="270"/>
        <v>L</v>
      </c>
      <c r="J4349" s="140" t="str">
        <f t="shared" si="271"/>
        <v>TINTA ESMALTE SINTETICO PREMIUM ACETINADO</v>
      </c>
    </row>
    <row r="4350" spans="1:10" x14ac:dyDescent="0.25">
      <c r="A4350" s="169">
        <v>7292</v>
      </c>
      <c r="B4350" s="169" t="s">
        <v>27836</v>
      </c>
      <c r="C4350" s="169" t="s">
        <v>10230</v>
      </c>
      <c r="D4350" s="169" t="s">
        <v>1288</v>
      </c>
      <c r="E4350" s="103" t="s">
        <v>20097</v>
      </c>
      <c r="F4350" s="104"/>
      <c r="G4350" s="105">
        <f t="shared" si="268"/>
        <v>33.32</v>
      </c>
      <c r="H4350" s="101" t="str">
        <f t="shared" si="269"/>
        <v>Sinapi 7292</v>
      </c>
      <c r="I4350" s="101" t="str">
        <f t="shared" si="270"/>
        <v>L</v>
      </c>
      <c r="J4350" s="140" t="str">
        <f t="shared" si="271"/>
        <v>TINTA ESMALTE SINTETICO PREMIUM BRILHANTE</v>
      </c>
    </row>
    <row r="4351" spans="1:10" x14ac:dyDescent="0.25">
      <c r="A4351" s="169">
        <v>7293</v>
      </c>
      <c r="B4351" s="169" t="s">
        <v>27837</v>
      </c>
      <c r="C4351" s="169" t="s">
        <v>10230</v>
      </c>
      <c r="D4351" s="169" t="s">
        <v>1289</v>
      </c>
      <c r="E4351" s="103" t="s">
        <v>31323</v>
      </c>
      <c r="F4351" s="104"/>
      <c r="G4351" s="105">
        <f t="shared" si="268"/>
        <v>36.86</v>
      </c>
      <c r="H4351" s="101" t="str">
        <f t="shared" si="269"/>
        <v>Sinapi 7293</v>
      </c>
      <c r="I4351" s="101" t="str">
        <f t="shared" si="270"/>
        <v>L</v>
      </c>
      <c r="J4351" s="140" t="str">
        <f t="shared" si="271"/>
        <v>TINTA ESMALTE SINTETICO PREMIUM DE DUPLA ACAO GRAFITE FOSCO PARA SUPERFICIES METALICAS FERROSAS</v>
      </c>
    </row>
    <row r="4352" spans="1:10" x14ac:dyDescent="0.25">
      <c r="A4352" s="169">
        <v>7306</v>
      </c>
      <c r="B4352" s="169" t="s">
        <v>27838</v>
      </c>
      <c r="C4352" s="169" t="s">
        <v>10230</v>
      </c>
      <c r="D4352" s="169" t="s">
        <v>1289</v>
      </c>
      <c r="E4352" s="103" t="s">
        <v>31324</v>
      </c>
      <c r="F4352" s="104"/>
      <c r="G4352" s="105">
        <f t="shared" si="268"/>
        <v>40.68</v>
      </c>
      <c r="H4352" s="101" t="str">
        <f t="shared" si="269"/>
        <v>Sinapi 7306</v>
      </c>
      <c r="I4352" s="101" t="str">
        <f t="shared" si="270"/>
        <v>L</v>
      </c>
      <c r="J4352" s="140" t="str">
        <f t="shared" si="271"/>
        <v>TINTA ESMALTE SINTETICO PREMIUM DE EFEITO PROTETOR DE SUPERFICIE METALICA ALUMINIO</v>
      </c>
    </row>
    <row r="4353" spans="1:10" x14ac:dyDescent="0.25">
      <c r="A4353" s="169">
        <v>7288</v>
      </c>
      <c r="B4353" s="169" t="s">
        <v>27839</v>
      </c>
      <c r="C4353" s="169" t="s">
        <v>10230</v>
      </c>
      <c r="D4353" s="169" t="s">
        <v>1289</v>
      </c>
      <c r="E4353" s="103" t="s">
        <v>22027</v>
      </c>
      <c r="F4353" s="104"/>
      <c r="G4353" s="105">
        <f t="shared" si="268"/>
        <v>33.78</v>
      </c>
      <c r="H4353" s="101" t="str">
        <f t="shared" si="269"/>
        <v>Sinapi 7288</v>
      </c>
      <c r="I4353" s="101" t="str">
        <f t="shared" si="270"/>
        <v>L</v>
      </c>
      <c r="J4353" s="140" t="str">
        <f t="shared" si="271"/>
        <v>TINTA ESMALTE SINTETICO PREMIUM FOSCO</v>
      </c>
    </row>
    <row r="4354" spans="1:10" x14ac:dyDescent="0.25">
      <c r="A4354" s="169">
        <v>43625</v>
      </c>
      <c r="B4354" s="169" t="s">
        <v>27840</v>
      </c>
      <c r="C4354" s="169" t="s">
        <v>10230</v>
      </c>
      <c r="D4354" s="169" t="s">
        <v>1289</v>
      </c>
      <c r="E4354" s="103" t="s">
        <v>20249</v>
      </c>
      <c r="F4354" s="104"/>
      <c r="G4354" s="105">
        <f t="shared" si="268"/>
        <v>27.27</v>
      </c>
      <c r="H4354" s="101" t="str">
        <f t="shared" si="269"/>
        <v>Sinapi 43625</v>
      </c>
      <c r="I4354" s="101" t="str">
        <f t="shared" si="270"/>
        <v>L</v>
      </c>
      <c r="J4354" s="140" t="str">
        <f t="shared" si="271"/>
        <v>TINTA ESMALTE SINTETICO STANDARD ACETINADO</v>
      </c>
    </row>
    <row r="4355" spans="1:10" x14ac:dyDescent="0.25">
      <c r="A4355" s="169">
        <v>43647</v>
      </c>
      <c r="B4355" s="169" t="s">
        <v>27841</v>
      </c>
      <c r="C4355" s="169" t="s">
        <v>10230</v>
      </c>
      <c r="D4355" s="169" t="s">
        <v>1289</v>
      </c>
      <c r="E4355" s="103" t="s">
        <v>21905</v>
      </c>
      <c r="F4355" s="104"/>
      <c r="G4355" s="105">
        <f t="shared" si="268"/>
        <v>24.77</v>
      </c>
      <c r="H4355" s="101" t="str">
        <f t="shared" si="269"/>
        <v>Sinapi 43647</v>
      </c>
      <c r="I4355" s="101" t="str">
        <f t="shared" si="270"/>
        <v>L</v>
      </c>
      <c r="J4355" s="140" t="str">
        <f t="shared" si="271"/>
        <v>TINTA ESMALTE SINTETICO STANDARD BRILHANTE</v>
      </c>
    </row>
    <row r="4356" spans="1:10" x14ac:dyDescent="0.25">
      <c r="A4356" s="169">
        <v>43648</v>
      </c>
      <c r="B4356" s="169" t="s">
        <v>27843</v>
      </c>
      <c r="C4356" s="169" t="s">
        <v>10230</v>
      </c>
      <c r="D4356" s="169" t="s">
        <v>1289</v>
      </c>
      <c r="E4356" s="103" t="s">
        <v>24816</v>
      </c>
      <c r="F4356" s="104"/>
      <c r="G4356" s="105">
        <f t="shared" si="268"/>
        <v>23.9</v>
      </c>
      <c r="H4356" s="101" t="str">
        <f t="shared" si="269"/>
        <v>Sinapi 43648</v>
      </c>
      <c r="I4356" s="101" t="str">
        <f t="shared" si="270"/>
        <v>L</v>
      </c>
      <c r="J4356" s="140" t="str">
        <f t="shared" si="271"/>
        <v>TINTA ESMALTE SINTETICO STANDARD FOSCO</v>
      </c>
    </row>
    <row r="4357" spans="1:10" x14ac:dyDescent="0.25">
      <c r="A4357" s="169">
        <v>35693</v>
      </c>
      <c r="B4357" s="169" t="s">
        <v>27845</v>
      </c>
      <c r="C4357" s="169" t="s">
        <v>10230</v>
      </c>
      <c r="D4357" s="169" t="s">
        <v>1289</v>
      </c>
      <c r="E4357" s="103" t="s">
        <v>29382</v>
      </c>
      <c r="F4357" s="104"/>
      <c r="G4357" s="105">
        <f t="shared" si="268"/>
        <v>13.97</v>
      </c>
      <c r="H4357" s="101" t="str">
        <f t="shared" si="269"/>
        <v>Sinapi 35693</v>
      </c>
      <c r="I4357" s="101" t="str">
        <f t="shared" si="270"/>
        <v>L</v>
      </c>
      <c r="J4357" s="140" t="str">
        <f t="shared" si="271"/>
        <v>TINTA LATEX ACRILICA ECONOMICA, COR BRANCA</v>
      </c>
    </row>
    <row r="4358" spans="1:10" x14ac:dyDescent="0.25">
      <c r="A4358" s="169">
        <v>7356</v>
      </c>
      <c r="B4358" s="169" t="s">
        <v>27846</v>
      </c>
      <c r="C4358" s="169" t="s">
        <v>10230</v>
      </c>
      <c r="D4358" s="169" t="s">
        <v>1288</v>
      </c>
      <c r="E4358" s="103" t="s">
        <v>31325</v>
      </c>
      <c r="F4358" s="104"/>
      <c r="G4358" s="105">
        <f t="shared" si="268"/>
        <v>33.49</v>
      </c>
      <c r="H4358" s="101" t="str">
        <f t="shared" si="269"/>
        <v>Sinapi 7356</v>
      </c>
      <c r="I4358" s="101" t="str">
        <f t="shared" si="270"/>
        <v>L</v>
      </c>
      <c r="J4358" s="140" t="str">
        <f t="shared" si="271"/>
        <v>TINTA LATEX ACRILICA PREMIUM, COR BRANCO FOSCO</v>
      </c>
    </row>
    <row r="4359" spans="1:10" x14ac:dyDescent="0.25">
      <c r="A4359" s="169">
        <v>35692</v>
      </c>
      <c r="B4359" s="169" t="s">
        <v>27847</v>
      </c>
      <c r="C4359" s="169" t="s">
        <v>10230</v>
      </c>
      <c r="D4359" s="169" t="s">
        <v>1289</v>
      </c>
      <c r="E4359" s="103" t="s">
        <v>31175</v>
      </c>
      <c r="F4359" s="104"/>
      <c r="G4359" s="105">
        <f t="shared" si="268"/>
        <v>21.92</v>
      </c>
      <c r="H4359" s="101" t="str">
        <f t="shared" si="269"/>
        <v>Sinapi 35692</v>
      </c>
      <c r="I4359" s="101" t="str">
        <f t="shared" si="270"/>
        <v>L</v>
      </c>
      <c r="J4359" s="140" t="str">
        <f t="shared" si="271"/>
        <v>TINTA LATEX ACRILICA STANDARD, COR BRANCA</v>
      </c>
    </row>
    <row r="4360" spans="1:10" x14ac:dyDescent="0.25">
      <c r="A4360" s="169">
        <v>43624</v>
      </c>
      <c r="B4360" s="169" t="s">
        <v>27848</v>
      </c>
      <c r="C4360" s="169" t="s">
        <v>10230</v>
      </c>
      <c r="D4360" s="169" t="s">
        <v>1289</v>
      </c>
      <c r="E4360" s="103" t="s">
        <v>21565</v>
      </c>
      <c r="F4360" s="104"/>
      <c r="G4360" s="105">
        <f t="shared" ref="G4360:G4423" si="272">IF(E4360="","",E4360+0)</f>
        <v>40.82</v>
      </c>
      <c r="H4360" s="101" t="str">
        <f t="shared" ref="H4360:H4423" si="273">IF(G4360="","",TRIM(CONCATENATE("Sinapi ",A4360)))</f>
        <v>Sinapi 43624</v>
      </c>
      <c r="I4360" s="101" t="str">
        <f t="shared" ref="I4360:I4423" si="274">TRIM(C4360)</f>
        <v>L</v>
      </c>
      <c r="J4360" s="140" t="str">
        <f t="shared" si="271"/>
        <v>TINTA LATEX ACRILICA SUPER PREMIUM, COR BRANCO FOSCO</v>
      </c>
    </row>
    <row r="4361" spans="1:10" x14ac:dyDescent="0.25">
      <c r="A4361" s="169">
        <v>7342</v>
      </c>
      <c r="B4361" s="169" t="s">
        <v>27849</v>
      </c>
      <c r="C4361" s="169" t="s">
        <v>10231</v>
      </c>
      <c r="D4361" s="169" t="s">
        <v>1289</v>
      </c>
      <c r="E4361" s="103" t="s">
        <v>16213</v>
      </c>
      <c r="F4361" s="104"/>
      <c r="G4361" s="105">
        <f t="shared" si="272"/>
        <v>2.69</v>
      </c>
      <c r="H4361" s="101" t="str">
        <f t="shared" si="273"/>
        <v>Sinapi 7342</v>
      </c>
      <c r="I4361" s="101" t="str">
        <f t="shared" si="274"/>
        <v>KG</v>
      </c>
      <c r="J4361" s="140" t="str">
        <f t="shared" ref="J4361:J4424" si="275">TRIM(B4361)</f>
        <v>TINTA MINERAL IMPERMEAVEL EM PO, BRANCA</v>
      </c>
    </row>
    <row r="4362" spans="1:10" x14ac:dyDescent="0.25">
      <c r="A4362" s="169">
        <v>7350</v>
      </c>
      <c r="B4362" s="169" t="s">
        <v>27850</v>
      </c>
      <c r="C4362" s="169" t="s">
        <v>10230</v>
      </c>
      <c r="D4362" s="169" t="s">
        <v>1289</v>
      </c>
      <c r="E4362" s="103" t="s">
        <v>29188</v>
      </c>
      <c r="F4362" s="104"/>
      <c r="G4362" s="105">
        <f t="shared" si="272"/>
        <v>48.34</v>
      </c>
      <c r="H4362" s="101" t="str">
        <f t="shared" si="273"/>
        <v>Sinapi 7350</v>
      </c>
      <c r="I4362" s="101" t="str">
        <f t="shared" si="274"/>
        <v>L</v>
      </c>
      <c r="J4362" s="140" t="str">
        <f t="shared" si="275"/>
        <v>TINTA/RESINA ACRILICA PREMIUM PARA CERAMICA, PEDRAS E OUTROS</v>
      </c>
    </row>
    <row r="4363" spans="1:10" x14ac:dyDescent="0.25">
      <c r="A4363" s="169">
        <v>39574</v>
      </c>
      <c r="B4363" s="169" t="s">
        <v>27852</v>
      </c>
      <c r="C4363" s="169" t="s">
        <v>10225</v>
      </c>
      <c r="D4363" s="169" t="s">
        <v>1289</v>
      </c>
      <c r="E4363" s="103" t="s">
        <v>17956</v>
      </c>
      <c r="F4363" s="104"/>
      <c r="G4363" s="105">
        <f t="shared" si="272"/>
        <v>7.47</v>
      </c>
      <c r="H4363" s="101" t="str">
        <f t="shared" si="273"/>
        <v>Sinapi 39574</v>
      </c>
      <c r="I4363" s="101" t="str">
        <f t="shared" si="274"/>
        <v>UN</v>
      </c>
      <c r="J4363" s="140" t="str">
        <f t="shared" si="275"/>
        <v>TIRANTE COM ELO, EM ARAME GALVANIZADO RIGIDO, NUMERO 10, COMPRIMENTO 2000 MM, PARA PENDURAL DE FORRO REMOVIVEL</v>
      </c>
    </row>
    <row r="4364" spans="1:10" x14ac:dyDescent="0.25">
      <c r="A4364" s="169">
        <v>11060</v>
      </c>
      <c r="B4364" s="169" t="s">
        <v>27854</v>
      </c>
      <c r="C4364" s="169" t="s">
        <v>10225</v>
      </c>
      <c r="D4364" s="169" t="s">
        <v>1289</v>
      </c>
      <c r="E4364" s="103" t="s">
        <v>29275</v>
      </c>
      <c r="F4364" s="104"/>
      <c r="G4364" s="105">
        <f t="shared" si="272"/>
        <v>35.68</v>
      </c>
      <c r="H4364" s="101" t="str">
        <f t="shared" si="273"/>
        <v>Sinapi 11060</v>
      </c>
      <c r="I4364" s="101" t="str">
        <f t="shared" si="274"/>
        <v>UN</v>
      </c>
      <c r="J4364" s="140" t="str">
        <f t="shared" si="275"/>
        <v>TIRANTE EM FERRO GALVANIZADO PARA CONTRAVENTAMENTO DE TELHA CANALETE 90, 1/4 " X 400 MM</v>
      </c>
    </row>
    <row r="4365" spans="1:10" x14ac:dyDescent="0.25">
      <c r="A4365" s="169">
        <v>37401</v>
      </c>
      <c r="B4365" s="169" t="s">
        <v>27855</v>
      </c>
      <c r="C4365" s="169" t="s">
        <v>10225</v>
      </c>
      <c r="D4365" s="169" t="s">
        <v>1289</v>
      </c>
      <c r="E4365" s="103" t="s">
        <v>29437</v>
      </c>
      <c r="F4365" s="104"/>
      <c r="G4365" s="105">
        <f t="shared" si="272"/>
        <v>91.1</v>
      </c>
      <c r="H4365" s="101" t="str">
        <f t="shared" si="273"/>
        <v>Sinapi 37401</v>
      </c>
      <c r="I4365" s="101" t="str">
        <f t="shared" si="274"/>
        <v>UN</v>
      </c>
      <c r="J4365" s="140" t="str">
        <f t="shared" si="275"/>
        <v>TOALHEIRO PLASTICO TIPO DISPENSER PARA PAPEL TOALHA INTERFOLHADO</v>
      </c>
    </row>
    <row r="4366" spans="1:10" x14ac:dyDescent="0.25">
      <c r="A4366" s="169">
        <v>7525</v>
      </c>
      <c r="B4366" s="169" t="s">
        <v>27856</v>
      </c>
      <c r="C4366" s="169" t="s">
        <v>10225</v>
      </c>
      <c r="D4366" s="169" t="s">
        <v>1289</v>
      </c>
      <c r="E4366" s="103" t="s">
        <v>29457</v>
      </c>
      <c r="F4366" s="104"/>
      <c r="G4366" s="105">
        <f t="shared" si="272"/>
        <v>58.99</v>
      </c>
      <c r="H4366" s="101" t="str">
        <f t="shared" si="273"/>
        <v>Sinapi 7525</v>
      </c>
      <c r="I4366" s="101" t="str">
        <f t="shared" si="274"/>
        <v>UN</v>
      </c>
      <c r="J4366" s="140" t="str">
        <f t="shared" si="275"/>
        <v>TOMADA INDUSTRIAL DE EMBUTIR 3P+T 30 A, 440 V, COM TRAVA, COM PLACA</v>
      </c>
    </row>
    <row r="4367" spans="1:10" x14ac:dyDescent="0.25">
      <c r="A4367" s="169">
        <v>7524</v>
      </c>
      <c r="B4367" s="169" t="s">
        <v>27857</v>
      </c>
      <c r="C4367" s="169" t="s">
        <v>10225</v>
      </c>
      <c r="D4367" s="169" t="s">
        <v>1289</v>
      </c>
      <c r="E4367" s="103" t="s">
        <v>31326</v>
      </c>
      <c r="F4367" s="104"/>
      <c r="G4367" s="105">
        <f t="shared" si="272"/>
        <v>55.58</v>
      </c>
      <c r="H4367" s="101" t="str">
        <f t="shared" si="273"/>
        <v>Sinapi 7524</v>
      </c>
      <c r="I4367" s="101" t="str">
        <f t="shared" si="274"/>
        <v>UN</v>
      </c>
      <c r="J4367" s="140" t="str">
        <f t="shared" si="275"/>
        <v>TOMADA INDUSTRIAL DE EMBUTIR 3P+T 30 A, 440 V, COM TRAVA, SEM PLACA</v>
      </c>
    </row>
    <row r="4368" spans="1:10" x14ac:dyDescent="0.25">
      <c r="A4368" s="169">
        <v>38105</v>
      </c>
      <c r="B4368" s="169" t="s">
        <v>27858</v>
      </c>
      <c r="C4368" s="169" t="s">
        <v>10225</v>
      </c>
      <c r="D4368" s="169" t="s">
        <v>1289</v>
      </c>
      <c r="E4368" s="103" t="s">
        <v>13839</v>
      </c>
      <c r="F4368" s="104"/>
      <c r="G4368" s="105">
        <f t="shared" si="272"/>
        <v>14.28</v>
      </c>
      <c r="H4368" s="101" t="str">
        <f t="shared" si="273"/>
        <v>Sinapi 38105</v>
      </c>
      <c r="I4368" s="101" t="str">
        <f t="shared" si="274"/>
        <v>UN</v>
      </c>
      <c r="J4368" s="140" t="str">
        <f t="shared" si="275"/>
        <v>TOMADA PARA ANTENA DE TV, CABO COAXIAL DE 9 MM (APENAS MODULO)</v>
      </c>
    </row>
    <row r="4369" spans="1:10" x14ac:dyDescent="0.25">
      <c r="A4369" s="169">
        <v>38084</v>
      </c>
      <c r="B4369" s="169" t="s">
        <v>27860</v>
      </c>
      <c r="C4369" s="169" t="s">
        <v>10225</v>
      </c>
      <c r="D4369" s="169" t="s">
        <v>1289</v>
      </c>
      <c r="E4369" s="103" t="s">
        <v>28933</v>
      </c>
      <c r="F4369" s="104"/>
      <c r="G4369" s="105">
        <f t="shared" si="272"/>
        <v>20.28</v>
      </c>
      <c r="H4369" s="101" t="str">
        <f t="shared" si="273"/>
        <v>Sinapi 38084</v>
      </c>
      <c r="I4369" s="101" t="str">
        <f t="shared" si="274"/>
        <v>UN</v>
      </c>
      <c r="J4369" s="140" t="str">
        <f t="shared" si="275"/>
        <v>TOMADA PARA ANTENA DE TV, CABO COAXIAL DE 9 MM, CONJUNTO MONTADO PARA EMBUTIR 4" X 2" (PLACA + SUPORTE + MODULO)</v>
      </c>
    </row>
    <row r="4370" spans="1:10" x14ac:dyDescent="0.25">
      <c r="A4370" s="169">
        <v>38103</v>
      </c>
      <c r="B4370" s="169" t="s">
        <v>27861</v>
      </c>
      <c r="C4370" s="169" t="s">
        <v>10225</v>
      </c>
      <c r="D4370" s="169" t="s">
        <v>1289</v>
      </c>
      <c r="E4370" s="103" t="s">
        <v>18713</v>
      </c>
      <c r="F4370" s="104"/>
      <c r="G4370" s="105">
        <f t="shared" si="272"/>
        <v>21.44</v>
      </c>
      <c r="H4370" s="101" t="str">
        <f t="shared" si="273"/>
        <v>Sinapi 38103</v>
      </c>
      <c r="I4370" s="101" t="str">
        <f t="shared" si="274"/>
        <v>UN</v>
      </c>
      <c r="J4370" s="140" t="str">
        <f t="shared" si="275"/>
        <v>TOMADA RJ11, 2 FIOS (APENAS MODULO)</v>
      </c>
    </row>
    <row r="4371" spans="1:10" x14ac:dyDescent="0.25">
      <c r="A4371" s="169">
        <v>38082</v>
      </c>
      <c r="B4371" s="169" t="s">
        <v>27862</v>
      </c>
      <c r="C4371" s="169" t="s">
        <v>10225</v>
      </c>
      <c r="D4371" s="169" t="s">
        <v>1289</v>
      </c>
      <c r="E4371" s="103" t="s">
        <v>29414</v>
      </c>
      <c r="F4371" s="104"/>
      <c r="G4371" s="105">
        <f t="shared" si="272"/>
        <v>26.41</v>
      </c>
      <c r="H4371" s="101" t="str">
        <f t="shared" si="273"/>
        <v>Sinapi 38082</v>
      </c>
      <c r="I4371" s="101" t="str">
        <f t="shared" si="274"/>
        <v>UN</v>
      </c>
      <c r="J4371" s="140" t="str">
        <f t="shared" si="275"/>
        <v>TOMADA RJ11, 2 FIOS, CONJUNTO MONTADO PARA EMBUTIR 4" X 2" (PLACA + SUPORTE + MODULO)</v>
      </c>
    </row>
    <row r="4372" spans="1:10" x14ac:dyDescent="0.25">
      <c r="A4372" s="169">
        <v>38104</v>
      </c>
      <c r="B4372" s="169" t="s">
        <v>27863</v>
      </c>
      <c r="C4372" s="169" t="s">
        <v>10225</v>
      </c>
      <c r="D4372" s="169" t="s">
        <v>1289</v>
      </c>
      <c r="E4372" s="103" t="s">
        <v>30380</v>
      </c>
      <c r="F4372" s="104"/>
      <c r="G4372" s="105">
        <f t="shared" si="272"/>
        <v>41.97</v>
      </c>
      <c r="H4372" s="101" t="str">
        <f t="shared" si="273"/>
        <v>Sinapi 38104</v>
      </c>
      <c r="I4372" s="101" t="str">
        <f t="shared" si="274"/>
        <v>UN</v>
      </c>
      <c r="J4372" s="140" t="str">
        <f t="shared" si="275"/>
        <v>TOMADA RJ45, 8 FIOS, CAT 5E (APENAS MODULO)</v>
      </c>
    </row>
    <row r="4373" spans="1:10" x14ac:dyDescent="0.25">
      <c r="A4373" s="169">
        <v>38083</v>
      </c>
      <c r="B4373" s="169" t="s">
        <v>27864</v>
      </c>
      <c r="C4373" s="169" t="s">
        <v>10225</v>
      </c>
      <c r="D4373" s="169" t="s">
        <v>1289</v>
      </c>
      <c r="E4373" s="103" t="s">
        <v>28617</v>
      </c>
      <c r="F4373" s="104"/>
      <c r="G4373" s="105">
        <f t="shared" si="272"/>
        <v>46.6</v>
      </c>
      <c r="H4373" s="101" t="str">
        <f t="shared" si="273"/>
        <v>Sinapi 38083</v>
      </c>
      <c r="I4373" s="101" t="str">
        <f t="shared" si="274"/>
        <v>UN</v>
      </c>
      <c r="J4373" s="140" t="str">
        <f t="shared" si="275"/>
        <v>TOMADA RJ45, 8 FIOS, CAT 5E, CONJUNTO MONTADO PARA EMBUTIR 4" X 2" (PLACA + SUPORTE + MODULO)</v>
      </c>
    </row>
    <row r="4374" spans="1:10" x14ac:dyDescent="0.25">
      <c r="A4374" s="169">
        <v>38101</v>
      </c>
      <c r="B4374" s="169" t="s">
        <v>414</v>
      </c>
      <c r="C4374" s="169" t="s">
        <v>10225</v>
      </c>
      <c r="D4374" s="169" t="s">
        <v>1289</v>
      </c>
      <c r="E4374" s="103" t="s">
        <v>5620</v>
      </c>
      <c r="F4374" s="104"/>
      <c r="G4374" s="105">
        <f t="shared" si="272"/>
        <v>10.19</v>
      </c>
      <c r="H4374" s="101" t="str">
        <f t="shared" si="273"/>
        <v>Sinapi 38101</v>
      </c>
      <c r="I4374" s="101" t="str">
        <f t="shared" si="274"/>
        <v>UN</v>
      </c>
      <c r="J4374" s="140" t="str">
        <f t="shared" si="275"/>
        <v>TOMADA 2P+T 10A, 250V (APENAS MODULO)</v>
      </c>
    </row>
    <row r="4375" spans="1:10" x14ac:dyDescent="0.25">
      <c r="A4375" s="169">
        <v>7528</v>
      </c>
      <c r="B4375" s="169" t="s">
        <v>27867</v>
      </c>
      <c r="C4375" s="169" t="s">
        <v>10225</v>
      </c>
      <c r="D4375" s="169" t="s">
        <v>1288</v>
      </c>
      <c r="E4375" s="103" t="s">
        <v>8316</v>
      </c>
      <c r="F4375" s="104"/>
      <c r="G4375" s="105">
        <f t="shared" si="272"/>
        <v>11.98</v>
      </c>
      <c r="H4375" s="101" t="str">
        <f t="shared" si="273"/>
        <v>Sinapi 7528</v>
      </c>
      <c r="I4375" s="101" t="str">
        <f t="shared" si="274"/>
        <v>UN</v>
      </c>
      <c r="J4375" s="140" t="str">
        <f t="shared" si="275"/>
        <v>TOMADA 2P+T 10A, 250V, CONJUNTO MONTADO PARA EMBUTIR 4" X 2" (PLACA + SUPORTE + MODULO)</v>
      </c>
    </row>
    <row r="4376" spans="1:10" x14ac:dyDescent="0.25">
      <c r="A4376" s="169">
        <v>12147</v>
      </c>
      <c r="B4376" s="169" t="s">
        <v>27868</v>
      </c>
      <c r="C4376" s="169" t="s">
        <v>10225</v>
      </c>
      <c r="D4376" s="169" t="s">
        <v>1289</v>
      </c>
      <c r="E4376" s="103" t="s">
        <v>19388</v>
      </c>
      <c r="F4376" s="104"/>
      <c r="G4376" s="105">
        <f t="shared" si="272"/>
        <v>18.27</v>
      </c>
      <c r="H4376" s="101" t="str">
        <f t="shared" si="273"/>
        <v>Sinapi 12147</v>
      </c>
      <c r="I4376" s="101" t="str">
        <f t="shared" si="274"/>
        <v>UN</v>
      </c>
      <c r="J4376" s="140" t="str">
        <f t="shared" si="275"/>
        <v>TOMADA 2P+T 10A, 250V, CONJUNTO MONTADO PARA SOBREPOR 4" X 2" (CAIXA + MODULO)</v>
      </c>
    </row>
    <row r="4377" spans="1:10" x14ac:dyDescent="0.25">
      <c r="A4377" s="169">
        <v>38075</v>
      </c>
      <c r="B4377" s="169" t="s">
        <v>27869</v>
      </c>
      <c r="C4377" s="169" t="s">
        <v>10225</v>
      </c>
      <c r="D4377" s="169" t="s">
        <v>1289</v>
      </c>
      <c r="E4377" s="103" t="s">
        <v>15643</v>
      </c>
      <c r="F4377" s="104"/>
      <c r="G4377" s="105">
        <f t="shared" si="272"/>
        <v>20.75</v>
      </c>
      <c r="H4377" s="101" t="str">
        <f t="shared" si="273"/>
        <v>Sinapi 38075</v>
      </c>
      <c r="I4377" s="101" t="str">
        <f t="shared" si="274"/>
        <v>UN</v>
      </c>
      <c r="J4377" s="140" t="str">
        <f t="shared" si="275"/>
        <v>TOMADA 2P+T 20A 250V, CONJUNTO MONTADO PARA EMBUTIR 4" X 2" (PLACA + SUPORTE + MODULO)</v>
      </c>
    </row>
    <row r="4378" spans="1:10" x14ac:dyDescent="0.25">
      <c r="A4378" s="169">
        <v>38102</v>
      </c>
      <c r="B4378" s="169" t="s">
        <v>416</v>
      </c>
      <c r="C4378" s="169" t="s">
        <v>10225</v>
      </c>
      <c r="D4378" s="169" t="s">
        <v>1289</v>
      </c>
      <c r="E4378" s="103" t="s">
        <v>13652</v>
      </c>
      <c r="F4378" s="104"/>
      <c r="G4378" s="105">
        <f t="shared" si="272"/>
        <v>13.04</v>
      </c>
      <c r="H4378" s="101" t="str">
        <f t="shared" si="273"/>
        <v>Sinapi 38102</v>
      </c>
      <c r="I4378" s="101" t="str">
        <f t="shared" si="274"/>
        <v>UN</v>
      </c>
      <c r="J4378" s="140" t="str">
        <f t="shared" si="275"/>
        <v>TOMADA 2P+T 20A, 250V (APENAS MODULO)</v>
      </c>
    </row>
    <row r="4379" spans="1:10" x14ac:dyDescent="0.25">
      <c r="A4379" s="169">
        <v>38076</v>
      </c>
      <c r="B4379" s="169" t="s">
        <v>27870</v>
      </c>
      <c r="C4379" s="169" t="s">
        <v>10225</v>
      </c>
      <c r="D4379" s="169" t="s">
        <v>1289</v>
      </c>
      <c r="E4379" s="103" t="s">
        <v>19971</v>
      </c>
      <c r="F4379" s="104"/>
      <c r="G4379" s="105">
        <f t="shared" si="272"/>
        <v>23.26</v>
      </c>
      <c r="H4379" s="101" t="str">
        <f t="shared" si="273"/>
        <v>Sinapi 38076</v>
      </c>
      <c r="I4379" s="101" t="str">
        <f t="shared" si="274"/>
        <v>UN</v>
      </c>
      <c r="J4379" s="140" t="str">
        <f t="shared" si="275"/>
        <v>TOMADAS (2 MODULOS) 2P+T 10A, 250V, CONJUNTO MONTADO PARA EMBUTIR 4" X 2" (PLACA + SUPORTE + MODULOS)</v>
      </c>
    </row>
    <row r="4380" spans="1:10" x14ac:dyDescent="0.25">
      <c r="A4380" s="169">
        <v>7592</v>
      </c>
      <c r="B4380" s="169" t="s">
        <v>27871</v>
      </c>
      <c r="C4380" s="169" t="s">
        <v>10228</v>
      </c>
      <c r="D4380" s="169" t="s">
        <v>1288</v>
      </c>
      <c r="E4380" s="103" t="s">
        <v>22969</v>
      </c>
      <c r="F4380" s="104"/>
      <c r="G4380" s="105">
        <f t="shared" si="272"/>
        <v>30.01</v>
      </c>
      <c r="H4380" s="101" t="str">
        <f t="shared" si="273"/>
        <v>Sinapi 7592</v>
      </c>
      <c r="I4380" s="101" t="str">
        <f t="shared" si="274"/>
        <v>H</v>
      </c>
      <c r="J4380" s="140" t="str">
        <f t="shared" si="275"/>
        <v>TOPOGRAFO (HORISTA)</v>
      </c>
    </row>
    <row r="4381" spans="1:10" x14ac:dyDescent="0.25">
      <c r="A4381" s="169">
        <v>40820</v>
      </c>
      <c r="B4381" s="169" t="s">
        <v>27872</v>
      </c>
      <c r="C4381" s="169" t="s">
        <v>10235</v>
      </c>
      <c r="D4381" s="169" t="s">
        <v>1289</v>
      </c>
      <c r="E4381" s="103" t="s">
        <v>31327</v>
      </c>
      <c r="F4381" s="104"/>
      <c r="G4381" s="105">
        <f t="shared" si="272"/>
        <v>5221.53</v>
      </c>
      <c r="H4381" s="101" t="str">
        <f t="shared" si="273"/>
        <v>Sinapi 40820</v>
      </c>
      <c r="I4381" s="101" t="str">
        <f t="shared" si="274"/>
        <v>MES</v>
      </c>
      <c r="J4381" s="140" t="str">
        <f t="shared" si="275"/>
        <v>TOPOGRAFO (MENSALISTA)</v>
      </c>
    </row>
    <row r="4382" spans="1:10" x14ac:dyDescent="0.25">
      <c r="A4382" s="169">
        <v>11826</v>
      </c>
      <c r="B4382" s="169" t="s">
        <v>27873</v>
      </c>
      <c r="C4382" s="169" t="s">
        <v>10225</v>
      </c>
      <c r="D4382" s="169" t="s">
        <v>1289</v>
      </c>
      <c r="E4382" s="103" t="s">
        <v>22895</v>
      </c>
      <c r="F4382" s="104"/>
      <c r="G4382" s="105">
        <f t="shared" si="272"/>
        <v>54.73</v>
      </c>
      <c r="H4382" s="101" t="str">
        <f t="shared" si="273"/>
        <v>Sinapi 11826</v>
      </c>
      <c r="I4382" s="101" t="str">
        <f t="shared" si="274"/>
        <v>UN</v>
      </c>
      <c r="J4382" s="140" t="str">
        <f t="shared" si="275"/>
        <v>TORNEIRA DE BOIA BALAO METALICO, VAZAO TOTAL, PARA CAIXA D'AGUA, AGUA QUENTE, ROSCA 1/2 ", COM HASTE, TORNEIRA E BALAO METALICOS</v>
      </c>
    </row>
    <row r="4383" spans="1:10" x14ac:dyDescent="0.25">
      <c r="A4383" s="169">
        <v>7606</v>
      </c>
      <c r="B4383" s="169" t="s">
        <v>27874</v>
      </c>
      <c r="C4383" s="169" t="s">
        <v>10225</v>
      </c>
      <c r="D4383" s="169" t="s">
        <v>1289</v>
      </c>
      <c r="E4383" s="103" t="s">
        <v>29931</v>
      </c>
      <c r="F4383" s="104"/>
      <c r="G4383" s="105">
        <f t="shared" si="272"/>
        <v>65.819999999999993</v>
      </c>
      <c r="H4383" s="101" t="str">
        <f t="shared" si="273"/>
        <v>Sinapi 7606</v>
      </c>
      <c r="I4383" s="101" t="str">
        <f t="shared" si="274"/>
        <v>UN</v>
      </c>
      <c r="J4383" s="140" t="str">
        <f t="shared" si="275"/>
        <v>TORNEIRA DE BOIA BALAO METALICO, VAZAO TOTAL, PARA CAIXA D'AGUA, AGUA QUENTE, ROSCA 3/4 ", COM HASTE, TORNEIRA E BALAO METALICOS</v>
      </c>
    </row>
    <row r="4384" spans="1:10" x14ac:dyDescent="0.25">
      <c r="A4384" s="169">
        <v>11763</v>
      </c>
      <c r="B4384" s="169" t="s">
        <v>27875</v>
      </c>
      <c r="C4384" s="169" t="s">
        <v>10225</v>
      </c>
      <c r="D4384" s="169" t="s">
        <v>1289</v>
      </c>
      <c r="E4384" s="103" t="s">
        <v>31328</v>
      </c>
      <c r="F4384" s="104"/>
      <c r="G4384" s="105">
        <f t="shared" si="272"/>
        <v>143.72999999999999</v>
      </c>
      <c r="H4384" s="101" t="str">
        <f t="shared" si="273"/>
        <v>Sinapi 11763</v>
      </c>
      <c r="I4384" s="101" t="str">
        <f t="shared" si="274"/>
        <v>UN</v>
      </c>
      <c r="J4384" s="140" t="str">
        <f t="shared" si="275"/>
        <v>TORNEIRA DE BOIA CONVENCIONAL PARA CAIXA D'AGUA, AGUA FRIA, 1.1/2", COM HASTE E TORNEIRA METALICOS E BALAO PLASTICO</v>
      </c>
    </row>
    <row r="4385" spans="1:10" x14ac:dyDescent="0.25">
      <c r="A4385" s="169">
        <v>11764</v>
      </c>
      <c r="B4385" s="169" t="s">
        <v>27876</v>
      </c>
      <c r="C4385" s="169" t="s">
        <v>10225</v>
      </c>
      <c r="D4385" s="169" t="s">
        <v>1289</v>
      </c>
      <c r="E4385" s="103" t="s">
        <v>31329</v>
      </c>
      <c r="F4385" s="104"/>
      <c r="G4385" s="105">
        <f t="shared" si="272"/>
        <v>117.92</v>
      </c>
      <c r="H4385" s="101" t="str">
        <f t="shared" si="273"/>
        <v>Sinapi 11764</v>
      </c>
      <c r="I4385" s="101" t="str">
        <f t="shared" si="274"/>
        <v>UN</v>
      </c>
      <c r="J4385" s="140" t="str">
        <f t="shared" si="275"/>
        <v>TORNEIRA DE BOIA CONVENCIONAL PARA CAIXA D'AGUA, AGUA FRIA, 1.1/4", COM HASTE E TORNEIRA METALICOS E BALAO PLASTICO</v>
      </c>
    </row>
    <row r="4386" spans="1:10" x14ac:dyDescent="0.25">
      <c r="A4386" s="169">
        <v>11829</v>
      </c>
      <c r="B4386" s="169" t="s">
        <v>27877</v>
      </c>
      <c r="C4386" s="169" t="s">
        <v>10225</v>
      </c>
      <c r="D4386" s="169" t="s">
        <v>1289</v>
      </c>
      <c r="E4386" s="103" t="s">
        <v>30725</v>
      </c>
      <c r="F4386" s="104"/>
      <c r="G4386" s="105">
        <f t="shared" si="272"/>
        <v>28.5</v>
      </c>
      <c r="H4386" s="101" t="str">
        <f t="shared" si="273"/>
        <v>Sinapi 11829</v>
      </c>
      <c r="I4386" s="101" t="str">
        <f t="shared" si="274"/>
        <v>UN</v>
      </c>
      <c r="J4386" s="140" t="str">
        <f t="shared" si="275"/>
        <v>TORNEIRA DE BOIA CONVENCIONAL PARA CAIXA D'AGUA, AGUA FRIA, 1/2", COM HASTE E TORNEIRA METALICOS E BALAO PLASTICO</v>
      </c>
    </row>
    <row r="4387" spans="1:10" x14ac:dyDescent="0.25">
      <c r="A4387" s="169">
        <v>11830</v>
      </c>
      <c r="B4387" s="169" t="s">
        <v>27878</v>
      </c>
      <c r="C4387" s="169" t="s">
        <v>10225</v>
      </c>
      <c r="D4387" s="169" t="s">
        <v>1289</v>
      </c>
      <c r="E4387" s="103" t="s">
        <v>20131</v>
      </c>
      <c r="F4387" s="104"/>
      <c r="G4387" s="105">
        <f t="shared" si="272"/>
        <v>30.77</v>
      </c>
      <c r="H4387" s="101" t="str">
        <f t="shared" si="273"/>
        <v>Sinapi 11830</v>
      </c>
      <c r="I4387" s="101" t="str">
        <f t="shared" si="274"/>
        <v>UN</v>
      </c>
      <c r="J4387" s="140" t="str">
        <f t="shared" si="275"/>
        <v>TORNEIRA DE BOIA CONVENCIONAL PARA CAIXA D'AGUA, AGUA FRIA, 3/4", COM HASTE E TORNEIRA METALICOS E BALAO PLASTICO</v>
      </c>
    </row>
    <row r="4388" spans="1:10" x14ac:dyDescent="0.25">
      <c r="A4388" s="169">
        <v>11825</v>
      </c>
      <c r="B4388" s="169" t="s">
        <v>27879</v>
      </c>
      <c r="C4388" s="169" t="s">
        <v>10225</v>
      </c>
      <c r="D4388" s="169" t="s">
        <v>1289</v>
      </c>
      <c r="E4388" s="103" t="s">
        <v>31330</v>
      </c>
      <c r="F4388" s="104"/>
      <c r="G4388" s="105">
        <f t="shared" si="272"/>
        <v>69.239999999999995</v>
      </c>
      <c r="H4388" s="101" t="str">
        <f t="shared" si="273"/>
        <v>Sinapi 11825</v>
      </c>
      <c r="I4388" s="101" t="str">
        <f t="shared" si="274"/>
        <v>UN</v>
      </c>
      <c r="J4388" s="140" t="str">
        <f t="shared" si="275"/>
        <v>TORNEIRA DE BOIA CONVENCIONAL PARA CAIXA D'AGUA, 1", AGUA FRIA, COM HASTE E TORNEIRA METALICOS E BALAO PLASTICO</v>
      </c>
    </row>
    <row r="4389" spans="1:10" x14ac:dyDescent="0.25">
      <c r="A4389" s="169">
        <v>11767</v>
      </c>
      <c r="B4389" s="169" t="s">
        <v>27880</v>
      </c>
      <c r="C4389" s="169" t="s">
        <v>10225</v>
      </c>
      <c r="D4389" s="169" t="s">
        <v>1289</v>
      </c>
      <c r="E4389" s="103" t="s">
        <v>31331</v>
      </c>
      <c r="F4389" s="104"/>
      <c r="G4389" s="105">
        <f t="shared" si="272"/>
        <v>184.41</v>
      </c>
      <c r="H4389" s="101" t="str">
        <f t="shared" si="273"/>
        <v>Sinapi 11767</v>
      </c>
      <c r="I4389" s="101" t="str">
        <f t="shared" si="274"/>
        <v>UN</v>
      </c>
      <c r="J4389" s="140" t="str">
        <f t="shared" si="275"/>
        <v>TORNEIRA DE BOIA CONVENCIONAL PARA CAIXA D'AGUA, 2", AGUA FRIA, COM HASTE E TORNEIRA METALICOS E BALAO PLASTICO</v>
      </c>
    </row>
    <row r="4390" spans="1:10" x14ac:dyDescent="0.25">
      <c r="A4390" s="169">
        <v>11766</v>
      </c>
      <c r="B4390" s="169" t="s">
        <v>27881</v>
      </c>
      <c r="C4390" s="169" t="s">
        <v>10225</v>
      </c>
      <c r="D4390" s="169" t="s">
        <v>1289</v>
      </c>
      <c r="E4390" s="103" t="s">
        <v>31332</v>
      </c>
      <c r="F4390" s="104"/>
      <c r="G4390" s="105">
        <f t="shared" si="272"/>
        <v>42.98</v>
      </c>
      <c r="H4390" s="101" t="str">
        <f t="shared" si="273"/>
        <v>Sinapi 11766</v>
      </c>
      <c r="I4390" s="101" t="str">
        <f t="shared" si="274"/>
        <v>UN</v>
      </c>
      <c r="J4390" s="140" t="str">
        <f t="shared" si="275"/>
        <v>TORNEIRA DE BOIA VAZAO TOTAL PARA CAIXA D'AGUA, AGUA FRIA, BITOLA 1/2", COM HASTE E TORNEIRA METALICOS E BALAO PLASTICO</v>
      </c>
    </row>
    <row r="4391" spans="1:10" x14ac:dyDescent="0.25">
      <c r="A4391" s="169">
        <v>11765</v>
      </c>
      <c r="B4391" s="169" t="s">
        <v>27882</v>
      </c>
      <c r="C4391" s="169" t="s">
        <v>10225</v>
      </c>
      <c r="D4391" s="169" t="s">
        <v>1289</v>
      </c>
      <c r="E4391" s="103" t="s">
        <v>31333</v>
      </c>
      <c r="F4391" s="104"/>
      <c r="G4391" s="105">
        <f t="shared" si="272"/>
        <v>78.59</v>
      </c>
      <c r="H4391" s="101" t="str">
        <f t="shared" si="273"/>
        <v>Sinapi 11765</v>
      </c>
      <c r="I4391" s="101" t="str">
        <f t="shared" si="274"/>
        <v>UN</v>
      </c>
      <c r="J4391" s="140" t="str">
        <f t="shared" si="275"/>
        <v>TORNEIRA DE BOIA VAZAO TOTAL PARA CAIXA D'AGUA, AGUA FRIA, BITOLA 1", COM HASTE E TORNEIRA METALICOS E BALAO PLASTICO</v>
      </c>
    </row>
    <row r="4392" spans="1:10" x14ac:dyDescent="0.25">
      <c r="A4392" s="169">
        <v>11824</v>
      </c>
      <c r="B4392" s="169" t="s">
        <v>27883</v>
      </c>
      <c r="C4392" s="169" t="s">
        <v>10225</v>
      </c>
      <c r="D4392" s="169" t="s">
        <v>1289</v>
      </c>
      <c r="E4392" s="103" t="s">
        <v>28830</v>
      </c>
      <c r="F4392" s="104"/>
      <c r="G4392" s="105">
        <f t="shared" si="272"/>
        <v>50.56</v>
      </c>
      <c r="H4392" s="101" t="str">
        <f t="shared" si="273"/>
        <v>Sinapi 11824</v>
      </c>
      <c r="I4392" s="101" t="str">
        <f t="shared" si="274"/>
        <v>UN</v>
      </c>
      <c r="J4392" s="140" t="str">
        <f t="shared" si="275"/>
        <v>TORNEIRA DE BOIA VAZAO TOTAL PARA CAIXA D'AGUA, AGUA FRIA, BITOLA 3/4", COM HASTE E TORNEIRA METALICOS E BALAO PLASTICO</v>
      </c>
    </row>
    <row r="4393" spans="1:10" x14ac:dyDescent="0.25">
      <c r="A4393" s="169">
        <v>44045</v>
      </c>
      <c r="B4393" s="169" t="s">
        <v>27884</v>
      </c>
      <c r="C4393" s="169" t="s">
        <v>10225</v>
      </c>
      <c r="D4393" s="169" t="s">
        <v>1289</v>
      </c>
      <c r="E4393" s="103" t="s">
        <v>31334</v>
      </c>
      <c r="F4393" s="104"/>
      <c r="G4393" s="105">
        <f t="shared" si="272"/>
        <v>204.91</v>
      </c>
      <c r="H4393" s="101" t="str">
        <f t="shared" si="273"/>
        <v>Sinapi 44045</v>
      </c>
      <c r="I4393" s="101" t="str">
        <f t="shared" si="274"/>
        <v>UN</v>
      </c>
      <c r="J4393" s="140" t="str">
        <f t="shared" si="275"/>
        <v>TORNEIRA DE MESA PARA LAVATORIO, METALICA CROMADA, COM MISTURADOR MONOCOMANDO, BICA BAIXA (REF 2875)</v>
      </c>
    </row>
    <row r="4394" spans="1:10" x14ac:dyDescent="0.25">
      <c r="A4394" s="169">
        <v>39702</v>
      </c>
      <c r="B4394" s="169" t="s">
        <v>27886</v>
      </c>
      <c r="C4394" s="169" t="s">
        <v>10225</v>
      </c>
      <c r="D4394" s="169" t="s">
        <v>1289</v>
      </c>
      <c r="E4394" s="103" t="s">
        <v>31335</v>
      </c>
      <c r="F4394" s="104"/>
      <c r="G4394" s="105">
        <f t="shared" si="272"/>
        <v>1360.91</v>
      </c>
      <c r="H4394" s="101" t="str">
        <f t="shared" si="273"/>
        <v>Sinapi 39702</v>
      </c>
      <c r="I4394" s="101" t="str">
        <f t="shared" si="274"/>
        <v>UN</v>
      </c>
      <c r="J4394" s="140" t="str">
        <f t="shared" si="275"/>
        <v>TORNEIRA DE MESA PARA LAVATORIO, METALICA CROMADA, COM SENSOR DE APROXIMACAO ELETRICO, BIVOLT</v>
      </c>
    </row>
    <row r="4395" spans="1:10" x14ac:dyDescent="0.25">
      <c r="A4395" s="169">
        <v>13415</v>
      </c>
      <c r="B4395" s="169" t="s">
        <v>27887</v>
      </c>
      <c r="C4395" s="169" t="s">
        <v>10225</v>
      </c>
      <c r="D4395" s="169" t="s">
        <v>1288</v>
      </c>
      <c r="E4395" s="103" t="s">
        <v>20092</v>
      </c>
      <c r="F4395" s="104"/>
      <c r="G4395" s="105">
        <f t="shared" si="272"/>
        <v>44.68</v>
      </c>
      <c r="H4395" s="101" t="str">
        <f t="shared" si="273"/>
        <v>Sinapi 13415</v>
      </c>
      <c r="I4395" s="101" t="str">
        <f t="shared" si="274"/>
        <v>UN</v>
      </c>
      <c r="J4395" s="140" t="str">
        <f t="shared" si="275"/>
        <v>TORNEIRA DE MESA/BANCADA, PARA LAVATORIO, FIXA, METALICA CROMADA, PADRAO POPULAR, 1/2 " OU 3/4 " (REF 1193)</v>
      </c>
    </row>
    <row r="4396" spans="1:10" x14ac:dyDescent="0.25">
      <c r="A4396" s="169">
        <v>7602</v>
      </c>
      <c r="B4396" s="169" t="s">
        <v>27889</v>
      </c>
      <c r="C4396" s="169" t="s">
        <v>10225</v>
      </c>
      <c r="D4396" s="169" t="s">
        <v>1289</v>
      </c>
      <c r="E4396" s="103" t="s">
        <v>28482</v>
      </c>
      <c r="F4396" s="104"/>
      <c r="G4396" s="105">
        <f t="shared" si="272"/>
        <v>28.51</v>
      </c>
      <c r="H4396" s="101" t="str">
        <f t="shared" si="273"/>
        <v>Sinapi 7602</v>
      </c>
      <c r="I4396" s="101" t="str">
        <f t="shared" si="274"/>
        <v>UN</v>
      </c>
      <c r="J4396" s="140" t="str">
        <f t="shared" si="275"/>
        <v>TORNEIRA DE METAL AMARELO, PARA TANQUE / JARDIM, DE PAREDE, COM BICO PLASTICO, CANO CURTO, AREA EXTERNA, PADRAO POPULAR / USO GERAL, 1/2 " OU 3/4 " (REF 1128)</v>
      </c>
    </row>
    <row r="4397" spans="1:10" x14ac:dyDescent="0.25">
      <c r="A4397" s="169">
        <v>7603</v>
      </c>
      <c r="B4397" s="169" t="s">
        <v>27890</v>
      </c>
      <c r="C4397" s="169" t="s">
        <v>10225</v>
      </c>
      <c r="D4397" s="169" t="s">
        <v>1289</v>
      </c>
      <c r="E4397" s="103" t="s">
        <v>18422</v>
      </c>
      <c r="F4397" s="104"/>
      <c r="G4397" s="105">
        <f t="shared" si="272"/>
        <v>24.19</v>
      </c>
      <c r="H4397" s="101" t="str">
        <f t="shared" si="273"/>
        <v>Sinapi 7603</v>
      </c>
      <c r="I4397" s="101" t="str">
        <f t="shared" si="274"/>
        <v>UN</v>
      </c>
      <c r="J4397" s="140" t="str">
        <f t="shared" si="275"/>
        <v>TORNEIRA DE METAL AMARELO, PARA TANQUE / JARDIM, DE PAREDE, SEM BICO, CANO CURTO, PADRAO POPULAR / USO GERAL, 1/2 " OU 3/4 " (REF 1120)</v>
      </c>
    </row>
    <row r="4398" spans="1:10" x14ac:dyDescent="0.25">
      <c r="A4398" s="169">
        <v>11777</v>
      </c>
      <c r="B4398" s="169" t="s">
        <v>27891</v>
      </c>
      <c r="C4398" s="169" t="s">
        <v>10225</v>
      </c>
      <c r="D4398" s="169" t="s">
        <v>1289</v>
      </c>
      <c r="E4398" s="103" t="s">
        <v>31336</v>
      </c>
      <c r="F4398" s="104"/>
      <c r="G4398" s="105">
        <f t="shared" si="272"/>
        <v>172.38</v>
      </c>
      <c r="H4398" s="101" t="str">
        <f t="shared" si="273"/>
        <v>Sinapi 11777</v>
      </c>
      <c r="I4398" s="101" t="str">
        <f t="shared" si="274"/>
        <v>UN</v>
      </c>
      <c r="J4398" s="140" t="str">
        <f t="shared" si="275"/>
        <v>TORNEIRA ELETRICA DE PAREDE, BICA ALTA, PARA COZINHA, 5500 W (110/220 V)</v>
      </c>
    </row>
    <row r="4399" spans="1:10" x14ac:dyDescent="0.25">
      <c r="A4399" s="169">
        <v>13417</v>
      </c>
      <c r="B4399" s="169" t="s">
        <v>27892</v>
      </c>
      <c r="C4399" s="169" t="s">
        <v>10225</v>
      </c>
      <c r="D4399" s="169" t="s">
        <v>1289</v>
      </c>
      <c r="E4399" s="103" t="s">
        <v>29227</v>
      </c>
      <c r="F4399" s="104"/>
      <c r="G4399" s="105">
        <f t="shared" si="272"/>
        <v>58.19</v>
      </c>
      <c r="H4399" s="101" t="str">
        <f t="shared" si="273"/>
        <v>Sinapi 13417</v>
      </c>
      <c r="I4399" s="101" t="str">
        <f t="shared" si="274"/>
        <v>UN</v>
      </c>
      <c r="J4399" s="140" t="str">
        <f t="shared" si="275"/>
        <v>TORNEIRA METALICA CROMADA CANO CURTO, SEM BICO, SEM AREJADOR, DE PAREDE, PARA TANQUE E USO GERAL, 1/2 " OU 3/4 " (REF 1143)</v>
      </c>
    </row>
    <row r="4400" spans="1:10" x14ac:dyDescent="0.25">
      <c r="A4400" s="169">
        <v>36791</v>
      </c>
      <c r="B4400" s="169" t="s">
        <v>27893</v>
      </c>
      <c r="C4400" s="169" t="s">
        <v>10225</v>
      </c>
      <c r="D4400" s="169" t="s">
        <v>1289</v>
      </c>
      <c r="E4400" s="103" t="s">
        <v>31337</v>
      </c>
      <c r="F4400" s="104"/>
      <c r="G4400" s="105">
        <f t="shared" si="272"/>
        <v>87.33</v>
      </c>
      <c r="H4400" s="101" t="str">
        <f t="shared" si="273"/>
        <v>Sinapi 36791</v>
      </c>
      <c r="I4400" s="101" t="str">
        <f t="shared" si="274"/>
        <v>UN</v>
      </c>
      <c r="J4400" s="140" t="str">
        <f t="shared" si="275"/>
        <v>TORNEIRA METALICA CROMADA DE MESA PARA LAVATORIO, BICA ALTA, COM AREJADOR (REF 1195)</v>
      </c>
    </row>
    <row r="4401" spans="1:10" x14ac:dyDescent="0.25">
      <c r="A4401" s="169">
        <v>36795</v>
      </c>
      <c r="B4401" s="169" t="s">
        <v>27894</v>
      </c>
      <c r="C4401" s="169" t="s">
        <v>10225</v>
      </c>
      <c r="D4401" s="169" t="s">
        <v>1289</v>
      </c>
      <c r="E4401" s="103" t="s">
        <v>31338</v>
      </c>
      <c r="F4401" s="104"/>
      <c r="G4401" s="105">
        <f t="shared" si="272"/>
        <v>1104.26</v>
      </c>
      <c r="H4401" s="101" t="str">
        <f t="shared" si="273"/>
        <v>Sinapi 36795</v>
      </c>
      <c r="I4401" s="101" t="str">
        <f t="shared" si="274"/>
        <v>UN</v>
      </c>
      <c r="J4401" s="140" t="str">
        <f t="shared" si="275"/>
        <v>TORNEIRA METALICA CROMADA DE MESA PARA LAVATORIO, COM SENSOR DE PRESENCA A PILHA, COM AREJADOR EMBUTIDO</v>
      </c>
    </row>
    <row r="4402" spans="1:10" x14ac:dyDescent="0.25">
      <c r="A4402" s="169">
        <v>36796</v>
      </c>
      <c r="B4402" s="169" t="s">
        <v>27895</v>
      </c>
      <c r="C4402" s="169" t="s">
        <v>10225</v>
      </c>
      <c r="D4402" s="169" t="s">
        <v>1289</v>
      </c>
      <c r="E4402" s="103" t="s">
        <v>31250</v>
      </c>
      <c r="F4402" s="104"/>
      <c r="G4402" s="105">
        <f t="shared" si="272"/>
        <v>91.76</v>
      </c>
      <c r="H4402" s="101" t="str">
        <f t="shared" si="273"/>
        <v>Sinapi 36796</v>
      </c>
      <c r="I4402" s="101" t="str">
        <f t="shared" si="274"/>
        <v>UN</v>
      </c>
      <c r="J4402" s="140" t="str">
        <f t="shared" si="275"/>
        <v>TORNEIRA METALICA CROMADA DE MESA, PARA LAVATORIO, TEMPORIZADA PRESSAO FECHAMENTO AUTOMATICO, BICA BAIXA</v>
      </c>
    </row>
    <row r="4403" spans="1:10" x14ac:dyDescent="0.25">
      <c r="A4403" s="169">
        <v>36792</v>
      </c>
      <c r="B4403" s="169" t="s">
        <v>27896</v>
      </c>
      <c r="C4403" s="169" t="s">
        <v>10225</v>
      </c>
      <c r="D4403" s="169" t="s">
        <v>1289</v>
      </c>
      <c r="E4403" s="103" t="s">
        <v>22967</v>
      </c>
      <c r="F4403" s="104"/>
      <c r="G4403" s="105">
        <f t="shared" si="272"/>
        <v>116.24</v>
      </c>
      <c r="H4403" s="101" t="str">
        <f t="shared" si="273"/>
        <v>Sinapi 36792</v>
      </c>
      <c r="I4403" s="101" t="str">
        <f t="shared" si="274"/>
        <v>UN</v>
      </c>
      <c r="J4403" s="140" t="str">
        <f t="shared" si="275"/>
        <v>TORNEIRA METALICA CROMADA DE PAREDE LONGA PARA LAVATORIO, COM AREJADOR, ACIONAMENTO ALAVANCA, 1/4 DE VOLTA (REF 1178)</v>
      </c>
    </row>
    <row r="4404" spans="1:10" x14ac:dyDescent="0.25">
      <c r="A4404" s="169">
        <v>11773</v>
      </c>
      <c r="B4404" s="169" t="s">
        <v>27897</v>
      </c>
      <c r="C4404" s="169" t="s">
        <v>10225</v>
      </c>
      <c r="D4404" s="169" t="s">
        <v>1289</v>
      </c>
      <c r="E4404" s="103" t="s">
        <v>28778</v>
      </c>
      <c r="F4404" s="104"/>
      <c r="G4404" s="105">
        <f t="shared" si="272"/>
        <v>77.38</v>
      </c>
      <c r="H4404" s="101" t="str">
        <f t="shared" si="273"/>
        <v>Sinapi 11773</v>
      </c>
      <c r="I4404" s="101" t="str">
        <f t="shared" si="274"/>
        <v>UN</v>
      </c>
      <c r="J4404" s="140" t="str">
        <f t="shared" si="275"/>
        <v>TORNEIRA METALICA CROMADA DE PAREDE, PARA COZINHA, BICA MOVEL, COM AREJADOR, 1/2 " OU 3/4 " (REF 1167 / 1168)</v>
      </c>
    </row>
    <row r="4405" spans="1:10" x14ac:dyDescent="0.25">
      <c r="A4405" s="169">
        <v>11762</v>
      </c>
      <c r="B4405" s="169" t="s">
        <v>27898</v>
      </c>
      <c r="C4405" s="169" t="s">
        <v>10225</v>
      </c>
      <c r="D4405" s="169" t="s">
        <v>1289</v>
      </c>
      <c r="E4405" s="103" t="s">
        <v>19370</v>
      </c>
      <c r="F4405" s="104"/>
      <c r="G4405" s="105">
        <f t="shared" si="272"/>
        <v>36.700000000000003</v>
      </c>
      <c r="H4405" s="101" t="str">
        <f t="shared" si="273"/>
        <v>Sinapi 11762</v>
      </c>
      <c r="I4405" s="101" t="str">
        <f t="shared" si="274"/>
        <v>UN</v>
      </c>
      <c r="J4405" s="140" t="str">
        <f t="shared" si="275"/>
        <v>TORNEIRA METALICA CROMADA PARA JARDIM / TANQUE, COM BICO PLASTICO, CANO LONGO, DE PAREDE, PADRAO POPULAR / USO GERAL , 1/2 " OU 3/4 " (REF 1153 / 1130)</v>
      </c>
    </row>
    <row r="4406" spans="1:10" x14ac:dyDescent="0.25">
      <c r="A4406" s="169">
        <v>7604</v>
      </c>
      <c r="B4406" s="169" t="s">
        <v>27899</v>
      </c>
      <c r="C4406" s="169" t="s">
        <v>10225</v>
      </c>
      <c r="D4406" s="169" t="s">
        <v>1289</v>
      </c>
      <c r="E4406" s="103" t="s">
        <v>31339</v>
      </c>
      <c r="F4406" s="104"/>
      <c r="G4406" s="105">
        <f t="shared" si="272"/>
        <v>31.07</v>
      </c>
      <c r="H4406" s="101" t="str">
        <f t="shared" si="273"/>
        <v>Sinapi 7604</v>
      </c>
      <c r="I4406" s="101" t="str">
        <f t="shared" si="274"/>
        <v>UN</v>
      </c>
      <c r="J4406" s="140" t="str">
        <f t="shared" si="275"/>
        <v>TORNEIRA METALICA CROMADA PARA TANQUE / JARDIM, SEM BICO , CANO LONGO, DE PAREDE, PADRAO POPULAR / USO GERAL, 1/2 " OU 3/4 " (REF 1126)</v>
      </c>
    </row>
    <row r="4407" spans="1:10" x14ac:dyDescent="0.25">
      <c r="A4407" s="169">
        <v>13984</v>
      </c>
      <c r="B4407" s="169" t="s">
        <v>27900</v>
      </c>
      <c r="C4407" s="169" t="s">
        <v>10225</v>
      </c>
      <c r="D4407" s="169" t="s">
        <v>1289</v>
      </c>
      <c r="E4407" s="103" t="s">
        <v>21898</v>
      </c>
      <c r="F4407" s="104"/>
      <c r="G4407" s="105">
        <f t="shared" si="272"/>
        <v>45.16</v>
      </c>
      <c r="H4407" s="101" t="str">
        <f t="shared" si="273"/>
        <v>Sinapi 13984</v>
      </c>
      <c r="I4407" s="101" t="str">
        <f t="shared" si="274"/>
        <v>UN</v>
      </c>
      <c r="J4407" s="140" t="str">
        <f t="shared" si="275"/>
        <v>TORNEIRA METALICA CROMADA, CANO CURTO, COM AREJADOR, SEM BICO PLASTICO, DE PAREDE, PARA USO GERAL, 1/2 " OU 3/4 " (REF 1152 / 1154)</v>
      </c>
    </row>
    <row r="4408" spans="1:10" x14ac:dyDescent="0.25">
      <c r="A4408" s="169">
        <v>11772</v>
      </c>
      <c r="B4408" s="169" t="s">
        <v>27901</v>
      </c>
      <c r="C4408" s="169" t="s">
        <v>10225</v>
      </c>
      <c r="D4408" s="169" t="s">
        <v>1289</v>
      </c>
      <c r="E4408" s="103" t="s">
        <v>31340</v>
      </c>
      <c r="F4408" s="104"/>
      <c r="G4408" s="105">
        <f t="shared" si="272"/>
        <v>77.62</v>
      </c>
      <c r="H4408" s="101" t="str">
        <f t="shared" si="273"/>
        <v>Sinapi 11772</v>
      </c>
      <c r="I4408" s="101" t="str">
        <f t="shared" si="274"/>
        <v>UN</v>
      </c>
      <c r="J4408" s="140" t="str">
        <f t="shared" si="275"/>
        <v>TORNEIRA METALICA CROMADA, DE MESA/BANCADA, PARA COZINHA, BICA MOVEL, COM AREJADOR, 1/2 " OU 3/4 " (REF 1167 / 1168)</v>
      </c>
    </row>
    <row r="4409" spans="1:10" x14ac:dyDescent="0.25">
      <c r="A4409" s="169">
        <v>13983</v>
      </c>
      <c r="B4409" s="169" t="s">
        <v>27902</v>
      </c>
      <c r="C4409" s="169" t="s">
        <v>10225</v>
      </c>
      <c r="D4409" s="169" t="s">
        <v>1289</v>
      </c>
      <c r="E4409" s="103" t="s">
        <v>31341</v>
      </c>
      <c r="F4409" s="104"/>
      <c r="G4409" s="105">
        <f t="shared" si="272"/>
        <v>58.78</v>
      </c>
      <c r="H4409" s="101" t="str">
        <f t="shared" si="273"/>
        <v>Sinapi 13983</v>
      </c>
      <c r="I4409" s="101" t="str">
        <f t="shared" si="274"/>
        <v>UN</v>
      </c>
      <c r="J4409" s="140" t="str">
        <f t="shared" si="275"/>
        <v>TORNEIRA METALICA CROMADA, RETA, DE PAREDE, PARA COZINHA, COM AREJADOR, PADRAO POPULAR, 1/2 " OU 3/4 " (REF 1159 / 1160)</v>
      </c>
    </row>
    <row r="4410" spans="1:10" x14ac:dyDescent="0.25">
      <c r="A4410" s="169">
        <v>13416</v>
      </c>
      <c r="B4410" s="169" t="s">
        <v>27903</v>
      </c>
      <c r="C4410" s="169" t="s">
        <v>10225</v>
      </c>
      <c r="D4410" s="169" t="s">
        <v>1289</v>
      </c>
      <c r="E4410" s="103" t="s">
        <v>19293</v>
      </c>
      <c r="F4410" s="104"/>
      <c r="G4410" s="105">
        <f t="shared" si="272"/>
        <v>52.21</v>
      </c>
      <c r="H4410" s="101" t="str">
        <f t="shared" si="273"/>
        <v>Sinapi 13416</v>
      </c>
      <c r="I4410" s="101" t="str">
        <f t="shared" si="274"/>
        <v>UN</v>
      </c>
      <c r="J4410" s="140" t="str">
        <f t="shared" si="275"/>
        <v>TORNEIRA METALICA CROMADA, RETA, DE PAREDE, PARA COZINHA, SEM BICO, SEM AREJADOR, PADRAO POPULAR, 1/2 " OU 3/4 " (REF 1158)</v>
      </c>
    </row>
    <row r="4411" spans="1:10" x14ac:dyDescent="0.25">
      <c r="A4411" s="169">
        <v>40329</v>
      </c>
      <c r="B4411" s="169" t="s">
        <v>27905</v>
      </c>
      <c r="C4411" s="169" t="s">
        <v>10225</v>
      </c>
      <c r="D4411" s="169" t="s">
        <v>1288</v>
      </c>
      <c r="E4411" s="103" t="s">
        <v>21097</v>
      </c>
      <c r="F4411" s="104"/>
      <c r="G4411" s="105">
        <f t="shared" si="272"/>
        <v>17.86</v>
      </c>
      <c r="H4411" s="101" t="str">
        <f t="shared" si="273"/>
        <v>Sinapi 40329</v>
      </c>
      <c r="I4411" s="101" t="str">
        <f t="shared" si="274"/>
        <v>UN</v>
      </c>
      <c r="J4411" s="140" t="str">
        <f t="shared" si="275"/>
        <v>TORNEIRA PLASTICA DE BOIA CONVENCIONAL PARA CAIXA DE AGUA, AGUA FRIA, 3/4 ", COM HASTE METALICA E COM TORNEIRA E BALAO PLASTICOS (PADRAO POPULAR)</v>
      </c>
    </row>
    <row r="4412" spans="1:10" x14ac:dyDescent="0.25">
      <c r="A4412" s="169">
        <v>11823</v>
      </c>
      <c r="B4412" s="169" t="s">
        <v>27906</v>
      </c>
      <c r="C4412" s="169" t="s">
        <v>10225</v>
      </c>
      <c r="D4412" s="169" t="s">
        <v>1289</v>
      </c>
      <c r="E4412" s="103" t="s">
        <v>22097</v>
      </c>
      <c r="F4412" s="104"/>
      <c r="G4412" s="105">
        <f t="shared" si="272"/>
        <v>7.52</v>
      </c>
      <c r="H4412" s="101" t="str">
        <f t="shared" si="273"/>
        <v>Sinapi 11823</v>
      </c>
      <c r="I4412" s="101" t="str">
        <f t="shared" si="274"/>
        <v>UN</v>
      </c>
      <c r="J4412" s="140" t="str">
        <f t="shared" si="275"/>
        <v>TORNEIRA PLASTICA DE BOIA PARA CAIXA DE DESCARGA, 1/2", BALAO E TORNEIRA PLASTICOS, COM HASTE METALICA</v>
      </c>
    </row>
    <row r="4413" spans="1:10" x14ac:dyDescent="0.25">
      <c r="A4413" s="169">
        <v>11822</v>
      </c>
      <c r="B4413" s="169" t="s">
        <v>27907</v>
      </c>
      <c r="C4413" s="169" t="s">
        <v>10225</v>
      </c>
      <c r="D4413" s="169" t="s">
        <v>1289</v>
      </c>
      <c r="E4413" s="103" t="s">
        <v>31342</v>
      </c>
      <c r="F4413" s="104"/>
      <c r="G4413" s="105">
        <f t="shared" si="272"/>
        <v>25.43</v>
      </c>
      <c r="H4413" s="101" t="str">
        <f t="shared" si="273"/>
        <v>Sinapi 11822</v>
      </c>
      <c r="I4413" s="101" t="str">
        <f t="shared" si="274"/>
        <v>UN</v>
      </c>
      <c r="J4413" s="140" t="str">
        <f t="shared" si="275"/>
        <v>TORNEIRA PLASTICA DE MESA, BICA MOVEL, PARA COZINHA 1/2 "</v>
      </c>
    </row>
    <row r="4414" spans="1:10" x14ac:dyDescent="0.25">
      <c r="A4414" s="169">
        <v>11831</v>
      </c>
      <c r="B4414" s="169" t="s">
        <v>27908</v>
      </c>
      <c r="C4414" s="169" t="s">
        <v>10225</v>
      </c>
      <c r="D4414" s="169" t="s">
        <v>1289</v>
      </c>
      <c r="E4414" s="103" t="s">
        <v>23159</v>
      </c>
      <c r="F4414" s="104"/>
      <c r="G4414" s="105">
        <f t="shared" si="272"/>
        <v>15.3</v>
      </c>
      <c r="H4414" s="101" t="str">
        <f t="shared" si="273"/>
        <v>Sinapi 11831</v>
      </c>
      <c r="I4414" s="101" t="str">
        <f t="shared" si="274"/>
        <v>UN</v>
      </c>
      <c r="J4414" s="140" t="str">
        <f t="shared" si="275"/>
        <v>TORNEIRA PLASTICA PARA TANQUE 1/2 " OU 3/4 " COM BICO PARA MANGUEIRA</v>
      </c>
    </row>
    <row r="4415" spans="1:10" x14ac:dyDescent="0.25">
      <c r="A4415" s="169">
        <v>7613</v>
      </c>
      <c r="B4415" s="169" t="s">
        <v>27909</v>
      </c>
      <c r="C4415" s="169" t="s">
        <v>10225</v>
      </c>
      <c r="D4415" s="169" t="s">
        <v>1289</v>
      </c>
      <c r="E4415" s="103" t="s">
        <v>31343</v>
      </c>
      <c r="F4415" s="104"/>
      <c r="G4415" s="105">
        <f t="shared" si="272"/>
        <v>115906.07</v>
      </c>
      <c r="H4415" s="101" t="str">
        <f t="shared" si="273"/>
        <v>Sinapi 7613</v>
      </c>
      <c r="I4415" s="101" t="str">
        <f t="shared" si="274"/>
        <v>UN</v>
      </c>
      <c r="J4415" s="140" t="str">
        <f t="shared" si="275"/>
        <v>TRANSFORMADOR TRIFASICO DE DISTRIBUICAO, POTENCIA DE 1000 KVA, TENSAO NOMINAL DE 15 KV, TENSAO SECUNDARIA DE 220/127V, EM OLEO ISOLANTE TIPO MINERAL</v>
      </c>
    </row>
    <row r="4416" spans="1:10" x14ac:dyDescent="0.25">
      <c r="A4416" s="169">
        <v>7619</v>
      </c>
      <c r="B4416" s="169" t="s">
        <v>27910</v>
      </c>
      <c r="C4416" s="169" t="s">
        <v>10225</v>
      </c>
      <c r="D4416" s="169" t="s">
        <v>1289</v>
      </c>
      <c r="E4416" s="103" t="s">
        <v>31344</v>
      </c>
      <c r="F4416" s="104"/>
      <c r="G4416" s="105">
        <f t="shared" si="272"/>
        <v>17916.59</v>
      </c>
      <c r="H4416" s="101" t="str">
        <f t="shared" si="273"/>
        <v>Sinapi 7619</v>
      </c>
      <c r="I4416" s="101" t="str">
        <f t="shared" si="274"/>
        <v>UN</v>
      </c>
      <c r="J4416" s="140" t="str">
        <f t="shared" si="275"/>
        <v>TRANSFORMADOR TRIFASICO DE DISTRIBUICAO, POTENCIA DE 112,5 KVA, TENSAO NOMINAL DE 15 KV, TENSAO SECUNDARIA DE 220/127V, EM OLEO ISOLANTE TIPO MINERAL</v>
      </c>
    </row>
    <row r="4417" spans="1:10" x14ac:dyDescent="0.25">
      <c r="A4417" s="169">
        <v>12076</v>
      </c>
      <c r="B4417" s="169" t="s">
        <v>27911</v>
      </c>
      <c r="C4417" s="169" t="s">
        <v>10225</v>
      </c>
      <c r="D4417" s="169" t="s">
        <v>1289</v>
      </c>
      <c r="E4417" s="103" t="s">
        <v>31345</v>
      </c>
      <c r="F4417" s="104"/>
      <c r="G4417" s="105">
        <f t="shared" si="272"/>
        <v>8218.6200000000008</v>
      </c>
      <c r="H4417" s="101" t="str">
        <f t="shared" si="273"/>
        <v>Sinapi 12076</v>
      </c>
      <c r="I4417" s="101" t="str">
        <f t="shared" si="274"/>
        <v>UN</v>
      </c>
      <c r="J4417" s="140" t="str">
        <f t="shared" si="275"/>
        <v>TRANSFORMADOR TRIFASICO DE DISTRIBUICAO, POTENCIA DE 15 KVA, TENSAO NOMINAL DE 15 KV, TENSAO SECUNDARIA DE 220/127V, EM OLEO ISOLANTE TIPO MINERAL</v>
      </c>
    </row>
    <row r="4418" spans="1:10" x14ac:dyDescent="0.25">
      <c r="A4418" s="169">
        <v>7614</v>
      </c>
      <c r="B4418" s="169" t="s">
        <v>27912</v>
      </c>
      <c r="C4418" s="169" t="s">
        <v>10225</v>
      </c>
      <c r="D4418" s="169" t="s">
        <v>1289</v>
      </c>
      <c r="E4418" s="103" t="s">
        <v>31346</v>
      </c>
      <c r="F4418" s="104"/>
      <c r="G4418" s="105">
        <f t="shared" si="272"/>
        <v>22597.1</v>
      </c>
      <c r="H4418" s="101" t="str">
        <f t="shared" si="273"/>
        <v>Sinapi 7614</v>
      </c>
      <c r="I4418" s="101" t="str">
        <f t="shared" si="274"/>
        <v>UN</v>
      </c>
      <c r="J4418" s="140" t="str">
        <f t="shared" si="275"/>
        <v>TRANSFORMADOR TRIFASICO DE DISTRIBUICAO, POTENCIA DE 150 KVA, TENSAO NOMINAL DE 15 KV, TENSAO SECUNDARIA DE 220/127V, EM OLEO ISOLANTE TIPO MINERAL</v>
      </c>
    </row>
    <row r="4419" spans="1:10" x14ac:dyDescent="0.25">
      <c r="A4419" s="169">
        <v>7618</v>
      </c>
      <c r="B4419" s="169" t="s">
        <v>27913</v>
      </c>
      <c r="C4419" s="169" t="s">
        <v>10225</v>
      </c>
      <c r="D4419" s="169" t="s">
        <v>1289</v>
      </c>
      <c r="E4419" s="103" t="s">
        <v>31347</v>
      </c>
      <c r="F4419" s="104"/>
      <c r="G4419" s="105">
        <f t="shared" si="272"/>
        <v>146559.18</v>
      </c>
      <c r="H4419" s="101" t="str">
        <f t="shared" si="273"/>
        <v>Sinapi 7618</v>
      </c>
      <c r="I4419" s="101" t="str">
        <f t="shared" si="274"/>
        <v>UN</v>
      </c>
      <c r="J4419" s="140" t="str">
        <f t="shared" si="275"/>
        <v>TRANSFORMADOR TRIFASICO DE DISTRIBUICAO, POTENCIA DE 1500 KVA, TENSAO NOMINAL DE 15 KV, TENSAO SECUNDARIA DE 220/127V, EM OLEO ISOLANTE TIPO MINERAL</v>
      </c>
    </row>
    <row r="4420" spans="1:10" x14ac:dyDescent="0.25">
      <c r="A4420" s="169">
        <v>7620</v>
      </c>
      <c r="B4420" s="169" t="s">
        <v>27914</v>
      </c>
      <c r="C4420" s="169" t="s">
        <v>10225</v>
      </c>
      <c r="D4420" s="169" t="s">
        <v>1289</v>
      </c>
      <c r="E4420" s="103" t="s">
        <v>31348</v>
      </c>
      <c r="F4420" s="104"/>
      <c r="G4420" s="105">
        <f t="shared" si="272"/>
        <v>31700.400000000001</v>
      </c>
      <c r="H4420" s="101" t="str">
        <f t="shared" si="273"/>
        <v>Sinapi 7620</v>
      </c>
      <c r="I4420" s="101" t="str">
        <f t="shared" si="274"/>
        <v>UN</v>
      </c>
      <c r="J4420" s="140" t="str">
        <f t="shared" si="275"/>
        <v>TRANSFORMADOR TRIFASICO DE DISTRIBUICAO, POTENCIA DE 225 KVA, TENSAO NOMINAL DE 15 KV, TENSAO SECUNDARIA DE 220/127V, EM OLEO ISOLANTE TIPO MINERAL</v>
      </c>
    </row>
    <row r="4421" spans="1:10" x14ac:dyDescent="0.25">
      <c r="A4421" s="169">
        <v>7610</v>
      </c>
      <c r="B4421" s="169" t="s">
        <v>27915</v>
      </c>
      <c r="C4421" s="169" t="s">
        <v>10225</v>
      </c>
      <c r="D4421" s="169" t="s">
        <v>1289</v>
      </c>
      <c r="E4421" s="103" t="s">
        <v>31349</v>
      </c>
      <c r="F4421" s="104"/>
      <c r="G4421" s="105">
        <f t="shared" si="272"/>
        <v>10038.459999999999</v>
      </c>
      <c r="H4421" s="101" t="str">
        <f t="shared" si="273"/>
        <v>Sinapi 7610</v>
      </c>
      <c r="I4421" s="101" t="str">
        <f t="shared" si="274"/>
        <v>UN</v>
      </c>
      <c r="J4421" s="140" t="str">
        <f t="shared" si="275"/>
        <v>TRANSFORMADOR TRIFASICO DE DISTRIBUICAO, POTENCIA DE 30 KVA, TENSAO NOMINAL DE 15 KV, TENSAO SECUNDARIA DE 220/127V, EM OLEO ISOLANTE TIPO MINERAL</v>
      </c>
    </row>
    <row r="4422" spans="1:10" x14ac:dyDescent="0.25">
      <c r="A4422" s="169">
        <v>7615</v>
      </c>
      <c r="B4422" s="169" t="s">
        <v>27916</v>
      </c>
      <c r="C4422" s="169" t="s">
        <v>10225</v>
      </c>
      <c r="D4422" s="169" t="s">
        <v>1289</v>
      </c>
      <c r="E4422" s="103" t="s">
        <v>31350</v>
      </c>
      <c r="F4422" s="104"/>
      <c r="G4422" s="105">
        <f t="shared" si="272"/>
        <v>36983.800000000003</v>
      </c>
      <c r="H4422" s="101" t="str">
        <f t="shared" si="273"/>
        <v>Sinapi 7615</v>
      </c>
      <c r="I4422" s="101" t="str">
        <f t="shared" si="274"/>
        <v>UN</v>
      </c>
      <c r="J4422" s="140" t="str">
        <f t="shared" si="275"/>
        <v>TRANSFORMADOR TRIFASICO DE DISTRIBUICAO, POTENCIA DE 300 KVA, TENSAO NOMINAL DE 15 KV, TENSAO SECUNDARIA DE 220/127V, EM OLEO ISOLANTE TIPO MINERAL</v>
      </c>
    </row>
    <row r="4423" spans="1:10" x14ac:dyDescent="0.25">
      <c r="A4423" s="169">
        <v>7617</v>
      </c>
      <c r="B4423" s="169" t="s">
        <v>27917</v>
      </c>
      <c r="C4423" s="169" t="s">
        <v>10225</v>
      </c>
      <c r="D4423" s="169" t="s">
        <v>1289</v>
      </c>
      <c r="E4423" s="103" t="s">
        <v>31351</v>
      </c>
      <c r="F4423" s="104"/>
      <c r="G4423" s="105">
        <f t="shared" si="272"/>
        <v>11212.54</v>
      </c>
      <c r="H4423" s="101" t="str">
        <f t="shared" si="273"/>
        <v>Sinapi 7617</v>
      </c>
      <c r="I4423" s="101" t="str">
        <f t="shared" si="274"/>
        <v>UN</v>
      </c>
      <c r="J4423" s="140" t="str">
        <f t="shared" si="275"/>
        <v>TRANSFORMADOR TRIFASICO DE DISTRIBUICAO, POTENCIA DE 45 KVA, TENSAO NOMINAL DE 15 KV, TENSAO SECUNDARIA DE 220/127V, EM OLEO ISOLANTE TIPO MINERAL</v>
      </c>
    </row>
    <row r="4424" spans="1:10" x14ac:dyDescent="0.25">
      <c r="A4424" s="169">
        <v>7616</v>
      </c>
      <c r="B4424" s="169" t="s">
        <v>27918</v>
      </c>
      <c r="C4424" s="169" t="s">
        <v>10225</v>
      </c>
      <c r="D4424" s="169" t="s">
        <v>1289</v>
      </c>
      <c r="E4424" s="103" t="s">
        <v>31352</v>
      </c>
      <c r="F4424" s="104"/>
      <c r="G4424" s="105">
        <f t="shared" ref="G4424:G4487" si="276">IF(E4424="","",E4424+0)</f>
        <v>60351.69</v>
      </c>
      <c r="H4424" s="101" t="str">
        <f t="shared" ref="H4424:H4487" si="277">IF(G4424="","",TRIM(CONCATENATE("Sinapi ",A4424)))</f>
        <v>Sinapi 7616</v>
      </c>
      <c r="I4424" s="101" t="str">
        <f t="shared" ref="I4424:I4487" si="278">TRIM(C4424)</f>
        <v>UN</v>
      </c>
      <c r="J4424" s="140" t="str">
        <f t="shared" si="275"/>
        <v>TRANSFORMADOR TRIFASICO DE DISTRIBUICAO, POTENCIA DE 500 KVA, TENSAO NOMINAL DE 15 KV, TENSAO SECUNDARIA DE 220/127V, EM OLEO ISOLANTE TIPO MINERAL</v>
      </c>
    </row>
    <row r="4425" spans="1:10" x14ac:dyDescent="0.25">
      <c r="A4425" s="169">
        <v>7611</v>
      </c>
      <c r="B4425" s="169" t="s">
        <v>27919</v>
      </c>
      <c r="C4425" s="169" t="s">
        <v>10225</v>
      </c>
      <c r="D4425" s="169" t="s">
        <v>1288</v>
      </c>
      <c r="E4425" s="103" t="s">
        <v>31353</v>
      </c>
      <c r="F4425" s="104"/>
      <c r="G4425" s="105">
        <f t="shared" si="276"/>
        <v>14500</v>
      </c>
      <c r="H4425" s="101" t="str">
        <f t="shared" si="277"/>
        <v>Sinapi 7611</v>
      </c>
      <c r="I4425" s="101" t="str">
        <f t="shared" si="278"/>
        <v>UN</v>
      </c>
      <c r="J4425" s="140" t="str">
        <f t="shared" ref="J4425:J4488" si="279">TRIM(B4425)</f>
        <v>TRANSFORMADOR TRIFASICO DE DISTRIBUICAO, POTENCIA DE 75 KVA, TENSAO NOMINAL DE 15 KV, TENSAO SECUNDARIA DE 220/127V, EM OLEO ISOLANTE TIPO MINERAL</v>
      </c>
    </row>
    <row r="4426" spans="1:10" x14ac:dyDescent="0.25">
      <c r="A4426" s="169">
        <v>7612</v>
      </c>
      <c r="B4426" s="169" t="s">
        <v>27920</v>
      </c>
      <c r="C4426" s="169" t="s">
        <v>10225</v>
      </c>
      <c r="D4426" s="169" t="s">
        <v>1289</v>
      </c>
      <c r="E4426" s="103" t="s">
        <v>31354</v>
      </c>
      <c r="F4426" s="104"/>
      <c r="G4426" s="105">
        <f t="shared" si="276"/>
        <v>82782.67</v>
      </c>
      <c r="H4426" s="101" t="str">
        <f t="shared" si="277"/>
        <v>Sinapi 7612</v>
      </c>
      <c r="I4426" s="101" t="str">
        <f t="shared" si="278"/>
        <v>UN</v>
      </c>
      <c r="J4426" s="140" t="str">
        <f t="shared" si="279"/>
        <v>TRANSFORMADOR TRIFASICO DE DISTRIBUICAO, POTENCIA DE 750 KVA, TENSAO NOMINAL DE 15 KV, TENSAO SECUNDARIA DE 220/127V, EM OLEO ISOLANTE TIPO MINERAL</v>
      </c>
    </row>
    <row r="4427" spans="1:10" x14ac:dyDescent="0.25">
      <c r="A4427" s="169">
        <v>37371</v>
      </c>
      <c r="B4427" s="169" t="s">
        <v>27921</v>
      </c>
      <c r="C4427" s="169" t="s">
        <v>10228</v>
      </c>
      <c r="D4427" s="169" t="s">
        <v>1288</v>
      </c>
      <c r="E4427" s="103" t="s">
        <v>3655</v>
      </c>
      <c r="F4427" s="104"/>
      <c r="G4427" s="105">
        <f t="shared" si="276"/>
        <v>0.48</v>
      </c>
      <c r="H4427" s="101" t="str">
        <f t="shared" si="277"/>
        <v>Sinapi 37371</v>
      </c>
      <c r="I4427" s="101" t="str">
        <f t="shared" si="278"/>
        <v>H</v>
      </c>
      <c r="J4427" s="140" t="str">
        <f t="shared" si="279"/>
        <v>TRANSPORTE - HORISTA (COLETADO CAIXA - ENCARGOS COMPLEMENTARES)</v>
      </c>
    </row>
    <row r="4428" spans="1:10" x14ac:dyDescent="0.25">
      <c r="A4428" s="169">
        <v>40861</v>
      </c>
      <c r="B4428" s="169" t="s">
        <v>27922</v>
      </c>
      <c r="C4428" s="169" t="s">
        <v>10235</v>
      </c>
      <c r="D4428" s="169" t="s">
        <v>1288</v>
      </c>
      <c r="E4428" s="103" t="s">
        <v>30239</v>
      </c>
      <c r="F4428" s="104"/>
      <c r="G4428" s="105">
        <f t="shared" si="276"/>
        <v>89.61</v>
      </c>
      <c r="H4428" s="101" t="str">
        <f t="shared" si="277"/>
        <v>Sinapi 40861</v>
      </c>
      <c r="I4428" s="101" t="str">
        <f t="shared" si="278"/>
        <v>MES</v>
      </c>
      <c r="J4428" s="140" t="str">
        <f t="shared" si="279"/>
        <v>TRANSPORTE - MENSALISTA (COLETADO CAIXA - ENCARGOS COMPLEMENTARES)</v>
      </c>
    </row>
    <row r="4429" spans="1:10" x14ac:dyDescent="0.25">
      <c r="A4429" s="169">
        <v>36510</v>
      </c>
      <c r="B4429" s="169" t="s">
        <v>27923</v>
      </c>
      <c r="C4429" s="169" t="s">
        <v>10225</v>
      </c>
      <c r="D4429" s="169" t="s">
        <v>1290</v>
      </c>
      <c r="E4429" s="103" t="s">
        <v>27924</v>
      </c>
      <c r="F4429" s="104"/>
      <c r="G4429" s="105">
        <f t="shared" si="276"/>
        <v>985932.68</v>
      </c>
      <c r="H4429" s="101" t="str">
        <f t="shared" si="277"/>
        <v>Sinapi 36510</v>
      </c>
      <c r="I4429" s="101" t="str">
        <f t="shared" si="278"/>
        <v>UN</v>
      </c>
      <c r="J4429" s="140" t="str">
        <f t="shared" si="279"/>
        <v>TRATOR DE ESTEIRAS, POTENCIA BRUTA DE 133 HP, PESO OPERACIONAL DE 14 T, COM LAMINA COM CAPACIDADE DE 3,00 M3</v>
      </c>
    </row>
    <row r="4430" spans="1:10" x14ac:dyDescent="0.25">
      <c r="A4430" s="169">
        <v>25020</v>
      </c>
      <c r="B4430" s="169" t="s">
        <v>27925</v>
      </c>
      <c r="C4430" s="169" t="s">
        <v>10225</v>
      </c>
      <c r="D4430" s="169" t="s">
        <v>1290</v>
      </c>
      <c r="E4430" s="103" t="s">
        <v>27926</v>
      </c>
      <c r="F4430" s="104"/>
      <c r="G4430" s="105">
        <f t="shared" si="276"/>
        <v>4061695.76</v>
      </c>
      <c r="H4430" s="101" t="str">
        <f t="shared" si="277"/>
        <v>Sinapi 25020</v>
      </c>
      <c r="I4430" s="101" t="str">
        <f t="shared" si="278"/>
        <v>UN</v>
      </c>
      <c r="J4430" s="140" t="str">
        <f t="shared" si="279"/>
        <v>TRATOR DE ESTEIRAS, POTENCIA BRUTA DE 347 HP, PESO OPERACIONAL DE 38,5 T, COM ESCARIFICADOR E LAMINA COM CAPACIDADE DE 4,70M3</v>
      </c>
    </row>
    <row r="4431" spans="1:10" x14ac:dyDescent="0.25">
      <c r="A4431" s="169">
        <v>7622</v>
      </c>
      <c r="B4431" s="169" t="s">
        <v>27927</v>
      </c>
      <c r="C4431" s="169" t="s">
        <v>10225</v>
      </c>
      <c r="D4431" s="169" t="s">
        <v>1290</v>
      </c>
      <c r="E4431" s="103" t="s">
        <v>27928</v>
      </c>
      <c r="F4431" s="104"/>
      <c r="G4431" s="105">
        <f t="shared" si="276"/>
        <v>956498.8</v>
      </c>
      <c r="H4431" s="101" t="str">
        <f t="shared" si="277"/>
        <v>Sinapi 7622</v>
      </c>
      <c r="I4431" s="101" t="str">
        <f t="shared" si="278"/>
        <v>UN</v>
      </c>
      <c r="J4431" s="140" t="str">
        <f t="shared" si="279"/>
        <v>TRATOR DE ESTEIRAS, POTENCIA DE 100 HP, PESO OPERACIONAL DE 9,4 T, COM LAMINA COM CAPACIDADE DE 2,19 M3</v>
      </c>
    </row>
    <row r="4432" spans="1:10" x14ac:dyDescent="0.25">
      <c r="A4432" s="169">
        <v>7624</v>
      </c>
      <c r="B4432" s="169" t="s">
        <v>27929</v>
      </c>
      <c r="C4432" s="169" t="s">
        <v>10225</v>
      </c>
      <c r="D4432" s="169" t="s">
        <v>1290</v>
      </c>
      <c r="E4432" s="103" t="s">
        <v>27930</v>
      </c>
      <c r="F4432" s="104"/>
      <c r="G4432" s="105">
        <f t="shared" si="276"/>
        <v>1240000</v>
      </c>
      <c r="H4432" s="101" t="str">
        <f t="shared" si="277"/>
        <v>Sinapi 7624</v>
      </c>
      <c r="I4432" s="101" t="str">
        <f t="shared" si="278"/>
        <v>UN</v>
      </c>
      <c r="J4432" s="140" t="str">
        <f t="shared" si="279"/>
        <v>TRATOR DE ESTEIRAS, POTENCIA DE 150 HP, PESO OPERACIONAL DE 16,7 T, COM RODA MOTRIZ ELEVADA E LAMINA COM CONTATO DE 3,18M3</v>
      </c>
    </row>
    <row r="4433" spans="1:10" x14ac:dyDescent="0.25">
      <c r="A4433" s="169">
        <v>7625</v>
      </c>
      <c r="B4433" s="169" t="s">
        <v>27931</v>
      </c>
      <c r="C4433" s="169" t="s">
        <v>10225</v>
      </c>
      <c r="D4433" s="169" t="s">
        <v>1290</v>
      </c>
      <c r="E4433" s="103" t="s">
        <v>27932</v>
      </c>
      <c r="F4433" s="104"/>
      <c r="G4433" s="105">
        <f t="shared" si="276"/>
        <v>1232415.78</v>
      </c>
      <c r="H4433" s="101" t="str">
        <f t="shared" si="277"/>
        <v>Sinapi 7625</v>
      </c>
      <c r="I4433" s="101" t="str">
        <f t="shared" si="278"/>
        <v>UN</v>
      </c>
      <c r="J4433" s="140" t="str">
        <f t="shared" si="279"/>
        <v>TRATOR DE ESTEIRAS, POTENCIA DE 170 HP, PESO OPERACIONAL DE 19 T, COM LAMINA COM CAPACIDADE DE 5,2 M3</v>
      </c>
    </row>
    <row r="4434" spans="1:10" x14ac:dyDescent="0.25">
      <c r="A4434" s="169">
        <v>7623</v>
      </c>
      <c r="B4434" s="169" t="s">
        <v>27933</v>
      </c>
      <c r="C4434" s="169" t="s">
        <v>10225</v>
      </c>
      <c r="D4434" s="169" t="s">
        <v>1290</v>
      </c>
      <c r="E4434" s="103" t="s">
        <v>27926</v>
      </c>
      <c r="F4434" s="104"/>
      <c r="G4434" s="105">
        <f t="shared" si="276"/>
        <v>4061695.76</v>
      </c>
      <c r="H4434" s="101" t="str">
        <f t="shared" si="277"/>
        <v>Sinapi 7623</v>
      </c>
      <c r="I4434" s="101" t="str">
        <f t="shared" si="278"/>
        <v>UN</v>
      </c>
      <c r="J4434" s="140" t="str">
        <f t="shared" si="279"/>
        <v>TRATOR DE ESTEIRAS, POTENCIA DE 347 HP, PESO OPERACIONAL DE 38,5 T, COM LAMINA COM CAPACIDADE DE 8,70M3</v>
      </c>
    </row>
    <row r="4435" spans="1:10" x14ac:dyDescent="0.25">
      <c r="A4435" s="169">
        <v>36508</v>
      </c>
      <c r="B4435" s="169" t="s">
        <v>27934</v>
      </c>
      <c r="C4435" s="169" t="s">
        <v>10225</v>
      </c>
      <c r="D4435" s="169" t="s">
        <v>1290</v>
      </c>
      <c r="E4435" s="103" t="s">
        <v>27935</v>
      </c>
      <c r="F4435" s="104"/>
      <c r="G4435" s="105">
        <f t="shared" si="276"/>
        <v>1826705.75</v>
      </c>
      <c r="H4435" s="101" t="str">
        <f t="shared" si="277"/>
        <v>Sinapi 36508</v>
      </c>
      <c r="I4435" s="101" t="str">
        <f t="shared" si="278"/>
        <v>UN</v>
      </c>
      <c r="J4435" s="140" t="str">
        <f t="shared" si="279"/>
        <v>TRATOR DE ESTEIRAS, POTENCIA NO VOLANTE DE 200 HP, PESO OPERACIONAL DE 20,1 T, COM RODA MOTRIZ ELEVADA E LAMINA COM CAPACIDADE DE 3,89 M3</v>
      </c>
    </row>
    <row r="4436" spans="1:10" x14ac:dyDescent="0.25">
      <c r="A4436" s="169">
        <v>36509</v>
      </c>
      <c r="B4436" s="169" t="s">
        <v>27936</v>
      </c>
      <c r="C4436" s="169" t="s">
        <v>10225</v>
      </c>
      <c r="D4436" s="169" t="s">
        <v>1290</v>
      </c>
      <c r="E4436" s="103" t="s">
        <v>27937</v>
      </c>
      <c r="F4436" s="104"/>
      <c r="G4436" s="105">
        <f t="shared" si="276"/>
        <v>1001100.85</v>
      </c>
      <c r="H4436" s="101" t="str">
        <f t="shared" si="277"/>
        <v>Sinapi 36509</v>
      </c>
      <c r="I4436" s="101" t="str">
        <f t="shared" si="278"/>
        <v>UN</v>
      </c>
      <c r="J4436" s="140" t="str">
        <f t="shared" si="279"/>
        <v>TRATOR DE ESTEIRAS, POTENCIA 125 HP, PESO OPERACIONAL DE 12,9 T, COM LAMINA COM CAPACIDADE DE 2,7 M3</v>
      </c>
    </row>
    <row r="4437" spans="1:10" x14ac:dyDescent="0.25">
      <c r="A4437" s="169">
        <v>13238</v>
      </c>
      <c r="B4437" s="169" t="s">
        <v>27938</v>
      </c>
      <c r="C4437" s="169" t="s">
        <v>10225</v>
      </c>
      <c r="D4437" s="169" t="s">
        <v>1290</v>
      </c>
      <c r="E4437" s="103" t="s">
        <v>31355</v>
      </c>
      <c r="F4437" s="104"/>
      <c r="G4437" s="105">
        <f t="shared" si="276"/>
        <v>307752.03000000003</v>
      </c>
      <c r="H4437" s="101" t="str">
        <f t="shared" si="277"/>
        <v>Sinapi 13238</v>
      </c>
      <c r="I4437" s="101" t="str">
        <f t="shared" si="278"/>
        <v>UN</v>
      </c>
      <c r="J4437" s="140" t="str">
        <f t="shared" si="279"/>
        <v>TRATOR DE PNEUS COM POTENCIA DE 105 CV, TRACAO 4 X 4, PESO COM LASTRO DE 5775 KG</v>
      </c>
    </row>
    <row r="4438" spans="1:10" x14ac:dyDescent="0.25">
      <c r="A4438" s="169">
        <v>36511</v>
      </c>
      <c r="B4438" s="169" t="s">
        <v>27939</v>
      </c>
      <c r="C4438" s="169" t="s">
        <v>10225</v>
      </c>
      <c r="D4438" s="169" t="s">
        <v>1290</v>
      </c>
      <c r="E4438" s="103" t="s">
        <v>31356</v>
      </c>
      <c r="F4438" s="104"/>
      <c r="G4438" s="105">
        <f t="shared" si="276"/>
        <v>356601.56</v>
      </c>
      <c r="H4438" s="101" t="str">
        <f t="shared" si="277"/>
        <v>Sinapi 36511</v>
      </c>
      <c r="I4438" s="101" t="str">
        <f t="shared" si="278"/>
        <v>UN</v>
      </c>
      <c r="J4438" s="140" t="str">
        <f t="shared" si="279"/>
        <v>TRATOR DE PNEUS COM POTENCIA DE 122 CV, TRACAO 4 X 4, PESO COM LASTRO DE 4510 KG</v>
      </c>
    </row>
    <row r="4439" spans="1:10" x14ac:dyDescent="0.25">
      <c r="A4439" s="169">
        <v>36515</v>
      </c>
      <c r="B4439" s="169" t="s">
        <v>27940</v>
      </c>
      <c r="C4439" s="169" t="s">
        <v>10225</v>
      </c>
      <c r="D4439" s="169" t="s">
        <v>1290</v>
      </c>
      <c r="E4439" s="103" t="s">
        <v>31357</v>
      </c>
      <c r="F4439" s="104"/>
      <c r="G4439" s="105">
        <f t="shared" si="276"/>
        <v>105026.47</v>
      </c>
      <c r="H4439" s="101" t="str">
        <f t="shared" si="277"/>
        <v>Sinapi 36515</v>
      </c>
      <c r="I4439" s="101" t="str">
        <f t="shared" si="278"/>
        <v>UN</v>
      </c>
      <c r="J4439" s="140" t="str">
        <f t="shared" si="279"/>
        <v>TRATOR DE PNEUS COM POTENCIA DE 15 CV, PESO COM LASTRO DE 1160 KG</v>
      </c>
    </row>
    <row r="4440" spans="1:10" x14ac:dyDescent="0.25">
      <c r="A4440" s="169">
        <v>10598</v>
      </c>
      <c r="B4440" s="169" t="s">
        <v>27941</v>
      </c>
      <c r="C4440" s="169" t="s">
        <v>10225</v>
      </c>
      <c r="D4440" s="169" t="s">
        <v>1290</v>
      </c>
      <c r="E4440" s="103" t="s">
        <v>31358</v>
      </c>
      <c r="F4440" s="104"/>
      <c r="G4440" s="105">
        <f t="shared" si="276"/>
        <v>170316.31</v>
      </c>
      <c r="H4440" s="101" t="str">
        <f t="shared" si="277"/>
        <v>Sinapi 10598</v>
      </c>
      <c r="I4440" s="101" t="str">
        <f t="shared" si="278"/>
        <v>UN</v>
      </c>
      <c r="J4440" s="140" t="str">
        <f t="shared" si="279"/>
        <v>TRATOR DE PNEUS COM POTENCIA DE 50 CV, TRACAO 4 X 2, PESO COM LASTRO DE 2714 KG</v>
      </c>
    </row>
    <row r="4441" spans="1:10" x14ac:dyDescent="0.25">
      <c r="A4441" s="169">
        <v>7640</v>
      </c>
      <c r="B4441" s="169" t="s">
        <v>27942</v>
      </c>
      <c r="C4441" s="169" t="s">
        <v>10225</v>
      </c>
      <c r="D4441" s="169" t="s">
        <v>1290</v>
      </c>
      <c r="E4441" s="103" t="s">
        <v>31359</v>
      </c>
      <c r="F4441" s="104"/>
      <c r="G4441" s="105">
        <f t="shared" si="276"/>
        <v>261345</v>
      </c>
      <c r="H4441" s="101" t="str">
        <f t="shared" si="277"/>
        <v>Sinapi 7640</v>
      </c>
      <c r="I4441" s="101" t="str">
        <f t="shared" si="278"/>
        <v>UN</v>
      </c>
      <c r="J4441" s="140" t="str">
        <f t="shared" si="279"/>
        <v>TRATOR DE PNEUS COM POTENCIA DE 85 CV, TRACAO 4 X 4, PESO COM LASTRO DE 4675 KG</v>
      </c>
    </row>
    <row r="4442" spans="1:10" x14ac:dyDescent="0.25">
      <c r="A4442" s="169">
        <v>36513</v>
      </c>
      <c r="B4442" s="169" t="s">
        <v>27943</v>
      </c>
      <c r="C4442" s="169" t="s">
        <v>10225</v>
      </c>
      <c r="D4442" s="169" t="s">
        <v>1290</v>
      </c>
      <c r="E4442" s="103" t="s">
        <v>31360</v>
      </c>
      <c r="F4442" s="104"/>
      <c r="G4442" s="105">
        <f t="shared" si="276"/>
        <v>251758.26</v>
      </c>
      <c r="H4442" s="101" t="str">
        <f t="shared" si="277"/>
        <v>Sinapi 36513</v>
      </c>
      <c r="I4442" s="101" t="str">
        <f t="shared" si="278"/>
        <v>UN</v>
      </c>
      <c r="J4442" s="140" t="str">
        <f t="shared" si="279"/>
        <v>TRATOR DE PNEUS COM POTENCIA DE 85 CV, TURBO, PESO COM LASTRO DE 4900 KG</v>
      </c>
    </row>
    <row r="4443" spans="1:10" x14ac:dyDescent="0.25">
      <c r="A4443" s="169">
        <v>36514</v>
      </c>
      <c r="B4443" s="169" t="s">
        <v>27944</v>
      </c>
      <c r="C4443" s="169" t="s">
        <v>10225</v>
      </c>
      <c r="D4443" s="169" t="s">
        <v>1290</v>
      </c>
      <c r="E4443" s="103" t="s">
        <v>31361</v>
      </c>
      <c r="F4443" s="104"/>
      <c r="G4443" s="105">
        <f t="shared" si="276"/>
        <v>280884.78999999998</v>
      </c>
      <c r="H4443" s="101" t="str">
        <f t="shared" si="277"/>
        <v>Sinapi 36514</v>
      </c>
      <c r="I4443" s="101" t="str">
        <f t="shared" si="278"/>
        <v>UN</v>
      </c>
      <c r="J4443" s="140" t="str">
        <f t="shared" si="279"/>
        <v>TRATOR DE PNEUS COM POTENCIA DE 95 CV, TRACAO 4 X 4, PESO MAXIMO DE 5225 KG</v>
      </c>
    </row>
    <row r="4444" spans="1:10" x14ac:dyDescent="0.25">
      <c r="A4444" s="169">
        <v>11572</v>
      </c>
      <c r="B4444" s="169" t="s">
        <v>27945</v>
      </c>
      <c r="C4444" s="169" t="s">
        <v>10225</v>
      </c>
      <c r="D4444" s="169" t="s">
        <v>1289</v>
      </c>
      <c r="E4444" s="103" t="s">
        <v>31362</v>
      </c>
      <c r="F4444" s="104"/>
      <c r="G4444" s="105">
        <f t="shared" si="276"/>
        <v>35.799999999999997</v>
      </c>
      <c r="H4444" s="101" t="str">
        <f t="shared" si="277"/>
        <v>Sinapi 11572</v>
      </c>
      <c r="I4444" s="101" t="str">
        <f t="shared" si="278"/>
        <v>UN</v>
      </c>
      <c r="J4444" s="140" t="str">
        <f t="shared" si="279"/>
        <v>TRAVA / PRENDEDOR DE PORTA, EM LATAO CROMADO, MONTADO EM PISO</v>
      </c>
    </row>
    <row r="4445" spans="1:10" x14ac:dyDescent="0.25">
      <c r="A4445" s="169">
        <v>36149</v>
      </c>
      <c r="B4445" s="169" t="s">
        <v>27946</v>
      </c>
      <c r="C4445" s="169" t="s">
        <v>10225</v>
      </c>
      <c r="D4445" s="169" t="s">
        <v>1289</v>
      </c>
      <c r="E4445" s="103" t="s">
        <v>21980</v>
      </c>
      <c r="F4445" s="104"/>
      <c r="G4445" s="105">
        <f t="shared" si="276"/>
        <v>171.55</v>
      </c>
      <c r="H4445" s="101" t="str">
        <f t="shared" si="277"/>
        <v>Sinapi 36149</v>
      </c>
      <c r="I4445" s="101" t="str">
        <f t="shared" si="278"/>
        <v>UN</v>
      </c>
      <c r="J4445" s="140" t="str">
        <f t="shared" si="279"/>
        <v>TRAVA-QUEDAS EM ACO PARA CORDA DE 12 MM, EXTENSOR DE 25 X 300 MM, COM MOSQUETAO TIPO GANCHO TRAVA DUPLA</v>
      </c>
    </row>
    <row r="4446" spans="1:10" x14ac:dyDescent="0.25">
      <c r="A4446" s="169">
        <v>42407</v>
      </c>
      <c r="B4446" s="169" t="s">
        <v>27947</v>
      </c>
      <c r="C4446" s="169" t="s">
        <v>10229</v>
      </c>
      <c r="D4446" s="169" t="s">
        <v>1290</v>
      </c>
      <c r="E4446" s="103" t="s">
        <v>2650</v>
      </c>
      <c r="F4446" s="104"/>
      <c r="G4446" s="105">
        <f t="shared" si="276"/>
        <v>5.43</v>
      </c>
      <c r="H4446" s="101" t="str">
        <f t="shared" si="277"/>
        <v>Sinapi 42407</v>
      </c>
      <c r="I4446" s="101" t="str">
        <f t="shared" si="278"/>
        <v>M</v>
      </c>
      <c r="J4446" s="140" t="str">
        <f t="shared" si="279"/>
        <v>TRELICA NERVURADA (ESPACADOR), ALTURA = 120,0 MM, DIAMETRO DOS BANZOS INFERIORES E SUPERIOR = 6,0 MM, DIAMETRO DA DIAGONAL = 4,2 MM</v>
      </c>
    </row>
    <row r="4447" spans="1:10" x14ac:dyDescent="0.25">
      <c r="A4447" s="169">
        <v>11581</v>
      </c>
      <c r="B4447" s="169" t="s">
        <v>27948</v>
      </c>
      <c r="C4447" s="169" t="s">
        <v>10229</v>
      </c>
      <c r="D4447" s="169" t="s">
        <v>1289</v>
      </c>
      <c r="E4447" s="103" t="s">
        <v>19386</v>
      </c>
      <c r="F4447" s="104"/>
      <c r="G4447" s="105">
        <f t="shared" si="276"/>
        <v>23.63</v>
      </c>
      <c r="H4447" s="101" t="str">
        <f t="shared" si="277"/>
        <v>Sinapi 11581</v>
      </c>
      <c r="I4447" s="101" t="str">
        <f t="shared" si="278"/>
        <v>M</v>
      </c>
      <c r="J4447" s="140" t="str">
        <f t="shared" si="279"/>
        <v>TRILHO PANTOGRAFICO CONCAVO, TIPO U, EM ALUMINIO, COM DIMENSOES DE APROX *35 X 35* MM, PARA ROLDANA DE PORTA DE CORRER</v>
      </c>
    </row>
    <row r="4448" spans="1:10" x14ac:dyDescent="0.25">
      <c r="A4448" s="169">
        <v>43605</v>
      </c>
      <c r="B4448" s="169" t="s">
        <v>27949</v>
      </c>
      <c r="C4448" s="169" t="s">
        <v>10229</v>
      </c>
      <c r="D4448" s="169" t="s">
        <v>1289</v>
      </c>
      <c r="E4448" s="103" t="s">
        <v>29188</v>
      </c>
      <c r="F4448" s="104"/>
      <c r="G4448" s="105">
        <f t="shared" si="276"/>
        <v>48.34</v>
      </c>
      <c r="H4448" s="101" t="str">
        <f t="shared" si="277"/>
        <v>Sinapi 43605</v>
      </c>
      <c r="I4448" s="101" t="str">
        <f t="shared" si="278"/>
        <v>M</v>
      </c>
      <c r="J4448" s="140" t="str">
        <f t="shared" si="279"/>
        <v>TRILHO PANTOGRAFICO RETO, EM ALUMINIO, TIPO U, COM DIMENSOES DE *38 X 38* MM PARA PORTA DE CORRER</v>
      </c>
    </row>
    <row r="4449" spans="1:10" x14ac:dyDescent="0.25">
      <c r="A4449" s="169">
        <v>11580</v>
      </c>
      <c r="B4449" s="169" t="s">
        <v>27950</v>
      </c>
      <c r="C4449" s="169" t="s">
        <v>10229</v>
      </c>
      <c r="D4449" s="169" t="s">
        <v>1289</v>
      </c>
      <c r="E4449" s="103" t="s">
        <v>17287</v>
      </c>
      <c r="F4449" s="104"/>
      <c r="G4449" s="105">
        <f t="shared" si="276"/>
        <v>9.48</v>
      </c>
      <c r="H4449" s="101" t="str">
        <f t="shared" si="277"/>
        <v>Sinapi 11580</v>
      </c>
      <c r="I4449" s="101" t="str">
        <f t="shared" si="278"/>
        <v>M</v>
      </c>
      <c r="J4449" s="140" t="str">
        <f t="shared" si="279"/>
        <v>TRILHO QUADRADO FRIZADO PARA RODIZIO (VERGALHAO MACICO), EM ALUMINIO, COM DIMENSOES DE *6 X 6* MM</v>
      </c>
    </row>
    <row r="4450" spans="1:10" x14ac:dyDescent="0.25">
      <c r="A4450" s="169">
        <v>10743</v>
      </c>
      <c r="B4450" s="169" t="s">
        <v>27951</v>
      </c>
      <c r="C4450" s="169" t="s">
        <v>10225</v>
      </c>
      <c r="D4450" s="169" t="s">
        <v>1290</v>
      </c>
      <c r="E4450" s="103" t="s">
        <v>31363</v>
      </c>
      <c r="F4450" s="104"/>
      <c r="G4450" s="105">
        <f t="shared" si="276"/>
        <v>655.66</v>
      </c>
      <c r="H4450" s="101" t="str">
        <f t="shared" si="277"/>
        <v>Sinapi 10743</v>
      </c>
      <c r="I4450" s="101" t="str">
        <f t="shared" si="278"/>
        <v>UN</v>
      </c>
      <c r="J4450" s="140" t="str">
        <f t="shared" si="279"/>
        <v>TROLEY MANUAL CAPACIDADE 1 T</v>
      </c>
    </row>
    <row r="4451" spans="1:10" x14ac:dyDescent="0.25">
      <c r="A4451" s="169">
        <v>39848</v>
      </c>
      <c r="B4451" s="169" t="s">
        <v>27952</v>
      </c>
      <c r="C4451" s="169" t="s">
        <v>10229</v>
      </c>
      <c r="D4451" s="169" t="s">
        <v>1290</v>
      </c>
      <c r="E4451" s="103" t="s">
        <v>20055</v>
      </c>
      <c r="F4451" s="104"/>
      <c r="G4451" s="105">
        <f t="shared" si="276"/>
        <v>1.9</v>
      </c>
      <c r="H4451" s="101" t="str">
        <f t="shared" si="277"/>
        <v>Sinapi 39848</v>
      </c>
      <c r="I4451" s="101" t="str">
        <f t="shared" si="278"/>
        <v>M</v>
      </c>
      <c r="J4451" s="140" t="str">
        <f t="shared" si="279"/>
        <v>TUBO / MANGUEIRA PRETA EM POLIETILENO, LINHA PESADA OU REFORCADA, TIPO ESPAGUETE, PARA INJECAO DE CALDA DE CIMENTO, D = 1/2", ESPESSURA 1,5 MM</v>
      </c>
    </row>
    <row r="4452" spans="1:10" x14ac:dyDescent="0.25">
      <c r="A4452" s="169">
        <v>20999</v>
      </c>
      <c r="B4452" s="169" t="s">
        <v>27953</v>
      </c>
      <c r="C4452" s="169" t="s">
        <v>10229</v>
      </c>
      <c r="D4452" s="169" t="s">
        <v>1290</v>
      </c>
      <c r="E4452" s="103" t="s">
        <v>12332</v>
      </c>
      <c r="F4452" s="104"/>
      <c r="G4452" s="105">
        <f t="shared" si="276"/>
        <v>11.67</v>
      </c>
      <c r="H4452" s="101" t="str">
        <f t="shared" si="277"/>
        <v>Sinapi 20999</v>
      </c>
      <c r="I4452" s="101" t="str">
        <f t="shared" si="278"/>
        <v>M</v>
      </c>
      <c r="J4452" s="140" t="str">
        <f t="shared" si="279"/>
        <v>TUBO ACO CARBONO COM COSTURA, NBR 5580, CLASSE L, DN = 15 MM, E = 2,25 MM, 1,06 KG/M</v>
      </c>
    </row>
    <row r="4453" spans="1:10" x14ac:dyDescent="0.25">
      <c r="A4453" s="169">
        <v>21001</v>
      </c>
      <c r="B4453" s="169" t="s">
        <v>27955</v>
      </c>
      <c r="C4453" s="169" t="s">
        <v>10229</v>
      </c>
      <c r="D4453" s="169" t="s">
        <v>1290</v>
      </c>
      <c r="E4453" s="103" t="s">
        <v>22851</v>
      </c>
      <c r="F4453" s="104"/>
      <c r="G4453" s="105">
        <f t="shared" si="276"/>
        <v>21.78</v>
      </c>
      <c r="H4453" s="101" t="str">
        <f t="shared" si="277"/>
        <v>Sinapi 21001</v>
      </c>
      <c r="I4453" s="101" t="str">
        <f t="shared" si="278"/>
        <v>M</v>
      </c>
      <c r="J4453" s="140" t="str">
        <f t="shared" si="279"/>
        <v>TUBO ACO CARBONO COM COSTURA, NBR 5580, CLASSE L, DN = 25 MM, E = 2,65 MM, 2,02 KG/M</v>
      </c>
    </row>
    <row r="4454" spans="1:10" x14ac:dyDescent="0.25">
      <c r="A4454" s="169">
        <v>21003</v>
      </c>
      <c r="B4454" s="169" t="s">
        <v>27956</v>
      </c>
      <c r="C4454" s="169" t="s">
        <v>10229</v>
      </c>
      <c r="D4454" s="169" t="s">
        <v>1290</v>
      </c>
      <c r="E4454" s="103" t="s">
        <v>31364</v>
      </c>
      <c r="F4454" s="104"/>
      <c r="G4454" s="105">
        <f t="shared" si="276"/>
        <v>35.79</v>
      </c>
      <c r="H4454" s="101" t="str">
        <f t="shared" si="277"/>
        <v>Sinapi 21003</v>
      </c>
      <c r="I4454" s="101" t="str">
        <f t="shared" si="278"/>
        <v>M</v>
      </c>
      <c r="J4454" s="140" t="str">
        <f t="shared" si="279"/>
        <v>TUBO ACO CARBONO COM COSTURA, NBR 5580, CLASSE L, DN = 40 MM, E = 3,0 MM, 3,34 KG/M</v>
      </c>
    </row>
    <row r="4455" spans="1:10" x14ac:dyDescent="0.25">
      <c r="A4455" s="169">
        <v>21006</v>
      </c>
      <c r="B4455" s="169" t="s">
        <v>27957</v>
      </c>
      <c r="C4455" s="169" t="s">
        <v>10229</v>
      </c>
      <c r="D4455" s="169" t="s">
        <v>1290</v>
      </c>
      <c r="E4455" s="103" t="s">
        <v>31365</v>
      </c>
      <c r="F4455" s="104"/>
      <c r="G4455" s="105">
        <f t="shared" si="276"/>
        <v>75.95</v>
      </c>
      <c r="H4455" s="101" t="str">
        <f t="shared" si="277"/>
        <v>Sinapi 21006</v>
      </c>
      <c r="I4455" s="101" t="str">
        <f t="shared" si="278"/>
        <v>M</v>
      </c>
      <c r="J4455" s="140" t="str">
        <f t="shared" si="279"/>
        <v>TUBO ACO CARBONO COM COSTURA, NBR 5580, CLASSE L, DN = 80 MM, E = 3,35 MM, 7,07 KG/M</v>
      </c>
    </row>
    <row r="4456" spans="1:10" x14ac:dyDescent="0.25">
      <c r="A4456" s="169">
        <v>21019</v>
      </c>
      <c r="B4456" s="169" t="s">
        <v>27958</v>
      </c>
      <c r="C4456" s="169" t="s">
        <v>10229</v>
      </c>
      <c r="D4456" s="169" t="s">
        <v>1290</v>
      </c>
      <c r="E4456" s="103" t="s">
        <v>19956</v>
      </c>
      <c r="F4456" s="104"/>
      <c r="G4456" s="105">
        <f t="shared" si="276"/>
        <v>26.4</v>
      </c>
      <c r="H4456" s="101" t="str">
        <f t="shared" si="277"/>
        <v>Sinapi 21019</v>
      </c>
      <c r="I4456" s="101" t="str">
        <f t="shared" si="278"/>
        <v>M</v>
      </c>
      <c r="J4456" s="140" t="str">
        <f t="shared" si="279"/>
        <v>TUBO ACO CARBONO COM COSTURA, NBR 5580, CLASSE M, DN = 25 MM, E = 3,35 MM, *2,50* KG//M</v>
      </c>
    </row>
    <row r="4457" spans="1:10" x14ac:dyDescent="0.25">
      <c r="A4457" s="169">
        <v>21021</v>
      </c>
      <c r="B4457" s="169" t="s">
        <v>27959</v>
      </c>
      <c r="C4457" s="169" t="s">
        <v>10229</v>
      </c>
      <c r="D4457" s="169" t="s">
        <v>1290</v>
      </c>
      <c r="E4457" s="103" t="s">
        <v>21313</v>
      </c>
      <c r="F4457" s="104"/>
      <c r="G4457" s="105">
        <f t="shared" si="276"/>
        <v>41.74</v>
      </c>
      <c r="H4457" s="101" t="str">
        <f t="shared" si="277"/>
        <v>Sinapi 21021</v>
      </c>
      <c r="I4457" s="101" t="str">
        <f t="shared" si="278"/>
        <v>M</v>
      </c>
      <c r="J4457" s="140" t="str">
        <f t="shared" si="279"/>
        <v>TUBO ACO CARBONO COM COSTURA, NBR 5580, CLASSE M, DN = 40 MM, E = 3,35 MM, *3,71* KG//M</v>
      </c>
    </row>
    <row r="4458" spans="1:10" x14ac:dyDescent="0.25">
      <c r="A4458" s="169">
        <v>21024</v>
      </c>
      <c r="B4458" s="169" t="s">
        <v>27960</v>
      </c>
      <c r="C4458" s="169" t="s">
        <v>10229</v>
      </c>
      <c r="D4458" s="169" t="s">
        <v>1290</v>
      </c>
      <c r="E4458" s="103" t="s">
        <v>23278</v>
      </c>
      <c r="F4458" s="104"/>
      <c r="G4458" s="105">
        <f t="shared" si="276"/>
        <v>89.42</v>
      </c>
      <c r="H4458" s="101" t="str">
        <f t="shared" si="277"/>
        <v>Sinapi 21024</v>
      </c>
      <c r="I4458" s="101" t="str">
        <f t="shared" si="278"/>
        <v>M</v>
      </c>
      <c r="J4458" s="140" t="str">
        <f t="shared" si="279"/>
        <v>TUBO ACO CARBONO COM COSTURA, NBR 5580, CLASSE M, DN = 80 MM, E = 4,05 MM, *8,47* KG/M</v>
      </c>
    </row>
    <row r="4459" spans="1:10" x14ac:dyDescent="0.25">
      <c r="A4459" s="169">
        <v>40624</v>
      </c>
      <c r="B4459" s="169" t="s">
        <v>554</v>
      </c>
      <c r="C4459" s="169" t="s">
        <v>10229</v>
      </c>
      <c r="D4459" s="169" t="s">
        <v>1290</v>
      </c>
      <c r="E4459" s="103" t="s">
        <v>19271</v>
      </c>
      <c r="F4459" s="104"/>
      <c r="G4459" s="105">
        <f t="shared" si="276"/>
        <v>97.26</v>
      </c>
      <c r="H4459" s="101" t="str">
        <f t="shared" si="277"/>
        <v>Sinapi 40624</v>
      </c>
      <c r="I4459" s="101" t="str">
        <f t="shared" si="278"/>
        <v>M</v>
      </c>
      <c r="J4459" s="140" t="str">
        <f t="shared" si="279"/>
        <v>TUBO ACO CARBONO SEM COSTURA 1 1/2", E= *3,68 MM, SCHEDULE 40, 4,05 KG/M</v>
      </c>
    </row>
    <row r="4460" spans="1:10" x14ac:dyDescent="0.25">
      <c r="A4460" s="169">
        <v>42575</v>
      </c>
      <c r="B4460" s="169" t="s">
        <v>10397</v>
      </c>
      <c r="C4460" s="169" t="s">
        <v>10229</v>
      </c>
      <c r="D4460" s="169" t="s">
        <v>1290</v>
      </c>
      <c r="E4460" s="103" t="s">
        <v>31366</v>
      </c>
      <c r="F4460" s="104"/>
      <c r="G4460" s="105">
        <f t="shared" si="276"/>
        <v>89.25</v>
      </c>
      <c r="H4460" s="101" t="str">
        <f t="shared" si="277"/>
        <v>Sinapi 42575</v>
      </c>
      <c r="I4460" s="101" t="str">
        <f t="shared" si="278"/>
        <v>M</v>
      </c>
      <c r="J4460" s="140" t="str">
        <f t="shared" si="279"/>
        <v>TUBO ACO CARBONO SEM COSTURA 1 1/4", E= *3,56 MM, SCHEDULE 40, *3,38* KG/M</v>
      </c>
    </row>
    <row r="4461" spans="1:10" x14ac:dyDescent="0.25">
      <c r="A4461" s="169">
        <v>13127</v>
      </c>
      <c r="B4461" s="169" t="s">
        <v>27961</v>
      </c>
      <c r="C4461" s="169" t="s">
        <v>10229</v>
      </c>
      <c r="D4461" s="169" t="s">
        <v>1290</v>
      </c>
      <c r="E4461" s="103" t="s">
        <v>30373</v>
      </c>
      <c r="F4461" s="104"/>
      <c r="G4461" s="105">
        <f t="shared" si="276"/>
        <v>43.38</v>
      </c>
      <c r="H4461" s="101" t="str">
        <f t="shared" si="277"/>
        <v>Sinapi 13127</v>
      </c>
      <c r="I4461" s="101" t="str">
        <f t="shared" si="278"/>
        <v>M</v>
      </c>
      <c r="J4461" s="140" t="str">
        <f t="shared" si="279"/>
        <v>TUBO ACO CARBONO SEM COSTURA 1/2", E= *2,77 MM, SCHEDULE 40, *1,27 KG/M</v>
      </c>
    </row>
    <row r="4462" spans="1:10" x14ac:dyDescent="0.25">
      <c r="A4462" s="169">
        <v>13137</v>
      </c>
      <c r="B4462" s="169" t="s">
        <v>27962</v>
      </c>
      <c r="C4462" s="169" t="s">
        <v>10229</v>
      </c>
      <c r="D4462" s="169" t="s">
        <v>1290</v>
      </c>
      <c r="E4462" s="103" t="s">
        <v>21556</v>
      </c>
      <c r="F4462" s="104"/>
      <c r="G4462" s="105">
        <f t="shared" si="276"/>
        <v>57.57</v>
      </c>
      <c r="H4462" s="101" t="str">
        <f t="shared" si="277"/>
        <v>Sinapi 13137</v>
      </c>
      <c r="I4462" s="101" t="str">
        <f t="shared" si="278"/>
        <v>M</v>
      </c>
      <c r="J4462" s="140" t="str">
        <f t="shared" si="279"/>
        <v>TUBO ACO CARBONO SEM COSTURA 1/2", E= *3,73 MM, SCHEDULE 80, *1,62 KG/M</v>
      </c>
    </row>
    <row r="4463" spans="1:10" x14ac:dyDescent="0.25">
      <c r="A4463" s="169">
        <v>42574</v>
      </c>
      <c r="B4463" s="169" t="s">
        <v>10398</v>
      </c>
      <c r="C4463" s="169" t="s">
        <v>10229</v>
      </c>
      <c r="D4463" s="169" t="s">
        <v>1290</v>
      </c>
      <c r="E4463" s="103" t="s">
        <v>28752</v>
      </c>
      <c r="F4463" s="104"/>
      <c r="G4463" s="105">
        <f t="shared" si="276"/>
        <v>66.599999999999994</v>
      </c>
      <c r="H4463" s="101" t="str">
        <f t="shared" si="277"/>
        <v>Sinapi 42574</v>
      </c>
      <c r="I4463" s="101" t="str">
        <f t="shared" si="278"/>
        <v>M</v>
      </c>
      <c r="J4463" s="140" t="str">
        <f t="shared" si="279"/>
        <v>TUBO ACO CARBONO SEM COSTURA 1", E= *3,38 MM, SCHEDULE 40, *2,50* KG/M</v>
      </c>
    </row>
    <row r="4464" spans="1:10" x14ac:dyDescent="0.25">
      <c r="A4464" s="169">
        <v>20989</v>
      </c>
      <c r="B4464" s="169" t="s">
        <v>27963</v>
      </c>
      <c r="C4464" s="169" t="s">
        <v>10229</v>
      </c>
      <c r="D4464" s="169" t="s">
        <v>1290</v>
      </c>
      <c r="E4464" s="103" t="s">
        <v>31367</v>
      </c>
      <c r="F4464" s="104"/>
      <c r="G4464" s="105">
        <f t="shared" si="276"/>
        <v>2062.4</v>
      </c>
      <c r="H4464" s="101" t="str">
        <f t="shared" si="277"/>
        <v>Sinapi 20989</v>
      </c>
      <c r="I4464" s="101" t="str">
        <f t="shared" si="278"/>
        <v>M</v>
      </c>
      <c r="J4464" s="140" t="str">
        <f t="shared" si="279"/>
        <v>TUBO ACO CARBONO SEM COSTURA 14", E= *11,13 MM, SCHEDULE 40, *94,55 KG/M</v>
      </c>
    </row>
    <row r="4465" spans="1:10" x14ac:dyDescent="0.25">
      <c r="A4465" s="169">
        <v>21147</v>
      </c>
      <c r="B4465" s="169" t="s">
        <v>27964</v>
      </c>
      <c r="C4465" s="169" t="s">
        <v>10229</v>
      </c>
      <c r="D4465" s="169" t="s">
        <v>1290</v>
      </c>
      <c r="E4465" s="103" t="s">
        <v>31368</v>
      </c>
      <c r="F4465" s="104"/>
      <c r="G4465" s="105">
        <f t="shared" si="276"/>
        <v>193.37</v>
      </c>
      <c r="H4465" s="101" t="str">
        <f t="shared" si="277"/>
        <v>Sinapi 21147</v>
      </c>
      <c r="I4465" s="101" t="str">
        <f t="shared" si="278"/>
        <v>M</v>
      </c>
      <c r="J4465" s="140" t="str">
        <f t="shared" si="279"/>
        <v>TUBO ACO CARBONO SEM COSTURA 2 1/2", E = 5,16 MM, SCHEDULE 40 (8,62 KG/M)</v>
      </c>
    </row>
    <row r="4466" spans="1:10" x14ac:dyDescent="0.25">
      <c r="A4466" s="169">
        <v>21148</v>
      </c>
      <c r="B4466" s="169" t="s">
        <v>27965</v>
      </c>
      <c r="C4466" s="169" t="s">
        <v>10229</v>
      </c>
      <c r="D4466" s="169" t="s">
        <v>1290</v>
      </c>
      <c r="E4466" s="103" t="s">
        <v>31369</v>
      </c>
      <c r="F4466" s="104"/>
      <c r="G4466" s="105">
        <f t="shared" si="276"/>
        <v>119.35</v>
      </c>
      <c r="H4466" s="101" t="str">
        <f t="shared" si="277"/>
        <v>Sinapi 21148</v>
      </c>
      <c r="I4466" s="101" t="str">
        <f t="shared" si="278"/>
        <v>M</v>
      </c>
      <c r="J4466" s="140" t="str">
        <f t="shared" si="279"/>
        <v>TUBO ACO CARBONO SEM COSTURA 2", E= *3,91* MM, SCHEDULE 40, *5,43* KG/M</v>
      </c>
    </row>
    <row r="4467" spans="1:10" x14ac:dyDescent="0.25">
      <c r="A4467" s="169">
        <v>20984</v>
      </c>
      <c r="B4467" s="169" t="s">
        <v>27966</v>
      </c>
      <c r="C4467" s="169" t="s">
        <v>10229</v>
      </c>
      <c r="D4467" s="169" t="s">
        <v>1290</v>
      </c>
      <c r="E4467" s="103" t="s">
        <v>31370</v>
      </c>
      <c r="F4467" s="104"/>
      <c r="G4467" s="105">
        <f t="shared" si="276"/>
        <v>3957.34</v>
      </c>
      <c r="H4467" s="101" t="str">
        <f t="shared" si="277"/>
        <v>Sinapi 20984</v>
      </c>
      <c r="I4467" s="101" t="str">
        <f t="shared" si="278"/>
        <v>M</v>
      </c>
      <c r="J4467" s="140" t="str">
        <f t="shared" si="279"/>
        <v>TUBO ACO CARBONO SEM COSTURA 20", E= *12,70 MM, SCHEDULE 30, *154,97 KG/M</v>
      </c>
    </row>
    <row r="4468" spans="1:10" x14ac:dyDescent="0.25">
      <c r="A4468" s="169">
        <v>13042</v>
      </c>
      <c r="B4468" s="169" t="s">
        <v>27967</v>
      </c>
      <c r="C4468" s="169" t="s">
        <v>10229</v>
      </c>
      <c r="D4468" s="169" t="s">
        <v>1290</v>
      </c>
      <c r="E4468" s="103" t="s">
        <v>31371</v>
      </c>
      <c r="F4468" s="104"/>
      <c r="G4468" s="105">
        <f t="shared" si="276"/>
        <v>2192.9499999999998</v>
      </c>
      <c r="H4468" s="101" t="str">
        <f t="shared" si="277"/>
        <v>Sinapi 13042</v>
      </c>
      <c r="I4468" s="101" t="str">
        <f t="shared" si="278"/>
        <v>M</v>
      </c>
      <c r="J4468" s="140" t="str">
        <f t="shared" si="279"/>
        <v>TUBO ACO CARBONO SEM COSTURA 20", E= *6,35 MM, SCHEDULE 10, *78,46 KG/M</v>
      </c>
    </row>
    <row r="4469" spans="1:10" x14ac:dyDescent="0.25">
      <c r="A4469" s="169">
        <v>21150</v>
      </c>
      <c r="B4469" s="169" t="s">
        <v>558</v>
      </c>
      <c r="C4469" s="169" t="s">
        <v>10229</v>
      </c>
      <c r="D4469" s="169" t="s">
        <v>1290</v>
      </c>
      <c r="E4469" s="103" t="s">
        <v>31372</v>
      </c>
      <c r="F4469" s="104"/>
      <c r="G4469" s="105">
        <f t="shared" si="276"/>
        <v>59.18</v>
      </c>
      <c r="H4469" s="101" t="str">
        <f t="shared" si="277"/>
        <v>Sinapi 21150</v>
      </c>
      <c r="I4469" s="101" t="str">
        <f t="shared" si="278"/>
        <v>M</v>
      </c>
      <c r="J4469" s="140" t="str">
        <f t="shared" si="279"/>
        <v>TUBO ACO CARBONO SEM COSTURA 3/4", E= *2,87 MM, SCHEDULE 40, *1,69 KG/M</v>
      </c>
    </row>
    <row r="4470" spans="1:10" x14ac:dyDescent="0.25">
      <c r="A4470" s="169">
        <v>13141</v>
      </c>
      <c r="B4470" s="169" t="s">
        <v>27968</v>
      </c>
      <c r="C4470" s="169" t="s">
        <v>10229</v>
      </c>
      <c r="D4470" s="169" t="s">
        <v>1290</v>
      </c>
      <c r="E4470" s="103" t="s">
        <v>31373</v>
      </c>
      <c r="F4470" s="104"/>
      <c r="G4470" s="105">
        <f t="shared" si="276"/>
        <v>74.56</v>
      </c>
      <c r="H4470" s="101" t="str">
        <f t="shared" si="277"/>
        <v>Sinapi 13141</v>
      </c>
      <c r="I4470" s="101" t="str">
        <f t="shared" si="278"/>
        <v>M</v>
      </c>
      <c r="J4470" s="140" t="str">
        <f t="shared" si="279"/>
        <v>TUBO ACO CARBONO SEM COSTURA 3/4", E= *3,91 MM, SCHEDULE 80, *2,19 KG/M.</v>
      </c>
    </row>
    <row r="4471" spans="1:10" x14ac:dyDescent="0.25">
      <c r="A4471" s="169">
        <v>42576</v>
      </c>
      <c r="B4471" s="169" t="s">
        <v>27969</v>
      </c>
      <c r="C4471" s="169" t="s">
        <v>10229</v>
      </c>
      <c r="D4471" s="169" t="s">
        <v>1290</v>
      </c>
      <c r="E4471" s="103" t="s">
        <v>31374</v>
      </c>
      <c r="F4471" s="104"/>
      <c r="G4471" s="105">
        <f t="shared" si="276"/>
        <v>243.45</v>
      </c>
      <c r="H4471" s="101" t="str">
        <f t="shared" si="277"/>
        <v>Sinapi 42576</v>
      </c>
      <c r="I4471" s="101" t="str">
        <f t="shared" si="278"/>
        <v>M</v>
      </c>
      <c r="J4471" s="140" t="str">
        <f t="shared" si="279"/>
        <v>TUBO ACO CARBONO SEM COSTURA 3", E= *5,49 MM, SCHEDULE 40, *11,28* KG/M</v>
      </c>
    </row>
    <row r="4472" spans="1:10" x14ac:dyDescent="0.25">
      <c r="A4472" s="169">
        <v>21151</v>
      </c>
      <c r="B4472" s="169" t="s">
        <v>27970</v>
      </c>
      <c r="C4472" s="169" t="s">
        <v>10229</v>
      </c>
      <c r="D4472" s="169" t="s">
        <v>1290</v>
      </c>
      <c r="E4472" s="103" t="s">
        <v>31375</v>
      </c>
      <c r="F4472" s="104"/>
      <c r="G4472" s="105">
        <f t="shared" si="276"/>
        <v>354.23</v>
      </c>
      <c r="H4472" s="101" t="str">
        <f t="shared" si="277"/>
        <v>Sinapi 21151</v>
      </c>
      <c r="I4472" s="101" t="str">
        <f t="shared" si="278"/>
        <v>M</v>
      </c>
      <c r="J4472" s="140" t="str">
        <f t="shared" si="279"/>
        <v>TUBO ACO CARBONO SEM COSTURA 4", E= *6,02 MM, SCHEDULE 40, *16,06 KG/M</v>
      </c>
    </row>
    <row r="4473" spans="1:10" x14ac:dyDescent="0.25">
      <c r="A4473" s="169">
        <v>13142</v>
      </c>
      <c r="B4473" s="169" t="s">
        <v>27971</v>
      </c>
      <c r="C4473" s="169" t="s">
        <v>10229</v>
      </c>
      <c r="D4473" s="169" t="s">
        <v>1290</v>
      </c>
      <c r="E4473" s="103" t="s">
        <v>31376</v>
      </c>
      <c r="F4473" s="104"/>
      <c r="G4473" s="105">
        <f t="shared" si="276"/>
        <v>506.4</v>
      </c>
      <c r="H4473" s="101" t="str">
        <f t="shared" si="277"/>
        <v>Sinapi 13142</v>
      </c>
      <c r="I4473" s="101" t="str">
        <f t="shared" si="278"/>
        <v>M</v>
      </c>
      <c r="J4473" s="140" t="str">
        <f t="shared" si="279"/>
        <v>TUBO ACO CARBONO SEM COSTURA 4", E= *8,56 MM, SCHEDULE 80, *22,31 KG/M</v>
      </c>
    </row>
    <row r="4474" spans="1:10" x14ac:dyDescent="0.25">
      <c r="A4474" s="169">
        <v>42577</v>
      </c>
      <c r="B4474" s="169" t="s">
        <v>10399</v>
      </c>
      <c r="C4474" s="169" t="s">
        <v>10229</v>
      </c>
      <c r="D4474" s="169" t="s">
        <v>1290</v>
      </c>
      <c r="E4474" s="103" t="s">
        <v>31377</v>
      </c>
      <c r="F4474" s="104"/>
      <c r="G4474" s="105">
        <f t="shared" si="276"/>
        <v>555.66</v>
      </c>
      <c r="H4474" s="101" t="str">
        <f t="shared" si="277"/>
        <v>Sinapi 42577</v>
      </c>
      <c r="I4474" s="101" t="str">
        <f t="shared" si="278"/>
        <v>M</v>
      </c>
      <c r="J4474" s="140" t="str">
        <f t="shared" si="279"/>
        <v>TUBO ACO CARBONO SEM COSTURA 5", E= *6,55 MM, SCHEDULE 40, *21,75* KG/M</v>
      </c>
    </row>
    <row r="4475" spans="1:10" x14ac:dyDescent="0.25">
      <c r="A4475" s="169">
        <v>20994</v>
      </c>
      <c r="B4475" s="169" t="s">
        <v>27972</v>
      </c>
      <c r="C4475" s="169" t="s">
        <v>10229</v>
      </c>
      <c r="D4475" s="169" t="s">
        <v>1290</v>
      </c>
      <c r="E4475" s="103" t="s">
        <v>31378</v>
      </c>
      <c r="F4475" s="104"/>
      <c r="G4475" s="105">
        <f t="shared" si="276"/>
        <v>954.78</v>
      </c>
      <c r="H4475" s="101" t="str">
        <f t="shared" si="277"/>
        <v>Sinapi 20994</v>
      </c>
      <c r="I4475" s="101" t="str">
        <f t="shared" si="278"/>
        <v>M</v>
      </c>
      <c r="J4475" s="140" t="str">
        <f t="shared" si="279"/>
        <v>TUBO ACO CARBONO SEM COSTURA 6", E= *10,97 MM, SCHEDULE 80, *42,56 KG/M</v>
      </c>
    </row>
    <row r="4476" spans="1:10" x14ac:dyDescent="0.25">
      <c r="A4476" s="169">
        <v>7672</v>
      </c>
      <c r="B4476" s="169" t="s">
        <v>27973</v>
      </c>
      <c r="C4476" s="169" t="s">
        <v>10229</v>
      </c>
      <c r="D4476" s="169" t="s">
        <v>1290</v>
      </c>
      <c r="E4476" s="103" t="s">
        <v>31379</v>
      </c>
      <c r="F4476" s="104"/>
      <c r="G4476" s="105">
        <f t="shared" si="276"/>
        <v>625.49</v>
      </c>
      <c r="H4476" s="101" t="str">
        <f t="shared" si="277"/>
        <v>Sinapi 7672</v>
      </c>
      <c r="I4476" s="101" t="str">
        <f t="shared" si="278"/>
        <v>M</v>
      </c>
      <c r="J4476" s="140" t="str">
        <f t="shared" si="279"/>
        <v>TUBO ACO CARBONO SEM COSTURA 6", E= 7,11 MM, SCHEDULE 40, *28,26 KG/M</v>
      </c>
    </row>
    <row r="4477" spans="1:10" x14ac:dyDescent="0.25">
      <c r="A4477" s="169">
        <v>20995</v>
      </c>
      <c r="B4477" s="169" t="s">
        <v>27974</v>
      </c>
      <c r="C4477" s="169" t="s">
        <v>10229</v>
      </c>
      <c r="D4477" s="169" t="s">
        <v>1290</v>
      </c>
      <c r="E4477" s="103" t="s">
        <v>31380</v>
      </c>
      <c r="F4477" s="104"/>
      <c r="G4477" s="105">
        <f t="shared" si="276"/>
        <v>1254.76</v>
      </c>
      <c r="H4477" s="101" t="str">
        <f t="shared" si="277"/>
        <v>Sinapi 20995</v>
      </c>
      <c r="I4477" s="101" t="str">
        <f t="shared" si="278"/>
        <v>M</v>
      </c>
      <c r="J4477" s="140" t="str">
        <f t="shared" si="279"/>
        <v>TUBO ACO CARBONO SEM COSTURA 8", E= *12,70 MM, SCHEDULE 80, *64,64 KG/M</v>
      </c>
    </row>
    <row r="4478" spans="1:10" x14ac:dyDescent="0.25">
      <c r="A4478" s="169">
        <v>7690</v>
      </c>
      <c r="B4478" s="169" t="s">
        <v>27975</v>
      </c>
      <c r="C4478" s="169" t="s">
        <v>10229</v>
      </c>
      <c r="D4478" s="169" t="s">
        <v>1290</v>
      </c>
      <c r="E4478" s="103" t="s">
        <v>31381</v>
      </c>
      <c r="F4478" s="104"/>
      <c r="G4478" s="105">
        <f t="shared" si="276"/>
        <v>725.71</v>
      </c>
      <c r="H4478" s="101" t="str">
        <f t="shared" si="277"/>
        <v>Sinapi 7690</v>
      </c>
      <c r="I4478" s="101" t="str">
        <f t="shared" si="278"/>
        <v>M</v>
      </c>
      <c r="J4478" s="140" t="str">
        <f t="shared" si="279"/>
        <v>TUBO ACO CARBONO SEM COSTURA 8", E= *6,35 MM, SCHEDULE 20, *33,27 KG/M</v>
      </c>
    </row>
    <row r="4479" spans="1:10" x14ac:dyDescent="0.25">
      <c r="A4479" s="169">
        <v>20980</v>
      </c>
      <c r="B4479" s="169" t="s">
        <v>27976</v>
      </c>
      <c r="C4479" s="169" t="s">
        <v>10229</v>
      </c>
      <c r="D4479" s="169" t="s">
        <v>1290</v>
      </c>
      <c r="E4479" s="103" t="s">
        <v>31382</v>
      </c>
      <c r="F4479" s="104"/>
      <c r="G4479" s="105">
        <f t="shared" si="276"/>
        <v>791.69</v>
      </c>
      <c r="H4479" s="101" t="str">
        <f t="shared" si="277"/>
        <v>Sinapi 20980</v>
      </c>
      <c r="I4479" s="101" t="str">
        <f t="shared" si="278"/>
        <v>M</v>
      </c>
      <c r="J4479" s="140" t="str">
        <f t="shared" si="279"/>
        <v>TUBO ACO CARBONO SEM COSTURA 8", E= *7,04 MM, SCHEDULE 30, *36,75 KG/M</v>
      </c>
    </row>
    <row r="4480" spans="1:10" x14ac:dyDescent="0.25">
      <c r="A4480" s="169">
        <v>7661</v>
      </c>
      <c r="B4480" s="169" t="s">
        <v>10290</v>
      </c>
      <c r="C4480" s="169" t="s">
        <v>10229</v>
      </c>
      <c r="D4480" s="169" t="s">
        <v>1290</v>
      </c>
      <c r="E4480" s="103" t="s">
        <v>31383</v>
      </c>
      <c r="F4480" s="104"/>
      <c r="G4480" s="105">
        <f t="shared" si="276"/>
        <v>941.78</v>
      </c>
      <c r="H4480" s="101" t="str">
        <f t="shared" si="277"/>
        <v>Sinapi 7661</v>
      </c>
      <c r="I4480" s="101" t="str">
        <f t="shared" si="278"/>
        <v>M</v>
      </c>
      <c r="J4480" s="140" t="str">
        <f t="shared" si="279"/>
        <v>TUBO ACO CARBONO SEM COSTURA 8", E= *8,18 MM, SCHEDULE 40, *42,55 KG/M</v>
      </c>
    </row>
    <row r="4481" spans="1:10" x14ac:dyDescent="0.25">
      <c r="A4481" s="169">
        <v>21016</v>
      </c>
      <c r="B4481" s="169" t="s">
        <v>27977</v>
      </c>
      <c r="C4481" s="169" t="s">
        <v>10229</v>
      </c>
      <c r="D4481" s="169" t="s">
        <v>1290</v>
      </c>
      <c r="E4481" s="103" t="s">
        <v>31384</v>
      </c>
      <c r="F4481" s="104"/>
      <c r="G4481" s="105">
        <f t="shared" si="276"/>
        <v>153.46</v>
      </c>
      <c r="H4481" s="101" t="str">
        <f t="shared" si="277"/>
        <v>Sinapi 21016</v>
      </c>
      <c r="I4481" s="101" t="str">
        <f t="shared" si="278"/>
        <v>M</v>
      </c>
      <c r="J4481" s="140" t="str">
        <f t="shared" si="279"/>
        <v>TUBO ACO GALVANIZADO COM COSTURA, CLASSE LEVE, DN 100 MM ( 4"), E = 3,75 MM, *10,55* KG/M (NBR 5580)</v>
      </c>
    </row>
    <row r="4482" spans="1:10" x14ac:dyDescent="0.25">
      <c r="A4482" s="169">
        <v>21008</v>
      </c>
      <c r="B4482" s="169" t="s">
        <v>27978</v>
      </c>
      <c r="C4482" s="169" t="s">
        <v>10229</v>
      </c>
      <c r="D4482" s="169" t="s">
        <v>1290</v>
      </c>
      <c r="E4482" s="103" t="s">
        <v>23101</v>
      </c>
      <c r="F4482" s="104"/>
      <c r="G4482" s="105">
        <f t="shared" si="276"/>
        <v>17.93</v>
      </c>
      <c r="H4482" s="101" t="str">
        <f t="shared" si="277"/>
        <v>Sinapi 21008</v>
      </c>
      <c r="I4482" s="101" t="str">
        <f t="shared" si="278"/>
        <v>M</v>
      </c>
      <c r="J4482" s="140" t="str">
        <f t="shared" si="279"/>
        <v>TUBO ACO GALVANIZADO COM COSTURA, CLASSE LEVE, DN 15 MM ( 1/2"), E = 2,25 MM, *1,2* KG/M (NBR 5580)</v>
      </c>
    </row>
    <row r="4483" spans="1:10" x14ac:dyDescent="0.25">
      <c r="A4483" s="169">
        <v>21009</v>
      </c>
      <c r="B4483" s="169" t="s">
        <v>27980</v>
      </c>
      <c r="C4483" s="169" t="s">
        <v>10229</v>
      </c>
      <c r="D4483" s="169" t="s">
        <v>1290</v>
      </c>
      <c r="E4483" s="103" t="s">
        <v>29318</v>
      </c>
      <c r="F4483" s="104"/>
      <c r="G4483" s="105">
        <f t="shared" si="276"/>
        <v>23.34</v>
      </c>
      <c r="H4483" s="101" t="str">
        <f t="shared" si="277"/>
        <v>Sinapi 21009</v>
      </c>
      <c r="I4483" s="101" t="str">
        <f t="shared" si="278"/>
        <v>M</v>
      </c>
      <c r="J4483" s="140" t="str">
        <f t="shared" si="279"/>
        <v>TUBO ACO GALVANIZADO COM COSTURA, CLASSE LEVE, DN 20 MM ( 3/4"), E = 2,25 MM, *1,3* KG/M (NBR 5580)</v>
      </c>
    </row>
    <row r="4484" spans="1:10" x14ac:dyDescent="0.25">
      <c r="A4484" s="169">
        <v>21010</v>
      </c>
      <c r="B4484" s="169" t="s">
        <v>27981</v>
      </c>
      <c r="C4484" s="169" t="s">
        <v>10229</v>
      </c>
      <c r="D4484" s="169" t="s">
        <v>1290</v>
      </c>
      <c r="E4484" s="103" t="s">
        <v>31385</v>
      </c>
      <c r="F4484" s="104"/>
      <c r="G4484" s="105">
        <f t="shared" si="276"/>
        <v>31.34</v>
      </c>
      <c r="H4484" s="101" t="str">
        <f t="shared" si="277"/>
        <v>Sinapi 21010</v>
      </c>
      <c r="I4484" s="101" t="str">
        <f t="shared" si="278"/>
        <v>M</v>
      </c>
      <c r="J4484" s="140" t="str">
        <f t="shared" si="279"/>
        <v>TUBO ACO GALVANIZADO COM COSTURA, CLASSE LEVE, DN 25 MM ( 1"), E = 2,65 MM, *2,11* KG/M (NBR 5580)</v>
      </c>
    </row>
    <row r="4485" spans="1:10" x14ac:dyDescent="0.25">
      <c r="A4485" s="169">
        <v>21011</v>
      </c>
      <c r="B4485" s="169" t="s">
        <v>27982</v>
      </c>
      <c r="C4485" s="169" t="s">
        <v>10229</v>
      </c>
      <c r="D4485" s="169" t="s">
        <v>1290</v>
      </c>
      <c r="E4485" s="103" t="s">
        <v>28484</v>
      </c>
      <c r="F4485" s="104"/>
      <c r="G4485" s="105">
        <f t="shared" si="276"/>
        <v>45.68</v>
      </c>
      <c r="H4485" s="101" t="str">
        <f t="shared" si="277"/>
        <v>Sinapi 21011</v>
      </c>
      <c r="I4485" s="101" t="str">
        <f t="shared" si="278"/>
        <v>M</v>
      </c>
      <c r="J4485" s="140" t="str">
        <f t="shared" si="279"/>
        <v>TUBO ACO GALVANIZADO COM COSTURA, CLASSE LEVE, DN 32 MM ( 1 1/4"), E = 2,65 MM, *2,71* KG/M (NBR 5580)</v>
      </c>
    </row>
    <row r="4486" spans="1:10" x14ac:dyDescent="0.25">
      <c r="A4486" s="169">
        <v>21012</v>
      </c>
      <c r="B4486" s="169" t="s">
        <v>27983</v>
      </c>
      <c r="C4486" s="169" t="s">
        <v>10229</v>
      </c>
      <c r="D4486" s="169" t="s">
        <v>1290</v>
      </c>
      <c r="E4486" s="103" t="s">
        <v>31386</v>
      </c>
      <c r="F4486" s="104"/>
      <c r="G4486" s="105">
        <f t="shared" si="276"/>
        <v>50.47</v>
      </c>
      <c r="H4486" s="101" t="str">
        <f t="shared" si="277"/>
        <v>Sinapi 21012</v>
      </c>
      <c r="I4486" s="101" t="str">
        <f t="shared" si="278"/>
        <v>M</v>
      </c>
      <c r="J4486" s="140" t="str">
        <f t="shared" si="279"/>
        <v>TUBO ACO GALVANIZADO COM COSTURA, CLASSE LEVE, DN 40 MM ( 1 1/2"), E = 3,00 MM, *3,48* KG/M (NBR 5580)</v>
      </c>
    </row>
    <row r="4487" spans="1:10" x14ac:dyDescent="0.25">
      <c r="A4487" s="169">
        <v>21013</v>
      </c>
      <c r="B4487" s="169" t="s">
        <v>27984</v>
      </c>
      <c r="C4487" s="169" t="s">
        <v>10229</v>
      </c>
      <c r="D4487" s="169" t="s">
        <v>1290</v>
      </c>
      <c r="E4487" s="103" t="s">
        <v>29108</v>
      </c>
      <c r="F4487" s="104"/>
      <c r="G4487" s="105">
        <f t="shared" si="276"/>
        <v>65.87</v>
      </c>
      <c r="H4487" s="101" t="str">
        <f t="shared" si="277"/>
        <v>Sinapi 21013</v>
      </c>
      <c r="I4487" s="101" t="str">
        <f t="shared" si="278"/>
        <v>M</v>
      </c>
      <c r="J4487" s="140" t="str">
        <f t="shared" si="279"/>
        <v>TUBO ACO GALVANIZADO COM COSTURA, CLASSE LEVE, DN 50 MM ( 2"), E = 3,00 MM, *4,40* KG/M (NBR 5580)</v>
      </c>
    </row>
    <row r="4488" spans="1:10" x14ac:dyDescent="0.25">
      <c r="A4488" s="169">
        <v>21014</v>
      </c>
      <c r="B4488" s="169" t="s">
        <v>27985</v>
      </c>
      <c r="C4488" s="169" t="s">
        <v>10229</v>
      </c>
      <c r="D4488" s="169" t="s">
        <v>1290</v>
      </c>
      <c r="E4488" s="103" t="s">
        <v>26624</v>
      </c>
      <c r="F4488" s="104"/>
      <c r="G4488" s="105">
        <f t="shared" ref="G4488:G4551" si="280">IF(E4488="","",E4488+0)</f>
        <v>92.16</v>
      </c>
      <c r="H4488" s="101" t="str">
        <f t="shared" ref="H4488:H4551" si="281">IF(G4488="","",TRIM(CONCATENATE("Sinapi ",A4488)))</f>
        <v>Sinapi 21014</v>
      </c>
      <c r="I4488" s="101" t="str">
        <f t="shared" ref="I4488:I4551" si="282">TRIM(C4488)</f>
        <v>M</v>
      </c>
      <c r="J4488" s="140" t="str">
        <f t="shared" si="279"/>
        <v>TUBO ACO GALVANIZADO COM COSTURA, CLASSE LEVE, DN 65 MM ( 2 1/2"), E = 3,35 MM, * 6,23* KG/M (NBR 5580)</v>
      </c>
    </row>
    <row r="4489" spans="1:10" x14ac:dyDescent="0.25">
      <c r="A4489" s="169">
        <v>21015</v>
      </c>
      <c r="B4489" s="169" t="s">
        <v>27986</v>
      </c>
      <c r="C4489" s="169" t="s">
        <v>10229</v>
      </c>
      <c r="D4489" s="169" t="s">
        <v>1290</v>
      </c>
      <c r="E4489" s="103" t="s">
        <v>31387</v>
      </c>
      <c r="F4489" s="104"/>
      <c r="G4489" s="105">
        <f t="shared" si="280"/>
        <v>105.89</v>
      </c>
      <c r="H4489" s="101" t="str">
        <f t="shared" si="281"/>
        <v>Sinapi 21015</v>
      </c>
      <c r="I4489" s="101" t="str">
        <f t="shared" si="282"/>
        <v>M</v>
      </c>
      <c r="J4489" s="140" t="str">
        <f t="shared" ref="J4489:J4552" si="283">TRIM(B4489)</f>
        <v>TUBO ACO GALVANIZADO COM COSTURA, CLASSE LEVE, DN 80 MM ( 3"), E = 3,35 MM, *7,32* KG/M (NBR 5580)</v>
      </c>
    </row>
    <row r="4490" spans="1:10" x14ac:dyDescent="0.25">
      <c r="A4490" s="169">
        <v>7697</v>
      </c>
      <c r="B4490" s="169" t="s">
        <v>27988</v>
      </c>
      <c r="C4490" s="169" t="s">
        <v>10229</v>
      </c>
      <c r="D4490" s="169" t="s">
        <v>1290</v>
      </c>
      <c r="E4490" s="103" t="s">
        <v>31388</v>
      </c>
      <c r="F4490" s="104"/>
      <c r="G4490" s="105">
        <f t="shared" si="280"/>
        <v>50.53</v>
      </c>
      <c r="H4490" s="101" t="str">
        <f t="shared" si="281"/>
        <v>Sinapi 7697</v>
      </c>
      <c r="I4490" s="101" t="str">
        <f t="shared" si="282"/>
        <v>M</v>
      </c>
      <c r="J4490" s="140" t="str">
        <f t="shared" si="283"/>
        <v>TUBO ACO GALVANIZADO COM COSTURA, CLASSE MEDIA, DN 1.1/2", E = *3,25* MM, PESO *3,61* KG/M (NBR 5580)</v>
      </c>
    </row>
    <row r="4491" spans="1:10" x14ac:dyDescent="0.25">
      <c r="A4491" s="169">
        <v>7698</v>
      </c>
      <c r="B4491" s="169" t="s">
        <v>27990</v>
      </c>
      <c r="C4491" s="169" t="s">
        <v>10229</v>
      </c>
      <c r="D4491" s="169" t="s">
        <v>1290</v>
      </c>
      <c r="E4491" s="103" t="s">
        <v>22996</v>
      </c>
      <c r="F4491" s="104"/>
      <c r="G4491" s="105">
        <f t="shared" si="280"/>
        <v>43.49</v>
      </c>
      <c r="H4491" s="101" t="str">
        <f t="shared" si="281"/>
        <v>Sinapi 7698</v>
      </c>
      <c r="I4491" s="101" t="str">
        <f t="shared" si="282"/>
        <v>M</v>
      </c>
      <c r="J4491" s="140" t="str">
        <f t="shared" si="283"/>
        <v>TUBO ACO GALVANIZADO COM COSTURA, CLASSE MEDIA, DN 1.1/4", E = *3,25* MM, PESO *3,14* KG/M (NBR 5580)</v>
      </c>
    </row>
    <row r="4492" spans="1:10" x14ac:dyDescent="0.25">
      <c r="A4492" s="169">
        <v>7691</v>
      </c>
      <c r="B4492" s="169" t="s">
        <v>27991</v>
      </c>
      <c r="C4492" s="169" t="s">
        <v>10229</v>
      </c>
      <c r="D4492" s="169" t="s">
        <v>1290</v>
      </c>
      <c r="E4492" s="103" t="s">
        <v>17921</v>
      </c>
      <c r="F4492" s="104"/>
      <c r="G4492" s="105">
        <f t="shared" si="280"/>
        <v>18.38</v>
      </c>
      <c r="H4492" s="101" t="str">
        <f t="shared" si="281"/>
        <v>Sinapi 7691</v>
      </c>
      <c r="I4492" s="101" t="str">
        <f t="shared" si="282"/>
        <v>M</v>
      </c>
      <c r="J4492" s="140" t="str">
        <f t="shared" si="283"/>
        <v>TUBO ACO GALVANIZADO COM COSTURA, CLASSE MEDIA, DN 1/2", E = *2,65* MM, PESO *1,22* KG/M (NBR 5580)</v>
      </c>
    </row>
    <row r="4493" spans="1:10" x14ac:dyDescent="0.25">
      <c r="A4493" s="169">
        <v>40626</v>
      </c>
      <c r="B4493" s="169" t="s">
        <v>1009</v>
      </c>
      <c r="C4493" s="169" t="s">
        <v>10229</v>
      </c>
      <c r="D4493" s="169" t="s">
        <v>1290</v>
      </c>
      <c r="E4493" s="103" t="s">
        <v>28616</v>
      </c>
      <c r="F4493" s="104"/>
      <c r="G4493" s="105">
        <f t="shared" si="280"/>
        <v>34.49</v>
      </c>
      <c r="H4493" s="101" t="str">
        <f t="shared" si="281"/>
        <v>Sinapi 40626</v>
      </c>
      <c r="I4493" s="101" t="str">
        <f t="shared" si="282"/>
        <v>M</v>
      </c>
      <c r="J4493" s="140" t="str">
        <f t="shared" si="283"/>
        <v>TUBO ACO GALVANIZADO COM COSTURA, CLASSE MEDIA, DN 1", E = 3,38 MM, PESO 2,50 KG/M (NBR 5580)</v>
      </c>
    </row>
    <row r="4494" spans="1:10" x14ac:dyDescent="0.25">
      <c r="A4494" s="169">
        <v>7701</v>
      </c>
      <c r="B4494" s="169" t="s">
        <v>27992</v>
      </c>
      <c r="C4494" s="169" t="s">
        <v>10229</v>
      </c>
      <c r="D4494" s="169" t="s">
        <v>1290</v>
      </c>
      <c r="E4494" s="103" t="s">
        <v>31389</v>
      </c>
      <c r="F4494" s="104"/>
      <c r="G4494" s="105">
        <f t="shared" si="280"/>
        <v>90.42</v>
      </c>
      <c r="H4494" s="101" t="str">
        <f t="shared" si="281"/>
        <v>Sinapi 7701</v>
      </c>
      <c r="I4494" s="101" t="str">
        <f t="shared" si="282"/>
        <v>M</v>
      </c>
      <c r="J4494" s="140" t="str">
        <f t="shared" si="283"/>
        <v>TUBO ACO GALVANIZADO COM COSTURA, CLASSE MEDIA, DN 2.1/2", E = *3,65* MM, PESO *6,51* KG/M (NBR 5580)</v>
      </c>
    </row>
    <row r="4495" spans="1:10" x14ac:dyDescent="0.25">
      <c r="A4495" s="169">
        <v>7696</v>
      </c>
      <c r="B4495" s="169" t="s">
        <v>27993</v>
      </c>
      <c r="C4495" s="169" t="s">
        <v>10229</v>
      </c>
      <c r="D4495" s="169" t="s">
        <v>1290</v>
      </c>
      <c r="E4495" s="103" t="s">
        <v>31390</v>
      </c>
      <c r="F4495" s="104"/>
      <c r="G4495" s="105">
        <f t="shared" si="280"/>
        <v>72.86</v>
      </c>
      <c r="H4495" s="101" t="str">
        <f t="shared" si="281"/>
        <v>Sinapi 7696</v>
      </c>
      <c r="I4495" s="101" t="str">
        <f t="shared" si="282"/>
        <v>M</v>
      </c>
      <c r="J4495" s="140" t="str">
        <f t="shared" si="283"/>
        <v>TUBO ACO GALVANIZADO COM COSTURA, CLASSE MEDIA, DN 2", E = *3,65* MM, PESO *5,10* KG/M (NBR 5580)</v>
      </c>
    </row>
    <row r="4496" spans="1:10" x14ac:dyDescent="0.25">
      <c r="A4496" s="169">
        <v>7700</v>
      </c>
      <c r="B4496" s="169" t="s">
        <v>27994</v>
      </c>
      <c r="C4496" s="169" t="s">
        <v>10229</v>
      </c>
      <c r="D4496" s="169" t="s">
        <v>1290</v>
      </c>
      <c r="E4496" s="103" t="s">
        <v>18695</v>
      </c>
      <c r="F4496" s="104"/>
      <c r="G4496" s="105">
        <f t="shared" si="280"/>
        <v>23.24</v>
      </c>
      <c r="H4496" s="101" t="str">
        <f t="shared" si="281"/>
        <v>Sinapi 7700</v>
      </c>
      <c r="I4496" s="101" t="str">
        <f t="shared" si="282"/>
        <v>M</v>
      </c>
      <c r="J4496" s="140" t="str">
        <f t="shared" si="283"/>
        <v>TUBO ACO GALVANIZADO COM COSTURA, CLASSE MEDIA, DN 3/4", E = *2,65* MM, PESO *1,58* KG/M (NBR 5580)</v>
      </c>
    </row>
    <row r="4497" spans="1:10" x14ac:dyDescent="0.25">
      <c r="A4497" s="169">
        <v>7694</v>
      </c>
      <c r="B4497" s="169" t="s">
        <v>27995</v>
      </c>
      <c r="C4497" s="169" t="s">
        <v>10229</v>
      </c>
      <c r="D4497" s="169" t="s">
        <v>1290</v>
      </c>
      <c r="E4497" s="103" t="s">
        <v>31391</v>
      </c>
      <c r="F4497" s="104"/>
      <c r="G4497" s="105">
        <f t="shared" si="280"/>
        <v>121.68</v>
      </c>
      <c r="H4497" s="101" t="str">
        <f t="shared" si="281"/>
        <v>Sinapi 7694</v>
      </c>
      <c r="I4497" s="101" t="str">
        <f t="shared" si="282"/>
        <v>M</v>
      </c>
      <c r="J4497" s="140" t="str">
        <f t="shared" si="283"/>
        <v>TUBO ACO GALVANIZADO COM COSTURA, CLASSE MEDIA, DN 3", E = *4,05* MM, PESO *8,47* KG/M (NBR 5580)</v>
      </c>
    </row>
    <row r="4498" spans="1:10" x14ac:dyDescent="0.25">
      <c r="A4498" s="169">
        <v>7693</v>
      </c>
      <c r="B4498" s="169" t="s">
        <v>27996</v>
      </c>
      <c r="C4498" s="169" t="s">
        <v>10229</v>
      </c>
      <c r="D4498" s="169" t="s">
        <v>1290</v>
      </c>
      <c r="E4498" s="103" t="s">
        <v>31392</v>
      </c>
      <c r="F4498" s="104"/>
      <c r="G4498" s="105">
        <f t="shared" si="280"/>
        <v>167.57</v>
      </c>
      <c r="H4498" s="101" t="str">
        <f t="shared" si="281"/>
        <v>Sinapi 7693</v>
      </c>
      <c r="I4498" s="101" t="str">
        <f t="shared" si="282"/>
        <v>M</v>
      </c>
      <c r="J4498" s="140" t="str">
        <f t="shared" si="283"/>
        <v>TUBO ACO GALVANIZADO COM COSTURA, CLASSE MEDIA, DN 4", E = 4,50* MM, PESO 12,10* KG/M (NBR 5580)</v>
      </c>
    </row>
    <row r="4499" spans="1:10" x14ac:dyDescent="0.25">
      <c r="A4499" s="169">
        <v>7692</v>
      </c>
      <c r="B4499" s="169" t="s">
        <v>27998</v>
      </c>
      <c r="C4499" s="169" t="s">
        <v>10229</v>
      </c>
      <c r="D4499" s="169" t="s">
        <v>1290</v>
      </c>
      <c r="E4499" s="103" t="s">
        <v>31393</v>
      </c>
      <c r="F4499" s="104"/>
      <c r="G4499" s="105">
        <f t="shared" si="280"/>
        <v>250.89</v>
      </c>
      <c r="H4499" s="101" t="str">
        <f t="shared" si="281"/>
        <v>Sinapi 7692</v>
      </c>
      <c r="I4499" s="101" t="str">
        <f t="shared" si="282"/>
        <v>M</v>
      </c>
      <c r="J4499" s="140" t="str">
        <f t="shared" si="283"/>
        <v>TUBO ACO GALVANIZADO COM COSTURA, CLASSE MEDIA, DN 5", E = *5,40* MM, PESO *17,80* KG/M (NBR 5580)</v>
      </c>
    </row>
    <row r="4500" spans="1:10" x14ac:dyDescent="0.25">
      <c r="A4500" s="169">
        <v>7695</v>
      </c>
      <c r="B4500" s="169" t="s">
        <v>27999</v>
      </c>
      <c r="C4500" s="169" t="s">
        <v>10229</v>
      </c>
      <c r="D4500" s="169" t="s">
        <v>1290</v>
      </c>
      <c r="E4500" s="103" t="s">
        <v>31394</v>
      </c>
      <c r="F4500" s="104"/>
      <c r="G4500" s="105">
        <f t="shared" si="280"/>
        <v>272.10000000000002</v>
      </c>
      <c r="H4500" s="101" t="str">
        <f t="shared" si="281"/>
        <v>Sinapi 7695</v>
      </c>
      <c r="I4500" s="101" t="str">
        <f t="shared" si="282"/>
        <v>M</v>
      </c>
      <c r="J4500" s="140" t="str">
        <f t="shared" si="283"/>
        <v>TUBO ACO GALVANIZADO COM COSTURA, CLASSE MEDIA, DN 6", E = 4,85* MM, PESO 19,68* KG/M (NBR 5580)</v>
      </c>
    </row>
    <row r="4501" spans="1:10" x14ac:dyDescent="0.25">
      <c r="A4501" s="169">
        <v>13356</v>
      </c>
      <c r="B4501" s="169" t="s">
        <v>28000</v>
      </c>
      <c r="C4501" s="169" t="s">
        <v>10229</v>
      </c>
      <c r="D4501" s="169" t="s">
        <v>1290</v>
      </c>
      <c r="E4501" s="103" t="s">
        <v>20629</v>
      </c>
      <c r="F4501" s="104"/>
      <c r="G4501" s="105">
        <f t="shared" si="280"/>
        <v>19.73</v>
      </c>
      <c r="H4501" s="101" t="str">
        <f t="shared" si="281"/>
        <v>Sinapi 13356</v>
      </c>
      <c r="I4501" s="101" t="str">
        <f t="shared" si="282"/>
        <v>M</v>
      </c>
      <c r="J4501" s="140" t="str">
        <f t="shared" si="283"/>
        <v>TUBO ACO INDUSTRIAL DN 2" (50,8 MM) E=1,50MM, PESO= 1,8237 KG/M</v>
      </c>
    </row>
    <row r="4502" spans="1:10" x14ac:dyDescent="0.25">
      <c r="A4502" s="169">
        <v>36365</v>
      </c>
      <c r="B4502" s="169" t="s">
        <v>28001</v>
      </c>
      <c r="C4502" s="169" t="s">
        <v>10229</v>
      </c>
      <c r="D4502" s="169" t="s">
        <v>1289</v>
      </c>
      <c r="E4502" s="103" t="s">
        <v>20348</v>
      </c>
      <c r="F4502" s="104"/>
      <c r="G4502" s="105">
        <f t="shared" si="280"/>
        <v>40.4</v>
      </c>
      <c r="H4502" s="101" t="str">
        <f t="shared" si="281"/>
        <v>Sinapi 36365</v>
      </c>
      <c r="I4502" s="101" t="str">
        <f t="shared" si="282"/>
        <v>M</v>
      </c>
      <c r="J4502" s="140" t="str">
        <f t="shared" si="283"/>
        <v>TUBO COLETOR DE ESGOTO PVC, JEI, DN 100 MM (NBR 7362)</v>
      </c>
    </row>
    <row r="4503" spans="1:10" x14ac:dyDescent="0.25">
      <c r="A4503" s="169">
        <v>41930</v>
      </c>
      <c r="B4503" s="169" t="s">
        <v>28002</v>
      </c>
      <c r="C4503" s="169" t="s">
        <v>10229</v>
      </c>
      <c r="D4503" s="169" t="s">
        <v>1289</v>
      </c>
      <c r="E4503" s="103" t="s">
        <v>31395</v>
      </c>
      <c r="F4503" s="104"/>
      <c r="G4503" s="105">
        <f t="shared" si="280"/>
        <v>134.55000000000001</v>
      </c>
      <c r="H4503" s="101" t="str">
        <f t="shared" si="281"/>
        <v>Sinapi 41930</v>
      </c>
      <c r="I4503" s="101" t="str">
        <f t="shared" si="282"/>
        <v>M</v>
      </c>
      <c r="J4503" s="140" t="str">
        <f t="shared" si="283"/>
        <v>TUBO COLETOR DE ESGOTO PVC, JEI, DN 200 MM (NBR 7362)</v>
      </c>
    </row>
    <row r="4504" spans="1:10" x14ac:dyDescent="0.25">
      <c r="A4504" s="169">
        <v>41931</v>
      </c>
      <c r="B4504" s="169" t="s">
        <v>28004</v>
      </c>
      <c r="C4504" s="169" t="s">
        <v>10229</v>
      </c>
      <c r="D4504" s="169" t="s">
        <v>1289</v>
      </c>
      <c r="E4504" s="103" t="s">
        <v>31396</v>
      </c>
      <c r="F4504" s="104"/>
      <c r="G4504" s="105">
        <f t="shared" si="280"/>
        <v>210.74</v>
      </c>
      <c r="H4504" s="101" t="str">
        <f t="shared" si="281"/>
        <v>Sinapi 41931</v>
      </c>
      <c r="I4504" s="101" t="str">
        <f t="shared" si="282"/>
        <v>M</v>
      </c>
      <c r="J4504" s="140" t="str">
        <f t="shared" si="283"/>
        <v>TUBO COLETOR DE ESGOTO PVC, JEI, DN 250 MM (NBR 7362)</v>
      </c>
    </row>
    <row r="4505" spans="1:10" x14ac:dyDescent="0.25">
      <c r="A4505" s="169">
        <v>41932</v>
      </c>
      <c r="B4505" s="169" t="s">
        <v>28005</v>
      </c>
      <c r="C4505" s="169" t="s">
        <v>10229</v>
      </c>
      <c r="D4505" s="169" t="s">
        <v>1289</v>
      </c>
      <c r="E4505" s="103" t="s">
        <v>31397</v>
      </c>
      <c r="F4505" s="104"/>
      <c r="G4505" s="105">
        <f t="shared" si="280"/>
        <v>324.37</v>
      </c>
      <c r="H4505" s="101" t="str">
        <f t="shared" si="281"/>
        <v>Sinapi 41932</v>
      </c>
      <c r="I4505" s="101" t="str">
        <f t="shared" si="282"/>
        <v>M</v>
      </c>
      <c r="J4505" s="140" t="str">
        <f t="shared" si="283"/>
        <v>TUBO COLETOR DE ESGOTO PVC, JEI, DN 300 MM (NBR 7362)</v>
      </c>
    </row>
    <row r="4506" spans="1:10" x14ac:dyDescent="0.25">
      <c r="A4506" s="169">
        <v>41933</v>
      </c>
      <c r="B4506" s="169" t="s">
        <v>28006</v>
      </c>
      <c r="C4506" s="169" t="s">
        <v>10229</v>
      </c>
      <c r="D4506" s="169" t="s">
        <v>1289</v>
      </c>
      <c r="E4506" s="103" t="s">
        <v>31398</v>
      </c>
      <c r="F4506" s="104"/>
      <c r="G4506" s="105">
        <f t="shared" si="280"/>
        <v>458.41</v>
      </c>
      <c r="H4506" s="101" t="str">
        <f t="shared" si="281"/>
        <v>Sinapi 41933</v>
      </c>
      <c r="I4506" s="101" t="str">
        <f t="shared" si="282"/>
        <v>M</v>
      </c>
      <c r="J4506" s="140" t="str">
        <f t="shared" si="283"/>
        <v>TUBO COLETOR DE ESGOTO PVC, JEI, DN 350 MM (NBR 7362)</v>
      </c>
    </row>
    <row r="4507" spans="1:10" x14ac:dyDescent="0.25">
      <c r="A4507" s="169">
        <v>41934</v>
      </c>
      <c r="B4507" s="169" t="s">
        <v>28007</v>
      </c>
      <c r="C4507" s="169" t="s">
        <v>10229</v>
      </c>
      <c r="D4507" s="169" t="s">
        <v>1289</v>
      </c>
      <c r="E4507" s="103" t="s">
        <v>31399</v>
      </c>
      <c r="F4507" s="104"/>
      <c r="G4507" s="105">
        <f t="shared" si="280"/>
        <v>533.87</v>
      </c>
      <c r="H4507" s="101" t="str">
        <f t="shared" si="281"/>
        <v>Sinapi 41934</v>
      </c>
      <c r="I4507" s="101" t="str">
        <f t="shared" si="282"/>
        <v>M</v>
      </c>
      <c r="J4507" s="140" t="str">
        <f t="shared" si="283"/>
        <v>TUBO COLETOR DE ESGOTO PVC, JEI, DN 400 MM (NBR 7362)</v>
      </c>
    </row>
    <row r="4508" spans="1:10" x14ac:dyDescent="0.25">
      <c r="A4508" s="169">
        <v>41936</v>
      </c>
      <c r="B4508" s="169" t="s">
        <v>28008</v>
      </c>
      <c r="C4508" s="169" t="s">
        <v>10229</v>
      </c>
      <c r="D4508" s="169" t="s">
        <v>1289</v>
      </c>
      <c r="E4508" s="103" t="s">
        <v>31400</v>
      </c>
      <c r="F4508" s="104"/>
      <c r="G4508" s="105">
        <f t="shared" si="280"/>
        <v>79.23</v>
      </c>
      <c r="H4508" s="101" t="str">
        <f t="shared" si="281"/>
        <v>Sinapi 41936</v>
      </c>
      <c r="I4508" s="101" t="str">
        <f t="shared" si="282"/>
        <v>M</v>
      </c>
      <c r="J4508" s="140" t="str">
        <f t="shared" si="283"/>
        <v>TUBO COLETOR DE ESGOTO, PVC, JEI, DN 150 MM (NBR 7362)</v>
      </c>
    </row>
    <row r="4509" spans="1:10" x14ac:dyDescent="0.25">
      <c r="A4509" s="169">
        <v>44812</v>
      </c>
      <c r="B4509" s="169" t="s">
        <v>28010</v>
      </c>
      <c r="C4509" s="169" t="s">
        <v>10229</v>
      </c>
      <c r="D4509" s="169" t="s">
        <v>1290</v>
      </c>
      <c r="E4509" s="103" t="s">
        <v>31401</v>
      </c>
      <c r="F4509" s="104"/>
      <c r="G4509" s="105">
        <f t="shared" si="280"/>
        <v>470.63</v>
      </c>
      <c r="H4509" s="101" t="str">
        <f t="shared" si="281"/>
        <v>Sinapi 44812</v>
      </c>
      <c r="I4509" s="101" t="str">
        <f t="shared" si="282"/>
        <v>M</v>
      </c>
      <c r="J4509" s="140" t="str">
        <f t="shared" si="283"/>
        <v>TUBO CORRUGADO PEAD, PAREDE DUPLA, INTERNA LISA, JEI DN/DI 500 MM (DRENAGEM/ESGOTO)</v>
      </c>
    </row>
    <row r="4510" spans="1:10" x14ac:dyDescent="0.25">
      <c r="A4510" s="169">
        <v>41785</v>
      </c>
      <c r="B4510" s="169" t="s">
        <v>28011</v>
      </c>
      <c r="C4510" s="169" t="s">
        <v>10229</v>
      </c>
      <c r="D4510" s="169" t="s">
        <v>1290</v>
      </c>
      <c r="E4510" s="103" t="s">
        <v>31402</v>
      </c>
      <c r="F4510" s="104"/>
      <c r="G4510" s="105">
        <f t="shared" si="280"/>
        <v>1744.12</v>
      </c>
      <c r="H4510" s="101" t="str">
        <f t="shared" si="281"/>
        <v>Sinapi 41785</v>
      </c>
      <c r="I4510" s="101" t="str">
        <f t="shared" si="282"/>
        <v>M</v>
      </c>
      <c r="J4510" s="140" t="str">
        <f t="shared" si="283"/>
        <v>TUBO CORRUGADO PEAD, PAREDE DUPLA, INTERNA LISA, JEI, DN/DI *1000* MM, PARA SANEAMENTO (DRENAGEM/ESGOTO)</v>
      </c>
    </row>
    <row r="4511" spans="1:10" x14ac:dyDescent="0.25">
      <c r="A4511" s="169">
        <v>41781</v>
      </c>
      <c r="B4511" s="169" t="s">
        <v>28012</v>
      </c>
      <c r="C4511" s="169" t="s">
        <v>10229</v>
      </c>
      <c r="D4511" s="169" t="s">
        <v>1290</v>
      </c>
      <c r="E4511" s="103" t="s">
        <v>31403</v>
      </c>
      <c r="F4511" s="104"/>
      <c r="G4511" s="105">
        <f t="shared" si="280"/>
        <v>314.93</v>
      </c>
      <c r="H4511" s="101" t="str">
        <f t="shared" si="281"/>
        <v>Sinapi 41781</v>
      </c>
      <c r="I4511" s="101" t="str">
        <f t="shared" si="282"/>
        <v>M</v>
      </c>
      <c r="J4511" s="140" t="str">
        <f t="shared" si="283"/>
        <v>TUBO CORRUGADO PEAD, PAREDE DUPLA, INTERNA LISA, JEI, DN/DI *400* MM, PARA SANEAMENTO (DRENAGEM/ESGOTO)</v>
      </c>
    </row>
    <row r="4512" spans="1:10" x14ac:dyDescent="0.25">
      <c r="A4512" s="169">
        <v>41783</v>
      </c>
      <c r="B4512" s="169" t="s">
        <v>28013</v>
      </c>
      <c r="C4512" s="169" t="s">
        <v>10229</v>
      </c>
      <c r="D4512" s="169" t="s">
        <v>1290</v>
      </c>
      <c r="E4512" s="103" t="s">
        <v>31404</v>
      </c>
      <c r="F4512" s="104"/>
      <c r="G4512" s="105">
        <f t="shared" si="280"/>
        <v>1132.19</v>
      </c>
      <c r="H4512" s="101" t="str">
        <f t="shared" si="281"/>
        <v>Sinapi 41783</v>
      </c>
      <c r="I4512" s="101" t="str">
        <f t="shared" si="282"/>
        <v>M</v>
      </c>
      <c r="J4512" s="140" t="str">
        <f t="shared" si="283"/>
        <v>TUBO CORRUGADO PEAD, PAREDE DUPLA, INTERNA LISA, JEI, DN/DI *800* MM, PARA SANEAMENTO (DRENAGEM/ESGOTO)</v>
      </c>
    </row>
    <row r="4513" spans="1:10" x14ac:dyDescent="0.25">
      <c r="A4513" s="169">
        <v>41786</v>
      </c>
      <c r="B4513" s="169" t="s">
        <v>28014</v>
      </c>
      <c r="C4513" s="169" t="s">
        <v>10229</v>
      </c>
      <c r="D4513" s="169" t="s">
        <v>1290</v>
      </c>
      <c r="E4513" s="103" t="s">
        <v>31405</v>
      </c>
      <c r="F4513" s="104"/>
      <c r="G4513" s="105">
        <f t="shared" si="280"/>
        <v>2410.48</v>
      </c>
      <c r="H4513" s="101" t="str">
        <f t="shared" si="281"/>
        <v>Sinapi 41786</v>
      </c>
      <c r="I4513" s="101" t="str">
        <f t="shared" si="282"/>
        <v>M</v>
      </c>
      <c r="J4513" s="140" t="str">
        <f t="shared" si="283"/>
        <v>TUBO CORRUGADO PEAD, PAREDE DUPLA, INTERNA LISA, JEI, DN/DI 1200 MM, PARA SANEAMENTO (DRENAGEM/ESGOTO)</v>
      </c>
    </row>
    <row r="4514" spans="1:10" x14ac:dyDescent="0.25">
      <c r="A4514" s="169">
        <v>41779</v>
      </c>
      <c r="B4514" s="169" t="s">
        <v>28015</v>
      </c>
      <c r="C4514" s="169" t="s">
        <v>10229</v>
      </c>
      <c r="D4514" s="169" t="s">
        <v>1290</v>
      </c>
      <c r="E4514" s="103" t="s">
        <v>30235</v>
      </c>
      <c r="F4514" s="104"/>
      <c r="G4514" s="105">
        <f t="shared" si="280"/>
        <v>124.03</v>
      </c>
      <c r="H4514" s="101" t="str">
        <f t="shared" si="281"/>
        <v>Sinapi 41779</v>
      </c>
      <c r="I4514" s="101" t="str">
        <f t="shared" si="282"/>
        <v>M</v>
      </c>
      <c r="J4514" s="140" t="str">
        <f t="shared" si="283"/>
        <v>TUBO CORRUGADO PEAD, PAREDE DUPLA, INTERNA LISA, JEI, DN/DI 250 MM, PARA SANEAMENTO (DRENAGEM/ESGOTO)</v>
      </c>
    </row>
    <row r="4515" spans="1:10" x14ac:dyDescent="0.25">
      <c r="A4515" s="169">
        <v>41780</v>
      </c>
      <c r="B4515" s="169" t="s">
        <v>28016</v>
      </c>
      <c r="C4515" s="169" t="s">
        <v>10229</v>
      </c>
      <c r="D4515" s="169" t="s">
        <v>1290</v>
      </c>
      <c r="E4515" s="103" t="s">
        <v>31406</v>
      </c>
      <c r="F4515" s="104"/>
      <c r="G4515" s="105">
        <f t="shared" si="280"/>
        <v>194.31</v>
      </c>
      <c r="H4515" s="101" t="str">
        <f t="shared" si="281"/>
        <v>Sinapi 41780</v>
      </c>
      <c r="I4515" s="101" t="str">
        <f t="shared" si="282"/>
        <v>M</v>
      </c>
      <c r="J4515" s="140" t="str">
        <f t="shared" si="283"/>
        <v>TUBO CORRUGADO PEAD, PAREDE DUPLA, INTERNA LISA, JEI, DN/DI 300 MM, PARA SANEAMENTO (DRENAGEM/ESGOTO)</v>
      </c>
    </row>
    <row r="4516" spans="1:10" x14ac:dyDescent="0.25">
      <c r="A4516" s="169">
        <v>41782</v>
      </c>
      <c r="B4516" s="169" t="s">
        <v>28017</v>
      </c>
      <c r="C4516" s="169" t="s">
        <v>10229</v>
      </c>
      <c r="D4516" s="169" t="s">
        <v>1290</v>
      </c>
      <c r="E4516" s="103" t="s">
        <v>31407</v>
      </c>
      <c r="F4516" s="104"/>
      <c r="G4516" s="105">
        <f t="shared" si="280"/>
        <v>696.08</v>
      </c>
      <c r="H4516" s="101" t="str">
        <f t="shared" si="281"/>
        <v>Sinapi 41782</v>
      </c>
      <c r="I4516" s="101" t="str">
        <f t="shared" si="282"/>
        <v>M</v>
      </c>
      <c r="J4516" s="140" t="str">
        <f t="shared" si="283"/>
        <v>TUBO CORRUGADO PEAD, PAREDE DUPLA, INTERNA LISA, JEI, DN/DI 600 MM, PARA SANEAMENTO (DRENAGEM/ESGOTO)</v>
      </c>
    </row>
    <row r="4517" spans="1:10" x14ac:dyDescent="0.25">
      <c r="A4517" s="169">
        <v>38130</v>
      </c>
      <c r="B4517" s="169" t="s">
        <v>28019</v>
      </c>
      <c r="C4517" s="169" t="s">
        <v>10229</v>
      </c>
      <c r="D4517" s="169" t="s">
        <v>1289</v>
      </c>
      <c r="E4517" s="103" t="s">
        <v>31408</v>
      </c>
      <c r="F4517" s="104"/>
      <c r="G4517" s="105">
        <f t="shared" si="280"/>
        <v>50.2</v>
      </c>
      <c r="H4517" s="101" t="str">
        <f t="shared" si="281"/>
        <v>Sinapi 38130</v>
      </c>
      <c r="I4517" s="101" t="str">
        <f t="shared" si="282"/>
        <v>M</v>
      </c>
      <c r="J4517" s="140" t="str">
        <f t="shared" si="283"/>
        <v>TUBO CPVC SOLDAVEL, 35 MM, AGUA QUENTE PREDIAL (NBR 15884)</v>
      </c>
    </row>
    <row r="4518" spans="1:10" x14ac:dyDescent="0.25">
      <c r="A4518" s="169">
        <v>44260</v>
      </c>
      <c r="B4518" s="169" t="s">
        <v>28020</v>
      </c>
      <c r="C4518" s="169" t="s">
        <v>10229</v>
      </c>
      <c r="D4518" s="169" t="s">
        <v>1289</v>
      </c>
      <c r="E4518" s="103" t="s">
        <v>31409</v>
      </c>
      <c r="F4518" s="104"/>
      <c r="G4518" s="105">
        <f t="shared" si="280"/>
        <v>475.13</v>
      </c>
      <c r="H4518" s="101" t="str">
        <f t="shared" si="281"/>
        <v>Sinapi 44260</v>
      </c>
      <c r="I4518" s="101" t="str">
        <f t="shared" si="282"/>
        <v>M</v>
      </c>
      <c r="J4518" s="140" t="str">
        <f t="shared" si="283"/>
        <v>TUBO CPVC, SOLDAVEL, 114 MM, AGUA QUENTE (NBR 15884)</v>
      </c>
    </row>
    <row r="4519" spans="1:10" x14ac:dyDescent="0.25">
      <c r="A4519" s="169">
        <v>21123</v>
      </c>
      <c r="B4519" s="169" t="s">
        <v>28021</v>
      </c>
      <c r="C4519" s="169" t="s">
        <v>10229</v>
      </c>
      <c r="D4519" s="169" t="s">
        <v>1288</v>
      </c>
      <c r="E4519" s="103" t="s">
        <v>29382</v>
      </c>
      <c r="F4519" s="104"/>
      <c r="G4519" s="105">
        <f t="shared" si="280"/>
        <v>13.97</v>
      </c>
      <c r="H4519" s="101" t="str">
        <f t="shared" si="281"/>
        <v>Sinapi 21123</v>
      </c>
      <c r="I4519" s="101" t="str">
        <f t="shared" si="282"/>
        <v>M</v>
      </c>
      <c r="J4519" s="140" t="str">
        <f t="shared" si="283"/>
        <v>TUBO CPVC, SOLDAVEL, 15 MM, AGUA QUENTE PREDIAL (NBR 15884)</v>
      </c>
    </row>
    <row r="4520" spans="1:10" x14ac:dyDescent="0.25">
      <c r="A4520" s="169">
        <v>21124</v>
      </c>
      <c r="B4520" s="169" t="s">
        <v>10291</v>
      </c>
      <c r="C4520" s="169" t="s">
        <v>10229</v>
      </c>
      <c r="D4520" s="169" t="s">
        <v>1289</v>
      </c>
      <c r="E4520" s="103" t="s">
        <v>16714</v>
      </c>
      <c r="F4520" s="104"/>
      <c r="G4520" s="105">
        <f t="shared" si="280"/>
        <v>22.32</v>
      </c>
      <c r="H4520" s="101" t="str">
        <f t="shared" si="281"/>
        <v>Sinapi 21124</v>
      </c>
      <c r="I4520" s="101" t="str">
        <f t="shared" si="282"/>
        <v>M</v>
      </c>
      <c r="J4520" s="140" t="str">
        <f t="shared" si="283"/>
        <v>TUBO CPVC, SOLDAVEL, 22 MM, AGUA QUENTE PREDIAL (NBR 15884)</v>
      </c>
    </row>
    <row r="4521" spans="1:10" x14ac:dyDescent="0.25">
      <c r="A4521" s="169">
        <v>21125</v>
      </c>
      <c r="B4521" s="169" t="s">
        <v>10292</v>
      </c>
      <c r="C4521" s="169" t="s">
        <v>10229</v>
      </c>
      <c r="D4521" s="169" t="s">
        <v>1289</v>
      </c>
      <c r="E4521" s="103" t="s">
        <v>24325</v>
      </c>
      <c r="F4521" s="104"/>
      <c r="G4521" s="105">
        <f t="shared" si="280"/>
        <v>38.44</v>
      </c>
      <c r="H4521" s="101" t="str">
        <f t="shared" si="281"/>
        <v>Sinapi 21125</v>
      </c>
      <c r="I4521" s="101" t="str">
        <f t="shared" si="282"/>
        <v>M</v>
      </c>
      <c r="J4521" s="140" t="str">
        <f t="shared" si="283"/>
        <v>TUBO CPVC, SOLDAVEL, 28 MM, AGUA QUENTE PREDIAL (NBR 15884)</v>
      </c>
    </row>
    <row r="4522" spans="1:10" x14ac:dyDescent="0.25">
      <c r="A4522" s="169">
        <v>38028</v>
      </c>
      <c r="B4522" s="169" t="s">
        <v>28023</v>
      </c>
      <c r="C4522" s="169" t="s">
        <v>10229</v>
      </c>
      <c r="D4522" s="169" t="s">
        <v>1289</v>
      </c>
      <c r="E4522" s="103" t="s">
        <v>31410</v>
      </c>
      <c r="F4522" s="104"/>
      <c r="G4522" s="105">
        <f t="shared" si="280"/>
        <v>67.2</v>
      </c>
      <c r="H4522" s="101" t="str">
        <f t="shared" si="281"/>
        <v>Sinapi 38028</v>
      </c>
      <c r="I4522" s="101" t="str">
        <f t="shared" si="282"/>
        <v>M</v>
      </c>
      <c r="J4522" s="140" t="str">
        <f t="shared" si="283"/>
        <v>TUBO CPVC, SOLDAVEL, 42 MM, AGUA QUENTE PREDIAL (NBR 15884)</v>
      </c>
    </row>
    <row r="4523" spans="1:10" x14ac:dyDescent="0.25">
      <c r="A4523" s="169">
        <v>38029</v>
      </c>
      <c r="B4523" s="169" t="s">
        <v>28024</v>
      </c>
      <c r="C4523" s="169" t="s">
        <v>10229</v>
      </c>
      <c r="D4523" s="169" t="s">
        <v>1289</v>
      </c>
      <c r="E4523" s="103" t="s">
        <v>21604</v>
      </c>
      <c r="F4523" s="104"/>
      <c r="G4523" s="105">
        <f t="shared" si="280"/>
        <v>98.36</v>
      </c>
      <c r="H4523" s="101" t="str">
        <f t="shared" si="281"/>
        <v>Sinapi 38029</v>
      </c>
      <c r="I4523" s="101" t="str">
        <f t="shared" si="282"/>
        <v>M</v>
      </c>
      <c r="J4523" s="140" t="str">
        <f t="shared" si="283"/>
        <v>TUBO CPVC, SOLDAVEL, 54 MM, AGUA QUENTE PREDIAL (NBR 15884)</v>
      </c>
    </row>
    <row r="4524" spans="1:10" x14ac:dyDescent="0.25">
      <c r="A4524" s="169">
        <v>38030</v>
      </c>
      <c r="B4524" s="169" t="s">
        <v>28025</v>
      </c>
      <c r="C4524" s="169" t="s">
        <v>10229</v>
      </c>
      <c r="D4524" s="169" t="s">
        <v>1289</v>
      </c>
      <c r="E4524" s="103" t="s">
        <v>29370</v>
      </c>
      <c r="F4524" s="104"/>
      <c r="G4524" s="105">
        <f t="shared" si="280"/>
        <v>159.06</v>
      </c>
      <c r="H4524" s="101" t="str">
        <f t="shared" si="281"/>
        <v>Sinapi 38030</v>
      </c>
      <c r="I4524" s="101" t="str">
        <f t="shared" si="282"/>
        <v>M</v>
      </c>
      <c r="J4524" s="140" t="str">
        <f t="shared" si="283"/>
        <v>TUBO CPVC, SOLDAVEL, 73 MM, AGUA QUENTE PREDIAL (NBR 15884)</v>
      </c>
    </row>
    <row r="4525" spans="1:10" x14ac:dyDescent="0.25">
      <c r="A4525" s="169">
        <v>38031</v>
      </c>
      <c r="B4525" s="169" t="s">
        <v>28027</v>
      </c>
      <c r="C4525" s="169" t="s">
        <v>10229</v>
      </c>
      <c r="D4525" s="169" t="s">
        <v>1289</v>
      </c>
      <c r="E4525" s="103" t="s">
        <v>31411</v>
      </c>
      <c r="F4525" s="104"/>
      <c r="G4525" s="105">
        <f t="shared" si="280"/>
        <v>249.65</v>
      </c>
      <c r="H4525" s="101" t="str">
        <f t="shared" si="281"/>
        <v>Sinapi 38031</v>
      </c>
      <c r="I4525" s="101" t="str">
        <f t="shared" si="282"/>
        <v>M</v>
      </c>
      <c r="J4525" s="140" t="str">
        <f t="shared" si="283"/>
        <v>TUBO CPVC, SOLDAVEL, 89 MM, AGUA QUENTE PREDIAL (NBR 15884)</v>
      </c>
    </row>
    <row r="4526" spans="1:10" x14ac:dyDescent="0.25">
      <c r="A4526" s="169">
        <v>39735</v>
      </c>
      <c r="B4526" s="169" t="s">
        <v>28028</v>
      </c>
      <c r="C4526" s="169" t="s">
        <v>10229</v>
      </c>
      <c r="D4526" s="169" t="s">
        <v>1289</v>
      </c>
      <c r="E4526" s="103" t="s">
        <v>31412</v>
      </c>
      <c r="F4526" s="104"/>
      <c r="G4526" s="105">
        <f t="shared" si="280"/>
        <v>83.33</v>
      </c>
      <c r="H4526" s="101" t="str">
        <f t="shared" si="281"/>
        <v>Sinapi 39735</v>
      </c>
      <c r="I4526" s="101" t="str">
        <f t="shared" si="282"/>
        <v>M</v>
      </c>
      <c r="J4526" s="140" t="str">
        <f t="shared" si="283"/>
        <v>TUBO DE BORRACHA ELASTOMERICA FLEXIVEL, PRETA, PARA ISOLAMENTO TERMICO DE TUBULACAO, DN 1 1/8" (28 MM), E= 32 MM, COEFICIENTE DE CONDUTIVIDADE TERMICA 0,036W/mK, VAPOR DE AGUA MAIOR OU IGUAL A 10.000</v>
      </c>
    </row>
    <row r="4527" spans="1:10" x14ac:dyDescent="0.25">
      <c r="A4527" s="169">
        <v>39734</v>
      </c>
      <c r="B4527" s="169" t="s">
        <v>28029</v>
      </c>
      <c r="C4527" s="169" t="s">
        <v>10229</v>
      </c>
      <c r="D4527" s="169" t="s">
        <v>1289</v>
      </c>
      <c r="E4527" s="103" t="s">
        <v>31413</v>
      </c>
      <c r="F4527" s="104"/>
      <c r="G4527" s="105">
        <f t="shared" si="280"/>
        <v>98.85</v>
      </c>
      <c r="H4527" s="101" t="str">
        <f t="shared" si="281"/>
        <v>Sinapi 39734</v>
      </c>
      <c r="I4527" s="101" t="str">
        <f t="shared" si="282"/>
        <v>M</v>
      </c>
      <c r="J4527" s="140" t="str">
        <f t="shared" si="283"/>
        <v>TUBO DE BORRACHA ELASTOMERICA FLEXIVEL, PRETA, PARA ISOLAMENTO TERMICO DE TUBULACAO, DN 1 3/8" (35 MM), E= 32 MM, COEFICIENTE DE CONDUTIVIDADE TERMICA 0,036W/mK, VAPOR DE AGUA MAIOR OU IGUAL A 10.000</v>
      </c>
    </row>
    <row r="4528" spans="1:10" x14ac:dyDescent="0.25">
      <c r="A4528" s="169">
        <v>39736</v>
      </c>
      <c r="B4528" s="169" t="s">
        <v>28030</v>
      </c>
      <c r="C4528" s="169" t="s">
        <v>10229</v>
      </c>
      <c r="D4528" s="169" t="s">
        <v>1289</v>
      </c>
      <c r="E4528" s="103" t="s">
        <v>31414</v>
      </c>
      <c r="F4528" s="104"/>
      <c r="G4528" s="105">
        <f t="shared" si="280"/>
        <v>112.81</v>
      </c>
      <c r="H4528" s="101" t="str">
        <f t="shared" si="281"/>
        <v>Sinapi 39736</v>
      </c>
      <c r="I4528" s="101" t="str">
        <f t="shared" si="282"/>
        <v>M</v>
      </c>
      <c r="J4528" s="140" t="str">
        <f t="shared" si="283"/>
        <v>TUBO DE BORRACHA ELASTOMERICA FLEXIVEL, PRETA, PARA ISOLAMENTO TERMICO DE TUBULACAO, DN 1 5/8" (42 MM), E= 32 MM, COEFICIENTE DE CONDUTIVIDADE TERMICA 0,036W/mK, VAPOR DE AGUA MAIOR OU IGUAL A 10.000</v>
      </c>
    </row>
    <row r="4529" spans="1:10" x14ac:dyDescent="0.25">
      <c r="A4529" s="169">
        <v>39737</v>
      </c>
      <c r="B4529" s="169" t="s">
        <v>28031</v>
      </c>
      <c r="C4529" s="169" t="s">
        <v>10229</v>
      </c>
      <c r="D4529" s="169" t="s">
        <v>1289</v>
      </c>
      <c r="E4529" s="103" t="s">
        <v>31415</v>
      </c>
      <c r="F4529" s="104"/>
      <c r="G4529" s="105">
        <f t="shared" si="280"/>
        <v>15.17</v>
      </c>
      <c r="H4529" s="101" t="str">
        <f t="shared" si="281"/>
        <v>Sinapi 39737</v>
      </c>
      <c r="I4529" s="101" t="str">
        <f t="shared" si="282"/>
        <v>M</v>
      </c>
      <c r="J4529" s="140" t="str">
        <f t="shared" si="283"/>
        <v>TUBO DE BORRACHA ELASTOMERICA FLEXIVEL, PRETA, PARA ISOLAMENTO TERMICO DE TUBULACAO, DN 1/2" (12 MM), E= 19 MM, COEFICIENTE DE CONDUTIVIDADE TERMICA 0,036W/mK, VAPOR DE AGUA MAIOR OU IGUAL A 10.000</v>
      </c>
    </row>
    <row r="4530" spans="1:10" x14ac:dyDescent="0.25">
      <c r="A4530" s="169">
        <v>39738</v>
      </c>
      <c r="B4530" s="169" t="s">
        <v>28032</v>
      </c>
      <c r="C4530" s="169" t="s">
        <v>10229</v>
      </c>
      <c r="D4530" s="169" t="s">
        <v>1289</v>
      </c>
      <c r="E4530" s="103" t="s">
        <v>11613</v>
      </c>
      <c r="F4530" s="104"/>
      <c r="G4530" s="105">
        <f t="shared" si="280"/>
        <v>5.48</v>
      </c>
      <c r="H4530" s="101" t="str">
        <f t="shared" si="281"/>
        <v>Sinapi 39738</v>
      </c>
      <c r="I4530" s="101" t="str">
        <f t="shared" si="282"/>
        <v>M</v>
      </c>
      <c r="J4530" s="140" t="str">
        <f t="shared" si="283"/>
        <v>TUBO DE BORRACHA ELASTOMERICA FLEXIVEL, PRETA, PARA ISOLAMENTO TERMICO DE TUBULACAO, DN 1/4" (6 MM), E= 9 MM, COEFICIENTE DE CONDUTIVIDADE TERMICA 0,036W/mK, VAPOR DE AGUA MAIOR OU IGUAL A 10.000</v>
      </c>
    </row>
    <row r="4531" spans="1:10" x14ac:dyDescent="0.25">
      <c r="A4531" s="169">
        <v>39739</v>
      </c>
      <c r="B4531" s="169" t="s">
        <v>28033</v>
      </c>
      <c r="C4531" s="169" t="s">
        <v>10229</v>
      </c>
      <c r="D4531" s="169" t="s">
        <v>1289</v>
      </c>
      <c r="E4531" s="103" t="s">
        <v>31416</v>
      </c>
      <c r="F4531" s="104"/>
      <c r="G4531" s="105">
        <f t="shared" si="280"/>
        <v>78.010000000000005</v>
      </c>
      <c r="H4531" s="101" t="str">
        <f t="shared" si="281"/>
        <v>Sinapi 39739</v>
      </c>
      <c r="I4531" s="101" t="str">
        <f t="shared" si="282"/>
        <v>M</v>
      </c>
      <c r="J4531" s="140" t="str">
        <f t="shared" si="283"/>
        <v>TUBO DE BORRACHA ELASTOMERICA FLEXIVEL, PRETA, PARA ISOLAMENTO TERMICO DE TUBULACAO, DN 1" (25 MM), E= 32 MM, COEFICIENTE DE CONDUTIVIDADE TERMICA 0,036W/mK, VAPOR DE AGUA MAIOR OU IGUAL A 10.000</v>
      </c>
    </row>
    <row r="4532" spans="1:10" x14ac:dyDescent="0.25">
      <c r="A4532" s="169">
        <v>39733</v>
      </c>
      <c r="B4532" s="169" t="s">
        <v>28034</v>
      </c>
      <c r="C4532" s="169" t="s">
        <v>10229</v>
      </c>
      <c r="D4532" s="169" t="s">
        <v>1289</v>
      </c>
      <c r="E4532" s="103" t="s">
        <v>31417</v>
      </c>
      <c r="F4532" s="104"/>
      <c r="G4532" s="105">
        <f t="shared" si="280"/>
        <v>135</v>
      </c>
      <c r="H4532" s="101" t="str">
        <f t="shared" si="281"/>
        <v>Sinapi 39733</v>
      </c>
      <c r="I4532" s="101" t="str">
        <f t="shared" si="282"/>
        <v>M</v>
      </c>
      <c r="J4532" s="140" t="str">
        <f t="shared" si="283"/>
        <v>TUBO DE BORRACHA ELASTOMERICA FLEXIVEL, PRETA, PARA ISOLAMENTO TERMICO DE TUBULACAO, DN 2 1/8" (54 MM), E= 32 MM, COEFICIENTE DE CONDUTIVIDADE TERMICA 0,036W/mK, VAPOR DE AGUA MAIOR OU IGUAL A 10.000</v>
      </c>
    </row>
    <row r="4533" spans="1:10" x14ac:dyDescent="0.25">
      <c r="A4533" s="169">
        <v>39854</v>
      </c>
      <c r="B4533" s="169" t="s">
        <v>28035</v>
      </c>
      <c r="C4533" s="169" t="s">
        <v>10229</v>
      </c>
      <c r="D4533" s="169" t="s">
        <v>1289</v>
      </c>
      <c r="E4533" s="103" t="s">
        <v>31418</v>
      </c>
      <c r="F4533" s="104"/>
      <c r="G4533" s="105">
        <f t="shared" si="280"/>
        <v>136.91</v>
      </c>
      <c r="H4533" s="101" t="str">
        <f t="shared" si="281"/>
        <v>Sinapi 39854</v>
      </c>
      <c r="I4533" s="101" t="str">
        <f t="shared" si="282"/>
        <v>M</v>
      </c>
      <c r="J4533" s="140" t="str">
        <f t="shared" si="283"/>
        <v>TUBO DE BORRACHA ELASTOMERICA FLEXIVEL, PRETA, PARA ISOLAMENTO TERMICO DE TUBULACAO, DN 2 5/8" (*64* MM), E= *32* MM, COEFICIENTE DE CONDUTIVIDADE TERMICA 0,036W/MK, VAPOR DE AGUA MAIOR OU IGUAL A 10.000</v>
      </c>
    </row>
    <row r="4534" spans="1:10" x14ac:dyDescent="0.25">
      <c r="A4534" s="169">
        <v>39740</v>
      </c>
      <c r="B4534" s="169" t="s">
        <v>28036</v>
      </c>
      <c r="C4534" s="169" t="s">
        <v>10229</v>
      </c>
      <c r="D4534" s="169" t="s">
        <v>1289</v>
      </c>
      <c r="E4534" s="103" t="s">
        <v>31419</v>
      </c>
      <c r="F4534" s="104"/>
      <c r="G4534" s="105">
        <f t="shared" si="280"/>
        <v>74.91</v>
      </c>
      <c r="H4534" s="101" t="str">
        <f t="shared" si="281"/>
        <v>Sinapi 39740</v>
      </c>
      <c r="I4534" s="101" t="str">
        <f t="shared" si="282"/>
        <v>M</v>
      </c>
      <c r="J4534" s="140" t="str">
        <f t="shared" si="283"/>
        <v>TUBO DE BORRACHA ELASTOMERICA FLEXIVEL, PRETA, PARA ISOLAMENTO TERMICO DE TUBULACAO, DN 3/4" (18 MM), E= 32 MM, COEFICIENTE DE CONDUTIVIDADE TERMICA 0,036W/mK, VAPOR DE AGUA MAIOR OU IGUAL A 10.000</v>
      </c>
    </row>
    <row r="4535" spans="1:10" x14ac:dyDescent="0.25">
      <c r="A4535" s="169">
        <v>39741</v>
      </c>
      <c r="B4535" s="169" t="s">
        <v>28037</v>
      </c>
      <c r="C4535" s="169" t="s">
        <v>10229</v>
      </c>
      <c r="D4535" s="169" t="s">
        <v>1289</v>
      </c>
      <c r="E4535" s="103" t="s">
        <v>20984</v>
      </c>
      <c r="F4535" s="104"/>
      <c r="G4535" s="105">
        <f t="shared" si="280"/>
        <v>13.8</v>
      </c>
      <c r="H4535" s="101" t="str">
        <f t="shared" si="281"/>
        <v>Sinapi 39741</v>
      </c>
      <c r="I4535" s="101" t="str">
        <f t="shared" si="282"/>
        <v>M</v>
      </c>
      <c r="J4535" s="140" t="str">
        <f t="shared" si="283"/>
        <v>TUBO DE BORRACHA ELASTOMERICA FLEXIVEL, PRETA, PARA ISOLAMENTO TERMICO DE TUBULACAO, DN 3/8" (10 MM), E= 19 MM, COEFICIENTE DE CONDUTIVIDADE TERMICA 0,036W/mK, VAPOR DE AGUA MAIOR OU IGUAL A 10.000</v>
      </c>
    </row>
    <row r="4536" spans="1:10" x14ac:dyDescent="0.25">
      <c r="A4536" s="169">
        <v>39853</v>
      </c>
      <c r="B4536" s="169" t="s">
        <v>28038</v>
      </c>
      <c r="C4536" s="169" t="s">
        <v>10229</v>
      </c>
      <c r="D4536" s="169" t="s">
        <v>1289</v>
      </c>
      <c r="E4536" s="103" t="s">
        <v>25622</v>
      </c>
      <c r="F4536" s="104"/>
      <c r="G4536" s="105">
        <f t="shared" si="280"/>
        <v>18.13</v>
      </c>
      <c r="H4536" s="101" t="str">
        <f t="shared" si="281"/>
        <v>Sinapi 39853</v>
      </c>
      <c r="I4536" s="101" t="str">
        <f t="shared" si="282"/>
        <v>M</v>
      </c>
      <c r="J4536" s="140" t="str">
        <f t="shared" si="283"/>
        <v>TUBO DE BORRACHA ELASTOMERICA FLEXIVEL, PRETA, PARA ISOLAMENTO TERMICO DE TUBULACAO, DN 5/8" (15 MM), E= 19 MM, COEFICIENTE DE CONDUTIVIDADE TERMICA 0,036W/MK, VAPOR DE AGUA MAIOR OU IGUAL A 10.000</v>
      </c>
    </row>
    <row r="4537" spans="1:10" x14ac:dyDescent="0.25">
      <c r="A4537" s="169">
        <v>39742</v>
      </c>
      <c r="B4537" s="169" t="s">
        <v>28039</v>
      </c>
      <c r="C4537" s="169" t="s">
        <v>10229</v>
      </c>
      <c r="D4537" s="169" t="s">
        <v>1289</v>
      </c>
      <c r="E4537" s="103" t="s">
        <v>21033</v>
      </c>
      <c r="F4537" s="104"/>
      <c r="G4537" s="105">
        <f t="shared" si="280"/>
        <v>60.21</v>
      </c>
      <c r="H4537" s="101" t="str">
        <f t="shared" si="281"/>
        <v>Sinapi 39742</v>
      </c>
      <c r="I4537" s="101" t="str">
        <f t="shared" si="282"/>
        <v>M</v>
      </c>
      <c r="J4537" s="140" t="str">
        <f t="shared" si="283"/>
        <v>TUBO DE BORRACHA ELASTOMERICA FLEXIVEL, PRETA, PARA ISOLAMENTO TERMICO DE TUBULACAO, DN 7/8" (22 MM), E= 32 MM, COEFICIENTE DE CONDUTIVIDADE TERMICA 0,036W/mK, VAPOR DE AGUA MAIOR OU IGUAL A 10.000</v>
      </c>
    </row>
    <row r="4538" spans="1:10" x14ac:dyDescent="0.25">
      <c r="A4538" s="169">
        <v>39749</v>
      </c>
      <c r="B4538" s="169" t="s">
        <v>28041</v>
      </c>
      <c r="C4538" s="169" t="s">
        <v>10229</v>
      </c>
      <c r="D4538" s="169" t="s">
        <v>1290</v>
      </c>
      <c r="E4538" s="103" t="s">
        <v>29084</v>
      </c>
      <c r="F4538" s="104"/>
      <c r="G4538" s="105">
        <f t="shared" si="280"/>
        <v>90.22</v>
      </c>
      <c r="H4538" s="101" t="str">
        <f t="shared" si="281"/>
        <v>Sinapi 39749</v>
      </c>
      <c r="I4538" s="101" t="str">
        <f t="shared" si="282"/>
        <v>M</v>
      </c>
      <c r="J4538" s="140" t="str">
        <f t="shared" si="283"/>
        <v>TUBO DE COBRE CLASSE "A", DN = 1 " (28 MM), PARA INSTALACOES DE MEDIA PRESSAO PARA GASES COMBUSTIVEIS E MEDICINAIS</v>
      </c>
    </row>
    <row r="4539" spans="1:10" x14ac:dyDescent="0.25">
      <c r="A4539" s="169">
        <v>39751</v>
      </c>
      <c r="B4539" s="169" t="s">
        <v>1070</v>
      </c>
      <c r="C4539" s="169" t="s">
        <v>10229</v>
      </c>
      <c r="D4539" s="169" t="s">
        <v>1290</v>
      </c>
      <c r="E4539" s="103" t="s">
        <v>31420</v>
      </c>
      <c r="F4539" s="104"/>
      <c r="G4539" s="105">
        <f t="shared" si="280"/>
        <v>163.94</v>
      </c>
      <c r="H4539" s="101" t="str">
        <f t="shared" si="281"/>
        <v>Sinapi 39751</v>
      </c>
      <c r="I4539" s="101" t="str">
        <f t="shared" si="282"/>
        <v>M</v>
      </c>
      <c r="J4539" s="140" t="str">
        <f t="shared" si="283"/>
        <v>TUBO DE COBRE CLASSE "A", DN = 1 1/2 " (42 MM), PARA INSTALACOES DE MEDIA PRESSAO PARA GASES COMBUSTIVEIS E MEDICINAIS</v>
      </c>
    </row>
    <row r="4540" spans="1:10" x14ac:dyDescent="0.25">
      <c r="A4540" s="169">
        <v>39750</v>
      </c>
      <c r="B4540" s="169" t="s">
        <v>1068</v>
      </c>
      <c r="C4540" s="169" t="s">
        <v>10229</v>
      </c>
      <c r="D4540" s="169" t="s">
        <v>1290</v>
      </c>
      <c r="E4540" s="103" t="s">
        <v>23813</v>
      </c>
      <c r="F4540" s="104"/>
      <c r="G4540" s="105">
        <f t="shared" si="280"/>
        <v>136.26</v>
      </c>
      <c r="H4540" s="101" t="str">
        <f t="shared" si="281"/>
        <v>Sinapi 39750</v>
      </c>
      <c r="I4540" s="101" t="str">
        <f t="shared" si="282"/>
        <v>M</v>
      </c>
      <c r="J4540" s="140" t="str">
        <f t="shared" si="283"/>
        <v>TUBO DE COBRE CLASSE "A", DN = 1 1/4 " (35 MM), PARA INSTALACOES DE MEDIA PRESSAO PARA GASES COMBUSTIVEIS E MEDICINAIS</v>
      </c>
    </row>
    <row r="4541" spans="1:10" x14ac:dyDescent="0.25">
      <c r="A4541" s="169">
        <v>39747</v>
      </c>
      <c r="B4541" s="169" t="s">
        <v>28042</v>
      </c>
      <c r="C4541" s="169" t="s">
        <v>10229</v>
      </c>
      <c r="D4541" s="169" t="s">
        <v>1290</v>
      </c>
      <c r="E4541" s="103" t="s">
        <v>29170</v>
      </c>
      <c r="F4541" s="104"/>
      <c r="G4541" s="105">
        <f t="shared" si="280"/>
        <v>43.83</v>
      </c>
      <c r="H4541" s="101" t="str">
        <f t="shared" si="281"/>
        <v>Sinapi 39747</v>
      </c>
      <c r="I4541" s="101" t="str">
        <f t="shared" si="282"/>
        <v>M</v>
      </c>
      <c r="J4541" s="140" t="str">
        <f t="shared" si="283"/>
        <v>TUBO DE COBRE CLASSE "A", DN = 1/2 " (15 MM), PARA INSTALACOES DE MEDIA PRESSAO PARA GASES COMBUSTIVEIS E MEDICINAIS</v>
      </c>
    </row>
    <row r="4542" spans="1:10" x14ac:dyDescent="0.25">
      <c r="A4542" s="169">
        <v>39753</v>
      </c>
      <c r="B4542" s="169" t="s">
        <v>28044</v>
      </c>
      <c r="C4542" s="169" t="s">
        <v>10229</v>
      </c>
      <c r="D4542" s="169" t="s">
        <v>1290</v>
      </c>
      <c r="E4542" s="103" t="s">
        <v>31421</v>
      </c>
      <c r="F4542" s="104"/>
      <c r="G4542" s="105">
        <f t="shared" si="280"/>
        <v>301.77999999999997</v>
      </c>
      <c r="H4542" s="101" t="str">
        <f t="shared" si="281"/>
        <v>Sinapi 39753</v>
      </c>
      <c r="I4542" s="101" t="str">
        <f t="shared" si="282"/>
        <v>M</v>
      </c>
      <c r="J4542" s="140" t="str">
        <f t="shared" si="283"/>
        <v>TUBO DE COBRE CLASSE "A", DN = 2 1/2 " (66 MM), PARA INSTALACOES DE MEDIA PRESSAO PARA GASES COMBUSTIVEIS E MEDICINAIS</v>
      </c>
    </row>
    <row r="4543" spans="1:10" x14ac:dyDescent="0.25">
      <c r="A4543" s="169">
        <v>39754</v>
      </c>
      <c r="B4543" s="169" t="s">
        <v>28045</v>
      </c>
      <c r="C4543" s="169" t="s">
        <v>10229</v>
      </c>
      <c r="D4543" s="169" t="s">
        <v>1290</v>
      </c>
      <c r="E4543" s="103" t="s">
        <v>31422</v>
      </c>
      <c r="F4543" s="104"/>
      <c r="G4543" s="105">
        <f t="shared" si="280"/>
        <v>444.6</v>
      </c>
      <c r="H4543" s="101" t="str">
        <f t="shared" si="281"/>
        <v>Sinapi 39754</v>
      </c>
      <c r="I4543" s="101" t="str">
        <f t="shared" si="282"/>
        <v>M</v>
      </c>
      <c r="J4543" s="140" t="str">
        <f t="shared" si="283"/>
        <v>TUBO DE COBRE CLASSE "A", DN = 3 " (79 MM), PARA INSTALACOES DE MEDIA PRESSAO PARA GASES COMBUSTIVEIS E MEDICINAIS</v>
      </c>
    </row>
    <row r="4544" spans="1:10" x14ac:dyDescent="0.25">
      <c r="A4544" s="169">
        <v>39748</v>
      </c>
      <c r="B4544" s="169" t="s">
        <v>28046</v>
      </c>
      <c r="C4544" s="169" t="s">
        <v>10229</v>
      </c>
      <c r="D4544" s="169" t="s">
        <v>1290</v>
      </c>
      <c r="E4544" s="103" t="s">
        <v>23031</v>
      </c>
      <c r="F4544" s="104"/>
      <c r="G4544" s="105">
        <f t="shared" si="280"/>
        <v>70.92</v>
      </c>
      <c r="H4544" s="101" t="str">
        <f t="shared" si="281"/>
        <v>Sinapi 39748</v>
      </c>
      <c r="I4544" s="101" t="str">
        <f t="shared" si="282"/>
        <v>M</v>
      </c>
      <c r="J4544" s="140" t="str">
        <f t="shared" si="283"/>
        <v>TUBO DE COBRE CLASSE "A", DN = 3/4 " (22 MM), PARA INSTALACOES DE MEDIA PRESSAO PARA GASES COMBUSTIVEIS E MEDICINAIS</v>
      </c>
    </row>
    <row r="4545" spans="1:10" x14ac:dyDescent="0.25">
      <c r="A4545" s="169">
        <v>39755</v>
      </c>
      <c r="B4545" s="169" t="s">
        <v>28047</v>
      </c>
      <c r="C4545" s="169" t="s">
        <v>10229</v>
      </c>
      <c r="D4545" s="169" t="s">
        <v>1290</v>
      </c>
      <c r="E4545" s="103" t="s">
        <v>31423</v>
      </c>
      <c r="F4545" s="104"/>
      <c r="G4545" s="105">
        <f t="shared" si="280"/>
        <v>674.12</v>
      </c>
      <c r="H4545" s="101" t="str">
        <f t="shared" si="281"/>
        <v>Sinapi 39755</v>
      </c>
      <c r="I4545" s="101" t="str">
        <f t="shared" si="282"/>
        <v>M</v>
      </c>
      <c r="J4545" s="140" t="str">
        <f t="shared" si="283"/>
        <v>TUBO DE COBRE CLASSE "A", DN = 4 " (104 MM), PARA INSTALACOES DE MEDIA PRESSAO PARA GASES COMBUSTIVEIS E MEDICINAIS</v>
      </c>
    </row>
    <row r="4546" spans="1:10" x14ac:dyDescent="0.25">
      <c r="A4546" s="169">
        <v>12742</v>
      </c>
      <c r="B4546" s="169" t="s">
        <v>28048</v>
      </c>
      <c r="C4546" s="169" t="s">
        <v>10229</v>
      </c>
      <c r="D4546" s="169" t="s">
        <v>1290</v>
      </c>
      <c r="E4546" s="103" t="s">
        <v>31424</v>
      </c>
      <c r="F4546" s="104"/>
      <c r="G4546" s="105">
        <f t="shared" si="280"/>
        <v>533.78</v>
      </c>
      <c r="H4546" s="101" t="str">
        <f t="shared" si="281"/>
        <v>Sinapi 12742</v>
      </c>
      <c r="I4546" s="101" t="str">
        <f t="shared" si="282"/>
        <v>M</v>
      </c>
      <c r="J4546" s="140" t="str">
        <f t="shared" si="283"/>
        <v>TUBO DE COBRE CLASSE "E", DN = 104 MM, PARA INSTALACAO HIDRAULICA PREDIAL</v>
      </c>
    </row>
    <row r="4547" spans="1:10" x14ac:dyDescent="0.25">
      <c r="A4547" s="169">
        <v>12713</v>
      </c>
      <c r="B4547" s="169" t="s">
        <v>28049</v>
      </c>
      <c r="C4547" s="169" t="s">
        <v>10229</v>
      </c>
      <c r="D4547" s="169" t="s">
        <v>1290</v>
      </c>
      <c r="E4547" s="103" t="s">
        <v>31425</v>
      </c>
      <c r="F4547" s="104"/>
      <c r="G4547" s="105">
        <f t="shared" si="280"/>
        <v>28.31</v>
      </c>
      <c r="H4547" s="101" t="str">
        <f t="shared" si="281"/>
        <v>Sinapi 12713</v>
      </c>
      <c r="I4547" s="101" t="str">
        <f t="shared" si="282"/>
        <v>M</v>
      </c>
      <c r="J4547" s="140" t="str">
        <f t="shared" si="283"/>
        <v>TUBO DE COBRE CLASSE "E", DN = 15 MM, PARA INSTALACAO HIDRAULICA PREDIAL</v>
      </c>
    </row>
    <row r="4548" spans="1:10" x14ac:dyDescent="0.25">
      <c r="A4548" s="169">
        <v>12743</v>
      </c>
      <c r="B4548" s="169" t="s">
        <v>823</v>
      </c>
      <c r="C4548" s="169" t="s">
        <v>10229</v>
      </c>
      <c r="D4548" s="169" t="s">
        <v>1290</v>
      </c>
      <c r="E4548" s="103" t="s">
        <v>23123</v>
      </c>
      <c r="F4548" s="104"/>
      <c r="G4548" s="105">
        <f t="shared" si="280"/>
        <v>48.7</v>
      </c>
      <c r="H4548" s="101" t="str">
        <f t="shared" si="281"/>
        <v>Sinapi 12743</v>
      </c>
      <c r="I4548" s="101" t="str">
        <f t="shared" si="282"/>
        <v>M</v>
      </c>
      <c r="J4548" s="140" t="str">
        <f t="shared" si="283"/>
        <v>TUBO DE COBRE CLASSE "E", DN = 22 MM, PARA INSTALACAO HIDRAULICA PREDIAL</v>
      </c>
    </row>
    <row r="4549" spans="1:10" x14ac:dyDescent="0.25">
      <c r="A4549" s="169">
        <v>12744</v>
      </c>
      <c r="B4549" s="169" t="s">
        <v>827</v>
      </c>
      <c r="C4549" s="169" t="s">
        <v>10229</v>
      </c>
      <c r="D4549" s="169" t="s">
        <v>1290</v>
      </c>
      <c r="E4549" s="103" t="s">
        <v>23227</v>
      </c>
      <c r="F4549" s="104"/>
      <c r="G4549" s="105">
        <f t="shared" si="280"/>
        <v>61.8</v>
      </c>
      <c r="H4549" s="101" t="str">
        <f t="shared" si="281"/>
        <v>Sinapi 12744</v>
      </c>
      <c r="I4549" s="101" t="str">
        <f t="shared" si="282"/>
        <v>M</v>
      </c>
      <c r="J4549" s="140" t="str">
        <f t="shared" si="283"/>
        <v>TUBO DE COBRE CLASSE "E", DN = 28 MM, PARA INSTALACAO HIDRAULICA PREDIAL</v>
      </c>
    </row>
    <row r="4550" spans="1:10" x14ac:dyDescent="0.25">
      <c r="A4550" s="169">
        <v>12745</v>
      </c>
      <c r="B4550" s="169" t="s">
        <v>28050</v>
      </c>
      <c r="C4550" s="169" t="s">
        <v>10229</v>
      </c>
      <c r="D4550" s="169" t="s">
        <v>1290</v>
      </c>
      <c r="E4550" s="103" t="s">
        <v>31426</v>
      </c>
      <c r="F4550" s="104"/>
      <c r="G4550" s="105">
        <f t="shared" si="280"/>
        <v>89.75</v>
      </c>
      <c r="H4550" s="101" t="str">
        <f t="shared" si="281"/>
        <v>Sinapi 12745</v>
      </c>
      <c r="I4550" s="101" t="str">
        <f t="shared" si="282"/>
        <v>M</v>
      </c>
      <c r="J4550" s="140" t="str">
        <f t="shared" si="283"/>
        <v>TUBO DE COBRE CLASSE "E", DN = 35 MM, PARA INSTALACAO HIDRAULICA PREDIAL</v>
      </c>
    </row>
    <row r="4551" spans="1:10" x14ac:dyDescent="0.25">
      <c r="A4551" s="169">
        <v>12746</v>
      </c>
      <c r="B4551" s="169" t="s">
        <v>829</v>
      </c>
      <c r="C4551" s="169" t="s">
        <v>10229</v>
      </c>
      <c r="D4551" s="169" t="s">
        <v>1290</v>
      </c>
      <c r="E4551" s="103" t="s">
        <v>31427</v>
      </c>
      <c r="F4551" s="104"/>
      <c r="G4551" s="105">
        <f t="shared" si="280"/>
        <v>121.2</v>
      </c>
      <c r="H4551" s="101" t="str">
        <f t="shared" si="281"/>
        <v>Sinapi 12746</v>
      </c>
      <c r="I4551" s="101" t="str">
        <f t="shared" si="282"/>
        <v>M</v>
      </c>
      <c r="J4551" s="140" t="str">
        <f t="shared" si="283"/>
        <v>TUBO DE COBRE CLASSE "E", DN = 42 MM, PARA INSTALACAO HIDRAULICA PREDIAL</v>
      </c>
    </row>
    <row r="4552" spans="1:10" x14ac:dyDescent="0.25">
      <c r="A4552" s="169">
        <v>12747</v>
      </c>
      <c r="B4552" s="169" t="s">
        <v>28051</v>
      </c>
      <c r="C4552" s="169" t="s">
        <v>10229</v>
      </c>
      <c r="D4552" s="169" t="s">
        <v>1290</v>
      </c>
      <c r="E4552" s="103" t="s">
        <v>31428</v>
      </c>
      <c r="F4552" s="104"/>
      <c r="G4552" s="105">
        <f t="shared" ref="G4552:G4615" si="284">IF(E4552="","",E4552+0)</f>
        <v>175.77</v>
      </c>
      <c r="H4552" s="101" t="str">
        <f t="shared" ref="H4552:H4615" si="285">IF(G4552="","",TRIM(CONCATENATE("Sinapi ",A4552)))</f>
        <v>Sinapi 12747</v>
      </c>
      <c r="I4552" s="101" t="str">
        <f t="shared" ref="I4552:I4615" si="286">TRIM(C4552)</f>
        <v>M</v>
      </c>
      <c r="J4552" s="140" t="str">
        <f t="shared" si="283"/>
        <v>TUBO DE COBRE CLASSE "E", DN = 54 MM, PARA INSTALACAO HIDRAULICA PREDIAL</v>
      </c>
    </row>
    <row r="4553" spans="1:10" x14ac:dyDescent="0.25">
      <c r="A4553" s="169">
        <v>12748</v>
      </c>
      <c r="B4553" s="169" t="s">
        <v>28052</v>
      </c>
      <c r="C4553" s="169" t="s">
        <v>10229</v>
      </c>
      <c r="D4553" s="169" t="s">
        <v>1290</v>
      </c>
      <c r="E4553" s="103" t="s">
        <v>31429</v>
      </c>
      <c r="F4553" s="104"/>
      <c r="G4553" s="105">
        <f t="shared" si="284"/>
        <v>247.63</v>
      </c>
      <c r="H4553" s="101" t="str">
        <f t="shared" si="285"/>
        <v>Sinapi 12748</v>
      </c>
      <c r="I4553" s="101" t="str">
        <f t="shared" si="286"/>
        <v>M</v>
      </c>
      <c r="J4553" s="140" t="str">
        <f t="shared" ref="J4553:J4616" si="287">TRIM(B4553)</f>
        <v>TUBO DE COBRE CLASSE "E", DN = 66 MM, PARA INSTALACAO HIDRAULICA PREDIAL</v>
      </c>
    </row>
    <row r="4554" spans="1:10" x14ac:dyDescent="0.25">
      <c r="A4554" s="169">
        <v>12749</v>
      </c>
      <c r="B4554" s="169" t="s">
        <v>28053</v>
      </c>
      <c r="C4554" s="169" t="s">
        <v>10229</v>
      </c>
      <c r="D4554" s="169" t="s">
        <v>1290</v>
      </c>
      <c r="E4554" s="103" t="s">
        <v>31430</v>
      </c>
      <c r="F4554" s="104"/>
      <c r="G4554" s="105">
        <f t="shared" si="284"/>
        <v>362</v>
      </c>
      <c r="H4554" s="101" t="str">
        <f t="shared" si="285"/>
        <v>Sinapi 12749</v>
      </c>
      <c r="I4554" s="101" t="str">
        <f t="shared" si="286"/>
        <v>M</v>
      </c>
      <c r="J4554" s="140" t="str">
        <f t="shared" si="287"/>
        <v>TUBO DE COBRE CLASSE "E", DN = 79 MM, PARA INSTALACAO HIDRAULICA PREDIAL</v>
      </c>
    </row>
    <row r="4555" spans="1:10" x14ac:dyDescent="0.25">
      <c r="A4555" s="169">
        <v>39726</v>
      </c>
      <c r="B4555" s="169" t="s">
        <v>28054</v>
      </c>
      <c r="C4555" s="169" t="s">
        <v>10229</v>
      </c>
      <c r="D4555" s="169" t="s">
        <v>1290</v>
      </c>
      <c r="E4555" s="103" t="s">
        <v>31431</v>
      </c>
      <c r="F4555" s="104"/>
      <c r="G4555" s="105">
        <f t="shared" si="284"/>
        <v>118.9</v>
      </c>
      <c r="H4555" s="101" t="str">
        <f t="shared" si="285"/>
        <v>Sinapi 39726</v>
      </c>
      <c r="I4555" s="101" t="str">
        <f t="shared" si="286"/>
        <v>M</v>
      </c>
      <c r="J4555" s="140" t="str">
        <f t="shared" si="287"/>
        <v>TUBO DE COBRE CLASSE "I", DN = 1 " (28 MM), PARA INSTALACOES INDUSTRIAIS DE ALTA PRESSAO E VAPOR</v>
      </c>
    </row>
    <row r="4556" spans="1:10" x14ac:dyDescent="0.25">
      <c r="A4556" s="169">
        <v>39728</v>
      </c>
      <c r="B4556" s="169" t="s">
        <v>28055</v>
      </c>
      <c r="C4556" s="169" t="s">
        <v>10229</v>
      </c>
      <c r="D4556" s="169" t="s">
        <v>1290</v>
      </c>
      <c r="E4556" s="103" t="s">
        <v>31432</v>
      </c>
      <c r="F4556" s="104"/>
      <c r="G4556" s="105">
        <f t="shared" si="284"/>
        <v>208.97</v>
      </c>
      <c r="H4556" s="101" t="str">
        <f t="shared" si="285"/>
        <v>Sinapi 39728</v>
      </c>
      <c r="I4556" s="101" t="str">
        <f t="shared" si="286"/>
        <v>M</v>
      </c>
      <c r="J4556" s="140" t="str">
        <f t="shared" si="287"/>
        <v>TUBO DE COBRE CLASSE "I", DN = 1 1/2 " (42 MM), PARA INSTALACOES INDUSTRIAIS DE ALTA PRESSAO E VAPOR</v>
      </c>
    </row>
    <row r="4557" spans="1:10" x14ac:dyDescent="0.25">
      <c r="A4557" s="169">
        <v>39727</v>
      </c>
      <c r="B4557" s="169" t="s">
        <v>28056</v>
      </c>
      <c r="C4557" s="169" t="s">
        <v>10229</v>
      </c>
      <c r="D4557" s="169" t="s">
        <v>1290</v>
      </c>
      <c r="E4557" s="103" t="s">
        <v>31433</v>
      </c>
      <c r="F4557" s="104"/>
      <c r="G4557" s="105">
        <f t="shared" si="284"/>
        <v>171.97</v>
      </c>
      <c r="H4557" s="101" t="str">
        <f t="shared" si="285"/>
        <v>Sinapi 39727</v>
      </c>
      <c r="I4557" s="101" t="str">
        <f t="shared" si="286"/>
        <v>M</v>
      </c>
      <c r="J4557" s="140" t="str">
        <f t="shared" si="287"/>
        <v>TUBO DE COBRE CLASSE "I", DN = 1 1/4 " (35 MM), PARA INSTALACOES INDUSTRIAIS DE ALTA PRESSAO E VAPOR</v>
      </c>
    </row>
    <row r="4558" spans="1:10" x14ac:dyDescent="0.25">
      <c r="A4558" s="169">
        <v>39724</v>
      </c>
      <c r="B4558" s="169" t="s">
        <v>28057</v>
      </c>
      <c r="C4558" s="169" t="s">
        <v>10229</v>
      </c>
      <c r="D4558" s="169" t="s">
        <v>1290</v>
      </c>
      <c r="E4558" s="103" t="s">
        <v>29830</v>
      </c>
      <c r="F4558" s="104"/>
      <c r="G4558" s="105">
        <f t="shared" si="284"/>
        <v>52.65</v>
      </c>
      <c r="H4558" s="101" t="str">
        <f t="shared" si="285"/>
        <v>Sinapi 39724</v>
      </c>
      <c r="I4558" s="101" t="str">
        <f t="shared" si="286"/>
        <v>M</v>
      </c>
      <c r="J4558" s="140" t="str">
        <f t="shared" si="287"/>
        <v>TUBO DE COBRE CLASSE "I", DN = 1/2 " (15 MM), PARA INSTALACOES INDUSTRIAIS DE ALTA PRESSAO E VAPOR</v>
      </c>
    </row>
    <row r="4559" spans="1:10" x14ac:dyDescent="0.25">
      <c r="A4559" s="169">
        <v>39729</v>
      </c>
      <c r="B4559" s="169" t="s">
        <v>28058</v>
      </c>
      <c r="C4559" s="169" t="s">
        <v>10229</v>
      </c>
      <c r="D4559" s="169" t="s">
        <v>1290</v>
      </c>
      <c r="E4559" s="103" t="s">
        <v>31434</v>
      </c>
      <c r="F4559" s="104"/>
      <c r="G4559" s="105">
        <f t="shared" si="284"/>
        <v>289.39</v>
      </c>
      <c r="H4559" s="101" t="str">
        <f t="shared" si="285"/>
        <v>Sinapi 39729</v>
      </c>
      <c r="I4559" s="101" t="str">
        <f t="shared" si="286"/>
        <v>M</v>
      </c>
      <c r="J4559" s="140" t="str">
        <f t="shared" si="287"/>
        <v>TUBO DE COBRE CLASSE "I", DN = 2 " (54 MM), PARA INSTALACOES INDUSTRIAIS DE ALTA PRESSAO E VAPOR</v>
      </c>
    </row>
    <row r="4560" spans="1:10" x14ac:dyDescent="0.25">
      <c r="A4560" s="169">
        <v>39730</v>
      </c>
      <c r="B4560" s="169" t="s">
        <v>28059</v>
      </c>
      <c r="C4560" s="169" t="s">
        <v>10229</v>
      </c>
      <c r="D4560" s="169" t="s">
        <v>1290</v>
      </c>
      <c r="E4560" s="103" t="s">
        <v>31435</v>
      </c>
      <c r="F4560" s="104"/>
      <c r="G4560" s="105">
        <f t="shared" si="284"/>
        <v>375.47</v>
      </c>
      <c r="H4560" s="101" t="str">
        <f t="shared" si="285"/>
        <v>Sinapi 39730</v>
      </c>
      <c r="I4560" s="101" t="str">
        <f t="shared" si="286"/>
        <v>M</v>
      </c>
      <c r="J4560" s="140" t="str">
        <f t="shared" si="287"/>
        <v>TUBO DE COBRE CLASSE "I", DN = 2 1/2 " (66 MM), PARA INSTALACOES INDUSTRIAIS DE ALTA PRESSAO E VAPOR</v>
      </c>
    </row>
    <row r="4561" spans="1:10" x14ac:dyDescent="0.25">
      <c r="A4561" s="169">
        <v>39731</v>
      </c>
      <c r="B4561" s="169" t="s">
        <v>28060</v>
      </c>
      <c r="C4561" s="169" t="s">
        <v>10229</v>
      </c>
      <c r="D4561" s="169" t="s">
        <v>1290</v>
      </c>
      <c r="E4561" s="103" t="s">
        <v>31436</v>
      </c>
      <c r="F4561" s="104"/>
      <c r="G4561" s="105">
        <f t="shared" si="284"/>
        <v>556.09</v>
      </c>
      <c r="H4561" s="101" t="str">
        <f t="shared" si="285"/>
        <v>Sinapi 39731</v>
      </c>
      <c r="I4561" s="101" t="str">
        <f t="shared" si="286"/>
        <v>M</v>
      </c>
      <c r="J4561" s="140" t="str">
        <f t="shared" si="287"/>
        <v>TUBO DE COBRE CLASSE "I", DN = 3 " (79 MM), PARA INSTALACOES INDUSTRIAIS DE ALTA PRESSAO E VAPOR</v>
      </c>
    </row>
    <row r="4562" spans="1:10" x14ac:dyDescent="0.25">
      <c r="A4562" s="169">
        <v>39725</v>
      </c>
      <c r="B4562" s="169" t="s">
        <v>28061</v>
      </c>
      <c r="C4562" s="169" t="s">
        <v>10229</v>
      </c>
      <c r="D4562" s="169" t="s">
        <v>1290</v>
      </c>
      <c r="E4562" s="103" t="s">
        <v>31437</v>
      </c>
      <c r="F4562" s="104"/>
      <c r="G4562" s="105">
        <f t="shared" si="284"/>
        <v>85.82</v>
      </c>
      <c r="H4562" s="101" t="str">
        <f t="shared" si="285"/>
        <v>Sinapi 39725</v>
      </c>
      <c r="I4562" s="101" t="str">
        <f t="shared" si="286"/>
        <v>M</v>
      </c>
      <c r="J4562" s="140" t="str">
        <f t="shared" si="287"/>
        <v>TUBO DE COBRE CLASSE "I", DN = 3/4 " (22 MM), PARA INSTALACOES INDUSTRIAIS DE ALTA PRESSAO E VAPOR</v>
      </c>
    </row>
    <row r="4563" spans="1:10" x14ac:dyDescent="0.25">
      <c r="A4563" s="169">
        <v>39732</v>
      </c>
      <c r="B4563" s="169" t="s">
        <v>28062</v>
      </c>
      <c r="C4563" s="169" t="s">
        <v>10229</v>
      </c>
      <c r="D4563" s="169" t="s">
        <v>1290</v>
      </c>
      <c r="E4563" s="103" t="s">
        <v>31438</v>
      </c>
      <c r="F4563" s="104"/>
      <c r="G4563" s="105">
        <f t="shared" si="284"/>
        <v>818.54</v>
      </c>
      <c r="H4563" s="101" t="str">
        <f t="shared" si="285"/>
        <v>Sinapi 39732</v>
      </c>
      <c r="I4563" s="101" t="str">
        <f t="shared" si="286"/>
        <v>M</v>
      </c>
      <c r="J4563" s="140" t="str">
        <f t="shared" si="287"/>
        <v>TUBO DE COBRE CLASSE "I", DN = 4" (104 MM), PARA INSTALACOES INDUSTRIAIS DE ALTA PRESSAO E VAPOR</v>
      </c>
    </row>
    <row r="4564" spans="1:10" x14ac:dyDescent="0.25">
      <c r="A4564" s="169">
        <v>39660</v>
      </c>
      <c r="B4564" s="169" t="s">
        <v>28063</v>
      </c>
      <c r="C4564" s="169" t="s">
        <v>10229</v>
      </c>
      <c r="D4564" s="169" t="s">
        <v>1290</v>
      </c>
      <c r="E4564" s="103" t="s">
        <v>21149</v>
      </c>
      <c r="F4564" s="104"/>
      <c r="G4564" s="105">
        <f t="shared" si="284"/>
        <v>37.299999999999997</v>
      </c>
      <c r="H4564" s="101" t="str">
        <f t="shared" si="285"/>
        <v>Sinapi 39660</v>
      </c>
      <c r="I4564" s="101" t="str">
        <f t="shared" si="286"/>
        <v>M</v>
      </c>
      <c r="J4564" s="140" t="str">
        <f t="shared" si="287"/>
        <v>TUBO DE COBRE FLEXIVEL, D = 1/2 ", E = 0,79 MM, PARA AR-CONDICIONADO/ INSTALACOES GAS RESIDENCIAIS E COMERCIAIS</v>
      </c>
    </row>
    <row r="4565" spans="1:10" x14ac:dyDescent="0.25">
      <c r="A4565" s="169">
        <v>39662</v>
      </c>
      <c r="B4565" s="169" t="s">
        <v>28064</v>
      </c>
      <c r="C4565" s="169" t="s">
        <v>10229</v>
      </c>
      <c r="D4565" s="169" t="s">
        <v>1290</v>
      </c>
      <c r="E4565" s="103" t="s">
        <v>18624</v>
      </c>
      <c r="F4565" s="104"/>
      <c r="G4565" s="105">
        <f t="shared" si="284"/>
        <v>17.88</v>
      </c>
      <c r="H4565" s="101" t="str">
        <f t="shared" si="285"/>
        <v>Sinapi 39662</v>
      </c>
      <c r="I4565" s="101" t="str">
        <f t="shared" si="286"/>
        <v>M</v>
      </c>
      <c r="J4565" s="140" t="str">
        <f t="shared" si="287"/>
        <v>TUBO DE COBRE FLEXIVEL, D = 1/4 ", E = 0,79 MM, PARA AR-CONDICIONADO/ INSTALACOES GAS RESIDENCIAIS E COMERCIAIS</v>
      </c>
    </row>
    <row r="4566" spans="1:10" x14ac:dyDescent="0.25">
      <c r="A4566" s="169">
        <v>39661</v>
      </c>
      <c r="B4566" s="169" t="s">
        <v>28065</v>
      </c>
      <c r="C4566" s="169" t="s">
        <v>10229</v>
      </c>
      <c r="D4566" s="169" t="s">
        <v>1290</v>
      </c>
      <c r="E4566" s="103" t="s">
        <v>21809</v>
      </c>
      <c r="F4566" s="104"/>
      <c r="G4566" s="105">
        <f t="shared" si="284"/>
        <v>12.19</v>
      </c>
      <c r="H4566" s="101" t="str">
        <f t="shared" si="285"/>
        <v>Sinapi 39661</v>
      </c>
      <c r="I4566" s="101" t="str">
        <f t="shared" si="286"/>
        <v>M</v>
      </c>
      <c r="J4566" s="140" t="str">
        <f t="shared" si="287"/>
        <v>TUBO DE COBRE FLEXIVEL, D = 3/16 ", E = 0,79 MM, PARA AR-CONDICIONADO/ INSTALACOES GAS RESIDENCIAIS E COMERCIAIS</v>
      </c>
    </row>
    <row r="4567" spans="1:10" x14ac:dyDescent="0.25">
      <c r="A4567" s="169">
        <v>39666</v>
      </c>
      <c r="B4567" s="169" t="s">
        <v>28066</v>
      </c>
      <c r="C4567" s="169" t="s">
        <v>10229</v>
      </c>
      <c r="D4567" s="169" t="s">
        <v>1290</v>
      </c>
      <c r="E4567" s="103" t="s">
        <v>31439</v>
      </c>
      <c r="F4567" s="104"/>
      <c r="G4567" s="105">
        <f t="shared" si="284"/>
        <v>56.11</v>
      </c>
      <c r="H4567" s="101" t="str">
        <f t="shared" si="285"/>
        <v>Sinapi 39666</v>
      </c>
      <c r="I4567" s="101" t="str">
        <f t="shared" si="286"/>
        <v>M</v>
      </c>
      <c r="J4567" s="140" t="str">
        <f t="shared" si="287"/>
        <v>TUBO DE COBRE FLEXIVEL, D = 3/4 ", E = 0,79 MM, PARA AR-CONDICIONADO/ INSTALACOES GAS RESIDENCIAIS E COMERCIAIS</v>
      </c>
    </row>
    <row r="4568" spans="1:10" x14ac:dyDescent="0.25">
      <c r="A4568" s="169">
        <v>39664</v>
      </c>
      <c r="B4568" s="169" t="s">
        <v>28067</v>
      </c>
      <c r="C4568" s="169" t="s">
        <v>10229</v>
      </c>
      <c r="D4568" s="169" t="s">
        <v>1290</v>
      </c>
      <c r="E4568" s="103" t="s">
        <v>20098</v>
      </c>
      <c r="F4568" s="104"/>
      <c r="G4568" s="105">
        <f t="shared" si="284"/>
        <v>27.5</v>
      </c>
      <c r="H4568" s="101" t="str">
        <f t="shared" si="285"/>
        <v>Sinapi 39664</v>
      </c>
      <c r="I4568" s="101" t="str">
        <f t="shared" si="286"/>
        <v>M</v>
      </c>
      <c r="J4568" s="140" t="str">
        <f t="shared" si="287"/>
        <v>TUBO DE COBRE FLEXIVEL, D = 3/8 ", E = 0,79 MM, PARA AR-CONDICIONADO/ INSTALACOES GAS RESIDENCIAIS E COMERCIAIS</v>
      </c>
    </row>
    <row r="4569" spans="1:10" x14ac:dyDescent="0.25">
      <c r="A4569" s="169">
        <v>39663</v>
      </c>
      <c r="B4569" s="169" t="s">
        <v>28069</v>
      </c>
      <c r="C4569" s="169" t="s">
        <v>10229</v>
      </c>
      <c r="D4569" s="169" t="s">
        <v>1290</v>
      </c>
      <c r="E4569" s="103" t="s">
        <v>31440</v>
      </c>
      <c r="F4569" s="104"/>
      <c r="G4569" s="105">
        <f t="shared" si="284"/>
        <v>21.98</v>
      </c>
      <c r="H4569" s="101" t="str">
        <f t="shared" si="285"/>
        <v>Sinapi 39663</v>
      </c>
      <c r="I4569" s="101" t="str">
        <f t="shared" si="286"/>
        <v>M</v>
      </c>
      <c r="J4569" s="140" t="str">
        <f t="shared" si="287"/>
        <v>TUBO DE COBRE FLEXIVEL, D = 5/16 ", E = 0,79 MM, PARA AR-CONDICIONADO/ INSTALACOES GAS RESIDENCIAIS E COMERCIAIS</v>
      </c>
    </row>
    <row r="4570" spans="1:10" x14ac:dyDescent="0.25">
      <c r="A4570" s="169">
        <v>39665</v>
      </c>
      <c r="B4570" s="169" t="s">
        <v>28071</v>
      </c>
      <c r="C4570" s="169" t="s">
        <v>10229</v>
      </c>
      <c r="D4570" s="169" t="s">
        <v>1290</v>
      </c>
      <c r="E4570" s="103" t="s">
        <v>30850</v>
      </c>
      <c r="F4570" s="104"/>
      <c r="G4570" s="105">
        <f t="shared" si="284"/>
        <v>46.39</v>
      </c>
      <c r="H4570" s="101" t="str">
        <f t="shared" si="285"/>
        <v>Sinapi 39665</v>
      </c>
      <c r="I4570" s="101" t="str">
        <f t="shared" si="286"/>
        <v>M</v>
      </c>
      <c r="J4570" s="140" t="str">
        <f t="shared" si="287"/>
        <v>TUBO DE COBRE FLEXIVEL, D = 5/8 ", E = 0,79 MM, PARA AR-CONDICIONADO/ INSTALACOES GAS RESIDENCIAIS E COMERCIAIS</v>
      </c>
    </row>
    <row r="4571" spans="1:10" x14ac:dyDescent="0.25">
      <c r="A4571" s="169">
        <v>39752</v>
      </c>
      <c r="B4571" s="169" t="s">
        <v>28072</v>
      </c>
      <c r="C4571" s="169" t="s">
        <v>10229</v>
      </c>
      <c r="D4571" s="169" t="s">
        <v>1290</v>
      </c>
      <c r="E4571" s="103" t="s">
        <v>31441</v>
      </c>
      <c r="F4571" s="104"/>
      <c r="G4571" s="105">
        <f t="shared" si="284"/>
        <v>233.27</v>
      </c>
      <c r="H4571" s="101" t="str">
        <f t="shared" si="285"/>
        <v>Sinapi 39752</v>
      </c>
      <c r="I4571" s="101" t="str">
        <f t="shared" si="286"/>
        <v>M</v>
      </c>
      <c r="J4571" s="140" t="str">
        <f t="shared" si="287"/>
        <v>TUBO DE COBRE, CLASSE "A", DN = 2" (54 MM), PARA INSTALACOES DE MEDIA PRESSAO PARA GASES COMBUSTIVEIS E MEDICINAIS</v>
      </c>
    </row>
    <row r="4572" spans="1:10" x14ac:dyDescent="0.25">
      <c r="A4572" s="169">
        <v>7725</v>
      </c>
      <c r="B4572" s="169" t="s">
        <v>28073</v>
      </c>
      <c r="C4572" s="169" t="s">
        <v>10229</v>
      </c>
      <c r="D4572" s="169" t="s">
        <v>1288</v>
      </c>
      <c r="E4572" s="103" t="s">
        <v>31442</v>
      </c>
      <c r="F4572" s="104"/>
      <c r="G4572" s="105">
        <f t="shared" si="284"/>
        <v>241</v>
      </c>
      <c r="H4572" s="101" t="str">
        <f t="shared" si="285"/>
        <v>Sinapi 7725</v>
      </c>
      <c r="I4572" s="101" t="str">
        <f t="shared" si="286"/>
        <v>M</v>
      </c>
      <c r="J4572" s="140" t="str">
        <f t="shared" si="287"/>
        <v>TUBO DE CONCRETO ARMADO PARA AGUAS PLUVIAIS, CLASSE PA-1, COM ENCAIXE PONTA E BOLSA, DIAMETRO NOMINAL DE = 600 MM</v>
      </c>
    </row>
    <row r="4573" spans="1:10" x14ac:dyDescent="0.25">
      <c r="A4573" s="169">
        <v>7753</v>
      </c>
      <c r="B4573" s="169" t="s">
        <v>28074</v>
      </c>
      <c r="C4573" s="169" t="s">
        <v>10229</v>
      </c>
      <c r="D4573" s="169" t="s">
        <v>1289</v>
      </c>
      <c r="E4573" s="103" t="s">
        <v>31443</v>
      </c>
      <c r="F4573" s="104"/>
      <c r="G4573" s="105">
        <f t="shared" si="284"/>
        <v>469.84</v>
      </c>
      <c r="H4573" s="101" t="str">
        <f t="shared" si="285"/>
        <v>Sinapi 7753</v>
      </c>
      <c r="I4573" s="101" t="str">
        <f t="shared" si="286"/>
        <v>M</v>
      </c>
      <c r="J4573" s="140" t="str">
        <f t="shared" si="287"/>
        <v>TUBO DE CONCRETO ARMADO PARA AGUAS PLUVIAIS, CLASSE PA-1, COM ENCAIXE PONTA E BOLSA, DIAMETRO NOMINAL DE 1000 MM</v>
      </c>
    </row>
    <row r="4574" spans="1:10" x14ac:dyDescent="0.25">
      <c r="A4574" s="169">
        <v>13256</v>
      </c>
      <c r="B4574" s="169" t="s">
        <v>28075</v>
      </c>
      <c r="C4574" s="169" t="s">
        <v>10229</v>
      </c>
      <c r="D4574" s="169" t="s">
        <v>1289</v>
      </c>
      <c r="E4574" s="103" t="s">
        <v>31444</v>
      </c>
      <c r="F4574" s="104"/>
      <c r="G4574" s="105">
        <f t="shared" si="284"/>
        <v>658.19</v>
      </c>
      <c r="H4574" s="101" t="str">
        <f t="shared" si="285"/>
        <v>Sinapi 13256</v>
      </c>
      <c r="I4574" s="101" t="str">
        <f t="shared" si="286"/>
        <v>M</v>
      </c>
      <c r="J4574" s="140" t="str">
        <f t="shared" si="287"/>
        <v>TUBO DE CONCRETO ARMADO PARA AGUAS PLUVIAIS, CLASSE PA-1, COM ENCAIXE PONTA E BOLSA, DIAMETRO NOMINAL DE 1100 MM</v>
      </c>
    </row>
    <row r="4575" spans="1:10" x14ac:dyDescent="0.25">
      <c r="A4575" s="169">
        <v>7757</v>
      </c>
      <c r="B4575" s="169" t="s">
        <v>28076</v>
      </c>
      <c r="C4575" s="169" t="s">
        <v>10229</v>
      </c>
      <c r="D4575" s="169" t="s">
        <v>1289</v>
      </c>
      <c r="E4575" s="103" t="s">
        <v>31445</v>
      </c>
      <c r="F4575" s="104"/>
      <c r="G4575" s="105">
        <f t="shared" si="284"/>
        <v>701.73</v>
      </c>
      <c r="H4575" s="101" t="str">
        <f t="shared" si="285"/>
        <v>Sinapi 7757</v>
      </c>
      <c r="I4575" s="101" t="str">
        <f t="shared" si="286"/>
        <v>M</v>
      </c>
      <c r="J4575" s="140" t="str">
        <f t="shared" si="287"/>
        <v>TUBO DE CONCRETO ARMADO PARA AGUAS PLUVIAIS, CLASSE PA-1, COM ENCAIXE PONTA E BOLSA, DIAMETRO NOMINAL DE 1200 MM</v>
      </c>
    </row>
    <row r="4576" spans="1:10" x14ac:dyDescent="0.25">
      <c r="A4576" s="169">
        <v>7758</v>
      </c>
      <c r="B4576" s="169" t="s">
        <v>28077</v>
      </c>
      <c r="C4576" s="169" t="s">
        <v>10229</v>
      </c>
      <c r="D4576" s="169" t="s">
        <v>1289</v>
      </c>
      <c r="E4576" s="103" t="s">
        <v>31446</v>
      </c>
      <c r="F4576" s="104"/>
      <c r="G4576" s="105">
        <f t="shared" si="284"/>
        <v>1016.65</v>
      </c>
      <c r="H4576" s="101" t="str">
        <f t="shared" si="285"/>
        <v>Sinapi 7758</v>
      </c>
      <c r="I4576" s="101" t="str">
        <f t="shared" si="286"/>
        <v>M</v>
      </c>
      <c r="J4576" s="140" t="str">
        <f t="shared" si="287"/>
        <v>TUBO DE CONCRETO ARMADO PARA AGUAS PLUVIAIS, CLASSE PA-1, COM ENCAIXE PONTA E BOLSA, DIAMETRO NOMINAL DE 1500 MM</v>
      </c>
    </row>
    <row r="4577" spans="1:10" x14ac:dyDescent="0.25">
      <c r="A4577" s="169">
        <v>7759</v>
      </c>
      <c r="B4577" s="169" t="s">
        <v>28078</v>
      </c>
      <c r="C4577" s="169" t="s">
        <v>10229</v>
      </c>
      <c r="D4577" s="169" t="s">
        <v>1289</v>
      </c>
      <c r="E4577" s="103" t="s">
        <v>31447</v>
      </c>
      <c r="F4577" s="104"/>
      <c r="G4577" s="105">
        <f t="shared" si="284"/>
        <v>2817.14</v>
      </c>
      <c r="H4577" s="101" t="str">
        <f t="shared" si="285"/>
        <v>Sinapi 7759</v>
      </c>
      <c r="I4577" s="101" t="str">
        <f t="shared" si="286"/>
        <v>M</v>
      </c>
      <c r="J4577" s="140" t="str">
        <f t="shared" si="287"/>
        <v>TUBO DE CONCRETO ARMADO PARA AGUAS PLUVIAIS, CLASSE PA-1, COM ENCAIXE PONTA E BOLSA, DIAMETRO NOMINAL DE 2000 MM</v>
      </c>
    </row>
    <row r="4578" spans="1:10" x14ac:dyDescent="0.25">
      <c r="A4578" s="169">
        <v>40334</v>
      </c>
      <c r="B4578" s="169" t="s">
        <v>28079</v>
      </c>
      <c r="C4578" s="169" t="s">
        <v>10229</v>
      </c>
      <c r="D4578" s="169" t="s">
        <v>1289</v>
      </c>
      <c r="E4578" s="103" t="s">
        <v>29453</v>
      </c>
      <c r="F4578" s="104"/>
      <c r="G4578" s="105">
        <f t="shared" si="284"/>
        <v>110.37</v>
      </c>
      <c r="H4578" s="101" t="str">
        <f t="shared" si="285"/>
        <v>Sinapi 40334</v>
      </c>
      <c r="I4578" s="101" t="str">
        <f t="shared" si="286"/>
        <v>M</v>
      </c>
      <c r="J4578" s="140" t="str">
        <f t="shared" si="287"/>
        <v>TUBO DE CONCRETO ARMADO PARA AGUAS PLUVIAIS, CLASSE PA-1, COM ENCAIXE PONTA E BOLSA, DIAMETRO NOMINAL DE 300 MM</v>
      </c>
    </row>
    <row r="4579" spans="1:10" x14ac:dyDescent="0.25">
      <c r="A4579" s="169">
        <v>7745</v>
      </c>
      <c r="B4579" s="169" t="s">
        <v>28080</v>
      </c>
      <c r="C4579" s="169" t="s">
        <v>10229</v>
      </c>
      <c r="D4579" s="169" t="s">
        <v>1289</v>
      </c>
      <c r="E4579" s="103" t="s">
        <v>31448</v>
      </c>
      <c r="F4579" s="104"/>
      <c r="G4579" s="105">
        <f t="shared" si="284"/>
        <v>124.55</v>
      </c>
      <c r="H4579" s="101" t="str">
        <f t="shared" si="285"/>
        <v>Sinapi 7745</v>
      </c>
      <c r="I4579" s="101" t="str">
        <f t="shared" si="286"/>
        <v>M</v>
      </c>
      <c r="J4579" s="140" t="str">
        <f t="shared" si="287"/>
        <v>TUBO DE CONCRETO ARMADO PARA AGUAS PLUVIAIS, CLASSE PA-1, COM ENCAIXE PONTA E BOLSA, DIAMETRO NOMINAL DE 400 MM</v>
      </c>
    </row>
    <row r="4580" spans="1:10" x14ac:dyDescent="0.25">
      <c r="A4580" s="169">
        <v>7714</v>
      </c>
      <c r="B4580" s="169" t="s">
        <v>28081</v>
      </c>
      <c r="C4580" s="169" t="s">
        <v>10229</v>
      </c>
      <c r="D4580" s="169" t="s">
        <v>1289</v>
      </c>
      <c r="E4580" s="103" t="s">
        <v>20075</v>
      </c>
      <c r="F4580" s="104"/>
      <c r="G4580" s="105">
        <f t="shared" si="284"/>
        <v>148.85</v>
      </c>
      <c r="H4580" s="101" t="str">
        <f t="shared" si="285"/>
        <v>Sinapi 7714</v>
      </c>
      <c r="I4580" s="101" t="str">
        <f t="shared" si="286"/>
        <v>M</v>
      </c>
      <c r="J4580" s="140" t="str">
        <f t="shared" si="287"/>
        <v>TUBO DE CONCRETO ARMADO PARA AGUAS PLUVIAIS, CLASSE PA-1, COM ENCAIXE PONTA E BOLSA, DIAMETRO NOMINAL DE 500 MM</v>
      </c>
    </row>
    <row r="4581" spans="1:10" x14ac:dyDescent="0.25">
      <c r="A4581" s="169">
        <v>7742</v>
      </c>
      <c r="B4581" s="169" t="s">
        <v>28082</v>
      </c>
      <c r="C4581" s="169" t="s">
        <v>10229</v>
      </c>
      <c r="D4581" s="169" t="s">
        <v>1289</v>
      </c>
      <c r="E4581" s="103" t="s">
        <v>31449</v>
      </c>
      <c r="F4581" s="104"/>
      <c r="G4581" s="105">
        <f t="shared" si="284"/>
        <v>328.48</v>
      </c>
      <c r="H4581" s="101" t="str">
        <f t="shared" si="285"/>
        <v>Sinapi 7742</v>
      </c>
      <c r="I4581" s="101" t="str">
        <f t="shared" si="286"/>
        <v>M</v>
      </c>
      <c r="J4581" s="140" t="str">
        <f t="shared" si="287"/>
        <v>TUBO DE CONCRETO ARMADO PARA AGUAS PLUVIAIS, CLASSE PA-1, COM ENCAIXE PONTA E BOLSA, DIAMETRO NOMINAL DE 700 MM</v>
      </c>
    </row>
    <row r="4582" spans="1:10" x14ac:dyDescent="0.25">
      <c r="A4582" s="169">
        <v>7750</v>
      </c>
      <c r="B4582" s="169" t="s">
        <v>28083</v>
      </c>
      <c r="C4582" s="169" t="s">
        <v>10229</v>
      </c>
      <c r="D4582" s="169" t="s">
        <v>1289</v>
      </c>
      <c r="E4582" s="103" t="s">
        <v>29350</v>
      </c>
      <c r="F4582" s="104"/>
      <c r="G4582" s="105">
        <f t="shared" si="284"/>
        <v>400.99</v>
      </c>
      <c r="H4582" s="101" t="str">
        <f t="shared" si="285"/>
        <v>Sinapi 7750</v>
      </c>
      <c r="I4582" s="101" t="str">
        <f t="shared" si="286"/>
        <v>M</v>
      </c>
      <c r="J4582" s="140" t="str">
        <f t="shared" si="287"/>
        <v>TUBO DE CONCRETO ARMADO PARA AGUAS PLUVIAIS, CLASSE PA-1, COM ENCAIXE PONTA E BOLSA, DIAMETRO NOMINAL DE 800 MM</v>
      </c>
    </row>
    <row r="4583" spans="1:10" x14ac:dyDescent="0.25">
      <c r="A4583" s="169">
        <v>7756</v>
      </c>
      <c r="B4583" s="169" t="s">
        <v>28084</v>
      </c>
      <c r="C4583" s="169" t="s">
        <v>10229</v>
      </c>
      <c r="D4583" s="169" t="s">
        <v>1289</v>
      </c>
      <c r="E4583" s="103" t="s">
        <v>31450</v>
      </c>
      <c r="F4583" s="104"/>
      <c r="G4583" s="105">
        <f t="shared" si="284"/>
        <v>460.73</v>
      </c>
      <c r="H4583" s="101" t="str">
        <f t="shared" si="285"/>
        <v>Sinapi 7756</v>
      </c>
      <c r="I4583" s="101" t="str">
        <f t="shared" si="286"/>
        <v>M</v>
      </c>
      <c r="J4583" s="140" t="str">
        <f t="shared" si="287"/>
        <v>TUBO DE CONCRETO ARMADO PARA AGUAS PLUVIAIS, CLASSE PA-1, COM ENCAIXE PONTA E BOLSA, DIAMETRO NOMINAL DE 900 MM</v>
      </c>
    </row>
    <row r="4584" spans="1:10" x14ac:dyDescent="0.25">
      <c r="A4584" s="169">
        <v>7765</v>
      </c>
      <c r="B4584" s="169" t="s">
        <v>28085</v>
      </c>
      <c r="C4584" s="169" t="s">
        <v>10229</v>
      </c>
      <c r="D4584" s="169" t="s">
        <v>1289</v>
      </c>
      <c r="E4584" s="103" t="s">
        <v>31451</v>
      </c>
      <c r="F4584" s="104"/>
      <c r="G4584" s="105">
        <f t="shared" si="284"/>
        <v>516.41999999999996</v>
      </c>
      <c r="H4584" s="101" t="str">
        <f t="shared" si="285"/>
        <v>Sinapi 7765</v>
      </c>
      <c r="I4584" s="101" t="str">
        <f t="shared" si="286"/>
        <v>M</v>
      </c>
      <c r="J4584" s="140" t="str">
        <f t="shared" si="287"/>
        <v>TUBO DE CONCRETO ARMADO PARA AGUAS PLUVIAIS, CLASSE PA-2, COM ENCAIXE PONTA E BOLSA, DIAMETRO NOMINAL DE 1000 MM</v>
      </c>
    </row>
    <row r="4585" spans="1:10" x14ac:dyDescent="0.25">
      <c r="A4585" s="169">
        <v>12569</v>
      </c>
      <c r="B4585" s="169" t="s">
        <v>28086</v>
      </c>
      <c r="C4585" s="169" t="s">
        <v>10229</v>
      </c>
      <c r="D4585" s="169" t="s">
        <v>1289</v>
      </c>
      <c r="E4585" s="103" t="s">
        <v>31452</v>
      </c>
      <c r="F4585" s="104"/>
      <c r="G4585" s="105">
        <f t="shared" si="284"/>
        <v>712.87</v>
      </c>
      <c r="H4585" s="101" t="str">
        <f t="shared" si="285"/>
        <v>Sinapi 12569</v>
      </c>
      <c r="I4585" s="101" t="str">
        <f t="shared" si="286"/>
        <v>M</v>
      </c>
      <c r="J4585" s="140" t="str">
        <f t="shared" si="287"/>
        <v>TUBO DE CONCRETO ARMADO PARA AGUAS PLUVIAIS, CLASSE PA-2, COM ENCAIXE PONTA E BOLSA, DIAMETRO NOMINAL DE 1100 MM</v>
      </c>
    </row>
    <row r="4586" spans="1:10" x14ac:dyDescent="0.25">
      <c r="A4586" s="169">
        <v>7766</v>
      </c>
      <c r="B4586" s="169" t="s">
        <v>28087</v>
      </c>
      <c r="C4586" s="169" t="s">
        <v>10229</v>
      </c>
      <c r="D4586" s="169" t="s">
        <v>1289</v>
      </c>
      <c r="E4586" s="103" t="s">
        <v>31453</v>
      </c>
      <c r="F4586" s="104"/>
      <c r="G4586" s="105">
        <f t="shared" si="284"/>
        <v>757.42</v>
      </c>
      <c r="H4586" s="101" t="str">
        <f t="shared" si="285"/>
        <v>Sinapi 7766</v>
      </c>
      <c r="I4586" s="101" t="str">
        <f t="shared" si="286"/>
        <v>M</v>
      </c>
      <c r="J4586" s="140" t="str">
        <f t="shared" si="287"/>
        <v>TUBO DE CONCRETO ARMADO PARA AGUAS PLUVIAIS, CLASSE PA-2, COM ENCAIXE PONTA E BOLSA, DIAMETRO NOMINAL DE 1200 MM</v>
      </c>
    </row>
    <row r="4587" spans="1:10" x14ac:dyDescent="0.25">
      <c r="A4587" s="169">
        <v>7767</v>
      </c>
      <c r="B4587" s="169" t="s">
        <v>28088</v>
      </c>
      <c r="C4587" s="169" t="s">
        <v>10229</v>
      </c>
      <c r="D4587" s="169" t="s">
        <v>1289</v>
      </c>
      <c r="E4587" s="103" t="s">
        <v>31454</v>
      </c>
      <c r="F4587" s="104"/>
      <c r="G4587" s="105">
        <f t="shared" si="284"/>
        <v>1087.53</v>
      </c>
      <c r="H4587" s="101" t="str">
        <f t="shared" si="285"/>
        <v>Sinapi 7767</v>
      </c>
      <c r="I4587" s="101" t="str">
        <f t="shared" si="286"/>
        <v>M</v>
      </c>
      <c r="J4587" s="140" t="str">
        <f t="shared" si="287"/>
        <v>TUBO DE CONCRETO ARMADO PARA AGUAS PLUVIAIS, CLASSE PA-2, COM ENCAIXE PONTA E BOLSA, DIAMETRO NOMINAL DE 1500 MM</v>
      </c>
    </row>
    <row r="4588" spans="1:10" x14ac:dyDescent="0.25">
      <c r="A4588" s="169">
        <v>7727</v>
      </c>
      <c r="B4588" s="169" t="s">
        <v>28089</v>
      </c>
      <c r="C4588" s="169" t="s">
        <v>10229</v>
      </c>
      <c r="D4588" s="169" t="s">
        <v>1289</v>
      </c>
      <c r="E4588" s="103" t="s">
        <v>31455</v>
      </c>
      <c r="F4588" s="104"/>
      <c r="G4588" s="105">
        <f t="shared" si="284"/>
        <v>3159.32</v>
      </c>
      <c r="H4588" s="101" t="str">
        <f t="shared" si="285"/>
        <v>Sinapi 7727</v>
      </c>
      <c r="I4588" s="101" t="str">
        <f t="shared" si="286"/>
        <v>M</v>
      </c>
      <c r="J4588" s="140" t="str">
        <f t="shared" si="287"/>
        <v>TUBO DE CONCRETO ARMADO PARA AGUAS PLUVIAIS, CLASSE PA-2, COM ENCAIXE PONTA E BOLSA, DIAMETRO NOMINAL DE 2000 MM</v>
      </c>
    </row>
    <row r="4589" spans="1:10" x14ac:dyDescent="0.25">
      <c r="A4589" s="169">
        <v>7760</v>
      </c>
      <c r="B4589" s="169" t="s">
        <v>28090</v>
      </c>
      <c r="C4589" s="169" t="s">
        <v>10229</v>
      </c>
      <c r="D4589" s="169" t="s">
        <v>1289</v>
      </c>
      <c r="E4589" s="103" t="s">
        <v>28986</v>
      </c>
      <c r="F4589" s="104"/>
      <c r="G4589" s="105">
        <f t="shared" si="284"/>
        <v>125.56</v>
      </c>
      <c r="H4589" s="101" t="str">
        <f t="shared" si="285"/>
        <v>Sinapi 7760</v>
      </c>
      <c r="I4589" s="101" t="str">
        <f t="shared" si="286"/>
        <v>M</v>
      </c>
      <c r="J4589" s="140" t="str">
        <f t="shared" si="287"/>
        <v>TUBO DE CONCRETO ARMADO PARA AGUAS PLUVIAIS, CLASSE PA-2, COM ENCAIXE PONTA E BOLSA, DIAMETRO NOMINAL DE 300 MM</v>
      </c>
    </row>
    <row r="4590" spans="1:10" x14ac:dyDescent="0.25">
      <c r="A4590" s="169">
        <v>7761</v>
      </c>
      <c r="B4590" s="169" t="s">
        <v>28091</v>
      </c>
      <c r="C4590" s="169" t="s">
        <v>10229</v>
      </c>
      <c r="D4590" s="169" t="s">
        <v>1289</v>
      </c>
      <c r="E4590" s="103" t="s">
        <v>31456</v>
      </c>
      <c r="F4590" s="104"/>
      <c r="G4590" s="105">
        <f t="shared" si="284"/>
        <v>131.63</v>
      </c>
      <c r="H4590" s="101" t="str">
        <f t="shared" si="285"/>
        <v>Sinapi 7761</v>
      </c>
      <c r="I4590" s="101" t="str">
        <f t="shared" si="286"/>
        <v>M</v>
      </c>
      <c r="J4590" s="140" t="str">
        <f t="shared" si="287"/>
        <v>TUBO DE CONCRETO ARMADO PARA AGUAS PLUVIAIS, CLASSE PA-2, COM ENCAIXE PONTA E BOLSA, DIAMETRO NOMINAL DE 400 MM</v>
      </c>
    </row>
    <row r="4591" spans="1:10" x14ac:dyDescent="0.25">
      <c r="A4591" s="169">
        <v>7752</v>
      </c>
      <c r="B4591" s="169" t="s">
        <v>28092</v>
      </c>
      <c r="C4591" s="169" t="s">
        <v>10229</v>
      </c>
      <c r="D4591" s="169" t="s">
        <v>1289</v>
      </c>
      <c r="E4591" s="103" t="s">
        <v>31191</v>
      </c>
      <c r="F4591" s="104"/>
      <c r="G4591" s="105">
        <f t="shared" si="284"/>
        <v>159.99</v>
      </c>
      <c r="H4591" s="101" t="str">
        <f t="shared" si="285"/>
        <v>Sinapi 7752</v>
      </c>
      <c r="I4591" s="101" t="str">
        <f t="shared" si="286"/>
        <v>M</v>
      </c>
      <c r="J4591" s="140" t="str">
        <f t="shared" si="287"/>
        <v>TUBO DE CONCRETO ARMADO PARA AGUAS PLUVIAIS, CLASSE PA-2, COM ENCAIXE PONTA E BOLSA, DIAMETRO NOMINAL DE 500 MM</v>
      </c>
    </row>
    <row r="4592" spans="1:10" x14ac:dyDescent="0.25">
      <c r="A4592" s="169">
        <v>7762</v>
      </c>
      <c r="B4592" s="169" t="s">
        <v>28093</v>
      </c>
      <c r="C4592" s="169" t="s">
        <v>10229</v>
      </c>
      <c r="D4592" s="169" t="s">
        <v>1289</v>
      </c>
      <c r="E4592" s="103" t="s">
        <v>31457</v>
      </c>
      <c r="F4592" s="104"/>
      <c r="G4592" s="105">
        <f t="shared" si="284"/>
        <v>209.1</v>
      </c>
      <c r="H4592" s="101" t="str">
        <f t="shared" si="285"/>
        <v>Sinapi 7762</v>
      </c>
      <c r="I4592" s="101" t="str">
        <f t="shared" si="286"/>
        <v>M</v>
      </c>
      <c r="J4592" s="140" t="str">
        <f t="shared" si="287"/>
        <v>TUBO DE CONCRETO ARMADO PARA AGUAS PLUVIAIS, CLASSE PA-2, COM ENCAIXE PONTA E BOLSA, DIAMETRO NOMINAL DE 600 MM</v>
      </c>
    </row>
    <row r="4593" spans="1:10" x14ac:dyDescent="0.25">
      <c r="A4593" s="169">
        <v>7722</v>
      </c>
      <c r="B4593" s="169" t="s">
        <v>28094</v>
      </c>
      <c r="C4593" s="169" t="s">
        <v>10229</v>
      </c>
      <c r="D4593" s="169" t="s">
        <v>1289</v>
      </c>
      <c r="E4593" s="103" t="s">
        <v>31458</v>
      </c>
      <c r="F4593" s="104"/>
      <c r="G4593" s="105">
        <f t="shared" si="284"/>
        <v>319.98</v>
      </c>
      <c r="H4593" s="101" t="str">
        <f t="shared" si="285"/>
        <v>Sinapi 7722</v>
      </c>
      <c r="I4593" s="101" t="str">
        <f t="shared" si="286"/>
        <v>M</v>
      </c>
      <c r="J4593" s="140" t="str">
        <f t="shared" si="287"/>
        <v>TUBO DE CONCRETO ARMADO PARA AGUAS PLUVIAIS, CLASSE PA-2, COM ENCAIXE PONTA E BOLSA, DIAMETRO NOMINAL DE 700 MM</v>
      </c>
    </row>
    <row r="4594" spans="1:10" x14ac:dyDescent="0.25">
      <c r="A4594" s="169">
        <v>7763</v>
      </c>
      <c r="B4594" s="169" t="s">
        <v>28095</v>
      </c>
      <c r="C4594" s="169" t="s">
        <v>10229</v>
      </c>
      <c r="D4594" s="169" t="s">
        <v>1289</v>
      </c>
      <c r="E4594" s="103" t="s">
        <v>29907</v>
      </c>
      <c r="F4594" s="104"/>
      <c r="G4594" s="105">
        <f t="shared" si="284"/>
        <v>389.85</v>
      </c>
      <c r="H4594" s="101" t="str">
        <f t="shared" si="285"/>
        <v>Sinapi 7763</v>
      </c>
      <c r="I4594" s="101" t="str">
        <f t="shared" si="286"/>
        <v>M</v>
      </c>
      <c r="J4594" s="140" t="str">
        <f t="shared" si="287"/>
        <v>TUBO DE CONCRETO ARMADO PARA AGUAS PLUVIAIS, CLASSE PA-2, COM ENCAIXE PONTA E BOLSA, DIAMETRO NOMINAL DE 800 MM</v>
      </c>
    </row>
    <row r="4595" spans="1:10" x14ac:dyDescent="0.25">
      <c r="A4595" s="169">
        <v>7764</v>
      </c>
      <c r="B4595" s="169" t="s">
        <v>28096</v>
      </c>
      <c r="C4595" s="169" t="s">
        <v>10229</v>
      </c>
      <c r="D4595" s="169" t="s">
        <v>1289</v>
      </c>
      <c r="E4595" s="103" t="s">
        <v>31459</v>
      </c>
      <c r="F4595" s="104"/>
      <c r="G4595" s="105">
        <f t="shared" si="284"/>
        <v>465.79</v>
      </c>
      <c r="H4595" s="101" t="str">
        <f t="shared" si="285"/>
        <v>Sinapi 7764</v>
      </c>
      <c r="I4595" s="101" t="str">
        <f t="shared" si="286"/>
        <v>M</v>
      </c>
      <c r="J4595" s="140" t="str">
        <f t="shared" si="287"/>
        <v>TUBO DE CONCRETO ARMADO PARA AGUAS PLUVIAIS, CLASSE PA-2, COM ENCAIXE PONTA E BOLSA, DIAMETRO NOMINAL DE 900 MM</v>
      </c>
    </row>
    <row r="4596" spans="1:10" x14ac:dyDescent="0.25">
      <c r="A4596" s="169">
        <v>12572</v>
      </c>
      <c r="B4596" s="169" t="s">
        <v>28097</v>
      </c>
      <c r="C4596" s="169" t="s">
        <v>10229</v>
      </c>
      <c r="D4596" s="169" t="s">
        <v>1289</v>
      </c>
      <c r="E4596" s="103" t="s">
        <v>31444</v>
      </c>
      <c r="F4596" s="104"/>
      <c r="G4596" s="105">
        <f t="shared" si="284"/>
        <v>658.19</v>
      </c>
      <c r="H4596" s="101" t="str">
        <f t="shared" si="285"/>
        <v>Sinapi 12572</v>
      </c>
      <c r="I4596" s="101" t="str">
        <f t="shared" si="286"/>
        <v>M</v>
      </c>
      <c r="J4596" s="140" t="str">
        <f t="shared" si="287"/>
        <v>TUBO DE CONCRETO ARMADO PARA AGUAS PLUVIAIS, CLASSE PA-3, COM ENCAIXE PONTA E BOLSA, DIAMETRO NOMINAL DE 1000 MM</v>
      </c>
    </row>
    <row r="4597" spans="1:10" x14ac:dyDescent="0.25">
      <c r="A4597" s="169">
        <v>12573</v>
      </c>
      <c r="B4597" s="169" t="s">
        <v>28098</v>
      </c>
      <c r="C4597" s="169" t="s">
        <v>10229</v>
      </c>
      <c r="D4597" s="169" t="s">
        <v>1289</v>
      </c>
      <c r="E4597" s="103" t="s">
        <v>31460</v>
      </c>
      <c r="F4597" s="104"/>
      <c r="G4597" s="105">
        <f t="shared" si="284"/>
        <v>865.77</v>
      </c>
      <c r="H4597" s="101" t="str">
        <f t="shared" si="285"/>
        <v>Sinapi 12573</v>
      </c>
      <c r="I4597" s="101" t="str">
        <f t="shared" si="286"/>
        <v>M</v>
      </c>
      <c r="J4597" s="140" t="str">
        <f t="shared" si="287"/>
        <v>TUBO DE CONCRETO ARMADO PARA AGUAS PLUVIAIS, CLASSE PA-3, COM ENCAIXE PONTA E BOLSA, DIAMETRO NOMINAL DE 1100 MM</v>
      </c>
    </row>
    <row r="4598" spans="1:10" x14ac:dyDescent="0.25">
      <c r="A4598" s="169">
        <v>12574</v>
      </c>
      <c r="B4598" s="169" t="s">
        <v>28099</v>
      </c>
      <c r="C4598" s="169" t="s">
        <v>10229</v>
      </c>
      <c r="D4598" s="169" t="s">
        <v>1289</v>
      </c>
      <c r="E4598" s="103" t="s">
        <v>31461</v>
      </c>
      <c r="F4598" s="104"/>
      <c r="G4598" s="105">
        <f t="shared" si="284"/>
        <v>1046.83</v>
      </c>
      <c r="H4598" s="101" t="str">
        <f t="shared" si="285"/>
        <v>Sinapi 12574</v>
      </c>
      <c r="I4598" s="101" t="str">
        <f t="shared" si="286"/>
        <v>M</v>
      </c>
      <c r="J4598" s="140" t="str">
        <f t="shared" si="287"/>
        <v>TUBO DE CONCRETO ARMADO PARA AGUAS PLUVIAIS, CLASSE PA-3, COM ENCAIXE PONTA E BOLSA, DIAMETRO NOMINAL DE 1200 MM</v>
      </c>
    </row>
    <row r="4599" spans="1:10" x14ac:dyDescent="0.25">
      <c r="A4599" s="169">
        <v>12575</v>
      </c>
      <c r="B4599" s="169" t="s">
        <v>28100</v>
      </c>
      <c r="C4599" s="169" t="s">
        <v>10229</v>
      </c>
      <c r="D4599" s="169" t="s">
        <v>1289</v>
      </c>
      <c r="E4599" s="103" t="s">
        <v>31462</v>
      </c>
      <c r="F4599" s="104"/>
      <c r="G4599" s="105">
        <f t="shared" si="284"/>
        <v>1589.78</v>
      </c>
      <c r="H4599" s="101" t="str">
        <f t="shared" si="285"/>
        <v>Sinapi 12575</v>
      </c>
      <c r="I4599" s="101" t="str">
        <f t="shared" si="286"/>
        <v>M</v>
      </c>
      <c r="J4599" s="140" t="str">
        <f t="shared" si="287"/>
        <v>TUBO DE CONCRETO ARMADO PARA AGUAS PLUVIAIS, CLASSE PA-3, COM ENCAIXE PONTA E BOLSA, DIAMETRO NOMINAL DE 1500 MM</v>
      </c>
    </row>
    <row r="4600" spans="1:10" x14ac:dyDescent="0.25">
      <c r="A4600" s="169">
        <v>12576</v>
      </c>
      <c r="B4600" s="169" t="s">
        <v>28101</v>
      </c>
      <c r="C4600" s="169" t="s">
        <v>10229</v>
      </c>
      <c r="D4600" s="169" t="s">
        <v>1289</v>
      </c>
      <c r="E4600" s="103" t="s">
        <v>31463</v>
      </c>
      <c r="F4600" s="104"/>
      <c r="G4600" s="105">
        <f t="shared" si="284"/>
        <v>192.39</v>
      </c>
      <c r="H4600" s="101" t="str">
        <f t="shared" si="285"/>
        <v>Sinapi 12576</v>
      </c>
      <c r="I4600" s="101" t="str">
        <f t="shared" si="286"/>
        <v>M</v>
      </c>
      <c r="J4600" s="140" t="str">
        <f t="shared" si="287"/>
        <v>TUBO DE CONCRETO ARMADO PARA AGUAS PLUVIAIS, CLASSE PA-3, COM ENCAIXE PONTA E BOLSA, DIAMETRO NOMINAL DE 400 MM</v>
      </c>
    </row>
    <row r="4601" spans="1:10" x14ac:dyDescent="0.25">
      <c r="A4601" s="169">
        <v>12577</v>
      </c>
      <c r="B4601" s="169" t="s">
        <v>28103</v>
      </c>
      <c r="C4601" s="169" t="s">
        <v>10229</v>
      </c>
      <c r="D4601" s="169" t="s">
        <v>1289</v>
      </c>
      <c r="E4601" s="103" t="s">
        <v>31464</v>
      </c>
      <c r="F4601" s="104"/>
      <c r="G4601" s="105">
        <f t="shared" si="284"/>
        <v>259.22000000000003</v>
      </c>
      <c r="H4601" s="101" t="str">
        <f t="shared" si="285"/>
        <v>Sinapi 12577</v>
      </c>
      <c r="I4601" s="101" t="str">
        <f t="shared" si="286"/>
        <v>M</v>
      </c>
      <c r="J4601" s="140" t="str">
        <f t="shared" si="287"/>
        <v>TUBO DE CONCRETO ARMADO PARA AGUAS PLUVIAIS, CLASSE PA-3, COM ENCAIXE PONTA E BOLSA, DIAMETRO NOMINAL DE 500 MM</v>
      </c>
    </row>
    <row r="4602" spans="1:10" x14ac:dyDescent="0.25">
      <c r="A4602" s="169">
        <v>12578</v>
      </c>
      <c r="B4602" s="169" t="s">
        <v>28104</v>
      </c>
      <c r="C4602" s="169" t="s">
        <v>10229</v>
      </c>
      <c r="D4602" s="169" t="s">
        <v>1289</v>
      </c>
      <c r="E4602" s="103" t="s">
        <v>31465</v>
      </c>
      <c r="F4602" s="104"/>
      <c r="G4602" s="105">
        <f t="shared" si="284"/>
        <v>313.89999999999998</v>
      </c>
      <c r="H4602" s="101" t="str">
        <f t="shared" si="285"/>
        <v>Sinapi 12578</v>
      </c>
      <c r="I4602" s="101" t="str">
        <f t="shared" si="286"/>
        <v>M</v>
      </c>
      <c r="J4602" s="140" t="str">
        <f t="shared" si="287"/>
        <v>TUBO DE CONCRETO ARMADO PARA AGUAS PLUVIAIS, CLASSE PA-3, COM ENCAIXE PONTA E BOLSA, DIAMETRO NOMINAL DE 600 MM</v>
      </c>
    </row>
    <row r="4603" spans="1:10" x14ac:dyDescent="0.25">
      <c r="A4603" s="169">
        <v>12579</v>
      </c>
      <c r="B4603" s="169" t="s">
        <v>28105</v>
      </c>
      <c r="C4603" s="169" t="s">
        <v>10229</v>
      </c>
      <c r="D4603" s="169" t="s">
        <v>1289</v>
      </c>
      <c r="E4603" s="103" t="s">
        <v>31466</v>
      </c>
      <c r="F4603" s="104"/>
      <c r="G4603" s="105">
        <f t="shared" si="284"/>
        <v>540.73</v>
      </c>
      <c r="H4603" s="101" t="str">
        <f t="shared" si="285"/>
        <v>Sinapi 12579</v>
      </c>
      <c r="I4603" s="101" t="str">
        <f t="shared" si="286"/>
        <v>M</v>
      </c>
      <c r="J4603" s="140" t="str">
        <f t="shared" si="287"/>
        <v>TUBO DE CONCRETO ARMADO PARA AGUAS PLUVIAIS, CLASSE PA-3, COM ENCAIXE PONTA E BOLSA, DIAMETRO NOMINAL DE 700 MM</v>
      </c>
    </row>
    <row r="4604" spans="1:10" x14ac:dyDescent="0.25">
      <c r="A4604" s="169">
        <v>12580</v>
      </c>
      <c r="B4604" s="169" t="s">
        <v>28106</v>
      </c>
      <c r="C4604" s="169" t="s">
        <v>10229</v>
      </c>
      <c r="D4604" s="169" t="s">
        <v>1289</v>
      </c>
      <c r="E4604" s="103" t="s">
        <v>31467</v>
      </c>
      <c r="F4604" s="104"/>
      <c r="G4604" s="105">
        <f t="shared" si="284"/>
        <v>563.41</v>
      </c>
      <c r="H4604" s="101" t="str">
        <f t="shared" si="285"/>
        <v>Sinapi 12580</v>
      </c>
      <c r="I4604" s="101" t="str">
        <f t="shared" si="286"/>
        <v>M</v>
      </c>
      <c r="J4604" s="140" t="str">
        <f t="shared" si="287"/>
        <v>TUBO DE CONCRETO ARMADO PARA AGUAS PLUVIAIS, CLASSE PA-3, COM ENCAIXE PONTA E BOLSA, DIAMETRO NOMINAL DE 800 MM</v>
      </c>
    </row>
    <row r="4605" spans="1:10" x14ac:dyDescent="0.25">
      <c r="A4605" s="169">
        <v>12581</v>
      </c>
      <c r="B4605" s="169" t="s">
        <v>28107</v>
      </c>
      <c r="C4605" s="169" t="s">
        <v>10229</v>
      </c>
      <c r="D4605" s="169" t="s">
        <v>1289</v>
      </c>
      <c r="E4605" s="103" t="s">
        <v>31468</v>
      </c>
      <c r="F4605" s="104"/>
      <c r="G4605" s="105">
        <f t="shared" si="284"/>
        <v>603.51</v>
      </c>
      <c r="H4605" s="101" t="str">
        <f t="shared" si="285"/>
        <v>Sinapi 12581</v>
      </c>
      <c r="I4605" s="101" t="str">
        <f t="shared" si="286"/>
        <v>M</v>
      </c>
      <c r="J4605" s="140" t="str">
        <f t="shared" si="287"/>
        <v>TUBO DE CONCRETO ARMADO PARA AGUAS PLUVIAIS, CLASSE PA-3, COM ENCAIXE PONTA E BOLSA, DIAMETRO NOMINAL DE 900 MM</v>
      </c>
    </row>
    <row r="4606" spans="1:10" x14ac:dyDescent="0.25">
      <c r="A4606" s="169">
        <v>7720</v>
      </c>
      <c r="B4606" s="169" t="s">
        <v>28108</v>
      </c>
      <c r="C4606" s="169" t="s">
        <v>10229</v>
      </c>
      <c r="D4606" s="169" t="s">
        <v>1289</v>
      </c>
      <c r="E4606" s="103" t="s">
        <v>31469</v>
      </c>
      <c r="F4606" s="104"/>
      <c r="G4606" s="105">
        <f t="shared" si="284"/>
        <v>943.74</v>
      </c>
      <c r="H4606" s="101" t="str">
        <f t="shared" si="285"/>
        <v>Sinapi 7720</v>
      </c>
      <c r="I4606" s="101" t="str">
        <f t="shared" si="286"/>
        <v>M</v>
      </c>
      <c r="J4606" s="140" t="str">
        <f t="shared" si="287"/>
        <v>TUBO DE CONCRETO ARMADO PARA ESGOTO SANITARIO, CLASSE EA-2, COM ENCAIXE PONTA E BOLSA, COM JUNTA ELASTICA, DIAMETRO NOMINAL DE 1000 MM</v>
      </c>
    </row>
    <row r="4607" spans="1:10" x14ac:dyDescent="0.25">
      <c r="A4607" s="169">
        <v>40335</v>
      </c>
      <c r="B4607" s="169" t="s">
        <v>28109</v>
      </c>
      <c r="C4607" s="169" t="s">
        <v>10229</v>
      </c>
      <c r="D4607" s="169" t="s">
        <v>1289</v>
      </c>
      <c r="E4607" s="103" t="s">
        <v>31470</v>
      </c>
      <c r="F4607" s="104"/>
      <c r="G4607" s="105">
        <f t="shared" si="284"/>
        <v>197.45</v>
      </c>
      <c r="H4607" s="101" t="str">
        <f t="shared" si="285"/>
        <v>Sinapi 40335</v>
      </c>
      <c r="I4607" s="101" t="str">
        <f t="shared" si="286"/>
        <v>M</v>
      </c>
      <c r="J4607" s="140" t="str">
        <f t="shared" si="287"/>
        <v>TUBO DE CONCRETO ARMADO PARA ESGOTO SANITARIO, CLASSE EA-2, COM ENCAIXE PONTA E BOLSA, COM JUNTA ELASTICA, DIAMETRO NOMINAL DE 300 MM</v>
      </c>
    </row>
    <row r="4608" spans="1:10" x14ac:dyDescent="0.25">
      <c r="A4608" s="169">
        <v>7740</v>
      </c>
      <c r="B4608" s="169" t="s">
        <v>28110</v>
      </c>
      <c r="C4608" s="169" t="s">
        <v>10229</v>
      </c>
      <c r="D4608" s="169" t="s">
        <v>1289</v>
      </c>
      <c r="E4608" s="103" t="s">
        <v>31471</v>
      </c>
      <c r="F4608" s="104"/>
      <c r="G4608" s="105">
        <f t="shared" si="284"/>
        <v>202.52</v>
      </c>
      <c r="H4608" s="101" t="str">
        <f t="shared" si="285"/>
        <v>Sinapi 7740</v>
      </c>
      <c r="I4608" s="101" t="str">
        <f t="shared" si="286"/>
        <v>M</v>
      </c>
      <c r="J4608" s="140" t="str">
        <f t="shared" si="287"/>
        <v>TUBO DE CONCRETO ARMADO PARA ESGOTO SANITARIO, CLASSE EA-2, COM ENCAIXE PONTA E BOLSA, COM JUNTA ELASTICA, DIAMETRO NOMINAL DE 400 MM</v>
      </c>
    </row>
    <row r="4609" spans="1:10" x14ac:dyDescent="0.25">
      <c r="A4609" s="169">
        <v>7741</v>
      </c>
      <c r="B4609" s="169" t="s">
        <v>28111</v>
      </c>
      <c r="C4609" s="169" t="s">
        <v>10229</v>
      </c>
      <c r="D4609" s="169" t="s">
        <v>1289</v>
      </c>
      <c r="E4609" s="103" t="s">
        <v>31472</v>
      </c>
      <c r="F4609" s="104"/>
      <c r="G4609" s="105">
        <f t="shared" si="284"/>
        <v>374.66</v>
      </c>
      <c r="H4609" s="101" t="str">
        <f t="shared" si="285"/>
        <v>Sinapi 7741</v>
      </c>
      <c r="I4609" s="101" t="str">
        <f t="shared" si="286"/>
        <v>M</v>
      </c>
      <c r="J4609" s="140" t="str">
        <f t="shared" si="287"/>
        <v>TUBO DE CONCRETO ARMADO PARA ESGOTO SANITARIO, CLASSE EA-2, COM ENCAIXE PONTA E BOLSA, COM JUNTA ELASTICA, DIAMETRO NOMINAL DE 500 MM</v>
      </c>
    </row>
    <row r="4610" spans="1:10" x14ac:dyDescent="0.25">
      <c r="A4610" s="169">
        <v>7774</v>
      </c>
      <c r="B4610" s="169" t="s">
        <v>28112</v>
      </c>
      <c r="C4610" s="169" t="s">
        <v>10229</v>
      </c>
      <c r="D4610" s="169" t="s">
        <v>1289</v>
      </c>
      <c r="E4610" s="103" t="s">
        <v>29330</v>
      </c>
      <c r="F4610" s="104"/>
      <c r="G4610" s="105">
        <f t="shared" si="284"/>
        <v>459.72</v>
      </c>
      <c r="H4610" s="101" t="str">
        <f t="shared" si="285"/>
        <v>Sinapi 7774</v>
      </c>
      <c r="I4610" s="101" t="str">
        <f t="shared" si="286"/>
        <v>M</v>
      </c>
      <c r="J4610" s="140" t="str">
        <f t="shared" si="287"/>
        <v>TUBO DE CONCRETO ARMADO PARA ESGOTO SANITARIO, CLASSE EA-2, COM ENCAIXE PONTA E BOLSA, COM JUNTA ELASTICA, DIAMETRO NOMINAL DE 600 MM</v>
      </c>
    </row>
    <row r="4611" spans="1:10" x14ac:dyDescent="0.25">
      <c r="A4611" s="169">
        <v>7744</v>
      </c>
      <c r="B4611" s="169" t="s">
        <v>28113</v>
      </c>
      <c r="C4611" s="169" t="s">
        <v>10229</v>
      </c>
      <c r="D4611" s="169" t="s">
        <v>1289</v>
      </c>
      <c r="E4611" s="103" t="s">
        <v>31473</v>
      </c>
      <c r="F4611" s="104"/>
      <c r="G4611" s="105">
        <f t="shared" si="284"/>
        <v>600.47</v>
      </c>
      <c r="H4611" s="101" t="str">
        <f t="shared" si="285"/>
        <v>Sinapi 7744</v>
      </c>
      <c r="I4611" s="101" t="str">
        <f t="shared" si="286"/>
        <v>M</v>
      </c>
      <c r="J4611" s="140" t="str">
        <f t="shared" si="287"/>
        <v>TUBO DE CONCRETO ARMADO PARA ESGOTO SANITARIO, CLASSE EA-2, COM ENCAIXE PONTA E BOLSA, COM JUNTA ELASTICA, DIAMETRO NOMINAL DE 700 MM</v>
      </c>
    </row>
    <row r="4612" spans="1:10" x14ac:dyDescent="0.25">
      <c r="A4612" s="169">
        <v>7773</v>
      </c>
      <c r="B4612" s="169" t="s">
        <v>28114</v>
      </c>
      <c r="C4612" s="169" t="s">
        <v>10229</v>
      </c>
      <c r="D4612" s="169" t="s">
        <v>1289</v>
      </c>
      <c r="E4612" s="103" t="s">
        <v>31474</v>
      </c>
      <c r="F4612" s="104"/>
      <c r="G4612" s="105">
        <f t="shared" si="284"/>
        <v>613.73</v>
      </c>
      <c r="H4612" s="101" t="str">
        <f t="shared" si="285"/>
        <v>Sinapi 7773</v>
      </c>
      <c r="I4612" s="101" t="str">
        <f t="shared" si="286"/>
        <v>M</v>
      </c>
      <c r="J4612" s="140" t="str">
        <f t="shared" si="287"/>
        <v>TUBO DE CONCRETO ARMADO PARA ESGOTO SANITARIO, CLASSE EA-2, COM ENCAIXE PONTA E BOLSA, COM JUNTA ELASTICA, DIAMETRO NOMINAL DE 800 MM</v>
      </c>
    </row>
    <row r="4613" spans="1:10" x14ac:dyDescent="0.25">
      <c r="A4613" s="169">
        <v>7754</v>
      </c>
      <c r="B4613" s="169" t="s">
        <v>28115</v>
      </c>
      <c r="C4613" s="169" t="s">
        <v>10229</v>
      </c>
      <c r="D4613" s="169" t="s">
        <v>1289</v>
      </c>
      <c r="E4613" s="103" t="s">
        <v>31475</v>
      </c>
      <c r="F4613" s="104"/>
      <c r="G4613" s="105">
        <f t="shared" si="284"/>
        <v>930.58</v>
      </c>
      <c r="H4613" s="101" t="str">
        <f t="shared" si="285"/>
        <v>Sinapi 7754</v>
      </c>
      <c r="I4613" s="101" t="str">
        <f t="shared" si="286"/>
        <v>M</v>
      </c>
      <c r="J4613" s="140" t="str">
        <f t="shared" si="287"/>
        <v>TUBO DE CONCRETO ARMADO PARA ESGOTO SANITARIO, CLASSE EA-2, COM ENCAIXE PONTA E BOLSA, COM JUNTA ELASTICA, DIAMETRO NOMINAL DE 900 MM</v>
      </c>
    </row>
    <row r="4614" spans="1:10" x14ac:dyDescent="0.25">
      <c r="A4614" s="169">
        <v>7735</v>
      </c>
      <c r="B4614" s="169" t="s">
        <v>28116</v>
      </c>
      <c r="C4614" s="169" t="s">
        <v>10229</v>
      </c>
      <c r="D4614" s="169" t="s">
        <v>1289</v>
      </c>
      <c r="E4614" s="103" t="s">
        <v>31476</v>
      </c>
      <c r="F4614" s="104"/>
      <c r="G4614" s="105">
        <f t="shared" si="284"/>
        <v>1205</v>
      </c>
      <c r="H4614" s="101" t="str">
        <f t="shared" si="285"/>
        <v>Sinapi 7735</v>
      </c>
      <c r="I4614" s="101" t="str">
        <f t="shared" si="286"/>
        <v>M</v>
      </c>
      <c r="J4614" s="140" t="str">
        <f t="shared" si="287"/>
        <v>TUBO DE CONCRETO ARMADO PARA ESGOTO SANITARIO, CLASSE EA-3, COM ENCAIXE PONTA E BOLSA, COM JUNTA ELASTICA, DIAMETRO NOMINAL DE 1000 MM</v>
      </c>
    </row>
    <row r="4615" spans="1:10" x14ac:dyDescent="0.25">
      <c r="A4615" s="169">
        <v>7755</v>
      </c>
      <c r="B4615" s="169" t="s">
        <v>28117</v>
      </c>
      <c r="C4615" s="169" t="s">
        <v>10229</v>
      </c>
      <c r="D4615" s="169" t="s">
        <v>1289</v>
      </c>
      <c r="E4615" s="103" t="s">
        <v>31477</v>
      </c>
      <c r="F4615" s="104"/>
      <c r="G4615" s="105">
        <f t="shared" si="284"/>
        <v>238.97</v>
      </c>
      <c r="H4615" s="101" t="str">
        <f t="shared" si="285"/>
        <v>Sinapi 7755</v>
      </c>
      <c r="I4615" s="101" t="str">
        <f t="shared" si="286"/>
        <v>M</v>
      </c>
      <c r="J4615" s="140" t="str">
        <f t="shared" si="287"/>
        <v>TUBO DE CONCRETO ARMADO PARA ESGOTO SANITARIO, CLASSE EA-3, COM ENCAIXE PONTA E BOLSA, COM JUNTA ELASTICA, DIAMETRO NOMINAL DE 400 MM</v>
      </c>
    </row>
    <row r="4616" spans="1:10" x14ac:dyDescent="0.25">
      <c r="A4616" s="169">
        <v>7776</v>
      </c>
      <c r="B4616" s="169" t="s">
        <v>28118</v>
      </c>
      <c r="C4616" s="169" t="s">
        <v>10229</v>
      </c>
      <c r="D4616" s="169" t="s">
        <v>1289</v>
      </c>
      <c r="E4616" s="103" t="s">
        <v>31478</v>
      </c>
      <c r="F4616" s="104"/>
      <c r="G4616" s="105">
        <f t="shared" ref="G4616:G4679" si="288">IF(E4616="","",E4616+0)</f>
        <v>498.2</v>
      </c>
      <c r="H4616" s="101" t="str">
        <f t="shared" ref="H4616:H4679" si="289">IF(G4616="","",TRIM(CONCATENATE("Sinapi ",A4616)))</f>
        <v>Sinapi 7776</v>
      </c>
      <c r="I4616" s="101" t="str">
        <f t="shared" ref="I4616:I4679" si="290">TRIM(C4616)</f>
        <v>M</v>
      </c>
      <c r="J4616" s="140" t="str">
        <f t="shared" si="287"/>
        <v>TUBO DE CONCRETO ARMADO PARA ESGOTO SANITARIO, CLASSE EA-3, COM ENCAIXE PONTA E BOLSA, COM JUNTA ELASTICA, DIAMETRO NOMINAL DE 500 MM</v>
      </c>
    </row>
    <row r="4617" spans="1:10" x14ac:dyDescent="0.25">
      <c r="A4617" s="169">
        <v>7743</v>
      </c>
      <c r="B4617" s="169" t="s">
        <v>28119</v>
      </c>
      <c r="C4617" s="169" t="s">
        <v>10229</v>
      </c>
      <c r="D4617" s="169" t="s">
        <v>1289</v>
      </c>
      <c r="E4617" s="103" t="s">
        <v>31479</v>
      </c>
      <c r="F4617" s="104"/>
      <c r="G4617" s="105">
        <f t="shared" si="288"/>
        <v>527.55999999999995</v>
      </c>
      <c r="H4617" s="101" t="str">
        <f t="shared" si="289"/>
        <v>Sinapi 7743</v>
      </c>
      <c r="I4617" s="101" t="str">
        <f t="shared" si="290"/>
        <v>M</v>
      </c>
      <c r="J4617" s="140" t="str">
        <f t="shared" ref="J4617:J4680" si="291">TRIM(B4617)</f>
        <v>TUBO DE CONCRETO ARMADO PARA ESGOTO SANITARIO, CLASSE EA-3, COM ENCAIXE PONTA E BOLSA, COM JUNTA ELASTICA, DIAMETRO NOMINAL DE 600 MM</v>
      </c>
    </row>
    <row r="4618" spans="1:10" x14ac:dyDescent="0.25">
      <c r="A4618" s="169">
        <v>7733</v>
      </c>
      <c r="B4618" s="169" t="s">
        <v>28120</v>
      </c>
      <c r="C4618" s="169" t="s">
        <v>10229</v>
      </c>
      <c r="D4618" s="169" t="s">
        <v>1289</v>
      </c>
      <c r="E4618" s="103" t="s">
        <v>31480</v>
      </c>
      <c r="F4618" s="104"/>
      <c r="G4618" s="105">
        <f t="shared" si="288"/>
        <v>688.57</v>
      </c>
      <c r="H4618" s="101" t="str">
        <f t="shared" si="289"/>
        <v>Sinapi 7733</v>
      </c>
      <c r="I4618" s="101" t="str">
        <f t="shared" si="290"/>
        <v>M</v>
      </c>
      <c r="J4618" s="140" t="str">
        <f t="shared" si="291"/>
        <v>TUBO DE CONCRETO ARMADO PARA ESGOTO SANITARIO, CLASSE EA-3, COM ENCAIXE PONTA E BOLSA, COM JUNTA ELASTICA, DIAMETRO NOMINAL DE 700 MM</v>
      </c>
    </row>
    <row r="4619" spans="1:10" x14ac:dyDescent="0.25">
      <c r="A4619" s="169">
        <v>7775</v>
      </c>
      <c r="B4619" s="169" t="s">
        <v>28121</v>
      </c>
      <c r="C4619" s="169" t="s">
        <v>10229</v>
      </c>
      <c r="D4619" s="169" t="s">
        <v>1289</v>
      </c>
      <c r="E4619" s="103" t="s">
        <v>31481</v>
      </c>
      <c r="F4619" s="104"/>
      <c r="G4619" s="105">
        <f t="shared" si="288"/>
        <v>754.39</v>
      </c>
      <c r="H4619" s="101" t="str">
        <f t="shared" si="289"/>
        <v>Sinapi 7775</v>
      </c>
      <c r="I4619" s="101" t="str">
        <f t="shared" si="290"/>
        <v>M</v>
      </c>
      <c r="J4619" s="140" t="str">
        <f t="shared" si="291"/>
        <v>TUBO DE CONCRETO ARMADO PARA ESGOTO SANITARIO, CLASSE EA-3, COM ENCAIXE PONTA E BOLSA, COM JUNTA ELASTICA, DIAMETRO NOMINAL DE 800 MM</v>
      </c>
    </row>
    <row r="4620" spans="1:10" x14ac:dyDescent="0.25">
      <c r="A4620" s="169">
        <v>7734</v>
      </c>
      <c r="B4620" s="169" t="s">
        <v>28122</v>
      </c>
      <c r="C4620" s="169" t="s">
        <v>10229</v>
      </c>
      <c r="D4620" s="169" t="s">
        <v>1289</v>
      </c>
      <c r="E4620" s="103" t="s">
        <v>31482</v>
      </c>
      <c r="F4620" s="104"/>
      <c r="G4620" s="105">
        <f t="shared" si="288"/>
        <v>1068.29</v>
      </c>
      <c r="H4620" s="101" t="str">
        <f t="shared" si="289"/>
        <v>Sinapi 7734</v>
      </c>
      <c r="I4620" s="101" t="str">
        <f t="shared" si="290"/>
        <v>M</v>
      </c>
      <c r="J4620" s="140" t="str">
        <f t="shared" si="291"/>
        <v>TUBO DE CONCRETO ARMADO PARA ESGOTO SANITARIO, CLASSE EA-3, COM ENCAIXE PONTA E BOLSA, COM JUNTA ELASTICA, DIAMETRO NOMINAL DE 900 MM</v>
      </c>
    </row>
    <row r="4621" spans="1:10" x14ac:dyDescent="0.25">
      <c r="A4621" s="169">
        <v>37449</v>
      </c>
      <c r="B4621" s="169" t="s">
        <v>28123</v>
      </c>
      <c r="C4621" s="169" t="s">
        <v>10229</v>
      </c>
      <c r="D4621" s="169" t="s">
        <v>1289</v>
      </c>
      <c r="E4621" s="103" t="s">
        <v>30158</v>
      </c>
      <c r="F4621" s="104"/>
      <c r="G4621" s="105">
        <f t="shared" si="288"/>
        <v>42.21</v>
      </c>
      <c r="H4621" s="101" t="str">
        <f t="shared" si="289"/>
        <v>Sinapi 37449</v>
      </c>
      <c r="I4621" s="101" t="str">
        <f t="shared" si="290"/>
        <v>M</v>
      </c>
      <c r="J4621" s="140" t="str">
        <f t="shared" si="291"/>
        <v>TUBO DE CONCRETO SIMPLES PARA AGUAS PLUVIAIS, CLASSE PS1, COM ENCAIXE MACHO E FEMEA, DIAMETRO NOMINAL DE 200 MM</v>
      </c>
    </row>
    <row r="4622" spans="1:10" x14ac:dyDescent="0.25">
      <c r="A4622" s="169">
        <v>37450</v>
      </c>
      <c r="B4622" s="169" t="s">
        <v>28124</v>
      </c>
      <c r="C4622" s="169" t="s">
        <v>10229</v>
      </c>
      <c r="D4622" s="169" t="s">
        <v>1289</v>
      </c>
      <c r="E4622" s="103" t="s">
        <v>28606</v>
      </c>
      <c r="F4622" s="104"/>
      <c r="G4622" s="105">
        <f t="shared" si="288"/>
        <v>59.1</v>
      </c>
      <c r="H4622" s="101" t="str">
        <f t="shared" si="289"/>
        <v>Sinapi 37450</v>
      </c>
      <c r="I4622" s="101" t="str">
        <f t="shared" si="290"/>
        <v>M</v>
      </c>
      <c r="J4622" s="140" t="str">
        <f t="shared" si="291"/>
        <v>TUBO DE CONCRETO SIMPLES PARA AGUAS PLUVIAIS, CLASSE PS1, COM ENCAIXE MACHO E FEMEA, DIAMETRO NOMINAL DE 300 MM</v>
      </c>
    </row>
    <row r="4623" spans="1:10" x14ac:dyDescent="0.25">
      <c r="A4623" s="169">
        <v>37451</v>
      </c>
      <c r="B4623" s="169" t="s">
        <v>28125</v>
      </c>
      <c r="C4623" s="169" t="s">
        <v>10229</v>
      </c>
      <c r="D4623" s="169" t="s">
        <v>1289</v>
      </c>
      <c r="E4623" s="103" t="s">
        <v>31483</v>
      </c>
      <c r="F4623" s="104"/>
      <c r="G4623" s="105">
        <f t="shared" si="288"/>
        <v>82.51</v>
      </c>
      <c r="H4623" s="101" t="str">
        <f t="shared" si="289"/>
        <v>Sinapi 37451</v>
      </c>
      <c r="I4623" s="101" t="str">
        <f t="shared" si="290"/>
        <v>M</v>
      </c>
      <c r="J4623" s="140" t="str">
        <f t="shared" si="291"/>
        <v>TUBO DE CONCRETO SIMPLES PARA AGUAS PLUVIAIS, CLASSE PS1, COM ENCAIXE MACHO E FEMEA, DIAMETRO NOMINAL DE 400 MM</v>
      </c>
    </row>
    <row r="4624" spans="1:10" x14ac:dyDescent="0.25">
      <c r="A4624" s="169">
        <v>37452</v>
      </c>
      <c r="B4624" s="169" t="s">
        <v>28126</v>
      </c>
      <c r="C4624" s="169" t="s">
        <v>10229</v>
      </c>
      <c r="D4624" s="169" t="s">
        <v>1289</v>
      </c>
      <c r="E4624" s="103" t="s">
        <v>30553</v>
      </c>
      <c r="F4624" s="104"/>
      <c r="G4624" s="105">
        <f t="shared" si="288"/>
        <v>119.93</v>
      </c>
      <c r="H4624" s="101" t="str">
        <f t="shared" si="289"/>
        <v>Sinapi 37452</v>
      </c>
      <c r="I4624" s="101" t="str">
        <f t="shared" si="290"/>
        <v>M</v>
      </c>
      <c r="J4624" s="140" t="str">
        <f t="shared" si="291"/>
        <v>TUBO DE CONCRETO SIMPLES PARA AGUAS PLUVIAIS, CLASSE PS1, COM ENCAIXE MACHO E FEMEA, DIAMETRO NOMINAL DE 500 MM</v>
      </c>
    </row>
    <row r="4625" spans="1:10" x14ac:dyDescent="0.25">
      <c r="A4625" s="169">
        <v>37453</v>
      </c>
      <c r="B4625" s="169" t="s">
        <v>28127</v>
      </c>
      <c r="C4625" s="169" t="s">
        <v>10229</v>
      </c>
      <c r="D4625" s="169" t="s">
        <v>1289</v>
      </c>
      <c r="E4625" s="103" t="s">
        <v>31484</v>
      </c>
      <c r="F4625" s="104"/>
      <c r="G4625" s="105">
        <f t="shared" si="288"/>
        <v>138.11000000000001</v>
      </c>
      <c r="H4625" s="101" t="str">
        <f t="shared" si="289"/>
        <v>Sinapi 37453</v>
      </c>
      <c r="I4625" s="101" t="str">
        <f t="shared" si="290"/>
        <v>M</v>
      </c>
      <c r="J4625" s="140" t="str">
        <f t="shared" si="291"/>
        <v>TUBO DE CONCRETO SIMPLES PARA AGUAS PLUVIAIS, CLASSE PS1, COM ENCAIXE MACHO E FEMEA, DIAMETRO NOMINAL DE 600 MM</v>
      </c>
    </row>
    <row r="4626" spans="1:10" x14ac:dyDescent="0.25">
      <c r="A4626" s="169">
        <v>7778</v>
      </c>
      <c r="B4626" s="169" t="s">
        <v>28128</v>
      </c>
      <c r="C4626" s="169" t="s">
        <v>10229</v>
      </c>
      <c r="D4626" s="169" t="s">
        <v>1289</v>
      </c>
      <c r="E4626" s="103" t="s">
        <v>31485</v>
      </c>
      <c r="F4626" s="104"/>
      <c r="G4626" s="105">
        <f t="shared" si="288"/>
        <v>51.81</v>
      </c>
      <c r="H4626" s="101" t="str">
        <f t="shared" si="289"/>
        <v>Sinapi 7778</v>
      </c>
      <c r="I4626" s="101" t="str">
        <f t="shared" si="290"/>
        <v>M</v>
      </c>
      <c r="J4626" s="140" t="str">
        <f t="shared" si="291"/>
        <v>TUBO DE CONCRETO SIMPLES PARA AGUAS PLUVIAIS, CLASSE PS1, COM ENCAIXE PONTA E BOLSA, DIAMETRO NOMINAL DE 200 MM</v>
      </c>
    </row>
    <row r="4627" spans="1:10" x14ac:dyDescent="0.25">
      <c r="A4627" s="169">
        <v>7796</v>
      </c>
      <c r="B4627" s="169" t="s">
        <v>28129</v>
      </c>
      <c r="C4627" s="169" t="s">
        <v>10229</v>
      </c>
      <c r="D4627" s="169" t="s">
        <v>1288</v>
      </c>
      <c r="E4627" s="103" t="s">
        <v>31486</v>
      </c>
      <c r="F4627" s="104"/>
      <c r="G4627" s="105">
        <f t="shared" si="288"/>
        <v>71</v>
      </c>
      <c r="H4627" s="101" t="str">
        <f t="shared" si="289"/>
        <v>Sinapi 7796</v>
      </c>
      <c r="I4627" s="101" t="str">
        <f t="shared" si="290"/>
        <v>M</v>
      </c>
      <c r="J4627" s="140" t="str">
        <f t="shared" si="291"/>
        <v>TUBO DE CONCRETO SIMPLES PARA AGUAS PLUVIAIS, CLASSE PS1, COM ENCAIXE PONTA E BOLSA, DIAMETRO NOMINAL DE 300 MM</v>
      </c>
    </row>
    <row r="4628" spans="1:10" x14ac:dyDescent="0.25">
      <c r="A4628" s="169">
        <v>7781</v>
      </c>
      <c r="B4628" s="169" t="s">
        <v>28130</v>
      </c>
      <c r="C4628" s="169" t="s">
        <v>10229</v>
      </c>
      <c r="D4628" s="169" t="s">
        <v>1289</v>
      </c>
      <c r="E4628" s="103" t="s">
        <v>28216</v>
      </c>
      <c r="F4628" s="104"/>
      <c r="G4628" s="105">
        <f t="shared" si="288"/>
        <v>83.9</v>
      </c>
      <c r="H4628" s="101" t="str">
        <f t="shared" si="289"/>
        <v>Sinapi 7781</v>
      </c>
      <c r="I4628" s="101" t="str">
        <f t="shared" si="290"/>
        <v>M</v>
      </c>
      <c r="J4628" s="140" t="str">
        <f t="shared" si="291"/>
        <v>TUBO DE CONCRETO SIMPLES PARA AGUAS PLUVIAIS, CLASSE PS1, COM ENCAIXE PONTA E BOLSA, DIAMETRO NOMINAL DE 400 MM</v>
      </c>
    </row>
    <row r="4629" spans="1:10" x14ac:dyDescent="0.25">
      <c r="A4629" s="169">
        <v>7795</v>
      </c>
      <c r="B4629" s="169" t="s">
        <v>28131</v>
      </c>
      <c r="C4629" s="169" t="s">
        <v>10229</v>
      </c>
      <c r="D4629" s="169" t="s">
        <v>1289</v>
      </c>
      <c r="E4629" s="103" t="s">
        <v>31487</v>
      </c>
      <c r="F4629" s="104"/>
      <c r="G4629" s="105">
        <f t="shared" si="288"/>
        <v>124.87</v>
      </c>
      <c r="H4629" s="101" t="str">
        <f t="shared" si="289"/>
        <v>Sinapi 7795</v>
      </c>
      <c r="I4629" s="101" t="str">
        <f t="shared" si="290"/>
        <v>M</v>
      </c>
      <c r="J4629" s="140" t="str">
        <f t="shared" si="291"/>
        <v>TUBO DE CONCRETO SIMPLES PARA AGUAS PLUVIAIS, CLASSE PS1, COM ENCAIXE PONTA E BOLSA, DIAMETRO NOMINAL DE 500 MM</v>
      </c>
    </row>
    <row r="4630" spans="1:10" x14ac:dyDescent="0.25">
      <c r="A4630" s="169">
        <v>7791</v>
      </c>
      <c r="B4630" s="169" t="s">
        <v>28132</v>
      </c>
      <c r="C4630" s="169" t="s">
        <v>10229</v>
      </c>
      <c r="D4630" s="169" t="s">
        <v>1289</v>
      </c>
      <c r="E4630" s="103" t="s">
        <v>31488</v>
      </c>
      <c r="F4630" s="104"/>
      <c r="G4630" s="105">
        <f t="shared" si="288"/>
        <v>149.47999999999999</v>
      </c>
      <c r="H4630" s="101" t="str">
        <f t="shared" si="289"/>
        <v>Sinapi 7791</v>
      </c>
      <c r="I4630" s="101" t="str">
        <f t="shared" si="290"/>
        <v>M</v>
      </c>
      <c r="J4630" s="140" t="str">
        <f t="shared" si="291"/>
        <v>TUBO DE CONCRETO SIMPLES PARA AGUAS PLUVIAIS, CLASSE PS1, COM ENCAIXE PONTA E BOLSA, DIAMETRO NOMINAL DE 600 MM</v>
      </c>
    </row>
    <row r="4631" spans="1:10" x14ac:dyDescent="0.25">
      <c r="A4631" s="169">
        <v>7783</v>
      </c>
      <c r="B4631" s="169" t="s">
        <v>28133</v>
      </c>
      <c r="C4631" s="169" t="s">
        <v>10229</v>
      </c>
      <c r="D4631" s="169" t="s">
        <v>1289</v>
      </c>
      <c r="E4631" s="103" t="s">
        <v>28675</v>
      </c>
      <c r="F4631" s="104"/>
      <c r="G4631" s="105">
        <f t="shared" si="288"/>
        <v>52.97</v>
      </c>
      <c r="H4631" s="101" t="str">
        <f t="shared" si="289"/>
        <v>Sinapi 7783</v>
      </c>
      <c r="I4631" s="101" t="str">
        <f t="shared" si="290"/>
        <v>M</v>
      </c>
      <c r="J4631" s="140" t="str">
        <f t="shared" si="291"/>
        <v>TUBO DE CONCRETO SIMPLES PARA AGUAS PLUVIAIS, CLASSE PS2, COM ENCAIXE PONTA E BOLSA, DIAMETRO NOMINAL DE 200 MM</v>
      </c>
    </row>
    <row r="4632" spans="1:10" x14ac:dyDescent="0.25">
      <c r="A4632" s="169">
        <v>7790</v>
      </c>
      <c r="B4632" s="169" t="s">
        <v>28134</v>
      </c>
      <c r="C4632" s="169" t="s">
        <v>10229</v>
      </c>
      <c r="D4632" s="169" t="s">
        <v>1289</v>
      </c>
      <c r="E4632" s="103" t="s">
        <v>31489</v>
      </c>
      <c r="F4632" s="104"/>
      <c r="G4632" s="105">
        <f t="shared" si="288"/>
        <v>83.47</v>
      </c>
      <c r="H4632" s="101" t="str">
        <f t="shared" si="289"/>
        <v>Sinapi 7790</v>
      </c>
      <c r="I4632" s="101" t="str">
        <f t="shared" si="290"/>
        <v>M</v>
      </c>
      <c r="J4632" s="140" t="str">
        <f t="shared" si="291"/>
        <v>TUBO DE CONCRETO SIMPLES PARA AGUAS PLUVIAIS, CLASSE PS2, COM ENCAIXE PONTA E BOLSA, DIAMETRO NOMINAL DE 300 MM</v>
      </c>
    </row>
    <row r="4633" spans="1:10" x14ac:dyDescent="0.25">
      <c r="A4633" s="169">
        <v>7785</v>
      </c>
      <c r="B4633" s="169" t="s">
        <v>28135</v>
      </c>
      <c r="C4633" s="169" t="s">
        <v>10229</v>
      </c>
      <c r="D4633" s="169" t="s">
        <v>1289</v>
      </c>
      <c r="E4633" s="103" t="s">
        <v>22817</v>
      </c>
      <c r="F4633" s="104"/>
      <c r="G4633" s="105">
        <f t="shared" si="288"/>
        <v>92.1</v>
      </c>
      <c r="H4633" s="101" t="str">
        <f t="shared" si="289"/>
        <v>Sinapi 7785</v>
      </c>
      <c r="I4633" s="101" t="str">
        <f t="shared" si="290"/>
        <v>M</v>
      </c>
      <c r="J4633" s="140" t="str">
        <f t="shared" si="291"/>
        <v>TUBO DE CONCRETO SIMPLES PARA AGUAS PLUVIAIS, CLASSE PS2, COM ENCAIXE PONTA E BOLSA, DIAMETRO NOMINAL DE 400 MM</v>
      </c>
    </row>
    <row r="4634" spans="1:10" x14ac:dyDescent="0.25">
      <c r="A4634" s="169">
        <v>7792</v>
      </c>
      <c r="B4634" s="169" t="s">
        <v>28137</v>
      </c>
      <c r="C4634" s="169" t="s">
        <v>10229</v>
      </c>
      <c r="D4634" s="169" t="s">
        <v>1289</v>
      </c>
      <c r="E4634" s="103" t="s">
        <v>23886</v>
      </c>
      <c r="F4634" s="104"/>
      <c r="G4634" s="105">
        <f t="shared" si="288"/>
        <v>130.63</v>
      </c>
      <c r="H4634" s="101" t="str">
        <f t="shared" si="289"/>
        <v>Sinapi 7792</v>
      </c>
      <c r="I4634" s="101" t="str">
        <f t="shared" si="290"/>
        <v>M</v>
      </c>
      <c r="J4634" s="140" t="str">
        <f t="shared" si="291"/>
        <v>TUBO DE CONCRETO SIMPLES PARA AGUAS PLUVIAIS, CLASSE PS2, COM ENCAIXE PONTA E BOLSA, DIAMETRO NOMINAL DE 500 MM</v>
      </c>
    </row>
    <row r="4635" spans="1:10" x14ac:dyDescent="0.25">
      <c r="A4635" s="169">
        <v>7793</v>
      </c>
      <c r="B4635" s="169" t="s">
        <v>28139</v>
      </c>
      <c r="C4635" s="169" t="s">
        <v>10229</v>
      </c>
      <c r="D4635" s="169" t="s">
        <v>1289</v>
      </c>
      <c r="E4635" s="103" t="s">
        <v>31490</v>
      </c>
      <c r="F4635" s="104"/>
      <c r="G4635" s="105">
        <f t="shared" si="288"/>
        <v>154.28</v>
      </c>
      <c r="H4635" s="101" t="str">
        <f t="shared" si="289"/>
        <v>Sinapi 7793</v>
      </c>
      <c r="I4635" s="101" t="str">
        <f t="shared" si="290"/>
        <v>M</v>
      </c>
      <c r="J4635" s="140" t="str">
        <f t="shared" si="291"/>
        <v>TUBO DE CONCRETO SIMPLES PARA AGUAS PLUVIAIS, CLASSE PS2, COM ENCAIXE PONTA E BOLSA, DIAMETRO NOMINAL DE 600 MM</v>
      </c>
    </row>
    <row r="4636" spans="1:10" x14ac:dyDescent="0.25">
      <c r="A4636" s="169">
        <v>13159</v>
      </c>
      <c r="B4636" s="169" t="s">
        <v>28140</v>
      </c>
      <c r="C4636" s="169" t="s">
        <v>10229</v>
      </c>
      <c r="D4636" s="169" t="s">
        <v>1289</v>
      </c>
      <c r="E4636" s="103" t="s">
        <v>31491</v>
      </c>
      <c r="F4636" s="104"/>
      <c r="G4636" s="105">
        <f t="shared" si="288"/>
        <v>134.32</v>
      </c>
      <c r="H4636" s="101" t="str">
        <f t="shared" si="289"/>
        <v>Sinapi 13159</v>
      </c>
      <c r="I4636" s="101" t="str">
        <f t="shared" si="290"/>
        <v>M</v>
      </c>
      <c r="J4636" s="140" t="str">
        <f t="shared" si="291"/>
        <v>TUBO DE CONCRETO SIMPLES PARA ESGOTO SANITARIO, CLASSE ES, COM ENCAIXE PONTA E BOLSA, COM JUNTA ELASTICA, DIAMETRO NOMINAL DE 400 MM</v>
      </c>
    </row>
    <row r="4637" spans="1:10" x14ac:dyDescent="0.25">
      <c r="A4637" s="169">
        <v>13168</v>
      </c>
      <c r="B4637" s="169" t="s">
        <v>28142</v>
      </c>
      <c r="C4637" s="169" t="s">
        <v>10229</v>
      </c>
      <c r="D4637" s="169" t="s">
        <v>1289</v>
      </c>
      <c r="E4637" s="103" t="s">
        <v>31492</v>
      </c>
      <c r="F4637" s="104"/>
      <c r="G4637" s="105">
        <f t="shared" si="288"/>
        <v>163.1</v>
      </c>
      <c r="H4637" s="101" t="str">
        <f t="shared" si="289"/>
        <v>Sinapi 13168</v>
      </c>
      <c r="I4637" s="101" t="str">
        <f t="shared" si="290"/>
        <v>M</v>
      </c>
      <c r="J4637" s="140" t="str">
        <f t="shared" si="291"/>
        <v>TUBO DE CONCRETO SIMPLES PARA ESGOTO SANITARIO, CLASSE ES, COM ENCAIXE PONTA E BOLSA, COM JUNTA ELASTICA, DIAMETRO NOMINAL DE 500 MM</v>
      </c>
    </row>
    <row r="4638" spans="1:10" x14ac:dyDescent="0.25">
      <c r="A4638" s="169">
        <v>13173</v>
      </c>
      <c r="B4638" s="169" t="s">
        <v>28144</v>
      </c>
      <c r="C4638" s="169" t="s">
        <v>10229</v>
      </c>
      <c r="D4638" s="169" t="s">
        <v>1289</v>
      </c>
      <c r="E4638" s="103" t="s">
        <v>31493</v>
      </c>
      <c r="F4638" s="104"/>
      <c r="G4638" s="105">
        <f t="shared" si="288"/>
        <v>220.67</v>
      </c>
      <c r="H4638" s="101" t="str">
        <f t="shared" si="289"/>
        <v>Sinapi 13173</v>
      </c>
      <c r="I4638" s="101" t="str">
        <f t="shared" si="290"/>
        <v>M</v>
      </c>
      <c r="J4638" s="140" t="str">
        <f t="shared" si="291"/>
        <v>TUBO DE CONCRETO SIMPLES PARA ESGOTO SANITARIO, CLASSE ES, COM ENCAIXE PONTA E BOLSA, COM JUNTA ELASTICA, DIAMETRO NOMINAL DE 600 MM</v>
      </c>
    </row>
    <row r="4639" spans="1:10" x14ac:dyDescent="0.25">
      <c r="A4639" s="169">
        <v>12583</v>
      </c>
      <c r="B4639" s="169" t="s">
        <v>28145</v>
      </c>
      <c r="C4639" s="169" t="s">
        <v>10229</v>
      </c>
      <c r="D4639" s="169" t="s">
        <v>1289</v>
      </c>
      <c r="E4639" s="103" t="s">
        <v>31494</v>
      </c>
      <c r="F4639" s="104"/>
      <c r="G4639" s="105">
        <f t="shared" si="288"/>
        <v>44.13</v>
      </c>
      <c r="H4639" s="101" t="str">
        <f t="shared" si="289"/>
        <v>Sinapi 12583</v>
      </c>
      <c r="I4639" s="101" t="str">
        <f t="shared" si="290"/>
        <v>M</v>
      </c>
      <c r="J4639" s="140" t="str">
        <f t="shared" si="291"/>
        <v>TUBO DE CONCRETO SIMPLES POROSO PARA DRENAGEM (DRENO POROSO), COM ENCAIXE MACHO E FEMEA, DIAMETRO NOMINAL DE 200 MM</v>
      </c>
    </row>
    <row r="4640" spans="1:10" x14ac:dyDescent="0.25">
      <c r="A4640" s="169">
        <v>12584</v>
      </c>
      <c r="B4640" s="169" t="s">
        <v>28146</v>
      </c>
      <c r="C4640" s="169" t="s">
        <v>10229</v>
      </c>
      <c r="D4640" s="169" t="s">
        <v>1289</v>
      </c>
      <c r="E4640" s="103" t="s">
        <v>28999</v>
      </c>
      <c r="F4640" s="104"/>
      <c r="G4640" s="105">
        <f t="shared" si="288"/>
        <v>57.56</v>
      </c>
      <c r="H4640" s="101" t="str">
        <f t="shared" si="289"/>
        <v>Sinapi 12584</v>
      </c>
      <c r="I4640" s="101" t="str">
        <f t="shared" si="290"/>
        <v>M</v>
      </c>
      <c r="J4640" s="140" t="str">
        <f t="shared" si="291"/>
        <v>TUBO DE CONCRETO SIMPLES POROSO PARA DRENAGEM (DRENO POROSO), COM ENCAIXE MACHO E FEMEA, DIAMETRO NOMINAL DE 300 MM</v>
      </c>
    </row>
    <row r="4641" spans="1:10" x14ac:dyDescent="0.25">
      <c r="A4641" s="169">
        <v>12613</v>
      </c>
      <c r="B4641" s="169" t="s">
        <v>28147</v>
      </c>
      <c r="C4641" s="169" t="s">
        <v>10225</v>
      </c>
      <c r="D4641" s="169" t="s">
        <v>1289</v>
      </c>
      <c r="E4641" s="103" t="s">
        <v>17911</v>
      </c>
      <c r="F4641" s="104"/>
      <c r="G4641" s="105">
        <f t="shared" si="288"/>
        <v>19.25</v>
      </c>
      <c r="H4641" s="101" t="str">
        <f t="shared" si="289"/>
        <v>Sinapi 12613</v>
      </c>
      <c r="I4641" s="101" t="str">
        <f t="shared" si="290"/>
        <v>UN</v>
      </c>
      <c r="J4641" s="140" t="str">
        <f t="shared" si="291"/>
        <v>TUBO DE DESCARGA, TIPO BENGALA, PARA LIGACAO CAIXA DE DESCARGA - EMBUTIR, PVC, 40 MM X 150 CM</v>
      </c>
    </row>
    <row r="4642" spans="1:10" x14ac:dyDescent="0.25">
      <c r="A4642" s="169">
        <v>1031</v>
      </c>
      <c r="B4642" s="169" t="s">
        <v>31495</v>
      </c>
      <c r="C4642" s="169" t="s">
        <v>10225</v>
      </c>
      <c r="D4642" s="169" t="s">
        <v>1289</v>
      </c>
      <c r="E4642" s="103" t="s">
        <v>19285</v>
      </c>
      <c r="F4642" s="104"/>
      <c r="G4642" s="105">
        <f t="shared" si="288"/>
        <v>14.26</v>
      </c>
      <c r="H4642" s="101" t="str">
        <f t="shared" si="289"/>
        <v>Sinapi 1031</v>
      </c>
      <c r="I4642" s="101" t="str">
        <f t="shared" si="290"/>
        <v>UN</v>
      </c>
      <c r="J4642" s="140" t="str">
        <f t="shared" si="291"/>
        <v>TUBO DE DESCIDA EXTERNO, DE PVC, PARA CAIXA DE DESCARGA EXTERNA ALTA - DIAMETRO DE 40 MM E ALTURA DE APROXIMADAMENTE 1,55 M</v>
      </c>
    </row>
    <row r="4643" spans="1:10" x14ac:dyDescent="0.25">
      <c r="A4643" s="169">
        <v>39707</v>
      </c>
      <c r="B4643" s="169" t="s">
        <v>28148</v>
      </c>
      <c r="C4643" s="169" t="s">
        <v>10229</v>
      </c>
      <c r="D4643" s="169" t="s">
        <v>1289</v>
      </c>
      <c r="E4643" s="103" t="s">
        <v>17288</v>
      </c>
      <c r="F4643" s="104"/>
      <c r="G4643" s="105">
        <f t="shared" si="288"/>
        <v>6.66</v>
      </c>
      <c r="H4643" s="101" t="str">
        <f t="shared" si="289"/>
        <v>Sinapi 39707</v>
      </c>
      <c r="I4643" s="101" t="str">
        <f t="shared" si="290"/>
        <v>M</v>
      </c>
      <c r="J4643" s="140" t="str">
        <f t="shared" si="291"/>
        <v>TUBO DE ESPUMA DE POLIETILENO EXPANDIDO FLEXIVEL PARA ISOLAMENTO TERMICO DE TUBULACAO DE AR CONDICIONADO, AGUA QUENTE, DN 1 1/2", E= 10 MM</v>
      </c>
    </row>
    <row r="4644" spans="1:10" x14ac:dyDescent="0.25">
      <c r="A4644" s="169">
        <v>39708</v>
      </c>
      <c r="B4644" s="169" t="s">
        <v>28149</v>
      </c>
      <c r="C4644" s="169" t="s">
        <v>10229</v>
      </c>
      <c r="D4644" s="169" t="s">
        <v>1289</v>
      </c>
      <c r="E4644" s="103" t="s">
        <v>13576</v>
      </c>
      <c r="F4644" s="104"/>
      <c r="G4644" s="105">
        <f t="shared" si="288"/>
        <v>6.45</v>
      </c>
      <c r="H4644" s="101" t="str">
        <f t="shared" si="289"/>
        <v>Sinapi 39708</v>
      </c>
      <c r="I4644" s="101" t="str">
        <f t="shared" si="290"/>
        <v>M</v>
      </c>
      <c r="J4644" s="140" t="str">
        <f t="shared" si="291"/>
        <v>TUBO DE ESPUMA DE POLIETILENO EXPANDIDO FLEXIVEL PARA ISOLAMENTO TERMICO DE TUBULACAO DE AR CONDICIONADO, AGUA QUENTE, DN 1 1/4", E= 10 MM</v>
      </c>
    </row>
    <row r="4645" spans="1:10" x14ac:dyDescent="0.25">
      <c r="A4645" s="169">
        <v>39710</v>
      </c>
      <c r="B4645" s="169" t="s">
        <v>28151</v>
      </c>
      <c r="C4645" s="169" t="s">
        <v>10229</v>
      </c>
      <c r="D4645" s="169" t="s">
        <v>1289</v>
      </c>
      <c r="E4645" s="103" t="s">
        <v>22871</v>
      </c>
      <c r="F4645" s="104"/>
      <c r="G4645" s="105">
        <f t="shared" si="288"/>
        <v>4.54</v>
      </c>
      <c r="H4645" s="101" t="str">
        <f t="shared" si="289"/>
        <v>Sinapi 39710</v>
      </c>
      <c r="I4645" s="101" t="str">
        <f t="shared" si="290"/>
        <v>M</v>
      </c>
      <c r="J4645" s="140" t="str">
        <f t="shared" si="291"/>
        <v>TUBO DE ESPUMA DE POLIETILENO EXPANDIDO FLEXIVEL PARA ISOLAMENTO TERMICO DE TUBULACAO DE AR CONDICIONADO, AGUA QUENTE, DN 1 1/8", E= 10 MM</v>
      </c>
    </row>
    <row r="4646" spans="1:10" x14ac:dyDescent="0.25">
      <c r="A4646" s="169">
        <v>39709</v>
      </c>
      <c r="B4646" s="169" t="s">
        <v>28152</v>
      </c>
      <c r="C4646" s="169" t="s">
        <v>10229</v>
      </c>
      <c r="D4646" s="169" t="s">
        <v>1289</v>
      </c>
      <c r="E4646" s="103" t="s">
        <v>15695</v>
      </c>
      <c r="F4646" s="104"/>
      <c r="G4646" s="105">
        <f t="shared" si="288"/>
        <v>6.3</v>
      </c>
      <c r="H4646" s="101" t="str">
        <f t="shared" si="289"/>
        <v>Sinapi 39709</v>
      </c>
      <c r="I4646" s="101" t="str">
        <f t="shared" si="290"/>
        <v>M</v>
      </c>
      <c r="J4646" s="140" t="str">
        <f t="shared" si="291"/>
        <v>TUBO DE ESPUMA DE POLIETILENO EXPANDIDO FLEXIVEL PARA ISOLAMENTO TERMICO DE TUBULACAO DE AR CONDICIONADO, AGUA QUENTE, DN 1 3/8", E= 10 MM</v>
      </c>
    </row>
    <row r="4647" spans="1:10" x14ac:dyDescent="0.25">
      <c r="A4647" s="169">
        <v>39711</v>
      </c>
      <c r="B4647" s="169" t="s">
        <v>28153</v>
      </c>
      <c r="C4647" s="169" t="s">
        <v>10229</v>
      </c>
      <c r="D4647" s="169" t="s">
        <v>1289</v>
      </c>
      <c r="E4647" s="103" t="s">
        <v>17402</v>
      </c>
      <c r="F4647" s="104"/>
      <c r="G4647" s="105">
        <f t="shared" si="288"/>
        <v>7.07</v>
      </c>
      <c r="H4647" s="101" t="str">
        <f t="shared" si="289"/>
        <v>Sinapi 39711</v>
      </c>
      <c r="I4647" s="101" t="str">
        <f t="shared" si="290"/>
        <v>M</v>
      </c>
      <c r="J4647" s="140" t="str">
        <f t="shared" si="291"/>
        <v>TUBO DE ESPUMA DE POLIETILENO EXPANDIDO FLEXIVEL PARA ISOLAMENTO TERMICO DE TUBULACAO DE AR CONDICIONADO, AGUA QUENTE, DN 1 5/8", E= 10 MM</v>
      </c>
    </row>
    <row r="4648" spans="1:10" x14ac:dyDescent="0.25">
      <c r="A4648" s="169">
        <v>39712</v>
      </c>
      <c r="B4648" s="169" t="s">
        <v>28154</v>
      </c>
      <c r="C4648" s="169" t="s">
        <v>10229</v>
      </c>
      <c r="D4648" s="169" t="s">
        <v>1288</v>
      </c>
      <c r="E4648" s="103" t="s">
        <v>17905</v>
      </c>
      <c r="F4648" s="104"/>
      <c r="G4648" s="105">
        <f t="shared" si="288"/>
        <v>2.48</v>
      </c>
      <c r="H4648" s="101" t="str">
        <f t="shared" si="289"/>
        <v>Sinapi 39712</v>
      </c>
      <c r="I4648" s="101" t="str">
        <f t="shared" si="290"/>
        <v>M</v>
      </c>
      <c r="J4648" s="140" t="str">
        <f t="shared" si="291"/>
        <v>TUBO DE ESPUMA DE POLIETILENO EXPANDIDO FLEXIVEL PARA ISOLAMENTO TERMICO DE TUBULACAO DE AR CONDICIONADO, AGUA QUENTE, DN 1/2", E= 10 MM</v>
      </c>
    </row>
    <row r="4649" spans="1:10" x14ac:dyDescent="0.25">
      <c r="A4649" s="169">
        <v>39713</v>
      </c>
      <c r="B4649" s="169" t="s">
        <v>28155</v>
      </c>
      <c r="C4649" s="169" t="s">
        <v>10229</v>
      </c>
      <c r="D4649" s="169" t="s">
        <v>1289</v>
      </c>
      <c r="E4649" s="103" t="s">
        <v>8188</v>
      </c>
      <c r="F4649" s="104"/>
      <c r="G4649" s="105">
        <f t="shared" si="288"/>
        <v>1.96</v>
      </c>
      <c r="H4649" s="101" t="str">
        <f t="shared" si="289"/>
        <v>Sinapi 39713</v>
      </c>
      <c r="I4649" s="101" t="str">
        <f t="shared" si="290"/>
        <v>M</v>
      </c>
      <c r="J4649" s="140" t="str">
        <f t="shared" si="291"/>
        <v>TUBO DE ESPUMA DE POLIETILENO EXPANDIDO FLEXIVEL PARA ISOLAMENTO TERMICO DE TUBULACAO DE AR CONDICIONADO, AGUA QUENTE, DN 1/4", E= 10 MM</v>
      </c>
    </row>
    <row r="4650" spans="1:10" x14ac:dyDescent="0.25">
      <c r="A4650" s="169">
        <v>39714</v>
      </c>
      <c r="B4650" s="169" t="s">
        <v>28156</v>
      </c>
      <c r="C4650" s="169" t="s">
        <v>10229</v>
      </c>
      <c r="D4650" s="169" t="s">
        <v>1289</v>
      </c>
      <c r="E4650" s="103" t="s">
        <v>5912</v>
      </c>
      <c r="F4650" s="104"/>
      <c r="G4650" s="105">
        <f t="shared" si="288"/>
        <v>4.49</v>
      </c>
      <c r="H4650" s="101" t="str">
        <f t="shared" si="289"/>
        <v>Sinapi 39714</v>
      </c>
      <c r="I4650" s="101" t="str">
        <f t="shared" si="290"/>
        <v>M</v>
      </c>
      <c r="J4650" s="140" t="str">
        <f t="shared" si="291"/>
        <v>TUBO DE ESPUMA DE POLIETILENO EXPANDIDO FLEXIVEL PARA ISOLAMENTO TERMICO DE TUBULACAO DE AR CONDICIONADO, AGUA QUENTE, DN 1", E= 10 MM</v>
      </c>
    </row>
    <row r="4651" spans="1:10" x14ac:dyDescent="0.25">
      <c r="A4651" s="169">
        <v>39715</v>
      </c>
      <c r="B4651" s="169" t="s">
        <v>28157</v>
      </c>
      <c r="C4651" s="169" t="s">
        <v>10229</v>
      </c>
      <c r="D4651" s="169" t="s">
        <v>1289</v>
      </c>
      <c r="E4651" s="103" t="s">
        <v>15759</v>
      </c>
      <c r="F4651" s="104"/>
      <c r="G4651" s="105">
        <f t="shared" si="288"/>
        <v>3.2</v>
      </c>
      <c r="H4651" s="101" t="str">
        <f t="shared" si="289"/>
        <v>Sinapi 39715</v>
      </c>
      <c r="I4651" s="101" t="str">
        <f t="shared" si="290"/>
        <v>M</v>
      </c>
      <c r="J4651" s="140" t="str">
        <f t="shared" si="291"/>
        <v>TUBO DE ESPUMA DE POLIETILENO EXPANDIDO FLEXIVEL PARA ISOLAMENTO TERMICO DE TUBULACAO DE AR CONDICIONADO, AGUA QUENTE, DN 3/4", E= 10 MM</v>
      </c>
    </row>
    <row r="4652" spans="1:10" x14ac:dyDescent="0.25">
      <c r="A4652" s="169">
        <v>39716</v>
      </c>
      <c r="B4652" s="169" t="s">
        <v>28159</v>
      </c>
      <c r="C4652" s="169" t="s">
        <v>10229</v>
      </c>
      <c r="D4652" s="169" t="s">
        <v>1289</v>
      </c>
      <c r="E4652" s="103" t="s">
        <v>18598</v>
      </c>
      <c r="F4652" s="104"/>
      <c r="G4652" s="105">
        <f t="shared" si="288"/>
        <v>2.42</v>
      </c>
      <c r="H4652" s="101" t="str">
        <f t="shared" si="289"/>
        <v>Sinapi 39716</v>
      </c>
      <c r="I4652" s="101" t="str">
        <f t="shared" si="290"/>
        <v>M</v>
      </c>
      <c r="J4652" s="140" t="str">
        <f t="shared" si="291"/>
        <v>TUBO DE ESPUMA DE POLIETILENO EXPANDIDO FLEXIVEL PARA ISOLAMENTO TERMICO DE TUBULACAO DE AR CONDICIONADO, AGUA QUENTE, DN 3/8", E= 10 MM</v>
      </c>
    </row>
    <row r="4653" spans="1:10" x14ac:dyDescent="0.25">
      <c r="A4653" s="169">
        <v>39718</v>
      </c>
      <c r="B4653" s="169" t="s">
        <v>28160</v>
      </c>
      <c r="C4653" s="169" t="s">
        <v>10229</v>
      </c>
      <c r="D4653" s="169" t="s">
        <v>1289</v>
      </c>
      <c r="E4653" s="103" t="s">
        <v>28561</v>
      </c>
      <c r="F4653" s="104"/>
      <c r="G4653" s="105">
        <f t="shared" si="288"/>
        <v>4.13</v>
      </c>
      <c r="H4653" s="101" t="str">
        <f t="shared" si="289"/>
        <v>Sinapi 39718</v>
      </c>
      <c r="I4653" s="101" t="str">
        <f t="shared" si="290"/>
        <v>M</v>
      </c>
      <c r="J4653" s="140" t="str">
        <f t="shared" si="291"/>
        <v>TUBO DE ESPUMA DE POLIETILENO EXPANDIDO FLEXIVEL PARA ISOLAMENTO TERMICO DE TUBULACAO DE AR CONDICIONADO, AGUA QUENTE, DN 7/8", E= 10 MM</v>
      </c>
    </row>
    <row r="4654" spans="1:10" x14ac:dyDescent="0.25">
      <c r="A4654" s="169">
        <v>9813</v>
      </c>
      <c r="B4654" s="169" t="s">
        <v>28161</v>
      </c>
      <c r="C4654" s="169" t="s">
        <v>10229</v>
      </c>
      <c r="D4654" s="169" t="s">
        <v>1290</v>
      </c>
      <c r="E4654" s="103" t="s">
        <v>17391</v>
      </c>
      <c r="F4654" s="104"/>
      <c r="G4654" s="105">
        <f t="shared" si="288"/>
        <v>5.45</v>
      </c>
      <c r="H4654" s="101" t="str">
        <f t="shared" si="289"/>
        <v>Sinapi 9813</v>
      </c>
      <c r="I4654" s="101" t="str">
        <f t="shared" si="290"/>
        <v>M</v>
      </c>
      <c r="J4654" s="140" t="str">
        <f t="shared" si="291"/>
        <v>TUBO DE POLIETILENO DE ALTA DENSIDADE (PEAD), PE-80, DE = 20 MM X 2,3 MM DE PAREDE, PARA LIGACAO DE AGUA PREDIAL (NBR 15561)</v>
      </c>
    </row>
    <row r="4655" spans="1:10" x14ac:dyDescent="0.25">
      <c r="A4655" s="169">
        <v>9815</v>
      </c>
      <c r="B4655" s="169" t="s">
        <v>28162</v>
      </c>
      <c r="C4655" s="169" t="s">
        <v>10229</v>
      </c>
      <c r="D4655" s="169" t="s">
        <v>1290</v>
      </c>
      <c r="E4655" s="103" t="s">
        <v>15635</v>
      </c>
      <c r="F4655" s="104"/>
      <c r="G4655" s="105">
        <f t="shared" si="288"/>
        <v>10.76</v>
      </c>
      <c r="H4655" s="101" t="str">
        <f t="shared" si="289"/>
        <v>Sinapi 9815</v>
      </c>
      <c r="I4655" s="101" t="str">
        <f t="shared" si="290"/>
        <v>M</v>
      </c>
      <c r="J4655" s="140" t="str">
        <f t="shared" si="291"/>
        <v>TUBO DE POLIETILENO DE ALTA DENSIDADE (PEAD), PE-80, DE = 32 MM X 3,0 MM DE PAREDE, PARA LIGACAO DE AGUA PREDIAL (NBR 15561)</v>
      </c>
    </row>
    <row r="4656" spans="1:10" x14ac:dyDescent="0.25">
      <c r="A4656" s="169">
        <v>44543</v>
      </c>
      <c r="B4656" s="169" t="s">
        <v>28163</v>
      </c>
      <c r="C4656" s="169" t="s">
        <v>10229</v>
      </c>
      <c r="D4656" s="169" t="s">
        <v>1290</v>
      </c>
      <c r="E4656" s="103" t="s">
        <v>22944</v>
      </c>
      <c r="F4656" s="104"/>
      <c r="G4656" s="105">
        <f t="shared" si="288"/>
        <v>5355.53</v>
      </c>
      <c r="H4656" s="101" t="str">
        <f t="shared" si="289"/>
        <v>Sinapi 44543</v>
      </c>
      <c r="I4656" s="101" t="str">
        <f t="shared" si="290"/>
        <v>M</v>
      </c>
      <c r="J4656" s="140" t="str">
        <f t="shared" si="291"/>
        <v>TUBO DE POLIETILENO DE ALTA DENSIDADE, PEAD, PE-80, DE = 1000 MM X 38,5 MM PAREDE, ( SDR 26 - PN 05 ) PARA REDE DE AGUA OU ESGOTO ( NBR 15561)</v>
      </c>
    </row>
    <row r="4657" spans="1:10" x14ac:dyDescent="0.25">
      <c r="A4657" s="169">
        <v>44526</v>
      </c>
      <c r="B4657" s="169" t="s">
        <v>28164</v>
      </c>
      <c r="C4657" s="169" t="s">
        <v>10229</v>
      </c>
      <c r="D4657" s="169" t="s">
        <v>1290</v>
      </c>
      <c r="E4657" s="103" t="s">
        <v>22945</v>
      </c>
      <c r="F4657" s="104"/>
      <c r="G4657" s="105">
        <f t="shared" si="288"/>
        <v>131.26</v>
      </c>
      <c r="H4657" s="101" t="str">
        <f t="shared" si="289"/>
        <v>Sinapi 44526</v>
      </c>
      <c r="I4657" s="101" t="str">
        <f t="shared" si="290"/>
        <v>M</v>
      </c>
      <c r="J4657" s="140" t="str">
        <f t="shared" si="291"/>
        <v>TUBO DE POLIETILENO DE ALTA DENSIDADE, PEAD, PE-80, DE = 110 MM X 10,0 MM PAREDE, ( SDR 11 - PN 12,5 ) PARA REDE DE AGUA OU ESGOTO ( NBR 15561)</v>
      </c>
    </row>
    <row r="4658" spans="1:10" x14ac:dyDescent="0.25">
      <c r="A4658" s="169">
        <v>44518</v>
      </c>
      <c r="B4658" s="169" t="s">
        <v>28165</v>
      </c>
      <c r="C4658" s="169" t="s">
        <v>10229</v>
      </c>
      <c r="D4658" s="169" t="s">
        <v>1290</v>
      </c>
      <c r="E4658" s="103" t="s">
        <v>22946</v>
      </c>
      <c r="F4658" s="104"/>
      <c r="G4658" s="105">
        <f t="shared" si="288"/>
        <v>3942.79</v>
      </c>
      <c r="H4658" s="101" t="str">
        <f t="shared" si="289"/>
        <v>Sinapi 44518</v>
      </c>
      <c r="I4658" s="101" t="str">
        <f t="shared" si="290"/>
        <v>M</v>
      </c>
      <c r="J4658" s="140" t="str">
        <f t="shared" si="291"/>
        <v>TUBO DE POLIETILENO DE ALTA DENSIDADE, PEAD, PE-80, DE = 1200 MM X 37,2 MM PAREDE ( SDR 32,25 - PN 04 ) PARA REDE DE AGUA OU ESGOTO ( NBR 15561)</v>
      </c>
    </row>
    <row r="4659" spans="1:10" x14ac:dyDescent="0.25">
      <c r="A4659" s="169">
        <v>44544</v>
      </c>
      <c r="B4659" s="169" t="s">
        <v>28166</v>
      </c>
      <c r="C4659" s="169" t="s">
        <v>10229</v>
      </c>
      <c r="D4659" s="169" t="s">
        <v>1290</v>
      </c>
      <c r="E4659" s="103" t="s">
        <v>22947</v>
      </c>
      <c r="F4659" s="104"/>
      <c r="G4659" s="105">
        <f t="shared" si="288"/>
        <v>1916.82</v>
      </c>
      <c r="H4659" s="101" t="str">
        <f t="shared" si="289"/>
        <v>Sinapi 44544</v>
      </c>
      <c r="I4659" s="101" t="str">
        <f t="shared" si="290"/>
        <v>M</v>
      </c>
      <c r="J4659" s="140" t="str">
        <f t="shared" si="291"/>
        <v>TUBO DE POLIETILENO DE ALTA DENSIDADE, PEAD, PE-80, DE = 1400 MM X 42,9 MM PAREDE, (SDR 32,25 - PN 04 ) PARA REDE DE AGUA OU ESGOTO ( NBR 15561)</v>
      </c>
    </row>
    <row r="4660" spans="1:10" x14ac:dyDescent="0.25">
      <c r="A4660" s="169">
        <v>44545</v>
      </c>
      <c r="B4660" s="169" t="s">
        <v>28167</v>
      </c>
      <c r="C4660" s="169" t="s">
        <v>10229</v>
      </c>
      <c r="D4660" s="169" t="s">
        <v>1290</v>
      </c>
      <c r="E4660" s="103" t="s">
        <v>22776</v>
      </c>
      <c r="F4660" s="104"/>
      <c r="G4660" s="105">
        <f t="shared" si="288"/>
        <v>281.74</v>
      </c>
      <c r="H4660" s="101" t="str">
        <f t="shared" si="289"/>
        <v>Sinapi 44545</v>
      </c>
      <c r="I4660" s="101" t="str">
        <f t="shared" si="290"/>
        <v>M</v>
      </c>
      <c r="J4660" s="140" t="str">
        <f t="shared" si="291"/>
        <v>TUBO DE POLIETILENO DE ALTA DENSIDADE, PEAD, PE-80, DE = 160 MM X 14,6 MM PAREDE, (SDR 11 - PN 12,5 ) PARA REDE DE AGUA OU ESGOTO ( NBR 15561)</v>
      </c>
    </row>
    <row r="4661" spans="1:10" x14ac:dyDescent="0.25">
      <c r="A4661" s="169">
        <v>44546</v>
      </c>
      <c r="B4661" s="169" t="s">
        <v>28168</v>
      </c>
      <c r="C4661" s="169" t="s">
        <v>10229</v>
      </c>
      <c r="D4661" s="169" t="s">
        <v>1290</v>
      </c>
      <c r="E4661" s="103" t="s">
        <v>22948</v>
      </c>
      <c r="F4661" s="104"/>
      <c r="G4661" s="105">
        <f t="shared" si="288"/>
        <v>1258.28</v>
      </c>
      <c r="H4661" s="101" t="str">
        <f t="shared" si="289"/>
        <v>Sinapi 44546</v>
      </c>
      <c r="I4661" s="101" t="str">
        <f t="shared" si="290"/>
        <v>M</v>
      </c>
      <c r="J4661" s="140" t="str">
        <f t="shared" si="291"/>
        <v>TUBO DE POLIETILENO DE ALTA DENSIDADE, PEAD, PE-80, DE = 1600 MM X 49,0 MM PAREDE, ( SDR 32,25 - PN 04 ) PARA REDE DE AGUA OU ESGOTO ( NBR 15561)</v>
      </c>
    </row>
    <row r="4662" spans="1:10" x14ac:dyDescent="0.25">
      <c r="A4662" s="169">
        <v>44525</v>
      </c>
      <c r="B4662" s="169" t="s">
        <v>28169</v>
      </c>
      <c r="C4662" s="169" t="s">
        <v>10229</v>
      </c>
      <c r="D4662" s="169" t="s">
        <v>1290</v>
      </c>
      <c r="E4662" s="103" t="s">
        <v>22949</v>
      </c>
      <c r="F4662" s="104"/>
      <c r="G4662" s="105">
        <f t="shared" si="288"/>
        <v>4857.43</v>
      </c>
      <c r="H4662" s="101" t="str">
        <f t="shared" si="289"/>
        <v>Sinapi 44525</v>
      </c>
      <c r="I4662" s="101" t="str">
        <f t="shared" si="290"/>
        <v>M</v>
      </c>
      <c r="J4662" s="140" t="str">
        <f t="shared" si="291"/>
        <v>TUBO DE POLIETILENO DE ALTA DENSIDADE, PEAD, PE-80, DE = 900 MM X 34,7 MM PAREDE, ( SDR 26 - PN 05 ) PARA REDE DE AGUA OU ESGOTO ( NBR 15561)</v>
      </c>
    </row>
    <row r="4663" spans="1:10" x14ac:dyDescent="0.25">
      <c r="A4663" s="169">
        <v>44547</v>
      </c>
      <c r="B4663" s="169" t="s">
        <v>28170</v>
      </c>
      <c r="C4663" s="169" t="s">
        <v>10229</v>
      </c>
      <c r="D4663" s="169" t="s">
        <v>1290</v>
      </c>
      <c r="E4663" s="103" t="s">
        <v>21843</v>
      </c>
      <c r="F4663" s="104"/>
      <c r="G4663" s="105">
        <f t="shared" si="288"/>
        <v>439.2</v>
      </c>
      <c r="H4663" s="101" t="str">
        <f t="shared" si="289"/>
        <v>Sinapi 44547</v>
      </c>
      <c r="I4663" s="101" t="str">
        <f t="shared" si="290"/>
        <v>M</v>
      </c>
      <c r="J4663" s="140" t="str">
        <f t="shared" si="291"/>
        <v>TUBO DE POLIETILENO DE ALTA DENSIDADE, PEAD, PE-80, DE= 200 MM X 18,2 MM PAREDE, ( SDR 11 - PN 12,5 ) PARA REDE DE AGUA OU ESGOTO ( NBR 15561)</v>
      </c>
    </row>
    <row r="4664" spans="1:10" x14ac:dyDescent="0.25">
      <c r="A4664" s="169">
        <v>44519</v>
      </c>
      <c r="B4664" s="169" t="s">
        <v>28171</v>
      </c>
      <c r="C4664" s="169" t="s">
        <v>10229</v>
      </c>
      <c r="D4664" s="169" t="s">
        <v>1290</v>
      </c>
      <c r="E4664" s="103" t="s">
        <v>22950</v>
      </c>
      <c r="F4664" s="104"/>
      <c r="G4664" s="105">
        <f t="shared" si="288"/>
        <v>1076.1600000000001</v>
      </c>
      <c r="H4664" s="101" t="str">
        <f t="shared" si="289"/>
        <v>Sinapi 44519</v>
      </c>
      <c r="I4664" s="101" t="str">
        <f t="shared" si="290"/>
        <v>M</v>
      </c>
      <c r="J4664" s="140" t="str">
        <f t="shared" si="291"/>
        <v>TUBO DE POLIETILENO DE ALTA DENSIDADE, PEAD, PE-80, DE= 315 MM X 28,7 MM PAREDE, ( SDR 11 - PN 12,5 ) PARA REDE DE AGUA OU ESGOTO ( NBR 15561)</v>
      </c>
    </row>
    <row r="4665" spans="1:10" x14ac:dyDescent="0.25">
      <c r="A4665" s="169">
        <v>44520</v>
      </c>
      <c r="B4665" s="169" t="s">
        <v>28172</v>
      </c>
      <c r="C4665" s="169" t="s">
        <v>10229</v>
      </c>
      <c r="D4665" s="169" t="s">
        <v>1290</v>
      </c>
      <c r="E4665" s="103" t="s">
        <v>22951</v>
      </c>
      <c r="F4665" s="104"/>
      <c r="G4665" s="105">
        <f t="shared" si="288"/>
        <v>1733.31</v>
      </c>
      <c r="H4665" s="101" t="str">
        <f t="shared" si="289"/>
        <v>Sinapi 44520</v>
      </c>
      <c r="I4665" s="101" t="str">
        <f t="shared" si="290"/>
        <v>M</v>
      </c>
      <c r="J4665" s="140" t="str">
        <f t="shared" si="291"/>
        <v>TUBO DE POLIETILENO DE ALTA DENSIDADE, PEAD, PE-80, DE= 400 MM X 36,4 MM PAREDE, ( SDR 11 - PN 12,5 ) PARA REDE DE AGUA OU ESGOTO ( NBR 15561)</v>
      </c>
    </row>
    <row r="4666" spans="1:10" x14ac:dyDescent="0.25">
      <c r="A4666" s="169">
        <v>44521</v>
      </c>
      <c r="B4666" s="169" t="s">
        <v>28173</v>
      </c>
      <c r="C4666" s="169" t="s">
        <v>10229</v>
      </c>
      <c r="D4666" s="169" t="s">
        <v>1290</v>
      </c>
      <c r="E4666" s="103" t="s">
        <v>19943</v>
      </c>
      <c r="F4666" s="104"/>
      <c r="G4666" s="105">
        <f t="shared" si="288"/>
        <v>27.96</v>
      </c>
      <c r="H4666" s="101" t="str">
        <f t="shared" si="289"/>
        <v>Sinapi 44521</v>
      </c>
      <c r="I4666" s="101" t="str">
        <f t="shared" si="290"/>
        <v>M</v>
      </c>
      <c r="J4666" s="140" t="str">
        <f t="shared" si="291"/>
        <v>TUBO DE POLIETILENO DE ALTA DENSIDADE, PEAD, PE-80, DE= 50 MM X 4,6 MM PAREDE, (SDR 11 - PN 12,5) PARA REDE DE AGUA OU ESGOTO ( NBR 15561)</v>
      </c>
    </row>
    <row r="4667" spans="1:10" x14ac:dyDescent="0.25">
      <c r="A4667" s="169">
        <v>44522</v>
      </c>
      <c r="B4667" s="169" t="s">
        <v>28174</v>
      </c>
      <c r="C4667" s="169" t="s">
        <v>10229</v>
      </c>
      <c r="D4667" s="169" t="s">
        <v>1290</v>
      </c>
      <c r="E4667" s="103" t="s">
        <v>22952</v>
      </c>
      <c r="F4667" s="104"/>
      <c r="G4667" s="105">
        <f t="shared" si="288"/>
        <v>3043.05</v>
      </c>
      <c r="H4667" s="101" t="str">
        <f t="shared" si="289"/>
        <v>Sinapi 44522</v>
      </c>
      <c r="I4667" s="101" t="str">
        <f t="shared" si="290"/>
        <v>M</v>
      </c>
      <c r="J4667" s="140" t="str">
        <f t="shared" si="291"/>
        <v>TUBO DE POLIETILENO DE ALTA DENSIDADE, PEAD, PE-80, DE= 500 MM X 45,5 MM PAREDE, ( SDR 11 - PN 12,5 ) PARA REDE DE AGUA OU ESGOTO ( NBR 15561)</v>
      </c>
    </row>
    <row r="4668" spans="1:10" x14ac:dyDescent="0.25">
      <c r="A4668" s="169">
        <v>44523</v>
      </c>
      <c r="B4668" s="169" t="s">
        <v>28175</v>
      </c>
      <c r="C4668" s="169" t="s">
        <v>10229</v>
      </c>
      <c r="D4668" s="169" t="s">
        <v>1290</v>
      </c>
      <c r="E4668" s="103" t="s">
        <v>22953</v>
      </c>
      <c r="F4668" s="104"/>
      <c r="G4668" s="105">
        <f t="shared" si="288"/>
        <v>4525.87</v>
      </c>
      <c r="H4668" s="101" t="str">
        <f t="shared" si="289"/>
        <v>Sinapi 44523</v>
      </c>
      <c r="I4668" s="101" t="str">
        <f t="shared" si="290"/>
        <v>M</v>
      </c>
      <c r="J4668" s="140" t="str">
        <f t="shared" si="291"/>
        <v>TUBO DE POLIETILENO DE ALTA DENSIDADE, PEAD, PE-80, DE= 630 MM X 57,3 MM PAREDE (SDR 11 - PN 12,5 ) PARA REDE DE AGUA OU ESGOTO ( NBR 15561)</v>
      </c>
    </row>
    <row r="4669" spans="1:10" x14ac:dyDescent="0.25">
      <c r="A4669" s="169">
        <v>44527</v>
      </c>
      <c r="B4669" s="169" t="s">
        <v>28176</v>
      </c>
      <c r="C4669" s="169" t="s">
        <v>10229</v>
      </c>
      <c r="D4669" s="169" t="s">
        <v>1290</v>
      </c>
      <c r="E4669" s="103" t="s">
        <v>22954</v>
      </c>
      <c r="F4669" s="104"/>
      <c r="G4669" s="105">
        <f t="shared" si="288"/>
        <v>2269.61</v>
      </c>
      <c r="H4669" s="101" t="str">
        <f t="shared" si="289"/>
        <v>Sinapi 44527</v>
      </c>
      <c r="I4669" s="101" t="str">
        <f t="shared" si="290"/>
        <v>M</v>
      </c>
      <c r="J4669" s="140" t="str">
        <f t="shared" si="291"/>
        <v>TUBO DE POLIETILENO DE ALTA DENSIDADE, PEAD, PE-80, DE= 730 MM X 34,1 MM PAREDE, ( SDR 21 - PN 06 ) PARA REDE DE AGUA OU ESGOTO ( NBR 15561)</v>
      </c>
    </row>
    <row r="4670" spans="1:10" x14ac:dyDescent="0.25">
      <c r="A4670" s="169">
        <v>44524</v>
      </c>
      <c r="B4670" s="169" t="s">
        <v>28177</v>
      </c>
      <c r="C4670" s="169" t="s">
        <v>10229</v>
      </c>
      <c r="D4670" s="169" t="s">
        <v>1290</v>
      </c>
      <c r="E4670" s="103" t="s">
        <v>21168</v>
      </c>
      <c r="F4670" s="104"/>
      <c r="G4670" s="105">
        <f t="shared" si="288"/>
        <v>62.53</v>
      </c>
      <c r="H4670" s="101" t="str">
        <f t="shared" si="289"/>
        <v>Sinapi 44524</v>
      </c>
      <c r="I4670" s="101" t="str">
        <f t="shared" si="290"/>
        <v>M</v>
      </c>
      <c r="J4670" s="140" t="str">
        <f t="shared" si="291"/>
        <v>TUBO DE POLIETILENO DE ALTA DENSIDADE, PEAD, PE-80, DE= 75 MM X 6,9 MM PAREDE, ( SRD 11 - PN 12,5 ) PARA REDE DE AGUA OU ESGOTO ( NBR 15561)</v>
      </c>
    </row>
    <row r="4671" spans="1:10" x14ac:dyDescent="0.25">
      <c r="A4671" s="169">
        <v>44542</v>
      </c>
      <c r="B4671" s="169" t="s">
        <v>28178</v>
      </c>
      <c r="C4671" s="169" t="s">
        <v>10229</v>
      </c>
      <c r="D4671" s="169" t="s">
        <v>1290</v>
      </c>
      <c r="E4671" s="103" t="s">
        <v>22955</v>
      </c>
      <c r="F4671" s="104"/>
      <c r="G4671" s="105">
        <f t="shared" si="288"/>
        <v>2961.08</v>
      </c>
      <c r="H4671" s="101" t="str">
        <f t="shared" si="289"/>
        <v>Sinapi 44542</v>
      </c>
      <c r="I4671" s="101" t="str">
        <f t="shared" si="290"/>
        <v>M</v>
      </c>
      <c r="J4671" s="140" t="str">
        <f t="shared" si="291"/>
        <v>TUBO DE POLIETILENO DE ALTA DENSIDADE, PEAD, PE-80, DE= 800 MM X 30,8 MM PAREDE, ( SDR 26 - PN 05 ) PARA REDE DE AGUA OU ESGOTO ( NBR 15561)</v>
      </c>
    </row>
    <row r="4672" spans="1:10" x14ac:dyDescent="0.25">
      <c r="A4672" s="169">
        <v>9877</v>
      </c>
      <c r="B4672" s="169" t="s">
        <v>28179</v>
      </c>
      <c r="C4672" s="169" t="s">
        <v>10229</v>
      </c>
      <c r="D4672" s="169" t="s">
        <v>1289</v>
      </c>
      <c r="E4672" s="103" t="s">
        <v>31240</v>
      </c>
      <c r="F4672" s="104"/>
      <c r="G4672" s="105">
        <f t="shared" si="288"/>
        <v>124.46</v>
      </c>
      <c r="H4672" s="101" t="str">
        <f t="shared" si="289"/>
        <v>Sinapi 9877</v>
      </c>
      <c r="I4672" s="101" t="str">
        <f t="shared" si="290"/>
        <v>M</v>
      </c>
      <c r="J4672" s="140" t="str">
        <f t="shared" si="291"/>
        <v>TUBO DE PVC, PBL, TIPO LEVE, DN = 250 MM, PARA VENTILACAO</v>
      </c>
    </row>
    <row r="4673" spans="1:10" x14ac:dyDescent="0.25">
      <c r="A4673" s="169">
        <v>9878</v>
      </c>
      <c r="B4673" s="169" t="s">
        <v>28180</v>
      </c>
      <c r="C4673" s="169" t="s">
        <v>10229</v>
      </c>
      <c r="D4673" s="169" t="s">
        <v>1289</v>
      </c>
      <c r="E4673" s="103" t="s">
        <v>31496</v>
      </c>
      <c r="F4673" s="104"/>
      <c r="G4673" s="105">
        <f t="shared" si="288"/>
        <v>153.22</v>
      </c>
      <c r="H4673" s="101" t="str">
        <f t="shared" si="289"/>
        <v>Sinapi 9878</v>
      </c>
      <c r="I4673" s="101" t="str">
        <f t="shared" si="290"/>
        <v>M</v>
      </c>
      <c r="J4673" s="140" t="str">
        <f t="shared" si="291"/>
        <v>TUBO DE PVC, PBL, TIPO LEVE, DN = 300 MM, PARA VENTILACAO</v>
      </c>
    </row>
    <row r="4674" spans="1:10" x14ac:dyDescent="0.25">
      <c r="A4674" s="169">
        <v>41986</v>
      </c>
      <c r="B4674" s="169" t="s">
        <v>28181</v>
      </c>
      <c r="C4674" s="169" t="s">
        <v>10229</v>
      </c>
      <c r="D4674" s="169" t="s">
        <v>1290</v>
      </c>
      <c r="E4674" s="103" t="s">
        <v>31497</v>
      </c>
      <c r="F4674" s="104"/>
      <c r="G4674" s="105">
        <f t="shared" si="288"/>
        <v>3732.64</v>
      </c>
      <c r="H4674" s="101" t="str">
        <f t="shared" si="289"/>
        <v>Sinapi 41986</v>
      </c>
      <c r="I4674" s="101" t="str">
        <f t="shared" si="290"/>
        <v>M</v>
      </c>
      <c r="J4674" s="140" t="str">
        <f t="shared" si="291"/>
        <v>TUBO DE REVESTIMENTO, EM ACO, CORPO SCHEDULE 40, PONTEIRA SCHEDULE 80, ROSQUEAVEL E SEGMENTADO PARA PERFURACAO, DIAMETRO 10'' (310 MM)</v>
      </c>
    </row>
    <row r="4675" spans="1:10" x14ac:dyDescent="0.25">
      <c r="A4675" s="169">
        <v>43422</v>
      </c>
      <c r="B4675" s="169" t="s">
        <v>28182</v>
      </c>
      <c r="C4675" s="169" t="s">
        <v>10229</v>
      </c>
      <c r="D4675" s="169" t="s">
        <v>1290</v>
      </c>
      <c r="E4675" s="103" t="s">
        <v>31498</v>
      </c>
      <c r="F4675" s="104"/>
      <c r="G4675" s="105">
        <f t="shared" si="288"/>
        <v>4577.71</v>
      </c>
      <c r="H4675" s="101" t="str">
        <f t="shared" si="289"/>
        <v>Sinapi 43422</v>
      </c>
      <c r="I4675" s="101" t="str">
        <f t="shared" si="290"/>
        <v>M</v>
      </c>
      <c r="J4675" s="140" t="str">
        <f t="shared" si="291"/>
        <v>TUBO DE REVESTIMENTO, EM ACO, CORPO SCHEDULE 40, PONTEIRA SCHEDULE 80, ROSQUEAVEL E SEGMENTADO PARA PERFURACAO, DIAMETRO 12" (320 MM)</v>
      </c>
    </row>
    <row r="4676" spans="1:10" x14ac:dyDescent="0.25">
      <c r="A4676" s="169">
        <v>41987</v>
      </c>
      <c r="B4676" s="169" t="s">
        <v>28183</v>
      </c>
      <c r="C4676" s="169" t="s">
        <v>10229</v>
      </c>
      <c r="D4676" s="169" t="s">
        <v>1290</v>
      </c>
      <c r="E4676" s="103" t="s">
        <v>31499</v>
      </c>
      <c r="F4676" s="104"/>
      <c r="G4676" s="105">
        <f t="shared" si="288"/>
        <v>5305.95</v>
      </c>
      <c r="H4676" s="101" t="str">
        <f t="shared" si="289"/>
        <v>Sinapi 41987</v>
      </c>
      <c r="I4676" s="101" t="str">
        <f t="shared" si="290"/>
        <v>M</v>
      </c>
      <c r="J4676" s="140" t="str">
        <f t="shared" si="291"/>
        <v>TUBO DE REVESTIMENTO, EM ACO, CORPO SCHEDULE 40, PONTEIRA SCHEDULE 80, ROSQUEAVEL E SEGMENTADO PARA PERFURACAO, DIAMETRO 14'' (400 MM)</v>
      </c>
    </row>
    <row r="4677" spans="1:10" x14ac:dyDescent="0.25">
      <c r="A4677" s="169">
        <v>41988</v>
      </c>
      <c r="B4677" s="169" t="s">
        <v>28184</v>
      </c>
      <c r="C4677" s="169" t="s">
        <v>10229</v>
      </c>
      <c r="D4677" s="169" t="s">
        <v>1290</v>
      </c>
      <c r="E4677" s="103" t="s">
        <v>31500</v>
      </c>
      <c r="F4677" s="104"/>
      <c r="G4677" s="105">
        <f t="shared" si="288"/>
        <v>7008.4</v>
      </c>
      <c r="H4677" s="101" t="str">
        <f t="shared" si="289"/>
        <v>Sinapi 41988</v>
      </c>
      <c r="I4677" s="101" t="str">
        <f t="shared" si="290"/>
        <v>M</v>
      </c>
      <c r="J4677" s="140" t="str">
        <f t="shared" si="291"/>
        <v>TUBO DE REVESTIMENTO, EM ACO, CORPO SCHEDULE 40, PONTEIRA SCHEDULE 80, ROSQUEAVEL E SEGMENTADO PARA PERFURACAO, DIAMETRO 16'' (450 MM)</v>
      </c>
    </row>
    <row r="4678" spans="1:10" x14ac:dyDescent="0.25">
      <c r="A4678" s="169">
        <v>41697</v>
      </c>
      <c r="B4678" s="169" t="s">
        <v>28185</v>
      </c>
      <c r="C4678" s="169" t="s">
        <v>10229</v>
      </c>
      <c r="D4678" s="169" t="s">
        <v>1290</v>
      </c>
      <c r="E4678" s="103" t="s">
        <v>31501</v>
      </c>
      <c r="F4678" s="104"/>
      <c r="G4678" s="105">
        <f t="shared" si="288"/>
        <v>1242.22</v>
      </c>
      <c r="H4678" s="101" t="str">
        <f t="shared" si="289"/>
        <v>Sinapi 41697</v>
      </c>
      <c r="I4678" s="101" t="str">
        <f t="shared" si="290"/>
        <v>M</v>
      </c>
      <c r="J4678" s="140" t="str">
        <f t="shared" si="291"/>
        <v>TUBO DE REVESTIMENTO, EM ACO, CORPO SCHEDULE 40, PONTEIRA SCHEDULE 80, ROSQUEAVEL E SEGMENTADO PARA PERFURACAO, DIAMETRO 4'' (450 MM)</v>
      </c>
    </row>
    <row r="4679" spans="1:10" x14ac:dyDescent="0.25">
      <c r="A4679" s="169">
        <v>41985</v>
      </c>
      <c r="B4679" s="169" t="s">
        <v>28186</v>
      </c>
      <c r="C4679" s="169" t="s">
        <v>10229</v>
      </c>
      <c r="D4679" s="169" t="s">
        <v>1290</v>
      </c>
      <c r="E4679" s="103" t="s">
        <v>31502</v>
      </c>
      <c r="F4679" s="104"/>
      <c r="G4679" s="105">
        <f t="shared" si="288"/>
        <v>1730.08</v>
      </c>
      <c r="H4679" s="101" t="str">
        <f t="shared" si="289"/>
        <v>Sinapi 41985</v>
      </c>
      <c r="I4679" s="101" t="str">
        <f t="shared" si="290"/>
        <v>M</v>
      </c>
      <c r="J4679" s="140" t="str">
        <f t="shared" si="291"/>
        <v>TUBO DE REVESTIMENTO, EM ACO, CORPO SCHEDULE 40, PONTEIRA SCHEDULE 80, ROSQUEAVEL E SEGMENTADO PARA PERFURACAO, DIAMETRO 6'' (200 MM)</v>
      </c>
    </row>
    <row r="4680" spans="1:10" x14ac:dyDescent="0.25">
      <c r="A4680" s="169">
        <v>41699</v>
      </c>
      <c r="B4680" s="169" t="s">
        <v>28187</v>
      </c>
      <c r="C4680" s="169" t="s">
        <v>10229</v>
      </c>
      <c r="D4680" s="169" t="s">
        <v>1290</v>
      </c>
      <c r="E4680" s="103" t="s">
        <v>31503</v>
      </c>
      <c r="F4680" s="104"/>
      <c r="G4680" s="105">
        <f t="shared" ref="G4680:G4743" si="292">IF(E4680="","",E4680+0)</f>
        <v>2463.54</v>
      </c>
      <c r="H4680" s="101" t="str">
        <f t="shared" ref="H4680:H4743" si="293">IF(G4680="","",TRIM(CONCATENATE("Sinapi ",A4680)))</f>
        <v>Sinapi 41699</v>
      </c>
      <c r="I4680" s="101" t="str">
        <f t="shared" ref="I4680:I4743" si="294">TRIM(C4680)</f>
        <v>M</v>
      </c>
      <c r="J4680" s="140" t="str">
        <f t="shared" si="291"/>
        <v>TUBO DE REVESTIMENTO, EM ACO, CORPO SCHEDULE 40, PONTEIRA SCHEDULE 80, ROSQUEAVEL E SEGMENTADO PARA PERFURACAO, DIAMETRO 8'' (200 MM)</v>
      </c>
    </row>
    <row r="4681" spans="1:10" x14ac:dyDescent="0.25">
      <c r="A4681" s="169">
        <v>38053</v>
      </c>
      <c r="B4681" s="169" t="s">
        <v>28188</v>
      </c>
      <c r="C4681" s="169" t="s">
        <v>10229</v>
      </c>
      <c r="D4681" s="169" t="s">
        <v>1290</v>
      </c>
      <c r="E4681" s="103" t="s">
        <v>20988</v>
      </c>
      <c r="F4681" s="104"/>
      <c r="G4681" s="105">
        <f t="shared" si="292"/>
        <v>24.47</v>
      </c>
      <c r="H4681" s="101" t="str">
        <f t="shared" si="293"/>
        <v>Sinapi 38053</v>
      </c>
      <c r="I4681" s="101" t="str">
        <f t="shared" si="294"/>
        <v>M</v>
      </c>
      <c r="J4681" s="140" t="str">
        <f t="shared" ref="J4681:J4744" si="295">TRIM(B4681)</f>
        <v>TUBO DRENO, CORRUGADO, ESPIRALADO, FLEXIVEL, PERFURADO, EM POLIETILENO DE ALTA DENSIDADE (PEAD), DN *160* MM, (6") PARA DRENAGEM - EM BARRA (NORMA DNIT 093/2006 - EM)</v>
      </c>
    </row>
    <row r="4682" spans="1:10" x14ac:dyDescent="0.25">
      <c r="A4682" s="169">
        <v>38054</v>
      </c>
      <c r="B4682" s="169" t="s">
        <v>28189</v>
      </c>
      <c r="C4682" s="169" t="s">
        <v>10229</v>
      </c>
      <c r="D4682" s="169" t="s">
        <v>1290</v>
      </c>
      <c r="E4682" s="103" t="s">
        <v>20103</v>
      </c>
      <c r="F4682" s="104"/>
      <c r="G4682" s="105">
        <f t="shared" si="292"/>
        <v>42.07</v>
      </c>
      <c r="H4682" s="101" t="str">
        <f t="shared" si="293"/>
        <v>Sinapi 38054</v>
      </c>
      <c r="I4682" s="101" t="str">
        <f t="shared" si="294"/>
        <v>M</v>
      </c>
      <c r="J4682" s="140" t="str">
        <f t="shared" si="295"/>
        <v>TUBO DRENO, CORRUGADO, ESPIRALADO, FLEXIVEL, PERFURADO, EM POLIETILENO DE ALTA DENSIDADE (PEAD), DN *200* MM, (8") PARA DRENAGEM - EM BARRA (NORMA DNIT 093/2006 - EM)</v>
      </c>
    </row>
    <row r="4683" spans="1:10" x14ac:dyDescent="0.25">
      <c r="A4683" s="169">
        <v>38052</v>
      </c>
      <c r="B4683" s="169" t="s">
        <v>968</v>
      </c>
      <c r="C4683" s="169" t="s">
        <v>10229</v>
      </c>
      <c r="D4683" s="169" t="s">
        <v>1290</v>
      </c>
      <c r="E4683" s="103" t="s">
        <v>5664</v>
      </c>
      <c r="F4683" s="104"/>
      <c r="G4683" s="105">
        <f t="shared" si="292"/>
        <v>11.85</v>
      </c>
      <c r="H4683" s="101" t="str">
        <f t="shared" si="293"/>
        <v>Sinapi 38052</v>
      </c>
      <c r="I4683" s="101" t="str">
        <f t="shared" si="294"/>
        <v>M</v>
      </c>
      <c r="J4683" s="140" t="str">
        <f t="shared" si="295"/>
        <v>TUBO DRENO, CORRUGADO, ESPIRALADO, FLEXIVEL, PERFURADO, EM POLIETILENO DE ALTA DENSIDADE (PEAD), DN 100 MM, (4") PARA DRENAGEM - EM ROLO (NORMA DNIT 093/2006 - E.M)</v>
      </c>
    </row>
    <row r="4684" spans="1:10" x14ac:dyDescent="0.25">
      <c r="A4684" s="169">
        <v>38051</v>
      </c>
      <c r="B4684" s="169" t="s">
        <v>28190</v>
      </c>
      <c r="C4684" s="169" t="s">
        <v>10229</v>
      </c>
      <c r="D4684" s="169" t="s">
        <v>1290</v>
      </c>
      <c r="E4684" s="103" t="s">
        <v>17946</v>
      </c>
      <c r="F4684" s="104"/>
      <c r="G4684" s="105">
        <f t="shared" si="292"/>
        <v>7.39</v>
      </c>
      <c r="H4684" s="101" t="str">
        <f t="shared" si="293"/>
        <v>Sinapi 38051</v>
      </c>
      <c r="I4684" s="101" t="str">
        <f t="shared" si="294"/>
        <v>M</v>
      </c>
      <c r="J4684" s="140" t="str">
        <f t="shared" si="295"/>
        <v>TUBO DRENO, CORRUGADO, ESPIRALADO, FLEXIVEL, PERFURADO, EM POLIETILENO DE ALTA DENSIDADE (PEAD), DN 65 MM, (2 1/2") PARA DRENAGEM - EM ROLO (NORMA DNIT 093/2006 - EM)</v>
      </c>
    </row>
    <row r="4685" spans="1:10" x14ac:dyDescent="0.25">
      <c r="A4685" s="169">
        <v>38787</v>
      </c>
      <c r="B4685" s="169" t="s">
        <v>28191</v>
      </c>
      <c r="C4685" s="169" t="s">
        <v>10229</v>
      </c>
      <c r="D4685" s="169" t="s">
        <v>1290</v>
      </c>
      <c r="E4685" s="103" t="s">
        <v>5190</v>
      </c>
      <c r="F4685" s="104"/>
      <c r="G4685" s="105">
        <f t="shared" si="292"/>
        <v>5.66</v>
      </c>
      <c r="H4685" s="101" t="str">
        <f t="shared" si="293"/>
        <v>Sinapi 38787</v>
      </c>
      <c r="I4685" s="101" t="str">
        <f t="shared" si="294"/>
        <v>M</v>
      </c>
      <c r="J4685" s="140" t="str">
        <f t="shared" si="295"/>
        <v>TUBO MONOCAMADA PEX, DN 16 MM, PARA AGUA QUENTE E FRIA</v>
      </c>
    </row>
    <row r="4686" spans="1:10" x14ac:dyDescent="0.25">
      <c r="A4686" s="169">
        <v>38825</v>
      </c>
      <c r="B4686" s="169" t="s">
        <v>28192</v>
      </c>
      <c r="C4686" s="169" t="s">
        <v>10229</v>
      </c>
      <c r="D4686" s="169" t="s">
        <v>1290</v>
      </c>
      <c r="E4686" s="103" t="s">
        <v>29540</v>
      </c>
      <c r="F4686" s="104"/>
      <c r="G4686" s="105">
        <f t="shared" si="292"/>
        <v>7.31</v>
      </c>
      <c r="H4686" s="101" t="str">
        <f t="shared" si="293"/>
        <v>Sinapi 38825</v>
      </c>
      <c r="I4686" s="101" t="str">
        <f t="shared" si="294"/>
        <v>M</v>
      </c>
      <c r="J4686" s="140" t="str">
        <f t="shared" si="295"/>
        <v>TUBO MONOCAMADA PEX, DN 20 MM, PARA AGUA QUENTE E FRIA</v>
      </c>
    </row>
    <row r="4687" spans="1:10" x14ac:dyDescent="0.25">
      <c r="A4687" s="169">
        <v>38826</v>
      </c>
      <c r="B4687" s="169" t="s">
        <v>28193</v>
      </c>
      <c r="C4687" s="169" t="s">
        <v>10229</v>
      </c>
      <c r="D4687" s="169" t="s">
        <v>1290</v>
      </c>
      <c r="E4687" s="103" t="s">
        <v>12326</v>
      </c>
      <c r="F4687" s="104"/>
      <c r="G4687" s="105">
        <f t="shared" si="292"/>
        <v>10.4</v>
      </c>
      <c r="H4687" s="101" t="str">
        <f t="shared" si="293"/>
        <v>Sinapi 38826</v>
      </c>
      <c r="I4687" s="101" t="str">
        <f t="shared" si="294"/>
        <v>M</v>
      </c>
      <c r="J4687" s="140" t="str">
        <f t="shared" si="295"/>
        <v>TUBO MONOCAMADA PEX, DN 25 MM, PARA AGUA QUENTE E FRIA</v>
      </c>
    </row>
    <row r="4688" spans="1:10" x14ac:dyDescent="0.25">
      <c r="A4688" s="169">
        <v>38827</v>
      </c>
      <c r="B4688" s="169" t="s">
        <v>28194</v>
      </c>
      <c r="C4688" s="169" t="s">
        <v>10229</v>
      </c>
      <c r="D4688" s="169" t="s">
        <v>1290</v>
      </c>
      <c r="E4688" s="103" t="s">
        <v>29665</v>
      </c>
      <c r="F4688" s="104"/>
      <c r="G4688" s="105">
        <f t="shared" si="292"/>
        <v>17.02</v>
      </c>
      <c r="H4688" s="101" t="str">
        <f t="shared" si="293"/>
        <v>Sinapi 38827</v>
      </c>
      <c r="I4688" s="101" t="str">
        <f t="shared" si="294"/>
        <v>M</v>
      </c>
      <c r="J4688" s="140" t="str">
        <f t="shared" si="295"/>
        <v>TUBO MONOCAMADA PEX, DN 32 MM, PARA AGUA QUENTE E FRIA</v>
      </c>
    </row>
    <row r="4689" spans="1:10" x14ac:dyDescent="0.25">
      <c r="A4689" s="169">
        <v>38830</v>
      </c>
      <c r="B4689" s="169" t="s">
        <v>10293</v>
      </c>
      <c r="C4689" s="169" t="s">
        <v>10229</v>
      </c>
      <c r="D4689" s="169" t="s">
        <v>1290</v>
      </c>
      <c r="E4689" s="103" t="s">
        <v>30828</v>
      </c>
      <c r="F4689" s="104"/>
      <c r="G4689" s="105">
        <f t="shared" si="292"/>
        <v>24.72</v>
      </c>
      <c r="H4689" s="101" t="str">
        <f t="shared" si="293"/>
        <v>Sinapi 38830</v>
      </c>
      <c r="I4689" s="101" t="str">
        <f t="shared" si="294"/>
        <v>M</v>
      </c>
      <c r="J4689" s="140" t="str">
        <f t="shared" si="295"/>
        <v>TUBO MULTICAMADA PEX, DN *26* MM, PARA INSTALACOES A GAS (AMARELO)</v>
      </c>
    </row>
    <row r="4690" spans="1:10" x14ac:dyDescent="0.25">
      <c r="A4690" s="169">
        <v>38828</v>
      </c>
      <c r="B4690" s="169" t="s">
        <v>28195</v>
      </c>
      <c r="C4690" s="169" t="s">
        <v>10229</v>
      </c>
      <c r="D4690" s="169" t="s">
        <v>1290</v>
      </c>
      <c r="E4690" s="103" t="s">
        <v>15699</v>
      </c>
      <c r="F4690" s="104"/>
      <c r="G4690" s="105">
        <f t="shared" si="292"/>
        <v>10.9</v>
      </c>
      <c r="H4690" s="101" t="str">
        <f t="shared" si="293"/>
        <v>Sinapi 38828</v>
      </c>
      <c r="I4690" s="101" t="str">
        <f t="shared" si="294"/>
        <v>M</v>
      </c>
      <c r="J4690" s="140" t="str">
        <f t="shared" si="295"/>
        <v>TUBO MULTICAMADA PEX, DN 16 MM, PARA INSTALACOES A GAS (AMARELO)</v>
      </c>
    </row>
    <row r="4691" spans="1:10" x14ac:dyDescent="0.25">
      <c r="A4691" s="169">
        <v>38829</v>
      </c>
      <c r="B4691" s="169" t="s">
        <v>10294</v>
      </c>
      <c r="C4691" s="169" t="s">
        <v>10229</v>
      </c>
      <c r="D4691" s="169" t="s">
        <v>1290</v>
      </c>
      <c r="E4691" s="103" t="s">
        <v>17926</v>
      </c>
      <c r="F4691" s="104"/>
      <c r="G4691" s="105">
        <f t="shared" si="292"/>
        <v>17.850000000000001</v>
      </c>
      <c r="H4691" s="101" t="str">
        <f t="shared" si="293"/>
        <v>Sinapi 38829</v>
      </c>
      <c r="I4691" s="101" t="str">
        <f t="shared" si="294"/>
        <v>M</v>
      </c>
      <c r="J4691" s="140" t="str">
        <f t="shared" si="295"/>
        <v>TUBO MULTICAMADA PEX, DN 20 MM, PARA INSTALACOES A GAS (AMARELO)</v>
      </c>
    </row>
    <row r="4692" spans="1:10" x14ac:dyDescent="0.25">
      <c r="A4692" s="169">
        <v>38831</v>
      </c>
      <c r="B4692" s="169" t="s">
        <v>28196</v>
      </c>
      <c r="C4692" s="169" t="s">
        <v>10229</v>
      </c>
      <c r="D4692" s="169" t="s">
        <v>1290</v>
      </c>
      <c r="E4692" s="103" t="s">
        <v>21039</v>
      </c>
      <c r="F4692" s="104"/>
      <c r="G4692" s="105">
        <f t="shared" si="292"/>
        <v>34.479999999999997</v>
      </c>
      <c r="H4692" s="101" t="str">
        <f t="shared" si="293"/>
        <v>Sinapi 38831</v>
      </c>
      <c r="I4692" s="101" t="str">
        <f t="shared" si="294"/>
        <v>M</v>
      </c>
      <c r="J4692" s="140" t="str">
        <f t="shared" si="295"/>
        <v>TUBO MULTICAMADA PEX, DN 32 MM, PARA INSTALACOES A GAS (AMARELO)</v>
      </c>
    </row>
    <row r="4693" spans="1:10" x14ac:dyDescent="0.25">
      <c r="A4693" s="169">
        <v>36274</v>
      </c>
      <c r="B4693" s="169" t="s">
        <v>28197</v>
      </c>
      <c r="C4693" s="169" t="s">
        <v>10229</v>
      </c>
      <c r="D4693" s="169" t="s">
        <v>1290</v>
      </c>
      <c r="E4693" s="103" t="s">
        <v>29566</v>
      </c>
      <c r="F4693" s="104"/>
      <c r="G4693" s="105">
        <f t="shared" si="292"/>
        <v>8.94</v>
      </c>
      <c r="H4693" s="101" t="str">
        <f t="shared" si="293"/>
        <v>Sinapi 36274</v>
      </c>
      <c r="I4693" s="101" t="str">
        <f t="shared" si="294"/>
        <v>M</v>
      </c>
      <c r="J4693" s="140" t="str">
        <f t="shared" si="295"/>
        <v>TUBO PPR PN 20, DN 20 MM, PARA AGUA QUENTE PREDIAL</v>
      </c>
    </row>
    <row r="4694" spans="1:10" x14ac:dyDescent="0.25">
      <c r="A4694" s="169">
        <v>36278</v>
      </c>
      <c r="B4694" s="169" t="s">
        <v>28198</v>
      </c>
      <c r="C4694" s="169" t="s">
        <v>10229</v>
      </c>
      <c r="D4694" s="169" t="s">
        <v>1290</v>
      </c>
      <c r="E4694" s="103" t="s">
        <v>11275</v>
      </c>
      <c r="F4694" s="104"/>
      <c r="G4694" s="105">
        <f t="shared" si="292"/>
        <v>12.12</v>
      </c>
      <c r="H4694" s="101" t="str">
        <f t="shared" si="293"/>
        <v>Sinapi 36278</v>
      </c>
      <c r="I4694" s="101" t="str">
        <f t="shared" si="294"/>
        <v>M</v>
      </c>
      <c r="J4694" s="140" t="str">
        <f t="shared" si="295"/>
        <v>TUBO PPR PN 20, DN 25 MM, PARA AGUA QUENTE PREDIAL</v>
      </c>
    </row>
    <row r="4695" spans="1:10" x14ac:dyDescent="0.25">
      <c r="A4695" s="169">
        <v>38977</v>
      </c>
      <c r="B4695" s="169" t="s">
        <v>28199</v>
      </c>
      <c r="C4695" s="169" t="s">
        <v>10229</v>
      </c>
      <c r="D4695" s="169" t="s">
        <v>1290</v>
      </c>
      <c r="E4695" s="103" t="s">
        <v>28817</v>
      </c>
      <c r="F4695" s="104"/>
      <c r="G4695" s="105">
        <f t="shared" si="292"/>
        <v>118.6</v>
      </c>
      <c r="H4695" s="101" t="str">
        <f t="shared" si="293"/>
        <v>Sinapi 38977</v>
      </c>
      <c r="I4695" s="101" t="str">
        <f t="shared" si="294"/>
        <v>M</v>
      </c>
      <c r="J4695" s="140" t="str">
        <f t="shared" si="295"/>
        <v>TUBO PPR, CLASSE PN 12, DN 110 MM</v>
      </c>
    </row>
    <row r="4696" spans="1:10" x14ac:dyDescent="0.25">
      <c r="A4696" s="169">
        <v>38971</v>
      </c>
      <c r="B4696" s="169" t="s">
        <v>28200</v>
      </c>
      <c r="C4696" s="169" t="s">
        <v>10229</v>
      </c>
      <c r="D4696" s="169" t="s">
        <v>1290</v>
      </c>
      <c r="E4696" s="103" t="s">
        <v>16345</v>
      </c>
      <c r="F4696" s="104"/>
      <c r="G4696" s="105">
        <f t="shared" si="292"/>
        <v>9.9499999999999993</v>
      </c>
      <c r="H4696" s="101" t="str">
        <f t="shared" si="293"/>
        <v>Sinapi 38971</v>
      </c>
      <c r="I4696" s="101" t="str">
        <f t="shared" si="294"/>
        <v>M</v>
      </c>
      <c r="J4696" s="140" t="str">
        <f t="shared" si="295"/>
        <v>TUBO PPR, CLASSE PN 12, DN 32 MM</v>
      </c>
    </row>
    <row r="4697" spans="1:10" x14ac:dyDescent="0.25">
      <c r="A4697" s="169">
        <v>38972</v>
      </c>
      <c r="B4697" s="169" t="s">
        <v>28201</v>
      </c>
      <c r="C4697" s="169" t="s">
        <v>10229</v>
      </c>
      <c r="D4697" s="169" t="s">
        <v>1290</v>
      </c>
      <c r="E4697" s="103" t="s">
        <v>19857</v>
      </c>
      <c r="F4697" s="104"/>
      <c r="G4697" s="105">
        <f t="shared" si="292"/>
        <v>13.42</v>
      </c>
      <c r="H4697" s="101" t="str">
        <f t="shared" si="293"/>
        <v>Sinapi 38972</v>
      </c>
      <c r="I4697" s="101" t="str">
        <f t="shared" si="294"/>
        <v>M</v>
      </c>
      <c r="J4697" s="140" t="str">
        <f t="shared" si="295"/>
        <v>TUBO PPR, CLASSE PN 12, DN 40 MM</v>
      </c>
    </row>
    <row r="4698" spans="1:10" x14ac:dyDescent="0.25">
      <c r="A4698" s="169">
        <v>38973</v>
      </c>
      <c r="B4698" s="169" t="s">
        <v>28202</v>
      </c>
      <c r="C4698" s="169" t="s">
        <v>10229</v>
      </c>
      <c r="D4698" s="169" t="s">
        <v>1290</v>
      </c>
      <c r="E4698" s="103" t="s">
        <v>15640</v>
      </c>
      <c r="F4698" s="104"/>
      <c r="G4698" s="105">
        <f t="shared" si="292"/>
        <v>22.17</v>
      </c>
      <c r="H4698" s="101" t="str">
        <f t="shared" si="293"/>
        <v>Sinapi 38973</v>
      </c>
      <c r="I4698" s="101" t="str">
        <f t="shared" si="294"/>
        <v>M</v>
      </c>
      <c r="J4698" s="140" t="str">
        <f t="shared" si="295"/>
        <v>TUBO PPR, CLASSE PN 12, DN 50 MM</v>
      </c>
    </row>
    <row r="4699" spans="1:10" x14ac:dyDescent="0.25">
      <c r="A4699" s="169">
        <v>38974</v>
      </c>
      <c r="B4699" s="169" t="s">
        <v>28203</v>
      </c>
      <c r="C4699" s="169" t="s">
        <v>10229</v>
      </c>
      <c r="D4699" s="169" t="s">
        <v>1290</v>
      </c>
      <c r="E4699" s="103" t="s">
        <v>31504</v>
      </c>
      <c r="F4699" s="104"/>
      <c r="G4699" s="105">
        <f t="shared" si="292"/>
        <v>36.01</v>
      </c>
      <c r="H4699" s="101" t="str">
        <f t="shared" si="293"/>
        <v>Sinapi 38974</v>
      </c>
      <c r="I4699" s="101" t="str">
        <f t="shared" si="294"/>
        <v>M</v>
      </c>
      <c r="J4699" s="140" t="str">
        <f t="shared" si="295"/>
        <v>TUBO PPR, CLASSE PN 12, DN 63 MM</v>
      </c>
    </row>
    <row r="4700" spans="1:10" x14ac:dyDescent="0.25">
      <c r="A4700" s="169">
        <v>38975</v>
      </c>
      <c r="B4700" s="169" t="s">
        <v>28205</v>
      </c>
      <c r="C4700" s="169" t="s">
        <v>10229</v>
      </c>
      <c r="D4700" s="169" t="s">
        <v>1290</v>
      </c>
      <c r="E4700" s="103" t="s">
        <v>31505</v>
      </c>
      <c r="F4700" s="104"/>
      <c r="G4700" s="105">
        <f t="shared" si="292"/>
        <v>46.17</v>
      </c>
      <c r="H4700" s="101" t="str">
        <f t="shared" si="293"/>
        <v>Sinapi 38975</v>
      </c>
      <c r="I4700" s="101" t="str">
        <f t="shared" si="294"/>
        <v>M</v>
      </c>
      <c r="J4700" s="140" t="str">
        <f t="shared" si="295"/>
        <v>TUBO PPR, CLASSE PN 12, DN 75 MM</v>
      </c>
    </row>
    <row r="4701" spans="1:10" x14ac:dyDescent="0.25">
      <c r="A4701" s="169">
        <v>38976</v>
      </c>
      <c r="B4701" s="169" t="s">
        <v>28206</v>
      </c>
      <c r="C4701" s="169" t="s">
        <v>10229</v>
      </c>
      <c r="D4701" s="169" t="s">
        <v>1290</v>
      </c>
      <c r="E4701" s="103" t="s">
        <v>31506</v>
      </c>
      <c r="F4701" s="104"/>
      <c r="G4701" s="105">
        <f t="shared" si="292"/>
        <v>79.38</v>
      </c>
      <c r="H4701" s="101" t="str">
        <f t="shared" si="293"/>
        <v>Sinapi 38976</v>
      </c>
      <c r="I4701" s="101" t="str">
        <f t="shared" si="294"/>
        <v>M</v>
      </c>
      <c r="J4701" s="140" t="str">
        <f t="shared" si="295"/>
        <v>TUBO PPR, CLASSE PN 12, DN 90 MM</v>
      </c>
    </row>
    <row r="4702" spans="1:10" x14ac:dyDescent="0.25">
      <c r="A4702" s="169">
        <v>44176</v>
      </c>
      <c r="B4702" s="169" t="s">
        <v>28207</v>
      </c>
      <c r="C4702" s="169" t="s">
        <v>10229</v>
      </c>
      <c r="D4702" s="169" t="s">
        <v>1290</v>
      </c>
      <c r="E4702" s="103" t="s">
        <v>20021</v>
      </c>
      <c r="F4702" s="104"/>
      <c r="G4702" s="105">
        <f t="shared" si="292"/>
        <v>18.239999999999998</v>
      </c>
      <c r="H4702" s="101" t="str">
        <f t="shared" si="293"/>
        <v>Sinapi 44176</v>
      </c>
      <c r="I4702" s="101" t="str">
        <f t="shared" si="294"/>
        <v>M</v>
      </c>
      <c r="J4702" s="140" t="str">
        <f t="shared" si="295"/>
        <v>TUBO PPR, CLASSE PN 20, SOLDAVEL, DN 32 MM PARA AGUA FRIA OU QUENTE PREDIAL</v>
      </c>
    </row>
    <row r="4703" spans="1:10" x14ac:dyDescent="0.25">
      <c r="A4703" s="169">
        <v>38986</v>
      </c>
      <c r="B4703" s="169" t="s">
        <v>28209</v>
      </c>
      <c r="C4703" s="169" t="s">
        <v>10229</v>
      </c>
      <c r="D4703" s="169" t="s">
        <v>1290</v>
      </c>
      <c r="E4703" s="103" t="s">
        <v>31507</v>
      </c>
      <c r="F4703" s="104"/>
      <c r="G4703" s="105">
        <f t="shared" si="292"/>
        <v>239.62</v>
      </c>
      <c r="H4703" s="101" t="str">
        <f t="shared" si="293"/>
        <v>Sinapi 38986</v>
      </c>
      <c r="I4703" s="101" t="str">
        <f t="shared" si="294"/>
        <v>M</v>
      </c>
      <c r="J4703" s="140" t="str">
        <f t="shared" si="295"/>
        <v>TUBO PPR, CLASSE PN 25, DN 110 MM, PARA AGUA QUENTE E FRIA PREDIAL</v>
      </c>
    </row>
    <row r="4704" spans="1:10" x14ac:dyDescent="0.25">
      <c r="A4704" s="169">
        <v>38978</v>
      </c>
      <c r="B4704" s="169" t="s">
        <v>28210</v>
      </c>
      <c r="C4704" s="169" t="s">
        <v>10229</v>
      </c>
      <c r="D4704" s="169" t="s">
        <v>1290</v>
      </c>
      <c r="E4704" s="103" t="s">
        <v>17491</v>
      </c>
      <c r="F4704" s="104"/>
      <c r="G4704" s="105">
        <f t="shared" si="292"/>
        <v>9.83</v>
      </c>
      <c r="H4704" s="101" t="str">
        <f t="shared" si="293"/>
        <v>Sinapi 38978</v>
      </c>
      <c r="I4704" s="101" t="str">
        <f t="shared" si="294"/>
        <v>M</v>
      </c>
      <c r="J4704" s="140" t="str">
        <f t="shared" si="295"/>
        <v>TUBO PPR, CLASSE PN 25, DN 20 MM, PARA AGUA QUENTE E FRIA PREDIAL</v>
      </c>
    </row>
    <row r="4705" spans="1:10" x14ac:dyDescent="0.25">
      <c r="A4705" s="169">
        <v>38979</v>
      </c>
      <c r="B4705" s="169" t="s">
        <v>28211</v>
      </c>
      <c r="C4705" s="169" t="s">
        <v>10229</v>
      </c>
      <c r="D4705" s="169" t="s">
        <v>1290</v>
      </c>
      <c r="E4705" s="103" t="s">
        <v>15778</v>
      </c>
      <c r="F4705" s="104"/>
      <c r="G4705" s="105">
        <f t="shared" si="292"/>
        <v>13.59</v>
      </c>
      <c r="H4705" s="101" t="str">
        <f t="shared" si="293"/>
        <v>Sinapi 38979</v>
      </c>
      <c r="I4705" s="101" t="str">
        <f t="shared" si="294"/>
        <v>M</v>
      </c>
      <c r="J4705" s="140" t="str">
        <f t="shared" si="295"/>
        <v>TUBO PPR, CLASSE PN 25, DN 25 MM, PARA AGUA QUENTE E FRIA PREDIAL</v>
      </c>
    </row>
    <row r="4706" spans="1:10" x14ac:dyDescent="0.25">
      <c r="A4706" s="169">
        <v>38980</v>
      </c>
      <c r="B4706" s="169" t="s">
        <v>28212</v>
      </c>
      <c r="C4706" s="169" t="s">
        <v>10229</v>
      </c>
      <c r="D4706" s="169" t="s">
        <v>1290</v>
      </c>
      <c r="E4706" s="103" t="s">
        <v>30688</v>
      </c>
      <c r="F4706" s="104"/>
      <c r="G4706" s="105">
        <f t="shared" si="292"/>
        <v>18.190000000000001</v>
      </c>
      <c r="H4706" s="101" t="str">
        <f t="shared" si="293"/>
        <v>Sinapi 38980</v>
      </c>
      <c r="I4706" s="101" t="str">
        <f t="shared" si="294"/>
        <v>M</v>
      </c>
      <c r="J4706" s="140" t="str">
        <f t="shared" si="295"/>
        <v>TUBO PPR, CLASSE PN 25, DN 32 MM, PARA AGUA QUENTE E FRIA PREDIAL</v>
      </c>
    </row>
    <row r="4707" spans="1:10" x14ac:dyDescent="0.25">
      <c r="A4707" s="169">
        <v>38981</v>
      </c>
      <c r="B4707" s="169" t="s">
        <v>28213</v>
      </c>
      <c r="C4707" s="169" t="s">
        <v>10229</v>
      </c>
      <c r="D4707" s="169" t="s">
        <v>1290</v>
      </c>
      <c r="E4707" s="103" t="s">
        <v>14928</v>
      </c>
      <c r="F4707" s="104"/>
      <c r="G4707" s="105">
        <f t="shared" si="292"/>
        <v>26.24</v>
      </c>
      <c r="H4707" s="101" t="str">
        <f t="shared" si="293"/>
        <v>Sinapi 38981</v>
      </c>
      <c r="I4707" s="101" t="str">
        <f t="shared" si="294"/>
        <v>M</v>
      </c>
      <c r="J4707" s="140" t="str">
        <f t="shared" si="295"/>
        <v>TUBO PPR, CLASSE PN 25, DN 40 MM, PARA AGUA QUENTE E FRIA PREDIAL</v>
      </c>
    </row>
    <row r="4708" spans="1:10" x14ac:dyDescent="0.25">
      <c r="A4708" s="169">
        <v>38982</v>
      </c>
      <c r="B4708" s="169" t="s">
        <v>28214</v>
      </c>
      <c r="C4708" s="169" t="s">
        <v>10229</v>
      </c>
      <c r="D4708" s="169" t="s">
        <v>1290</v>
      </c>
      <c r="E4708" s="103" t="s">
        <v>30945</v>
      </c>
      <c r="F4708" s="104"/>
      <c r="G4708" s="105">
        <f t="shared" si="292"/>
        <v>41.46</v>
      </c>
      <c r="H4708" s="101" t="str">
        <f t="shared" si="293"/>
        <v>Sinapi 38982</v>
      </c>
      <c r="I4708" s="101" t="str">
        <f t="shared" si="294"/>
        <v>M</v>
      </c>
      <c r="J4708" s="140" t="str">
        <f t="shared" si="295"/>
        <v>TUBO PPR, CLASSE PN 25, DN 50 MM, PARA AGUA QUENTE E FRIA PREDIAL</v>
      </c>
    </row>
    <row r="4709" spans="1:10" x14ac:dyDescent="0.25">
      <c r="A4709" s="169">
        <v>38983</v>
      </c>
      <c r="B4709" s="169" t="s">
        <v>28215</v>
      </c>
      <c r="C4709" s="169" t="s">
        <v>10229</v>
      </c>
      <c r="D4709" s="169" t="s">
        <v>1290</v>
      </c>
      <c r="E4709" s="103" t="s">
        <v>28944</v>
      </c>
      <c r="F4709" s="104"/>
      <c r="G4709" s="105">
        <f t="shared" si="292"/>
        <v>72.959999999999994</v>
      </c>
      <c r="H4709" s="101" t="str">
        <f t="shared" si="293"/>
        <v>Sinapi 38983</v>
      </c>
      <c r="I4709" s="101" t="str">
        <f t="shared" si="294"/>
        <v>M</v>
      </c>
      <c r="J4709" s="140" t="str">
        <f t="shared" si="295"/>
        <v>TUBO PPR, CLASSE PN 25, DN 63 MM, PARA AGUA QUENTE E FRIA PREDIAL</v>
      </c>
    </row>
    <row r="4710" spans="1:10" x14ac:dyDescent="0.25">
      <c r="A4710" s="169">
        <v>38984</v>
      </c>
      <c r="B4710" s="169" t="s">
        <v>28217</v>
      </c>
      <c r="C4710" s="169" t="s">
        <v>10229</v>
      </c>
      <c r="D4710" s="169" t="s">
        <v>1290</v>
      </c>
      <c r="E4710" s="103" t="s">
        <v>30162</v>
      </c>
      <c r="F4710" s="104"/>
      <c r="G4710" s="105">
        <f t="shared" si="292"/>
        <v>100.3</v>
      </c>
      <c r="H4710" s="101" t="str">
        <f t="shared" si="293"/>
        <v>Sinapi 38984</v>
      </c>
      <c r="I4710" s="101" t="str">
        <f t="shared" si="294"/>
        <v>M</v>
      </c>
      <c r="J4710" s="140" t="str">
        <f t="shared" si="295"/>
        <v>TUBO PPR, CLASSE PN 25, DN 75 MM, PARA AGUA QUENTE E FRIA PREDIAL</v>
      </c>
    </row>
    <row r="4711" spans="1:10" x14ac:dyDescent="0.25">
      <c r="A4711" s="169">
        <v>38985</v>
      </c>
      <c r="B4711" s="169" t="s">
        <v>28218</v>
      </c>
      <c r="C4711" s="169" t="s">
        <v>10229</v>
      </c>
      <c r="D4711" s="169" t="s">
        <v>1290</v>
      </c>
      <c r="E4711" s="103" t="s">
        <v>31508</v>
      </c>
      <c r="F4711" s="104"/>
      <c r="G4711" s="105">
        <f t="shared" si="292"/>
        <v>172.44</v>
      </c>
      <c r="H4711" s="101" t="str">
        <f t="shared" si="293"/>
        <v>Sinapi 38985</v>
      </c>
      <c r="I4711" s="101" t="str">
        <f t="shared" si="294"/>
        <v>M</v>
      </c>
      <c r="J4711" s="140" t="str">
        <f t="shared" si="295"/>
        <v>TUBO PPR, CLASSE PN 25, DN 90 MM, PARA AGUA QUENTE E FRIA PREDIAL</v>
      </c>
    </row>
    <row r="4712" spans="1:10" x14ac:dyDescent="0.25">
      <c r="A4712" s="169">
        <v>9836</v>
      </c>
      <c r="B4712" s="169" t="s">
        <v>28219</v>
      </c>
      <c r="C4712" s="169" t="s">
        <v>10229</v>
      </c>
      <c r="D4712" s="169" t="s">
        <v>1288</v>
      </c>
      <c r="E4712" s="103" t="s">
        <v>6342</v>
      </c>
      <c r="F4712" s="104"/>
      <c r="G4712" s="105">
        <f t="shared" si="292"/>
        <v>15</v>
      </c>
      <c r="H4712" s="101" t="str">
        <f t="shared" si="293"/>
        <v>Sinapi 9836</v>
      </c>
      <c r="I4712" s="101" t="str">
        <f t="shared" si="294"/>
        <v>M</v>
      </c>
      <c r="J4712" s="140" t="str">
        <f t="shared" si="295"/>
        <v>TUBO PVC SERIE NORMAL, DN 100 MM, PARA ESGOTO PREDIAL (NBR 5688)</v>
      </c>
    </row>
    <row r="4713" spans="1:10" x14ac:dyDescent="0.25">
      <c r="A4713" s="169">
        <v>20065</v>
      </c>
      <c r="B4713" s="169" t="s">
        <v>28220</v>
      </c>
      <c r="C4713" s="169" t="s">
        <v>10229</v>
      </c>
      <c r="D4713" s="169" t="s">
        <v>1289</v>
      </c>
      <c r="E4713" s="103" t="s">
        <v>21446</v>
      </c>
      <c r="F4713" s="104"/>
      <c r="G4713" s="105">
        <f t="shared" si="292"/>
        <v>39.21</v>
      </c>
      <c r="H4713" s="101" t="str">
        <f t="shared" si="293"/>
        <v>Sinapi 20065</v>
      </c>
      <c r="I4713" s="101" t="str">
        <f t="shared" si="294"/>
        <v>M</v>
      </c>
      <c r="J4713" s="140" t="str">
        <f t="shared" si="295"/>
        <v>TUBO PVC SERIE NORMAL, DN 150 MM, PARA ESGOTO PREDIAL (NBR 5688)</v>
      </c>
    </row>
    <row r="4714" spans="1:10" x14ac:dyDescent="0.25">
      <c r="A4714" s="169">
        <v>9835</v>
      </c>
      <c r="B4714" s="169" t="s">
        <v>28222</v>
      </c>
      <c r="C4714" s="169" t="s">
        <v>10229</v>
      </c>
      <c r="D4714" s="169" t="s">
        <v>1289</v>
      </c>
      <c r="E4714" s="103" t="s">
        <v>31509</v>
      </c>
      <c r="F4714" s="104"/>
      <c r="G4714" s="105">
        <f t="shared" si="292"/>
        <v>6.55</v>
      </c>
      <c r="H4714" s="101" t="str">
        <f t="shared" si="293"/>
        <v>Sinapi 9835</v>
      </c>
      <c r="I4714" s="101" t="str">
        <f t="shared" si="294"/>
        <v>M</v>
      </c>
      <c r="J4714" s="140" t="str">
        <f t="shared" si="295"/>
        <v>TUBO PVC SERIE NORMAL, DN 40 MM, PARA ESGOTO PREDIAL (NBR 5688)</v>
      </c>
    </row>
    <row r="4715" spans="1:10" x14ac:dyDescent="0.25">
      <c r="A4715" s="169">
        <v>38032</v>
      </c>
      <c r="B4715" s="169" t="s">
        <v>28223</v>
      </c>
      <c r="C4715" s="169" t="s">
        <v>10229</v>
      </c>
      <c r="D4715" s="169" t="s">
        <v>1289</v>
      </c>
      <c r="E4715" s="103" t="s">
        <v>23238</v>
      </c>
      <c r="F4715" s="104"/>
      <c r="G4715" s="105">
        <f t="shared" si="292"/>
        <v>59.27</v>
      </c>
      <c r="H4715" s="101" t="str">
        <f t="shared" si="293"/>
        <v>Sinapi 38032</v>
      </c>
      <c r="I4715" s="101" t="str">
        <f t="shared" si="294"/>
        <v>M</v>
      </c>
      <c r="J4715" s="140" t="str">
        <f t="shared" si="295"/>
        <v>TUBO PVC CORRUGADO, PAREDE DUPLA, JE, DN 150 MM/ DE 160 MM, REDE COLETORA ESGOTO</v>
      </c>
    </row>
    <row r="4716" spans="1:10" x14ac:dyDescent="0.25">
      <c r="A4716" s="169">
        <v>38033</v>
      </c>
      <c r="B4716" s="169" t="s">
        <v>28224</v>
      </c>
      <c r="C4716" s="169" t="s">
        <v>10229</v>
      </c>
      <c r="D4716" s="169" t="s">
        <v>1289</v>
      </c>
      <c r="E4716" s="103" t="s">
        <v>31510</v>
      </c>
      <c r="F4716" s="104"/>
      <c r="G4716" s="105">
        <f t="shared" si="292"/>
        <v>100.75</v>
      </c>
      <c r="H4716" s="101" t="str">
        <f t="shared" si="293"/>
        <v>Sinapi 38033</v>
      </c>
      <c r="I4716" s="101" t="str">
        <f t="shared" si="294"/>
        <v>M</v>
      </c>
      <c r="J4716" s="140" t="str">
        <f t="shared" si="295"/>
        <v>TUBO PVC CORRUGADO, PAREDE DUPLA, JE, DN 200 MM/ DE 200 MM, REDE COLETORA ESGOTO</v>
      </c>
    </row>
    <row r="4717" spans="1:10" x14ac:dyDescent="0.25">
      <c r="A4717" s="169">
        <v>38034</v>
      </c>
      <c r="B4717" s="169" t="s">
        <v>28225</v>
      </c>
      <c r="C4717" s="169" t="s">
        <v>10229</v>
      </c>
      <c r="D4717" s="169" t="s">
        <v>1289</v>
      </c>
      <c r="E4717" s="103" t="s">
        <v>31511</v>
      </c>
      <c r="F4717" s="104"/>
      <c r="G4717" s="105">
        <f t="shared" si="292"/>
        <v>157.83000000000001</v>
      </c>
      <c r="H4717" s="101" t="str">
        <f t="shared" si="293"/>
        <v>Sinapi 38034</v>
      </c>
      <c r="I4717" s="101" t="str">
        <f t="shared" si="294"/>
        <v>M</v>
      </c>
      <c r="J4717" s="140" t="str">
        <f t="shared" si="295"/>
        <v>TUBO PVC CORRUGADO, PAREDE DUPLA, JE, DN 250 MM/ DE 250 MM, REDE COLETORA ESGOTO</v>
      </c>
    </row>
    <row r="4718" spans="1:10" x14ac:dyDescent="0.25">
      <c r="A4718" s="169">
        <v>38035</v>
      </c>
      <c r="B4718" s="169" t="s">
        <v>28226</v>
      </c>
      <c r="C4718" s="169" t="s">
        <v>10229</v>
      </c>
      <c r="D4718" s="169" t="s">
        <v>1289</v>
      </c>
      <c r="E4718" s="103" t="s">
        <v>23598</v>
      </c>
      <c r="F4718" s="104"/>
      <c r="G4718" s="105">
        <f t="shared" si="292"/>
        <v>232.19</v>
      </c>
      <c r="H4718" s="101" t="str">
        <f t="shared" si="293"/>
        <v>Sinapi 38035</v>
      </c>
      <c r="I4718" s="101" t="str">
        <f t="shared" si="294"/>
        <v>M</v>
      </c>
      <c r="J4718" s="140" t="str">
        <f t="shared" si="295"/>
        <v>TUBO PVC CORRUGADO, PAREDE DUPLA, JE, DN 300 MM/ DE 315 MM , REDE COLETORA ESGOTO</v>
      </c>
    </row>
    <row r="4719" spans="1:10" x14ac:dyDescent="0.25">
      <c r="A4719" s="169">
        <v>38036</v>
      </c>
      <c r="B4719" s="169" t="s">
        <v>28227</v>
      </c>
      <c r="C4719" s="169" t="s">
        <v>10229</v>
      </c>
      <c r="D4719" s="169" t="s">
        <v>1289</v>
      </c>
      <c r="E4719" s="103" t="s">
        <v>31512</v>
      </c>
      <c r="F4719" s="104"/>
      <c r="G4719" s="105">
        <f t="shared" si="292"/>
        <v>312.79000000000002</v>
      </c>
      <c r="H4719" s="101" t="str">
        <f t="shared" si="293"/>
        <v>Sinapi 38036</v>
      </c>
      <c r="I4719" s="101" t="str">
        <f t="shared" si="294"/>
        <v>M</v>
      </c>
      <c r="J4719" s="140" t="str">
        <f t="shared" si="295"/>
        <v>TUBO PVC CORRUGADO, PAREDE DUPLA, JE, DN 350 MM/ DE 355 MM, REDE COLETORA ESGOTO</v>
      </c>
    </row>
    <row r="4720" spans="1:10" x14ac:dyDescent="0.25">
      <c r="A4720" s="169">
        <v>38037</v>
      </c>
      <c r="B4720" s="169" t="s">
        <v>28228</v>
      </c>
      <c r="C4720" s="169" t="s">
        <v>10229</v>
      </c>
      <c r="D4720" s="169" t="s">
        <v>1289</v>
      </c>
      <c r="E4720" s="103" t="s">
        <v>31513</v>
      </c>
      <c r="F4720" s="104"/>
      <c r="G4720" s="105">
        <f t="shared" si="292"/>
        <v>413.15</v>
      </c>
      <c r="H4720" s="101" t="str">
        <f t="shared" si="293"/>
        <v>Sinapi 38037</v>
      </c>
      <c r="I4720" s="101" t="str">
        <f t="shared" si="294"/>
        <v>M</v>
      </c>
      <c r="J4720" s="140" t="str">
        <f t="shared" si="295"/>
        <v>TUBO PVC CORRUGADO, PAREDE DUPLA, JE, DN 400 MM/ DE 400 MM, REDE COLETORA ESGOTO</v>
      </c>
    </row>
    <row r="4721" spans="1:10" x14ac:dyDescent="0.25">
      <c r="A4721" s="169">
        <v>9850</v>
      </c>
      <c r="B4721" s="169" t="s">
        <v>28229</v>
      </c>
      <c r="C4721" s="169" t="s">
        <v>10229</v>
      </c>
      <c r="D4721" s="169" t="s">
        <v>1290</v>
      </c>
      <c r="E4721" s="103" t="s">
        <v>28230</v>
      </c>
      <c r="F4721" s="104"/>
      <c r="G4721" s="105">
        <f t="shared" si="292"/>
        <v>147.75</v>
      </c>
      <c r="H4721" s="101" t="str">
        <f t="shared" si="293"/>
        <v>Sinapi 9850</v>
      </c>
      <c r="I4721" s="101" t="str">
        <f t="shared" si="294"/>
        <v>M</v>
      </c>
      <c r="J4721" s="140" t="str">
        <f t="shared" si="295"/>
        <v>TUBO PVC DE REVESTIMENTO GEOMECANICO NERVURADO REFORCADO, DN = 150 MM, COMPRIMENTO = 2 M</v>
      </c>
    </row>
    <row r="4722" spans="1:10" x14ac:dyDescent="0.25">
      <c r="A4722" s="169">
        <v>9853</v>
      </c>
      <c r="B4722" s="169" t="s">
        <v>28231</v>
      </c>
      <c r="C4722" s="169" t="s">
        <v>10229</v>
      </c>
      <c r="D4722" s="169" t="s">
        <v>1290</v>
      </c>
      <c r="E4722" s="103" t="s">
        <v>28232</v>
      </c>
      <c r="F4722" s="104"/>
      <c r="G4722" s="105">
        <f t="shared" si="292"/>
        <v>262.74</v>
      </c>
      <c r="H4722" s="101" t="str">
        <f t="shared" si="293"/>
        <v>Sinapi 9853</v>
      </c>
      <c r="I4722" s="101" t="str">
        <f t="shared" si="294"/>
        <v>M</v>
      </c>
      <c r="J4722" s="140" t="str">
        <f t="shared" si="295"/>
        <v>TUBO PVC DE REVESTIMENTO GEOMECANICO NERVURADO REFORCADO, DN = 200 MM, COMPRIMENTO = 2 M</v>
      </c>
    </row>
    <row r="4723" spans="1:10" x14ac:dyDescent="0.25">
      <c r="A4723" s="169">
        <v>9854</v>
      </c>
      <c r="B4723" s="169" t="s">
        <v>28233</v>
      </c>
      <c r="C4723" s="169" t="s">
        <v>10229</v>
      </c>
      <c r="D4723" s="169" t="s">
        <v>1290</v>
      </c>
      <c r="E4723" s="103" t="s">
        <v>28234</v>
      </c>
      <c r="F4723" s="104"/>
      <c r="G4723" s="105">
        <f t="shared" si="292"/>
        <v>115.12</v>
      </c>
      <c r="H4723" s="101" t="str">
        <f t="shared" si="293"/>
        <v>Sinapi 9854</v>
      </c>
      <c r="I4723" s="101" t="str">
        <f t="shared" si="294"/>
        <v>M</v>
      </c>
      <c r="J4723" s="140" t="str">
        <f t="shared" si="295"/>
        <v>TUBO PVC DE REVESTIMENTO GEOMECANICO NERVURADO STANDARD, DN = 154 MM, COMPRIMENTO = 2 M</v>
      </c>
    </row>
    <row r="4724" spans="1:10" x14ac:dyDescent="0.25">
      <c r="A4724" s="169">
        <v>9851</v>
      </c>
      <c r="B4724" s="169" t="s">
        <v>28235</v>
      </c>
      <c r="C4724" s="169" t="s">
        <v>10229</v>
      </c>
      <c r="D4724" s="169" t="s">
        <v>1290</v>
      </c>
      <c r="E4724" s="103" t="s">
        <v>28236</v>
      </c>
      <c r="F4724" s="104"/>
      <c r="G4724" s="105">
        <f t="shared" si="292"/>
        <v>199.62</v>
      </c>
      <c r="H4724" s="101" t="str">
        <f t="shared" si="293"/>
        <v>Sinapi 9851</v>
      </c>
      <c r="I4724" s="101" t="str">
        <f t="shared" si="294"/>
        <v>M</v>
      </c>
      <c r="J4724" s="140" t="str">
        <f t="shared" si="295"/>
        <v>TUBO PVC DE REVESTIMENTO GEOMECANICO NERVURADO STANDARD, DN = 206 MM, COMPRIMENTO = 2 M</v>
      </c>
    </row>
    <row r="4725" spans="1:10" x14ac:dyDescent="0.25">
      <c r="A4725" s="169">
        <v>9825</v>
      </c>
      <c r="B4725" s="169" t="s">
        <v>28237</v>
      </c>
      <c r="C4725" s="169" t="s">
        <v>10229</v>
      </c>
      <c r="D4725" s="169" t="s">
        <v>1289</v>
      </c>
      <c r="E4725" s="103" t="s">
        <v>31514</v>
      </c>
      <c r="F4725" s="104"/>
      <c r="G4725" s="105">
        <f t="shared" si="292"/>
        <v>75.12</v>
      </c>
      <c r="H4725" s="101" t="str">
        <f t="shared" si="293"/>
        <v>Sinapi 9825</v>
      </c>
      <c r="I4725" s="101" t="str">
        <f t="shared" si="294"/>
        <v>M</v>
      </c>
      <c r="J4725" s="140" t="str">
        <f t="shared" si="295"/>
        <v>TUBO PVC DEFOFO, JEI, 1 MPA, DN 100 MM, PARA REDE DE AGUA (NBR 7665)</v>
      </c>
    </row>
    <row r="4726" spans="1:10" x14ac:dyDescent="0.25">
      <c r="A4726" s="169">
        <v>9828</v>
      </c>
      <c r="B4726" s="169" t="s">
        <v>28239</v>
      </c>
      <c r="C4726" s="169" t="s">
        <v>10229</v>
      </c>
      <c r="D4726" s="169" t="s">
        <v>1289</v>
      </c>
      <c r="E4726" s="103" t="s">
        <v>30110</v>
      </c>
      <c r="F4726" s="104"/>
      <c r="G4726" s="105">
        <f t="shared" si="292"/>
        <v>202.14</v>
      </c>
      <c r="H4726" s="101" t="str">
        <f t="shared" si="293"/>
        <v>Sinapi 9828</v>
      </c>
      <c r="I4726" s="101" t="str">
        <f t="shared" si="294"/>
        <v>M</v>
      </c>
      <c r="J4726" s="140" t="str">
        <f t="shared" si="295"/>
        <v>TUBO PVC DEFOFO, JEI, 1 MPA, DN 150 MM, PARA REDE DE AGUA (NBR 7665)</v>
      </c>
    </row>
    <row r="4727" spans="1:10" x14ac:dyDescent="0.25">
      <c r="A4727" s="169">
        <v>9829</v>
      </c>
      <c r="B4727" s="169" t="s">
        <v>28240</v>
      </c>
      <c r="C4727" s="169" t="s">
        <v>10229</v>
      </c>
      <c r="D4727" s="169" t="s">
        <v>1289</v>
      </c>
      <c r="E4727" s="103" t="s">
        <v>31515</v>
      </c>
      <c r="F4727" s="104"/>
      <c r="G4727" s="105">
        <f t="shared" si="292"/>
        <v>342.58</v>
      </c>
      <c r="H4727" s="101" t="str">
        <f t="shared" si="293"/>
        <v>Sinapi 9829</v>
      </c>
      <c r="I4727" s="101" t="str">
        <f t="shared" si="294"/>
        <v>M</v>
      </c>
      <c r="J4727" s="140" t="str">
        <f t="shared" si="295"/>
        <v>TUBO PVC DEFOFO, JEI, 1 MPA, DN 200 MM, PARA REDE DE AGUA (NBR 7665)</v>
      </c>
    </row>
    <row r="4728" spans="1:10" x14ac:dyDescent="0.25">
      <c r="A4728" s="169">
        <v>9826</v>
      </c>
      <c r="B4728" s="169" t="s">
        <v>28241</v>
      </c>
      <c r="C4728" s="169" t="s">
        <v>10229</v>
      </c>
      <c r="D4728" s="169" t="s">
        <v>1289</v>
      </c>
      <c r="E4728" s="103" t="s">
        <v>31516</v>
      </c>
      <c r="F4728" s="104"/>
      <c r="G4728" s="105">
        <f t="shared" si="292"/>
        <v>521.52</v>
      </c>
      <c r="H4728" s="101" t="str">
        <f t="shared" si="293"/>
        <v>Sinapi 9826</v>
      </c>
      <c r="I4728" s="101" t="str">
        <f t="shared" si="294"/>
        <v>M</v>
      </c>
      <c r="J4728" s="140" t="str">
        <f t="shared" si="295"/>
        <v>TUBO PVC DEFOFO, JEI, 1 MPA, DN 250 MM, PARA REDE DE AGUA (NBR 7665)</v>
      </c>
    </row>
    <row r="4729" spans="1:10" x14ac:dyDescent="0.25">
      <c r="A4729" s="169">
        <v>9827</v>
      </c>
      <c r="B4729" s="169" t="s">
        <v>28242</v>
      </c>
      <c r="C4729" s="169" t="s">
        <v>10229</v>
      </c>
      <c r="D4729" s="169" t="s">
        <v>1289</v>
      </c>
      <c r="E4729" s="103" t="s">
        <v>31517</v>
      </c>
      <c r="F4729" s="104"/>
      <c r="G4729" s="105">
        <f t="shared" si="292"/>
        <v>740.56</v>
      </c>
      <c r="H4729" s="101" t="str">
        <f t="shared" si="293"/>
        <v>Sinapi 9827</v>
      </c>
      <c r="I4729" s="101" t="str">
        <f t="shared" si="294"/>
        <v>M</v>
      </c>
      <c r="J4729" s="140" t="str">
        <f t="shared" si="295"/>
        <v>TUBO PVC DEFOFO, JEI, 1 MPA, DN 300 MM, PARA REDE DE AGUA (NBR 7665)</v>
      </c>
    </row>
    <row r="4730" spans="1:10" x14ac:dyDescent="0.25">
      <c r="A4730" s="169">
        <v>36374</v>
      </c>
      <c r="B4730" s="169" t="s">
        <v>28244</v>
      </c>
      <c r="C4730" s="169" t="s">
        <v>10229</v>
      </c>
      <c r="D4730" s="169" t="s">
        <v>1289</v>
      </c>
      <c r="E4730" s="103" t="s">
        <v>31518</v>
      </c>
      <c r="F4730" s="104"/>
      <c r="G4730" s="105">
        <f t="shared" si="292"/>
        <v>90.03</v>
      </c>
      <c r="H4730" s="101" t="str">
        <f t="shared" si="293"/>
        <v>Sinapi 36374</v>
      </c>
      <c r="I4730" s="101" t="str">
        <f t="shared" si="294"/>
        <v>M</v>
      </c>
      <c r="J4730" s="140" t="str">
        <f t="shared" si="295"/>
        <v>TUBO PVC PBA JEI, CLASSE 12, DN 100 MM, PARA REDE DE AGUA (NBR 5647)</v>
      </c>
    </row>
    <row r="4731" spans="1:10" x14ac:dyDescent="0.25">
      <c r="A4731" s="169">
        <v>36084</v>
      </c>
      <c r="B4731" s="169" t="s">
        <v>28246</v>
      </c>
      <c r="C4731" s="169" t="s">
        <v>10229</v>
      </c>
      <c r="D4731" s="169" t="s">
        <v>1288</v>
      </c>
      <c r="E4731" s="103" t="s">
        <v>28696</v>
      </c>
      <c r="F4731" s="104"/>
      <c r="G4731" s="105">
        <f t="shared" si="292"/>
        <v>26.67</v>
      </c>
      <c r="H4731" s="101" t="str">
        <f t="shared" si="293"/>
        <v>Sinapi 36084</v>
      </c>
      <c r="I4731" s="101" t="str">
        <f t="shared" si="294"/>
        <v>M</v>
      </c>
      <c r="J4731" s="140" t="str">
        <f t="shared" si="295"/>
        <v>TUBO PVC PBA JEI, CLASSE 12, DN 50 MM, PARA REDE DE AGUA (NBR 5647)</v>
      </c>
    </row>
    <row r="4732" spans="1:10" x14ac:dyDescent="0.25">
      <c r="A4732" s="169">
        <v>36373</v>
      </c>
      <c r="B4732" s="169" t="s">
        <v>28247</v>
      </c>
      <c r="C4732" s="169" t="s">
        <v>10229</v>
      </c>
      <c r="D4732" s="169" t="s">
        <v>1289</v>
      </c>
      <c r="E4732" s="103" t="s">
        <v>28525</v>
      </c>
      <c r="F4732" s="104"/>
      <c r="G4732" s="105">
        <f t="shared" si="292"/>
        <v>55.39</v>
      </c>
      <c r="H4732" s="101" t="str">
        <f t="shared" si="293"/>
        <v>Sinapi 36373</v>
      </c>
      <c r="I4732" s="101" t="str">
        <f t="shared" si="294"/>
        <v>M</v>
      </c>
      <c r="J4732" s="140" t="str">
        <f t="shared" si="295"/>
        <v>TUBO PVC PBA JEI, CLASSE 12, DN 75 MM, PARA REDE DE AGUA (NBR 5647)</v>
      </c>
    </row>
    <row r="4733" spans="1:10" x14ac:dyDescent="0.25">
      <c r="A4733" s="169">
        <v>36377</v>
      </c>
      <c r="B4733" s="169" t="s">
        <v>28248</v>
      </c>
      <c r="C4733" s="169" t="s">
        <v>10229</v>
      </c>
      <c r="D4733" s="169" t="s">
        <v>1289</v>
      </c>
      <c r="E4733" s="103" t="s">
        <v>31519</v>
      </c>
      <c r="F4733" s="104"/>
      <c r="G4733" s="105">
        <f t="shared" si="292"/>
        <v>107.99</v>
      </c>
      <c r="H4733" s="101" t="str">
        <f t="shared" si="293"/>
        <v>Sinapi 36377</v>
      </c>
      <c r="I4733" s="101" t="str">
        <f t="shared" si="294"/>
        <v>M</v>
      </c>
      <c r="J4733" s="140" t="str">
        <f t="shared" si="295"/>
        <v>TUBO PVC PBA JEI, CLASSE 15, DN 100 MM, PARA REDE DE AGUA (NBR 5647)</v>
      </c>
    </row>
    <row r="4734" spans="1:10" x14ac:dyDescent="0.25">
      <c r="A4734" s="169">
        <v>36375</v>
      </c>
      <c r="B4734" s="169" t="s">
        <v>28249</v>
      </c>
      <c r="C4734" s="169" t="s">
        <v>10229</v>
      </c>
      <c r="D4734" s="169" t="s">
        <v>1289</v>
      </c>
      <c r="E4734" s="103" t="s">
        <v>19928</v>
      </c>
      <c r="F4734" s="104"/>
      <c r="G4734" s="105">
        <f t="shared" si="292"/>
        <v>32.909999999999997</v>
      </c>
      <c r="H4734" s="101" t="str">
        <f t="shared" si="293"/>
        <v>Sinapi 36375</v>
      </c>
      <c r="I4734" s="101" t="str">
        <f t="shared" si="294"/>
        <v>M</v>
      </c>
      <c r="J4734" s="140" t="str">
        <f t="shared" si="295"/>
        <v>TUBO PVC PBA JEI, CLASSE 15, DN 50 MM, PARA REDE DE AGUA (NBR 5647)</v>
      </c>
    </row>
    <row r="4735" spans="1:10" x14ac:dyDescent="0.25">
      <c r="A4735" s="169">
        <v>36376</v>
      </c>
      <c r="B4735" s="169" t="s">
        <v>28250</v>
      </c>
      <c r="C4735" s="169" t="s">
        <v>10229</v>
      </c>
      <c r="D4735" s="169" t="s">
        <v>1289</v>
      </c>
      <c r="E4735" s="103" t="s">
        <v>22985</v>
      </c>
      <c r="F4735" s="104"/>
      <c r="G4735" s="105">
        <f t="shared" si="292"/>
        <v>64.63</v>
      </c>
      <c r="H4735" s="101" t="str">
        <f t="shared" si="293"/>
        <v>Sinapi 36376</v>
      </c>
      <c r="I4735" s="101" t="str">
        <f t="shared" si="294"/>
        <v>M</v>
      </c>
      <c r="J4735" s="140" t="str">
        <f t="shared" si="295"/>
        <v>TUBO PVC PBA JEI, CLASSE 15, DN 75 MM, PARA REDE DE AGUA (NBR 5647)</v>
      </c>
    </row>
    <row r="4736" spans="1:10" x14ac:dyDescent="0.25">
      <c r="A4736" s="169">
        <v>36380</v>
      </c>
      <c r="B4736" s="169" t="s">
        <v>28251</v>
      </c>
      <c r="C4736" s="169" t="s">
        <v>10229</v>
      </c>
      <c r="D4736" s="169" t="s">
        <v>1289</v>
      </c>
      <c r="E4736" s="103" t="s">
        <v>20472</v>
      </c>
      <c r="F4736" s="104"/>
      <c r="G4736" s="105">
        <f t="shared" si="292"/>
        <v>135.03</v>
      </c>
      <c r="H4736" s="101" t="str">
        <f t="shared" si="293"/>
        <v>Sinapi 36380</v>
      </c>
      <c r="I4736" s="101" t="str">
        <f t="shared" si="294"/>
        <v>M</v>
      </c>
      <c r="J4736" s="140" t="str">
        <f t="shared" si="295"/>
        <v>TUBO PVC PBA JEI, CLASSE 20, DN 100 MM, PARA REDE DE AGUA (NBR 5647)</v>
      </c>
    </row>
    <row r="4737" spans="1:10" x14ac:dyDescent="0.25">
      <c r="A4737" s="169">
        <v>36378</v>
      </c>
      <c r="B4737" s="169" t="s">
        <v>28252</v>
      </c>
      <c r="C4737" s="169" t="s">
        <v>10229</v>
      </c>
      <c r="D4737" s="169" t="s">
        <v>1289</v>
      </c>
      <c r="E4737" s="103" t="s">
        <v>18560</v>
      </c>
      <c r="F4737" s="104"/>
      <c r="G4737" s="105">
        <f t="shared" si="292"/>
        <v>40.46</v>
      </c>
      <c r="H4737" s="101" t="str">
        <f t="shared" si="293"/>
        <v>Sinapi 36378</v>
      </c>
      <c r="I4737" s="101" t="str">
        <f t="shared" si="294"/>
        <v>M</v>
      </c>
      <c r="J4737" s="140" t="str">
        <f t="shared" si="295"/>
        <v>TUBO PVC PBA JEI, CLASSE 20, DN 50 MM, PARA REDE DE AGUA (NBR 5647)</v>
      </c>
    </row>
    <row r="4738" spans="1:10" x14ac:dyDescent="0.25">
      <c r="A4738" s="169">
        <v>36379</v>
      </c>
      <c r="B4738" s="169" t="s">
        <v>28253</v>
      </c>
      <c r="C4738" s="169" t="s">
        <v>10229</v>
      </c>
      <c r="D4738" s="169" t="s">
        <v>1289</v>
      </c>
      <c r="E4738" s="103" t="s">
        <v>28640</v>
      </c>
      <c r="F4738" s="104"/>
      <c r="G4738" s="105">
        <f t="shared" si="292"/>
        <v>81.56</v>
      </c>
      <c r="H4738" s="101" t="str">
        <f t="shared" si="293"/>
        <v>Sinapi 36379</v>
      </c>
      <c r="I4738" s="101" t="str">
        <f t="shared" si="294"/>
        <v>M</v>
      </c>
      <c r="J4738" s="140" t="str">
        <f t="shared" si="295"/>
        <v>TUBO PVC PBA JEI, CLASSE 20, DN 75 MM, PARA REDE DE AGUA (NBR 5647)</v>
      </c>
    </row>
    <row r="4739" spans="1:10" x14ac:dyDescent="0.25">
      <c r="A4739" s="169">
        <v>9859</v>
      </c>
      <c r="B4739" s="169" t="s">
        <v>28254</v>
      </c>
      <c r="C4739" s="169" t="s">
        <v>10229</v>
      </c>
      <c r="D4739" s="169" t="s">
        <v>1289</v>
      </c>
      <c r="E4739" s="103" t="s">
        <v>20068</v>
      </c>
      <c r="F4739" s="104"/>
      <c r="G4739" s="105">
        <f t="shared" si="292"/>
        <v>11.94</v>
      </c>
      <c r="H4739" s="101" t="str">
        <f t="shared" si="293"/>
        <v>Sinapi 9859</v>
      </c>
      <c r="I4739" s="101" t="str">
        <f t="shared" si="294"/>
        <v>M</v>
      </c>
      <c r="J4739" s="140" t="str">
        <f t="shared" si="295"/>
        <v>TUBO PVC ROSCAVEL, 3/4", AGUA FRIA PREDIAL</v>
      </c>
    </row>
    <row r="4740" spans="1:10" x14ac:dyDescent="0.25">
      <c r="A4740" s="169">
        <v>9838</v>
      </c>
      <c r="B4740" s="169" t="s">
        <v>28255</v>
      </c>
      <c r="C4740" s="169" t="s">
        <v>10229</v>
      </c>
      <c r="D4740" s="169" t="s">
        <v>1289</v>
      </c>
      <c r="E4740" s="103" t="s">
        <v>16410</v>
      </c>
      <c r="F4740" s="104"/>
      <c r="G4740" s="105">
        <f t="shared" si="292"/>
        <v>10.82</v>
      </c>
      <c r="H4740" s="101" t="str">
        <f t="shared" si="293"/>
        <v>Sinapi 9838</v>
      </c>
      <c r="I4740" s="101" t="str">
        <f t="shared" si="294"/>
        <v>M</v>
      </c>
      <c r="J4740" s="140" t="str">
        <f t="shared" si="295"/>
        <v>TUBO PVC SERIE NORMAL, DN 50 MM, PARA ESGOTO PREDIAL (NBR 5688)</v>
      </c>
    </row>
    <row r="4741" spans="1:10" x14ac:dyDescent="0.25">
      <c r="A4741" s="169">
        <v>9837</v>
      </c>
      <c r="B4741" s="169" t="s">
        <v>28256</v>
      </c>
      <c r="C4741" s="169" t="s">
        <v>10229</v>
      </c>
      <c r="D4741" s="169" t="s">
        <v>1289</v>
      </c>
      <c r="E4741" s="103" t="s">
        <v>22765</v>
      </c>
      <c r="F4741" s="104"/>
      <c r="G4741" s="105">
        <f t="shared" si="292"/>
        <v>14.2</v>
      </c>
      <c r="H4741" s="101" t="str">
        <f t="shared" si="293"/>
        <v>Sinapi 9837</v>
      </c>
      <c r="I4741" s="101" t="str">
        <f t="shared" si="294"/>
        <v>M</v>
      </c>
      <c r="J4741" s="140" t="str">
        <f t="shared" si="295"/>
        <v>TUBO PVC SERIE NORMAL, DN 75 MM, PARA ESGOTO PREDIAL (NBR 5688)</v>
      </c>
    </row>
    <row r="4742" spans="1:10" x14ac:dyDescent="0.25">
      <c r="A4742" s="169">
        <v>44315</v>
      </c>
      <c r="B4742" s="169" t="s">
        <v>28257</v>
      </c>
      <c r="C4742" s="169" t="s">
        <v>10229</v>
      </c>
      <c r="D4742" s="169" t="s">
        <v>1289</v>
      </c>
      <c r="E4742" s="103" t="s">
        <v>31520</v>
      </c>
      <c r="F4742" s="104"/>
      <c r="G4742" s="105">
        <f t="shared" si="292"/>
        <v>58.73</v>
      </c>
      <c r="H4742" s="101" t="str">
        <f t="shared" si="293"/>
        <v>Sinapi 44315</v>
      </c>
      <c r="I4742" s="101" t="str">
        <f t="shared" si="294"/>
        <v>M</v>
      </c>
      <c r="J4742" s="140" t="str">
        <f t="shared" si="295"/>
        <v>TUBO PVC, RIGIDO, CORRUGADO, PERFURADO DN 100 MM, PARA DRENAGEM, SISTEMA IRRIGACAO</v>
      </c>
    </row>
    <row r="4743" spans="1:10" x14ac:dyDescent="0.25">
      <c r="A4743" s="169">
        <v>9863</v>
      </c>
      <c r="B4743" s="169" t="s">
        <v>28259</v>
      </c>
      <c r="C4743" s="169" t="s">
        <v>10229</v>
      </c>
      <c r="D4743" s="169" t="s">
        <v>1289</v>
      </c>
      <c r="E4743" s="103" t="s">
        <v>31521</v>
      </c>
      <c r="F4743" s="104"/>
      <c r="G4743" s="105">
        <f t="shared" si="292"/>
        <v>72.19</v>
      </c>
      <c r="H4743" s="101" t="str">
        <f t="shared" si="293"/>
        <v>Sinapi 9863</v>
      </c>
      <c r="I4743" s="101" t="str">
        <f t="shared" si="294"/>
        <v>M</v>
      </c>
      <c r="J4743" s="140" t="str">
        <f t="shared" si="295"/>
        <v>TUBO PVC, ROSCAVEL, 2 1/2", AGUA FRIA PREDIAL</v>
      </c>
    </row>
    <row r="4744" spans="1:10" x14ac:dyDescent="0.25">
      <c r="A4744" s="169">
        <v>9860</v>
      </c>
      <c r="B4744" s="169" t="s">
        <v>28261</v>
      </c>
      <c r="C4744" s="169" t="s">
        <v>10229</v>
      </c>
      <c r="D4744" s="169" t="s">
        <v>1289</v>
      </c>
      <c r="E4744" s="103" t="s">
        <v>23063</v>
      </c>
      <c r="F4744" s="104"/>
      <c r="G4744" s="105">
        <f t="shared" ref="G4744:G4807" si="296">IF(E4744="","",E4744+0)</f>
        <v>52.69</v>
      </c>
      <c r="H4744" s="101" t="str">
        <f t="shared" ref="H4744:H4807" si="297">IF(G4744="","",TRIM(CONCATENATE("Sinapi ",A4744)))</f>
        <v>Sinapi 9860</v>
      </c>
      <c r="I4744" s="101" t="str">
        <f t="shared" ref="I4744:I4807" si="298">TRIM(C4744)</f>
        <v>M</v>
      </c>
      <c r="J4744" s="140" t="str">
        <f t="shared" si="295"/>
        <v>TUBO PVC, ROSCAVEL, 2", PARA AGUA FRIA PREDIAL</v>
      </c>
    </row>
    <row r="4745" spans="1:10" x14ac:dyDescent="0.25">
      <c r="A4745" s="169">
        <v>9862</v>
      </c>
      <c r="B4745" s="169" t="s">
        <v>28262</v>
      </c>
      <c r="C4745" s="169" t="s">
        <v>10229</v>
      </c>
      <c r="D4745" s="169" t="s">
        <v>1289</v>
      </c>
      <c r="E4745" s="103" t="s">
        <v>30508</v>
      </c>
      <c r="F4745" s="104"/>
      <c r="G4745" s="105">
        <f t="shared" si="296"/>
        <v>36.82</v>
      </c>
      <c r="H4745" s="101" t="str">
        <f t="shared" si="297"/>
        <v>Sinapi 9862</v>
      </c>
      <c r="I4745" s="101" t="str">
        <f t="shared" si="298"/>
        <v>M</v>
      </c>
      <c r="J4745" s="140" t="str">
        <f t="shared" ref="J4745:J4808" si="299">TRIM(B4745)</f>
        <v>TUBO PVC, ROSCAVEL, 1 1/2", AGUA FRIA PREDIAL</v>
      </c>
    </row>
    <row r="4746" spans="1:10" x14ac:dyDescent="0.25">
      <c r="A4746" s="169">
        <v>9861</v>
      </c>
      <c r="B4746" s="169" t="s">
        <v>28263</v>
      </c>
      <c r="C4746" s="169" t="s">
        <v>10229</v>
      </c>
      <c r="D4746" s="169" t="s">
        <v>1289</v>
      </c>
      <c r="E4746" s="103" t="s">
        <v>31522</v>
      </c>
      <c r="F4746" s="104"/>
      <c r="G4746" s="105">
        <f t="shared" si="296"/>
        <v>28.92</v>
      </c>
      <c r="H4746" s="101" t="str">
        <f t="shared" si="297"/>
        <v>Sinapi 9861</v>
      </c>
      <c r="I4746" s="101" t="str">
        <f t="shared" si="298"/>
        <v>M</v>
      </c>
      <c r="J4746" s="140" t="str">
        <f t="shared" si="299"/>
        <v>TUBO PVC, ROSCAVEL, 1 1/4", AGUA FRIA PREDIAL</v>
      </c>
    </row>
    <row r="4747" spans="1:10" x14ac:dyDescent="0.25">
      <c r="A4747" s="169">
        <v>9856</v>
      </c>
      <c r="B4747" s="169" t="s">
        <v>28264</v>
      </c>
      <c r="C4747" s="169" t="s">
        <v>10229</v>
      </c>
      <c r="D4747" s="169" t="s">
        <v>1289</v>
      </c>
      <c r="E4747" s="103" t="s">
        <v>21356</v>
      </c>
      <c r="F4747" s="104"/>
      <c r="G4747" s="105">
        <f t="shared" si="296"/>
        <v>9.33</v>
      </c>
      <c r="H4747" s="101" t="str">
        <f t="shared" si="297"/>
        <v>Sinapi 9856</v>
      </c>
      <c r="I4747" s="101" t="str">
        <f t="shared" si="298"/>
        <v>M</v>
      </c>
      <c r="J4747" s="140" t="str">
        <f t="shared" si="299"/>
        <v>TUBO PVC, ROSCAVEL, 1/2", AGUA FRIA PREDIAL</v>
      </c>
    </row>
    <row r="4748" spans="1:10" x14ac:dyDescent="0.25">
      <c r="A4748" s="169">
        <v>9866</v>
      </c>
      <c r="B4748" s="169" t="s">
        <v>28265</v>
      </c>
      <c r="C4748" s="169" t="s">
        <v>10229</v>
      </c>
      <c r="D4748" s="169" t="s">
        <v>1289</v>
      </c>
      <c r="E4748" s="103" t="s">
        <v>21331</v>
      </c>
      <c r="F4748" s="104"/>
      <c r="G4748" s="105">
        <f t="shared" si="296"/>
        <v>24.95</v>
      </c>
      <c r="H4748" s="101" t="str">
        <f t="shared" si="297"/>
        <v>Sinapi 9866</v>
      </c>
      <c r="I4748" s="101" t="str">
        <f t="shared" si="298"/>
        <v>M</v>
      </c>
      <c r="J4748" s="140" t="str">
        <f t="shared" si="299"/>
        <v>TUBO PVC, ROSCAVEL, 1", AGUA FRIA PREDIAL</v>
      </c>
    </row>
    <row r="4749" spans="1:10" x14ac:dyDescent="0.25">
      <c r="A4749" s="169">
        <v>9841</v>
      </c>
      <c r="B4749" s="169" t="s">
        <v>28266</v>
      </c>
      <c r="C4749" s="169" t="s">
        <v>10229</v>
      </c>
      <c r="D4749" s="169" t="s">
        <v>1289</v>
      </c>
      <c r="E4749" s="103" t="s">
        <v>31523</v>
      </c>
      <c r="F4749" s="104"/>
      <c r="G4749" s="105">
        <f t="shared" si="296"/>
        <v>28.25</v>
      </c>
      <c r="H4749" s="101" t="str">
        <f t="shared" si="297"/>
        <v>Sinapi 9841</v>
      </c>
      <c r="I4749" s="101" t="str">
        <f t="shared" si="298"/>
        <v>M</v>
      </c>
      <c r="J4749" s="140" t="str">
        <f t="shared" si="299"/>
        <v>TUBO PVC, SERIE R, DN 100 MM, PARA ESGOTO OU AGUAS PLUVIAIS PREDIAL (NBR 5688)</v>
      </c>
    </row>
    <row r="4750" spans="1:10" x14ac:dyDescent="0.25">
      <c r="A4750" s="169">
        <v>9840</v>
      </c>
      <c r="B4750" s="169" t="s">
        <v>1210</v>
      </c>
      <c r="C4750" s="169" t="s">
        <v>10229</v>
      </c>
      <c r="D4750" s="169" t="s">
        <v>1289</v>
      </c>
      <c r="E4750" s="103" t="s">
        <v>31524</v>
      </c>
      <c r="F4750" s="104"/>
      <c r="G4750" s="105">
        <f t="shared" si="296"/>
        <v>59.67</v>
      </c>
      <c r="H4750" s="101" t="str">
        <f t="shared" si="297"/>
        <v>Sinapi 9840</v>
      </c>
      <c r="I4750" s="101" t="str">
        <f t="shared" si="298"/>
        <v>M</v>
      </c>
      <c r="J4750" s="140" t="str">
        <f t="shared" si="299"/>
        <v>TUBO PVC, SERIE R, DN 150 MM, PARA ESGOTO OU AGUAS PLUVIAIS PREDIAL (NBR 5688)</v>
      </c>
    </row>
    <row r="4751" spans="1:10" x14ac:dyDescent="0.25">
      <c r="A4751" s="169">
        <v>20067</v>
      </c>
      <c r="B4751" s="169" t="s">
        <v>28268</v>
      </c>
      <c r="C4751" s="169" t="s">
        <v>10229</v>
      </c>
      <c r="D4751" s="169" t="s">
        <v>1289</v>
      </c>
      <c r="E4751" s="103" t="s">
        <v>13397</v>
      </c>
      <c r="F4751" s="104"/>
      <c r="G4751" s="105">
        <f t="shared" si="296"/>
        <v>9.16</v>
      </c>
      <c r="H4751" s="101" t="str">
        <f t="shared" si="297"/>
        <v>Sinapi 20067</v>
      </c>
      <c r="I4751" s="101" t="str">
        <f t="shared" si="298"/>
        <v>M</v>
      </c>
      <c r="J4751" s="140" t="str">
        <f t="shared" si="299"/>
        <v>TUBO PVC, SERIE R, DN 40 MM, PARA ESGOTO OU AGUAS PLUVIAIS PREDIAL (NBR 5688)</v>
      </c>
    </row>
    <row r="4752" spans="1:10" x14ac:dyDescent="0.25">
      <c r="A4752" s="169">
        <v>20068</v>
      </c>
      <c r="B4752" s="169" t="s">
        <v>28269</v>
      </c>
      <c r="C4752" s="169" t="s">
        <v>10229</v>
      </c>
      <c r="D4752" s="169" t="s">
        <v>1289</v>
      </c>
      <c r="E4752" s="103" t="s">
        <v>20137</v>
      </c>
      <c r="F4752" s="104"/>
      <c r="G4752" s="105">
        <f t="shared" si="296"/>
        <v>12.9</v>
      </c>
      <c r="H4752" s="101" t="str">
        <f t="shared" si="297"/>
        <v>Sinapi 20068</v>
      </c>
      <c r="I4752" s="101" t="str">
        <f t="shared" si="298"/>
        <v>M</v>
      </c>
      <c r="J4752" s="140" t="str">
        <f t="shared" si="299"/>
        <v>TUBO PVC, SERIE R, DN 50 MM, PARA ESGOTO OU AGUAS PLUVIAIS PREDIAL (NBR 5688)</v>
      </c>
    </row>
    <row r="4753" spans="1:10" x14ac:dyDescent="0.25">
      <c r="A4753" s="169">
        <v>9839</v>
      </c>
      <c r="B4753" s="169" t="s">
        <v>28270</v>
      </c>
      <c r="C4753" s="169" t="s">
        <v>10229</v>
      </c>
      <c r="D4753" s="169" t="s">
        <v>1289</v>
      </c>
      <c r="E4753" s="103" t="s">
        <v>31525</v>
      </c>
      <c r="F4753" s="104"/>
      <c r="G4753" s="105">
        <f t="shared" si="296"/>
        <v>23.4</v>
      </c>
      <c r="H4753" s="101" t="str">
        <f t="shared" si="297"/>
        <v>Sinapi 9839</v>
      </c>
      <c r="I4753" s="101" t="str">
        <f t="shared" si="298"/>
        <v>M</v>
      </c>
      <c r="J4753" s="140" t="str">
        <f t="shared" si="299"/>
        <v>TUBO PVC, SERIE R, DN 75 MM, PARA ESGOTO OU AGUAS PLUVIAIS PREDIAL (NBR 5688)</v>
      </c>
    </row>
    <row r="4754" spans="1:10" x14ac:dyDescent="0.25">
      <c r="A4754" s="169">
        <v>9870</v>
      </c>
      <c r="B4754" s="169" t="s">
        <v>28271</v>
      </c>
      <c r="C4754" s="169" t="s">
        <v>10229</v>
      </c>
      <c r="D4754" s="169" t="s">
        <v>1289</v>
      </c>
      <c r="E4754" s="103" t="s">
        <v>31526</v>
      </c>
      <c r="F4754" s="104"/>
      <c r="G4754" s="105">
        <f t="shared" si="296"/>
        <v>107.66</v>
      </c>
      <c r="H4754" s="101" t="str">
        <f t="shared" si="297"/>
        <v>Sinapi 9870</v>
      </c>
      <c r="I4754" s="101" t="str">
        <f t="shared" si="298"/>
        <v>M</v>
      </c>
      <c r="J4754" s="140" t="str">
        <f t="shared" si="299"/>
        <v>TUBO PVC, SOLDAVEL, DE 110 MM, AGUA FRIA (NBR-5648)</v>
      </c>
    </row>
    <row r="4755" spans="1:10" x14ac:dyDescent="0.25">
      <c r="A4755" s="169">
        <v>9867</v>
      </c>
      <c r="B4755" s="169" t="s">
        <v>28272</v>
      </c>
      <c r="C4755" s="169" t="s">
        <v>10229</v>
      </c>
      <c r="D4755" s="169" t="s">
        <v>1289</v>
      </c>
      <c r="E4755" s="103" t="s">
        <v>2084</v>
      </c>
      <c r="F4755" s="104"/>
      <c r="G4755" s="105">
        <f t="shared" si="296"/>
        <v>4.32</v>
      </c>
      <c r="H4755" s="101" t="str">
        <f t="shared" si="297"/>
        <v>Sinapi 9867</v>
      </c>
      <c r="I4755" s="101" t="str">
        <f t="shared" si="298"/>
        <v>M</v>
      </c>
      <c r="J4755" s="140" t="str">
        <f t="shared" si="299"/>
        <v>TUBO PVC, SOLDAVEL, DE 20 MM, AGUA FRIA (NBR-5648)</v>
      </c>
    </row>
    <row r="4756" spans="1:10" x14ac:dyDescent="0.25">
      <c r="A4756" s="169">
        <v>9868</v>
      </c>
      <c r="B4756" s="169" t="s">
        <v>28273</v>
      </c>
      <c r="C4756" s="169" t="s">
        <v>10229</v>
      </c>
      <c r="D4756" s="169" t="s">
        <v>1288</v>
      </c>
      <c r="E4756" s="103" t="s">
        <v>12098</v>
      </c>
      <c r="F4756" s="104"/>
      <c r="G4756" s="105">
        <f t="shared" si="296"/>
        <v>4.88</v>
      </c>
      <c r="H4756" s="101" t="str">
        <f t="shared" si="297"/>
        <v>Sinapi 9868</v>
      </c>
      <c r="I4756" s="101" t="str">
        <f t="shared" si="298"/>
        <v>M</v>
      </c>
      <c r="J4756" s="140" t="str">
        <f t="shared" si="299"/>
        <v>TUBO PVC, SOLDAVEL, DE 25 MM, AGUA FRIA (NBR-5648)</v>
      </c>
    </row>
    <row r="4757" spans="1:10" x14ac:dyDescent="0.25">
      <c r="A4757" s="169">
        <v>9869</v>
      </c>
      <c r="B4757" s="169" t="s">
        <v>28274</v>
      </c>
      <c r="C4757" s="169" t="s">
        <v>10229</v>
      </c>
      <c r="D4757" s="169" t="s">
        <v>1289</v>
      </c>
      <c r="E4757" s="103" t="s">
        <v>11178</v>
      </c>
      <c r="F4757" s="104"/>
      <c r="G4757" s="105">
        <f t="shared" si="296"/>
        <v>10.53</v>
      </c>
      <c r="H4757" s="101" t="str">
        <f t="shared" si="297"/>
        <v>Sinapi 9869</v>
      </c>
      <c r="I4757" s="101" t="str">
        <f t="shared" si="298"/>
        <v>M</v>
      </c>
      <c r="J4757" s="140" t="str">
        <f t="shared" si="299"/>
        <v>TUBO PVC, SOLDAVEL, DE 32 MM, AGUA FRIA (NBR-5648)</v>
      </c>
    </row>
    <row r="4758" spans="1:10" x14ac:dyDescent="0.25">
      <c r="A4758" s="169">
        <v>9874</v>
      </c>
      <c r="B4758" s="169" t="s">
        <v>28275</v>
      </c>
      <c r="C4758" s="169" t="s">
        <v>10229</v>
      </c>
      <c r="D4758" s="169" t="s">
        <v>1289</v>
      </c>
      <c r="E4758" s="103" t="s">
        <v>28647</v>
      </c>
      <c r="F4758" s="104"/>
      <c r="G4758" s="105">
        <f t="shared" si="296"/>
        <v>16.54</v>
      </c>
      <c r="H4758" s="101" t="str">
        <f t="shared" si="297"/>
        <v>Sinapi 9874</v>
      </c>
      <c r="I4758" s="101" t="str">
        <f t="shared" si="298"/>
        <v>M</v>
      </c>
      <c r="J4758" s="140" t="str">
        <f t="shared" si="299"/>
        <v>TUBO PVC, SOLDAVEL, DE 40 MM, AGUA FRIA (NBR-5648)</v>
      </c>
    </row>
    <row r="4759" spans="1:10" x14ac:dyDescent="0.25">
      <c r="A4759" s="169">
        <v>9875</v>
      </c>
      <c r="B4759" s="169" t="s">
        <v>28276</v>
      </c>
      <c r="C4759" s="169" t="s">
        <v>10229</v>
      </c>
      <c r="D4759" s="169" t="s">
        <v>1289</v>
      </c>
      <c r="E4759" s="103" t="s">
        <v>25728</v>
      </c>
      <c r="F4759" s="104"/>
      <c r="G4759" s="105">
        <f t="shared" si="296"/>
        <v>18.14</v>
      </c>
      <c r="H4759" s="101" t="str">
        <f t="shared" si="297"/>
        <v>Sinapi 9875</v>
      </c>
      <c r="I4759" s="101" t="str">
        <f t="shared" si="298"/>
        <v>M</v>
      </c>
      <c r="J4759" s="140" t="str">
        <f t="shared" si="299"/>
        <v>TUBO PVC, SOLDAVEL, DE 50 MM, AGUA FRIA (NBR-5648)</v>
      </c>
    </row>
    <row r="4760" spans="1:10" x14ac:dyDescent="0.25">
      <c r="A4760" s="169">
        <v>9873</v>
      </c>
      <c r="B4760" s="169" t="s">
        <v>28277</v>
      </c>
      <c r="C4760" s="169" t="s">
        <v>10229</v>
      </c>
      <c r="D4760" s="169" t="s">
        <v>1289</v>
      </c>
      <c r="E4760" s="103" t="s">
        <v>20655</v>
      </c>
      <c r="F4760" s="104"/>
      <c r="G4760" s="105">
        <f t="shared" si="296"/>
        <v>29.84</v>
      </c>
      <c r="H4760" s="101" t="str">
        <f t="shared" si="297"/>
        <v>Sinapi 9873</v>
      </c>
      <c r="I4760" s="101" t="str">
        <f t="shared" si="298"/>
        <v>M</v>
      </c>
      <c r="J4760" s="140" t="str">
        <f t="shared" si="299"/>
        <v>TUBO PVC, SOLDAVEL, DE 60 MM, AGUA FRIA (NBR-5648)</v>
      </c>
    </row>
    <row r="4761" spans="1:10" x14ac:dyDescent="0.25">
      <c r="A4761" s="169">
        <v>9871</v>
      </c>
      <c r="B4761" s="169" t="s">
        <v>28278</v>
      </c>
      <c r="C4761" s="169" t="s">
        <v>10229</v>
      </c>
      <c r="D4761" s="169" t="s">
        <v>1289</v>
      </c>
      <c r="E4761" s="103" t="s">
        <v>31527</v>
      </c>
      <c r="F4761" s="104"/>
      <c r="G4761" s="105">
        <f t="shared" si="296"/>
        <v>49.45</v>
      </c>
      <c r="H4761" s="101" t="str">
        <f t="shared" si="297"/>
        <v>Sinapi 9871</v>
      </c>
      <c r="I4761" s="101" t="str">
        <f t="shared" si="298"/>
        <v>M</v>
      </c>
      <c r="J4761" s="140" t="str">
        <f t="shared" si="299"/>
        <v>TUBO PVC, SOLDAVEL, DE 75 MM, AGUA FRIA (NBR-5648)</v>
      </c>
    </row>
    <row r="4762" spans="1:10" x14ac:dyDescent="0.25">
      <c r="A4762" s="169">
        <v>9872</v>
      </c>
      <c r="B4762" s="169" t="s">
        <v>28279</v>
      </c>
      <c r="C4762" s="169" t="s">
        <v>10229</v>
      </c>
      <c r="D4762" s="169" t="s">
        <v>1289</v>
      </c>
      <c r="E4762" s="103" t="s">
        <v>23263</v>
      </c>
      <c r="F4762" s="104"/>
      <c r="G4762" s="105">
        <f t="shared" si="296"/>
        <v>68.790000000000006</v>
      </c>
      <c r="H4762" s="101" t="str">
        <f t="shared" si="297"/>
        <v>Sinapi 9872</v>
      </c>
      <c r="I4762" s="101" t="str">
        <f t="shared" si="298"/>
        <v>M</v>
      </c>
      <c r="J4762" s="140" t="str">
        <f t="shared" si="299"/>
        <v>TUBO PVC, SOLDAVEL, DE 85 MM, AGUA FRIA (NBR-5648)</v>
      </c>
    </row>
    <row r="4763" spans="1:10" x14ac:dyDescent="0.25">
      <c r="A4763" s="169">
        <v>7667</v>
      </c>
      <c r="B4763" s="169" t="s">
        <v>28281</v>
      </c>
      <c r="C4763" s="169" t="s">
        <v>10229</v>
      </c>
      <c r="D4763" s="169" t="s">
        <v>1290</v>
      </c>
      <c r="E4763" s="103" t="s">
        <v>31528</v>
      </c>
      <c r="F4763" s="104"/>
      <c r="G4763" s="105">
        <f t="shared" si="296"/>
        <v>3522.9</v>
      </c>
      <c r="H4763" s="101" t="str">
        <f t="shared" si="297"/>
        <v>Sinapi 7667</v>
      </c>
      <c r="I4763" s="101" t="str">
        <f t="shared" si="298"/>
        <v>M</v>
      </c>
      <c r="J4763" s="140" t="str">
        <f t="shared" si="299"/>
        <v>TUBO 26" EM CHAPA PRETA, E= 3/16", 147 KG/6 M</v>
      </c>
    </row>
    <row r="4764" spans="1:10" x14ac:dyDescent="0.25">
      <c r="A4764" s="169">
        <v>7660</v>
      </c>
      <c r="B4764" s="169" t="s">
        <v>28282</v>
      </c>
      <c r="C4764" s="169" t="s">
        <v>10229</v>
      </c>
      <c r="D4764" s="169" t="s">
        <v>1290</v>
      </c>
      <c r="E4764" s="103" t="s">
        <v>31529</v>
      </c>
      <c r="F4764" s="104"/>
      <c r="G4764" s="105">
        <f t="shared" si="296"/>
        <v>4490.8599999999997</v>
      </c>
      <c r="H4764" s="101" t="str">
        <f t="shared" si="297"/>
        <v>Sinapi 7660</v>
      </c>
      <c r="I4764" s="101" t="str">
        <f t="shared" si="298"/>
        <v>M</v>
      </c>
      <c r="J4764" s="140" t="str">
        <f t="shared" si="299"/>
        <v>TUBO 30" EM CHAPA PRETA, E= 1/4", 175 KG/6 M</v>
      </c>
    </row>
    <row r="4765" spans="1:10" x14ac:dyDescent="0.25">
      <c r="A4765" s="169">
        <v>7676</v>
      </c>
      <c r="B4765" s="169" t="s">
        <v>28283</v>
      </c>
      <c r="C4765" s="169" t="s">
        <v>10229</v>
      </c>
      <c r="D4765" s="169" t="s">
        <v>1290</v>
      </c>
      <c r="E4765" s="103" t="s">
        <v>31530</v>
      </c>
      <c r="F4765" s="104"/>
      <c r="G4765" s="105">
        <f t="shared" si="296"/>
        <v>4542.18</v>
      </c>
      <c r="H4765" s="101" t="str">
        <f t="shared" si="297"/>
        <v>Sinapi 7676</v>
      </c>
      <c r="I4765" s="101" t="str">
        <f t="shared" si="298"/>
        <v>M</v>
      </c>
      <c r="J4765" s="140" t="str">
        <f t="shared" si="299"/>
        <v>TUBO 30" EM CHAPA PRETA, E= 3/8", 177 KG/6 M</v>
      </c>
    </row>
    <row r="4766" spans="1:10" x14ac:dyDescent="0.25">
      <c r="A4766" s="169">
        <v>12426</v>
      </c>
      <c r="B4766" s="169" t="s">
        <v>28284</v>
      </c>
      <c r="C4766" s="169" t="s">
        <v>10225</v>
      </c>
      <c r="D4766" s="169" t="s">
        <v>1289</v>
      </c>
      <c r="E4766" s="103" t="s">
        <v>21898</v>
      </c>
      <c r="F4766" s="104"/>
      <c r="G4766" s="105">
        <f t="shared" si="296"/>
        <v>45.16</v>
      </c>
      <c r="H4766" s="101" t="str">
        <f t="shared" si="297"/>
        <v>Sinapi 12426</v>
      </c>
      <c r="I4766" s="101" t="str">
        <f t="shared" si="298"/>
        <v>UN</v>
      </c>
      <c r="J4766" s="140" t="str">
        <f t="shared" si="299"/>
        <v>UNIAO COM ASSENTO CONICO DE BRONZE, DIAMETRO 1/2"</v>
      </c>
    </row>
    <row r="4767" spans="1:10" x14ac:dyDescent="0.25">
      <c r="A4767" s="169">
        <v>12425</v>
      </c>
      <c r="B4767" s="169" t="s">
        <v>28286</v>
      </c>
      <c r="C4767" s="169" t="s">
        <v>10225</v>
      </c>
      <c r="D4767" s="169" t="s">
        <v>1289</v>
      </c>
      <c r="E4767" s="103" t="s">
        <v>31531</v>
      </c>
      <c r="F4767" s="104"/>
      <c r="G4767" s="105">
        <f t="shared" si="296"/>
        <v>62.05</v>
      </c>
      <c r="H4767" s="101" t="str">
        <f t="shared" si="297"/>
        <v>Sinapi 12425</v>
      </c>
      <c r="I4767" s="101" t="str">
        <f t="shared" si="298"/>
        <v>UN</v>
      </c>
      <c r="J4767" s="140" t="str">
        <f t="shared" si="299"/>
        <v>UNIAO COM ASSENTO CONICO DE BRONZE, DIAMETRO 1"</v>
      </c>
    </row>
    <row r="4768" spans="1:10" x14ac:dyDescent="0.25">
      <c r="A4768" s="169">
        <v>12427</v>
      </c>
      <c r="B4768" s="169" t="s">
        <v>28287</v>
      </c>
      <c r="C4768" s="169" t="s">
        <v>10225</v>
      </c>
      <c r="D4768" s="169" t="s">
        <v>1289</v>
      </c>
      <c r="E4768" s="103" t="s">
        <v>31532</v>
      </c>
      <c r="F4768" s="104"/>
      <c r="G4768" s="105">
        <f t="shared" si="296"/>
        <v>257.52999999999997</v>
      </c>
      <c r="H4768" s="101" t="str">
        <f t="shared" si="297"/>
        <v>Sinapi 12427</v>
      </c>
      <c r="I4768" s="101" t="str">
        <f t="shared" si="298"/>
        <v>UN</v>
      </c>
      <c r="J4768" s="140" t="str">
        <f t="shared" si="299"/>
        <v>UNIAO COM ASSENTO CONICO DE BRONZE, DIAMETRO 2 1/2"</v>
      </c>
    </row>
    <row r="4769" spans="1:10" x14ac:dyDescent="0.25">
      <c r="A4769" s="169">
        <v>12428</v>
      </c>
      <c r="B4769" s="169" t="s">
        <v>28288</v>
      </c>
      <c r="C4769" s="169" t="s">
        <v>10225</v>
      </c>
      <c r="D4769" s="169" t="s">
        <v>1289</v>
      </c>
      <c r="E4769" s="103" t="s">
        <v>31533</v>
      </c>
      <c r="F4769" s="104"/>
      <c r="G4769" s="105">
        <f t="shared" si="296"/>
        <v>165.3</v>
      </c>
      <c r="H4769" s="101" t="str">
        <f t="shared" si="297"/>
        <v>Sinapi 12428</v>
      </c>
      <c r="I4769" s="101" t="str">
        <f t="shared" si="298"/>
        <v>UN</v>
      </c>
      <c r="J4769" s="140" t="str">
        <f t="shared" si="299"/>
        <v>UNIAO COM ASSENTO CONICO DE BRONZE, DIAMETRO 2'</v>
      </c>
    </row>
    <row r="4770" spans="1:10" x14ac:dyDescent="0.25">
      <c r="A4770" s="169">
        <v>12430</v>
      </c>
      <c r="B4770" s="169" t="s">
        <v>28289</v>
      </c>
      <c r="C4770" s="169" t="s">
        <v>10225</v>
      </c>
      <c r="D4770" s="169" t="s">
        <v>1289</v>
      </c>
      <c r="E4770" s="103" t="s">
        <v>28943</v>
      </c>
      <c r="F4770" s="104"/>
      <c r="G4770" s="105">
        <f t="shared" si="296"/>
        <v>55.37</v>
      </c>
      <c r="H4770" s="101" t="str">
        <f t="shared" si="297"/>
        <v>Sinapi 12430</v>
      </c>
      <c r="I4770" s="101" t="str">
        <f t="shared" si="298"/>
        <v>UN</v>
      </c>
      <c r="J4770" s="140" t="str">
        <f t="shared" si="299"/>
        <v>UNIAO COM ASSENTO CONICO DE BRONZE, DIAMETRO 3/4"</v>
      </c>
    </row>
    <row r="4771" spans="1:10" x14ac:dyDescent="0.25">
      <c r="A4771" s="169">
        <v>12429</v>
      </c>
      <c r="B4771" s="169" t="s">
        <v>28290</v>
      </c>
      <c r="C4771" s="169" t="s">
        <v>10225</v>
      </c>
      <c r="D4771" s="169" t="s">
        <v>1289</v>
      </c>
      <c r="E4771" s="103" t="s">
        <v>30133</v>
      </c>
      <c r="F4771" s="104"/>
      <c r="G4771" s="105">
        <f t="shared" si="296"/>
        <v>416.44</v>
      </c>
      <c r="H4771" s="101" t="str">
        <f t="shared" si="297"/>
        <v>Sinapi 12429</v>
      </c>
      <c r="I4771" s="101" t="str">
        <f t="shared" si="298"/>
        <v>UN</v>
      </c>
      <c r="J4771" s="140" t="str">
        <f t="shared" si="299"/>
        <v>UNIAO COM ASSENTO CONICO DE BRONZE, DIAMETRO 3"</v>
      </c>
    </row>
    <row r="4772" spans="1:10" x14ac:dyDescent="0.25">
      <c r="A4772" s="169">
        <v>12431</v>
      </c>
      <c r="B4772" s="169" t="s">
        <v>28291</v>
      </c>
      <c r="C4772" s="169" t="s">
        <v>10225</v>
      </c>
      <c r="D4772" s="169" t="s">
        <v>1289</v>
      </c>
      <c r="E4772" s="103" t="s">
        <v>31534</v>
      </c>
      <c r="F4772" s="104"/>
      <c r="G4772" s="105">
        <f t="shared" si="296"/>
        <v>708.71</v>
      </c>
      <c r="H4772" s="101" t="str">
        <f t="shared" si="297"/>
        <v>Sinapi 12431</v>
      </c>
      <c r="I4772" s="101" t="str">
        <f t="shared" si="298"/>
        <v>UN</v>
      </c>
      <c r="J4772" s="140" t="str">
        <f t="shared" si="299"/>
        <v>UNIAO COM ASSENTO CONICO DE BRONZE, DIAMETRO 4"</v>
      </c>
    </row>
    <row r="4773" spans="1:10" x14ac:dyDescent="0.25">
      <c r="A4773" s="169">
        <v>12432</v>
      </c>
      <c r="B4773" s="169" t="s">
        <v>28292</v>
      </c>
      <c r="C4773" s="169" t="s">
        <v>10225</v>
      </c>
      <c r="D4773" s="169" t="s">
        <v>1289</v>
      </c>
      <c r="E4773" s="103" t="s">
        <v>21328</v>
      </c>
      <c r="F4773" s="104"/>
      <c r="G4773" s="105">
        <f t="shared" si="296"/>
        <v>145.76</v>
      </c>
      <c r="H4773" s="101" t="str">
        <f t="shared" si="297"/>
        <v>Sinapi 12432</v>
      </c>
      <c r="I4773" s="101" t="str">
        <f t="shared" si="298"/>
        <v>UN</v>
      </c>
      <c r="J4773" s="140" t="str">
        <f t="shared" si="299"/>
        <v>UNIAO COM ASSENTO CONICO DE FERRO LONGO (MACHO-FEMEA), DIAMETRO 1 1/2"</v>
      </c>
    </row>
    <row r="4774" spans="1:10" x14ac:dyDescent="0.25">
      <c r="A4774" s="169">
        <v>12434</v>
      </c>
      <c r="B4774" s="169" t="s">
        <v>28293</v>
      </c>
      <c r="C4774" s="169" t="s">
        <v>10225</v>
      </c>
      <c r="D4774" s="169" t="s">
        <v>1289</v>
      </c>
      <c r="E4774" s="103" t="s">
        <v>21879</v>
      </c>
      <c r="F4774" s="104"/>
      <c r="G4774" s="105">
        <f t="shared" si="296"/>
        <v>47.5</v>
      </c>
      <c r="H4774" s="101" t="str">
        <f t="shared" si="297"/>
        <v>Sinapi 12434</v>
      </c>
      <c r="I4774" s="101" t="str">
        <f t="shared" si="298"/>
        <v>UN</v>
      </c>
      <c r="J4774" s="140" t="str">
        <f t="shared" si="299"/>
        <v>UNIAO COM ASSENTO CONICO DE FERRO LONGO (MACHO-FEMEA), DIAMETRO 1/2"</v>
      </c>
    </row>
    <row r="4775" spans="1:10" x14ac:dyDescent="0.25">
      <c r="A4775" s="169">
        <v>12433</v>
      </c>
      <c r="B4775" s="169" t="s">
        <v>28294</v>
      </c>
      <c r="C4775" s="169" t="s">
        <v>10225</v>
      </c>
      <c r="D4775" s="169" t="s">
        <v>1289</v>
      </c>
      <c r="E4775" s="103" t="s">
        <v>31535</v>
      </c>
      <c r="F4775" s="104"/>
      <c r="G4775" s="105">
        <f t="shared" si="296"/>
        <v>92.79</v>
      </c>
      <c r="H4775" s="101" t="str">
        <f t="shared" si="297"/>
        <v>Sinapi 12433</v>
      </c>
      <c r="I4775" s="101" t="str">
        <f t="shared" si="298"/>
        <v>UN</v>
      </c>
      <c r="J4775" s="140" t="str">
        <f t="shared" si="299"/>
        <v>UNIAO COM ASSENTO CONICO DE FERRO LONGO (MACHO-FEMEA), DIAMETRO 1"</v>
      </c>
    </row>
    <row r="4776" spans="1:10" x14ac:dyDescent="0.25">
      <c r="A4776" s="169">
        <v>12435</v>
      </c>
      <c r="B4776" s="169" t="s">
        <v>28295</v>
      </c>
      <c r="C4776" s="169" t="s">
        <v>10225</v>
      </c>
      <c r="D4776" s="169" t="s">
        <v>1289</v>
      </c>
      <c r="E4776" s="103" t="s">
        <v>31536</v>
      </c>
      <c r="F4776" s="104"/>
      <c r="G4776" s="105">
        <f t="shared" si="296"/>
        <v>287.17</v>
      </c>
      <c r="H4776" s="101" t="str">
        <f t="shared" si="297"/>
        <v>Sinapi 12435</v>
      </c>
      <c r="I4776" s="101" t="str">
        <f t="shared" si="298"/>
        <v>UN</v>
      </c>
      <c r="J4776" s="140" t="str">
        <f t="shared" si="299"/>
        <v>UNIAO COM ASSENTO CONICO DE FERRO LONGO (MACHO-FEMEA), DIAMETRO 2 1/2"</v>
      </c>
    </row>
    <row r="4777" spans="1:10" x14ac:dyDescent="0.25">
      <c r="A4777" s="169">
        <v>12437</v>
      </c>
      <c r="B4777" s="169" t="s">
        <v>28296</v>
      </c>
      <c r="C4777" s="169" t="s">
        <v>10225</v>
      </c>
      <c r="D4777" s="169" t="s">
        <v>1289</v>
      </c>
      <c r="E4777" s="103" t="s">
        <v>31537</v>
      </c>
      <c r="F4777" s="104"/>
      <c r="G4777" s="105">
        <f t="shared" si="296"/>
        <v>231.92</v>
      </c>
      <c r="H4777" s="101" t="str">
        <f t="shared" si="297"/>
        <v>Sinapi 12437</v>
      </c>
      <c r="I4777" s="101" t="str">
        <f t="shared" si="298"/>
        <v>UN</v>
      </c>
      <c r="J4777" s="140" t="str">
        <f t="shared" si="299"/>
        <v>UNIAO COM ASSENTO CONICO DE FERRO LONGO (MACHO-FEMEA), DIAMETRO 2"</v>
      </c>
    </row>
    <row r="4778" spans="1:10" x14ac:dyDescent="0.25">
      <c r="A4778" s="169">
        <v>12439</v>
      </c>
      <c r="B4778" s="169" t="s">
        <v>28297</v>
      </c>
      <c r="C4778" s="169" t="s">
        <v>10225</v>
      </c>
      <c r="D4778" s="169" t="s">
        <v>1289</v>
      </c>
      <c r="E4778" s="103" t="s">
        <v>29219</v>
      </c>
      <c r="F4778" s="104"/>
      <c r="G4778" s="105">
        <f t="shared" si="296"/>
        <v>74.430000000000007</v>
      </c>
      <c r="H4778" s="101" t="str">
        <f t="shared" si="297"/>
        <v>Sinapi 12439</v>
      </c>
      <c r="I4778" s="101" t="str">
        <f t="shared" si="298"/>
        <v>UN</v>
      </c>
      <c r="J4778" s="140" t="str">
        <f t="shared" si="299"/>
        <v>UNIAO COM ASSENTO CONICO DE FERRO LONGO (MACHO-FEMEA), DIAMETRO 3/4"</v>
      </c>
    </row>
    <row r="4779" spans="1:10" x14ac:dyDescent="0.25">
      <c r="A4779" s="169">
        <v>12438</v>
      </c>
      <c r="B4779" s="169" t="s">
        <v>28298</v>
      </c>
      <c r="C4779" s="169" t="s">
        <v>10225</v>
      </c>
      <c r="D4779" s="169" t="s">
        <v>1289</v>
      </c>
      <c r="E4779" s="103" t="s">
        <v>31538</v>
      </c>
      <c r="F4779" s="104"/>
      <c r="G4779" s="105">
        <f t="shared" si="296"/>
        <v>419.71</v>
      </c>
      <c r="H4779" s="101" t="str">
        <f t="shared" si="297"/>
        <v>Sinapi 12438</v>
      </c>
      <c r="I4779" s="101" t="str">
        <f t="shared" si="298"/>
        <v>UN</v>
      </c>
      <c r="J4779" s="140" t="str">
        <f t="shared" si="299"/>
        <v>UNIAO COM ASSENTO CONICO DE FERRO LONGO (MACHO-FEMEA), DIAMETRO 3'</v>
      </c>
    </row>
    <row r="4780" spans="1:10" x14ac:dyDescent="0.25">
      <c r="A4780" s="169">
        <v>12436</v>
      </c>
      <c r="B4780" s="169" t="s">
        <v>28299</v>
      </c>
      <c r="C4780" s="169" t="s">
        <v>10225</v>
      </c>
      <c r="D4780" s="169" t="s">
        <v>1289</v>
      </c>
      <c r="E4780" s="103" t="s">
        <v>31539</v>
      </c>
      <c r="F4780" s="104"/>
      <c r="G4780" s="105">
        <f t="shared" si="296"/>
        <v>530.17999999999995</v>
      </c>
      <c r="H4780" s="101" t="str">
        <f t="shared" si="297"/>
        <v>Sinapi 12436</v>
      </c>
      <c r="I4780" s="101" t="str">
        <f t="shared" si="298"/>
        <v>UN</v>
      </c>
      <c r="J4780" s="140" t="str">
        <f t="shared" si="299"/>
        <v>UNIAO COM ASSENTO CONICO DE FERRO LONGO (MACHO-FEMEA), DIAMETRO 4"</v>
      </c>
    </row>
    <row r="4781" spans="1:10" x14ac:dyDescent="0.25">
      <c r="A4781" s="169">
        <v>36357</v>
      </c>
      <c r="B4781" s="169" t="s">
        <v>28300</v>
      </c>
      <c r="C4781" s="169" t="s">
        <v>10225</v>
      </c>
      <c r="D4781" s="169" t="s">
        <v>1290</v>
      </c>
      <c r="E4781" s="103" t="s">
        <v>31540</v>
      </c>
      <c r="F4781" s="104"/>
      <c r="G4781" s="105">
        <f t="shared" si="296"/>
        <v>132.33000000000001</v>
      </c>
      <c r="H4781" s="101" t="str">
        <f t="shared" si="297"/>
        <v>Sinapi 36357</v>
      </c>
      <c r="I4781" s="101" t="str">
        <f t="shared" si="298"/>
        <v>UN</v>
      </c>
      <c r="J4781" s="140" t="str">
        <f t="shared" si="299"/>
        <v>UNIAO COM FLANGE PPR, COM PARAFUSOS, DN 40 MM, PARA AGUA QUENTE PREDIAL</v>
      </c>
    </row>
    <row r="4782" spans="1:10" x14ac:dyDescent="0.25">
      <c r="A4782" s="169">
        <v>12424</v>
      </c>
      <c r="B4782" s="169" t="s">
        <v>28302</v>
      </c>
      <c r="C4782" s="169" t="s">
        <v>10225</v>
      </c>
      <c r="D4782" s="169" t="s">
        <v>1289</v>
      </c>
      <c r="E4782" s="103" t="s">
        <v>31541</v>
      </c>
      <c r="F4782" s="104"/>
      <c r="G4782" s="105">
        <f t="shared" si="296"/>
        <v>95.54</v>
      </c>
      <c r="H4782" s="101" t="str">
        <f t="shared" si="297"/>
        <v>Sinapi 12424</v>
      </c>
      <c r="I4782" s="101" t="str">
        <f t="shared" si="298"/>
        <v>UN</v>
      </c>
      <c r="J4782" s="140" t="str">
        <f t="shared" si="299"/>
        <v>UNIAO DE FERRO GALVANIZADO, COM ASSENTO CONICO DE BRONZE, DE 1 1/2"</v>
      </c>
    </row>
    <row r="4783" spans="1:10" x14ac:dyDescent="0.25">
      <c r="A4783" s="169">
        <v>12440</v>
      </c>
      <c r="B4783" s="169" t="s">
        <v>28303</v>
      </c>
      <c r="C4783" s="169" t="s">
        <v>10225</v>
      </c>
      <c r="D4783" s="169" t="s">
        <v>1289</v>
      </c>
      <c r="E4783" s="103" t="s">
        <v>24190</v>
      </c>
      <c r="F4783" s="104"/>
      <c r="G4783" s="105">
        <f t="shared" si="296"/>
        <v>92.34</v>
      </c>
      <c r="H4783" s="101" t="str">
        <f t="shared" si="297"/>
        <v>Sinapi 12440</v>
      </c>
      <c r="I4783" s="101" t="str">
        <f t="shared" si="298"/>
        <v>UN</v>
      </c>
      <c r="J4783" s="140" t="str">
        <f t="shared" si="299"/>
        <v>UNIAO DE FERRO GALVANIZADO, COM ASSENTO CONICO DE BRONZE, DE 1 1/4"</v>
      </c>
    </row>
    <row r="4784" spans="1:10" x14ac:dyDescent="0.25">
      <c r="A4784" s="169">
        <v>9884</v>
      </c>
      <c r="B4784" s="169" t="s">
        <v>28304</v>
      </c>
      <c r="C4784" s="169" t="s">
        <v>10225</v>
      </c>
      <c r="D4784" s="169" t="s">
        <v>1289</v>
      </c>
      <c r="E4784" s="103" t="s">
        <v>31542</v>
      </c>
      <c r="F4784" s="104"/>
      <c r="G4784" s="105">
        <f t="shared" si="296"/>
        <v>68.88</v>
      </c>
      <c r="H4784" s="101" t="str">
        <f t="shared" si="297"/>
        <v>Sinapi 9884</v>
      </c>
      <c r="I4784" s="101" t="str">
        <f t="shared" si="298"/>
        <v>UN</v>
      </c>
      <c r="J4784" s="140" t="str">
        <f t="shared" si="299"/>
        <v>UNIAO DE FERRO GALVANIZADO, COM ROSCA BSP, COM ASSENTO PLANO, DE 1 1/2"</v>
      </c>
    </row>
    <row r="4785" spans="1:10" x14ac:dyDescent="0.25">
      <c r="A4785" s="169">
        <v>9888</v>
      </c>
      <c r="B4785" s="169" t="s">
        <v>28305</v>
      </c>
      <c r="C4785" s="169" t="s">
        <v>10225</v>
      </c>
      <c r="D4785" s="169" t="s">
        <v>1289</v>
      </c>
      <c r="E4785" s="103" t="s">
        <v>31543</v>
      </c>
      <c r="F4785" s="104"/>
      <c r="G4785" s="105">
        <f t="shared" si="296"/>
        <v>55.34</v>
      </c>
      <c r="H4785" s="101" t="str">
        <f t="shared" si="297"/>
        <v>Sinapi 9888</v>
      </c>
      <c r="I4785" s="101" t="str">
        <f t="shared" si="298"/>
        <v>UN</v>
      </c>
      <c r="J4785" s="140" t="str">
        <f t="shared" si="299"/>
        <v>UNIAO DE FERRO GALVANIZADO, COM ROSCA BSP, COM ASSENTO PLANO, DE 1 1/4"</v>
      </c>
    </row>
    <row r="4786" spans="1:10" x14ac:dyDescent="0.25">
      <c r="A4786" s="169">
        <v>9883</v>
      </c>
      <c r="B4786" s="169" t="s">
        <v>28307</v>
      </c>
      <c r="C4786" s="169" t="s">
        <v>10225</v>
      </c>
      <c r="D4786" s="169" t="s">
        <v>1289</v>
      </c>
      <c r="E4786" s="103" t="s">
        <v>16297</v>
      </c>
      <c r="F4786" s="104"/>
      <c r="G4786" s="105">
        <f t="shared" si="296"/>
        <v>24.15</v>
      </c>
      <c r="H4786" s="101" t="str">
        <f t="shared" si="297"/>
        <v>Sinapi 9883</v>
      </c>
      <c r="I4786" s="101" t="str">
        <f t="shared" si="298"/>
        <v>UN</v>
      </c>
      <c r="J4786" s="140" t="str">
        <f t="shared" si="299"/>
        <v>UNIAO DE FERRO GALVANIZADO, COM ROSCA BSP, COM ASSENTO PLANO, DE 1/2"</v>
      </c>
    </row>
    <row r="4787" spans="1:10" x14ac:dyDescent="0.25">
      <c r="A4787" s="169">
        <v>9886</v>
      </c>
      <c r="B4787" s="169" t="s">
        <v>1007</v>
      </c>
      <c r="C4787" s="169" t="s">
        <v>10225</v>
      </c>
      <c r="D4787" s="169" t="s">
        <v>1289</v>
      </c>
      <c r="E4787" s="103" t="s">
        <v>22849</v>
      </c>
      <c r="F4787" s="104"/>
      <c r="G4787" s="105">
        <f t="shared" si="296"/>
        <v>33.08</v>
      </c>
      <c r="H4787" s="101" t="str">
        <f t="shared" si="297"/>
        <v>Sinapi 9886</v>
      </c>
      <c r="I4787" s="101" t="str">
        <f t="shared" si="298"/>
        <v>UN</v>
      </c>
      <c r="J4787" s="140" t="str">
        <f t="shared" si="299"/>
        <v>UNIAO DE FERRO GALVANIZADO, COM ROSCA BSP, COM ASSENTO PLANO, DE 1"</v>
      </c>
    </row>
    <row r="4788" spans="1:10" x14ac:dyDescent="0.25">
      <c r="A4788" s="169">
        <v>9889</v>
      </c>
      <c r="B4788" s="169" t="s">
        <v>28308</v>
      </c>
      <c r="C4788" s="169" t="s">
        <v>10225</v>
      </c>
      <c r="D4788" s="169" t="s">
        <v>1289</v>
      </c>
      <c r="E4788" s="103" t="s">
        <v>31392</v>
      </c>
      <c r="F4788" s="104"/>
      <c r="G4788" s="105">
        <f t="shared" si="296"/>
        <v>167.57</v>
      </c>
      <c r="H4788" s="101" t="str">
        <f t="shared" si="297"/>
        <v>Sinapi 9889</v>
      </c>
      <c r="I4788" s="101" t="str">
        <f t="shared" si="298"/>
        <v>UN</v>
      </c>
      <c r="J4788" s="140" t="str">
        <f t="shared" si="299"/>
        <v>UNIAO DE FERRO GALVANIZADO, COM ROSCA BSP, COM ASSENTO PLANO, DE 2 1/2"</v>
      </c>
    </row>
    <row r="4789" spans="1:10" x14ac:dyDescent="0.25">
      <c r="A4789" s="169">
        <v>9887</v>
      </c>
      <c r="B4789" s="169" t="s">
        <v>28309</v>
      </c>
      <c r="C4789" s="169" t="s">
        <v>10225</v>
      </c>
      <c r="D4789" s="169" t="s">
        <v>1289</v>
      </c>
      <c r="E4789" s="103" t="s">
        <v>28816</v>
      </c>
      <c r="F4789" s="104"/>
      <c r="G4789" s="105">
        <f t="shared" si="296"/>
        <v>101.28</v>
      </c>
      <c r="H4789" s="101" t="str">
        <f t="shared" si="297"/>
        <v>Sinapi 9887</v>
      </c>
      <c r="I4789" s="101" t="str">
        <f t="shared" si="298"/>
        <v>UN</v>
      </c>
      <c r="J4789" s="140" t="str">
        <f t="shared" si="299"/>
        <v>UNIAO DE FERRO GALVANIZADO, COM ROSCA BSP, COM ASSENTO PLANO, DE 2"</v>
      </c>
    </row>
    <row r="4790" spans="1:10" x14ac:dyDescent="0.25">
      <c r="A4790" s="169">
        <v>9885</v>
      </c>
      <c r="B4790" s="169" t="s">
        <v>28310</v>
      </c>
      <c r="C4790" s="169" t="s">
        <v>10225</v>
      </c>
      <c r="D4790" s="169" t="s">
        <v>1289</v>
      </c>
      <c r="E4790" s="103" t="s">
        <v>31544</v>
      </c>
      <c r="F4790" s="104"/>
      <c r="G4790" s="105">
        <f t="shared" si="296"/>
        <v>31.98</v>
      </c>
      <c r="H4790" s="101" t="str">
        <f t="shared" si="297"/>
        <v>Sinapi 9885</v>
      </c>
      <c r="I4790" s="101" t="str">
        <f t="shared" si="298"/>
        <v>UN</v>
      </c>
      <c r="J4790" s="140" t="str">
        <f t="shared" si="299"/>
        <v>UNIAO DE FERRO GALVANIZADO, COM ROSCA BSP, COM ASSENTO PLANO, DE 3/4"</v>
      </c>
    </row>
    <row r="4791" spans="1:10" x14ac:dyDescent="0.25">
      <c r="A4791" s="169">
        <v>9890</v>
      </c>
      <c r="B4791" s="169" t="s">
        <v>28311</v>
      </c>
      <c r="C4791" s="169" t="s">
        <v>10225</v>
      </c>
      <c r="D4791" s="169" t="s">
        <v>1289</v>
      </c>
      <c r="E4791" s="103" t="s">
        <v>31545</v>
      </c>
      <c r="F4791" s="104"/>
      <c r="G4791" s="105">
        <f t="shared" si="296"/>
        <v>259.61</v>
      </c>
      <c r="H4791" s="101" t="str">
        <f t="shared" si="297"/>
        <v>Sinapi 9890</v>
      </c>
      <c r="I4791" s="101" t="str">
        <f t="shared" si="298"/>
        <v>UN</v>
      </c>
      <c r="J4791" s="140" t="str">
        <f t="shared" si="299"/>
        <v>UNIAO DE FERRO GALVANIZADO, COM ROSCA BSP, COM ASSENTO PLANO, DE 3"</v>
      </c>
    </row>
    <row r="4792" spans="1:10" x14ac:dyDescent="0.25">
      <c r="A4792" s="169">
        <v>9891</v>
      </c>
      <c r="B4792" s="169" t="s">
        <v>28312</v>
      </c>
      <c r="C4792" s="169" t="s">
        <v>10225</v>
      </c>
      <c r="D4792" s="169" t="s">
        <v>1289</v>
      </c>
      <c r="E4792" s="103" t="s">
        <v>31546</v>
      </c>
      <c r="F4792" s="104"/>
      <c r="G4792" s="105">
        <f t="shared" si="296"/>
        <v>364.45</v>
      </c>
      <c r="H4792" s="101" t="str">
        <f t="shared" si="297"/>
        <v>Sinapi 9891</v>
      </c>
      <c r="I4792" s="101" t="str">
        <f t="shared" si="298"/>
        <v>UN</v>
      </c>
      <c r="J4792" s="140" t="str">
        <f t="shared" si="299"/>
        <v>UNIAO DE FERRO GALVANIZADO, COM ROSCA BSP, COM ASSENTO PLANO, DE 4"</v>
      </c>
    </row>
    <row r="4793" spans="1:10" x14ac:dyDescent="0.25">
      <c r="A4793" s="169">
        <v>36313</v>
      </c>
      <c r="B4793" s="169" t="s">
        <v>28313</v>
      </c>
      <c r="C4793" s="169" t="s">
        <v>10225</v>
      </c>
      <c r="D4793" s="169" t="s">
        <v>1290</v>
      </c>
      <c r="E4793" s="103" t="s">
        <v>17959</v>
      </c>
      <c r="F4793" s="104"/>
      <c r="G4793" s="105">
        <f t="shared" si="296"/>
        <v>13.85</v>
      </c>
      <c r="H4793" s="101" t="str">
        <f t="shared" si="297"/>
        <v>Sinapi 36313</v>
      </c>
      <c r="I4793" s="101" t="str">
        <f t="shared" si="298"/>
        <v>UN</v>
      </c>
      <c r="J4793" s="140" t="str">
        <f t="shared" si="299"/>
        <v>UNIAO DUPLA PPR, DN 20 MM, PARA AGUA QUENTE PREDIAL</v>
      </c>
    </row>
    <row r="4794" spans="1:10" x14ac:dyDescent="0.25">
      <c r="A4794" s="169">
        <v>36316</v>
      </c>
      <c r="B4794" s="169" t="s">
        <v>28314</v>
      </c>
      <c r="C4794" s="169" t="s">
        <v>10225</v>
      </c>
      <c r="D4794" s="169" t="s">
        <v>1290</v>
      </c>
      <c r="E4794" s="103" t="s">
        <v>20071</v>
      </c>
      <c r="F4794" s="104"/>
      <c r="G4794" s="105">
        <f t="shared" si="296"/>
        <v>21.57</v>
      </c>
      <c r="H4794" s="101" t="str">
        <f t="shared" si="297"/>
        <v>Sinapi 36316</v>
      </c>
      <c r="I4794" s="101" t="str">
        <f t="shared" si="298"/>
        <v>UN</v>
      </c>
      <c r="J4794" s="140" t="str">
        <f t="shared" si="299"/>
        <v>UNIAO DUPLA PPR, DN 25 MM, PARA AGUA QUENTE PREDIAL</v>
      </c>
    </row>
    <row r="4795" spans="1:10" x14ac:dyDescent="0.25">
      <c r="A4795" s="169">
        <v>64</v>
      </c>
      <c r="B4795" s="169" t="s">
        <v>28315</v>
      </c>
      <c r="C4795" s="169" t="s">
        <v>10225</v>
      </c>
      <c r="D4795" s="169" t="s">
        <v>1290</v>
      </c>
      <c r="E4795" s="103" t="s">
        <v>27853</v>
      </c>
      <c r="F4795" s="104"/>
      <c r="G4795" s="105">
        <f t="shared" si="296"/>
        <v>4.57</v>
      </c>
      <c r="H4795" s="101" t="str">
        <f t="shared" si="297"/>
        <v>Sinapi 64</v>
      </c>
      <c r="I4795" s="101" t="str">
        <f t="shared" si="298"/>
        <v>UN</v>
      </c>
      <c r="J4795" s="140" t="str">
        <f t="shared" si="299"/>
        <v>UNIAO EM POLIPROPILENO (PP), PARA TUBO EM PEAD, 20 MM - LIGACAO PREDIAL DE AGUA</v>
      </c>
    </row>
    <row r="4796" spans="1:10" x14ac:dyDescent="0.25">
      <c r="A4796" s="169">
        <v>37423</v>
      </c>
      <c r="B4796" s="169" t="s">
        <v>28316</v>
      </c>
      <c r="C4796" s="169" t="s">
        <v>10225</v>
      </c>
      <c r="D4796" s="169" t="s">
        <v>1290</v>
      </c>
      <c r="E4796" s="103" t="s">
        <v>31547</v>
      </c>
      <c r="F4796" s="104"/>
      <c r="G4796" s="105">
        <f t="shared" si="296"/>
        <v>11.28</v>
      </c>
      <c r="H4796" s="101" t="str">
        <f t="shared" si="297"/>
        <v>Sinapi 37423</v>
      </c>
      <c r="I4796" s="101" t="str">
        <f t="shared" si="298"/>
        <v>UN</v>
      </c>
      <c r="J4796" s="140" t="str">
        <f t="shared" si="299"/>
        <v>UNIAO EM POLIPROPILENO (PP), PARA TUBO EM PEAD, 32 MM - LIGACAO PREDIAL DE AGUA</v>
      </c>
    </row>
    <row r="4797" spans="1:10" x14ac:dyDescent="0.25">
      <c r="A4797" s="169">
        <v>9892</v>
      </c>
      <c r="B4797" s="169" t="s">
        <v>28317</v>
      </c>
      <c r="C4797" s="169" t="s">
        <v>10225</v>
      </c>
      <c r="D4797" s="169" t="s">
        <v>1289</v>
      </c>
      <c r="E4797" s="103" t="s">
        <v>14357</v>
      </c>
      <c r="F4797" s="104"/>
      <c r="G4797" s="105">
        <f t="shared" si="296"/>
        <v>7.92</v>
      </c>
      <c r="H4797" s="101" t="str">
        <f t="shared" si="297"/>
        <v>Sinapi 9892</v>
      </c>
      <c r="I4797" s="101" t="str">
        <f t="shared" si="298"/>
        <v>UN</v>
      </c>
      <c r="J4797" s="140" t="str">
        <f t="shared" si="299"/>
        <v>UNIAO PVC, ROSCAVEL 1/2", AGUA FRIA PREDIAL</v>
      </c>
    </row>
    <row r="4798" spans="1:10" x14ac:dyDescent="0.25">
      <c r="A4798" s="169">
        <v>9901</v>
      </c>
      <c r="B4798" s="169" t="s">
        <v>28318</v>
      </c>
      <c r="C4798" s="169" t="s">
        <v>10225</v>
      </c>
      <c r="D4798" s="169" t="s">
        <v>1289</v>
      </c>
      <c r="E4798" s="103" t="s">
        <v>28548</v>
      </c>
      <c r="F4798" s="104"/>
      <c r="G4798" s="105">
        <f t="shared" si="296"/>
        <v>38.32</v>
      </c>
      <c r="H4798" s="101" t="str">
        <f t="shared" si="297"/>
        <v>Sinapi 9901</v>
      </c>
      <c r="I4798" s="101" t="str">
        <f t="shared" si="298"/>
        <v>UN</v>
      </c>
      <c r="J4798" s="140" t="str">
        <f t="shared" si="299"/>
        <v>UNIAO PVC, ROSCAVEL, 1 1/2", AGUA FRIA PREDIAL</v>
      </c>
    </row>
    <row r="4799" spans="1:10" x14ac:dyDescent="0.25">
      <c r="A4799" s="169">
        <v>9900</v>
      </c>
      <c r="B4799" s="169" t="s">
        <v>28320</v>
      </c>
      <c r="C4799" s="169" t="s">
        <v>10225</v>
      </c>
      <c r="D4799" s="169" t="s">
        <v>1289</v>
      </c>
      <c r="E4799" s="103" t="s">
        <v>20463</v>
      </c>
      <c r="F4799" s="104"/>
      <c r="G4799" s="105">
        <f t="shared" si="296"/>
        <v>22.2</v>
      </c>
      <c r="H4799" s="101" t="str">
        <f t="shared" si="297"/>
        <v>Sinapi 9900</v>
      </c>
      <c r="I4799" s="101" t="str">
        <f t="shared" si="298"/>
        <v>UN</v>
      </c>
      <c r="J4799" s="140" t="str">
        <f t="shared" si="299"/>
        <v>UNIAO PVC, ROSCAVEL, 1", AGUA FRIA PREDIAL</v>
      </c>
    </row>
    <row r="4800" spans="1:10" x14ac:dyDescent="0.25">
      <c r="A4800" s="169">
        <v>9899</v>
      </c>
      <c r="B4800" s="169" t="s">
        <v>28321</v>
      </c>
      <c r="C4800" s="169" t="s">
        <v>10225</v>
      </c>
      <c r="D4800" s="169" t="s">
        <v>1289</v>
      </c>
      <c r="E4800" s="103" t="s">
        <v>28766</v>
      </c>
      <c r="F4800" s="104"/>
      <c r="G4800" s="105">
        <f t="shared" si="296"/>
        <v>9.9600000000000009</v>
      </c>
      <c r="H4800" s="101" t="str">
        <f t="shared" si="297"/>
        <v>Sinapi 9899</v>
      </c>
      <c r="I4800" s="101" t="str">
        <f t="shared" si="298"/>
        <v>UN</v>
      </c>
      <c r="J4800" s="140" t="str">
        <f t="shared" si="299"/>
        <v>UNIAO PVC, ROSCAVEL, 3/4", AGUA FRIA PREDIAL</v>
      </c>
    </row>
    <row r="4801" spans="1:10" x14ac:dyDescent="0.25">
      <c r="A4801" s="169">
        <v>9908</v>
      </c>
      <c r="B4801" s="169" t="s">
        <v>28322</v>
      </c>
      <c r="C4801" s="169" t="s">
        <v>10225</v>
      </c>
      <c r="D4801" s="169" t="s">
        <v>1289</v>
      </c>
      <c r="E4801" s="103" t="s">
        <v>31548</v>
      </c>
      <c r="F4801" s="104"/>
      <c r="G4801" s="105">
        <f t="shared" si="296"/>
        <v>447.57</v>
      </c>
      <c r="H4801" s="101" t="str">
        <f t="shared" si="297"/>
        <v>Sinapi 9908</v>
      </c>
      <c r="I4801" s="101" t="str">
        <f t="shared" si="298"/>
        <v>UN</v>
      </c>
      <c r="J4801" s="140" t="str">
        <f t="shared" si="299"/>
        <v>UNIAO PVC, SOLDAVEL, 110 MM, PARA AGUA FRIA PREDIAL</v>
      </c>
    </row>
    <row r="4802" spans="1:10" x14ac:dyDescent="0.25">
      <c r="A4802" s="169">
        <v>9905</v>
      </c>
      <c r="B4802" s="169" t="s">
        <v>28323</v>
      </c>
      <c r="C4802" s="169" t="s">
        <v>10225</v>
      </c>
      <c r="D4802" s="169" t="s">
        <v>1289</v>
      </c>
      <c r="E4802" s="103" t="s">
        <v>19933</v>
      </c>
      <c r="F4802" s="104"/>
      <c r="G4802" s="105">
        <f t="shared" si="296"/>
        <v>7.79</v>
      </c>
      <c r="H4802" s="101" t="str">
        <f t="shared" si="297"/>
        <v>Sinapi 9905</v>
      </c>
      <c r="I4802" s="101" t="str">
        <f t="shared" si="298"/>
        <v>UN</v>
      </c>
      <c r="J4802" s="140" t="str">
        <f t="shared" si="299"/>
        <v>UNIAO PVC, SOLDAVEL, 20 MM, PARA AGUA FRIA PREDIAL</v>
      </c>
    </row>
    <row r="4803" spans="1:10" x14ac:dyDescent="0.25">
      <c r="A4803" s="169">
        <v>9906</v>
      </c>
      <c r="B4803" s="169" t="s">
        <v>28324</v>
      </c>
      <c r="C4803" s="169" t="s">
        <v>10225</v>
      </c>
      <c r="D4803" s="169" t="s">
        <v>1289</v>
      </c>
      <c r="E4803" s="103" t="s">
        <v>23314</v>
      </c>
      <c r="F4803" s="104"/>
      <c r="G4803" s="105">
        <f t="shared" si="296"/>
        <v>9.39</v>
      </c>
      <c r="H4803" s="101" t="str">
        <f t="shared" si="297"/>
        <v>Sinapi 9906</v>
      </c>
      <c r="I4803" s="101" t="str">
        <f t="shared" si="298"/>
        <v>UN</v>
      </c>
      <c r="J4803" s="140" t="str">
        <f t="shared" si="299"/>
        <v>UNIAO PVC, SOLDAVEL, 25 MM, PARA AGUA FRIA PREDIAL</v>
      </c>
    </row>
    <row r="4804" spans="1:10" x14ac:dyDescent="0.25">
      <c r="A4804" s="169">
        <v>9895</v>
      </c>
      <c r="B4804" s="169" t="s">
        <v>28325</v>
      </c>
      <c r="C4804" s="169" t="s">
        <v>10225</v>
      </c>
      <c r="D4804" s="169" t="s">
        <v>1289</v>
      </c>
      <c r="E4804" s="103" t="s">
        <v>23472</v>
      </c>
      <c r="F4804" s="104"/>
      <c r="G4804" s="105">
        <f t="shared" si="296"/>
        <v>15.81</v>
      </c>
      <c r="H4804" s="101" t="str">
        <f t="shared" si="297"/>
        <v>Sinapi 9895</v>
      </c>
      <c r="I4804" s="101" t="str">
        <f t="shared" si="298"/>
        <v>UN</v>
      </c>
      <c r="J4804" s="140" t="str">
        <f t="shared" si="299"/>
        <v>UNIAO PVC, SOLDAVEL, 32 MM, PARA AGUA FRIA PREDIAL</v>
      </c>
    </row>
    <row r="4805" spans="1:10" x14ac:dyDescent="0.25">
      <c r="A4805" s="169">
        <v>9894</v>
      </c>
      <c r="B4805" s="169" t="s">
        <v>28326</v>
      </c>
      <c r="C4805" s="169" t="s">
        <v>10225</v>
      </c>
      <c r="D4805" s="169" t="s">
        <v>1289</v>
      </c>
      <c r="E4805" s="103" t="s">
        <v>31549</v>
      </c>
      <c r="F4805" s="104"/>
      <c r="G4805" s="105">
        <f t="shared" si="296"/>
        <v>30.41</v>
      </c>
      <c r="H4805" s="101" t="str">
        <f t="shared" si="297"/>
        <v>Sinapi 9894</v>
      </c>
      <c r="I4805" s="101" t="str">
        <f t="shared" si="298"/>
        <v>UN</v>
      </c>
      <c r="J4805" s="140" t="str">
        <f t="shared" si="299"/>
        <v>UNIAO PVC, SOLDAVEL, 40 MM, PARA AGUA FRIA PREDIAL</v>
      </c>
    </row>
    <row r="4806" spans="1:10" x14ac:dyDescent="0.25">
      <c r="A4806" s="169">
        <v>9897</v>
      </c>
      <c r="B4806" s="169" t="s">
        <v>28327</v>
      </c>
      <c r="C4806" s="169" t="s">
        <v>10225</v>
      </c>
      <c r="D4806" s="169" t="s">
        <v>1289</v>
      </c>
      <c r="E4806" s="103" t="s">
        <v>22093</v>
      </c>
      <c r="F4806" s="104"/>
      <c r="G4806" s="105">
        <f t="shared" si="296"/>
        <v>32.47</v>
      </c>
      <c r="H4806" s="101" t="str">
        <f t="shared" si="297"/>
        <v>Sinapi 9897</v>
      </c>
      <c r="I4806" s="101" t="str">
        <f t="shared" si="298"/>
        <v>UN</v>
      </c>
      <c r="J4806" s="140" t="str">
        <f t="shared" si="299"/>
        <v>UNIAO PVC, SOLDAVEL, 50 MM, PARA AGUA FRIA PREDIAL</v>
      </c>
    </row>
    <row r="4807" spans="1:10" x14ac:dyDescent="0.25">
      <c r="A4807" s="169">
        <v>9910</v>
      </c>
      <c r="B4807" s="169" t="s">
        <v>28328</v>
      </c>
      <c r="C4807" s="169" t="s">
        <v>10225</v>
      </c>
      <c r="D4807" s="169" t="s">
        <v>1289</v>
      </c>
      <c r="E4807" s="103" t="s">
        <v>31550</v>
      </c>
      <c r="F4807" s="104"/>
      <c r="G4807" s="105">
        <f t="shared" si="296"/>
        <v>84.48</v>
      </c>
      <c r="H4807" s="101" t="str">
        <f t="shared" si="297"/>
        <v>Sinapi 9910</v>
      </c>
      <c r="I4807" s="101" t="str">
        <f t="shared" si="298"/>
        <v>UN</v>
      </c>
      <c r="J4807" s="140" t="str">
        <f t="shared" si="299"/>
        <v>UNIAO PVC, SOLDAVEL, 60 MM, PARA AGUA FRIA PREDIAL</v>
      </c>
    </row>
    <row r="4808" spans="1:10" x14ac:dyDescent="0.25">
      <c r="A4808" s="169">
        <v>9909</v>
      </c>
      <c r="B4808" s="169" t="s">
        <v>28330</v>
      </c>
      <c r="C4808" s="169" t="s">
        <v>10225</v>
      </c>
      <c r="D4808" s="169" t="s">
        <v>1289</v>
      </c>
      <c r="E4808" s="103" t="s">
        <v>31551</v>
      </c>
      <c r="F4808" s="104"/>
      <c r="G4808" s="105">
        <f t="shared" ref="G4808:G4871" si="300">IF(E4808="","",E4808+0)</f>
        <v>172.05</v>
      </c>
      <c r="H4808" s="101" t="str">
        <f t="shared" ref="H4808:H4871" si="301">IF(G4808="","",TRIM(CONCATENATE("Sinapi ",A4808)))</f>
        <v>Sinapi 9909</v>
      </c>
      <c r="I4808" s="101" t="str">
        <f t="shared" ref="I4808:I4871" si="302">TRIM(C4808)</f>
        <v>UN</v>
      </c>
      <c r="J4808" s="140" t="str">
        <f t="shared" si="299"/>
        <v>UNIAO PVC, SOLDAVEL, 75 MM, PARA AGUA FRIA PREDIAL</v>
      </c>
    </row>
    <row r="4809" spans="1:10" x14ac:dyDescent="0.25">
      <c r="A4809" s="169">
        <v>9907</v>
      </c>
      <c r="B4809" s="169" t="s">
        <v>28331</v>
      </c>
      <c r="C4809" s="169" t="s">
        <v>10225</v>
      </c>
      <c r="D4809" s="169" t="s">
        <v>1289</v>
      </c>
      <c r="E4809" s="103" t="s">
        <v>31552</v>
      </c>
      <c r="F4809" s="104"/>
      <c r="G4809" s="105">
        <f t="shared" si="300"/>
        <v>203.14</v>
      </c>
      <c r="H4809" s="101" t="str">
        <f t="shared" si="301"/>
        <v>Sinapi 9907</v>
      </c>
      <c r="I4809" s="101" t="str">
        <f t="shared" si="302"/>
        <v>UN</v>
      </c>
      <c r="J4809" s="140" t="str">
        <f t="shared" ref="J4809:J4872" si="303">TRIM(B4809)</f>
        <v>UNIAO PVC, SOLDAVEL, 85 MM, PARA AGUA FRIA PREDIAL</v>
      </c>
    </row>
    <row r="4810" spans="1:10" x14ac:dyDescent="0.25">
      <c r="A4810" s="169">
        <v>20973</v>
      </c>
      <c r="B4810" s="169" t="s">
        <v>28332</v>
      </c>
      <c r="C4810" s="169" t="s">
        <v>10225</v>
      </c>
      <c r="D4810" s="169" t="s">
        <v>1289</v>
      </c>
      <c r="E4810" s="103" t="s">
        <v>31553</v>
      </c>
      <c r="F4810" s="104"/>
      <c r="G4810" s="105">
        <f t="shared" si="300"/>
        <v>95.78</v>
      </c>
      <c r="H4810" s="101" t="str">
        <f t="shared" si="301"/>
        <v>Sinapi 20973</v>
      </c>
      <c r="I4810" s="101" t="str">
        <f t="shared" si="302"/>
        <v>UN</v>
      </c>
      <c r="J4810" s="140" t="str">
        <f t="shared" si="303"/>
        <v>UNIAO TIPO STORZ, COM EMPATACAO INTERNA TIPO ANEL DE EXPANSAO, ENGATE RAPIDO 1 1/2", PARA MANGUEIRA DE COMBATE A INCENDIO PREDIAL</v>
      </c>
    </row>
    <row r="4811" spans="1:10" x14ac:dyDescent="0.25">
      <c r="A4811" s="169">
        <v>20974</v>
      </c>
      <c r="B4811" s="169" t="s">
        <v>28333</v>
      </c>
      <c r="C4811" s="169" t="s">
        <v>10225</v>
      </c>
      <c r="D4811" s="169" t="s">
        <v>1289</v>
      </c>
      <c r="E4811" s="103" t="s">
        <v>31554</v>
      </c>
      <c r="F4811" s="104"/>
      <c r="G4811" s="105">
        <f t="shared" si="300"/>
        <v>137.03</v>
      </c>
      <c r="H4811" s="101" t="str">
        <f t="shared" si="301"/>
        <v>Sinapi 20974</v>
      </c>
      <c r="I4811" s="101" t="str">
        <f t="shared" si="302"/>
        <v>UN</v>
      </c>
      <c r="J4811" s="140" t="str">
        <f t="shared" si="303"/>
        <v>UNIAO TIPO STORZ, COM EMPATACAO INTERNA TIPO ANEL DE EXPANSAO, ENGATE RAPIDO 2 1/2", PARA MANGUEIRA DE COMBATE A INCENDIO PREDIAL</v>
      </c>
    </row>
    <row r="4812" spans="1:10" x14ac:dyDescent="0.25">
      <c r="A4812" s="169">
        <v>37989</v>
      </c>
      <c r="B4812" s="169" t="s">
        <v>28334</v>
      </c>
      <c r="C4812" s="169" t="s">
        <v>10225</v>
      </c>
      <c r="D4812" s="169" t="s">
        <v>1289</v>
      </c>
      <c r="E4812" s="103" t="s">
        <v>19864</v>
      </c>
      <c r="F4812" s="104"/>
      <c r="G4812" s="105">
        <f t="shared" si="300"/>
        <v>17.5</v>
      </c>
      <c r="H4812" s="101" t="str">
        <f t="shared" si="301"/>
        <v>Sinapi 37989</v>
      </c>
      <c r="I4812" s="101" t="str">
        <f t="shared" si="302"/>
        <v>UN</v>
      </c>
      <c r="J4812" s="140" t="str">
        <f t="shared" si="303"/>
        <v>UNIAO, CPVC, SOLDAVEL, 15 MM, PARA AGUA QUENTE PREDIAL</v>
      </c>
    </row>
    <row r="4813" spans="1:10" x14ac:dyDescent="0.25">
      <c r="A4813" s="169">
        <v>37990</v>
      </c>
      <c r="B4813" s="169" t="s">
        <v>28335</v>
      </c>
      <c r="C4813" s="169" t="s">
        <v>10225</v>
      </c>
      <c r="D4813" s="169" t="s">
        <v>1289</v>
      </c>
      <c r="E4813" s="103" t="s">
        <v>21844</v>
      </c>
      <c r="F4813" s="104"/>
      <c r="G4813" s="105">
        <f t="shared" si="300"/>
        <v>19.3</v>
      </c>
      <c r="H4813" s="101" t="str">
        <f t="shared" si="301"/>
        <v>Sinapi 37990</v>
      </c>
      <c r="I4813" s="101" t="str">
        <f t="shared" si="302"/>
        <v>UN</v>
      </c>
      <c r="J4813" s="140" t="str">
        <f t="shared" si="303"/>
        <v>UNIAO, CPVC, SOLDAVEL, 22 MM, PARA AGUA QUENTE PREDIAL</v>
      </c>
    </row>
    <row r="4814" spans="1:10" x14ac:dyDescent="0.25">
      <c r="A4814" s="169">
        <v>37991</v>
      </c>
      <c r="B4814" s="169" t="s">
        <v>28336</v>
      </c>
      <c r="C4814" s="169" t="s">
        <v>10225</v>
      </c>
      <c r="D4814" s="169" t="s">
        <v>1289</v>
      </c>
      <c r="E4814" s="103" t="s">
        <v>17884</v>
      </c>
      <c r="F4814" s="104"/>
      <c r="G4814" s="105">
        <f t="shared" si="300"/>
        <v>25.68</v>
      </c>
      <c r="H4814" s="101" t="str">
        <f t="shared" si="301"/>
        <v>Sinapi 37991</v>
      </c>
      <c r="I4814" s="101" t="str">
        <f t="shared" si="302"/>
        <v>UN</v>
      </c>
      <c r="J4814" s="140" t="str">
        <f t="shared" si="303"/>
        <v>UNIAO, CPVC, SOLDAVEL, 28 MM, PARA AGUA QUENTE PREDIAL</v>
      </c>
    </row>
    <row r="4815" spans="1:10" x14ac:dyDescent="0.25">
      <c r="A4815" s="169">
        <v>37992</v>
      </c>
      <c r="B4815" s="169" t="s">
        <v>28337</v>
      </c>
      <c r="C4815" s="169" t="s">
        <v>10225</v>
      </c>
      <c r="D4815" s="169" t="s">
        <v>1289</v>
      </c>
      <c r="E4815" s="103" t="s">
        <v>29338</v>
      </c>
      <c r="F4815" s="104"/>
      <c r="G4815" s="105">
        <f t="shared" si="300"/>
        <v>39.85</v>
      </c>
      <c r="H4815" s="101" t="str">
        <f t="shared" si="301"/>
        <v>Sinapi 37992</v>
      </c>
      <c r="I4815" s="101" t="str">
        <f t="shared" si="302"/>
        <v>UN</v>
      </c>
      <c r="J4815" s="140" t="str">
        <f t="shared" si="303"/>
        <v>UNIAO, CPVC, SOLDAVEL, 35 MM, PARA AGUA QUENTE PREDIAL</v>
      </c>
    </row>
    <row r="4816" spans="1:10" x14ac:dyDescent="0.25">
      <c r="A4816" s="169">
        <v>37993</v>
      </c>
      <c r="B4816" s="169" t="s">
        <v>28338</v>
      </c>
      <c r="C4816" s="169" t="s">
        <v>10225</v>
      </c>
      <c r="D4816" s="169" t="s">
        <v>1289</v>
      </c>
      <c r="E4816" s="103" t="s">
        <v>31555</v>
      </c>
      <c r="F4816" s="104"/>
      <c r="G4816" s="105">
        <f t="shared" si="300"/>
        <v>60.47</v>
      </c>
      <c r="H4816" s="101" t="str">
        <f t="shared" si="301"/>
        <v>Sinapi 37993</v>
      </c>
      <c r="I4816" s="101" t="str">
        <f t="shared" si="302"/>
        <v>UN</v>
      </c>
      <c r="J4816" s="140" t="str">
        <f t="shared" si="303"/>
        <v>UNIAO, CPVC, SOLDAVEL, 42 MM, PARA AGUA QUENTE PREDIAL</v>
      </c>
    </row>
    <row r="4817" spans="1:10" x14ac:dyDescent="0.25">
      <c r="A4817" s="169">
        <v>37994</v>
      </c>
      <c r="B4817" s="169" t="s">
        <v>28339</v>
      </c>
      <c r="C4817" s="169" t="s">
        <v>10225</v>
      </c>
      <c r="D4817" s="169" t="s">
        <v>1289</v>
      </c>
      <c r="E4817" s="103" t="s">
        <v>21186</v>
      </c>
      <c r="F4817" s="104"/>
      <c r="G4817" s="105">
        <f t="shared" si="300"/>
        <v>143.99</v>
      </c>
      <c r="H4817" s="101" t="str">
        <f t="shared" si="301"/>
        <v>Sinapi 37994</v>
      </c>
      <c r="I4817" s="101" t="str">
        <f t="shared" si="302"/>
        <v>UN</v>
      </c>
      <c r="J4817" s="140" t="str">
        <f t="shared" si="303"/>
        <v>UNIAO, CPVC, SOLDAVEL, 54 MM, PARA AGUA QUENTE PREDIAL</v>
      </c>
    </row>
    <row r="4818" spans="1:10" x14ac:dyDescent="0.25">
      <c r="A4818" s="169">
        <v>37995</v>
      </c>
      <c r="B4818" s="169" t="s">
        <v>28341</v>
      </c>
      <c r="C4818" s="169" t="s">
        <v>10225</v>
      </c>
      <c r="D4818" s="169" t="s">
        <v>1289</v>
      </c>
      <c r="E4818" s="103" t="s">
        <v>31556</v>
      </c>
      <c r="F4818" s="104"/>
      <c r="G4818" s="105">
        <f t="shared" si="300"/>
        <v>187.68</v>
      </c>
      <c r="H4818" s="101" t="str">
        <f t="shared" si="301"/>
        <v>Sinapi 37995</v>
      </c>
      <c r="I4818" s="101" t="str">
        <f t="shared" si="302"/>
        <v>UN</v>
      </c>
      <c r="J4818" s="140" t="str">
        <f t="shared" si="303"/>
        <v>UNIAO, CPVC, SOLDAVEL, 73 MM, PARA AGUA QUENTE PREDIAL</v>
      </c>
    </row>
    <row r="4819" spans="1:10" x14ac:dyDescent="0.25">
      <c r="A4819" s="169">
        <v>37996</v>
      </c>
      <c r="B4819" s="169" t="s">
        <v>28342</v>
      </c>
      <c r="C4819" s="169" t="s">
        <v>10225</v>
      </c>
      <c r="D4819" s="169" t="s">
        <v>1289</v>
      </c>
      <c r="E4819" s="103" t="s">
        <v>31557</v>
      </c>
      <c r="F4819" s="104"/>
      <c r="G4819" s="105">
        <f t="shared" si="300"/>
        <v>285.79000000000002</v>
      </c>
      <c r="H4819" s="101" t="str">
        <f t="shared" si="301"/>
        <v>Sinapi 37996</v>
      </c>
      <c r="I4819" s="101" t="str">
        <f t="shared" si="302"/>
        <v>UN</v>
      </c>
      <c r="J4819" s="140" t="str">
        <f t="shared" si="303"/>
        <v>UNIAO, CPVC, SOLDAVEL, 89 MM, PARA AGUA QUENTE PREDIAL</v>
      </c>
    </row>
    <row r="4820" spans="1:10" x14ac:dyDescent="0.25">
      <c r="A4820" s="169">
        <v>13883</v>
      </c>
      <c r="B4820" s="169" t="s">
        <v>28343</v>
      </c>
      <c r="C4820" s="169" t="s">
        <v>10225</v>
      </c>
      <c r="D4820" s="169" t="s">
        <v>1290</v>
      </c>
      <c r="E4820" s="103" t="s">
        <v>28344</v>
      </c>
      <c r="F4820" s="104"/>
      <c r="G4820" s="105">
        <f t="shared" si="300"/>
        <v>116611.15</v>
      </c>
      <c r="H4820" s="101" t="str">
        <f t="shared" si="301"/>
        <v>Sinapi 13883</v>
      </c>
      <c r="I4820" s="101" t="str">
        <f t="shared" si="302"/>
        <v>UN</v>
      </c>
      <c r="J4820" s="140" t="str">
        <f t="shared" si="303"/>
        <v>USINA DE ASFALTO A FRIO, CAPACIDADE DE 30 A 40 T/H, ELETRICA, POTENCIA DE 30 CV</v>
      </c>
    </row>
    <row r="4821" spans="1:10" x14ac:dyDescent="0.25">
      <c r="A4821" s="169">
        <v>38604</v>
      </c>
      <c r="B4821" s="169" t="s">
        <v>28345</v>
      </c>
      <c r="C4821" s="169" t="s">
        <v>10225</v>
      </c>
      <c r="D4821" s="169" t="s">
        <v>1290</v>
      </c>
      <c r="E4821" s="103" t="s">
        <v>28346</v>
      </c>
      <c r="F4821" s="104"/>
      <c r="G4821" s="105">
        <f t="shared" si="300"/>
        <v>145237.64000000001</v>
      </c>
      <c r="H4821" s="101" t="str">
        <f t="shared" si="301"/>
        <v>Sinapi 38604</v>
      </c>
      <c r="I4821" s="101" t="str">
        <f t="shared" si="302"/>
        <v>UN</v>
      </c>
      <c r="J4821" s="140" t="str">
        <f t="shared" si="303"/>
        <v>USINA DE ASFALTO A FRIO, CAPACIDADE DE 40 A 60 T/H, ELETRICA, POTENCIA DE 30 CV</v>
      </c>
    </row>
    <row r="4822" spans="1:10" x14ac:dyDescent="0.25">
      <c r="A4822" s="169">
        <v>10601</v>
      </c>
      <c r="B4822" s="169" t="s">
        <v>28347</v>
      </c>
      <c r="C4822" s="169" t="s">
        <v>10225</v>
      </c>
      <c r="D4822" s="169" t="s">
        <v>1290</v>
      </c>
      <c r="E4822" s="103" t="s">
        <v>28348</v>
      </c>
      <c r="F4822" s="104"/>
      <c r="G4822" s="105">
        <f t="shared" si="300"/>
        <v>2825161.76</v>
      </c>
      <c r="H4822" s="101" t="str">
        <f t="shared" si="301"/>
        <v>Sinapi 10601</v>
      </c>
      <c r="I4822" s="101" t="str">
        <f t="shared" si="302"/>
        <v>UN</v>
      </c>
      <c r="J4822" s="140" t="str">
        <f t="shared" si="303"/>
        <v>USINA DE ASFALTO A QUENTE, FIXA, TIPO CONTRA FLUXO, CAPACIDADE DE 100 A 140 T/H, POTENCIA DE 280 KW, COM MISTURADOR EXTERNO ROTATIVO</v>
      </c>
    </row>
    <row r="4823" spans="1:10" x14ac:dyDescent="0.25">
      <c r="A4823" s="169">
        <v>44469</v>
      </c>
      <c r="B4823" s="169" t="s">
        <v>28349</v>
      </c>
      <c r="C4823" s="169" t="s">
        <v>10225</v>
      </c>
      <c r="D4823" s="169" t="s">
        <v>1290</v>
      </c>
      <c r="E4823" s="103" t="s">
        <v>28350</v>
      </c>
      <c r="F4823" s="104"/>
      <c r="G4823" s="105">
        <f t="shared" si="300"/>
        <v>7438551.21</v>
      </c>
      <c r="H4823" s="101" t="str">
        <f t="shared" si="301"/>
        <v>Sinapi 44469</v>
      </c>
      <c r="I4823" s="101" t="str">
        <f t="shared" si="302"/>
        <v>UN</v>
      </c>
      <c r="J4823" s="140" t="str">
        <f t="shared" si="303"/>
        <v>USINA DE ASFALTO, GRAVIMETRICA, CAPACIDADE DE 150 T/H, POTENCIA DE 400 KW</v>
      </c>
    </row>
    <row r="4824" spans="1:10" x14ac:dyDescent="0.25">
      <c r="A4824" s="169">
        <v>13894</v>
      </c>
      <c r="B4824" s="169" t="s">
        <v>28351</v>
      </c>
      <c r="C4824" s="169" t="s">
        <v>10225</v>
      </c>
      <c r="D4824" s="169" t="s">
        <v>1290</v>
      </c>
      <c r="E4824" s="103" t="s">
        <v>21580</v>
      </c>
      <c r="F4824" s="104"/>
      <c r="G4824" s="105">
        <f t="shared" si="300"/>
        <v>399604.75</v>
      </c>
      <c r="H4824" s="101" t="str">
        <f t="shared" si="301"/>
        <v>Sinapi 13894</v>
      </c>
      <c r="I4824" s="101" t="str">
        <f t="shared" si="302"/>
        <v>UN</v>
      </c>
      <c r="J4824" s="140" t="str">
        <f t="shared" si="303"/>
        <v>USINA DE CONCRETO FIXA, CAPACIDADE NOMINAL DE 40 M3/H, SEM SILO</v>
      </c>
    </row>
    <row r="4825" spans="1:10" x14ac:dyDescent="0.25">
      <c r="A4825" s="169">
        <v>13895</v>
      </c>
      <c r="B4825" s="169" t="s">
        <v>28352</v>
      </c>
      <c r="C4825" s="169" t="s">
        <v>10225</v>
      </c>
      <c r="D4825" s="169" t="s">
        <v>1290</v>
      </c>
      <c r="E4825" s="103" t="s">
        <v>21581</v>
      </c>
      <c r="F4825" s="104"/>
      <c r="G4825" s="105">
        <f t="shared" si="300"/>
        <v>537335.18000000005</v>
      </c>
      <c r="H4825" s="101" t="str">
        <f t="shared" si="301"/>
        <v>Sinapi 13895</v>
      </c>
      <c r="I4825" s="101" t="str">
        <f t="shared" si="302"/>
        <v>UN</v>
      </c>
      <c r="J4825" s="140" t="str">
        <f t="shared" si="303"/>
        <v>USINA DE CONCRETO FIXA, CAPACIDADE NOMINAL DE 60 M3/H, SEM SILO</v>
      </c>
    </row>
    <row r="4826" spans="1:10" x14ac:dyDescent="0.25">
      <c r="A4826" s="169">
        <v>13892</v>
      </c>
      <c r="B4826" s="169" t="s">
        <v>28353</v>
      </c>
      <c r="C4826" s="169" t="s">
        <v>10225</v>
      </c>
      <c r="D4826" s="169" t="s">
        <v>1290</v>
      </c>
      <c r="E4826" s="103" t="s">
        <v>21582</v>
      </c>
      <c r="F4826" s="104"/>
      <c r="G4826" s="105">
        <f t="shared" si="300"/>
        <v>658491.12</v>
      </c>
      <c r="H4826" s="101" t="str">
        <f t="shared" si="301"/>
        <v>Sinapi 13892</v>
      </c>
      <c r="I4826" s="101" t="str">
        <f t="shared" si="302"/>
        <v>UN</v>
      </c>
      <c r="J4826" s="140" t="str">
        <f t="shared" si="303"/>
        <v>USINA DE CONCRETO FIXA, CAPACIDADE NOMINAL DE 80 M3/H, SEM SILO</v>
      </c>
    </row>
    <row r="4827" spans="1:10" x14ac:dyDescent="0.25">
      <c r="A4827" s="169">
        <v>9914</v>
      </c>
      <c r="B4827" s="169" t="s">
        <v>28354</v>
      </c>
      <c r="C4827" s="169" t="s">
        <v>10225</v>
      </c>
      <c r="D4827" s="169" t="s">
        <v>1290</v>
      </c>
      <c r="E4827" s="103" t="s">
        <v>21583</v>
      </c>
      <c r="F4827" s="104"/>
      <c r="G4827" s="105">
        <f t="shared" si="300"/>
        <v>712400</v>
      </c>
      <c r="H4827" s="101" t="str">
        <f t="shared" si="301"/>
        <v>Sinapi 9914</v>
      </c>
      <c r="I4827" s="101" t="str">
        <f t="shared" si="302"/>
        <v>UN</v>
      </c>
      <c r="J4827" s="140" t="str">
        <f t="shared" si="303"/>
        <v>USINA DE CONCRETO FIXA, CAPACIDADE NOMINAL DE 90 A 120 M3/H, SEM SILO</v>
      </c>
    </row>
    <row r="4828" spans="1:10" x14ac:dyDescent="0.25">
      <c r="A4828" s="169">
        <v>36485</v>
      </c>
      <c r="B4828" s="169" t="s">
        <v>28355</v>
      </c>
      <c r="C4828" s="169" t="s">
        <v>10225</v>
      </c>
      <c r="D4828" s="169" t="s">
        <v>1290</v>
      </c>
      <c r="E4828" s="103" t="s">
        <v>21584</v>
      </c>
      <c r="F4828" s="104"/>
      <c r="G4828" s="105">
        <f t="shared" si="300"/>
        <v>665336.65</v>
      </c>
      <c r="H4828" s="101" t="str">
        <f t="shared" si="301"/>
        <v>Sinapi 36485</v>
      </c>
      <c r="I4828" s="101" t="str">
        <f t="shared" si="302"/>
        <v>UN</v>
      </c>
      <c r="J4828" s="140" t="str">
        <f t="shared" si="303"/>
        <v>USINA DE LAMA ASFALTICA, PROD 30 A 50 T/H, SILO DE AGREGADO 7 M3, RESERVATORIOS PARA EMULSAO E AGUA DE 2,3 M3 CADA, MISTURADOR TIPO PUGG-MILL A SER MONTADO SOBRE CAMINHAO</v>
      </c>
    </row>
    <row r="4829" spans="1:10" x14ac:dyDescent="0.25">
      <c r="A4829" s="169">
        <v>9912</v>
      </c>
      <c r="B4829" s="169" t="s">
        <v>28356</v>
      </c>
      <c r="C4829" s="169" t="s">
        <v>10225</v>
      </c>
      <c r="D4829" s="169" t="s">
        <v>1290</v>
      </c>
      <c r="E4829" s="103" t="s">
        <v>28357</v>
      </c>
      <c r="F4829" s="104"/>
      <c r="G4829" s="105">
        <f t="shared" si="300"/>
        <v>2300000</v>
      </c>
      <c r="H4829" s="101" t="str">
        <f t="shared" si="301"/>
        <v>Sinapi 9912</v>
      </c>
      <c r="I4829" s="101" t="str">
        <f t="shared" si="302"/>
        <v>UN</v>
      </c>
      <c r="J4829" s="140" t="str">
        <f t="shared" si="303"/>
        <v>USINA DE MISTURAS ASFALTICAS A QUENTE, MOVEL, TIPO CONTRA FLUXO, CAPACIDADE DE 40 A 80 T/H</v>
      </c>
    </row>
    <row r="4830" spans="1:10" x14ac:dyDescent="0.25">
      <c r="A4830" s="169">
        <v>9921</v>
      </c>
      <c r="B4830" s="169" t="s">
        <v>28358</v>
      </c>
      <c r="C4830" s="169" t="s">
        <v>10225</v>
      </c>
      <c r="D4830" s="169" t="s">
        <v>1290</v>
      </c>
      <c r="E4830" s="103" t="s">
        <v>28359</v>
      </c>
      <c r="F4830" s="104"/>
      <c r="G4830" s="105">
        <f t="shared" si="300"/>
        <v>1186448.79</v>
      </c>
      <c r="H4830" s="101" t="str">
        <f t="shared" si="301"/>
        <v>Sinapi 9921</v>
      </c>
      <c r="I4830" s="101" t="str">
        <f t="shared" si="302"/>
        <v>UN</v>
      </c>
      <c r="J4830" s="140" t="str">
        <f t="shared" si="303"/>
        <v>USINA MISTURADORA DE SOLOS, DOSADORES TRIPLOS, CALHA VIBRATORIA CAPACIDADE DE 200 A 500 T/H, POTENCIA DE 75 KW</v>
      </c>
    </row>
    <row r="4831" spans="1:10" x14ac:dyDescent="0.25">
      <c r="A4831" s="169">
        <v>21112</v>
      </c>
      <c r="B4831" s="169" t="s">
        <v>28360</v>
      </c>
      <c r="C4831" s="169" t="s">
        <v>10225</v>
      </c>
      <c r="D4831" s="169" t="s">
        <v>1289</v>
      </c>
      <c r="E4831" s="103" t="s">
        <v>31558</v>
      </c>
      <c r="F4831" s="104"/>
      <c r="G4831" s="105">
        <f t="shared" si="300"/>
        <v>240.51</v>
      </c>
      <c r="H4831" s="101" t="str">
        <f t="shared" si="301"/>
        <v>Sinapi 21112</v>
      </c>
      <c r="I4831" s="101" t="str">
        <f t="shared" si="302"/>
        <v>UN</v>
      </c>
      <c r="J4831" s="140" t="str">
        <f t="shared" si="303"/>
        <v>VALVULA DE DESCARGA EM METAL CROMADO PARA MICTORIO COM ACIONAMENTO POR PRESSAO E FECHAMENTO AUTOMATICO</v>
      </c>
    </row>
    <row r="4832" spans="1:10" x14ac:dyDescent="0.25">
      <c r="A4832" s="169">
        <v>10228</v>
      </c>
      <c r="B4832" s="169" t="s">
        <v>28361</v>
      </c>
      <c r="C4832" s="169" t="s">
        <v>10225</v>
      </c>
      <c r="D4832" s="169" t="s">
        <v>1288</v>
      </c>
      <c r="E4832" s="103" t="s">
        <v>31559</v>
      </c>
      <c r="F4832" s="104"/>
      <c r="G4832" s="105">
        <f t="shared" si="300"/>
        <v>279.39999999999998</v>
      </c>
      <c r="H4832" s="101" t="str">
        <f t="shared" si="301"/>
        <v>Sinapi 10228</v>
      </c>
      <c r="I4832" s="101" t="str">
        <f t="shared" si="302"/>
        <v>UN</v>
      </c>
      <c r="J4832" s="140" t="str">
        <f t="shared" si="303"/>
        <v>VALVULA DE DESCARGA METALICA, BASE 1 1/2 " E ACABAMENTO METALICO CROMADO</v>
      </c>
    </row>
    <row r="4833" spans="1:10" x14ac:dyDescent="0.25">
      <c r="A4833" s="169">
        <v>11781</v>
      </c>
      <c r="B4833" s="169" t="s">
        <v>28362</v>
      </c>
      <c r="C4833" s="169" t="s">
        <v>10225</v>
      </c>
      <c r="D4833" s="169" t="s">
        <v>1289</v>
      </c>
      <c r="E4833" s="103" t="s">
        <v>31560</v>
      </c>
      <c r="F4833" s="104"/>
      <c r="G4833" s="105">
        <f t="shared" si="300"/>
        <v>226.35</v>
      </c>
      <c r="H4833" s="101" t="str">
        <f t="shared" si="301"/>
        <v>Sinapi 11781</v>
      </c>
      <c r="I4833" s="101" t="str">
        <f t="shared" si="302"/>
        <v>UN</v>
      </c>
      <c r="J4833" s="140" t="str">
        <f t="shared" si="303"/>
        <v>VALVULA DE DESCARGA METALICA, BASE 1 1/4 " E ACABAMENTO METALICO CROMADO</v>
      </c>
    </row>
    <row r="4834" spans="1:10" x14ac:dyDescent="0.25">
      <c r="A4834" s="169">
        <v>37588</v>
      </c>
      <c r="B4834" s="169" t="s">
        <v>28363</v>
      </c>
      <c r="C4834" s="169" t="s">
        <v>10225</v>
      </c>
      <c r="D4834" s="169" t="s">
        <v>1289</v>
      </c>
      <c r="E4834" s="103" t="s">
        <v>31561</v>
      </c>
      <c r="F4834" s="104"/>
      <c r="G4834" s="105">
        <f t="shared" si="300"/>
        <v>46.87</v>
      </c>
      <c r="H4834" s="101" t="str">
        <f t="shared" si="301"/>
        <v>Sinapi 37588</v>
      </c>
      <c r="I4834" s="101" t="str">
        <f t="shared" si="302"/>
        <v>UN</v>
      </c>
      <c r="J4834" s="140" t="str">
        <f t="shared" si="303"/>
        <v>VALVULA DE ESCOAMENTO PARA TANQUE, EM METAL CROMADO, 1.1/2 ", SEM LADRAO, COM TAMPAO PLASTICO</v>
      </c>
    </row>
    <row r="4835" spans="1:10" x14ac:dyDescent="0.25">
      <c r="A4835" s="169">
        <v>11746</v>
      </c>
      <c r="B4835" s="169" t="s">
        <v>28364</v>
      </c>
      <c r="C4835" s="169" t="s">
        <v>10225</v>
      </c>
      <c r="D4835" s="169" t="s">
        <v>1289</v>
      </c>
      <c r="E4835" s="103" t="s">
        <v>20530</v>
      </c>
      <c r="F4835" s="104"/>
      <c r="G4835" s="105">
        <f t="shared" si="300"/>
        <v>48.84</v>
      </c>
      <c r="H4835" s="101" t="str">
        <f t="shared" si="301"/>
        <v>Sinapi 11746</v>
      </c>
      <c r="I4835" s="101" t="str">
        <f t="shared" si="302"/>
        <v>UN</v>
      </c>
      <c r="J4835" s="140" t="str">
        <f t="shared" si="303"/>
        <v>VALVULA DE ESFERA BRUTA EM BRONZE, BITOLA 1 " (REF 1552-B)</v>
      </c>
    </row>
    <row r="4836" spans="1:10" x14ac:dyDescent="0.25">
      <c r="A4836" s="169">
        <v>11751</v>
      </c>
      <c r="B4836" s="169" t="s">
        <v>521</v>
      </c>
      <c r="C4836" s="169" t="s">
        <v>10225</v>
      </c>
      <c r="D4836" s="169" t="s">
        <v>1289</v>
      </c>
      <c r="E4836" s="103" t="s">
        <v>29328</v>
      </c>
      <c r="F4836" s="104"/>
      <c r="G4836" s="105">
        <f t="shared" si="300"/>
        <v>87.73</v>
      </c>
      <c r="H4836" s="101" t="str">
        <f t="shared" si="301"/>
        <v>Sinapi 11751</v>
      </c>
      <c r="I4836" s="101" t="str">
        <f t="shared" si="302"/>
        <v>UN</v>
      </c>
      <c r="J4836" s="140" t="str">
        <f t="shared" si="303"/>
        <v>VALVULA DE ESFERA BRUTA EM BRONZE, BITOLA 1 1/2 " (REF 1552-B)</v>
      </c>
    </row>
    <row r="4837" spans="1:10" x14ac:dyDescent="0.25">
      <c r="A4837" s="169">
        <v>11750</v>
      </c>
      <c r="B4837" s="169" t="s">
        <v>523</v>
      </c>
      <c r="C4837" s="169" t="s">
        <v>10225</v>
      </c>
      <c r="D4837" s="169" t="s">
        <v>1289</v>
      </c>
      <c r="E4837" s="103" t="s">
        <v>31562</v>
      </c>
      <c r="F4837" s="104"/>
      <c r="G4837" s="105">
        <f t="shared" si="300"/>
        <v>72.8</v>
      </c>
      <c r="H4837" s="101" t="str">
        <f t="shared" si="301"/>
        <v>Sinapi 11750</v>
      </c>
      <c r="I4837" s="101" t="str">
        <f t="shared" si="302"/>
        <v>UN</v>
      </c>
      <c r="J4837" s="140" t="str">
        <f t="shared" si="303"/>
        <v>VALVULA DE ESFERA BRUTA EM BRONZE, BITOLA 1 1/4 " (REF 1552-B)</v>
      </c>
    </row>
    <row r="4838" spans="1:10" x14ac:dyDescent="0.25">
      <c r="A4838" s="169">
        <v>11748</v>
      </c>
      <c r="B4838" s="169" t="s">
        <v>1008</v>
      </c>
      <c r="C4838" s="169" t="s">
        <v>10225</v>
      </c>
      <c r="D4838" s="169" t="s">
        <v>1289</v>
      </c>
      <c r="E4838" s="103" t="s">
        <v>31385</v>
      </c>
      <c r="F4838" s="104"/>
      <c r="G4838" s="105">
        <f t="shared" si="300"/>
        <v>31.34</v>
      </c>
      <c r="H4838" s="101" t="str">
        <f t="shared" si="301"/>
        <v>Sinapi 11748</v>
      </c>
      <c r="I4838" s="101" t="str">
        <f t="shared" si="302"/>
        <v>UN</v>
      </c>
      <c r="J4838" s="140" t="str">
        <f t="shared" si="303"/>
        <v>VALVULA DE ESFERA BRUTA EM BRONZE, BITOLA 1/2 " (REF 1552-B)</v>
      </c>
    </row>
    <row r="4839" spans="1:10" x14ac:dyDescent="0.25">
      <c r="A4839" s="169">
        <v>11747</v>
      </c>
      <c r="B4839" s="169" t="s">
        <v>28366</v>
      </c>
      <c r="C4839" s="169" t="s">
        <v>10225</v>
      </c>
      <c r="D4839" s="169" t="s">
        <v>1289</v>
      </c>
      <c r="E4839" s="103" t="s">
        <v>31563</v>
      </c>
      <c r="F4839" s="104"/>
      <c r="G4839" s="105">
        <f t="shared" si="300"/>
        <v>135.28</v>
      </c>
      <c r="H4839" s="101" t="str">
        <f t="shared" si="301"/>
        <v>Sinapi 11747</v>
      </c>
      <c r="I4839" s="101" t="str">
        <f t="shared" si="302"/>
        <v>UN</v>
      </c>
      <c r="J4839" s="140" t="str">
        <f t="shared" si="303"/>
        <v>VALVULA DE ESFERA BRUTA EM BRONZE, BITOLA 2 " (REF 1552-B)</v>
      </c>
    </row>
    <row r="4840" spans="1:10" x14ac:dyDescent="0.25">
      <c r="A4840" s="169">
        <v>11749</v>
      </c>
      <c r="B4840" s="169" t="s">
        <v>28367</v>
      </c>
      <c r="C4840" s="169" t="s">
        <v>10225</v>
      </c>
      <c r="D4840" s="169" t="s">
        <v>1289</v>
      </c>
      <c r="E4840" s="103" t="s">
        <v>29666</v>
      </c>
      <c r="F4840" s="104"/>
      <c r="G4840" s="105">
        <f t="shared" si="300"/>
        <v>36.18</v>
      </c>
      <c r="H4840" s="101" t="str">
        <f t="shared" si="301"/>
        <v>Sinapi 11749</v>
      </c>
      <c r="I4840" s="101" t="str">
        <f t="shared" si="302"/>
        <v>UN</v>
      </c>
      <c r="J4840" s="140" t="str">
        <f t="shared" si="303"/>
        <v>VALVULA DE ESFERA BRUTA EM BRONZE, BITOLA 3/4 " (REF 1552-B)</v>
      </c>
    </row>
    <row r="4841" spans="1:10" x14ac:dyDescent="0.25">
      <c r="A4841" s="169">
        <v>10236</v>
      </c>
      <c r="B4841" s="169" t="s">
        <v>28368</v>
      </c>
      <c r="C4841" s="169" t="s">
        <v>10225</v>
      </c>
      <c r="D4841" s="169" t="s">
        <v>1289</v>
      </c>
      <c r="E4841" s="103" t="s">
        <v>31564</v>
      </c>
      <c r="F4841" s="104"/>
      <c r="G4841" s="105">
        <f t="shared" si="300"/>
        <v>111.86</v>
      </c>
      <c r="H4841" s="101" t="str">
        <f t="shared" si="301"/>
        <v>Sinapi 10236</v>
      </c>
      <c r="I4841" s="101" t="str">
        <f t="shared" si="302"/>
        <v>UN</v>
      </c>
      <c r="J4841" s="140" t="str">
        <f t="shared" si="303"/>
        <v>VALVULA DE RETENCAO DE BRONZE, PE COM CRIVOS, EXTREMIDADE COM ROSCA, DE 1 1/2", PARA FUNDO DE POCO</v>
      </c>
    </row>
    <row r="4842" spans="1:10" x14ac:dyDescent="0.25">
      <c r="A4842" s="169">
        <v>10233</v>
      </c>
      <c r="B4842" s="169" t="s">
        <v>28369</v>
      </c>
      <c r="C4842" s="169" t="s">
        <v>10225</v>
      </c>
      <c r="D4842" s="169" t="s">
        <v>1289</v>
      </c>
      <c r="E4842" s="103" t="s">
        <v>31565</v>
      </c>
      <c r="F4842" s="104"/>
      <c r="G4842" s="105">
        <f t="shared" si="300"/>
        <v>104.83</v>
      </c>
      <c r="H4842" s="101" t="str">
        <f t="shared" si="301"/>
        <v>Sinapi 10233</v>
      </c>
      <c r="I4842" s="101" t="str">
        <f t="shared" si="302"/>
        <v>UN</v>
      </c>
      <c r="J4842" s="140" t="str">
        <f t="shared" si="303"/>
        <v>VALVULA DE RETENCAO DE BRONZE, PE COM CRIVOS, EXTREMIDADE COM ROSCA, DE 1 1/4", PARA FUNDO DE POCO</v>
      </c>
    </row>
    <row r="4843" spans="1:10" x14ac:dyDescent="0.25">
      <c r="A4843" s="169">
        <v>10234</v>
      </c>
      <c r="B4843" s="169" t="s">
        <v>28370</v>
      </c>
      <c r="C4843" s="169" t="s">
        <v>10225</v>
      </c>
      <c r="D4843" s="169" t="s">
        <v>1289</v>
      </c>
      <c r="E4843" s="103" t="s">
        <v>31566</v>
      </c>
      <c r="F4843" s="104"/>
      <c r="G4843" s="105">
        <f t="shared" si="300"/>
        <v>66.03</v>
      </c>
      <c r="H4843" s="101" t="str">
        <f t="shared" si="301"/>
        <v>Sinapi 10234</v>
      </c>
      <c r="I4843" s="101" t="str">
        <f t="shared" si="302"/>
        <v>UN</v>
      </c>
      <c r="J4843" s="140" t="str">
        <f t="shared" si="303"/>
        <v>VALVULA DE RETENCAO DE BRONZE, PE COM CRIVOS, EXTREMIDADE COM ROSCA, DE 1", PARA FUNDO DE POCO</v>
      </c>
    </row>
    <row r="4844" spans="1:10" x14ac:dyDescent="0.25">
      <c r="A4844" s="169">
        <v>10231</v>
      </c>
      <c r="B4844" s="169" t="s">
        <v>28371</v>
      </c>
      <c r="C4844" s="169" t="s">
        <v>10225</v>
      </c>
      <c r="D4844" s="169" t="s">
        <v>1289</v>
      </c>
      <c r="E4844" s="103" t="s">
        <v>31567</v>
      </c>
      <c r="F4844" s="104"/>
      <c r="G4844" s="105">
        <f t="shared" si="300"/>
        <v>302.81</v>
      </c>
      <c r="H4844" s="101" t="str">
        <f t="shared" si="301"/>
        <v>Sinapi 10231</v>
      </c>
      <c r="I4844" s="101" t="str">
        <f t="shared" si="302"/>
        <v>UN</v>
      </c>
      <c r="J4844" s="140" t="str">
        <f t="shared" si="303"/>
        <v>VALVULA DE RETENCAO DE BRONZE, PE COM CRIVOS, EXTREMIDADE COM ROSCA, DE 2 1/2", PARA FUNDO DE POCO</v>
      </c>
    </row>
    <row r="4845" spans="1:10" x14ac:dyDescent="0.25">
      <c r="A4845" s="169">
        <v>10232</v>
      </c>
      <c r="B4845" s="169" t="s">
        <v>28372</v>
      </c>
      <c r="C4845" s="169" t="s">
        <v>10225</v>
      </c>
      <c r="D4845" s="169" t="s">
        <v>1289</v>
      </c>
      <c r="E4845" s="103" t="s">
        <v>31568</v>
      </c>
      <c r="F4845" s="104"/>
      <c r="G4845" s="105">
        <f t="shared" si="300"/>
        <v>169.45</v>
      </c>
      <c r="H4845" s="101" t="str">
        <f t="shared" si="301"/>
        <v>Sinapi 10232</v>
      </c>
      <c r="I4845" s="101" t="str">
        <f t="shared" si="302"/>
        <v>UN</v>
      </c>
      <c r="J4845" s="140" t="str">
        <f t="shared" si="303"/>
        <v>VALVULA DE RETENCAO DE BRONZE, PE COM CRIVOS, EXTREMIDADE COM ROSCA, DE 2", PARA FUNDO DE POCO</v>
      </c>
    </row>
    <row r="4846" spans="1:10" x14ac:dyDescent="0.25">
      <c r="A4846" s="169">
        <v>10229</v>
      </c>
      <c r="B4846" s="169" t="s">
        <v>28373</v>
      </c>
      <c r="C4846" s="169" t="s">
        <v>10225</v>
      </c>
      <c r="D4846" s="169" t="s">
        <v>1288</v>
      </c>
      <c r="E4846" s="103" t="s">
        <v>31569</v>
      </c>
      <c r="F4846" s="104"/>
      <c r="G4846" s="105">
        <f t="shared" si="300"/>
        <v>59.72</v>
      </c>
      <c r="H4846" s="101" t="str">
        <f t="shared" si="301"/>
        <v>Sinapi 10229</v>
      </c>
      <c r="I4846" s="101" t="str">
        <f t="shared" si="302"/>
        <v>UN</v>
      </c>
      <c r="J4846" s="140" t="str">
        <f t="shared" si="303"/>
        <v>VALVULA DE RETENCAO DE BRONZE, PE COM CRIVOS, EXTREMIDADE COM ROSCA, DE 3/4", PARA FUNDO DE POCO</v>
      </c>
    </row>
    <row r="4847" spans="1:10" x14ac:dyDescent="0.25">
      <c r="A4847" s="169">
        <v>10235</v>
      </c>
      <c r="B4847" s="169" t="s">
        <v>28374</v>
      </c>
      <c r="C4847" s="169" t="s">
        <v>10225</v>
      </c>
      <c r="D4847" s="169" t="s">
        <v>1289</v>
      </c>
      <c r="E4847" s="103" t="s">
        <v>31570</v>
      </c>
      <c r="F4847" s="104"/>
      <c r="G4847" s="105">
        <f t="shared" si="300"/>
        <v>415.12</v>
      </c>
      <c r="H4847" s="101" t="str">
        <f t="shared" si="301"/>
        <v>Sinapi 10235</v>
      </c>
      <c r="I4847" s="101" t="str">
        <f t="shared" si="302"/>
        <v>UN</v>
      </c>
      <c r="J4847" s="140" t="str">
        <f t="shared" si="303"/>
        <v>VALVULA DE RETENCAO DE BRONZE, PE COM CRIVOS, EXTREMIDADE COM ROSCA, DE 3", PARA FUNDO DE POCO</v>
      </c>
    </row>
    <row r="4848" spans="1:10" x14ac:dyDescent="0.25">
      <c r="A4848" s="169">
        <v>10230</v>
      </c>
      <c r="B4848" s="169" t="s">
        <v>28375</v>
      </c>
      <c r="C4848" s="169" t="s">
        <v>10225</v>
      </c>
      <c r="D4848" s="169" t="s">
        <v>1289</v>
      </c>
      <c r="E4848" s="103" t="s">
        <v>31571</v>
      </c>
      <c r="F4848" s="104"/>
      <c r="G4848" s="105">
        <f t="shared" si="300"/>
        <v>730.58</v>
      </c>
      <c r="H4848" s="101" t="str">
        <f t="shared" si="301"/>
        <v>Sinapi 10230</v>
      </c>
      <c r="I4848" s="101" t="str">
        <f t="shared" si="302"/>
        <v>UN</v>
      </c>
      <c r="J4848" s="140" t="str">
        <f t="shared" si="303"/>
        <v>VALVULA DE RETENCAO DE BRONZE, PE COM CRIVOS, EXTREMIDADE COM ROSCA, DE 4", PARA FUNDO DE POCO</v>
      </c>
    </row>
    <row r="4849" spans="1:10" x14ac:dyDescent="0.25">
      <c r="A4849" s="169">
        <v>10409</v>
      </c>
      <c r="B4849" s="169" t="s">
        <v>28376</v>
      </c>
      <c r="C4849" s="169" t="s">
        <v>10225</v>
      </c>
      <c r="D4849" s="169" t="s">
        <v>1289</v>
      </c>
      <c r="E4849" s="103" t="s">
        <v>31572</v>
      </c>
      <c r="F4849" s="104"/>
      <c r="G4849" s="105">
        <f t="shared" si="300"/>
        <v>217.05</v>
      </c>
      <c r="H4849" s="101" t="str">
        <f t="shared" si="301"/>
        <v>Sinapi 10409</v>
      </c>
      <c r="I4849" s="101" t="str">
        <f t="shared" si="302"/>
        <v>UN</v>
      </c>
      <c r="J4849" s="140" t="str">
        <f t="shared" si="303"/>
        <v>VALVULA DE RETENCAO HORIZONTAL, DE BRONZE (PN-25), 1 1/2", 400 PSI, TAMPA DE PORCA DE UNIAO, EXTREMIDADES COM ROSCA</v>
      </c>
    </row>
    <row r="4850" spans="1:10" x14ac:dyDescent="0.25">
      <c r="A4850" s="169">
        <v>10411</v>
      </c>
      <c r="B4850" s="169" t="s">
        <v>28377</v>
      </c>
      <c r="C4850" s="169" t="s">
        <v>10225</v>
      </c>
      <c r="D4850" s="169" t="s">
        <v>1289</v>
      </c>
      <c r="E4850" s="103" t="s">
        <v>31573</v>
      </c>
      <c r="F4850" s="104"/>
      <c r="G4850" s="105">
        <f t="shared" si="300"/>
        <v>194.21</v>
      </c>
      <c r="H4850" s="101" t="str">
        <f t="shared" si="301"/>
        <v>Sinapi 10411</v>
      </c>
      <c r="I4850" s="101" t="str">
        <f t="shared" si="302"/>
        <v>UN</v>
      </c>
      <c r="J4850" s="140" t="str">
        <f t="shared" si="303"/>
        <v>VALVULA DE RETENCAO HORIZONTAL, DE BRONZE (PN-25), 1 1/4", 400 PSI, TAMPA DE PORCA DE UNIAO, EXTREMIDADES COM ROSCA</v>
      </c>
    </row>
    <row r="4851" spans="1:10" x14ac:dyDescent="0.25">
      <c r="A4851" s="169">
        <v>10404</v>
      </c>
      <c r="B4851" s="169" t="s">
        <v>28378</v>
      </c>
      <c r="C4851" s="169" t="s">
        <v>10225</v>
      </c>
      <c r="D4851" s="169" t="s">
        <v>1289</v>
      </c>
      <c r="E4851" s="103" t="s">
        <v>28899</v>
      </c>
      <c r="F4851" s="104"/>
      <c r="G4851" s="105">
        <f t="shared" si="300"/>
        <v>78.760000000000005</v>
      </c>
      <c r="H4851" s="101" t="str">
        <f t="shared" si="301"/>
        <v>Sinapi 10404</v>
      </c>
      <c r="I4851" s="101" t="str">
        <f t="shared" si="302"/>
        <v>UN</v>
      </c>
      <c r="J4851" s="140" t="str">
        <f t="shared" si="303"/>
        <v>VALVULA DE RETENCAO HORIZONTAL, DE BRONZE (PN-25), 1/2", 400 PSI, TAMPA DE PORCA DE UNIAO, EXTREMIDADES COM ROSCA</v>
      </c>
    </row>
    <row r="4852" spans="1:10" x14ac:dyDescent="0.25">
      <c r="A4852" s="169">
        <v>10410</v>
      </c>
      <c r="B4852" s="169" t="s">
        <v>28379</v>
      </c>
      <c r="C4852" s="169" t="s">
        <v>10225</v>
      </c>
      <c r="D4852" s="169" t="s">
        <v>1289</v>
      </c>
      <c r="E4852" s="103" t="s">
        <v>30700</v>
      </c>
      <c r="F4852" s="104"/>
      <c r="G4852" s="105">
        <f t="shared" si="300"/>
        <v>129.72999999999999</v>
      </c>
      <c r="H4852" s="101" t="str">
        <f t="shared" si="301"/>
        <v>Sinapi 10410</v>
      </c>
      <c r="I4852" s="101" t="str">
        <f t="shared" si="302"/>
        <v>UN</v>
      </c>
      <c r="J4852" s="140" t="str">
        <f t="shared" si="303"/>
        <v>VALVULA DE RETENCAO HORIZONTAL, DE BRONZE (PN-25), 1", 400 PSI, TAMPA DE PORCA DE UNIAO, EXTREMIDADES COM ROSCA</v>
      </c>
    </row>
    <row r="4853" spans="1:10" x14ac:dyDescent="0.25">
      <c r="A4853" s="169">
        <v>10405</v>
      </c>
      <c r="B4853" s="169" t="s">
        <v>28380</v>
      </c>
      <c r="C4853" s="169" t="s">
        <v>10225</v>
      </c>
      <c r="D4853" s="169" t="s">
        <v>1289</v>
      </c>
      <c r="E4853" s="103" t="s">
        <v>31574</v>
      </c>
      <c r="F4853" s="104"/>
      <c r="G4853" s="105">
        <f t="shared" si="300"/>
        <v>434.85</v>
      </c>
      <c r="H4853" s="101" t="str">
        <f t="shared" si="301"/>
        <v>Sinapi 10405</v>
      </c>
      <c r="I4853" s="101" t="str">
        <f t="shared" si="302"/>
        <v>UN</v>
      </c>
      <c r="J4853" s="140" t="str">
        <f t="shared" si="303"/>
        <v>VALVULA DE RETENCAO HORIZONTAL, DE BRONZE (PN-25), 2 1/2", 400 PSI, TAMPA DE PORCA DE UNIAO, EXTREMIDADES COM ROSCA</v>
      </c>
    </row>
    <row r="4854" spans="1:10" x14ac:dyDescent="0.25">
      <c r="A4854" s="169">
        <v>10408</v>
      </c>
      <c r="B4854" s="169" t="s">
        <v>28381</v>
      </c>
      <c r="C4854" s="169" t="s">
        <v>10225</v>
      </c>
      <c r="D4854" s="169" t="s">
        <v>1289</v>
      </c>
      <c r="E4854" s="103" t="s">
        <v>31575</v>
      </c>
      <c r="F4854" s="104"/>
      <c r="G4854" s="105">
        <f t="shared" si="300"/>
        <v>304.08</v>
      </c>
      <c r="H4854" s="101" t="str">
        <f t="shared" si="301"/>
        <v>Sinapi 10408</v>
      </c>
      <c r="I4854" s="101" t="str">
        <f t="shared" si="302"/>
        <v>UN</v>
      </c>
      <c r="J4854" s="140" t="str">
        <f t="shared" si="303"/>
        <v>VALVULA DE RETENCAO HORIZONTAL, DE BRONZE (PN-25), 2", 400 PSI, TAMPA DE PORCA DE UNIAO, EXTREMIDADES COM ROSCA</v>
      </c>
    </row>
    <row r="4855" spans="1:10" x14ac:dyDescent="0.25">
      <c r="A4855" s="169">
        <v>10412</v>
      </c>
      <c r="B4855" s="169" t="s">
        <v>28382</v>
      </c>
      <c r="C4855" s="169" t="s">
        <v>10225</v>
      </c>
      <c r="D4855" s="169" t="s">
        <v>1289</v>
      </c>
      <c r="E4855" s="103" t="s">
        <v>31576</v>
      </c>
      <c r="F4855" s="104"/>
      <c r="G4855" s="105">
        <f t="shared" si="300"/>
        <v>95.45</v>
      </c>
      <c r="H4855" s="101" t="str">
        <f t="shared" si="301"/>
        <v>Sinapi 10412</v>
      </c>
      <c r="I4855" s="101" t="str">
        <f t="shared" si="302"/>
        <v>UN</v>
      </c>
      <c r="J4855" s="140" t="str">
        <f t="shared" si="303"/>
        <v>VALVULA DE RETENCAO HORIZONTAL, DE BRONZE (PN-25), 3/4", 400 PSI, TAMPA DE PORCA DE UNIAO, EXTREMIDADES COM ROSCA</v>
      </c>
    </row>
    <row r="4856" spans="1:10" x14ac:dyDescent="0.25">
      <c r="A4856" s="169">
        <v>10406</v>
      </c>
      <c r="B4856" s="169" t="s">
        <v>28383</v>
      </c>
      <c r="C4856" s="169" t="s">
        <v>10225</v>
      </c>
      <c r="D4856" s="169" t="s">
        <v>1289</v>
      </c>
      <c r="E4856" s="103" t="s">
        <v>31577</v>
      </c>
      <c r="F4856" s="104"/>
      <c r="G4856" s="105">
        <f t="shared" si="300"/>
        <v>600.62</v>
      </c>
      <c r="H4856" s="101" t="str">
        <f t="shared" si="301"/>
        <v>Sinapi 10406</v>
      </c>
      <c r="I4856" s="101" t="str">
        <f t="shared" si="302"/>
        <v>UN</v>
      </c>
      <c r="J4856" s="140" t="str">
        <f t="shared" si="303"/>
        <v>VALVULA DE RETENCAO HORIZONTAL, DE BRONZE (PN-25), 3", 400 PSI, TAMPA DE PORCA DE UNIAO, EXTREMIDADES COM ROSCA</v>
      </c>
    </row>
    <row r="4857" spans="1:10" x14ac:dyDescent="0.25">
      <c r="A4857" s="169">
        <v>10407</v>
      </c>
      <c r="B4857" s="169" t="s">
        <v>28384</v>
      </c>
      <c r="C4857" s="169" t="s">
        <v>10225</v>
      </c>
      <c r="D4857" s="169" t="s">
        <v>1289</v>
      </c>
      <c r="E4857" s="103" t="s">
        <v>31578</v>
      </c>
      <c r="F4857" s="104"/>
      <c r="G4857" s="105">
        <f t="shared" si="300"/>
        <v>931.57</v>
      </c>
      <c r="H4857" s="101" t="str">
        <f t="shared" si="301"/>
        <v>Sinapi 10407</v>
      </c>
      <c r="I4857" s="101" t="str">
        <f t="shared" si="302"/>
        <v>UN</v>
      </c>
      <c r="J4857" s="140" t="str">
        <f t="shared" si="303"/>
        <v>VALVULA DE RETENCAO HORIZONTAL, DE BRONZE (PN-25), 4", 400 PSI, TAMPA DE PORCA DE UNIAO, EXTREMIDADES COM ROSCA</v>
      </c>
    </row>
    <row r="4858" spans="1:10" x14ac:dyDescent="0.25">
      <c r="A4858" s="169">
        <v>10416</v>
      </c>
      <c r="B4858" s="169" t="s">
        <v>28385</v>
      </c>
      <c r="C4858" s="169" t="s">
        <v>10225</v>
      </c>
      <c r="D4858" s="169" t="s">
        <v>1289</v>
      </c>
      <c r="E4858" s="103" t="s">
        <v>31579</v>
      </c>
      <c r="F4858" s="104"/>
      <c r="G4858" s="105">
        <f t="shared" si="300"/>
        <v>115.55</v>
      </c>
      <c r="H4858" s="101" t="str">
        <f t="shared" si="301"/>
        <v>Sinapi 10416</v>
      </c>
      <c r="I4858" s="101" t="str">
        <f t="shared" si="302"/>
        <v>UN</v>
      </c>
      <c r="J4858" s="140" t="str">
        <f t="shared" si="303"/>
        <v>VALVULA DE RETENCAO VERTICAL, DE BRONZE (PN-16), 1 1/2", 200 PSI, EXTREMIDADES COM ROSCA</v>
      </c>
    </row>
    <row r="4859" spans="1:10" x14ac:dyDescent="0.25">
      <c r="A4859" s="169">
        <v>10419</v>
      </c>
      <c r="B4859" s="169" t="s">
        <v>28386</v>
      </c>
      <c r="C4859" s="169" t="s">
        <v>10225</v>
      </c>
      <c r="D4859" s="169" t="s">
        <v>1289</v>
      </c>
      <c r="E4859" s="103" t="s">
        <v>30162</v>
      </c>
      <c r="F4859" s="104"/>
      <c r="G4859" s="105">
        <f t="shared" si="300"/>
        <v>100.3</v>
      </c>
      <c r="H4859" s="101" t="str">
        <f t="shared" si="301"/>
        <v>Sinapi 10419</v>
      </c>
      <c r="I4859" s="101" t="str">
        <f t="shared" si="302"/>
        <v>UN</v>
      </c>
      <c r="J4859" s="140" t="str">
        <f t="shared" si="303"/>
        <v>VALVULA DE RETENCAO VERTICAL, DE BRONZE (PN-16), 1 1/4", 200 PSI, EXTREMIDADES COM ROSCA</v>
      </c>
    </row>
    <row r="4860" spans="1:10" x14ac:dyDescent="0.25">
      <c r="A4860" s="169">
        <v>21092</v>
      </c>
      <c r="B4860" s="169" t="s">
        <v>28387</v>
      </c>
      <c r="C4860" s="169" t="s">
        <v>10225</v>
      </c>
      <c r="D4860" s="169" t="s">
        <v>1289</v>
      </c>
      <c r="E4860" s="103" t="s">
        <v>28520</v>
      </c>
      <c r="F4860" s="104"/>
      <c r="G4860" s="105">
        <f t="shared" si="300"/>
        <v>57.34</v>
      </c>
      <c r="H4860" s="101" t="str">
        <f t="shared" si="301"/>
        <v>Sinapi 21092</v>
      </c>
      <c r="I4860" s="101" t="str">
        <f t="shared" si="302"/>
        <v>UN</v>
      </c>
      <c r="J4860" s="140" t="str">
        <f t="shared" si="303"/>
        <v>VALVULA DE RETENCAO VERTICAL, DE BRONZE (PN-16), 1/2", 200 PSI, EXTREMIDADES COM ROSCA</v>
      </c>
    </row>
    <row r="4861" spans="1:10" x14ac:dyDescent="0.25">
      <c r="A4861" s="169">
        <v>10418</v>
      </c>
      <c r="B4861" s="169" t="s">
        <v>28388</v>
      </c>
      <c r="C4861" s="169" t="s">
        <v>10225</v>
      </c>
      <c r="D4861" s="169" t="s">
        <v>1289</v>
      </c>
      <c r="E4861" s="103" t="s">
        <v>31580</v>
      </c>
      <c r="F4861" s="104"/>
      <c r="G4861" s="105">
        <f t="shared" si="300"/>
        <v>66.849999999999994</v>
      </c>
      <c r="H4861" s="101" t="str">
        <f t="shared" si="301"/>
        <v>Sinapi 10418</v>
      </c>
      <c r="I4861" s="101" t="str">
        <f t="shared" si="302"/>
        <v>UN</v>
      </c>
      <c r="J4861" s="140" t="str">
        <f t="shared" si="303"/>
        <v>VALVULA DE RETENCAO VERTICAL, DE BRONZE (PN-16), 1", 200 PSI, EXTREMIDADES COM ROSCA</v>
      </c>
    </row>
    <row r="4862" spans="1:10" x14ac:dyDescent="0.25">
      <c r="A4862" s="169">
        <v>12657</v>
      </c>
      <c r="B4862" s="169" t="s">
        <v>28389</v>
      </c>
      <c r="C4862" s="169" t="s">
        <v>10225</v>
      </c>
      <c r="D4862" s="169" t="s">
        <v>1289</v>
      </c>
      <c r="E4862" s="103" t="s">
        <v>31581</v>
      </c>
      <c r="F4862" s="104"/>
      <c r="G4862" s="105">
        <f t="shared" si="300"/>
        <v>269.77999999999997</v>
      </c>
      <c r="H4862" s="101" t="str">
        <f t="shared" si="301"/>
        <v>Sinapi 12657</v>
      </c>
      <c r="I4862" s="101" t="str">
        <f t="shared" si="302"/>
        <v>UN</v>
      </c>
      <c r="J4862" s="140" t="str">
        <f t="shared" si="303"/>
        <v>VALVULA DE RETENCAO VERTICAL, DE BRONZE (PN-16), 2 1/2", 200 PSI, EXTREMIDADES COM ROSCA</v>
      </c>
    </row>
    <row r="4863" spans="1:10" x14ac:dyDescent="0.25">
      <c r="A4863" s="169">
        <v>10417</v>
      </c>
      <c r="B4863" s="169" t="s">
        <v>28390</v>
      </c>
      <c r="C4863" s="169" t="s">
        <v>10225</v>
      </c>
      <c r="D4863" s="169" t="s">
        <v>1289</v>
      </c>
      <c r="E4863" s="103" t="s">
        <v>31582</v>
      </c>
      <c r="F4863" s="104"/>
      <c r="G4863" s="105">
        <f t="shared" si="300"/>
        <v>168.36</v>
      </c>
      <c r="H4863" s="101" t="str">
        <f t="shared" si="301"/>
        <v>Sinapi 10417</v>
      </c>
      <c r="I4863" s="101" t="str">
        <f t="shared" si="302"/>
        <v>UN</v>
      </c>
      <c r="J4863" s="140" t="str">
        <f t="shared" si="303"/>
        <v>VALVULA DE RETENCAO VERTICAL, DE BRONZE (PN-16), 2", 200 PSI, EXTREMIDADES COM ROSCA</v>
      </c>
    </row>
    <row r="4864" spans="1:10" x14ac:dyDescent="0.25">
      <c r="A4864" s="169">
        <v>10413</v>
      </c>
      <c r="B4864" s="169" t="s">
        <v>28391</v>
      </c>
      <c r="C4864" s="169" t="s">
        <v>10225</v>
      </c>
      <c r="D4864" s="169" t="s">
        <v>1289</v>
      </c>
      <c r="E4864" s="103" t="s">
        <v>31583</v>
      </c>
      <c r="F4864" s="104"/>
      <c r="G4864" s="105">
        <f t="shared" si="300"/>
        <v>61.19</v>
      </c>
      <c r="H4864" s="101" t="str">
        <f t="shared" si="301"/>
        <v>Sinapi 10413</v>
      </c>
      <c r="I4864" s="101" t="str">
        <f t="shared" si="302"/>
        <v>UN</v>
      </c>
      <c r="J4864" s="140" t="str">
        <f t="shared" si="303"/>
        <v>VALVULA DE RETENCAO VERTICAL, DE BRONZE (PN-16), 3/4", 200 PSI, EXTREMIDADES COM ROSCA</v>
      </c>
    </row>
    <row r="4865" spans="1:10" x14ac:dyDescent="0.25">
      <c r="A4865" s="169">
        <v>10414</v>
      </c>
      <c r="B4865" s="169" t="s">
        <v>28392</v>
      </c>
      <c r="C4865" s="169" t="s">
        <v>10225</v>
      </c>
      <c r="D4865" s="169" t="s">
        <v>1289</v>
      </c>
      <c r="E4865" s="103" t="s">
        <v>31584</v>
      </c>
      <c r="F4865" s="104"/>
      <c r="G4865" s="105">
        <f t="shared" si="300"/>
        <v>368.41</v>
      </c>
      <c r="H4865" s="101" t="str">
        <f t="shared" si="301"/>
        <v>Sinapi 10414</v>
      </c>
      <c r="I4865" s="101" t="str">
        <f t="shared" si="302"/>
        <v>UN</v>
      </c>
      <c r="J4865" s="140" t="str">
        <f t="shared" si="303"/>
        <v>VALVULA DE RETENCAO VERTICAL, DE BRONZE (PN-16), 3", 200 PSI, EXTREMIDADES COM ROSCA</v>
      </c>
    </row>
    <row r="4866" spans="1:10" x14ac:dyDescent="0.25">
      <c r="A4866" s="169">
        <v>10415</v>
      </c>
      <c r="B4866" s="169" t="s">
        <v>28393</v>
      </c>
      <c r="C4866" s="169" t="s">
        <v>10225</v>
      </c>
      <c r="D4866" s="169" t="s">
        <v>1289</v>
      </c>
      <c r="E4866" s="103" t="s">
        <v>31585</v>
      </c>
      <c r="F4866" s="104"/>
      <c r="G4866" s="105">
        <f t="shared" si="300"/>
        <v>639.4</v>
      </c>
      <c r="H4866" s="101" t="str">
        <f t="shared" si="301"/>
        <v>Sinapi 10415</v>
      </c>
      <c r="I4866" s="101" t="str">
        <f t="shared" si="302"/>
        <v>UN</v>
      </c>
      <c r="J4866" s="140" t="str">
        <f t="shared" si="303"/>
        <v>VALVULA DE RETENCAO VERTICAL, DE BRONZE (PN-16), 4", 200 PSI, EXTREMIDADES COM ROSCA</v>
      </c>
    </row>
    <row r="4867" spans="1:10" x14ac:dyDescent="0.25">
      <c r="A4867" s="169">
        <v>38643</v>
      </c>
      <c r="B4867" s="169" t="s">
        <v>28394</v>
      </c>
      <c r="C4867" s="169" t="s">
        <v>10225</v>
      </c>
      <c r="D4867" s="169" t="s">
        <v>1289</v>
      </c>
      <c r="E4867" s="103" t="s">
        <v>22835</v>
      </c>
      <c r="F4867" s="104"/>
      <c r="G4867" s="105">
        <f t="shared" si="300"/>
        <v>37.25</v>
      </c>
      <c r="H4867" s="101" t="str">
        <f t="shared" si="301"/>
        <v>Sinapi 38643</v>
      </c>
      <c r="I4867" s="101" t="str">
        <f t="shared" si="302"/>
        <v>UN</v>
      </c>
      <c r="J4867" s="140" t="str">
        <f t="shared" si="303"/>
        <v>VALVULA EM METAL CROMADO PARA LAVATORIO, 1 " SEM LADRAO</v>
      </c>
    </row>
    <row r="4868" spans="1:10" x14ac:dyDescent="0.25">
      <c r="A4868" s="169">
        <v>6157</v>
      </c>
      <c r="B4868" s="169" t="s">
        <v>28396</v>
      </c>
      <c r="C4868" s="169" t="s">
        <v>10225</v>
      </c>
      <c r="D4868" s="169" t="s">
        <v>1289</v>
      </c>
      <c r="E4868" s="103" t="s">
        <v>31586</v>
      </c>
      <c r="F4868" s="104"/>
      <c r="G4868" s="105">
        <f t="shared" si="300"/>
        <v>50.88</v>
      </c>
      <c r="H4868" s="101" t="str">
        <f t="shared" si="301"/>
        <v>Sinapi 6157</v>
      </c>
      <c r="I4868" s="101" t="str">
        <f t="shared" si="302"/>
        <v>UN</v>
      </c>
      <c r="J4868" s="140" t="str">
        <f t="shared" si="303"/>
        <v>VALVULA EM METAL CROMADO PARA PIA AMERICANA 3.1/2 X 1.1/2 "</v>
      </c>
    </row>
    <row r="4869" spans="1:10" x14ac:dyDescent="0.25">
      <c r="A4869" s="169">
        <v>6158</v>
      </c>
      <c r="B4869" s="169" t="s">
        <v>28397</v>
      </c>
      <c r="C4869" s="169" t="s">
        <v>10225</v>
      </c>
      <c r="D4869" s="169" t="s">
        <v>1289</v>
      </c>
      <c r="E4869" s="103" t="s">
        <v>27130</v>
      </c>
      <c r="F4869" s="104"/>
      <c r="G4869" s="105">
        <f t="shared" si="300"/>
        <v>6.83</v>
      </c>
      <c r="H4869" s="101" t="str">
        <f t="shared" si="301"/>
        <v>Sinapi 6158</v>
      </c>
      <c r="I4869" s="101" t="str">
        <f t="shared" si="302"/>
        <v>UN</v>
      </c>
      <c r="J4869" s="140" t="str">
        <f t="shared" si="303"/>
        <v>VALVULA EM PLASTICO BRANCO PARA LAVATORIO 1 ", SEM UNHO, COM LADRAO</v>
      </c>
    </row>
    <row r="4870" spans="1:10" x14ac:dyDescent="0.25">
      <c r="A4870" s="169">
        <v>6153</v>
      </c>
      <c r="B4870" s="169" t="s">
        <v>28398</v>
      </c>
      <c r="C4870" s="169" t="s">
        <v>10225</v>
      </c>
      <c r="D4870" s="169" t="s">
        <v>1289</v>
      </c>
      <c r="E4870" s="103" t="s">
        <v>21483</v>
      </c>
      <c r="F4870" s="104"/>
      <c r="G4870" s="105">
        <f t="shared" si="300"/>
        <v>4.7</v>
      </c>
      <c r="H4870" s="101" t="str">
        <f t="shared" si="301"/>
        <v>Sinapi 6153</v>
      </c>
      <c r="I4870" s="101" t="str">
        <f t="shared" si="302"/>
        <v>UN</v>
      </c>
      <c r="J4870" s="140" t="str">
        <f t="shared" si="303"/>
        <v>VALVULA EM PLASTICO BRANCO PARA TANQUE OU LAVATORIO 1 ", SEM UNHO E SEM LADRAO</v>
      </c>
    </row>
    <row r="4871" spans="1:10" x14ac:dyDescent="0.25">
      <c r="A4871" s="169">
        <v>6156</v>
      </c>
      <c r="B4871" s="169" t="s">
        <v>28399</v>
      </c>
      <c r="C4871" s="169" t="s">
        <v>10225</v>
      </c>
      <c r="D4871" s="169" t="s">
        <v>1289</v>
      </c>
      <c r="E4871" s="103" t="s">
        <v>20019</v>
      </c>
      <c r="F4871" s="104"/>
      <c r="G4871" s="105">
        <f t="shared" si="300"/>
        <v>5.86</v>
      </c>
      <c r="H4871" s="101" t="str">
        <f t="shared" si="301"/>
        <v>Sinapi 6156</v>
      </c>
      <c r="I4871" s="101" t="str">
        <f t="shared" si="302"/>
        <v>UN</v>
      </c>
      <c r="J4871" s="140" t="str">
        <f t="shared" si="303"/>
        <v>VALVULA EM PLASTICO BRANCO PARA TANQUE 1.1/4 " X 1.1/2 ", SEM UNHO E SEM LADRAO</v>
      </c>
    </row>
    <row r="4872" spans="1:10" x14ac:dyDescent="0.25">
      <c r="A4872" s="169">
        <v>6154</v>
      </c>
      <c r="B4872" s="169" t="s">
        <v>28400</v>
      </c>
      <c r="C4872" s="169" t="s">
        <v>10225</v>
      </c>
      <c r="D4872" s="169" t="s">
        <v>1289</v>
      </c>
      <c r="E4872" s="103" t="s">
        <v>20356</v>
      </c>
      <c r="F4872" s="104"/>
      <c r="G4872" s="105">
        <f t="shared" ref="G4872:G4935" si="304">IF(E4872="","",E4872+0)</f>
        <v>8.36</v>
      </c>
      <c r="H4872" s="101" t="str">
        <f t="shared" ref="H4872:H4935" si="305">IF(G4872="","",TRIM(CONCATENATE("Sinapi ",A4872)))</f>
        <v>Sinapi 6154</v>
      </c>
      <c r="I4872" s="101" t="str">
        <f t="shared" ref="I4872:I4935" si="306">TRIM(C4872)</f>
        <v>UN</v>
      </c>
      <c r="J4872" s="140" t="str">
        <f t="shared" si="303"/>
        <v>VALVULA EM PLASTICO CROMADO PARA LAVATORIO 1 ", SEM UNHO, COM LADRAO</v>
      </c>
    </row>
    <row r="4873" spans="1:10" x14ac:dyDescent="0.25">
      <c r="A4873" s="169">
        <v>6155</v>
      </c>
      <c r="B4873" s="169" t="s">
        <v>28401</v>
      </c>
      <c r="C4873" s="169" t="s">
        <v>10225</v>
      </c>
      <c r="D4873" s="169" t="s">
        <v>1289</v>
      </c>
      <c r="E4873" s="103" t="s">
        <v>19970</v>
      </c>
      <c r="F4873" s="104"/>
      <c r="G4873" s="105">
        <f t="shared" si="304"/>
        <v>19.239999999999998</v>
      </c>
      <c r="H4873" s="101" t="str">
        <f t="shared" si="305"/>
        <v>Sinapi 6155</v>
      </c>
      <c r="I4873" s="101" t="str">
        <f t="shared" si="306"/>
        <v>UN</v>
      </c>
      <c r="J4873" s="140" t="str">
        <f t="shared" ref="J4873:J4936" si="307">TRIM(B4873)</f>
        <v>VALVULA EM PLASTICO CROMADO TIPO AMERICANA PARA PIA DE COZINHA 3.1/2 " X 1.1/2 ", SEM ADAPTADOR</v>
      </c>
    </row>
    <row r="4874" spans="1:10" x14ac:dyDescent="0.25">
      <c r="A4874" s="169">
        <v>43595</v>
      </c>
      <c r="B4874" s="169" t="s">
        <v>28402</v>
      </c>
      <c r="C4874" s="169" t="s">
        <v>10225</v>
      </c>
      <c r="D4874" s="169" t="s">
        <v>1289</v>
      </c>
      <c r="E4874" s="103" t="s">
        <v>17963</v>
      </c>
      <c r="F4874" s="104"/>
      <c r="G4874" s="105">
        <f t="shared" si="304"/>
        <v>21.41</v>
      </c>
      <c r="H4874" s="101" t="str">
        <f t="shared" si="305"/>
        <v>Sinapi 43595</v>
      </c>
      <c r="I4874" s="101" t="str">
        <f t="shared" si="306"/>
        <v>UN</v>
      </c>
      <c r="J4874" s="140" t="str">
        <f t="shared" si="307"/>
        <v>VARA FINA PARA CREMONA, EM FERRO ZINCADO BRANCO, COM DIAMETRO DE APROX 10 MM E COMPRIMENTO DE 1,20 M</v>
      </c>
    </row>
    <row r="4875" spans="1:10" x14ac:dyDescent="0.25">
      <c r="A4875" s="169">
        <v>43596</v>
      </c>
      <c r="B4875" s="169" t="s">
        <v>28403</v>
      </c>
      <c r="C4875" s="169" t="s">
        <v>10225</v>
      </c>
      <c r="D4875" s="169" t="s">
        <v>1289</v>
      </c>
      <c r="E4875" s="103" t="s">
        <v>21174</v>
      </c>
      <c r="F4875" s="104"/>
      <c r="G4875" s="105">
        <f t="shared" si="304"/>
        <v>24.74</v>
      </c>
      <c r="H4875" s="101" t="str">
        <f t="shared" si="305"/>
        <v>Sinapi 43596</v>
      </c>
      <c r="I4875" s="101" t="str">
        <f t="shared" si="306"/>
        <v>UN</v>
      </c>
      <c r="J4875" s="140" t="str">
        <f t="shared" si="307"/>
        <v>VARA FINA PARA CREMONA, EM FERRO ZINCADO BRANCO, COM DIAMETRO DE APROX 10 MM E COMPRIMENTO DE 1,50 M</v>
      </c>
    </row>
    <row r="4876" spans="1:10" x14ac:dyDescent="0.25">
      <c r="A4876" s="169">
        <v>38108</v>
      </c>
      <c r="B4876" s="169" t="s">
        <v>28404</v>
      </c>
      <c r="C4876" s="169" t="s">
        <v>10225</v>
      </c>
      <c r="D4876" s="169" t="s">
        <v>1289</v>
      </c>
      <c r="E4876" s="103" t="s">
        <v>31587</v>
      </c>
      <c r="F4876" s="104"/>
      <c r="G4876" s="105">
        <f t="shared" si="304"/>
        <v>62.39</v>
      </c>
      <c r="H4876" s="101" t="str">
        <f t="shared" si="305"/>
        <v>Sinapi 38108</v>
      </c>
      <c r="I4876" s="101" t="str">
        <f t="shared" si="306"/>
        <v>UN</v>
      </c>
      <c r="J4876" s="140" t="str">
        <f t="shared" si="307"/>
        <v>VARIADOR DE LUMINOSIDADE ROTATIVO (DIMMER) 127 V, 300 W (APENAS MODULO)</v>
      </c>
    </row>
    <row r="4877" spans="1:10" x14ac:dyDescent="0.25">
      <c r="A4877" s="169">
        <v>38087</v>
      </c>
      <c r="B4877" s="169" t="s">
        <v>28406</v>
      </c>
      <c r="C4877" s="169" t="s">
        <v>10225</v>
      </c>
      <c r="D4877" s="169" t="s">
        <v>1289</v>
      </c>
      <c r="E4877" s="103" t="s">
        <v>28642</v>
      </c>
      <c r="F4877" s="104"/>
      <c r="G4877" s="105">
        <f t="shared" si="304"/>
        <v>80.25</v>
      </c>
      <c r="H4877" s="101" t="str">
        <f t="shared" si="305"/>
        <v>Sinapi 38087</v>
      </c>
      <c r="I4877" s="101" t="str">
        <f t="shared" si="306"/>
        <v>UN</v>
      </c>
      <c r="J4877" s="140" t="str">
        <f t="shared" si="307"/>
        <v>VARIADOR DE LUMINOSIDADE ROTATIVO (DIMMER) 127V, 300W, CONJUNTO MONTADO PARA EMBUTIR 4" X 2" (PLACA + SUPORTE + MODULO)</v>
      </c>
    </row>
    <row r="4878" spans="1:10" x14ac:dyDescent="0.25">
      <c r="A4878" s="169">
        <v>38109</v>
      </c>
      <c r="B4878" s="169" t="s">
        <v>28407</v>
      </c>
      <c r="C4878" s="169" t="s">
        <v>10225</v>
      </c>
      <c r="D4878" s="169" t="s">
        <v>1289</v>
      </c>
      <c r="E4878" s="103" t="s">
        <v>31588</v>
      </c>
      <c r="F4878" s="104"/>
      <c r="G4878" s="105">
        <f t="shared" si="304"/>
        <v>99.71</v>
      </c>
      <c r="H4878" s="101" t="str">
        <f t="shared" si="305"/>
        <v>Sinapi 38109</v>
      </c>
      <c r="I4878" s="101" t="str">
        <f t="shared" si="306"/>
        <v>UN</v>
      </c>
      <c r="J4878" s="140" t="str">
        <f t="shared" si="307"/>
        <v>VARIADOR DE LUMINOSIDADE ROTATIVO (DIMMER) 220 V, 600 W (APENAS MODULO)</v>
      </c>
    </row>
    <row r="4879" spans="1:10" x14ac:dyDescent="0.25">
      <c r="A4879" s="169">
        <v>38088</v>
      </c>
      <c r="B4879" s="169" t="s">
        <v>28408</v>
      </c>
      <c r="C4879" s="169" t="s">
        <v>10225</v>
      </c>
      <c r="D4879" s="169" t="s">
        <v>1289</v>
      </c>
      <c r="E4879" s="103" t="s">
        <v>28803</v>
      </c>
      <c r="F4879" s="104"/>
      <c r="G4879" s="105">
        <f t="shared" si="304"/>
        <v>104.85</v>
      </c>
      <c r="H4879" s="101" t="str">
        <f t="shared" si="305"/>
        <v>Sinapi 38088</v>
      </c>
      <c r="I4879" s="101" t="str">
        <f t="shared" si="306"/>
        <v>UN</v>
      </c>
      <c r="J4879" s="140" t="str">
        <f t="shared" si="307"/>
        <v>VARIADOR DE LUMINOSIDADE ROTATIVO (DIMMER) 220V, 600W, CONJUNTO MONTADO PARA EMBUTIR 4" X 2" (PLACA + SUPORTE + MODULO)</v>
      </c>
    </row>
    <row r="4880" spans="1:10" x14ac:dyDescent="0.25">
      <c r="A4880" s="169">
        <v>38110</v>
      </c>
      <c r="B4880" s="169" t="s">
        <v>28409</v>
      </c>
      <c r="C4880" s="169" t="s">
        <v>10225</v>
      </c>
      <c r="D4880" s="169" t="s">
        <v>1289</v>
      </c>
      <c r="E4880" s="103" t="s">
        <v>25551</v>
      </c>
      <c r="F4880" s="104"/>
      <c r="G4880" s="105">
        <f t="shared" si="304"/>
        <v>38.36</v>
      </c>
      <c r="H4880" s="101" t="str">
        <f t="shared" si="305"/>
        <v>Sinapi 38110</v>
      </c>
      <c r="I4880" s="101" t="str">
        <f t="shared" si="306"/>
        <v>UN</v>
      </c>
      <c r="J4880" s="140" t="str">
        <f t="shared" si="307"/>
        <v>VARIADOR DE VELOCIDADE PARA VENTILADOR 127 V, 150 W (APENAS MODULO)</v>
      </c>
    </row>
    <row r="4881" spans="1:10" x14ac:dyDescent="0.25">
      <c r="A4881" s="169">
        <v>38089</v>
      </c>
      <c r="B4881" s="169" t="s">
        <v>28410</v>
      </c>
      <c r="C4881" s="169" t="s">
        <v>10225</v>
      </c>
      <c r="D4881" s="169" t="s">
        <v>1289</v>
      </c>
      <c r="E4881" s="103" t="s">
        <v>31589</v>
      </c>
      <c r="F4881" s="104"/>
      <c r="G4881" s="105">
        <f t="shared" si="304"/>
        <v>66.84</v>
      </c>
      <c r="H4881" s="101" t="str">
        <f t="shared" si="305"/>
        <v>Sinapi 38089</v>
      </c>
      <c r="I4881" s="101" t="str">
        <f t="shared" si="306"/>
        <v>UN</v>
      </c>
      <c r="J4881" s="140" t="str">
        <f t="shared" si="307"/>
        <v>VARIADOR DE VELOCIDADE PARA VENTILADOR 127V, 150W + 2 INTERRUPTORES PARALELOS, PARA REVERSAO E LAMPADA, CONJUNTO MONTADO PARA EMBUTIR 4" X 2" (PLACA + SUPORTE + MODULOS)</v>
      </c>
    </row>
    <row r="4882" spans="1:10" x14ac:dyDescent="0.25">
      <c r="A4882" s="169">
        <v>38111</v>
      </c>
      <c r="B4882" s="169" t="s">
        <v>28411</v>
      </c>
      <c r="C4882" s="169" t="s">
        <v>10225</v>
      </c>
      <c r="D4882" s="169" t="s">
        <v>1289</v>
      </c>
      <c r="E4882" s="103" t="s">
        <v>31590</v>
      </c>
      <c r="F4882" s="104"/>
      <c r="G4882" s="105">
        <f t="shared" si="304"/>
        <v>42.89</v>
      </c>
      <c r="H4882" s="101" t="str">
        <f t="shared" si="305"/>
        <v>Sinapi 38111</v>
      </c>
      <c r="I4882" s="101" t="str">
        <f t="shared" si="306"/>
        <v>UN</v>
      </c>
      <c r="J4882" s="140" t="str">
        <f t="shared" si="307"/>
        <v>VARIADOR DE VELOCIDADE PARA VENTILADOR 220 V, 250 W (APENAS MODULO)</v>
      </c>
    </row>
    <row r="4883" spans="1:10" x14ac:dyDescent="0.25">
      <c r="A4883" s="169">
        <v>38090</v>
      </c>
      <c r="B4883" s="169" t="s">
        <v>28412</v>
      </c>
      <c r="C4883" s="169" t="s">
        <v>10225</v>
      </c>
      <c r="D4883" s="169" t="s">
        <v>1289</v>
      </c>
      <c r="E4883" s="103" t="s">
        <v>22977</v>
      </c>
      <c r="F4883" s="104"/>
      <c r="G4883" s="105">
        <f t="shared" si="304"/>
        <v>69.08</v>
      </c>
      <c r="H4883" s="101" t="str">
        <f t="shared" si="305"/>
        <v>Sinapi 38090</v>
      </c>
      <c r="I4883" s="101" t="str">
        <f t="shared" si="306"/>
        <v>UN</v>
      </c>
      <c r="J4883" s="140" t="str">
        <f t="shared" si="307"/>
        <v>VARIADOR DE VELOCIDADE PARA VENTILADOR 220V, 250W + 2 INTERRUPTORES PARALELOS, PARA REVERSAO E LAMPADA, CONJUNTO MONTADO PARA EMBUTIR 4" X 2" (PLACA + SUPORTE + MODULOS)</v>
      </c>
    </row>
    <row r="4884" spans="1:10" x14ac:dyDescent="0.25">
      <c r="A4884" s="169">
        <v>13726</v>
      </c>
      <c r="B4884" s="169" t="s">
        <v>28413</v>
      </c>
      <c r="C4884" s="169" t="s">
        <v>10225</v>
      </c>
      <c r="D4884" s="169" t="s">
        <v>1290</v>
      </c>
      <c r="E4884" s="103" t="s">
        <v>28414</v>
      </c>
      <c r="F4884" s="104"/>
      <c r="G4884" s="105">
        <f t="shared" si="304"/>
        <v>73280.61</v>
      </c>
      <c r="H4884" s="101" t="str">
        <f t="shared" si="305"/>
        <v>Sinapi 13726</v>
      </c>
      <c r="I4884" s="101" t="str">
        <f t="shared" si="306"/>
        <v>UN</v>
      </c>
      <c r="J4884" s="140" t="str">
        <f t="shared" si="307"/>
        <v>VASSOURA MECANICA REBOCAVEL COM ESCOVA CILINDRICA LARGURA UTIL DE VARRIMENTO = 2,44M</v>
      </c>
    </row>
    <row r="4885" spans="1:10" x14ac:dyDescent="0.25">
      <c r="A4885" s="169">
        <v>38400</v>
      </c>
      <c r="B4885" s="169" t="s">
        <v>28415</v>
      </c>
      <c r="C4885" s="169" t="s">
        <v>10225</v>
      </c>
      <c r="D4885" s="169" t="s">
        <v>1289</v>
      </c>
      <c r="E4885" s="103" t="s">
        <v>31591</v>
      </c>
      <c r="F4885" s="104"/>
      <c r="G4885" s="105">
        <f t="shared" si="304"/>
        <v>30.63</v>
      </c>
      <c r="H4885" s="101" t="str">
        <f t="shared" si="305"/>
        <v>Sinapi 38400</v>
      </c>
      <c r="I4885" s="101" t="str">
        <f t="shared" si="306"/>
        <v>UN</v>
      </c>
      <c r="J4885" s="140" t="str">
        <f t="shared" si="307"/>
        <v>VASSOURA 40 CM COM CABO</v>
      </c>
    </row>
    <row r="4886" spans="1:10" x14ac:dyDescent="0.25">
      <c r="A4886" s="169">
        <v>12627</v>
      </c>
      <c r="B4886" s="169" t="s">
        <v>28416</v>
      </c>
      <c r="C4886" s="169" t="s">
        <v>10225</v>
      </c>
      <c r="D4886" s="169" t="s">
        <v>1289</v>
      </c>
      <c r="E4886" s="103" t="s">
        <v>14120</v>
      </c>
      <c r="F4886" s="104"/>
      <c r="G4886" s="105">
        <f t="shared" si="304"/>
        <v>1.29</v>
      </c>
      <c r="H4886" s="101" t="str">
        <f t="shared" si="305"/>
        <v>Sinapi 12627</v>
      </c>
      <c r="I4886" s="101" t="str">
        <f t="shared" si="306"/>
        <v>UN</v>
      </c>
      <c r="J4886" s="140" t="str">
        <f t="shared" si="307"/>
        <v>VEDACAO DE CALHA, EM BORRACHA COR PRETA, MEDIDA ENTRE 119 E 170 MM, PARA DRENAGEM PLUVIAL PREDIAL</v>
      </c>
    </row>
    <row r="4887" spans="1:10" x14ac:dyDescent="0.25">
      <c r="A4887" s="169">
        <v>39996</v>
      </c>
      <c r="B4887" s="169" t="s">
        <v>28417</v>
      </c>
      <c r="C4887" s="169" t="s">
        <v>10229</v>
      </c>
      <c r="D4887" s="169" t="s">
        <v>1289</v>
      </c>
      <c r="E4887" s="103" t="s">
        <v>16350</v>
      </c>
      <c r="F4887" s="104"/>
      <c r="G4887" s="105">
        <f t="shared" si="304"/>
        <v>5.62</v>
      </c>
      <c r="H4887" s="101" t="str">
        <f t="shared" si="305"/>
        <v>Sinapi 39996</v>
      </c>
      <c r="I4887" s="101" t="str">
        <f t="shared" si="306"/>
        <v>M</v>
      </c>
      <c r="J4887" s="140" t="str">
        <f t="shared" si="307"/>
        <v>VERGALHAO ZINCADO ROSCA TOTAL, 1/4 " (6,3 MM)</v>
      </c>
    </row>
    <row r="4888" spans="1:10" x14ac:dyDescent="0.25">
      <c r="A4888" s="169">
        <v>10478</v>
      </c>
      <c r="B4888" s="169" t="s">
        <v>28418</v>
      </c>
      <c r="C4888" s="169" t="s">
        <v>10230</v>
      </c>
      <c r="D4888" s="169" t="s">
        <v>1288</v>
      </c>
      <c r="E4888" s="103" t="s">
        <v>31592</v>
      </c>
      <c r="F4888" s="104"/>
      <c r="G4888" s="105">
        <f t="shared" si="304"/>
        <v>40.880000000000003</v>
      </c>
      <c r="H4888" s="101" t="str">
        <f t="shared" si="305"/>
        <v>Sinapi 10478</v>
      </c>
      <c r="I4888" s="101" t="str">
        <f t="shared" si="306"/>
        <v>L</v>
      </c>
      <c r="J4888" s="140" t="str">
        <f t="shared" si="307"/>
        <v>VERNIZ A BASE RESINA ALQUIDICA COM POLIURETANO PARA MADEIRA, COM FILTRO SOLAR, BRILHANTE, USO INTERNO E EXTERNO</v>
      </c>
    </row>
    <row r="4889" spans="1:10" x14ac:dyDescent="0.25">
      <c r="A4889" s="169">
        <v>10481</v>
      </c>
      <c r="B4889" s="169" t="s">
        <v>28419</v>
      </c>
      <c r="C4889" s="169" t="s">
        <v>10230</v>
      </c>
      <c r="D4889" s="169" t="s">
        <v>1289</v>
      </c>
      <c r="E4889" s="103" t="s">
        <v>31593</v>
      </c>
      <c r="F4889" s="104"/>
      <c r="G4889" s="105">
        <f t="shared" si="304"/>
        <v>36.35</v>
      </c>
      <c r="H4889" s="101" t="str">
        <f t="shared" si="305"/>
        <v>Sinapi 10481</v>
      </c>
      <c r="I4889" s="101" t="str">
        <f t="shared" si="306"/>
        <v>L</v>
      </c>
      <c r="J4889" s="140" t="str">
        <f t="shared" si="307"/>
        <v>VERNIZ MARITIMO PREMIUM PARA MADEIRA, COM FILTRO SOLAR, BRILHANTE, USO INTERNO E EXTERNO</v>
      </c>
    </row>
    <row r="4890" spans="1:10" x14ac:dyDescent="0.25">
      <c r="A4890" s="169">
        <v>10475</v>
      </c>
      <c r="B4890" s="169" t="s">
        <v>28421</v>
      </c>
      <c r="C4890" s="169" t="s">
        <v>10230</v>
      </c>
      <c r="D4890" s="169" t="s">
        <v>1289</v>
      </c>
      <c r="E4890" s="103" t="s">
        <v>21167</v>
      </c>
      <c r="F4890" s="104"/>
      <c r="G4890" s="105">
        <f t="shared" si="304"/>
        <v>35.18</v>
      </c>
      <c r="H4890" s="101" t="str">
        <f t="shared" si="305"/>
        <v>Sinapi 10475</v>
      </c>
      <c r="I4890" s="101" t="str">
        <f t="shared" si="306"/>
        <v>L</v>
      </c>
      <c r="J4890" s="140" t="str">
        <f t="shared" si="307"/>
        <v>VERNIZ TIPO COPAL PARA MADEIRA, BRILHANTE, USO INTERNO</v>
      </c>
    </row>
    <row r="4891" spans="1:10" x14ac:dyDescent="0.25">
      <c r="A4891" s="169">
        <v>4030</v>
      </c>
      <c r="B4891" s="169" t="s">
        <v>28423</v>
      </c>
      <c r="C4891" s="169" t="s">
        <v>10226</v>
      </c>
      <c r="D4891" s="169" t="s">
        <v>1289</v>
      </c>
      <c r="E4891" s="103" t="s">
        <v>13408</v>
      </c>
      <c r="F4891" s="104"/>
      <c r="G4891" s="105">
        <f t="shared" si="304"/>
        <v>4.99</v>
      </c>
      <c r="H4891" s="101" t="str">
        <f t="shared" si="305"/>
        <v>Sinapi 4030</v>
      </c>
      <c r="I4891" s="101" t="str">
        <f t="shared" si="306"/>
        <v>M2</v>
      </c>
      <c r="J4891" s="140" t="str">
        <f t="shared" si="307"/>
        <v>VEU DE POLIESTER PARA IMPERMEABILIZACAO</v>
      </c>
    </row>
    <row r="4892" spans="1:10" x14ac:dyDescent="0.25">
      <c r="A4892" s="169">
        <v>4031</v>
      </c>
      <c r="B4892" s="169" t="s">
        <v>28424</v>
      </c>
      <c r="C4892" s="169" t="s">
        <v>10226</v>
      </c>
      <c r="D4892" s="169" t="s">
        <v>1289</v>
      </c>
      <c r="E4892" s="103" t="s">
        <v>28881</v>
      </c>
      <c r="F4892" s="104"/>
      <c r="G4892" s="105">
        <f t="shared" si="304"/>
        <v>23.48</v>
      </c>
      <c r="H4892" s="101" t="str">
        <f t="shared" si="305"/>
        <v>Sinapi 4031</v>
      </c>
      <c r="I4892" s="101" t="str">
        <f t="shared" si="306"/>
        <v>M2</v>
      </c>
      <c r="J4892" s="140" t="str">
        <f t="shared" si="307"/>
        <v>VEU DE VIDRO/VEU DE SUPERFICIE 30 A 35 G/M2</v>
      </c>
    </row>
    <row r="4893" spans="1:10" x14ac:dyDescent="0.25">
      <c r="A4893" s="169">
        <v>39399</v>
      </c>
      <c r="B4893" s="169" t="s">
        <v>28425</v>
      </c>
      <c r="C4893" s="169" t="s">
        <v>10225</v>
      </c>
      <c r="D4893" s="169" t="s">
        <v>1290</v>
      </c>
      <c r="E4893" s="103" t="s">
        <v>31594</v>
      </c>
      <c r="F4893" s="104"/>
      <c r="G4893" s="105">
        <f t="shared" si="304"/>
        <v>1360.93</v>
      </c>
      <c r="H4893" s="101" t="str">
        <f t="shared" si="305"/>
        <v>Sinapi 39399</v>
      </c>
      <c r="I4893" s="101" t="str">
        <f t="shared" si="306"/>
        <v>UN</v>
      </c>
      <c r="J4893" s="140" t="str">
        <f t="shared" si="307"/>
        <v>VIBRADOR DE IMERSAO, COM PONTEIRA DE *35* MM, MANGOTE DE 5 M, SEM MOTOR</v>
      </c>
    </row>
    <row r="4894" spans="1:10" x14ac:dyDescent="0.25">
      <c r="A4894" s="169">
        <v>39400</v>
      </c>
      <c r="B4894" s="169" t="s">
        <v>28426</v>
      </c>
      <c r="C4894" s="169" t="s">
        <v>10225</v>
      </c>
      <c r="D4894" s="169" t="s">
        <v>1290</v>
      </c>
      <c r="E4894" s="103" t="s">
        <v>31595</v>
      </c>
      <c r="F4894" s="104"/>
      <c r="G4894" s="105">
        <f t="shared" si="304"/>
        <v>1479.28</v>
      </c>
      <c r="H4894" s="101" t="str">
        <f t="shared" si="305"/>
        <v>Sinapi 39400</v>
      </c>
      <c r="I4894" s="101" t="str">
        <f t="shared" si="306"/>
        <v>UN</v>
      </c>
      <c r="J4894" s="140" t="str">
        <f t="shared" si="307"/>
        <v>VIBRADOR DE IMERSAO, COM PONTEIRA DE *45* MM, MANGOTE DE 5 M, SEM MOTOR.</v>
      </c>
    </row>
    <row r="4895" spans="1:10" x14ac:dyDescent="0.25">
      <c r="A4895" s="169">
        <v>39401</v>
      </c>
      <c r="B4895" s="169" t="s">
        <v>28427</v>
      </c>
      <c r="C4895" s="169" t="s">
        <v>10225</v>
      </c>
      <c r="D4895" s="169" t="s">
        <v>1290</v>
      </c>
      <c r="E4895" s="103" t="s">
        <v>31596</v>
      </c>
      <c r="F4895" s="104"/>
      <c r="G4895" s="105">
        <f t="shared" si="304"/>
        <v>1659.39</v>
      </c>
      <c r="H4895" s="101" t="str">
        <f t="shared" si="305"/>
        <v>Sinapi 39401</v>
      </c>
      <c r="I4895" s="101" t="str">
        <f t="shared" si="306"/>
        <v>UN</v>
      </c>
      <c r="J4895" s="140" t="str">
        <f t="shared" si="307"/>
        <v>VIBRADOR DE IMERSAO, COM PONTEIRA DE *60* MM, MANGOTE DE 5 M, SEM MOTOR.</v>
      </c>
    </row>
    <row r="4896" spans="1:10" x14ac:dyDescent="0.25">
      <c r="A4896" s="169">
        <v>11652</v>
      </c>
      <c r="B4896" s="169" t="s">
        <v>28428</v>
      </c>
      <c r="C4896" s="169" t="s">
        <v>10225</v>
      </c>
      <c r="D4896" s="169" t="s">
        <v>1290</v>
      </c>
      <c r="E4896" s="103" t="s">
        <v>31597</v>
      </c>
      <c r="F4896" s="104"/>
      <c r="G4896" s="105">
        <f t="shared" si="304"/>
        <v>3570</v>
      </c>
      <c r="H4896" s="101" t="str">
        <f t="shared" si="305"/>
        <v>Sinapi 11652</v>
      </c>
      <c r="I4896" s="101" t="str">
        <f t="shared" si="306"/>
        <v>UN</v>
      </c>
      <c r="J4896" s="140" t="str">
        <f t="shared" si="307"/>
        <v>VIBRADOR DE IMERSAO, DIAMETRO DA PONTEIRA DE *35* MM, COM MOTOR 4 TEMPOS A GASOLINA DE 5,5 HP (5,5 CV)</v>
      </c>
    </row>
    <row r="4897" spans="1:10" x14ac:dyDescent="0.25">
      <c r="A4897" s="169">
        <v>13896</v>
      </c>
      <c r="B4897" s="169" t="s">
        <v>28429</v>
      </c>
      <c r="C4897" s="169" t="s">
        <v>10225</v>
      </c>
      <c r="D4897" s="169" t="s">
        <v>1290</v>
      </c>
      <c r="E4897" s="103" t="s">
        <v>31598</v>
      </c>
      <c r="F4897" s="104"/>
      <c r="G4897" s="105">
        <f t="shared" si="304"/>
        <v>3202.6</v>
      </c>
      <c r="H4897" s="101" t="str">
        <f t="shared" si="305"/>
        <v>Sinapi 13896</v>
      </c>
      <c r="I4897" s="101" t="str">
        <f t="shared" si="306"/>
        <v>UN</v>
      </c>
      <c r="J4897" s="140" t="str">
        <f t="shared" si="307"/>
        <v>VIBRADOR DE IMERSAO, DIAMETRO DA PONTEIRA DE *45* MM, COM MOTOR ELETRICO TRIFASICO DE 2 HP (2 CV)</v>
      </c>
    </row>
    <row r="4898" spans="1:10" x14ac:dyDescent="0.25">
      <c r="A4898" s="169">
        <v>13475</v>
      </c>
      <c r="B4898" s="169" t="s">
        <v>28430</v>
      </c>
      <c r="C4898" s="169" t="s">
        <v>10225</v>
      </c>
      <c r="D4898" s="169" t="s">
        <v>1290</v>
      </c>
      <c r="E4898" s="103" t="s">
        <v>31599</v>
      </c>
      <c r="F4898" s="104"/>
      <c r="G4898" s="105">
        <f t="shared" si="304"/>
        <v>3901.15</v>
      </c>
      <c r="H4898" s="101" t="str">
        <f t="shared" si="305"/>
        <v>Sinapi 13475</v>
      </c>
      <c r="I4898" s="101" t="str">
        <f t="shared" si="306"/>
        <v>UN</v>
      </c>
      <c r="J4898" s="140" t="str">
        <f t="shared" si="307"/>
        <v>VIBRADOR DE IMERSAO, DIAMETRO DA PONTEIRA DE *45* MM, COM MOTOR 4 TEMPOS A GASOLINA DE 5,5 HP (5,5 CV)</v>
      </c>
    </row>
    <row r="4899" spans="1:10" x14ac:dyDescent="0.25">
      <c r="A4899" s="169">
        <v>44491</v>
      </c>
      <c r="B4899" s="169" t="s">
        <v>28431</v>
      </c>
      <c r="C4899" s="169" t="s">
        <v>10225</v>
      </c>
      <c r="D4899" s="169" t="s">
        <v>1290</v>
      </c>
      <c r="E4899" s="103" t="s">
        <v>31600</v>
      </c>
      <c r="F4899" s="104"/>
      <c r="G4899" s="105">
        <f t="shared" si="304"/>
        <v>4602516.8600000003</v>
      </c>
      <c r="H4899" s="101" t="str">
        <f t="shared" si="305"/>
        <v>Sinapi 44491</v>
      </c>
      <c r="I4899" s="101" t="str">
        <f t="shared" si="306"/>
        <v>UN</v>
      </c>
      <c r="J4899" s="140" t="str">
        <f t="shared" si="307"/>
        <v>VIBROACABADORA DE ASFALTO SOBRE ESTEIRAS, LARG. PAVIM. MAX. 8,00 M, POT. 100 KW/ 134 HP, CAP. 600 T/ H</v>
      </c>
    </row>
    <row r="4900" spans="1:10" x14ac:dyDescent="0.25">
      <c r="A4900" s="169">
        <v>44470</v>
      </c>
      <c r="B4900" s="169" t="s">
        <v>28432</v>
      </c>
      <c r="C4900" s="169" t="s">
        <v>10225</v>
      </c>
      <c r="D4900" s="169" t="s">
        <v>1290</v>
      </c>
      <c r="E4900" s="103" t="s">
        <v>31601</v>
      </c>
      <c r="F4900" s="104"/>
      <c r="G4900" s="105">
        <f t="shared" si="304"/>
        <v>1937606.18</v>
      </c>
      <c r="H4900" s="101" t="str">
        <f t="shared" si="305"/>
        <v>Sinapi 44470</v>
      </c>
      <c r="I4900" s="101" t="str">
        <f t="shared" si="306"/>
        <v>UN</v>
      </c>
      <c r="J4900" s="140" t="str">
        <f t="shared" si="307"/>
        <v>VIBROACABADORA DE ASFALTO SOBRE ESTEIRAS, LARG. PAVIM. 2,13 M A 4,55 M, POT. 74 KW/ 100 HP, CAP. 400 T/ H</v>
      </c>
    </row>
    <row r="4901" spans="1:10" x14ac:dyDescent="0.25">
      <c r="A4901" s="169">
        <v>13476</v>
      </c>
      <c r="B4901" s="169" t="s">
        <v>28433</v>
      </c>
      <c r="C4901" s="169" t="s">
        <v>10225</v>
      </c>
      <c r="D4901" s="169" t="s">
        <v>1290</v>
      </c>
      <c r="E4901" s="103" t="s">
        <v>31602</v>
      </c>
      <c r="F4901" s="104"/>
      <c r="G4901" s="105">
        <f t="shared" si="304"/>
        <v>1951646.94</v>
      </c>
      <c r="H4901" s="101" t="str">
        <f t="shared" si="305"/>
        <v>Sinapi 13476</v>
      </c>
      <c r="I4901" s="101" t="str">
        <f t="shared" si="306"/>
        <v>UN</v>
      </c>
      <c r="J4901" s="140" t="str">
        <f t="shared" si="307"/>
        <v>VIBROACABADORA DE ASFALTO SOBRE ESTEIRAS, LARG. PAVIM. 2,60 M A 5,75 M, POT. 110 HP, CAP. 450 T/ H</v>
      </c>
    </row>
    <row r="4902" spans="1:10" x14ac:dyDescent="0.25">
      <c r="A4902" s="169">
        <v>10488</v>
      </c>
      <c r="B4902" s="169" t="s">
        <v>28434</v>
      </c>
      <c r="C4902" s="169" t="s">
        <v>10225</v>
      </c>
      <c r="D4902" s="169" t="s">
        <v>1290</v>
      </c>
      <c r="E4902" s="103" t="s">
        <v>31603</v>
      </c>
      <c r="F4902" s="104"/>
      <c r="G4902" s="105">
        <f t="shared" si="304"/>
        <v>2364441.27</v>
      </c>
      <c r="H4902" s="101" t="str">
        <f t="shared" si="305"/>
        <v>Sinapi 10488</v>
      </c>
      <c r="I4902" s="101" t="str">
        <f t="shared" si="306"/>
        <v>UN</v>
      </c>
      <c r="J4902" s="140" t="str">
        <f t="shared" si="307"/>
        <v>VIBROACABADORA DE ASFALTO SOBRE ESTEIRAS, LARG. PAVIMENT. 1,90 A 5,3 M, POT. 78 KW/105 HP, CAP. 450 T/H</v>
      </c>
    </row>
    <row r="4903" spans="1:10" x14ac:dyDescent="0.25">
      <c r="A4903" s="169">
        <v>13606</v>
      </c>
      <c r="B4903" s="169" t="s">
        <v>28435</v>
      </c>
      <c r="C4903" s="169" t="s">
        <v>10225</v>
      </c>
      <c r="D4903" s="169" t="s">
        <v>1290</v>
      </c>
      <c r="E4903" s="103" t="s">
        <v>31604</v>
      </c>
      <c r="F4903" s="104"/>
      <c r="G4903" s="105">
        <f t="shared" si="304"/>
        <v>2094861.15</v>
      </c>
      <c r="H4903" s="101" t="str">
        <f t="shared" si="305"/>
        <v>Sinapi 13606</v>
      </c>
      <c r="I4903" s="101" t="str">
        <f t="shared" si="306"/>
        <v>UN</v>
      </c>
      <c r="J4903" s="140" t="str">
        <f t="shared" si="307"/>
        <v>VIBROACABADORA DE ASFALTO SOBRE RODAS, LARGURA DE PAVIMENTACAO DE 1,70 A 4,20 M, POTENCIA 78 KW/105 HP, CAPACIDADE 300 T/H</v>
      </c>
    </row>
    <row r="4904" spans="1:10" x14ac:dyDescent="0.25">
      <c r="A4904" s="169">
        <v>10489</v>
      </c>
      <c r="B4904" s="169" t="s">
        <v>28436</v>
      </c>
      <c r="C4904" s="169" t="s">
        <v>10228</v>
      </c>
      <c r="D4904" s="169" t="s">
        <v>1289</v>
      </c>
      <c r="E4904" s="103" t="s">
        <v>4969</v>
      </c>
      <c r="F4904" s="104"/>
      <c r="G4904" s="105">
        <f t="shared" si="304"/>
        <v>17.53</v>
      </c>
      <c r="H4904" s="101" t="str">
        <f t="shared" si="305"/>
        <v>Sinapi 10489</v>
      </c>
      <c r="I4904" s="101" t="str">
        <f t="shared" si="306"/>
        <v>H</v>
      </c>
      <c r="J4904" s="140" t="str">
        <f t="shared" si="307"/>
        <v>VIDRACEIRO (HORISTA)</v>
      </c>
    </row>
    <row r="4905" spans="1:10" x14ac:dyDescent="0.25">
      <c r="A4905" s="169">
        <v>41073</v>
      </c>
      <c r="B4905" s="169" t="s">
        <v>28437</v>
      </c>
      <c r="C4905" s="169" t="s">
        <v>10235</v>
      </c>
      <c r="D4905" s="169" t="s">
        <v>1289</v>
      </c>
      <c r="E4905" s="103" t="s">
        <v>31605</v>
      </c>
      <c r="F4905" s="104"/>
      <c r="G4905" s="105">
        <f t="shared" si="304"/>
        <v>3051.93</v>
      </c>
      <c r="H4905" s="101" t="str">
        <f t="shared" si="305"/>
        <v>Sinapi 41073</v>
      </c>
      <c r="I4905" s="101" t="str">
        <f t="shared" si="306"/>
        <v>MES</v>
      </c>
      <c r="J4905" s="140" t="str">
        <f t="shared" si="307"/>
        <v>VIDRACEIRO (MENSALISTA)</v>
      </c>
    </row>
    <row r="4906" spans="1:10" x14ac:dyDescent="0.25">
      <c r="A4906" s="169">
        <v>34391</v>
      </c>
      <c r="B4906" s="169" t="s">
        <v>1047</v>
      </c>
      <c r="C4906" s="169" t="s">
        <v>10226</v>
      </c>
      <c r="D4906" s="169" t="s">
        <v>1289</v>
      </c>
      <c r="E4906" s="103" t="s">
        <v>31606</v>
      </c>
      <c r="F4906" s="104"/>
      <c r="G4906" s="105">
        <f t="shared" si="304"/>
        <v>1196.8699999999999</v>
      </c>
      <c r="H4906" s="101" t="str">
        <f t="shared" si="305"/>
        <v>Sinapi 34391</v>
      </c>
      <c r="I4906" s="101" t="str">
        <f t="shared" si="306"/>
        <v>M2</v>
      </c>
      <c r="J4906" s="140" t="str">
        <f t="shared" si="307"/>
        <v>VIDRO COMUM LAMINADO LISO INCOLOR DUPLO, ESPESSURA TOTAL 8 MM (CADA CAMADA DE 4 MM) - COLOCADO</v>
      </c>
    </row>
    <row r="4907" spans="1:10" x14ac:dyDescent="0.25">
      <c r="A4907" s="169">
        <v>10496</v>
      </c>
      <c r="B4907" s="169" t="s">
        <v>28438</v>
      </c>
      <c r="C4907" s="169" t="s">
        <v>10226</v>
      </c>
      <c r="D4907" s="169" t="s">
        <v>1289</v>
      </c>
      <c r="E4907" s="103" t="s">
        <v>31607</v>
      </c>
      <c r="F4907" s="104"/>
      <c r="G4907" s="105">
        <f t="shared" si="304"/>
        <v>1041.6600000000001</v>
      </c>
      <c r="H4907" s="101" t="str">
        <f t="shared" si="305"/>
        <v>Sinapi 10496</v>
      </c>
      <c r="I4907" s="101" t="str">
        <f t="shared" si="306"/>
        <v>M2</v>
      </c>
      <c r="J4907" s="140" t="str">
        <f t="shared" si="307"/>
        <v>VIDRO COMUM LAMINADO, LISO, INCOLOR, DUPLO, ESPESSURA TOTAL 6 MM (CADA CAMADA E= 3 MM) - COLOCADO</v>
      </c>
    </row>
    <row r="4908" spans="1:10" x14ac:dyDescent="0.25">
      <c r="A4908" s="169">
        <v>10497</v>
      </c>
      <c r="B4908" s="169" t="s">
        <v>28439</v>
      </c>
      <c r="C4908" s="169" t="s">
        <v>10226</v>
      </c>
      <c r="D4908" s="169" t="s">
        <v>1289</v>
      </c>
      <c r="E4908" s="103" t="s">
        <v>31608</v>
      </c>
      <c r="F4908" s="104"/>
      <c r="G4908" s="105">
        <f t="shared" si="304"/>
        <v>2708.33</v>
      </c>
      <c r="H4908" s="101" t="str">
        <f t="shared" si="305"/>
        <v>Sinapi 10497</v>
      </c>
      <c r="I4908" s="101" t="str">
        <f t="shared" si="306"/>
        <v>M2</v>
      </c>
      <c r="J4908" s="140" t="str">
        <f t="shared" si="307"/>
        <v>VIDRO COMUM LAMINADO, LISO, INCOLOR, TRIPLO, ESPESSURA TOTAL 12 MM (CADA CAMADA E= 4 MM) - COLOCADO</v>
      </c>
    </row>
    <row r="4909" spans="1:10" x14ac:dyDescent="0.25">
      <c r="A4909" s="169">
        <v>10504</v>
      </c>
      <c r="B4909" s="169" t="s">
        <v>28440</v>
      </c>
      <c r="C4909" s="169" t="s">
        <v>10226</v>
      </c>
      <c r="D4909" s="169" t="s">
        <v>1289</v>
      </c>
      <c r="E4909" s="103" t="s">
        <v>31609</v>
      </c>
      <c r="F4909" s="104"/>
      <c r="G4909" s="105">
        <f t="shared" si="304"/>
        <v>3166.66</v>
      </c>
      <c r="H4909" s="101" t="str">
        <f t="shared" si="305"/>
        <v>Sinapi 10504</v>
      </c>
      <c r="I4909" s="101" t="str">
        <f t="shared" si="306"/>
        <v>M2</v>
      </c>
      <c r="J4909" s="140" t="str">
        <f t="shared" si="307"/>
        <v>VIDRO COMUM LAMINADO, LISO, INCOLOR, TRIPLO, ESPESSURA TOTAL 15 MM (CADA CAMADA E = 5 MM) - COLOCADO</v>
      </c>
    </row>
    <row r="4910" spans="1:10" x14ac:dyDescent="0.25">
      <c r="A4910" s="169">
        <v>34390</v>
      </c>
      <c r="B4910" s="169" t="s">
        <v>28441</v>
      </c>
      <c r="C4910" s="169" t="s">
        <v>10226</v>
      </c>
      <c r="D4910" s="169" t="s">
        <v>1289</v>
      </c>
      <c r="E4910" s="103" t="s">
        <v>31610</v>
      </c>
      <c r="F4910" s="104"/>
      <c r="G4910" s="105">
        <f t="shared" si="304"/>
        <v>933.33</v>
      </c>
      <c r="H4910" s="101" t="str">
        <f t="shared" si="305"/>
        <v>Sinapi 34390</v>
      </c>
      <c r="I4910" s="101" t="str">
        <f t="shared" si="306"/>
        <v>M2</v>
      </c>
      <c r="J4910" s="140" t="str">
        <f t="shared" si="307"/>
        <v>VIDRO CRISTAL COLORIDO, 10 MM, PINTADO NA COR BRANCA</v>
      </c>
    </row>
    <row r="4911" spans="1:10" x14ac:dyDescent="0.25">
      <c r="A4911" s="169">
        <v>34389</v>
      </c>
      <c r="B4911" s="169" t="s">
        <v>28442</v>
      </c>
      <c r="C4911" s="169" t="s">
        <v>10226</v>
      </c>
      <c r="D4911" s="169" t="s">
        <v>1289</v>
      </c>
      <c r="E4911" s="103" t="s">
        <v>31611</v>
      </c>
      <c r="F4911" s="104"/>
      <c r="G4911" s="105">
        <f t="shared" si="304"/>
        <v>291.66000000000003</v>
      </c>
      <c r="H4911" s="101" t="str">
        <f t="shared" si="305"/>
        <v>Sinapi 34389</v>
      </c>
      <c r="I4911" s="101" t="str">
        <f t="shared" si="306"/>
        <v>M2</v>
      </c>
      <c r="J4911" s="140" t="str">
        <f t="shared" si="307"/>
        <v>VIDRO CRISTAL COLORIDO, 4 MM, PINTADO NA COR BRANCA</v>
      </c>
    </row>
    <row r="4912" spans="1:10" x14ac:dyDescent="0.25">
      <c r="A4912" s="169">
        <v>34388</v>
      </c>
      <c r="B4912" s="169" t="s">
        <v>28443</v>
      </c>
      <c r="C4912" s="169" t="s">
        <v>10226</v>
      </c>
      <c r="D4912" s="169" t="s">
        <v>1289</v>
      </c>
      <c r="E4912" s="103" t="s">
        <v>31612</v>
      </c>
      <c r="F4912" s="104"/>
      <c r="G4912" s="105">
        <f t="shared" si="304"/>
        <v>414.54</v>
      </c>
      <c r="H4912" s="101" t="str">
        <f t="shared" si="305"/>
        <v>Sinapi 34388</v>
      </c>
      <c r="I4912" s="101" t="str">
        <f t="shared" si="306"/>
        <v>M2</v>
      </c>
      <c r="J4912" s="140" t="str">
        <f t="shared" si="307"/>
        <v>VIDRO CRISTAL COLORIDO, 6 MM, PINTADO NA COR BRANCA</v>
      </c>
    </row>
    <row r="4913" spans="1:10" x14ac:dyDescent="0.25">
      <c r="A4913" s="169">
        <v>34387</v>
      </c>
      <c r="B4913" s="169" t="s">
        <v>28444</v>
      </c>
      <c r="C4913" s="169" t="s">
        <v>10226</v>
      </c>
      <c r="D4913" s="169" t="s">
        <v>1289</v>
      </c>
      <c r="E4913" s="103" t="s">
        <v>31613</v>
      </c>
      <c r="F4913" s="104"/>
      <c r="G4913" s="105">
        <f t="shared" si="304"/>
        <v>672.91</v>
      </c>
      <c r="H4913" s="101" t="str">
        <f t="shared" si="305"/>
        <v>Sinapi 34387</v>
      </c>
      <c r="I4913" s="101" t="str">
        <f t="shared" si="306"/>
        <v>M2</v>
      </c>
      <c r="J4913" s="140" t="str">
        <f t="shared" si="307"/>
        <v>VIDRO CRISTAL COLORIDO, 8 MM, PINTADO NA COR BRANCA</v>
      </c>
    </row>
    <row r="4914" spans="1:10" x14ac:dyDescent="0.25">
      <c r="A4914" s="169">
        <v>11188</v>
      </c>
      <c r="B4914" s="169" t="s">
        <v>28446</v>
      </c>
      <c r="C4914" s="169" t="s">
        <v>10226</v>
      </c>
      <c r="D4914" s="169" t="s">
        <v>1289</v>
      </c>
      <c r="E4914" s="103" t="s">
        <v>31614</v>
      </c>
      <c r="F4914" s="104"/>
      <c r="G4914" s="105">
        <f t="shared" si="304"/>
        <v>333.33</v>
      </c>
      <c r="H4914" s="101" t="str">
        <f t="shared" si="305"/>
        <v>Sinapi 11188</v>
      </c>
      <c r="I4914" s="101" t="str">
        <f t="shared" si="306"/>
        <v>M2</v>
      </c>
      <c r="J4914" s="140" t="str">
        <f t="shared" si="307"/>
        <v>VIDRO LISO FUME E = 4MM - SEM COLOCACAO</v>
      </c>
    </row>
    <row r="4915" spans="1:10" x14ac:dyDescent="0.25">
      <c r="A4915" s="169">
        <v>11189</v>
      </c>
      <c r="B4915" s="169" t="s">
        <v>28448</v>
      </c>
      <c r="C4915" s="169" t="s">
        <v>10226</v>
      </c>
      <c r="D4915" s="169" t="s">
        <v>1289</v>
      </c>
      <c r="E4915" s="103" t="s">
        <v>31615</v>
      </c>
      <c r="F4915" s="104"/>
      <c r="G4915" s="105">
        <f t="shared" si="304"/>
        <v>500</v>
      </c>
      <c r="H4915" s="101" t="str">
        <f t="shared" si="305"/>
        <v>Sinapi 11189</v>
      </c>
      <c r="I4915" s="101" t="str">
        <f t="shared" si="306"/>
        <v>M2</v>
      </c>
      <c r="J4915" s="140" t="str">
        <f t="shared" si="307"/>
        <v>VIDRO LISO FUME E = 6MM - SEM COLOCACAO</v>
      </c>
    </row>
    <row r="4916" spans="1:10" x14ac:dyDescent="0.25">
      <c r="A4916" s="169">
        <v>21107</v>
      </c>
      <c r="B4916" s="169" t="s">
        <v>800</v>
      </c>
      <c r="C4916" s="169" t="s">
        <v>10226</v>
      </c>
      <c r="D4916" s="169" t="s">
        <v>1289</v>
      </c>
      <c r="E4916" s="103" t="s">
        <v>31616</v>
      </c>
      <c r="F4916" s="104"/>
      <c r="G4916" s="105">
        <f t="shared" si="304"/>
        <v>359.83</v>
      </c>
      <c r="H4916" s="101" t="str">
        <f t="shared" si="305"/>
        <v>Sinapi 21107</v>
      </c>
      <c r="I4916" s="101" t="str">
        <f t="shared" si="306"/>
        <v>M2</v>
      </c>
      <c r="J4916" s="140" t="str">
        <f t="shared" si="307"/>
        <v>VIDRO LISO FUME, E = 5 MM - SEM COLOCACAO</v>
      </c>
    </row>
    <row r="4917" spans="1:10" x14ac:dyDescent="0.25">
      <c r="A4917" s="169">
        <v>34386</v>
      </c>
      <c r="B4917" s="169" t="s">
        <v>28450</v>
      </c>
      <c r="C4917" s="169" t="s">
        <v>10226</v>
      </c>
      <c r="D4917" s="169" t="s">
        <v>1289</v>
      </c>
      <c r="E4917" s="103" t="s">
        <v>31617</v>
      </c>
      <c r="F4917" s="104"/>
      <c r="G4917" s="105">
        <f t="shared" si="304"/>
        <v>625</v>
      </c>
      <c r="H4917" s="101" t="str">
        <f t="shared" si="305"/>
        <v>Sinapi 34386</v>
      </c>
      <c r="I4917" s="101" t="str">
        <f t="shared" si="306"/>
        <v>M2</v>
      </c>
      <c r="J4917" s="140" t="str">
        <f t="shared" si="307"/>
        <v>VIDRO LISO INCOLOR 10 MM - SEM COLOCACAO</v>
      </c>
    </row>
    <row r="4918" spans="1:10" x14ac:dyDescent="0.25">
      <c r="A4918" s="169">
        <v>10490</v>
      </c>
      <c r="B4918" s="169" t="s">
        <v>28451</v>
      </c>
      <c r="C4918" s="169" t="s">
        <v>10226</v>
      </c>
      <c r="D4918" s="169" t="s">
        <v>1289</v>
      </c>
      <c r="E4918" s="103" t="s">
        <v>21562</v>
      </c>
      <c r="F4918" s="104"/>
      <c r="G4918" s="105">
        <f t="shared" si="304"/>
        <v>218.75</v>
      </c>
      <c r="H4918" s="101" t="str">
        <f t="shared" si="305"/>
        <v>Sinapi 10490</v>
      </c>
      <c r="I4918" s="101" t="str">
        <f t="shared" si="306"/>
        <v>M2</v>
      </c>
      <c r="J4918" s="140" t="str">
        <f t="shared" si="307"/>
        <v>VIDRO LISO INCOLOR 2 A 3 MM - SEM COLOCACAO</v>
      </c>
    </row>
    <row r="4919" spans="1:10" x14ac:dyDescent="0.25">
      <c r="A4919" s="169">
        <v>10492</v>
      </c>
      <c r="B4919" s="169" t="s">
        <v>28452</v>
      </c>
      <c r="C4919" s="169" t="s">
        <v>10226</v>
      </c>
      <c r="D4919" s="169" t="s">
        <v>1288</v>
      </c>
      <c r="E4919" s="103" t="s">
        <v>21074</v>
      </c>
      <c r="F4919" s="104"/>
      <c r="G4919" s="105">
        <f t="shared" si="304"/>
        <v>250</v>
      </c>
      <c r="H4919" s="101" t="str">
        <f t="shared" si="305"/>
        <v>Sinapi 10492</v>
      </c>
      <c r="I4919" s="101" t="str">
        <f t="shared" si="306"/>
        <v>M2</v>
      </c>
      <c r="J4919" s="140" t="str">
        <f t="shared" si="307"/>
        <v>VIDRO LISO INCOLOR 4MM - SEM COLOCACAO</v>
      </c>
    </row>
    <row r="4920" spans="1:10" x14ac:dyDescent="0.25">
      <c r="A4920" s="169">
        <v>10493</v>
      </c>
      <c r="B4920" s="169" t="s">
        <v>672</v>
      </c>
      <c r="C4920" s="169" t="s">
        <v>10226</v>
      </c>
      <c r="D4920" s="169" t="s">
        <v>1289</v>
      </c>
      <c r="E4920" s="103" t="s">
        <v>31611</v>
      </c>
      <c r="F4920" s="104"/>
      <c r="G4920" s="105">
        <f t="shared" si="304"/>
        <v>291.66000000000003</v>
      </c>
      <c r="H4920" s="101" t="str">
        <f t="shared" si="305"/>
        <v>Sinapi 10493</v>
      </c>
      <c r="I4920" s="101" t="str">
        <f t="shared" si="306"/>
        <v>M2</v>
      </c>
      <c r="J4920" s="140" t="str">
        <f t="shared" si="307"/>
        <v>VIDRO LISO INCOLOR 5MM - SEM COLOCACAO</v>
      </c>
    </row>
    <row r="4921" spans="1:10" x14ac:dyDescent="0.25">
      <c r="A4921" s="169">
        <v>10491</v>
      </c>
      <c r="B4921" s="169" t="s">
        <v>221</v>
      </c>
      <c r="C4921" s="169" t="s">
        <v>10226</v>
      </c>
      <c r="D4921" s="169" t="s">
        <v>1289</v>
      </c>
      <c r="E4921" s="103" t="s">
        <v>31618</v>
      </c>
      <c r="F4921" s="104"/>
      <c r="G4921" s="105">
        <f t="shared" si="304"/>
        <v>354.16</v>
      </c>
      <c r="H4921" s="101" t="str">
        <f t="shared" si="305"/>
        <v>Sinapi 10491</v>
      </c>
      <c r="I4921" s="101" t="str">
        <f t="shared" si="306"/>
        <v>M2</v>
      </c>
      <c r="J4921" s="140" t="str">
        <f t="shared" si="307"/>
        <v>VIDRO LISO INCOLOR 6 MM - SEM COLOCACAO</v>
      </c>
    </row>
    <row r="4922" spans="1:10" x14ac:dyDescent="0.25">
      <c r="A4922" s="169">
        <v>34385</v>
      </c>
      <c r="B4922" s="169" t="s">
        <v>28453</v>
      </c>
      <c r="C4922" s="169" t="s">
        <v>10226</v>
      </c>
      <c r="D4922" s="169" t="s">
        <v>1289</v>
      </c>
      <c r="E4922" s="103" t="s">
        <v>31619</v>
      </c>
      <c r="F4922" s="104"/>
      <c r="G4922" s="105">
        <f t="shared" si="304"/>
        <v>516.66</v>
      </c>
      <c r="H4922" s="101" t="str">
        <f t="shared" si="305"/>
        <v>Sinapi 34385</v>
      </c>
      <c r="I4922" s="101" t="str">
        <f t="shared" si="306"/>
        <v>M2</v>
      </c>
      <c r="J4922" s="140" t="str">
        <f t="shared" si="307"/>
        <v>VIDRO LISO INCOLOR 8MM - SEM COLOCACAO</v>
      </c>
    </row>
    <row r="4923" spans="1:10" x14ac:dyDescent="0.25">
      <c r="A4923" s="169">
        <v>10499</v>
      </c>
      <c r="B4923" s="169" t="s">
        <v>798</v>
      </c>
      <c r="C4923" s="169" t="s">
        <v>10226</v>
      </c>
      <c r="D4923" s="169" t="s">
        <v>1289</v>
      </c>
      <c r="E4923" s="103" t="s">
        <v>31620</v>
      </c>
      <c r="F4923" s="104"/>
      <c r="G4923" s="105">
        <f t="shared" si="304"/>
        <v>208.33</v>
      </c>
      <c r="H4923" s="101" t="str">
        <f t="shared" si="305"/>
        <v>Sinapi 10499</v>
      </c>
      <c r="I4923" s="101" t="str">
        <f t="shared" si="306"/>
        <v>M2</v>
      </c>
      <c r="J4923" s="140" t="str">
        <f t="shared" si="307"/>
        <v>VIDRO MARTELADO OU CANELADO, 4 MM - SEM COLOCACAO</v>
      </c>
    </row>
    <row r="4924" spans="1:10" x14ac:dyDescent="0.25">
      <c r="A4924" s="169">
        <v>34384</v>
      </c>
      <c r="B4924" s="169" t="s">
        <v>28454</v>
      </c>
      <c r="C4924" s="169" t="s">
        <v>10226</v>
      </c>
      <c r="D4924" s="169" t="s">
        <v>1289</v>
      </c>
      <c r="E4924" s="103" t="s">
        <v>31617</v>
      </c>
      <c r="F4924" s="104"/>
      <c r="G4924" s="105">
        <f t="shared" si="304"/>
        <v>625</v>
      </c>
      <c r="H4924" s="101" t="str">
        <f t="shared" si="305"/>
        <v>Sinapi 34384</v>
      </c>
      <c r="I4924" s="101" t="str">
        <f t="shared" si="306"/>
        <v>M2</v>
      </c>
      <c r="J4924" s="140" t="str">
        <f t="shared" si="307"/>
        <v>VIDRO PLANO ARAMADO E = 6 MM - SEM COLOCACAO</v>
      </c>
    </row>
    <row r="4925" spans="1:10" x14ac:dyDescent="0.25">
      <c r="A4925" s="169">
        <v>11185</v>
      </c>
      <c r="B4925" s="169" t="s">
        <v>28455</v>
      </c>
      <c r="C4925" s="169" t="s">
        <v>10226</v>
      </c>
      <c r="D4925" s="169" t="s">
        <v>1289</v>
      </c>
      <c r="E4925" s="103" t="s">
        <v>31621</v>
      </c>
      <c r="F4925" s="104"/>
      <c r="G4925" s="105">
        <f t="shared" si="304"/>
        <v>645.83000000000004</v>
      </c>
      <c r="H4925" s="101" t="str">
        <f t="shared" si="305"/>
        <v>Sinapi 11185</v>
      </c>
      <c r="I4925" s="101" t="str">
        <f t="shared" si="306"/>
        <v>M2</v>
      </c>
      <c r="J4925" s="140" t="str">
        <f t="shared" si="307"/>
        <v>VIDRO PLANO ARAMADO E = 7MM - SEM COLOCACAO</v>
      </c>
    </row>
    <row r="4926" spans="1:10" x14ac:dyDescent="0.25">
      <c r="A4926" s="169">
        <v>10507</v>
      </c>
      <c r="B4926" s="169" t="s">
        <v>676</v>
      </c>
      <c r="C4926" s="169" t="s">
        <v>10226</v>
      </c>
      <c r="D4926" s="169" t="s">
        <v>1289</v>
      </c>
      <c r="E4926" s="103" t="s">
        <v>31622</v>
      </c>
      <c r="F4926" s="104"/>
      <c r="G4926" s="105">
        <f t="shared" si="304"/>
        <v>628.69000000000005</v>
      </c>
      <c r="H4926" s="101" t="str">
        <f t="shared" si="305"/>
        <v>Sinapi 10507</v>
      </c>
      <c r="I4926" s="101" t="str">
        <f t="shared" si="306"/>
        <v>M2</v>
      </c>
      <c r="J4926" s="140" t="str">
        <f t="shared" si="307"/>
        <v>VIDRO TEMPERADO INCOLOR E = 10 MM, SEM COLOCACAO</v>
      </c>
    </row>
    <row r="4927" spans="1:10" x14ac:dyDescent="0.25">
      <c r="A4927" s="169">
        <v>10505</v>
      </c>
      <c r="B4927" s="169" t="s">
        <v>28457</v>
      </c>
      <c r="C4927" s="169" t="s">
        <v>10226</v>
      </c>
      <c r="D4927" s="169" t="s">
        <v>1289</v>
      </c>
      <c r="E4927" s="103" t="s">
        <v>31623</v>
      </c>
      <c r="F4927" s="104"/>
      <c r="G4927" s="105">
        <f t="shared" si="304"/>
        <v>370.97</v>
      </c>
      <c r="H4927" s="101" t="str">
        <f t="shared" si="305"/>
        <v>Sinapi 10505</v>
      </c>
      <c r="I4927" s="101" t="str">
        <f t="shared" si="306"/>
        <v>M2</v>
      </c>
      <c r="J4927" s="140" t="str">
        <f t="shared" si="307"/>
        <v>VIDRO TEMPERADO INCOLOR E = 6 MM, SEM COLOCACAO</v>
      </c>
    </row>
    <row r="4928" spans="1:10" x14ac:dyDescent="0.25">
      <c r="A4928" s="169">
        <v>10506</v>
      </c>
      <c r="B4928" s="169" t="s">
        <v>674</v>
      </c>
      <c r="C4928" s="169" t="s">
        <v>10226</v>
      </c>
      <c r="D4928" s="169" t="s">
        <v>1289</v>
      </c>
      <c r="E4928" s="103" t="s">
        <v>28598</v>
      </c>
      <c r="F4928" s="104"/>
      <c r="G4928" s="105">
        <f t="shared" si="304"/>
        <v>484.28</v>
      </c>
      <c r="H4928" s="101" t="str">
        <f t="shared" si="305"/>
        <v>Sinapi 10506</v>
      </c>
      <c r="I4928" s="101" t="str">
        <f t="shared" si="306"/>
        <v>M2</v>
      </c>
      <c r="J4928" s="140" t="str">
        <f t="shared" si="307"/>
        <v>VIDRO TEMPERADO INCOLOR E = 8 MM, SEM COLOCACAO</v>
      </c>
    </row>
    <row r="4929" spans="1:10" x14ac:dyDescent="0.25">
      <c r="A4929" s="169">
        <v>5031</v>
      </c>
      <c r="B4929" s="169" t="s">
        <v>28458</v>
      </c>
      <c r="C4929" s="169" t="s">
        <v>10226</v>
      </c>
      <c r="D4929" s="169" t="s">
        <v>1288</v>
      </c>
      <c r="E4929" s="103" t="s">
        <v>31624</v>
      </c>
      <c r="F4929" s="104"/>
      <c r="G4929" s="105">
        <f t="shared" si="304"/>
        <v>680</v>
      </c>
      <c r="H4929" s="101" t="str">
        <f t="shared" si="305"/>
        <v>Sinapi 5031</v>
      </c>
      <c r="I4929" s="101" t="str">
        <f t="shared" si="306"/>
        <v>M2</v>
      </c>
      <c r="J4929" s="140" t="str">
        <f t="shared" si="307"/>
        <v>VIDRO TEMPERADO INCOLOR PARA PORTA DE ABRIR, E = 10 MM (SEM FERRAGENS E SEM COLOCACAO)</v>
      </c>
    </row>
    <row r="4930" spans="1:10" x14ac:dyDescent="0.25">
      <c r="A4930" s="169">
        <v>10502</v>
      </c>
      <c r="B4930" s="169" t="s">
        <v>28459</v>
      </c>
      <c r="C4930" s="169" t="s">
        <v>10226</v>
      </c>
      <c r="D4930" s="169" t="s">
        <v>1289</v>
      </c>
      <c r="E4930" s="103" t="s">
        <v>31625</v>
      </c>
      <c r="F4930" s="104"/>
      <c r="G4930" s="105">
        <f t="shared" si="304"/>
        <v>792.36</v>
      </c>
      <c r="H4930" s="101" t="str">
        <f t="shared" si="305"/>
        <v>Sinapi 10502</v>
      </c>
      <c r="I4930" s="101" t="str">
        <f t="shared" si="306"/>
        <v>M2</v>
      </c>
      <c r="J4930" s="140" t="str">
        <f t="shared" si="307"/>
        <v>VIDRO TEMPERADO VERDE E = 10 MM, SEM COLOCACAO</v>
      </c>
    </row>
    <row r="4931" spans="1:10" x14ac:dyDescent="0.25">
      <c r="A4931" s="169">
        <v>10501</v>
      </c>
      <c r="B4931" s="169" t="s">
        <v>28460</v>
      </c>
      <c r="C4931" s="169" t="s">
        <v>10226</v>
      </c>
      <c r="D4931" s="169" t="s">
        <v>1289</v>
      </c>
      <c r="E4931" s="103" t="s">
        <v>31626</v>
      </c>
      <c r="F4931" s="104"/>
      <c r="G4931" s="105">
        <f t="shared" si="304"/>
        <v>447.66</v>
      </c>
      <c r="H4931" s="101" t="str">
        <f t="shared" si="305"/>
        <v>Sinapi 10501</v>
      </c>
      <c r="I4931" s="101" t="str">
        <f t="shared" si="306"/>
        <v>M2</v>
      </c>
      <c r="J4931" s="140" t="str">
        <f t="shared" si="307"/>
        <v>VIDRO TEMPERADO VERDE E = 6 MM, SEM COLOCACAO</v>
      </c>
    </row>
    <row r="4932" spans="1:10" x14ac:dyDescent="0.25">
      <c r="A4932" s="169">
        <v>10503</v>
      </c>
      <c r="B4932" s="169" t="s">
        <v>28461</v>
      </c>
      <c r="C4932" s="169" t="s">
        <v>10226</v>
      </c>
      <c r="D4932" s="169" t="s">
        <v>1289</v>
      </c>
      <c r="E4932" s="103" t="s">
        <v>31627</v>
      </c>
      <c r="F4932" s="104"/>
      <c r="G4932" s="105">
        <f t="shared" si="304"/>
        <v>604.79</v>
      </c>
      <c r="H4932" s="101" t="str">
        <f t="shared" si="305"/>
        <v>Sinapi 10503</v>
      </c>
      <c r="I4932" s="101" t="str">
        <f t="shared" si="306"/>
        <v>M2</v>
      </c>
      <c r="J4932" s="140" t="str">
        <f t="shared" si="307"/>
        <v>VIDRO TEMPERADO VERDE E = 8 MM, SEM COLOCACAO</v>
      </c>
    </row>
    <row r="4933" spans="1:10" x14ac:dyDescent="0.25">
      <c r="A4933" s="169">
        <v>4500</v>
      </c>
      <c r="B4933" s="169" t="s">
        <v>28462</v>
      </c>
      <c r="C4933" s="169" t="s">
        <v>10229</v>
      </c>
      <c r="D4933" s="169" t="s">
        <v>1289</v>
      </c>
      <c r="E4933" s="103" t="s">
        <v>20622</v>
      </c>
      <c r="F4933" s="104"/>
      <c r="G4933" s="105">
        <f t="shared" si="304"/>
        <v>11.26</v>
      </c>
      <c r="H4933" s="101" t="str">
        <f t="shared" si="305"/>
        <v>Sinapi 4500</v>
      </c>
      <c r="I4933" s="101" t="str">
        <f t="shared" si="306"/>
        <v>M</v>
      </c>
      <c r="J4933" s="140" t="str">
        <f t="shared" si="307"/>
        <v>VIGA *7,5 X 10* CM EM PINUS, MISTA OU EQUIVALENTE DA REGIAO - BRUTA</v>
      </c>
    </row>
    <row r="4934" spans="1:10" x14ac:dyDescent="0.25">
      <c r="A4934" s="169">
        <v>4448</v>
      </c>
      <c r="B4934" s="169" t="s">
        <v>28463</v>
      </c>
      <c r="C4934" s="169" t="s">
        <v>10229</v>
      </c>
      <c r="D4934" s="169" t="s">
        <v>1289</v>
      </c>
      <c r="E4934" s="103" t="s">
        <v>23053</v>
      </c>
      <c r="F4934" s="104"/>
      <c r="G4934" s="105">
        <f t="shared" si="304"/>
        <v>15.47</v>
      </c>
      <c r="H4934" s="101" t="str">
        <f t="shared" si="305"/>
        <v>Sinapi 4448</v>
      </c>
      <c r="I4934" s="101" t="str">
        <f t="shared" si="306"/>
        <v>M</v>
      </c>
      <c r="J4934" s="140" t="str">
        <f t="shared" si="307"/>
        <v>VIGA *7,5 X 15 CM EM PINUS, MISTA OU EQUIVALENTE DA REGIAO - BRUTA</v>
      </c>
    </row>
    <row r="4935" spans="1:10" x14ac:dyDescent="0.25">
      <c r="A4935" s="169">
        <v>20213</v>
      </c>
      <c r="B4935" s="169" t="s">
        <v>31628</v>
      </c>
      <c r="C4935" s="169" t="s">
        <v>10229</v>
      </c>
      <c r="D4935" s="169" t="s">
        <v>1289</v>
      </c>
      <c r="E4935" s="103" t="s">
        <v>17908</v>
      </c>
      <c r="F4935" s="104"/>
      <c r="G4935" s="105">
        <f t="shared" si="304"/>
        <v>21.74</v>
      </c>
      <c r="H4935" s="101" t="str">
        <f t="shared" si="305"/>
        <v>Sinapi 20213</v>
      </c>
      <c r="I4935" s="101" t="str">
        <f t="shared" si="306"/>
        <v>M</v>
      </c>
      <c r="J4935" s="140" t="str">
        <f t="shared" si="307"/>
        <v>VIGA APARELHADA *6 X 12* CM, EM MACARANDUBA/MASSARANDUBA, ANGELIM OU EQUIVALENTE DA REGIAO</v>
      </c>
    </row>
    <row r="4936" spans="1:10" x14ac:dyDescent="0.25">
      <c r="A4936" s="169">
        <v>20211</v>
      </c>
      <c r="B4936" s="169" t="s">
        <v>31629</v>
      </c>
      <c r="C4936" s="169" t="s">
        <v>10229</v>
      </c>
      <c r="D4936" s="169" t="s">
        <v>1289</v>
      </c>
      <c r="E4936" s="103" t="s">
        <v>25735</v>
      </c>
      <c r="F4936" s="104"/>
      <c r="G4936" s="105">
        <f t="shared" ref="G4936:G4999" si="308">IF(E4936="","",E4936+0)</f>
        <v>28.79</v>
      </c>
      <c r="H4936" s="101" t="str">
        <f t="shared" ref="H4936:H4999" si="309">IF(G4936="","",TRIM(CONCATENATE("Sinapi ",A4936)))</f>
        <v>Sinapi 20211</v>
      </c>
      <c r="I4936" s="101" t="str">
        <f t="shared" ref="I4936:I4999" si="310">TRIM(C4936)</f>
        <v>M</v>
      </c>
      <c r="J4936" s="140" t="str">
        <f t="shared" si="307"/>
        <v>VIGA APARELHADA *6 X 16* CM, EM MACARANDUBA/MASSARANDUBA, ANGELIM OU EQUIVALENTE DA REGIAO</v>
      </c>
    </row>
    <row r="4937" spans="1:10" x14ac:dyDescent="0.25">
      <c r="A4937" s="169">
        <v>40270</v>
      </c>
      <c r="B4937" s="169" t="s">
        <v>28465</v>
      </c>
      <c r="C4937" s="169" t="s">
        <v>10229</v>
      </c>
      <c r="D4937" s="169" t="s">
        <v>1290</v>
      </c>
      <c r="E4937" s="103" t="s">
        <v>22960</v>
      </c>
      <c r="F4937" s="104"/>
      <c r="G4937" s="105">
        <f t="shared" si="308"/>
        <v>126.05</v>
      </c>
      <c r="H4937" s="101" t="str">
        <f t="shared" si="309"/>
        <v>Sinapi 40270</v>
      </c>
      <c r="I4937" s="101" t="str">
        <f t="shared" si="310"/>
        <v>M</v>
      </c>
      <c r="J4937" s="140" t="str">
        <f t="shared" ref="J4937:J5000" si="311">TRIM(B4937)</f>
        <v>VIGA DE ESCORAMAENTO H20, DE MADEIRA, PESO DE 5,00 A 5,20 KG/M, COM EXTREMIDADES PLASTICAS</v>
      </c>
    </row>
    <row r="4938" spans="1:10" x14ac:dyDescent="0.25">
      <c r="A4938" s="169">
        <v>4425</v>
      </c>
      <c r="B4938" s="169" t="s">
        <v>31630</v>
      </c>
      <c r="C4938" s="169" t="s">
        <v>10229</v>
      </c>
      <c r="D4938" s="169" t="s">
        <v>1289</v>
      </c>
      <c r="E4938" s="103" t="s">
        <v>18717</v>
      </c>
      <c r="F4938" s="104"/>
      <c r="G4938" s="105">
        <f t="shared" si="308"/>
        <v>23.79</v>
      </c>
      <c r="H4938" s="101" t="str">
        <f t="shared" si="309"/>
        <v>Sinapi 4425</v>
      </c>
      <c r="I4938" s="101" t="str">
        <f t="shared" si="310"/>
        <v>M</v>
      </c>
      <c r="J4938" s="140" t="str">
        <f t="shared" si="311"/>
        <v>VIGA NAO APARELHADA *6 X 12* CM, EM MACARANDUBA/MASSARANDUBA, ANGELIM OU EQUIVALENTE DA REGIAO - BRUTA</v>
      </c>
    </row>
    <row r="4939" spans="1:10" x14ac:dyDescent="0.25">
      <c r="A4939" s="169">
        <v>4472</v>
      </c>
      <c r="B4939" s="169" t="s">
        <v>31631</v>
      </c>
      <c r="C4939" s="169" t="s">
        <v>10229</v>
      </c>
      <c r="D4939" s="169" t="s">
        <v>1289</v>
      </c>
      <c r="E4939" s="103" t="s">
        <v>31632</v>
      </c>
      <c r="F4939" s="104"/>
      <c r="G4939" s="105">
        <f t="shared" si="308"/>
        <v>29.72</v>
      </c>
      <c r="H4939" s="101" t="str">
        <f t="shared" si="309"/>
        <v>Sinapi 4472</v>
      </c>
      <c r="I4939" s="101" t="str">
        <f t="shared" si="310"/>
        <v>M</v>
      </c>
      <c r="J4939" s="140" t="str">
        <f t="shared" si="311"/>
        <v>VIGA NAO APARELHADA *6 X 16* CM, EM MACARANDUBA/MASSARANDUBA, ANGELIM OU EQUIVALENTE DA REGIAO - BRUTA</v>
      </c>
    </row>
    <row r="4940" spans="1:10" x14ac:dyDescent="0.25">
      <c r="A4940" s="169">
        <v>35272</v>
      </c>
      <c r="B4940" s="169" t="s">
        <v>31633</v>
      </c>
      <c r="C4940" s="169" t="s">
        <v>10229</v>
      </c>
      <c r="D4940" s="169" t="s">
        <v>1289</v>
      </c>
      <c r="E4940" s="103" t="s">
        <v>28529</v>
      </c>
      <c r="F4940" s="104"/>
      <c r="G4940" s="105">
        <f t="shared" si="308"/>
        <v>42.97</v>
      </c>
      <c r="H4940" s="101" t="str">
        <f t="shared" si="309"/>
        <v>Sinapi 35272</v>
      </c>
      <c r="I4940" s="101" t="str">
        <f t="shared" si="310"/>
        <v>M</v>
      </c>
      <c r="J4940" s="140" t="str">
        <f t="shared" si="311"/>
        <v>VIGA NAO APARELHADA *6 X 20* CM, EM MACARANDUBA/MASSARANDUBA, ANGELIM OU EQUIVALENTE DA REGIAO - BRUTA</v>
      </c>
    </row>
    <row r="4941" spans="1:10" x14ac:dyDescent="0.25">
      <c r="A4941" s="169">
        <v>4481</v>
      </c>
      <c r="B4941" s="169" t="s">
        <v>31634</v>
      </c>
      <c r="C4941" s="169" t="s">
        <v>10229</v>
      </c>
      <c r="D4941" s="169" t="s">
        <v>1289</v>
      </c>
      <c r="E4941" s="103" t="s">
        <v>29968</v>
      </c>
      <c r="F4941" s="104"/>
      <c r="G4941" s="105">
        <f t="shared" si="308"/>
        <v>45.99</v>
      </c>
      <c r="H4941" s="101" t="str">
        <f t="shared" si="309"/>
        <v>Sinapi 4481</v>
      </c>
      <c r="I4941" s="101" t="str">
        <f t="shared" si="310"/>
        <v>M</v>
      </c>
      <c r="J4941" s="140" t="str">
        <f t="shared" si="311"/>
        <v>VIGA NAO APARELHADA *8 X 16* CM EM MACARANDUBA/MASSARANDUBA, ANGELIM OU EQUIVALENTE DA REGIAO - BRUTA</v>
      </c>
    </row>
    <row r="4942" spans="1:10" x14ac:dyDescent="0.25">
      <c r="A4942" s="169">
        <v>34345</v>
      </c>
      <c r="B4942" s="169" t="s">
        <v>28466</v>
      </c>
      <c r="C4942" s="169" t="s">
        <v>10228</v>
      </c>
      <c r="D4942" s="169" t="s">
        <v>1289</v>
      </c>
      <c r="E4942" s="103" t="s">
        <v>10273</v>
      </c>
      <c r="F4942" s="104"/>
      <c r="G4942" s="105">
        <f t="shared" si="308"/>
        <v>13.38</v>
      </c>
      <c r="H4942" s="101" t="str">
        <f t="shared" si="309"/>
        <v>Sinapi 34345</v>
      </c>
      <c r="I4942" s="101" t="str">
        <f t="shared" si="310"/>
        <v>H</v>
      </c>
      <c r="J4942" s="140" t="str">
        <f t="shared" si="311"/>
        <v>VIGIA DIURNO</v>
      </c>
    </row>
    <row r="4943" spans="1:10" x14ac:dyDescent="0.25">
      <c r="A4943" s="169">
        <v>41096</v>
      </c>
      <c r="B4943" s="169" t="s">
        <v>28467</v>
      </c>
      <c r="C4943" s="169" t="s">
        <v>10235</v>
      </c>
      <c r="D4943" s="169" t="s">
        <v>1289</v>
      </c>
      <c r="E4943" s="103" t="s">
        <v>29687</v>
      </c>
      <c r="F4943" s="104"/>
      <c r="G4943" s="105">
        <f t="shared" si="308"/>
        <v>2329.0300000000002</v>
      </c>
      <c r="H4943" s="101" t="str">
        <f t="shared" si="309"/>
        <v>Sinapi 41096</v>
      </c>
      <c r="I4943" s="101" t="str">
        <f t="shared" si="310"/>
        <v>MES</v>
      </c>
      <c r="J4943" s="140" t="str">
        <f t="shared" si="311"/>
        <v>VIGIA DIURNO (MENSALISTA)</v>
      </c>
    </row>
    <row r="4944" spans="1:10" x14ac:dyDescent="0.25">
      <c r="A4944" s="169">
        <v>41776</v>
      </c>
      <c r="B4944" s="169" t="s">
        <v>28468</v>
      </c>
      <c r="C4944" s="169" t="s">
        <v>10228</v>
      </c>
      <c r="D4944" s="169" t="s">
        <v>1289</v>
      </c>
      <c r="E4944" s="103" t="s">
        <v>16491</v>
      </c>
      <c r="F4944" s="104"/>
      <c r="G4944" s="105">
        <f t="shared" si="308"/>
        <v>18.350000000000001</v>
      </c>
      <c r="H4944" s="101" t="str">
        <f t="shared" si="309"/>
        <v>Sinapi 41776</v>
      </c>
      <c r="I4944" s="101" t="str">
        <f t="shared" si="310"/>
        <v>H</v>
      </c>
      <c r="J4944" s="140" t="str">
        <f t="shared" si="311"/>
        <v>VIGIA NOTURNO, HORA EFETIVAMENTE TRABALHADA DE 22 H AS 5 H (COM ADICIONAL NOTURNO)</v>
      </c>
    </row>
    <row r="4945" spans="1:10" x14ac:dyDescent="0.25">
      <c r="A4945" s="169" t="s">
        <v>418</v>
      </c>
      <c r="F4945" s="104"/>
      <c r="G4945" s="105" t="str">
        <f t="shared" si="308"/>
        <v/>
      </c>
      <c r="H4945" s="101" t="str">
        <f t="shared" si="309"/>
        <v/>
      </c>
      <c r="I4945" s="101" t="str">
        <f t="shared" si="310"/>
        <v/>
      </c>
      <c r="J4945" s="140" t="str">
        <f t="shared" si="311"/>
        <v/>
      </c>
    </row>
    <row r="4946" spans="1:10" x14ac:dyDescent="0.25">
      <c r="A4946" s="169" t="s">
        <v>31635</v>
      </c>
      <c r="F4946" s="104"/>
      <c r="G4946" s="105" t="str">
        <f t="shared" si="308"/>
        <v/>
      </c>
      <c r="H4946" s="101" t="str">
        <f t="shared" si="309"/>
        <v/>
      </c>
      <c r="I4946" s="101" t="str">
        <f t="shared" si="310"/>
        <v/>
      </c>
      <c r="J4946" s="140" t="str">
        <f t="shared" si="311"/>
        <v/>
      </c>
    </row>
    <row r="4947" spans="1:10" x14ac:dyDescent="0.25">
      <c r="F4947" s="104"/>
      <c r="G4947" s="105" t="str">
        <f t="shared" si="308"/>
        <v/>
      </c>
      <c r="H4947" s="101" t="str">
        <f t="shared" si="309"/>
        <v/>
      </c>
      <c r="I4947" s="101" t="str">
        <f t="shared" si="310"/>
        <v/>
      </c>
      <c r="J4947" s="140" t="str">
        <f t="shared" si="311"/>
        <v/>
      </c>
    </row>
    <row r="4948" spans="1:10" x14ac:dyDescent="0.25">
      <c r="F4948" s="104"/>
      <c r="G4948" s="105" t="str">
        <f t="shared" si="308"/>
        <v/>
      </c>
      <c r="H4948" s="101" t="str">
        <f t="shared" si="309"/>
        <v/>
      </c>
      <c r="I4948" s="101" t="str">
        <f t="shared" si="310"/>
        <v/>
      </c>
      <c r="J4948" s="140" t="str">
        <f t="shared" si="311"/>
        <v/>
      </c>
    </row>
    <row r="4949" spans="1:10" x14ac:dyDescent="0.25">
      <c r="F4949" s="104"/>
      <c r="G4949" s="105" t="str">
        <f t="shared" si="308"/>
        <v/>
      </c>
      <c r="H4949" s="101" t="str">
        <f t="shared" si="309"/>
        <v/>
      </c>
      <c r="I4949" s="101" t="str">
        <f t="shared" si="310"/>
        <v/>
      </c>
      <c r="J4949" s="140" t="str">
        <f t="shared" si="311"/>
        <v/>
      </c>
    </row>
    <row r="4950" spans="1:10" x14ac:dyDescent="0.25">
      <c r="F4950" s="104"/>
      <c r="G4950" s="105" t="str">
        <f t="shared" si="308"/>
        <v/>
      </c>
      <c r="H4950" s="101" t="str">
        <f t="shared" si="309"/>
        <v/>
      </c>
      <c r="I4950" s="101" t="str">
        <f t="shared" si="310"/>
        <v/>
      </c>
      <c r="J4950" s="140" t="str">
        <f t="shared" si="311"/>
        <v/>
      </c>
    </row>
    <row r="4951" spans="1:10" x14ac:dyDescent="0.25">
      <c r="F4951" s="104"/>
      <c r="G4951" s="105" t="str">
        <f t="shared" si="308"/>
        <v/>
      </c>
      <c r="H4951" s="101" t="str">
        <f t="shared" si="309"/>
        <v/>
      </c>
      <c r="I4951" s="101" t="str">
        <f t="shared" si="310"/>
        <v/>
      </c>
      <c r="J4951" s="140" t="str">
        <f t="shared" si="311"/>
        <v/>
      </c>
    </row>
    <row r="4952" spans="1:10" x14ac:dyDescent="0.25">
      <c r="F4952" s="104"/>
      <c r="G4952" s="105" t="str">
        <f t="shared" si="308"/>
        <v/>
      </c>
      <c r="H4952" s="101" t="str">
        <f t="shared" si="309"/>
        <v/>
      </c>
      <c r="I4952" s="101" t="str">
        <f t="shared" si="310"/>
        <v/>
      </c>
      <c r="J4952" s="140" t="str">
        <f t="shared" si="311"/>
        <v/>
      </c>
    </row>
    <row r="4953" spans="1:10" x14ac:dyDescent="0.25">
      <c r="F4953" s="104"/>
      <c r="G4953" s="105" t="str">
        <f t="shared" si="308"/>
        <v/>
      </c>
      <c r="H4953" s="101" t="str">
        <f t="shared" si="309"/>
        <v/>
      </c>
      <c r="I4953" s="101" t="str">
        <f t="shared" si="310"/>
        <v/>
      </c>
      <c r="J4953" s="140" t="str">
        <f t="shared" si="311"/>
        <v/>
      </c>
    </row>
    <row r="4954" spans="1:10" x14ac:dyDescent="0.25">
      <c r="F4954" s="104"/>
      <c r="G4954" s="105" t="str">
        <f t="shared" si="308"/>
        <v/>
      </c>
      <c r="H4954" s="101" t="str">
        <f t="shared" si="309"/>
        <v/>
      </c>
      <c r="I4954" s="101" t="str">
        <f t="shared" si="310"/>
        <v/>
      </c>
      <c r="J4954" s="140" t="str">
        <f t="shared" si="311"/>
        <v/>
      </c>
    </row>
    <row r="4955" spans="1:10" x14ac:dyDescent="0.25">
      <c r="F4955" s="104"/>
      <c r="G4955" s="105" t="str">
        <f t="shared" si="308"/>
        <v/>
      </c>
      <c r="H4955" s="101" t="str">
        <f t="shared" si="309"/>
        <v/>
      </c>
      <c r="I4955" s="101" t="str">
        <f t="shared" si="310"/>
        <v/>
      </c>
      <c r="J4955" s="140" t="str">
        <f t="shared" si="311"/>
        <v/>
      </c>
    </row>
    <row r="4956" spans="1:10" x14ac:dyDescent="0.25">
      <c r="F4956" s="104"/>
      <c r="G4956" s="105" t="str">
        <f t="shared" si="308"/>
        <v/>
      </c>
      <c r="H4956" s="101" t="str">
        <f t="shared" si="309"/>
        <v/>
      </c>
      <c r="I4956" s="101" t="str">
        <f t="shared" si="310"/>
        <v/>
      </c>
      <c r="J4956" s="140" t="str">
        <f t="shared" si="311"/>
        <v/>
      </c>
    </row>
    <row r="4957" spans="1:10" x14ac:dyDescent="0.25">
      <c r="F4957" s="104"/>
      <c r="G4957" s="105" t="str">
        <f t="shared" si="308"/>
        <v/>
      </c>
      <c r="H4957" s="101" t="str">
        <f t="shared" si="309"/>
        <v/>
      </c>
      <c r="I4957" s="101" t="str">
        <f t="shared" si="310"/>
        <v/>
      </c>
      <c r="J4957" s="140" t="str">
        <f t="shared" si="311"/>
        <v/>
      </c>
    </row>
    <row r="4958" spans="1:10" x14ac:dyDescent="0.25">
      <c r="F4958" s="104"/>
      <c r="G4958" s="105" t="str">
        <f t="shared" si="308"/>
        <v/>
      </c>
      <c r="H4958" s="101" t="str">
        <f t="shared" si="309"/>
        <v/>
      </c>
      <c r="I4958" s="101" t="str">
        <f t="shared" si="310"/>
        <v/>
      </c>
      <c r="J4958" s="140" t="str">
        <f t="shared" si="311"/>
        <v/>
      </c>
    </row>
    <row r="4959" spans="1:10" x14ac:dyDescent="0.25">
      <c r="F4959" s="104"/>
      <c r="G4959" s="105" t="str">
        <f t="shared" si="308"/>
        <v/>
      </c>
      <c r="H4959" s="101" t="str">
        <f t="shared" si="309"/>
        <v/>
      </c>
      <c r="I4959" s="101" t="str">
        <f t="shared" si="310"/>
        <v/>
      </c>
      <c r="J4959" s="140" t="str">
        <f t="shared" si="311"/>
        <v/>
      </c>
    </row>
    <row r="4960" spans="1:10" x14ac:dyDescent="0.25">
      <c r="F4960" s="104"/>
      <c r="G4960" s="105" t="str">
        <f t="shared" si="308"/>
        <v/>
      </c>
      <c r="H4960" s="101" t="str">
        <f t="shared" si="309"/>
        <v/>
      </c>
      <c r="I4960" s="101" t="str">
        <f t="shared" si="310"/>
        <v/>
      </c>
      <c r="J4960" s="140" t="str">
        <f t="shared" si="311"/>
        <v/>
      </c>
    </row>
    <row r="4961" spans="6:10" x14ac:dyDescent="0.25">
      <c r="F4961" s="104"/>
      <c r="G4961" s="105" t="str">
        <f t="shared" si="308"/>
        <v/>
      </c>
      <c r="H4961" s="101" t="str">
        <f t="shared" si="309"/>
        <v/>
      </c>
      <c r="I4961" s="101" t="str">
        <f t="shared" si="310"/>
        <v/>
      </c>
      <c r="J4961" s="140" t="str">
        <f t="shared" si="311"/>
        <v/>
      </c>
    </row>
    <row r="4962" spans="6:10" x14ac:dyDescent="0.25">
      <c r="F4962" s="104"/>
      <c r="G4962" s="105" t="str">
        <f t="shared" si="308"/>
        <v/>
      </c>
      <c r="H4962" s="101" t="str">
        <f t="shared" si="309"/>
        <v/>
      </c>
      <c r="I4962" s="101" t="str">
        <f t="shared" si="310"/>
        <v/>
      </c>
      <c r="J4962" s="140" t="str">
        <f t="shared" si="311"/>
        <v/>
      </c>
    </row>
    <row r="4963" spans="6:10" x14ac:dyDescent="0.25">
      <c r="F4963" s="104"/>
      <c r="G4963" s="105" t="str">
        <f t="shared" si="308"/>
        <v/>
      </c>
      <c r="H4963" s="101" t="str">
        <f t="shared" si="309"/>
        <v/>
      </c>
      <c r="I4963" s="101" t="str">
        <f t="shared" si="310"/>
        <v/>
      </c>
      <c r="J4963" s="140" t="str">
        <f t="shared" si="311"/>
        <v/>
      </c>
    </row>
    <row r="4964" spans="6:10" x14ac:dyDescent="0.25">
      <c r="F4964" s="104"/>
      <c r="G4964" s="105" t="str">
        <f t="shared" si="308"/>
        <v/>
      </c>
      <c r="H4964" s="101" t="str">
        <f t="shared" si="309"/>
        <v/>
      </c>
      <c r="I4964" s="101" t="str">
        <f t="shared" si="310"/>
        <v/>
      </c>
      <c r="J4964" s="140" t="str">
        <f t="shared" si="311"/>
        <v/>
      </c>
    </row>
    <row r="4965" spans="6:10" x14ac:dyDescent="0.25">
      <c r="F4965" s="104"/>
      <c r="G4965" s="105" t="str">
        <f t="shared" si="308"/>
        <v/>
      </c>
      <c r="H4965" s="101" t="str">
        <f t="shared" si="309"/>
        <v/>
      </c>
      <c r="I4965" s="101" t="str">
        <f t="shared" si="310"/>
        <v/>
      </c>
      <c r="J4965" s="140" t="str">
        <f t="shared" si="311"/>
        <v/>
      </c>
    </row>
    <row r="4966" spans="6:10" x14ac:dyDescent="0.25">
      <c r="F4966" s="104"/>
      <c r="G4966" s="105" t="str">
        <f t="shared" si="308"/>
        <v/>
      </c>
      <c r="H4966" s="101" t="str">
        <f t="shared" si="309"/>
        <v/>
      </c>
      <c r="I4966" s="101" t="str">
        <f t="shared" si="310"/>
        <v/>
      </c>
      <c r="J4966" s="140" t="str">
        <f t="shared" si="311"/>
        <v/>
      </c>
    </row>
    <row r="4967" spans="6:10" x14ac:dyDescent="0.25">
      <c r="F4967" s="104"/>
      <c r="G4967" s="105" t="str">
        <f t="shared" si="308"/>
        <v/>
      </c>
      <c r="H4967" s="101" t="str">
        <f t="shared" si="309"/>
        <v/>
      </c>
      <c r="I4967" s="101" t="str">
        <f t="shared" si="310"/>
        <v/>
      </c>
      <c r="J4967" s="140" t="str">
        <f t="shared" si="311"/>
        <v/>
      </c>
    </row>
    <row r="4968" spans="6:10" x14ac:dyDescent="0.25">
      <c r="F4968" s="104"/>
      <c r="G4968" s="105" t="str">
        <f t="shared" si="308"/>
        <v/>
      </c>
      <c r="H4968" s="101" t="str">
        <f t="shared" si="309"/>
        <v/>
      </c>
      <c r="I4968" s="101" t="str">
        <f t="shared" si="310"/>
        <v/>
      </c>
      <c r="J4968" s="140" t="str">
        <f t="shared" si="311"/>
        <v/>
      </c>
    </row>
    <row r="4969" spans="6:10" x14ac:dyDescent="0.25">
      <c r="F4969" s="104"/>
      <c r="G4969" s="105" t="str">
        <f t="shared" si="308"/>
        <v/>
      </c>
      <c r="H4969" s="101" t="str">
        <f t="shared" si="309"/>
        <v/>
      </c>
      <c r="I4969" s="101" t="str">
        <f t="shared" si="310"/>
        <v/>
      </c>
      <c r="J4969" s="140" t="str">
        <f t="shared" si="311"/>
        <v/>
      </c>
    </row>
    <row r="4970" spans="6:10" x14ac:dyDescent="0.25">
      <c r="F4970" s="104"/>
      <c r="G4970" s="105" t="str">
        <f t="shared" si="308"/>
        <v/>
      </c>
      <c r="H4970" s="101" t="str">
        <f t="shared" si="309"/>
        <v/>
      </c>
      <c r="I4970" s="101" t="str">
        <f t="shared" si="310"/>
        <v/>
      </c>
      <c r="J4970" s="140" t="str">
        <f t="shared" si="311"/>
        <v/>
      </c>
    </row>
    <row r="4971" spans="6:10" x14ac:dyDescent="0.25">
      <c r="F4971" s="104"/>
      <c r="G4971" s="105" t="str">
        <f t="shared" si="308"/>
        <v/>
      </c>
      <c r="H4971" s="101" t="str">
        <f t="shared" si="309"/>
        <v/>
      </c>
      <c r="I4971" s="101" t="str">
        <f t="shared" si="310"/>
        <v/>
      </c>
      <c r="J4971" s="140" t="str">
        <f t="shared" si="311"/>
        <v/>
      </c>
    </row>
    <row r="4972" spans="6:10" x14ac:dyDescent="0.25">
      <c r="F4972" s="104"/>
      <c r="G4972" s="105" t="str">
        <f t="shared" si="308"/>
        <v/>
      </c>
      <c r="H4972" s="101" t="str">
        <f t="shared" si="309"/>
        <v/>
      </c>
      <c r="I4972" s="101" t="str">
        <f t="shared" si="310"/>
        <v/>
      </c>
      <c r="J4972" s="140" t="str">
        <f t="shared" si="311"/>
        <v/>
      </c>
    </row>
    <row r="4973" spans="6:10" x14ac:dyDescent="0.25">
      <c r="F4973" s="104"/>
      <c r="G4973" s="105" t="str">
        <f t="shared" si="308"/>
        <v/>
      </c>
      <c r="H4973" s="101" t="str">
        <f t="shared" si="309"/>
        <v/>
      </c>
      <c r="I4973" s="101" t="str">
        <f t="shared" si="310"/>
        <v/>
      </c>
      <c r="J4973" s="140" t="str">
        <f t="shared" si="311"/>
        <v/>
      </c>
    </row>
    <row r="4974" spans="6:10" x14ac:dyDescent="0.25">
      <c r="F4974" s="104"/>
      <c r="G4974" s="105" t="str">
        <f t="shared" si="308"/>
        <v/>
      </c>
      <c r="H4974" s="101" t="str">
        <f t="shared" si="309"/>
        <v/>
      </c>
      <c r="I4974" s="101" t="str">
        <f t="shared" si="310"/>
        <v/>
      </c>
      <c r="J4974" s="140" t="str">
        <f t="shared" si="311"/>
        <v/>
      </c>
    </row>
    <row r="4975" spans="6:10" x14ac:dyDescent="0.25">
      <c r="F4975" s="104"/>
      <c r="G4975" s="105" t="str">
        <f t="shared" si="308"/>
        <v/>
      </c>
      <c r="H4975" s="101" t="str">
        <f t="shared" si="309"/>
        <v/>
      </c>
      <c r="I4975" s="101" t="str">
        <f t="shared" si="310"/>
        <v/>
      </c>
      <c r="J4975" s="140" t="str">
        <f t="shared" si="311"/>
        <v/>
      </c>
    </row>
    <row r="4976" spans="6:10" x14ac:dyDescent="0.25">
      <c r="F4976" s="104"/>
      <c r="G4976" s="105" t="str">
        <f t="shared" si="308"/>
        <v/>
      </c>
      <c r="H4976" s="101" t="str">
        <f t="shared" si="309"/>
        <v/>
      </c>
      <c r="I4976" s="101" t="str">
        <f t="shared" si="310"/>
        <v/>
      </c>
      <c r="J4976" s="140" t="str">
        <f t="shared" si="311"/>
        <v/>
      </c>
    </row>
    <row r="4977" spans="6:10" x14ac:dyDescent="0.25">
      <c r="F4977" s="104"/>
      <c r="G4977" s="105" t="str">
        <f t="shared" si="308"/>
        <v/>
      </c>
      <c r="H4977" s="101" t="str">
        <f t="shared" si="309"/>
        <v/>
      </c>
      <c r="I4977" s="101" t="str">
        <f t="shared" si="310"/>
        <v/>
      </c>
      <c r="J4977" s="140" t="str">
        <f t="shared" si="311"/>
        <v/>
      </c>
    </row>
    <row r="4978" spans="6:10" x14ac:dyDescent="0.25">
      <c r="F4978" s="104"/>
      <c r="G4978" s="105" t="str">
        <f t="shared" si="308"/>
        <v/>
      </c>
      <c r="H4978" s="101" t="str">
        <f t="shared" si="309"/>
        <v/>
      </c>
      <c r="I4978" s="101" t="str">
        <f t="shared" si="310"/>
        <v/>
      </c>
      <c r="J4978" s="140" t="str">
        <f t="shared" si="311"/>
        <v/>
      </c>
    </row>
    <row r="4979" spans="6:10" x14ac:dyDescent="0.25">
      <c r="F4979" s="104"/>
      <c r="G4979" s="105" t="str">
        <f t="shared" si="308"/>
        <v/>
      </c>
      <c r="H4979" s="101" t="str">
        <f t="shared" si="309"/>
        <v/>
      </c>
      <c r="I4979" s="101" t="str">
        <f t="shared" si="310"/>
        <v/>
      </c>
      <c r="J4979" s="140" t="str">
        <f t="shared" si="311"/>
        <v/>
      </c>
    </row>
    <row r="4980" spans="6:10" x14ac:dyDescent="0.25">
      <c r="F4980" s="104"/>
      <c r="G4980" s="105" t="str">
        <f t="shared" si="308"/>
        <v/>
      </c>
      <c r="H4980" s="101" t="str">
        <f t="shared" si="309"/>
        <v/>
      </c>
      <c r="I4980" s="101" t="str">
        <f t="shared" si="310"/>
        <v/>
      </c>
      <c r="J4980" s="140" t="str">
        <f t="shared" si="311"/>
        <v/>
      </c>
    </row>
    <row r="4981" spans="6:10" x14ac:dyDescent="0.25">
      <c r="F4981" s="104"/>
      <c r="G4981" s="105" t="str">
        <f t="shared" si="308"/>
        <v/>
      </c>
      <c r="H4981" s="101" t="str">
        <f t="shared" si="309"/>
        <v/>
      </c>
      <c r="I4981" s="101" t="str">
        <f t="shared" si="310"/>
        <v/>
      </c>
      <c r="J4981" s="140" t="str">
        <f t="shared" si="311"/>
        <v/>
      </c>
    </row>
    <row r="4982" spans="6:10" x14ac:dyDescent="0.25">
      <c r="F4982" s="104"/>
      <c r="G4982" s="105" t="str">
        <f t="shared" si="308"/>
        <v/>
      </c>
      <c r="H4982" s="101" t="str">
        <f t="shared" si="309"/>
        <v/>
      </c>
      <c r="I4982" s="101" t="str">
        <f t="shared" si="310"/>
        <v/>
      </c>
      <c r="J4982" s="140" t="str">
        <f t="shared" si="311"/>
        <v/>
      </c>
    </row>
    <row r="4983" spans="6:10" x14ac:dyDescent="0.25">
      <c r="F4983" s="104"/>
      <c r="G4983" s="105" t="str">
        <f t="shared" si="308"/>
        <v/>
      </c>
      <c r="H4983" s="101" t="str">
        <f t="shared" si="309"/>
        <v/>
      </c>
      <c r="I4983" s="101" t="str">
        <f t="shared" si="310"/>
        <v/>
      </c>
      <c r="J4983" s="140" t="str">
        <f t="shared" si="311"/>
        <v/>
      </c>
    </row>
    <row r="4984" spans="6:10" x14ac:dyDescent="0.25">
      <c r="F4984" s="104"/>
      <c r="G4984" s="105" t="str">
        <f t="shared" si="308"/>
        <v/>
      </c>
      <c r="H4984" s="101" t="str">
        <f t="shared" si="309"/>
        <v/>
      </c>
      <c r="I4984" s="101" t="str">
        <f t="shared" si="310"/>
        <v/>
      </c>
      <c r="J4984" s="140" t="str">
        <f t="shared" si="311"/>
        <v/>
      </c>
    </row>
    <row r="4985" spans="6:10" x14ac:dyDescent="0.25">
      <c r="F4985" s="104"/>
      <c r="G4985" s="105" t="str">
        <f t="shared" si="308"/>
        <v/>
      </c>
      <c r="H4985" s="101" t="str">
        <f t="shared" si="309"/>
        <v/>
      </c>
      <c r="I4985" s="101" t="str">
        <f t="shared" si="310"/>
        <v/>
      </c>
      <c r="J4985" s="140" t="str">
        <f t="shared" si="311"/>
        <v/>
      </c>
    </row>
    <row r="4986" spans="6:10" x14ac:dyDescent="0.25">
      <c r="F4986" s="104"/>
      <c r="G4986" s="105" t="str">
        <f t="shared" si="308"/>
        <v/>
      </c>
      <c r="H4986" s="101" t="str">
        <f t="shared" si="309"/>
        <v/>
      </c>
      <c r="I4986" s="101" t="str">
        <f t="shared" si="310"/>
        <v/>
      </c>
      <c r="J4986" s="140" t="str">
        <f t="shared" si="311"/>
        <v/>
      </c>
    </row>
    <row r="4987" spans="6:10" x14ac:dyDescent="0.25">
      <c r="F4987" s="104"/>
      <c r="G4987" s="105" t="str">
        <f t="shared" si="308"/>
        <v/>
      </c>
      <c r="H4987" s="101" t="str">
        <f t="shared" si="309"/>
        <v/>
      </c>
      <c r="I4987" s="101" t="str">
        <f t="shared" si="310"/>
        <v/>
      </c>
      <c r="J4987" s="140" t="str">
        <f t="shared" si="311"/>
        <v/>
      </c>
    </row>
    <row r="4988" spans="6:10" x14ac:dyDescent="0.25">
      <c r="F4988" s="104"/>
      <c r="G4988" s="105" t="str">
        <f t="shared" si="308"/>
        <v/>
      </c>
      <c r="H4988" s="101" t="str">
        <f t="shared" si="309"/>
        <v/>
      </c>
      <c r="I4988" s="101" t="str">
        <f t="shared" si="310"/>
        <v/>
      </c>
      <c r="J4988" s="140" t="str">
        <f t="shared" si="311"/>
        <v/>
      </c>
    </row>
    <row r="4989" spans="6:10" x14ac:dyDescent="0.25">
      <c r="F4989" s="104"/>
      <c r="G4989" s="105" t="str">
        <f t="shared" si="308"/>
        <v/>
      </c>
      <c r="H4989" s="101" t="str">
        <f t="shared" si="309"/>
        <v/>
      </c>
      <c r="I4989" s="101" t="str">
        <f t="shared" si="310"/>
        <v/>
      </c>
      <c r="J4989" s="140" t="str">
        <f t="shared" si="311"/>
        <v/>
      </c>
    </row>
    <row r="4990" spans="6:10" x14ac:dyDescent="0.25">
      <c r="F4990" s="104"/>
      <c r="G4990" s="105" t="str">
        <f t="shared" si="308"/>
        <v/>
      </c>
      <c r="H4990" s="101" t="str">
        <f t="shared" si="309"/>
        <v/>
      </c>
      <c r="I4990" s="101" t="str">
        <f t="shared" si="310"/>
        <v/>
      </c>
      <c r="J4990" s="140" t="str">
        <f t="shared" si="311"/>
        <v/>
      </c>
    </row>
    <row r="4991" spans="6:10" x14ac:dyDescent="0.25">
      <c r="F4991" s="104"/>
      <c r="G4991" s="105" t="str">
        <f t="shared" si="308"/>
        <v/>
      </c>
      <c r="H4991" s="101" t="str">
        <f t="shared" si="309"/>
        <v/>
      </c>
      <c r="I4991" s="101" t="str">
        <f t="shared" si="310"/>
        <v/>
      </c>
      <c r="J4991" s="140" t="str">
        <f t="shared" si="311"/>
        <v/>
      </c>
    </row>
    <row r="4992" spans="6:10" x14ac:dyDescent="0.25">
      <c r="F4992" s="104"/>
      <c r="G4992" s="105" t="str">
        <f t="shared" si="308"/>
        <v/>
      </c>
      <c r="H4992" s="101" t="str">
        <f t="shared" si="309"/>
        <v/>
      </c>
      <c r="I4992" s="101" t="str">
        <f t="shared" si="310"/>
        <v/>
      </c>
      <c r="J4992" s="140" t="str">
        <f t="shared" si="311"/>
        <v/>
      </c>
    </row>
    <row r="4993" spans="6:10" x14ac:dyDescent="0.25">
      <c r="F4993" s="104"/>
      <c r="G4993" s="105" t="str">
        <f t="shared" si="308"/>
        <v/>
      </c>
      <c r="H4993" s="101" t="str">
        <f t="shared" si="309"/>
        <v/>
      </c>
      <c r="I4993" s="101" t="str">
        <f t="shared" si="310"/>
        <v/>
      </c>
      <c r="J4993" s="140" t="str">
        <f t="shared" si="311"/>
        <v/>
      </c>
    </row>
    <row r="4994" spans="6:10" x14ac:dyDescent="0.25">
      <c r="F4994" s="104"/>
      <c r="G4994" s="105" t="str">
        <f t="shared" si="308"/>
        <v/>
      </c>
      <c r="H4994" s="101" t="str">
        <f t="shared" si="309"/>
        <v/>
      </c>
      <c r="I4994" s="101" t="str">
        <f t="shared" si="310"/>
        <v/>
      </c>
      <c r="J4994" s="140" t="str">
        <f t="shared" si="311"/>
        <v/>
      </c>
    </row>
    <row r="4995" spans="6:10" x14ac:dyDescent="0.25">
      <c r="F4995" s="104"/>
      <c r="G4995" s="105" t="str">
        <f t="shared" si="308"/>
        <v/>
      </c>
      <c r="H4995" s="101" t="str">
        <f t="shared" si="309"/>
        <v/>
      </c>
      <c r="I4995" s="101" t="str">
        <f t="shared" si="310"/>
        <v/>
      </c>
      <c r="J4995" s="140" t="str">
        <f t="shared" si="311"/>
        <v/>
      </c>
    </row>
    <row r="4996" spans="6:10" x14ac:dyDescent="0.25">
      <c r="F4996" s="104"/>
      <c r="G4996" s="105" t="str">
        <f t="shared" si="308"/>
        <v/>
      </c>
      <c r="H4996" s="101" t="str">
        <f t="shared" si="309"/>
        <v/>
      </c>
      <c r="I4996" s="101" t="str">
        <f t="shared" si="310"/>
        <v/>
      </c>
      <c r="J4996" s="140" t="str">
        <f t="shared" si="311"/>
        <v/>
      </c>
    </row>
    <row r="4997" spans="6:10" x14ac:dyDescent="0.25">
      <c r="F4997" s="104"/>
      <c r="G4997" s="105" t="str">
        <f t="shared" si="308"/>
        <v/>
      </c>
      <c r="H4997" s="101" t="str">
        <f t="shared" si="309"/>
        <v/>
      </c>
      <c r="I4997" s="101" t="str">
        <f t="shared" si="310"/>
        <v/>
      </c>
      <c r="J4997" s="140" t="str">
        <f t="shared" si="311"/>
        <v/>
      </c>
    </row>
    <row r="4998" spans="6:10" x14ac:dyDescent="0.25">
      <c r="F4998" s="104"/>
      <c r="G4998" s="105" t="str">
        <f t="shared" si="308"/>
        <v/>
      </c>
      <c r="H4998" s="101" t="str">
        <f t="shared" si="309"/>
        <v/>
      </c>
      <c r="I4998" s="101" t="str">
        <f t="shared" si="310"/>
        <v/>
      </c>
      <c r="J4998" s="140" t="str">
        <f t="shared" si="311"/>
        <v/>
      </c>
    </row>
    <row r="4999" spans="6:10" x14ac:dyDescent="0.25">
      <c r="F4999" s="104"/>
      <c r="G4999" s="105" t="str">
        <f t="shared" si="308"/>
        <v/>
      </c>
      <c r="H4999" s="101" t="str">
        <f t="shared" si="309"/>
        <v/>
      </c>
      <c r="I4999" s="101" t="str">
        <f t="shared" si="310"/>
        <v/>
      </c>
      <c r="J4999" s="140" t="str">
        <f t="shared" si="311"/>
        <v/>
      </c>
    </row>
    <row r="5000" spans="6:10" x14ac:dyDescent="0.25">
      <c r="F5000" s="104"/>
      <c r="G5000" s="105" t="str">
        <f t="shared" ref="G5000:G5063" si="312">IF(E5000="","",E5000+0)</f>
        <v/>
      </c>
      <c r="H5000" s="101" t="str">
        <f t="shared" ref="H5000:H5063" si="313">IF(G5000="","",TRIM(CONCATENATE("Sinapi ",A5000)))</f>
        <v/>
      </c>
      <c r="I5000" s="101" t="str">
        <f t="shared" ref="I5000:I5063" si="314">TRIM(C5000)</f>
        <v/>
      </c>
      <c r="J5000" s="140" t="str">
        <f t="shared" si="311"/>
        <v/>
      </c>
    </row>
    <row r="5001" spans="6:10" x14ac:dyDescent="0.25">
      <c r="F5001" s="104"/>
      <c r="G5001" s="105" t="str">
        <f t="shared" si="312"/>
        <v/>
      </c>
      <c r="H5001" s="101" t="str">
        <f t="shared" si="313"/>
        <v/>
      </c>
      <c r="I5001" s="101" t="str">
        <f t="shared" si="314"/>
        <v/>
      </c>
      <c r="J5001" s="140" t="str">
        <f t="shared" ref="J5001:J5064" si="315">TRIM(B5001)</f>
        <v/>
      </c>
    </row>
    <row r="5002" spans="6:10" x14ac:dyDescent="0.25">
      <c r="F5002" s="104"/>
      <c r="G5002" s="105" t="str">
        <f t="shared" si="312"/>
        <v/>
      </c>
      <c r="H5002" s="101" t="str">
        <f t="shared" si="313"/>
        <v/>
      </c>
      <c r="I5002" s="101" t="str">
        <f t="shared" si="314"/>
        <v/>
      </c>
      <c r="J5002" s="140" t="str">
        <f t="shared" si="315"/>
        <v/>
      </c>
    </row>
    <row r="5003" spans="6:10" x14ac:dyDescent="0.25">
      <c r="F5003" s="104"/>
      <c r="G5003" s="105" t="str">
        <f t="shared" si="312"/>
        <v/>
      </c>
      <c r="H5003" s="101" t="str">
        <f t="shared" si="313"/>
        <v/>
      </c>
      <c r="I5003" s="101" t="str">
        <f t="shared" si="314"/>
        <v/>
      </c>
      <c r="J5003" s="140" t="str">
        <f t="shared" si="315"/>
        <v/>
      </c>
    </row>
    <row r="5004" spans="6:10" x14ac:dyDescent="0.25">
      <c r="F5004" s="104"/>
      <c r="G5004" s="105" t="str">
        <f t="shared" si="312"/>
        <v/>
      </c>
      <c r="H5004" s="101" t="str">
        <f t="shared" si="313"/>
        <v/>
      </c>
      <c r="I5004" s="101" t="str">
        <f t="shared" si="314"/>
        <v/>
      </c>
      <c r="J5004" s="140" t="str">
        <f t="shared" si="315"/>
        <v/>
      </c>
    </row>
    <row r="5005" spans="6:10" x14ac:dyDescent="0.25">
      <c r="F5005" s="104"/>
      <c r="G5005" s="105" t="str">
        <f t="shared" si="312"/>
        <v/>
      </c>
      <c r="H5005" s="101" t="str">
        <f t="shared" si="313"/>
        <v/>
      </c>
      <c r="I5005" s="101" t="str">
        <f t="shared" si="314"/>
        <v/>
      </c>
      <c r="J5005" s="140" t="str">
        <f t="shared" si="315"/>
        <v/>
      </c>
    </row>
    <row r="5006" spans="6:10" x14ac:dyDescent="0.25">
      <c r="F5006" s="104"/>
      <c r="G5006" s="105" t="str">
        <f t="shared" si="312"/>
        <v/>
      </c>
      <c r="H5006" s="101" t="str">
        <f t="shared" si="313"/>
        <v/>
      </c>
      <c r="I5006" s="101" t="str">
        <f t="shared" si="314"/>
        <v/>
      </c>
      <c r="J5006" s="140" t="str">
        <f t="shared" si="315"/>
        <v/>
      </c>
    </row>
    <row r="5007" spans="6:10" x14ac:dyDescent="0.25">
      <c r="F5007" s="104"/>
      <c r="G5007" s="105" t="str">
        <f t="shared" si="312"/>
        <v/>
      </c>
      <c r="H5007" s="101" t="str">
        <f t="shared" si="313"/>
        <v/>
      </c>
      <c r="I5007" s="101" t="str">
        <f t="shared" si="314"/>
        <v/>
      </c>
      <c r="J5007" s="140" t="str">
        <f t="shared" si="315"/>
        <v/>
      </c>
    </row>
    <row r="5008" spans="6:10" x14ac:dyDescent="0.25">
      <c r="F5008" s="104"/>
      <c r="G5008" s="105" t="str">
        <f t="shared" si="312"/>
        <v/>
      </c>
      <c r="H5008" s="101" t="str">
        <f t="shared" si="313"/>
        <v/>
      </c>
      <c r="I5008" s="101" t="str">
        <f t="shared" si="314"/>
        <v/>
      </c>
      <c r="J5008" s="140" t="str">
        <f t="shared" si="315"/>
        <v/>
      </c>
    </row>
    <row r="5009" spans="6:10" x14ac:dyDescent="0.25">
      <c r="F5009" s="104"/>
      <c r="G5009" s="105" t="str">
        <f t="shared" si="312"/>
        <v/>
      </c>
      <c r="H5009" s="101" t="str">
        <f t="shared" si="313"/>
        <v/>
      </c>
      <c r="I5009" s="101" t="str">
        <f t="shared" si="314"/>
        <v/>
      </c>
      <c r="J5009" s="140" t="str">
        <f t="shared" si="315"/>
        <v/>
      </c>
    </row>
    <row r="5010" spans="6:10" x14ac:dyDescent="0.25">
      <c r="F5010" s="104"/>
      <c r="G5010" s="105" t="str">
        <f t="shared" si="312"/>
        <v/>
      </c>
      <c r="H5010" s="101" t="str">
        <f t="shared" si="313"/>
        <v/>
      </c>
      <c r="I5010" s="101" t="str">
        <f t="shared" si="314"/>
        <v/>
      </c>
      <c r="J5010" s="140" t="str">
        <f t="shared" si="315"/>
        <v/>
      </c>
    </row>
    <row r="5011" spans="6:10" x14ac:dyDescent="0.25">
      <c r="F5011" s="104"/>
      <c r="G5011" s="105" t="str">
        <f t="shared" si="312"/>
        <v/>
      </c>
      <c r="H5011" s="101" t="str">
        <f t="shared" si="313"/>
        <v/>
      </c>
      <c r="I5011" s="101" t="str">
        <f t="shared" si="314"/>
        <v/>
      </c>
      <c r="J5011" s="140" t="str">
        <f t="shared" si="315"/>
        <v/>
      </c>
    </row>
    <row r="5012" spans="6:10" x14ac:dyDescent="0.25">
      <c r="F5012" s="104"/>
      <c r="G5012" s="105" t="str">
        <f t="shared" si="312"/>
        <v/>
      </c>
      <c r="H5012" s="101" t="str">
        <f t="shared" si="313"/>
        <v/>
      </c>
      <c r="I5012" s="101" t="str">
        <f t="shared" si="314"/>
        <v/>
      </c>
      <c r="J5012" s="140" t="str">
        <f t="shared" si="315"/>
        <v/>
      </c>
    </row>
    <row r="5013" spans="6:10" x14ac:dyDescent="0.25">
      <c r="F5013" s="104"/>
      <c r="G5013" s="105" t="str">
        <f t="shared" si="312"/>
        <v/>
      </c>
      <c r="H5013" s="101" t="str">
        <f t="shared" si="313"/>
        <v/>
      </c>
      <c r="I5013" s="101" t="str">
        <f t="shared" si="314"/>
        <v/>
      </c>
      <c r="J5013" s="140" t="str">
        <f t="shared" si="315"/>
        <v/>
      </c>
    </row>
    <row r="5014" spans="6:10" x14ac:dyDescent="0.25">
      <c r="F5014" s="104"/>
      <c r="G5014" s="105" t="str">
        <f t="shared" si="312"/>
        <v/>
      </c>
      <c r="H5014" s="101" t="str">
        <f t="shared" si="313"/>
        <v/>
      </c>
      <c r="I5014" s="101" t="str">
        <f t="shared" si="314"/>
        <v/>
      </c>
      <c r="J5014" s="140" t="str">
        <f t="shared" si="315"/>
        <v/>
      </c>
    </row>
    <row r="5015" spans="6:10" x14ac:dyDescent="0.25">
      <c r="F5015" s="104"/>
      <c r="G5015" s="105" t="str">
        <f t="shared" si="312"/>
        <v/>
      </c>
      <c r="H5015" s="101" t="str">
        <f t="shared" si="313"/>
        <v/>
      </c>
      <c r="I5015" s="101" t="str">
        <f t="shared" si="314"/>
        <v/>
      </c>
      <c r="J5015" s="140" t="str">
        <f t="shared" si="315"/>
        <v/>
      </c>
    </row>
    <row r="5016" spans="6:10" x14ac:dyDescent="0.25">
      <c r="F5016" s="104"/>
      <c r="G5016" s="105" t="str">
        <f t="shared" si="312"/>
        <v/>
      </c>
      <c r="H5016" s="101" t="str">
        <f t="shared" si="313"/>
        <v/>
      </c>
      <c r="I5016" s="101" t="str">
        <f t="shared" si="314"/>
        <v/>
      </c>
      <c r="J5016" s="140" t="str">
        <f t="shared" si="315"/>
        <v/>
      </c>
    </row>
    <row r="5017" spans="6:10" x14ac:dyDescent="0.25">
      <c r="F5017" s="104"/>
      <c r="G5017" s="105" t="str">
        <f t="shared" si="312"/>
        <v/>
      </c>
      <c r="H5017" s="101" t="str">
        <f t="shared" si="313"/>
        <v/>
      </c>
      <c r="I5017" s="101" t="str">
        <f t="shared" si="314"/>
        <v/>
      </c>
      <c r="J5017" s="140" t="str">
        <f t="shared" si="315"/>
        <v/>
      </c>
    </row>
    <row r="5018" spans="6:10" x14ac:dyDescent="0.25">
      <c r="F5018" s="104"/>
      <c r="G5018" s="105" t="str">
        <f t="shared" si="312"/>
        <v/>
      </c>
      <c r="H5018" s="101" t="str">
        <f t="shared" si="313"/>
        <v/>
      </c>
      <c r="I5018" s="101" t="str">
        <f t="shared" si="314"/>
        <v/>
      </c>
      <c r="J5018" s="140" t="str">
        <f t="shared" si="315"/>
        <v/>
      </c>
    </row>
    <row r="5019" spans="6:10" x14ac:dyDescent="0.25">
      <c r="F5019" s="104"/>
      <c r="G5019" s="105" t="str">
        <f t="shared" si="312"/>
        <v/>
      </c>
      <c r="H5019" s="101" t="str">
        <f t="shared" si="313"/>
        <v/>
      </c>
      <c r="I5019" s="101" t="str">
        <f t="shared" si="314"/>
        <v/>
      </c>
      <c r="J5019" s="140" t="str">
        <f t="shared" si="315"/>
        <v/>
      </c>
    </row>
    <row r="5020" spans="6:10" x14ac:dyDescent="0.25">
      <c r="F5020" s="104"/>
      <c r="G5020" s="105" t="str">
        <f t="shared" si="312"/>
        <v/>
      </c>
      <c r="H5020" s="101" t="str">
        <f t="shared" si="313"/>
        <v/>
      </c>
      <c r="I5020" s="101" t="str">
        <f t="shared" si="314"/>
        <v/>
      </c>
      <c r="J5020" s="140" t="str">
        <f t="shared" si="315"/>
        <v/>
      </c>
    </row>
    <row r="5021" spans="6:10" x14ac:dyDescent="0.25">
      <c r="F5021" s="104"/>
      <c r="G5021" s="105" t="str">
        <f t="shared" si="312"/>
        <v/>
      </c>
      <c r="H5021" s="101" t="str">
        <f t="shared" si="313"/>
        <v/>
      </c>
      <c r="I5021" s="101" t="str">
        <f t="shared" si="314"/>
        <v/>
      </c>
      <c r="J5021" s="140" t="str">
        <f t="shared" si="315"/>
        <v/>
      </c>
    </row>
    <row r="5022" spans="6:10" x14ac:dyDescent="0.25">
      <c r="F5022" s="104"/>
      <c r="G5022" s="105" t="str">
        <f t="shared" si="312"/>
        <v/>
      </c>
      <c r="H5022" s="101" t="str">
        <f t="shared" si="313"/>
        <v/>
      </c>
      <c r="I5022" s="101" t="str">
        <f t="shared" si="314"/>
        <v/>
      </c>
      <c r="J5022" s="140" t="str">
        <f t="shared" si="315"/>
        <v/>
      </c>
    </row>
    <row r="5023" spans="6:10" x14ac:dyDescent="0.25">
      <c r="F5023" s="104"/>
      <c r="G5023" s="105" t="str">
        <f t="shared" si="312"/>
        <v/>
      </c>
      <c r="H5023" s="101" t="str">
        <f t="shared" si="313"/>
        <v/>
      </c>
      <c r="I5023" s="101" t="str">
        <f t="shared" si="314"/>
        <v/>
      </c>
      <c r="J5023" s="140" t="str">
        <f t="shared" si="315"/>
        <v/>
      </c>
    </row>
    <row r="5024" spans="6:10" x14ac:dyDescent="0.25">
      <c r="F5024" s="104"/>
      <c r="G5024" s="105" t="str">
        <f t="shared" si="312"/>
        <v/>
      </c>
      <c r="H5024" s="101" t="str">
        <f t="shared" si="313"/>
        <v/>
      </c>
      <c r="I5024" s="101" t="str">
        <f t="shared" si="314"/>
        <v/>
      </c>
      <c r="J5024" s="140" t="str">
        <f t="shared" si="315"/>
        <v/>
      </c>
    </row>
    <row r="5025" spans="6:10" x14ac:dyDescent="0.25">
      <c r="F5025" s="104"/>
      <c r="G5025" s="105" t="str">
        <f t="shared" si="312"/>
        <v/>
      </c>
      <c r="H5025" s="101" t="str">
        <f t="shared" si="313"/>
        <v/>
      </c>
      <c r="I5025" s="101" t="str">
        <f t="shared" si="314"/>
        <v/>
      </c>
      <c r="J5025" s="140" t="str">
        <f t="shared" si="315"/>
        <v/>
      </c>
    </row>
    <row r="5026" spans="6:10" x14ac:dyDescent="0.25">
      <c r="F5026" s="104"/>
      <c r="G5026" s="105" t="str">
        <f t="shared" si="312"/>
        <v/>
      </c>
      <c r="H5026" s="101" t="str">
        <f t="shared" si="313"/>
        <v/>
      </c>
      <c r="I5026" s="101" t="str">
        <f t="shared" si="314"/>
        <v/>
      </c>
      <c r="J5026" s="140" t="str">
        <f t="shared" si="315"/>
        <v/>
      </c>
    </row>
    <row r="5027" spans="6:10" x14ac:dyDescent="0.25">
      <c r="F5027" s="104"/>
      <c r="G5027" s="105" t="str">
        <f t="shared" si="312"/>
        <v/>
      </c>
      <c r="H5027" s="101" t="str">
        <f t="shared" si="313"/>
        <v/>
      </c>
      <c r="I5027" s="101" t="str">
        <f t="shared" si="314"/>
        <v/>
      </c>
      <c r="J5027" s="140" t="str">
        <f t="shared" si="315"/>
        <v/>
      </c>
    </row>
    <row r="5028" spans="6:10" x14ac:dyDescent="0.25">
      <c r="F5028" s="104"/>
      <c r="G5028" s="105" t="str">
        <f t="shared" si="312"/>
        <v/>
      </c>
      <c r="H5028" s="101" t="str">
        <f t="shared" si="313"/>
        <v/>
      </c>
      <c r="I5028" s="101" t="str">
        <f t="shared" si="314"/>
        <v/>
      </c>
      <c r="J5028" s="140" t="str">
        <f t="shared" si="315"/>
        <v/>
      </c>
    </row>
    <row r="5029" spans="6:10" x14ac:dyDescent="0.25">
      <c r="F5029" s="104"/>
      <c r="G5029" s="105" t="str">
        <f t="shared" si="312"/>
        <v/>
      </c>
      <c r="H5029" s="101" t="str">
        <f t="shared" si="313"/>
        <v/>
      </c>
      <c r="I5029" s="101" t="str">
        <f t="shared" si="314"/>
        <v/>
      </c>
      <c r="J5029" s="140" t="str">
        <f t="shared" si="315"/>
        <v/>
      </c>
    </row>
    <row r="5030" spans="6:10" x14ac:dyDescent="0.25">
      <c r="F5030" s="104"/>
      <c r="G5030" s="105" t="str">
        <f t="shared" si="312"/>
        <v/>
      </c>
      <c r="H5030" s="101" t="str">
        <f t="shared" si="313"/>
        <v/>
      </c>
      <c r="I5030" s="101" t="str">
        <f t="shared" si="314"/>
        <v/>
      </c>
      <c r="J5030" s="140" t="str">
        <f t="shared" si="315"/>
        <v/>
      </c>
    </row>
    <row r="5031" spans="6:10" x14ac:dyDescent="0.25">
      <c r="F5031" s="104"/>
      <c r="G5031" s="105" t="str">
        <f t="shared" si="312"/>
        <v/>
      </c>
      <c r="H5031" s="101" t="str">
        <f t="shared" si="313"/>
        <v/>
      </c>
      <c r="I5031" s="101" t="str">
        <f t="shared" si="314"/>
        <v/>
      </c>
      <c r="J5031" s="140" t="str">
        <f t="shared" si="315"/>
        <v/>
      </c>
    </row>
    <row r="5032" spans="6:10" x14ac:dyDescent="0.25">
      <c r="F5032" s="104"/>
      <c r="G5032" s="105" t="str">
        <f t="shared" si="312"/>
        <v/>
      </c>
      <c r="H5032" s="101" t="str">
        <f t="shared" si="313"/>
        <v/>
      </c>
      <c r="I5032" s="101" t="str">
        <f t="shared" si="314"/>
        <v/>
      </c>
      <c r="J5032" s="140" t="str">
        <f t="shared" si="315"/>
        <v/>
      </c>
    </row>
    <row r="5033" spans="6:10" x14ac:dyDescent="0.25">
      <c r="F5033" s="104"/>
      <c r="G5033" s="105" t="str">
        <f t="shared" si="312"/>
        <v/>
      </c>
      <c r="H5033" s="101" t="str">
        <f t="shared" si="313"/>
        <v/>
      </c>
      <c r="I5033" s="101" t="str">
        <f t="shared" si="314"/>
        <v/>
      </c>
      <c r="J5033" s="140" t="str">
        <f t="shared" si="315"/>
        <v/>
      </c>
    </row>
    <row r="5034" spans="6:10" x14ac:dyDescent="0.25">
      <c r="F5034" s="104"/>
      <c r="G5034" s="105" t="str">
        <f t="shared" si="312"/>
        <v/>
      </c>
      <c r="H5034" s="101" t="str">
        <f t="shared" si="313"/>
        <v/>
      </c>
      <c r="I5034" s="101" t="str">
        <f t="shared" si="314"/>
        <v/>
      </c>
      <c r="J5034" s="140" t="str">
        <f t="shared" si="315"/>
        <v/>
      </c>
    </row>
    <row r="5035" spans="6:10" x14ac:dyDescent="0.25">
      <c r="F5035" s="104"/>
      <c r="G5035" s="105" t="str">
        <f t="shared" si="312"/>
        <v/>
      </c>
      <c r="H5035" s="101" t="str">
        <f t="shared" si="313"/>
        <v/>
      </c>
      <c r="I5035" s="101" t="str">
        <f t="shared" si="314"/>
        <v/>
      </c>
      <c r="J5035" s="140" t="str">
        <f t="shared" si="315"/>
        <v/>
      </c>
    </row>
    <row r="5036" spans="6:10" x14ac:dyDescent="0.25">
      <c r="F5036" s="104"/>
      <c r="G5036" s="105" t="str">
        <f t="shared" si="312"/>
        <v/>
      </c>
      <c r="H5036" s="101" t="str">
        <f t="shared" si="313"/>
        <v/>
      </c>
      <c r="I5036" s="101" t="str">
        <f t="shared" si="314"/>
        <v/>
      </c>
      <c r="J5036" s="140" t="str">
        <f t="shared" si="315"/>
        <v/>
      </c>
    </row>
    <row r="5037" spans="6:10" x14ac:dyDescent="0.25">
      <c r="F5037" s="104"/>
      <c r="G5037" s="105" t="str">
        <f t="shared" si="312"/>
        <v/>
      </c>
      <c r="H5037" s="101" t="str">
        <f t="shared" si="313"/>
        <v/>
      </c>
      <c r="I5037" s="101" t="str">
        <f t="shared" si="314"/>
        <v/>
      </c>
      <c r="J5037" s="140" t="str">
        <f t="shared" si="315"/>
        <v/>
      </c>
    </row>
    <row r="5038" spans="6:10" x14ac:dyDescent="0.25">
      <c r="F5038" s="104"/>
      <c r="G5038" s="105" t="str">
        <f t="shared" si="312"/>
        <v/>
      </c>
      <c r="H5038" s="101" t="str">
        <f t="shared" si="313"/>
        <v/>
      </c>
      <c r="I5038" s="101" t="str">
        <f t="shared" si="314"/>
        <v/>
      </c>
      <c r="J5038" s="140" t="str">
        <f t="shared" si="315"/>
        <v/>
      </c>
    </row>
    <row r="5039" spans="6:10" x14ac:dyDescent="0.25">
      <c r="F5039" s="104"/>
      <c r="G5039" s="105" t="str">
        <f t="shared" si="312"/>
        <v/>
      </c>
      <c r="H5039" s="101" t="str">
        <f t="shared" si="313"/>
        <v/>
      </c>
      <c r="I5039" s="101" t="str">
        <f t="shared" si="314"/>
        <v/>
      </c>
      <c r="J5039" s="140" t="str">
        <f t="shared" si="315"/>
        <v/>
      </c>
    </row>
    <row r="5040" spans="6:10" x14ac:dyDescent="0.25">
      <c r="F5040" s="104"/>
      <c r="G5040" s="105" t="str">
        <f t="shared" si="312"/>
        <v/>
      </c>
      <c r="H5040" s="101" t="str">
        <f t="shared" si="313"/>
        <v/>
      </c>
      <c r="I5040" s="101" t="str">
        <f t="shared" si="314"/>
        <v/>
      </c>
      <c r="J5040" s="140" t="str">
        <f t="shared" si="315"/>
        <v/>
      </c>
    </row>
    <row r="5041" spans="6:10" x14ac:dyDescent="0.25">
      <c r="F5041" s="104"/>
      <c r="G5041" s="105" t="str">
        <f t="shared" si="312"/>
        <v/>
      </c>
      <c r="H5041" s="101" t="str">
        <f t="shared" si="313"/>
        <v/>
      </c>
      <c r="I5041" s="101" t="str">
        <f t="shared" si="314"/>
        <v/>
      </c>
      <c r="J5041" s="140" t="str">
        <f t="shared" si="315"/>
        <v/>
      </c>
    </row>
    <row r="5042" spans="6:10" x14ac:dyDescent="0.25">
      <c r="F5042" s="104"/>
      <c r="G5042" s="105" t="str">
        <f t="shared" si="312"/>
        <v/>
      </c>
      <c r="H5042" s="101" t="str">
        <f t="shared" si="313"/>
        <v/>
      </c>
      <c r="I5042" s="101" t="str">
        <f t="shared" si="314"/>
        <v/>
      </c>
      <c r="J5042" s="140" t="str">
        <f t="shared" si="315"/>
        <v/>
      </c>
    </row>
    <row r="5043" spans="6:10" x14ac:dyDescent="0.25">
      <c r="F5043" s="104"/>
      <c r="G5043" s="105" t="str">
        <f t="shared" si="312"/>
        <v/>
      </c>
      <c r="H5043" s="101" t="str">
        <f t="shared" si="313"/>
        <v/>
      </c>
      <c r="I5043" s="101" t="str">
        <f t="shared" si="314"/>
        <v/>
      </c>
      <c r="J5043" s="140" t="str">
        <f t="shared" si="315"/>
        <v/>
      </c>
    </row>
    <row r="5044" spans="6:10" x14ac:dyDescent="0.25">
      <c r="F5044" s="104"/>
      <c r="G5044" s="105" t="str">
        <f t="shared" si="312"/>
        <v/>
      </c>
      <c r="H5044" s="101" t="str">
        <f t="shared" si="313"/>
        <v/>
      </c>
      <c r="I5044" s="101" t="str">
        <f t="shared" si="314"/>
        <v/>
      </c>
      <c r="J5044" s="140" t="str">
        <f t="shared" si="315"/>
        <v/>
      </c>
    </row>
    <row r="5045" spans="6:10" x14ac:dyDescent="0.25">
      <c r="F5045" s="104"/>
      <c r="G5045" s="105" t="str">
        <f t="shared" si="312"/>
        <v/>
      </c>
      <c r="H5045" s="101" t="str">
        <f t="shared" si="313"/>
        <v/>
      </c>
      <c r="I5045" s="101" t="str">
        <f t="shared" si="314"/>
        <v/>
      </c>
      <c r="J5045" s="140" t="str">
        <f t="shared" si="315"/>
        <v/>
      </c>
    </row>
    <row r="5046" spans="6:10" x14ac:dyDescent="0.25">
      <c r="F5046" s="104"/>
      <c r="G5046" s="105" t="str">
        <f t="shared" si="312"/>
        <v/>
      </c>
      <c r="H5046" s="101" t="str">
        <f t="shared" si="313"/>
        <v/>
      </c>
      <c r="I5046" s="101" t="str">
        <f t="shared" si="314"/>
        <v/>
      </c>
      <c r="J5046" s="140" t="str">
        <f t="shared" si="315"/>
        <v/>
      </c>
    </row>
    <row r="5047" spans="6:10" x14ac:dyDescent="0.25">
      <c r="F5047" s="104"/>
      <c r="G5047" s="105" t="str">
        <f t="shared" si="312"/>
        <v/>
      </c>
      <c r="H5047" s="101" t="str">
        <f t="shared" si="313"/>
        <v/>
      </c>
      <c r="I5047" s="101" t="str">
        <f t="shared" si="314"/>
        <v/>
      </c>
      <c r="J5047" s="140" t="str">
        <f t="shared" si="315"/>
        <v/>
      </c>
    </row>
    <row r="5048" spans="6:10" x14ac:dyDescent="0.25">
      <c r="F5048" s="104"/>
      <c r="G5048" s="105" t="str">
        <f t="shared" si="312"/>
        <v/>
      </c>
      <c r="H5048" s="101" t="str">
        <f t="shared" si="313"/>
        <v/>
      </c>
      <c r="I5048" s="101" t="str">
        <f t="shared" si="314"/>
        <v/>
      </c>
      <c r="J5048" s="140" t="str">
        <f t="shared" si="315"/>
        <v/>
      </c>
    </row>
    <row r="5049" spans="6:10" x14ac:dyDescent="0.25">
      <c r="F5049" s="104"/>
      <c r="G5049" s="105" t="str">
        <f t="shared" si="312"/>
        <v/>
      </c>
      <c r="H5049" s="101" t="str">
        <f t="shared" si="313"/>
        <v/>
      </c>
      <c r="I5049" s="101" t="str">
        <f t="shared" si="314"/>
        <v/>
      </c>
      <c r="J5049" s="140" t="str">
        <f t="shared" si="315"/>
        <v/>
      </c>
    </row>
    <row r="5050" spans="6:10" x14ac:dyDescent="0.25">
      <c r="F5050" s="104"/>
      <c r="G5050" s="105" t="str">
        <f t="shared" si="312"/>
        <v/>
      </c>
      <c r="H5050" s="101" t="str">
        <f t="shared" si="313"/>
        <v/>
      </c>
      <c r="I5050" s="101" t="str">
        <f t="shared" si="314"/>
        <v/>
      </c>
      <c r="J5050" s="140" t="str">
        <f t="shared" si="315"/>
        <v/>
      </c>
    </row>
    <row r="5051" spans="6:10" x14ac:dyDescent="0.25">
      <c r="F5051" s="104"/>
      <c r="G5051" s="105" t="str">
        <f t="shared" si="312"/>
        <v/>
      </c>
      <c r="H5051" s="101" t="str">
        <f t="shared" si="313"/>
        <v/>
      </c>
      <c r="I5051" s="101" t="str">
        <f t="shared" si="314"/>
        <v/>
      </c>
      <c r="J5051" s="140" t="str">
        <f t="shared" si="315"/>
        <v/>
      </c>
    </row>
    <row r="5052" spans="6:10" x14ac:dyDescent="0.25">
      <c r="F5052" s="104"/>
      <c r="G5052" s="105" t="str">
        <f t="shared" si="312"/>
        <v/>
      </c>
      <c r="H5052" s="101" t="str">
        <f t="shared" si="313"/>
        <v/>
      </c>
      <c r="I5052" s="101" t="str">
        <f t="shared" si="314"/>
        <v/>
      </c>
      <c r="J5052" s="140" t="str">
        <f t="shared" si="315"/>
        <v/>
      </c>
    </row>
    <row r="5053" spans="6:10" x14ac:dyDescent="0.25">
      <c r="F5053" s="104"/>
      <c r="G5053" s="105" t="str">
        <f t="shared" si="312"/>
        <v/>
      </c>
      <c r="H5053" s="101" t="str">
        <f t="shared" si="313"/>
        <v/>
      </c>
      <c r="I5053" s="101" t="str">
        <f t="shared" si="314"/>
        <v/>
      </c>
      <c r="J5053" s="140" t="str">
        <f t="shared" si="315"/>
        <v/>
      </c>
    </row>
    <row r="5054" spans="6:10" x14ac:dyDescent="0.25">
      <c r="F5054" s="104"/>
      <c r="G5054" s="105" t="str">
        <f t="shared" si="312"/>
        <v/>
      </c>
      <c r="H5054" s="101" t="str">
        <f t="shared" si="313"/>
        <v/>
      </c>
      <c r="I5054" s="101" t="str">
        <f t="shared" si="314"/>
        <v/>
      </c>
      <c r="J5054" s="140" t="str">
        <f t="shared" si="315"/>
        <v/>
      </c>
    </row>
    <row r="5055" spans="6:10" x14ac:dyDescent="0.25">
      <c r="F5055" s="104"/>
      <c r="G5055" s="105" t="str">
        <f t="shared" si="312"/>
        <v/>
      </c>
      <c r="H5055" s="101" t="str">
        <f t="shared" si="313"/>
        <v/>
      </c>
      <c r="I5055" s="101" t="str">
        <f t="shared" si="314"/>
        <v/>
      </c>
      <c r="J5055" s="140" t="str">
        <f t="shared" si="315"/>
        <v/>
      </c>
    </row>
    <row r="5056" spans="6:10" x14ac:dyDescent="0.25">
      <c r="F5056" s="104"/>
      <c r="G5056" s="105" t="str">
        <f t="shared" si="312"/>
        <v/>
      </c>
      <c r="H5056" s="101" t="str">
        <f t="shared" si="313"/>
        <v/>
      </c>
      <c r="I5056" s="101" t="str">
        <f t="shared" si="314"/>
        <v/>
      </c>
      <c r="J5056" s="140" t="str">
        <f t="shared" si="315"/>
        <v/>
      </c>
    </row>
    <row r="5057" spans="6:10" x14ac:dyDescent="0.25">
      <c r="F5057" s="104"/>
      <c r="G5057" s="105" t="str">
        <f t="shared" si="312"/>
        <v/>
      </c>
      <c r="H5057" s="101" t="str">
        <f t="shared" si="313"/>
        <v/>
      </c>
      <c r="I5057" s="101" t="str">
        <f t="shared" si="314"/>
        <v/>
      </c>
      <c r="J5057" s="140" t="str">
        <f t="shared" si="315"/>
        <v/>
      </c>
    </row>
    <row r="5058" spans="6:10" x14ac:dyDescent="0.25">
      <c r="F5058" s="104"/>
      <c r="G5058" s="105" t="str">
        <f t="shared" si="312"/>
        <v/>
      </c>
      <c r="H5058" s="101" t="str">
        <f t="shared" si="313"/>
        <v/>
      </c>
      <c r="I5058" s="101" t="str">
        <f t="shared" si="314"/>
        <v/>
      </c>
      <c r="J5058" s="140" t="str">
        <f t="shared" si="315"/>
        <v/>
      </c>
    </row>
    <row r="5059" spans="6:10" x14ac:dyDescent="0.25">
      <c r="F5059" s="104"/>
      <c r="G5059" s="105" t="str">
        <f t="shared" si="312"/>
        <v/>
      </c>
      <c r="H5059" s="101" t="str">
        <f t="shared" si="313"/>
        <v/>
      </c>
      <c r="I5059" s="101" t="str">
        <f t="shared" si="314"/>
        <v/>
      </c>
      <c r="J5059" s="140" t="str">
        <f t="shared" si="315"/>
        <v/>
      </c>
    </row>
    <row r="5060" spans="6:10" x14ac:dyDescent="0.25">
      <c r="F5060" s="104"/>
      <c r="G5060" s="105" t="str">
        <f t="shared" si="312"/>
        <v/>
      </c>
      <c r="H5060" s="101" t="str">
        <f t="shared" si="313"/>
        <v/>
      </c>
      <c r="I5060" s="101" t="str">
        <f t="shared" si="314"/>
        <v/>
      </c>
      <c r="J5060" s="140" t="str">
        <f t="shared" si="315"/>
        <v/>
      </c>
    </row>
    <row r="5061" spans="6:10" x14ac:dyDescent="0.25">
      <c r="F5061" s="104"/>
      <c r="G5061" s="105" t="str">
        <f t="shared" si="312"/>
        <v/>
      </c>
      <c r="H5061" s="101" t="str">
        <f t="shared" si="313"/>
        <v/>
      </c>
      <c r="I5061" s="101" t="str">
        <f t="shared" si="314"/>
        <v/>
      </c>
      <c r="J5061" s="140" t="str">
        <f t="shared" si="315"/>
        <v/>
      </c>
    </row>
    <row r="5062" spans="6:10" x14ac:dyDescent="0.25">
      <c r="F5062" s="104"/>
      <c r="G5062" s="105" t="str">
        <f t="shared" si="312"/>
        <v/>
      </c>
      <c r="H5062" s="101" t="str">
        <f t="shared" si="313"/>
        <v/>
      </c>
      <c r="I5062" s="101" t="str">
        <f t="shared" si="314"/>
        <v/>
      </c>
      <c r="J5062" s="140" t="str">
        <f t="shared" si="315"/>
        <v/>
      </c>
    </row>
    <row r="5063" spans="6:10" x14ac:dyDescent="0.25">
      <c r="F5063" s="104"/>
      <c r="G5063" s="105" t="str">
        <f t="shared" si="312"/>
        <v/>
      </c>
      <c r="H5063" s="101" t="str">
        <f t="shared" si="313"/>
        <v/>
      </c>
      <c r="I5063" s="101" t="str">
        <f t="shared" si="314"/>
        <v/>
      </c>
      <c r="J5063" s="140" t="str">
        <f t="shared" si="315"/>
        <v/>
      </c>
    </row>
    <row r="5064" spans="6:10" x14ac:dyDescent="0.25">
      <c r="F5064" s="104"/>
      <c r="G5064" s="105" t="str">
        <f t="shared" ref="G5064:G5127" si="316">IF(E5064="","",E5064+0)</f>
        <v/>
      </c>
      <c r="H5064" s="101" t="str">
        <f t="shared" ref="H5064:H5127" si="317">IF(G5064="","",TRIM(CONCATENATE("Sinapi ",A5064)))</f>
        <v/>
      </c>
      <c r="I5064" s="101" t="str">
        <f t="shared" ref="I5064:I5127" si="318">TRIM(C5064)</f>
        <v/>
      </c>
      <c r="J5064" s="140" t="str">
        <f t="shared" si="315"/>
        <v/>
      </c>
    </row>
    <row r="5065" spans="6:10" x14ac:dyDescent="0.25">
      <c r="F5065" s="104"/>
      <c r="G5065" s="105" t="str">
        <f t="shared" si="316"/>
        <v/>
      </c>
      <c r="H5065" s="101" t="str">
        <f t="shared" si="317"/>
        <v/>
      </c>
      <c r="I5065" s="101" t="str">
        <f t="shared" si="318"/>
        <v/>
      </c>
      <c r="J5065" s="140" t="str">
        <f t="shared" ref="J5065:J5128" si="319">TRIM(B5065)</f>
        <v/>
      </c>
    </row>
    <row r="5066" spans="6:10" x14ac:dyDescent="0.25">
      <c r="F5066" s="104"/>
      <c r="G5066" s="105" t="str">
        <f t="shared" si="316"/>
        <v/>
      </c>
      <c r="H5066" s="101" t="str">
        <f t="shared" si="317"/>
        <v/>
      </c>
      <c r="I5066" s="101" t="str">
        <f t="shared" si="318"/>
        <v/>
      </c>
      <c r="J5066" s="140" t="str">
        <f t="shared" si="319"/>
        <v/>
      </c>
    </row>
    <row r="5067" spans="6:10" x14ac:dyDescent="0.25">
      <c r="F5067" s="104"/>
      <c r="G5067" s="105" t="str">
        <f t="shared" si="316"/>
        <v/>
      </c>
      <c r="H5067" s="101" t="str">
        <f t="shared" si="317"/>
        <v/>
      </c>
      <c r="I5067" s="101" t="str">
        <f t="shared" si="318"/>
        <v/>
      </c>
      <c r="J5067" s="140" t="str">
        <f t="shared" si="319"/>
        <v/>
      </c>
    </row>
    <row r="5068" spans="6:10" x14ac:dyDescent="0.25">
      <c r="F5068" s="104"/>
      <c r="G5068" s="105" t="str">
        <f t="shared" si="316"/>
        <v/>
      </c>
      <c r="H5068" s="101" t="str">
        <f t="shared" si="317"/>
        <v/>
      </c>
      <c r="I5068" s="101" t="str">
        <f t="shared" si="318"/>
        <v/>
      </c>
      <c r="J5068" s="140" t="str">
        <f t="shared" si="319"/>
        <v/>
      </c>
    </row>
    <row r="5069" spans="6:10" x14ac:dyDescent="0.25">
      <c r="F5069" s="104"/>
      <c r="G5069" s="105" t="str">
        <f t="shared" si="316"/>
        <v/>
      </c>
      <c r="H5069" s="101" t="str">
        <f t="shared" si="317"/>
        <v/>
      </c>
      <c r="I5069" s="101" t="str">
        <f t="shared" si="318"/>
        <v/>
      </c>
      <c r="J5069" s="140" t="str">
        <f t="shared" si="319"/>
        <v/>
      </c>
    </row>
    <row r="5070" spans="6:10" x14ac:dyDescent="0.25">
      <c r="F5070" s="104"/>
      <c r="G5070" s="105" t="str">
        <f t="shared" si="316"/>
        <v/>
      </c>
      <c r="H5070" s="101" t="str">
        <f t="shared" si="317"/>
        <v/>
      </c>
      <c r="I5070" s="101" t="str">
        <f t="shared" si="318"/>
        <v/>
      </c>
      <c r="J5070" s="140" t="str">
        <f t="shared" si="319"/>
        <v/>
      </c>
    </row>
    <row r="5071" spans="6:10" x14ac:dyDescent="0.25">
      <c r="F5071" s="104"/>
      <c r="G5071" s="105" t="str">
        <f t="shared" si="316"/>
        <v/>
      </c>
      <c r="H5071" s="101" t="str">
        <f t="shared" si="317"/>
        <v/>
      </c>
      <c r="I5071" s="101" t="str">
        <f t="shared" si="318"/>
        <v/>
      </c>
      <c r="J5071" s="140" t="str">
        <f t="shared" si="319"/>
        <v/>
      </c>
    </row>
    <row r="5072" spans="6:10" x14ac:dyDescent="0.25">
      <c r="F5072" s="104"/>
      <c r="G5072" s="105" t="str">
        <f t="shared" si="316"/>
        <v/>
      </c>
      <c r="H5072" s="101" t="str">
        <f t="shared" si="317"/>
        <v/>
      </c>
      <c r="I5072" s="101" t="str">
        <f t="shared" si="318"/>
        <v/>
      </c>
      <c r="J5072" s="140" t="str">
        <f t="shared" si="319"/>
        <v/>
      </c>
    </row>
    <row r="5073" spans="6:10" x14ac:dyDescent="0.25">
      <c r="F5073" s="104"/>
      <c r="G5073" s="105" t="str">
        <f t="shared" si="316"/>
        <v/>
      </c>
      <c r="H5073" s="101" t="str">
        <f t="shared" si="317"/>
        <v/>
      </c>
      <c r="I5073" s="101" t="str">
        <f t="shared" si="318"/>
        <v/>
      </c>
      <c r="J5073" s="140" t="str">
        <f t="shared" si="319"/>
        <v/>
      </c>
    </row>
    <row r="5074" spans="6:10" x14ac:dyDescent="0.25">
      <c r="F5074" s="104"/>
      <c r="G5074" s="105" t="str">
        <f t="shared" si="316"/>
        <v/>
      </c>
      <c r="H5074" s="101" t="str">
        <f t="shared" si="317"/>
        <v/>
      </c>
      <c r="I5074" s="101" t="str">
        <f t="shared" si="318"/>
        <v/>
      </c>
      <c r="J5074" s="140" t="str">
        <f t="shared" si="319"/>
        <v/>
      </c>
    </row>
    <row r="5075" spans="6:10" x14ac:dyDescent="0.25">
      <c r="F5075" s="104"/>
      <c r="G5075" s="105" t="str">
        <f t="shared" si="316"/>
        <v/>
      </c>
      <c r="H5075" s="101" t="str">
        <f t="shared" si="317"/>
        <v/>
      </c>
      <c r="I5075" s="101" t="str">
        <f t="shared" si="318"/>
        <v/>
      </c>
      <c r="J5075" s="140" t="str">
        <f t="shared" si="319"/>
        <v/>
      </c>
    </row>
    <row r="5076" spans="6:10" x14ac:dyDescent="0.25">
      <c r="F5076" s="104"/>
      <c r="G5076" s="105" t="str">
        <f t="shared" si="316"/>
        <v/>
      </c>
      <c r="H5076" s="101" t="str">
        <f t="shared" si="317"/>
        <v/>
      </c>
      <c r="I5076" s="101" t="str">
        <f t="shared" si="318"/>
        <v/>
      </c>
      <c r="J5076" s="140" t="str">
        <f t="shared" si="319"/>
        <v/>
      </c>
    </row>
    <row r="5077" spans="6:10" x14ac:dyDescent="0.25">
      <c r="F5077" s="104"/>
      <c r="G5077" s="105" t="str">
        <f t="shared" si="316"/>
        <v/>
      </c>
      <c r="H5077" s="101" t="str">
        <f t="shared" si="317"/>
        <v/>
      </c>
      <c r="I5077" s="101" t="str">
        <f t="shared" si="318"/>
        <v/>
      </c>
      <c r="J5077" s="140" t="str">
        <f t="shared" si="319"/>
        <v/>
      </c>
    </row>
    <row r="5078" spans="6:10" x14ac:dyDescent="0.25">
      <c r="F5078" s="104"/>
      <c r="G5078" s="105" t="str">
        <f t="shared" si="316"/>
        <v/>
      </c>
      <c r="H5078" s="101" t="str">
        <f t="shared" si="317"/>
        <v/>
      </c>
      <c r="I5078" s="101" t="str">
        <f t="shared" si="318"/>
        <v/>
      </c>
      <c r="J5078" s="140" t="str">
        <f t="shared" si="319"/>
        <v/>
      </c>
    </row>
    <row r="5079" spans="6:10" x14ac:dyDescent="0.25">
      <c r="F5079" s="104"/>
      <c r="G5079" s="105" t="str">
        <f t="shared" si="316"/>
        <v/>
      </c>
      <c r="H5079" s="101" t="str">
        <f t="shared" si="317"/>
        <v/>
      </c>
      <c r="I5079" s="101" t="str">
        <f t="shared" si="318"/>
        <v/>
      </c>
      <c r="J5079" s="140" t="str">
        <f t="shared" si="319"/>
        <v/>
      </c>
    </row>
    <row r="5080" spans="6:10" x14ac:dyDescent="0.25">
      <c r="F5080" s="104"/>
      <c r="G5080" s="105" t="str">
        <f t="shared" si="316"/>
        <v/>
      </c>
      <c r="H5080" s="101" t="str">
        <f t="shared" si="317"/>
        <v/>
      </c>
      <c r="I5080" s="101" t="str">
        <f t="shared" si="318"/>
        <v/>
      </c>
      <c r="J5080" s="140" t="str">
        <f t="shared" si="319"/>
        <v/>
      </c>
    </row>
    <row r="5081" spans="6:10" x14ac:dyDescent="0.25">
      <c r="F5081" s="104"/>
      <c r="G5081" s="105" t="str">
        <f t="shared" si="316"/>
        <v/>
      </c>
      <c r="H5081" s="101" t="str">
        <f t="shared" si="317"/>
        <v/>
      </c>
      <c r="I5081" s="101" t="str">
        <f t="shared" si="318"/>
        <v/>
      </c>
      <c r="J5081" s="140" t="str">
        <f t="shared" si="319"/>
        <v/>
      </c>
    </row>
    <row r="5082" spans="6:10" x14ac:dyDescent="0.25">
      <c r="F5082" s="104"/>
      <c r="G5082" s="105" t="str">
        <f t="shared" si="316"/>
        <v/>
      </c>
      <c r="H5082" s="101" t="str">
        <f t="shared" si="317"/>
        <v/>
      </c>
      <c r="I5082" s="101" t="str">
        <f t="shared" si="318"/>
        <v/>
      </c>
      <c r="J5082" s="140" t="str">
        <f t="shared" si="319"/>
        <v/>
      </c>
    </row>
    <row r="5083" spans="6:10" x14ac:dyDescent="0.25">
      <c r="F5083" s="104"/>
      <c r="G5083" s="105" t="str">
        <f t="shared" si="316"/>
        <v/>
      </c>
      <c r="H5083" s="101" t="str">
        <f t="shared" si="317"/>
        <v/>
      </c>
      <c r="I5083" s="101" t="str">
        <f t="shared" si="318"/>
        <v/>
      </c>
      <c r="J5083" s="140" t="str">
        <f t="shared" si="319"/>
        <v/>
      </c>
    </row>
    <row r="5084" spans="6:10" x14ac:dyDescent="0.25">
      <c r="F5084" s="104"/>
      <c r="G5084" s="105" t="str">
        <f t="shared" si="316"/>
        <v/>
      </c>
      <c r="H5084" s="101" t="str">
        <f t="shared" si="317"/>
        <v/>
      </c>
      <c r="I5084" s="101" t="str">
        <f t="shared" si="318"/>
        <v/>
      </c>
      <c r="J5084" s="140" t="str">
        <f t="shared" si="319"/>
        <v/>
      </c>
    </row>
    <row r="5085" spans="6:10" x14ac:dyDescent="0.25">
      <c r="F5085" s="104"/>
      <c r="G5085" s="105" t="str">
        <f t="shared" si="316"/>
        <v/>
      </c>
      <c r="H5085" s="101" t="str">
        <f t="shared" si="317"/>
        <v/>
      </c>
      <c r="I5085" s="101" t="str">
        <f t="shared" si="318"/>
        <v/>
      </c>
      <c r="J5085" s="140" t="str">
        <f t="shared" si="319"/>
        <v/>
      </c>
    </row>
    <row r="5086" spans="6:10" x14ac:dyDescent="0.25">
      <c r="F5086" s="104"/>
      <c r="G5086" s="105" t="str">
        <f t="shared" si="316"/>
        <v/>
      </c>
      <c r="H5086" s="101" t="str">
        <f t="shared" si="317"/>
        <v/>
      </c>
      <c r="I5086" s="101" t="str">
        <f t="shared" si="318"/>
        <v/>
      </c>
      <c r="J5086" s="140" t="str">
        <f t="shared" si="319"/>
        <v/>
      </c>
    </row>
    <row r="5087" spans="6:10" x14ac:dyDescent="0.25">
      <c r="F5087" s="104"/>
      <c r="G5087" s="105" t="str">
        <f t="shared" si="316"/>
        <v/>
      </c>
      <c r="H5087" s="101" t="str">
        <f t="shared" si="317"/>
        <v/>
      </c>
      <c r="I5087" s="101" t="str">
        <f t="shared" si="318"/>
        <v/>
      </c>
      <c r="J5087" s="140" t="str">
        <f t="shared" si="319"/>
        <v/>
      </c>
    </row>
    <row r="5088" spans="6:10" x14ac:dyDescent="0.25">
      <c r="F5088" s="104"/>
      <c r="G5088" s="105" t="str">
        <f t="shared" si="316"/>
        <v/>
      </c>
      <c r="H5088" s="101" t="str">
        <f t="shared" si="317"/>
        <v/>
      </c>
      <c r="I5088" s="101" t="str">
        <f t="shared" si="318"/>
        <v/>
      </c>
      <c r="J5088" s="140" t="str">
        <f t="shared" si="319"/>
        <v/>
      </c>
    </row>
    <row r="5089" spans="6:10" x14ac:dyDescent="0.25">
      <c r="F5089" s="104"/>
      <c r="G5089" s="105" t="str">
        <f t="shared" si="316"/>
        <v/>
      </c>
      <c r="H5089" s="101" t="str">
        <f t="shared" si="317"/>
        <v/>
      </c>
      <c r="I5089" s="101" t="str">
        <f t="shared" si="318"/>
        <v/>
      </c>
      <c r="J5089" s="140" t="str">
        <f t="shared" si="319"/>
        <v/>
      </c>
    </row>
    <row r="5090" spans="6:10" x14ac:dyDescent="0.25">
      <c r="F5090" s="104"/>
      <c r="G5090" s="105" t="str">
        <f t="shared" si="316"/>
        <v/>
      </c>
      <c r="H5090" s="101" t="str">
        <f t="shared" si="317"/>
        <v/>
      </c>
      <c r="I5090" s="101" t="str">
        <f t="shared" si="318"/>
        <v/>
      </c>
      <c r="J5090" s="140" t="str">
        <f t="shared" si="319"/>
        <v/>
      </c>
    </row>
    <row r="5091" spans="6:10" x14ac:dyDescent="0.25">
      <c r="F5091" s="104"/>
      <c r="G5091" s="105" t="str">
        <f t="shared" si="316"/>
        <v/>
      </c>
      <c r="H5091" s="101" t="str">
        <f t="shared" si="317"/>
        <v/>
      </c>
      <c r="I5091" s="101" t="str">
        <f t="shared" si="318"/>
        <v/>
      </c>
      <c r="J5091" s="140" t="str">
        <f t="shared" si="319"/>
        <v/>
      </c>
    </row>
    <row r="5092" spans="6:10" x14ac:dyDescent="0.25">
      <c r="F5092" s="104"/>
      <c r="G5092" s="105" t="str">
        <f t="shared" si="316"/>
        <v/>
      </c>
      <c r="H5092" s="101" t="str">
        <f t="shared" si="317"/>
        <v/>
      </c>
      <c r="I5092" s="101" t="str">
        <f t="shared" si="318"/>
        <v/>
      </c>
      <c r="J5092" s="140" t="str">
        <f t="shared" si="319"/>
        <v/>
      </c>
    </row>
    <row r="5093" spans="6:10" x14ac:dyDescent="0.25">
      <c r="F5093" s="104"/>
      <c r="G5093" s="105" t="str">
        <f t="shared" si="316"/>
        <v/>
      </c>
      <c r="H5093" s="101" t="str">
        <f t="shared" si="317"/>
        <v/>
      </c>
      <c r="I5093" s="101" t="str">
        <f t="shared" si="318"/>
        <v/>
      </c>
      <c r="J5093" s="140" t="str">
        <f t="shared" si="319"/>
        <v/>
      </c>
    </row>
    <row r="5094" spans="6:10" x14ac:dyDescent="0.25">
      <c r="F5094" s="104"/>
      <c r="G5094" s="105" t="str">
        <f t="shared" si="316"/>
        <v/>
      </c>
      <c r="H5094" s="101" t="str">
        <f t="shared" si="317"/>
        <v/>
      </c>
      <c r="I5094" s="101" t="str">
        <f t="shared" si="318"/>
        <v/>
      </c>
      <c r="J5094" s="140" t="str">
        <f t="shared" si="319"/>
        <v/>
      </c>
    </row>
    <row r="5095" spans="6:10" x14ac:dyDescent="0.25">
      <c r="F5095" s="104"/>
      <c r="G5095" s="105" t="str">
        <f t="shared" si="316"/>
        <v/>
      </c>
      <c r="H5095" s="101" t="str">
        <f t="shared" si="317"/>
        <v/>
      </c>
      <c r="I5095" s="101" t="str">
        <f t="shared" si="318"/>
        <v/>
      </c>
      <c r="J5095" s="140" t="str">
        <f t="shared" si="319"/>
        <v/>
      </c>
    </row>
    <row r="5096" spans="6:10" x14ac:dyDescent="0.25">
      <c r="F5096" s="104"/>
      <c r="G5096" s="105" t="str">
        <f t="shared" si="316"/>
        <v/>
      </c>
      <c r="H5096" s="101" t="str">
        <f t="shared" si="317"/>
        <v/>
      </c>
      <c r="I5096" s="101" t="str">
        <f t="shared" si="318"/>
        <v/>
      </c>
      <c r="J5096" s="140" t="str">
        <f t="shared" si="319"/>
        <v/>
      </c>
    </row>
    <row r="5097" spans="6:10" x14ac:dyDescent="0.25">
      <c r="F5097" s="104"/>
      <c r="G5097" s="105" t="str">
        <f t="shared" si="316"/>
        <v/>
      </c>
      <c r="H5097" s="101" t="str">
        <f t="shared" si="317"/>
        <v/>
      </c>
      <c r="I5097" s="101" t="str">
        <f t="shared" si="318"/>
        <v/>
      </c>
      <c r="J5097" s="140" t="str">
        <f t="shared" si="319"/>
        <v/>
      </c>
    </row>
    <row r="5098" spans="6:10" x14ac:dyDescent="0.25">
      <c r="F5098" s="104"/>
      <c r="G5098" s="105" t="str">
        <f t="shared" si="316"/>
        <v/>
      </c>
      <c r="H5098" s="101" t="str">
        <f t="shared" si="317"/>
        <v/>
      </c>
      <c r="I5098" s="101" t="str">
        <f t="shared" si="318"/>
        <v/>
      </c>
      <c r="J5098" s="140" t="str">
        <f t="shared" si="319"/>
        <v/>
      </c>
    </row>
    <row r="5099" spans="6:10" x14ac:dyDescent="0.25">
      <c r="F5099" s="104"/>
      <c r="G5099" s="105" t="str">
        <f t="shared" si="316"/>
        <v/>
      </c>
      <c r="H5099" s="101" t="str">
        <f t="shared" si="317"/>
        <v/>
      </c>
      <c r="I5099" s="101" t="str">
        <f t="shared" si="318"/>
        <v/>
      </c>
      <c r="J5099" s="140" t="str">
        <f t="shared" si="319"/>
        <v/>
      </c>
    </row>
    <row r="5100" spans="6:10" x14ac:dyDescent="0.25">
      <c r="F5100" s="104"/>
      <c r="G5100" s="105" t="str">
        <f t="shared" si="316"/>
        <v/>
      </c>
      <c r="H5100" s="101" t="str">
        <f t="shared" si="317"/>
        <v/>
      </c>
      <c r="I5100" s="101" t="str">
        <f t="shared" si="318"/>
        <v/>
      </c>
      <c r="J5100" s="140" t="str">
        <f t="shared" si="319"/>
        <v/>
      </c>
    </row>
    <row r="5101" spans="6:10" x14ac:dyDescent="0.25">
      <c r="F5101" s="104"/>
      <c r="G5101" s="105" t="str">
        <f t="shared" si="316"/>
        <v/>
      </c>
      <c r="H5101" s="101" t="str">
        <f t="shared" si="317"/>
        <v/>
      </c>
      <c r="I5101" s="101" t="str">
        <f t="shared" si="318"/>
        <v/>
      </c>
      <c r="J5101" s="140" t="str">
        <f t="shared" si="319"/>
        <v/>
      </c>
    </row>
    <row r="5102" spans="6:10" x14ac:dyDescent="0.25">
      <c r="F5102" s="104"/>
      <c r="G5102" s="105" t="str">
        <f t="shared" si="316"/>
        <v/>
      </c>
      <c r="H5102" s="101" t="str">
        <f t="shared" si="317"/>
        <v/>
      </c>
      <c r="I5102" s="101" t="str">
        <f t="shared" si="318"/>
        <v/>
      </c>
      <c r="J5102" s="140" t="str">
        <f t="shared" si="319"/>
        <v/>
      </c>
    </row>
    <row r="5103" spans="6:10" x14ac:dyDescent="0.25">
      <c r="F5103" s="104"/>
      <c r="G5103" s="105" t="str">
        <f t="shared" si="316"/>
        <v/>
      </c>
      <c r="H5103" s="101" t="str">
        <f t="shared" si="317"/>
        <v/>
      </c>
      <c r="I5103" s="101" t="str">
        <f t="shared" si="318"/>
        <v/>
      </c>
      <c r="J5103" s="140" t="str">
        <f t="shared" si="319"/>
        <v/>
      </c>
    </row>
    <row r="5104" spans="6:10" x14ac:dyDescent="0.25">
      <c r="F5104" s="104"/>
      <c r="G5104" s="105" t="str">
        <f t="shared" si="316"/>
        <v/>
      </c>
      <c r="H5104" s="101" t="str">
        <f t="shared" si="317"/>
        <v/>
      </c>
      <c r="I5104" s="101" t="str">
        <f t="shared" si="318"/>
        <v/>
      </c>
      <c r="J5104" s="140" t="str">
        <f t="shared" si="319"/>
        <v/>
      </c>
    </row>
    <row r="5105" spans="6:10" x14ac:dyDescent="0.25">
      <c r="F5105" s="104"/>
      <c r="G5105" s="105" t="str">
        <f t="shared" si="316"/>
        <v/>
      </c>
      <c r="H5105" s="101" t="str">
        <f t="shared" si="317"/>
        <v/>
      </c>
      <c r="I5105" s="101" t="str">
        <f t="shared" si="318"/>
        <v/>
      </c>
      <c r="J5105" s="140" t="str">
        <f t="shared" si="319"/>
        <v/>
      </c>
    </row>
    <row r="5106" spans="6:10" x14ac:dyDescent="0.25">
      <c r="F5106" s="104"/>
      <c r="G5106" s="105" t="str">
        <f t="shared" si="316"/>
        <v/>
      </c>
      <c r="H5106" s="101" t="str">
        <f t="shared" si="317"/>
        <v/>
      </c>
      <c r="I5106" s="101" t="str">
        <f t="shared" si="318"/>
        <v/>
      </c>
      <c r="J5106" s="140" t="str">
        <f t="shared" si="319"/>
        <v/>
      </c>
    </row>
    <row r="5107" spans="6:10" x14ac:dyDescent="0.25">
      <c r="F5107" s="104"/>
      <c r="G5107" s="105" t="str">
        <f t="shared" si="316"/>
        <v/>
      </c>
      <c r="H5107" s="101" t="str">
        <f t="shared" si="317"/>
        <v/>
      </c>
      <c r="I5107" s="101" t="str">
        <f t="shared" si="318"/>
        <v/>
      </c>
      <c r="J5107" s="140" t="str">
        <f t="shared" si="319"/>
        <v/>
      </c>
    </row>
    <row r="5108" spans="6:10" x14ac:dyDescent="0.25">
      <c r="F5108" s="104"/>
      <c r="G5108" s="105" t="str">
        <f t="shared" si="316"/>
        <v/>
      </c>
      <c r="H5108" s="101" t="str">
        <f t="shared" si="317"/>
        <v/>
      </c>
      <c r="I5108" s="101" t="str">
        <f t="shared" si="318"/>
        <v/>
      </c>
      <c r="J5108" s="140" t="str">
        <f t="shared" si="319"/>
        <v/>
      </c>
    </row>
    <row r="5109" spans="6:10" x14ac:dyDescent="0.25">
      <c r="F5109" s="104"/>
      <c r="G5109" s="105" t="str">
        <f t="shared" si="316"/>
        <v/>
      </c>
      <c r="H5109" s="101" t="str">
        <f t="shared" si="317"/>
        <v/>
      </c>
      <c r="I5109" s="101" t="str">
        <f t="shared" si="318"/>
        <v/>
      </c>
      <c r="J5109" s="140" t="str">
        <f t="shared" si="319"/>
        <v/>
      </c>
    </row>
    <row r="5110" spans="6:10" x14ac:dyDescent="0.25">
      <c r="F5110" s="104"/>
      <c r="G5110" s="105" t="str">
        <f t="shared" si="316"/>
        <v/>
      </c>
      <c r="H5110" s="101" t="str">
        <f t="shared" si="317"/>
        <v/>
      </c>
      <c r="I5110" s="101" t="str">
        <f t="shared" si="318"/>
        <v/>
      </c>
      <c r="J5110" s="140" t="str">
        <f t="shared" si="319"/>
        <v/>
      </c>
    </row>
    <row r="5111" spans="6:10" x14ac:dyDescent="0.25">
      <c r="F5111" s="104"/>
      <c r="G5111" s="105" t="str">
        <f t="shared" si="316"/>
        <v/>
      </c>
      <c r="H5111" s="101" t="str">
        <f t="shared" si="317"/>
        <v/>
      </c>
      <c r="I5111" s="101" t="str">
        <f t="shared" si="318"/>
        <v/>
      </c>
      <c r="J5111" s="140" t="str">
        <f t="shared" si="319"/>
        <v/>
      </c>
    </row>
    <row r="5112" spans="6:10" x14ac:dyDescent="0.25">
      <c r="F5112" s="104"/>
      <c r="G5112" s="105" t="str">
        <f t="shared" si="316"/>
        <v/>
      </c>
      <c r="H5112" s="101" t="str">
        <f t="shared" si="317"/>
        <v/>
      </c>
      <c r="I5112" s="101" t="str">
        <f t="shared" si="318"/>
        <v/>
      </c>
      <c r="J5112" s="140" t="str">
        <f t="shared" si="319"/>
        <v/>
      </c>
    </row>
    <row r="5113" spans="6:10" x14ac:dyDescent="0.25">
      <c r="F5113" s="104"/>
      <c r="G5113" s="105" t="str">
        <f t="shared" si="316"/>
        <v/>
      </c>
      <c r="H5113" s="101" t="str">
        <f t="shared" si="317"/>
        <v/>
      </c>
      <c r="I5113" s="101" t="str">
        <f t="shared" si="318"/>
        <v/>
      </c>
      <c r="J5113" s="140" t="str">
        <f t="shared" si="319"/>
        <v/>
      </c>
    </row>
    <row r="5114" spans="6:10" x14ac:dyDescent="0.25">
      <c r="F5114" s="104"/>
      <c r="G5114" s="105" t="str">
        <f t="shared" si="316"/>
        <v/>
      </c>
      <c r="H5114" s="101" t="str">
        <f t="shared" si="317"/>
        <v/>
      </c>
      <c r="I5114" s="101" t="str">
        <f t="shared" si="318"/>
        <v/>
      </c>
      <c r="J5114" s="140" t="str">
        <f t="shared" si="319"/>
        <v/>
      </c>
    </row>
    <row r="5115" spans="6:10" x14ac:dyDescent="0.25">
      <c r="F5115" s="104"/>
      <c r="G5115" s="105" t="str">
        <f t="shared" si="316"/>
        <v/>
      </c>
      <c r="H5115" s="101" t="str">
        <f t="shared" si="317"/>
        <v/>
      </c>
      <c r="I5115" s="101" t="str">
        <f t="shared" si="318"/>
        <v/>
      </c>
      <c r="J5115" s="140" t="str">
        <f t="shared" si="319"/>
        <v/>
      </c>
    </row>
    <row r="5116" spans="6:10" x14ac:dyDescent="0.25">
      <c r="F5116" s="104"/>
      <c r="G5116" s="105" t="str">
        <f t="shared" si="316"/>
        <v/>
      </c>
      <c r="H5116" s="101" t="str">
        <f t="shared" si="317"/>
        <v/>
      </c>
      <c r="I5116" s="101" t="str">
        <f t="shared" si="318"/>
        <v/>
      </c>
      <c r="J5116" s="140" t="str">
        <f t="shared" si="319"/>
        <v/>
      </c>
    </row>
    <row r="5117" spans="6:10" x14ac:dyDescent="0.25">
      <c r="F5117" s="104"/>
      <c r="G5117" s="105" t="str">
        <f t="shared" si="316"/>
        <v/>
      </c>
      <c r="H5117" s="101" t="str">
        <f t="shared" si="317"/>
        <v/>
      </c>
      <c r="I5117" s="101" t="str">
        <f t="shared" si="318"/>
        <v/>
      </c>
      <c r="J5117" s="140" t="str">
        <f t="shared" si="319"/>
        <v/>
      </c>
    </row>
    <row r="5118" spans="6:10" x14ac:dyDescent="0.25">
      <c r="F5118" s="104"/>
      <c r="G5118" s="105" t="str">
        <f t="shared" si="316"/>
        <v/>
      </c>
      <c r="H5118" s="101" t="str">
        <f t="shared" si="317"/>
        <v/>
      </c>
      <c r="I5118" s="101" t="str">
        <f t="shared" si="318"/>
        <v/>
      </c>
      <c r="J5118" s="140" t="str">
        <f t="shared" si="319"/>
        <v/>
      </c>
    </row>
    <row r="5119" spans="6:10" x14ac:dyDescent="0.25">
      <c r="F5119" s="104"/>
      <c r="G5119" s="105" t="str">
        <f t="shared" si="316"/>
        <v/>
      </c>
      <c r="H5119" s="101" t="str">
        <f t="shared" si="317"/>
        <v/>
      </c>
      <c r="I5119" s="101" t="str">
        <f t="shared" si="318"/>
        <v/>
      </c>
      <c r="J5119" s="140" t="str">
        <f t="shared" si="319"/>
        <v/>
      </c>
    </row>
    <row r="5120" spans="6:10" x14ac:dyDescent="0.25">
      <c r="F5120" s="104"/>
      <c r="G5120" s="105" t="str">
        <f t="shared" si="316"/>
        <v/>
      </c>
      <c r="H5120" s="101" t="str">
        <f t="shared" si="317"/>
        <v/>
      </c>
      <c r="I5120" s="101" t="str">
        <f t="shared" si="318"/>
        <v/>
      </c>
      <c r="J5120" s="140" t="str">
        <f t="shared" si="319"/>
        <v/>
      </c>
    </row>
    <row r="5121" spans="6:10" x14ac:dyDescent="0.25">
      <c r="F5121" s="104"/>
      <c r="G5121" s="105" t="str">
        <f t="shared" si="316"/>
        <v/>
      </c>
      <c r="H5121" s="101" t="str">
        <f t="shared" si="317"/>
        <v/>
      </c>
      <c r="I5121" s="101" t="str">
        <f t="shared" si="318"/>
        <v/>
      </c>
      <c r="J5121" s="140" t="str">
        <f t="shared" si="319"/>
        <v/>
      </c>
    </row>
    <row r="5122" spans="6:10" x14ac:dyDescent="0.25">
      <c r="F5122" s="104"/>
      <c r="G5122" s="105" t="str">
        <f t="shared" si="316"/>
        <v/>
      </c>
      <c r="H5122" s="101" t="str">
        <f t="shared" si="317"/>
        <v/>
      </c>
      <c r="I5122" s="101" t="str">
        <f t="shared" si="318"/>
        <v/>
      </c>
      <c r="J5122" s="140" t="str">
        <f t="shared" si="319"/>
        <v/>
      </c>
    </row>
    <row r="5123" spans="6:10" x14ac:dyDescent="0.25">
      <c r="F5123" s="104"/>
      <c r="G5123" s="105" t="str">
        <f t="shared" si="316"/>
        <v/>
      </c>
      <c r="H5123" s="101" t="str">
        <f t="shared" si="317"/>
        <v/>
      </c>
      <c r="I5123" s="101" t="str">
        <f t="shared" si="318"/>
        <v/>
      </c>
      <c r="J5123" s="140" t="str">
        <f t="shared" si="319"/>
        <v/>
      </c>
    </row>
    <row r="5124" spans="6:10" x14ac:dyDescent="0.25">
      <c r="F5124" s="104"/>
      <c r="G5124" s="105" t="str">
        <f t="shared" si="316"/>
        <v/>
      </c>
      <c r="H5124" s="101" t="str">
        <f t="shared" si="317"/>
        <v/>
      </c>
      <c r="I5124" s="101" t="str">
        <f t="shared" si="318"/>
        <v/>
      </c>
      <c r="J5124" s="140" t="str">
        <f t="shared" si="319"/>
        <v/>
      </c>
    </row>
    <row r="5125" spans="6:10" x14ac:dyDescent="0.25">
      <c r="F5125" s="104"/>
      <c r="G5125" s="105" t="str">
        <f t="shared" si="316"/>
        <v/>
      </c>
      <c r="H5125" s="101" t="str">
        <f t="shared" si="317"/>
        <v/>
      </c>
      <c r="I5125" s="101" t="str">
        <f t="shared" si="318"/>
        <v/>
      </c>
      <c r="J5125" s="140" t="str">
        <f t="shared" si="319"/>
        <v/>
      </c>
    </row>
    <row r="5126" spans="6:10" x14ac:dyDescent="0.25">
      <c r="F5126" s="104"/>
      <c r="G5126" s="105" t="str">
        <f t="shared" si="316"/>
        <v/>
      </c>
      <c r="H5126" s="101" t="str">
        <f t="shared" si="317"/>
        <v/>
      </c>
      <c r="I5126" s="101" t="str">
        <f t="shared" si="318"/>
        <v/>
      </c>
      <c r="J5126" s="140" t="str">
        <f t="shared" si="319"/>
        <v/>
      </c>
    </row>
    <row r="5127" spans="6:10" x14ac:dyDescent="0.25">
      <c r="F5127" s="104"/>
      <c r="G5127" s="105" t="str">
        <f t="shared" si="316"/>
        <v/>
      </c>
      <c r="H5127" s="101" t="str">
        <f t="shared" si="317"/>
        <v/>
      </c>
      <c r="I5127" s="101" t="str">
        <f t="shared" si="318"/>
        <v/>
      </c>
      <c r="J5127" s="140" t="str">
        <f t="shared" si="319"/>
        <v/>
      </c>
    </row>
    <row r="5128" spans="6:10" x14ac:dyDescent="0.25">
      <c r="F5128" s="104"/>
      <c r="G5128" s="105" t="str">
        <f t="shared" ref="G5128:G5191" si="320">IF(E5128="","",E5128+0)</f>
        <v/>
      </c>
      <c r="H5128" s="101" t="str">
        <f t="shared" ref="H5128:H5191" si="321">IF(G5128="","",TRIM(CONCATENATE("Sinapi ",A5128)))</f>
        <v/>
      </c>
      <c r="I5128" s="101" t="str">
        <f t="shared" ref="I5128:I5191" si="322">TRIM(C5128)</f>
        <v/>
      </c>
      <c r="J5128" s="140" t="str">
        <f t="shared" si="319"/>
        <v/>
      </c>
    </row>
    <row r="5129" spans="6:10" x14ac:dyDescent="0.25">
      <c r="F5129" s="104"/>
      <c r="G5129" s="105" t="str">
        <f t="shared" si="320"/>
        <v/>
      </c>
      <c r="H5129" s="101" t="str">
        <f t="shared" si="321"/>
        <v/>
      </c>
      <c r="I5129" s="101" t="str">
        <f t="shared" si="322"/>
        <v/>
      </c>
      <c r="J5129" s="140" t="str">
        <f t="shared" ref="J5129:J5192" si="323">TRIM(B5129)</f>
        <v/>
      </c>
    </row>
    <row r="5130" spans="6:10" x14ac:dyDescent="0.25">
      <c r="F5130" s="104"/>
      <c r="G5130" s="105" t="str">
        <f t="shared" si="320"/>
        <v/>
      </c>
      <c r="H5130" s="101" t="str">
        <f t="shared" si="321"/>
        <v/>
      </c>
      <c r="I5130" s="101" t="str">
        <f t="shared" si="322"/>
        <v/>
      </c>
      <c r="J5130" s="140" t="str">
        <f t="shared" si="323"/>
        <v/>
      </c>
    </row>
    <row r="5131" spans="6:10" x14ac:dyDescent="0.25">
      <c r="F5131" s="104"/>
      <c r="G5131" s="105" t="str">
        <f t="shared" si="320"/>
        <v/>
      </c>
      <c r="H5131" s="101" t="str">
        <f t="shared" si="321"/>
        <v/>
      </c>
      <c r="I5131" s="101" t="str">
        <f t="shared" si="322"/>
        <v/>
      </c>
      <c r="J5131" s="140" t="str">
        <f t="shared" si="323"/>
        <v/>
      </c>
    </row>
    <row r="5132" spans="6:10" x14ac:dyDescent="0.25">
      <c r="F5132" s="104"/>
      <c r="G5132" s="105" t="str">
        <f t="shared" si="320"/>
        <v/>
      </c>
      <c r="H5132" s="101" t="str">
        <f t="shared" si="321"/>
        <v/>
      </c>
      <c r="I5132" s="101" t="str">
        <f t="shared" si="322"/>
        <v/>
      </c>
      <c r="J5132" s="140" t="str">
        <f t="shared" si="323"/>
        <v/>
      </c>
    </row>
    <row r="5133" spans="6:10" x14ac:dyDescent="0.25">
      <c r="F5133" s="104"/>
      <c r="G5133" s="105" t="str">
        <f t="shared" si="320"/>
        <v/>
      </c>
      <c r="H5133" s="101" t="str">
        <f t="shared" si="321"/>
        <v/>
      </c>
      <c r="I5133" s="101" t="str">
        <f t="shared" si="322"/>
        <v/>
      </c>
      <c r="J5133" s="140" t="str">
        <f t="shared" si="323"/>
        <v/>
      </c>
    </row>
    <row r="5134" spans="6:10" x14ac:dyDescent="0.25">
      <c r="F5134" s="104"/>
      <c r="G5134" s="105" t="str">
        <f t="shared" si="320"/>
        <v/>
      </c>
      <c r="H5134" s="101" t="str">
        <f t="shared" si="321"/>
        <v/>
      </c>
      <c r="I5134" s="101" t="str">
        <f t="shared" si="322"/>
        <v/>
      </c>
      <c r="J5134" s="140" t="str">
        <f t="shared" si="323"/>
        <v/>
      </c>
    </row>
    <row r="5135" spans="6:10" x14ac:dyDescent="0.25">
      <c r="F5135" s="104"/>
      <c r="G5135" s="105" t="str">
        <f t="shared" si="320"/>
        <v/>
      </c>
      <c r="H5135" s="101" t="str">
        <f t="shared" si="321"/>
        <v/>
      </c>
      <c r="I5135" s="101" t="str">
        <f t="shared" si="322"/>
        <v/>
      </c>
      <c r="J5135" s="140" t="str">
        <f t="shared" si="323"/>
        <v/>
      </c>
    </row>
    <row r="5136" spans="6:10" x14ac:dyDescent="0.25">
      <c r="F5136" s="104"/>
      <c r="G5136" s="105" t="str">
        <f t="shared" si="320"/>
        <v/>
      </c>
      <c r="H5136" s="101" t="str">
        <f t="shared" si="321"/>
        <v/>
      </c>
      <c r="I5136" s="101" t="str">
        <f t="shared" si="322"/>
        <v/>
      </c>
      <c r="J5136" s="140" t="str">
        <f t="shared" si="323"/>
        <v/>
      </c>
    </row>
    <row r="5137" spans="6:10" x14ac:dyDescent="0.25">
      <c r="F5137" s="104"/>
      <c r="G5137" s="105" t="str">
        <f t="shared" si="320"/>
        <v/>
      </c>
      <c r="H5137" s="101" t="str">
        <f t="shared" si="321"/>
        <v/>
      </c>
      <c r="I5137" s="101" t="str">
        <f t="shared" si="322"/>
        <v/>
      </c>
      <c r="J5137" s="140" t="str">
        <f t="shared" si="323"/>
        <v/>
      </c>
    </row>
    <row r="5138" spans="6:10" x14ac:dyDescent="0.25">
      <c r="F5138" s="104"/>
      <c r="G5138" s="105" t="str">
        <f t="shared" si="320"/>
        <v/>
      </c>
      <c r="H5138" s="101" t="str">
        <f t="shared" si="321"/>
        <v/>
      </c>
      <c r="I5138" s="101" t="str">
        <f t="shared" si="322"/>
        <v/>
      </c>
      <c r="J5138" s="140" t="str">
        <f t="shared" si="323"/>
        <v/>
      </c>
    </row>
    <row r="5139" spans="6:10" x14ac:dyDescent="0.25">
      <c r="F5139" s="104"/>
      <c r="G5139" s="105" t="str">
        <f t="shared" si="320"/>
        <v/>
      </c>
      <c r="H5139" s="101" t="str">
        <f t="shared" si="321"/>
        <v/>
      </c>
      <c r="I5139" s="101" t="str">
        <f t="shared" si="322"/>
        <v/>
      </c>
      <c r="J5139" s="140" t="str">
        <f t="shared" si="323"/>
        <v/>
      </c>
    </row>
    <row r="5140" spans="6:10" x14ac:dyDescent="0.25">
      <c r="F5140" s="104"/>
      <c r="G5140" s="105" t="str">
        <f t="shared" si="320"/>
        <v/>
      </c>
      <c r="H5140" s="101" t="str">
        <f t="shared" si="321"/>
        <v/>
      </c>
      <c r="I5140" s="101" t="str">
        <f t="shared" si="322"/>
        <v/>
      </c>
      <c r="J5140" s="140" t="str">
        <f t="shared" si="323"/>
        <v/>
      </c>
    </row>
    <row r="5141" spans="6:10" x14ac:dyDescent="0.25">
      <c r="F5141" s="104"/>
      <c r="G5141" s="105" t="str">
        <f t="shared" si="320"/>
        <v/>
      </c>
      <c r="H5141" s="101" t="str">
        <f t="shared" si="321"/>
        <v/>
      </c>
      <c r="I5141" s="101" t="str">
        <f t="shared" si="322"/>
        <v/>
      </c>
      <c r="J5141" s="140" t="str">
        <f t="shared" si="323"/>
        <v/>
      </c>
    </row>
    <row r="5142" spans="6:10" x14ac:dyDescent="0.25">
      <c r="F5142" s="104"/>
      <c r="G5142" s="105" t="str">
        <f t="shared" si="320"/>
        <v/>
      </c>
      <c r="H5142" s="101" t="str">
        <f t="shared" si="321"/>
        <v/>
      </c>
      <c r="I5142" s="101" t="str">
        <f t="shared" si="322"/>
        <v/>
      </c>
      <c r="J5142" s="140" t="str">
        <f t="shared" si="323"/>
        <v/>
      </c>
    </row>
    <row r="5143" spans="6:10" x14ac:dyDescent="0.25">
      <c r="F5143" s="104"/>
      <c r="G5143" s="105" t="str">
        <f t="shared" si="320"/>
        <v/>
      </c>
      <c r="H5143" s="101" t="str">
        <f t="shared" si="321"/>
        <v/>
      </c>
      <c r="I5143" s="101" t="str">
        <f t="shared" si="322"/>
        <v/>
      </c>
      <c r="J5143" s="140" t="str">
        <f t="shared" si="323"/>
        <v/>
      </c>
    </row>
    <row r="5144" spans="6:10" x14ac:dyDescent="0.25">
      <c r="F5144" s="104"/>
      <c r="G5144" s="105" t="str">
        <f t="shared" si="320"/>
        <v/>
      </c>
      <c r="H5144" s="101" t="str">
        <f t="shared" si="321"/>
        <v/>
      </c>
      <c r="I5144" s="101" t="str">
        <f t="shared" si="322"/>
        <v/>
      </c>
      <c r="J5144" s="140" t="str">
        <f t="shared" si="323"/>
        <v/>
      </c>
    </row>
    <row r="5145" spans="6:10" x14ac:dyDescent="0.25">
      <c r="F5145" s="104"/>
      <c r="G5145" s="105" t="str">
        <f t="shared" si="320"/>
        <v/>
      </c>
      <c r="H5145" s="101" t="str">
        <f t="shared" si="321"/>
        <v/>
      </c>
      <c r="I5145" s="101" t="str">
        <f t="shared" si="322"/>
        <v/>
      </c>
      <c r="J5145" s="140" t="str">
        <f t="shared" si="323"/>
        <v/>
      </c>
    </row>
    <row r="5146" spans="6:10" x14ac:dyDescent="0.25">
      <c r="F5146" s="104"/>
      <c r="G5146" s="105" t="str">
        <f t="shared" si="320"/>
        <v/>
      </c>
      <c r="H5146" s="101" t="str">
        <f t="shared" si="321"/>
        <v/>
      </c>
      <c r="I5146" s="101" t="str">
        <f t="shared" si="322"/>
        <v/>
      </c>
      <c r="J5146" s="140" t="str">
        <f t="shared" si="323"/>
        <v/>
      </c>
    </row>
    <row r="5147" spans="6:10" x14ac:dyDescent="0.25">
      <c r="F5147" s="104"/>
      <c r="G5147" s="105" t="str">
        <f t="shared" si="320"/>
        <v/>
      </c>
      <c r="H5147" s="101" t="str">
        <f t="shared" si="321"/>
        <v/>
      </c>
      <c r="I5147" s="101" t="str">
        <f t="shared" si="322"/>
        <v/>
      </c>
      <c r="J5147" s="140" t="str">
        <f t="shared" si="323"/>
        <v/>
      </c>
    </row>
    <row r="5148" spans="6:10" x14ac:dyDescent="0.25">
      <c r="F5148" s="104"/>
      <c r="G5148" s="105" t="str">
        <f t="shared" si="320"/>
        <v/>
      </c>
      <c r="H5148" s="101" t="str">
        <f t="shared" si="321"/>
        <v/>
      </c>
      <c r="I5148" s="101" t="str">
        <f t="shared" si="322"/>
        <v/>
      </c>
      <c r="J5148" s="140" t="str">
        <f t="shared" si="323"/>
        <v/>
      </c>
    </row>
    <row r="5149" spans="6:10" x14ac:dyDescent="0.25">
      <c r="F5149" s="104"/>
      <c r="G5149" s="105" t="str">
        <f t="shared" si="320"/>
        <v/>
      </c>
      <c r="H5149" s="101" t="str">
        <f t="shared" si="321"/>
        <v/>
      </c>
      <c r="I5149" s="101" t="str">
        <f t="shared" si="322"/>
        <v/>
      </c>
      <c r="J5149" s="140" t="str">
        <f t="shared" si="323"/>
        <v/>
      </c>
    </row>
    <row r="5150" spans="6:10" x14ac:dyDescent="0.25">
      <c r="F5150" s="104"/>
      <c r="G5150" s="105" t="str">
        <f t="shared" si="320"/>
        <v/>
      </c>
      <c r="H5150" s="101" t="str">
        <f t="shared" si="321"/>
        <v/>
      </c>
      <c r="I5150" s="101" t="str">
        <f t="shared" si="322"/>
        <v/>
      </c>
      <c r="J5150" s="140" t="str">
        <f t="shared" si="323"/>
        <v/>
      </c>
    </row>
    <row r="5151" spans="6:10" x14ac:dyDescent="0.25">
      <c r="F5151" s="104"/>
      <c r="G5151" s="105" t="str">
        <f t="shared" si="320"/>
        <v/>
      </c>
      <c r="H5151" s="101" t="str">
        <f t="shared" si="321"/>
        <v/>
      </c>
      <c r="I5151" s="101" t="str">
        <f t="shared" si="322"/>
        <v/>
      </c>
      <c r="J5151" s="140" t="str">
        <f t="shared" si="323"/>
        <v/>
      </c>
    </row>
    <row r="5152" spans="6:10" x14ac:dyDescent="0.25">
      <c r="F5152" s="104"/>
      <c r="G5152" s="105" t="str">
        <f t="shared" si="320"/>
        <v/>
      </c>
      <c r="H5152" s="101" t="str">
        <f t="shared" si="321"/>
        <v/>
      </c>
      <c r="I5152" s="101" t="str">
        <f t="shared" si="322"/>
        <v/>
      </c>
      <c r="J5152" s="140" t="str">
        <f t="shared" si="323"/>
        <v/>
      </c>
    </row>
    <row r="5153" spans="6:10" x14ac:dyDescent="0.25">
      <c r="F5153" s="104"/>
      <c r="G5153" s="105" t="str">
        <f t="shared" si="320"/>
        <v/>
      </c>
      <c r="H5153" s="101" t="str">
        <f t="shared" si="321"/>
        <v/>
      </c>
      <c r="I5153" s="101" t="str">
        <f t="shared" si="322"/>
        <v/>
      </c>
      <c r="J5153" s="140" t="str">
        <f t="shared" si="323"/>
        <v/>
      </c>
    </row>
    <row r="5154" spans="6:10" x14ac:dyDescent="0.25">
      <c r="F5154" s="104"/>
      <c r="G5154" s="105" t="str">
        <f t="shared" si="320"/>
        <v/>
      </c>
      <c r="H5154" s="101" t="str">
        <f t="shared" si="321"/>
        <v/>
      </c>
      <c r="I5154" s="101" t="str">
        <f t="shared" si="322"/>
        <v/>
      </c>
      <c r="J5154" s="140" t="str">
        <f t="shared" si="323"/>
        <v/>
      </c>
    </row>
    <row r="5155" spans="6:10" x14ac:dyDescent="0.25">
      <c r="F5155" s="104"/>
      <c r="G5155" s="105" t="str">
        <f t="shared" si="320"/>
        <v/>
      </c>
      <c r="H5155" s="101" t="str">
        <f t="shared" si="321"/>
        <v/>
      </c>
      <c r="I5155" s="101" t="str">
        <f t="shared" si="322"/>
        <v/>
      </c>
      <c r="J5155" s="140" t="str">
        <f t="shared" si="323"/>
        <v/>
      </c>
    </row>
    <row r="5156" spans="6:10" x14ac:dyDescent="0.25">
      <c r="F5156" s="104"/>
      <c r="G5156" s="105" t="str">
        <f t="shared" si="320"/>
        <v/>
      </c>
      <c r="H5156" s="101" t="str">
        <f t="shared" si="321"/>
        <v/>
      </c>
      <c r="I5156" s="101" t="str">
        <f t="shared" si="322"/>
        <v/>
      </c>
      <c r="J5156" s="140" t="str">
        <f t="shared" si="323"/>
        <v/>
      </c>
    </row>
    <row r="5157" spans="6:10" x14ac:dyDescent="0.25">
      <c r="F5157" s="104"/>
      <c r="G5157" s="105" t="str">
        <f t="shared" si="320"/>
        <v/>
      </c>
      <c r="H5157" s="101" t="str">
        <f t="shared" si="321"/>
        <v/>
      </c>
      <c r="I5157" s="101" t="str">
        <f t="shared" si="322"/>
        <v/>
      </c>
      <c r="J5157" s="140" t="str">
        <f t="shared" si="323"/>
        <v/>
      </c>
    </row>
    <row r="5158" spans="6:10" x14ac:dyDescent="0.25">
      <c r="F5158" s="104"/>
      <c r="G5158" s="105" t="str">
        <f t="shared" si="320"/>
        <v/>
      </c>
      <c r="H5158" s="101" t="str">
        <f t="shared" si="321"/>
        <v/>
      </c>
      <c r="I5158" s="101" t="str">
        <f t="shared" si="322"/>
        <v/>
      </c>
      <c r="J5158" s="140" t="str">
        <f t="shared" si="323"/>
        <v/>
      </c>
    </row>
    <row r="5159" spans="6:10" x14ac:dyDescent="0.25">
      <c r="F5159" s="104"/>
      <c r="G5159" s="105" t="str">
        <f t="shared" si="320"/>
        <v/>
      </c>
      <c r="H5159" s="101" t="str">
        <f t="shared" si="321"/>
        <v/>
      </c>
      <c r="I5159" s="101" t="str">
        <f t="shared" si="322"/>
        <v/>
      </c>
      <c r="J5159" s="140" t="str">
        <f t="shared" si="323"/>
        <v/>
      </c>
    </row>
    <row r="5160" spans="6:10" x14ac:dyDescent="0.25">
      <c r="F5160" s="104"/>
      <c r="G5160" s="105" t="str">
        <f t="shared" si="320"/>
        <v/>
      </c>
      <c r="H5160" s="101" t="str">
        <f t="shared" si="321"/>
        <v/>
      </c>
      <c r="I5160" s="101" t="str">
        <f t="shared" si="322"/>
        <v/>
      </c>
      <c r="J5160" s="140" t="str">
        <f t="shared" si="323"/>
        <v/>
      </c>
    </row>
    <row r="5161" spans="6:10" x14ac:dyDescent="0.25">
      <c r="F5161" s="104"/>
      <c r="G5161" s="105" t="str">
        <f t="shared" si="320"/>
        <v/>
      </c>
      <c r="H5161" s="101" t="str">
        <f t="shared" si="321"/>
        <v/>
      </c>
      <c r="I5161" s="101" t="str">
        <f t="shared" si="322"/>
        <v/>
      </c>
      <c r="J5161" s="140" t="str">
        <f t="shared" si="323"/>
        <v/>
      </c>
    </row>
    <row r="5162" spans="6:10" x14ac:dyDescent="0.25">
      <c r="F5162" s="104"/>
      <c r="G5162" s="105" t="str">
        <f t="shared" si="320"/>
        <v/>
      </c>
      <c r="H5162" s="101" t="str">
        <f t="shared" si="321"/>
        <v/>
      </c>
      <c r="I5162" s="101" t="str">
        <f t="shared" si="322"/>
        <v/>
      </c>
      <c r="J5162" s="140" t="str">
        <f t="shared" si="323"/>
        <v/>
      </c>
    </row>
    <row r="5163" spans="6:10" x14ac:dyDescent="0.25">
      <c r="F5163" s="104"/>
      <c r="G5163" s="105" t="str">
        <f t="shared" si="320"/>
        <v/>
      </c>
      <c r="H5163" s="101" t="str">
        <f t="shared" si="321"/>
        <v/>
      </c>
      <c r="I5163" s="101" t="str">
        <f t="shared" si="322"/>
        <v/>
      </c>
      <c r="J5163" s="140" t="str">
        <f t="shared" si="323"/>
        <v/>
      </c>
    </row>
    <row r="5164" spans="6:10" x14ac:dyDescent="0.25">
      <c r="F5164" s="104"/>
      <c r="G5164" s="105" t="str">
        <f t="shared" si="320"/>
        <v/>
      </c>
      <c r="H5164" s="101" t="str">
        <f t="shared" si="321"/>
        <v/>
      </c>
      <c r="I5164" s="101" t="str">
        <f t="shared" si="322"/>
        <v/>
      </c>
      <c r="J5164" s="140" t="str">
        <f t="shared" si="323"/>
        <v/>
      </c>
    </row>
    <row r="5165" spans="6:10" x14ac:dyDescent="0.25">
      <c r="F5165" s="104"/>
      <c r="G5165" s="105" t="str">
        <f t="shared" si="320"/>
        <v/>
      </c>
      <c r="H5165" s="101" t="str">
        <f t="shared" si="321"/>
        <v/>
      </c>
      <c r="I5165" s="101" t="str">
        <f t="shared" si="322"/>
        <v/>
      </c>
      <c r="J5165" s="140" t="str">
        <f t="shared" si="323"/>
        <v/>
      </c>
    </row>
    <row r="5166" spans="6:10" x14ac:dyDescent="0.25">
      <c r="F5166" s="104"/>
      <c r="G5166" s="105" t="str">
        <f t="shared" si="320"/>
        <v/>
      </c>
      <c r="H5166" s="101" t="str">
        <f t="shared" si="321"/>
        <v/>
      </c>
      <c r="I5166" s="101" t="str">
        <f t="shared" si="322"/>
        <v/>
      </c>
      <c r="J5166" s="140" t="str">
        <f t="shared" si="323"/>
        <v/>
      </c>
    </row>
    <row r="5167" spans="6:10" x14ac:dyDescent="0.25">
      <c r="F5167" s="104"/>
      <c r="G5167" s="105" t="str">
        <f t="shared" si="320"/>
        <v/>
      </c>
      <c r="H5167" s="101" t="str">
        <f t="shared" si="321"/>
        <v/>
      </c>
      <c r="I5167" s="101" t="str">
        <f t="shared" si="322"/>
        <v/>
      </c>
      <c r="J5167" s="140" t="str">
        <f t="shared" si="323"/>
        <v/>
      </c>
    </row>
    <row r="5168" spans="6:10" x14ac:dyDescent="0.25">
      <c r="F5168" s="104"/>
      <c r="G5168" s="105" t="str">
        <f t="shared" si="320"/>
        <v/>
      </c>
      <c r="H5168" s="101" t="str">
        <f t="shared" si="321"/>
        <v/>
      </c>
      <c r="I5168" s="101" t="str">
        <f t="shared" si="322"/>
        <v/>
      </c>
      <c r="J5168" s="140" t="str">
        <f t="shared" si="323"/>
        <v/>
      </c>
    </row>
    <row r="5169" spans="6:10" x14ac:dyDescent="0.25">
      <c r="F5169" s="104"/>
      <c r="G5169" s="105" t="str">
        <f t="shared" si="320"/>
        <v/>
      </c>
      <c r="H5169" s="101" t="str">
        <f t="shared" si="321"/>
        <v/>
      </c>
      <c r="I5169" s="101" t="str">
        <f t="shared" si="322"/>
        <v/>
      </c>
      <c r="J5169" s="140" t="str">
        <f t="shared" si="323"/>
        <v/>
      </c>
    </row>
    <row r="5170" spans="6:10" x14ac:dyDescent="0.25">
      <c r="F5170" s="104"/>
      <c r="G5170" s="105" t="str">
        <f t="shared" si="320"/>
        <v/>
      </c>
      <c r="H5170" s="101" t="str">
        <f t="shared" si="321"/>
        <v/>
      </c>
      <c r="I5170" s="101" t="str">
        <f t="shared" si="322"/>
        <v/>
      </c>
      <c r="J5170" s="140" t="str">
        <f t="shared" si="323"/>
        <v/>
      </c>
    </row>
    <row r="5171" spans="6:10" x14ac:dyDescent="0.25">
      <c r="F5171" s="104"/>
      <c r="G5171" s="105" t="str">
        <f t="shared" si="320"/>
        <v/>
      </c>
      <c r="H5171" s="101" t="str">
        <f t="shared" si="321"/>
        <v/>
      </c>
      <c r="I5171" s="101" t="str">
        <f t="shared" si="322"/>
        <v/>
      </c>
      <c r="J5171" s="140" t="str">
        <f t="shared" si="323"/>
        <v/>
      </c>
    </row>
    <row r="5172" spans="6:10" x14ac:dyDescent="0.25">
      <c r="F5172" s="104"/>
      <c r="G5172" s="105" t="str">
        <f t="shared" si="320"/>
        <v/>
      </c>
      <c r="H5172" s="101" t="str">
        <f t="shared" si="321"/>
        <v/>
      </c>
      <c r="I5172" s="101" t="str">
        <f t="shared" si="322"/>
        <v/>
      </c>
      <c r="J5172" s="140" t="str">
        <f t="shared" si="323"/>
        <v/>
      </c>
    </row>
    <row r="5173" spans="6:10" x14ac:dyDescent="0.25">
      <c r="F5173" s="104"/>
      <c r="G5173" s="105" t="str">
        <f t="shared" si="320"/>
        <v/>
      </c>
      <c r="H5173" s="101" t="str">
        <f t="shared" si="321"/>
        <v/>
      </c>
      <c r="I5173" s="101" t="str">
        <f t="shared" si="322"/>
        <v/>
      </c>
      <c r="J5173" s="140" t="str">
        <f t="shared" si="323"/>
        <v/>
      </c>
    </row>
    <row r="5174" spans="6:10" x14ac:dyDescent="0.25">
      <c r="F5174" s="104"/>
      <c r="G5174" s="105" t="str">
        <f t="shared" si="320"/>
        <v/>
      </c>
      <c r="H5174" s="101" t="str">
        <f t="shared" si="321"/>
        <v/>
      </c>
      <c r="I5174" s="101" t="str">
        <f t="shared" si="322"/>
        <v/>
      </c>
      <c r="J5174" s="140" t="str">
        <f t="shared" si="323"/>
        <v/>
      </c>
    </row>
    <row r="5175" spans="6:10" x14ac:dyDescent="0.25">
      <c r="F5175" s="104"/>
      <c r="G5175" s="105" t="str">
        <f t="shared" si="320"/>
        <v/>
      </c>
      <c r="H5175" s="101" t="str">
        <f t="shared" si="321"/>
        <v/>
      </c>
      <c r="I5175" s="101" t="str">
        <f t="shared" si="322"/>
        <v/>
      </c>
      <c r="J5175" s="140" t="str">
        <f t="shared" si="323"/>
        <v/>
      </c>
    </row>
    <row r="5176" spans="6:10" x14ac:dyDescent="0.25">
      <c r="F5176" s="104"/>
      <c r="G5176" s="105" t="str">
        <f t="shared" si="320"/>
        <v/>
      </c>
      <c r="H5176" s="101" t="str">
        <f t="shared" si="321"/>
        <v/>
      </c>
      <c r="I5176" s="101" t="str">
        <f t="shared" si="322"/>
        <v/>
      </c>
      <c r="J5176" s="140" t="str">
        <f t="shared" si="323"/>
        <v/>
      </c>
    </row>
    <row r="5177" spans="6:10" x14ac:dyDescent="0.25">
      <c r="F5177" s="104"/>
      <c r="G5177" s="105" t="str">
        <f t="shared" si="320"/>
        <v/>
      </c>
      <c r="H5177" s="101" t="str">
        <f t="shared" si="321"/>
        <v/>
      </c>
      <c r="I5177" s="101" t="str">
        <f t="shared" si="322"/>
        <v/>
      </c>
      <c r="J5177" s="140" t="str">
        <f t="shared" si="323"/>
        <v/>
      </c>
    </row>
    <row r="5178" spans="6:10" x14ac:dyDescent="0.25">
      <c r="F5178" s="104"/>
      <c r="G5178" s="105" t="str">
        <f t="shared" si="320"/>
        <v/>
      </c>
      <c r="H5178" s="101" t="str">
        <f t="shared" si="321"/>
        <v/>
      </c>
      <c r="I5178" s="101" t="str">
        <f t="shared" si="322"/>
        <v/>
      </c>
      <c r="J5178" s="140" t="str">
        <f t="shared" si="323"/>
        <v/>
      </c>
    </row>
    <row r="5179" spans="6:10" x14ac:dyDescent="0.25">
      <c r="F5179" s="104"/>
      <c r="G5179" s="105" t="str">
        <f t="shared" si="320"/>
        <v/>
      </c>
      <c r="H5179" s="101" t="str">
        <f t="shared" si="321"/>
        <v/>
      </c>
      <c r="I5179" s="101" t="str">
        <f t="shared" si="322"/>
        <v/>
      </c>
      <c r="J5179" s="140" t="str">
        <f t="shared" si="323"/>
        <v/>
      </c>
    </row>
    <row r="5180" spans="6:10" x14ac:dyDescent="0.25">
      <c r="F5180" s="104"/>
      <c r="G5180" s="105" t="str">
        <f t="shared" si="320"/>
        <v/>
      </c>
      <c r="H5180" s="101" t="str">
        <f t="shared" si="321"/>
        <v/>
      </c>
      <c r="I5180" s="101" t="str">
        <f t="shared" si="322"/>
        <v/>
      </c>
      <c r="J5180" s="140" t="str">
        <f t="shared" si="323"/>
        <v/>
      </c>
    </row>
    <row r="5181" spans="6:10" x14ac:dyDescent="0.25">
      <c r="F5181" s="104"/>
      <c r="G5181" s="105" t="str">
        <f t="shared" si="320"/>
        <v/>
      </c>
      <c r="H5181" s="101" t="str">
        <f t="shared" si="321"/>
        <v/>
      </c>
      <c r="I5181" s="101" t="str">
        <f t="shared" si="322"/>
        <v/>
      </c>
      <c r="J5181" s="140" t="str">
        <f t="shared" si="323"/>
        <v/>
      </c>
    </row>
    <row r="5182" spans="6:10" x14ac:dyDescent="0.25">
      <c r="F5182" s="104"/>
      <c r="G5182" s="105" t="str">
        <f t="shared" si="320"/>
        <v/>
      </c>
      <c r="H5182" s="101" t="str">
        <f t="shared" si="321"/>
        <v/>
      </c>
      <c r="I5182" s="101" t="str">
        <f t="shared" si="322"/>
        <v/>
      </c>
      <c r="J5182" s="140" t="str">
        <f t="shared" si="323"/>
        <v/>
      </c>
    </row>
    <row r="5183" spans="6:10" x14ac:dyDescent="0.25">
      <c r="F5183" s="104"/>
      <c r="G5183" s="105" t="str">
        <f t="shared" si="320"/>
        <v/>
      </c>
      <c r="H5183" s="101" t="str">
        <f t="shared" si="321"/>
        <v/>
      </c>
      <c r="I5183" s="101" t="str">
        <f t="shared" si="322"/>
        <v/>
      </c>
      <c r="J5183" s="140" t="str">
        <f t="shared" si="323"/>
        <v/>
      </c>
    </row>
    <row r="5184" spans="6:10" x14ac:dyDescent="0.25">
      <c r="F5184" s="104"/>
      <c r="G5184" s="105" t="str">
        <f t="shared" si="320"/>
        <v/>
      </c>
      <c r="H5184" s="101" t="str">
        <f t="shared" si="321"/>
        <v/>
      </c>
      <c r="I5184" s="101" t="str">
        <f t="shared" si="322"/>
        <v/>
      </c>
      <c r="J5184" s="140" t="str">
        <f t="shared" si="323"/>
        <v/>
      </c>
    </row>
    <row r="5185" spans="6:10" x14ac:dyDescent="0.25">
      <c r="F5185" s="104"/>
      <c r="G5185" s="105" t="str">
        <f t="shared" si="320"/>
        <v/>
      </c>
      <c r="H5185" s="101" t="str">
        <f t="shared" si="321"/>
        <v/>
      </c>
      <c r="I5185" s="101" t="str">
        <f t="shared" si="322"/>
        <v/>
      </c>
      <c r="J5185" s="140" t="str">
        <f t="shared" si="323"/>
        <v/>
      </c>
    </row>
    <row r="5186" spans="6:10" x14ac:dyDescent="0.25">
      <c r="F5186" s="104"/>
      <c r="G5186" s="105" t="str">
        <f t="shared" si="320"/>
        <v/>
      </c>
      <c r="H5186" s="101" t="str">
        <f t="shared" si="321"/>
        <v/>
      </c>
      <c r="I5186" s="101" t="str">
        <f t="shared" si="322"/>
        <v/>
      </c>
      <c r="J5186" s="140" t="str">
        <f t="shared" si="323"/>
        <v/>
      </c>
    </row>
    <row r="5187" spans="6:10" x14ac:dyDescent="0.25">
      <c r="F5187" s="104"/>
      <c r="G5187" s="105" t="str">
        <f t="shared" si="320"/>
        <v/>
      </c>
      <c r="H5187" s="101" t="str">
        <f t="shared" si="321"/>
        <v/>
      </c>
      <c r="I5187" s="101" t="str">
        <f t="shared" si="322"/>
        <v/>
      </c>
      <c r="J5187" s="140" t="str">
        <f t="shared" si="323"/>
        <v/>
      </c>
    </row>
    <row r="5188" spans="6:10" x14ac:dyDescent="0.25">
      <c r="F5188" s="104"/>
      <c r="G5188" s="105" t="str">
        <f t="shared" si="320"/>
        <v/>
      </c>
      <c r="H5188" s="101" t="str">
        <f t="shared" si="321"/>
        <v/>
      </c>
      <c r="I5188" s="101" t="str">
        <f t="shared" si="322"/>
        <v/>
      </c>
      <c r="J5188" s="140" t="str">
        <f t="shared" si="323"/>
        <v/>
      </c>
    </row>
    <row r="5189" spans="6:10" x14ac:dyDescent="0.25">
      <c r="F5189" s="104"/>
      <c r="G5189" s="105" t="str">
        <f t="shared" si="320"/>
        <v/>
      </c>
      <c r="H5189" s="101" t="str">
        <f t="shared" si="321"/>
        <v/>
      </c>
      <c r="I5189" s="101" t="str">
        <f t="shared" si="322"/>
        <v/>
      </c>
      <c r="J5189" s="140" t="str">
        <f t="shared" si="323"/>
        <v/>
      </c>
    </row>
    <row r="5190" spans="6:10" x14ac:dyDescent="0.25">
      <c r="F5190" s="104"/>
      <c r="G5190" s="105" t="str">
        <f t="shared" si="320"/>
        <v/>
      </c>
      <c r="H5190" s="101" t="str">
        <f t="shared" si="321"/>
        <v/>
      </c>
      <c r="I5190" s="101" t="str">
        <f t="shared" si="322"/>
        <v/>
      </c>
      <c r="J5190" s="140" t="str">
        <f t="shared" si="323"/>
        <v/>
      </c>
    </row>
    <row r="5191" spans="6:10" x14ac:dyDescent="0.25">
      <c r="F5191" s="104"/>
      <c r="G5191" s="105" t="str">
        <f t="shared" si="320"/>
        <v/>
      </c>
      <c r="H5191" s="101" t="str">
        <f t="shared" si="321"/>
        <v/>
      </c>
      <c r="I5191" s="101" t="str">
        <f t="shared" si="322"/>
        <v/>
      </c>
      <c r="J5191" s="140" t="str">
        <f t="shared" si="323"/>
        <v/>
      </c>
    </row>
    <row r="5192" spans="6:10" x14ac:dyDescent="0.25">
      <c r="F5192" s="104"/>
      <c r="G5192" s="105" t="str">
        <f t="shared" ref="G5192:G5255" si="324">IF(E5192="","",E5192+0)</f>
        <v/>
      </c>
      <c r="H5192" s="101" t="str">
        <f t="shared" ref="H5192:H5255" si="325">IF(G5192="","",TRIM(CONCATENATE("Sinapi ",A5192)))</f>
        <v/>
      </c>
      <c r="I5192" s="101" t="str">
        <f t="shared" ref="I5192:I5255" si="326">TRIM(C5192)</f>
        <v/>
      </c>
      <c r="J5192" s="140" t="str">
        <f t="shared" si="323"/>
        <v/>
      </c>
    </row>
    <row r="5193" spans="6:10" x14ac:dyDescent="0.25">
      <c r="F5193" s="104"/>
      <c r="G5193" s="105" t="str">
        <f t="shared" si="324"/>
        <v/>
      </c>
      <c r="H5193" s="101" t="str">
        <f t="shared" si="325"/>
        <v/>
      </c>
      <c r="I5193" s="101" t="str">
        <f t="shared" si="326"/>
        <v/>
      </c>
      <c r="J5193" s="140" t="str">
        <f t="shared" ref="J5193:J5256" si="327">TRIM(B5193)</f>
        <v/>
      </c>
    </row>
    <row r="5194" spans="6:10" x14ac:dyDescent="0.25">
      <c r="F5194" s="104"/>
      <c r="G5194" s="105" t="str">
        <f t="shared" si="324"/>
        <v/>
      </c>
      <c r="H5194" s="101" t="str">
        <f t="shared" si="325"/>
        <v/>
      </c>
      <c r="I5194" s="101" t="str">
        <f t="shared" si="326"/>
        <v/>
      </c>
      <c r="J5194" s="140" t="str">
        <f t="shared" si="327"/>
        <v/>
      </c>
    </row>
    <row r="5195" spans="6:10" x14ac:dyDescent="0.25">
      <c r="F5195" s="104"/>
      <c r="G5195" s="105" t="str">
        <f t="shared" si="324"/>
        <v/>
      </c>
      <c r="H5195" s="101" t="str">
        <f t="shared" si="325"/>
        <v/>
      </c>
      <c r="I5195" s="101" t="str">
        <f t="shared" si="326"/>
        <v/>
      </c>
      <c r="J5195" s="140" t="str">
        <f t="shared" si="327"/>
        <v/>
      </c>
    </row>
    <row r="5196" spans="6:10" x14ac:dyDescent="0.25">
      <c r="F5196" s="104"/>
      <c r="G5196" s="105" t="str">
        <f t="shared" si="324"/>
        <v/>
      </c>
      <c r="H5196" s="101" t="str">
        <f t="shared" si="325"/>
        <v/>
      </c>
      <c r="I5196" s="101" t="str">
        <f t="shared" si="326"/>
        <v/>
      </c>
      <c r="J5196" s="140" t="str">
        <f t="shared" si="327"/>
        <v/>
      </c>
    </row>
    <row r="5197" spans="6:10" x14ac:dyDescent="0.25">
      <c r="F5197" s="104"/>
      <c r="G5197" s="105" t="str">
        <f t="shared" si="324"/>
        <v/>
      </c>
      <c r="H5197" s="101" t="str">
        <f t="shared" si="325"/>
        <v/>
      </c>
      <c r="I5197" s="101" t="str">
        <f t="shared" si="326"/>
        <v/>
      </c>
      <c r="J5197" s="140" t="str">
        <f t="shared" si="327"/>
        <v/>
      </c>
    </row>
    <row r="5198" spans="6:10" x14ac:dyDescent="0.25">
      <c r="F5198" s="104"/>
      <c r="G5198" s="105" t="str">
        <f t="shared" si="324"/>
        <v/>
      </c>
      <c r="H5198" s="101" t="str">
        <f t="shared" si="325"/>
        <v/>
      </c>
      <c r="I5198" s="101" t="str">
        <f t="shared" si="326"/>
        <v/>
      </c>
      <c r="J5198" s="140" t="str">
        <f t="shared" si="327"/>
        <v/>
      </c>
    </row>
    <row r="5199" spans="6:10" x14ac:dyDescent="0.25">
      <c r="F5199" s="104"/>
      <c r="G5199" s="105" t="str">
        <f t="shared" si="324"/>
        <v/>
      </c>
      <c r="H5199" s="101" t="str">
        <f t="shared" si="325"/>
        <v/>
      </c>
      <c r="I5199" s="101" t="str">
        <f t="shared" si="326"/>
        <v/>
      </c>
      <c r="J5199" s="140" t="str">
        <f t="shared" si="327"/>
        <v/>
      </c>
    </row>
    <row r="5200" spans="6:10" x14ac:dyDescent="0.25">
      <c r="F5200" s="104"/>
      <c r="G5200" s="105" t="str">
        <f t="shared" si="324"/>
        <v/>
      </c>
      <c r="H5200" s="101" t="str">
        <f t="shared" si="325"/>
        <v/>
      </c>
      <c r="I5200" s="101" t="str">
        <f t="shared" si="326"/>
        <v/>
      </c>
      <c r="J5200" s="140" t="str">
        <f t="shared" si="327"/>
        <v/>
      </c>
    </row>
    <row r="5201" spans="6:10" x14ac:dyDescent="0.25">
      <c r="F5201" s="104"/>
      <c r="G5201" s="105" t="str">
        <f t="shared" si="324"/>
        <v/>
      </c>
      <c r="H5201" s="101" t="str">
        <f t="shared" si="325"/>
        <v/>
      </c>
      <c r="I5201" s="101" t="str">
        <f t="shared" si="326"/>
        <v/>
      </c>
      <c r="J5201" s="140" t="str">
        <f t="shared" si="327"/>
        <v/>
      </c>
    </row>
    <row r="5202" spans="6:10" x14ac:dyDescent="0.25">
      <c r="F5202" s="104"/>
      <c r="G5202" s="105" t="str">
        <f t="shared" si="324"/>
        <v/>
      </c>
      <c r="H5202" s="101" t="str">
        <f t="shared" si="325"/>
        <v/>
      </c>
      <c r="I5202" s="101" t="str">
        <f t="shared" si="326"/>
        <v/>
      </c>
      <c r="J5202" s="140" t="str">
        <f t="shared" si="327"/>
        <v/>
      </c>
    </row>
    <row r="5203" spans="6:10" x14ac:dyDescent="0.25">
      <c r="F5203" s="104"/>
      <c r="G5203" s="105" t="str">
        <f t="shared" si="324"/>
        <v/>
      </c>
      <c r="H5203" s="101" t="str">
        <f t="shared" si="325"/>
        <v/>
      </c>
      <c r="I5203" s="101" t="str">
        <f t="shared" si="326"/>
        <v/>
      </c>
      <c r="J5203" s="140" t="str">
        <f t="shared" si="327"/>
        <v/>
      </c>
    </row>
    <row r="5204" spans="6:10" x14ac:dyDescent="0.25">
      <c r="F5204" s="104"/>
      <c r="G5204" s="105" t="str">
        <f t="shared" si="324"/>
        <v/>
      </c>
      <c r="H5204" s="101" t="str">
        <f t="shared" si="325"/>
        <v/>
      </c>
      <c r="I5204" s="101" t="str">
        <f t="shared" si="326"/>
        <v/>
      </c>
      <c r="J5204" s="140" t="str">
        <f t="shared" si="327"/>
        <v/>
      </c>
    </row>
    <row r="5205" spans="6:10" x14ac:dyDescent="0.25">
      <c r="F5205" s="104"/>
      <c r="G5205" s="105" t="str">
        <f t="shared" si="324"/>
        <v/>
      </c>
      <c r="H5205" s="101" t="str">
        <f t="shared" si="325"/>
        <v/>
      </c>
      <c r="I5205" s="101" t="str">
        <f t="shared" si="326"/>
        <v/>
      </c>
      <c r="J5205" s="140" t="str">
        <f t="shared" si="327"/>
        <v/>
      </c>
    </row>
    <row r="5206" spans="6:10" x14ac:dyDescent="0.25">
      <c r="F5206" s="104"/>
      <c r="G5206" s="105" t="str">
        <f t="shared" si="324"/>
        <v/>
      </c>
      <c r="H5206" s="101" t="str">
        <f t="shared" si="325"/>
        <v/>
      </c>
      <c r="I5206" s="101" t="str">
        <f t="shared" si="326"/>
        <v/>
      </c>
      <c r="J5206" s="140" t="str">
        <f t="shared" si="327"/>
        <v/>
      </c>
    </row>
    <row r="5207" spans="6:10" x14ac:dyDescent="0.25">
      <c r="F5207" s="104"/>
      <c r="G5207" s="105" t="str">
        <f t="shared" si="324"/>
        <v/>
      </c>
      <c r="H5207" s="101" t="str">
        <f t="shared" si="325"/>
        <v/>
      </c>
      <c r="I5207" s="101" t="str">
        <f t="shared" si="326"/>
        <v/>
      </c>
      <c r="J5207" s="140" t="str">
        <f t="shared" si="327"/>
        <v/>
      </c>
    </row>
    <row r="5208" spans="6:10" x14ac:dyDescent="0.25">
      <c r="F5208" s="104"/>
      <c r="G5208" s="105" t="str">
        <f t="shared" si="324"/>
        <v/>
      </c>
      <c r="H5208" s="101" t="str">
        <f t="shared" si="325"/>
        <v/>
      </c>
      <c r="I5208" s="101" t="str">
        <f t="shared" si="326"/>
        <v/>
      </c>
      <c r="J5208" s="140" t="str">
        <f t="shared" si="327"/>
        <v/>
      </c>
    </row>
    <row r="5209" spans="6:10" x14ac:dyDescent="0.25">
      <c r="F5209" s="104"/>
      <c r="G5209" s="105" t="str">
        <f t="shared" si="324"/>
        <v/>
      </c>
      <c r="H5209" s="101" t="str">
        <f t="shared" si="325"/>
        <v/>
      </c>
      <c r="I5209" s="101" t="str">
        <f t="shared" si="326"/>
        <v/>
      </c>
      <c r="J5209" s="140" t="str">
        <f t="shared" si="327"/>
        <v/>
      </c>
    </row>
    <row r="5210" spans="6:10" x14ac:dyDescent="0.25">
      <c r="F5210" s="104"/>
      <c r="G5210" s="105" t="str">
        <f t="shared" si="324"/>
        <v/>
      </c>
      <c r="H5210" s="101" t="str">
        <f t="shared" si="325"/>
        <v/>
      </c>
      <c r="I5210" s="101" t="str">
        <f t="shared" si="326"/>
        <v/>
      </c>
      <c r="J5210" s="140" t="str">
        <f t="shared" si="327"/>
        <v/>
      </c>
    </row>
    <row r="5211" spans="6:10" x14ac:dyDescent="0.25">
      <c r="F5211" s="104"/>
      <c r="G5211" s="105" t="str">
        <f t="shared" si="324"/>
        <v/>
      </c>
      <c r="H5211" s="101" t="str">
        <f t="shared" si="325"/>
        <v/>
      </c>
      <c r="I5211" s="101" t="str">
        <f t="shared" si="326"/>
        <v/>
      </c>
      <c r="J5211" s="140" t="str">
        <f t="shared" si="327"/>
        <v/>
      </c>
    </row>
    <row r="5212" spans="6:10" x14ac:dyDescent="0.25">
      <c r="F5212" s="104"/>
      <c r="G5212" s="105" t="str">
        <f t="shared" si="324"/>
        <v/>
      </c>
      <c r="H5212" s="101" t="str">
        <f t="shared" si="325"/>
        <v/>
      </c>
      <c r="I5212" s="101" t="str">
        <f t="shared" si="326"/>
        <v/>
      </c>
      <c r="J5212" s="140" t="str">
        <f t="shared" si="327"/>
        <v/>
      </c>
    </row>
    <row r="5213" spans="6:10" x14ac:dyDescent="0.25">
      <c r="F5213" s="104"/>
      <c r="G5213" s="105" t="str">
        <f t="shared" si="324"/>
        <v/>
      </c>
      <c r="H5213" s="101" t="str">
        <f t="shared" si="325"/>
        <v/>
      </c>
      <c r="I5213" s="101" t="str">
        <f t="shared" si="326"/>
        <v/>
      </c>
      <c r="J5213" s="140" t="str">
        <f t="shared" si="327"/>
        <v/>
      </c>
    </row>
    <row r="5214" spans="6:10" x14ac:dyDescent="0.25">
      <c r="F5214" s="104"/>
      <c r="G5214" s="105" t="str">
        <f t="shared" si="324"/>
        <v/>
      </c>
      <c r="H5214" s="101" t="str">
        <f t="shared" si="325"/>
        <v/>
      </c>
      <c r="I5214" s="101" t="str">
        <f t="shared" si="326"/>
        <v/>
      </c>
      <c r="J5214" s="140" t="str">
        <f t="shared" si="327"/>
        <v/>
      </c>
    </row>
    <row r="5215" spans="6:10" x14ac:dyDescent="0.25">
      <c r="F5215" s="104"/>
      <c r="G5215" s="105" t="str">
        <f t="shared" si="324"/>
        <v/>
      </c>
      <c r="H5215" s="101" t="str">
        <f t="shared" si="325"/>
        <v/>
      </c>
      <c r="I5215" s="101" t="str">
        <f t="shared" si="326"/>
        <v/>
      </c>
      <c r="J5215" s="140" t="str">
        <f t="shared" si="327"/>
        <v/>
      </c>
    </row>
    <row r="5216" spans="6:10" x14ac:dyDescent="0.25">
      <c r="F5216" s="104"/>
      <c r="G5216" s="105" t="str">
        <f t="shared" si="324"/>
        <v/>
      </c>
      <c r="H5216" s="101" t="str">
        <f t="shared" si="325"/>
        <v/>
      </c>
      <c r="I5216" s="101" t="str">
        <f t="shared" si="326"/>
        <v/>
      </c>
      <c r="J5216" s="140" t="str">
        <f t="shared" si="327"/>
        <v/>
      </c>
    </row>
    <row r="5217" spans="6:10" x14ac:dyDescent="0.25">
      <c r="F5217" s="104"/>
      <c r="G5217" s="105" t="str">
        <f t="shared" si="324"/>
        <v/>
      </c>
      <c r="H5217" s="101" t="str">
        <f t="shared" si="325"/>
        <v/>
      </c>
      <c r="I5217" s="101" t="str">
        <f t="shared" si="326"/>
        <v/>
      </c>
      <c r="J5217" s="140" t="str">
        <f t="shared" si="327"/>
        <v/>
      </c>
    </row>
    <row r="5218" spans="6:10" x14ac:dyDescent="0.25">
      <c r="F5218" s="104"/>
      <c r="G5218" s="105" t="str">
        <f t="shared" si="324"/>
        <v/>
      </c>
      <c r="H5218" s="101" t="str">
        <f t="shared" si="325"/>
        <v/>
      </c>
      <c r="I5218" s="101" t="str">
        <f t="shared" si="326"/>
        <v/>
      </c>
      <c r="J5218" s="140" t="str">
        <f t="shared" si="327"/>
        <v/>
      </c>
    </row>
    <row r="5219" spans="6:10" x14ac:dyDescent="0.25">
      <c r="F5219" s="104"/>
      <c r="G5219" s="105" t="str">
        <f t="shared" si="324"/>
        <v/>
      </c>
      <c r="H5219" s="101" t="str">
        <f t="shared" si="325"/>
        <v/>
      </c>
      <c r="I5219" s="101" t="str">
        <f t="shared" si="326"/>
        <v/>
      </c>
      <c r="J5219" s="140" t="str">
        <f t="shared" si="327"/>
        <v/>
      </c>
    </row>
    <row r="5220" spans="6:10" x14ac:dyDescent="0.25">
      <c r="F5220" s="104"/>
      <c r="G5220" s="105" t="str">
        <f t="shared" si="324"/>
        <v/>
      </c>
      <c r="H5220" s="101" t="str">
        <f t="shared" si="325"/>
        <v/>
      </c>
      <c r="I5220" s="101" t="str">
        <f t="shared" si="326"/>
        <v/>
      </c>
      <c r="J5220" s="140" t="str">
        <f t="shared" si="327"/>
        <v/>
      </c>
    </row>
    <row r="5221" spans="6:10" x14ac:dyDescent="0.25">
      <c r="F5221" s="104"/>
      <c r="G5221" s="105" t="str">
        <f t="shared" si="324"/>
        <v/>
      </c>
      <c r="H5221" s="101" t="str">
        <f t="shared" si="325"/>
        <v/>
      </c>
      <c r="I5221" s="101" t="str">
        <f t="shared" si="326"/>
        <v/>
      </c>
      <c r="J5221" s="140" t="str">
        <f t="shared" si="327"/>
        <v/>
      </c>
    </row>
    <row r="5222" spans="6:10" x14ac:dyDescent="0.25">
      <c r="F5222" s="104"/>
      <c r="G5222" s="105" t="str">
        <f t="shared" si="324"/>
        <v/>
      </c>
      <c r="H5222" s="101" t="str">
        <f t="shared" si="325"/>
        <v/>
      </c>
      <c r="I5222" s="101" t="str">
        <f t="shared" si="326"/>
        <v/>
      </c>
      <c r="J5222" s="140" t="str">
        <f t="shared" si="327"/>
        <v/>
      </c>
    </row>
    <row r="5223" spans="6:10" x14ac:dyDescent="0.25">
      <c r="F5223" s="104"/>
      <c r="G5223" s="105" t="str">
        <f t="shared" si="324"/>
        <v/>
      </c>
      <c r="H5223" s="101" t="str">
        <f t="shared" si="325"/>
        <v/>
      </c>
      <c r="I5223" s="101" t="str">
        <f t="shared" si="326"/>
        <v/>
      </c>
      <c r="J5223" s="140" t="str">
        <f t="shared" si="327"/>
        <v/>
      </c>
    </row>
    <row r="5224" spans="6:10" x14ac:dyDescent="0.25">
      <c r="F5224" s="104"/>
      <c r="G5224" s="105" t="str">
        <f t="shared" si="324"/>
        <v/>
      </c>
      <c r="H5224" s="101" t="str">
        <f t="shared" si="325"/>
        <v/>
      </c>
      <c r="I5224" s="101" t="str">
        <f t="shared" si="326"/>
        <v/>
      </c>
      <c r="J5224" s="140" t="str">
        <f t="shared" si="327"/>
        <v/>
      </c>
    </row>
    <row r="5225" spans="6:10" x14ac:dyDescent="0.25">
      <c r="F5225" s="104"/>
      <c r="G5225" s="105" t="str">
        <f t="shared" si="324"/>
        <v/>
      </c>
      <c r="H5225" s="101" t="str">
        <f t="shared" si="325"/>
        <v/>
      </c>
      <c r="I5225" s="101" t="str">
        <f t="shared" si="326"/>
        <v/>
      </c>
      <c r="J5225" s="140" t="str">
        <f t="shared" si="327"/>
        <v/>
      </c>
    </row>
    <row r="5226" spans="6:10" x14ac:dyDescent="0.25">
      <c r="F5226" s="104"/>
      <c r="G5226" s="105" t="str">
        <f t="shared" si="324"/>
        <v/>
      </c>
      <c r="H5226" s="101" t="str">
        <f t="shared" si="325"/>
        <v/>
      </c>
      <c r="I5226" s="101" t="str">
        <f t="shared" si="326"/>
        <v/>
      </c>
      <c r="J5226" s="140" t="str">
        <f t="shared" si="327"/>
        <v/>
      </c>
    </row>
    <row r="5227" spans="6:10" x14ac:dyDescent="0.25">
      <c r="F5227" s="104"/>
      <c r="G5227" s="105" t="str">
        <f t="shared" si="324"/>
        <v/>
      </c>
      <c r="H5227" s="101" t="str">
        <f t="shared" si="325"/>
        <v/>
      </c>
      <c r="I5227" s="101" t="str">
        <f t="shared" si="326"/>
        <v/>
      </c>
      <c r="J5227" s="140" t="str">
        <f t="shared" si="327"/>
        <v/>
      </c>
    </row>
    <row r="5228" spans="6:10" x14ac:dyDescent="0.25">
      <c r="F5228" s="104"/>
      <c r="G5228" s="105" t="str">
        <f t="shared" si="324"/>
        <v/>
      </c>
      <c r="H5228" s="101" t="str">
        <f t="shared" si="325"/>
        <v/>
      </c>
      <c r="I5228" s="101" t="str">
        <f t="shared" si="326"/>
        <v/>
      </c>
      <c r="J5228" s="140" t="str">
        <f t="shared" si="327"/>
        <v/>
      </c>
    </row>
    <row r="5229" spans="6:10" x14ac:dyDescent="0.25">
      <c r="F5229" s="104"/>
      <c r="G5229" s="105" t="str">
        <f t="shared" si="324"/>
        <v/>
      </c>
      <c r="H5229" s="101" t="str">
        <f t="shared" si="325"/>
        <v/>
      </c>
      <c r="I5229" s="101" t="str">
        <f t="shared" si="326"/>
        <v/>
      </c>
      <c r="J5229" s="140" t="str">
        <f t="shared" si="327"/>
        <v/>
      </c>
    </row>
    <row r="5230" spans="6:10" x14ac:dyDescent="0.25">
      <c r="F5230" s="104"/>
      <c r="G5230" s="105" t="str">
        <f t="shared" si="324"/>
        <v/>
      </c>
      <c r="H5230" s="101" t="str">
        <f t="shared" si="325"/>
        <v/>
      </c>
      <c r="I5230" s="101" t="str">
        <f t="shared" si="326"/>
        <v/>
      </c>
      <c r="J5230" s="140" t="str">
        <f t="shared" si="327"/>
        <v/>
      </c>
    </row>
    <row r="5231" spans="6:10" x14ac:dyDescent="0.25">
      <c r="F5231" s="104"/>
      <c r="G5231" s="105" t="str">
        <f t="shared" si="324"/>
        <v/>
      </c>
      <c r="H5231" s="101" t="str">
        <f t="shared" si="325"/>
        <v/>
      </c>
      <c r="I5231" s="101" t="str">
        <f t="shared" si="326"/>
        <v/>
      </c>
      <c r="J5231" s="140" t="str">
        <f t="shared" si="327"/>
        <v/>
      </c>
    </row>
    <row r="5232" spans="6:10" x14ac:dyDescent="0.25">
      <c r="F5232" s="104"/>
      <c r="G5232" s="105" t="str">
        <f t="shared" si="324"/>
        <v/>
      </c>
      <c r="H5232" s="101" t="str">
        <f t="shared" si="325"/>
        <v/>
      </c>
      <c r="I5232" s="101" t="str">
        <f t="shared" si="326"/>
        <v/>
      </c>
      <c r="J5232" s="140" t="str">
        <f t="shared" si="327"/>
        <v/>
      </c>
    </row>
    <row r="5233" spans="6:10" x14ac:dyDescent="0.25">
      <c r="F5233" s="104"/>
      <c r="G5233" s="105" t="str">
        <f t="shared" si="324"/>
        <v/>
      </c>
      <c r="H5233" s="101" t="str">
        <f t="shared" si="325"/>
        <v/>
      </c>
      <c r="I5233" s="101" t="str">
        <f t="shared" si="326"/>
        <v/>
      </c>
      <c r="J5233" s="140" t="str">
        <f t="shared" si="327"/>
        <v/>
      </c>
    </row>
    <row r="5234" spans="6:10" x14ac:dyDescent="0.25">
      <c r="F5234" s="104"/>
      <c r="G5234" s="105" t="str">
        <f t="shared" si="324"/>
        <v/>
      </c>
      <c r="H5234" s="101" t="str">
        <f t="shared" si="325"/>
        <v/>
      </c>
      <c r="I5234" s="101" t="str">
        <f t="shared" si="326"/>
        <v/>
      </c>
      <c r="J5234" s="140" t="str">
        <f t="shared" si="327"/>
        <v/>
      </c>
    </row>
    <row r="5235" spans="6:10" x14ac:dyDescent="0.25">
      <c r="F5235" s="104"/>
      <c r="G5235" s="105" t="str">
        <f t="shared" si="324"/>
        <v/>
      </c>
      <c r="H5235" s="101" t="str">
        <f t="shared" si="325"/>
        <v/>
      </c>
      <c r="I5235" s="101" t="str">
        <f t="shared" si="326"/>
        <v/>
      </c>
      <c r="J5235" s="140" t="str">
        <f t="shared" si="327"/>
        <v/>
      </c>
    </row>
    <row r="5236" spans="6:10" x14ac:dyDescent="0.25">
      <c r="F5236" s="104"/>
      <c r="G5236" s="105" t="str">
        <f t="shared" si="324"/>
        <v/>
      </c>
      <c r="H5236" s="101" t="str">
        <f t="shared" si="325"/>
        <v/>
      </c>
      <c r="I5236" s="101" t="str">
        <f t="shared" si="326"/>
        <v/>
      </c>
      <c r="J5236" s="140" t="str">
        <f t="shared" si="327"/>
        <v/>
      </c>
    </row>
    <row r="5237" spans="6:10" x14ac:dyDescent="0.25">
      <c r="F5237" s="104"/>
      <c r="G5237" s="105" t="str">
        <f t="shared" si="324"/>
        <v/>
      </c>
      <c r="H5237" s="101" t="str">
        <f t="shared" si="325"/>
        <v/>
      </c>
      <c r="I5237" s="101" t="str">
        <f t="shared" si="326"/>
        <v/>
      </c>
      <c r="J5237" s="140" t="str">
        <f t="shared" si="327"/>
        <v/>
      </c>
    </row>
    <row r="5238" spans="6:10" x14ac:dyDescent="0.25">
      <c r="F5238" s="104"/>
      <c r="G5238" s="105" t="str">
        <f t="shared" si="324"/>
        <v/>
      </c>
      <c r="H5238" s="101" t="str">
        <f t="shared" si="325"/>
        <v/>
      </c>
      <c r="I5238" s="101" t="str">
        <f t="shared" si="326"/>
        <v/>
      </c>
      <c r="J5238" s="140" t="str">
        <f t="shared" si="327"/>
        <v/>
      </c>
    </row>
    <row r="5239" spans="6:10" x14ac:dyDescent="0.25">
      <c r="F5239" s="104"/>
      <c r="G5239" s="105" t="str">
        <f t="shared" si="324"/>
        <v/>
      </c>
      <c r="H5239" s="101" t="str">
        <f t="shared" si="325"/>
        <v/>
      </c>
      <c r="I5239" s="101" t="str">
        <f t="shared" si="326"/>
        <v/>
      </c>
      <c r="J5239" s="140" t="str">
        <f t="shared" si="327"/>
        <v/>
      </c>
    </row>
    <row r="5240" spans="6:10" x14ac:dyDescent="0.25">
      <c r="F5240" s="104"/>
      <c r="G5240" s="105" t="str">
        <f t="shared" si="324"/>
        <v/>
      </c>
      <c r="H5240" s="101" t="str">
        <f t="shared" si="325"/>
        <v/>
      </c>
      <c r="I5240" s="101" t="str">
        <f t="shared" si="326"/>
        <v/>
      </c>
      <c r="J5240" s="140" t="str">
        <f t="shared" si="327"/>
        <v/>
      </c>
    </row>
    <row r="5241" spans="6:10" x14ac:dyDescent="0.25">
      <c r="F5241" s="104"/>
      <c r="G5241" s="105" t="str">
        <f t="shared" si="324"/>
        <v/>
      </c>
      <c r="H5241" s="101" t="str">
        <f t="shared" si="325"/>
        <v/>
      </c>
      <c r="I5241" s="101" t="str">
        <f t="shared" si="326"/>
        <v/>
      </c>
      <c r="J5241" s="140" t="str">
        <f t="shared" si="327"/>
        <v/>
      </c>
    </row>
    <row r="5242" spans="6:10" x14ac:dyDescent="0.25">
      <c r="F5242" s="104"/>
      <c r="G5242" s="105" t="str">
        <f t="shared" si="324"/>
        <v/>
      </c>
      <c r="H5242" s="101" t="str">
        <f t="shared" si="325"/>
        <v/>
      </c>
      <c r="I5242" s="101" t="str">
        <f t="shared" si="326"/>
        <v/>
      </c>
      <c r="J5242" s="140" t="str">
        <f t="shared" si="327"/>
        <v/>
      </c>
    </row>
    <row r="5243" spans="6:10" x14ac:dyDescent="0.25">
      <c r="F5243" s="104"/>
      <c r="G5243" s="105" t="str">
        <f t="shared" si="324"/>
        <v/>
      </c>
      <c r="H5243" s="101" t="str">
        <f t="shared" si="325"/>
        <v/>
      </c>
      <c r="I5243" s="101" t="str">
        <f t="shared" si="326"/>
        <v/>
      </c>
      <c r="J5243" s="140" t="str">
        <f t="shared" si="327"/>
        <v/>
      </c>
    </row>
    <row r="5244" spans="6:10" x14ac:dyDescent="0.25">
      <c r="F5244" s="104"/>
      <c r="G5244" s="105" t="str">
        <f t="shared" si="324"/>
        <v/>
      </c>
      <c r="H5244" s="101" t="str">
        <f t="shared" si="325"/>
        <v/>
      </c>
      <c r="I5244" s="101" t="str">
        <f t="shared" si="326"/>
        <v/>
      </c>
      <c r="J5244" s="140" t="str">
        <f t="shared" si="327"/>
        <v/>
      </c>
    </row>
    <row r="5245" spans="6:10" x14ac:dyDescent="0.25">
      <c r="F5245" s="104"/>
      <c r="G5245" s="105" t="str">
        <f t="shared" si="324"/>
        <v/>
      </c>
      <c r="H5245" s="101" t="str">
        <f t="shared" si="325"/>
        <v/>
      </c>
      <c r="I5245" s="101" t="str">
        <f t="shared" si="326"/>
        <v/>
      </c>
      <c r="J5245" s="140" t="str">
        <f t="shared" si="327"/>
        <v/>
      </c>
    </row>
    <row r="5246" spans="6:10" x14ac:dyDescent="0.25">
      <c r="F5246" s="104"/>
      <c r="G5246" s="105" t="str">
        <f t="shared" si="324"/>
        <v/>
      </c>
      <c r="H5246" s="101" t="str">
        <f t="shared" si="325"/>
        <v/>
      </c>
      <c r="I5246" s="101" t="str">
        <f t="shared" si="326"/>
        <v/>
      </c>
      <c r="J5246" s="140" t="str">
        <f t="shared" si="327"/>
        <v/>
      </c>
    </row>
    <row r="5247" spans="6:10" x14ac:dyDescent="0.25">
      <c r="F5247" s="104"/>
      <c r="G5247" s="105" t="str">
        <f t="shared" si="324"/>
        <v/>
      </c>
      <c r="H5247" s="101" t="str">
        <f t="shared" si="325"/>
        <v/>
      </c>
      <c r="I5247" s="101" t="str">
        <f t="shared" si="326"/>
        <v/>
      </c>
      <c r="J5247" s="140" t="str">
        <f t="shared" si="327"/>
        <v/>
      </c>
    </row>
    <row r="5248" spans="6:10" x14ac:dyDescent="0.25">
      <c r="F5248" s="104"/>
      <c r="G5248" s="105" t="str">
        <f t="shared" si="324"/>
        <v/>
      </c>
      <c r="H5248" s="101" t="str">
        <f t="shared" si="325"/>
        <v/>
      </c>
      <c r="I5248" s="101" t="str">
        <f t="shared" si="326"/>
        <v/>
      </c>
      <c r="J5248" s="140" t="str">
        <f t="shared" si="327"/>
        <v/>
      </c>
    </row>
    <row r="5249" spans="6:10" x14ac:dyDescent="0.25">
      <c r="F5249" s="104"/>
      <c r="G5249" s="105" t="str">
        <f t="shared" si="324"/>
        <v/>
      </c>
      <c r="H5249" s="101" t="str">
        <f t="shared" si="325"/>
        <v/>
      </c>
      <c r="I5249" s="101" t="str">
        <f t="shared" si="326"/>
        <v/>
      </c>
      <c r="J5249" s="140" t="str">
        <f t="shared" si="327"/>
        <v/>
      </c>
    </row>
    <row r="5250" spans="6:10" x14ac:dyDescent="0.25">
      <c r="F5250" s="104"/>
      <c r="G5250" s="105" t="str">
        <f t="shared" si="324"/>
        <v/>
      </c>
      <c r="H5250" s="101" t="str">
        <f t="shared" si="325"/>
        <v/>
      </c>
      <c r="I5250" s="101" t="str">
        <f t="shared" si="326"/>
        <v/>
      </c>
      <c r="J5250" s="140" t="str">
        <f t="shared" si="327"/>
        <v/>
      </c>
    </row>
    <row r="5251" spans="6:10" x14ac:dyDescent="0.25">
      <c r="F5251" s="104"/>
      <c r="G5251" s="105" t="str">
        <f t="shared" si="324"/>
        <v/>
      </c>
      <c r="H5251" s="101" t="str">
        <f t="shared" si="325"/>
        <v/>
      </c>
      <c r="I5251" s="101" t="str">
        <f t="shared" si="326"/>
        <v/>
      </c>
      <c r="J5251" s="140" t="str">
        <f t="shared" si="327"/>
        <v/>
      </c>
    </row>
    <row r="5252" spans="6:10" x14ac:dyDescent="0.25">
      <c r="F5252" s="104"/>
      <c r="G5252" s="105" t="str">
        <f t="shared" si="324"/>
        <v/>
      </c>
      <c r="H5252" s="101" t="str">
        <f t="shared" si="325"/>
        <v/>
      </c>
      <c r="I5252" s="101" t="str">
        <f t="shared" si="326"/>
        <v/>
      </c>
      <c r="J5252" s="140" t="str">
        <f t="shared" si="327"/>
        <v/>
      </c>
    </row>
    <row r="5253" spans="6:10" x14ac:dyDescent="0.25">
      <c r="F5253" s="104"/>
      <c r="G5253" s="105" t="str">
        <f t="shared" si="324"/>
        <v/>
      </c>
      <c r="H5253" s="101" t="str">
        <f t="shared" si="325"/>
        <v/>
      </c>
      <c r="I5253" s="101" t="str">
        <f t="shared" si="326"/>
        <v/>
      </c>
      <c r="J5253" s="140" t="str">
        <f t="shared" si="327"/>
        <v/>
      </c>
    </row>
    <row r="5254" spans="6:10" x14ac:dyDescent="0.25">
      <c r="F5254" s="104"/>
      <c r="G5254" s="105" t="str">
        <f t="shared" si="324"/>
        <v/>
      </c>
      <c r="H5254" s="101" t="str">
        <f t="shared" si="325"/>
        <v/>
      </c>
      <c r="I5254" s="101" t="str">
        <f t="shared" si="326"/>
        <v/>
      </c>
      <c r="J5254" s="140" t="str">
        <f t="shared" si="327"/>
        <v/>
      </c>
    </row>
    <row r="5255" spans="6:10" x14ac:dyDescent="0.25">
      <c r="F5255" s="104"/>
      <c r="G5255" s="105" t="str">
        <f t="shared" si="324"/>
        <v/>
      </c>
      <c r="H5255" s="101" t="str">
        <f t="shared" si="325"/>
        <v/>
      </c>
      <c r="I5255" s="101" t="str">
        <f t="shared" si="326"/>
        <v/>
      </c>
      <c r="J5255" s="140" t="str">
        <f t="shared" si="327"/>
        <v/>
      </c>
    </row>
    <row r="5256" spans="6:10" x14ac:dyDescent="0.25">
      <c r="F5256" s="104"/>
      <c r="G5256" s="105" t="str">
        <f t="shared" ref="G5256:G5319" si="328">IF(E5256="","",E5256+0)</f>
        <v/>
      </c>
      <c r="H5256" s="101" t="str">
        <f t="shared" ref="H5256:H5319" si="329">IF(G5256="","",TRIM(CONCATENATE("Sinapi ",A5256)))</f>
        <v/>
      </c>
      <c r="I5256" s="101" t="str">
        <f t="shared" ref="I5256:I5319" si="330">TRIM(C5256)</f>
        <v/>
      </c>
      <c r="J5256" s="140" t="str">
        <f t="shared" si="327"/>
        <v/>
      </c>
    </row>
    <row r="5257" spans="6:10" x14ac:dyDescent="0.25">
      <c r="F5257" s="104"/>
      <c r="G5257" s="105" t="str">
        <f t="shared" si="328"/>
        <v/>
      </c>
      <c r="H5257" s="101" t="str">
        <f t="shared" si="329"/>
        <v/>
      </c>
      <c r="I5257" s="101" t="str">
        <f t="shared" si="330"/>
        <v/>
      </c>
      <c r="J5257" s="140" t="str">
        <f t="shared" ref="J5257:J5320" si="331">TRIM(B5257)</f>
        <v/>
      </c>
    </row>
    <row r="5258" spans="6:10" x14ac:dyDescent="0.25">
      <c r="F5258" s="104"/>
      <c r="G5258" s="105" t="str">
        <f t="shared" si="328"/>
        <v/>
      </c>
      <c r="H5258" s="101" t="str">
        <f t="shared" si="329"/>
        <v/>
      </c>
      <c r="I5258" s="101" t="str">
        <f t="shared" si="330"/>
        <v/>
      </c>
      <c r="J5258" s="140" t="str">
        <f t="shared" si="331"/>
        <v/>
      </c>
    </row>
    <row r="5259" spans="6:10" x14ac:dyDescent="0.25">
      <c r="F5259" s="104"/>
      <c r="G5259" s="105" t="str">
        <f t="shared" si="328"/>
        <v/>
      </c>
      <c r="H5259" s="101" t="str">
        <f t="shared" si="329"/>
        <v/>
      </c>
      <c r="I5259" s="101" t="str">
        <f t="shared" si="330"/>
        <v/>
      </c>
      <c r="J5259" s="140" t="str">
        <f t="shared" si="331"/>
        <v/>
      </c>
    </row>
    <row r="5260" spans="6:10" x14ac:dyDescent="0.25">
      <c r="F5260" s="104"/>
      <c r="G5260" s="105" t="str">
        <f t="shared" si="328"/>
        <v/>
      </c>
      <c r="H5260" s="101" t="str">
        <f t="shared" si="329"/>
        <v/>
      </c>
      <c r="I5260" s="101" t="str">
        <f t="shared" si="330"/>
        <v/>
      </c>
      <c r="J5260" s="140" t="str">
        <f t="shared" si="331"/>
        <v/>
      </c>
    </row>
    <row r="5261" spans="6:10" x14ac:dyDescent="0.25">
      <c r="F5261" s="104"/>
      <c r="G5261" s="105" t="str">
        <f t="shared" si="328"/>
        <v/>
      </c>
      <c r="H5261" s="101" t="str">
        <f t="shared" si="329"/>
        <v/>
      </c>
      <c r="I5261" s="101" t="str">
        <f t="shared" si="330"/>
        <v/>
      </c>
      <c r="J5261" s="140" t="str">
        <f t="shared" si="331"/>
        <v/>
      </c>
    </row>
    <row r="5262" spans="6:10" x14ac:dyDescent="0.25">
      <c r="F5262" s="104"/>
      <c r="G5262" s="105" t="str">
        <f t="shared" si="328"/>
        <v/>
      </c>
      <c r="H5262" s="101" t="str">
        <f t="shared" si="329"/>
        <v/>
      </c>
      <c r="I5262" s="101" t="str">
        <f t="shared" si="330"/>
        <v/>
      </c>
      <c r="J5262" s="140" t="str">
        <f t="shared" si="331"/>
        <v/>
      </c>
    </row>
    <row r="5263" spans="6:10" x14ac:dyDescent="0.25">
      <c r="F5263" s="104"/>
      <c r="G5263" s="105" t="str">
        <f t="shared" si="328"/>
        <v/>
      </c>
      <c r="H5263" s="101" t="str">
        <f t="shared" si="329"/>
        <v/>
      </c>
      <c r="I5263" s="101" t="str">
        <f t="shared" si="330"/>
        <v/>
      </c>
      <c r="J5263" s="140" t="str">
        <f t="shared" si="331"/>
        <v/>
      </c>
    </row>
    <row r="5264" spans="6:10" x14ac:dyDescent="0.25">
      <c r="F5264" s="104"/>
      <c r="G5264" s="105" t="str">
        <f t="shared" si="328"/>
        <v/>
      </c>
      <c r="H5264" s="101" t="str">
        <f t="shared" si="329"/>
        <v/>
      </c>
      <c r="I5264" s="101" t="str">
        <f t="shared" si="330"/>
        <v/>
      </c>
      <c r="J5264" s="140" t="str">
        <f t="shared" si="331"/>
        <v/>
      </c>
    </row>
    <row r="5265" spans="6:10" x14ac:dyDescent="0.25">
      <c r="F5265" s="104"/>
      <c r="G5265" s="105" t="str">
        <f t="shared" si="328"/>
        <v/>
      </c>
      <c r="H5265" s="101" t="str">
        <f t="shared" si="329"/>
        <v/>
      </c>
      <c r="I5265" s="101" t="str">
        <f t="shared" si="330"/>
        <v/>
      </c>
      <c r="J5265" s="140" t="str">
        <f t="shared" si="331"/>
        <v/>
      </c>
    </row>
    <row r="5266" spans="6:10" x14ac:dyDescent="0.25">
      <c r="F5266" s="104"/>
      <c r="G5266" s="105" t="str">
        <f t="shared" si="328"/>
        <v/>
      </c>
      <c r="H5266" s="101" t="str">
        <f t="shared" si="329"/>
        <v/>
      </c>
      <c r="I5266" s="101" t="str">
        <f t="shared" si="330"/>
        <v/>
      </c>
      <c r="J5266" s="140" t="str">
        <f t="shared" si="331"/>
        <v/>
      </c>
    </row>
    <row r="5267" spans="6:10" x14ac:dyDescent="0.25">
      <c r="F5267" s="104"/>
      <c r="G5267" s="105" t="str">
        <f t="shared" si="328"/>
        <v/>
      </c>
      <c r="H5267" s="101" t="str">
        <f t="shared" si="329"/>
        <v/>
      </c>
      <c r="I5267" s="101" t="str">
        <f t="shared" si="330"/>
        <v/>
      </c>
      <c r="J5267" s="140" t="str">
        <f t="shared" si="331"/>
        <v/>
      </c>
    </row>
    <row r="5268" spans="6:10" x14ac:dyDescent="0.25">
      <c r="F5268" s="104"/>
      <c r="G5268" s="105" t="str">
        <f t="shared" si="328"/>
        <v/>
      </c>
      <c r="H5268" s="101" t="str">
        <f t="shared" si="329"/>
        <v/>
      </c>
      <c r="I5268" s="101" t="str">
        <f t="shared" si="330"/>
        <v/>
      </c>
      <c r="J5268" s="140" t="str">
        <f t="shared" si="331"/>
        <v/>
      </c>
    </row>
    <row r="5269" spans="6:10" x14ac:dyDescent="0.25">
      <c r="F5269" s="104"/>
      <c r="G5269" s="105" t="str">
        <f t="shared" si="328"/>
        <v/>
      </c>
      <c r="H5269" s="101" t="str">
        <f t="shared" si="329"/>
        <v/>
      </c>
      <c r="I5269" s="101" t="str">
        <f t="shared" si="330"/>
        <v/>
      </c>
      <c r="J5269" s="140" t="str">
        <f t="shared" si="331"/>
        <v/>
      </c>
    </row>
    <row r="5270" spans="6:10" x14ac:dyDescent="0.25">
      <c r="F5270" s="104"/>
      <c r="G5270" s="105" t="str">
        <f t="shared" si="328"/>
        <v/>
      </c>
      <c r="H5270" s="101" t="str">
        <f t="shared" si="329"/>
        <v/>
      </c>
      <c r="I5270" s="101" t="str">
        <f t="shared" si="330"/>
        <v/>
      </c>
      <c r="J5270" s="140" t="str">
        <f t="shared" si="331"/>
        <v/>
      </c>
    </row>
    <row r="5271" spans="6:10" x14ac:dyDescent="0.25">
      <c r="F5271" s="104"/>
      <c r="G5271" s="105" t="str">
        <f t="shared" si="328"/>
        <v/>
      </c>
      <c r="H5271" s="101" t="str">
        <f t="shared" si="329"/>
        <v/>
      </c>
      <c r="I5271" s="101" t="str">
        <f t="shared" si="330"/>
        <v/>
      </c>
      <c r="J5271" s="140" t="str">
        <f t="shared" si="331"/>
        <v/>
      </c>
    </row>
    <row r="5272" spans="6:10" x14ac:dyDescent="0.25">
      <c r="F5272" s="104"/>
      <c r="G5272" s="105" t="str">
        <f t="shared" si="328"/>
        <v/>
      </c>
      <c r="H5272" s="101" t="str">
        <f t="shared" si="329"/>
        <v/>
      </c>
      <c r="I5272" s="101" t="str">
        <f t="shared" si="330"/>
        <v/>
      </c>
      <c r="J5272" s="140" t="str">
        <f t="shared" si="331"/>
        <v/>
      </c>
    </row>
    <row r="5273" spans="6:10" x14ac:dyDescent="0.25">
      <c r="F5273" s="104"/>
      <c r="G5273" s="105" t="str">
        <f t="shared" si="328"/>
        <v/>
      </c>
      <c r="H5273" s="101" t="str">
        <f t="shared" si="329"/>
        <v/>
      </c>
      <c r="I5273" s="101" t="str">
        <f t="shared" si="330"/>
        <v/>
      </c>
      <c r="J5273" s="140" t="str">
        <f t="shared" si="331"/>
        <v/>
      </c>
    </row>
    <row r="5274" spans="6:10" x14ac:dyDescent="0.25">
      <c r="F5274" s="104"/>
      <c r="G5274" s="105" t="str">
        <f t="shared" si="328"/>
        <v/>
      </c>
      <c r="H5274" s="101" t="str">
        <f t="shared" si="329"/>
        <v/>
      </c>
      <c r="I5274" s="101" t="str">
        <f t="shared" si="330"/>
        <v/>
      </c>
      <c r="J5274" s="140" t="str">
        <f t="shared" si="331"/>
        <v/>
      </c>
    </row>
    <row r="5275" spans="6:10" x14ac:dyDescent="0.25">
      <c r="F5275" s="104"/>
      <c r="G5275" s="105" t="str">
        <f t="shared" si="328"/>
        <v/>
      </c>
      <c r="H5275" s="101" t="str">
        <f t="shared" si="329"/>
        <v/>
      </c>
      <c r="I5275" s="101" t="str">
        <f t="shared" si="330"/>
        <v/>
      </c>
      <c r="J5275" s="140" t="str">
        <f t="shared" si="331"/>
        <v/>
      </c>
    </row>
    <row r="5276" spans="6:10" x14ac:dyDescent="0.25">
      <c r="F5276" s="104"/>
      <c r="G5276" s="105" t="str">
        <f t="shared" si="328"/>
        <v/>
      </c>
      <c r="H5276" s="101" t="str">
        <f t="shared" si="329"/>
        <v/>
      </c>
      <c r="I5276" s="101" t="str">
        <f t="shared" si="330"/>
        <v/>
      </c>
      <c r="J5276" s="140" t="str">
        <f t="shared" si="331"/>
        <v/>
      </c>
    </row>
    <row r="5277" spans="6:10" x14ac:dyDescent="0.25">
      <c r="F5277" s="104"/>
      <c r="G5277" s="105" t="str">
        <f t="shared" si="328"/>
        <v/>
      </c>
      <c r="H5277" s="101" t="str">
        <f t="shared" si="329"/>
        <v/>
      </c>
      <c r="I5277" s="101" t="str">
        <f t="shared" si="330"/>
        <v/>
      </c>
      <c r="J5277" s="140" t="str">
        <f t="shared" si="331"/>
        <v/>
      </c>
    </row>
    <row r="5278" spans="6:10" x14ac:dyDescent="0.25">
      <c r="F5278" s="104"/>
      <c r="G5278" s="105" t="str">
        <f t="shared" si="328"/>
        <v/>
      </c>
      <c r="H5278" s="101" t="str">
        <f t="shared" si="329"/>
        <v/>
      </c>
      <c r="I5278" s="101" t="str">
        <f t="shared" si="330"/>
        <v/>
      </c>
      <c r="J5278" s="140" t="str">
        <f t="shared" si="331"/>
        <v/>
      </c>
    </row>
    <row r="5279" spans="6:10" x14ac:dyDescent="0.25">
      <c r="F5279" s="104"/>
      <c r="G5279" s="105" t="str">
        <f t="shared" si="328"/>
        <v/>
      </c>
      <c r="H5279" s="101" t="str">
        <f t="shared" si="329"/>
        <v/>
      </c>
      <c r="I5279" s="101" t="str">
        <f t="shared" si="330"/>
        <v/>
      </c>
      <c r="J5279" s="140" t="str">
        <f t="shared" si="331"/>
        <v/>
      </c>
    </row>
    <row r="5280" spans="6:10" x14ac:dyDescent="0.25">
      <c r="F5280" s="104"/>
      <c r="G5280" s="105" t="str">
        <f t="shared" si="328"/>
        <v/>
      </c>
      <c r="H5280" s="101" t="str">
        <f t="shared" si="329"/>
        <v/>
      </c>
      <c r="I5280" s="101" t="str">
        <f t="shared" si="330"/>
        <v/>
      </c>
      <c r="J5280" s="140" t="str">
        <f t="shared" si="331"/>
        <v/>
      </c>
    </row>
    <row r="5281" spans="6:10" x14ac:dyDescent="0.25">
      <c r="F5281" s="104"/>
      <c r="G5281" s="105" t="str">
        <f t="shared" si="328"/>
        <v/>
      </c>
      <c r="H5281" s="101" t="str">
        <f t="shared" si="329"/>
        <v/>
      </c>
      <c r="I5281" s="101" t="str">
        <f t="shared" si="330"/>
        <v/>
      </c>
      <c r="J5281" s="140" t="str">
        <f t="shared" si="331"/>
        <v/>
      </c>
    </row>
    <row r="5282" spans="6:10" x14ac:dyDescent="0.25">
      <c r="F5282" s="104"/>
      <c r="G5282" s="105" t="str">
        <f t="shared" si="328"/>
        <v/>
      </c>
      <c r="H5282" s="101" t="str">
        <f t="shared" si="329"/>
        <v/>
      </c>
      <c r="I5282" s="101" t="str">
        <f t="shared" si="330"/>
        <v/>
      </c>
      <c r="J5282" s="140" t="str">
        <f t="shared" si="331"/>
        <v/>
      </c>
    </row>
    <row r="5283" spans="6:10" x14ac:dyDescent="0.25">
      <c r="F5283" s="104"/>
      <c r="G5283" s="105" t="str">
        <f t="shared" si="328"/>
        <v/>
      </c>
      <c r="H5283" s="101" t="str">
        <f t="shared" si="329"/>
        <v/>
      </c>
      <c r="I5283" s="101" t="str">
        <f t="shared" si="330"/>
        <v/>
      </c>
      <c r="J5283" s="140" t="str">
        <f t="shared" si="331"/>
        <v/>
      </c>
    </row>
    <row r="5284" spans="6:10" x14ac:dyDescent="0.25">
      <c r="F5284" s="104"/>
      <c r="G5284" s="105" t="str">
        <f t="shared" si="328"/>
        <v/>
      </c>
      <c r="H5284" s="101" t="str">
        <f t="shared" si="329"/>
        <v/>
      </c>
      <c r="I5284" s="101" t="str">
        <f t="shared" si="330"/>
        <v/>
      </c>
      <c r="J5284" s="140" t="str">
        <f t="shared" si="331"/>
        <v/>
      </c>
    </row>
    <row r="5285" spans="6:10" x14ac:dyDescent="0.25">
      <c r="F5285" s="104"/>
      <c r="G5285" s="105" t="str">
        <f t="shared" si="328"/>
        <v/>
      </c>
      <c r="H5285" s="101" t="str">
        <f t="shared" si="329"/>
        <v/>
      </c>
      <c r="I5285" s="101" t="str">
        <f t="shared" si="330"/>
        <v/>
      </c>
      <c r="J5285" s="140" t="str">
        <f t="shared" si="331"/>
        <v/>
      </c>
    </row>
    <row r="5286" spans="6:10" x14ac:dyDescent="0.25">
      <c r="F5286" s="99"/>
      <c r="G5286" s="105" t="str">
        <f t="shared" si="328"/>
        <v/>
      </c>
      <c r="H5286" s="101" t="str">
        <f t="shared" si="329"/>
        <v/>
      </c>
      <c r="I5286" s="101" t="str">
        <f t="shared" si="330"/>
        <v/>
      </c>
      <c r="J5286" s="140" t="str">
        <f t="shared" si="331"/>
        <v/>
      </c>
    </row>
    <row r="5287" spans="6:10" x14ac:dyDescent="0.25">
      <c r="F5287" s="99"/>
      <c r="G5287" s="105" t="str">
        <f t="shared" si="328"/>
        <v/>
      </c>
      <c r="H5287" s="101" t="str">
        <f t="shared" si="329"/>
        <v/>
      </c>
      <c r="I5287" s="101" t="str">
        <f t="shared" si="330"/>
        <v/>
      </c>
      <c r="J5287" s="140" t="str">
        <f t="shared" si="331"/>
        <v/>
      </c>
    </row>
    <row r="5288" spans="6:10" x14ac:dyDescent="0.25">
      <c r="F5288" s="99"/>
      <c r="G5288" s="105" t="str">
        <f t="shared" si="328"/>
        <v/>
      </c>
      <c r="H5288" s="101" t="str">
        <f t="shared" si="329"/>
        <v/>
      </c>
      <c r="I5288" s="101" t="str">
        <f t="shared" si="330"/>
        <v/>
      </c>
      <c r="J5288" s="140" t="str">
        <f t="shared" si="331"/>
        <v/>
      </c>
    </row>
    <row r="5289" spans="6:10" x14ac:dyDescent="0.25">
      <c r="F5289" s="102"/>
      <c r="G5289" s="105" t="str">
        <f t="shared" si="328"/>
        <v/>
      </c>
      <c r="H5289" s="101" t="str">
        <f t="shared" si="329"/>
        <v/>
      </c>
      <c r="I5289" s="101" t="str">
        <f t="shared" si="330"/>
        <v/>
      </c>
      <c r="J5289" s="140" t="str">
        <f t="shared" si="331"/>
        <v/>
      </c>
    </row>
    <row r="5290" spans="6:10" x14ac:dyDescent="0.25">
      <c r="F5290" s="102"/>
      <c r="G5290" s="105" t="str">
        <f t="shared" si="328"/>
        <v/>
      </c>
      <c r="H5290" s="101" t="str">
        <f t="shared" si="329"/>
        <v/>
      </c>
      <c r="I5290" s="101" t="str">
        <f t="shared" si="330"/>
        <v/>
      </c>
      <c r="J5290" s="140" t="str">
        <f t="shared" si="331"/>
        <v/>
      </c>
    </row>
    <row r="5291" spans="6:10" x14ac:dyDescent="0.25">
      <c r="F5291" s="102"/>
      <c r="G5291" s="105" t="str">
        <f t="shared" si="328"/>
        <v/>
      </c>
      <c r="H5291" s="101" t="str">
        <f t="shared" si="329"/>
        <v/>
      </c>
      <c r="I5291" s="101" t="str">
        <f t="shared" si="330"/>
        <v/>
      </c>
      <c r="J5291" s="140" t="str">
        <f t="shared" si="331"/>
        <v/>
      </c>
    </row>
    <row r="5292" spans="6:10" x14ac:dyDescent="0.25">
      <c r="F5292" s="102"/>
      <c r="G5292" s="105" t="str">
        <f t="shared" si="328"/>
        <v/>
      </c>
      <c r="H5292" s="101" t="str">
        <f t="shared" si="329"/>
        <v/>
      </c>
      <c r="I5292" s="101" t="str">
        <f t="shared" si="330"/>
        <v/>
      </c>
      <c r="J5292" s="140" t="str">
        <f t="shared" si="331"/>
        <v/>
      </c>
    </row>
    <row r="5293" spans="6:10" x14ac:dyDescent="0.25">
      <c r="F5293" s="102"/>
      <c r="G5293" s="105" t="str">
        <f t="shared" si="328"/>
        <v/>
      </c>
      <c r="H5293" s="101" t="str">
        <f t="shared" si="329"/>
        <v/>
      </c>
      <c r="I5293" s="101" t="str">
        <f t="shared" si="330"/>
        <v/>
      </c>
      <c r="J5293" s="140" t="str">
        <f t="shared" si="331"/>
        <v/>
      </c>
    </row>
    <row r="5294" spans="6:10" x14ac:dyDescent="0.25">
      <c r="F5294" s="102"/>
      <c r="G5294" s="105" t="str">
        <f t="shared" si="328"/>
        <v/>
      </c>
      <c r="H5294" s="101" t="str">
        <f t="shared" si="329"/>
        <v/>
      </c>
      <c r="I5294" s="101" t="str">
        <f t="shared" si="330"/>
        <v/>
      </c>
      <c r="J5294" s="140" t="str">
        <f t="shared" si="331"/>
        <v/>
      </c>
    </row>
    <row r="5295" spans="6:10" x14ac:dyDescent="0.25">
      <c r="F5295" s="102"/>
      <c r="G5295" s="105" t="str">
        <f t="shared" si="328"/>
        <v/>
      </c>
      <c r="H5295" s="101" t="str">
        <f t="shared" si="329"/>
        <v/>
      </c>
      <c r="I5295" s="101" t="str">
        <f t="shared" si="330"/>
        <v/>
      </c>
      <c r="J5295" s="140" t="str">
        <f t="shared" si="331"/>
        <v/>
      </c>
    </row>
    <row r="5296" spans="6:10" x14ac:dyDescent="0.25">
      <c r="F5296" s="102"/>
      <c r="G5296" s="105" t="str">
        <f t="shared" si="328"/>
        <v/>
      </c>
      <c r="H5296" s="101" t="str">
        <f t="shared" si="329"/>
        <v/>
      </c>
      <c r="I5296" s="101" t="str">
        <f t="shared" si="330"/>
        <v/>
      </c>
      <c r="J5296" s="140" t="str">
        <f t="shared" si="331"/>
        <v/>
      </c>
    </row>
    <row r="5297" spans="6:10" x14ac:dyDescent="0.25">
      <c r="F5297" s="102"/>
      <c r="G5297" s="105" t="str">
        <f t="shared" si="328"/>
        <v/>
      </c>
      <c r="H5297" s="101" t="str">
        <f t="shared" si="329"/>
        <v/>
      </c>
      <c r="I5297" s="101" t="str">
        <f t="shared" si="330"/>
        <v/>
      </c>
      <c r="J5297" s="140" t="str">
        <f t="shared" si="331"/>
        <v/>
      </c>
    </row>
    <row r="5298" spans="6:10" x14ac:dyDescent="0.25">
      <c r="F5298" s="102"/>
      <c r="G5298" s="105" t="str">
        <f t="shared" si="328"/>
        <v/>
      </c>
      <c r="H5298" s="101" t="str">
        <f t="shared" si="329"/>
        <v/>
      </c>
      <c r="I5298" s="101" t="str">
        <f t="shared" si="330"/>
        <v/>
      </c>
      <c r="J5298" s="140" t="str">
        <f t="shared" si="331"/>
        <v/>
      </c>
    </row>
    <row r="5299" spans="6:10" x14ac:dyDescent="0.25">
      <c r="F5299" s="102"/>
      <c r="G5299" s="105" t="str">
        <f t="shared" si="328"/>
        <v/>
      </c>
      <c r="H5299" s="101" t="str">
        <f t="shared" si="329"/>
        <v/>
      </c>
      <c r="I5299" s="101" t="str">
        <f t="shared" si="330"/>
        <v/>
      </c>
      <c r="J5299" s="140" t="str">
        <f t="shared" si="331"/>
        <v/>
      </c>
    </row>
    <row r="5300" spans="6:10" x14ac:dyDescent="0.25">
      <c r="F5300" s="102"/>
      <c r="G5300" s="105" t="str">
        <f t="shared" si="328"/>
        <v/>
      </c>
      <c r="H5300" s="101" t="str">
        <f t="shared" si="329"/>
        <v/>
      </c>
      <c r="I5300" s="101" t="str">
        <f t="shared" si="330"/>
        <v/>
      </c>
      <c r="J5300" s="140" t="str">
        <f t="shared" si="331"/>
        <v/>
      </c>
    </row>
    <row r="5301" spans="6:10" x14ac:dyDescent="0.25">
      <c r="F5301" s="102"/>
      <c r="G5301" s="105" t="str">
        <f t="shared" si="328"/>
        <v/>
      </c>
      <c r="H5301" s="101" t="str">
        <f t="shared" si="329"/>
        <v/>
      </c>
      <c r="I5301" s="101" t="str">
        <f t="shared" si="330"/>
        <v/>
      </c>
      <c r="J5301" s="140" t="str">
        <f t="shared" si="331"/>
        <v/>
      </c>
    </row>
    <row r="5302" spans="6:10" x14ac:dyDescent="0.25">
      <c r="F5302" s="102"/>
      <c r="G5302" s="105" t="str">
        <f t="shared" si="328"/>
        <v/>
      </c>
      <c r="H5302" s="101" t="str">
        <f t="shared" si="329"/>
        <v/>
      </c>
      <c r="I5302" s="101" t="str">
        <f t="shared" si="330"/>
        <v/>
      </c>
      <c r="J5302" s="140" t="str">
        <f t="shared" si="331"/>
        <v/>
      </c>
    </row>
    <row r="5303" spans="6:10" x14ac:dyDescent="0.25">
      <c r="F5303" s="102"/>
      <c r="G5303" s="105" t="str">
        <f t="shared" si="328"/>
        <v/>
      </c>
      <c r="H5303" s="101" t="str">
        <f t="shared" si="329"/>
        <v/>
      </c>
      <c r="I5303" s="101" t="str">
        <f t="shared" si="330"/>
        <v/>
      </c>
      <c r="J5303" s="140" t="str">
        <f t="shared" si="331"/>
        <v/>
      </c>
    </row>
    <row r="5304" spans="6:10" x14ac:dyDescent="0.25">
      <c r="F5304" s="102"/>
      <c r="G5304" s="105" t="str">
        <f t="shared" si="328"/>
        <v/>
      </c>
      <c r="H5304" s="101" t="str">
        <f t="shared" si="329"/>
        <v/>
      </c>
      <c r="I5304" s="101" t="str">
        <f t="shared" si="330"/>
        <v/>
      </c>
      <c r="J5304" s="140" t="str">
        <f t="shared" si="331"/>
        <v/>
      </c>
    </row>
    <row r="5305" spans="6:10" x14ac:dyDescent="0.25">
      <c r="F5305" s="102"/>
      <c r="G5305" s="105" t="str">
        <f t="shared" si="328"/>
        <v/>
      </c>
      <c r="H5305" s="101" t="str">
        <f t="shared" si="329"/>
        <v/>
      </c>
      <c r="I5305" s="101" t="str">
        <f t="shared" si="330"/>
        <v/>
      </c>
      <c r="J5305" s="140" t="str">
        <f t="shared" si="331"/>
        <v/>
      </c>
    </row>
    <row r="5306" spans="6:10" x14ac:dyDescent="0.25">
      <c r="F5306" s="102"/>
      <c r="G5306" s="105" t="str">
        <f t="shared" si="328"/>
        <v/>
      </c>
      <c r="H5306" s="101" t="str">
        <f t="shared" si="329"/>
        <v/>
      </c>
      <c r="I5306" s="101" t="str">
        <f t="shared" si="330"/>
        <v/>
      </c>
      <c r="J5306" s="140" t="str">
        <f t="shared" si="331"/>
        <v/>
      </c>
    </row>
    <row r="5307" spans="6:10" x14ac:dyDescent="0.25">
      <c r="F5307" s="102"/>
      <c r="G5307" s="105" t="str">
        <f t="shared" si="328"/>
        <v/>
      </c>
      <c r="H5307" s="101" t="str">
        <f t="shared" si="329"/>
        <v/>
      </c>
      <c r="I5307" s="101" t="str">
        <f t="shared" si="330"/>
        <v/>
      </c>
      <c r="J5307" s="140" t="str">
        <f t="shared" si="331"/>
        <v/>
      </c>
    </row>
    <row r="5308" spans="6:10" x14ac:dyDescent="0.25">
      <c r="F5308" s="102"/>
      <c r="G5308" s="105" t="str">
        <f t="shared" si="328"/>
        <v/>
      </c>
      <c r="H5308" s="101" t="str">
        <f t="shared" si="329"/>
        <v/>
      </c>
      <c r="I5308" s="101" t="str">
        <f t="shared" si="330"/>
        <v/>
      </c>
      <c r="J5308" s="140" t="str">
        <f t="shared" si="331"/>
        <v/>
      </c>
    </row>
    <row r="5309" spans="6:10" x14ac:dyDescent="0.25">
      <c r="F5309" s="102"/>
      <c r="G5309" s="105" t="str">
        <f t="shared" si="328"/>
        <v/>
      </c>
      <c r="H5309" s="101" t="str">
        <f t="shared" si="329"/>
        <v/>
      </c>
      <c r="I5309" s="101" t="str">
        <f t="shared" si="330"/>
        <v/>
      </c>
      <c r="J5309" s="140" t="str">
        <f t="shared" si="331"/>
        <v/>
      </c>
    </row>
    <row r="5310" spans="6:10" x14ac:dyDescent="0.25">
      <c r="F5310" s="102"/>
      <c r="G5310" s="105" t="str">
        <f t="shared" si="328"/>
        <v/>
      </c>
      <c r="H5310" s="101" t="str">
        <f t="shared" si="329"/>
        <v/>
      </c>
      <c r="I5310" s="101" t="str">
        <f t="shared" si="330"/>
        <v/>
      </c>
      <c r="J5310" s="140" t="str">
        <f t="shared" si="331"/>
        <v/>
      </c>
    </row>
    <row r="5311" spans="6:10" x14ac:dyDescent="0.25">
      <c r="F5311" s="102"/>
      <c r="G5311" s="105" t="str">
        <f t="shared" si="328"/>
        <v/>
      </c>
      <c r="H5311" s="101" t="str">
        <f t="shared" si="329"/>
        <v/>
      </c>
      <c r="I5311" s="101" t="str">
        <f t="shared" si="330"/>
        <v/>
      </c>
      <c r="J5311" s="140" t="str">
        <f t="shared" si="331"/>
        <v/>
      </c>
    </row>
    <row r="5312" spans="6:10" x14ac:dyDescent="0.25">
      <c r="F5312" s="102"/>
      <c r="G5312" s="105" t="str">
        <f t="shared" si="328"/>
        <v/>
      </c>
      <c r="H5312" s="101" t="str">
        <f t="shared" si="329"/>
        <v/>
      </c>
      <c r="I5312" s="101" t="str">
        <f t="shared" si="330"/>
        <v/>
      </c>
      <c r="J5312" s="140" t="str">
        <f t="shared" si="331"/>
        <v/>
      </c>
    </row>
    <row r="5313" spans="6:10" x14ac:dyDescent="0.25">
      <c r="F5313" s="102"/>
      <c r="G5313" s="105" t="str">
        <f t="shared" si="328"/>
        <v/>
      </c>
      <c r="H5313" s="101" t="str">
        <f t="shared" si="329"/>
        <v/>
      </c>
      <c r="I5313" s="101" t="str">
        <f t="shared" si="330"/>
        <v/>
      </c>
      <c r="J5313" s="140" t="str">
        <f t="shared" si="331"/>
        <v/>
      </c>
    </row>
    <row r="5314" spans="6:10" x14ac:dyDescent="0.25">
      <c r="F5314" s="102"/>
      <c r="G5314" s="105" t="str">
        <f t="shared" si="328"/>
        <v/>
      </c>
      <c r="H5314" s="101" t="str">
        <f t="shared" si="329"/>
        <v/>
      </c>
      <c r="I5314" s="101" t="str">
        <f t="shared" si="330"/>
        <v/>
      </c>
      <c r="J5314" s="140" t="str">
        <f t="shared" si="331"/>
        <v/>
      </c>
    </row>
    <row r="5315" spans="6:10" x14ac:dyDescent="0.25">
      <c r="F5315" s="102"/>
      <c r="G5315" s="105" t="str">
        <f t="shared" si="328"/>
        <v/>
      </c>
      <c r="H5315" s="101" t="str">
        <f t="shared" si="329"/>
        <v/>
      </c>
      <c r="I5315" s="101" t="str">
        <f t="shared" si="330"/>
        <v/>
      </c>
      <c r="J5315" s="140" t="str">
        <f t="shared" si="331"/>
        <v/>
      </c>
    </row>
    <row r="5316" spans="6:10" x14ac:dyDescent="0.25">
      <c r="F5316" s="102"/>
      <c r="G5316" s="105" t="str">
        <f t="shared" si="328"/>
        <v/>
      </c>
      <c r="H5316" s="101" t="str">
        <f t="shared" si="329"/>
        <v/>
      </c>
      <c r="I5316" s="101" t="str">
        <f t="shared" si="330"/>
        <v/>
      </c>
      <c r="J5316" s="140" t="str">
        <f t="shared" si="331"/>
        <v/>
      </c>
    </row>
    <row r="5317" spans="6:10" x14ac:dyDescent="0.25">
      <c r="F5317" s="102"/>
      <c r="G5317" s="105" t="str">
        <f t="shared" si="328"/>
        <v/>
      </c>
      <c r="H5317" s="101" t="str">
        <f t="shared" si="329"/>
        <v/>
      </c>
      <c r="I5317" s="101" t="str">
        <f t="shared" si="330"/>
        <v/>
      </c>
      <c r="J5317" s="140" t="str">
        <f t="shared" si="331"/>
        <v/>
      </c>
    </row>
    <row r="5318" spans="6:10" x14ac:dyDescent="0.25">
      <c r="F5318" s="102"/>
      <c r="G5318" s="105" t="str">
        <f t="shared" si="328"/>
        <v/>
      </c>
      <c r="H5318" s="101" t="str">
        <f t="shared" si="329"/>
        <v/>
      </c>
      <c r="I5318" s="101" t="str">
        <f t="shared" si="330"/>
        <v/>
      </c>
      <c r="J5318" s="140" t="str">
        <f t="shared" si="331"/>
        <v/>
      </c>
    </row>
    <row r="5319" spans="6:10" x14ac:dyDescent="0.25">
      <c r="F5319" s="102"/>
      <c r="G5319" s="105" t="str">
        <f t="shared" si="328"/>
        <v/>
      </c>
      <c r="H5319" s="101" t="str">
        <f t="shared" si="329"/>
        <v/>
      </c>
      <c r="I5319" s="101" t="str">
        <f t="shared" si="330"/>
        <v/>
      </c>
      <c r="J5319" s="140" t="str">
        <f t="shared" si="331"/>
        <v/>
      </c>
    </row>
    <row r="5320" spans="6:10" x14ac:dyDescent="0.25">
      <c r="F5320" s="102"/>
      <c r="G5320" s="105" t="str">
        <f t="shared" ref="G5320:G5383" si="332">IF(E5320="","",E5320+0)</f>
        <v/>
      </c>
      <c r="H5320" s="101" t="str">
        <f t="shared" ref="H5320:H5383" si="333">IF(G5320="","",TRIM(CONCATENATE("Sinapi ",A5320)))</f>
        <v/>
      </c>
      <c r="I5320" s="101" t="str">
        <f t="shared" ref="I5320:I5383" si="334">TRIM(C5320)</f>
        <v/>
      </c>
      <c r="J5320" s="140" t="str">
        <f t="shared" si="331"/>
        <v/>
      </c>
    </row>
    <row r="5321" spans="6:10" x14ac:dyDescent="0.25">
      <c r="F5321" s="102"/>
      <c r="G5321" s="105" t="str">
        <f t="shared" si="332"/>
        <v/>
      </c>
      <c r="H5321" s="101" t="str">
        <f t="shared" si="333"/>
        <v/>
      </c>
      <c r="I5321" s="101" t="str">
        <f t="shared" si="334"/>
        <v/>
      </c>
      <c r="J5321" s="140" t="str">
        <f t="shared" ref="J5321:J5384" si="335">TRIM(B5321)</f>
        <v/>
      </c>
    </row>
    <row r="5322" spans="6:10" x14ac:dyDescent="0.25">
      <c r="F5322" s="102"/>
      <c r="G5322" s="105" t="str">
        <f t="shared" si="332"/>
        <v/>
      </c>
      <c r="H5322" s="101" t="str">
        <f t="shared" si="333"/>
        <v/>
      </c>
      <c r="I5322" s="101" t="str">
        <f t="shared" si="334"/>
        <v/>
      </c>
      <c r="J5322" s="140" t="str">
        <f t="shared" si="335"/>
        <v/>
      </c>
    </row>
    <row r="5323" spans="6:10" x14ac:dyDescent="0.25">
      <c r="F5323" s="102"/>
      <c r="G5323" s="105" t="str">
        <f t="shared" si="332"/>
        <v/>
      </c>
      <c r="H5323" s="101" t="str">
        <f t="shared" si="333"/>
        <v/>
      </c>
      <c r="I5323" s="101" t="str">
        <f t="shared" si="334"/>
        <v/>
      </c>
      <c r="J5323" s="140" t="str">
        <f t="shared" si="335"/>
        <v/>
      </c>
    </row>
    <row r="5324" spans="6:10" x14ac:dyDescent="0.25">
      <c r="F5324" s="102"/>
      <c r="G5324" s="105" t="str">
        <f t="shared" si="332"/>
        <v/>
      </c>
      <c r="H5324" s="101" t="str">
        <f t="shared" si="333"/>
        <v/>
      </c>
      <c r="I5324" s="101" t="str">
        <f t="shared" si="334"/>
        <v/>
      </c>
      <c r="J5324" s="140" t="str">
        <f t="shared" si="335"/>
        <v/>
      </c>
    </row>
    <row r="5325" spans="6:10" x14ac:dyDescent="0.25">
      <c r="F5325" s="102"/>
      <c r="G5325" s="105" t="str">
        <f t="shared" si="332"/>
        <v/>
      </c>
      <c r="H5325" s="101" t="str">
        <f t="shared" si="333"/>
        <v/>
      </c>
      <c r="I5325" s="101" t="str">
        <f t="shared" si="334"/>
        <v/>
      </c>
      <c r="J5325" s="140" t="str">
        <f t="shared" si="335"/>
        <v/>
      </c>
    </row>
    <row r="5326" spans="6:10" x14ac:dyDescent="0.25">
      <c r="F5326" s="102"/>
      <c r="G5326" s="105" t="str">
        <f t="shared" si="332"/>
        <v/>
      </c>
      <c r="H5326" s="101" t="str">
        <f t="shared" si="333"/>
        <v/>
      </c>
      <c r="I5326" s="101" t="str">
        <f t="shared" si="334"/>
        <v/>
      </c>
      <c r="J5326" s="140" t="str">
        <f t="shared" si="335"/>
        <v/>
      </c>
    </row>
    <row r="5327" spans="6:10" x14ac:dyDescent="0.25">
      <c r="F5327" s="102"/>
      <c r="G5327" s="105" t="str">
        <f t="shared" si="332"/>
        <v/>
      </c>
      <c r="H5327" s="101" t="str">
        <f t="shared" si="333"/>
        <v/>
      </c>
      <c r="I5327" s="101" t="str">
        <f t="shared" si="334"/>
        <v/>
      </c>
      <c r="J5327" s="140" t="str">
        <f t="shared" si="335"/>
        <v/>
      </c>
    </row>
    <row r="5328" spans="6:10" x14ac:dyDescent="0.25">
      <c r="F5328" s="102"/>
      <c r="G5328" s="105" t="str">
        <f t="shared" si="332"/>
        <v/>
      </c>
      <c r="H5328" s="101" t="str">
        <f t="shared" si="333"/>
        <v/>
      </c>
      <c r="I5328" s="101" t="str">
        <f t="shared" si="334"/>
        <v/>
      </c>
      <c r="J5328" s="140" t="str">
        <f t="shared" si="335"/>
        <v/>
      </c>
    </row>
    <row r="5329" spans="6:10" x14ac:dyDescent="0.25">
      <c r="F5329" s="102"/>
      <c r="G5329" s="105" t="str">
        <f t="shared" si="332"/>
        <v/>
      </c>
      <c r="H5329" s="101" t="str">
        <f t="shared" si="333"/>
        <v/>
      </c>
      <c r="I5329" s="101" t="str">
        <f t="shared" si="334"/>
        <v/>
      </c>
      <c r="J5329" s="140" t="str">
        <f t="shared" si="335"/>
        <v/>
      </c>
    </row>
    <row r="5330" spans="6:10" x14ac:dyDescent="0.25">
      <c r="F5330" s="102"/>
      <c r="G5330" s="105" t="str">
        <f t="shared" si="332"/>
        <v/>
      </c>
      <c r="H5330" s="101" t="str">
        <f t="shared" si="333"/>
        <v/>
      </c>
      <c r="I5330" s="101" t="str">
        <f t="shared" si="334"/>
        <v/>
      </c>
      <c r="J5330" s="140" t="str">
        <f t="shared" si="335"/>
        <v/>
      </c>
    </row>
    <row r="5331" spans="6:10" x14ac:dyDescent="0.25">
      <c r="F5331" s="102"/>
      <c r="G5331" s="105" t="str">
        <f t="shared" si="332"/>
        <v/>
      </c>
      <c r="H5331" s="101" t="str">
        <f t="shared" si="333"/>
        <v/>
      </c>
      <c r="I5331" s="101" t="str">
        <f t="shared" si="334"/>
        <v/>
      </c>
      <c r="J5331" s="140" t="str">
        <f t="shared" si="335"/>
        <v/>
      </c>
    </row>
    <row r="5332" spans="6:10" x14ac:dyDescent="0.25">
      <c r="F5332" s="102"/>
      <c r="G5332" s="105" t="str">
        <f t="shared" si="332"/>
        <v/>
      </c>
      <c r="H5332" s="101" t="str">
        <f t="shared" si="333"/>
        <v/>
      </c>
      <c r="I5332" s="101" t="str">
        <f t="shared" si="334"/>
        <v/>
      </c>
      <c r="J5332" s="140" t="str">
        <f t="shared" si="335"/>
        <v/>
      </c>
    </row>
    <row r="5333" spans="6:10" x14ac:dyDescent="0.25">
      <c r="F5333" s="102"/>
      <c r="G5333" s="105" t="str">
        <f t="shared" si="332"/>
        <v/>
      </c>
      <c r="H5333" s="101" t="str">
        <f t="shared" si="333"/>
        <v/>
      </c>
      <c r="I5333" s="101" t="str">
        <f t="shared" si="334"/>
        <v/>
      </c>
      <c r="J5333" s="140" t="str">
        <f t="shared" si="335"/>
        <v/>
      </c>
    </row>
    <row r="5334" spans="6:10" x14ac:dyDescent="0.25">
      <c r="F5334" s="102"/>
      <c r="G5334" s="105" t="str">
        <f t="shared" si="332"/>
        <v/>
      </c>
      <c r="H5334" s="101" t="str">
        <f t="shared" si="333"/>
        <v/>
      </c>
      <c r="I5334" s="101" t="str">
        <f t="shared" si="334"/>
        <v/>
      </c>
      <c r="J5334" s="140" t="str">
        <f t="shared" si="335"/>
        <v/>
      </c>
    </row>
    <row r="5335" spans="6:10" x14ac:dyDescent="0.25">
      <c r="F5335" s="102"/>
      <c r="G5335" s="105" t="str">
        <f t="shared" si="332"/>
        <v/>
      </c>
      <c r="H5335" s="101" t="str">
        <f t="shared" si="333"/>
        <v/>
      </c>
      <c r="I5335" s="101" t="str">
        <f t="shared" si="334"/>
        <v/>
      </c>
      <c r="J5335" s="140" t="str">
        <f t="shared" si="335"/>
        <v/>
      </c>
    </row>
    <row r="5336" spans="6:10" x14ac:dyDescent="0.25">
      <c r="F5336" s="102"/>
      <c r="G5336" s="105" t="str">
        <f t="shared" si="332"/>
        <v/>
      </c>
      <c r="H5336" s="101" t="str">
        <f t="shared" si="333"/>
        <v/>
      </c>
      <c r="I5336" s="101" t="str">
        <f t="shared" si="334"/>
        <v/>
      </c>
      <c r="J5336" s="140" t="str">
        <f t="shared" si="335"/>
        <v/>
      </c>
    </row>
    <row r="5337" spans="6:10" x14ac:dyDescent="0.25">
      <c r="F5337" s="102"/>
      <c r="G5337" s="105" t="str">
        <f t="shared" si="332"/>
        <v/>
      </c>
      <c r="H5337" s="101" t="str">
        <f t="shared" si="333"/>
        <v/>
      </c>
      <c r="I5337" s="101" t="str">
        <f t="shared" si="334"/>
        <v/>
      </c>
      <c r="J5337" s="140" t="str">
        <f t="shared" si="335"/>
        <v/>
      </c>
    </row>
    <row r="5338" spans="6:10" x14ac:dyDescent="0.25">
      <c r="F5338" s="102"/>
      <c r="G5338" s="105" t="str">
        <f t="shared" si="332"/>
        <v/>
      </c>
      <c r="H5338" s="101" t="str">
        <f t="shared" si="333"/>
        <v/>
      </c>
      <c r="I5338" s="101" t="str">
        <f t="shared" si="334"/>
        <v/>
      </c>
      <c r="J5338" s="140" t="str">
        <f t="shared" si="335"/>
        <v/>
      </c>
    </row>
    <row r="5339" spans="6:10" x14ac:dyDescent="0.25">
      <c r="F5339" s="102"/>
      <c r="G5339" s="105" t="str">
        <f t="shared" si="332"/>
        <v/>
      </c>
      <c r="H5339" s="101" t="str">
        <f t="shared" si="333"/>
        <v/>
      </c>
      <c r="I5339" s="101" t="str">
        <f t="shared" si="334"/>
        <v/>
      </c>
      <c r="J5339" s="140" t="str">
        <f t="shared" si="335"/>
        <v/>
      </c>
    </row>
    <row r="5340" spans="6:10" x14ac:dyDescent="0.25">
      <c r="F5340" s="102"/>
      <c r="G5340" s="105" t="str">
        <f t="shared" si="332"/>
        <v/>
      </c>
      <c r="H5340" s="101" t="str">
        <f t="shared" si="333"/>
        <v/>
      </c>
      <c r="I5340" s="101" t="str">
        <f t="shared" si="334"/>
        <v/>
      </c>
      <c r="J5340" s="140" t="str">
        <f t="shared" si="335"/>
        <v/>
      </c>
    </row>
    <row r="5341" spans="6:10" x14ac:dyDescent="0.25">
      <c r="F5341" s="102"/>
      <c r="G5341" s="105" t="str">
        <f t="shared" si="332"/>
        <v/>
      </c>
      <c r="H5341" s="101" t="str">
        <f t="shared" si="333"/>
        <v/>
      </c>
      <c r="I5341" s="101" t="str">
        <f t="shared" si="334"/>
        <v/>
      </c>
      <c r="J5341" s="140" t="str">
        <f t="shared" si="335"/>
        <v/>
      </c>
    </row>
    <row r="5342" spans="6:10" x14ac:dyDescent="0.25">
      <c r="F5342" s="102"/>
      <c r="G5342" s="105" t="str">
        <f t="shared" si="332"/>
        <v/>
      </c>
      <c r="H5342" s="101" t="str">
        <f t="shared" si="333"/>
        <v/>
      </c>
      <c r="I5342" s="101" t="str">
        <f t="shared" si="334"/>
        <v/>
      </c>
      <c r="J5342" s="140" t="str">
        <f t="shared" si="335"/>
        <v/>
      </c>
    </row>
    <row r="5343" spans="6:10" x14ac:dyDescent="0.25">
      <c r="F5343" s="102"/>
      <c r="G5343" s="105" t="str">
        <f t="shared" si="332"/>
        <v/>
      </c>
      <c r="H5343" s="101" t="str">
        <f t="shared" si="333"/>
        <v/>
      </c>
      <c r="I5343" s="101" t="str">
        <f t="shared" si="334"/>
        <v/>
      </c>
      <c r="J5343" s="140" t="str">
        <f t="shared" si="335"/>
        <v/>
      </c>
    </row>
    <row r="5344" spans="6:10" x14ac:dyDescent="0.25">
      <c r="F5344" s="102"/>
      <c r="G5344" s="105" t="str">
        <f t="shared" si="332"/>
        <v/>
      </c>
      <c r="H5344" s="101" t="str">
        <f t="shared" si="333"/>
        <v/>
      </c>
      <c r="I5344" s="101" t="str">
        <f t="shared" si="334"/>
        <v/>
      </c>
      <c r="J5344" s="140" t="str">
        <f t="shared" si="335"/>
        <v/>
      </c>
    </row>
    <row r="5345" spans="6:10" x14ac:dyDescent="0.25">
      <c r="F5345" s="102"/>
      <c r="G5345" s="105" t="str">
        <f t="shared" si="332"/>
        <v/>
      </c>
      <c r="H5345" s="101" t="str">
        <f t="shared" si="333"/>
        <v/>
      </c>
      <c r="I5345" s="101" t="str">
        <f t="shared" si="334"/>
        <v/>
      </c>
      <c r="J5345" s="140" t="str">
        <f t="shared" si="335"/>
        <v/>
      </c>
    </row>
    <row r="5346" spans="6:10" x14ac:dyDescent="0.25">
      <c r="F5346" s="102"/>
      <c r="G5346" s="105" t="str">
        <f t="shared" si="332"/>
        <v/>
      </c>
      <c r="H5346" s="101" t="str">
        <f t="shared" si="333"/>
        <v/>
      </c>
      <c r="I5346" s="101" t="str">
        <f t="shared" si="334"/>
        <v/>
      </c>
      <c r="J5346" s="140" t="str">
        <f t="shared" si="335"/>
        <v/>
      </c>
    </row>
    <row r="5347" spans="6:10" x14ac:dyDescent="0.25">
      <c r="F5347" s="102"/>
      <c r="G5347" s="105" t="str">
        <f t="shared" si="332"/>
        <v/>
      </c>
      <c r="H5347" s="101" t="str">
        <f t="shared" si="333"/>
        <v/>
      </c>
      <c r="I5347" s="101" t="str">
        <f t="shared" si="334"/>
        <v/>
      </c>
      <c r="J5347" s="140" t="str">
        <f t="shared" si="335"/>
        <v/>
      </c>
    </row>
    <row r="5348" spans="6:10" x14ac:dyDescent="0.25">
      <c r="F5348" s="102"/>
      <c r="G5348" s="105" t="str">
        <f t="shared" si="332"/>
        <v/>
      </c>
      <c r="H5348" s="101" t="str">
        <f t="shared" si="333"/>
        <v/>
      </c>
      <c r="I5348" s="101" t="str">
        <f t="shared" si="334"/>
        <v/>
      </c>
      <c r="J5348" s="140" t="str">
        <f t="shared" si="335"/>
        <v/>
      </c>
    </row>
    <row r="5349" spans="6:10" x14ac:dyDescent="0.25">
      <c r="F5349" s="102"/>
      <c r="G5349" s="105" t="str">
        <f t="shared" si="332"/>
        <v/>
      </c>
      <c r="H5349" s="101" t="str">
        <f t="shared" si="333"/>
        <v/>
      </c>
      <c r="I5349" s="101" t="str">
        <f t="shared" si="334"/>
        <v/>
      </c>
      <c r="J5349" s="140" t="str">
        <f t="shared" si="335"/>
        <v/>
      </c>
    </row>
    <row r="5350" spans="6:10" x14ac:dyDescent="0.25">
      <c r="F5350" s="102"/>
      <c r="G5350" s="105" t="str">
        <f t="shared" si="332"/>
        <v/>
      </c>
      <c r="H5350" s="101" t="str">
        <f t="shared" si="333"/>
        <v/>
      </c>
      <c r="I5350" s="101" t="str">
        <f t="shared" si="334"/>
        <v/>
      </c>
      <c r="J5350" s="140" t="str">
        <f t="shared" si="335"/>
        <v/>
      </c>
    </row>
    <row r="5351" spans="6:10" x14ac:dyDescent="0.25">
      <c r="F5351" s="102"/>
      <c r="G5351" s="105" t="str">
        <f t="shared" si="332"/>
        <v/>
      </c>
      <c r="H5351" s="101" t="str">
        <f t="shared" si="333"/>
        <v/>
      </c>
      <c r="I5351" s="101" t="str">
        <f t="shared" si="334"/>
        <v/>
      </c>
      <c r="J5351" s="140" t="str">
        <f t="shared" si="335"/>
        <v/>
      </c>
    </row>
    <row r="5352" spans="6:10" x14ac:dyDescent="0.25">
      <c r="F5352" s="102"/>
      <c r="G5352" s="105" t="str">
        <f t="shared" si="332"/>
        <v/>
      </c>
      <c r="H5352" s="101" t="str">
        <f t="shared" si="333"/>
        <v/>
      </c>
      <c r="I5352" s="101" t="str">
        <f t="shared" si="334"/>
        <v/>
      </c>
      <c r="J5352" s="140" t="str">
        <f t="shared" si="335"/>
        <v/>
      </c>
    </row>
    <row r="5353" spans="6:10" x14ac:dyDescent="0.25">
      <c r="F5353" s="102"/>
      <c r="G5353" s="105" t="str">
        <f t="shared" si="332"/>
        <v/>
      </c>
      <c r="H5353" s="101" t="str">
        <f t="shared" si="333"/>
        <v/>
      </c>
      <c r="I5353" s="101" t="str">
        <f t="shared" si="334"/>
        <v/>
      </c>
      <c r="J5353" s="140" t="str">
        <f t="shared" si="335"/>
        <v/>
      </c>
    </row>
    <row r="5354" spans="6:10" x14ac:dyDescent="0.25">
      <c r="F5354" s="102"/>
      <c r="G5354" s="105" t="str">
        <f t="shared" si="332"/>
        <v/>
      </c>
      <c r="H5354" s="101" t="str">
        <f t="shared" si="333"/>
        <v/>
      </c>
      <c r="I5354" s="101" t="str">
        <f t="shared" si="334"/>
        <v/>
      </c>
      <c r="J5354" s="140" t="str">
        <f t="shared" si="335"/>
        <v/>
      </c>
    </row>
    <row r="5355" spans="6:10" x14ac:dyDescent="0.25">
      <c r="F5355" s="102"/>
      <c r="G5355" s="105" t="str">
        <f t="shared" si="332"/>
        <v/>
      </c>
      <c r="H5355" s="101" t="str">
        <f t="shared" si="333"/>
        <v/>
      </c>
      <c r="I5355" s="101" t="str">
        <f t="shared" si="334"/>
        <v/>
      </c>
      <c r="J5355" s="140" t="str">
        <f t="shared" si="335"/>
        <v/>
      </c>
    </row>
    <row r="5356" spans="6:10" x14ac:dyDescent="0.25">
      <c r="F5356" s="102"/>
      <c r="G5356" s="105" t="str">
        <f t="shared" si="332"/>
        <v/>
      </c>
      <c r="H5356" s="101" t="str">
        <f t="shared" si="333"/>
        <v/>
      </c>
      <c r="I5356" s="101" t="str">
        <f t="shared" si="334"/>
        <v/>
      </c>
      <c r="J5356" s="140" t="str">
        <f t="shared" si="335"/>
        <v/>
      </c>
    </row>
    <row r="5357" spans="6:10" x14ac:dyDescent="0.25">
      <c r="F5357" s="102"/>
      <c r="G5357" s="105" t="str">
        <f t="shared" si="332"/>
        <v/>
      </c>
      <c r="H5357" s="101" t="str">
        <f t="shared" si="333"/>
        <v/>
      </c>
      <c r="I5357" s="101" t="str">
        <f t="shared" si="334"/>
        <v/>
      </c>
      <c r="J5357" s="140" t="str">
        <f t="shared" si="335"/>
        <v/>
      </c>
    </row>
    <row r="5358" spans="6:10" x14ac:dyDescent="0.25">
      <c r="F5358" s="102"/>
      <c r="G5358" s="105" t="str">
        <f t="shared" si="332"/>
        <v/>
      </c>
      <c r="H5358" s="101" t="str">
        <f t="shared" si="333"/>
        <v/>
      </c>
      <c r="I5358" s="101" t="str">
        <f t="shared" si="334"/>
        <v/>
      </c>
      <c r="J5358" s="140" t="str">
        <f t="shared" si="335"/>
        <v/>
      </c>
    </row>
    <row r="5359" spans="6:10" x14ac:dyDescent="0.25">
      <c r="F5359" s="102"/>
      <c r="G5359" s="105" t="str">
        <f t="shared" si="332"/>
        <v/>
      </c>
      <c r="H5359" s="101" t="str">
        <f t="shared" si="333"/>
        <v/>
      </c>
      <c r="I5359" s="101" t="str">
        <f t="shared" si="334"/>
        <v/>
      </c>
      <c r="J5359" s="140" t="str">
        <f t="shared" si="335"/>
        <v/>
      </c>
    </row>
    <row r="5360" spans="6:10" x14ac:dyDescent="0.25">
      <c r="F5360" s="102"/>
      <c r="G5360" s="105" t="str">
        <f t="shared" si="332"/>
        <v/>
      </c>
      <c r="H5360" s="101" t="str">
        <f t="shared" si="333"/>
        <v/>
      </c>
      <c r="I5360" s="101" t="str">
        <f t="shared" si="334"/>
        <v/>
      </c>
      <c r="J5360" s="140" t="str">
        <f t="shared" si="335"/>
        <v/>
      </c>
    </row>
    <row r="5361" spans="6:10" x14ac:dyDescent="0.25">
      <c r="F5361" s="102"/>
      <c r="G5361" s="105" t="str">
        <f t="shared" si="332"/>
        <v/>
      </c>
      <c r="H5361" s="101" t="str">
        <f t="shared" si="333"/>
        <v/>
      </c>
      <c r="I5361" s="101" t="str">
        <f t="shared" si="334"/>
        <v/>
      </c>
      <c r="J5361" s="140" t="str">
        <f t="shared" si="335"/>
        <v/>
      </c>
    </row>
    <row r="5362" spans="6:10" x14ac:dyDescent="0.25">
      <c r="F5362" s="102"/>
      <c r="G5362" s="105" t="str">
        <f t="shared" si="332"/>
        <v/>
      </c>
      <c r="H5362" s="101" t="str">
        <f t="shared" si="333"/>
        <v/>
      </c>
      <c r="I5362" s="101" t="str">
        <f t="shared" si="334"/>
        <v/>
      </c>
      <c r="J5362" s="140" t="str">
        <f t="shared" si="335"/>
        <v/>
      </c>
    </row>
    <row r="5363" spans="6:10" x14ac:dyDescent="0.25">
      <c r="F5363" s="102"/>
      <c r="G5363" s="105" t="str">
        <f t="shared" si="332"/>
        <v/>
      </c>
      <c r="H5363" s="101" t="str">
        <f t="shared" si="333"/>
        <v/>
      </c>
      <c r="I5363" s="101" t="str">
        <f t="shared" si="334"/>
        <v/>
      </c>
      <c r="J5363" s="140" t="str">
        <f t="shared" si="335"/>
        <v/>
      </c>
    </row>
    <row r="5364" spans="6:10" x14ac:dyDescent="0.25">
      <c r="F5364" s="102"/>
      <c r="G5364" s="105" t="str">
        <f t="shared" si="332"/>
        <v/>
      </c>
      <c r="H5364" s="101" t="str">
        <f t="shared" si="333"/>
        <v/>
      </c>
      <c r="I5364" s="101" t="str">
        <f t="shared" si="334"/>
        <v/>
      </c>
      <c r="J5364" s="140" t="str">
        <f t="shared" si="335"/>
        <v/>
      </c>
    </row>
    <row r="5365" spans="6:10" x14ac:dyDescent="0.25">
      <c r="F5365" s="102"/>
      <c r="G5365" s="105" t="str">
        <f t="shared" si="332"/>
        <v/>
      </c>
      <c r="H5365" s="101" t="str">
        <f t="shared" si="333"/>
        <v/>
      </c>
      <c r="I5365" s="101" t="str">
        <f t="shared" si="334"/>
        <v/>
      </c>
      <c r="J5365" s="140" t="str">
        <f t="shared" si="335"/>
        <v/>
      </c>
    </row>
    <row r="5366" spans="6:10" x14ac:dyDescent="0.25">
      <c r="F5366" s="102"/>
      <c r="G5366" s="105" t="str">
        <f t="shared" si="332"/>
        <v/>
      </c>
      <c r="H5366" s="101" t="str">
        <f t="shared" si="333"/>
        <v/>
      </c>
      <c r="I5366" s="101" t="str">
        <f t="shared" si="334"/>
        <v/>
      </c>
      <c r="J5366" s="140" t="str">
        <f t="shared" si="335"/>
        <v/>
      </c>
    </row>
    <row r="5367" spans="6:10" x14ac:dyDescent="0.25">
      <c r="F5367" s="102"/>
      <c r="G5367" s="105" t="str">
        <f t="shared" si="332"/>
        <v/>
      </c>
      <c r="H5367" s="101" t="str">
        <f t="shared" si="333"/>
        <v/>
      </c>
      <c r="I5367" s="101" t="str">
        <f t="shared" si="334"/>
        <v/>
      </c>
      <c r="J5367" s="140" t="str">
        <f t="shared" si="335"/>
        <v/>
      </c>
    </row>
    <row r="5368" spans="6:10" x14ac:dyDescent="0.25">
      <c r="F5368" s="102"/>
      <c r="G5368" s="105" t="str">
        <f t="shared" si="332"/>
        <v/>
      </c>
      <c r="H5368" s="101" t="str">
        <f t="shared" si="333"/>
        <v/>
      </c>
      <c r="I5368" s="101" t="str">
        <f t="shared" si="334"/>
        <v/>
      </c>
      <c r="J5368" s="140" t="str">
        <f t="shared" si="335"/>
        <v/>
      </c>
    </row>
    <row r="5369" spans="6:10" x14ac:dyDescent="0.25">
      <c r="F5369" s="102"/>
      <c r="G5369" s="105" t="str">
        <f t="shared" si="332"/>
        <v/>
      </c>
      <c r="H5369" s="101" t="str">
        <f t="shared" si="333"/>
        <v/>
      </c>
      <c r="I5369" s="101" t="str">
        <f t="shared" si="334"/>
        <v/>
      </c>
      <c r="J5369" s="140" t="str">
        <f t="shared" si="335"/>
        <v/>
      </c>
    </row>
    <row r="5370" spans="6:10" x14ac:dyDescent="0.25">
      <c r="F5370" s="102"/>
      <c r="G5370" s="105" t="str">
        <f t="shared" si="332"/>
        <v/>
      </c>
      <c r="H5370" s="101" t="str">
        <f t="shared" si="333"/>
        <v/>
      </c>
      <c r="I5370" s="101" t="str">
        <f t="shared" si="334"/>
        <v/>
      </c>
      <c r="J5370" s="140" t="str">
        <f t="shared" si="335"/>
        <v/>
      </c>
    </row>
    <row r="5371" spans="6:10" x14ac:dyDescent="0.25">
      <c r="F5371" s="102"/>
      <c r="G5371" s="105" t="str">
        <f t="shared" si="332"/>
        <v/>
      </c>
      <c r="H5371" s="101" t="str">
        <f t="shared" si="333"/>
        <v/>
      </c>
      <c r="I5371" s="101" t="str">
        <f t="shared" si="334"/>
        <v/>
      </c>
      <c r="J5371" s="140" t="str">
        <f t="shared" si="335"/>
        <v/>
      </c>
    </row>
    <row r="5372" spans="6:10" x14ac:dyDescent="0.25">
      <c r="F5372" s="102"/>
      <c r="G5372" s="105" t="str">
        <f t="shared" si="332"/>
        <v/>
      </c>
      <c r="H5372" s="101" t="str">
        <f t="shared" si="333"/>
        <v/>
      </c>
      <c r="I5372" s="101" t="str">
        <f t="shared" si="334"/>
        <v/>
      </c>
      <c r="J5372" s="140" t="str">
        <f t="shared" si="335"/>
        <v/>
      </c>
    </row>
    <row r="5373" spans="6:10" x14ac:dyDescent="0.25">
      <c r="F5373" s="102"/>
      <c r="G5373" s="105" t="str">
        <f t="shared" si="332"/>
        <v/>
      </c>
      <c r="H5373" s="101" t="str">
        <f t="shared" si="333"/>
        <v/>
      </c>
      <c r="I5373" s="101" t="str">
        <f t="shared" si="334"/>
        <v/>
      </c>
      <c r="J5373" s="140" t="str">
        <f t="shared" si="335"/>
        <v/>
      </c>
    </row>
    <row r="5374" spans="6:10" x14ac:dyDescent="0.25">
      <c r="F5374" s="102"/>
      <c r="G5374" s="105" t="str">
        <f t="shared" si="332"/>
        <v/>
      </c>
      <c r="H5374" s="101" t="str">
        <f t="shared" si="333"/>
        <v/>
      </c>
      <c r="I5374" s="101" t="str">
        <f t="shared" si="334"/>
        <v/>
      </c>
      <c r="J5374" s="140" t="str">
        <f t="shared" si="335"/>
        <v/>
      </c>
    </row>
    <row r="5375" spans="6:10" x14ac:dyDescent="0.25">
      <c r="F5375" s="102"/>
      <c r="G5375" s="105" t="str">
        <f t="shared" si="332"/>
        <v/>
      </c>
      <c r="H5375" s="101" t="str">
        <f t="shared" si="333"/>
        <v/>
      </c>
      <c r="I5375" s="101" t="str">
        <f t="shared" si="334"/>
        <v/>
      </c>
      <c r="J5375" s="140" t="str">
        <f t="shared" si="335"/>
        <v/>
      </c>
    </row>
    <row r="5376" spans="6:10" x14ac:dyDescent="0.25">
      <c r="F5376" s="102"/>
      <c r="G5376" s="105" t="str">
        <f t="shared" si="332"/>
        <v/>
      </c>
      <c r="H5376" s="101" t="str">
        <f t="shared" si="333"/>
        <v/>
      </c>
      <c r="I5376" s="101" t="str">
        <f t="shared" si="334"/>
        <v/>
      </c>
      <c r="J5376" s="140" t="str">
        <f t="shared" si="335"/>
        <v/>
      </c>
    </row>
    <row r="5377" spans="6:10" x14ac:dyDescent="0.25">
      <c r="F5377" s="102"/>
      <c r="G5377" s="105" t="str">
        <f t="shared" si="332"/>
        <v/>
      </c>
      <c r="H5377" s="101" t="str">
        <f t="shared" si="333"/>
        <v/>
      </c>
      <c r="I5377" s="101" t="str">
        <f t="shared" si="334"/>
        <v/>
      </c>
      <c r="J5377" s="140" t="str">
        <f t="shared" si="335"/>
        <v/>
      </c>
    </row>
    <row r="5378" spans="6:10" x14ac:dyDescent="0.25">
      <c r="F5378" s="102"/>
      <c r="G5378" s="105" t="str">
        <f t="shared" si="332"/>
        <v/>
      </c>
      <c r="H5378" s="101" t="str">
        <f t="shared" si="333"/>
        <v/>
      </c>
      <c r="I5378" s="101" t="str">
        <f t="shared" si="334"/>
        <v/>
      </c>
      <c r="J5378" s="140" t="str">
        <f t="shared" si="335"/>
        <v/>
      </c>
    </row>
    <row r="5379" spans="6:10" x14ac:dyDescent="0.25">
      <c r="F5379" s="102"/>
      <c r="G5379" s="105" t="str">
        <f t="shared" si="332"/>
        <v/>
      </c>
      <c r="H5379" s="101" t="str">
        <f t="shared" si="333"/>
        <v/>
      </c>
      <c r="I5379" s="101" t="str">
        <f t="shared" si="334"/>
        <v/>
      </c>
      <c r="J5379" s="140" t="str">
        <f t="shared" si="335"/>
        <v/>
      </c>
    </row>
    <row r="5380" spans="6:10" x14ac:dyDescent="0.25">
      <c r="F5380" s="102"/>
      <c r="G5380" s="105" t="str">
        <f t="shared" si="332"/>
        <v/>
      </c>
      <c r="H5380" s="101" t="str">
        <f t="shared" si="333"/>
        <v/>
      </c>
      <c r="I5380" s="101" t="str">
        <f t="shared" si="334"/>
        <v/>
      </c>
      <c r="J5380" s="140" t="str">
        <f t="shared" si="335"/>
        <v/>
      </c>
    </row>
    <row r="5381" spans="6:10" x14ac:dyDescent="0.25">
      <c r="F5381" s="102"/>
      <c r="G5381" s="105" t="str">
        <f t="shared" si="332"/>
        <v/>
      </c>
      <c r="H5381" s="101" t="str">
        <f t="shared" si="333"/>
        <v/>
      </c>
      <c r="I5381" s="101" t="str">
        <f t="shared" si="334"/>
        <v/>
      </c>
      <c r="J5381" s="140" t="str">
        <f t="shared" si="335"/>
        <v/>
      </c>
    </row>
    <row r="5382" spans="6:10" x14ac:dyDescent="0.25">
      <c r="F5382" s="102"/>
      <c r="G5382" s="105" t="str">
        <f t="shared" si="332"/>
        <v/>
      </c>
      <c r="H5382" s="101" t="str">
        <f t="shared" si="333"/>
        <v/>
      </c>
      <c r="I5382" s="101" t="str">
        <f t="shared" si="334"/>
        <v/>
      </c>
      <c r="J5382" s="140" t="str">
        <f t="shared" si="335"/>
        <v/>
      </c>
    </row>
    <row r="5383" spans="6:10" x14ac:dyDescent="0.25">
      <c r="F5383" s="102"/>
      <c r="G5383" s="105" t="str">
        <f t="shared" si="332"/>
        <v/>
      </c>
      <c r="H5383" s="101" t="str">
        <f t="shared" si="333"/>
        <v/>
      </c>
      <c r="I5383" s="101" t="str">
        <f t="shared" si="334"/>
        <v/>
      </c>
      <c r="J5383" s="140" t="str">
        <f t="shared" si="335"/>
        <v/>
      </c>
    </row>
    <row r="5384" spans="6:10" x14ac:dyDescent="0.25">
      <c r="F5384" s="102"/>
      <c r="G5384" s="105" t="str">
        <f t="shared" ref="G5384:G5447" si="336">IF(E5384="","",E5384+0)</f>
        <v/>
      </c>
      <c r="H5384" s="101" t="str">
        <f t="shared" ref="H5384:H5447" si="337">IF(G5384="","",TRIM(CONCATENATE("Sinapi ",A5384)))</f>
        <v/>
      </c>
      <c r="I5384" s="101" t="str">
        <f t="shared" ref="I5384:I5447" si="338">TRIM(C5384)</f>
        <v/>
      </c>
      <c r="J5384" s="140" t="str">
        <f t="shared" si="335"/>
        <v/>
      </c>
    </row>
    <row r="5385" spans="6:10" x14ac:dyDescent="0.25">
      <c r="F5385" s="102"/>
      <c r="G5385" s="105" t="str">
        <f t="shared" si="336"/>
        <v/>
      </c>
      <c r="H5385" s="101" t="str">
        <f t="shared" si="337"/>
        <v/>
      </c>
      <c r="I5385" s="101" t="str">
        <f t="shared" si="338"/>
        <v/>
      </c>
      <c r="J5385" s="140" t="str">
        <f t="shared" ref="J5385:J5448" si="339">TRIM(B5385)</f>
        <v/>
      </c>
    </row>
    <row r="5386" spans="6:10" x14ac:dyDescent="0.25">
      <c r="F5386" s="102"/>
      <c r="G5386" s="105" t="str">
        <f t="shared" si="336"/>
        <v/>
      </c>
      <c r="H5386" s="101" t="str">
        <f t="shared" si="337"/>
        <v/>
      </c>
      <c r="I5386" s="101" t="str">
        <f t="shared" si="338"/>
        <v/>
      </c>
      <c r="J5386" s="140" t="str">
        <f t="shared" si="339"/>
        <v/>
      </c>
    </row>
    <row r="5387" spans="6:10" x14ac:dyDescent="0.25">
      <c r="F5387" s="102"/>
      <c r="G5387" s="105" t="str">
        <f t="shared" si="336"/>
        <v/>
      </c>
      <c r="H5387" s="101" t="str">
        <f t="shared" si="337"/>
        <v/>
      </c>
      <c r="I5387" s="101" t="str">
        <f t="shared" si="338"/>
        <v/>
      </c>
      <c r="J5387" s="140" t="str">
        <f t="shared" si="339"/>
        <v/>
      </c>
    </row>
    <row r="5388" spans="6:10" x14ac:dyDescent="0.25">
      <c r="F5388" s="102"/>
      <c r="G5388" s="105" t="str">
        <f t="shared" si="336"/>
        <v/>
      </c>
      <c r="H5388" s="101" t="str">
        <f t="shared" si="337"/>
        <v/>
      </c>
      <c r="I5388" s="101" t="str">
        <f t="shared" si="338"/>
        <v/>
      </c>
      <c r="J5388" s="140" t="str">
        <f t="shared" si="339"/>
        <v/>
      </c>
    </row>
    <row r="5389" spans="6:10" x14ac:dyDescent="0.25">
      <c r="F5389" s="102"/>
      <c r="G5389" s="105" t="str">
        <f t="shared" si="336"/>
        <v/>
      </c>
      <c r="H5389" s="101" t="str">
        <f t="shared" si="337"/>
        <v/>
      </c>
      <c r="I5389" s="101" t="str">
        <f t="shared" si="338"/>
        <v/>
      </c>
      <c r="J5389" s="140" t="str">
        <f t="shared" si="339"/>
        <v/>
      </c>
    </row>
    <row r="5390" spans="6:10" x14ac:dyDescent="0.25">
      <c r="F5390" s="102"/>
      <c r="G5390" s="105" t="str">
        <f t="shared" si="336"/>
        <v/>
      </c>
      <c r="H5390" s="101" t="str">
        <f t="shared" si="337"/>
        <v/>
      </c>
      <c r="I5390" s="101" t="str">
        <f t="shared" si="338"/>
        <v/>
      </c>
      <c r="J5390" s="140" t="str">
        <f t="shared" si="339"/>
        <v/>
      </c>
    </row>
    <row r="5391" spans="6:10" x14ac:dyDescent="0.25">
      <c r="F5391" s="102"/>
      <c r="G5391" s="105" t="str">
        <f t="shared" si="336"/>
        <v/>
      </c>
      <c r="H5391" s="101" t="str">
        <f t="shared" si="337"/>
        <v/>
      </c>
      <c r="I5391" s="101" t="str">
        <f t="shared" si="338"/>
        <v/>
      </c>
      <c r="J5391" s="140" t="str">
        <f t="shared" si="339"/>
        <v/>
      </c>
    </row>
    <row r="5392" spans="6:10" x14ac:dyDescent="0.25">
      <c r="F5392" s="102"/>
      <c r="G5392" s="105" t="str">
        <f t="shared" si="336"/>
        <v/>
      </c>
      <c r="H5392" s="101" t="str">
        <f t="shared" si="337"/>
        <v/>
      </c>
      <c r="I5392" s="101" t="str">
        <f t="shared" si="338"/>
        <v/>
      </c>
      <c r="J5392" s="140" t="str">
        <f t="shared" si="339"/>
        <v/>
      </c>
    </row>
    <row r="5393" spans="6:10" x14ac:dyDescent="0.25">
      <c r="F5393" s="102"/>
      <c r="G5393" s="105" t="str">
        <f t="shared" si="336"/>
        <v/>
      </c>
      <c r="H5393" s="101" t="str">
        <f t="shared" si="337"/>
        <v/>
      </c>
      <c r="I5393" s="101" t="str">
        <f t="shared" si="338"/>
        <v/>
      </c>
      <c r="J5393" s="140" t="str">
        <f t="shared" si="339"/>
        <v/>
      </c>
    </row>
    <row r="5394" spans="6:10" x14ac:dyDescent="0.25">
      <c r="F5394" s="102"/>
      <c r="G5394" s="105" t="str">
        <f t="shared" si="336"/>
        <v/>
      </c>
      <c r="H5394" s="101" t="str">
        <f t="shared" si="337"/>
        <v/>
      </c>
      <c r="I5394" s="101" t="str">
        <f t="shared" si="338"/>
        <v/>
      </c>
      <c r="J5394" s="140" t="str">
        <f t="shared" si="339"/>
        <v/>
      </c>
    </row>
    <row r="5395" spans="6:10" x14ac:dyDescent="0.25">
      <c r="F5395" s="102"/>
      <c r="G5395" s="105" t="str">
        <f t="shared" si="336"/>
        <v/>
      </c>
      <c r="H5395" s="101" t="str">
        <f t="shared" si="337"/>
        <v/>
      </c>
      <c r="I5395" s="101" t="str">
        <f t="shared" si="338"/>
        <v/>
      </c>
      <c r="J5395" s="140" t="str">
        <f t="shared" si="339"/>
        <v/>
      </c>
    </row>
    <row r="5396" spans="6:10" x14ac:dyDescent="0.25">
      <c r="F5396" s="102"/>
      <c r="G5396" s="105" t="str">
        <f t="shared" si="336"/>
        <v/>
      </c>
      <c r="H5396" s="101" t="str">
        <f t="shared" si="337"/>
        <v/>
      </c>
      <c r="I5396" s="101" t="str">
        <f t="shared" si="338"/>
        <v/>
      </c>
      <c r="J5396" s="140" t="str">
        <f t="shared" si="339"/>
        <v/>
      </c>
    </row>
    <row r="5397" spans="6:10" x14ac:dyDescent="0.25">
      <c r="F5397" s="102"/>
      <c r="G5397" s="105" t="str">
        <f t="shared" si="336"/>
        <v/>
      </c>
      <c r="H5397" s="101" t="str">
        <f t="shared" si="337"/>
        <v/>
      </c>
      <c r="I5397" s="101" t="str">
        <f t="shared" si="338"/>
        <v/>
      </c>
      <c r="J5397" s="140" t="str">
        <f t="shared" si="339"/>
        <v/>
      </c>
    </row>
    <row r="5398" spans="6:10" x14ac:dyDescent="0.25">
      <c r="F5398" s="102"/>
      <c r="G5398" s="105" t="str">
        <f t="shared" si="336"/>
        <v/>
      </c>
      <c r="H5398" s="101" t="str">
        <f t="shared" si="337"/>
        <v/>
      </c>
      <c r="I5398" s="101" t="str">
        <f t="shared" si="338"/>
        <v/>
      </c>
      <c r="J5398" s="140" t="str">
        <f t="shared" si="339"/>
        <v/>
      </c>
    </row>
    <row r="5399" spans="6:10" x14ac:dyDescent="0.25">
      <c r="F5399" s="102"/>
      <c r="G5399" s="105" t="str">
        <f t="shared" si="336"/>
        <v/>
      </c>
      <c r="H5399" s="101" t="str">
        <f t="shared" si="337"/>
        <v/>
      </c>
      <c r="I5399" s="101" t="str">
        <f t="shared" si="338"/>
        <v/>
      </c>
      <c r="J5399" s="140" t="str">
        <f t="shared" si="339"/>
        <v/>
      </c>
    </row>
    <row r="5400" spans="6:10" x14ac:dyDescent="0.25">
      <c r="F5400" s="102"/>
      <c r="G5400" s="105" t="str">
        <f t="shared" si="336"/>
        <v/>
      </c>
      <c r="H5400" s="101" t="str">
        <f t="shared" si="337"/>
        <v/>
      </c>
      <c r="I5400" s="101" t="str">
        <f t="shared" si="338"/>
        <v/>
      </c>
      <c r="J5400" s="140" t="str">
        <f t="shared" si="339"/>
        <v/>
      </c>
    </row>
    <row r="5401" spans="6:10" x14ac:dyDescent="0.25">
      <c r="G5401" s="105" t="str">
        <f t="shared" si="336"/>
        <v/>
      </c>
      <c r="H5401" s="101" t="str">
        <f t="shared" si="337"/>
        <v/>
      </c>
      <c r="I5401" s="101" t="str">
        <f t="shared" si="338"/>
        <v/>
      </c>
      <c r="J5401" s="140" t="str">
        <f t="shared" si="339"/>
        <v/>
      </c>
    </row>
    <row r="5402" spans="6:10" x14ac:dyDescent="0.25">
      <c r="G5402" s="105" t="str">
        <f t="shared" si="336"/>
        <v/>
      </c>
      <c r="H5402" s="101" t="str">
        <f t="shared" si="337"/>
        <v/>
      </c>
      <c r="I5402" s="101" t="str">
        <f t="shared" si="338"/>
        <v/>
      </c>
      <c r="J5402" s="140" t="str">
        <f t="shared" si="339"/>
        <v/>
      </c>
    </row>
    <row r="5403" spans="6:10" x14ac:dyDescent="0.25">
      <c r="G5403" s="105" t="str">
        <f t="shared" si="336"/>
        <v/>
      </c>
      <c r="H5403" s="101" t="str">
        <f t="shared" si="337"/>
        <v/>
      </c>
      <c r="I5403" s="101" t="str">
        <f t="shared" si="338"/>
        <v/>
      </c>
      <c r="J5403" s="140" t="str">
        <f t="shared" si="339"/>
        <v/>
      </c>
    </row>
    <row r="5404" spans="6:10" x14ac:dyDescent="0.25">
      <c r="G5404" s="105" t="str">
        <f t="shared" si="336"/>
        <v/>
      </c>
      <c r="H5404" s="101" t="str">
        <f t="shared" si="337"/>
        <v/>
      </c>
      <c r="I5404" s="101" t="str">
        <f t="shared" si="338"/>
        <v/>
      </c>
      <c r="J5404" s="140" t="str">
        <f t="shared" si="339"/>
        <v/>
      </c>
    </row>
    <row r="5405" spans="6:10" x14ac:dyDescent="0.25">
      <c r="G5405" s="105" t="str">
        <f t="shared" si="336"/>
        <v/>
      </c>
      <c r="H5405" s="101" t="str">
        <f t="shared" si="337"/>
        <v/>
      </c>
      <c r="I5405" s="101" t="str">
        <f t="shared" si="338"/>
        <v/>
      </c>
      <c r="J5405" s="140" t="str">
        <f t="shared" si="339"/>
        <v/>
      </c>
    </row>
    <row r="5406" spans="6:10" x14ac:dyDescent="0.25">
      <c r="G5406" s="105" t="str">
        <f t="shared" si="336"/>
        <v/>
      </c>
      <c r="H5406" s="101" t="str">
        <f t="shared" si="337"/>
        <v/>
      </c>
      <c r="I5406" s="101" t="str">
        <f t="shared" si="338"/>
        <v/>
      </c>
      <c r="J5406" s="140" t="str">
        <f t="shared" si="339"/>
        <v/>
      </c>
    </row>
    <row r="5407" spans="6:10" x14ac:dyDescent="0.25">
      <c r="G5407" s="105" t="str">
        <f t="shared" si="336"/>
        <v/>
      </c>
      <c r="H5407" s="101" t="str">
        <f t="shared" si="337"/>
        <v/>
      </c>
      <c r="I5407" s="101" t="str">
        <f t="shared" si="338"/>
        <v/>
      </c>
      <c r="J5407" s="140" t="str">
        <f t="shared" si="339"/>
        <v/>
      </c>
    </row>
    <row r="5408" spans="6:10" x14ac:dyDescent="0.25">
      <c r="G5408" s="105" t="str">
        <f t="shared" si="336"/>
        <v/>
      </c>
      <c r="H5408" s="101" t="str">
        <f t="shared" si="337"/>
        <v/>
      </c>
      <c r="I5408" s="101" t="str">
        <f t="shared" si="338"/>
        <v/>
      </c>
      <c r="J5408" s="140" t="str">
        <f t="shared" si="339"/>
        <v/>
      </c>
    </row>
    <row r="5409" spans="7:10" x14ac:dyDescent="0.25">
      <c r="G5409" s="105" t="str">
        <f t="shared" si="336"/>
        <v/>
      </c>
      <c r="H5409" s="101" t="str">
        <f t="shared" si="337"/>
        <v/>
      </c>
      <c r="I5409" s="101" t="str">
        <f t="shared" si="338"/>
        <v/>
      </c>
      <c r="J5409" s="140" t="str">
        <f t="shared" si="339"/>
        <v/>
      </c>
    </row>
    <row r="5410" spans="7:10" x14ac:dyDescent="0.25">
      <c r="G5410" s="105" t="str">
        <f t="shared" si="336"/>
        <v/>
      </c>
      <c r="H5410" s="101" t="str">
        <f t="shared" si="337"/>
        <v/>
      </c>
      <c r="I5410" s="101" t="str">
        <f t="shared" si="338"/>
        <v/>
      </c>
      <c r="J5410" s="140" t="str">
        <f t="shared" si="339"/>
        <v/>
      </c>
    </row>
    <row r="5411" spans="7:10" x14ac:dyDescent="0.25">
      <c r="G5411" s="105" t="str">
        <f t="shared" si="336"/>
        <v/>
      </c>
      <c r="H5411" s="101" t="str">
        <f t="shared" si="337"/>
        <v/>
      </c>
      <c r="I5411" s="101" t="str">
        <f t="shared" si="338"/>
        <v/>
      </c>
      <c r="J5411" s="140" t="str">
        <f t="shared" si="339"/>
        <v/>
      </c>
    </row>
    <row r="5412" spans="7:10" x14ac:dyDescent="0.25">
      <c r="G5412" s="105" t="str">
        <f t="shared" si="336"/>
        <v/>
      </c>
      <c r="H5412" s="101" t="str">
        <f t="shared" si="337"/>
        <v/>
      </c>
      <c r="I5412" s="101" t="str">
        <f t="shared" si="338"/>
        <v/>
      </c>
      <c r="J5412" s="140" t="str">
        <f t="shared" si="339"/>
        <v/>
      </c>
    </row>
    <row r="5413" spans="7:10" x14ac:dyDescent="0.25">
      <c r="G5413" s="105" t="str">
        <f t="shared" si="336"/>
        <v/>
      </c>
      <c r="H5413" s="101" t="str">
        <f t="shared" si="337"/>
        <v/>
      </c>
      <c r="I5413" s="101" t="str">
        <f t="shared" si="338"/>
        <v/>
      </c>
      <c r="J5413" s="140" t="str">
        <f t="shared" si="339"/>
        <v/>
      </c>
    </row>
    <row r="5414" spans="7:10" x14ac:dyDescent="0.25">
      <c r="G5414" s="105" t="str">
        <f t="shared" si="336"/>
        <v/>
      </c>
      <c r="H5414" s="101" t="str">
        <f t="shared" si="337"/>
        <v/>
      </c>
      <c r="I5414" s="101" t="str">
        <f t="shared" si="338"/>
        <v/>
      </c>
      <c r="J5414" s="140" t="str">
        <f t="shared" si="339"/>
        <v/>
      </c>
    </row>
    <row r="5415" spans="7:10" x14ac:dyDescent="0.25">
      <c r="G5415" s="105" t="str">
        <f t="shared" si="336"/>
        <v/>
      </c>
      <c r="H5415" s="101" t="str">
        <f t="shared" si="337"/>
        <v/>
      </c>
      <c r="I5415" s="101" t="str">
        <f t="shared" si="338"/>
        <v/>
      </c>
      <c r="J5415" s="140" t="str">
        <f t="shared" si="339"/>
        <v/>
      </c>
    </row>
    <row r="5416" spans="7:10" x14ac:dyDescent="0.25">
      <c r="G5416" s="105" t="str">
        <f t="shared" si="336"/>
        <v/>
      </c>
      <c r="H5416" s="101" t="str">
        <f t="shared" si="337"/>
        <v/>
      </c>
      <c r="I5416" s="101" t="str">
        <f t="shared" si="338"/>
        <v/>
      </c>
      <c r="J5416" s="140" t="str">
        <f t="shared" si="339"/>
        <v/>
      </c>
    </row>
    <row r="5417" spans="7:10" x14ac:dyDescent="0.25">
      <c r="G5417" s="105" t="str">
        <f t="shared" si="336"/>
        <v/>
      </c>
      <c r="H5417" s="101" t="str">
        <f t="shared" si="337"/>
        <v/>
      </c>
      <c r="I5417" s="101" t="str">
        <f t="shared" si="338"/>
        <v/>
      </c>
      <c r="J5417" s="140" t="str">
        <f t="shared" si="339"/>
        <v/>
      </c>
    </row>
    <row r="5418" spans="7:10" x14ac:dyDescent="0.25">
      <c r="G5418" s="105" t="str">
        <f t="shared" si="336"/>
        <v/>
      </c>
      <c r="H5418" s="101" t="str">
        <f t="shared" si="337"/>
        <v/>
      </c>
      <c r="I5418" s="101" t="str">
        <f t="shared" si="338"/>
        <v/>
      </c>
      <c r="J5418" s="140" t="str">
        <f t="shared" si="339"/>
        <v/>
      </c>
    </row>
    <row r="5419" spans="7:10" x14ac:dyDescent="0.25">
      <c r="G5419" s="105" t="str">
        <f t="shared" si="336"/>
        <v/>
      </c>
      <c r="H5419" s="101" t="str">
        <f t="shared" si="337"/>
        <v/>
      </c>
      <c r="I5419" s="101" t="str">
        <f t="shared" si="338"/>
        <v/>
      </c>
      <c r="J5419" s="140" t="str">
        <f t="shared" si="339"/>
        <v/>
      </c>
    </row>
    <row r="5420" spans="7:10" x14ac:dyDescent="0.25">
      <c r="G5420" s="105" t="str">
        <f t="shared" si="336"/>
        <v/>
      </c>
      <c r="H5420" s="101" t="str">
        <f t="shared" si="337"/>
        <v/>
      </c>
      <c r="I5420" s="101" t="str">
        <f t="shared" si="338"/>
        <v/>
      </c>
      <c r="J5420" s="140" t="str">
        <f t="shared" si="339"/>
        <v/>
      </c>
    </row>
    <row r="5421" spans="7:10" x14ac:dyDescent="0.25">
      <c r="G5421" s="105" t="str">
        <f t="shared" si="336"/>
        <v/>
      </c>
      <c r="H5421" s="101" t="str">
        <f t="shared" si="337"/>
        <v/>
      </c>
      <c r="I5421" s="101" t="str">
        <f t="shared" si="338"/>
        <v/>
      </c>
      <c r="J5421" s="140" t="str">
        <f t="shared" si="339"/>
        <v/>
      </c>
    </row>
    <row r="5422" spans="7:10" x14ac:dyDescent="0.25">
      <c r="G5422" s="105" t="str">
        <f t="shared" si="336"/>
        <v/>
      </c>
      <c r="H5422" s="101" t="str">
        <f t="shared" si="337"/>
        <v/>
      </c>
      <c r="I5422" s="101" t="str">
        <f t="shared" si="338"/>
        <v/>
      </c>
      <c r="J5422" s="140" t="str">
        <f t="shared" si="339"/>
        <v/>
      </c>
    </row>
    <row r="5423" spans="7:10" x14ac:dyDescent="0.25">
      <c r="G5423" s="105" t="str">
        <f t="shared" si="336"/>
        <v/>
      </c>
      <c r="H5423" s="101" t="str">
        <f t="shared" si="337"/>
        <v/>
      </c>
      <c r="I5423" s="101" t="str">
        <f t="shared" si="338"/>
        <v/>
      </c>
      <c r="J5423" s="140" t="str">
        <f t="shared" si="339"/>
        <v/>
      </c>
    </row>
    <row r="5424" spans="7:10" x14ac:dyDescent="0.25">
      <c r="G5424" s="105" t="str">
        <f t="shared" si="336"/>
        <v/>
      </c>
      <c r="H5424" s="101" t="str">
        <f t="shared" si="337"/>
        <v/>
      </c>
      <c r="I5424" s="101" t="str">
        <f t="shared" si="338"/>
        <v/>
      </c>
      <c r="J5424" s="140" t="str">
        <f t="shared" si="339"/>
        <v/>
      </c>
    </row>
    <row r="5425" spans="7:10" x14ac:dyDescent="0.25">
      <c r="G5425" s="105" t="str">
        <f t="shared" si="336"/>
        <v/>
      </c>
      <c r="H5425" s="101" t="str">
        <f t="shared" si="337"/>
        <v/>
      </c>
      <c r="I5425" s="101" t="str">
        <f t="shared" si="338"/>
        <v/>
      </c>
      <c r="J5425" s="140" t="str">
        <f t="shared" si="339"/>
        <v/>
      </c>
    </row>
    <row r="5426" spans="7:10" x14ac:dyDescent="0.25">
      <c r="G5426" s="105" t="str">
        <f t="shared" si="336"/>
        <v/>
      </c>
      <c r="H5426" s="101" t="str">
        <f t="shared" si="337"/>
        <v/>
      </c>
      <c r="I5426" s="101" t="str">
        <f t="shared" si="338"/>
        <v/>
      </c>
      <c r="J5426" s="140" t="str">
        <f t="shared" si="339"/>
        <v/>
      </c>
    </row>
    <row r="5427" spans="7:10" x14ac:dyDescent="0.25">
      <c r="G5427" s="105" t="str">
        <f t="shared" si="336"/>
        <v/>
      </c>
      <c r="H5427" s="101" t="str">
        <f t="shared" si="337"/>
        <v/>
      </c>
      <c r="I5427" s="101" t="str">
        <f t="shared" si="338"/>
        <v/>
      </c>
      <c r="J5427" s="140" t="str">
        <f t="shared" si="339"/>
        <v/>
      </c>
    </row>
    <row r="5428" spans="7:10" x14ac:dyDescent="0.25">
      <c r="G5428" s="105" t="str">
        <f t="shared" si="336"/>
        <v/>
      </c>
      <c r="H5428" s="101" t="str">
        <f t="shared" si="337"/>
        <v/>
      </c>
      <c r="I5428" s="101" t="str">
        <f t="shared" si="338"/>
        <v/>
      </c>
      <c r="J5428" s="140" t="str">
        <f t="shared" si="339"/>
        <v/>
      </c>
    </row>
    <row r="5429" spans="7:10" x14ac:dyDescent="0.25">
      <c r="G5429" s="105" t="str">
        <f t="shared" si="336"/>
        <v/>
      </c>
      <c r="H5429" s="101" t="str">
        <f t="shared" si="337"/>
        <v/>
      </c>
      <c r="I5429" s="101" t="str">
        <f t="shared" si="338"/>
        <v/>
      </c>
      <c r="J5429" s="140" t="str">
        <f t="shared" si="339"/>
        <v/>
      </c>
    </row>
    <row r="5430" spans="7:10" x14ac:dyDescent="0.25">
      <c r="G5430" s="105" t="str">
        <f t="shared" si="336"/>
        <v/>
      </c>
      <c r="H5430" s="101" t="str">
        <f t="shared" si="337"/>
        <v/>
      </c>
      <c r="I5430" s="101" t="str">
        <f t="shared" si="338"/>
        <v/>
      </c>
      <c r="J5430" s="140" t="str">
        <f t="shared" si="339"/>
        <v/>
      </c>
    </row>
    <row r="5431" spans="7:10" x14ac:dyDescent="0.25">
      <c r="G5431" s="105" t="str">
        <f t="shared" si="336"/>
        <v/>
      </c>
      <c r="H5431" s="101" t="str">
        <f t="shared" si="337"/>
        <v/>
      </c>
      <c r="I5431" s="101" t="str">
        <f t="shared" si="338"/>
        <v/>
      </c>
      <c r="J5431" s="140" t="str">
        <f t="shared" si="339"/>
        <v/>
      </c>
    </row>
    <row r="5432" spans="7:10" x14ac:dyDescent="0.25">
      <c r="G5432" s="105" t="str">
        <f t="shared" si="336"/>
        <v/>
      </c>
      <c r="H5432" s="101" t="str">
        <f t="shared" si="337"/>
        <v/>
      </c>
      <c r="I5432" s="101" t="str">
        <f t="shared" si="338"/>
        <v/>
      </c>
      <c r="J5432" s="140" t="str">
        <f t="shared" si="339"/>
        <v/>
      </c>
    </row>
    <row r="5433" spans="7:10" x14ac:dyDescent="0.25">
      <c r="G5433" s="105" t="str">
        <f t="shared" si="336"/>
        <v/>
      </c>
      <c r="H5433" s="101" t="str">
        <f t="shared" si="337"/>
        <v/>
      </c>
      <c r="I5433" s="101" t="str">
        <f t="shared" si="338"/>
        <v/>
      </c>
      <c r="J5433" s="140" t="str">
        <f t="shared" si="339"/>
        <v/>
      </c>
    </row>
    <row r="5434" spans="7:10" x14ac:dyDescent="0.25">
      <c r="G5434" s="105" t="str">
        <f t="shared" si="336"/>
        <v/>
      </c>
      <c r="H5434" s="101" t="str">
        <f t="shared" si="337"/>
        <v/>
      </c>
      <c r="I5434" s="101" t="str">
        <f t="shared" si="338"/>
        <v/>
      </c>
      <c r="J5434" s="140" t="str">
        <f t="shared" si="339"/>
        <v/>
      </c>
    </row>
    <row r="5435" spans="7:10" x14ac:dyDescent="0.25">
      <c r="G5435" s="105" t="str">
        <f t="shared" si="336"/>
        <v/>
      </c>
      <c r="H5435" s="101" t="str">
        <f t="shared" si="337"/>
        <v/>
      </c>
      <c r="I5435" s="101" t="str">
        <f t="shared" si="338"/>
        <v/>
      </c>
      <c r="J5435" s="140" t="str">
        <f t="shared" si="339"/>
        <v/>
      </c>
    </row>
    <row r="5436" spans="7:10" x14ac:dyDescent="0.25">
      <c r="G5436" s="105" t="str">
        <f t="shared" si="336"/>
        <v/>
      </c>
      <c r="H5436" s="101" t="str">
        <f t="shared" si="337"/>
        <v/>
      </c>
      <c r="I5436" s="101" t="str">
        <f t="shared" si="338"/>
        <v/>
      </c>
      <c r="J5436" s="140" t="str">
        <f t="shared" si="339"/>
        <v/>
      </c>
    </row>
    <row r="5437" spans="7:10" x14ac:dyDescent="0.25">
      <c r="G5437" s="105" t="str">
        <f t="shared" si="336"/>
        <v/>
      </c>
      <c r="H5437" s="101" t="str">
        <f t="shared" si="337"/>
        <v/>
      </c>
      <c r="I5437" s="101" t="str">
        <f t="shared" si="338"/>
        <v/>
      </c>
      <c r="J5437" s="140" t="str">
        <f t="shared" si="339"/>
        <v/>
      </c>
    </row>
    <row r="5438" spans="7:10" x14ac:dyDescent="0.25">
      <c r="G5438" s="105" t="str">
        <f t="shared" si="336"/>
        <v/>
      </c>
      <c r="H5438" s="101" t="str">
        <f t="shared" si="337"/>
        <v/>
      </c>
      <c r="I5438" s="101" t="str">
        <f t="shared" si="338"/>
        <v/>
      </c>
      <c r="J5438" s="140" t="str">
        <f t="shared" si="339"/>
        <v/>
      </c>
    </row>
    <row r="5439" spans="7:10" x14ac:dyDescent="0.25">
      <c r="G5439" s="105" t="str">
        <f t="shared" si="336"/>
        <v/>
      </c>
      <c r="H5439" s="101" t="str">
        <f t="shared" si="337"/>
        <v/>
      </c>
      <c r="I5439" s="101" t="str">
        <f t="shared" si="338"/>
        <v/>
      </c>
      <c r="J5439" s="140" t="str">
        <f t="shared" si="339"/>
        <v/>
      </c>
    </row>
    <row r="5440" spans="7:10" x14ac:dyDescent="0.25">
      <c r="G5440" s="105" t="str">
        <f t="shared" si="336"/>
        <v/>
      </c>
      <c r="H5440" s="101" t="str">
        <f t="shared" si="337"/>
        <v/>
      </c>
      <c r="I5440" s="101" t="str">
        <f t="shared" si="338"/>
        <v/>
      </c>
      <c r="J5440" s="140" t="str">
        <f t="shared" si="339"/>
        <v/>
      </c>
    </row>
    <row r="5441" spans="7:10" x14ac:dyDescent="0.25">
      <c r="G5441" s="105" t="str">
        <f t="shared" si="336"/>
        <v/>
      </c>
      <c r="H5441" s="101" t="str">
        <f t="shared" si="337"/>
        <v/>
      </c>
      <c r="I5441" s="101" t="str">
        <f t="shared" si="338"/>
        <v/>
      </c>
      <c r="J5441" s="140" t="str">
        <f t="shared" si="339"/>
        <v/>
      </c>
    </row>
    <row r="5442" spans="7:10" x14ac:dyDescent="0.25">
      <c r="G5442" s="105" t="str">
        <f t="shared" si="336"/>
        <v/>
      </c>
      <c r="H5442" s="101" t="str">
        <f t="shared" si="337"/>
        <v/>
      </c>
      <c r="I5442" s="101" t="str">
        <f t="shared" si="338"/>
        <v/>
      </c>
      <c r="J5442" s="140" t="str">
        <f t="shared" si="339"/>
        <v/>
      </c>
    </row>
    <row r="5443" spans="7:10" x14ac:dyDescent="0.25">
      <c r="G5443" s="105" t="str">
        <f t="shared" si="336"/>
        <v/>
      </c>
      <c r="H5443" s="101" t="str">
        <f t="shared" si="337"/>
        <v/>
      </c>
      <c r="I5443" s="101" t="str">
        <f t="shared" si="338"/>
        <v/>
      </c>
      <c r="J5443" s="140" t="str">
        <f t="shared" si="339"/>
        <v/>
      </c>
    </row>
    <row r="5444" spans="7:10" x14ac:dyDescent="0.25">
      <c r="G5444" s="105" t="str">
        <f t="shared" si="336"/>
        <v/>
      </c>
      <c r="H5444" s="101" t="str">
        <f t="shared" si="337"/>
        <v/>
      </c>
      <c r="I5444" s="101" t="str">
        <f t="shared" si="338"/>
        <v/>
      </c>
      <c r="J5444" s="140" t="str">
        <f t="shared" si="339"/>
        <v/>
      </c>
    </row>
    <row r="5445" spans="7:10" x14ac:dyDescent="0.25">
      <c r="G5445" s="105" t="str">
        <f t="shared" si="336"/>
        <v/>
      </c>
      <c r="H5445" s="101" t="str">
        <f t="shared" si="337"/>
        <v/>
      </c>
      <c r="I5445" s="101" t="str">
        <f t="shared" si="338"/>
        <v/>
      </c>
      <c r="J5445" s="140" t="str">
        <f t="shared" si="339"/>
        <v/>
      </c>
    </row>
    <row r="5446" spans="7:10" x14ac:dyDescent="0.25">
      <c r="G5446" s="105" t="str">
        <f t="shared" si="336"/>
        <v/>
      </c>
      <c r="H5446" s="101" t="str">
        <f t="shared" si="337"/>
        <v/>
      </c>
      <c r="I5446" s="101" t="str">
        <f t="shared" si="338"/>
        <v/>
      </c>
      <c r="J5446" s="140" t="str">
        <f t="shared" si="339"/>
        <v/>
      </c>
    </row>
    <row r="5447" spans="7:10" x14ac:dyDescent="0.25">
      <c r="G5447" s="105" t="str">
        <f t="shared" si="336"/>
        <v/>
      </c>
      <c r="H5447" s="101" t="str">
        <f t="shared" si="337"/>
        <v/>
      </c>
      <c r="I5447" s="101" t="str">
        <f t="shared" si="338"/>
        <v/>
      </c>
      <c r="J5447" s="140" t="str">
        <f t="shared" si="339"/>
        <v/>
      </c>
    </row>
    <row r="5448" spans="7:10" x14ac:dyDescent="0.25">
      <c r="G5448" s="105" t="str">
        <f t="shared" ref="G5448:G5511" si="340">IF(E5448="","",E5448+0)</f>
        <v/>
      </c>
      <c r="H5448" s="101" t="str">
        <f t="shared" ref="H5448:H5511" si="341">IF(G5448="","",TRIM(CONCATENATE("Sinapi ",A5448)))</f>
        <v/>
      </c>
      <c r="I5448" s="101" t="str">
        <f t="shared" ref="I5448:I5511" si="342">TRIM(C5448)</f>
        <v/>
      </c>
      <c r="J5448" s="140" t="str">
        <f t="shared" si="339"/>
        <v/>
      </c>
    </row>
    <row r="5449" spans="7:10" x14ac:dyDescent="0.25">
      <c r="G5449" s="105" t="str">
        <f t="shared" si="340"/>
        <v/>
      </c>
      <c r="H5449" s="101" t="str">
        <f t="shared" si="341"/>
        <v/>
      </c>
      <c r="I5449" s="101" t="str">
        <f t="shared" si="342"/>
        <v/>
      </c>
      <c r="J5449" s="140" t="str">
        <f t="shared" ref="J5449:J5512" si="343">TRIM(B5449)</f>
        <v/>
      </c>
    </row>
    <row r="5450" spans="7:10" x14ac:dyDescent="0.25">
      <c r="G5450" s="105" t="str">
        <f t="shared" si="340"/>
        <v/>
      </c>
      <c r="H5450" s="101" t="str">
        <f t="shared" si="341"/>
        <v/>
      </c>
      <c r="I5450" s="101" t="str">
        <f t="shared" si="342"/>
        <v/>
      </c>
      <c r="J5450" s="140" t="str">
        <f t="shared" si="343"/>
        <v/>
      </c>
    </row>
    <row r="5451" spans="7:10" x14ac:dyDescent="0.25">
      <c r="G5451" s="105" t="str">
        <f t="shared" si="340"/>
        <v/>
      </c>
      <c r="H5451" s="101" t="str">
        <f t="shared" si="341"/>
        <v/>
      </c>
      <c r="I5451" s="101" t="str">
        <f t="shared" si="342"/>
        <v/>
      </c>
      <c r="J5451" s="140" t="str">
        <f t="shared" si="343"/>
        <v/>
      </c>
    </row>
    <row r="5452" spans="7:10" x14ac:dyDescent="0.25">
      <c r="G5452" s="105" t="str">
        <f t="shared" si="340"/>
        <v/>
      </c>
      <c r="H5452" s="101" t="str">
        <f t="shared" si="341"/>
        <v/>
      </c>
      <c r="I5452" s="101" t="str">
        <f t="shared" si="342"/>
        <v/>
      </c>
      <c r="J5452" s="140" t="str">
        <f t="shared" si="343"/>
        <v/>
      </c>
    </row>
    <row r="5453" spans="7:10" x14ac:dyDescent="0.25">
      <c r="G5453" s="105" t="str">
        <f t="shared" si="340"/>
        <v/>
      </c>
      <c r="H5453" s="101" t="str">
        <f t="shared" si="341"/>
        <v/>
      </c>
      <c r="I5453" s="101" t="str">
        <f t="shared" si="342"/>
        <v/>
      </c>
      <c r="J5453" s="140" t="str">
        <f t="shared" si="343"/>
        <v/>
      </c>
    </row>
    <row r="5454" spans="7:10" x14ac:dyDescent="0.25">
      <c r="G5454" s="105" t="str">
        <f t="shared" si="340"/>
        <v/>
      </c>
      <c r="H5454" s="101" t="str">
        <f t="shared" si="341"/>
        <v/>
      </c>
      <c r="I5454" s="101" t="str">
        <f t="shared" si="342"/>
        <v/>
      </c>
      <c r="J5454" s="140" t="str">
        <f t="shared" si="343"/>
        <v/>
      </c>
    </row>
    <row r="5455" spans="7:10" x14ac:dyDescent="0.25">
      <c r="G5455" s="105" t="str">
        <f t="shared" si="340"/>
        <v/>
      </c>
      <c r="H5455" s="101" t="str">
        <f t="shared" si="341"/>
        <v/>
      </c>
      <c r="I5455" s="101" t="str">
        <f t="shared" si="342"/>
        <v/>
      </c>
      <c r="J5455" s="140" t="str">
        <f t="shared" si="343"/>
        <v/>
      </c>
    </row>
    <row r="5456" spans="7:10" x14ac:dyDescent="0.25">
      <c r="G5456" s="105" t="str">
        <f t="shared" si="340"/>
        <v/>
      </c>
      <c r="H5456" s="101" t="str">
        <f t="shared" si="341"/>
        <v/>
      </c>
      <c r="I5456" s="101" t="str">
        <f t="shared" si="342"/>
        <v/>
      </c>
      <c r="J5456" s="140" t="str">
        <f t="shared" si="343"/>
        <v/>
      </c>
    </row>
    <row r="5457" spans="7:10" x14ac:dyDescent="0.25">
      <c r="G5457" s="105" t="str">
        <f t="shared" si="340"/>
        <v/>
      </c>
      <c r="H5457" s="101" t="str">
        <f t="shared" si="341"/>
        <v/>
      </c>
      <c r="I5457" s="101" t="str">
        <f t="shared" si="342"/>
        <v/>
      </c>
      <c r="J5457" s="140" t="str">
        <f t="shared" si="343"/>
        <v/>
      </c>
    </row>
    <row r="5458" spans="7:10" x14ac:dyDescent="0.25">
      <c r="G5458" s="105" t="str">
        <f t="shared" si="340"/>
        <v/>
      </c>
      <c r="H5458" s="101" t="str">
        <f t="shared" si="341"/>
        <v/>
      </c>
      <c r="I5458" s="101" t="str">
        <f t="shared" si="342"/>
        <v/>
      </c>
      <c r="J5458" s="140" t="str">
        <f t="shared" si="343"/>
        <v/>
      </c>
    </row>
    <row r="5459" spans="7:10" x14ac:dyDescent="0.25">
      <c r="G5459" s="105" t="str">
        <f t="shared" si="340"/>
        <v/>
      </c>
      <c r="H5459" s="101" t="str">
        <f t="shared" si="341"/>
        <v/>
      </c>
      <c r="I5459" s="101" t="str">
        <f t="shared" si="342"/>
        <v/>
      </c>
      <c r="J5459" s="140" t="str">
        <f t="shared" si="343"/>
        <v/>
      </c>
    </row>
    <row r="5460" spans="7:10" x14ac:dyDescent="0.25">
      <c r="G5460" s="105" t="str">
        <f t="shared" si="340"/>
        <v/>
      </c>
      <c r="H5460" s="101" t="str">
        <f t="shared" si="341"/>
        <v/>
      </c>
      <c r="I5460" s="101" t="str">
        <f t="shared" si="342"/>
        <v/>
      </c>
      <c r="J5460" s="140" t="str">
        <f t="shared" si="343"/>
        <v/>
      </c>
    </row>
    <row r="5461" spans="7:10" x14ac:dyDescent="0.25">
      <c r="G5461" s="105" t="str">
        <f t="shared" si="340"/>
        <v/>
      </c>
      <c r="H5461" s="101" t="str">
        <f t="shared" si="341"/>
        <v/>
      </c>
      <c r="I5461" s="101" t="str">
        <f t="shared" si="342"/>
        <v/>
      </c>
      <c r="J5461" s="140" t="str">
        <f t="shared" si="343"/>
        <v/>
      </c>
    </row>
    <row r="5462" spans="7:10" x14ac:dyDescent="0.25">
      <c r="G5462" s="105" t="str">
        <f t="shared" si="340"/>
        <v/>
      </c>
      <c r="H5462" s="101" t="str">
        <f t="shared" si="341"/>
        <v/>
      </c>
      <c r="I5462" s="101" t="str">
        <f t="shared" si="342"/>
        <v/>
      </c>
      <c r="J5462" s="140" t="str">
        <f t="shared" si="343"/>
        <v/>
      </c>
    </row>
    <row r="5463" spans="7:10" x14ac:dyDescent="0.25">
      <c r="G5463" s="105" t="str">
        <f t="shared" si="340"/>
        <v/>
      </c>
      <c r="H5463" s="101" t="str">
        <f t="shared" si="341"/>
        <v/>
      </c>
      <c r="I5463" s="101" t="str">
        <f t="shared" si="342"/>
        <v/>
      </c>
      <c r="J5463" s="140" t="str">
        <f t="shared" si="343"/>
        <v/>
      </c>
    </row>
    <row r="5464" spans="7:10" x14ac:dyDescent="0.25">
      <c r="G5464" s="105" t="str">
        <f t="shared" si="340"/>
        <v/>
      </c>
      <c r="H5464" s="101" t="str">
        <f t="shared" si="341"/>
        <v/>
      </c>
      <c r="I5464" s="101" t="str">
        <f t="shared" si="342"/>
        <v/>
      </c>
      <c r="J5464" s="140" t="str">
        <f t="shared" si="343"/>
        <v/>
      </c>
    </row>
    <row r="5465" spans="7:10" x14ac:dyDescent="0.25">
      <c r="G5465" s="105" t="str">
        <f t="shared" si="340"/>
        <v/>
      </c>
      <c r="H5465" s="101" t="str">
        <f t="shared" si="341"/>
        <v/>
      </c>
      <c r="I5465" s="101" t="str">
        <f t="shared" si="342"/>
        <v/>
      </c>
      <c r="J5465" s="140" t="str">
        <f t="shared" si="343"/>
        <v/>
      </c>
    </row>
    <row r="5466" spans="7:10" x14ac:dyDescent="0.25">
      <c r="G5466" s="105" t="str">
        <f t="shared" si="340"/>
        <v/>
      </c>
      <c r="H5466" s="101" t="str">
        <f t="shared" si="341"/>
        <v/>
      </c>
      <c r="I5466" s="101" t="str">
        <f t="shared" si="342"/>
        <v/>
      </c>
      <c r="J5466" s="140" t="str">
        <f t="shared" si="343"/>
        <v/>
      </c>
    </row>
    <row r="5467" spans="7:10" x14ac:dyDescent="0.25">
      <c r="G5467" s="105" t="str">
        <f t="shared" si="340"/>
        <v/>
      </c>
      <c r="H5467" s="101" t="str">
        <f t="shared" si="341"/>
        <v/>
      </c>
      <c r="I5467" s="101" t="str">
        <f t="shared" si="342"/>
        <v/>
      </c>
      <c r="J5467" s="140" t="str">
        <f t="shared" si="343"/>
        <v/>
      </c>
    </row>
    <row r="5468" spans="7:10" x14ac:dyDescent="0.25">
      <c r="G5468" s="105" t="str">
        <f t="shared" si="340"/>
        <v/>
      </c>
      <c r="H5468" s="101" t="str">
        <f t="shared" si="341"/>
        <v/>
      </c>
      <c r="I5468" s="101" t="str">
        <f t="shared" si="342"/>
        <v/>
      </c>
      <c r="J5468" s="140" t="str">
        <f t="shared" si="343"/>
        <v/>
      </c>
    </row>
    <row r="5469" spans="7:10" x14ac:dyDescent="0.25">
      <c r="G5469" s="105" t="str">
        <f t="shared" si="340"/>
        <v/>
      </c>
      <c r="H5469" s="101" t="str">
        <f t="shared" si="341"/>
        <v/>
      </c>
      <c r="I5469" s="101" t="str">
        <f t="shared" si="342"/>
        <v/>
      </c>
      <c r="J5469" s="140" t="str">
        <f t="shared" si="343"/>
        <v/>
      </c>
    </row>
    <row r="5470" spans="7:10" x14ac:dyDescent="0.25">
      <c r="G5470" s="105" t="str">
        <f t="shared" si="340"/>
        <v/>
      </c>
      <c r="H5470" s="101" t="str">
        <f t="shared" si="341"/>
        <v/>
      </c>
      <c r="I5470" s="101" t="str">
        <f t="shared" si="342"/>
        <v/>
      </c>
      <c r="J5470" s="140" t="str">
        <f t="shared" si="343"/>
        <v/>
      </c>
    </row>
    <row r="5471" spans="7:10" x14ac:dyDescent="0.25">
      <c r="G5471" s="105" t="str">
        <f t="shared" si="340"/>
        <v/>
      </c>
      <c r="H5471" s="101" t="str">
        <f t="shared" si="341"/>
        <v/>
      </c>
      <c r="I5471" s="101" t="str">
        <f t="shared" si="342"/>
        <v/>
      </c>
      <c r="J5471" s="140" t="str">
        <f t="shared" si="343"/>
        <v/>
      </c>
    </row>
    <row r="5472" spans="7:10" x14ac:dyDescent="0.25">
      <c r="G5472" s="105" t="str">
        <f t="shared" si="340"/>
        <v/>
      </c>
      <c r="H5472" s="101" t="str">
        <f t="shared" si="341"/>
        <v/>
      </c>
      <c r="I5472" s="101" t="str">
        <f t="shared" si="342"/>
        <v/>
      </c>
      <c r="J5472" s="140" t="str">
        <f t="shared" si="343"/>
        <v/>
      </c>
    </row>
    <row r="5473" spans="7:10" x14ac:dyDescent="0.25">
      <c r="G5473" s="105" t="str">
        <f t="shared" si="340"/>
        <v/>
      </c>
      <c r="H5473" s="101" t="str">
        <f t="shared" si="341"/>
        <v/>
      </c>
      <c r="I5473" s="101" t="str">
        <f t="shared" si="342"/>
        <v/>
      </c>
      <c r="J5473" s="140" t="str">
        <f t="shared" si="343"/>
        <v/>
      </c>
    </row>
    <row r="5474" spans="7:10" x14ac:dyDescent="0.25">
      <c r="G5474" s="105" t="str">
        <f t="shared" si="340"/>
        <v/>
      </c>
      <c r="H5474" s="101" t="str">
        <f t="shared" si="341"/>
        <v/>
      </c>
      <c r="I5474" s="101" t="str">
        <f t="shared" si="342"/>
        <v/>
      </c>
      <c r="J5474" s="140" t="str">
        <f t="shared" si="343"/>
        <v/>
      </c>
    </row>
    <row r="5475" spans="7:10" x14ac:dyDescent="0.25">
      <c r="G5475" s="105" t="str">
        <f t="shared" si="340"/>
        <v/>
      </c>
      <c r="H5475" s="101" t="str">
        <f t="shared" si="341"/>
        <v/>
      </c>
      <c r="I5475" s="101" t="str">
        <f t="shared" si="342"/>
        <v/>
      </c>
      <c r="J5475" s="140" t="str">
        <f t="shared" si="343"/>
        <v/>
      </c>
    </row>
    <row r="5476" spans="7:10" x14ac:dyDescent="0.25">
      <c r="G5476" s="105" t="str">
        <f t="shared" si="340"/>
        <v/>
      </c>
      <c r="H5476" s="101" t="str">
        <f t="shared" si="341"/>
        <v/>
      </c>
      <c r="I5476" s="101" t="str">
        <f t="shared" si="342"/>
        <v/>
      </c>
      <c r="J5476" s="140" t="str">
        <f t="shared" si="343"/>
        <v/>
      </c>
    </row>
    <row r="5477" spans="7:10" x14ac:dyDescent="0.25">
      <c r="G5477" s="105" t="str">
        <f t="shared" si="340"/>
        <v/>
      </c>
      <c r="H5477" s="101" t="str">
        <f t="shared" si="341"/>
        <v/>
      </c>
      <c r="I5477" s="101" t="str">
        <f t="shared" si="342"/>
        <v/>
      </c>
      <c r="J5477" s="140" t="str">
        <f t="shared" si="343"/>
        <v/>
      </c>
    </row>
    <row r="5478" spans="7:10" x14ac:dyDescent="0.25">
      <c r="G5478" s="105" t="str">
        <f t="shared" si="340"/>
        <v/>
      </c>
      <c r="H5478" s="101" t="str">
        <f t="shared" si="341"/>
        <v/>
      </c>
      <c r="I5478" s="101" t="str">
        <f t="shared" si="342"/>
        <v/>
      </c>
      <c r="J5478" s="140" t="str">
        <f t="shared" si="343"/>
        <v/>
      </c>
    </row>
    <row r="5479" spans="7:10" x14ac:dyDescent="0.25">
      <c r="G5479" s="105" t="str">
        <f t="shared" si="340"/>
        <v/>
      </c>
      <c r="H5479" s="101" t="str">
        <f t="shared" si="341"/>
        <v/>
      </c>
      <c r="I5479" s="101" t="str">
        <f t="shared" si="342"/>
        <v/>
      </c>
      <c r="J5479" s="140" t="str">
        <f t="shared" si="343"/>
        <v/>
      </c>
    </row>
    <row r="5480" spans="7:10" x14ac:dyDescent="0.25">
      <c r="G5480" s="105" t="str">
        <f t="shared" si="340"/>
        <v/>
      </c>
      <c r="H5480" s="101" t="str">
        <f t="shared" si="341"/>
        <v/>
      </c>
      <c r="I5480" s="101" t="str">
        <f t="shared" si="342"/>
        <v/>
      </c>
      <c r="J5480" s="140" t="str">
        <f t="shared" si="343"/>
        <v/>
      </c>
    </row>
    <row r="5481" spans="7:10" x14ac:dyDescent="0.25">
      <c r="G5481" s="105" t="str">
        <f t="shared" si="340"/>
        <v/>
      </c>
      <c r="H5481" s="101" t="str">
        <f t="shared" si="341"/>
        <v/>
      </c>
      <c r="I5481" s="101" t="str">
        <f t="shared" si="342"/>
        <v/>
      </c>
      <c r="J5481" s="140" t="str">
        <f t="shared" si="343"/>
        <v/>
      </c>
    </row>
    <row r="5482" spans="7:10" x14ac:dyDescent="0.25">
      <c r="G5482" s="105" t="str">
        <f t="shared" si="340"/>
        <v/>
      </c>
      <c r="H5482" s="101" t="str">
        <f t="shared" si="341"/>
        <v/>
      </c>
      <c r="I5482" s="101" t="str">
        <f t="shared" si="342"/>
        <v/>
      </c>
      <c r="J5482" s="140" t="str">
        <f t="shared" si="343"/>
        <v/>
      </c>
    </row>
    <row r="5483" spans="7:10" x14ac:dyDescent="0.25">
      <c r="G5483" s="105" t="str">
        <f t="shared" si="340"/>
        <v/>
      </c>
      <c r="H5483" s="101" t="str">
        <f t="shared" si="341"/>
        <v/>
      </c>
      <c r="I5483" s="101" t="str">
        <f t="shared" si="342"/>
        <v/>
      </c>
      <c r="J5483" s="140" t="str">
        <f t="shared" si="343"/>
        <v/>
      </c>
    </row>
    <row r="5484" spans="7:10" x14ac:dyDescent="0.25">
      <c r="G5484" s="105" t="str">
        <f t="shared" si="340"/>
        <v/>
      </c>
      <c r="H5484" s="101" t="str">
        <f t="shared" si="341"/>
        <v/>
      </c>
      <c r="I5484" s="101" t="str">
        <f t="shared" si="342"/>
        <v/>
      </c>
      <c r="J5484" s="140" t="str">
        <f t="shared" si="343"/>
        <v/>
      </c>
    </row>
    <row r="5485" spans="7:10" x14ac:dyDescent="0.25">
      <c r="G5485" s="105" t="str">
        <f t="shared" si="340"/>
        <v/>
      </c>
      <c r="H5485" s="101" t="str">
        <f t="shared" si="341"/>
        <v/>
      </c>
      <c r="I5485" s="101" t="str">
        <f t="shared" si="342"/>
        <v/>
      </c>
      <c r="J5485" s="140" t="str">
        <f t="shared" si="343"/>
        <v/>
      </c>
    </row>
    <row r="5486" spans="7:10" x14ac:dyDescent="0.25">
      <c r="G5486" s="105" t="str">
        <f t="shared" si="340"/>
        <v/>
      </c>
      <c r="H5486" s="101" t="str">
        <f t="shared" si="341"/>
        <v/>
      </c>
      <c r="I5486" s="101" t="str">
        <f t="shared" si="342"/>
        <v/>
      </c>
      <c r="J5486" s="140" t="str">
        <f t="shared" si="343"/>
        <v/>
      </c>
    </row>
    <row r="5487" spans="7:10" x14ac:dyDescent="0.25">
      <c r="G5487" s="105" t="str">
        <f t="shared" si="340"/>
        <v/>
      </c>
      <c r="H5487" s="101" t="str">
        <f t="shared" si="341"/>
        <v/>
      </c>
      <c r="I5487" s="101" t="str">
        <f t="shared" si="342"/>
        <v/>
      </c>
      <c r="J5487" s="140" t="str">
        <f t="shared" si="343"/>
        <v/>
      </c>
    </row>
    <row r="5488" spans="7:10" x14ac:dyDescent="0.25">
      <c r="G5488" s="105" t="str">
        <f t="shared" si="340"/>
        <v/>
      </c>
      <c r="H5488" s="101" t="str">
        <f t="shared" si="341"/>
        <v/>
      </c>
      <c r="I5488" s="101" t="str">
        <f t="shared" si="342"/>
        <v/>
      </c>
      <c r="J5488" s="140" t="str">
        <f t="shared" si="343"/>
        <v/>
      </c>
    </row>
    <row r="5489" spans="7:10" x14ac:dyDescent="0.25">
      <c r="G5489" s="105" t="str">
        <f t="shared" si="340"/>
        <v/>
      </c>
      <c r="H5489" s="101" t="str">
        <f t="shared" si="341"/>
        <v/>
      </c>
      <c r="I5489" s="101" t="str">
        <f t="shared" si="342"/>
        <v/>
      </c>
      <c r="J5489" s="140" t="str">
        <f t="shared" si="343"/>
        <v/>
      </c>
    </row>
    <row r="5490" spans="7:10" x14ac:dyDescent="0.25">
      <c r="G5490" s="105" t="str">
        <f t="shared" si="340"/>
        <v/>
      </c>
      <c r="H5490" s="101" t="str">
        <f t="shared" si="341"/>
        <v/>
      </c>
      <c r="I5490" s="101" t="str">
        <f t="shared" si="342"/>
        <v/>
      </c>
      <c r="J5490" s="140" t="str">
        <f t="shared" si="343"/>
        <v/>
      </c>
    </row>
    <row r="5491" spans="7:10" x14ac:dyDescent="0.25">
      <c r="G5491" s="105" t="str">
        <f t="shared" si="340"/>
        <v/>
      </c>
      <c r="H5491" s="101" t="str">
        <f t="shared" si="341"/>
        <v/>
      </c>
      <c r="I5491" s="101" t="str">
        <f t="shared" si="342"/>
        <v/>
      </c>
      <c r="J5491" s="140" t="str">
        <f t="shared" si="343"/>
        <v/>
      </c>
    </row>
    <row r="5492" spans="7:10" x14ac:dyDescent="0.25">
      <c r="G5492" s="105" t="str">
        <f t="shared" si="340"/>
        <v/>
      </c>
      <c r="H5492" s="101" t="str">
        <f t="shared" si="341"/>
        <v/>
      </c>
      <c r="I5492" s="101" t="str">
        <f t="shared" si="342"/>
        <v/>
      </c>
      <c r="J5492" s="140" t="str">
        <f t="shared" si="343"/>
        <v/>
      </c>
    </row>
    <row r="5493" spans="7:10" x14ac:dyDescent="0.25">
      <c r="G5493" s="105" t="str">
        <f t="shared" si="340"/>
        <v/>
      </c>
      <c r="H5493" s="101" t="str">
        <f t="shared" si="341"/>
        <v/>
      </c>
      <c r="I5493" s="101" t="str">
        <f t="shared" si="342"/>
        <v/>
      </c>
      <c r="J5493" s="140" t="str">
        <f t="shared" si="343"/>
        <v/>
      </c>
    </row>
    <row r="5494" spans="7:10" x14ac:dyDescent="0.25">
      <c r="G5494" s="105" t="str">
        <f t="shared" si="340"/>
        <v/>
      </c>
      <c r="H5494" s="101" t="str">
        <f t="shared" si="341"/>
        <v/>
      </c>
      <c r="I5494" s="101" t="str">
        <f t="shared" si="342"/>
        <v/>
      </c>
      <c r="J5494" s="140" t="str">
        <f t="shared" si="343"/>
        <v/>
      </c>
    </row>
    <row r="5495" spans="7:10" x14ac:dyDescent="0.25">
      <c r="G5495" s="105" t="str">
        <f t="shared" si="340"/>
        <v/>
      </c>
      <c r="H5495" s="101" t="str">
        <f t="shared" si="341"/>
        <v/>
      </c>
      <c r="I5495" s="101" t="str">
        <f t="shared" si="342"/>
        <v/>
      </c>
      <c r="J5495" s="140" t="str">
        <f t="shared" si="343"/>
        <v/>
      </c>
    </row>
    <row r="5496" spans="7:10" x14ac:dyDescent="0.25">
      <c r="G5496" s="105" t="str">
        <f t="shared" si="340"/>
        <v/>
      </c>
      <c r="H5496" s="101" t="str">
        <f t="shared" si="341"/>
        <v/>
      </c>
      <c r="I5496" s="101" t="str">
        <f t="shared" si="342"/>
        <v/>
      </c>
      <c r="J5496" s="140" t="str">
        <f t="shared" si="343"/>
        <v/>
      </c>
    </row>
    <row r="5497" spans="7:10" x14ac:dyDescent="0.25">
      <c r="G5497" s="105" t="str">
        <f t="shared" si="340"/>
        <v/>
      </c>
      <c r="H5497" s="101" t="str">
        <f t="shared" si="341"/>
        <v/>
      </c>
      <c r="I5497" s="101" t="str">
        <f t="shared" si="342"/>
        <v/>
      </c>
      <c r="J5497" s="140" t="str">
        <f t="shared" si="343"/>
        <v/>
      </c>
    </row>
    <row r="5498" spans="7:10" x14ac:dyDescent="0.25">
      <c r="G5498" s="105" t="str">
        <f t="shared" si="340"/>
        <v/>
      </c>
      <c r="H5498" s="101" t="str">
        <f t="shared" si="341"/>
        <v/>
      </c>
      <c r="I5498" s="101" t="str">
        <f t="shared" si="342"/>
        <v/>
      </c>
      <c r="J5498" s="140" t="str">
        <f t="shared" si="343"/>
        <v/>
      </c>
    </row>
    <row r="5499" spans="7:10" x14ac:dyDescent="0.25">
      <c r="G5499" s="105" t="str">
        <f t="shared" si="340"/>
        <v/>
      </c>
      <c r="H5499" s="101" t="str">
        <f t="shared" si="341"/>
        <v/>
      </c>
      <c r="I5499" s="101" t="str">
        <f t="shared" si="342"/>
        <v/>
      </c>
      <c r="J5499" s="140" t="str">
        <f t="shared" si="343"/>
        <v/>
      </c>
    </row>
    <row r="5500" spans="7:10" x14ac:dyDescent="0.25">
      <c r="G5500" s="105" t="str">
        <f t="shared" si="340"/>
        <v/>
      </c>
      <c r="H5500" s="101" t="str">
        <f t="shared" si="341"/>
        <v/>
      </c>
      <c r="I5500" s="101" t="str">
        <f t="shared" si="342"/>
        <v/>
      </c>
      <c r="J5500" s="140" t="str">
        <f t="shared" si="343"/>
        <v/>
      </c>
    </row>
    <row r="5501" spans="7:10" x14ac:dyDescent="0.25">
      <c r="G5501" s="105" t="str">
        <f t="shared" si="340"/>
        <v/>
      </c>
      <c r="H5501" s="101" t="str">
        <f t="shared" si="341"/>
        <v/>
      </c>
      <c r="I5501" s="101" t="str">
        <f t="shared" si="342"/>
        <v/>
      </c>
      <c r="J5501" s="140" t="str">
        <f t="shared" si="343"/>
        <v/>
      </c>
    </row>
    <row r="5502" spans="7:10" x14ac:dyDescent="0.25">
      <c r="G5502" s="105" t="str">
        <f t="shared" si="340"/>
        <v/>
      </c>
      <c r="H5502" s="101" t="str">
        <f t="shared" si="341"/>
        <v/>
      </c>
      <c r="I5502" s="101" t="str">
        <f t="shared" si="342"/>
        <v/>
      </c>
      <c r="J5502" s="140" t="str">
        <f t="shared" si="343"/>
        <v/>
      </c>
    </row>
    <row r="5503" spans="7:10" x14ac:dyDescent="0.25">
      <c r="G5503" s="105" t="str">
        <f t="shared" si="340"/>
        <v/>
      </c>
      <c r="H5503" s="101" t="str">
        <f t="shared" si="341"/>
        <v/>
      </c>
      <c r="I5503" s="101" t="str">
        <f t="shared" si="342"/>
        <v/>
      </c>
      <c r="J5503" s="140" t="str">
        <f t="shared" si="343"/>
        <v/>
      </c>
    </row>
    <row r="5504" spans="7:10" x14ac:dyDescent="0.25">
      <c r="G5504" s="105" t="str">
        <f t="shared" si="340"/>
        <v/>
      </c>
      <c r="H5504" s="101" t="str">
        <f t="shared" si="341"/>
        <v/>
      </c>
      <c r="I5504" s="101" t="str">
        <f t="shared" si="342"/>
        <v/>
      </c>
      <c r="J5504" s="140" t="str">
        <f t="shared" si="343"/>
        <v/>
      </c>
    </row>
    <row r="5505" spans="7:10" x14ac:dyDescent="0.25">
      <c r="G5505" s="105" t="str">
        <f t="shared" si="340"/>
        <v/>
      </c>
      <c r="H5505" s="101" t="str">
        <f t="shared" si="341"/>
        <v/>
      </c>
      <c r="I5505" s="101" t="str">
        <f t="shared" si="342"/>
        <v/>
      </c>
      <c r="J5505" s="140" t="str">
        <f t="shared" si="343"/>
        <v/>
      </c>
    </row>
    <row r="5506" spans="7:10" x14ac:dyDescent="0.25">
      <c r="G5506" s="105" t="str">
        <f t="shared" si="340"/>
        <v/>
      </c>
      <c r="H5506" s="101" t="str">
        <f t="shared" si="341"/>
        <v/>
      </c>
      <c r="I5506" s="101" t="str">
        <f t="shared" si="342"/>
        <v/>
      </c>
      <c r="J5506" s="140" t="str">
        <f t="shared" si="343"/>
        <v/>
      </c>
    </row>
    <row r="5507" spans="7:10" x14ac:dyDescent="0.25">
      <c r="G5507" s="105" t="str">
        <f t="shared" si="340"/>
        <v/>
      </c>
      <c r="H5507" s="101" t="str">
        <f t="shared" si="341"/>
        <v/>
      </c>
      <c r="I5507" s="101" t="str">
        <f t="shared" si="342"/>
        <v/>
      </c>
      <c r="J5507" s="140" t="str">
        <f t="shared" si="343"/>
        <v/>
      </c>
    </row>
    <row r="5508" spans="7:10" x14ac:dyDescent="0.25">
      <c r="G5508" s="105" t="str">
        <f t="shared" si="340"/>
        <v/>
      </c>
      <c r="H5508" s="101" t="str">
        <f t="shared" si="341"/>
        <v/>
      </c>
      <c r="I5508" s="101" t="str">
        <f t="shared" si="342"/>
        <v/>
      </c>
      <c r="J5508" s="140" t="str">
        <f t="shared" si="343"/>
        <v/>
      </c>
    </row>
    <row r="5509" spans="7:10" x14ac:dyDescent="0.25">
      <c r="G5509" s="105" t="str">
        <f t="shared" si="340"/>
        <v/>
      </c>
      <c r="H5509" s="101" t="str">
        <f t="shared" si="341"/>
        <v/>
      </c>
      <c r="I5509" s="101" t="str">
        <f t="shared" si="342"/>
        <v/>
      </c>
      <c r="J5509" s="140" t="str">
        <f t="shared" si="343"/>
        <v/>
      </c>
    </row>
    <row r="5510" spans="7:10" x14ac:dyDescent="0.25">
      <c r="G5510" s="105" t="str">
        <f t="shared" si="340"/>
        <v/>
      </c>
      <c r="H5510" s="101" t="str">
        <f t="shared" si="341"/>
        <v/>
      </c>
      <c r="I5510" s="101" t="str">
        <f t="shared" si="342"/>
        <v/>
      </c>
      <c r="J5510" s="140" t="str">
        <f t="shared" si="343"/>
        <v/>
      </c>
    </row>
    <row r="5511" spans="7:10" x14ac:dyDescent="0.25">
      <c r="G5511" s="105" t="str">
        <f t="shared" si="340"/>
        <v/>
      </c>
      <c r="H5511" s="101" t="str">
        <f t="shared" si="341"/>
        <v/>
      </c>
      <c r="I5511" s="101" t="str">
        <f t="shared" si="342"/>
        <v/>
      </c>
      <c r="J5511" s="140" t="str">
        <f t="shared" si="343"/>
        <v/>
      </c>
    </row>
    <row r="5512" spans="7:10" x14ac:dyDescent="0.25">
      <c r="G5512" s="105" t="str">
        <f t="shared" ref="G5512:G5575" si="344">IF(E5512="","",E5512+0)</f>
        <v/>
      </c>
      <c r="H5512" s="101" t="str">
        <f t="shared" ref="H5512:H5575" si="345">IF(G5512="","",TRIM(CONCATENATE("Sinapi ",A5512)))</f>
        <v/>
      </c>
      <c r="I5512" s="101" t="str">
        <f t="shared" ref="I5512:I5575" si="346">TRIM(C5512)</f>
        <v/>
      </c>
      <c r="J5512" s="140" t="str">
        <f t="shared" si="343"/>
        <v/>
      </c>
    </row>
    <row r="5513" spans="7:10" x14ac:dyDescent="0.25">
      <c r="G5513" s="105" t="str">
        <f t="shared" si="344"/>
        <v/>
      </c>
      <c r="H5513" s="101" t="str">
        <f t="shared" si="345"/>
        <v/>
      </c>
      <c r="I5513" s="101" t="str">
        <f t="shared" si="346"/>
        <v/>
      </c>
      <c r="J5513" s="140" t="str">
        <f t="shared" ref="J5513:J5576" si="347">TRIM(B5513)</f>
        <v/>
      </c>
    </row>
    <row r="5514" spans="7:10" x14ac:dyDescent="0.25">
      <c r="G5514" s="105" t="str">
        <f t="shared" si="344"/>
        <v/>
      </c>
      <c r="H5514" s="101" t="str">
        <f t="shared" si="345"/>
        <v/>
      </c>
      <c r="I5514" s="101" t="str">
        <f t="shared" si="346"/>
        <v/>
      </c>
      <c r="J5514" s="140" t="str">
        <f t="shared" si="347"/>
        <v/>
      </c>
    </row>
    <row r="5515" spans="7:10" x14ac:dyDescent="0.25">
      <c r="G5515" s="105" t="str">
        <f t="shared" si="344"/>
        <v/>
      </c>
      <c r="H5515" s="101" t="str">
        <f t="shared" si="345"/>
        <v/>
      </c>
      <c r="I5515" s="101" t="str">
        <f t="shared" si="346"/>
        <v/>
      </c>
      <c r="J5515" s="140" t="str">
        <f t="shared" si="347"/>
        <v/>
      </c>
    </row>
    <row r="5516" spans="7:10" x14ac:dyDescent="0.25">
      <c r="G5516" s="105" t="str">
        <f t="shared" si="344"/>
        <v/>
      </c>
      <c r="H5516" s="101" t="str">
        <f t="shared" si="345"/>
        <v/>
      </c>
      <c r="I5516" s="101" t="str">
        <f t="shared" si="346"/>
        <v/>
      </c>
      <c r="J5516" s="140" t="str">
        <f t="shared" si="347"/>
        <v/>
      </c>
    </row>
    <row r="5517" spans="7:10" x14ac:dyDescent="0.25">
      <c r="G5517" s="105" t="str">
        <f t="shared" si="344"/>
        <v/>
      </c>
      <c r="H5517" s="101" t="str">
        <f t="shared" si="345"/>
        <v/>
      </c>
      <c r="I5517" s="101" t="str">
        <f t="shared" si="346"/>
        <v/>
      </c>
      <c r="J5517" s="140" t="str">
        <f t="shared" si="347"/>
        <v/>
      </c>
    </row>
    <row r="5518" spans="7:10" x14ac:dyDescent="0.25">
      <c r="G5518" s="105" t="str">
        <f t="shared" si="344"/>
        <v/>
      </c>
      <c r="H5518" s="101" t="str">
        <f t="shared" si="345"/>
        <v/>
      </c>
      <c r="I5518" s="101" t="str">
        <f t="shared" si="346"/>
        <v/>
      </c>
      <c r="J5518" s="140" t="str">
        <f t="shared" si="347"/>
        <v/>
      </c>
    </row>
    <row r="5519" spans="7:10" x14ac:dyDescent="0.25">
      <c r="G5519" s="105" t="str">
        <f t="shared" si="344"/>
        <v/>
      </c>
      <c r="H5519" s="101" t="str">
        <f t="shared" si="345"/>
        <v/>
      </c>
      <c r="I5519" s="101" t="str">
        <f t="shared" si="346"/>
        <v/>
      </c>
      <c r="J5519" s="140" t="str">
        <f t="shared" si="347"/>
        <v/>
      </c>
    </row>
    <row r="5520" spans="7:10" x14ac:dyDescent="0.25">
      <c r="G5520" s="105" t="str">
        <f t="shared" si="344"/>
        <v/>
      </c>
      <c r="H5520" s="101" t="str">
        <f t="shared" si="345"/>
        <v/>
      </c>
      <c r="I5520" s="101" t="str">
        <f t="shared" si="346"/>
        <v/>
      </c>
      <c r="J5520" s="140" t="str">
        <f t="shared" si="347"/>
        <v/>
      </c>
    </row>
    <row r="5521" spans="7:10" x14ac:dyDescent="0.25">
      <c r="G5521" s="105" t="str">
        <f t="shared" si="344"/>
        <v/>
      </c>
      <c r="H5521" s="101" t="str">
        <f t="shared" si="345"/>
        <v/>
      </c>
      <c r="I5521" s="101" t="str">
        <f t="shared" si="346"/>
        <v/>
      </c>
      <c r="J5521" s="140" t="str">
        <f t="shared" si="347"/>
        <v/>
      </c>
    </row>
    <row r="5522" spans="7:10" x14ac:dyDescent="0.25">
      <c r="G5522" s="105" t="str">
        <f t="shared" si="344"/>
        <v/>
      </c>
      <c r="H5522" s="101" t="str">
        <f t="shared" si="345"/>
        <v/>
      </c>
      <c r="I5522" s="101" t="str">
        <f t="shared" si="346"/>
        <v/>
      </c>
      <c r="J5522" s="140" t="str">
        <f t="shared" si="347"/>
        <v/>
      </c>
    </row>
    <row r="5523" spans="7:10" x14ac:dyDescent="0.25">
      <c r="G5523" s="105" t="str">
        <f t="shared" si="344"/>
        <v/>
      </c>
      <c r="H5523" s="101" t="str">
        <f t="shared" si="345"/>
        <v/>
      </c>
      <c r="I5523" s="101" t="str">
        <f t="shared" si="346"/>
        <v/>
      </c>
      <c r="J5523" s="140" t="str">
        <f t="shared" si="347"/>
        <v/>
      </c>
    </row>
    <row r="5524" spans="7:10" x14ac:dyDescent="0.25">
      <c r="G5524" s="105" t="str">
        <f t="shared" si="344"/>
        <v/>
      </c>
      <c r="H5524" s="101" t="str">
        <f t="shared" si="345"/>
        <v/>
      </c>
      <c r="I5524" s="101" t="str">
        <f t="shared" si="346"/>
        <v/>
      </c>
      <c r="J5524" s="140" t="str">
        <f t="shared" si="347"/>
        <v/>
      </c>
    </row>
    <row r="5525" spans="7:10" x14ac:dyDescent="0.25">
      <c r="G5525" s="105" t="str">
        <f t="shared" si="344"/>
        <v/>
      </c>
      <c r="H5525" s="101" t="str">
        <f t="shared" si="345"/>
        <v/>
      </c>
      <c r="I5525" s="101" t="str">
        <f t="shared" si="346"/>
        <v/>
      </c>
      <c r="J5525" s="140" t="str">
        <f t="shared" si="347"/>
        <v/>
      </c>
    </row>
    <row r="5526" spans="7:10" x14ac:dyDescent="0.25">
      <c r="G5526" s="105" t="str">
        <f t="shared" si="344"/>
        <v/>
      </c>
      <c r="H5526" s="101" t="str">
        <f t="shared" si="345"/>
        <v/>
      </c>
      <c r="I5526" s="101" t="str">
        <f t="shared" si="346"/>
        <v/>
      </c>
      <c r="J5526" s="140" t="str">
        <f t="shared" si="347"/>
        <v/>
      </c>
    </row>
    <row r="5527" spans="7:10" x14ac:dyDescent="0.25">
      <c r="G5527" s="105" t="str">
        <f t="shared" si="344"/>
        <v/>
      </c>
      <c r="H5527" s="101" t="str">
        <f t="shared" si="345"/>
        <v/>
      </c>
      <c r="I5527" s="101" t="str">
        <f t="shared" si="346"/>
        <v/>
      </c>
      <c r="J5527" s="140" t="str">
        <f t="shared" si="347"/>
        <v/>
      </c>
    </row>
    <row r="5528" spans="7:10" x14ac:dyDescent="0.25">
      <c r="G5528" s="105" t="str">
        <f t="shared" si="344"/>
        <v/>
      </c>
      <c r="H5528" s="101" t="str">
        <f t="shared" si="345"/>
        <v/>
      </c>
      <c r="I5528" s="101" t="str">
        <f t="shared" si="346"/>
        <v/>
      </c>
      <c r="J5528" s="140" t="str">
        <f t="shared" si="347"/>
        <v/>
      </c>
    </row>
    <row r="5529" spans="7:10" x14ac:dyDescent="0.25">
      <c r="G5529" s="105" t="str">
        <f t="shared" si="344"/>
        <v/>
      </c>
      <c r="H5529" s="101" t="str">
        <f t="shared" si="345"/>
        <v/>
      </c>
      <c r="I5529" s="101" t="str">
        <f t="shared" si="346"/>
        <v/>
      </c>
      <c r="J5529" s="140" t="str">
        <f t="shared" si="347"/>
        <v/>
      </c>
    </row>
    <row r="5530" spans="7:10" x14ac:dyDescent="0.25">
      <c r="G5530" s="105" t="str">
        <f t="shared" si="344"/>
        <v/>
      </c>
      <c r="H5530" s="101" t="str">
        <f t="shared" si="345"/>
        <v/>
      </c>
      <c r="I5530" s="101" t="str">
        <f t="shared" si="346"/>
        <v/>
      </c>
      <c r="J5530" s="140" t="str">
        <f t="shared" si="347"/>
        <v/>
      </c>
    </row>
    <row r="5531" spans="7:10" x14ac:dyDescent="0.25">
      <c r="G5531" s="105" t="str">
        <f t="shared" si="344"/>
        <v/>
      </c>
      <c r="H5531" s="101" t="str">
        <f t="shared" si="345"/>
        <v/>
      </c>
      <c r="I5531" s="101" t="str">
        <f t="shared" si="346"/>
        <v/>
      </c>
      <c r="J5531" s="140" t="str">
        <f t="shared" si="347"/>
        <v/>
      </c>
    </row>
    <row r="5532" spans="7:10" x14ac:dyDescent="0.25">
      <c r="G5532" s="105" t="str">
        <f t="shared" si="344"/>
        <v/>
      </c>
      <c r="H5532" s="101" t="str">
        <f t="shared" si="345"/>
        <v/>
      </c>
      <c r="I5532" s="101" t="str">
        <f t="shared" si="346"/>
        <v/>
      </c>
      <c r="J5532" s="140" t="str">
        <f t="shared" si="347"/>
        <v/>
      </c>
    </row>
    <row r="5533" spans="7:10" x14ac:dyDescent="0.25">
      <c r="G5533" s="105" t="str">
        <f t="shared" si="344"/>
        <v/>
      </c>
      <c r="H5533" s="101" t="str">
        <f t="shared" si="345"/>
        <v/>
      </c>
      <c r="I5533" s="101" t="str">
        <f t="shared" si="346"/>
        <v/>
      </c>
      <c r="J5533" s="140" t="str">
        <f t="shared" si="347"/>
        <v/>
      </c>
    </row>
    <row r="5534" spans="7:10" x14ac:dyDescent="0.25">
      <c r="G5534" s="105" t="str">
        <f t="shared" si="344"/>
        <v/>
      </c>
      <c r="H5534" s="101" t="str">
        <f t="shared" si="345"/>
        <v/>
      </c>
      <c r="I5534" s="101" t="str">
        <f t="shared" si="346"/>
        <v/>
      </c>
      <c r="J5534" s="140" t="str">
        <f t="shared" si="347"/>
        <v/>
      </c>
    </row>
    <row r="5535" spans="7:10" x14ac:dyDescent="0.25">
      <c r="G5535" s="105" t="str">
        <f t="shared" si="344"/>
        <v/>
      </c>
      <c r="H5535" s="101" t="str">
        <f t="shared" si="345"/>
        <v/>
      </c>
      <c r="I5535" s="101" t="str">
        <f t="shared" si="346"/>
        <v/>
      </c>
      <c r="J5535" s="140" t="str">
        <f t="shared" si="347"/>
        <v/>
      </c>
    </row>
    <row r="5536" spans="7:10" x14ac:dyDescent="0.25">
      <c r="G5536" s="105" t="str">
        <f t="shared" si="344"/>
        <v/>
      </c>
      <c r="H5536" s="101" t="str">
        <f t="shared" si="345"/>
        <v/>
      </c>
      <c r="I5536" s="101" t="str">
        <f t="shared" si="346"/>
        <v/>
      </c>
      <c r="J5536" s="140" t="str">
        <f t="shared" si="347"/>
        <v/>
      </c>
    </row>
    <row r="5537" spans="7:10" x14ac:dyDescent="0.25">
      <c r="G5537" s="105" t="str">
        <f t="shared" si="344"/>
        <v/>
      </c>
      <c r="H5537" s="101" t="str">
        <f t="shared" si="345"/>
        <v/>
      </c>
      <c r="I5537" s="101" t="str">
        <f t="shared" si="346"/>
        <v/>
      </c>
      <c r="J5537" s="140" t="str">
        <f t="shared" si="347"/>
        <v/>
      </c>
    </row>
    <row r="5538" spans="7:10" x14ac:dyDescent="0.25">
      <c r="G5538" s="105" t="str">
        <f t="shared" si="344"/>
        <v/>
      </c>
      <c r="H5538" s="101" t="str">
        <f t="shared" si="345"/>
        <v/>
      </c>
      <c r="I5538" s="101" t="str">
        <f t="shared" si="346"/>
        <v/>
      </c>
      <c r="J5538" s="140" t="str">
        <f t="shared" si="347"/>
        <v/>
      </c>
    </row>
    <row r="5539" spans="7:10" x14ac:dyDescent="0.25">
      <c r="G5539" s="105" t="str">
        <f t="shared" si="344"/>
        <v/>
      </c>
      <c r="H5539" s="101" t="str">
        <f t="shared" si="345"/>
        <v/>
      </c>
      <c r="I5539" s="101" t="str">
        <f t="shared" si="346"/>
        <v/>
      </c>
      <c r="J5539" s="140" t="str">
        <f t="shared" si="347"/>
        <v/>
      </c>
    </row>
    <row r="5540" spans="7:10" x14ac:dyDescent="0.25">
      <c r="G5540" s="105" t="str">
        <f t="shared" si="344"/>
        <v/>
      </c>
      <c r="H5540" s="101" t="str">
        <f t="shared" si="345"/>
        <v/>
      </c>
      <c r="I5540" s="101" t="str">
        <f t="shared" si="346"/>
        <v/>
      </c>
      <c r="J5540" s="140" t="str">
        <f t="shared" si="347"/>
        <v/>
      </c>
    </row>
    <row r="5541" spans="7:10" x14ac:dyDescent="0.25">
      <c r="G5541" s="105" t="str">
        <f t="shared" si="344"/>
        <v/>
      </c>
      <c r="H5541" s="101" t="str">
        <f t="shared" si="345"/>
        <v/>
      </c>
      <c r="I5541" s="101" t="str">
        <f t="shared" si="346"/>
        <v/>
      </c>
      <c r="J5541" s="140" t="str">
        <f t="shared" si="347"/>
        <v/>
      </c>
    </row>
    <row r="5542" spans="7:10" x14ac:dyDescent="0.25">
      <c r="G5542" s="105" t="str">
        <f t="shared" si="344"/>
        <v/>
      </c>
      <c r="H5542" s="101" t="str">
        <f t="shared" si="345"/>
        <v/>
      </c>
      <c r="I5542" s="101" t="str">
        <f t="shared" si="346"/>
        <v/>
      </c>
      <c r="J5542" s="140" t="str">
        <f t="shared" si="347"/>
        <v/>
      </c>
    </row>
    <row r="5543" spans="7:10" x14ac:dyDescent="0.25">
      <c r="G5543" s="105" t="str">
        <f t="shared" si="344"/>
        <v/>
      </c>
      <c r="H5543" s="101" t="str">
        <f t="shared" si="345"/>
        <v/>
      </c>
      <c r="I5543" s="101" t="str">
        <f t="shared" si="346"/>
        <v/>
      </c>
      <c r="J5543" s="140" t="str">
        <f t="shared" si="347"/>
        <v/>
      </c>
    </row>
    <row r="5544" spans="7:10" x14ac:dyDescent="0.25">
      <c r="G5544" s="105" t="str">
        <f t="shared" si="344"/>
        <v/>
      </c>
      <c r="H5544" s="101" t="str">
        <f t="shared" si="345"/>
        <v/>
      </c>
      <c r="I5544" s="101" t="str">
        <f t="shared" si="346"/>
        <v/>
      </c>
      <c r="J5544" s="140" t="str">
        <f t="shared" si="347"/>
        <v/>
      </c>
    </row>
    <row r="5545" spans="7:10" x14ac:dyDescent="0.25">
      <c r="G5545" s="105" t="str">
        <f t="shared" si="344"/>
        <v/>
      </c>
      <c r="H5545" s="101" t="str">
        <f t="shared" si="345"/>
        <v/>
      </c>
      <c r="I5545" s="101" t="str">
        <f t="shared" si="346"/>
        <v/>
      </c>
      <c r="J5545" s="140" t="str">
        <f t="shared" si="347"/>
        <v/>
      </c>
    </row>
    <row r="5546" spans="7:10" x14ac:dyDescent="0.25">
      <c r="G5546" s="105" t="str">
        <f t="shared" si="344"/>
        <v/>
      </c>
      <c r="H5546" s="101" t="str">
        <f t="shared" si="345"/>
        <v/>
      </c>
      <c r="I5546" s="101" t="str">
        <f t="shared" si="346"/>
        <v/>
      </c>
      <c r="J5546" s="140" t="str">
        <f t="shared" si="347"/>
        <v/>
      </c>
    </row>
    <row r="5547" spans="7:10" x14ac:dyDescent="0.25">
      <c r="G5547" s="105" t="str">
        <f t="shared" si="344"/>
        <v/>
      </c>
      <c r="H5547" s="101" t="str">
        <f t="shared" si="345"/>
        <v/>
      </c>
      <c r="I5547" s="101" t="str">
        <f t="shared" si="346"/>
        <v/>
      </c>
      <c r="J5547" s="140" t="str">
        <f t="shared" si="347"/>
        <v/>
      </c>
    </row>
    <row r="5548" spans="7:10" x14ac:dyDescent="0.25">
      <c r="G5548" s="105" t="str">
        <f t="shared" si="344"/>
        <v/>
      </c>
      <c r="H5548" s="101" t="str">
        <f t="shared" si="345"/>
        <v/>
      </c>
      <c r="I5548" s="101" t="str">
        <f t="shared" si="346"/>
        <v/>
      </c>
      <c r="J5548" s="140" t="str">
        <f t="shared" si="347"/>
        <v/>
      </c>
    </row>
    <row r="5549" spans="7:10" x14ac:dyDescent="0.25">
      <c r="G5549" s="105" t="str">
        <f t="shared" si="344"/>
        <v/>
      </c>
      <c r="H5549" s="101" t="str">
        <f t="shared" si="345"/>
        <v/>
      </c>
      <c r="I5549" s="101" t="str">
        <f t="shared" si="346"/>
        <v/>
      </c>
      <c r="J5549" s="140" t="str">
        <f t="shared" si="347"/>
        <v/>
      </c>
    </row>
    <row r="5550" spans="7:10" x14ac:dyDescent="0.25">
      <c r="G5550" s="105" t="str">
        <f t="shared" si="344"/>
        <v/>
      </c>
      <c r="H5550" s="101" t="str">
        <f t="shared" si="345"/>
        <v/>
      </c>
      <c r="I5550" s="101" t="str">
        <f t="shared" si="346"/>
        <v/>
      </c>
      <c r="J5550" s="140" t="str">
        <f t="shared" si="347"/>
        <v/>
      </c>
    </row>
    <row r="5551" spans="7:10" x14ac:dyDescent="0.25">
      <c r="G5551" s="105" t="str">
        <f t="shared" si="344"/>
        <v/>
      </c>
      <c r="H5551" s="101" t="str">
        <f t="shared" si="345"/>
        <v/>
      </c>
      <c r="I5551" s="101" t="str">
        <f t="shared" si="346"/>
        <v/>
      </c>
      <c r="J5551" s="140" t="str">
        <f t="shared" si="347"/>
        <v/>
      </c>
    </row>
    <row r="5552" spans="7:10" x14ac:dyDescent="0.25">
      <c r="G5552" s="105" t="str">
        <f t="shared" si="344"/>
        <v/>
      </c>
      <c r="H5552" s="101" t="str">
        <f t="shared" si="345"/>
        <v/>
      </c>
      <c r="I5552" s="101" t="str">
        <f t="shared" si="346"/>
        <v/>
      </c>
      <c r="J5552" s="140" t="str">
        <f t="shared" si="347"/>
        <v/>
      </c>
    </row>
    <row r="5553" spans="7:10" x14ac:dyDescent="0.25">
      <c r="G5553" s="105" t="str">
        <f t="shared" si="344"/>
        <v/>
      </c>
      <c r="H5553" s="101" t="str">
        <f t="shared" si="345"/>
        <v/>
      </c>
      <c r="I5553" s="101" t="str">
        <f t="shared" si="346"/>
        <v/>
      </c>
      <c r="J5553" s="140" t="str">
        <f t="shared" si="347"/>
        <v/>
      </c>
    </row>
    <row r="5554" spans="7:10" x14ac:dyDescent="0.25">
      <c r="G5554" s="105" t="str">
        <f t="shared" si="344"/>
        <v/>
      </c>
      <c r="H5554" s="101" t="str">
        <f t="shared" si="345"/>
        <v/>
      </c>
      <c r="I5554" s="101" t="str">
        <f t="shared" si="346"/>
        <v/>
      </c>
      <c r="J5554" s="140" t="str">
        <f t="shared" si="347"/>
        <v/>
      </c>
    </row>
    <row r="5555" spans="7:10" x14ac:dyDescent="0.25">
      <c r="G5555" s="105" t="str">
        <f t="shared" si="344"/>
        <v/>
      </c>
      <c r="H5555" s="101" t="str">
        <f t="shared" si="345"/>
        <v/>
      </c>
      <c r="I5555" s="101" t="str">
        <f t="shared" si="346"/>
        <v/>
      </c>
      <c r="J5555" s="140" t="str">
        <f t="shared" si="347"/>
        <v/>
      </c>
    </row>
    <row r="5556" spans="7:10" x14ac:dyDescent="0.25">
      <c r="G5556" s="105" t="str">
        <f t="shared" si="344"/>
        <v/>
      </c>
      <c r="H5556" s="101" t="str">
        <f t="shared" si="345"/>
        <v/>
      </c>
      <c r="I5556" s="101" t="str">
        <f t="shared" si="346"/>
        <v/>
      </c>
      <c r="J5556" s="140" t="str">
        <f t="shared" si="347"/>
        <v/>
      </c>
    </row>
    <row r="5557" spans="7:10" x14ac:dyDescent="0.25">
      <c r="G5557" s="105" t="str">
        <f t="shared" si="344"/>
        <v/>
      </c>
      <c r="H5557" s="101" t="str">
        <f t="shared" si="345"/>
        <v/>
      </c>
      <c r="I5557" s="101" t="str">
        <f t="shared" si="346"/>
        <v/>
      </c>
      <c r="J5557" s="140" t="str">
        <f t="shared" si="347"/>
        <v/>
      </c>
    </row>
    <row r="5558" spans="7:10" x14ac:dyDescent="0.25">
      <c r="G5558" s="105" t="str">
        <f t="shared" si="344"/>
        <v/>
      </c>
      <c r="H5558" s="101" t="str">
        <f t="shared" si="345"/>
        <v/>
      </c>
      <c r="I5558" s="101" t="str">
        <f t="shared" si="346"/>
        <v/>
      </c>
      <c r="J5558" s="140" t="str">
        <f t="shared" si="347"/>
        <v/>
      </c>
    </row>
    <row r="5559" spans="7:10" x14ac:dyDescent="0.25">
      <c r="G5559" s="105" t="str">
        <f t="shared" si="344"/>
        <v/>
      </c>
      <c r="H5559" s="101" t="str">
        <f t="shared" si="345"/>
        <v/>
      </c>
      <c r="I5559" s="101" t="str">
        <f t="shared" si="346"/>
        <v/>
      </c>
      <c r="J5559" s="140" t="str">
        <f t="shared" si="347"/>
        <v/>
      </c>
    </row>
    <row r="5560" spans="7:10" x14ac:dyDescent="0.25">
      <c r="G5560" s="105" t="str">
        <f t="shared" si="344"/>
        <v/>
      </c>
      <c r="H5560" s="101" t="str">
        <f t="shared" si="345"/>
        <v/>
      </c>
      <c r="I5560" s="101" t="str">
        <f t="shared" si="346"/>
        <v/>
      </c>
      <c r="J5560" s="140" t="str">
        <f t="shared" si="347"/>
        <v/>
      </c>
    </row>
    <row r="5561" spans="7:10" x14ac:dyDescent="0.25">
      <c r="G5561" s="105" t="str">
        <f t="shared" si="344"/>
        <v/>
      </c>
      <c r="H5561" s="101" t="str">
        <f t="shared" si="345"/>
        <v/>
      </c>
      <c r="I5561" s="101" t="str">
        <f t="shared" si="346"/>
        <v/>
      </c>
      <c r="J5561" s="140" t="str">
        <f t="shared" si="347"/>
        <v/>
      </c>
    </row>
    <row r="5562" spans="7:10" x14ac:dyDescent="0.25">
      <c r="G5562" s="105" t="str">
        <f t="shared" si="344"/>
        <v/>
      </c>
      <c r="H5562" s="101" t="str">
        <f t="shared" si="345"/>
        <v/>
      </c>
      <c r="I5562" s="101" t="str">
        <f t="shared" si="346"/>
        <v/>
      </c>
      <c r="J5562" s="140" t="str">
        <f t="shared" si="347"/>
        <v/>
      </c>
    </row>
    <row r="5563" spans="7:10" x14ac:dyDescent="0.25">
      <c r="G5563" s="105" t="str">
        <f t="shared" si="344"/>
        <v/>
      </c>
      <c r="H5563" s="101" t="str">
        <f t="shared" si="345"/>
        <v/>
      </c>
      <c r="I5563" s="101" t="str">
        <f t="shared" si="346"/>
        <v/>
      </c>
      <c r="J5563" s="140" t="str">
        <f t="shared" si="347"/>
        <v/>
      </c>
    </row>
    <row r="5564" spans="7:10" x14ac:dyDescent="0.25">
      <c r="G5564" s="105" t="str">
        <f t="shared" si="344"/>
        <v/>
      </c>
      <c r="H5564" s="101" t="str">
        <f t="shared" si="345"/>
        <v/>
      </c>
      <c r="I5564" s="101" t="str">
        <f t="shared" si="346"/>
        <v/>
      </c>
      <c r="J5564" s="140" t="str">
        <f t="shared" si="347"/>
        <v/>
      </c>
    </row>
    <row r="5565" spans="7:10" x14ac:dyDescent="0.25">
      <c r="G5565" s="105" t="str">
        <f t="shared" si="344"/>
        <v/>
      </c>
      <c r="H5565" s="101" t="str">
        <f t="shared" si="345"/>
        <v/>
      </c>
      <c r="I5565" s="101" t="str">
        <f t="shared" si="346"/>
        <v/>
      </c>
      <c r="J5565" s="140" t="str">
        <f t="shared" si="347"/>
        <v/>
      </c>
    </row>
    <row r="5566" spans="7:10" x14ac:dyDescent="0.25">
      <c r="G5566" s="105" t="str">
        <f t="shared" si="344"/>
        <v/>
      </c>
      <c r="H5566" s="101" t="str">
        <f t="shared" si="345"/>
        <v/>
      </c>
      <c r="I5566" s="101" t="str">
        <f t="shared" si="346"/>
        <v/>
      </c>
      <c r="J5566" s="140" t="str">
        <f t="shared" si="347"/>
        <v/>
      </c>
    </row>
    <row r="5567" spans="7:10" x14ac:dyDescent="0.25">
      <c r="G5567" s="105" t="str">
        <f t="shared" si="344"/>
        <v/>
      </c>
      <c r="H5567" s="101" t="str">
        <f t="shared" si="345"/>
        <v/>
      </c>
      <c r="I5567" s="101" t="str">
        <f t="shared" si="346"/>
        <v/>
      </c>
      <c r="J5567" s="140" t="str">
        <f t="shared" si="347"/>
        <v/>
      </c>
    </row>
    <row r="5568" spans="7:10" x14ac:dyDescent="0.25">
      <c r="G5568" s="105" t="str">
        <f t="shared" si="344"/>
        <v/>
      </c>
      <c r="H5568" s="101" t="str">
        <f t="shared" si="345"/>
        <v/>
      </c>
      <c r="I5568" s="101" t="str">
        <f t="shared" si="346"/>
        <v/>
      </c>
      <c r="J5568" s="140" t="str">
        <f t="shared" si="347"/>
        <v/>
      </c>
    </row>
    <row r="5569" spans="7:10" x14ac:dyDescent="0.25">
      <c r="G5569" s="105" t="str">
        <f t="shared" si="344"/>
        <v/>
      </c>
      <c r="H5569" s="101" t="str">
        <f t="shared" si="345"/>
        <v/>
      </c>
      <c r="I5569" s="101" t="str">
        <f t="shared" si="346"/>
        <v/>
      </c>
      <c r="J5569" s="140" t="str">
        <f t="shared" si="347"/>
        <v/>
      </c>
    </row>
    <row r="5570" spans="7:10" x14ac:dyDescent="0.25">
      <c r="G5570" s="105" t="str">
        <f t="shared" si="344"/>
        <v/>
      </c>
      <c r="H5570" s="101" t="str">
        <f t="shared" si="345"/>
        <v/>
      </c>
      <c r="I5570" s="101" t="str">
        <f t="shared" si="346"/>
        <v/>
      </c>
      <c r="J5570" s="140" t="str">
        <f t="shared" si="347"/>
        <v/>
      </c>
    </row>
    <row r="5571" spans="7:10" x14ac:dyDescent="0.25">
      <c r="G5571" s="105" t="str">
        <f t="shared" si="344"/>
        <v/>
      </c>
      <c r="H5571" s="101" t="str">
        <f t="shared" si="345"/>
        <v/>
      </c>
      <c r="I5571" s="101" t="str">
        <f t="shared" si="346"/>
        <v/>
      </c>
      <c r="J5571" s="140" t="str">
        <f t="shared" si="347"/>
        <v/>
      </c>
    </row>
    <row r="5572" spans="7:10" x14ac:dyDescent="0.25">
      <c r="G5572" s="105" t="str">
        <f t="shared" si="344"/>
        <v/>
      </c>
      <c r="H5572" s="101" t="str">
        <f t="shared" si="345"/>
        <v/>
      </c>
      <c r="I5572" s="101" t="str">
        <f t="shared" si="346"/>
        <v/>
      </c>
      <c r="J5572" s="140" t="str">
        <f t="shared" si="347"/>
        <v/>
      </c>
    </row>
    <row r="5573" spans="7:10" x14ac:dyDescent="0.25">
      <c r="G5573" s="105" t="str">
        <f t="shared" si="344"/>
        <v/>
      </c>
      <c r="H5573" s="101" t="str">
        <f t="shared" si="345"/>
        <v/>
      </c>
      <c r="I5573" s="101" t="str">
        <f t="shared" si="346"/>
        <v/>
      </c>
      <c r="J5573" s="140" t="str">
        <f t="shared" si="347"/>
        <v/>
      </c>
    </row>
    <row r="5574" spans="7:10" x14ac:dyDescent="0.25">
      <c r="G5574" s="105" t="str">
        <f t="shared" si="344"/>
        <v/>
      </c>
      <c r="H5574" s="101" t="str">
        <f t="shared" si="345"/>
        <v/>
      </c>
      <c r="I5574" s="101" t="str">
        <f t="shared" si="346"/>
        <v/>
      </c>
      <c r="J5574" s="140" t="str">
        <f t="shared" si="347"/>
        <v/>
      </c>
    </row>
    <row r="5575" spans="7:10" x14ac:dyDescent="0.25">
      <c r="G5575" s="105" t="str">
        <f t="shared" si="344"/>
        <v/>
      </c>
      <c r="H5575" s="101" t="str">
        <f t="shared" si="345"/>
        <v/>
      </c>
      <c r="I5575" s="101" t="str">
        <f t="shared" si="346"/>
        <v/>
      </c>
      <c r="J5575" s="140" t="str">
        <f t="shared" si="347"/>
        <v/>
      </c>
    </row>
    <row r="5576" spans="7:10" x14ac:dyDescent="0.25">
      <c r="G5576" s="105" t="str">
        <f t="shared" ref="G5576:G5639" si="348">IF(E5576="","",E5576+0)</f>
        <v/>
      </c>
      <c r="H5576" s="101" t="str">
        <f t="shared" ref="H5576:H5639" si="349">IF(G5576="","",TRIM(CONCATENATE("Sinapi ",A5576)))</f>
        <v/>
      </c>
      <c r="I5576" s="101" t="str">
        <f t="shared" ref="I5576:I5639" si="350">TRIM(C5576)</f>
        <v/>
      </c>
      <c r="J5576" s="140" t="str">
        <f t="shared" si="347"/>
        <v/>
      </c>
    </row>
    <row r="5577" spans="7:10" x14ac:dyDescent="0.25">
      <c r="G5577" s="105" t="str">
        <f t="shared" si="348"/>
        <v/>
      </c>
      <c r="H5577" s="101" t="str">
        <f t="shared" si="349"/>
        <v/>
      </c>
      <c r="I5577" s="101" t="str">
        <f t="shared" si="350"/>
        <v/>
      </c>
      <c r="J5577" s="140" t="str">
        <f t="shared" ref="J5577:J5640" si="351">TRIM(B5577)</f>
        <v/>
      </c>
    </row>
    <row r="5578" spans="7:10" x14ac:dyDescent="0.25">
      <c r="G5578" s="105" t="str">
        <f t="shared" si="348"/>
        <v/>
      </c>
      <c r="H5578" s="101" t="str">
        <f t="shared" si="349"/>
        <v/>
      </c>
      <c r="I5578" s="101" t="str">
        <f t="shared" si="350"/>
        <v/>
      </c>
      <c r="J5578" s="140" t="str">
        <f t="shared" si="351"/>
        <v/>
      </c>
    </row>
    <row r="5579" spans="7:10" x14ac:dyDescent="0.25">
      <c r="G5579" s="105" t="str">
        <f t="shared" si="348"/>
        <v/>
      </c>
      <c r="H5579" s="101" t="str">
        <f t="shared" si="349"/>
        <v/>
      </c>
      <c r="I5579" s="101" t="str">
        <f t="shared" si="350"/>
        <v/>
      </c>
      <c r="J5579" s="140" t="str">
        <f t="shared" si="351"/>
        <v/>
      </c>
    </row>
    <row r="5580" spans="7:10" x14ac:dyDescent="0.25">
      <c r="G5580" s="105" t="str">
        <f t="shared" si="348"/>
        <v/>
      </c>
      <c r="H5580" s="101" t="str">
        <f t="shared" si="349"/>
        <v/>
      </c>
      <c r="I5580" s="101" t="str">
        <f t="shared" si="350"/>
        <v/>
      </c>
      <c r="J5580" s="140" t="str">
        <f t="shared" si="351"/>
        <v/>
      </c>
    </row>
    <row r="5581" spans="7:10" x14ac:dyDescent="0.25">
      <c r="G5581" s="105" t="str">
        <f t="shared" si="348"/>
        <v/>
      </c>
      <c r="H5581" s="101" t="str">
        <f t="shared" si="349"/>
        <v/>
      </c>
      <c r="I5581" s="101" t="str">
        <f t="shared" si="350"/>
        <v/>
      </c>
      <c r="J5581" s="140" t="str">
        <f t="shared" si="351"/>
        <v/>
      </c>
    </row>
    <row r="5582" spans="7:10" x14ac:dyDescent="0.25">
      <c r="G5582" s="105" t="str">
        <f t="shared" si="348"/>
        <v/>
      </c>
      <c r="H5582" s="101" t="str">
        <f t="shared" si="349"/>
        <v/>
      </c>
      <c r="I5582" s="101" t="str">
        <f t="shared" si="350"/>
        <v/>
      </c>
      <c r="J5582" s="140" t="str">
        <f t="shared" si="351"/>
        <v/>
      </c>
    </row>
    <row r="5583" spans="7:10" x14ac:dyDescent="0.25">
      <c r="G5583" s="105" t="str">
        <f t="shared" si="348"/>
        <v/>
      </c>
      <c r="H5583" s="101" t="str">
        <f t="shared" si="349"/>
        <v/>
      </c>
      <c r="I5583" s="101" t="str">
        <f t="shared" si="350"/>
        <v/>
      </c>
      <c r="J5583" s="140" t="str">
        <f t="shared" si="351"/>
        <v/>
      </c>
    </row>
    <row r="5584" spans="7:10" x14ac:dyDescent="0.25">
      <c r="G5584" s="105" t="str">
        <f t="shared" si="348"/>
        <v/>
      </c>
      <c r="H5584" s="101" t="str">
        <f t="shared" si="349"/>
        <v/>
      </c>
      <c r="I5584" s="101" t="str">
        <f t="shared" si="350"/>
        <v/>
      </c>
      <c r="J5584" s="140" t="str">
        <f t="shared" si="351"/>
        <v/>
      </c>
    </row>
    <row r="5585" spans="7:10" x14ac:dyDescent="0.25">
      <c r="G5585" s="105" t="str">
        <f t="shared" si="348"/>
        <v/>
      </c>
      <c r="H5585" s="101" t="str">
        <f t="shared" si="349"/>
        <v/>
      </c>
      <c r="I5585" s="101" t="str">
        <f t="shared" si="350"/>
        <v/>
      </c>
      <c r="J5585" s="140" t="str">
        <f t="shared" si="351"/>
        <v/>
      </c>
    </row>
    <row r="5586" spans="7:10" x14ac:dyDescent="0.25">
      <c r="G5586" s="105" t="str">
        <f t="shared" si="348"/>
        <v/>
      </c>
      <c r="H5586" s="101" t="str">
        <f t="shared" si="349"/>
        <v/>
      </c>
      <c r="I5586" s="101" t="str">
        <f t="shared" si="350"/>
        <v/>
      </c>
      <c r="J5586" s="140" t="str">
        <f t="shared" si="351"/>
        <v/>
      </c>
    </row>
    <row r="5587" spans="7:10" x14ac:dyDescent="0.25">
      <c r="G5587" s="105" t="str">
        <f t="shared" si="348"/>
        <v/>
      </c>
      <c r="H5587" s="101" t="str">
        <f t="shared" si="349"/>
        <v/>
      </c>
      <c r="I5587" s="101" t="str">
        <f t="shared" si="350"/>
        <v/>
      </c>
      <c r="J5587" s="140" t="str">
        <f t="shared" si="351"/>
        <v/>
      </c>
    </row>
    <row r="5588" spans="7:10" x14ac:dyDescent="0.25">
      <c r="G5588" s="105" t="str">
        <f t="shared" si="348"/>
        <v/>
      </c>
      <c r="H5588" s="101" t="str">
        <f t="shared" si="349"/>
        <v/>
      </c>
      <c r="I5588" s="101" t="str">
        <f t="shared" si="350"/>
        <v/>
      </c>
      <c r="J5588" s="140" t="str">
        <f t="shared" si="351"/>
        <v/>
      </c>
    </row>
    <row r="5589" spans="7:10" x14ac:dyDescent="0.25">
      <c r="G5589" s="105" t="str">
        <f t="shared" si="348"/>
        <v/>
      </c>
      <c r="H5589" s="101" t="str">
        <f t="shared" si="349"/>
        <v/>
      </c>
      <c r="I5589" s="101" t="str">
        <f t="shared" si="350"/>
        <v/>
      </c>
      <c r="J5589" s="140" t="str">
        <f t="shared" si="351"/>
        <v/>
      </c>
    </row>
    <row r="5590" spans="7:10" x14ac:dyDescent="0.25">
      <c r="G5590" s="105" t="str">
        <f t="shared" si="348"/>
        <v/>
      </c>
      <c r="H5590" s="101" t="str">
        <f t="shared" si="349"/>
        <v/>
      </c>
      <c r="I5590" s="101" t="str">
        <f t="shared" si="350"/>
        <v/>
      </c>
      <c r="J5590" s="140" t="str">
        <f t="shared" si="351"/>
        <v/>
      </c>
    </row>
    <row r="5591" spans="7:10" x14ac:dyDescent="0.25">
      <c r="G5591" s="105" t="str">
        <f t="shared" si="348"/>
        <v/>
      </c>
      <c r="H5591" s="101" t="str">
        <f t="shared" si="349"/>
        <v/>
      </c>
      <c r="I5591" s="101" t="str">
        <f t="shared" si="350"/>
        <v/>
      </c>
      <c r="J5591" s="140" t="str">
        <f t="shared" si="351"/>
        <v/>
      </c>
    </row>
    <row r="5592" spans="7:10" x14ac:dyDescent="0.25">
      <c r="G5592" s="105" t="str">
        <f t="shared" si="348"/>
        <v/>
      </c>
      <c r="H5592" s="101" t="str">
        <f t="shared" si="349"/>
        <v/>
      </c>
      <c r="I5592" s="101" t="str">
        <f t="shared" si="350"/>
        <v/>
      </c>
      <c r="J5592" s="140" t="str">
        <f t="shared" si="351"/>
        <v/>
      </c>
    </row>
    <row r="5593" spans="7:10" x14ac:dyDescent="0.25">
      <c r="G5593" s="105" t="str">
        <f t="shared" si="348"/>
        <v/>
      </c>
      <c r="H5593" s="101" t="str">
        <f t="shared" si="349"/>
        <v/>
      </c>
      <c r="I5593" s="101" t="str">
        <f t="shared" si="350"/>
        <v/>
      </c>
      <c r="J5593" s="140" t="str">
        <f t="shared" si="351"/>
        <v/>
      </c>
    </row>
    <row r="5594" spans="7:10" x14ac:dyDescent="0.25">
      <c r="G5594" s="105" t="str">
        <f t="shared" si="348"/>
        <v/>
      </c>
      <c r="H5594" s="101" t="str">
        <f t="shared" si="349"/>
        <v/>
      </c>
      <c r="I5594" s="101" t="str">
        <f t="shared" si="350"/>
        <v/>
      </c>
      <c r="J5594" s="140" t="str">
        <f t="shared" si="351"/>
        <v/>
      </c>
    </row>
    <row r="5595" spans="7:10" x14ac:dyDescent="0.25">
      <c r="G5595" s="105" t="str">
        <f t="shared" si="348"/>
        <v/>
      </c>
      <c r="H5595" s="101" t="str">
        <f t="shared" si="349"/>
        <v/>
      </c>
      <c r="I5595" s="101" t="str">
        <f t="shared" si="350"/>
        <v/>
      </c>
      <c r="J5595" s="140" t="str">
        <f t="shared" si="351"/>
        <v/>
      </c>
    </row>
    <row r="5596" spans="7:10" x14ac:dyDescent="0.25">
      <c r="G5596" s="105" t="str">
        <f t="shared" si="348"/>
        <v/>
      </c>
      <c r="H5596" s="101" t="str">
        <f t="shared" si="349"/>
        <v/>
      </c>
      <c r="I5596" s="101" t="str">
        <f t="shared" si="350"/>
        <v/>
      </c>
      <c r="J5596" s="140" t="str">
        <f t="shared" si="351"/>
        <v/>
      </c>
    </row>
    <row r="5597" spans="7:10" x14ac:dyDescent="0.25">
      <c r="G5597" s="105" t="str">
        <f t="shared" si="348"/>
        <v/>
      </c>
      <c r="H5597" s="101" t="str">
        <f t="shared" si="349"/>
        <v/>
      </c>
      <c r="I5597" s="101" t="str">
        <f t="shared" si="350"/>
        <v/>
      </c>
      <c r="J5597" s="140" t="str">
        <f t="shared" si="351"/>
        <v/>
      </c>
    </row>
    <row r="5598" spans="7:10" x14ac:dyDescent="0.25">
      <c r="G5598" s="105" t="str">
        <f t="shared" si="348"/>
        <v/>
      </c>
      <c r="H5598" s="101" t="str">
        <f t="shared" si="349"/>
        <v/>
      </c>
      <c r="I5598" s="101" t="str">
        <f t="shared" si="350"/>
        <v/>
      </c>
      <c r="J5598" s="140" t="str">
        <f t="shared" si="351"/>
        <v/>
      </c>
    </row>
    <row r="5599" spans="7:10" x14ac:dyDescent="0.25">
      <c r="G5599" s="105" t="str">
        <f t="shared" si="348"/>
        <v/>
      </c>
      <c r="H5599" s="101" t="str">
        <f t="shared" si="349"/>
        <v/>
      </c>
      <c r="I5599" s="101" t="str">
        <f t="shared" si="350"/>
        <v/>
      </c>
      <c r="J5599" s="140" t="str">
        <f t="shared" si="351"/>
        <v/>
      </c>
    </row>
    <row r="5600" spans="7:10" x14ac:dyDescent="0.25">
      <c r="G5600" s="105" t="str">
        <f t="shared" si="348"/>
        <v/>
      </c>
      <c r="H5600" s="101" t="str">
        <f t="shared" si="349"/>
        <v/>
      </c>
      <c r="I5600" s="101" t="str">
        <f t="shared" si="350"/>
        <v/>
      </c>
      <c r="J5600" s="140" t="str">
        <f t="shared" si="351"/>
        <v/>
      </c>
    </row>
    <row r="5601" spans="7:10" x14ac:dyDescent="0.25">
      <c r="G5601" s="105" t="str">
        <f t="shared" si="348"/>
        <v/>
      </c>
      <c r="H5601" s="101" t="str">
        <f t="shared" si="349"/>
        <v/>
      </c>
      <c r="I5601" s="101" t="str">
        <f t="shared" si="350"/>
        <v/>
      </c>
      <c r="J5601" s="140" t="str">
        <f t="shared" si="351"/>
        <v/>
      </c>
    </row>
    <row r="5602" spans="7:10" x14ac:dyDescent="0.25">
      <c r="G5602" s="105" t="str">
        <f t="shared" si="348"/>
        <v/>
      </c>
      <c r="H5602" s="101" t="str">
        <f t="shared" si="349"/>
        <v/>
      </c>
      <c r="I5602" s="101" t="str">
        <f t="shared" si="350"/>
        <v/>
      </c>
      <c r="J5602" s="140" t="str">
        <f t="shared" si="351"/>
        <v/>
      </c>
    </row>
    <row r="5603" spans="7:10" x14ac:dyDescent="0.25">
      <c r="G5603" s="105" t="str">
        <f t="shared" si="348"/>
        <v/>
      </c>
      <c r="H5603" s="101" t="str">
        <f t="shared" si="349"/>
        <v/>
      </c>
      <c r="I5603" s="101" t="str">
        <f t="shared" si="350"/>
        <v/>
      </c>
      <c r="J5603" s="140" t="str">
        <f t="shared" si="351"/>
        <v/>
      </c>
    </row>
    <row r="5604" spans="7:10" x14ac:dyDescent="0.25">
      <c r="G5604" s="105" t="str">
        <f t="shared" si="348"/>
        <v/>
      </c>
      <c r="H5604" s="101" t="str">
        <f t="shared" si="349"/>
        <v/>
      </c>
      <c r="I5604" s="101" t="str">
        <f t="shared" si="350"/>
        <v/>
      </c>
      <c r="J5604" s="140" t="str">
        <f t="shared" si="351"/>
        <v/>
      </c>
    </row>
    <row r="5605" spans="7:10" x14ac:dyDescent="0.25">
      <c r="G5605" s="105" t="str">
        <f t="shared" si="348"/>
        <v/>
      </c>
      <c r="H5605" s="101" t="str">
        <f t="shared" si="349"/>
        <v/>
      </c>
      <c r="I5605" s="101" t="str">
        <f t="shared" si="350"/>
        <v/>
      </c>
      <c r="J5605" s="140" t="str">
        <f t="shared" si="351"/>
        <v/>
      </c>
    </row>
    <row r="5606" spans="7:10" x14ac:dyDescent="0.25">
      <c r="G5606" s="105" t="str">
        <f t="shared" si="348"/>
        <v/>
      </c>
      <c r="H5606" s="101" t="str">
        <f t="shared" si="349"/>
        <v/>
      </c>
      <c r="I5606" s="101" t="str">
        <f t="shared" si="350"/>
        <v/>
      </c>
      <c r="J5606" s="140" t="str">
        <f t="shared" si="351"/>
        <v/>
      </c>
    </row>
    <row r="5607" spans="7:10" x14ac:dyDescent="0.25">
      <c r="G5607" s="105" t="str">
        <f t="shared" si="348"/>
        <v/>
      </c>
      <c r="H5607" s="101" t="str">
        <f t="shared" si="349"/>
        <v/>
      </c>
      <c r="I5607" s="101" t="str">
        <f t="shared" si="350"/>
        <v/>
      </c>
      <c r="J5607" s="140" t="str">
        <f t="shared" si="351"/>
        <v/>
      </c>
    </row>
    <row r="5608" spans="7:10" x14ac:dyDescent="0.25">
      <c r="G5608" s="105" t="str">
        <f t="shared" si="348"/>
        <v/>
      </c>
      <c r="H5608" s="101" t="str">
        <f t="shared" si="349"/>
        <v/>
      </c>
      <c r="I5608" s="101" t="str">
        <f t="shared" si="350"/>
        <v/>
      </c>
      <c r="J5608" s="140" t="str">
        <f t="shared" si="351"/>
        <v/>
      </c>
    </row>
    <row r="5609" spans="7:10" x14ac:dyDescent="0.25">
      <c r="G5609" s="105" t="str">
        <f t="shared" si="348"/>
        <v/>
      </c>
      <c r="H5609" s="101" t="str">
        <f t="shared" si="349"/>
        <v/>
      </c>
      <c r="I5609" s="101" t="str">
        <f t="shared" si="350"/>
        <v/>
      </c>
      <c r="J5609" s="140" t="str">
        <f t="shared" si="351"/>
        <v/>
      </c>
    </row>
    <row r="5610" spans="7:10" x14ac:dyDescent="0.25">
      <c r="G5610" s="105" t="str">
        <f t="shared" si="348"/>
        <v/>
      </c>
      <c r="H5610" s="101" t="str">
        <f t="shared" si="349"/>
        <v/>
      </c>
      <c r="I5610" s="101" t="str">
        <f t="shared" si="350"/>
        <v/>
      </c>
      <c r="J5610" s="140" t="str">
        <f t="shared" si="351"/>
        <v/>
      </c>
    </row>
    <row r="5611" spans="7:10" x14ac:dyDescent="0.25">
      <c r="G5611" s="105" t="str">
        <f t="shared" si="348"/>
        <v/>
      </c>
      <c r="H5611" s="101" t="str">
        <f t="shared" si="349"/>
        <v/>
      </c>
      <c r="I5611" s="101" t="str">
        <f t="shared" si="350"/>
        <v/>
      </c>
      <c r="J5611" s="140" t="str">
        <f t="shared" si="351"/>
        <v/>
      </c>
    </row>
    <row r="5612" spans="7:10" x14ac:dyDescent="0.25">
      <c r="G5612" s="105" t="str">
        <f t="shared" si="348"/>
        <v/>
      </c>
      <c r="H5612" s="101" t="str">
        <f t="shared" si="349"/>
        <v/>
      </c>
      <c r="I5612" s="101" t="str">
        <f t="shared" si="350"/>
        <v/>
      </c>
      <c r="J5612" s="140" t="str">
        <f t="shared" si="351"/>
        <v/>
      </c>
    </row>
    <row r="5613" spans="7:10" x14ac:dyDescent="0.25">
      <c r="G5613" s="105" t="str">
        <f t="shared" si="348"/>
        <v/>
      </c>
      <c r="H5613" s="101" t="str">
        <f t="shared" si="349"/>
        <v/>
      </c>
      <c r="I5613" s="101" t="str">
        <f t="shared" si="350"/>
        <v/>
      </c>
      <c r="J5613" s="140" t="str">
        <f t="shared" si="351"/>
        <v/>
      </c>
    </row>
    <row r="5614" spans="7:10" x14ac:dyDescent="0.25">
      <c r="G5614" s="105" t="str">
        <f t="shared" si="348"/>
        <v/>
      </c>
      <c r="H5614" s="101" t="str">
        <f t="shared" si="349"/>
        <v/>
      </c>
      <c r="I5614" s="101" t="str">
        <f t="shared" si="350"/>
        <v/>
      </c>
      <c r="J5614" s="140" t="str">
        <f t="shared" si="351"/>
        <v/>
      </c>
    </row>
    <row r="5615" spans="7:10" x14ac:dyDescent="0.25">
      <c r="G5615" s="105" t="str">
        <f t="shared" si="348"/>
        <v/>
      </c>
      <c r="H5615" s="101" t="str">
        <f t="shared" si="349"/>
        <v/>
      </c>
      <c r="I5615" s="101" t="str">
        <f t="shared" si="350"/>
        <v/>
      </c>
      <c r="J5615" s="140" t="str">
        <f t="shared" si="351"/>
        <v/>
      </c>
    </row>
    <row r="5616" spans="7:10" x14ac:dyDescent="0.25">
      <c r="G5616" s="105" t="str">
        <f t="shared" si="348"/>
        <v/>
      </c>
      <c r="H5616" s="101" t="str">
        <f t="shared" si="349"/>
        <v/>
      </c>
      <c r="I5616" s="101" t="str">
        <f t="shared" si="350"/>
        <v/>
      </c>
      <c r="J5616" s="140" t="str">
        <f t="shared" si="351"/>
        <v/>
      </c>
    </row>
    <row r="5617" spans="7:10" x14ac:dyDescent="0.25">
      <c r="G5617" s="105" t="str">
        <f t="shared" si="348"/>
        <v/>
      </c>
      <c r="H5617" s="101" t="str">
        <f t="shared" si="349"/>
        <v/>
      </c>
      <c r="I5617" s="101" t="str">
        <f t="shared" si="350"/>
        <v/>
      </c>
      <c r="J5617" s="140" t="str">
        <f t="shared" si="351"/>
        <v/>
      </c>
    </row>
    <row r="5618" spans="7:10" x14ac:dyDescent="0.25">
      <c r="G5618" s="105" t="str">
        <f t="shared" si="348"/>
        <v/>
      </c>
      <c r="H5618" s="101" t="str">
        <f t="shared" si="349"/>
        <v/>
      </c>
      <c r="I5618" s="101" t="str">
        <f t="shared" si="350"/>
        <v/>
      </c>
      <c r="J5618" s="140" t="str">
        <f t="shared" si="351"/>
        <v/>
      </c>
    </row>
    <row r="5619" spans="7:10" x14ac:dyDescent="0.25">
      <c r="G5619" s="105" t="str">
        <f t="shared" si="348"/>
        <v/>
      </c>
      <c r="H5619" s="101" t="str">
        <f t="shared" si="349"/>
        <v/>
      </c>
      <c r="I5619" s="101" t="str">
        <f t="shared" si="350"/>
        <v/>
      </c>
      <c r="J5619" s="140" t="str">
        <f t="shared" si="351"/>
        <v/>
      </c>
    </row>
    <row r="5620" spans="7:10" x14ac:dyDescent="0.25">
      <c r="G5620" s="105" t="str">
        <f t="shared" si="348"/>
        <v/>
      </c>
      <c r="H5620" s="101" t="str">
        <f t="shared" si="349"/>
        <v/>
      </c>
      <c r="I5620" s="101" t="str">
        <f t="shared" si="350"/>
        <v/>
      </c>
      <c r="J5620" s="140" t="str">
        <f t="shared" si="351"/>
        <v/>
      </c>
    </row>
    <row r="5621" spans="7:10" x14ac:dyDescent="0.25">
      <c r="G5621" s="105" t="str">
        <f t="shared" si="348"/>
        <v/>
      </c>
      <c r="H5621" s="101" t="str">
        <f t="shared" si="349"/>
        <v/>
      </c>
      <c r="I5621" s="101" t="str">
        <f t="shared" si="350"/>
        <v/>
      </c>
      <c r="J5621" s="140" t="str">
        <f t="shared" si="351"/>
        <v/>
      </c>
    </row>
    <row r="5622" spans="7:10" x14ac:dyDescent="0.25">
      <c r="G5622" s="105" t="str">
        <f t="shared" si="348"/>
        <v/>
      </c>
      <c r="H5622" s="101" t="str">
        <f t="shared" si="349"/>
        <v/>
      </c>
      <c r="I5622" s="101" t="str">
        <f t="shared" si="350"/>
        <v/>
      </c>
      <c r="J5622" s="140" t="str">
        <f t="shared" si="351"/>
        <v/>
      </c>
    </row>
    <row r="5623" spans="7:10" x14ac:dyDescent="0.25">
      <c r="G5623" s="105" t="str">
        <f t="shared" si="348"/>
        <v/>
      </c>
      <c r="H5623" s="101" t="str">
        <f t="shared" si="349"/>
        <v/>
      </c>
      <c r="I5623" s="101" t="str">
        <f t="shared" si="350"/>
        <v/>
      </c>
      <c r="J5623" s="140" t="str">
        <f t="shared" si="351"/>
        <v/>
      </c>
    </row>
    <row r="5624" spans="7:10" x14ac:dyDescent="0.25">
      <c r="G5624" s="105" t="str">
        <f t="shared" si="348"/>
        <v/>
      </c>
      <c r="H5624" s="101" t="str">
        <f t="shared" si="349"/>
        <v/>
      </c>
      <c r="I5624" s="101" t="str">
        <f t="shared" si="350"/>
        <v/>
      </c>
      <c r="J5624" s="140" t="str">
        <f t="shared" si="351"/>
        <v/>
      </c>
    </row>
    <row r="5625" spans="7:10" x14ac:dyDescent="0.25">
      <c r="G5625" s="105" t="str">
        <f t="shared" si="348"/>
        <v/>
      </c>
      <c r="H5625" s="101" t="str">
        <f t="shared" si="349"/>
        <v/>
      </c>
      <c r="I5625" s="101" t="str">
        <f t="shared" si="350"/>
        <v/>
      </c>
      <c r="J5625" s="140" t="str">
        <f t="shared" si="351"/>
        <v/>
      </c>
    </row>
    <row r="5626" spans="7:10" x14ac:dyDescent="0.25">
      <c r="G5626" s="105" t="str">
        <f t="shared" si="348"/>
        <v/>
      </c>
      <c r="H5626" s="101" t="str">
        <f t="shared" si="349"/>
        <v/>
      </c>
      <c r="I5626" s="101" t="str">
        <f t="shared" si="350"/>
        <v/>
      </c>
      <c r="J5626" s="140" t="str">
        <f t="shared" si="351"/>
        <v/>
      </c>
    </row>
    <row r="5627" spans="7:10" x14ac:dyDescent="0.25">
      <c r="G5627" s="105" t="str">
        <f t="shared" si="348"/>
        <v/>
      </c>
      <c r="H5627" s="101" t="str">
        <f t="shared" si="349"/>
        <v/>
      </c>
      <c r="I5627" s="101" t="str">
        <f t="shared" si="350"/>
        <v/>
      </c>
      <c r="J5627" s="140" t="str">
        <f t="shared" si="351"/>
        <v/>
      </c>
    </row>
    <row r="5628" spans="7:10" x14ac:dyDescent="0.25">
      <c r="G5628" s="105" t="str">
        <f t="shared" si="348"/>
        <v/>
      </c>
      <c r="H5628" s="101" t="str">
        <f t="shared" si="349"/>
        <v/>
      </c>
      <c r="I5628" s="101" t="str">
        <f t="shared" si="350"/>
        <v/>
      </c>
      <c r="J5628" s="140" t="str">
        <f t="shared" si="351"/>
        <v/>
      </c>
    </row>
    <row r="5629" spans="7:10" x14ac:dyDescent="0.25">
      <c r="G5629" s="105" t="str">
        <f t="shared" si="348"/>
        <v/>
      </c>
      <c r="H5629" s="101" t="str">
        <f t="shared" si="349"/>
        <v/>
      </c>
      <c r="I5629" s="101" t="str">
        <f t="shared" si="350"/>
        <v/>
      </c>
      <c r="J5629" s="140" t="str">
        <f t="shared" si="351"/>
        <v/>
      </c>
    </row>
    <row r="5630" spans="7:10" x14ac:dyDescent="0.25">
      <c r="G5630" s="105" t="str">
        <f t="shared" si="348"/>
        <v/>
      </c>
      <c r="H5630" s="101" t="str">
        <f t="shared" si="349"/>
        <v/>
      </c>
      <c r="I5630" s="101" t="str">
        <f t="shared" si="350"/>
        <v/>
      </c>
      <c r="J5630" s="140" t="str">
        <f t="shared" si="351"/>
        <v/>
      </c>
    </row>
    <row r="5631" spans="7:10" x14ac:dyDescent="0.25">
      <c r="G5631" s="105" t="str">
        <f t="shared" si="348"/>
        <v/>
      </c>
      <c r="H5631" s="101" t="str">
        <f t="shared" si="349"/>
        <v/>
      </c>
      <c r="I5631" s="101" t="str">
        <f t="shared" si="350"/>
        <v/>
      </c>
      <c r="J5631" s="140" t="str">
        <f t="shared" si="351"/>
        <v/>
      </c>
    </row>
    <row r="5632" spans="7:10" x14ac:dyDescent="0.25">
      <c r="G5632" s="105" t="str">
        <f t="shared" si="348"/>
        <v/>
      </c>
      <c r="H5632" s="101" t="str">
        <f t="shared" si="349"/>
        <v/>
      </c>
      <c r="I5632" s="101" t="str">
        <f t="shared" si="350"/>
        <v/>
      </c>
      <c r="J5632" s="140" t="str">
        <f t="shared" si="351"/>
        <v/>
      </c>
    </row>
    <row r="5633" spans="7:10" x14ac:dyDescent="0.25">
      <c r="G5633" s="105" t="str">
        <f t="shared" si="348"/>
        <v/>
      </c>
      <c r="H5633" s="101" t="str">
        <f t="shared" si="349"/>
        <v/>
      </c>
      <c r="I5633" s="101" t="str">
        <f t="shared" si="350"/>
        <v/>
      </c>
      <c r="J5633" s="140" t="str">
        <f t="shared" si="351"/>
        <v/>
      </c>
    </row>
    <row r="5634" spans="7:10" x14ac:dyDescent="0.25">
      <c r="G5634" s="105" t="str">
        <f t="shared" si="348"/>
        <v/>
      </c>
      <c r="H5634" s="101" t="str">
        <f t="shared" si="349"/>
        <v/>
      </c>
      <c r="I5634" s="101" t="str">
        <f t="shared" si="350"/>
        <v/>
      </c>
      <c r="J5634" s="140" t="str">
        <f t="shared" si="351"/>
        <v/>
      </c>
    </row>
    <row r="5635" spans="7:10" x14ac:dyDescent="0.25">
      <c r="G5635" s="105" t="str">
        <f t="shared" si="348"/>
        <v/>
      </c>
      <c r="H5635" s="101" t="str">
        <f t="shared" si="349"/>
        <v/>
      </c>
      <c r="I5635" s="101" t="str">
        <f t="shared" si="350"/>
        <v/>
      </c>
      <c r="J5635" s="140" t="str">
        <f t="shared" si="351"/>
        <v/>
      </c>
    </row>
    <row r="5636" spans="7:10" x14ac:dyDescent="0.25">
      <c r="G5636" s="105" t="str">
        <f t="shared" si="348"/>
        <v/>
      </c>
      <c r="H5636" s="101" t="str">
        <f t="shared" si="349"/>
        <v/>
      </c>
      <c r="I5636" s="101" t="str">
        <f t="shared" si="350"/>
        <v/>
      </c>
      <c r="J5636" s="140" t="str">
        <f t="shared" si="351"/>
        <v/>
      </c>
    </row>
    <row r="5637" spans="7:10" x14ac:dyDescent="0.25">
      <c r="G5637" s="105" t="str">
        <f t="shared" si="348"/>
        <v/>
      </c>
      <c r="H5637" s="101" t="str">
        <f t="shared" si="349"/>
        <v/>
      </c>
      <c r="I5637" s="101" t="str">
        <f t="shared" si="350"/>
        <v/>
      </c>
      <c r="J5637" s="140" t="str">
        <f t="shared" si="351"/>
        <v/>
      </c>
    </row>
    <row r="5638" spans="7:10" x14ac:dyDescent="0.25">
      <c r="G5638" s="105" t="str">
        <f t="shared" si="348"/>
        <v/>
      </c>
      <c r="H5638" s="101" t="str">
        <f t="shared" si="349"/>
        <v/>
      </c>
      <c r="I5638" s="101" t="str">
        <f t="shared" si="350"/>
        <v/>
      </c>
      <c r="J5638" s="140" t="str">
        <f t="shared" si="351"/>
        <v/>
      </c>
    </row>
    <row r="5639" spans="7:10" x14ac:dyDescent="0.25">
      <c r="G5639" s="105" t="str">
        <f t="shared" si="348"/>
        <v/>
      </c>
      <c r="H5639" s="101" t="str">
        <f t="shared" si="349"/>
        <v/>
      </c>
      <c r="I5639" s="101" t="str">
        <f t="shared" si="350"/>
        <v/>
      </c>
      <c r="J5639" s="140" t="str">
        <f t="shared" si="351"/>
        <v/>
      </c>
    </row>
    <row r="5640" spans="7:10" x14ac:dyDescent="0.25">
      <c r="G5640" s="105" t="str">
        <f t="shared" ref="G5640:G5703" si="352">IF(E5640="","",E5640+0)</f>
        <v/>
      </c>
      <c r="H5640" s="101" t="str">
        <f t="shared" ref="H5640:H5703" si="353">IF(G5640="","",TRIM(CONCATENATE("Sinapi ",A5640)))</f>
        <v/>
      </c>
      <c r="I5640" s="101" t="str">
        <f t="shared" ref="I5640:I5703" si="354">TRIM(C5640)</f>
        <v/>
      </c>
      <c r="J5640" s="140" t="str">
        <f t="shared" si="351"/>
        <v/>
      </c>
    </row>
    <row r="5641" spans="7:10" x14ac:dyDescent="0.25">
      <c r="G5641" s="105" t="str">
        <f t="shared" si="352"/>
        <v/>
      </c>
      <c r="H5641" s="101" t="str">
        <f t="shared" si="353"/>
        <v/>
      </c>
      <c r="I5641" s="101" t="str">
        <f t="shared" si="354"/>
        <v/>
      </c>
      <c r="J5641" s="140" t="str">
        <f t="shared" ref="J5641:J5704" si="355">TRIM(B5641)</f>
        <v/>
      </c>
    </row>
    <row r="5642" spans="7:10" x14ac:dyDescent="0.25">
      <c r="G5642" s="105" t="str">
        <f t="shared" si="352"/>
        <v/>
      </c>
      <c r="H5642" s="101" t="str">
        <f t="shared" si="353"/>
        <v/>
      </c>
      <c r="I5642" s="101" t="str">
        <f t="shared" si="354"/>
        <v/>
      </c>
      <c r="J5642" s="140" t="str">
        <f t="shared" si="355"/>
        <v/>
      </c>
    </row>
    <row r="5643" spans="7:10" x14ac:dyDescent="0.25">
      <c r="G5643" s="105" t="str">
        <f t="shared" si="352"/>
        <v/>
      </c>
      <c r="H5643" s="101" t="str">
        <f t="shared" si="353"/>
        <v/>
      </c>
      <c r="I5643" s="101" t="str">
        <f t="shared" si="354"/>
        <v/>
      </c>
      <c r="J5643" s="140" t="str">
        <f t="shared" si="355"/>
        <v/>
      </c>
    </row>
    <row r="5644" spans="7:10" x14ac:dyDescent="0.25">
      <c r="G5644" s="105" t="str">
        <f t="shared" si="352"/>
        <v/>
      </c>
      <c r="H5644" s="101" t="str">
        <f t="shared" si="353"/>
        <v/>
      </c>
      <c r="I5644" s="101" t="str">
        <f t="shared" si="354"/>
        <v/>
      </c>
      <c r="J5644" s="140" t="str">
        <f t="shared" si="355"/>
        <v/>
      </c>
    </row>
    <row r="5645" spans="7:10" x14ac:dyDescent="0.25">
      <c r="G5645" s="105" t="str">
        <f t="shared" si="352"/>
        <v/>
      </c>
      <c r="H5645" s="101" t="str">
        <f t="shared" si="353"/>
        <v/>
      </c>
      <c r="I5645" s="101" t="str">
        <f t="shared" si="354"/>
        <v/>
      </c>
      <c r="J5645" s="140" t="str">
        <f t="shared" si="355"/>
        <v/>
      </c>
    </row>
    <row r="5646" spans="7:10" x14ac:dyDescent="0.25">
      <c r="G5646" s="105" t="str">
        <f t="shared" si="352"/>
        <v/>
      </c>
      <c r="H5646" s="101" t="str">
        <f t="shared" si="353"/>
        <v/>
      </c>
      <c r="I5646" s="101" t="str">
        <f t="shared" si="354"/>
        <v/>
      </c>
      <c r="J5646" s="140" t="str">
        <f t="shared" si="355"/>
        <v/>
      </c>
    </row>
    <row r="5647" spans="7:10" x14ac:dyDescent="0.25">
      <c r="G5647" s="105" t="str">
        <f t="shared" si="352"/>
        <v/>
      </c>
      <c r="H5647" s="101" t="str">
        <f t="shared" si="353"/>
        <v/>
      </c>
      <c r="I5647" s="101" t="str">
        <f t="shared" si="354"/>
        <v/>
      </c>
      <c r="J5647" s="140" t="str">
        <f t="shared" si="355"/>
        <v/>
      </c>
    </row>
    <row r="5648" spans="7:10" x14ac:dyDescent="0.25">
      <c r="G5648" s="105" t="str">
        <f t="shared" si="352"/>
        <v/>
      </c>
      <c r="H5648" s="101" t="str">
        <f t="shared" si="353"/>
        <v/>
      </c>
      <c r="I5648" s="101" t="str">
        <f t="shared" si="354"/>
        <v/>
      </c>
      <c r="J5648" s="140" t="str">
        <f t="shared" si="355"/>
        <v/>
      </c>
    </row>
    <row r="5649" spans="7:10" x14ac:dyDescent="0.25">
      <c r="G5649" s="105" t="str">
        <f t="shared" si="352"/>
        <v/>
      </c>
      <c r="H5649" s="101" t="str">
        <f t="shared" si="353"/>
        <v/>
      </c>
      <c r="I5649" s="101" t="str">
        <f t="shared" si="354"/>
        <v/>
      </c>
      <c r="J5649" s="140" t="str">
        <f t="shared" si="355"/>
        <v/>
      </c>
    </row>
    <row r="5650" spans="7:10" x14ac:dyDescent="0.25">
      <c r="G5650" s="105" t="str">
        <f t="shared" si="352"/>
        <v/>
      </c>
      <c r="H5650" s="101" t="str">
        <f t="shared" si="353"/>
        <v/>
      </c>
      <c r="I5650" s="101" t="str">
        <f t="shared" si="354"/>
        <v/>
      </c>
      <c r="J5650" s="140" t="str">
        <f t="shared" si="355"/>
        <v/>
      </c>
    </row>
    <row r="5651" spans="7:10" x14ac:dyDescent="0.25">
      <c r="G5651" s="105" t="str">
        <f t="shared" si="352"/>
        <v/>
      </c>
      <c r="H5651" s="101" t="str">
        <f t="shared" si="353"/>
        <v/>
      </c>
      <c r="I5651" s="101" t="str">
        <f t="shared" si="354"/>
        <v/>
      </c>
      <c r="J5651" s="140" t="str">
        <f t="shared" si="355"/>
        <v/>
      </c>
    </row>
    <row r="5652" spans="7:10" x14ac:dyDescent="0.25">
      <c r="G5652" s="105" t="str">
        <f t="shared" si="352"/>
        <v/>
      </c>
      <c r="H5652" s="101" t="str">
        <f t="shared" si="353"/>
        <v/>
      </c>
      <c r="I5652" s="101" t="str">
        <f t="shared" si="354"/>
        <v/>
      </c>
      <c r="J5652" s="140" t="str">
        <f t="shared" si="355"/>
        <v/>
      </c>
    </row>
    <row r="5653" spans="7:10" x14ac:dyDescent="0.25">
      <c r="G5653" s="105" t="str">
        <f t="shared" si="352"/>
        <v/>
      </c>
      <c r="H5653" s="101" t="str">
        <f t="shared" si="353"/>
        <v/>
      </c>
      <c r="I5653" s="101" t="str">
        <f t="shared" si="354"/>
        <v/>
      </c>
      <c r="J5653" s="140" t="str">
        <f t="shared" si="355"/>
        <v/>
      </c>
    </row>
    <row r="5654" spans="7:10" x14ac:dyDescent="0.25">
      <c r="G5654" s="105" t="str">
        <f t="shared" si="352"/>
        <v/>
      </c>
      <c r="H5654" s="101" t="str">
        <f t="shared" si="353"/>
        <v/>
      </c>
      <c r="I5654" s="101" t="str">
        <f t="shared" si="354"/>
        <v/>
      </c>
      <c r="J5654" s="140" t="str">
        <f t="shared" si="355"/>
        <v/>
      </c>
    </row>
    <row r="5655" spans="7:10" x14ac:dyDescent="0.25">
      <c r="G5655" s="105" t="str">
        <f t="shared" si="352"/>
        <v/>
      </c>
      <c r="H5655" s="101" t="str">
        <f t="shared" si="353"/>
        <v/>
      </c>
      <c r="I5655" s="101" t="str">
        <f t="shared" si="354"/>
        <v/>
      </c>
      <c r="J5655" s="140" t="str">
        <f t="shared" si="355"/>
        <v/>
      </c>
    </row>
    <row r="5656" spans="7:10" x14ac:dyDescent="0.25">
      <c r="G5656" s="105" t="str">
        <f t="shared" si="352"/>
        <v/>
      </c>
      <c r="H5656" s="101" t="str">
        <f t="shared" si="353"/>
        <v/>
      </c>
      <c r="I5656" s="101" t="str">
        <f t="shared" si="354"/>
        <v/>
      </c>
      <c r="J5656" s="140" t="str">
        <f t="shared" si="355"/>
        <v/>
      </c>
    </row>
    <row r="5657" spans="7:10" x14ac:dyDescent="0.25">
      <c r="G5657" s="105" t="str">
        <f t="shared" si="352"/>
        <v/>
      </c>
      <c r="H5657" s="101" t="str">
        <f t="shared" si="353"/>
        <v/>
      </c>
      <c r="I5657" s="101" t="str">
        <f t="shared" si="354"/>
        <v/>
      </c>
      <c r="J5657" s="140" t="str">
        <f t="shared" si="355"/>
        <v/>
      </c>
    </row>
    <row r="5658" spans="7:10" x14ac:dyDescent="0.25">
      <c r="G5658" s="105" t="str">
        <f t="shared" si="352"/>
        <v/>
      </c>
      <c r="H5658" s="101" t="str">
        <f t="shared" si="353"/>
        <v/>
      </c>
      <c r="I5658" s="101" t="str">
        <f t="shared" si="354"/>
        <v/>
      </c>
      <c r="J5658" s="140" t="str">
        <f t="shared" si="355"/>
        <v/>
      </c>
    </row>
    <row r="5659" spans="7:10" x14ac:dyDescent="0.25">
      <c r="G5659" s="105" t="str">
        <f t="shared" si="352"/>
        <v/>
      </c>
      <c r="H5659" s="101" t="str">
        <f t="shared" si="353"/>
        <v/>
      </c>
      <c r="I5659" s="101" t="str">
        <f t="shared" si="354"/>
        <v/>
      </c>
      <c r="J5659" s="140" t="str">
        <f t="shared" si="355"/>
        <v/>
      </c>
    </row>
    <row r="5660" spans="7:10" x14ac:dyDescent="0.25">
      <c r="G5660" s="105" t="str">
        <f t="shared" si="352"/>
        <v/>
      </c>
      <c r="H5660" s="101" t="str">
        <f t="shared" si="353"/>
        <v/>
      </c>
      <c r="I5660" s="101" t="str">
        <f t="shared" si="354"/>
        <v/>
      </c>
      <c r="J5660" s="140" t="str">
        <f t="shared" si="355"/>
        <v/>
      </c>
    </row>
    <row r="5661" spans="7:10" x14ac:dyDescent="0.25">
      <c r="G5661" s="105" t="str">
        <f t="shared" si="352"/>
        <v/>
      </c>
      <c r="H5661" s="101" t="str">
        <f t="shared" si="353"/>
        <v/>
      </c>
      <c r="I5661" s="101" t="str">
        <f t="shared" si="354"/>
        <v/>
      </c>
      <c r="J5661" s="140" t="str">
        <f t="shared" si="355"/>
        <v/>
      </c>
    </row>
    <row r="5662" spans="7:10" x14ac:dyDescent="0.25">
      <c r="G5662" s="105" t="str">
        <f t="shared" si="352"/>
        <v/>
      </c>
      <c r="H5662" s="101" t="str">
        <f t="shared" si="353"/>
        <v/>
      </c>
      <c r="I5662" s="101" t="str">
        <f t="shared" si="354"/>
        <v/>
      </c>
      <c r="J5662" s="140" t="str">
        <f t="shared" si="355"/>
        <v/>
      </c>
    </row>
    <row r="5663" spans="7:10" x14ac:dyDescent="0.25">
      <c r="G5663" s="105" t="str">
        <f t="shared" si="352"/>
        <v/>
      </c>
      <c r="H5663" s="101" t="str">
        <f t="shared" si="353"/>
        <v/>
      </c>
      <c r="I5663" s="101" t="str">
        <f t="shared" si="354"/>
        <v/>
      </c>
      <c r="J5663" s="140" t="str">
        <f t="shared" si="355"/>
        <v/>
      </c>
    </row>
    <row r="5664" spans="7:10" x14ac:dyDescent="0.25">
      <c r="G5664" s="105" t="str">
        <f t="shared" si="352"/>
        <v/>
      </c>
      <c r="H5664" s="101" t="str">
        <f t="shared" si="353"/>
        <v/>
      </c>
      <c r="I5664" s="101" t="str">
        <f t="shared" si="354"/>
        <v/>
      </c>
      <c r="J5664" s="140" t="str">
        <f t="shared" si="355"/>
        <v/>
      </c>
    </row>
    <row r="5665" spans="7:10" x14ac:dyDescent="0.25">
      <c r="G5665" s="105" t="str">
        <f t="shared" si="352"/>
        <v/>
      </c>
      <c r="H5665" s="101" t="str">
        <f t="shared" si="353"/>
        <v/>
      </c>
      <c r="I5665" s="101" t="str">
        <f t="shared" si="354"/>
        <v/>
      </c>
      <c r="J5665" s="140" t="str">
        <f t="shared" si="355"/>
        <v/>
      </c>
    </row>
    <row r="5666" spans="7:10" x14ac:dyDescent="0.25">
      <c r="G5666" s="105" t="str">
        <f t="shared" si="352"/>
        <v/>
      </c>
      <c r="H5666" s="101" t="str">
        <f t="shared" si="353"/>
        <v/>
      </c>
      <c r="I5666" s="101" t="str">
        <f t="shared" si="354"/>
        <v/>
      </c>
      <c r="J5666" s="140" t="str">
        <f t="shared" si="355"/>
        <v/>
      </c>
    </row>
    <row r="5667" spans="7:10" x14ac:dyDescent="0.25">
      <c r="G5667" s="105" t="str">
        <f t="shared" si="352"/>
        <v/>
      </c>
      <c r="H5667" s="101" t="str">
        <f t="shared" si="353"/>
        <v/>
      </c>
      <c r="I5667" s="101" t="str">
        <f t="shared" si="354"/>
        <v/>
      </c>
      <c r="J5667" s="140" t="str">
        <f t="shared" si="355"/>
        <v/>
      </c>
    </row>
    <row r="5668" spans="7:10" x14ac:dyDescent="0.25">
      <c r="G5668" s="105" t="str">
        <f t="shared" si="352"/>
        <v/>
      </c>
      <c r="H5668" s="101" t="str">
        <f t="shared" si="353"/>
        <v/>
      </c>
      <c r="I5668" s="101" t="str">
        <f t="shared" si="354"/>
        <v/>
      </c>
      <c r="J5668" s="140" t="str">
        <f t="shared" si="355"/>
        <v/>
      </c>
    </row>
    <row r="5669" spans="7:10" x14ac:dyDescent="0.25">
      <c r="G5669" s="105" t="str">
        <f t="shared" si="352"/>
        <v/>
      </c>
      <c r="H5669" s="101" t="str">
        <f t="shared" si="353"/>
        <v/>
      </c>
      <c r="I5669" s="101" t="str">
        <f t="shared" si="354"/>
        <v/>
      </c>
      <c r="J5669" s="140" t="str">
        <f t="shared" si="355"/>
        <v/>
      </c>
    </row>
    <row r="5670" spans="7:10" x14ac:dyDescent="0.25">
      <c r="G5670" s="105" t="str">
        <f t="shared" si="352"/>
        <v/>
      </c>
      <c r="H5670" s="101" t="str">
        <f t="shared" si="353"/>
        <v/>
      </c>
      <c r="I5670" s="101" t="str">
        <f t="shared" si="354"/>
        <v/>
      </c>
      <c r="J5670" s="140" t="str">
        <f t="shared" si="355"/>
        <v/>
      </c>
    </row>
    <row r="5671" spans="7:10" x14ac:dyDescent="0.25">
      <c r="G5671" s="105" t="str">
        <f t="shared" si="352"/>
        <v/>
      </c>
      <c r="H5671" s="101" t="str">
        <f t="shared" si="353"/>
        <v/>
      </c>
      <c r="I5671" s="101" t="str">
        <f t="shared" si="354"/>
        <v/>
      </c>
      <c r="J5671" s="140" t="str">
        <f t="shared" si="355"/>
        <v/>
      </c>
    </row>
    <row r="5672" spans="7:10" x14ac:dyDescent="0.25">
      <c r="G5672" s="105" t="str">
        <f t="shared" si="352"/>
        <v/>
      </c>
      <c r="H5672" s="101" t="str">
        <f t="shared" si="353"/>
        <v/>
      </c>
      <c r="I5672" s="101" t="str">
        <f t="shared" si="354"/>
        <v/>
      </c>
      <c r="J5672" s="140" t="str">
        <f t="shared" si="355"/>
        <v/>
      </c>
    </row>
    <row r="5673" spans="7:10" x14ac:dyDescent="0.25">
      <c r="G5673" s="105" t="str">
        <f t="shared" si="352"/>
        <v/>
      </c>
      <c r="H5673" s="101" t="str">
        <f t="shared" si="353"/>
        <v/>
      </c>
      <c r="I5673" s="101" t="str">
        <f t="shared" si="354"/>
        <v/>
      </c>
      <c r="J5673" s="140" t="str">
        <f t="shared" si="355"/>
        <v/>
      </c>
    </row>
    <row r="5674" spans="7:10" x14ac:dyDescent="0.25">
      <c r="G5674" s="105" t="str">
        <f t="shared" si="352"/>
        <v/>
      </c>
      <c r="H5674" s="101" t="str">
        <f t="shared" si="353"/>
        <v/>
      </c>
      <c r="I5674" s="101" t="str">
        <f t="shared" si="354"/>
        <v/>
      </c>
      <c r="J5674" s="140" t="str">
        <f t="shared" si="355"/>
        <v/>
      </c>
    </row>
    <row r="5675" spans="7:10" x14ac:dyDescent="0.25">
      <c r="G5675" s="105" t="str">
        <f t="shared" si="352"/>
        <v/>
      </c>
      <c r="H5675" s="101" t="str">
        <f t="shared" si="353"/>
        <v/>
      </c>
      <c r="I5675" s="101" t="str">
        <f t="shared" si="354"/>
        <v/>
      </c>
      <c r="J5675" s="140" t="str">
        <f t="shared" si="355"/>
        <v/>
      </c>
    </row>
    <row r="5676" spans="7:10" x14ac:dyDescent="0.25">
      <c r="G5676" s="105" t="str">
        <f t="shared" si="352"/>
        <v/>
      </c>
      <c r="H5676" s="101" t="str">
        <f t="shared" si="353"/>
        <v/>
      </c>
      <c r="I5676" s="101" t="str">
        <f t="shared" si="354"/>
        <v/>
      </c>
      <c r="J5676" s="140" t="str">
        <f t="shared" si="355"/>
        <v/>
      </c>
    </row>
    <row r="5677" spans="7:10" x14ac:dyDescent="0.25">
      <c r="G5677" s="105" t="str">
        <f t="shared" si="352"/>
        <v/>
      </c>
      <c r="H5677" s="101" t="str">
        <f t="shared" si="353"/>
        <v/>
      </c>
      <c r="I5677" s="101" t="str">
        <f t="shared" si="354"/>
        <v/>
      </c>
      <c r="J5677" s="140" t="str">
        <f t="shared" si="355"/>
        <v/>
      </c>
    </row>
    <row r="5678" spans="7:10" x14ac:dyDescent="0.25">
      <c r="G5678" s="105" t="str">
        <f t="shared" si="352"/>
        <v/>
      </c>
      <c r="H5678" s="101" t="str">
        <f t="shared" si="353"/>
        <v/>
      </c>
      <c r="I5678" s="101" t="str">
        <f t="shared" si="354"/>
        <v/>
      </c>
      <c r="J5678" s="140" t="str">
        <f t="shared" si="355"/>
        <v/>
      </c>
    </row>
    <row r="5679" spans="7:10" x14ac:dyDescent="0.25">
      <c r="G5679" s="105" t="str">
        <f t="shared" si="352"/>
        <v/>
      </c>
      <c r="H5679" s="101" t="str">
        <f t="shared" si="353"/>
        <v/>
      </c>
      <c r="I5679" s="101" t="str">
        <f t="shared" si="354"/>
        <v/>
      </c>
      <c r="J5679" s="140" t="str">
        <f t="shared" si="355"/>
        <v/>
      </c>
    </row>
    <row r="5680" spans="7:10" x14ac:dyDescent="0.25">
      <c r="G5680" s="105" t="str">
        <f t="shared" si="352"/>
        <v/>
      </c>
      <c r="H5680" s="101" t="str">
        <f t="shared" si="353"/>
        <v/>
      </c>
      <c r="I5680" s="101" t="str">
        <f t="shared" si="354"/>
        <v/>
      </c>
      <c r="J5680" s="140" t="str">
        <f t="shared" si="355"/>
        <v/>
      </c>
    </row>
    <row r="5681" spans="7:10" x14ac:dyDescent="0.25">
      <c r="G5681" s="105" t="str">
        <f t="shared" si="352"/>
        <v/>
      </c>
      <c r="H5681" s="101" t="str">
        <f t="shared" si="353"/>
        <v/>
      </c>
      <c r="I5681" s="101" t="str">
        <f t="shared" si="354"/>
        <v/>
      </c>
      <c r="J5681" s="140" t="str">
        <f t="shared" si="355"/>
        <v/>
      </c>
    </row>
    <row r="5682" spans="7:10" x14ac:dyDescent="0.25">
      <c r="G5682" s="105" t="str">
        <f t="shared" si="352"/>
        <v/>
      </c>
      <c r="H5682" s="101" t="str">
        <f t="shared" si="353"/>
        <v/>
      </c>
      <c r="I5682" s="101" t="str">
        <f t="shared" si="354"/>
        <v/>
      </c>
      <c r="J5682" s="140" t="str">
        <f t="shared" si="355"/>
        <v/>
      </c>
    </row>
    <row r="5683" spans="7:10" x14ac:dyDescent="0.25">
      <c r="G5683" s="105" t="str">
        <f t="shared" si="352"/>
        <v/>
      </c>
      <c r="H5683" s="101" t="str">
        <f t="shared" si="353"/>
        <v/>
      </c>
      <c r="I5683" s="101" t="str">
        <f t="shared" si="354"/>
        <v/>
      </c>
      <c r="J5683" s="140" t="str">
        <f t="shared" si="355"/>
        <v/>
      </c>
    </row>
    <row r="5684" spans="7:10" x14ac:dyDescent="0.25">
      <c r="G5684" s="105" t="str">
        <f t="shared" si="352"/>
        <v/>
      </c>
      <c r="H5684" s="101" t="str">
        <f t="shared" si="353"/>
        <v/>
      </c>
      <c r="I5684" s="101" t="str">
        <f t="shared" si="354"/>
        <v/>
      </c>
      <c r="J5684" s="140" t="str">
        <f t="shared" si="355"/>
        <v/>
      </c>
    </row>
    <row r="5685" spans="7:10" x14ac:dyDescent="0.25">
      <c r="G5685" s="105" t="str">
        <f t="shared" si="352"/>
        <v/>
      </c>
      <c r="H5685" s="101" t="str">
        <f t="shared" si="353"/>
        <v/>
      </c>
      <c r="I5685" s="101" t="str">
        <f t="shared" si="354"/>
        <v/>
      </c>
      <c r="J5685" s="140" t="str">
        <f t="shared" si="355"/>
        <v/>
      </c>
    </row>
    <row r="5686" spans="7:10" x14ac:dyDescent="0.25">
      <c r="G5686" s="105" t="str">
        <f t="shared" si="352"/>
        <v/>
      </c>
      <c r="H5686" s="101" t="str">
        <f t="shared" si="353"/>
        <v/>
      </c>
      <c r="I5686" s="101" t="str">
        <f t="shared" si="354"/>
        <v/>
      </c>
      <c r="J5686" s="140" t="str">
        <f t="shared" si="355"/>
        <v/>
      </c>
    </row>
    <row r="5687" spans="7:10" x14ac:dyDescent="0.25">
      <c r="G5687" s="105" t="str">
        <f t="shared" si="352"/>
        <v/>
      </c>
      <c r="H5687" s="101" t="str">
        <f t="shared" si="353"/>
        <v/>
      </c>
      <c r="I5687" s="101" t="str">
        <f t="shared" si="354"/>
        <v/>
      </c>
      <c r="J5687" s="140" t="str">
        <f t="shared" si="355"/>
        <v/>
      </c>
    </row>
    <row r="5688" spans="7:10" x14ac:dyDescent="0.25">
      <c r="G5688" s="105" t="str">
        <f t="shared" si="352"/>
        <v/>
      </c>
      <c r="H5688" s="101" t="str">
        <f t="shared" si="353"/>
        <v/>
      </c>
      <c r="I5688" s="101" t="str">
        <f t="shared" si="354"/>
        <v/>
      </c>
      <c r="J5688" s="140" t="str">
        <f t="shared" si="355"/>
        <v/>
      </c>
    </row>
    <row r="5689" spans="7:10" x14ac:dyDescent="0.25">
      <c r="G5689" s="105" t="str">
        <f t="shared" si="352"/>
        <v/>
      </c>
      <c r="H5689" s="101" t="str">
        <f t="shared" si="353"/>
        <v/>
      </c>
      <c r="I5689" s="101" t="str">
        <f t="shared" si="354"/>
        <v/>
      </c>
      <c r="J5689" s="140" t="str">
        <f t="shared" si="355"/>
        <v/>
      </c>
    </row>
    <row r="5690" spans="7:10" x14ac:dyDescent="0.25">
      <c r="G5690" s="105" t="str">
        <f t="shared" si="352"/>
        <v/>
      </c>
      <c r="H5690" s="101" t="str">
        <f t="shared" si="353"/>
        <v/>
      </c>
      <c r="I5690" s="101" t="str">
        <f t="shared" si="354"/>
        <v/>
      </c>
      <c r="J5690" s="140" t="str">
        <f t="shared" si="355"/>
        <v/>
      </c>
    </row>
    <row r="5691" spans="7:10" x14ac:dyDescent="0.25">
      <c r="G5691" s="105" t="str">
        <f t="shared" si="352"/>
        <v/>
      </c>
      <c r="H5691" s="101" t="str">
        <f t="shared" si="353"/>
        <v/>
      </c>
      <c r="I5691" s="101" t="str">
        <f t="shared" si="354"/>
        <v/>
      </c>
      <c r="J5691" s="140" t="str">
        <f t="shared" si="355"/>
        <v/>
      </c>
    </row>
    <row r="5692" spans="7:10" x14ac:dyDescent="0.25">
      <c r="G5692" s="105" t="str">
        <f t="shared" si="352"/>
        <v/>
      </c>
      <c r="H5692" s="101" t="str">
        <f t="shared" si="353"/>
        <v/>
      </c>
      <c r="I5692" s="101" t="str">
        <f t="shared" si="354"/>
        <v/>
      </c>
      <c r="J5692" s="140" t="str">
        <f t="shared" si="355"/>
        <v/>
      </c>
    </row>
    <row r="5693" spans="7:10" x14ac:dyDescent="0.25">
      <c r="G5693" s="105" t="str">
        <f t="shared" si="352"/>
        <v/>
      </c>
      <c r="H5693" s="101" t="str">
        <f t="shared" si="353"/>
        <v/>
      </c>
      <c r="I5693" s="101" t="str">
        <f t="shared" si="354"/>
        <v/>
      </c>
      <c r="J5693" s="140" t="str">
        <f t="shared" si="355"/>
        <v/>
      </c>
    </row>
    <row r="5694" spans="7:10" x14ac:dyDescent="0.25">
      <c r="G5694" s="105" t="str">
        <f t="shared" si="352"/>
        <v/>
      </c>
      <c r="H5694" s="101" t="str">
        <f t="shared" si="353"/>
        <v/>
      </c>
      <c r="I5694" s="101" t="str">
        <f t="shared" si="354"/>
        <v/>
      </c>
      <c r="J5694" s="140" t="str">
        <f t="shared" si="355"/>
        <v/>
      </c>
    </row>
    <row r="5695" spans="7:10" x14ac:dyDescent="0.25">
      <c r="G5695" s="105" t="str">
        <f t="shared" si="352"/>
        <v/>
      </c>
      <c r="H5695" s="101" t="str">
        <f t="shared" si="353"/>
        <v/>
      </c>
      <c r="I5695" s="101" t="str">
        <f t="shared" si="354"/>
        <v/>
      </c>
      <c r="J5695" s="140" t="str">
        <f t="shared" si="355"/>
        <v/>
      </c>
    </row>
    <row r="5696" spans="7:10" x14ac:dyDescent="0.25">
      <c r="G5696" s="105" t="str">
        <f t="shared" si="352"/>
        <v/>
      </c>
      <c r="H5696" s="101" t="str">
        <f t="shared" si="353"/>
        <v/>
      </c>
      <c r="I5696" s="101" t="str">
        <f t="shared" si="354"/>
        <v/>
      </c>
      <c r="J5696" s="140" t="str">
        <f t="shared" si="355"/>
        <v/>
      </c>
    </row>
    <row r="5697" spans="7:10" x14ac:dyDescent="0.25">
      <c r="G5697" s="105" t="str">
        <f t="shared" si="352"/>
        <v/>
      </c>
      <c r="H5697" s="101" t="str">
        <f t="shared" si="353"/>
        <v/>
      </c>
      <c r="I5697" s="101" t="str">
        <f t="shared" si="354"/>
        <v/>
      </c>
      <c r="J5697" s="140" t="str">
        <f t="shared" si="355"/>
        <v/>
      </c>
    </row>
    <row r="5698" spans="7:10" x14ac:dyDescent="0.25">
      <c r="G5698" s="105" t="str">
        <f t="shared" si="352"/>
        <v/>
      </c>
      <c r="H5698" s="101" t="str">
        <f t="shared" si="353"/>
        <v/>
      </c>
      <c r="I5698" s="101" t="str">
        <f t="shared" si="354"/>
        <v/>
      </c>
      <c r="J5698" s="140" t="str">
        <f t="shared" si="355"/>
        <v/>
      </c>
    </row>
    <row r="5699" spans="7:10" x14ac:dyDescent="0.25">
      <c r="G5699" s="105" t="str">
        <f t="shared" si="352"/>
        <v/>
      </c>
      <c r="H5699" s="101" t="str">
        <f t="shared" si="353"/>
        <v/>
      </c>
      <c r="I5699" s="101" t="str">
        <f t="shared" si="354"/>
        <v/>
      </c>
      <c r="J5699" s="140" t="str">
        <f t="shared" si="355"/>
        <v/>
      </c>
    </row>
    <row r="5700" spans="7:10" x14ac:dyDescent="0.25">
      <c r="G5700" s="105" t="str">
        <f t="shared" si="352"/>
        <v/>
      </c>
      <c r="H5700" s="101" t="str">
        <f t="shared" si="353"/>
        <v/>
      </c>
      <c r="I5700" s="101" t="str">
        <f t="shared" si="354"/>
        <v/>
      </c>
      <c r="J5700" s="140" t="str">
        <f t="shared" si="355"/>
        <v/>
      </c>
    </row>
    <row r="5701" spans="7:10" x14ac:dyDescent="0.25">
      <c r="G5701" s="105" t="str">
        <f t="shared" si="352"/>
        <v/>
      </c>
      <c r="H5701" s="101" t="str">
        <f t="shared" si="353"/>
        <v/>
      </c>
      <c r="I5701" s="101" t="str">
        <f t="shared" si="354"/>
        <v/>
      </c>
      <c r="J5701" s="140" t="str">
        <f t="shared" si="355"/>
        <v/>
      </c>
    </row>
    <row r="5702" spans="7:10" x14ac:dyDescent="0.25">
      <c r="G5702" s="105" t="str">
        <f t="shared" si="352"/>
        <v/>
      </c>
      <c r="H5702" s="101" t="str">
        <f t="shared" si="353"/>
        <v/>
      </c>
      <c r="I5702" s="101" t="str">
        <f t="shared" si="354"/>
        <v/>
      </c>
      <c r="J5702" s="140" t="str">
        <f t="shared" si="355"/>
        <v/>
      </c>
    </row>
    <row r="5703" spans="7:10" x14ac:dyDescent="0.25">
      <c r="G5703" s="105" t="str">
        <f t="shared" si="352"/>
        <v/>
      </c>
      <c r="H5703" s="101" t="str">
        <f t="shared" si="353"/>
        <v/>
      </c>
      <c r="I5703" s="101" t="str">
        <f t="shared" si="354"/>
        <v/>
      </c>
      <c r="J5703" s="140" t="str">
        <f t="shared" si="355"/>
        <v/>
      </c>
    </row>
    <row r="5704" spans="7:10" x14ac:dyDescent="0.25">
      <c r="G5704" s="105" t="str">
        <f t="shared" ref="G5704:G5767" si="356">IF(E5704="","",E5704+0)</f>
        <v/>
      </c>
      <c r="H5704" s="101" t="str">
        <f t="shared" ref="H5704:H5767" si="357">IF(G5704="","",TRIM(CONCATENATE("Sinapi ",A5704)))</f>
        <v/>
      </c>
      <c r="I5704" s="101" t="str">
        <f t="shared" ref="I5704:I5767" si="358">TRIM(C5704)</f>
        <v/>
      </c>
      <c r="J5704" s="140" t="str">
        <f t="shared" si="355"/>
        <v/>
      </c>
    </row>
    <row r="5705" spans="7:10" x14ac:dyDescent="0.25">
      <c r="G5705" s="105" t="str">
        <f t="shared" si="356"/>
        <v/>
      </c>
      <c r="H5705" s="101" t="str">
        <f t="shared" si="357"/>
        <v/>
      </c>
      <c r="I5705" s="101" t="str">
        <f t="shared" si="358"/>
        <v/>
      </c>
      <c r="J5705" s="140" t="str">
        <f t="shared" ref="J5705:J5768" si="359">TRIM(B5705)</f>
        <v/>
      </c>
    </row>
    <row r="5706" spans="7:10" x14ac:dyDescent="0.25">
      <c r="G5706" s="105" t="str">
        <f t="shared" si="356"/>
        <v/>
      </c>
      <c r="H5706" s="101" t="str">
        <f t="shared" si="357"/>
        <v/>
      </c>
      <c r="I5706" s="101" t="str">
        <f t="shared" si="358"/>
        <v/>
      </c>
      <c r="J5706" s="140" t="str">
        <f t="shared" si="359"/>
        <v/>
      </c>
    </row>
    <row r="5707" spans="7:10" x14ac:dyDescent="0.25">
      <c r="G5707" s="105" t="str">
        <f t="shared" si="356"/>
        <v/>
      </c>
      <c r="H5707" s="101" t="str">
        <f t="shared" si="357"/>
        <v/>
      </c>
      <c r="I5707" s="101" t="str">
        <f t="shared" si="358"/>
        <v/>
      </c>
      <c r="J5707" s="140" t="str">
        <f t="shared" si="359"/>
        <v/>
      </c>
    </row>
    <row r="5708" spans="7:10" x14ac:dyDescent="0.25">
      <c r="G5708" s="105" t="str">
        <f t="shared" si="356"/>
        <v/>
      </c>
      <c r="H5708" s="101" t="str">
        <f t="shared" si="357"/>
        <v/>
      </c>
      <c r="I5708" s="101" t="str">
        <f t="shared" si="358"/>
        <v/>
      </c>
      <c r="J5708" s="140" t="str">
        <f t="shared" si="359"/>
        <v/>
      </c>
    </row>
    <row r="5709" spans="7:10" x14ac:dyDescent="0.25">
      <c r="G5709" s="105" t="str">
        <f t="shared" si="356"/>
        <v/>
      </c>
      <c r="H5709" s="101" t="str">
        <f t="shared" si="357"/>
        <v/>
      </c>
      <c r="I5709" s="101" t="str">
        <f t="shared" si="358"/>
        <v/>
      </c>
      <c r="J5709" s="140" t="str">
        <f t="shared" si="359"/>
        <v/>
      </c>
    </row>
    <row r="5710" spans="7:10" x14ac:dyDescent="0.25">
      <c r="G5710" s="105" t="str">
        <f t="shared" si="356"/>
        <v/>
      </c>
      <c r="H5710" s="101" t="str">
        <f t="shared" si="357"/>
        <v/>
      </c>
      <c r="I5710" s="101" t="str">
        <f t="shared" si="358"/>
        <v/>
      </c>
      <c r="J5710" s="140" t="str">
        <f t="shared" si="359"/>
        <v/>
      </c>
    </row>
    <row r="5711" spans="7:10" x14ac:dyDescent="0.25">
      <c r="G5711" s="105" t="str">
        <f t="shared" si="356"/>
        <v/>
      </c>
      <c r="H5711" s="101" t="str">
        <f t="shared" si="357"/>
        <v/>
      </c>
      <c r="I5711" s="101" t="str">
        <f t="shared" si="358"/>
        <v/>
      </c>
      <c r="J5711" s="140" t="str">
        <f t="shared" si="359"/>
        <v/>
      </c>
    </row>
    <row r="5712" spans="7:10" x14ac:dyDescent="0.25">
      <c r="G5712" s="105" t="str">
        <f t="shared" si="356"/>
        <v/>
      </c>
      <c r="H5712" s="101" t="str">
        <f t="shared" si="357"/>
        <v/>
      </c>
      <c r="I5712" s="101" t="str">
        <f t="shared" si="358"/>
        <v/>
      </c>
      <c r="J5712" s="140" t="str">
        <f t="shared" si="359"/>
        <v/>
      </c>
    </row>
    <row r="5713" spans="7:10" x14ac:dyDescent="0.25">
      <c r="G5713" s="105" t="str">
        <f t="shared" si="356"/>
        <v/>
      </c>
      <c r="H5713" s="101" t="str">
        <f t="shared" si="357"/>
        <v/>
      </c>
      <c r="I5713" s="101" t="str">
        <f t="shared" si="358"/>
        <v/>
      </c>
      <c r="J5713" s="140" t="str">
        <f t="shared" si="359"/>
        <v/>
      </c>
    </row>
    <row r="5714" spans="7:10" x14ac:dyDescent="0.25">
      <c r="G5714" s="105" t="str">
        <f t="shared" si="356"/>
        <v/>
      </c>
      <c r="H5714" s="101" t="str">
        <f t="shared" si="357"/>
        <v/>
      </c>
      <c r="I5714" s="101" t="str">
        <f t="shared" si="358"/>
        <v/>
      </c>
      <c r="J5714" s="140" t="str">
        <f t="shared" si="359"/>
        <v/>
      </c>
    </row>
    <row r="5715" spans="7:10" x14ac:dyDescent="0.25">
      <c r="G5715" s="105" t="str">
        <f t="shared" si="356"/>
        <v/>
      </c>
      <c r="H5715" s="101" t="str">
        <f t="shared" si="357"/>
        <v/>
      </c>
      <c r="I5715" s="101" t="str">
        <f t="shared" si="358"/>
        <v/>
      </c>
      <c r="J5715" s="140" t="str">
        <f t="shared" si="359"/>
        <v/>
      </c>
    </row>
    <row r="5716" spans="7:10" x14ac:dyDescent="0.25">
      <c r="G5716" s="105" t="str">
        <f t="shared" si="356"/>
        <v/>
      </c>
      <c r="H5716" s="101" t="str">
        <f t="shared" si="357"/>
        <v/>
      </c>
      <c r="I5716" s="101" t="str">
        <f t="shared" si="358"/>
        <v/>
      </c>
      <c r="J5716" s="140" t="str">
        <f t="shared" si="359"/>
        <v/>
      </c>
    </row>
    <row r="5717" spans="7:10" x14ac:dyDescent="0.25">
      <c r="G5717" s="105" t="str">
        <f t="shared" si="356"/>
        <v/>
      </c>
      <c r="H5717" s="101" t="str">
        <f t="shared" si="357"/>
        <v/>
      </c>
      <c r="I5717" s="101" t="str">
        <f t="shared" si="358"/>
        <v/>
      </c>
      <c r="J5717" s="140" t="str">
        <f t="shared" si="359"/>
        <v/>
      </c>
    </row>
    <row r="5718" spans="7:10" x14ac:dyDescent="0.25">
      <c r="G5718" s="105" t="str">
        <f t="shared" si="356"/>
        <v/>
      </c>
      <c r="H5718" s="101" t="str">
        <f t="shared" si="357"/>
        <v/>
      </c>
      <c r="I5718" s="101" t="str">
        <f t="shared" si="358"/>
        <v/>
      </c>
      <c r="J5718" s="140" t="str">
        <f t="shared" si="359"/>
        <v/>
      </c>
    </row>
    <row r="5719" spans="7:10" x14ac:dyDescent="0.25">
      <c r="G5719" s="105" t="str">
        <f t="shared" si="356"/>
        <v/>
      </c>
      <c r="H5719" s="101" t="str">
        <f t="shared" si="357"/>
        <v/>
      </c>
      <c r="I5719" s="101" t="str">
        <f t="shared" si="358"/>
        <v/>
      </c>
      <c r="J5719" s="140" t="str">
        <f t="shared" si="359"/>
        <v/>
      </c>
    </row>
    <row r="5720" spans="7:10" x14ac:dyDescent="0.25">
      <c r="G5720" s="105" t="str">
        <f t="shared" si="356"/>
        <v/>
      </c>
      <c r="H5720" s="101" t="str">
        <f t="shared" si="357"/>
        <v/>
      </c>
      <c r="I5720" s="101" t="str">
        <f t="shared" si="358"/>
        <v/>
      </c>
      <c r="J5720" s="140" t="str">
        <f t="shared" si="359"/>
        <v/>
      </c>
    </row>
    <row r="5721" spans="7:10" x14ac:dyDescent="0.25">
      <c r="G5721" s="105" t="str">
        <f t="shared" si="356"/>
        <v/>
      </c>
      <c r="H5721" s="101" t="str">
        <f t="shared" si="357"/>
        <v/>
      </c>
      <c r="I5721" s="101" t="str">
        <f t="shared" si="358"/>
        <v/>
      </c>
      <c r="J5721" s="140" t="str">
        <f t="shared" si="359"/>
        <v/>
      </c>
    </row>
    <row r="5722" spans="7:10" x14ac:dyDescent="0.25">
      <c r="G5722" s="105" t="str">
        <f t="shared" si="356"/>
        <v/>
      </c>
      <c r="H5722" s="101" t="str">
        <f t="shared" si="357"/>
        <v/>
      </c>
      <c r="I5722" s="101" t="str">
        <f t="shared" si="358"/>
        <v/>
      </c>
      <c r="J5722" s="140" t="str">
        <f t="shared" si="359"/>
        <v/>
      </c>
    </row>
    <row r="5723" spans="7:10" x14ac:dyDescent="0.25">
      <c r="G5723" s="105" t="str">
        <f t="shared" si="356"/>
        <v/>
      </c>
      <c r="H5723" s="101" t="str">
        <f t="shared" si="357"/>
        <v/>
      </c>
      <c r="I5723" s="101" t="str">
        <f t="shared" si="358"/>
        <v/>
      </c>
      <c r="J5723" s="140" t="str">
        <f t="shared" si="359"/>
        <v/>
      </c>
    </row>
    <row r="5724" spans="7:10" x14ac:dyDescent="0.25">
      <c r="G5724" s="105" t="str">
        <f t="shared" si="356"/>
        <v/>
      </c>
      <c r="H5724" s="101" t="str">
        <f t="shared" si="357"/>
        <v/>
      </c>
      <c r="I5724" s="101" t="str">
        <f t="shared" si="358"/>
        <v/>
      </c>
      <c r="J5724" s="140" t="str">
        <f t="shared" si="359"/>
        <v/>
      </c>
    </row>
    <row r="5725" spans="7:10" x14ac:dyDescent="0.25">
      <c r="G5725" s="105" t="str">
        <f t="shared" si="356"/>
        <v/>
      </c>
      <c r="H5725" s="101" t="str">
        <f t="shared" si="357"/>
        <v/>
      </c>
      <c r="I5725" s="101" t="str">
        <f t="shared" si="358"/>
        <v/>
      </c>
      <c r="J5725" s="140" t="str">
        <f t="shared" si="359"/>
        <v/>
      </c>
    </row>
    <row r="5726" spans="7:10" x14ac:dyDescent="0.25">
      <c r="G5726" s="105" t="str">
        <f t="shared" si="356"/>
        <v/>
      </c>
      <c r="H5726" s="101" t="str">
        <f t="shared" si="357"/>
        <v/>
      </c>
      <c r="I5726" s="101" t="str">
        <f t="shared" si="358"/>
        <v/>
      </c>
      <c r="J5726" s="140" t="str">
        <f t="shared" si="359"/>
        <v/>
      </c>
    </row>
    <row r="5727" spans="7:10" x14ac:dyDescent="0.25">
      <c r="G5727" s="105" t="str">
        <f t="shared" si="356"/>
        <v/>
      </c>
      <c r="H5727" s="101" t="str">
        <f t="shared" si="357"/>
        <v/>
      </c>
      <c r="I5727" s="101" t="str">
        <f t="shared" si="358"/>
        <v/>
      </c>
      <c r="J5727" s="140" t="str">
        <f t="shared" si="359"/>
        <v/>
      </c>
    </row>
    <row r="5728" spans="7:10" x14ac:dyDescent="0.25">
      <c r="G5728" s="105" t="str">
        <f t="shared" si="356"/>
        <v/>
      </c>
      <c r="H5728" s="101" t="str">
        <f t="shared" si="357"/>
        <v/>
      </c>
      <c r="I5728" s="101" t="str">
        <f t="shared" si="358"/>
        <v/>
      </c>
      <c r="J5728" s="140" t="str">
        <f t="shared" si="359"/>
        <v/>
      </c>
    </row>
    <row r="5729" spans="7:10" x14ac:dyDescent="0.25">
      <c r="G5729" s="105" t="str">
        <f t="shared" si="356"/>
        <v/>
      </c>
      <c r="H5729" s="101" t="str">
        <f t="shared" si="357"/>
        <v/>
      </c>
      <c r="I5729" s="101" t="str">
        <f t="shared" si="358"/>
        <v/>
      </c>
      <c r="J5729" s="140" t="str">
        <f t="shared" si="359"/>
        <v/>
      </c>
    </row>
    <row r="5730" spans="7:10" x14ac:dyDescent="0.25">
      <c r="G5730" s="105" t="str">
        <f t="shared" si="356"/>
        <v/>
      </c>
      <c r="H5730" s="101" t="str">
        <f t="shared" si="357"/>
        <v/>
      </c>
      <c r="I5730" s="101" t="str">
        <f t="shared" si="358"/>
        <v/>
      </c>
      <c r="J5730" s="140" t="str">
        <f t="shared" si="359"/>
        <v/>
      </c>
    </row>
    <row r="5731" spans="7:10" x14ac:dyDescent="0.25">
      <c r="G5731" s="105" t="str">
        <f t="shared" si="356"/>
        <v/>
      </c>
      <c r="H5731" s="101" t="str">
        <f t="shared" si="357"/>
        <v/>
      </c>
      <c r="I5731" s="101" t="str">
        <f t="shared" si="358"/>
        <v/>
      </c>
      <c r="J5731" s="140" t="str">
        <f t="shared" si="359"/>
        <v/>
      </c>
    </row>
    <row r="5732" spans="7:10" x14ac:dyDescent="0.25">
      <c r="G5732" s="105" t="str">
        <f t="shared" si="356"/>
        <v/>
      </c>
      <c r="H5732" s="101" t="str">
        <f t="shared" si="357"/>
        <v/>
      </c>
      <c r="I5732" s="101" t="str">
        <f t="shared" si="358"/>
        <v/>
      </c>
      <c r="J5732" s="140" t="str">
        <f t="shared" si="359"/>
        <v/>
      </c>
    </row>
    <row r="5733" spans="7:10" x14ac:dyDescent="0.25">
      <c r="G5733" s="105" t="str">
        <f t="shared" si="356"/>
        <v/>
      </c>
      <c r="H5733" s="101" t="str">
        <f t="shared" si="357"/>
        <v/>
      </c>
      <c r="I5733" s="101" t="str">
        <f t="shared" si="358"/>
        <v/>
      </c>
      <c r="J5733" s="140" t="str">
        <f t="shared" si="359"/>
        <v/>
      </c>
    </row>
    <row r="5734" spans="7:10" x14ac:dyDescent="0.25">
      <c r="G5734" s="105" t="str">
        <f t="shared" si="356"/>
        <v/>
      </c>
      <c r="H5734" s="101" t="str">
        <f t="shared" si="357"/>
        <v/>
      </c>
      <c r="I5734" s="101" t="str">
        <f t="shared" si="358"/>
        <v/>
      </c>
      <c r="J5734" s="140" t="str">
        <f t="shared" si="359"/>
        <v/>
      </c>
    </row>
    <row r="5735" spans="7:10" x14ac:dyDescent="0.25">
      <c r="G5735" s="105" t="str">
        <f t="shared" si="356"/>
        <v/>
      </c>
      <c r="H5735" s="101" t="str">
        <f t="shared" si="357"/>
        <v/>
      </c>
      <c r="I5735" s="101" t="str">
        <f t="shared" si="358"/>
        <v/>
      </c>
      <c r="J5735" s="140" t="str">
        <f t="shared" si="359"/>
        <v/>
      </c>
    </row>
    <row r="5736" spans="7:10" x14ac:dyDescent="0.25">
      <c r="G5736" s="105" t="str">
        <f t="shared" si="356"/>
        <v/>
      </c>
      <c r="H5736" s="101" t="str">
        <f t="shared" si="357"/>
        <v/>
      </c>
      <c r="I5736" s="101" t="str">
        <f t="shared" si="358"/>
        <v/>
      </c>
      <c r="J5736" s="140" t="str">
        <f t="shared" si="359"/>
        <v/>
      </c>
    </row>
    <row r="5737" spans="7:10" x14ac:dyDescent="0.25">
      <c r="G5737" s="105" t="str">
        <f t="shared" si="356"/>
        <v/>
      </c>
      <c r="H5737" s="101" t="str">
        <f t="shared" si="357"/>
        <v/>
      </c>
      <c r="I5737" s="101" t="str">
        <f t="shared" si="358"/>
        <v/>
      </c>
      <c r="J5737" s="140" t="str">
        <f t="shared" si="359"/>
        <v/>
      </c>
    </row>
    <row r="5738" spans="7:10" x14ac:dyDescent="0.25">
      <c r="G5738" s="105" t="str">
        <f t="shared" si="356"/>
        <v/>
      </c>
      <c r="H5738" s="101" t="str">
        <f t="shared" si="357"/>
        <v/>
      </c>
      <c r="I5738" s="101" t="str">
        <f t="shared" si="358"/>
        <v/>
      </c>
      <c r="J5738" s="140" t="str">
        <f t="shared" si="359"/>
        <v/>
      </c>
    </row>
    <row r="5739" spans="7:10" x14ac:dyDescent="0.25">
      <c r="G5739" s="105" t="str">
        <f t="shared" si="356"/>
        <v/>
      </c>
      <c r="H5739" s="101" t="str">
        <f t="shared" si="357"/>
        <v/>
      </c>
      <c r="I5739" s="101" t="str">
        <f t="shared" si="358"/>
        <v/>
      </c>
      <c r="J5739" s="140" t="str">
        <f t="shared" si="359"/>
        <v/>
      </c>
    </row>
    <row r="5740" spans="7:10" x14ac:dyDescent="0.25">
      <c r="G5740" s="105" t="str">
        <f t="shared" si="356"/>
        <v/>
      </c>
      <c r="H5740" s="101" t="str">
        <f t="shared" si="357"/>
        <v/>
      </c>
      <c r="I5740" s="101" t="str">
        <f t="shared" si="358"/>
        <v/>
      </c>
      <c r="J5740" s="140" t="str">
        <f t="shared" si="359"/>
        <v/>
      </c>
    </row>
    <row r="5741" spans="7:10" x14ac:dyDescent="0.25">
      <c r="G5741" s="105" t="str">
        <f t="shared" si="356"/>
        <v/>
      </c>
      <c r="H5741" s="101" t="str">
        <f t="shared" si="357"/>
        <v/>
      </c>
      <c r="I5741" s="101" t="str">
        <f t="shared" si="358"/>
        <v/>
      </c>
      <c r="J5741" s="140" t="str">
        <f t="shared" si="359"/>
        <v/>
      </c>
    </row>
    <row r="5742" spans="7:10" x14ac:dyDescent="0.25">
      <c r="G5742" s="105" t="str">
        <f t="shared" si="356"/>
        <v/>
      </c>
      <c r="H5742" s="101" t="str">
        <f t="shared" si="357"/>
        <v/>
      </c>
      <c r="I5742" s="101" t="str">
        <f t="shared" si="358"/>
        <v/>
      </c>
      <c r="J5742" s="140" t="str">
        <f t="shared" si="359"/>
        <v/>
      </c>
    </row>
    <row r="5743" spans="7:10" x14ac:dyDescent="0.25">
      <c r="G5743" s="105" t="str">
        <f t="shared" si="356"/>
        <v/>
      </c>
      <c r="H5743" s="101" t="str">
        <f t="shared" si="357"/>
        <v/>
      </c>
      <c r="I5743" s="101" t="str">
        <f t="shared" si="358"/>
        <v/>
      </c>
      <c r="J5743" s="140" t="str">
        <f t="shared" si="359"/>
        <v/>
      </c>
    </row>
    <row r="5744" spans="7:10" x14ac:dyDescent="0.25">
      <c r="G5744" s="105" t="str">
        <f t="shared" si="356"/>
        <v/>
      </c>
      <c r="H5744" s="101" t="str">
        <f t="shared" si="357"/>
        <v/>
      </c>
      <c r="I5744" s="101" t="str">
        <f t="shared" si="358"/>
        <v/>
      </c>
      <c r="J5744" s="140" t="str">
        <f t="shared" si="359"/>
        <v/>
      </c>
    </row>
    <row r="5745" spans="7:10" x14ac:dyDescent="0.25">
      <c r="G5745" s="105" t="str">
        <f t="shared" si="356"/>
        <v/>
      </c>
      <c r="H5745" s="101" t="str">
        <f t="shared" si="357"/>
        <v/>
      </c>
      <c r="I5745" s="101" t="str">
        <f t="shared" si="358"/>
        <v/>
      </c>
      <c r="J5745" s="140" t="str">
        <f t="shared" si="359"/>
        <v/>
      </c>
    </row>
    <row r="5746" spans="7:10" x14ac:dyDescent="0.25">
      <c r="G5746" s="105" t="str">
        <f t="shared" si="356"/>
        <v/>
      </c>
      <c r="H5746" s="101" t="str">
        <f t="shared" si="357"/>
        <v/>
      </c>
      <c r="I5746" s="101" t="str">
        <f t="shared" si="358"/>
        <v/>
      </c>
      <c r="J5746" s="140" t="str">
        <f t="shared" si="359"/>
        <v/>
      </c>
    </row>
    <row r="5747" spans="7:10" x14ac:dyDescent="0.25">
      <c r="G5747" s="105" t="str">
        <f t="shared" si="356"/>
        <v/>
      </c>
      <c r="H5747" s="101" t="str">
        <f t="shared" si="357"/>
        <v/>
      </c>
      <c r="I5747" s="101" t="str">
        <f t="shared" si="358"/>
        <v/>
      </c>
      <c r="J5747" s="140" t="str">
        <f t="shared" si="359"/>
        <v/>
      </c>
    </row>
    <row r="5748" spans="7:10" x14ac:dyDescent="0.25">
      <c r="G5748" s="105" t="str">
        <f t="shared" si="356"/>
        <v/>
      </c>
      <c r="H5748" s="101" t="str">
        <f t="shared" si="357"/>
        <v/>
      </c>
      <c r="I5748" s="101" t="str">
        <f t="shared" si="358"/>
        <v/>
      </c>
      <c r="J5748" s="140" t="str">
        <f t="shared" si="359"/>
        <v/>
      </c>
    </row>
    <row r="5749" spans="7:10" x14ac:dyDescent="0.25">
      <c r="G5749" s="105" t="str">
        <f t="shared" si="356"/>
        <v/>
      </c>
      <c r="H5749" s="101" t="str">
        <f t="shared" si="357"/>
        <v/>
      </c>
      <c r="I5749" s="101" t="str">
        <f t="shared" si="358"/>
        <v/>
      </c>
      <c r="J5749" s="140" t="str">
        <f t="shared" si="359"/>
        <v/>
      </c>
    </row>
    <row r="5750" spans="7:10" x14ac:dyDescent="0.25">
      <c r="G5750" s="105" t="str">
        <f t="shared" si="356"/>
        <v/>
      </c>
      <c r="H5750" s="101" t="str">
        <f t="shared" si="357"/>
        <v/>
      </c>
      <c r="I5750" s="101" t="str">
        <f t="shared" si="358"/>
        <v/>
      </c>
      <c r="J5750" s="140" t="str">
        <f t="shared" si="359"/>
        <v/>
      </c>
    </row>
    <row r="5751" spans="7:10" x14ac:dyDescent="0.25">
      <c r="G5751" s="105" t="str">
        <f t="shared" si="356"/>
        <v/>
      </c>
      <c r="H5751" s="101" t="str">
        <f t="shared" si="357"/>
        <v/>
      </c>
      <c r="I5751" s="101" t="str">
        <f t="shared" si="358"/>
        <v/>
      </c>
      <c r="J5751" s="140" t="str">
        <f t="shared" si="359"/>
        <v/>
      </c>
    </row>
    <row r="5752" spans="7:10" x14ac:dyDescent="0.25">
      <c r="G5752" s="105" t="str">
        <f t="shared" si="356"/>
        <v/>
      </c>
      <c r="H5752" s="101" t="str">
        <f t="shared" si="357"/>
        <v/>
      </c>
      <c r="I5752" s="101" t="str">
        <f t="shared" si="358"/>
        <v/>
      </c>
      <c r="J5752" s="140" t="str">
        <f t="shared" si="359"/>
        <v/>
      </c>
    </row>
    <row r="5753" spans="7:10" x14ac:dyDescent="0.25">
      <c r="G5753" s="105" t="str">
        <f t="shared" si="356"/>
        <v/>
      </c>
      <c r="H5753" s="101" t="str">
        <f t="shared" si="357"/>
        <v/>
      </c>
      <c r="I5753" s="101" t="str">
        <f t="shared" si="358"/>
        <v/>
      </c>
      <c r="J5753" s="140" t="str">
        <f t="shared" si="359"/>
        <v/>
      </c>
    </row>
    <row r="5754" spans="7:10" x14ac:dyDescent="0.25">
      <c r="G5754" s="105" t="str">
        <f t="shared" si="356"/>
        <v/>
      </c>
      <c r="H5754" s="101" t="str">
        <f t="shared" si="357"/>
        <v/>
      </c>
      <c r="I5754" s="101" t="str">
        <f t="shared" si="358"/>
        <v/>
      </c>
      <c r="J5754" s="140" t="str">
        <f t="shared" si="359"/>
        <v/>
      </c>
    </row>
    <row r="5755" spans="7:10" x14ac:dyDescent="0.25">
      <c r="G5755" s="105" t="str">
        <f t="shared" si="356"/>
        <v/>
      </c>
      <c r="H5755" s="101" t="str">
        <f t="shared" si="357"/>
        <v/>
      </c>
      <c r="I5755" s="101" t="str">
        <f t="shared" si="358"/>
        <v/>
      </c>
      <c r="J5755" s="140" t="str">
        <f t="shared" si="359"/>
        <v/>
      </c>
    </row>
    <row r="5756" spans="7:10" x14ac:dyDescent="0.25">
      <c r="G5756" s="105" t="str">
        <f t="shared" si="356"/>
        <v/>
      </c>
      <c r="H5756" s="101" t="str">
        <f t="shared" si="357"/>
        <v/>
      </c>
      <c r="I5756" s="101" t="str">
        <f t="shared" si="358"/>
        <v/>
      </c>
      <c r="J5756" s="140" t="str">
        <f t="shared" si="359"/>
        <v/>
      </c>
    </row>
    <row r="5757" spans="7:10" x14ac:dyDescent="0.25">
      <c r="G5757" s="105" t="str">
        <f t="shared" si="356"/>
        <v/>
      </c>
      <c r="H5757" s="101" t="str">
        <f t="shared" si="357"/>
        <v/>
      </c>
      <c r="I5757" s="101" t="str">
        <f t="shared" si="358"/>
        <v/>
      </c>
      <c r="J5757" s="140" t="str">
        <f t="shared" si="359"/>
        <v/>
      </c>
    </row>
    <row r="5758" spans="7:10" x14ac:dyDescent="0.25">
      <c r="G5758" s="105" t="str">
        <f t="shared" si="356"/>
        <v/>
      </c>
      <c r="H5758" s="101" t="str">
        <f t="shared" si="357"/>
        <v/>
      </c>
      <c r="I5758" s="101" t="str">
        <f t="shared" si="358"/>
        <v/>
      </c>
      <c r="J5758" s="140" t="str">
        <f t="shared" si="359"/>
        <v/>
      </c>
    </row>
    <row r="5759" spans="7:10" x14ac:dyDescent="0.25">
      <c r="G5759" s="105" t="str">
        <f t="shared" si="356"/>
        <v/>
      </c>
      <c r="H5759" s="101" t="str">
        <f t="shared" si="357"/>
        <v/>
      </c>
      <c r="I5759" s="101" t="str">
        <f t="shared" si="358"/>
        <v/>
      </c>
      <c r="J5759" s="140" t="str">
        <f t="shared" si="359"/>
        <v/>
      </c>
    </row>
    <row r="5760" spans="7:10" x14ac:dyDescent="0.25">
      <c r="G5760" s="105" t="str">
        <f t="shared" si="356"/>
        <v/>
      </c>
      <c r="H5760" s="101" t="str">
        <f t="shared" si="357"/>
        <v/>
      </c>
      <c r="I5760" s="101" t="str">
        <f t="shared" si="358"/>
        <v/>
      </c>
      <c r="J5760" s="140" t="str">
        <f t="shared" si="359"/>
        <v/>
      </c>
    </row>
    <row r="5761" spans="7:10" x14ac:dyDescent="0.25">
      <c r="G5761" s="105" t="str">
        <f t="shared" si="356"/>
        <v/>
      </c>
      <c r="H5761" s="101" t="str">
        <f t="shared" si="357"/>
        <v/>
      </c>
      <c r="I5761" s="101" t="str">
        <f t="shared" si="358"/>
        <v/>
      </c>
      <c r="J5761" s="140" t="str">
        <f t="shared" si="359"/>
        <v/>
      </c>
    </row>
    <row r="5762" spans="7:10" x14ac:dyDescent="0.25">
      <c r="G5762" s="105" t="str">
        <f t="shared" si="356"/>
        <v/>
      </c>
      <c r="H5762" s="101" t="str">
        <f t="shared" si="357"/>
        <v/>
      </c>
      <c r="I5762" s="101" t="str">
        <f t="shared" si="358"/>
        <v/>
      </c>
      <c r="J5762" s="140" t="str">
        <f t="shared" si="359"/>
        <v/>
      </c>
    </row>
    <row r="5763" spans="7:10" x14ac:dyDescent="0.25">
      <c r="G5763" s="105" t="str">
        <f t="shared" si="356"/>
        <v/>
      </c>
      <c r="H5763" s="101" t="str">
        <f t="shared" si="357"/>
        <v/>
      </c>
      <c r="I5763" s="101" t="str">
        <f t="shared" si="358"/>
        <v/>
      </c>
      <c r="J5763" s="140" t="str">
        <f t="shared" si="359"/>
        <v/>
      </c>
    </row>
    <row r="5764" spans="7:10" x14ac:dyDescent="0.25">
      <c r="G5764" s="105" t="str">
        <f t="shared" si="356"/>
        <v/>
      </c>
      <c r="H5764" s="101" t="str">
        <f t="shared" si="357"/>
        <v/>
      </c>
      <c r="I5764" s="101" t="str">
        <f t="shared" si="358"/>
        <v/>
      </c>
      <c r="J5764" s="140" t="str">
        <f t="shared" si="359"/>
        <v/>
      </c>
    </row>
    <row r="5765" spans="7:10" x14ac:dyDescent="0.25">
      <c r="G5765" s="105" t="str">
        <f t="shared" si="356"/>
        <v/>
      </c>
      <c r="H5765" s="101" t="str">
        <f t="shared" si="357"/>
        <v/>
      </c>
      <c r="I5765" s="101" t="str">
        <f t="shared" si="358"/>
        <v/>
      </c>
      <c r="J5765" s="140" t="str">
        <f t="shared" si="359"/>
        <v/>
      </c>
    </row>
    <row r="5766" spans="7:10" x14ac:dyDescent="0.25">
      <c r="G5766" s="105" t="str">
        <f t="shared" si="356"/>
        <v/>
      </c>
      <c r="H5766" s="101" t="str">
        <f t="shared" si="357"/>
        <v/>
      </c>
      <c r="I5766" s="101" t="str">
        <f t="shared" si="358"/>
        <v/>
      </c>
      <c r="J5766" s="140" t="str">
        <f t="shared" si="359"/>
        <v/>
      </c>
    </row>
    <row r="5767" spans="7:10" x14ac:dyDescent="0.25">
      <c r="G5767" s="105" t="str">
        <f t="shared" si="356"/>
        <v/>
      </c>
      <c r="H5767" s="101" t="str">
        <f t="shared" si="357"/>
        <v/>
      </c>
      <c r="I5767" s="101" t="str">
        <f t="shared" si="358"/>
        <v/>
      </c>
      <c r="J5767" s="140" t="str">
        <f t="shared" si="359"/>
        <v/>
      </c>
    </row>
    <row r="5768" spans="7:10" x14ac:dyDescent="0.25">
      <c r="G5768" s="105" t="str">
        <f t="shared" ref="G5768:G5831" si="360">IF(E5768="","",E5768+0)</f>
        <v/>
      </c>
      <c r="H5768" s="101" t="str">
        <f t="shared" ref="H5768:H5831" si="361">IF(G5768="","",TRIM(CONCATENATE("Sinapi ",A5768)))</f>
        <v/>
      </c>
      <c r="I5768" s="101" t="str">
        <f t="shared" ref="I5768:I5831" si="362">TRIM(C5768)</f>
        <v/>
      </c>
      <c r="J5768" s="140" t="str">
        <f t="shared" si="359"/>
        <v/>
      </c>
    </row>
    <row r="5769" spans="7:10" x14ac:dyDescent="0.25">
      <c r="G5769" s="105" t="str">
        <f t="shared" si="360"/>
        <v/>
      </c>
      <c r="H5769" s="101" t="str">
        <f t="shared" si="361"/>
        <v/>
      </c>
      <c r="I5769" s="101" t="str">
        <f t="shared" si="362"/>
        <v/>
      </c>
      <c r="J5769" s="140" t="str">
        <f t="shared" ref="J5769:J5832" si="363">TRIM(B5769)</f>
        <v/>
      </c>
    </row>
    <row r="5770" spans="7:10" x14ac:dyDescent="0.25">
      <c r="G5770" s="105" t="str">
        <f t="shared" si="360"/>
        <v/>
      </c>
      <c r="H5770" s="101" t="str">
        <f t="shared" si="361"/>
        <v/>
      </c>
      <c r="I5770" s="101" t="str">
        <f t="shared" si="362"/>
        <v/>
      </c>
      <c r="J5770" s="140" t="str">
        <f t="shared" si="363"/>
        <v/>
      </c>
    </row>
    <row r="5771" spans="7:10" x14ac:dyDescent="0.25">
      <c r="G5771" s="105" t="str">
        <f t="shared" si="360"/>
        <v/>
      </c>
      <c r="H5771" s="101" t="str">
        <f t="shared" si="361"/>
        <v/>
      </c>
      <c r="I5771" s="101" t="str">
        <f t="shared" si="362"/>
        <v/>
      </c>
      <c r="J5771" s="140" t="str">
        <f t="shared" si="363"/>
        <v/>
      </c>
    </row>
    <row r="5772" spans="7:10" x14ac:dyDescent="0.25">
      <c r="G5772" s="105" t="str">
        <f t="shared" si="360"/>
        <v/>
      </c>
      <c r="H5772" s="101" t="str">
        <f t="shared" si="361"/>
        <v/>
      </c>
      <c r="I5772" s="101" t="str">
        <f t="shared" si="362"/>
        <v/>
      </c>
      <c r="J5772" s="140" t="str">
        <f t="shared" si="363"/>
        <v/>
      </c>
    </row>
    <row r="5773" spans="7:10" x14ac:dyDescent="0.25">
      <c r="G5773" s="105" t="str">
        <f t="shared" si="360"/>
        <v/>
      </c>
      <c r="H5773" s="101" t="str">
        <f t="shared" si="361"/>
        <v/>
      </c>
      <c r="I5773" s="101" t="str">
        <f t="shared" si="362"/>
        <v/>
      </c>
      <c r="J5773" s="140" t="str">
        <f t="shared" si="363"/>
        <v/>
      </c>
    </row>
    <row r="5774" spans="7:10" x14ac:dyDescent="0.25">
      <c r="G5774" s="105" t="str">
        <f t="shared" si="360"/>
        <v/>
      </c>
      <c r="H5774" s="101" t="str">
        <f t="shared" si="361"/>
        <v/>
      </c>
      <c r="I5774" s="101" t="str">
        <f t="shared" si="362"/>
        <v/>
      </c>
      <c r="J5774" s="140" t="str">
        <f t="shared" si="363"/>
        <v/>
      </c>
    </row>
    <row r="5775" spans="7:10" x14ac:dyDescent="0.25">
      <c r="G5775" s="105" t="str">
        <f t="shared" si="360"/>
        <v/>
      </c>
      <c r="H5775" s="101" t="str">
        <f t="shared" si="361"/>
        <v/>
      </c>
      <c r="I5775" s="101" t="str">
        <f t="shared" si="362"/>
        <v/>
      </c>
      <c r="J5775" s="140" t="str">
        <f t="shared" si="363"/>
        <v/>
      </c>
    </row>
    <row r="5776" spans="7:10" x14ac:dyDescent="0.25">
      <c r="G5776" s="105" t="str">
        <f t="shared" si="360"/>
        <v/>
      </c>
      <c r="H5776" s="101" t="str">
        <f t="shared" si="361"/>
        <v/>
      </c>
      <c r="I5776" s="101" t="str">
        <f t="shared" si="362"/>
        <v/>
      </c>
      <c r="J5776" s="140" t="str">
        <f t="shared" si="363"/>
        <v/>
      </c>
    </row>
    <row r="5777" spans="7:10" x14ac:dyDescent="0.25">
      <c r="G5777" s="105" t="str">
        <f t="shared" si="360"/>
        <v/>
      </c>
      <c r="H5777" s="101" t="str">
        <f t="shared" si="361"/>
        <v/>
      </c>
      <c r="I5777" s="101" t="str">
        <f t="shared" si="362"/>
        <v/>
      </c>
      <c r="J5777" s="140" t="str">
        <f t="shared" si="363"/>
        <v/>
      </c>
    </row>
    <row r="5778" spans="7:10" x14ac:dyDescent="0.25">
      <c r="G5778" s="105" t="str">
        <f t="shared" si="360"/>
        <v/>
      </c>
      <c r="H5778" s="101" t="str">
        <f t="shared" si="361"/>
        <v/>
      </c>
      <c r="I5778" s="101" t="str">
        <f t="shared" si="362"/>
        <v/>
      </c>
      <c r="J5778" s="140" t="str">
        <f t="shared" si="363"/>
        <v/>
      </c>
    </row>
    <row r="5779" spans="7:10" x14ac:dyDescent="0.25">
      <c r="G5779" s="105" t="str">
        <f t="shared" si="360"/>
        <v/>
      </c>
      <c r="H5779" s="101" t="str">
        <f t="shared" si="361"/>
        <v/>
      </c>
      <c r="I5779" s="101" t="str">
        <f t="shared" si="362"/>
        <v/>
      </c>
      <c r="J5779" s="140" t="str">
        <f t="shared" si="363"/>
        <v/>
      </c>
    </row>
    <row r="5780" spans="7:10" x14ac:dyDescent="0.25">
      <c r="G5780" s="105" t="str">
        <f t="shared" si="360"/>
        <v/>
      </c>
      <c r="H5780" s="101" t="str">
        <f t="shared" si="361"/>
        <v/>
      </c>
      <c r="I5780" s="101" t="str">
        <f t="shared" si="362"/>
        <v/>
      </c>
      <c r="J5780" s="140" t="str">
        <f t="shared" si="363"/>
        <v/>
      </c>
    </row>
    <row r="5781" spans="7:10" x14ac:dyDescent="0.25">
      <c r="G5781" s="105" t="str">
        <f t="shared" si="360"/>
        <v/>
      </c>
      <c r="H5781" s="101" t="str">
        <f t="shared" si="361"/>
        <v/>
      </c>
      <c r="I5781" s="101" t="str">
        <f t="shared" si="362"/>
        <v/>
      </c>
      <c r="J5781" s="140" t="str">
        <f t="shared" si="363"/>
        <v/>
      </c>
    </row>
    <row r="5782" spans="7:10" x14ac:dyDescent="0.25">
      <c r="G5782" s="105" t="str">
        <f t="shared" si="360"/>
        <v/>
      </c>
      <c r="H5782" s="101" t="str">
        <f t="shared" si="361"/>
        <v/>
      </c>
      <c r="I5782" s="101" t="str">
        <f t="shared" si="362"/>
        <v/>
      </c>
      <c r="J5782" s="140" t="str">
        <f t="shared" si="363"/>
        <v/>
      </c>
    </row>
    <row r="5783" spans="7:10" x14ac:dyDescent="0.25">
      <c r="G5783" s="105" t="str">
        <f t="shared" si="360"/>
        <v/>
      </c>
      <c r="H5783" s="101" t="str">
        <f t="shared" si="361"/>
        <v/>
      </c>
      <c r="I5783" s="101" t="str">
        <f t="shared" si="362"/>
        <v/>
      </c>
      <c r="J5783" s="140" t="str">
        <f t="shared" si="363"/>
        <v/>
      </c>
    </row>
    <row r="5784" spans="7:10" x14ac:dyDescent="0.25">
      <c r="G5784" s="105" t="str">
        <f t="shared" si="360"/>
        <v/>
      </c>
      <c r="H5784" s="101" t="str">
        <f t="shared" si="361"/>
        <v/>
      </c>
      <c r="I5784" s="101" t="str">
        <f t="shared" si="362"/>
        <v/>
      </c>
      <c r="J5784" s="140" t="str">
        <f t="shared" si="363"/>
        <v/>
      </c>
    </row>
    <row r="5785" spans="7:10" x14ac:dyDescent="0.25">
      <c r="G5785" s="105" t="str">
        <f t="shared" si="360"/>
        <v/>
      </c>
      <c r="H5785" s="101" t="str">
        <f t="shared" si="361"/>
        <v/>
      </c>
      <c r="I5785" s="101" t="str">
        <f t="shared" si="362"/>
        <v/>
      </c>
      <c r="J5785" s="140" t="str">
        <f t="shared" si="363"/>
        <v/>
      </c>
    </row>
    <row r="5786" spans="7:10" x14ac:dyDescent="0.25">
      <c r="G5786" s="105" t="str">
        <f t="shared" si="360"/>
        <v/>
      </c>
      <c r="H5786" s="101" t="str">
        <f t="shared" si="361"/>
        <v/>
      </c>
      <c r="I5786" s="101" t="str">
        <f t="shared" si="362"/>
        <v/>
      </c>
      <c r="J5786" s="140" t="str">
        <f t="shared" si="363"/>
        <v/>
      </c>
    </row>
    <row r="5787" spans="7:10" x14ac:dyDescent="0.25">
      <c r="G5787" s="105" t="str">
        <f t="shared" si="360"/>
        <v/>
      </c>
      <c r="H5787" s="101" t="str">
        <f t="shared" si="361"/>
        <v/>
      </c>
      <c r="I5787" s="101" t="str">
        <f t="shared" si="362"/>
        <v/>
      </c>
      <c r="J5787" s="140" t="str">
        <f t="shared" si="363"/>
        <v/>
      </c>
    </row>
    <row r="5788" spans="7:10" x14ac:dyDescent="0.25">
      <c r="G5788" s="105" t="str">
        <f t="shared" si="360"/>
        <v/>
      </c>
      <c r="H5788" s="101" t="str">
        <f t="shared" si="361"/>
        <v/>
      </c>
      <c r="I5788" s="101" t="str">
        <f t="shared" si="362"/>
        <v/>
      </c>
      <c r="J5788" s="140" t="str">
        <f t="shared" si="363"/>
        <v/>
      </c>
    </row>
    <row r="5789" spans="7:10" x14ac:dyDescent="0.25">
      <c r="G5789" s="105" t="str">
        <f t="shared" si="360"/>
        <v/>
      </c>
      <c r="H5789" s="101" t="str">
        <f t="shared" si="361"/>
        <v/>
      </c>
      <c r="I5789" s="101" t="str">
        <f t="shared" si="362"/>
        <v/>
      </c>
      <c r="J5789" s="140" t="str">
        <f t="shared" si="363"/>
        <v/>
      </c>
    </row>
    <row r="5790" spans="7:10" x14ac:dyDescent="0.25">
      <c r="G5790" s="105" t="str">
        <f t="shared" si="360"/>
        <v/>
      </c>
      <c r="H5790" s="101" t="str">
        <f t="shared" si="361"/>
        <v/>
      </c>
      <c r="I5790" s="101" t="str">
        <f t="shared" si="362"/>
        <v/>
      </c>
      <c r="J5790" s="140" t="str">
        <f t="shared" si="363"/>
        <v/>
      </c>
    </row>
    <row r="5791" spans="7:10" x14ac:dyDescent="0.25">
      <c r="G5791" s="105" t="str">
        <f t="shared" si="360"/>
        <v/>
      </c>
      <c r="H5791" s="101" t="str">
        <f t="shared" si="361"/>
        <v/>
      </c>
      <c r="I5791" s="101" t="str">
        <f t="shared" si="362"/>
        <v/>
      </c>
      <c r="J5791" s="140" t="str">
        <f t="shared" si="363"/>
        <v/>
      </c>
    </row>
    <row r="5792" spans="7:10" x14ac:dyDescent="0.25">
      <c r="G5792" s="105" t="str">
        <f t="shared" si="360"/>
        <v/>
      </c>
      <c r="H5792" s="101" t="str">
        <f t="shared" si="361"/>
        <v/>
      </c>
      <c r="I5792" s="101" t="str">
        <f t="shared" si="362"/>
        <v/>
      </c>
      <c r="J5792" s="140" t="str">
        <f t="shared" si="363"/>
        <v/>
      </c>
    </row>
    <row r="5793" spans="7:10" x14ac:dyDescent="0.25">
      <c r="G5793" s="105" t="str">
        <f t="shared" si="360"/>
        <v/>
      </c>
      <c r="H5793" s="101" t="str">
        <f t="shared" si="361"/>
        <v/>
      </c>
      <c r="I5793" s="101" t="str">
        <f t="shared" si="362"/>
        <v/>
      </c>
      <c r="J5793" s="140" t="str">
        <f t="shared" si="363"/>
        <v/>
      </c>
    </row>
    <row r="5794" spans="7:10" x14ac:dyDescent="0.25">
      <c r="G5794" s="105" t="str">
        <f t="shared" si="360"/>
        <v/>
      </c>
      <c r="H5794" s="101" t="str">
        <f t="shared" si="361"/>
        <v/>
      </c>
      <c r="I5794" s="101" t="str">
        <f t="shared" si="362"/>
        <v/>
      </c>
      <c r="J5794" s="140" t="str">
        <f t="shared" si="363"/>
        <v/>
      </c>
    </row>
    <row r="5795" spans="7:10" x14ac:dyDescent="0.25">
      <c r="G5795" s="105" t="str">
        <f t="shared" si="360"/>
        <v/>
      </c>
      <c r="H5795" s="101" t="str">
        <f t="shared" si="361"/>
        <v/>
      </c>
      <c r="I5795" s="101" t="str">
        <f t="shared" si="362"/>
        <v/>
      </c>
      <c r="J5795" s="140" t="str">
        <f t="shared" si="363"/>
        <v/>
      </c>
    </row>
    <row r="5796" spans="7:10" x14ac:dyDescent="0.25">
      <c r="G5796" s="105" t="str">
        <f t="shared" si="360"/>
        <v/>
      </c>
      <c r="H5796" s="101" t="str">
        <f t="shared" si="361"/>
        <v/>
      </c>
      <c r="I5796" s="101" t="str">
        <f t="shared" si="362"/>
        <v/>
      </c>
      <c r="J5796" s="140" t="str">
        <f t="shared" si="363"/>
        <v/>
      </c>
    </row>
    <row r="5797" spans="7:10" x14ac:dyDescent="0.25">
      <c r="G5797" s="105" t="str">
        <f t="shared" si="360"/>
        <v/>
      </c>
      <c r="H5797" s="101" t="str">
        <f t="shared" si="361"/>
        <v/>
      </c>
      <c r="I5797" s="101" t="str">
        <f t="shared" si="362"/>
        <v/>
      </c>
      <c r="J5797" s="140" t="str">
        <f t="shared" si="363"/>
        <v/>
      </c>
    </row>
    <row r="5798" spans="7:10" x14ac:dyDescent="0.25">
      <c r="G5798" s="105" t="str">
        <f t="shared" si="360"/>
        <v/>
      </c>
      <c r="H5798" s="101" t="str">
        <f t="shared" si="361"/>
        <v/>
      </c>
      <c r="I5798" s="101" t="str">
        <f t="shared" si="362"/>
        <v/>
      </c>
      <c r="J5798" s="140" t="str">
        <f t="shared" si="363"/>
        <v/>
      </c>
    </row>
    <row r="5799" spans="7:10" x14ac:dyDescent="0.25">
      <c r="G5799" s="105" t="str">
        <f t="shared" si="360"/>
        <v/>
      </c>
      <c r="H5799" s="101" t="str">
        <f t="shared" si="361"/>
        <v/>
      </c>
      <c r="I5799" s="101" t="str">
        <f t="shared" si="362"/>
        <v/>
      </c>
      <c r="J5799" s="140" t="str">
        <f t="shared" si="363"/>
        <v/>
      </c>
    </row>
    <row r="5800" spans="7:10" x14ac:dyDescent="0.25">
      <c r="G5800" s="105" t="str">
        <f t="shared" si="360"/>
        <v/>
      </c>
      <c r="H5800" s="101" t="str">
        <f t="shared" si="361"/>
        <v/>
      </c>
      <c r="I5800" s="101" t="str">
        <f t="shared" si="362"/>
        <v/>
      </c>
      <c r="J5800" s="140" t="str">
        <f t="shared" si="363"/>
        <v/>
      </c>
    </row>
    <row r="5801" spans="7:10" x14ac:dyDescent="0.25">
      <c r="G5801" s="105" t="str">
        <f t="shared" si="360"/>
        <v/>
      </c>
      <c r="H5801" s="101" t="str">
        <f t="shared" si="361"/>
        <v/>
      </c>
      <c r="I5801" s="101" t="str">
        <f t="shared" si="362"/>
        <v/>
      </c>
      <c r="J5801" s="140" t="str">
        <f t="shared" si="363"/>
        <v/>
      </c>
    </row>
    <row r="5802" spans="7:10" x14ac:dyDescent="0.25">
      <c r="G5802" s="105" t="str">
        <f t="shared" si="360"/>
        <v/>
      </c>
      <c r="H5802" s="101" t="str">
        <f t="shared" si="361"/>
        <v/>
      </c>
      <c r="I5802" s="101" t="str">
        <f t="shared" si="362"/>
        <v/>
      </c>
      <c r="J5802" s="140" t="str">
        <f t="shared" si="363"/>
        <v/>
      </c>
    </row>
    <row r="5803" spans="7:10" x14ac:dyDescent="0.25">
      <c r="G5803" s="105" t="str">
        <f t="shared" si="360"/>
        <v/>
      </c>
      <c r="H5803" s="101" t="str">
        <f t="shared" si="361"/>
        <v/>
      </c>
      <c r="I5803" s="101" t="str">
        <f t="shared" si="362"/>
        <v/>
      </c>
      <c r="J5803" s="140" t="str">
        <f t="shared" si="363"/>
        <v/>
      </c>
    </row>
    <row r="5804" spans="7:10" x14ac:dyDescent="0.25">
      <c r="G5804" s="105" t="str">
        <f t="shared" si="360"/>
        <v/>
      </c>
      <c r="H5804" s="101" t="str">
        <f t="shared" si="361"/>
        <v/>
      </c>
      <c r="I5804" s="101" t="str">
        <f t="shared" si="362"/>
        <v/>
      </c>
      <c r="J5804" s="140" t="str">
        <f t="shared" si="363"/>
        <v/>
      </c>
    </row>
    <row r="5805" spans="7:10" x14ac:dyDescent="0.25">
      <c r="G5805" s="105" t="str">
        <f t="shared" si="360"/>
        <v/>
      </c>
      <c r="H5805" s="101" t="str">
        <f t="shared" si="361"/>
        <v/>
      </c>
      <c r="I5805" s="101" t="str">
        <f t="shared" si="362"/>
        <v/>
      </c>
      <c r="J5805" s="140" t="str">
        <f t="shared" si="363"/>
        <v/>
      </c>
    </row>
    <row r="5806" spans="7:10" x14ac:dyDescent="0.25">
      <c r="G5806" s="105" t="str">
        <f t="shared" si="360"/>
        <v/>
      </c>
      <c r="H5806" s="101" t="str">
        <f t="shared" si="361"/>
        <v/>
      </c>
      <c r="I5806" s="101" t="str">
        <f t="shared" si="362"/>
        <v/>
      </c>
      <c r="J5806" s="140" t="str">
        <f t="shared" si="363"/>
        <v/>
      </c>
    </row>
    <row r="5807" spans="7:10" x14ac:dyDescent="0.25">
      <c r="G5807" s="105" t="str">
        <f t="shared" si="360"/>
        <v/>
      </c>
      <c r="H5807" s="101" t="str">
        <f t="shared" si="361"/>
        <v/>
      </c>
      <c r="I5807" s="101" t="str">
        <f t="shared" si="362"/>
        <v/>
      </c>
      <c r="J5807" s="140" t="str">
        <f t="shared" si="363"/>
        <v/>
      </c>
    </row>
    <row r="5808" spans="7:10" x14ac:dyDescent="0.25">
      <c r="G5808" s="105" t="str">
        <f t="shared" si="360"/>
        <v/>
      </c>
      <c r="H5808" s="101" t="str">
        <f t="shared" si="361"/>
        <v/>
      </c>
      <c r="I5808" s="101" t="str">
        <f t="shared" si="362"/>
        <v/>
      </c>
      <c r="J5808" s="140" t="str">
        <f t="shared" si="363"/>
        <v/>
      </c>
    </row>
    <row r="5809" spans="7:10" x14ac:dyDescent="0.25">
      <c r="G5809" s="105" t="str">
        <f t="shared" si="360"/>
        <v/>
      </c>
      <c r="H5809" s="101" t="str">
        <f t="shared" si="361"/>
        <v/>
      </c>
      <c r="I5809" s="101" t="str">
        <f t="shared" si="362"/>
        <v/>
      </c>
      <c r="J5809" s="140" t="str">
        <f t="shared" si="363"/>
        <v/>
      </c>
    </row>
    <row r="5810" spans="7:10" x14ac:dyDescent="0.25">
      <c r="G5810" s="105" t="str">
        <f t="shared" si="360"/>
        <v/>
      </c>
      <c r="H5810" s="101" t="str">
        <f t="shared" si="361"/>
        <v/>
      </c>
      <c r="I5810" s="101" t="str">
        <f t="shared" si="362"/>
        <v/>
      </c>
      <c r="J5810" s="140" t="str">
        <f t="shared" si="363"/>
        <v/>
      </c>
    </row>
    <row r="5811" spans="7:10" x14ac:dyDescent="0.25">
      <c r="G5811" s="105" t="str">
        <f t="shared" si="360"/>
        <v/>
      </c>
      <c r="H5811" s="101" t="str">
        <f t="shared" si="361"/>
        <v/>
      </c>
      <c r="I5811" s="101" t="str">
        <f t="shared" si="362"/>
        <v/>
      </c>
      <c r="J5811" s="140" t="str">
        <f t="shared" si="363"/>
        <v/>
      </c>
    </row>
    <row r="5812" spans="7:10" x14ac:dyDescent="0.25">
      <c r="G5812" s="105" t="str">
        <f t="shared" si="360"/>
        <v/>
      </c>
      <c r="H5812" s="101" t="str">
        <f t="shared" si="361"/>
        <v/>
      </c>
      <c r="I5812" s="101" t="str">
        <f t="shared" si="362"/>
        <v/>
      </c>
      <c r="J5812" s="140" t="str">
        <f t="shared" si="363"/>
        <v/>
      </c>
    </row>
    <row r="5813" spans="7:10" x14ac:dyDescent="0.25">
      <c r="G5813" s="105" t="str">
        <f t="shared" si="360"/>
        <v/>
      </c>
      <c r="H5813" s="101" t="str">
        <f t="shared" si="361"/>
        <v/>
      </c>
      <c r="I5813" s="101" t="str">
        <f t="shared" si="362"/>
        <v/>
      </c>
      <c r="J5813" s="140" t="str">
        <f t="shared" si="363"/>
        <v/>
      </c>
    </row>
    <row r="5814" spans="7:10" x14ac:dyDescent="0.25">
      <c r="G5814" s="105" t="str">
        <f t="shared" si="360"/>
        <v/>
      </c>
      <c r="H5814" s="101" t="str">
        <f t="shared" si="361"/>
        <v/>
      </c>
      <c r="I5814" s="101" t="str">
        <f t="shared" si="362"/>
        <v/>
      </c>
      <c r="J5814" s="140" t="str">
        <f t="shared" si="363"/>
        <v/>
      </c>
    </row>
    <row r="5815" spans="7:10" x14ac:dyDescent="0.25">
      <c r="G5815" s="105" t="str">
        <f t="shared" si="360"/>
        <v/>
      </c>
      <c r="H5815" s="101" t="str">
        <f t="shared" si="361"/>
        <v/>
      </c>
      <c r="I5815" s="101" t="str">
        <f t="shared" si="362"/>
        <v/>
      </c>
      <c r="J5815" s="140" t="str">
        <f t="shared" si="363"/>
        <v/>
      </c>
    </row>
    <row r="5816" spans="7:10" x14ac:dyDescent="0.25">
      <c r="G5816" s="105" t="str">
        <f t="shared" si="360"/>
        <v/>
      </c>
      <c r="H5816" s="101" t="str">
        <f t="shared" si="361"/>
        <v/>
      </c>
      <c r="I5816" s="101" t="str">
        <f t="shared" si="362"/>
        <v/>
      </c>
      <c r="J5816" s="140" t="str">
        <f t="shared" si="363"/>
        <v/>
      </c>
    </row>
    <row r="5817" spans="7:10" x14ac:dyDescent="0.25">
      <c r="G5817" s="105" t="str">
        <f t="shared" si="360"/>
        <v/>
      </c>
      <c r="H5817" s="101" t="str">
        <f t="shared" si="361"/>
        <v/>
      </c>
      <c r="I5817" s="101" t="str">
        <f t="shared" si="362"/>
        <v/>
      </c>
      <c r="J5817" s="140" t="str">
        <f t="shared" si="363"/>
        <v/>
      </c>
    </row>
    <row r="5818" spans="7:10" x14ac:dyDescent="0.25">
      <c r="G5818" s="105" t="str">
        <f t="shared" si="360"/>
        <v/>
      </c>
      <c r="H5818" s="101" t="str">
        <f t="shared" si="361"/>
        <v/>
      </c>
      <c r="I5818" s="101" t="str">
        <f t="shared" si="362"/>
        <v/>
      </c>
      <c r="J5818" s="140" t="str">
        <f t="shared" si="363"/>
        <v/>
      </c>
    </row>
    <row r="5819" spans="7:10" x14ac:dyDescent="0.25">
      <c r="G5819" s="105" t="str">
        <f t="shared" si="360"/>
        <v/>
      </c>
      <c r="H5819" s="101" t="str">
        <f t="shared" si="361"/>
        <v/>
      </c>
      <c r="I5819" s="101" t="str">
        <f t="shared" si="362"/>
        <v/>
      </c>
      <c r="J5819" s="140" t="str">
        <f t="shared" si="363"/>
        <v/>
      </c>
    </row>
    <row r="5820" spans="7:10" x14ac:dyDescent="0.25">
      <c r="G5820" s="105" t="str">
        <f t="shared" si="360"/>
        <v/>
      </c>
      <c r="H5820" s="101" t="str">
        <f t="shared" si="361"/>
        <v/>
      </c>
      <c r="I5820" s="101" t="str">
        <f t="shared" si="362"/>
        <v/>
      </c>
      <c r="J5820" s="140" t="str">
        <f t="shared" si="363"/>
        <v/>
      </c>
    </row>
    <row r="5821" spans="7:10" x14ac:dyDescent="0.25">
      <c r="G5821" s="105" t="str">
        <f t="shared" si="360"/>
        <v/>
      </c>
      <c r="H5821" s="101" t="str">
        <f t="shared" si="361"/>
        <v/>
      </c>
      <c r="I5821" s="101" t="str">
        <f t="shared" si="362"/>
        <v/>
      </c>
      <c r="J5821" s="140" t="str">
        <f t="shared" si="363"/>
        <v/>
      </c>
    </row>
    <row r="5822" spans="7:10" x14ac:dyDescent="0.25">
      <c r="G5822" s="105" t="str">
        <f t="shared" si="360"/>
        <v/>
      </c>
      <c r="H5822" s="101" t="str">
        <f t="shared" si="361"/>
        <v/>
      </c>
      <c r="I5822" s="101" t="str">
        <f t="shared" si="362"/>
        <v/>
      </c>
      <c r="J5822" s="140" t="str">
        <f t="shared" si="363"/>
        <v/>
      </c>
    </row>
    <row r="5823" spans="7:10" x14ac:dyDescent="0.25">
      <c r="G5823" s="105" t="str">
        <f t="shared" si="360"/>
        <v/>
      </c>
      <c r="H5823" s="101" t="str">
        <f t="shared" si="361"/>
        <v/>
      </c>
      <c r="I5823" s="101" t="str">
        <f t="shared" si="362"/>
        <v/>
      </c>
      <c r="J5823" s="140" t="str">
        <f t="shared" si="363"/>
        <v/>
      </c>
    </row>
    <row r="5824" spans="7:10" x14ac:dyDescent="0.25">
      <c r="G5824" s="105" t="str">
        <f t="shared" si="360"/>
        <v/>
      </c>
      <c r="H5824" s="101" t="str">
        <f t="shared" si="361"/>
        <v/>
      </c>
      <c r="I5824" s="101" t="str">
        <f t="shared" si="362"/>
        <v/>
      </c>
      <c r="J5824" s="140" t="str">
        <f t="shared" si="363"/>
        <v/>
      </c>
    </row>
    <row r="5825" spans="7:10" x14ac:dyDescent="0.25">
      <c r="G5825" s="105" t="str">
        <f t="shared" si="360"/>
        <v/>
      </c>
      <c r="H5825" s="101" t="str">
        <f t="shared" si="361"/>
        <v/>
      </c>
      <c r="I5825" s="101" t="str">
        <f t="shared" si="362"/>
        <v/>
      </c>
      <c r="J5825" s="140" t="str">
        <f t="shared" si="363"/>
        <v/>
      </c>
    </row>
    <row r="5826" spans="7:10" x14ac:dyDescent="0.25">
      <c r="G5826" s="105" t="str">
        <f t="shared" si="360"/>
        <v/>
      </c>
      <c r="H5826" s="101" t="str">
        <f t="shared" si="361"/>
        <v/>
      </c>
      <c r="I5826" s="101" t="str">
        <f t="shared" si="362"/>
        <v/>
      </c>
      <c r="J5826" s="140" t="str">
        <f t="shared" si="363"/>
        <v/>
      </c>
    </row>
    <row r="5827" spans="7:10" x14ac:dyDescent="0.25">
      <c r="G5827" s="105" t="str">
        <f t="shared" si="360"/>
        <v/>
      </c>
      <c r="H5827" s="101" t="str">
        <f t="shared" si="361"/>
        <v/>
      </c>
      <c r="I5827" s="101" t="str">
        <f t="shared" si="362"/>
        <v/>
      </c>
      <c r="J5827" s="140" t="str">
        <f t="shared" si="363"/>
        <v/>
      </c>
    </row>
    <row r="5828" spans="7:10" x14ac:dyDescent="0.25">
      <c r="G5828" s="105" t="str">
        <f t="shared" si="360"/>
        <v/>
      </c>
      <c r="H5828" s="101" t="str">
        <f t="shared" si="361"/>
        <v/>
      </c>
      <c r="I5828" s="101" t="str">
        <f t="shared" si="362"/>
        <v/>
      </c>
      <c r="J5828" s="140" t="str">
        <f t="shared" si="363"/>
        <v/>
      </c>
    </row>
    <row r="5829" spans="7:10" x14ac:dyDescent="0.25">
      <c r="G5829" s="105" t="str">
        <f t="shared" si="360"/>
        <v/>
      </c>
      <c r="H5829" s="101" t="str">
        <f t="shared" si="361"/>
        <v/>
      </c>
      <c r="I5829" s="101" t="str">
        <f t="shared" si="362"/>
        <v/>
      </c>
      <c r="J5829" s="140" t="str">
        <f t="shared" si="363"/>
        <v/>
      </c>
    </row>
    <row r="5830" spans="7:10" x14ac:dyDescent="0.25">
      <c r="G5830" s="105" t="str">
        <f t="shared" si="360"/>
        <v/>
      </c>
      <c r="H5830" s="101" t="str">
        <f t="shared" si="361"/>
        <v/>
      </c>
      <c r="I5830" s="101" t="str">
        <f t="shared" si="362"/>
        <v/>
      </c>
      <c r="J5830" s="140" t="str">
        <f t="shared" si="363"/>
        <v/>
      </c>
    </row>
    <row r="5831" spans="7:10" x14ac:dyDescent="0.25">
      <c r="G5831" s="105" t="str">
        <f t="shared" si="360"/>
        <v/>
      </c>
      <c r="H5831" s="101" t="str">
        <f t="shared" si="361"/>
        <v/>
      </c>
      <c r="I5831" s="101" t="str">
        <f t="shared" si="362"/>
        <v/>
      </c>
      <c r="J5831" s="140" t="str">
        <f t="shared" si="363"/>
        <v/>
      </c>
    </row>
    <row r="5832" spans="7:10" x14ac:dyDescent="0.25">
      <c r="G5832" s="105" t="str">
        <f t="shared" ref="G5832:G5895" si="364">IF(E5832="","",E5832+0)</f>
        <v/>
      </c>
      <c r="H5832" s="101" t="str">
        <f t="shared" ref="H5832:H5895" si="365">IF(G5832="","",TRIM(CONCATENATE("Sinapi ",A5832)))</f>
        <v/>
      </c>
      <c r="I5832" s="101" t="str">
        <f t="shared" ref="I5832:I5895" si="366">TRIM(C5832)</f>
        <v/>
      </c>
      <c r="J5832" s="140" t="str">
        <f t="shared" si="363"/>
        <v/>
      </c>
    </row>
    <row r="5833" spans="7:10" x14ac:dyDescent="0.25">
      <c r="G5833" s="105" t="str">
        <f t="shared" si="364"/>
        <v/>
      </c>
      <c r="H5833" s="101" t="str">
        <f t="shared" si="365"/>
        <v/>
      </c>
      <c r="I5833" s="101" t="str">
        <f t="shared" si="366"/>
        <v/>
      </c>
      <c r="J5833" s="140" t="str">
        <f t="shared" ref="J5833:J5896" si="367">TRIM(B5833)</f>
        <v/>
      </c>
    </row>
    <row r="5834" spans="7:10" x14ac:dyDescent="0.25">
      <c r="G5834" s="105" t="str">
        <f t="shared" si="364"/>
        <v/>
      </c>
      <c r="H5834" s="101" t="str">
        <f t="shared" si="365"/>
        <v/>
      </c>
      <c r="I5834" s="101" t="str">
        <f t="shared" si="366"/>
        <v/>
      </c>
      <c r="J5834" s="140" t="str">
        <f t="shared" si="367"/>
        <v/>
      </c>
    </row>
    <row r="5835" spans="7:10" x14ac:dyDescent="0.25">
      <c r="G5835" s="105" t="str">
        <f t="shared" si="364"/>
        <v/>
      </c>
      <c r="H5835" s="101" t="str">
        <f t="shared" si="365"/>
        <v/>
      </c>
      <c r="I5835" s="101" t="str">
        <f t="shared" si="366"/>
        <v/>
      </c>
      <c r="J5835" s="140" t="str">
        <f t="shared" si="367"/>
        <v/>
      </c>
    </row>
    <row r="5836" spans="7:10" x14ac:dyDescent="0.25">
      <c r="G5836" s="105" t="str">
        <f t="shared" si="364"/>
        <v/>
      </c>
      <c r="H5836" s="101" t="str">
        <f t="shared" si="365"/>
        <v/>
      </c>
      <c r="I5836" s="101" t="str">
        <f t="shared" si="366"/>
        <v/>
      </c>
      <c r="J5836" s="140" t="str">
        <f t="shared" si="367"/>
        <v/>
      </c>
    </row>
    <row r="5837" spans="7:10" x14ac:dyDescent="0.25">
      <c r="G5837" s="105" t="str">
        <f t="shared" si="364"/>
        <v/>
      </c>
      <c r="H5837" s="101" t="str">
        <f t="shared" si="365"/>
        <v/>
      </c>
      <c r="I5837" s="101" t="str">
        <f t="shared" si="366"/>
        <v/>
      </c>
      <c r="J5837" s="140" t="str">
        <f t="shared" si="367"/>
        <v/>
      </c>
    </row>
    <row r="5838" spans="7:10" x14ac:dyDescent="0.25">
      <c r="G5838" s="105" t="str">
        <f t="shared" si="364"/>
        <v/>
      </c>
      <c r="H5838" s="101" t="str">
        <f t="shared" si="365"/>
        <v/>
      </c>
      <c r="I5838" s="101" t="str">
        <f t="shared" si="366"/>
        <v/>
      </c>
      <c r="J5838" s="140" t="str">
        <f t="shared" si="367"/>
        <v/>
      </c>
    </row>
    <row r="5839" spans="7:10" x14ac:dyDescent="0.25">
      <c r="G5839" s="105" t="str">
        <f t="shared" si="364"/>
        <v/>
      </c>
      <c r="H5839" s="101" t="str">
        <f t="shared" si="365"/>
        <v/>
      </c>
      <c r="I5839" s="101" t="str">
        <f t="shared" si="366"/>
        <v/>
      </c>
      <c r="J5839" s="140" t="str">
        <f t="shared" si="367"/>
        <v/>
      </c>
    </row>
    <row r="5840" spans="7:10" x14ac:dyDescent="0.25">
      <c r="G5840" s="105" t="str">
        <f t="shared" si="364"/>
        <v/>
      </c>
      <c r="H5840" s="101" t="str">
        <f t="shared" si="365"/>
        <v/>
      </c>
      <c r="I5840" s="101" t="str">
        <f t="shared" si="366"/>
        <v/>
      </c>
      <c r="J5840" s="140" t="str">
        <f t="shared" si="367"/>
        <v/>
      </c>
    </row>
    <row r="5841" spans="7:10" x14ac:dyDescent="0.25">
      <c r="G5841" s="105" t="str">
        <f t="shared" si="364"/>
        <v/>
      </c>
      <c r="H5841" s="101" t="str">
        <f t="shared" si="365"/>
        <v/>
      </c>
      <c r="I5841" s="101" t="str">
        <f t="shared" si="366"/>
        <v/>
      </c>
      <c r="J5841" s="140" t="str">
        <f t="shared" si="367"/>
        <v/>
      </c>
    </row>
    <row r="5842" spans="7:10" x14ac:dyDescent="0.25">
      <c r="G5842" s="105" t="str">
        <f t="shared" si="364"/>
        <v/>
      </c>
      <c r="H5842" s="101" t="str">
        <f t="shared" si="365"/>
        <v/>
      </c>
      <c r="I5842" s="101" t="str">
        <f t="shared" si="366"/>
        <v/>
      </c>
      <c r="J5842" s="140" t="str">
        <f t="shared" si="367"/>
        <v/>
      </c>
    </row>
    <row r="5843" spans="7:10" x14ac:dyDescent="0.25">
      <c r="G5843" s="105" t="str">
        <f t="shared" si="364"/>
        <v/>
      </c>
      <c r="H5843" s="101" t="str">
        <f t="shared" si="365"/>
        <v/>
      </c>
      <c r="I5843" s="101" t="str">
        <f t="shared" si="366"/>
        <v/>
      </c>
      <c r="J5843" s="140" t="str">
        <f t="shared" si="367"/>
        <v/>
      </c>
    </row>
    <row r="5844" spans="7:10" x14ac:dyDescent="0.25">
      <c r="G5844" s="105" t="str">
        <f t="shared" si="364"/>
        <v/>
      </c>
      <c r="H5844" s="101" t="str">
        <f t="shared" si="365"/>
        <v/>
      </c>
      <c r="I5844" s="101" t="str">
        <f t="shared" si="366"/>
        <v/>
      </c>
      <c r="J5844" s="140" t="str">
        <f t="shared" si="367"/>
        <v/>
      </c>
    </row>
    <row r="5845" spans="7:10" x14ac:dyDescent="0.25">
      <c r="G5845" s="105" t="str">
        <f t="shared" si="364"/>
        <v/>
      </c>
      <c r="H5845" s="101" t="str">
        <f t="shared" si="365"/>
        <v/>
      </c>
      <c r="I5845" s="101" t="str">
        <f t="shared" si="366"/>
        <v/>
      </c>
      <c r="J5845" s="140" t="str">
        <f t="shared" si="367"/>
        <v/>
      </c>
    </row>
    <row r="5846" spans="7:10" x14ac:dyDescent="0.25">
      <c r="G5846" s="105" t="str">
        <f t="shared" si="364"/>
        <v/>
      </c>
      <c r="H5846" s="101" t="str">
        <f t="shared" si="365"/>
        <v/>
      </c>
      <c r="I5846" s="101" t="str">
        <f t="shared" si="366"/>
        <v/>
      </c>
      <c r="J5846" s="140" t="str">
        <f t="shared" si="367"/>
        <v/>
      </c>
    </row>
    <row r="5847" spans="7:10" x14ac:dyDescent="0.25">
      <c r="G5847" s="105" t="str">
        <f t="shared" si="364"/>
        <v/>
      </c>
      <c r="H5847" s="101" t="str">
        <f t="shared" si="365"/>
        <v/>
      </c>
      <c r="I5847" s="101" t="str">
        <f t="shared" si="366"/>
        <v/>
      </c>
      <c r="J5847" s="140" t="str">
        <f t="shared" si="367"/>
        <v/>
      </c>
    </row>
    <row r="5848" spans="7:10" x14ac:dyDescent="0.25">
      <c r="G5848" s="105" t="str">
        <f t="shared" si="364"/>
        <v/>
      </c>
      <c r="H5848" s="101" t="str">
        <f t="shared" si="365"/>
        <v/>
      </c>
      <c r="I5848" s="101" t="str">
        <f t="shared" si="366"/>
        <v/>
      </c>
      <c r="J5848" s="140" t="str">
        <f t="shared" si="367"/>
        <v/>
      </c>
    </row>
    <row r="5849" spans="7:10" x14ac:dyDescent="0.25">
      <c r="G5849" s="105" t="str">
        <f t="shared" si="364"/>
        <v/>
      </c>
      <c r="H5849" s="101" t="str">
        <f t="shared" si="365"/>
        <v/>
      </c>
      <c r="I5849" s="101" t="str">
        <f t="shared" si="366"/>
        <v/>
      </c>
      <c r="J5849" s="140" t="str">
        <f t="shared" si="367"/>
        <v/>
      </c>
    </row>
    <row r="5850" spans="7:10" x14ac:dyDescent="0.25">
      <c r="G5850" s="105" t="str">
        <f t="shared" si="364"/>
        <v/>
      </c>
      <c r="H5850" s="101" t="str">
        <f t="shared" si="365"/>
        <v/>
      </c>
      <c r="I5850" s="101" t="str">
        <f t="shared" si="366"/>
        <v/>
      </c>
      <c r="J5850" s="140" t="str">
        <f t="shared" si="367"/>
        <v/>
      </c>
    </row>
    <row r="5851" spans="7:10" x14ac:dyDescent="0.25">
      <c r="G5851" s="105" t="str">
        <f t="shared" si="364"/>
        <v/>
      </c>
      <c r="H5851" s="101" t="str">
        <f t="shared" si="365"/>
        <v/>
      </c>
      <c r="I5851" s="101" t="str">
        <f t="shared" si="366"/>
        <v/>
      </c>
      <c r="J5851" s="140" t="str">
        <f t="shared" si="367"/>
        <v/>
      </c>
    </row>
    <row r="5852" spans="7:10" x14ac:dyDescent="0.25">
      <c r="G5852" s="105" t="str">
        <f t="shared" si="364"/>
        <v/>
      </c>
      <c r="H5852" s="101" t="str">
        <f t="shared" si="365"/>
        <v/>
      </c>
      <c r="I5852" s="101" t="str">
        <f t="shared" si="366"/>
        <v/>
      </c>
      <c r="J5852" s="140" t="str">
        <f t="shared" si="367"/>
        <v/>
      </c>
    </row>
    <row r="5853" spans="7:10" x14ac:dyDescent="0.25">
      <c r="G5853" s="105" t="str">
        <f t="shared" si="364"/>
        <v/>
      </c>
      <c r="H5853" s="101" t="str">
        <f t="shared" si="365"/>
        <v/>
      </c>
      <c r="I5853" s="101" t="str">
        <f t="shared" si="366"/>
        <v/>
      </c>
      <c r="J5853" s="140" t="str">
        <f t="shared" si="367"/>
        <v/>
      </c>
    </row>
    <row r="5854" spans="7:10" x14ac:dyDescent="0.25">
      <c r="G5854" s="105" t="str">
        <f t="shared" si="364"/>
        <v/>
      </c>
      <c r="H5854" s="101" t="str">
        <f t="shared" si="365"/>
        <v/>
      </c>
      <c r="I5854" s="101" t="str">
        <f t="shared" si="366"/>
        <v/>
      </c>
      <c r="J5854" s="140" t="str">
        <f t="shared" si="367"/>
        <v/>
      </c>
    </row>
    <row r="5855" spans="7:10" x14ac:dyDescent="0.25">
      <c r="G5855" s="105" t="str">
        <f t="shared" si="364"/>
        <v/>
      </c>
      <c r="H5855" s="101" t="str">
        <f t="shared" si="365"/>
        <v/>
      </c>
      <c r="I5855" s="101" t="str">
        <f t="shared" si="366"/>
        <v/>
      </c>
      <c r="J5855" s="140" t="str">
        <f t="shared" si="367"/>
        <v/>
      </c>
    </row>
    <row r="5856" spans="7:10" x14ac:dyDescent="0.25">
      <c r="G5856" s="105" t="str">
        <f t="shared" si="364"/>
        <v/>
      </c>
      <c r="H5856" s="101" t="str">
        <f t="shared" si="365"/>
        <v/>
      </c>
      <c r="I5856" s="101" t="str">
        <f t="shared" si="366"/>
        <v/>
      </c>
      <c r="J5856" s="140" t="str">
        <f t="shared" si="367"/>
        <v/>
      </c>
    </row>
    <row r="5857" spans="7:10" x14ac:dyDescent="0.25">
      <c r="G5857" s="105" t="str">
        <f t="shared" si="364"/>
        <v/>
      </c>
      <c r="H5857" s="101" t="str">
        <f t="shared" si="365"/>
        <v/>
      </c>
      <c r="I5857" s="101" t="str">
        <f t="shared" si="366"/>
        <v/>
      </c>
      <c r="J5857" s="140" t="str">
        <f t="shared" si="367"/>
        <v/>
      </c>
    </row>
    <row r="5858" spans="7:10" x14ac:dyDescent="0.25">
      <c r="G5858" s="105" t="str">
        <f t="shared" si="364"/>
        <v/>
      </c>
      <c r="H5858" s="101" t="str">
        <f t="shared" si="365"/>
        <v/>
      </c>
      <c r="I5858" s="101" t="str">
        <f t="shared" si="366"/>
        <v/>
      </c>
      <c r="J5858" s="140" t="str">
        <f t="shared" si="367"/>
        <v/>
      </c>
    </row>
    <row r="5859" spans="7:10" x14ac:dyDescent="0.25">
      <c r="G5859" s="105" t="str">
        <f t="shared" si="364"/>
        <v/>
      </c>
      <c r="H5859" s="101" t="str">
        <f t="shared" si="365"/>
        <v/>
      </c>
      <c r="I5859" s="101" t="str">
        <f t="shared" si="366"/>
        <v/>
      </c>
      <c r="J5859" s="140" t="str">
        <f t="shared" si="367"/>
        <v/>
      </c>
    </row>
    <row r="5860" spans="7:10" x14ac:dyDescent="0.25">
      <c r="G5860" s="105" t="str">
        <f t="shared" si="364"/>
        <v/>
      </c>
      <c r="H5860" s="101" t="str">
        <f t="shared" si="365"/>
        <v/>
      </c>
      <c r="I5860" s="101" t="str">
        <f t="shared" si="366"/>
        <v/>
      </c>
      <c r="J5860" s="140" t="str">
        <f t="shared" si="367"/>
        <v/>
      </c>
    </row>
    <row r="5861" spans="7:10" x14ac:dyDescent="0.25">
      <c r="G5861" s="105" t="str">
        <f t="shared" si="364"/>
        <v/>
      </c>
      <c r="H5861" s="101" t="str">
        <f t="shared" si="365"/>
        <v/>
      </c>
      <c r="I5861" s="101" t="str">
        <f t="shared" si="366"/>
        <v/>
      </c>
      <c r="J5861" s="140" t="str">
        <f t="shared" si="367"/>
        <v/>
      </c>
    </row>
    <row r="5862" spans="7:10" x14ac:dyDescent="0.25">
      <c r="G5862" s="105" t="str">
        <f t="shared" si="364"/>
        <v/>
      </c>
      <c r="H5862" s="101" t="str">
        <f t="shared" si="365"/>
        <v/>
      </c>
      <c r="I5862" s="101" t="str">
        <f t="shared" si="366"/>
        <v/>
      </c>
      <c r="J5862" s="140" t="str">
        <f t="shared" si="367"/>
        <v/>
      </c>
    </row>
    <row r="5863" spans="7:10" x14ac:dyDescent="0.25">
      <c r="G5863" s="105" t="str">
        <f t="shared" si="364"/>
        <v/>
      </c>
      <c r="H5863" s="101" t="str">
        <f t="shared" si="365"/>
        <v/>
      </c>
      <c r="I5863" s="101" t="str">
        <f t="shared" si="366"/>
        <v/>
      </c>
      <c r="J5863" s="140" t="str">
        <f t="shared" si="367"/>
        <v/>
      </c>
    </row>
    <row r="5864" spans="7:10" x14ac:dyDescent="0.25">
      <c r="G5864" s="105" t="str">
        <f t="shared" si="364"/>
        <v/>
      </c>
      <c r="H5864" s="101" t="str">
        <f t="shared" si="365"/>
        <v/>
      </c>
      <c r="I5864" s="101" t="str">
        <f t="shared" si="366"/>
        <v/>
      </c>
      <c r="J5864" s="140" t="str">
        <f t="shared" si="367"/>
        <v/>
      </c>
    </row>
    <row r="5865" spans="7:10" x14ac:dyDescent="0.25">
      <c r="G5865" s="105" t="str">
        <f t="shared" si="364"/>
        <v/>
      </c>
      <c r="H5865" s="101" t="str">
        <f t="shared" si="365"/>
        <v/>
      </c>
      <c r="I5865" s="101" t="str">
        <f t="shared" si="366"/>
        <v/>
      </c>
      <c r="J5865" s="140" t="str">
        <f t="shared" si="367"/>
        <v/>
      </c>
    </row>
    <row r="5866" spans="7:10" x14ac:dyDescent="0.25">
      <c r="G5866" s="105" t="str">
        <f t="shared" si="364"/>
        <v/>
      </c>
      <c r="H5866" s="101" t="str">
        <f t="shared" si="365"/>
        <v/>
      </c>
      <c r="I5866" s="101" t="str">
        <f t="shared" si="366"/>
        <v/>
      </c>
      <c r="J5866" s="140" t="str">
        <f t="shared" si="367"/>
        <v/>
      </c>
    </row>
    <row r="5867" spans="7:10" x14ac:dyDescent="0.25">
      <c r="G5867" s="105" t="str">
        <f t="shared" si="364"/>
        <v/>
      </c>
      <c r="H5867" s="101" t="str">
        <f t="shared" si="365"/>
        <v/>
      </c>
      <c r="I5867" s="101" t="str">
        <f t="shared" si="366"/>
        <v/>
      </c>
      <c r="J5867" s="140" t="str">
        <f t="shared" si="367"/>
        <v/>
      </c>
    </row>
    <row r="5868" spans="7:10" x14ac:dyDescent="0.25">
      <c r="G5868" s="105" t="str">
        <f t="shared" si="364"/>
        <v/>
      </c>
      <c r="H5868" s="101" t="str">
        <f t="shared" si="365"/>
        <v/>
      </c>
      <c r="I5868" s="101" t="str">
        <f t="shared" si="366"/>
        <v/>
      </c>
      <c r="J5868" s="140" t="str">
        <f t="shared" si="367"/>
        <v/>
      </c>
    </row>
    <row r="5869" spans="7:10" x14ac:dyDescent="0.25">
      <c r="G5869" s="105" t="str">
        <f t="shared" si="364"/>
        <v/>
      </c>
      <c r="H5869" s="101" t="str">
        <f t="shared" si="365"/>
        <v/>
      </c>
      <c r="I5869" s="101" t="str">
        <f t="shared" si="366"/>
        <v/>
      </c>
      <c r="J5869" s="140" t="str">
        <f t="shared" si="367"/>
        <v/>
      </c>
    </row>
    <row r="5870" spans="7:10" x14ac:dyDescent="0.25">
      <c r="G5870" s="105" t="str">
        <f t="shared" si="364"/>
        <v/>
      </c>
      <c r="H5870" s="101" t="str">
        <f t="shared" si="365"/>
        <v/>
      </c>
      <c r="I5870" s="101" t="str">
        <f t="shared" si="366"/>
        <v/>
      </c>
      <c r="J5870" s="140" t="str">
        <f t="shared" si="367"/>
        <v/>
      </c>
    </row>
    <row r="5871" spans="7:10" x14ac:dyDescent="0.25">
      <c r="G5871" s="105" t="str">
        <f t="shared" si="364"/>
        <v/>
      </c>
      <c r="H5871" s="101" t="str">
        <f t="shared" si="365"/>
        <v/>
      </c>
      <c r="I5871" s="101" t="str">
        <f t="shared" si="366"/>
        <v/>
      </c>
      <c r="J5871" s="140" t="str">
        <f t="shared" si="367"/>
        <v/>
      </c>
    </row>
    <row r="5872" spans="7:10" x14ac:dyDescent="0.25">
      <c r="G5872" s="105" t="str">
        <f t="shared" si="364"/>
        <v/>
      </c>
      <c r="H5872" s="101" t="str">
        <f t="shared" si="365"/>
        <v/>
      </c>
      <c r="I5872" s="101" t="str">
        <f t="shared" si="366"/>
        <v/>
      </c>
      <c r="J5872" s="140" t="str">
        <f t="shared" si="367"/>
        <v/>
      </c>
    </row>
    <row r="5873" spans="7:10" x14ac:dyDescent="0.25">
      <c r="G5873" s="105" t="str">
        <f t="shared" si="364"/>
        <v/>
      </c>
      <c r="H5873" s="101" t="str">
        <f t="shared" si="365"/>
        <v/>
      </c>
      <c r="I5873" s="101" t="str">
        <f t="shared" si="366"/>
        <v/>
      </c>
      <c r="J5873" s="140" t="str">
        <f t="shared" si="367"/>
        <v/>
      </c>
    </row>
    <row r="5874" spans="7:10" x14ac:dyDescent="0.25">
      <c r="G5874" s="105" t="str">
        <f t="shared" si="364"/>
        <v/>
      </c>
      <c r="H5874" s="101" t="str">
        <f t="shared" si="365"/>
        <v/>
      </c>
      <c r="I5874" s="101" t="str">
        <f t="shared" si="366"/>
        <v/>
      </c>
      <c r="J5874" s="140" t="str">
        <f t="shared" si="367"/>
        <v/>
      </c>
    </row>
    <row r="5875" spans="7:10" x14ac:dyDescent="0.25">
      <c r="G5875" s="105" t="str">
        <f t="shared" si="364"/>
        <v/>
      </c>
      <c r="H5875" s="101" t="str">
        <f t="shared" si="365"/>
        <v/>
      </c>
      <c r="I5875" s="101" t="str">
        <f t="shared" si="366"/>
        <v/>
      </c>
      <c r="J5875" s="140" t="str">
        <f t="shared" si="367"/>
        <v/>
      </c>
    </row>
    <row r="5876" spans="7:10" x14ac:dyDescent="0.25">
      <c r="G5876" s="105" t="str">
        <f t="shared" si="364"/>
        <v/>
      </c>
      <c r="H5876" s="101" t="str">
        <f t="shared" si="365"/>
        <v/>
      </c>
      <c r="I5876" s="101" t="str">
        <f t="shared" si="366"/>
        <v/>
      </c>
      <c r="J5876" s="140" t="str">
        <f t="shared" si="367"/>
        <v/>
      </c>
    </row>
    <row r="5877" spans="7:10" x14ac:dyDescent="0.25">
      <c r="G5877" s="105" t="str">
        <f t="shared" si="364"/>
        <v/>
      </c>
      <c r="H5877" s="101" t="str">
        <f t="shared" si="365"/>
        <v/>
      </c>
      <c r="I5877" s="101" t="str">
        <f t="shared" si="366"/>
        <v/>
      </c>
      <c r="J5877" s="140" t="str">
        <f t="shared" si="367"/>
        <v/>
      </c>
    </row>
    <row r="5878" spans="7:10" x14ac:dyDescent="0.25">
      <c r="G5878" s="105" t="str">
        <f t="shared" si="364"/>
        <v/>
      </c>
      <c r="H5878" s="101" t="str">
        <f t="shared" si="365"/>
        <v/>
      </c>
      <c r="I5878" s="101" t="str">
        <f t="shared" si="366"/>
        <v/>
      </c>
      <c r="J5878" s="140" t="str">
        <f t="shared" si="367"/>
        <v/>
      </c>
    </row>
    <row r="5879" spans="7:10" x14ac:dyDescent="0.25">
      <c r="G5879" s="105" t="str">
        <f t="shared" si="364"/>
        <v/>
      </c>
      <c r="H5879" s="101" t="str">
        <f t="shared" si="365"/>
        <v/>
      </c>
      <c r="I5879" s="101" t="str">
        <f t="shared" si="366"/>
        <v/>
      </c>
      <c r="J5879" s="140" t="str">
        <f t="shared" si="367"/>
        <v/>
      </c>
    </row>
    <row r="5880" spans="7:10" x14ac:dyDescent="0.25">
      <c r="G5880" s="105" t="str">
        <f t="shared" si="364"/>
        <v/>
      </c>
      <c r="H5880" s="101" t="str">
        <f t="shared" si="365"/>
        <v/>
      </c>
      <c r="I5880" s="101" t="str">
        <f t="shared" si="366"/>
        <v/>
      </c>
      <c r="J5880" s="140" t="str">
        <f t="shared" si="367"/>
        <v/>
      </c>
    </row>
    <row r="5881" spans="7:10" x14ac:dyDescent="0.25">
      <c r="G5881" s="105" t="str">
        <f t="shared" si="364"/>
        <v/>
      </c>
      <c r="H5881" s="101" t="str">
        <f t="shared" si="365"/>
        <v/>
      </c>
      <c r="I5881" s="101" t="str">
        <f t="shared" si="366"/>
        <v/>
      </c>
      <c r="J5881" s="140" t="str">
        <f t="shared" si="367"/>
        <v/>
      </c>
    </row>
    <row r="5882" spans="7:10" x14ac:dyDescent="0.25">
      <c r="G5882" s="105" t="str">
        <f t="shared" si="364"/>
        <v/>
      </c>
      <c r="H5882" s="101" t="str">
        <f t="shared" si="365"/>
        <v/>
      </c>
      <c r="I5882" s="101" t="str">
        <f t="shared" si="366"/>
        <v/>
      </c>
      <c r="J5882" s="140" t="str">
        <f t="shared" si="367"/>
        <v/>
      </c>
    </row>
    <row r="5883" spans="7:10" x14ac:dyDescent="0.25">
      <c r="G5883" s="105" t="str">
        <f t="shared" si="364"/>
        <v/>
      </c>
      <c r="H5883" s="101" t="str">
        <f t="shared" si="365"/>
        <v/>
      </c>
      <c r="I5883" s="101" t="str">
        <f t="shared" si="366"/>
        <v/>
      </c>
      <c r="J5883" s="140" t="str">
        <f t="shared" si="367"/>
        <v/>
      </c>
    </row>
    <row r="5884" spans="7:10" x14ac:dyDescent="0.25">
      <c r="G5884" s="105" t="str">
        <f t="shared" si="364"/>
        <v/>
      </c>
      <c r="H5884" s="101" t="str">
        <f t="shared" si="365"/>
        <v/>
      </c>
      <c r="I5884" s="101" t="str">
        <f t="shared" si="366"/>
        <v/>
      </c>
      <c r="J5884" s="140" t="str">
        <f t="shared" si="367"/>
        <v/>
      </c>
    </row>
    <row r="5885" spans="7:10" x14ac:dyDescent="0.25">
      <c r="G5885" s="105" t="str">
        <f t="shared" si="364"/>
        <v/>
      </c>
      <c r="H5885" s="101" t="str">
        <f t="shared" si="365"/>
        <v/>
      </c>
      <c r="I5885" s="101" t="str">
        <f t="shared" si="366"/>
        <v/>
      </c>
      <c r="J5885" s="140" t="str">
        <f t="shared" si="367"/>
        <v/>
      </c>
    </row>
    <row r="5886" spans="7:10" x14ac:dyDescent="0.25">
      <c r="G5886" s="105" t="str">
        <f t="shared" si="364"/>
        <v/>
      </c>
      <c r="H5886" s="101" t="str">
        <f t="shared" si="365"/>
        <v/>
      </c>
      <c r="I5886" s="101" t="str">
        <f t="shared" si="366"/>
        <v/>
      </c>
      <c r="J5886" s="140" t="str">
        <f t="shared" si="367"/>
        <v/>
      </c>
    </row>
    <row r="5887" spans="7:10" x14ac:dyDescent="0.25">
      <c r="G5887" s="105" t="str">
        <f t="shared" si="364"/>
        <v/>
      </c>
      <c r="H5887" s="101" t="str">
        <f t="shared" si="365"/>
        <v/>
      </c>
      <c r="I5887" s="101" t="str">
        <f t="shared" si="366"/>
        <v/>
      </c>
      <c r="J5887" s="140" t="str">
        <f t="shared" si="367"/>
        <v/>
      </c>
    </row>
    <row r="5888" spans="7:10" x14ac:dyDescent="0.25">
      <c r="G5888" s="105" t="str">
        <f t="shared" si="364"/>
        <v/>
      </c>
      <c r="H5888" s="101" t="str">
        <f t="shared" si="365"/>
        <v/>
      </c>
      <c r="I5888" s="101" t="str">
        <f t="shared" si="366"/>
        <v/>
      </c>
      <c r="J5888" s="140" t="str">
        <f t="shared" si="367"/>
        <v/>
      </c>
    </row>
    <row r="5889" spans="7:10" x14ac:dyDescent="0.25">
      <c r="G5889" s="105" t="str">
        <f t="shared" si="364"/>
        <v/>
      </c>
      <c r="H5889" s="101" t="str">
        <f t="shared" si="365"/>
        <v/>
      </c>
      <c r="I5889" s="101" t="str">
        <f t="shared" si="366"/>
        <v/>
      </c>
      <c r="J5889" s="140" t="str">
        <f t="shared" si="367"/>
        <v/>
      </c>
    </row>
    <row r="5890" spans="7:10" x14ac:dyDescent="0.25">
      <c r="G5890" s="105" t="str">
        <f t="shared" si="364"/>
        <v/>
      </c>
      <c r="H5890" s="101" t="str">
        <f t="shared" si="365"/>
        <v/>
      </c>
      <c r="I5890" s="101" t="str">
        <f t="shared" si="366"/>
        <v/>
      </c>
      <c r="J5890" s="140" t="str">
        <f t="shared" si="367"/>
        <v/>
      </c>
    </row>
    <row r="5891" spans="7:10" x14ac:dyDescent="0.25">
      <c r="G5891" s="105" t="str">
        <f t="shared" si="364"/>
        <v/>
      </c>
      <c r="H5891" s="101" t="str">
        <f t="shared" si="365"/>
        <v/>
      </c>
      <c r="I5891" s="101" t="str">
        <f t="shared" si="366"/>
        <v/>
      </c>
      <c r="J5891" s="140" t="str">
        <f t="shared" si="367"/>
        <v/>
      </c>
    </row>
    <row r="5892" spans="7:10" x14ac:dyDescent="0.25">
      <c r="G5892" s="105" t="str">
        <f t="shared" si="364"/>
        <v/>
      </c>
      <c r="H5892" s="101" t="str">
        <f t="shared" si="365"/>
        <v/>
      </c>
      <c r="I5892" s="101" t="str">
        <f t="shared" si="366"/>
        <v/>
      </c>
      <c r="J5892" s="140" t="str">
        <f t="shared" si="367"/>
        <v/>
      </c>
    </row>
    <row r="5893" spans="7:10" x14ac:dyDescent="0.25">
      <c r="G5893" s="105" t="str">
        <f t="shared" si="364"/>
        <v/>
      </c>
      <c r="H5893" s="101" t="str">
        <f t="shared" si="365"/>
        <v/>
      </c>
      <c r="I5893" s="101" t="str">
        <f t="shared" si="366"/>
        <v/>
      </c>
      <c r="J5893" s="140" t="str">
        <f t="shared" si="367"/>
        <v/>
      </c>
    </row>
    <row r="5894" spans="7:10" x14ac:dyDescent="0.25">
      <c r="G5894" s="105" t="str">
        <f t="shared" si="364"/>
        <v/>
      </c>
      <c r="H5894" s="101" t="str">
        <f t="shared" si="365"/>
        <v/>
      </c>
      <c r="I5894" s="101" t="str">
        <f t="shared" si="366"/>
        <v/>
      </c>
      <c r="J5894" s="140" t="str">
        <f t="shared" si="367"/>
        <v/>
      </c>
    </row>
    <row r="5895" spans="7:10" x14ac:dyDescent="0.25">
      <c r="G5895" s="105" t="str">
        <f t="shared" si="364"/>
        <v/>
      </c>
      <c r="H5895" s="101" t="str">
        <f t="shared" si="365"/>
        <v/>
      </c>
      <c r="I5895" s="101" t="str">
        <f t="shared" si="366"/>
        <v/>
      </c>
      <c r="J5895" s="140" t="str">
        <f t="shared" si="367"/>
        <v/>
      </c>
    </row>
    <row r="5896" spans="7:10" x14ac:dyDescent="0.25">
      <c r="G5896" s="105" t="str">
        <f t="shared" ref="G5896:G5959" si="368">IF(E5896="","",E5896+0)</f>
        <v/>
      </c>
      <c r="H5896" s="101" t="str">
        <f t="shared" ref="H5896:H5959" si="369">IF(G5896="","",TRIM(CONCATENATE("Sinapi ",A5896)))</f>
        <v/>
      </c>
      <c r="I5896" s="101" t="str">
        <f t="shared" ref="I5896:I5959" si="370">TRIM(C5896)</f>
        <v/>
      </c>
      <c r="J5896" s="140" t="str">
        <f t="shared" si="367"/>
        <v/>
      </c>
    </row>
    <row r="5897" spans="7:10" x14ac:dyDescent="0.25">
      <c r="G5897" s="105" t="str">
        <f t="shared" si="368"/>
        <v/>
      </c>
      <c r="H5897" s="101" t="str">
        <f t="shared" si="369"/>
        <v/>
      </c>
      <c r="I5897" s="101" t="str">
        <f t="shared" si="370"/>
        <v/>
      </c>
      <c r="J5897" s="140" t="str">
        <f t="shared" ref="J5897:J5960" si="371">TRIM(B5897)</f>
        <v/>
      </c>
    </row>
    <row r="5898" spans="7:10" x14ac:dyDescent="0.25">
      <c r="G5898" s="105" t="str">
        <f t="shared" si="368"/>
        <v/>
      </c>
      <c r="H5898" s="101" t="str">
        <f t="shared" si="369"/>
        <v/>
      </c>
      <c r="I5898" s="101" t="str">
        <f t="shared" si="370"/>
        <v/>
      </c>
      <c r="J5898" s="140" t="str">
        <f t="shared" si="371"/>
        <v/>
      </c>
    </row>
    <row r="5899" spans="7:10" x14ac:dyDescent="0.25">
      <c r="G5899" s="105" t="str">
        <f t="shared" si="368"/>
        <v/>
      </c>
      <c r="H5899" s="101" t="str">
        <f t="shared" si="369"/>
        <v/>
      </c>
      <c r="I5899" s="101" t="str">
        <f t="shared" si="370"/>
        <v/>
      </c>
      <c r="J5899" s="140" t="str">
        <f t="shared" si="371"/>
        <v/>
      </c>
    </row>
    <row r="5900" spans="7:10" x14ac:dyDescent="0.25">
      <c r="G5900" s="105" t="str">
        <f t="shared" si="368"/>
        <v/>
      </c>
      <c r="H5900" s="101" t="str">
        <f t="shared" si="369"/>
        <v/>
      </c>
      <c r="I5900" s="101" t="str">
        <f t="shared" si="370"/>
        <v/>
      </c>
      <c r="J5900" s="140" t="str">
        <f t="shared" si="371"/>
        <v/>
      </c>
    </row>
    <row r="5901" spans="7:10" x14ac:dyDescent="0.25">
      <c r="G5901" s="105" t="str">
        <f t="shared" si="368"/>
        <v/>
      </c>
      <c r="H5901" s="101" t="str">
        <f t="shared" si="369"/>
        <v/>
      </c>
      <c r="I5901" s="101" t="str">
        <f t="shared" si="370"/>
        <v/>
      </c>
      <c r="J5901" s="140" t="str">
        <f t="shared" si="371"/>
        <v/>
      </c>
    </row>
    <row r="5902" spans="7:10" x14ac:dyDescent="0.25">
      <c r="G5902" s="105" t="str">
        <f t="shared" si="368"/>
        <v/>
      </c>
      <c r="H5902" s="101" t="str">
        <f t="shared" si="369"/>
        <v/>
      </c>
      <c r="I5902" s="101" t="str">
        <f t="shared" si="370"/>
        <v/>
      </c>
      <c r="J5902" s="140" t="str">
        <f t="shared" si="371"/>
        <v/>
      </c>
    </row>
    <row r="5903" spans="7:10" x14ac:dyDescent="0.25">
      <c r="G5903" s="105" t="str">
        <f t="shared" si="368"/>
        <v/>
      </c>
      <c r="H5903" s="101" t="str">
        <f t="shared" si="369"/>
        <v/>
      </c>
      <c r="I5903" s="101" t="str">
        <f t="shared" si="370"/>
        <v/>
      </c>
      <c r="J5903" s="140" t="str">
        <f t="shared" si="371"/>
        <v/>
      </c>
    </row>
    <row r="5904" spans="7:10" x14ac:dyDescent="0.25">
      <c r="G5904" s="105" t="str">
        <f t="shared" si="368"/>
        <v/>
      </c>
      <c r="H5904" s="101" t="str">
        <f t="shared" si="369"/>
        <v/>
      </c>
      <c r="I5904" s="101" t="str">
        <f t="shared" si="370"/>
        <v/>
      </c>
      <c r="J5904" s="140" t="str">
        <f t="shared" si="371"/>
        <v/>
      </c>
    </row>
    <row r="5905" spans="7:10" x14ac:dyDescent="0.25">
      <c r="G5905" s="105" t="str">
        <f t="shared" si="368"/>
        <v/>
      </c>
      <c r="H5905" s="101" t="str">
        <f t="shared" si="369"/>
        <v/>
      </c>
      <c r="I5905" s="101" t="str">
        <f t="shared" si="370"/>
        <v/>
      </c>
      <c r="J5905" s="140" t="str">
        <f t="shared" si="371"/>
        <v/>
      </c>
    </row>
    <row r="5906" spans="7:10" x14ac:dyDescent="0.25">
      <c r="G5906" s="105" t="str">
        <f t="shared" si="368"/>
        <v/>
      </c>
      <c r="H5906" s="101" t="str">
        <f t="shared" si="369"/>
        <v/>
      </c>
      <c r="I5906" s="101" t="str">
        <f t="shared" si="370"/>
        <v/>
      </c>
      <c r="J5906" s="140" t="str">
        <f t="shared" si="371"/>
        <v/>
      </c>
    </row>
    <row r="5907" spans="7:10" x14ac:dyDescent="0.25">
      <c r="G5907" s="105" t="str">
        <f t="shared" si="368"/>
        <v/>
      </c>
      <c r="H5907" s="101" t="str">
        <f t="shared" si="369"/>
        <v/>
      </c>
      <c r="I5907" s="101" t="str">
        <f t="shared" si="370"/>
        <v/>
      </c>
      <c r="J5907" s="140" t="str">
        <f t="shared" si="371"/>
        <v/>
      </c>
    </row>
    <row r="5908" spans="7:10" x14ac:dyDescent="0.25">
      <c r="G5908" s="105" t="str">
        <f t="shared" si="368"/>
        <v/>
      </c>
      <c r="H5908" s="101" t="str">
        <f t="shared" si="369"/>
        <v/>
      </c>
      <c r="I5908" s="101" t="str">
        <f t="shared" si="370"/>
        <v/>
      </c>
      <c r="J5908" s="140" t="str">
        <f t="shared" si="371"/>
        <v/>
      </c>
    </row>
    <row r="5909" spans="7:10" x14ac:dyDescent="0.25">
      <c r="G5909" s="105" t="str">
        <f t="shared" si="368"/>
        <v/>
      </c>
      <c r="H5909" s="101" t="str">
        <f t="shared" si="369"/>
        <v/>
      </c>
      <c r="I5909" s="101" t="str">
        <f t="shared" si="370"/>
        <v/>
      </c>
      <c r="J5909" s="140" t="str">
        <f t="shared" si="371"/>
        <v/>
      </c>
    </row>
    <row r="5910" spans="7:10" x14ac:dyDescent="0.25">
      <c r="G5910" s="105" t="str">
        <f t="shared" si="368"/>
        <v/>
      </c>
      <c r="H5910" s="101" t="str">
        <f t="shared" si="369"/>
        <v/>
      </c>
      <c r="I5910" s="101" t="str">
        <f t="shared" si="370"/>
        <v/>
      </c>
      <c r="J5910" s="140" t="str">
        <f t="shared" si="371"/>
        <v/>
      </c>
    </row>
    <row r="5911" spans="7:10" x14ac:dyDescent="0.25">
      <c r="G5911" s="105" t="str">
        <f t="shared" si="368"/>
        <v/>
      </c>
      <c r="H5911" s="101" t="str">
        <f t="shared" si="369"/>
        <v/>
      </c>
      <c r="I5911" s="101" t="str">
        <f t="shared" si="370"/>
        <v/>
      </c>
      <c r="J5911" s="140" t="str">
        <f t="shared" si="371"/>
        <v/>
      </c>
    </row>
    <row r="5912" spans="7:10" x14ac:dyDescent="0.25">
      <c r="G5912" s="105" t="str">
        <f t="shared" si="368"/>
        <v/>
      </c>
      <c r="H5912" s="101" t="str">
        <f t="shared" si="369"/>
        <v/>
      </c>
      <c r="I5912" s="101" t="str">
        <f t="shared" si="370"/>
        <v/>
      </c>
      <c r="J5912" s="140" t="str">
        <f t="shared" si="371"/>
        <v/>
      </c>
    </row>
    <row r="5913" spans="7:10" x14ac:dyDescent="0.25">
      <c r="G5913" s="105" t="str">
        <f t="shared" si="368"/>
        <v/>
      </c>
      <c r="H5913" s="101" t="str">
        <f t="shared" si="369"/>
        <v/>
      </c>
      <c r="I5913" s="101" t="str">
        <f t="shared" si="370"/>
        <v/>
      </c>
      <c r="J5913" s="140" t="str">
        <f t="shared" si="371"/>
        <v/>
      </c>
    </row>
    <row r="5914" spans="7:10" x14ac:dyDescent="0.25">
      <c r="G5914" s="105" t="str">
        <f t="shared" si="368"/>
        <v/>
      </c>
      <c r="H5914" s="101" t="str">
        <f t="shared" si="369"/>
        <v/>
      </c>
      <c r="I5914" s="101" t="str">
        <f t="shared" si="370"/>
        <v/>
      </c>
      <c r="J5914" s="140" t="str">
        <f t="shared" si="371"/>
        <v/>
      </c>
    </row>
    <row r="5915" spans="7:10" x14ac:dyDescent="0.25">
      <c r="G5915" s="105" t="str">
        <f t="shared" si="368"/>
        <v/>
      </c>
      <c r="H5915" s="101" t="str">
        <f t="shared" si="369"/>
        <v/>
      </c>
      <c r="I5915" s="101" t="str">
        <f t="shared" si="370"/>
        <v/>
      </c>
      <c r="J5915" s="140" t="str">
        <f t="shared" si="371"/>
        <v/>
      </c>
    </row>
    <row r="5916" spans="7:10" x14ac:dyDescent="0.25">
      <c r="G5916" s="105" t="str">
        <f t="shared" si="368"/>
        <v/>
      </c>
      <c r="H5916" s="101" t="str">
        <f t="shared" si="369"/>
        <v/>
      </c>
      <c r="I5916" s="101" t="str">
        <f t="shared" si="370"/>
        <v/>
      </c>
      <c r="J5916" s="140" t="str">
        <f t="shared" si="371"/>
        <v/>
      </c>
    </row>
    <row r="5917" spans="7:10" x14ac:dyDescent="0.25">
      <c r="G5917" s="105" t="str">
        <f t="shared" si="368"/>
        <v/>
      </c>
      <c r="H5917" s="101" t="str">
        <f t="shared" si="369"/>
        <v/>
      </c>
      <c r="I5917" s="101" t="str">
        <f t="shared" si="370"/>
        <v/>
      </c>
      <c r="J5917" s="140" t="str">
        <f t="shared" si="371"/>
        <v/>
      </c>
    </row>
    <row r="5918" spans="7:10" x14ac:dyDescent="0.25">
      <c r="G5918" s="105" t="str">
        <f t="shared" si="368"/>
        <v/>
      </c>
      <c r="H5918" s="101" t="str">
        <f t="shared" si="369"/>
        <v/>
      </c>
      <c r="I5918" s="101" t="str">
        <f t="shared" si="370"/>
        <v/>
      </c>
      <c r="J5918" s="140" t="str">
        <f t="shared" si="371"/>
        <v/>
      </c>
    </row>
    <row r="5919" spans="7:10" x14ac:dyDescent="0.25">
      <c r="G5919" s="105" t="str">
        <f t="shared" si="368"/>
        <v/>
      </c>
      <c r="H5919" s="101" t="str">
        <f t="shared" si="369"/>
        <v/>
      </c>
      <c r="I5919" s="101" t="str">
        <f t="shared" si="370"/>
        <v/>
      </c>
      <c r="J5919" s="140" t="str">
        <f t="shared" si="371"/>
        <v/>
      </c>
    </row>
    <row r="5920" spans="7:10" x14ac:dyDescent="0.25">
      <c r="G5920" s="105" t="str">
        <f t="shared" si="368"/>
        <v/>
      </c>
      <c r="H5920" s="101" t="str">
        <f t="shared" si="369"/>
        <v/>
      </c>
      <c r="I5920" s="101" t="str">
        <f t="shared" si="370"/>
        <v/>
      </c>
      <c r="J5920" s="140" t="str">
        <f t="shared" si="371"/>
        <v/>
      </c>
    </row>
    <row r="5921" spans="7:10" x14ac:dyDescent="0.25">
      <c r="G5921" s="105" t="str">
        <f t="shared" si="368"/>
        <v/>
      </c>
      <c r="H5921" s="101" t="str">
        <f t="shared" si="369"/>
        <v/>
      </c>
      <c r="I5921" s="101" t="str">
        <f t="shared" si="370"/>
        <v/>
      </c>
      <c r="J5921" s="140" t="str">
        <f t="shared" si="371"/>
        <v/>
      </c>
    </row>
    <row r="5922" spans="7:10" x14ac:dyDescent="0.25">
      <c r="G5922" s="105" t="str">
        <f t="shared" si="368"/>
        <v/>
      </c>
      <c r="H5922" s="101" t="str">
        <f t="shared" si="369"/>
        <v/>
      </c>
      <c r="I5922" s="101" t="str">
        <f t="shared" si="370"/>
        <v/>
      </c>
      <c r="J5922" s="140" t="str">
        <f t="shared" si="371"/>
        <v/>
      </c>
    </row>
    <row r="5923" spans="7:10" x14ac:dyDescent="0.25">
      <c r="G5923" s="105" t="str">
        <f t="shared" si="368"/>
        <v/>
      </c>
      <c r="H5923" s="101" t="str">
        <f t="shared" si="369"/>
        <v/>
      </c>
      <c r="I5923" s="101" t="str">
        <f t="shared" si="370"/>
        <v/>
      </c>
      <c r="J5923" s="140" t="str">
        <f t="shared" si="371"/>
        <v/>
      </c>
    </row>
    <row r="5924" spans="7:10" x14ac:dyDescent="0.25">
      <c r="G5924" s="105" t="str">
        <f t="shared" si="368"/>
        <v/>
      </c>
      <c r="H5924" s="101" t="str">
        <f t="shared" si="369"/>
        <v/>
      </c>
      <c r="I5924" s="101" t="str">
        <f t="shared" si="370"/>
        <v/>
      </c>
      <c r="J5924" s="140" t="str">
        <f t="shared" si="371"/>
        <v/>
      </c>
    </row>
    <row r="5925" spans="7:10" x14ac:dyDescent="0.25">
      <c r="G5925" s="105" t="str">
        <f t="shared" si="368"/>
        <v/>
      </c>
      <c r="H5925" s="101" t="str">
        <f t="shared" si="369"/>
        <v/>
      </c>
      <c r="I5925" s="101" t="str">
        <f t="shared" si="370"/>
        <v/>
      </c>
      <c r="J5925" s="140" t="str">
        <f t="shared" si="371"/>
        <v/>
      </c>
    </row>
    <row r="5926" spans="7:10" x14ac:dyDescent="0.25">
      <c r="G5926" s="105" t="str">
        <f t="shared" si="368"/>
        <v/>
      </c>
      <c r="H5926" s="101" t="str">
        <f t="shared" si="369"/>
        <v/>
      </c>
      <c r="I5926" s="101" t="str">
        <f t="shared" si="370"/>
        <v/>
      </c>
      <c r="J5926" s="140" t="str">
        <f t="shared" si="371"/>
        <v/>
      </c>
    </row>
    <row r="5927" spans="7:10" x14ac:dyDescent="0.25">
      <c r="G5927" s="105" t="str">
        <f t="shared" si="368"/>
        <v/>
      </c>
      <c r="H5927" s="101" t="str">
        <f t="shared" si="369"/>
        <v/>
      </c>
      <c r="I5927" s="101" t="str">
        <f t="shared" si="370"/>
        <v/>
      </c>
      <c r="J5927" s="140" t="str">
        <f t="shared" si="371"/>
        <v/>
      </c>
    </row>
    <row r="5928" spans="7:10" x14ac:dyDescent="0.25">
      <c r="G5928" s="105" t="str">
        <f t="shared" si="368"/>
        <v/>
      </c>
      <c r="H5928" s="101" t="str">
        <f t="shared" si="369"/>
        <v/>
      </c>
      <c r="I5928" s="101" t="str">
        <f t="shared" si="370"/>
        <v/>
      </c>
      <c r="J5928" s="140" t="str">
        <f t="shared" si="371"/>
        <v/>
      </c>
    </row>
    <row r="5929" spans="7:10" x14ac:dyDescent="0.25">
      <c r="G5929" s="105" t="str">
        <f t="shared" si="368"/>
        <v/>
      </c>
      <c r="H5929" s="101" t="str">
        <f t="shared" si="369"/>
        <v/>
      </c>
      <c r="I5929" s="101" t="str">
        <f t="shared" si="370"/>
        <v/>
      </c>
      <c r="J5929" s="140" t="str">
        <f t="shared" si="371"/>
        <v/>
      </c>
    </row>
    <row r="5930" spans="7:10" x14ac:dyDescent="0.25">
      <c r="G5930" s="105" t="str">
        <f t="shared" si="368"/>
        <v/>
      </c>
      <c r="H5930" s="101" t="str">
        <f t="shared" si="369"/>
        <v/>
      </c>
      <c r="I5930" s="101" t="str">
        <f t="shared" si="370"/>
        <v/>
      </c>
      <c r="J5930" s="140" t="str">
        <f t="shared" si="371"/>
        <v/>
      </c>
    </row>
    <row r="5931" spans="7:10" x14ac:dyDescent="0.25">
      <c r="G5931" s="105" t="str">
        <f t="shared" si="368"/>
        <v/>
      </c>
      <c r="H5931" s="101" t="str">
        <f t="shared" si="369"/>
        <v/>
      </c>
      <c r="I5931" s="101" t="str">
        <f t="shared" si="370"/>
        <v/>
      </c>
      <c r="J5931" s="140" t="str">
        <f t="shared" si="371"/>
        <v/>
      </c>
    </row>
    <row r="5932" spans="7:10" x14ac:dyDescent="0.25">
      <c r="G5932" s="105" t="str">
        <f t="shared" si="368"/>
        <v/>
      </c>
      <c r="H5932" s="101" t="str">
        <f t="shared" si="369"/>
        <v/>
      </c>
      <c r="I5932" s="101" t="str">
        <f t="shared" si="370"/>
        <v/>
      </c>
      <c r="J5932" s="140" t="str">
        <f t="shared" si="371"/>
        <v/>
      </c>
    </row>
    <row r="5933" spans="7:10" x14ac:dyDescent="0.25">
      <c r="G5933" s="105" t="str">
        <f t="shared" si="368"/>
        <v/>
      </c>
      <c r="H5933" s="101" t="str">
        <f t="shared" si="369"/>
        <v/>
      </c>
      <c r="I5933" s="101" t="str">
        <f t="shared" si="370"/>
        <v/>
      </c>
      <c r="J5933" s="140" t="str">
        <f t="shared" si="371"/>
        <v/>
      </c>
    </row>
    <row r="5934" spans="7:10" x14ac:dyDescent="0.25">
      <c r="G5934" s="105" t="str">
        <f t="shared" si="368"/>
        <v/>
      </c>
      <c r="H5934" s="101" t="str">
        <f t="shared" si="369"/>
        <v/>
      </c>
      <c r="I5934" s="101" t="str">
        <f t="shared" si="370"/>
        <v/>
      </c>
      <c r="J5934" s="140" t="str">
        <f t="shared" si="371"/>
        <v/>
      </c>
    </row>
    <row r="5935" spans="7:10" x14ac:dyDescent="0.25">
      <c r="G5935" s="105" t="str">
        <f t="shared" si="368"/>
        <v/>
      </c>
      <c r="H5935" s="101" t="str">
        <f t="shared" si="369"/>
        <v/>
      </c>
      <c r="I5935" s="101" t="str">
        <f t="shared" si="370"/>
        <v/>
      </c>
      <c r="J5935" s="140" t="str">
        <f t="shared" si="371"/>
        <v/>
      </c>
    </row>
    <row r="5936" spans="7:10" x14ac:dyDescent="0.25">
      <c r="G5936" s="105" t="str">
        <f t="shared" si="368"/>
        <v/>
      </c>
      <c r="H5936" s="101" t="str">
        <f t="shared" si="369"/>
        <v/>
      </c>
      <c r="I5936" s="101" t="str">
        <f t="shared" si="370"/>
        <v/>
      </c>
      <c r="J5936" s="140" t="str">
        <f t="shared" si="371"/>
        <v/>
      </c>
    </row>
    <row r="5937" spans="7:10" x14ac:dyDescent="0.25">
      <c r="G5937" s="105" t="str">
        <f t="shared" si="368"/>
        <v/>
      </c>
      <c r="H5937" s="101" t="str">
        <f t="shared" si="369"/>
        <v/>
      </c>
      <c r="I5937" s="101" t="str">
        <f t="shared" si="370"/>
        <v/>
      </c>
      <c r="J5937" s="140" t="str">
        <f t="shared" si="371"/>
        <v/>
      </c>
    </row>
    <row r="5938" spans="7:10" x14ac:dyDescent="0.25">
      <c r="G5938" s="105" t="str">
        <f t="shared" si="368"/>
        <v/>
      </c>
      <c r="H5938" s="101" t="str">
        <f t="shared" si="369"/>
        <v/>
      </c>
      <c r="I5938" s="101" t="str">
        <f t="shared" si="370"/>
        <v/>
      </c>
      <c r="J5938" s="140" t="str">
        <f t="shared" si="371"/>
        <v/>
      </c>
    </row>
    <row r="5939" spans="7:10" x14ac:dyDescent="0.25">
      <c r="G5939" s="105" t="str">
        <f t="shared" si="368"/>
        <v/>
      </c>
      <c r="H5939" s="101" t="str">
        <f t="shared" si="369"/>
        <v/>
      </c>
      <c r="I5939" s="101" t="str">
        <f t="shared" si="370"/>
        <v/>
      </c>
      <c r="J5939" s="140" t="str">
        <f t="shared" si="371"/>
        <v/>
      </c>
    </row>
    <row r="5940" spans="7:10" x14ac:dyDescent="0.25">
      <c r="G5940" s="105" t="str">
        <f t="shared" si="368"/>
        <v/>
      </c>
      <c r="H5940" s="101" t="str">
        <f t="shared" si="369"/>
        <v/>
      </c>
      <c r="I5940" s="101" t="str">
        <f t="shared" si="370"/>
        <v/>
      </c>
      <c r="J5940" s="140" t="str">
        <f t="shared" si="371"/>
        <v/>
      </c>
    </row>
    <row r="5941" spans="7:10" x14ac:dyDescent="0.25">
      <c r="G5941" s="105" t="str">
        <f t="shared" si="368"/>
        <v/>
      </c>
      <c r="H5941" s="101" t="str">
        <f t="shared" si="369"/>
        <v/>
      </c>
      <c r="I5941" s="101" t="str">
        <f t="shared" si="370"/>
        <v/>
      </c>
      <c r="J5941" s="140" t="str">
        <f t="shared" si="371"/>
        <v/>
      </c>
    </row>
    <row r="5942" spans="7:10" x14ac:dyDescent="0.25">
      <c r="G5942" s="105" t="str">
        <f t="shared" si="368"/>
        <v/>
      </c>
      <c r="H5942" s="101" t="str">
        <f t="shared" si="369"/>
        <v/>
      </c>
      <c r="I5942" s="101" t="str">
        <f t="shared" si="370"/>
        <v/>
      </c>
      <c r="J5942" s="140" t="str">
        <f t="shared" si="371"/>
        <v/>
      </c>
    </row>
    <row r="5943" spans="7:10" x14ac:dyDescent="0.25">
      <c r="G5943" s="105" t="str">
        <f t="shared" si="368"/>
        <v/>
      </c>
      <c r="H5943" s="101" t="str">
        <f t="shared" si="369"/>
        <v/>
      </c>
      <c r="I5943" s="101" t="str">
        <f t="shared" si="370"/>
        <v/>
      </c>
      <c r="J5943" s="140" t="str">
        <f t="shared" si="371"/>
        <v/>
      </c>
    </row>
    <row r="5944" spans="7:10" x14ac:dyDescent="0.25">
      <c r="G5944" s="105" t="str">
        <f t="shared" si="368"/>
        <v/>
      </c>
      <c r="H5944" s="101" t="str">
        <f t="shared" si="369"/>
        <v/>
      </c>
      <c r="I5944" s="101" t="str">
        <f t="shared" si="370"/>
        <v/>
      </c>
      <c r="J5944" s="140" t="str">
        <f t="shared" si="371"/>
        <v/>
      </c>
    </row>
    <row r="5945" spans="7:10" x14ac:dyDescent="0.25">
      <c r="G5945" s="105" t="str">
        <f t="shared" si="368"/>
        <v/>
      </c>
      <c r="H5945" s="101" t="str">
        <f t="shared" si="369"/>
        <v/>
      </c>
      <c r="I5945" s="101" t="str">
        <f t="shared" si="370"/>
        <v/>
      </c>
      <c r="J5945" s="140" t="str">
        <f t="shared" si="371"/>
        <v/>
      </c>
    </row>
    <row r="5946" spans="7:10" x14ac:dyDescent="0.25">
      <c r="G5946" s="105" t="str">
        <f t="shared" si="368"/>
        <v/>
      </c>
      <c r="H5946" s="101" t="str">
        <f t="shared" si="369"/>
        <v/>
      </c>
      <c r="I5946" s="101" t="str">
        <f t="shared" si="370"/>
        <v/>
      </c>
      <c r="J5946" s="140" t="str">
        <f t="shared" si="371"/>
        <v/>
      </c>
    </row>
    <row r="5947" spans="7:10" x14ac:dyDescent="0.25">
      <c r="G5947" s="105" t="str">
        <f t="shared" si="368"/>
        <v/>
      </c>
      <c r="H5947" s="101" t="str">
        <f t="shared" si="369"/>
        <v/>
      </c>
      <c r="I5947" s="101" t="str">
        <f t="shared" si="370"/>
        <v/>
      </c>
      <c r="J5947" s="140" t="str">
        <f t="shared" si="371"/>
        <v/>
      </c>
    </row>
    <row r="5948" spans="7:10" x14ac:dyDescent="0.25">
      <c r="G5948" s="105" t="str">
        <f t="shared" si="368"/>
        <v/>
      </c>
      <c r="H5948" s="101" t="str">
        <f t="shared" si="369"/>
        <v/>
      </c>
      <c r="I5948" s="101" t="str">
        <f t="shared" si="370"/>
        <v/>
      </c>
      <c r="J5948" s="140" t="str">
        <f t="shared" si="371"/>
        <v/>
      </c>
    </row>
    <row r="5949" spans="7:10" x14ac:dyDescent="0.25">
      <c r="G5949" s="105" t="str">
        <f t="shared" si="368"/>
        <v/>
      </c>
      <c r="H5949" s="101" t="str">
        <f t="shared" si="369"/>
        <v/>
      </c>
      <c r="I5949" s="101" t="str">
        <f t="shared" si="370"/>
        <v/>
      </c>
      <c r="J5949" s="140" t="str">
        <f t="shared" si="371"/>
        <v/>
      </c>
    </row>
    <row r="5950" spans="7:10" x14ac:dyDescent="0.25">
      <c r="G5950" s="105" t="str">
        <f t="shared" si="368"/>
        <v/>
      </c>
      <c r="H5950" s="101" t="str">
        <f t="shared" si="369"/>
        <v/>
      </c>
      <c r="I5950" s="101" t="str">
        <f t="shared" si="370"/>
        <v/>
      </c>
      <c r="J5950" s="140" t="str">
        <f t="shared" si="371"/>
        <v/>
      </c>
    </row>
    <row r="5951" spans="7:10" x14ac:dyDescent="0.25">
      <c r="G5951" s="105" t="str">
        <f t="shared" si="368"/>
        <v/>
      </c>
      <c r="H5951" s="101" t="str">
        <f t="shared" si="369"/>
        <v/>
      </c>
      <c r="I5951" s="101" t="str">
        <f t="shared" si="370"/>
        <v/>
      </c>
      <c r="J5951" s="140" t="str">
        <f t="shared" si="371"/>
        <v/>
      </c>
    </row>
    <row r="5952" spans="7:10" x14ac:dyDescent="0.25">
      <c r="G5952" s="105" t="str">
        <f t="shared" si="368"/>
        <v/>
      </c>
      <c r="H5952" s="101" t="str">
        <f t="shared" si="369"/>
        <v/>
      </c>
      <c r="I5952" s="101" t="str">
        <f t="shared" si="370"/>
        <v/>
      </c>
      <c r="J5952" s="140" t="str">
        <f t="shared" si="371"/>
        <v/>
      </c>
    </row>
    <row r="5953" spans="7:10" x14ac:dyDescent="0.25">
      <c r="G5953" s="105" t="str">
        <f t="shared" si="368"/>
        <v/>
      </c>
      <c r="H5953" s="101" t="str">
        <f t="shared" si="369"/>
        <v/>
      </c>
      <c r="I5953" s="101" t="str">
        <f t="shared" si="370"/>
        <v/>
      </c>
      <c r="J5953" s="140" t="str">
        <f t="shared" si="371"/>
        <v/>
      </c>
    </row>
    <row r="5954" spans="7:10" x14ac:dyDescent="0.25">
      <c r="G5954" s="105" t="str">
        <f t="shared" si="368"/>
        <v/>
      </c>
      <c r="H5954" s="101" t="str">
        <f t="shared" si="369"/>
        <v/>
      </c>
      <c r="I5954" s="101" t="str">
        <f t="shared" si="370"/>
        <v/>
      </c>
      <c r="J5954" s="140" t="str">
        <f t="shared" si="371"/>
        <v/>
      </c>
    </row>
    <row r="5955" spans="7:10" x14ac:dyDescent="0.25">
      <c r="G5955" s="105" t="str">
        <f t="shared" si="368"/>
        <v/>
      </c>
      <c r="H5955" s="101" t="str">
        <f t="shared" si="369"/>
        <v/>
      </c>
      <c r="I5955" s="101" t="str">
        <f t="shared" si="370"/>
        <v/>
      </c>
      <c r="J5955" s="140" t="str">
        <f t="shared" si="371"/>
        <v/>
      </c>
    </row>
    <row r="5956" spans="7:10" x14ac:dyDescent="0.25">
      <c r="G5956" s="105" t="str">
        <f t="shared" si="368"/>
        <v/>
      </c>
      <c r="H5956" s="101" t="str">
        <f t="shared" si="369"/>
        <v/>
      </c>
      <c r="I5956" s="101" t="str">
        <f t="shared" si="370"/>
        <v/>
      </c>
      <c r="J5956" s="140" t="str">
        <f t="shared" si="371"/>
        <v/>
      </c>
    </row>
    <row r="5957" spans="7:10" x14ac:dyDescent="0.25">
      <c r="G5957" s="105" t="str">
        <f t="shared" si="368"/>
        <v/>
      </c>
      <c r="H5957" s="101" t="str">
        <f t="shared" si="369"/>
        <v/>
      </c>
      <c r="I5957" s="101" t="str">
        <f t="shared" si="370"/>
        <v/>
      </c>
      <c r="J5957" s="140" t="str">
        <f t="shared" si="371"/>
        <v/>
      </c>
    </row>
    <row r="5958" spans="7:10" x14ac:dyDescent="0.25">
      <c r="G5958" s="105" t="str">
        <f t="shared" si="368"/>
        <v/>
      </c>
      <c r="H5958" s="101" t="str">
        <f t="shared" si="369"/>
        <v/>
      </c>
      <c r="I5958" s="101" t="str">
        <f t="shared" si="370"/>
        <v/>
      </c>
      <c r="J5958" s="140" t="str">
        <f t="shared" si="371"/>
        <v/>
      </c>
    </row>
    <row r="5959" spans="7:10" x14ac:dyDescent="0.25">
      <c r="G5959" s="105" t="str">
        <f t="shared" si="368"/>
        <v/>
      </c>
      <c r="H5959" s="101" t="str">
        <f t="shared" si="369"/>
        <v/>
      </c>
      <c r="I5959" s="101" t="str">
        <f t="shared" si="370"/>
        <v/>
      </c>
      <c r="J5959" s="140" t="str">
        <f t="shared" si="371"/>
        <v/>
      </c>
    </row>
    <row r="5960" spans="7:10" x14ac:dyDescent="0.25">
      <c r="G5960" s="105" t="str">
        <f t="shared" ref="G5960:G6000" si="372">IF(E5960="","",E5960+0)</f>
        <v/>
      </c>
      <c r="H5960" s="101" t="str">
        <f t="shared" ref="H5960:H6000" si="373">IF(G5960="","",TRIM(CONCATENATE("Sinapi ",A5960)))</f>
        <v/>
      </c>
      <c r="I5960" s="101" t="str">
        <f t="shared" ref="I5960:I5976" si="374">TRIM(C5960)</f>
        <v/>
      </c>
      <c r="J5960" s="140" t="str">
        <f t="shared" si="371"/>
        <v/>
      </c>
    </row>
    <row r="5961" spans="7:10" x14ac:dyDescent="0.25">
      <c r="G5961" s="105" t="str">
        <f t="shared" si="372"/>
        <v/>
      </c>
      <c r="H5961" s="101" t="str">
        <f t="shared" si="373"/>
        <v/>
      </c>
      <c r="I5961" s="101" t="str">
        <f t="shared" si="374"/>
        <v/>
      </c>
      <c r="J5961" s="140" t="str">
        <f t="shared" ref="J5961:J6000" si="375">TRIM(B5961)</f>
        <v/>
      </c>
    </row>
    <row r="5962" spans="7:10" x14ac:dyDescent="0.25">
      <c r="G5962" s="105" t="str">
        <f t="shared" si="372"/>
        <v/>
      </c>
      <c r="H5962" s="101" t="str">
        <f t="shared" si="373"/>
        <v/>
      </c>
      <c r="I5962" s="101" t="str">
        <f t="shared" si="374"/>
        <v/>
      </c>
      <c r="J5962" s="140" t="str">
        <f t="shared" si="375"/>
        <v/>
      </c>
    </row>
    <row r="5963" spans="7:10" x14ac:dyDescent="0.25">
      <c r="G5963" s="105" t="str">
        <f t="shared" si="372"/>
        <v/>
      </c>
      <c r="H5963" s="101" t="str">
        <f t="shared" si="373"/>
        <v/>
      </c>
      <c r="I5963" s="101" t="str">
        <f t="shared" si="374"/>
        <v/>
      </c>
      <c r="J5963" s="140" t="str">
        <f t="shared" si="375"/>
        <v/>
      </c>
    </row>
    <row r="5964" spans="7:10" x14ac:dyDescent="0.25">
      <c r="G5964" s="105" t="str">
        <f t="shared" si="372"/>
        <v/>
      </c>
      <c r="H5964" s="101" t="str">
        <f t="shared" si="373"/>
        <v/>
      </c>
      <c r="I5964" s="101" t="str">
        <f t="shared" si="374"/>
        <v/>
      </c>
      <c r="J5964" s="140" t="str">
        <f t="shared" si="375"/>
        <v/>
      </c>
    </row>
    <row r="5965" spans="7:10" x14ac:dyDescent="0.25">
      <c r="G5965" s="105" t="str">
        <f t="shared" si="372"/>
        <v/>
      </c>
      <c r="H5965" s="101" t="str">
        <f t="shared" si="373"/>
        <v/>
      </c>
      <c r="I5965" s="101" t="str">
        <f t="shared" si="374"/>
        <v/>
      </c>
      <c r="J5965" s="140" t="str">
        <f t="shared" si="375"/>
        <v/>
      </c>
    </row>
    <row r="5966" spans="7:10" x14ac:dyDescent="0.25">
      <c r="G5966" s="105" t="str">
        <f t="shared" si="372"/>
        <v/>
      </c>
      <c r="H5966" s="101" t="str">
        <f t="shared" si="373"/>
        <v/>
      </c>
      <c r="I5966" s="101" t="str">
        <f t="shared" si="374"/>
        <v/>
      </c>
      <c r="J5966" s="140" t="str">
        <f t="shared" si="375"/>
        <v/>
      </c>
    </row>
    <row r="5967" spans="7:10" x14ac:dyDescent="0.25">
      <c r="G5967" s="105" t="str">
        <f t="shared" si="372"/>
        <v/>
      </c>
      <c r="H5967" s="101" t="str">
        <f t="shared" si="373"/>
        <v/>
      </c>
      <c r="I5967" s="101" t="str">
        <f t="shared" si="374"/>
        <v/>
      </c>
      <c r="J5967" s="140" t="str">
        <f t="shared" si="375"/>
        <v/>
      </c>
    </row>
    <row r="5968" spans="7:10" x14ac:dyDescent="0.25">
      <c r="G5968" s="105" t="str">
        <f t="shared" si="372"/>
        <v/>
      </c>
      <c r="H5968" s="101" t="str">
        <f t="shared" si="373"/>
        <v/>
      </c>
      <c r="I5968" s="101" t="str">
        <f t="shared" si="374"/>
        <v/>
      </c>
      <c r="J5968" s="140" t="str">
        <f t="shared" si="375"/>
        <v/>
      </c>
    </row>
    <row r="5969" spans="7:10" x14ac:dyDescent="0.25">
      <c r="G5969" s="105" t="str">
        <f t="shared" si="372"/>
        <v/>
      </c>
      <c r="H5969" s="101" t="str">
        <f t="shared" si="373"/>
        <v/>
      </c>
      <c r="I5969" s="101" t="str">
        <f t="shared" si="374"/>
        <v/>
      </c>
      <c r="J5969" s="140" t="str">
        <f t="shared" si="375"/>
        <v/>
      </c>
    </row>
    <row r="5970" spans="7:10" x14ac:dyDescent="0.25">
      <c r="G5970" s="105" t="str">
        <f t="shared" si="372"/>
        <v/>
      </c>
      <c r="H5970" s="101" t="str">
        <f t="shared" si="373"/>
        <v/>
      </c>
      <c r="I5970" s="101" t="str">
        <f t="shared" si="374"/>
        <v/>
      </c>
      <c r="J5970" s="140" t="str">
        <f t="shared" si="375"/>
        <v/>
      </c>
    </row>
    <row r="5971" spans="7:10" x14ac:dyDescent="0.25">
      <c r="G5971" s="105" t="str">
        <f t="shared" si="372"/>
        <v/>
      </c>
      <c r="H5971" s="101" t="str">
        <f t="shared" si="373"/>
        <v/>
      </c>
      <c r="I5971" s="101" t="str">
        <f t="shared" si="374"/>
        <v/>
      </c>
      <c r="J5971" s="140" t="str">
        <f t="shared" si="375"/>
        <v/>
      </c>
    </row>
    <row r="5972" spans="7:10" x14ac:dyDescent="0.25">
      <c r="G5972" s="105" t="str">
        <f t="shared" si="372"/>
        <v/>
      </c>
      <c r="H5972" s="101" t="str">
        <f t="shared" si="373"/>
        <v/>
      </c>
      <c r="I5972" s="101" t="str">
        <f t="shared" si="374"/>
        <v/>
      </c>
      <c r="J5972" s="140" t="str">
        <f t="shared" si="375"/>
        <v/>
      </c>
    </row>
    <row r="5973" spans="7:10" x14ac:dyDescent="0.25">
      <c r="G5973" s="105" t="str">
        <f t="shared" si="372"/>
        <v/>
      </c>
      <c r="H5973" s="101" t="str">
        <f t="shared" si="373"/>
        <v/>
      </c>
      <c r="I5973" s="101" t="str">
        <f t="shared" si="374"/>
        <v/>
      </c>
      <c r="J5973" s="140" t="str">
        <f t="shared" si="375"/>
        <v/>
      </c>
    </row>
    <row r="5974" spans="7:10" x14ac:dyDescent="0.25">
      <c r="G5974" s="105" t="str">
        <f t="shared" si="372"/>
        <v/>
      </c>
      <c r="H5974" s="101" t="str">
        <f t="shared" si="373"/>
        <v/>
      </c>
      <c r="I5974" s="101" t="str">
        <f t="shared" si="374"/>
        <v/>
      </c>
      <c r="J5974" s="140" t="str">
        <f t="shared" si="375"/>
        <v/>
      </c>
    </row>
    <row r="5975" spans="7:10" x14ac:dyDescent="0.25">
      <c r="G5975" s="105" t="str">
        <f t="shared" si="372"/>
        <v/>
      </c>
      <c r="H5975" s="101" t="str">
        <f t="shared" si="373"/>
        <v/>
      </c>
      <c r="I5975" s="101" t="str">
        <f t="shared" si="374"/>
        <v/>
      </c>
      <c r="J5975" s="140" t="str">
        <f t="shared" si="375"/>
        <v/>
      </c>
    </row>
    <row r="5976" spans="7:10" x14ac:dyDescent="0.25">
      <c r="G5976" s="105" t="str">
        <f t="shared" si="372"/>
        <v/>
      </c>
      <c r="H5976" s="101" t="str">
        <f t="shared" si="373"/>
        <v/>
      </c>
      <c r="I5976" s="101" t="str">
        <f t="shared" si="374"/>
        <v/>
      </c>
      <c r="J5976" s="140" t="str">
        <f t="shared" si="375"/>
        <v/>
      </c>
    </row>
    <row r="5977" spans="7:10" x14ac:dyDescent="0.25">
      <c r="G5977" s="105" t="str">
        <f t="shared" si="372"/>
        <v/>
      </c>
      <c r="H5977" s="101" t="str">
        <f t="shared" si="373"/>
        <v/>
      </c>
      <c r="I5977" s="101" t="str">
        <f t="shared" ref="I5977:I6000" si="376">TRIM(C5977)</f>
        <v/>
      </c>
      <c r="J5977" s="140" t="str">
        <f t="shared" si="375"/>
        <v/>
      </c>
    </row>
    <row r="5978" spans="7:10" x14ac:dyDescent="0.25">
      <c r="G5978" s="105" t="str">
        <f t="shared" si="372"/>
        <v/>
      </c>
      <c r="H5978" s="101" t="str">
        <f t="shared" si="373"/>
        <v/>
      </c>
      <c r="I5978" s="101" t="str">
        <f t="shared" si="376"/>
        <v/>
      </c>
      <c r="J5978" s="140" t="str">
        <f t="shared" si="375"/>
        <v/>
      </c>
    </row>
    <row r="5979" spans="7:10" x14ac:dyDescent="0.25">
      <c r="G5979" s="105" t="str">
        <f t="shared" si="372"/>
        <v/>
      </c>
      <c r="H5979" s="101" t="str">
        <f t="shared" si="373"/>
        <v/>
      </c>
      <c r="I5979" s="101" t="str">
        <f t="shared" si="376"/>
        <v/>
      </c>
      <c r="J5979" s="140" t="str">
        <f t="shared" si="375"/>
        <v/>
      </c>
    </row>
    <row r="5980" spans="7:10" x14ac:dyDescent="0.25">
      <c r="G5980" s="105" t="str">
        <f t="shared" si="372"/>
        <v/>
      </c>
      <c r="H5980" s="101" t="str">
        <f t="shared" si="373"/>
        <v/>
      </c>
      <c r="I5980" s="101" t="str">
        <f t="shared" si="376"/>
        <v/>
      </c>
      <c r="J5980" s="140" t="str">
        <f t="shared" si="375"/>
        <v/>
      </c>
    </row>
    <row r="5981" spans="7:10" x14ac:dyDescent="0.25">
      <c r="G5981" s="105" t="str">
        <f t="shared" si="372"/>
        <v/>
      </c>
      <c r="H5981" s="101" t="str">
        <f t="shared" si="373"/>
        <v/>
      </c>
      <c r="I5981" s="101" t="str">
        <f t="shared" si="376"/>
        <v/>
      </c>
      <c r="J5981" s="140" t="str">
        <f t="shared" si="375"/>
        <v/>
      </c>
    </row>
    <row r="5982" spans="7:10" x14ac:dyDescent="0.25">
      <c r="G5982" s="105" t="str">
        <f t="shared" si="372"/>
        <v/>
      </c>
      <c r="H5982" s="101" t="str">
        <f t="shared" si="373"/>
        <v/>
      </c>
      <c r="I5982" s="101" t="str">
        <f t="shared" si="376"/>
        <v/>
      </c>
      <c r="J5982" s="140" t="str">
        <f t="shared" si="375"/>
        <v/>
      </c>
    </row>
    <row r="5983" spans="7:10" x14ac:dyDescent="0.25">
      <c r="G5983" s="105" t="str">
        <f t="shared" si="372"/>
        <v/>
      </c>
      <c r="H5983" s="101" t="str">
        <f t="shared" si="373"/>
        <v/>
      </c>
      <c r="I5983" s="101" t="str">
        <f t="shared" si="376"/>
        <v/>
      </c>
      <c r="J5983" s="140" t="str">
        <f t="shared" si="375"/>
        <v/>
      </c>
    </row>
    <row r="5984" spans="7:10" x14ac:dyDescent="0.25">
      <c r="G5984" s="105" t="str">
        <f t="shared" si="372"/>
        <v/>
      </c>
      <c r="H5984" s="101" t="str">
        <f t="shared" si="373"/>
        <v/>
      </c>
      <c r="I5984" s="101" t="str">
        <f t="shared" si="376"/>
        <v/>
      </c>
      <c r="J5984" s="140" t="str">
        <f t="shared" si="375"/>
        <v/>
      </c>
    </row>
    <row r="5985" spans="7:10" x14ac:dyDescent="0.25">
      <c r="G5985" s="105" t="str">
        <f t="shared" si="372"/>
        <v/>
      </c>
      <c r="H5985" s="101" t="str">
        <f t="shared" si="373"/>
        <v/>
      </c>
      <c r="I5985" s="101" t="str">
        <f t="shared" si="376"/>
        <v/>
      </c>
      <c r="J5985" s="140" t="str">
        <f t="shared" si="375"/>
        <v/>
      </c>
    </row>
    <row r="5986" spans="7:10" x14ac:dyDescent="0.25">
      <c r="G5986" s="105" t="str">
        <f t="shared" si="372"/>
        <v/>
      </c>
      <c r="H5986" s="101" t="str">
        <f t="shared" si="373"/>
        <v/>
      </c>
      <c r="I5986" s="101" t="str">
        <f t="shared" si="376"/>
        <v/>
      </c>
      <c r="J5986" s="140" t="str">
        <f t="shared" si="375"/>
        <v/>
      </c>
    </row>
    <row r="5987" spans="7:10" x14ac:dyDescent="0.25">
      <c r="G5987" s="105" t="str">
        <f t="shared" si="372"/>
        <v/>
      </c>
      <c r="H5987" s="101" t="str">
        <f t="shared" si="373"/>
        <v/>
      </c>
      <c r="I5987" s="101" t="str">
        <f t="shared" si="376"/>
        <v/>
      </c>
      <c r="J5987" s="140" t="str">
        <f t="shared" si="375"/>
        <v/>
      </c>
    </row>
    <row r="5988" spans="7:10" x14ac:dyDescent="0.25">
      <c r="G5988" s="105" t="str">
        <f t="shared" si="372"/>
        <v/>
      </c>
      <c r="H5988" s="101" t="str">
        <f t="shared" si="373"/>
        <v/>
      </c>
      <c r="I5988" s="101" t="str">
        <f t="shared" si="376"/>
        <v/>
      </c>
      <c r="J5988" s="140" t="str">
        <f t="shared" si="375"/>
        <v/>
      </c>
    </row>
    <row r="5989" spans="7:10" x14ac:dyDescent="0.25">
      <c r="G5989" s="105" t="str">
        <f t="shared" si="372"/>
        <v/>
      </c>
      <c r="H5989" s="101" t="str">
        <f t="shared" si="373"/>
        <v/>
      </c>
      <c r="I5989" s="101" t="str">
        <f t="shared" si="376"/>
        <v/>
      </c>
      <c r="J5989" s="140" t="str">
        <f t="shared" si="375"/>
        <v/>
      </c>
    </row>
    <row r="5990" spans="7:10" x14ac:dyDescent="0.25">
      <c r="G5990" s="105" t="str">
        <f t="shared" si="372"/>
        <v/>
      </c>
      <c r="H5990" s="101" t="str">
        <f t="shared" si="373"/>
        <v/>
      </c>
      <c r="I5990" s="101" t="str">
        <f t="shared" si="376"/>
        <v/>
      </c>
      <c r="J5990" s="140" t="str">
        <f t="shared" si="375"/>
        <v/>
      </c>
    </row>
    <row r="5991" spans="7:10" x14ac:dyDescent="0.25">
      <c r="G5991" s="105" t="str">
        <f t="shared" si="372"/>
        <v/>
      </c>
      <c r="H5991" s="101" t="str">
        <f t="shared" si="373"/>
        <v/>
      </c>
      <c r="I5991" s="101" t="str">
        <f t="shared" si="376"/>
        <v/>
      </c>
      <c r="J5991" s="140" t="str">
        <f t="shared" si="375"/>
        <v/>
      </c>
    </row>
    <row r="5992" spans="7:10" x14ac:dyDescent="0.25">
      <c r="G5992" s="105" t="str">
        <f t="shared" si="372"/>
        <v/>
      </c>
      <c r="H5992" s="101" t="str">
        <f t="shared" si="373"/>
        <v/>
      </c>
      <c r="I5992" s="101" t="str">
        <f t="shared" si="376"/>
        <v/>
      </c>
      <c r="J5992" s="140" t="str">
        <f t="shared" si="375"/>
        <v/>
      </c>
    </row>
    <row r="5993" spans="7:10" x14ac:dyDescent="0.25">
      <c r="G5993" s="105" t="str">
        <f t="shared" si="372"/>
        <v/>
      </c>
      <c r="H5993" s="101" t="str">
        <f t="shared" si="373"/>
        <v/>
      </c>
      <c r="I5993" s="101" t="str">
        <f t="shared" si="376"/>
        <v/>
      </c>
      <c r="J5993" s="140" t="str">
        <f t="shared" si="375"/>
        <v/>
      </c>
    </row>
    <row r="5994" spans="7:10" x14ac:dyDescent="0.25">
      <c r="G5994" s="105" t="str">
        <f t="shared" si="372"/>
        <v/>
      </c>
      <c r="H5994" s="101" t="str">
        <f t="shared" si="373"/>
        <v/>
      </c>
      <c r="I5994" s="101" t="str">
        <f t="shared" si="376"/>
        <v/>
      </c>
      <c r="J5994" s="140" t="str">
        <f t="shared" si="375"/>
        <v/>
      </c>
    </row>
    <row r="5995" spans="7:10" x14ac:dyDescent="0.25">
      <c r="G5995" s="105" t="str">
        <f t="shared" si="372"/>
        <v/>
      </c>
      <c r="H5995" s="101" t="str">
        <f t="shared" si="373"/>
        <v/>
      </c>
      <c r="I5995" s="101" t="str">
        <f t="shared" si="376"/>
        <v/>
      </c>
      <c r="J5995" s="140" t="str">
        <f t="shared" si="375"/>
        <v/>
      </c>
    </row>
    <row r="5996" spans="7:10" x14ac:dyDescent="0.25">
      <c r="G5996" s="105" t="str">
        <f t="shared" si="372"/>
        <v/>
      </c>
      <c r="H5996" s="101" t="str">
        <f t="shared" si="373"/>
        <v/>
      </c>
      <c r="I5996" s="101" t="str">
        <f t="shared" si="376"/>
        <v/>
      </c>
      <c r="J5996" s="140" t="str">
        <f t="shared" si="375"/>
        <v/>
      </c>
    </row>
    <row r="5997" spans="7:10" x14ac:dyDescent="0.25">
      <c r="G5997" s="105" t="str">
        <f t="shared" si="372"/>
        <v/>
      </c>
      <c r="H5997" s="101" t="str">
        <f t="shared" si="373"/>
        <v/>
      </c>
      <c r="I5997" s="101" t="str">
        <f t="shared" si="376"/>
        <v/>
      </c>
      <c r="J5997" s="140" t="str">
        <f t="shared" si="375"/>
        <v/>
      </c>
    </row>
    <row r="5998" spans="7:10" x14ac:dyDescent="0.25">
      <c r="G5998" s="105" t="str">
        <f t="shared" si="372"/>
        <v/>
      </c>
      <c r="H5998" s="101" t="str">
        <f t="shared" si="373"/>
        <v/>
      </c>
      <c r="I5998" s="101" t="str">
        <f t="shared" si="376"/>
        <v/>
      </c>
      <c r="J5998" s="140" t="str">
        <f t="shared" si="375"/>
        <v/>
      </c>
    </row>
    <row r="5999" spans="7:10" x14ac:dyDescent="0.25">
      <c r="G5999" s="105" t="str">
        <f t="shared" si="372"/>
        <v/>
      </c>
      <c r="H5999" s="101" t="str">
        <f t="shared" si="373"/>
        <v/>
      </c>
      <c r="I5999" s="101" t="str">
        <f t="shared" si="376"/>
        <v/>
      </c>
      <c r="J5999" s="140" t="str">
        <f t="shared" si="375"/>
        <v/>
      </c>
    </row>
    <row r="6000" spans="7:10" x14ac:dyDescent="0.25">
      <c r="G6000" s="105" t="str">
        <f t="shared" si="372"/>
        <v/>
      </c>
      <c r="H6000" s="101" t="str">
        <f t="shared" si="373"/>
        <v/>
      </c>
      <c r="I6000" s="101" t="str">
        <f t="shared" si="376"/>
        <v/>
      </c>
      <c r="J6000" s="140" t="str">
        <f t="shared" si="375"/>
        <v/>
      </c>
    </row>
  </sheetData>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tabColor rgb="FF00B0F0"/>
  </sheetPr>
  <dimension ref="A1:E217"/>
  <sheetViews>
    <sheetView zoomScale="80" zoomScaleNormal="80" workbookViewId="0"/>
  </sheetViews>
  <sheetFormatPr defaultRowHeight="15" x14ac:dyDescent="0.25"/>
  <cols>
    <col min="1" max="1" width="75.7109375" style="108" customWidth="1"/>
    <col min="2" max="3" width="20.7109375" style="83" customWidth="1"/>
    <col min="4" max="4" width="35.7109375" style="83" customWidth="1"/>
    <col min="5" max="5" width="20.7109375" style="83" customWidth="1"/>
  </cols>
  <sheetData>
    <row r="1" spans="1:5" ht="19.5" x14ac:dyDescent="0.25">
      <c r="A1" s="76" t="s">
        <v>38142</v>
      </c>
      <c r="B1" s="76"/>
      <c r="C1" s="76"/>
      <c r="D1" s="76"/>
      <c r="E1" s="76"/>
    </row>
    <row r="2" spans="1:5" ht="18" x14ac:dyDescent="0.25">
      <c r="A2" s="77" t="s">
        <v>1932</v>
      </c>
      <c r="B2" s="77"/>
      <c r="C2" s="77"/>
      <c r="D2" s="77"/>
      <c r="E2" s="77"/>
    </row>
    <row r="3" spans="1:5" x14ac:dyDescent="0.25">
      <c r="A3" s="78" t="s">
        <v>38136</v>
      </c>
      <c r="B3" s="79"/>
      <c r="C3" s="79"/>
      <c r="D3" s="79"/>
      <c r="E3" s="79"/>
    </row>
    <row r="4" spans="1:5" ht="15.75" thickBot="1" x14ac:dyDescent="0.3">
      <c r="A4" s="78"/>
      <c r="B4" s="79"/>
      <c r="C4" s="79"/>
      <c r="D4" s="79"/>
      <c r="E4" s="79"/>
    </row>
    <row r="5" spans="1:5" x14ac:dyDescent="0.25">
      <c r="A5" s="84" t="s">
        <v>1933</v>
      </c>
      <c r="B5" s="80" t="s">
        <v>4</v>
      </c>
      <c r="C5" s="80" t="s">
        <v>1300</v>
      </c>
      <c r="D5" s="80" t="s">
        <v>1934</v>
      </c>
      <c r="E5" s="81" t="s">
        <v>1935</v>
      </c>
    </row>
    <row r="6" spans="1:5" x14ac:dyDescent="0.25">
      <c r="A6" s="87" t="s">
        <v>17269</v>
      </c>
      <c r="B6" s="85" t="s">
        <v>205</v>
      </c>
      <c r="C6" s="88">
        <v>0</v>
      </c>
      <c r="D6" s="85" t="s">
        <v>17270</v>
      </c>
      <c r="E6" s="174">
        <v>1</v>
      </c>
    </row>
    <row r="7" spans="1:5" x14ac:dyDescent="0.25">
      <c r="A7" s="87" t="s">
        <v>17253</v>
      </c>
      <c r="B7" s="85" t="s">
        <v>16</v>
      </c>
      <c r="C7" s="88">
        <v>0</v>
      </c>
      <c r="D7" s="85" t="s">
        <v>17254</v>
      </c>
      <c r="E7" s="174">
        <v>1</v>
      </c>
    </row>
    <row r="8" spans="1:5" x14ac:dyDescent="0.25">
      <c r="A8" s="87" t="s">
        <v>17271</v>
      </c>
      <c r="B8" s="85" t="s">
        <v>16</v>
      </c>
      <c r="C8" s="88">
        <v>0</v>
      </c>
      <c r="D8" s="85" t="s">
        <v>17272</v>
      </c>
      <c r="E8" s="174">
        <v>1</v>
      </c>
    </row>
    <row r="9" spans="1:5" x14ac:dyDescent="0.25">
      <c r="A9" s="87" t="s">
        <v>19802</v>
      </c>
      <c r="B9" s="85" t="s">
        <v>16</v>
      </c>
      <c r="C9" s="88">
        <v>0</v>
      </c>
      <c r="D9" s="85" t="s">
        <v>19433</v>
      </c>
      <c r="E9" s="174">
        <v>1</v>
      </c>
    </row>
    <row r="10" spans="1:5" x14ac:dyDescent="0.25">
      <c r="A10" s="87" t="s">
        <v>29525</v>
      </c>
      <c r="B10" s="85" t="s">
        <v>870</v>
      </c>
      <c r="C10" s="88">
        <v>0</v>
      </c>
      <c r="D10" s="85" t="s">
        <v>29526</v>
      </c>
      <c r="E10" s="174">
        <v>1</v>
      </c>
    </row>
    <row r="11" spans="1:5" x14ac:dyDescent="0.25">
      <c r="A11" s="87" t="s">
        <v>13531</v>
      </c>
      <c r="B11" s="85" t="s">
        <v>16</v>
      </c>
      <c r="C11" s="88">
        <v>0</v>
      </c>
      <c r="D11" s="85" t="s">
        <v>20944</v>
      </c>
      <c r="E11" s="174">
        <v>1</v>
      </c>
    </row>
    <row r="12" spans="1:5" x14ac:dyDescent="0.25">
      <c r="A12" s="87" t="s">
        <v>1099</v>
      </c>
      <c r="B12" s="85" t="s">
        <v>70</v>
      </c>
      <c r="C12" s="88">
        <v>0</v>
      </c>
      <c r="D12" s="85" t="s">
        <v>1100</v>
      </c>
      <c r="E12" s="174">
        <v>1</v>
      </c>
    </row>
    <row r="13" spans="1:5" x14ac:dyDescent="0.25">
      <c r="A13" s="87" t="s">
        <v>387</v>
      </c>
      <c r="B13" s="85" t="s">
        <v>69</v>
      </c>
      <c r="C13" s="88">
        <v>0</v>
      </c>
      <c r="D13" s="85" t="s">
        <v>17370</v>
      </c>
      <c r="E13" s="174">
        <v>1</v>
      </c>
    </row>
    <row r="14" spans="1:5" x14ac:dyDescent="0.25">
      <c r="A14" s="87" t="s">
        <v>382</v>
      </c>
      <c r="B14" s="85" t="s">
        <v>69</v>
      </c>
      <c r="C14" s="88">
        <v>0</v>
      </c>
      <c r="D14" s="85" t="s">
        <v>17368</v>
      </c>
      <c r="E14" s="174">
        <v>1</v>
      </c>
    </row>
    <row r="15" spans="1:5" x14ac:dyDescent="0.25">
      <c r="A15" s="87" t="s">
        <v>384</v>
      </c>
      <c r="B15" s="85" t="s">
        <v>69</v>
      </c>
      <c r="C15" s="88">
        <v>0</v>
      </c>
      <c r="D15" s="85" t="s">
        <v>17369</v>
      </c>
      <c r="E15" s="174">
        <v>1</v>
      </c>
    </row>
    <row r="16" spans="1:5" x14ac:dyDescent="0.25">
      <c r="A16" s="87" t="s">
        <v>72</v>
      </c>
      <c r="B16" s="85" t="s">
        <v>70</v>
      </c>
      <c r="C16" s="88">
        <v>0</v>
      </c>
      <c r="D16" s="85" t="s">
        <v>73</v>
      </c>
      <c r="E16" s="174">
        <v>1</v>
      </c>
    </row>
    <row r="17" spans="1:5" x14ac:dyDescent="0.25">
      <c r="A17" s="87" t="s">
        <v>1233</v>
      </c>
      <c r="B17" s="85" t="s">
        <v>70</v>
      </c>
      <c r="C17" s="88">
        <v>0</v>
      </c>
      <c r="D17" s="85" t="s">
        <v>1234</v>
      </c>
      <c r="E17" s="174">
        <v>1</v>
      </c>
    </row>
    <row r="18" spans="1:5" x14ac:dyDescent="0.25">
      <c r="A18" s="87" t="s">
        <v>15756</v>
      </c>
      <c r="B18" s="85" t="s">
        <v>16</v>
      </c>
      <c r="C18" s="88">
        <v>0</v>
      </c>
      <c r="D18" s="85" t="s">
        <v>15755</v>
      </c>
      <c r="E18" s="174">
        <v>1</v>
      </c>
    </row>
    <row r="19" spans="1:5" x14ac:dyDescent="0.25">
      <c r="A19" s="87" t="s">
        <v>901</v>
      </c>
      <c r="B19" s="85" t="s">
        <v>97</v>
      </c>
      <c r="C19" s="88">
        <v>0</v>
      </c>
      <c r="D19" s="85" t="s">
        <v>10302</v>
      </c>
      <c r="E19" s="174">
        <v>1</v>
      </c>
    </row>
    <row r="20" spans="1:5" x14ac:dyDescent="0.25">
      <c r="A20" s="87" t="s">
        <v>902</v>
      </c>
      <c r="B20" s="85" t="s">
        <v>903</v>
      </c>
      <c r="C20" s="88">
        <v>0</v>
      </c>
      <c r="D20" s="85" t="s">
        <v>10302</v>
      </c>
      <c r="E20" s="174">
        <v>1</v>
      </c>
    </row>
    <row r="21" spans="1:5" x14ac:dyDescent="0.25">
      <c r="A21" s="87" t="s">
        <v>929</v>
      </c>
      <c r="B21" s="85" t="s">
        <v>930</v>
      </c>
      <c r="C21" s="88">
        <v>0</v>
      </c>
      <c r="D21" s="85" t="s">
        <v>931</v>
      </c>
      <c r="E21" s="174">
        <v>1</v>
      </c>
    </row>
    <row r="22" spans="1:5" x14ac:dyDescent="0.25">
      <c r="A22" s="87" t="s">
        <v>1203</v>
      </c>
      <c r="B22" s="85" t="s">
        <v>1204</v>
      </c>
      <c r="C22" s="88">
        <v>0</v>
      </c>
      <c r="D22" s="85" t="s">
        <v>1205</v>
      </c>
      <c r="E22" s="174">
        <v>1</v>
      </c>
    </row>
    <row r="23" spans="1:5" x14ac:dyDescent="0.25">
      <c r="A23" s="87" t="s">
        <v>1206</v>
      </c>
      <c r="B23" s="85" t="s">
        <v>76</v>
      </c>
      <c r="C23" s="88">
        <v>0</v>
      </c>
      <c r="D23" s="85" t="s">
        <v>1205</v>
      </c>
      <c r="E23" s="174">
        <v>1</v>
      </c>
    </row>
    <row r="24" spans="1:5" ht="30" x14ac:dyDescent="0.25">
      <c r="A24" s="87" t="s">
        <v>187</v>
      </c>
      <c r="B24" s="85" t="s">
        <v>70</v>
      </c>
      <c r="C24" s="88">
        <v>0</v>
      </c>
      <c r="D24" s="85" t="s">
        <v>188</v>
      </c>
      <c r="E24" s="174">
        <v>1</v>
      </c>
    </row>
    <row r="25" spans="1:5" x14ac:dyDescent="0.25">
      <c r="A25" s="87" t="s">
        <v>119</v>
      </c>
      <c r="B25" s="85" t="s">
        <v>69</v>
      </c>
      <c r="C25" s="88">
        <v>0</v>
      </c>
      <c r="D25" s="85" t="s">
        <v>120</v>
      </c>
      <c r="E25" s="174">
        <v>1</v>
      </c>
    </row>
    <row r="26" spans="1:5" x14ac:dyDescent="0.25">
      <c r="A26" s="87" t="s">
        <v>96</v>
      </c>
      <c r="B26" s="85" t="s">
        <v>97</v>
      </c>
      <c r="C26" s="88">
        <v>0</v>
      </c>
      <c r="D26" s="85" t="s">
        <v>98</v>
      </c>
      <c r="E26" s="174">
        <v>1</v>
      </c>
    </row>
    <row r="27" spans="1:5" ht="30" x14ac:dyDescent="0.25">
      <c r="A27" s="87" t="s">
        <v>16218</v>
      </c>
      <c r="B27" s="85" t="s">
        <v>97</v>
      </c>
      <c r="C27" s="88">
        <v>0</v>
      </c>
      <c r="D27" s="85" t="s">
        <v>98</v>
      </c>
      <c r="E27" s="174">
        <v>1</v>
      </c>
    </row>
    <row r="28" spans="1:5" x14ac:dyDescent="0.25">
      <c r="A28" s="87" t="s">
        <v>1186</v>
      </c>
      <c r="B28" s="85" t="s">
        <v>205</v>
      </c>
      <c r="C28" s="88">
        <v>0</v>
      </c>
      <c r="D28" s="85" t="s">
        <v>1185</v>
      </c>
      <c r="E28" s="174">
        <v>1</v>
      </c>
    </row>
    <row r="29" spans="1:5" x14ac:dyDescent="0.25">
      <c r="A29" s="87" t="s">
        <v>1188</v>
      </c>
      <c r="B29" s="85" t="s">
        <v>205</v>
      </c>
      <c r="C29" s="88">
        <v>0</v>
      </c>
      <c r="D29" s="85" t="s">
        <v>1185</v>
      </c>
      <c r="E29" s="174">
        <v>1</v>
      </c>
    </row>
    <row r="30" spans="1:5" x14ac:dyDescent="0.25">
      <c r="A30" s="87" t="s">
        <v>1178</v>
      </c>
      <c r="B30" s="85" t="s">
        <v>205</v>
      </c>
      <c r="C30" s="88">
        <v>0</v>
      </c>
      <c r="D30" s="85" t="s">
        <v>1179</v>
      </c>
      <c r="E30" s="174">
        <v>1</v>
      </c>
    </row>
    <row r="31" spans="1:5" x14ac:dyDescent="0.25">
      <c r="A31" s="87" t="s">
        <v>1180</v>
      </c>
      <c r="B31" s="85" t="s">
        <v>70</v>
      </c>
      <c r="C31" s="88">
        <v>0</v>
      </c>
      <c r="D31" s="85" t="s">
        <v>1179</v>
      </c>
      <c r="E31" s="174">
        <v>1</v>
      </c>
    </row>
    <row r="32" spans="1:5" x14ac:dyDescent="0.25">
      <c r="A32" s="87" t="s">
        <v>1181</v>
      </c>
      <c r="B32" s="85" t="s">
        <v>205</v>
      </c>
      <c r="C32" s="88">
        <v>0</v>
      </c>
      <c r="D32" s="85" t="s">
        <v>1179</v>
      </c>
      <c r="E32" s="174">
        <v>1</v>
      </c>
    </row>
    <row r="33" spans="1:5" x14ac:dyDescent="0.25">
      <c r="A33" s="87" t="s">
        <v>1182</v>
      </c>
      <c r="B33" s="85" t="s">
        <v>205</v>
      </c>
      <c r="C33" s="88">
        <v>0</v>
      </c>
      <c r="D33" s="85" t="s">
        <v>1179</v>
      </c>
      <c r="E33" s="174">
        <v>1</v>
      </c>
    </row>
    <row r="34" spans="1:5" x14ac:dyDescent="0.25">
      <c r="A34" s="87" t="s">
        <v>1183</v>
      </c>
      <c r="B34" s="85" t="s">
        <v>205</v>
      </c>
      <c r="C34" s="88">
        <v>0</v>
      </c>
      <c r="D34" s="85" t="s">
        <v>1179</v>
      </c>
      <c r="E34" s="174">
        <v>1</v>
      </c>
    </row>
    <row r="35" spans="1:5" x14ac:dyDescent="0.25">
      <c r="A35" s="87" t="s">
        <v>11119</v>
      </c>
      <c r="B35" s="85" t="s">
        <v>70</v>
      </c>
      <c r="C35" s="88">
        <v>0</v>
      </c>
      <c r="D35" s="85" t="s">
        <v>11120</v>
      </c>
      <c r="E35" s="174">
        <v>1</v>
      </c>
    </row>
    <row r="36" spans="1:5" x14ac:dyDescent="0.25">
      <c r="A36" s="87" t="s">
        <v>1198</v>
      </c>
      <c r="B36" s="85" t="s">
        <v>205</v>
      </c>
      <c r="C36" s="88">
        <v>0</v>
      </c>
      <c r="D36" s="85" t="s">
        <v>11120</v>
      </c>
      <c r="E36" s="174">
        <v>1</v>
      </c>
    </row>
    <row r="37" spans="1:5" x14ac:dyDescent="0.25">
      <c r="A37" s="87" t="s">
        <v>1244</v>
      </c>
      <c r="B37" s="85" t="s">
        <v>76</v>
      </c>
      <c r="C37" s="88">
        <v>0</v>
      </c>
      <c r="D37" s="85" t="s">
        <v>1245</v>
      </c>
      <c r="E37" s="174">
        <v>1</v>
      </c>
    </row>
    <row r="38" spans="1:5" x14ac:dyDescent="0.25">
      <c r="A38" s="87" t="s">
        <v>20945</v>
      </c>
      <c r="B38" s="85" t="s">
        <v>774</v>
      </c>
      <c r="C38" s="88">
        <v>0</v>
      </c>
      <c r="D38" s="85" t="s">
        <v>20946</v>
      </c>
      <c r="E38" s="174">
        <v>1</v>
      </c>
    </row>
    <row r="39" spans="1:5" x14ac:dyDescent="0.25">
      <c r="A39" s="87" t="s">
        <v>1263</v>
      </c>
      <c r="B39" s="85" t="s">
        <v>774</v>
      </c>
      <c r="C39" s="88">
        <v>0</v>
      </c>
      <c r="D39" s="85" t="s">
        <v>1264</v>
      </c>
      <c r="E39" s="174">
        <v>1</v>
      </c>
    </row>
    <row r="40" spans="1:5" x14ac:dyDescent="0.25">
      <c r="A40" s="87" t="s">
        <v>1265</v>
      </c>
      <c r="B40" s="85" t="s">
        <v>76</v>
      </c>
      <c r="C40" s="88">
        <v>0</v>
      </c>
      <c r="D40" s="85" t="s">
        <v>1264</v>
      </c>
      <c r="E40" s="174">
        <v>1</v>
      </c>
    </row>
    <row r="41" spans="1:5" x14ac:dyDescent="0.25">
      <c r="A41" s="87" t="s">
        <v>1266</v>
      </c>
      <c r="B41" s="85" t="s">
        <v>70</v>
      </c>
      <c r="C41" s="88">
        <v>0</v>
      </c>
      <c r="D41" s="85" t="s">
        <v>1264</v>
      </c>
      <c r="E41" s="174">
        <v>1</v>
      </c>
    </row>
    <row r="42" spans="1:5" x14ac:dyDescent="0.25">
      <c r="A42" s="87" t="s">
        <v>1267</v>
      </c>
      <c r="B42" s="85" t="s">
        <v>69</v>
      </c>
      <c r="C42" s="88">
        <v>0</v>
      </c>
      <c r="D42" s="85" t="s">
        <v>1264</v>
      </c>
      <c r="E42" s="174">
        <v>1</v>
      </c>
    </row>
    <row r="43" spans="1:5" x14ac:dyDescent="0.25">
      <c r="A43" s="87" t="s">
        <v>1268</v>
      </c>
      <c r="B43" s="85" t="s">
        <v>76</v>
      </c>
      <c r="C43" s="88">
        <v>0</v>
      </c>
      <c r="D43" s="85" t="s">
        <v>1264</v>
      </c>
      <c r="E43" s="174">
        <v>1</v>
      </c>
    </row>
    <row r="44" spans="1:5" x14ac:dyDescent="0.25">
      <c r="A44" s="87" t="s">
        <v>1260</v>
      </c>
      <c r="B44" s="85" t="s">
        <v>870</v>
      </c>
      <c r="C44" s="88">
        <v>0</v>
      </c>
      <c r="D44" s="85" t="s">
        <v>1261</v>
      </c>
      <c r="E44" s="174">
        <v>1</v>
      </c>
    </row>
    <row r="45" spans="1:5" x14ac:dyDescent="0.25">
      <c r="A45" s="87" t="s">
        <v>922</v>
      </c>
      <c r="B45" s="85" t="s">
        <v>76</v>
      </c>
      <c r="C45" s="88">
        <v>0</v>
      </c>
      <c r="D45" s="85" t="s">
        <v>923</v>
      </c>
      <c r="E45" s="174">
        <v>1</v>
      </c>
    </row>
    <row r="46" spans="1:5" x14ac:dyDescent="0.25">
      <c r="A46" s="87" t="s">
        <v>16214</v>
      </c>
      <c r="B46" s="85" t="s">
        <v>81</v>
      </c>
      <c r="C46" s="88">
        <v>0</v>
      </c>
      <c r="D46" s="85" t="s">
        <v>16215</v>
      </c>
      <c r="E46" s="174">
        <v>1</v>
      </c>
    </row>
    <row r="47" spans="1:5" x14ac:dyDescent="0.25">
      <c r="A47" s="87" t="s">
        <v>15529</v>
      </c>
      <c r="B47" s="85" t="s">
        <v>69</v>
      </c>
      <c r="C47" s="88">
        <v>0</v>
      </c>
      <c r="D47" s="85" t="s">
        <v>19255</v>
      </c>
      <c r="E47" s="174">
        <v>1</v>
      </c>
    </row>
    <row r="48" spans="1:5" x14ac:dyDescent="0.25">
      <c r="A48" s="87" t="s">
        <v>15644</v>
      </c>
      <c r="B48" s="85" t="s">
        <v>69</v>
      </c>
      <c r="C48" s="88">
        <v>0</v>
      </c>
      <c r="D48" s="85" t="s">
        <v>19256</v>
      </c>
      <c r="E48" s="174">
        <v>1</v>
      </c>
    </row>
    <row r="49" spans="1:5" x14ac:dyDescent="0.25">
      <c r="A49" s="87" t="s">
        <v>15645</v>
      </c>
      <c r="B49" s="85" t="s">
        <v>16</v>
      </c>
      <c r="C49" s="88">
        <v>0</v>
      </c>
      <c r="D49" s="85" t="s">
        <v>19258</v>
      </c>
      <c r="E49" s="174">
        <v>1</v>
      </c>
    </row>
    <row r="50" spans="1:5" x14ac:dyDescent="0.25">
      <c r="A50" s="87" t="s">
        <v>15512</v>
      </c>
      <c r="B50" s="85" t="s">
        <v>16</v>
      </c>
      <c r="C50" s="88">
        <v>0</v>
      </c>
      <c r="D50" s="85" t="s">
        <v>19257</v>
      </c>
      <c r="E50" s="174">
        <v>1</v>
      </c>
    </row>
    <row r="51" spans="1:5" x14ac:dyDescent="0.25">
      <c r="A51" s="87" t="s">
        <v>16274</v>
      </c>
      <c r="B51" s="85" t="s">
        <v>16</v>
      </c>
      <c r="C51" s="88">
        <v>0</v>
      </c>
      <c r="D51" s="85" t="s">
        <v>16275</v>
      </c>
      <c r="E51" s="174">
        <v>1</v>
      </c>
    </row>
    <row r="52" spans="1:5" x14ac:dyDescent="0.25">
      <c r="A52" s="87" t="s">
        <v>16276</v>
      </c>
      <c r="B52" s="85" t="s">
        <v>16</v>
      </c>
      <c r="C52" s="88">
        <v>0</v>
      </c>
      <c r="D52" s="85" t="s">
        <v>16277</v>
      </c>
      <c r="E52" s="174">
        <v>1</v>
      </c>
    </row>
    <row r="53" spans="1:5" x14ac:dyDescent="0.25">
      <c r="A53" s="87" t="s">
        <v>16278</v>
      </c>
      <c r="B53" s="85" t="s">
        <v>16</v>
      </c>
      <c r="C53" s="88">
        <v>0</v>
      </c>
      <c r="D53" s="85" t="s">
        <v>16279</v>
      </c>
      <c r="E53" s="174">
        <v>1</v>
      </c>
    </row>
    <row r="54" spans="1:5" x14ac:dyDescent="0.25">
      <c r="A54" s="87" t="s">
        <v>1027</v>
      </c>
      <c r="B54" s="85" t="s">
        <v>69</v>
      </c>
      <c r="C54" s="88">
        <v>0</v>
      </c>
      <c r="D54" s="85" t="s">
        <v>1028</v>
      </c>
      <c r="E54" s="174">
        <v>1</v>
      </c>
    </row>
    <row r="55" spans="1:5" x14ac:dyDescent="0.25">
      <c r="A55" s="87" t="s">
        <v>19799</v>
      </c>
      <c r="B55" s="85" t="s">
        <v>16</v>
      </c>
      <c r="C55" s="88">
        <v>0</v>
      </c>
      <c r="D55" s="85" t="s">
        <v>19800</v>
      </c>
      <c r="E55" s="174">
        <v>1</v>
      </c>
    </row>
    <row r="56" spans="1:5" x14ac:dyDescent="0.25">
      <c r="A56" s="87" t="s">
        <v>19796</v>
      </c>
      <c r="B56" s="85" t="s">
        <v>16</v>
      </c>
      <c r="C56" s="88">
        <v>0</v>
      </c>
      <c r="D56" s="85" t="s">
        <v>19434</v>
      </c>
      <c r="E56" s="174">
        <v>1</v>
      </c>
    </row>
    <row r="57" spans="1:5" x14ac:dyDescent="0.25">
      <c r="A57" s="87" t="s">
        <v>19798</v>
      </c>
      <c r="B57" s="85" t="s">
        <v>16</v>
      </c>
      <c r="C57" s="88">
        <v>0</v>
      </c>
      <c r="D57" s="85" t="s">
        <v>19797</v>
      </c>
      <c r="E57" s="174">
        <v>1</v>
      </c>
    </row>
    <row r="58" spans="1:5" x14ac:dyDescent="0.25">
      <c r="A58" s="87" t="s">
        <v>19521</v>
      </c>
      <c r="B58" s="85" t="s">
        <v>16</v>
      </c>
      <c r="C58" s="88">
        <v>0</v>
      </c>
      <c r="D58" s="85" t="s">
        <v>19801</v>
      </c>
      <c r="E58" s="174">
        <v>1</v>
      </c>
    </row>
    <row r="59" spans="1:5" x14ac:dyDescent="0.25">
      <c r="A59" s="87" t="s">
        <v>13522</v>
      </c>
      <c r="B59" s="85" t="s">
        <v>16</v>
      </c>
      <c r="C59" s="88">
        <v>0</v>
      </c>
      <c r="D59" s="85" t="s">
        <v>13521</v>
      </c>
      <c r="E59" s="174">
        <v>1</v>
      </c>
    </row>
    <row r="60" spans="1:5" x14ac:dyDescent="0.25">
      <c r="A60" s="87" t="s">
        <v>13524</v>
      </c>
      <c r="B60" s="85" t="s">
        <v>16</v>
      </c>
      <c r="C60" s="88">
        <v>0</v>
      </c>
      <c r="D60" s="85" t="s">
        <v>13523</v>
      </c>
      <c r="E60" s="174">
        <v>1</v>
      </c>
    </row>
    <row r="61" spans="1:5" x14ac:dyDescent="0.25">
      <c r="A61" s="87" t="s">
        <v>13526</v>
      </c>
      <c r="B61" s="85" t="s">
        <v>16</v>
      </c>
      <c r="C61" s="88">
        <v>0</v>
      </c>
      <c r="D61" s="85" t="s">
        <v>13525</v>
      </c>
      <c r="E61" s="174">
        <v>1</v>
      </c>
    </row>
    <row r="62" spans="1:5" x14ac:dyDescent="0.25">
      <c r="A62" s="87" t="s">
        <v>13528</v>
      </c>
      <c r="B62" s="85" t="s">
        <v>16</v>
      </c>
      <c r="C62" s="88">
        <v>0</v>
      </c>
      <c r="D62" s="85" t="s">
        <v>13527</v>
      </c>
      <c r="E62" s="174">
        <v>1</v>
      </c>
    </row>
    <row r="63" spans="1:5" ht="30" x14ac:dyDescent="0.25">
      <c r="A63" s="87" t="s">
        <v>13530</v>
      </c>
      <c r="B63" s="85" t="s">
        <v>16</v>
      </c>
      <c r="C63" s="88">
        <v>0</v>
      </c>
      <c r="D63" s="85" t="s">
        <v>13529</v>
      </c>
      <c r="E63" s="174">
        <v>1</v>
      </c>
    </row>
    <row r="64" spans="1:5" x14ac:dyDescent="0.25">
      <c r="A64" s="87" t="s">
        <v>13513</v>
      </c>
      <c r="B64" s="85" t="s">
        <v>16</v>
      </c>
      <c r="C64" s="88">
        <v>0</v>
      </c>
      <c r="D64" s="85" t="s">
        <v>13514</v>
      </c>
      <c r="E64" s="174">
        <v>1</v>
      </c>
    </row>
    <row r="65" spans="1:5" x14ac:dyDescent="0.25">
      <c r="A65" s="87" t="s">
        <v>13515</v>
      </c>
      <c r="B65" s="85" t="s">
        <v>16</v>
      </c>
      <c r="C65" s="88">
        <v>0</v>
      </c>
      <c r="D65" s="85" t="s">
        <v>13516</v>
      </c>
      <c r="E65" s="174">
        <v>1</v>
      </c>
    </row>
    <row r="66" spans="1:5" x14ac:dyDescent="0.25">
      <c r="A66" s="87" t="s">
        <v>13517</v>
      </c>
      <c r="B66" s="85" t="s">
        <v>16</v>
      </c>
      <c r="C66" s="88">
        <v>0</v>
      </c>
      <c r="D66" s="85" t="s">
        <v>13518</v>
      </c>
      <c r="E66" s="174">
        <v>1</v>
      </c>
    </row>
    <row r="67" spans="1:5" x14ac:dyDescent="0.25">
      <c r="A67" s="87" t="s">
        <v>13519</v>
      </c>
      <c r="B67" s="85" t="s">
        <v>16</v>
      </c>
      <c r="C67" s="88">
        <v>0</v>
      </c>
      <c r="D67" s="85" t="s">
        <v>13520</v>
      </c>
      <c r="E67" s="174">
        <v>1</v>
      </c>
    </row>
    <row r="68" spans="1:5" ht="30" x14ac:dyDescent="0.25">
      <c r="A68" s="87" t="s">
        <v>13549</v>
      </c>
      <c r="B68" s="85" t="s">
        <v>385</v>
      </c>
      <c r="C68" s="88">
        <v>0</v>
      </c>
      <c r="D68" s="85" t="s">
        <v>13550</v>
      </c>
      <c r="E68" s="174">
        <v>1</v>
      </c>
    </row>
    <row r="69" spans="1:5" x14ac:dyDescent="0.25">
      <c r="A69" s="87" t="s">
        <v>17256</v>
      </c>
      <c r="B69" s="85" t="s">
        <v>69</v>
      </c>
      <c r="C69" s="88">
        <v>0</v>
      </c>
      <c r="D69" s="85" t="s">
        <v>17264</v>
      </c>
      <c r="E69" s="174">
        <v>1</v>
      </c>
    </row>
    <row r="70" spans="1:5" x14ac:dyDescent="0.25">
      <c r="A70" s="87" t="s">
        <v>17257</v>
      </c>
      <c r="B70" s="85" t="s">
        <v>69</v>
      </c>
      <c r="C70" s="88">
        <v>0</v>
      </c>
      <c r="D70" s="85" t="s">
        <v>17265</v>
      </c>
      <c r="E70" s="174">
        <v>1</v>
      </c>
    </row>
    <row r="71" spans="1:5" x14ac:dyDescent="0.25">
      <c r="A71" s="87" t="s">
        <v>17263</v>
      </c>
      <c r="B71" s="85" t="s">
        <v>69</v>
      </c>
      <c r="C71" s="88">
        <v>0</v>
      </c>
      <c r="D71" s="85" t="s">
        <v>17266</v>
      </c>
      <c r="E71" s="174">
        <v>1</v>
      </c>
    </row>
    <row r="72" spans="1:5" x14ac:dyDescent="0.25">
      <c r="A72" s="87" t="s">
        <v>17262</v>
      </c>
      <c r="B72" s="85" t="s">
        <v>69</v>
      </c>
      <c r="C72" s="88">
        <v>0</v>
      </c>
      <c r="D72" s="85" t="s">
        <v>17267</v>
      </c>
      <c r="E72" s="174">
        <v>1</v>
      </c>
    </row>
    <row r="73" spans="1:5" x14ac:dyDescent="0.25">
      <c r="A73" s="87" t="s">
        <v>380</v>
      </c>
      <c r="B73" s="85" t="s">
        <v>69</v>
      </c>
      <c r="C73" s="88">
        <v>0</v>
      </c>
      <c r="D73" s="85" t="s">
        <v>17367</v>
      </c>
      <c r="E73" s="174">
        <v>1</v>
      </c>
    </row>
    <row r="74" spans="1:5" x14ac:dyDescent="0.25">
      <c r="A74" s="87" t="s">
        <v>378</v>
      </c>
      <c r="B74" s="85" t="s">
        <v>69</v>
      </c>
      <c r="C74" s="88">
        <v>0</v>
      </c>
      <c r="D74" s="85" t="s">
        <v>17366</v>
      </c>
      <c r="E74" s="174">
        <v>1</v>
      </c>
    </row>
    <row r="75" spans="1:5" x14ac:dyDescent="0.25">
      <c r="A75" s="87" t="s">
        <v>1025</v>
      </c>
      <c r="B75" s="85" t="s">
        <v>69</v>
      </c>
      <c r="C75" s="88">
        <v>0</v>
      </c>
      <c r="D75" s="85" t="s">
        <v>10303</v>
      </c>
      <c r="E75" s="174">
        <v>1</v>
      </c>
    </row>
    <row r="76" spans="1:5" x14ac:dyDescent="0.25">
      <c r="A76" s="87" t="s">
        <v>430</v>
      </c>
      <c r="B76" s="85" t="s">
        <v>16</v>
      </c>
      <c r="C76" s="88">
        <v>0</v>
      </c>
      <c r="D76" s="85" t="s">
        <v>431</v>
      </c>
      <c r="E76" s="174">
        <v>1</v>
      </c>
    </row>
    <row r="77" spans="1:5" x14ac:dyDescent="0.25">
      <c r="A77" s="87" t="s">
        <v>432</v>
      </c>
      <c r="B77" s="85" t="s">
        <v>16</v>
      </c>
      <c r="C77" s="88">
        <v>0</v>
      </c>
      <c r="D77" s="85" t="s">
        <v>431</v>
      </c>
      <c r="E77" s="174">
        <v>1</v>
      </c>
    </row>
    <row r="78" spans="1:5" x14ac:dyDescent="0.25">
      <c r="A78" s="87" t="s">
        <v>375</v>
      </c>
      <c r="B78" s="85" t="s">
        <v>97</v>
      </c>
      <c r="C78" s="88">
        <v>0</v>
      </c>
      <c r="D78" s="85" t="s">
        <v>373</v>
      </c>
      <c r="E78" s="174">
        <v>1</v>
      </c>
    </row>
    <row r="79" spans="1:5" x14ac:dyDescent="0.25">
      <c r="A79" s="87" t="s">
        <v>337</v>
      </c>
      <c r="B79" s="85" t="s">
        <v>97</v>
      </c>
      <c r="C79" s="88">
        <v>0</v>
      </c>
      <c r="D79" s="85" t="s">
        <v>338</v>
      </c>
      <c r="E79" s="174">
        <v>1</v>
      </c>
    </row>
    <row r="80" spans="1:5" x14ac:dyDescent="0.25">
      <c r="A80" s="87" t="s">
        <v>340</v>
      </c>
      <c r="B80" s="85" t="s">
        <v>69</v>
      </c>
      <c r="C80" s="88">
        <v>0</v>
      </c>
      <c r="D80" s="85" t="s">
        <v>338</v>
      </c>
      <c r="E80" s="174">
        <v>1</v>
      </c>
    </row>
    <row r="81" spans="1:5" x14ac:dyDescent="0.25">
      <c r="A81" s="87" t="s">
        <v>342</v>
      </c>
      <c r="B81" s="85" t="s">
        <v>97</v>
      </c>
      <c r="C81" s="88">
        <v>0</v>
      </c>
      <c r="D81" s="85" t="s">
        <v>338</v>
      </c>
      <c r="E81" s="174">
        <v>1</v>
      </c>
    </row>
    <row r="82" spans="1:5" x14ac:dyDescent="0.25">
      <c r="A82" s="87" t="s">
        <v>343</v>
      </c>
      <c r="B82" s="85" t="s">
        <v>97</v>
      </c>
      <c r="C82" s="88">
        <v>0</v>
      </c>
      <c r="D82" s="85" t="s">
        <v>338</v>
      </c>
      <c r="E82" s="174">
        <v>1</v>
      </c>
    </row>
    <row r="83" spans="1:5" x14ac:dyDescent="0.25">
      <c r="A83" s="87" t="s">
        <v>344</v>
      </c>
      <c r="B83" s="85" t="s">
        <v>97</v>
      </c>
      <c r="C83" s="88">
        <v>0</v>
      </c>
      <c r="D83" s="85" t="s">
        <v>338</v>
      </c>
      <c r="E83" s="174">
        <v>1</v>
      </c>
    </row>
    <row r="84" spans="1:5" x14ac:dyDescent="0.25">
      <c r="A84" s="87" t="s">
        <v>345</v>
      </c>
      <c r="B84" s="85" t="s">
        <v>16</v>
      </c>
      <c r="C84" s="88">
        <v>0</v>
      </c>
      <c r="D84" s="85" t="s">
        <v>338</v>
      </c>
      <c r="E84" s="174">
        <v>1</v>
      </c>
    </row>
    <row r="85" spans="1:5" x14ac:dyDescent="0.25">
      <c r="A85" s="87" t="s">
        <v>346</v>
      </c>
      <c r="B85" s="85" t="s">
        <v>97</v>
      </c>
      <c r="C85" s="88">
        <v>0</v>
      </c>
      <c r="D85" s="85" t="s">
        <v>338</v>
      </c>
      <c r="E85" s="174">
        <v>1</v>
      </c>
    </row>
    <row r="86" spans="1:5" x14ac:dyDescent="0.25">
      <c r="A86" s="87" t="s">
        <v>357</v>
      </c>
      <c r="B86" s="85" t="s">
        <v>97</v>
      </c>
      <c r="C86" s="88">
        <v>0</v>
      </c>
      <c r="D86" s="85" t="s">
        <v>355</v>
      </c>
      <c r="E86" s="174">
        <v>1</v>
      </c>
    </row>
    <row r="87" spans="1:5" x14ac:dyDescent="0.25">
      <c r="A87" s="87" t="s">
        <v>366</v>
      </c>
      <c r="B87" s="85" t="s">
        <v>97</v>
      </c>
      <c r="C87" s="88">
        <v>0</v>
      </c>
      <c r="D87" s="85" t="s">
        <v>364</v>
      </c>
      <c r="E87" s="174">
        <v>1</v>
      </c>
    </row>
    <row r="88" spans="1:5" x14ac:dyDescent="0.25">
      <c r="A88" s="87" t="s">
        <v>370</v>
      </c>
      <c r="B88" s="85" t="s">
        <v>97</v>
      </c>
      <c r="C88" s="88">
        <v>0</v>
      </c>
      <c r="D88" s="85" t="s">
        <v>368</v>
      </c>
      <c r="E88" s="174">
        <v>1</v>
      </c>
    </row>
    <row r="89" spans="1:5" x14ac:dyDescent="0.25">
      <c r="A89" s="87" t="s">
        <v>351</v>
      </c>
      <c r="B89" s="85" t="s">
        <v>97</v>
      </c>
      <c r="C89" s="88">
        <v>0</v>
      </c>
      <c r="D89" s="85" t="s">
        <v>349</v>
      </c>
      <c r="E89" s="174">
        <v>1</v>
      </c>
    </row>
    <row r="90" spans="1:5" x14ac:dyDescent="0.25">
      <c r="A90" s="87" t="s">
        <v>352</v>
      </c>
      <c r="B90" s="85" t="s">
        <v>97</v>
      </c>
      <c r="C90" s="88">
        <v>0</v>
      </c>
      <c r="D90" s="85" t="s">
        <v>349</v>
      </c>
      <c r="E90" s="174">
        <v>1</v>
      </c>
    </row>
    <row r="91" spans="1:5" x14ac:dyDescent="0.25">
      <c r="A91" s="87" t="s">
        <v>361</v>
      </c>
      <c r="B91" s="85" t="s">
        <v>97</v>
      </c>
      <c r="C91" s="88">
        <v>0</v>
      </c>
      <c r="D91" s="85" t="s">
        <v>359</v>
      </c>
      <c r="E91" s="174">
        <v>1</v>
      </c>
    </row>
    <row r="92" spans="1:5" x14ac:dyDescent="0.25">
      <c r="A92" s="87" t="s">
        <v>395</v>
      </c>
      <c r="B92" s="85" t="s">
        <v>97</v>
      </c>
      <c r="C92" s="88">
        <v>0</v>
      </c>
      <c r="D92" s="85" t="s">
        <v>394</v>
      </c>
      <c r="E92" s="174">
        <v>1</v>
      </c>
    </row>
    <row r="93" spans="1:5" x14ac:dyDescent="0.25">
      <c r="A93" s="87" t="s">
        <v>396</v>
      </c>
      <c r="B93" s="85" t="s">
        <v>97</v>
      </c>
      <c r="C93" s="88">
        <v>0</v>
      </c>
      <c r="D93" s="85" t="s">
        <v>394</v>
      </c>
      <c r="E93" s="174">
        <v>1</v>
      </c>
    </row>
    <row r="94" spans="1:5" x14ac:dyDescent="0.25">
      <c r="A94" s="87" t="s">
        <v>397</v>
      </c>
      <c r="B94" s="85" t="s">
        <v>69</v>
      </c>
      <c r="C94" s="88">
        <v>0</v>
      </c>
      <c r="D94" s="85" t="s">
        <v>394</v>
      </c>
      <c r="E94" s="174">
        <v>1</v>
      </c>
    </row>
    <row r="95" spans="1:5" x14ac:dyDescent="0.25">
      <c r="A95" s="87" t="s">
        <v>443</v>
      </c>
      <c r="B95" s="85" t="s">
        <v>69</v>
      </c>
      <c r="C95" s="88">
        <v>0</v>
      </c>
      <c r="D95" s="85" t="s">
        <v>444</v>
      </c>
      <c r="E95" s="174">
        <v>1</v>
      </c>
    </row>
    <row r="96" spans="1:5" x14ac:dyDescent="0.25">
      <c r="A96" s="87" t="s">
        <v>446</v>
      </c>
      <c r="B96" s="85" t="s">
        <v>69</v>
      </c>
      <c r="C96" s="88">
        <v>0</v>
      </c>
      <c r="D96" s="85" t="s">
        <v>447</v>
      </c>
      <c r="E96" s="174">
        <v>1</v>
      </c>
    </row>
    <row r="97" spans="1:5" x14ac:dyDescent="0.25">
      <c r="A97" s="87" t="s">
        <v>836</v>
      </c>
      <c r="B97" s="85" t="s">
        <v>69</v>
      </c>
      <c r="C97" s="88">
        <v>0</v>
      </c>
      <c r="D97" s="85" t="s">
        <v>837</v>
      </c>
      <c r="E97" s="174">
        <v>1</v>
      </c>
    </row>
    <row r="98" spans="1:5" x14ac:dyDescent="0.25">
      <c r="A98" s="87" t="s">
        <v>839</v>
      </c>
      <c r="B98" s="85" t="s">
        <v>69</v>
      </c>
      <c r="C98" s="88">
        <v>0</v>
      </c>
      <c r="D98" s="85" t="s">
        <v>840</v>
      </c>
      <c r="E98" s="174">
        <v>1</v>
      </c>
    </row>
    <row r="99" spans="1:5" x14ac:dyDescent="0.25">
      <c r="A99" s="87" t="s">
        <v>842</v>
      </c>
      <c r="B99" s="85" t="s">
        <v>69</v>
      </c>
      <c r="C99" s="88">
        <v>0</v>
      </c>
      <c r="D99" s="85" t="s">
        <v>843</v>
      </c>
      <c r="E99" s="174">
        <v>1</v>
      </c>
    </row>
    <row r="100" spans="1:5" x14ac:dyDescent="0.25">
      <c r="A100" s="87" t="s">
        <v>845</v>
      </c>
      <c r="B100" s="85" t="s">
        <v>69</v>
      </c>
      <c r="C100" s="88">
        <v>0</v>
      </c>
      <c r="D100" s="85" t="s">
        <v>846</v>
      </c>
      <c r="E100" s="174">
        <v>1</v>
      </c>
    </row>
    <row r="101" spans="1:5" x14ac:dyDescent="0.25">
      <c r="A101" s="87" t="s">
        <v>848</v>
      </c>
      <c r="B101" s="85" t="s">
        <v>69</v>
      </c>
      <c r="C101" s="88">
        <v>0</v>
      </c>
      <c r="D101" s="85" t="s">
        <v>849</v>
      </c>
      <c r="E101" s="174">
        <v>1</v>
      </c>
    </row>
    <row r="102" spans="1:5" x14ac:dyDescent="0.25">
      <c r="A102" s="87" t="s">
        <v>851</v>
      </c>
      <c r="B102" s="85" t="s">
        <v>69</v>
      </c>
      <c r="C102" s="88">
        <v>0</v>
      </c>
      <c r="D102" s="85" t="s">
        <v>852</v>
      </c>
      <c r="E102" s="174">
        <v>1</v>
      </c>
    </row>
    <row r="103" spans="1:5" x14ac:dyDescent="0.25">
      <c r="A103" s="87" t="s">
        <v>854</v>
      </c>
      <c r="B103" s="85" t="s">
        <v>69</v>
      </c>
      <c r="C103" s="88">
        <v>0</v>
      </c>
      <c r="D103" s="85" t="s">
        <v>855</v>
      </c>
      <c r="E103" s="174">
        <v>1</v>
      </c>
    </row>
    <row r="104" spans="1:5" x14ac:dyDescent="0.25">
      <c r="A104" s="87" t="s">
        <v>857</v>
      </c>
      <c r="B104" s="85" t="s">
        <v>69</v>
      </c>
      <c r="C104" s="88">
        <v>0</v>
      </c>
      <c r="D104" s="85" t="s">
        <v>858</v>
      </c>
      <c r="E104" s="174">
        <v>1</v>
      </c>
    </row>
    <row r="105" spans="1:5" x14ac:dyDescent="0.25">
      <c r="A105" s="87" t="s">
        <v>860</v>
      </c>
      <c r="B105" s="85" t="s">
        <v>69</v>
      </c>
      <c r="C105" s="88">
        <v>0</v>
      </c>
      <c r="D105" s="85" t="s">
        <v>861</v>
      </c>
      <c r="E105" s="174">
        <v>1</v>
      </c>
    </row>
    <row r="106" spans="1:5" x14ac:dyDescent="0.25">
      <c r="A106" s="87" t="s">
        <v>467</v>
      </c>
      <c r="B106" s="85" t="s">
        <v>468</v>
      </c>
      <c r="C106" s="88">
        <v>0</v>
      </c>
      <c r="D106" s="85" t="s">
        <v>469</v>
      </c>
      <c r="E106" s="174">
        <v>1</v>
      </c>
    </row>
    <row r="107" spans="1:5" x14ac:dyDescent="0.25">
      <c r="A107" s="87" t="s">
        <v>19424</v>
      </c>
      <c r="B107" s="85" t="s">
        <v>97</v>
      </c>
      <c r="C107" s="88">
        <v>0</v>
      </c>
      <c r="D107" s="85" t="s">
        <v>19425</v>
      </c>
      <c r="E107" s="174">
        <v>1</v>
      </c>
    </row>
    <row r="108" spans="1:5" x14ac:dyDescent="0.25">
      <c r="A108" s="87" t="s">
        <v>491</v>
      </c>
      <c r="B108" s="85" t="s">
        <v>97</v>
      </c>
      <c r="C108" s="88">
        <v>0</v>
      </c>
      <c r="D108" s="85" t="s">
        <v>492</v>
      </c>
      <c r="E108" s="174">
        <v>1</v>
      </c>
    </row>
    <row r="109" spans="1:5" x14ac:dyDescent="0.25">
      <c r="A109" s="87" t="s">
        <v>494</v>
      </c>
      <c r="B109" s="85" t="s">
        <v>97</v>
      </c>
      <c r="C109" s="88">
        <v>0</v>
      </c>
      <c r="D109" s="85" t="s">
        <v>495</v>
      </c>
      <c r="E109" s="174">
        <v>1</v>
      </c>
    </row>
    <row r="110" spans="1:5" ht="30" x14ac:dyDescent="0.25">
      <c r="A110" s="87" t="s">
        <v>565</v>
      </c>
      <c r="B110" s="85" t="s">
        <v>69</v>
      </c>
      <c r="C110" s="88">
        <v>0</v>
      </c>
      <c r="D110" s="85" t="s">
        <v>566</v>
      </c>
      <c r="E110" s="174">
        <v>1</v>
      </c>
    </row>
    <row r="111" spans="1:5" ht="30" x14ac:dyDescent="0.25">
      <c r="A111" s="87" t="s">
        <v>568</v>
      </c>
      <c r="B111" s="85" t="s">
        <v>69</v>
      </c>
      <c r="C111" s="88">
        <v>0</v>
      </c>
      <c r="D111" s="85" t="s">
        <v>569</v>
      </c>
      <c r="E111" s="174">
        <v>1</v>
      </c>
    </row>
    <row r="112" spans="1:5" ht="30" x14ac:dyDescent="0.25">
      <c r="A112" s="87" t="s">
        <v>571</v>
      </c>
      <c r="B112" s="85" t="s">
        <v>69</v>
      </c>
      <c r="C112" s="88">
        <v>0</v>
      </c>
      <c r="D112" s="85" t="s">
        <v>572</v>
      </c>
      <c r="E112" s="174">
        <v>1</v>
      </c>
    </row>
    <row r="113" spans="1:5" x14ac:dyDescent="0.25">
      <c r="A113" s="87" t="s">
        <v>1095</v>
      </c>
      <c r="B113" s="85" t="s">
        <v>205</v>
      </c>
      <c r="C113" s="88">
        <v>0</v>
      </c>
      <c r="D113" s="85" t="s">
        <v>1096</v>
      </c>
      <c r="E113" s="174">
        <v>1</v>
      </c>
    </row>
    <row r="114" spans="1:5" ht="30" x14ac:dyDescent="0.25">
      <c r="A114" s="87" t="s">
        <v>20904</v>
      </c>
      <c r="B114" s="85" t="s">
        <v>870</v>
      </c>
      <c r="C114" s="88">
        <v>0</v>
      </c>
      <c r="D114" s="85" t="s">
        <v>20905</v>
      </c>
      <c r="E114" s="174">
        <v>1</v>
      </c>
    </row>
    <row r="115" spans="1:5" x14ac:dyDescent="0.25">
      <c r="A115" s="87" t="s">
        <v>935</v>
      </c>
      <c r="B115" s="85" t="s">
        <v>69</v>
      </c>
      <c r="C115" s="88">
        <v>0</v>
      </c>
      <c r="D115" s="85" t="s">
        <v>936</v>
      </c>
      <c r="E115" s="174">
        <v>1</v>
      </c>
    </row>
    <row r="116" spans="1:5" ht="30" x14ac:dyDescent="0.25">
      <c r="A116" s="87" t="s">
        <v>20003</v>
      </c>
      <c r="B116" s="85" t="s">
        <v>69</v>
      </c>
      <c r="C116" s="88">
        <v>0</v>
      </c>
      <c r="D116" s="85" t="s">
        <v>20004</v>
      </c>
      <c r="E116" s="174">
        <v>1</v>
      </c>
    </row>
    <row r="117" spans="1:5" x14ac:dyDescent="0.25">
      <c r="A117" s="87" t="s">
        <v>1079</v>
      </c>
      <c r="B117" s="85" t="s">
        <v>70</v>
      </c>
      <c r="C117" s="88">
        <v>0</v>
      </c>
      <c r="D117" s="85" t="s">
        <v>1080</v>
      </c>
      <c r="E117" s="174">
        <v>1</v>
      </c>
    </row>
    <row r="118" spans="1:5" ht="15.75" thickBot="1" x14ac:dyDescent="0.3">
      <c r="A118" s="89" t="s">
        <v>75</v>
      </c>
      <c r="B118" s="86" t="s">
        <v>76</v>
      </c>
      <c r="C118" s="172">
        <v>0</v>
      </c>
      <c r="D118" s="86" t="s">
        <v>13537</v>
      </c>
      <c r="E118" s="175">
        <v>1</v>
      </c>
    </row>
    <row r="119" spans="1:5" x14ac:dyDescent="0.25">
      <c r="A119" s="108" t="s">
        <v>77</v>
      </c>
      <c r="B119" s="83" t="s">
        <v>28</v>
      </c>
      <c r="C119" s="173">
        <v>0</v>
      </c>
      <c r="D119" s="83" t="s">
        <v>13537</v>
      </c>
      <c r="E119" s="176">
        <v>1</v>
      </c>
    </row>
    <row r="120" spans="1:5" x14ac:dyDescent="0.25">
      <c r="A120" s="108" t="s">
        <v>13534</v>
      </c>
      <c r="B120" s="83" t="s">
        <v>76</v>
      </c>
      <c r="C120" s="173">
        <v>0</v>
      </c>
      <c r="D120" s="83" t="s">
        <v>13533</v>
      </c>
      <c r="E120" s="176">
        <v>1</v>
      </c>
    </row>
    <row r="121" spans="1:5" x14ac:dyDescent="0.25">
      <c r="A121" s="108" t="s">
        <v>13535</v>
      </c>
      <c r="B121" s="83" t="s">
        <v>774</v>
      </c>
      <c r="C121" s="173">
        <v>0</v>
      </c>
      <c r="D121" s="83" t="s">
        <v>13533</v>
      </c>
      <c r="E121" s="176">
        <v>1</v>
      </c>
    </row>
    <row r="122" spans="1:5" ht="30" x14ac:dyDescent="0.25">
      <c r="A122" s="108" t="s">
        <v>678</v>
      </c>
      <c r="B122" s="83" t="s">
        <v>16</v>
      </c>
      <c r="C122" s="173">
        <v>0</v>
      </c>
      <c r="D122" s="83" t="s">
        <v>10296</v>
      </c>
      <c r="E122" s="176">
        <v>1</v>
      </c>
    </row>
    <row r="123" spans="1:5" x14ac:dyDescent="0.25">
      <c r="A123" s="108" t="s">
        <v>687</v>
      </c>
      <c r="B123" s="83" t="s">
        <v>16</v>
      </c>
      <c r="C123" s="173">
        <v>0</v>
      </c>
      <c r="D123" s="83" t="s">
        <v>10296</v>
      </c>
      <c r="E123" s="176">
        <v>1</v>
      </c>
    </row>
    <row r="124" spans="1:5" ht="30" x14ac:dyDescent="0.25">
      <c r="A124" s="108" t="s">
        <v>736</v>
      </c>
      <c r="B124" s="83" t="s">
        <v>16</v>
      </c>
      <c r="C124" s="173">
        <v>0</v>
      </c>
      <c r="D124" s="83" t="s">
        <v>10296</v>
      </c>
      <c r="E124" s="176">
        <v>1</v>
      </c>
    </row>
    <row r="125" spans="1:5" ht="30" x14ac:dyDescent="0.25">
      <c r="A125" s="108" t="s">
        <v>738</v>
      </c>
      <c r="B125" s="83" t="s">
        <v>16</v>
      </c>
      <c r="C125" s="173">
        <v>0</v>
      </c>
      <c r="D125" s="83" t="s">
        <v>10296</v>
      </c>
      <c r="E125" s="176">
        <v>1</v>
      </c>
    </row>
    <row r="126" spans="1:5" ht="30" x14ac:dyDescent="0.25">
      <c r="A126" s="108" t="s">
        <v>740</v>
      </c>
      <c r="B126" s="83" t="s">
        <v>16</v>
      </c>
      <c r="C126" s="173">
        <v>0</v>
      </c>
      <c r="D126" s="83" t="s">
        <v>10301</v>
      </c>
      <c r="E126" s="176">
        <v>1</v>
      </c>
    </row>
    <row r="127" spans="1:5" ht="30" x14ac:dyDescent="0.25">
      <c r="A127" s="108" t="s">
        <v>684</v>
      </c>
      <c r="B127" s="83" t="s">
        <v>16</v>
      </c>
      <c r="C127" s="173">
        <v>0</v>
      </c>
      <c r="D127" s="83" t="s">
        <v>10298</v>
      </c>
      <c r="E127" s="176">
        <v>1</v>
      </c>
    </row>
    <row r="128" spans="1:5" ht="30" x14ac:dyDescent="0.25">
      <c r="A128" s="108" t="s">
        <v>680</v>
      </c>
      <c r="B128" s="83" t="s">
        <v>16</v>
      </c>
      <c r="C128" s="173">
        <v>0</v>
      </c>
      <c r="D128" s="83" t="s">
        <v>10297</v>
      </c>
      <c r="E128" s="176">
        <v>1</v>
      </c>
    </row>
    <row r="129" spans="1:5" ht="30" x14ac:dyDescent="0.25">
      <c r="A129" s="108" t="s">
        <v>682</v>
      </c>
      <c r="B129" s="83" t="s">
        <v>16</v>
      </c>
      <c r="C129" s="173">
        <v>0</v>
      </c>
      <c r="D129" s="83" t="s">
        <v>10297</v>
      </c>
      <c r="E129" s="176">
        <v>1</v>
      </c>
    </row>
    <row r="130" spans="1:5" ht="30" x14ac:dyDescent="0.25">
      <c r="A130" s="108" t="s">
        <v>701</v>
      </c>
      <c r="B130" s="83" t="s">
        <v>16</v>
      </c>
      <c r="C130" s="173">
        <v>0</v>
      </c>
      <c r="D130" s="83" t="s">
        <v>10299</v>
      </c>
      <c r="E130" s="176">
        <v>1</v>
      </c>
    </row>
    <row r="131" spans="1:5" ht="30" x14ac:dyDescent="0.25">
      <c r="A131" s="108" t="s">
        <v>708</v>
      </c>
      <c r="B131" s="83" t="s">
        <v>16</v>
      </c>
      <c r="C131" s="173">
        <v>0</v>
      </c>
      <c r="D131" s="83" t="s">
        <v>10299</v>
      </c>
      <c r="E131" s="176">
        <v>1</v>
      </c>
    </row>
    <row r="132" spans="1:5" ht="30" x14ac:dyDescent="0.25">
      <c r="A132" s="108" t="s">
        <v>722</v>
      </c>
      <c r="B132" s="83" t="s">
        <v>16</v>
      </c>
      <c r="C132" s="173">
        <v>0</v>
      </c>
      <c r="D132" s="83" t="s">
        <v>10299</v>
      </c>
      <c r="E132" s="176">
        <v>1</v>
      </c>
    </row>
    <row r="133" spans="1:5" ht="30" x14ac:dyDescent="0.25">
      <c r="A133" s="108" t="s">
        <v>730</v>
      </c>
      <c r="B133" s="83" t="s">
        <v>16</v>
      </c>
      <c r="C133" s="173">
        <v>0</v>
      </c>
      <c r="D133" s="83" t="s">
        <v>10299</v>
      </c>
      <c r="E133" s="176">
        <v>1</v>
      </c>
    </row>
    <row r="134" spans="1:5" ht="45" x14ac:dyDescent="0.25">
      <c r="A134" s="108" t="s">
        <v>732</v>
      </c>
      <c r="B134" s="83" t="s">
        <v>16</v>
      </c>
      <c r="C134" s="173">
        <v>0</v>
      </c>
      <c r="D134" s="83" t="s">
        <v>10300</v>
      </c>
      <c r="E134" s="176">
        <v>1</v>
      </c>
    </row>
    <row r="135" spans="1:5" x14ac:dyDescent="0.25">
      <c r="A135" s="108" t="s">
        <v>214</v>
      </c>
      <c r="B135" s="83" t="s">
        <v>70</v>
      </c>
      <c r="C135" s="173">
        <v>0</v>
      </c>
      <c r="D135" s="83" t="s">
        <v>215</v>
      </c>
      <c r="E135" s="176">
        <v>1</v>
      </c>
    </row>
    <row r="136" spans="1:5" x14ac:dyDescent="0.25">
      <c r="A136" s="108" t="s">
        <v>13561</v>
      </c>
      <c r="B136" s="83" t="s">
        <v>16</v>
      </c>
      <c r="C136" s="173">
        <v>0</v>
      </c>
      <c r="D136" s="83" t="s">
        <v>13560</v>
      </c>
      <c r="E136" s="176">
        <v>1</v>
      </c>
    </row>
    <row r="137" spans="1:5" x14ac:dyDescent="0.25">
      <c r="A137" s="108" t="s">
        <v>19259</v>
      </c>
      <c r="B137" s="83" t="s">
        <v>28</v>
      </c>
      <c r="C137" s="173">
        <v>0</v>
      </c>
      <c r="D137" s="83" t="s">
        <v>19260</v>
      </c>
      <c r="E137" s="176">
        <v>1</v>
      </c>
    </row>
    <row r="138" spans="1:5" ht="30" x14ac:dyDescent="0.25">
      <c r="A138" s="108" t="s">
        <v>13562</v>
      </c>
      <c r="B138" s="83" t="s">
        <v>205</v>
      </c>
      <c r="C138" s="173">
        <v>0</v>
      </c>
      <c r="D138" s="83" t="s">
        <v>13563</v>
      </c>
      <c r="E138" s="176">
        <v>1</v>
      </c>
    </row>
    <row r="139" spans="1:5" x14ac:dyDescent="0.25">
      <c r="A139" s="108" t="s">
        <v>20969</v>
      </c>
      <c r="B139" s="83" t="s">
        <v>16</v>
      </c>
      <c r="C139" s="173">
        <v>0</v>
      </c>
      <c r="D139" s="83" t="s">
        <v>20967</v>
      </c>
      <c r="E139" s="176">
        <v>1</v>
      </c>
    </row>
    <row r="140" spans="1:5" x14ac:dyDescent="0.25">
      <c r="A140" s="108" t="s">
        <v>20968</v>
      </c>
      <c r="B140" s="83" t="s">
        <v>16</v>
      </c>
      <c r="C140" s="173">
        <v>0</v>
      </c>
      <c r="D140" s="83" t="s">
        <v>20967</v>
      </c>
      <c r="E140" s="176">
        <v>1</v>
      </c>
    </row>
    <row r="141" spans="1:5" x14ac:dyDescent="0.25">
      <c r="A141" s="108" t="s">
        <v>20970</v>
      </c>
      <c r="B141" s="83" t="s">
        <v>16</v>
      </c>
      <c r="C141" s="173">
        <v>0</v>
      </c>
      <c r="D141" s="83" t="s">
        <v>20967</v>
      </c>
      <c r="E141" s="176">
        <v>1</v>
      </c>
    </row>
    <row r="142" spans="1:5" x14ac:dyDescent="0.25">
      <c r="A142" s="108" t="s">
        <v>20971</v>
      </c>
      <c r="B142" s="83" t="s">
        <v>870</v>
      </c>
      <c r="C142" s="173">
        <v>0</v>
      </c>
      <c r="D142" s="83" t="s">
        <v>20973</v>
      </c>
      <c r="E142" s="176">
        <v>1</v>
      </c>
    </row>
    <row r="143" spans="1:5" x14ac:dyDescent="0.25">
      <c r="A143" s="108" t="s">
        <v>20972</v>
      </c>
      <c r="B143" s="83" t="s">
        <v>870</v>
      </c>
      <c r="C143" s="173">
        <v>0</v>
      </c>
      <c r="D143" s="83" t="s">
        <v>20973</v>
      </c>
      <c r="E143" s="176">
        <v>1</v>
      </c>
    </row>
    <row r="144" spans="1:5" x14ac:dyDescent="0.25">
      <c r="A144" s="108" t="s">
        <v>1160</v>
      </c>
      <c r="B144" s="83" t="s">
        <v>814</v>
      </c>
      <c r="C144" s="173">
        <v>0</v>
      </c>
      <c r="D144" s="83" t="s">
        <v>1161</v>
      </c>
      <c r="E144" s="176">
        <v>1</v>
      </c>
    </row>
    <row r="145" spans="1:5" x14ac:dyDescent="0.25">
      <c r="A145" s="108" t="s">
        <v>1162</v>
      </c>
      <c r="B145" s="83" t="s">
        <v>816</v>
      </c>
      <c r="C145" s="173">
        <v>0</v>
      </c>
      <c r="D145" s="83" t="s">
        <v>1161</v>
      </c>
      <c r="E145" s="176">
        <v>1</v>
      </c>
    </row>
    <row r="146" spans="1:5" x14ac:dyDescent="0.25">
      <c r="A146" s="108" t="s">
        <v>1128</v>
      </c>
      <c r="B146" s="83" t="s">
        <v>814</v>
      </c>
      <c r="C146" s="173">
        <v>0</v>
      </c>
      <c r="D146" s="83" t="s">
        <v>1129</v>
      </c>
      <c r="E146" s="176">
        <v>1</v>
      </c>
    </row>
    <row r="147" spans="1:5" x14ac:dyDescent="0.25">
      <c r="A147" s="108" t="s">
        <v>1126</v>
      </c>
      <c r="B147" s="83" t="s">
        <v>814</v>
      </c>
      <c r="C147" s="173">
        <v>0</v>
      </c>
      <c r="D147" s="83" t="s">
        <v>1127</v>
      </c>
      <c r="E147" s="176">
        <v>1</v>
      </c>
    </row>
    <row r="148" spans="1:5" x14ac:dyDescent="0.25">
      <c r="A148" s="108" t="s">
        <v>1130</v>
      </c>
      <c r="B148" s="83" t="s">
        <v>69</v>
      </c>
      <c r="C148" s="173">
        <v>0</v>
      </c>
      <c r="D148" s="83" t="s">
        <v>1131</v>
      </c>
      <c r="E148" s="176">
        <v>1</v>
      </c>
    </row>
    <row r="149" spans="1:5" x14ac:dyDescent="0.25">
      <c r="A149" s="108" t="s">
        <v>1132</v>
      </c>
      <c r="B149" s="83" t="s">
        <v>205</v>
      </c>
      <c r="C149" s="173">
        <v>0</v>
      </c>
      <c r="D149" s="83" t="s">
        <v>1133</v>
      </c>
      <c r="E149" s="176">
        <v>1</v>
      </c>
    </row>
    <row r="150" spans="1:5" ht="30" x14ac:dyDescent="0.25">
      <c r="A150" s="108" t="s">
        <v>16216</v>
      </c>
      <c r="B150" s="83" t="s">
        <v>28</v>
      </c>
      <c r="C150" s="173">
        <v>0</v>
      </c>
      <c r="D150" s="83" t="s">
        <v>16217</v>
      </c>
      <c r="E150" s="176">
        <v>1</v>
      </c>
    </row>
    <row r="151" spans="1:5" ht="30" x14ac:dyDescent="0.25">
      <c r="A151" s="108" t="s">
        <v>20956</v>
      </c>
      <c r="B151" s="83" t="s">
        <v>69</v>
      </c>
      <c r="C151" s="173">
        <v>0</v>
      </c>
      <c r="D151" s="83" t="s">
        <v>20955</v>
      </c>
      <c r="E151" s="176">
        <v>1</v>
      </c>
    </row>
    <row r="152" spans="1:5" ht="30" x14ac:dyDescent="0.25">
      <c r="A152" s="108" t="s">
        <v>20957</v>
      </c>
      <c r="B152" s="83" t="s">
        <v>69</v>
      </c>
      <c r="C152" s="173">
        <v>0</v>
      </c>
      <c r="D152" s="83" t="s">
        <v>20959</v>
      </c>
      <c r="E152" s="176">
        <v>1</v>
      </c>
    </row>
    <row r="153" spans="1:5" ht="30" x14ac:dyDescent="0.25">
      <c r="A153" s="108" t="s">
        <v>20958</v>
      </c>
      <c r="B153" s="83" t="s">
        <v>69</v>
      </c>
      <c r="C153" s="173">
        <v>0</v>
      </c>
      <c r="D153" s="83" t="s">
        <v>20960</v>
      </c>
      <c r="E153" s="176">
        <v>1</v>
      </c>
    </row>
    <row r="154" spans="1:5" ht="30" x14ac:dyDescent="0.25">
      <c r="A154" s="108" t="s">
        <v>20961</v>
      </c>
      <c r="B154" s="83" t="s">
        <v>69</v>
      </c>
      <c r="C154" s="173">
        <v>0</v>
      </c>
      <c r="D154" s="83" t="s">
        <v>20962</v>
      </c>
      <c r="E154" s="176">
        <v>1</v>
      </c>
    </row>
    <row r="155" spans="1:5" ht="30" x14ac:dyDescent="0.25">
      <c r="A155" s="108" t="s">
        <v>20964</v>
      </c>
      <c r="B155" s="83" t="s">
        <v>69</v>
      </c>
      <c r="C155" s="173">
        <v>0</v>
      </c>
      <c r="D155" s="83" t="s">
        <v>20963</v>
      </c>
      <c r="E155" s="176">
        <v>1</v>
      </c>
    </row>
    <row r="156" spans="1:5" ht="30" x14ac:dyDescent="0.25">
      <c r="A156" s="108" t="s">
        <v>20965</v>
      </c>
      <c r="B156" s="83" t="s">
        <v>97</v>
      </c>
      <c r="C156" s="173">
        <v>0</v>
      </c>
      <c r="D156" s="83" t="s">
        <v>20966</v>
      </c>
      <c r="E156" s="176">
        <v>1</v>
      </c>
    </row>
    <row r="157" spans="1:5" x14ac:dyDescent="0.25">
      <c r="C157" s="173"/>
    </row>
    <row r="158" spans="1:5" x14ac:dyDescent="0.25">
      <c r="C158" s="173"/>
    </row>
    <row r="159" spans="1:5" x14ac:dyDescent="0.25">
      <c r="C159" s="173"/>
    </row>
    <row r="160" spans="1:5" x14ac:dyDescent="0.25">
      <c r="C160" s="173"/>
    </row>
    <row r="161" spans="3:3" x14ac:dyDescent="0.25">
      <c r="C161" s="173"/>
    </row>
    <row r="162" spans="3:3" x14ac:dyDescent="0.25">
      <c r="C162" s="173"/>
    </row>
    <row r="163" spans="3:3" x14ac:dyDescent="0.25">
      <c r="C163" s="173"/>
    </row>
    <row r="164" spans="3:3" x14ac:dyDescent="0.25">
      <c r="C164" s="173"/>
    </row>
    <row r="165" spans="3:3" x14ac:dyDescent="0.25">
      <c r="C165" s="173"/>
    </row>
    <row r="166" spans="3:3" x14ac:dyDescent="0.25">
      <c r="C166" s="173"/>
    </row>
    <row r="167" spans="3:3" x14ac:dyDescent="0.25">
      <c r="C167" s="173"/>
    </row>
    <row r="168" spans="3:3" x14ac:dyDescent="0.25">
      <c r="C168" s="173"/>
    </row>
    <row r="169" spans="3:3" x14ac:dyDescent="0.25">
      <c r="C169" s="173"/>
    </row>
    <row r="170" spans="3:3" x14ac:dyDescent="0.25">
      <c r="C170" s="173"/>
    </row>
    <row r="171" spans="3:3" x14ac:dyDescent="0.25">
      <c r="C171" s="173"/>
    </row>
    <row r="172" spans="3:3" x14ac:dyDescent="0.25">
      <c r="C172" s="173"/>
    </row>
    <row r="173" spans="3:3" x14ac:dyDescent="0.25">
      <c r="C173" s="173"/>
    </row>
    <row r="174" spans="3:3" x14ac:dyDescent="0.25">
      <c r="C174" s="173"/>
    </row>
    <row r="175" spans="3:3" x14ac:dyDescent="0.25">
      <c r="C175" s="173"/>
    </row>
    <row r="176" spans="3:3" x14ac:dyDescent="0.25">
      <c r="C176" s="173"/>
    </row>
    <row r="177" spans="3:3" x14ac:dyDescent="0.25">
      <c r="C177" s="173"/>
    </row>
    <row r="178" spans="3:3" x14ac:dyDescent="0.25">
      <c r="C178" s="173"/>
    </row>
    <row r="179" spans="3:3" x14ac:dyDescent="0.25">
      <c r="C179" s="173"/>
    </row>
    <row r="180" spans="3:3" x14ac:dyDescent="0.25">
      <c r="C180" s="173"/>
    </row>
    <row r="181" spans="3:3" x14ac:dyDescent="0.25">
      <c r="C181" s="173"/>
    </row>
    <row r="182" spans="3:3" x14ac:dyDescent="0.25">
      <c r="C182" s="173"/>
    </row>
    <row r="183" spans="3:3" x14ac:dyDescent="0.25">
      <c r="C183" s="173"/>
    </row>
    <row r="184" spans="3:3" x14ac:dyDescent="0.25">
      <c r="C184" s="173"/>
    </row>
    <row r="185" spans="3:3" x14ac:dyDescent="0.25">
      <c r="C185" s="173"/>
    </row>
    <row r="186" spans="3:3" x14ac:dyDescent="0.25">
      <c r="C186" s="173"/>
    </row>
    <row r="187" spans="3:3" x14ac:dyDescent="0.25">
      <c r="C187" s="173"/>
    </row>
    <row r="188" spans="3:3" x14ac:dyDescent="0.25">
      <c r="C188" s="173"/>
    </row>
    <row r="189" spans="3:3" x14ac:dyDescent="0.25">
      <c r="C189" s="173"/>
    </row>
    <row r="190" spans="3:3" x14ac:dyDescent="0.25">
      <c r="C190" s="173"/>
    </row>
    <row r="191" spans="3:3" x14ac:dyDescent="0.25">
      <c r="C191" s="173"/>
    </row>
    <row r="192" spans="3:3" x14ac:dyDescent="0.25">
      <c r="C192" s="173"/>
    </row>
    <row r="193" spans="3:3" x14ac:dyDescent="0.25">
      <c r="C193" s="173"/>
    </row>
    <row r="194" spans="3:3" x14ac:dyDescent="0.25">
      <c r="C194" s="173"/>
    </row>
    <row r="195" spans="3:3" x14ac:dyDescent="0.25">
      <c r="C195" s="173"/>
    </row>
    <row r="196" spans="3:3" x14ac:dyDescent="0.25">
      <c r="C196" s="173"/>
    </row>
    <row r="197" spans="3:3" x14ac:dyDescent="0.25">
      <c r="C197" s="173"/>
    </row>
    <row r="198" spans="3:3" x14ac:dyDescent="0.25">
      <c r="C198" s="173"/>
    </row>
    <row r="199" spans="3:3" x14ac:dyDescent="0.25">
      <c r="C199" s="173"/>
    </row>
    <row r="200" spans="3:3" x14ac:dyDescent="0.25">
      <c r="C200" s="173"/>
    </row>
    <row r="201" spans="3:3" x14ac:dyDescent="0.25">
      <c r="C201" s="173"/>
    </row>
    <row r="202" spans="3:3" x14ac:dyDescent="0.25">
      <c r="C202" s="173"/>
    </row>
    <row r="203" spans="3:3" x14ac:dyDescent="0.25">
      <c r="C203" s="173"/>
    </row>
    <row r="204" spans="3:3" x14ac:dyDescent="0.25">
      <c r="C204" s="173"/>
    </row>
    <row r="205" spans="3:3" x14ac:dyDescent="0.25">
      <c r="C205" s="173"/>
    </row>
    <row r="206" spans="3:3" x14ac:dyDescent="0.25">
      <c r="C206" s="173"/>
    </row>
    <row r="207" spans="3:3" x14ac:dyDescent="0.25">
      <c r="C207" s="173"/>
    </row>
    <row r="208" spans="3:3" x14ac:dyDescent="0.25">
      <c r="C208" s="173"/>
    </row>
    <row r="209" spans="3:3" x14ac:dyDescent="0.25">
      <c r="C209" s="173"/>
    </row>
    <row r="210" spans="3:3" x14ac:dyDescent="0.25">
      <c r="C210" s="173"/>
    </row>
    <row r="211" spans="3:3" x14ac:dyDescent="0.25">
      <c r="C211" s="173"/>
    </row>
    <row r="212" spans="3:3" x14ac:dyDescent="0.25">
      <c r="C212" s="173"/>
    </row>
    <row r="213" spans="3:3" x14ac:dyDescent="0.25">
      <c r="C213" s="173"/>
    </row>
    <row r="214" spans="3:3" x14ac:dyDescent="0.25">
      <c r="C214" s="173"/>
    </row>
    <row r="215" spans="3:3" x14ac:dyDescent="0.25">
      <c r="C215" s="173"/>
    </row>
    <row r="216" spans="3:3" x14ac:dyDescent="0.25">
      <c r="C216" s="173"/>
    </row>
    <row r="217" spans="3:3" x14ac:dyDescent="0.25">
      <c r="C217" s="173"/>
    </row>
  </sheetData>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4</vt:i4>
      </vt:variant>
    </vt:vector>
  </HeadingPairs>
  <TitlesOfParts>
    <vt:vector size="10" baseType="lpstr">
      <vt:lpstr>Composições</vt:lpstr>
      <vt:lpstr>Orçamentária-TR</vt:lpstr>
      <vt:lpstr>BDI</vt:lpstr>
      <vt:lpstr>Serviços SINAPI</vt:lpstr>
      <vt:lpstr>Insumos SINAPI</vt:lpstr>
      <vt:lpstr>planilha auxiliar</vt:lpstr>
      <vt:lpstr>Composições!Area_de_impressao</vt:lpstr>
      <vt:lpstr>'Orçamentária-TR'!Area_de_impressao</vt:lpstr>
      <vt:lpstr>Composições!Titulos_de_impressao</vt:lpstr>
      <vt:lpstr>'Orçamentária-TR'!Titulos_de_impressao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Thauler Ferreira Bispo de Souza</cp:lastModifiedBy>
  <cp:lastPrinted>2023-11-22T13:22:09Z</cp:lastPrinted>
  <dcterms:created xsi:type="dcterms:W3CDTF">2020-07-07T13:57:42Z</dcterms:created>
  <dcterms:modified xsi:type="dcterms:W3CDTF">2023-12-08T03:38:14Z</dcterms:modified>
</cp:coreProperties>
</file>